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ected Realizations" sheetId="1" r:id="rId4"/>
    <sheet state="visible" name="Feb from 15th July IGV to 25th " sheetId="2" r:id="rId5"/>
    <sheet state="visible" name="OLDBRIGV" sheetId="3" r:id="rId6"/>
    <sheet state="visible" name="OLDBROGV" sheetId="4" r:id="rId7"/>
    <sheet state="visible" name="OLDBROGT" sheetId="5" r:id="rId8"/>
    <sheet state="visible" name="OLDBRIGT" sheetId="6" r:id="rId9"/>
    <sheet state="visible" name="Feb from 15th July IGT to 25th " sheetId="7" r:id="rId10"/>
    <sheet state="visible" name="Feb from 15th July oGT to 25th " sheetId="8" r:id="rId11"/>
    <sheet state="visible" name="Feb from 15th July oGv to 25th " sheetId="9" r:id="rId12"/>
    <sheet state="visible" name="Expected to be Broken" sheetId="10" r:id="rId13"/>
    <sheet state="visible" name="IGV" sheetId="11" r:id="rId14"/>
    <sheet state="visible" name="IGTe" sheetId="12" r:id="rId15"/>
    <sheet state="visible" name="IGTa" sheetId="13" r:id="rId16"/>
    <sheet state="visible" name="OGV" sheetId="14" r:id="rId17"/>
    <sheet state="visible" name="OGTa" sheetId="15" r:id="rId18"/>
    <sheet state="visible" name="OGTe" sheetId="16" r:id="rId19"/>
    <sheet state="visible" name="IST" sheetId="17" r:id="rId20"/>
  </sheets>
  <definedNames>
    <definedName hidden="1" localSheetId="10" name="_xlnm._FilterDatabase">IGV!$A$1:$Z$2099</definedName>
    <definedName hidden="1" localSheetId="11" name="_xlnm._FilterDatabase">IGTe!$A$1:$Z$1000</definedName>
    <definedName hidden="1" localSheetId="12" name="_xlnm._FilterDatabase">IGTa!$A$1:$Z$1000</definedName>
    <definedName hidden="1" localSheetId="13" name="_xlnm._FilterDatabase">OGV!$V$1:$V$1501</definedName>
    <definedName hidden="1" localSheetId="14" name="_xlnm._FilterDatabase">OGTa!$A$1:$Z$1000</definedName>
    <definedName hidden="1" localSheetId="15" name="_xlnm._FilterDatabase">OGTe!$A$1:$Z$1000</definedName>
  </definedNames>
  <calcPr/>
</workbook>
</file>

<file path=xl/sharedStrings.xml><?xml version="1.0" encoding="utf-8"?>
<sst xmlns="http://schemas.openxmlformats.org/spreadsheetml/2006/main" count="65032" uniqueCount="19737">
  <si>
    <t>EP ID_Opp ID</t>
  </si>
  <si>
    <t>Full Name</t>
  </si>
  <si>
    <t>Status</t>
  </si>
  <si>
    <t>Remote Realized?</t>
  </si>
  <si>
    <t>Email</t>
  </si>
  <si>
    <t>Phone Number</t>
  </si>
  <si>
    <t>Home MC</t>
  </si>
  <si>
    <t>Home LC</t>
  </si>
  <si>
    <t>Host MC</t>
  </si>
  <si>
    <t>Host LC</t>
  </si>
  <si>
    <t>Oppprtunity</t>
  </si>
  <si>
    <t>Product</t>
  </si>
  <si>
    <t>Duration Type</t>
  </si>
  <si>
    <t>Date Approved</t>
  </si>
  <si>
    <t>Slot Start Date</t>
  </si>
  <si>
    <t>Slot End Date</t>
  </si>
  <si>
    <t>Date Realized</t>
  </si>
  <si>
    <t>Experience End Date</t>
  </si>
  <si>
    <t>Remote Realized Date</t>
  </si>
  <si>
    <t>Sub Product</t>
  </si>
  <si>
    <t>Title</t>
  </si>
  <si>
    <t>Campus</t>
  </si>
  <si>
    <t>Signup Date</t>
  </si>
  <si>
    <t>4522101_1287327</t>
  </si>
  <si>
    <t>Stefania Rella</t>
  </si>
  <si>
    <t>completed</t>
  </si>
  <si>
    <t>No</t>
  </si>
  <si>
    <t>p_59424bb6d893536730be7d514daf627b89221fe3@inbound.aiesec.org</t>
  </si>
  <si>
    <t>+39 345 483 6809</t>
  </si>
  <si>
    <t>Italy</t>
  </si>
  <si>
    <t>Trento</t>
  </si>
  <si>
    <t>Turkey</t>
  </si>
  <si>
    <t>İZMİR</t>
  </si>
  <si>
    <t>https://expa.aiesec.org/opportunities/1287327</t>
  </si>
  <si>
    <t>GTa</t>
  </si>
  <si>
    <t>short</t>
  </si>
  <si>
    <t>Business Administration</t>
  </si>
  <si>
    <t>International Market Expansion</t>
  </si>
  <si>
    <t>-</t>
  </si>
  <si>
    <t>2021-01-22T17:06:40Z</t>
  </si>
  <si>
    <t>4790519_1288032</t>
  </si>
  <si>
    <t>Merve Temel</t>
  </si>
  <si>
    <t>p_725b68dbdf812fada5411905e62cd46442b408b9@inbound.aiesec.org</t>
  </si>
  <si>
    <t>ADANA</t>
  </si>
  <si>
    <t>India</t>
  </si>
  <si>
    <t>Navi Mumbai</t>
  </si>
  <si>
    <t>https://expa.aiesec.org/opportunities/1288032</t>
  </si>
  <si>
    <t>GTe</t>
  </si>
  <si>
    <t>medium</t>
  </si>
  <si>
    <t xml:space="preserve">French Teacher </t>
  </si>
  <si>
    <t>2021-11-07T17:48:38Z</t>
  </si>
  <si>
    <t>5078045_1281351</t>
  </si>
  <si>
    <t>KHAOULA CHAKROUN</t>
  </si>
  <si>
    <t>p_f35905ce8e69fa90620e1c64f9f4d259ba0f730c@inbound.aiesec.org</t>
  </si>
  <si>
    <t>Tunisia</t>
  </si>
  <si>
    <t>MEDINA</t>
  </si>
  <si>
    <t>ANKARA</t>
  </si>
  <si>
    <t>https://expa.aiesec.org/opportunities/1281351</t>
  </si>
  <si>
    <t>GV</t>
  </si>
  <si>
    <t>Global Classroom</t>
  </si>
  <si>
    <t>FLAH</t>
  </si>
  <si>
    <t>2022-06-29T15:13:08Z</t>
  </si>
  <si>
    <t>5077436_1286782</t>
  </si>
  <si>
    <t>Helin Deniz Türkmen</t>
  </si>
  <si>
    <t>finished</t>
  </si>
  <si>
    <t>p_a9ebc0b621869fb512edcc5ed20cbc41e4890579@inbound.aiesec.org</t>
  </si>
  <si>
    <t>SAKARYA</t>
  </si>
  <si>
    <t>VIETNAM</t>
  </si>
  <si>
    <t>Hanoi</t>
  </si>
  <si>
    <t>https://expa.aiesec.org/opportunities/1286782</t>
  </si>
  <si>
    <t>long</t>
  </si>
  <si>
    <t>Being an English teacher with ATHENA INTERNATIONAL COOPERATION CO., LTD</t>
  </si>
  <si>
    <t>2022-06-28T09:58:59Z</t>
  </si>
  <si>
    <t>4847131_1287628</t>
  </si>
  <si>
    <t>Eya Rouissi</t>
  </si>
  <si>
    <t>p_11d495f0fa2365741b7cae2e8bb121fa2b889458@inbound.aiesec.org</t>
  </si>
  <si>
    <t>Carthage</t>
  </si>
  <si>
    <t>KOCAELI</t>
  </si>
  <si>
    <t>https://expa.aiesec.org/opportunities/1287628</t>
  </si>
  <si>
    <t>MSB</t>
  </si>
  <si>
    <t>2021-12-17T12:53:12Z</t>
  </si>
  <si>
    <t>5034294_1285687</t>
  </si>
  <si>
    <t>Fatima-Ezzahra ABOUNASR</t>
  </si>
  <si>
    <t>p_472534dee3a45602d4403493634c6ec770164176@inbound.aiesec.org</t>
  </si>
  <si>
    <t>Morocco</t>
  </si>
  <si>
    <t>Casablanca</t>
  </si>
  <si>
    <t>ISTANBUL</t>
  </si>
  <si>
    <t>https://expa.aiesec.org/opportunities/1285687</t>
  </si>
  <si>
    <t>Youth 4 Impact</t>
  </si>
  <si>
    <t>ISCAE Casablanca</t>
  </si>
  <si>
    <t>2022-04-10T17:45:56Z</t>
  </si>
  <si>
    <t>5034285_1287380</t>
  </si>
  <si>
    <t>Mouhamed Oussama Hidri</t>
  </si>
  <si>
    <t>p_5bfdf83e459068e97b9df245c856126cc9f62ecf@inbound.aiesec.org</t>
  </si>
  <si>
    <t>https://expa.aiesec.org/opportunities/1287380</t>
  </si>
  <si>
    <t>ISSEP</t>
  </si>
  <si>
    <t>2022-04-10T17:29:30Z</t>
  </si>
  <si>
    <t>5076772_1287558</t>
  </si>
  <si>
    <t>Sabrina Maffeo Sideris</t>
  </si>
  <si>
    <t>p_0ad6c00c86416f804d50aa8fd5f7046f29a38004@inbound.aiesec.org</t>
  </si>
  <si>
    <t>Spain</t>
  </si>
  <si>
    <t>Madrid</t>
  </si>
  <si>
    <t>ANTALYA</t>
  </si>
  <si>
    <t>https://expa.aiesec.org/opportunities/1287558</t>
  </si>
  <si>
    <t>Madrid - Graduados otros</t>
  </si>
  <si>
    <t>2022-06-26T13:47:47Z</t>
  </si>
  <si>
    <t>4519311_1287137</t>
  </si>
  <si>
    <t>Luiza Emanuela Batochi Galante</t>
  </si>
  <si>
    <t>p_3dcd323bfcbf91fc75cee46ae7b10ab0d7edb923@inbound.aiesec.org</t>
  </si>
  <si>
    <t>Brazil</t>
  </si>
  <si>
    <t>RIO DE JANEIRO</t>
  </si>
  <si>
    <t>ISTANBUL ASIA</t>
  </si>
  <si>
    <t>https://expa.aiesec.org/opportunities/1287137</t>
  </si>
  <si>
    <t>Volta Redonda</t>
  </si>
  <si>
    <t>2021-01-18T19:01:14Z</t>
  </si>
  <si>
    <t>2013892_1286822</t>
  </si>
  <si>
    <t>Ana Leonor Fernandes</t>
  </si>
  <si>
    <t>p_f423a5980e6c4fdb684a8c14a4229d5a9cf433f4@inbound.aiesec.org</t>
  </si>
  <si>
    <t>Portugal</t>
  </si>
  <si>
    <t>PORTO FEP</t>
  </si>
  <si>
    <t>https://expa.aiesec.org/opportunities/1286822</t>
  </si>
  <si>
    <t>Business Development</t>
  </si>
  <si>
    <t>International Relationship Director</t>
  </si>
  <si>
    <t>2018-02-01T22:17:35Z</t>
  </si>
  <si>
    <t>5078309_1287553</t>
  </si>
  <si>
    <t>eesa sader</t>
  </si>
  <si>
    <t>p_6a864b6ed9d9081681678727c1c995d5dd2feab3@inbound.aiesec.org</t>
  </si>
  <si>
    <t>Romania</t>
  </si>
  <si>
    <t>BUCURESTI</t>
  </si>
  <si>
    <t>https://expa.aiesec.org/opportunities/1287553</t>
  </si>
  <si>
    <t>Equify</t>
  </si>
  <si>
    <t>2022-06-30T10:08:21Z</t>
  </si>
  <si>
    <t>4580563_1284976</t>
  </si>
  <si>
    <t>Yomna Khedhira</t>
  </si>
  <si>
    <t>p_871a950354c3b41495d1cf83f1ecf16407929b34@inbound.aiesec.org</t>
  </si>
  <si>
    <t>BARDO</t>
  </si>
  <si>
    <t>ISPARTA</t>
  </si>
  <si>
    <t>https://expa.aiesec.org/opportunities/1284976</t>
  </si>
  <si>
    <t>TBS</t>
  </si>
  <si>
    <t>2021-03-16T13:14:11Z</t>
  </si>
  <si>
    <t>4582126_1286474</t>
  </si>
  <si>
    <t>Ceren Balay</t>
  </si>
  <si>
    <t>p_76e0134ca356840d930dadaf3771f9105d9dec42@inbound.aiesec.org</t>
  </si>
  <si>
    <t>Greece</t>
  </si>
  <si>
    <t>NKUA</t>
  </si>
  <si>
    <t>https://expa.aiesec.org/opportunities/1286474</t>
  </si>
  <si>
    <t>Customer Support Agent</t>
  </si>
  <si>
    <t>2021-03-17T17:36:10Z</t>
  </si>
  <si>
    <t>2829359_1287851</t>
  </si>
  <si>
    <t>Nezha Imane Mchaouar</t>
  </si>
  <si>
    <t>p_1c7a2359e80fe1e4a098ef6ea0d7259812c413d7@inbound.aiesec.org</t>
  </si>
  <si>
    <t>CLOSED ( Rabat )</t>
  </si>
  <si>
    <t>https://expa.aiesec.org/opportunities/1287851</t>
  </si>
  <si>
    <t>Heartbeat</t>
  </si>
  <si>
    <t>Other-RABAT</t>
  </si>
  <si>
    <t>2018-11-03T11:01:56Z</t>
  </si>
  <si>
    <t>4832044_1286879</t>
  </si>
  <si>
    <t>Öznur Şafak</t>
  </si>
  <si>
    <t>p_038cf9f7de023602a4b169ec149e3b37defca362@inbound.aiesec.org</t>
  </si>
  <si>
    <t>Cluj-Napoca</t>
  </si>
  <si>
    <t>https://expa.aiesec.org/opportunities/1286879</t>
  </si>
  <si>
    <t>Fingerprint</t>
  </si>
  <si>
    <t>2021-12-06T08:55:13Z</t>
  </si>
  <si>
    <t>4325716_1285681</t>
  </si>
  <si>
    <t>Luis Henrique Fernandes da Silva</t>
  </si>
  <si>
    <t>p_0e3456a82b77d3b3d43a6597fc6e4b347afeb269@inbound.aiesec.org</t>
  </si>
  <si>
    <t>SANTOS</t>
  </si>
  <si>
    <t>DENIZLI</t>
  </si>
  <si>
    <t>https://expa.aiesec.org/opportunities/1285681</t>
  </si>
  <si>
    <t>Santos</t>
  </si>
  <si>
    <t>2020-07-08T12:12:05Z</t>
  </si>
  <si>
    <t>5078407_1287128</t>
  </si>
  <si>
    <t>Alper Delibaş</t>
  </si>
  <si>
    <t>p_276c87977c4337c24e5daba46160a6ea938b50d8@inbound.aiesec.org</t>
  </si>
  <si>
    <t>https://expa.aiesec.org/opportunities/1287128</t>
  </si>
  <si>
    <t>ISTANBUL - BEYOGLU</t>
  </si>
  <si>
    <t>2022-06-30T15:00:26Z</t>
  </si>
  <si>
    <t>5077765_1283949</t>
  </si>
  <si>
    <t>benannur doğan</t>
  </si>
  <si>
    <t>approved</t>
  </si>
  <si>
    <t>p_c80034536720cf562111164e9e06c7568c51f62a@inbound.aiesec.org</t>
  </si>
  <si>
    <t>+905388939640</t>
  </si>
  <si>
    <t>Costa Rica</t>
  </si>
  <si>
    <t>MC Costa Rica</t>
  </si>
  <si>
    <t>https://expa.aiesec.org/opportunities/1283949</t>
  </si>
  <si>
    <t>Green Leaders</t>
  </si>
  <si>
    <t>2022-06-28T22:32:19Z</t>
  </si>
  <si>
    <t>5069119_1287558</t>
  </si>
  <si>
    <t>Mohamed Amine Dakhlia</t>
  </si>
  <si>
    <t>p_2a4b3b61df6232dceefc53eca1aff65a04371a48@inbound.aiesec.org</t>
  </si>
  <si>
    <t xml:space="preserve">ESPRIT El Ghazela </t>
  </si>
  <si>
    <t>2022-06-06T00:05:19Z</t>
  </si>
  <si>
    <t>5032474_1285265</t>
  </si>
  <si>
    <t>Ercan Altay Atmaca</t>
  </si>
  <si>
    <t>p_ff6aa106a04c2d139c7a220a8e9d41f73b7d42dd@inbound.aiesec.org</t>
  </si>
  <si>
    <t>Lithuania</t>
  </si>
  <si>
    <t>VILNIUS ISM</t>
  </si>
  <si>
    <t>https://expa.aiesec.org/opportunities/1285265</t>
  </si>
  <si>
    <t>2022-04-09T16:02:26Z</t>
  </si>
  <si>
    <t>3210636_1286732</t>
  </si>
  <si>
    <t>Mert Taha ORTANCA</t>
  </si>
  <si>
    <t>p_965db90756ce80fd61a1fc1999b6be1bdad5db65@inbound.aiesec.org</t>
  </si>
  <si>
    <t>Germany</t>
  </si>
  <si>
    <t>BONN</t>
  </si>
  <si>
    <t>https://expa.aiesec.org/opportunities/1286732</t>
  </si>
  <si>
    <t>Marketing</t>
  </si>
  <si>
    <t>Intern Global Marketing and Social Medias</t>
  </si>
  <si>
    <t>2019-03-12T13:56:01Z</t>
  </si>
  <si>
    <t>4732594_1287628</t>
  </si>
  <si>
    <t>Sheima Grami</t>
  </si>
  <si>
    <t>p_80aa70de8e49db9f480205e1ca053af1d6460878@inbound.aiesec.org</t>
  </si>
  <si>
    <t>ISAM Manouba</t>
  </si>
  <si>
    <t>2021-09-09T00:22:54Z</t>
  </si>
  <si>
    <t>4763355_1286879</t>
  </si>
  <si>
    <t>ikra çapcı</t>
  </si>
  <si>
    <t>p_0737f196a1724003c46ff3c1a5ea26cf463a12d3@inbound.aiesec.org</t>
  </si>
  <si>
    <t>2021-10-12T16:59:25Z</t>
  </si>
  <si>
    <t>5076222_1286047</t>
  </si>
  <si>
    <t>ali emre gültekin</t>
  </si>
  <si>
    <t>p_07fe3721d3444a6a7e945b06cb97d032846f4f5f@inbound.aiesec.org</t>
  </si>
  <si>
    <t>KONYA</t>
  </si>
  <si>
    <t>Serbia</t>
  </si>
  <si>
    <t>Belgrade Faculty of Economics (EF)</t>
  </si>
  <si>
    <t>https://expa.aiesec.org/opportunities/1286047</t>
  </si>
  <si>
    <t>Information Technology</t>
  </si>
  <si>
    <t>Game Designer</t>
  </si>
  <si>
    <t>2022-06-24T13:14:50Z</t>
  </si>
  <si>
    <t>5073553_1287017</t>
  </si>
  <si>
    <t>Ece Selin Ecer</t>
  </si>
  <si>
    <t>p_d48f85c4910e97fc7ee35e6a99745c99795e413e@inbound.aiesec.org</t>
  </si>
  <si>
    <t>Poland</t>
  </si>
  <si>
    <t>WARSZAWA SGH</t>
  </si>
  <si>
    <t>https://expa.aiesec.org/opportunities/1287017</t>
  </si>
  <si>
    <t>2022-06-16T20:11:23Z</t>
  </si>
  <si>
    <t>4628140_1287854</t>
  </si>
  <si>
    <t>Yasmine Zaatour</t>
  </si>
  <si>
    <t>p_0ae8dfb02c6fec2b7495617792b4b2ef0d30a013@inbound.aiesec.org</t>
  </si>
  <si>
    <t>SFAX</t>
  </si>
  <si>
    <t>https://expa.aiesec.org/opportunities/1287854</t>
  </si>
  <si>
    <t>ISIMS</t>
  </si>
  <si>
    <t>2021-04-24T18:25:35Z</t>
  </si>
  <si>
    <t>3835259_1284294</t>
  </si>
  <si>
    <t>Montaha Gharbi</t>
  </si>
  <si>
    <t>p_ece1830aaa87794e9466e365e972cb21a5db7ec5@inbound.aiesec.org</t>
  </si>
  <si>
    <t>RUSPINA</t>
  </si>
  <si>
    <t>https://expa.aiesec.org/opportunities/1284294</t>
  </si>
  <si>
    <t>English Teacher</t>
  </si>
  <si>
    <t>ISLAA Moknine</t>
  </si>
  <si>
    <t>2019-09-16T20:44:25Z</t>
  </si>
  <si>
    <t>5078707_1283834</t>
  </si>
  <si>
    <t>deleted 5078707</t>
  </si>
  <si>
    <t>realization_broken</t>
  </si>
  <si>
    <t>p_9762d12dc441022f268383e7ba1c8bc84b29df75@inbound.aiesec.org</t>
  </si>
  <si>
    <t>deleted phone number</t>
  </si>
  <si>
    <t>Algeria</t>
  </si>
  <si>
    <t>Babez</t>
  </si>
  <si>
    <t>GAZIANTEP</t>
  </si>
  <si>
    <t>https://expa.aiesec.org/opportunities/1283834</t>
  </si>
  <si>
    <t>AIESEC in Babez</t>
  </si>
  <si>
    <t>2022-07-01T11:14:23Z</t>
  </si>
  <si>
    <t>3900569_1282278</t>
  </si>
  <si>
    <t>Berke Can Kelleci</t>
  </si>
  <si>
    <t>p_0d36f249ae5108d985b48daea4fd1423ed2f9a55@inbound.aiesec.org</t>
  </si>
  <si>
    <t>https://expa.aiesec.org/opportunities/1282278</t>
  </si>
  <si>
    <t>2019-10-16T22:40:07Z</t>
  </si>
  <si>
    <t>3856876_1284307</t>
  </si>
  <si>
    <t>Abigail La Fuente</t>
  </si>
  <si>
    <t>p_bd0aa69850ed2dec38eeffd67a45734634ad1b86@inbound.aiesec.org</t>
  </si>
  <si>
    <t>Bolivia</t>
  </si>
  <si>
    <t>LA PAZ</t>
  </si>
  <si>
    <t>SAMSUN [Closed]</t>
  </si>
  <si>
    <t>https://expa.aiesec.org/opportunities/1284307</t>
  </si>
  <si>
    <t>La Paz - Universidad Privada del Valle (UNIVALLE)</t>
  </si>
  <si>
    <t>2019-09-26T19:01:32Z</t>
  </si>
  <si>
    <t>4881944_1288009</t>
  </si>
  <si>
    <t>Zeynep Sümer</t>
  </si>
  <si>
    <t>p_cb13702ef5b4f72b91266e85bddcf54a3a638942@inbound.aiesec.org</t>
  </si>
  <si>
    <t>Azerbaijan</t>
  </si>
  <si>
    <t>Baku Synergy</t>
  </si>
  <si>
    <t>https://expa.aiesec.org/opportunities/1288009</t>
  </si>
  <si>
    <t>2022-01-14T14:54:43Z</t>
  </si>
  <si>
    <t>5076506_1287855</t>
  </si>
  <si>
    <t>Yehia Saleh</t>
  </si>
  <si>
    <t>p_3f984c4719e16455745934ae17b2d8b97034eb2c@inbound.aiesec.org</t>
  </si>
  <si>
    <t>Egypt</t>
  </si>
  <si>
    <t>Tanta</t>
  </si>
  <si>
    <t>https://expa.aiesec.org/opportunities/1287855</t>
  </si>
  <si>
    <t>2022-06-25T12:42:04Z</t>
  </si>
  <si>
    <t>4986942_1287862</t>
  </si>
  <si>
    <t>Maroua Charef</t>
  </si>
  <si>
    <t>p_16253d2c236bc2c95abbd0d5aaf8656bc2b36eb6@inbound.aiesec.org</t>
  </si>
  <si>
    <t>Benak</t>
  </si>
  <si>
    <t>BURSA</t>
  </si>
  <si>
    <t>https://expa.aiesec.org/opportunities/1287862</t>
  </si>
  <si>
    <t>(Yıldırım) English Teacher</t>
  </si>
  <si>
    <t>AIESEC in Benak</t>
  </si>
  <si>
    <t>2022-03-16T10:41:17Z</t>
  </si>
  <si>
    <t>5063177_1287374</t>
  </si>
  <si>
    <t>Mariam Elfeky</t>
  </si>
  <si>
    <t>p_9b1b975d3888a80b1c2bb76414ca919181942f21@inbound.aiesec.org</t>
  </si>
  <si>
    <t>Zagazig</t>
  </si>
  <si>
    <t>https://expa.aiesec.org/opportunities/1287374</t>
  </si>
  <si>
    <t>English Teacher in Akhisar</t>
  </si>
  <si>
    <t>2022-05-24T14:34:11Z</t>
  </si>
  <si>
    <t>5068079_1274157</t>
  </si>
  <si>
    <t>Milana Taalaibekova</t>
  </si>
  <si>
    <t>p_03c5221318c823a34f12b06fc55f0e0098cf0b17@inbound.aiesec.org</t>
  </si>
  <si>
    <t>Kyrgyzstan</t>
  </si>
  <si>
    <t>Dragon</t>
  </si>
  <si>
    <t>https://expa.aiesec.org/opportunities/1274157</t>
  </si>
  <si>
    <t>Sales Manager in RPN</t>
  </si>
  <si>
    <t>2022-06-03T12:54:18Z</t>
  </si>
  <si>
    <t>5073601_1287460</t>
  </si>
  <si>
    <t>salih turgut</t>
  </si>
  <si>
    <t>p_960a81cf013d959fdc932e250f72f8929925c0a2@inbound.aiesec.org</t>
  </si>
  <si>
    <t>Pakistan</t>
  </si>
  <si>
    <t>Islamabad</t>
  </si>
  <si>
    <t>https://expa.aiesec.org/opportunities/1287460</t>
  </si>
  <si>
    <t xml:space="preserve">Social Media Manager  </t>
  </si>
  <si>
    <t>2022-06-16T23:14:27Z</t>
  </si>
  <si>
    <t>4991598_1287226</t>
  </si>
  <si>
    <t>oueslati feryel</t>
  </si>
  <si>
    <t>p_54e43e323d4ac84f4d6a42d78b52714f8b025966@inbound.aiesec.org</t>
  </si>
  <si>
    <t>https://expa.aiesec.org/opportunities/1287226</t>
  </si>
  <si>
    <t>IHEC Carthage</t>
  </si>
  <si>
    <t>2022-03-18T12:33:04Z</t>
  </si>
  <si>
    <t>3329326_1286880</t>
  </si>
  <si>
    <t>Halime ARSLAN</t>
  </si>
  <si>
    <t>p_9f8993aa175e8eb3135eea09c022c00f17871bb3@inbound.aiesec.org</t>
  </si>
  <si>
    <t>https://expa.aiesec.org/opportunities/1286880</t>
  </si>
  <si>
    <t>Finance</t>
  </si>
  <si>
    <t>Global CoE Robotic Process Automation Intern</t>
  </si>
  <si>
    <t>2019-04-14T12:06:02Z</t>
  </si>
  <si>
    <t>4198493_1286917</t>
  </si>
  <si>
    <t>Anh Hoang</t>
  </si>
  <si>
    <t>approval_broken</t>
  </si>
  <si>
    <t>p_7c9285f83dba0c1556db18a73acb0066fd8ec870@inbound.aiesec.org</t>
  </si>
  <si>
    <t>HAMBURG</t>
  </si>
  <si>
    <t>https://expa.aiesec.org/opportunities/1286917</t>
  </si>
  <si>
    <t>Rooted</t>
  </si>
  <si>
    <t>Hamburg</t>
  </si>
  <si>
    <t>2020-02-19T14:45:29Z</t>
  </si>
  <si>
    <t>5074143_1283891</t>
  </si>
  <si>
    <t>sirine amri</t>
  </si>
  <si>
    <t>p_56a8357b73d0a44e85280b92fb22562aec8bb1e5@inbound.aiesec.org</t>
  </si>
  <si>
    <t>https://expa.aiesec.org/opportunities/1283891</t>
  </si>
  <si>
    <t>Institut Supérieur des Études Appliquées en Humanités de Zaghouan</t>
  </si>
  <si>
    <t>2022-06-18T14:36:31Z</t>
  </si>
  <si>
    <t>4584872_1285932</t>
  </si>
  <si>
    <t>Imene Tanabene</t>
  </si>
  <si>
    <t>p_d1932c54ccee1cfc369e5956698cdcaa16839b8b@inbound.aiesec.org</t>
  </si>
  <si>
    <t>https://expa.aiesec.org/opportunities/1285932</t>
  </si>
  <si>
    <t>ISG Tunis</t>
  </si>
  <si>
    <t>2021-03-19T20:25:11Z</t>
  </si>
  <si>
    <t>2910825_1282450</t>
  </si>
  <si>
    <t>Ameni Maaroufi</t>
  </si>
  <si>
    <t>p_bbf906b8ff2fd48edb4768b37591adaf51074e43@inbound.aiesec.org</t>
  </si>
  <si>
    <t>https://expa.aiesec.org/opportunities/1282450</t>
  </si>
  <si>
    <t>FSHS Tunis</t>
  </si>
  <si>
    <t>2018-11-29T11:33:44Z</t>
  </si>
  <si>
    <t>4604925_1288149</t>
  </si>
  <si>
    <t>Kıvılcım Naz Böke</t>
  </si>
  <si>
    <t>p_90f31a398e9ac37da47aff651f00984c219d083f@inbound.aiesec.org</t>
  </si>
  <si>
    <t>GALATI</t>
  </si>
  <si>
    <t>https://expa.aiesec.org/opportunities/1288149</t>
  </si>
  <si>
    <t>2021-04-03T16:17:35Z</t>
  </si>
  <si>
    <t>5069917_1287475</t>
  </si>
  <si>
    <t>Dhia Eddine mahdaoui</t>
  </si>
  <si>
    <t>p_bcaff9eca7c48e3a29c3f9a75f674d8677c251b1@inbound.aiesec.org</t>
  </si>
  <si>
    <t>Bizerte</t>
  </si>
  <si>
    <t>https://expa.aiesec.org/opportunities/1287475</t>
  </si>
  <si>
    <t>Skill Up!</t>
  </si>
  <si>
    <t>FSB</t>
  </si>
  <si>
    <t>2022-06-07T22:29:27Z</t>
  </si>
  <si>
    <t>5081828_1285681</t>
  </si>
  <si>
    <t>Maram Awadi</t>
  </si>
  <si>
    <t>p_a3dd6a52aae1f5811e2cf0b1cd65b9e4b60b7db0@inbound.aiesec.org</t>
  </si>
  <si>
    <t>HADRUMET</t>
  </si>
  <si>
    <t>ISET Sousse</t>
  </si>
  <si>
    <t>2022-07-11T23:25:45Z</t>
  </si>
  <si>
    <t>5081804_1288279</t>
  </si>
  <si>
    <t>Roua Khiari</t>
  </si>
  <si>
    <t>p_59bcf091ba7c188f84c1fcd9d33ce507de82b609@inbound.aiesec.org</t>
  </si>
  <si>
    <t>https://expa.aiesec.org/opportunities/1288279</t>
  </si>
  <si>
    <t>FSEG sfax</t>
  </si>
  <si>
    <t>2022-07-11T20:54:06Z</t>
  </si>
  <si>
    <t>4674622_1287966</t>
  </si>
  <si>
    <t>Ben Nasr Ahlem</t>
  </si>
  <si>
    <t>p_4424908118f8a541ddac68b3c31051b8d09fb3ba@inbound.aiesec.org</t>
  </si>
  <si>
    <t>https://expa.aiesec.org/opportunities/1287966</t>
  </si>
  <si>
    <t>2021-06-23T14:03:43Z</t>
  </si>
  <si>
    <t>5047807_1286236</t>
  </si>
  <si>
    <t>Lynda Ben Hadj Kacem</t>
  </si>
  <si>
    <t>p_d233f2a619bc84734cdb3482a425d028c82827e1@inbound.aiesec.org</t>
  </si>
  <si>
    <t>https://expa.aiesec.org/opportunities/1286236</t>
  </si>
  <si>
    <t>2022-04-28T11:02:58Z</t>
  </si>
  <si>
    <t>2588088_1287459</t>
  </si>
  <si>
    <t>Eylem Torun</t>
  </si>
  <si>
    <t>p_45358bf0121fb0bcfcc44542533c65034260657d@inbound.aiesec.org</t>
  </si>
  <si>
    <t>Sri Lanka</t>
  </si>
  <si>
    <t>SLIIT</t>
  </si>
  <si>
    <t>https://expa.aiesec.org/opportunities/1287459</t>
  </si>
  <si>
    <t>Aquatica</t>
  </si>
  <si>
    <t>2018-09-27T16:40:38Z</t>
  </si>
  <si>
    <t>5057100_1287251</t>
  </si>
  <si>
    <t>Amila Purić</t>
  </si>
  <si>
    <t>p_ed2ea44a2da65e53e64e2e3868677163cac56f92@inbound.aiesec.org</t>
  </si>
  <si>
    <t>Bosnia and Herzegovina</t>
  </si>
  <si>
    <t>SARAJEVO</t>
  </si>
  <si>
    <t>https://expa.aiesec.org/opportunities/1287251</t>
  </si>
  <si>
    <t>Sarajevo</t>
  </si>
  <si>
    <t>2022-05-14T21:43:33Z</t>
  </si>
  <si>
    <t>3114061_1272564</t>
  </si>
  <si>
    <t>Isuru Dissanayake</t>
  </si>
  <si>
    <t>p_b0fbab2fd83d65a1baec5a37df9c2213bdcab3a3@inbound.aiesec.org</t>
  </si>
  <si>
    <t>COLOMBO NORTH</t>
  </si>
  <si>
    <t>https://expa.aiesec.org/opportunities/1272564</t>
  </si>
  <si>
    <t>University of Kelaniya</t>
  </si>
  <si>
    <t>2019-02-25T11:23:43Z</t>
  </si>
  <si>
    <t>5082425_1287864</t>
  </si>
  <si>
    <t>amane MADANİ</t>
  </si>
  <si>
    <t>p_e7e0af20062ef001f4036f2019351ec3305e0a27@inbound.aiesec.org</t>
  </si>
  <si>
    <t>Blida</t>
  </si>
  <si>
    <t>https://expa.aiesec.org/opportunities/1287864</t>
  </si>
  <si>
    <t>(İnegöl) English Teacher</t>
  </si>
  <si>
    <t>AIESEC in Blida</t>
  </si>
  <si>
    <t>2022-07-13T17:07:10Z</t>
  </si>
  <si>
    <t>3828811_1287851</t>
  </si>
  <si>
    <t>Mayssa Bazine</t>
  </si>
  <si>
    <t>p_cb04b9c5388a01df42e28984172471ab75ce174f@inbound.aiesec.org</t>
  </si>
  <si>
    <t>UNIVERSITY</t>
  </si>
  <si>
    <t xml:space="preserve">Central Santé </t>
  </si>
  <si>
    <t>2019-09-12T19:28:20Z</t>
  </si>
  <si>
    <t>2277166_1287097</t>
  </si>
  <si>
    <t>Franyili Payano valdez</t>
  </si>
  <si>
    <t>p_13abb2f2507126bf658156247fa68aa3d1576764@inbound.aiesec.org</t>
  </si>
  <si>
    <t>Dominican Republic</t>
  </si>
  <si>
    <t>PUCMM</t>
  </si>
  <si>
    <t>ESKISEHIR</t>
  </si>
  <si>
    <t>https://expa.aiesec.org/opportunities/1287097</t>
  </si>
  <si>
    <t>Universidad Tecnológica de Santiago (UTESA)</t>
  </si>
  <si>
    <t>2018-05-04T00:02:48Z</t>
  </si>
  <si>
    <t>1452156_1286875</t>
  </si>
  <si>
    <t>Tarık Tamer Tamer Çete</t>
  </si>
  <si>
    <t>p_5583ee170289c4a7d800ba5cdbabfadd9cd7f7b2@inbound.aiesec.org</t>
  </si>
  <si>
    <t>https://expa.aiesec.org/opportunities/1286875</t>
  </si>
  <si>
    <t>Other</t>
  </si>
  <si>
    <t>Intern Global Sourcing Digital Services and New Technologies</t>
  </si>
  <si>
    <t>2017-03-26T06:22:56Z</t>
  </si>
  <si>
    <t>5082699_1284485</t>
  </si>
  <si>
    <t>Elif Tezgel</t>
  </si>
  <si>
    <t>p_340ae36783e7899a63b9165306bd094e6cb84936@inbound.aiesec.org</t>
  </si>
  <si>
    <t>534 602 60 53</t>
  </si>
  <si>
    <t>Dehradun</t>
  </si>
  <si>
    <t>https://expa.aiesec.org/opportunities/1284485</t>
  </si>
  <si>
    <t>2022-07-14T15:12:49Z</t>
  </si>
  <si>
    <t>5082494_1284485</t>
  </si>
  <si>
    <t>rumeysa kazdal</t>
  </si>
  <si>
    <t>p_f9f450f5dbaff8f6274f124b53a06d0b41ede6b0@inbound.aiesec.org</t>
  </si>
  <si>
    <t>2022-07-13T22:11:12Z</t>
  </si>
  <si>
    <t>3851753_1284485</t>
  </si>
  <si>
    <t>p_9abfae5d791ab7545561e091044dbfb2d5eddff1@inbound.aiesec.org</t>
  </si>
  <si>
    <t>2019-09-24T16:27:34Z</t>
  </si>
  <si>
    <t>4758512_1287488</t>
  </si>
  <si>
    <t>Adolfo Isaac Segovia Poncelis</t>
  </si>
  <si>
    <t>p_548f5c9bf5fb68df3e75629e66a0710746621a59@inbound.aiesec.org</t>
  </si>
  <si>
    <t>Mexico</t>
  </si>
  <si>
    <t>UNAM</t>
  </si>
  <si>
    <t>https://expa.aiesec.org/opportunities/1287488</t>
  </si>
  <si>
    <t>2021-10-05T15:38:02Z</t>
  </si>
  <si>
    <t>3248900_1288245</t>
  </si>
  <si>
    <t>Asmaa Hosni</t>
  </si>
  <si>
    <t>p_763ae9bdeba195bdd5da37ea9f5b1598aeb12929@inbound.aiesec.org</t>
  </si>
  <si>
    <t>https://expa.aiesec.org/opportunities/1288245</t>
  </si>
  <si>
    <t>2019-03-21T10:34:50Z</t>
  </si>
  <si>
    <t>5068182_1287226</t>
  </si>
  <si>
    <t>Anushe Khan</t>
  </si>
  <si>
    <t>p_c605bc9a244357c516a97c2102713a04de3f1160@inbound.aiesec.org</t>
  </si>
  <si>
    <t>LUMS</t>
  </si>
  <si>
    <t xml:space="preserve">Lahore - LUMS </t>
  </si>
  <si>
    <t>2022-06-03T16:23:09Z</t>
  </si>
  <si>
    <t>5078362_1281236</t>
  </si>
  <si>
    <t>gaye baysal</t>
  </si>
  <si>
    <t>p_854a8e8139c7d132f786a8f6114b34b16148a35f@inbound.aiesec.org</t>
  </si>
  <si>
    <t>https://expa.aiesec.org/opportunities/1281236</t>
  </si>
  <si>
    <t>2022-06-30T12:53:53Z</t>
  </si>
  <si>
    <t>3939401_1278774</t>
  </si>
  <si>
    <t>MALEK BENBLI</t>
  </si>
  <si>
    <t>p_dd489670392ed5db603f5dce71dd304a978a1dba@inbound.aiesec.org</t>
  </si>
  <si>
    <t>https://expa.aiesec.org/opportunities/1278774</t>
  </si>
  <si>
    <t xml:space="preserve">English Teaching </t>
  </si>
  <si>
    <t>ISLT</t>
  </si>
  <si>
    <t>2019-10-31T12:05:51Z</t>
  </si>
  <si>
    <t>5056654_1287863</t>
  </si>
  <si>
    <t>Aida Abzhapbarova</t>
  </si>
  <si>
    <t>p_bf5bc3eb5aeec3ff3dc8d593b1d36c945a4889e4@inbound.aiesec.org</t>
  </si>
  <si>
    <t>Kazakhstan</t>
  </si>
  <si>
    <t>ALMATY</t>
  </si>
  <si>
    <t>https://expa.aiesec.org/opportunities/1287863</t>
  </si>
  <si>
    <t xml:space="preserve">(Çamlıca) English Teacher </t>
  </si>
  <si>
    <t>Almaty</t>
  </si>
  <si>
    <t>2022-05-14T06:39:43Z</t>
  </si>
  <si>
    <t>5082394_1287459</t>
  </si>
  <si>
    <t>Begüm Şentürk</t>
  </si>
  <si>
    <t>p_4b83369b2770185913ff3fcb333ad778cf7cd647@inbound.aiesec.org</t>
  </si>
  <si>
    <t>2022-07-13T15:20:14Z</t>
  </si>
  <si>
    <t>4601157_1287662</t>
  </si>
  <si>
    <t>Yomna Emad Abdalla Mohamed</t>
  </si>
  <si>
    <t>p_2426436311664fbfe00bb636ba401846feb15d70@inbound.aiesec.org</t>
  </si>
  <si>
    <t>https://expa.aiesec.org/opportunities/1287662</t>
  </si>
  <si>
    <t>2021-03-31T17:18:39Z</t>
  </si>
  <si>
    <t>5083157_1281231</t>
  </si>
  <si>
    <t>Kürşat Mete Akansel</t>
  </si>
  <si>
    <t>p_8599b0e2e5691446b8913c1ce4051de8db9a3191@inbound.aiesec.org</t>
  </si>
  <si>
    <t>https://expa.aiesec.org/opportunities/1281231</t>
  </si>
  <si>
    <t>2022-07-16T08:18:43Z</t>
  </si>
  <si>
    <t>4916939_1281231</t>
  </si>
  <si>
    <t>Ecem Özselgin</t>
  </si>
  <si>
    <t>p_114dd3953b3ded792ad1c7842516fd83b7adecf0@inbound.aiesec.org</t>
  </si>
  <si>
    <t>2022-02-06T19:29:04Z</t>
  </si>
  <si>
    <t>5064175_1288257</t>
  </si>
  <si>
    <t>Zainam Naushad</t>
  </si>
  <si>
    <t>p_01c0a314856acb32d76752389b46d698ee4b2fc0@inbound.aiesec.org</t>
  </si>
  <si>
    <t>NSBM</t>
  </si>
  <si>
    <t>https://expa.aiesec.org/opportunities/1288257</t>
  </si>
  <si>
    <t>NSBM Green University</t>
  </si>
  <si>
    <t>2022-05-26T12:32:42Z</t>
  </si>
  <si>
    <t>1840055_1287852</t>
  </si>
  <si>
    <t>Sezen Gökmen</t>
  </si>
  <si>
    <t>p_795d755ac7b7df0f17bb810e598a4a2d4d8fa0af@inbound.aiesec.org</t>
  </si>
  <si>
    <t>Bologna</t>
  </si>
  <si>
    <t>https://expa.aiesec.org/opportunities/1287852</t>
  </si>
  <si>
    <t>2017-11-01T16:30:59Z</t>
  </si>
  <si>
    <t>5080543_1287161</t>
  </si>
  <si>
    <t>Esra Akçiçek</t>
  </si>
  <si>
    <t>p_2319cdb1123ffc9f6748f39757892632f9062782@inbound.aiesec.org</t>
  </si>
  <si>
    <t>https://expa.aiesec.org/opportunities/1287161</t>
  </si>
  <si>
    <t>IZMIR</t>
  </si>
  <si>
    <t>2022-07-07T09:39:59Z</t>
  </si>
  <si>
    <t>4482265_1286911</t>
  </si>
  <si>
    <t>Alieu Jawo</t>
  </si>
  <si>
    <t>p_30963db8ce83b419d81a6ba8ef73a5bf2c0ea726@inbound.aiesec.org</t>
  </si>
  <si>
    <t>ISTANBUL WEST</t>
  </si>
  <si>
    <t>WROCLAW UE</t>
  </si>
  <si>
    <t>https://expa.aiesec.org/opportunities/1286911</t>
  </si>
  <si>
    <t>ISTANBUL - BAKIRKOY</t>
  </si>
  <si>
    <t>2020-12-14T13:04:37Z</t>
  </si>
  <si>
    <t>3219232_1287861</t>
  </si>
  <si>
    <t>Oubaida Abderrahmane Baara</t>
  </si>
  <si>
    <t>p_e57d2e9b165225720516d78371a22fa85221121e@inbound.aiesec.org</t>
  </si>
  <si>
    <t>https://expa.aiesec.org/opportunities/1287861</t>
  </si>
  <si>
    <t xml:space="preserve">(Özlüce) English Teacher </t>
  </si>
  <si>
    <t>2019-03-14T09:31:32Z</t>
  </si>
  <si>
    <t>3936205_1287861</t>
  </si>
  <si>
    <t>Rahmouna Noudjoud Boudali</t>
  </si>
  <si>
    <t>p_4dfa90fcf46819e89cd47acad7be17584c09fa80@inbound.aiesec.org</t>
  </si>
  <si>
    <t>2019-10-30T09:47:16Z</t>
  </si>
  <si>
    <t>4847317_1288280</t>
  </si>
  <si>
    <t>Rana Hussein</t>
  </si>
  <si>
    <t>p_f4b6503c0a7882494767eba97656dbf2c383a04b@inbound.aiesec.org</t>
  </si>
  <si>
    <t>Luxor &amp; Aswan (Closed)</t>
  </si>
  <si>
    <t>https://expa.aiesec.org/opportunities/1288280</t>
  </si>
  <si>
    <t>Aswan</t>
  </si>
  <si>
    <t>2021-12-18T03:28:18Z</t>
  </si>
  <si>
    <t>5077294_1272564</t>
  </si>
  <si>
    <t>Arwa Ahmed</t>
  </si>
  <si>
    <t>p_196ec912f3d9ed6e6944ae92a104ec24999248a2@inbound.aiesec.org</t>
  </si>
  <si>
    <t>Sohag</t>
  </si>
  <si>
    <t>2022-06-27T21:49:23Z</t>
  </si>
  <si>
    <t>4147938_1287181</t>
  </si>
  <si>
    <t>Emna Ben khalifa</t>
  </si>
  <si>
    <t>p_0cabefd9516923039c73ccc513c83eaf04a59347@inbound.aiesec.org</t>
  </si>
  <si>
    <t>https://expa.aiesec.org/opportunities/1287181</t>
  </si>
  <si>
    <t>FSJPST</t>
  </si>
  <si>
    <t>2020-01-20T10:19:35Z</t>
  </si>
  <si>
    <t>4827476_1288393</t>
  </si>
  <si>
    <t>Wassim Cherif</t>
  </si>
  <si>
    <t>p_08cecc52398c61a5204a3870b5bb2e0213b68fcb@inbound.aiesec.org</t>
  </si>
  <si>
    <t>https://expa.aiesec.org/opportunities/1288393</t>
  </si>
  <si>
    <t>2021-12-02T17:42:33Z</t>
  </si>
  <si>
    <t>4833859_1286235</t>
  </si>
  <si>
    <t>Imen Elbouali</t>
  </si>
  <si>
    <t>p_6897f74d3db153c7d00f81c82cdf09475bf37073@inbound.aiesec.org</t>
  </si>
  <si>
    <t>https://expa.aiesec.org/opportunities/1286235</t>
  </si>
  <si>
    <t>ISCAE Mannouba</t>
  </si>
  <si>
    <t>2021-12-07T17:59:11Z</t>
  </si>
  <si>
    <t>5080305_1288299</t>
  </si>
  <si>
    <t>Menna Hosam</t>
  </si>
  <si>
    <t>p_3b851a7fb1ce8d951cdb20f75a4fb5506e41dfda@inbound.aiesec.org</t>
  </si>
  <si>
    <t>GUC</t>
  </si>
  <si>
    <t>https://expa.aiesec.org/opportunities/1288299</t>
  </si>
  <si>
    <t>2022-07-06T15:44:40Z</t>
  </si>
  <si>
    <t>5079653_1286378</t>
  </si>
  <si>
    <t>ibrahim karaosmanoğlu</t>
  </si>
  <si>
    <t>p_54c97133dd51dc722c5977f89bb5f5dee57c78f4@inbound.aiesec.org</t>
  </si>
  <si>
    <t>NABEL</t>
  </si>
  <si>
    <t>https://expa.aiesec.org/opportunities/1286378</t>
  </si>
  <si>
    <t>2022-07-04T18:03:52Z</t>
  </si>
  <si>
    <t>4628302_1273874</t>
  </si>
  <si>
    <t>Aya Teber</t>
  </si>
  <si>
    <t>p_18ca40a9731de4ae11179812b77c4896d4b942e0@inbound.aiesec.org</t>
  </si>
  <si>
    <t>https://expa.aiesec.org/opportunities/1273874</t>
  </si>
  <si>
    <t>Yeşil Vadi English Teacher</t>
  </si>
  <si>
    <t>2021-04-24T23:20:26Z</t>
  </si>
  <si>
    <t>5079651_1287174</t>
  </si>
  <si>
    <t>Aydan Mammadli</t>
  </si>
  <si>
    <t>p_615bb4943163ffb666f73bb38d31727f1d1cf49d@inbound.aiesec.org</t>
  </si>
  <si>
    <t>Baku Qafqaz</t>
  </si>
  <si>
    <t>https://expa.aiesec.org/opportunities/1287174</t>
  </si>
  <si>
    <t>Baku Engineering University</t>
  </si>
  <si>
    <t>2022-07-04T18:00:57Z</t>
  </si>
  <si>
    <t>5073941_1288280</t>
  </si>
  <si>
    <t>Hareem Fatima</t>
  </si>
  <si>
    <t>p_02efc14e6e9efa1bfd1a3834f79e427f653f734b@inbound.aiesec.org</t>
  </si>
  <si>
    <t xml:space="preserve">Islamabad - Bahria University </t>
  </si>
  <si>
    <t>2022-06-17T21:16:55Z</t>
  </si>
  <si>
    <t>5079425_1287925</t>
  </si>
  <si>
    <t>Boutaina Atmani</t>
  </si>
  <si>
    <t>p_1e77d70d5e47cde17b97af2282bd5f6b9fa5d62a@inbound.aiesec.org</t>
  </si>
  <si>
    <t>Meknes</t>
  </si>
  <si>
    <t>https://expa.aiesec.org/opportunities/1287925</t>
  </si>
  <si>
    <t>2022-07-03T23:00:45Z</t>
  </si>
  <si>
    <t>5068566_1272564</t>
  </si>
  <si>
    <t>MAYA ELMASRY</t>
  </si>
  <si>
    <t>p_e4476e81947c67bfb7a211481af6cc97bdbff19c@inbound.aiesec.org</t>
  </si>
  <si>
    <t>MSA</t>
  </si>
  <si>
    <t>MSA Univeristy</t>
  </si>
  <si>
    <t>2022-06-04T15:08:51Z</t>
  </si>
  <si>
    <t>3330350_1288226</t>
  </si>
  <si>
    <t>Ilayda Özel</t>
  </si>
  <si>
    <t>p_c4ec854fa171e28898ca468f0a5875fb60448211@inbound.aiesec.org</t>
  </si>
  <si>
    <t>https://expa.aiesec.org/opportunities/1288226</t>
  </si>
  <si>
    <t>Raise Your Voice</t>
  </si>
  <si>
    <t>2019-04-14T19:21:38Z</t>
  </si>
  <si>
    <t>4809435_1288226</t>
  </si>
  <si>
    <t>Göktay İncekara</t>
  </si>
  <si>
    <t>p_66efe1f3da6e08bb2c43ec0303c0f8ba0c391512@inbound.aiesec.org</t>
  </si>
  <si>
    <t>2021-11-20T19:41:24Z</t>
  </si>
  <si>
    <t>5083678_1286716</t>
  </si>
  <si>
    <t>Ruken Ay</t>
  </si>
  <si>
    <t>p_28316a04f95fb70b6945e6df09f43b3d60a25e09@inbound.aiesec.org</t>
  </si>
  <si>
    <t>https://expa.aiesec.org/opportunities/1286716</t>
  </si>
  <si>
    <t>2022-07-18T13:51:47Z</t>
  </si>
  <si>
    <t>4408989_1288431</t>
  </si>
  <si>
    <t>Nassim El aziz</t>
  </si>
  <si>
    <t>p_7eda68cdfaa854bc25dde01f188fa2ecd36d1915@inbound.aiesec.org</t>
  </si>
  <si>
    <t>Morocco (MC)</t>
  </si>
  <si>
    <t>https://expa.aiesec.org/opportunities/1288431</t>
  </si>
  <si>
    <t>Export Sales Specialist in MICROPUL Company</t>
  </si>
  <si>
    <t>Other-EL JADIDA</t>
  </si>
  <si>
    <t>2020-10-28T11:01:10Z</t>
  </si>
  <si>
    <t>5083511_1288265</t>
  </si>
  <si>
    <t>Yassine Romdhane</t>
  </si>
  <si>
    <t>p_40c165360edabd6db6a73e21399e33b04d7fb178@inbound.aiesec.org</t>
  </si>
  <si>
    <t>https://expa.aiesec.org/opportunities/1288265</t>
  </si>
  <si>
    <t>Centrale IT</t>
  </si>
  <si>
    <t>2022-07-17T20:42:44Z</t>
  </si>
  <si>
    <t>5083298_1286228</t>
  </si>
  <si>
    <t>Marco Rodrigo Huanqui Cornejo</t>
  </si>
  <si>
    <t>p_fe5e48e1cc7d3970bf348c9ba77830c994456e6b@inbound.aiesec.org</t>
  </si>
  <si>
    <t>Peru</t>
  </si>
  <si>
    <t>Arequipa</t>
  </si>
  <si>
    <t>https://expa.aiesec.org/opportunities/1286228</t>
  </si>
  <si>
    <t>Arequipa - Universidad Católica de Santa María</t>
  </si>
  <si>
    <t>2022-07-16T19:48:04Z</t>
  </si>
  <si>
    <t>4991991_1287940</t>
  </si>
  <si>
    <t>Alkın Kaan Şahin</t>
  </si>
  <si>
    <t>p_094771f3a5bbcb0153069fea94068d535549319f@inbound.aiesec.org</t>
  </si>
  <si>
    <t>https://expa.aiesec.org/opportunities/1287940</t>
  </si>
  <si>
    <t>2022-03-18T21:56:48Z</t>
  </si>
  <si>
    <t>5059690_1288299</t>
  </si>
  <si>
    <t>Elhussein Sabri</t>
  </si>
  <si>
    <t>p_ef05ee51c8a982b96fce3d907ab63f4731729203@inbound.aiesec.org</t>
  </si>
  <si>
    <t>Alexandria</t>
  </si>
  <si>
    <t>Alexandria University</t>
  </si>
  <si>
    <t>2022-05-19T00:59:10Z</t>
  </si>
  <si>
    <t>5079019_1267071</t>
  </si>
  <si>
    <t>Tuna ÖZDEMİR</t>
  </si>
  <si>
    <t>p_d6e8d5256e7c8f243141c3f10b1fec8c2d9af731@inbound.aiesec.org</t>
  </si>
  <si>
    <t>Bari</t>
  </si>
  <si>
    <t>https://expa.aiesec.org/opportunities/1267071</t>
  </si>
  <si>
    <t>InteGreat in Lecce</t>
  </si>
  <si>
    <t>2022-07-02T11:13:16Z</t>
  </si>
  <si>
    <t>4364060_1287925</t>
  </si>
  <si>
    <t>Cheima Letaief</t>
  </si>
  <si>
    <t>p_48bd9bdfcfd2de393151e8b5a815b7bf44702725@inbound.aiesec.org</t>
  </si>
  <si>
    <t>ISSAT Sousse</t>
  </si>
  <si>
    <t>2020-09-08T18:05:14Z</t>
  </si>
  <si>
    <t>5066803_1288393</t>
  </si>
  <si>
    <t>Engy Ehab</t>
  </si>
  <si>
    <t>p_e36b7d1fb7e7ae793a12d2f7a6b01eee630c0c3a@inbound.aiesec.org</t>
  </si>
  <si>
    <t>MUST</t>
  </si>
  <si>
    <t>MUST University</t>
  </si>
  <si>
    <t>2022-05-31T22:04:23Z</t>
  </si>
  <si>
    <t>5079042_1287174</t>
  </si>
  <si>
    <t>Nabi Nabiyev</t>
  </si>
  <si>
    <t>p_4188970d8fe2dc6caa2f7431560caa7d74e9f35d@inbound.aiesec.org</t>
  </si>
  <si>
    <t>Baku ADA</t>
  </si>
  <si>
    <t>Azerbaijan State Oil and Industry University</t>
  </si>
  <si>
    <t>2022-07-02T12:13:42Z</t>
  </si>
  <si>
    <t>5082758_1288378</t>
  </si>
  <si>
    <t>Илья Максимов</t>
  </si>
  <si>
    <t>p_68333da03350d1f90fab1f328e6a0ffe2378b43a@inbound.aiesec.org</t>
  </si>
  <si>
    <t>https://expa.aiesec.org/opportunities/1288378</t>
  </si>
  <si>
    <t>Graphic Designer in Cleopatra INK</t>
  </si>
  <si>
    <t>2022-07-14T19:28:37Z</t>
  </si>
  <si>
    <t>5085002_1268611</t>
  </si>
  <si>
    <t>Maya SAIDANI</t>
  </si>
  <si>
    <t>realized</t>
  </si>
  <si>
    <t>p_7ca3948c06f9a5df19f516ce5b1863e207aaab78@inbound.aiesec.org</t>
  </si>
  <si>
    <t>https://expa.aiesec.org/opportunities/1268611</t>
  </si>
  <si>
    <t>Tele Sales Agent ( French Speaker)</t>
  </si>
  <si>
    <t>2022-07-22T12:36:27Z</t>
  </si>
  <si>
    <t>4100758_1287942</t>
  </si>
  <si>
    <t>Chams Souidi</t>
  </si>
  <si>
    <t>p_02b23428f740f9ebe78271ca9ea9b9e5d96da4d9@inbound.aiesec.org</t>
  </si>
  <si>
    <t>https://expa.aiesec.org/opportunities/1287942</t>
  </si>
  <si>
    <t>Kindergarten English Teacher</t>
  </si>
  <si>
    <t>2019-12-15T20:19:49Z</t>
  </si>
  <si>
    <t>5083645_1268611</t>
  </si>
  <si>
    <t>jonathan bambu</t>
  </si>
  <si>
    <t>p_6b917d71747f549f2b20b84cf3cae9d68f880e68@inbound.aiesec.org</t>
  </si>
  <si>
    <t>Cote D'Ivoire</t>
  </si>
  <si>
    <t>ABIDJAN SUD</t>
  </si>
  <si>
    <t>LC ABIDJAN SUD</t>
  </si>
  <si>
    <t>2022-07-18T12:30:26Z</t>
  </si>
  <si>
    <t>4538339_1287943</t>
  </si>
  <si>
    <t>Wiame El bakir</t>
  </si>
  <si>
    <t>p_db36bd552d5698f92a8e64d9e340bfc318a96732@inbound.aiesec.org</t>
  </si>
  <si>
    <t>https://expa.aiesec.org/opportunities/1287943</t>
  </si>
  <si>
    <t>Market Development Specialist</t>
  </si>
  <si>
    <t>SupdeCo Marrakech</t>
  </si>
  <si>
    <t>2021-02-09T12:12:17Z</t>
  </si>
  <si>
    <t>2140835_1288436</t>
  </si>
  <si>
    <t>rakia korbi</t>
  </si>
  <si>
    <t>p_ad665ef345ca3d62ef80f959d8951c55607b9898@inbound.aiesec.org</t>
  </si>
  <si>
    <t>https://expa.aiesec.org/opportunities/1288436</t>
  </si>
  <si>
    <t>2018-03-24T14:48:12Z</t>
  </si>
  <si>
    <t>5084205_1281061</t>
  </si>
  <si>
    <t>duru boyvat</t>
  </si>
  <si>
    <t>p_d8159f71470a945c0b3a7a8dd741c46643f501f1@inbound.aiesec.org</t>
  </si>
  <si>
    <t>Mumbai</t>
  </si>
  <si>
    <t>https://expa.aiesec.org/opportunities/1281061</t>
  </si>
  <si>
    <t>2022-07-19T22:07:37Z</t>
  </si>
  <si>
    <t>4901551_1288279</t>
  </si>
  <si>
    <t>noor ul ain</t>
  </si>
  <si>
    <t>p_49f2b22a58e20984b7c9680937ea217663b6e0de@inbound.aiesec.org</t>
  </si>
  <si>
    <t>Islamabad - National Defence University (NDU)</t>
  </si>
  <si>
    <t>2022-01-27T17:46:12Z</t>
  </si>
  <si>
    <t>4744716_1287226</t>
  </si>
  <si>
    <t>Hafsa El ghouri</t>
  </si>
  <si>
    <t>p_3e8ae8d255e1372f01e954a06df2567a1d1096b6@inbound.aiesec.org</t>
  </si>
  <si>
    <t>Tangier</t>
  </si>
  <si>
    <t>FSJES Tanger</t>
  </si>
  <si>
    <t>2021-09-21T17:45:28Z</t>
  </si>
  <si>
    <t>1406990_1287569</t>
  </si>
  <si>
    <t>Melik Maria</t>
  </si>
  <si>
    <t>p_c7c87618128802c279b101fd35a478dda6cadcd9@inbound.aiesec.org</t>
  </si>
  <si>
    <t>Ouargla</t>
  </si>
  <si>
    <t>https://expa.aiesec.org/opportunities/1287569</t>
  </si>
  <si>
    <t>2017-03-10T14:27:41Z</t>
  </si>
  <si>
    <t>4222295_1279516</t>
  </si>
  <si>
    <t>Saiefeddine Azaiez</t>
  </si>
  <si>
    <t>p_2da9c854370784a070383d29c59c8faaceffd810@inbound.aiesec.org</t>
  </si>
  <si>
    <t>https://expa.aiesec.org/opportunities/1279516</t>
  </si>
  <si>
    <t>ESSTHS</t>
  </si>
  <si>
    <t>2020-02-28T12:50:12Z</t>
  </si>
  <si>
    <t>1977062_1287785</t>
  </si>
  <si>
    <t>Groni Romaissa Rahil</t>
  </si>
  <si>
    <t>p_c60cf3949b51b62762cc282ae9859d6a8a935a2f@inbound.aiesec.org</t>
  </si>
  <si>
    <t>https://expa.aiesec.org/opportunities/1287785</t>
  </si>
  <si>
    <t>Child Care Assistant English Teacher at İstanbul Akıl Kulesi</t>
  </si>
  <si>
    <t>2017-12-31T20:43:23Z</t>
  </si>
  <si>
    <t>5082096_1287247</t>
  </si>
  <si>
    <t>Melisa Acımış</t>
  </si>
  <si>
    <t>p_6cfd49301b1147a07cd86d4653307721a3e1e297@inbound.aiesec.org</t>
  </si>
  <si>
    <t>https://expa.aiesec.org/opportunities/1287247</t>
  </si>
  <si>
    <t>2022-07-12T18:26:15Z</t>
  </si>
  <si>
    <t>4991376_1285358</t>
  </si>
  <si>
    <t>Humay Charyyeva</t>
  </si>
  <si>
    <t>p_229725a70071c61fa700a3fd174b0d61a002d299@inbound.aiesec.org</t>
  </si>
  <si>
    <t>Ho Chi Minh City</t>
  </si>
  <si>
    <t>https://expa.aiesec.org/opportunities/1285358</t>
  </si>
  <si>
    <t>TEACHING ENGLISH IN HO CHI MINH CITY</t>
  </si>
  <si>
    <t>2022-03-18T08:38:50Z</t>
  </si>
  <si>
    <t>4370628_1287536</t>
  </si>
  <si>
    <t>Berna Sevinç</t>
  </si>
  <si>
    <t>p_f10dbfb549d53e89ec52493706dc5c9cbe4cb11f@inbound.aiesec.org</t>
  </si>
  <si>
    <t>https://expa.aiesec.org/opportunities/1287536</t>
  </si>
  <si>
    <t>2020-09-16T20:58:24Z</t>
  </si>
  <si>
    <t>5085944_1262994</t>
  </si>
  <si>
    <t>ali abdelgalil</t>
  </si>
  <si>
    <t>p_47982c5a1d152336ff358a3f78829bd2a81c1875@inbound.aiesec.org</t>
  </si>
  <si>
    <t>Ain Shams University</t>
  </si>
  <si>
    <t>https://expa.aiesec.org/opportunities/1262994</t>
  </si>
  <si>
    <t xml:space="preserve">English Teacher </t>
  </si>
  <si>
    <t>Azhar University</t>
  </si>
  <si>
    <t>2022-07-26T08:48:58Z</t>
  </si>
  <si>
    <t>5085409_1281061</t>
  </si>
  <si>
    <t>Aysen Degirmen</t>
  </si>
  <si>
    <t>p_f686f6fa72fbf129e100bb35bebd17fd6ddb58b9@inbound.aiesec.org</t>
  </si>
  <si>
    <t>2022-07-24T11:06:22Z</t>
  </si>
  <si>
    <t>5084329_1287251</t>
  </si>
  <si>
    <t>Hiruni Koralegedara</t>
  </si>
  <si>
    <t>p_28fe99dc3f6d05aa8976f9fa340a139d6265771b@inbound.aiesec.org</t>
  </si>
  <si>
    <t>2022-07-20T09:17:05Z</t>
  </si>
  <si>
    <t>5083421_1287181</t>
  </si>
  <si>
    <t>Adem Zarrouk</t>
  </si>
  <si>
    <t>p_7fc8d02498cffaa5025a19d17a91025c09b3fd8e@inbound.aiesec.org</t>
  </si>
  <si>
    <t>ESSECT</t>
  </si>
  <si>
    <t>2022-07-17T14:23:26Z</t>
  </si>
  <si>
    <t>4406044_1272564</t>
  </si>
  <si>
    <t>Salma Elsherief</t>
  </si>
  <si>
    <t>p_859daad9762a1c5f88652d0fa57c5fe4d57eb15a@inbound.aiesec.org</t>
  </si>
  <si>
    <t>2020-10-24T17:05:13Z</t>
  </si>
  <si>
    <t>4667589_1278703</t>
  </si>
  <si>
    <t>sandra kwimba</t>
  </si>
  <si>
    <t>p_279af05a80a9908079c0487bfee888a28b28424e@inbound.aiesec.org</t>
  </si>
  <si>
    <t>Kenya</t>
  </si>
  <si>
    <t>DAYSTAR</t>
  </si>
  <si>
    <t>https://expa.aiesec.org/opportunities/1278703</t>
  </si>
  <si>
    <t>Kindergarden Teacher in Rengin  Anaokulu</t>
  </si>
  <si>
    <t>Daystar University</t>
  </si>
  <si>
    <t>2021-06-14T20:16:16Z</t>
  </si>
  <si>
    <t>5039129_1286641</t>
  </si>
  <si>
    <t>Enes Ayduran</t>
  </si>
  <si>
    <t>p_af55b7ca28b5325cc414444e9ccf2a45ba0fdb01@inbound.aiesec.org</t>
  </si>
  <si>
    <t>Austria</t>
  </si>
  <si>
    <t>GRAZ</t>
  </si>
  <si>
    <t>https://expa.aiesec.org/opportunities/1286641</t>
  </si>
  <si>
    <t>Developer (Embedded Robotics or Back/Frontend)</t>
  </si>
  <si>
    <t>2022-04-14T16:29:17Z</t>
  </si>
  <si>
    <t>4378743_1286326</t>
  </si>
  <si>
    <t>Anass MOUSSAOUI</t>
  </si>
  <si>
    <t>p_f625fd49710bbe3415747163732db1e9ec8dc745@inbound.aiesec.org</t>
  </si>
  <si>
    <t>France</t>
  </si>
  <si>
    <t>MC France</t>
  </si>
  <si>
    <t>https://expa.aiesec.org/opportunities/1286326</t>
  </si>
  <si>
    <t>Bordeaux - KEDGE Bordeaux</t>
  </si>
  <si>
    <t>2020-09-25T13:12:51Z</t>
  </si>
  <si>
    <t>5046074_1287137</t>
  </si>
  <si>
    <t>Houssam Chouai</t>
  </si>
  <si>
    <t>p_f9b384477d22bcf438d1753327e023cbf29374bf@inbound.aiesec.org</t>
  </si>
  <si>
    <t>2022-04-26T00:24:07Z</t>
  </si>
  <si>
    <t>5086138_1286837</t>
  </si>
  <si>
    <t>Khaoula Ben alaya</t>
  </si>
  <si>
    <t>p_05e0caed356c6912cc0a98da1c8755c39930a49a@inbound.aiesec.org</t>
  </si>
  <si>
    <t>https://expa.aiesec.org/opportunities/1286837</t>
  </si>
  <si>
    <t>Pre-School Teacher at Istanbul AIKA/Beylikdüzü</t>
  </si>
  <si>
    <t>ISSHT</t>
  </si>
  <si>
    <t>2022-07-26T18:54:25Z</t>
  </si>
  <si>
    <t>5085768_1286344</t>
  </si>
  <si>
    <t>hana olwy</t>
  </si>
  <si>
    <t>p_20381113238744b261886b2b6fc601b5e9e3e457@inbound.aiesec.org</t>
  </si>
  <si>
    <t>Cairo University</t>
  </si>
  <si>
    <t>https://expa.aiesec.org/opportunities/1286344</t>
  </si>
  <si>
    <t>Cairo Univeristy</t>
  </si>
  <si>
    <t>2022-07-25T16:31:43Z</t>
  </si>
  <si>
    <t>5083420_1287181</t>
  </si>
  <si>
    <t>Oumaima Kochat</t>
  </si>
  <si>
    <t>p_e3ec8a928d253ff2cf6b9d5efb0b3ef7eb0160b5@inbound.aiesec.org</t>
  </si>
  <si>
    <t>2022-07-17T14:23:20Z</t>
  </si>
  <si>
    <t>5084175_1287475</t>
  </si>
  <si>
    <t>sfaxi houssem eddine</t>
  </si>
  <si>
    <t>p_a1dc547d6344534ad870068be8e8aa364cd63ff2@inbound.aiesec.org</t>
  </si>
  <si>
    <t>2022-07-19T20:42:04Z</t>
  </si>
  <si>
    <t>3904884_1288101</t>
  </si>
  <si>
    <t>Choali Khaoula</t>
  </si>
  <si>
    <t>p_f135aac502bbd77bc0abc1b5f7b660d9fabbcde7@inbound.aiesec.org</t>
  </si>
  <si>
    <t>https://expa.aiesec.org/opportunities/1288101</t>
  </si>
  <si>
    <t>Marketing Manager in Izmir</t>
  </si>
  <si>
    <t>2019-10-18T10:29:49Z</t>
  </si>
  <si>
    <t>4534111_1286326</t>
  </si>
  <si>
    <t>Kelvin Santos Oliveira</t>
  </si>
  <si>
    <t>p_2acaeafa25004a0a7de1d6b197ad0fcd2cedc866@inbound.aiesec.org</t>
  </si>
  <si>
    <t>CURITIBA</t>
  </si>
  <si>
    <t>Curitiba</t>
  </si>
  <si>
    <t>2021-02-05T00:56:38Z</t>
  </si>
  <si>
    <t>4399116_1286346</t>
  </si>
  <si>
    <t>Shivani Goel</t>
  </si>
  <si>
    <t>p_93fe134de184e65ec23c7167eaf6b1546ac0d57d@inbound.aiesec.org</t>
  </si>
  <si>
    <t>Chandigarh</t>
  </si>
  <si>
    <t>https://expa.aiesec.org/opportunities/1286346</t>
  </si>
  <si>
    <t>Marketing Short Term</t>
  </si>
  <si>
    <t>2020-10-17T18:09:36Z</t>
  </si>
  <si>
    <t>5086763_1262994</t>
  </si>
  <si>
    <t>abdelrahman moussa</t>
  </si>
  <si>
    <t>p_bba10a213b5f27a1755fc86e25ffb4847fbe564b@inbound.aiesec.org</t>
  </si>
  <si>
    <t>2022-07-28T14:11:22Z</t>
  </si>
  <si>
    <t>5082648_1288497</t>
  </si>
  <si>
    <t>Kouassi Ange Brou</t>
  </si>
  <si>
    <t>p_063a75ba7e290f6b785f465df87b32093aa88847@inbound.aiesec.org</t>
  </si>
  <si>
    <t>COCODY-ABIDJAN</t>
  </si>
  <si>
    <t>https://expa.aiesec.org/opportunities/1288497</t>
  </si>
  <si>
    <t>LC COCODY</t>
  </si>
  <si>
    <t>2022-07-14T12:18:19Z</t>
  </si>
  <si>
    <t>4991774_1287248</t>
  </si>
  <si>
    <t>Feyza Deniz Demirel</t>
  </si>
  <si>
    <t>p_d95a3f2c4583fb9fc5bfeb271b1e626f173de4b2@inbound.aiesec.org</t>
  </si>
  <si>
    <t>https://expa.aiesec.org/opportunities/1287248</t>
  </si>
  <si>
    <t>2022-03-18T15:40:39Z</t>
  </si>
  <si>
    <t>5038939_1280953</t>
  </si>
  <si>
    <t>Elif Koçak</t>
  </si>
  <si>
    <t>p_3b8036c4a87e71eef95b4412be13e784d0996179@inbound.aiesec.org</t>
  </si>
  <si>
    <t>USJ</t>
  </si>
  <si>
    <t>https://expa.aiesec.org/opportunities/1280953</t>
  </si>
  <si>
    <t>2022-04-14T11:02:09Z</t>
  </si>
  <si>
    <t>3355717_1286368</t>
  </si>
  <si>
    <t>Meryem El Allami</t>
  </si>
  <si>
    <t>p_8986b94921cdb2537373254199c426250862bf0f@inbound.aiesec.org</t>
  </si>
  <si>
    <t>https://expa.aiesec.org/opportunities/1286368</t>
  </si>
  <si>
    <t>2019-04-23T16:30:55Z</t>
  </si>
  <si>
    <t>1897427_1284289</t>
  </si>
  <si>
    <t>Ewurafua Biney</t>
  </si>
  <si>
    <t>p_b8bee7cf36eb1e84520b3c8b8303c9abf62ed0f5@inbound.aiesec.org</t>
  </si>
  <si>
    <t>Ghana</t>
  </si>
  <si>
    <t>Member Committee Ghana</t>
  </si>
  <si>
    <t>https://expa.aiesec.org/opportunities/1284289</t>
  </si>
  <si>
    <t>English Teacher in Limon Ağacı Kindergarten</t>
  </si>
  <si>
    <t>2017-11-27T22:01:20Z</t>
  </si>
  <si>
    <t>2983105_1288279</t>
  </si>
  <si>
    <t>sanaa saidi</t>
  </si>
  <si>
    <t>p_70dd886e56abeffba83441752ad6a9f16d5dcf25@inbound.aiesec.org</t>
  </si>
  <si>
    <t>Z- Autre ville / Other city</t>
  </si>
  <si>
    <t>2018-12-15T08:22:20Z</t>
  </si>
  <si>
    <t>4685943_1287925</t>
  </si>
  <si>
    <t>Teodora Hodoroga</t>
  </si>
  <si>
    <t>p_a5fba363ca4964d316bf2b815986dd6d7c9cd7c7@inbound.aiesec.org</t>
  </si>
  <si>
    <t>176 34331032</t>
  </si>
  <si>
    <t>2021-07-11T14:43:46Z</t>
  </si>
  <si>
    <t>755112_1284709</t>
  </si>
  <si>
    <t>Mohamed Firas firass Ben Hiba</t>
  </si>
  <si>
    <t>p_2147f60f8c415569147b5375bd3cb49b57b18d3e@inbound.aiesec.org</t>
  </si>
  <si>
    <t>https://expa.aiesec.org/opportunities/1284709</t>
  </si>
  <si>
    <t>English Teacher in Izmir</t>
  </si>
  <si>
    <t>2015-11-01T19:19:02Z</t>
  </si>
  <si>
    <t>3214772_1267071</t>
  </si>
  <si>
    <t>GökselHaktan Karaaydın</t>
  </si>
  <si>
    <t>p_b60d2a8ccf82c9a63ebfd68ba63ccda9983c04a1@inbound.aiesec.org</t>
  </si>
  <si>
    <t>2019-03-13T08:18:58Z</t>
  </si>
  <si>
    <t>5086766_1278947</t>
  </si>
  <si>
    <t>chayma wargui</t>
  </si>
  <si>
    <t>p_d18d5f46f9d81a9e2519117fe3d52472dcd847e3@inbound.aiesec.org</t>
  </si>
  <si>
    <t>https://expa.aiesec.org/opportunities/1278947</t>
  </si>
  <si>
    <t>2022-07-28T14:17:42Z</t>
  </si>
  <si>
    <t>5027270_1279294</t>
  </si>
  <si>
    <t>Gökçe Nur Pulat</t>
  </si>
  <si>
    <t>p_5d65dd3d468691047c57ada7c634becc435524d2@inbound.aiesec.org</t>
  </si>
  <si>
    <t>https://expa.aiesec.org/opportunities/1279294</t>
  </si>
  <si>
    <t xml:space="preserve">Accelerate Romania - Front-end Developer </t>
  </si>
  <si>
    <t>2022-04-06T15:53:55Z</t>
  </si>
  <si>
    <t>5084169_1286344</t>
  </si>
  <si>
    <t>Mariana Kawamorita de Souza</t>
  </si>
  <si>
    <t>p_f9298cbc86e24c5af507bbb677d1f1110ff2b1ae@inbound.aiesec.org</t>
  </si>
  <si>
    <t>SAO CARLOS</t>
  </si>
  <si>
    <t>2022-07-19T20:13:27Z</t>
  </si>
  <si>
    <t>5080103_1287655</t>
  </si>
  <si>
    <t>Ezgi OZDEMIROGLU</t>
  </si>
  <si>
    <t>p_e3a31f4aa332a5721b43632ee10d15c7fa2d91d6@inbound.aiesec.org</t>
  </si>
  <si>
    <t>EASTERN MEDITERRANEAN</t>
  </si>
  <si>
    <t>https://expa.aiesec.org/opportunities/1287655</t>
  </si>
  <si>
    <t>Accelerate Romania - Artificial Intelligence</t>
  </si>
  <si>
    <t>2022-07-05T22:52:37Z</t>
  </si>
  <si>
    <t>4947617_1287623</t>
  </si>
  <si>
    <t>Büşra Neziroğlu</t>
  </si>
  <si>
    <t>p_49c1158423a9a6235b622aad3ba6b1a25d99634d@inbound.aiesec.org</t>
  </si>
  <si>
    <t>https://expa.aiesec.org/opportunities/1287623</t>
  </si>
  <si>
    <t>2022-02-24T17:34:58Z</t>
  </si>
  <si>
    <t>2383524_1278703</t>
  </si>
  <si>
    <t>Selah Sampao</t>
  </si>
  <si>
    <t>p_a400f5c2690c2625d0538b8d04c7e563ea3019b3@inbound.aiesec.org</t>
  </si>
  <si>
    <t>UoN</t>
  </si>
  <si>
    <t>University of Nairobi</t>
  </si>
  <si>
    <t>2018-06-24T20:02:00Z</t>
  </si>
  <si>
    <t>5084996_1281061</t>
  </si>
  <si>
    <t>Berat Bozkır</t>
  </si>
  <si>
    <t>p_8c3484e008dce12d31de75b3e2713caf6436a411@inbound.aiesec.org</t>
  </si>
  <si>
    <t>2022-07-22T12:13:06Z</t>
  </si>
  <si>
    <t>3826402_1288377</t>
  </si>
  <si>
    <t>Yulissa Cortes</t>
  </si>
  <si>
    <t>p_6a85d9bdd5b3472fefb22f1aa0bf729a4cf15507@inbound.aiesec.org</t>
  </si>
  <si>
    <t>Colombia</t>
  </si>
  <si>
    <t>EXTERNADO</t>
  </si>
  <si>
    <t>https://expa.aiesec.org/opportunities/1288377</t>
  </si>
  <si>
    <t>Sales Executive in External Trade | Spanish Speaker</t>
  </si>
  <si>
    <t>Bogotá - Universidad Santo Tomás (USTA)</t>
  </si>
  <si>
    <t>2019-09-10T21:38:49Z</t>
  </si>
  <si>
    <t>5062179_1282161</t>
  </si>
  <si>
    <t>Necla Turan</t>
  </si>
  <si>
    <t>p_03a473fc3001ec578bc9c306a9fb7ebff09d8ca5@inbound.aiesec.org</t>
  </si>
  <si>
    <t>Delhi University</t>
  </si>
  <si>
    <t>https://expa.aiesec.org/opportunities/1282161</t>
  </si>
  <si>
    <t>2022-05-22T17:11:25Z</t>
  </si>
  <si>
    <t>5046464_1287091</t>
  </si>
  <si>
    <t>Begüm Kağıtçıbaşı</t>
  </si>
  <si>
    <t>p_347f34f4c8a13c00cfc990656fb31ae8a3a3c6e4@inbound.aiesec.org</t>
  </si>
  <si>
    <t>https://expa.aiesec.org/opportunities/1287091</t>
  </si>
  <si>
    <t>Eco City</t>
  </si>
  <si>
    <t>2022-04-26T12:54:35Z</t>
  </si>
  <si>
    <t>5086788_1286810</t>
  </si>
  <si>
    <t>Betül Çelik</t>
  </si>
  <si>
    <t>p_6f430a139f0ef35e9e0e815f0124935fb6c78d23@inbound.aiesec.org</t>
  </si>
  <si>
    <t>https://expa.aiesec.org/opportunities/1286810</t>
  </si>
  <si>
    <t>2022-07-28T15:32:02Z</t>
  </si>
  <si>
    <t>4833761_1258621</t>
  </si>
  <si>
    <t>YACINE AROUNE</t>
  </si>
  <si>
    <t>p_e2e4e9f78e64909713efe5236dc13357a852a98d@inbound.aiesec.org</t>
  </si>
  <si>
    <t>Oran</t>
  </si>
  <si>
    <t>https://expa.aiesec.org/opportunities/1258621</t>
  </si>
  <si>
    <t>English Teacher in Tekirdağ</t>
  </si>
  <si>
    <t>AIESEC in Bejaia</t>
  </si>
  <si>
    <t>2021-12-07T14:07:08Z</t>
  </si>
  <si>
    <t>5044197_1288299</t>
  </si>
  <si>
    <t>Sarah Hossam</t>
  </si>
  <si>
    <t>p_500f58ee4f4f0f55ded5639e474d97192994f3e8@inbound.aiesec.org</t>
  </si>
  <si>
    <t>2022-04-22T21:32:29Z</t>
  </si>
  <si>
    <t>5001855_1283891</t>
  </si>
  <si>
    <t>Mayssa Nasraoui</t>
  </si>
  <si>
    <t>p_910b8c5b38d2a01ed23e96c37a621f4c6f3ff43c@inbound.aiesec.org</t>
  </si>
  <si>
    <t>2022-03-23T15:47:33Z</t>
  </si>
  <si>
    <t>5002113_1283891</t>
  </si>
  <si>
    <t>Mariem Nasraoui</t>
  </si>
  <si>
    <t>p_e97d339b6a05addf0e158494caaed737295d8e42@inbound.aiesec.org</t>
  </si>
  <si>
    <t>2022-03-23T20:27:46Z</t>
  </si>
  <si>
    <t>5086126_1288279</t>
  </si>
  <si>
    <t>Seif allah Osama Ahmed Ismail</t>
  </si>
  <si>
    <t>p_02f88ea5169c728c0a33f64ed83e7e6077a05eb6@inbound.aiesec.org</t>
  </si>
  <si>
    <t>2022-07-26T18:25:26Z</t>
  </si>
  <si>
    <t>4948846_1287315</t>
  </si>
  <si>
    <t>Tuğçe Çelik</t>
  </si>
  <si>
    <t>p_9fd7b8d844a72589ee816a16665b44551d53fd13@inbound.aiesec.org</t>
  </si>
  <si>
    <t>https://expa.aiesec.org/opportunities/1287315</t>
  </si>
  <si>
    <t>SAMSUN</t>
  </si>
  <si>
    <t>2022-02-25T09:55:05Z</t>
  </si>
  <si>
    <t>4778763_1287316</t>
  </si>
  <si>
    <t>Kübra Acevit</t>
  </si>
  <si>
    <t>p_e7a6517cf0086d5b222e204c756660be620b4618@inbound.aiesec.org</t>
  </si>
  <si>
    <t>https://expa.aiesec.org/opportunities/1287316</t>
  </si>
  <si>
    <t>On The Map</t>
  </si>
  <si>
    <t>2021-10-30T19:20:37Z</t>
  </si>
  <si>
    <t>5059649_1288371</t>
  </si>
  <si>
    <t>Efkan Ergün</t>
  </si>
  <si>
    <t>p_ca9d37d28f3cea9594dd64dcc3296a7ab3e67645@inbound.aiesec.org</t>
  </si>
  <si>
    <t>https://expa.aiesec.org/opportunities/1288371</t>
  </si>
  <si>
    <t>International Sales Manager</t>
  </si>
  <si>
    <t>2022-05-18T22:41:40Z</t>
  </si>
  <si>
    <t>5087067_1264946</t>
  </si>
  <si>
    <t>Wided Sghaier</t>
  </si>
  <si>
    <t>p_e28ac3125a8c0d4cefd27fe67dc8db9d53e6930a@inbound.aiesec.org</t>
  </si>
  <si>
    <t>https://expa.aiesec.org/opportunities/1264946</t>
  </si>
  <si>
    <t xml:space="preserve">English Teacher in Boutique Kindergarden </t>
  </si>
  <si>
    <t xml:space="preserve">Institut préparatoire aux études d'ingénieurs d'El Manar IPEIEM </t>
  </si>
  <si>
    <t>2022-07-29T13:10:42Z</t>
  </si>
  <si>
    <t>5086071_1287721</t>
  </si>
  <si>
    <t>chaima saihi</t>
  </si>
  <si>
    <t>p_58ddb92126769b95ee2abf3190c320541c8490fd@inbound.aiesec.org</t>
  </si>
  <si>
    <t>https://expa.aiesec.org/opportunities/1287721</t>
  </si>
  <si>
    <t>2022-07-26T15:33:34Z</t>
  </si>
  <si>
    <t>5087875_1287859</t>
  </si>
  <si>
    <t>Ayoub Taoufik</t>
  </si>
  <si>
    <t>p_592b14a35a41082d7758af4579caf4dee31ebaaa@inbound.aiesec.org</t>
  </si>
  <si>
    <t>https://expa.aiesec.org/opportunities/1287859</t>
  </si>
  <si>
    <t>Digital Marketing</t>
  </si>
  <si>
    <t>FSJES Aïn Chock Casablanca</t>
  </si>
  <si>
    <t>2022-08-01T13:51:24Z</t>
  </si>
  <si>
    <t>4637396_1286113</t>
  </si>
  <si>
    <t>Mohamed Ali</t>
  </si>
  <si>
    <t>p_acc2d035a95b43b0599aa429851883b46546e366@inbound.aiesec.org</t>
  </si>
  <si>
    <t>https://expa.aiesec.org/opportunities/1286113</t>
  </si>
  <si>
    <t>NORTH CYPRUS</t>
  </si>
  <si>
    <t>2021-05-05T12:56:45Z</t>
  </si>
  <si>
    <t>1611880_1288497</t>
  </si>
  <si>
    <t>Abdelrahman Alhijjawi</t>
  </si>
  <si>
    <t>p_05631cc5f483b561859cc92ac9730fa8c4b41bcc@inbound.aiesec.org</t>
  </si>
  <si>
    <t>Jordan</t>
  </si>
  <si>
    <t>AMMAN</t>
  </si>
  <si>
    <t>2017-06-09T23:50:20Z</t>
  </si>
  <si>
    <t>5084738_1286344</t>
  </si>
  <si>
    <t>beatriz leal</t>
  </si>
  <si>
    <t>p_3b1e506afed65979af34695b2ee46b8573828ca9@inbound.aiesec.org</t>
  </si>
  <si>
    <t>São Carlos</t>
  </si>
  <si>
    <t>2022-07-21T17:51:07Z</t>
  </si>
  <si>
    <t>5065288_1285358</t>
  </si>
  <si>
    <t>Merdan Seyitliyev</t>
  </si>
  <si>
    <t>p_83ee67c7a2b94e40ea40bd64f434bb5026c9ac35@inbound.aiesec.org</t>
  </si>
  <si>
    <t>2022-05-28T10:48:49Z</t>
  </si>
  <si>
    <t>5086050_1287181</t>
  </si>
  <si>
    <t>sayma karoui</t>
  </si>
  <si>
    <t>p_43909a6b43fca3412613e4785986f0762f2af40d@inbound.aiesec.org</t>
  </si>
  <si>
    <t>ENICarthage</t>
  </si>
  <si>
    <t>2022-07-26T14:32:10Z</t>
  </si>
  <si>
    <t>5049853_1287101</t>
  </si>
  <si>
    <t>Marisa Eiben</t>
  </si>
  <si>
    <t>p_8604000e2e61db4b0054b2a498a5547d2b8e357b@inbound.aiesec.org</t>
  </si>
  <si>
    <t>AACHEN</t>
  </si>
  <si>
    <t>https://expa.aiesec.org/opportunities/1287101</t>
  </si>
  <si>
    <t>Goettingen</t>
  </si>
  <si>
    <t>2022-05-02T08:45:25Z</t>
  </si>
  <si>
    <t>5086708_1279544</t>
  </si>
  <si>
    <t>RİBAH Missaoui</t>
  </si>
  <si>
    <t>p_38a7abc1e4c5dfe973e77704a988219ce6f69f0f@inbound.aiesec.org</t>
  </si>
  <si>
    <t>https://expa.aiesec.org/opportunities/1279544</t>
  </si>
  <si>
    <t>English Teacher in Yonca Montessori Kindergarten</t>
  </si>
  <si>
    <t>2022-07-28T12:40:26Z</t>
  </si>
  <si>
    <t>5085699_1283828</t>
  </si>
  <si>
    <t>Destina Karpat</t>
  </si>
  <si>
    <t>p_3892296800514b5ab8ab3a5d485d844946af0cdf@inbound.aiesec.org</t>
  </si>
  <si>
    <t>Torino</t>
  </si>
  <si>
    <t>https://expa.aiesec.org/opportunities/1283828</t>
  </si>
  <si>
    <t>2022-07-25T13:12:08Z</t>
  </si>
  <si>
    <t>1127724_1286034</t>
  </si>
  <si>
    <t>Aizaaz Saeed</t>
  </si>
  <si>
    <t>p_8399480d5bee80af81a0c31dab9330213c39b46a@inbound.aiesec.org</t>
  </si>
  <si>
    <t>https://expa.aiesec.org/opportunities/1286034</t>
  </si>
  <si>
    <t>2016-08-29T17:20:27Z</t>
  </si>
  <si>
    <t>5082732_1287771</t>
  </si>
  <si>
    <t>Elianur Gulamidinova</t>
  </si>
  <si>
    <t>p_cdad7c4ae39440a70a58241d6011c15d913ba607@inbound.aiesec.org</t>
  </si>
  <si>
    <t>Impulse for Bishkek Leaders (IBL)</t>
  </si>
  <si>
    <t>TRABZON</t>
  </si>
  <si>
    <t>https://expa.aiesec.org/opportunities/1287771</t>
  </si>
  <si>
    <t>English Teacher in Fidem Okulları</t>
  </si>
  <si>
    <t>КТУ Манас (Отделение переводчиков-синхронистов)</t>
  </si>
  <si>
    <t>2022-07-14T17:24:32Z</t>
  </si>
  <si>
    <t>5081363_1288388</t>
  </si>
  <si>
    <t>SIMOURI OSSAMA</t>
  </si>
  <si>
    <t>p_53bf58e02081c207dc2d763bc47ccdbe8ec5b4f1@inbound.aiesec.org</t>
  </si>
  <si>
    <t>Kenitra</t>
  </si>
  <si>
    <t>https://expa.aiesec.org/opportunities/1288388</t>
  </si>
  <si>
    <t xml:space="preserve"> English Teacher | Private Language School</t>
  </si>
  <si>
    <t>Faculté Des Sciences Kénitra</t>
  </si>
  <si>
    <t>2022-07-10T11:28:10Z</t>
  </si>
  <si>
    <t>5085317_1287316</t>
  </si>
  <si>
    <t>Haticenur Uyanık</t>
  </si>
  <si>
    <t>p_d597db7cbb7c77bbbca0d73e14b58c1cd9ed9267@inbound.aiesec.org</t>
  </si>
  <si>
    <t>2022-07-23T18:29:03Z</t>
  </si>
  <si>
    <t>5090273_1284992</t>
  </si>
  <si>
    <t>Youssef Derbel</t>
  </si>
  <si>
    <t>p_2dc241ec0b1dbb2c4b88772c2c59bc05543571e3@inbound.aiesec.org</t>
  </si>
  <si>
    <t>https://expa.aiesec.org/opportunities/1284992</t>
  </si>
  <si>
    <t>Game Developer in Unity Software</t>
  </si>
  <si>
    <t>2022-08-06T12:05:59Z</t>
  </si>
  <si>
    <t>5090218_1283399</t>
  </si>
  <si>
    <t>hadil kailil</t>
  </si>
  <si>
    <t>p_7532f1604a29891ca3edd603cc202a64c19bcec5@inbound.aiesec.org</t>
  </si>
  <si>
    <t>https://expa.aiesec.org/opportunities/1283399</t>
  </si>
  <si>
    <t>FLSH Rabat</t>
  </si>
  <si>
    <t>2022-08-06T09:13:15Z</t>
  </si>
  <si>
    <t>3488054_1288467</t>
  </si>
  <si>
    <t>Amina Medadha</t>
  </si>
  <si>
    <t>p_2a624af4ecd5fd05cc6434d65d1564c33149d875@inbound.aiesec.org</t>
  </si>
  <si>
    <t>https://expa.aiesec.org/opportunities/1288467</t>
  </si>
  <si>
    <t>2019-05-30T02:30:35Z</t>
  </si>
  <si>
    <t>4569373_1288497</t>
  </si>
  <si>
    <t>Aya Farsi</t>
  </si>
  <si>
    <t>p_64079d4cf6c1aad983e3fad62738bdbd67b584db@inbound.aiesec.org</t>
  </si>
  <si>
    <t>Ben Guerir</t>
  </si>
  <si>
    <t>Other-BEN GUERIR</t>
  </si>
  <si>
    <t>2021-03-06T11:57:49Z</t>
  </si>
  <si>
    <t>4623036_1288283</t>
  </si>
  <si>
    <t>Muhammet Mert Seçkin</t>
  </si>
  <si>
    <t>p_0580c1c5aeb89832dca7dc9cbbe16f6ebfd7e4a7@inbound.aiesec.org</t>
  </si>
  <si>
    <t>UMINHO</t>
  </si>
  <si>
    <t>https://expa.aiesec.org/opportunities/1288283</t>
  </si>
  <si>
    <t>2021-04-20T12:56:18Z</t>
  </si>
  <si>
    <t>5084179_1288497</t>
  </si>
  <si>
    <t>Nurym Nurakhan</t>
  </si>
  <si>
    <t>p_59dca1b7bc2a6b390ade0d708ba973adfdc7d8a9@inbound.aiesec.org</t>
  </si>
  <si>
    <t>2022-07-19T21:01:12Z</t>
  </si>
  <si>
    <t>3132766_1288548</t>
  </si>
  <si>
    <t>nourhen gafsaoui</t>
  </si>
  <si>
    <t>p_4beb1247174cfbd38962ded7345606fe71bae342@inbound.aiesec.org</t>
  </si>
  <si>
    <t>https://expa.aiesec.org/opportunities/1288548</t>
  </si>
  <si>
    <t>Market Researcher/Sales Assistant on Ergün Özen Machine</t>
  </si>
  <si>
    <t>ISET Rades</t>
  </si>
  <si>
    <t>2019-03-02T10:38:23Z</t>
  </si>
  <si>
    <t>4325382_1278298</t>
  </si>
  <si>
    <t>Mouna Menai</t>
  </si>
  <si>
    <t>p_84a55802672c47c463179e09b171b6ef4fd0f8d4@inbound.aiesec.org</t>
  </si>
  <si>
    <t>https://expa.aiesec.org/opportunities/1278298</t>
  </si>
  <si>
    <t xml:space="preserve">Gebze İngiliz Kültür </t>
  </si>
  <si>
    <t>2020-07-07T22:44:32Z</t>
  </si>
  <si>
    <t>5076111_1288615</t>
  </si>
  <si>
    <t>Syed Raiyan</t>
  </si>
  <si>
    <t>p_2acd30edde64b0c9cbdda16a2f5813d98adbd626@inbound.aiesec.org</t>
  </si>
  <si>
    <t>Chennai</t>
  </si>
  <si>
    <t>https://expa.aiesec.org/opportunities/1288615</t>
  </si>
  <si>
    <t>Engineering</t>
  </si>
  <si>
    <t>Mechanical Engineering in TOKSEL Company</t>
  </si>
  <si>
    <t>Anna University, Chennai</t>
  </si>
  <si>
    <t>2022-06-24T09:25:04Z</t>
  </si>
  <si>
    <t>5085141_1284709</t>
  </si>
  <si>
    <t>Rabia MEDJOUEL</t>
  </si>
  <si>
    <t>p_cb4697331ffc8c543a61da2c4dbff2e0c86af82f@inbound.aiesec.org</t>
  </si>
  <si>
    <t>AIESEC in Ouargla</t>
  </si>
  <si>
    <t>2022-07-23T00:12:56Z</t>
  </si>
  <si>
    <t>5084689_1286585</t>
  </si>
  <si>
    <t>Yasemen Toğrul</t>
  </si>
  <si>
    <t>p_41521c0032f14ce010d2277fcd4adefdfeebc4af@inbound.aiesec.org</t>
  </si>
  <si>
    <t>https://expa.aiesec.org/opportunities/1286585</t>
  </si>
  <si>
    <t>2022-07-21T14:44:36Z</t>
  </si>
  <si>
    <t>5062213_1288593</t>
  </si>
  <si>
    <t>Nicat Dadashov</t>
  </si>
  <si>
    <t>p_1837644aded87b6910ce104371ceda1df889e47c@inbound.aiesec.org</t>
  </si>
  <si>
    <t>https://expa.aiesec.org/opportunities/1288593</t>
  </si>
  <si>
    <t>English Teacher in Manisa</t>
  </si>
  <si>
    <t>2022-05-22T18:09:20Z</t>
  </si>
  <si>
    <t>4806615_1287374</t>
  </si>
  <si>
    <t>Marycielo Purizaga Ruiz</t>
  </si>
  <si>
    <t>p_1df440a0c754d58e970a97a225ee13e030945a23@inbound.aiesec.org</t>
  </si>
  <si>
    <t>Pacifico</t>
  </si>
  <si>
    <t>Piura - Universidad de Piura</t>
  </si>
  <si>
    <t>2021-11-18T03:19:23Z</t>
  </si>
  <si>
    <t>5062109_1284126</t>
  </si>
  <si>
    <t>Merushe Meço</t>
  </si>
  <si>
    <t>p_b4baab8e9d3a20ae0cec670592eb6a1419901fb6@inbound.aiesec.org</t>
  </si>
  <si>
    <t>Albania</t>
  </si>
  <si>
    <t>Expansion of Vlora</t>
  </si>
  <si>
    <t>https://expa.aiesec.org/opportunities/1284126</t>
  </si>
  <si>
    <t>University of Vlora</t>
  </si>
  <si>
    <t>2022-05-22T14:44:51Z</t>
  </si>
  <si>
    <t>4163001_1287925</t>
  </si>
  <si>
    <t>Ibad Ur Rahman</t>
  </si>
  <si>
    <t>p_d9e7c8c777960a39a1efadea3ec3965dc5c25293@inbound.aiesec.org</t>
  </si>
  <si>
    <t>2020-02-01T16:57:34Z</t>
  </si>
  <si>
    <t>4987825_1288713</t>
  </si>
  <si>
    <t>Maysoura Zouaoui</t>
  </si>
  <si>
    <t>p_c4b697a32d3f276e655b51a3a39bb704f15f5ee2@inbound.aiesec.org</t>
  </si>
  <si>
    <t>https://expa.aiesec.org/opportunities/1288713</t>
  </si>
  <si>
    <t>FSEGT</t>
  </si>
  <si>
    <t>2022-03-16T15:25:13Z</t>
  </si>
  <si>
    <t>4920604_1279525</t>
  </si>
  <si>
    <t>Assia ISSOULAH</t>
  </si>
  <si>
    <t>p_3f421677f8de75014e5bfa88d4031f296c304c6f@inbound.aiesec.org</t>
  </si>
  <si>
    <t>Agadir</t>
  </si>
  <si>
    <t>https://expa.aiesec.org/opportunities/1279525</t>
  </si>
  <si>
    <t>English Teacher in American Life</t>
  </si>
  <si>
    <t>FLSH Agadir</t>
  </si>
  <si>
    <t>2022-02-08T15:03:41Z</t>
  </si>
  <si>
    <t>5034314_1272564</t>
  </si>
  <si>
    <t>Khush Bakht Fatima</t>
  </si>
  <si>
    <t>p_166cc50f332dc529e7f04652fe93b36145d9329e@inbound.aiesec.org</t>
  </si>
  <si>
    <t>Lahore - Pak</t>
  </si>
  <si>
    <t>Lahore - Other</t>
  </si>
  <si>
    <t>2022-04-10T18:54:35Z</t>
  </si>
  <si>
    <t>5056335_1288453</t>
  </si>
  <si>
    <t>Chahrazed Baghdous</t>
  </si>
  <si>
    <t>p_f835d6a9c9f886243e3a807c0638bc639df19433@inbound.aiesec.org</t>
  </si>
  <si>
    <t>https://expa.aiesec.org/opportunities/1288453</t>
  </si>
  <si>
    <t>AIESEC in Oran</t>
  </si>
  <si>
    <t>2022-05-13T12:58:35Z</t>
  </si>
  <si>
    <t>3846131_1287925</t>
  </si>
  <si>
    <t>Milos Vesic</t>
  </si>
  <si>
    <t>p_4b096c9bdb0ef4078efb7c55f6d16ca281f46f68@inbound.aiesec.org</t>
  </si>
  <si>
    <t>KRAGUJEVAC</t>
  </si>
  <si>
    <t>University of Kragujevac</t>
  </si>
  <si>
    <t>2019-09-21T16:18:53Z</t>
  </si>
  <si>
    <t>2371027_1281195</t>
  </si>
  <si>
    <t>Malik Muhammad Shahzaib</t>
  </si>
  <si>
    <t>p_1132c8046b0d41e19eed5868109336ae4f4eca26@inbound.aiesec.org</t>
  </si>
  <si>
    <t>https://expa.aiesec.org/opportunities/1281195</t>
  </si>
  <si>
    <t>ENGLISH TEACHING</t>
  </si>
  <si>
    <t>2018-06-20T17:07:59Z</t>
  </si>
  <si>
    <t>4122088_1279323</t>
  </si>
  <si>
    <t>Nouha Benyamina</t>
  </si>
  <si>
    <t>p_dc9160b529674c5ccdd646bd53a2d9a3bef10660@inbound.aiesec.org</t>
  </si>
  <si>
    <t>Fez</t>
  </si>
  <si>
    <t>https://expa.aiesec.org/opportunities/1279323</t>
  </si>
  <si>
    <t>English Teacher in Defne College</t>
  </si>
  <si>
    <t>Other-FEZ</t>
  </si>
  <si>
    <t>2020-01-02T19:25:28Z</t>
  </si>
  <si>
    <t>5083023_1278780</t>
  </si>
  <si>
    <t>Chahinez Bouarara</t>
  </si>
  <si>
    <t>p_d20ef6bfc7c2bcf182e7910c8ea1667bed32a285@inbound.aiesec.org</t>
  </si>
  <si>
    <t>KUTAHYA</t>
  </si>
  <si>
    <t>https://expa.aiesec.org/opportunities/1278780</t>
  </si>
  <si>
    <t>2022-07-15T18:05:11Z</t>
  </si>
  <si>
    <t>4756120_1285161</t>
  </si>
  <si>
    <t>deleted 4756120</t>
  </si>
  <si>
    <t>p_28c67e18284170345330a26058182b6cd5201220@inbound.aiesec.org</t>
  </si>
  <si>
    <t>Mohammedia</t>
  </si>
  <si>
    <t>https://expa.aiesec.org/opportunities/1285161</t>
  </si>
  <si>
    <t>FST Mohammedia</t>
  </si>
  <si>
    <t>2021-10-02T21:00:22Z</t>
  </si>
  <si>
    <t>5091969_1283823</t>
  </si>
  <si>
    <t>Eman Ragab Mohamed Hamed Dawood</t>
  </si>
  <si>
    <t>p_4ce0a430695f34f9fff8e3651047321f7fef361f@inbound.aiesec.org</t>
  </si>
  <si>
    <t>AAST In CAIRO</t>
  </si>
  <si>
    <t>https://expa.aiesec.org/opportunities/1283823</t>
  </si>
  <si>
    <t>BUE University</t>
  </si>
  <si>
    <t>2022-08-10T18:48:20Z</t>
  </si>
  <si>
    <t>5090665_1288703</t>
  </si>
  <si>
    <t>Nadine Salah</t>
  </si>
  <si>
    <t>p_5096db7923a0c09974eb09a0801be01cb1cad0d5@inbound.aiesec.org</t>
  </si>
  <si>
    <t>https://expa.aiesec.org/opportunities/1288703</t>
  </si>
  <si>
    <t>ENGLISH TEACHER</t>
  </si>
  <si>
    <t>2022-08-07T13:19:28Z</t>
  </si>
  <si>
    <t>5084095_1288705</t>
  </si>
  <si>
    <t>Soukaina SAADI</t>
  </si>
  <si>
    <t>p_4efa9c0dcdfda9a48412d80548e7e826851bb8b2@inbound.aiesec.org</t>
  </si>
  <si>
    <t>https://expa.aiesec.org/opportunities/1288705</t>
  </si>
  <si>
    <t>MARKETING</t>
  </si>
  <si>
    <t>Ecole Nationale De Commerce Et De Gestion Kenitra (ENCGK)</t>
  </si>
  <si>
    <t>2022-07-19T15:34:02Z</t>
  </si>
  <si>
    <t>5085653_1279247</t>
  </si>
  <si>
    <t>axel offret</t>
  </si>
  <si>
    <t>p_2160c10a132b4530fad5a5009f095feb460ead2a@inbound.aiesec.org</t>
  </si>
  <si>
    <t>Lyon</t>
  </si>
  <si>
    <t>https://expa.aiesec.org/opportunities/1279247</t>
  </si>
  <si>
    <t>GAME ARTIST</t>
  </si>
  <si>
    <t>Lyon - other University</t>
  </si>
  <si>
    <t>2022-07-25T10:15:34Z</t>
  </si>
  <si>
    <t>909044_1286836</t>
  </si>
  <si>
    <t>Fatima Al-zahraa Tawfik</t>
  </si>
  <si>
    <t>p_efe0e4a7c1e42e7539e1e9759498a2acdbfe9813@inbound.aiesec.org</t>
  </si>
  <si>
    <t>https://expa.aiesec.org/opportunities/1286836</t>
  </si>
  <si>
    <t>Pre-School Teacher at Istanbul AIKA/Bahçeşehir</t>
  </si>
  <si>
    <t>2016-03-08T22:53:17Z</t>
  </si>
  <si>
    <t>5084122_1286326</t>
  </si>
  <si>
    <t>Sushmita daimari</t>
  </si>
  <si>
    <t>p_731249c0a88b68caa3f0da969c26625cdc5af433@inbound.aiesec.org</t>
  </si>
  <si>
    <t>Bengaluru</t>
  </si>
  <si>
    <t>IFIM Business College, Bangalore</t>
  </si>
  <si>
    <t>2022-07-19T17:10:15Z</t>
  </si>
  <si>
    <t>5092527_1281195</t>
  </si>
  <si>
    <t>Uzma Rao</t>
  </si>
  <si>
    <t>rejected</t>
  </si>
  <si>
    <t>p_e7c536caf8d7bacc268be840060ba802edea542c@inbound.aiesec.org</t>
  </si>
  <si>
    <t>Lahore - University College Lahore (UCL)</t>
  </si>
  <si>
    <t>2022-08-12T13:12:54Z</t>
  </si>
  <si>
    <t>5083289_1286840</t>
  </si>
  <si>
    <t>Heba Soliman</t>
  </si>
  <si>
    <t>p_1aff9a003d3ddbc69417cd4ec398eff333c8525d@inbound.aiesec.org</t>
  </si>
  <si>
    <t>https://expa.aiesec.org/opportunities/1286840</t>
  </si>
  <si>
    <t>Pre-School Teacher at Istanbul AIKA/Büyükçekmece</t>
  </si>
  <si>
    <t>2022-07-16T19:20:10Z</t>
  </si>
  <si>
    <t>5091938_1283628</t>
  </si>
  <si>
    <t>Hadjer Nesrine Guidoum</t>
  </si>
  <si>
    <t>p_cbd0273fa20315b3681f59cad28374d11466265a@inbound.aiesec.org</t>
  </si>
  <si>
    <t>https://expa.aiesec.org/opportunities/1283628</t>
  </si>
  <si>
    <t xml:space="preserve">Join Wimbledn Academy </t>
  </si>
  <si>
    <t>2022-08-10T16:27:51Z</t>
  </si>
  <si>
    <t>5090066_1288612</t>
  </si>
  <si>
    <t>deleted 5090066</t>
  </si>
  <si>
    <t>p_67015fa8d46b2619c6a9beeeee81020a1392ca74@inbound.aiesec.org</t>
  </si>
  <si>
    <t>https://expa.aiesec.org/opportunities/1288612</t>
  </si>
  <si>
    <t>2022-08-05T19:04:17Z</t>
  </si>
  <si>
    <t>5088850_1288612</t>
  </si>
  <si>
    <t>Sihem Mansouri</t>
  </si>
  <si>
    <t>p_e44e3e25bd8c0639bd77669405d3cc2edc1d81ca@inbound.aiesec.org</t>
  </si>
  <si>
    <t>2022-08-03T19:29:29Z</t>
  </si>
  <si>
    <t>5079374_1287097</t>
  </si>
  <si>
    <t>zain rustom</t>
  </si>
  <si>
    <t>p_a3344dcca731f59468a2a95b1cceb75b3d81ccb6@inbound.aiesec.org</t>
  </si>
  <si>
    <t>University of Jordan</t>
  </si>
  <si>
    <t>2022-07-03T17:52:30Z</t>
  </si>
  <si>
    <t>5087112_1287925</t>
  </si>
  <si>
    <t>Omar Ghaith</t>
  </si>
  <si>
    <t>p_4a1c467e701058f1272e5052bcb2410bd79f1156@inbound.aiesec.org</t>
  </si>
  <si>
    <t>AUC</t>
  </si>
  <si>
    <t>2022-07-29T15:48:13Z</t>
  </si>
  <si>
    <t>4934945_1272646</t>
  </si>
  <si>
    <t>Marouane BEL OUAAR</t>
  </si>
  <si>
    <t>p_0f9e6fa6519381c075a15f823feb214e25d14c80@inbound.aiesec.org</t>
  </si>
  <si>
    <t>https://expa.aiesec.org/opportunities/1272646</t>
  </si>
  <si>
    <t>Bandırma İstek Okulları English teaching</t>
  </si>
  <si>
    <t>ESEF Kénitra</t>
  </si>
  <si>
    <t>2022-02-17T15:35:39Z</t>
  </si>
  <si>
    <t>2011504_1287856</t>
  </si>
  <si>
    <t>Farukh Karimzhanov</t>
  </si>
  <si>
    <t>p_3a870ae7cc9ee191fae9456752e9f1da7596d552@inbound.aiesec.org</t>
  </si>
  <si>
    <t>https://expa.aiesec.org/opportunities/1287856</t>
  </si>
  <si>
    <t>Preschool English Teacher in Istanbul</t>
  </si>
  <si>
    <t>2018-01-31T11:12:17Z</t>
  </si>
  <si>
    <t>1766261_1278298</t>
  </si>
  <si>
    <t>imen Hameidi</t>
  </si>
  <si>
    <t>p_be04da9bf15dbc6088ac9e04c2103f7ceea3bc9c@inbound.aiesec.org</t>
  </si>
  <si>
    <t>2017-09-30T17:25:01Z</t>
  </si>
  <si>
    <t>5090285_1285209</t>
  </si>
  <si>
    <t>Natasha Hameed</t>
  </si>
  <si>
    <t>p_1c9696c40ca4fbc5acfdff4d5627a760a1c5592d@inbound.aiesec.org</t>
  </si>
  <si>
    <t>COLOMBO SOUTH</t>
  </si>
  <si>
    <t>https://expa.aiesec.org/opportunities/1285209</t>
  </si>
  <si>
    <t>Esol College</t>
  </si>
  <si>
    <t>2022-08-06T12:27:51Z</t>
  </si>
  <si>
    <t>5093375_1278010</t>
  </si>
  <si>
    <t>deleted 5093375</t>
  </si>
  <si>
    <t>p_8d7c0f404a61475252cecc1f02efb74ad8f8e074@inbound.aiesec.org</t>
  </si>
  <si>
    <t>https://expa.aiesec.org/opportunities/1278010</t>
  </si>
  <si>
    <t>English Teacher in Istanbul</t>
  </si>
  <si>
    <t>2022-08-15T00:06:17Z</t>
  </si>
  <si>
    <t>4954843_1258621</t>
  </si>
  <si>
    <t>Anum Khan</t>
  </si>
  <si>
    <t>p_cdacecf8094e941c0e5a8bd0ae9eb6d135e335d8@inbound.aiesec.org</t>
  </si>
  <si>
    <t>Islamabad - Other</t>
  </si>
  <si>
    <t>2022-02-28T17:42:48Z</t>
  </si>
  <si>
    <t>5053641_1287712</t>
  </si>
  <si>
    <t>Haşim Can Demirci</t>
  </si>
  <si>
    <t>p_43c58279e02eeb95a85b7b560d35f6d66385b270@inbound.aiesec.org</t>
  </si>
  <si>
    <t>532 731 7269</t>
  </si>
  <si>
    <t>Czech Republic</t>
  </si>
  <si>
    <t>PILSEN</t>
  </si>
  <si>
    <t>https://expa.aiesec.org/opportunities/1287712</t>
  </si>
  <si>
    <t>2022-05-09T13:57:54Z</t>
  </si>
  <si>
    <t>5094121_1287824</t>
  </si>
  <si>
    <t>Ayşen Becer</t>
  </si>
  <si>
    <t>p_fb98996ebd481362b33282f598c00b866330ec79@inbound.aiesec.org</t>
  </si>
  <si>
    <t>https://expa.aiesec.org/opportunities/1287824</t>
  </si>
  <si>
    <t>KARABUK</t>
  </si>
  <si>
    <t>2022-08-16T20:14:26Z</t>
  </si>
  <si>
    <t>4826239_1288488</t>
  </si>
  <si>
    <t>Ahmed Mostafa</t>
  </si>
  <si>
    <t>p_364ddea984b261f5de24f916d3a0db247aab77e5@inbound.aiesec.org</t>
  </si>
  <si>
    <t>https://expa.aiesec.org/opportunities/1288488</t>
  </si>
  <si>
    <t>2021-12-01T13:12:43Z</t>
  </si>
  <si>
    <t>4869477_1288488</t>
  </si>
  <si>
    <t>Hagar Mostafa</t>
  </si>
  <si>
    <t>p_c1436b172a94fcda34c4eeb642f2eaff1a0abdd0@inbound.aiesec.org</t>
  </si>
  <si>
    <t>2022-01-06T16:17:46Z</t>
  </si>
  <si>
    <t>5071785_1287566</t>
  </si>
  <si>
    <t>Jolie Makram</t>
  </si>
  <si>
    <t>p_7dc342579e74a6e955c226528d7a9c06fedfd4ed@inbound.aiesec.org</t>
  </si>
  <si>
    <t>Helwan</t>
  </si>
  <si>
    <t>https://expa.aiesec.org/opportunities/1287566</t>
  </si>
  <si>
    <t>Helwan University</t>
  </si>
  <si>
    <t>2022-06-12T21:13:24Z</t>
  </si>
  <si>
    <t>5028260_1287851</t>
  </si>
  <si>
    <t>Salma Mourad</t>
  </si>
  <si>
    <t>p_200f47087b6baad6f71428227a18c8f9b166e4ec@inbound.aiesec.org</t>
  </si>
  <si>
    <t>2022-04-07T08:39:35Z</t>
  </si>
  <si>
    <t>4757118_1287966</t>
  </si>
  <si>
    <t>Charu priya Churamani</t>
  </si>
  <si>
    <t>p_db6472d72c56e6f4669d15841045bb5697c1f30d@inbound.aiesec.org</t>
  </si>
  <si>
    <t>Noida</t>
  </si>
  <si>
    <t>AAFT, Noida</t>
  </si>
  <si>
    <t>2021-10-04T06:39:50Z</t>
  </si>
  <si>
    <t>2913552_1272564</t>
  </si>
  <si>
    <t>Magdalena Fiba</t>
  </si>
  <si>
    <t>p_aad419c848945ac18827f3932ae8c26c7370329a@inbound.aiesec.org</t>
  </si>
  <si>
    <t>KRAKOW</t>
  </si>
  <si>
    <t>Kraków</t>
  </si>
  <si>
    <t>2018-11-30T17:00:00Z</t>
  </si>
  <si>
    <t>3440780_1285138</t>
  </si>
  <si>
    <t>Gizem Hasgül</t>
  </si>
  <si>
    <t>p_599307ebac5c4293fc83b3d3577765980c631915@inbound.aiesec.org</t>
  </si>
  <si>
    <t>https://expa.aiesec.org/opportunities/1285138</t>
  </si>
  <si>
    <t>2019-05-19T10:54:06Z</t>
  </si>
  <si>
    <t>5094095_1288663</t>
  </si>
  <si>
    <t>Rana Mounir</t>
  </si>
  <si>
    <t>p_bc40a69240ee7789941d6398706cac237a8347e4@inbound.aiesec.org</t>
  </si>
  <si>
    <t>Suez</t>
  </si>
  <si>
    <t>https://expa.aiesec.org/opportunities/1288663</t>
  </si>
  <si>
    <t>2022-08-16T18:51:07Z</t>
  </si>
  <si>
    <t>5090828_1287382</t>
  </si>
  <si>
    <t>Anas El azzazi</t>
  </si>
  <si>
    <t>p_da4168bea6d55552f743654aaea159a5a3065777@inbound.aiesec.org</t>
  </si>
  <si>
    <t>https://expa.aiesec.org/opportunities/1287382</t>
  </si>
  <si>
    <t xml:space="preserve">École nationale d'architecture Rabat (ENA)  </t>
  </si>
  <si>
    <t>2022-08-07T21:07:54Z</t>
  </si>
  <si>
    <t>4871313_1287013</t>
  </si>
  <si>
    <t>Hadir Choukani</t>
  </si>
  <si>
    <t>p_66c2c2c331b296f5f6d00a2ee090384d9f31591e@inbound.aiesec.org</t>
  </si>
  <si>
    <t>https://expa.aiesec.org/opportunities/1287013</t>
  </si>
  <si>
    <t>English Teaching</t>
  </si>
  <si>
    <t>2022-01-07T19:49:33Z</t>
  </si>
  <si>
    <t>4058556_1288245</t>
  </si>
  <si>
    <t>Rohan Verma</t>
  </si>
  <si>
    <t>p_ecf5b55cd1f71ae4733a2e4d6bf7b422c7261873@inbound.aiesec.org</t>
  </si>
  <si>
    <t>Bangalore</t>
  </si>
  <si>
    <t>2019-11-28T17:07:11Z</t>
  </si>
  <si>
    <t>4661384_1288279</t>
  </si>
  <si>
    <t>‪Anas Ali‬‏ Alyahri</t>
  </si>
  <si>
    <t>p_b658a7e473791106bfac00c07505a0f3e8d49678@inbound.aiesec.org</t>
  </si>
  <si>
    <t>Bucuresti</t>
  </si>
  <si>
    <t>2021-06-06T10:11:02Z</t>
  </si>
  <si>
    <t>5084580_1272564</t>
  </si>
  <si>
    <t>Fotis Tzimos</t>
  </si>
  <si>
    <t>p_3fda70712055e3f51206813b9a1e6bc9b21773bd@inbound.aiesec.org</t>
  </si>
  <si>
    <t>UoM THESSALONIKI</t>
  </si>
  <si>
    <t>University of Macedonia</t>
  </si>
  <si>
    <t>2022-07-21T06:15:41Z</t>
  </si>
  <si>
    <t>5080365_1288285</t>
  </si>
  <si>
    <t>okba hidaya</t>
  </si>
  <si>
    <t>p_e81e3dedad16c76130509e6da429196d61fa1f3c@inbound.aiesec.org</t>
  </si>
  <si>
    <t>Constantine</t>
  </si>
  <si>
    <t>https://expa.aiesec.org/opportunities/1288285</t>
  </si>
  <si>
    <t>TAD Language Schools</t>
  </si>
  <si>
    <t>AIESEC in Constantine</t>
  </si>
  <si>
    <t>2022-07-06T18:32:39Z</t>
  </si>
  <si>
    <t>5071944_1279619</t>
  </si>
  <si>
    <t>Cristina Pérez García</t>
  </si>
  <si>
    <t>p_99c7b456213bdb404512f7f27ab53e80fcb14141@inbound.aiesec.org</t>
  </si>
  <si>
    <t>Málaga</t>
  </si>
  <si>
    <t>https://expa.aiesec.org/opportunities/1279619</t>
  </si>
  <si>
    <t xml:space="preserve"> TEACHING SPANISH</t>
  </si>
  <si>
    <t>2022-06-13T11:47:25Z</t>
  </si>
  <si>
    <t>1234665_1288663</t>
  </si>
  <si>
    <t>sirine sarraj</t>
  </si>
  <si>
    <t>p_560093325f8e1a10d17db1d3e7abf2b2f1c89747@inbound.aiesec.org</t>
  </si>
  <si>
    <t>2016-11-11T12:58:24Z</t>
  </si>
  <si>
    <t>5044247_1285077</t>
  </si>
  <si>
    <t>Ana Beatriz Luz</t>
  </si>
  <si>
    <t>p_c3f59636189e6db5fd0cf137155fe1bb27391caa@inbound.aiesec.org</t>
  </si>
  <si>
    <t xml:space="preserve">BELO HORIZONTE </t>
  </si>
  <si>
    <t>https://expa.aiesec.org/opportunities/1285077</t>
  </si>
  <si>
    <t>Belo Horizonte</t>
  </si>
  <si>
    <t>2022-04-23T00:14:17Z</t>
  </si>
  <si>
    <t>3934680_1283891</t>
  </si>
  <si>
    <t>Edward Lee</t>
  </si>
  <si>
    <t>p_23dd83d383ed54364b210bf057a2818c63494257@inbound.aiesec.org</t>
  </si>
  <si>
    <t>Canada</t>
  </si>
  <si>
    <t>OTTAWA</t>
  </si>
  <si>
    <t>University of Ottawa / Université d'Ottawa</t>
  </si>
  <si>
    <t>2019-10-29T18:28:51Z</t>
  </si>
  <si>
    <t>5021684_1287226</t>
  </si>
  <si>
    <t>Hana Anter</t>
  </si>
  <si>
    <t>p_22fbd06401edbe617d27d94c3de6338ad65f5e74@inbound.aiesec.org</t>
  </si>
  <si>
    <t>AAST Aswan</t>
  </si>
  <si>
    <t>2022-04-02T21:12:40Z</t>
  </si>
  <si>
    <t>5063176_1287712</t>
  </si>
  <si>
    <t>Elif Divanoğlu</t>
  </si>
  <si>
    <t>p_7eb3d461c592b11ff1e403760adc41eb99ef9f8b@inbound.aiesec.org</t>
  </si>
  <si>
    <t>2022-05-24T14:33:34Z</t>
  </si>
  <si>
    <t>5032599_1272564</t>
  </si>
  <si>
    <t>Yara Hesham Negm El Deen</t>
  </si>
  <si>
    <t>p_0333cea77868233e8c6aafb287a6c79d380c1842@inbound.aiesec.org</t>
  </si>
  <si>
    <t>2022-04-09T21:01:42Z</t>
  </si>
  <si>
    <t>5010168_1288299</t>
  </si>
  <si>
    <t>Yassmin Barakat</t>
  </si>
  <si>
    <t>p_00a0b3ece6ad4bc4dd861791091808b26cb3d192@inbound.aiesec.org</t>
  </si>
  <si>
    <t>2022-03-28T09:13:02Z</t>
  </si>
  <si>
    <t>5034246_1288299</t>
  </si>
  <si>
    <t>Alaa Abdel Hafez</t>
  </si>
  <si>
    <t>p_cdcab67a8d8e2f9b9b929bb89b5856746173491d@inbound.aiesec.org</t>
  </si>
  <si>
    <t>2022-04-10T16:06:36Z</t>
  </si>
  <si>
    <t>4568726_1289012</t>
  </si>
  <si>
    <t>Ahmet ARCA</t>
  </si>
  <si>
    <t>p_9f002ce68f2c852ef78e2ad42024fcfd5438e50d@inbound.aiesec.org</t>
  </si>
  <si>
    <t>https://expa.aiesec.org/opportunities/1289012</t>
  </si>
  <si>
    <t>TEACHING ENGLISH IN LAM DONG, AN GIANG, HUE AND BUON MA THUOC</t>
  </si>
  <si>
    <t>DIYARBAKIR</t>
  </si>
  <si>
    <t>2021-03-05T17:54:56Z</t>
  </si>
  <si>
    <t>5094891_1278449</t>
  </si>
  <si>
    <t>Kanani Mohamed Belkouider</t>
  </si>
  <si>
    <t>p_5413bcebc96d815e4c7c53d92921fd96e4674d69@inbound.aiesec.org</t>
  </si>
  <si>
    <t>https://expa.aiesec.org/opportunities/1278449</t>
  </si>
  <si>
    <t>English Teacher In Uğur Okulları</t>
  </si>
  <si>
    <t>2022-08-18T07:42:19Z</t>
  </si>
  <si>
    <t>4744382_1281195</t>
  </si>
  <si>
    <t>Basma Chaoui</t>
  </si>
  <si>
    <t>p_393a9ace12dda30de2c33df52554314feb4322d6@inbound.aiesec.org</t>
  </si>
  <si>
    <t>Tetouan</t>
  </si>
  <si>
    <t>FLSH Tétouan</t>
  </si>
  <si>
    <t>2021-09-21T12:09:55Z</t>
  </si>
  <si>
    <t>5098308_1287942</t>
  </si>
  <si>
    <t>Bisma Hussain</t>
  </si>
  <si>
    <t>p_4a94dfa44a1a93206f8214f1ee1d612ff89ce926@inbound.aiesec.org</t>
  </si>
  <si>
    <t>Karachi South</t>
  </si>
  <si>
    <t>Karachi - PAF Karachi Institute of Economics &amp; Technology</t>
  </si>
  <si>
    <t>2022-08-23T23:43:54Z</t>
  </si>
  <si>
    <t>5097992_1289076</t>
  </si>
  <si>
    <t>SARA PASDAR</t>
  </si>
  <si>
    <t>p_0e5777fb86e1ae46a9e5c566093f24d8d5f6bc72@inbound.aiesec.org</t>
  </si>
  <si>
    <t>+905510702687</t>
  </si>
  <si>
    <t>ČZU Praha</t>
  </si>
  <si>
    <t>https://expa.aiesec.org/opportunities/1289076</t>
  </si>
  <si>
    <t>2022-08-23T12:50:40Z</t>
  </si>
  <si>
    <t>5096909_1288465</t>
  </si>
  <si>
    <t>Narmin Karimova</t>
  </si>
  <si>
    <t>p_c8c3bc9b6c0580668f3ebe1340da7c5350c1cd4e@inbound.aiesec.org</t>
  </si>
  <si>
    <t>https://expa.aiesec.org/opportunities/1288465</t>
  </si>
  <si>
    <t>English Teacher | Private Bolu English Language Course</t>
  </si>
  <si>
    <t>Azerbaijan University of Languages</t>
  </si>
  <si>
    <t>2022-08-21T17:26:07Z</t>
  </si>
  <si>
    <t>4816287_1287668</t>
  </si>
  <si>
    <t>Guy Alain Betranou Kouakou</t>
  </si>
  <si>
    <t>p_f866f7393fb45da60a843140f85eb1bf7768f11b@inbound.aiesec.org</t>
  </si>
  <si>
    <t>https://expa.aiesec.org/opportunities/1287668</t>
  </si>
  <si>
    <t>2021-11-25T09:18:54Z</t>
  </si>
  <si>
    <t>5100768_1281010</t>
  </si>
  <si>
    <t>ZAYNEB BEN ABDALLAH</t>
  </si>
  <si>
    <t>p_c65024361767f1720368df8318de16f85338d88a@inbound.aiesec.org</t>
  </si>
  <si>
    <t>https://expa.aiesec.org/opportunities/1281010</t>
  </si>
  <si>
    <t>ISLN</t>
  </si>
  <si>
    <t>2022-08-27T18:00:44Z</t>
  </si>
  <si>
    <t>5100031_1282247</t>
  </si>
  <si>
    <t>MUSTAFA SEMİH YILMAZ</t>
  </si>
  <si>
    <t>p_b546e8fc9b7563b7f96c894d4f2cd157127e99ee@inbound.aiesec.org</t>
  </si>
  <si>
    <t>Hyderabad</t>
  </si>
  <si>
    <t>https://expa.aiesec.org/opportunities/1282247</t>
  </si>
  <si>
    <t>Scale Up!</t>
  </si>
  <si>
    <t>2022-08-26T12:21:44Z</t>
  </si>
  <si>
    <t>2849250_1286120</t>
  </si>
  <si>
    <t>Zeynep Karaçam</t>
  </si>
  <si>
    <t>p_06d259b726079b7ee3357ce430d95a8644be6c5f@inbound.aiesec.org</t>
  </si>
  <si>
    <t>Cambodia</t>
  </si>
  <si>
    <t>LUCT</t>
  </si>
  <si>
    <t>https://expa.aiesec.org/opportunities/1286120</t>
  </si>
  <si>
    <t>Edutastic in Cambodia</t>
  </si>
  <si>
    <t>2018-11-09T17:20:45Z</t>
  </si>
  <si>
    <t>5101008_1286237</t>
  </si>
  <si>
    <t>Amel tasnim Oueslati</t>
  </si>
  <si>
    <t>p_3f15337da3adb775b666827ec58c8d08d62d0d68@inbound.aiesec.org</t>
  </si>
  <si>
    <t>https://expa.aiesec.org/opportunities/1286237</t>
  </si>
  <si>
    <t>FLSH Sousse</t>
  </si>
  <si>
    <t>2022-08-28T10:47:58Z</t>
  </si>
  <si>
    <t>5101007_1287490</t>
  </si>
  <si>
    <t>Fatma Fakhet</t>
  </si>
  <si>
    <t>p_d3569bb50fa34433a99ca9d878e25bad7873fa0c@inbound.aiesec.org</t>
  </si>
  <si>
    <t>https://expa.aiesec.org/opportunities/1287490</t>
  </si>
  <si>
    <t>Export Sales and Marketing Specialist in Rafex Company</t>
  </si>
  <si>
    <t>Institut supérieur de finances et de fiscalité isff</t>
  </si>
  <si>
    <t>2022-08-28T10:45:06Z</t>
  </si>
  <si>
    <t>5093021_1286836</t>
  </si>
  <si>
    <t>Meryeme Radoui</t>
  </si>
  <si>
    <t>p_e9c135e6d3937a361dd786778d518a045a7f9f82@inbound.aiesec.org</t>
  </si>
  <si>
    <t>2022-08-13T19:04:25Z</t>
  </si>
  <si>
    <t>4882738_1277443</t>
  </si>
  <si>
    <t>Billel Kabli</t>
  </si>
  <si>
    <t>p_37d76d8311ea682cb289393e49f9f899b12b410f@inbound.aiesec.org</t>
  </si>
  <si>
    <t>Ukraine</t>
  </si>
  <si>
    <t>IVANO-FRANKIVSK</t>
  </si>
  <si>
    <t>https://expa.aiesec.org/opportunities/1277443</t>
  </si>
  <si>
    <t xml:space="preserve">Chernivtsi </t>
  </si>
  <si>
    <t>2022-01-15T08:41:40Z</t>
  </si>
  <si>
    <t>5087430_1287509</t>
  </si>
  <si>
    <t>Alper Bayar</t>
  </si>
  <si>
    <t>p_2017e46253366259c0f039798401cbf01bfc010f@inbound.aiesec.org</t>
  </si>
  <si>
    <t>BRASOV</t>
  </si>
  <si>
    <t>https://expa.aiesec.org/opportunities/1287509</t>
  </si>
  <si>
    <t>ZONGULDAK</t>
  </si>
  <si>
    <t>2022-07-30T19:11:16Z</t>
  </si>
  <si>
    <t>4752066_1281010</t>
  </si>
  <si>
    <t>Liza Kravchenko</t>
  </si>
  <si>
    <t>p_9eb1693642e762eefbee7a9e2f18c72b50c09b0b@inbound.aiesec.org</t>
  </si>
  <si>
    <t>KHARKIV</t>
  </si>
  <si>
    <t>2021-09-28T19:15:28Z</t>
  </si>
  <si>
    <t>5099299_1288989</t>
  </si>
  <si>
    <t>Amal Krayem</t>
  </si>
  <si>
    <t>p_da1e500a77c9785a145c969bed217f3188733a7f@inbound.aiesec.org</t>
  </si>
  <si>
    <t>Tacapes</t>
  </si>
  <si>
    <t>https://expa.aiesec.org/opportunities/1288989</t>
  </si>
  <si>
    <t>ENIG</t>
  </si>
  <si>
    <t>2022-08-25T11:54:59Z</t>
  </si>
  <si>
    <t>4745204_1281338</t>
  </si>
  <si>
    <t>Kenza Saadi</t>
  </si>
  <si>
    <t>p_51971a7cba34e22739e4e5e028dd285b77d858cf@inbound.aiesec.org</t>
  </si>
  <si>
    <t>https://expa.aiesec.org/opportunities/1281338</t>
  </si>
  <si>
    <t>Collège LaSalle Casablanca</t>
  </si>
  <si>
    <t>2021-09-22T12:12:20Z</t>
  </si>
  <si>
    <t>5095033_1288995</t>
  </si>
  <si>
    <t>Eleftheria Litsardaki</t>
  </si>
  <si>
    <t>p_d5c7062ca00120c3bb5c44120b110f0e274d7c5a@inbound.aiesec.org</t>
  </si>
  <si>
    <t>https://expa.aiesec.org/opportunities/1288995</t>
  </si>
  <si>
    <t>INTERNATIONAL HELLENIC UNIVERSITY</t>
  </si>
  <si>
    <t>2022-08-18T13:03:44Z</t>
  </si>
  <si>
    <t>5095286_1288989</t>
  </si>
  <si>
    <t>Asma Krayem</t>
  </si>
  <si>
    <t>p_a4d35ca6517523159f7e9efd39112d1c1270e878@inbound.aiesec.org</t>
  </si>
  <si>
    <t>ISG Gabes</t>
  </si>
  <si>
    <t>2022-08-18T20:31:57Z</t>
  </si>
  <si>
    <t>4863492_1279516</t>
  </si>
  <si>
    <t>Faten Helmi</t>
  </si>
  <si>
    <t>p_1ebe547b5625211c91b7574d718dea3b493953e7@inbound.aiesec.org</t>
  </si>
  <si>
    <t>ESSAT GABES</t>
  </si>
  <si>
    <t>2022-01-02T02:19:00Z</t>
  </si>
  <si>
    <t>2477933_1289033</t>
  </si>
  <si>
    <t>Othmen Aridhi</t>
  </si>
  <si>
    <t>p_2ad7ac46ff4111c2f46fa3c6118afec1f512b881@inbound.aiesec.org</t>
  </si>
  <si>
    <t>https://expa.aiesec.org/opportunities/1289033</t>
  </si>
  <si>
    <t>Marketing Specialist - French</t>
  </si>
  <si>
    <t>ISET Bizerte</t>
  </si>
  <si>
    <t>2018-08-08T21:14:44Z</t>
  </si>
  <si>
    <t>5035398_1281895</t>
  </si>
  <si>
    <t>ipek cevizoğlugil</t>
  </si>
  <si>
    <t>p_9eae46c8ed810367ef8e304b3a5953543a3ce82d@inbound.aiesec.org</t>
  </si>
  <si>
    <t>https://expa.aiesec.org/opportunities/1281895</t>
  </si>
  <si>
    <t>2022-04-11T11:26:22Z</t>
  </si>
  <si>
    <t>5101707_1289076</t>
  </si>
  <si>
    <t>Berat Kerim Topcuoglu</t>
  </si>
  <si>
    <t>p_dc87488445338fe1a72238e0f1d73addc8dddc4c@inbound.aiesec.org</t>
  </si>
  <si>
    <t>2022-08-29T14:34:09Z</t>
  </si>
  <si>
    <t>5080813_1288813</t>
  </si>
  <si>
    <t>Mayar Darwish</t>
  </si>
  <si>
    <t>p_a6927947a976949f3071df8ffc9e6288499e15be@inbound.aiesec.org</t>
  </si>
  <si>
    <t>https://expa.aiesec.org/opportunities/1288813</t>
  </si>
  <si>
    <t>Call Center Customer Representative</t>
  </si>
  <si>
    <t>2022-07-08T01:38:36Z</t>
  </si>
  <si>
    <t>5077400_1288916</t>
  </si>
  <si>
    <t>Khulud Nurani</t>
  </si>
  <si>
    <t>p_a7af176186dcec77bcf13d15eb62d5834439411e@inbound.aiesec.org</t>
  </si>
  <si>
    <t>https://expa.aiesec.org/opportunities/1288916</t>
  </si>
  <si>
    <t>2022-06-28T08:18:05Z</t>
  </si>
  <si>
    <t>5074007_1281195</t>
  </si>
  <si>
    <t>Shashini Wijewardhana</t>
  </si>
  <si>
    <t>p_6ad6d0d1120432e9c5c6a879561fe0f52bc94a16@inbound.aiesec.org</t>
  </si>
  <si>
    <t>2022-06-18T05:26:22Z</t>
  </si>
  <si>
    <t>5103137_1284312</t>
  </si>
  <si>
    <t>berrak baykan</t>
  </si>
  <si>
    <t>p_66f54432f49d4cb943c5805a52e725979cebbc2f@inbound.aiesec.org</t>
  </si>
  <si>
    <t>https://expa.aiesec.org/opportunities/1284312</t>
  </si>
  <si>
    <t>2022-08-31T16:50:06Z</t>
  </si>
  <si>
    <t>5102369_1284312</t>
  </si>
  <si>
    <t>İrem Karataş</t>
  </si>
  <si>
    <t>p_9006e63fc8cfe9f46c8d3e4e6893113c6a80d7b7@inbound.aiesec.org</t>
  </si>
  <si>
    <t>2022-08-30T14:42:51Z</t>
  </si>
  <si>
    <t>4280809_1287942</t>
  </si>
  <si>
    <t>Amanat Baigenzheyeva</t>
  </si>
  <si>
    <t>p_6850b599f00ad72e50529c1ec78de2a5e7e68298@inbound.aiesec.org</t>
  </si>
  <si>
    <t>2020-04-30T18:25:35Z</t>
  </si>
  <si>
    <t>5098635_1286828</t>
  </si>
  <si>
    <t>Chaima Somai</t>
  </si>
  <si>
    <t>p_b168ce87410ab47a7294c94e766808faceae0b74@inbound.aiesec.org</t>
  </si>
  <si>
    <t>https://expa.aiesec.org/opportunities/1286828</t>
  </si>
  <si>
    <t>Content Creation Intern in Istanbul</t>
  </si>
  <si>
    <t>ISI Tunis</t>
  </si>
  <si>
    <t>2022-08-24T12:42:41Z</t>
  </si>
  <si>
    <t>1560568_1286753</t>
  </si>
  <si>
    <t>Cavidan Firuze Ozcan</t>
  </si>
  <si>
    <t>p_5b57f867dc0501dfb3f628877d294163eb5cefc7@inbound.aiesec.org</t>
  </si>
  <si>
    <t>Denmark</t>
  </si>
  <si>
    <t>Copenhagen</t>
  </si>
  <si>
    <t>https://expa.aiesec.org/opportunities/1286753</t>
  </si>
  <si>
    <t>SAP Consultant and developer</t>
  </si>
  <si>
    <t>2017-05-08T18:43:23Z</t>
  </si>
  <si>
    <t>3373622_1286443</t>
  </si>
  <si>
    <t>Melda Korkudan</t>
  </si>
  <si>
    <t>p_26b57828e01e190dd05572e738c10dd08922d07f@inbound.aiesec.org</t>
  </si>
  <si>
    <t>PRAGUE</t>
  </si>
  <si>
    <t>https://expa.aiesec.org/opportunities/1286443</t>
  </si>
  <si>
    <t>2019-04-27T16:20:46Z</t>
  </si>
  <si>
    <t>5094398_1289016</t>
  </si>
  <si>
    <t>Eranga Bowatte</t>
  </si>
  <si>
    <t>p_fbb20fdc68db522fab411da2e1e38b17a08207ae@inbound.aiesec.org</t>
  </si>
  <si>
    <t>https://expa.aiesec.org/opportunities/1289016</t>
  </si>
  <si>
    <t>2022-08-17T12:03:00Z</t>
  </si>
  <si>
    <t>5096587_1288531</t>
  </si>
  <si>
    <t>Ata Arslan</t>
  </si>
  <si>
    <t>p_9b27b52d9dc4e7096b0fa87b7545af29e3a13c79@inbound.aiesec.org</t>
  </si>
  <si>
    <t>https://expa.aiesec.org/opportunities/1288531</t>
  </si>
  <si>
    <t>2022-08-21T09:21:36Z</t>
  </si>
  <si>
    <t>4776104_1288871</t>
  </si>
  <si>
    <t>Henchi Imene</t>
  </si>
  <si>
    <t>p_81a3699d3fd416d24decf75a86af03ff31cd58e7@inbound.aiesec.org</t>
  </si>
  <si>
    <t>https://expa.aiesec.org/opportunities/1288871</t>
  </si>
  <si>
    <t xml:space="preserve"> English Teacher</t>
  </si>
  <si>
    <t>2021-10-27T18:45:36Z</t>
  </si>
  <si>
    <t>2063275_1288813</t>
  </si>
  <si>
    <t>Ruba Safwan</t>
  </si>
  <si>
    <t>p_47a07bd0a5f08caf8904b2579b1ebf4b9a043664@inbound.aiesec.org</t>
  </si>
  <si>
    <t>2018-02-26T01:58:53Z</t>
  </si>
  <si>
    <t>5097064_1288663</t>
  </si>
  <si>
    <t>MADHUPRIYA C N</t>
  </si>
  <si>
    <t>p_9c47fd75ff3366b9dcaedec6ce65d8933722796b@inbound.aiesec.org</t>
  </si>
  <si>
    <t>2022-08-22T04:10:06Z</t>
  </si>
  <si>
    <t>1985110_1289326</t>
  </si>
  <si>
    <t>Meriem Ould belabbas</t>
  </si>
  <si>
    <t>p_5c9b8ed6079cc6ddd4b733e1f08b44cef5e588a3@inbound.aiesec.org</t>
  </si>
  <si>
    <t>https://expa.aiesec.org/opportunities/1289326</t>
  </si>
  <si>
    <t>Kindergarden English Teacher</t>
  </si>
  <si>
    <t>2018-01-08T20:29:44Z</t>
  </si>
  <si>
    <t>5104417_1288991</t>
  </si>
  <si>
    <t>Farha Elsafy</t>
  </si>
  <si>
    <t>p_411016031e0062d1a6280160ae59b0d93003d943@inbound.aiesec.org</t>
  </si>
  <si>
    <t>AAST Alexandria</t>
  </si>
  <si>
    <t>https://expa.aiesec.org/opportunities/1288991</t>
  </si>
  <si>
    <t>AAST in Alexandria</t>
  </si>
  <si>
    <t>2022-09-02T17:05:14Z</t>
  </si>
  <si>
    <t>5101776_1289155</t>
  </si>
  <si>
    <t>Șerban Barbu</t>
  </si>
  <si>
    <t>p_230feed1054eb347219ec11b3772f45461c21886@inbound.aiesec.org</t>
  </si>
  <si>
    <t>University of Bucharest</t>
  </si>
  <si>
    <t>https://expa.aiesec.org/opportunities/1289155</t>
  </si>
  <si>
    <t>2022-08-29T15:57:19Z</t>
  </si>
  <si>
    <t>5103398_1287565</t>
  </si>
  <si>
    <t>Asma Mahmoud</t>
  </si>
  <si>
    <t>p_25cb4be79d85eb29dd2ba2c59b6833aadf6f99e9@inbound.aiesec.org</t>
  </si>
  <si>
    <t>6th October University</t>
  </si>
  <si>
    <t>https://expa.aiesec.org/opportunities/1287565</t>
  </si>
  <si>
    <t>2022-09-01T04:19:27Z</t>
  </si>
  <si>
    <t>4736833_1288813</t>
  </si>
  <si>
    <t>Toqqa Abdelaziz</t>
  </si>
  <si>
    <t>p_f4ddeea8eff9aaa40bd580e51449ca58b51d5dd8@inbound.aiesec.org</t>
  </si>
  <si>
    <t>2021-09-14T10:38:26Z</t>
  </si>
  <si>
    <t>5039210_1285597</t>
  </si>
  <si>
    <t>Ilhem Sefi</t>
  </si>
  <si>
    <t>p_faf0678034199dd20c30590af89097441eb9838f@inbound.aiesec.org</t>
  </si>
  <si>
    <t>https://expa.aiesec.org/opportunities/1285597</t>
  </si>
  <si>
    <t xml:space="preserve">FLSH sfax </t>
  </si>
  <si>
    <t>2022-04-14T19:36:23Z</t>
  </si>
  <si>
    <t>5101087_1289328</t>
  </si>
  <si>
    <t>Meriem Mekni</t>
  </si>
  <si>
    <t>p_7d2412353b602da489ee9f0957b13698ba59bc19@inbound.aiesec.org</t>
  </si>
  <si>
    <t>https://expa.aiesec.org/opportunities/1289328</t>
  </si>
  <si>
    <t>Language Teacher</t>
  </si>
  <si>
    <t>2022-08-28T12:51:42Z</t>
  </si>
  <si>
    <t>5102819_1287942</t>
  </si>
  <si>
    <t>Sahila Aslanova</t>
  </si>
  <si>
    <t>p_c255587b50875fa2daa2485ad8c6174ed2a92f54@inbound.aiesec.org</t>
  </si>
  <si>
    <t>2022-08-31T09:26:07Z</t>
  </si>
  <si>
    <t>3775645_1288663</t>
  </si>
  <si>
    <t>Asmaa Hesham</t>
  </si>
  <si>
    <t>p_71b2679f5fc79195fa47e0b6c83ed3f877191847@inbound.aiesec.org</t>
  </si>
  <si>
    <t>2019-08-18T21:03:03Z</t>
  </si>
  <si>
    <t>5089140_1288663</t>
  </si>
  <si>
    <t>Hafssa Chtouki</t>
  </si>
  <si>
    <t>p_74b19c33df765c266f177989cae39c74f17b44b6@inbound.aiesec.org</t>
  </si>
  <si>
    <t>ISIT Tanger</t>
  </si>
  <si>
    <t>2022-08-04T10:15:26Z</t>
  </si>
  <si>
    <t>5088960_1288970</t>
  </si>
  <si>
    <t>Jelena Brajević</t>
  </si>
  <si>
    <t>p_71ff21b15af7bbedb9d970440b09ba0f21f89f4c@inbound.aiesec.org</t>
  </si>
  <si>
    <t>Bg</t>
  </si>
  <si>
    <t>https://expa.aiesec.org/opportunities/1288970</t>
  </si>
  <si>
    <t>2022-08-04T00:30:29Z</t>
  </si>
  <si>
    <t>1812189_1284668</t>
  </si>
  <si>
    <t>Alaaallah Abdallah</t>
  </si>
  <si>
    <t>p_52cba29fa5ecdbba131d391af8fa7abc6b5b5b21@inbound.aiesec.org</t>
  </si>
  <si>
    <t>https://expa.aiesec.org/opportunities/1284668</t>
  </si>
  <si>
    <t>Kindergarden Teacher</t>
  </si>
  <si>
    <t>2017-10-23T08:56:25Z</t>
  </si>
  <si>
    <t>5053544_1288533</t>
  </si>
  <si>
    <t>Ayesha Shahwar</t>
  </si>
  <si>
    <t>p_24aaac31ae16dc4b87e5b7308e8a3c1a062eaf76@inbound.aiesec.org</t>
  </si>
  <si>
    <t>https://expa.aiesec.org/opportunities/1288533</t>
  </si>
  <si>
    <t>2022-05-09T12:04:04Z</t>
  </si>
  <si>
    <t>5098576_1288916</t>
  </si>
  <si>
    <t>Mwanaidi Maarifa</t>
  </si>
  <si>
    <t>p_45acbbdf1640a2dd4fe92b519c35c541ee5731c8@inbound.aiesec.org</t>
  </si>
  <si>
    <t>2022-08-24T10:21:44Z</t>
  </si>
  <si>
    <t>3801424_1288245</t>
  </si>
  <si>
    <t>Yusra Laiq</t>
  </si>
  <si>
    <t>p_de98cb22771e1046c330be16138e84acacc635b2@inbound.aiesec.org</t>
  </si>
  <si>
    <t>Karachi</t>
  </si>
  <si>
    <t>Karachi - Other</t>
  </si>
  <si>
    <t>2019-08-29T15:23:19Z</t>
  </si>
  <si>
    <t>4209144_1279516</t>
  </si>
  <si>
    <t>Andres Gomez rubio</t>
  </si>
  <si>
    <t>p_81574303c09407c62f760eb4268e9b67de6e6d54@inbound.aiesec.org</t>
  </si>
  <si>
    <t>ECI</t>
  </si>
  <si>
    <t>Bogotá - Universidad de la Sabana</t>
  </si>
  <si>
    <t>2020-02-23T15:41:07Z</t>
  </si>
  <si>
    <t>5048772_1283385</t>
  </si>
  <si>
    <t>Cassandra Paterson</t>
  </si>
  <si>
    <t>p_235f9beff40f7050d74e4f89a4461ebddb738f6a@inbound.aiesec.org</t>
  </si>
  <si>
    <t>South Africa</t>
  </si>
  <si>
    <t>University of Cape Town</t>
  </si>
  <si>
    <t>https://expa.aiesec.org/opportunities/1283385</t>
  </si>
  <si>
    <t xml:space="preserve">University of Cape Town </t>
  </si>
  <si>
    <t>2022-04-29T20:19:52Z</t>
  </si>
  <si>
    <t>3006681_1288864</t>
  </si>
  <si>
    <t>Salah El Hassnaoui</t>
  </si>
  <si>
    <t>p_df3b69dc07a5bae41645315752a4c4d524215db2@inbound.aiesec.org</t>
  </si>
  <si>
    <t>https://expa.aiesec.org/opportunities/1288864</t>
  </si>
  <si>
    <t>English Teacher in Pelikan College</t>
  </si>
  <si>
    <t>Other-MEKNES</t>
  </si>
  <si>
    <t>2019-01-07T22:42:55Z</t>
  </si>
  <si>
    <t>4448413_1288989</t>
  </si>
  <si>
    <t>Ghada Saidi</t>
  </si>
  <si>
    <t>p_25fb42d20a331c548e9496c9c94afad510af8ff0@inbound.aiesec.org</t>
  </si>
  <si>
    <t>2020-11-27T19:16:26Z</t>
  </si>
  <si>
    <t>4936082_1288533</t>
  </si>
  <si>
    <t>Vanshika Mahajan</t>
  </si>
  <si>
    <t>p_34755868942d5a66e5865b268f2add78cc2668a6@inbound.aiesec.org</t>
  </si>
  <si>
    <t>2022-02-18T10:03:45Z</t>
  </si>
  <si>
    <t>3095072_1278449</t>
  </si>
  <si>
    <t>Ataallah Fathi</t>
  </si>
  <si>
    <t>p_19686e08a6ee1bb51c87a450323ff6380f57a6e4@inbound.aiesec.org</t>
  </si>
  <si>
    <t>2019-02-19T23:40:17Z</t>
  </si>
  <si>
    <t>5103004_1288970</t>
  </si>
  <si>
    <t>Nathalia Kleber</t>
  </si>
  <si>
    <t>p_121a6e8a80cc13ef7f58b4818cba0c9fa1a89d63@inbound.aiesec.org</t>
  </si>
  <si>
    <t>USP</t>
  </si>
  <si>
    <t>2022-08-31T14:13:07Z</t>
  </si>
  <si>
    <t>5103790_1289076</t>
  </si>
  <si>
    <t>Yusuf Kaya</t>
  </si>
  <si>
    <t>p_50507a0cfca572f52293e312da5429a6eb9ceacb@inbound.aiesec.org</t>
  </si>
  <si>
    <t>2022-09-01T19:35:32Z</t>
  </si>
  <si>
    <t>4168443_1288916</t>
  </si>
  <si>
    <t>Mariem Ben Aissa</t>
  </si>
  <si>
    <t>p_f7e1945657deb713bd41498838211351caaaba1c@inbound.aiesec.org</t>
  </si>
  <si>
    <t>2020-02-05T16:58:41Z</t>
  </si>
  <si>
    <t>5101850_1289076</t>
  </si>
  <si>
    <t>Nazlı Doğa Korkmaz</t>
  </si>
  <si>
    <t>p_25cb0533c5e414694e7532b1badcb1a4d9be47d3@inbound.aiesec.org</t>
  </si>
  <si>
    <t>2022-08-29T17:55:58Z</t>
  </si>
  <si>
    <t>3825033_1282655</t>
  </si>
  <si>
    <t>Viviana Herrera</t>
  </si>
  <si>
    <t>p_1ad37b0db55405173f2362dbea157ac2517d50ae@inbound.aiesec.org</t>
  </si>
  <si>
    <t>IBAGUÉ</t>
  </si>
  <si>
    <t>https://expa.aiesec.org/opportunities/1282655</t>
  </si>
  <si>
    <t>Ibagué - Universidad de Ibagué</t>
  </si>
  <si>
    <t>2019-09-09T21:36:00Z</t>
  </si>
  <si>
    <t>5105594_1284489</t>
  </si>
  <si>
    <t>Zeynep Yağmur Somsa</t>
  </si>
  <si>
    <t>p_b2a0024cfdeffe9174a53e3e2150f7bb1eacac2c@inbound.aiesec.org</t>
  </si>
  <si>
    <t>https://expa.aiesec.org/opportunities/1284489</t>
  </si>
  <si>
    <t>2022-09-04T18:21:15Z</t>
  </si>
  <si>
    <t>783413_1288813</t>
  </si>
  <si>
    <t>El Hassan Elorfi</t>
  </si>
  <si>
    <t>p_46982af01e7f58ccc94e70f30e85f8689ed8a07e@inbound.aiesec.org</t>
  </si>
  <si>
    <t>2015-11-26T06:31:30Z</t>
  </si>
  <si>
    <t>2995807_1284618</t>
  </si>
  <si>
    <t>Nour Dahmane</t>
  </si>
  <si>
    <t>p_275fdfbf7fcc54f1d39a63b06699b3c82749895f@inbound.aiesec.org</t>
  </si>
  <si>
    <t>https://expa.aiesec.org/opportunities/1284618</t>
  </si>
  <si>
    <t>English Teacher at Minidil</t>
  </si>
  <si>
    <t>2018-12-27T10:33:19Z</t>
  </si>
  <si>
    <t>5102307_1287925</t>
  </si>
  <si>
    <t>Radhouene Machfar</t>
  </si>
  <si>
    <t>p_0199e2a880c1fb05faa35acf2dcfab1f311d5464@inbound.aiesec.org</t>
  </si>
  <si>
    <t>THYNA</t>
  </si>
  <si>
    <t>ISAAS</t>
  </si>
  <si>
    <t>2022-08-30T13:28:26Z</t>
  </si>
  <si>
    <t>4964683_1288970</t>
  </si>
  <si>
    <t>Ahmed Adly</t>
  </si>
  <si>
    <t>p_902ea0c76e1d7c5af399f7dc35667f15b1e7949a@inbound.aiesec.org</t>
  </si>
  <si>
    <t>2022-03-05T13:08:37Z</t>
  </si>
  <si>
    <t>5106370_1287854</t>
  </si>
  <si>
    <t>Tainá Pinto</t>
  </si>
  <si>
    <t>p_32decb57665a39eca5ee3bcd9d6745d0d0fb0acf@inbound.aiesec.org</t>
  </si>
  <si>
    <t>ARACAJU</t>
  </si>
  <si>
    <t>Aracaju</t>
  </si>
  <si>
    <t>2022-09-06T01:15:53Z</t>
  </si>
  <si>
    <t>5085675_1288813</t>
  </si>
  <si>
    <t>DOHA HAMRANI</t>
  </si>
  <si>
    <t>p_14386caff317a5d00b87778d8a68351baf9f99de@inbound.aiesec.org</t>
  </si>
  <si>
    <t>EST Casablanca</t>
  </si>
  <si>
    <t>2022-07-25T11:37:24Z</t>
  </si>
  <si>
    <t>5077115_1286326</t>
  </si>
  <si>
    <t>Firdaws Ouquessiss</t>
  </si>
  <si>
    <t>p_cfb536cf5e19be1ee06f7d48587a04caae7a839a@inbound.aiesec.org</t>
  </si>
  <si>
    <t>Universités de Paris</t>
  </si>
  <si>
    <t>Paris - other University</t>
  </si>
  <si>
    <t>2022-06-27T13:48:46Z</t>
  </si>
  <si>
    <t>5109385_1263211</t>
  </si>
  <si>
    <t>Abir Ferroukhi</t>
  </si>
  <si>
    <t>p_8aaefb7318c9a81e8a167297c97f66a800c597a5@inbound.aiesec.org</t>
  </si>
  <si>
    <t>https://expa.aiesec.org/opportunities/1263211</t>
  </si>
  <si>
    <t>2022-09-10T12:51:44Z</t>
  </si>
  <si>
    <t>5106900_1288245</t>
  </si>
  <si>
    <t>Sohila Omar</t>
  </si>
  <si>
    <t>p_e52ddc8fcd6ced0f091c4ce407c88eecd0092da2@inbound.aiesec.org</t>
  </si>
  <si>
    <t>2022-09-06T18:05:33Z</t>
  </si>
  <si>
    <t>5013993_1282161</t>
  </si>
  <si>
    <t>Aydanur Yıldız</t>
  </si>
  <si>
    <t>p_e2d11441c057fe273028811f2ea0787679e1a3d7@inbound.aiesec.org</t>
  </si>
  <si>
    <t>2022-03-29T17:43:02Z</t>
  </si>
  <si>
    <t>5107208_1287247</t>
  </si>
  <si>
    <t>Rabia Aslihan Dalbay</t>
  </si>
  <si>
    <t>p_990cede54025d87ecb76311a5be9ff004b93c81b@inbound.aiesec.org</t>
  </si>
  <si>
    <t>2022-09-07T19:39:47Z</t>
  </si>
  <si>
    <t>5107924_1287722</t>
  </si>
  <si>
    <t>seda özmen</t>
  </si>
  <si>
    <t>p_79064e242cb981d2b607ed5da6b1f2501e59bb6d@inbound.aiesec.org</t>
  </si>
  <si>
    <t>https://expa.aiesec.org/opportunities/1287722</t>
  </si>
  <si>
    <t>Eat 4 Change</t>
  </si>
  <si>
    <t>BARTIN</t>
  </si>
  <si>
    <t>2022-09-08T15:09:58Z</t>
  </si>
  <si>
    <t>5101301_1289020</t>
  </si>
  <si>
    <t>Kamshat Bolegenova</t>
  </si>
  <si>
    <t>p_f85be7c25d620b28d1c34e4b150c4fed465ebbaf@inbound.aiesec.org</t>
  </si>
  <si>
    <t>https://expa.aiesec.org/opportunities/1289020</t>
  </si>
  <si>
    <t>2022-08-28T20:05:18Z</t>
  </si>
  <si>
    <t>5111353_1282578</t>
  </si>
  <si>
    <t>Malek El Bey</t>
  </si>
  <si>
    <t>p_f604c24d04001f0c1eb0464d941783b7c353579e@inbound.aiesec.org</t>
  </si>
  <si>
    <t>https://expa.aiesec.org/opportunities/1282578</t>
  </si>
  <si>
    <t>2022-09-13T11:53:03Z</t>
  </si>
  <si>
    <t>5110919_1277661</t>
  </si>
  <si>
    <t>Naoufal touijar</t>
  </si>
  <si>
    <t>p_466251569fbb32bba33cec5e4d7c0fa0900ae490@inbound.aiesec.org</t>
  </si>
  <si>
    <t>https://expa.aiesec.org/opportunities/1277661</t>
  </si>
  <si>
    <t>English Teacher in Körfez Uğur Okulları</t>
  </si>
  <si>
    <t>Other-TETOUAN</t>
  </si>
  <si>
    <t>2022-09-12T17:41:14Z</t>
  </si>
  <si>
    <t>3996417_1277661</t>
  </si>
  <si>
    <t>HANTAL OSSAMA</t>
  </si>
  <si>
    <t>p_13f1f7e82bc9515d346e314a986982b96d44c611@inbound.aiesec.org</t>
  </si>
  <si>
    <t>2019-11-15T13:30:44Z</t>
  </si>
  <si>
    <t>5104127_1288533</t>
  </si>
  <si>
    <t>Slim Ben mansour</t>
  </si>
  <si>
    <t>p_46f60cb57172a73a2d625e013f377fe9eff804b5@inbound.aiesec.org</t>
  </si>
  <si>
    <t>ISAM Sfax</t>
  </si>
  <si>
    <t>2022-09-02T11:21:35Z</t>
  </si>
  <si>
    <t>5109376_1282747</t>
  </si>
  <si>
    <t>Taha Tuncay</t>
  </si>
  <si>
    <t>p_2b1be3451c96a7ed6025a811160be53a95d3fa05@inbound.aiesec.org</t>
  </si>
  <si>
    <t>https://expa.aiesec.org/opportunities/1282747</t>
  </si>
  <si>
    <t>2022-09-10T12:40:26Z</t>
  </si>
  <si>
    <t>5108805_1288414</t>
  </si>
  <si>
    <t>Sude Gökalp</t>
  </si>
  <si>
    <t>p_7f34619e12b935ba68372809a863037c060604e6@inbound.aiesec.org</t>
  </si>
  <si>
    <t xml:space="preserve">JAIPUR </t>
  </si>
  <si>
    <t>https://expa.aiesec.org/opportunities/1288414</t>
  </si>
  <si>
    <t>2022-09-09T15:33:35Z</t>
  </si>
  <si>
    <t>4773336_1281106</t>
  </si>
  <si>
    <t>Hadil Moussawi</t>
  </si>
  <si>
    <t>p_75db7bcc8cd0d811523457cead434a1a940c2c7d@inbound.aiesec.org</t>
  </si>
  <si>
    <t>https://expa.aiesec.org/opportunities/1281106</t>
  </si>
  <si>
    <t>Marketing Opportunity on Alindair Soğutma Sistemleri</t>
  </si>
  <si>
    <t>2021-10-25T10:50:28Z</t>
  </si>
  <si>
    <t>5069717_1288393</t>
  </si>
  <si>
    <t>rishibha goyal</t>
  </si>
  <si>
    <t>p_4a23a80fc7f50ddc9ec0f5d71c35b88dd10ac608@inbound.aiesec.org</t>
  </si>
  <si>
    <t>North Campus, Delhi University</t>
  </si>
  <si>
    <t>2022-06-07T14:29:00Z</t>
  </si>
  <si>
    <t>5088150_1289390</t>
  </si>
  <si>
    <t>Dias Yessenkeldi</t>
  </si>
  <si>
    <t>p_ded14e94898f8bb68744cfb4cb36a9095a52ad17@inbound.aiesec.org</t>
  </si>
  <si>
    <t>https://expa.aiesec.org/opportunities/1289390</t>
  </si>
  <si>
    <t>Kindergarten Teacher in Tuncay Emir Okulları</t>
  </si>
  <si>
    <t>2022-08-02T05:57:23Z</t>
  </si>
  <si>
    <t>5107246_1288393</t>
  </si>
  <si>
    <t>Shahab-Uddin Khan</t>
  </si>
  <si>
    <t>p_0f25f1cd7979e375b6ad7921b92840723821b148@inbound.aiesec.org</t>
  </si>
  <si>
    <t>OSHAWA</t>
  </si>
  <si>
    <t>Ontario Tech University</t>
  </si>
  <si>
    <t>2022-09-07T21:18:19Z</t>
  </si>
  <si>
    <t>5086147_1284312</t>
  </si>
  <si>
    <t>Yağmur Güngör</t>
  </si>
  <si>
    <t>p_b8e4ed4b00c4504fec005e34714431eccc9d42c4@inbound.aiesec.org</t>
  </si>
  <si>
    <t>2022-07-26T19:22:24Z</t>
  </si>
  <si>
    <t>5104878_1288745</t>
  </si>
  <si>
    <t>EBRAR BOZKURT</t>
  </si>
  <si>
    <t>p_2354d869ae435c55ac1f43bdb25a0a4bf3efedaa@inbound.aiesec.org</t>
  </si>
  <si>
    <t>https://expa.aiesec.org/opportunities/1288745</t>
  </si>
  <si>
    <t>2022-09-03T14:35:27Z</t>
  </si>
  <si>
    <t>4219546_1281195</t>
  </si>
  <si>
    <t>Altynai Kanzharbek kyzy</t>
  </si>
  <si>
    <t>p_771e81a34ec45f0b1a90510632a84ad86825f453@inbound.aiesec.org</t>
  </si>
  <si>
    <t>КНУ (Другие факультеты)</t>
  </si>
  <si>
    <t>2020-02-27T12:26:00Z</t>
  </si>
  <si>
    <t>5094048_1289615</t>
  </si>
  <si>
    <t>wafa , khalfallah</t>
  </si>
  <si>
    <t>p_d69ca81b3fe17965b36ed88a729fcea9f6492e13@inbound.aiesec.org</t>
  </si>
  <si>
    <t>https://expa.aiesec.org/opportunities/1289615</t>
  </si>
  <si>
    <t>English Teacher in Düşün Kindergarten (LONG)</t>
  </si>
  <si>
    <t>2022-08-16T17:00:28Z</t>
  </si>
  <si>
    <t>5111932_1289423</t>
  </si>
  <si>
    <t>Sergio Zgheib</t>
  </si>
  <si>
    <t>p_d0ba1c513f18cea96f312e76e96db126b99539ce@inbound.aiesec.org</t>
  </si>
  <si>
    <t>Lebanon</t>
  </si>
  <si>
    <t>Beirut</t>
  </si>
  <si>
    <t>https://expa.aiesec.org/opportunities/1289423</t>
  </si>
  <si>
    <t>Mechanical Engineer in  MARTUR Company(MID)</t>
  </si>
  <si>
    <t>2022-09-14T06:52:57Z</t>
  </si>
  <si>
    <t>5085757_1287851</t>
  </si>
  <si>
    <t>Lynn Maina</t>
  </si>
  <si>
    <t>p_f2861628985cf68225709e82c9f44e44675664e3@inbound.aiesec.org</t>
  </si>
  <si>
    <t>2022-07-25T15:36:43Z</t>
  </si>
  <si>
    <t>5113482_1289214</t>
  </si>
  <si>
    <t>Ritvik Agarwal</t>
  </si>
  <si>
    <t>p_f31fed77da6a9e23d337e9d2a0726457caab4564@inbound.aiesec.org</t>
  </si>
  <si>
    <t>Pune</t>
  </si>
  <si>
    <t>https://expa.aiesec.org/opportunities/1289214</t>
  </si>
  <si>
    <t>2022-09-16T06:01:06Z</t>
  </si>
  <si>
    <t>5096690_1288393</t>
  </si>
  <si>
    <t>Valentina Cvetković</t>
  </si>
  <si>
    <t>p_43c06c601cbdc93eede602450a36777715a77b76@inbound.aiesec.org</t>
  </si>
  <si>
    <t>Faculty of Philology, Belgrade</t>
  </si>
  <si>
    <t>2022-08-21T12:54:16Z</t>
  </si>
  <si>
    <t>5099129_1289016</t>
  </si>
  <si>
    <t>Maha Hourani</t>
  </si>
  <si>
    <t>p_0db720603803d65cd90ee2972a5eb7e8a62e7f3b@inbound.aiesec.org</t>
  </si>
  <si>
    <t>Mansoura</t>
  </si>
  <si>
    <t>2022-08-25T06:12:13Z</t>
  </si>
  <si>
    <t>4633436_1289502</t>
  </si>
  <si>
    <t>Asma Dahak</t>
  </si>
  <si>
    <t>p_44cf24cb2ca5a32f307dc97adb51d56ce6830419@inbound.aiesec.org</t>
  </si>
  <si>
    <t>https://expa.aiesec.org/opportunities/1289502</t>
  </si>
  <si>
    <t>2021-04-30T16:16:59Z</t>
  </si>
  <si>
    <t>4633447_1289502</t>
  </si>
  <si>
    <t>Chayma Najjar</t>
  </si>
  <si>
    <t>p_2aeb20bdc2ae3348801faf801f607c18b2465533@inbound.aiesec.org</t>
  </si>
  <si>
    <t>+216 28 630 606</t>
  </si>
  <si>
    <t>2021-04-30T16:33:28Z</t>
  </si>
  <si>
    <t>5066069_1289095</t>
  </si>
  <si>
    <t>Nada Nasreldin</t>
  </si>
  <si>
    <t>p_de5ca6225b83dce6c6c5d7f4243127175c8fac44@inbound.aiesec.org</t>
  </si>
  <si>
    <t>https://expa.aiesec.org/opportunities/1289095</t>
  </si>
  <si>
    <t>2022-05-30T15:34:39Z</t>
  </si>
  <si>
    <t>5103162_1288393</t>
  </si>
  <si>
    <t>Lucas Roque</t>
  </si>
  <si>
    <t>p_0e558551eef2e3ba01e4d1ff4be3c62f4753c958@inbound.aiesec.org</t>
  </si>
  <si>
    <t>2022-08-31T17:39:10Z</t>
  </si>
  <si>
    <t>4877555_1278298</t>
  </si>
  <si>
    <t>Hakoum Annouar</t>
  </si>
  <si>
    <t>p_be08205d63f73d837f02f87472080baaa8605bd3@inbound.aiesec.org</t>
  </si>
  <si>
    <t>2022-01-12T02:09:11Z</t>
  </si>
  <si>
    <t>3248900_1287942</t>
  </si>
  <si>
    <t>5114158_1288798</t>
  </si>
  <si>
    <t>Sudenaz Akın</t>
  </si>
  <si>
    <t>p_db9c7f629a058cde1e5654ec8baba316857d0699@inbound.aiesec.org</t>
  </si>
  <si>
    <t>https://expa.aiesec.org/opportunities/1288798</t>
  </si>
  <si>
    <t>2022-09-17T11:30:33Z</t>
  </si>
  <si>
    <t>5102267_1272564</t>
  </si>
  <si>
    <t>Umar Ahamed</t>
  </si>
  <si>
    <t>p_647f07cb8940f8fffa32fe7a4a629240ca2b49b3@inbound.aiesec.org</t>
  </si>
  <si>
    <t>St. Stephen's College, Delhi</t>
  </si>
  <si>
    <t>2022-08-30T12:23:45Z</t>
  </si>
  <si>
    <t>5098670_1289441</t>
  </si>
  <si>
    <t>Dariia Pulyk</t>
  </si>
  <si>
    <t>p_dca41fff5ca6457807e58103de3c8590bb1ba167@inbound.aiesec.org</t>
  </si>
  <si>
    <t>CHERNIVTSI</t>
  </si>
  <si>
    <t>https://expa.aiesec.org/opportunities/1289441</t>
  </si>
  <si>
    <t>International Market Expansion in Izmir (Russian/Ukrainian Speaker)</t>
  </si>
  <si>
    <t>Chernivtsi</t>
  </si>
  <si>
    <t>2022-08-24T13:47:16Z</t>
  </si>
  <si>
    <t>5083007_1285687</t>
  </si>
  <si>
    <t>Tamara Tapkhasova</t>
  </si>
  <si>
    <t>p_d52ad116a38446e55def982aee49b4daab2a20f4@inbound.aiesec.org</t>
  </si>
  <si>
    <t>Astana</t>
  </si>
  <si>
    <t>2022-07-15T17:15:35Z</t>
  </si>
  <si>
    <t>2176152_1289314</t>
  </si>
  <si>
    <t>Souad BOUSLAH</t>
  </si>
  <si>
    <t>p_dd9d85986b82ab857fd1828977c1e77d652a3005@inbound.aiesec.org</t>
  </si>
  <si>
    <t>https://expa.aiesec.org/opportunities/1289314</t>
  </si>
  <si>
    <t>English Teacher in Namık Altaş School</t>
  </si>
  <si>
    <t>2018-04-06T23:36:56Z</t>
  </si>
  <si>
    <t>5113344_1287854</t>
  </si>
  <si>
    <t>Lara Leiro</t>
  </si>
  <si>
    <t>p_289160f8905e853ffebcff56531a9ad04568a498@inbound.aiesec.org</t>
  </si>
  <si>
    <t>11 99515-6996</t>
  </si>
  <si>
    <t>São Paulo - USP</t>
  </si>
  <si>
    <t>2022-09-15T20:37:19Z</t>
  </si>
  <si>
    <t>5050625_1288256</t>
  </si>
  <si>
    <t>Sarah Ben Hammouda</t>
  </si>
  <si>
    <t>p_1eac0ce888cab5d300a0698aef93ed6c07f976ab@inbound.aiesec.org</t>
  </si>
  <si>
    <t>https://expa.aiesec.org/opportunities/1288256</t>
  </si>
  <si>
    <t>Institut supérieur des technologies médicales de Tunis ISTMT</t>
  </si>
  <si>
    <t>2022-05-03T22:45:43Z</t>
  </si>
  <si>
    <t>3387200_1281195</t>
  </si>
  <si>
    <t>Syed Muhammad Mohsin Jilani</t>
  </si>
  <si>
    <t>p_ded023dbd3be54c9e78b45a42bc71ebcd8d7847f@inbound.aiesec.org</t>
  </si>
  <si>
    <t>2019-05-01T14:38:03Z</t>
  </si>
  <si>
    <t>1858347_1289593</t>
  </si>
  <si>
    <t>Soukayna Chkah</t>
  </si>
  <si>
    <t>p_d41448794e8a8a8ac70976d4ed0699fdd9192015@inbound.aiesec.org</t>
  </si>
  <si>
    <t>https://expa.aiesec.org/opportunities/1289593</t>
  </si>
  <si>
    <t xml:space="preserve"> English Teacher </t>
  </si>
  <si>
    <t>2017-11-10T01:36:14Z</t>
  </si>
  <si>
    <t>5100079_1289124</t>
  </si>
  <si>
    <t>Nasrallah Menad</t>
  </si>
  <si>
    <t>p_1c447e30a42e35ca6736d528e90882e6ba4f6c96@inbound.aiesec.org</t>
  </si>
  <si>
    <t>https://expa.aiesec.org/opportunities/1289124</t>
  </si>
  <si>
    <t>Engish Teacher in Turgutlu</t>
  </si>
  <si>
    <t>2022-08-26T13:27:12Z</t>
  </si>
  <si>
    <t>5116839_1289155</t>
  </si>
  <si>
    <t>leila braham</t>
  </si>
  <si>
    <t>p_0fba94d06cec56ed28dab2584584749ab9ca8849@inbound.aiesec.org</t>
  </si>
  <si>
    <t>ISG Sousse</t>
  </si>
  <si>
    <t>2022-09-21T10:34:27Z</t>
  </si>
  <si>
    <t>4555871_1277737</t>
  </si>
  <si>
    <t>Hafdhallaoui Safa</t>
  </si>
  <si>
    <t>p_f1c95707b4914e5811a338143e0d8fa585259c01@inbound.aiesec.org</t>
  </si>
  <si>
    <t>https://expa.aiesec.org/opportunities/1277737</t>
  </si>
  <si>
    <t>Kindergarten Teaching in Gözde Anaokulu</t>
  </si>
  <si>
    <t>2021-02-23T10:43:57Z</t>
  </si>
  <si>
    <t>5109367_1289330</t>
  </si>
  <si>
    <t>Hattaf Ayub</t>
  </si>
  <si>
    <t>p_dacce8a32c69364dec96cb585ffbd40ba740cf80@inbound.aiesec.org</t>
  </si>
  <si>
    <t>https://expa.aiesec.org/opportunities/1289330</t>
  </si>
  <si>
    <t>2022-09-10T12:23:34Z</t>
  </si>
  <si>
    <t>5114186_1287854</t>
  </si>
  <si>
    <t>Seif Alaa Eldeen</t>
  </si>
  <si>
    <t>p_749f10d4ebc252d591d9a4c11a48c6b500af946a@inbound.aiesec.org</t>
  </si>
  <si>
    <t>+201111057660</t>
  </si>
  <si>
    <t>6th of October University</t>
  </si>
  <si>
    <t>2022-09-17T12:21:42Z</t>
  </si>
  <si>
    <t>5064486_1287101</t>
  </si>
  <si>
    <t>Mohamed Elneny</t>
  </si>
  <si>
    <t>p_5a296e1d62607e0cee699fa20bb4f8fe732dfba8@inbound.aiesec.org</t>
  </si>
  <si>
    <t>2022-05-27T01:46:13Z</t>
  </si>
  <si>
    <t>4468911_1282150</t>
  </si>
  <si>
    <t>TURAN TAŞ</t>
  </si>
  <si>
    <t>p_b809fe7671c1ee629654285513de9b8bd8d47845@inbound.aiesec.org</t>
  </si>
  <si>
    <t>https://expa.aiesec.org/opportunities/1282150</t>
  </si>
  <si>
    <t>2020-12-06T17:07:16Z</t>
  </si>
  <si>
    <t>2975422_1289281</t>
  </si>
  <si>
    <t>Dilçem Deniz</t>
  </si>
  <si>
    <t>p_021d50d3c8749748da34627d5e6be2c2013f4a2b@inbound.aiesec.org</t>
  </si>
  <si>
    <t>PITESTI</t>
  </si>
  <si>
    <t>https://expa.aiesec.org/opportunities/1289281</t>
  </si>
  <si>
    <t>2018-12-12T11:03:01Z</t>
  </si>
  <si>
    <t>4597623_1288256</t>
  </si>
  <si>
    <t>Sara Alaa</t>
  </si>
  <si>
    <t>p_f526380cb2f29769759f90fa6232ed59d8e585ce@inbound.aiesec.org</t>
  </si>
  <si>
    <t>2021-03-30T04:36:15Z</t>
  </si>
  <si>
    <t>4569070_1283483</t>
  </si>
  <si>
    <t>Laura De Conto</t>
  </si>
  <si>
    <t>p_2ad3501eefa566ce2f71bb3b693eee7b1a04c520@inbound.aiesec.org</t>
  </si>
  <si>
    <t>4199275-9966</t>
  </si>
  <si>
    <t>https://expa.aiesec.org/opportunities/1283483</t>
  </si>
  <si>
    <t>2021-03-06T01:32:13Z</t>
  </si>
  <si>
    <t>3428631_1284447</t>
  </si>
  <si>
    <t>Sadok Kiram</t>
  </si>
  <si>
    <t>p_52378772c15d5bc6a145d2ed6a780f37160e84a0@inbound.aiesec.org</t>
  </si>
  <si>
    <t>https://expa.aiesec.org/opportunities/1284447</t>
  </si>
  <si>
    <t xml:space="preserve">English Teacher at Teachera </t>
  </si>
  <si>
    <t>2019-05-15T14:18:02Z</t>
  </si>
  <si>
    <t>3877030_1279516</t>
  </si>
  <si>
    <t>Bhakti Garje Bhakti Garje</t>
  </si>
  <si>
    <t>p_21f4bb422da210aa21acd1c3a9429239ac10875e@inbound.aiesec.org</t>
  </si>
  <si>
    <t>Closed</t>
  </si>
  <si>
    <t>Sophia College for Women, Mumbai</t>
  </si>
  <si>
    <t>2019-10-06T14:51:10Z</t>
  </si>
  <si>
    <t>5085904_1289355</t>
  </si>
  <si>
    <t>Uulzhan Abdyzhaparova</t>
  </si>
  <si>
    <t>p_0349f8e39ca320fe39c7ae0176de6a3f3e504698@inbound.aiesec.org</t>
  </si>
  <si>
    <t>https://expa.aiesec.org/opportunities/1289355</t>
  </si>
  <si>
    <t>Bishkek Humanitarian University (Бишкекский Гуманитарный Университет им. К. Карасаева)</t>
  </si>
  <si>
    <t>2022-07-26T04:59:11Z</t>
  </si>
  <si>
    <t>5113822_1289263</t>
  </si>
  <si>
    <t>mariem mazroui</t>
  </si>
  <si>
    <t>p_6005b167e3b0229084bcab0ae92f2c69557d8560@inbound.aiesec.org</t>
  </si>
  <si>
    <t>https://expa.aiesec.org/opportunities/1289263</t>
  </si>
  <si>
    <t>Marketing Specialist | Arabic</t>
  </si>
  <si>
    <t>FSEG Sousse</t>
  </si>
  <si>
    <t>2022-09-16T16:24:06Z</t>
  </si>
  <si>
    <t>2094739_1288299</t>
  </si>
  <si>
    <t>Gabriela Villegas</t>
  </si>
  <si>
    <t>p_9af1d64cd71247a07997551b1d866869b2f3d2f6@inbound.aiesec.org</t>
  </si>
  <si>
    <t>2018-03-08T21:37:59Z</t>
  </si>
  <si>
    <t>5115823_1287477</t>
  </si>
  <si>
    <t>Başak Özgür</t>
  </si>
  <si>
    <t>p_158277e886d841071e942451220af878c8cf4cf8@inbound.aiesec.org</t>
  </si>
  <si>
    <t>https://expa.aiesec.org/opportunities/1287477</t>
  </si>
  <si>
    <t>2022-09-19T19:34:22Z</t>
  </si>
  <si>
    <t>5120144_1287551</t>
  </si>
  <si>
    <t>Kerem DUZENLI</t>
  </si>
  <si>
    <t>p_e13d4c6332f516efdcc0742b96753c5372f43282@inbound.aiesec.org</t>
  </si>
  <si>
    <t>FRANCA</t>
  </si>
  <si>
    <t>https://expa.aiesec.org/opportunities/1287551</t>
  </si>
  <si>
    <t>Impact Brazil! IT Intern</t>
  </si>
  <si>
    <t>2022-09-26T23:18:32Z</t>
  </si>
  <si>
    <t>5079692_1289502</t>
  </si>
  <si>
    <t>Yara Elsayed</t>
  </si>
  <si>
    <t>p_2c636d3aff292674219ab16ce4d718e3680d5609@inbound.aiesec.org</t>
  </si>
  <si>
    <t>2022-07-04T20:28:28Z</t>
  </si>
  <si>
    <t>5121591_1288497</t>
  </si>
  <si>
    <t>Firas Zouari</t>
  </si>
  <si>
    <t>p_88a22bfbdd8af213a2e0f0b26fb6720558debfc8@inbound.aiesec.org</t>
  </si>
  <si>
    <t>FMS (Faculté de Médecine de Sousse)</t>
  </si>
  <si>
    <t>2022-09-28T17:57:38Z</t>
  </si>
  <si>
    <t>5121587_1288497</t>
  </si>
  <si>
    <t>Yasmine Mhedhebi</t>
  </si>
  <si>
    <t>p_f3cf9b11b9b0c148cd2ac3955c2d6abffaf0a03c@inbound.aiesec.org</t>
  </si>
  <si>
    <t>2022-09-28T17:55:41Z</t>
  </si>
  <si>
    <t>5121589_1288497</t>
  </si>
  <si>
    <t>Ahmed Bouazizi</t>
  </si>
  <si>
    <t>p_910c1e765e3d1a9fb4ec8223974734248f7057c0@inbound.aiesec.org</t>
  </si>
  <si>
    <t>2022-09-28T17:57:00Z</t>
  </si>
  <si>
    <t>5121597_1288497</t>
  </si>
  <si>
    <t>Ahmed Laifi</t>
  </si>
  <si>
    <t>p_a1f65c470c7561db971c63d193b1233170698d23@inbound.aiesec.org</t>
  </si>
  <si>
    <t>2022-09-28T18:01:32Z</t>
  </si>
  <si>
    <t>4535786_1288497</t>
  </si>
  <si>
    <t>Valentina Pieropan</t>
  </si>
  <si>
    <t>p_257fa674c92c2971789ead12518c4967a7c30e23@inbound.aiesec.org</t>
  </si>
  <si>
    <t>2021-02-06T21:38:36Z</t>
  </si>
  <si>
    <t>5120543_1289367</t>
  </si>
  <si>
    <t>tuba bakal</t>
  </si>
  <si>
    <t>p_1c97d96764018f57a5e0885920c5c781b227010c@inbound.aiesec.org</t>
  </si>
  <si>
    <t>https://expa.aiesec.org/opportunities/1289367</t>
  </si>
  <si>
    <t>2022-09-27T14:36:20Z</t>
  </si>
  <si>
    <t>4970486_1289752</t>
  </si>
  <si>
    <t>Bora Taşçı</t>
  </si>
  <si>
    <t>p_4723a9afd9b62314ec9005010bbe8b8da42b0d80@inbound.aiesec.org</t>
  </si>
  <si>
    <t>Venezia</t>
  </si>
  <si>
    <t>https://expa.aiesec.org/opportunities/1289752</t>
  </si>
  <si>
    <t>2022-03-08T08:31:35Z</t>
  </si>
  <si>
    <t>5119349_1288606</t>
  </si>
  <si>
    <t>Meryem BOUHAFS</t>
  </si>
  <si>
    <t>p_4ce2ed81278234bfabc808268b018656b89b784a@inbound.aiesec.org</t>
  </si>
  <si>
    <t>https://expa.aiesec.org/opportunities/1288606</t>
  </si>
  <si>
    <t>Sales Representtive</t>
  </si>
  <si>
    <t>Ecole Nationale De Commerce Et De Gestion Tanger (ENCGT)</t>
  </si>
  <si>
    <t>2022-09-25T22:12:35Z</t>
  </si>
  <si>
    <t>4974527_1287137</t>
  </si>
  <si>
    <t>Yasmine Achouri</t>
  </si>
  <si>
    <t>p_562c828d18961d80e58d4e9418be44799b99c708@inbound.aiesec.org</t>
  </si>
  <si>
    <t>2022-03-09T21:07:40Z</t>
  </si>
  <si>
    <t>5122423_1286326</t>
  </si>
  <si>
    <t>Iris Cristal</t>
  </si>
  <si>
    <t>p_77956c7f2923ba733f7131c8e44bd249c172d658@inbound.aiesec.org</t>
  </si>
  <si>
    <t>SALVADOR</t>
  </si>
  <si>
    <t>Salvador</t>
  </si>
  <si>
    <t>2022-09-29T18:39:09Z</t>
  </si>
  <si>
    <t>5106822_1289400</t>
  </si>
  <si>
    <t>imane eddraate</t>
  </si>
  <si>
    <t>p_d310db5bddf8d1209063ffae2f0d175181c728d2@inbound.aiesec.org</t>
  </si>
  <si>
    <t>https://expa.aiesec.org/opportunities/1289400</t>
  </si>
  <si>
    <t xml:space="preserve"> Mechanical Engineering/Chemical Engineering in  UV-Tek Company</t>
  </si>
  <si>
    <t>Other-MOHAMMEDIA</t>
  </si>
  <si>
    <t>2022-09-06T15:03:56Z</t>
  </si>
  <si>
    <t>5072791_1287990</t>
  </si>
  <si>
    <t>Melike KISMET</t>
  </si>
  <si>
    <t>p_fb50cf48f5a29a6931aa0de60c5449267a64fefa@inbound.aiesec.org</t>
  </si>
  <si>
    <t>https://expa.aiesec.org/opportunities/1287990</t>
  </si>
  <si>
    <t>2022-06-15T10:31:51Z</t>
  </si>
  <si>
    <t>5117908_1278809</t>
  </si>
  <si>
    <t>nada saeed</t>
  </si>
  <si>
    <t>p_2cf47e943098eb734a9f31d1680d4fbee776e2e5@inbound.aiesec.org</t>
  </si>
  <si>
    <t>https://expa.aiesec.org/opportunities/1278809</t>
  </si>
  <si>
    <t>2022-09-23T01:46:33Z</t>
  </si>
  <si>
    <t>4116634_1287966</t>
  </si>
  <si>
    <t>Israa Maharem</t>
  </si>
  <si>
    <t>p_90d8e6096da557aa7f684f4d8d02cd6351027d57@inbound.aiesec.org</t>
  </si>
  <si>
    <t>2019-12-28T20:40:52Z</t>
  </si>
  <si>
    <t>5116647_1288707</t>
  </si>
  <si>
    <t>Umer Farooq</t>
  </si>
  <si>
    <t>p_4676cbc3b4e21ff47ec0253da587469479f3468c@inbound.aiesec.org</t>
  </si>
  <si>
    <t>https://expa.aiesec.org/opportunities/1288707</t>
  </si>
  <si>
    <t>Karachi - University of Karachi</t>
  </si>
  <si>
    <t>2022-09-20T21:57:55Z</t>
  </si>
  <si>
    <t>5114056_1286368</t>
  </si>
  <si>
    <t>IMANE EZZAITI</t>
  </si>
  <si>
    <t>p_aead8f957901091ffeecd7a38f034fe431f9aa9d@inbound.aiesec.org</t>
  </si>
  <si>
    <t>FLSH Marrakech</t>
  </si>
  <si>
    <t>2022-09-17T05:51:56Z</t>
  </si>
  <si>
    <t>5097907_1286345</t>
  </si>
  <si>
    <t>Jeya Kumari</t>
  </si>
  <si>
    <t>p_5335888af3d14cafb64a048698581836b1e41ff7@inbound.aiesec.org</t>
  </si>
  <si>
    <t>https://expa.aiesec.org/opportunities/1286345</t>
  </si>
  <si>
    <t>Karachi - Aga Khan University</t>
  </si>
  <si>
    <t>2022-08-23T10:34:10Z</t>
  </si>
  <si>
    <t>3929422_1288840</t>
  </si>
  <si>
    <t>Kondwani Banda</t>
  </si>
  <si>
    <t>p_21bdde1103db4b879cc7a404dfafafb5be55f9a4@inbound.aiesec.org</t>
  </si>
  <si>
    <t>Georgia</t>
  </si>
  <si>
    <t>The University of Georgia</t>
  </si>
  <si>
    <t>https://expa.aiesec.org/opportunities/1288840</t>
  </si>
  <si>
    <t>2019-10-27T14:50:35Z</t>
  </si>
  <si>
    <t>5108541_1289281</t>
  </si>
  <si>
    <t>feride sena erbil</t>
  </si>
  <si>
    <t>p_e5f9d9300a13de6d0b24745ff9e9508d932be8fe@inbound.aiesec.org</t>
  </si>
  <si>
    <t>2022-09-09T11:08:38Z</t>
  </si>
  <si>
    <t>5053443_1277549</t>
  </si>
  <si>
    <t>Abdul Rehman Khan</t>
  </si>
  <si>
    <t>p_ccf7684ebfad4946ead68dc9d5c6531e87675f7b@inbound.aiesec.org</t>
  </si>
  <si>
    <t>https://expa.aiesec.org/opportunities/1277549</t>
  </si>
  <si>
    <t>Marketing/Market Research in LedaPharma Company</t>
  </si>
  <si>
    <t xml:space="preserve">Karachi - Bahria University </t>
  </si>
  <si>
    <t>2022-05-09T10:04:32Z</t>
  </si>
  <si>
    <t>5117309_1287243</t>
  </si>
  <si>
    <t>Sena Dikilitas</t>
  </si>
  <si>
    <t>p_b94b5c48fa9d5535d5377a2b260c213879996da3@inbound.aiesec.org</t>
  </si>
  <si>
    <t>Ahmedabad</t>
  </si>
  <si>
    <t>https://expa.aiesec.org/opportunities/1287243</t>
  </si>
  <si>
    <t>2022-09-22T02:27:00Z</t>
  </si>
  <si>
    <t>5103627_1289596</t>
  </si>
  <si>
    <t>Mariana Mancini</t>
  </si>
  <si>
    <t>p_4b669afc0f1257fb125a8029f90010a0718a58e8@inbound.aiesec.org</t>
  </si>
  <si>
    <t>https://expa.aiesec.org/opportunities/1289596</t>
  </si>
  <si>
    <t>2022-09-01T14:40:26Z</t>
  </si>
  <si>
    <t>5120166_1289228</t>
  </si>
  <si>
    <t>Luciana Heller</t>
  </si>
  <si>
    <t>p_08e034522c09abadee69b04f4713c9f9374d7539@inbound.aiesec.org</t>
  </si>
  <si>
    <t>UBERLÂNDIA</t>
  </si>
  <si>
    <t>https://expa.aiesec.org/opportunities/1289228</t>
  </si>
  <si>
    <t>Uberlândia</t>
  </si>
  <si>
    <t>2022-09-27T01:00:21Z</t>
  </si>
  <si>
    <t>3936756_1288970</t>
  </si>
  <si>
    <t>Nicolli Sebastião Heidemann</t>
  </si>
  <si>
    <t>p_2f6da0ff46dd24c9d6e6fe50f51e1b60aa938f8d@inbound.aiesec.org</t>
  </si>
  <si>
    <t>BLUMENAU</t>
  </si>
  <si>
    <t>2019-10-30T13:28:57Z</t>
  </si>
  <si>
    <t>5093655_1287243</t>
  </si>
  <si>
    <t>Dilara Demirel</t>
  </si>
  <si>
    <t>p_23ad0058f7d6fa5a48d348ed3470e3aac75b1460@inbound.aiesec.org</t>
  </si>
  <si>
    <t>2022-08-15T17:49:52Z</t>
  </si>
  <si>
    <t>1361303_1289424</t>
  </si>
  <si>
    <t>najat bahloul</t>
  </si>
  <si>
    <t>p_912c7267ed1dfd5e53522780c92511af69276efd@inbound.aiesec.org</t>
  </si>
  <si>
    <t>https://expa.aiesec.org/opportunities/1289424</t>
  </si>
  <si>
    <t>Mechanical Engineer in  MARTUR Company(LONG)</t>
  </si>
  <si>
    <t>2017-02-16T00:22:19Z</t>
  </si>
  <si>
    <t>5100558_1289206</t>
  </si>
  <si>
    <t>Gizem Arslantaş</t>
  </si>
  <si>
    <t>p_bd00c1a7303bf80c0e0199c55ee18635c9ec561d@inbound.aiesec.org</t>
  </si>
  <si>
    <t>Croatia</t>
  </si>
  <si>
    <t>ZAGREB</t>
  </si>
  <si>
    <t>https://expa.aiesec.org/opportunities/1289206</t>
  </si>
  <si>
    <t>2022-08-27T09:40:25Z</t>
  </si>
  <si>
    <t>5121739_1277661</t>
  </si>
  <si>
    <t>Oussama Ismail Bouricha</t>
  </si>
  <si>
    <t>p_b2991db79e259b443d48d87559986f513a9ad2c9@inbound.aiesec.org</t>
  </si>
  <si>
    <t>2022-09-28T21:41:37Z</t>
  </si>
  <si>
    <t>5122963_1272227</t>
  </si>
  <si>
    <t>Emna Felah</t>
  </si>
  <si>
    <t>p_d0f0b79ad495f52b704694812a2d915882e6f8ff@inbound.aiesec.org</t>
  </si>
  <si>
    <t>https://expa.aiesec.org/opportunities/1272227</t>
  </si>
  <si>
    <t>English Teacher at Edirne Keşan</t>
  </si>
  <si>
    <t>2022-09-30T16:58:51Z</t>
  </si>
  <si>
    <t>2989332_1289296</t>
  </si>
  <si>
    <t>Nada Z'hor Merzouk Benselloua</t>
  </si>
  <si>
    <t>p_92b5b19e97b340468e51ee567b40359d457a4a9e@inbound.aiesec.org</t>
  </si>
  <si>
    <t>https://expa.aiesec.org/opportunities/1289296</t>
  </si>
  <si>
    <t>English Teacher in Kindergarten, Izmir</t>
  </si>
  <si>
    <t>2018-12-20T10:11:25Z</t>
  </si>
  <si>
    <t>5124355_1289255</t>
  </si>
  <si>
    <t>BENHAMICHE LYNDA</t>
  </si>
  <si>
    <t>p_46d02651ea0508c93b5619e91237f7faeeb6b331@inbound.aiesec.org</t>
  </si>
  <si>
    <t>https://expa.aiesec.org/opportunities/1289255</t>
  </si>
  <si>
    <t>Telesales Specialist in Istanbul (French Speaker)</t>
  </si>
  <si>
    <t>2022-10-03T13:51:33Z</t>
  </si>
  <si>
    <t>5120736_1282413</t>
  </si>
  <si>
    <t>Souheila Yasmine Benrabah</t>
  </si>
  <si>
    <t>p_5b42a51aee4663a0d6c12d4f88198eacf1343a14@inbound.aiesec.org</t>
  </si>
  <si>
    <t>https://expa.aiesec.org/opportunities/1282413</t>
  </si>
  <si>
    <t>English Teacher in Era College</t>
  </si>
  <si>
    <t>2022-09-27T18:06:32Z</t>
  </si>
  <si>
    <t>5123911_1289100</t>
  </si>
  <si>
    <t>Aysha Ajward</t>
  </si>
  <si>
    <t>p_737a972da4bfffa404f83cda30aaae7aaa821098@inbound.aiesec.org</t>
  </si>
  <si>
    <t>RUHUNA</t>
  </si>
  <si>
    <t>https://expa.aiesec.org/opportunities/1289100</t>
  </si>
  <si>
    <t>University of Ruhuna</t>
  </si>
  <si>
    <t>2022-10-02T14:30:19Z</t>
  </si>
  <si>
    <t>4081388_1289803</t>
  </si>
  <si>
    <t>Yafa Natour</t>
  </si>
  <si>
    <t>p_fca74f15b3bb04e40483b0ef52ffc6d5bd176112@inbound.aiesec.org</t>
  </si>
  <si>
    <t>https://expa.aiesec.org/opportunities/1289803</t>
  </si>
  <si>
    <t>Export Manager</t>
  </si>
  <si>
    <t>2019-12-08T15:56:36Z</t>
  </si>
  <si>
    <t>5125309_1258621</t>
  </si>
  <si>
    <t>Asmaa Ksouriii</t>
  </si>
  <si>
    <t>p_56a3fc4ccac0cf6c69a05e50bf42d78f6b5c6c0d@inbound.aiesec.org</t>
  </si>
  <si>
    <t>2022-10-04T22:24:09Z</t>
  </si>
  <si>
    <t>4958522_1285300</t>
  </si>
  <si>
    <t>Amel Adjtoutah</t>
  </si>
  <si>
    <t>p_8e8c01057fdd3d7d17f4e28ffa04bd6ab64ba575@inbound.aiesec.org</t>
  </si>
  <si>
    <t>https://expa.aiesec.org/opportunities/1285300</t>
  </si>
  <si>
    <t>Marketing Specialish at Kavaklı Plastik</t>
  </si>
  <si>
    <t>2022-03-02T13:45:47Z</t>
  </si>
  <si>
    <t>4637420_1283483</t>
  </si>
  <si>
    <t>Chaiane Ferreira de Souza</t>
  </si>
  <si>
    <t>p_4e7a3ee9fd5d5163af2c1f0a65889e957b8fa856@inbound.aiesec.org</t>
  </si>
  <si>
    <t>2021-05-05T13:25:48Z</t>
  </si>
  <si>
    <t>4712139_1288970</t>
  </si>
  <si>
    <t>Jonathas de Medeiros Ferreira</t>
  </si>
  <si>
    <t>p_67b0f925913bc92811816373d0ab60b79d0bda6a@inbound.aiesec.org</t>
  </si>
  <si>
    <t>2021-08-15T18:32:30Z</t>
  </si>
  <si>
    <t>5101316_1287628</t>
  </si>
  <si>
    <t>Salvatore Cocco</t>
  </si>
  <si>
    <t>p_79b7499ba7b790df08406e19e1c63a4398f169ac@inbound.aiesec.org</t>
  </si>
  <si>
    <t>+39 348 008 5406</t>
  </si>
  <si>
    <t>Napoli Federico II</t>
  </si>
  <si>
    <t>2022-08-28T21:14:30Z</t>
  </si>
  <si>
    <t>5125963_1289536</t>
  </si>
  <si>
    <t>Jáchym Lebeda</t>
  </si>
  <si>
    <t>p_50fd24010794e5442a67dcc29e0699ad26948c1c@inbound.aiesec.org</t>
  </si>
  <si>
    <t>https://expa.aiesec.org/opportunities/1289536</t>
  </si>
  <si>
    <t>2022-10-05T18:23:40Z</t>
  </si>
  <si>
    <t>5125438_1286164</t>
  </si>
  <si>
    <t>Amani Ghenim</t>
  </si>
  <si>
    <t>p_59a05d4b763d19e41f89c1ee92d269c88737b9f9@inbound.aiesec.org</t>
  </si>
  <si>
    <t>https://expa.aiesec.org/opportunities/1286164</t>
  </si>
  <si>
    <t>International Market Expansion for Mechanical Engineers in Izmir</t>
  </si>
  <si>
    <t>IMSET Sousse</t>
  </si>
  <si>
    <t>2022-10-05T08:20:32Z</t>
  </si>
  <si>
    <t>5102418_1290011</t>
  </si>
  <si>
    <t>Soundoss SOUNDOSS ZAKHMOUN</t>
  </si>
  <si>
    <t>p_528e0d0f83450febe32a352f0865cf2888823ffa@inbound.aiesec.org</t>
  </si>
  <si>
    <t>https://expa.aiesec.org/opportunities/1290011</t>
  </si>
  <si>
    <t>2022-08-30T15:59:05Z</t>
  </si>
  <si>
    <t>3789893_1289261</t>
  </si>
  <si>
    <t>Prathammesh Karnavat</t>
  </si>
  <si>
    <t>p_75d3b2a117276fa8ac29d956a6e2136f4a8ccf2b@inbound.aiesec.org</t>
  </si>
  <si>
    <t>https://expa.aiesec.org/opportunities/1289261</t>
  </si>
  <si>
    <t>MIT WPU, Pune</t>
  </si>
  <si>
    <t>2019-08-25T03:31:00Z</t>
  </si>
  <si>
    <t>2988809_1279327</t>
  </si>
  <si>
    <t>sofia ghellam</t>
  </si>
  <si>
    <t>p_bd1b5eb36885dfec711f987cc816adef677fdc6c@inbound.aiesec.org</t>
  </si>
  <si>
    <t>https://expa.aiesec.org/opportunities/1279327</t>
  </si>
  <si>
    <t>English Teacher in DİLKO</t>
  </si>
  <si>
    <t>2018-12-19T19:57:26Z</t>
  </si>
  <si>
    <t>5123622_1289596</t>
  </si>
  <si>
    <t>Juliana Bomtorin</t>
  </si>
  <si>
    <t>p_aaa5f5e2c13fdfada101e99bc977b661a302ef61@inbound.aiesec.org</t>
  </si>
  <si>
    <t>2022-10-01T22:40:31Z</t>
  </si>
  <si>
    <t>5122118_1289564</t>
  </si>
  <si>
    <t>Songül Aydın</t>
  </si>
  <si>
    <t>p_8a3e161ff8a6f9a281dc6e26f73bc29aa8eaf2d7@inbound.aiesec.org</t>
  </si>
  <si>
    <t>https://expa.aiesec.org/opportunities/1289564</t>
  </si>
  <si>
    <t>2022-09-29T13:11:25Z</t>
  </si>
  <si>
    <t>5122135_1289564</t>
  </si>
  <si>
    <t>emre çokyaşar</t>
  </si>
  <si>
    <t>p_47add66cb04425eb89603f53a96f24ff790a055b@inbound.aiesec.org</t>
  </si>
  <si>
    <t>MANISA</t>
  </si>
  <si>
    <t>2022-09-29T13:43:08Z</t>
  </si>
  <si>
    <t>5090633_1288393</t>
  </si>
  <si>
    <t>Ajeesh Varghees</t>
  </si>
  <si>
    <t>p_33d0af653e546e14c96076909d7b4ff447c05131@inbound.aiesec.org</t>
  </si>
  <si>
    <t>St.Andrews College, Bandra</t>
  </si>
  <si>
    <t>2022-08-07T11:40:08Z</t>
  </si>
  <si>
    <t>5127063_1288419</t>
  </si>
  <si>
    <t>gizem yalçın</t>
  </si>
  <si>
    <t>p_d6fcb22a1fdd5f0bdd565ce5d7f0d258f33b6d16@inbound.aiesec.org</t>
  </si>
  <si>
    <t>https://expa.aiesec.org/opportunities/1288419</t>
  </si>
  <si>
    <t>2022-10-07T11:21:47Z</t>
  </si>
  <si>
    <t>5125678_1288770</t>
  </si>
  <si>
    <t>Ömer Penes</t>
  </si>
  <si>
    <t>p_b30306729722d1c61deaf568c7e7bf9a2c23733d@inbound.aiesec.org</t>
  </si>
  <si>
    <t>https://expa.aiesec.org/opportunities/1288770</t>
  </si>
  <si>
    <t>2022-10-05T13:15:49Z</t>
  </si>
  <si>
    <t>5122342_1289711</t>
  </si>
  <si>
    <t>Gülnur Yılmaz</t>
  </si>
  <si>
    <t>p_54e01eb0c9857350529bf925ab5bae8101ccc9c1@inbound.aiesec.org</t>
  </si>
  <si>
    <t>https://expa.aiesec.org/opportunities/1289711</t>
  </si>
  <si>
    <t>2022-09-29T17:10:40Z</t>
  </si>
  <si>
    <t>1479685_1288813</t>
  </si>
  <si>
    <t>Nessrine Charfi</t>
  </si>
  <si>
    <t>p_9662959304e31070e454b997525fdc528fc73d1d@inbound.aiesec.org</t>
  </si>
  <si>
    <t>2017-04-05T12:23:04Z</t>
  </si>
  <si>
    <t>3417068_1277737</t>
  </si>
  <si>
    <t>BAHMED SAID</t>
  </si>
  <si>
    <t>p_65ad217d08d9da3460250026f5569eacc08f7178@inbound.aiesec.org</t>
  </si>
  <si>
    <t>2019-05-11T19:41:45Z</t>
  </si>
  <si>
    <t>5104059_1268725</t>
  </si>
  <si>
    <t>Muhammed Ali Sarimese</t>
  </si>
  <si>
    <t>p_fee781705edaa833af384ed6414ad9226969c234@inbound.aiesec.org</t>
  </si>
  <si>
    <t>Hungary</t>
  </si>
  <si>
    <t>Budapest University - KÖZGÁZ</t>
  </si>
  <si>
    <t>https://expa.aiesec.org/opportunities/1268725</t>
  </si>
  <si>
    <t>Junior Software Developer</t>
  </si>
  <si>
    <t>2022-09-02T09:02:05Z</t>
  </si>
  <si>
    <t>5127253_1288411</t>
  </si>
  <si>
    <t>Faruk Yapıcı</t>
  </si>
  <si>
    <t>p_a5791ac6373135b7628462efcce735f729d27f85@inbound.aiesec.org</t>
  </si>
  <si>
    <t>https://expa.aiesec.org/opportunities/1288411</t>
  </si>
  <si>
    <t>2022-10-07T16:32:53Z</t>
  </si>
  <si>
    <t>4966073_1289505</t>
  </si>
  <si>
    <t>deleted 4966073</t>
  </si>
  <si>
    <t>p_64d9885b7c610b55f337e4486c702ee3386d76b2@inbound.aiesec.org</t>
  </si>
  <si>
    <t>https://expa.aiesec.org/opportunities/1289505</t>
  </si>
  <si>
    <t>2022-03-06T10:49:47Z</t>
  </si>
  <si>
    <t>5123483_1289950</t>
  </si>
  <si>
    <t>Zehra Betül Gülsever</t>
  </si>
  <si>
    <t>p_8fb6203dfa2e321161fb664ec8b68c8aed72006a@inbound.aiesec.org</t>
  </si>
  <si>
    <t>https://expa.aiesec.org/opportunities/1289950</t>
  </si>
  <si>
    <t>2022-10-01T16:10:58Z</t>
  </si>
  <si>
    <t>4734343_1287854</t>
  </si>
  <si>
    <t>Aya Ahmed Nagy</t>
  </si>
  <si>
    <t>p_ce3432ef54f95297590f6732b42e49b7cbec2079@inbound.aiesec.org</t>
  </si>
  <si>
    <t>2021-09-11T03:02:14Z</t>
  </si>
  <si>
    <t>4673687_1288393</t>
  </si>
  <si>
    <t>Talha Ahmed</t>
  </si>
  <si>
    <t>p_f5492547dccbc7a5765851c066fd7e75774bf64f@inbound.aiesec.org</t>
  </si>
  <si>
    <t>2021-06-22T10:00:51Z</t>
  </si>
  <si>
    <t>5066679_1280872</t>
  </si>
  <si>
    <t>Deev Rathod</t>
  </si>
  <si>
    <t>p_bbd723ce8950948ac0cc4694ca0a2cd9134b96ec@inbound.aiesec.org</t>
  </si>
  <si>
    <t>https://expa.aiesec.org/opportunities/1280872</t>
  </si>
  <si>
    <t>K.C. College, Mumbai</t>
  </si>
  <si>
    <t>2022-05-31T17:28:21Z</t>
  </si>
  <si>
    <t>5123072_1288991</t>
  </si>
  <si>
    <t>Amany Sakr</t>
  </si>
  <si>
    <t>p_d0e706c051f509be7b49564a7e5226d13fb0edad@inbound.aiesec.org</t>
  </si>
  <si>
    <t>2022-09-30T21:25:16Z</t>
  </si>
  <si>
    <t>5121172_1289487</t>
  </si>
  <si>
    <t>Meryem Lüleci</t>
  </si>
  <si>
    <t>p_093f11d9460ab7857298282caf6762e554232041@inbound.aiesec.org</t>
  </si>
  <si>
    <t>https://expa.aiesec.org/opportunities/1289487</t>
  </si>
  <si>
    <t>2022-09-28T10:43:13Z</t>
  </si>
  <si>
    <t>2368515_1283683</t>
  </si>
  <si>
    <t>Abdul Wahid</t>
  </si>
  <si>
    <t>p_598f729a0efc4315ed515a092a966c7ddb796f2a@inbound.aiesec.org</t>
  </si>
  <si>
    <t>https://expa.aiesec.org/opportunities/1283683</t>
  </si>
  <si>
    <t>2018-06-19T08:40:52Z</t>
  </si>
  <si>
    <t>5124572_1289255</t>
  </si>
  <si>
    <t>Fella Bouskine</t>
  </si>
  <si>
    <t>p_cb47456c66a7813d583af23460ca7bc3c4b9429a@inbound.aiesec.org</t>
  </si>
  <si>
    <t>2022-10-03T19:24:42Z</t>
  </si>
  <si>
    <t>5078149_1283483</t>
  </si>
  <si>
    <t>Caroline Kamidai</t>
  </si>
  <si>
    <t>p_c89ead87ddcf0989298c038a120625d400e779ca@inbound.aiesec.org</t>
  </si>
  <si>
    <t>2022-06-29T18:57:11Z</t>
  </si>
  <si>
    <t>2999671_1289437</t>
  </si>
  <si>
    <t>Ilham Es-sabaoui</t>
  </si>
  <si>
    <t>p_c98f13399d9d9c2dbef7e3a8e5e46583ed32e911@inbound.aiesec.org</t>
  </si>
  <si>
    <t>https://expa.aiesec.org/opportunities/1289437</t>
  </si>
  <si>
    <t>Marketing | Osmak</t>
  </si>
  <si>
    <t>Other-MARRAKECH</t>
  </si>
  <si>
    <t>2019-01-01T12:44:20Z</t>
  </si>
  <si>
    <t>5087690_1287083</t>
  </si>
  <si>
    <t>Oumaima Elabbadi</t>
  </si>
  <si>
    <t>p_4586c16a6540e156b3c751c31d74f377ef1261da@inbound.aiesec.org</t>
  </si>
  <si>
    <t>https://expa.aiesec.org/opportunities/1287083</t>
  </si>
  <si>
    <t>Marketing&amp;Sales</t>
  </si>
  <si>
    <t>Ecole Nationale De Commerce Et De Gestion Agadir (ENCGA)</t>
  </si>
  <si>
    <t>2022-07-31T21:28:13Z</t>
  </si>
  <si>
    <t>5131466_1288607</t>
  </si>
  <si>
    <t>Sarra Selmi</t>
  </si>
  <si>
    <t>p_876276db7894f42721fcf050b6050aa3373a8d89@inbound.aiesec.org</t>
  </si>
  <si>
    <t>https://expa.aiesec.org/opportunities/1288607</t>
  </si>
  <si>
    <t>English Teacher in Üstün Başarı Kindergarten</t>
  </si>
  <si>
    <t>2022-10-12T20:57:55Z</t>
  </si>
  <si>
    <t>5096767_1287855</t>
  </si>
  <si>
    <t>Chorouk Elkhoumssi</t>
  </si>
  <si>
    <t>p_92dbd2665d8f596a6cc4a2fda8b4002bddf9d56e@inbound.aiesec.org</t>
  </si>
  <si>
    <t>2022-08-21T14:30:12Z</t>
  </si>
  <si>
    <t>4234180_1287459</t>
  </si>
  <si>
    <t>Betül Kafnur</t>
  </si>
  <si>
    <t>p_40a2e10b5f7821f5603a21526605a6244f97103d@inbound.aiesec.org</t>
  </si>
  <si>
    <t>2020-03-04T16:20:12Z</t>
  </si>
  <si>
    <t>5128412_1288995</t>
  </si>
  <si>
    <t>Yasmena Mohamed</t>
  </si>
  <si>
    <t>p_3f1f799f7a47b0dcb4a2868d8c12f4faccc642be@inbound.aiesec.org</t>
  </si>
  <si>
    <t>2022-10-09T16:16:08Z</t>
  </si>
  <si>
    <t>5127563_1290026</t>
  </si>
  <si>
    <t>Cem Özer</t>
  </si>
  <si>
    <t>p_fe491c5042d8f5c3442bcb2385be00605234e13d@inbound.aiesec.org</t>
  </si>
  <si>
    <t>https://expa.aiesec.org/opportunities/1290026</t>
  </si>
  <si>
    <t>2022-10-08T10:41:33Z</t>
  </si>
  <si>
    <t>5116463_1289502</t>
  </si>
  <si>
    <t>Cheila Fernandes</t>
  </si>
  <si>
    <t>p_535d7a29f04fb452a978176444bc2992547c1421@inbound.aiesec.org</t>
  </si>
  <si>
    <t>+351933651146</t>
  </si>
  <si>
    <t>Não frequento uma instituição de ensino superior, mas moro no distrito do Porto, sendo mais cómodo deslocar-me fisicamente à zona do Pólo Universitário</t>
  </si>
  <si>
    <t>2022-09-20T17:27:23Z</t>
  </si>
  <si>
    <t>5028983_1288843</t>
  </si>
  <si>
    <t>Yiğit Gezen</t>
  </si>
  <si>
    <t>p_5135102bd10173fb9ecc4bd7b60266db7760788d@inbound.aiesec.org</t>
  </si>
  <si>
    <t>https://expa.aiesec.org/opportunities/1288843</t>
  </si>
  <si>
    <t>2022-04-07T12:46:17Z</t>
  </si>
  <si>
    <t>4514247_1277549</t>
  </si>
  <si>
    <t>Aruzhan Ilanbay</t>
  </si>
  <si>
    <t>p_c4b1606dff3409f36bea89e9a0f2640f66ed1833@inbound.aiesec.org</t>
  </si>
  <si>
    <t>Taraz</t>
  </si>
  <si>
    <t>2021-01-11T05:45:09Z</t>
  </si>
  <si>
    <t>5122431_1264946</t>
  </si>
  <si>
    <t>Chebihi Tinhinane</t>
  </si>
  <si>
    <t>p_dbdefd258091cfe40de5edba424d97eebf6c26e7@inbound.aiesec.org</t>
  </si>
  <si>
    <t>2022-09-29T18:51:00Z</t>
  </si>
  <si>
    <t>5129957_1289896</t>
  </si>
  <si>
    <t>Şevval Kocaoğlu</t>
  </si>
  <si>
    <t>p_0946e5e8ccedfac0a8fac4a99d98e347ec39e930@inbound.aiesec.org</t>
  </si>
  <si>
    <t>https://expa.aiesec.org/opportunities/1289896</t>
  </si>
  <si>
    <t>2022-10-11T12:53:10Z</t>
  </si>
  <si>
    <t>5129460_1288441</t>
  </si>
  <si>
    <t>Yusuf Öztürk</t>
  </si>
  <si>
    <t>p_e23ee261d7a693054cc61e65acc867a23d5dfe8c@inbound.aiesec.org</t>
  </si>
  <si>
    <t>https://expa.aiesec.org/opportunities/1288441</t>
  </si>
  <si>
    <t>2022-10-10T22:23:56Z</t>
  </si>
  <si>
    <t>5127556_1288497</t>
  </si>
  <si>
    <t>sirine senkez sirine senkez</t>
  </si>
  <si>
    <t>p_85231bd08e16197a42c29d0cbec21640401202be@inbound.aiesec.org</t>
  </si>
  <si>
    <t>2022-10-08T10:04:15Z</t>
  </si>
  <si>
    <t>5127214_1281105</t>
  </si>
  <si>
    <t>Sarah Araújo</t>
  </si>
  <si>
    <t>p_e990f54fcea3d55b7d52517d8ae2c31c8e16f8ff@inbound.aiesec.org</t>
  </si>
  <si>
    <t>https://expa.aiesec.org/opportunities/1281105</t>
  </si>
  <si>
    <t>Marketing Opportunıty on Alindair Soğutma Sistemleri</t>
  </si>
  <si>
    <t>2022-10-07T15:04:59Z</t>
  </si>
  <si>
    <t>5121768_1288497</t>
  </si>
  <si>
    <t>Darien Soliman</t>
  </si>
  <si>
    <t>p_46ca7649b09d1fb467aa033f62763cd2add3c6b6@inbound.aiesec.org</t>
  </si>
  <si>
    <t>2022-09-28T22:55:52Z</t>
  </si>
  <si>
    <t>5123766_1290026</t>
  </si>
  <si>
    <t>Batuhan Türkoğlu</t>
  </si>
  <si>
    <t>p_9c81ff93af97397a8b75f0fe87d57ae11af5b657@inbound.aiesec.org</t>
  </si>
  <si>
    <t>2022-10-02T09:22:03Z</t>
  </si>
  <si>
    <t>4724760_1288971</t>
  </si>
  <si>
    <t>Saad El Jouhmi</t>
  </si>
  <si>
    <t>p_76afdf1fc62131fb7732ea78f103c09a6a4df722@inbound.aiesec.org</t>
  </si>
  <si>
    <t>HANNOVER</t>
  </si>
  <si>
    <t>https://expa.aiesec.org/opportunities/1288971</t>
  </si>
  <si>
    <t>International Online Marketing Assistent</t>
  </si>
  <si>
    <t>2021-08-31T19:50:20Z</t>
  </si>
  <si>
    <t>5101712_1289850</t>
  </si>
  <si>
    <t>Selin Asikiraz</t>
  </si>
  <si>
    <t>p_cb23cb0ad67d38bda03f96f60d83915bc59da1c0@inbound.aiesec.org</t>
  </si>
  <si>
    <t>https://expa.aiesec.org/opportunities/1289850</t>
  </si>
  <si>
    <t>2022-08-29T14:36:28Z</t>
  </si>
  <si>
    <t>5132512_1289089</t>
  </si>
  <si>
    <t>Münir KAHRAMAN</t>
  </si>
  <si>
    <t>p_71333998f55edf8356ae1df228d679cdb26d20eb@inbound.aiesec.org</t>
  </si>
  <si>
    <t>United Kingdom</t>
  </si>
  <si>
    <t>London - MC UK</t>
  </si>
  <si>
    <t>https://expa.aiesec.org/opportunities/1289089</t>
  </si>
  <si>
    <t>Biosensor fabrication and integration (cleanroom)</t>
  </si>
  <si>
    <t>2022-10-13T20:20:08Z</t>
  </si>
  <si>
    <t>5130145_1290024</t>
  </si>
  <si>
    <t>erva gedik</t>
  </si>
  <si>
    <t>p_8df8e10cfc6903fde888c153f1d741eb41cf18b9@inbound.aiesec.org</t>
  </si>
  <si>
    <t>https://expa.aiesec.org/opportunities/1290024</t>
  </si>
  <si>
    <t>2022-10-11T15:29:35Z</t>
  </si>
  <si>
    <t>5127807_1289536</t>
  </si>
  <si>
    <t>eya dhaouadi</t>
  </si>
  <si>
    <t>p_2b2c38cb7cde6a915eb6b95345b70fe3bea20719@inbound.aiesec.org</t>
  </si>
  <si>
    <t>ISEAHT</t>
  </si>
  <si>
    <t>2022-10-08T19:44:02Z</t>
  </si>
  <si>
    <t>5125245_1287097</t>
  </si>
  <si>
    <t>Sameel Ashfaq</t>
  </si>
  <si>
    <t>p_e90d555c07ae259323de668fc7dab914eeb8016e@inbound.aiesec.org</t>
  </si>
  <si>
    <t>2022-10-04T19:51:27Z</t>
  </si>
  <si>
    <t>5120685_1288393</t>
  </si>
  <si>
    <t>Mariem Ayadi</t>
  </si>
  <si>
    <t>p_7f718bc6911846af897542b2ce4514578cf7287f@inbound.aiesec.org</t>
  </si>
  <si>
    <t>2022-09-27T17:16:32Z</t>
  </si>
  <si>
    <t>5114496_1289307</t>
  </si>
  <si>
    <t>Madiha Bouskine</t>
  </si>
  <si>
    <t>p_ed6851a2999dcd32e0265ddae2acdb1e5195867f@inbound.aiesec.org</t>
  </si>
  <si>
    <t>https://expa.aiesec.org/opportunities/1289307</t>
  </si>
  <si>
    <t>Preschool English Teacher</t>
  </si>
  <si>
    <t>2022-09-17T21:43:20Z</t>
  </si>
  <si>
    <t>5129943_1287244</t>
  </si>
  <si>
    <t>Fatih Akça</t>
  </si>
  <si>
    <t>p_d322bdd6bc7160393f0b80614e4145b9480515bf@inbound.aiesec.org</t>
  </si>
  <si>
    <t>543 677 02 16</t>
  </si>
  <si>
    <t>https://expa.aiesec.org/opportunities/1287244</t>
  </si>
  <si>
    <t>2022-10-11T12:45:38Z</t>
  </si>
  <si>
    <t>5131071_1287925</t>
  </si>
  <si>
    <t>Oleg Kudryashov</t>
  </si>
  <si>
    <t>p_a0c22ff3ffe1870774050fc023110af9c09015ec@inbound.aiesec.org</t>
  </si>
  <si>
    <t>TBILISI</t>
  </si>
  <si>
    <t>2022-10-12T12:48:26Z</t>
  </si>
  <si>
    <t>4456860_1284618</t>
  </si>
  <si>
    <t>Amira Ahmed</t>
  </si>
  <si>
    <t>p_73420498413a148a3be9a3a1cd6fb59aecceabfd@inbound.aiesec.org</t>
  </si>
  <si>
    <t>2020-11-30T19:34:23Z</t>
  </si>
  <si>
    <t>5134140_1288970</t>
  </si>
  <si>
    <t>Tasnim Latrach</t>
  </si>
  <si>
    <t>p_6e7f6847f20620b610ae7eb75c7155d169dda118@inbound.aiesec.org</t>
  </si>
  <si>
    <t>2022-10-16T19:27:03Z</t>
  </si>
  <si>
    <t>2792788_1289505</t>
  </si>
  <si>
    <t>Kiranjot Kaur</t>
  </si>
  <si>
    <t>p_b967bd00397c3802185070f3bf1bebf8939ec2ad@inbound.aiesec.org</t>
  </si>
  <si>
    <t>2018-10-30T08:49:20Z</t>
  </si>
  <si>
    <t>5108455_1288711</t>
  </si>
  <si>
    <t>Mila Arandjelovic</t>
  </si>
  <si>
    <t>p_b999dd0ca5b2fc7ee5f93c60db311deb0ecbc8fc@inbound.aiesec.org</t>
  </si>
  <si>
    <t>NIS</t>
  </si>
  <si>
    <t>https://expa.aiesec.org/opportunities/1288711</t>
  </si>
  <si>
    <t>University of Nis</t>
  </si>
  <si>
    <t>2022-09-09T09:37:28Z</t>
  </si>
  <si>
    <t>5129407_1287244</t>
  </si>
  <si>
    <t>Enes Aydın</t>
  </si>
  <si>
    <t>p_7c6712cc115f5576305da7096d5cab4393b7dfde@inbound.aiesec.org</t>
  </si>
  <si>
    <t>506 175 88 43</t>
  </si>
  <si>
    <t>2022-10-10T20:01:34Z</t>
  </si>
  <si>
    <t>3260229_1289502</t>
  </si>
  <si>
    <t>Amanda Haubert Rosa</t>
  </si>
  <si>
    <t>p_d9176a9536210b5cf6cbfda2aa9d8e633771abe7@inbound.aiesec.org</t>
  </si>
  <si>
    <t>PORTO ALEGRE</t>
  </si>
  <si>
    <t>2019-03-24T00:29:59Z</t>
  </si>
  <si>
    <t>5132304_1289487</t>
  </si>
  <si>
    <t>Asım Tan</t>
  </si>
  <si>
    <t>p_e6900397a0db1fab7ac5d01b4eb1c049725912ae@inbound.aiesec.org</t>
  </si>
  <si>
    <t>2022-10-13T14:07:05Z</t>
  </si>
  <si>
    <t>5132308_1289487</t>
  </si>
  <si>
    <t>İrem Keçeli</t>
  </si>
  <si>
    <t>p_03ec53647c631b0279b6de757dc8624743609073@inbound.aiesec.org</t>
  </si>
  <si>
    <t>2022-10-13T14:08:48Z</t>
  </si>
  <si>
    <t>5108911_1288970</t>
  </si>
  <si>
    <t>Tijana Stevanović</t>
  </si>
  <si>
    <t>p_a860e145c914b535eaeee7a66f39f096cfc830f0@inbound.aiesec.org</t>
  </si>
  <si>
    <t>Singidunum</t>
  </si>
  <si>
    <t>Singidunum University, Belgrade</t>
  </si>
  <si>
    <t>2022-09-09T17:16:04Z</t>
  </si>
  <si>
    <t>5134902_1289772</t>
  </si>
  <si>
    <t>Semayi Yıldız</t>
  </si>
  <si>
    <t>p_80016c043d28a391d4d40d34d45a1424e3635b0d@inbound.aiesec.org</t>
  </si>
  <si>
    <t>https://expa.aiesec.org/opportunities/1289772</t>
  </si>
  <si>
    <t>2022-10-17T13:15:41Z</t>
  </si>
  <si>
    <t>5133045_1288970</t>
  </si>
  <si>
    <t>mohamed magdy</t>
  </si>
  <si>
    <t>p_c577faaa353972b1efa14823bce980bf5192d5ac@inbound.aiesec.org</t>
  </si>
  <si>
    <t>2022-10-14T18:44:43Z</t>
  </si>
  <si>
    <t>5133352_1281357</t>
  </si>
  <si>
    <t>Venera Temirkhan</t>
  </si>
  <si>
    <t>p_42e7268206ccb51df1d41c330780c48b77685e6f@inbound.aiesec.org</t>
  </si>
  <si>
    <t>https://expa.aiesec.org/opportunities/1281357</t>
  </si>
  <si>
    <t>Ust'-Kamenogorsk</t>
  </si>
  <si>
    <t>2022-10-15T12:00:04Z</t>
  </si>
  <si>
    <t>5129993_1289372</t>
  </si>
  <si>
    <t>Melisa Plan</t>
  </si>
  <si>
    <t>p_aa7049275f0b4887a4ae90880fde9f4aadf9cbc0@inbound.aiesec.org</t>
  </si>
  <si>
    <t>https://expa.aiesec.org/opportunities/1289372</t>
  </si>
  <si>
    <t>2022-10-11T13:17:27Z</t>
  </si>
  <si>
    <t>5130113_1287560</t>
  </si>
  <si>
    <t>Manar BELGUASMI</t>
  </si>
  <si>
    <t>p_68d02875f3039a3571a8151a6c3eba6384404602@inbound.aiesec.org</t>
  </si>
  <si>
    <t xml:space="preserve">92 047 887 </t>
  </si>
  <si>
    <t>https://expa.aiesec.org/opportunities/1287560</t>
  </si>
  <si>
    <t>Kindergarten Teacher</t>
  </si>
  <si>
    <t>2022-10-11T15:02:24Z</t>
  </si>
  <si>
    <t>5132818_1290024</t>
  </si>
  <si>
    <t>Melisa Gölemen</t>
  </si>
  <si>
    <t>p_79a5599832b92ba307d9c8976eeb67851c180c4a@inbound.aiesec.org</t>
  </si>
  <si>
    <t>2022-10-14T11:01:08Z</t>
  </si>
  <si>
    <t>5129219_1285687</t>
  </si>
  <si>
    <t>coline MAUPAS</t>
  </si>
  <si>
    <t>p_178011dd307713b562d77c6b101a2337ecb3bc75@inbound.aiesec.org</t>
  </si>
  <si>
    <t>Bordeaux - other University</t>
  </si>
  <si>
    <t>2022-10-10T14:52:03Z</t>
  </si>
  <si>
    <t>5136023_1280310</t>
  </si>
  <si>
    <t>Ait Messaoud Abdelwahab</t>
  </si>
  <si>
    <t>p_7fe666e913b4449c4a04c1e3073ffc36c17faf01@inbound.aiesec.org</t>
  </si>
  <si>
    <t>https://expa.aiesec.org/opportunities/1280310</t>
  </si>
  <si>
    <t>Content writer / Copywriter (Duplicated)</t>
  </si>
  <si>
    <t>2022-10-18T16:03:54Z</t>
  </si>
  <si>
    <t>5134956_1289772</t>
  </si>
  <si>
    <t>mehmet can öztürk</t>
  </si>
  <si>
    <t>p_188bafecc74c8a7f31ea61d017b1877a9e3c973b@inbound.aiesec.org</t>
  </si>
  <si>
    <t>2022-10-17T14:20:49Z</t>
  </si>
  <si>
    <t>5132793_1288798</t>
  </si>
  <si>
    <t>Bengisu Üstüntaş</t>
  </si>
  <si>
    <t>p_453014be971a8f94a9b66f721bdfe375413b6f9f@inbound.aiesec.org</t>
  </si>
  <si>
    <t>2022-10-14T10:19:09Z</t>
  </si>
  <si>
    <t>5130616_1289228</t>
  </si>
  <si>
    <t>Haidy Habash</t>
  </si>
  <si>
    <t>p_c0bcef803cd76d2a1ef1c4801382f17ae518fb10@inbound.aiesec.org</t>
  </si>
  <si>
    <t>2022-10-12T08:37:53Z</t>
  </si>
  <si>
    <t>5132459_1289954</t>
  </si>
  <si>
    <t>Özgür Özkaya</t>
  </si>
  <si>
    <t>p_b2646dd9d8dd5c412f39d9e5ed7f9e08f5d3a403@inbound.aiesec.org</t>
  </si>
  <si>
    <t>https://expa.aiesec.org/opportunities/1289954</t>
  </si>
  <si>
    <t>2022-10-13T17:52:20Z</t>
  </si>
  <si>
    <t>5116308_1289752</t>
  </si>
  <si>
    <t>Asya Tamer</t>
  </si>
  <si>
    <t>p_cd3c4f8506f443c337b2fcbd6101989836ba269b@inbound.aiesec.org</t>
  </si>
  <si>
    <t>2022-09-20T14:42:04Z</t>
  </si>
  <si>
    <t>5132898_1289954</t>
  </si>
  <si>
    <t>İrem Sever</t>
  </si>
  <si>
    <t>p_3348e5feaf7aca2825b7ced37cc88b94a2706c8a@inbound.aiesec.org</t>
  </si>
  <si>
    <t>2022-10-14T14:01:59Z</t>
  </si>
  <si>
    <t>5127825_1290026</t>
  </si>
  <si>
    <t>Gülsu Gökceoğlu</t>
  </si>
  <si>
    <t>p_6dddcd96dd7a754244310fef47160b53020af262@inbound.aiesec.org</t>
  </si>
  <si>
    <t>2022-10-08T21:00:31Z</t>
  </si>
  <si>
    <t>4728248_1289444</t>
  </si>
  <si>
    <t>Luis Espinosa</t>
  </si>
  <si>
    <t>p_8e45dde2f69cd6308f3d9e8b538ebde70298e07e@inbound.aiesec.org</t>
  </si>
  <si>
    <t>CÚCUTA</t>
  </si>
  <si>
    <t>https://expa.aiesec.org/opportunities/1289444</t>
  </si>
  <si>
    <t>English Teacher in TED KOLEJİ</t>
  </si>
  <si>
    <t>Cúcuta - Corporación Universitaria Autónoma del Norte</t>
  </si>
  <si>
    <t>2021-09-03T21:41:32Z</t>
  </si>
  <si>
    <t>5138069_1288970</t>
  </si>
  <si>
    <t>yasmine abid</t>
  </si>
  <si>
    <t>p_2212c6976635a917694e6f8e806cbbaea72e53e4@inbound.aiesec.org</t>
  </si>
  <si>
    <t>2022-10-21T13:09:49Z</t>
  </si>
  <si>
    <t>5138060_1288837</t>
  </si>
  <si>
    <t>Rania Hamdi</t>
  </si>
  <si>
    <t>p_9221d4931912edcb8854be5ff1eff0bc702e8955@inbound.aiesec.org</t>
  </si>
  <si>
    <t>https://expa.aiesec.org/opportunities/1288837</t>
  </si>
  <si>
    <t>Kindergarten Teacher in Yaşam Paylaşım School</t>
  </si>
  <si>
    <t>2022-10-21T12:55:42Z</t>
  </si>
  <si>
    <t>5138176_1288711</t>
  </si>
  <si>
    <t>yoldez bouali</t>
  </si>
  <si>
    <t>p_7807d9c950ad25164227597f9e716284745b03d7@inbound.aiesec.org</t>
  </si>
  <si>
    <t>IHEC Sousse</t>
  </si>
  <si>
    <t>2022-10-21T16:29:42Z</t>
  </si>
  <si>
    <t>5138173_1288711</t>
  </si>
  <si>
    <t>nouhe mathlouthi</t>
  </si>
  <si>
    <t>p_16b82ac3f173d44e812ae0fc75af6541502bed96@inbound.aiesec.org</t>
  </si>
  <si>
    <t>2022-10-21T16:26:05Z</t>
  </si>
  <si>
    <t>4368449_1286821</t>
  </si>
  <si>
    <t>Zahra'a Selmy</t>
  </si>
  <si>
    <t>p_bf83c50d44251386659ceb81623e81df2ca3cf7b@inbound.aiesec.org</t>
  </si>
  <si>
    <t>https://expa.aiesec.org/opportunities/1286821</t>
  </si>
  <si>
    <t>2020-09-14T15:03:21Z</t>
  </si>
  <si>
    <t>5018439_1279548</t>
  </si>
  <si>
    <t>Selim Souissi</t>
  </si>
  <si>
    <t>p_0a1771e088a3734b892cd2476a4cf84f6cc1d5a4@inbound.aiesec.org</t>
  </si>
  <si>
    <t>https://expa.aiesec.org/opportunities/1279548</t>
  </si>
  <si>
    <t>Export Sales in EUROTRAY Company</t>
  </si>
  <si>
    <t>ESC MANOUBA</t>
  </si>
  <si>
    <t>2022-03-31T21:06:06Z</t>
  </si>
  <si>
    <t>5135171_1289985</t>
  </si>
  <si>
    <t>İlgi Ertürk</t>
  </si>
  <si>
    <t>p_cab83d13ec67854c22be6f130085d4348e9b8ba2@inbound.aiesec.org</t>
  </si>
  <si>
    <t>https://expa.aiesec.org/opportunities/1289985</t>
  </si>
  <si>
    <t>2022-10-17T18:52:28Z</t>
  </si>
  <si>
    <t>3869747_1283180</t>
  </si>
  <si>
    <t>Gökçe Güder</t>
  </si>
  <si>
    <t>p_8ae1491d5ce5da9a7d70168753d5d07ca56a720f@inbound.aiesec.org</t>
  </si>
  <si>
    <t>Budapest Business School - KÜLKER</t>
  </si>
  <si>
    <t>https://expa.aiesec.org/opportunities/1283180</t>
  </si>
  <si>
    <t xml:space="preserve">Turkish Financial Accountant </t>
  </si>
  <si>
    <t>2019-10-03T11:17:30Z</t>
  </si>
  <si>
    <t>5133115_1290243</t>
  </si>
  <si>
    <t>Seçil Karaorman</t>
  </si>
  <si>
    <t>p_a178018863efbea0e236af9b7f33436529486db5@inbound.aiesec.org</t>
  </si>
  <si>
    <t>https://expa.aiesec.org/opportunities/1290243</t>
  </si>
  <si>
    <t>2022-10-14T21:25:41Z</t>
  </si>
  <si>
    <t>5130648_1288711</t>
  </si>
  <si>
    <t>MOHAMMED TAHA SADAD LACHHEB</t>
  </si>
  <si>
    <t>p_1b9e95e8050dda85f088a30b56364b23731ec135@inbound.aiesec.org</t>
  </si>
  <si>
    <t>Ecole Nationale De Commerce Et De Gestion Fès (ENCGF)</t>
  </si>
  <si>
    <t>2022-10-12T09:08:44Z</t>
  </si>
  <si>
    <t>5131459_1288441</t>
  </si>
  <si>
    <t>Zeynep Erbayraktar</t>
  </si>
  <si>
    <t>p_da199f0b613d8826165ddb9f08676e67a53630f9@inbound.aiesec.org</t>
  </si>
  <si>
    <t>2022-10-12T20:33:56Z</t>
  </si>
  <si>
    <t>5134020_1288798</t>
  </si>
  <si>
    <t>Ekrem Kavsara</t>
  </si>
  <si>
    <t>p_b58c1389b90ed3ec67ce9c92c33a08cbd1cd3873@inbound.aiesec.org</t>
  </si>
  <si>
    <t>2022-10-16T14:32:02Z</t>
  </si>
  <si>
    <t>4035621_1287925</t>
  </si>
  <si>
    <t>zahra didi</t>
  </si>
  <si>
    <t>p_ceaf002c2f6d078c704814ecc649307d128f3078@inbound.aiesec.org</t>
  </si>
  <si>
    <t>2019-11-23T10:29:45Z</t>
  </si>
  <si>
    <t>5118883_1290469</t>
  </si>
  <si>
    <t>Mirismayil Agalarov</t>
  </si>
  <si>
    <t>p_f039d0ee57b25e7cf06052f0c60838d0a5499a7f@inbound.aiesec.org</t>
  </si>
  <si>
    <t>https://expa.aiesec.org/opportunities/1290469</t>
  </si>
  <si>
    <t>Sales&amp;Marketing in TOKSEL Company</t>
  </si>
  <si>
    <t>2022-09-24T19:57:09Z</t>
  </si>
  <si>
    <t>4827383_1289871</t>
  </si>
  <si>
    <t>Rami ben hamouda</t>
  </si>
  <si>
    <t>p_a871891e600260fe8dfd085d5eccfa5b0889406f@inbound.aiesec.org</t>
  </si>
  <si>
    <t>https://expa.aiesec.org/opportunities/1289871</t>
  </si>
  <si>
    <t>Marketing Specialist | Arabic - French</t>
  </si>
  <si>
    <t>2021-12-02T15:14:19Z</t>
  </si>
  <si>
    <t>5141705_1289347</t>
  </si>
  <si>
    <t>Ayoub Dhaouadi</t>
  </si>
  <si>
    <t>p_31551f77179ba1e7648f630e4914a849498581a0@inbound.aiesec.org</t>
  </si>
  <si>
    <t>https://expa.aiesec.org/opportunities/1289347</t>
  </si>
  <si>
    <t>2022-10-27T17:33:27Z</t>
  </si>
  <si>
    <t>5137135_1287990</t>
  </si>
  <si>
    <t>Toygun Çakır</t>
  </si>
  <si>
    <t>p_b73a8ca3ae358c0a73f70ae210fb357d278c1511@inbound.aiesec.org</t>
  </si>
  <si>
    <t>2022-10-19T20:47:59Z</t>
  </si>
  <si>
    <t>5114287_1284487</t>
  </si>
  <si>
    <t>Tuana Aydınlı</t>
  </si>
  <si>
    <t>p_693cf319fcace90e696ddc0454260d3ffc4ea0e8@inbound.aiesec.org</t>
  </si>
  <si>
    <t>https://expa.aiesec.org/opportunities/1284487</t>
  </si>
  <si>
    <t>2022-09-17T15:27:34Z</t>
  </si>
  <si>
    <t>5097894_1289485</t>
  </si>
  <si>
    <t>Chachoua Khaled</t>
  </si>
  <si>
    <t>p_2d3838f52fdd56d8e7a9f1b38b2f742b9007a3dc@inbound.aiesec.org</t>
  </si>
  <si>
    <t>https://expa.aiesec.org/opportunities/1289485</t>
  </si>
  <si>
    <t>English Teacher/Yalova</t>
  </si>
  <si>
    <t>2022-08-23T10:07:13Z</t>
  </si>
  <si>
    <t>5111117_1289485</t>
  </si>
  <si>
    <t>Hichame El Azami Hassani</t>
  </si>
  <si>
    <t>p_579541d34bc00b39b61bbe6f6a25109ba6943b7c@inbound.aiesec.org</t>
  </si>
  <si>
    <t>2022-09-13T03:52:09Z</t>
  </si>
  <si>
    <t>1641757_1290592</t>
  </si>
  <si>
    <t>MADIHA AMARA</t>
  </si>
  <si>
    <t>p_f1d67467025fee58f8fb22298867da7abb0a3973@inbound.aiesec.org</t>
  </si>
  <si>
    <t>https://expa.aiesec.org/opportunities/1290592</t>
  </si>
  <si>
    <t>2017-07-02T14:02:02Z</t>
  </si>
  <si>
    <t>5142036_1277333</t>
  </si>
  <si>
    <t>Meriam Boukadi</t>
  </si>
  <si>
    <t>p_c836008e2e8ec636fb433405db8aa70eb555325f@inbound.aiesec.org</t>
  </si>
  <si>
    <t>https://expa.aiesec.org/opportunities/1277333</t>
  </si>
  <si>
    <t>English Teacher in English Time (Long)</t>
  </si>
  <si>
    <t>2022-10-28T09:42:27Z</t>
  </si>
  <si>
    <t>4004319_1285681</t>
  </si>
  <si>
    <t>Lidia Machado Gomes</t>
  </si>
  <si>
    <t>p_b5cf361cf2f92a909e205d987f2ea9d3c6a2680f@inbound.aiesec.org</t>
  </si>
  <si>
    <t>2019-11-16T22:20:46Z</t>
  </si>
  <si>
    <t>4582453_1288995</t>
  </si>
  <si>
    <t>ons yahyaoui</t>
  </si>
  <si>
    <t>p_fc6f93148f59b7ce837b87352a8d0e914dd9ad21@inbound.aiesec.org</t>
  </si>
  <si>
    <t>ISET Nabel</t>
  </si>
  <si>
    <t>2021-03-17T21:28:11Z</t>
  </si>
  <si>
    <t>5142204_1288280</t>
  </si>
  <si>
    <t>Hamza Saeed</t>
  </si>
  <si>
    <t>p_8ac9b254bbd35219f1a5b29066d0d4d078121c9a@inbound.aiesec.org</t>
  </si>
  <si>
    <t>2022-10-28T16:28:38Z</t>
  </si>
  <si>
    <t>5110745_1289355</t>
  </si>
  <si>
    <t>Lina Ben fredj</t>
  </si>
  <si>
    <t>p_f41e1607ef7de2baff81ea8b774fdb99acb4039b@inbound.aiesec.org</t>
  </si>
  <si>
    <t>2022-09-12T14:43:01Z</t>
  </si>
  <si>
    <t>5137027_1288711</t>
  </si>
  <si>
    <t>Mereke Kumarova</t>
  </si>
  <si>
    <t>p_73af28a07664e63e6bd4ea72fab572d5baed5eed@inbound.aiesec.org</t>
  </si>
  <si>
    <t>2022-10-19T17:44:37Z</t>
  </si>
  <si>
    <t>5137033_1288711</t>
  </si>
  <si>
    <t>Aktoty Niyazbekova</t>
  </si>
  <si>
    <t>p_9d46d1c0de70427c7f5df35b73c9cee7cecf5614@inbound.aiesec.org</t>
  </si>
  <si>
    <t>2022-10-19T17:49:52Z</t>
  </si>
  <si>
    <t>5132863_1288412</t>
  </si>
  <si>
    <t>Elif İldemir</t>
  </si>
  <si>
    <t>p_7599659a150f52c024b83359bb0e471e2903decf@inbound.aiesec.org</t>
  </si>
  <si>
    <t>https://expa.aiesec.org/opportunities/1288412</t>
  </si>
  <si>
    <t>2022-10-14T12:42:30Z</t>
  </si>
  <si>
    <t>5119340_1288813</t>
  </si>
  <si>
    <t>Lounis BENMOKHTAR</t>
  </si>
  <si>
    <t>p_5dc508f995c86486c0f46de627b6d358e77d3777@inbound.aiesec.org</t>
  </si>
  <si>
    <t>2022-09-25T21:44:17Z</t>
  </si>
  <si>
    <t>5143899_1283483</t>
  </si>
  <si>
    <t>ameni hwimdi</t>
  </si>
  <si>
    <t>p_d0e40c346cd96343d8cdb74b0bda4c04db973808@inbound.aiesec.org</t>
  </si>
  <si>
    <t>2022-10-31T17:55:32Z</t>
  </si>
  <si>
    <t>5142866_1289335</t>
  </si>
  <si>
    <t>Ceren Tosun</t>
  </si>
  <si>
    <t>p_42bc10b9df7fdffd5d89109900da2c65fe463313@inbound.aiesec.org</t>
  </si>
  <si>
    <t>https://expa.aiesec.org/opportunities/1289335</t>
  </si>
  <si>
    <t>GoShield Procurement Analyst</t>
  </si>
  <si>
    <t>2022-10-29T17:33:11Z</t>
  </si>
  <si>
    <t>4905864_1287855</t>
  </si>
  <si>
    <t>Teodora Jovanović</t>
  </si>
  <si>
    <t>p_2309dabe3a8dd6c5694d931488fc6996c01b9641@inbound.aiesec.org</t>
  </si>
  <si>
    <t>BELGRADE FON</t>
  </si>
  <si>
    <t>2022-01-30T14:56:45Z</t>
  </si>
  <si>
    <t>5139519_1290362</t>
  </si>
  <si>
    <t>Adem Selçuk Karaağaç</t>
  </si>
  <si>
    <t>p_ff474cdc5c0c365902a1b55ee97e0b96ae5174a2@inbound.aiesec.org</t>
  </si>
  <si>
    <t>SIBIU</t>
  </si>
  <si>
    <t>https://expa.aiesec.org/opportunities/1290362</t>
  </si>
  <si>
    <t>2022-10-24T13:27:10Z</t>
  </si>
  <si>
    <t>4307055_1285077</t>
  </si>
  <si>
    <t>imene redjem</t>
  </si>
  <si>
    <t>p_4cb99e920a0fb94335db2fd625c2a00226a3a331@inbound.aiesec.org</t>
  </si>
  <si>
    <t>2020-06-11T20:11:58Z</t>
  </si>
  <si>
    <t>5136778_1287894</t>
  </si>
  <si>
    <t>Ecesu Pamuklu</t>
  </si>
  <si>
    <t>p_ff026a40c42e730b12a9ed2afc1451de10f1e061@inbound.aiesec.org</t>
  </si>
  <si>
    <t>Pompeu Fabra Barcelona</t>
  </si>
  <si>
    <t>https://expa.aiesec.org/opportunities/1287894</t>
  </si>
  <si>
    <t>2022-10-19T13:37:30Z</t>
  </si>
  <si>
    <t>5143883_1284596</t>
  </si>
  <si>
    <t>Fatma Guent</t>
  </si>
  <si>
    <t>p_2d24b900cde02fdb05dc0d455fb9cec08d63168c@inbound.aiesec.org</t>
  </si>
  <si>
    <t>https://expa.aiesec.org/opportunities/1284596</t>
  </si>
  <si>
    <t>2022-10-31T17:23:48Z</t>
  </si>
  <si>
    <t>5144110_1288419</t>
  </si>
  <si>
    <t>Elif Başaran</t>
  </si>
  <si>
    <t>p_cd0f47a7bcb5a1927293f9a1496d09cb2c94d3a0@inbound.aiesec.org</t>
  </si>
  <si>
    <t>BALIKESIR</t>
  </si>
  <si>
    <t>2022-10-31T21:56:22Z</t>
  </si>
  <si>
    <t>5144111_1288419</t>
  </si>
  <si>
    <t>Saliha Feyzioğlu</t>
  </si>
  <si>
    <t>p_24e725d54234b47fb04ba968116eb838e4317788@inbound.aiesec.org</t>
  </si>
  <si>
    <t>2022-10-31T21:56:51Z</t>
  </si>
  <si>
    <t>5144085_1288419</t>
  </si>
  <si>
    <t>ülfet imam</t>
  </si>
  <si>
    <t>p_91f87febeeba5fdb8b3fa84004f0db219ee7d9fa@inbound.aiesec.org</t>
  </si>
  <si>
    <t>2022-10-31T21:34:32Z</t>
  </si>
  <si>
    <t>3198991_1288838</t>
  </si>
  <si>
    <t>Maimoun Zakarya</t>
  </si>
  <si>
    <t>p_c12c555e1d27445f019c260ef1a3fa3825c391b1@inbound.aiesec.org</t>
  </si>
  <si>
    <t>https://expa.aiesec.org/opportunities/1288838</t>
  </si>
  <si>
    <t>English Teacher in İzmir</t>
  </si>
  <si>
    <t>2019-03-09T20:23:29Z</t>
  </si>
  <si>
    <t>4410090_1287101</t>
  </si>
  <si>
    <t>Ashwini Chauhan</t>
  </si>
  <si>
    <t>p_0d9fbbcc223cca1f47ab1e57b0b794315ca6c7ef@inbound.aiesec.org</t>
  </si>
  <si>
    <t>2020-10-29T16:43:16Z</t>
  </si>
  <si>
    <t>5122362_1289228</t>
  </si>
  <si>
    <t>Elisabeta Skenderović</t>
  </si>
  <si>
    <t>p_58179253f3fc78ee74e00f21199e4d7f49eaf619@inbound.aiesec.org</t>
  </si>
  <si>
    <t>Subotica</t>
  </si>
  <si>
    <t>2022-09-29T17:29:55Z</t>
  </si>
  <si>
    <t>5138457_1289596</t>
  </si>
  <si>
    <t>Apoorva Sishtla</t>
  </si>
  <si>
    <t>p_f9427c817c5ef1cfdf9e89e08bd7d4f1467dbc59@inbound.aiesec.org</t>
  </si>
  <si>
    <t>Mahindra Ecole Centrale, Hyderabad</t>
  </si>
  <si>
    <t>2022-10-22T13:04:59Z</t>
  </si>
  <si>
    <t>5138015_1281235</t>
  </si>
  <si>
    <t>betül kundakcı</t>
  </si>
  <si>
    <t>p_2c160165ea6c3abf5a4b41c56b38d5a80d6761bb@inbound.aiesec.org</t>
  </si>
  <si>
    <t>https://expa.aiesec.org/opportunities/1281235</t>
  </si>
  <si>
    <t>2022-10-21T11:16:12Z</t>
  </si>
  <si>
    <t>4685055_1289353</t>
  </si>
  <si>
    <t>Ushani Wijesinghe</t>
  </si>
  <si>
    <t>p_4d877e94d94f4fc0b85b07657c5600c2120487df@inbound.aiesec.org</t>
  </si>
  <si>
    <t>https://expa.aiesec.org/opportunities/1289353</t>
  </si>
  <si>
    <t>English Teacher Mid Term</t>
  </si>
  <si>
    <t>2021-07-08T16:56:24Z</t>
  </si>
  <si>
    <t>5145461_1290207</t>
  </si>
  <si>
    <t>Şevval atakoğlu</t>
  </si>
  <si>
    <t>p_e8074a5342d0a8b8f706d5ae7ef787abcb865b9f@inbound.aiesec.org</t>
  </si>
  <si>
    <t>https://expa.aiesec.org/opportunities/1290207</t>
  </si>
  <si>
    <t>2022-11-02T20:53:57Z</t>
  </si>
  <si>
    <t>5144595_1290252</t>
  </si>
  <si>
    <t>Polen Ayşe Gündüz</t>
  </si>
  <si>
    <t>p_53a8ce115c85eb86217bbd13cb99712bff574887@inbound.aiesec.org</t>
  </si>
  <si>
    <t>OSIJEK</t>
  </si>
  <si>
    <t>https://expa.aiesec.org/opportunities/1290252</t>
  </si>
  <si>
    <t>2022-11-01T18:05:10Z</t>
  </si>
  <si>
    <t>5144460_1288970</t>
  </si>
  <si>
    <t>salma ouchguir</t>
  </si>
  <si>
    <t>p_ac9876359c3a78be36ee2a83ed20cba1fc6da2c1@inbound.aiesec.org</t>
  </si>
  <si>
    <t>INAS Tanger</t>
  </si>
  <si>
    <t>2022-11-01T15:06:55Z</t>
  </si>
  <si>
    <t>5140713_1282413</t>
  </si>
  <si>
    <t>Ouissem Ben Abdallah</t>
  </si>
  <si>
    <t>p_61a2700dd0c537d1f30aee05aafe88aa76f105e3@inbound.aiesec.org</t>
  </si>
  <si>
    <t>Tlemcen</t>
  </si>
  <si>
    <t>AIESEC in Tlemcen</t>
  </si>
  <si>
    <t>2022-10-26T10:59:06Z</t>
  </si>
  <si>
    <t>4751667_1290570</t>
  </si>
  <si>
    <t>Rishabh Goswami</t>
  </si>
  <si>
    <t>p_05e16a299c456dbfd92462b64ec86a15505a2dba@inbound.aiesec.org</t>
  </si>
  <si>
    <t>Delhi IIT</t>
  </si>
  <si>
    <t>https://expa.aiesec.org/opportunities/1290570</t>
  </si>
  <si>
    <t>Front-End Developer</t>
  </si>
  <si>
    <t>2021-09-28T12:53:51Z</t>
  </si>
  <si>
    <t>5142272_1285687</t>
  </si>
  <si>
    <t>Tiago Luís Romão</t>
  </si>
  <si>
    <t>p_26cebfaad5bbe7a77cc669ec38959bc8fbeedbad@inbound.aiesec.org</t>
  </si>
  <si>
    <t>Lisboa ISEG</t>
  </si>
  <si>
    <t>ISCTE – Instituto Universitário de Lisboa</t>
  </si>
  <si>
    <t>2022-10-28T18:46:16Z</t>
  </si>
  <si>
    <t>5138548_1288970</t>
  </si>
  <si>
    <t>Ines Barasevic</t>
  </si>
  <si>
    <t>p_a24156db465053c475182c0dc140962bbae7884e@inbound.aiesec.org</t>
  </si>
  <si>
    <t>2022-10-22T16:13:37Z</t>
  </si>
  <si>
    <t>5039457_1290519</t>
  </si>
  <si>
    <t>Enes Çağlar (Student)</t>
  </si>
  <si>
    <t>p_dc1143a43d73cebb98d42f0624c729c01831b32e@inbound.aiesec.org</t>
  </si>
  <si>
    <t>https://expa.aiesec.org/opportunities/1290519</t>
  </si>
  <si>
    <t>Explorer</t>
  </si>
  <si>
    <t>2022-04-15T11:28:14Z</t>
  </si>
  <si>
    <t>5139578_1289855</t>
  </si>
  <si>
    <t>deleted 5139578</t>
  </si>
  <si>
    <t>p_c135ceaf04bd4fa15f68078824d3af0ab992b43a@inbound.aiesec.org</t>
  </si>
  <si>
    <t>https://expa.aiesec.org/opportunities/1289855</t>
  </si>
  <si>
    <t>2022-10-24T14:50:10Z</t>
  </si>
  <si>
    <t>5104127_1287226</t>
  </si>
  <si>
    <t>1764569_1279548</t>
  </si>
  <si>
    <t>Camilo Azuero</t>
  </si>
  <si>
    <t>p_6e654c89766191feeee3af51c58b6a36c988f9c6@inbound.aiesec.org</t>
  </si>
  <si>
    <t>ANDES</t>
  </si>
  <si>
    <t>2017-09-29T19:16:44Z</t>
  </si>
  <si>
    <t>5143820_1289396</t>
  </si>
  <si>
    <t>Samia Bennai</t>
  </si>
  <si>
    <t>p_04a25f2c5e64c6970053c006cf67d100cd5372ca@inbound.aiesec.org</t>
  </si>
  <si>
    <t>https://expa.aiesec.org/opportunities/1289396</t>
  </si>
  <si>
    <t>Kindergarten Teacher in  Özel Sevgi Kreş Gündüz Bakımevi</t>
  </si>
  <si>
    <t>2022-10-31T15:57:31Z</t>
  </si>
  <si>
    <t>4606868_1288970</t>
  </si>
  <si>
    <t>Reem Ahmed</t>
  </si>
  <si>
    <t>p_d855318b571d80d2b094d4faf37d77c7297a2048@inbound.aiesec.org</t>
  </si>
  <si>
    <t>2021-04-05T15:49:18Z</t>
  </si>
  <si>
    <t>5102382_1290259</t>
  </si>
  <si>
    <t>mehmet ali özel</t>
  </si>
  <si>
    <t>p_12f95f72c5ef4bcbd96cd8bf7542cd8059a42179@inbound.aiesec.org</t>
  </si>
  <si>
    <t>https://expa.aiesec.org/opportunities/1290259</t>
  </si>
  <si>
    <t>HATAY</t>
  </si>
  <si>
    <t>2022-08-30T15:00:05Z</t>
  </si>
  <si>
    <t>5044147_1283483</t>
  </si>
  <si>
    <t>Angie Katherine Bonilla Suarez</t>
  </si>
  <si>
    <t>p_7d6a98eae671f26fc1f8655a2e5fb197685427f4@inbound.aiesec.org</t>
  </si>
  <si>
    <t>ROSARIO</t>
  </si>
  <si>
    <t>2022-04-22T20:39:42Z</t>
  </si>
  <si>
    <t>5145456_1289505</t>
  </si>
  <si>
    <t>zaghdoudi louay</t>
  </si>
  <si>
    <t>p_1ca6f0a886d6a6d26e3a0718f445e2fc4e7c5c6d@inbound.aiesec.org</t>
  </si>
  <si>
    <t>2022-11-02T20:46:26Z</t>
  </si>
  <si>
    <t>5145258_1288798</t>
  </si>
  <si>
    <t>Selin Çetin</t>
  </si>
  <si>
    <t>p_3e250fc7caa7738c0e7b94d80d071ba3245b4ca7@inbound.aiesec.org</t>
  </si>
  <si>
    <t>2022-11-02T17:04:50Z</t>
  </si>
  <si>
    <t>4668377_1289228</t>
  </si>
  <si>
    <t>Βασιλική Παπαροϊδάμη</t>
  </si>
  <si>
    <t>p_3cbe1e5d4cdfd269f715ef5dabd1c5b0010dd9c0@inbound.aiesec.org</t>
  </si>
  <si>
    <t>2021-06-15T13:39:12Z</t>
  </si>
  <si>
    <t>5143753_1272564</t>
  </si>
  <si>
    <t>Hajar El Mchari</t>
  </si>
  <si>
    <t>p_f9582c107ed564ba622b1f439cebe8b7f412d598@inbound.aiesec.org</t>
  </si>
  <si>
    <t>Ifrane</t>
  </si>
  <si>
    <t>AL Akhawayn University - AUI</t>
  </si>
  <si>
    <t>2022-10-31T14:35:22Z</t>
  </si>
  <si>
    <t>5145886_1288708</t>
  </si>
  <si>
    <t>Maha Trimech</t>
  </si>
  <si>
    <t>p_90a97ad3619cc14a58535caf865727e6cab9c4d3@inbound.aiesec.org</t>
  </si>
  <si>
    <t>https://expa.aiesec.org/opportunities/1288708</t>
  </si>
  <si>
    <t>ISMM Monastir</t>
  </si>
  <si>
    <t>2022-11-03T13:08:05Z</t>
  </si>
  <si>
    <t>5146300_1286488</t>
  </si>
  <si>
    <t>guler hesenova</t>
  </si>
  <si>
    <t>p_e7dafa2cc69fc78b831557d1445c1cb33f8c04cc@inbound.aiesec.org</t>
  </si>
  <si>
    <t>https://expa.aiesec.org/opportunities/1286488</t>
  </si>
  <si>
    <t>English Teacher in Soma</t>
  </si>
  <si>
    <t>2022-11-03T23:11:56Z</t>
  </si>
  <si>
    <t>5146255_1288330</t>
  </si>
  <si>
    <t>Mehmet Emir Çalışoğlu</t>
  </si>
  <si>
    <t>p_64ad551025fc08b1d32fb828f1c4d9c396500465@inbound.aiesec.org</t>
  </si>
  <si>
    <t>https://expa.aiesec.org/opportunities/1288330</t>
  </si>
  <si>
    <t>2022-11-03T21:02:13Z</t>
  </si>
  <si>
    <t>5137068_1287113</t>
  </si>
  <si>
    <t>Rabiye Ali Osman</t>
  </si>
  <si>
    <t>p_30eb093a2d6d41111624064a95d2ddfc6870b073@inbound.aiesec.org</t>
  </si>
  <si>
    <t>https://expa.aiesec.org/opportunities/1287113</t>
  </si>
  <si>
    <t>2022-10-19T18:34:36Z</t>
  </si>
  <si>
    <t>4373900_1277549</t>
  </si>
  <si>
    <t>Yomna Elemam</t>
  </si>
  <si>
    <t>p_779743f178e5d228288d4b8aa5574bd2a93e7d69@inbound.aiesec.org</t>
  </si>
  <si>
    <t>Menofia</t>
  </si>
  <si>
    <t>2020-09-20T17:42:43Z</t>
  </si>
  <si>
    <t>5139260_1287244</t>
  </si>
  <si>
    <t>Melis Karslıgil</t>
  </si>
  <si>
    <t>p_5fab9a4a351f6f1f70afd6f12e7bba99ef10168f@inbound.aiesec.org</t>
  </si>
  <si>
    <t>2022-10-24T07:37:39Z</t>
  </si>
  <si>
    <t>5145266_1288616</t>
  </si>
  <si>
    <t>Saniya Patel</t>
  </si>
  <si>
    <t>p_d038d58670131e8900a790373c141b3a20b5c2a8@inbound.aiesec.org</t>
  </si>
  <si>
    <t>https://expa.aiesec.org/opportunities/1288616</t>
  </si>
  <si>
    <t>Pandit Deendayal Petroleum University (PDPU), Ahmedabad</t>
  </si>
  <si>
    <t>2022-11-02T17:09:47Z</t>
  </si>
  <si>
    <t>4889973_1288616</t>
  </si>
  <si>
    <t>Sweni desai</t>
  </si>
  <si>
    <t>p_013363c054e9ffa734e537e2bc86a2a9c81c3e48@inbound.aiesec.org</t>
  </si>
  <si>
    <t>2022-01-19T22:30:03Z</t>
  </si>
  <si>
    <t>5144521_1288711</t>
  </si>
  <si>
    <t>deleted 5144521</t>
  </si>
  <si>
    <t>p_3ccec2d9a841ca02223809ce1994482bf0e05d30@inbound.aiesec.org</t>
  </si>
  <si>
    <t>Universidade do Minho - Instituto de Letras e Ciências Humanas (ILCH)</t>
  </si>
  <si>
    <t>2022-11-01T16:28:41Z</t>
  </si>
  <si>
    <t>5147593_1288419</t>
  </si>
  <si>
    <t>Tolga Şen</t>
  </si>
  <si>
    <t>p_008a58767963be681fb5b20167aaec562b112bd4@inbound.aiesec.org</t>
  </si>
  <si>
    <t>MUGLA</t>
  </si>
  <si>
    <t>2022-11-06T10:52:57Z</t>
  </si>
  <si>
    <t>5144164_1287855</t>
  </si>
  <si>
    <t>Laila Bakkar</t>
  </si>
  <si>
    <t>p_3d0da91428457a62067055f2b8765ca04090f66c@inbound.aiesec.org</t>
  </si>
  <si>
    <t>2022-11-01T01:24:49Z</t>
  </si>
  <si>
    <t>5073942_1290418</t>
  </si>
  <si>
    <t>Ceyda Yelkenci</t>
  </si>
  <si>
    <t>p_608871caf94bb68197bf5006f80735aaedbe4cda@inbound.aiesec.org</t>
  </si>
  <si>
    <t>https://expa.aiesec.org/opportunities/1290418</t>
  </si>
  <si>
    <t>2022-06-17T21:19:16Z</t>
  </si>
  <si>
    <t>5145901_1288594</t>
  </si>
  <si>
    <t>Najet Boussafa</t>
  </si>
  <si>
    <t>p_aba6a904ef56be884fb8d302e3259e611b1eb0c4@inbound.aiesec.org</t>
  </si>
  <si>
    <t>https://expa.aiesec.org/opportunities/1288594</t>
  </si>
  <si>
    <t>2022-11-03T13:19:10Z</t>
  </si>
  <si>
    <t>5085080_1287966</t>
  </si>
  <si>
    <t>Shereen Ashraf Ali</t>
  </si>
  <si>
    <t>p_c705522062ee2ba8b692b22118ec669212872c70@inbound.aiesec.org</t>
  </si>
  <si>
    <t>2022-07-22T17:33:28Z</t>
  </si>
  <si>
    <t>5144315_1288711</t>
  </si>
  <si>
    <t>Beatriz Silva</t>
  </si>
  <si>
    <t>p_0cdc0b39183a6e519d26c4832374a96c6ed96694@inbound.aiesec.org</t>
  </si>
  <si>
    <t>+351968815213</t>
  </si>
  <si>
    <t>Universidade do Minho - Escola de Engenharia (EEUM)</t>
  </si>
  <si>
    <t>2022-11-01T11:31:13Z</t>
  </si>
  <si>
    <t>5139734_1284081</t>
  </si>
  <si>
    <t>Laura Gonçalves Patricio</t>
  </si>
  <si>
    <t>p_ada0d1fedfc7e9a7185447e793fb11104b29236a@inbound.aiesec.org</t>
  </si>
  <si>
    <t>https://expa.aiesec.org/opportunities/1284081</t>
  </si>
  <si>
    <t>Porto Alegre</t>
  </si>
  <si>
    <t>2022-10-24T19:54:56Z</t>
  </si>
  <si>
    <t>4993835_1288953</t>
  </si>
  <si>
    <t>Farah Ben Romdhane</t>
  </si>
  <si>
    <t>p_55dc491891c5153a78958bdca1f959cae4b42a2e@inbound.aiesec.org</t>
  </si>
  <si>
    <t>https://expa.aiesec.org/opportunities/1288953</t>
  </si>
  <si>
    <t>English Teacher in Aydın</t>
  </si>
  <si>
    <t>2022-03-19T23:41:27Z</t>
  </si>
  <si>
    <t>5145882_1288497</t>
  </si>
  <si>
    <t>sameh said</t>
  </si>
  <si>
    <t>p_ddd9e071d6ec18b1c7480d128b7f253f59b84ed2@inbound.aiesec.org</t>
  </si>
  <si>
    <t>2022-11-03T13:05:44Z</t>
  </si>
  <si>
    <t>5147543_1287445</t>
  </si>
  <si>
    <t>Hafiz Moin Ahmad</t>
  </si>
  <si>
    <t>p_432f250704e5fa99d5e329dc7e48ad56367e9e11@inbound.aiesec.org</t>
  </si>
  <si>
    <t>https://expa.aiesec.org/opportunities/1287445</t>
  </si>
  <si>
    <t>Lahore - University of Central Punjab (UCP)</t>
  </si>
  <si>
    <t>2022-11-06T10:09:25Z</t>
  </si>
  <si>
    <t>5085317_1289533</t>
  </si>
  <si>
    <t>https://expa.aiesec.org/opportunities/1289533</t>
  </si>
  <si>
    <t>3119147_1280484</t>
  </si>
  <si>
    <t>bouhana touaibia</t>
  </si>
  <si>
    <t>p_da9e5bef8363fb0e2dd722e011cda989bf054d86@inbound.aiesec.org</t>
  </si>
  <si>
    <t>https://expa.aiesec.org/opportunities/1280484</t>
  </si>
  <si>
    <t>2019-02-26T15:24:55Z</t>
  </si>
  <si>
    <t>5150925_1262994</t>
  </si>
  <si>
    <t>Ahlem Hadiouche</t>
  </si>
  <si>
    <t>p_7eaa5957c561eac8e38de53c2d1614a89b7b2ce7@inbound.aiesec.org</t>
  </si>
  <si>
    <t>2022-11-10T14:53:16Z</t>
  </si>
  <si>
    <t>5150922_1289505</t>
  </si>
  <si>
    <t>Isra Hamila</t>
  </si>
  <si>
    <t>p_f2c1b544da569ccd1a8d07a14c2e04ff6ab0f09d@inbound.aiesec.org</t>
  </si>
  <si>
    <t>ISIT COM Sousse</t>
  </si>
  <si>
    <t>2022-11-10T14:48:25Z</t>
  </si>
  <si>
    <t>4559951_1282194</t>
  </si>
  <si>
    <t>Mustafa Mert Atagün</t>
  </si>
  <si>
    <t>p_90022794ad9aa6249c149f5e8d5c4dd6ca9dc85e@inbound.aiesec.org</t>
  </si>
  <si>
    <t>https://expa.aiesec.org/opportunities/1282194</t>
  </si>
  <si>
    <t>2021-02-26T11:21:34Z</t>
  </si>
  <si>
    <t>5150417_1290024</t>
  </si>
  <si>
    <t>ataberk gül</t>
  </si>
  <si>
    <t>p_622c6f542988d7ae234c56bf74d1a3f2645c5cd0@inbound.aiesec.org</t>
  </si>
  <si>
    <t>2022-11-09T19:29:59Z</t>
  </si>
  <si>
    <t>5150354_1290024</t>
  </si>
  <si>
    <t>Yusuf Kanbur</t>
  </si>
  <si>
    <t>p_3e4c698efa665ff4587005840b9fd93364d163ce@inbound.aiesec.org</t>
  </si>
  <si>
    <t>2022-11-09T17:39:46Z</t>
  </si>
  <si>
    <t>5149539_1285690</t>
  </si>
  <si>
    <t>Imane Bartine</t>
  </si>
  <si>
    <t>p_15d8123e2d505d9f56511445897d022c9aeea458@inbound.aiesec.org</t>
  </si>
  <si>
    <t>https://expa.aiesec.org/opportunities/1285690</t>
  </si>
  <si>
    <t>2022-11-08T13:54:54Z</t>
  </si>
  <si>
    <t>5146021_1288393</t>
  </si>
  <si>
    <t>Hassan Ahmed</t>
  </si>
  <si>
    <t>p_531859d62ec334374c9c835e06eb35d44149881a@inbound.aiesec.org</t>
  </si>
  <si>
    <t>2022-11-03T16:07:20Z</t>
  </si>
  <si>
    <t>3101237_1287338</t>
  </si>
  <si>
    <t>Farha El safy</t>
  </si>
  <si>
    <t>p_fabff5d356fae51db107c5a87ae5111fc17b1f37@inbound.aiesec.org</t>
  </si>
  <si>
    <t>https://expa.aiesec.org/opportunities/1287338</t>
  </si>
  <si>
    <t>2019-02-21T09:37:01Z</t>
  </si>
  <si>
    <t>4030751_1289256</t>
  </si>
  <si>
    <t>Mert Timur Tekin</t>
  </si>
  <si>
    <t>p_303e0f98ea1d5bdf727a12cc7c29c99494634bbf@inbound.aiesec.org</t>
  </si>
  <si>
    <t>https://expa.aiesec.org/opportunities/1289256</t>
  </si>
  <si>
    <t>2019-11-22T19:04:40Z</t>
  </si>
  <si>
    <t>4491528_1287855</t>
  </si>
  <si>
    <t>Ikram Belmatrik</t>
  </si>
  <si>
    <t>p_1204a338c934df62831ca98ccb19f53e29af1dd4@inbound.aiesec.org</t>
  </si>
  <si>
    <t>2020-12-21T01:30:17Z</t>
  </si>
  <si>
    <t>5146569_1290625</t>
  </si>
  <si>
    <t>Özberk Güneş</t>
  </si>
  <si>
    <t>p_bb4631cc84b0c2a4ce2fd26176974daa18770ef4@inbound.aiesec.org</t>
  </si>
  <si>
    <t>https://expa.aiesec.org/opportunities/1290625</t>
  </si>
  <si>
    <t>2022-11-04T13:54:56Z</t>
  </si>
  <si>
    <t>5032678_1290646</t>
  </si>
  <si>
    <t>Sofía Name Parada</t>
  </si>
  <si>
    <t>p_3d8416d77bade452fe5b5728efa68ab34b543576@inbound.aiesec.org</t>
  </si>
  <si>
    <t>https://expa.aiesec.org/opportunities/1290646</t>
  </si>
  <si>
    <t>2022-04-10T02:14:12Z</t>
  </si>
  <si>
    <t>5015849_1290646</t>
  </si>
  <si>
    <t>Gisselle Valeria Leaño Diaz</t>
  </si>
  <si>
    <t>p_b488b3b96e77c374d8ce43fe3567ce5dfd7431a7@inbound.aiesec.org</t>
  </si>
  <si>
    <t>2022-03-30T14:48:14Z</t>
  </si>
  <si>
    <t>4950776_1287509</t>
  </si>
  <si>
    <t>lara önat</t>
  </si>
  <si>
    <t>p_bf75e1f0875e79792e7231b4a5498f0201669cb0@inbound.aiesec.org</t>
  </si>
  <si>
    <t>2022-02-26T11:05:27Z</t>
  </si>
  <si>
    <t>5144698_1287338</t>
  </si>
  <si>
    <t>Zineb Aynan</t>
  </si>
  <si>
    <t>p_4618b852e9494c690e406e39e1d5bef547af31d1@inbound.aiesec.org</t>
  </si>
  <si>
    <t>2022-11-01T20:19:49Z</t>
  </si>
  <si>
    <t>5150752_1289155</t>
  </si>
  <si>
    <t>Lamia Mchirgui</t>
  </si>
  <si>
    <t>p_5a0ac942160d28cbd1695955db09eb7a38327d91@inbound.aiesec.org</t>
  </si>
  <si>
    <t>2022-11-10T11:04:10Z</t>
  </si>
  <si>
    <t>5150204_1289852</t>
  </si>
  <si>
    <t>Furkan Buğra KARCI</t>
  </si>
  <si>
    <t>p_19d97b4174286f7c9a3234dabbfd6be9d08da693@inbound.aiesec.org</t>
  </si>
  <si>
    <t>https://expa.aiesec.org/opportunities/1289852</t>
  </si>
  <si>
    <t>2022-11-09T13:17:06Z</t>
  </si>
  <si>
    <t>5146566_1287459</t>
  </si>
  <si>
    <t>Mehmet Ateş Yanar</t>
  </si>
  <si>
    <t>p_8d73ea7454299d6ec08024e05f2345061a331e75@inbound.aiesec.org</t>
  </si>
  <si>
    <t>2022-11-04T13:51:18Z</t>
  </si>
  <si>
    <t>5145409_1290210</t>
  </si>
  <si>
    <t>Selin Baş</t>
  </si>
  <si>
    <t>p_ddfd903c09dc8ab204db6dcb526f6657c943a1d8@inbound.aiesec.org</t>
  </si>
  <si>
    <t>https://expa.aiesec.org/opportunities/1290210</t>
  </si>
  <si>
    <t>2022-11-02T19:40:58Z</t>
  </si>
  <si>
    <t>2572316_1290210</t>
  </si>
  <si>
    <t>Batuhan Köse</t>
  </si>
  <si>
    <t>p_0b2085499d19b632cc5d29561af161e69af007f6@inbound.aiesec.org</t>
  </si>
  <si>
    <t>2018-09-22T07:01:29Z</t>
  </si>
  <si>
    <t>5139013_1286326</t>
  </si>
  <si>
    <t>Angelica Vampo</t>
  </si>
  <si>
    <t>p_a1d359bd1735cabe1e4418b0b00f8ffd597c1502@inbound.aiesec.org</t>
  </si>
  <si>
    <t>2022-10-23T15:59:46Z</t>
  </si>
  <si>
    <t>4936082_1287488</t>
  </si>
  <si>
    <t>5149766_1284452</t>
  </si>
  <si>
    <t>Imtinen Gribaa</t>
  </si>
  <si>
    <t>p_1893c5518a450c241f4325c47d7e44ad3e585852@inbound.aiesec.org</t>
  </si>
  <si>
    <t>https://expa.aiesec.org/opportunities/1284452</t>
  </si>
  <si>
    <t>English Teacher at Teachera</t>
  </si>
  <si>
    <t>2022-11-08T19:09:22Z</t>
  </si>
  <si>
    <t>5106517_1289673</t>
  </si>
  <si>
    <t>Bukle Topaloğlu</t>
  </si>
  <si>
    <t>p_c590226734012e02b7dd616c3732bebca7c6e49f@inbound.aiesec.org</t>
  </si>
  <si>
    <t>https://expa.aiesec.org/opportunities/1289673</t>
  </si>
  <si>
    <t>2022-09-06T08:00:44Z</t>
  </si>
  <si>
    <t>5065717_1289155</t>
  </si>
  <si>
    <t>ahmed hchaichi</t>
  </si>
  <si>
    <t>p_cb94fce175ed92b4cc52647685e75fa9c21aad5e@inbound.aiesec.org</t>
  </si>
  <si>
    <t>2022-05-29T17:18:26Z</t>
  </si>
  <si>
    <t>5121906_1286326</t>
  </si>
  <si>
    <t>Federica Mastronicola Federica Mastronicola</t>
  </si>
  <si>
    <t>p_0d587fb164419e46e52c81e47ee6fa066a01ecdc@inbound.aiesec.org</t>
  </si>
  <si>
    <t>2022-09-29T06:58:36Z</t>
  </si>
  <si>
    <t>4502444_1284125</t>
  </si>
  <si>
    <t>emna bouaouina</t>
  </si>
  <si>
    <t>p_0daefe797543d077bb9fe416e65700c690b027aa@inbound.aiesec.org</t>
  </si>
  <si>
    <t>https://expa.aiesec.org/opportunities/1284125</t>
  </si>
  <si>
    <t>2020-12-28T22:36:59Z</t>
  </si>
  <si>
    <t>4762141_1290444</t>
  </si>
  <si>
    <t>Nilsu Sevinçli</t>
  </si>
  <si>
    <t>p_6f7c1f4ddf326f633fd3bbff464f2bea66a1acc8@inbound.aiesec.org</t>
  </si>
  <si>
    <t>https://expa.aiesec.org/opportunities/1290444</t>
  </si>
  <si>
    <t>2021-10-10T23:28:57Z</t>
  </si>
  <si>
    <t>5150908_1289564</t>
  </si>
  <si>
    <t>nazlı yaprak gümüş</t>
  </si>
  <si>
    <t>p_3440bcfe7c3bffa24104d3c886195dd40cafe75a@inbound.aiesec.org</t>
  </si>
  <si>
    <t>2022-11-10T14:28:12Z</t>
  </si>
  <si>
    <t>5147150_1288991</t>
  </si>
  <si>
    <t>Faaizah Syed</t>
  </si>
  <si>
    <t>p_1645fc4421214b2a3a6786119596b62df495c763@inbound.aiesec.org</t>
  </si>
  <si>
    <t>Ashoka College of Education, Nashik</t>
  </si>
  <si>
    <t>2022-11-05T14:32:24Z</t>
  </si>
  <si>
    <t>5152686_1283483</t>
  </si>
  <si>
    <t>Hassin Med. nassim</t>
  </si>
  <si>
    <t>p_8c801b80dcf8f3ebdaad0a4a80e9285047540e0e@inbound.aiesec.org</t>
  </si>
  <si>
    <t>2022-11-14T14:05:05Z</t>
  </si>
  <si>
    <t>5152471_1290677</t>
  </si>
  <si>
    <t>Zeynep Tüzemen</t>
  </si>
  <si>
    <t>p_c17c2d88b6f68a47536ee647cdf832ec40d4d5c0@inbound.aiesec.org</t>
  </si>
  <si>
    <t>https://expa.aiesec.org/opportunities/1290677</t>
  </si>
  <si>
    <t>2022-11-14T10:51:09Z</t>
  </si>
  <si>
    <t>5140172_1284077</t>
  </si>
  <si>
    <t>‪Mohamed Youssef‬‏</t>
  </si>
  <si>
    <t>p_efd2091ca4705fd8d78cedd9e74df05f13e27773@inbound.aiesec.org</t>
  </si>
  <si>
    <t>https://expa.aiesec.org/opportunities/1284077</t>
  </si>
  <si>
    <t>2022-10-25T12:44:03Z</t>
  </si>
  <si>
    <t>5148075_1288937</t>
  </si>
  <si>
    <t>Pelin Çetinkaya</t>
  </si>
  <si>
    <t>p_4dc87421a5a9ac3aaec783e29d2c62d7b37ba316@inbound.aiesec.org</t>
  </si>
  <si>
    <t xml:space="preserve">539 655 75 48 </t>
  </si>
  <si>
    <t>https://expa.aiesec.org/opportunities/1288937</t>
  </si>
  <si>
    <t>2022-11-06T21:53:29Z</t>
  </si>
  <si>
    <t>5151098_1290742</t>
  </si>
  <si>
    <t>Deniz Karaytuğ</t>
  </si>
  <si>
    <t>p_aa6ca4d6a37bac18906b3456bab6b092c9835062@inbound.aiesec.org</t>
  </si>
  <si>
    <t>https://expa.aiesec.org/opportunities/1290742</t>
  </si>
  <si>
    <t>2022-11-10T21:07:35Z</t>
  </si>
  <si>
    <t>5150329_1285865</t>
  </si>
  <si>
    <t>Helin Çetinkaya</t>
  </si>
  <si>
    <t>p_66848a77846b87e4c59008c6e314c1d06affc355@inbound.aiesec.org</t>
  </si>
  <si>
    <t>https://expa.aiesec.org/opportunities/1285865</t>
  </si>
  <si>
    <t>2022-11-09T16:52:44Z</t>
  </si>
  <si>
    <t>5147832_1288991</t>
  </si>
  <si>
    <t>SAEEDA Qureshey</t>
  </si>
  <si>
    <t>p_b785b9bc948663b0267c874bde0b9828131654ff@inbound.aiesec.org</t>
  </si>
  <si>
    <t>AICESR, Nashik</t>
  </si>
  <si>
    <t>2022-11-06T13:22:22Z</t>
  </si>
  <si>
    <t>4617573_1286917</t>
  </si>
  <si>
    <t>Ilaria Beatrice</t>
  </si>
  <si>
    <t>p_8dbc633033791ba8cbf6d8fd53d58616eb3ca54f@inbound.aiesec.org</t>
  </si>
  <si>
    <t>+39 327 234 3973</t>
  </si>
  <si>
    <t>2021-04-15T18:20:36Z</t>
  </si>
  <si>
    <t>5062328_1290646</t>
  </si>
  <si>
    <t>Afifa Qayyum</t>
  </si>
  <si>
    <t>p_fde600b420046e673b35fcc59489c376bf9bfd02@inbound.aiesec.org</t>
  </si>
  <si>
    <t>2022-05-23T05:02:59Z</t>
  </si>
  <si>
    <t>5145866_1284583</t>
  </si>
  <si>
    <t>Mariana Ferreira Marques</t>
  </si>
  <si>
    <t>p_09292da8ff5b662cdb313bd74f716a103e9dd41e@inbound.aiesec.org</t>
  </si>
  <si>
    <t>https://expa.aiesec.org/opportunities/1284583</t>
  </si>
  <si>
    <t>Customer Service</t>
  </si>
  <si>
    <t>2022-11-03T12:50:49Z</t>
  </si>
  <si>
    <t>5139346_1284077</t>
  </si>
  <si>
    <t>Mahmoud Mikky</t>
  </si>
  <si>
    <t>p_c00cd4549b88a41605cf486c4d525b0f0f0e59f9@inbound.aiesec.org</t>
  </si>
  <si>
    <t>2022-10-24T10:15:04Z</t>
  </si>
  <si>
    <t>5153645_1284596</t>
  </si>
  <si>
    <t>Rana Amaidia</t>
  </si>
  <si>
    <t>p_b512eb285805520bbce6b5a00ea4a2d39d1cae9a@inbound.aiesec.org</t>
  </si>
  <si>
    <t>2022-11-15T19:53:19Z</t>
  </si>
  <si>
    <t>5153509_1288419</t>
  </si>
  <si>
    <t>Elif Uzun</t>
  </si>
  <si>
    <t>p_ad8ca6ea13ae37025c4d2b1ca03d9ba5e7b97e04@inbound.aiesec.org</t>
  </si>
  <si>
    <t>2022-11-15T16:30:09Z</t>
  </si>
  <si>
    <t>5153463_1288419</t>
  </si>
  <si>
    <t>Betül Sancak</t>
  </si>
  <si>
    <t>p_3b089c05103758b0571d2da2e22fc0b8154a1d7a@inbound.aiesec.org</t>
  </si>
  <si>
    <t>2022-11-15T15:40:30Z</t>
  </si>
  <si>
    <t>5153143_1290418</t>
  </si>
  <si>
    <t>Naimatulllah Samadi</t>
  </si>
  <si>
    <t>p_a5aba6635fe1e6b3ae4ecc5754a304a879fbdd50@inbound.aiesec.org</t>
  </si>
  <si>
    <t>541 733 4570</t>
  </si>
  <si>
    <t>2022-11-15T07:07:43Z</t>
  </si>
  <si>
    <t>5093021_1286368</t>
  </si>
  <si>
    <t>5142975_1262819</t>
  </si>
  <si>
    <t>norhenne rebaii</t>
  </si>
  <si>
    <t>p_9fed2773cd0e6780199ebd4545e92b03dee68ba2@inbound.aiesec.org</t>
  </si>
  <si>
    <t>https://expa.aiesec.org/opportunities/1262819</t>
  </si>
  <si>
    <t>Lawyer/ Legal Trainee</t>
  </si>
  <si>
    <t>FDSF</t>
  </si>
  <si>
    <t>2022-10-29T21:49:46Z</t>
  </si>
  <si>
    <t>5154669_1289155</t>
  </si>
  <si>
    <t>Mayssoun Gharbi</t>
  </si>
  <si>
    <t>p_1e1e23f3cb7f581c21f5d8a1e8b0d830c34b14b7@inbound.aiesec.org</t>
  </si>
  <si>
    <t>2022-11-17T11:58:16Z</t>
  </si>
  <si>
    <t>5146979_1287309</t>
  </si>
  <si>
    <t>Duygu Şaşmaz</t>
  </si>
  <si>
    <t>p_a5958479cafa57eb85964d2632d8b869bfcadb01@inbound.aiesec.org</t>
  </si>
  <si>
    <t>https://expa.aiesec.org/opportunities/1287309</t>
  </si>
  <si>
    <t>2022-11-05T09:39:53Z</t>
  </si>
  <si>
    <t>5154593_1289155</t>
  </si>
  <si>
    <t>Yasmina Ben ftima</t>
  </si>
  <si>
    <t>p_15778c978fb54c9b4f44da711e58197f09b14ce5@inbound.aiesec.org</t>
  </si>
  <si>
    <t>+21654902860</t>
  </si>
  <si>
    <t>UPSAT Sousse</t>
  </si>
  <si>
    <t>2022-11-17T09:53:24Z</t>
  </si>
  <si>
    <t>5153223_1284125</t>
  </si>
  <si>
    <t>Meriem Taoues</t>
  </si>
  <si>
    <t>p_e20b598cc9d208a71a03dda517f35d334ee6dd58@inbound.aiesec.org</t>
  </si>
  <si>
    <t>INSAT</t>
  </si>
  <si>
    <t>2022-11-15T10:24:19Z</t>
  </si>
  <si>
    <t>5152476_1288431</t>
  </si>
  <si>
    <t>Moomal Baloch</t>
  </si>
  <si>
    <t>p_2eba4818efb7976e55888bea72c64dc1e6c2e722@inbound.aiesec.org</t>
  </si>
  <si>
    <t>Karachi - Institute of Business Management</t>
  </si>
  <si>
    <t>2022-11-14T10:57:48Z</t>
  </si>
  <si>
    <t>5111498_1288970</t>
  </si>
  <si>
    <t>milica kondic</t>
  </si>
  <si>
    <t>p_5e9a03450d4f0e445bf657c62cebb045c549b16a@inbound.aiesec.org</t>
  </si>
  <si>
    <t>NOVI SAD</t>
  </si>
  <si>
    <t>Novi Sad</t>
  </si>
  <si>
    <t>2022-09-13T14:46:49Z</t>
  </si>
  <si>
    <t>5106652_1289505</t>
  </si>
  <si>
    <t>Christine Sedeek</t>
  </si>
  <si>
    <t>p_82eb9a4b2408d0acfd739f2f5727237067c90567@inbound.aiesec.org</t>
  </si>
  <si>
    <t>2022-09-06T11:33:44Z</t>
  </si>
  <si>
    <t>5136173_1288813</t>
  </si>
  <si>
    <t>mohammed azzeddine othmane</t>
  </si>
  <si>
    <t>p_687adb21d17cd38b5b0d9eceebc709971d60748e@inbound.aiesec.org</t>
  </si>
  <si>
    <t>2022-10-18T19:08:05Z</t>
  </si>
  <si>
    <t>5155439_1289505</t>
  </si>
  <si>
    <t>Eya Khedher</t>
  </si>
  <si>
    <t>p_cb452194284546a45f9380156c6d8ef851452258@inbound.aiesec.org</t>
  </si>
  <si>
    <t>2022-11-18T17:51:38Z</t>
  </si>
  <si>
    <t>5155370_1289155</t>
  </si>
  <si>
    <t>Essafi Yassmine</t>
  </si>
  <si>
    <t>p_065feb0d2fc67eebd60a3f84d836fb678bfb391e@inbound.aiesec.org</t>
  </si>
  <si>
    <t>2022-11-18T15:45:04Z</t>
  </si>
  <si>
    <t>5155307_1284289</t>
  </si>
  <si>
    <t>Mariem Bouhlila</t>
  </si>
  <si>
    <t>p_9222910c17cc2c6c154afd794824418da55a9f71@inbound.aiesec.org</t>
  </si>
  <si>
    <t>ISAM GABES</t>
  </si>
  <si>
    <t>2022-11-18T13:55:13Z</t>
  </si>
  <si>
    <t>4967100_1290961</t>
  </si>
  <si>
    <t>Elif Yaş</t>
  </si>
  <si>
    <t>p_294533fc554251b27f2588c245658a6bb4464850@inbound.aiesec.org</t>
  </si>
  <si>
    <t>https://expa.aiesec.org/opportunities/1290961</t>
  </si>
  <si>
    <t>2022-03-06T19:47:30Z</t>
  </si>
  <si>
    <t>5143353_1284077</t>
  </si>
  <si>
    <t>Hassan Salem</t>
  </si>
  <si>
    <t>p_5106929f7d1c7e003c5fcca6c4f0a70826346d38@inbound.aiesec.org</t>
  </si>
  <si>
    <t>2022-10-30T19:30:26Z</t>
  </si>
  <si>
    <t>3079462_1290820</t>
  </si>
  <si>
    <t>tuğba kaya</t>
  </si>
  <si>
    <t>p_d433cf3dc5653d8fb4341111f7e59e4ed0c6414e@inbound.aiesec.org</t>
  </si>
  <si>
    <t>IASI</t>
  </si>
  <si>
    <t>https://expa.aiesec.org/opportunities/1290820</t>
  </si>
  <si>
    <t>2019-02-14T15:14:46Z</t>
  </si>
  <si>
    <t>5143627_1290820</t>
  </si>
  <si>
    <t>sena ayan</t>
  </si>
  <si>
    <t>p_1129ec2a91f46a54d215cd65e229505d9eb63cd2@inbound.aiesec.org</t>
  </si>
  <si>
    <t>2022-10-31T10:35:04Z</t>
  </si>
  <si>
    <t>4566949_1286326</t>
  </si>
  <si>
    <t>Elisa Barlocco</t>
  </si>
  <si>
    <t>p_a6eebd2d4db3a48898048494b595d09830f26f9f@inbound.aiesec.org</t>
  </si>
  <si>
    <t>+39 340 547 9319</t>
  </si>
  <si>
    <t>2021-03-04T08:34:07Z</t>
  </si>
  <si>
    <t>2277166_1286917</t>
  </si>
  <si>
    <t>5150774_1290798</t>
  </si>
  <si>
    <t>Kağan Çakıroğlu</t>
  </si>
  <si>
    <t>p_edf74629a5353f8e2595a6c0cbc9a71781c30049@inbound.aiesec.org</t>
  </si>
  <si>
    <t>https://expa.aiesec.org/opportunities/1290798</t>
  </si>
  <si>
    <t>2022-11-10T11:25:36Z</t>
  </si>
  <si>
    <t>5148250_1283338</t>
  </si>
  <si>
    <t>selda özdemir</t>
  </si>
  <si>
    <t>p_dad6ee9a79b608e19d4dc27d795dad2677d76262@inbound.aiesec.org</t>
  </si>
  <si>
    <t>Jodhpur</t>
  </si>
  <si>
    <t>https://expa.aiesec.org/opportunities/1283338</t>
  </si>
  <si>
    <t>2022-11-07T09:47:58Z</t>
  </si>
  <si>
    <t>5155932_1290961</t>
  </si>
  <si>
    <t>Selin Özkurt</t>
  </si>
  <si>
    <t>p_026c786f1aa1acc7a14f7a2f558874edaea4f717@inbound.aiesec.org</t>
  </si>
  <si>
    <t>NEVSEHIR</t>
  </si>
  <si>
    <t>2022-11-19T20:53:13Z</t>
  </si>
  <si>
    <t>5155590_1285713</t>
  </si>
  <si>
    <t>Cristina Buenaño</t>
  </si>
  <si>
    <t>p_f5427f659f09e06b4c45f8033a76d905913cc191@inbound.aiesec.org</t>
  </si>
  <si>
    <t>Ecuador</t>
  </si>
  <si>
    <t>Ambato</t>
  </si>
  <si>
    <t>https://expa.aiesec.org/opportunities/1285713</t>
  </si>
  <si>
    <t>UTA - Universidad Técnica de Ambato</t>
  </si>
  <si>
    <t>2022-11-19T01:44:08Z</t>
  </si>
  <si>
    <t>4967072_1290961</t>
  </si>
  <si>
    <t>KIYMET SAĞLAM</t>
  </si>
  <si>
    <t>p_2859e3760b350b9ceefa0eb84d2ad46271282768@inbound.aiesec.org</t>
  </si>
  <si>
    <t>2022-03-06T19:29:15Z</t>
  </si>
  <si>
    <t>5150568_1279169</t>
  </si>
  <si>
    <t>Fatmanur Sarıer</t>
  </si>
  <si>
    <t>p_a3cb5939b38ad40db9b6d479096f5cd37e9b4cf0@inbound.aiesec.org</t>
  </si>
  <si>
    <t>Damietta</t>
  </si>
  <si>
    <t>https://expa.aiesec.org/opportunities/1279169</t>
  </si>
  <si>
    <t xml:space="preserve">English Teacher | Egypt </t>
  </si>
  <si>
    <t>2022-11-10T03:58:28Z</t>
  </si>
  <si>
    <t>5144505_1290690</t>
  </si>
  <si>
    <t>Elif inci Develioğlu</t>
  </si>
  <si>
    <t>p_44bc1a46f9004960408e2704ca62cd32428f232c@inbound.aiesec.org</t>
  </si>
  <si>
    <t>+905071689013</t>
  </si>
  <si>
    <t>https://expa.aiesec.org/opportunities/1290690</t>
  </si>
  <si>
    <t>2022-11-01T16:07:33Z</t>
  </si>
  <si>
    <t>5155390_1290243</t>
  </si>
  <si>
    <t>Melih Yasin BOZKURT</t>
  </si>
  <si>
    <t>p_dc8cc277cb12c8929c439e863619bf9ceb71c02c@inbound.aiesec.org</t>
  </si>
  <si>
    <t>2022-11-18T16:42:08Z</t>
  </si>
  <si>
    <t>5152188_1290026</t>
  </si>
  <si>
    <t>Bartu Önder</t>
  </si>
  <si>
    <t>p_3e3df5da2d8c4e301832356c8a78c0760fbe458b@inbound.aiesec.org</t>
  </si>
  <si>
    <t>2022-11-13T18:03:00Z</t>
  </si>
  <si>
    <t>5121388_1290039</t>
  </si>
  <si>
    <t>Sudenaz Taçar</t>
  </si>
  <si>
    <t>p_39509d98e170debee09abe1897a27f612245136c@inbound.aiesec.org</t>
  </si>
  <si>
    <t>South Korea</t>
  </si>
  <si>
    <t>KU</t>
  </si>
  <si>
    <t>https://expa.aiesec.org/opportunities/1290039</t>
  </si>
  <si>
    <t>2022-09-28T14:25:32Z</t>
  </si>
  <si>
    <t>5141340_1289261</t>
  </si>
  <si>
    <t>Husain Mohamed</t>
  </si>
  <si>
    <t>p_063b26c04db41d689501aaa24b49c6519d225ac7@inbound.aiesec.org</t>
  </si>
  <si>
    <t>Bahrain</t>
  </si>
  <si>
    <t>Tylos</t>
  </si>
  <si>
    <t>Bahrain Polytechnic</t>
  </si>
  <si>
    <t>2022-10-27T08:47:43Z</t>
  </si>
  <si>
    <t>5156063_1284670</t>
  </si>
  <si>
    <t>Prateek Sangar</t>
  </si>
  <si>
    <t>p_8c9175471747695ae54210ba779c5949cf0cda76@inbound.aiesec.org</t>
  </si>
  <si>
    <t>https://expa.aiesec.org/opportunities/1284670</t>
  </si>
  <si>
    <t>Amity University, Noida</t>
  </si>
  <si>
    <t>2022-11-20T08:48:42Z</t>
  </si>
  <si>
    <t>3944420_1285020</t>
  </si>
  <si>
    <t>Akeh Nkeng Junior</t>
  </si>
  <si>
    <t>p_7cbf4fd0fa0e7eb5d76155b7f39e432d4757de3b@inbound.aiesec.org</t>
  </si>
  <si>
    <t>Cameroon</t>
  </si>
  <si>
    <t>Maroua</t>
  </si>
  <si>
    <t>https://expa.aiesec.org/opportunities/1285020</t>
  </si>
  <si>
    <t>MARKETİNG&amp;SALES</t>
  </si>
  <si>
    <t>UNV Maroua</t>
  </si>
  <si>
    <t>2019-11-02T06:48:43Z</t>
  </si>
  <si>
    <t>5140871_1289228</t>
  </si>
  <si>
    <t>Rawan Bamuneef</t>
  </si>
  <si>
    <t>p_1e22fa5de2e33e9f85b662b20cf9ee1dfc30dd2d@inbound.aiesec.org</t>
  </si>
  <si>
    <t>Awal</t>
  </si>
  <si>
    <t>Other (International Universities)</t>
  </si>
  <si>
    <t>2022-10-26T14:06:11Z</t>
  </si>
  <si>
    <t>5155435_1277333</t>
  </si>
  <si>
    <t>Abdeladhim Dhia E Cheraa</t>
  </si>
  <si>
    <t>p_ff13a151b563d4d7f755bdc5fa1302c5afaee9da@inbound.aiesec.org</t>
  </si>
  <si>
    <t>2022-11-18T17:41:47Z</t>
  </si>
  <si>
    <t>4981782_1290024</t>
  </si>
  <si>
    <t>Ayşenur Sertoğlu</t>
  </si>
  <si>
    <t>p_76330fbd734fe6f72669c6c7f3c4e9a70386b522@inbound.aiesec.org</t>
  </si>
  <si>
    <t>2022-03-13T13:21:06Z</t>
  </si>
  <si>
    <t>5153529_1290646</t>
  </si>
  <si>
    <t>Harshta Bhatti</t>
  </si>
  <si>
    <t>p_74556d19df7476689711f4276cce74a56bccba19@inbound.aiesec.org</t>
  </si>
  <si>
    <t>CGC Jhanjeri, Chandigarh</t>
  </si>
  <si>
    <t>2022-11-15T17:16:11Z</t>
  </si>
  <si>
    <t>5152138_1288497</t>
  </si>
  <si>
    <t>Khrystyna Koval</t>
  </si>
  <si>
    <t>p_7e14c492c716846f3ff59576f3626e4a0add1024@inbound.aiesec.org</t>
  </si>
  <si>
    <t>KYIV</t>
  </si>
  <si>
    <t>Kyiv</t>
  </si>
  <si>
    <t>2022-11-13T15:50:51Z</t>
  </si>
  <si>
    <t>4678168_1286821</t>
  </si>
  <si>
    <t>Molka Adassi</t>
  </si>
  <si>
    <t>p_295956d52c7f70accdf4f34d402c4719d628ba06@inbound.aiesec.org</t>
  </si>
  <si>
    <t>2021-06-27T21:10:02Z</t>
  </si>
  <si>
    <t>5157325_1284831</t>
  </si>
  <si>
    <t>Arij Rzeigui</t>
  </si>
  <si>
    <t>p_03d9865469aad7c6f14d65e479ac74c9672db287@inbound.aiesec.org</t>
  </si>
  <si>
    <t>https://expa.aiesec.org/opportunities/1284831</t>
  </si>
  <si>
    <t>2022-11-22T16:23:28Z</t>
  </si>
  <si>
    <t>4749683_1289505</t>
  </si>
  <si>
    <t>Nawres Arfaoui</t>
  </si>
  <si>
    <t>p_90f48e285040bdc77e111b2f63677af3dc5003ed@inbound.aiesec.org</t>
  </si>
  <si>
    <t>Ecole Nationale des Sciences et Technologies Avancées de BorjCédria</t>
  </si>
  <si>
    <t>2021-09-26T21:37:03Z</t>
  </si>
  <si>
    <t>5157162_1286312</t>
  </si>
  <si>
    <t>Elaa Sahli</t>
  </si>
  <si>
    <t>p_5b9fc480596b33d9622d4de2d4d4b55d9b2eedf6@inbound.aiesec.org</t>
  </si>
  <si>
    <t>https://expa.aiesec.org/opportunities/1286312</t>
  </si>
  <si>
    <t>2022-11-22T12:27:56Z</t>
  </si>
  <si>
    <t>5157032_1284670</t>
  </si>
  <si>
    <t>Kshitij Negi</t>
  </si>
  <si>
    <t>p_328acd7a3c1e9e8cb591f76c34e7128a4c615b16@inbound.aiesec.org</t>
  </si>
  <si>
    <t>2022-11-22T10:08:20Z</t>
  </si>
  <si>
    <t>5156627_1287708</t>
  </si>
  <si>
    <t>Omnia Ahmed</t>
  </si>
  <si>
    <t>p_b8364e5c4cfd169593256e05b75ab1264ccb25fa@inbound.aiesec.org</t>
  </si>
  <si>
    <t>https://expa.aiesec.org/opportunities/1287708</t>
  </si>
  <si>
    <t>Telesales Specialist</t>
  </si>
  <si>
    <t>2022-11-21T16:53:31Z</t>
  </si>
  <si>
    <t>5155912_1288973</t>
  </si>
  <si>
    <t>Fadwa Jadiri</t>
  </si>
  <si>
    <t>p_d1c47f08f093998ea1fc7ce4c1c804cf2745e103@inbound.aiesec.org</t>
  </si>
  <si>
    <t>https://expa.aiesec.org/opportunities/1288973</t>
  </si>
  <si>
    <t>Content Creator in Istanbul</t>
  </si>
  <si>
    <t>2022-11-19T19:35:18Z</t>
  </si>
  <si>
    <t>5143068_1287966</t>
  </si>
  <si>
    <t>Željana Đokić</t>
  </si>
  <si>
    <t>p_a280f27cfe35c506d35d6e2a23ee4fa9b4921f72@inbound.aiesec.org</t>
  </si>
  <si>
    <t>2022-10-30T08:33:52Z</t>
  </si>
  <si>
    <t>5155704_1290210</t>
  </si>
  <si>
    <t>Yağmur Ata</t>
  </si>
  <si>
    <t>p_a5601f15b56c30fe8d179f9e581394b704f63dec@inbound.aiesec.org</t>
  </si>
  <si>
    <t>2022-11-19T11:46:08Z</t>
  </si>
  <si>
    <t>5149894_1290156</t>
  </si>
  <si>
    <t>Mariam Mohamed</t>
  </si>
  <si>
    <t>p_45c96a1053cb72a96554e7af4a6628a299e0aaa5@inbound.aiesec.org</t>
  </si>
  <si>
    <t>https://expa.aiesec.org/opportunities/1290156</t>
  </si>
  <si>
    <t>2022-11-09T01:48:27Z</t>
  </si>
  <si>
    <t>5154643_1288663</t>
  </si>
  <si>
    <t>Ibrahim Sherif Ibrahim Mahmoud Gabr</t>
  </si>
  <si>
    <t>p_d25da261eb2467ffb917c2a469db6a73656bf5cc@inbound.aiesec.org</t>
  </si>
  <si>
    <t>2022-11-17T11:31:54Z</t>
  </si>
  <si>
    <t>5070398_1284447</t>
  </si>
  <si>
    <t>Dia Eddine Bassou</t>
  </si>
  <si>
    <t>p_424ae3215bf1bd09483d104b3425d657d6d3d283@inbound.aiesec.org</t>
  </si>
  <si>
    <t>2022-06-08T22:18:13Z</t>
  </si>
  <si>
    <t>5134365_1286442</t>
  </si>
  <si>
    <t>Mustafa Görkem Kavak</t>
  </si>
  <si>
    <t>p_f8706b9a81549d4bd6f4bb1e343bd72bfa1bea82@inbound.aiesec.org</t>
  </si>
  <si>
    <t>https://expa.aiesec.org/opportunities/1286442</t>
  </si>
  <si>
    <t>2022-10-17T09:17:14Z</t>
  </si>
  <si>
    <t>5129612_1290278</t>
  </si>
  <si>
    <t>Habibe Gozde Aykac</t>
  </si>
  <si>
    <t>p_6c4dc3f7bcfb46a3d0f1dbca7b7538f77435db8a@inbound.aiesec.org</t>
  </si>
  <si>
    <t>https://expa.aiesec.org/opportunities/1290278</t>
  </si>
  <si>
    <t>2022-10-11T07:36:35Z</t>
  </si>
  <si>
    <t>5157813_1279516</t>
  </si>
  <si>
    <t>alan Kortright</t>
  </si>
  <si>
    <t>p_1eddeffdc02cc615e72c8608d4eadb3fd1bc7016@inbound.aiesec.org</t>
  </si>
  <si>
    <t>Ciudad Juárez</t>
  </si>
  <si>
    <t>Chihuahua - Instituto Tecnológico de Ciudad Juárez</t>
  </si>
  <si>
    <t>2022-11-23T15:05:01Z</t>
  </si>
  <si>
    <t>5157774_1288583</t>
  </si>
  <si>
    <t>Aleyna Parlakdag</t>
  </si>
  <si>
    <t>p_a5f66c5df55b390cc2f0c9f1a1bac179ebd9541b@inbound.aiesec.org</t>
  </si>
  <si>
    <t>BERLIN TU</t>
  </si>
  <si>
    <t>https://expa.aiesec.org/opportunities/1288583</t>
  </si>
  <si>
    <t>Recruitment Trainee (f/m/d)</t>
  </si>
  <si>
    <t>2022-11-23T13:56:13Z</t>
  </si>
  <si>
    <t>4955030_1290283</t>
  </si>
  <si>
    <t>salma khemiri</t>
  </si>
  <si>
    <t>p_169f855934ecbe99e75bcf1fc8ff86211e5e04d3@inbound.aiesec.org</t>
  </si>
  <si>
    <t>https://expa.aiesec.org/opportunities/1290283</t>
  </si>
  <si>
    <t>Sales and Marketing Expert</t>
  </si>
  <si>
    <t>2022-02-28T20:35:10Z</t>
  </si>
  <si>
    <t>2917848_1272564</t>
  </si>
  <si>
    <t>Neirouz Rawene</t>
  </si>
  <si>
    <t>p_915d3865048f914992d1e34014ff8f653d084e7b@inbound.aiesec.org</t>
  </si>
  <si>
    <t>ENIS</t>
  </si>
  <si>
    <t>2018-12-03T18:15:40Z</t>
  </si>
  <si>
    <t>5157076_1284670</t>
  </si>
  <si>
    <t>Lavanya gaur</t>
  </si>
  <si>
    <t>p_e00828cf6ec97cf15f0ec70e97aa682984c58d78@inbound.aiesec.org</t>
  </si>
  <si>
    <t>2022-11-22T10:52:33Z</t>
  </si>
  <si>
    <t>5156616_1285555</t>
  </si>
  <si>
    <t>Maged Mohamed</t>
  </si>
  <si>
    <t>p_840a2138af557a9e991e8736732d278a0575c227@inbound.aiesec.org</t>
  </si>
  <si>
    <t>https://expa.aiesec.org/opportunities/1285555</t>
  </si>
  <si>
    <t>Customer Support Junior Specialist</t>
  </si>
  <si>
    <t>2022-11-21T16:28:55Z</t>
  </si>
  <si>
    <t>4817121_1290362</t>
  </si>
  <si>
    <t>Gül Akçay</t>
  </si>
  <si>
    <t>p_0e2745dab3edf37caf173e2a1407825f8ab771ec@inbound.aiesec.org</t>
  </si>
  <si>
    <t>2021-11-25T20:31:27Z</t>
  </si>
  <si>
    <t>5156587_1289255</t>
  </si>
  <si>
    <t>Dahou Touaibia</t>
  </si>
  <si>
    <t>p_9beca14a570c1463aed49fb218ae2e5e6484792c@inbound.aiesec.org</t>
  </si>
  <si>
    <t>2022-11-21T15:52:27Z</t>
  </si>
  <si>
    <t>1033206_1288989</t>
  </si>
  <si>
    <t>Esraa Mostafa</t>
  </si>
  <si>
    <t>p_9525bac8040c72d377cec050e64b7764a71e7cd1@inbound.aiesec.org</t>
  </si>
  <si>
    <t>Beni Suef</t>
  </si>
  <si>
    <t>2016-05-21T17:40:15Z</t>
  </si>
  <si>
    <t>4697656_1281101</t>
  </si>
  <si>
    <t>meryem el assimi</t>
  </si>
  <si>
    <t>p_ce05b414781cefbd62f05713c6fda98e9b6e22f2@inbound.aiesec.org</t>
  </si>
  <si>
    <t>https://expa.aiesec.org/opportunities/1281101</t>
  </si>
  <si>
    <t>2021-07-26T12:03:21Z</t>
  </si>
  <si>
    <t>2255769_1290236</t>
  </si>
  <si>
    <t>Elif Altuniç Elif Altuniç</t>
  </si>
  <si>
    <t>p_749feeeabd360c239267dcb92619a8a7d16ff0a4@inbound.aiesec.org</t>
  </si>
  <si>
    <t>https://expa.aiesec.org/opportunities/1290236</t>
  </si>
  <si>
    <t>Learning Technologies and Platform Management Support</t>
  </si>
  <si>
    <t>2018-04-25T02:33:30Z</t>
  </si>
  <si>
    <t>5158364_1283483</t>
  </si>
  <si>
    <t>Rayen Ben hassen</t>
  </si>
  <si>
    <t>p_79caac72b3fbb463a5400c986aa97f4279389aef@inbound.aiesec.org</t>
  </si>
  <si>
    <t>2022-11-24T15:06:54Z</t>
  </si>
  <si>
    <t>5157932_1284077</t>
  </si>
  <si>
    <t>Mohamed Alswaf</t>
  </si>
  <si>
    <t>p_146234f220ab95235cf708f9237b8a62fa216cfa@inbound.aiesec.org</t>
  </si>
  <si>
    <t>2022-11-23T17:50:22Z</t>
  </si>
  <si>
    <t>5118712_1290024</t>
  </si>
  <si>
    <t>Birgül Kaba</t>
  </si>
  <si>
    <t>p_6a47d8f705f2326bbe70f6ef5fd480e270d8f25f@inbound.aiesec.org</t>
  </si>
  <si>
    <t>2022-09-24T12:08:24Z</t>
  </si>
  <si>
    <t>4950488_1286059</t>
  </si>
  <si>
    <t>Sathishka Madushani</t>
  </si>
  <si>
    <t>p_bd6f3482e237190a81682f203d720ee1abe778a1@inbound.aiesec.org</t>
  </si>
  <si>
    <t>COLOMBO CENTRAL</t>
  </si>
  <si>
    <t>https://expa.aiesec.org/opportunities/1286059</t>
  </si>
  <si>
    <t>University of Colombo</t>
  </si>
  <si>
    <t>2022-02-26T09:09:41Z</t>
  </si>
  <si>
    <t>5152256_1290876</t>
  </si>
  <si>
    <t>Abir Zaafrane</t>
  </si>
  <si>
    <t>p_f178e863a65aef5fdd92260fa8445ec0d6e1c47b@inbound.aiesec.org</t>
  </si>
  <si>
    <t>https://expa.aiesec.org/opportunities/1290876</t>
  </si>
  <si>
    <t xml:space="preserve">Marketing </t>
  </si>
  <si>
    <t>EPI Sousse</t>
  </si>
  <si>
    <t>2022-11-13T21:04:31Z</t>
  </si>
  <si>
    <t>5135535_1287966</t>
  </si>
  <si>
    <t>Keshav Madaan</t>
  </si>
  <si>
    <t>p_9db377adfa3737aa52c92cf3344938ccaddb490a@inbound.aiesec.org</t>
  </si>
  <si>
    <t>Ludhiana</t>
  </si>
  <si>
    <t>2022-10-18T09:46:43Z</t>
  </si>
  <si>
    <t>5158525_1281195</t>
  </si>
  <si>
    <t>Siwar Guediche</t>
  </si>
  <si>
    <t>p_0210435ce62d93e12501ad37c764390d9cf4f13c@inbound.aiesec.org</t>
  </si>
  <si>
    <t>2022-11-24T21:48:41Z</t>
  </si>
  <si>
    <t>5158417_1288412</t>
  </si>
  <si>
    <t>Nazmiye Demirbaş</t>
  </si>
  <si>
    <t>p_6f24d861eb06daf900c398d94057c054f1333d99@inbound.aiesec.org</t>
  </si>
  <si>
    <t>2022-11-24T16:39:04Z</t>
  </si>
  <si>
    <t>5117276_1288951</t>
  </si>
  <si>
    <t>Joana Tavares</t>
  </si>
  <si>
    <t>p_96659b33a9e1748f4a70f729afc48a70f7f88cbd@inbound.aiesec.org</t>
  </si>
  <si>
    <t>https://expa.aiesec.org/opportunities/1288951</t>
  </si>
  <si>
    <t>English Teacher | Private Nice Kindergarten</t>
  </si>
  <si>
    <t>Blumenau</t>
  </si>
  <si>
    <t>2022-09-21T23:44:06Z</t>
  </si>
  <si>
    <t>5151899_1288280</t>
  </si>
  <si>
    <t>Mohamed Slim Belgaied</t>
  </si>
  <si>
    <t>p_7f1be319a8f65a6a162e8b5db61c3714841a6490@inbound.aiesec.org</t>
  </si>
  <si>
    <t>2022-11-12T21:09:15Z</t>
  </si>
  <si>
    <t>5087015_1288911</t>
  </si>
  <si>
    <t>Beyazıt Kaya</t>
  </si>
  <si>
    <t>p_b2900157c6310d98106fcde64aadf6e5890f6962@inbound.aiesec.org</t>
  </si>
  <si>
    <t>https://expa.aiesec.org/opportunities/1288911</t>
  </si>
  <si>
    <t xml:space="preserve">Social Media Manager </t>
  </si>
  <si>
    <t>2022-07-29T10:10:00Z</t>
  </si>
  <si>
    <t>5087590_1288609</t>
  </si>
  <si>
    <t>Eren Esmer</t>
  </si>
  <si>
    <t>p_076273b53e5106dd6395970974ef3949558212a9@inbound.aiesec.org</t>
  </si>
  <si>
    <t>https://expa.aiesec.org/opportunities/1288609</t>
  </si>
  <si>
    <t>2022-07-31T15:40:41Z</t>
  </si>
  <si>
    <t>5158300_1287987</t>
  </si>
  <si>
    <t>Ezgi şahin</t>
  </si>
  <si>
    <t>p_0cdcfd47a00b6c2ec24300b337307cce8679caba@inbound.aiesec.org</t>
  </si>
  <si>
    <t>https://expa.aiesec.org/opportunities/1287987</t>
  </si>
  <si>
    <t>2022-11-24T12:47:27Z</t>
  </si>
  <si>
    <t>5158066_1286034</t>
  </si>
  <si>
    <t>Thiago Palomino de Bem</t>
  </si>
  <si>
    <t>p_4965e058a94c335e1ceaf19bbc9788d3b06dec2e@inbound.aiesec.org</t>
  </si>
  <si>
    <t>SANTA MARIA</t>
  </si>
  <si>
    <t>Santa Maria</t>
  </si>
  <si>
    <t>2022-11-23T21:59:11Z</t>
  </si>
  <si>
    <t>5157996_1286034</t>
  </si>
  <si>
    <t>Camila Lamberti</t>
  </si>
  <si>
    <t>p_e8a02a4a385310e7696d4cccdbba096d2fc097d9@inbound.aiesec.org</t>
  </si>
  <si>
    <t>2022-11-23T19:15:16Z</t>
  </si>
  <si>
    <t>5027525_1290425</t>
  </si>
  <si>
    <t>Esraa Abdelhamid Mohamed Ahmed Elnaggar</t>
  </si>
  <si>
    <t>p_697657dd816df0efc63f6fb95dc3391229506850@inbound.aiesec.org</t>
  </si>
  <si>
    <t>https://expa.aiesec.org/opportunities/1290425</t>
  </si>
  <si>
    <t>2022-04-07T00:16:24Z</t>
  </si>
  <si>
    <t>5065107_1287101</t>
  </si>
  <si>
    <t>Zeina Abualkasem</t>
  </si>
  <si>
    <t>p_f9c2179270eb7f662d48a13d631f0121d8555a0b@inbound.aiesec.org</t>
  </si>
  <si>
    <t>2022-05-28T00:22:30Z</t>
  </si>
  <si>
    <t>5157307_1290210</t>
  </si>
  <si>
    <t>Giousouf Arif</t>
  </si>
  <si>
    <t>p_155b52db53ec3cf9dc0432ac0245b39097bf9cf8@inbound.aiesec.org</t>
  </si>
  <si>
    <t>2022-11-22T15:57:48Z</t>
  </si>
  <si>
    <t>5139625_1288970</t>
  </si>
  <si>
    <t>Andreea Prodan</t>
  </si>
  <si>
    <t>p_46bc429c7ef1ff480fa1238620b8aec114a03a0a@inbound.aiesec.org</t>
  </si>
  <si>
    <t>2022-10-24T16:14:05Z</t>
  </si>
  <si>
    <t>5152604_1280973</t>
  </si>
  <si>
    <t>shiyu ma</t>
  </si>
  <si>
    <t>p_248c5f3e04ae79687fbb92b9a6061569b3c01089@inbound.aiesec.org</t>
  </si>
  <si>
    <t>GLASGOW</t>
  </si>
  <si>
    <t>https://expa.aiesec.org/opportunities/1280973</t>
  </si>
  <si>
    <t>2022-11-14T13:15:17Z</t>
  </si>
  <si>
    <t>5159567_1291046</t>
  </si>
  <si>
    <t>Oumayma Mahouachi</t>
  </si>
  <si>
    <t>p_515e693cb798707a4d80467e4a38e9726da977a1@inbound.aiesec.org</t>
  </si>
  <si>
    <t>https://expa.aiesec.org/opportunities/1291046</t>
  </si>
  <si>
    <t>English Translator on Laodikya Marble</t>
  </si>
  <si>
    <t>2022-11-27T19:05:51Z</t>
  </si>
  <si>
    <t>5159538_1287974</t>
  </si>
  <si>
    <t>Emre Ermis</t>
  </si>
  <si>
    <t>p_a35be47289c60a59adce9b9d6fcdeaf3a61c78da@inbound.aiesec.org</t>
  </si>
  <si>
    <t>KOELN</t>
  </si>
  <si>
    <t>https://expa.aiesec.org/opportunities/1287974</t>
  </si>
  <si>
    <t>Public Relations and Advertising</t>
  </si>
  <si>
    <t>2022-11-27T17:36:09Z</t>
  </si>
  <si>
    <t>5159482_1272564</t>
  </si>
  <si>
    <t>Jaweher Abdellaoui</t>
  </si>
  <si>
    <t>p_f7e433d0aad5a1ab566836f8d1c3e7f96b079e3f@inbound.aiesec.org</t>
  </si>
  <si>
    <t>IHEC Sfax</t>
  </si>
  <si>
    <t>2022-11-27T14:43:59Z</t>
  </si>
  <si>
    <t>5159479_1272564</t>
  </si>
  <si>
    <t>Nour Hached</t>
  </si>
  <si>
    <t>p_d50227dd6f9188b80d6f7de1b7f93bca4e55d338@inbound.aiesec.org</t>
  </si>
  <si>
    <t>26 651 080</t>
  </si>
  <si>
    <t>2022-11-27T14:32:05Z</t>
  </si>
  <si>
    <t>4656894_1289536</t>
  </si>
  <si>
    <t>Samar Maazoul</t>
  </si>
  <si>
    <t>p_2f75fc92ef1cbcf00dcd4d87ef01ccab26ff52fc@inbound.aiesec.org</t>
  </si>
  <si>
    <t>2021-05-29T17:59:02Z</t>
  </si>
  <si>
    <t>5158657_1289255</t>
  </si>
  <si>
    <t>Imad boughambouz</t>
  </si>
  <si>
    <t>p_420a1eefcbe22c2bc983598d302da9c6ba15598e@inbound.aiesec.org</t>
  </si>
  <si>
    <t>+213697120401</t>
  </si>
  <si>
    <t>2022-11-25T08:38:41Z</t>
  </si>
  <si>
    <t>5158185_1284081</t>
  </si>
  <si>
    <t>Mariam Awad</t>
  </si>
  <si>
    <t>p_c56f26559266632932daad928b785ff579f8e4f2@inbound.aiesec.org</t>
  </si>
  <si>
    <t>2022-11-24T06:26:28Z</t>
  </si>
  <si>
    <t>5158094_1289596</t>
  </si>
  <si>
    <t>ANDRIELI THAIS STOEBERL ANDRIELI THAIS STOEBERL</t>
  </si>
  <si>
    <t>p_c83caadeac94358b1c2194423eb7fac316510833@inbound.aiesec.org</t>
  </si>
  <si>
    <t>2022-11-23T23:29:02Z</t>
  </si>
  <si>
    <t>5150336_1281357</t>
  </si>
  <si>
    <t>Abhi Singla</t>
  </si>
  <si>
    <t>p_d13409fcfe67c992b361796fe743dbab4de96f0e@inbound.aiesec.org</t>
  </si>
  <si>
    <t>Patiala</t>
  </si>
  <si>
    <t>2022-11-09T17:09:20Z</t>
  </si>
  <si>
    <t>3828381_1288616</t>
  </si>
  <si>
    <t>Yusuf Mohideen</t>
  </si>
  <si>
    <t>p_d004cf7fbc6679e88a1aed8485cc81ff0295be97@inbound.aiesec.org</t>
  </si>
  <si>
    <t>Hong Kong</t>
  </si>
  <si>
    <t>HKU</t>
  </si>
  <si>
    <t>The University of Hong Kong</t>
  </si>
  <si>
    <t>2019-09-12T13:46:49Z</t>
  </si>
  <si>
    <t>4381156_1284485</t>
  </si>
  <si>
    <t>Muhammed Almaz</t>
  </si>
  <si>
    <t>p_d21c730205b890b168b350a7cac73948cd7277fa@inbound.aiesec.org</t>
  </si>
  <si>
    <t>ADIYAMAN</t>
  </si>
  <si>
    <t>2020-09-28T17:35:49Z</t>
  </si>
  <si>
    <t>5027164_1288813</t>
  </si>
  <si>
    <t>Sherouk Gamal ElDin</t>
  </si>
  <si>
    <t>p_b3ae404943320406aae3e6f461b8c61ac3fea8b5@inbound.aiesec.org</t>
  </si>
  <si>
    <t>2022-04-06T14:01:48Z</t>
  </si>
  <si>
    <t>3069109_1290826</t>
  </si>
  <si>
    <t>Rawan Reda</t>
  </si>
  <si>
    <t>p_745f2faae8d89e3718ea806c46e1bf14e1d84ef5@inbound.aiesec.org</t>
  </si>
  <si>
    <t>https://expa.aiesec.org/opportunities/1290826</t>
  </si>
  <si>
    <t>2019-02-11T04:04:23Z</t>
  </si>
  <si>
    <t>5159337_1285704</t>
  </si>
  <si>
    <t>Niyazi Topbaş</t>
  </si>
  <si>
    <t>p_dd1594c44dbd7805c3aa6c0216be212872cf83a4@inbound.aiesec.org</t>
  </si>
  <si>
    <t>Budapest Business School - KVIK</t>
  </si>
  <si>
    <t>https://expa.aiesec.org/opportunities/1285704</t>
  </si>
  <si>
    <t>Junior Technical Writer / Technical Support Engineer (Turkish Speaker)</t>
  </si>
  <si>
    <t>2022-11-27T00:16:21Z</t>
  </si>
  <si>
    <t>5158745_1289255</t>
  </si>
  <si>
    <t>ghita el boudlali</t>
  </si>
  <si>
    <t>p_64dac465f445552296a26356301890ee7d3c994c@inbound.aiesec.org</t>
  </si>
  <si>
    <t>Ecole Normale Supérieure Rabat (ENS)</t>
  </si>
  <si>
    <t>2022-11-25T12:02:46Z</t>
  </si>
  <si>
    <t>5157422_1290216</t>
  </si>
  <si>
    <t>sude özkan</t>
  </si>
  <si>
    <t>p_ad627e80f94ff57ea49fa0406032fbc0bc9c1130@inbound.aiesec.org</t>
  </si>
  <si>
    <t>https://expa.aiesec.org/opportunities/1290216</t>
  </si>
  <si>
    <t>2022-11-22T19:10:55Z</t>
  </si>
  <si>
    <t>5154868_1285713</t>
  </si>
  <si>
    <t>Pan Taf</t>
  </si>
  <si>
    <t>p_0194f178a81cb033f4f75f17fee867ddbcb9a3d7@inbound.aiesec.org</t>
  </si>
  <si>
    <t>UNIVERSITY OF PATRAS</t>
  </si>
  <si>
    <t>2022-11-17T16:30:09Z</t>
  </si>
  <si>
    <t>5156125_1285681</t>
  </si>
  <si>
    <t>Stefan Ropan</t>
  </si>
  <si>
    <t>p_ceb1ffad9ebe71b104a96883ea1b6f658f0ce555@inbound.aiesec.org</t>
  </si>
  <si>
    <t>2022-11-20T13:23:07Z</t>
  </si>
  <si>
    <t>5156108_1288609</t>
  </si>
  <si>
    <t>Melek Aydemir</t>
  </si>
  <si>
    <t>p_33daf0efce53274bf4a2c842c7309aed4bde8e98@inbound.aiesec.org</t>
  </si>
  <si>
    <t>2022-11-20T12:15:11Z</t>
  </si>
  <si>
    <t>5155757_1288843</t>
  </si>
  <si>
    <t>Hazim Ali</t>
  </si>
  <si>
    <t>p_3a0ccb44b74b1e610b3218323cc45ca89cff1000@inbound.aiesec.org</t>
  </si>
  <si>
    <t>533 876 89 35</t>
  </si>
  <si>
    <t>2022-11-19T13:06:26Z</t>
  </si>
  <si>
    <t>4224262_1290159</t>
  </si>
  <si>
    <t>Ali Ozan Kama</t>
  </si>
  <si>
    <t>p_2393641ceb32481e2457b434a4f3de4dfa54825f@inbound.aiesec.org</t>
  </si>
  <si>
    <t>Metropolitan</t>
  </si>
  <si>
    <t>https://expa.aiesec.org/opportunities/1290159</t>
  </si>
  <si>
    <t>2020-02-29T12:50:03Z</t>
  </si>
  <si>
    <t>5091543_1287338</t>
  </si>
  <si>
    <t>María Fernanda Granda Morales</t>
  </si>
  <si>
    <t>p_8de9d28b67db98842b2c7c7af91f725fb1e70f4a@inbound.aiesec.org</t>
  </si>
  <si>
    <t>2022-08-09T14:08:24Z</t>
  </si>
  <si>
    <t>2905715_1287722</t>
  </si>
  <si>
    <t>yasemin soysal</t>
  </si>
  <si>
    <t>p_8f411c13aae0995d0f0aa1a162df48a60bc26a7c@inbound.aiesec.org</t>
  </si>
  <si>
    <t>2018-11-27T10:07:49Z</t>
  </si>
  <si>
    <t>5086316_1287894</t>
  </si>
  <si>
    <t>Ozan Semih Doğan</t>
  </si>
  <si>
    <t>p_3187dc630442836b978009af966624bdf41ae7bb@inbound.aiesec.org</t>
  </si>
  <si>
    <t>2022-07-27T10:05:03Z</t>
  </si>
  <si>
    <t>5160098_1288609</t>
  </si>
  <si>
    <t>ALIREZA KASHANINIA</t>
  </si>
  <si>
    <t>p_5eb9bcd65f96510f290e647afb05c8a50ac4a730@inbound.aiesec.org</t>
  </si>
  <si>
    <t>535 651 23 87</t>
  </si>
  <si>
    <t>2022-11-28T20:16:46Z</t>
  </si>
  <si>
    <t>5160445_1286920</t>
  </si>
  <si>
    <t>Nejmeddine Layeb</t>
  </si>
  <si>
    <t>p_118eaa849bedf51beb45710e58c78df517b5712d@inbound.aiesec.org</t>
  </si>
  <si>
    <t>https://expa.aiesec.org/opportunities/1286920</t>
  </si>
  <si>
    <t>2022-11-29T13:50:04Z</t>
  </si>
  <si>
    <t>5160340_1289255</t>
  </si>
  <si>
    <t>p_dcc8379c2d8708c0118d70f1dfc48da00959f032@inbound.aiesec.org</t>
  </si>
  <si>
    <t>2022-11-29T11:34:25Z</t>
  </si>
  <si>
    <t>5160308_1288662</t>
  </si>
  <si>
    <t>Penny Kapusuzoglu</t>
  </si>
  <si>
    <t>p_aa8de19e8ac12b196e14d406c6d2d80dfd1c9f3e@inbound.aiesec.org</t>
  </si>
  <si>
    <t>Belgium</t>
  </si>
  <si>
    <t xml:space="preserve">Belgium (National) </t>
  </si>
  <si>
    <t>https://expa.aiesec.org/opportunities/1288662</t>
  </si>
  <si>
    <t>Sustainability Reporting Trainee</t>
  </si>
  <si>
    <t>2022-11-29T11:20:35Z</t>
  </si>
  <si>
    <t>5160087_1284414</t>
  </si>
  <si>
    <t>Eduardo Hale García</t>
  </si>
  <si>
    <t>p_518ed490a4e09029fba2dbb64e22c4eaa10b676d@inbound.aiesec.org</t>
  </si>
  <si>
    <t>UP</t>
  </si>
  <si>
    <t>https://expa.aiesec.org/opportunities/1284414</t>
  </si>
  <si>
    <t>CDMX - Universidad Panamericana (UP)</t>
  </si>
  <si>
    <t>2022-11-28T20:04:41Z</t>
  </si>
  <si>
    <t>5159000_1288989</t>
  </si>
  <si>
    <t>Pablo Bruno de Paula dos Santos</t>
  </si>
  <si>
    <t>p_7596c909e924dd5d4f8ef96e17c59cd20551e147@inbound.aiesec.org</t>
  </si>
  <si>
    <t>BRASÍLIA</t>
  </si>
  <si>
    <t>Brasília</t>
  </si>
  <si>
    <t>2022-11-26T00:51:53Z</t>
  </si>
  <si>
    <t>5158763_1290024</t>
  </si>
  <si>
    <t>Hümeyra Çetin</t>
  </si>
  <si>
    <t>p_9bfab27d0950a9b3e64734f80d771d50a872c35e@inbound.aiesec.org</t>
  </si>
  <si>
    <t>2022-11-25T12:28:21Z</t>
  </si>
  <si>
    <t>5158764_1290024</t>
  </si>
  <si>
    <t>Büşra Nur Özdemir</t>
  </si>
  <si>
    <t>p_387e91422a8a0fe3704b1587f5124abe4d78f975@inbound.aiesec.org</t>
  </si>
  <si>
    <t>5023565_1290638</t>
  </si>
  <si>
    <t>Abdelrahman Eltager</t>
  </si>
  <si>
    <t>p_502715429abc9881fb78fd031d73dfbd83682402@inbound.aiesec.org</t>
  </si>
  <si>
    <t>https://expa.aiesec.org/opportunities/1290638</t>
  </si>
  <si>
    <t>2022-04-03T12:56:33Z</t>
  </si>
  <si>
    <t>4470560_1285413</t>
  </si>
  <si>
    <t>Zeynep Demir</t>
  </si>
  <si>
    <t>p_cfc0ea4899267f025df3e3411c92978eb8acfc4c@inbound.aiesec.org</t>
  </si>
  <si>
    <t>https://expa.aiesec.org/opportunities/1285413</t>
  </si>
  <si>
    <t>2020-12-07T15:29:32Z</t>
  </si>
  <si>
    <t>5037012_1289155</t>
  </si>
  <si>
    <t>Malak Moustafa</t>
  </si>
  <si>
    <t>p_b01f0e407450a448f64297ca2ca2a4bd352215e7@inbound.aiesec.org</t>
  </si>
  <si>
    <t>2022-04-12T09:44:17Z</t>
  </si>
  <si>
    <t>1789674_1281195</t>
  </si>
  <si>
    <t>george kingsley amuzu</t>
  </si>
  <si>
    <t>p_6a8b5208196169b809bc3e9ac979745b72387ede@inbound.aiesec.org</t>
  </si>
  <si>
    <t>LEGON</t>
  </si>
  <si>
    <t>2017-10-12T05:06:05Z</t>
  </si>
  <si>
    <t>5161146_1290352</t>
  </si>
  <si>
    <t>Şıvga Sıla Çalışkan</t>
  </si>
  <si>
    <t>p_4e47b43947a78d7d42f68402a7d5eaef4e14ebf8@inbound.aiesec.org</t>
  </si>
  <si>
    <t>https://expa.aiesec.org/opportunities/1290352</t>
  </si>
  <si>
    <t>2022-11-30T20:28:06Z</t>
  </si>
  <si>
    <t>5161077_1289686</t>
  </si>
  <si>
    <t>ameni ben hannechi</t>
  </si>
  <si>
    <t>p_784ca450324555043b83ce2704109c3bf0d13738@inbound.aiesec.org</t>
  </si>
  <si>
    <t>https://expa.aiesec.org/opportunities/1289686</t>
  </si>
  <si>
    <t>English Language Teacher | American Culture</t>
  </si>
  <si>
    <t>2022-11-30T17:54:25Z</t>
  </si>
  <si>
    <t>5161138_1285687</t>
  </si>
  <si>
    <t>Wissal Gdaym</t>
  </si>
  <si>
    <t>p_1adc244f5282296aad5da172dcebef4854c0956f@inbound.aiesec.org</t>
  </si>
  <si>
    <t>2022-11-30T20:01:47Z</t>
  </si>
  <si>
    <t>5161128_1285687</t>
  </si>
  <si>
    <t>Nourhene Ayed</t>
  </si>
  <si>
    <t>p_2bafbcc012c114e89d5ca0ec12f73a1acd18784d@inbound.aiesec.org</t>
  </si>
  <si>
    <t>2022-11-30T19:27:43Z</t>
  </si>
  <si>
    <t>5161087_1289255</t>
  </si>
  <si>
    <t>p_5ecc60b2a3745a407142903a7b4b866515654224@inbound.aiesec.org</t>
  </si>
  <si>
    <t>+213 557 78 30 68</t>
  </si>
  <si>
    <t>2022-11-30T18:10:07Z</t>
  </si>
  <si>
    <t>5161028_1286312</t>
  </si>
  <si>
    <t>Kenza Jaouadi</t>
  </si>
  <si>
    <t>p_8a182c636cb84b2a0598095baf34aca64e8a55e9@inbound.aiesec.org</t>
  </si>
  <si>
    <t>2022-11-30T15:56:25Z</t>
  </si>
  <si>
    <t>5160966_1289455</t>
  </si>
  <si>
    <t>Işılay Özkan</t>
  </si>
  <si>
    <t>p_e1a5d36509c7add88972dd67c4801a7bf2766eea@inbound.aiesec.org</t>
  </si>
  <si>
    <t>https://expa.aiesec.org/opportunities/1289455</t>
  </si>
  <si>
    <t>English Teacher for Kids in Cairo</t>
  </si>
  <si>
    <t>2022-11-30T13:58:14Z</t>
  </si>
  <si>
    <t>5158427_1290374</t>
  </si>
  <si>
    <t>Ali Can Kocadokur</t>
  </si>
  <si>
    <t>p_56bffa51f54398f25840bbcc77444e6839968803@inbound.aiesec.org</t>
  </si>
  <si>
    <t>https://expa.aiesec.org/opportunities/1290374</t>
  </si>
  <si>
    <t>2022-11-24T16:47:42Z</t>
  </si>
  <si>
    <t>5160826_1288609</t>
  </si>
  <si>
    <t>Fatima Şeyh</t>
  </si>
  <si>
    <t>p_5b6eb54a0557953aab4e9b032ce88145be0b185d@inbound.aiesec.org</t>
  </si>
  <si>
    <t>553 055 77 98</t>
  </si>
  <si>
    <t>2022-11-30T09:18:26Z</t>
  </si>
  <si>
    <t>5160558_1290036</t>
  </si>
  <si>
    <t>Emine Aydın</t>
  </si>
  <si>
    <t>p_48968b3fd1fb529cf45dc78d10a97c2e39e5a349@inbound.aiesec.org</t>
  </si>
  <si>
    <t>https://expa.aiesec.org/opportunities/1290036</t>
  </si>
  <si>
    <t>2022-11-29T17:36:59Z</t>
  </si>
  <si>
    <t>5160850_1291199</t>
  </si>
  <si>
    <t>Numanhan Duran</t>
  </si>
  <si>
    <t>p_8c3ef23f43776a14a38072dc350d1d5ec734e016@inbound.aiesec.org</t>
  </si>
  <si>
    <t>https://expa.aiesec.org/opportunities/1291199</t>
  </si>
  <si>
    <t>Business Analyst</t>
  </si>
  <si>
    <t>2022-11-30T09:59:50Z</t>
  </si>
  <si>
    <t>5160661_1291229</t>
  </si>
  <si>
    <t>Doaa Nosir</t>
  </si>
  <si>
    <t>p_1d103a23b3f1c47cae9414260f0be8ed63a8ab5e@inbound.aiesec.org</t>
  </si>
  <si>
    <t>https://expa.aiesec.org/opportunities/1291229</t>
  </si>
  <si>
    <t>DIGITAL MARKETING</t>
  </si>
  <si>
    <t>2022-11-29T21:22:48Z</t>
  </si>
  <si>
    <t>1446164_1269991</t>
  </si>
  <si>
    <t>Passent ElSherif</t>
  </si>
  <si>
    <t>p_f634f4f3e996db5a553cf5bbad8be43c37a93b53@inbound.aiesec.org</t>
  </si>
  <si>
    <t>https://expa.aiesec.org/opportunities/1269991</t>
  </si>
  <si>
    <t>English Teacher in Yahya Kaptan Koleji</t>
  </si>
  <si>
    <t>2017-03-24T00:18:18Z</t>
  </si>
  <si>
    <t>5153186_1287477</t>
  </si>
  <si>
    <t>Melike İşbilen</t>
  </si>
  <si>
    <t>p_83a8dcf19d73db42653a516b58687ee84019bfd9@inbound.aiesec.org</t>
  </si>
  <si>
    <t>2022-11-15T09:05:17Z</t>
  </si>
  <si>
    <t>4613280_1290648</t>
  </si>
  <si>
    <t>Rukiye Hanilçe</t>
  </si>
  <si>
    <t>p_8c07115e52b9d4595d8d59f08dbcfeb34d4775b1@inbound.aiesec.org</t>
  </si>
  <si>
    <t>https://expa.aiesec.org/opportunities/1290648</t>
  </si>
  <si>
    <t>2021-04-11T19:07:44Z</t>
  </si>
  <si>
    <t>5128753_1269748</t>
  </si>
  <si>
    <t>Eda Sahinkul</t>
  </si>
  <si>
    <t>p_7476ae326917052ebc566e6dc827423476b5c5ed@inbound.aiesec.org</t>
  </si>
  <si>
    <t>https://expa.aiesec.org/opportunities/1269748</t>
  </si>
  <si>
    <t>Junior Demo Officer</t>
  </si>
  <si>
    <t>2022-10-10T09:06:42Z</t>
  </si>
  <si>
    <t>5160306_1288419</t>
  </si>
  <si>
    <t>Sena Kırdök</t>
  </si>
  <si>
    <t>p_6df5dd762057a03c178816ac9b3d56c4bd5e17fd@inbound.aiesec.org</t>
  </si>
  <si>
    <t>2022-11-29T11:16:53Z</t>
  </si>
  <si>
    <t>5160289_1288419</t>
  </si>
  <si>
    <t>Gülfidan Eker</t>
  </si>
  <si>
    <t>p_efb55f93e112ba9fe93d2232b88a749b2b672a7f@inbound.aiesec.org</t>
  </si>
  <si>
    <t>2022-11-29T10:28:34Z</t>
  </si>
  <si>
    <t>5089394_1289175</t>
  </si>
  <si>
    <t>Laura Melo</t>
  </si>
  <si>
    <t>p_77da091ed09c15f143997234f9fa4a8855b634a2@inbound.aiesec.org</t>
  </si>
  <si>
    <t>https://expa.aiesec.org/opportunities/1289175</t>
  </si>
  <si>
    <t>Marketing Specialist at Elmalı Makina</t>
  </si>
  <si>
    <t>2022-08-04T21:29:37Z</t>
  </si>
  <si>
    <t>5159093_1286442</t>
  </si>
  <si>
    <t>Hilal Sümbüllü</t>
  </si>
  <si>
    <t>p_86b1ada083170a8bd8a8aa94356f87a9acb2c28f@inbound.aiesec.org</t>
  </si>
  <si>
    <t>2022-11-26T11:41:53Z</t>
  </si>
  <si>
    <t>5159036_1272564</t>
  </si>
  <si>
    <t>Aasis Sethi</t>
  </si>
  <si>
    <t>p_bb9d8898a9415116f0e37a482ad1bd4214862986@inbound.aiesec.org</t>
  </si>
  <si>
    <t>2022-11-26T06:29:07Z</t>
  </si>
  <si>
    <t>5146116_1290024</t>
  </si>
  <si>
    <t>Eren Bayraktar</t>
  </si>
  <si>
    <t>p_cfe75265ec0b516c90fb409437c6c04d4a5d1916@inbound.aiesec.org</t>
  </si>
  <si>
    <t>2022-11-03T17:31:34Z</t>
  </si>
  <si>
    <t>5141560_1289202</t>
  </si>
  <si>
    <t>Boutheina ZENDER</t>
  </si>
  <si>
    <t>p_f4eee01325bb6fe99508c5beca5153c7d53e5e8b@inbound.aiesec.org</t>
  </si>
  <si>
    <t>VIT</t>
  </si>
  <si>
    <t>https://expa.aiesec.org/opportunities/1289202</t>
  </si>
  <si>
    <t xml:space="preserve">Research Intern |Molecular Biology| | In India     </t>
  </si>
  <si>
    <t>2022-10-27T14:17:42Z</t>
  </si>
  <si>
    <t>5155511_1290024</t>
  </si>
  <si>
    <t>süleyman Tekin</t>
  </si>
  <si>
    <t>p_08bc65250130c2597fe9329e84afb99b001e7d1f@inbound.aiesec.org</t>
  </si>
  <si>
    <t>2022-11-18T20:59:12Z</t>
  </si>
  <si>
    <t>5133535_1286326</t>
  </si>
  <si>
    <t>Novita Sari Simorangkir</t>
  </si>
  <si>
    <t>p_ca075b71a0d5d4dc8be677b3a7ecd87c4337a271@inbound.aiesec.org</t>
  </si>
  <si>
    <t>Indonesia</t>
  </si>
  <si>
    <t>PU</t>
  </si>
  <si>
    <t>President University</t>
  </si>
  <si>
    <t>2022-10-15T17:09:31Z</t>
  </si>
  <si>
    <t>5145954_1279126</t>
  </si>
  <si>
    <t>Omrani Mohamed louay</t>
  </si>
  <si>
    <t>p_ee8b785542f6cf157b4d79d8463063d23556788c@inbound.aiesec.org</t>
  </si>
  <si>
    <t>https://expa.aiesec.org/opportunities/1279126</t>
  </si>
  <si>
    <t>2022-11-03T14:32:14Z</t>
  </si>
  <si>
    <t>5159978_1289505</t>
  </si>
  <si>
    <t>Ferdaws Dridi</t>
  </si>
  <si>
    <t>p_00c04518d620afc79f41abd0c13eb0b30cdda131@inbound.aiesec.org</t>
  </si>
  <si>
    <t>2022-11-28T16:07:42Z</t>
  </si>
  <si>
    <t>5140493_1290669</t>
  </si>
  <si>
    <t>soukaina koumani</t>
  </si>
  <si>
    <t>p_7b8cdaafeffb565522a18a67c4c159e6d993344f@inbound.aiesec.org</t>
  </si>
  <si>
    <t>https://expa.aiesec.org/opportunities/1290669</t>
  </si>
  <si>
    <t>English Teacher in ODTÜ-KYÖV Schools</t>
  </si>
  <si>
    <t>2022-10-25T21:33:52Z</t>
  </si>
  <si>
    <t>5158058_1288582</t>
  </si>
  <si>
    <t>farrah Mekki</t>
  </si>
  <si>
    <t>p_bd07f2c8f9d748762b3f35c10c607a73f42c471d@inbound.aiesec.org</t>
  </si>
  <si>
    <t>https://expa.aiesec.org/opportunities/1288582</t>
  </si>
  <si>
    <t>2022-11-23T21:35:18Z</t>
  </si>
  <si>
    <t>5155398_1287459</t>
  </si>
  <si>
    <t>Berra Candaş</t>
  </si>
  <si>
    <t>p_f8e7ab1bda01a18906bef20389d753f5bef0e76b@inbound.aiesec.org</t>
  </si>
  <si>
    <t>2022-11-18T16:51:21Z</t>
  </si>
  <si>
    <t>4744228_1290275</t>
  </si>
  <si>
    <t>Melike Aydın</t>
  </si>
  <si>
    <t>p_e6b5b8a9d7a1224b9f6279621589a1844670e94e@inbound.aiesec.org</t>
  </si>
  <si>
    <t>ATHENS</t>
  </si>
  <si>
    <t>https://expa.aiesec.org/opportunities/1290275</t>
  </si>
  <si>
    <t>2021-09-21T10:10:02Z</t>
  </si>
  <si>
    <t>5140418_1284858</t>
  </si>
  <si>
    <t>Aygül Genç</t>
  </si>
  <si>
    <t>p_d01281eb29fa6f5035f673482ea6bdab601bab87@inbound.aiesec.org</t>
  </si>
  <si>
    <t>https://expa.aiesec.org/opportunities/1284858</t>
  </si>
  <si>
    <t>Educationist to Cambodia</t>
  </si>
  <si>
    <t>2022-10-25T19:01:08Z</t>
  </si>
  <si>
    <t>3277749_1288201</t>
  </si>
  <si>
    <t>Camelia Benchabane</t>
  </si>
  <si>
    <t>p_9d23108b9e655f16e1a96d9126a4647ce265d789@inbound.aiesec.org</t>
  </si>
  <si>
    <t>https://expa.aiesec.org/opportunities/1288201</t>
  </si>
  <si>
    <t>2019-03-28T17:45:15Z</t>
  </si>
  <si>
    <t>5137597_1285306</t>
  </si>
  <si>
    <t>VAHID SHALQINI</t>
  </si>
  <si>
    <t>p_d91bf2f76dd8abb5b6e9e638e69fb86b714dec1e@inbound.aiesec.org</t>
  </si>
  <si>
    <t>https://expa.aiesec.org/opportunities/1285306</t>
  </si>
  <si>
    <t>2022-10-20T17:09:57Z</t>
  </si>
  <si>
    <t>5144072_1285306</t>
  </si>
  <si>
    <t>Omer Faruk Karakas</t>
  </si>
  <si>
    <t>p_fbca7fb605d4f4c39ca5e2cf3d56dd18dbbd5ba0@inbound.aiesec.org</t>
  </si>
  <si>
    <t>2022-10-31T21:12:29Z</t>
  </si>
  <si>
    <t>4775195_1279126</t>
  </si>
  <si>
    <t>Costina Cone</t>
  </si>
  <si>
    <t>p_0c7feaef233b67877eb3d375bd96dbd02b025bfe@inbound.aiesec.org</t>
  </si>
  <si>
    <t>2021-10-26T13:07:05Z</t>
  </si>
  <si>
    <t>5161470_1284077</t>
  </si>
  <si>
    <t>Sandy Sameh</t>
  </si>
  <si>
    <t>p_417f0ab3991a70afd1e1d23d7c47f1260de9fa37@inbound.aiesec.org</t>
  </si>
  <si>
    <t>2022-12-01T14:35:03Z</t>
  </si>
  <si>
    <t>5037107_1288488</t>
  </si>
  <si>
    <t>Reem Mahgoub</t>
  </si>
  <si>
    <t>p_1097e24f40b00266cb784b07049a31140cc3937b@inbound.aiesec.org</t>
  </si>
  <si>
    <t>2022-04-12T10:13:33Z</t>
  </si>
  <si>
    <t>5088489_1290949</t>
  </si>
  <si>
    <t>Dilara Dörtköşe</t>
  </si>
  <si>
    <t>p_66488e486944720d5e1cfbdcf5a325437fd62aba@inbound.aiesec.org</t>
  </si>
  <si>
    <t>https://expa.aiesec.org/opportunities/1290949</t>
  </si>
  <si>
    <t>2022-08-02T23:22:10Z</t>
  </si>
  <si>
    <t>5150344_1287702</t>
  </si>
  <si>
    <t>Anastasiia Blyzniuk</t>
  </si>
  <si>
    <t>p_1071b9b55187586a263a18e12e2549e8d821fa37@inbound.aiesec.org</t>
  </si>
  <si>
    <t>https://expa.aiesec.org/opportunities/1287702</t>
  </si>
  <si>
    <t>Kharkiv</t>
  </si>
  <si>
    <t>2022-11-09T17:20:12Z</t>
  </si>
  <si>
    <t>5159877_1281901</t>
  </si>
  <si>
    <t>Zeki Kaan Paksoy</t>
  </si>
  <si>
    <t>p_077e2f89d5e5aad57cc098321a6281d8c4b9ae17@inbound.aiesec.org</t>
  </si>
  <si>
    <t>https://expa.aiesec.org/opportunities/1281901</t>
  </si>
  <si>
    <t>2022-11-28T13:30:53Z</t>
  </si>
  <si>
    <t>5159094_1290201</t>
  </si>
  <si>
    <t>Müge Uzun</t>
  </si>
  <si>
    <t>p_4249eeffee37f6dec71f0ed32ed1707f7c42072f@inbound.aiesec.org</t>
  </si>
  <si>
    <t>https://expa.aiesec.org/opportunities/1290201</t>
  </si>
  <si>
    <t>2022-11-26T11:43:38Z</t>
  </si>
  <si>
    <t>5162133_1289536</t>
  </si>
  <si>
    <t>Takwa Abed</t>
  </si>
  <si>
    <t>p_18829ef25fadc0ecce3fc6860cce40330462ce70@inbound.aiesec.org</t>
  </si>
  <si>
    <t>2022-12-03T10:18:31Z</t>
  </si>
  <si>
    <t>5161520_1289617</t>
  </si>
  <si>
    <t>seda eşen</t>
  </si>
  <si>
    <t>p_d9188c9d8d35ed3e6c25a21bb92035484a9a068d@inbound.aiesec.org</t>
  </si>
  <si>
    <t>https://expa.aiesec.org/opportunities/1289617</t>
  </si>
  <si>
    <t>2022-12-01T16:40:07Z</t>
  </si>
  <si>
    <t>5161486_1279126</t>
  </si>
  <si>
    <t>Vlad Dinita</t>
  </si>
  <si>
    <t>p_0dd7c7bc614491d2433e49104d365cfc1476172e@inbound.aiesec.org</t>
  </si>
  <si>
    <t>2022-12-01T15:14:14Z</t>
  </si>
  <si>
    <t>4048277_1290210</t>
  </si>
  <si>
    <t>Sümer Kamber</t>
  </si>
  <si>
    <t>p_082c9aa08ca330edd6e47f0d65c6a1c74228d55d@inbound.aiesec.org</t>
  </si>
  <si>
    <t>2019-11-26T15:18:25Z</t>
  </si>
  <si>
    <t>5118165_1288989</t>
  </si>
  <si>
    <t>Yaryna Kushnir</t>
  </si>
  <si>
    <t>p_e569ab60c40fb30052688ef3b2058ff2a1b7c4ed@inbound.aiesec.org</t>
  </si>
  <si>
    <t>LVIV</t>
  </si>
  <si>
    <t>2022-09-23T12:23:59Z</t>
  </si>
  <si>
    <t>4629535_1288991</t>
  </si>
  <si>
    <t>won sunhee</t>
  </si>
  <si>
    <t>p_534e88ef25cca8a00e61decc2171f19b03a57c4d@inbound.aiesec.org</t>
  </si>
  <si>
    <t>SMU</t>
  </si>
  <si>
    <t>숙명여자대학교 Sookmyung Women's University</t>
  </si>
  <si>
    <t>2021-04-26T08:45:17Z</t>
  </si>
  <si>
    <t>4997269_1289505</t>
  </si>
  <si>
    <t>Ghada Turki Dit Gara Ali</t>
  </si>
  <si>
    <t>p_aac5b79abb3dd9cfcb1289a8de031080bca2f6a1@inbound.aiesec.org</t>
  </si>
  <si>
    <t>2022-03-21T17:30:10Z</t>
  </si>
  <si>
    <t>5152819_1286958</t>
  </si>
  <si>
    <t>Silvija Zivkovic</t>
  </si>
  <si>
    <t>p_7a9db233ddf6cd80b4a99919604258c8297a7f1e@inbound.aiesec.org</t>
  </si>
  <si>
    <t>https://expa.aiesec.org/opportunities/1286958</t>
  </si>
  <si>
    <t>2022-11-14T16:52:15Z</t>
  </si>
  <si>
    <t>5158510_1289505</t>
  </si>
  <si>
    <t>Gorea Marina</t>
  </si>
  <si>
    <t>p_40e811cf8b4446210e38160a7f5dcb2f948250bc@inbound.aiesec.org</t>
  </si>
  <si>
    <t>Iasi</t>
  </si>
  <si>
    <t>2022-11-24T21:01:53Z</t>
  </si>
  <si>
    <t>5157434_1289505</t>
  </si>
  <si>
    <t>Vidrașco Nicolae</t>
  </si>
  <si>
    <t>p_83247794db4ad4c5205658602df0adab908b392b@inbound.aiesec.org</t>
  </si>
  <si>
    <t>Iasi - Technical University of Iasi</t>
  </si>
  <si>
    <t>2022-11-22T19:31:24Z</t>
  </si>
  <si>
    <t>5146537_1289505</t>
  </si>
  <si>
    <t>Ana Girla</t>
  </si>
  <si>
    <t>p_9ad7886c7daf9d06333dafbab4f7452334c56ff3@inbound.aiesec.org</t>
  </si>
  <si>
    <t>2022-11-04T13:20:01Z</t>
  </si>
  <si>
    <t>5157351_1284485</t>
  </si>
  <si>
    <t>elif tezgel</t>
  </si>
  <si>
    <t>p_0a16d24e284f6472f3e5407e0a33238856f4f6fd@inbound.aiesec.org</t>
  </si>
  <si>
    <t>2022-11-22T17:03:03Z</t>
  </si>
  <si>
    <t>5162948_1289505</t>
  </si>
  <si>
    <t>Arwa Ben amar</t>
  </si>
  <si>
    <t>p_4c457612819a71f013d783a621a059a2ba141ce8@inbound.aiesec.org</t>
  </si>
  <si>
    <t>2022-12-05T16:20:47Z</t>
  </si>
  <si>
    <t>5154812_1278298</t>
  </si>
  <si>
    <t>Evelyn Roma</t>
  </si>
  <si>
    <t>p_8a5022f371e334cbf0e10d8fb4cffcfc44775d43@inbound.aiesec.org</t>
  </si>
  <si>
    <t>2022-11-17T15:29:10Z</t>
  </si>
  <si>
    <t>5156438_1286312</t>
  </si>
  <si>
    <t>Petra Stanković</t>
  </si>
  <si>
    <t>p_5bfe4ff5e7f1178ed5912ef4c85bad75d9efee29@inbound.aiesec.org</t>
  </si>
  <si>
    <t>2022-11-21T10:40:53Z</t>
  </si>
  <si>
    <t>5145849_1290649</t>
  </si>
  <si>
    <t>Serdar Akyüz</t>
  </si>
  <si>
    <t>p_4273fcbc4e43477d0365592ff0d548a56f2e856d@inbound.aiesec.org</t>
  </si>
  <si>
    <t>https://expa.aiesec.org/opportunities/1290649</t>
  </si>
  <si>
    <t>2022-11-03T12:33:56Z</t>
  </si>
  <si>
    <t>4796242_1287702</t>
  </si>
  <si>
    <t>Salma Amin</t>
  </si>
  <si>
    <t>p_699ba0e31d73fcb3d906fe17ae7ff162a2d0deb9@inbound.aiesec.org</t>
  </si>
  <si>
    <t>2021-11-10T13:01:03Z</t>
  </si>
  <si>
    <t>4950922_1287708</t>
  </si>
  <si>
    <t>Kareem Almehelmy</t>
  </si>
  <si>
    <t>p_e9583cdeabf765f7a31da525d3d4515427d316b1@inbound.aiesec.org</t>
  </si>
  <si>
    <t>+201113720818</t>
  </si>
  <si>
    <t>2022-02-26T13:32:45Z</t>
  </si>
  <si>
    <t>5163374_1289255</t>
  </si>
  <si>
    <t>sabrine achouri</t>
  </si>
  <si>
    <t>p_47acd092d2e794ca944025c752e827b7e96a7e9f@inbound.aiesec.org</t>
  </si>
  <si>
    <t>ISSTE Borj Cedria</t>
  </si>
  <si>
    <t>2022-12-06T15:32:42Z</t>
  </si>
  <si>
    <t>5148540_1289698</t>
  </si>
  <si>
    <t>ABDURRAHMAN SELIM CELIKBILEK</t>
  </si>
  <si>
    <t>p_57318285e3ccd9e7ad0ee27984829bd96916062c@inbound.aiesec.org</t>
  </si>
  <si>
    <t>https://expa.aiesec.org/opportunities/1289698</t>
  </si>
  <si>
    <t>2022-11-07T12:37:46Z</t>
  </si>
  <si>
    <t>4829765_1287315</t>
  </si>
  <si>
    <t>Serife Aybay</t>
  </si>
  <si>
    <t>p_98a2de4ddb786b0454da9840cfb615685497ec7e@inbound.aiesec.org</t>
  </si>
  <si>
    <t>2021-12-04T19:32:51Z</t>
  </si>
  <si>
    <t>4487410_1288721</t>
  </si>
  <si>
    <t>Mahy Elhamzawy</t>
  </si>
  <si>
    <t>p_3fcd19a4750f1c80d75744fe0f403bcb4af68936@inbound.aiesec.org</t>
  </si>
  <si>
    <t>https://expa.aiesec.org/opportunities/1288721</t>
  </si>
  <si>
    <t>2020-12-17T19:38:29Z</t>
  </si>
  <si>
    <t>3927273_1291038</t>
  </si>
  <si>
    <t>Polen ayşe Gündüz</t>
  </si>
  <si>
    <t>p_7a334941ef76acc721961cdf299eaacc0aae20e6@inbound.aiesec.org</t>
  </si>
  <si>
    <t>https://expa.aiesec.org/opportunities/1291038</t>
  </si>
  <si>
    <t>2019-10-26T12:01:55Z</t>
  </si>
  <si>
    <t>5140396_1291039</t>
  </si>
  <si>
    <t>Zafer Can Ölmez</t>
  </si>
  <si>
    <t>p_1a0d8e4c8f9cec2b9ef4724039b9f9c228373d6a@inbound.aiesec.org</t>
  </si>
  <si>
    <t>https://expa.aiesec.org/opportunities/1291039</t>
  </si>
  <si>
    <t>2022-10-25T18:40:10Z</t>
  </si>
  <si>
    <t>5159024_1288488</t>
  </si>
  <si>
    <t>Jana Ramy</t>
  </si>
  <si>
    <t>p_0a9458f0bd0af184234df264cea570eacb99f757@inbound.aiesec.org</t>
  </si>
  <si>
    <t>2022-11-26T05:39:12Z</t>
  </si>
  <si>
    <t>5160921_1284485</t>
  </si>
  <si>
    <t>p_36488157a9e711cdc8d19caa2f92a66a672d61eb@inbound.aiesec.org</t>
  </si>
  <si>
    <t>2022-11-30T12:06:08Z</t>
  </si>
  <si>
    <t>5155451_1290196</t>
  </si>
  <si>
    <t>Defne Yalçın</t>
  </si>
  <si>
    <t>p_f5b26a1fcc11d58b22a5fdd0ea99d6e0fb4ac8b0@inbound.aiesec.org</t>
  </si>
  <si>
    <t>https://expa.aiesec.org/opportunities/1290196</t>
  </si>
  <si>
    <t>2022-11-18T18:11:33Z</t>
  </si>
  <si>
    <t>5157221_1290667</t>
  </si>
  <si>
    <t>João Victor Sousa dos Santos</t>
  </si>
  <si>
    <t>p_eca135933d3dbb606cec357f1f3ad9ebe173d90b@inbound.aiesec.org</t>
  </si>
  <si>
    <t>https://expa.aiesec.org/opportunities/1290667</t>
  </si>
  <si>
    <t>Kindergarten Teacher in Nar Akademisi Anaokulu</t>
  </si>
  <si>
    <t>2022-11-22T13:42:14Z</t>
  </si>
  <si>
    <t>5163883_1289536</t>
  </si>
  <si>
    <t>Mohamed Iheb Mnif</t>
  </si>
  <si>
    <t>p_d09ace111cc4f50174045357f96b32dcfef357b6@inbound.aiesec.org</t>
  </si>
  <si>
    <t>IIT</t>
  </si>
  <si>
    <t>2022-12-07T17:43:32Z</t>
  </si>
  <si>
    <t>4254682_1279126</t>
  </si>
  <si>
    <t>Sarra Belhabib</t>
  </si>
  <si>
    <t>p_74748c14631d78a967adc7b8e2ede9b50b80e005@inbound.aiesec.org</t>
  </si>
  <si>
    <t>2020-03-12T21:23:44Z</t>
  </si>
  <si>
    <t>5161518_1272564</t>
  </si>
  <si>
    <t>ben rhouma maram</t>
  </si>
  <si>
    <t>p_27c31ff156e3322aec6fc745784d5b8e9dbf0b5f@inbound.aiesec.org</t>
  </si>
  <si>
    <t>2022-12-01T16:34:57Z</t>
  </si>
  <si>
    <t>5136110_1289596</t>
  </si>
  <si>
    <t>Tatiana Tavares</t>
  </si>
  <si>
    <t>p_5e8d8e880d0e5361329f12c7501aa4ca4c892f4b@inbound.aiesec.org</t>
  </si>
  <si>
    <t>Universidade de Lisboa - Faculdade de Motricidade Humana (FMHUL)</t>
  </si>
  <si>
    <t>2022-10-18T17:18:08Z</t>
  </si>
  <si>
    <t>5164391_1283628</t>
  </si>
  <si>
    <t>Imad Dali Ahmed</t>
  </si>
  <si>
    <t>p_6123ce2710bea17c9cca1010f61099915b1669ce@inbound.aiesec.org</t>
  </si>
  <si>
    <t>2022-12-08T19:25:44Z</t>
  </si>
  <si>
    <t>5083651_1280872</t>
  </si>
  <si>
    <t>Abderrahim Zouiten</t>
  </si>
  <si>
    <t>p_212be0666c808dc45376a04ec77893db43ab8b3f@inbound.aiesec.org</t>
  </si>
  <si>
    <t>2022-07-18T12:57:05Z</t>
  </si>
  <si>
    <t>5038426_1284077</t>
  </si>
  <si>
    <t>Shabnam Akbarova</t>
  </si>
  <si>
    <t>p_d5e2fa8d3361493cd72a1391182abcce0a205c3c@inbound.aiesec.org</t>
  </si>
  <si>
    <t>2022-04-13T13:12:16Z</t>
  </si>
  <si>
    <t>4934985_1286920</t>
  </si>
  <si>
    <t>Mahmud Ahmadzada</t>
  </si>
  <si>
    <t>p_cc8b2b9e7e5b57ca00b284d28b0aa095b8e78131@inbound.aiesec.org</t>
  </si>
  <si>
    <t>Azerbaijan State University of Economics</t>
  </si>
  <si>
    <t>2022-02-17T16:12:03Z</t>
  </si>
  <si>
    <t>5159918_1272564</t>
  </si>
  <si>
    <t>Ouezguan Maryam</t>
  </si>
  <si>
    <t>p_ea0b9cc85dd818c3c5d43eb97e2446e7925be70a@inbound.aiesec.org</t>
  </si>
  <si>
    <t>2022-11-28T14:56:20Z</t>
  </si>
  <si>
    <t>5160062_1290078</t>
  </si>
  <si>
    <t>Asad Zangi</t>
  </si>
  <si>
    <t>p_cfe8111e7d5e478e56b2dab10d44e85057771486@inbound.aiesec.org</t>
  </si>
  <si>
    <t>https://expa.aiesec.org/opportunities/1290078</t>
  </si>
  <si>
    <t>2022-11-28T19:20:17Z</t>
  </si>
  <si>
    <t>5161032_1288970</t>
  </si>
  <si>
    <t>Antonio Chelaru</t>
  </si>
  <si>
    <t>p_dc13b02e5b08b7b0ae33dc6ca31927cbc19e16cf@inbound.aiesec.org</t>
  </si>
  <si>
    <t>2022-11-30T16:03:59Z</t>
  </si>
  <si>
    <t>5157681_1288616</t>
  </si>
  <si>
    <t>Khan Uzma Nisa</t>
  </si>
  <si>
    <t>p_fb223ad75ac88f240c49e1ed764c73a937621804@inbound.aiesec.org</t>
  </si>
  <si>
    <t>2022-11-23T10:54:02Z</t>
  </si>
  <si>
    <t>5156228_1289155</t>
  </si>
  <si>
    <t>Turan Hüseynzadə</t>
  </si>
  <si>
    <t>p_aea748d3959b65b4a2bf7f48271f4cdef5e49767@inbound.aiesec.org</t>
  </si>
  <si>
    <t>Khazar University</t>
  </si>
  <si>
    <t>2022-11-20T18:32:38Z</t>
  </si>
  <si>
    <t>5138393_1284596</t>
  </si>
  <si>
    <t>p_ab9a2cbc1df7131a107b2953bb1f7a1c4a11cfaf@inbound.aiesec.org</t>
  </si>
  <si>
    <t>2022-10-22T09:48:17Z</t>
  </si>
  <si>
    <t>5106046_1291275</t>
  </si>
  <si>
    <t>Şevval Ozan</t>
  </si>
  <si>
    <t>p_b684736ad19df81c1d2887fbccb3833f8a42e53f@inbound.aiesec.org</t>
  </si>
  <si>
    <t>+905396263429</t>
  </si>
  <si>
    <t>https://expa.aiesec.org/opportunities/1291275</t>
  </si>
  <si>
    <t>Creative English Teacher</t>
  </si>
  <si>
    <t>2022-09-05T13:38:50Z</t>
  </si>
  <si>
    <t>5162216_1290845</t>
  </si>
  <si>
    <t>Nisan Çapraz</t>
  </si>
  <si>
    <t>p_d71987343b286cd9ceb895c4a5d043fe27e33cb8@inbound.aiesec.org</t>
  </si>
  <si>
    <t>https://expa.aiesec.org/opportunities/1290845</t>
  </si>
  <si>
    <t>2022-12-03T13:52:29Z</t>
  </si>
  <si>
    <t>5162824_1287101</t>
  </si>
  <si>
    <t>Azel Shaimardanova</t>
  </si>
  <si>
    <t>p_00795d56326cd011b1daf32dd32a2f59d30c2fbf@inbound.aiesec.org</t>
  </si>
  <si>
    <t>2022-12-05T11:25:59Z</t>
  </si>
  <si>
    <t>5130009_1289505</t>
  </si>
  <si>
    <t>Beatriz Macieira</t>
  </si>
  <si>
    <t>p_d1c73228372a7bf0696a1ae83692a51c37d46ffa@inbound.aiesec.org</t>
  </si>
  <si>
    <t>PORTO CATÓLICA</t>
  </si>
  <si>
    <t>Instituto Politécnico do Porto - Escola Superior de Educação (ESE)</t>
  </si>
  <si>
    <t>2022-10-11T13:38:47Z</t>
  </si>
  <si>
    <t>5159547_1284077</t>
  </si>
  <si>
    <t>Vasile-Viorel Ion</t>
  </si>
  <si>
    <t>p_a089ef0e23954ed5ef2508da803e3aaec7a6df2f@inbound.aiesec.org</t>
  </si>
  <si>
    <t>Galati</t>
  </si>
  <si>
    <t>2022-11-27T17:56:30Z</t>
  </si>
  <si>
    <t>5158674_1272564</t>
  </si>
  <si>
    <t>Moldir Agzamova</t>
  </si>
  <si>
    <t>p_7705c4578d5b4df3c3dc27397d5463669db4ae92@inbound.aiesec.org</t>
  </si>
  <si>
    <t>2022-11-25T09:31:15Z</t>
  </si>
  <si>
    <t>5155894_1277549</t>
  </si>
  <si>
    <t>ismahane bouabsa</t>
  </si>
  <si>
    <t>p_cd69101dd7d1423ee50fc22a93e21bcfb7a74778@inbound.aiesec.org</t>
  </si>
  <si>
    <t>Berlin TU</t>
  </si>
  <si>
    <t>2022-11-19T18:37:35Z</t>
  </si>
  <si>
    <t>5164619_1288393</t>
  </si>
  <si>
    <t>Lakshay Satija</t>
  </si>
  <si>
    <t>p_92ce4e08a9b42497f8f795d4eacb655774bb9d38@inbound.aiesec.org</t>
  </si>
  <si>
    <t>2022-12-09T15:50:42Z</t>
  </si>
  <si>
    <t>3877030_1285161</t>
  </si>
  <si>
    <t>4368075_1288970</t>
  </si>
  <si>
    <t>Ariadna Sánchez Ramírez</t>
  </si>
  <si>
    <t>p_35e3070e4000e1661cc490ab86d6e86a719c078b@inbound.aiesec.org</t>
  </si>
  <si>
    <t>Puebla</t>
  </si>
  <si>
    <t>2020-09-14T03:00:16Z</t>
  </si>
  <si>
    <t>5134233_1289505</t>
  </si>
  <si>
    <t>Marta Silva</t>
  </si>
  <si>
    <t>p_f0d252b657253637bbe730babc14371eb0b00af6@inbound.aiesec.org</t>
  </si>
  <si>
    <t>2022-10-17T01:53:09Z</t>
  </si>
  <si>
    <t>5163434_1281235</t>
  </si>
  <si>
    <t>Şevval ilkem Kendigelen</t>
  </si>
  <si>
    <t>p_36a4260efb6f79bdeb5afd8c2ea87f7d52696bfd@inbound.aiesec.org</t>
  </si>
  <si>
    <t>2022-12-06T18:14:40Z</t>
  </si>
  <si>
    <t>3328718_1289261</t>
  </si>
  <si>
    <t>Sakshi Chauhan</t>
  </si>
  <si>
    <t>p_6314508adf57109e78fceaf019e45e5a85519c5e@inbound.aiesec.org</t>
  </si>
  <si>
    <t>2019-04-14T05:41:23Z</t>
  </si>
  <si>
    <t>5159473_1290985</t>
  </si>
  <si>
    <t>Erdem Deyirmenci</t>
  </si>
  <si>
    <t>p_9d29f5c7583fbda64b56e6bfdbfd4d0746cc38ac@inbound.aiesec.org</t>
  </si>
  <si>
    <t>https://expa.aiesec.org/opportunities/1290985</t>
  </si>
  <si>
    <t>AYDIN</t>
  </si>
  <si>
    <t>2022-11-27T13:49:31Z</t>
  </si>
  <si>
    <t>5140959_1289138</t>
  </si>
  <si>
    <t>Elanur Özmen</t>
  </si>
  <si>
    <t>p_a3e09e4997f9b7584d391e644a27279c0c3e60b6@inbound.aiesec.org</t>
  </si>
  <si>
    <t>https://expa.aiesec.org/opportunities/1289138</t>
  </si>
  <si>
    <t>Research Intern | Cybersecurity and Machine Learning | In India</t>
  </si>
  <si>
    <t>2022-10-26T16:27:02Z</t>
  </si>
  <si>
    <t>5164892_1279126</t>
  </si>
  <si>
    <t>David STEFANESCU</t>
  </si>
  <si>
    <t>p_e936897dc1c2c11a4141cc7eb4d90124538ef5e1@inbound.aiesec.org</t>
  </si>
  <si>
    <t>2022-12-10T19:15:33Z</t>
  </si>
  <si>
    <t>5162493_1291375</t>
  </si>
  <si>
    <t>Dounya Malloul</t>
  </si>
  <si>
    <t>p_ab0510a1582f2237ce6e5583ad41d74c3606bda0@inbound.aiesec.org</t>
  </si>
  <si>
    <t>552 862 6948</t>
  </si>
  <si>
    <t>https://expa.aiesec.org/opportunities/1291375</t>
  </si>
  <si>
    <t>2022-12-04T12:06:57Z</t>
  </si>
  <si>
    <t>4624312_1286585</t>
  </si>
  <si>
    <t>Salsabel Ahmed</t>
  </si>
  <si>
    <t>p_d0408d9738ed5e867784de7ff862ddd8c8534bb6@inbound.aiesec.org</t>
  </si>
  <si>
    <t>2021-04-21T13:35:15Z</t>
  </si>
  <si>
    <t>4954882_1290189</t>
  </si>
  <si>
    <t>Destan Şara Aras</t>
  </si>
  <si>
    <t>p_2925d229c485cfffa80b5067890ab446dcf3148d@inbound.aiesec.org</t>
  </si>
  <si>
    <t>https://expa.aiesec.org/opportunities/1290189</t>
  </si>
  <si>
    <t>2022-02-28T18:14:53Z</t>
  </si>
  <si>
    <t>5159186_1290189</t>
  </si>
  <si>
    <t>Fatma Bağatur</t>
  </si>
  <si>
    <t>p_e63869a03078f4598c36af0ff42af25b891cadb3@inbound.aiesec.org</t>
  </si>
  <si>
    <t>2022-11-26T15:41:49Z</t>
  </si>
  <si>
    <t>5164523_1291250</t>
  </si>
  <si>
    <t>Mehmet Cihangir Yırgal</t>
  </si>
  <si>
    <t>p_da7d511588c73f76648c8a6949655f260cf542da@inbound.aiesec.org</t>
  </si>
  <si>
    <t>https://expa.aiesec.org/opportunities/1291250</t>
  </si>
  <si>
    <t>2022-12-09T10:55:19Z</t>
  </si>
  <si>
    <t>2989424_1289255</t>
  </si>
  <si>
    <t>Cherifa Meribout</t>
  </si>
  <si>
    <t>p_0023de6af878a42f69b021da340227f511333efe@inbound.aiesec.org</t>
  </si>
  <si>
    <t>2018-12-20T12:01:46Z</t>
  </si>
  <si>
    <t>5163768_1279126</t>
  </si>
  <si>
    <t>Karina Dutu</t>
  </si>
  <si>
    <t>p_b2ac81e615bad8a1c803f3d589dcb8e1d553b1fa@inbound.aiesec.org</t>
  </si>
  <si>
    <t>Bucuresti - Universitatea din Bucuresti</t>
  </si>
  <si>
    <t>2022-12-07T12:34:14Z</t>
  </si>
  <si>
    <t>5165573_1291230</t>
  </si>
  <si>
    <t>Hakkı Can Demir</t>
  </si>
  <si>
    <t>p_d939c431969e06184eab5436d059b093851a4d10@inbound.aiesec.org</t>
  </si>
  <si>
    <t>https://expa.aiesec.org/opportunities/1291230</t>
  </si>
  <si>
    <t>2022-12-13T07:47:28Z</t>
  </si>
  <si>
    <t>5159716_1290186</t>
  </si>
  <si>
    <t>Gamze Soysal</t>
  </si>
  <si>
    <t>p_9a10991d8add0d3183fbbbe3af2d5cf6e34210d8@inbound.aiesec.org</t>
  </si>
  <si>
    <t>https://expa.aiesec.org/opportunities/1290186</t>
  </si>
  <si>
    <t>2022-11-28T06:55:58Z</t>
  </si>
  <si>
    <t>5157742_1290186</t>
  </si>
  <si>
    <t>Nisa Nur Turunç</t>
  </si>
  <si>
    <t>p_91130bda20118031aa2dcefb2abead8fa6e9f9d8@inbound.aiesec.org</t>
  </si>
  <si>
    <t>2022-11-23T12:45:03Z</t>
  </si>
  <si>
    <t>2614184_1289536</t>
  </si>
  <si>
    <t>Patricia Vignati</t>
  </si>
  <si>
    <t>p_6886126ac983e965e6e211000706979169280f72@inbound.aiesec.org</t>
  </si>
  <si>
    <t>2018-10-08T01:42:04Z</t>
  </si>
  <si>
    <t>5166296_1290300</t>
  </si>
  <si>
    <t>Gökalp Kayır</t>
  </si>
  <si>
    <t>p_2d13a2168fc3d837a5befdfa16a1e12acf376acc@inbound.aiesec.org</t>
  </si>
  <si>
    <t>https://expa.aiesec.org/opportunities/1290300</t>
  </si>
  <si>
    <t>Mechanical Design Engineer</t>
  </si>
  <si>
    <t>2022-12-14T19:31:17Z</t>
  </si>
  <si>
    <t>4341168_1291200</t>
  </si>
  <si>
    <t>Melike Meryem GÖ</t>
  </si>
  <si>
    <t>p_292cb12504753f861174b5788f3032587a605fb6@inbound.aiesec.org</t>
  </si>
  <si>
    <t>https://expa.aiesec.org/opportunities/1291200</t>
  </si>
  <si>
    <t>2020-08-10T20:44:06Z</t>
  </si>
  <si>
    <t>3947334_1291200</t>
  </si>
  <si>
    <t>ece pirli</t>
  </si>
  <si>
    <t>p_0b7dd0cc2a204e6e37ff0d50af277e71ba99f289@inbound.aiesec.org</t>
  </si>
  <si>
    <t>2019-11-03T15:02:18Z</t>
  </si>
  <si>
    <t>5165832_1289307</t>
  </si>
  <si>
    <t>Dalia El-gamal</t>
  </si>
  <si>
    <t>p_2b1bebb90e2d8725dcd5055ac93a4b0835d72b4b@inbound.aiesec.org</t>
  </si>
  <si>
    <t>2022-12-13T17:35:37Z</t>
  </si>
  <si>
    <t>5146021_1289536</t>
  </si>
  <si>
    <t>5165419_1289122</t>
  </si>
  <si>
    <t>Yousra Henni</t>
  </si>
  <si>
    <t>p_2564ad16e207cd9f83041e5b920892916f49ae77@inbound.aiesec.org</t>
  </si>
  <si>
    <t>https://expa.aiesec.org/opportunities/1289122</t>
  </si>
  <si>
    <t>2022-12-12T17:42:52Z</t>
  </si>
  <si>
    <t>5165099_1272564</t>
  </si>
  <si>
    <t>Rakshita Rastogi</t>
  </si>
  <si>
    <t>p_a3957c2e0f55338c9226da60dc9b172070d05934@inbound.aiesec.org</t>
  </si>
  <si>
    <t>Satyawati College, Delhi</t>
  </si>
  <si>
    <t>2022-12-11T17:17:12Z</t>
  </si>
  <si>
    <t>5118006_1289255</t>
  </si>
  <si>
    <t>ZINEB EL FATIH</t>
  </si>
  <si>
    <t>p_b5918e5fda74c92ef3b2c9dffa74e215f608fe42@inbound.aiesec.org</t>
  </si>
  <si>
    <t>2022-09-23T08:27:44Z</t>
  </si>
  <si>
    <t>5128956_1288721</t>
  </si>
  <si>
    <t>Mohamed Ashraf</t>
  </si>
  <si>
    <t>p_668c87d81208451ecdc937f5e5f7740facf53cb8@inbound.aiesec.org</t>
  </si>
  <si>
    <t>2022-10-10T11:35:17Z</t>
  </si>
  <si>
    <t>5166401_1272564</t>
  </si>
  <si>
    <t>Tanya Thakur</t>
  </si>
  <si>
    <t>p_6c317708930ea03b9d64692ae2b207bce240dac4@inbound.aiesec.org</t>
  </si>
  <si>
    <t>2022-12-15T06:56:37Z</t>
  </si>
  <si>
    <t>4617629_1291209</t>
  </si>
  <si>
    <t>Ziad Elshorbagy</t>
  </si>
  <si>
    <t>p_65a28748ec23fe3f527904d9cc68be2330e02272@inbound.aiesec.org</t>
  </si>
  <si>
    <t>https://expa.aiesec.org/opportunities/1291209</t>
  </si>
  <si>
    <t xml:space="preserve">DIGITAL MARKETING SPECIALIST JUNIOR </t>
  </si>
  <si>
    <t>2021-04-15T19:39:14Z</t>
  </si>
  <si>
    <t>5110925_1289536</t>
  </si>
  <si>
    <t>Mupparapu Vamshi Krishna</t>
  </si>
  <si>
    <t>p_223fb65cab0635c5e96a62a4483e6bbcc8fc0d5d@inbound.aiesec.org</t>
  </si>
  <si>
    <t>2022-09-12T17:52:00Z</t>
  </si>
  <si>
    <t>5105860_1291029</t>
  </si>
  <si>
    <t>Ezgi Engindeniz</t>
  </si>
  <si>
    <t>p_faa1a18df9a70bff31f278f85d0d0543722bdaad@inbound.aiesec.org</t>
  </si>
  <si>
    <t>FLORIANÓPOLIS</t>
  </si>
  <si>
    <t>https://expa.aiesec.org/opportunities/1291029</t>
  </si>
  <si>
    <t>2022-09-05T10:45:53Z</t>
  </si>
  <si>
    <t>5157603_1289505</t>
  </si>
  <si>
    <t>Islem Jlassi</t>
  </si>
  <si>
    <t>p_c2312fd6221cc4e973bd21c2508fbff181d8b2ce@inbound.aiesec.org</t>
  </si>
  <si>
    <t>2022-11-23T09:09:13Z</t>
  </si>
  <si>
    <t>5164232_1290196</t>
  </si>
  <si>
    <t>Şeyda Betül Türkyılmaz</t>
  </si>
  <si>
    <t>p_76327d41b566286f9fdf5d27fd9ad844d613ead6@inbound.aiesec.org</t>
  </si>
  <si>
    <t>2022-12-08T11:39:53Z</t>
  </si>
  <si>
    <t>5136700_1279126</t>
  </si>
  <si>
    <t>Andrei-Valentin Popina</t>
  </si>
  <si>
    <t>p_fcc04c32c8d8860f6890062e42942c0be5814fbb@inbound.aiesec.org</t>
  </si>
  <si>
    <t>2022-10-19T12:24:01Z</t>
  </si>
  <si>
    <t>5166066_1262994</t>
  </si>
  <si>
    <t>Anan Khedr</t>
  </si>
  <si>
    <t>p_de86673b734227246d8e3c1e9ddcab378f7b68e7@inbound.aiesec.org</t>
  </si>
  <si>
    <t>2022-12-14T10:30:49Z</t>
  </si>
  <si>
    <t>5165796_1288721</t>
  </si>
  <si>
    <t>Fares Amr</t>
  </si>
  <si>
    <t>p_d73366b6c8901b1279bc5c779cd7e75c63bc228b@inbound.aiesec.org</t>
  </si>
  <si>
    <t>2022-12-13T16:59:48Z</t>
  </si>
  <si>
    <t>5165147_1290656</t>
  </si>
  <si>
    <t>Sena Türkoğlu</t>
  </si>
  <si>
    <t>p_712f1159bc591c8fee688d40068cc11957e8fc52@inbound.aiesec.org</t>
  </si>
  <si>
    <t>https://expa.aiesec.org/opportunities/1290656</t>
  </si>
  <si>
    <t>2022-12-11T19:39:16Z</t>
  </si>
  <si>
    <t>4839892_1284831</t>
  </si>
  <si>
    <t>imene Attaoui</t>
  </si>
  <si>
    <t>p_1b67728258b38e27577608f8a2bec41eb2807d5a@inbound.aiesec.org</t>
  </si>
  <si>
    <t>2021-12-11T23:59:03Z</t>
  </si>
  <si>
    <t>5113698_1291452</t>
  </si>
  <si>
    <t>Çilem Kübra Eşiyok</t>
  </si>
  <si>
    <t>p_8f76da720f609019521f4b868a4871680ceed6eb@inbound.aiesec.org</t>
  </si>
  <si>
    <t>https://expa.aiesec.org/opportunities/1291452</t>
  </si>
  <si>
    <t>2022-09-16T12:40:57Z</t>
  </si>
  <si>
    <t>5167220_1283288</t>
  </si>
  <si>
    <t>Adams Boulhila</t>
  </si>
  <si>
    <t>p_62a2cadb47edd19a89194e6acae8e2f9050b7d9c@inbound.aiesec.org</t>
  </si>
  <si>
    <t>https://expa.aiesec.org/opportunities/1283288</t>
  </si>
  <si>
    <t>Native Speaker</t>
  </si>
  <si>
    <t>2022-12-17T16:14:12Z</t>
  </si>
  <si>
    <t>5165701_1272564</t>
  </si>
  <si>
    <t>Emil Miriyev</t>
  </si>
  <si>
    <t>p_77a304a3511ea528405ef58b2f2328c8d074bf94@inbound.aiesec.org</t>
  </si>
  <si>
    <t>2022-12-13T13:59:45Z</t>
  </si>
  <si>
    <t>5164660_1290186</t>
  </si>
  <si>
    <t>Yaren Uygun</t>
  </si>
  <si>
    <t>p_5948dc1c1cb242896cbcf5cf71e604deae191563@inbound.aiesec.org</t>
  </si>
  <si>
    <t>2022-12-09T19:22:49Z</t>
  </si>
  <si>
    <t>5162579_1289851</t>
  </si>
  <si>
    <t>ırmak taşdan</t>
  </si>
  <si>
    <t>p_3435c595527310f6886d95c8bff71bbf8be698b2@inbound.aiesec.org</t>
  </si>
  <si>
    <t>https://expa.aiesec.org/opportunities/1289851</t>
  </si>
  <si>
    <t>2022-12-04T16:27:33Z</t>
  </si>
  <si>
    <t>5101301_1286920</t>
  </si>
  <si>
    <t>5167160_1290729</t>
  </si>
  <si>
    <t>Noura Shahin</t>
  </si>
  <si>
    <t>p_9b359285d1e5dee6baf5e8d8cd1ef21bb2f74206@inbound.aiesec.org</t>
  </si>
  <si>
    <t>https://expa.aiesec.org/opportunities/1290729</t>
  </si>
  <si>
    <t>2022-12-17T11:59:28Z</t>
  </si>
  <si>
    <t>5165774_1282256</t>
  </si>
  <si>
    <t>Ece Gizem Yıldız</t>
  </si>
  <si>
    <t>p_a1f54b171f215edb0cc522d612f9d42aea28dc05@inbound.aiesec.org</t>
  </si>
  <si>
    <t>https://expa.aiesec.org/opportunities/1282256</t>
  </si>
  <si>
    <t>2022-12-13T16:42:14Z</t>
  </si>
  <si>
    <t>5164741_1288420</t>
  </si>
  <si>
    <t>Dilara Kuruşcu</t>
  </si>
  <si>
    <t>p_67264935e1b0b29936d778549c1b032aaa85a8be@inbound.aiesec.org</t>
  </si>
  <si>
    <t>https://expa.aiesec.org/opportunities/1288420</t>
  </si>
  <si>
    <t>2022-12-10T06:26:52Z</t>
  </si>
  <si>
    <t>4681370_1287101</t>
  </si>
  <si>
    <t>dridi selim</t>
  </si>
  <si>
    <t>p_5d6b7855ef2ddcc2bbfda12b45e01d6d93652e54@inbound.aiesec.org</t>
  </si>
  <si>
    <t>2021-07-01T20:03:07Z</t>
  </si>
  <si>
    <t>5160512_1289505</t>
  </si>
  <si>
    <t>Ionescu Robert-Andrei</t>
  </si>
  <si>
    <t>p_3bf83977277d84f6595c34a1eb830bd7a356bf27@inbound.aiesec.org</t>
  </si>
  <si>
    <t>2022-11-29T15:33:48Z</t>
  </si>
  <si>
    <t>5163110_1288991</t>
  </si>
  <si>
    <t>Daniela Cella</t>
  </si>
  <si>
    <t>p_a7aed400f1bca2b23d71f14630abf64c0c1fc963@inbound.aiesec.org</t>
  </si>
  <si>
    <t>United States</t>
  </si>
  <si>
    <t>SEATTLE</t>
  </si>
  <si>
    <t>2022-12-06T07:25:14Z</t>
  </si>
  <si>
    <t>5164520_1291419</t>
  </si>
  <si>
    <t>Buket Nur Erkol</t>
  </si>
  <si>
    <t>p_528ece74fbf9576009a8562ed0d6081132bc51f0@inbound.aiesec.org</t>
  </si>
  <si>
    <t>https://expa.aiesec.org/opportunities/1291419</t>
  </si>
  <si>
    <t>2022-12-09T10:44:47Z</t>
  </si>
  <si>
    <t>5112554_1286379</t>
  </si>
  <si>
    <t>enes faruk ertan</t>
  </si>
  <si>
    <t>p_e81cd7bce612af8ce92b0d37ea0ce61f0f3d48de@inbound.aiesec.org</t>
  </si>
  <si>
    <t>https://expa.aiesec.org/opportunities/1286379</t>
  </si>
  <si>
    <t>2022-09-14T18:38:00Z</t>
  </si>
  <si>
    <t>4829134_1286379</t>
  </si>
  <si>
    <t>Faik Doğruyol</t>
  </si>
  <si>
    <t>p_b4d4e1b0c181935d30a603d03b195e7a1efecd55@inbound.aiesec.org</t>
  </si>
  <si>
    <t>2021-12-03T14:54:34Z</t>
  </si>
  <si>
    <t>5162975_1291020</t>
  </si>
  <si>
    <t>Ezgi Yılmaz</t>
  </si>
  <si>
    <t>p_d3ce0ac48cd488f6ae605841ecd9477208d38eee@inbound.aiesec.org</t>
  </si>
  <si>
    <t>https://expa.aiesec.org/opportunities/1291020</t>
  </si>
  <si>
    <t>2022-12-05T17:37:19Z</t>
  </si>
  <si>
    <t>5140493_1291056</t>
  </si>
  <si>
    <t>https://expa.aiesec.org/opportunities/1291056</t>
  </si>
  <si>
    <t>English Teacher | Private Language Course</t>
  </si>
  <si>
    <t>5151068_1291216</t>
  </si>
  <si>
    <t>Yassine Atya</t>
  </si>
  <si>
    <t>p_29aa466bf9ad1310b3b68e3e89c79b628b9192c2@inbound.aiesec.org</t>
  </si>
  <si>
    <t>https://expa.aiesec.org/opportunities/1291216</t>
  </si>
  <si>
    <t xml:space="preserve">SOCIAL MEDIA SPECIALIST </t>
  </si>
  <si>
    <t>2022-11-10T20:05:19Z</t>
  </si>
  <si>
    <t>5133307_1288970</t>
  </si>
  <si>
    <t>Rutu Kansagra</t>
  </si>
  <si>
    <t>p_8caa96b8828f02d1c814370cee3d0508dda54051@inbound.aiesec.org</t>
  </si>
  <si>
    <t>Surat</t>
  </si>
  <si>
    <t>Auro University, Surat</t>
  </si>
  <si>
    <t>2022-10-15T11:14:00Z</t>
  </si>
  <si>
    <t>4920640_1290985</t>
  </si>
  <si>
    <t>Hüseyin Öncü</t>
  </si>
  <si>
    <t>p_97847adc3a0dc9b6dcea191002a57716df957580@inbound.aiesec.org</t>
  </si>
  <si>
    <t>2022-02-08T15:38:02Z</t>
  </si>
  <si>
    <t>4988156_1288711</t>
  </si>
  <si>
    <t>Karim Khalaf</t>
  </si>
  <si>
    <t>p_9be21643c84906f04511c14fd53a80147a587072@inbound.aiesec.org</t>
  </si>
  <si>
    <t>2022-03-16T21:43:19Z</t>
  </si>
  <si>
    <t>5164801_1288441</t>
  </si>
  <si>
    <t>Ayş İlknur Kılınç</t>
  </si>
  <si>
    <t>p_65f12d545d58e59b1d00cb965e8fa1cf192a1ca3@inbound.aiesec.org</t>
  </si>
  <si>
    <t>2022-12-10T12:10:51Z</t>
  </si>
  <si>
    <t>3440780_1287916</t>
  </si>
  <si>
    <t>Aalborg</t>
  </si>
  <si>
    <t>https://expa.aiesec.org/opportunities/1287916</t>
  </si>
  <si>
    <t>4781636_1289689</t>
  </si>
  <si>
    <t>Nacera Djemai</t>
  </si>
  <si>
    <t>p_ad37c3c2635e30a936f9fbb97ce7472ff85f6dc1@inbound.aiesec.org</t>
  </si>
  <si>
    <t>https://expa.aiesec.org/opportunities/1289689</t>
  </si>
  <si>
    <t>English Language Teacher | Makrodil Universal Language Academy</t>
  </si>
  <si>
    <t>2021-11-01T20:48:32Z</t>
  </si>
  <si>
    <t>2725469_1278298</t>
  </si>
  <si>
    <t>Ines Hammami</t>
  </si>
  <si>
    <t>p_3610b45dda92e722d4ed1da9814fa8beaf7033dd@inbound.aiesec.org</t>
  </si>
  <si>
    <t>FST</t>
  </si>
  <si>
    <t>2018-10-23T21:53:38Z</t>
  </si>
  <si>
    <t>5170091_1287487</t>
  </si>
  <si>
    <t>Bushra Gurer</t>
  </si>
  <si>
    <t>p_62dafe648144c219273b4350aafeeb2bd1db1e49@inbound.aiesec.org</t>
  </si>
  <si>
    <t>IFL</t>
  </si>
  <si>
    <t>https://expa.aiesec.org/opportunities/1287487</t>
  </si>
  <si>
    <t>English Teacher at BECS</t>
  </si>
  <si>
    <t>2022-12-25T11:37:20Z</t>
  </si>
  <si>
    <t>4703280_1288991</t>
  </si>
  <si>
    <t>Randy asante</t>
  </si>
  <si>
    <t>p_ccb84ae7d4cf1a2e058958f437d1b2cb3076a3e0@inbound.aiesec.org</t>
  </si>
  <si>
    <t>Rayat Bahra University, Mohali</t>
  </si>
  <si>
    <t>2021-08-03T12:50:11Z</t>
  </si>
  <si>
    <t>5159506_1291360</t>
  </si>
  <si>
    <t>ahsen koçoğlu</t>
  </si>
  <si>
    <t>p_29f2dfeb95e4574fb5d19a6f30be16dfd5f28662@inbound.aiesec.org</t>
  </si>
  <si>
    <t>https://expa.aiesec.org/opportunities/1291360</t>
  </si>
  <si>
    <t>KAYSERI</t>
  </si>
  <si>
    <t>2022-11-27T15:49:34Z</t>
  </si>
  <si>
    <t>4643379_1291209</t>
  </si>
  <si>
    <t>Aymane Azizi</t>
  </si>
  <si>
    <t>p_2bb808e4e37a850769f998669ae7ad49ed6e86f3@inbound.aiesec.org</t>
  </si>
  <si>
    <t>+212620034787</t>
  </si>
  <si>
    <t>2021-05-13T12:22:59Z</t>
  </si>
  <si>
    <t>3919476_1291039</t>
  </si>
  <si>
    <t>Ceren Altunbay</t>
  </si>
  <si>
    <t>p_115aa212404f7494cab43cd5c5b4adbc676139bd@inbound.aiesec.org</t>
  </si>
  <si>
    <t>2019-10-23T18:50:04Z</t>
  </si>
  <si>
    <t>5101370_1286821</t>
  </si>
  <si>
    <t>Hajar Elamri</t>
  </si>
  <si>
    <t>p_1b255dcaa62acc374145a477d96b186e2c8e8d4e@inbound.aiesec.org</t>
  </si>
  <si>
    <t>2022-08-29T00:57:27Z</t>
  </si>
  <si>
    <t>5170486_1289689</t>
  </si>
  <si>
    <t>Shahd Gadallah</t>
  </si>
  <si>
    <t>p_ea675307404ce92333f64752b794d54cf0ef12ca@inbound.aiesec.org</t>
  </si>
  <si>
    <t>2022-12-26T21:37:03Z</t>
  </si>
  <si>
    <t>5170426_1287445</t>
  </si>
  <si>
    <t>Nouran Osama</t>
  </si>
  <si>
    <t>p_c63f8611940877c752768f2f73da1a4da03e2516@inbound.aiesec.org</t>
  </si>
  <si>
    <t>2022-12-26T18:09:20Z</t>
  </si>
  <si>
    <t>4818304_1291045</t>
  </si>
  <si>
    <t>Furkan Alkış</t>
  </si>
  <si>
    <t>p_066c075201eb011df36569fd745b94bbec4f9a13@inbound.aiesec.org</t>
  </si>
  <si>
    <t>https://expa.aiesec.org/opportunities/1291045</t>
  </si>
  <si>
    <t>2021-11-26T14:48:48Z</t>
  </si>
  <si>
    <t>4976589_1291717</t>
  </si>
  <si>
    <t>Zineb Azelmat</t>
  </si>
  <si>
    <t>p_9a36822b7ee55178204755ea730cf02298c80097@inbound.aiesec.org</t>
  </si>
  <si>
    <t>https://expa.aiesec.org/opportunities/1291717</t>
  </si>
  <si>
    <t>Sales and Marketing Executive</t>
  </si>
  <si>
    <t>2022-03-10T16:09:12Z</t>
  </si>
  <si>
    <t>3828170_1289347</t>
  </si>
  <si>
    <t>Stacey Giselle Coutinho</t>
  </si>
  <si>
    <t>p_7782674f4e7af9129b9f22b1c7e2c85f029d8e20@inbound.aiesec.org</t>
  </si>
  <si>
    <t>Christ University (Main Campus), Bangalore</t>
  </si>
  <si>
    <t>2019-09-12T10:34:40Z</t>
  </si>
  <si>
    <t>5167917_1289347</t>
  </si>
  <si>
    <t>Dawn Kuttaiah</t>
  </si>
  <si>
    <t>p_fe84a19962221a5334d54fbef846639ad4223987@inbound.aiesec.org</t>
  </si>
  <si>
    <t>2022-12-19T14:08:01Z</t>
  </si>
  <si>
    <t>5157773_1288663</t>
  </si>
  <si>
    <t>Fatima Zahra HOUMADA</t>
  </si>
  <si>
    <t>p_da9daaf2ebc6adc87890059f2e18b86ec9c72d2d@inbound.aiesec.org</t>
  </si>
  <si>
    <t>2022-11-23T13:56:11Z</t>
  </si>
  <si>
    <t>5169371_1288711</t>
  </si>
  <si>
    <t>Rana Khattab</t>
  </si>
  <si>
    <t>p_ebf78957f26d5335815e6c1f307b6892b548f41e@inbound.aiesec.org</t>
  </si>
  <si>
    <t>2022-12-22T21:22:32Z</t>
  </si>
  <si>
    <t>4426836_1285713</t>
  </si>
  <si>
    <t>Ujjwal Vasudevan Ujjwal Vasudevan</t>
  </si>
  <si>
    <t>p_2c28bd2ec5a24b84e39abc65511c8d18857f95bb@inbound.aiesec.org</t>
  </si>
  <si>
    <t>Christ University (Bannerghatta Campus), Bangalore</t>
  </si>
  <si>
    <t>2020-11-17T03:28:08Z</t>
  </si>
  <si>
    <t>5150080_1288813</t>
  </si>
  <si>
    <t>Abdelrahman Magdy</t>
  </si>
  <si>
    <t>p_74c580198c280b1708965648a8a68be8e53688e1@inbound.aiesec.org</t>
  </si>
  <si>
    <t>2022-11-09T10:27:08Z</t>
  </si>
  <si>
    <t>5171556_1286368</t>
  </si>
  <si>
    <t>Achini Liyanaarachchi</t>
  </si>
  <si>
    <t>p_3f455358f58018edd93a0442abf8ea9b9c76a765@inbound.aiesec.org</t>
  </si>
  <si>
    <t>2022-12-30T10:06:49Z</t>
  </si>
  <si>
    <t>5172370_1284312</t>
  </si>
  <si>
    <t>p_b0c95ba5d82700b278b5b0445f9390097ede9cf2@inbound.aiesec.org</t>
  </si>
  <si>
    <t>2023-01-02T11:41:23Z</t>
  </si>
  <si>
    <t>5170291_1290806</t>
  </si>
  <si>
    <t>Hümeyra Özdemir</t>
  </si>
  <si>
    <t>p_4b1a213c79b2fb9bee54546fe7af189babffa9c6@inbound.aiesec.org</t>
  </si>
  <si>
    <t>KANDY</t>
  </si>
  <si>
    <t>https://expa.aiesec.org/opportunities/1290806</t>
  </si>
  <si>
    <t>Happy Bus</t>
  </si>
  <si>
    <t>2022-12-26T10:04:48Z</t>
  </si>
  <si>
    <t>3705139_1286326</t>
  </si>
  <si>
    <t>Hardik Samdani</t>
  </si>
  <si>
    <t>p_772fbe6fcd47aa9bd036c1da2230b611f0bc60d3@inbound.aiesec.org</t>
  </si>
  <si>
    <t>+919799008392</t>
  </si>
  <si>
    <t>Jai Hind College, Mumbai</t>
  </si>
  <si>
    <t>2019-07-25T15:08:09Z</t>
  </si>
  <si>
    <t>5167352_1277333</t>
  </si>
  <si>
    <t>Slimane Aitchabane</t>
  </si>
  <si>
    <t>p_d32f0d3fca335efc8f3e324656e627ad06caac57@inbound.aiesec.org</t>
  </si>
  <si>
    <t>2022-12-17T22:54:46Z</t>
  </si>
  <si>
    <t>5171724_1284312</t>
  </si>
  <si>
    <t>İbrahim Baran Yanık</t>
  </si>
  <si>
    <t>p_e861b858725a2e15b0ad1d228438bf01790dd17e@inbound.aiesec.org</t>
  </si>
  <si>
    <t>2022-12-30T21:31:47Z</t>
  </si>
  <si>
    <t>1876795_1291482</t>
  </si>
  <si>
    <t>Aya OUARIAGLY</t>
  </si>
  <si>
    <t>p_df78cae3f3f6161b85aa79708146a92a75578437@inbound.aiesec.org</t>
  </si>
  <si>
    <t>https://expa.aiesec.org/opportunities/1291482</t>
  </si>
  <si>
    <t>English Teacher in TEOL</t>
  </si>
  <si>
    <t>2017-11-18T15:05:11Z</t>
  </si>
  <si>
    <t>4936673_1278791</t>
  </si>
  <si>
    <t>Ramzi Ben Abid</t>
  </si>
  <si>
    <t>p_56d5a8dae64dc5ff6e82b485c4fe1ccf09347e30@inbound.aiesec.org</t>
  </si>
  <si>
    <t>https://expa.aiesec.org/opportunities/1278791</t>
  </si>
  <si>
    <t>Export Sales and Marketing Specialist in ABS Madencilik</t>
  </si>
  <si>
    <t>2022-02-18T15:49:25Z</t>
  </si>
  <si>
    <t>4705106_1291586</t>
  </si>
  <si>
    <t>Abdelali EL OUADI</t>
  </si>
  <si>
    <t>p_0cfff98a36b1b46cbd513947cbdf78238db1cf06@inbound.aiesec.org</t>
  </si>
  <si>
    <t>https://expa.aiesec.org/opportunities/1291586</t>
  </si>
  <si>
    <t>English Teacher | Private School</t>
  </si>
  <si>
    <t>2021-08-05T16:48:35Z</t>
  </si>
  <si>
    <t>2834960_1289255</t>
  </si>
  <si>
    <t>Ghada Amri</t>
  </si>
  <si>
    <t>p_8a4c7bafe39dae8c43e5c1dfbc9eea9649b43442@inbound.aiesec.org</t>
  </si>
  <si>
    <t>2018-11-05T20:59:37Z</t>
  </si>
  <si>
    <t>5166985_1279126</t>
  </si>
  <si>
    <t>Andreea Minea</t>
  </si>
  <si>
    <t>p_33852283c18d491a36b60024c5ab6a6933931189@inbound.aiesec.org</t>
  </si>
  <si>
    <t>Ploiesti</t>
  </si>
  <si>
    <t>2022-12-16T18:14:14Z</t>
  </si>
  <si>
    <t>5161023_1279126</t>
  </si>
  <si>
    <t>Miruna Toader</t>
  </si>
  <si>
    <t>p_3592421348f874aecacd385d0fc1d61e2d76a5df@inbound.aiesec.org</t>
  </si>
  <si>
    <t>2022-11-30T15:47:55Z</t>
  </si>
  <si>
    <t>5165009_1291669</t>
  </si>
  <si>
    <t>Kadir Bostanoglu</t>
  </si>
  <si>
    <t>p_cb21c80868ee6812b669454e205dbb08b79bd371@inbound.aiesec.org</t>
  </si>
  <si>
    <t>https://expa.aiesec.org/opportunities/1291669</t>
  </si>
  <si>
    <t>2022-12-11T13:50:50Z</t>
  </si>
  <si>
    <t>5100928_1284414</t>
  </si>
  <si>
    <t>Muhammad Abdullah Khan</t>
  </si>
  <si>
    <t>p_d4a56b75f6339de4f7088a0ed81a14e41a361a10@inbound.aiesec.org</t>
  </si>
  <si>
    <t>Faisalabad</t>
  </si>
  <si>
    <t>Faisalabad - Other</t>
  </si>
  <si>
    <t>2022-08-28T06:35:38Z</t>
  </si>
  <si>
    <t>5174125_1291039</t>
  </si>
  <si>
    <t>Muhammed Selman TIRNAKSIZ</t>
  </si>
  <si>
    <t>p_70f9069511898a70e99a2635e41bb73426e25e88@inbound.aiesec.org</t>
  </si>
  <si>
    <t>2023-01-07T17:04:18Z</t>
  </si>
  <si>
    <t>5173986_1287486</t>
  </si>
  <si>
    <t>Özgür Zengin</t>
  </si>
  <si>
    <t>p_29ed76c7b6717b1c23210fa15192ec7b5583120a@inbound.aiesec.org</t>
  </si>
  <si>
    <t>https://expa.aiesec.org/opportunities/1287486</t>
  </si>
  <si>
    <t>2023-01-07T09:44:05Z</t>
  </si>
  <si>
    <t>5101712_1287486</t>
  </si>
  <si>
    <t>4919070_1291378</t>
  </si>
  <si>
    <t>Burak levent Sancar</t>
  </si>
  <si>
    <t>p_edc4fed10d75d3bcef3435774d1edff5c71fb99e@inbound.aiesec.org</t>
  </si>
  <si>
    <t>https://expa.aiesec.org/opportunities/1291378</t>
  </si>
  <si>
    <t>2022-02-07T15:49:41Z</t>
  </si>
  <si>
    <t>5172715_1290120</t>
  </si>
  <si>
    <t>Şeyma Köksal</t>
  </si>
  <si>
    <t>p_bc690a4b299810c222e9c2be10231af747830776@inbound.aiesec.org</t>
  </si>
  <si>
    <t>https://expa.aiesec.org/opportunities/1290120</t>
  </si>
  <si>
    <t>2023-01-03T13:23:00Z</t>
  </si>
  <si>
    <t>5172110_1277892</t>
  </si>
  <si>
    <t>Temirlan Nurmamatov</t>
  </si>
  <si>
    <t>p_acc6fbdf911acadfcb181f08ab6b11ed7e086417@inbound.aiesec.org</t>
  </si>
  <si>
    <t>https://expa.aiesec.org/opportunities/1277892</t>
  </si>
  <si>
    <t>Mobile Developing w/ACTIMI</t>
  </si>
  <si>
    <t>2023-01-01T09:20:33Z</t>
  </si>
  <si>
    <t>3251295_1290931</t>
  </si>
  <si>
    <t>Radja Bouchama</t>
  </si>
  <si>
    <t>p_ed6ee549296f331588dfadef55a4a1b63de51477@inbound.aiesec.org</t>
  </si>
  <si>
    <t>https://expa.aiesec.org/opportunities/1290931</t>
  </si>
  <si>
    <t>Sales Assistant at Akkaya</t>
  </si>
  <si>
    <t>2019-03-21T19:12:54Z</t>
  </si>
  <si>
    <t>5112608_1290722</t>
  </si>
  <si>
    <t>Ezo Kar</t>
  </si>
  <si>
    <t>p_99cbb30afd04561705794864041e7f584371c5a3@inbound.aiesec.org</t>
  </si>
  <si>
    <t>https://expa.aiesec.org/opportunities/1290722</t>
  </si>
  <si>
    <t>2022-09-14T20:52:51Z</t>
  </si>
  <si>
    <t>5174304_1290692</t>
  </si>
  <si>
    <t>Duygu Karahan</t>
  </si>
  <si>
    <t>p_a3ca26e787ccb1d4316586aa2c9bbe7872b5a5be@inbound.aiesec.org</t>
  </si>
  <si>
    <t>https://expa.aiesec.org/opportunities/1290692</t>
  </si>
  <si>
    <t>2023-01-08T13:04:57Z</t>
  </si>
  <si>
    <t>5173772_1291631</t>
  </si>
  <si>
    <t>Ayşe Karateke</t>
  </si>
  <si>
    <t>p_70bbdb5e911632db5c052cba10487a67f40ab1fe@inbound.aiesec.org</t>
  </si>
  <si>
    <t>https://expa.aiesec.org/opportunities/1291631</t>
  </si>
  <si>
    <t>2023-01-06T15:41:25Z</t>
  </si>
  <si>
    <t>4686677_1291553</t>
  </si>
  <si>
    <t>Aylin Çağlayan</t>
  </si>
  <si>
    <t>p_bf42a827ea9c840a4c6d2e7bd8c5406abf7c9f09@inbound.aiesec.org</t>
  </si>
  <si>
    <t>https://expa.aiesec.org/opportunities/1291553</t>
  </si>
  <si>
    <t>YALOVA</t>
  </si>
  <si>
    <t>2021-07-12T14:20:19Z</t>
  </si>
  <si>
    <t>5173180_1291562</t>
  </si>
  <si>
    <t>Burak Kocamanoğlu</t>
  </si>
  <si>
    <t>p_a71e7a415b18cf5db336fdf61536f6ca273a3d4e@inbound.aiesec.org</t>
  </si>
  <si>
    <t>https://expa.aiesec.org/opportunities/1291562</t>
  </si>
  <si>
    <t xml:space="preserve">Accelerate Romania - Software Developer </t>
  </si>
  <si>
    <t>2023-01-04T20:33:21Z</t>
  </si>
  <si>
    <t>5121463_1291045</t>
  </si>
  <si>
    <t>Süleyman Mesut Çiçek</t>
  </si>
  <si>
    <t>p_a66614c9913490928b37795427c7fc1967d922b4@inbound.aiesec.org</t>
  </si>
  <si>
    <t>2022-09-28T15:39:18Z</t>
  </si>
  <si>
    <t>5170149_1291045</t>
  </si>
  <si>
    <t>Ahmet Batuhan ŞEN</t>
  </si>
  <si>
    <t>p_4a4f85a58fb1deaaf9b745efc95ce3a501b32172@inbound.aiesec.org</t>
  </si>
  <si>
    <t>2022-12-25T16:20:01Z</t>
  </si>
  <si>
    <t>5120527_1290826</t>
  </si>
  <si>
    <t>Henrique Vale</t>
  </si>
  <si>
    <t>p_50b237dd147f10209aeb896fc87a3e07252f43d4@inbound.aiesec.org</t>
  </si>
  <si>
    <t>ITAJUBA</t>
  </si>
  <si>
    <t>2022-09-27T14:22:31Z</t>
  </si>
  <si>
    <t>3685900_1272564</t>
  </si>
  <si>
    <t>Chiara Pulvano Guelfi</t>
  </si>
  <si>
    <t>p_90fad5eceb7cddd93a4e0b10a00c5f92a0ba6a14@inbound.aiesec.org</t>
  </si>
  <si>
    <t>Milano</t>
  </si>
  <si>
    <t>2019-07-21T09:32:01Z</t>
  </si>
  <si>
    <t>5152949_1290672</t>
  </si>
  <si>
    <t>Aynur Kusku</t>
  </si>
  <si>
    <t>p_be1a7cc5501f5704ab62f270181414389b45501c@inbound.aiesec.org</t>
  </si>
  <si>
    <t>The Netherlands</t>
  </si>
  <si>
    <t>TILBURG</t>
  </si>
  <si>
    <t>https://expa.aiesec.org/opportunities/1290672</t>
  </si>
  <si>
    <t>Global HR</t>
  </si>
  <si>
    <t>2022-11-14T18:23:12Z</t>
  </si>
  <si>
    <t>5174736_1286779</t>
  </si>
  <si>
    <t>Gabino Villa O’Dogherty</t>
  </si>
  <si>
    <t>p_d167cd3685c9bae0471e3ee47d964bdaab1d8b45@inbound.aiesec.org</t>
  </si>
  <si>
    <t>Querétaro</t>
  </si>
  <si>
    <t>https://expa.aiesec.org/opportunities/1286779</t>
  </si>
  <si>
    <t>Sales Intern in Istanbul</t>
  </si>
  <si>
    <t>Querétaro - Universidad Mondragón</t>
  </si>
  <si>
    <t>2023-01-09T16:40:26Z</t>
  </si>
  <si>
    <t>3198991_1291057</t>
  </si>
  <si>
    <t>https://expa.aiesec.org/opportunities/1291057</t>
  </si>
  <si>
    <t>5172440_1283288</t>
  </si>
  <si>
    <t>Alexandre Boueilh</t>
  </si>
  <si>
    <t>p_40bb42d47d705336c669f0cd941e244883323291@inbound.aiesec.org</t>
  </si>
  <si>
    <t>2023-01-02T15:00:38Z</t>
  </si>
  <si>
    <t>4530311_1291055</t>
  </si>
  <si>
    <t>Rasika Gharpure</t>
  </si>
  <si>
    <t>p_5a82eafe47693091f8a294a96224711ab0b1fb79@inbound.aiesec.org</t>
  </si>
  <si>
    <t>https://expa.aiesec.org/opportunities/1291055</t>
  </si>
  <si>
    <t>BMCC, Pune</t>
  </si>
  <si>
    <t>2021-02-01T21:46:03Z</t>
  </si>
  <si>
    <t>5175145_1290806</t>
  </si>
  <si>
    <t>Canberk Başduran</t>
  </si>
  <si>
    <t>p_f444b8640f009a882732dc8e0e75bc79cc7f26bd@inbound.aiesec.org</t>
  </si>
  <si>
    <t>2023-01-10T17:08:16Z</t>
  </si>
  <si>
    <t>5173744_1291692</t>
  </si>
  <si>
    <t>Mertcan UZUNER</t>
  </si>
  <si>
    <t>p_3e46274e0672c71e240ca4399c4a91b9dcbc42ee@inbound.aiesec.org</t>
  </si>
  <si>
    <t>Toluca</t>
  </si>
  <si>
    <t>https://expa.aiesec.org/opportunities/1291692</t>
  </si>
  <si>
    <t>2023-01-06T14:43:42Z</t>
  </si>
  <si>
    <t>5173715_1290243</t>
  </si>
  <si>
    <t>Betül Kelel</t>
  </si>
  <si>
    <t>p_395d6684d5aa8a8c93bc939ee02f95faf5fe5930@inbound.aiesec.org</t>
  </si>
  <si>
    <t>2023-01-06T13:28:30Z</t>
  </si>
  <si>
    <t>4788814_1291264</t>
  </si>
  <si>
    <t>Pınar Yalınkılıç</t>
  </si>
  <si>
    <t>p_2401376e50f00e59da6b999d34cc578c001ca024@inbound.aiesec.org</t>
  </si>
  <si>
    <t>https://expa.aiesec.org/opportunities/1291264</t>
  </si>
  <si>
    <t>2021-11-06T09:57:33Z</t>
  </si>
  <si>
    <t>5174793_1285960</t>
  </si>
  <si>
    <t>rawya ouchene</t>
  </si>
  <si>
    <t>p_c26c3a668860a589703ca1c1a827a688e7eed998@inbound.aiesec.org</t>
  </si>
  <si>
    <t>https://expa.aiesec.org/opportunities/1285960</t>
  </si>
  <si>
    <t>2023-01-09T19:06:48Z</t>
  </si>
  <si>
    <t>5138754_1291585</t>
  </si>
  <si>
    <t>Hajjej Nermine</t>
  </si>
  <si>
    <t>p_0194d389dfbeb4c58bc49a2fbf5d4e61a30320b2@inbound.aiesec.org</t>
  </si>
  <si>
    <t>https://expa.aiesec.org/opportunities/1291585</t>
  </si>
  <si>
    <t>ISLG</t>
  </si>
  <si>
    <t>2022-10-22T23:36:09Z</t>
  </si>
  <si>
    <t>5172309_1289370</t>
  </si>
  <si>
    <t>Nil Akıntürk</t>
  </si>
  <si>
    <t>p_f923e68683c25e0936925f647b4da8e718a37325@inbound.aiesec.org</t>
  </si>
  <si>
    <t>https://expa.aiesec.org/opportunities/1289370</t>
  </si>
  <si>
    <t>2023-01-02T06:15:21Z</t>
  </si>
  <si>
    <t>5174327_1291634</t>
  </si>
  <si>
    <t>Ali Sameh Mousa</t>
  </si>
  <si>
    <t>p_491429fc0e84fce3dd40137290b683c92de0b662@inbound.aiesec.org</t>
  </si>
  <si>
    <t>https://expa.aiesec.org/opportunities/1291634</t>
  </si>
  <si>
    <t>AAST in Cairo Univeristy</t>
  </si>
  <si>
    <t>2023-01-08T14:20:22Z</t>
  </si>
  <si>
    <t>5171251_1291585</t>
  </si>
  <si>
    <t>Konul Sharafkhanova</t>
  </si>
  <si>
    <t>p_026a2c8c5f926d48d2cfeac314fed4172705e731@inbound.aiesec.org</t>
  </si>
  <si>
    <t>ADA University</t>
  </si>
  <si>
    <t>2022-12-29T03:29:25Z</t>
  </si>
  <si>
    <t>5174165_1287990</t>
  </si>
  <si>
    <t>Elif Görgen</t>
  </si>
  <si>
    <t>p_ea92169dcd63f1ba8a64b2d97e968d17c67ba2f9@inbound.aiesec.org</t>
  </si>
  <si>
    <t>2023-01-07T20:17:09Z</t>
  </si>
  <si>
    <t>5173665_1278558</t>
  </si>
  <si>
    <t>Kaoutar Bouziani Idrissi</t>
  </si>
  <si>
    <t>p_cb0c20565947f882f8c72e4607f5d49c737579b5@inbound.aiesec.org</t>
  </si>
  <si>
    <t>https://expa.aiesec.org/opportunities/1278558</t>
  </si>
  <si>
    <t xml:space="preserve"> French Speaking Service Desk Analyst</t>
  </si>
  <si>
    <t>2023-01-06T11:19:32Z</t>
  </si>
  <si>
    <t>3045181_1291185</t>
  </si>
  <si>
    <t>Tolga Şeker</t>
  </si>
  <si>
    <t>p_fcdf31e6ae55d46bab1bc9e67c0be22c331773cf@inbound.aiesec.org</t>
  </si>
  <si>
    <t>https://expa.aiesec.org/opportunities/1291185</t>
  </si>
  <si>
    <t>Marketing Managing</t>
  </si>
  <si>
    <t>2019-01-30T01:08:10Z</t>
  </si>
  <si>
    <t>2899747_1288330</t>
  </si>
  <si>
    <t>Gülsu Çağıran</t>
  </si>
  <si>
    <t>p_59724d172bf5cb5e149f99ba893f924e7540c971@inbound.aiesec.org</t>
  </si>
  <si>
    <t>2018-11-23T22:17:19Z</t>
  </si>
  <si>
    <t>5174568_1286442</t>
  </si>
  <si>
    <t>Mevlüthan Çiftçi</t>
  </si>
  <si>
    <t>p_16fad21f2876de9c287ec53df56df7bfbfd960cb@inbound.aiesec.org</t>
  </si>
  <si>
    <t>2023-01-09T08:28:53Z</t>
  </si>
  <si>
    <t>5100169_1291083</t>
  </si>
  <si>
    <t>nadir itim</t>
  </si>
  <si>
    <t>p_1372c4c366717dfdd8cd8ac58f675d0a8face04b@inbound.aiesec.org</t>
  </si>
  <si>
    <t>https://expa.aiesec.org/opportunities/1291083</t>
  </si>
  <si>
    <t>English Teacher at İstanbul Bakırköy</t>
  </si>
  <si>
    <t>2022-08-26T15:43:04Z</t>
  </si>
  <si>
    <t>4341835_1289536</t>
  </si>
  <si>
    <t>Rebecca Skoll</t>
  </si>
  <si>
    <t>p_4b8dfe10744dd00b515d96f3736ac04b92f9bcaa@inbound.aiesec.org</t>
  </si>
  <si>
    <t>Toronto</t>
  </si>
  <si>
    <t>University of Toronto St George</t>
  </si>
  <si>
    <t>2020-08-11T22:53:04Z</t>
  </si>
  <si>
    <t>5176287_1289255</t>
  </si>
  <si>
    <t>FATIMA ZAHRA ATIF</t>
  </si>
  <si>
    <t>p_971606813c44614a2c9784ab8f395a6b261f9e77@inbound.aiesec.org</t>
  </si>
  <si>
    <t>FSJES Agadir</t>
  </si>
  <si>
    <t>2023-01-13T15:59:55Z</t>
  </si>
  <si>
    <t>5175418_1290277</t>
  </si>
  <si>
    <t>Talha Ömer Kaptı</t>
  </si>
  <si>
    <t>p_0b6f7c5b2486f321647d5977386046552fc4b2f9@inbound.aiesec.org</t>
  </si>
  <si>
    <t>https://expa.aiesec.org/opportunities/1290277</t>
  </si>
  <si>
    <t>2023-01-11T11:11:04Z</t>
  </si>
  <si>
    <t>5175395_1283180</t>
  </si>
  <si>
    <t>Baran Atılganer</t>
  </si>
  <si>
    <t>p_ef589e95860a88ad88d840cb7080da3b58df48b0@inbound.aiesec.org</t>
  </si>
  <si>
    <t>2023-01-11T09:56:16Z</t>
  </si>
  <si>
    <t>5137075_1288582</t>
  </si>
  <si>
    <t>Nour Khaled</t>
  </si>
  <si>
    <t>p_191f116b5756acbc0bfe15678bfc2a30990ad94a@inbound.aiesec.org</t>
  </si>
  <si>
    <t>2022-10-19T18:44:13Z</t>
  </si>
  <si>
    <t>4850094_1291873</t>
  </si>
  <si>
    <t>Noha Hosssameldin Elsheikh</t>
  </si>
  <si>
    <t>p_d66823b7aa2af5372f06dc7feffdfbe290ed1bf8@inbound.aiesec.org</t>
  </si>
  <si>
    <t>https://expa.aiesec.org/opportunities/1291873</t>
  </si>
  <si>
    <t>Marketing Intern</t>
  </si>
  <si>
    <t>2021-12-20T17:37:16Z</t>
  </si>
  <si>
    <t>5107797_1289214</t>
  </si>
  <si>
    <t>ahmed zribi</t>
  </si>
  <si>
    <t>p_17d8b6ffce4cf380ab9c311277e476ee32ab4fa9@inbound.aiesec.org</t>
  </si>
  <si>
    <t>2022-09-08T13:08:26Z</t>
  </si>
  <si>
    <t>5081758_1289536</t>
  </si>
  <si>
    <t>Sarra Bakkar</t>
  </si>
  <si>
    <t>p_ec3fa0c672fabc9e37039e7d038d76a1e69e43b9@inbound.aiesec.org</t>
  </si>
  <si>
    <t>2022-07-11T18:13:46Z</t>
  </si>
  <si>
    <t>5174317_1291271</t>
  </si>
  <si>
    <t>Sude Dicle Elcan</t>
  </si>
  <si>
    <t>p_a0cf8f089fd8ca46790a266e2e8f4e58537f9691@inbound.aiesec.org</t>
  </si>
  <si>
    <t>https://expa.aiesec.org/opportunities/1291271</t>
  </si>
  <si>
    <t>2023-01-08T13:55:28Z</t>
  </si>
  <si>
    <t>5059964_1281231</t>
  </si>
  <si>
    <t>Levent Sarıoğlu</t>
  </si>
  <si>
    <t>p_95b4a51f5c8248311629e88a70c9332b5804257e@inbound.aiesec.org</t>
  </si>
  <si>
    <t>2022-05-19T09:08:04Z</t>
  </si>
  <si>
    <t>5159442_1290260</t>
  </si>
  <si>
    <t>Rabia Özay</t>
  </si>
  <si>
    <t>p_5bf505e94bf690af85a43ed052e3c17021a4ae55@inbound.aiesec.org</t>
  </si>
  <si>
    <t>https://expa.aiesec.org/opportunities/1290260</t>
  </si>
  <si>
    <t>2022-11-27T12:42:59Z</t>
  </si>
  <si>
    <t>5175100_1288330</t>
  </si>
  <si>
    <t>Selen Akeller</t>
  </si>
  <si>
    <t>p_8ce3d342206406ffd206211bf1efe56da85fdf89@inbound.aiesec.org</t>
  </si>
  <si>
    <t>2023-01-10T15:24:46Z</t>
  </si>
  <si>
    <t>5163677_1287854</t>
  </si>
  <si>
    <t>Aram Habashneh</t>
  </si>
  <si>
    <t>p_b1b274f7df29f8c7949952609fdc7f12d0575d60@inbound.aiesec.org</t>
  </si>
  <si>
    <t>The Hashemite University</t>
  </si>
  <si>
    <t>2022-12-07T10:12:59Z</t>
  </si>
  <si>
    <t>5178092_1291417</t>
  </si>
  <si>
    <t>Elisa Hajkola</t>
  </si>
  <si>
    <t>p_8d83d484689b0a69884a02282ebc66d935d44ea8@inbound.aiesec.org</t>
  </si>
  <si>
    <t xml:space="preserve">Expansion of Shkodër </t>
  </si>
  <si>
    <t>https://expa.aiesec.org/opportunities/1291417</t>
  </si>
  <si>
    <t>English-Spanish/English-German Teacher</t>
  </si>
  <si>
    <t>2023-01-18T19:00:31Z</t>
  </si>
  <si>
    <t>5170717_1285713</t>
  </si>
  <si>
    <t>Cahan Huseynli</t>
  </si>
  <si>
    <t>p_5a9662cf6370af69dc936d542017bc3461c082b1@inbound.aiesec.org</t>
  </si>
  <si>
    <t>Azerbaijan Medical University</t>
  </si>
  <si>
    <t>2022-12-27T14:28:52Z</t>
  </si>
  <si>
    <t>5178788_1265080</t>
  </si>
  <si>
    <t>Oumaima Ait Jilali</t>
  </si>
  <si>
    <t>p_2b48a6a298efb9ab3ecd629b99c0776e4e1b17d0@inbound.aiesec.org</t>
  </si>
  <si>
    <t>https://expa.aiesec.org/opportunities/1265080</t>
  </si>
  <si>
    <t xml:space="preserve">Foreign Trade Responsible in Istanbul </t>
  </si>
  <si>
    <t>2023-01-20T15:22:53Z</t>
  </si>
  <si>
    <t>5175996_1291634</t>
  </si>
  <si>
    <t>Aytakin Jalilova</t>
  </si>
  <si>
    <t>p_9b915fd7b0538b35c8abf20a2c518e384261887b@inbound.aiesec.org</t>
  </si>
  <si>
    <t>2023-01-12T17:55:47Z</t>
  </si>
  <si>
    <t>5173353_1291045</t>
  </si>
  <si>
    <t>Ali eren Kilisli</t>
  </si>
  <si>
    <t>p_cb10dd44508f13a916bfd76e5898f8969ee9de78@inbound.aiesec.org</t>
  </si>
  <si>
    <t>2023-01-05T14:07:28Z</t>
  </si>
  <si>
    <t>4696003_1289076</t>
  </si>
  <si>
    <t>p_c4499ef04ce707644f3604a02ddedd07fb927c79@inbound.aiesec.org</t>
  </si>
  <si>
    <t>2021-07-23T23:58:50Z</t>
  </si>
  <si>
    <t>5177246_1289554</t>
  </si>
  <si>
    <t>furkan akman</t>
  </si>
  <si>
    <t>p_30d3716d8a4d39e24f3847dcedf78e943f05958e@inbound.aiesec.org</t>
  </si>
  <si>
    <t>MIU</t>
  </si>
  <si>
    <t>https://expa.aiesec.org/opportunities/1289554</t>
  </si>
  <si>
    <t>2023-01-16T19:41:49Z</t>
  </si>
  <si>
    <t>5177207_1289554</t>
  </si>
  <si>
    <t>Ecem Şahin</t>
  </si>
  <si>
    <t>p_29ed76918880a4dac0e1a59c21ce312dab46f48d@inbound.aiesec.org</t>
  </si>
  <si>
    <t>2023-01-16T18:26:34Z</t>
  </si>
  <si>
    <t>5173420_1290277</t>
  </si>
  <si>
    <t>abdullah turhan</t>
  </si>
  <si>
    <t>p_581eda9baefcfe2c528f79bd78947d5922cb14f9@inbound.aiesec.org</t>
  </si>
  <si>
    <t>DUZCE</t>
  </si>
  <si>
    <t>2023-01-05T17:28:59Z</t>
  </si>
  <si>
    <t>5083152_1289261</t>
  </si>
  <si>
    <t>Alisha Batada</t>
  </si>
  <si>
    <t>p_e07ba0429b4851762d9141c9ea2df5838b446123@inbound.aiesec.org</t>
  </si>
  <si>
    <t>V.N.S.G.U, Surat</t>
  </si>
  <si>
    <t>2022-07-16T07:41:47Z</t>
  </si>
  <si>
    <t>5044345_1287226</t>
  </si>
  <si>
    <t>Wessam Ali</t>
  </si>
  <si>
    <t>p_a114e96841d77c976b7e91abb2d430395b7d6e24@inbound.aiesec.org</t>
  </si>
  <si>
    <t>2022-04-23T07:14:03Z</t>
  </si>
  <si>
    <t>4966073_1289502</t>
  </si>
  <si>
    <t>5173144_1287445</t>
  </si>
  <si>
    <t>Saud Zafar</t>
  </si>
  <si>
    <t>p_a9391ff97e0bd3b1a9a56a1326786c542ad772a8@inbound.aiesec.org</t>
  </si>
  <si>
    <t xml:space="preserve">Lahore - Punjab University </t>
  </si>
  <si>
    <t>2023-01-04T18:00:35Z</t>
  </si>
  <si>
    <t>5171106_1288606</t>
  </si>
  <si>
    <t>Francisco Doddoli Valencia</t>
  </si>
  <si>
    <t>p_89bffecd738d124579098c7dc7c8eabc998e37e0@inbound.aiesec.org</t>
  </si>
  <si>
    <t>2022-12-28T16:34:38Z</t>
  </si>
  <si>
    <t>1231155_1290982</t>
  </si>
  <si>
    <t>mehmet yurt</t>
  </si>
  <si>
    <t>p_dec29ee7ccd11625260fc1dc564313345f0df47e@inbound.aiesec.org</t>
  </si>
  <si>
    <t>Malaysia</t>
  </si>
  <si>
    <t>Taylor's University (TU) , Subang Jaya</t>
  </si>
  <si>
    <t>https://expa.aiesec.org/opportunities/1290982</t>
  </si>
  <si>
    <t>Student Experience &amp; Lifestyle Executive</t>
  </si>
  <si>
    <t>2016-11-09T14:41:40Z</t>
  </si>
  <si>
    <t>5176816_1291055</t>
  </si>
  <si>
    <t>Анна Мординська</t>
  </si>
  <si>
    <t>p_4572bff1967d62f9ac6595463744e6b3ceb348fd@inbound.aiesec.org</t>
  </si>
  <si>
    <t>ODESA</t>
  </si>
  <si>
    <t>2023-01-15T17:02:59Z</t>
  </si>
  <si>
    <t>4058734_1272564</t>
  </si>
  <si>
    <t>Mahnoor Lodhi</t>
  </si>
  <si>
    <t>p_1aaa7d631f7b67370e993ef00b90f9f8fc675e08@inbound.aiesec.org</t>
  </si>
  <si>
    <t>SG</t>
  </si>
  <si>
    <t>2019-11-28T17:38:49Z</t>
  </si>
  <si>
    <t>1748934_1280733</t>
  </si>
  <si>
    <t>Salma Ben Khelifa</t>
  </si>
  <si>
    <t>p_6f54f1162d0beb523ccbd0f4959b5d4f8fafc111@inbound.aiesec.org</t>
  </si>
  <si>
    <t>https://expa.aiesec.org/opportunities/1280733</t>
  </si>
  <si>
    <t>Public Relations w/Meet2Talk</t>
  </si>
  <si>
    <t>2017-09-21T23:05:45Z</t>
  </si>
  <si>
    <t>5165259_1291449</t>
  </si>
  <si>
    <t>Cyindi Noviani</t>
  </si>
  <si>
    <t>p_0455f8877d68512678a460c8c16575209bb6fd0d@inbound.aiesec.org</t>
  </si>
  <si>
    <t>https://expa.aiesec.org/opportunities/1291449</t>
  </si>
  <si>
    <t>2022-12-12T08:58:51Z</t>
  </si>
  <si>
    <t>5176437_1289536</t>
  </si>
  <si>
    <t>Iulia Opre</t>
  </si>
  <si>
    <t>p_4c5f6112b286a46f84aa62ac88c8248916fd4e15@inbound.aiesec.org</t>
  </si>
  <si>
    <t>2023-01-14T09:29:33Z</t>
  </si>
  <si>
    <t>5176265_1272564</t>
  </si>
  <si>
    <t>Adrienn Bodor</t>
  </si>
  <si>
    <t>p_24675b5440a6ac4ea6a18126539075cfd1a878f5@inbound.aiesec.org</t>
  </si>
  <si>
    <t>+40751040426</t>
  </si>
  <si>
    <t>2023-01-13T14:56:18Z</t>
  </si>
  <si>
    <t>5170975_1289536</t>
  </si>
  <si>
    <t>Alesia Leho</t>
  </si>
  <si>
    <t>p_958c64f728085b2b060168adb5750dec6d8af27a@inbound.aiesec.org</t>
  </si>
  <si>
    <t>2022-12-28T10:43:27Z</t>
  </si>
  <si>
    <t>5178606_1289255</t>
  </si>
  <si>
    <t>Ceriana Khelladi</t>
  </si>
  <si>
    <t>p_33226e02148964345ae7ae91f8cc017273d7c04e@inbound.aiesec.org</t>
  </si>
  <si>
    <t>2023-01-20T08:16:34Z</t>
  </si>
  <si>
    <t>5181192_1289446</t>
  </si>
  <si>
    <t>sena nur çobann</t>
  </si>
  <si>
    <t>p_36be78d5b48378409bf45419739112b1df57f01c@inbound.aiesec.org</t>
  </si>
  <si>
    <t>https://expa.aiesec.org/opportunities/1289446</t>
  </si>
  <si>
    <t>2023-01-27T10:15:18Z</t>
  </si>
  <si>
    <t>5183266_1284312</t>
  </si>
  <si>
    <t>Duygu Bozoğlu</t>
  </si>
  <si>
    <t>p_5e30d5528b03d5eb1d5ffad94bcd68a90bee2541@inbound.aiesec.org</t>
  </si>
  <si>
    <t>2023-02-01T07:54:02Z</t>
  </si>
  <si>
    <t>5159036_1284476</t>
  </si>
  <si>
    <t>https://expa.aiesec.org/opportunities/1284476</t>
  </si>
  <si>
    <t>5182527_1290924</t>
  </si>
  <si>
    <t>Sirine Kerkeni</t>
  </si>
  <si>
    <t>p_e9f7bea11696ff5648d612f52fdb127a1e789cd8@inbound.aiesec.org</t>
  </si>
  <si>
    <t>https://expa.aiesec.org/opportunities/1290924</t>
  </si>
  <si>
    <t>Sales Specialist in Istanbul</t>
  </si>
  <si>
    <t>2023-01-30T23:31:17Z</t>
  </si>
  <si>
    <t>5117089_1289597</t>
  </si>
  <si>
    <t>Omar Mohamed</t>
  </si>
  <si>
    <t>p_87fa6e42fefc57ca765c348086183f135eb13729@inbound.aiesec.org</t>
  </si>
  <si>
    <t>https://expa.aiesec.org/opportunities/1289597</t>
  </si>
  <si>
    <t>2022-09-21T16:52:44Z</t>
  </si>
  <si>
    <t>5175383_1290706</t>
  </si>
  <si>
    <t>Eylül Sıla Soyata</t>
  </si>
  <si>
    <t>p_b523a48dab22a9bc3dda3824d8a4babf5c4c7485@inbound.aiesec.org</t>
  </si>
  <si>
    <t>https://expa.aiesec.org/opportunities/1290706</t>
  </si>
  <si>
    <t>2023-01-11T09:12:04Z</t>
  </si>
  <si>
    <t>5179202_1291623</t>
  </si>
  <si>
    <t>Beyza Bayın</t>
  </si>
  <si>
    <t>p_25e477f26277e34678625cc100666a44f1f8e460@inbound.aiesec.org</t>
  </si>
  <si>
    <t>538 476 6266</t>
  </si>
  <si>
    <t>https://expa.aiesec.org/opportunities/1291623</t>
  </si>
  <si>
    <t>2023-01-21T20:02:34Z</t>
  </si>
  <si>
    <t>5181176_1290024</t>
  </si>
  <si>
    <t>Fatma Zehra Yılmaz</t>
  </si>
  <si>
    <t>p_2e31cbf0b203b303f474f8cdaa122712dd71f549@inbound.aiesec.org</t>
  </si>
  <si>
    <t>2023-01-27T09:25:03Z</t>
  </si>
  <si>
    <t>5180925_1291623</t>
  </si>
  <si>
    <t>Melisa Zorlu</t>
  </si>
  <si>
    <t>p_bff41b4a6ae32e261d344c4406710affb96baca4@inbound.aiesec.org</t>
  </si>
  <si>
    <t>2023-01-26T17:15:53Z</t>
  </si>
  <si>
    <t>5158029_1283288</t>
  </si>
  <si>
    <t>Ibtissam Lounas</t>
  </si>
  <si>
    <t>p_45b6472367c71e59aebad1694953ef70dbfaf686@inbound.aiesec.org</t>
  </si>
  <si>
    <t>2022-11-23T20:13:42Z</t>
  </si>
  <si>
    <t>1448342_1291989</t>
  </si>
  <si>
    <t>Maria Melik</t>
  </si>
  <si>
    <t>p_8ac0ec9c08010f5eb6dd9a1ce6e5349a93e59596@inbound.aiesec.org</t>
  </si>
  <si>
    <t>https://expa.aiesec.org/opportunities/1291989</t>
  </si>
  <si>
    <t>2017-03-24T16:42:24Z</t>
  </si>
  <si>
    <t>5032319_1291233</t>
  </si>
  <si>
    <t>zehra uruç</t>
  </si>
  <si>
    <t>p_63362956fdb3bef10e7f35c71964c8344adb712b@inbound.aiesec.org</t>
  </si>
  <si>
    <t>https://expa.aiesec.org/opportunities/1291233</t>
  </si>
  <si>
    <t>2022-04-09T12:53:33Z</t>
  </si>
  <si>
    <t>5090218_1287083</t>
  </si>
  <si>
    <t>3293940_1292115</t>
  </si>
  <si>
    <t>Hüseyin Furkan Bucaklı</t>
  </si>
  <si>
    <t>p_91ee88c6003e08838ad1d0a5a06bd67f4230075e@inbound.aiesec.org</t>
  </si>
  <si>
    <t>https://expa.aiesec.org/opportunities/1292115</t>
  </si>
  <si>
    <t>Project technical support - Junior Engineer</t>
  </si>
  <si>
    <t>2019-04-03T09:15:14Z</t>
  </si>
  <si>
    <t>5177876_1288843</t>
  </si>
  <si>
    <t>Zeynep Özbakış</t>
  </si>
  <si>
    <t>p_7a2467aa83574d7219223d0f7640fa21d7e4a19b@inbound.aiesec.org</t>
  </si>
  <si>
    <t>2023-01-18T11:11:16Z</t>
  </si>
  <si>
    <t>5176609_1272564</t>
  </si>
  <si>
    <t>Iulian Portarescul</t>
  </si>
  <si>
    <t>p_61f5461cc71e64e5090c1d012d31a085c81c3e83@inbound.aiesec.org</t>
  </si>
  <si>
    <t>2023-01-14T19:44:44Z</t>
  </si>
  <si>
    <t>5176835_1287304</t>
  </si>
  <si>
    <t>Kaan Berk Dönmez</t>
  </si>
  <si>
    <t>p_04f7b3e0b77592bcd136cff56bd7580843c3b9b8@inbound.aiesec.org</t>
  </si>
  <si>
    <t>https://expa.aiesec.org/opportunities/1287304</t>
  </si>
  <si>
    <t>2023-01-15T18:08:42Z</t>
  </si>
  <si>
    <t>5136234_1285687</t>
  </si>
  <si>
    <t>Diana Moisă</t>
  </si>
  <si>
    <t>p_389898c522c5ab4958b1804e6fb3f730ec1eede0@inbound.aiesec.org</t>
  </si>
  <si>
    <t>2022-10-18T21:24:01Z</t>
  </si>
  <si>
    <t>5176311_1285687</t>
  </si>
  <si>
    <t>Giorgia Siligardi</t>
  </si>
  <si>
    <t>p_fb37154589129b5873faeaae854e74341c88986e@inbound.aiesec.org</t>
  </si>
  <si>
    <t>2023-01-13T18:08:06Z</t>
  </si>
  <si>
    <t>5173882_1288393</t>
  </si>
  <si>
    <t>Adia Aronescu</t>
  </si>
  <si>
    <t>p_a3592b8ca71f10fdbf9bbb62ec74fc5ec71535f2@inbound.aiesec.org</t>
  </si>
  <si>
    <t>2023-01-06T21:08:55Z</t>
  </si>
  <si>
    <t>4762840_1289536</t>
  </si>
  <si>
    <t>Biris Andreea</t>
  </si>
  <si>
    <t>p_ff5df175eb511ab37de01fd910c486190b08123f@inbound.aiesec.org</t>
  </si>
  <si>
    <t>2021-10-11T19:27:40Z</t>
  </si>
  <si>
    <t>5177685_1291551</t>
  </si>
  <si>
    <t>elif kanık</t>
  </si>
  <si>
    <t>p_7045b3ea39df1a6af61b0bcc4a2abb8ed8b7b083@inbound.aiesec.org</t>
  </si>
  <si>
    <t>https://expa.aiesec.org/opportunities/1291551</t>
  </si>
  <si>
    <t>2023-01-17T20:37:49Z</t>
  </si>
  <si>
    <t>5144859_1285687</t>
  </si>
  <si>
    <t>Niharika Anand</t>
  </si>
  <si>
    <t>p_510a53a155b0840c7e8e8488f3b4fca2609b476b@inbound.aiesec.org</t>
  </si>
  <si>
    <t>ABES College, Ghaziabad</t>
  </si>
  <si>
    <t>2022-11-02T06:25:39Z</t>
  </si>
  <si>
    <t>5176811_1290394</t>
  </si>
  <si>
    <t>Duru Demir</t>
  </si>
  <si>
    <t>p_ae149b5d310fe7b741c1b8aca74500702ff6ba5d@inbound.aiesec.org</t>
  </si>
  <si>
    <t>https://expa.aiesec.org/opportunities/1290394</t>
  </si>
  <si>
    <t>2023-01-15T16:11:37Z</t>
  </si>
  <si>
    <t>5176305_1284976</t>
  </si>
  <si>
    <t>Omar Salama</t>
  </si>
  <si>
    <t>p_3f2eb5241bb8df824ee5570b695ec85bc878d0da@inbound.aiesec.org</t>
  </si>
  <si>
    <t>2023-01-13T17:18:14Z</t>
  </si>
  <si>
    <t>5176623_1289597</t>
  </si>
  <si>
    <t>Radwa Elshafey</t>
  </si>
  <si>
    <t>p_8e5af73426b4d46704885e4abb11060a092963cb@inbound.aiesec.org</t>
  </si>
  <si>
    <t>2023-01-14T20:41:58Z</t>
  </si>
  <si>
    <t>5176283_1281195</t>
  </si>
  <si>
    <t>sarah emam</t>
  </si>
  <si>
    <t>p_d3a766b15f68122aedd94d75d4a19007b86e8ede@inbound.aiesec.org</t>
  </si>
  <si>
    <t>2023-01-13T15:48:50Z</t>
  </si>
  <si>
    <t>5175643_1290190</t>
  </si>
  <si>
    <t>İrem Pamukçu</t>
  </si>
  <si>
    <t>p_b159da53ebb38461eb8c30cac8663b96b59976ba@inbound.aiesec.org</t>
  </si>
  <si>
    <t>https://expa.aiesec.org/opportunities/1290190</t>
  </si>
  <si>
    <t>2023-01-11T20:42:34Z</t>
  </si>
  <si>
    <t>5175662_1286228</t>
  </si>
  <si>
    <t>Polina Denysenko</t>
  </si>
  <si>
    <t>p_d95255911aef27387e5ba9130d9a8786601bc8b2@inbound.aiesec.org</t>
  </si>
  <si>
    <t>Zaporizhzhia</t>
  </si>
  <si>
    <t>2023-01-11T21:26:52Z</t>
  </si>
  <si>
    <t>5174443_1291378</t>
  </si>
  <si>
    <t>Yiğit Özer</t>
  </si>
  <si>
    <t>p_151eea55ef342b6f53d9c7a58c6a8063a15eda61@inbound.aiesec.org</t>
  </si>
  <si>
    <t>2023-01-08T19:40:51Z</t>
  </si>
  <si>
    <t>5167183_1289597</t>
  </si>
  <si>
    <t>Rahma Mohsen</t>
  </si>
  <si>
    <t>p_221e952dd22bdb5517225ad3a215daab61315ae0@inbound.aiesec.org</t>
  </si>
  <si>
    <t>2022-12-17T13:43:02Z</t>
  </si>
  <si>
    <t>5174450_1291304</t>
  </si>
  <si>
    <t>Mohamed Hadi</t>
  </si>
  <si>
    <t>p_ff1a0f9f7cdccbf337032de4d91feb580bad0d9f@inbound.aiesec.org</t>
  </si>
  <si>
    <t>https://expa.aiesec.org/opportunities/1291304</t>
  </si>
  <si>
    <t>2023-01-08T20:00:01Z</t>
  </si>
  <si>
    <t>5148066_1291608</t>
  </si>
  <si>
    <t>Boudour Khaloui</t>
  </si>
  <si>
    <t>p_574b145b339fa806245a54ab590c6578ac90536d@inbound.aiesec.org</t>
  </si>
  <si>
    <t>https://expa.aiesec.org/opportunities/1291608</t>
  </si>
  <si>
    <t>Teacher</t>
  </si>
  <si>
    <t>2022-11-06T20:46:42Z</t>
  </si>
  <si>
    <t>5151017_1284976</t>
  </si>
  <si>
    <t>Mohamed Amine Jamli</t>
  </si>
  <si>
    <t>p_98788485e8d52b4b70ebfd4744cc9d4572c51472@inbound.aiesec.org</t>
  </si>
  <si>
    <t>2022-11-10T17:58:11Z</t>
  </si>
  <si>
    <t>5173672_1286228</t>
  </si>
  <si>
    <t>Daria Horiainova</t>
  </si>
  <si>
    <t>p_87de65925f683f67107302201d671f273939adb9@inbound.aiesec.org</t>
  </si>
  <si>
    <t>2023-01-06T11:40:01Z</t>
  </si>
  <si>
    <t>5171938_1286585</t>
  </si>
  <si>
    <t>mehpare sözen</t>
  </si>
  <si>
    <t>p_2a420ff4b6faa7ea63b89c9225644a25c5049756@inbound.aiesec.org</t>
  </si>
  <si>
    <t>2022-12-31T12:04:59Z</t>
  </si>
  <si>
    <t>5146229_1290826</t>
  </si>
  <si>
    <t>Bouraira Jelassi</t>
  </si>
  <si>
    <t>p_75d356a6e033fb7932f7ba6ca6a529300e1814ee@inbound.aiesec.org</t>
  </si>
  <si>
    <t>2022-11-03T20:16:35Z</t>
  </si>
  <si>
    <t>5087690_1292149</t>
  </si>
  <si>
    <t>https://expa.aiesec.org/opportunities/1292149</t>
  </si>
  <si>
    <t>5150336_1286920</t>
  </si>
  <si>
    <t>5173807_1289378</t>
  </si>
  <si>
    <t>Jesus Arnoldo Corral Diaz</t>
  </si>
  <si>
    <t>p_8e73105fbdc3ddfeede0fb522449483ea48de271@inbound.aiesec.org</t>
  </si>
  <si>
    <t>Virtual Expansions MX</t>
  </si>
  <si>
    <t>https://expa.aiesec.org/opportunities/1289378</t>
  </si>
  <si>
    <t>Telesales Specialist in Istanbul (Spanish Speaker)</t>
  </si>
  <si>
    <t>Sonora - Otra Universidad</t>
  </si>
  <si>
    <t>2023-01-06T17:29:11Z</t>
  </si>
  <si>
    <t>5184053_1279670</t>
  </si>
  <si>
    <t>Rim Mrassi</t>
  </si>
  <si>
    <t>p_93b894c8f9461a0fce2e02da2f1e58095f2396e7@inbound.aiesec.org</t>
  </si>
  <si>
    <t>https://expa.aiesec.org/opportunities/1279670</t>
  </si>
  <si>
    <t>ISET Mahdia</t>
  </si>
  <si>
    <t>2023-02-02T11:47:03Z</t>
  </si>
  <si>
    <t>5067190_1291817</t>
  </si>
  <si>
    <t>Asya Çopur</t>
  </si>
  <si>
    <t>p_9ecc26449daebf13ef6d2cf276882eb48691d62a@inbound.aiesec.org</t>
  </si>
  <si>
    <t>https://expa.aiesec.org/opportunities/1291817</t>
  </si>
  <si>
    <t>Marketing Creator</t>
  </si>
  <si>
    <t>2022-06-01T20:14:56Z</t>
  </si>
  <si>
    <t>5183624_1291622</t>
  </si>
  <si>
    <t>Helin Kahraman</t>
  </si>
  <si>
    <t>p_aaf4986cebc22e5ed31c845263236758062db26e@inbound.aiesec.org</t>
  </si>
  <si>
    <t>https://expa.aiesec.org/opportunities/1291622</t>
  </si>
  <si>
    <t>2023-02-01T19:28:56Z</t>
  </si>
  <si>
    <t>5183550_1286839</t>
  </si>
  <si>
    <t>Maryem Ahmed Mohamed ElSayed</t>
  </si>
  <si>
    <t>p_cfe94c13281cda3cfdfdded29b2924a0d4bf8d3c@inbound.aiesec.org</t>
  </si>
  <si>
    <t>https://expa.aiesec.org/opportunities/1286839</t>
  </si>
  <si>
    <t xml:space="preserve">Pre-School Teacher at Istanbul AIKA/Florya </t>
  </si>
  <si>
    <t>2023-02-01T17:07:02Z</t>
  </si>
  <si>
    <t>4580714_1288393</t>
  </si>
  <si>
    <t>Salma Abdelkader</t>
  </si>
  <si>
    <t>p_b3ae5df7c73e877eceb3a06534001b9ed8eed092@inbound.aiesec.org</t>
  </si>
  <si>
    <t>2021-03-16T15:31:14Z</t>
  </si>
  <si>
    <t>5178539_1288611</t>
  </si>
  <si>
    <t>Meziane Chouaib</t>
  </si>
  <si>
    <t>p_b6663b3878d20d43736b8ad1bba032bd367d27f1@inbound.aiesec.org</t>
  </si>
  <si>
    <t>https://expa.aiesec.org/opportunities/1288611</t>
  </si>
  <si>
    <t>2023-01-19T22:58:13Z</t>
  </si>
  <si>
    <t>2888288_1288393</t>
  </si>
  <si>
    <t>Mariem Belgacem</t>
  </si>
  <si>
    <t>p_cedb26d4998971f115240a70516eb036c14a7e3d@inbound.aiesec.org</t>
  </si>
  <si>
    <t>2018-11-20T17:51:52Z</t>
  </si>
  <si>
    <t>5177824_1289899</t>
  </si>
  <si>
    <t>mariye kosdik</t>
  </si>
  <si>
    <t>p_a547ef96d0cd83268134574e896b7d123f1d4905@inbound.aiesec.org</t>
  </si>
  <si>
    <t>https://expa.aiesec.org/opportunities/1289899</t>
  </si>
  <si>
    <t>2023-01-18T08:17:41Z</t>
  </si>
  <si>
    <t>5179753_1289255</t>
  </si>
  <si>
    <t>Sara Ben rabah</t>
  </si>
  <si>
    <t>p_24ead27c26c95a76283bcfa149473ffbc7223215@inbound.aiesec.org</t>
  </si>
  <si>
    <t>535 279 83 08</t>
  </si>
  <si>
    <t>2023-01-23T17:38:52Z</t>
  </si>
  <si>
    <t>4052502_1288548</t>
  </si>
  <si>
    <t>Wafaa Chabbak</t>
  </si>
  <si>
    <t>p_c8abf006e5485103ea8d2098b2590738c104c79b@inbound.aiesec.org</t>
  </si>
  <si>
    <t>Other-CASABLANCA</t>
  </si>
  <si>
    <t>2019-11-27T12:47:27Z</t>
  </si>
  <si>
    <t>4916318_1291852</t>
  </si>
  <si>
    <t>Aybüke Öykü özgen</t>
  </si>
  <si>
    <t>p_6f22c35511098db9b6c0b7560795eebc0e724763@inbound.aiesec.org</t>
  </si>
  <si>
    <t>https://expa.aiesec.org/opportunities/1291852</t>
  </si>
  <si>
    <t>2022-02-05T11:26:13Z</t>
  </si>
  <si>
    <t>5109405_1284476</t>
  </si>
  <si>
    <t>Mustafa Elsayed</t>
  </si>
  <si>
    <t>p_69982b07edc182a67720c1b6c8de815d8b1a3494@inbound.aiesec.org</t>
  </si>
  <si>
    <t>2022-09-10T13:24:25Z</t>
  </si>
  <si>
    <t>5170971_1287459</t>
  </si>
  <si>
    <t>Ezgi Atar</t>
  </si>
  <si>
    <t>p_217dfe4f00645d057d5c295d28a931a3e4b1d589@inbound.aiesec.org</t>
  </si>
  <si>
    <t>+905350523574</t>
  </si>
  <si>
    <t>2022-12-28T10:24:44Z</t>
  </si>
  <si>
    <t>5185207_1289215</t>
  </si>
  <si>
    <t>Samet Tetik</t>
  </si>
  <si>
    <t>p_036bdeed4250a3cbab8f71117152d881c392340c@inbound.aiesec.org</t>
  </si>
  <si>
    <t>https://expa.aiesec.org/opportunities/1289215</t>
  </si>
  <si>
    <t>2023-02-03T23:38:41Z</t>
  </si>
  <si>
    <t>5072122_1291819</t>
  </si>
  <si>
    <t>p_c0d732535a69fea28556d83c110e6e3e9d84d560@inbound.aiesec.org</t>
  </si>
  <si>
    <t>https://expa.aiesec.org/opportunities/1291819</t>
  </si>
  <si>
    <t>2022-06-13T19:38:07Z</t>
  </si>
  <si>
    <t>5180326_1290134</t>
  </si>
  <si>
    <t>Ayşe Efdal Erdem</t>
  </si>
  <si>
    <t>p_1bf74215b74f6c50a59a8c26741448909ae803cf@inbound.aiesec.org</t>
  </si>
  <si>
    <t>+905437379370</t>
  </si>
  <si>
    <t>https://expa.aiesec.org/opportunities/1290134</t>
  </si>
  <si>
    <t>2023-01-25T08:28:37Z</t>
  </si>
  <si>
    <t>3925818_1291304</t>
  </si>
  <si>
    <t>Panah Aslanov</t>
  </si>
  <si>
    <t>p_0605857d703e95235b17abad877370e750ac6718@inbound.aiesec.org</t>
  </si>
  <si>
    <t>055-331-81-16</t>
  </si>
  <si>
    <t>Baku State University</t>
  </si>
  <si>
    <t>2019-10-25T17:46:10Z</t>
  </si>
  <si>
    <t>4896488_1292070</t>
  </si>
  <si>
    <t>ilayda fidan</t>
  </si>
  <si>
    <t>p_7fa9209455bc3f4d6ca1352216f6f08d945d8fab@inbound.aiesec.org</t>
  </si>
  <si>
    <t>https://expa.aiesec.org/opportunities/1292070</t>
  </si>
  <si>
    <t>2022-01-24T16:33:15Z</t>
  </si>
  <si>
    <t>5179444_1291623</t>
  </si>
  <si>
    <t>Ipek Iftar</t>
  </si>
  <si>
    <t>p_52672eb7b8c66ef90eacc1c0513b2f82030228b5@inbound.aiesec.org</t>
  </si>
  <si>
    <t>2023-01-22T17:59:58Z</t>
  </si>
  <si>
    <t>5018430_1291304</t>
  </si>
  <si>
    <t>Naima EZZAIM</t>
  </si>
  <si>
    <t>p_a681fb1d3b13c58916078177f22eb3bc53aad5eb@inbound.aiesec.org</t>
  </si>
  <si>
    <t>2022-03-31T20:47:06Z</t>
  </si>
  <si>
    <t>5185318_1291964</t>
  </si>
  <si>
    <t>Ahmed Sassi</t>
  </si>
  <si>
    <t>p_24a53b0ea84a0ceb1c6383adbd13b176e9965a16@inbound.aiesec.org</t>
  </si>
  <si>
    <t>https://expa.aiesec.org/opportunities/1291964</t>
  </si>
  <si>
    <t>Real Estate Agent in WASOTURK</t>
  </si>
  <si>
    <t>2023-02-04T08:40:18Z</t>
  </si>
  <si>
    <t>5162391_1286228</t>
  </si>
  <si>
    <t>Mai Shaheen</t>
  </si>
  <si>
    <t>p_4ab2a8d9bed1752312ea5bcd2952c7917173743c@inbound.aiesec.org</t>
  </si>
  <si>
    <t>2022-12-04T03:05:13Z</t>
  </si>
  <si>
    <t>5160789_1291585</t>
  </si>
  <si>
    <t>Torgyn Kenzhebayeva</t>
  </si>
  <si>
    <t>p_29389fcaf5f6e6906dec7d75b26d05774082e3ab@inbound.aiesec.org</t>
  </si>
  <si>
    <t>Semey</t>
  </si>
  <si>
    <t>2022-11-30T07:30:12Z</t>
  </si>
  <si>
    <t>5178084_1290826</t>
  </si>
  <si>
    <t>K. Sewvandi</t>
  </si>
  <si>
    <t>p_813d5d689c6654d0a6649806450aaae568f7152e@inbound.aiesec.org</t>
  </si>
  <si>
    <t>Ruhuna</t>
  </si>
  <si>
    <t>2023-01-18T18:32:33Z</t>
  </si>
  <si>
    <t>4399796_1281901</t>
  </si>
  <si>
    <t>Önder Güz</t>
  </si>
  <si>
    <t>p_d4a6aeaf35971d9beaf786fd0d42d1ea5330a9fb@inbound.aiesec.org</t>
  </si>
  <si>
    <t>2020-10-18T16:58:08Z</t>
  </si>
  <si>
    <t>2792788_1292317</t>
  </si>
  <si>
    <t>https://expa.aiesec.org/opportunities/1292317</t>
  </si>
  <si>
    <t xml:space="preserve">English Teacher in TEIOC </t>
  </si>
  <si>
    <t>5185626_1289536</t>
  </si>
  <si>
    <t>gaia de curtis</t>
  </si>
  <si>
    <t>p_b28d557f4bad006deb4d4ee10c4214efa12fed96@inbound.aiesec.org</t>
  </si>
  <si>
    <t>2023-02-04T18:44:31Z</t>
  </si>
  <si>
    <t>5170736_1290469</t>
  </si>
  <si>
    <t>Sabah NIGROU</t>
  </si>
  <si>
    <t>p_61e920afb7d5799f31b7975247f58e87a49f9607@inbound.aiesec.org</t>
  </si>
  <si>
    <t>ISTA Taddart Agadir</t>
  </si>
  <si>
    <t>2022-12-27T15:29:01Z</t>
  </si>
  <si>
    <t>5179090_1291372</t>
  </si>
  <si>
    <t>Hazar Yazgan Hacıahmetoğlu</t>
  </si>
  <si>
    <t>p_8a374a0e134cfb22c5152e2bde7f09fbe77ed7cd@inbound.aiesec.org</t>
  </si>
  <si>
    <t>https://expa.aiesec.org/opportunities/1291372</t>
  </si>
  <si>
    <t>2023-01-21T14:22:33Z</t>
  </si>
  <si>
    <t>5170548_1290678</t>
  </si>
  <si>
    <t>Derin Yaylalıoğlu</t>
  </si>
  <si>
    <t>p_bf83e2e1a515eb1ddebd2172c3f01a89817403c8@inbound.aiesec.org</t>
  </si>
  <si>
    <t>https://expa.aiesec.org/opportunities/1290678</t>
  </si>
  <si>
    <t>2022-12-27T05:16:21Z</t>
  </si>
  <si>
    <t>5177082_1291783</t>
  </si>
  <si>
    <t>Chaimaa Samraouan</t>
  </si>
  <si>
    <t>p_b2c3b52b10a2dc45cc3b80eb9dbe175a2576b76a@inbound.aiesec.org</t>
  </si>
  <si>
    <t>https://expa.aiesec.org/opportunities/1291783</t>
  </si>
  <si>
    <t>Telesales Internship in Istanbul</t>
  </si>
  <si>
    <t>FLSH Aïn Chock Casablanca</t>
  </si>
  <si>
    <t>2023-01-16T13:34:44Z</t>
  </si>
  <si>
    <t>5166632_1289536</t>
  </si>
  <si>
    <t>Maricis Naranjo Valdiviezo</t>
  </si>
  <si>
    <t>p_e45e7c6e13532e6945fd2b8851691d7ee246d651@inbound.aiesec.org</t>
  </si>
  <si>
    <t>Guayaquil</t>
  </si>
  <si>
    <t>2022-12-15T19:46:04Z</t>
  </si>
  <si>
    <t>5182935_1272564</t>
  </si>
  <si>
    <t>Asma Lafir</t>
  </si>
  <si>
    <t>p_b8498251d5347e1e707480061f15c435e99a5e2a@inbound.aiesec.org</t>
  </si>
  <si>
    <t>2023-01-31T17:37:21Z</t>
  </si>
  <si>
    <t>5172082_1272564</t>
  </si>
  <si>
    <t>Batul Mirzai</t>
  </si>
  <si>
    <t>p_d69b5ee2b0f751547deaefc04bb72416b37d9ab8@inbound.aiesec.org</t>
  </si>
  <si>
    <t>2023-01-01T00:44:07Z</t>
  </si>
  <si>
    <t>5187305_1289261</t>
  </si>
  <si>
    <t>nouhe ben cheikh amor</t>
  </si>
  <si>
    <t>p_906e59f80ab6e84377de19f532de84f27fa9b7ae@inbound.aiesec.org</t>
  </si>
  <si>
    <t>2023-02-08T12:56:24Z</t>
  </si>
  <si>
    <t>5176078_1290799</t>
  </si>
  <si>
    <t>Başak Kazan</t>
  </si>
  <si>
    <t>p_ef193f2cfcb6a8a67212249e5331eefb28577019@inbound.aiesec.org</t>
  </si>
  <si>
    <t>https://expa.aiesec.org/opportunities/1290799</t>
  </si>
  <si>
    <t>2023-01-12T22:03:28Z</t>
  </si>
  <si>
    <t>5183626_1291049</t>
  </si>
  <si>
    <t>Elif Toklucu</t>
  </si>
  <si>
    <t>p_2e39816736cb4e55469f649dd3574a4c6e5e4f43@inbound.aiesec.org</t>
  </si>
  <si>
    <t>https://expa.aiesec.org/opportunities/1291049</t>
  </si>
  <si>
    <t>2023-02-01T19:35:50Z</t>
  </si>
  <si>
    <t>5125975_1292118</t>
  </si>
  <si>
    <t>Thaynara Andrade</t>
  </si>
  <si>
    <t>p_0ccb38fa8c67535f2f9da7f89f51c36b0ed734f3@inbound.aiesec.org</t>
  </si>
  <si>
    <t>https://expa.aiesec.org/opportunities/1292118</t>
  </si>
  <si>
    <t>2022-10-05T18:44:33Z</t>
  </si>
  <si>
    <t>5178733_1262041</t>
  </si>
  <si>
    <t>Asmaa Benhassine</t>
  </si>
  <si>
    <t>p_edb59b6f0583b920f43878eb09235493d1fff46a@inbound.aiesec.org</t>
  </si>
  <si>
    <t>https://expa.aiesec.org/opportunities/1262041</t>
  </si>
  <si>
    <t>Kindergarten English Teaching in Istanbul</t>
  </si>
  <si>
    <t>2023-01-20T12:51:51Z</t>
  </si>
  <si>
    <t>5186171_1284312</t>
  </si>
  <si>
    <t>Hatice Kübra Yıldız</t>
  </si>
  <si>
    <t>p_342e113233bc3b3f27a0de9856101caa0021eac3@inbound.aiesec.org</t>
  </si>
  <si>
    <t>2023-02-06T08:16:32Z</t>
  </si>
  <si>
    <t>5186024_1284312</t>
  </si>
  <si>
    <t>Ayşe Aleyna Toprak</t>
  </si>
  <si>
    <t>p_1e3f865c9870a48066d71d0d0754ca838f312b5f@inbound.aiesec.org</t>
  </si>
  <si>
    <t>2023-02-05T19:23:39Z</t>
  </si>
  <si>
    <t>5186025_1284312</t>
  </si>
  <si>
    <t>Hacer Gül AKPUNAR</t>
  </si>
  <si>
    <t>p_e1e0664b2e867a103990b87ef817f7db54d66288@inbound.aiesec.org</t>
  </si>
  <si>
    <t>2023-02-05T19:27:17Z</t>
  </si>
  <si>
    <t>5184467_1287966</t>
  </si>
  <si>
    <t>Yulia Nicheporuk</t>
  </si>
  <si>
    <t>p_b6ceb8a6eff67a6c1fa60c459f7486ad22f83b98@inbound.aiesec.org</t>
  </si>
  <si>
    <t xml:space="preserve"> Uzhhorod </t>
  </si>
  <si>
    <t>2023-02-02T20:18:58Z</t>
  </si>
  <si>
    <t>5182009_1289505</t>
  </si>
  <si>
    <t>Arij Zaied</t>
  </si>
  <si>
    <t>p_a72453e751c77bc1cd37cefccfa21cfca9207af4@inbound.aiesec.org</t>
  </si>
  <si>
    <t>2023-01-29T17:30:11Z</t>
  </si>
  <si>
    <t>5176331_1259891</t>
  </si>
  <si>
    <t>salma anwar</t>
  </si>
  <si>
    <t>p_62b022877c065270667c6d8e114b41fd06d19a85@inbound.aiesec.org</t>
  </si>
  <si>
    <t>https://expa.aiesec.org/opportunities/1259891</t>
  </si>
  <si>
    <t>English Teacher at English Time</t>
  </si>
  <si>
    <t>MIU University</t>
  </si>
  <si>
    <t>2023-01-13T19:16:46Z</t>
  </si>
  <si>
    <t>5188655_1281236</t>
  </si>
  <si>
    <t>Furkan İbrahimağaoğlu</t>
  </si>
  <si>
    <t>p_143bccb4dbce36055b620974367757b8a9cfc2ec@inbound.aiesec.org</t>
  </si>
  <si>
    <t>2023-02-10T12:31:03Z</t>
  </si>
  <si>
    <t>5189146_1286228</t>
  </si>
  <si>
    <t>Ghofrane souilem</t>
  </si>
  <si>
    <t>p_08ca4877444e0c9ad332b904b03bc9a271ba12c0@inbound.aiesec.org</t>
  </si>
  <si>
    <t>2023-02-11T09:03:03Z</t>
  </si>
  <si>
    <t>5188861_1284501</t>
  </si>
  <si>
    <t>Lorena Romero</t>
  </si>
  <si>
    <t>p_b691b7e1fd6f60a9cc77ab3a9c4b54d7f4ebf793@inbound.aiesec.org</t>
  </si>
  <si>
    <t>Panama</t>
  </si>
  <si>
    <t>UTP</t>
  </si>
  <si>
    <t>https://expa.aiesec.org/opportunities/1284501</t>
  </si>
  <si>
    <t>2023-02-10T19:04:02Z</t>
  </si>
  <si>
    <t>4593037_1289596</t>
  </si>
  <si>
    <t>Sohila Hassan</t>
  </si>
  <si>
    <t>p_babc5eaa32dd5687b5a61b9178291f26ca13d8db@inbound.aiesec.org</t>
  </si>
  <si>
    <t>Other Universities in Alexandria</t>
  </si>
  <si>
    <t>2021-03-25T12:22:59Z</t>
  </si>
  <si>
    <t>5187606_1291340</t>
  </si>
  <si>
    <t>Recep Oğuzhan Şenoğlu</t>
  </si>
  <si>
    <t>p_b934a8803e6bbbaefc4a64b83dd60a73d0f375d2@inbound.aiesec.org</t>
  </si>
  <si>
    <t>https://expa.aiesec.org/opportunities/1291340</t>
  </si>
  <si>
    <t>Flutter Instructor | Alexandria</t>
  </si>
  <si>
    <t>2023-02-08T20:41:00Z</t>
  </si>
  <si>
    <t>5173579_1289528</t>
  </si>
  <si>
    <t>Gizem Nur Orman</t>
  </si>
  <si>
    <t>p_c4cb057febf859054c23bc998f6e650784b9c5e5@inbound.aiesec.org</t>
  </si>
  <si>
    <t>https://expa.aiesec.org/opportunities/1289528</t>
  </si>
  <si>
    <t>2023-01-06T03:54:30Z</t>
  </si>
  <si>
    <t>5184070_1292058</t>
  </si>
  <si>
    <t>OUMAYMA CHAGHMOUM</t>
  </si>
  <si>
    <t>p_97a6f978d249d319ece30341fc37df187e5d404e@inbound.aiesec.org</t>
  </si>
  <si>
    <t>https://expa.aiesec.org/opportunities/1292058</t>
  </si>
  <si>
    <t>Side Food Baharat | Marketing Specialist</t>
  </si>
  <si>
    <t>2023-02-02T12:08:39Z</t>
  </si>
  <si>
    <t>5186783_1291254</t>
  </si>
  <si>
    <t>Giulia Sorrentino</t>
  </si>
  <si>
    <t>p_baf7d694581911c47710f35cb2f882cf985c627a@inbound.aiesec.org</t>
  </si>
  <si>
    <t>Roma Sapienza</t>
  </si>
  <si>
    <t>https://expa.aiesec.org/opportunities/1291254</t>
  </si>
  <si>
    <t>2023-02-07T13:13:58Z</t>
  </si>
  <si>
    <t>5185070_1291167</t>
  </si>
  <si>
    <t>Betül Aladağ</t>
  </si>
  <si>
    <t>p_3b343c6fabd15b4f723f54f212674ad34f733fe7@inbound.aiesec.org</t>
  </si>
  <si>
    <t>https://expa.aiesec.org/opportunities/1291167</t>
  </si>
  <si>
    <t>2023-02-03T17:40:31Z</t>
  </si>
  <si>
    <t>5190777_1284976</t>
  </si>
  <si>
    <t>abdelrahman Elsharkawy</t>
  </si>
  <si>
    <t>p_95d1918981897353b8cb800206b24d9eebeb935b@inbound.aiesec.org</t>
  </si>
  <si>
    <t>2023-02-14T17:26:35Z</t>
  </si>
  <si>
    <t>5190602_1289255</t>
  </si>
  <si>
    <t>Mouadh Nemri</t>
  </si>
  <si>
    <t>p_c82f30aae42d2f077c45fcd5c5e0257f642adc2f@inbound.aiesec.org</t>
  </si>
  <si>
    <t>2023-02-14T13:18:22Z</t>
  </si>
  <si>
    <t>5190170_1286228</t>
  </si>
  <si>
    <t>Belkhouja Yosr</t>
  </si>
  <si>
    <t>p_76fbb9f9538545f2382e6b65ec4eeeda00274cbc@inbound.aiesec.org</t>
  </si>
  <si>
    <t>2023-02-13T17:26:04Z</t>
  </si>
  <si>
    <t>3852028_1292343</t>
  </si>
  <si>
    <t>doga barbaros</t>
  </si>
  <si>
    <t>p_1861145b363ffd7b7e63179daf000e394eef55e5@inbound.aiesec.org</t>
  </si>
  <si>
    <t>https://expa.aiesec.org/opportunities/1292343</t>
  </si>
  <si>
    <t>2019-09-24T18:14:26Z</t>
  </si>
  <si>
    <t>5187588_1291304</t>
  </si>
  <si>
    <t>Yana Horban</t>
  </si>
  <si>
    <t>p_0c4f071f7372536354f5d8bcc4d718eb54649615@inbound.aiesec.org</t>
  </si>
  <si>
    <t>2023-02-08T19:58:54Z</t>
  </si>
  <si>
    <t>5185874_1291551</t>
  </si>
  <si>
    <t>Ayberk Köklü</t>
  </si>
  <si>
    <t>p_cb875c279a83c1770796b9c1c79c33dcaf0bcb55@inbound.aiesec.org</t>
  </si>
  <si>
    <t>2023-02-05T14:13:06Z</t>
  </si>
  <si>
    <t>3292302_1286839</t>
  </si>
  <si>
    <t>Chatal Safa</t>
  </si>
  <si>
    <t>p_3431de37e098e3613d28118f6454bf19b64c2e5b@inbound.aiesec.org</t>
  </si>
  <si>
    <t>2019-04-02T19:05:43Z</t>
  </si>
  <si>
    <t>5155960_1292118</t>
  </si>
  <si>
    <t>Malak Najah</t>
  </si>
  <si>
    <t>p_6541ec155bd349112ed11ee6d3b9d43cce8efc2d@inbound.aiesec.org</t>
  </si>
  <si>
    <t>2022-11-19T23:53:45Z</t>
  </si>
  <si>
    <t>5185644_1291663</t>
  </si>
  <si>
    <t>ryadh hani</t>
  </si>
  <si>
    <t>p_07cc2f80066c9e9278cac3d28f7c16d4f176fb25@inbound.aiesec.org</t>
  </si>
  <si>
    <t>https://expa.aiesec.org/opportunities/1291663</t>
  </si>
  <si>
    <t>Video Editor</t>
  </si>
  <si>
    <t>2023-02-04T19:47:30Z</t>
  </si>
  <si>
    <t>5163333_1291606</t>
  </si>
  <si>
    <t>Summer K.</t>
  </si>
  <si>
    <t>p_fe3a4973cf2ecf0b6340f3e630e1fe4590b2b10d@inbound.aiesec.org</t>
  </si>
  <si>
    <t>https://expa.aiesec.org/opportunities/1291606</t>
  </si>
  <si>
    <t>New Mansoura University</t>
  </si>
  <si>
    <t>2022-12-06T14:04:02Z</t>
  </si>
  <si>
    <t>5077944_1290642</t>
  </si>
  <si>
    <t>Simay Şen</t>
  </si>
  <si>
    <t>p_c10170447d5e0aa2974547af74eafdb4bd7f1846@inbound.aiesec.org</t>
  </si>
  <si>
    <t>https://expa.aiesec.org/opportunities/1290642</t>
  </si>
  <si>
    <t>2022-06-29T12:12:37Z</t>
  </si>
  <si>
    <t>5185963_1291263</t>
  </si>
  <si>
    <t>Zehra Öztürk</t>
  </si>
  <si>
    <t>p_abdfcc3b5f9471ef9a58a1aa931c1eaf4b79edc5@inbound.aiesec.org</t>
  </si>
  <si>
    <t>https://expa.aiesec.org/opportunities/1291263</t>
  </si>
  <si>
    <t>2023-02-05T16:42:14Z</t>
  </si>
  <si>
    <t>5185745_1283288</t>
  </si>
  <si>
    <t>Amine Bouiri</t>
  </si>
  <si>
    <t>p_45dfe13f5a8c19d746151e22933661c31fcb0883@inbound.aiesec.org</t>
  </si>
  <si>
    <t>2023-02-05T06:46:36Z</t>
  </si>
  <si>
    <t>5158562_1284976</t>
  </si>
  <si>
    <t>Syed Mustafa Ali</t>
  </si>
  <si>
    <t>p_b24a3e312975be682d55660fa80de65554b7efce@inbound.aiesec.org</t>
  </si>
  <si>
    <t>Islamabad - Air University</t>
  </si>
  <si>
    <t>2022-11-25T01:55:21Z</t>
  </si>
  <si>
    <t>5176807_1290323</t>
  </si>
  <si>
    <t>ADEL GECE DEMIR</t>
  </si>
  <si>
    <t>p_c8a8ec303c40fb6ad54d9dfb63a655e1a2a8f43a@inbound.aiesec.org</t>
  </si>
  <si>
    <t>https://expa.aiesec.org/opportunities/1290323</t>
  </si>
  <si>
    <t>2023-01-15T16:04:09Z</t>
  </si>
  <si>
    <t>5191932_1286751</t>
  </si>
  <si>
    <t>cyrine ben cheikh mohamed</t>
  </si>
  <si>
    <t>p_5b5245421a1166bef680df63fd23c5ffc8bb47c8@inbound.aiesec.org</t>
  </si>
  <si>
    <t>https://expa.aiesec.org/opportunities/1286751</t>
  </si>
  <si>
    <t>2023-02-16T08:53:04Z</t>
  </si>
  <si>
    <t>5191232_1292399</t>
  </si>
  <si>
    <t>Zehra Avcı</t>
  </si>
  <si>
    <t>p_4b8db0497cebd7dc7d8b75467938bf043d24b649@inbound.aiesec.org</t>
  </si>
  <si>
    <t>https://expa.aiesec.org/opportunities/1292399</t>
  </si>
  <si>
    <t>2023-02-15T10:40:56Z</t>
  </si>
  <si>
    <t>4986079_1291232</t>
  </si>
  <si>
    <t>Ana Furtado</t>
  </si>
  <si>
    <t>p_378284b658edef4f5970148e93e5e510a55db0d8@inbound.aiesec.org</t>
  </si>
  <si>
    <t>https://expa.aiesec.org/opportunities/1291232</t>
  </si>
  <si>
    <t>2022-03-15T23:16:11Z</t>
  </si>
  <si>
    <t>5184385_1289257</t>
  </si>
  <si>
    <t>fatmagul kolcu</t>
  </si>
  <si>
    <t>p_2ae31354b93b10ab3f64fed3d510822f9ab3ad37@inbound.aiesec.org</t>
  </si>
  <si>
    <t>https://expa.aiesec.org/opportunities/1289257</t>
  </si>
  <si>
    <t>2023-02-02T18:34:05Z</t>
  </si>
  <si>
    <t>3943555_1279126</t>
  </si>
  <si>
    <t>Anjali Mariavilasm</t>
  </si>
  <si>
    <t>p_521ce11f9c770a12d1998a9fc5b356c7c7a8b7ea@inbound.aiesec.org</t>
  </si>
  <si>
    <t>VIENNA UV</t>
  </si>
  <si>
    <t>AHS/BHS Wien</t>
  </si>
  <si>
    <t>2019-11-01T21:16:48Z</t>
  </si>
  <si>
    <t>5192807_1288609</t>
  </si>
  <si>
    <t>Begüm Ece Elçekin</t>
  </si>
  <si>
    <t>p_c10256d61dcd125fee0718967a5d3988445a64bf@inbound.aiesec.org</t>
  </si>
  <si>
    <t xml:space="preserve"> 552 505 41 35</t>
  </si>
  <si>
    <t>2023-02-17T10:19:30Z</t>
  </si>
  <si>
    <t>4695922_1292473</t>
  </si>
  <si>
    <t>deleted 4695922</t>
  </si>
  <si>
    <t>p_d41e7f5157595cc6c90d9fa5bacfc925a73cfda1@inbound.aiesec.org</t>
  </si>
  <si>
    <t>https://expa.aiesec.org/opportunities/1292473</t>
  </si>
  <si>
    <t>English Teacher in Kindergarden</t>
  </si>
  <si>
    <t>2021-07-23T18:06:24Z</t>
  </si>
  <si>
    <t>5191564_1287856</t>
  </si>
  <si>
    <t>p_2c51d1453b29becb28b67d5301ac4677288c2f04@inbound.aiesec.org</t>
  </si>
  <si>
    <t>КНУ (факультет КЭФ, Международных Отношений, Лингвистики или Юриспруденции)</t>
  </si>
  <si>
    <t>2023-02-15T18:30:38Z</t>
  </si>
  <si>
    <t>5145339_1288970</t>
  </si>
  <si>
    <t>Hadil Lahbib</t>
  </si>
  <si>
    <t>p_507f599c13eb0065d2f100c37ef4fc6de8387cf0@inbound.aiesec.org</t>
  </si>
  <si>
    <t>2022-11-02T17:57:37Z</t>
  </si>
  <si>
    <t>5065478_1286585</t>
  </si>
  <si>
    <t>Aslı Filizkıran</t>
  </si>
  <si>
    <t>p_c989d84f89a75df8ceec430d59d4921c4c5d2586@inbound.aiesec.org</t>
  </si>
  <si>
    <t>2022-05-28T21:44:12Z</t>
  </si>
  <si>
    <t>5142036_1292124</t>
  </si>
  <si>
    <t>https://expa.aiesec.org/opportunities/1292124</t>
  </si>
  <si>
    <t>English Teacher in Çocuk Sarayı Kindergarden</t>
  </si>
  <si>
    <t>5154990_1292157</t>
  </si>
  <si>
    <t>Maryem Nefzi</t>
  </si>
  <si>
    <t>p_91d27acd55ff659b71ec3be327288d1c0df078ac@inbound.aiesec.org</t>
  </si>
  <si>
    <t>https://expa.aiesec.org/opportunities/1292157</t>
  </si>
  <si>
    <t>IPEIB</t>
  </si>
  <si>
    <t>2022-11-17T19:05:57Z</t>
  </si>
  <si>
    <t>5186471_1291336</t>
  </si>
  <si>
    <t>Mohamed Hisham .</t>
  </si>
  <si>
    <t>p_a50319e65564c56880e45259417ddfec950067a0@inbound.aiesec.org</t>
  </si>
  <si>
    <t>https://expa.aiesec.org/opportunities/1291336</t>
  </si>
  <si>
    <t>2023-02-06T20:12:46Z</t>
  </si>
  <si>
    <t>5192091_1287243</t>
  </si>
  <si>
    <t>Bengisu Susar</t>
  </si>
  <si>
    <t>p_ada220926ca41feb322042bd279a9d4d10fa51ab@inbound.aiesec.org</t>
  </si>
  <si>
    <t>+905527963478</t>
  </si>
  <si>
    <t>2023-02-16T12:30:27Z</t>
  </si>
  <si>
    <t>5190576_1288970</t>
  </si>
  <si>
    <t>Madiha Jawed</t>
  </si>
  <si>
    <t>p_508445d4fdb8ec0fcf2599652373a80ceabdc6d8@inbound.aiesec.org</t>
  </si>
  <si>
    <t>2023-02-14T12:23:39Z</t>
  </si>
  <si>
    <t>3913429_1288813</t>
  </si>
  <si>
    <t>djoudi walid</t>
  </si>
  <si>
    <t>p_d035599643f0d6995a53da084d649aee1c324979@inbound.aiesec.org</t>
  </si>
  <si>
    <t>2019-10-21T22:11:09Z</t>
  </si>
  <si>
    <t>5189811_1286920</t>
  </si>
  <si>
    <t>Oumayma Benrhouma</t>
  </si>
  <si>
    <t>p_17d86c6ff422b1d19288920c431e4b47bea91142@inbound.aiesec.org</t>
  </si>
  <si>
    <t>2023-02-12T22:16:30Z</t>
  </si>
  <si>
    <t>5189397_1291605</t>
  </si>
  <si>
    <t>deleted 5189397</t>
  </si>
  <si>
    <t>p_3077c571d6182c07382bf23810113405dad0f2e9@inbound.aiesec.org</t>
  </si>
  <si>
    <t>Finland</t>
  </si>
  <si>
    <t>Oulu</t>
  </si>
  <si>
    <t>https://expa.aiesec.org/opportunities/1291605</t>
  </si>
  <si>
    <t>2023-02-11T22:23:18Z</t>
  </si>
  <si>
    <t>3945172_1286920</t>
  </si>
  <si>
    <t>Hassan Kamran</t>
  </si>
  <si>
    <t>p_71853ba91780bfc05d49c3a8db4be43acf142d7b@inbound.aiesec.org</t>
  </si>
  <si>
    <t>2019-11-02T14:42:54Z</t>
  </si>
  <si>
    <t>5175286_1272564</t>
  </si>
  <si>
    <t>Sara Esteves</t>
  </si>
  <si>
    <t>p_6dfebff01fd3ded96bcc32289e1e1970ecd877f4@inbound.aiesec.org</t>
  </si>
  <si>
    <t>2023-01-10T22:54:53Z</t>
  </si>
  <si>
    <t>5182435_1288843</t>
  </si>
  <si>
    <t>Beril Uray</t>
  </si>
  <si>
    <t>p_2a343832702d2723b1d5619bf2e0d8eef9483972@inbound.aiesec.org</t>
  </si>
  <si>
    <t>2023-01-30T19:59:28Z</t>
  </si>
  <si>
    <t>5166136_1291585</t>
  </si>
  <si>
    <t>Anamaria Tudose</t>
  </si>
  <si>
    <t>p_aa2316e8fe23f43cc3cecc55d4034bd885eaaa70@inbound.aiesec.org</t>
  </si>
  <si>
    <t>2022-12-14T13:49:22Z</t>
  </si>
  <si>
    <t>5188015_1279126</t>
  </si>
  <si>
    <t>Camilla Birsa</t>
  </si>
  <si>
    <t>p_286d28497a94bb7a68ad572171ac3c787d74ceda@inbound.aiesec.org</t>
  </si>
  <si>
    <t>+393200532805</t>
  </si>
  <si>
    <t>Milano - Bocconi, Cattolica, Bicocca, Politecnico e altre università</t>
  </si>
  <si>
    <t>2023-02-09T11:52:08Z</t>
  </si>
  <si>
    <t>4923903_1289536</t>
  </si>
  <si>
    <t>Priscah Kanyi</t>
  </si>
  <si>
    <t>p_01eeeb5f310ba89f4dcf1a9b59654ba0f0d29c87@inbound.aiesec.org</t>
  </si>
  <si>
    <t>JKUAT</t>
  </si>
  <si>
    <t>Jomo Kenyatta University of Agriculture and Technology</t>
  </si>
  <si>
    <t>2022-02-11T09:49:59Z</t>
  </si>
  <si>
    <t>5195910_1291819</t>
  </si>
  <si>
    <t>p_5d420ce3e13b3c93b551fe561b1031e0bedce6eb@inbound.aiesec.org</t>
  </si>
  <si>
    <t>2023-02-21T13:01:47Z</t>
  </si>
  <si>
    <t>5194045_1290134</t>
  </si>
  <si>
    <t>Sakine Davulcu</t>
  </si>
  <si>
    <t>p_8be9283afd2c0eb1271fb4239c5ad241f50a0d50@inbound.aiesec.org</t>
  </si>
  <si>
    <t>2023-02-18T15:40:53Z</t>
  </si>
  <si>
    <t>5181594_1283483</t>
  </si>
  <si>
    <t>Svitlana Bohonos</t>
  </si>
  <si>
    <t>p_be6ac74ffd283414e9eab6a8651ee2737e722a0e@inbound.aiesec.org</t>
  </si>
  <si>
    <t>Odesa</t>
  </si>
  <si>
    <t>2023-01-28T12:30:10Z</t>
  </si>
  <si>
    <t>5190756_1288245</t>
  </si>
  <si>
    <t>moiz butt</t>
  </si>
  <si>
    <t>p_367bc764990fe0771251f49b511b087715cdab20@inbound.aiesec.org</t>
  </si>
  <si>
    <t>2023-02-14T17:02:36Z</t>
  </si>
  <si>
    <t>5190241_1286751</t>
  </si>
  <si>
    <t>Eisha Tir Razia</t>
  </si>
  <si>
    <t>p_dbaac911dbc8873a3ee4d0193cb99093cfe17da8@inbound.aiesec.org</t>
  </si>
  <si>
    <t>2023-02-13T18:37:46Z</t>
  </si>
  <si>
    <t>4576004_1286751</t>
  </si>
  <si>
    <t>Haris Subhani</t>
  </si>
  <si>
    <t>p_80c7069baea4d0fe62e47c8040bd3ce819139b0a@inbound.aiesec.org</t>
  </si>
  <si>
    <t>2021-03-12T12:19:17Z</t>
  </si>
  <si>
    <t>1512948_1288813</t>
  </si>
  <si>
    <t>Yamna Kawtar Haoussine</t>
  </si>
  <si>
    <t>p_2987732070ccc9f5b959698cc1204c9da3b1e938@inbound.aiesec.org</t>
  </si>
  <si>
    <t>2017-04-18T22:33:34Z</t>
  </si>
  <si>
    <t>5184328_1292342</t>
  </si>
  <si>
    <t>Ezgi Beydilli</t>
  </si>
  <si>
    <t>p_12aeeca495903564a4153dc7e2a5f7cb4d8ff548@inbound.aiesec.org</t>
  </si>
  <si>
    <t>https://expa.aiesec.org/opportunities/1292342</t>
  </si>
  <si>
    <t>2023-02-02T17:09:38Z</t>
  </si>
  <si>
    <t>5181330_1288280</t>
  </si>
  <si>
    <t>Viktoriia Honchar</t>
  </si>
  <si>
    <t>p_623cd2cc4971b45734724d9f35b2f1b2177ebf65@inbound.aiesec.org</t>
  </si>
  <si>
    <t xml:space="preserve">Lviv </t>
  </si>
  <si>
    <t>2023-01-27T16:23:12Z</t>
  </si>
  <si>
    <t>5196638_1291819</t>
  </si>
  <si>
    <t>p_fdf93596b9ff1b0645ef1e042ddf7e104b8b28c0@inbound.aiesec.org</t>
  </si>
  <si>
    <t>2023-02-22T13:09:01Z</t>
  </si>
  <si>
    <t>5196628_1291819</t>
  </si>
  <si>
    <t>Rümeysa Kazdal</t>
  </si>
  <si>
    <t>p_92921bc86735999b8a32324072a1cbbcb2b282a0@inbound.aiesec.org</t>
  </si>
  <si>
    <t>2023-02-22T12:49:07Z</t>
  </si>
  <si>
    <t>5072323_1289985</t>
  </si>
  <si>
    <t>ELİF TEZGEL</t>
  </si>
  <si>
    <t>p_25deac57555de63670cf00e838e91e3d925f75fe@inbound.aiesec.org</t>
  </si>
  <si>
    <t>2022-06-14T11:27:11Z</t>
  </si>
  <si>
    <t>4623036_1289985</t>
  </si>
  <si>
    <t>5168047_1289215</t>
  </si>
  <si>
    <t>Bahadir Unsal</t>
  </si>
  <si>
    <t>p_f23f455e89581289da0d05605dcab4b4d1dcaec6@inbound.aiesec.org</t>
  </si>
  <si>
    <t>2022-12-19T20:49:10Z</t>
  </si>
  <si>
    <t>4971024_1285085</t>
  </si>
  <si>
    <t>Ece Şükriye Gürsoy</t>
  </si>
  <si>
    <t>p_2a9f07fd3874cffc1629f23cd6d94f848884fe71@inbound.aiesec.org</t>
  </si>
  <si>
    <t>https://expa.aiesec.org/opportunities/1285085</t>
  </si>
  <si>
    <t>EDIRNE</t>
  </si>
  <si>
    <t>2022-03-08T10:51:51Z</t>
  </si>
  <si>
    <t>5193606_1289709</t>
  </si>
  <si>
    <t>Duru Hayat Kılınçkaya</t>
  </si>
  <si>
    <t>p_06b659afc5f9e221c7aed187a458887c403ba71a@inbound.aiesec.org</t>
  </si>
  <si>
    <t>https://expa.aiesec.org/opportunities/1289709</t>
  </si>
  <si>
    <t>2023-02-18T07:53:21Z</t>
  </si>
  <si>
    <t>5157773_1292361</t>
  </si>
  <si>
    <t>https://expa.aiesec.org/opportunities/1292361</t>
  </si>
  <si>
    <t>Customer Service Support</t>
  </si>
  <si>
    <t>5168535_1291254</t>
  </si>
  <si>
    <t>Laura ZARA</t>
  </si>
  <si>
    <t>p_f36ae088f37af5201289b412b591ed79ea30c0b7@inbound.aiesec.org</t>
  </si>
  <si>
    <t>2022-12-20T22:49:17Z</t>
  </si>
  <si>
    <t>5182731_1289985</t>
  </si>
  <si>
    <t>Neslihan Uslu</t>
  </si>
  <si>
    <t>p_4539c0f46f2c763576f9e3dedc6267c1bc11445a@inbound.aiesec.org</t>
  </si>
  <si>
    <t>2023-01-31T10:59:45Z</t>
  </si>
  <si>
    <t>5192813_1286920</t>
  </si>
  <si>
    <t>Ola Hossam</t>
  </si>
  <si>
    <t>p_015489749ab88a0b22a15bcb6e7b52075331bc1c@inbound.aiesec.org</t>
  </si>
  <si>
    <t>2023-02-17T10:35:02Z</t>
  </si>
  <si>
    <t>5193305_1288970</t>
  </si>
  <si>
    <t>Aqsa Sharif</t>
  </si>
  <si>
    <t>p_0147bf92937a1162ebb690f4ba081e0f2637f2d3@inbound.aiesec.org</t>
  </si>
  <si>
    <t xml:space="preserve">Karachi - SZABIST </t>
  </si>
  <si>
    <t>2023-02-17T19:49:57Z</t>
  </si>
  <si>
    <t>2971302_1292528</t>
  </si>
  <si>
    <t>ceren meltem</t>
  </si>
  <si>
    <t>p_e3f7ec7f12885e989c66c6dcd7e7f8e8993e17bb@inbound.aiesec.org</t>
  </si>
  <si>
    <t>https://expa.aiesec.org/opportunities/1292528</t>
  </si>
  <si>
    <t>2018-12-11T21:44:18Z</t>
  </si>
  <si>
    <t>5184324_1292557</t>
  </si>
  <si>
    <t>Aeman Nisa</t>
  </si>
  <si>
    <t>p_a5522a67580b0d2279d647fc9acd09ba4c0420ef@inbound.aiesec.org</t>
  </si>
  <si>
    <t>https://expa.aiesec.org/opportunities/1292557</t>
  </si>
  <si>
    <t>2023-02-02T17:02:13Z</t>
  </si>
  <si>
    <t>5167577_1292535</t>
  </si>
  <si>
    <t>Gulzat Bolat</t>
  </si>
  <si>
    <t>p_82af10b7221cb718010c174bae165b74a3de3d05@inbound.aiesec.org</t>
  </si>
  <si>
    <t>https://expa.aiesec.org/opportunities/1292535</t>
  </si>
  <si>
    <t>2022-12-18T19:16:21Z</t>
  </si>
  <si>
    <t>4816287_1281195</t>
  </si>
  <si>
    <t>5179986_1287987</t>
  </si>
  <si>
    <t>Şebnem Turan</t>
  </si>
  <si>
    <t>p_d5aa9e0de30dac901dcf5ffe64eaca839ce03adc@inbound.aiesec.org</t>
  </si>
  <si>
    <t>2023-01-24T11:34:21Z</t>
  </si>
  <si>
    <t>5175295_1278298</t>
  </si>
  <si>
    <t>Nour el imen Lazaar</t>
  </si>
  <si>
    <t>p_4b2b814d607e7eaa66861594b809517fdc207e8d@inbound.aiesec.org</t>
  </si>
  <si>
    <t>2023-01-10T23:22:48Z</t>
  </si>
  <si>
    <t>5194151_1291929</t>
  </si>
  <si>
    <t>Omar Amer</t>
  </si>
  <si>
    <t>p_3804e659baa1cee813ed6cdd0aad200f68151247@inbound.aiesec.org</t>
  </si>
  <si>
    <t>https://expa.aiesec.org/opportunities/1291929</t>
  </si>
  <si>
    <t>2023-02-18T17:32:06Z</t>
  </si>
  <si>
    <t>3838998_1284831</t>
  </si>
  <si>
    <t>Gehad Sami</t>
  </si>
  <si>
    <t>p_c6a828f18deed0c92aadb97a40bde40dc853370d@inbound.aiesec.org</t>
  </si>
  <si>
    <t>2019-09-18T11:12:48Z</t>
  </si>
  <si>
    <t>5198932_1286920</t>
  </si>
  <si>
    <t>nixshan paramasivam</t>
  </si>
  <si>
    <t>p_5dcc89829fd7a427501a57fac204f9a331bc417b@inbound.aiesec.org</t>
  </si>
  <si>
    <t>British College of Applied studies (BCAS)- Mount Campus</t>
  </si>
  <si>
    <t>2023-02-25T12:52:44Z</t>
  </si>
  <si>
    <t>5197794_1292557</t>
  </si>
  <si>
    <t>Aya Abozaid</t>
  </si>
  <si>
    <t>p_3cb90fcbe48b71dd00eaa7162133b50d94dd1787@inbound.aiesec.org</t>
  </si>
  <si>
    <t>2023-02-23T19:07:34Z</t>
  </si>
  <si>
    <t>5196695_1281901</t>
  </si>
  <si>
    <t>hilal melek pehlivanoğlu</t>
  </si>
  <si>
    <t>p_b4b59231d05fac8a98453c3536c1aba0f03964d5@inbound.aiesec.org</t>
  </si>
  <si>
    <t>2023-02-22T14:06:14Z</t>
  </si>
  <si>
    <t>5154638_1287662</t>
  </si>
  <si>
    <t>Oussema Mefteh</t>
  </si>
  <si>
    <t>p_a6459fa9af733d279ebd132a60da765065fb3e10@inbound.aiesec.org</t>
  </si>
  <si>
    <t>2022-11-17T11:18:28Z</t>
  </si>
  <si>
    <t>5194987_1290643</t>
  </si>
  <si>
    <t>Aleyna Nur Bakar</t>
  </si>
  <si>
    <t>p_af4d301126a813eddefeadde21c7a6c0b015fbb7@inbound.aiesec.org</t>
  </si>
  <si>
    <t>https://expa.aiesec.org/opportunities/1290643</t>
  </si>
  <si>
    <t>Operations Supervisor</t>
  </si>
  <si>
    <t>2023-02-20T10:14:52Z</t>
  </si>
  <si>
    <t>5190081_1289246</t>
  </si>
  <si>
    <t>Galad Ahmed Elmi</t>
  </si>
  <si>
    <t>p_ff8974300e00b943712791045b8d89a76eea1f97@inbound.aiesec.org</t>
  </si>
  <si>
    <t>FORTALEZA</t>
  </si>
  <si>
    <t>https://expa.aiesec.org/opportunities/1289246</t>
  </si>
  <si>
    <t>2023-02-13T13:58:51Z</t>
  </si>
  <si>
    <t>5185696_1292549</t>
  </si>
  <si>
    <t>Ozan Barışer</t>
  </si>
  <si>
    <t>p_5c3106eb2b174e4a477534ced5e268c4a9d0abba@inbound.aiesec.org</t>
  </si>
  <si>
    <t>https://expa.aiesec.org/opportunities/1292549</t>
  </si>
  <si>
    <t>2023-02-04T23:52:11Z</t>
  </si>
  <si>
    <t>4906008_1292545</t>
  </si>
  <si>
    <t>Yassmine Farah Ben Ghorbel</t>
  </si>
  <si>
    <t>p_f5d732cfff32bfb26e30a496da6a8acf60fc2a89@inbound.aiesec.org</t>
  </si>
  <si>
    <t>https://expa.aiesec.org/opportunities/1292545</t>
  </si>
  <si>
    <t>Language teacher</t>
  </si>
  <si>
    <t>2022-01-30T23:07:05Z</t>
  </si>
  <si>
    <t>5198502_1288711</t>
  </si>
  <si>
    <t>HABIBA EL OMARY</t>
  </si>
  <si>
    <t>p_57093e6e74444cb144a1370098aded7978f17844@inbound.aiesec.org</t>
  </si>
  <si>
    <t>2023-02-24T16:05:37Z</t>
  </si>
  <si>
    <t>5199634_1292728</t>
  </si>
  <si>
    <t>Elif Ataoğuz</t>
  </si>
  <si>
    <t>p_728f65b82b2ffd2ec4085e5d6f8ba57474e14e1d@inbound.aiesec.org</t>
  </si>
  <si>
    <t>https://expa.aiesec.org/opportunities/1292728</t>
  </si>
  <si>
    <t>2023-02-26T14:18:36Z</t>
  </si>
  <si>
    <t>5198572_1284312</t>
  </si>
  <si>
    <t>Ayşe Duygu İlimdaroğlu</t>
  </si>
  <si>
    <t>p_97cb63a080d6fa00dbc7798dc2aa413887e434bd@inbound.aiesec.org</t>
  </si>
  <si>
    <t>2023-02-24T17:41:13Z</t>
  </si>
  <si>
    <t>5198688_1281195</t>
  </si>
  <si>
    <t>Allen Nsajuli</t>
  </si>
  <si>
    <t>p_d32a8c08bc2984e41c99fac1e9e3475fc92229f9@inbound.aiesec.org</t>
  </si>
  <si>
    <t>Uganda</t>
  </si>
  <si>
    <t>Makerere University Kampala</t>
  </si>
  <si>
    <t>Makerere University</t>
  </si>
  <si>
    <t>2023-02-24T21:22:10Z</t>
  </si>
  <si>
    <t>5197726_1289617</t>
  </si>
  <si>
    <t>p_0335d771105092d34b7bccd285e6944b519832a8@inbound.aiesec.org</t>
  </si>
  <si>
    <t>2023-02-23T17:37:26Z</t>
  </si>
  <si>
    <t>4649022_1291370</t>
  </si>
  <si>
    <t>Anna Weinberger</t>
  </si>
  <si>
    <t>p_07ad46a7651d7b226ff1a2a4d0906c00ab3ca24c@inbound.aiesec.org</t>
  </si>
  <si>
    <t>Russia</t>
  </si>
  <si>
    <t>ENGEC-GUAP, Saint-Petersburg</t>
  </si>
  <si>
    <t>https://expa.aiesec.org/opportunities/1291370</t>
  </si>
  <si>
    <t xml:space="preserve">Sales Manager </t>
  </si>
  <si>
    <t>2021-05-20T11:20:47Z</t>
  </si>
  <si>
    <t>5197118_1287854</t>
  </si>
  <si>
    <t>mariam wael</t>
  </si>
  <si>
    <t>p_16690a86084624e14b398a39e78fc13a1773d059@inbound.aiesec.org</t>
  </si>
  <si>
    <t>2023-02-22T21:38:18Z</t>
  </si>
  <si>
    <t>5195748_1292505</t>
  </si>
  <si>
    <t>Sadettin Fidan</t>
  </si>
  <si>
    <t>p_ce17959a7b0097973c42a8cda2c0bf83f1dcafb8@inbound.aiesec.org</t>
  </si>
  <si>
    <t>TIMISOARA</t>
  </si>
  <si>
    <t>https://expa.aiesec.org/opportunities/1292505</t>
  </si>
  <si>
    <t>Accelerate Romania- EMBEDDED SOFTWARE DEVELOPER</t>
  </si>
  <si>
    <t>2023-02-21T09:27:10Z</t>
  </si>
  <si>
    <t>4330234_1289536</t>
  </si>
  <si>
    <t>Eduardo de Paula Pazini</t>
  </si>
  <si>
    <t>p_37e8ea9e7e96dc82c8eb62623957d15a1cf5aa87@inbound.aiesec.org</t>
  </si>
  <si>
    <t>2020-07-17T18:41:38Z</t>
  </si>
  <si>
    <t>5103870_1280872</t>
  </si>
  <si>
    <t>Ahmed Maknine</t>
  </si>
  <si>
    <t>p_949a7d88c844c3c235f9ee0290fa08636a510b8e@inbound.aiesec.org</t>
  </si>
  <si>
    <t>2022-09-01T23:12:09Z</t>
  </si>
  <si>
    <t>1549285_1289536</t>
  </si>
  <si>
    <t>Victória Aparecida Oliveira Cruvinel</t>
  </si>
  <si>
    <t>p_9e3314eedf1127a7606adf2ae757582c03750f7b@inbound.aiesec.org</t>
  </si>
  <si>
    <t>2017-05-03T16:45:53Z</t>
  </si>
  <si>
    <t>5181682_1290024</t>
  </si>
  <si>
    <t>Betül Deniz Efe</t>
  </si>
  <si>
    <t>p_b7e2641f5d78c8d4a8c8622374000204c22880f5@inbound.aiesec.org</t>
  </si>
  <si>
    <t>2023-01-28T15:51:48Z</t>
  </si>
  <si>
    <t>5202850_1277333</t>
  </si>
  <si>
    <t>Souad El Euchi</t>
  </si>
  <si>
    <t>p_78a3aa7d0b57878ce93666326bf9a9fa2aea458a@inbound.aiesec.org</t>
  </si>
  <si>
    <t>23 129 944</t>
  </si>
  <si>
    <t>CentraleCom</t>
  </si>
  <si>
    <t>2023-03-01T18:24:12Z</t>
  </si>
  <si>
    <t>5179895_1291427</t>
  </si>
  <si>
    <t>nissa Ahmad</t>
  </si>
  <si>
    <t>p_2733f879b4f194c2d5e42b3900684d8294940ec1@inbound.aiesec.org</t>
  </si>
  <si>
    <t>https://expa.aiesec.org/opportunities/1291427</t>
  </si>
  <si>
    <t>2023-01-24T01:56:06Z</t>
  </si>
  <si>
    <t>5147206_1292728</t>
  </si>
  <si>
    <t>Duygu Kaya</t>
  </si>
  <si>
    <t>p_7839ba99e5e8285d773c69b8459752993d707833@inbound.aiesec.org</t>
  </si>
  <si>
    <t>2022-11-05T15:42:51Z</t>
  </si>
  <si>
    <t>5193221_1292719</t>
  </si>
  <si>
    <t>zeynep sapancı</t>
  </si>
  <si>
    <t>p_0c586fddcf8aeac7687a1094f1788eeb061fb50f@inbound.aiesec.org</t>
  </si>
  <si>
    <t>https://expa.aiesec.org/opportunities/1292719</t>
  </si>
  <si>
    <t>2023-02-17T17:34:09Z</t>
  </si>
  <si>
    <t>1102109_1287855</t>
  </si>
  <si>
    <t>Mir Anosh Anosh Bashir</t>
  </si>
  <si>
    <t>p_c87de5848b3f54156832bbc01b046829bb1b1d02@inbound.aiesec.org</t>
  </si>
  <si>
    <t>2016-08-05T10:35:45Z</t>
  </si>
  <si>
    <t>5199696_1290282</t>
  </si>
  <si>
    <t>Düşlem Menteş</t>
  </si>
  <si>
    <t>p_41feaa599a8ad82b3441374903ef1136ed44fd61@inbound.aiesec.org</t>
  </si>
  <si>
    <t>https://expa.aiesec.org/opportunities/1290282</t>
  </si>
  <si>
    <t>2023-02-26T16:00:42Z</t>
  </si>
  <si>
    <t>5180398_1292501</t>
  </si>
  <si>
    <t>Nursena Yıldız</t>
  </si>
  <si>
    <t>p_71b8e489fcb3105c83d6966b708aa25ee0e9f685@inbound.aiesec.org</t>
  </si>
  <si>
    <t>https://expa.aiesec.org/opportunities/1292501</t>
  </si>
  <si>
    <t>2023-01-25T13:02:51Z</t>
  </si>
  <si>
    <t>5179360_1292501</t>
  </si>
  <si>
    <t>Elanur Ekim</t>
  </si>
  <si>
    <t>p_a9a4a4db6593428cc94539c5ac02f588184f5aa3@inbound.aiesec.org</t>
  </si>
  <si>
    <t>2023-01-22T13:53:16Z</t>
  </si>
  <si>
    <t>5195142_1286228</t>
  </si>
  <si>
    <t>Sandra Ounais</t>
  </si>
  <si>
    <t>p_0d8ad6ab6e5b8831fed6419cd7b4e51a4655d0fb@inbound.aiesec.org</t>
  </si>
  <si>
    <t>Université Centrale Droit et Gestion</t>
  </si>
  <si>
    <t>2023-02-20T14:02:06Z</t>
  </si>
  <si>
    <t>5139260_1281344</t>
  </si>
  <si>
    <t>https://expa.aiesec.org/opportunities/1281344</t>
  </si>
  <si>
    <t>3302591_1288813</t>
  </si>
  <si>
    <t>feriel hammami</t>
  </si>
  <si>
    <t>p_8f79c4407f36a0aee9872adc56eed46beb0c7c9c@inbound.aiesec.org</t>
  </si>
  <si>
    <t>2019-04-05T20:23:38Z</t>
  </si>
  <si>
    <t>5167052_1289536</t>
  </si>
  <si>
    <t>Manal Agoumiss</t>
  </si>
  <si>
    <t>p_2ee48c0e685df844cd6a371cedd8936d7b61cc10@inbound.aiesec.org</t>
  </si>
  <si>
    <t>Other-TANGIER</t>
  </si>
  <si>
    <t>2022-12-16T21:41:31Z</t>
  </si>
  <si>
    <t>4775934_1284541</t>
  </si>
  <si>
    <t>İrem Nazlı</t>
  </si>
  <si>
    <t>p_121482106da975ad9f894908cb06b708058ce864@inbound.aiesec.org</t>
  </si>
  <si>
    <t>https://expa.aiesec.org/opportunities/1284541</t>
  </si>
  <si>
    <t>2021-10-27T15:43:37Z</t>
  </si>
  <si>
    <t>5201890_1288611</t>
  </si>
  <si>
    <t>Zeineb Hakim</t>
  </si>
  <si>
    <t>p_a0bbbad85e1809c82faa3ad5aa492f8d9941e3b8@inbound.aiesec.org</t>
  </si>
  <si>
    <t>2023-02-28T21:55:26Z</t>
  </si>
  <si>
    <t>5170333_1292818</t>
  </si>
  <si>
    <t>Zeynep Sıla Akın</t>
  </si>
  <si>
    <t>p_c53ecc1fd79e4c1c9be95433383ca5ae6f4f36db@inbound.aiesec.org</t>
  </si>
  <si>
    <t>https://expa.aiesec.org/opportunities/1292818</t>
  </si>
  <si>
    <t>2022-12-26T12:59:41Z</t>
  </si>
  <si>
    <t>5133535_1288377</t>
  </si>
  <si>
    <t>3944420_1292412</t>
  </si>
  <si>
    <t>https://expa.aiesec.org/opportunities/1292412</t>
  </si>
  <si>
    <t>5202973_1281231</t>
  </si>
  <si>
    <t>Ekrem Sert</t>
  </si>
  <si>
    <t>p_2bb099836270afe4722ceac239f68ab9908029a1@inbound.aiesec.org</t>
  </si>
  <si>
    <t>2023-03-01T20:42:51Z</t>
  </si>
  <si>
    <t>5193494_1290642</t>
  </si>
  <si>
    <t>Fatih Türken KIRTAY</t>
  </si>
  <si>
    <t>p_898fe0672ebfc85da8d1b0cd4f7a425f705e36a1@inbound.aiesec.org</t>
  </si>
  <si>
    <t>2023-02-18T01:48:27Z</t>
  </si>
  <si>
    <t>5142094_1292557</t>
  </si>
  <si>
    <t>Farah Elsahily</t>
  </si>
  <si>
    <t>p_49b8102c7eb2ec763fc11aee976b56802e203d63@inbound.aiesec.org</t>
  </si>
  <si>
    <t>Nile University</t>
  </si>
  <si>
    <t>2022-10-28T12:23:27Z</t>
  </si>
  <si>
    <t>5180183_1287985</t>
  </si>
  <si>
    <t>Hamza Alhalabi</t>
  </si>
  <si>
    <t>p_692212464c10fd7a68b65fffdaac97c12e00aefb@inbound.aiesec.org</t>
  </si>
  <si>
    <t>https://expa.aiesec.org/opportunities/1287985</t>
  </si>
  <si>
    <t>2023-01-24T20:19:20Z</t>
  </si>
  <si>
    <t>5178617_1287616</t>
  </si>
  <si>
    <t>kerem martı</t>
  </si>
  <si>
    <t>p_a28a9372accec857a404a0c96f6556aeeea9b5f6@inbound.aiesec.org</t>
  </si>
  <si>
    <t>https://expa.aiesec.org/opportunities/1287616</t>
  </si>
  <si>
    <t>2023-01-20T08:54:11Z</t>
  </si>
  <si>
    <t>5178614_1287616</t>
  </si>
  <si>
    <t>Keziban Beyza Önder</t>
  </si>
  <si>
    <t>p_0a448da082b6c1f381c401e19ef9f06e237cbc45@inbound.aiesec.org</t>
  </si>
  <si>
    <t>2023-01-20T08:44:06Z</t>
  </si>
  <si>
    <t>5174568_1284541</t>
  </si>
  <si>
    <t>5205221_1292793</t>
  </si>
  <si>
    <t>Mariem Louzi</t>
  </si>
  <si>
    <t>p_da87081dab2b1fb8fcab6b01e5df5b72b1d8f491@inbound.aiesec.org</t>
  </si>
  <si>
    <t>https://expa.aiesec.org/opportunities/1292793</t>
  </si>
  <si>
    <t>Faculté de Droit et des Sciences  Politiques de Sousse</t>
  </si>
  <si>
    <t>2023-03-04T11:13:19Z</t>
  </si>
  <si>
    <t>5204923_1287832</t>
  </si>
  <si>
    <t>Berkay Özdemir</t>
  </si>
  <si>
    <t>p_013d3ceb0adebe442237d62b6ce247d351e4d2d1@inbound.aiesec.org</t>
  </si>
  <si>
    <t>https://expa.aiesec.org/opportunities/1287832</t>
  </si>
  <si>
    <t>Teaching English for Kids in Cairo</t>
  </si>
  <si>
    <t>TEKIRDAG</t>
  </si>
  <si>
    <t>2023-03-03T19:24:10Z</t>
  </si>
  <si>
    <t>5204582_1280733</t>
  </si>
  <si>
    <t>nada alsamman</t>
  </si>
  <si>
    <t>p_e1fa441756d17c10a6654a074c756dfdd10fcd78@inbound.aiesec.org</t>
  </si>
  <si>
    <t>BME - Budapest</t>
  </si>
  <si>
    <t>Szent István Egyetem</t>
  </si>
  <si>
    <t>2023-03-03T13:10:16Z</t>
  </si>
  <si>
    <t>5203781_1287854</t>
  </si>
  <si>
    <t>enas Elsebaee</t>
  </si>
  <si>
    <t>p_66ad830ca647a2f54f495d05d8e6f75a8a2366cf@inbound.aiesec.org</t>
  </si>
  <si>
    <t>2023-03-02T15:04:17Z</t>
  </si>
  <si>
    <t>5178736_1291427</t>
  </si>
  <si>
    <t>Saadia Usman</t>
  </si>
  <si>
    <t>p_e7aa33d11bfebc111c456e09ab2b8b37f4213bfd@inbound.aiesec.org</t>
  </si>
  <si>
    <t>2023-01-20T13:00:15Z</t>
  </si>
  <si>
    <t>5174058_1291005</t>
  </si>
  <si>
    <t>Eda Cenk</t>
  </si>
  <si>
    <t>p_0c9b3184f1385044808f673d1f0a12b998d2aa08@inbound.aiesec.org</t>
  </si>
  <si>
    <t>https://expa.aiesec.org/opportunities/1291005</t>
  </si>
  <si>
    <t>KARAMAN</t>
  </si>
  <si>
    <t>2023-01-07T13:55:55Z</t>
  </si>
  <si>
    <t>5190863_1286339</t>
  </si>
  <si>
    <t>Eugene Kim</t>
  </si>
  <si>
    <t>p_ab562e43b90367b26b588e4235950591ecd7fd69@inbound.aiesec.org</t>
  </si>
  <si>
    <t>https://expa.aiesec.org/opportunities/1286339</t>
  </si>
  <si>
    <t>2023-02-14T19:34:40Z</t>
  </si>
  <si>
    <t>5191669_1289536</t>
  </si>
  <si>
    <t>salma abdellaoui</t>
  </si>
  <si>
    <t>p_ef2ba2b101bfa896478707a4d214726f6be48f66@inbound.aiesec.org</t>
  </si>
  <si>
    <t>2023-02-15T21:50:38Z</t>
  </si>
  <si>
    <t>5205772_1292535</t>
  </si>
  <si>
    <t>Maheen Umar</t>
  </si>
  <si>
    <t>p_094ea987849e3089dda1271949761dcfd10d9676@inbound.aiesec.org</t>
  </si>
  <si>
    <t>Lahore</t>
  </si>
  <si>
    <t>Lahore - Lahore School for Economics</t>
  </si>
  <si>
    <t>2023-03-04T17:22:05Z</t>
  </si>
  <si>
    <t>5199588_1291929</t>
  </si>
  <si>
    <t>Hoda Emad</t>
  </si>
  <si>
    <t>p_417d358f9ce78735a04a208da295d88f61378e4a@inbound.aiesec.org</t>
  </si>
  <si>
    <t>2023-02-26T12:52:05Z</t>
  </si>
  <si>
    <t>5204944_1291929</t>
  </si>
  <si>
    <t>Mayar Elsharnouby</t>
  </si>
  <si>
    <t>p_3dc762af8305d3240c895c76ac7c3835ea9e4359@inbound.aiesec.org</t>
  </si>
  <si>
    <t>Pharos University Alexandria</t>
  </si>
  <si>
    <t>2023-03-03T20:02:53Z</t>
  </si>
  <si>
    <t>4652779_1292535</t>
  </si>
  <si>
    <t>Maimoona Ashar</t>
  </si>
  <si>
    <t>p_779273875836a65267bf7fbb6e2dee5ec646524c@inbound.aiesec.org</t>
  </si>
  <si>
    <t>2021-05-24T18:38:14Z</t>
  </si>
  <si>
    <t>5203125_1292535</t>
  </si>
  <si>
    <t>shahroz shoaib</t>
  </si>
  <si>
    <t>p_30de6c74535a186a0db57f7cd26bddd3d9cf9ef0@inbound.aiesec.org</t>
  </si>
  <si>
    <t>2023-03-02T04:31:43Z</t>
  </si>
  <si>
    <t>5180207_1279548</t>
  </si>
  <si>
    <t>Saša Stajić</t>
  </si>
  <si>
    <t>p_f932431acd18b86d7b068a3abbc4bbca4f77021a@inbound.aiesec.org</t>
  </si>
  <si>
    <t>2023-01-24T21:42:56Z</t>
  </si>
  <si>
    <t>5175618_1291393</t>
  </si>
  <si>
    <t>Ilgın acar</t>
  </si>
  <si>
    <t>p_a8f20b71cca5eb43efc591c8206a85e6b99b32fa@inbound.aiesec.org</t>
  </si>
  <si>
    <t>https://expa.aiesec.org/opportunities/1291393</t>
  </si>
  <si>
    <t>2023-01-11T19:38:09Z</t>
  </si>
  <si>
    <t>5207165_1292695</t>
  </si>
  <si>
    <t>Nurten YULU</t>
  </si>
  <si>
    <t>p_8b714fe15c61235414fb474b2c136113ab6ff7e9@inbound.aiesec.org</t>
  </si>
  <si>
    <t>https://expa.aiesec.org/opportunities/1292695</t>
  </si>
  <si>
    <t xml:space="preserve">English teacher </t>
  </si>
  <si>
    <t>2023-03-06T09:44:37Z</t>
  </si>
  <si>
    <t>5185941_1292706</t>
  </si>
  <si>
    <t>Buse Yavuz</t>
  </si>
  <si>
    <t>p_cc2186f4c03ff65b0aa4b25e86dab02001d19af5@inbound.aiesec.org</t>
  </si>
  <si>
    <t>https://expa.aiesec.org/opportunities/1292706</t>
  </si>
  <si>
    <t>2023-02-05T15:58:35Z</t>
  </si>
  <si>
    <t>5181691_1291929</t>
  </si>
  <si>
    <t>Nada Ashraf</t>
  </si>
  <si>
    <t>p_e345399bf03cb5ebe1f5b0c7d8c3919e5ff37905@inbound.aiesec.org</t>
  </si>
  <si>
    <t>2023-01-28T16:35:41Z</t>
  </si>
  <si>
    <t>5176860_1291929</t>
  </si>
  <si>
    <t>Shrook Mohamed</t>
  </si>
  <si>
    <t>p_cba179d4f81e3a925e58f2c6e3a010f1b3fd8acc@inbound.aiesec.org</t>
  </si>
  <si>
    <t>2023-01-15T20:15:12Z</t>
  </si>
  <si>
    <t>5204804_1292535</t>
  </si>
  <si>
    <t>salma latifi</t>
  </si>
  <si>
    <t>p_47365e25521cf422bc790747d69502b7c671c87e@inbound.aiesec.org</t>
  </si>
  <si>
    <t xml:space="preserve">Beni Mellal </t>
  </si>
  <si>
    <t>FLSH Béni Mellal</t>
  </si>
  <si>
    <t>2023-03-03T16:34:11Z</t>
  </si>
  <si>
    <t>5147733_1292535</t>
  </si>
  <si>
    <t>Reem Mamdouh</t>
  </si>
  <si>
    <t>p_fa5eb0f0ac3b0ba64e9232b476a0690420e4a85b@inbound.aiesec.org</t>
  </si>
  <si>
    <t>2022-11-06T12:18:36Z</t>
  </si>
  <si>
    <t>5189322_1290826</t>
  </si>
  <si>
    <t>giovanni bianco</t>
  </si>
  <si>
    <t>p_70e1d00fcb8becd5a74d485c0b09f9efb34f090a@inbound.aiesec.org</t>
  </si>
  <si>
    <t>+39 370 334 8166</t>
  </si>
  <si>
    <t>2023-02-11T18:45:16Z</t>
  </si>
  <si>
    <t>5202735_1272564</t>
  </si>
  <si>
    <t>Violetta Tarnavska</t>
  </si>
  <si>
    <t>p_0fc06d4cdcf2524eb2fb00b315744517710b85bb@inbound.aiesec.org</t>
  </si>
  <si>
    <t>2023-03-01T16:37:19Z</t>
  </si>
  <si>
    <t>5170794_1292409</t>
  </si>
  <si>
    <t>Begüm Simsek</t>
  </si>
  <si>
    <t>p_be2c340106d2215450774af479cbe6db6f6aa6cb@inbound.aiesec.org</t>
  </si>
  <si>
    <t>https://expa.aiesec.org/opportunities/1292409</t>
  </si>
  <si>
    <t>2022-12-27T18:42:11Z</t>
  </si>
  <si>
    <t>5201179_1291235</t>
  </si>
  <si>
    <t>Elif Duru Durnabaş</t>
  </si>
  <si>
    <t>p_7c85564233335b7d821ea7d64dd5389580163d27@inbound.aiesec.org</t>
  </si>
  <si>
    <t>https://expa.aiesec.org/opportunities/1291235</t>
  </si>
  <si>
    <t>2023-02-28T12:42:23Z</t>
  </si>
  <si>
    <t>5199587_1291304</t>
  </si>
  <si>
    <t>IMANE EL HARATI</t>
  </si>
  <si>
    <t>p_45b6dcf8822f6e42ba3f77cf06110632b4479e09@inbound.aiesec.org</t>
  </si>
  <si>
    <t>Ecole Nationale Des Sciences Appliquées Kénitra (ENSAK)</t>
  </si>
  <si>
    <t>2023-02-26T12:51:05Z</t>
  </si>
  <si>
    <t>3583316_1286339</t>
  </si>
  <si>
    <t>ASLI PEKDEMIR</t>
  </si>
  <si>
    <t>p_5e74139d77b0f2bae0a8b1d023b7af93bd9a8700@inbound.aiesec.org</t>
  </si>
  <si>
    <t>2019-06-28T20:01:35Z</t>
  </si>
  <si>
    <t>5170369_1292557</t>
  </si>
  <si>
    <t>Evelina Bodrug</t>
  </si>
  <si>
    <t>p_1ae344a4b8959b9aaf5dc3d184e190fdc9aa7bde@inbound.aiesec.org</t>
  </si>
  <si>
    <t>Moldova</t>
  </si>
  <si>
    <t>CHISINAU</t>
  </si>
  <si>
    <t>ASEM - Academia de Studii Economice din Moldova</t>
  </si>
  <si>
    <t>2022-12-26T15:09:02Z</t>
  </si>
  <si>
    <t>5182820_1289167</t>
  </si>
  <si>
    <t>Furkan Yeğin</t>
  </si>
  <si>
    <t>p_c974c18972b313d71ba9ae0f4218765d76f47aca@inbound.aiesec.org</t>
  </si>
  <si>
    <t>https://expa.aiesec.org/opportunities/1289167</t>
  </si>
  <si>
    <t>Research Intern | Fluid Mechanics  | In India</t>
  </si>
  <si>
    <t>2023-01-31T14:54:36Z</t>
  </si>
  <si>
    <t>5195812_1281195</t>
  </si>
  <si>
    <t>Meerzat Zamirbek kyzy</t>
  </si>
  <si>
    <t>p_5eabd5ee10d606b4655fc72ebeb9f13d28526215@inbound.aiesec.org</t>
  </si>
  <si>
    <t>КТУ Манас (Другие факультеты)</t>
  </si>
  <si>
    <t>2023-02-21T11:02:03Z</t>
  </si>
  <si>
    <t>4234994_1292549</t>
  </si>
  <si>
    <t>Esra KIZILELMA</t>
  </si>
  <si>
    <t>p_323d7b3b7b9b1184221328441fdc266ee6304c8c@inbound.aiesec.org</t>
  </si>
  <si>
    <t>2020-03-04T20:07:47Z</t>
  </si>
  <si>
    <t>5177023_1288611</t>
  </si>
  <si>
    <t>bochra riahi</t>
  </si>
  <si>
    <t>p_7f457e9fae656991f3f09257587e2c78403de016@inbound.aiesec.org</t>
  </si>
  <si>
    <t>2023-01-16T10:50:56Z</t>
  </si>
  <si>
    <t>5184888_1283288</t>
  </si>
  <si>
    <t>Meriem Moussaoui</t>
  </si>
  <si>
    <t>p_b0d2033e953e82e961b53a905aa103331e34a060@inbound.aiesec.org</t>
  </si>
  <si>
    <t>2023-02-03T13:45:44Z</t>
  </si>
  <si>
    <t>5207415_1291254</t>
  </si>
  <si>
    <t>Nouram El Ouni</t>
  </si>
  <si>
    <t>p_3fcb98dba3772b35d80d5d5fa150e354aeca7ddd@inbound.aiesec.org</t>
  </si>
  <si>
    <t>2023-03-06T12:58:05Z</t>
  </si>
  <si>
    <t>5206253_1288609</t>
  </si>
  <si>
    <t>İpek Ecehan Tongur</t>
  </si>
  <si>
    <t>p_c14f2df374f1a3ccf085f6a7a6da6a43e2c281ec@inbound.aiesec.org</t>
  </si>
  <si>
    <t>2023-03-05T12:18:09Z</t>
  </si>
  <si>
    <t>5183912_1282593</t>
  </si>
  <si>
    <t>Tanju Mutlu</t>
  </si>
  <si>
    <t>p_4c677d8469afdd2a51feea0c0de35d0ad600b045@inbound.aiesec.org</t>
  </si>
  <si>
    <t>Tanzania</t>
  </si>
  <si>
    <t>KILIMANJARO</t>
  </si>
  <si>
    <t>https://expa.aiesec.org/opportunities/1282593</t>
  </si>
  <si>
    <t>2023-02-02T08:03:36Z</t>
  </si>
  <si>
    <t>5087717_1291881</t>
  </si>
  <si>
    <t>Shrouk Kadri</t>
  </si>
  <si>
    <t>p_ae9a2e6fb59949dd412913b21a946026c3155078@inbound.aiesec.org</t>
  </si>
  <si>
    <t>https://expa.aiesec.org/opportunities/1291881</t>
  </si>
  <si>
    <t>2022-07-31T23:16:13Z</t>
  </si>
  <si>
    <t>5145297_1292557</t>
  </si>
  <si>
    <t>Valeria Cioară</t>
  </si>
  <si>
    <t>p_6d6f6d6ff4d2d55aed92dd29f86be545be98deae@inbound.aiesec.org</t>
  </si>
  <si>
    <t>z/ Altă Opţiune \z</t>
  </si>
  <si>
    <t>2022-11-02T17:31:12Z</t>
  </si>
  <si>
    <t>5203891_1292557</t>
  </si>
  <si>
    <t>Moscvin Vlad</t>
  </si>
  <si>
    <t>p_3fa5a78e35303b76d0b95152e88cf99b2bc51b67@inbound.aiesec.org</t>
  </si>
  <si>
    <t>UTM - Universitatea Tehnică a Moldovei</t>
  </si>
  <si>
    <t>2023-03-02T16:57:13Z</t>
  </si>
  <si>
    <t>5202701_1290826</t>
  </si>
  <si>
    <t>rawa ajakkaf</t>
  </si>
  <si>
    <t>p_bb532ed12774538de956154039acea74f8939db8@inbound.aiesec.org</t>
  </si>
  <si>
    <t>2023-03-01T15:58:03Z</t>
  </si>
  <si>
    <t>5177459_1287851</t>
  </si>
  <si>
    <t>Isabelle Van Ongevalle</t>
  </si>
  <si>
    <t>p_ca78d862db3b8aa396a81906a2f1ead3fa77a61b@inbound.aiesec.org</t>
  </si>
  <si>
    <t>LEUVEN</t>
  </si>
  <si>
    <t>Leuven</t>
  </si>
  <si>
    <t>2023-01-17T11:29:25Z</t>
  </si>
  <si>
    <t>5182749_1290394</t>
  </si>
  <si>
    <t>Esma Rabia Çuhacı</t>
  </si>
  <si>
    <t>p_0bdc1ce34df5499c9654764193c8483b22d50d76@inbound.aiesec.org</t>
  </si>
  <si>
    <t>2023-01-31T12:03:35Z</t>
  </si>
  <si>
    <t>5194794_1292549</t>
  </si>
  <si>
    <t>Beyza Serim</t>
  </si>
  <si>
    <t>p_9c6d4f38f6e963ef924af0dfffe7053258d84953@inbound.aiesec.org</t>
  </si>
  <si>
    <t>2023-02-19T21:07:20Z</t>
  </si>
  <si>
    <t>5209213_1290826</t>
  </si>
  <si>
    <t>Maram Magawata</t>
  </si>
  <si>
    <t>p_ce201f9a520538778faa339accc1b0f89b6ba2ad@inbound.aiesec.org</t>
  </si>
  <si>
    <t>ESPRIT School of Business</t>
  </si>
  <si>
    <t>2023-03-08T01:01:21Z</t>
  </si>
  <si>
    <t>5204956_1291254</t>
  </si>
  <si>
    <t>yassmine jebari</t>
  </si>
  <si>
    <t>p_2df16aed46dd0b25a177f12497a3879152333f2b@inbound.aiesec.org</t>
  </si>
  <si>
    <t>2023-03-03T20:31:13Z</t>
  </si>
  <si>
    <t>5204879_1291254</t>
  </si>
  <si>
    <t>sarra ben ouhiba</t>
  </si>
  <si>
    <t>p_3b18a23aa1856faecec7851c5b2423669876dced@inbound.aiesec.org</t>
  </si>
  <si>
    <t>2023-03-03T18:19:40Z</t>
  </si>
  <si>
    <t>5126065_1288611</t>
  </si>
  <si>
    <t>chaima mathlouthi</t>
  </si>
  <si>
    <t>p_e05779aaed0acea24ca041c9ee71ffc7cc185cd6@inbound.aiesec.org</t>
  </si>
  <si>
    <t>2022-10-05T21:24:16Z</t>
  </si>
  <si>
    <t>5209005_1287851</t>
  </si>
  <si>
    <t>رانية العمدوني</t>
  </si>
  <si>
    <t>p_82df6b62d713f357c368e98639e3e6c5b9471923@inbound.aiesec.org</t>
  </si>
  <si>
    <t>2023-03-07T18:28:34Z</t>
  </si>
  <si>
    <t>5207690_1291369</t>
  </si>
  <si>
    <t>SELİN DEMİRKÖPRÜ</t>
  </si>
  <si>
    <t>p_3073af8a438630a21e19171e870e5159746bfcea@inbound.aiesec.org</t>
  </si>
  <si>
    <t>https://expa.aiesec.org/opportunities/1291369</t>
  </si>
  <si>
    <t>2023-03-06T17:21:57Z</t>
  </si>
  <si>
    <t>5207508_1288843</t>
  </si>
  <si>
    <t>Ozan Toytoğlu</t>
  </si>
  <si>
    <t>p_885f790ecafdebc95564220a5b56e10ed2a6dfa8@inbound.aiesec.org</t>
  </si>
  <si>
    <t>2023-03-06T14:12:36Z</t>
  </si>
  <si>
    <t>5206742_1272564</t>
  </si>
  <si>
    <t>Gulazia Tazhibayeva</t>
  </si>
  <si>
    <t>p_ffb01b167bb42e3baf35f28a8cc35c7d0bdc84dc@inbound.aiesec.org</t>
  </si>
  <si>
    <t>Kyzylorda</t>
  </si>
  <si>
    <t>2023-03-05T18:03:16Z</t>
  </si>
  <si>
    <t>5205882_1284312</t>
  </si>
  <si>
    <t>Rabia Yeşilyurt</t>
  </si>
  <si>
    <t>p_49e3bd010b6837a4f1e3d433818d3336b845a0e2@inbound.aiesec.org</t>
  </si>
  <si>
    <t>2023-03-04T20:06:01Z</t>
  </si>
  <si>
    <t>5211352_1284312</t>
  </si>
  <si>
    <t>Vedat Kahrıman</t>
  </si>
  <si>
    <t>p_368940c968ac667a52ca682735821772aa477b81@inbound.aiesec.org</t>
  </si>
  <si>
    <t>2023-03-09T18:28:06Z</t>
  </si>
  <si>
    <t>5210274_1290282</t>
  </si>
  <si>
    <t>Eren Helvaci</t>
  </si>
  <si>
    <t>p_ebe531e6e2b646d5a965eac773552697828f49d7@inbound.aiesec.org</t>
  </si>
  <si>
    <t>2023-03-08T19:34:09Z</t>
  </si>
  <si>
    <t>5210273_1290282</t>
  </si>
  <si>
    <t>Kagan Buyukdereli</t>
  </si>
  <si>
    <t>p_d1305479c3a45a36df69b306e058cd4a55470560@inbound.aiesec.org</t>
  </si>
  <si>
    <t>2023-03-08T19:34:05Z</t>
  </si>
  <si>
    <t>5209070_1292844</t>
  </si>
  <si>
    <t>Halime Çelik</t>
  </si>
  <si>
    <t>p_284a242d4387b39162ebe520ef0be89bb28c87ed@inbound.aiesec.org</t>
  </si>
  <si>
    <t>544 904 13 27</t>
  </si>
  <si>
    <t>https://expa.aiesec.org/opportunities/1292844</t>
  </si>
  <si>
    <t>2023-03-07T19:36:43Z</t>
  </si>
  <si>
    <t>5208795_1288843</t>
  </si>
  <si>
    <t>Arda Çırpanlı</t>
  </si>
  <si>
    <t>p_a507f2b1bb4102c4070bf118759747a405baaead@inbound.aiesec.org</t>
  </si>
  <si>
    <t>2023-03-07T15:19:09Z</t>
  </si>
  <si>
    <t>5171478_1284976</t>
  </si>
  <si>
    <t>Farah Hammami</t>
  </si>
  <si>
    <t>p_dbf31cb44dd303b0da24af2a4b935f550880db0e@inbound.aiesec.org</t>
  </si>
  <si>
    <t>2022-12-29T21:31:38Z</t>
  </si>
  <si>
    <t>5208509_1284312</t>
  </si>
  <si>
    <t>İkra Yağmur Koç</t>
  </si>
  <si>
    <t>p_937d7b509fc7ec441262b1ef344c5ce76806a21c@inbound.aiesec.org</t>
  </si>
  <si>
    <t>2023-03-07T11:31:49Z</t>
  </si>
  <si>
    <t>5208392_1292539</t>
  </si>
  <si>
    <t>Cilem kubra Esiyok</t>
  </si>
  <si>
    <t>p_9b7fcc8088a4bbef0d608d4c5c81d0f099b5a68e@inbound.aiesec.org</t>
  </si>
  <si>
    <t>https://expa.aiesec.org/opportunities/1292539</t>
  </si>
  <si>
    <t>2023-03-07T10:05:54Z</t>
  </si>
  <si>
    <t>5207352_1292535</t>
  </si>
  <si>
    <t>Farah Toumi</t>
  </si>
  <si>
    <t>p_aa52f0a56dc84b27d3ae208ba3fb998d6d45102a@inbound.aiesec.org</t>
  </si>
  <si>
    <t>2023-03-06T12:15:33Z</t>
  </si>
  <si>
    <t>5205664_1281010</t>
  </si>
  <si>
    <t>Zitouni Esra</t>
  </si>
  <si>
    <t>p_55eee4c54f817795c3b019c774144207f2a5189a@inbound.aiesec.org</t>
  </si>
  <si>
    <t>2023-03-04T16:01:03Z</t>
  </si>
  <si>
    <t>4762899_1292571</t>
  </si>
  <si>
    <t>Ceyda Gülcan</t>
  </si>
  <si>
    <t>p_c7e11ce19cd775ef1162e70e510aca72322c7df5@inbound.aiesec.org</t>
  </si>
  <si>
    <t>VILNIUS</t>
  </si>
  <si>
    <t>https://expa.aiesec.org/opportunities/1292571</t>
  </si>
  <si>
    <t>2021-10-11T20:46:12Z</t>
  </si>
  <si>
    <t>5109405_1291929</t>
  </si>
  <si>
    <t>5204056_1292706</t>
  </si>
  <si>
    <t>Dilan Yeşilkaya</t>
  </si>
  <si>
    <t>p_3fd42686c45123b652c5a19e794000dabe32e4f3@inbound.aiesec.org</t>
  </si>
  <si>
    <t>2023-03-02T20:34:08Z</t>
  </si>
  <si>
    <t>5200060_1290826</t>
  </si>
  <si>
    <t>salma boubakri</t>
  </si>
  <si>
    <t>p_6bc534a777d940ef22059809668f8e54cca51fd9@inbound.aiesec.org</t>
  </si>
  <si>
    <t>2023-02-27T09:42:28Z</t>
  </si>
  <si>
    <t>4914691_1290760</t>
  </si>
  <si>
    <t>İREM AKÇAY</t>
  </si>
  <si>
    <t>p_3ef27821886c58870e2730af16cca704d0d2d64a@inbound.aiesec.org</t>
  </si>
  <si>
    <t>https://expa.aiesec.org/opportunities/1290760</t>
  </si>
  <si>
    <t>English teacher in Cairo</t>
  </si>
  <si>
    <t>2022-02-04T11:44:51Z</t>
  </si>
  <si>
    <t>5211130_1289167</t>
  </si>
  <si>
    <t>Mehmet Cemal Cengiz</t>
  </si>
  <si>
    <t>p_b9503a06085e43efe2f3fcf08bf74700f232b19c@inbound.aiesec.org</t>
  </si>
  <si>
    <t>2023-03-09T14:07:26Z</t>
  </si>
  <si>
    <t>5209407_1281900</t>
  </si>
  <si>
    <t>Devran Demir</t>
  </si>
  <si>
    <t>p_0f3f19e3d6a02b5d65d9616112ff6aabe3f80297@inbound.aiesec.org</t>
  </si>
  <si>
    <t>https://expa.aiesec.org/opportunities/1281900</t>
  </si>
  <si>
    <t>2023-03-08T10:11:49Z</t>
  </si>
  <si>
    <t>5210334_1292844</t>
  </si>
  <si>
    <t>Esma sarıdal</t>
  </si>
  <si>
    <t>p_1f1ded92e2ea045d5e1ad7a4efe01860beb68857@inbound.aiesec.org</t>
  </si>
  <si>
    <t xml:space="preserve"> 542 681 45 89</t>
  </si>
  <si>
    <t>2023-03-08T20:35:42Z</t>
  </si>
  <si>
    <t>4580350_1291167</t>
  </si>
  <si>
    <t>Yasemin Buran</t>
  </si>
  <si>
    <t>p_7159375f0661f7486f585ebcd2754f410f83e32d@inbound.aiesec.org</t>
  </si>
  <si>
    <t>2021-03-16T09:52:37Z</t>
  </si>
  <si>
    <t>5163843_1292651</t>
  </si>
  <si>
    <t>Muhsin Karataş</t>
  </si>
  <si>
    <t>p_6173b88cec03d369457906e229a3c8f7fdef83d1@inbound.aiesec.org</t>
  </si>
  <si>
    <t>https://expa.aiesec.org/opportunities/1292651</t>
  </si>
  <si>
    <t>English Teacher for Kids</t>
  </si>
  <si>
    <t>2022-12-07T15:45:41Z</t>
  </si>
  <si>
    <t>5206766_1291751</t>
  </si>
  <si>
    <t>Karçem Gündoğdu</t>
  </si>
  <si>
    <t>p_fede3708f17ea1137b6b04ad9ee7cde88b0b7247@inbound.aiesec.org</t>
  </si>
  <si>
    <t>https://expa.aiesec.org/opportunities/1291751</t>
  </si>
  <si>
    <t>2023-03-05T18:25:57Z</t>
  </si>
  <si>
    <t>5205265_1290806</t>
  </si>
  <si>
    <t>Gazal Aydoğdu</t>
  </si>
  <si>
    <t>p_a250ccc195d657a23d06b8c87f821f489b2a7133@inbound.aiesec.org</t>
  </si>
  <si>
    <t>2023-03-04T12:09:40Z</t>
  </si>
  <si>
    <t>5209096_1289228</t>
  </si>
  <si>
    <t>Sondos Elfeky</t>
  </si>
  <si>
    <t>p_21195a7fb446b23e9c9b93717e0fa09e2f4d443c@inbound.aiesec.org</t>
  </si>
  <si>
    <t>2023-03-07T20:18:03Z</t>
  </si>
  <si>
    <t>5209822_1286368</t>
  </si>
  <si>
    <t>Cindy Mutiara Saprina</t>
  </si>
  <si>
    <t>p_00b3c77e40d15c19d95102bb12eb5b085540aa26@inbound.aiesec.org</t>
  </si>
  <si>
    <t>IPB</t>
  </si>
  <si>
    <t>Institut Pertanian Bogor</t>
  </si>
  <si>
    <t>2023-03-08T13:13:31Z</t>
  </si>
  <si>
    <t>4596845_1287101</t>
  </si>
  <si>
    <t>Ahmed Suleiman</t>
  </si>
  <si>
    <t>p_5352eec26ec6834b3b140aaad4a526abde24bc1f@inbound.aiesec.org</t>
  </si>
  <si>
    <t>2021-03-28T15:39:36Z</t>
  </si>
  <si>
    <t>5207556_1291824</t>
  </si>
  <si>
    <t>Yağmur Temur</t>
  </si>
  <si>
    <t>p_accf71780eca1079742e08c88d48334c6b87144a@inbound.aiesec.org</t>
  </si>
  <si>
    <t>https://expa.aiesec.org/opportunities/1291824</t>
  </si>
  <si>
    <t>2023-03-06T15:05:40Z</t>
  </si>
  <si>
    <t>5208477_1286585</t>
  </si>
  <si>
    <t>sinem asırlı</t>
  </si>
  <si>
    <t>p_03fd91305870d33ea5d5d900ca1f376ab0b2ac26@inbound.aiesec.org</t>
  </si>
  <si>
    <t>2023-03-07T10:58:48Z</t>
  </si>
  <si>
    <t>5201037_1291929</t>
  </si>
  <si>
    <t>Tarek Ahmed</t>
  </si>
  <si>
    <t>p_10982c5a959cbdd38e002919c6b021f87bb4b668@inbound.aiesec.org</t>
  </si>
  <si>
    <t>2023-02-28T11:48:39Z</t>
  </si>
  <si>
    <t>5151861_1289695</t>
  </si>
  <si>
    <t>Süreyya Hajjar</t>
  </si>
  <si>
    <t>p_8e42c9e06c3fdf5992eecc0ccf2f236b03884c95@inbound.aiesec.org</t>
  </si>
  <si>
    <t>https://expa.aiesec.org/opportunities/1289695</t>
  </si>
  <si>
    <t>2022-11-12T19:04:40Z</t>
  </si>
  <si>
    <t>5186920_1293183</t>
  </si>
  <si>
    <t>Dilara Polat</t>
  </si>
  <si>
    <t>p_7ccdd807c608425631c2bdc916d8c308eb5b9bdc@inbound.aiesec.org</t>
  </si>
  <si>
    <t>https://expa.aiesec.org/opportunities/1293183</t>
  </si>
  <si>
    <t>Digital Marketing Specialist</t>
  </si>
  <si>
    <t>2023-02-07T17:24:03Z</t>
  </si>
  <si>
    <t>5207510_1292549</t>
  </si>
  <si>
    <t>Musa Ogren</t>
  </si>
  <si>
    <t>p_42df85826703d00937d0329feeb157f5e1e5fce4@inbound.aiesec.org</t>
  </si>
  <si>
    <t>2023-03-06T14:13:07Z</t>
  </si>
  <si>
    <t>5204002_1292535</t>
  </si>
  <si>
    <t>Alina Prepelytsia</t>
  </si>
  <si>
    <t>p_7cfd92c574fd13df2db3ed86aea00b9c47cb8324@inbound.aiesec.org</t>
  </si>
  <si>
    <t>2023-03-02T19:09:29Z</t>
  </si>
  <si>
    <t>5200516_1284976</t>
  </si>
  <si>
    <t>Adelina Bălănică</t>
  </si>
  <si>
    <t>p_1504348365e8d769f6884f570063ec9a31ebf554@inbound.aiesec.org</t>
  </si>
  <si>
    <t>2023-02-27T20:02:51Z</t>
  </si>
  <si>
    <t>5199480_1289213</t>
  </si>
  <si>
    <t>ergin karatekin</t>
  </si>
  <si>
    <t>p_2f609c5926465fba27ce4060fe6734a12b460bc3@inbound.aiesec.org</t>
  </si>
  <si>
    <t>https://expa.aiesec.org/opportunities/1289213</t>
  </si>
  <si>
    <t xml:space="preserve">Research Intern |Nanobiotechnology and Biomaterials | In India     </t>
  </si>
  <si>
    <t>2023-02-26T10:07:56Z</t>
  </si>
  <si>
    <t>5214104_1291929</t>
  </si>
  <si>
    <t>salma khalifa</t>
  </si>
  <si>
    <t>p_7978928b6326166a4cfc063a599d75da1c31ab6c@inbound.aiesec.org</t>
  </si>
  <si>
    <t>2023-03-12T20:15:16Z</t>
  </si>
  <si>
    <t>5214877_1292118</t>
  </si>
  <si>
    <t>jihen boughattas</t>
  </si>
  <si>
    <t>p_ed36486a8ea026b2d7f5ab89ad30e36951ec9bbe@inbound.aiesec.org</t>
  </si>
  <si>
    <t>2023-03-13T15:42:14Z</t>
  </si>
  <si>
    <t>5214788_1287851</t>
  </si>
  <si>
    <t>Hadil Miraoui</t>
  </si>
  <si>
    <t>p_d65ed56c7f69810187d32e9daf7bd42ab32d1751@inbound.aiesec.org</t>
  </si>
  <si>
    <t>2023-03-13T14:15:56Z</t>
  </si>
  <si>
    <t>5214786_1290826</t>
  </si>
  <si>
    <t>Malek Hammami</t>
  </si>
  <si>
    <t>p_d24c4fd865bf1ec4027bb502d724abb8d21bee42@inbound.aiesec.org</t>
  </si>
  <si>
    <t>2023-03-13T14:14:36Z</t>
  </si>
  <si>
    <t>5214158_1292535</t>
  </si>
  <si>
    <t>Brahem Molka</t>
  </si>
  <si>
    <t>p_23561a8809674e3997fd1cd20bb852f200bd2c80@inbound.aiesec.org</t>
  </si>
  <si>
    <t>2023-03-12T22:00:47Z</t>
  </si>
  <si>
    <t>4554639_1287255</t>
  </si>
  <si>
    <t>Hilmi Kabir</t>
  </si>
  <si>
    <t>p_ef2aaa4a4ff287e6455124424e501d04eaeeb5bb@inbound.aiesec.org</t>
  </si>
  <si>
    <t>Kolkata</t>
  </si>
  <si>
    <t>https://expa.aiesec.org/opportunities/1287255</t>
  </si>
  <si>
    <t>Mechanical Engineer in DAĞGAZ Company</t>
  </si>
  <si>
    <t>Narula Institue of Technology, Kolkata</t>
  </si>
  <si>
    <t>2021-02-22T14:21:06Z</t>
  </si>
  <si>
    <t>5202353_1287851</t>
  </si>
  <si>
    <t>Amir Ghdiri</t>
  </si>
  <si>
    <t>p_f44a6d7ad0bfe2b85dcf84db1a235bed745ef044@inbound.aiesec.org</t>
  </si>
  <si>
    <t>2023-03-01T11:42:44Z</t>
  </si>
  <si>
    <t>5213562_1293021</t>
  </si>
  <si>
    <t>HİKMET İNCEARIK</t>
  </si>
  <si>
    <t>p_87d30114d3896a2af5527d5c5642e23a4dbce81e@inbound.aiesec.org</t>
  </si>
  <si>
    <t>https://expa.aiesec.org/opportunities/1293021</t>
  </si>
  <si>
    <t>2023-03-12T09:24:12Z</t>
  </si>
  <si>
    <t>5210000_1292793</t>
  </si>
  <si>
    <t>Gulnaz Melis</t>
  </si>
  <si>
    <t>p_ebdbdf240a016985a73ab098d29634fd9fe5d825@inbound.aiesec.org</t>
  </si>
  <si>
    <t>2023-03-08T15:08:13Z</t>
  </si>
  <si>
    <t>4186534_1288663</t>
  </si>
  <si>
    <t>Zeineb Ben Mustapha</t>
  </si>
  <si>
    <t>p_6540a6675f2a9ab69f35975dcde0cdc93aa94081@inbound.aiesec.org</t>
  </si>
  <si>
    <t>2020-02-14T17:21:11Z</t>
  </si>
  <si>
    <t>5206880_1288663</t>
  </si>
  <si>
    <t>Gulmira Koshmagambet</t>
  </si>
  <si>
    <t>p_2bd4913af210f3adf14e1c70ee2f30ecde7f3a16@inbound.aiesec.org</t>
  </si>
  <si>
    <t>2023-03-05T21:41:46Z</t>
  </si>
  <si>
    <t>5206821_1288663</t>
  </si>
  <si>
    <t>Zhansaya Sarsenbayeva</t>
  </si>
  <si>
    <t>p_e673bc99c38873fdbec488d9884951231d08e415@inbound.aiesec.org</t>
  </si>
  <si>
    <t>2023-03-05T20:04:41Z</t>
  </si>
  <si>
    <t>4607166_1286368</t>
  </si>
  <si>
    <t>p_e604e6816e1843b0597d02e5a4c31d596b02eeb0@inbound.aiesec.org</t>
  </si>
  <si>
    <t>2021-04-05T20:36:49Z</t>
  </si>
  <si>
    <t>5203290_1287101</t>
  </si>
  <si>
    <t>khansa maqsood</t>
  </si>
  <si>
    <t>p_0980c82fe9cdc0b726258f2d847aac24b2ec14a2@inbound.aiesec.org</t>
  </si>
  <si>
    <t>2023-03-02T09:39:00Z</t>
  </si>
  <si>
    <t>5216166_1291252</t>
  </si>
  <si>
    <t>Feriel Ben Khlifa</t>
  </si>
  <si>
    <t>p_82356693f61b5a52b5f5585609dc0fe79923357f@inbound.aiesec.org</t>
  </si>
  <si>
    <t>https://expa.aiesec.org/opportunities/1291252</t>
  </si>
  <si>
    <t>2023-03-14T16:10:42Z</t>
  </si>
  <si>
    <t>3642779_1291929</t>
  </si>
  <si>
    <t>Mamia Dridi</t>
  </si>
  <si>
    <t>p_4b90fea4d50e64e44d2850f44f339fa7d81b70c7@inbound.aiesec.org</t>
  </si>
  <si>
    <t>2019-07-13T15:03:17Z</t>
  </si>
  <si>
    <t>5210171_1293298</t>
  </si>
  <si>
    <t>Türkan Berfin Duva</t>
  </si>
  <si>
    <t>p_3e3bbbca2a901d30d804982c3a041996e9a64f19@inbound.aiesec.org</t>
  </si>
  <si>
    <t>https://expa.aiesec.org/opportunities/1293298</t>
  </si>
  <si>
    <t>2023-03-08T18:04:11Z</t>
  </si>
  <si>
    <t>5137161_1287662</t>
  </si>
  <si>
    <t>marwa abdelhak</t>
  </si>
  <si>
    <t>p_34e69fa9dc258ed87999b29a0223771617e2c559@inbound.aiesec.org</t>
  </si>
  <si>
    <t>2022-10-19T21:33:00Z</t>
  </si>
  <si>
    <t>5191285_1289255</t>
  </si>
  <si>
    <t>Youssef Ben Amara</t>
  </si>
  <si>
    <t>p_e6840ee6dac68a11f971d64113e73730371c7160@inbound.aiesec.org</t>
  </si>
  <si>
    <t>EBS : ESPIMA</t>
  </si>
  <si>
    <t>2023-02-15T12:20:41Z</t>
  </si>
  <si>
    <t>5214185_1293125</t>
  </si>
  <si>
    <t>yasemin karış</t>
  </si>
  <si>
    <t>p_201859d4788bc36214d9fddb3cb071464bfcee27@inbound.aiesec.org</t>
  </si>
  <si>
    <t>https://expa.aiesec.org/opportunities/1293125</t>
  </si>
  <si>
    <t>2023-03-12T23:24:14Z</t>
  </si>
  <si>
    <t>5051011_1290759</t>
  </si>
  <si>
    <t>Melisa Gulbas</t>
  </si>
  <si>
    <t>p_3ea5ce19b063765f0fc21b961dface1628944c1a@inbound.aiesec.org</t>
  </si>
  <si>
    <t>https://expa.aiesec.org/opportunities/1290759</t>
  </si>
  <si>
    <t>2022-05-04T15:13:31Z</t>
  </si>
  <si>
    <t>4593073_1292829</t>
  </si>
  <si>
    <t>Sara Pak</t>
  </si>
  <si>
    <t>p_9ba65f01dd77324be5b2236792e575bb0be680bb@inbound.aiesec.org</t>
  </si>
  <si>
    <t>LODZ</t>
  </si>
  <si>
    <t>https://expa.aiesec.org/opportunities/1292829</t>
  </si>
  <si>
    <t>2021-03-25T12:33:49Z</t>
  </si>
  <si>
    <t>5208915_1292976</t>
  </si>
  <si>
    <t>Sude Guler</t>
  </si>
  <si>
    <t>p_994e4514917ae918f0680c71c0c218c3c4bc396a@inbound.aiesec.org</t>
  </si>
  <si>
    <t>https://expa.aiesec.org/opportunities/1292976</t>
  </si>
  <si>
    <t>2023-03-07T17:03:24Z</t>
  </si>
  <si>
    <t>5203224_1292976</t>
  </si>
  <si>
    <t>Ümmü Pelin Kelleci</t>
  </si>
  <si>
    <t>p_25703270f44012e9afedd3425d94247ce5aed786@inbound.aiesec.org</t>
  </si>
  <si>
    <t>2023-03-02T08:37:53Z</t>
  </si>
  <si>
    <t>4675843_1291427</t>
  </si>
  <si>
    <t>Salma Adel</t>
  </si>
  <si>
    <t>p_5f0d881fdd08189e6acdaf739e778badd0efd516@inbound.aiesec.org</t>
  </si>
  <si>
    <t>2021-06-25T07:39:23Z</t>
  </si>
  <si>
    <t>5217202_1292557</t>
  </si>
  <si>
    <t>Eya Ouesleti</t>
  </si>
  <si>
    <t>p_f4d01cd2c98e8b62466150d81cecfc4743aca562@inbound.aiesec.org</t>
  </si>
  <si>
    <t>2023-03-15T12:23:48Z</t>
  </si>
  <si>
    <t>5216738_1290826</t>
  </si>
  <si>
    <t>Insaf Bouassida</t>
  </si>
  <si>
    <t>p_c1a090f2030ba9fdd7ebc5bb12e8a823afcac70e@inbound.aiesec.org</t>
  </si>
  <si>
    <t>2023-03-15T08:19:50Z</t>
  </si>
  <si>
    <t>5213775_1292962</t>
  </si>
  <si>
    <t>Mariem ABBASSI</t>
  </si>
  <si>
    <t>p_1021d7a241365200ad5485a54eeb623e3dbd6c69@inbound.aiesec.org</t>
  </si>
  <si>
    <t>https://expa.aiesec.org/opportunities/1292962</t>
  </si>
  <si>
    <t>2023-03-12T13:06:10Z</t>
  </si>
  <si>
    <t>5212391_1292824</t>
  </si>
  <si>
    <t>Bahadır Çınar</t>
  </si>
  <si>
    <t>p_d72cd36c59fc28afb0381f4da52ee7927cf2e45f@inbound.aiesec.org</t>
  </si>
  <si>
    <t>https://expa.aiesec.org/opportunities/1292824</t>
  </si>
  <si>
    <t>2023-03-10T17:38:57Z</t>
  </si>
  <si>
    <t>5216455_1291929</t>
  </si>
  <si>
    <t>rihab ben rejeb</t>
  </si>
  <si>
    <t>p_35e6bf52d1535a4759c24463be669e637c2ce2cf@inbound.aiesec.org</t>
  </si>
  <si>
    <t>2023-03-14T20:41:06Z</t>
  </si>
  <si>
    <t>5212777_1291254</t>
  </si>
  <si>
    <t>Jasmine Essam</t>
  </si>
  <si>
    <t>p_7b0f7d021bdb60ecf4a8db1c3f4d0ad4cb290969@inbound.aiesec.org</t>
  </si>
  <si>
    <t>2023-03-11T09:42:03Z</t>
  </si>
  <si>
    <t>4829328_1293243</t>
  </si>
  <si>
    <t>Diboune Hanine</t>
  </si>
  <si>
    <t>p_1eba1734c89713a784098901e6730afad18cc970@inbound.aiesec.org</t>
  </si>
  <si>
    <t>https://expa.aiesec.org/opportunities/1293243</t>
  </si>
  <si>
    <t>2021-12-04T00:35:59Z</t>
  </si>
  <si>
    <t>5207555_1285687</t>
  </si>
  <si>
    <t>Arina Pluzhnykova</t>
  </si>
  <si>
    <t>p_724e4f89f21b1616967de58b88159d5ebf219ea3@inbound.aiesec.org</t>
  </si>
  <si>
    <t>2023-03-06T15:04:09Z</t>
  </si>
  <si>
    <t>5212430_1289895</t>
  </si>
  <si>
    <t>Seher Damla Uludağ</t>
  </si>
  <si>
    <t>p_64f504a0a78a196cb8f178dade8883f876b40469@inbound.aiesec.org</t>
  </si>
  <si>
    <t>https://expa.aiesec.org/opportunities/1289895</t>
  </si>
  <si>
    <t>2023-03-10T18:27:28Z</t>
  </si>
  <si>
    <t>5212368_1284831</t>
  </si>
  <si>
    <t>Dua Zuari</t>
  </si>
  <si>
    <t>p_ef1c415bf1033bab8f86270a23e151d49377a455@inbound.aiesec.org</t>
  </si>
  <si>
    <t>2023-03-10T16:56:13Z</t>
  </si>
  <si>
    <t>5207490_1287855</t>
  </si>
  <si>
    <t>Lunara Baigaliyeva</t>
  </si>
  <si>
    <t>p_6aaad70e58201e22598cd00c11cb0b32377d83a2@inbound.aiesec.org</t>
  </si>
  <si>
    <t>Uralsk</t>
  </si>
  <si>
    <t>2023-03-06T13:55:21Z</t>
  </si>
  <si>
    <t>4936271_1292835</t>
  </si>
  <si>
    <t>Beril Ünsal</t>
  </si>
  <si>
    <t>p_7d12790c656f975b7813f388aeaa4a06c02c50d0@inbound.aiesec.org</t>
  </si>
  <si>
    <t>YSU</t>
  </si>
  <si>
    <t>https://expa.aiesec.org/opportunities/1292835</t>
  </si>
  <si>
    <t>2022-02-18T11:13:55Z</t>
  </si>
  <si>
    <t>5026384_1292773</t>
  </si>
  <si>
    <t>Emna Siala</t>
  </si>
  <si>
    <t>p_3242c2aa7cf979cc649abb796ccdc2a640f67dce@inbound.aiesec.org</t>
  </si>
  <si>
    <t>https://expa.aiesec.org/opportunities/1292773</t>
  </si>
  <si>
    <t>2022-04-05T17:03:07Z</t>
  </si>
  <si>
    <t>5218470_1281235</t>
  </si>
  <si>
    <t>Ezgi Alıç</t>
  </si>
  <si>
    <t>p_2e9eaed2b4a771daefc071bd7dba0ce3591af629@inbound.aiesec.org</t>
  </si>
  <si>
    <t>2023-03-16T13:20:06Z</t>
  </si>
  <si>
    <t>5215376_1292773</t>
  </si>
  <si>
    <t>Salsabil Hamami</t>
  </si>
  <si>
    <t>p_760faf5544a021adaaf46ce0936a4e577f2644ac@inbound.aiesec.org</t>
  </si>
  <si>
    <t>+21655670326</t>
  </si>
  <si>
    <t>2023-03-14T08:45:13Z</t>
  </si>
  <si>
    <t>5209335_1289763</t>
  </si>
  <si>
    <t>Semanur Hut</t>
  </si>
  <si>
    <t>p_e2b63f0b27cc3acff9bfd70904eac6b733b90a61@inbound.aiesec.org</t>
  </si>
  <si>
    <t>https://expa.aiesec.org/opportunities/1289763</t>
  </si>
  <si>
    <t>2023-03-08T08:45:19Z</t>
  </si>
  <si>
    <t>5206746_1280872</t>
  </si>
  <si>
    <t>Isra Azaiez</t>
  </si>
  <si>
    <t>p_851d6560b4621c70897af0e6e64f81e7420192d5@inbound.aiesec.org</t>
  </si>
  <si>
    <t>2023-03-05T18:05:12Z</t>
  </si>
  <si>
    <t>5212112_1292545</t>
  </si>
  <si>
    <t>Malithi Mullegamgoda</t>
  </si>
  <si>
    <t>p_364af7107021a6fb61db3b1a7464235b21aa6db2@inbound.aiesec.org</t>
  </si>
  <si>
    <t>2023-03-10T13:54:16Z</t>
  </si>
  <si>
    <t>5197091_1292379</t>
  </si>
  <si>
    <t>Bilge Özer</t>
  </si>
  <si>
    <t>p_18bd09984a3a4563a8390f08bddab7283f1d0bcb@inbound.aiesec.org</t>
  </si>
  <si>
    <t>https://expa.aiesec.org/opportunities/1292379</t>
  </si>
  <si>
    <t>2023-02-22T21:05:44Z</t>
  </si>
  <si>
    <t>5206765_1292756</t>
  </si>
  <si>
    <t>Dilara Kutay</t>
  </si>
  <si>
    <t>p_d7ed6794716abb94ac9f94d4d8c54ce15ad4bdbe@inbound.aiesec.org</t>
  </si>
  <si>
    <t>https://expa.aiesec.org/opportunities/1292756</t>
  </si>
  <si>
    <t>2023-03-05T18:25:03Z</t>
  </si>
  <si>
    <t>5208952_1287662</t>
  </si>
  <si>
    <t>Alina Iancu</t>
  </si>
  <si>
    <t>p_e16fad40bf34da476f8ba8b926227aef3931a58b@inbound.aiesec.org</t>
  </si>
  <si>
    <t>2023-03-07T17:43:21Z</t>
  </si>
  <si>
    <t>5201559_1287662</t>
  </si>
  <si>
    <t>Claudia Ionescu</t>
  </si>
  <si>
    <t>p_aee54c713b80084096a90b36e0a65452d76778d2@inbound.aiesec.org</t>
  </si>
  <si>
    <t>2023-02-28T17:16:37Z</t>
  </si>
  <si>
    <t>5207866_1286228</t>
  </si>
  <si>
    <t>Fuzail Shoaib</t>
  </si>
  <si>
    <t>p_ce22d9a8f2cfce08a11d75669040da818f6b195b@inbound.aiesec.org</t>
  </si>
  <si>
    <t>IBA</t>
  </si>
  <si>
    <t>Karachi - IBA</t>
  </si>
  <si>
    <t>2023-03-06T20:08:51Z</t>
  </si>
  <si>
    <t>2919929_1292878</t>
  </si>
  <si>
    <t>Tanya Maslennikova</t>
  </si>
  <si>
    <t>p_6df44fc1eeb516a055177cc705367dafa5c87465@inbound.aiesec.org</t>
  </si>
  <si>
    <t>MOSCOW</t>
  </si>
  <si>
    <t>https://expa.aiesec.org/opportunities/1292878</t>
  </si>
  <si>
    <t>Marketing Specialist in Aliz Team</t>
  </si>
  <si>
    <t>Moscow</t>
  </si>
  <si>
    <t>2018-12-04T20:25:16Z</t>
  </si>
  <si>
    <t>4376663_1292878</t>
  </si>
  <si>
    <t>Nataliia Kalinina</t>
  </si>
  <si>
    <t>p_8ed30e6aa9e9a829dfdeca4692dd8e93d8d0b572@inbound.aiesec.org</t>
  </si>
  <si>
    <t>2020-09-23T11:12:03Z</t>
  </si>
  <si>
    <t>2328432_1289536</t>
  </si>
  <si>
    <t>Anderson Menezes</t>
  </si>
  <si>
    <t>p_3f4116c23fc64662b2853f9ab581679689aee373@inbound.aiesec.org</t>
  </si>
  <si>
    <t>2018-05-26T18:54:30Z</t>
  </si>
  <si>
    <t>5192860_1287942</t>
  </si>
  <si>
    <t>Aqsa Tabassum Aqsa Tabassum</t>
  </si>
  <si>
    <t>p_d3f75ac734fabf4110c01f71a844bb6c12f8c5c6@inbound.aiesec.org</t>
  </si>
  <si>
    <t>Karachi - Salim Habib University</t>
  </si>
  <si>
    <t>2023-02-17T11:50:09Z</t>
  </si>
  <si>
    <t>5158416_1293448</t>
  </si>
  <si>
    <t>Oumayma Guidara</t>
  </si>
  <si>
    <t>p_5b6ca46385eed90bb677f754d9e528e4ac6c00ee@inbound.aiesec.org</t>
  </si>
  <si>
    <t>https://expa.aiesec.org/opportunities/1293448</t>
  </si>
  <si>
    <t>English Teacher in Kindergarten (SHORT)</t>
  </si>
  <si>
    <t>2022-11-24T16:38:27Z</t>
  </si>
  <si>
    <t>5219404_1284484</t>
  </si>
  <si>
    <t>Sarra Sahli</t>
  </si>
  <si>
    <t>p_87aa07ef2e39a101aa4ede7b7f89250e34443ec8@inbound.aiesec.org</t>
  </si>
  <si>
    <t>https://expa.aiesec.org/opportunities/1284484</t>
  </si>
  <si>
    <t>2023-03-17T12:34:15Z</t>
  </si>
  <si>
    <t>5218498_1292118</t>
  </si>
  <si>
    <t>Kristina Kosijer</t>
  </si>
  <si>
    <t>p_8e2dc862186873c3df66d03640187eb63d5cb2c9@inbound.aiesec.org</t>
  </si>
  <si>
    <t>2023-03-16T13:42:34Z</t>
  </si>
  <si>
    <t>5217398_1291168</t>
  </si>
  <si>
    <t>Ufuk Açıkgöz</t>
  </si>
  <si>
    <t>p_06f3096a6433d4b730d0108f7e93140337b2a00f@inbound.aiesec.org</t>
  </si>
  <si>
    <t>https://expa.aiesec.org/opportunities/1291168</t>
  </si>
  <si>
    <t>2023-03-15T13:40:30Z</t>
  </si>
  <si>
    <t>5214954_1292422</t>
  </si>
  <si>
    <t>Elif Toprak</t>
  </si>
  <si>
    <t>p_0870533862f20ec528699a54f6cf00725e2fce65@inbound.aiesec.org</t>
  </si>
  <si>
    <t>https://expa.aiesec.org/opportunities/1292422</t>
  </si>
  <si>
    <t>Theatre teacher</t>
  </si>
  <si>
    <t>2023-03-13T17:29:15Z</t>
  </si>
  <si>
    <t>5216381_1291276</t>
  </si>
  <si>
    <t>Seyyidhan Hancıoğlu</t>
  </si>
  <si>
    <t>p_8372bf0a4e9f3aa54659d5ae4f9ded878b85a0ee@inbound.aiesec.org</t>
  </si>
  <si>
    <t>https://expa.aiesec.org/opportunities/1291276</t>
  </si>
  <si>
    <t xml:space="preserve">Sports teacher </t>
  </si>
  <si>
    <t>2023-03-14T19:03:43Z</t>
  </si>
  <si>
    <t>5216293_1293298</t>
  </si>
  <si>
    <t>Esma Gül</t>
  </si>
  <si>
    <t>p_5eb6a47659ad6a1d5caeed50e338fc3b6b4eeb30@inbound.aiesec.org</t>
  </si>
  <si>
    <t>2023-03-14T17:42:42Z</t>
  </si>
  <si>
    <t>5190033_1291252</t>
  </si>
  <si>
    <t>Nicole Sancandi</t>
  </si>
  <si>
    <t>p_f48923087f44f68e96c63db99132d7a200297d84@inbound.aiesec.org</t>
  </si>
  <si>
    <t>+39 345 983 5472</t>
  </si>
  <si>
    <t>Padova</t>
  </si>
  <si>
    <t>2023-02-13T12:43:39Z</t>
  </si>
  <si>
    <t>5211841_1292829</t>
  </si>
  <si>
    <t>Nurefşan Şahin</t>
  </si>
  <si>
    <t>p_25488e563e3ca5da19b88032c8bb330581234b6a@inbound.aiesec.org</t>
  </si>
  <si>
    <t>2023-03-10T09:55:06Z</t>
  </si>
  <si>
    <t>5213313_1288129</t>
  </si>
  <si>
    <t>Beyza Uçar</t>
  </si>
  <si>
    <t>p_871e04c6b2f9cb39b5171ae8f21442dcd88244f9@inbound.aiesec.org</t>
  </si>
  <si>
    <t>https://expa.aiesec.org/opportunities/1288129</t>
  </si>
  <si>
    <t>2023-03-11T18:20:51Z</t>
  </si>
  <si>
    <t>5210639_1292829</t>
  </si>
  <si>
    <t>Gülcan Yavuz</t>
  </si>
  <si>
    <t>p_4a8e611e1f78ec20ea9022ab40ea3a6318d59339@inbound.aiesec.org</t>
  </si>
  <si>
    <t>2023-03-09T08:34:45Z</t>
  </si>
  <si>
    <t>4698702_1288730</t>
  </si>
  <si>
    <t>Abdullah Onur Doğan</t>
  </si>
  <si>
    <t>p_960f9f503374500e8b7d334e58ebf802cf589578@inbound.aiesec.org</t>
  </si>
  <si>
    <t>https://expa.aiesec.org/opportunities/1288730</t>
  </si>
  <si>
    <t xml:space="preserve">Math Teacher in Menofia </t>
  </si>
  <si>
    <t>2021-07-27T17:27:10Z</t>
  </si>
  <si>
    <t>5047282_1287851</t>
  </si>
  <si>
    <t>Arij Groun</t>
  </si>
  <si>
    <t>p_dc76aa550009b873d166561aaf7bf63fc10f9fdc@inbound.aiesec.org</t>
  </si>
  <si>
    <t>FSM</t>
  </si>
  <si>
    <t>2022-04-27T14:45:17Z</t>
  </si>
  <si>
    <t>5178569_1293412</t>
  </si>
  <si>
    <t>Elif Dağdelen</t>
  </si>
  <si>
    <t>p_91194f557508d350a58f361e45aca7de7d77c786@inbound.aiesec.org</t>
  </si>
  <si>
    <t>https://expa.aiesec.org/opportunities/1293412</t>
  </si>
  <si>
    <t>2023-01-20T02:23:39Z</t>
  </si>
  <si>
    <t>5043840_1293312</t>
  </si>
  <si>
    <t>İdil Yenigün</t>
  </si>
  <si>
    <t>p_7e44e267b5b00a0269eac4880cebc8a81d0aab64@inbound.aiesec.org</t>
  </si>
  <si>
    <t>https://expa.aiesec.org/opportunities/1293312</t>
  </si>
  <si>
    <t>2022-04-22T11:47:27Z</t>
  </si>
  <si>
    <t>5210657_1291929</t>
  </si>
  <si>
    <t>Ibtissam Fdeli</t>
  </si>
  <si>
    <t>p_63ad1ccbf74fe3c3119dec75700ca586e4911a5a@inbound.aiesec.org</t>
  </si>
  <si>
    <t>Ecole Nationale Des Sciences Appliquées Fès (ENSAF)</t>
  </si>
  <si>
    <t>2023-03-09T09:01:00Z</t>
  </si>
  <si>
    <t>5211886_1293131</t>
  </si>
  <si>
    <t>ece özümen</t>
  </si>
  <si>
    <t>p_fcd7c1d70de6da92b45ebc0a6d6e73b1473b134e@inbound.aiesec.org</t>
  </si>
  <si>
    <t>https://expa.aiesec.org/opportunities/1293131</t>
  </si>
  <si>
    <t>2023-03-10T11:00:49Z</t>
  </si>
  <si>
    <t>424675_1289536</t>
  </si>
  <si>
    <t>Erick William Sandoval</t>
  </si>
  <si>
    <t>p_5bdfa47b113991859a3668ddf0bb956daaace65c@inbound.aiesec.org</t>
  </si>
  <si>
    <t>2015-01-02T02:36:31Z</t>
  </si>
  <si>
    <t>5218938_1288843</t>
  </si>
  <si>
    <t>Gökçe Rana Berberoğlu</t>
  </si>
  <si>
    <t>p_2f15770af562f265774f7d8d533eafd7a7d96d9c@inbound.aiesec.org</t>
  </si>
  <si>
    <t>2023-03-16T21:22:59Z</t>
  </si>
  <si>
    <t>5206662_1292118</t>
  </si>
  <si>
    <t>Altynay Moldakulova</t>
  </si>
  <si>
    <t>p_7f7a04e326a3c8ba61bec0d681524a1db1ea6844@inbound.aiesec.org</t>
  </si>
  <si>
    <t>Shymkent</t>
  </si>
  <si>
    <t>2023-03-05T16:48:11Z</t>
  </si>
  <si>
    <t>5211845_1288813</t>
  </si>
  <si>
    <t>Arab Feriel</t>
  </si>
  <si>
    <t>p_f09f03477accb3b680c33ff6239747712a91543f@inbound.aiesec.org</t>
  </si>
  <si>
    <t>Bejaia</t>
  </si>
  <si>
    <t>2023-03-10T09:59:27Z</t>
  </si>
  <si>
    <t>5138386_1292571</t>
  </si>
  <si>
    <t>Zehra Ceren Oğuzmert</t>
  </si>
  <si>
    <t>p_7b45e21eb30c81f21aded4fdc6f5947f24495908@inbound.aiesec.org</t>
  </si>
  <si>
    <t>2022-10-22T09:28:18Z</t>
  </si>
  <si>
    <t>5218885_1293139</t>
  </si>
  <si>
    <t>Aleyna Turhan</t>
  </si>
  <si>
    <t>p_45629738130d7e5bf326b4b82d044483a693f321@inbound.aiesec.org</t>
  </si>
  <si>
    <t>https://expa.aiesec.org/opportunities/1293139</t>
  </si>
  <si>
    <t>2023-03-16T20:20:25Z</t>
  </si>
  <si>
    <t>5208882_1286585</t>
  </si>
  <si>
    <t>Fatma Betül Kaya</t>
  </si>
  <si>
    <t>p_6823bea039532085bdb8e3135f7d01e272146585@inbound.aiesec.org</t>
  </si>
  <si>
    <t>2023-03-07T16:38:25Z</t>
  </si>
  <si>
    <t>5117832_1291375</t>
  </si>
  <si>
    <t>Diana Ivanova</t>
  </si>
  <si>
    <t>p_a28c34eb77ea40836bc32d1ee87ec94e39d08d34@inbound.aiesec.org</t>
  </si>
  <si>
    <t>2022-09-22T20:14:08Z</t>
  </si>
  <si>
    <t>5218853_1293464</t>
  </si>
  <si>
    <t>Sueda Kocaman</t>
  </si>
  <si>
    <t>p_90ab74bbf52f5833cd819005d5d562131e27eb8e@inbound.aiesec.org</t>
  </si>
  <si>
    <t>https://expa.aiesec.org/opportunities/1293464</t>
  </si>
  <si>
    <t>2023-03-16T19:48:57Z</t>
  </si>
  <si>
    <t>5209898_1287662</t>
  </si>
  <si>
    <t>Haj hassen Zaineb</t>
  </si>
  <si>
    <t>p_ac8393e55d9e4f1d3367031fce48a047a8663073@inbound.aiesec.org</t>
  </si>
  <si>
    <t>2023-03-08T14:00:24Z</t>
  </si>
  <si>
    <t>5221453_1290282</t>
  </si>
  <si>
    <t>MEHMET VEYSEL TANRIKUT</t>
  </si>
  <si>
    <t>p_bd183694efd89fd299d2cd79de35b05161a3a7e6@inbound.aiesec.org</t>
  </si>
  <si>
    <t>2023-03-20T09:26:28Z</t>
  </si>
  <si>
    <t>5215014_1281010</t>
  </si>
  <si>
    <t>Alexandra Iuliana Vlădic</t>
  </si>
  <si>
    <t>p_c7e8b5ff9d359c51dc5867349ee2bbfd82006260@inbound.aiesec.org</t>
  </si>
  <si>
    <t>Timisoara</t>
  </si>
  <si>
    <t>2023-03-13T18:55:13Z</t>
  </si>
  <si>
    <t>5217726_1291634</t>
  </si>
  <si>
    <t>Maria-Magdalena Gaftoi</t>
  </si>
  <si>
    <t>p_62f3d9a32e951f53534781463de9868cf50129c5@inbound.aiesec.org</t>
  </si>
  <si>
    <t>2023-03-15T17:37:31Z</t>
  </si>
  <si>
    <t>5016356_1290024</t>
  </si>
  <si>
    <t>Melisa Tuncer</t>
  </si>
  <si>
    <t>p_a95a77128a552a7a0edc22b10ec43c46fc39a87f@inbound.aiesec.org</t>
  </si>
  <si>
    <t>2022-03-30T20:45:33Z</t>
  </si>
  <si>
    <t>4218816_1292571</t>
  </si>
  <si>
    <t>Erkin Sancarbaba</t>
  </si>
  <si>
    <t>p_6da259a2c7e3c6d91ab5d4980d1da56c8bd6c85e@inbound.aiesec.org</t>
  </si>
  <si>
    <t>2020-02-27T07:47:50Z</t>
  </si>
  <si>
    <t>5213812_1293125</t>
  </si>
  <si>
    <t>İrem Nuroğlu</t>
  </si>
  <si>
    <t>p_1ccece0a2000d0b65f40f3cd7f3387005d14c7a8@inbound.aiesec.org</t>
  </si>
  <si>
    <t>2023-03-12T13:38:10Z</t>
  </si>
  <si>
    <t>5177211_1292878</t>
  </si>
  <si>
    <t>Olesia Salakhova</t>
  </si>
  <si>
    <t>p_0b08fc338b5f9ae67b33bab0d8a7a0e2be075908@inbound.aiesec.org</t>
  </si>
  <si>
    <t>2023-01-16T18:30:30Z</t>
  </si>
  <si>
    <t>5205358_1289154</t>
  </si>
  <si>
    <t>Lenah Serai Wangare</t>
  </si>
  <si>
    <t>p_f18d84e96785a346359af1cc7131b472b26b16d6@inbound.aiesec.org</t>
  </si>
  <si>
    <t>https://expa.aiesec.org/opportunities/1289154</t>
  </si>
  <si>
    <t xml:space="preserve">Research Intern | Biomedical Engineering | In India </t>
  </si>
  <si>
    <t>2023-03-04T13:32:21Z</t>
  </si>
  <si>
    <t>5223083_1292188</t>
  </si>
  <si>
    <t>Süleyman Koray Can</t>
  </si>
  <si>
    <t>p_e8f57d19a213ffed25dee872c58edef20d2e93ed@inbound.aiesec.org</t>
  </si>
  <si>
    <t>https://expa.aiesec.org/opportunities/1292188</t>
  </si>
  <si>
    <t>2023-03-21T18:53:40Z</t>
  </si>
  <si>
    <t>5218417_1286039</t>
  </si>
  <si>
    <t>Esra Eren</t>
  </si>
  <si>
    <t>p_edc517b81967ee7444bf0b17250113b560f7fef8@inbound.aiesec.org</t>
  </si>
  <si>
    <t>552 202 83 87</t>
  </si>
  <si>
    <t>https://expa.aiesec.org/opportunities/1286039</t>
  </si>
  <si>
    <t>2023-03-16T12:27:04Z</t>
  </si>
  <si>
    <t>5224893_1292773</t>
  </si>
  <si>
    <t>Oumaima Gaha</t>
  </si>
  <si>
    <t>p_060069f491cfcfdb919b40baf675e61d739a7316@inbound.aiesec.org</t>
  </si>
  <si>
    <t>2023-03-23T13:28:33Z</t>
  </si>
  <si>
    <t>5224886_1287316</t>
  </si>
  <si>
    <t>Mehmet Alp Özbey</t>
  </si>
  <si>
    <t>p_58422f9f3a7e4f6ef15337ea1794a816e6455d5b@inbound.aiesec.org</t>
  </si>
  <si>
    <t>2023-03-23T13:20:25Z</t>
  </si>
  <si>
    <t>5224357_1290282</t>
  </si>
  <si>
    <t>Güçhan Erden</t>
  </si>
  <si>
    <t>p_887a6177534d7a40eb6b945e9079701fc9f1867f@inbound.aiesec.org</t>
  </si>
  <si>
    <t>2023-03-22T20:29:35Z</t>
  </si>
  <si>
    <t>5223898_1293423</t>
  </si>
  <si>
    <t>Zeynep Sıla Karaosman</t>
  </si>
  <si>
    <t>p_ba54e00eddd9a6c6325111f870b93ca42a903bc0@inbound.aiesec.org</t>
  </si>
  <si>
    <t>https://expa.aiesec.org/opportunities/1293423</t>
  </si>
  <si>
    <t>2023-03-22T13:12:18Z</t>
  </si>
  <si>
    <t>5170438_1292765</t>
  </si>
  <si>
    <t>Aoudia Ines</t>
  </si>
  <si>
    <t>p_c071033e332c97b01a0d164d7f7e34528d126dd4@inbound.aiesec.org</t>
  </si>
  <si>
    <t>https://expa.aiesec.org/opportunities/1292765</t>
  </si>
  <si>
    <t>2022-12-26T18:56:32Z</t>
  </si>
  <si>
    <t>5223158_1281235</t>
  </si>
  <si>
    <t>Dilruba Berber</t>
  </si>
  <si>
    <t>p_8b9704f53e0922d7fa7fd523336133541c75bd27@inbound.aiesec.org</t>
  </si>
  <si>
    <t>2023-03-21T20:59:14Z</t>
  </si>
  <si>
    <t>1168987_1292678</t>
  </si>
  <si>
    <t>Luiza Marina Reis Carvalho</t>
  </si>
  <si>
    <t>p_44120f7cbdc6c15cb82a13ba9c8e3c0d2285510c@inbound.aiesec.org</t>
  </si>
  <si>
    <t>https://expa.aiesec.org/opportunities/1292678</t>
  </si>
  <si>
    <t>Sales - Marketing Represantative</t>
  </si>
  <si>
    <t>2016-09-29T19:21:52Z</t>
  </si>
  <si>
    <t>5221814_1293125</t>
  </si>
  <si>
    <t>Nil Oğuz</t>
  </si>
  <si>
    <t>p_e5e836022494c2c0954d1390fa94d5e548cbef49@inbound.aiesec.org</t>
  </si>
  <si>
    <t>2023-03-20T15:25:09Z</t>
  </si>
  <si>
    <t>4498016_1288245</t>
  </si>
  <si>
    <t>Rowan Mohamed</t>
  </si>
  <si>
    <t>p_88df2e8c1fd3418a307986c743c1d486613cfbfc@inbound.aiesec.org</t>
  </si>
  <si>
    <t>2020-12-25T00:51:23Z</t>
  </si>
  <si>
    <t>5206843_1284081</t>
  </si>
  <si>
    <t>Matteo Tomas</t>
  </si>
  <si>
    <t>p_2397471ddfa7ab3ce6d93f84d12b7bd945ad2441@inbound.aiesec.org</t>
  </si>
  <si>
    <t>+39 331 709 0028</t>
  </si>
  <si>
    <t>2023-03-05T20:36:30Z</t>
  </si>
  <si>
    <t>5132964_1285555</t>
  </si>
  <si>
    <t>Salma EL BEKKOURI ELALAMI</t>
  </si>
  <si>
    <t>p_bb65d21cf2d421d57886cef2067050a4d2d3acb3@inbound.aiesec.org</t>
  </si>
  <si>
    <t>2022-10-14T15:43:31Z</t>
  </si>
  <si>
    <t>5225896_1288414</t>
  </si>
  <si>
    <t>Buse Çoban</t>
  </si>
  <si>
    <t>p_7502e73f7d634b2c0a9841a549edf359abd797d7@inbound.aiesec.org</t>
  </si>
  <si>
    <t>2023-03-24T14:05:04Z</t>
  </si>
  <si>
    <t>5225909_1285010</t>
  </si>
  <si>
    <t>Khaled Baffoun</t>
  </si>
  <si>
    <t>p_84b8730cf7be068681bd0976190ed36141242398@inbound.aiesec.org</t>
  </si>
  <si>
    <t>https://expa.aiesec.org/opportunities/1285010</t>
  </si>
  <si>
    <t>Full Stack Developer</t>
  </si>
  <si>
    <t>2023-03-24T14:23:11Z</t>
  </si>
  <si>
    <t>4070336_1287851</t>
  </si>
  <si>
    <t>Manel Kadri</t>
  </si>
  <si>
    <t>p_dd77da88e5f9537ed13e4f0a9d057474d49e1288@inbound.aiesec.org</t>
  </si>
  <si>
    <t>2019-12-01T18:09:56Z</t>
  </si>
  <si>
    <t>5225593_1290282</t>
  </si>
  <si>
    <t>p_d3d56767195705c3427677a8127c115225ba48b3@inbound.aiesec.org</t>
  </si>
  <si>
    <t>2023-03-24T11:10:46Z</t>
  </si>
  <si>
    <t>5225610_1288721</t>
  </si>
  <si>
    <t>mohamed aziz ghabi</t>
  </si>
  <si>
    <t>p_5c1e3bf540d85d8811714acc71ca475fd854fb8b@inbound.aiesec.org</t>
  </si>
  <si>
    <t>Polytechnique Sousse</t>
  </si>
  <si>
    <t>2023-03-24T11:26:17Z</t>
  </si>
  <si>
    <t>5222905_1291067</t>
  </si>
  <si>
    <t>Ilgım Kutlu</t>
  </si>
  <si>
    <t>p_ba710d51d0bb31174364673c6bd563b67340e6ba@inbound.aiesec.org</t>
  </si>
  <si>
    <t>https://expa.aiesec.org/opportunities/1291067</t>
  </si>
  <si>
    <t>2023-03-21T15:40:38Z</t>
  </si>
  <si>
    <t>4986010_1292531</t>
  </si>
  <si>
    <t>Mouna Boussaada</t>
  </si>
  <si>
    <t>p_0d6f2d83e2b8b05768dd0ecb5f49e08c91df55c6@inbound.aiesec.org</t>
  </si>
  <si>
    <t>https://expa.aiesec.org/opportunities/1292531</t>
  </si>
  <si>
    <t>2022-03-15T21:02:01Z</t>
  </si>
  <si>
    <t>5218505_1293112</t>
  </si>
  <si>
    <t>DUYGU KAYA</t>
  </si>
  <si>
    <t>p_b8da58146b93330e46968dca09b87e033910c643@inbound.aiesec.org</t>
  </si>
  <si>
    <t>+905396930699</t>
  </si>
  <si>
    <t>https://expa.aiesec.org/opportunities/1293112</t>
  </si>
  <si>
    <t>2023-03-16T13:48:12Z</t>
  </si>
  <si>
    <t>5081291_1289936</t>
  </si>
  <si>
    <t>Oğuz Kaan İşleyen</t>
  </si>
  <si>
    <t>p_dbe48bc72a70cdc863bbf743f3b8a998ad6da37f@inbound.aiesec.org</t>
  </si>
  <si>
    <t>https://expa.aiesec.org/opportunities/1289936</t>
  </si>
  <si>
    <t>2022-07-10T01:14:37Z</t>
  </si>
  <si>
    <t>5221821_1290024</t>
  </si>
  <si>
    <t>Çağrı Çınar</t>
  </si>
  <si>
    <t>p_6aaddf7bebd13d607e17d675ac44475b90045e2e@inbound.aiesec.org</t>
  </si>
  <si>
    <t>530 234 81 47</t>
  </si>
  <si>
    <t>BILECIK</t>
  </si>
  <si>
    <t>2023-03-20T15:40:49Z</t>
  </si>
  <si>
    <t>5159909_1281010</t>
  </si>
  <si>
    <t>Cosmina Paola Bîra</t>
  </si>
  <si>
    <t>p_15e58351363d7470523e3ee456bcf59b7bcfd945@inbound.aiesec.org</t>
  </si>
  <si>
    <t>2022-11-28T14:36:55Z</t>
  </si>
  <si>
    <t>5210947_1289536</t>
  </si>
  <si>
    <t>Lidiia Bondarieva</t>
  </si>
  <si>
    <t>p_9b5e718a9b9b1069848855a17c8354f384fae2d8@inbound.aiesec.org</t>
  </si>
  <si>
    <t>2023-03-09T12:03:53Z</t>
  </si>
  <si>
    <t>5201616_1292535</t>
  </si>
  <si>
    <t>Rafiga Alifova</t>
  </si>
  <si>
    <t>p_e8c6b54563c2139df4db2857eeb8e85169101d4f@inbound.aiesec.org</t>
  </si>
  <si>
    <t>Academy of Public Administration</t>
  </si>
  <si>
    <t>2023-02-28T18:12:42Z</t>
  </si>
  <si>
    <t>4202139_1293203</t>
  </si>
  <si>
    <t>Şükran Eylül İleri</t>
  </si>
  <si>
    <t>p_ae7a9cda5719a262626cbe2f083944df08a2efda@inbound.aiesec.org</t>
  </si>
  <si>
    <t>https://expa.aiesec.org/opportunities/1293203</t>
  </si>
  <si>
    <t>2020-02-20T16:40:22Z</t>
  </si>
  <si>
    <t>5038865_1288245</t>
  </si>
  <si>
    <t>Ahsant Shahid</t>
  </si>
  <si>
    <t>p_d705ef52c49acc43a1c822f36ee1631840d939f6@inbound.aiesec.org</t>
  </si>
  <si>
    <t>2022-04-14T07:54:48Z</t>
  </si>
  <si>
    <t>5226689_1289255</t>
  </si>
  <si>
    <t>Sarah Yataghane</t>
  </si>
  <si>
    <t>p_48e17e7082978fb6dcd3e17c8e2649f1141f8f81@inbound.aiesec.org</t>
  </si>
  <si>
    <t>2023-03-25T13:15:02Z</t>
  </si>
  <si>
    <t>5225985_1293495</t>
  </si>
  <si>
    <t>Nesrine Abida</t>
  </si>
  <si>
    <t>p_0c421eed9cfab9322c4826c4c9780c16f9ba3247@inbound.aiesec.org</t>
  </si>
  <si>
    <t>https://expa.aiesec.org/opportunities/1293495</t>
  </si>
  <si>
    <t>ESC SFAX</t>
  </si>
  <si>
    <t>2023-03-24T15:34:34Z</t>
  </si>
  <si>
    <t>5206179_1288721</t>
  </si>
  <si>
    <t>Mehak Batra</t>
  </si>
  <si>
    <t>p_7fdf9fa7c4c47261ddd1e9bfff9b6969bc5f51f0@inbound.aiesec.org</t>
  </si>
  <si>
    <t>M.A.H.E.</t>
  </si>
  <si>
    <t>Manipal Academy of Higher Education, Manipal</t>
  </si>
  <si>
    <t>2023-03-05T10:19:50Z</t>
  </si>
  <si>
    <t>5224767_1292793</t>
  </si>
  <si>
    <t>meghna kabir sharma</t>
  </si>
  <si>
    <t>p_4857b48518cf9fe53851b218e32bf8f3a89ff0bb@inbound.aiesec.org</t>
  </si>
  <si>
    <t>Galgotias University, Noida</t>
  </si>
  <si>
    <t>2023-03-23T11:21:44Z</t>
  </si>
  <si>
    <t>5162336_1292793</t>
  </si>
  <si>
    <t>Elmir Aliyev</t>
  </si>
  <si>
    <t>p_029e95e0613447dfb24d8b7ca63eeed2ea091912@inbound.aiesec.org</t>
  </si>
  <si>
    <t>2022-12-03T20:54:34Z</t>
  </si>
  <si>
    <t>5195479_1292847</t>
  </si>
  <si>
    <t>Sıla Bagalalı</t>
  </si>
  <si>
    <t>p_254872e0210ccc59925d356775d7958b252f6155@inbound.aiesec.org</t>
  </si>
  <si>
    <t>https://expa.aiesec.org/opportunities/1292847</t>
  </si>
  <si>
    <t>2023-02-20T19:52:41Z</t>
  </si>
  <si>
    <t>5152025_1292793</t>
  </si>
  <si>
    <t>Alexandra-Maria Sima</t>
  </si>
  <si>
    <t>p_ec66f367d1bb78b8c62b00a46feaf5e673dce26b@inbound.aiesec.org</t>
  </si>
  <si>
    <t>2022-11-13T11:45:05Z</t>
  </si>
  <si>
    <t>4506352_1290673</t>
  </si>
  <si>
    <t>Merve Ekinci</t>
  </si>
  <si>
    <t>p_95f460fa6021f2c1b06a8e0ebc183abd31c098da@inbound.aiesec.org</t>
  </si>
  <si>
    <t>https://expa.aiesec.org/opportunities/1290673</t>
  </si>
  <si>
    <t>International Accountmanager</t>
  </si>
  <si>
    <t>2021-01-02T16:46:34Z</t>
  </si>
  <si>
    <t>5226617_1287101</t>
  </si>
  <si>
    <t>deleted 5226617</t>
  </si>
  <si>
    <t>p_74651939ae78a196e4acc757a5031840ed11f01b@inbound.aiesec.org</t>
  </si>
  <si>
    <t>Institut supérieur des sciences biologiques appliquées de Tunis ISSBAT</t>
  </si>
  <si>
    <t>2023-03-25T12:05:18Z</t>
  </si>
  <si>
    <t>5224720_1288721</t>
  </si>
  <si>
    <t>Sejal Patil</t>
  </si>
  <si>
    <t>p_f49cf7ba7387ba1a44c5ecd8fb962c701a7f474e@inbound.aiesec.org</t>
  </si>
  <si>
    <t>Manipal Centre for European Studies, Manipal</t>
  </si>
  <si>
    <t>2023-03-23T10:21:13Z</t>
  </si>
  <si>
    <t>3901570_1287662</t>
  </si>
  <si>
    <t>Abdullah Amin Chotani</t>
  </si>
  <si>
    <t>p_0a0f7fd96c7c5ad0f6ed542c5393b744d9e35dc9@inbound.aiesec.org</t>
  </si>
  <si>
    <t>2019-10-17T10:20:33Z</t>
  </si>
  <si>
    <t>5202499_1289536</t>
  </si>
  <si>
    <t>Anastasiya Levchenko</t>
  </si>
  <si>
    <t>p_c4b592b00bda13e37f9c009fc35768b5a28ac190@inbound.aiesec.org</t>
  </si>
  <si>
    <t>2023-03-01T13:31:00Z</t>
  </si>
  <si>
    <t>5213986_1286920</t>
  </si>
  <si>
    <t>Shehryar Hassan</t>
  </si>
  <si>
    <t>p_8eba6fd493b250749d4a794e07752d4c82c925dd@inbound.aiesec.org</t>
  </si>
  <si>
    <t>2023-03-12T17:10:55Z</t>
  </si>
  <si>
    <t>5227326_1289536</t>
  </si>
  <si>
    <t>imane aboukir</t>
  </si>
  <si>
    <t>p_caf3f2bd378b1ea59eec279c440f1c892144e9de@inbound.aiesec.org</t>
  </si>
  <si>
    <t>Other-KENITRA</t>
  </si>
  <si>
    <t>2023-03-26T11:54:43Z</t>
  </si>
  <si>
    <t>5215634_1290282</t>
  </si>
  <si>
    <t>ilayda Tosun</t>
  </si>
  <si>
    <t>p_b09bdbade1ada982620c74ecdd1174b53fa3a6b0@inbound.aiesec.org</t>
  </si>
  <si>
    <t>2023-03-14T11:28:36Z</t>
  </si>
  <si>
    <t>5220437_1290282</t>
  </si>
  <si>
    <t>Sude Naz Yıldırım</t>
  </si>
  <si>
    <t>p_d5553af96a6aeffe97b4e3c599979a5c81dfb095@inbound.aiesec.org</t>
  </si>
  <si>
    <t>2023-03-18T15:48:50Z</t>
  </si>
  <si>
    <t>4431073_1286585</t>
  </si>
  <si>
    <t>Ahmet Koçak</t>
  </si>
  <si>
    <t>p_d99b9bd0e5cf5404d92091f72acf1b59b3487a83@inbound.aiesec.org</t>
  </si>
  <si>
    <t>2020-11-20T22:03:36Z</t>
  </si>
  <si>
    <t>5224861_1288414</t>
  </si>
  <si>
    <t>Zeynep Uğurlu</t>
  </si>
  <si>
    <t>p_75ee80b744cb505d49be8a3a33f5a87a25bd4624@inbound.aiesec.org</t>
  </si>
  <si>
    <t>2023-03-23T12:46:44Z</t>
  </si>
  <si>
    <t>4659539_1283991</t>
  </si>
  <si>
    <t>Jeyanthram Venkatesan</t>
  </si>
  <si>
    <t>p_c5f0ebf156799b9beac9bc90aa619ebfad5378da@inbound.aiesec.org</t>
  </si>
  <si>
    <t>+4915751055521</t>
  </si>
  <si>
    <t>KAISERSLAUTERN</t>
  </si>
  <si>
    <t>https://expa.aiesec.org/opportunities/1283991</t>
  </si>
  <si>
    <t>Kaiserslautern</t>
  </si>
  <si>
    <t>2021-06-03T17:23:03Z</t>
  </si>
  <si>
    <t>5222333_1292157</t>
  </si>
  <si>
    <t>Saropa Rani</t>
  </si>
  <si>
    <t>p_79b222eb700a499ba08975b32ffec164904831c2@inbound.aiesec.org</t>
  </si>
  <si>
    <t>2023-03-21T08:55:10Z</t>
  </si>
  <si>
    <t>5220915_1286958</t>
  </si>
  <si>
    <t>Samal Shamova</t>
  </si>
  <si>
    <t>p_df4f3617d3f507d61f00f1fc819d440bc3cdc7e9@inbound.aiesec.org</t>
  </si>
  <si>
    <t>2023-03-19T13:21:51Z</t>
  </si>
  <si>
    <t>5112608_1293333</t>
  </si>
  <si>
    <t>https://expa.aiesec.org/opportunities/1293333</t>
  </si>
  <si>
    <t>5207094_1292793</t>
  </si>
  <si>
    <t>Amina Bolyssova</t>
  </si>
  <si>
    <t>p_219a53fadaacc6e1f50837a7764e0068ea4a8e11@inbound.aiesec.org</t>
  </si>
  <si>
    <t>2023-03-06T08:09:24Z</t>
  </si>
  <si>
    <t>4582712_1287708</t>
  </si>
  <si>
    <t>Otávio Nascimento</t>
  </si>
  <si>
    <t>p_4f00a4ca22d0628b1ee85ad01f318def5371ba56@inbound.aiesec.org</t>
  </si>
  <si>
    <t>2021-03-18T01:48:54Z</t>
  </si>
  <si>
    <t>5211384_1289255</t>
  </si>
  <si>
    <t>Zoubida Chamchati</t>
  </si>
  <si>
    <t>p_7b3e8dee6a960a4126336ded3d6f3813c13d0547@inbound.aiesec.org</t>
  </si>
  <si>
    <t>FS Semlalia Marrakech</t>
  </si>
  <si>
    <t>2023-03-09T19:16:01Z</t>
  </si>
  <si>
    <t>5178855_1293586</t>
  </si>
  <si>
    <t>Ayşegül Ecer</t>
  </si>
  <si>
    <t>p_0b95870163de77a9499b8e843350eddfb84ecc87@inbound.aiesec.org</t>
  </si>
  <si>
    <t>https://expa.aiesec.org/opportunities/1293586</t>
  </si>
  <si>
    <t>2023-01-20T18:27:05Z</t>
  </si>
  <si>
    <t>5228305_1293548</t>
  </si>
  <si>
    <t>Hilal Kuleyin</t>
  </si>
  <si>
    <t>p_7a09044cd01eab65de6df210e284aaecae30fa98@inbound.aiesec.org</t>
  </si>
  <si>
    <t>Pavia</t>
  </si>
  <si>
    <t>https://expa.aiesec.org/opportunities/1293548</t>
  </si>
  <si>
    <t>2023-03-27T16:33:15Z</t>
  </si>
  <si>
    <t>5228017_1289536</t>
  </si>
  <si>
    <t>Emna Ferchichi</t>
  </si>
  <si>
    <t>p_4b6bd17e75d32377081fc35095a05972bbf8d76f@inbound.aiesec.org</t>
  </si>
  <si>
    <t>2023-03-27T10:53:53Z</t>
  </si>
  <si>
    <t>5227288_1292396</t>
  </si>
  <si>
    <t>Kader Gönül O</t>
  </si>
  <si>
    <t>p_8254aaa80e5b0745d7c3446687f40927bd371ea3@inbound.aiesec.org</t>
  </si>
  <si>
    <t>https://expa.aiesec.org/opportunities/1292396</t>
  </si>
  <si>
    <t>German teacher at cairo</t>
  </si>
  <si>
    <t>ERZINCAN</t>
  </si>
  <si>
    <t>2023-03-26T10:30:03Z</t>
  </si>
  <si>
    <t>5036015_1286920</t>
  </si>
  <si>
    <t>Aamna Salman</t>
  </si>
  <si>
    <t>p_7672419f0cc44db95310e760fb4d1b324ff003b2@inbound.aiesec.org</t>
  </si>
  <si>
    <t>2022-04-11T18:01:21Z</t>
  </si>
  <si>
    <t>4566346_1287662</t>
  </si>
  <si>
    <t>Bianca Burlacu</t>
  </si>
  <si>
    <t>p_4283adcce8e832dac7c6bd57705f972f24149f4f@inbound.aiesec.org</t>
  </si>
  <si>
    <t>2021-03-03T18:11:43Z</t>
  </si>
  <si>
    <t>5077561_1287662</t>
  </si>
  <si>
    <t>Muhammad Zaid Kharadi</t>
  </si>
  <si>
    <t>p_0508b3797cbcd744c09606a0baae3001df812ce5@inbound.aiesec.org</t>
  </si>
  <si>
    <t>2022-06-28T16:10:09Z</t>
  </si>
  <si>
    <t>5172455_1293138</t>
  </si>
  <si>
    <t>Aydın Kerem Arslan</t>
  </si>
  <si>
    <t>p_7ec4e5d694a79faefcd5834b3749314a7271de24@inbound.aiesec.org</t>
  </si>
  <si>
    <t>https://expa.aiesec.org/opportunities/1293138</t>
  </si>
  <si>
    <t>2023-01-02T15:29:39Z</t>
  </si>
  <si>
    <t>5230258_1289255</t>
  </si>
  <si>
    <t>Souhaila Igdem</t>
  </si>
  <si>
    <t>p_c68e68e3a133a53cc2b2fa5cad65805cb82388c3@inbound.aiesec.org</t>
  </si>
  <si>
    <t>2023-03-29T16:23:16Z</t>
  </si>
  <si>
    <t>5230024_1293125</t>
  </si>
  <si>
    <t>Özge Ecem Güler</t>
  </si>
  <si>
    <t>p_27e171bbf87eeb038605d5b55d01b9f1f0b44721@inbound.aiesec.org</t>
  </si>
  <si>
    <t>2023-03-29T13:06:47Z</t>
  </si>
  <si>
    <t>4993835_1287942</t>
  </si>
  <si>
    <t>5228897_1289161</t>
  </si>
  <si>
    <t>mehdi ahmad</t>
  </si>
  <si>
    <t>p_61fcc11e518f0c5f380636a20240d4a30ed3aed5@inbound.aiesec.org</t>
  </si>
  <si>
    <t>https://expa.aiesec.org/opportunities/1289161</t>
  </si>
  <si>
    <t xml:space="preserve">Research Intern | Automotive Engineering| In India  </t>
  </si>
  <si>
    <t>2023-03-28T10:57:12Z</t>
  </si>
  <si>
    <t>5227550_1293417</t>
  </si>
  <si>
    <t>Dumitrescu Alexandru</t>
  </si>
  <si>
    <t>p_2a65c59e572c9c0b04beddbe45b49fefc37ff97f@inbound.aiesec.org</t>
  </si>
  <si>
    <t>https://expa.aiesec.org/opportunities/1293417</t>
  </si>
  <si>
    <t>2023-03-26T17:04:46Z</t>
  </si>
  <si>
    <t>744612_1292158</t>
  </si>
  <si>
    <t>Hüseyin Çelik</t>
  </si>
  <si>
    <t>p_d07c8b5f832ee32ce7e38c7b7ad998fb281fdc6a@inbound.aiesec.org</t>
  </si>
  <si>
    <t>https://expa.aiesec.org/opportunities/1292158</t>
  </si>
  <si>
    <t xml:space="preserve">Customer Data Administrator </t>
  </si>
  <si>
    <t>2015-10-25T05:13:31Z</t>
  </si>
  <si>
    <t>4598033_1284476</t>
  </si>
  <si>
    <t>Med Aziz Ghazzai</t>
  </si>
  <si>
    <t>p_5ea0c960aa22490f2eec329c1eb97a84d0aec5f5@inbound.aiesec.org</t>
  </si>
  <si>
    <t>2021-03-30T04:41:20Z</t>
  </si>
  <si>
    <t>5215472_1282065</t>
  </si>
  <si>
    <t>Ljiljana Blanuša</t>
  </si>
  <si>
    <t>p_69944485ebd80b99012f3455e08673d2558e1083@inbound.aiesec.org</t>
  </si>
  <si>
    <t>https://expa.aiesec.org/opportunities/1282065</t>
  </si>
  <si>
    <t>2023-03-14T10:10:10Z</t>
  </si>
  <si>
    <t>5174284_1284484</t>
  </si>
  <si>
    <t>Ayesha Khalid</t>
  </si>
  <si>
    <t>p_0c7d9311add603b679e2d16d647ea0b675d8d80a@inbound.aiesec.org</t>
  </si>
  <si>
    <t>2023-01-08T11:12:59Z</t>
  </si>
  <si>
    <t>5215738_1288265</t>
  </si>
  <si>
    <t>Ayman Aboutaib</t>
  </si>
  <si>
    <t>p_ac818dbcd1b2045e6198ebd638b61a5967fac50e@inbound.aiesec.org</t>
  </si>
  <si>
    <t>Ecole Nationale De Commerce Et De Gestion Meknès (ENCGM)</t>
  </si>
  <si>
    <t>2023-03-14T12:08:22Z</t>
  </si>
  <si>
    <t>5219728_1287101</t>
  </si>
  <si>
    <t>Mai Mahmoud</t>
  </si>
  <si>
    <t>p_83f0e95d64ec3d82352842b750cab7bbff74294d@inbound.aiesec.org</t>
  </si>
  <si>
    <t>2023-03-17T18:30:42Z</t>
  </si>
  <si>
    <t>5200071_1293203</t>
  </si>
  <si>
    <t>ufuk boran sarı</t>
  </si>
  <si>
    <t>p_0918a78032d2e945c2b73f7c434fbae9af2e6c47@inbound.aiesec.org</t>
  </si>
  <si>
    <t>2023-02-27T10:08:32Z</t>
  </si>
  <si>
    <t>5210096_1289671</t>
  </si>
  <si>
    <t>Maria Carey</t>
  </si>
  <si>
    <t>p_452c8c3aea316983bd1caee6ebaf2a3b549eefa1@inbound.aiesec.org</t>
  </si>
  <si>
    <t>UNITED STATES (MC)</t>
  </si>
  <si>
    <t>https://expa.aiesec.org/opportunities/1289671</t>
  </si>
  <si>
    <t>Science Teacher in Space Camp</t>
  </si>
  <si>
    <t>University of Tennessee</t>
  </si>
  <si>
    <t>2023-03-08T16:37:14Z</t>
  </si>
  <si>
    <t>5231232_1293759</t>
  </si>
  <si>
    <t>Eylül Çakır</t>
  </si>
  <si>
    <t>p_ab7b9a2d40c3fa4c3304cdc6ce19fbc35e8fb70e@inbound.aiesec.org</t>
  </si>
  <si>
    <t>https://expa.aiesec.org/opportunities/1293759</t>
  </si>
  <si>
    <t>2023-03-30T16:52:32Z</t>
  </si>
  <si>
    <t>5229041_1288721</t>
  </si>
  <si>
    <t>Rania Sbai</t>
  </si>
  <si>
    <t>p_642ef9f510a77e31b11be43595760a42a85bd46a@inbound.aiesec.org</t>
  </si>
  <si>
    <t>ENAU</t>
  </si>
  <si>
    <t>2023-03-28T13:43:57Z</t>
  </si>
  <si>
    <t>5230790_1292556</t>
  </si>
  <si>
    <t>Ibtihel Ferjani</t>
  </si>
  <si>
    <t>p_6ba64dc39f35654672a75d0329cba3b48dd1685a@inbound.aiesec.org</t>
  </si>
  <si>
    <t>https://expa.aiesec.org/opportunities/1292556</t>
  </si>
  <si>
    <t>IHE Sousse</t>
  </si>
  <si>
    <t>2023-03-30T09:01:39Z</t>
  </si>
  <si>
    <t>5230516_1293168</t>
  </si>
  <si>
    <t>Haifa Memmi</t>
  </si>
  <si>
    <t>p_e7064f3d291f7da4fdefcd86f650b4422851e462@inbound.aiesec.org</t>
  </si>
  <si>
    <t>https://expa.aiesec.org/opportunities/1293168</t>
  </si>
  <si>
    <t xml:space="preserve">Telesales Speacialist </t>
  </si>
  <si>
    <t>Pharmacie Monastir</t>
  </si>
  <si>
    <t>2023-03-29T21:22:31Z</t>
  </si>
  <si>
    <t>5229868_1291391</t>
  </si>
  <si>
    <t>Funda Sezin Altıntaş</t>
  </si>
  <si>
    <t>p_d8854c5f19baf8601204f36d955f340b6713b676@inbound.aiesec.org</t>
  </si>
  <si>
    <t>https://expa.aiesec.org/opportunities/1291391</t>
  </si>
  <si>
    <t>2023-03-29T09:46:29Z</t>
  </si>
  <si>
    <t>5229099_1293417</t>
  </si>
  <si>
    <t>Alexandra Pop</t>
  </si>
  <si>
    <t>p_8fadd84fc7829d3f2ea9eab141a6933bb33ab68c@inbound.aiesec.org</t>
  </si>
  <si>
    <t>2023-03-28T14:28:06Z</t>
  </si>
  <si>
    <t>5224961_1293335</t>
  </si>
  <si>
    <t>adem padir</t>
  </si>
  <si>
    <t>p_fae128e163c7b263135c10e15c2a17ba3dca6832@inbound.aiesec.org</t>
  </si>
  <si>
    <t>https://expa.aiesec.org/opportunities/1293335</t>
  </si>
  <si>
    <t>2023-03-23T14:21:21Z</t>
  </si>
  <si>
    <t>5102343_1286920</t>
  </si>
  <si>
    <t>Haider Farooq</t>
  </si>
  <si>
    <t>p_43d296e5a3346988e71b8a2cd3893e59af4a3660@inbound.aiesec.org</t>
  </si>
  <si>
    <t>2022-08-30T14:15:33Z</t>
  </si>
  <si>
    <t>5042925_1293261</t>
  </si>
  <si>
    <t>Merve Özışık</t>
  </si>
  <si>
    <t>p_712a04a16d30dee1d0a182575a4714d7b4bf3495@inbound.aiesec.org</t>
  </si>
  <si>
    <t>https://expa.aiesec.org/opportunities/1293261</t>
  </si>
  <si>
    <t>Business Developer Trainee</t>
  </si>
  <si>
    <t>2022-04-21T08:39:07Z</t>
  </si>
  <si>
    <t>5223394_1286585</t>
  </si>
  <si>
    <t>Eysa Şeyma Çakır</t>
  </si>
  <si>
    <t>p_35fe045ca1ebf3b5baee7d7da7cc8b62c174f233@inbound.aiesec.org</t>
  </si>
  <si>
    <t>2023-03-22T08:48:23Z</t>
  </si>
  <si>
    <t>5044370_1291929</t>
  </si>
  <si>
    <t>Lisa Araújo</t>
  </si>
  <si>
    <t>p_436778a540a81eda970004381e4b2b310c4b063b@inbound.aiesec.org</t>
  </si>
  <si>
    <t>Universidade do Minho - Escola de Economia e Gestão (EEGUM)</t>
  </si>
  <si>
    <t>2022-04-23T08:25:12Z</t>
  </si>
  <si>
    <t>5213295_1289671</t>
  </si>
  <si>
    <t>Jaden Dietz</t>
  </si>
  <si>
    <t>p_c9387f84caee0313e2e222fb4647e6d2e09f6994@inbound.aiesec.org</t>
  </si>
  <si>
    <t>The Ohio State University</t>
  </si>
  <si>
    <t>2023-03-11T17:54:16Z</t>
  </si>
  <si>
    <t>5210785_1292062</t>
  </si>
  <si>
    <t>Mustafa Özyurt</t>
  </si>
  <si>
    <t>p_098da61ff8ef8a4eb72df2f54481c781953f07d2@inbound.aiesec.org</t>
  </si>
  <si>
    <t>https://expa.aiesec.org/opportunities/1292062</t>
  </si>
  <si>
    <t>Embedded Developer - Computing at the Edge</t>
  </si>
  <si>
    <t>2023-03-09T10:49:13Z</t>
  </si>
  <si>
    <t>5211812_1285687</t>
  </si>
  <si>
    <t>Alma El mekki</t>
  </si>
  <si>
    <t>p_edbd85ccbb2f7a59c803eb2951ab8152b3a84a82@inbound.aiesec.org</t>
  </si>
  <si>
    <t>2023-03-10T09:15:58Z</t>
  </si>
  <si>
    <t>5230315_1281414</t>
  </si>
  <si>
    <t>Shady El sabbagh</t>
  </si>
  <si>
    <t>p_c83be70b1e4a0b6ba7354e87aec6e18e5f2edbf4@inbound.aiesec.org</t>
  </si>
  <si>
    <t>https://expa.aiesec.org/opportunities/1281414</t>
  </si>
  <si>
    <t>2023-03-29T17:02:59Z</t>
  </si>
  <si>
    <t>5224636_1293742</t>
  </si>
  <si>
    <t>Aslan Çakırdoğan</t>
  </si>
  <si>
    <t>p_2c9534d8fe824ccd46e3eecc34437ed8db45d77e@inbound.aiesec.org</t>
  </si>
  <si>
    <t>https://expa.aiesec.org/opportunities/1293742</t>
  </si>
  <si>
    <t>2023-03-23T09:14:48Z</t>
  </si>
  <si>
    <t>5230564_1281195</t>
  </si>
  <si>
    <t>Sowayba Haggag</t>
  </si>
  <si>
    <t>p_428decfd02eb6483260ad586f7e686fc7bf26bf1@inbound.aiesec.org</t>
  </si>
  <si>
    <t>+20 114 558 8598</t>
  </si>
  <si>
    <t>2023-03-29T22:54:56Z</t>
  </si>
  <si>
    <t>5230609_1288280</t>
  </si>
  <si>
    <t>Tayseer Ali</t>
  </si>
  <si>
    <t>p_1e16546a53868135bed066fdcce2b02b15dc9f41@inbound.aiesec.org</t>
  </si>
  <si>
    <t>2023-03-30T00:34:16Z</t>
  </si>
  <si>
    <t>5215008_1293200</t>
  </si>
  <si>
    <t>deniz lochte</t>
  </si>
  <si>
    <t>p_7fd4338f1b934edacf1bbb189ec938c288ce8db8@inbound.aiesec.org</t>
  </si>
  <si>
    <t>https://expa.aiesec.org/opportunities/1293200</t>
  </si>
  <si>
    <t>2023-03-13T18:49:10Z</t>
  </si>
  <si>
    <t>5229773_1288280</t>
  </si>
  <si>
    <t>Maria Vataman</t>
  </si>
  <si>
    <t>p_64b0b78c1e95c2e83d7910e907fa38a0263b42db@inbound.aiesec.org</t>
  </si>
  <si>
    <t>2023-03-29T08:19:23Z</t>
  </si>
  <si>
    <t>5228321_1290469</t>
  </si>
  <si>
    <t>Jéssica Silva</t>
  </si>
  <si>
    <t>p_426e43d11358e28a9df0d9b902d6d1f79367089d@inbound.aiesec.org</t>
  </si>
  <si>
    <t>RECIFE</t>
  </si>
  <si>
    <t>Recife</t>
  </si>
  <si>
    <t>2023-03-27T16:55:18Z</t>
  </si>
  <si>
    <t>5221977_1292384</t>
  </si>
  <si>
    <t>Ceylin Padır</t>
  </si>
  <si>
    <t>p_3563dc63f15cf8511194f1e0467f44a0c74537cf@inbound.aiesec.org</t>
  </si>
  <si>
    <t>https://expa.aiesec.org/opportunities/1292384</t>
  </si>
  <si>
    <t>2023-03-20T18:12:30Z</t>
  </si>
  <si>
    <t>5226063_1281901</t>
  </si>
  <si>
    <t>Kaan Buyukdemirci</t>
  </si>
  <si>
    <t>p_e0c76ea3be48a68b09ff54e44621064d5ed3e341@inbound.aiesec.org</t>
  </si>
  <si>
    <t>2023-03-24T16:56:11Z</t>
  </si>
  <si>
    <t>5224414_1290053</t>
  </si>
  <si>
    <t>Emine Salman</t>
  </si>
  <si>
    <t>p_b56442c5a783dfbaa18ee2eb6793269ecffd5667@inbound.aiesec.org</t>
  </si>
  <si>
    <t>https://expa.aiesec.org/opportunities/1290053</t>
  </si>
  <si>
    <t>2023-03-22T22:07:31Z</t>
  </si>
  <si>
    <t>5021082_1291634</t>
  </si>
  <si>
    <t>Areesha Qasim</t>
  </si>
  <si>
    <t>p_87777e771cbbcf05ce48650139044ad248642a44@inbound.aiesec.org</t>
  </si>
  <si>
    <t>2022-04-02T09:09:15Z</t>
  </si>
  <si>
    <t>5224882_1292793</t>
  </si>
  <si>
    <t>Alexandra Timiș</t>
  </si>
  <si>
    <t>p_5a34000f84b0c2a1f51035b022b37c0156e5803c@inbound.aiesec.org</t>
  </si>
  <si>
    <t>2023-03-23T13:14:10Z</t>
  </si>
  <si>
    <t>5222718_1290260</t>
  </si>
  <si>
    <t>Lale Işık</t>
  </si>
  <si>
    <t>p_6116f7019351edc60b79ec17c66ba5c3bc2ed3c1@inbound.aiesec.org</t>
  </si>
  <si>
    <t>2023-03-21T13:44:28Z</t>
  </si>
  <si>
    <t>4400485_1289328</t>
  </si>
  <si>
    <t>Lívia Lima</t>
  </si>
  <si>
    <t>p_9daf4693a0e8026fb1b2bf182aec47144341c8ff@inbound.aiesec.org</t>
  </si>
  <si>
    <t>34 991735947</t>
  </si>
  <si>
    <t>2020-10-19T11:32:08Z</t>
  </si>
  <si>
    <t>5232964_1291819</t>
  </si>
  <si>
    <t>Ali Balcan</t>
  </si>
  <si>
    <t>p_c15bb86c4038fe5a0ed460aceffba8c727d5f729@inbound.aiesec.org</t>
  </si>
  <si>
    <t>2023-04-01T21:07:45Z</t>
  </si>
  <si>
    <t>5232922_1290282</t>
  </si>
  <si>
    <t>p_1cf7ebfda6f5cd4febc0f8152753edb7a9a9b0fe@inbound.aiesec.org</t>
  </si>
  <si>
    <t>2023-04-01T18:50:53Z</t>
  </si>
  <si>
    <t>5232900_1291819</t>
  </si>
  <si>
    <t>Birgül Güngör</t>
  </si>
  <si>
    <t>p_e89e97e5a7b88aafe7755810702beef62a394dbb@inbound.aiesec.org</t>
  </si>
  <si>
    <t>2023-04-01T17:54:32Z</t>
  </si>
  <si>
    <t>5223028_1287488</t>
  </si>
  <si>
    <t>Yosr Chouchene</t>
  </si>
  <si>
    <t>p_1f3b439ad562ddb9d9b1d47523f5a49bc577819e@inbound.aiesec.org</t>
  </si>
  <si>
    <t>2023-03-21T17:48:50Z</t>
  </si>
  <si>
    <t>5136684_1288663</t>
  </si>
  <si>
    <t>Daria Turcin</t>
  </si>
  <si>
    <t>p_172461c87130ab7ae6097984ea7c69520513c467@inbound.aiesec.org</t>
  </si>
  <si>
    <t>2022-10-19T12:07:44Z</t>
  </si>
  <si>
    <t>5231022_1288663</t>
  </si>
  <si>
    <t>Letitia Ionescu</t>
  </si>
  <si>
    <t>p_5ea6203c26c96672eaaf37fe79e95d0ee22101df@inbound.aiesec.org</t>
  </si>
  <si>
    <t>2023-03-30T13:33:53Z</t>
  </si>
  <si>
    <t>4582446_1292557</t>
  </si>
  <si>
    <t>nour boukattaya</t>
  </si>
  <si>
    <t>p_3c9160a8fb9bff7466c7554195f3c9d3ecd52170@inbound.aiesec.org</t>
  </si>
  <si>
    <t>2021-03-17T21:24:48Z</t>
  </si>
  <si>
    <t>5067277_1291055</t>
  </si>
  <si>
    <t>Salma Hani</t>
  </si>
  <si>
    <t>p_5e8def50cd5bed7d5680f7dbac9a7b8df3296dac@inbound.aiesec.org</t>
  </si>
  <si>
    <t>Benha University</t>
  </si>
  <si>
    <t>2022-06-01T23:25:08Z</t>
  </si>
  <si>
    <t>5229378_1292557</t>
  </si>
  <si>
    <t>Jemni Aleedine</t>
  </si>
  <si>
    <t>p_941dce438e3828b439dab570c8726037963bb341@inbound.aiesec.org</t>
  </si>
  <si>
    <t>2023-03-28T18:51:51Z</t>
  </si>
  <si>
    <t>5228430_1292571</t>
  </si>
  <si>
    <t>Nehir Küçük</t>
  </si>
  <si>
    <t>p_3a78d93f9b138b3761ea50a0e11f318fdc556900@inbound.aiesec.org</t>
  </si>
  <si>
    <t>2023-03-27T19:10:36Z</t>
  </si>
  <si>
    <t>5051445_1289829</t>
  </si>
  <si>
    <t>Furkan Duran</t>
  </si>
  <si>
    <t>p_29e6e035f191a540e8a1b53924c34af0fc9a6def@inbound.aiesec.org</t>
  </si>
  <si>
    <t>https://expa.aiesec.org/opportunities/1289829</t>
  </si>
  <si>
    <t>2022-05-05T10:27:29Z</t>
  </si>
  <si>
    <t>5227089_1293611</t>
  </si>
  <si>
    <t>Merve kocak</t>
  </si>
  <si>
    <t>p_f590bed72722d74c551388830eae7bde8d3cb088@inbound.aiesec.org</t>
  </si>
  <si>
    <t>https://expa.aiesec.org/opportunities/1293611</t>
  </si>
  <si>
    <t>2023-03-25T21:30:42Z</t>
  </si>
  <si>
    <t>5226105_1292571</t>
  </si>
  <si>
    <t>İlayda Güldağ</t>
  </si>
  <si>
    <t>p_1d9035b3b357dfbe603aa523a9ca9388675893f6@inbound.aiesec.org</t>
  </si>
  <si>
    <t>2023-03-24T18:24:09Z</t>
  </si>
  <si>
    <t>5224897_1291648</t>
  </si>
  <si>
    <t>Madina İbragimova</t>
  </si>
  <si>
    <t>p_9c143b3735d04026f39cc34ad950dc200986931d@inbound.aiesec.org</t>
  </si>
  <si>
    <t>https://expa.aiesec.org/opportunities/1291648</t>
  </si>
  <si>
    <t>Digital Brand Ambassador</t>
  </si>
  <si>
    <t>2023-03-23T13:29:29Z</t>
  </si>
  <si>
    <t>5214254_1292571</t>
  </si>
  <si>
    <t>Muhanmode Abulimiti</t>
  </si>
  <si>
    <t>p_3c0121a26aafef2446ace01dcd99c23b876481cc@inbound.aiesec.org</t>
  </si>
  <si>
    <t>2023-03-13T05:19:14Z</t>
  </si>
  <si>
    <t>5220136_1293245</t>
  </si>
  <si>
    <t>Ertuğrul Emir Kuyumcu</t>
  </si>
  <si>
    <t>p_cd97522c2b5a6573b87c11e01c1516de3552decd@inbound.aiesec.org</t>
  </si>
  <si>
    <t>LUENEBURG</t>
  </si>
  <si>
    <t>https://expa.aiesec.org/opportunities/1293245</t>
  </si>
  <si>
    <t>2023-03-18T11:59:26Z</t>
  </si>
  <si>
    <t>5219109_1293245</t>
  </si>
  <si>
    <t>Helen Yagan</t>
  </si>
  <si>
    <t>p_9ed18484195d1bfaa003c81536505e7ece25afe6@inbound.aiesec.org</t>
  </si>
  <si>
    <t>2023-03-17T06:51:55Z</t>
  </si>
  <si>
    <t>5232094_1293835</t>
  </si>
  <si>
    <t>yasemin yılmaz</t>
  </si>
  <si>
    <t>p_3615151cf773ac763d357fa3fdab26573fe0b498@inbound.aiesec.org</t>
  </si>
  <si>
    <t>https://expa.aiesec.org/opportunities/1293835</t>
  </si>
  <si>
    <t>2023-03-31T14:17:52Z</t>
  </si>
  <si>
    <t>5234234_1289536</t>
  </si>
  <si>
    <t>Mohamed dhia Braiek</t>
  </si>
  <si>
    <t>p_ccb06bd1ac8d9653a5b9cd41aef55e5a4d512f08@inbound.aiesec.org</t>
  </si>
  <si>
    <t>+21690731814</t>
  </si>
  <si>
    <t>2023-04-03T18:35:17Z</t>
  </si>
  <si>
    <t>5233988_1292556</t>
  </si>
  <si>
    <t>Rana aissa</t>
  </si>
  <si>
    <t>p_c66084364b55690ee2a6a467575a6d9086a8f7c2@inbound.aiesec.org</t>
  </si>
  <si>
    <t>2023-04-03T13:11:47Z</t>
  </si>
  <si>
    <t>4723533_1293495</t>
  </si>
  <si>
    <t>yasmine cheikh</t>
  </si>
  <si>
    <t>p_760fecda57a57ece1d35141f05a17eb95b9c2ff2@inbound.aiesec.org</t>
  </si>
  <si>
    <t>2021-08-30T16:02:27Z</t>
  </si>
  <si>
    <t>4404497_1291929</t>
  </si>
  <si>
    <t>Amr Emad</t>
  </si>
  <si>
    <t>p_3b935b88fa12fe2fa84fd97a3129b8af1ba335c8@inbound.aiesec.org</t>
  </si>
  <si>
    <t>2020-10-22T21:36:38Z</t>
  </si>
  <si>
    <t>5207467_1293680</t>
  </si>
  <si>
    <t>Emir Mustafa Akdemir</t>
  </si>
  <si>
    <t>p_b2d82f69342e4784a7c897afd22e82bb361460a4@inbound.aiesec.org</t>
  </si>
  <si>
    <t>https://expa.aiesec.org/opportunities/1293680</t>
  </si>
  <si>
    <t>Sales</t>
  </si>
  <si>
    <t>2023-03-06T13:30:33Z</t>
  </si>
  <si>
    <t>5223742_1288280</t>
  </si>
  <si>
    <t>Shady Ahmed</t>
  </si>
  <si>
    <t>p_0d8268743650cc6eb9f975e9540023a84ab2abe5@inbound.aiesec.org</t>
  </si>
  <si>
    <t>Sherouk Academy</t>
  </si>
  <si>
    <t>2023-03-22T11:54:23Z</t>
  </si>
  <si>
    <t>5217680_1292944</t>
  </si>
  <si>
    <t>Ceylan Ondogan</t>
  </si>
  <si>
    <t>p_5593fe9461f180ec6e2e2700cea95b7a2f3f94bc@inbound.aiesec.org</t>
  </si>
  <si>
    <t>https://expa.aiesec.org/opportunities/1292944</t>
  </si>
  <si>
    <t>2023-03-15T17:10:50Z</t>
  </si>
  <si>
    <t>5206238_1291929</t>
  </si>
  <si>
    <t>Mohammed Elsabry</t>
  </si>
  <si>
    <t>p_e0191b51375dcca3088a683a85e85c0874d7842c@inbound.aiesec.org</t>
  </si>
  <si>
    <t>2023-03-05T11:49:20Z</t>
  </si>
  <si>
    <t>5234994_1294000</t>
  </si>
  <si>
    <t>ipek kamçı</t>
  </si>
  <si>
    <t>p_261252ead8e977af84a914f8f8b87a7dcfd0bde1@inbound.aiesec.org</t>
  </si>
  <si>
    <t>https://expa.aiesec.org/opportunities/1294000</t>
  </si>
  <si>
    <t>2023-04-04T19:24:27Z</t>
  </si>
  <si>
    <t>5234045_1293200</t>
  </si>
  <si>
    <t>Aleyna Olgun</t>
  </si>
  <si>
    <t>p_3cf86a82815c128dde73ed033d3b8ef8545acb2e@inbound.aiesec.org</t>
  </si>
  <si>
    <t xml:space="preserve">505 239 14 48 </t>
  </si>
  <si>
    <t>2023-04-03T14:05:18Z</t>
  </si>
  <si>
    <t>4357021_1286236</t>
  </si>
  <si>
    <t>safa bhiri</t>
  </si>
  <si>
    <t>p_e06cf99a8fa449057a166c90865089b3f7f84ad5@inbound.aiesec.org</t>
  </si>
  <si>
    <t>2020-08-31T16:38:26Z</t>
  </si>
  <si>
    <t>5234697_1281195</t>
  </si>
  <si>
    <t>Sabrina Chaouali</t>
  </si>
  <si>
    <t>p_80bbb3cb6f1ccca793a6f929dbcca024750a7169@inbound.aiesec.org</t>
  </si>
  <si>
    <t>2023-04-04T12:27:38Z</t>
  </si>
  <si>
    <t>5232632_1288813</t>
  </si>
  <si>
    <t>Muhammad Alam</t>
  </si>
  <si>
    <t>p_839614854a078d1fda24815276f3ef30ace5467f@inbound.aiesec.org</t>
  </si>
  <si>
    <t>Karachi - Textile Institute of Pakistan</t>
  </si>
  <si>
    <t>2023-04-01T10:42:03Z</t>
  </si>
  <si>
    <t>5209119_1292962</t>
  </si>
  <si>
    <t>Saad Louhichi</t>
  </si>
  <si>
    <t>p_1007918f4abb856c0d6f83dc6e73b0e9700ab762@inbound.aiesec.org</t>
  </si>
  <si>
    <t>FDSPT</t>
  </si>
  <si>
    <t>2023-03-07T20:55:02Z</t>
  </si>
  <si>
    <t>5228304_1286326</t>
  </si>
  <si>
    <t>Yasmine Dhouib</t>
  </si>
  <si>
    <t>p_470380504917c2b0558521823ffecbb7c0b5dfe6@inbound.aiesec.org</t>
  </si>
  <si>
    <t>2023-03-27T16:32:31Z</t>
  </si>
  <si>
    <t>5058513_1293462</t>
  </si>
  <si>
    <t>poyraz güler</t>
  </si>
  <si>
    <t>p_1b762cb4f943040436e3534084caa26ca36cfb57@inbound.aiesec.org</t>
  </si>
  <si>
    <t>https://expa.aiesec.org/opportunities/1293462</t>
  </si>
  <si>
    <t>2022-05-17T09:59:02Z</t>
  </si>
  <si>
    <t>5145657_1288582</t>
  </si>
  <si>
    <t>Aiza Burkitbayeva</t>
  </si>
  <si>
    <t>p_196c0474402bc11c463bfab76cd2ec9e8c8417cd@inbound.aiesec.org</t>
  </si>
  <si>
    <t>Atyrau</t>
  </si>
  <si>
    <t>2022-11-03T08:50:05Z</t>
  </si>
  <si>
    <t>5224197_1292557</t>
  </si>
  <si>
    <t>Lina Trabelsi</t>
  </si>
  <si>
    <t>p_3e30f92a09b4fde570420f39a4e3ca4a9ec83c8d@inbound.aiesec.org</t>
  </si>
  <si>
    <t>ISTIC Borj Cedria</t>
  </si>
  <si>
    <t>2023-03-22T16:39:11Z</t>
  </si>
  <si>
    <t>5235428_1292557</t>
  </si>
  <si>
    <t>ayoub jegham</t>
  </si>
  <si>
    <t>p_ee06c22b88aee59b80129fc9406b1e4a8b8f4275@inbound.aiesec.org</t>
  </si>
  <si>
    <t>2023-04-05T10:46:53Z</t>
  </si>
  <si>
    <t>5235054_1294000</t>
  </si>
  <si>
    <t>Ahmet Öztürk</t>
  </si>
  <si>
    <t>p_1ceed921e5fa0f3e82e40e483ac686f1e83b444f@inbound.aiesec.org</t>
  </si>
  <si>
    <t>505 112 2645</t>
  </si>
  <si>
    <t>2023-04-04T21:16:37Z</t>
  </si>
  <si>
    <t>5064570_1290282</t>
  </si>
  <si>
    <t>İlke Sözdinler</t>
  </si>
  <si>
    <t>p_d78ef5c3d81686c80b43b825626cbb32e76f19a9@inbound.aiesec.org</t>
  </si>
  <si>
    <t>2022-05-27T09:04:27Z</t>
  </si>
  <si>
    <t>5228365_1285905</t>
  </si>
  <si>
    <t>Mehmet Kazanasmaz</t>
  </si>
  <si>
    <t>p_204bf1efccde43053d5ce9a7e192c33eb7e859e9@inbound.aiesec.org</t>
  </si>
  <si>
    <t>https://expa.aiesec.org/opportunities/1285905</t>
  </si>
  <si>
    <t>SANLIURFA</t>
  </si>
  <si>
    <t>2023-03-27T17:40:52Z</t>
  </si>
  <si>
    <t>4670569_1285905</t>
  </si>
  <si>
    <t>Aybala Karaca</t>
  </si>
  <si>
    <t>p_1d1d373d72e721fabb1ba189429345bcdfde5e3a@inbound.aiesec.org</t>
  </si>
  <si>
    <t>2021-06-18T10:59:18Z</t>
  </si>
  <si>
    <t>4956629_1293495</t>
  </si>
  <si>
    <t>Ulviyya Yagubova</t>
  </si>
  <si>
    <t>p_3728a92fb374cbaf58fd7e947dd0249400a13454@inbound.aiesec.org</t>
  </si>
  <si>
    <t>2022-03-01T13:11:06Z</t>
  </si>
  <si>
    <t>4915161_1293495</t>
  </si>
  <si>
    <t>Susan Alkhasova</t>
  </si>
  <si>
    <t>p_9cfef4c4e7c09eb9135087f84453d07dc6d8bfe5@inbound.aiesec.org</t>
  </si>
  <si>
    <t>2022-02-04T16:30:03Z</t>
  </si>
  <si>
    <t>5232011_1288798</t>
  </si>
  <si>
    <t>Busra Nesliturk</t>
  </si>
  <si>
    <t>p_2bb40f6a95c5566e773181e7825c4d38ac03425a@inbound.aiesec.org</t>
  </si>
  <si>
    <t>2023-03-31T12:39:04Z</t>
  </si>
  <si>
    <t>5226121_1283483</t>
  </si>
  <si>
    <t>Aru Baktiyarova</t>
  </si>
  <si>
    <t>p_5d924d97efaf7928f9634af4fbc5b60da7a73f37@inbound.aiesec.org</t>
  </si>
  <si>
    <t>Karagandy</t>
  </si>
  <si>
    <t>2023-03-24T18:45:15Z</t>
  </si>
  <si>
    <t>5236534_1292962</t>
  </si>
  <si>
    <t>Rafaa Kheriji</t>
  </si>
  <si>
    <t>p_7cb7026a87168798dd6b14dce7ed12498d725ff9@inbound.aiesec.org</t>
  </si>
  <si>
    <t>2023-04-06T18:02:04Z</t>
  </si>
  <si>
    <t>5220529_1286920</t>
  </si>
  <si>
    <t>Fatma Jied</t>
  </si>
  <si>
    <t>p_9e3e2b88f39245de70b312c5c5e9c52e74d3adbb@inbound.aiesec.org</t>
  </si>
  <si>
    <t>2023-03-18T18:33:23Z</t>
  </si>
  <si>
    <t>5236563_1290850</t>
  </si>
  <si>
    <t>İlayda Öztürk</t>
  </si>
  <si>
    <t>p_db8c165b8bcd60dd2ff8c2e31db39dbf357ffcd0@inbound.aiesec.org</t>
  </si>
  <si>
    <t>https://expa.aiesec.org/opportunities/1290850</t>
  </si>
  <si>
    <t>2023-04-06T19:06:13Z</t>
  </si>
  <si>
    <t>5235873_1294034</t>
  </si>
  <si>
    <t>irem Karabulut</t>
  </si>
  <si>
    <t>p_bbbfd52dcbc2b05576d11a8dbb9bb06aaf141066@inbound.aiesec.org</t>
  </si>
  <si>
    <t>https://expa.aiesec.org/opportunities/1294034</t>
  </si>
  <si>
    <t>2023-04-05T20:18:59Z</t>
  </si>
  <si>
    <t>5235716_1294000</t>
  </si>
  <si>
    <t>Beyzanur Bolat</t>
  </si>
  <si>
    <t>p_270c339d3443f35761e8da752a007d377723882e@inbound.aiesec.org</t>
  </si>
  <si>
    <t>2023-04-05T16:00:38Z</t>
  </si>
  <si>
    <t>4976563_1286920</t>
  </si>
  <si>
    <t>Mohamed Ilyes Boukari</t>
  </si>
  <si>
    <t>p_fa967e257fd7c5e4bf11773270906dcad3093656@inbound.aiesec.org</t>
  </si>
  <si>
    <t>2022-03-10T15:56:55Z</t>
  </si>
  <si>
    <t>5235057_1293495</t>
  </si>
  <si>
    <t>Tooba Omair</t>
  </si>
  <si>
    <t>p_20cd8b47d994a8e2b00fc786bd74f545a00f3c87@inbound.aiesec.org</t>
  </si>
  <si>
    <t>2023-04-04T21:20:55Z</t>
  </si>
  <si>
    <t>5205495_1291881</t>
  </si>
  <si>
    <t>Nuwoe  Joelene Naileh</t>
  </si>
  <si>
    <t>p_e651c6929e926af5bb5a65662deb97a470203f82@inbound.aiesec.org</t>
  </si>
  <si>
    <t>2023-03-04T14:47:05Z</t>
  </si>
  <si>
    <t>5234131_1286326</t>
  </si>
  <si>
    <t>Fidan Babayeva</t>
  </si>
  <si>
    <t>p_92f86cea76127c896e1f9d3e718b5a2c851b7103@inbound.aiesec.org</t>
  </si>
  <si>
    <t>Azerbaijan State Pedagogical University</t>
  </si>
  <si>
    <t>2023-04-03T15:53:47Z</t>
  </si>
  <si>
    <t>4988053_1288663</t>
  </si>
  <si>
    <t>Ahsan Waseem Hanif</t>
  </si>
  <si>
    <t>p_9841ea0c5aee084d69c16a410fb8f21805bfb001@inbound.aiesec.org</t>
  </si>
  <si>
    <t>2022-03-16T19:34:08Z</t>
  </si>
  <si>
    <t>5230619_1288970</t>
  </si>
  <si>
    <t>hajar Elguettaa</t>
  </si>
  <si>
    <t>p_8d695425d0e2a355af4604813082c1fe7f0a48ef@inbound.aiesec.org</t>
  </si>
  <si>
    <t>2023-03-30T01:04:31Z</t>
  </si>
  <si>
    <t>5183539_1287121</t>
  </si>
  <si>
    <t>furkan çetin</t>
  </si>
  <si>
    <t>p_7a492d88331975720eba8c78042533db9f83a90c@inbound.aiesec.org</t>
  </si>
  <si>
    <t>https://expa.aiesec.org/opportunities/1287121</t>
  </si>
  <si>
    <t>[Engine] System / Requirements Engineer</t>
  </si>
  <si>
    <t>2023-02-01T16:49:13Z</t>
  </si>
  <si>
    <t>5191093_1291375</t>
  </si>
  <si>
    <t>Chamali Gamage</t>
  </si>
  <si>
    <t>p_5ae3c5d38ddf79bd0155a86d7c0a21d9e41923cd@inbound.aiesec.org</t>
  </si>
  <si>
    <t>2023-02-15T07:30:46Z</t>
  </si>
  <si>
    <t>3702599_1290891</t>
  </si>
  <si>
    <t>İrem İnan</t>
  </si>
  <si>
    <t>p_d1c5d5e2b7f8ee4f5d9986bcbdc36475cf022009@inbound.aiesec.org</t>
  </si>
  <si>
    <t>https://expa.aiesec.org/opportunities/1290891</t>
  </si>
  <si>
    <t>2019-07-24T15:13:31Z</t>
  </si>
  <si>
    <t>5237011_1293463</t>
  </si>
  <si>
    <t>Mehmet Eren Bağcı</t>
  </si>
  <si>
    <t>p_947c19d2a70a3da414f22ccdb84a140d4cd1771f@inbound.aiesec.org</t>
  </si>
  <si>
    <t>https://expa.aiesec.org/opportunities/1293463</t>
  </si>
  <si>
    <t>2023-04-07T11:07:27Z</t>
  </si>
  <si>
    <t>5237003_1286039</t>
  </si>
  <si>
    <t>Esra Güzel</t>
  </si>
  <si>
    <t>p_0d931c54fed3b135fb10af8833d3e2d0108514c2@inbound.aiesec.org</t>
  </si>
  <si>
    <t>2023-04-07T11:04:03Z</t>
  </si>
  <si>
    <t>5236989_1286039</t>
  </si>
  <si>
    <t>Rabia Erdoğan</t>
  </si>
  <si>
    <t>p_d0921754834f9ed6130651ce29b7fae904e135ea@inbound.aiesec.org</t>
  </si>
  <si>
    <t>534 038 91 38</t>
  </si>
  <si>
    <t>2023-04-07T10:33:35Z</t>
  </si>
  <si>
    <t>5236522_1293951</t>
  </si>
  <si>
    <t>Elif Sevda Nur DUMRU</t>
  </si>
  <si>
    <t>p_c3e09c14194e82c0076e70e1cc34e4f40e97a5b3@inbound.aiesec.org</t>
  </si>
  <si>
    <t>https://expa.aiesec.org/opportunities/1293951</t>
  </si>
  <si>
    <t>2023-04-06T17:47:24Z</t>
  </si>
  <si>
    <t>5236508_1286039</t>
  </si>
  <si>
    <t>Leyla Orak</t>
  </si>
  <si>
    <t>p_5bcb3e4bb0d868f9f5bfa684acb641dfb5ac13e0@inbound.aiesec.org</t>
  </si>
  <si>
    <t>537 976 08 71</t>
  </si>
  <si>
    <t>2023-04-06T17:28:27Z</t>
  </si>
  <si>
    <t>5236472_1290282</t>
  </si>
  <si>
    <t>Yağmur Beyaztaş</t>
  </si>
  <si>
    <t>p_6d0424afddf347ef670f4ed948d073b999291d6b@inbound.aiesec.org</t>
  </si>
  <si>
    <t>2023-04-06T16:37:07Z</t>
  </si>
  <si>
    <t>3228151_1292962</t>
  </si>
  <si>
    <t>ameni jaziri</t>
  </si>
  <si>
    <t>p_f91c4955f25c11f2ab4c5da0874f12ab1b965177@inbound.aiesec.org</t>
  </si>
  <si>
    <t>2019-03-15T20:15:59Z</t>
  </si>
  <si>
    <t>5220116_1290282</t>
  </si>
  <si>
    <t>Zeynep Menek</t>
  </si>
  <si>
    <t>p_419592fac8bc90b4dfaddea02027550e9d4fea00@inbound.aiesec.org</t>
  </si>
  <si>
    <t>2023-03-18T11:43:01Z</t>
  </si>
  <si>
    <t>5234299_1293691</t>
  </si>
  <si>
    <t>Saliha Altundağ</t>
  </si>
  <si>
    <t>p_cb2a05b7b93aebbb9c6405075a1d1750bcc12c38@inbound.aiesec.org</t>
  </si>
  <si>
    <t>5398894,98</t>
  </si>
  <si>
    <t>https://expa.aiesec.org/opportunities/1293691</t>
  </si>
  <si>
    <t>2023-04-03T20:28:36Z</t>
  </si>
  <si>
    <t>5230263_1283483</t>
  </si>
  <si>
    <t>Mina Matta Dawood</t>
  </si>
  <si>
    <t>p_cebd4168026cf0852260206a0fa8f2265cd2176a@inbound.aiesec.org</t>
  </si>
  <si>
    <t>2023-03-29T16:31:14Z</t>
  </si>
  <si>
    <t>5230477_1292667</t>
  </si>
  <si>
    <t>Ipek Savcı</t>
  </si>
  <si>
    <t>p_8577ea5ab6d711c39ad38c357fc114dd66896dac@inbound.aiesec.org</t>
  </si>
  <si>
    <t>https://expa.aiesec.org/opportunities/1292667</t>
  </si>
  <si>
    <t>2023-03-29T20:17:30Z</t>
  </si>
  <si>
    <t>5193178_1284484</t>
  </si>
  <si>
    <t>Giorgi Abuladze</t>
  </si>
  <si>
    <t>p_8b31f9c887254928318f641430474b816111ce30@inbound.aiesec.org</t>
  </si>
  <si>
    <t>Ilia state University</t>
  </si>
  <si>
    <t>2023-02-17T16:47:35Z</t>
  </si>
  <si>
    <t>5223103_1293467</t>
  </si>
  <si>
    <t>Zeynep Nil Erkoç</t>
  </si>
  <si>
    <t>p_8bb09e6104d3ea8778d14e36e57ba6a60674d345@inbound.aiesec.org</t>
  </si>
  <si>
    <t>https://expa.aiesec.org/opportunities/1293467</t>
  </si>
  <si>
    <t>2023-03-21T19:26:26Z</t>
  </si>
  <si>
    <t>5182379_1293468</t>
  </si>
  <si>
    <t>Öykü Kılıç</t>
  </si>
  <si>
    <t>p_2588925e25c08288210b83d79a799c687b055851@inbound.aiesec.org</t>
  </si>
  <si>
    <t>https://expa.aiesec.org/opportunities/1293468</t>
  </si>
  <si>
    <t>2023-01-30T18:34:04Z</t>
  </si>
  <si>
    <t>5237499_1289686</t>
  </si>
  <si>
    <t>Hadeer Hesham</t>
  </si>
  <si>
    <t>p_05cb1a7fbedbae4b2d4eab86fdc35f114e9da373@inbound.aiesec.org</t>
  </si>
  <si>
    <t>2023-04-08T10:28:39Z</t>
  </si>
  <si>
    <t>5235087_1293625</t>
  </si>
  <si>
    <t>Muhammed Yiğit Koçak</t>
  </si>
  <si>
    <t>p_f29b040f232103e27e0527324f25d34ccefcb995@inbound.aiesec.org</t>
  </si>
  <si>
    <t>https://expa.aiesec.org/opportunities/1293625</t>
  </si>
  <si>
    <t>2023-04-04T22:12:39Z</t>
  </si>
  <si>
    <t>5204210_1286368</t>
  </si>
  <si>
    <t>Yulia Mikhaylova</t>
  </si>
  <si>
    <t>p_1c36d989cc2fa48d6baba94ed5a6c5a9956fc77e@inbound.aiesec.org</t>
  </si>
  <si>
    <t>2023-03-03T04:50:05Z</t>
  </si>
  <si>
    <t>5154703_1293706</t>
  </si>
  <si>
    <t>Aniket Choudhary</t>
  </si>
  <si>
    <t>p_f1d3d705a5c411578d4c4294dcf792bf6d7d115a@inbound.aiesec.org</t>
  </si>
  <si>
    <t>https://expa.aiesec.org/opportunities/1293706</t>
  </si>
  <si>
    <t>Swami Vivekananda Subharti University, Delhi</t>
  </si>
  <si>
    <t>2022-11-17T12:54:02Z</t>
  </si>
  <si>
    <t>5232282_1286751</t>
  </si>
  <si>
    <t>Niyoshi Maniar</t>
  </si>
  <si>
    <t>p_7795fdb23f4a0344de1f4288b44cfb116f43c678@inbound.aiesec.org</t>
  </si>
  <si>
    <t>NMIMS, Vile Parle</t>
  </si>
  <si>
    <t>2023-03-31T19:15:15Z</t>
  </si>
  <si>
    <t>5174045_1289297</t>
  </si>
  <si>
    <t>İdil Eylül Durmaz</t>
  </si>
  <si>
    <t>p_e89d80b1988d5b2d4c2c3d93fa380ca14de77b03@inbound.aiesec.org</t>
  </si>
  <si>
    <t>https://expa.aiesec.org/opportunities/1289297</t>
  </si>
  <si>
    <t>2023-01-07T13:31:22Z</t>
  </si>
  <si>
    <t>5128356_1281357</t>
  </si>
  <si>
    <t>Bekzada Tazhibaeva</t>
  </si>
  <si>
    <t>p_401dd5657c7453b1ce8d7b27edcab4481500a5bb@inbound.aiesec.org</t>
  </si>
  <si>
    <t>2022-10-09T15:01:39Z</t>
  </si>
  <si>
    <t>4519233_1285687</t>
  </si>
  <si>
    <t>Nursaya Imamurat</t>
  </si>
  <si>
    <t>p_6075023d74039b035e7c33baf2b795c684db6692@inbound.aiesec.org</t>
  </si>
  <si>
    <t>2021-01-18T16:18:05Z</t>
  </si>
  <si>
    <t>5237615_1290282</t>
  </si>
  <si>
    <t>Arda Sevinç</t>
  </si>
  <si>
    <t>p_6749cb1d77aa1a018d56cc536358bb75aa36122b@inbound.aiesec.org</t>
  </si>
  <si>
    <t>2023-04-08T14:06:45Z</t>
  </si>
  <si>
    <t>5236515_1288609</t>
  </si>
  <si>
    <t>Cansu Şahin</t>
  </si>
  <si>
    <t>p_f20aa6e6935b4311f4e189ed126b33fe53cf2e87@inbound.aiesec.org</t>
  </si>
  <si>
    <t>2023-04-06T17:38:21Z</t>
  </si>
  <si>
    <t>5236375_1293172</t>
  </si>
  <si>
    <t>Natasha Mussa</t>
  </si>
  <si>
    <t>p_692568502333b5b100d38d23e6583ef6d20ae700@inbound.aiesec.org</t>
  </si>
  <si>
    <t>KATOWICE UE</t>
  </si>
  <si>
    <t>https://expa.aiesec.org/opportunities/1293172</t>
  </si>
  <si>
    <t>2023-04-06T13:41:34Z</t>
  </si>
  <si>
    <t>5233933_1291929</t>
  </si>
  <si>
    <t>Narmin Bahramova</t>
  </si>
  <si>
    <t>p_dad9b85f1b0fe9d8935607c61861063ad6f3065c@inbound.aiesec.org</t>
  </si>
  <si>
    <t>2023-04-03T11:32:26Z</t>
  </si>
  <si>
    <t>5184743_1291929</t>
  </si>
  <si>
    <t>Dinara Garayeva</t>
  </si>
  <si>
    <t>p_cfc84658cb7a543deb94b9d4a8e969c3d17d2536@inbound.aiesec.org</t>
  </si>
  <si>
    <t>2023-02-03T09:51:57Z</t>
  </si>
  <si>
    <t>4804075_1292871</t>
  </si>
  <si>
    <t>AHMET ÖMER YÜCE</t>
  </si>
  <si>
    <t>p_80f01c9af3579699557a8b0ef6111624e52086c4@inbound.aiesec.org</t>
  </si>
  <si>
    <t>SGU</t>
  </si>
  <si>
    <t>https://expa.aiesec.org/opportunities/1292871</t>
  </si>
  <si>
    <t>2021-11-15T15:31:19Z</t>
  </si>
  <si>
    <t>5238945_1289536</t>
  </si>
  <si>
    <t>Imen Meherzi</t>
  </si>
  <si>
    <t>p_4295947d457ea6f611f695fad283c7e92622cefd@inbound.aiesec.org</t>
  </si>
  <si>
    <t>2023-04-10T15:03:23Z</t>
  </si>
  <si>
    <t>5043941_1291929</t>
  </si>
  <si>
    <t>Nancy Nader</t>
  </si>
  <si>
    <t>p_f719f25f1b5f5383e7b9d00db62690d0b72d3809@inbound.aiesec.org</t>
  </si>
  <si>
    <t>2022-04-22T14:29:14Z</t>
  </si>
  <si>
    <t>5237236_1294066</t>
  </si>
  <si>
    <t>MARWA ESSALMI</t>
  </si>
  <si>
    <t>p_f321beefcf8bd44c6ea040b9df37c31b9fc67319@inbound.aiesec.org</t>
  </si>
  <si>
    <t>https://expa.aiesec.org/opportunities/1294066</t>
  </si>
  <si>
    <t>2023-04-07T18:29:28Z</t>
  </si>
  <si>
    <t>5197395_1294066</t>
  </si>
  <si>
    <t>Salma Elmane</t>
  </si>
  <si>
    <t>p_4db4f0cfb3ba24244412440bf83357320d6398d0@inbound.aiesec.org</t>
  </si>
  <si>
    <t>2023-02-23T11:21:31Z</t>
  </si>
  <si>
    <t>5210564_1289672</t>
  </si>
  <si>
    <t>Connor Helgeson</t>
  </si>
  <si>
    <t>p_fcf11be5042de1f0dd79f485ecced1477c0b9cc5@inbound.aiesec.org</t>
  </si>
  <si>
    <t>https://expa.aiesec.org/opportunities/1289672</t>
  </si>
  <si>
    <t>2023-03-09T06:43:01Z</t>
  </si>
  <si>
    <t>5137508_1288412</t>
  </si>
  <si>
    <t>Hasan Utku Put</t>
  </si>
  <si>
    <t>p_5c860a2219fe99d1a8516f600291f7ddea0db3fe@inbound.aiesec.org</t>
  </si>
  <si>
    <t>2022-10-20T14:37:45Z</t>
  </si>
  <si>
    <t>5200216_1284484</t>
  </si>
  <si>
    <t>Ping-Wen Lin</t>
  </si>
  <si>
    <t>p_2d0d0378880c89de7023af0d6a08fac2565d17d3@inbound.aiesec.org</t>
  </si>
  <si>
    <t>LEIDEN</t>
  </si>
  <si>
    <t>Leiden &amp; Den Haag / Global Volunteer</t>
  </si>
  <si>
    <t>2023-02-27T14:04:33Z</t>
  </si>
  <si>
    <t>5226882_1285687</t>
  </si>
  <si>
    <t>Ganea Sorin Daniel</t>
  </si>
  <si>
    <t>p_0bc24ed9f21e53c82e7441f1f15bca2e8c6e8b9f@inbound.aiesec.org</t>
  </si>
  <si>
    <t>2023-03-25T15:53:40Z</t>
  </si>
  <si>
    <t>5226883_1285687</t>
  </si>
  <si>
    <t>Robert-Andrei Graur</t>
  </si>
  <si>
    <t>p_7e097d318c75df49ae30d0f403b0f887c2288a61@inbound.aiesec.org</t>
  </si>
  <si>
    <t>2023-03-25T15:53:49Z</t>
  </si>
  <si>
    <t>5226884_1285687</t>
  </si>
  <si>
    <t>Preda Ionut Adrian</t>
  </si>
  <si>
    <t>p_4bd91219c6d8d52903155ba78943dda4171b6833@inbound.aiesec.org</t>
  </si>
  <si>
    <t>2023-03-25T15:54:06Z</t>
  </si>
  <si>
    <t>5178395_1292910</t>
  </si>
  <si>
    <t>Merve Naz Çağatay</t>
  </si>
  <si>
    <t>p_7a6e8c6b893d22a503890a98d89ceabe49c4a988@inbound.aiesec.org</t>
  </si>
  <si>
    <t>HUFS(Hankuk University of Foreign Studies)</t>
  </si>
  <si>
    <t>https://expa.aiesec.org/opportunities/1292910</t>
  </si>
  <si>
    <t>2023-01-19T15:31:53Z</t>
  </si>
  <si>
    <t>5232191_1293495</t>
  </si>
  <si>
    <t>Arij Hani</t>
  </si>
  <si>
    <t>p_4a8128eab3ec66d01f7df0a0f4e916ce933b6a99@inbound.aiesec.org</t>
  </si>
  <si>
    <t>ISEAH Mahdia</t>
  </si>
  <si>
    <t>2023-03-31T16:33:11Z</t>
  </si>
  <si>
    <t>5239550_1288609</t>
  </si>
  <si>
    <t>adnan yiğit ahıshalı</t>
  </si>
  <si>
    <t>p_1777caf6918b7a12dcaed328160884f74c735755@inbound.aiesec.org</t>
  </si>
  <si>
    <t>2023-04-11T13:17:34Z</t>
  </si>
  <si>
    <t>5218352_1292556</t>
  </si>
  <si>
    <t>nour miadi</t>
  </si>
  <si>
    <t>p_371fd10452beba61411fb5f3271b39257f8a41ae@inbound.aiesec.org</t>
  </si>
  <si>
    <t>2023-03-16T11:41:43Z</t>
  </si>
  <si>
    <t>4769413_1288411</t>
  </si>
  <si>
    <t>Kemal Tekoğlan</t>
  </si>
  <si>
    <t>p_1f22e125d2027c5276b759108a872f0f129e671c@inbound.aiesec.org</t>
  </si>
  <si>
    <t>2021-10-21T11:15:06Z</t>
  </si>
  <si>
    <t>5233012_1293019</t>
  </si>
  <si>
    <t>Zeynep Yaren Sarıgeçili</t>
  </si>
  <si>
    <t>p_3d64ef33f86f69a88aa9f274c097774ca4933b96@inbound.aiesec.org</t>
  </si>
  <si>
    <t>https://expa.aiesec.org/opportunities/1293019</t>
  </si>
  <si>
    <t>2023-04-01T23:48:44Z</t>
  </si>
  <si>
    <t>5207897_1291881</t>
  </si>
  <si>
    <t>deleted 5207897</t>
  </si>
  <si>
    <t>p_7fa868afb79ea521392af07c315e6a7e1a6f10c5@inbound.aiesec.org</t>
  </si>
  <si>
    <t>Pavlodar</t>
  </si>
  <si>
    <t>2023-03-06T20:46:10Z</t>
  </si>
  <si>
    <t>5232272_1291929</t>
  </si>
  <si>
    <t>João Santos</t>
  </si>
  <si>
    <t>p_16e713fb5440faf819ed38346d5e8c15da42eb4d@inbound.aiesec.org</t>
  </si>
  <si>
    <t>Instituto Politécnico do Cávado e do Ave</t>
  </si>
  <si>
    <t>2023-03-31T18:59:02Z</t>
  </si>
  <si>
    <t>5233190_1284831</t>
  </si>
  <si>
    <t>Ravan Alizada</t>
  </si>
  <si>
    <t>p_85d08952e3f7e15bab08e3200076a43fccce5ccc@inbound.aiesec.org</t>
  </si>
  <si>
    <t>2023-04-02T10:15:33Z</t>
  </si>
  <si>
    <t>5230896_1292557</t>
  </si>
  <si>
    <t>Daniela Vlas</t>
  </si>
  <si>
    <t>p_1f8e64e012db76e3da8247dc81a02e7f8ba5e6a7@inbound.aiesec.org</t>
  </si>
  <si>
    <t>2023-03-30T11:18:18Z</t>
  </si>
  <si>
    <t>5101370_1292533</t>
  </si>
  <si>
    <t>https://expa.aiesec.org/opportunities/1292533</t>
  </si>
  <si>
    <t>5240794_1272564</t>
  </si>
  <si>
    <t>Imane Bakkar</t>
  </si>
  <si>
    <t>p_a6b5f2520d8bf5a0267f603fc7008c86806b023c@inbound.aiesec.org</t>
  </si>
  <si>
    <t>EIGSI Casablanca</t>
  </si>
  <si>
    <t>2023-04-12T23:01:18Z</t>
  </si>
  <si>
    <t>4051829_1293374</t>
  </si>
  <si>
    <t>Serkan Demirci</t>
  </si>
  <si>
    <t>p_e41e99ca707dd613a0e9ab3013af0df39bc1d8fa@inbound.aiesec.org</t>
  </si>
  <si>
    <t>https://expa.aiesec.org/opportunities/1293374</t>
  </si>
  <si>
    <t xml:space="preserve">Business Developer </t>
  </si>
  <si>
    <t>2019-11-27T09:46:32Z</t>
  </si>
  <si>
    <t>4778763_1284312</t>
  </si>
  <si>
    <t>5239615_1292793</t>
  </si>
  <si>
    <t>Selin Celik</t>
  </si>
  <si>
    <t>p_f202872d49d028c95544c78bf00251063d38c2cc@inbound.aiesec.org</t>
  </si>
  <si>
    <t>2023-04-11T14:49:54Z</t>
  </si>
  <si>
    <t>5239095_1293133</t>
  </si>
  <si>
    <t>Fabian Potes</t>
  </si>
  <si>
    <t>p_f711a6c58f4a8bfb819e049507680e7729a02188@inbound.aiesec.org</t>
  </si>
  <si>
    <t>https://expa.aiesec.org/opportunities/1293133</t>
  </si>
  <si>
    <t>Bogotá - Universidad Externado De Colombia</t>
  </si>
  <si>
    <t>2023-04-10T19:45:11Z</t>
  </si>
  <si>
    <t>5119725_1294066</t>
  </si>
  <si>
    <t>Kenza BEKKALI</t>
  </si>
  <si>
    <t>p_c116fb7b30e84f07e429bd0034ba6f12aa505692@inbound.aiesec.org</t>
  </si>
  <si>
    <t>2022-09-26T13:03:38Z</t>
  </si>
  <si>
    <t>5237487_1293463</t>
  </si>
  <si>
    <t>Dilara Çavuş</t>
  </si>
  <si>
    <t>p_bf64403be5372b5d9eb700bcec8f3e561359f81f@inbound.aiesec.org</t>
  </si>
  <si>
    <t>2023-04-08T10:00:51Z</t>
  </si>
  <si>
    <t>5237272_1293463</t>
  </si>
  <si>
    <t>Beyzanur civcik</t>
  </si>
  <si>
    <t>p_280799188d85d91b310790c35ee4315e3318c0a8@inbound.aiesec.org</t>
  </si>
  <si>
    <t>2023-04-07T20:45:30Z</t>
  </si>
  <si>
    <t>5237462_1293463</t>
  </si>
  <si>
    <t>Çetin Tunar</t>
  </si>
  <si>
    <t>p_6cbacbbe07c68f5bc301e784d24cb489dc04b7a2@inbound.aiesec.org</t>
  </si>
  <si>
    <t>2023-04-08T09:33:07Z</t>
  </si>
  <si>
    <t>5234952_1293814</t>
  </si>
  <si>
    <t>Furkan Özata</t>
  </si>
  <si>
    <t>p_ed650626ed9e9764717e063f53781534b53c12f7@inbound.aiesec.org</t>
  </si>
  <si>
    <t>https://expa.aiesec.org/opportunities/1293814</t>
  </si>
  <si>
    <t>2023-04-04T18:48:13Z</t>
  </si>
  <si>
    <t>5198199_1272564</t>
  </si>
  <si>
    <t>Aleksandra Stankovic</t>
  </si>
  <si>
    <t>p_c0fdf1354eedf1ebcfe685f6ca486e733933860d@inbound.aiesec.org</t>
  </si>
  <si>
    <t>Faculty of Political Sciences, Belgrade</t>
  </si>
  <si>
    <t>2023-02-24T09:38:08Z</t>
  </si>
  <si>
    <t>5236418_1281357</t>
  </si>
  <si>
    <t>Zubanova Anna</t>
  </si>
  <si>
    <t>p_2d902c5f8eb0c9927c040a36ef5f13cbb352dc6b@inbound.aiesec.org</t>
  </si>
  <si>
    <t>DNIPRO</t>
  </si>
  <si>
    <t>2023-04-06T14:52:06Z</t>
  </si>
  <si>
    <t>5227616_1292557</t>
  </si>
  <si>
    <t>Gheorghe Ghidu</t>
  </si>
  <si>
    <t>p_66048bf9be36e5f86566a4191235997dc88f61b1@inbound.aiesec.org</t>
  </si>
  <si>
    <t>2023-03-26T20:03:47Z</t>
  </si>
  <si>
    <t>5225869_1292793</t>
  </si>
  <si>
    <t>Khanak Tyagi</t>
  </si>
  <si>
    <t>p_f6c09f0254d2b4613d637b34e69d269aa9014866@inbound.aiesec.org</t>
  </si>
  <si>
    <t>2023-03-24T13:50:54Z</t>
  </si>
  <si>
    <t>5085141_1292002</t>
  </si>
  <si>
    <t>https://expa.aiesec.org/opportunities/1292002</t>
  </si>
  <si>
    <t>Interpreter</t>
  </si>
  <si>
    <t>5226056_1292557</t>
  </si>
  <si>
    <t>Cornelia Romanus</t>
  </si>
  <si>
    <t>p_56b563af5905fa1856d2ba08d0894e02b4de381e@inbound.aiesec.org</t>
  </si>
  <si>
    <t>MCGILL</t>
  </si>
  <si>
    <t>2023-03-24T16:48:21Z</t>
  </si>
  <si>
    <t>5241518_1293200</t>
  </si>
  <si>
    <t>irem Şener</t>
  </si>
  <si>
    <t>p_1aa87da30adb8f4ffaecb28a11a22a4252b4face@inbound.aiesec.org</t>
  </si>
  <si>
    <t>553 867 07 50</t>
  </si>
  <si>
    <t>2023-04-13T19:19:07Z</t>
  </si>
  <si>
    <t>5241381_1291336</t>
  </si>
  <si>
    <t>Abdul Haseeb Tariq</t>
  </si>
  <si>
    <t>p_81a9b87397d45f8a1615cdbc07c147e66d8e2d3a@inbound.aiesec.org</t>
  </si>
  <si>
    <t>Lahore - University Management Technology (UMT)</t>
  </si>
  <si>
    <t>2023-04-13T16:05:54Z</t>
  </si>
  <si>
    <t>5241052_1292773</t>
  </si>
  <si>
    <t>Ahmad Zubair Gondal</t>
  </si>
  <si>
    <t>p_aa4a2e6b33e24d7b5c0cfe52adab3cbc5eb9f69f@inbound.aiesec.org</t>
  </si>
  <si>
    <t>Lahore - Forman's Christian College (FCC)</t>
  </si>
  <si>
    <t>2023-04-13T11:23:34Z</t>
  </si>
  <si>
    <t>5240929_1294066</t>
  </si>
  <si>
    <t>Elvira Levytska</t>
  </si>
  <si>
    <t>p_484aa083195a25bf4e617b7e9cc854603cbee961@inbound.aiesec.org</t>
  </si>
  <si>
    <t>2023-04-13T06:46:49Z</t>
  </si>
  <si>
    <t>5191110_1285687</t>
  </si>
  <si>
    <t>Bareeka Ali</t>
  </si>
  <si>
    <t>p_67c8926eb5ef62367600acea2508ed4609e63a71@inbound.aiesec.org</t>
  </si>
  <si>
    <t>2023-02-15T08:12:35Z</t>
  </si>
  <si>
    <t>5239696_1284447</t>
  </si>
  <si>
    <t>Mohammed Dia Eddine Bassou</t>
  </si>
  <si>
    <t>p_88d1008a9b25c8a3c8dce31a4bc9c842b3274420@inbound.aiesec.org</t>
  </si>
  <si>
    <t>2023-04-11T16:41:57Z</t>
  </si>
  <si>
    <t>5238064_1292774</t>
  </si>
  <si>
    <t>Yiğit Karalı</t>
  </si>
  <si>
    <t>p_753cef0629d32b4f9c66c81bbafcfc0ac93d5dd4@inbound.aiesec.org</t>
  </si>
  <si>
    <t>https://expa.aiesec.org/opportunities/1292774</t>
  </si>
  <si>
    <t>2023-04-09T11:26:58Z</t>
  </si>
  <si>
    <t>5236448_1288989</t>
  </si>
  <si>
    <t>ikram abbasi</t>
  </si>
  <si>
    <t>p_e25718c5853cdc313e958e0bbcfe2ad30b81d812@inbound.aiesec.org</t>
  </si>
  <si>
    <t>Hyderabad - PAK</t>
  </si>
  <si>
    <t>2023-04-06T15:55:36Z</t>
  </si>
  <si>
    <t>4800144_1284312</t>
  </si>
  <si>
    <t>dilara uzun</t>
  </si>
  <si>
    <t>p_048c1f6b4b02c82ad60f4694059183f293683f0c@inbound.aiesec.org</t>
  </si>
  <si>
    <t>2021-11-12T18:21:40Z</t>
  </si>
  <si>
    <t>5237193_1288280</t>
  </si>
  <si>
    <t>Mahmoud Wael</t>
  </si>
  <si>
    <t>p_3d4f3027f0da9f9f7864daef2e1a0f7c734ec11f@inbound.aiesec.org</t>
  </si>
  <si>
    <t>2023-04-07T17:01:08Z</t>
  </si>
  <si>
    <t>5085018_1293866</t>
  </si>
  <si>
    <t>Onur Kemal Parlak</t>
  </si>
  <si>
    <t>p_6bc2f5a8fedfc64286edb884375e573cc56d998c@inbound.aiesec.org</t>
  </si>
  <si>
    <t>https://expa.aiesec.org/opportunities/1293866</t>
  </si>
  <si>
    <t>2022-07-22T13:45:38Z</t>
  </si>
  <si>
    <t>5204856_1289536</t>
  </si>
  <si>
    <t>Sarah Shoaib</t>
  </si>
  <si>
    <t>p_d550ddb14693fdd5a982d48be77602281bdddad5@inbound.aiesec.org</t>
  </si>
  <si>
    <t>2023-03-03T17:50:22Z</t>
  </si>
  <si>
    <t>5233443_1288441</t>
  </si>
  <si>
    <t>Kardelen Karakaş</t>
  </si>
  <si>
    <t>p_b150ed9a088bdce2dcfe8cb0cf18c16621966dc4@inbound.aiesec.org</t>
  </si>
  <si>
    <t>2023-04-02T20:25:48Z</t>
  </si>
  <si>
    <t>5205121_1286326</t>
  </si>
  <si>
    <t>Nour el houda Sassi</t>
  </si>
  <si>
    <t>p_4def92bcde4680a0cb3dd0f20bfc5a0e07373b24@inbound.aiesec.org</t>
  </si>
  <si>
    <t>2023-03-04T07:46:05Z</t>
  </si>
  <si>
    <t>5242280_1294155</t>
  </si>
  <si>
    <t>Yusuf Özdemir Özdemir</t>
  </si>
  <si>
    <t>p_61f0525107ca8026d8b5475cf6cdbebfe5c5cbbc@inbound.aiesec.org</t>
  </si>
  <si>
    <t xml:space="preserve"> 531 492 65 20</t>
  </si>
  <si>
    <t>https://expa.aiesec.org/opportunities/1294155</t>
  </si>
  <si>
    <t>2023-04-14T20:41:22Z</t>
  </si>
  <si>
    <t>5241919_1281010</t>
  </si>
  <si>
    <t>Aya Belkebir</t>
  </si>
  <si>
    <t>p_b79cbc9753f4b1a648c08373cb1d4ceb0889f3c6@inbound.aiesec.org</t>
  </si>
  <si>
    <t>Ecole Nationale Des Sciences Appliquées Tanger (ENSAT)</t>
  </si>
  <si>
    <t>2023-04-14T10:35:59Z</t>
  </si>
  <si>
    <t>5154247_1294061</t>
  </si>
  <si>
    <t>marieme zouari</t>
  </si>
  <si>
    <t>p_cbed2d4ba99edd38814e2b852fb64f3c7fe8c3fa@inbound.aiesec.org</t>
  </si>
  <si>
    <t>https://expa.aiesec.org/opportunities/1294061</t>
  </si>
  <si>
    <t>2022-11-16T17:35:51Z</t>
  </si>
  <si>
    <t>5235487_1293944</t>
  </si>
  <si>
    <t>A.Can Elmalı</t>
  </si>
  <si>
    <t>p_10df979e1fc2ef6643fc2eaba72af51220bffee9@inbound.aiesec.org</t>
  </si>
  <si>
    <t>https://expa.aiesec.org/opportunities/1293944</t>
  </si>
  <si>
    <t>2023-04-05T11:30:30Z</t>
  </si>
  <si>
    <t>5235052_1286228</t>
  </si>
  <si>
    <t>Milica Tomašević</t>
  </si>
  <si>
    <t>p_bd6c24224f8097ea3f11e7b5d0c8c18d9cbb8b8d@inbound.aiesec.org</t>
  </si>
  <si>
    <t>Faculty of Organizational Sciences, Belgrade</t>
  </si>
  <si>
    <t>2023-04-04T21:13:08Z</t>
  </si>
  <si>
    <t>1972844_1294158</t>
  </si>
  <si>
    <t>ibtihal bouriaba</t>
  </si>
  <si>
    <t>p_ffbc181d21ff5019ab014f8798bfd691938638bb@inbound.aiesec.org</t>
  </si>
  <si>
    <t>https://expa.aiesec.org/opportunities/1294158</t>
  </si>
  <si>
    <t>English Teacher in Yahya Kaptan Koleji (SHORT TERM)</t>
  </si>
  <si>
    <t>2017-12-26T21:26:02Z</t>
  </si>
  <si>
    <t>5236705_1294197</t>
  </si>
  <si>
    <t>Ahmed Hamza</t>
  </si>
  <si>
    <t>p_0695a6ce0551aa6db790de07cf85d2e5668d34b6@inbound.aiesec.org</t>
  </si>
  <si>
    <t>https://expa.aiesec.org/opportunities/1294197</t>
  </si>
  <si>
    <t>2023-04-06T21:52:08Z</t>
  </si>
  <si>
    <t>5179817_1294197</t>
  </si>
  <si>
    <t>DHOUIB Amal</t>
  </si>
  <si>
    <t>p_50bf51b00c62f55d83daf62c45b907855a590ca4@inbound.aiesec.org</t>
  </si>
  <si>
    <t>2023-01-23T20:00:52Z</t>
  </si>
  <si>
    <t>5239503_1294103</t>
  </si>
  <si>
    <t>Asmaa Ahmed</t>
  </si>
  <si>
    <t>p_1b87603debd1a9be15946f9c93750b552b2fa359@inbound.aiesec.org</t>
  </si>
  <si>
    <t>https://expa.aiesec.org/opportunities/1294103</t>
  </si>
  <si>
    <t>2023-04-11T12:29:03Z</t>
  </si>
  <si>
    <t>5238097_1293636</t>
  </si>
  <si>
    <t>Zehra Nur Koç</t>
  </si>
  <si>
    <t>p_9f0c53962779a2d71d0238efcaaa4000bbb76ec1@inbound.aiesec.org</t>
  </si>
  <si>
    <t>https://expa.aiesec.org/opportunities/1293636</t>
  </si>
  <si>
    <t>2023-04-09T12:32:58Z</t>
  </si>
  <si>
    <t>5205769_1294061</t>
  </si>
  <si>
    <t>Salma Bekkar</t>
  </si>
  <si>
    <t>p_c200656d8060d0fd4b050d4b8c0fa6ece21eef1e@inbound.aiesec.org</t>
  </si>
  <si>
    <t>2023-03-04T17:15:16Z</t>
  </si>
  <si>
    <t>5237618_1291929</t>
  </si>
  <si>
    <t>Sara Aliyeva</t>
  </si>
  <si>
    <t>p_b2000e645414d3e46087b9d1e78422b0ca631dd8@inbound.aiesec.org</t>
  </si>
  <si>
    <t>2023-04-08T14:08:04Z</t>
  </si>
  <si>
    <t>4661501_1292773</t>
  </si>
  <si>
    <t>Sara Rafiq</t>
  </si>
  <si>
    <t>p_619351fad8ad80f83f6a8223b49dd47b2f31b9de@inbound.aiesec.org</t>
  </si>
  <si>
    <t>2021-06-06T11:57:08Z</t>
  </si>
  <si>
    <t>5222380_1286034</t>
  </si>
  <si>
    <t>Makpal Alikhaidarova</t>
  </si>
  <si>
    <t>p_5c126208fba0ae3aaa0f31adfdaa966ba23a2c40@inbound.aiesec.org</t>
  </si>
  <si>
    <t>2023-03-21T09:35:01Z</t>
  </si>
  <si>
    <t>5242641_1292557</t>
  </si>
  <si>
    <t>nourssaine halloul</t>
  </si>
  <si>
    <t>p_ec68a36fa64df503af7fb6a56175a1906cac8680@inbound.aiesec.org</t>
  </si>
  <si>
    <t>2023-04-15T15:06:20Z</t>
  </si>
  <si>
    <t>5242612_1293905</t>
  </si>
  <si>
    <t>Mehmet Yasir Akosman</t>
  </si>
  <si>
    <t>p_868c7c316df05feb1df8d80164194f5890552f9e@inbound.aiesec.org</t>
  </si>
  <si>
    <t xml:space="preserve"> 553 155 03 97</t>
  </si>
  <si>
    <t>https://expa.aiesec.org/opportunities/1293905</t>
  </si>
  <si>
    <t>2023-04-15T14:00:53Z</t>
  </si>
  <si>
    <t>5236451_1294197</t>
  </si>
  <si>
    <t>sabrine khamassi</t>
  </si>
  <si>
    <t>p_0421f75735c5b57e349320b6d560d3edb8308bcb@inbound.aiesec.org</t>
  </si>
  <si>
    <t>2023-04-06T16:03:09Z</t>
  </si>
  <si>
    <t>5236455_1294197</t>
  </si>
  <si>
    <t>oumaima khamassi</t>
  </si>
  <si>
    <t>p_51c6ad89ae30c70e5e2e4781f3c2744ad2ead5a7@inbound.aiesec.org</t>
  </si>
  <si>
    <t>2023-04-06T16:06:54Z</t>
  </si>
  <si>
    <t>5241961_1292298</t>
  </si>
  <si>
    <t>Cem Erün</t>
  </si>
  <si>
    <t>p_45f41a2ffb75b18056a7789532b5659b48d3b9c8@inbound.aiesec.org</t>
  </si>
  <si>
    <t>https://expa.aiesec.org/opportunities/1292298</t>
  </si>
  <si>
    <t>2023-04-14T11:59:19Z</t>
  </si>
  <si>
    <t>5241252_1293968</t>
  </si>
  <si>
    <t>Fatma Betül Özsütçü</t>
  </si>
  <si>
    <t>p_2675cfd0bcc610ed791406d92743b8ede5f85094@inbound.aiesec.org</t>
  </si>
  <si>
    <t>https://expa.aiesec.org/opportunities/1293968</t>
  </si>
  <si>
    <t>2023-04-13T14:03:40Z</t>
  </si>
  <si>
    <t>5237177_1292253</t>
  </si>
  <si>
    <t>Damla Işık</t>
  </si>
  <si>
    <t>p_bbf0e6bd7b2096b3ad7a893559d6aea4e060fcbb@inbound.aiesec.org</t>
  </si>
  <si>
    <t>https://expa.aiesec.org/opportunities/1292253</t>
  </si>
  <si>
    <t>2023-04-07T16:24:01Z</t>
  </si>
  <si>
    <t>5222454_1291166</t>
  </si>
  <si>
    <t>Merve Çelik</t>
  </si>
  <si>
    <t>p_f55f039613c1da31f6275036866e9f6bb3539035@inbound.aiesec.org</t>
  </si>
  <si>
    <t>https://expa.aiesec.org/opportunities/1291166</t>
  </si>
  <si>
    <t>2023-03-21T10:33:23Z</t>
  </si>
  <si>
    <t>5222003_1293835</t>
  </si>
  <si>
    <t>Mustafa Başar Ezik</t>
  </si>
  <si>
    <t>p_c7e6d633d3c78c6a980ad55e21a5a5b182c47f08@inbound.aiesec.org</t>
  </si>
  <si>
    <t>2023-03-20T18:47:08Z</t>
  </si>
  <si>
    <t>5226251_1291881</t>
  </si>
  <si>
    <t>Dana Ahmed</t>
  </si>
  <si>
    <t>p_0d1af9a0c3de6a80bd1296a28e497433a07c36f3@inbound.aiesec.org</t>
  </si>
  <si>
    <t>2023-03-24T21:50:24Z</t>
  </si>
  <si>
    <t>5236640_1293865</t>
  </si>
  <si>
    <t>Ceren Okut</t>
  </si>
  <si>
    <t>p_7be45df21e688c23ae82ea603c85f1b3690247fe@inbound.aiesec.org</t>
  </si>
  <si>
    <t>https://expa.aiesec.org/opportunities/1293865</t>
  </si>
  <si>
    <t>2023-04-06T20:19:42Z</t>
  </si>
  <si>
    <t>5231630_1272564</t>
  </si>
  <si>
    <t>Сайя Кауханова</t>
  </si>
  <si>
    <t>p_1a843f246f8fbe06858ce218c2daeb7a04249ae4@inbound.aiesec.org</t>
  </si>
  <si>
    <t>2023-03-31T05:43:52Z</t>
  </si>
  <si>
    <t>5232030_1289536</t>
  </si>
  <si>
    <t>Fatima Zahrae Outlioua</t>
  </si>
  <si>
    <t>p_2d97cc8afad168ebd0cc92453a8095bd2e456b03@inbound.aiesec.org</t>
  </si>
  <si>
    <t>2023-03-31T13:03:23Z</t>
  </si>
  <si>
    <t>5234302_1293961</t>
  </si>
  <si>
    <t>Nisa Turgut</t>
  </si>
  <si>
    <t>p_b96cfbda6af57f6d605fc341c26fd8ed768a2901@inbound.aiesec.org</t>
  </si>
  <si>
    <t>https://expa.aiesec.org/opportunities/1293961</t>
  </si>
  <si>
    <t>2023-04-03T20:34:35Z</t>
  </si>
  <si>
    <t>5217068_1283483</t>
  </si>
  <si>
    <t>rawan hamdy</t>
  </si>
  <si>
    <t>p_b83198aee205d4e2904fdc146a3077ea57b91008@inbound.aiesec.org</t>
  </si>
  <si>
    <t>2023-03-15T11:29:28Z</t>
  </si>
  <si>
    <t>5231480_1294061</t>
  </si>
  <si>
    <t>Soumaya Mahdi</t>
  </si>
  <si>
    <t>p_3935aef8e251d574ae142d7c267c5cd9cc43de78@inbound.aiesec.org</t>
  </si>
  <si>
    <t>2023-03-30T22:03:24Z</t>
  </si>
  <si>
    <t>5242955_1292990</t>
  </si>
  <si>
    <t>Hüseyin Avni Çuvalcı</t>
  </si>
  <si>
    <t>p_74f27a88fce65c125dfd5bf306161f100dcfc1cb@inbound.aiesec.org</t>
  </si>
  <si>
    <t>https://expa.aiesec.org/opportunities/1292990</t>
  </si>
  <si>
    <t>2023-04-16T09:34:02Z</t>
  </si>
  <si>
    <t>5238986_1293210</t>
  </si>
  <si>
    <t>Emin Özbek</t>
  </si>
  <si>
    <t>p_d280701faab3a698f19e2219e7518e66f1085b2a@inbound.aiesec.org</t>
  </si>
  <si>
    <t>https://expa.aiesec.org/opportunities/1293210</t>
  </si>
  <si>
    <t>2023-04-10T16:00:39Z</t>
  </si>
  <si>
    <t>5238368_1292793</t>
  </si>
  <si>
    <t>Narmeen Gull</t>
  </si>
  <si>
    <t>p_b5a1c7b47a705f6f982acfa1c6d54b50442cf29f@inbound.aiesec.org</t>
  </si>
  <si>
    <t>2023-04-09T21:29:30Z</t>
  </si>
  <si>
    <t>5211794_1284869</t>
  </si>
  <si>
    <t>Ayas Salma</t>
  </si>
  <si>
    <t>p_a20dcfed09643680dd2713fbaf5445d7d15beaf8@inbound.aiesec.org</t>
  </si>
  <si>
    <t>https://expa.aiesec.org/opportunities/1284869</t>
  </si>
  <si>
    <t>Marketing Specialist at Samed Dedemli</t>
  </si>
  <si>
    <t>2023-03-10T08:55:34Z</t>
  </si>
  <si>
    <t>4792297_1279126</t>
  </si>
  <si>
    <t>Alexandru Tudose</t>
  </si>
  <si>
    <t>p_06cc4fc746cfdd0082e5aba2451b4ab4826d3e94@inbound.aiesec.org</t>
  </si>
  <si>
    <t>2021-11-08T16:47:53Z</t>
  </si>
  <si>
    <t>5172439_1288609</t>
  </si>
  <si>
    <t>Nurettin Baysal</t>
  </si>
  <si>
    <t>p_038b66f129932066e58085f7a87b18cd28151396@inbound.aiesec.org</t>
  </si>
  <si>
    <t>2023-01-02T14:59:36Z</t>
  </si>
  <si>
    <t>5216528_1289536</t>
  </si>
  <si>
    <t>Anderson Almeida</t>
  </si>
  <si>
    <t>p_30ccdc51f3b973741edb4bcbe4a024e74ae8b5df@inbound.aiesec.org</t>
  </si>
  <si>
    <t>2023-03-14T22:37:21Z</t>
  </si>
  <si>
    <t>5195502_1294061</t>
  </si>
  <si>
    <t>nour ben yahia</t>
  </si>
  <si>
    <t>p_de4976bcc3060826cca509f60d9c0d7c116812fc@inbound.aiesec.org</t>
  </si>
  <si>
    <t>2023-02-20T20:48:21Z</t>
  </si>
  <si>
    <t>5241181_1292188</t>
  </si>
  <si>
    <t>Duygu Yıldız</t>
  </si>
  <si>
    <t>p_95daaf301b218823bdb4f4418528c64fcf2b3956@inbound.aiesec.org</t>
  </si>
  <si>
    <t>2023-04-13T13:21:48Z</t>
  </si>
  <si>
    <t>5242014_1288871</t>
  </si>
  <si>
    <t>Lamia Benmahrouche</t>
  </si>
  <si>
    <t>p_5695fb427f8cdcadafb495e2a1dce2c37c642300@inbound.aiesec.org</t>
  </si>
  <si>
    <t>2023-04-14T13:24:53Z</t>
  </si>
  <si>
    <t>5241962_1293683</t>
  </si>
  <si>
    <t>Mizgin Beyza Karadağ</t>
  </si>
  <si>
    <t>p_4e1fa8fabc27a969acab432af23a2ee4cc7948d4@inbound.aiesec.org</t>
  </si>
  <si>
    <t>https://expa.aiesec.org/opportunities/1293683</t>
  </si>
  <si>
    <t>2023-04-14T12:00:25Z</t>
  </si>
  <si>
    <t>5237048_1287226</t>
  </si>
  <si>
    <t>Aymane El bissouri</t>
  </si>
  <si>
    <t>p_5f0f74524d32658b6a97727134540f77c48ab6ea@inbound.aiesec.org</t>
  </si>
  <si>
    <t>2023-04-07T12:30:18Z</t>
  </si>
  <si>
    <t>5241436_1294193</t>
  </si>
  <si>
    <t>Sıla Yeleser</t>
  </si>
  <si>
    <t>p_ee203eecb3f3deb988e80195188b4bb79f232597@inbound.aiesec.org</t>
  </si>
  <si>
    <t>https://expa.aiesec.org/opportunities/1294193</t>
  </si>
  <si>
    <t>2023-04-13T17:47:47Z</t>
  </si>
  <si>
    <t>5241307_1289255</t>
  </si>
  <si>
    <t>Nouhaila Karami</t>
  </si>
  <si>
    <t>p_def7150275297c15aec30fd37e0fbe87aad97aa3@inbound.aiesec.org</t>
  </si>
  <si>
    <t>2023-04-13T15:03:17Z</t>
  </si>
  <si>
    <t>5241015_1290282</t>
  </si>
  <si>
    <t>Azad Seki</t>
  </si>
  <si>
    <t>p_b3d200684e197d08ae0b5a66c3252e46b00ebc33@inbound.aiesec.org</t>
  </si>
  <si>
    <t>2023-04-13T10:17:35Z</t>
  </si>
  <si>
    <t>5240521_1286326</t>
  </si>
  <si>
    <t>Valeria Rychak</t>
  </si>
  <si>
    <t>p_7621498937d41f2bd198287358dcb5d12bb87717@inbound.aiesec.org</t>
  </si>
  <si>
    <t>2023-04-12T15:33:43Z</t>
  </si>
  <si>
    <t>4533235_1288663</t>
  </si>
  <si>
    <t>Danial Shabbir</t>
  </si>
  <si>
    <t>p_ebca0184e88b3a25e4c0305a66581335023f178b@inbound.aiesec.org</t>
  </si>
  <si>
    <t>2021-02-04T08:36:33Z</t>
  </si>
  <si>
    <t>2150131_1290387</t>
  </si>
  <si>
    <t>Hilal Erdem</t>
  </si>
  <si>
    <t>p_7cbf73e535f731f8acbdd563fcf918627e1ae338@inbound.aiesec.org</t>
  </si>
  <si>
    <t>https://expa.aiesec.org/opportunities/1290387</t>
  </si>
  <si>
    <t>Graphic Design</t>
  </si>
  <si>
    <t>2018-03-27T20:43:05Z</t>
  </si>
  <si>
    <t>5234286_1293005</t>
  </si>
  <si>
    <t>Ece Atalay</t>
  </si>
  <si>
    <t>p_4bb683df574e38fdb734b962646c3876cf32d1a7@inbound.aiesec.org</t>
  </si>
  <si>
    <t>Mainland of China</t>
  </si>
  <si>
    <t>Guangzhou</t>
  </si>
  <si>
    <t>https://expa.aiesec.org/opportunities/1293005</t>
  </si>
  <si>
    <t>2023-04-03T20:06:37Z</t>
  </si>
  <si>
    <t>5238132_1293699</t>
  </si>
  <si>
    <t>Furkan Sarı</t>
  </si>
  <si>
    <t>p_4555ecf792e13b30898f7f3e8faa2519b4e48174@inbound.aiesec.org</t>
  </si>
  <si>
    <t>https://expa.aiesec.org/opportunities/1293699</t>
  </si>
  <si>
    <t>2023-04-09T13:24:33Z</t>
  </si>
  <si>
    <t>2009720_1291254</t>
  </si>
  <si>
    <t>Vivien Briñosa</t>
  </si>
  <si>
    <t>p_14a7518f43ad3330f28c1470456648ff542ded0a@inbound.aiesec.org</t>
  </si>
  <si>
    <t>Philippines</t>
  </si>
  <si>
    <t>Dasmariñas [Closed]</t>
  </si>
  <si>
    <t>2018-01-30T06:27:38Z</t>
  </si>
  <si>
    <t>5226051_1292284</t>
  </si>
  <si>
    <t>Zeynep Timur</t>
  </si>
  <si>
    <t>p_0b05eb0f8a7789f65616163a1a0688d318cc827b@inbound.aiesec.org</t>
  </si>
  <si>
    <t>https://expa.aiesec.org/opportunities/1292284</t>
  </si>
  <si>
    <t xml:space="preserve">Graphic Designer </t>
  </si>
  <si>
    <t>2023-03-24T16:43:23Z</t>
  </si>
  <si>
    <t>5244490_1287226</t>
  </si>
  <si>
    <t>Tassnime Mallekh</t>
  </si>
  <si>
    <t>p_ebbae6cc5d72ce83e73ba1e4d06eb85bb9a92231@inbound.aiesec.org</t>
  </si>
  <si>
    <t>2023-04-18T11:54:23Z</t>
  </si>
  <si>
    <t>5230502_1289100</t>
  </si>
  <si>
    <t>Dildora Narzullayeva</t>
  </si>
  <si>
    <t>p_694084f65bfcfdea5b82e1b5a9e176ebbecbe571@inbound.aiesec.org</t>
  </si>
  <si>
    <t>2023-03-29T21:02:00Z</t>
  </si>
  <si>
    <t>5243394_1293200</t>
  </si>
  <si>
    <t>Yusuf Emir Altınkaynak</t>
  </si>
  <si>
    <t>p_0c6ce8755a41a54f92292af0c9ff9f73ef66d146@inbound.aiesec.org</t>
  </si>
  <si>
    <t>2023-04-16T19:28:16Z</t>
  </si>
  <si>
    <t>5242594_1287488</t>
  </si>
  <si>
    <t>Waad Khaled</t>
  </si>
  <si>
    <t>p_ea80cec7c4b660b51594834b7a06bc5ed06c69da@inbound.aiesec.org</t>
  </si>
  <si>
    <t>2023-04-15T13:35:55Z</t>
  </si>
  <si>
    <t>5242126_1293944</t>
  </si>
  <si>
    <t>Simge Vançin</t>
  </si>
  <si>
    <t>p_c7604e7bc487c4685a6e65eba7aaa19e954678d1@inbound.aiesec.org</t>
  </si>
  <si>
    <t>2023-04-14T16:25:21Z</t>
  </si>
  <si>
    <t>4629194_1293755</t>
  </si>
  <si>
    <t>deleted 4629194</t>
  </si>
  <si>
    <t>p_cd141043026bfb6ac28c2585c156eb2c59f83f36@inbound.aiesec.org</t>
  </si>
  <si>
    <t>https://expa.aiesec.org/opportunities/1293755</t>
  </si>
  <si>
    <t>TEACHER/SEÇKİN 0 6 YAŞ</t>
  </si>
  <si>
    <t>2021-04-26T00:47:21Z</t>
  </si>
  <si>
    <t>5234817_1294046</t>
  </si>
  <si>
    <t>Kerem Erdoğan</t>
  </si>
  <si>
    <t>p_6f93659cdd9dff89bb6ab5a927375f5707c9665c@inbound.aiesec.org</t>
  </si>
  <si>
    <t>https://expa.aiesec.org/opportunities/1294046</t>
  </si>
  <si>
    <t>2023-04-04T14:57:12Z</t>
  </si>
  <si>
    <t>5238951_1293866</t>
  </si>
  <si>
    <t>Kaan Yaman</t>
  </si>
  <si>
    <t>p_b7af84d5e00e1c05ec30b90ee3364834c99ef9d0@inbound.aiesec.org</t>
  </si>
  <si>
    <t>2023-04-10T15:11:40Z</t>
  </si>
  <si>
    <t>5245290_1292557</t>
  </si>
  <si>
    <t>Siwar Ajmi</t>
  </si>
  <si>
    <t>p_fb4290e8934531cc1b180af78536939dc32d05fc@inbound.aiesec.org</t>
  </si>
  <si>
    <t>52 494 035</t>
  </si>
  <si>
    <t>2023-04-19T12:02:22Z</t>
  </si>
  <si>
    <t>5092445_1289228</t>
  </si>
  <si>
    <t>Inas Emad</t>
  </si>
  <si>
    <t>p_0dcdce7df1af7ff32cfb48c3a739e3714896a24b@inbound.aiesec.org</t>
  </si>
  <si>
    <t>2022-08-12T09:44:28Z</t>
  </si>
  <si>
    <t>5243919_1290630</t>
  </si>
  <si>
    <t>Zilan Avcı</t>
  </si>
  <si>
    <t>p_d8e091f72a5e1c7e8fbd7955cb0077d22714ea95@inbound.aiesec.org</t>
  </si>
  <si>
    <t>https://expa.aiesec.org/opportunities/1290630</t>
  </si>
  <si>
    <t xml:space="preserve">English Teacher in Menofia </t>
  </si>
  <si>
    <t>2023-04-17T17:33:40Z</t>
  </si>
  <si>
    <t>5241621_1289100</t>
  </si>
  <si>
    <t>Chen Hong</t>
  </si>
  <si>
    <t>p_f7adf06a909d795d2c22ca85986bcd04cfd97f12@inbound.aiesec.org</t>
  </si>
  <si>
    <t>-Closed, SZ</t>
  </si>
  <si>
    <t>SHENZHEN 深圳</t>
  </si>
  <si>
    <t>2023-04-14T00:32:24Z</t>
  </si>
  <si>
    <t>5241020_1290282</t>
  </si>
  <si>
    <t>Ümmügülsüm Yurdagül</t>
  </si>
  <si>
    <t>p_dad4bee28a536a697e06f7344f7ed3aabc6ba460@inbound.aiesec.org</t>
  </si>
  <si>
    <t>+905338230534</t>
  </si>
  <si>
    <t>2023-04-13T10:30:15Z</t>
  </si>
  <si>
    <t>4055427_1293417</t>
  </si>
  <si>
    <t>Guido Tognini</t>
  </si>
  <si>
    <t>p_14696e01d99414bbd139c54988bfed38f3a86dca@inbound.aiesec.org</t>
  </si>
  <si>
    <t>2019-11-28T01:36:29Z</t>
  </si>
  <si>
    <t>5212450_1293200</t>
  </si>
  <si>
    <t>Hatice Nur Güneş</t>
  </si>
  <si>
    <t>p_ae3ae84abb19244d00794db70b1c7c0e8aa19772@inbound.aiesec.org</t>
  </si>
  <si>
    <t>2023-03-10T18:57:07Z</t>
  </si>
  <si>
    <t>5213983_1294068</t>
  </si>
  <si>
    <t>Bors Rares</t>
  </si>
  <si>
    <t>p_2e9050abfa89bd33bf81bd6472be6940c22c9150@inbound.aiesec.org</t>
  </si>
  <si>
    <t>https://expa.aiesec.org/opportunities/1294068</t>
  </si>
  <si>
    <t>2023-03-12T17:09:14Z</t>
  </si>
  <si>
    <t>5109376_1289850</t>
  </si>
  <si>
    <t>5238379_1291929</t>
  </si>
  <si>
    <t>Nadin Nader</t>
  </si>
  <si>
    <t>p_bb7d79f60a0745475ccf91d0df1188389ccc47c9@inbound.aiesec.org</t>
  </si>
  <si>
    <t>2023-04-09T22:41:04Z</t>
  </si>
  <si>
    <t>4044404_1292773</t>
  </si>
  <si>
    <t>Nana Kentchiashvili</t>
  </si>
  <si>
    <t>p_cc006f3a944e621394e5a63ba4e5131f4710425e@inbound.aiesec.org</t>
  </si>
  <si>
    <t>Ivane Javakhishvili Tbilisi State University</t>
  </si>
  <si>
    <t>2019-11-25T16:44:13Z</t>
  </si>
  <si>
    <t>5179304_1293495</t>
  </si>
  <si>
    <t>Sifa Della Butungane</t>
  </si>
  <si>
    <t>p_3dc679da813f91b3195307592b19b2c5ab59d1f0@inbound.aiesec.org</t>
  </si>
  <si>
    <t>Uganda Christian University</t>
  </si>
  <si>
    <t>2023-01-22T10:41:10Z</t>
  </si>
  <si>
    <t>1926660_1286122</t>
  </si>
  <si>
    <t>Sadia Afrin</t>
  </si>
  <si>
    <t>p_f4e398498ae720b28dd504a7c3f670784d292741@inbound.aiesec.org</t>
  </si>
  <si>
    <t>Bangladesh</t>
  </si>
  <si>
    <t>National Office</t>
  </si>
  <si>
    <t>https://expa.aiesec.org/opportunities/1286122</t>
  </si>
  <si>
    <t>Marketing/ E-Commerce</t>
  </si>
  <si>
    <t>2017-12-08T11:58:16Z</t>
  </si>
  <si>
    <t>5246199_1272564</t>
  </si>
  <si>
    <t>Farah Hamrouni</t>
  </si>
  <si>
    <t>p_c3984a608edc536d16acf7a1a667bfce3ecf27cf@inbound.aiesec.org</t>
  </si>
  <si>
    <t>2023-04-20T13:00:45Z</t>
  </si>
  <si>
    <t>5246201_1272564</t>
  </si>
  <si>
    <t>Nour Slama</t>
  </si>
  <si>
    <t>p_2e567af8dc46ad77bc82a831da0a9ef06bc7d674@inbound.aiesec.org</t>
  </si>
  <si>
    <t>École supérieure des sciences et techniques de la santé de Tunis ESSTST</t>
  </si>
  <si>
    <t>2023-04-20T13:01:41Z</t>
  </si>
  <si>
    <t>5228237_1294410</t>
  </si>
  <si>
    <t>Racha Khamassi</t>
  </si>
  <si>
    <t>p_f76ca3555552967a47214858bbdefcbc85ee2905@inbound.aiesec.org</t>
  </si>
  <si>
    <t>https://expa.aiesec.org/opportunities/1294410</t>
  </si>
  <si>
    <t>ISTIC</t>
  </si>
  <si>
    <t>2023-03-27T14:46:24Z</t>
  </si>
  <si>
    <t>5244604_1294410</t>
  </si>
  <si>
    <t>Eman Saeed</t>
  </si>
  <si>
    <t>p_354afc435dbe29ef0331404a68f7ecd1518b03ad@inbound.aiesec.org</t>
  </si>
  <si>
    <t>2023-04-18T13:59:08Z</t>
  </si>
  <si>
    <t>5235509_1294117</t>
  </si>
  <si>
    <t>Kerem Şahin</t>
  </si>
  <si>
    <t>p_e9c041c2101c49797e3ccb875a3c102d5a0545d3@inbound.aiesec.org</t>
  </si>
  <si>
    <t>https://expa.aiesec.org/opportunities/1294117</t>
  </si>
  <si>
    <t>2023-04-05T11:52:38Z</t>
  </si>
  <si>
    <t>4717339_1294103</t>
  </si>
  <si>
    <t>Mayssen Sayedi</t>
  </si>
  <si>
    <t>p_bbf61ad3796db91ce79498ba4a9d1a4e8ada0cd2@inbound.aiesec.org</t>
  </si>
  <si>
    <t>2021-08-23T12:20:22Z</t>
  </si>
  <si>
    <t>5245653_1288798</t>
  </si>
  <si>
    <t>Gizem Nur Özsipahi</t>
  </si>
  <si>
    <t>p_0c174d9a167847661b7a44a673c9aaf92251edfe@inbound.aiesec.org</t>
  </si>
  <si>
    <t>2023-04-19T20:16:41Z</t>
  </si>
  <si>
    <t>5245430_1290282</t>
  </si>
  <si>
    <t>Galip Kürkçüoğlu</t>
  </si>
  <si>
    <t>p_34601b5be933b69055c6fe10fa49b85f8f725d38@inbound.aiesec.org</t>
  </si>
  <si>
    <t>2023-04-19T14:46:53Z</t>
  </si>
  <si>
    <t>5245414_1288542</t>
  </si>
  <si>
    <t>Yunus Emre Kayış</t>
  </si>
  <si>
    <t>p_1167ab0bedd6701bf55f6a2e2293f5bde49b83cf@inbound.aiesec.org</t>
  </si>
  <si>
    <t>https://expa.aiesec.org/opportunities/1288542</t>
  </si>
  <si>
    <t>Research Intern | Machine Learning | In India</t>
  </si>
  <si>
    <t>2023-04-19T14:27:25Z</t>
  </si>
  <si>
    <t>4830944_1294426</t>
  </si>
  <si>
    <t>ASLINUR HACIOSMANOGLU</t>
  </si>
  <si>
    <t>p_a5445cc8192172f9a3808ca0010fca3af9f5e47b@inbound.aiesec.org</t>
  </si>
  <si>
    <t>https://expa.aiesec.org/opportunities/1294426</t>
  </si>
  <si>
    <t>2021-12-05T14:27:58Z</t>
  </si>
  <si>
    <t>5244614_1287602</t>
  </si>
  <si>
    <t>Türkan Keloğulları</t>
  </si>
  <si>
    <t>p_2d9e9554321cc7ff6295eb1995e76248bde09a2f@inbound.aiesec.org</t>
  </si>
  <si>
    <t>https://expa.aiesec.org/opportunities/1287602</t>
  </si>
  <si>
    <t>2023-04-18T14:09:04Z</t>
  </si>
  <si>
    <t>5228072_1294137</t>
  </si>
  <si>
    <t>Abdullah samet Yazıcı</t>
  </si>
  <si>
    <t>p_736c3442398f2ae2e2991a68e7b82ea5dc1ac296@inbound.aiesec.org</t>
  </si>
  <si>
    <t>https://expa.aiesec.org/opportunities/1294137</t>
  </si>
  <si>
    <t>2023-03-27T12:07:02Z</t>
  </si>
  <si>
    <t>4397842_1289148</t>
  </si>
  <si>
    <t>Mustafa Mert Koç</t>
  </si>
  <si>
    <t>p_7a8386e3f8d317df9430dcd3689e159e6125008b@inbound.aiesec.org</t>
  </si>
  <si>
    <t>https://expa.aiesec.org/opportunities/1289148</t>
  </si>
  <si>
    <t xml:space="preserve">Research Intern | Environment and Bioenergy | In India </t>
  </si>
  <si>
    <t>2020-10-16T11:04:05Z</t>
  </si>
  <si>
    <t>4706953_1293165</t>
  </si>
  <si>
    <t>Badr Eddine Benfetima</t>
  </si>
  <si>
    <t>p_cab70b9d2832468967baa65ddef4b0b6110a3d80@inbound.aiesec.org</t>
  </si>
  <si>
    <t>https://expa.aiesec.org/opportunities/1293165</t>
  </si>
  <si>
    <t>Market Research/Analyst</t>
  </si>
  <si>
    <t>2021-08-08T10:36:08Z</t>
  </si>
  <si>
    <t>5224983_1281357</t>
  </si>
  <si>
    <t>yifei wang</t>
  </si>
  <si>
    <t>p_56d99ebf0ea2baa41b39fd87fd4b39139076b8b6@inbound.aiesec.org</t>
  </si>
  <si>
    <t>2023-03-23T14:50:55Z</t>
  </si>
  <si>
    <t>5246444_1293968</t>
  </si>
  <si>
    <t>Melisa Eren</t>
  </si>
  <si>
    <t>p_6fe73ab82fbc20ce33049509568a46a917db7126@inbound.aiesec.org</t>
  </si>
  <si>
    <t>2023-04-20T19:51:55Z</t>
  </si>
  <si>
    <t>5246447_1294161</t>
  </si>
  <si>
    <t>Mizgin Teymur</t>
  </si>
  <si>
    <t>p_8dbfb543d4e7e5a418dbb5a35949a6e58de6e596@inbound.aiesec.org</t>
  </si>
  <si>
    <t>https://expa.aiesec.org/opportunities/1294161</t>
  </si>
  <si>
    <t>2023-04-20T19:58:35Z</t>
  </si>
  <si>
    <t>4022216_1289806</t>
  </si>
  <si>
    <t>Beyzanur AKTÜRK</t>
  </si>
  <si>
    <t>p_1c67489bffe06478f6dc56ce26cf4ec7c0a3a5ec@inbound.aiesec.org</t>
  </si>
  <si>
    <t>https://expa.aiesec.org/opportunities/1289806</t>
  </si>
  <si>
    <t>2019-11-21T14:38:06Z</t>
  </si>
  <si>
    <t>5236092_1294197</t>
  </si>
  <si>
    <t>Aiman Azeem</t>
  </si>
  <si>
    <t>p_6721b47cae6a2869d28709d0f28eca23ca085a48@inbound.aiesec.org</t>
  </si>
  <si>
    <t>2023-04-06T07:07:09Z</t>
  </si>
  <si>
    <t>5236096_1294197</t>
  </si>
  <si>
    <t>Maryam Imran Baig</t>
  </si>
  <si>
    <t>p_e2822ff19b466b86126c14f12acc7f945a0f249d@inbound.aiesec.org</t>
  </si>
  <si>
    <t>2023-04-06T07:11:27Z</t>
  </si>
  <si>
    <t>1170381_1289228</t>
  </si>
  <si>
    <t>Giovanna Albuquerque Apolinario</t>
  </si>
  <si>
    <t>p_6af6821ad337eb10104ed38d27d11096f2d95485@inbound.aiesec.org</t>
  </si>
  <si>
    <t>2016-09-30T18:24:57Z</t>
  </si>
  <si>
    <t>3827528_1287101</t>
  </si>
  <si>
    <t>mai mohamed</t>
  </si>
  <si>
    <t>p_d8e13e9dbb027e2bb3a65a211089104e08ad649f@inbound.aiesec.org</t>
  </si>
  <si>
    <t>2019-09-11T19:19:41Z</t>
  </si>
  <si>
    <t>5246768_1286585</t>
  </si>
  <si>
    <t>Derviş Barış Demir</t>
  </si>
  <si>
    <t>p_cb9fc804de3edf07143784d125b8dcd3187ab93f@inbound.aiesec.org</t>
  </si>
  <si>
    <t>2023-04-21T12:56:22Z</t>
  </si>
  <si>
    <t>5246358_1293861</t>
  </si>
  <si>
    <t>Ezgi Tekbaş</t>
  </si>
  <si>
    <t>p_f9b99fc17118cde41c9ba755df19dcfc95160023@inbound.aiesec.org</t>
  </si>
  <si>
    <t>https://expa.aiesec.org/opportunities/1293861</t>
  </si>
  <si>
    <t>2023-04-20T16:16:11Z</t>
  </si>
  <si>
    <t>5246263_1293979</t>
  </si>
  <si>
    <t>Deniz Kafadar</t>
  </si>
  <si>
    <t>p_9f696f05894f359c12e7b3771e1b8bf56aeb905a@inbound.aiesec.org</t>
  </si>
  <si>
    <t>https://expa.aiesec.org/opportunities/1293979</t>
  </si>
  <si>
    <t>2023-04-20T13:50:22Z</t>
  </si>
  <si>
    <t>5229293_1294254</t>
  </si>
  <si>
    <t>Ana Novaković</t>
  </si>
  <si>
    <t>p_c97dfc9936da99eb90be36aa9fbd51d53c97d331@inbound.aiesec.org</t>
  </si>
  <si>
    <t>https://expa.aiesec.org/opportunities/1294254</t>
  </si>
  <si>
    <t>Faculty of Law, Belgrade</t>
  </si>
  <si>
    <t>2023-03-28T17:26:06Z</t>
  </si>
  <si>
    <t>5243858_1294075</t>
  </si>
  <si>
    <t>Miray Kulaksız</t>
  </si>
  <si>
    <t>p_9d2f5e5acfbae397c9d5e66e57f3d00fc14899bb@inbound.aiesec.org</t>
  </si>
  <si>
    <t>https://expa.aiesec.org/opportunities/1294075</t>
  </si>
  <si>
    <t>2023-04-17T15:30:16Z</t>
  </si>
  <si>
    <t>5245700_1287749</t>
  </si>
  <si>
    <t>Tasneem Kawekji</t>
  </si>
  <si>
    <t>p_4905a86f1812dded479df07d7f80794407ee8c30@inbound.aiesec.org</t>
  </si>
  <si>
    <t>0 106 144 4161</t>
  </si>
  <si>
    <t>https://expa.aiesec.org/opportunities/1287749</t>
  </si>
  <si>
    <t>2023-04-19T21:54:53Z</t>
  </si>
  <si>
    <t>3935958_1285687</t>
  </si>
  <si>
    <t>Areesha Mansoor</t>
  </si>
  <si>
    <t>p_6098ef6cd2d47143a80478eee42983529b966b53@inbound.aiesec.org</t>
  </si>
  <si>
    <t>2019-10-30T07:15:35Z</t>
  </si>
  <si>
    <t>3811952_1291375</t>
  </si>
  <si>
    <t>Abderraouf Necer</t>
  </si>
  <si>
    <t>p_e4330980dd628dafa39d1ae64f5068715940f675@inbound.aiesec.org</t>
  </si>
  <si>
    <t>2019-09-04T08:32:34Z</t>
  </si>
  <si>
    <t>5248256_1283891</t>
  </si>
  <si>
    <t>Souissi Molka</t>
  </si>
  <si>
    <t>p_b2dd270c22286319463f78fa3a59952b90ee6e27@inbound.aiesec.org</t>
  </si>
  <si>
    <t>2023-04-24T11:40:35Z</t>
  </si>
  <si>
    <t>5214190_1294254</t>
  </si>
  <si>
    <t>Wissem Cherif</t>
  </si>
  <si>
    <t>p_0ed6ba09fcbb2d292c1a6dd939b8e4b9af2914c1@inbound.aiesec.org</t>
  </si>
  <si>
    <t>2023-03-12T23:43:20Z</t>
  </si>
  <si>
    <t>5248123_1294410</t>
  </si>
  <si>
    <t>djemai amira</t>
  </si>
  <si>
    <t>p_f6007f59a5da6a76b20e2c0335e5dcdf21a58e6d@inbound.aiesec.org</t>
  </si>
  <si>
    <t>2023-04-24T07:50:29Z</t>
  </si>
  <si>
    <t>5247085_1294061</t>
  </si>
  <si>
    <t>Rihab Thamlaoui</t>
  </si>
  <si>
    <t>p_2c00da580ab7f3cb42c3d141b8fbfd7956bf1a64@inbound.aiesec.org</t>
  </si>
  <si>
    <t>2023-04-22T03:28:13Z</t>
  </si>
  <si>
    <t>5247145_1289228</t>
  </si>
  <si>
    <t>Ahmed Khalied</t>
  </si>
  <si>
    <t>p_f5f2b309a3058726e36c7230fe6f24df6a8540be@inbound.aiesec.org</t>
  </si>
  <si>
    <t>Norway</t>
  </si>
  <si>
    <t>University of Oslo</t>
  </si>
  <si>
    <t>Oslo</t>
  </si>
  <si>
    <t>2023-04-22T07:33:31Z</t>
  </si>
  <si>
    <t>5132805_1286326</t>
  </si>
  <si>
    <t>Diana Kravtsiv</t>
  </si>
  <si>
    <t>p_63067adb3c955b97d5de6f17305698cc22392956@inbound.aiesec.org</t>
  </si>
  <si>
    <t>2022-10-14T10:44:21Z</t>
  </si>
  <si>
    <t>5235189_1283891</t>
  </si>
  <si>
    <t>Oumayma Bannouri</t>
  </si>
  <si>
    <t>p_6648edece384503a5764f41f4c543b6eb8856dba@inbound.aiesec.org</t>
  </si>
  <si>
    <t>2023-04-05T03:50:36Z</t>
  </si>
  <si>
    <t>5233944_1293284</t>
  </si>
  <si>
    <t>Elif Gülsüm Karapolat</t>
  </si>
  <si>
    <t>p_672556044e01ba0bbfcbed396aea39498ad7608d@inbound.aiesec.org</t>
  </si>
  <si>
    <t>https://expa.aiesec.org/opportunities/1293284</t>
  </si>
  <si>
    <t>2023-04-03T11:45:16Z</t>
  </si>
  <si>
    <t>5201467_1291671</t>
  </si>
  <si>
    <t>Rayen Rouaissi</t>
  </si>
  <si>
    <t>p_196f0cb1ea324aa709ae414e80ffaac5843f0863@inbound.aiesec.org</t>
  </si>
  <si>
    <t>https://expa.aiesec.org/opportunities/1291671</t>
  </si>
  <si>
    <t>Consumer Service Consultant</t>
  </si>
  <si>
    <t>2023-02-28T16:06:20Z</t>
  </si>
  <si>
    <t>5242150_1285209</t>
  </si>
  <si>
    <t>Stefanne Alexandra Bucurú Jurado</t>
  </si>
  <si>
    <t>p_76270b72be209068487b189c5cee1b372745d16e@inbound.aiesec.org</t>
  </si>
  <si>
    <t>2023-04-14T17:07:03Z</t>
  </si>
  <si>
    <t>3873326_1292793</t>
  </si>
  <si>
    <t>deleted 3873326</t>
  </si>
  <si>
    <t>p_5c97944709d46f7de768c577082afeef46380efb@inbound.aiesec.org</t>
  </si>
  <si>
    <t>2019-10-04T23:39:35Z</t>
  </si>
  <si>
    <t>5234520_1293623</t>
  </si>
  <si>
    <t>Damlasu Ateş</t>
  </si>
  <si>
    <t>p_167c69b93b4eb7d6d7c57630f45bd733cdd503d7@inbound.aiesec.org</t>
  </si>
  <si>
    <t>https://expa.aiesec.org/opportunities/1293623</t>
  </si>
  <si>
    <t>2023-04-04T08:33:35Z</t>
  </si>
  <si>
    <t>5231974_1286442</t>
  </si>
  <si>
    <t>Ece SANDIKCI</t>
  </si>
  <si>
    <t>p_8c8551fe7d18ec5a8b5ea4fbf64313f229e44ee9@inbound.aiesec.org</t>
  </si>
  <si>
    <t>2023-03-31T11:39:27Z</t>
  </si>
  <si>
    <t>5196211_1292104</t>
  </si>
  <si>
    <t>Basaran Sakar</t>
  </si>
  <si>
    <t>p_c8185d2544e8963f19adbec7dfec249bbce4f731@inbound.aiesec.org</t>
  </si>
  <si>
    <t>GRONINGEN</t>
  </si>
  <si>
    <t>https://expa.aiesec.org/opportunities/1292104</t>
  </si>
  <si>
    <t>2023-02-21T19:53:43Z</t>
  </si>
  <si>
    <t>5248601_1286326</t>
  </si>
  <si>
    <t>Aziz Radhouani</t>
  </si>
  <si>
    <t>p_11842b5d1bcd9ba9cc8220a381e5520558ff2dec@inbound.aiesec.org</t>
  </si>
  <si>
    <t>2023-04-24T21:08:48Z</t>
  </si>
  <si>
    <t>5249249_1289100</t>
  </si>
  <si>
    <t>Mouna Gharbi</t>
  </si>
  <si>
    <t>p_4f60b8034f65dd2b7246b5b1a02a988964ff12bc@inbound.aiesec.org</t>
  </si>
  <si>
    <t>IPELSHT</t>
  </si>
  <si>
    <t>2023-04-25T16:44:40Z</t>
  </si>
  <si>
    <t>5246904_1286326</t>
  </si>
  <si>
    <t>mariem boulaaba</t>
  </si>
  <si>
    <t>p_619499945f2f4113ed6af75d1fae781afbda53b1@inbound.aiesec.org</t>
  </si>
  <si>
    <t>2023-04-21T15:48:36Z</t>
  </si>
  <si>
    <t>5156639_1294489</t>
  </si>
  <si>
    <t>Ayşe irem Alan</t>
  </si>
  <si>
    <t>p_814e080752b7969c9f93c3a46b0d0222c15dbfa9@inbound.aiesec.org</t>
  </si>
  <si>
    <t>https://expa.aiesec.org/opportunities/1294489</t>
  </si>
  <si>
    <t>2022-11-21T17:22:13Z</t>
  </si>
  <si>
    <t>5218820_1288663</t>
  </si>
  <si>
    <t>Mina Radovanović</t>
  </si>
  <si>
    <t>p_112679ee085843b87076f3ab7eb3cb9115ff9fdc@inbound.aiesec.org</t>
  </si>
  <si>
    <t>2023-03-16T19:00:07Z</t>
  </si>
  <si>
    <t>5246525_1294254</t>
  </si>
  <si>
    <t>Ivana Artinovic</t>
  </si>
  <si>
    <t>p_ebfb49452563c36a72f98184f10e15fdfb52c5c6@inbound.aiesec.org</t>
  </si>
  <si>
    <t>2023-04-21T00:08:56Z</t>
  </si>
  <si>
    <t>5242721_1294310</t>
  </si>
  <si>
    <t>Liana Delice</t>
  </si>
  <si>
    <t>p_ebd9cd78ac244fd95fb4ac1e8869573244e51dce@inbound.aiesec.org</t>
  </si>
  <si>
    <t>https://expa.aiesec.org/opportunities/1294310</t>
  </si>
  <si>
    <t>2023-04-15T18:41:44Z</t>
  </si>
  <si>
    <t>5232172_1294179</t>
  </si>
  <si>
    <t>kerem kesti</t>
  </si>
  <si>
    <t>p_1f3283d1c3e0dd19f3f8206d83f4e2a11e9d7dc4@inbound.aiesec.org</t>
  </si>
  <si>
    <t>https://expa.aiesec.org/opportunities/1294179</t>
  </si>
  <si>
    <t>2023-03-31T16:13:02Z</t>
  </si>
  <si>
    <t>5231115_1293417</t>
  </si>
  <si>
    <t>MÓNICA lopes</t>
  </si>
  <si>
    <t>p_31bb13e2dea5661417f5263447eff9c573294b7d@inbound.aiesec.org</t>
  </si>
  <si>
    <t>Universidade Portucalense (UPT)</t>
  </si>
  <si>
    <t>2023-03-30T15:08:14Z</t>
  </si>
  <si>
    <t>4892206_1292722</t>
  </si>
  <si>
    <t>Ahmed Egeh</t>
  </si>
  <si>
    <t>p_44e112672202318649b2d4634a11b468624d9073@inbound.aiesec.org</t>
  </si>
  <si>
    <t>FRANKFURT (MAIN)</t>
  </si>
  <si>
    <t>https://expa.aiesec.org/opportunities/1292722</t>
  </si>
  <si>
    <t>Web Development (m/f/d) - Software Engineering</t>
  </si>
  <si>
    <t>2022-01-21T13:12:56Z</t>
  </si>
  <si>
    <t>4581841_1289597</t>
  </si>
  <si>
    <t>Ibtihel Katar</t>
  </si>
  <si>
    <t>p_3eb1335fc2fed4ad01dd86949ca5ced14228d29a@inbound.aiesec.org</t>
  </si>
  <si>
    <t>2021-03-17T14:00:22Z</t>
  </si>
  <si>
    <t>5216679_1294387</t>
  </si>
  <si>
    <t>Hassan Mahmoud</t>
  </si>
  <si>
    <t>p_4d27425498e80cd3fdc4e18d503e143c97e46799@inbound.aiesec.org</t>
  </si>
  <si>
    <t>https://expa.aiesec.org/opportunities/1294387</t>
  </si>
  <si>
    <t>2023-03-15T06:25:31Z</t>
  </si>
  <si>
    <t>5249450_1289596</t>
  </si>
  <si>
    <t>Nourhan Marey</t>
  </si>
  <si>
    <t>p_b5e99cffc98842bca338d857d24121f4e6220dba@inbound.aiesec.org</t>
  </si>
  <si>
    <t>+201006304436</t>
  </si>
  <si>
    <t>2023-04-25T21:56:07Z</t>
  </si>
  <si>
    <t>5248977_1294522</t>
  </si>
  <si>
    <t>Simge Küçükköse</t>
  </si>
  <si>
    <t>p_2811a3cc81d3aa595192d28236c0fff5e20afd9a@inbound.aiesec.org</t>
  </si>
  <si>
    <t>https://expa.aiesec.org/opportunities/1294522</t>
  </si>
  <si>
    <t>2023-04-25T11:37:43Z</t>
  </si>
  <si>
    <t>5248523_1294193</t>
  </si>
  <si>
    <t>Osman YILMAZ</t>
  </si>
  <si>
    <t>p_3f897f4af8dccc307ebb5db4559ecb7fca464ebd@inbound.aiesec.org</t>
  </si>
  <si>
    <t>2023-04-24T18:41:16Z</t>
  </si>
  <si>
    <t>4238956_1294458</t>
  </si>
  <si>
    <t>Alisa Durmaz</t>
  </si>
  <si>
    <t>p_fcad2495c4508b69b23c0d4d3a89f0d9aaa4ba7b@inbound.aiesec.org</t>
  </si>
  <si>
    <t>https://expa.aiesec.org/opportunities/1294458</t>
  </si>
  <si>
    <t>2020-03-06T11:05:38Z</t>
  </si>
  <si>
    <t>5113710_1291144</t>
  </si>
  <si>
    <t>mustafa elhadad</t>
  </si>
  <si>
    <t>p_88fa38e7ef05ae004471395a7fc1681019793b48@inbound.aiesec.org</t>
  </si>
  <si>
    <t>https://expa.aiesec.org/opportunities/1291144</t>
  </si>
  <si>
    <t>2022-09-16T12:55:04Z</t>
  </si>
  <si>
    <t>5246452_1282258</t>
  </si>
  <si>
    <t>Ayşegül Ulupınar</t>
  </si>
  <si>
    <t>p_d0a3f0eee7d0aec0c68ee0768e18087215aaaa08@inbound.aiesec.org</t>
  </si>
  <si>
    <t>https://expa.aiesec.org/opportunities/1282258</t>
  </si>
  <si>
    <t>English Teacher For Kids in Cairo</t>
  </si>
  <si>
    <t>2023-04-20T20:07:32Z</t>
  </si>
  <si>
    <t>5232908_1292571</t>
  </si>
  <si>
    <t>Büşra Serçeoğlu</t>
  </si>
  <si>
    <t>p_bdf23e5b7d35bbc93384c7d25a797cf3506adbbb@inbound.aiesec.org</t>
  </si>
  <si>
    <t>2023-04-01T18:33:48Z</t>
  </si>
  <si>
    <t>5239593_1294061</t>
  </si>
  <si>
    <t>malek jaouani</t>
  </si>
  <si>
    <t>p_6da2b593d978f10174433d019a4323515bf58cb0@inbound.aiesec.org</t>
  </si>
  <si>
    <t>2023-04-11T14:16:54Z</t>
  </si>
  <si>
    <t>5244352_1290807</t>
  </si>
  <si>
    <t>sena nur türkan</t>
  </si>
  <si>
    <t>p_d876bc8078422b16684bf1b0cae00c6f6fb72a38@inbound.aiesec.org</t>
  </si>
  <si>
    <t>https://expa.aiesec.org/opportunities/1290807</t>
  </si>
  <si>
    <t>2023-04-18T08:51:32Z</t>
  </si>
  <si>
    <t>5243810_1281195</t>
  </si>
  <si>
    <t>Hind Gouja</t>
  </si>
  <si>
    <t>p_eb0e4420d042ec78b5248baeed2409683f77c44a@inbound.aiesec.org</t>
  </si>
  <si>
    <t xml:space="preserve">28 194 803 </t>
  </si>
  <si>
    <t>Institut supérieur des technologies de l'environnement, de l'urbanisme et du bâtiment</t>
  </si>
  <si>
    <t>2023-04-17T14:01:48Z</t>
  </si>
  <si>
    <t>4197301_1294103</t>
  </si>
  <si>
    <t>Harshi Kesh</t>
  </si>
  <si>
    <t>p_cd58a40f82993710809de43f06fbc0ec7a400585@inbound.aiesec.org</t>
  </si>
  <si>
    <t>2020-02-19T07:37:09Z</t>
  </si>
  <si>
    <t>5239304_1291885</t>
  </si>
  <si>
    <t>Emre Keskin</t>
  </si>
  <si>
    <t>p_d93fd009d4abd132e91d1a56fae2a7ff12cdf5a1@inbound.aiesec.org</t>
  </si>
  <si>
    <t>https://expa.aiesec.org/opportunities/1291885</t>
  </si>
  <si>
    <t>2023-04-11T08:21:55Z</t>
  </si>
  <si>
    <t>5250565_1289100</t>
  </si>
  <si>
    <t>Naycem Fenny</t>
  </si>
  <si>
    <t>p_107e283aa2e90b3e83f0d4fe54a5ccd0ffa591e8@inbound.aiesec.org</t>
  </si>
  <si>
    <t>2023-04-27T11:00:52Z</t>
  </si>
  <si>
    <t>5250475_1289261</t>
  </si>
  <si>
    <t>hassen mosbeh</t>
  </si>
  <si>
    <t>p_33dd21f4d1f102af07be0ae843f67c20a384afcf@inbound.aiesec.org</t>
  </si>
  <si>
    <t>2023-04-27T09:16:03Z</t>
  </si>
  <si>
    <t>5181956_1294655</t>
  </si>
  <si>
    <t>Zineddine LACHICHI</t>
  </si>
  <si>
    <t>p_086e47e6219ad9d611a42d5644d19b7b408d37f6@inbound.aiesec.org</t>
  </si>
  <si>
    <t>https://expa.aiesec.org/opportunities/1294655</t>
  </si>
  <si>
    <t>English Teacher in TEOL Language Course</t>
  </si>
  <si>
    <t>2023-01-29T14:43:01Z</t>
  </si>
  <si>
    <t>4827247_1277661</t>
  </si>
  <si>
    <t>Nezar Rashed</t>
  </si>
  <si>
    <t>p_73d3b7d80c30ac9d15d46e2fba15f3a1aa5a120a@inbound.aiesec.org</t>
  </si>
  <si>
    <t>2021-12-02T12:54:39Z</t>
  </si>
  <si>
    <t>5249254_1292975</t>
  </si>
  <si>
    <t>Marina Pavlova</t>
  </si>
  <si>
    <t>p_5a008bd1a7d958a0a9d01a48d2c7209a502357b5@inbound.aiesec.org</t>
  </si>
  <si>
    <t>https://expa.aiesec.org/opportunities/1292975</t>
  </si>
  <si>
    <t>Saint-Petersburg (отделение ИНЖЭК)</t>
  </si>
  <si>
    <t>2023-04-25T16:49:41Z</t>
  </si>
  <si>
    <t>5155165_1294387</t>
  </si>
  <si>
    <t>hannah hany</t>
  </si>
  <si>
    <t>p_e82a37ca90f131a156f3f042a57b072a527e45da@inbound.aiesec.org</t>
  </si>
  <si>
    <t>2022-11-18T06:59:34Z</t>
  </si>
  <si>
    <t>5183974_1289261</t>
  </si>
  <si>
    <t>Aydan Mikayilova</t>
  </si>
  <si>
    <t>p_d3bbbe4c68fbc82323192a63a2377da95a706397@inbound.aiesec.org</t>
  </si>
  <si>
    <t>2023-02-02T10:08:43Z</t>
  </si>
  <si>
    <t>5242263_1294504</t>
  </si>
  <si>
    <t>Asiye Atabay</t>
  </si>
  <si>
    <t>p_114224e089963af149c1ca8618dcfedc1b23b2ab@inbound.aiesec.org</t>
  </si>
  <si>
    <t>Jalandhar</t>
  </si>
  <si>
    <t>https://expa.aiesec.org/opportunities/1294504</t>
  </si>
  <si>
    <t>Spoken English Teacher</t>
  </si>
  <si>
    <t>2023-04-14T19:59:30Z</t>
  </si>
  <si>
    <t>3851026_1291783</t>
  </si>
  <si>
    <t>Abdelrhman Aly</t>
  </si>
  <si>
    <t>p_8446084caa9c4a6cb24fe65e7d608498537e503b@inbound.aiesec.org</t>
  </si>
  <si>
    <t>2019-09-24T10:32:03Z</t>
  </si>
  <si>
    <t>5246419_1284922</t>
  </si>
  <si>
    <t>Merve Nur Erol</t>
  </si>
  <si>
    <t>p_1e29562b61cb919dd6b171171e937a052b6f2cd4@inbound.aiesec.org</t>
  </si>
  <si>
    <t>https://expa.aiesec.org/opportunities/1284922</t>
  </si>
  <si>
    <t>2023-04-20T18:22:39Z</t>
  </si>
  <si>
    <t>5211283_1293645</t>
  </si>
  <si>
    <t>Gözde Köksal</t>
  </si>
  <si>
    <t>p_85f4457cddfa2a9477bfe402846793a010f46ea0@inbound.aiesec.org</t>
  </si>
  <si>
    <t>https://expa.aiesec.org/opportunities/1293645</t>
  </si>
  <si>
    <t>2023-03-09T17:11:07Z</t>
  </si>
  <si>
    <t>4317985_1293918</t>
  </si>
  <si>
    <t>Mehmet Can Tengiroglu</t>
  </si>
  <si>
    <t>p_5f715097c1326604c64c550aa695ede5477ec407@inbound.aiesec.org</t>
  </si>
  <si>
    <t>Slovakia</t>
  </si>
  <si>
    <t>Comenius University</t>
  </si>
  <si>
    <t>https://expa.aiesec.org/opportunities/1293918</t>
  </si>
  <si>
    <t>2020-06-26T13:09:07Z</t>
  </si>
  <si>
    <t>5234271_1293980</t>
  </si>
  <si>
    <t>Hilal Cemile Dolu</t>
  </si>
  <si>
    <t>p_c96b64459cbf323720ae3c1a08fc04931d2fd999@inbound.aiesec.org</t>
  </si>
  <si>
    <t>Bratislava</t>
  </si>
  <si>
    <t>https://expa.aiesec.org/opportunities/1293980</t>
  </si>
  <si>
    <t>2023-04-03T19:38:14Z</t>
  </si>
  <si>
    <t>5091455_1293244</t>
  </si>
  <si>
    <t>Mohamed Ben Sik Ali</t>
  </si>
  <si>
    <t>p_45b90164f5ee25fac506ae28dd28cf296d145d10@inbound.aiesec.org</t>
  </si>
  <si>
    <t>https://expa.aiesec.org/opportunities/1293244</t>
  </si>
  <si>
    <t>2022-08-09T08:55:28Z</t>
  </si>
  <si>
    <t>5251982_1288611</t>
  </si>
  <si>
    <t>Zayneb Tebourski</t>
  </si>
  <si>
    <t>p_d2fcc61ee9a48b11bf521bc8035dcfca391f00d8@inbound.aiesec.org</t>
  </si>
  <si>
    <t>2023-04-28T16:30:14Z</t>
  </si>
  <si>
    <t>5161220_1279870</t>
  </si>
  <si>
    <t>Dogukan Gezer</t>
  </si>
  <si>
    <t>p_01ad6e02ed874861aa420aaaf878319e0bcafc09@inbound.aiesec.org</t>
  </si>
  <si>
    <t>https://expa.aiesec.org/opportunities/1279870</t>
  </si>
  <si>
    <t>2022-12-01T00:53:07Z</t>
  </si>
  <si>
    <t>5251859_1294622</t>
  </si>
  <si>
    <t>abdelmajid ammar</t>
  </si>
  <si>
    <t>p_beda8358c5ea4e955a8f1cac6a5d93d43f73cb30@inbound.aiesec.org</t>
  </si>
  <si>
    <t>https://expa.aiesec.org/opportunities/1294622</t>
  </si>
  <si>
    <t>2023-04-28T14:28:50Z</t>
  </si>
  <si>
    <t>5251843_1294622</t>
  </si>
  <si>
    <t>mahmoud hmila</t>
  </si>
  <si>
    <t>p_d143ccd7dda990ebcde650d2a032300b9109aefc@inbound.aiesec.org</t>
  </si>
  <si>
    <t>2023-04-28T14:17:49Z</t>
  </si>
  <si>
    <t>5171724_1290393</t>
  </si>
  <si>
    <t>https://expa.aiesec.org/opportunities/1290393</t>
  </si>
  <si>
    <t>5053542_1289261</t>
  </si>
  <si>
    <t>Nour Yermani</t>
  </si>
  <si>
    <t>p_770bae3dfd3c97791fb4287c5c0afe54cd736d80@inbound.aiesec.org</t>
  </si>
  <si>
    <t>2022-05-09T12:02:33Z</t>
  </si>
  <si>
    <t>5250813_1290806</t>
  </si>
  <si>
    <t>ilayda tun</t>
  </si>
  <si>
    <t>p_5135a41cdf4d0c7da5031fe103c9b6290d666828@inbound.aiesec.org</t>
  </si>
  <si>
    <t>2023-04-27T14:24:29Z</t>
  </si>
  <si>
    <t>5249318_1289261</t>
  </si>
  <si>
    <t>Ahmed Abdelmaged</t>
  </si>
  <si>
    <t>p_ab8306f4c0a7fa48309adfc5ece80d3a661676e5@inbound.aiesec.org</t>
  </si>
  <si>
    <t>Arish University</t>
  </si>
  <si>
    <t>2023-04-25T17:48:49Z</t>
  </si>
  <si>
    <t>3834249_1288245</t>
  </si>
  <si>
    <t>Islam Eltbrany</t>
  </si>
  <si>
    <t>p_3cee6768a43a1d91f797876ce3ca4219f7eaf0d6@inbound.aiesec.org</t>
  </si>
  <si>
    <t>2019-09-16T15:30:11Z</t>
  </si>
  <si>
    <t>5249809_1288490</t>
  </si>
  <si>
    <t>Abbas Jihad</t>
  </si>
  <si>
    <t>p_bcde92971a9b7212ce966c10fe5b4872389ed3fb@inbound.aiesec.org</t>
  </si>
  <si>
    <t>https://expa.aiesec.org/opportunities/1288490</t>
  </si>
  <si>
    <t>2023-04-26T11:48:58Z</t>
  </si>
  <si>
    <t>5249267_1291473</t>
  </si>
  <si>
    <t>Mohammed Brighli</t>
  </si>
  <si>
    <t>p_a7a440904ebc0dcd6ebac2662ddcfff7f43142ee@inbound.aiesec.org</t>
  </si>
  <si>
    <t>https://expa.aiesec.org/opportunities/1291473</t>
  </si>
  <si>
    <t>2023-04-25T16:59:52Z</t>
  </si>
  <si>
    <t>5249416_1286326</t>
  </si>
  <si>
    <t>Fatma Jafarli</t>
  </si>
  <si>
    <t>p_73a6d55117c778bcedaa2918040080aca7c072db@inbound.aiesec.org</t>
  </si>
  <si>
    <t>2023-04-25T20:54:11Z</t>
  </si>
  <si>
    <t>5244683_1289850</t>
  </si>
  <si>
    <t>Sevim Kuru</t>
  </si>
  <si>
    <t>p_2cfe6aeb7a19d5bda89dd7ab18078faac5f8183b@inbound.aiesec.org</t>
  </si>
  <si>
    <t>2023-04-18T15:53:14Z</t>
  </si>
  <si>
    <t>3858706_1288490</t>
  </si>
  <si>
    <t>walid beshare</t>
  </si>
  <si>
    <t>p_a8805dcef3ece070443ca297532a071b08e68778@inbound.aiesec.org</t>
  </si>
  <si>
    <t>2019-09-27T15:56:44Z</t>
  </si>
  <si>
    <t>3947173_1288490</t>
  </si>
  <si>
    <t>chahrazed Abbas</t>
  </si>
  <si>
    <t>p_76e88b50ea7cf49634f862d2b7d08030a74c5918@inbound.aiesec.org</t>
  </si>
  <si>
    <t>2019-11-03T13:52:25Z</t>
  </si>
  <si>
    <t>4832688_1293313</t>
  </si>
  <si>
    <t>Ceyda Tuğhan</t>
  </si>
  <si>
    <t>p_ff6b00557b588b42ad1bdb28e5fd75f21b98d681@inbound.aiesec.org</t>
  </si>
  <si>
    <t>https://expa.aiesec.org/opportunities/1293313</t>
  </si>
  <si>
    <t>Business Developer</t>
  </si>
  <si>
    <t>2021-12-06T15:12:01Z</t>
  </si>
  <si>
    <t>5252699_1289390</t>
  </si>
  <si>
    <t>SYRINE BATOUL HAMATOU</t>
  </si>
  <si>
    <t>p_45251bcac571fe5654db00fa686e7562c65732ce@inbound.aiesec.org</t>
  </si>
  <si>
    <t>2023-04-29T19:27:52Z</t>
  </si>
  <si>
    <t>5248496_1294061</t>
  </si>
  <si>
    <t>Giulia Tarantini</t>
  </si>
  <si>
    <t>p_43bba59ab38a1e449c768cc596a6f350310df736@inbound.aiesec.org</t>
  </si>
  <si>
    <t>2023-04-24T17:46:31Z</t>
  </si>
  <si>
    <t>5226081_1294068</t>
  </si>
  <si>
    <t>Dilşad İmanova</t>
  </si>
  <si>
    <t>p_a27f76cf741693cd78c7d9bae905f9b09c519591@inbound.aiesec.org</t>
  </si>
  <si>
    <t xml:space="preserve">055 328 33 14 </t>
  </si>
  <si>
    <t>Western University</t>
  </si>
  <si>
    <t>2023-03-24T17:24:27Z</t>
  </si>
  <si>
    <t>5249920_1286326</t>
  </si>
  <si>
    <t>Myroslava Kalynovska</t>
  </si>
  <si>
    <t>p_32f1cd78621f5c4d578abd41cf17c0e4c3b4ec95@inbound.aiesec.org</t>
  </si>
  <si>
    <t>2023-04-26T14:12:25Z</t>
  </si>
  <si>
    <t>4122088_1291846</t>
  </si>
  <si>
    <t>https://expa.aiesec.org/opportunities/1291846</t>
  </si>
  <si>
    <t>English Teacher | TAA</t>
  </si>
  <si>
    <t>5243778_1289597</t>
  </si>
  <si>
    <t>Anjiya Sayani</t>
  </si>
  <si>
    <t>p_bec287773dc057f15708ff723b1e4c9c779e770e@inbound.aiesec.org</t>
  </si>
  <si>
    <t>2023-04-17T13:30:38Z</t>
  </si>
  <si>
    <t>4890241_1294332</t>
  </si>
  <si>
    <t>Ivy wanjiru Gatimu</t>
  </si>
  <si>
    <t>p_2031463a266b1af6a13d74653a89491d648c915f@inbound.aiesec.org</t>
  </si>
  <si>
    <t>Middle East and Africa</t>
  </si>
  <si>
    <t>https://expa.aiesec.org/opportunities/1294332</t>
  </si>
  <si>
    <t>Sales Consultant ( Customer Service )</t>
  </si>
  <si>
    <t>2022-01-20T11:18:12Z</t>
  </si>
  <si>
    <t>5213404_1285555</t>
  </si>
  <si>
    <t>Kenza Jabouk</t>
  </si>
  <si>
    <t>p_8ddb463910dca9961fb55d0588d3863be94a09a0@inbound.aiesec.org</t>
  </si>
  <si>
    <t>ISTAH Marrakech</t>
  </si>
  <si>
    <t>2023-03-11T21:52:00Z</t>
  </si>
  <si>
    <t>5253200_1293463</t>
  </si>
  <si>
    <t>YAREN DERİN</t>
  </si>
  <si>
    <t>p_d4558f9eac6506e87eec4d16f7bb7b6642b9f9c1@inbound.aiesec.org</t>
  </si>
  <si>
    <t>2023-04-30T16:10:55Z</t>
  </si>
  <si>
    <t>5253012_1294505</t>
  </si>
  <si>
    <t>İsmail ege Tokalaç</t>
  </si>
  <si>
    <t>p_7f897f543d82ed4fcd4b01c0022581b407bf092e@inbound.aiesec.org</t>
  </si>
  <si>
    <t>https://expa.aiesec.org/opportunities/1294505</t>
  </si>
  <si>
    <t>2023-04-30T10:40:12Z</t>
  </si>
  <si>
    <t>5253016_1294505</t>
  </si>
  <si>
    <t>Arda AKAY</t>
  </si>
  <si>
    <t>p_281f5a835f915e12f3511894d7fb990ea40dac1f@inbound.aiesec.org</t>
  </si>
  <si>
    <t>2023-04-30T10:41:36Z</t>
  </si>
  <si>
    <t>5221105_1292717</t>
  </si>
  <si>
    <t>Aya Taktak</t>
  </si>
  <si>
    <t>p_cbd423303d6c50c23334418d5f42de971d751072@inbound.aiesec.org</t>
  </si>
  <si>
    <t>https://expa.aiesec.org/opportunities/1292717</t>
  </si>
  <si>
    <t>Digital Marketing Designer</t>
  </si>
  <si>
    <t>2023-03-19T17:43:22Z</t>
  </si>
  <si>
    <t>4125603_1294063</t>
  </si>
  <si>
    <t>AHMET GÖKDOĞAN</t>
  </si>
  <si>
    <t>p_502565e528682f5c9eed19d99ccd112c2d8a0ac2@inbound.aiesec.org</t>
  </si>
  <si>
    <t>https://expa.aiesec.org/opportunities/1294063</t>
  </si>
  <si>
    <t>2020-01-06T13:32:42Z</t>
  </si>
  <si>
    <t>5235586_1288970</t>
  </si>
  <si>
    <t>Yasser Sherif</t>
  </si>
  <si>
    <t>p_0dddf201b11ed0fb8faf27b0e3428f3d74605900@inbound.aiesec.org</t>
  </si>
  <si>
    <t>2023-04-05T13:25:45Z</t>
  </si>
  <si>
    <t>5248419_1286326</t>
  </si>
  <si>
    <t>Kseniia Valenia</t>
  </si>
  <si>
    <t>p_e24d480bf2f790646d3820c6c9d98407c377d86b@inbound.aiesec.org</t>
  </si>
  <si>
    <t>2023-04-24T15:59:44Z</t>
  </si>
  <si>
    <t>5251820_1293979</t>
  </si>
  <si>
    <t>Sevi Yağmur Adar</t>
  </si>
  <si>
    <t>p_5a684cc8b8cc039ca2cc9d788b0957f32c294e8d@inbound.aiesec.org</t>
  </si>
  <si>
    <t>2023-04-28T13:42:40Z</t>
  </si>
  <si>
    <t>5242143_1288909</t>
  </si>
  <si>
    <t>Mauricio Alexander Jiménez Ocón</t>
  </si>
  <si>
    <t>p_2803af5dbabdbed75126d863641766f282ea7cf4@inbound.aiesec.org</t>
  </si>
  <si>
    <t>Lima</t>
  </si>
  <si>
    <t>https://expa.aiesec.org/opportunities/1288909</t>
  </si>
  <si>
    <t>2023-04-14T16:53:26Z</t>
  </si>
  <si>
    <t>5244024_1289261</t>
  </si>
  <si>
    <t>Olha Nechyporuk</t>
  </si>
  <si>
    <t>p_71b81bde367a8420469cebbac03e4ca855bd65ed@inbound.aiesec.org</t>
  </si>
  <si>
    <t>2023-04-17T21:36:19Z</t>
  </si>
  <si>
    <t>5204735_1294254</t>
  </si>
  <si>
    <t>Nastya Kikhtiak</t>
  </si>
  <si>
    <t>p_d425bcfd09b10afc7f5070eeeeb1cb097569f65d@inbound.aiesec.org</t>
  </si>
  <si>
    <t>2023-03-03T15:45:25Z</t>
  </si>
  <si>
    <t>4982057_1294584</t>
  </si>
  <si>
    <t>Teodora Grama</t>
  </si>
  <si>
    <t>p_11000976d624ee0bb9e258cddf063765b4cf3b51@inbound.aiesec.org</t>
  </si>
  <si>
    <t>https://expa.aiesec.org/opportunities/1294584</t>
  </si>
  <si>
    <t>2022-03-13T18:38:41Z</t>
  </si>
  <si>
    <t>4494115_1294584</t>
  </si>
  <si>
    <t>Grama AriadnaAndreea</t>
  </si>
  <si>
    <t>p_38d786a669b8c3dfdc5f27ba31b96569c1016e52@inbound.aiesec.org</t>
  </si>
  <si>
    <t>2020-12-21T17:44:12Z</t>
  </si>
  <si>
    <t>5241869_1293552</t>
  </si>
  <si>
    <t>Berkay Demirarslan</t>
  </si>
  <si>
    <t>p_3e4fdac97103a76d4cc041a9f2c3d1c7746e10f1@inbound.aiesec.org</t>
  </si>
  <si>
    <t>https://expa.aiesec.org/opportunities/1293552</t>
  </si>
  <si>
    <t>2023-04-14T09:20:28Z</t>
  </si>
  <si>
    <t>5246922_1294202</t>
  </si>
  <si>
    <t>simay ataç</t>
  </si>
  <si>
    <t>p_eba9878b5d3fdedf718eebb24adaaab7c2ecc452@inbound.aiesec.org</t>
  </si>
  <si>
    <t>Craiova</t>
  </si>
  <si>
    <t>https://expa.aiesec.org/opportunities/1294202</t>
  </si>
  <si>
    <t>2023-04-21T16:42:57Z</t>
  </si>
  <si>
    <t>5028260_1287488</t>
  </si>
  <si>
    <t>5220113_1286034</t>
  </si>
  <si>
    <t>Tuska Elisa</t>
  </si>
  <si>
    <t>p_9589ff707a5032be3fe1163bd480cdda5e5560e4@inbound.aiesec.org</t>
  </si>
  <si>
    <t>Arad</t>
  </si>
  <si>
    <t>2023-03-18T11:41:53Z</t>
  </si>
  <si>
    <t>5253901_1293463</t>
  </si>
  <si>
    <t>Mücahit Çakır</t>
  </si>
  <si>
    <t>p_6c2745029cb2662931f14120987d21502e06e96e@inbound.aiesec.org</t>
  </si>
  <si>
    <t>555 880 25 33</t>
  </si>
  <si>
    <t>2023-05-01T19:58:41Z</t>
  </si>
  <si>
    <t>5253891_1293463</t>
  </si>
  <si>
    <t>Fathi hassan Mohamed</t>
  </si>
  <si>
    <t>p_d843a8c40e1e9f6e8cdd4d9f7884a0c56c1532cf@inbound.aiesec.org</t>
  </si>
  <si>
    <t>2023-05-01T19:37:39Z</t>
  </si>
  <si>
    <t>5195430_1291144</t>
  </si>
  <si>
    <t>Anan Yaser</t>
  </si>
  <si>
    <t>p_edf11a8595aabb463436757a081ac26c8a9b8aa5@inbound.aiesec.org</t>
  </si>
  <si>
    <t>2023-02-20T18:36:33Z</t>
  </si>
  <si>
    <t>5253755_1294068</t>
  </si>
  <si>
    <t>Siwar mhadhbi</t>
  </si>
  <si>
    <t>p_dd535589bfa68a5540f8ca74590383f1b0451933@inbound.aiesec.org</t>
  </si>
  <si>
    <t>29 193 903</t>
  </si>
  <si>
    <t>2023-05-01T15:16:59Z</t>
  </si>
  <si>
    <t>5172368_1294444</t>
  </si>
  <si>
    <t>Ulaş Gündüz</t>
  </si>
  <si>
    <t>p_18e0a80a25ee24a802bf56e034979b2eb58ec981@inbound.aiesec.org</t>
  </si>
  <si>
    <t>https://expa.aiesec.org/opportunities/1294444</t>
  </si>
  <si>
    <t>2023-01-02T11:35:57Z</t>
  </si>
  <si>
    <t>5253595_1292990</t>
  </si>
  <si>
    <t>Münire Kutlum</t>
  </si>
  <si>
    <t>p_a944ecedc6c5bf1926690f01c81318b25f27532d@inbound.aiesec.org</t>
  </si>
  <si>
    <t>2023-05-01T10:47:56Z</t>
  </si>
  <si>
    <t>5253353_1292692</t>
  </si>
  <si>
    <t>Dilara yıldırım</t>
  </si>
  <si>
    <t>p_10af0588db755dd976603cb6836bf224f9648e1a@inbound.aiesec.org</t>
  </si>
  <si>
    <t>https://expa.aiesec.org/opportunities/1292692</t>
  </si>
  <si>
    <t>german teacher</t>
  </si>
  <si>
    <t>2023-04-30T21:17:40Z</t>
  </si>
  <si>
    <t>5253152_1290024</t>
  </si>
  <si>
    <t>Hakan Güner</t>
  </si>
  <si>
    <t>p_324be67163fc5c48e3d7c243608af77fc3165627@inbound.aiesec.org</t>
  </si>
  <si>
    <t>2023-04-30T14:24:06Z</t>
  </si>
  <si>
    <t>5252704_1294674</t>
  </si>
  <si>
    <t>Ольга Студілко</t>
  </si>
  <si>
    <t>p_d87255f48186bc2c8d48aa8de853e82de5018a17@inbound.aiesec.org</t>
  </si>
  <si>
    <t>https://expa.aiesec.org/opportunities/1294674</t>
  </si>
  <si>
    <t>2023-04-29T19:39:53Z</t>
  </si>
  <si>
    <t>5252585_1289378</t>
  </si>
  <si>
    <t>Mohamed Tita</t>
  </si>
  <si>
    <t>p_2110bc5d14b392c61c8878ea677beb111c84c20a@inbound.aiesec.org</t>
  </si>
  <si>
    <t>Ecole Supérieure Roi Fahd de Traduction Tanger</t>
  </si>
  <si>
    <t>2023-04-29T16:23:41Z</t>
  </si>
  <si>
    <t>4838191_1291869</t>
  </si>
  <si>
    <t>Selinay Berna Başıhoş</t>
  </si>
  <si>
    <t>p_fcf45f96f276ee3386be6d2a877641c3c4db5fb4@inbound.aiesec.org</t>
  </si>
  <si>
    <t>https://expa.aiesec.org/opportunities/1291869</t>
  </si>
  <si>
    <t>2021-12-10T14:03:38Z</t>
  </si>
  <si>
    <t>5147680_1292535</t>
  </si>
  <si>
    <t>Omar Hesham</t>
  </si>
  <si>
    <t>p_d45c33576d887b2cd5cbf8307b654ae369dde84f@inbound.aiesec.org</t>
  </si>
  <si>
    <t>2022-11-06T11:43:10Z</t>
  </si>
  <si>
    <t>5252146_1286658</t>
  </si>
  <si>
    <t>Nurana Gurbanli</t>
  </si>
  <si>
    <t>p_090dd6a65ad6d695571a50390ddf0a45daa8f19e@inbound.aiesec.org</t>
  </si>
  <si>
    <t>https://expa.aiesec.org/opportunities/1286658</t>
  </si>
  <si>
    <t>2023-04-28T21:20:31Z</t>
  </si>
  <si>
    <t>5230429_1289261</t>
  </si>
  <si>
    <t>Shakhribanu Abdumazhitova</t>
  </si>
  <si>
    <t>p_7541cb763e52dd04d37c2e360b31980f0f16e263@inbound.aiesec.org</t>
  </si>
  <si>
    <t>2023-03-29T19:23:41Z</t>
  </si>
  <si>
    <t>5244376_1289976</t>
  </si>
  <si>
    <t>Aysu Duru Atlamaz</t>
  </si>
  <si>
    <t>p_e6e8d791107a81fed0fd68221ff08024a79632c6@inbound.aiesec.org</t>
  </si>
  <si>
    <t>https://expa.aiesec.org/opportunities/1289976</t>
  </si>
  <si>
    <t>2023-04-18T09:21:12Z</t>
  </si>
  <si>
    <t>5248587_1293801</t>
  </si>
  <si>
    <t>Doğa Deniz</t>
  </si>
  <si>
    <t>p_d86af0ad8bae17e078db929b2a3141679f2ad199@inbound.aiesec.org</t>
  </si>
  <si>
    <t>https://expa.aiesec.org/opportunities/1293801</t>
  </si>
  <si>
    <t>2023-04-24T20:44:25Z</t>
  </si>
  <si>
    <t>5248533_1284670</t>
  </si>
  <si>
    <t>Dayana Kuatbayeva</t>
  </si>
  <si>
    <t>p_6b4a68286675b4ec6c9e52eea0994c1d41aa10ac@inbound.aiesec.org</t>
  </si>
  <si>
    <t>2023-04-24T18:56:19Z</t>
  </si>
  <si>
    <t>5218381_1288129</t>
  </si>
  <si>
    <t>Saliha YAZAR</t>
  </si>
  <si>
    <t>p_e4d99387e4ed1e67f6354d640f4bfd8eb1ac4515@inbound.aiesec.org</t>
  </si>
  <si>
    <t>2023-03-16T12:00:42Z</t>
  </si>
  <si>
    <t>5244778_1288413</t>
  </si>
  <si>
    <t>Semra Aydın</t>
  </si>
  <si>
    <t>p_832aa82472573d8afbc215b2ad5447ebb4ebfd84@inbound.aiesec.org</t>
  </si>
  <si>
    <t>https://expa.aiesec.org/opportunities/1288413</t>
  </si>
  <si>
    <t>2023-04-18T19:17:28Z</t>
  </si>
  <si>
    <t>5245434_1294197</t>
  </si>
  <si>
    <t>Ramez tamer</t>
  </si>
  <si>
    <t>p_7796d772a376bbb4495cc243be120365b684488a@inbound.aiesec.org</t>
  </si>
  <si>
    <t>2023-04-19T14:47:17Z</t>
  </si>
  <si>
    <t>5247963_1292793</t>
  </si>
  <si>
    <t>Eya Haj salem</t>
  </si>
  <si>
    <t>p_bd145a2b6f76250e38c7ea9113d29200d945db90@inbound.aiesec.org</t>
  </si>
  <si>
    <t>2023-04-23T20:44:10Z</t>
  </si>
  <si>
    <t>5254245_1294241</t>
  </si>
  <si>
    <t>Bahadır Furkan Atcıoğlu</t>
  </si>
  <si>
    <t>p_8e52f8733d1ad13566563e69391e2ddd99273842@inbound.aiesec.org</t>
  </si>
  <si>
    <t>https://expa.aiesec.org/opportunities/1294241</t>
  </si>
  <si>
    <t>Sales intern</t>
  </si>
  <si>
    <t>2023-05-02T12:00:07Z</t>
  </si>
  <si>
    <t>5253789_1289848</t>
  </si>
  <si>
    <t>Doğukan Kaya</t>
  </si>
  <si>
    <t>p_5b3cf87252b8dd4ecf3397a617a04cba5af025b5@inbound.aiesec.org</t>
  </si>
  <si>
    <t>https://expa.aiesec.org/opportunities/1289848</t>
  </si>
  <si>
    <t>2023-05-01T15:59:18Z</t>
  </si>
  <si>
    <t>5228374_1294202</t>
  </si>
  <si>
    <t>Sude Kırbıyık</t>
  </si>
  <si>
    <t>p_ed299198fd14d52474fdf8b11e58f060d7ab48d9@inbound.aiesec.org</t>
  </si>
  <si>
    <t>2023-03-27T17:56:54Z</t>
  </si>
  <si>
    <t>5253521_1293112</t>
  </si>
  <si>
    <t>Emine Dam</t>
  </si>
  <si>
    <t>p_c7b844cdc2298015454ef126ee1f7bb95426c79a@inbound.aiesec.org</t>
  </si>
  <si>
    <t>2023-05-01T08:24:23Z</t>
  </si>
  <si>
    <t>5253297_1293477</t>
  </si>
  <si>
    <t>Halil Emin Sezer</t>
  </si>
  <si>
    <t>p_d4fde0d93ab97c4c37d7b188c7b95d0156818e3c@inbound.aiesec.org</t>
  </si>
  <si>
    <t>https://expa.aiesec.org/opportunities/1293477</t>
  </si>
  <si>
    <t>2023-04-30T19:07:10Z</t>
  </si>
  <si>
    <t>5159036_1291144</t>
  </si>
  <si>
    <t>5252747_1293216</t>
  </si>
  <si>
    <t>Çağla Ordu</t>
  </si>
  <si>
    <t>p_977b7eb4833950fd99f81e61fae2795a9002a3d3@inbound.aiesec.org</t>
  </si>
  <si>
    <t>https://expa.aiesec.org/opportunities/1293216</t>
  </si>
  <si>
    <t>2023-04-29T22:36:21Z</t>
  </si>
  <si>
    <t>5240489_1294063</t>
  </si>
  <si>
    <t>Onur Şentürk</t>
  </si>
  <si>
    <t>p_524643d20bdd4f3538c4e11fc41a9823ef199f8b@inbound.aiesec.org</t>
  </si>
  <si>
    <t>2023-04-12T14:54:40Z</t>
  </si>
  <si>
    <t>5252447_1284670</t>
  </si>
  <si>
    <t>deleted 5252447</t>
  </si>
  <si>
    <t>p_073483658759ed1e2805ce5f8162044f08aba88a@inbound.aiesec.org</t>
  </si>
  <si>
    <t>2023-04-29T12:44:35Z</t>
  </si>
  <si>
    <t>5239649_1289807</t>
  </si>
  <si>
    <t>Ennur Özer</t>
  </si>
  <si>
    <t>p_b30811a7b6988b3441d35568c660ad8734b6fa9e@inbound.aiesec.org</t>
  </si>
  <si>
    <t>https://expa.aiesec.org/opportunities/1289807</t>
  </si>
  <si>
    <t>2023-04-11T15:24:51Z</t>
  </si>
  <si>
    <t>5251161_1293983</t>
  </si>
  <si>
    <t>Sinan Özcan</t>
  </si>
  <si>
    <t>p_d6551fc90fdba721a1a4f4601e4ca8eafa74271c@inbound.aiesec.org</t>
  </si>
  <si>
    <t>https://expa.aiesec.org/opportunities/1293983</t>
  </si>
  <si>
    <t>2023-04-27T19:19:40Z</t>
  </si>
  <si>
    <t>5247003_1294062</t>
  </si>
  <si>
    <t>arca köklü</t>
  </si>
  <si>
    <t>p_051ba415dbd3e381c78c8b9806f38887691f57ad@inbound.aiesec.org</t>
  </si>
  <si>
    <t>https://expa.aiesec.org/opportunities/1294062</t>
  </si>
  <si>
    <t>2023-04-21T19:46:25Z</t>
  </si>
  <si>
    <t>5238942_1294062</t>
  </si>
  <si>
    <t>Mukaddes Çiftçi</t>
  </si>
  <si>
    <t>p_e4362701e2271703b84d066e5aed93387a86ce06@inbound.aiesec.org</t>
  </si>
  <si>
    <t>+905386365834</t>
  </si>
  <si>
    <t>2023-04-10T15:00:13Z</t>
  </si>
  <si>
    <t>5248596_1284077</t>
  </si>
  <si>
    <t>marwa sultan</t>
  </si>
  <si>
    <t>p_62f5b7d1817ee77320a41d6df970a7fa42909ec8@inbound.aiesec.org</t>
  </si>
  <si>
    <t>2023-04-24T20:59:10Z</t>
  </si>
  <si>
    <t>5248305_1294005</t>
  </si>
  <si>
    <t>İlke Gençay</t>
  </si>
  <si>
    <t>p_6eb9774066b5e9106409da478f10f8f85b7d4103@inbound.aiesec.org</t>
  </si>
  <si>
    <t>https://expa.aiesec.org/opportunities/1294005</t>
  </si>
  <si>
    <t>2023-04-24T12:54:13Z</t>
  </si>
  <si>
    <t>5247418_1290282</t>
  </si>
  <si>
    <t>Ali Cem Serindağ</t>
  </si>
  <si>
    <t>p_5bcbddde3160abfb9e89dc1a2b9cbaa9e5e25289@inbound.aiesec.org</t>
  </si>
  <si>
    <t>2023-04-22T18:20:51Z</t>
  </si>
  <si>
    <t>5229078_1293284</t>
  </si>
  <si>
    <t>Nefise Nur Yıldız</t>
  </si>
  <si>
    <t>p_da1aeb987b995024f83cdfe903c185ccd107775d@inbound.aiesec.org</t>
  </si>
  <si>
    <t>2023-03-28T14:13:24Z</t>
  </si>
  <si>
    <t>5241469_1294285</t>
  </si>
  <si>
    <t>Dicle Çoban</t>
  </si>
  <si>
    <t>p_94a260c30e1fb2f192dc003a774fba1f75364e1e@inbound.aiesec.org</t>
  </si>
  <si>
    <t>https://expa.aiesec.org/opportunities/1294285</t>
  </si>
  <si>
    <t>2023-04-13T18:31:52Z</t>
  </si>
  <si>
    <t>5176834_1294128</t>
  </si>
  <si>
    <t>Başak Şekersöz</t>
  </si>
  <si>
    <t>p_e3f8f908c172c14cce9f4e62e105bd526390a02c@inbound.aiesec.org</t>
  </si>
  <si>
    <t>https://expa.aiesec.org/opportunities/1294128</t>
  </si>
  <si>
    <t>2023-01-15T18:06:55Z</t>
  </si>
  <si>
    <t>5205174_1293863</t>
  </si>
  <si>
    <t>Ece Arslan</t>
  </si>
  <si>
    <t>p_2ac2a11f325d0fe73055f28f966e83861eeb7a8f@inbound.aiesec.org</t>
  </si>
  <si>
    <t>https://expa.aiesec.org/opportunities/1293863</t>
  </si>
  <si>
    <t>2023-03-04T09:35:04Z</t>
  </si>
  <si>
    <t>5239459_1293460</t>
  </si>
  <si>
    <t>Aysel Kacak</t>
  </si>
  <si>
    <t>p_86d0a355e92d9e5729798345cffa8629c5705073@inbound.aiesec.org</t>
  </si>
  <si>
    <t>https://expa.aiesec.org/opportunities/1293460</t>
  </si>
  <si>
    <t>2023-04-11T11:52:15Z</t>
  </si>
  <si>
    <t>5218547_1292786</t>
  </si>
  <si>
    <t>Dersu Deniz Yıldırım</t>
  </si>
  <si>
    <t>p_5bc7e1a25d1007af61770df270a648abfc042c87@inbound.aiesec.org</t>
  </si>
  <si>
    <t>https://expa.aiesec.org/opportunities/1292786</t>
  </si>
  <si>
    <t>2023-03-16T14:28:27Z</t>
  </si>
  <si>
    <t>5255310_1294176</t>
  </si>
  <si>
    <t>Beytullah Sönmez</t>
  </si>
  <si>
    <t>p_e4d96c8f1a8c226fcb897387d5296591268c9c40@inbound.aiesec.org</t>
  </si>
  <si>
    <t>https://expa.aiesec.org/opportunities/1294176</t>
  </si>
  <si>
    <t>2023-05-03T18:13:27Z</t>
  </si>
  <si>
    <t>4832798_1292990</t>
  </si>
  <si>
    <t>Salma Sayed</t>
  </si>
  <si>
    <t>p_1ad397f4e784ff940c74bf6e7c15339033064d55@inbound.aiesec.org</t>
  </si>
  <si>
    <t>2021-12-06T19:00:23Z</t>
  </si>
  <si>
    <t>5255038_1294068</t>
  </si>
  <si>
    <t>Wided Romdhani</t>
  </si>
  <si>
    <t>p_fea8efd40d28c237819559a82faa33b661b3451b@inbound.aiesec.org</t>
  </si>
  <si>
    <t>25 601 206</t>
  </si>
  <si>
    <t>2023-05-03T12:02:55Z</t>
  </si>
  <si>
    <t>5252402_1294825</t>
  </si>
  <si>
    <t>Yusuf Ziya Kaplan</t>
  </si>
  <si>
    <t>p_d2a097e23bd161250f8838a76a7a8b21b6ee180b@inbound.aiesec.org</t>
  </si>
  <si>
    <t>https://expa.aiesec.org/opportunities/1294825</t>
  </si>
  <si>
    <t>2023-04-29T10:46:50Z</t>
  </si>
  <si>
    <t>5244600_1293200</t>
  </si>
  <si>
    <t>Esin Yüzen</t>
  </si>
  <si>
    <t>p_ebea1bc1208eb2647540d38ff119a46d3fae6b21@inbound.aiesec.org</t>
  </si>
  <si>
    <t>2023-04-18T13:53:07Z</t>
  </si>
  <si>
    <t>5239156_1292298</t>
  </si>
  <si>
    <t>Medine Rümeysa Önel</t>
  </si>
  <si>
    <t>p_0f3bda8486a3a599755fd9057e4e7b2e528bc8d2@inbound.aiesec.org</t>
  </si>
  <si>
    <t>2023-04-10T22:00:59Z</t>
  </si>
  <si>
    <t>5237831_1294063</t>
  </si>
  <si>
    <t>Emine Irem Cetin</t>
  </si>
  <si>
    <t>p_f6229e687b7a12cd646d2ac366d90932bd4ff198@inbound.aiesec.org</t>
  </si>
  <si>
    <t>2023-04-08T21:26:49Z</t>
  </si>
  <si>
    <t>5254464_1286929</t>
  </si>
  <si>
    <t>Kıymet Nur Çelik</t>
  </si>
  <si>
    <t>p_032e0ea3670d2028be308ba30c89b733faf44c3f@inbound.aiesec.org</t>
  </si>
  <si>
    <t>https://expa.aiesec.org/opportunities/1286929</t>
  </si>
  <si>
    <t>2023-05-02T17:45:29Z</t>
  </si>
  <si>
    <t>4826517_1292990</t>
  </si>
  <si>
    <t>ziad doma</t>
  </si>
  <si>
    <t>p_f0ab1277f54744279f26355790d3129ffb2ed852@inbound.aiesec.org</t>
  </si>
  <si>
    <t>2021-12-01T21:19:13Z</t>
  </si>
  <si>
    <t>5181908_1288609</t>
  </si>
  <si>
    <t>Kürşat Sezgin</t>
  </si>
  <si>
    <t>p_3ad2bad8875ff4a56142cc415bca37fa5207a4d6@inbound.aiesec.org</t>
  </si>
  <si>
    <t>2023-01-29T10:52:41Z</t>
  </si>
  <si>
    <t>5254353_1278791</t>
  </si>
  <si>
    <t>Houssem Ben Yahya</t>
  </si>
  <si>
    <t>p_1d78d9e0d0766b648dd1ffed507220b9f158ad3f@inbound.aiesec.org</t>
  </si>
  <si>
    <t>2023-05-02T15:10:42Z</t>
  </si>
  <si>
    <t>5248925_1288609</t>
  </si>
  <si>
    <t>Abdussamed Tekerekoğlu</t>
  </si>
  <si>
    <t>p_83305c5cbdd29090bfafdeecd12af7ca1c613c3b@inbound.aiesec.org</t>
  </si>
  <si>
    <t>2023-04-25T09:40:32Z</t>
  </si>
  <si>
    <t>5227126_1284976</t>
  </si>
  <si>
    <t>Youssef Zeddini</t>
  </si>
  <si>
    <t>p_a7f579250278da02054d564c39bf946c85490719@inbound.aiesec.org</t>
  </si>
  <si>
    <t>2023-03-25T23:25:19Z</t>
  </si>
  <si>
    <t>5253900_1284312</t>
  </si>
  <si>
    <t>Boran Doğan</t>
  </si>
  <si>
    <t>p_35af75cace34546f1c7b7b117d561652a85df18d@inbound.aiesec.org</t>
  </si>
  <si>
    <t>2023-05-01T19:58:30Z</t>
  </si>
  <si>
    <t>5253862_1294364</t>
  </si>
  <si>
    <t>semanur özel</t>
  </si>
  <si>
    <t>p_bf4a1d8b92ed11cd988090455231470f7c038e53@inbound.aiesec.org</t>
  </si>
  <si>
    <t>https://expa.aiesec.org/opportunities/1294364</t>
  </si>
  <si>
    <t>2023-05-01T18:21:06Z</t>
  </si>
  <si>
    <t>5146708_1292531</t>
  </si>
  <si>
    <t>Fareeha Falak</t>
  </si>
  <si>
    <t>p_6aaf0f24fdc7023561aa9604e19365f2b0945ef0@inbound.aiesec.org</t>
  </si>
  <si>
    <t>2022-11-04T18:00:04Z</t>
  </si>
  <si>
    <t>5236280_1294651</t>
  </si>
  <si>
    <t>Sohaila hossein</t>
  </si>
  <si>
    <t>p_7921bd2950dfc333bfe342e75d1b1b807441e713@inbound.aiesec.org</t>
  </si>
  <si>
    <t>https://expa.aiesec.org/opportunities/1294651</t>
  </si>
  <si>
    <t>2023-04-06T11:08:20Z</t>
  </si>
  <si>
    <t>5243690_1294062</t>
  </si>
  <si>
    <t>Ayşe Akın</t>
  </si>
  <si>
    <t>p_ed61e8db3961fa30d1843630b7497d7d4598b26f@inbound.aiesec.org</t>
  </si>
  <si>
    <t>2023-04-17T11:22:40Z</t>
  </si>
  <si>
    <t>5191990_1294459</t>
  </si>
  <si>
    <t>Zeynep Sena Akşehirli</t>
  </si>
  <si>
    <t>p_17146e10f8352697aec8c2e64347bfc735455a78@inbound.aiesec.org</t>
  </si>
  <si>
    <t>https://expa.aiesec.org/opportunities/1294459</t>
  </si>
  <si>
    <t>2023-02-16T10:00:43Z</t>
  </si>
  <si>
    <t>5238829_1294062</t>
  </si>
  <si>
    <t>ceren erhüner</t>
  </si>
  <si>
    <t>p_cf6631955c692ddd05c25a858f0da49965a10a38@inbound.aiesec.org</t>
  </si>
  <si>
    <t>2023-04-10T12:51:38Z</t>
  </si>
  <si>
    <t>4617722_1290858</t>
  </si>
  <si>
    <t>Nezahat Solmaz</t>
  </si>
  <si>
    <t>p_e448dcb306cc54a2863d9b8063adad73e08e020a@inbound.aiesec.org</t>
  </si>
  <si>
    <t>https://expa.aiesec.org/opportunities/1290858</t>
  </si>
  <si>
    <t>2021-04-15T21:29:47Z</t>
  </si>
  <si>
    <t>5247976_1294294</t>
  </si>
  <si>
    <t>Şaheste Bakkal</t>
  </si>
  <si>
    <t>p_dd954368d1e7051a8f4f823e1497898bd04cbd10@inbound.aiesec.org</t>
  </si>
  <si>
    <t>https://expa.aiesec.org/opportunities/1294294</t>
  </si>
  <si>
    <t>2023-04-23T21:39:47Z</t>
  </si>
  <si>
    <t>5249991_1288732</t>
  </si>
  <si>
    <t>Özge Kılıç</t>
  </si>
  <si>
    <t>p_12456b51cbde6483c1d10df1ad775b7654022483@inbound.aiesec.org</t>
  </si>
  <si>
    <t>541 972 3971</t>
  </si>
  <si>
    <t>https://expa.aiesec.org/opportunities/1288732</t>
  </si>
  <si>
    <t>2023-04-26T15:40:27Z</t>
  </si>
  <si>
    <t>5248640_1292606</t>
  </si>
  <si>
    <t>şerife kanalmaz</t>
  </si>
  <si>
    <t>p_1e9ecbe8ac33eb803ec49ac977b4789c240ab9b5@inbound.aiesec.org</t>
  </si>
  <si>
    <t>https://expa.aiesec.org/opportunities/1292606</t>
  </si>
  <si>
    <t>2023-04-24T22:16:27Z</t>
  </si>
  <si>
    <t>5248511_1289984</t>
  </si>
  <si>
    <t>Erva Özden</t>
  </si>
  <si>
    <t>p_2d813e52c004d0d77509affe371d78a759650cbd@inbound.aiesec.org</t>
  </si>
  <si>
    <t>https://expa.aiesec.org/opportunities/1289984</t>
  </si>
  <si>
    <t>2023-04-24T18:16:45Z</t>
  </si>
  <si>
    <t>5245936_1286553</t>
  </si>
  <si>
    <t>Selin Kurt</t>
  </si>
  <si>
    <t>p_58ce3f6dbb2f1c861cc32fe781893a1e779f5b96@inbound.aiesec.org</t>
  </si>
  <si>
    <t>https://expa.aiesec.org/opportunities/1286553</t>
  </si>
  <si>
    <t>2023-04-20T09:04:50Z</t>
  </si>
  <si>
    <t>5027228_1290454</t>
  </si>
  <si>
    <t>Basílio Brito</t>
  </si>
  <si>
    <t>p_5e25a75ed72cf44d6b42de4ac5f0ab0b9c1fda7f@inbound.aiesec.org</t>
  </si>
  <si>
    <t>https://expa.aiesec.org/opportunities/1290454</t>
  </si>
  <si>
    <t>Universidade NOVA de Lisboa - Faculdade de Ciências e Tecnologia (FCT)</t>
  </si>
  <si>
    <t>2022-04-06T15:04:15Z</t>
  </si>
  <si>
    <t>5241777_1293645</t>
  </si>
  <si>
    <t>Pelin Ekler</t>
  </si>
  <si>
    <t>p_751771332649812fc512ef5a7a21b21af8d63a0f@inbound.aiesec.org</t>
  </si>
  <si>
    <t>2023-04-14T06:55:28Z</t>
  </si>
  <si>
    <t>5255843_1294410</t>
  </si>
  <si>
    <t>sofien jemli</t>
  </si>
  <si>
    <t>p_364b47754bee0ee68dbacd3f5e980adeaa970c54@inbound.aiesec.org</t>
  </si>
  <si>
    <t>2023-05-04T16:02:57Z</t>
  </si>
  <si>
    <t>5255704_1291395</t>
  </si>
  <si>
    <t>Ramazan Şahin</t>
  </si>
  <si>
    <t>p_f0d033fbd70554fc0c7d2721578860136af93c72@inbound.aiesec.org</t>
  </si>
  <si>
    <t>https://expa.aiesec.org/opportunities/1291395</t>
  </si>
  <si>
    <t>2023-05-04T12:12:20Z</t>
  </si>
  <si>
    <t>5255430_1290282</t>
  </si>
  <si>
    <t>özcan ömer özgür</t>
  </si>
  <si>
    <t>p_f01a90f3d4530c67455ba4db51d1391bdebe9304@inbound.aiesec.org</t>
  </si>
  <si>
    <t>2023-05-03T22:12:09Z</t>
  </si>
  <si>
    <t>5255015_1293463</t>
  </si>
  <si>
    <t>Fatma Nur Uzun</t>
  </si>
  <si>
    <t>p_7d19e2913fd7a04a5bd20ca15be6a928aa2a5e75@inbound.aiesec.org</t>
  </si>
  <si>
    <t>2023-05-03T11:42:32Z</t>
  </si>
  <si>
    <t>5170154_1290282</t>
  </si>
  <si>
    <t>melis rüzgar</t>
  </si>
  <si>
    <t>p_47653cac4c966613ffd5b55f63262ccc1c29dc63@inbound.aiesec.org</t>
  </si>
  <si>
    <t>2022-12-25T16:48:42Z</t>
  </si>
  <si>
    <t>5242121_1294357</t>
  </si>
  <si>
    <t>Arda Ceylan</t>
  </si>
  <si>
    <t>p_f358e9a61e87c4f3ca6b0a837c9cc18994cc51a2@inbound.aiesec.org</t>
  </si>
  <si>
    <t>https://expa.aiesec.org/opportunities/1294357</t>
  </si>
  <si>
    <t>2023-04-14T16:13:27Z</t>
  </si>
  <si>
    <t>5242148_1294234</t>
  </si>
  <si>
    <t>Kaan Kulaksız</t>
  </si>
  <si>
    <t>p_1d290e9007f9baada0f180f9c6b4529dee501041@inbound.aiesec.org</t>
  </si>
  <si>
    <t>https://expa.aiesec.org/opportunities/1294234</t>
  </si>
  <si>
    <t>2023-04-14T16:58:44Z</t>
  </si>
  <si>
    <t>5248900_1294522</t>
  </si>
  <si>
    <t>Utku Taha Tokgöz</t>
  </si>
  <si>
    <t>p_9d44c4fcfea3e89388317f6690b048b8f80c5300@inbound.aiesec.org</t>
  </si>
  <si>
    <t>2023-04-25T08:45:11Z</t>
  </si>
  <si>
    <t>5254299_1294247</t>
  </si>
  <si>
    <t>Onat Şenel</t>
  </si>
  <si>
    <t>p_138d5e0e6dde49c197edcfadd65bb62fed88350a@inbound.aiesec.org</t>
  </si>
  <si>
    <t>https://expa.aiesec.org/opportunities/1294247</t>
  </si>
  <si>
    <t>2023-05-02T13:37:57Z</t>
  </si>
  <si>
    <t>5242306_1288609</t>
  </si>
  <si>
    <t>Mert Yasavul</t>
  </si>
  <si>
    <t>p_4cac3d6099863d4c465594284567e1a4664c38c2@inbound.aiesec.org</t>
  </si>
  <si>
    <t>2023-04-14T21:30:58Z</t>
  </si>
  <si>
    <t>5253931_1288609</t>
  </si>
  <si>
    <t>Eray Tunç</t>
  </si>
  <si>
    <t>p_789f86b1c447e3bef2d094185baba596eb5f50e7@inbound.aiesec.org</t>
  </si>
  <si>
    <t>2023-05-01T21:21:01Z</t>
  </si>
  <si>
    <t>4720267_1288609</t>
  </si>
  <si>
    <t>GAYE SILA GÜDER</t>
  </si>
  <si>
    <t>p_88ab8face7b4ce4f38a1c2798de9879debcf95b5@inbound.aiesec.org</t>
  </si>
  <si>
    <t>2021-08-26T14:21:37Z</t>
  </si>
  <si>
    <t>5253242_1290145</t>
  </si>
  <si>
    <t>Zeynep Demirkaya</t>
  </si>
  <si>
    <t>p_77cd62204c57713b099ee92dca1bccd3d7f09e70@inbound.aiesec.org</t>
  </si>
  <si>
    <t>https://expa.aiesec.org/opportunities/1290145</t>
  </si>
  <si>
    <t>2023-04-30T17:25:56Z</t>
  </si>
  <si>
    <t>5245243_1292800</t>
  </si>
  <si>
    <t>Ayşe Sude Yıldırım</t>
  </si>
  <si>
    <t>p_2fa641d49b87a83135ed99a4c1d3eb6c30e48a16@inbound.aiesec.org</t>
  </si>
  <si>
    <t>https://expa.aiesec.org/opportunities/1292800</t>
  </si>
  <si>
    <t>2023-04-19T11:04:47Z</t>
  </si>
  <si>
    <t>5252988_1293015</t>
  </si>
  <si>
    <t>Selis Sagdinc</t>
  </si>
  <si>
    <t>p_17229d4eff1ae6394bb78526ef3861c6f5c17ede@inbound.aiesec.org</t>
  </si>
  <si>
    <t>https://expa.aiesec.org/opportunities/1293015</t>
  </si>
  <si>
    <t>2023-04-30T09:49:43Z</t>
  </si>
  <si>
    <t>5252461_1292571</t>
  </si>
  <si>
    <t>Ekin Alçı</t>
  </si>
  <si>
    <t>p_14b34fd58780e54f33f5199d985c5c625ea3bb32@inbound.aiesec.org</t>
  </si>
  <si>
    <t>2023-04-29T13:18:55Z</t>
  </si>
  <si>
    <t>5251218_1294410</t>
  </si>
  <si>
    <t>Zulaikho Babazhanova</t>
  </si>
  <si>
    <t>p_59737df2220ce34262c8873707a2f73a5feb0bc6@inbound.aiesec.org</t>
  </si>
  <si>
    <t>2023-04-27T20:45:27Z</t>
  </si>
  <si>
    <t>5251099_1286326</t>
  </si>
  <si>
    <t>Wissal Sdouga</t>
  </si>
  <si>
    <t>p_5ffacd6b7c0a02cf3d65c55538afede1e903a767@inbound.aiesec.org</t>
  </si>
  <si>
    <t>2023-04-27T18:13:49Z</t>
  </si>
  <si>
    <t>5230141_1288609</t>
  </si>
  <si>
    <t>yağmur çakmakçı</t>
  </si>
  <si>
    <t>p_c13050ac7ea65c75ec6a4627985634e1b0c70822@inbound.aiesec.org</t>
  </si>
  <si>
    <t>2023-03-29T14:32:08Z</t>
  </si>
  <si>
    <t>4691974_1294034</t>
  </si>
  <si>
    <t>Ahsen Karakaya</t>
  </si>
  <si>
    <t>p_5b1f2da240ab8e9eb13a66148d4ec410b81fd892@inbound.aiesec.org</t>
  </si>
  <si>
    <t>2021-07-18T06:20:34Z</t>
  </si>
  <si>
    <t>5249979_1288411</t>
  </si>
  <si>
    <t>esma acar</t>
  </si>
  <si>
    <t>p_588799205c44cba910fe9af349c225ea376563a8@inbound.aiesec.org</t>
  </si>
  <si>
    <t>2023-04-26T15:27:49Z</t>
  </si>
  <si>
    <t>5206766_1285085</t>
  </si>
  <si>
    <t>4543085_1293717</t>
  </si>
  <si>
    <t>Ceyda Yıldız</t>
  </si>
  <si>
    <t>p_b65430e323a31290486318768a4f1f17ea7acbed@inbound.aiesec.org</t>
  </si>
  <si>
    <t>https://expa.aiesec.org/opportunities/1293717</t>
  </si>
  <si>
    <t>2021-02-12T18:17:19Z</t>
  </si>
  <si>
    <t>5241679_1287942</t>
  </si>
  <si>
    <t>Intizara Arkinova</t>
  </si>
  <si>
    <t>p_19493c504c7ef997563b61e1416b153519e35f02@inbound.aiesec.org</t>
  </si>
  <si>
    <t>2023-04-14T03:33:20Z</t>
  </si>
  <si>
    <t>5217513_1293694</t>
  </si>
  <si>
    <t>meylinaz keleş</t>
  </si>
  <si>
    <t>p_35e185e26a90b6ab479a02df5669a0537f17bb3e@inbound.aiesec.org</t>
  </si>
  <si>
    <t>https://expa.aiesec.org/opportunities/1293694</t>
  </si>
  <si>
    <t>2023-03-15T14:46:56Z</t>
  </si>
  <si>
    <t>5256364_1294410</t>
  </si>
  <si>
    <t>minyar layouni</t>
  </si>
  <si>
    <t>p_13774bdea8b98c18b096523262511e107803bdc6@inbound.aiesec.org</t>
  </si>
  <si>
    <t>2023-05-05T14:51:35Z</t>
  </si>
  <si>
    <t>5245340_1294103</t>
  </si>
  <si>
    <t>Nourchene Fatnassi</t>
  </si>
  <si>
    <t>p_b388e3b611394dd594ee8bfa1e504e722cb65bc3@inbound.aiesec.org</t>
  </si>
  <si>
    <t>IMSET Nabeul</t>
  </si>
  <si>
    <t>2023-04-19T13:04:54Z</t>
  </si>
  <si>
    <t>5229348_1294453</t>
  </si>
  <si>
    <t>Atahan Furkan Yıldırım</t>
  </si>
  <si>
    <t>p_f7c1168a85fb565ea14df755bd3f94745a440b97@inbound.aiesec.org</t>
  </si>
  <si>
    <t>https://expa.aiesec.org/opportunities/1294453</t>
  </si>
  <si>
    <t>2023-03-28T18:22:13Z</t>
  </si>
  <si>
    <t>5202227_1291996</t>
  </si>
  <si>
    <t>sude toygun</t>
  </si>
  <si>
    <t>p_cd6dc49d019c0117c427e0e596a7ed8ac9822ee3@inbound.aiesec.org</t>
  </si>
  <si>
    <t>https://expa.aiesec.org/opportunities/1291996</t>
  </si>
  <si>
    <t>2023-03-01T09:52:58Z</t>
  </si>
  <si>
    <t>5248269_1294894</t>
  </si>
  <si>
    <t>Eya Rahali</t>
  </si>
  <si>
    <t>p_a54c4943f1bc1667fe1dec5a94d583cf57b1c3b3@inbound.aiesec.org</t>
  </si>
  <si>
    <t>https://expa.aiesec.org/opportunities/1294894</t>
  </si>
  <si>
    <t>2023-04-24T11:57:51Z</t>
  </si>
  <si>
    <t>5249398_1291997</t>
  </si>
  <si>
    <t>Beliz Akarsu</t>
  </si>
  <si>
    <t>p_5e88d235377a108cd1c4589dc4aaf03190ccd53d@inbound.aiesec.org</t>
  </si>
  <si>
    <t>https://expa.aiesec.org/opportunities/1291997</t>
  </si>
  <si>
    <t>2023-04-25T20:09:12Z</t>
  </si>
  <si>
    <t>5252056_1289297</t>
  </si>
  <si>
    <t>Zeynep Tüylü</t>
  </si>
  <si>
    <t>p_779160fed651d00f9705f49c86f022e3beaf6b30@inbound.aiesec.org</t>
  </si>
  <si>
    <t>2023-04-28T18:18:18Z</t>
  </si>
  <si>
    <t>5255042_1294811</t>
  </si>
  <si>
    <t>İrem Aydoğdu</t>
  </si>
  <si>
    <t>p_4a135c061aa494449688361a7d14dae2a6f044d7@inbound.aiesec.org</t>
  </si>
  <si>
    <t>https://expa.aiesec.org/opportunities/1294811</t>
  </si>
  <si>
    <t>2023-05-03T12:07:23Z</t>
  </si>
  <si>
    <t>5254623_1292188</t>
  </si>
  <si>
    <t>MİRAY AYKURT</t>
  </si>
  <si>
    <t>p_752ce5100906b15cb4af62e13e03d5f233cd0ef8@inbound.aiesec.org</t>
  </si>
  <si>
    <t>2023-05-02T22:39:14Z</t>
  </si>
  <si>
    <t>5254300_1294453</t>
  </si>
  <si>
    <t>Gulcan Erol</t>
  </si>
  <si>
    <t>p_76f5d23a159f47030ea0d5bae5edbba3fc4cd0a3@inbound.aiesec.org</t>
  </si>
  <si>
    <t>2023-05-02T13:38:02Z</t>
  </si>
  <si>
    <t>5253898_1284312</t>
  </si>
  <si>
    <t>Zeki Akbaş</t>
  </si>
  <si>
    <t>p_867380fa503531ec97503247ae5b13ee915a5b1a@inbound.aiesec.org</t>
  </si>
  <si>
    <t>2023-05-01T19:57:54Z</t>
  </si>
  <si>
    <t>5252550_1290043</t>
  </si>
  <si>
    <t>Ahmet Yazağaç</t>
  </si>
  <si>
    <t>p_b3075853ab518fe4bde61d52250383d0b3e10216@inbound.aiesec.org</t>
  </si>
  <si>
    <t>https://expa.aiesec.org/opportunities/1290043</t>
  </si>
  <si>
    <t>2023-04-29T15:40:38Z</t>
  </si>
  <si>
    <t>5249986_1293463</t>
  </si>
  <si>
    <t>Zeynep Uzundurukan</t>
  </si>
  <si>
    <t>p_e4e1f632792ec8338348abfc9b3e45ef8f706068@inbound.aiesec.org</t>
  </si>
  <si>
    <t>2023-04-26T15:33:59Z</t>
  </si>
  <si>
    <t>4702083_1293463</t>
  </si>
  <si>
    <t>Mustafa Akarsu</t>
  </si>
  <si>
    <t>p_ddab2dd042accdf96a9a9f2ab1612708525cab9d@inbound.aiesec.org</t>
  </si>
  <si>
    <t>2021-08-01T15:18:58Z</t>
  </si>
  <si>
    <t>5227408_1294310</t>
  </si>
  <si>
    <t>vildan nur karaoğlan</t>
  </si>
  <si>
    <t>p_d161d89670809cc0b134d3345b928c6e63deafe8@inbound.aiesec.org</t>
  </si>
  <si>
    <t>2023-03-26T14:30:50Z</t>
  </si>
  <si>
    <t>5256879_1287987</t>
  </si>
  <si>
    <t>Gediz Tok</t>
  </si>
  <si>
    <t>p_edc49da298ed3ed36469547388cc0fe7dde36acc@inbound.aiesec.org</t>
  </si>
  <si>
    <t>2023-05-06T18:17:42Z</t>
  </si>
  <si>
    <t>5228161_1294923</t>
  </si>
  <si>
    <t>Dilay Özçağlayan</t>
  </si>
  <si>
    <t>p_8fa462e217c06a9d60eb4fa4be6eda81920f8fb4@inbound.aiesec.org</t>
  </si>
  <si>
    <t>https://expa.aiesec.org/opportunities/1294923</t>
  </si>
  <si>
    <t>2023-03-27T13:33:51Z</t>
  </si>
  <si>
    <t>5256522_1294651</t>
  </si>
  <si>
    <t>Ranya Adala</t>
  </si>
  <si>
    <t>p_6f8d6d7e1785f8bb9accbf27bad672aad693366e@inbound.aiesec.org</t>
  </si>
  <si>
    <t>2023-05-05T22:18:37Z</t>
  </si>
  <si>
    <t>5256729_1292298</t>
  </si>
  <si>
    <t>Songül Kaya</t>
  </si>
  <si>
    <t>p_1ba601e98842031c12899410b7f5aca64b811f8a@inbound.aiesec.org</t>
  </si>
  <si>
    <t>2023-05-06T11:54:59Z</t>
  </si>
  <si>
    <t>5256726_1294068</t>
  </si>
  <si>
    <t>wejden zekri</t>
  </si>
  <si>
    <t>p_d0876207ae4088e8889691867dd07482d8273258@inbound.aiesec.org</t>
  </si>
  <si>
    <t>2023-05-06T11:37:52Z</t>
  </si>
  <si>
    <t>5255750_1294102</t>
  </si>
  <si>
    <t>Başar Örsel</t>
  </si>
  <si>
    <t>p_16ecef3a9c807ee51117a9a8ab38e206ddbe3781@inbound.aiesec.org</t>
  </si>
  <si>
    <t>+905447101123</t>
  </si>
  <si>
    <t>https://expa.aiesec.org/opportunities/1294102</t>
  </si>
  <si>
    <t>2023-05-04T13:22:36Z</t>
  </si>
  <si>
    <t>5256701_1293026</t>
  </si>
  <si>
    <t>Hilal Altınok</t>
  </si>
  <si>
    <t>p_a20e9aa32da4a73bb685de9cebc852da0c35abc9@inbound.aiesec.org</t>
  </si>
  <si>
    <t>https://expa.aiesec.org/opportunities/1293026</t>
  </si>
  <si>
    <t>2023-05-06T10:06:49Z</t>
  </si>
  <si>
    <t>5256602_1287987</t>
  </si>
  <si>
    <t>Doğukan Doğan</t>
  </si>
  <si>
    <t>p_c6bb0ade3638e1b091fb35d81503ca386d2debc2@inbound.aiesec.org</t>
  </si>
  <si>
    <t>2023-05-06T06:05:32Z</t>
  </si>
  <si>
    <t>5254556_1294851</t>
  </si>
  <si>
    <t>Merve Kalın</t>
  </si>
  <si>
    <t>p_3eb5eb7f5c0c489d343e3510e95eaeb9a28e9608@inbound.aiesec.org</t>
  </si>
  <si>
    <t>https://expa.aiesec.org/opportunities/1294851</t>
  </si>
  <si>
    <t>2023-05-02T20:35:43Z</t>
  </si>
  <si>
    <t>5248817_1294429</t>
  </si>
  <si>
    <t>Deniz Ekim Onal</t>
  </si>
  <si>
    <t>p_200967a1cd4c6aace487e49256878293252cf726@inbound.aiesec.org</t>
  </si>
  <si>
    <t>https://expa.aiesec.org/opportunities/1294429</t>
  </si>
  <si>
    <t>2023-04-25T06:34:01Z</t>
  </si>
  <si>
    <t>5248811_1294429</t>
  </si>
  <si>
    <t>mehmed dinsever</t>
  </si>
  <si>
    <t>p_0fc288ec545c3ed18605bda5aea223abcfa64313@inbound.aiesec.org</t>
  </si>
  <si>
    <t>2023-04-25T06:30:31Z</t>
  </si>
  <si>
    <t>4173894_1290616</t>
  </si>
  <si>
    <t>sonia atbi</t>
  </si>
  <si>
    <t>p_453f186fa8d138a9d21d45774fdca4dbb51b9204@inbound.aiesec.org</t>
  </si>
  <si>
    <t>https://expa.aiesec.org/opportunities/1290616</t>
  </si>
  <si>
    <t>English Teacher (Duplicated)</t>
  </si>
  <si>
    <t>2020-02-08T21:43:44Z</t>
  </si>
  <si>
    <t>5254609_1293200</t>
  </si>
  <si>
    <t>Pınar Kılar</t>
  </si>
  <si>
    <t>p_9354bff2c4038a02ad286993a4b40454ef232c49@inbound.aiesec.org</t>
  </si>
  <si>
    <t>2023-05-02T22:16:05Z</t>
  </si>
  <si>
    <t>5254580_1293954</t>
  </si>
  <si>
    <t>Mir Serzan Çiftel</t>
  </si>
  <si>
    <t>p_cf156ebe1b48a6c2b69a266f716b8ae87c90f3d2@inbound.aiesec.org</t>
  </si>
  <si>
    <t>https://expa.aiesec.org/opportunities/1293954</t>
  </si>
  <si>
    <t>2023-05-02T21:08:12Z</t>
  </si>
  <si>
    <t>5253825_1294025</t>
  </si>
  <si>
    <t>Azra Ece Akiz</t>
  </si>
  <si>
    <t>p_9a9e809177767ac0f2608f4a68cb824a7565fd49@inbound.aiesec.org</t>
  </si>
  <si>
    <t>https://expa.aiesec.org/opportunities/1294025</t>
  </si>
  <si>
    <t>2023-05-01T17:05:59Z</t>
  </si>
  <si>
    <t>5143668_1287488</t>
  </si>
  <si>
    <t>Asmita Narang</t>
  </si>
  <si>
    <t>p_709625d6155574cc19fa9541122b411d9b43fc0d@inbound.aiesec.org</t>
  </si>
  <si>
    <t>2022-10-31T12:18:01Z</t>
  </si>
  <si>
    <t>4776928_1293541</t>
  </si>
  <si>
    <t>Arij Zaghmouri</t>
  </si>
  <si>
    <t>p_91231e82c1fd9983d5e2892613f76920b6a6f9c1@inbound.aiesec.org</t>
  </si>
  <si>
    <t>https://expa.aiesec.org/opportunities/1293541</t>
  </si>
  <si>
    <t xml:space="preserve">International Sales Manager </t>
  </si>
  <si>
    <t>2021-10-29T09:17:26Z</t>
  </si>
  <si>
    <t>5237261_1293999</t>
  </si>
  <si>
    <t>Batuhan Şaroğlu</t>
  </si>
  <si>
    <t>p_1e22cad8663320915437cac0da2e30aa9b90225f@inbound.aiesec.org</t>
  </si>
  <si>
    <t>KTU</t>
  </si>
  <si>
    <t>https://expa.aiesec.org/opportunities/1293999</t>
  </si>
  <si>
    <t>2023-04-07T20:26:51Z</t>
  </si>
  <si>
    <t>5241273_1293695</t>
  </si>
  <si>
    <t>Sevilay Elif Karaca</t>
  </si>
  <si>
    <t>p_3a57af8cd8bc7bca6becc530a93bc31c3d9f1344@inbound.aiesec.org</t>
  </si>
  <si>
    <t>541952988”</t>
  </si>
  <si>
    <t>https://expa.aiesec.org/opportunities/1293695</t>
  </si>
  <si>
    <t>2023-04-13T14:25:42Z</t>
  </si>
  <si>
    <t>5257289_1293406</t>
  </si>
  <si>
    <t>Nisa Nur Dalfidan</t>
  </si>
  <si>
    <t>p_6e5d9fbbcbafdd54f860ff5c861660cf29a575e1@inbound.aiesec.org</t>
  </si>
  <si>
    <t>538 410 28 92</t>
  </si>
  <si>
    <t>https://expa.aiesec.org/opportunities/1293406</t>
  </si>
  <si>
    <t>2023-05-07T20:20:47Z</t>
  </si>
  <si>
    <t>5257220_1294425</t>
  </si>
  <si>
    <t>Esra Çağlarbey</t>
  </si>
  <si>
    <t>p_615485090262c55f572b6af102b7ba3fb6bf2499@inbound.aiesec.org</t>
  </si>
  <si>
    <t>545 202 08 01</t>
  </si>
  <si>
    <t>https://expa.aiesec.org/opportunities/1294425</t>
  </si>
  <si>
    <t>2023-05-07T17:08:36Z</t>
  </si>
  <si>
    <t>5058425_1288129</t>
  </si>
  <si>
    <t>Ahsen Buyurkan</t>
  </si>
  <si>
    <t>p_b2f0033923ed15987ad33bf9823d961af599ae92@inbound.aiesec.org</t>
  </si>
  <si>
    <t>2022-05-17T07:24:09Z</t>
  </si>
  <si>
    <t>5058432_1293054</t>
  </si>
  <si>
    <t>ZEHRA KAYA</t>
  </si>
  <si>
    <t>p_76c56ca9554927c7dc01e22abe6c6ebc24748de3@inbound.aiesec.org</t>
  </si>
  <si>
    <t>https://expa.aiesec.org/opportunities/1293054</t>
  </si>
  <si>
    <t>2022-05-17T07:43:14Z</t>
  </si>
  <si>
    <t>4042340_1294508</t>
  </si>
  <si>
    <t>Ahmet Zahit Ekren</t>
  </si>
  <si>
    <t>p_6c1c2d082e3c872c1afaf2c7daecb900262d50fc@inbound.aiesec.org</t>
  </si>
  <si>
    <t>https://expa.aiesec.org/opportunities/1294508</t>
  </si>
  <si>
    <t>2019-11-24T22:57:53Z</t>
  </si>
  <si>
    <t>5129312_1294412</t>
  </si>
  <si>
    <t>Beyza Ulutaş</t>
  </si>
  <si>
    <t>p_c2b1307e3edc50537e4407a4daa3c479912f0ed9@inbound.aiesec.org</t>
  </si>
  <si>
    <t>https://expa.aiesec.org/opportunities/1294412</t>
  </si>
  <si>
    <t>2022-10-10T17:13:20Z</t>
  </si>
  <si>
    <t>5257156_1294848</t>
  </si>
  <si>
    <t>Taha Turanoğlu</t>
  </si>
  <si>
    <t>p_0a80de4738e00a32b717b73f567744ae54be7448@inbound.aiesec.org</t>
  </si>
  <si>
    <t>https://expa.aiesec.org/opportunities/1294848</t>
  </si>
  <si>
    <t>2023-05-07T14:54:39Z</t>
  </si>
  <si>
    <t>5251998_1294848</t>
  </si>
  <si>
    <t>Ceri Ne</t>
  </si>
  <si>
    <t>p_278fafffe818e834e82da358b6f933f2bebb13fd@inbound.aiesec.org</t>
  </si>
  <si>
    <t>2023-04-28T16:53:04Z</t>
  </si>
  <si>
    <t>5255193_1289951</t>
  </si>
  <si>
    <t>Gamze Çevik</t>
  </si>
  <si>
    <t>p_a258dad59c6b3a260accbb3f4c45103c13ffa521@inbound.aiesec.org</t>
  </si>
  <si>
    <t>https://expa.aiesec.org/opportunities/1289951</t>
  </si>
  <si>
    <t>2023-05-03T15:18:53Z</t>
  </si>
  <si>
    <t>5249580_1286929</t>
  </si>
  <si>
    <t>Eyyüp Ekinbaş</t>
  </si>
  <si>
    <t>p_df9ce2091151b7f7f08d77c40bf07bac2b0ee27c@inbound.aiesec.org</t>
  </si>
  <si>
    <t>2023-04-26T06:44:27Z</t>
  </si>
  <si>
    <t>4879575_1294488</t>
  </si>
  <si>
    <t>irem ceylan</t>
  </si>
  <si>
    <t>p_91b580f20fb05b60bf304322456b3d39bac30b13@inbound.aiesec.org</t>
  </si>
  <si>
    <t>https://expa.aiesec.org/opportunities/1294488</t>
  </si>
  <si>
    <t>2022-01-13T07:33:40Z</t>
  </si>
  <si>
    <t>5256679_1294876</t>
  </si>
  <si>
    <t>Deniz Korkmaz</t>
  </si>
  <si>
    <t>p_e101b50ca87206e9450e8df4de09efb51750cc79@inbound.aiesec.org</t>
  </si>
  <si>
    <t>https://expa.aiesec.org/opportunities/1294876</t>
  </si>
  <si>
    <t>2023-05-06T09:11:58Z</t>
  </si>
  <si>
    <t>5049663_1294894</t>
  </si>
  <si>
    <t>Hannan Mazhar</t>
  </si>
  <si>
    <t>p_6b426366c046ef8a0d0230cdc9d6e1a1cbc72b2a@inbound.aiesec.org</t>
  </si>
  <si>
    <t>Lahore - Lahore School of Economics</t>
  </si>
  <si>
    <t>2022-05-01T16:40:10Z</t>
  </si>
  <si>
    <t>5256498_1294209</t>
  </si>
  <si>
    <t>Neşat Burak Gündoğdu</t>
  </si>
  <si>
    <t>p_080d2947e36334e6680f65d011cf8b19a741452b@inbound.aiesec.org</t>
  </si>
  <si>
    <t>https://expa.aiesec.org/opportunities/1294209</t>
  </si>
  <si>
    <t>2023-05-05T20:56:30Z</t>
  </si>
  <si>
    <t>5256337_1294584</t>
  </si>
  <si>
    <t>Valeriia Babii</t>
  </si>
  <si>
    <t>p_933a1b07beab6a9d4810f75918af8f9ee42836df@inbound.aiesec.org</t>
  </si>
  <si>
    <t>2023-05-05T13:55:50Z</t>
  </si>
  <si>
    <t>5245757_1294894</t>
  </si>
  <si>
    <t>Waleed Ehsan</t>
  </si>
  <si>
    <t>p_a255879123e716450f08495072179a92a139b1ba@inbound.aiesec.org</t>
  </si>
  <si>
    <t>2023-04-20T00:36:55Z</t>
  </si>
  <si>
    <t>2364463_1293918</t>
  </si>
  <si>
    <t>Murat Gokay Sekerli</t>
  </si>
  <si>
    <t>p_92b214b64b530a43d7a509ee32689b3fc2ddc326@inbound.aiesec.org</t>
  </si>
  <si>
    <t>2018-06-16T16:31:43Z</t>
  </si>
  <si>
    <t>5249858_1294206</t>
  </si>
  <si>
    <t>yağmur timur</t>
  </si>
  <si>
    <t>p_7b5b353ddefbbaef50d94fd97c7253baa78889fa@inbound.aiesec.org</t>
  </si>
  <si>
    <t>https://expa.aiesec.org/opportunities/1294206</t>
  </si>
  <si>
    <t>2023-04-26T12:42:44Z</t>
  </si>
  <si>
    <t>5251830_1294734</t>
  </si>
  <si>
    <t>Melkan Kağan Kara</t>
  </si>
  <si>
    <t>p_2432bb1586818f53cf1e65284a8f18e273ffa0d6@inbound.aiesec.org</t>
  </si>
  <si>
    <t>https://expa.aiesec.org/opportunities/1294734</t>
  </si>
  <si>
    <t>2023-04-28T14:00:24Z</t>
  </si>
  <si>
    <t>5132538_1289596</t>
  </si>
  <si>
    <t>Daria Tryhubenko</t>
  </si>
  <si>
    <t>p_da9557557a606ac32798295fdbb58641dc895111@inbound.aiesec.org</t>
  </si>
  <si>
    <t>2022-10-13T21:23:38Z</t>
  </si>
  <si>
    <t>5253757_1288542</t>
  </si>
  <si>
    <t>BATUHAN SAĞLAM</t>
  </si>
  <si>
    <t>p_8042309b6974fc87459d67f3b06b87add11128b4@inbound.aiesec.org</t>
  </si>
  <si>
    <t>2023-05-01T15:20:14Z</t>
  </si>
  <si>
    <t>5193886_1294387</t>
  </si>
  <si>
    <t>Viacheslav Ivanov</t>
  </si>
  <si>
    <t>p_3d799d595758479312763b0280b7aee7fcc8ba5d@inbound.aiesec.org</t>
  </si>
  <si>
    <t>AUCA (Other departments) АУЦА (Другие отделения)</t>
  </si>
  <si>
    <t>2023-02-18T13:17:35Z</t>
  </si>
  <si>
    <t>5250148_1293005</t>
  </si>
  <si>
    <t>Esma Çetin</t>
  </si>
  <si>
    <t>p_13e24e6c5f44b3d2bf85e7ad54fbba6f58e9404b@inbound.aiesec.org</t>
  </si>
  <si>
    <t>2023-04-26T18:55:08Z</t>
  </si>
  <si>
    <t>5244785_1293699</t>
  </si>
  <si>
    <t>Ezgi Su Özerden</t>
  </si>
  <si>
    <t>p_61c8935aff2c7a7c27ba245e11c2800587fc5b88@inbound.aiesec.org</t>
  </si>
  <si>
    <t>2023-04-18T19:30:09Z</t>
  </si>
  <si>
    <t>5238272_1293245</t>
  </si>
  <si>
    <t>Sinem Buzdan</t>
  </si>
  <si>
    <t>p_a4ea5587223b8a254886cc765df29167c9202926@inbound.aiesec.org</t>
  </si>
  <si>
    <t>2023-04-09T17:21:00Z</t>
  </si>
  <si>
    <t>4183823_1292531</t>
  </si>
  <si>
    <t>Narimaan Asim</t>
  </si>
  <si>
    <t>p_becdfe61756c298004e1c18d76fffe47f0ea2133@inbound.aiesec.org</t>
  </si>
  <si>
    <t>2020-02-13T12:33:50Z</t>
  </si>
  <si>
    <t>5257621_1293212</t>
  </si>
  <si>
    <t>Dorra Boubaker</t>
  </si>
  <si>
    <t>p_9e894f743e9db1784d31db60ff52f4932e80fd1a@inbound.aiesec.org</t>
  </si>
  <si>
    <t>https://expa.aiesec.org/opportunities/1293212</t>
  </si>
  <si>
    <t>English Teacher in Kindergarten</t>
  </si>
  <si>
    <t>Institut supérieur des cadres de l'enfance ISCE</t>
  </si>
  <si>
    <t>2023-05-08T12:35:35Z</t>
  </si>
  <si>
    <t>5231657_1294372</t>
  </si>
  <si>
    <t>zeineb hichri</t>
  </si>
  <si>
    <t>p_bad1eb7b225d84fbd5d4196f2f3b2fe64c38c60b@inbound.aiesec.org</t>
  </si>
  <si>
    <t>https://expa.aiesec.org/opportunities/1294372</t>
  </si>
  <si>
    <t>2023-03-31T06:21:22Z</t>
  </si>
  <si>
    <t>5256799_1284976</t>
  </si>
  <si>
    <t>Bai Yue</t>
  </si>
  <si>
    <t>p_39646939861043767b654a02435d96b972866450@inbound.aiesec.org</t>
  </si>
  <si>
    <t>Beijing</t>
  </si>
  <si>
    <t>BEIJING 北京</t>
  </si>
  <si>
    <t>2023-05-06T14:49:18Z</t>
  </si>
  <si>
    <t>5256842_1294066</t>
  </si>
  <si>
    <t>Isabel Yapour</t>
  </si>
  <si>
    <t>p_1f7187f8cbd4ae03f83324bac0e07de85080d682@inbound.aiesec.org</t>
  </si>
  <si>
    <t>Guadalajara</t>
  </si>
  <si>
    <t>2023-05-06T16:53:29Z</t>
  </si>
  <si>
    <t>5256352_1288245</t>
  </si>
  <si>
    <t>Nairouz Abidi</t>
  </si>
  <si>
    <t>p_c6519bd5276400d404ede0a14e2d12fdda9358a5@inbound.aiesec.org</t>
  </si>
  <si>
    <t>2023-05-05T14:28:20Z</t>
  </si>
  <si>
    <t>5255913_1291144</t>
  </si>
  <si>
    <t>khalfa yosser</t>
  </si>
  <si>
    <t>p_7faeb12cdc57f587e9b4877f8c6f8b81f9cc1056@inbound.aiesec.org</t>
  </si>
  <si>
    <t>2023-05-04T18:40:10Z</t>
  </si>
  <si>
    <t>5255139_1278774</t>
  </si>
  <si>
    <t>douae talidi</t>
  </si>
  <si>
    <t>p_5710fdf26435287fe277c6405d70699d8b2fc0bf@inbound.aiesec.org</t>
  </si>
  <si>
    <t>FLSH Meknès</t>
  </si>
  <si>
    <t>2023-05-03T13:59:21Z</t>
  </si>
  <si>
    <t>5254960_1286505</t>
  </si>
  <si>
    <t>Esra'a Majdy</t>
  </si>
  <si>
    <t>p_89ae1e4fb0369b01d37e9d0771a409f1cf50a3c6@inbound.aiesec.org</t>
  </si>
  <si>
    <t>https://expa.aiesec.org/opportunities/1286505</t>
  </si>
  <si>
    <t>Sales and Marketing</t>
  </si>
  <si>
    <t>2023-05-03T10:52:46Z</t>
  </si>
  <si>
    <t>5254364_1294632</t>
  </si>
  <si>
    <t>Bahadır Duman</t>
  </si>
  <si>
    <t>p_118f2e481594a77e54200934d6ef73628afccf4a@inbound.aiesec.org</t>
  </si>
  <si>
    <t>https://expa.aiesec.org/opportunities/1294632</t>
  </si>
  <si>
    <t>2023-05-02T15:31:57Z</t>
  </si>
  <si>
    <t>5236125_1294622</t>
  </si>
  <si>
    <t>ibrahim khan</t>
  </si>
  <si>
    <t>p_e9ab578ccad7338be29c38693a2d8320788b7531@inbound.aiesec.org</t>
  </si>
  <si>
    <t>2023-04-06T07:36:21Z</t>
  </si>
  <si>
    <t>4656150_1293863</t>
  </si>
  <si>
    <t>ecesu genç</t>
  </si>
  <si>
    <t>p_8e708ded1b6a89c47a88ce6366791bdcf1ed7f58@inbound.aiesec.org</t>
  </si>
  <si>
    <t>2021-05-28T10:51:52Z</t>
  </si>
  <si>
    <t>2315914_1293283</t>
  </si>
  <si>
    <t>Abdurrahman Coban</t>
  </si>
  <si>
    <t>p_675d5337d05a743804b35eaf3e0eec0975bcf8cd@inbound.aiesec.org</t>
  </si>
  <si>
    <t>https://expa.aiesec.org/opportunities/1293283</t>
  </si>
  <si>
    <t>Information Technology Trainee</t>
  </si>
  <si>
    <t>2018-05-21T10:09:08Z</t>
  </si>
  <si>
    <t>5196500_1284670</t>
  </si>
  <si>
    <t>Vanessa Langenau</t>
  </si>
  <si>
    <t>p_b47c939ef8c6581723104f43a93c0eab5178614f@inbound.aiesec.org</t>
  </si>
  <si>
    <t>Hannover</t>
  </si>
  <si>
    <t>2023-02-22T08:46:10Z</t>
  </si>
  <si>
    <t>4525261_1294332</t>
  </si>
  <si>
    <t>Esther Nasubo</t>
  </si>
  <si>
    <t>p_4ad8285ce45854a869e940ac49e84768b9a82573@inbound.aiesec.org</t>
  </si>
  <si>
    <t>2021-01-26T14:54:31Z</t>
  </si>
  <si>
    <t>5241232_1293315</t>
  </si>
  <si>
    <t>Aleyna Hazal Üstündağ</t>
  </si>
  <si>
    <t>p_d63ce3e8ce35ff9f0b20767c50f4a286c7438a87@inbound.aiesec.org</t>
  </si>
  <si>
    <t>https://expa.aiesec.org/opportunities/1293315</t>
  </si>
  <si>
    <t>Marketing and Architecture</t>
  </si>
  <si>
    <t>2023-04-13T13:51:50Z</t>
  </si>
  <si>
    <t>5258432_1287560</t>
  </si>
  <si>
    <t>Fella Boukerche</t>
  </si>
  <si>
    <t>p_0973c2566916846560142c76979979e3eaf2f09b@inbound.aiesec.org</t>
  </si>
  <si>
    <t>2023-05-09T16:44:37Z</t>
  </si>
  <si>
    <t>5204588_1292531</t>
  </si>
  <si>
    <t>Salma kennou</t>
  </si>
  <si>
    <t>p_201300ce88a8d2bc10f2b9a1c158d5c35ef79a7a@inbound.aiesec.org</t>
  </si>
  <si>
    <t>2023-03-03T13:16:28Z</t>
  </si>
  <si>
    <t>5257806_1287560</t>
  </si>
  <si>
    <t>Miral Raafat</t>
  </si>
  <si>
    <t>p_de945d2ee7d4b325ed4fc583d2e4376ed8e1d770@inbound.aiesec.org</t>
  </si>
  <si>
    <t>2023-05-08T16:50:47Z</t>
  </si>
  <si>
    <t>5257744_1288414</t>
  </si>
  <si>
    <t>Ensar Önal</t>
  </si>
  <si>
    <t>p_43a43087c7a5322c670d3dbd087d22076a37f857@inbound.aiesec.org</t>
  </si>
  <si>
    <t>2023-05-08T15:29:17Z</t>
  </si>
  <si>
    <t>5256952_1288609</t>
  </si>
  <si>
    <t>DEMET DİREYBATOĞULLARI</t>
  </si>
  <si>
    <t>p_e22aa1c44bb4082d5b3f2a16a34d54e34a0d51cb@inbound.aiesec.org</t>
  </si>
  <si>
    <t>2023-05-06T23:12:12Z</t>
  </si>
  <si>
    <t>5256718_1288609</t>
  </si>
  <si>
    <t>Hasan Bedir ATEŞ</t>
  </si>
  <si>
    <t>p_bbded4773e8ad1e068be10492c77f8fd0e71557d@inbound.aiesec.org</t>
  </si>
  <si>
    <t>2023-05-06T11:23:01Z</t>
  </si>
  <si>
    <t>5241262_1279327</t>
  </si>
  <si>
    <t>Ikram Hadid</t>
  </si>
  <si>
    <t>p_a0bf762103594fa189d3cfdff773c0f89db2f81a@inbound.aiesec.org</t>
  </si>
  <si>
    <t>2023-04-13T14:17:02Z</t>
  </si>
  <si>
    <t>5106849_1294587</t>
  </si>
  <si>
    <t>Başak Naz Kurt</t>
  </si>
  <si>
    <t>p_26ed00734d3be357b57a2da1b6cae221ea649d67@inbound.aiesec.org</t>
  </si>
  <si>
    <t>+905366935380</t>
  </si>
  <si>
    <t>https://expa.aiesec.org/opportunities/1294587</t>
  </si>
  <si>
    <t>2022-09-06T15:29:14Z</t>
  </si>
  <si>
    <t>5256357_1294584</t>
  </si>
  <si>
    <t>Viktoriia Kuziv</t>
  </si>
  <si>
    <t>p_b6127dd2ed99d64419f2e2f7b96cf947e8daa5ce@inbound.aiesec.org</t>
  </si>
  <si>
    <t>2023-05-05T14:35:51Z</t>
  </si>
  <si>
    <t>5245758_1294894</t>
  </si>
  <si>
    <t>Afaq Shahzad</t>
  </si>
  <si>
    <t>p_edb4f10167bec5d545d788b3f869844cd3aef41b@inbound.aiesec.org</t>
  </si>
  <si>
    <t>2023-04-20T00:37:26Z</t>
  </si>
  <si>
    <t>5179130_1287488</t>
  </si>
  <si>
    <t>Fabiana Gecchele</t>
  </si>
  <si>
    <t>p_305ca2bd43cb9d5672c2c7979b85543b744a7403@inbound.aiesec.org</t>
  </si>
  <si>
    <t>PoliTO</t>
  </si>
  <si>
    <t>2023-01-21T16:27:09Z</t>
  </si>
  <si>
    <t>5253831_1289261</t>
  </si>
  <si>
    <t>Dilnaz Maksat</t>
  </si>
  <si>
    <t>p_ab4fa8f289f522a64070ff8c808070b9a71d3d62@inbound.aiesec.org</t>
  </si>
  <si>
    <t>2023-05-01T17:24:15Z</t>
  </si>
  <si>
    <t>5248652_1286228</t>
  </si>
  <si>
    <t>Amila Cibra</t>
  </si>
  <si>
    <t>p_5f6e368729be33f0d185b899972231510fcac4c4@inbound.aiesec.org</t>
  </si>
  <si>
    <t>2023-04-24T22:32:40Z</t>
  </si>
  <si>
    <t>5214667_1288461</t>
  </si>
  <si>
    <t>Syed Muhammad Hassaan</t>
  </si>
  <si>
    <t>p_9c109a9aacc080f4d48dfa4e876eae8b7f3f6238@inbound.aiesec.org</t>
  </si>
  <si>
    <t>https://expa.aiesec.org/opportunities/1288461</t>
  </si>
  <si>
    <t>2023-03-13T12:35:42Z</t>
  </si>
  <si>
    <t>5247288_1294332</t>
  </si>
  <si>
    <t>Daria Lugovskaia</t>
  </si>
  <si>
    <t>p_e1341ef2ee7a0f00e47736025c2f31b0565dee5c@inbound.aiesec.org</t>
  </si>
  <si>
    <t>2023-04-22T13:30:48Z</t>
  </si>
  <si>
    <t>5242730_1294011</t>
  </si>
  <si>
    <t>FATIMA EZZAHRAA TAGHAOUT</t>
  </si>
  <si>
    <t>p_9ecfd433f744da2ea6763470c8e5bb5d61da8bd1@inbound.aiesec.org</t>
  </si>
  <si>
    <t>https://expa.aiesec.org/opportunities/1294011</t>
  </si>
  <si>
    <t>2023-04-15T19:13:15Z</t>
  </si>
  <si>
    <t>5258835_1289596</t>
  </si>
  <si>
    <t>semah ayachi</t>
  </si>
  <si>
    <t>p_2e0bcd5647c58a49d69996b76bdb17a92f64ea55@inbound.aiesec.org</t>
  </si>
  <si>
    <t>2023-05-10T11:22:36Z</t>
  </si>
  <si>
    <t>5258366_1289596</t>
  </si>
  <si>
    <t>Salma Gharbi</t>
  </si>
  <si>
    <t>p_174a4a6dbd4751a1683ba9e4ce89c547ba0683a0@inbound.aiesec.org</t>
  </si>
  <si>
    <t>2023-05-09T14:47:43Z</t>
  </si>
  <si>
    <t>5151089_1294372</t>
  </si>
  <si>
    <t>issaoui amine issaoui amine</t>
  </si>
  <si>
    <t>p_1ef213a847a81b530d77b60fe751b0c8d49f9514@inbound.aiesec.org</t>
  </si>
  <si>
    <t>2022-11-10T20:49:00Z</t>
  </si>
  <si>
    <t>5188555_1293046</t>
  </si>
  <si>
    <t>Sude Filiz</t>
  </si>
  <si>
    <t>p_399c974f6838eb77542dbd44649d007dec6401f5@inbound.aiesec.org</t>
  </si>
  <si>
    <t>https://expa.aiesec.org/opportunities/1293046</t>
  </si>
  <si>
    <t>2023-02-10T09:02:37Z</t>
  </si>
  <si>
    <t>5257182_1290950</t>
  </si>
  <si>
    <t>yiğit gün</t>
  </si>
  <si>
    <t>p_dcb3d47df563e1eb35c2f69fab6f814a4a394484@inbound.aiesec.org</t>
  </si>
  <si>
    <t>https://expa.aiesec.org/opportunities/1290950</t>
  </si>
  <si>
    <t>2023-05-07T15:45:15Z</t>
  </si>
  <si>
    <t>5248982_1294760</t>
  </si>
  <si>
    <t>Tuana Üzgül</t>
  </si>
  <si>
    <t>p_9bf175c29ee1a341e6fb9da5de05773e31d40925@inbound.aiesec.org</t>
  </si>
  <si>
    <t>https://expa.aiesec.org/opportunities/1294760</t>
  </si>
  <si>
    <t>2023-04-25T11:45:21Z</t>
  </si>
  <si>
    <t>5159567_1292127</t>
  </si>
  <si>
    <t>https://expa.aiesec.org/opportunities/1292127</t>
  </si>
  <si>
    <t>5237291_1294372</t>
  </si>
  <si>
    <t>Rayen Lassoued</t>
  </si>
  <si>
    <t>p_a2d9ae61731f4a1c6f680e83bfa4426cf3277a8f@inbound.aiesec.org</t>
  </si>
  <si>
    <t>IPEIM</t>
  </si>
  <si>
    <t>2023-04-07T21:44:09Z</t>
  </si>
  <si>
    <t>5242537_1272564</t>
  </si>
  <si>
    <t>Nourine El Afrit</t>
  </si>
  <si>
    <t>p_550278d321bf42db0ff91661207eca70792c4f1d@inbound.aiesec.org</t>
  </si>
  <si>
    <t>2023-04-15T11:17:38Z</t>
  </si>
  <si>
    <t>5259222_1290024</t>
  </si>
  <si>
    <t>Sabrullah Levent</t>
  </si>
  <si>
    <t>p_5905ac34358d57923ad2de82fad1ea2b3a521f4f@inbound.aiesec.org</t>
  </si>
  <si>
    <t>2023-05-10T22:52:55Z</t>
  </si>
  <si>
    <t>5258274_1294584</t>
  </si>
  <si>
    <t>Ltaief Nourhene</t>
  </si>
  <si>
    <t>p_cee4f87f5be19c68c42d3545fcc0b30c34c2932e@inbound.aiesec.org</t>
  </si>
  <si>
    <t>2023-05-09T13:15:51Z</t>
  </si>
  <si>
    <t>5238013_1294641</t>
  </si>
  <si>
    <t>Besma Tilbi</t>
  </si>
  <si>
    <t>p_d7d3439f9e88c5c0c3dc0ade06fd9206a2c58a62@inbound.aiesec.org</t>
  </si>
  <si>
    <t>https://expa.aiesec.org/opportunities/1294641</t>
  </si>
  <si>
    <t>Kindergarten Assistant Teacher at Ihsan International School in Istanbul</t>
  </si>
  <si>
    <t>2023-04-09T09:29:00Z</t>
  </si>
  <si>
    <t>5162552_1294066</t>
  </si>
  <si>
    <t>Varinlada Choampangpacharapan</t>
  </si>
  <si>
    <t>p_453beb55e7e6789d572daf3a85a191f953845f95@inbound.aiesec.org</t>
  </si>
  <si>
    <t>Thailand</t>
  </si>
  <si>
    <t>Thammasat University</t>
  </si>
  <si>
    <t>2022-12-04T14:19:14Z</t>
  </si>
  <si>
    <t>5257815_1292298</t>
  </si>
  <si>
    <t>Nil Özge Moya</t>
  </si>
  <si>
    <t>p_0787e1a9ce89d862cf2121b96685d36f38cfcaa4@inbound.aiesec.org</t>
  </si>
  <si>
    <t>553 924 80 86</t>
  </si>
  <si>
    <t>2023-05-08T17:02:21Z</t>
  </si>
  <si>
    <t>5256499_1284312</t>
  </si>
  <si>
    <t>Kadir Alageyik</t>
  </si>
  <si>
    <t>p_ca545e8999e06b23702f53d28feba97865e0cb3b@inbound.aiesec.org</t>
  </si>
  <si>
    <t>2023-05-05T20:56:36Z</t>
  </si>
  <si>
    <t>5244017_1294922</t>
  </si>
  <si>
    <t>Melih Atalay</t>
  </si>
  <si>
    <t>p_5cae204ba057afe635a3828752a275230262f10f@inbound.aiesec.org</t>
  </si>
  <si>
    <t>https://expa.aiesec.org/opportunities/1294922</t>
  </si>
  <si>
    <t>2023-04-17T21:20:14Z</t>
  </si>
  <si>
    <t>2039687_1289596</t>
  </si>
  <si>
    <t>Muhammad Mahad</t>
  </si>
  <si>
    <t>p_3f6fc1ae94edd62fb482a9a9d7fe064b826021bb@inbound.aiesec.org</t>
  </si>
  <si>
    <t>2018-02-17T08:49:24Z</t>
  </si>
  <si>
    <t>5251278_1289596</t>
  </si>
  <si>
    <t>Muhammad Abdul Rafey</t>
  </si>
  <si>
    <t>p_c943ce486d91db3dde52a069fbb6de7acbeace7b@inbound.aiesec.org</t>
  </si>
  <si>
    <t>Lahore - University of Lahore (UoL)</t>
  </si>
  <si>
    <t>2023-04-27T22:07:38Z</t>
  </si>
  <si>
    <t>5255586_1291979</t>
  </si>
  <si>
    <t>Nazlıcan Yüksek</t>
  </si>
  <si>
    <t>p_d849f30af44667d5542a4df603d694bf72249a17@inbound.aiesec.org</t>
  </si>
  <si>
    <t>BRNO</t>
  </si>
  <si>
    <t>https://expa.aiesec.org/opportunities/1291979</t>
  </si>
  <si>
    <t>2023-05-04T09:20:34Z</t>
  </si>
  <si>
    <t>5238406_1294332</t>
  </si>
  <si>
    <t>Fiza Asad</t>
  </si>
  <si>
    <t>p_65b7af1daf09e582d17d2606cdc74f4c20622cc6@inbound.aiesec.org</t>
  </si>
  <si>
    <t>2023-04-09T23:31:35Z</t>
  </si>
  <si>
    <t>5233216_1293918</t>
  </si>
  <si>
    <t>Zeynep Bahar Erdem</t>
  </si>
  <si>
    <t>p_96873ba06cf925a07eedde0c2cbd919a8b75dfe2@inbound.aiesec.org</t>
  </si>
  <si>
    <t>2023-04-02T11:15:48Z</t>
  </si>
  <si>
    <t>4409833_1286368</t>
  </si>
  <si>
    <t>Afef Boujemaa</t>
  </si>
  <si>
    <t>p_67f2de25b63722b39dc22b30f088cd1933f71d60@inbound.aiesec.org</t>
  </si>
  <si>
    <t>2020-10-29T11:52:02Z</t>
  </si>
  <si>
    <t>5260054_1294332</t>
  </si>
  <si>
    <t>Sarah Ahmed Abdelghany</t>
  </si>
  <si>
    <t>p_75830273b6e0a1605b0766a1aaed5fa41230fa4e@inbound.aiesec.org</t>
  </si>
  <si>
    <t>2023-05-12T15:12:22Z</t>
  </si>
  <si>
    <t>5186247_1294972</t>
  </si>
  <si>
    <t>Hadil Chaffar</t>
  </si>
  <si>
    <t>p_021c6835ed12e7091601ecfbfe8c3261d1a81a8d@inbound.aiesec.org</t>
  </si>
  <si>
    <t>https://expa.aiesec.org/opportunities/1294972</t>
  </si>
  <si>
    <t>2023-02-06T11:57:32Z</t>
  </si>
  <si>
    <t>5259468_1294795</t>
  </si>
  <si>
    <t>emna guizani</t>
  </si>
  <si>
    <t>p_2615595ac10ec907b7956f66d26b8c7cc11c98cc@inbound.aiesec.org</t>
  </si>
  <si>
    <t>https://expa.aiesec.org/opportunities/1294795</t>
  </si>
  <si>
    <t>2023-05-11T12:12:36Z</t>
  </si>
  <si>
    <t>4998873_1283873</t>
  </si>
  <si>
    <t>Igor Akubardiia</t>
  </si>
  <si>
    <t>p_322647a986fb32596ffa57f27527c73c8d3dc3b2@inbound.aiesec.org</t>
  </si>
  <si>
    <t>https://expa.aiesec.org/opportunities/1283873</t>
  </si>
  <si>
    <t>Export Sales &amp; Marketing Research</t>
  </si>
  <si>
    <t>2022-03-22T09:20:12Z</t>
  </si>
  <si>
    <t>5258525_1292715</t>
  </si>
  <si>
    <t>Seda Karagöl</t>
  </si>
  <si>
    <t>p_9a7c807e08c35a04095d241ab5a2f6558260da2a@inbound.aiesec.org</t>
  </si>
  <si>
    <t>https://expa.aiesec.org/opportunities/1292715</t>
  </si>
  <si>
    <t>2023-05-09T20:03:22Z</t>
  </si>
  <si>
    <t>5258807_1292118</t>
  </si>
  <si>
    <t>dagna khouni</t>
  </si>
  <si>
    <t>p_46a2fa657f7fe9b9b1d9cd686b347e415d9a5991@inbound.aiesec.org</t>
  </si>
  <si>
    <t>2023-05-10T10:52:30Z</t>
  </si>
  <si>
    <t>5218463_1294972</t>
  </si>
  <si>
    <t>Zeina Ahmed</t>
  </si>
  <si>
    <t>p_3c1e14b60ffd64d143e95d13978209b27ab7b4b3@inbound.aiesec.org</t>
  </si>
  <si>
    <t>2023-03-16T13:08:05Z</t>
  </si>
  <si>
    <t>4594112_1292535</t>
  </si>
  <si>
    <t>Muhammad Na'eem</t>
  </si>
  <si>
    <t>p_79fcaf38697c4d99d1883959285a6741ae7ae66f@inbound.aiesec.org</t>
  </si>
  <si>
    <t>Suez University</t>
  </si>
  <si>
    <t>2021-03-26T00:28:06Z</t>
  </si>
  <si>
    <t>5257740_1294972</t>
  </si>
  <si>
    <t>Oumeyma Ammar</t>
  </si>
  <si>
    <t>p_f988a4ddf886b0501ff514fa8c81d7cc9288e4ea@inbound.aiesec.org</t>
  </si>
  <si>
    <t>2023-05-08T15:26:37Z</t>
  </si>
  <si>
    <t>5045957_1272564</t>
  </si>
  <si>
    <t>Hermela Engida</t>
  </si>
  <si>
    <t>p_5a69ec9641be02d35c29d3f5b97d225149f280c1@inbound.aiesec.org</t>
  </si>
  <si>
    <t>United Arab Emirates</t>
  </si>
  <si>
    <t>Dubai</t>
  </si>
  <si>
    <t>Heriot-Watt Dubai Campus</t>
  </si>
  <si>
    <t>2022-04-25T19:39:34Z</t>
  </si>
  <si>
    <t>4856862_1289536</t>
  </si>
  <si>
    <t>Hana Engida</t>
  </si>
  <si>
    <t>p_ebb3d6fcd5198ae63c57be8fb015564c5dfbcde8@inbound.aiesec.org</t>
  </si>
  <si>
    <t>2021-12-26T15:09:19Z</t>
  </si>
  <si>
    <t>5254102_1293275</t>
  </si>
  <si>
    <t>Zeynep Oktay</t>
  </si>
  <si>
    <t>p_bbb3ed7ee1b68bc6d88e271ace8bb6f68515bd50@inbound.aiesec.org</t>
  </si>
  <si>
    <t>Chulalongkorn University</t>
  </si>
  <si>
    <t>https://expa.aiesec.org/opportunities/1293275</t>
  </si>
  <si>
    <t>2023-05-02T06:42:25Z</t>
  </si>
  <si>
    <t>5255093_1293788</t>
  </si>
  <si>
    <t>merve koç</t>
  </si>
  <si>
    <t>p_dd36c7d11ce35c559d8725fd3fcb27251e8f0db7@inbound.aiesec.org</t>
  </si>
  <si>
    <t>0531 219 98 02</t>
  </si>
  <si>
    <t>https://expa.aiesec.org/opportunities/1293788</t>
  </si>
  <si>
    <t>Architect</t>
  </si>
  <si>
    <t>2023-05-03T12:56:54Z</t>
  </si>
  <si>
    <t>5257853_1293245</t>
  </si>
  <si>
    <t>Mehmet Ali Yiğit</t>
  </si>
  <si>
    <t>p_11039a7a8a69555287c3c24024be73d01d2e2af4@inbound.aiesec.org</t>
  </si>
  <si>
    <t>2023-05-08T18:08:23Z</t>
  </si>
  <si>
    <t>5255993_1294209</t>
  </si>
  <si>
    <t>buğra şimşek</t>
  </si>
  <si>
    <t>p_c8a8c7439cda0bc32f044b626fbe223ca7563040@inbound.aiesec.org</t>
  </si>
  <si>
    <t>0533 864 37 32</t>
  </si>
  <si>
    <t>2023-05-04T21:42:54Z</t>
  </si>
  <si>
    <t>5163054_1284976</t>
  </si>
  <si>
    <t>Teresa Cucca</t>
  </si>
  <si>
    <t>p_96ce4fd6453610578d52695bfb42dcb729758deb@inbound.aiesec.org</t>
  </si>
  <si>
    <t>+39 339 728 0254</t>
  </si>
  <si>
    <t>2022-12-05T23:08:05Z</t>
  </si>
  <si>
    <t>5162730_1294374</t>
  </si>
  <si>
    <t>Ayşe Subaşı</t>
  </si>
  <si>
    <t>p_1f6c377790eba21b61e74f199f4778b93dbf1332@inbound.aiesec.org</t>
  </si>
  <si>
    <t>GDANSK UG</t>
  </si>
  <si>
    <t>https://expa.aiesec.org/opportunities/1294374</t>
  </si>
  <si>
    <t>2022-12-05T07:01:11Z</t>
  </si>
  <si>
    <t>5260911_1293468</t>
  </si>
  <si>
    <t>İrem Nur KARAKAYA</t>
  </si>
  <si>
    <t>p_2ca8a691c699e8e76ada13b8f3c31756014a41e1@inbound.aiesec.org</t>
  </si>
  <si>
    <t>2023-05-14T12:13:56Z</t>
  </si>
  <si>
    <t>5253614_1290641</t>
  </si>
  <si>
    <t>Yiğit Erdem Paşalı</t>
  </si>
  <si>
    <t>p_ea30f5087ef539e09352c4efe79df9fbd4a47099@inbound.aiesec.org</t>
  </si>
  <si>
    <t>https://expa.aiesec.org/opportunities/1290641</t>
  </si>
  <si>
    <t>2023-05-01T11:28:07Z</t>
  </si>
  <si>
    <t>1622511_1291634</t>
  </si>
  <si>
    <t>Usama Farooq</t>
  </si>
  <si>
    <t>p_938f977bbfcc7458994fb121fa8e57890c8f58a6@inbound.aiesec.org</t>
  </si>
  <si>
    <t>2017-06-17T10:03:55Z</t>
  </si>
  <si>
    <t>5229920_1294622</t>
  </si>
  <si>
    <t>Javeria Zulfiqar FastNU</t>
  </si>
  <si>
    <t>p_00f893bb6e1c85f4cc598009a84a670d7df62702@inbound.aiesec.org</t>
  </si>
  <si>
    <t>2023-03-29T10:52:39Z</t>
  </si>
  <si>
    <t>5253123_1288663</t>
  </si>
  <si>
    <t>Aigerim MARKIBAY</t>
  </si>
  <si>
    <t>p_c5f746d2753eacc3d64454348924a94e279f4b45@inbound.aiesec.org</t>
  </si>
  <si>
    <t>2023-04-30T13:27:31Z</t>
  </si>
  <si>
    <t>5260607_1290077</t>
  </si>
  <si>
    <t>Gamze Öncü</t>
  </si>
  <si>
    <t>p_04887dfcdcfe40bb6088242bff2137b7f0cbbdf1@inbound.aiesec.org</t>
  </si>
  <si>
    <t>553 767 30 85</t>
  </si>
  <si>
    <t>https://expa.aiesec.org/opportunities/1290077</t>
  </si>
  <si>
    <t>2023-05-13T16:42:50Z</t>
  </si>
  <si>
    <t>5243929_1294976</t>
  </si>
  <si>
    <t>Amina Manassova</t>
  </si>
  <si>
    <t>p_97fe96954c7a7e971377d41ecf3ad19c332f5ed1@inbound.aiesec.org</t>
  </si>
  <si>
    <t>https://expa.aiesec.org/opportunities/1294976</t>
  </si>
  <si>
    <t>2023-04-17T18:06:26Z</t>
  </si>
  <si>
    <t>5254110_1291252</t>
  </si>
  <si>
    <t>Sara Gurizzan</t>
  </si>
  <si>
    <t>p_1d344d2dae8881797678db3c164759d651ee2cba@inbound.aiesec.org</t>
  </si>
  <si>
    <t>+39 340 149 0858</t>
  </si>
  <si>
    <t>2023-05-02T07:08:47Z</t>
  </si>
  <si>
    <t>5256224_1287851</t>
  </si>
  <si>
    <t>Marko Stojakovic</t>
  </si>
  <si>
    <t>p_8dc597782ab23afd87d1f601f31f4ac3f02bd525@inbound.aiesec.org</t>
  </si>
  <si>
    <t>2023-05-05T09:27:14Z</t>
  </si>
  <si>
    <t>4587889_1293954</t>
  </si>
  <si>
    <t>Sudenur ŞENOL</t>
  </si>
  <si>
    <t>p_6e9475414ab83c90e96787b227445382e89473b1@inbound.aiesec.org</t>
  </si>
  <si>
    <t>2021-03-22T17:28:43Z</t>
  </si>
  <si>
    <t>5257789_1284476</t>
  </si>
  <si>
    <t>Mohamed El Sayed</t>
  </si>
  <si>
    <t>p_ffab0c750d08acccced9ba39540925eb836d499a@inbound.aiesec.org</t>
  </si>
  <si>
    <t>2023-05-08T16:21:13Z</t>
  </si>
  <si>
    <t>5140757_1288970</t>
  </si>
  <si>
    <t>Esraa Medhat</t>
  </si>
  <si>
    <t>p_cffcf53544b47acf9ae5f8263c9d05b49f28f3d4@inbound.aiesec.org</t>
  </si>
  <si>
    <t>2022-10-26T11:58:14Z</t>
  </si>
  <si>
    <t>5258382_1294209</t>
  </si>
  <si>
    <t>fatmanur tanrıkulu</t>
  </si>
  <si>
    <t>p_1902a9112c55b8452c50cd9d6d8ca60f2d71a7fb@inbound.aiesec.org</t>
  </si>
  <si>
    <t>CANKIRI</t>
  </si>
  <si>
    <t>2023-05-09T15:16:04Z</t>
  </si>
  <si>
    <t>989514_1293134</t>
  </si>
  <si>
    <t>Abdulla Hilalbayli</t>
  </si>
  <si>
    <t>p_537c4d9fa81e0ba70b809ba9085ed07e4e3e6c6e@inbound.aiesec.org</t>
  </si>
  <si>
    <t>https://expa.aiesec.org/opportunities/1293134</t>
  </si>
  <si>
    <t>2016-04-24T12:09:43Z</t>
  </si>
  <si>
    <t>5262060_1289255</t>
  </si>
  <si>
    <t>Nadine arab</t>
  </si>
  <si>
    <t>p_b227bf1792364e56181c82ae0e7475280eed6e8c@inbound.aiesec.org</t>
  </si>
  <si>
    <t>2023-05-16T19:07:08Z</t>
  </si>
  <si>
    <t>5261798_1294209</t>
  </si>
  <si>
    <t>AYŞEGÜL TANRIKULU</t>
  </si>
  <si>
    <t>p_8f844fe75151e661471dd9bc3378bfbe233a0aa0@inbound.aiesec.org</t>
  </si>
  <si>
    <t>2023-05-16T10:24:10Z</t>
  </si>
  <si>
    <t>5173488_1294068</t>
  </si>
  <si>
    <t>Alexandra Stanca Milaș</t>
  </si>
  <si>
    <t>p_2affcd22e55b8ba4e734ae966dc7ae7eeb71bae8@inbound.aiesec.org</t>
  </si>
  <si>
    <t>2023-01-05T20:09:57Z</t>
  </si>
  <si>
    <t>5238233_1289505</t>
  </si>
  <si>
    <t>辰 孙</t>
  </si>
  <si>
    <t>p_177cc3a40e3eb09ccbdfdd1928c385506b550fcb@inbound.aiesec.org</t>
  </si>
  <si>
    <t>Chengdu</t>
  </si>
  <si>
    <t>CHENGDU 成都</t>
  </si>
  <si>
    <t>2023-04-09T15:52:11Z</t>
  </si>
  <si>
    <t>5256643_1284670</t>
  </si>
  <si>
    <t>George Olivian Manole</t>
  </si>
  <si>
    <t>p_f7c88f38ff4a3a86394624f204c6f1960ff1b30e@inbound.aiesec.org</t>
  </si>
  <si>
    <t>2023-05-06T07:26:10Z</t>
  </si>
  <si>
    <t>5254277_1293954</t>
  </si>
  <si>
    <t>Yağmur Öktem</t>
  </si>
  <si>
    <t>p_4d54c5405ae96a0c757c7e08a3a4dd270e7b6b80@inbound.aiesec.org</t>
  </si>
  <si>
    <t>2023-05-02T13:00:00Z</t>
  </si>
  <si>
    <t>5239797_1294976</t>
  </si>
  <si>
    <t>Zeina Hassan</t>
  </si>
  <si>
    <t>p_06c3d8c63f0b5414f27a18299c4ca38fe8cbee1d@inbound.aiesec.org</t>
  </si>
  <si>
    <t>2023-04-11T20:17:24Z</t>
  </si>
  <si>
    <t>5261049_1291929</t>
  </si>
  <si>
    <t>Rihème Smati</t>
  </si>
  <si>
    <t>p_43824da38e57bad3968e92d508d12e7e6a9f16e6@inbound.aiesec.org</t>
  </si>
  <si>
    <t>2023-05-14T20:16:54Z</t>
  </si>
  <si>
    <t>5260579_1294459</t>
  </si>
  <si>
    <t>Beyza Şen</t>
  </si>
  <si>
    <t>p_737256a3f8381ba099efb1f3e5138d60df30cdab@inbound.aiesec.org</t>
  </si>
  <si>
    <t>2023-05-13T15:59:24Z</t>
  </si>
  <si>
    <t>4560549_1294894</t>
  </si>
  <si>
    <t>p_07301684160a9889997e1d86dd7bb0753d181578@inbound.aiesec.org</t>
  </si>
  <si>
    <t>2021-02-26T20:45:27Z</t>
  </si>
  <si>
    <t>5260477_1293679</t>
  </si>
  <si>
    <t>Abdelmoumen Naji</t>
  </si>
  <si>
    <t>p_57e1802a544a34b2762ea3fe7c436ed3870d4f6c@inbound.aiesec.org</t>
  </si>
  <si>
    <t>https://expa.aiesec.org/opportunities/1293679</t>
  </si>
  <si>
    <t>Engeneering</t>
  </si>
  <si>
    <t>2023-05-13T12:13:14Z</t>
  </si>
  <si>
    <t>5258789_1293495</t>
  </si>
  <si>
    <t>Souhaib Benyassi</t>
  </si>
  <si>
    <t>p_e43a0385fe5f15025efe06a0124f2a363081367f@inbound.aiesec.org</t>
  </si>
  <si>
    <t>2023-05-10T10:35:49Z</t>
  </si>
  <si>
    <t>4881976_1289536</t>
  </si>
  <si>
    <t>Romanyshyn Danuta</t>
  </si>
  <si>
    <t>p_afae480efa9b0663bb20e30fef6b24a5a40223ba@inbound.aiesec.org</t>
  </si>
  <si>
    <t>2022-01-14T16:07:56Z</t>
  </si>
  <si>
    <t>5122265_1272564</t>
  </si>
  <si>
    <t>Sofia Silva</t>
  </si>
  <si>
    <t>p_fb0c09eae703aded5432a8c1a7ced4d71e0d3ffd@inbound.aiesec.org</t>
  </si>
  <si>
    <t>Instituto Politécnico do Porto - Instituto Superior de Engenharia do Porto (ISEP)</t>
  </si>
  <si>
    <t>2022-09-29T15:42:23Z</t>
  </si>
  <si>
    <t>5257325_1291929</t>
  </si>
  <si>
    <t>Shaima Ghaoui</t>
  </si>
  <si>
    <t>p_ac04ba1f682a9485d7d15fd48101c190b78f0d81@inbound.aiesec.org</t>
  </si>
  <si>
    <t xml:space="preserve">92 087 299 </t>
  </si>
  <si>
    <t>2023-05-07T22:34:10Z</t>
  </si>
  <si>
    <t>5237865_1280872</t>
  </si>
  <si>
    <t>May Bennejim</t>
  </si>
  <si>
    <t>p_e44e42f2131fac9fecd8ff77c0fe8906251b67d6@inbound.aiesec.org</t>
  </si>
  <si>
    <t>ESEN</t>
  </si>
  <si>
    <t>2023-04-08T23:35:07Z</t>
  </si>
  <si>
    <t>4395658_1287210</t>
  </si>
  <si>
    <t>Mariem Mzali</t>
  </si>
  <si>
    <t>p_1be28031c56c457ba6b7d603b1b9ef17a6e9dc85@inbound.aiesec.org</t>
  </si>
  <si>
    <t>https://expa.aiesec.org/opportunities/1287210</t>
  </si>
  <si>
    <t>2020-10-14T11:57:24Z</t>
  </si>
  <si>
    <t>5262050_1289630</t>
  </si>
  <si>
    <t>Tuğba Can</t>
  </si>
  <si>
    <t>p_113276a6095ec8eb1bbc569855da1b7ee2a7ac77@inbound.aiesec.org</t>
  </si>
  <si>
    <t>https://expa.aiesec.org/opportunities/1289630</t>
  </si>
  <si>
    <t>2023-05-16T18:29:22Z</t>
  </si>
  <si>
    <t>5261970_1295137</t>
  </si>
  <si>
    <t>Dilara Erdem</t>
  </si>
  <si>
    <t>p_264da3e785ac1c16f2a01add82d3178c6c6522ed@inbound.aiesec.org</t>
  </si>
  <si>
    <t>https://expa.aiesec.org/opportunities/1295137</t>
  </si>
  <si>
    <t>English teacher</t>
  </si>
  <si>
    <t>2023-05-16T15:33:07Z</t>
  </si>
  <si>
    <t>5261972_1289630</t>
  </si>
  <si>
    <t>Tuğçe Pank</t>
  </si>
  <si>
    <t>p_1f59b14e6f9a3b7c83416d2ec2db8c78e0b7fba4@inbound.aiesec.org</t>
  </si>
  <si>
    <t>2023-05-16T15:37:39Z</t>
  </si>
  <si>
    <t>4751368_1294127</t>
  </si>
  <si>
    <t>mariem boudabous</t>
  </si>
  <si>
    <t>p_fd98cee3429267833b9acda171e3b995bb77df67@inbound.aiesec.org</t>
  </si>
  <si>
    <t>https://expa.aiesec.org/opportunities/1294127</t>
  </si>
  <si>
    <t>2021-09-28T09:29:43Z</t>
  </si>
  <si>
    <t>5261611_1293477</t>
  </si>
  <si>
    <t>Muhammed Raşit Tarak</t>
  </si>
  <si>
    <t>p_9573f3efb734f14f6e319dc05edf2305e5d547a1@inbound.aiesec.org</t>
  </si>
  <si>
    <t>2023-05-15T21:32:40Z</t>
  </si>
  <si>
    <t>5067203_1294830</t>
  </si>
  <si>
    <t>Ahmet Sedat Çatar</t>
  </si>
  <si>
    <t>p_b7960a119e7123417cb6c59bd94c4aee4f5098fa@inbound.aiesec.org</t>
  </si>
  <si>
    <t>https://expa.aiesec.org/opportunities/1294830</t>
  </si>
  <si>
    <t>2022-06-01T20:32:25Z</t>
  </si>
  <si>
    <t>5214855_1294976</t>
  </si>
  <si>
    <t>Jelena Markovic</t>
  </si>
  <si>
    <t>p_9f1e390c2531e11b9e65accb9208d71c601108a1@inbound.aiesec.org</t>
  </si>
  <si>
    <t>2023-03-13T15:31:13Z</t>
  </si>
  <si>
    <t>5260246_1288415</t>
  </si>
  <si>
    <t>Ömer Meriç Tunca</t>
  </si>
  <si>
    <t>p_3232babdce64e1d7a8473851f3a264a7ebbca75a@inbound.aiesec.org</t>
  </si>
  <si>
    <t>https://expa.aiesec.org/opportunities/1288415</t>
  </si>
  <si>
    <t>2023-05-12T23:53:02Z</t>
  </si>
  <si>
    <t>5249301_1294976</t>
  </si>
  <si>
    <t>Clarisa Ciceovean</t>
  </si>
  <si>
    <t>p_52cf923cdecdb91def8d109de2e843de75682e77@inbound.aiesec.org</t>
  </si>
  <si>
    <t>+40771067083</t>
  </si>
  <si>
    <t>2023-04-25T17:21:51Z</t>
  </si>
  <si>
    <t>5237949_1294976</t>
  </si>
  <si>
    <t>Mesquita Elizangela</t>
  </si>
  <si>
    <t>p_ca59c35a5038476cd8ffaaa17f825a32bfe2fc8a@inbound.aiesec.org</t>
  </si>
  <si>
    <t>2023-04-09T06:33:52Z</t>
  </si>
  <si>
    <t>5258499_1288721</t>
  </si>
  <si>
    <t>Ayazhan Beimbetova</t>
  </si>
  <si>
    <t>p_7206e3a0c90109d56accfe964f0d10a5a14c7fbd@inbound.aiesec.org</t>
  </si>
  <si>
    <t>2023-05-09T19:15:55Z</t>
  </si>
  <si>
    <t>5257876_1294480</t>
  </si>
  <si>
    <t>Beyza Türk</t>
  </si>
  <si>
    <t>p_04b610bf22df51c05b6a40a8a5f9f726e4f0f556@inbound.aiesec.org</t>
  </si>
  <si>
    <t>https://expa.aiesec.org/opportunities/1294480</t>
  </si>
  <si>
    <t>2023-05-08T19:05:49Z</t>
  </si>
  <si>
    <t>5258250_1287749</t>
  </si>
  <si>
    <t>Alin-Pavel Stratina</t>
  </si>
  <si>
    <t>p_d17e0f797d80ea1af6ce9f2a242658dc6a1fb01e@inbound.aiesec.org</t>
  </si>
  <si>
    <t>2023-05-09T12:43:53Z</t>
  </si>
  <si>
    <t>5248889_1293245</t>
  </si>
  <si>
    <t>Mert Berke Mintaş</t>
  </si>
  <si>
    <t>p_454d65d35afb6512604801e40daf1fae5da91e6a@inbound.aiesec.org</t>
  </si>
  <si>
    <t>2023-04-25T08:12:00Z</t>
  </si>
  <si>
    <t>5231058_1289597</t>
  </si>
  <si>
    <t>Abu Naim Ahmad</t>
  </si>
  <si>
    <t>p_4def7318691fde7bdc9ffba0b6c51628280d5126@inbound.aiesec.org</t>
  </si>
  <si>
    <t>2023-03-30T14:05:27Z</t>
  </si>
  <si>
    <t>2137209_1294332</t>
  </si>
  <si>
    <t>Noelia Evangelina Mejia Valdivia</t>
  </si>
  <si>
    <t>p_dce81e007980f3612ae3c61345f8b829ab9e2ca0@inbound.aiesec.org</t>
  </si>
  <si>
    <t>2018-03-23T04:36:06Z</t>
  </si>
  <si>
    <t>4878913_1292614</t>
  </si>
  <si>
    <t>Batuhan Bozar</t>
  </si>
  <si>
    <t>p_8925dc1d068bda88dcd5407869636f30a103c4ad@inbound.aiesec.org</t>
  </si>
  <si>
    <t>https://expa.aiesec.org/opportunities/1292614</t>
  </si>
  <si>
    <t>Master Data Management Analyst</t>
  </si>
  <si>
    <t>2022-01-12T14:49:38Z</t>
  </si>
  <si>
    <t>5262598_1291630</t>
  </si>
  <si>
    <t>melek Göksu</t>
  </si>
  <si>
    <t>p_1b720812a2209971daec028d672c09e7bda7332b@inbound.aiesec.org</t>
  </si>
  <si>
    <t>https://expa.aiesec.org/opportunities/1291630</t>
  </si>
  <si>
    <t>2023-05-17T19:42:02Z</t>
  </si>
  <si>
    <t>5262569_1294346</t>
  </si>
  <si>
    <t>Ali Demir</t>
  </si>
  <si>
    <t>p_98daab0f97c93704848aeefa212a49c24233d5bb@inbound.aiesec.org</t>
  </si>
  <si>
    <t>https://expa.aiesec.org/opportunities/1294346</t>
  </si>
  <si>
    <t>Accelerate Romania - Mechanical Engineer (Autonomous Mobile Robots)</t>
  </si>
  <si>
    <t>2023-05-17T17:58:50Z</t>
  </si>
  <si>
    <t>3314009_1294776</t>
  </si>
  <si>
    <t>Rana Ataman</t>
  </si>
  <si>
    <t>p_2ca71019e8391c2c41b4cfbb705e04dc01bb3940@inbound.aiesec.org</t>
  </si>
  <si>
    <t>https://expa.aiesec.org/opportunities/1294776</t>
  </si>
  <si>
    <t>Business development and research analyst</t>
  </si>
  <si>
    <t>2019-04-09T20:22:48Z</t>
  </si>
  <si>
    <t>5262409_1287851</t>
  </si>
  <si>
    <t>Alkisti Kostelenou</t>
  </si>
  <si>
    <t>p_71408fafc62e4059729ce3c31b2a9a80d1b47d35@inbound.aiesec.org</t>
  </si>
  <si>
    <t>University of Patras (Patras Department)</t>
  </si>
  <si>
    <t>2023-05-17T12:36:57Z</t>
  </si>
  <si>
    <t>5262024_1285766</t>
  </si>
  <si>
    <t>Marwa Oukani</t>
  </si>
  <si>
    <t>p_97fe37fd6c3ae18fc91c34a03bcf8d47cb6965af@inbound.aiesec.org</t>
  </si>
  <si>
    <t>Settat</t>
  </si>
  <si>
    <t>https://expa.aiesec.org/opportunities/1285766</t>
  </si>
  <si>
    <t>Ecole Nationale De Commerce Et De Gestion Settat (ENCGS)</t>
  </si>
  <si>
    <t>2023-05-16T17:38:19Z</t>
  </si>
  <si>
    <t>5261873_1285766</t>
  </si>
  <si>
    <t>Safaa Oukani</t>
  </si>
  <si>
    <t>p_4169dc10e0c616d8cb6051c5142c8197658863c8@inbound.aiesec.org</t>
  </si>
  <si>
    <t>2023-05-16T12:11:52Z</t>
  </si>
  <si>
    <t>5261270_1295002</t>
  </si>
  <si>
    <t>Asma Slim</t>
  </si>
  <si>
    <t>p_7947a59c6abd48f4b757ef039c05f31eb7650451@inbound.aiesec.org</t>
  </si>
  <si>
    <t>https://expa.aiesec.org/opportunities/1295002</t>
  </si>
  <si>
    <t>ISBAT</t>
  </si>
  <si>
    <t>2023-05-15T11:04:58Z</t>
  </si>
  <si>
    <t>5261009_1284670</t>
  </si>
  <si>
    <t>Anastasiia Verteiko</t>
  </si>
  <si>
    <t>p_4ace4008b0619bfaaa48ff6c07fcefaea711afcc@inbound.aiesec.org</t>
  </si>
  <si>
    <t>2023-05-14T17:20:56Z</t>
  </si>
  <si>
    <t>5253819_1272564</t>
  </si>
  <si>
    <t>Ouissal Akioui</t>
  </si>
  <si>
    <t>p_0a110c79046e8970f72fce54c2171760595ff40d@inbound.aiesec.org</t>
  </si>
  <si>
    <t>2023-05-01T16:53:24Z</t>
  </si>
  <si>
    <t>2302671_1291979</t>
  </si>
  <si>
    <t>Mert Emrem</t>
  </si>
  <si>
    <t>p_982e173fd283f0a402da985519c3df421bda6a80@inbound.aiesec.org</t>
  </si>
  <si>
    <t>2018-05-15T13:29:05Z</t>
  </si>
  <si>
    <t>5261652_1289100</t>
  </si>
  <si>
    <t>Nehed Chaaleli</t>
  </si>
  <si>
    <t>p_87005117df5fc492bb57abf395b1c22f2e6b7ec0@inbound.aiesec.org</t>
  </si>
  <si>
    <t>2023-05-15T23:35:52Z</t>
  </si>
  <si>
    <t>5260651_1295264</t>
  </si>
  <si>
    <t>Pınar Sena Kayabaşı</t>
  </si>
  <si>
    <t>p_dfcf56cc5e45c806b8f29b3ddbac354c380ad2cb@inbound.aiesec.org</t>
  </si>
  <si>
    <t>https://expa.aiesec.org/opportunities/1295264</t>
  </si>
  <si>
    <t>2023-05-13T19:12:42Z</t>
  </si>
  <si>
    <t>5263513_1285555</t>
  </si>
  <si>
    <t>Hajer Dkhili</t>
  </si>
  <si>
    <t>p_25e68f0892aaf94be93aaaf703a8903746613dd6@inbound.aiesec.org</t>
  </si>
  <si>
    <t>2023-05-19T11:48:46Z</t>
  </si>
  <si>
    <t>5177059_1287210</t>
  </si>
  <si>
    <t>Yuliya Korytska</t>
  </si>
  <si>
    <t>p_c5a7f118e944ae6be9f0d8426e6a9e0dc7cece34@inbound.aiesec.org</t>
  </si>
  <si>
    <t>2023-01-16T12:18:40Z</t>
  </si>
  <si>
    <t>5252358_1294410</t>
  </si>
  <si>
    <t>Ana Sofia Caldeira</t>
  </si>
  <si>
    <t>p_0fc1675c2d4ef782bc96fe883ff7257642fb1a22@inbound.aiesec.org</t>
  </si>
  <si>
    <t>2023-04-29T09:43:03Z</t>
  </si>
  <si>
    <t>5256974_1287210</t>
  </si>
  <si>
    <t>IBTISSAM lemssalek</t>
  </si>
  <si>
    <t>p_50db04b1d6d3640ef5485a939aa94606589c4f13@inbound.aiesec.org</t>
  </si>
  <si>
    <t>2023-05-07T01:25:21Z</t>
  </si>
  <si>
    <t>5259981_1295046</t>
  </si>
  <si>
    <t>Mustafa Efe Tamer</t>
  </si>
  <si>
    <t>p_d532b379ef85eafaa399a595290b0ea18bc0a46d@inbound.aiesec.org</t>
  </si>
  <si>
    <t>https://expa.aiesec.org/opportunities/1295046</t>
  </si>
  <si>
    <t>2023-05-12T13:26:53Z</t>
  </si>
  <si>
    <t>5224045_1292571</t>
  </si>
  <si>
    <t>Onur Mutiağaoğlu</t>
  </si>
  <si>
    <t>p_df7c3824f80b15184e1d9da89224d80dcf85d7d5@inbound.aiesec.org</t>
  </si>
  <si>
    <t>2023-03-22T14:48:57Z</t>
  </si>
  <si>
    <t>5255939_1291634</t>
  </si>
  <si>
    <t>fady badreddine</t>
  </si>
  <si>
    <t>p_25159a08f33ab34d34cabebc79a82e2be8c8fcec@inbound.aiesec.org</t>
  </si>
  <si>
    <t>2023-05-04T19:37:29Z</t>
  </si>
  <si>
    <t>5255234_1294207</t>
  </si>
  <si>
    <t>sinem güler</t>
  </si>
  <si>
    <t>p_17cf118e31a1c995c3694e5b0a772b10d0d4ff45@inbound.aiesec.org</t>
  </si>
  <si>
    <t>https://expa.aiesec.org/opportunities/1294207</t>
  </si>
  <si>
    <t>2023-05-03T16:01:18Z</t>
  </si>
  <si>
    <t>4856162_1294708</t>
  </si>
  <si>
    <t>idil öztürk</t>
  </si>
  <si>
    <t>p_07a005bbe20e1eeea9c289a4b4c2b31644e3521a@inbound.aiesec.org</t>
  </si>
  <si>
    <t>https://expa.aiesec.org/opportunities/1294708</t>
  </si>
  <si>
    <t>2021-12-25T21:14:39Z</t>
  </si>
  <si>
    <t>5258316_1283483</t>
  </si>
  <si>
    <t>Ulviyya Nacafzade</t>
  </si>
  <si>
    <t>p_1a0208e546aeca7f0c285b9b72aa564d948a7224@inbound.aiesec.org</t>
  </si>
  <si>
    <t>2023-05-09T13:52:53Z</t>
  </si>
  <si>
    <t>5204939_1294127</t>
  </si>
  <si>
    <t>Fatma Elsebaey</t>
  </si>
  <si>
    <t>p_d90e863dc9dac21cc962673907846801eea1be58@inbound.aiesec.org</t>
  </si>
  <si>
    <t>2023-03-03T19:51:24Z</t>
  </si>
  <si>
    <t>5255463_1294894</t>
  </si>
  <si>
    <t>Saif Allah Ben Hammed</t>
  </si>
  <si>
    <t>p_37a9074b2258ed2a82826da49eb5d6bf39002df7@inbound.aiesec.org</t>
  </si>
  <si>
    <t>2023-05-04T00:36:25Z</t>
  </si>
  <si>
    <t>5262704_1284976</t>
  </si>
  <si>
    <t>Ayesha Naveed</t>
  </si>
  <si>
    <t>p_ec46d0195e29838c46656c6e821a87b6d42366d2@inbound.aiesec.org</t>
  </si>
  <si>
    <t>2023-05-18T03:19:33Z</t>
  </si>
  <si>
    <t>5262623_1286553</t>
  </si>
  <si>
    <t>Eylül Dilara Üner</t>
  </si>
  <si>
    <t>p_f4798274ee91b272a1f4b76aa7d50556182915f4@inbound.aiesec.org</t>
  </si>
  <si>
    <t>2023-05-17T21:19:04Z</t>
  </si>
  <si>
    <t>5251493_1287210</t>
  </si>
  <si>
    <t>Carciumaru Patricia</t>
  </si>
  <si>
    <t>p_91ed7658ac163f09c06c3d913e28584ffa161301@inbound.aiesec.org</t>
  </si>
  <si>
    <t>2023-04-28T05:09:54Z</t>
  </si>
  <si>
    <t>5257479_1294452</t>
  </si>
  <si>
    <t>Mariam Wagdy</t>
  </si>
  <si>
    <t>p_def87036aae4e3da770b641f54416223c7d1fea8@inbound.aiesec.org</t>
  </si>
  <si>
    <t>https://expa.aiesec.org/opportunities/1294452</t>
  </si>
  <si>
    <t>2023-05-08T09:56:16Z</t>
  </si>
  <si>
    <t>5242168_1293685</t>
  </si>
  <si>
    <t>Gökçe Arya Kerzi</t>
  </si>
  <si>
    <t>p_c0707340b6071e87a2e366c11c018540a2bacf78@inbound.aiesec.org</t>
  </si>
  <si>
    <t>https://expa.aiesec.org/opportunities/1293685</t>
  </si>
  <si>
    <t>2023-04-14T17:28:48Z</t>
  </si>
  <si>
    <t>5181736_1294795</t>
  </si>
  <si>
    <t>Marwa Tarek</t>
  </si>
  <si>
    <t>p_57781d315a88f4bfdd35908593d0445a8c25b7c5@inbound.aiesec.org</t>
  </si>
  <si>
    <t>2023-01-28T19:15:11Z</t>
  </si>
  <si>
    <t>5264574_1294332</t>
  </si>
  <si>
    <t>p_1dc4e946698d418688a91e3f796e4e74abbffebd@inbound.aiesec.org</t>
  </si>
  <si>
    <t>2023-05-21T18:50:40Z</t>
  </si>
  <si>
    <t>5264455_1292683</t>
  </si>
  <si>
    <t>rikab yakoubi</t>
  </si>
  <si>
    <t>p_b370b04714002756d95d46ec6e896a9b88875e4d@inbound.aiesec.org</t>
  </si>
  <si>
    <t>https://expa.aiesec.org/opportunities/1292683</t>
  </si>
  <si>
    <t>Foreign Trade&amp;Marketing Specialist</t>
  </si>
  <si>
    <t>2023-05-21T12:50:59Z</t>
  </si>
  <si>
    <t>5264257_1290024</t>
  </si>
  <si>
    <t>Ayşe Betül Avcu</t>
  </si>
  <si>
    <t>p_4bafa0a431c0a10ad026067a5f632536b5840efb@inbound.aiesec.org</t>
  </si>
  <si>
    <t>2023-05-20T19:57:32Z</t>
  </si>
  <si>
    <t>2210599_1281195</t>
  </si>
  <si>
    <t>nayera keshk</t>
  </si>
  <si>
    <t>p_6ddd5592100f9a9912b75481aaf0fbdcb34fdf70@inbound.aiesec.org</t>
  </si>
  <si>
    <t>2018-04-18T15:40:02Z</t>
  </si>
  <si>
    <t>5256140_1294894</t>
  </si>
  <si>
    <t>Dridi Louay</t>
  </si>
  <si>
    <t>p_4bc5a262ddf4a1c4d54041c92caa54a5e737febb@inbound.aiesec.org</t>
  </si>
  <si>
    <t>2023-05-05T07:25:28Z</t>
  </si>
  <si>
    <t>5262097_1293257</t>
  </si>
  <si>
    <t>Emircan Özdemir</t>
  </si>
  <si>
    <t>p_e34017d77f74ea206b05378b4d4cc27463cd0216@inbound.aiesec.org</t>
  </si>
  <si>
    <t>https://expa.aiesec.org/opportunities/1293257</t>
  </si>
  <si>
    <t>2023-05-16T20:27:53Z</t>
  </si>
  <si>
    <t>3084308_1294410</t>
  </si>
  <si>
    <t>Minescu Andrei-Gratian</t>
  </si>
  <si>
    <t>p_9502e6671968f66a46c37bfdeaed4f39dd916be2@inbound.aiesec.org</t>
  </si>
  <si>
    <t>2019-02-16T12:56:02Z</t>
  </si>
  <si>
    <t>5259425_1295002</t>
  </si>
  <si>
    <t>p_a284243cd6a0cbcb7af9061a07135d31056936ce@inbound.aiesec.org</t>
  </si>
  <si>
    <t>2023-05-11T10:38:43Z</t>
  </si>
  <si>
    <t>5261967_1293524</t>
  </si>
  <si>
    <t>Sena Atila</t>
  </si>
  <si>
    <t>p_c6aae3b36f6dea13e450ba49934b086f200e87e2@inbound.aiesec.org</t>
  </si>
  <si>
    <t>https://expa.aiesec.org/opportunities/1293524</t>
  </si>
  <si>
    <t>2023-05-16T15:28:46Z</t>
  </si>
  <si>
    <t>5264464_1295008</t>
  </si>
  <si>
    <t>p_69209bf184966ee57429e346175ab408f1224579@inbound.aiesec.org</t>
  </si>
  <si>
    <t>https://expa.aiesec.org/opportunities/1295008</t>
  </si>
  <si>
    <t>2023-05-21T13:20:52Z</t>
  </si>
  <si>
    <t>5264619_1287702</t>
  </si>
  <si>
    <t>Manal Guelloula</t>
  </si>
  <si>
    <t>p_ed2b1e893f07b215dc0aaf55628e86fa20fbe5c9@inbound.aiesec.org</t>
  </si>
  <si>
    <t>2023-05-21T21:27:33Z</t>
  </si>
  <si>
    <t>5043544_1295285</t>
  </si>
  <si>
    <t>Reem Magdy Mousa</t>
  </si>
  <si>
    <t>p_fe7e7b289e03b60b781a42ebb337239632e5bd70@inbound.aiesec.org</t>
  </si>
  <si>
    <t>https://expa.aiesec.org/opportunities/1295285</t>
  </si>
  <si>
    <t>2022-04-21T21:41:24Z</t>
  </si>
  <si>
    <t>4456093_1294114</t>
  </si>
  <si>
    <t>EMRE BALBULAN</t>
  </si>
  <si>
    <t>p_52f2c73cc069c7241d51198da9834010abbfb4a9@inbound.aiesec.org</t>
  </si>
  <si>
    <t>https://expa.aiesec.org/opportunities/1294114</t>
  </si>
  <si>
    <t>2020-11-30T11:42:57Z</t>
  </si>
  <si>
    <t>5175662_1287210</t>
  </si>
  <si>
    <t>5264045_1289505</t>
  </si>
  <si>
    <t>Khaoula Laamarti</t>
  </si>
  <si>
    <t>p_9048fd1263ea8c37d49a0eccbca3e3a02080ea08@inbound.aiesec.org</t>
  </si>
  <si>
    <t>2023-05-20T12:15:20Z</t>
  </si>
  <si>
    <t>5231435_1294452</t>
  </si>
  <si>
    <t>Syrine Abess</t>
  </si>
  <si>
    <t>p_25e46738c8dc2eff1064573e89d320115dad97d1@inbound.aiesec.org</t>
  </si>
  <si>
    <t>2023-03-30T21:00:45Z</t>
  </si>
  <si>
    <t>5206527_1294452</t>
  </si>
  <si>
    <t>Ali Kotb</t>
  </si>
  <si>
    <t>p_1cfeecee80eb37556c4a54c1975dce1613a1f8e5@inbound.aiesec.org</t>
  </si>
  <si>
    <t>2023-03-05T15:23:39Z</t>
  </si>
  <si>
    <t>4735196_1294332</t>
  </si>
  <si>
    <t>UROOJ SYED</t>
  </si>
  <si>
    <t>p_8f87cb1c86cac3f29ac484ee73b0270815f47a88@inbound.aiesec.org</t>
  </si>
  <si>
    <t>2021-09-12T09:10:44Z</t>
  </si>
  <si>
    <t>5240595_1294894</t>
  </si>
  <si>
    <t>Salma Yasser</t>
  </si>
  <si>
    <t>p_dd6026db203a7c7998495a25419159fb6c26426e@inbound.aiesec.org</t>
  </si>
  <si>
    <t>GIU</t>
  </si>
  <si>
    <t>2023-04-12T17:33:04Z</t>
  </si>
  <si>
    <t>5261619_1292303</t>
  </si>
  <si>
    <t>Patricia Ysabel Araza</t>
  </si>
  <si>
    <t>p_937d96b4674bd639d87f28ef2b8d8dc00fe8e94d@inbound.aiesec.org</t>
  </si>
  <si>
    <t>De La Salle - College of St. Benilde</t>
  </si>
  <si>
    <t>https://expa.aiesec.org/opportunities/1292303</t>
  </si>
  <si>
    <t>French Teacher</t>
  </si>
  <si>
    <t>2023-05-15T21:45:15Z</t>
  </si>
  <si>
    <t>5248200_1294452</t>
  </si>
  <si>
    <t>Abdelwaheb Houmia</t>
  </si>
  <si>
    <t>p_10d9ee7a673e344524ad5125692b8a429200dca9@inbound.aiesec.org</t>
  </si>
  <si>
    <t>2023-04-24T10:37:46Z</t>
  </si>
  <si>
    <t>3865506_1289597</t>
  </si>
  <si>
    <t>Tasneem Abo Elnaga</t>
  </si>
  <si>
    <t>p_31a75fcd9bed55c9b20f1f2cb0ac01bf0092763d@inbound.aiesec.org</t>
  </si>
  <si>
    <t>2019-10-01T11:35:43Z</t>
  </si>
  <si>
    <t>5255964_1291144</t>
  </si>
  <si>
    <t>Mrad Maryem</t>
  </si>
  <si>
    <t>p_2811b6c20751c18f4de0a25e52be63d35acb465f@inbound.aiesec.org</t>
  </si>
  <si>
    <t>2023-05-04T20:36:09Z</t>
  </si>
  <si>
    <t>5260696_1293443</t>
  </si>
  <si>
    <t>merve nur örs</t>
  </si>
  <si>
    <t>p_0d0752ae129fe2bf4dffc01364df3c70d76bb8cd@inbound.aiesec.org</t>
  </si>
  <si>
    <t>https://expa.aiesec.org/opportunities/1293443</t>
  </si>
  <si>
    <t>2023-05-13T21:41:57Z</t>
  </si>
  <si>
    <t>5259532_1294924</t>
  </si>
  <si>
    <t>Selenay Öncül</t>
  </si>
  <si>
    <t>p_7f6580b8674468689fa61eedf12079fc7b1d0322@inbound.aiesec.org</t>
  </si>
  <si>
    <t>https://expa.aiesec.org/opportunities/1294924</t>
  </si>
  <si>
    <t>2023-05-11T14:08:27Z</t>
  </si>
  <si>
    <t>5247470_1293980</t>
  </si>
  <si>
    <t>Sude Karslı</t>
  </si>
  <si>
    <t>p_aa328b5dd11359309c6f95549c6fc7334363ecd5@inbound.aiesec.org</t>
  </si>
  <si>
    <t>2023-04-22T20:42:22Z</t>
  </si>
  <si>
    <t>5254157_1293576</t>
  </si>
  <si>
    <t>ayca ozkan</t>
  </si>
  <si>
    <t>p_0147f77596d62aaf69d77ccd90eed28fc78c0df2@inbound.aiesec.org</t>
  </si>
  <si>
    <t>https://expa.aiesec.org/opportunities/1293576</t>
  </si>
  <si>
    <t>2023-05-02T09:02:31Z</t>
  </si>
  <si>
    <t>5265413_1294894</t>
  </si>
  <si>
    <t>hanine said</t>
  </si>
  <si>
    <t>p_11e1e3592bf5432f445eb1717e6db595e4da6618@inbound.aiesec.org</t>
  </si>
  <si>
    <t>2023-05-23T14:09:53Z</t>
  </si>
  <si>
    <t>5264781_1294795</t>
  </si>
  <si>
    <t>Youmna Yasser</t>
  </si>
  <si>
    <t>p_44edc3cafbe9229fc47b4c09a585f402dfe2e2e3@inbound.aiesec.org</t>
  </si>
  <si>
    <t>2023-05-22T10:50:14Z</t>
  </si>
  <si>
    <t>5264830_1294795</t>
  </si>
  <si>
    <t>Sara dawood</t>
  </si>
  <si>
    <t>p_fccfc4984def09d708ac4cb3fe7e60b6ca6acea1@inbound.aiesec.org</t>
  </si>
  <si>
    <t>2023-05-22T12:52:15Z</t>
  </si>
  <si>
    <t>5265325_1286821</t>
  </si>
  <si>
    <t>Slim Sayeh</t>
  </si>
  <si>
    <t>p_818737f8eaeb0b28562638599c922da53e6529e4@inbound.aiesec.org</t>
  </si>
  <si>
    <t>2023-05-23T11:21:30Z</t>
  </si>
  <si>
    <t>5129585_1295377</t>
  </si>
  <si>
    <t>p_0a359a00785efd1ba7e73cb1c2d92c33779d1a19@inbound.aiesec.org</t>
  </si>
  <si>
    <t>https://expa.aiesec.org/opportunities/1295377</t>
  </si>
  <si>
    <t>2022-10-11T06:12:07Z</t>
  </si>
  <si>
    <t>3845981_1294452</t>
  </si>
  <si>
    <t>Aliaa Ahmed</t>
  </si>
  <si>
    <t>p_56361c2ef447c3ce5ea2b0f8559eab6d1c203174@inbound.aiesec.org</t>
  </si>
  <si>
    <t>2019-09-21T14:34:19Z</t>
  </si>
  <si>
    <t>5265088_1289505</t>
  </si>
  <si>
    <t>Diana Nicula</t>
  </si>
  <si>
    <t>p_c515dfe921d222bd74b61697e8f8723fb7314b81@inbound.aiesec.org</t>
  </si>
  <si>
    <t>2023-05-22T20:01:45Z</t>
  </si>
  <si>
    <t>5265090_1289505</t>
  </si>
  <si>
    <t>Corha Alin</t>
  </si>
  <si>
    <t>p_9f6cc75cbc62054713b4992fac28472f543597c0@inbound.aiesec.org</t>
  </si>
  <si>
    <t>2023-05-22T20:06:46Z</t>
  </si>
  <si>
    <t>4054718_1289596</t>
  </si>
  <si>
    <t>Merna Salah</t>
  </si>
  <si>
    <t>p_b00cfc7bee18258a8bd0328a85d337e7aa3d4983@inbound.aiesec.org</t>
  </si>
  <si>
    <t>2019-11-27T21:56:45Z</t>
  </si>
  <si>
    <t>5142948_1295293</t>
  </si>
  <si>
    <t>Sagarika Ameta</t>
  </si>
  <si>
    <t>p_df85b52d26f7f40d4d77ad27d2ae00cc75e1f4ab@inbound.aiesec.org</t>
  </si>
  <si>
    <t>https://expa.aiesec.org/opportunities/1295293</t>
  </si>
  <si>
    <t>English Teacher in Vahide Yılmaz Kindergarden</t>
  </si>
  <si>
    <t>National Institute of Design (NID), Ahmedabad</t>
  </si>
  <si>
    <t>2022-10-29T20:49:10Z</t>
  </si>
  <si>
    <t>5264898_1289596</t>
  </si>
  <si>
    <t>Rana Salah</t>
  </si>
  <si>
    <t>p_34f1843fc737e69a107e6b4d9e9007952b140580@inbound.aiesec.org</t>
  </si>
  <si>
    <t>2023-05-22T15:19:41Z</t>
  </si>
  <si>
    <t>5259028_1295285</t>
  </si>
  <si>
    <t>Rima Tlili</t>
  </si>
  <si>
    <t>p_4c59cfc5b17e18826719a63f018294ed671c8588@inbound.aiesec.org</t>
  </si>
  <si>
    <t>2023-05-10T15:14:06Z</t>
  </si>
  <si>
    <t>4703856_1293242</t>
  </si>
  <si>
    <t>Arij Ben Amor</t>
  </si>
  <si>
    <t>p_4c12d91b4382574dc861f1088acbcf9dd7eace50@inbound.aiesec.org</t>
  </si>
  <si>
    <t>https://expa.aiesec.org/opportunities/1293242</t>
  </si>
  <si>
    <t>2021-08-04T09:33:10Z</t>
  </si>
  <si>
    <t>5262984_1292579</t>
  </si>
  <si>
    <t>Oğuzhan Arı</t>
  </si>
  <si>
    <t>p_55bb9ed0f9b12ab59814c5502d1fb0b1e97845cb@inbound.aiesec.org</t>
  </si>
  <si>
    <t>https://expa.aiesec.org/opportunities/1292579</t>
  </si>
  <si>
    <t>[Hashtag] Social Media</t>
  </si>
  <si>
    <t>2023-05-18T14:23:50Z</t>
  </si>
  <si>
    <t>5240420_1287380</t>
  </si>
  <si>
    <t>Aiym Saduakasova</t>
  </si>
  <si>
    <t>p_85790e9bb3199096c7260b935990e368f696409c@inbound.aiesec.org</t>
  </si>
  <si>
    <t>2023-04-12T13:15:23Z</t>
  </si>
  <si>
    <t>5245786_1287101</t>
  </si>
  <si>
    <t>Alaa Amin Hassan</t>
  </si>
  <si>
    <t>p_19dfedc05edb08ede008c11737cfb194654aecd6@inbound.aiesec.org</t>
  </si>
  <si>
    <t>2023-04-20T01:59:03Z</t>
  </si>
  <si>
    <t>5140210_1295149</t>
  </si>
  <si>
    <t>Loredana Frunză</t>
  </si>
  <si>
    <t>p_7c972766bdf955866b167fbb4d4885c74c7b0e53@inbound.aiesec.org</t>
  </si>
  <si>
    <t>https://expa.aiesec.org/opportunities/1295149</t>
  </si>
  <si>
    <t>2022-10-25T13:57:08Z</t>
  </si>
  <si>
    <t>5256727_1284670</t>
  </si>
  <si>
    <t>Costache Bianca</t>
  </si>
  <si>
    <t>p_5482154b74c36f757716a601f6f2d57a0639b5e0@inbound.aiesec.org</t>
  </si>
  <si>
    <t>2023-05-06T11:47:05Z</t>
  </si>
  <si>
    <t>4224262_1295040</t>
  </si>
  <si>
    <t>https://expa.aiesec.org/opportunities/1295040</t>
  </si>
  <si>
    <t>Accelerate Romania-Marketing Internship</t>
  </si>
  <si>
    <t>5258594_1289536</t>
  </si>
  <si>
    <t>Ruth Gusmão</t>
  </si>
  <si>
    <t>p_e97902a094f0189e8296f57c3dc211bf4f1efd37@inbound.aiesec.org</t>
  </si>
  <si>
    <t>2023-05-10T00:27:25Z</t>
  </si>
  <si>
    <t>1826637_1288159</t>
  </si>
  <si>
    <t>Belkis Zurbaran</t>
  </si>
  <si>
    <t>p_689f24a99d1d437aa6cd702b8baf4e64b14ca560@inbound.aiesec.org</t>
  </si>
  <si>
    <t>SANTA MARTA</t>
  </si>
  <si>
    <t>https://expa.aiesec.org/opportunities/1288159</t>
  </si>
  <si>
    <t>MARKETING INTERN | Spanish</t>
  </si>
  <si>
    <t>2017-10-27T21:58:16Z</t>
  </si>
  <si>
    <t>5253211_1293327</t>
  </si>
  <si>
    <t>Ahmet Deniz</t>
  </si>
  <si>
    <t>p_a02c43238d502812a381e7598709274255ecebf1@inbound.aiesec.org</t>
  </si>
  <si>
    <t>https://expa.aiesec.org/opportunities/1293327</t>
  </si>
  <si>
    <t>2023-04-30T16:30:44Z</t>
  </si>
  <si>
    <t>5242249_1293576</t>
  </si>
  <si>
    <t>Ayda Özkan</t>
  </si>
  <si>
    <t>p_2aa8605cb625ff694f10774a42876f9611425181@inbound.aiesec.org</t>
  </si>
  <si>
    <t>2023-04-14T19:36:00Z</t>
  </si>
  <si>
    <t>5265821_1286034</t>
  </si>
  <si>
    <t>islem sammeri</t>
  </si>
  <si>
    <t>p_22f3d11d09e7a4470972b55d0ebf86db95de283a@inbound.aiesec.org</t>
  </si>
  <si>
    <t>2023-05-24T08:54:20Z</t>
  </si>
  <si>
    <t>5264965_1291336</t>
  </si>
  <si>
    <t>ayat allah fourati</t>
  </si>
  <si>
    <t>p_d0e1b277f2edd4d6b40d767a921b710439e01a92@inbound.aiesec.org</t>
  </si>
  <si>
    <t>2023-05-22T16:54:04Z</t>
  </si>
  <si>
    <t>5262666_1290024</t>
  </si>
  <si>
    <t>reyhan ceyhan</t>
  </si>
  <si>
    <t>p_245ff4164bf844e250343c0fc6daea389feb80e8@inbound.aiesec.org</t>
  </si>
  <si>
    <t>2023-05-17T23:07:10Z</t>
  </si>
  <si>
    <t>4640037_1295285</t>
  </si>
  <si>
    <t>Sabina Yusubova</t>
  </si>
  <si>
    <t>p_cbbf13043b52f680e7d3ee5b529c5d2487789843@inbound.aiesec.org</t>
  </si>
  <si>
    <t>2021-05-09T10:42:08Z</t>
  </si>
  <si>
    <t>5263371_1294994</t>
  </si>
  <si>
    <t>Berhan Demiralp</t>
  </si>
  <si>
    <t>p_e2fa2b9d8c492d6f3cfee0f4c61cb33fef48cd9b@inbound.aiesec.org</t>
  </si>
  <si>
    <t>https://expa.aiesec.org/opportunities/1294994</t>
  </si>
  <si>
    <t>2023-05-19T08:09:33Z</t>
  </si>
  <si>
    <t>5264080_1293370</t>
  </si>
  <si>
    <t>Dide Turut</t>
  </si>
  <si>
    <t>p_5cae67f10ea24fa9e625337deb14370890c5896e@inbound.aiesec.org</t>
  </si>
  <si>
    <t>https://expa.aiesec.org/opportunities/1293370</t>
  </si>
  <si>
    <t>2023-05-20T12:53:29Z</t>
  </si>
  <si>
    <t>4905982_1293632</t>
  </si>
  <si>
    <t>Aslıhan Güngör</t>
  </si>
  <si>
    <t>p_4277f5a84651a6c6a14b9040f9feae83fbfdf73b@inbound.aiesec.org</t>
  </si>
  <si>
    <t>https://expa.aiesec.org/opportunities/1293632</t>
  </si>
  <si>
    <t>2022-01-30T21:38:21Z</t>
  </si>
  <si>
    <t>5258150_1293980</t>
  </si>
  <si>
    <t>Ceren Nur Aslantaş</t>
  </si>
  <si>
    <t>p_5320c67fd77a26b2cc438a8b2bab85387bcb9d16@inbound.aiesec.org</t>
  </si>
  <si>
    <t>2023-05-09T10:24:09Z</t>
  </si>
  <si>
    <t>5254395_1291979</t>
  </si>
  <si>
    <t>Nehir Çakmak</t>
  </si>
  <si>
    <t>p_ab2a58fa2f5289a1e88b6f0e3025810be0851608@inbound.aiesec.org</t>
  </si>
  <si>
    <t>2023-05-02T16:12:09Z</t>
  </si>
  <si>
    <t>5264612_1295453</t>
  </si>
  <si>
    <t>Fatma Magdy</t>
  </si>
  <si>
    <t>p_2fc22579ddccbcdcfb3db1363c87d616ba3f17d9@inbound.aiesec.org</t>
  </si>
  <si>
    <t>https://expa.aiesec.org/opportunities/1295453</t>
  </si>
  <si>
    <t>Nahda University</t>
  </si>
  <si>
    <t>2023-05-21T20:56:23Z</t>
  </si>
  <si>
    <t>4563884_1294656</t>
  </si>
  <si>
    <t>Farah Bouali</t>
  </si>
  <si>
    <t>p_2d67d215b8365356c52fbd30153dead03195ca59@inbound.aiesec.org</t>
  </si>
  <si>
    <t>https://expa.aiesec.org/opportunities/1294656</t>
  </si>
  <si>
    <t>Market Researc Analyst</t>
  </si>
  <si>
    <t>ENIT</t>
  </si>
  <si>
    <t>2021-03-01T19:47:42Z</t>
  </si>
  <si>
    <t>5265953_1272564</t>
  </si>
  <si>
    <t>Chaima Ben Cheikh</t>
  </si>
  <si>
    <t>p_48931baf6895ed696e1410c4e9a9bba0c5a1cc86@inbound.aiesec.org</t>
  </si>
  <si>
    <t>2023-05-24T12:32:44Z</t>
  </si>
  <si>
    <t>5265976_1289505</t>
  </si>
  <si>
    <t>Ibtihel Samaloussi</t>
  </si>
  <si>
    <t>p_73f9a3438a0703a03716f764fb8b9fe1baebe0c5@inbound.aiesec.org</t>
  </si>
  <si>
    <t>2023-05-24T13:19:52Z</t>
  </si>
  <si>
    <t>4134974_1292273</t>
  </si>
  <si>
    <t>Abdusamad Shurow</t>
  </si>
  <si>
    <t>p_2b9348cbd9875d45f55f4ff62e1f0308a6224b8b@inbound.aiesec.org</t>
  </si>
  <si>
    <t>https://expa.aiesec.org/opportunities/1292273</t>
  </si>
  <si>
    <t>2020-01-12T09:15:27Z</t>
  </si>
  <si>
    <t>5222156_1295124</t>
  </si>
  <si>
    <t>Wafaa Salem</t>
  </si>
  <si>
    <t>p_0b07ba3585551f80a83d0412564dd4d0bb3dcc38@inbound.aiesec.org</t>
  </si>
  <si>
    <t>https://expa.aiesec.org/opportunities/1295124</t>
  </si>
  <si>
    <t>2023-03-20T23:35:22Z</t>
  </si>
  <si>
    <t>5265073_1287210</t>
  </si>
  <si>
    <t>Gunay Suleymanli</t>
  </si>
  <si>
    <t>p_a08cb4ff07b5ff9a2641594035ab54edfc73af59@inbound.aiesec.org</t>
  </si>
  <si>
    <t>2023-05-22T19:25:58Z</t>
  </si>
  <si>
    <t>5264873_1287210</t>
  </si>
  <si>
    <t>Dilnaz Mukataeva</t>
  </si>
  <si>
    <t>p_fd38de5883d28588fc11e296220a8abe86a31c4b@inbound.aiesec.org</t>
  </si>
  <si>
    <t>2023-05-22T14:24:12Z</t>
  </si>
  <si>
    <t>5232786_1287210</t>
  </si>
  <si>
    <t>Symbat Sabyr</t>
  </si>
  <si>
    <t>p_8c41e2c590cd84daf37e7b0c2507640827b1b818@inbound.aiesec.org</t>
  </si>
  <si>
    <t>2023-04-01T14:39:53Z</t>
  </si>
  <si>
    <t>5148934_1294785</t>
  </si>
  <si>
    <t>Hanaa Mezara</t>
  </si>
  <si>
    <t>p_12f2c3a139b8675eb23f14ae3701e9b77f640e01@inbound.aiesec.org</t>
  </si>
  <si>
    <t>+213 5 49340798</t>
  </si>
  <si>
    <t>https://expa.aiesec.org/opportunities/1294785</t>
  </si>
  <si>
    <t>2022-11-07T21:20:22Z</t>
  </si>
  <si>
    <t>5262063_1293706</t>
  </si>
  <si>
    <t>Alina Lys</t>
  </si>
  <si>
    <t>p_f54fe03423680527c87c880538d262ef343445b4@inbound.aiesec.org</t>
  </si>
  <si>
    <t>2023-05-16T19:11:57Z</t>
  </si>
  <si>
    <t>5260176_1294197</t>
  </si>
  <si>
    <t>Luka Birčaković</t>
  </si>
  <si>
    <t>p_f0220409235b36ebebd5151b53c1209e77dc74bf@inbound.aiesec.org</t>
  </si>
  <si>
    <t>2023-05-12T19:15:02Z</t>
  </si>
  <si>
    <t>5247383_1294995</t>
  </si>
  <si>
    <t>Fatma Hesna Başarı</t>
  </si>
  <si>
    <t>p_eb630446b35d4e674821144003dc8b245c200251@inbound.aiesec.org</t>
  </si>
  <si>
    <t>https://expa.aiesec.org/opportunities/1294995</t>
  </si>
  <si>
    <t>2023-04-22T17:11:41Z</t>
  </si>
  <si>
    <t>5267298_1289505</t>
  </si>
  <si>
    <t>Kouki Farah</t>
  </si>
  <si>
    <t>p_fda4eb2ee42d9a2246e5cc9e897ba6953b2d2faf@inbound.aiesec.org</t>
  </si>
  <si>
    <t>2023-05-26T21:33:30Z</t>
  </si>
  <si>
    <t>5267195_1289505</t>
  </si>
  <si>
    <t>roua slama</t>
  </si>
  <si>
    <t>p_b88e5c84ca3700833e86c6251fc5b12ebfa88796@inbound.aiesec.org</t>
  </si>
  <si>
    <t>2023-05-26T17:25:13Z</t>
  </si>
  <si>
    <t>5266910_1289100</t>
  </si>
  <si>
    <t>Ferdawes Mansouri</t>
  </si>
  <si>
    <t>p_440c771ebbae3575a968796983f279f7082697cb@inbound.aiesec.org</t>
  </si>
  <si>
    <t>2023-05-26T09:08:31Z</t>
  </si>
  <si>
    <t>5266959_1291254</t>
  </si>
  <si>
    <t>Sirine Najjar</t>
  </si>
  <si>
    <t>p_a86a92449bae8ac59be87cfac629753a1fd7560a@inbound.aiesec.org</t>
  </si>
  <si>
    <t>2023-05-26T11:15:43Z</t>
  </si>
  <si>
    <t>5005266_1293965</t>
  </si>
  <si>
    <t>Efe Erdoğdu</t>
  </si>
  <si>
    <t>p_45fd73f72558960f592fd9d6328ed3109c2d669b@inbound.aiesec.org</t>
  </si>
  <si>
    <t>https://expa.aiesec.org/opportunities/1293965</t>
  </si>
  <si>
    <t>2022-03-25T14:57:59Z</t>
  </si>
  <si>
    <t>5259719_1290384</t>
  </si>
  <si>
    <t>sema durman</t>
  </si>
  <si>
    <t>p_87a3869feca0dc39308dc306908ea4bc139ddee6@inbound.aiesec.org</t>
  </si>
  <si>
    <t>https://expa.aiesec.org/opportunities/1290384</t>
  </si>
  <si>
    <t>2023-05-11T21:52:12Z</t>
  </si>
  <si>
    <t>5265911_1294063</t>
  </si>
  <si>
    <t>mert kuru</t>
  </si>
  <si>
    <t>p_f32605c634467156beaacd8f551c1e759d2b6448@inbound.aiesec.org</t>
  </si>
  <si>
    <t>2023-05-24T10:57:54Z</t>
  </si>
  <si>
    <t>5161899_1295240</t>
  </si>
  <si>
    <t>sarah essam</t>
  </si>
  <si>
    <t>p_0085e3ded0e964124a885271ce073f3ad349a332@inbound.aiesec.org</t>
  </si>
  <si>
    <t>https://expa.aiesec.org/opportunities/1295240</t>
  </si>
  <si>
    <t>2022-12-02T14:20:18Z</t>
  </si>
  <si>
    <t>5265310_1287210</t>
  </si>
  <si>
    <t>Sona Mamedova</t>
  </si>
  <si>
    <t>p_b41952666d508bd4b0b574fe961346e7521715b4@inbound.aiesec.org</t>
  </si>
  <si>
    <t>Azerbaijan Architecture and Construction University</t>
  </si>
  <si>
    <t>2023-05-23T10:25:32Z</t>
  </si>
  <si>
    <t>5255410_1295240</t>
  </si>
  <si>
    <t>Alaa khaled ali</t>
  </si>
  <si>
    <t>p_6a08bd9446703a89918842a20db8e30ae383536b@inbound.aiesec.org</t>
  </si>
  <si>
    <t>2023-05-03T21:25:34Z</t>
  </si>
  <si>
    <t>5261325_1294795</t>
  </si>
  <si>
    <t>Valeriia Druz</t>
  </si>
  <si>
    <t>p_3b2b7d88dd69e9408f4dea9fc977c03a602455fd@inbound.aiesec.org</t>
  </si>
  <si>
    <t>TERNOPIL</t>
  </si>
  <si>
    <t>Rivne</t>
  </si>
  <si>
    <t>2023-05-15T13:09:08Z</t>
  </si>
  <si>
    <t>5221963_1291124</t>
  </si>
  <si>
    <t>DOĞA AKIN</t>
  </si>
  <si>
    <t>p_1124af3fe9abfaa061154f91f1ab6cfd84c48f33@inbound.aiesec.org</t>
  </si>
  <si>
    <t>https://expa.aiesec.org/opportunities/1291124</t>
  </si>
  <si>
    <t>2023-03-20T17:56:44Z</t>
  </si>
  <si>
    <t>5216256_1295149</t>
  </si>
  <si>
    <t>Ionescu Alexandru</t>
  </si>
  <si>
    <t>p_4c9f668423c54840c4a924a28fc7d227160f3917@inbound.aiesec.org</t>
  </si>
  <si>
    <t>2023-03-14T17:18:53Z</t>
  </si>
  <si>
    <t>5242465_1293726</t>
  </si>
  <si>
    <t>Jiayi Liu</t>
  </si>
  <si>
    <t>p_49bf4c05f006652177f064f719793cb35af84ff0@inbound.aiesec.org</t>
  </si>
  <si>
    <t>https://expa.aiesec.org/opportunities/1293726</t>
  </si>
  <si>
    <t>2023-04-15T08:43:07Z</t>
  </si>
  <si>
    <t>5255692_1292556</t>
  </si>
  <si>
    <t>Tom Wenke</t>
  </si>
  <si>
    <t>p_ecff73b6486b5e3d8647f1913fe9de74292b341e@inbound.aiesec.org</t>
  </si>
  <si>
    <t>2023-05-04T11:52:04Z</t>
  </si>
  <si>
    <t>5262104_1293706</t>
  </si>
  <si>
    <t>Anastasiia Muzyka</t>
  </si>
  <si>
    <t>p_5a3e59840d2964422e6982975665faef1db8fb9d@inbound.aiesec.org</t>
  </si>
  <si>
    <t>2023-05-16T20:59:43Z</t>
  </si>
  <si>
    <t>5248284_1294209</t>
  </si>
  <si>
    <t>Irem Dogan</t>
  </si>
  <si>
    <t>p_e2048d32e9051a974339f409bc8075601a766551@inbound.aiesec.org</t>
  </si>
  <si>
    <t>2023-04-24T12:27:01Z</t>
  </si>
  <si>
    <t>5242163_1294894</t>
  </si>
  <si>
    <t>Muhammad Saad Khan</t>
  </si>
  <si>
    <t>p_eeef28bae0e9f322f119f97b087a689f28434e86@inbound.aiesec.org</t>
  </si>
  <si>
    <t>2023-04-14T17:22:19Z</t>
  </si>
  <si>
    <t>3659453_1295002</t>
  </si>
  <si>
    <t>Ghulam Fareed</t>
  </si>
  <si>
    <t>p_171f30c78260c5e5de764affe1a47363518e41e8@inbound.aiesec.org</t>
  </si>
  <si>
    <t>2019-07-16T07:47:02Z</t>
  </si>
  <si>
    <t>5260923_1289505</t>
  </si>
  <si>
    <t>ROTARI OLIVIA</t>
  </si>
  <si>
    <t>p_a7b08a4ed15e64119ea198e5567a055120185b6c@inbound.aiesec.org</t>
  </si>
  <si>
    <t>2023-05-14T12:54:42Z</t>
  </si>
  <si>
    <t>5264605_1289505</t>
  </si>
  <si>
    <t>Rotari Catalina</t>
  </si>
  <si>
    <t>p_a2a335b2f7d93e71bec3439cb1d6dda0afa89c75@inbound.aiesec.org</t>
  </si>
  <si>
    <t>2023-05-21T20:44:59Z</t>
  </si>
  <si>
    <t>5180925_1295102</t>
  </si>
  <si>
    <t>https://expa.aiesec.org/opportunities/1295102</t>
  </si>
  <si>
    <t>5078147_1295018</t>
  </si>
  <si>
    <t>Gülşah Dilek ŞENGÜL</t>
  </si>
  <si>
    <t>p_9378da86a6db3d7b1d53886076383b674a33f5e5@inbound.aiesec.org</t>
  </si>
  <si>
    <t>https://expa.aiesec.org/opportunities/1295018</t>
  </si>
  <si>
    <t>2022-06-29T18:54:32Z</t>
  </si>
  <si>
    <t>5035734_1292188</t>
  </si>
  <si>
    <t>Begüm Demir</t>
  </si>
  <si>
    <t>p_3484a7bb750106357c23ec23df39d8e487bf2892@inbound.aiesec.org</t>
  </si>
  <si>
    <t>2022-04-11T13:33:45Z</t>
  </si>
  <si>
    <t>5260044_1283483</t>
  </si>
  <si>
    <t>Rouand Alashal</t>
  </si>
  <si>
    <t>p_fc242af95722d10c1c563457b5ac431e3f548401@inbound.aiesec.org</t>
  </si>
  <si>
    <t>2023-05-12T15:00:46Z</t>
  </si>
  <si>
    <t>5268025_1292149</t>
  </si>
  <si>
    <t>Soumia ELHARCHALI</t>
  </si>
  <si>
    <t>p_1613f960b353d739bcd9c60fd0383777d406e944@inbound.aiesec.org</t>
  </si>
  <si>
    <t>2023-05-28T19:46:46Z</t>
  </si>
  <si>
    <t>5117695_1293417</t>
  </si>
  <si>
    <t>Aliya Rashitova</t>
  </si>
  <si>
    <t>p_5ae223de75a6c0a04ebba61491e863a502507f06@inbound.aiesec.org</t>
  </si>
  <si>
    <t>2022-09-22T16:23:51Z</t>
  </si>
  <si>
    <t>2351814_1294332</t>
  </si>
  <si>
    <t>Abdelkrim DJEBIR</t>
  </si>
  <si>
    <t>p_9c9b1c10fc1734afbeead49cf1b0645b06f63957@inbound.aiesec.org</t>
  </si>
  <si>
    <t>2018-06-09T01:53:22Z</t>
  </si>
  <si>
    <t>5261039_1291929</t>
  </si>
  <si>
    <t>Meshaal Fatima</t>
  </si>
  <si>
    <t>p_7761182679193d881f6f17febeab93c10f1083a6@inbound.aiesec.org</t>
  </si>
  <si>
    <t>2023-05-14T18:53:57Z</t>
  </si>
  <si>
    <t>5260560_1291929</t>
  </si>
  <si>
    <t>ARMAT AISIYEV</t>
  </si>
  <si>
    <t>p_565240b116fe5f95ff5c2632fda9a2ef49fb2948@inbound.aiesec.org</t>
  </si>
  <si>
    <t>2023-05-13T15:17:53Z</t>
  </si>
  <si>
    <t>5260555_1291929</t>
  </si>
  <si>
    <t>Askhat Aisiyev</t>
  </si>
  <si>
    <t>p_6eec60e68dcc90655392d1c4b6f6d07c8a774caa@inbound.aiesec.org</t>
  </si>
  <si>
    <t>2023-05-13T15:08:39Z</t>
  </si>
  <si>
    <t>3129515_1291068</t>
  </si>
  <si>
    <t>Hatice Yaşar</t>
  </si>
  <si>
    <t>p_421176090a381b0eb458dd6f541f4bc5a651b90f@inbound.aiesec.org</t>
  </si>
  <si>
    <t>https://expa.aiesec.org/opportunities/1291068</t>
  </si>
  <si>
    <t>2019-02-28T23:26:02Z</t>
  </si>
  <si>
    <t>5268226_1294063</t>
  </si>
  <si>
    <t>Ahmet Gökdoğan</t>
  </si>
  <si>
    <t>p_de4f55509b34760bb28ab7f492daf5420cd15547@inbound.aiesec.org</t>
  </si>
  <si>
    <t>2023-05-29T11:27:17Z</t>
  </si>
  <si>
    <t>5267288_1289536</t>
  </si>
  <si>
    <t>Maria Laura Arantes Bessa Ferreira</t>
  </si>
  <si>
    <t>p_cf99e3743ba17af8b7a4c9c998b846eb57cf06c1@inbound.aiesec.org</t>
  </si>
  <si>
    <t>2023-05-26T21:14:01Z</t>
  </si>
  <si>
    <t>1380707_1294941</t>
  </si>
  <si>
    <t>ibrahim ELeraky</t>
  </si>
  <si>
    <t>p_a8fb7ab7d403eb3898a975829525b65d1ee37f15@inbound.aiesec.org</t>
  </si>
  <si>
    <t>MC Egypt</t>
  </si>
  <si>
    <t>https://expa.aiesec.org/opportunities/1294941</t>
  </si>
  <si>
    <t>English Teaching in Diyarbakır TED</t>
  </si>
  <si>
    <t>2017-02-24T18:58:02Z</t>
  </si>
  <si>
    <t>5267652_1294941</t>
  </si>
  <si>
    <t>yosr rebai</t>
  </si>
  <si>
    <t>p_5a796c2985c88b59b9978c35e704b8d1aea503f5@inbound.aiesec.org</t>
  </si>
  <si>
    <t>Institut supérieur des études appliquées en humanités  ISEAH kef</t>
  </si>
  <si>
    <t>2023-05-27T17:33:38Z</t>
  </si>
  <si>
    <t>5258090_1286368</t>
  </si>
  <si>
    <t>Leylakhanim Jafarova</t>
  </si>
  <si>
    <t>p_2e9315142346b23587d49f59ddb6c5f2b3969194@inbound.aiesec.org</t>
  </si>
  <si>
    <t>2023-05-09T08:52:24Z</t>
  </si>
  <si>
    <t>5261893_1287990</t>
  </si>
  <si>
    <t>Muhammed Safa Sonkaya</t>
  </si>
  <si>
    <t>p_c8eea8510f51e165acaf9f1a86283558608a227f@inbound.aiesec.org</t>
  </si>
  <si>
    <t>ORDU</t>
  </si>
  <si>
    <t>2023-05-16T12:37:39Z</t>
  </si>
  <si>
    <t>5265532_1294418</t>
  </si>
  <si>
    <t>Ruveyda Tokur</t>
  </si>
  <si>
    <t>p_4afdfd41754126d694b7f9147ce94268d87f2dda@inbound.aiesec.org</t>
  </si>
  <si>
    <t>https://expa.aiesec.org/opportunities/1294418</t>
  </si>
  <si>
    <t>2023-05-23T18:42:22Z</t>
  </si>
  <si>
    <t>5265396_1294890</t>
  </si>
  <si>
    <t>Merve Sezer</t>
  </si>
  <si>
    <t>p_a81c5382fd9240a24a2436425527dc9deee572d6@inbound.aiesec.org</t>
  </si>
  <si>
    <t>https://expa.aiesec.org/opportunities/1294890</t>
  </si>
  <si>
    <t>2023-05-23T13:30:53Z</t>
  </si>
  <si>
    <t>5264742_1290690</t>
  </si>
  <si>
    <t>Asude Şeyma Ata</t>
  </si>
  <si>
    <t>p_996bed85ab8bd7fc76a3ee33cdfe3b9ed41deb10@inbound.aiesec.org</t>
  </si>
  <si>
    <t>2023-05-22T09:02:15Z</t>
  </si>
  <si>
    <t>5261382_1290806</t>
  </si>
  <si>
    <t>Melek yaren Akman</t>
  </si>
  <si>
    <t>p_059176d8a9b483985deb9bbfd79a9551cf5263fd@inbound.aiesec.org</t>
  </si>
  <si>
    <t>2023-05-15T14:12:52Z</t>
  </si>
  <si>
    <t>5262870_1291929</t>
  </si>
  <si>
    <t>Amina Menasra</t>
  </si>
  <si>
    <t>p_e535e298a3b8b28357d50a3f6fa8bb59d9e92e8d@inbound.aiesec.org</t>
  </si>
  <si>
    <t>2023-05-18T11:23:17Z</t>
  </si>
  <si>
    <t>3440780_1294310</t>
  </si>
  <si>
    <t>2271390_1294097</t>
  </si>
  <si>
    <t>zidi miriam</t>
  </si>
  <si>
    <t>p_ee06c2729a1a75691de6f47be358ac6b6dac3abb@inbound.aiesec.org</t>
  </si>
  <si>
    <t>https://expa.aiesec.org/opportunities/1294097</t>
  </si>
  <si>
    <t>2018-05-01T09:13:40Z</t>
  </si>
  <si>
    <t>5268751_1294453</t>
  </si>
  <si>
    <t>Nisa Nagehan Karacaoğlu</t>
  </si>
  <si>
    <t>p_b4e1c4c8c0925cba8e45988f2269387147c12f90@inbound.aiesec.org</t>
  </si>
  <si>
    <t>2023-05-30T12:19:56Z</t>
  </si>
  <si>
    <t>5267270_1294006</t>
  </si>
  <si>
    <t>sudenaz yaşar</t>
  </si>
  <si>
    <t>p_3a29d4c9582e5409c738d87b9f3f051c4def0219@inbound.aiesec.org</t>
  </si>
  <si>
    <t>https://expa.aiesec.org/opportunities/1294006</t>
  </si>
  <si>
    <t>2023-05-26T20:14:33Z</t>
  </si>
  <si>
    <t>5266721_1287210</t>
  </si>
  <si>
    <t>Fatma  zahra Mehrez</t>
  </si>
  <si>
    <t>p_6c5898bf04dfae993694a1cf4ca31a0e2884a1b7@inbound.aiesec.org</t>
  </si>
  <si>
    <t xml:space="preserve">20 989 770 </t>
  </si>
  <si>
    <t>2023-05-25T19:13:37Z</t>
  </si>
  <si>
    <t>5216433_1294795</t>
  </si>
  <si>
    <t>Haseeb Sediqi</t>
  </si>
  <si>
    <t>p_8c7a12ef862f98705fdbf4e139917b25a0f1da16@inbound.aiesec.org</t>
  </si>
  <si>
    <t>2023-03-14T20:07:42Z</t>
  </si>
  <si>
    <t>5196153_1294103</t>
  </si>
  <si>
    <t>Daria Zalitok</t>
  </si>
  <si>
    <t>p_066808f21e8d0165fbf7e0ca94bcc5cb05d08c30@inbound.aiesec.org</t>
  </si>
  <si>
    <t>2023-02-21T18:06:34Z</t>
  </si>
  <si>
    <t>4575328_1289596</t>
  </si>
  <si>
    <t>Fabriciano Barbosa de Souza</t>
  </si>
  <si>
    <t>p_8e7ef6ffeb0e970dcc40042835d6e8563f8b42ae@inbound.aiesec.org</t>
  </si>
  <si>
    <t>VITÓRIA</t>
  </si>
  <si>
    <t>Vitória</t>
  </si>
  <si>
    <t>2021-03-11T18:47:47Z</t>
  </si>
  <si>
    <t>5260548_1281195</t>
  </si>
  <si>
    <t>Paula Andrea Martinez Fonseca</t>
  </si>
  <si>
    <t>p_0d8c3e0cb0cb388abcd12c4fdbfdf92795c29a9e@inbound.aiesec.org</t>
  </si>
  <si>
    <t>Bogotá - Universidad de Los Andes</t>
  </si>
  <si>
    <t>2023-05-13T14:55:04Z</t>
  </si>
  <si>
    <t>5245233_1294062</t>
  </si>
  <si>
    <t>Mehmet Kucukdag</t>
  </si>
  <si>
    <t>p_8bf4ee302a7b07669f036add248cc40e65b11b8a@inbound.aiesec.org</t>
  </si>
  <si>
    <t>2023-04-19T10:55:49Z</t>
  </si>
  <si>
    <t>5263752_1287380</t>
  </si>
  <si>
    <t>Eya Khelifi</t>
  </si>
  <si>
    <t>p_f8c3cabc11759afd14b00ad197737d7660fc8997@inbound.aiesec.org</t>
  </si>
  <si>
    <t>2023-05-19T19:25:00Z</t>
  </si>
  <si>
    <t>5266679_1295717</t>
  </si>
  <si>
    <t>Fatma Nur Çoban</t>
  </si>
  <si>
    <t>p_95eb6fc50cd28cc02efd5ba9eff7f0991ac0f587@inbound.aiesec.org</t>
  </si>
  <si>
    <t>https://expa.aiesec.org/opportunities/1295717</t>
  </si>
  <si>
    <t xml:space="preserve">English Instructor in American Egyptian Academy </t>
  </si>
  <si>
    <t>2023-05-25T17:53:46Z</t>
  </si>
  <si>
    <t>5268663_1294587</t>
  </si>
  <si>
    <t>Azra Nur Tekbaş</t>
  </si>
  <si>
    <t>p_b0e74dbdd14c209aae898ad0e529d47243212c25@inbound.aiesec.org</t>
  </si>
  <si>
    <t>2023-05-30T09:27:37Z</t>
  </si>
  <si>
    <t>5078236_1294372</t>
  </si>
  <si>
    <t>Nada Sara Takdenti</t>
  </si>
  <si>
    <t>p_d64232d09e29d0477978410e7428930f42dfc697@inbound.aiesec.org</t>
  </si>
  <si>
    <t>2022-06-30T01:36:55Z</t>
  </si>
  <si>
    <t>5243383_1284670</t>
  </si>
  <si>
    <t>Telmo Abreu</t>
  </si>
  <si>
    <t>p_1d55bd6351fa72528165b6d4c6ffde4a29788af4@inbound.aiesec.org</t>
  </si>
  <si>
    <t>2023-04-16T19:06:41Z</t>
  </si>
  <si>
    <t>5267968_1289308</t>
  </si>
  <si>
    <t>MUSTAPHA NEFFAKH</t>
  </si>
  <si>
    <t>p_95f7beaf40c5ea5ec0e5278f77ebd71faa5291e5@inbound.aiesec.org</t>
  </si>
  <si>
    <t>https://expa.aiesec.org/opportunities/1289308</t>
  </si>
  <si>
    <t>Process Engineer</t>
  </si>
  <si>
    <t>FST Tanger</t>
  </si>
  <si>
    <t>2023-05-28T17:04:10Z</t>
  </si>
  <si>
    <t>5267319_1289307</t>
  </si>
  <si>
    <t>Imane Akram</t>
  </si>
  <si>
    <t>p_e7ae95cc79e962c4401f10bcb02d7a95036d2f64@inbound.aiesec.org</t>
  </si>
  <si>
    <t>2023-05-26T22:40:03Z</t>
  </si>
  <si>
    <t>5257651_1294209</t>
  </si>
  <si>
    <t>Yaren tp</t>
  </si>
  <si>
    <t>p_1b0015e54fa5bbc279b2d5503a66b01c74144d23@inbound.aiesec.org</t>
  </si>
  <si>
    <t>2023-05-08T13:31:44Z</t>
  </si>
  <si>
    <t>5266161_1294068</t>
  </si>
  <si>
    <t>Niculae Marian Iulian</t>
  </si>
  <si>
    <t>p_42131f9bde92ba04dad192161cd9055d4a199167@inbound.aiesec.org</t>
  </si>
  <si>
    <t>2023-05-24T18:14:23Z</t>
  </si>
  <si>
    <t>5262435_1289596</t>
  </si>
  <si>
    <t>amira elgaml</t>
  </si>
  <si>
    <t>p_448b23074d0fe15bb1dd14d44acf9adf24c48249@inbound.aiesec.org</t>
  </si>
  <si>
    <t>2023-05-17T13:40:32Z</t>
  </si>
  <si>
    <t>4992694_1293393</t>
  </si>
  <si>
    <t>Nilüfer Altanay</t>
  </si>
  <si>
    <t>p_1a23398f8ae9d9aa36d98ffd84ed856b00260e80@inbound.aiesec.org</t>
  </si>
  <si>
    <t>Piraeus UNIPI (Athens)</t>
  </si>
  <si>
    <t>https://expa.aiesec.org/opportunities/1293393</t>
  </si>
  <si>
    <t>CANAKKALE</t>
  </si>
  <si>
    <t>2022-03-19T07:41:23Z</t>
  </si>
  <si>
    <t>5254193_1293005</t>
  </si>
  <si>
    <t>Naila Mahmudlu</t>
  </si>
  <si>
    <t>p_de276e632b1b25f27f8cf277d4b3dd2ec3037596@inbound.aiesec.org</t>
  </si>
  <si>
    <t>2023-05-02T10:19:17Z</t>
  </si>
  <si>
    <t>5246986_1294062</t>
  </si>
  <si>
    <t>Arda Taşyakan</t>
  </si>
  <si>
    <t>p_d9079ceec3a9ca527ebb5923a9fd73437ff9579f@inbound.aiesec.org</t>
  </si>
  <si>
    <t>2023-04-21T19:06:00Z</t>
  </si>
  <si>
    <t>5270197_1294795</t>
  </si>
  <si>
    <t>ela laadhari</t>
  </si>
  <si>
    <t>p_b60bb0a7854ee88a7af984657be31fb7632cfced@inbound.aiesec.org</t>
  </si>
  <si>
    <t>2023-06-01T13:38:55Z</t>
  </si>
  <si>
    <t>5269877_1292947</t>
  </si>
  <si>
    <t>Barış Can Akyüz</t>
  </si>
  <si>
    <t>p_67d904ed2eb27cb14e2f920247f15685830a4d81@inbound.aiesec.org</t>
  </si>
  <si>
    <t>https://expa.aiesec.org/opportunities/1292947</t>
  </si>
  <si>
    <t>2023-05-31T20:31:15Z</t>
  </si>
  <si>
    <t>5269795_1290806</t>
  </si>
  <si>
    <t>Cemrenur Uysal</t>
  </si>
  <si>
    <t>p_6ee8d4fc8c8445fd3d577b58b0aa889a26758f21@inbound.aiesec.org</t>
  </si>
  <si>
    <t>2023-05-31T17:36:23Z</t>
  </si>
  <si>
    <t>5269421_1290393</t>
  </si>
  <si>
    <t>Tuğba Pelin Tekin</t>
  </si>
  <si>
    <t>p_2f3b582c71ffd24cd4a110276002f0c6339851c4@inbound.aiesec.org</t>
  </si>
  <si>
    <t>2023-05-31T10:31:11Z</t>
  </si>
  <si>
    <t>5247482_1290059</t>
  </si>
  <si>
    <t>Yaşar Ömür Özgören</t>
  </si>
  <si>
    <t>p_123858ea12a1eeed5c90211b9ef81a3c1d1aded3@inbound.aiesec.org</t>
  </si>
  <si>
    <t>https://expa.aiesec.org/opportunities/1290059</t>
  </si>
  <si>
    <t>2023-04-22T21:19:19Z</t>
  </si>
  <si>
    <t>5267946_1295214</t>
  </si>
  <si>
    <t>İlayda Boğaz</t>
  </si>
  <si>
    <t>p_f447c3192101abcb034491276c7d97cc274a4fc0@inbound.aiesec.org</t>
  </si>
  <si>
    <t>https://expa.aiesec.org/opportunities/1295214</t>
  </si>
  <si>
    <t>2023-05-28T15:52:18Z</t>
  </si>
  <si>
    <t>5268868_1294669</t>
  </si>
  <si>
    <t>Azize GÜLERYÜZ</t>
  </si>
  <si>
    <t>p_fe821a7aa88041852de4d3700db63a46e0287f3a@inbound.aiesec.org</t>
  </si>
  <si>
    <t>https://expa.aiesec.org/opportunities/1294669</t>
  </si>
  <si>
    <t>2023-05-30T15:21:48Z</t>
  </si>
  <si>
    <t>5268497_1293907</t>
  </si>
  <si>
    <t>Derya Oruç</t>
  </si>
  <si>
    <t>p_17ccb98101a0f956e9d47cbcc07f246fc8378af0@inbound.aiesec.org</t>
  </si>
  <si>
    <t>https://expa.aiesec.org/opportunities/1293907</t>
  </si>
  <si>
    <t>2023-05-29T21:54:18Z</t>
  </si>
  <si>
    <t>5205103_1295563</t>
  </si>
  <si>
    <t>Filiz Işık</t>
  </si>
  <si>
    <t>p_9b84c7dfbc15497afffd3b73987ca58dedc5645e@inbound.aiesec.org</t>
  </si>
  <si>
    <t>https://expa.aiesec.org/opportunities/1295563</t>
  </si>
  <si>
    <t>2023-03-04T05:56:43Z</t>
  </si>
  <si>
    <t>5267702_1292947</t>
  </si>
  <si>
    <t>Enver Halil OCAKOĞLU</t>
  </si>
  <si>
    <t>p_5f1be3b2664b6ac7bc8e07e9ef1a5f497557f8ee@inbound.aiesec.org</t>
  </si>
  <si>
    <t>2023-05-27T20:09:16Z</t>
  </si>
  <si>
    <t>5267553_1266530</t>
  </si>
  <si>
    <t>Büşra poçan</t>
  </si>
  <si>
    <t>p_68f6eb88ce959fdd683103bec8488e5ea6d90a80@inbound.aiesec.org</t>
  </si>
  <si>
    <t>https://expa.aiesec.org/opportunities/1266530</t>
  </si>
  <si>
    <t>2023-05-27T14:44:14Z</t>
  </si>
  <si>
    <t>5266921_1294209</t>
  </si>
  <si>
    <t>Seyfi Alp Arslan</t>
  </si>
  <si>
    <t>p_bfc5d334ea1cb6fe7dfa7a1a96fb784645870cd3@inbound.aiesec.org</t>
  </si>
  <si>
    <t>2023-05-26T09:44:38Z</t>
  </si>
  <si>
    <t>5246700_1294179</t>
  </si>
  <si>
    <t>Mehmet Bahadır Özkan</t>
  </si>
  <si>
    <t>p_26f744651cd3a6bc3d757a34916affbb0ef0a4eb@inbound.aiesec.org</t>
  </si>
  <si>
    <t>2023-04-21T09:48:46Z</t>
  </si>
  <si>
    <t>5227419_1294995</t>
  </si>
  <si>
    <t>Tuğçe Kocatürk</t>
  </si>
  <si>
    <t>p_a8188fbd1134fb7f8f3e3d4a6f3d8901f73c18dd@inbound.aiesec.org</t>
  </si>
  <si>
    <t>2023-03-26T14:43:16Z</t>
  </si>
  <si>
    <t>5046355_1293588</t>
  </si>
  <si>
    <t>Berna Koç</t>
  </si>
  <si>
    <t>p_d98ac3a3acf583c3b0b4501503a49115afbff7ce@inbound.aiesec.org</t>
  </si>
  <si>
    <t>https://expa.aiesec.org/opportunities/1293588</t>
  </si>
  <si>
    <t>2022-04-26T11:11:32Z</t>
  </si>
  <si>
    <t>5265450_1290924</t>
  </si>
  <si>
    <t>p_764d226fbb823e27ed56c0bc496d1f9a3fd527de@inbound.aiesec.org</t>
  </si>
  <si>
    <t>2023-05-23T15:32:52Z</t>
  </si>
  <si>
    <t>5245157_1291336</t>
  </si>
  <si>
    <t>ZARINA ABITOVA</t>
  </si>
  <si>
    <t>p_f041fb7e05199b45027322e7e4e6f413f1e56641@inbound.aiesec.org</t>
  </si>
  <si>
    <t>2023-04-19T09:40:05Z</t>
  </si>
  <si>
    <t>4995377_1294997</t>
  </si>
  <si>
    <t>Mehmet Eren Girgin</t>
  </si>
  <si>
    <t>p_77bff33f3409e38e3c763ff702d49853e4427776@inbound.aiesec.org</t>
  </si>
  <si>
    <t>https://expa.aiesec.org/opportunities/1294997</t>
  </si>
  <si>
    <t>2022-03-20T19:24:02Z</t>
  </si>
  <si>
    <t>5258472_1294761</t>
  </si>
  <si>
    <t>Lara Taşkan</t>
  </si>
  <si>
    <t>p_622da3d45db63430ad8a0cae1652216cda01d3b0@inbound.aiesec.org</t>
  </si>
  <si>
    <t>https://expa.aiesec.org/opportunities/1294761</t>
  </si>
  <si>
    <t>2023-05-09T18:26:56Z</t>
  </si>
  <si>
    <t>5270647_1288582</t>
  </si>
  <si>
    <t>Ali Abdalla</t>
  </si>
  <si>
    <t>p_9e0672e052f447bb60205c7949fbe6b4ddcc00b2@inbound.aiesec.org</t>
  </si>
  <si>
    <t>2023-06-02T14:10:24Z</t>
  </si>
  <si>
    <t>5270593_1294795</t>
  </si>
  <si>
    <t>ghaida hammemi</t>
  </si>
  <si>
    <t>p_0bf4c72abd245608ce0976527d285e50becfd4fb@inbound.aiesec.org</t>
  </si>
  <si>
    <t>2023-06-02T12:32:46Z</t>
  </si>
  <si>
    <t>5228099_1294127</t>
  </si>
  <si>
    <t>Youssef Kobbi</t>
  </si>
  <si>
    <t>p_d766e66fccc9e2d1ef2895fa88f8c9c45ed8e1bc@inbound.aiesec.org</t>
  </si>
  <si>
    <t>2023-03-27T12:31:49Z</t>
  </si>
  <si>
    <t>5268727_1294453</t>
  </si>
  <si>
    <t>harun erdem açık</t>
  </si>
  <si>
    <t>p_64943b88bf4cfde3626da4b4b4ae00b7e02fd02e@inbound.aiesec.org</t>
  </si>
  <si>
    <t>2023-05-30T11:35:05Z</t>
  </si>
  <si>
    <t>5266090_1294622</t>
  </si>
  <si>
    <t>Ευαγγελία Μπέκου</t>
  </si>
  <si>
    <t>p_0b886349ce112b479a17827bd5b88885c5d6420f@inbound.aiesec.org</t>
  </si>
  <si>
    <t>2023-05-24T15:51:35Z</t>
  </si>
  <si>
    <t>5266491_1283891</t>
  </si>
  <si>
    <t>Ilma Kazagić</t>
  </si>
  <si>
    <t>p_c5153bdd946a2640c277be7f44312a3075bfb741@inbound.aiesec.org</t>
  </si>
  <si>
    <t>2023-05-25T10:47:32Z</t>
  </si>
  <si>
    <t>5266920_1294209</t>
  </si>
  <si>
    <t>Deniz Demirtaş</t>
  </si>
  <si>
    <t>p_063c56023c07618ba98e6492782f6125bdcabaaa@inbound.aiesec.org</t>
  </si>
  <si>
    <t>2023-05-26T09:44:28Z</t>
  </si>
  <si>
    <t>5179685_1287985</t>
  </si>
  <si>
    <t>Azra Çelik</t>
  </si>
  <si>
    <t>p_540ae0951c61fd05a05facdbe47ede96fa362dbb@inbound.aiesec.org</t>
  </si>
  <si>
    <t>2023-01-23T14:52:55Z</t>
  </si>
  <si>
    <t>4116078_1291263</t>
  </si>
  <si>
    <t>Ezgisu Darıcı</t>
  </si>
  <si>
    <t>p_b4f370946878f6071f1d05b8415e6aeddf88a042@inbound.aiesec.org</t>
  </si>
  <si>
    <t>2019-12-28T13:25:38Z</t>
  </si>
  <si>
    <t>5117494_1293541</t>
  </si>
  <si>
    <t>Othmane Kourame</t>
  </si>
  <si>
    <t>p_151fdd110d46aaced260992a4d1da97804367c08@inbound.aiesec.org</t>
  </si>
  <si>
    <t>2022-09-22T11:26:30Z</t>
  </si>
  <si>
    <t>5270938_1295575</t>
  </si>
  <si>
    <t>athir belhassen</t>
  </si>
  <si>
    <t>p_67a7cfc6f5adc65578ff29120b8f768e65f09185@inbound.aiesec.org</t>
  </si>
  <si>
    <t>https://expa.aiesec.org/opportunities/1295575</t>
  </si>
  <si>
    <t>2023-06-03T09:48:44Z</t>
  </si>
  <si>
    <t>5270948_1293726</t>
  </si>
  <si>
    <t>roua hajali</t>
  </si>
  <si>
    <t>p_4c6eaef1448b93a4e372e37e200193f55a700e18@inbound.aiesec.org</t>
  </si>
  <si>
    <t>2023-06-03T10:04:57Z</t>
  </si>
  <si>
    <t>5270540_1285687</t>
  </si>
  <si>
    <t>Nour Ben slimen</t>
  </si>
  <si>
    <t>p_6f50029fc9dd2ddc8ddbef4faaf902317573f9d5@inbound.aiesec.org</t>
  </si>
  <si>
    <t>2023-06-02T10:50:17Z</t>
  </si>
  <si>
    <t>5270363_1292380</t>
  </si>
  <si>
    <t>Heval Berfin Nasır</t>
  </si>
  <si>
    <t>p_135fef20c822fa682b3fc719239393b1f6c9f913@inbound.aiesec.org</t>
  </si>
  <si>
    <t>https://expa.aiesec.org/opportunities/1292380</t>
  </si>
  <si>
    <t>2023-06-01T20:59:02Z</t>
  </si>
  <si>
    <t>5184864_1294624</t>
  </si>
  <si>
    <t>Zeynep Akın</t>
  </si>
  <si>
    <t>p_be9ce315a1c7fd38425e12db0d12ca7404244aa1@inbound.aiesec.org</t>
  </si>
  <si>
    <t>https://expa.aiesec.org/opportunities/1294624</t>
  </si>
  <si>
    <t>2023-02-03T13:07:29Z</t>
  </si>
  <si>
    <t>5270188_1294734</t>
  </si>
  <si>
    <t>Nursu Lokman</t>
  </si>
  <si>
    <t>p_5f5b799bdec6c6d50fa9d2917c02b50ce1937090@inbound.aiesec.org</t>
  </si>
  <si>
    <t>2023-06-01T13:25:05Z</t>
  </si>
  <si>
    <t>5264481_1291413</t>
  </si>
  <si>
    <t>Giray Üzenli</t>
  </si>
  <si>
    <t>p_817c7c54cdac423588d10059063e4d59736ffc39@inbound.aiesec.org</t>
  </si>
  <si>
    <t>https://expa.aiesec.org/opportunities/1291413</t>
  </si>
  <si>
    <t>2023-05-21T14:16:17Z</t>
  </si>
  <si>
    <t>5228163_1295261</t>
  </si>
  <si>
    <t>sarra aissaoui</t>
  </si>
  <si>
    <t>p_26316d25e8ba567c8dd47106116095dac08d21e7@inbound.aiesec.org</t>
  </si>
  <si>
    <t>https://expa.aiesec.org/opportunities/1295261</t>
  </si>
  <si>
    <t>2023-03-27T13:35:22Z</t>
  </si>
  <si>
    <t>3869403_1295743</t>
  </si>
  <si>
    <t>Alberta Kokoi Akyereku Tackie</t>
  </si>
  <si>
    <t>p_7099b6e160cc26f31a2a2f6aab141bd648b7ba8d@inbound.aiesec.org</t>
  </si>
  <si>
    <t xml:space="preserve"> RMU</t>
  </si>
  <si>
    <t>https://expa.aiesec.org/opportunities/1295743</t>
  </si>
  <si>
    <t>English Teacher in Gözde Kindergarden</t>
  </si>
  <si>
    <t>Accra - Anglican University College of Technology</t>
  </si>
  <si>
    <t>2019-10-03T07:21:18Z</t>
  </si>
  <si>
    <t>5053443_1295406</t>
  </si>
  <si>
    <t>https://expa.aiesec.org/opportunities/1295406</t>
  </si>
  <si>
    <t>Sales and Business Intelligence Specialist in Istanbul</t>
  </si>
  <si>
    <t>5267041_1295529</t>
  </si>
  <si>
    <t>Ayça Yücel</t>
  </si>
  <si>
    <t>p_90318a8d9ea2a184aa9791c5c7f4e826bc34aa32@inbound.aiesec.org</t>
  </si>
  <si>
    <t>https://expa.aiesec.org/opportunities/1295529</t>
  </si>
  <si>
    <t>2023-05-26T12:38:51Z</t>
  </si>
  <si>
    <t>5263007_1288490</t>
  </si>
  <si>
    <t>Hana Mamdouh</t>
  </si>
  <si>
    <t>p_f5093a6770f362a23af21e8e4ee5cba510bdc99b@inbound.aiesec.org</t>
  </si>
  <si>
    <t>2023-05-18T15:08:06Z</t>
  </si>
  <si>
    <t>4241387_1293245</t>
  </si>
  <si>
    <t>Kutay Bayhan</t>
  </si>
  <si>
    <t>p_62e08253b1824604885962025872d2d3ac809f11@inbound.aiesec.org</t>
  </si>
  <si>
    <t>2020-03-07T11:51:20Z</t>
  </si>
  <si>
    <t>5254759_1293815</t>
  </si>
  <si>
    <t>Yiğit Zeytun</t>
  </si>
  <si>
    <t>p_539334414929eac20577ce176d20614dc3f4083a@inbound.aiesec.org</t>
  </si>
  <si>
    <t>MOSTAR</t>
  </si>
  <si>
    <t>https://expa.aiesec.org/opportunities/1293815</t>
  </si>
  <si>
    <t>2023-05-03T07:11:10Z</t>
  </si>
  <si>
    <t>5192091_1295907</t>
  </si>
  <si>
    <t>https://expa.aiesec.org/opportunities/1295907</t>
  </si>
  <si>
    <t>5270854_1294334</t>
  </si>
  <si>
    <t>Eya Channoufi</t>
  </si>
  <si>
    <t>p_ad7e4a16d8a50edcc97c0d97aece39f4c7345b06@inbound.aiesec.org</t>
  </si>
  <si>
    <t>https://expa.aiesec.org/opportunities/1294334</t>
  </si>
  <si>
    <t>International Marketer</t>
  </si>
  <si>
    <t>2023-06-02T23:44:40Z</t>
  </si>
  <si>
    <t>5270045_1295011</t>
  </si>
  <si>
    <t>Çağrı Çetinkaya</t>
  </si>
  <si>
    <t>p_151990d65bc2e43456c6366a3b79484df2c2de26@inbound.aiesec.org</t>
  </si>
  <si>
    <t>https://expa.aiesec.org/opportunities/1295011</t>
  </si>
  <si>
    <t>2023-06-01T08:46:48Z</t>
  </si>
  <si>
    <t>5250879_1291572</t>
  </si>
  <si>
    <t>Feyza Hanım Yılmaz</t>
  </si>
  <si>
    <t>p_d19bc8eb3d5f66be9d0bae2a13d3ece1c33eddf3@inbound.aiesec.org</t>
  </si>
  <si>
    <t>https://expa.aiesec.org/opportunities/1291572</t>
  </si>
  <si>
    <t>2023-04-27T15:10:39Z</t>
  </si>
  <si>
    <t>5260418_1285687</t>
  </si>
  <si>
    <t>Diana Ashimova</t>
  </si>
  <si>
    <t>p_9dd796f30bb722bba7c4a0c2453017683b537aa0@inbound.aiesec.org</t>
  </si>
  <si>
    <t>2023-05-13T10:31:07Z</t>
  </si>
  <si>
    <t>5264430_1292571</t>
  </si>
  <si>
    <t>Nilüfer Beyza Köpüklü</t>
  </si>
  <si>
    <t>p_7c5f53e22cd6a29177f10c8d66ba9ca6ad66d32e@inbound.aiesec.org</t>
  </si>
  <si>
    <t>2023-05-21T11:27:15Z</t>
  </si>
  <si>
    <t>5262664_1292384</t>
  </si>
  <si>
    <t>Zeynep Gokce Kucuk</t>
  </si>
  <si>
    <t>p_34d244dc2cc21d193e736ffd2b79e7e0ecb283c9@inbound.aiesec.org</t>
  </si>
  <si>
    <t>2023-05-17T22:58:02Z</t>
  </si>
  <si>
    <t>2394496_1294068</t>
  </si>
  <si>
    <t>Ghofrane Charradi</t>
  </si>
  <si>
    <t>p_b9566bce2a460a86b19f31233fecbaf33a7c4b3f@inbound.aiesec.org</t>
  </si>
  <si>
    <t>2018-07-01T21:40:34Z</t>
  </si>
  <si>
    <t>5271346_1287488</t>
  </si>
  <si>
    <t>Yelizada Yernar</t>
  </si>
  <si>
    <t>p_0de5b1afd53cee7a67039231c45dbc36ea6a3be6@inbound.aiesec.org</t>
  </si>
  <si>
    <t>2023-06-04T16:06:44Z</t>
  </si>
  <si>
    <t>5271297_1294263</t>
  </si>
  <si>
    <t>Aleyna Akdağ</t>
  </si>
  <si>
    <t>p_ea0fb41e33ea2be19a5665ad9d0098466c4986e5@inbound.aiesec.org</t>
  </si>
  <si>
    <t>https://expa.aiesec.org/opportunities/1294263</t>
  </si>
  <si>
    <t>2023-06-04T12:43:58Z</t>
  </si>
  <si>
    <t>5271287_1293477</t>
  </si>
  <si>
    <t>Merve Sude Bayraktepe</t>
  </si>
  <si>
    <t>p_3c3338ba113c832251cfecd2248b4a9b516a28f1@inbound.aiesec.org</t>
  </si>
  <si>
    <t>2023-06-04T12:15:13Z</t>
  </si>
  <si>
    <t>5246419_1295628</t>
  </si>
  <si>
    <t>https://expa.aiesec.org/opportunities/1295628</t>
  </si>
  <si>
    <t>5262668_1287708</t>
  </si>
  <si>
    <t>oussama hamdi</t>
  </si>
  <si>
    <t>p_204575c61e269a3f7ee8e0ebe1a76733874325fa@inbound.aiesec.org</t>
  </si>
  <si>
    <t>Université Mohammed VI Polytechnique</t>
  </si>
  <si>
    <t>2023-05-17T23:09:09Z</t>
  </si>
  <si>
    <t>5270960_1280733</t>
  </si>
  <si>
    <t>Hesham Mohamed</t>
  </si>
  <si>
    <t>p_9883af8cfc579b16350dae7812b99afce5fc6ca1@inbound.aiesec.org</t>
  </si>
  <si>
    <t>2023-06-03T10:40:40Z</t>
  </si>
  <si>
    <t>5241581_1294232</t>
  </si>
  <si>
    <t>abdullah ağaç</t>
  </si>
  <si>
    <t>p_fc01ff242f9edcbfac6130769b3b26aad1c15189@inbound.aiesec.org</t>
  </si>
  <si>
    <t>https://expa.aiesec.org/opportunities/1294232</t>
  </si>
  <si>
    <t>2023-04-13T21:51:00Z</t>
  </si>
  <si>
    <t>5270092_1292556</t>
  </si>
  <si>
    <t>Daria Hvozdetska</t>
  </si>
  <si>
    <t>p_0526e4c48f740113d3968e8847c610fd83d4e452@inbound.aiesec.org</t>
  </si>
  <si>
    <t>2023-06-01T10:20:33Z</t>
  </si>
  <si>
    <t>5270718_1295811</t>
  </si>
  <si>
    <t>Edanur Gökten</t>
  </si>
  <si>
    <t>p_b0377a33ae48604203d6ac57467fcb679f6e8537@inbound.aiesec.org</t>
  </si>
  <si>
    <t>https://expa.aiesec.org/opportunities/1295811</t>
  </si>
  <si>
    <t>Digital Markting Internship</t>
  </si>
  <si>
    <t>2023-06-02T16:18:02Z</t>
  </si>
  <si>
    <t>3924567_1295075</t>
  </si>
  <si>
    <t>Zeynep Avci</t>
  </si>
  <si>
    <t>p_429524b88e1cd1913fb0d4a7220a5a61da6f803a@inbound.aiesec.org</t>
  </si>
  <si>
    <t>https://expa.aiesec.org/opportunities/1295075</t>
  </si>
  <si>
    <t>2019-10-25T09:36:47Z</t>
  </si>
  <si>
    <t>5269696_1290560</t>
  </si>
  <si>
    <t>Zeynep Duru Bakır</t>
  </si>
  <si>
    <t>p_c8224edb1b2daf1712964cd1779735c40cad22fa@inbound.aiesec.org</t>
  </si>
  <si>
    <t>https://expa.aiesec.org/opportunities/1290560</t>
  </si>
  <si>
    <t>2023-05-31T15:11:24Z</t>
  </si>
  <si>
    <t>5269685_1294203</t>
  </si>
  <si>
    <t>Emirhan Çamlıca</t>
  </si>
  <si>
    <t>p_c4e6c94cddf20202ced44d77d9767fbaeb025772@inbound.aiesec.org</t>
  </si>
  <si>
    <t>https://expa.aiesec.org/opportunities/1294203</t>
  </si>
  <si>
    <t>2023-05-31T15:04:57Z</t>
  </si>
  <si>
    <t>5269552_1293755</t>
  </si>
  <si>
    <t>Jailan Anies</t>
  </si>
  <si>
    <t>p_4f84aa7ac82632234f1e08e9e1299f3ae8705fcf@inbound.aiesec.org</t>
  </si>
  <si>
    <t>2023-05-31T13:18:18Z</t>
  </si>
  <si>
    <t>4672298_1295010</t>
  </si>
  <si>
    <t>sedanur kömürcü</t>
  </si>
  <si>
    <t>p_1e682b86eebaaca9ef15be6387ac95cdd6c6cb4f@inbound.aiesec.org</t>
  </si>
  <si>
    <t>https://expa.aiesec.org/opportunities/1295010</t>
  </si>
  <si>
    <t>2021-06-20T09:15:33Z</t>
  </si>
  <si>
    <t>5266183_1294997</t>
  </si>
  <si>
    <t>Fırat Şanal</t>
  </si>
  <si>
    <t>p_1c1a9721d7188fc409b269a5f2b11535fbb1877f@inbound.aiesec.org</t>
  </si>
  <si>
    <t>2023-05-24T19:08:57Z</t>
  </si>
  <si>
    <t>5272097_1294332</t>
  </si>
  <si>
    <t>Abdullah Taha Mady</t>
  </si>
  <si>
    <t>p_7da69dd7390813aa5607dc4a51d4bb21f19d5ba1@inbound.aiesec.org</t>
  </si>
  <si>
    <t>2023-06-06T15:25:32Z</t>
  </si>
  <si>
    <t>5247928_1288721</t>
  </si>
  <si>
    <t>Rahma Bouzlima</t>
  </si>
  <si>
    <t>p_3a05ed1464b41bdff839e15ca74d7dc81625f23b@inbound.aiesec.org</t>
  </si>
  <si>
    <t>ISSAT Mahdia</t>
  </si>
  <si>
    <t>2023-04-23T19:12:32Z</t>
  </si>
  <si>
    <t>5160597_1295453</t>
  </si>
  <si>
    <t>wajahat lakhani</t>
  </si>
  <si>
    <t>p_5635e9ba141c2723b8a0bb21f09054c1c6eb8c01@inbound.aiesec.org</t>
  </si>
  <si>
    <t>2022-11-29T18:37:09Z</t>
  </si>
  <si>
    <t>5270075_1295575</t>
  </si>
  <si>
    <t>Asser Seddiq</t>
  </si>
  <si>
    <t>p_1bc91fc0477e78edf61ad3320a0478ebc1660c9b@inbound.aiesec.org</t>
  </si>
  <si>
    <t>2023-06-01T09:39:44Z</t>
  </si>
  <si>
    <t>4887595_1294209</t>
  </si>
  <si>
    <t>Sıla Coskun</t>
  </si>
  <si>
    <t>p_e4a9a17571ec685a8dca017f9b599f3a0600f837@inbound.aiesec.org</t>
  </si>
  <si>
    <t>2022-01-18T11:31:42Z</t>
  </si>
  <si>
    <t>5067630_1295793</t>
  </si>
  <si>
    <t>melih solmaz</t>
  </si>
  <si>
    <t>p_c0cb24326e958d18be21e688d7aaa09269b1c4ce@inbound.aiesec.org</t>
  </si>
  <si>
    <t>https://expa.aiesec.org/opportunities/1295793</t>
  </si>
  <si>
    <t>Mechanical Engineering Intern</t>
  </si>
  <si>
    <t>2022-06-02T14:13:44Z</t>
  </si>
  <si>
    <t>4993622_1294127</t>
  </si>
  <si>
    <t>Nour Sherif</t>
  </si>
  <si>
    <t>p_ba862b629278af667d8367232fde07207294bf27@inbound.aiesec.org</t>
  </si>
  <si>
    <t>2022-03-19T16:06:18Z</t>
  </si>
  <si>
    <t>5170002_1294127</t>
  </si>
  <si>
    <t>Hager Ibrahem</t>
  </si>
  <si>
    <t>p_9a7f7725278449bb28623fdf4986f5e7183cf33a@inbound.aiesec.org</t>
  </si>
  <si>
    <t>2022-12-24T20:34:40Z</t>
  </si>
  <si>
    <t>5106611_1292793</t>
  </si>
  <si>
    <t>Andjela Stojanovic</t>
  </si>
  <si>
    <t>p_5536dd255898f664558f01f2429d68efde6fab4b@inbound.aiesec.org</t>
  </si>
  <si>
    <t>2022-09-06T10:36:55Z</t>
  </si>
  <si>
    <t>5249791_1295453</t>
  </si>
  <si>
    <t>Anmol Kumari</t>
  </si>
  <si>
    <t>p_4ca653964061890f20bc1189e331f6ca00b3656b@inbound.aiesec.org</t>
  </si>
  <si>
    <t>2023-04-26T11:22:10Z</t>
  </si>
  <si>
    <t>5231317_1282257</t>
  </si>
  <si>
    <t>dilanur Aktepe</t>
  </si>
  <si>
    <t>p_2be5ee25ed327c686d22afc3498fffc9532dda70@inbound.aiesec.org</t>
  </si>
  <si>
    <t>https://expa.aiesec.org/opportunities/1282257</t>
  </si>
  <si>
    <t>2023-03-30T18:44:10Z</t>
  </si>
  <si>
    <t>5262773_1292709</t>
  </si>
  <si>
    <t>eylül karadeveci</t>
  </si>
  <si>
    <t>p_af2dc5f58972c25f5633e5f24fe1bc0526d2c32e@inbound.aiesec.org</t>
  </si>
  <si>
    <t>OLOMOUC</t>
  </si>
  <si>
    <t>https://expa.aiesec.org/opportunities/1292709</t>
  </si>
  <si>
    <t>2023-05-18T09:09:51Z</t>
  </si>
  <si>
    <t>5143404_1287702</t>
  </si>
  <si>
    <t>Nourhene Lalaoui</t>
  </si>
  <si>
    <t>p_139ee5a193fd76da97472e23824beab636cc692b@inbound.aiesec.org</t>
  </si>
  <si>
    <t>2022-10-30T22:28:50Z</t>
  </si>
  <si>
    <t>5260011_1293504</t>
  </si>
  <si>
    <t>Cansu Kumrular</t>
  </si>
  <si>
    <t>p_005ac349420c16e9b297ef3d7fd69f61cf6611cc@inbound.aiesec.org</t>
  </si>
  <si>
    <t>https://expa.aiesec.org/opportunities/1293504</t>
  </si>
  <si>
    <t>2023-05-12T14:00:37Z</t>
  </si>
  <si>
    <t>5272332_1295453</t>
  </si>
  <si>
    <t>Usman Ahmad</t>
  </si>
  <si>
    <t>p_2bf92edb19e4b7e6286f2df7b8461a5c8f308394@inbound.aiesec.org</t>
  </si>
  <si>
    <t xml:space="preserve">Lahore - FAST NUCES </t>
  </si>
  <si>
    <t>2023-06-07T09:06:05Z</t>
  </si>
  <si>
    <t>5233010_1294061</t>
  </si>
  <si>
    <t>Asma Zehi</t>
  </si>
  <si>
    <t>p_e000ddea3814653477be8e57943228b9b2836f7d@inbound.aiesec.org</t>
  </si>
  <si>
    <t>2023-04-01T23:47:12Z</t>
  </si>
  <si>
    <t>5196010_1295575</t>
  </si>
  <si>
    <t>Hossam Ali</t>
  </si>
  <si>
    <t>p_530ed4a2e3b86564f931bb4c78282197e5bb5f3a@inbound.aiesec.org</t>
  </si>
  <si>
    <t>2023-02-21T14:52:29Z</t>
  </si>
  <si>
    <t>5269990_1295575</t>
  </si>
  <si>
    <t>Jumana Elshagie</t>
  </si>
  <si>
    <t>p_060e4845da7e220117e669049d3554f287a62412@inbound.aiesec.org</t>
  </si>
  <si>
    <t>2023-06-01T04:55:08Z</t>
  </si>
  <si>
    <t>5271280_1259741</t>
  </si>
  <si>
    <t>Hamza Ahmed</t>
  </si>
  <si>
    <t>p_4521412a0f8772ccbecb3acbeaa33f1e343d523f@inbound.aiesec.org</t>
  </si>
  <si>
    <t>https://expa.aiesec.org/opportunities/1259741</t>
  </si>
  <si>
    <t>2023-06-04T11:51:23Z</t>
  </si>
  <si>
    <t>5270685_1288280</t>
  </si>
  <si>
    <t>nouran ibrahim</t>
  </si>
  <si>
    <t>p_6f299ab2b8e9dbf8947e4d51041cc97e4fce8f9e@inbound.aiesec.org</t>
  </si>
  <si>
    <t>Chinese University</t>
  </si>
  <si>
    <t>2023-06-02T15:06:50Z</t>
  </si>
  <si>
    <t>5268269_1278703</t>
  </si>
  <si>
    <t>Valeria Efimova</t>
  </si>
  <si>
    <t>p_0630582a0b962d49fe9cd6cfedbf7316731a50e6@inbound.aiesec.org</t>
  </si>
  <si>
    <t>2023-05-29T12:48:21Z</t>
  </si>
  <si>
    <t>5269908_1294486</t>
  </si>
  <si>
    <t>Hüdanur Keskin</t>
  </si>
  <si>
    <t>p_feb67850c5cade469ede1d6cb78837f5cd437a11@inbound.aiesec.org</t>
  </si>
  <si>
    <t>https://expa.aiesec.org/opportunities/1294486</t>
  </si>
  <si>
    <t>2023-05-31T22:16:35Z</t>
  </si>
  <si>
    <t>5269308_1294062</t>
  </si>
  <si>
    <t>Meryem Çakar</t>
  </si>
  <si>
    <t>p_5d88414b738ad9d0b16cb57e81db53a1a13462f0@inbound.aiesec.org</t>
  </si>
  <si>
    <t>2023-05-31T08:07:02Z</t>
  </si>
  <si>
    <t>5269288_1287380</t>
  </si>
  <si>
    <t>Fang Li</t>
  </si>
  <si>
    <t>p_8d9e50d38a91fff9c00563bbc4e656408cce98d6@inbound.aiesec.org</t>
  </si>
  <si>
    <t>Wenzhou</t>
  </si>
  <si>
    <t>2023-05-31T07:24:23Z</t>
  </si>
  <si>
    <t>3791073_1294473</t>
  </si>
  <si>
    <t>Letizia Porcu</t>
  </si>
  <si>
    <t>p_1d41e534765767e36857d0932f473f32ecb5613f@inbound.aiesec.org</t>
  </si>
  <si>
    <t>https://expa.aiesec.org/opportunities/1294473</t>
  </si>
  <si>
    <t>English Teacher | Dudu Akademi</t>
  </si>
  <si>
    <t>2019-08-25T19:10:32Z</t>
  </si>
  <si>
    <t>5265552_1288836</t>
  </si>
  <si>
    <t>Nur Sena Bükün</t>
  </si>
  <si>
    <t>p_0c21ee8461fc141768f8189ff7dfb85757e722be@inbound.aiesec.org</t>
  </si>
  <si>
    <t>FHCMC</t>
  </si>
  <si>
    <t>https://expa.aiesec.org/opportunities/1288836</t>
  </si>
  <si>
    <t>English Teacher at SuperKids English Center</t>
  </si>
  <si>
    <t>2023-05-23T19:24:19Z</t>
  </si>
  <si>
    <t>5273114_1296108</t>
  </si>
  <si>
    <t>furkan mutlu</t>
  </si>
  <si>
    <t>p_045d1ee2ff886974e70cbd919e02633bc4bf3a5f@inbound.aiesec.org</t>
  </si>
  <si>
    <t>https://expa.aiesec.org/opportunities/1296108</t>
  </si>
  <si>
    <t>Industrial Engineering</t>
  </si>
  <si>
    <t>2023-06-08T20:54:38Z</t>
  </si>
  <si>
    <t>5272419_1294211</t>
  </si>
  <si>
    <t>Haifa khlifi</t>
  </si>
  <si>
    <t>p_4d8addaca5e6f78a829a3fe04cac5db78e0d9c85@inbound.aiesec.org</t>
  </si>
  <si>
    <t>https://expa.aiesec.org/opportunities/1294211</t>
  </si>
  <si>
    <t>2023-06-07T11:53:34Z</t>
  </si>
  <si>
    <t>5075210_1289850</t>
  </si>
  <si>
    <t>Şekiba Mullahzade</t>
  </si>
  <si>
    <t>p_fadf746331a3b53d4f21a82b299160a0f7683428@inbound.aiesec.org</t>
  </si>
  <si>
    <t>2022-06-21T16:58:10Z</t>
  </si>
  <si>
    <t>5264608_1295261</t>
  </si>
  <si>
    <t>Sarra Ayari</t>
  </si>
  <si>
    <t>p_821e43827d821ae495812bd7ae586edcf5bb1c7b@inbound.aiesec.org</t>
  </si>
  <si>
    <t>2023-05-21T20:48:04Z</t>
  </si>
  <si>
    <t>5272060_1295599</t>
  </si>
  <si>
    <t>p_9e421e89c0b5671b7cfa8da09326c98bc47920e3@inbound.aiesec.org</t>
  </si>
  <si>
    <t>https://expa.aiesec.org/opportunities/1295599</t>
  </si>
  <si>
    <t>2023-06-06T13:46:58Z</t>
  </si>
  <si>
    <t>5131466_1294636</t>
  </si>
  <si>
    <t>https://expa.aiesec.org/opportunities/1294636</t>
  </si>
  <si>
    <t>Kindergarden English Teacher at Ihsan International School</t>
  </si>
  <si>
    <t>5077290_1294878</t>
  </si>
  <si>
    <t>roua boufaid</t>
  </si>
  <si>
    <t>p_735f65e454b0bfc40e4fb38483cbede05b08029d@inbound.aiesec.org</t>
  </si>
  <si>
    <t>https://expa.aiesec.org/opportunities/1294878</t>
  </si>
  <si>
    <t>2022-06-27T21:29:21Z</t>
  </si>
  <si>
    <t>5272501_1285555</t>
  </si>
  <si>
    <t>Oussama Kahila</t>
  </si>
  <si>
    <t>p_18e200cabcfb4ed0c0d497f7600a63544a403607@inbound.aiesec.org</t>
  </si>
  <si>
    <t>2023-06-07T14:52:11Z</t>
  </si>
  <si>
    <t>5272513_1293742</t>
  </si>
  <si>
    <t>Mehmet uğur Şahin</t>
  </si>
  <si>
    <t>p_df797c0b54963ec6e7b68372fe0af0a503706e8e@inbound.aiesec.org</t>
  </si>
  <si>
    <t>2023-06-07T15:08:02Z</t>
  </si>
  <si>
    <t>4580838_1293407</t>
  </si>
  <si>
    <t>SARRA ADDED</t>
  </si>
  <si>
    <t>p_7d95a1932190e972c1063487e48ea2e17adeb753@inbound.aiesec.org</t>
  </si>
  <si>
    <t>https://expa.aiesec.org/opportunities/1293407</t>
  </si>
  <si>
    <t>2021-03-16T17:29:20Z</t>
  </si>
  <si>
    <t>5272372_1295716</t>
  </si>
  <si>
    <t>Esraa Khattab</t>
  </si>
  <si>
    <t>p_f3775c3caaf0f4f796fbb8cf80fbc0c4a37d7755@inbound.aiesec.org</t>
  </si>
  <si>
    <t>https://expa.aiesec.org/opportunities/1295716</t>
  </si>
  <si>
    <t>2023-06-07T10:33:35Z</t>
  </si>
  <si>
    <t>5268979_1293861</t>
  </si>
  <si>
    <t>Elif Polatöz</t>
  </si>
  <si>
    <t>p_95b138c87cf4cfea964a62509eac9453ad64d9db@inbound.aiesec.org</t>
  </si>
  <si>
    <t>2023-05-30T18:05:47Z</t>
  </si>
  <si>
    <t>5271701_1294997</t>
  </si>
  <si>
    <t>ramazan öztürk</t>
  </si>
  <si>
    <t>p_efacf02cad4b82d602a9287fa8434503e2270cd4@inbound.aiesec.org</t>
  </si>
  <si>
    <t>2023-06-05T15:16:32Z</t>
  </si>
  <si>
    <t>5267479_1293407</t>
  </si>
  <si>
    <t>Hasna Bard</t>
  </si>
  <si>
    <t>p_fc0779984339118fc1fa188eba38fa4df8b06827@inbound.aiesec.org</t>
  </si>
  <si>
    <t>2023-05-27T12:06:44Z</t>
  </si>
  <si>
    <t>5253866_1291336</t>
  </si>
  <si>
    <t>SAYAZHAN ORALBEKOVA</t>
  </si>
  <si>
    <t>p_730fd3df55bf6f7aba19df58228af69646ef9ab9@inbound.aiesec.org</t>
  </si>
  <si>
    <t>2023-05-01T18:27:19Z</t>
  </si>
  <si>
    <t>5272442_1295434</t>
  </si>
  <si>
    <t>Bejaoui Safe</t>
  </si>
  <si>
    <t>p_018eea41b2c21016b2ac8aa4cba544dcd1b8d14f@inbound.aiesec.org</t>
  </si>
  <si>
    <t>https://expa.aiesec.org/opportunities/1295434</t>
  </si>
  <si>
    <t>Social Media Designer</t>
  </si>
  <si>
    <t>2023-06-07T12:49:17Z</t>
  </si>
  <si>
    <t>5272840_1286369</t>
  </si>
  <si>
    <t>Mariem Maamouri</t>
  </si>
  <si>
    <t>p_d51c50a692a8d01aa69653f25227e4a903c8d15e@inbound.aiesec.org</t>
  </si>
  <si>
    <t>https://expa.aiesec.org/opportunities/1286369</t>
  </si>
  <si>
    <t>2023-06-08T09:52:34Z</t>
  </si>
  <si>
    <t>5272599_1295514</t>
  </si>
  <si>
    <t>Zahra Belkhiria</t>
  </si>
  <si>
    <t>p_ee833837fab16474aac10d4cb03c0c70b7420c55@inbound.aiesec.org</t>
  </si>
  <si>
    <t>https://expa.aiesec.org/opportunities/1295514</t>
  </si>
  <si>
    <t>2023-06-07T18:30:40Z</t>
  </si>
  <si>
    <t>5239754_1294061</t>
  </si>
  <si>
    <t>Mohamed dhia eddine Boudali</t>
  </si>
  <si>
    <t>p_20c387a8e5b72bf789bf0411e840876c042d2fa5@inbound.aiesec.org</t>
  </si>
  <si>
    <t>2023-04-11T18:17:04Z</t>
  </si>
  <si>
    <t>5272128_1292482</t>
  </si>
  <si>
    <t>Şevval Köse</t>
  </si>
  <si>
    <t>p_ce514c1aa1cae42c4e63a1c9c55d1b9c26e5ffb7@inbound.aiesec.org</t>
  </si>
  <si>
    <t>https://expa.aiesec.org/opportunities/1292482</t>
  </si>
  <si>
    <t>2023-06-06T17:03:04Z</t>
  </si>
  <si>
    <t>5177251_1295408</t>
  </si>
  <si>
    <t>Samia Tika</t>
  </si>
  <si>
    <t>p_7a197bf203ab79a9b500d4a54ca3f34cc1d139e3@inbound.aiesec.org</t>
  </si>
  <si>
    <t>https://expa.aiesec.org/opportunities/1295408</t>
  </si>
  <si>
    <t>2023-01-16T19:56:28Z</t>
  </si>
  <si>
    <t>5271435_1285555</t>
  </si>
  <si>
    <t>Cyrine Lamine</t>
  </si>
  <si>
    <t>p_269e9ccd5c45784c85ea6916b23bdb6aaf6dd6a9@inbound.aiesec.org</t>
  </si>
  <si>
    <t>2023-06-04T21:12:12Z</t>
  </si>
  <si>
    <t>3611511_1295457</t>
  </si>
  <si>
    <t>Ferroudji Chahinez</t>
  </si>
  <si>
    <t>p_ae451739e386f7bfa87625e9f2734154008afcc8@inbound.aiesec.org</t>
  </si>
  <si>
    <t>https://expa.aiesec.org/opportunities/1295457</t>
  </si>
  <si>
    <t>2019-07-06T16:37:57Z</t>
  </si>
  <si>
    <t>2610149_1295453</t>
  </si>
  <si>
    <t>harizi abdallah</t>
  </si>
  <si>
    <t>p_f0899d87206c3df6bba1807602d73a3b6eb58a47@inbound.aiesec.org</t>
  </si>
  <si>
    <t>2018-10-05T21:04:22Z</t>
  </si>
  <si>
    <t>5267508_1292793</t>
  </si>
  <si>
    <t>Andjela Stankovic</t>
  </si>
  <si>
    <t>p_7d5bad46f2972e78a7f8a7909727b979b5ef6003@inbound.aiesec.org</t>
  </si>
  <si>
    <t>2023-05-27T13:23:00Z</t>
  </si>
  <si>
    <t>5264104_1290731</t>
  </si>
  <si>
    <t>Vidah Yeboah</t>
  </si>
  <si>
    <t>p_ec459c8d0722769c05f299b2345f21a1ec597edc@inbound.aiesec.org</t>
  </si>
  <si>
    <t>https://expa.aiesec.org/opportunities/1290731</t>
  </si>
  <si>
    <t>English Time</t>
  </si>
  <si>
    <t>Accra - Regional Maritime University</t>
  </si>
  <si>
    <t>2023-05-20T13:35:33Z</t>
  </si>
  <si>
    <t>5273366_1285905</t>
  </si>
  <si>
    <t>Fatih Olgun</t>
  </si>
  <si>
    <t>p_7fda315b1ab12cb0faf6b3d90242de4c17b6478e@inbound.aiesec.org</t>
  </si>
  <si>
    <t>2023-06-09T15:01:06Z</t>
  </si>
  <si>
    <t>5271525_1293726</t>
  </si>
  <si>
    <t>Fidan Ibadzadə</t>
  </si>
  <si>
    <t>p_1bd873d30eb5f93354ea1bd443266f5a8c6aeb86@inbound.aiesec.org</t>
  </si>
  <si>
    <t>Baku Business University</t>
  </si>
  <si>
    <t>2023-06-05T07:36:20Z</t>
  </si>
  <si>
    <t>5271978_1293944</t>
  </si>
  <si>
    <t>p_4816ea557c4649a6804e9bded427c96426d338e4@inbound.aiesec.org</t>
  </si>
  <si>
    <t>2023-06-06T09:29:24Z</t>
  </si>
  <si>
    <t>5253125_1295458</t>
  </si>
  <si>
    <t>AHMED KHATTARA</t>
  </si>
  <si>
    <t>p_3b764d0209ed82380d42aeeb097a43046b78212b@inbound.aiesec.org</t>
  </si>
  <si>
    <t>https://expa.aiesec.org/opportunities/1295458</t>
  </si>
  <si>
    <t>2023-04-30T13:29:04Z</t>
  </si>
  <si>
    <t>5048545_1295457</t>
  </si>
  <si>
    <t>Nirmal Aahooja</t>
  </si>
  <si>
    <t>p_faf725f9599d76a6ade6f9198b6f7ecdeec2380c@inbound.aiesec.org</t>
  </si>
  <si>
    <t>Karachi - Iqra University</t>
  </si>
  <si>
    <t>2022-04-29T12:31:54Z</t>
  </si>
  <si>
    <t>5239087_1292688</t>
  </si>
  <si>
    <t>Efidar Keskinbıçak</t>
  </si>
  <si>
    <t>p_b854dbfca7d12ef9a30de66df4b8b5bfc9164f73@inbound.aiesec.org</t>
  </si>
  <si>
    <t>https://expa.aiesec.org/opportunities/1292688</t>
  </si>
  <si>
    <t>Backend Developer</t>
  </si>
  <si>
    <t>2023-04-10T19:34:06Z</t>
  </si>
  <si>
    <t>2250493_1283288</t>
  </si>
  <si>
    <t>Amr Hossam Eldeen</t>
  </si>
  <si>
    <t>p_5f7dd47f7bd5263d845b4fc4bfdf6b23b3abc233@inbound.aiesec.org</t>
  </si>
  <si>
    <t>2018-04-23T11:51:03Z</t>
  </si>
  <si>
    <t>5273866_1292298</t>
  </si>
  <si>
    <t>p_af2b73dab2811e0f745996910941184ecc30f373@inbound.aiesec.org</t>
  </si>
  <si>
    <t>2023-06-11T10:13:42Z</t>
  </si>
  <si>
    <t>3253252_1296080</t>
  </si>
  <si>
    <t>Oussema Tamallah</t>
  </si>
  <si>
    <t>p_15335f988b266a3789f0b38cf0eb61d262bf5873@inbound.aiesec.org</t>
  </si>
  <si>
    <t>https://expa.aiesec.org/opportunities/1296080</t>
  </si>
  <si>
    <t>Mechanical Engineer in Istanbul</t>
  </si>
  <si>
    <t>2019-03-22T08:27:26Z</t>
  </si>
  <si>
    <t>5267952_1293504</t>
  </si>
  <si>
    <t>Cansu Genç</t>
  </si>
  <si>
    <t>p_9b71c6f7f4887a4df757bb33f11f875cd0667260@inbound.aiesec.org</t>
  </si>
  <si>
    <t>2023-05-28T16:08:07Z</t>
  </si>
  <si>
    <t>5269870_1292773</t>
  </si>
  <si>
    <t>Akua Achiaa Amoako</t>
  </si>
  <si>
    <t>p_86bd7f83796079dbfc15af17c6d5c41ccb4b970b@inbound.aiesec.org</t>
  </si>
  <si>
    <t>2023-05-31T20:21:42Z</t>
  </si>
  <si>
    <t>5265462_1295749</t>
  </si>
  <si>
    <t>Yiğithan Alaybaşı</t>
  </si>
  <si>
    <t>p_702b449a2f07a6a16897aa74ab13fb7718f74e5f@inbound.aiesec.org</t>
  </si>
  <si>
    <t>https://expa.aiesec.org/opportunities/1295749</t>
  </si>
  <si>
    <t>2023-05-23T15:53:12Z</t>
  </si>
  <si>
    <t>5236280_1294452</t>
  </si>
  <si>
    <t>5259195_1285687</t>
  </si>
  <si>
    <t>Poomrapee Sommana</t>
  </si>
  <si>
    <t>p_1e7e71310194c83e0aa0de68bd61f03768eb4939@inbound.aiesec.org</t>
  </si>
  <si>
    <t>2023-05-10T20:41:29Z</t>
  </si>
  <si>
    <t>5223683_1289536</t>
  </si>
  <si>
    <t>Tudor Constantinescu</t>
  </si>
  <si>
    <t>p_dc98d403dcee7e4437419c77a5eb30fc79820973@inbound.aiesec.org</t>
  </si>
  <si>
    <t>2023-03-22T11:28:58Z</t>
  </si>
  <si>
    <t>5174306_1294941</t>
  </si>
  <si>
    <t>AICHA BOUFENCHOUCHA</t>
  </si>
  <si>
    <t>p_654e5194ce3af14e8685c6d0412ff8612d542f7c@inbound.aiesec.org</t>
  </si>
  <si>
    <t>2023-01-08T13:05:21Z</t>
  </si>
  <si>
    <t>4663622_1264946</t>
  </si>
  <si>
    <t>Monika Marshela Tiurnauli Simbolon</t>
  </si>
  <si>
    <t>p_25feeddc1f2c1f43170a109442ec6ec66359d75d@inbound.aiesec.org</t>
  </si>
  <si>
    <t>Semarang</t>
  </si>
  <si>
    <t>Universitas Diponegoro</t>
  </si>
  <si>
    <t>2021-06-09T12:49:36Z</t>
  </si>
  <si>
    <t>5241754_1286368</t>
  </si>
  <si>
    <t>Yuliia Hunko</t>
  </si>
  <si>
    <t>p_2d8a620a2526abec5b280ba6949498608f5e741e@inbound.aiesec.org</t>
  </si>
  <si>
    <t>2023-04-14T06:38:13Z</t>
  </si>
  <si>
    <t>5236963_1295811</t>
  </si>
  <si>
    <t>Naile Çetiner</t>
  </si>
  <si>
    <t>p_a426861ee19dbef28965dfbef44b37174d0d75f6@inbound.aiesec.org</t>
  </si>
  <si>
    <t>2023-04-07T09:40:19Z</t>
  </si>
  <si>
    <t>5274035_1289255</t>
  </si>
  <si>
    <t>Houda Mouaouia</t>
  </si>
  <si>
    <t>p_4d7e1968ad45f66b88fa1101311db410b30f1a8c@inbound.aiesec.org</t>
  </si>
  <si>
    <t>ISTAH Mohammadia</t>
  </si>
  <si>
    <t>2023-06-11T21:22:54Z</t>
  </si>
  <si>
    <t>5195767_1295461</t>
  </si>
  <si>
    <t>Sara Diaa</t>
  </si>
  <si>
    <t>p_a35fcf98eef4fd9f1b05b793ba3d5924e247a779@inbound.aiesec.org</t>
  </si>
  <si>
    <t>https://expa.aiesec.org/opportunities/1295461</t>
  </si>
  <si>
    <t>2023-02-21T09:55:54Z</t>
  </si>
  <si>
    <t>5260204_1296118</t>
  </si>
  <si>
    <t>Aleksa Dabic</t>
  </si>
  <si>
    <t>p_ed346c3c58e6e3cd5728531c5ceabdebb6f75dbd@inbound.aiesec.org</t>
  </si>
  <si>
    <t>BANjA LUKA</t>
  </si>
  <si>
    <t>https://expa.aiesec.org/opportunities/1296118</t>
  </si>
  <si>
    <t>Banja Luka</t>
  </si>
  <si>
    <t>2023-05-12T20:39:39Z</t>
  </si>
  <si>
    <t>5032438_1295458</t>
  </si>
  <si>
    <t>aziz ben nessir</t>
  </si>
  <si>
    <t>p_e43a169dcb69331a5711b1447877b6e70766cae9@inbound.aiesec.org</t>
  </si>
  <si>
    <t>2022-04-09T15:02:08Z</t>
  </si>
  <si>
    <t>5264629_1295461</t>
  </si>
  <si>
    <t>Hajer Arrad</t>
  </si>
  <si>
    <t>p_6bc50f8a26a238d3ef0553eff2b267f45c89ac34@inbound.aiesec.org</t>
  </si>
  <si>
    <t>École normale supérieure</t>
  </si>
  <si>
    <t>2023-05-21T21:51:04Z</t>
  </si>
  <si>
    <t>5265321_1291252</t>
  </si>
  <si>
    <t>Roxana Haiduc</t>
  </si>
  <si>
    <t>p_0e8b033938c21a79e13977e7cd69c1e24a6f3640@inbound.aiesec.org</t>
  </si>
  <si>
    <t>2023-05-23T11:06:26Z</t>
  </si>
  <si>
    <t>5271303_1293726</t>
  </si>
  <si>
    <t>Aidana Shman</t>
  </si>
  <si>
    <t>p_67cf88ecc2bc8f49fdc017c76ed5ea61c5d750a1@inbound.aiesec.org</t>
  </si>
  <si>
    <t>2023-06-04T13:16:10Z</t>
  </si>
  <si>
    <t>5140907_1295404</t>
  </si>
  <si>
    <t>Manaal Siddiq</t>
  </si>
  <si>
    <t>p_0dc7537d737ca046f1cfb9cb7ec640334595faf8@inbound.aiesec.org</t>
  </si>
  <si>
    <t>https://expa.aiesec.org/opportunities/1295404</t>
  </si>
  <si>
    <t>2022-10-26T15:05:23Z</t>
  </si>
  <si>
    <t>5271167_1294488</t>
  </si>
  <si>
    <t>p_fcbaf72da52ace8c07e420fad4cef0486b63a302@inbound.aiesec.org</t>
  </si>
  <si>
    <t>2023-06-03T21:59:25Z</t>
  </si>
  <si>
    <t>4614059_1288490</t>
  </si>
  <si>
    <t>Rana Hammam</t>
  </si>
  <si>
    <t>p_296c14b651d30939f0604a84d8fbfeea107dfb96@inbound.aiesec.org</t>
  </si>
  <si>
    <t>2021-04-12T16:51:52Z</t>
  </si>
  <si>
    <t>5257898_1278774</t>
  </si>
  <si>
    <t>Mounia Boutaous</t>
  </si>
  <si>
    <t>p_b80c04e27c051fdf6e06b8792bc61dc9eea11cec@inbound.aiesec.org</t>
  </si>
  <si>
    <t>2023-05-08T20:05:05Z</t>
  </si>
  <si>
    <t>5044005_1295438</t>
  </si>
  <si>
    <t>Zeynep Sekin</t>
  </si>
  <si>
    <t>p_7352cd6ac37bba9e5b222c5e326bd1989dfcab2c@inbound.aiesec.org</t>
  </si>
  <si>
    <t>https://expa.aiesec.org/opportunities/1295438</t>
  </si>
  <si>
    <t>2022-04-22T16:08:03Z</t>
  </si>
  <si>
    <t>1526407_1295459</t>
  </si>
  <si>
    <t>sana awafi salhi</t>
  </si>
  <si>
    <t>p_f0ab536f34ada157624733c23559741ce57f2146@inbound.aiesec.org</t>
  </si>
  <si>
    <t>https://expa.aiesec.org/opportunities/1295459</t>
  </si>
  <si>
    <t>2017-04-24T22:28:45Z</t>
  </si>
  <si>
    <t>5264197_1295811</t>
  </si>
  <si>
    <t>Asım Dağ</t>
  </si>
  <si>
    <t>p_2c88abad9fb0f04c0eaba59d27c001119acaf691@inbound.aiesec.org</t>
  </si>
  <si>
    <t>2023-05-20T17:21:11Z</t>
  </si>
  <si>
    <t>5167031_1294878</t>
  </si>
  <si>
    <t>omnia zaghloul</t>
  </si>
  <si>
    <t>p_0313a62f2ffb5ae8e6237b2027d507356e7e5e11@inbound.aiesec.org</t>
  </si>
  <si>
    <t>New Giza University</t>
  </si>
  <si>
    <t>2022-12-16T20:40:28Z</t>
  </si>
  <si>
    <t>4971938_1295261</t>
  </si>
  <si>
    <t>Anita Grnja</t>
  </si>
  <si>
    <t>p_91aa123b7ae30a72fb172ee6924ce62e60b147ac@inbound.aiesec.org</t>
  </si>
  <si>
    <t>2022-03-08T19:21:02Z</t>
  </si>
  <si>
    <t>5273583_1289255</t>
  </si>
  <si>
    <t>Naseer Ali Awan</t>
  </si>
  <si>
    <t>p_451d785d923dce4ae0d7cc523b5c6ce2969f0053@inbound.aiesec.org</t>
  </si>
  <si>
    <t>2023-06-10T09:08:40Z</t>
  </si>
  <si>
    <t>3226700_1294452</t>
  </si>
  <si>
    <t>Fatema Alhagar</t>
  </si>
  <si>
    <t>p_915deabdb39b011191cbb752d9c2750fd674c9c0@inbound.aiesec.org</t>
  </si>
  <si>
    <t>2019-03-15T18:07:58Z</t>
  </si>
  <si>
    <t>5270191_1295118</t>
  </si>
  <si>
    <t>Nilüfer Geyik</t>
  </si>
  <si>
    <t>p_9f8c56330a7dd06813afd00472fd03556e921cda@inbound.aiesec.org</t>
  </si>
  <si>
    <t>https://expa.aiesec.org/opportunities/1295118</t>
  </si>
  <si>
    <t>2023-06-01T13:29:00Z</t>
  </si>
  <si>
    <t>5264165_1284976</t>
  </si>
  <si>
    <t>Fatma Samy Faisal</t>
  </si>
  <si>
    <t>p_4f138c8388a3069983edf3a0c0dd7c48de27f652@inbound.aiesec.org</t>
  </si>
  <si>
    <t>2023-05-20T16:09:04Z</t>
  </si>
  <si>
    <t>5237076_1293243</t>
  </si>
  <si>
    <t>RAHEEL AHMAD</t>
  </si>
  <si>
    <t>p_39cbecc42f020a9bcefedaa2f5fa63f2fcaf1c76@inbound.aiesec.org</t>
  </si>
  <si>
    <t>Multan</t>
  </si>
  <si>
    <t>Multan - Bahauddin Zakariya University (BZU)</t>
  </si>
  <si>
    <t>2023-04-07T13:15:11Z</t>
  </si>
  <si>
    <t>5249196_1292773</t>
  </si>
  <si>
    <t>Rowayda Abdelwahed</t>
  </si>
  <si>
    <t>p_5d743d447e6c677db8f3c6173444f28ce2b83107@inbound.aiesec.org</t>
  </si>
  <si>
    <t>2023-04-25T16:06:07Z</t>
  </si>
  <si>
    <t>5275412_1294061</t>
  </si>
  <si>
    <t>rim tlili</t>
  </si>
  <si>
    <t>p_bdcbf4e37deb98442a8d143b92a738cb7c8726a5@inbound.aiesec.org</t>
  </si>
  <si>
    <t>2023-06-14T21:23:45Z</t>
  </si>
  <si>
    <t>5275408_1294061</t>
  </si>
  <si>
    <t>nada kadhi</t>
  </si>
  <si>
    <t>p_0be961d807b6ae5bcd8c739a4bca363b01f6ee47@inbound.aiesec.org</t>
  </si>
  <si>
    <t>2023-06-14T21:06:01Z</t>
  </si>
  <si>
    <t>5274739_1289505</t>
  </si>
  <si>
    <t>hadil smida</t>
  </si>
  <si>
    <t>p_3cf3d0147231d756d3450bc13f00d4976e23f61e@inbound.aiesec.org</t>
  </si>
  <si>
    <t>2023-06-13T09:00:29Z</t>
  </si>
  <si>
    <t>5275266_1290024</t>
  </si>
  <si>
    <t>p_0063198f203bb75f38943944fc74301cd04b5127@inbound.aiesec.org</t>
  </si>
  <si>
    <t>2023-06-14T14:34:15Z</t>
  </si>
  <si>
    <t>5275262_1290024</t>
  </si>
  <si>
    <t>Ataberk Gül</t>
  </si>
  <si>
    <t>p_c73adc7053b9fa0a0863e45707a3acc263c4b80b@inbound.aiesec.org</t>
  </si>
  <si>
    <t>2023-06-14T14:24:06Z</t>
  </si>
  <si>
    <t>5218245_1293192</t>
  </si>
  <si>
    <t>Ufuk Levent</t>
  </si>
  <si>
    <t>p_373c9ac5e62abee5628944bee94bda1df6131d27@inbound.aiesec.org</t>
  </si>
  <si>
    <t>https://expa.aiesec.org/opportunities/1293192</t>
  </si>
  <si>
    <t>2023-03-16T10:53:15Z</t>
  </si>
  <si>
    <t>4327433_1278298</t>
  </si>
  <si>
    <t>p_19d133846cc3c56a29621e8b057370a056c0fda0@inbound.aiesec.org</t>
  </si>
  <si>
    <t>2020-07-11T13:35:02Z</t>
  </si>
  <si>
    <t>5274257_1296081</t>
  </si>
  <si>
    <t>Polina Savchenko</t>
  </si>
  <si>
    <t>p_fb16a25d9638476b972e96e4014d477a5931f4db@inbound.aiesec.org</t>
  </si>
  <si>
    <t>https://expa.aiesec.org/opportunities/1296081</t>
  </si>
  <si>
    <t>Customer Success Specialist in Istanbul</t>
  </si>
  <si>
    <t xml:space="preserve">Zaporizhzhia </t>
  </si>
  <si>
    <t>2023-06-12T10:02:48Z</t>
  </si>
  <si>
    <t>5181957_1296037</t>
  </si>
  <si>
    <t>Faxriyya Suleymanova</t>
  </si>
  <si>
    <t>p_97a636942e037803fd41100fca0e1a4fb8195bfd@inbound.aiesec.org</t>
  </si>
  <si>
    <t>https://expa.aiesec.org/opportunities/1296037</t>
  </si>
  <si>
    <t>2023-01-29T14:43:22Z</t>
  </si>
  <si>
    <t>5267348_1289505</t>
  </si>
  <si>
    <t>Marwa Magdy</t>
  </si>
  <si>
    <t>p_75e7699df7251936ac1b5db98f4811ba3d884b77@inbound.aiesec.org</t>
  </si>
  <si>
    <t>2023-05-27T01:27:00Z</t>
  </si>
  <si>
    <t>5176864_1296037</t>
  </si>
  <si>
    <t>Safura Hacıyeva</t>
  </si>
  <si>
    <t>p_4aa65622ec910794bc6ebd2693e20d2aa8648547@inbound.aiesec.org</t>
  </si>
  <si>
    <t>2023-01-15T20:46:13Z</t>
  </si>
  <si>
    <t>5268517_1287702</t>
  </si>
  <si>
    <t>Chaima Atri</t>
  </si>
  <si>
    <t>p_0fc2106b1980053636d567cc401e948575568882@inbound.aiesec.org</t>
  </si>
  <si>
    <t>2023-05-29T22:54:58Z</t>
  </si>
  <si>
    <t>5254591_1289228</t>
  </si>
  <si>
    <t>Chaimaa Elansali</t>
  </si>
  <si>
    <t>p_dd9d4a3bf6ef130d12f5a034d4e2339503d18ed3@inbound.aiesec.org</t>
  </si>
  <si>
    <t>2023-05-02T21:24:51Z</t>
  </si>
  <si>
    <t>5175816_1294551</t>
  </si>
  <si>
    <t>Abdul Kabir Bekzada</t>
  </si>
  <si>
    <t>p_60e34333efd30254052120af0d51a4d132ef3c49@inbound.aiesec.org</t>
  </si>
  <si>
    <t>https://expa.aiesec.org/opportunities/1294551</t>
  </si>
  <si>
    <t>2023-01-12T09:26:12Z</t>
  </si>
  <si>
    <t>5253677_1294675</t>
  </si>
  <si>
    <t>ABDUL SABOOR BEKZADA</t>
  </si>
  <si>
    <t>p_6aedaa0beeddd993f06fedce899dab63bb749afa@inbound.aiesec.org</t>
  </si>
  <si>
    <t>https://expa.aiesec.org/opportunities/1294675</t>
  </si>
  <si>
    <t>2023-05-01T13:12:49Z</t>
  </si>
  <si>
    <t>5230671_1287851</t>
  </si>
  <si>
    <t>Jacob Hamaker</t>
  </si>
  <si>
    <t>p_b523629c0182092e93dd7d1d8a4fb73fff00d85a@inbound.aiesec.org</t>
  </si>
  <si>
    <t>University of Washington – Seattle</t>
  </si>
  <si>
    <t>2023-03-30T03:54:17Z</t>
  </si>
  <si>
    <t>4552172_1294332</t>
  </si>
  <si>
    <t>Mohamed Mekawy</t>
  </si>
  <si>
    <t>p_a119f41f71d402d6bc1ef4899433c83cf613f0ea@inbound.aiesec.org</t>
  </si>
  <si>
    <t>2021-02-20T03:28:03Z</t>
  </si>
  <si>
    <t>5275618_1295404</t>
  </si>
  <si>
    <t>Hadj ali Nour</t>
  </si>
  <si>
    <t>p_59a19f5d94847e6f4c39d9333ca5b7f86355f6cf@inbound.aiesec.org</t>
  </si>
  <si>
    <t>2023-06-15T11:05:12Z</t>
  </si>
  <si>
    <t>5275623_1295453</t>
  </si>
  <si>
    <t>Muhammad Danish</t>
  </si>
  <si>
    <t>p_aa9431a4290d233cf2865041b5bd4ebda400add4@inbound.aiesec.org</t>
  </si>
  <si>
    <t>2023-06-15T11:24:33Z</t>
  </si>
  <si>
    <t>5274406_1295564</t>
  </si>
  <si>
    <t>Elif Sude Zeytin</t>
  </si>
  <si>
    <t>p_af558b4eb87e1533ff161e812c39354d509f685f@inbound.aiesec.org</t>
  </si>
  <si>
    <t>https://expa.aiesec.org/opportunities/1295564</t>
  </si>
  <si>
    <t>2023-06-12T14:04:30Z</t>
  </si>
  <si>
    <t>4959962_1291252</t>
  </si>
  <si>
    <t>Aisara Torekhan</t>
  </si>
  <si>
    <t>p_dc7093145b2fd674a1d39ca83effdfa7a8eb30e4@inbound.aiesec.org</t>
  </si>
  <si>
    <t>2022-03-03T10:16:55Z</t>
  </si>
  <si>
    <t>5275216_1292188</t>
  </si>
  <si>
    <t>mehmet ali şahan</t>
  </si>
  <si>
    <t>p_d70e46393307175e0a52fba5b5be6c33fb80b7e2@inbound.aiesec.org</t>
  </si>
  <si>
    <t>2023-06-14T12:39:28Z</t>
  </si>
  <si>
    <t>5270550_1296037</t>
  </si>
  <si>
    <t>Sehar Bano</t>
  </si>
  <si>
    <t>p_2e0b6999db716d2cdb8bb914df66501f77f7d125@inbound.aiesec.org</t>
  </si>
  <si>
    <t>2023-06-02T11:14:31Z</t>
  </si>
  <si>
    <t>5268345_1295572</t>
  </si>
  <si>
    <t>Ikhsan Imeramzayev</t>
  </si>
  <si>
    <t>p_0d6f0db63c7de9ecff44b65d59c84dcfd3fcc4d6@inbound.aiesec.org</t>
  </si>
  <si>
    <t>https://expa.aiesec.org/opportunities/1295572</t>
  </si>
  <si>
    <t>2023-05-29T15:52:23Z</t>
  </si>
  <si>
    <t>5274806_1293969</t>
  </si>
  <si>
    <t>tulu ebrar tokdemir</t>
  </si>
  <si>
    <t>p_f5b83c8fd864c6d0cbb3583dd3daad6f2b72d2fb@inbound.aiesec.org</t>
  </si>
  <si>
    <t>https://expa.aiesec.org/opportunities/1293969</t>
  </si>
  <si>
    <t>2023-06-13T11:16:38Z</t>
  </si>
  <si>
    <t>5274738_1294651</t>
  </si>
  <si>
    <t>연수 김</t>
  </si>
  <si>
    <t>p_258f16e3f0fba61eed0da67a67963556d0e3f0fb@inbound.aiesec.org</t>
  </si>
  <si>
    <t>HIU</t>
  </si>
  <si>
    <t>2023-06-13T08:58:17Z</t>
  </si>
  <si>
    <t>5014011_1295459</t>
  </si>
  <si>
    <t>Lina Khrouf</t>
  </si>
  <si>
    <t>p_512d24bccb5253090ca7c82ca6670b316b818bbb@inbound.aiesec.org</t>
  </si>
  <si>
    <t>2022-03-29T18:11:41Z</t>
  </si>
  <si>
    <t>2387059_1291989</t>
  </si>
  <si>
    <t>Bouchedjra Soumia</t>
  </si>
  <si>
    <t>p_3ecc4175b5d07da688a2ae94030ef051c34bd0f1@inbound.aiesec.org</t>
  </si>
  <si>
    <t>2018-06-27T00:06:52Z</t>
  </si>
  <si>
    <t>5264459_1294452</t>
  </si>
  <si>
    <t>shafquat ali</t>
  </si>
  <si>
    <t>p_da82624fcbe9cff6256cbfe5fb6c52fcbae6e026@inbound.aiesec.org</t>
  </si>
  <si>
    <t>2023-05-21T12:59:06Z</t>
  </si>
  <si>
    <t>5276139_1290690</t>
  </si>
  <si>
    <t>Elif Inci Develioğlu</t>
  </si>
  <si>
    <t>p_9122da8bba545ecc2da6cabf742e3aaf8f65b26c@inbound.aiesec.org</t>
  </si>
  <si>
    <t>2023-06-16T18:57:45Z</t>
  </si>
  <si>
    <t>5275701_1286840</t>
  </si>
  <si>
    <t>Ahlem Ben Yaflah</t>
  </si>
  <si>
    <t>p_9d8dcb8b7c01cb966fcb564c03751dc7b0f98174@inbound.aiesec.org</t>
  </si>
  <si>
    <t>2023-06-15T14:51:21Z</t>
  </si>
  <si>
    <t>4770862_1295461</t>
  </si>
  <si>
    <t>Hedil Baldi</t>
  </si>
  <si>
    <t>p_c94f37af27a31b63aab6e51766835569a51968af@inbound.aiesec.org</t>
  </si>
  <si>
    <t>2021-10-23T20:50:00Z</t>
  </si>
  <si>
    <t>5273674_1295042</t>
  </si>
  <si>
    <t>Walid AbdelAli</t>
  </si>
  <si>
    <t>p_877248e730ca392e0d6757865c96f9a986cf6f93@inbound.aiesec.org</t>
  </si>
  <si>
    <t>https://expa.aiesec.org/opportunities/1295042</t>
  </si>
  <si>
    <t>Teacher(english,PE,math)</t>
  </si>
  <si>
    <t>2023-06-10T15:04:00Z</t>
  </si>
  <si>
    <t>5043381_1291427</t>
  </si>
  <si>
    <t>Yasaman Mammadova</t>
  </si>
  <si>
    <t>p_712e3dc7de9048f755f0e73302ee19199236efeb@inbound.aiesec.org</t>
  </si>
  <si>
    <t>2022-04-21T16:39:40Z</t>
  </si>
  <si>
    <t>5274389_1295749</t>
  </si>
  <si>
    <t>Hasan Çoban</t>
  </si>
  <si>
    <t>p_895160e0c049429e059cfa5bf5c24417a11eb08d@inbound.aiesec.org</t>
  </si>
  <si>
    <t>2023-06-12T13:06:50Z</t>
  </si>
  <si>
    <t>5241609_1289387</t>
  </si>
  <si>
    <t>Rihab Chbil</t>
  </si>
  <si>
    <t>p_613d13ae16f9f1f19cb62d854d7d0726be9d5be5@inbound.aiesec.org</t>
  </si>
  <si>
    <t>https://expa.aiesec.org/opportunities/1289387</t>
  </si>
  <si>
    <t>2023-04-13T23:50:15Z</t>
  </si>
  <si>
    <t>5273837_1295364</t>
  </si>
  <si>
    <t>Harun Alma</t>
  </si>
  <si>
    <t>p_7a3ae0d718e1081370d2c839ed63f4d739ed8e2a@inbound.aiesec.org</t>
  </si>
  <si>
    <t>https://expa.aiesec.org/opportunities/1295364</t>
  </si>
  <si>
    <t>Turkish Teaching</t>
  </si>
  <si>
    <t>2023-06-11T08:19:44Z</t>
  </si>
  <si>
    <t>5220410_1295830</t>
  </si>
  <si>
    <t>Clara Makram</t>
  </si>
  <si>
    <t>p_bd4f86f9360de90085dd7d0ccd86b6d67cbcebeb@inbound.aiesec.org</t>
  </si>
  <si>
    <t>https://expa.aiesec.org/opportunities/1295830</t>
  </si>
  <si>
    <t>2023-03-18T15:23:40Z</t>
  </si>
  <si>
    <t>5243795_1294923</t>
  </si>
  <si>
    <t>ceren örter</t>
  </si>
  <si>
    <t>p_996f052b6d6ae72840e205360a9a68ee3961a37b@inbound.aiesec.org</t>
  </si>
  <si>
    <t>2023-04-17T13:47:24Z</t>
  </si>
  <si>
    <t>4843954_1291252</t>
  </si>
  <si>
    <t>Daniela Mihaela Harabagiu</t>
  </si>
  <si>
    <t>p_caca677a4fd9a3fd3678e9e7e89e942ba0e13caa@inbound.aiesec.org</t>
  </si>
  <si>
    <t>2021-12-14T18:13:19Z</t>
  </si>
  <si>
    <t>5170026_1289850</t>
  </si>
  <si>
    <t>diclesu kahraman</t>
  </si>
  <si>
    <t>p_b914e29abafcd5c49cb4c585c42566ca696a693b@inbound.aiesec.org</t>
  </si>
  <si>
    <t>2022-12-24T22:38:15Z</t>
  </si>
  <si>
    <t>5268516_1294785</t>
  </si>
  <si>
    <t>Iheb Hidri</t>
  </si>
  <si>
    <t>p_612aaece09492888ab254d117c1e4b0728e3387f@inbound.aiesec.org</t>
  </si>
  <si>
    <t>2023-05-29T22:53:24Z</t>
  </si>
  <si>
    <t>5212507_1289293</t>
  </si>
  <si>
    <t>Hajar Douhan</t>
  </si>
  <si>
    <t>p_f077928c7d04f0535b63156a858b41b90e65d31b@inbound.aiesec.org</t>
  </si>
  <si>
    <t>https://expa.aiesec.org/opportunities/1289293</t>
  </si>
  <si>
    <t>2023-03-10T20:33:30Z</t>
  </si>
  <si>
    <t>5275846_1288094</t>
  </si>
  <si>
    <t>Muhsin Karatas</t>
  </si>
  <si>
    <t>p_48d9bd3d9c271c73041700413cd16a9024211706@inbound.aiesec.org</t>
  </si>
  <si>
    <t>https://expa.aiesec.org/opportunities/1288094</t>
  </si>
  <si>
    <t>Teaching English in Cairo For Kids</t>
  </si>
  <si>
    <t>2023-06-15T21:57:19Z</t>
  </si>
  <si>
    <t>4547192_1289850</t>
  </si>
  <si>
    <t>Gülce Beyter</t>
  </si>
  <si>
    <t>p_366198f43417daf3b330262ecf78dcd6842fdb19@inbound.aiesec.org</t>
  </si>
  <si>
    <t>2021-02-16T14:44:47Z</t>
  </si>
  <si>
    <t>5275309_1295453</t>
  </si>
  <si>
    <t>Mariam Elsamak</t>
  </si>
  <si>
    <t>p_d9d263b375387686749fa997e9a2bd62e93dacc3@inbound.aiesec.org</t>
  </si>
  <si>
    <t>2023-06-14T16:12:43Z</t>
  </si>
  <si>
    <t>5269154_1285555</t>
  </si>
  <si>
    <t>nour cherif</t>
  </si>
  <si>
    <t>p_df0a50c172a18e420a80e80b2d439c313749e48a@inbound.aiesec.org</t>
  </si>
  <si>
    <t>2023-05-30T21:37:26Z</t>
  </si>
  <si>
    <t>5264994_1283483</t>
  </si>
  <si>
    <t>OLMES ATENBAYEVA</t>
  </si>
  <si>
    <t>p_67c261a21dfd82f6493105b355430e6ad0bb3467@inbound.aiesec.org</t>
  </si>
  <si>
    <t>2023-05-22T17:31:18Z</t>
  </si>
  <si>
    <t>5275779_1288417</t>
  </si>
  <si>
    <t>p_d862228759f96f4bc3d7430619b14c95f42213bc@inbound.aiesec.org</t>
  </si>
  <si>
    <t>https://expa.aiesec.org/opportunities/1288417</t>
  </si>
  <si>
    <t>2023-06-15T17:58:24Z</t>
  </si>
  <si>
    <t>5276238_1295875</t>
  </si>
  <si>
    <t>Fatma Asar</t>
  </si>
  <si>
    <t>p_7dd451b3faad136613935dd8ec4c71e3dca8220c@inbound.aiesec.org</t>
  </si>
  <si>
    <t>https://expa.aiesec.org/opportunities/1295875</t>
  </si>
  <si>
    <t>2023-06-17T05:23:43Z</t>
  </si>
  <si>
    <t>5276128_1295408</t>
  </si>
  <si>
    <t>Shaimaa Mahmoud</t>
  </si>
  <si>
    <t>p_9ecb2c55bba22d5db84a3232a6745dffbe28283b@inbound.aiesec.org</t>
  </si>
  <si>
    <t>2023-06-16T18:25:10Z</t>
  </si>
  <si>
    <t>5206884_1296101</t>
  </si>
  <si>
    <t>Lamis Mohamed</t>
  </si>
  <si>
    <t>p_c9fbc753df8f9696714e0e4736157035cfc99ba1@inbound.aiesec.org</t>
  </si>
  <si>
    <t>https://expa.aiesec.org/opportunities/1296101</t>
  </si>
  <si>
    <t>2023-03-05T21:57:38Z</t>
  </si>
  <si>
    <t>5275767_1289689</t>
  </si>
  <si>
    <t>Lana Belenkaia</t>
  </si>
  <si>
    <t>p_df1b053148b8a0287b2482b34dba179877cdcdb6@inbound.aiesec.org</t>
  </si>
  <si>
    <t>2023-06-15T17:24:09Z</t>
  </si>
  <si>
    <t>5273085_1295453</t>
  </si>
  <si>
    <t>Raghav Narula</t>
  </si>
  <si>
    <t>p_9fd64457f8045a056d7b5246161ffdc30a67259a@inbound.aiesec.org</t>
  </si>
  <si>
    <t>2023-06-08T18:33:08Z</t>
  </si>
  <si>
    <t>5275256_1287851</t>
  </si>
  <si>
    <t>Jonida Veliu</t>
  </si>
  <si>
    <t>p_03e20d16827d27744965285148727c328630f46a@inbound.aiesec.org</t>
  </si>
  <si>
    <t>2023-06-14T14:18:02Z</t>
  </si>
  <si>
    <t>5275277_1288609</t>
  </si>
  <si>
    <t>Fırat Aslan</t>
  </si>
  <si>
    <t>p_b76aeb2f3e6c29c2ad862d1232c6f477c4fdcf50@inbound.aiesec.org</t>
  </si>
  <si>
    <t>2023-06-14T15:07:24Z</t>
  </si>
  <si>
    <t>5273702_1295830</t>
  </si>
  <si>
    <t>Sarah Makram</t>
  </si>
  <si>
    <t>p_4e7243c12a6942ee1bfbe6d2cf2640091cf2e47f@inbound.aiesec.org</t>
  </si>
  <si>
    <t>2023-06-10T16:48:58Z</t>
  </si>
  <si>
    <t>5273594_1295240</t>
  </si>
  <si>
    <t>Taya Savosh</t>
  </si>
  <si>
    <t>p_80c898d95a30b8dc1850c564d06128e4c47a97df@inbound.aiesec.org</t>
  </si>
  <si>
    <t>VINNYTSIA</t>
  </si>
  <si>
    <t>2023-06-10T09:41:14Z</t>
  </si>
  <si>
    <t>5272466_1294355</t>
  </si>
  <si>
    <t>Celine Dilara Ozdemir</t>
  </si>
  <si>
    <t>p_b53587ee790e2cce103f27cf21da7bdb24dd5272@inbound.aiesec.org</t>
  </si>
  <si>
    <t>https://expa.aiesec.org/opportunities/1294355</t>
  </si>
  <si>
    <t xml:space="preserve"> Accelerate Romania - Front-end Developer </t>
  </si>
  <si>
    <t>2023-06-07T13:46:09Z</t>
  </si>
  <si>
    <t>3073398_1294452</t>
  </si>
  <si>
    <t>Zimra Razzak</t>
  </si>
  <si>
    <t>p_6e5a150b1fc2882d7d0158aae4c215d8963735c0@inbound.aiesec.org</t>
  </si>
  <si>
    <t>NUST</t>
  </si>
  <si>
    <t>Islamabad - NUST (H-12)</t>
  </si>
  <si>
    <t>2019-02-12T15:07:23Z</t>
  </si>
  <si>
    <t>5277073_1279126</t>
  </si>
  <si>
    <t>Bassem Ben Khmais</t>
  </si>
  <si>
    <t>p_8ebe74997a210c5a8c16628ce58d3b198f3aba6d@inbound.aiesec.org</t>
  </si>
  <si>
    <t>2023-06-19T13:48:23Z</t>
  </si>
  <si>
    <t>5262025_1296115</t>
  </si>
  <si>
    <t>Mariam Gaddour</t>
  </si>
  <si>
    <t>p_0f4318babae7cdbb488b97ee14d3c27b4955b9ad@inbound.aiesec.org</t>
  </si>
  <si>
    <t>https://expa.aiesec.org/opportunities/1296115</t>
  </si>
  <si>
    <t>2023-05-16T17:41:14Z</t>
  </si>
  <si>
    <t>4986021_1294387</t>
  </si>
  <si>
    <t>Islem Raissi</t>
  </si>
  <si>
    <t>p_2db4a5a4acc915742f8c94ff68d2582f1ceb32b7@inbound.aiesec.org</t>
  </si>
  <si>
    <t>2022-03-15T21:19:27Z</t>
  </si>
  <si>
    <t>1705773_1294372</t>
  </si>
  <si>
    <t>p_fdb05f13e3856f3bd38104d6a6ffd1dff6e57a0d@inbound.aiesec.org</t>
  </si>
  <si>
    <t>2017-08-25T16:41:32Z</t>
  </si>
  <si>
    <t>5143068_1286368</t>
  </si>
  <si>
    <t>5275817_1288419</t>
  </si>
  <si>
    <t>Gizem Yalçin</t>
  </si>
  <si>
    <t>p_35f19d4641635e6f87ddc5c2eac87b63cf170660@inbound.aiesec.org</t>
  </si>
  <si>
    <t>2023-06-15T20:11:08Z</t>
  </si>
  <si>
    <t>5261484_1296101</t>
  </si>
  <si>
    <t>p_19f8c5d88e4494dc23243a18c5ac0310347e7b64@inbound.aiesec.org</t>
  </si>
  <si>
    <t>2023-05-15T16:49:28Z</t>
  </si>
  <si>
    <t>5184890_1293726</t>
  </si>
  <si>
    <t>Youssef Benarbia</t>
  </si>
  <si>
    <t>p_57997e749933fbf3d2a4ba7cc86498681071efcc@inbound.aiesec.org</t>
  </si>
  <si>
    <t>2023-02-03T13:49:34Z</t>
  </si>
  <si>
    <t>5222110_1295404</t>
  </si>
  <si>
    <t>Huong Thao Bui</t>
  </si>
  <si>
    <t>p_0c3c2479b80a187606851c09058462734fc827fa@inbound.aiesec.org</t>
  </si>
  <si>
    <t>ROTTERDAM</t>
  </si>
  <si>
    <t>Rotterdam / Global Volunteer</t>
  </si>
  <si>
    <t>2023-03-20T21:38:38Z</t>
  </si>
  <si>
    <t>5178652_1296244</t>
  </si>
  <si>
    <t>muhammed umut kandemir</t>
  </si>
  <si>
    <t>p_b5cc0b7fbf1ad2893d5a6d79252b27fa39535edd@inbound.aiesec.org</t>
  </si>
  <si>
    <t>https://expa.aiesec.org/opportunities/1296244</t>
  </si>
  <si>
    <t>2023-01-20T09:54:05Z</t>
  </si>
  <si>
    <t>5273587_1295628</t>
  </si>
  <si>
    <t>İKRA SİMAY ALTAN</t>
  </si>
  <si>
    <t>p_597d71944575c5110b3660221b70bec242a84495@inbound.aiesec.org</t>
  </si>
  <si>
    <t>2023-06-10T09:25:49Z</t>
  </si>
  <si>
    <t>5269024_1294916</t>
  </si>
  <si>
    <t>Fatma Betül Yılmaz</t>
  </si>
  <si>
    <t>p_b0a992ba10d9f70dd92c3c316e4d2dd082924c59@inbound.aiesec.org</t>
  </si>
  <si>
    <t>https://expa.aiesec.org/opportunities/1294916</t>
  </si>
  <si>
    <t>2023-05-30T18:43:35Z</t>
  </si>
  <si>
    <t>3267898_1294452</t>
  </si>
  <si>
    <t>Abdul Qayyum Chatha</t>
  </si>
  <si>
    <t>p_894bbca04b7cf3cfb3308d854328df8da8d57af0@inbound.aiesec.org</t>
  </si>
  <si>
    <t>2019-03-25T18:59:35Z</t>
  </si>
  <si>
    <t>5181263_1295514</t>
  </si>
  <si>
    <t>ikram ghemri</t>
  </si>
  <si>
    <t>p_69f9d2db7c3bceb8e8d05c03b979171ff6c498bd@inbound.aiesec.org</t>
  </si>
  <si>
    <t>2023-01-27T13:30:55Z</t>
  </si>
  <si>
    <t>4863388_1280973</t>
  </si>
  <si>
    <t>Yannick Buggle</t>
  </si>
  <si>
    <t>p_f06c062d76d6765e41827844a12f0a6702569cdf@inbound.aiesec.org</t>
  </si>
  <si>
    <t>+31629233336</t>
  </si>
  <si>
    <t>AMSTERDAM</t>
  </si>
  <si>
    <t>Amsterdam / Global Volunteer</t>
  </si>
  <si>
    <t>2022-01-01T17:26:29Z</t>
  </si>
  <si>
    <t>5072794_1284125</t>
  </si>
  <si>
    <t>hediene saidani</t>
  </si>
  <si>
    <t>p_bd27ee7f64a634282f6c8cc348fff1bce8098942@inbound.aiesec.org</t>
  </si>
  <si>
    <t>2022-06-15T10:42:27Z</t>
  </si>
  <si>
    <t>5249789_1291427</t>
  </si>
  <si>
    <t>Jasmina Destanović</t>
  </si>
  <si>
    <t>p_5cb37751c9df15d3bf4ea50044105a86f9830b4a@inbound.aiesec.org</t>
  </si>
  <si>
    <t>2023-04-26T11:19:05Z</t>
  </si>
  <si>
    <t>5276160_1293477</t>
  </si>
  <si>
    <t>Rabiya Balta</t>
  </si>
  <si>
    <t>p_64a00117e834d7601ab8b2c024f1e5e4a1507175@inbound.aiesec.org</t>
  </si>
  <si>
    <t>2023-06-16T20:57:42Z</t>
  </si>
  <si>
    <t>5276763_1286839</t>
  </si>
  <si>
    <t>deleted 5276763</t>
  </si>
  <si>
    <t>p_1ef2f82b0ed6f00faa54f05ee0c1b5ab8bd64932@inbound.aiesec.org</t>
  </si>
  <si>
    <t>2023-06-18T15:31:31Z</t>
  </si>
  <si>
    <t>5049200_1293395</t>
  </si>
  <si>
    <t>Younan Iskarous</t>
  </si>
  <si>
    <t>p_c51c2a828ff77522becd53dec6e450dc6e1270b8@inbound.aiesec.org</t>
  </si>
  <si>
    <t>https://expa.aiesec.org/opportunities/1293395</t>
  </si>
  <si>
    <t>Spanish Teacher</t>
  </si>
  <si>
    <t>2022-04-30T14:54:38Z</t>
  </si>
  <si>
    <t>5275264_1288609</t>
  </si>
  <si>
    <t>Buket Çaybaşı</t>
  </si>
  <si>
    <t>p_8eac62eec2a5c3b38c336ff6627f9016d2a87fdd@inbound.aiesec.org</t>
  </si>
  <si>
    <t>2023-06-14T14:28:08Z</t>
  </si>
  <si>
    <t>5277040_1287990</t>
  </si>
  <si>
    <t>p_5eaf2e9c8fa38e9fd6bfd293efe8fee5cf85ecec@inbound.aiesec.org</t>
  </si>
  <si>
    <t>2023-06-19T12:29:57Z</t>
  </si>
  <si>
    <t>5264543_1284077</t>
  </si>
  <si>
    <t>Norhene BENHASSEN</t>
  </si>
  <si>
    <t>p_794c20da6747d74a9ec1c823f1e2e95b298a3ef9@inbound.aiesec.org</t>
  </si>
  <si>
    <t>2023-05-21T17:31:32Z</t>
  </si>
  <si>
    <t>5276490_1288609</t>
  </si>
  <si>
    <t>Olcay Deniz TİMUR</t>
  </si>
  <si>
    <t>p_6ed5b0eccce8d17251f73903a92d59148e1de82a@inbound.aiesec.org</t>
  </si>
  <si>
    <t>2023-06-17T20:05:20Z</t>
  </si>
  <si>
    <t>5262113_1295459</t>
  </si>
  <si>
    <t>Ines BARA</t>
  </si>
  <si>
    <t>p_d9fcf771547a62dac98503ee171dc4f3230126ff@inbound.aiesec.org</t>
  </si>
  <si>
    <t>2023-05-16T21:33:29Z</t>
  </si>
  <si>
    <t>3105269_1291068</t>
  </si>
  <si>
    <t>Yaren Yakar</t>
  </si>
  <si>
    <t>p_51dadd93d8cbcc6fc412cd9f9730fbdfff0c82b4@inbound.aiesec.org</t>
  </si>
  <si>
    <t>2019-02-22T09:21:48Z</t>
  </si>
  <si>
    <t>5271309_1295749</t>
  </si>
  <si>
    <t>Mislina Cansız</t>
  </si>
  <si>
    <t>p_d4d7e7346429fb507830ba794a938a41ac5527fb@inbound.aiesec.org</t>
  </si>
  <si>
    <t>2023-06-04T13:35:44Z</t>
  </si>
  <si>
    <t>5059224_1294941</t>
  </si>
  <si>
    <t>Mohamed Nibras</t>
  </si>
  <si>
    <t>p_a76946262732720fa03a46ad625776443ba1c139@inbound.aiesec.org</t>
  </si>
  <si>
    <t>2022-05-18T11:15:16Z</t>
  </si>
  <si>
    <t>1845929_1274161</t>
  </si>
  <si>
    <t>Loay ELGaml</t>
  </si>
  <si>
    <t>p_b26f761eea869da79fed487544710cf4362e0dfe@inbound.aiesec.org</t>
  </si>
  <si>
    <t>https://expa.aiesec.org/opportunities/1274161</t>
  </si>
  <si>
    <t>English Teacher in Başiskele Uğur Okulları</t>
  </si>
  <si>
    <t>2017-11-05T07:12:01Z</t>
  </si>
  <si>
    <t>4988053_1295453</t>
  </si>
  <si>
    <t>5277588_1294372</t>
  </si>
  <si>
    <t>Abdesselam Semaoui</t>
  </si>
  <si>
    <t>p_549647b5d5c7a63894566f122a555c7e40419b3c@inbound.aiesec.org</t>
  </si>
  <si>
    <t>2023-06-20T14:49:30Z</t>
  </si>
  <si>
    <t>5276967_1292549</t>
  </si>
  <si>
    <t>Esra Yavuz</t>
  </si>
  <si>
    <t>p_99c6afb4d10804ec9e12c329ea05cbedb63b1774@inbound.aiesec.org</t>
  </si>
  <si>
    <t>2023-06-19T09:18:07Z</t>
  </si>
  <si>
    <t>5253242_1288412</t>
  </si>
  <si>
    <t>5265923_1295240</t>
  </si>
  <si>
    <t>ΣΟΦΙΑ ΤΣΑΟΥΣΙΔΟΥ-ΠΕΤΡΙΤΣΗ</t>
  </si>
  <si>
    <t>p_f85c43cac07520c27eab0b1678ec556586118bf9@inbound.aiesec.org</t>
  </si>
  <si>
    <t>AUTH</t>
  </si>
  <si>
    <t>2023-05-24T11:19:37Z</t>
  </si>
  <si>
    <t>5273045_1294410</t>
  </si>
  <si>
    <t>Sagiba Musayeva</t>
  </si>
  <si>
    <t>p_c6d25d4e393dbb6722385592fde21b67ea48a881@inbound.aiesec.org</t>
  </si>
  <si>
    <t>2023-06-08T16:58:46Z</t>
  </si>
  <si>
    <t>5275182_1291336</t>
  </si>
  <si>
    <t>Narmin Bagirova</t>
  </si>
  <si>
    <t>p_fb095e10ac71c8daa8bc4226c6af2e3ce333e95a@inbound.aiesec.org</t>
  </si>
  <si>
    <t>2023-06-14T10:12:55Z</t>
  </si>
  <si>
    <t>5275267_1281901</t>
  </si>
  <si>
    <t>Duygu Semizoğlu</t>
  </si>
  <si>
    <t>p_337ea0dafb7226afa793106d2b792fb2234f7df1@inbound.aiesec.org</t>
  </si>
  <si>
    <t>2023-06-14T14:37:37Z</t>
  </si>
  <si>
    <t>5271613_1291622</t>
  </si>
  <si>
    <t>Aziz Muammer Çetiner</t>
  </si>
  <si>
    <t>p_0ffceb35b5060fcd3bca7a4cd8a6782e28aa742a@inbound.aiesec.org</t>
  </si>
  <si>
    <t>2023-06-05T12:32:48Z</t>
  </si>
  <si>
    <t>5273972_1293734</t>
  </si>
  <si>
    <t>Ece İrem Ergin</t>
  </si>
  <si>
    <t>p_4305db8361871358f016aecb571a295b40f355d9@inbound.aiesec.org</t>
  </si>
  <si>
    <t>https://expa.aiesec.org/opportunities/1293734</t>
  </si>
  <si>
    <t>2023-06-11T16:05:32Z</t>
  </si>
  <si>
    <t>5264820_1295104</t>
  </si>
  <si>
    <t>Barış Güney Kızılocak</t>
  </si>
  <si>
    <t>p_a42f31f1aeaacd0f04574e2873d54e385cd80db8@inbound.aiesec.org</t>
  </si>
  <si>
    <t>https://expa.aiesec.org/opportunities/1295104</t>
  </si>
  <si>
    <t>English Language Intern</t>
  </si>
  <si>
    <t>2023-05-22T12:22:13Z</t>
  </si>
  <si>
    <t>5251769_1293245</t>
  </si>
  <si>
    <t>bilge eylül şahin</t>
  </si>
  <si>
    <t>p_31e013f3c974b5dbfdc4d9b2632b595516a6c8ab@inbound.aiesec.org</t>
  </si>
  <si>
    <t>2023-04-28T12:29:30Z</t>
  </si>
  <si>
    <t>5165785_1292557</t>
  </si>
  <si>
    <t>Rahma Hmida</t>
  </si>
  <si>
    <t>p_3ccb5c8922bfbf81451619fcbab2e839247701fc@inbound.aiesec.org</t>
  </si>
  <si>
    <t>2022-12-13T16:51:17Z</t>
  </si>
  <si>
    <t>4988053_1295572</t>
  </si>
  <si>
    <t>5165792_1291336</t>
  </si>
  <si>
    <t>Nourhene Brinci</t>
  </si>
  <si>
    <t>p_1011c0374655d9bd4149631e40b801c702b093cb@inbound.aiesec.org</t>
  </si>
  <si>
    <t>2022-12-13T16:56:57Z</t>
  </si>
  <si>
    <t>5145202_1286920</t>
  </si>
  <si>
    <t>Firas Ghrimil</t>
  </si>
  <si>
    <t>p_1170e53ff324f2cc759db31d421dd5a0d021558e@inbound.aiesec.org</t>
  </si>
  <si>
    <t>2022-11-02T15:54:11Z</t>
  </si>
  <si>
    <t>5276161_1296239</t>
  </si>
  <si>
    <t>arij bougarras</t>
  </si>
  <si>
    <t>p_f1bb2556cc76de7b5620e1d0db4bc1cc6b8c98c8@inbound.aiesec.org</t>
  </si>
  <si>
    <t>https://expa.aiesec.org/opportunities/1296239</t>
  </si>
  <si>
    <t>2023-06-16T21:03:36Z</t>
  </si>
  <si>
    <t>5156627_1296477</t>
  </si>
  <si>
    <t>https://expa.aiesec.org/opportunities/1296477</t>
  </si>
  <si>
    <t>Sales Consultant ( Customer Service)</t>
  </si>
  <si>
    <t>5273083_1288989</t>
  </si>
  <si>
    <t>Khalil Hajji</t>
  </si>
  <si>
    <t>p_d38dc19c4f179728b098681c65d7a0b095a419f2@inbound.aiesec.org</t>
  </si>
  <si>
    <t>2023-06-08T18:28:12Z</t>
  </si>
  <si>
    <t>5274532_1295149</t>
  </si>
  <si>
    <t>Youssef Zariat</t>
  </si>
  <si>
    <t>p_33b5b565988a387ffa20e5113d229e901e657b3d@inbound.aiesec.org</t>
  </si>
  <si>
    <t>ISBAN</t>
  </si>
  <si>
    <t>2023-06-12T19:31:21Z</t>
  </si>
  <si>
    <t>4182166_1289446</t>
  </si>
  <si>
    <t>Zeynep Öztürk</t>
  </si>
  <si>
    <t>p_5c77f1fd071d8c64f1b942bbc19245a4df5b580c@inbound.aiesec.org</t>
  </si>
  <si>
    <t>2020-02-12T19:34:34Z</t>
  </si>
  <si>
    <t>4759552_1264946</t>
  </si>
  <si>
    <t>Eduarda Marcon</t>
  </si>
  <si>
    <t>p_dc72b6a3a8e154ff6aa623cdba20ff7ad043d149@inbound.aiesec.org</t>
  </si>
  <si>
    <t>2021-10-06T17:35:06Z</t>
  </si>
  <si>
    <t>5277474_1295575</t>
  </si>
  <si>
    <t>Khadija Shakoor</t>
  </si>
  <si>
    <t>p_8a062a4f750b2a13dac6e66cda16b270cf917109@inbound.aiesec.org</t>
  </si>
  <si>
    <t>2023-06-20T11:22:49Z</t>
  </si>
  <si>
    <t>5277654_1281195</t>
  </si>
  <si>
    <t>Amina Guendouz</t>
  </si>
  <si>
    <t>p_022f825b2096c9d6859dca0f5ce46ade49a92618@inbound.aiesec.org</t>
  </si>
  <si>
    <t>2023-06-20T17:03:15Z</t>
  </si>
  <si>
    <t>5269885_1295597</t>
  </si>
  <si>
    <t>Aybike Kaplan</t>
  </si>
  <si>
    <t>p_cef955f66a7047409989828952b1d43dfaf36772@inbound.aiesec.org</t>
  </si>
  <si>
    <t>https://expa.aiesec.org/opportunities/1295597</t>
  </si>
  <si>
    <t>2023-05-31T20:56:26Z</t>
  </si>
  <si>
    <t>5158674_1291336</t>
  </si>
  <si>
    <t>5205964_1288377</t>
  </si>
  <si>
    <t>alexandra fajardo</t>
  </si>
  <si>
    <t>p_223cfb0d174cee4b96561942e4bc8da486ec24de@inbound.aiesec.org</t>
  </si>
  <si>
    <t xml:space="preserve">EXPORT SALES INTERNSHIP|ADAWALL WALLPAPER INDUSTRY </t>
  </si>
  <si>
    <t>Lima - Universidad San Ignacio de Loyola</t>
  </si>
  <si>
    <t>2023-03-05T03:22:04Z</t>
  </si>
  <si>
    <t>5278657_1294972</t>
  </si>
  <si>
    <t>p_52285954e872c1a81e1f2a060e3497fcd8f12b14@inbound.aiesec.org</t>
  </si>
  <si>
    <t>2023-06-23T12:17:50Z</t>
  </si>
  <si>
    <t>5203520_1296477</t>
  </si>
  <si>
    <t>Khadija Mounadim</t>
  </si>
  <si>
    <t>p_a2f28953f596545ad916f2b0d6a73fd1e452a207@inbound.aiesec.org</t>
  </si>
  <si>
    <t>HEM Campus Tanger</t>
  </si>
  <si>
    <t>2023-03-02T12:03:16Z</t>
  </si>
  <si>
    <t>4580838_1288871</t>
  </si>
  <si>
    <t>5278479_1288582</t>
  </si>
  <si>
    <t>Muhammad Haris</t>
  </si>
  <si>
    <t>p_261c581927cd00cf693f6225dd8ee1da780dca37@inbound.aiesec.org</t>
  </si>
  <si>
    <t>2023-06-22T20:07:49Z</t>
  </si>
  <si>
    <t>5278461_1296474</t>
  </si>
  <si>
    <t>Montaha gharbi</t>
  </si>
  <si>
    <t>p_513a3c619869bbfb216cca935f9fee5f99022a1e@inbound.aiesec.org</t>
  </si>
  <si>
    <t>https://expa.aiesec.org/opportunities/1296474</t>
  </si>
  <si>
    <t>2023-06-22T18:37:22Z</t>
  </si>
  <si>
    <t>4538034_1296101</t>
  </si>
  <si>
    <t>Abanoub Magdy Adly Megaly</t>
  </si>
  <si>
    <t>p_12b07f1e9a4afaeb2173ef0b63d666f9803525a6@inbound.aiesec.org</t>
  </si>
  <si>
    <t>2021-02-09T08:58:17Z</t>
  </si>
  <si>
    <t>5276871_1294872</t>
  </si>
  <si>
    <t>Talya Urş</t>
  </si>
  <si>
    <t>p_9dbf3a2664be7f2962fca994e772a9bcd51024f2@inbound.aiesec.org</t>
  </si>
  <si>
    <t>https://expa.aiesec.org/opportunities/1294872</t>
  </si>
  <si>
    <t>2023-06-18T23:06:08Z</t>
  </si>
  <si>
    <t>5276180_1296105</t>
  </si>
  <si>
    <t>Mostafa Mahmoud</t>
  </si>
  <si>
    <t>p_b0366010d748c319ed5bbce24574ae1349ca503c@inbound.aiesec.org</t>
  </si>
  <si>
    <t>https://expa.aiesec.org/opportunities/1296105</t>
  </si>
  <si>
    <t>2023-06-16T21:30:25Z</t>
  </si>
  <si>
    <t>5273771_1281901</t>
  </si>
  <si>
    <t>Tüge Gündoğdu</t>
  </si>
  <si>
    <t>p_a008f727838d1bffb44925a681e6c4f54f6cc92e@inbound.aiesec.org</t>
  </si>
  <si>
    <t>2023-06-10T20:17:02Z</t>
  </si>
  <si>
    <t>5264788_1281901</t>
  </si>
  <si>
    <t>Şevval Karaarslan</t>
  </si>
  <si>
    <t>p_03a14f4eedb4aa4b429e9ef66318e8356e544481@inbound.aiesec.org</t>
  </si>
  <si>
    <t>2023-05-22T10:58:20Z</t>
  </si>
  <si>
    <t>5264752_1281901</t>
  </si>
  <si>
    <t>İkbal Karaarslan</t>
  </si>
  <si>
    <t>p_4881b044b8deef494c73c09c2b1731fa97cea2a9@inbound.aiesec.org</t>
  </si>
  <si>
    <t>2023-05-22T09:52:26Z</t>
  </si>
  <si>
    <t>5279227_1289100</t>
  </si>
  <si>
    <t>anoire jomaa</t>
  </si>
  <si>
    <t>p_3f1ff7455e9ecd1096b5d1419a936b1143e92b4b@inbound.aiesec.org</t>
  </si>
  <si>
    <t>2023-06-25T13:07:44Z</t>
  </si>
  <si>
    <t>5088850_1289293</t>
  </si>
  <si>
    <t>English Teacher in Bahçeşehir College</t>
  </si>
  <si>
    <t>5276265_1295458</t>
  </si>
  <si>
    <t>Aruzhan Kenjabayeva</t>
  </si>
  <si>
    <t>p_3416da00c928887659390817aa3946852c056a68@inbound.aiesec.org</t>
  </si>
  <si>
    <t>2023-06-17T08:32:29Z</t>
  </si>
  <si>
    <t>5279476_1277661</t>
  </si>
  <si>
    <t>chaima hammami</t>
  </si>
  <si>
    <t>p_cdd74df39a64ddcb561448d6b868ffa4dd16d6dc@inbound.aiesec.org</t>
  </si>
  <si>
    <t>2023-06-26T09:55:01Z</t>
  </si>
  <si>
    <t>5279492_1287380</t>
  </si>
  <si>
    <t>malek takeli</t>
  </si>
  <si>
    <t>p_e2532afa5c8f4ece5869146b54a45204d1add4ea@inbound.aiesec.org</t>
  </si>
  <si>
    <t>2023-06-26T10:58:32Z</t>
  </si>
  <si>
    <t>5279048_1278298</t>
  </si>
  <si>
    <t>Ahmed Ben khlifa</t>
  </si>
  <si>
    <t>p_bec4ad74a67d8ecfd16c8e978496b2260650140b@inbound.aiesec.org</t>
  </si>
  <si>
    <t>2023-06-24T19:20:12Z</t>
  </si>
  <si>
    <t>5228934_1294878</t>
  </si>
  <si>
    <t>Firdaous Abjiou</t>
  </si>
  <si>
    <t>p_206531345017e704e9402f98aecb975385a2a7b2@inbound.aiesec.org</t>
  </si>
  <si>
    <t>+212674024972</t>
  </si>
  <si>
    <t>2023-03-28T11:38:05Z</t>
  </si>
  <si>
    <t>4934702_1294332</t>
  </si>
  <si>
    <t>Rania Boughari</t>
  </si>
  <si>
    <t>p_c6ef52c0caf66626359b7f4b85796443e64d9c89@inbound.aiesec.org</t>
  </si>
  <si>
    <t>2022-02-17T10:41:55Z</t>
  </si>
  <si>
    <t>4173814_1296323</t>
  </si>
  <si>
    <t>Nawres Chaalia</t>
  </si>
  <si>
    <t>p_89e269a0528b0fc7c0b0478cb08889dd0eebdf74@inbound.aiesec.org</t>
  </si>
  <si>
    <t>https://expa.aiesec.org/opportunities/1296323</t>
  </si>
  <si>
    <t>2020-02-08T20:18:54Z</t>
  </si>
  <si>
    <t>5270968_1293743</t>
  </si>
  <si>
    <t>Aybüke Utku Demir</t>
  </si>
  <si>
    <t>p_8128fe2380f4ce50692188e97ce3a31479bb1fb0@inbound.aiesec.org</t>
  </si>
  <si>
    <t>https://expa.aiesec.org/opportunities/1293743</t>
  </si>
  <si>
    <t>2023-06-03T11:09:20Z</t>
  </si>
  <si>
    <t>5267469_1294063</t>
  </si>
  <si>
    <t>Alperen Demirel</t>
  </si>
  <si>
    <t>p_fefbcb9a0e561a6cd688ee7e538768f860c9055b@inbound.aiesec.org</t>
  </si>
  <si>
    <t>2023-05-27T11:34:06Z</t>
  </si>
  <si>
    <t>5233385_1291586</t>
  </si>
  <si>
    <t>Salima Kallel</t>
  </si>
  <si>
    <t>p_32963bed151d7533096589cf7163fed493e1e442@inbound.aiesec.org</t>
  </si>
  <si>
    <t>2023-04-02T17:31:20Z</t>
  </si>
  <si>
    <t>5211879_1294174</t>
  </si>
  <si>
    <t>Syrine Essafi</t>
  </si>
  <si>
    <t>p_81064ed86357d7336e2ad6d237f256d15756f644@inbound.aiesec.org</t>
  </si>
  <si>
    <t>https://expa.aiesec.org/opportunities/1294174</t>
  </si>
  <si>
    <t xml:space="preserve">Marketing / Sales representative </t>
  </si>
  <si>
    <t>2023-03-10T10:59:18Z</t>
  </si>
  <si>
    <t>5279867_1289307</t>
  </si>
  <si>
    <t>manjouri erij</t>
  </si>
  <si>
    <t>p_6e4b7a44ab2d87b1f7a7ad5250cc6a4f23470c00@inbound.aiesec.org</t>
  </si>
  <si>
    <t>2023-06-27T13:18:11Z</t>
  </si>
  <si>
    <t>5279486_1292990</t>
  </si>
  <si>
    <t>müçteba anıl koyutürk</t>
  </si>
  <si>
    <t>p_15c18cffc196647118e9eeae81357fe53285d8ef@inbound.aiesec.org</t>
  </si>
  <si>
    <t>2023-06-26T10:45:18Z</t>
  </si>
  <si>
    <t>5279241_1288611</t>
  </si>
  <si>
    <t>Amel Boussaid</t>
  </si>
  <si>
    <t>p_0d63371871b3c46bafa0c1fbf1d956fa5d82c7aa@inbound.aiesec.org</t>
  </si>
  <si>
    <t>2023-06-25T13:29:18Z</t>
  </si>
  <si>
    <t>5273657_1296060</t>
  </si>
  <si>
    <t>Elif Gündüzalp</t>
  </si>
  <si>
    <t>p_48e4662bfeb57ac7f409b2c12f57ea37c3fa1d5b@inbound.aiesec.org</t>
  </si>
  <si>
    <t>https://expa.aiesec.org/opportunities/1296060</t>
  </si>
  <si>
    <t>2023-06-10T13:46:24Z</t>
  </si>
  <si>
    <t>5278253_1295749</t>
  </si>
  <si>
    <t>Alperen Muslu</t>
  </si>
  <si>
    <t>p_c5acfc5fb79396c6bb504cb9ebd682728cea0bb9@inbound.aiesec.org</t>
  </si>
  <si>
    <t>2023-06-22T09:21:48Z</t>
  </si>
  <si>
    <t>5268852_1294287</t>
  </si>
  <si>
    <t>Deniz Bıçak</t>
  </si>
  <si>
    <t>p_249679d1eb192d39084eeeee4810668dafdb0e07@inbound.aiesec.org</t>
  </si>
  <si>
    <t>https://expa.aiesec.org/opportunities/1294287</t>
  </si>
  <si>
    <t>2023-05-30T15:00:04Z</t>
  </si>
  <si>
    <t>5277210_1280872</t>
  </si>
  <si>
    <t>lallouani sanaa</t>
  </si>
  <si>
    <t>p_2865471ad8e6ba04ea4b85069b66f97ef9119f26@inbound.aiesec.org</t>
  </si>
  <si>
    <t>2023-06-19T19:50:51Z</t>
  </si>
  <si>
    <t>1658513_1289378</t>
  </si>
  <si>
    <t>Margarita Garay Sifuentes</t>
  </si>
  <si>
    <t>p_d160f094de896427bb1bd70a9820b58a021e9dc2@inbound.aiesec.org</t>
  </si>
  <si>
    <t>Universidad San Martin de Porres</t>
  </si>
  <si>
    <t>2017-07-17T03:27:15Z</t>
  </si>
  <si>
    <t>5275714_1294842</t>
  </si>
  <si>
    <t>Fadimenur İşbilen</t>
  </si>
  <si>
    <t>p_91abc1c6b409f2b27390655a3b6ee8cde982ec71@inbound.aiesec.org</t>
  </si>
  <si>
    <t>https://expa.aiesec.org/opportunities/1294842</t>
  </si>
  <si>
    <t>2023-06-15T15:11:54Z</t>
  </si>
  <si>
    <t>3908255_1295461</t>
  </si>
  <si>
    <t>Assmaa Massouf</t>
  </si>
  <si>
    <t>p_d03156eaf308e5954551fa83d07ccf952a244eaf@inbound.aiesec.org</t>
  </si>
  <si>
    <t>AUC Beni Mellal</t>
  </si>
  <si>
    <t>2019-10-19T18:56:56Z</t>
  </si>
  <si>
    <t>5279970_1288609</t>
  </si>
  <si>
    <t>p_0caf532c18a1b2c4a81582e603b030bde3b56366@inbound.aiesec.org</t>
  </si>
  <si>
    <t>2023-06-27T20:21:25Z</t>
  </si>
  <si>
    <t>5216433_1295002</t>
  </si>
  <si>
    <t>Altre Università o Istituti della Calabria</t>
  </si>
  <si>
    <t>5279786_1294372</t>
  </si>
  <si>
    <t>p_e4b287703f7a5ac53afb64e629fc790f57bcc2df@inbound.aiesec.org</t>
  </si>
  <si>
    <t>2023-06-27T09:17:42Z</t>
  </si>
  <si>
    <t>5279337_1294877</t>
  </si>
  <si>
    <t>Anastasiia Skirak</t>
  </si>
  <si>
    <t>p_b87934590e80749939ce9a1d9f773cf1d5d8551d@inbound.aiesec.org</t>
  </si>
  <si>
    <t>https://expa.aiesec.org/opportunities/1294877</t>
  </si>
  <si>
    <t xml:space="preserve"> Rivne</t>
  </si>
  <si>
    <t>2023-06-25T18:16:05Z</t>
  </si>
  <si>
    <t>5150435_1294586</t>
  </si>
  <si>
    <t>AIRTON DE SOUZA</t>
  </si>
  <si>
    <t>p_e66662f82dcd7276636f4526cb4141dd47b5edd8@inbound.aiesec.org</t>
  </si>
  <si>
    <t>+5592984444493</t>
  </si>
  <si>
    <t>MANAUS</t>
  </si>
  <si>
    <t>https://expa.aiesec.org/opportunities/1294586</t>
  </si>
  <si>
    <t>Mechanical Engineering</t>
  </si>
  <si>
    <t>Manaus</t>
  </si>
  <si>
    <t>2022-11-09T20:03:28Z</t>
  </si>
  <si>
    <t>5279175_1283628</t>
  </si>
  <si>
    <t>Kamouche Khaled</t>
  </si>
  <si>
    <t>p_e5b8aa2faea5fcc0efed9af50e5e8bc93a28d7ec@inbound.aiesec.org</t>
  </si>
  <si>
    <t>2023-06-25T09:31:48Z</t>
  </si>
  <si>
    <t>5278451_1296118</t>
  </si>
  <si>
    <t>Hla Zahran</t>
  </si>
  <si>
    <t>p_3fbd57c58cfbf9cc2d034e793b5aaa7605d53e8a@inbound.aiesec.org</t>
  </si>
  <si>
    <t>2023-06-22T18:05:18Z</t>
  </si>
  <si>
    <t>5278068_1294622</t>
  </si>
  <si>
    <t>Alina Voitiuk</t>
  </si>
  <si>
    <t>p_396f7e71ec074ac557b9a328959f57928bbe76db@inbound.aiesec.org</t>
  </si>
  <si>
    <t>2023-06-21T17:02:06Z</t>
  </si>
  <si>
    <t>5273376_1295232</t>
  </si>
  <si>
    <t>Arya Şeyma Erkınay</t>
  </si>
  <si>
    <t>p_d95887de019654ce9a37c03034eb037176ccf28d@inbound.aiesec.org</t>
  </si>
  <si>
    <t>https://expa.aiesec.org/opportunities/1295232</t>
  </si>
  <si>
    <t>2023-06-09T15:39:11Z</t>
  </si>
  <si>
    <t>5260570_1292103</t>
  </si>
  <si>
    <t>Anggela Estanga B</t>
  </si>
  <si>
    <t>p_20cf8cfed8c0fb638bf9cb4cde760d24568ce8d2@inbound.aiesec.org</t>
  </si>
  <si>
    <t>Venezuela</t>
  </si>
  <si>
    <t>UCV&amp;UNIMET</t>
  </si>
  <si>
    <t>https://expa.aiesec.org/opportunities/1292103</t>
  </si>
  <si>
    <t>Marketing and Sales Representative</t>
  </si>
  <si>
    <t>2023-05-13T15:40:51Z</t>
  </si>
  <si>
    <t>4736983_1295572</t>
  </si>
  <si>
    <t>hedil dhahri</t>
  </si>
  <si>
    <t>p_c22b042c0112f6e543f84c4bfe06d28b71dd8011@inbound.aiesec.org</t>
  </si>
  <si>
    <t>2021-09-14T13:09:08Z</t>
  </si>
  <si>
    <t>5221810_1295240</t>
  </si>
  <si>
    <t>Antonio Florin Stancu</t>
  </si>
  <si>
    <t>p_173bcc46a25fb7ad6220232ba53e07e31470883e@inbound.aiesec.org</t>
  </si>
  <si>
    <t>2023-03-20T15:22:37Z</t>
  </si>
  <si>
    <t>5268544_1296103</t>
  </si>
  <si>
    <t>Marlin Grace</t>
  </si>
  <si>
    <t>p_7d8c0bc828556e89778485c941608663dd0f81ab@inbound.aiesec.org</t>
  </si>
  <si>
    <t>https://expa.aiesec.org/opportunities/1296103</t>
  </si>
  <si>
    <t>2023-05-30T01:43:23Z</t>
  </si>
  <si>
    <t>5277517_1295232</t>
  </si>
  <si>
    <t>Sait Alperen TÜFEKÇİ</t>
  </si>
  <si>
    <t>p_dd1d11f313e496c4f3809d8a02f96bb5385b60ab@inbound.aiesec.org</t>
  </si>
  <si>
    <t>2023-06-20T13:06:48Z</t>
  </si>
  <si>
    <t>5280824_1284976</t>
  </si>
  <si>
    <t>Skander Omar</t>
  </si>
  <si>
    <t>p_f798461bc2f44b98a6b6833c343763a5d5ad6d55@inbound.aiesec.org</t>
  </si>
  <si>
    <t>2023-06-30T15:02:59Z</t>
  </si>
  <si>
    <t>5280508_1289100</t>
  </si>
  <si>
    <t>Chadhe Baazaoui</t>
  </si>
  <si>
    <t>p_8176f4448859d640bcf3dbd5af5ad0faa098933b@inbound.aiesec.org</t>
  </si>
  <si>
    <t>2023-06-29T19:00:06Z</t>
  </si>
  <si>
    <t>5261970_1294487</t>
  </si>
  <si>
    <t>https://expa.aiesec.org/opportunities/1294487</t>
  </si>
  <si>
    <t>5280375_1288609</t>
  </si>
  <si>
    <t>p_9ea15a14b6a953dc5bf24d292dbd07fd0d155886@inbound.aiesec.org</t>
  </si>
  <si>
    <t>2023-06-29T12:11:18Z</t>
  </si>
  <si>
    <t>5226559_1295002</t>
  </si>
  <si>
    <t>Dounia Kouadri</t>
  </si>
  <si>
    <t>p_8b5f7433f720e43da2b361bbddd5997fea458deb@inbound.aiesec.org</t>
  </si>
  <si>
    <t>2023-03-25T10:57:04Z</t>
  </si>
  <si>
    <t>5270054_1296101</t>
  </si>
  <si>
    <t>Fatma Zgarni</t>
  </si>
  <si>
    <t>p_a8bc833fb69c65c742ec718ecb3bca7719c45100@inbound.aiesec.org</t>
  </si>
  <si>
    <t>2023-06-01T09:03:44Z</t>
  </si>
  <si>
    <t>5278110_1295149</t>
  </si>
  <si>
    <t>Francisco Santos</t>
  </si>
  <si>
    <t>p_0803e6fd97ef5c5d5c0cbe4bc68604f845b5a2d1@inbound.aiesec.org</t>
  </si>
  <si>
    <t>Universidade de Lisboa - Instituto Superior de Economia e Gestão (ISEG)</t>
  </si>
  <si>
    <t>2023-06-21T19:12:08Z</t>
  </si>
  <si>
    <t>5262895_1281195</t>
  </si>
  <si>
    <t>Adelina Shayhullina</t>
  </si>
  <si>
    <t>p_e7958974fff033881d5a28e666cc6854049d4a28@inbound.aiesec.org</t>
  </si>
  <si>
    <t>VAM RUSSIA</t>
  </si>
  <si>
    <t>2023-05-18T12:20:52Z</t>
  </si>
  <si>
    <t>5052227_1291989</t>
  </si>
  <si>
    <t>Leila Moussaoui</t>
  </si>
  <si>
    <t>p_0af5b1d3257d1116931e7bcdee7c77a466d4533d@inbound.aiesec.org</t>
  </si>
  <si>
    <t>2022-05-06T17:27:44Z</t>
  </si>
  <si>
    <t>5270867_1289505</t>
  </si>
  <si>
    <t>Himari Inoue</t>
  </si>
  <si>
    <t>p_59e9a9fce372eaf68d76d06866b140085f68be21@inbound.aiesec.org</t>
  </si>
  <si>
    <t>Japan</t>
  </si>
  <si>
    <t>KOBE UNIVERSITY</t>
  </si>
  <si>
    <t>2023-06-03T02:15:53Z</t>
  </si>
  <si>
    <t>5254464_1294862</t>
  </si>
  <si>
    <t>https://expa.aiesec.org/opportunities/1294862</t>
  </si>
  <si>
    <t>5279342_1295568</t>
  </si>
  <si>
    <t>Samah Essam</t>
  </si>
  <si>
    <t>p_34982063e44d1c20b0844ac621532e70c1b0ad00@inbound.aiesec.org</t>
  </si>
  <si>
    <t>https://expa.aiesec.org/opportunities/1295568</t>
  </si>
  <si>
    <t>2023-06-25T18:39:39Z</t>
  </si>
  <si>
    <t>5275061_1295893</t>
  </si>
  <si>
    <t>Anna Serra Folch</t>
  </si>
  <si>
    <t>p_8e5b32f67025be8842083a7adf8df81c9a5811a8@inbound.aiesec.org</t>
  </si>
  <si>
    <t>https://expa.aiesec.org/opportunities/1295893</t>
  </si>
  <si>
    <t xml:space="preserve">Cataluña - Universitat de Barcelona - Facultad de Derecho </t>
  </si>
  <si>
    <t>2023-06-13T21:55:41Z</t>
  </si>
  <si>
    <t>5278941_1293982</t>
  </si>
  <si>
    <t>Sibel Canlar</t>
  </si>
  <si>
    <t>p_9065a34f4e476bdc3013d0db747eda588412f9f1@inbound.aiesec.org</t>
  </si>
  <si>
    <t>https://expa.aiesec.org/opportunities/1293982</t>
  </si>
  <si>
    <t>2023-06-24T10:45:40Z</t>
  </si>
  <si>
    <t>5270402_1294941</t>
  </si>
  <si>
    <t>Grace Urielle Boua</t>
  </si>
  <si>
    <t>p_ee0fc565d57d9843e16423454fd7c5c74e8dab78@inbound.aiesec.org</t>
  </si>
  <si>
    <t xml:space="preserve"> UIPA </t>
  </si>
  <si>
    <t xml:space="preserve">LC UIPA </t>
  </si>
  <si>
    <t>2023-06-01T23:30:00Z</t>
  </si>
  <si>
    <t>5263638_1295240</t>
  </si>
  <si>
    <t>Nataly Nabil</t>
  </si>
  <si>
    <t>p_38eef92e47ecb2002b75be1bb7b6bc8a2373cbb7@inbound.aiesec.org</t>
  </si>
  <si>
    <t>Kafr El-Sheikh University</t>
  </si>
  <si>
    <t>2023-05-19T15:39:03Z</t>
  </si>
  <si>
    <t>5281091_1295568</t>
  </si>
  <si>
    <t>Nada Mediouni</t>
  </si>
  <si>
    <t>p_47a3d2c7c2d7d75b5785f12814a558a075188e5e@inbound.aiesec.org</t>
  </si>
  <si>
    <t>2023-07-01T11:23:12Z</t>
  </si>
  <si>
    <t>5274822_1295830</t>
  </si>
  <si>
    <t>Daniela Pereira</t>
  </si>
  <si>
    <t>p_969bbc852b24291a87103bf81258fb928fb372af@inbound.aiesec.org</t>
  </si>
  <si>
    <t>2023-06-13T11:58:31Z</t>
  </si>
  <si>
    <t>5280428_1295750</t>
  </si>
  <si>
    <t>Arben Kılıç</t>
  </si>
  <si>
    <t>p_37042eebd77dd051a8074d8613a3e2df52479d97@inbound.aiesec.org</t>
  </si>
  <si>
    <t>https://expa.aiesec.org/opportunities/1295750</t>
  </si>
  <si>
    <t>2023-06-29T14:35:10Z</t>
  </si>
  <si>
    <t>5279880_1288419</t>
  </si>
  <si>
    <t>elif başaran</t>
  </si>
  <si>
    <t>p_017d0c5dbcca4057dfc8795dc6c164e4f2bf4857@inbound.aiesec.org</t>
  </si>
  <si>
    <t>2023-06-27T13:56:24Z</t>
  </si>
  <si>
    <t>5279536_1288419</t>
  </si>
  <si>
    <t>saliha feyzioğlu</t>
  </si>
  <si>
    <t>p_76fd07fc018c8ee3e9053bc73453fe379bafceb8@inbound.aiesec.org</t>
  </si>
  <si>
    <t>2023-06-26T12:37:40Z</t>
  </si>
  <si>
    <t>5279371_1288419</t>
  </si>
  <si>
    <t>Ülfet İmam</t>
  </si>
  <si>
    <t>p_63b2b9a602fe524b3650fc33fa6f21ec9f788a53@inbound.aiesec.org</t>
  </si>
  <si>
    <t>2023-06-25T21:01:31Z</t>
  </si>
  <si>
    <t>5250470_1289505</t>
  </si>
  <si>
    <t>Caterina Tarantello</t>
  </si>
  <si>
    <t>p_c06a0c4585b60eb0a9098d9c3a17b26f46fd8974@inbound.aiesec.org</t>
  </si>
  <si>
    <t>2023-04-27T09:01:07Z</t>
  </si>
  <si>
    <t>5160087_1284670</t>
  </si>
  <si>
    <t>5278758_1287985</t>
  </si>
  <si>
    <t>Sevgi Güngör</t>
  </si>
  <si>
    <t>p_51e473bff8ac1deed103cb31109361bf1e5331b2@inbound.aiesec.org</t>
  </si>
  <si>
    <t>2023-06-23T16:49:46Z</t>
  </si>
  <si>
    <t>5278790_1292549</t>
  </si>
  <si>
    <t>Necmi Alıcı</t>
  </si>
  <si>
    <t>p_149b35bd255985f394d48a283631f169d8463a05@inbound.aiesec.org</t>
  </si>
  <si>
    <t>2023-06-23T19:11:31Z</t>
  </si>
  <si>
    <t>1314239_1294452</t>
  </si>
  <si>
    <t>Shahreen Iftikhar</t>
  </si>
  <si>
    <t>p_00ffba6dcb489a035253a1141eccc8244ce239b0@inbound.aiesec.org</t>
  </si>
  <si>
    <t>2017-01-08T08:33:59Z</t>
  </si>
  <si>
    <t>4867895_1295382</t>
  </si>
  <si>
    <t>p_e78ea1ade52e9505913bf7003c7167ebf5b79344@inbound.aiesec.org</t>
  </si>
  <si>
    <t>https://expa.aiesec.org/opportunities/1295382</t>
  </si>
  <si>
    <t>2022-01-05T20:14:50Z</t>
  </si>
  <si>
    <t>5185689_1294877</t>
  </si>
  <si>
    <t>atmane boussouf</t>
  </si>
  <si>
    <t>p_1f4687d863c4d3113b462af3260e26b687b44c48@inbound.aiesec.org</t>
  </si>
  <si>
    <t>2023-02-04T23:05:53Z</t>
  </si>
  <si>
    <t>5243245_1292463</t>
  </si>
  <si>
    <t>Feriha Girgim</t>
  </si>
  <si>
    <t>p_c31a6183dfc85cfbb82b51ca8f5cc8217e01bb25@inbound.aiesec.org</t>
  </si>
  <si>
    <t>https://expa.aiesec.org/opportunities/1292463</t>
  </si>
  <si>
    <t>2023-04-16T14:58:23Z</t>
  </si>
  <si>
    <t>5267697_1295830</t>
  </si>
  <si>
    <t>chaima Abouda</t>
  </si>
  <si>
    <t>p_ebed5e3b1964023518a53d5b29f3dd134d93f939@inbound.aiesec.org</t>
  </si>
  <si>
    <t>2023-05-27T19:44:57Z</t>
  </si>
  <si>
    <t>5280842_1296118</t>
  </si>
  <si>
    <t>Nohaila Elhassani</t>
  </si>
  <si>
    <t>p_9ef56ca4e9009db892f782806771bbd1963f63c0@inbound.aiesec.org</t>
  </si>
  <si>
    <t>2023-06-30T15:53:08Z</t>
  </si>
  <si>
    <t>5276655_1289505</t>
  </si>
  <si>
    <t>Narimane Acila</t>
  </si>
  <si>
    <t>p_1f2693558a786673fd13e515c6900f7f3425748d@inbound.aiesec.org</t>
  </si>
  <si>
    <t>IHET</t>
  </si>
  <si>
    <t>2023-06-18T08:44:18Z</t>
  </si>
  <si>
    <t>5281590_1296103</t>
  </si>
  <si>
    <t>Hassan Rasheed</t>
  </si>
  <si>
    <t>p_efaae8dc5894adaefe1bc4810e90c2a08aea1f7d@inbound.aiesec.org</t>
  </si>
  <si>
    <t>2023-07-02T20:53:08Z</t>
  </si>
  <si>
    <t>5222103_1293758</t>
  </si>
  <si>
    <t>Mizgin İnçamur</t>
  </si>
  <si>
    <t>p_fb6a401819607a6d714d4d6b2ef0255fdbc62929@inbound.aiesec.org</t>
  </si>
  <si>
    <t>https://expa.aiesec.org/opportunities/1293758</t>
  </si>
  <si>
    <t>2023-03-20T21:28:42Z</t>
  </si>
  <si>
    <t>5208586_1288989</t>
  </si>
  <si>
    <t>Meryem BENYAMANE</t>
  </si>
  <si>
    <t>p_c08ff77c436e13f2ca68eae5c8121ff9d8762020@inbound.aiesec.org</t>
  </si>
  <si>
    <t>2023-03-07T12:28:59Z</t>
  </si>
  <si>
    <t>4076883_1286368</t>
  </si>
  <si>
    <t>Ivona Kukić</t>
  </si>
  <si>
    <t>p_3fc15b08389f08347e18d055d943d11b05e12a5c@inbound.aiesec.org</t>
  </si>
  <si>
    <t>ZENICA</t>
  </si>
  <si>
    <t>2019-12-05T17:46:52Z</t>
  </si>
  <si>
    <t>5093476_1292492</t>
  </si>
  <si>
    <t>Safa Al Andalusi</t>
  </si>
  <si>
    <t>p_3d3bc8baa94c93f6371a63d5c7735063e47f7428@inbound.aiesec.org</t>
  </si>
  <si>
    <t>https://expa.aiesec.org/opportunities/1292492</t>
  </si>
  <si>
    <t>2022-08-15T12:02:46Z</t>
  </si>
  <si>
    <t>5277465_1286920</t>
  </si>
  <si>
    <t>Mirmurad Sultanli</t>
  </si>
  <si>
    <t>p_88fb818f2f2b64720bbeaf66a665a2ad3f8972a8@inbound.aiesec.org</t>
  </si>
  <si>
    <t>2023-06-20T11:12:12Z</t>
  </si>
  <si>
    <t>5279656_1294418</t>
  </si>
  <si>
    <t>esranur benli</t>
  </si>
  <si>
    <t>p_eb0afb4aac5fad3773f491e484220c166fccc134@inbound.aiesec.org</t>
  </si>
  <si>
    <t>2023-06-26T17:51:56Z</t>
  </si>
  <si>
    <t>5274674_1291989</t>
  </si>
  <si>
    <t>Nirmani Indrachapa Perera</t>
  </si>
  <si>
    <t>p_4b822e2f427ea80354a6ad09bb50cdc824fbb49c@inbound.aiesec.org</t>
  </si>
  <si>
    <t>2023-06-13T05:06:03Z</t>
  </si>
  <si>
    <t>5281909_1292962</t>
  </si>
  <si>
    <t>Lujaina Naser</t>
  </si>
  <si>
    <t>p_2e0ed303a16557d4cbc511d3a9f580a085486e40@inbound.aiesec.org</t>
  </si>
  <si>
    <t>2023-07-03T22:28:14Z</t>
  </si>
  <si>
    <t>5282160_1281010</t>
  </si>
  <si>
    <t>Tebrizi Imen</t>
  </si>
  <si>
    <t>p_4cf6750dd63cb28fe9c4046b5eb2eea6aa0465ea@inbound.aiesec.org</t>
  </si>
  <si>
    <t>2023-07-04T17:20:48Z</t>
  </si>
  <si>
    <t>5244455_1294332</t>
  </si>
  <si>
    <t>Hiba Rimouche</t>
  </si>
  <si>
    <t>p_263ca950be651aae768c1cc7597ee7462ba8c4d2@inbound.aiesec.org</t>
  </si>
  <si>
    <t>2023-04-18T11:12:56Z</t>
  </si>
  <si>
    <t>5282183_1289872</t>
  </si>
  <si>
    <t>Ilham Essabaoui</t>
  </si>
  <si>
    <t>p_5a0d0b2e97864f1d9fd44198e275d5f5434464cb@inbound.aiesec.org</t>
  </si>
  <si>
    <t>https://expa.aiesec.org/opportunities/1289872</t>
  </si>
  <si>
    <t>Marketing Specialist | Spanish</t>
  </si>
  <si>
    <t>HEEC Marrakech</t>
  </si>
  <si>
    <t>2023-07-04T18:38:36Z</t>
  </si>
  <si>
    <t>5281531_1294452</t>
  </si>
  <si>
    <t>Sudeep Maharjan</t>
  </si>
  <si>
    <t>p_b314b49d58aae25584a1f721b018c7f0c0cf7100@inbound.aiesec.org</t>
  </si>
  <si>
    <t>Nepal</t>
  </si>
  <si>
    <t>Kathmandu</t>
  </si>
  <si>
    <t>People's Campus, Paknajol</t>
  </si>
  <si>
    <t>2023-07-02T15:52:19Z</t>
  </si>
  <si>
    <t>5211466_1296477</t>
  </si>
  <si>
    <t>Sarah Toony</t>
  </si>
  <si>
    <t>p_1fb018b1453010afdcc38d958a1c26e1bf589ac0@inbound.aiesec.org</t>
  </si>
  <si>
    <t>2023-03-09T21:43:13Z</t>
  </si>
  <si>
    <t>5264821_1259741</t>
  </si>
  <si>
    <t>Sara Selim</t>
  </si>
  <si>
    <t>p_ffe4cb5d978bb9abd00b48e60193405a8f16cbc0@inbound.aiesec.org</t>
  </si>
  <si>
    <t>2023-05-22T12:22:29Z</t>
  </si>
  <si>
    <t>5203632_1296453</t>
  </si>
  <si>
    <t>Saleha hassan Alvi</t>
  </si>
  <si>
    <t>p_2253a70ec2326e3d0b48e93268cc32b4b4260093@inbound.aiesec.org</t>
  </si>
  <si>
    <t>300 804 8604</t>
  </si>
  <si>
    <t>https://expa.aiesec.org/opportunities/1296453</t>
  </si>
  <si>
    <t>2023-03-02T12:59:39Z</t>
  </si>
  <si>
    <t>5282200_1289307</t>
  </si>
  <si>
    <t>p_5e31d5244ec1785636f5149250b5749df7980c80@inbound.aiesec.org</t>
  </si>
  <si>
    <t>2023-07-04T19:31:19Z</t>
  </si>
  <si>
    <t>4999677_1295789</t>
  </si>
  <si>
    <t>Tunç Başaran</t>
  </si>
  <si>
    <t>p_a2ba6b478a30cbcff2c836a3652231b56c3a6a23@inbound.aiesec.org</t>
  </si>
  <si>
    <t>MANIZALES</t>
  </si>
  <si>
    <t>https://expa.aiesec.org/opportunities/1295789</t>
  </si>
  <si>
    <t xml:space="preserve">English High School Teacher </t>
  </si>
  <si>
    <t>2022-03-22T14:26:23Z</t>
  </si>
  <si>
    <t>5077561_1295453</t>
  </si>
  <si>
    <t>5190756_1295453</t>
  </si>
  <si>
    <t>5281868_1289255</t>
  </si>
  <si>
    <t>Yassine Benalia</t>
  </si>
  <si>
    <t>p_3b410eac28e2574a5de70773d1bed7d9359aeccf@inbound.aiesec.org</t>
  </si>
  <si>
    <t>2023-07-03T19:44:40Z</t>
  </si>
  <si>
    <t>1444789_1296105</t>
  </si>
  <si>
    <t>Roney Rajan Rajan George</t>
  </si>
  <si>
    <t>p_b982c5d25713db2fec50f8bf5b1db5eeb5d10aa0@inbound.aiesec.org</t>
  </si>
  <si>
    <t>2017-03-23T15:12:16Z</t>
  </si>
  <si>
    <t>3184582_1296231</t>
  </si>
  <si>
    <t>Salma Kahlaoui</t>
  </si>
  <si>
    <t>p_16cc22db8376f798890f52dc2c99061d5c8ed6df@inbound.aiesec.org</t>
  </si>
  <si>
    <t>https://expa.aiesec.org/opportunities/1296231</t>
  </si>
  <si>
    <t>2019-03-07T14:42:29Z</t>
  </si>
  <si>
    <t>5222863_1293245</t>
  </si>
  <si>
    <t>Abdullah Keskin</t>
  </si>
  <si>
    <t>p_b927d199d19d3e4e9560bd6ad4e706f54e1a41be@inbound.aiesec.org</t>
  </si>
  <si>
    <t>2023-03-21T15:08:37Z</t>
  </si>
  <si>
    <t>5145456_1287380</t>
  </si>
  <si>
    <t>5274346_1295149</t>
  </si>
  <si>
    <t>Ao Odoro</t>
  </si>
  <si>
    <t>p_8e80c072b9e1c13c7fa6d9f42dc83c2092ee0bcb@inbound.aiesec.org</t>
  </si>
  <si>
    <t>KYOTO UNIVERSITY</t>
  </si>
  <si>
    <t>2023-06-12T10:57:40Z</t>
  </si>
  <si>
    <t>5280927_1287708</t>
  </si>
  <si>
    <t>Rahal Islam</t>
  </si>
  <si>
    <t>p_523229c2d6d69cfc2c0bfb1467bff36b980d58b2@inbound.aiesec.org</t>
  </si>
  <si>
    <t>2023-06-30T19:15:23Z</t>
  </si>
  <si>
    <t>5282770_1296492</t>
  </si>
  <si>
    <t>Chaima Trabelsi</t>
  </si>
  <si>
    <t>p_cb76f29f77f3ddaaab2d06409ef91f6dd63a116f@inbound.aiesec.org</t>
  </si>
  <si>
    <t>https://expa.aiesec.org/opportunities/1296492</t>
  </si>
  <si>
    <t>English/Spanish teacher</t>
  </si>
  <si>
    <t>2023-07-06T12:20:50Z</t>
  </si>
  <si>
    <t>5261666_1295795</t>
  </si>
  <si>
    <t>Caroline Ribeiro Santos</t>
  </si>
  <si>
    <t>p_a1fe0698f0625f974b003511bccd42e794873975@inbound.aiesec.org</t>
  </si>
  <si>
    <t>https://expa.aiesec.org/opportunities/1295795</t>
  </si>
  <si>
    <t>Export Specialist</t>
  </si>
  <si>
    <t>Bauru</t>
  </si>
  <si>
    <t>2023-05-16T01:08:39Z</t>
  </si>
  <si>
    <t>5281725_1295572</t>
  </si>
  <si>
    <t>sinda kallel</t>
  </si>
  <si>
    <t>p_a9f9073601a2a0b269bf3cc8444af1c1bd2b6361@inbound.aiesec.org</t>
  </si>
  <si>
    <t>2023-07-03T12:06:15Z</t>
  </si>
  <si>
    <t>5276402_1277661</t>
  </si>
  <si>
    <t>Kamali Choudary</t>
  </si>
  <si>
    <t>p_ef979e8b1980e316b78f2d8c79cc2960bb00324c@inbound.aiesec.org</t>
  </si>
  <si>
    <t>2023-06-17T14:57:21Z</t>
  </si>
  <si>
    <t>5282444_1289806</t>
  </si>
  <si>
    <t>Semanur KÖSEOĞLU</t>
  </si>
  <si>
    <t>p_dc1ff501c5234669ab5989d256d3a84c2eee50c9@inbound.aiesec.org</t>
  </si>
  <si>
    <t>2023-07-05T14:54:58Z</t>
  </si>
  <si>
    <t>5269019_1292061</t>
  </si>
  <si>
    <t>Barış Tüner</t>
  </si>
  <si>
    <t>p_574182a4701dc0b6f12a1bf357c56374b88f5612@inbound.aiesec.org</t>
  </si>
  <si>
    <t>https://expa.aiesec.org/opportunities/1292061</t>
  </si>
  <si>
    <t>2023-05-30T18:39:24Z</t>
  </si>
  <si>
    <t>5283171_1279126</t>
  </si>
  <si>
    <t>p_7683f90a99c09387c3225dbd06d18b259f287e3d@inbound.aiesec.org</t>
  </si>
  <si>
    <t>2023-07-07T17:52:52Z</t>
  </si>
  <si>
    <t>5279805_1296101</t>
  </si>
  <si>
    <t>Ricardo Lopes Moura</t>
  </si>
  <si>
    <t>p_cc360eb6615734b3cf65e77cab17e08061e056f6@inbound.aiesec.org</t>
  </si>
  <si>
    <t>2023-06-27T10:16:13Z</t>
  </si>
  <si>
    <t>5283323_1289505</t>
  </si>
  <si>
    <t>p_c2f4565212e3c75dbad01c303b8d6222872e00ed@inbound.aiesec.org</t>
  </si>
  <si>
    <t>2023-07-08T13:35:38Z</t>
  </si>
  <si>
    <t>2036557_1288490</t>
  </si>
  <si>
    <t>Khaled Walid</t>
  </si>
  <si>
    <t>p_634bef64a75c4fbbc64230b004b8195a2d4f8481@inbound.aiesec.org</t>
  </si>
  <si>
    <t>2018-02-15T17:10:14Z</t>
  </si>
  <si>
    <t>5281958_1284484</t>
  </si>
  <si>
    <t>Joey Hou</t>
  </si>
  <si>
    <t>p_fea94f9f49820606064a0607f7da310b32b7a563@inbound.aiesec.org</t>
  </si>
  <si>
    <t>Suzhou</t>
  </si>
  <si>
    <t>2023-07-04T04:31:29Z</t>
  </si>
  <si>
    <t>5278474_1293243</t>
  </si>
  <si>
    <t>Fatima Khan</t>
  </si>
  <si>
    <t>p_3b9a1509744a2a05f6716ddc2760795c332d11ec@inbound.aiesec.org</t>
  </si>
  <si>
    <t>Multan - Other</t>
  </si>
  <si>
    <t>2023-06-22T19:38:17Z</t>
  </si>
  <si>
    <t>5278765_1288609</t>
  </si>
  <si>
    <t>BÜŞRA DOĞUÇAM</t>
  </si>
  <si>
    <t>p_53000335b923335dd8bf9ffff6de38bbff657ef2@inbound.aiesec.org</t>
  </si>
  <si>
    <t>2023-06-23T17:14:28Z</t>
  </si>
  <si>
    <t>5283372_1296105</t>
  </si>
  <si>
    <t>Ahmed Elsayed</t>
  </si>
  <si>
    <t>p_e562363370e8cd796d2aecfc87328ad9167e86ca@inbound.aiesec.org</t>
  </si>
  <si>
    <t>2023-07-08T16:59:35Z</t>
  </si>
  <si>
    <t>5266814_1289505</t>
  </si>
  <si>
    <t>Takeshi Inoue</t>
  </si>
  <si>
    <t>p_2e78ee6255af9c06d7e8ebcbd46642f343048dc4@inbound.aiesec.org</t>
  </si>
  <si>
    <t>The University of Tokyo</t>
  </si>
  <si>
    <t>東京大学委員会</t>
  </si>
  <si>
    <t>2023-05-26T01:05:55Z</t>
  </si>
  <si>
    <t>5021082_1296101</t>
  </si>
  <si>
    <t>3847647_1297056</t>
  </si>
  <si>
    <t>Naomi Naa Wellington</t>
  </si>
  <si>
    <t>p_a37dd9621dc9c435199af6c288a9c34303cc2ae6@inbound.aiesec.org</t>
  </si>
  <si>
    <t>https://expa.aiesec.org/opportunities/1297056</t>
  </si>
  <si>
    <t>English Teacher in Latife Hanım Kindergarten</t>
  </si>
  <si>
    <t>Accra - University of Ghana</t>
  </si>
  <si>
    <t>2019-09-22T16:39:58Z</t>
  </si>
  <si>
    <t>5260750_1281010</t>
  </si>
  <si>
    <t>Shintaro Kawamoto</t>
  </si>
  <si>
    <t>p_c52e54c19a3962f056d9e53008a9e43a9abb0b4e@inbound.aiesec.org</t>
  </si>
  <si>
    <t>SOPHIA UNIVERSITY</t>
  </si>
  <si>
    <t>上智大学委員会</t>
  </si>
  <si>
    <t>2023-05-14T05:54:22Z</t>
  </si>
  <si>
    <t>5278815_1296118</t>
  </si>
  <si>
    <t>Rahaf Gouiaa</t>
  </si>
  <si>
    <t>p_9de045c5bf01af0ee79cef0fbc9ab528520fa66d@inbound.aiesec.org</t>
  </si>
  <si>
    <t>ESSTED</t>
  </si>
  <si>
    <t>2023-06-23T21:18:33Z</t>
  </si>
  <si>
    <t>5153712_1287210</t>
  </si>
  <si>
    <t>fatima ezzahra bouabid</t>
  </si>
  <si>
    <t>p_0cb4ba2af4be9d6ca8ef83bc4356708cbdc35885@inbound.aiesec.org</t>
  </si>
  <si>
    <t>2022-11-15T21:41:07Z</t>
  </si>
  <si>
    <t>4530311_1295572</t>
  </si>
  <si>
    <t>5283221_1290469</t>
  </si>
  <si>
    <t>Ana Martinez</t>
  </si>
  <si>
    <t>p_a09d11ce959b04e09407e87b1a745a19848e3661@inbound.aiesec.org</t>
  </si>
  <si>
    <t>2023-07-07T22:41:03Z</t>
  </si>
  <si>
    <t>5275136_1294151</t>
  </si>
  <si>
    <t>Ömer Alp Koçak</t>
  </si>
  <si>
    <t>p_2541228126ee8d45242869d598add43e710a007b@inbound.aiesec.org</t>
  </si>
  <si>
    <t>https://expa.aiesec.org/opportunities/1294151</t>
  </si>
  <si>
    <t>2023-06-14T07:59:26Z</t>
  </si>
  <si>
    <t>5284240_1288265</t>
  </si>
  <si>
    <t>p_cfd8a0ced87708423370a778420a93b6c34c9249@inbound.aiesec.org</t>
  </si>
  <si>
    <t>2023-07-11T10:54:28Z</t>
  </si>
  <si>
    <t>5279027_1277333</t>
  </si>
  <si>
    <t>Feten Barhoumi</t>
  </si>
  <si>
    <t>p_d25e28372a863bf816ff52d3e98be46a8d0d7ae6@inbound.aiesec.org</t>
  </si>
  <si>
    <t>2023-06-24T18:00:38Z</t>
  </si>
  <si>
    <t>5283683_1295572</t>
  </si>
  <si>
    <t>Theona-Ioana Adomnoae</t>
  </si>
  <si>
    <t>p_9afb30e8917cb6459f6b543d6005b408082c0fe7@inbound.aiesec.org</t>
  </si>
  <si>
    <t>2023-07-09T18:19:54Z</t>
  </si>
  <si>
    <t>5284258_1294785</t>
  </si>
  <si>
    <t>hadil khelifi</t>
  </si>
  <si>
    <t>p_cc722c1636727aaec3b873336617cb733835af80@inbound.aiesec.org</t>
  </si>
  <si>
    <t>2023-07-11T11:29:18Z</t>
  </si>
  <si>
    <t>5284119_1289255</t>
  </si>
  <si>
    <t>Katia Ouazia</t>
  </si>
  <si>
    <t>p_bae07ca58d32c636ff5d0989ff9d2d2dc294b728@inbound.aiesec.org</t>
  </si>
  <si>
    <t>2023-07-10T20:49:26Z</t>
  </si>
  <si>
    <t>5281123_1295750</t>
  </si>
  <si>
    <t>Yusuf Berkay Atlas</t>
  </si>
  <si>
    <t>p_9ceadf2cbeb74a384a8ff377d4d4fd8a75e1b9fe@inbound.aiesec.org</t>
  </si>
  <si>
    <t>2023-07-01T12:38:07Z</t>
  </si>
  <si>
    <t>5282649_1295874</t>
  </si>
  <si>
    <t>Melike Miray Nas</t>
  </si>
  <si>
    <t>p_9c0149c19e0ad008c101978f74bb3b21e0d2a046@inbound.aiesec.org</t>
  </si>
  <si>
    <t>https://expa.aiesec.org/opportunities/1295874</t>
  </si>
  <si>
    <t>2023-07-06T08:55:35Z</t>
  </si>
  <si>
    <t>2036557_1296671</t>
  </si>
  <si>
    <t>https://expa.aiesec.org/opportunities/1296671</t>
  </si>
  <si>
    <t>5267467_1281010</t>
  </si>
  <si>
    <t>Philipp Wert</t>
  </si>
  <si>
    <t>p_3b13ccb98d9c7edbaf9052248f919a28ba6bb489@inbound.aiesec.org</t>
  </si>
  <si>
    <t>PASSAU</t>
  </si>
  <si>
    <t>Passau</t>
  </si>
  <si>
    <t>2023-05-27T11:31:12Z</t>
  </si>
  <si>
    <t>5284218_1292559</t>
  </si>
  <si>
    <t>Amal Ghedira</t>
  </si>
  <si>
    <t>p_9df59abc913a152b1a3fed1bf3c64d877ffc13f1@inbound.aiesec.org</t>
  </si>
  <si>
    <t>https://expa.aiesec.org/opportunities/1292559</t>
  </si>
  <si>
    <t>teacher</t>
  </si>
  <si>
    <t>2023-07-11T09:25:39Z</t>
  </si>
  <si>
    <t>5284225_1294669</t>
  </si>
  <si>
    <t>BAŞAK KAZAN</t>
  </si>
  <si>
    <t>p_0411dcce10406669651cbe95ca00345be2a7bb54@inbound.aiesec.org</t>
  </si>
  <si>
    <t>TUNCELI</t>
  </si>
  <si>
    <t>2023-07-11T09:57:36Z</t>
  </si>
  <si>
    <t>5278532_1294068</t>
  </si>
  <si>
    <t>zeineb belghith</t>
  </si>
  <si>
    <t>p_77dbec02770474fb1d4feaa7e94c9dc439d607f6@inbound.aiesec.org</t>
  </si>
  <si>
    <t>2023-06-23T00:35:50Z</t>
  </si>
  <si>
    <t>5272341_1296103</t>
  </si>
  <si>
    <t>Ibrahim Arhoun</t>
  </si>
  <si>
    <t>p_77641e1ed625a3694956ea0920bc593d614b35af@inbound.aiesec.org</t>
  </si>
  <si>
    <t>2023-06-07T09:26:31Z</t>
  </si>
  <si>
    <t>1168987_1297126</t>
  </si>
  <si>
    <t>https://expa.aiesec.org/opportunities/1297126</t>
  </si>
  <si>
    <t>Sales-Marketing Specialist</t>
  </si>
  <si>
    <t>4508889_1293284</t>
  </si>
  <si>
    <t>Emine Güler</t>
  </si>
  <si>
    <t>p_553ef9c4066d7500809b2c3ecd08b24b802c6015@inbound.aiesec.org</t>
  </si>
  <si>
    <t>2021-01-05T14:49:35Z</t>
  </si>
  <si>
    <t>5257026_1288490</t>
  </si>
  <si>
    <t>Somaya Rashad</t>
  </si>
  <si>
    <t>p_7dfcda8a7267d1fe6bbbd4cc43e4587ff74e3bc8@inbound.aiesec.org</t>
  </si>
  <si>
    <t>2023-05-07T06:58:43Z</t>
  </si>
  <si>
    <t>5278358_1292933</t>
  </si>
  <si>
    <t>Furkan Öğütcü</t>
  </si>
  <si>
    <t>p_bfb886112e409855110f62498b3f8e1baceb9e36@inbound.aiesec.org</t>
  </si>
  <si>
    <t>https://expa.aiesec.org/opportunities/1292933</t>
  </si>
  <si>
    <t>2023-06-22T14:14:09Z</t>
  </si>
  <si>
    <t>3258667_1279525</t>
  </si>
  <si>
    <t>Oumaima Zoghlemi</t>
  </si>
  <si>
    <t>p_c35054171f96d0917eec0976d5999821c19645b4@inbound.aiesec.org</t>
  </si>
  <si>
    <t>2019-03-23T14:36:06Z</t>
  </si>
  <si>
    <t>5283868_1289505</t>
  </si>
  <si>
    <t>Natsu Yamashita</t>
  </si>
  <si>
    <t>p_7c79c8c4915273d2b9420e0e98d397b6a897e053@inbound.aiesec.org</t>
  </si>
  <si>
    <t>HIROSHIMA</t>
  </si>
  <si>
    <t>2023-07-10T12:16:44Z</t>
  </si>
  <si>
    <t>5284670_1288607</t>
  </si>
  <si>
    <t>p_62002a76514bbb71bf6b822008f17e1abfe02d9e@inbound.aiesec.org</t>
  </si>
  <si>
    <t>2023-07-12T16:12:09Z</t>
  </si>
  <si>
    <t>5283986_1291702</t>
  </si>
  <si>
    <t>Süleyman Kemal Ak</t>
  </si>
  <si>
    <t>p_97a8ccefc2ec0f3003cad58555b9eecc53d78b5b@inbound.aiesec.org</t>
  </si>
  <si>
    <t>https://expa.aiesec.org/opportunities/1291702</t>
  </si>
  <si>
    <t>2023-07-10T15:32:50Z</t>
  </si>
  <si>
    <t>5275849_1294655</t>
  </si>
  <si>
    <t>Waad Omri</t>
  </si>
  <si>
    <t>p_0672d5495665242a1f1dfb28f1276530e24d882b@inbound.aiesec.org</t>
  </si>
  <si>
    <t>2023-06-15T22:22:02Z</t>
  </si>
  <si>
    <t>5284648_1296538</t>
  </si>
  <si>
    <t>Chaima Ben Fredj</t>
  </si>
  <si>
    <t>p_8894c814430466d8aab70a3ad4cd5989670923a7@inbound.aiesec.org</t>
  </si>
  <si>
    <t>https://expa.aiesec.org/opportunities/1296538</t>
  </si>
  <si>
    <t>2023-07-12T15:08:00Z</t>
  </si>
  <si>
    <t>5284054_1292560</t>
  </si>
  <si>
    <t>Dounya Boutout</t>
  </si>
  <si>
    <t>p_690bb86448b2929cbd509d6074fd5fb7fdafa954@inbound.aiesec.org</t>
  </si>
  <si>
    <t>https://expa.aiesec.org/opportunities/1292560</t>
  </si>
  <si>
    <t>2023-07-10T17:37:14Z</t>
  </si>
  <si>
    <t>5280954_1288490</t>
  </si>
  <si>
    <t>Yomna Mohammed</t>
  </si>
  <si>
    <t>p_4d2da6d8af04d25c3da499bc9f8b0770e0968a71@inbound.aiesec.org</t>
  </si>
  <si>
    <t>2023-06-30T21:12:16Z</t>
  </si>
  <si>
    <t>5282338_1296723</t>
  </si>
  <si>
    <t>Şulenur Bilgin</t>
  </si>
  <si>
    <t>p_834695a893822ac2b82b28eeee2fb73f287f4738@inbound.aiesec.org</t>
  </si>
  <si>
    <t>https://expa.aiesec.org/opportunities/1296723</t>
  </si>
  <si>
    <t>International Link Corporation</t>
  </si>
  <si>
    <t>2023-07-05T09:02:15Z</t>
  </si>
  <si>
    <t>5282337_1296723</t>
  </si>
  <si>
    <t>CENK TAKIM</t>
  </si>
  <si>
    <t>p_07bc9a16b9397fb9045d4632cf4c5e5328bbb84d@inbound.aiesec.org</t>
  </si>
  <si>
    <t>2023-07-05T09:00:48Z</t>
  </si>
  <si>
    <t>5279208_1292709</t>
  </si>
  <si>
    <t>Sayra Erbaş</t>
  </si>
  <si>
    <t>p_b021a2cb98146612d484a30b29b13e4e0f1dac41@inbound.aiesec.org</t>
  </si>
  <si>
    <t>2023-06-25T11:42:35Z</t>
  </si>
  <si>
    <t>956619_1294332</t>
  </si>
  <si>
    <t>Sara Hossam Yassin</t>
  </si>
  <si>
    <t>p_2a7347fe1087c36311303d5ece84ab6d06c02a21@inbound.aiesec.org</t>
  </si>
  <si>
    <t>2016-04-04T13:05:37Z</t>
  </si>
  <si>
    <t>5272440_1294332</t>
  </si>
  <si>
    <t>Sahar En-Najimi</t>
  </si>
  <si>
    <t>p_79c3033d8b93411ee43a7fbb89ad1e5c7dad117d@inbound.aiesec.org</t>
  </si>
  <si>
    <t>2023-06-07T12:41:58Z</t>
  </si>
  <si>
    <t>5242059_1294068</t>
  </si>
  <si>
    <t>Abir Tlili</t>
  </si>
  <si>
    <t>p_13163fd4e77e016f3e7ae67b2931a5a363531b63@inbound.aiesec.org</t>
  </si>
  <si>
    <t>2023-04-14T14:58:02Z</t>
  </si>
  <si>
    <t>5281377_1284976</t>
  </si>
  <si>
    <t>Syrga Duishembieva</t>
  </si>
  <si>
    <t>p_6c9273ca33a6f3266e0d4448d8bc959ae653add7@inbound.aiesec.org</t>
  </si>
  <si>
    <t>2023-07-02T07:11:33Z</t>
  </si>
  <si>
    <t>5171484_1294332</t>
  </si>
  <si>
    <t>Badry Abdeltawab</t>
  </si>
  <si>
    <t>p_1fb3db898e40b708ff5877c28e220536dbf40110@inbound.aiesec.org</t>
  </si>
  <si>
    <t>2022-12-29T21:55:02Z</t>
  </si>
  <si>
    <t>5282842_1293906</t>
  </si>
  <si>
    <t>Ceren Bozkurt</t>
  </si>
  <si>
    <t>p_a0bc39be2586646addbd9346ef3e2687ca5ad1fc@inbound.aiesec.org</t>
  </si>
  <si>
    <t>https://expa.aiesec.org/opportunities/1293906</t>
  </si>
  <si>
    <t>2023-07-06T16:43:06Z</t>
  </si>
  <si>
    <t>5282141_1295745</t>
  </si>
  <si>
    <t>Parcina Aziz</t>
  </si>
  <si>
    <t>p_a3aaa173d05d9e57b1cb5790683bd79c4e32cdd4@inbound.aiesec.org</t>
  </si>
  <si>
    <t>https://expa.aiesec.org/opportunities/1295745</t>
  </si>
  <si>
    <t>New Cairo Academy</t>
  </si>
  <si>
    <t>2023-07-04T16:21:55Z</t>
  </si>
  <si>
    <t>5282890_1296234</t>
  </si>
  <si>
    <t>Algaziyev Aibar</t>
  </si>
  <si>
    <t>p_e5fbdc4ab9642c92cff437811df351833fa1be5c@inbound.aiesec.org</t>
  </si>
  <si>
    <t>https://expa.aiesec.org/opportunities/1296234</t>
  </si>
  <si>
    <t>2023-07-06T20:10:56Z</t>
  </si>
  <si>
    <t>5038415_1296787</t>
  </si>
  <si>
    <t>Amen Zewdu Mersha</t>
  </si>
  <si>
    <t>p_daa620531fc4f9a7cd5a83f22ec4c9e77ce6dc64@inbound.aiesec.org</t>
  </si>
  <si>
    <t>Ethiopia</t>
  </si>
  <si>
    <t>School of Commerce (SOC)</t>
  </si>
  <si>
    <t>https://expa.aiesec.org/opportunities/1296787</t>
  </si>
  <si>
    <t>English Teacher in Çocuk Kasabası Kindergarten</t>
  </si>
  <si>
    <t>2022-04-13T13:01:00Z</t>
  </si>
  <si>
    <t>5285073_1296670</t>
  </si>
  <si>
    <t>Seif eddine Haddad</t>
  </si>
  <si>
    <t>p_caa3fb6f7908ad28ba88d026fd73e32a342c2a18@inbound.aiesec.org</t>
  </si>
  <si>
    <t>https://expa.aiesec.org/opportunities/1296670</t>
  </si>
  <si>
    <t>SESAME</t>
  </si>
  <si>
    <t>2023-07-13T21:23:07Z</t>
  </si>
  <si>
    <t>4138575_1295311</t>
  </si>
  <si>
    <t>ezgi atay</t>
  </si>
  <si>
    <t>p_a1a3b20e48c1c4acfcaae81b58909dc61910c290@inbound.aiesec.org</t>
  </si>
  <si>
    <t>https://expa.aiesec.org/opportunities/1295311</t>
  </si>
  <si>
    <t>Digital Marketing &amp; Content Creator</t>
  </si>
  <si>
    <t>2020-01-14T22:15:46Z</t>
  </si>
  <si>
    <t>5277381_1296234</t>
  </si>
  <si>
    <t>huang yilang</t>
  </si>
  <si>
    <t>p_147fbd6f8a2c2d4ba56bcf9152a20f0dd92069f5@inbound.aiesec.org</t>
  </si>
  <si>
    <t>Guangzhou &amp; Shenzhen</t>
  </si>
  <si>
    <t>GUANGZHOU 广州</t>
  </si>
  <si>
    <t>2023-06-20T08:32:19Z</t>
  </si>
  <si>
    <t>5284448_1290027</t>
  </si>
  <si>
    <t>Rania ghrairi</t>
  </si>
  <si>
    <t>p_82743945ed3cf685a890690a01248969781258fc@inbound.aiesec.org</t>
  </si>
  <si>
    <t>https://expa.aiesec.org/opportunities/1290027</t>
  </si>
  <si>
    <t>2023-07-11T22:29:32Z</t>
  </si>
  <si>
    <t>5285208_1294473</t>
  </si>
  <si>
    <t>hytef touati</t>
  </si>
  <si>
    <t>p_f9bd3ffdcb7c44d28d50eda8986c59d9ada3ca3e@inbound.aiesec.org</t>
  </si>
  <si>
    <t>2023-07-14T13:23:54Z</t>
  </si>
  <si>
    <t>5279782_1293790</t>
  </si>
  <si>
    <t>Sude Kiymik</t>
  </si>
  <si>
    <t>p_a6efeaedb82a6162ecb778764d3708821e99d59a@inbound.aiesec.org</t>
  </si>
  <si>
    <t>https://expa.aiesec.org/opportunities/1293790</t>
  </si>
  <si>
    <t>Graphic Designer</t>
  </si>
  <si>
    <t>2023-06-27T08:56:04Z</t>
  </si>
  <si>
    <t>3742064_1294127</t>
  </si>
  <si>
    <t>kousar anisa</t>
  </si>
  <si>
    <t>p_307ed5e98cc7d8020f02cf03bdf1e81c00a826ef@inbound.aiesec.org</t>
  </si>
  <si>
    <t>PolyU</t>
  </si>
  <si>
    <t>PolyU School of Professional Education and Executive Development</t>
  </si>
  <si>
    <t>2019-08-05T14:57:15Z</t>
  </si>
  <si>
    <t>5283050_1296671</t>
  </si>
  <si>
    <t>Nabiha Ashraf</t>
  </si>
  <si>
    <t>p_c2838b1f0a7feb224a8be033e6ecd27f7f6776a0@inbound.aiesec.org</t>
  </si>
  <si>
    <t>Ramanujan College, Delhi University</t>
  </si>
  <si>
    <t>2023-07-07T10:59:48Z</t>
  </si>
  <si>
    <t>5285210_1287792</t>
  </si>
  <si>
    <t>Denız Onal</t>
  </si>
  <si>
    <t>p_fe2d419d3c541e1816c5543d354bc84361c06aec@inbound.aiesec.org</t>
  </si>
  <si>
    <t>https://expa.aiesec.org/opportunities/1287792</t>
  </si>
  <si>
    <t>2023-07-14T13:24:34Z</t>
  </si>
  <si>
    <t>5051871_1296101</t>
  </si>
  <si>
    <t>Salah DRIES</t>
  </si>
  <si>
    <t>p_e959ff184eb5cb99817a3a50d6c43555019cc798@inbound.aiesec.org</t>
  </si>
  <si>
    <t>2022-05-05T23:00:15Z</t>
  </si>
  <si>
    <t>5278607_1293017</t>
  </si>
  <si>
    <t>nurgül bilge</t>
  </si>
  <si>
    <t>p_c93199a48b59af038683db463d814b3eaef92c18@inbound.aiesec.org</t>
  </si>
  <si>
    <t>https://expa.aiesec.org/opportunities/1293017</t>
  </si>
  <si>
    <t>2023-06-23T09:49:28Z</t>
  </si>
  <si>
    <t>5276452_1296697</t>
  </si>
  <si>
    <t>zehra yalçın</t>
  </si>
  <si>
    <t>p_d5ce92278701fb68067fc9807641600cd8e2224a@inbound.aiesec.org</t>
  </si>
  <si>
    <t>https://expa.aiesec.org/opportunities/1296697</t>
  </si>
  <si>
    <t xml:space="preserve">Turkish Language Instructor </t>
  </si>
  <si>
    <t>2023-06-17T17:31:41Z</t>
  </si>
  <si>
    <t>5285274_1287226</t>
  </si>
  <si>
    <t>rahma jridi</t>
  </si>
  <si>
    <t>p_b3aec5904f4d92a23d16f9fa9c01951164369f81@inbound.aiesec.org</t>
  </si>
  <si>
    <t>2023-07-14T15:26:24Z</t>
  </si>
  <si>
    <t>5285310_1295514</t>
  </si>
  <si>
    <t>deleted 5285310</t>
  </si>
  <si>
    <t>p_799af7214feb008372bc394b9e598e10d199686a@inbound.aiesec.org</t>
  </si>
  <si>
    <t>2023-07-14T17:13:14Z</t>
  </si>
  <si>
    <t>5277059_1286839</t>
  </si>
  <si>
    <t>Nesrine Mokdad</t>
  </si>
  <si>
    <t>p_3fa8663709a2b38a67405cdc517d8557bd34c393@inbound.aiesec.org</t>
  </si>
  <si>
    <t>2023-06-19T13:10:03Z</t>
  </si>
  <si>
    <t>5285352_1296247</t>
  </si>
  <si>
    <t>Deniz Neslihan Aslan</t>
  </si>
  <si>
    <t>p_b9e291ef45c27dccca4c6feccd5bfc66c34abeb7@inbound.aiesec.org</t>
  </si>
  <si>
    <t>https://expa.aiesec.org/opportunities/1296247</t>
  </si>
  <si>
    <t>Financial Analyst</t>
  </si>
  <si>
    <t>2023-07-14T21:04:12Z</t>
  </si>
  <si>
    <t>5156681_1294669</t>
  </si>
  <si>
    <t>Can Demir</t>
  </si>
  <si>
    <t>p_fbdec0dbe16ac537e7183613ce22b4570796f806@inbound.aiesec.org</t>
  </si>
  <si>
    <t>2022-11-21T18:20:53Z</t>
  </si>
  <si>
    <t>5176638_1291317</t>
  </si>
  <si>
    <t>Can Özkan</t>
  </si>
  <si>
    <t>p_423c7288a7c9cbf6484b3ebe2cfb649c0cf84cf4@inbound.aiesec.org</t>
  </si>
  <si>
    <t>https://expa.aiesec.org/opportunities/1291317</t>
  </si>
  <si>
    <t>2023-01-14T22:03:46Z</t>
  </si>
  <si>
    <t>5100869_1286836</t>
  </si>
  <si>
    <t>oum keltoum chekhab</t>
  </si>
  <si>
    <t>p_6f77bde04e20fc50cbcbbb5d569d6dd6a3e9f30d@inbound.aiesec.org</t>
  </si>
  <si>
    <t>2022-08-28T01:12:27Z</t>
  </si>
  <si>
    <t>5275439_1287908</t>
  </si>
  <si>
    <t>bassem nouar</t>
  </si>
  <si>
    <t>p_2d510e0afe9d9da4de29396d9b4c73f5a7c3ed07@inbound.aiesec.org</t>
  </si>
  <si>
    <t>https://expa.aiesec.org/opportunities/1287908</t>
  </si>
  <si>
    <t>Marketer (Duplicated) (Duplicated)</t>
  </si>
  <si>
    <t>2023-06-14T23:11:35Z</t>
  </si>
  <si>
    <t>5274354_1294452</t>
  </si>
  <si>
    <t>Yash Rajgarhia</t>
  </si>
  <si>
    <t>p_d289c968226df4a40994df209661901ca788ecc4@inbound.aiesec.org</t>
  </si>
  <si>
    <t>2023-06-12T11:09:06Z</t>
  </si>
  <si>
    <t>5285634_1293333</t>
  </si>
  <si>
    <t>Helen nur Yagan</t>
  </si>
  <si>
    <t>p_251dc8e0a40dad57c005883958fe88c4d9f8466a@inbound.aiesec.org</t>
  </si>
  <si>
    <t>2023-07-15T22:26:03Z</t>
  </si>
  <si>
    <t>5283856_1292728</t>
  </si>
  <si>
    <t>Beyza Nur Yılmazcan</t>
  </si>
  <si>
    <t>p_6486f89914d8d63e210756601c7894690e1915af@inbound.aiesec.org</t>
  </si>
  <si>
    <t>2023-07-10T11:17:17Z</t>
  </si>
  <si>
    <t>5261089_1287488</t>
  </si>
  <si>
    <t>Fadwa alaa</t>
  </si>
  <si>
    <t>p_5716c89e3a597b77a19b07c1df5b7c8b8e5d0259@inbound.aiesec.org</t>
  </si>
  <si>
    <t>2023-05-14T21:54:08Z</t>
  </si>
  <si>
    <t>4109741_1294877</t>
  </si>
  <si>
    <t>karim hassab</t>
  </si>
  <si>
    <t>p_648aad3f9314d708936d3eed2751c8e9add36c59@inbound.aiesec.org</t>
  </si>
  <si>
    <t>2019-12-20T11:41:57Z</t>
  </si>
  <si>
    <t>5278592_1286837</t>
  </si>
  <si>
    <t>ARUNA ZHOLDYBAY</t>
  </si>
  <si>
    <t>p_b26f1a616e0068ff677680da532925bee9953dc3@inbound.aiesec.org</t>
  </si>
  <si>
    <t>2023-06-23T09:02:50Z</t>
  </si>
  <si>
    <t>5252389_1290024</t>
  </si>
  <si>
    <t>p_38080c4f39c311155a615a03adf5a4670df1f6dd@inbound.aiesec.org</t>
  </si>
  <si>
    <t>2023-04-29T10:31:32Z</t>
  </si>
  <si>
    <t>5275389_1296727</t>
  </si>
  <si>
    <t>Zülal Çınar</t>
  </si>
  <si>
    <t>p_34ff86e365b0c63b5dea7b8728e085a3d0762f22@inbound.aiesec.org</t>
  </si>
  <si>
    <t>https://expa.aiesec.org/opportunities/1296727</t>
  </si>
  <si>
    <t>2023-06-14T19:21:21Z</t>
  </si>
  <si>
    <t>5281121_1287488</t>
  </si>
  <si>
    <t>Afsun Ozdemir</t>
  </si>
  <si>
    <t>p_2099f001d3ce37aae4ac4dcad8bfafa7cd82d6c0@inbound.aiesec.org</t>
  </si>
  <si>
    <t>UCL</t>
  </si>
  <si>
    <t>University College London</t>
  </si>
  <si>
    <t>2023-07-01T12:35:24Z</t>
  </si>
  <si>
    <t>3774500_1296419</t>
  </si>
  <si>
    <t>hanaa Abouzakri</t>
  </si>
  <si>
    <t>p_9dc5d9f827987eb56c869962c71b7804eff64230@inbound.aiesec.org</t>
  </si>
  <si>
    <t>https://expa.aiesec.org/opportunities/1296419</t>
  </si>
  <si>
    <t>Account Management</t>
  </si>
  <si>
    <t>Other-AGADIR</t>
  </si>
  <si>
    <t>2019-08-17T18:44:39Z</t>
  </si>
  <si>
    <t>5286179_1286059</t>
  </si>
  <si>
    <t>Toufik Drafli</t>
  </si>
  <si>
    <t>p_2ebfd17214e2111a049f190f5be9ce34467f7597@inbound.aiesec.org</t>
  </si>
  <si>
    <t>2023-07-17T17:12:08Z</t>
  </si>
  <si>
    <t>5230562_1296327</t>
  </si>
  <si>
    <t>ranya ninir</t>
  </si>
  <si>
    <t>p_0c9a39918198d4d0f8a05550dccc3f796174cffa@inbound.aiesec.org</t>
  </si>
  <si>
    <t>https://expa.aiesec.org/opportunities/1296327</t>
  </si>
  <si>
    <t>FMP Marrakech</t>
  </si>
  <si>
    <t>2023-03-29T22:45:48Z</t>
  </si>
  <si>
    <t>5260221_1295986</t>
  </si>
  <si>
    <t>Nassima Farhi</t>
  </si>
  <si>
    <t>p_a1a2d5528870b3b2cc4a4f0a7a2418a657698859@inbound.aiesec.org</t>
  </si>
  <si>
    <t>https://expa.aiesec.org/opportunities/1295986</t>
  </si>
  <si>
    <t>2023-05-12T21:40:16Z</t>
  </si>
  <si>
    <t>3943564_1289261</t>
  </si>
  <si>
    <t>Abrar Salam</t>
  </si>
  <si>
    <t>p_47213df8a9085a13c7d53e579b3bf41bc59e4078@inbound.aiesec.org</t>
  </si>
  <si>
    <t>2019-11-01T21:20:33Z</t>
  </si>
  <si>
    <t>5269130_1294209</t>
  </si>
  <si>
    <t>Devrim Can Çete</t>
  </si>
  <si>
    <t>p_24262e627d22307bf48e5385f521d5ac16e2a48e@inbound.aiesec.org</t>
  </si>
  <si>
    <t>2023-05-30T20:41:10Z</t>
  </si>
  <si>
    <t>5124515_1294209</t>
  </si>
  <si>
    <t>Aysel Yörük</t>
  </si>
  <si>
    <t>p_1864f7819bb34e298b33660faa42a635f381fbf9@inbound.aiesec.org</t>
  </si>
  <si>
    <t>2022-10-03T17:51:41Z</t>
  </si>
  <si>
    <t>5079398_1295982</t>
  </si>
  <si>
    <t>Yassine Slimene</t>
  </si>
  <si>
    <t>p_d8529061cd48fdddf88cb845f25bc6469d817a21@inbound.aiesec.org</t>
  </si>
  <si>
    <t>https://expa.aiesec.org/opportunities/1295982</t>
  </si>
  <si>
    <t>2022-07-03T19:57:38Z</t>
  </si>
  <si>
    <t>5284429_1296101</t>
  </si>
  <si>
    <t>Lamis Mohammed Ibrahim</t>
  </si>
  <si>
    <t>p_d6b93ce01074a9b5f9e98d17f445263510be0d14@inbound.aiesec.org</t>
  </si>
  <si>
    <t>2023-07-11T21:02:28Z</t>
  </si>
  <si>
    <t>5232632_1296477</t>
  </si>
  <si>
    <t>1407489_1295042</t>
  </si>
  <si>
    <t>iskander sokraf</t>
  </si>
  <si>
    <t>p_f62301e95eb1baad47e327b6ee54b5f9c2ed81d6@inbound.aiesec.org</t>
  </si>
  <si>
    <t>2017-03-10T19:15:49Z</t>
  </si>
  <si>
    <t>5285997_1295042</t>
  </si>
  <si>
    <t>Khadija Ayedi</t>
  </si>
  <si>
    <t>p_89d2cf28b7b47db4c1fa7a115bb88fea0d6e1658@inbound.aiesec.org</t>
  </si>
  <si>
    <t>2023-07-17T08:36:45Z</t>
  </si>
  <si>
    <t>5284057_1296994</t>
  </si>
  <si>
    <t>Ece Nur Öngören</t>
  </si>
  <si>
    <t>p_6ac7baaac74d96d69974e9e063c3aa0b162388a0@inbound.aiesec.org</t>
  </si>
  <si>
    <t>https://expa.aiesec.org/opportunities/1296994</t>
  </si>
  <si>
    <t>2023-07-10T17:42:36Z</t>
  </si>
  <si>
    <t>5139172_1296317</t>
  </si>
  <si>
    <t>Olfa Hammedi</t>
  </si>
  <si>
    <t>p_f00feabc15b208cd543421cc089a476afe7942d1@inbound.aiesec.org</t>
  </si>
  <si>
    <t>https://expa.aiesec.org/opportunities/1296317</t>
  </si>
  <si>
    <t>2022-10-23T22:05:43Z</t>
  </si>
  <si>
    <t>5267073_1294662</t>
  </si>
  <si>
    <t>Elif Nur Uran</t>
  </si>
  <si>
    <t>p_60d59e828bc1fb3b4ce6f4c127dcc709c626d737@inbound.aiesec.org</t>
  </si>
  <si>
    <t>KIELCE</t>
  </si>
  <si>
    <t>https://expa.aiesec.org/opportunities/1294662</t>
  </si>
  <si>
    <t>2023-05-26T13:37:49Z</t>
  </si>
  <si>
    <t>5237618_1295572</t>
  </si>
  <si>
    <t>5233933_1295572</t>
  </si>
  <si>
    <t>5184743_1295572</t>
  </si>
  <si>
    <t>5159094_1290682</t>
  </si>
  <si>
    <t>https://expa.aiesec.org/opportunities/1290682</t>
  </si>
  <si>
    <t>5282055_1294061</t>
  </si>
  <si>
    <t>Samaya Pashayeva</t>
  </si>
  <si>
    <t>p_a0f416574cf4fed9c8912c9601fec7c3d9515feb@inbound.aiesec.org</t>
  </si>
  <si>
    <t>2023-07-04T11:44:51Z</t>
  </si>
  <si>
    <t>5286479_1295893</t>
  </si>
  <si>
    <t>Michele Lomazzo</t>
  </si>
  <si>
    <t>p_5d2b02a6fa2e153e822000f5e12ca33bca281cac@inbound.aiesec.org</t>
  </si>
  <si>
    <t>2023-07-18T08:09:53Z</t>
  </si>
  <si>
    <t>5236414_1287702</t>
  </si>
  <si>
    <t>Nourhan Ahmad</t>
  </si>
  <si>
    <t>p_28a9cead871d53876856f99702bab5b9e62ea281@inbound.aiesec.org</t>
  </si>
  <si>
    <t>2023-04-06T14:35:29Z</t>
  </si>
  <si>
    <t>5286222_1262994</t>
  </si>
  <si>
    <t>abdelrahman mussa</t>
  </si>
  <si>
    <t>p_e5132016ee477ceb47a9776ac5d3aae5997caaed@inbound.aiesec.org</t>
  </si>
  <si>
    <t>2023-07-17T19:44:50Z</t>
  </si>
  <si>
    <t>5285516_1292579</t>
  </si>
  <si>
    <t>p_7e2722f407cf7db5d176ed379a6d60adab67f309@inbound.aiesec.org</t>
  </si>
  <si>
    <t>2023-07-15T14:32:26Z</t>
  </si>
  <si>
    <t>5273447_1294209</t>
  </si>
  <si>
    <t>Tülay Sude Çetinkaya</t>
  </si>
  <si>
    <t>p_5953022613b44f50a77047dad67c9eb3198657eb@inbound.aiesec.org</t>
  </si>
  <si>
    <t>2023-06-09T17:57:05Z</t>
  </si>
  <si>
    <t>5268467_1294209</t>
  </si>
  <si>
    <t>Feyza er</t>
  </si>
  <si>
    <t>p_dd024d2f6fca27881ba652857821a8fb57580398@inbound.aiesec.org</t>
  </si>
  <si>
    <t>2023-05-29T20:42:56Z</t>
  </si>
  <si>
    <t>5284423_1286368</t>
  </si>
  <si>
    <t>Romina Balla</t>
  </si>
  <si>
    <t>p_ce31495c3c796b6d482b850ba548bfdbfdd95f69@inbound.aiesec.org</t>
  </si>
  <si>
    <t>North Tirana</t>
  </si>
  <si>
    <t>Faculty of Foreign Languages Tirana University</t>
  </si>
  <si>
    <t>2023-07-11T20:32:14Z</t>
  </si>
  <si>
    <t>4980267_1296816</t>
  </si>
  <si>
    <t>Selçuk Selçuk</t>
  </si>
  <si>
    <t>p_0e5ccd8608b5323c434a3698f2fc7103b4fc7425@inbound.aiesec.org</t>
  </si>
  <si>
    <t>https://expa.aiesec.org/opportunities/1296816</t>
  </si>
  <si>
    <t>2022-03-12T14:54:15Z</t>
  </si>
  <si>
    <t>5281456_1295728</t>
  </si>
  <si>
    <t>Yusuf Evren</t>
  </si>
  <si>
    <t>p_6f505cc6490ecaf7699dfe05f095df092b791612@inbound.aiesec.org</t>
  </si>
  <si>
    <t>https://expa.aiesec.org/opportunities/1295728</t>
  </si>
  <si>
    <t>2023-07-02T12:40:17Z</t>
  </si>
  <si>
    <t>5286573_1287210</t>
  </si>
  <si>
    <t>Aiganym Kussaiyn</t>
  </si>
  <si>
    <t>p_db471d5226a6fd754985c86b43fb818ca392c1c4@inbound.aiesec.org</t>
  </si>
  <si>
    <t>2023-07-18T10:45:24Z</t>
  </si>
  <si>
    <t>5285988_1287210</t>
  </si>
  <si>
    <t>Gaukhar Saduakassova</t>
  </si>
  <si>
    <t>p_b5fc53f3e2445454af961ce4466ee73f07a07ec7@inbound.aiesec.org</t>
  </si>
  <si>
    <t>2023-07-17T08:00:57Z</t>
  </si>
  <si>
    <t>5278129_1296670</t>
  </si>
  <si>
    <t>Aalaa Ahmed</t>
  </si>
  <si>
    <t>p_f4783b2aaab7e84baf3704dc9506ab09322ddaba@inbound.aiesec.org</t>
  </si>
  <si>
    <t>2023-06-21T20:05:08Z</t>
  </si>
  <si>
    <t>5287556_1288989</t>
  </si>
  <si>
    <t>Firas Sassi</t>
  </si>
  <si>
    <t>p_c577cd0c1b01829b7567b017d93548712a9a2973@inbound.aiesec.org</t>
  </si>
  <si>
    <t>ESPRIM</t>
  </si>
  <si>
    <t>2023-07-20T14:34:27Z</t>
  </si>
  <si>
    <t>5145219_1296427</t>
  </si>
  <si>
    <t>Aicha Dahmen</t>
  </si>
  <si>
    <t>p_c78d613a9a022881339b7669f5e8ed2d5260e020@inbound.aiesec.org</t>
  </si>
  <si>
    <t>https://expa.aiesec.org/opportunities/1296427</t>
  </si>
  <si>
    <t>Business Development and Sales Manager</t>
  </si>
  <si>
    <t>ISBAS</t>
  </si>
  <si>
    <t>2022-11-02T16:04:52Z</t>
  </si>
  <si>
    <t>4719277_1294537</t>
  </si>
  <si>
    <t>Fatmanur Sönmüş</t>
  </si>
  <si>
    <t>p_8efd63d81e39239f859eeae8b3928d2259213d87@inbound.aiesec.org</t>
  </si>
  <si>
    <t>https://expa.aiesec.org/opportunities/1294537</t>
  </si>
  <si>
    <t>2021-08-25T11:51:26Z</t>
  </si>
  <si>
    <t>5287231_1289536</t>
  </si>
  <si>
    <t>Samiksha Sanjay Singh</t>
  </si>
  <si>
    <t>p_64aca34357909bf27ed426c7f7a0c94d9a0de813@inbound.aiesec.org</t>
  </si>
  <si>
    <t>2023-07-19T16:04:06Z</t>
  </si>
  <si>
    <t>5280178_1296103</t>
  </si>
  <si>
    <t>Phebe Ong</t>
  </si>
  <si>
    <t>p_0056a7f472193661cc578ee3d47fe81a15153b38@inbound.aiesec.org</t>
  </si>
  <si>
    <t>De La Salle University</t>
  </si>
  <si>
    <t>2023-06-28T14:43:06Z</t>
  </si>
  <si>
    <t>5287051_1288609</t>
  </si>
  <si>
    <t>Kardelen ZORBA</t>
  </si>
  <si>
    <t>p_eb9f9fb57463394d0cd006da1bb6cc56e96702bf@inbound.aiesec.org</t>
  </si>
  <si>
    <t>2023-07-19T08:24:14Z</t>
  </si>
  <si>
    <t>5262547_1289505</t>
  </si>
  <si>
    <t>paolo aimar</t>
  </si>
  <si>
    <t>p_7d5e29d0ef43208f0c860ad66aa5a4e4dd305a37@inbound.aiesec.org</t>
  </si>
  <si>
    <t>2023-05-17T17:22:08Z</t>
  </si>
  <si>
    <t>5173420_1290024</t>
  </si>
  <si>
    <t>5284913_1295149</t>
  </si>
  <si>
    <t>Firas Gadhgadhi</t>
  </si>
  <si>
    <t>p_2c8564f281618d6cdd0769ee5814eaf357bfd878@inbound.aiesec.org</t>
  </si>
  <si>
    <t>2023-07-13T11:50:59Z</t>
  </si>
  <si>
    <t>5162364_1294332</t>
  </si>
  <si>
    <t>Amira Abdulnasser</t>
  </si>
  <si>
    <t>p_5f078bfbd09d2687c87fd3115cb05f1d2218bcfe@inbound.aiesec.org</t>
  </si>
  <si>
    <t>2022-12-03T23:36:33Z</t>
  </si>
  <si>
    <t>5165158_1294332</t>
  </si>
  <si>
    <t>Mariam Ibrahim</t>
  </si>
  <si>
    <t>p_25f3d458ad342dfa6e57eaffea19c04ba59e6b0f@inbound.aiesec.org</t>
  </si>
  <si>
    <t>2022-12-11T20:54:44Z</t>
  </si>
  <si>
    <t>5287903_1288871</t>
  </si>
  <si>
    <t>khaoula amdouni</t>
  </si>
  <si>
    <t>p_1ef51444db6a31052ccc205f35b45013a41e204c@inbound.aiesec.org</t>
  </si>
  <si>
    <t>2023-07-21T15:29:18Z</t>
  </si>
  <si>
    <t>5287827_1297133</t>
  </si>
  <si>
    <t>Farah Ben messaoud</t>
  </si>
  <si>
    <t>p_bdee2db9962f4fd6274cb1267c39e79f470acdcc@inbound.aiesec.org</t>
  </si>
  <si>
    <t>https://expa.aiesec.org/opportunities/1297133</t>
  </si>
  <si>
    <t>Russian Telesales Specialist</t>
  </si>
  <si>
    <t>2023-07-21T11:53:10Z</t>
  </si>
  <si>
    <t>5177990_1293407</t>
  </si>
  <si>
    <t>Tuqa Haqiqi</t>
  </si>
  <si>
    <t>p_be9230a006d19232a7f9825653a1340ed4f72ffd@inbound.aiesec.org</t>
  </si>
  <si>
    <t>2023-01-18T15:25:34Z</t>
  </si>
  <si>
    <t>5287599_1282413</t>
  </si>
  <si>
    <t>Ouissem Ben Abd Allah</t>
  </si>
  <si>
    <t>p_e90b7255ed5dd0f68e638fe1dcd70744668f5643@inbound.aiesec.org</t>
  </si>
  <si>
    <t>2023-07-20T16:31:17Z</t>
  </si>
  <si>
    <t>5286547_1283683</t>
  </si>
  <si>
    <t>Nahal Fatima</t>
  </si>
  <si>
    <t>p_39c2bdd95422a24788f65a1fc075f4946a027bd7@inbound.aiesec.org</t>
  </si>
  <si>
    <t>2023-07-18T09:54:48Z</t>
  </si>
  <si>
    <t>5287053_1295460</t>
  </si>
  <si>
    <t>Safa terzeg bhiri</t>
  </si>
  <si>
    <t>p_9d4e52bdb64313ec51341f17f8e7410ec41f5345@inbound.aiesec.org</t>
  </si>
  <si>
    <t>https://expa.aiesec.org/opportunities/1295460</t>
  </si>
  <si>
    <t>English Teacher at Birey</t>
  </si>
  <si>
    <t>2023-07-19T08:28:48Z</t>
  </si>
  <si>
    <t>5286770_1289505</t>
  </si>
  <si>
    <t>Taima Zorgui</t>
  </si>
  <si>
    <t>p_e6721006cedea7229ad24ec7aff813a48e3a1b40@inbound.aiesec.org</t>
  </si>
  <si>
    <t>2023-07-18T16:27:26Z</t>
  </si>
  <si>
    <t>5272104_1287488</t>
  </si>
  <si>
    <t>Lorena Juršić</t>
  </si>
  <si>
    <t>p_3fabe4df5728a7596c6d6c85430fff28caecf5c6@inbound.aiesec.org</t>
  </si>
  <si>
    <t>2023-06-06T15:45:34Z</t>
  </si>
  <si>
    <t>5287452_1286839</t>
  </si>
  <si>
    <t>Samah Mohamed</t>
  </si>
  <si>
    <t>p_a3f21834954a4cbdecde74ac6a23c55a2c5ada89@inbound.aiesec.org</t>
  </si>
  <si>
    <t>2023-07-20T09:27:05Z</t>
  </si>
  <si>
    <t>5234952_1294852</t>
  </si>
  <si>
    <t>https://expa.aiesec.org/opportunities/1294852</t>
  </si>
  <si>
    <t>5287502_1294976</t>
  </si>
  <si>
    <t>Ahmed Khattara</t>
  </si>
  <si>
    <t>p_152ff3f3e9c7c7a5f4dea1a8fa550a6a259e1d63@inbound.aiesec.org</t>
  </si>
  <si>
    <t>2023-07-20T11:49:42Z</t>
  </si>
  <si>
    <t>4258781_1296118</t>
  </si>
  <si>
    <t>Amal Aiech</t>
  </si>
  <si>
    <t>p_e72b2f607d31507d2280bc57581548ed5c6296f4@inbound.aiesec.org</t>
  </si>
  <si>
    <t>2020-03-16T12:00:41Z</t>
  </si>
  <si>
    <t>5286447_1290806</t>
  </si>
  <si>
    <t>Taner Yeşilay</t>
  </si>
  <si>
    <t>p_89f542fd5d6f16194deb9e71817c06526ac7e25c@inbound.aiesec.org</t>
  </si>
  <si>
    <t>2023-07-18T07:47:33Z</t>
  </si>
  <si>
    <t>5182527_1288393</t>
  </si>
  <si>
    <t>5287747_1291411</t>
  </si>
  <si>
    <t>Irmak Karagöz</t>
  </si>
  <si>
    <t>p_fd553ad855cc151668a4d7394d92b93922acea7a@inbound.aiesec.org</t>
  </si>
  <si>
    <t>https://expa.aiesec.org/opportunities/1291411</t>
  </si>
  <si>
    <t>2023-07-21T06:57:20Z</t>
  </si>
  <si>
    <t>5285617_1289505</t>
  </si>
  <si>
    <t>Sarah Belaid</t>
  </si>
  <si>
    <t>p_56f7bad6d1ed51de82b5aefcf8dbb11266774301@inbound.aiesec.org</t>
  </si>
  <si>
    <t>2023-07-15T20:59:42Z</t>
  </si>
  <si>
    <t>5270103_1296493</t>
  </si>
  <si>
    <t>İlayda Batıyel</t>
  </si>
  <si>
    <t>p_88166b5ad5ce1c404d276798f2e2feb3c3d88bc6@inbound.aiesec.org</t>
  </si>
  <si>
    <t>https://expa.aiesec.org/opportunities/1296493</t>
  </si>
  <si>
    <t>2023-06-01T10:52:56Z</t>
  </si>
  <si>
    <t>5127960_1296980</t>
  </si>
  <si>
    <t>Menna Zakaria</t>
  </si>
  <si>
    <t>p_5bc1d65160f863f723e3d2adff58026ed436f597@inbound.aiesec.org</t>
  </si>
  <si>
    <t>https://expa.aiesec.org/opportunities/1296980</t>
  </si>
  <si>
    <t>2022-10-09T08:50:44Z</t>
  </si>
  <si>
    <t>5288283_1293683</t>
  </si>
  <si>
    <t>Can Uyar</t>
  </si>
  <si>
    <t>p_747b86bfda08779c5f12bef60fbb68369fc4df3f@inbound.aiesec.org</t>
  </si>
  <si>
    <t>2023-07-22T23:11:12Z</t>
  </si>
  <si>
    <t>4219762_1294211</t>
  </si>
  <si>
    <t>Mennatallah Ali</t>
  </si>
  <si>
    <t>p_198f4451cdb1773150dd6bd0120583056f452b44@inbound.aiesec.org</t>
  </si>
  <si>
    <t>2020-02-27T13:26:36Z</t>
  </si>
  <si>
    <t>5288877_1297132</t>
  </si>
  <si>
    <t>Safa Bdiri</t>
  </si>
  <si>
    <t>p_382fd6e359e1c4e1ba0cb25bcb3aa8aac6f330d2@inbound.aiesec.org</t>
  </si>
  <si>
    <t>https://expa.aiesec.org/opportunities/1297132</t>
  </si>
  <si>
    <t>English Teacher in Üstün Başarı Collage</t>
  </si>
  <si>
    <t>2023-07-24T16:34:05Z</t>
  </si>
  <si>
    <t>5287443_1288582</t>
  </si>
  <si>
    <t>p_be34dcd888f49fadd71aa38a46ed37ba486a3051@inbound.aiesec.org</t>
  </si>
  <si>
    <t>2023-07-20T09:07:21Z</t>
  </si>
  <si>
    <t>5282577_1288490</t>
  </si>
  <si>
    <t>Abderrahmane Khiari</t>
  </si>
  <si>
    <t>p_d5b2aeab81a4c379bb80774e83b2fecc249c76ae@inbound.aiesec.org</t>
  </si>
  <si>
    <t>2023-07-05T23:58:31Z</t>
  </si>
  <si>
    <t>4667589_1291606</t>
  </si>
  <si>
    <t>4145370_1296521</t>
  </si>
  <si>
    <t>Edanur Pala</t>
  </si>
  <si>
    <t>p_a0c1ff68b2d2184b4a1352fc64f12b314491dea5@inbound.aiesec.org</t>
  </si>
  <si>
    <t>https://expa.aiesec.org/opportunities/1296521</t>
  </si>
  <si>
    <t>Sales representative</t>
  </si>
  <si>
    <t>2020-01-18T13:24:03Z</t>
  </si>
  <si>
    <t>5287548_1296818</t>
  </si>
  <si>
    <t>Freya Jain</t>
  </si>
  <si>
    <t>p_3d00d4a9696b0dde4846c09aabe31597515ee6ac@inbound.aiesec.org</t>
  </si>
  <si>
    <t>https://expa.aiesec.org/opportunities/1296818</t>
  </si>
  <si>
    <t>2023-07-20T14:15:52Z</t>
  </si>
  <si>
    <t>5288408_1289032</t>
  </si>
  <si>
    <t>Ruslan Olmesov</t>
  </si>
  <si>
    <t>p_4c6ccfc53a9ce3eb7c566febcdbd9a251187761f@inbound.aiesec.org</t>
  </si>
  <si>
    <t>Rostov-on-Don</t>
  </si>
  <si>
    <t>https://expa.aiesec.org/opportunities/1289032</t>
  </si>
  <si>
    <t>Marketing Specialist - Spanish</t>
  </si>
  <si>
    <t>2023-07-23T11:10:31Z</t>
  </si>
  <si>
    <t>5211794_1289174</t>
  </si>
  <si>
    <t>https://expa.aiesec.org/opportunities/1289174</t>
  </si>
  <si>
    <t>5142036_1288837</t>
  </si>
  <si>
    <t>5224221_1296464</t>
  </si>
  <si>
    <t>Sevda Günenç</t>
  </si>
  <si>
    <t>p_b9c3f6a6e0db8a83dae0307b95382b656299bc14@inbound.aiesec.org</t>
  </si>
  <si>
    <t>Kasetsart University</t>
  </si>
  <si>
    <t>https://expa.aiesec.org/opportunities/1296464</t>
  </si>
  <si>
    <t>2023-03-22T17:01:53Z</t>
  </si>
  <si>
    <t>5208531_1259741</t>
  </si>
  <si>
    <t>Shimaa Yasser</t>
  </si>
  <si>
    <t>p_6979fd5076bcb06517b7f075e8b345485cc6399f@inbound.aiesec.org</t>
  </si>
  <si>
    <t>Fayoum</t>
  </si>
  <si>
    <t>2023-03-07T11:56:02Z</t>
  </si>
  <si>
    <t>5283640_1294653</t>
  </si>
  <si>
    <t>Rimel Chabbah</t>
  </si>
  <si>
    <t>p_c45c3ee8f93e8fc19436507d9172bc4b78456879@inbound.aiesec.org</t>
  </si>
  <si>
    <t>https://expa.aiesec.org/opportunities/1294653</t>
  </si>
  <si>
    <t>2023-07-09T16:12:16Z</t>
  </si>
  <si>
    <t>5289957_1295285</t>
  </si>
  <si>
    <t>chada mensi</t>
  </si>
  <si>
    <t>p_0e15242099f4212c58b5c92affa864061e19d945@inbound.aiesec.org</t>
  </si>
  <si>
    <t>2023-07-26T17:37:31Z</t>
  </si>
  <si>
    <t>5289197_1294622</t>
  </si>
  <si>
    <t>Marharyta Didkivska</t>
  </si>
  <si>
    <t>p_e5f8aa586038ed5a82a62f6cc4b8330d7c62b38a@inbound.aiesec.org</t>
  </si>
  <si>
    <t>2023-07-25T09:45:55Z</t>
  </si>
  <si>
    <t>4991970_1289505</t>
  </si>
  <si>
    <t>Mohamed Nadhir Groun</t>
  </si>
  <si>
    <t>p_23723cec72170e46946d9b4c51247e5587856d65@inbound.aiesec.org</t>
  </si>
  <si>
    <t>2022-03-18T21:13:40Z</t>
  </si>
  <si>
    <t>5276513_1295167</t>
  </si>
  <si>
    <t>Farouk Kouider Moussaoui</t>
  </si>
  <si>
    <t>p_c569153932a964fafade88bfb1d464d2dc3d9dbc@inbound.aiesec.org</t>
  </si>
  <si>
    <t>https://expa.aiesec.org/opportunities/1295167</t>
  </si>
  <si>
    <t>2023-06-17T22:11:35Z</t>
  </si>
  <si>
    <t>5282078_1296105</t>
  </si>
  <si>
    <t>Natasha Abbas</t>
  </si>
  <si>
    <t>p_1adfdfef31b64073e87dd0fd23e938da650bb70d@inbound.aiesec.org</t>
  </si>
  <si>
    <t xml:space="preserve">Islamabad - Foundation University </t>
  </si>
  <si>
    <t>2023-07-04T12:33:03Z</t>
  </si>
  <si>
    <t>5272207_1296387</t>
  </si>
  <si>
    <t>Azza Salhi</t>
  </si>
  <si>
    <t>p_bac5937b310af7071baa750520c0669dc3824d58@inbound.aiesec.org</t>
  </si>
  <si>
    <t>https://expa.aiesec.org/opportunities/1296387</t>
  </si>
  <si>
    <t>FSEG Mahdia</t>
  </si>
  <si>
    <t>2023-06-06T20:59:00Z</t>
  </si>
  <si>
    <t>4909256_1296453</t>
  </si>
  <si>
    <t>Mario Yousri</t>
  </si>
  <si>
    <t>p_d68a797af865867c29ce6eb95498f65c363bf521@inbound.aiesec.org</t>
  </si>
  <si>
    <t>2022-02-01T19:18:09Z</t>
  </si>
  <si>
    <t>5289491_1291989</t>
  </si>
  <si>
    <t>Nour Elhouda Bassalah</t>
  </si>
  <si>
    <t>p_5b2e2d94dbffa9dc7f99815f220655947147c97f@inbound.aiesec.org</t>
  </si>
  <si>
    <t>2023-07-25T22:07:53Z</t>
  </si>
  <si>
    <t>5257973_1297080</t>
  </si>
  <si>
    <t>Haifa Daoudi</t>
  </si>
  <si>
    <t>p_12da8263dddbc2218a5da6c73b6f6a3475f26134@inbound.aiesec.org</t>
  </si>
  <si>
    <t>https://expa.aiesec.org/opportunities/1297080</t>
  </si>
  <si>
    <t>English Coach in SARKUYSAN Company</t>
  </si>
  <si>
    <t>2023-05-09T01:28:40Z</t>
  </si>
  <si>
    <t>5287795_1294860</t>
  </si>
  <si>
    <t>Yavuz Selim Çil</t>
  </si>
  <si>
    <t>p_8d4f00a24f9083614e95cd7eef633d913598d8a6@inbound.aiesec.org</t>
  </si>
  <si>
    <t>https://expa.aiesec.org/opportunities/1294860</t>
  </si>
  <si>
    <t>2023-07-21T10:23:11Z</t>
  </si>
  <si>
    <t>5170712_1294860</t>
  </si>
  <si>
    <t>Ecenur Çetiner</t>
  </si>
  <si>
    <t>p_91feffb743cdfe88bd1ae64cd767b70bc7e8700d@inbound.aiesec.org</t>
  </si>
  <si>
    <t>2022-12-27T14:19:05Z</t>
  </si>
  <si>
    <t>5286186_1296671</t>
  </si>
  <si>
    <t>Sherwet Tarek</t>
  </si>
  <si>
    <t>p_c4573b104a28e260c0a1e251b22daf56e210f3da@inbound.aiesec.org</t>
  </si>
  <si>
    <t>2023-07-17T17:24:03Z</t>
  </si>
  <si>
    <t>5290023_1292298</t>
  </si>
  <si>
    <t>Erkan Örün</t>
  </si>
  <si>
    <t>p_a55c55fdd3da6f98ae06bdfa6bdd107424fbdc37@inbound.aiesec.org</t>
  </si>
  <si>
    <t>2023-07-26T20:40:24Z</t>
  </si>
  <si>
    <t>5290028_1292298</t>
  </si>
  <si>
    <t>İrem Kaçar</t>
  </si>
  <si>
    <t>p_4f67ac0d47f3044258b60bd821a879e570ab039a@inbound.aiesec.org</t>
  </si>
  <si>
    <t>2023-07-26T20:46:37Z</t>
  </si>
  <si>
    <t>5289783_1277333</t>
  </si>
  <si>
    <t>Faten Barhoumi</t>
  </si>
  <si>
    <t>p_566b073ba3465a651a13cc67f675237358013f6c@inbound.aiesec.org</t>
  </si>
  <si>
    <t>2023-07-26T12:55:16Z</t>
  </si>
  <si>
    <t>5288866_1295363</t>
  </si>
  <si>
    <t>Sena Çankaya</t>
  </si>
  <si>
    <t>p_a523c78edb97bb4d8caa436038a9d4f33743e2c3@inbound.aiesec.org</t>
  </si>
  <si>
    <t>https://expa.aiesec.org/opportunities/1295363</t>
  </si>
  <si>
    <t>2023-07-24T16:15:40Z</t>
  </si>
  <si>
    <t>5178029_1294622</t>
  </si>
  <si>
    <t>Eya Marzouk Bahri</t>
  </si>
  <si>
    <t>p_3d578ad82de526484bedcc86079753a3a069b3c5@inbound.aiesec.org</t>
  </si>
  <si>
    <t>2023-01-18T16:32:19Z</t>
  </si>
  <si>
    <t>5281676_1296819</t>
  </si>
  <si>
    <t>Andi Safitri Manggarani Baso</t>
  </si>
  <si>
    <t>p_00d4cccc0a29765b480c8ae8f3c6d00723642ad9@inbound.aiesec.org</t>
  </si>
  <si>
    <t>UB</t>
  </si>
  <si>
    <t>https://expa.aiesec.org/opportunities/1296819</t>
  </si>
  <si>
    <t>Universitas Brawijaya</t>
  </si>
  <si>
    <t>2023-07-03T08:56:54Z</t>
  </si>
  <si>
    <t>4543862_1287226</t>
  </si>
  <si>
    <t>Hamda Farah</t>
  </si>
  <si>
    <t>p_1731ac41595325081064c96ee80adcb25a430f68@inbound.aiesec.org</t>
  </si>
  <si>
    <t>2021-02-13T10:06:26Z</t>
  </si>
  <si>
    <t>5291404_1294332</t>
  </si>
  <si>
    <t>Muhammed Ali</t>
  </si>
  <si>
    <t>p_de642d86818eb5583519173e18c2d64e2fc5c073@inbound.aiesec.org</t>
  </si>
  <si>
    <t>2023-07-29T12:29:57Z</t>
  </si>
  <si>
    <t>1784693_1288486</t>
  </si>
  <si>
    <t>sarah taha</t>
  </si>
  <si>
    <t>p_408aa68f9b2b9e17d731101568ad8d65462d21dd@inbound.aiesec.org</t>
  </si>
  <si>
    <t>https://expa.aiesec.org/opportunities/1288486</t>
  </si>
  <si>
    <t>2017-10-10T06:35:22Z</t>
  </si>
  <si>
    <t>5277968_1295811</t>
  </si>
  <si>
    <t>gamze çiçek</t>
  </si>
  <si>
    <t>p_b02e150160e2884cc672b234344cdab7c7e5e136@inbound.aiesec.org</t>
  </si>
  <si>
    <t>2023-06-21T12:57:37Z</t>
  </si>
  <si>
    <t>5273678_1296101</t>
  </si>
  <si>
    <t>Amanullah wassan</t>
  </si>
  <si>
    <t>p_ba9b4f13425ae69f07a735c3fa4e754c856bf6c5@inbound.aiesec.org</t>
  </si>
  <si>
    <t>Karachi - Ziauddin University</t>
  </si>
  <si>
    <t>2023-06-10T15:12:13Z</t>
  </si>
  <si>
    <t>5280329_1288864</t>
  </si>
  <si>
    <t>Hadjar Sefiane</t>
  </si>
  <si>
    <t>p_73a8368273cf2701c94d3106db7302b1ee0ba954@inbound.aiesec.org</t>
  </si>
  <si>
    <t>2023-06-29T08:12:12Z</t>
  </si>
  <si>
    <t>5158229_1289596</t>
  </si>
  <si>
    <t>Omnia Adli</t>
  </si>
  <si>
    <t>p_1940fbca91d72b5888df41381a56a54f1972f2d7@inbound.aiesec.org</t>
  </si>
  <si>
    <t>2022-11-24T09:37:03Z</t>
  </si>
  <si>
    <t>5290394_1290643</t>
  </si>
  <si>
    <t>Ebrar Çeven</t>
  </si>
  <si>
    <t>p_928d43fa9855cbe61ef00bf7d582d2f2639884d4@inbound.aiesec.org</t>
  </si>
  <si>
    <t>2023-07-27T14:52:27Z</t>
  </si>
  <si>
    <t>5291902_1277661</t>
  </si>
  <si>
    <t>Roumaissa Khadidja Mosbah</t>
  </si>
  <si>
    <t>p_519c742de149b0683f9b19f15ab0ff2c947ea247@inbound.aiesec.org</t>
  </si>
  <si>
    <t>2023-07-30T19:39:33Z</t>
  </si>
  <si>
    <t>5270103_1295055</t>
  </si>
  <si>
    <t>https://expa.aiesec.org/opportunities/1295055</t>
  </si>
  <si>
    <t>5283302_1295874</t>
  </si>
  <si>
    <t>Kutay Erdil Ük</t>
  </si>
  <si>
    <t>p_0c075cf8486ee2807b09a8e65ca4345f7f1b457c@inbound.aiesec.org</t>
  </si>
  <si>
    <t>2023-07-08T11:35:35Z</t>
  </si>
  <si>
    <t>5289918_1294860</t>
  </si>
  <si>
    <t>Ayşenur Çetiner</t>
  </si>
  <si>
    <t>p_47e03d069d415e6799f30e0ad3198b785dc75595@inbound.aiesec.org</t>
  </si>
  <si>
    <t>2023-07-26T16:03:01Z</t>
  </si>
  <si>
    <t>5290861_1273874</t>
  </si>
  <si>
    <t>Querem Anselmo</t>
  </si>
  <si>
    <t>p_52a48269bcd590b43c1441d444cd41477a793693@inbound.aiesec.org</t>
  </si>
  <si>
    <t>2023-07-28T13:06:04Z</t>
  </si>
  <si>
    <t>5290730_1294898</t>
  </si>
  <si>
    <t>Merve Kara</t>
  </si>
  <si>
    <t>p_1ef8c31c4b979b63ecca610e3d4a0affe0ee0e1a@inbound.aiesec.org</t>
  </si>
  <si>
    <t>https://expa.aiesec.org/opportunities/1294898</t>
  </si>
  <si>
    <t>Marketing intern</t>
  </si>
  <si>
    <t>2023-07-28T11:16:33Z</t>
  </si>
  <si>
    <t>5291898_1294137</t>
  </si>
  <si>
    <t>Melike hümeyra Yakupoğlu</t>
  </si>
  <si>
    <t>p_f1d723ee35edfd758ac36f637ad65a0a05679c8e@inbound.aiesec.org</t>
  </si>
  <si>
    <t>2023-07-30T19:23:43Z</t>
  </si>
  <si>
    <t>5291074_1279525</t>
  </si>
  <si>
    <t>Assia Issoulah</t>
  </si>
  <si>
    <t>p_d52c0fbc02e9b34b124e3c9c036be1cf8b513d91@inbound.aiesec.org</t>
  </si>
  <si>
    <t>2023-07-28T17:29:48Z</t>
  </si>
  <si>
    <t>5288456_1297112</t>
  </si>
  <si>
    <t>Emel Alcan</t>
  </si>
  <si>
    <t>p_d4db09c5fe3866a81891d192b00814d220de499c@inbound.aiesec.org</t>
  </si>
  <si>
    <t>https://expa.aiesec.org/opportunities/1297112</t>
  </si>
  <si>
    <t>2023-07-23T14:12:20Z</t>
  </si>
  <si>
    <t>5281706_1290387</t>
  </si>
  <si>
    <t>Deniz Su Tepe</t>
  </si>
  <si>
    <t>p_9c797f917a51f44cd23cdf36ef769128bb2a01fe@inbound.aiesec.org</t>
  </si>
  <si>
    <t>2023-07-03T11:00:33Z</t>
  </si>
  <si>
    <t>5290794_1293244</t>
  </si>
  <si>
    <t>Sarah Gouda</t>
  </si>
  <si>
    <t>p_e0f3de8d2b01a67d4adc8f5e48d9bd8c33cc6eec@inbound.aiesec.org</t>
  </si>
  <si>
    <t>2023-07-28T12:30:39Z</t>
  </si>
  <si>
    <t>4467555_1292683</t>
  </si>
  <si>
    <t>Fatima Zahra Essameut</t>
  </si>
  <si>
    <t>p_937ecfa2412cf6c6642410c56b59b9e8de343818@inbound.aiesec.org</t>
  </si>
  <si>
    <t>2020-12-05T23:25:03Z</t>
  </si>
  <si>
    <t>5135995_1285555</t>
  </si>
  <si>
    <t>p_2f59e642a0394878eb2d376235f41497de81719d@inbound.aiesec.org</t>
  </si>
  <si>
    <t>2022-10-18T15:35:22Z</t>
  </si>
  <si>
    <t>5288712_1291769</t>
  </si>
  <si>
    <t>Zeynepnur Anayurt</t>
  </si>
  <si>
    <t>p_cfac34ebc05d9f3be63481cd3ec75381ae4adaed@inbound.aiesec.org</t>
  </si>
  <si>
    <t>https://expa.aiesec.org/opportunities/1291769</t>
  </si>
  <si>
    <t>2023-07-24T10:08:44Z</t>
  </si>
  <si>
    <t>5288900_1297711</t>
  </si>
  <si>
    <t>Eya Dhib</t>
  </si>
  <si>
    <t>p_7a1f319b9a58d6da1aaff29db4fa09df1aba9162@inbound.aiesec.org</t>
  </si>
  <si>
    <t>https://expa.aiesec.org/opportunities/1297711</t>
  </si>
  <si>
    <t>English Teacher in British Culture</t>
  </si>
  <si>
    <t>2023-07-24T17:35:45Z</t>
  </si>
  <si>
    <t>5289606_1288490</t>
  </si>
  <si>
    <t>MARIUS ASAN</t>
  </si>
  <si>
    <t>p_06ad2c01f79b8e5e793ad4b8e4829a535c5ce08b@inbound.aiesec.org</t>
  </si>
  <si>
    <t>2023-07-26T08:21:54Z</t>
  </si>
  <si>
    <t>5204622_1293735</t>
  </si>
  <si>
    <t>Ceren Yeralçak</t>
  </si>
  <si>
    <t>p_22086d675022ec0eeb1bda611ba8913dcd79b150@inbound.aiesec.org</t>
  </si>
  <si>
    <t>https://expa.aiesec.org/opportunities/1293735</t>
  </si>
  <si>
    <t>2023-03-03T13:49:27Z</t>
  </si>
  <si>
    <t>5286874_1286839</t>
  </si>
  <si>
    <t>Rehab Chihab</t>
  </si>
  <si>
    <t>p_c1968e9cb0c3396aeda93da34b3fa484de5b3a0a@inbound.aiesec.org</t>
  </si>
  <si>
    <t>2023-07-18T20:47:35Z</t>
  </si>
  <si>
    <t>5279488_1297652</t>
  </si>
  <si>
    <t>M'hamed Ben Badida</t>
  </si>
  <si>
    <t>p_1c4df789930685e849f84213e6d3f32ec670a2d5@inbound.aiesec.org</t>
  </si>
  <si>
    <t>https://expa.aiesec.org/opportunities/1297652</t>
  </si>
  <si>
    <t>2023-06-26T10:47:21Z</t>
  </si>
  <si>
    <t>5258299_1291055</t>
  </si>
  <si>
    <t>Ange Vanette MBASSI Ihna</t>
  </si>
  <si>
    <t>p_35c79452a0abc257c4b68975a8d7b5d0321bc46b@inbound.aiesec.org</t>
  </si>
  <si>
    <t>Douala</t>
  </si>
  <si>
    <t>UNV Douala</t>
  </si>
  <si>
    <t>2023-05-09T13:39:00Z</t>
  </si>
  <si>
    <t>1633914_1296424</t>
  </si>
  <si>
    <t>Tounsi Imen</t>
  </si>
  <si>
    <t>p_39aa3d7d6314042cf85867796b7af79549144930@inbound.aiesec.org</t>
  </si>
  <si>
    <t>https://expa.aiesec.org/opportunities/1296424</t>
  </si>
  <si>
    <t>2017-06-26T03:40:39Z</t>
  </si>
  <si>
    <t>5293207_1296851</t>
  </si>
  <si>
    <t>Marwa Djobby</t>
  </si>
  <si>
    <t>p_586eb61670b5a742c538fd135ea91c7dcf248e74@inbound.aiesec.org</t>
  </si>
  <si>
    <t>https://expa.aiesec.org/opportunities/1296851</t>
  </si>
  <si>
    <t>2023-08-02T12:10:37Z</t>
  </si>
  <si>
    <t>5273661_1295002</t>
  </si>
  <si>
    <t>Chaima Tarhouni</t>
  </si>
  <si>
    <t>p_bac587016c1cc9db205df8feecd9661e7b224e6c@inbound.aiesec.org</t>
  </si>
  <si>
    <t>2023-06-10T14:08:23Z</t>
  </si>
  <si>
    <t>5291927_1293711</t>
  </si>
  <si>
    <t>Gamze Kök</t>
  </si>
  <si>
    <t>p_7211b752644776c239bd15778a9c273111b35224@inbound.aiesec.org</t>
  </si>
  <si>
    <t>https://expa.aiesec.org/opportunities/1293711</t>
  </si>
  <si>
    <t>2023-07-30T21:47:07Z</t>
  </si>
  <si>
    <t>5162160_1286059</t>
  </si>
  <si>
    <t>Ouahiba ABDAOUI</t>
  </si>
  <si>
    <t>p_a6b6bd0de9f2e39c066e65433d4abde1bfb0955c@inbound.aiesec.org</t>
  </si>
  <si>
    <t>2022-12-03T11:58:29Z</t>
  </si>
  <si>
    <t>5269019_1294209</t>
  </si>
  <si>
    <t>5169077_1291071</t>
  </si>
  <si>
    <t>HASSAN I.H. SALHAT</t>
  </si>
  <si>
    <t>p_ec90f975a409f6966c38261842706fe11c30beb4@inbound.aiesec.org</t>
  </si>
  <si>
    <t>https://expa.aiesec.org/opportunities/1291071</t>
  </si>
  <si>
    <t>2022-12-22T09:55:24Z</t>
  </si>
  <si>
    <t>5291851_1294137</t>
  </si>
  <si>
    <t>merve yakupoğlu</t>
  </si>
  <si>
    <t>p_d31b522bca87d07f2f67a7151f21ca957c072864@inbound.aiesec.org</t>
  </si>
  <si>
    <t>2023-07-30T15:38:37Z</t>
  </si>
  <si>
    <t>5291843_1294137</t>
  </si>
  <si>
    <t>Yusuf Abdullah Yakupoğlu</t>
  </si>
  <si>
    <t>p_63e1cf6102c665b8837c7d2129d394b22827f081@inbound.aiesec.org</t>
  </si>
  <si>
    <t>2023-07-30T15:33:10Z</t>
  </si>
  <si>
    <t>2609460_1294352</t>
  </si>
  <si>
    <t>Zehra Nur Kızıl</t>
  </si>
  <si>
    <t>p_771c2ac863f8ab1723708939d0929a30829cd4fa@inbound.aiesec.org</t>
  </si>
  <si>
    <t>https://expa.aiesec.org/opportunities/1294352</t>
  </si>
  <si>
    <t>KIRKLARELI</t>
  </si>
  <si>
    <t>2018-10-05T15:44:35Z</t>
  </si>
  <si>
    <t>5265134_1291055</t>
  </si>
  <si>
    <t>Emagou Latifa junelle</t>
  </si>
  <si>
    <t>p_61ebd6081d8cf1d6091360c197a7b7e88a208cac@inbound.aiesec.org</t>
  </si>
  <si>
    <t>2023-05-22T22:31:00Z</t>
  </si>
  <si>
    <t>5297017_1297414</t>
  </si>
  <si>
    <t>Chaimae SALMI</t>
  </si>
  <si>
    <t>p_3324ed1ff286e6d10ff1742ca0641fe47590a396@inbound.aiesec.org</t>
  </si>
  <si>
    <t>https://expa.aiesec.org/opportunities/1297414</t>
  </si>
  <si>
    <t>OUJDA</t>
  </si>
  <si>
    <t>2023-08-04T15:41:33Z</t>
  </si>
  <si>
    <t>5288716_1296266</t>
  </si>
  <si>
    <t>Aleyna Büyükgüçlü</t>
  </si>
  <si>
    <t>p_e25875d359d16dabbb8b7e9ced595d0d8986289a@inbound.aiesec.org</t>
  </si>
  <si>
    <t>https://expa.aiesec.org/opportunities/1296266</t>
  </si>
  <si>
    <t>2023-07-24T10:21:04Z</t>
  </si>
  <si>
    <t>5240638_1297355</t>
  </si>
  <si>
    <t>Fezile Duduzile Mabila</t>
  </si>
  <si>
    <t>p_9a2658ef94c086f08370891ab6d44685b52bc3f2@inbound.aiesec.org</t>
  </si>
  <si>
    <t>University of Pretoria</t>
  </si>
  <si>
    <t>https://expa.aiesec.org/opportunities/1297355</t>
  </si>
  <si>
    <t>Pre-School Teacher</t>
  </si>
  <si>
    <t>2023-04-12T18:32:28Z</t>
  </si>
  <si>
    <t>5261270_1288393</t>
  </si>
  <si>
    <t>5292678_1289536</t>
  </si>
  <si>
    <t>Aditya Parekh</t>
  </si>
  <si>
    <t>p_082f69950c4265d2e6a6b4735630f941b43a729f@inbound.aiesec.org</t>
  </si>
  <si>
    <t>2023-08-01T12:58:22Z</t>
  </si>
  <si>
    <t>5072791_1291204</t>
  </si>
  <si>
    <t>https://expa.aiesec.org/opportunities/1291204</t>
  </si>
  <si>
    <t>5296881_1286839</t>
  </si>
  <si>
    <t>chaimi wafaa</t>
  </si>
  <si>
    <t>p_d275392c1dfa15db87a0aab515f69b7421422d8b@inbound.aiesec.org</t>
  </si>
  <si>
    <t>2023-08-04T14:00:48Z</t>
  </si>
  <si>
    <t>3808794_1291679</t>
  </si>
  <si>
    <t>Sarah Duygu Korkmaz</t>
  </si>
  <si>
    <t>p_684014b74285c9cae1bd4802048023a9b0ca9355@inbound.aiesec.org</t>
  </si>
  <si>
    <t>https://expa.aiesec.org/opportunities/1291679</t>
  </si>
  <si>
    <t>Business Development Sepcialist</t>
  </si>
  <si>
    <t>2019-09-02T13:31:26Z</t>
  </si>
  <si>
    <t>5296037_1297781</t>
  </si>
  <si>
    <t>Anastasiia Alieksa</t>
  </si>
  <si>
    <t>p_2fac243d7386f68b32aaf07880293c90c664f80b@inbound.aiesec.org</t>
  </si>
  <si>
    <t>https://expa.aiesec.org/opportunities/1297781</t>
  </si>
  <si>
    <t>2023-08-03T21:08:56Z</t>
  </si>
  <si>
    <t>5285539_1286839</t>
  </si>
  <si>
    <t>Hoorain Amjad</t>
  </si>
  <si>
    <t>p_1fd81c91987cd5b36834418fc646f560e3748a2a@inbound.aiesec.org</t>
  </si>
  <si>
    <t>2023-07-15T15:41:46Z</t>
  </si>
  <si>
    <t>5291869_1295303</t>
  </si>
  <si>
    <t>Deniz Kayvar</t>
  </si>
  <si>
    <t>p_eaca83522614d39f7ad1750afe1aea9f3cd2498b@inbound.aiesec.org</t>
  </si>
  <si>
    <t>Nitra</t>
  </si>
  <si>
    <t>https://expa.aiesec.org/opportunities/1295303</t>
  </si>
  <si>
    <t>2023-07-30T16:55:24Z</t>
  </si>
  <si>
    <t>5298044_1295247</t>
  </si>
  <si>
    <t>sezgi köroğlu</t>
  </si>
  <si>
    <t>p_44f7e8be12d6ec10652549e752f844f2bbe1fe25@inbound.aiesec.org</t>
  </si>
  <si>
    <t>https://expa.aiesec.org/opportunities/1295247</t>
  </si>
  <si>
    <t>Frontend Developer</t>
  </si>
  <si>
    <t>2023-08-05T20:50:31Z</t>
  </si>
  <si>
    <t>5291900_1295566</t>
  </si>
  <si>
    <t>Rayenne Skhiri</t>
  </si>
  <si>
    <t>p_7b238898593cd45cbc1be7d72fc25de1a90e1ec6@inbound.aiesec.org</t>
  </si>
  <si>
    <t>https://expa.aiesec.org/opportunities/1295566</t>
  </si>
  <si>
    <t>2023-07-30T19:37:18Z</t>
  </si>
  <si>
    <t>5234131_1294127</t>
  </si>
  <si>
    <t>5249416_1294127</t>
  </si>
  <si>
    <t>4667589_1297712</t>
  </si>
  <si>
    <t>https://expa.aiesec.org/opportunities/1297712</t>
  </si>
  <si>
    <t>English Teacher in ODTÜ - KYÖV Schools</t>
  </si>
  <si>
    <t>5279846_1294209</t>
  </si>
  <si>
    <t>Berkant Kutay Bilişli</t>
  </si>
  <si>
    <t>p_0a310f907438efd69445534852ba4fbefdcbb4fa@inbound.aiesec.org</t>
  </si>
  <si>
    <t>2023-06-27T12:18:51Z</t>
  </si>
  <si>
    <t>5287907_1288461</t>
  </si>
  <si>
    <t>Zulaika Rasul kyzy</t>
  </si>
  <si>
    <t>p_cb14f55e5b0ba7c67efbff7395bd91517069e24f@inbound.aiesec.org</t>
  </si>
  <si>
    <t>Международный Университет Алатоо (Отделение Международных Отношений или Лингвистики) International Alatoo University (department of IR or Linguistics)</t>
  </si>
  <si>
    <t>2023-07-21T15:37:05Z</t>
  </si>
  <si>
    <t>5298779_1294232</t>
  </si>
  <si>
    <t>Derya Bilmez</t>
  </si>
  <si>
    <t>p_37acb2d52f755db5947b6ff0388e978d803bcaa8@inbound.aiesec.org</t>
  </si>
  <si>
    <t>2023-08-07T08:43:21Z</t>
  </si>
  <si>
    <t>5295099_1289255</t>
  </si>
  <si>
    <t>EL MAHDI ABDELOUAHAD</t>
  </si>
  <si>
    <t>p_e90a14b88a821e653e5a021115a143f748a9c9ae@inbound.aiesec.org</t>
  </si>
  <si>
    <t>2023-08-03T10:27:28Z</t>
  </si>
  <si>
    <t>5293070_1278298</t>
  </si>
  <si>
    <t>Maria Shevchuk</t>
  </si>
  <si>
    <t>p_183ec14670f8dc0c8f8d05fce32675961759bd5c@inbound.aiesec.org</t>
  </si>
  <si>
    <t>TYUMEN</t>
  </si>
  <si>
    <t>Tyumen</t>
  </si>
  <si>
    <t>2023-08-02T07:46:34Z</t>
  </si>
  <si>
    <t>5292488_1297781</t>
  </si>
  <si>
    <t>Yaroslava Kalynchuk</t>
  </si>
  <si>
    <t>p_35f41c47ba118e295f33a8176a62c0be391de419@inbound.aiesec.org</t>
  </si>
  <si>
    <t>Ivano-Frankivsk</t>
  </si>
  <si>
    <t>2023-08-01T07:51:06Z</t>
  </si>
  <si>
    <t>5292559_1280733</t>
  </si>
  <si>
    <t>p_3756599e37798b591869a7faddc266e035325054@inbound.aiesec.org</t>
  </si>
  <si>
    <t>2023-08-01T09:33:44Z</t>
  </si>
  <si>
    <t>3753893_1284081</t>
  </si>
  <si>
    <t>Mennatala Osama sayed</t>
  </si>
  <si>
    <t>p_c4533d9be54d3ecdf6e8aa6e114bf1ce89d9f46e@inbound.aiesec.org</t>
  </si>
  <si>
    <t>2019-08-09T09:36:28Z</t>
  </si>
  <si>
    <t>1622511_1294651</t>
  </si>
  <si>
    <t>5298128_1288393</t>
  </si>
  <si>
    <t>Hafiz Taha Jamil</t>
  </si>
  <si>
    <t>p_d875c9ded64af7ecc6b260b10dd92f53cba47274@inbound.aiesec.org</t>
  </si>
  <si>
    <t>2023-08-06T00:40:18Z</t>
  </si>
  <si>
    <t>4342280_1284081</t>
  </si>
  <si>
    <t>Esraa osama</t>
  </si>
  <si>
    <t>p_190e2b0bd1d4a499002a8dda54f8ad1ea710cfb5@inbound.aiesec.org</t>
  </si>
  <si>
    <t>2020-08-12T15:20:03Z</t>
  </si>
  <si>
    <t>5299383_1296101</t>
  </si>
  <si>
    <t>Abdelfettah mohammed Chikhi</t>
  </si>
  <si>
    <t>p_a63a16de19fd6582865e21f42af2489f0cd18596@inbound.aiesec.org</t>
  </si>
  <si>
    <t>2023-08-08T11:15:53Z</t>
  </si>
  <si>
    <t>5297016_1289307</t>
  </si>
  <si>
    <t>p_15fa8797505cc03aa40f839530fde6993bd907e5@inbound.aiesec.org</t>
  </si>
  <si>
    <t>2023-08-04T15:39:15Z</t>
  </si>
  <si>
    <t>5299445_1289615</t>
  </si>
  <si>
    <t>hadhom sirine</t>
  </si>
  <si>
    <t>p_2fce3a96438efdc015f29b907972eaca5066dc29@inbound.aiesec.org</t>
  </si>
  <si>
    <t>2023-08-08T13:40:12Z</t>
  </si>
  <si>
    <t>5275067_1289393</t>
  </si>
  <si>
    <t>Araibi Oumaima</t>
  </si>
  <si>
    <t>p_009098a76265501117a151d2539eb310178a2719@inbound.aiesec.org</t>
  </si>
  <si>
    <t>https://expa.aiesec.org/opportunities/1289393</t>
  </si>
  <si>
    <t>English Teacher in OMTAS College</t>
  </si>
  <si>
    <t>Institut supérieur des sciences humaines (ISSH JENDOUBA)</t>
  </si>
  <si>
    <t>2023-06-13T22:18:53Z</t>
  </si>
  <si>
    <t>5299494_1290731</t>
  </si>
  <si>
    <t>fida haddad</t>
  </si>
  <si>
    <t>p_cff6dc113f0e20bb188d22da86cba2c97469ac69@inbound.aiesec.org</t>
  </si>
  <si>
    <t>2023-08-08T14:46:49Z</t>
  </si>
  <si>
    <t>5297879_1290731</t>
  </si>
  <si>
    <t>youssef methneni</t>
  </si>
  <si>
    <t>p_b90f72082d9f4425464847169e0e3c4b9c47ff2c@inbound.aiesec.org</t>
  </si>
  <si>
    <t>2023-08-05T15:51:07Z</t>
  </si>
  <si>
    <t>4555871_1297417</t>
  </si>
  <si>
    <t>https://expa.aiesec.org/opportunities/1297417</t>
  </si>
  <si>
    <t>5296841_1295603</t>
  </si>
  <si>
    <t>deleted 5296841</t>
  </si>
  <si>
    <t>p_c565b1a71e402c56ce4294db0e54efce840e8515@inbound.aiesec.org</t>
  </si>
  <si>
    <t>https://expa.aiesec.org/opportunities/1295603</t>
  </si>
  <si>
    <t>2023-08-04T13:25:43Z</t>
  </si>
  <si>
    <t>5048545_1296105</t>
  </si>
  <si>
    <t>3830826_1295743</t>
  </si>
  <si>
    <t>Dghim Hamdy</t>
  </si>
  <si>
    <t>p_55e5afe58432d85145478ad3ee5d391b8c258cbb@inbound.aiesec.org</t>
  </si>
  <si>
    <t>2019-09-14T11:33:33Z</t>
  </si>
  <si>
    <t>5110303_1283683</t>
  </si>
  <si>
    <t>Muhammad Ibrahim Khan Babar</t>
  </si>
  <si>
    <t>p_a99db036af69bae5657dc38ea9e1b9c2a3504ccb@inbound.aiesec.org</t>
  </si>
  <si>
    <t>2022-09-11T18:34:43Z</t>
  </si>
  <si>
    <t>2094841_1278298</t>
  </si>
  <si>
    <t>Mohamed Jegham</t>
  </si>
  <si>
    <t>p_b11273b01239b4727d5e172a46e722f36a54a323@inbound.aiesec.org</t>
  </si>
  <si>
    <t>2018-03-08T22:18:13Z</t>
  </si>
  <si>
    <t>5291845_1291071</t>
  </si>
  <si>
    <t>Sertaç Bera Yurtaslan</t>
  </si>
  <si>
    <t>p_003c04490869468e6920d06a761e146148bc89e6@inbound.aiesec.org</t>
  </si>
  <si>
    <t>2023-07-30T15:34:58Z</t>
  </si>
  <si>
    <t>5270091_1296307</t>
  </si>
  <si>
    <t>krishna dixit</t>
  </si>
  <si>
    <t>p_be1268456c2ee022902abf89251de3c7a53c34a3@inbound.aiesec.org</t>
  </si>
  <si>
    <t>Bhopal</t>
  </si>
  <si>
    <t>https://expa.aiesec.org/opportunities/1296307</t>
  </si>
  <si>
    <t>Disaster Management Institute, Bhopal</t>
  </si>
  <si>
    <t>2023-06-01T10:18:39Z</t>
  </si>
  <si>
    <t>5299493_1295149</t>
  </si>
  <si>
    <t>p_a90abb901e6b87fb326314f28ee1ca887a69f7ce@inbound.aiesec.org</t>
  </si>
  <si>
    <t>2023-08-08T14:43:43Z</t>
  </si>
  <si>
    <t>5295451_1288377</t>
  </si>
  <si>
    <t>Alexandra Fajardo</t>
  </si>
  <si>
    <t>p_fa78a655235047425378467e1d663ef606e4a62d@inbound.aiesec.org</t>
  </si>
  <si>
    <t>2023-08-03T14:31:47Z</t>
  </si>
  <si>
    <t>5290050_1291068</t>
  </si>
  <si>
    <t>Başak Sarah Öney</t>
  </si>
  <si>
    <t>p_cb825ce25392dc3974511a2b850cce4fd42c3302@inbound.aiesec.org</t>
  </si>
  <si>
    <t>2023-07-26T21:46:41Z</t>
  </si>
  <si>
    <t>5292692_1294651</t>
  </si>
  <si>
    <t>Mahmoudi Maher</t>
  </si>
  <si>
    <t>p_caab317518194c4da9ffa452d8bb74f9a92cf6ac@inbound.aiesec.org</t>
  </si>
  <si>
    <t>2023-08-01T13:38:08Z</t>
  </si>
  <si>
    <t>5291850_1296994</t>
  </si>
  <si>
    <t>Nazik KORKUT</t>
  </si>
  <si>
    <t>p_1b9e026e8dbc08bb9728d082286c5f2025946732@inbound.aiesec.org</t>
  </si>
  <si>
    <t>2023-07-30T15:38:36Z</t>
  </si>
  <si>
    <t>4169932_1281010</t>
  </si>
  <si>
    <t>Miqueias Santos</t>
  </si>
  <si>
    <t>p_9ae76016f188ab020c734ef2af05a95dba0a9dc0@inbound.aiesec.org</t>
  </si>
  <si>
    <t>AVEIRO</t>
  </si>
  <si>
    <t>Universidade de Aveiro - Departamento de Química (DQ)</t>
  </si>
  <si>
    <t>2020-02-06T14:26:33Z</t>
  </si>
  <si>
    <t>5299636_1292715</t>
  </si>
  <si>
    <t>Hamide Yakalı</t>
  </si>
  <si>
    <t>p_e6007ec083e423ab22bcd1d68933698c4139f7e5@inbound.aiesec.org</t>
  </si>
  <si>
    <t>2023-08-08T18:12:20Z</t>
  </si>
  <si>
    <t>5279898_1297677</t>
  </si>
  <si>
    <t>Dariia Fomina</t>
  </si>
  <si>
    <t>p_4517c1eec5df33a518388207330bde6a8911de95@inbound.aiesec.org</t>
  </si>
  <si>
    <t>https://expa.aiesec.org/opportunities/1297677</t>
  </si>
  <si>
    <t>2023-06-27T14:53:20Z</t>
  </si>
  <si>
    <t>5246454_1295292</t>
  </si>
  <si>
    <t>Erkin Duman</t>
  </si>
  <si>
    <t>p_5624f6e3c8e422f0f248d6d2aa3827c7ec9e1e08@inbound.aiesec.org</t>
  </si>
  <si>
    <t>https://expa.aiesec.org/opportunities/1295292</t>
  </si>
  <si>
    <t>Full Time French Teacher</t>
  </si>
  <si>
    <t>2023-04-20T20:13:44Z</t>
  </si>
  <si>
    <t>3219232_1297603</t>
  </si>
  <si>
    <t>https://expa.aiesec.org/opportunities/1297603</t>
  </si>
  <si>
    <t>5301381_1281195</t>
  </si>
  <si>
    <t>Hayfa Ben attia</t>
  </si>
  <si>
    <t>p_bb3ab1b6236adfd8e872d79e15fed9e6f6f99d13@inbound.aiesec.org</t>
  </si>
  <si>
    <t>2023-08-11T21:47:54Z</t>
  </si>
  <si>
    <t>5208477_1281900</t>
  </si>
  <si>
    <t>5038701_1289293</t>
  </si>
  <si>
    <t>Khadidja Nor El Houda Tahri</t>
  </si>
  <si>
    <t>p_92f335074b7f1edc10a5971157fc130822475a06@inbound.aiesec.org</t>
  </si>
  <si>
    <t>2022-04-13T20:53:12Z</t>
  </si>
  <si>
    <t>5295298_1295303</t>
  </si>
  <si>
    <t>Tuğçe Aydın</t>
  </si>
  <si>
    <t>p_312777aeb14d8768bd563a789d76b08bed22d271@inbound.aiesec.org</t>
  </si>
  <si>
    <t>2023-08-03T13:07:54Z</t>
  </si>
  <si>
    <t>5300337_1295514</t>
  </si>
  <si>
    <t>Afef Houachri</t>
  </si>
  <si>
    <t>p_09f4af022e3b6e5cc7e21229435a9c461439f512@inbound.aiesec.org</t>
  </si>
  <si>
    <t>2023-08-09T21:21:41Z</t>
  </si>
  <si>
    <t>5302002_1295149</t>
  </si>
  <si>
    <t>Achref Sahbi</t>
  </si>
  <si>
    <t>p_15bfff38c0572b222db365c0473c077e2058523e@inbound.aiesec.org</t>
  </si>
  <si>
    <t>2023-08-13T14:36:23Z</t>
  </si>
  <si>
    <t>5237118_1294151</t>
  </si>
  <si>
    <t>Berra Koçali</t>
  </si>
  <si>
    <t>p_92e34535c45184a4656c5a4369b3ca1fcde7ed4e@inbound.aiesec.org</t>
  </si>
  <si>
    <t>2023-04-07T14:28:22Z</t>
  </si>
  <si>
    <t>5301449_1289339</t>
  </si>
  <si>
    <t>Kibar Güneş</t>
  </si>
  <si>
    <t>p_e6e4bf76346e6aa71067263e813766029d52fde4@inbound.aiesec.org</t>
  </si>
  <si>
    <t>https://expa.aiesec.org/opportunities/1289339</t>
  </si>
  <si>
    <t>2023-08-12T06:58:09Z</t>
  </si>
  <si>
    <t>4622778_1296670</t>
  </si>
  <si>
    <t>Mariam Bouzidi</t>
  </si>
  <si>
    <t>p_4088ace015b776e0db82f499a59103f699ee7c42@inbound.aiesec.org</t>
  </si>
  <si>
    <t>2021-04-20T09:19:42Z</t>
  </si>
  <si>
    <t>5240649_1297982</t>
  </si>
  <si>
    <t>Mariam Elsawy</t>
  </si>
  <si>
    <t>p_5136a84b3c766632afb58b580f56d4c3d078447c@inbound.aiesec.org</t>
  </si>
  <si>
    <t>https://expa.aiesec.org/opportunities/1297982</t>
  </si>
  <si>
    <t>2023-04-12T18:59:09Z</t>
  </si>
  <si>
    <t>5288461_1297982</t>
  </si>
  <si>
    <t>Enas El sebaee</t>
  </si>
  <si>
    <t>p_2b423d010bcc91514e3d14ed697a75b48b933972@inbound.aiesec.org</t>
  </si>
  <si>
    <t>2023-07-23T14:20:56Z</t>
  </si>
  <si>
    <t>5299033_1286326</t>
  </si>
  <si>
    <t>sarra hajria</t>
  </si>
  <si>
    <t>p_e42c0e3cdd0a72f93ad98182676ec82c341803b4@inbound.aiesec.org</t>
  </si>
  <si>
    <t>2023-08-07T15:51:31Z</t>
  </si>
  <si>
    <t>5140709_1279126</t>
  </si>
  <si>
    <t>ons ghariani</t>
  </si>
  <si>
    <t>p_784ce0381a90986c01381c3950f89e5e77f07f80@inbound.aiesec.org</t>
  </si>
  <si>
    <t>2022-10-26T10:51:23Z</t>
  </si>
  <si>
    <t>2248378_1295153</t>
  </si>
  <si>
    <t>Cansu Çavuşoğlu</t>
  </si>
  <si>
    <t>p_717473b4ce8d6ea1530cb6f96c871568018d90b3@inbound.aiesec.org</t>
  </si>
  <si>
    <t>DUESSELDORF</t>
  </si>
  <si>
    <t>https://expa.aiesec.org/opportunities/1295153</t>
  </si>
  <si>
    <t>MyWay Operations &amp; Innovation Coordinator</t>
  </si>
  <si>
    <t>2018-04-22T14:32:38Z</t>
  </si>
  <si>
    <t>5300300_1296105</t>
  </si>
  <si>
    <t>Mudit Solapurkar</t>
  </si>
  <si>
    <t>p_156b0e091c697130aeb403f76155d30d96d3e059@inbound.aiesec.org</t>
  </si>
  <si>
    <t>Maharashtra Institute of Technology, Pune</t>
  </si>
  <si>
    <t>2023-08-09T19:46:53Z</t>
  </si>
  <si>
    <t>5297925_1295102</t>
  </si>
  <si>
    <t>Ayşe Melek Yüksel</t>
  </si>
  <si>
    <t>p_2319fcd226984f046d597720e78894648211002c@inbound.aiesec.org</t>
  </si>
  <si>
    <t>2023-08-05T17:04:45Z</t>
  </si>
  <si>
    <t>5301141_1272564</t>
  </si>
  <si>
    <t>Diana Onishchenko</t>
  </si>
  <si>
    <t>p_7117169f01bbb5db55bd04efb1c80aadd7d768d5@inbound.aiesec.org</t>
  </si>
  <si>
    <t>2023-08-11T11:05:21Z</t>
  </si>
  <si>
    <t>5249385_1294878</t>
  </si>
  <si>
    <t>Aditya Agnihotri</t>
  </si>
  <si>
    <t>p_165e340de1212ee2f94f05ea57f3e5d1592e31ea@inbound.aiesec.org</t>
  </si>
  <si>
    <t>Indore</t>
  </si>
  <si>
    <t>2023-04-25T19:32:41Z</t>
  </si>
  <si>
    <t>5300925_1296818</t>
  </si>
  <si>
    <t>hritika Choudhary</t>
  </si>
  <si>
    <t>p_88204317caba872ecfb729e56aa30b781c7bd692@inbound.aiesec.org</t>
  </si>
  <si>
    <t>2023-08-10T20:34:19Z</t>
  </si>
  <si>
    <t>4320596_1292962</t>
  </si>
  <si>
    <t>Lazreg Intissar</t>
  </si>
  <si>
    <t>p_81cceebcb20ad18c3024e223589f1b326f63ae61@inbound.aiesec.org</t>
  </si>
  <si>
    <t>2020-06-30T12:39:49Z</t>
  </si>
  <si>
    <t>5302967_1296101</t>
  </si>
  <si>
    <t>fatma ben mohammed</t>
  </si>
  <si>
    <t>p_adf5e8bbfa1850ac3c586660a6064eccc119ad6f@inbound.aiesec.org</t>
  </si>
  <si>
    <t>2023-08-15T11:39:56Z</t>
  </si>
  <si>
    <t>5302108_1292118</t>
  </si>
  <si>
    <t>Afnen Daiki</t>
  </si>
  <si>
    <t>p_0f5555965ca6ec473488fbc0b2605b7a51c45930@inbound.aiesec.org</t>
  </si>
  <si>
    <t>2023-08-13T20:24:19Z</t>
  </si>
  <si>
    <t>4770276_1286521</t>
  </si>
  <si>
    <t>Sara Naas</t>
  </si>
  <si>
    <t>p_fc3087ab1308dc5a87b376533275e87f932223a4@inbound.aiesec.org</t>
  </si>
  <si>
    <t>https://expa.aiesec.org/opportunities/1286521</t>
  </si>
  <si>
    <t>ENGLİSH TRACHER</t>
  </si>
  <si>
    <t>2021-10-22T15:43:44Z</t>
  </si>
  <si>
    <t>5292134_1289772</t>
  </si>
  <si>
    <t>Emine Naz Can</t>
  </si>
  <si>
    <t>p_5c59f2e62ec7ec522bd1766c0d88453cf9f3b0eb@inbound.aiesec.org</t>
  </si>
  <si>
    <t>2023-07-31T12:46:51Z</t>
  </si>
  <si>
    <t>5298248_1291068</t>
  </si>
  <si>
    <t>Sezin Irmak Gümüş</t>
  </si>
  <si>
    <t>p_2e826f54b10a734bf1aaa7c081ad0404bc911bb8@inbound.aiesec.org</t>
  </si>
  <si>
    <t>2023-08-06T09:27:04Z</t>
  </si>
  <si>
    <t>5292263_1277661</t>
  </si>
  <si>
    <t>deleted 5292263</t>
  </si>
  <si>
    <t>p_b7b0f6c109f0082f94163bc837568b3fa0aaf48f@inbound.aiesec.org</t>
  </si>
  <si>
    <t>2023-07-31T16:18:21Z</t>
  </si>
  <si>
    <t>5301114_1279126</t>
  </si>
  <si>
    <t>Ayoub Manai</t>
  </si>
  <si>
    <t>p_a6a42dc144a2294dcbb6e2f27e3b866bb66a15e6@inbound.aiesec.org</t>
  </si>
  <si>
    <t>2023-08-11T10:10:15Z</t>
  </si>
  <si>
    <t>5295859_1289255</t>
  </si>
  <si>
    <t>Sana BOULANOUAR</t>
  </si>
  <si>
    <t>p_190df8fd77f680ffe83e5c3379e275feff0249f1@inbound.aiesec.org</t>
  </si>
  <si>
    <t>2023-08-03T18:51:55Z</t>
  </si>
  <si>
    <t>5302250_1289378</t>
  </si>
  <si>
    <t>El Haroual Aymane</t>
  </si>
  <si>
    <t>p_8a6eb6d30011471487e28e9f0a8bad323bd6e6d6@inbound.aiesec.org</t>
  </si>
  <si>
    <t>2023-08-14T09:25:37Z</t>
  </si>
  <si>
    <t>5303638_1290469</t>
  </si>
  <si>
    <t>p_ddf5ada0c8eafd5f9fcc4d407d41b40f5c490994@inbound.aiesec.org</t>
  </si>
  <si>
    <t>The New College, Chennai</t>
  </si>
  <si>
    <t>2023-08-16T13:54:00Z</t>
  </si>
  <si>
    <t>3393714_1296105</t>
  </si>
  <si>
    <t>Donia Hassan</t>
  </si>
  <si>
    <t>p_8cfdc082e5957e6223aef89221ee1274a05fdded@inbound.aiesec.org</t>
  </si>
  <si>
    <t>Minya</t>
  </si>
  <si>
    <t>2019-05-03T13:47:08Z</t>
  </si>
  <si>
    <t>5302347_1295830</t>
  </si>
  <si>
    <t>Kristine Voskaniani</t>
  </si>
  <si>
    <t>p_436262140e504c7e18908e673dd27771a39a53dd@inbound.aiesec.org</t>
  </si>
  <si>
    <t>2023-08-14T13:14:03Z</t>
  </si>
  <si>
    <t>5287132_1296101</t>
  </si>
  <si>
    <t>p_79d8e3be2ed1220a052809dfa76a1ec8ef60ee88@inbound.aiesec.org</t>
  </si>
  <si>
    <t>2023-07-19T12:27:30Z</t>
  </si>
  <si>
    <t>5081804_1288101</t>
  </si>
  <si>
    <t>5301066_1288607</t>
  </si>
  <si>
    <t>N H Takrim</t>
  </si>
  <si>
    <t>p_6b347a33f427cd21a52706713496d5a9e5f7af4f@inbound.aiesec.org</t>
  </si>
  <si>
    <t>Others</t>
  </si>
  <si>
    <t>2023-08-11T06:41:56Z</t>
  </si>
  <si>
    <t>5283734_1294853</t>
  </si>
  <si>
    <t>Ali Haydar Öksüz</t>
  </si>
  <si>
    <t>p_414de911c5e97d929da39a670116a15a63d2b7c8@inbound.aiesec.org</t>
  </si>
  <si>
    <t>https://expa.aiesec.org/opportunities/1294853</t>
  </si>
  <si>
    <t>Mechatronics Intern</t>
  </si>
  <si>
    <t>2023-07-09T21:33:51Z</t>
  </si>
  <si>
    <t>4609715_1296671</t>
  </si>
  <si>
    <t>Tayseer Gamaleldin</t>
  </si>
  <si>
    <t>p_ac16474f3fa66e8c5b9c36d4d1375596d1d193b2@inbound.aiesec.org</t>
  </si>
  <si>
    <t>2021-04-08T02:20:19Z</t>
  </si>
  <si>
    <t>5297100_1291068</t>
  </si>
  <si>
    <t>Mohammed Aljarad</t>
  </si>
  <si>
    <t>p_f75e272a7b0c5d8cbc0985b7f129cb85afc59f62@inbound.aiesec.org</t>
  </si>
  <si>
    <t>2023-08-04T17:08:00Z</t>
  </si>
  <si>
    <t>5288403_1296325</t>
  </si>
  <si>
    <t>Malak Ashmawy</t>
  </si>
  <si>
    <t>p_13004d0ae8b3be53f1cd9bf60c39fa808778cabf@inbound.aiesec.org</t>
  </si>
  <si>
    <t>https://expa.aiesec.org/opportunities/1296325</t>
  </si>
  <si>
    <t>2023-07-23T11:05:03Z</t>
  </si>
  <si>
    <t>1973779_1297938</t>
  </si>
  <si>
    <t>EdipNecdet Atalay</t>
  </si>
  <si>
    <t>p_d923ee16c50d7e32191b0792af998589fb6decd0@inbound.aiesec.org</t>
  </si>
  <si>
    <t>https://expa.aiesec.org/opportunities/1297938</t>
  </si>
  <si>
    <t>[Engine] Cooking Product Development*</t>
  </si>
  <si>
    <t>2017-12-27T18:08:37Z</t>
  </si>
  <si>
    <t>5301197_1298038</t>
  </si>
  <si>
    <t>Ecem Arslan</t>
  </si>
  <si>
    <t>p_8dd303392f90b0e3fcf2dd7fbfb0f7a8cebefc2e@inbound.aiesec.org</t>
  </si>
  <si>
    <t>https://expa.aiesec.org/opportunities/1298038</t>
  </si>
  <si>
    <t>2023-08-11T12:42:18Z</t>
  </si>
  <si>
    <t>3593200_1297982</t>
  </si>
  <si>
    <t>Joud El Ma'ani</t>
  </si>
  <si>
    <t>p_1de1de7edc2ce9389a4fd21c80609af744520181@inbound.aiesec.org</t>
  </si>
  <si>
    <t>PSUT</t>
  </si>
  <si>
    <t>2019-07-01T20:33:15Z</t>
  </si>
  <si>
    <t>5287781_1296222</t>
  </si>
  <si>
    <t>Merve Özden</t>
  </si>
  <si>
    <t>p_545d1d9b59193867e9c2b0cadb6f23d835574437@inbound.aiesec.org</t>
  </si>
  <si>
    <t>https://expa.aiesec.org/opportunities/1296222</t>
  </si>
  <si>
    <t>2023-07-21T09:46:01Z</t>
  </si>
  <si>
    <t>5303473_1297781</t>
  </si>
  <si>
    <t>Marina Chihichina</t>
  </si>
  <si>
    <t>p_ae1c70d95e7ab03f998c4e3849636a37d3867e2e@inbound.aiesec.org</t>
  </si>
  <si>
    <t>2023-08-16T08:08:39Z</t>
  </si>
  <si>
    <t>5285642_1298334</t>
  </si>
  <si>
    <t>Gaddacha Asfour Sarra</t>
  </si>
  <si>
    <t>p_c65dd224039a53abd651566f041048ff16f4ddb1@inbound.aiesec.org</t>
  </si>
  <si>
    <t>https://expa.aiesec.org/opportunities/1298334</t>
  </si>
  <si>
    <t>English Teacher in English World Kindergarden</t>
  </si>
  <si>
    <t>2023-07-16T00:07:15Z</t>
  </si>
  <si>
    <t>5304173_1278703</t>
  </si>
  <si>
    <t>oumaima chermiti</t>
  </si>
  <si>
    <t>p_2d804d40ec4de2428a01d95a8e2a1c355b0231ef@inbound.aiesec.org</t>
  </si>
  <si>
    <t>2023-08-17T12:56:19Z</t>
  </si>
  <si>
    <t>4285071_1296980</t>
  </si>
  <si>
    <t>Khadija Salam</t>
  </si>
  <si>
    <t>p_9f06f5af197cbdf58de93d25335faee8b3b7d0b3@inbound.aiesec.org</t>
  </si>
  <si>
    <t>2020-05-08T15:10:44Z</t>
  </si>
  <si>
    <t>5212839_1294878</t>
  </si>
  <si>
    <t>Menna Tallah Alaa</t>
  </si>
  <si>
    <t>p_63b15bcc69e9ce8de1ef8bf61cbe99e3734058e2@inbound.aiesec.org</t>
  </si>
  <si>
    <t>2023-03-11T10:55:05Z</t>
  </si>
  <si>
    <t>4759738_1296671</t>
  </si>
  <si>
    <t>Malak Ghandour</t>
  </si>
  <si>
    <t>p_4975fa10e3f2d3778d9dbfb7ac15a8046cd52f6e@inbound.aiesec.org</t>
  </si>
  <si>
    <t>2021-10-06T23:00:10Z</t>
  </si>
  <si>
    <t>4187833_1294332</t>
  </si>
  <si>
    <t>Israa Tork</t>
  </si>
  <si>
    <t>p_d64b5dcd1ce921b6e568d3e7673a312a85bde6eb@inbound.aiesec.org</t>
  </si>
  <si>
    <t>2020-02-15T12:01:59Z</t>
  </si>
  <si>
    <t>5292733_1297112</t>
  </si>
  <si>
    <t>p_20dc76b9ebe692025d9ec62af89a1f5495a3cdac@inbound.aiesec.org</t>
  </si>
  <si>
    <t>2023-08-01T15:28:10Z</t>
  </si>
  <si>
    <t>4704416_1294977</t>
  </si>
  <si>
    <t>Mohammed Alsharafi</t>
  </si>
  <si>
    <t>p_b0e960c0c7a3395b60994370a8b0658e2a6e5b07@inbound.aiesec.org</t>
  </si>
  <si>
    <t>UAE (MC)</t>
  </si>
  <si>
    <t>https://expa.aiesec.org/opportunities/1294977</t>
  </si>
  <si>
    <t>Customer Service Intern (Required Freight Forwarding Background)</t>
  </si>
  <si>
    <t>2021-08-04T23:49:14Z</t>
  </si>
  <si>
    <t>5305794_1264946</t>
  </si>
  <si>
    <t>Dhekra Sahli</t>
  </si>
  <si>
    <t>p_3e037144c0198a88928f3e775af3a4b46b2f2ad5@inbound.aiesec.org</t>
  </si>
  <si>
    <t>2023-08-20T09:43:20Z</t>
  </si>
  <si>
    <t>5306765_1290643</t>
  </si>
  <si>
    <t>p_a9142c39aaee721d666fc3699325f155ad381f00@inbound.aiesec.org</t>
  </si>
  <si>
    <t>2023-08-21T20:46:03Z</t>
  </si>
  <si>
    <t>5304792_1285363</t>
  </si>
  <si>
    <t>Sakha Briki</t>
  </si>
  <si>
    <t>p_4476d5d27afb00e23eaab0cc3e8d7b40cd161d69@inbound.aiesec.org</t>
  </si>
  <si>
    <t>https://expa.aiesec.org/opportunities/1285363</t>
  </si>
  <si>
    <t>Kindergarten Teacher at Duru SMY Anaokulu</t>
  </si>
  <si>
    <t>2023-08-18T13:09:42Z</t>
  </si>
  <si>
    <t>5307192_1278298</t>
  </si>
  <si>
    <t>Meriam Ben salah</t>
  </si>
  <si>
    <t>p_45b1fb0ac621c78206805dbd2161984492f2b93d@inbound.aiesec.org</t>
  </si>
  <si>
    <t>2023-08-22T12:13:52Z</t>
  </si>
  <si>
    <t>5282514_1297080</t>
  </si>
  <si>
    <t>KHOULOUD GUERILLI</t>
  </si>
  <si>
    <t>p_ea0a3b0622c776847797ffa302df2859ecc5c6ef@inbound.aiesec.org</t>
  </si>
  <si>
    <t>2023-07-05T18:40:04Z</t>
  </si>
  <si>
    <t>5296674_1296671</t>
  </si>
  <si>
    <t>Maria Kalykaki</t>
  </si>
  <si>
    <t>p_6cb2ddd34404edbab1652c93afac1fc85b1273f7@inbound.aiesec.org</t>
  </si>
  <si>
    <t>University of Crete</t>
  </si>
  <si>
    <t>2023-08-04T10:18:39Z</t>
  </si>
  <si>
    <t>5043232_1296105</t>
  </si>
  <si>
    <t>Manal Moustaqimi</t>
  </si>
  <si>
    <t>p_6db9dc680fbde150ceb1688874386fef5f07f6a1@inbound.aiesec.org</t>
  </si>
  <si>
    <t>2022-04-21T13:24:09Z</t>
  </si>
  <si>
    <t>5303007_1279126</t>
  </si>
  <si>
    <t>marane khedher</t>
  </si>
  <si>
    <t>p_2b3281c59b952e1ec7fd681667aba6eaebee8aef@inbound.aiesec.org</t>
  </si>
  <si>
    <t>Institut préparatoire aux études d'ingénieurs ipeit</t>
  </si>
  <si>
    <t>2023-08-15T13:08:46Z</t>
  </si>
  <si>
    <t>5305479_1292557</t>
  </si>
  <si>
    <t>Katerina Dmitrieva</t>
  </si>
  <si>
    <t>p_19e4896e6e38f766ac9febf8f9d93e1d43f9c381@inbound.aiesec.org</t>
  </si>
  <si>
    <t>2023-08-19T16:47:17Z</t>
  </si>
  <si>
    <t>5228827_1289485</t>
  </si>
  <si>
    <t>p_ea45020f16035bc7e658f68ad72cba603872b9f7@inbound.aiesec.org</t>
  </si>
  <si>
    <t>2023-03-28T09:06:22Z</t>
  </si>
  <si>
    <t>2037808_1286034</t>
  </si>
  <si>
    <t>Oum kaltoum Bennani</t>
  </si>
  <si>
    <t>p_8c408e1e7aa31945d3e1327436b60f34d0139043@inbound.aiesec.org</t>
  </si>
  <si>
    <t>2018-02-16T09:31:35Z</t>
  </si>
  <si>
    <t>5295976_1297445</t>
  </si>
  <si>
    <t>Tinhinane Ait med</t>
  </si>
  <si>
    <t>p_83e11c8c8db3d502cddfc1f5bd8aa8cbca6e4485@inbound.aiesec.org</t>
  </si>
  <si>
    <t>https://expa.aiesec.org/opportunities/1297445</t>
  </si>
  <si>
    <t>2023-08-03T20:22:37Z</t>
  </si>
  <si>
    <t>5280864_1283891</t>
  </si>
  <si>
    <t>Greta Nozza</t>
  </si>
  <si>
    <t>p_cf89468ab97e0567aedecf9d49c880c25f4f6f10@inbound.aiesec.org</t>
  </si>
  <si>
    <t>2023-06-30T16:22:01Z</t>
  </si>
  <si>
    <t>5249580_1295120</t>
  </si>
  <si>
    <t>https://expa.aiesec.org/opportunities/1295120</t>
  </si>
  <si>
    <t>5273709_1296670</t>
  </si>
  <si>
    <t>Mahmoud El Aasar</t>
  </si>
  <si>
    <t>p_6eddbddc86a7854ed4de031670f066d8eee3a514@inbound.aiesec.org</t>
  </si>
  <si>
    <t>2023-06-10T17:15:53Z</t>
  </si>
  <si>
    <t>4827510_1277333</t>
  </si>
  <si>
    <t>Yassmine Jaziri</t>
  </si>
  <si>
    <t>p_791a19ecab3803ad9812461eda29f0cfe07f5dea@inbound.aiesec.org</t>
  </si>
  <si>
    <t>2021-12-02T18:45:42Z</t>
  </si>
  <si>
    <t>4418329_1277333</t>
  </si>
  <si>
    <t>Malek Ali</t>
  </si>
  <si>
    <t>p_1888dfc231464fd8f92b7c749489023495ecf87c@inbound.aiesec.org</t>
  </si>
  <si>
    <t>2020-11-08T20:31:17Z</t>
  </si>
  <si>
    <t>5278238_1288486</t>
  </si>
  <si>
    <t>Israa Elgeushy</t>
  </si>
  <si>
    <t>p_0ac178e1ddb7ba832c509645434f7bd4e68ab2a6@inbound.aiesec.org</t>
  </si>
  <si>
    <t>2023-06-22T08:40:14Z</t>
  </si>
  <si>
    <t>2263553_1298413</t>
  </si>
  <si>
    <t>Chouaibi Imen</t>
  </si>
  <si>
    <t>p_cb21b7ae3e7456e431b3743ec786a3f1a091abfe@inbound.aiesec.org</t>
  </si>
  <si>
    <t>https://expa.aiesec.org/opportunities/1298413</t>
  </si>
  <si>
    <t>2018-04-27T17:30:51Z</t>
  </si>
  <si>
    <t>5292853_1295568</t>
  </si>
  <si>
    <t>Seifallah Sahli</t>
  </si>
  <si>
    <t>p_64e0d4c4eeeb7730aff5cc012ee8a1eef3259a50@inbound.aiesec.org</t>
  </si>
  <si>
    <t>2023-08-01T19:45:39Z</t>
  </si>
  <si>
    <t>5285320_1293311</t>
  </si>
  <si>
    <t>Selin Kuyucu</t>
  </si>
  <si>
    <t>p_2842b7a61cebebfd3ffab10dee065dff72d0d292@inbound.aiesec.org</t>
  </si>
  <si>
    <t>https://expa.aiesec.org/opportunities/1293311</t>
  </si>
  <si>
    <t>2023-07-14T17:50:30Z</t>
  </si>
  <si>
    <t>5299724_1296105</t>
  </si>
  <si>
    <t>Khalid Essakouti</t>
  </si>
  <si>
    <t>p_d5ef16b8bed3e0c32d7c8369df92ed9af4004797@inbound.aiesec.org</t>
  </si>
  <si>
    <t>FSJES Ait melloul</t>
  </si>
  <si>
    <t>2023-08-08T21:50:10Z</t>
  </si>
  <si>
    <t>5305433_1289596</t>
  </si>
  <si>
    <t>mariam elessawyy</t>
  </si>
  <si>
    <t>p_9be17c0f36fc8f90142fe04317f431b9caa41cca@inbound.aiesec.org</t>
  </si>
  <si>
    <t>2023-08-19T15:37:53Z</t>
  </si>
  <si>
    <t>5284675_1291417</t>
  </si>
  <si>
    <t>Diana Musaeva</t>
  </si>
  <si>
    <t>p_342f0ed89de1b5312b3c705d866e9ee479f24984@inbound.aiesec.org</t>
  </si>
  <si>
    <t>2023-07-12T16:15:34Z</t>
  </si>
  <si>
    <t>5285091_1294651</t>
  </si>
  <si>
    <t>sojoud hamdy</t>
  </si>
  <si>
    <t>p_a95b507e152fc8df56b5f164d27be7dcea14ac99@inbound.aiesec.org</t>
  </si>
  <si>
    <t>2023-07-13T23:34:03Z</t>
  </si>
  <si>
    <t>5302956_1294533</t>
  </si>
  <si>
    <t>Özge Yıldız</t>
  </si>
  <si>
    <t>p_49c7471a1597ebc49af43ee391248eb3fc7a321f@inbound.aiesec.org</t>
  </si>
  <si>
    <t>https://expa.aiesec.org/opportunities/1294533</t>
  </si>
  <si>
    <t>2023-08-15T10:57:10Z</t>
  </si>
  <si>
    <t>5309095_1294332</t>
  </si>
  <si>
    <t>Aya Gomaa</t>
  </si>
  <si>
    <t>p_e962cc6d3d6d467bd96b1efc9fd1e6827154f17b@inbound.aiesec.org</t>
  </si>
  <si>
    <t>2023-08-25T07:22:49Z</t>
  </si>
  <si>
    <t>5310429_1293463</t>
  </si>
  <si>
    <t>İsa Taşkın</t>
  </si>
  <si>
    <t>p_5b54ea391a6df8bbc6beb46f764fc94f14ab8704@inbound.aiesec.org</t>
  </si>
  <si>
    <t>2023-08-26T18:20:32Z</t>
  </si>
  <si>
    <t>5170046_1295453</t>
  </si>
  <si>
    <t>Hussein Magdy</t>
  </si>
  <si>
    <t>p_081789e0f0e7612061f94198888195a662812156@inbound.aiesec.org</t>
  </si>
  <si>
    <t>2022-12-25T01:39:51Z</t>
  </si>
  <si>
    <t>5306929_1289536</t>
  </si>
  <si>
    <t>Bipasha Ghosh Roy</t>
  </si>
  <si>
    <t>p_cb305e69cb84d1c7da58f6453c61d2b10c788fc4@inbound.aiesec.org</t>
  </si>
  <si>
    <t>2023-08-22T06:37:36Z</t>
  </si>
  <si>
    <t>5309061_1289536</t>
  </si>
  <si>
    <t>Shaurya Anand</t>
  </si>
  <si>
    <t>p_0e3a8359656565afaa055efe9b516ee4db42334e@inbound.aiesec.org</t>
  </si>
  <si>
    <t>Bangalore University</t>
  </si>
  <si>
    <t>2023-08-25T05:48:56Z</t>
  </si>
  <si>
    <t>5309396_1297154</t>
  </si>
  <si>
    <t>Jovana Obrenović</t>
  </si>
  <si>
    <t>p_8a22e103c458bd1dad2893630e5a961582b5435c@inbound.aiesec.org</t>
  </si>
  <si>
    <t>https://expa.aiesec.org/opportunities/1297154</t>
  </si>
  <si>
    <t xml:space="preserve">Pre-School Teacher | Adana Maple Bear </t>
  </si>
  <si>
    <t>2023-08-25T15:45:13Z</t>
  </si>
  <si>
    <t>5310842_1285868</t>
  </si>
  <si>
    <t>Hazal Şen</t>
  </si>
  <si>
    <t>p_f2c1bfed9913584dbef6d12d139a21e473b54b2a@inbound.aiesec.org</t>
  </si>
  <si>
    <t>https://expa.aiesec.org/opportunities/1285868</t>
  </si>
  <si>
    <t>2023-08-27T13:31:05Z</t>
  </si>
  <si>
    <t>5305054_1284476</t>
  </si>
  <si>
    <t>Omar Khattab</t>
  </si>
  <si>
    <t>p_2c7001ea07daa39275cda47fbf4d9c7384b2935a@inbound.aiesec.org</t>
  </si>
  <si>
    <t>2023-08-19T01:29:01Z</t>
  </si>
  <si>
    <t>3310164_1296101</t>
  </si>
  <si>
    <t>Mennal Amjad Khan</t>
  </si>
  <si>
    <t>p_76e2dffc0bda5e2f507f28ee13638a0ab5e8fd6e@inbound.aiesec.org</t>
  </si>
  <si>
    <t>2019-04-08T18:54:28Z</t>
  </si>
  <si>
    <t>5307447_1296671</t>
  </si>
  <si>
    <t>Moaz Ahmed</t>
  </si>
  <si>
    <t>p_916b7f7038370d012f4f482240301d2ed95037fa@inbound.aiesec.org</t>
  </si>
  <si>
    <t>2023-08-22T18:16:16Z</t>
  </si>
  <si>
    <t>5310965_1294878</t>
  </si>
  <si>
    <t>Safy Badr</t>
  </si>
  <si>
    <t>p_abead48fea10648a2b13882c5284441df99e46e4@inbound.aiesec.org</t>
  </si>
  <si>
    <t>2023-08-27T16:10:50Z</t>
  </si>
  <si>
    <t>5311031_1294346</t>
  </si>
  <si>
    <t>ali demir</t>
  </si>
  <si>
    <t>p_4077192639e411286d4fc5f3edd8644020d8fd29@inbound.aiesec.org</t>
  </si>
  <si>
    <t>2023-08-27T18:24:36Z</t>
  </si>
  <si>
    <t>5305913_1287942</t>
  </si>
  <si>
    <t>Stella Mikhaylova</t>
  </si>
  <si>
    <t>p_a5dde1426b290dba69a7920bb6f92adde8fd4ff1@inbound.aiesec.org</t>
  </si>
  <si>
    <t>UFA</t>
  </si>
  <si>
    <t>Ufa</t>
  </si>
  <si>
    <t>2023-08-20T12:39:20Z</t>
  </si>
  <si>
    <t>5308825_1289502</t>
  </si>
  <si>
    <t>mariam mohamed</t>
  </si>
  <si>
    <t>p_718c7adb9727b85ad4f31fd2eb054e08e3fb8acc@inbound.aiesec.org</t>
  </si>
  <si>
    <t>Ahram Canadian University</t>
  </si>
  <si>
    <t>2023-08-24T18:30:02Z</t>
  </si>
  <si>
    <t>5306446_1286326</t>
  </si>
  <si>
    <t>Polina Zaiats</t>
  </si>
  <si>
    <t>p_7c566e28b637d1da23b38bb3fc7d7178b264e9dc@inbound.aiesec.org</t>
  </si>
  <si>
    <t>Vinnytsia</t>
  </si>
  <si>
    <t>2023-08-21T12:12:34Z</t>
  </si>
  <si>
    <t>3027840_1296105</t>
  </si>
  <si>
    <t>Haris Naeem</t>
  </si>
  <si>
    <t>p_29ee42997427ca8aacc3a5c3aa4e2fd363e34a13@inbound.aiesec.org</t>
  </si>
  <si>
    <t>2019-01-20T15:15:41Z</t>
  </si>
  <si>
    <t>5307991_1297990</t>
  </si>
  <si>
    <t>Natasa Markovic</t>
  </si>
  <si>
    <t>p_859149a7cadf1f85a3943fa6274f7029deaa4a1c@inbound.aiesec.org</t>
  </si>
  <si>
    <t>https://expa.aiesec.org/opportunities/1297990</t>
  </si>
  <si>
    <t>Faculty of Economics, Belgrade</t>
  </si>
  <si>
    <t>2023-08-23T14:45:29Z</t>
  </si>
  <si>
    <t>5303667_1291606</t>
  </si>
  <si>
    <t>chadhe ben khaled</t>
  </si>
  <si>
    <t>p_2b526ea9bafecd7f2c4563612c672a1a6bc6743c@inbound.aiesec.org</t>
  </si>
  <si>
    <t>2023-08-16T14:48:41Z</t>
  </si>
  <si>
    <t>4114689_1298772</t>
  </si>
  <si>
    <t>Chrigui Rania</t>
  </si>
  <si>
    <t>p_7805c178030fc5f7204d49ae0a7bd1f292bb882f@inbound.aiesec.org</t>
  </si>
  <si>
    <t>https://expa.aiesec.org/opportunities/1298772</t>
  </si>
  <si>
    <t>English Teacher in Sevgi Tomurcukları Kindergarten</t>
  </si>
  <si>
    <t>2019-12-26T21:12:09Z</t>
  </si>
  <si>
    <t>3751580_1279126</t>
  </si>
  <si>
    <t>Carlos Segundo</t>
  </si>
  <si>
    <t>p_990996cdbec22d02fa7fa00f089ff8b1e8bb0203@inbound.aiesec.org</t>
  </si>
  <si>
    <t>2019-08-08T13:51:38Z</t>
  </si>
  <si>
    <t>5302538_1292557</t>
  </si>
  <si>
    <t>Anthonia Obinna</t>
  </si>
  <si>
    <t>p_36849ddebba501cd7032e32cd951fd81e8f3225b@inbound.aiesec.org</t>
  </si>
  <si>
    <t>Nigeria</t>
  </si>
  <si>
    <t>Nig</t>
  </si>
  <si>
    <t>2023-08-14T18:21:29Z</t>
  </si>
  <si>
    <t>5278528_1297247</t>
  </si>
  <si>
    <t>fatma jazzar</t>
  </si>
  <si>
    <t>p_937139bc7949524844f3c423cb956279f16ac79c@inbound.aiesec.org</t>
  </si>
  <si>
    <t>https://expa.aiesec.org/opportunities/1297247</t>
  </si>
  <si>
    <t>2023-06-23T00:13:17Z</t>
  </si>
  <si>
    <t>5053084_1298733</t>
  </si>
  <si>
    <t>Gunay Dadashova</t>
  </si>
  <si>
    <t>p_be0dd7f6a1904187eb46c7ddc3c044c22dfb7d19@inbound.aiesec.org</t>
  </si>
  <si>
    <t>https://expa.aiesec.org/opportunities/1298733</t>
  </si>
  <si>
    <t>English Teacher in Alfa Cocuk Kindergarten</t>
  </si>
  <si>
    <t>2022-05-08T13:28:08Z</t>
  </si>
  <si>
    <t>5303658_1291783</t>
  </si>
  <si>
    <t>SALAH AGURICH</t>
  </si>
  <si>
    <t>p_90775baa2fa13979ff0484a00fb9182e7c114578@inbound.aiesec.org</t>
  </si>
  <si>
    <t>2023-08-16T14:29:27Z</t>
  </si>
  <si>
    <t>5098308_1298738</t>
  </si>
  <si>
    <t>https://expa.aiesec.org/opportunities/1298738</t>
  </si>
  <si>
    <t>5300220_1296671</t>
  </si>
  <si>
    <t>BALTI Youser</t>
  </si>
  <si>
    <t>p_42f2d2f57e55df2e213e5a66b1f43f78d9d86373@inbound.aiesec.org</t>
  </si>
  <si>
    <t>2023-08-09T16:55:31Z</t>
  </si>
  <si>
    <t>5307328_1294332</t>
  </si>
  <si>
    <t>Badr Abdeltawab</t>
  </si>
  <si>
    <t>p_17865457c3ddc189491af96847133dbe23530ac1@inbound.aiesec.org</t>
  </si>
  <si>
    <t>2023-08-22T15:16:26Z</t>
  </si>
  <si>
    <t>5308875_1298556</t>
  </si>
  <si>
    <t>Amira Karkoub</t>
  </si>
  <si>
    <t>p_3782e6e261f3e2df19788f4e54b22dfc60cd236f@inbound.aiesec.org</t>
  </si>
  <si>
    <t>https://expa.aiesec.org/opportunities/1298556</t>
  </si>
  <si>
    <t>2023-08-24T20:26:26Z</t>
  </si>
  <si>
    <t>5308874_1298556</t>
  </si>
  <si>
    <t>Ikbel Karkoub</t>
  </si>
  <si>
    <t>p_7f2925005e37ad93073b35d6ebc94977134f7e87@inbound.aiesec.org</t>
  </si>
  <si>
    <t>2023-08-24T20:23:53Z</t>
  </si>
  <si>
    <t>5253123_1297247</t>
  </si>
  <si>
    <t>5298347_1295745</t>
  </si>
  <si>
    <t>santhushya weerapperuma</t>
  </si>
  <si>
    <t>p_7cf1590decf7d99688d2c6b6fcc593f64e8da37b@inbound.aiesec.org</t>
  </si>
  <si>
    <t>Rajarata University of Sri Lanka</t>
  </si>
  <si>
    <t>2023-08-06T12:59:09Z</t>
  </si>
  <si>
    <t>4222768_1298730</t>
  </si>
  <si>
    <t>Anas Bourayda</t>
  </si>
  <si>
    <t>p_b5d8cfab80c514b505f47bf4a8f4c4e9c4cbce74@inbound.aiesec.org</t>
  </si>
  <si>
    <t>https://expa.aiesec.org/opportunities/1298730</t>
  </si>
  <si>
    <t>Sales&amp;Export Intern MID</t>
  </si>
  <si>
    <t>2020-02-28T16:26:15Z</t>
  </si>
  <si>
    <t>5313151_1277661</t>
  </si>
  <si>
    <t>Abdelfettah Mohammed Bahlouli</t>
  </si>
  <si>
    <t>p_b06c181637e2bf33f0e1807a685a0049d5ac8495@inbound.aiesec.org</t>
  </si>
  <si>
    <t>2023-08-30T06:52:27Z</t>
  </si>
  <si>
    <t>5311067_1291176</t>
  </si>
  <si>
    <t>Doğukan Atalayın</t>
  </si>
  <si>
    <t>p_03624bae06d5693a7e3016f0100bacab35fff98c@inbound.aiesec.org</t>
  </si>
  <si>
    <t>https://expa.aiesec.org/opportunities/1291176</t>
  </si>
  <si>
    <t>2023-08-27T19:37:01Z</t>
  </si>
  <si>
    <t>5122802_1289597</t>
  </si>
  <si>
    <t>Abdelrahman Badr el din</t>
  </si>
  <si>
    <t>p_9b8902f7a2902ccdfc244b5a3644d5e5f60beaee@inbound.aiesec.org</t>
  </si>
  <si>
    <t>2022-09-30T11:49:22Z</t>
  </si>
  <si>
    <t>5303165_1280733</t>
  </si>
  <si>
    <t>refilwe totolo</t>
  </si>
  <si>
    <t>p_04be7828e5b9d3f8a7904f98ecbdff037f10230b@inbound.aiesec.org</t>
  </si>
  <si>
    <t>WITWATERSRAND (WITS)</t>
  </si>
  <si>
    <t>2023-08-15T17:37:22Z</t>
  </si>
  <si>
    <t>5310145_1296328</t>
  </si>
  <si>
    <t>Jana Ahmed</t>
  </si>
  <si>
    <t>p_bcd8a2127946f68be7c75af64ca4d8c6ed6e5a19@inbound.aiesec.org</t>
  </si>
  <si>
    <t>https://expa.aiesec.org/opportunities/1296328</t>
  </si>
  <si>
    <t>2023-08-26T13:35:29Z</t>
  </si>
  <si>
    <t>4591209_1294211</t>
  </si>
  <si>
    <t>Farah hammoud</t>
  </si>
  <si>
    <t>p_0e5e202531f39eeb408e1fcb4bff45b7e20b44f7@inbound.aiesec.org</t>
  </si>
  <si>
    <t>2021-03-24T13:21:23Z</t>
  </si>
  <si>
    <t>5316206_1298866</t>
  </si>
  <si>
    <t>Gülsüm Sarı</t>
  </si>
  <si>
    <t>p_89dc6b0dd6b08e1e0d1b051d079f956ab69bdc5a@inbound.aiesec.org</t>
  </si>
  <si>
    <t>https://expa.aiesec.org/opportunities/1298866</t>
  </si>
  <si>
    <t>2023-09-01T14:04:14Z</t>
  </si>
  <si>
    <t>5316208_1298866</t>
  </si>
  <si>
    <t>Yusuf Emir Özçelik</t>
  </si>
  <si>
    <t>p_fdf25ec563fb4dcadd3aed46838857c102239177@inbound.aiesec.org</t>
  </si>
  <si>
    <t>2023-09-01T14:05:44Z</t>
  </si>
  <si>
    <t>5310129_1286521</t>
  </si>
  <si>
    <t>Ameni Baccouche</t>
  </si>
  <si>
    <t>p_f14ba5b6cc1e50cb4004d36ecd9f96200a1b54b3@inbound.aiesec.org</t>
  </si>
  <si>
    <t>2023-08-26T13:09:17Z</t>
  </si>
  <si>
    <t>5148066_1286839</t>
  </si>
  <si>
    <t>5307702_1289850</t>
  </si>
  <si>
    <t>ülkü hilal ÖZDOĞAN</t>
  </si>
  <si>
    <t>p_db29463728ddf5df079c2d39f28b8646a105af53@inbound.aiesec.org</t>
  </si>
  <si>
    <t>2023-08-23T07:42:22Z</t>
  </si>
  <si>
    <t>5251956_1285161</t>
  </si>
  <si>
    <t>Martyna Bizoń</t>
  </si>
  <si>
    <t>p_08b4320999194dfb813731a52b3eab22c0f1f5ea@inbound.aiesec.org</t>
  </si>
  <si>
    <t>2023-04-28T15:46:26Z</t>
  </si>
  <si>
    <t>5308681_1285161</t>
  </si>
  <si>
    <t>Oliwer Białorudzki</t>
  </si>
  <si>
    <t>p_4c0d7a751d917054e6e9bc26189a358026ad87bb@inbound.aiesec.org</t>
  </si>
  <si>
    <t>Gdańsk</t>
  </si>
  <si>
    <t>2023-08-24T14:22:47Z</t>
  </si>
  <si>
    <t>4629455_1295893</t>
  </si>
  <si>
    <t>Yuliana Vatsyk</t>
  </si>
  <si>
    <t>p_66252e00d5806b9880c63b98eebf2b2adeb4664d@inbound.aiesec.org</t>
  </si>
  <si>
    <t>2021-04-26T07:26:44Z</t>
  </si>
  <si>
    <t>5311941_1295893</t>
  </si>
  <si>
    <t>Iryna Skavinska</t>
  </si>
  <si>
    <t>p_4dd8b54ddd1d6e0d038ec024716665489fbe17b1@inbound.aiesec.org</t>
  </si>
  <si>
    <t>2023-08-29T06:00:54Z</t>
  </si>
  <si>
    <t>5289527_1296101</t>
  </si>
  <si>
    <t>Kaoula SI AHMED</t>
  </si>
  <si>
    <t>p_ddbec906bbee0309b86545d381bfb07dec25779a@inbound.aiesec.org</t>
  </si>
  <si>
    <t>2023-07-26T00:34:10Z</t>
  </si>
  <si>
    <t>5313604_1296328</t>
  </si>
  <si>
    <t>Mariam Aletribi</t>
  </si>
  <si>
    <t>p_45047df4fde1ebafb560e3437670d5fa90e515a7@inbound.aiesec.org</t>
  </si>
  <si>
    <t>2023-08-30T15:21:51Z</t>
  </si>
  <si>
    <t>5317603_1295893</t>
  </si>
  <si>
    <t>Inna Polova</t>
  </si>
  <si>
    <t>p_c987e0e1bb699ea5b66906aa9fce267f9eab9c27@inbound.aiesec.org</t>
  </si>
  <si>
    <t>2023-09-03T17:12:02Z</t>
  </si>
  <si>
    <t>5286630_1294540</t>
  </si>
  <si>
    <t>Zeynep Deniz ŞEN</t>
  </si>
  <si>
    <t>p_0339cedbbae0a09c740c28f588883650bfc5310b@inbound.aiesec.org</t>
  </si>
  <si>
    <t>https://expa.aiesec.org/opportunities/1294540</t>
  </si>
  <si>
    <t>2023-07-18T12:12:24Z</t>
  </si>
  <si>
    <t>5317938_1279126</t>
  </si>
  <si>
    <t>Refka Abroug</t>
  </si>
  <si>
    <t>p_303b70d44ae423181eef6ca6c5be3f237237c8ab@inbound.aiesec.org</t>
  </si>
  <si>
    <t>2023-09-04T10:33:32Z</t>
  </si>
  <si>
    <t>5312118_1291586</t>
  </si>
  <si>
    <t>Firuza Atakishiyeva</t>
  </si>
  <si>
    <t>p_47c84c8d65948576455c3ee5525147df4c1f8908@inbound.aiesec.org</t>
  </si>
  <si>
    <t>2023-08-29T13:30:15Z</t>
  </si>
  <si>
    <t>5312149_1286228</t>
  </si>
  <si>
    <t>Aisha Khamis</t>
  </si>
  <si>
    <t>p_38720a9d2cee4dc1b6aec538fe0f11834a651488@inbound.aiesec.org</t>
  </si>
  <si>
    <t>2023-08-29T14:30:49Z</t>
  </si>
  <si>
    <t>5292176_1294209</t>
  </si>
  <si>
    <t>Doğukan Alperen Tonga</t>
  </si>
  <si>
    <t>p_d8224f87ee77bb8e1526a8d0b0b7faec1e1686df@inbound.aiesec.org</t>
  </si>
  <si>
    <t>2023-07-31T13:54:29Z</t>
  </si>
  <si>
    <t>4198667_1296670</t>
  </si>
  <si>
    <t>Idzni Azhani Firdaus</t>
  </si>
  <si>
    <t>p_9915045e9b0259b5fcf89e00298a038f3b551fdb@inbound.aiesec.org</t>
  </si>
  <si>
    <t>Bandung</t>
  </si>
  <si>
    <t>Universitas Pendidikan Indonesia</t>
  </si>
  <si>
    <t>2020-02-19T15:40:19Z</t>
  </si>
  <si>
    <t>5299486_1292557</t>
  </si>
  <si>
    <t>Maddalena Bellini</t>
  </si>
  <si>
    <t>p_0e4f8e7f68a9c29db8ae041f9e752dec0b1816f4@inbound.aiesec.org</t>
  </si>
  <si>
    <t>2023-08-08T14:33:00Z</t>
  </si>
  <si>
    <t>5311044_1296103</t>
  </si>
  <si>
    <t>Ayesha Chaudhary</t>
  </si>
  <si>
    <t>p_00029ca9bd56dc86e1a62b7dfda1f2420e2720f1@inbound.aiesec.org</t>
  </si>
  <si>
    <t>2023-08-27T18:55:22Z</t>
  </si>
  <si>
    <t>5278089_1295453</t>
  </si>
  <si>
    <t>Zainab Bouaziz</t>
  </si>
  <si>
    <t>p_420be3c0bdda5d5a08a23b762c76e3afe5540c9b@inbound.aiesec.org</t>
  </si>
  <si>
    <t>2023-06-21T18:03:29Z</t>
  </si>
  <si>
    <t>5318564_1292559</t>
  </si>
  <si>
    <t>amal Ghedira</t>
  </si>
  <si>
    <t>p_864e30b9b51a9c0904f4c78f1611017a6daab726@inbound.aiesec.org</t>
  </si>
  <si>
    <t>2023-09-05T13:12:40Z</t>
  </si>
  <si>
    <t>5318159_1298748</t>
  </si>
  <si>
    <t>Chaymaa El majdoub</t>
  </si>
  <si>
    <t>p_97b7e804511cc6bb946b263028375587405a8625@inbound.aiesec.org</t>
  </si>
  <si>
    <t>https://expa.aiesec.org/opportunities/1298748</t>
  </si>
  <si>
    <t>2023-09-04T16:53:21Z</t>
  </si>
  <si>
    <t>4591209_1295453</t>
  </si>
  <si>
    <t>5317695_1295453</t>
  </si>
  <si>
    <t>Dina Elmakhzangy</t>
  </si>
  <si>
    <t>p_c16a866b0dc87f7e97e1017a6426a955a5d32364@inbound.aiesec.org</t>
  </si>
  <si>
    <t>2023-09-03T19:34:07Z</t>
  </si>
  <si>
    <t>5316428_1298746</t>
  </si>
  <si>
    <t>chaimae choukri</t>
  </si>
  <si>
    <t>p_a01b263c707b76b95c78b0387ac6f1c62937c111@inbound.aiesec.org</t>
  </si>
  <si>
    <t>https://expa.aiesec.org/opportunities/1298746</t>
  </si>
  <si>
    <t>2023-09-01T17:32:18Z</t>
  </si>
  <si>
    <t>5291973_1296239</t>
  </si>
  <si>
    <t>Mohamed Berama</t>
  </si>
  <si>
    <t>p_f6c19be0cece8072562824d3271eb4d0b7dca72e@inbound.aiesec.org</t>
  </si>
  <si>
    <t>2023-07-31T02:48:56Z</t>
  </si>
  <si>
    <t>5318251_1298403</t>
  </si>
  <si>
    <t>feriel arrami</t>
  </si>
  <si>
    <t>p_aeed7256f972e53ba274c5f1a775a218b7e1841a@inbound.aiesec.org</t>
  </si>
  <si>
    <t>https://expa.aiesec.org/opportunities/1298403</t>
  </si>
  <si>
    <t>2023-09-04T20:18:18Z</t>
  </si>
  <si>
    <t>5212777_1279126</t>
  </si>
  <si>
    <t>5317095_1295893</t>
  </si>
  <si>
    <t>Salma Wessam</t>
  </si>
  <si>
    <t>p_7c41de691ca0276c92180484d6b9ca552b2bfd95@inbound.aiesec.org</t>
  </si>
  <si>
    <t>2023-09-02T20:49:23Z</t>
  </si>
  <si>
    <t>5318214_1298403</t>
  </si>
  <si>
    <t>chaima ben ameur</t>
  </si>
  <si>
    <t>p_bb386a7f179cf42854dd45ecd7874d336e120344@inbound.aiesec.org</t>
  </si>
  <si>
    <t>2023-09-04T18:45:49Z</t>
  </si>
  <si>
    <t>4706490_1298556</t>
  </si>
  <si>
    <t>momen gamal</t>
  </si>
  <si>
    <t>p_ae5225506db4b7009cf08335c4ceefa4675f2ec0@inbound.aiesec.org</t>
  </si>
  <si>
    <t>2021-08-07T15:07:49Z</t>
  </si>
  <si>
    <t>5232011_1295081</t>
  </si>
  <si>
    <t>https://expa.aiesec.org/opportunities/1295081</t>
  </si>
  <si>
    <t>5074345_1297247</t>
  </si>
  <si>
    <t>Islem Agrebi</t>
  </si>
  <si>
    <t>p_12e8bc6e9db24ce3be7c3bdfbfb6b6f04006b282@inbound.aiesec.org</t>
  </si>
  <si>
    <t>2022-06-19T11:20:24Z</t>
  </si>
  <si>
    <t>5319255_1286326</t>
  </si>
  <si>
    <t>bharat gupta</t>
  </si>
  <si>
    <t>p_91685ff3af1fea8cf6bd23fafe259477851f7023@inbound.aiesec.org</t>
  </si>
  <si>
    <t>2023-09-06T18:05:28Z</t>
  </si>
  <si>
    <t>3921906_1295893</t>
  </si>
  <si>
    <t>Abdulrahman Elgamal</t>
  </si>
  <si>
    <t>p_9ee86ebe206711204fb8bb852710e75e4e5c440a@inbound.aiesec.org</t>
  </si>
  <si>
    <t>2019-10-24T13:06:58Z</t>
  </si>
  <si>
    <t>5210657_1296105</t>
  </si>
  <si>
    <t>5315960_1295980</t>
  </si>
  <si>
    <t>Mariem Ben Haj Mhamed</t>
  </si>
  <si>
    <t>p_015ec0655358bf7eb56a8cec5a840aaf0267b9b9@inbound.aiesec.org</t>
  </si>
  <si>
    <t>https://expa.aiesec.org/opportunities/1295980</t>
  </si>
  <si>
    <t>2023-09-01T07:55:14Z</t>
  </si>
  <si>
    <t>5272128_1298400</t>
  </si>
  <si>
    <t>https://expa.aiesec.org/opportunities/1298400</t>
  </si>
  <si>
    <t>5236508_1298400</t>
  </si>
  <si>
    <t>5257289_1298400</t>
  </si>
  <si>
    <t>5303527_1297661</t>
  </si>
  <si>
    <t>Mariam MOHAMMED</t>
  </si>
  <si>
    <t>p_caf324257236c1cccff8cff9bba78d1355713c80@inbound.aiesec.org</t>
  </si>
  <si>
    <t>https://expa.aiesec.org/opportunities/1297661</t>
  </si>
  <si>
    <t>2023-08-16T10:13:35Z</t>
  </si>
  <si>
    <t>5318750_1279126</t>
  </si>
  <si>
    <t>Mariem Trabelsi</t>
  </si>
  <si>
    <t>p_f057161110215e112c6e55dc64b71d50f6db72c2@inbound.aiesec.org</t>
  </si>
  <si>
    <t>2023-09-05T21:00:58Z</t>
  </si>
  <si>
    <t>5306063_1280872</t>
  </si>
  <si>
    <t>Mohamed Ben Khlifa</t>
  </si>
  <si>
    <t>p_0bba5e9e81ba8ce01d493eb77c0a108ac50bb329@inbound.aiesec.org</t>
  </si>
  <si>
    <t>Polytech INTL</t>
  </si>
  <si>
    <t>2023-08-20T17:51:00Z</t>
  </si>
  <si>
    <t>5319670_1294332</t>
  </si>
  <si>
    <t>Sarah Elsayed</t>
  </si>
  <si>
    <t>p_088332522fe7757b47c60ffad8ec796b79397877@inbound.aiesec.org</t>
  </si>
  <si>
    <t>2023-09-07T13:27:45Z</t>
  </si>
  <si>
    <t>5286920_1295453</t>
  </si>
  <si>
    <t>Rana Wagih</t>
  </si>
  <si>
    <t>p_d065b39a19024d6e0b21874b90cb0f56cec7dcc1@inbound.aiesec.org</t>
  </si>
  <si>
    <t>2023-07-18T23:24:38Z</t>
  </si>
  <si>
    <t>5311093_1295453</t>
  </si>
  <si>
    <t>Amira Hussein Gamil</t>
  </si>
  <si>
    <t>p_e389617dcd5ce38d6fe963d9b4d8f8493331e1dd@inbound.aiesec.org</t>
  </si>
  <si>
    <t>2023-08-27T21:13:09Z</t>
  </si>
  <si>
    <t>5258299_1295575</t>
  </si>
  <si>
    <t>5124320_1286326</t>
  </si>
  <si>
    <t>Anastasia Hrytsay</t>
  </si>
  <si>
    <t>p_2b16e029ae595febc898022539ba2a273e83fa6f@inbound.aiesec.org</t>
  </si>
  <si>
    <t>2022-10-03T13:06:28Z</t>
  </si>
  <si>
    <t>5317291_1286326</t>
  </si>
  <si>
    <t>Anna Vytvytska</t>
  </si>
  <si>
    <t>p_274307a4c539472fc1586a2d1bf585f2c94549db@inbound.aiesec.org</t>
  </si>
  <si>
    <t>2023-09-03T10:00:39Z</t>
  </si>
  <si>
    <t>5275903_1289378</t>
  </si>
  <si>
    <t>Alvaro Guardo Rincon</t>
  </si>
  <si>
    <t>p_1c2272c70264418e5fc94014373db2b2c1fc8a32@inbound.aiesec.org</t>
  </si>
  <si>
    <t>UPB</t>
  </si>
  <si>
    <t>2023-06-16T05:57:41Z</t>
  </si>
  <si>
    <t>5271484_1296670</t>
  </si>
  <si>
    <t>Amr Waleed</t>
  </si>
  <si>
    <t>p_ff13e8bd11daa9d57207dba867e1a6e83d8c37e1@inbound.aiesec.org</t>
  </si>
  <si>
    <t>2023-06-05T02:36:03Z</t>
  </si>
  <si>
    <t>4736833_1293407</t>
  </si>
  <si>
    <t>5320939_1295514</t>
  </si>
  <si>
    <t>p_497a1b22aa41cf1c04908b77d320695217df25c1@inbound.aiesec.org</t>
  </si>
  <si>
    <t>2023-09-09T19:42:48Z</t>
  </si>
  <si>
    <t>5314070_1289536</t>
  </si>
  <si>
    <t>Tomás Almeida</t>
  </si>
  <si>
    <t>p_f28cd736b22f2ade8fa738fc3ae8425467cd0c33@inbound.aiesec.org</t>
  </si>
  <si>
    <t>Universidade NOVA de Lisboa - NOVA School of Business and Economics (SBE)</t>
  </si>
  <si>
    <t>2023-08-31T00:07:33Z</t>
  </si>
  <si>
    <t>5130281_1298556</t>
  </si>
  <si>
    <t>Khaled Anas</t>
  </si>
  <si>
    <t>p_dbeaf0bc417062776aef25250970c0380782acb1@inbound.aiesec.org</t>
  </si>
  <si>
    <t>2022-10-11T18:50:55Z</t>
  </si>
  <si>
    <t>5083527_1298235</t>
  </si>
  <si>
    <t>Ines Aoudia</t>
  </si>
  <si>
    <t>p_103e399d3daa6748c9dd2343a56af4fb9899ad16@inbound.aiesec.org</t>
  </si>
  <si>
    <t>https://expa.aiesec.org/opportunities/1298235</t>
  </si>
  <si>
    <t>2022-07-17T22:45:38Z</t>
  </si>
  <si>
    <t>5211720_1297606</t>
  </si>
  <si>
    <t>Amaney Hamdey</t>
  </si>
  <si>
    <t>p_1b83f8b07eed25be71a59d4fe6fd4958ef509788@inbound.aiesec.org</t>
  </si>
  <si>
    <t>https://expa.aiesec.org/opportunities/1297606</t>
  </si>
  <si>
    <t>2023-03-10T07:53:33Z</t>
  </si>
  <si>
    <t>5320386_1292878</t>
  </si>
  <si>
    <t>Abdellatif Sekouri</t>
  </si>
  <si>
    <t>p_6d8787ff1382c5ec621221f7c9018499afcf56af@inbound.aiesec.org</t>
  </si>
  <si>
    <t>FSJES Tétouan</t>
  </si>
  <si>
    <t>2023-09-08T14:42:43Z</t>
  </si>
  <si>
    <t>4677020_1298501</t>
  </si>
  <si>
    <t>Melis Irmak Kaya</t>
  </si>
  <si>
    <t>p_9264262f03a1991fc1f90dc787d33aade6b9f0d5@inbound.aiesec.org</t>
  </si>
  <si>
    <t>https://expa.aiesec.org/opportunities/1298501</t>
  </si>
  <si>
    <t>2021-06-26T13:46:00Z</t>
  </si>
  <si>
    <t>5317419_1294332</t>
  </si>
  <si>
    <t>Oumaima Essafi</t>
  </si>
  <si>
    <t>p_60560a4fbeadb26987d1c247c12cdd716ea99fae@inbound.aiesec.org</t>
  </si>
  <si>
    <t>École nationale d'architecture Agadir (ENA)</t>
  </si>
  <si>
    <t>2023-09-03T13:54:48Z</t>
  </si>
  <si>
    <t>5278373_1295982</t>
  </si>
  <si>
    <t>souad djebari</t>
  </si>
  <si>
    <t>p_d41552fb044df595d0ff41a4b4ad741d46888f8f@inbound.aiesec.org</t>
  </si>
  <si>
    <t>2023-06-22T14:43:42Z</t>
  </si>
  <si>
    <t>5314223_1279126</t>
  </si>
  <si>
    <t>Aaryaa Bheda</t>
  </si>
  <si>
    <t>p_04b80d11f3de38b7b19fb84879641b8c3a960445@inbound.aiesec.org</t>
  </si>
  <si>
    <t>Mithibai College of Commerce and Science, Vile Parle</t>
  </si>
  <si>
    <t>2023-08-31T07:15:47Z</t>
  </si>
  <si>
    <t>5256352_1289502</t>
  </si>
  <si>
    <t>5309237_1291254</t>
  </si>
  <si>
    <t>Samrudhi Rathod</t>
  </si>
  <si>
    <t>p_0770d5fd8a65ebcf7805e7a10b97e07f92c4f03c@inbound.aiesec.org</t>
  </si>
  <si>
    <t>2023-08-25T11:47:12Z</t>
  </si>
  <si>
    <t>5321324_1295453</t>
  </si>
  <si>
    <t>Latiifa Annuuru Widayani</t>
  </si>
  <si>
    <t>p_2467d02a7b9a6b0efd5a4ccd8c513676e5716a3d@inbound.aiesec.org</t>
  </si>
  <si>
    <t>2023-09-10T21:11:42Z</t>
  </si>
  <si>
    <t>5321027_1295628</t>
  </si>
  <si>
    <t>p_3a8f397e1d8064a69d622aee61d7310bdfe12793@inbound.aiesec.org</t>
  </si>
  <si>
    <t>2023-09-10T06:32:31Z</t>
  </si>
  <si>
    <t>5080111_1296101</t>
  </si>
  <si>
    <t>Amira Nasr</t>
  </si>
  <si>
    <t>p_619b84660a14391efa0959b25d8f10a3681dc0ff@inbound.aiesec.org</t>
  </si>
  <si>
    <t>2022-07-05T23:43:08Z</t>
  </si>
  <si>
    <t>5288909_1289296</t>
  </si>
  <si>
    <t>ZHANSAYA OMIRZAK</t>
  </si>
  <si>
    <t>p_2e90e38163e792617d9dec41a558d6b703007766@inbound.aiesec.org</t>
  </si>
  <si>
    <t>2023-07-24T17:44:18Z</t>
  </si>
  <si>
    <t>5319499_1296325</t>
  </si>
  <si>
    <t>Neerav Lalwani</t>
  </si>
  <si>
    <t>p_875cd4d9d2c0dc70dadd338a913a8dfa149c5441@inbound.aiesec.org</t>
  </si>
  <si>
    <t>Sri Bhagwan Mahaveer Jain College, Bangalore</t>
  </si>
  <si>
    <t>2023-09-07T07:48:24Z</t>
  </si>
  <si>
    <t>5322287_1279126</t>
  </si>
  <si>
    <t>Hajer Boussandel</t>
  </si>
  <si>
    <t>p_fd6cb52f07f0dc029ce22ad099b3dc8438b1efac@inbound.aiesec.org</t>
  </si>
  <si>
    <t>2023-09-12T11:13:24Z</t>
  </si>
  <si>
    <t>5311535_1279126</t>
  </si>
  <si>
    <t>Eya Ferjeni</t>
  </si>
  <si>
    <t>p_47b2ddcaa8b5c86d5be77a114a6a1be04a0bbe93@inbound.aiesec.org</t>
  </si>
  <si>
    <t>2023-08-28T14:42:18Z</t>
  </si>
  <si>
    <t>5319567_1291144</t>
  </si>
  <si>
    <t>Javeria Zulfiqar</t>
  </si>
  <si>
    <t>p_3c7dc75223c5df8a9b434aef8be7dd227e58225e@inbound.aiesec.org</t>
  </si>
  <si>
    <t>2023-09-07T10:59:16Z</t>
  </si>
  <si>
    <t>3519704_1297132</t>
  </si>
  <si>
    <t>amamou rania</t>
  </si>
  <si>
    <t>p_b3ce41142aef74fdbfe603375789a685cf2d9e6e@inbound.aiesec.org</t>
  </si>
  <si>
    <t>2019-06-10T17:05:23Z</t>
  </si>
  <si>
    <t>5319589_1296325</t>
  </si>
  <si>
    <t>Rana Hossam El Dine</t>
  </si>
  <si>
    <t>p_2fa816e610b3ad69aa14fd07e803e8388dc67111@inbound.aiesec.org</t>
  </si>
  <si>
    <t>2023-09-07T11:33:02Z</t>
  </si>
  <si>
    <t>5319390_1296325</t>
  </si>
  <si>
    <t>Lourane Essam</t>
  </si>
  <si>
    <t>p_5354aa42ec8201c4fbc40373515a4d7511e9821d@inbound.aiesec.org</t>
  </si>
  <si>
    <t>2023-09-06T23:39:03Z</t>
  </si>
  <si>
    <t>5318683_1296994</t>
  </si>
  <si>
    <t>İlayda Varlık</t>
  </si>
  <si>
    <t>p_5f905d1615747f5e41530c14edd379ee3742a2c5@inbound.aiesec.org</t>
  </si>
  <si>
    <t>2023-09-05T17:39:30Z</t>
  </si>
  <si>
    <t>5320374_1296885</t>
  </si>
  <si>
    <t>Zehra Akça</t>
  </si>
  <si>
    <t>p_77e49fdab49e75de8e63ec69b3c7695496e3f2ec@inbound.aiesec.org</t>
  </si>
  <si>
    <t>https://expa.aiesec.org/opportunities/1296885</t>
  </si>
  <si>
    <t>2023-09-08T14:25:45Z</t>
  </si>
  <si>
    <t>2562603_1280872</t>
  </si>
  <si>
    <t>jabeur wael</t>
  </si>
  <si>
    <t>p_212ca3f8240f3bcf406286bc9f5c8457cf0fb182@inbound.aiesec.org</t>
  </si>
  <si>
    <t>2018-09-18T22:08:22Z</t>
  </si>
  <si>
    <t>5322721_1294825</t>
  </si>
  <si>
    <t>Çağdaş Çıkar</t>
  </si>
  <si>
    <t>p_e6183fa246ee7d426228de7fc98cd4385a8add3e@inbound.aiesec.org</t>
  </si>
  <si>
    <t>2023-09-12T20:29:17Z</t>
  </si>
  <si>
    <t>5309605_1298373</t>
  </si>
  <si>
    <t>Eylem Aslan</t>
  </si>
  <si>
    <t>p_cd69d041a0f7f437158c9fb52b45a538dad3d119@inbound.aiesec.org</t>
  </si>
  <si>
    <t>https://expa.aiesec.org/opportunities/1298373</t>
  </si>
  <si>
    <t>2023-08-25T20:20:02Z</t>
  </si>
  <si>
    <t>5322447_1279126</t>
  </si>
  <si>
    <t>Aysha Sameh</t>
  </si>
  <si>
    <t>p_a63fe3e7ca42bfbedebb766d495233890b8e08f0@inbound.aiesec.org</t>
  </si>
  <si>
    <t>2023-09-12T14:17:43Z</t>
  </si>
  <si>
    <t>5320848_1286920</t>
  </si>
  <si>
    <t>Nour Abdallah</t>
  </si>
  <si>
    <t>p_d64b6e742ef61b941dd287c2f920ad6b5e3b576a@inbound.aiesec.org</t>
  </si>
  <si>
    <t>2023-09-09T14:42:48Z</t>
  </si>
  <si>
    <t>5279345_1291055</t>
  </si>
  <si>
    <t>Ahmed karam</t>
  </si>
  <si>
    <t>p_1221a33d03d541f9bba29312f4c900a35f2ec12e@inbound.aiesec.org</t>
  </si>
  <si>
    <t>2023-06-25T19:13:08Z</t>
  </si>
  <si>
    <t>3737071_1295566</t>
  </si>
  <si>
    <t>Mohamed Amine Benhmida</t>
  </si>
  <si>
    <t>p_4de851150153806bf43be6150bfd3b8af728e833@inbound.aiesec.org</t>
  </si>
  <si>
    <t>2019-08-03T20:22:20Z</t>
  </si>
  <si>
    <t>4148593_1291989</t>
  </si>
  <si>
    <t>sarra mansouri</t>
  </si>
  <si>
    <t>p_7d2ef7450241f6da5268c45b74aa2115593b562c@inbound.aiesec.org</t>
  </si>
  <si>
    <t>2020-01-20T20:11:12Z</t>
  </si>
  <si>
    <t>5321376_1298556</t>
  </si>
  <si>
    <t>Unnati Agrawal</t>
  </si>
  <si>
    <t>p_2928f6da9beaf237dc259c126648d6692f4bf1b1@inbound.aiesec.org</t>
  </si>
  <si>
    <t>2023-09-11T01:15:02Z</t>
  </si>
  <si>
    <t>5321389_1298556</t>
  </si>
  <si>
    <t>Tanisha Agrawal</t>
  </si>
  <si>
    <t>p_fdd234c7c0550349d9e6632fa5aef86a238b2ca4@inbound.aiesec.org</t>
  </si>
  <si>
    <t>2023-09-11T02:01:51Z</t>
  </si>
  <si>
    <t>3886454_1298556</t>
  </si>
  <si>
    <t>Elizabeth Mutisya</t>
  </si>
  <si>
    <t>p_17191217e5c377f84a2d0ceb094b35c58446f814@inbound.aiesec.org</t>
  </si>
  <si>
    <t>STRATHMORE UNIVERSITY</t>
  </si>
  <si>
    <t>Strathmore University</t>
  </si>
  <si>
    <t>2019-10-10T11:27:30Z</t>
  </si>
  <si>
    <t>5315110_1295982</t>
  </si>
  <si>
    <t>Jamli Mohamed Amin</t>
  </si>
  <si>
    <t>p_092178be268e65093acae223fd5e9f6c680b01f3@inbound.aiesec.org</t>
  </si>
  <si>
    <t>2023-08-31T17:13:58Z</t>
  </si>
  <si>
    <t>5321040_1285690</t>
  </si>
  <si>
    <t>Daria Lebid</t>
  </si>
  <si>
    <t>p_eb32e6adccc3da3f8f48b4fa6a1a0792df5f08d4@inbound.aiesec.org</t>
  </si>
  <si>
    <t>2023-09-10T07:49:00Z</t>
  </si>
  <si>
    <t>5323519_1287966</t>
  </si>
  <si>
    <t>asma yasmine rouis</t>
  </si>
  <si>
    <t>p_2f02f51c42d4501a634edf9893e9e39f41f2905e@inbound.aiesec.org</t>
  </si>
  <si>
    <t>2023-09-13T23:40:54Z</t>
  </si>
  <si>
    <t>5283295_1284081</t>
  </si>
  <si>
    <t>Fatima zohra Benmazouza</t>
  </si>
  <si>
    <t>p_cf57e17e7229c72c26d52275a9fa435ee294fccc@inbound.aiesec.org</t>
  </si>
  <si>
    <t>2023-07-08T11:07:42Z</t>
  </si>
  <si>
    <t>5260132_1296231</t>
  </si>
  <si>
    <t>farah rahrah</t>
  </si>
  <si>
    <t>p_b081d8de871b9a9517f9dafc980710854b806101@inbound.aiesec.org</t>
  </si>
  <si>
    <t>2023-05-12T17:42:46Z</t>
  </si>
  <si>
    <t>5255443_1291606</t>
  </si>
  <si>
    <t>Siwar Zribi</t>
  </si>
  <si>
    <t>p_19279f9629ff2975beb623a4fa574b2487509e0a@inbound.aiesec.org</t>
  </si>
  <si>
    <t>2023-05-03T23:19:57Z</t>
  </si>
  <si>
    <t>5317723_1298037</t>
  </si>
  <si>
    <t>ishak dura</t>
  </si>
  <si>
    <t>p_465b378c4473c20196b791f0cf791bf6dbdc1ddf@inbound.aiesec.org</t>
  </si>
  <si>
    <t>https://expa.aiesec.org/opportunities/1298037</t>
  </si>
  <si>
    <t>2023-09-03T20:19:42Z</t>
  </si>
  <si>
    <t>5066224_1289502</t>
  </si>
  <si>
    <t>Nour el houda Hayaoui</t>
  </si>
  <si>
    <t>p_af4307e7a937edfe01bb8fc60bac2019cf620981@inbound.aiesec.org</t>
  </si>
  <si>
    <t>2022-05-30T21:08:59Z</t>
  </si>
  <si>
    <t>5304176_1294332</t>
  </si>
  <si>
    <t>Chaimaa Kaouthar</t>
  </si>
  <si>
    <t>p_c2111b7cf71c3c50b94fc48705636776ccc997c6@inbound.aiesec.org</t>
  </si>
  <si>
    <t>2023-08-17T13:02:57Z</t>
  </si>
  <si>
    <t>5319516_1289850</t>
  </si>
  <si>
    <t>Hasan Önal</t>
  </si>
  <si>
    <t>p_bba85cd4b368f436e47fd9eb20e808d920d775f4@inbound.aiesec.org</t>
  </si>
  <si>
    <t>2023-09-07T08:56:50Z</t>
  </si>
  <si>
    <t>5286092_1279126</t>
  </si>
  <si>
    <t>Eya Boughanmi</t>
  </si>
  <si>
    <t>p_1d432c69083c332214cb601e40102f72b9d28033@inbound.aiesec.org</t>
  </si>
  <si>
    <t>2023-07-17T13:06:24Z</t>
  </si>
  <si>
    <t>5324418_1279126</t>
  </si>
  <si>
    <t>Jawher Abida</t>
  </si>
  <si>
    <t>p_234bfe35c634bbb94c0045ce8a72926a32aa64c6@inbound.aiesec.org</t>
  </si>
  <si>
    <t>2023-09-15T08:25:39Z</t>
  </si>
  <si>
    <t>4707117_1279126</t>
  </si>
  <si>
    <t>Mainá Martins</t>
  </si>
  <si>
    <t>p_c512a5383aae12a43febaf0ac281b4dfc802c2bd@inbound.aiesec.org</t>
  </si>
  <si>
    <t>2021-08-08T15:26:31Z</t>
  </si>
  <si>
    <t>4311442_1289444</t>
  </si>
  <si>
    <t>Oumayma Elborgi Bouraoui</t>
  </si>
  <si>
    <t>p_f22cb532fd2c2a3840f750a24f53a9897fbf609d@inbound.aiesec.org</t>
  </si>
  <si>
    <t>2020-06-17T20:21:01Z</t>
  </si>
  <si>
    <t>2460653_1289444</t>
  </si>
  <si>
    <t>Aymen Delly</t>
  </si>
  <si>
    <t>p_ca1874a4204527158d547f1cd81437035680aef1@inbound.aiesec.org</t>
  </si>
  <si>
    <t>2018-07-25T12:40:34Z</t>
  </si>
  <si>
    <t>2505771_1297990</t>
  </si>
  <si>
    <t>Sami Mahmood</t>
  </si>
  <si>
    <t>p_5b17ee0f002d12b737c019cb0bf836771bfa92e8@inbound.aiesec.org</t>
  </si>
  <si>
    <t>2018-08-25T10:24:32Z</t>
  </si>
  <si>
    <t>5167917_1295893</t>
  </si>
  <si>
    <t>3828170_1295893</t>
  </si>
  <si>
    <t>5318590_1295893</t>
  </si>
  <si>
    <t>Sofiia Martyshchuk</t>
  </si>
  <si>
    <t>p_cd2f1f6a34a38ad128d6b45bbabd5d1428e80be3@inbound.aiesec.org</t>
  </si>
  <si>
    <t>2023-09-05T14:17:50Z</t>
  </si>
  <si>
    <t>5324834_1284476</t>
  </si>
  <si>
    <t>Abdelrhman Salh</t>
  </si>
  <si>
    <t>p_835433d011151f37d77baed10995aaed5b47a965@inbound.aiesec.org</t>
  </si>
  <si>
    <t>Suez Canal University</t>
  </si>
  <si>
    <t>2023-09-15T16:38:19Z</t>
  </si>
  <si>
    <t>5292641_1279126</t>
  </si>
  <si>
    <t>Mariem Labib</t>
  </si>
  <si>
    <t>p_ca88bd7bc436980aff1a6d04a5b7ae591e10452d@inbound.aiesec.org</t>
  </si>
  <si>
    <t>2023-08-01T12:07:25Z</t>
  </si>
  <si>
    <t>5310506_1289596</t>
  </si>
  <si>
    <t>Carina Oliveira</t>
  </si>
  <si>
    <t>p_3ec5b3763cf85471fae7555ec4dd283a18bc861c@inbound.aiesec.org</t>
  </si>
  <si>
    <t>ABC</t>
  </si>
  <si>
    <t>São Paulo - ABC</t>
  </si>
  <si>
    <t>2023-08-26T21:53:01Z</t>
  </si>
  <si>
    <t>5325394_1297135</t>
  </si>
  <si>
    <t>Sandra Wassef</t>
  </si>
  <si>
    <t>p_48785b9f8d3078d1212f4d48714ff14399277532@inbound.aiesec.org</t>
  </si>
  <si>
    <t>https://expa.aiesec.org/opportunities/1297135</t>
  </si>
  <si>
    <t xml:space="preserve">Pre-School Teacher </t>
  </si>
  <si>
    <t>2023-09-16T13:10:03Z</t>
  </si>
  <si>
    <t>5270242_1279126</t>
  </si>
  <si>
    <t>ameni jomaa</t>
  </si>
  <si>
    <t>p_ee94e4145a88ee957fd7903efb23ada35c451895@inbound.aiesec.org</t>
  </si>
  <si>
    <t>2023-06-01T15:22:06Z</t>
  </si>
  <si>
    <t>5297304_1297864</t>
  </si>
  <si>
    <t>Şura Dinç</t>
  </si>
  <si>
    <t>p_7560190602ff1fb90d4723af3ca6a73f79a7fbe1@inbound.aiesec.org</t>
  </si>
  <si>
    <t>https://expa.aiesec.org/opportunities/1297864</t>
  </si>
  <si>
    <t>2023-08-04T21:26:25Z</t>
  </si>
  <si>
    <t>5303490_1292557</t>
  </si>
  <si>
    <t>Fiorella Vargas</t>
  </si>
  <si>
    <t>p_5ffed4a763ff9e68f826be5492596400c44d46b6@inbound.aiesec.org</t>
  </si>
  <si>
    <t>UBC</t>
  </si>
  <si>
    <t>University of British Columbia</t>
  </si>
  <si>
    <t>2023-08-16T08:42:57Z</t>
  </si>
  <si>
    <t>5325882_1295716</t>
  </si>
  <si>
    <t>Sandi Mohamed</t>
  </si>
  <si>
    <t>p_f94ad7a0b681fa88776447a76811a60c8597a674@inbound.aiesec.org</t>
  </si>
  <si>
    <t>2023-09-17T09:05:44Z</t>
  </si>
  <si>
    <t>5321371_1288497</t>
  </si>
  <si>
    <t>Abdelrahman Yehia</t>
  </si>
  <si>
    <t>p_4db9ee51d112473bf718992fca96be508bb4a0ee@inbound.aiesec.org</t>
  </si>
  <si>
    <t>2023-09-11T01:01:19Z</t>
  </si>
  <si>
    <t>5321362_1288497</t>
  </si>
  <si>
    <t>yassin ahmed</t>
  </si>
  <si>
    <t>p_5648a521a391aa4bf4919981b91c1ef09052f24a@inbound.aiesec.org</t>
  </si>
  <si>
    <t>2023-09-10T23:53:43Z</t>
  </si>
  <si>
    <t>5323412_1296101</t>
  </si>
  <si>
    <t>Sofiia Nykolaichuk</t>
  </si>
  <si>
    <t>p_3dbd7516a03aeb56a9ef8665bc3f64018469a39b@inbound.aiesec.org</t>
  </si>
  <si>
    <t>2023-09-13T18:45:51Z</t>
  </si>
  <si>
    <t>5319583_1295745</t>
  </si>
  <si>
    <t>Oleksandra Korobko</t>
  </si>
  <si>
    <t>p_c66e7ea479efcd864231b66437f690eed38ea187@inbound.aiesec.org</t>
  </si>
  <si>
    <t>2023-09-07T11:22:02Z</t>
  </si>
  <si>
    <t>2151446_1295453</t>
  </si>
  <si>
    <t>Lamees Mohamed</t>
  </si>
  <si>
    <t>p_0cf0e048e9997081e7cd988b8f831f2628236292@inbound.aiesec.org</t>
  </si>
  <si>
    <t>2018-03-28T08:56:32Z</t>
  </si>
  <si>
    <t>5299010_1287966</t>
  </si>
  <si>
    <t>Chidera Nnamani</t>
  </si>
  <si>
    <t>p_856b96757742832352547c956bdcbb2c8176f8b7@inbound.aiesec.org</t>
  </si>
  <si>
    <t>Sharjah</t>
  </si>
  <si>
    <t>Abu Dhabi University</t>
  </si>
  <si>
    <t>2023-08-07T15:19:11Z</t>
  </si>
  <si>
    <t>5326122_1293407</t>
  </si>
  <si>
    <t>Fatema Abdelrahman</t>
  </si>
  <si>
    <t>p_a032e32331596d436f24784e58348621b816dd08@inbound.aiesec.org</t>
  </si>
  <si>
    <t>2023-09-17T13:51:54Z</t>
  </si>
  <si>
    <t>3936205_1286122</t>
  </si>
  <si>
    <t>5323810_1298571</t>
  </si>
  <si>
    <t>Şevval Güngör</t>
  </si>
  <si>
    <t>p_19e624b726372ceef4b309f277b0a3648144849a@inbound.aiesec.org</t>
  </si>
  <si>
    <t>https://expa.aiesec.org/opportunities/1298571</t>
  </si>
  <si>
    <t>2023-09-14T12:14:42Z</t>
  </si>
  <si>
    <t>5326462_1279126</t>
  </si>
  <si>
    <t>Ghofrane Baazaoui</t>
  </si>
  <si>
    <t>p_629a037f7e2d2d602f94c58433e164262038dcdc@inbound.aiesec.org</t>
  </si>
  <si>
    <t>2023-09-18T08:55:27Z</t>
  </si>
  <si>
    <t>5121704_1286920</t>
  </si>
  <si>
    <t>Roba Yasser</t>
  </si>
  <si>
    <t>p_ae0c352d0b9ea66400407f1384f6940782380c60@inbound.aiesec.org</t>
  </si>
  <si>
    <t>2022-09-28T20:24:29Z</t>
  </si>
  <si>
    <t>5311345_1295777</t>
  </si>
  <si>
    <t>Melike Zeybek</t>
  </si>
  <si>
    <t>p_c8ccebc5b6fcc23ae98b7eb71fc4e7af669be2aa@inbound.aiesec.org</t>
  </si>
  <si>
    <t>https://expa.aiesec.org/opportunities/1295777</t>
  </si>
  <si>
    <t>animatrice / enseigante anglais pour les enfants</t>
  </si>
  <si>
    <t>2023-08-28T10:29:28Z</t>
  </si>
  <si>
    <t>5326737_1297088</t>
  </si>
  <si>
    <t>p_efd1355510a06c6b52d965bc7f10011ee19e8ca8@inbound.aiesec.org</t>
  </si>
  <si>
    <t>https://expa.aiesec.org/opportunities/1297088</t>
  </si>
  <si>
    <t>Pre-School Teaching</t>
  </si>
  <si>
    <t>2023-09-18T14:53:31Z</t>
  </si>
  <si>
    <t>5326019_1279126</t>
  </si>
  <si>
    <t>Siwar Ben hlima skhiri</t>
  </si>
  <si>
    <t>p_005b302ddf9db1e91d5841aa94f0a31307ac5415@inbound.aiesec.org</t>
  </si>
  <si>
    <t>2023-09-17T11:44:07Z</t>
  </si>
  <si>
    <t>5323463_1289255</t>
  </si>
  <si>
    <t>Nadine ARAB</t>
  </si>
  <si>
    <t>p_9d1da592d9c701bd5badd6741ef8e3eeb764a572@inbound.aiesec.org</t>
  </si>
  <si>
    <t>2023-09-13T21:12:13Z</t>
  </si>
  <si>
    <t>5088850_1297978</t>
  </si>
  <si>
    <t>https://expa.aiesec.org/opportunities/1297978</t>
  </si>
  <si>
    <t>5326714_1295127</t>
  </si>
  <si>
    <t>Ömer Özçetin</t>
  </si>
  <si>
    <t>p_5a412c183d9c8bb868914b9e30d6b032c9561d69@inbound.aiesec.org</t>
  </si>
  <si>
    <t>https://expa.aiesec.org/opportunities/1295127</t>
  </si>
  <si>
    <t>2023-09-18T14:34:37Z</t>
  </si>
  <si>
    <t>5324511_1299359</t>
  </si>
  <si>
    <t>Murat Rüzgar Poyraz</t>
  </si>
  <si>
    <t>p_bd4c74e47fbfbe9fe2065ea14c6dcb614601a172@inbound.aiesec.org</t>
  </si>
  <si>
    <t>https://expa.aiesec.org/opportunities/1299359</t>
  </si>
  <si>
    <t>2023-09-15T10:32:48Z</t>
  </si>
  <si>
    <t>4762990_1286236</t>
  </si>
  <si>
    <t>Nada Mamdouh Ibrahim</t>
  </si>
  <si>
    <t>p_afd7115dd935eaa56d2290c8b919d2311c034cec@inbound.aiesec.org</t>
  </si>
  <si>
    <t>2021-10-12T01:01:27Z</t>
  </si>
  <si>
    <t>5312642_1296423</t>
  </si>
  <si>
    <t>Necdet ATALAY</t>
  </si>
  <si>
    <t>p_b475607d0293d782d5d4f5877d5632529dcf7053@inbound.aiesec.org</t>
  </si>
  <si>
    <t>https://expa.aiesec.org/opportunities/1296423</t>
  </si>
  <si>
    <t>R&amp;D Engineer</t>
  </si>
  <si>
    <t>2023-08-29T20:47:07Z</t>
  </si>
  <si>
    <t>3703338_1288593</t>
  </si>
  <si>
    <t>Ruta Welay</t>
  </si>
  <si>
    <t>p_4bc0c713ed33a71cdad1d191c8007c3daf56a690@inbound.aiesec.org</t>
  </si>
  <si>
    <t>Other Universities and Institutions</t>
  </si>
  <si>
    <t>2019-07-24T19:25:34Z</t>
  </si>
  <si>
    <t>4628847_1259741</t>
  </si>
  <si>
    <t>Rawda Badr</t>
  </si>
  <si>
    <t>p_eca11f18fed527804fea493991fc16af09f2b235@inbound.aiesec.org</t>
  </si>
  <si>
    <t>2021-04-25T14:18:39Z</t>
  </si>
  <si>
    <t>5309451_1296305</t>
  </si>
  <si>
    <t>Linda Ayed</t>
  </si>
  <si>
    <t>p_bd042e7d836bcbe3a58f25eb0f1460921c3d879b@inbound.aiesec.org</t>
  </si>
  <si>
    <t>https://expa.aiesec.org/opportunities/1296305</t>
  </si>
  <si>
    <t>2023-08-25T16:45:44Z</t>
  </si>
  <si>
    <t>5307757_1295453</t>
  </si>
  <si>
    <t>Jannatul Ferdous Esha</t>
  </si>
  <si>
    <t>p_7aecfa8ca83fca704a172fa3a3f3fe0603c4c601@inbound.aiesec.org</t>
  </si>
  <si>
    <t>2023-08-23T09:21:33Z</t>
  </si>
  <si>
    <t>5289963_1288970</t>
  </si>
  <si>
    <t>Ofure Julisu</t>
  </si>
  <si>
    <t>p_b06b7f54257010ee75aaacd68b054599b76e4a4d@inbound.aiesec.org</t>
  </si>
  <si>
    <t>2023-07-26T17:55:46Z</t>
  </si>
  <si>
    <t>3611511_1296671</t>
  </si>
  <si>
    <t>5326648_1259741</t>
  </si>
  <si>
    <t>p_f008b9bfe6baf555debce80a4eb90cbbff39643c@inbound.aiesec.org</t>
  </si>
  <si>
    <t>2023-09-18T12:44:08Z</t>
  </si>
  <si>
    <t>5294263_1289536</t>
  </si>
  <si>
    <t>Michael Kamel</t>
  </si>
  <si>
    <t>p_3ac797e55be795945f95ac9bd76385d0fb3c79b0@inbound.aiesec.org</t>
  </si>
  <si>
    <t>Higher Technological Institute 6th October</t>
  </si>
  <si>
    <t>2023-08-02T22:56:23Z</t>
  </si>
  <si>
    <t>5327703_1298736</t>
  </si>
  <si>
    <t>Omnia Khedr</t>
  </si>
  <si>
    <t>p_a7d17a74e2dc672ba4e85849c0439c2b971dfef5@inbound.aiesec.org</t>
  </si>
  <si>
    <t>https://expa.aiesec.org/opportunities/1298736</t>
  </si>
  <si>
    <t>Amerikan Kültür Kavacık</t>
  </si>
  <si>
    <t>2023-09-19T21:28:44Z</t>
  </si>
  <si>
    <t>5328464_1294825</t>
  </si>
  <si>
    <t>Alireza K</t>
  </si>
  <si>
    <t>p_3ac4835ce7d7f136dbab06ceaf2aa37484def560@inbound.aiesec.org</t>
  </si>
  <si>
    <t>2023-09-20T19:17:36Z</t>
  </si>
  <si>
    <t>5298303_1286122</t>
  </si>
  <si>
    <t>Hamza Gaieb</t>
  </si>
  <si>
    <t>p_f3ea209ed34b8850bbba24f4ec4dbde4bdca45d3@inbound.aiesec.org</t>
  </si>
  <si>
    <t>2023-08-06T11:19:55Z</t>
  </si>
  <si>
    <t>5282798_1299445</t>
  </si>
  <si>
    <t>Imene Lakhmes</t>
  </si>
  <si>
    <t>p_45f5a880397c100409a43e51ae04c2a5754254df@inbound.aiesec.org</t>
  </si>
  <si>
    <t>https://expa.aiesec.org/opportunities/1299445</t>
  </si>
  <si>
    <t>Atabay Anaokulu</t>
  </si>
  <si>
    <t>2023-07-06T13:39:26Z</t>
  </si>
  <si>
    <t>5070973_1286122</t>
  </si>
  <si>
    <t>Belhassen Ben Mahmoud</t>
  </si>
  <si>
    <t>p_832ff01c3194a3c9bc07cec3c0820996ace957a8@inbound.aiesec.org</t>
  </si>
  <si>
    <t>2022-06-10T11:31:03Z</t>
  </si>
  <si>
    <t>5302293_1295042</t>
  </si>
  <si>
    <t>Fanit Amine</t>
  </si>
  <si>
    <t>p_864fdd1b9b61f95bd2d0612e01e3f64b2527e0a9@inbound.aiesec.org</t>
  </si>
  <si>
    <t>2023-08-14T11:24:09Z</t>
  </si>
  <si>
    <t>5323675_1289470</t>
  </si>
  <si>
    <t>şule böyükkoç</t>
  </si>
  <si>
    <t>p_c45e47ce4cefb0a5209ba2dda0e72da81da3d59d@inbound.aiesec.org</t>
  </si>
  <si>
    <t>https://expa.aiesec.org/opportunities/1289470</t>
  </si>
  <si>
    <t>Pre-primary English Teacher</t>
  </si>
  <si>
    <t>2023-09-14T08:03:37Z</t>
  </si>
  <si>
    <t>5288418_1289467</t>
  </si>
  <si>
    <t>şeyda Büyükkoç</t>
  </si>
  <si>
    <t>p_8584cca300b358fcd709de371ae7d67eb0c866bd@inbound.aiesec.org</t>
  </si>
  <si>
    <t>https://expa.aiesec.org/opportunities/1289467</t>
  </si>
  <si>
    <t>Primary English Teacher</t>
  </si>
  <si>
    <t>2023-07-23T11:48:05Z</t>
  </si>
  <si>
    <t>5328340_1285681</t>
  </si>
  <si>
    <t>Seif Mohammed</t>
  </si>
  <si>
    <t>p_6128ff5c29db049ba00e44e383d626fd59c61cdb@inbound.aiesec.org</t>
  </si>
  <si>
    <t>2023-09-20T16:01:08Z</t>
  </si>
  <si>
    <t>2342028_1299196</t>
  </si>
  <si>
    <t>Ikram Kriaà</t>
  </si>
  <si>
    <t>p_a06cb23ac51e800b8d34b715b374c9256b1d6b94@inbound.aiesec.org</t>
  </si>
  <si>
    <t>https://expa.aiesec.org/opportunities/1299196</t>
  </si>
  <si>
    <t>English Teacher in Minik AR-GE Anaokulu Mutlukent</t>
  </si>
  <si>
    <t>2018-06-03T23:49:43Z</t>
  </si>
  <si>
    <t>5187455_1289596</t>
  </si>
  <si>
    <t>Mohamin Wasti</t>
  </si>
  <si>
    <t>p_43bf3e59ccacb12453555291f576c36b730f0abe@inbound.aiesec.org</t>
  </si>
  <si>
    <t>2023-02-08T15:54:56Z</t>
  </si>
  <si>
    <t>5317140_1294780</t>
  </si>
  <si>
    <t>Zaynab Belkasmi</t>
  </si>
  <si>
    <t>p_23ca384e0e1d47b4f59fd5ce44dd9919f00292e4@inbound.aiesec.org</t>
  </si>
  <si>
    <t>https://expa.aiesec.org/opportunities/1294780</t>
  </si>
  <si>
    <t>2023-09-02T22:36:52Z</t>
  </si>
  <si>
    <t>5327093_1297445</t>
  </si>
  <si>
    <t>Ait mohamed Tinhinane</t>
  </si>
  <si>
    <t>p_80267b57741e83750a8639ac39bd1a19ef0386f5@inbound.aiesec.org</t>
  </si>
  <si>
    <t>2023-09-18T23:30:23Z</t>
  </si>
  <si>
    <t>5325250_1289347</t>
  </si>
  <si>
    <t>Ansh Tyagi</t>
  </si>
  <si>
    <t>p_ce52448a38730f13c82cb31a48bd887af5480d1a@inbound.aiesec.org</t>
  </si>
  <si>
    <t>2023-09-16T09:21:35Z</t>
  </si>
  <si>
    <t>5323805_1294581</t>
  </si>
  <si>
    <t>Mohamed Qriouch</t>
  </si>
  <si>
    <t>p_1568901d89ee918412ff3b18f587d5cb40b2fa23@inbound.aiesec.org</t>
  </si>
  <si>
    <t>https://expa.aiesec.org/opportunities/1294581</t>
  </si>
  <si>
    <t>FLSH Ben Msik Casablanca</t>
  </si>
  <si>
    <t>2023-09-14T12:03:54Z</t>
  </si>
  <si>
    <t>5322440_1295603</t>
  </si>
  <si>
    <t>Ali ZAMAN</t>
  </si>
  <si>
    <t>p_f5f280461636d624e1ebca2a13ab797d5b6fd0b8@inbound.aiesec.org</t>
  </si>
  <si>
    <t>2023-09-12T14:10:19Z</t>
  </si>
  <si>
    <t>5330024_1279126</t>
  </si>
  <si>
    <t>Souhir Ayechi</t>
  </si>
  <si>
    <t>p_348b2cbeb26c46d4e0a1422b656f8054845f05f3@inbound.aiesec.org</t>
  </si>
  <si>
    <t>2023-09-22T13:51:22Z</t>
  </si>
  <si>
    <t>5329994_1279126</t>
  </si>
  <si>
    <t>Amal Ettayeb</t>
  </si>
  <si>
    <t>p_8152f2e40c9c8931af48e60c371b8c386fbba0c6@inbound.aiesec.org</t>
  </si>
  <si>
    <t>2023-09-22T13:16:31Z</t>
  </si>
  <si>
    <t>5320447_1295453</t>
  </si>
  <si>
    <t>sandra hafez</t>
  </si>
  <si>
    <t>p_4303d570fc52eb89e91047800f05f165c9046a53@inbound.aiesec.org</t>
  </si>
  <si>
    <t>2023-09-08T16:04:27Z</t>
  </si>
  <si>
    <t>5319802_1295453</t>
  </si>
  <si>
    <t>susanna mokhtar</t>
  </si>
  <si>
    <t>p_c252a07641ed5a81b3fa03866c0366a7914bd43b@inbound.aiesec.org</t>
  </si>
  <si>
    <t>2023-09-07T15:41:49Z</t>
  </si>
  <si>
    <t>5317265_1272564</t>
  </si>
  <si>
    <t>Olena Yeromina</t>
  </si>
  <si>
    <t>p_f97dbdc3bfd74ee07ed40ee894b332caaae5e25f@inbound.aiesec.org</t>
  </si>
  <si>
    <t>2023-09-03T08:42:33Z</t>
  </si>
  <si>
    <t>5325632_1295453</t>
  </si>
  <si>
    <t>mohamed hamada</t>
  </si>
  <si>
    <t>p_82ca3cda9afc91dbeaadb21addc561cd603d62b7@inbound.aiesec.org</t>
  </si>
  <si>
    <t>2023-09-16T19:53:02Z</t>
  </si>
  <si>
    <t>3312030_1297652</t>
  </si>
  <si>
    <t>oumar sow</t>
  </si>
  <si>
    <t>p_873eb3f72a1a57efd3105de4c5f4b4831d867b61@inbound.aiesec.org</t>
  </si>
  <si>
    <t>Senegal</t>
  </si>
  <si>
    <t>2019-04-09T09:35:35Z</t>
  </si>
  <si>
    <t>4325094_1289596</t>
  </si>
  <si>
    <t>Stefany Martins</t>
  </si>
  <si>
    <t>p_a3b211bc439124ed6cb5b544663b4d9adff5f451@inbound.aiesec.org</t>
  </si>
  <si>
    <t>2020-07-07T18:04:12Z</t>
  </si>
  <si>
    <t>5306209_1272564</t>
  </si>
  <si>
    <t>Mutiara Ananda Hambali</t>
  </si>
  <si>
    <t>p_c462fb3a5f1d49b77d5bc7b869ea76012e33a85c@inbound.aiesec.org</t>
  </si>
  <si>
    <t>UPNVJ</t>
  </si>
  <si>
    <t>Universitas Pembangunan Nasional "Veteran"  Jakarta</t>
  </si>
  <si>
    <t>2023-08-21T03:16:19Z</t>
  </si>
  <si>
    <t>5323670_1296224</t>
  </si>
  <si>
    <t>Ali Atakan AKINER</t>
  </si>
  <si>
    <t>p_0746a3bb8380ab8cfa9e34786192903e75ff7486@inbound.aiesec.org</t>
  </si>
  <si>
    <t>https://expa.aiesec.org/opportunities/1296224</t>
  </si>
  <si>
    <t>2023-09-14T07:57:58Z</t>
  </si>
  <si>
    <t>5324999_1288663</t>
  </si>
  <si>
    <t>Abdelrahman Sobhy</t>
  </si>
  <si>
    <t>p_ad116efa860a76d08bcae619134d0849457c6596@inbound.aiesec.org</t>
  </si>
  <si>
    <t>2023-09-15T21:56:43Z</t>
  </si>
  <si>
    <t>5244769_1296625</t>
  </si>
  <si>
    <t>Nageb Shehata</t>
  </si>
  <si>
    <t>p_672ad07bd79f214f98cd7b8816da0530b411d04c@inbound.aiesec.org</t>
  </si>
  <si>
    <t>https://expa.aiesec.org/opportunities/1296625</t>
  </si>
  <si>
    <t>University of Sadat City</t>
  </si>
  <si>
    <t>2023-04-18T18:58:30Z</t>
  </si>
  <si>
    <t>5316103_1280733</t>
  </si>
  <si>
    <t>Danish Qureshi</t>
  </si>
  <si>
    <t>p_ce7eb7661e64dc8c961b66707473661fca79efde@inbound.aiesec.org</t>
  </si>
  <si>
    <t>2023-09-01T12:33:26Z</t>
  </si>
  <si>
    <t>5331800_1289505</t>
  </si>
  <si>
    <t>Amal Bouchahda</t>
  </si>
  <si>
    <t>p_57a551b72896557dc1aa2db502b92cd415a74434@inbound.aiesec.org</t>
  </si>
  <si>
    <t>2023-09-25T09:34:26Z</t>
  </si>
  <si>
    <t>5324868_1297990</t>
  </si>
  <si>
    <t>Zuha Shah</t>
  </si>
  <si>
    <t>p_a9c77614f11539d44b2a9571ec84c8fe508fe225@inbound.aiesec.org</t>
  </si>
  <si>
    <t>Universiti  Malaya (UM) , Kuala Lumpur</t>
  </si>
  <si>
    <t>2023-09-15T17:44:04Z</t>
  </si>
  <si>
    <t>5322340_1289536</t>
  </si>
  <si>
    <t>Aala Ben hamada</t>
  </si>
  <si>
    <t>p_46149a68c890cbde3184211924ae8daaf9deb958@inbound.aiesec.org</t>
  </si>
  <si>
    <t>2023-09-12T12:41:48Z</t>
  </si>
  <si>
    <t>5331903_1296538</t>
  </si>
  <si>
    <t>jihed dridi</t>
  </si>
  <si>
    <t>p_d44ffbd8a086d102dcdfa90069f051f54c281d93@inbound.aiesec.org</t>
  </si>
  <si>
    <t>2023-09-25T11:31:04Z</t>
  </si>
  <si>
    <t>5325882_1286368</t>
  </si>
  <si>
    <t>5324956_1298368</t>
  </si>
  <si>
    <t>Sefa Temiz</t>
  </si>
  <si>
    <t>p_e03551dc991d29a526734ae5ec19ac96ee578033@inbound.aiesec.org</t>
  </si>
  <si>
    <t>https://expa.aiesec.org/opportunities/1298368</t>
  </si>
  <si>
    <t>2023-09-15T19:40:21Z</t>
  </si>
  <si>
    <t>5327692_1290168</t>
  </si>
  <si>
    <t>Hmidi Hadil</t>
  </si>
  <si>
    <t>p_1fd543520b69807864850b4cbde13c89cc8ef892@inbound.aiesec.org</t>
  </si>
  <si>
    <t>https://expa.aiesec.org/opportunities/1290168</t>
  </si>
  <si>
    <t>2023-09-19T20:53:11Z</t>
  </si>
  <si>
    <t>5305267_1289505</t>
  </si>
  <si>
    <t>Jihen Dhaouadi</t>
  </si>
  <si>
    <t>p_cacc72ffbaefd25180ecfcd8701f397f00bb6b83@inbound.aiesec.org</t>
  </si>
  <si>
    <t>2023-08-19T10:49:10Z</t>
  </si>
  <si>
    <t>5323982_1299474</t>
  </si>
  <si>
    <t>Asma Tayechi</t>
  </si>
  <si>
    <t>p_b098847e5de2e4becb0625e27819e236cee6742e@inbound.aiesec.org</t>
  </si>
  <si>
    <t>https://expa.aiesec.org/opportunities/1299474</t>
  </si>
  <si>
    <t>2023-09-14T17:19:42Z</t>
  </si>
  <si>
    <t>5332230_1288706</t>
  </si>
  <si>
    <t>Mohamed Esawy</t>
  </si>
  <si>
    <t>p_3d219c06c757d0e2797ea257443575bf2022fb6d@inbound.aiesec.org</t>
  </si>
  <si>
    <t>https://expa.aiesec.org/opportunities/1288706</t>
  </si>
  <si>
    <t>2023-09-25T16:10:49Z</t>
  </si>
  <si>
    <t>5331258_1298864</t>
  </si>
  <si>
    <t>esra erdaş</t>
  </si>
  <si>
    <t>p_52581201594140c3235f7b465b4a9ba8fa7959e3@inbound.aiesec.org</t>
  </si>
  <si>
    <t>https://expa.aiesec.org/opportunities/1298864</t>
  </si>
  <si>
    <t>2023-09-24T12:42:05Z</t>
  </si>
  <si>
    <t>5090285_1299279</t>
  </si>
  <si>
    <t>https://expa.aiesec.org/opportunities/1299279</t>
  </si>
  <si>
    <t>5307985_1289505</t>
  </si>
  <si>
    <t>Ahmed Ben Tanfous</t>
  </si>
  <si>
    <t>p_3a1ad5385046ff5c71e02271b20a65b2d0d241ad@inbound.aiesec.org</t>
  </si>
  <si>
    <t>2023-08-23T14:37:51Z</t>
  </si>
  <si>
    <t>5155964_1272564</t>
  </si>
  <si>
    <t>Ines kadem</t>
  </si>
  <si>
    <t>p_c88df9a7fe1a189efb7f17318814963d441ab6da@inbound.aiesec.org</t>
  </si>
  <si>
    <t>2022-11-20T00:38:18Z</t>
  </si>
  <si>
    <t>5322280_1295453</t>
  </si>
  <si>
    <t>Ilécio Fragoso</t>
  </si>
  <si>
    <t>p_3faf070df8896c3dd6954a318bd6dd9849a35bf4@inbound.aiesec.org</t>
  </si>
  <si>
    <t>Mozambique</t>
  </si>
  <si>
    <t>ISCTEM</t>
  </si>
  <si>
    <t>ISCTEM (Maputo)</t>
  </si>
  <si>
    <t>2023-09-12T11:06:09Z</t>
  </si>
  <si>
    <t>5333173_1287132</t>
  </si>
  <si>
    <t>ajmal amani</t>
  </si>
  <si>
    <t>p_84186f81a0a5764e22f2d45231004b375df09343@inbound.aiesec.org</t>
  </si>
  <si>
    <t>https://expa.aiesec.org/opportunities/1287132</t>
  </si>
  <si>
    <t>English Teacher at EGYPT ( Menofia )</t>
  </si>
  <si>
    <t>2023-09-26T08:20:02Z</t>
  </si>
  <si>
    <t>4981937_1295453</t>
  </si>
  <si>
    <t>Ziad Rashad</t>
  </si>
  <si>
    <t>p_d4044ee5d5fc4a799b290668fa5c5248a97bd1a3@inbound.aiesec.org</t>
  </si>
  <si>
    <t>2022-03-13T15:25:36Z</t>
  </si>
  <si>
    <t>5288456_1298053</t>
  </si>
  <si>
    <t>https://expa.aiesec.org/opportunities/1298053</t>
  </si>
  <si>
    <t>5258299_1296037</t>
  </si>
  <si>
    <t>5329060_1299359</t>
  </si>
  <si>
    <t>Azra Çiltepe</t>
  </si>
  <si>
    <t>p_063253b1313ace9bbc5d620d8cb772f8a26ed39d@inbound.aiesec.org</t>
  </si>
  <si>
    <t>2023-09-21T10:27:09Z</t>
  </si>
  <si>
    <t>5320530_1292767</t>
  </si>
  <si>
    <t>Alexa Juarez</t>
  </si>
  <si>
    <t>p_6f20f6a716c9205ea623c604633d8aad2bd55fa1@inbound.aiesec.org</t>
  </si>
  <si>
    <t>Guanajuato</t>
  </si>
  <si>
    <t>https://expa.aiesec.org/opportunities/1292767</t>
  </si>
  <si>
    <t>Guanajuato - Universidad Iberoamericana Campus León</t>
  </si>
  <si>
    <t>2023-09-08T19:23:10Z</t>
  </si>
  <si>
    <t>5301775_1287488</t>
  </si>
  <si>
    <t>Omkar Karjule</t>
  </si>
  <si>
    <t>p_b128e322a47f9d4ef016bca93a10603712d691d5@inbound.aiesec.org</t>
  </si>
  <si>
    <t>2023-08-12T21:54:17Z</t>
  </si>
  <si>
    <t>5287781_1299172</t>
  </si>
  <si>
    <t>https://expa.aiesec.org/opportunities/1299172</t>
  </si>
  <si>
    <t>5332154_1299359</t>
  </si>
  <si>
    <t>Zübeyde Avcı</t>
  </si>
  <si>
    <t>p_48b208ee104dcd68ed1a1d6e081c51d5a0bdcc45@inbound.aiesec.org</t>
  </si>
  <si>
    <t>2023-09-25T14:56:10Z</t>
  </si>
  <si>
    <t>5318013_1299605</t>
  </si>
  <si>
    <t>Melis Koçyiğit</t>
  </si>
  <si>
    <t>p_19a0628ad6834df3ae6c27e26d61edd914d5176c@inbound.aiesec.org</t>
  </si>
  <si>
    <t>https://expa.aiesec.org/opportunities/1299605</t>
  </si>
  <si>
    <t>2023-09-04T13:02:13Z</t>
  </si>
  <si>
    <t>5331388_1295453</t>
  </si>
  <si>
    <t>Hazem Ramadan</t>
  </si>
  <si>
    <t>p_717546c671f9695fc8fe4cd0eda7e4b35e2671d1@inbound.aiesec.org</t>
  </si>
  <si>
    <t>2023-09-24T16:17:20Z</t>
  </si>
  <si>
    <t>5264637_1298284</t>
  </si>
  <si>
    <t>Zair SOUMIA</t>
  </si>
  <si>
    <t>p_682fde1a1f552d943ff9b8069c9219c67b17b512@inbound.aiesec.org</t>
  </si>
  <si>
    <t>https://expa.aiesec.org/opportunities/1298284</t>
  </si>
  <si>
    <t>2023-05-21T22:52:49Z</t>
  </si>
  <si>
    <t>4219762_1298556</t>
  </si>
  <si>
    <t>5122431_1288201</t>
  </si>
  <si>
    <t>5329582_1289378</t>
  </si>
  <si>
    <t>Liliana Colin Carrasco</t>
  </si>
  <si>
    <t>p_75352a75fb992027d6befcd97875cdf58d4f64f4@inbound.aiesec.org</t>
  </si>
  <si>
    <t xml:space="preserve">Estado de México - Universidad Univer Milenium </t>
  </si>
  <si>
    <t>2023-09-21T23:19:01Z</t>
  </si>
  <si>
    <t>5290721_1298937</t>
  </si>
  <si>
    <t>Melike Akay</t>
  </si>
  <si>
    <t>p_0f76e39b339ae72891274c9d74bf759123941d77@inbound.aiesec.org</t>
  </si>
  <si>
    <t>https://expa.aiesec.org/opportunities/1298937</t>
  </si>
  <si>
    <t>2023-07-28T11:06:47Z</t>
  </si>
  <si>
    <t>5318176_1298406</t>
  </si>
  <si>
    <t>Cristina Perez</t>
  </si>
  <si>
    <t>p_796676dea00a05ca0126bf468761edaede376dac@inbound.aiesec.org</t>
  </si>
  <si>
    <t>NEW YORK CITY</t>
  </si>
  <si>
    <t>https://expa.aiesec.org/opportunities/1298406</t>
  </si>
  <si>
    <t>PRE-SCHOOL TEACHER</t>
  </si>
  <si>
    <t>New York University</t>
  </si>
  <si>
    <t>2023-09-04T17:26:31Z</t>
  </si>
  <si>
    <t>5329431_1289850</t>
  </si>
  <si>
    <t>dila özdemir</t>
  </si>
  <si>
    <t>p_25c3f32cb43b475c8de3bac7fb338e9cf0353277@inbound.aiesec.org</t>
  </si>
  <si>
    <t>2023-09-21T18:22:42Z</t>
  </si>
  <si>
    <t>5325597_1289850</t>
  </si>
  <si>
    <t>Alihan Altinkaya</t>
  </si>
  <si>
    <t>p_5907eb8434d3b0caa2a492937e1058d708402a08@inbound.aiesec.org</t>
  </si>
  <si>
    <t>2023-09-16T18:10:00Z</t>
  </si>
  <si>
    <t>4997167_1296670</t>
  </si>
  <si>
    <t>Tuka Adel Ahmed</t>
  </si>
  <si>
    <t>p_4adb3dc6881073ce9579982c3fab5b5b05141c0f@inbound.aiesec.org</t>
  </si>
  <si>
    <t>2022-03-21T14:59:28Z</t>
  </si>
  <si>
    <t>5307548_1272564</t>
  </si>
  <si>
    <t>Imene KHATIR</t>
  </si>
  <si>
    <t>p_f68f615986854efaabf54dd2b6c8ece2081f0675@inbound.aiesec.org</t>
  </si>
  <si>
    <t>2023-08-22T22:58:32Z</t>
  </si>
  <si>
    <t>3850100_1299622</t>
  </si>
  <si>
    <t>Abir Daou</t>
  </si>
  <si>
    <t>p_f3e2543910903b27284740923ac48c3d4eb51fb5@inbound.aiesec.org</t>
  </si>
  <si>
    <t>https://expa.aiesec.org/opportunities/1299622</t>
  </si>
  <si>
    <t>2019-09-23T21:37:15Z</t>
  </si>
  <si>
    <t>5336045_1285088</t>
  </si>
  <si>
    <t>Berre Tank</t>
  </si>
  <si>
    <t>p_3a8e1fa6a0255f0ab80955c2663170e16f859c06@inbound.aiesec.org</t>
  </si>
  <si>
    <t>https://expa.aiesec.org/opportunities/1285088</t>
  </si>
  <si>
    <t xml:space="preserve">Maths Teacher in Menofia </t>
  </si>
  <si>
    <t>2023-09-28T10:01:12Z</t>
  </si>
  <si>
    <t>5336262_1294473</t>
  </si>
  <si>
    <t>p_cd41826be38ede9ff7e8954ed262c0898158df5b@inbound.aiesec.org</t>
  </si>
  <si>
    <t>2023-09-28T13:32:25Z</t>
  </si>
  <si>
    <t>1826581_1291375</t>
  </si>
  <si>
    <t>ZAHRA HECHCHAD</t>
  </si>
  <si>
    <t>p_2e12aafbbcd8bcfe730b60e67bd47cc9f390bddf@inbound.aiesec.org</t>
  </si>
  <si>
    <t>2017-10-27T21:24:58Z</t>
  </si>
  <si>
    <t>2181049_1296625</t>
  </si>
  <si>
    <t>Hashini Wickramasinghe</t>
  </si>
  <si>
    <t>p_dcd36b80811310e09a4d027c9248d68e6dfbf957@inbound.aiesec.org</t>
  </si>
  <si>
    <t>2018-04-09T03:21:43Z</t>
  </si>
  <si>
    <t>5336747_1298284</t>
  </si>
  <si>
    <t>allagui adem</t>
  </si>
  <si>
    <t>p_8d46a133e25e82e5653116ed74a17ced362bd023@inbound.aiesec.org</t>
  </si>
  <si>
    <t>IHET Sidi Dhrif</t>
  </si>
  <si>
    <t>2023-09-28T21:56:37Z</t>
  </si>
  <si>
    <t>5337139_1291200</t>
  </si>
  <si>
    <t>Irem Ceylan</t>
  </si>
  <si>
    <t>p_ae4ab537a986ade43986a5c4fecc8be62a31219b@inbound.aiesec.org</t>
  </si>
  <si>
    <t>2023-09-29T08:21:55Z</t>
  </si>
  <si>
    <t>5337556_1294232</t>
  </si>
  <si>
    <t>Ayse Bicer</t>
  </si>
  <si>
    <t>p_7cd39a567fe82e5f17333790c1a0033839f2b01f@inbound.aiesec.org</t>
  </si>
  <si>
    <t>2023-09-29T15:07:36Z</t>
  </si>
  <si>
    <t>5288817_1295893</t>
  </si>
  <si>
    <t>Ziad Maher</t>
  </si>
  <si>
    <t>p_078b1a9bd7a7ea9331f604a792dcb3a85f761c56@inbound.aiesec.org</t>
  </si>
  <si>
    <t>2023-07-24T14:26:50Z</t>
  </si>
  <si>
    <t>5291927_1293480</t>
  </si>
  <si>
    <t>https://expa.aiesec.org/opportunities/1293480</t>
  </si>
  <si>
    <t>5334982_1298887</t>
  </si>
  <si>
    <t>Emine Duru Yılmaz</t>
  </si>
  <si>
    <t>p_b9624d7ca2a6e690977c0b9bb1a3a889a47b96f1@inbound.aiesec.org</t>
  </si>
  <si>
    <t>https://expa.aiesec.org/opportunities/1298887</t>
  </si>
  <si>
    <t>2023-09-27T12:44:56Z</t>
  </si>
  <si>
    <t>5332029_1286368</t>
  </si>
  <si>
    <t>Khalima Roziyeva</t>
  </si>
  <si>
    <t>p_9ef514bf5b9987ab097addc8b8054e53b2e169c0@inbound.aiesec.org</t>
  </si>
  <si>
    <t>2023-09-25T12:38:37Z</t>
  </si>
  <si>
    <t>5326099_1299131</t>
  </si>
  <si>
    <t>Uğur Bayrak</t>
  </si>
  <si>
    <t>p_c9d01871d5065c22cd319479ee59a9ecf5ff6112@inbound.aiesec.org</t>
  </si>
  <si>
    <t>https://expa.aiesec.org/opportunities/1299131</t>
  </si>
  <si>
    <t>2023-09-17T13:21:15Z</t>
  </si>
  <si>
    <t>5330527_1298598</t>
  </si>
  <si>
    <t>HACER TİLKİ</t>
  </si>
  <si>
    <t>p_dd8674965a5ad9d4672aabb29cad82e4dcaa59e2@inbound.aiesec.org</t>
  </si>
  <si>
    <t>https://expa.aiesec.org/opportunities/1298598</t>
  </si>
  <si>
    <t>Instructor</t>
  </si>
  <si>
    <t>2023-09-23T11:56:37Z</t>
  </si>
  <si>
    <t>5233351_1298282</t>
  </si>
  <si>
    <t>Viktoriia Illesh</t>
  </si>
  <si>
    <t>p_665d73854cc1876efeda9194275896e133686643@inbound.aiesec.org</t>
  </si>
  <si>
    <t>https://expa.aiesec.org/opportunities/1298282</t>
  </si>
  <si>
    <t>2023-04-02T16:09:22Z</t>
  </si>
  <si>
    <t>5337857_1289536</t>
  </si>
  <si>
    <t>Baha Eddine Zitouni</t>
  </si>
  <si>
    <t>p_f86d164746bce634ec5145411e6fc67c5d71070e@inbound.aiesec.org</t>
  </si>
  <si>
    <t>2023-09-29T21:59:01Z</t>
  </si>
  <si>
    <t>5337205_1298571</t>
  </si>
  <si>
    <t>Arjin Doğan</t>
  </si>
  <si>
    <t>p_fbdb4156bde73b2e8db9b093ff19097b151cd582@inbound.aiesec.org</t>
  </si>
  <si>
    <t>2023-09-29T09:51:56Z</t>
  </si>
  <si>
    <t>5336713_1297843</t>
  </si>
  <si>
    <t>Ayşe Abdullahoğlu</t>
  </si>
  <si>
    <t>p_124f610e4b9d98d47900a7462287c3c00a590295@inbound.aiesec.org</t>
  </si>
  <si>
    <t>https://expa.aiesec.org/opportunities/1297843</t>
  </si>
  <si>
    <t>Accelerate Romania | Marketing Internship</t>
  </si>
  <si>
    <t>2023-09-28T21:11:45Z</t>
  </si>
  <si>
    <t>5333243_1298571</t>
  </si>
  <si>
    <t>Emine Balcı</t>
  </si>
  <si>
    <t>p_69007cf80f846af8ef11cd793edeeb1881310d36@inbound.aiesec.org</t>
  </si>
  <si>
    <t>2023-09-26T09:33:07Z</t>
  </si>
  <si>
    <t>5330084_1289347</t>
  </si>
  <si>
    <t>Haneen Alaa</t>
  </si>
  <si>
    <t>p_a9fd752292ecbe86fdd6c2a5ffeb8f763b9e4f3a@inbound.aiesec.org</t>
  </si>
  <si>
    <t>2023-09-22T15:28:45Z</t>
  </si>
  <si>
    <t>4801317_1299049</t>
  </si>
  <si>
    <t>Berkant Cosgel</t>
  </si>
  <si>
    <t>p_ec80d2632a4bbc57b7bcbed34602320d9abf019d@inbound.aiesec.org</t>
  </si>
  <si>
    <t>https://expa.aiesec.org/opportunities/1299049</t>
  </si>
  <si>
    <t>Woodland Creation Office (INTERN)</t>
  </si>
  <si>
    <t>2021-11-13T17:25:35Z</t>
  </si>
  <si>
    <t>5338558_1286381</t>
  </si>
  <si>
    <t>Lale Isık</t>
  </si>
  <si>
    <t>p_2d121a3b23cf00d1e78018fe114357cda2ac270e@inbound.aiesec.org</t>
  </si>
  <si>
    <t>https://expa.aiesec.org/opportunities/1286381</t>
  </si>
  <si>
    <t>2023-09-30T17:25:21Z</t>
  </si>
  <si>
    <t>5338099_1286326</t>
  </si>
  <si>
    <t>Ivanna Pikula</t>
  </si>
  <si>
    <t>p_08585ef42138204d05682a952a24c372bf9a9901@inbound.aiesec.org</t>
  </si>
  <si>
    <t>2023-09-30T08:10:43Z</t>
  </si>
  <si>
    <t>4190204_1272564</t>
  </si>
  <si>
    <t>Katerina Kirvas</t>
  </si>
  <si>
    <t>p_ba336d932f93fb729d83eaa640f947fa583c1928@inbound.aiesec.org</t>
  </si>
  <si>
    <t>2020-02-16T20:02:24Z</t>
  </si>
  <si>
    <t>4753499_1272564</t>
  </si>
  <si>
    <t>Daryna Bank</t>
  </si>
  <si>
    <t>p_a11c2181ec96e1ffa66214eff132fb0aa983bb2f@inbound.aiesec.org</t>
  </si>
  <si>
    <t>2021-09-30T08:47:59Z</t>
  </si>
  <si>
    <t>5194339_1298284</t>
  </si>
  <si>
    <t>Shahd Sherif</t>
  </si>
  <si>
    <t>p_7b966031ee98e97dab881bdb97a124f11bf431bb@inbound.aiesec.org</t>
  </si>
  <si>
    <t>2023-02-19T06:08:37Z</t>
  </si>
  <si>
    <t>5337852_1295312</t>
  </si>
  <si>
    <t>Azime Aydoğan</t>
  </si>
  <si>
    <t>p_0c7950680faacdd238da3d4d6703634c3bc77404@inbound.aiesec.org</t>
  </si>
  <si>
    <t>https://expa.aiesec.org/opportunities/1295312</t>
  </si>
  <si>
    <t>2023-09-29T21:45:29Z</t>
  </si>
  <si>
    <t>5292230_1298571</t>
  </si>
  <si>
    <t>Didem Ayça Yılmaz</t>
  </si>
  <si>
    <t>p_2e731b2f6dc5b1f4bc46a6f8c3b553ad907f6472@inbound.aiesec.org</t>
  </si>
  <si>
    <t>2023-07-31T14:57:11Z</t>
  </si>
  <si>
    <t>4835212_1286920</t>
  </si>
  <si>
    <t>mohamed hassan</t>
  </si>
  <si>
    <t>p_ea42abeadeb94087a5f8ca6e5ffbe58925adc49c@inbound.aiesec.org</t>
  </si>
  <si>
    <t>2021-12-08T17:53:15Z</t>
  </si>
  <si>
    <t>5327522_1291375</t>
  </si>
  <si>
    <t>Safe Bejaoui</t>
  </si>
  <si>
    <t>p_96c36f2622e8a5a92c46020a12d9ece8cd814220@inbound.aiesec.org</t>
  </si>
  <si>
    <t>2023-09-19T15:06:03Z</t>
  </si>
  <si>
    <t>5338345_1299605</t>
  </si>
  <si>
    <t>Sevgi Korkusuz</t>
  </si>
  <si>
    <t>p_64c8a6ccad2b38ae158e8d246e31573d9fe58f3f@inbound.aiesec.org</t>
  </si>
  <si>
    <t>2023-09-30T13:42:38Z</t>
  </si>
  <si>
    <t>4379124_1299393</t>
  </si>
  <si>
    <t>Ramsha Hafiz</t>
  </si>
  <si>
    <t>p_a8b536ca10a17c7125fc0ec2c9a2381dae30b812@inbound.aiesec.org</t>
  </si>
  <si>
    <t>https://expa.aiesec.org/opportunities/1299393</t>
  </si>
  <si>
    <t>Marketing Manager</t>
  </si>
  <si>
    <t>2020-09-25T21:24:00Z</t>
  </si>
  <si>
    <t>4729327_1299605</t>
  </si>
  <si>
    <t>Mehpare Sözen</t>
  </si>
  <si>
    <t>p_1c43635d5d09da1851d181d316c6cbb036d86ee7@inbound.aiesec.org</t>
  </si>
  <si>
    <t>2021-09-05T09:33:15Z</t>
  </si>
  <si>
    <t>5287561_1286326</t>
  </si>
  <si>
    <t>Ivanna Chykur</t>
  </si>
  <si>
    <t>p_bcc7b4994f36476091ef40ebdc6ebcdb9754dd9c@inbound.aiesec.org</t>
  </si>
  <si>
    <t>2023-07-20T14:55:09Z</t>
  </si>
  <si>
    <t>5338307_1286326</t>
  </si>
  <si>
    <t>Adriana Kulyk</t>
  </si>
  <si>
    <t>p_99fae93d446ac65b44e22241e1c4d727a199912b@inbound.aiesec.org</t>
  </si>
  <si>
    <t>2023-09-30T12:38:02Z</t>
  </si>
  <si>
    <t>4381594_1272564</t>
  </si>
  <si>
    <t>Yevheniia Starodubtseva</t>
  </si>
  <si>
    <t>p_01d57887cdec6925ede715b8c9b6d5d2fcda422f@inbound.aiesec.org</t>
  </si>
  <si>
    <t>2020-09-29T07:05:06Z</t>
  </si>
  <si>
    <t>4974288_1295453</t>
  </si>
  <si>
    <t>Sarah Ashraf Elsawaf</t>
  </si>
  <si>
    <t>p_7e12dbcafb1e11e050594ab8997e0204a06b5b9b@inbound.aiesec.org</t>
  </si>
  <si>
    <t>2022-03-09T16:59:29Z</t>
  </si>
  <si>
    <t>5322542_1295716</t>
  </si>
  <si>
    <t>Afaf Bakr</t>
  </si>
  <si>
    <t>p_c88396d92bd71132e787da8656255d565ef16ee4@inbound.aiesec.org</t>
  </si>
  <si>
    <t>2023-09-12T15:39:25Z</t>
  </si>
  <si>
    <t>5287452_1293407</t>
  </si>
  <si>
    <t>5321403_1286236</t>
  </si>
  <si>
    <t>Pirzada Aimen Ishtiaq</t>
  </si>
  <si>
    <t>p_0d170fc3d5476733aee9df116236d902bda5649a@inbound.aiesec.org</t>
  </si>
  <si>
    <t>2023-09-11T03:44:38Z</t>
  </si>
  <si>
    <t>5319086_1298770</t>
  </si>
  <si>
    <t>Anushka Weerakkody</t>
  </si>
  <si>
    <t>p_dc1926d7051d4cc299c6dd35ef8454b731dc0602@inbound.aiesec.org</t>
  </si>
  <si>
    <t>https://expa.aiesec.org/opportunities/1298770</t>
  </si>
  <si>
    <t>Amerikan Kültür Soyak Anaokulu</t>
  </si>
  <si>
    <t>2023-09-06T13:14:53Z</t>
  </si>
  <si>
    <t>5333933_1294459</t>
  </si>
  <si>
    <t>Ozan Efe Çalışkan</t>
  </si>
  <si>
    <t>p_eda783c6d64472fda78229798b16f9aa37d2c045@inbound.aiesec.org</t>
  </si>
  <si>
    <t>2023-09-26T16:00:20Z</t>
  </si>
  <si>
    <t>5339623_1298736</t>
  </si>
  <si>
    <t>Aisha Farag</t>
  </si>
  <si>
    <t>p_360190e33c9f71e7d92735646336537d2ffb6bcf@inbound.aiesec.org</t>
  </si>
  <si>
    <t>2023-10-02T09:44:28Z</t>
  </si>
  <si>
    <t>5337815_1288609</t>
  </si>
  <si>
    <t>İlker Pamukçu</t>
  </si>
  <si>
    <t>p_8d6b64e5c2ef241f2fba3920e2ff0f035eaa82bf@inbound.aiesec.org</t>
  </si>
  <si>
    <t>2023-09-29T20:35:02Z</t>
  </si>
  <si>
    <t>5338274_1289347</t>
  </si>
  <si>
    <t>Tasneem Ezz</t>
  </si>
  <si>
    <t>p_c413ed5b9e60ca19c538249d54cfcf825870b150@inbound.aiesec.org</t>
  </si>
  <si>
    <t>2023-09-30T11:45:53Z</t>
  </si>
  <si>
    <t>4709318_1279126</t>
  </si>
  <si>
    <t>Anna Júlia Júlia de Alcântara Lira</t>
  </si>
  <si>
    <t>p_4a33dbd851ff068129cb1a5d72e033cb2f3b102e@inbound.aiesec.org</t>
  </si>
  <si>
    <t>2021-08-11T21:07:56Z</t>
  </si>
  <si>
    <t>5327550_1283628</t>
  </si>
  <si>
    <t>p_c3d22564890db654650dc74656b3f4426daa2140@inbound.aiesec.org</t>
  </si>
  <si>
    <t>2023-09-19T15:27:32Z</t>
  </si>
  <si>
    <t>965589_1281195</t>
  </si>
  <si>
    <t>Fawwaz Izeddin</t>
  </si>
  <si>
    <t>p_e67fbd3015c88233a6a797938b925a5ba08f9e92@inbound.aiesec.org</t>
  </si>
  <si>
    <t>2016-04-09T13:58:16Z</t>
  </si>
  <si>
    <t>3603128_1296625</t>
  </si>
  <si>
    <t>Mona Karkar</t>
  </si>
  <si>
    <t>p_9383209b7930aa34e4e3645bc4b71abcea190e1a@inbound.aiesec.org</t>
  </si>
  <si>
    <t>2019-07-03T14:56:29Z</t>
  </si>
  <si>
    <t>5323249_1299119</t>
  </si>
  <si>
    <t>Işık Topçuoğlu</t>
  </si>
  <si>
    <t>p_2e547c58df22918a98085c849f07fe945b22c3aa@inbound.aiesec.org</t>
  </si>
  <si>
    <t>https://expa.aiesec.org/opportunities/1299119</t>
  </si>
  <si>
    <t>2023-09-13T15:46:54Z</t>
  </si>
  <si>
    <t>5318149_1291783</t>
  </si>
  <si>
    <t>omar ighoud</t>
  </si>
  <si>
    <t>p_6ff8e3fa0d941f31467eb314ca1103e7d97710b2@inbound.aiesec.org</t>
  </si>
  <si>
    <t>2023-09-04T16:37:47Z</t>
  </si>
  <si>
    <t>2024387_1295745</t>
  </si>
  <si>
    <t>AMANDA De Castro Barbosa</t>
  </si>
  <si>
    <t>p_18c88ad2ce7725b9fe1ba9540ee1591a735b7f5e@inbound.aiesec.org</t>
  </si>
  <si>
    <t>2018-02-08T20:04:08Z</t>
  </si>
  <si>
    <t>5284670_1298733</t>
  </si>
  <si>
    <t>5331770_1259741</t>
  </si>
  <si>
    <t>Marwa Ezzat</t>
  </si>
  <si>
    <t>p_08602009e29d21f01796a3b18189155ab50351ce@inbound.aiesec.org</t>
  </si>
  <si>
    <t>2023-09-25T08:47:33Z</t>
  </si>
  <si>
    <t>5061413_1286368</t>
  </si>
  <si>
    <t>romaissa SMAIL</t>
  </si>
  <si>
    <t>p_53ab294b97d20be882b9637ff7bfbbad494994b9@inbound.aiesec.org</t>
  </si>
  <si>
    <t>2022-05-20T22:04:24Z</t>
  </si>
  <si>
    <t>5339625_1298766</t>
  </si>
  <si>
    <t>Hatice Berfin Kurutçu</t>
  </si>
  <si>
    <t>p_949845a54e5c3e0dec7c081ce0ed50cf8642ebb1@inbound.aiesec.org</t>
  </si>
  <si>
    <t>https://expa.aiesec.org/opportunities/1298766</t>
  </si>
  <si>
    <t>2023-10-02T09:45:19Z</t>
  </si>
  <si>
    <t>5331897_1289347</t>
  </si>
  <si>
    <t>Omar Tamer</t>
  </si>
  <si>
    <t>p_b7798c5b66d9aa866eb83ab4fee2dafd1eb92c9a@inbound.aiesec.org</t>
  </si>
  <si>
    <t>2023-09-25T11:27:09Z</t>
  </si>
  <si>
    <t>5331141_1289339</t>
  </si>
  <si>
    <t>Nehir yalçın</t>
  </si>
  <si>
    <t>p_961c6b71dd58ce17c63f4c103eae0e9280b08881@inbound.aiesec.org</t>
  </si>
  <si>
    <t>2023-09-24T10:12:59Z</t>
  </si>
  <si>
    <t>5257325_1292975</t>
  </si>
  <si>
    <t>5246463_1294332</t>
  </si>
  <si>
    <t>Ahmed Morsy</t>
  </si>
  <si>
    <t>p_b04684c66cfa28e2c7bd2cfb149def59d3745ff6@inbound.aiesec.org</t>
  </si>
  <si>
    <t>2023-04-20T20:38:34Z</t>
  </si>
  <si>
    <t>5336056_1289536</t>
  </si>
  <si>
    <t>Habiba Abdelhamid</t>
  </si>
  <si>
    <t>p_13a8242a7f18d84ca6870985e2dbba5afe1cf291@inbound.aiesec.org</t>
  </si>
  <si>
    <t>2023-09-28T10:10:03Z</t>
  </si>
  <si>
    <t>5333586_1284077</t>
  </si>
  <si>
    <t>Ayham Ayman</t>
  </si>
  <si>
    <t>p_d6cbbf06c21f201c2fb473c8840ad0dd44769e83@inbound.aiesec.org</t>
  </si>
  <si>
    <t>2023-09-26T12:42:04Z</t>
  </si>
  <si>
    <t>1495980_1289536</t>
  </si>
  <si>
    <t>YOUNGEUN SONG</t>
  </si>
  <si>
    <t>p_c4d89ae4eb8ddb24363069cd438ebdb187d90613@inbound.aiesec.org</t>
  </si>
  <si>
    <t>Australia</t>
  </si>
  <si>
    <t>Monash University</t>
  </si>
  <si>
    <t>2017-04-12T01:45:04Z</t>
  </si>
  <si>
    <t>5342641_1296980</t>
  </si>
  <si>
    <t>Wafa Boumesjed</t>
  </si>
  <si>
    <t>p_ceda0b4dac069d1621d8d4692b0a4e02f5745287@inbound.aiesec.org</t>
  </si>
  <si>
    <t>2023-10-04T20:53:45Z</t>
  </si>
  <si>
    <t>5343115_1289536</t>
  </si>
  <si>
    <t>p_5d1a9834e6d6973f1f0ef44439a065ac546aad51@inbound.aiesec.org</t>
  </si>
  <si>
    <t>2023-10-05T12:23:03Z</t>
  </si>
  <si>
    <t>5336638_1289536</t>
  </si>
  <si>
    <t>Roaa Samir</t>
  </si>
  <si>
    <t>p_e4c5e0a7d2c630743006de0f2366cfd231fd129f@inbound.aiesec.org</t>
  </si>
  <si>
    <t>2023-09-28T19:36:43Z</t>
  </si>
  <si>
    <t>5328005_1288497</t>
  </si>
  <si>
    <t>Beatriz Pires</t>
  </si>
  <si>
    <t>p_6b5fbdcc515369413427a65c8f111e3b47215db4@inbound.aiesec.org</t>
  </si>
  <si>
    <t>Instituto Politécnico de Lisboa - Escola Superior de Comunicação Social (ESCS)</t>
  </si>
  <si>
    <t>2023-09-20T09:18:44Z</t>
  </si>
  <si>
    <t>5245430_1299890</t>
  </si>
  <si>
    <t>https://expa.aiesec.org/opportunities/1299890</t>
  </si>
  <si>
    <t>5341273_1293417</t>
  </si>
  <si>
    <t>Sabrine Ayari</t>
  </si>
  <si>
    <t>p_b160a5488136dea7ac2954baea148efb13f96bbf@inbound.aiesec.org</t>
  </si>
  <si>
    <t>IPSI</t>
  </si>
  <si>
    <t>2023-10-03T17:36:00Z</t>
  </si>
  <si>
    <t>5096909_1287011</t>
  </si>
  <si>
    <t>https://expa.aiesec.org/opportunities/1287011</t>
  </si>
  <si>
    <t>5343740_1298817</t>
  </si>
  <si>
    <t>Elif Derya Güngören</t>
  </si>
  <si>
    <t>p_5d76625cb14fb41160301ef2578f33d55f115672@inbound.aiesec.org</t>
  </si>
  <si>
    <t>https://expa.aiesec.org/opportunities/1298817</t>
  </si>
  <si>
    <t>2023-10-06T09:36:22Z</t>
  </si>
  <si>
    <t>5322972_1298053</t>
  </si>
  <si>
    <t>Mustafa Ertuğrul</t>
  </si>
  <si>
    <t>p_5481bcd103b3c942bf05956246fe01e423b7ce4b@inbound.aiesec.org</t>
  </si>
  <si>
    <t>2023-09-13T10:34:06Z</t>
  </si>
  <si>
    <t>5343788_1293192</t>
  </si>
  <si>
    <t>Berkay Ozdemir</t>
  </si>
  <si>
    <t>p_0a5cfd4442bf99ca8e45f14412db2d8fe55e851b@inbound.aiesec.org</t>
  </si>
  <si>
    <t>2023-10-06T11:01:17Z</t>
  </si>
  <si>
    <t>5325340_1299037</t>
  </si>
  <si>
    <t>Aya Mohamed</t>
  </si>
  <si>
    <t>p_e4edadea2cce489746f0b8db382a451cdd7e3ccb@inbound.aiesec.org</t>
  </si>
  <si>
    <t>https://expa.aiesec.org/opportunities/1299037</t>
  </si>
  <si>
    <t>2023-09-16T11:46:40Z</t>
  </si>
  <si>
    <t>5324732_1299036</t>
  </si>
  <si>
    <t>aymen sayari</t>
  </si>
  <si>
    <t>p_226e028ebc3d58710b30122097da46712c37f72e@inbound.aiesec.org</t>
  </si>
  <si>
    <t>https://expa.aiesec.org/opportunities/1299036</t>
  </si>
  <si>
    <t>2023-09-15T14:52:00Z</t>
  </si>
  <si>
    <t>5343943_1287966</t>
  </si>
  <si>
    <t>Nabihah Ahmad Munawir</t>
  </si>
  <si>
    <t>p_c7089b063745e201a3f0d66b313b805d7ba0200b@inbound.aiesec.org</t>
  </si>
  <si>
    <t>Taylor's University (TU), Subang Jaya</t>
  </si>
  <si>
    <t>2023-10-06T14:47:39Z</t>
  </si>
  <si>
    <t>5344002_1283288</t>
  </si>
  <si>
    <t>khaoula abidi</t>
  </si>
  <si>
    <t>p_cfc7aa773721828503d96d75ba87b467ef2081eb@inbound.aiesec.org</t>
  </si>
  <si>
    <t>2023-10-06T16:38:35Z</t>
  </si>
  <si>
    <t>3220166_1298284</t>
  </si>
  <si>
    <t>Valentyna Duka</t>
  </si>
  <si>
    <t>p_a1584685b6af6471652a9c380b4064788a5a7e51@inbound.aiesec.org</t>
  </si>
  <si>
    <t>Donetsk</t>
  </si>
  <si>
    <t>2019-03-14T14:10:17Z</t>
  </si>
  <si>
    <t>5345028_1294063</t>
  </si>
  <si>
    <t>p_9edb7ba9610f78c373cf013985e86fff27b0b987@inbound.aiesec.org</t>
  </si>
  <si>
    <t>2023-10-07T14:25:36Z</t>
  </si>
  <si>
    <t>5337762_1299270</t>
  </si>
  <si>
    <t>Mustafa Oğuzhan Üstün</t>
  </si>
  <si>
    <t>p_9758bb776f36c41b430bffc9270fc765d275f8fa@inbound.aiesec.org</t>
  </si>
  <si>
    <t>https://expa.aiesec.org/opportunities/1299270</t>
  </si>
  <si>
    <t>2023-09-29T18:37:19Z</t>
  </si>
  <si>
    <t>5341556_1295893</t>
  </si>
  <si>
    <t>Omar Mostafa</t>
  </si>
  <si>
    <t>p_e82a9de962d4467771fea889d202d5a1332771af@inbound.aiesec.org</t>
  </si>
  <si>
    <t>2023-10-04T05:30:09Z</t>
  </si>
  <si>
    <t>5336489_1299037</t>
  </si>
  <si>
    <t>Nada Moustafa</t>
  </si>
  <si>
    <t>p_c4aa75a46727e8b7426af5520c91309004a2a927@inbound.aiesec.org</t>
  </si>
  <si>
    <t>2023-09-28T16:25:02Z</t>
  </si>
  <si>
    <t>3829683_1259741</t>
  </si>
  <si>
    <t>salwa hassanin</t>
  </si>
  <si>
    <t>p_43185315fe4e8563f798a0ef94865a420c69f7f3@inbound.aiesec.org</t>
  </si>
  <si>
    <t>2019-09-13T13:49:33Z</t>
  </si>
  <si>
    <t>5344041_1289347</t>
  </si>
  <si>
    <t>Rahma Ashraf</t>
  </si>
  <si>
    <t>p_df6487437729fc7369a28f24300886e53f1944b3@inbound.aiesec.org</t>
  </si>
  <si>
    <t>2023-10-06T18:22:38Z</t>
  </si>
  <si>
    <t>4630504_1296529</t>
  </si>
  <si>
    <t>Ezgi Uzundede</t>
  </si>
  <si>
    <t>p_130b8df59390fc5e98558b3db00c250f4ff0d80d@inbound.aiesec.org</t>
  </si>
  <si>
    <t>UTRECHT</t>
  </si>
  <si>
    <t>https://expa.aiesec.org/opportunities/1296529</t>
  </si>
  <si>
    <t>Learning &amp; Development specialist</t>
  </si>
  <si>
    <t>2021-04-27T08:36:10Z</t>
  </si>
  <si>
    <t>4693788_1292695</t>
  </si>
  <si>
    <t>Beyza İrem ASLAN</t>
  </si>
  <si>
    <t>p_102c2359dd64c521a995a818ac751cca764c1ae8@inbound.aiesec.org</t>
  </si>
  <si>
    <t>2021-07-20T12:38:18Z</t>
  </si>
  <si>
    <t>5282695_1287560</t>
  </si>
  <si>
    <t>Menna Taher</t>
  </si>
  <si>
    <t>p_d9bed5a510d0a110d962d4c201d4b258926acef3@inbound.aiesec.org</t>
  </si>
  <si>
    <t>2023-07-06T09:57:45Z</t>
  </si>
  <si>
    <t>5331975_1289347</t>
  </si>
  <si>
    <t>Ali Belal</t>
  </si>
  <si>
    <t>p_d0d5755e15cc766eee02a5f450617f1f2d86961b@inbound.aiesec.org</t>
  </si>
  <si>
    <t>2023-09-25T12:02:04Z</t>
  </si>
  <si>
    <t>5345136_1294063</t>
  </si>
  <si>
    <t>Berke Yalçın</t>
  </si>
  <si>
    <t>p_1bc5ca18073d55b2ff9914b60ba8bde49dd33503@inbound.aiesec.org</t>
  </si>
  <si>
    <t>2023-10-07T16:00:03Z</t>
  </si>
  <si>
    <t>5347245_1297344</t>
  </si>
  <si>
    <t>Molka Zoghlami</t>
  </si>
  <si>
    <t>p_29f86c801f6f7926b1f233af916aff7287207989@inbound.aiesec.org</t>
  </si>
  <si>
    <t>https://expa.aiesec.org/opportunities/1297344</t>
  </si>
  <si>
    <t>2023-10-09T20:50:13Z</t>
  </si>
  <si>
    <t>5341367_1279126</t>
  </si>
  <si>
    <t>Yevheniia Poliakova</t>
  </si>
  <si>
    <t>p_5141ab8be84a5faab11ae463f84773e4bf93d86f@inbound.aiesec.org</t>
  </si>
  <si>
    <t>2023-10-03T21:17:17Z</t>
  </si>
  <si>
    <t>5183539_1288155</t>
  </si>
  <si>
    <t>https://expa.aiesec.org/opportunities/1288155</t>
  </si>
  <si>
    <t xml:space="preserve">English teacher in Menofia </t>
  </si>
  <si>
    <t>866077_1262994</t>
  </si>
  <si>
    <t>fouad mohamed</t>
  </si>
  <si>
    <t>p_368ad36ec4e3cbbff5908b663ba4cea0fe864fba@inbound.aiesec.org</t>
  </si>
  <si>
    <t>2016-02-18T15:08:52Z</t>
  </si>
  <si>
    <t>5348197_1300058</t>
  </si>
  <si>
    <t>Reha Evren Abalı</t>
  </si>
  <si>
    <t>p_f437cd841c28b216134c29b706d00cfeefa1268d@inbound.aiesec.org</t>
  </si>
  <si>
    <t>https://expa.aiesec.org/opportunities/1300058</t>
  </si>
  <si>
    <t xml:space="preserve">Socail Media Manager </t>
  </si>
  <si>
    <t>2023-10-10T14:47:07Z</t>
  </si>
  <si>
    <t>5348065_1289536</t>
  </si>
  <si>
    <t>mahdi jaouadi</t>
  </si>
  <si>
    <t>p_dc9f1cde46cba79cf6e7605f6ab3c942569ab99a@inbound.aiesec.org</t>
  </si>
  <si>
    <t>2023-10-10T13:29:39Z</t>
  </si>
  <si>
    <t>5343305_1289536</t>
  </si>
  <si>
    <t>Haythem Mami</t>
  </si>
  <si>
    <t>p_1a06e4873e0f6fb59a19a21d3e25da2363fd59a1@inbound.aiesec.org</t>
  </si>
  <si>
    <t>2023-10-05T16:41:51Z</t>
  </si>
  <si>
    <t>5114158_1300050</t>
  </si>
  <si>
    <t>https://expa.aiesec.org/opportunities/1300050</t>
  </si>
  <si>
    <t xml:space="preserve">Marketing Manager </t>
  </si>
  <si>
    <t>5335043_1294254</t>
  </si>
  <si>
    <t>Niharika Godara</t>
  </si>
  <si>
    <t>p_289954c3fe5312c0ed09cde3cbe3d7fc90a83b63@inbound.aiesec.org</t>
  </si>
  <si>
    <t>2023-09-27T13:51:20Z</t>
  </si>
  <si>
    <t>3086656_1294254</t>
  </si>
  <si>
    <t>Melvin Joel</t>
  </si>
  <si>
    <t>p_9671263ccaad862f1c4d097e5e756cae956674bb@inbound.aiesec.org</t>
  </si>
  <si>
    <t>2019-02-17T12:57:44Z</t>
  </si>
  <si>
    <t>5348349_1298284</t>
  </si>
  <si>
    <t>mariem gaaliche</t>
  </si>
  <si>
    <t>p_f3b5a63e27bc68db6fbcc9ac548594ed217c69d3@inbound.aiesec.org</t>
  </si>
  <si>
    <t>2023-10-10T17:42:23Z</t>
  </si>
  <si>
    <t>5335625_1299666</t>
  </si>
  <si>
    <t>Muhammad Elamawy</t>
  </si>
  <si>
    <t>p_fd49a3e5e0b48b5316933fe368a46b80c5e32754@inbound.aiesec.org</t>
  </si>
  <si>
    <t>https://expa.aiesec.org/opportunities/1299666</t>
  </si>
  <si>
    <t>Sales Consultant - English (Turkeyana Clinic)</t>
  </si>
  <si>
    <t>2023-09-27T20:31:31Z</t>
  </si>
  <si>
    <t>5344136_1294068</t>
  </si>
  <si>
    <t>Rawan Tamer</t>
  </si>
  <si>
    <t>p_a07c8f5ba2b4a216691b8d8c43763146e492a281@inbound.aiesec.org</t>
  </si>
  <si>
    <t>2023-10-06T22:22:43Z</t>
  </si>
  <si>
    <t>5340065_1286920</t>
  </si>
  <si>
    <t>Hana Ehab</t>
  </si>
  <si>
    <t>p_72b3d46c94e24058b2648caad5ad43d8b939a89b@inbound.aiesec.org</t>
  </si>
  <si>
    <t>2023-10-02T18:57:38Z</t>
  </si>
  <si>
    <t>5348463_1289536</t>
  </si>
  <si>
    <t>Mathias Lobo de Camargo Pereira</t>
  </si>
  <si>
    <t>p_4229bd5fc78f47477798bb68478157a2bd4a2958@inbound.aiesec.org</t>
  </si>
  <si>
    <t>2023-10-10T20:32:59Z</t>
  </si>
  <si>
    <t>5328025_1281345</t>
  </si>
  <si>
    <t>Enes Özkan</t>
  </si>
  <si>
    <t>p_e686ec65d4fba6b93e406fed0a6cd95822d3acf2@inbound.aiesec.org</t>
  </si>
  <si>
    <t>https://expa.aiesec.org/opportunities/1281345</t>
  </si>
  <si>
    <t>2023-09-20T09:43:06Z</t>
  </si>
  <si>
    <t>5341335_1298284</t>
  </si>
  <si>
    <t>Hazem Mensi</t>
  </si>
  <si>
    <t>p_97f2c770835de9ac2ea5c6a823356433c79b7f3a@inbound.aiesec.org</t>
  </si>
  <si>
    <t>2023-10-03T19:44:51Z</t>
  </si>
  <si>
    <t>5343119_1298284</t>
  </si>
  <si>
    <t>Bader ettamem Hamdouni</t>
  </si>
  <si>
    <t>p_2409d3c784c4c078473116798e690da2827ddcd8@inbound.aiesec.org</t>
  </si>
  <si>
    <t>2023-10-05T12:25:37Z</t>
  </si>
  <si>
    <t>5343373_1289505</t>
  </si>
  <si>
    <t>Zeineb Taieb</t>
  </si>
  <si>
    <t>p_f32faea8c29169aa21f05114bebaf902b567923d@inbound.aiesec.org</t>
  </si>
  <si>
    <t>2023-10-05T18:20:45Z</t>
  </si>
  <si>
    <t>5301578_1299666</t>
  </si>
  <si>
    <t>Katia Yaya</t>
  </si>
  <si>
    <t>p_0e7962ce0606bdf0a32dc0fea0fb00f10db7f989@inbound.aiesec.org</t>
  </si>
  <si>
    <t>2023-08-12T10:52:09Z</t>
  </si>
  <si>
    <t>5339677_1297249</t>
  </si>
  <si>
    <t>Ecem Arpacı</t>
  </si>
  <si>
    <t>p_d1d62809ce4fd44bd58b4d0abe56982b2e0a8d2e@inbound.aiesec.org</t>
  </si>
  <si>
    <t>https://expa.aiesec.org/opportunities/1297249</t>
  </si>
  <si>
    <t>Math Teacher</t>
  </si>
  <si>
    <t>2023-10-02T11:05:01Z</t>
  </si>
  <si>
    <t>5346989_1295893</t>
  </si>
  <si>
    <t>Karen Effat</t>
  </si>
  <si>
    <t>p_587b306c4aa37fc7cefb76ec1def1dc8433c7590@inbound.aiesec.org</t>
  </si>
  <si>
    <t>2023-10-09T15:25:03Z</t>
  </si>
  <si>
    <t>5346236_1288970</t>
  </si>
  <si>
    <t>Sonia Julius</t>
  </si>
  <si>
    <t>p_891d5e9a5a6a47a8a1f99e89665a3b960c0e409e@inbound.aiesec.org</t>
  </si>
  <si>
    <t>IBADAN</t>
  </si>
  <si>
    <t>University of Ibadan, Ibadan</t>
  </si>
  <si>
    <t>2023-10-09T09:07:47Z</t>
  </si>
  <si>
    <t>5337496_1298373</t>
  </si>
  <si>
    <t>Seçil Çetin</t>
  </si>
  <si>
    <t>p_c6700b502dec168294c52155fb9fb4d97964dae9@inbound.aiesec.org</t>
  </si>
  <si>
    <t>2023-09-29T14:11:15Z</t>
  </si>
  <si>
    <t>5346467_1295893</t>
  </si>
  <si>
    <t>Mohammed Rashed</t>
  </si>
  <si>
    <t>p_125f3a4c11e9854ec0a307110501f5b188d3e8af@inbound.aiesec.org</t>
  </si>
  <si>
    <t>2023-10-09T11:20:22Z</t>
  </si>
  <si>
    <t>5348309_1298736</t>
  </si>
  <si>
    <t>Abdulrahman Hendawi</t>
  </si>
  <si>
    <t>p_27bf204e235e2e14867a39ca8e56d206c2b22199@inbound.aiesec.org</t>
  </si>
  <si>
    <t>2023-10-10T16:32:43Z</t>
  </si>
  <si>
    <t>5312604_1298736</t>
  </si>
  <si>
    <t>Farah Mebrouk</t>
  </si>
  <si>
    <t>p_aa91b3075c97b22d094a156bac7f0a39e0797f69@inbound.aiesec.org</t>
  </si>
  <si>
    <t>2023-08-29T20:23:29Z</t>
  </si>
  <si>
    <t>5216520_1299113</t>
  </si>
  <si>
    <t>Hadissad Obay</t>
  </si>
  <si>
    <t>p_42a57e3d07035b1b00986f6dc88c4321e899002b@inbound.aiesec.org</t>
  </si>
  <si>
    <t>https://expa.aiesec.org/opportunities/1299113</t>
  </si>
  <si>
    <t>2023-03-14T22:07:04Z</t>
  </si>
  <si>
    <t>5349298_1289505</t>
  </si>
  <si>
    <t>Taycir Abdelmoula</t>
  </si>
  <si>
    <t>p_640322c4e966a2f6d1748223dc99d9d395ea15ff@inbound.aiesec.org</t>
  </si>
  <si>
    <t>2023-10-11T13:06:35Z</t>
  </si>
  <si>
    <t>5331426_1298285</t>
  </si>
  <si>
    <t>Rafeek Saleh</t>
  </si>
  <si>
    <t>p_006017989e513c9bbcedc5d08cb84dd7e1696a06@inbound.aiesec.org</t>
  </si>
  <si>
    <t>https://expa.aiesec.org/opportunities/1298285</t>
  </si>
  <si>
    <t>Mechanical Engineer</t>
  </si>
  <si>
    <t>2023-09-24T17:47:02Z</t>
  </si>
  <si>
    <t>5345746_1280872</t>
  </si>
  <si>
    <t>Mariya Yakuba</t>
  </si>
  <si>
    <t>p_829254d79fdd0b95f2cad80524267f817efefdd4@inbound.aiesec.org</t>
  </si>
  <si>
    <t>2023-10-08T13:34:24Z</t>
  </si>
  <si>
    <t>5347502_1293100</t>
  </si>
  <si>
    <t>Nursel Yel</t>
  </si>
  <si>
    <t>p_6ef028f4596b24745d757bb6d8856beea7548941@inbound.aiesec.org</t>
  </si>
  <si>
    <t>https://expa.aiesec.org/opportunities/1293100</t>
  </si>
  <si>
    <t>KASTAMONU</t>
  </si>
  <si>
    <t>2023-10-10T09:19:37Z</t>
  </si>
  <si>
    <t>5310849_1297055</t>
  </si>
  <si>
    <t>Andre Bernardi</t>
  </si>
  <si>
    <t>p_cc39f553f5ea87226d987f9feffe1ab39002f0d9@inbound.aiesec.org</t>
  </si>
  <si>
    <t>https://expa.aiesec.org/opportunities/1297055</t>
  </si>
  <si>
    <t>Mechanical Engineer in MERSEN Company</t>
  </si>
  <si>
    <t>2023-08-27T13:42:51Z</t>
  </si>
  <si>
    <t>5348510_1289505</t>
  </si>
  <si>
    <t>souha jlassi</t>
  </si>
  <si>
    <t>p_8f4a333d6ca8199eef8996cda6d6b0b1a521c223@inbound.aiesec.org</t>
  </si>
  <si>
    <t>2023-10-10T21:57:28Z</t>
  </si>
  <si>
    <t>5349432_1299474</t>
  </si>
  <si>
    <t>Eya Aouadi</t>
  </si>
  <si>
    <t>p_ec2a6d58bd473a3a5ea15f623c0538cfd03e25b3@inbound.aiesec.org</t>
  </si>
  <si>
    <t>2023-10-11T15:15:29Z</t>
  </si>
  <si>
    <t>5350689_1289505</t>
  </si>
  <si>
    <t>Rawen Saouassi</t>
  </si>
  <si>
    <t>p_51dc37c62f646f73ac25950025ea66aa6b7cd156@inbound.aiesec.org</t>
  </si>
  <si>
    <t>2023-10-12T20:02:40Z</t>
  </si>
  <si>
    <t>5350109_1286836</t>
  </si>
  <si>
    <t>Emna Souissi</t>
  </si>
  <si>
    <t>p_0a1c45f58792783cc027c5139121602b7eb7c3dc@inbound.aiesec.org</t>
  </si>
  <si>
    <t>2023-10-12T10:37:19Z</t>
  </si>
  <si>
    <t>5337797_1300056</t>
  </si>
  <si>
    <t>Maria Vales</t>
  </si>
  <si>
    <t>p_c3c4b7a324601b15d82baa8bfcb7539576837c39@inbound.aiesec.org</t>
  </si>
  <si>
    <t>https://expa.aiesec.org/opportunities/1300056</t>
  </si>
  <si>
    <t>2023-09-29T19:52:56Z</t>
  </si>
  <si>
    <t>5351223_1287708</t>
  </si>
  <si>
    <t>Sellami Marwa</t>
  </si>
  <si>
    <t>p_9a853c7980bf9798daec2e77c1c8de7b4ac72efc@inbound.aiesec.org</t>
  </si>
  <si>
    <t>Other Universities</t>
  </si>
  <si>
    <t>2023-10-13T16:46:43Z</t>
  </si>
  <si>
    <t>5348885_1299474</t>
  </si>
  <si>
    <t>Jebli Roudayna</t>
  </si>
  <si>
    <t>p_157c0bf09d58dc10e16a22a2c4a2c4b6f79d5ddb@inbound.aiesec.org</t>
  </si>
  <si>
    <t>2023-10-11T10:25:36Z</t>
  </si>
  <si>
    <t>5350709_1289505</t>
  </si>
  <si>
    <t>Houssem Chourou</t>
  </si>
  <si>
    <t>p_8f674580ecd57bb0c00cfdaf3818af87b52c2012@inbound.aiesec.org</t>
  </si>
  <si>
    <t>2023-10-12T20:52:36Z</t>
  </si>
  <si>
    <t>5350673_1292545</t>
  </si>
  <si>
    <t>Wafaa Merzouk</t>
  </si>
  <si>
    <t>p_a479c3ed1c7ceecbb5c75f7a46598b348b0336ee@inbound.aiesec.org</t>
  </si>
  <si>
    <t>2023-10-12T19:20:20Z</t>
  </si>
  <si>
    <t>5350272_1281345</t>
  </si>
  <si>
    <t>Uygar Mert Özlük</t>
  </si>
  <si>
    <t>p_d97cf876bc75832bf31206266e13ced858cf69dc@inbound.aiesec.org</t>
  </si>
  <si>
    <t>2023-10-12T11:57:16Z</t>
  </si>
  <si>
    <t>5303671_1295743</t>
  </si>
  <si>
    <t>Badoui Hagui</t>
  </si>
  <si>
    <t>p_16ed98dbf05a1b533c0515356b125e4953126022@inbound.aiesec.org</t>
  </si>
  <si>
    <t>2023-08-16T14:52:18Z</t>
  </si>
  <si>
    <t>4745505_1299041</t>
  </si>
  <si>
    <t>Arianna Maschio</t>
  </si>
  <si>
    <t>p_5e00cae059427c8216b2c80cf381f08908a9325a@inbound.aiesec.org</t>
  </si>
  <si>
    <t>https://expa.aiesec.org/opportunities/1299041</t>
  </si>
  <si>
    <t>2021-09-22T19:05:31Z</t>
  </si>
  <si>
    <t>5349252_1289536</t>
  </si>
  <si>
    <t>Maryam Said</t>
  </si>
  <si>
    <t>p_026ff510b7bc15bfca33cf657e5b9d097859b2c7@inbound.aiesec.org</t>
  </si>
  <si>
    <t>2023-10-11T12:40:15Z</t>
  </si>
  <si>
    <t>5345856_1286920</t>
  </si>
  <si>
    <t>Aysen Mustafayeva</t>
  </si>
  <si>
    <t>p_16c068c925166d006daf2a0a6e4628da9ec6c5a9@inbound.aiesec.org</t>
  </si>
  <si>
    <t>2023-10-08T15:41:54Z</t>
  </si>
  <si>
    <t>5351079_1292557</t>
  </si>
  <si>
    <t>Nazarii Makhovyk</t>
  </si>
  <si>
    <t>p_11ff6bc557a0fbfea73a8ca536cead4ca06e9d9f@inbound.aiesec.org</t>
  </si>
  <si>
    <t>2023-10-13T13:46:09Z</t>
  </si>
  <si>
    <t>5346333_1289377</t>
  </si>
  <si>
    <t>Bencheikh Akram</t>
  </si>
  <si>
    <t>p_6c7418f6bf885e7e8b8cf118838c8dbf1c930a52@inbound.aiesec.org</t>
  </si>
  <si>
    <t>https://expa.aiesec.org/opportunities/1289377</t>
  </si>
  <si>
    <t>Telesales Specialist in Istanbul (Italian Speaker)</t>
  </si>
  <si>
    <t>2023-10-09T10:16:41Z</t>
  </si>
  <si>
    <t>5054327_1300056</t>
  </si>
  <si>
    <t>Bristena Muțiu</t>
  </si>
  <si>
    <t>p_02f2830369511ef479e0101f2ff2d67349bc3c51@inbound.aiesec.org</t>
  </si>
  <si>
    <t>2022-05-10T14:14:24Z</t>
  </si>
  <si>
    <t>5336061_1299145</t>
  </si>
  <si>
    <t>Ahmed Mohamed Hassan Mahmoud Mohamed</t>
  </si>
  <si>
    <t>p_ebe76e68e3711cb3f30bcd31e1aee829c5030388@inbound.aiesec.org</t>
  </si>
  <si>
    <t>https://expa.aiesec.org/opportunities/1299145</t>
  </si>
  <si>
    <t>2023-09-28T10:15:54Z</t>
  </si>
  <si>
    <t>5341416_1296234</t>
  </si>
  <si>
    <t>Madonna Refaat</t>
  </si>
  <si>
    <t>p_4b72bd274a8674c2130a2fd3078f2ed51a67ec39@inbound.aiesec.org</t>
  </si>
  <si>
    <t>2023-10-03T23:12:47Z</t>
  </si>
  <si>
    <t>5353047_1279126</t>
  </si>
  <si>
    <t>mariem el gayed</t>
  </si>
  <si>
    <t>p_fcf661b3de9029d8532c826c2aa7299724ed5ef7@inbound.aiesec.org</t>
  </si>
  <si>
    <t>2023-10-16T17:24:39Z</t>
  </si>
  <si>
    <t>5353036_1279126</t>
  </si>
  <si>
    <t>Eya terd</t>
  </si>
  <si>
    <t>p_26a0654dfeb52a4f95fd8ba9902e07084c70a51c@inbound.aiesec.org</t>
  </si>
  <si>
    <t>2023-10-16T17:05:00Z</t>
  </si>
  <si>
    <t>5351853_1293100</t>
  </si>
  <si>
    <t>Sami Efe Çekiç</t>
  </si>
  <si>
    <t>p_72f3b3e6be13be72eb0f53070bda98dbda9c5064@inbound.aiesec.org</t>
  </si>
  <si>
    <t>2023-10-14T14:47:35Z</t>
  </si>
  <si>
    <t>5331076_1298556</t>
  </si>
  <si>
    <t>Isa Akhverdiyev</t>
  </si>
  <si>
    <t>p_264e1497a31bd2a36d8028a77e9eb139cfa1ef85@inbound.aiesec.org</t>
  </si>
  <si>
    <t>2023-09-24T09:31:56Z</t>
  </si>
  <si>
    <t>5352132_1298053</t>
  </si>
  <si>
    <t>Özen Özgüden</t>
  </si>
  <si>
    <t>p_7c5e92466ac1983452ba0f96e29e625acccdc01d@inbound.aiesec.org</t>
  </si>
  <si>
    <t>2023-10-15T07:23:53Z</t>
  </si>
  <si>
    <t>5348168_1289536</t>
  </si>
  <si>
    <t>Youssef Abdelsatar</t>
  </si>
  <si>
    <t>p_95630a51237077df4c6edbbd4ea64b6365daae43@inbound.aiesec.org</t>
  </si>
  <si>
    <t>2023-10-10T14:31:16Z</t>
  </si>
  <si>
    <t>5303777_1299633</t>
  </si>
  <si>
    <t>Mouna Hakis</t>
  </si>
  <si>
    <t>p_e295b5d40a8a4e225522972d0ef0e51d9179ed06@inbound.aiesec.org</t>
  </si>
  <si>
    <t>https://expa.aiesec.org/opportunities/1299633</t>
  </si>
  <si>
    <t>Mechanical Engineering - Civil Engineering</t>
  </si>
  <si>
    <t>2023-08-16T17:12:53Z</t>
  </si>
  <si>
    <t>5353105_1289536</t>
  </si>
  <si>
    <t>Somaya Khaled</t>
  </si>
  <si>
    <t>p_f73dccaac743a7a7ffa191c18450ba6e730b169d@inbound.aiesec.org</t>
  </si>
  <si>
    <t>2023-10-16T19:29:25Z</t>
  </si>
  <si>
    <t>5351761_1289378</t>
  </si>
  <si>
    <t>Djamel Amraoui</t>
  </si>
  <si>
    <t>p_1e1d00f9489951669eb4a06c2af838f4906aaa9c@inbound.aiesec.org</t>
  </si>
  <si>
    <t>2023-10-14T12:36:06Z</t>
  </si>
  <si>
    <t>4729940_1285687</t>
  </si>
  <si>
    <t>Shifa Shaikh</t>
  </si>
  <si>
    <t>p_b64468bec0b32a65cf3be03653f75090139e3692@inbound.aiesec.org</t>
  </si>
  <si>
    <t>Ritumbara College, Vile Parle</t>
  </si>
  <si>
    <t>2021-09-05T16:30:29Z</t>
  </si>
  <si>
    <t>5317679_1281357</t>
  </si>
  <si>
    <t>Mohammed Lahloub</t>
  </si>
  <si>
    <t>p_59c0c37290869107e4539059973bbab5aaf622c5@inbound.aiesec.org</t>
  </si>
  <si>
    <t>Time University</t>
  </si>
  <si>
    <t>2023-09-03T19:03:27Z</t>
  </si>
  <si>
    <t>5264542_1297842</t>
  </si>
  <si>
    <t>Alperen A</t>
  </si>
  <si>
    <t>p_6303fa93aba890a25afa4b5481d2ed96a6411ae8@inbound.aiesec.org</t>
  </si>
  <si>
    <t>https://expa.aiesec.org/opportunities/1297842</t>
  </si>
  <si>
    <t>Prototyping and Project Management Engineer</t>
  </si>
  <si>
    <t>2023-05-21T17:29:51Z</t>
  </si>
  <si>
    <t>4811677_1298284</t>
  </si>
  <si>
    <t>chadha chibani</t>
  </si>
  <si>
    <t>p_b61716958f5b76fad63781220c49f0d2349cc7ff@inbound.aiesec.org</t>
  </si>
  <si>
    <t>2021-11-22T23:14:30Z</t>
  </si>
  <si>
    <t>5352675_1289505</t>
  </si>
  <si>
    <t>Feirouz zrig</t>
  </si>
  <si>
    <t>p_e637a2fa748edd592ded61e12a49006764971b61@inbound.aiesec.org</t>
  </si>
  <si>
    <t>2023-10-16T10:08:30Z</t>
  </si>
  <si>
    <t>5284975_1298274</t>
  </si>
  <si>
    <t>Nisrine Ghazi</t>
  </si>
  <si>
    <t>p_5b753280b05c42786c21de56d0c929111734980b@inbound.aiesec.org</t>
  </si>
  <si>
    <t>https://expa.aiesec.org/opportunities/1298274</t>
  </si>
  <si>
    <t>Ecole Nationale De Commerce Et De Gestion Casablanca (ENCGC)</t>
  </si>
  <si>
    <t>2023-07-13T14:52:09Z</t>
  </si>
  <si>
    <t>3603477_1296625</t>
  </si>
  <si>
    <t>Oscar Fernando Martínez Sanabria</t>
  </si>
  <si>
    <t>p_b855e85326e3585500f2a237ee25d00a6b499558@inbound.aiesec.org</t>
  </si>
  <si>
    <t>Javeriana</t>
  </si>
  <si>
    <t>2019-07-03T16:28:34Z</t>
  </si>
  <si>
    <t>5328708_1299687</t>
  </si>
  <si>
    <t>Ellen Kgagamatso Matthews</t>
  </si>
  <si>
    <t>p_3929eeed4b1c0851752ff5631fd8d89b2e37cea4@inbound.aiesec.org</t>
  </si>
  <si>
    <t>University of Johannesburg</t>
  </si>
  <si>
    <t>https://expa.aiesec.org/opportunities/1299687</t>
  </si>
  <si>
    <t>Aydın Lisan English Teacher</t>
  </si>
  <si>
    <t>2023-09-21T06:15:59Z</t>
  </si>
  <si>
    <t>5264868_1296105</t>
  </si>
  <si>
    <t>Hassiba Mahieddine</t>
  </si>
  <si>
    <t>p_0a8542edc1f2e6e00fa7f9a61cc9783ffd4c97cf@inbound.aiesec.org</t>
  </si>
  <si>
    <t>2023-05-22T14:15:22Z</t>
  </si>
  <si>
    <t>5353141_1289686</t>
  </si>
  <si>
    <t>p_1c20a684a4e8ab9ecbcd606fdaf140899957b970@inbound.aiesec.org</t>
  </si>
  <si>
    <t>2023-10-16T21:40:34Z</t>
  </si>
  <si>
    <t>5348654_1298312</t>
  </si>
  <si>
    <t>Maida Imran Mughal</t>
  </si>
  <si>
    <t>p_4b0b15c8f99cdbb20b6a558447538c290c13bfdd@inbound.aiesec.org</t>
  </si>
  <si>
    <t>https://expa.aiesec.org/opportunities/1298312</t>
  </si>
  <si>
    <t>Islamabad - Roots IVY</t>
  </si>
  <si>
    <t>2023-10-11T06:39:30Z</t>
  </si>
  <si>
    <t>5351612_1296464</t>
  </si>
  <si>
    <t>Ayca Akpinar</t>
  </si>
  <si>
    <t>p_633a41eab1bb90b9c6a788f988480b19da8476ee@inbound.aiesec.org</t>
  </si>
  <si>
    <t>2023-10-14T06:36:33Z</t>
  </si>
  <si>
    <t>2018680_1298543</t>
  </si>
  <si>
    <t>Erkan Dogan</t>
  </si>
  <si>
    <t>p_e5056452651de040dc1583b61978d351a3962e1a@inbound.aiesec.org</t>
  </si>
  <si>
    <t>https://expa.aiesec.org/opportunities/1298543</t>
  </si>
  <si>
    <t>PMO - Global IT End User Services</t>
  </si>
  <si>
    <t>2018-02-05T19:32:45Z</t>
  </si>
  <si>
    <t>5329150_1289307</t>
  </si>
  <si>
    <t>Houda MOUAOUIA</t>
  </si>
  <si>
    <t>p_2686e024613c7a62a0d065cafd47de8b512ce519@inbound.aiesec.org</t>
  </si>
  <si>
    <t>2023-09-21T12:27:30Z</t>
  </si>
  <si>
    <t>5320472_1298534</t>
  </si>
  <si>
    <t>Zaer El Hamedi</t>
  </si>
  <si>
    <t>p_d137b39ee9b23a50416ff7d0b737fbceff796949@inbound.aiesec.org</t>
  </si>
  <si>
    <t>https://expa.aiesec.org/opportunities/1298534</t>
  </si>
  <si>
    <t>2023-09-08T16:47:54Z</t>
  </si>
  <si>
    <t>5343297_1299892</t>
  </si>
  <si>
    <t>zeynep gül kayıcı</t>
  </si>
  <si>
    <t>p_2d459f999138bb840836407160c97a9889765de6@inbound.aiesec.org</t>
  </si>
  <si>
    <t>https://expa.aiesec.org/opportunities/1299892</t>
  </si>
  <si>
    <t>2023-10-05T16:29:49Z</t>
  </si>
  <si>
    <t>5260132_1299954</t>
  </si>
  <si>
    <t>https://expa.aiesec.org/opportunities/1299954</t>
  </si>
  <si>
    <t>5355692_1279126</t>
  </si>
  <si>
    <t>Emna Allegui</t>
  </si>
  <si>
    <t>p_b38094ff2a3d943eed3ee86eafb078e15c1351ed@inbound.aiesec.org</t>
  </si>
  <si>
    <t>2023-10-19T16:58:54Z</t>
  </si>
  <si>
    <t>5355710_1279126</t>
  </si>
  <si>
    <t>Mohamed aziz Jouini</t>
  </si>
  <si>
    <t>p_b07b552b1f621060a073ca140c6fa1e8a14c00f1@inbound.aiesec.org</t>
  </si>
  <si>
    <t>2023-10-19T17:23:31Z</t>
  </si>
  <si>
    <t>5355680_1289347</t>
  </si>
  <si>
    <t>Maryem Fathallah</t>
  </si>
  <si>
    <t>p_d0d07cc2c58eeee1476ddd8044fa56cf10c65df2@inbound.aiesec.org</t>
  </si>
  <si>
    <t>2023-10-19T16:33:43Z</t>
  </si>
  <si>
    <t>5354584_1294795</t>
  </si>
  <si>
    <t>Youstina Salah</t>
  </si>
  <si>
    <t>p_f32bb28dd7d8c0d4e68e9a9f48c6085fc0c6a685@inbound.aiesec.org</t>
  </si>
  <si>
    <t>2023-10-18T11:22:23Z</t>
  </si>
  <si>
    <t>3742064_1286326</t>
  </si>
  <si>
    <t>5310331_1298284</t>
  </si>
  <si>
    <t>Pallavi Chanana</t>
  </si>
  <si>
    <t>p_6f640af7a7902d0a1d5a68d31443dcc3e4d8b7a2@inbound.aiesec.org</t>
  </si>
  <si>
    <t>2023-08-26T15:56:49Z</t>
  </si>
  <si>
    <t>5324324_1286326</t>
  </si>
  <si>
    <t>vedaang kapoor</t>
  </si>
  <si>
    <t>p_900e2dd6e7270afb658591e357ea60dd686bfe08@inbound.aiesec.org</t>
  </si>
  <si>
    <t>2023-09-15T06:58:50Z</t>
  </si>
  <si>
    <t>5352972_1299666</t>
  </si>
  <si>
    <t>Khaoula Hjira</t>
  </si>
  <si>
    <t>p_02e4d5ed440ce2a1b9e4f92e61a8b924e6f8cd5c@inbound.aiesec.org</t>
  </si>
  <si>
    <t>2023-10-16T15:09:50Z</t>
  </si>
  <si>
    <t>5159036_1288663</t>
  </si>
  <si>
    <t>5356301_1289347</t>
  </si>
  <si>
    <t>asma gharsalli</t>
  </si>
  <si>
    <t>p_5d27477921c2a59de61989582c4b0e92025e4719@inbound.aiesec.org</t>
  </si>
  <si>
    <t>2023-10-20T16:22:48Z</t>
  </si>
  <si>
    <t>5347921_1281357</t>
  </si>
  <si>
    <t>Gursimar Sodhi</t>
  </si>
  <si>
    <t>p_6ead2e34c2e1478bdbdf1ddd0f022f2fb9ce3788@inbound.aiesec.org</t>
  </si>
  <si>
    <t>SCD Govt. College, Ludhiana</t>
  </si>
  <si>
    <t>2023-10-10T12:23:40Z</t>
  </si>
  <si>
    <t>5195890_1272564</t>
  </si>
  <si>
    <t>Daryna Demianishyna</t>
  </si>
  <si>
    <t>p_5ca40e0f5a9502b141e74da23cc52114cc6267e1@inbound.aiesec.org</t>
  </si>
  <si>
    <t>2023-02-21T12:14:26Z</t>
  </si>
  <si>
    <t>5356041_1299853</t>
  </si>
  <si>
    <t>Betul Gorken</t>
  </si>
  <si>
    <t>p_304b3c7643c74f4c001f36ded80f87e9ca6cefe9@inbound.aiesec.org</t>
  </si>
  <si>
    <t>https://expa.aiesec.org/opportunities/1299853</t>
  </si>
  <si>
    <t>[HASHTAG] Social Media @PA</t>
  </si>
  <si>
    <t>2023-10-20T06:39:23Z</t>
  </si>
  <si>
    <t>5353026_1300091</t>
  </si>
  <si>
    <t>Ata Eryiğit</t>
  </si>
  <si>
    <t>p_7f8f382c9748e64cf20214dacafddc3d03d32ce2@inbound.aiesec.org</t>
  </si>
  <si>
    <t>https://expa.aiesec.org/opportunities/1300091</t>
  </si>
  <si>
    <t>2023-10-16T16:40:42Z</t>
  </si>
  <si>
    <t>5225985_1296470</t>
  </si>
  <si>
    <t>https://expa.aiesec.org/opportunities/1296470</t>
  </si>
  <si>
    <t>Englısh Teacher</t>
  </si>
  <si>
    <t>5345023_1299371</t>
  </si>
  <si>
    <t>Şevval Giril</t>
  </si>
  <si>
    <t>p_8a81db5996e38c4d9e958ba91745195cfcdd9531@inbound.aiesec.org</t>
  </si>
  <si>
    <t>https://expa.aiesec.org/opportunities/1299371</t>
  </si>
  <si>
    <t>Accelerate Romania | Marketing Junior</t>
  </si>
  <si>
    <t>2023-10-07T14:18:45Z</t>
  </si>
  <si>
    <t>5355867_1292695</t>
  </si>
  <si>
    <t>Feyza Çelik</t>
  </si>
  <si>
    <t>p_b68d7055469dd62e8e18ce3d2f37c4cd2492d1ce@inbound.aiesec.org</t>
  </si>
  <si>
    <t>2023-10-19T20:23:27Z</t>
  </si>
  <si>
    <t>5348601_1296234</t>
  </si>
  <si>
    <t>Nour Sabry</t>
  </si>
  <si>
    <t>p_c829b1a43a561f32d05688bf9a64c4642f05ef7c@inbound.aiesec.org</t>
  </si>
  <si>
    <t>2023-10-11T03:53:56Z</t>
  </si>
  <si>
    <t>5328078_1298284</t>
  </si>
  <si>
    <t>Tiago Cunha</t>
  </si>
  <si>
    <t>p_289028ecfdc84bc9c202273be7cb0bea08b44a2f@inbound.aiesec.org</t>
  </si>
  <si>
    <t>2023-09-20T10:40:22Z</t>
  </si>
  <si>
    <t>5323466_1299113</t>
  </si>
  <si>
    <t>Marco Ciaramella</t>
  </si>
  <si>
    <t>p_134b64683214d61436e5a085bfecc465ca7d6779@inbound.aiesec.org</t>
  </si>
  <si>
    <t>2023-09-13T21:17:15Z</t>
  </si>
  <si>
    <t>5343755_1279126</t>
  </si>
  <si>
    <t>Dimitris Gkotsopoulos</t>
  </si>
  <si>
    <t>p_36d9b04b5c31adefaa25596efb689a7c7a6934af@inbound.aiesec.org</t>
  </si>
  <si>
    <t>2023-10-06T10:02:13Z</t>
  </si>
  <si>
    <t>5245030_1289536</t>
  </si>
  <si>
    <t>Həvva Shahbazova</t>
  </si>
  <si>
    <t>p_968f835d9c7e2f1626e1a5924fe068e24eaccbad@inbound.aiesec.org</t>
  </si>
  <si>
    <t>2023-04-19T06:33:31Z</t>
  </si>
  <si>
    <t>5116448_1296105</t>
  </si>
  <si>
    <t>Greta Lentz</t>
  </si>
  <si>
    <t>p_c1ae287046a8077cdbe80db671bf87a8bac8a839@inbound.aiesec.org</t>
  </si>
  <si>
    <t>Frankfurt (Main)</t>
  </si>
  <si>
    <t>2022-09-20T17:12:00Z</t>
  </si>
  <si>
    <t>5340417_1289596</t>
  </si>
  <si>
    <t>Zainab Alam</t>
  </si>
  <si>
    <t>p_182864b43a87fbdfddde46e1acb783e34eaae649@inbound.aiesec.org</t>
  </si>
  <si>
    <t>2023-10-03T08:57:32Z</t>
  </si>
  <si>
    <t>5341035_1291869</t>
  </si>
  <si>
    <t>Mert Güzel</t>
  </si>
  <si>
    <t>p_92044f90563d7b427a447ddc77784b60f4679f38@inbound.aiesec.org</t>
  </si>
  <si>
    <t>2023-10-03T13:58:24Z</t>
  </si>
  <si>
    <t>5356844_1299919</t>
  </si>
  <si>
    <t>Sevde Aykalaycı</t>
  </si>
  <si>
    <t>p_106a176faa33880947d2c4f2e536082e276a6eef@inbound.aiesec.org</t>
  </si>
  <si>
    <t>https://expa.aiesec.org/opportunities/1299919</t>
  </si>
  <si>
    <t>2023-10-21T20:28:26Z</t>
  </si>
  <si>
    <t>5356390_1292557</t>
  </si>
  <si>
    <t>seif ben moussa</t>
  </si>
  <si>
    <t>p_ed0ef6ba78ab7ebd2cc50c5463bc706fa56fb660@inbound.aiesec.org</t>
  </si>
  <si>
    <t>2023-10-20T18:59:54Z</t>
  </si>
  <si>
    <t>5349795_1300060</t>
  </si>
  <si>
    <t>Majd Baccari</t>
  </si>
  <si>
    <t>p_b37de1785848e58339f88baad6595b549852ab26@inbound.aiesec.org</t>
  </si>
  <si>
    <t>https://expa.aiesec.org/opportunities/1300060</t>
  </si>
  <si>
    <t>2023-10-11T23:07:41Z</t>
  </si>
  <si>
    <t>5356676_1299451</t>
  </si>
  <si>
    <t>ilknur ece kaplan</t>
  </si>
  <si>
    <t>p_f4c785c591072cc91f2a4633d8696f2bbb589706@inbound.aiesec.org</t>
  </si>
  <si>
    <t>https://expa.aiesec.org/opportunities/1299451</t>
  </si>
  <si>
    <t>2023-10-21T12:13:41Z</t>
  </si>
  <si>
    <t>5355827_1295253</t>
  </si>
  <si>
    <t>Elena Gurinova</t>
  </si>
  <si>
    <t>p_72cdf696a424a8caf8c46c90201565db99878231@inbound.aiesec.org</t>
  </si>
  <si>
    <t>VORONEZH</t>
  </si>
  <si>
    <t>https://expa.aiesec.org/opportunities/1295253</t>
  </si>
  <si>
    <t>Marine Claim/Insurance Specialist in Istanbul</t>
  </si>
  <si>
    <t>Voronezh</t>
  </si>
  <si>
    <t>2023-10-19T19:16:49Z</t>
  </si>
  <si>
    <t>5359408_1283288</t>
  </si>
  <si>
    <t>Marwa Aroua</t>
  </si>
  <si>
    <t>p_0c63dce5c13e7fa02893182c207042ac311c8b24@inbound.aiesec.org</t>
  </si>
  <si>
    <t>2023-10-24T19:31:36Z</t>
  </si>
  <si>
    <t>5357281_1297655</t>
  </si>
  <si>
    <t>Asya kapan</t>
  </si>
  <si>
    <t>p_b915b51c57819cab1c7f11953d4bb237288a98de@inbound.aiesec.org</t>
  </si>
  <si>
    <t>https://expa.aiesec.org/opportunities/1297655</t>
  </si>
  <si>
    <t>2023-10-22T14:00:27Z</t>
  </si>
  <si>
    <t>5354916_1299405</t>
  </si>
  <si>
    <t>Hatice Vuslat Bektaş</t>
  </si>
  <si>
    <t>p_e2dad91924dc835a37ce5ee609164a765fd05e37@inbound.aiesec.org</t>
  </si>
  <si>
    <t>https://expa.aiesec.org/opportunities/1299405</t>
  </si>
  <si>
    <t>2023-10-18T17:48:26Z</t>
  </si>
  <si>
    <t>5361082_1300126</t>
  </si>
  <si>
    <t>Khaoula Mejri</t>
  </si>
  <si>
    <t>p_f3d7e5beb7c61826e02c9d4ba688be1740c5eefd@inbound.aiesec.org</t>
  </si>
  <si>
    <t>https://expa.aiesec.org/opportunities/1300126</t>
  </si>
  <si>
    <t>2023-10-26T18:04:17Z</t>
  </si>
  <si>
    <t>5356803_1299422</t>
  </si>
  <si>
    <t>Toprak Aygün</t>
  </si>
  <si>
    <t>p_2864f582bc890eee3e7134dfd653f414ec379c10@inbound.aiesec.org</t>
  </si>
  <si>
    <t>https://expa.aiesec.org/opportunities/1299422</t>
  </si>
  <si>
    <t>2023-10-21T18:39:26Z</t>
  </si>
  <si>
    <t>5356820_1296670</t>
  </si>
  <si>
    <t>Rahali Jassem</t>
  </si>
  <si>
    <t>p_917d540996e8d46e35082a1b47abece037a30f9a@inbound.aiesec.org</t>
  </si>
  <si>
    <t>2023-10-21T19:18:55Z</t>
  </si>
  <si>
    <t>5361158_1299656</t>
  </si>
  <si>
    <t>Eylül Sıla Çifci</t>
  </si>
  <si>
    <t>p_3157379a02c88fa504a09e0ac87d655ce9bc4e31@inbound.aiesec.org</t>
  </si>
  <si>
    <t>https://expa.aiesec.org/opportunities/1299656</t>
  </si>
  <si>
    <t>2023-10-26T20:48:44Z</t>
  </si>
  <si>
    <t>5286770_1294332</t>
  </si>
  <si>
    <t>5216612_1279525</t>
  </si>
  <si>
    <t>Joana Fonseca de Almeida</t>
  </si>
  <si>
    <t>p_158620dd3e5e62e5ffd2d764abec50be235c7363@inbound.aiesec.org</t>
  </si>
  <si>
    <t>2023-03-15T02:04:44Z</t>
  </si>
  <si>
    <t>5361576_1289505</t>
  </si>
  <si>
    <t>wejdenne jawedi</t>
  </si>
  <si>
    <t>p_ecb836760dde7a64d9a776ff6f98c6cdf5116598@inbound.aiesec.org</t>
  </si>
  <si>
    <t>2023-10-27T16:40:55Z</t>
  </si>
  <si>
    <t>5361793_1289505</t>
  </si>
  <si>
    <t>Jazil Gasmi</t>
  </si>
  <si>
    <t>p_15dcca6372a87d49eecbcfd46ce59de4be6c1390@inbound.aiesec.org</t>
  </si>
  <si>
    <t>2023-10-27T20:17:55Z</t>
  </si>
  <si>
    <t>5359267_1292960</t>
  </si>
  <si>
    <t>Hasan SAMUR</t>
  </si>
  <si>
    <t>p_5a6636211edc9c1c3fcd61e52282317ac482c25d@inbound.aiesec.org</t>
  </si>
  <si>
    <t>https://expa.aiesec.org/opportunities/1292960</t>
  </si>
  <si>
    <t>2023-10-24T16:01:53Z</t>
  </si>
  <si>
    <t>5360327_1289850</t>
  </si>
  <si>
    <t>Umur Uysal</t>
  </si>
  <si>
    <t>p_a32f4626aa9fc77052d4c27f38a0ad879c9e7c44@inbound.aiesec.org</t>
  </si>
  <si>
    <t>2023-10-25T19:49:15Z</t>
  </si>
  <si>
    <t>3520287_1298736</t>
  </si>
  <si>
    <t>Asma Kelaiaia</t>
  </si>
  <si>
    <t>p_2784d3cbbb89dd1765a2aed6395ae2bae48d89c8@inbound.aiesec.org</t>
  </si>
  <si>
    <t>2019-06-10T19:44:44Z</t>
  </si>
  <si>
    <t>5362082_1288609</t>
  </si>
  <si>
    <t>Dilara Huz</t>
  </si>
  <si>
    <t>p_6747081330c1826ca4265aa18281960de71281da@inbound.aiesec.org</t>
  </si>
  <si>
    <t>2023-10-28T11:07:28Z</t>
  </si>
  <si>
    <t>5362037_1288609</t>
  </si>
  <si>
    <t>Duygu İlimdaroğlu</t>
  </si>
  <si>
    <t>p_f1e1d2d6e12044702cf08ce5dc71eea9767439e2@inbound.aiesec.org</t>
  </si>
  <si>
    <t>2023-10-28T08:48:35Z</t>
  </si>
  <si>
    <t>4860092_1298438</t>
  </si>
  <si>
    <t>Alara Özsoy</t>
  </si>
  <si>
    <t>p_cb152c201c28bbe63b39f85f6275f624da25f809@inbound.aiesec.org</t>
  </si>
  <si>
    <t>https://expa.aiesec.org/opportunities/1298438</t>
  </si>
  <si>
    <t>2021-12-29T16:27:52Z</t>
  </si>
  <si>
    <t>5362094_1284670</t>
  </si>
  <si>
    <t>menyar kahlawi</t>
  </si>
  <si>
    <t>p_ebd7b6693f989540f48ac7e365a3783897c34803@inbound.aiesec.org</t>
  </si>
  <si>
    <t>2023-10-28T11:52:15Z</t>
  </si>
  <si>
    <t>5361832_1292960</t>
  </si>
  <si>
    <t>Ezgi Boztaş</t>
  </si>
  <si>
    <t>p_4c02e5bd6326bb38d3b5948c0701036f75881b6e@inbound.aiesec.org</t>
  </si>
  <si>
    <t>2023-10-27T22:14:17Z</t>
  </si>
  <si>
    <t>5161220_1299527</t>
  </si>
  <si>
    <t>https://expa.aiesec.org/opportunities/1299527</t>
  </si>
  <si>
    <t>5357135_1296885</t>
  </si>
  <si>
    <t>Gamze Demirkol</t>
  </si>
  <si>
    <t>p_cc7dddfbe60f6cd0e8d823508af5367e1ead0e64@inbound.aiesec.org</t>
  </si>
  <si>
    <t>2023-10-22T12:46:09Z</t>
  </si>
  <si>
    <t>5361321_1292545</t>
  </si>
  <si>
    <t>Housna Mezerreg</t>
  </si>
  <si>
    <t>p_9333bb57fcfd529b9c5fec75c5cb78f2cbc27abf@inbound.aiesec.org</t>
  </si>
  <si>
    <t>2023-10-27T08:47:46Z</t>
  </si>
  <si>
    <t>5338595_1299393</t>
  </si>
  <si>
    <t>Taner Yildiz</t>
  </si>
  <si>
    <t>p_b4244602e8001f3c888a82d8f83506a64b689140@inbound.aiesec.org</t>
  </si>
  <si>
    <t>2023-09-30T18:58:55Z</t>
  </si>
  <si>
    <t>5362177_1298102</t>
  </si>
  <si>
    <t>khadija bensaad</t>
  </si>
  <si>
    <t>p_a06ac1adbe37735ac48ee345d9b6b9db76787716@inbound.aiesec.org</t>
  </si>
  <si>
    <t>https://expa.aiesec.org/opportunities/1298102</t>
  </si>
  <si>
    <t>2023-10-28T15:56:24Z</t>
  </si>
  <si>
    <t>5362308_1288609</t>
  </si>
  <si>
    <t>Yağmur Seven</t>
  </si>
  <si>
    <t>p_8a6b3b51c6d913f661b1f7bc8eb4e63956cf2b9b@inbound.aiesec.org</t>
  </si>
  <si>
    <t>2023-10-28T21:41:27Z</t>
  </si>
  <si>
    <t>3317780_1299113</t>
  </si>
  <si>
    <t>Nourhan Hesham</t>
  </si>
  <si>
    <t>p_5cbdb2a5d50f009718f2731dcba7091b57cdd1c4@inbound.aiesec.org</t>
  </si>
  <si>
    <t>2019-04-10T22:02:18Z</t>
  </si>
  <si>
    <t>5264868_1295830</t>
  </si>
  <si>
    <t>5359996_1300097</t>
  </si>
  <si>
    <t>H. Kürşat AKBURAK</t>
  </si>
  <si>
    <t>p_909914d245be89f84b3091beb3bc53fc8a892edb@inbound.aiesec.org</t>
  </si>
  <si>
    <t>https://expa.aiesec.org/opportunities/1300097</t>
  </si>
  <si>
    <t>2023-10-25T12:16:28Z</t>
  </si>
  <si>
    <t>5361757_1297178</t>
  </si>
  <si>
    <t>Dilara Köşkeroğlu</t>
  </si>
  <si>
    <t>p_bc9bf6c7d742bed19c9f4b454bc80784f669149f@inbound.aiesec.org</t>
  </si>
  <si>
    <t>https://expa.aiesec.org/opportunities/1297178</t>
  </si>
  <si>
    <t>2023-10-27T19:36:05Z</t>
  </si>
  <si>
    <t>5363185_1299036</t>
  </si>
  <si>
    <t>Zaer El Hamadi</t>
  </si>
  <si>
    <t>p_7632d43c5e1ba38300a5a02b6f90e4d447d64884@inbound.aiesec.org</t>
  </si>
  <si>
    <t>2023-10-30T06:36:43Z</t>
  </si>
  <si>
    <t>5361422_1294063</t>
  </si>
  <si>
    <t>Sabrullah Levent Levent</t>
  </si>
  <si>
    <t>p_e24d039d95e26a5b00990a87457db332513dea9f@inbound.aiesec.org</t>
  </si>
  <si>
    <t>2023-10-27T12:05:51Z</t>
  </si>
  <si>
    <t>5360326_1279126</t>
  </si>
  <si>
    <t>Medamine Ghali</t>
  </si>
  <si>
    <t>p_e7f69def258619e304cc460c586fefd992f09b20@inbound.aiesec.org</t>
  </si>
  <si>
    <t>2023-10-25T19:40:54Z</t>
  </si>
  <si>
    <t>5363327_1293543</t>
  </si>
  <si>
    <t>p_1f9b16a4567ff4ec0de84c9b3a51d57a73e2c45c@inbound.aiesec.org</t>
  </si>
  <si>
    <t>https://expa.aiesec.org/opportunities/1293543</t>
  </si>
  <si>
    <t>2023-10-30T11:32:34Z</t>
  </si>
  <si>
    <t>5361637_1299665</t>
  </si>
  <si>
    <t>Mouna Hidar</t>
  </si>
  <si>
    <t>p_f32b8adbf358465d1d12ba1413c9df64a28e64ba@inbound.aiesec.org</t>
  </si>
  <si>
    <t>https://expa.aiesec.org/opportunities/1299665</t>
  </si>
  <si>
    <t>Call Center Agent-English( Turkeyana Clinic)</t>
  </si>
  <si>
    <t>2023-10-27T17:21:27Z</t>
  </si>
  <si>
    <t>5363507_1293726</t>
  </si>
  <si>
    <t>Feriel Dakhlia</t>
  </si>
  <si>
    <t>p_98c21b8c0b28f22258330aaf091c127100a7392f@inbound.aiesec.org</t>
  </si>
  <si>
    <t>2023-10-30T15:33:57Z</t>
  </si>
  <si>
    <t>5363837_1289505</t>
  </si>
  <si>
    <t>Mnakbi Tayssir</t>
  </si>
  <si>
    <t>p_984501be2aa57f2268d3c0359faa44273a0c7ae5@inbound.aiesec.org</t>
  </si>
  <si>
    <t>2023-10-30T22:59:46Z</t>
  </si>
  <si>
    <t>5363776_1289505</t>
  </si>
  <si>
    <t>Farah Taboubi</t>
  </si>
  <si>
    <t>p_2694a048f8aca9a462c6ebcc8bc0368113d12561@inbound.aiesec.org</t>
  </si>
  <si>
    <t>2023-10-30T20:35:01Z</t>
  </si>
  <si>
    <t>5363690_1289502</t>
  </si>
  <si>
    <t>Mariem Barhoumi</t>
  </si>
  <si>
    <t>p_e0e9283db48fa6b690c537db502b629e900d9c4c@inbound.aiesec.org</t>
  </si>
  <si>
    <t>2023-10-30T18:09:35Z</t>
  </si>
  <si>
    <t>5363974_1297178</t>
  </si>
  <si>
    <t>ahmet kadir durna</t>
  </si>
  <si>
    <t>p_ea9f91df9bd678e0afc74471f556d6f5e33212d1@inbound.aiesec.org</t>
  </si>
  <si>
    <t>2023-10-31T08:11:00Z</t>
  </si>
  <si>
    <t>5361418_1289255</t>
  </si>
  <si>
    <t>Amal nasse lahsen</t>
  </si>
  <si>
    <t>p_11c9ca4f251bc0e52108964f012f341908bd027a@inbound.aiesec.org</t>
  </si>
  <si>
    <t>2023-10-27T12:02:50Z</t>
  </si>
  <si>
    <t>5178701_1292875</t>
  </si>
  <si>
    <t>p_333c6288fcb7d5a44842a45a8ce0de8917a60dad@inbound.aiesec.org</t>
  </si>
  <si>
    <t>https://expa.aiesec.org/opportunities/1292875</t>
  </si>
  <si>
    <t>2023-01-20T11:36:14Z</t>
  </si>
  <si>
    <t>5359455_1299265</t>
  </si>
  <si>
    <t>Sara Mohamed</t>
  </si>
  <si>
    <t>p_e2dbde3c544bd135a526750716cc24bbb0e971be@inbound.aiesec.org</t>
  </si>
  <si>
    <t>https://expa.aiesec.org/opportunities/1299265</t>
  </si>
  <si>
    <t>2023-10-24T21:49:35Z</t>
  </si>
  <si>
    <t>5323447_1295453</t>
  </si>
  <si>
    <t>Ahmed Abou-bakr</t>
  </si>
  <si>
    <t>p_c6084cfb912b8489f0ac01075c6ac7a465521b19@inbound.aiesec.org</t>
  </si>
  <si>
    <t>2023-09-13T20:27:28Z</t>
  </si>
  <si>
    <t>5363700_1300102</t>
  </si>
  <si>
    <t>Muhammet Ali Yavuz</t>
  </si>
  <si>
    <t>p_fc4d1f5904f4f8def2a55c236c22424c0a9055d3@inbound.aiesec.org</t>
  </si>
  <si>
    <t>https://expa.aiesec.org/opportunities/1300102</t>
  </si>
  <si>
    <t>Social media Manager</t>
  </si>
  <si>
    <t>2023-10-30T18:32:38Z</t>
  </si>
  <si>
    <t>5358129_1300562</t>
  </si>
  <si>
    <t>Beyza Nur Eynel</t>
  </si>
  <si>
    <t>p_b4ecd332b76f0a96a741446e2af6ce92756389a2@inbound.aiesec.org</t>
  </si>
  <si>
    <t>https://expa.aiesec.org/opportunities/1300562</t>
  </si>
  <si>
    <t>2023-10-23T16:00:27Z</t>
  </si>
  <si>
    <t>5330143_1287708</t>
  </si>
  <si>
    <t>Sirine Benhamouda</t>
  </si>
  <si>
    <t>p_284fee57bbcaf5b42e55d9723a6559361e2aa003@inbound.aiesec.org</t>
  </si>
  <si>
    <t>2023-09-22T17:21:04Z</t>
  </si>
  <si>
    <t>5364275_1289505</t>
  </si>
  <si>
    <t>Cyrine .</t>
  </si>
  <si>
    <t>p_5d88e02c4ceb429bd36fe989544bf2dfb479eb09@inbound.aiesec.org</t>
  </si>
  <si>
    <t>2023-10-31T14:41:31Z</t>
  </si>
  <si>
    <t>5362017_1294795</t>
  </si>
  <si>
    <t>Tetiana Petruk</t>
  </si>
  <si>
    <t>p_158d64f762c45ca4a10c2cdcd7ff4c1c32876cb6@inbound.aiesec.org</t>
  </si>
  <si>
    <t>2023-10-28T07:51:54Z</t>
  </si>
  <si>
    <t>2480467_1279126</t>
  </si>
  <si>
    <t>Heba Mansour</t>
  </si>
  <si>
    <t>p_49b27d089cd5ce3cad22ac1516db48f8c8f637b3@inbound.aiesec.org</t>
  </si>
  <si>
    <t>2018-08-11T00:42:39Z</t>
  </si>
  <si>
    <t>5362296_1300562</t>
  </si>
  <si>
    <t>Nilay Baykal</t>
  </si>
  <si>
    <t>p_034d63968ad7c478cfeced725d8a040db57a28ba@inbound.aiesec.org</t>
  </si>
  <si>
    <t>2023-10-28T20:42:39Z</t>
  </si>
  <si>
    <t>5340945_1299113</t>
  </si>
  <si>
    <t>Nourhan Eldayash</t>
  </si>
  <si>
    <t>p_4af04251aaa79036a4814d7a3ba115b6d4bbdd77@inbound.aiesec.org</t>
  </si>
  <si>
    <t>2023-10-03T12:49:05Z</t>
  </si>
  <si>
    <t>5364410_1300628</t>
  </si>
  <si>
    <t>Yağmur Aysal</t>
  </si>
  <si>
    <t>p_1e41d5a9856b257410e6407e887282b463390d65@inbound.aiesec.org</t>
  </si>
  <si>
    <t>https://expa.aiesec.org/opportunities/1300628</t>
  </si>
  <si>
    <t>2023-10-31T17:22:31Z</t>
  </si>
  <si>
    <t>5362161_1297178</t>
  </si>
  <si>
    <t>Elif Nur Arslan</t>
  </si>
  <si>
    <t>p_7e85c819c7fac620065e6b0c30acd62b5591b6d5@inbound.aiesec.org</t>
  </si>
  <si>
    <t>2023-10-28T15:11:37Z</t>
  </si>
  <si>
    <t>5364463_1289536</t>
  </si>
  <si>
    <t>kawther bouallegue</t>
  </si>
  <si>
    <t>p_c8d515dfaac34dc7a6dd44f24dc821adb54071c0@inbound.aiesec.org</t>
  </si>
  <si>
    <t>2023-10-31T18:50:32Z</t>
  </si>
  <si>
    <t>5086497_1297178</t>
  </si>
  <si>
    <t>p_0ab5f35c87a0c5d490eb2033ba4f069d4a8aab2f@inbound.aiesec.org</t>
  </si>
  <si>
    <t>2022-07-27T20:27:08Z</t>
  </si>
  <si>
    <t>5360271_1296885</t>
  </si>
  <si>
    <t>Müge Yılmaz</t>
  </si>
  <si>
    <t>p_ee8af54d04cae38a616253c5a8e7e0e43f41064e@inbound.aiesec.org</t>
  </si>
  <si>
    <t>2023-10-25T17:36:15Z</t>
  </si>
  <si>
    <t>5364802_1291869</t>
  </si>
  <si>
    <t>İsmail Emircan Durgut</t>
  </si>
  <si>
    <t>p_1d4e1bfd57ab525ed8744c7ffb5d583c822f1f78@inbound.aiesec.org</t>
  </si>
  <si>
    <t>2023-11-01T10:38:50Z</t>
  </si>
  <si>
    <t>5365139_1287966</t>
  </si>
  <si>
    <t>Nour Kahlaoui</t>
  </si>
  <si>
    <t>p_0ce0ea73656cf795bc6eebf5ada1680da4ff395e@inbound.aiesec.org</t>
  </si>
  <si>
    <t>2023-11-01T16:21:30Z</t>
  </si>
  <si>
    <t>5270854_1299995</t>
  </si>
  <si>
    <t>https://expa.aiesec.org/opportunities/1299995</t>
  </si>
  <si>
    <t>Sales&amp;Export Intern in Erbir Company</t>
  </si>
  <si>
    <t>5353801_1300558</t>
  </si>
  <si>
    <t>Salaheddine Aitbenhabib</t>
  </si>
  <si>
    <t>p_13bcb3584346ad0ee02f938cc305ef8712928fc9@inbound.aiesec.org</t>
  </si>
  <si>
    <t>https://expa.aiesec.org/opportunities/1300558</t>
  </si>
  <si>
    <t>2023-10-17T16:46:41Z</t>
  </si>
  <si>
    <t>5360638_1297157</t>
  </si>
  <si>
    <t>İkra Ceren Kahya</t>
  </si>
  <si>
    <t>p_27718569a1001544be22b792478d55e8316d06e7@inbound.aiesec.org</t>
  </si>
  <si>
    <t>https://expa.aiesec.org/opportunities/1297157</t>
  </si>
  <si>
    <t>2023-10-26T09:14:38Z</t>
  </si>
  <si>
    <t>5364298_1295453</t>
  </si>
  <si>
    <t>Salma Amir</t>
  </si>
  <si>
    <t>p_3f6bd5841cdfec4d2767d2eb5c523bdc62a8f5cc@inbound.aiesec.org</t>
  </si>
  <si>
    <t>CIC New Cairo</t>
  </si>
  <si>
    <t>2023-10-31T15:12:18Z</t>
  </si>
  <si>
    <t>5355709_1286839</t>
  </si>
  <si>
    <t>Chayma Ben alia</t>
  </si>
  <si>
    <t>p_da7f8062a12b1e4287147e4c2611b4e2bcdec487@inbound.aiesec.org</t>
  </si>
  <si>
    <t>IMSET Tunis</t>
  </si>
  <si>
    <t>2023-10-19T17:21:52Z</t>
  </si>
  <si>
    <t>5365875_1296234</t>
  </si>
  <si>
    <t>Ranya Abderrazek</t>
  </si>
  <si>
    <t>p_2725717d91811b9a5aea587455107292a933ad77@inbound.aiesec.org</t>
  </si>
  <si>
    <t>2023-11-02T15:37:28Z</t>
  </si>
  <si>
    <t>5365757_1279126</t>
  </si>
  <si>
    <t>Mayssa Aridhi</t>
  </si>
  <si>
    <t>p_2feba839b93b00e2682fd35c368efe89561d0c76@inbound.aiesec.org</t>
  </si>
  <si>
    <t>2023-11-02T13:11:51Z</t>
  </si>
  <si>
    <t>5245329_1286326</t>
  </si>
  <si>
    <t>Maha Ben Khalifa</t>
  </si>
  <si>
    <t>p_5a13c68d31ba9539fba7cfa2cba775fa806738fb@inbound.aiesec.org</t>
  </si>
  <si>
    <t>2023-04-19T12:52:24Z</t>
  </si>
  <si>
    <t>5364444_1297781</t>
  </si>
  <si>
    <t>Anna Parfeniuk</t>
  </si>
  <si>
    <t>p_557864c03e2540d95249352e4edf91398ea0776d@inbound.aiesec.org</t>
  </si>
  <si>
    <t>2023-10-31T18:11:52Z</t>
  </si>
  <si>
    <t>5361165_1289347</t>
  </si>
  <si>
    <t>Abdelrahman Abdelkhaliq</t>
  </si>
  <si>
    <t>p_8002a1584d9696e1d14680acbcd7a7975f92813c@inbound.aiesec.org</t>
  </si>
  <si>
    <t>2023-10-26T21:09:10Z</t>
  </si>
  <si>
    <t>5361021_1297112</t>
  </si>
  <si>
    <t>Parwiz Sharifi</t>
  </si>
  <si>
    <t>p_4f76d520ade08d82a50f7d12e25ade6130d6b7be@inbound.aiesec.org</t>
  </si>
  <si>
    <t>2023-10-26T16:53:34Z</t>
  </si>
  <si>
    <t>5340841_1286326</t>
  </si>
  <si>
    <t>Viktoriia Ihoshina</t>
  </si>
  <si>
    <t>p_a62678a2a8fe966712734087e04286766ab1ef6a@inbound.aiesec.org</t>
  </si>
  <si>
    <t>2023-10-03T12:12:40Z</t>
  </si>
  <si>
    <t>5339666_1286326</t>
  </si>
  <si>
    <t>Yuliia Benko</t>
  </si>
  <si>
    <t>p_8b24bf2bb1bec004ee5af351855ac0429bd79a62@inbound.aiesec.org</t>
  </si>
  <si>
    <t>2023-10-02T10:48:12Z</t>
  </si>
  <si>
    <t>5364566_1292715</t>
  </si>
  <si>
    <t>Deniz Torunoğlu</t>
  </si>
  <si>
    <t>p_a3a27675a57a626d6336c5537314ec25072f13e0@inbound.aiesec.org</t>
  </si>
  <si>
    <t>2023-10-31T21:28:03Z</t>
  </si>
  <si>
    <t>5356239_1299121</t>
  </si>
  <si>
    <t>Ceren Uzbay</t>
  </si>
  <si>
    <t>p_140bdf135babad62500e20a44e328c1d4a8c72e6@inbound.aiesec.org</t>
  </si>
  <si>
    <t>https://expa.aiesec.org/opportunities/1299121</t>
  </si>
  <si>
    <t>2023-10-20T14:11:09Z</t>
  </si>
  <si>
    <t>5366377_1300628</t>
  </si>
  <si>
    <t>Sude Tiftik</t>
  </si>
  <si>
    <t>p_4709d6418b8fbda239bb1ccc7b6b7247cb666060@inbound.aiesec.org</t>
  </si>
  <si>
    <t>2023-11-03T14:25:19Z</t>
  </si>
  <si>
    <t>5329985_1298770</t>
  </si>
  <si>
    <t>Amira Nouira</t>
  </si>
  <si>
    <t>p_5377d876b24df6fb434d157819cc67e47bda899f@inbound.aiesec.org</t>
  </si>
  <si>
    <t>2023-09-22T12:52:07Z</t>
  </si>
  <si>
    <t>5358476_1284670</t>
  </si>
  <si>
    <t>Ləman Lələkişiyeva</t>
  </si>
  <si>
    <t>p_85d3a7261e9a95bd1f1d97acebd8d7383de8fde3@inbound.aiesec.org</t>
  </si>
  <si>
    <t>Azerbaijan State Academy of Physical Education and Sport</t>
  </si>
  <si>
    <t>2023-10-24T05:12:33Z</t>
  </si>
  <si>
    <t>5107038_1298282</t>
  </si>
  <si>
    <t>Menna El Safty</t>
  </si>
  <si>
    <t>p_387fa3b53feed392019ae2cd8899ef4bb0b92e8d@inbound.aiesec.org</t>
  </si>
  <si>
    <t>2022-09-07T11:10:24Z</t>
  </si>
  <si>
    <t>5346247_1295453</t>
  </si>
  <si>
    <t>Yasmin Hesham</t>
  </si>
  <si>
    <t>p_ada518d686c38e9bb8a59fe575b0ec094fea63be@inbound.aiesec.org</t>
  </si>
  <si>
    <t>2023-10-09T09:17:45Z</t>
  </si>
  <si>
    <t>5361395_1298372</t>
  </si>
  <si>
    <t>Bayram Mert kaşlıoğlu</t>
  </si>
  <si>
    <t>p_0ace86c2e6c1aa4002da174ea2529d944ef168d3@inbound.aiesec.org</t>
  </si>
  <si>
    <t>https://expa.aiesec.org/opportunities/1298372</t>
  </si>
  <si>
    <t>2023-10-27T11:05:33Z</t>
  </si>
  <si>
    <t>5355255_1286326</t>
  </si>
  <si>
    <t>Ali Hassan</t>
  </si>
  <si>
    <t>p_513d7c973411f7a0b7e0ec322f32bc770d553f09@inbound.aiesec.org</t>
  </si>
  <si>
    <t>Dilmun</t>
  </si>
  <si>
    <t>2023-10-19T09:20:00Z</t>
  </si>
  <si>
    <t>5357066_1286034</t>
  </si>
  <si>
    <t>Yathharth karanjikar</t>
  </si>
  <si>
    <t>p_7e59fa26bafacea1eeadfcc5264bfcab454854d5@inbound.aiesec.org</t>
  </si>
  <si>
    <t>2023-10-22T10:00:13Z</t>
  </si>
  <si>
    <t>5366518_1291866</t>
  </si>
  <si>
    <t>Ayşegül Arslan</t>
  </si>
  <si>
    <t>p_7c189915f84bec2e45f0c6e8772bfbe4e038a79f@inbound.aiesec.org</t>
  </si>
  <si>
    <t>https://expa.aiesec.org/opportunities/1291866</t>
  </si>
  <si>
    <t>2023-11-03T19:18:03Z</t>
  </si>
  <si>
    <t>5209736_1288721</t>
  </si>
  <si>
    <t>Oumaima El baz</t>
  </si>
  <si>
    <t>p_65e5220bd2fba46f0c0a80bf9b7681591b5b7782@inbound.aiesec.org</t>
  </si>
  <si>
    <t>2023-03-08T12:37:55Z</t>
  </si>
  <si>
    <t>5038966_1277661</t>
  </si>
  <si>
    <t>Mohammed Wahibi</t>
  </si>
  <si>
    <t>p_22231d629cd3c8589b9240fc1fab62da3357a29f@inbound.aiesec.org</t>
  </si>
  <si>
    <t>FLSH Mohammadia</t>
  </si>
  <si>
    <t>2022-04-14T12:08:33Z</t>
  </si>
  <si>
    <t>5357966_1294418</t>
  </si>
  <si>
    <t>Halit Yılmaz</t>
  </si>
  <si>
    <t>p_3045a2f2ad14e0f0d0e8b7efb1705624fea08dc5@inbound.aiesec.org</t>
  </si>
  <si>
    <t>2023-10-23T14:13:09Z</t>
  </si>
  <si>
    <t>4605695_1280973</t>
  </si>
  <si>
    <t>Aigerim Kenes</t>
  </si>
  <si>
    <t>p_b545e30f4f5fa28b9407d1412ce54540e5dd81a2@inbound.aiesec.org</t>
  </si>
  <si>
    <t>2021-04-04T16:28:05Z</t>
  </si>
  <si>
    <t>5119844_1279126</t>
  </si>
  <si>
    <t>Salma Amkadi</t>
  </si>
  <si>
    <t>p_7e1239cf5431eec8114a96efb50539f4a831dd9f@inbound.aiesec.org</t>
  </si>
  <si>
    <t>FMP Fès</t>
  </si>
  <si>
    <t>2022-09-26T14:55:56Z</t>
  </si>
  <si>
    <t>4956773_1279126</t>
  </si>
  <si>
    <t>Manal Bounoua</t>
  </si>
  <si>
    <t>p_4842aa1bba5ec9f7f30a34a6d6ea8195bdfbd1ca@inbound.aiesec.org</t>
  </si>
  <si>
    <t>2022-03-01T16:02:22Z</t>
  </si>
  <si>
    <t>5356866_1284670</t>
  </si>
  <si>
    <t>Mohamed El Mamoune Askri</t>
  </si>
  <si>
    <t>p_4704fc4401ba72b57c97e32b2ac1fa747521b377@inbound.aiesec.org</t>
  </si>
  <si>
    <t>2023-10-21T22:28:37Z</t>
  </si>
  <si>
    <t>5359177_1300056</t>
  </si>
  <si>
    <t>Flavius-Cristian Bârsan</t>
  </si>
  <si>
    <t>p_fe680dd3cd94283e9c72995dd37c6ab12a6dd8c0@inbound.aiesec.org</t>
  </si>
  <si>
    <t>2023-10-24T14:27:01Z</t>
  </si>
  <si>
    <t>5354866_1289536</t>
  </si>
  <si>
    <t>Divya Bherwani</t>
  </si>
  <si>
    <t>p_b3d3a8c10db70a46ab66cf057b254d55408829de@inbound.aiesec.org</t>
  </si>
  <si>
    <t>2023-10-18T16:44:31Z</t>
  </si>
  <si>
    <t>3396844_1300056</t>
  </si>
  <si>
    <t>Jihen Issaoui</t>
  </si>
  <si>
    <t>p_3906828e0a20866c731ac3b04bbe06b4c66ce1e4@inbound.aiesec.org</t>
  </si>
  <si>
    <t>2019-05-04T20:08:50Z</t>
  </si>
  <si>
    <t>5366705_1286326</t>
  </si>
  <si>
    <t>Mariana Kit</t>
  </si>
  <si>
    <t>p_60e68c20ee0be4b6b38d1897e31b146cd2d434c9@inbound.aiesec.org</t>
  </si>
  <si>
    <t>2023-11-04T10:39:37Z</t>
  </si>
  <si>
    <t>5362781_1284670</t>
  </si>
  <si>
    <t>Anhelina Parkhomova</t>
  </si>
  <si>
    <t>p_a14b8375d683161d8a686f7e00d029bfdcc41fe7@inbound.aiesec.org</t>
  </si>
  <si>
    <t>2023-10-29T14:34:32Z</t>
  </si>
  <si>
    <t>5229019_1299605</t>
  </si>
  <si>
    <t>İbrahim Çolpan</t>
  </si>
  <si>
    <t>p_af4ad968fa39d9115d79a5226fcac3149915a67d@inbound.aiesec.org</t>
  </si>
  <si>
    <t>2023-03-28T13:17:03Z</t>
  </si>
  <si>
    <t>5356424_1300175</t>
  </si>
  <si>
    <t>İzem Yeğit</t>
  </si>
  <si>
    <t>p_d0fece728b7abfdeb6d35e0b80a3533e2aac4d79@inbound.aiesec.org</t>
  </si>
  <si>
    <t>https://expa.aiesec.org/opportunities/1300175</t>
  </si>
  <si>
    <t>2023-10-20T20:37:49Z</t>
  </si>
  <si>
    <t>5358157_1284670</t>
  </si>
  <si>
    <t>Nour El Houda NESBA</t>
  </si>
  <si>
    <t>p_74daafba2c0f844c80829ff0d54cb2e65d706e20@inbound.aiesec.org</t>
  </si>
  <si>
    <t>2023-10-23T16:26:59Z</t>
  </si>
  <si>
    <t>5366779_1295893</t>
  </si>
  <si>
    <t>Yulia Holub</t>
  </si>
  <si>
    <t>p_450002c279f8f136aa33a8254c4355339567e767@inbound.aiesec.org</t>
  </si>
  <si>
    <t xml:space="preserve">Lutsk </t>
  </si>
  <si>
    <t>2023-11-04T13:52:29Z</t>
  </si>
  <si>
    <t>5178652_1299121</t>
  </si>
  <si>
    <t>5090245_1294584</t>
  </si>
  <si>
    <t>Khrystyna Pankiv</t>
  </si>
  <si>
    <t>p_c8b72ba892a813aa8399d87453da7c49c466515c@inbound.aiesec.org</t>
  </si>
  <si>
    <t>2022-08-06T11:06:55Z</t>
  </si>
  <si>
    <t>5311941_1286326</t>
  </si>
  <si>
    <t>5367297_1286326</t>
  </si>
  <si>
    <t>Romaniia Kotula</t>
  </si>
  <si>
    <t>p_f30e42b985d43d4b7ddb54fb3e868162443f3101@inbound.aiesec.org</t>
  </si>
  <si>
    <t>2023-11-05T19:21:09Z</t>
  </si>
  <si>
    <t>5365257_1300056</t>
  </si>
  <si>
    <t>Cezara Andrada Popa</t>
  </si>
  <si>
    <t>p_d5931cc1963e9d8a62cf6a4857eddadf57bac417@inbound.aiesec.org</t>
  </si>
  <si>
    <t>Targu Mures</t>
  </si>
  <si>
    <t>2023-11-01T18:53:19Z</t>
  </si>
  <si>
    <t>5331158_1259741</t>
  </si>
  <si>
    <t>Mariam Mostafa</t>
  </si>
  <si>
    <t>p_7b944bd372ed0fc4911632a753b8b390af7bdd93@inbound.aiesec.org</t>
  </si>
  <si>
    <t>2023-09-24T10:24:18Z</t>
  </si>
  <si>
    <t>5367735_1296671</t>
  </si>
  <si>
    <t>Cyrine Gharbi</t>
  </si>
  <si>
    <t>p_6c6594e4a6ac2da5de7585f1a2e4ddbe4566837f@inbound.aiesec.org</t>
  </si>
  <si>
    <t>2023-11-06T16:18:01Z</t>
  </si>
  <si>
    <t>5347524_1288843</t>
  </si>
  <si>
    <t>Miray Tezel</t>
  </si>
  <si>
    <t>p_b682fce2d0f0ab8bfc9d33b87d3cc61fbe6cec1f@inbound.aiesec.org</t>
  </si>
  <si>
    <t>2023-10-10T09:39:39Z</t>
  </si>
  <si>
    <t>5357343_1295874</t>
  </si>
  <si>
    <t>Elif Gülen Çakıcı</t>
  </si>
  <si>
    <t>p_575fc876955d65b521275e3061819c70f01f59e4@inbound.aiesec.org</t>
  </si>
  <si>
    <t>2023-10-22T16:43:25Z</t>
  </si>
  <si>
    <t>5367720_1290292</t>
  </si>
  <si>
    <t>Armağan Akartuna</t>
  </si>
  <si>
    <t>p_63c3d04aff2ef6cc1e04cff53310e51b5b66ea1b@inbound.aiesec.org</t>
  </si>
  <si>
    <t>https://expa.aiesec.org/opportunities/1290292</t>
  </si>
  <si>
    <t>2023-11-06T15:58:06Z</t>
  </si>
  <si>
    <t>5367535_1300628</t>
  </si>
  <si>
    <t>Ümran Gürbüz</t>
  </si>
  <si>
    <t>p_f0e683f573349d836359512824c169ddd0bdde2e@inbound.aiesec.org</t>
  </si>
  <si>
    <t>2023-11-06T12:14:39Z</t>
  </si>
  <si>
    <t>5367162_1299358</t>
  </si>
  <si>
    <t>Gülfem MELEK</t>
  </si>
  <si>
    <t>p_03e0823a8c479fd2aba625155c3617bdf0ec7186@inbound.aiesec.org</t>
  </si>
  <si>
    <t>https://expa.aiesec.org/opportunities/1299358</t>
  </si>
  <si>
    <t>2023-11-05T12:39:56Z</t>
  </si>
  <si>
    <t>5367838_1299665</t>
  </si>
  <si>
    <t>Rouaa Haouachi</t>
  </si>
  <si>
    <t>p_8cd447a7c53d8dff28e4d4bcd95e5c075dd40988@inbound.aiesec.org</t>
  </si>
  <si>
    <t>2023-11-06T19:20:40Z</t>
  </si>
  <si>
    <t>5367504_1279126</t>
  </si>
  <si>
    <t>Rima Ardhaoui</t>
  </si>
  <si>
    <t>p_eab74a30bae4f7390ad52615ecbe2df49e00ef42@inbound.aiesec.org</t>
  </si>
  <si>
    <t>2023-11-06T11:08:13Z</t>
  </si>
  <si>
    <t>5366363_1300287</t>
  </si>
  <si>
    <t>Rüveyda Kula</t>
  </si>
  <si>
    <t>p_f90adf98ca5329c0f255d5a470f393a559a2710d@inbound.aiesec.org</t>
  </si>
  <si>
    <t>https://expa.aiesec.org/opportunities/1300287</t>
  </si>
  <si>
    <t>2023-11-03T14:01:39Z</t>
  </si>
  <si>
    <t>5364313_1295453</t>
  </si>
  <si>
    <t>Chaima Mzid</t>
  </si>
  <si>
    <t>p_f4924d37c4ac723a0b2cc8907d7b290587d3dc1f@inbound.aiesec.org</t>
  </si>
  <si>
    <t>2023-10-31T15:38:59Z</t>
  </si>
  <si>
    <t>5275267_1300091</t>
  </si>
  <si>
    <t>5337169_1297781</t>
  </si>
  <si>
    <t>Milana Tieliepova</t>
  </si>
  <si>
    <t>p_6cd38ce0a2db0fe524d9c9abe3d5f59c14639485@inbound.aiesec.org</t>
  </si>
  <si>
    <t>2023-09-29T09:14:24Z</t>
  </si>
  <si>
    <t>5368156_1288609</t>
  </si>
  <si>
    <t>Ebrar Bozkurt</t>
  </si>
  <si>
    <t>p_321bc0f239ff44d18d9fe0ce56a5ab9a0bb73072@inbound.aiesec.org</t>
  </si>
  <si>
    <t>2023-11-07T11:03:09Z</t>
  </si>
  <si>
    <t>5148089_1296234</t>
  </si>
  <si>
    <t>Sara Bchini</t>
  </si>
  <si>
    <t>p_ebb8f233d93a99f9ad1b25652d2f6de59e0d7cca@inbound.aiesec.org</t>
  </si>
  <si>
    <t>2022-11-06T23:30:19Z</t>
  </si>
  <si>
    <t>5204872_1300624</t>
  </si>
  <si>
    <t>Roksolana Kozachok</t>
  </si>
  <si>
    <t>p_5010e46f07591a32b58083e1bae8bcbd62ee81b6@inbound.aiesec.org</t>
  </si>
  <si>
    <t>https://expa.aiesec.org/opportunities/1300624</t>
  </si>
  <si>
    <t>2023-03-03T18:12:26Z</t>
  </si>
  <si>
    <t>5367795_1291989</t>
  </si>
  <si>
    <t>Hedil Ben Salem</t>
  </si>
  <si>
    <t>p_e73a1f5579102b48aa04ca185e3363ecc91dec25@inbound.aiesec.org</t>
  </si>
  <si>
    <t>2023-11-06T17:43:47Z</t>
  </si>
  <si>
    <t>5353557_1300177</t>
  </si>
  <si>
    <t>Salma Metwally</t>
  </si>
  <si>
    <t>p_7c484201109b2e008cab29126431764fc1af811a@inbound.aiesec.org</t>
  </si>
  <si>
    <t>https://expa.aiesec.org/opportunities/1300177</t>
  </si>
  <si>
    <t>2023-10-17T11:45:03Z</t>
  </si>
  <si>
    <t>5367470_1279126</t>
  </si>
  <si>
    <t>Mayssem Laalai</t>
  </si>
  <si>
    <t>p_b8f7ebfc7f8e429062d33b5b57756ecd86e03d0a@inbound.aiesec.org</t>
  </si>
  <si>
    <t>2023-11-06T10:00:22Z</t>
  </si>
  <si>
    <t>4974143_1300752</t>
  </si>
  <si>
    <t>Melike Çakır</t>
  </si>
  <si>
    <t>p_2817e7801d63a6d117147d217cf3945e2a3616b7@inbound.aiesec.org</t>
  </si>
  <si>
    <t>https://expa.aiesec.org/opportunities/1300752</t>
  </si>
  <si>
    <t>Turkish Teacher</t>
  </si>
  <si>
    <t>2022-03-09T14:35:47Z</t>
  </si>
  <si>
    <t>3882457_1293417</t>
  </si>
  <si>
    <t>Jimy Sanchez</t>
  </si>
  <si>
    <t>p_588a09a08ef63b1ff6bf1e7a62106c28f4b8e401@inbound.aiesec.org</t>
  </si>
  <si>
    <t>Cusco</t>
  </si>
  <si>
    <t>Cusco - Universidad Andina del Cusco</t>
  </si>
  <si>
    <t>2019-10-08T20:00:05Z</t>
  </si>
  <si>
    <t>5326926_1300841</t>
  </si>
  <si>
    <t>Oumaïma Banani</t>
  </si>
  <si>
    <t>p_84e3fd96efb7bdfc0842f0126c58f4899cbe07d3@inbound.aiesec.org</t>
  </si>
  <si>
    <t>https://expa.aiesec.org/opportunities/1300841</t>
  </si>
  <si>
    <t>2023-09-18T18:38:46Z</t>
  </si>
  <si>
    <t>5164735_1288490</t>
  </si>
  <si>
    <t>Duangamol Photarakul</t>
  </si>
  <si>
    <t>p_c99cb7c6316004e492997d41c9979c38a35c671a@inbound.aiesec.org</t>
  </si>
  <si>
    <t>2022-12-10T03:41:13Z</t>
  </si>
  <si>
    <t>5369342_1286034</t>
  </si>
  <si>
    <t>omar bouhaja</t>
  </si>
  <si>
    <t>p_0e724d0d994fa1561fd03c467c180d228983ba76@inbound.aiesec.org</t>
  </si>
  <si>
    <t>2023-11-08T22:07:39Z</t>
  </si>
  <si>
    <t>5369555_1286326</t>
  </si>
  <si>
    <t>Ameni Abdaoui</t>
  </si>
  <si>
    <t>p_3549178d16148e3cc918a8145aa2d6127e895e7e@inbound.aiesec.org</t>
  </si>
  <si>
    <t>2023-11-09T09:14:21Z</t>
  </si>
  <si>
    <t>5368250_1297781</t>
  </si>
  <si>
    <t>Alina Velychko</t>
  </si>
  <si>
    <t>p_a30f62b0cc02eeb96b056a13ef2f47b63046faf0@inbound.aiesec.org</t>
  </si>
  <si>
    <t>2023-11-07T13:14:32Z</t>
  </si>
  <si>
    <t>3382600_1288843</t>
  </si>
  <si>
    <t>p_8dff88d8f83a379b0bd8b96cbf52a95ec78077c6@inbound.aiesec.org</t>
  </si>
  <si>
    <t>2019-04-30T07:03:24Z</t>
  </si>
  <si>
    <t>5366428_1291395</t>
  </si>
  <si>
    <t>rabia zeren</t>
  </si>
  <si>
    <t>p_7415ede650046fbd0b234dc8af89eab162ab1a9d@inbound.aiesec.org</t>
  </si>
  <si>
    <t>2023-11-03T16:15:11Z</t>
  </si>
  <si>
    <t>5342322_1298612</t>
  </si>
  <si>
    <t>Emanuel Herrera Alvarez</t>
  </si>
  <si>
    <t>p_249c3782b4f29a0e308143bce218a39d764011e4@inbound.aiesec.org</t>
  </si>
  <si>
    <t>CENTRAL</t>
  </si>
  <si>
    <t>https://expa.aiesec.org/opportunities/1298612</t>
  </si>
  <si>
    <t>Bogotá - Universidad Central</t>
  </si>
  <si>
    <t>2023-10-04T13:10:09Z</t>
  </si>
  <si>
    <t>5367199_1288843</t>
  </si>
  <si>
    <t>Esra Kılıç</t>
  </si>
  <si>
    <t>p_e0fb725d96dbb15850607e0db54aeaef6fde51c0@inbound.aiesec.org</t>
  </si>
  <si>
    <t>2023-11-05T14:24:11Z</t>
  </si>
  <si>
    <t>5366978_1300624</t>
  </si>
  <si>
    <t>fatma hussien</t>
  </si>
  <si>
    <t>p_4e2ae1955dd91ca43de2e655f7f3bea9029001d8@inbound.aiesec.org</t>
  </si>
  <si>
    <t>2023-11-04T19:58:08Z</t>
  </si>
  <si>
    <t>5366991_1300624</t>
  </si>
  <si>
    <t>Mariam Ahmed</t>
  </si>
  <si>
    <t>p_8fde15c3deae4d2ca3424d506c0805b54d3cfa96@inbound.aiesec.org</t>
  </si>
  <si>
    <t>2023-11-04T21:01:02Z</t>
  </si>
  <si>
    <t>3135177_1300624</t>
  </si>
  <si>
    <t>Manel Lamloum</t>
  </si>
  <si>
    <t>p_d8fb2928cc7559c0ddab8e70da6da0d1ccf28ad5@inbound.aiesec.org</t>
  </si>
  <si>
    <t>2019-03-03T12:54:06Z</t>
  </si>
  <si>
    <t>5369197_1298818</t>
  </si>
  <si>
    <t>Yusif Mursalov</t>
  </si>
  <si>
    <t>p_a13dbf1213528ac38d5aac2692e9781126ed2302@inbound.aiesec.org</t>
  </si>
  <si>
    <t>https://expa.aiesec.org/opportunities/1298818</t>
  </si>
  <si>
    <t>2023-11-08T17:54:24Z</t>
  </si>
  <si>
    <t>5360737_1296325</t>
  </si>
  <si>
    <t>Prateek Mazumdar</t>
  </si>
  <si>
    <t>p_eefaf31a451113a11b6a2429efdec522d06f7edc@inbound.aiesec.org</t>
  </si>
  <si>
    <t>2023-10-26T11:01:47Z</t>
  </si>
  <si>
    <t>5360303_1297990</t>
  </si>
  <si>
    <t>Karan Sharma</t>
  </si>
  <si>
    <t>p_18fa079a927d0ab30889f9428c82fab1dfd36bd0@inbound.aiesec.org</t>
  </si>
  <si>
    <t>IIT Delhi</t>
  </si>
  <si>
    <t>2023-10-25T18:37:03Z</t>
  </si>
  <si>
    <t>4976563_1301049</t>
  </si>
  <si>
    <t>https://expa.aiesec.org/opportunities/1301049</t>
  </si>
  <si>
    <t>Tac Language School/ English Teacher</t>
  </si>
  <si>
    <t>5369962_1286034</t>
  </si>
  <si>
    <t>Nagham Elaskri</t>
  </si>
  <si>
    <t>p_bcd89ac58945ff26c8f0e3d59c90bf2d50a5f388@inbound.aiesec.org</t>
  </si>
  <si>
    <t>2023-11-09T19:45:40Z</t>
  </si>
  <si>
    <t>5367494_1291989</t>
  </si>
  <si>
    <t>p_b9ea9ec8a9ab96d4440f71fad215ee909669a82f@inbound.aiesec.org</t>
  </si>
  <si>
    <t>2023-11-06T10:45:51Z</t>
  </si>
  <si>
    <t>5365694_1286034</t>
  </si>
  <si>
    <t>Madalina Filiuta</t>
  </si>
  <si>
    <t>p_9594823142c6a5036d14821973923e88ff867334@inbound.aiesec.org</t>
  </si>
  <si>
    <t>2023-11-02T12:15:50Z</t>
  </si>
  <si>
    <t>5363038_1295095</t>
  </si>
  <si>
    <t>Buse Aksoy</t>
  </si>
  <si>
    <t>p_056b67914e786193c6661d75abd761c2eb660359@inbound.aiesec.org</t>
  </si>
  <si>
    <t>https://expa.aiesec.org/opportunities/1295095</t>
  </si>
  <si>
    <t>2023-10-29T18:12:28Z</t>
  </si>
  <si>
    <t>5365150_1289347</t>
  </si>
  <si>
    <t>Salma Alaa</t>
  </si>
  <si>
    <t>p_48d1861b340cbb4c36fb063f3d5edc1048834e28@inbound.aiesec.org</t>
  </si>
  <si>
    <t>Market expansion</t>
  </si>
  <si>
    <t>2023-11-01T16:32:54Z</t>
  </si>
  <si>
    <t>5366884_1288609</t>
  </si>
  <si>
    <t>İlayda Kurt</t>
  </si>
  <si>
    <t>p_d23ae702190dd172e8d9c69cfff44ec9e74c80e7@inbound.aiesec.org</t>
  </si>
  <si>
    <t>2023-11-04T16:42:13Z</t>
  </si>
  <si>
    <t>5370374_1284485</t>
  </si>
  <si>
    <t>medine yüksel</t>
  </si>
  <si>
    <t>p_6a9e1a4efb2eac47601b0f7281f7ffc6dd64e725@inbound.aiesec.org</t>
  </si>
  <si>
    <t>2023-11-10T14:57:49Z</t>
  </si>
  <si>
    <t>5330454_1289255</t>
  </si>
  <si>
    <t>Eya TARHOUNI</t>
  </si>
  <si>
    <t>p_d00872899fa45f64944d0390340ab9f41f1bd98b@inbound.aiesec.org</t>
  </si>
  <si>
    <t>2023-09-23T09:58:41Z</t>
  </si>
  <si>
    <t>5345116_1289757</t>
  </si>
  <si>
    <t>Nida Aydın</t>
  </si>
  <si>
    <t>p_d688f0306a8b1f5a0f3875eca50cc9fa924cae02@inbound.aiesec.org</t>
  </si>
  <si>
    <t>https://expa.aiesec.org/opportunities/1289757</t>
  </si>
  <si>
    <t>2023-10-07T15:46:03Z</t>
  </si>
  <si>
    <t>5364580_1280872</t>
  </si>
  <si>
    <t>Mahdi Khediri</t>
  </si>
  <si>
    <t>p_6e7793f452d891611f37677eefabbd9e3fb7526b@inbound.aiesec.org</t>
  </si>
  <si>
    <t>2023-10-31T22:03:18Z</t>
  </si>
  <si>
    <t>5368297_1298284</t>
  </si>
  <si>
    <t>Oksana Stakhiv</t>
  </si>
  <si>
    <t>p_e155acd7171f8b63625751f1602a0547b9dd4e1f@inbound.aiesec.org</t>
  </si>
  <si>
    <t>2023-11-07T14:21:05Z</t>
  </si>
  <si>
    <t>5366992_1272564</t>
  </si>
  <si>
    <t>Andreea Olaru</t>
  </si>
  <si>
    <t>p_67d2cd70fd17b270e74ea297413779b1e6773834@inbound.aiesec.org</t>
  </si>
  <si>
    <t>2023-11-04T21:01:46Z</t>
  </si>
  <si>
    <t>5366657_1296105</t>
  </si>
  <si>
    <t>Dariya Assylbek</t>
  </si>
  <si>
    <t>p_cfe4eb29df9c4c19b118c616295584d51eb4ec5b@inbound.aiesec.org</t>
  </si>
  <si>
    <t>2023-11-04T07:29:12Z</t>
  </si>
  <si>
    <t>5370755_1284670</t>
  </si>
  <si>
    <t>yasmine ben ftima</t>
  </si>
  <si>
    <t>p_5b1cd4e9c38670d067bf166b56934526fcf26b57@inbound.aiesec.org</t>
  </si>
  <si>
    <t>2023-11-11T13:05:49Z</t>
  </si>
  <si>
    <t>5370518_1286326</t>
  </si>
  <si>
    <t>Karina Sobko</t>
  </si>
  <si>
    <t>p_e98c90d672e4d478fc8af5847d1264fb7542ffa9@inbound.aiesec.org</t>
  </si>
  <si>
    <t>2023-11-10T18:58:42Z</t>
  </si>
  <si>
    <t>5366690_1285687</t>
  </si>
  <si>
    <t>Bohdana Batsko</t>
  </si>
  <si>
    <t>p_c891b0022dd8ab583f3f41c2e7abae5590a8504e@inbound.aiesec.org</t>
  </si>
  <si>
    <t>2023-11-04T09:38:25Z</t>
  </si>
  <si>
    <t>5366412_1300624</t>
  </si>
  <si>
    <t>Shyamal De Silva</t>
  </si>
  <si>
    <t>p_9cbbc27b0ecc446abcd6e73eeeb2f956698d0a38@inbound.aiesec.org</t>
  </si>
  <si>
    <t>University of Moratuwa</t>
  </si>
  <si>
    <t>2023-11-03T15:38:00Z</t>
  </si>
  <si>
    <t>5355292_1281195</t>
  </si>
  <si>
    <t>Khaled Kaddeche</t>
  </si>
  <si>
    <t>p_280fd246a81f4f81999a122eb7dc47f8b44f8636@inbound.aiesec.org</t>
  </si>
  <si>
    <t>2023-10-19T09:53:53Z</t>
  </si>
  <si>
    <t>5352410_1298282</t>
  </si>
  <si>
    <t>Dalal Meliani</t>
  </si>
  <si>
    <t>p_ed9bd5569048279a6c32d01197d275a7824f49bd@inbound.aiesec.org</t>
  </si>
  <si>
    <t>2023-10-15T18:24:18Z</t>
  </si>
  <si>
    <t>5309237_1295893</t>
  </si>
  <si>
    <t>5139131_1300558</t>
  </si>
  <si>
    <t>Fouad Boufenneche</t>
  </si>
  <si>
    <t>p_dc45ae17d99d3680418901af37337a64a2cdd8db@inbound.aiesec.org</t>
  </si>
  <si>
    <t>+213540823347</t>
  </si>
  <si>
    <t>2022-10-23T19:36:49Z</t>
  </si>
  <si>
    <t>5370894_1284670</t>
  </si>
  <si>
    <t>Hiba ben lamine</t>
  </si>
  <si>
    <t>p_34a7ec19305eb12ccfda90de5feda8e3bef0a8ed@inbound.aiesec.org</t>
  </si>
  <si>
    <t>2023-11-11T21:01:17Z</t>
  </si>
  <si>
    <t>5370994_1284670</t>
  </si>
  <si>
    <t>yasmine sassi</t>
  </si>
  <si>
    <t>p_7ed26de80096bf2810aa78158fc1ef2dba185ccd@inbound.aiesec.org</t>
  </si>
  <si>
    <t>2023-11-12T10:12:02Z</t>
  </si>
  <si>
    <t>5370897_1287132</t>
  </si>
  <si>
    <t>Ali Idoulhane</t>
  </si>
  <si>
    <t>p_f08eb18334e3eb851920ddb92ef06c1e6b569da5@inbound.aiesec.org</t>
  </si>
  <si>
    <t>2023-11-11T21:16:06Z</t>
  </si>
  <si>
    <t>5276989_1296328</t>
  </si>
  <si>
    <t>Nadine Zidan</t>
  </si>
  <si>
    <t>p_4892253329b528e9c3a0f38b8ab9c69ceba29361@inbound.aiesec.org</t>
  </si>
  <si>
    <t>2023-06-19T10:18:52Z</t>
  </si>
  <si>
    <t>5326862_1298737</t>
  </si>
  <si>
    <t>Chaymae Kahouaji</t>
  </si>
  <si>
    <t>p_51c1292fe50571b3caaee85ff4a80a6796641a97@inbound.aiesec.org</t>
  </si>
  <si>
    <t>https://expa.aiesec.org/opportunities/1298737</t>
  </si>
  <si>
    <t>2023-09-18T17:24:06Z</t>
  </si>
  <si>
    <t>5371150_1294166</t>
  </si>
  <si>
    <t>Merve Durgu</t>
  </si>
  <si>
    <t>p_23bd423be8b5c148ab5fac9dc286005e34a4245c@inbound.aiesec.org</t>
  </si>
  <si>
    <t>https://expa.aiesec.org/opportunities/1294166</t>
  </si>
  <si>
    <t>2023-11-12T17:21:52Z</t>
  </si>
  <si>
    <t>5371808_1289536</t>
  </si>
  <si>
    <t>Mariem Ben hafsia</t>
  </si>
  <si>
    <t>p_6419eec14ca86b04a237b7202622b82fd720d314@inbound.aiesec.org</t>
  </si>
  <si>
    <t>2023-11-13T18:19:01Z</t>
  </si>
  <si>
    <t>5371626_1292535</t>
  </si>
  <si>
    <t>Fourat Sellami</t>
  </si>
  <si>
    <t>p_10a099c75c704c488dcba1064b6d77419ee4dea5@inbound.aiesec.org</t>
  </si>
  <si>
    <t>2023-11-13T14:40:12Z</t>
  </si>
  <si>
    <t>5371589_1289347</t>
  </si>
  <si>
    <t>sekri yoser</t>
  </si>
  <si>
    <t>p_1dd8c5d9734dcc59f0aabc50bda53a63d73280f5@inbound.aiesec.org</t>
  </si>
  <si>
    <t>2023-11-13T13:42:30Z</t>
  </si>
  <si>
    <t>1281043_1298737</t>
  </si>
  <si>
    <t>Dayssem Chourabi</t>
  </si>
  <si>
    <t>p_43d19637167de22bdcf6116a40eee2bb3696c93a@inbound.aiesec.org</t>
  </si>
  <si>
    <t>2016-12-10T10:00:26Z</t>
  </si>
  <si>
    <t>5369478_1283288</t>
  </si>
  <si>
    <t>p_71dc975b83354f682de70c6b5ccd0ec58d564461@inbound.aiesec.org</t>
  </si>
  <si>
    <t>2023-11-09T07:29:35Z</t>
  </si>
  <si>
    <t>4767785_1296670</t>
  </si>
  <si>
    <t>Inna Yakymovych</t>
  </si>
  <si>
    <t>p_0d1e4c9be3aaf2757034c7e7205f2bb1e2468396@inbound.aiesec.org</t>
  </si>
  <si>
    <t>Ternopil</t>
  </si>
  <si>
    <t>2021-10-18T16:06:50Z</t>
  </si>
  <si>
    <t>4942903_1296670</t>
  </si>
  <si>
    <t>Khrystyna Romaniuk</t>
  </si>
  <si>
    <t>p_4d14213867ce5c72cdae7b170bc1fc94cfff57c0@inbound.aiesec.org</t>
  </si>
  <si>
    <t>2022-02-22T14:39:26Z</t>
  </si>
  <si>
    <t>5082597_1300619</t>
  </si>
  <si>
    <t>HASAN DİZMAN</t>
  </si>
  <si>
    <t>p_6a0f3fb3290535ccb9069f0bc290ffa95157efaa@inbound.aiesec.org</t>
  </si>
  <si>
    <t>https://expa.aiesec.org/opportunities/1300619</t>
  </si>
  <si>
    <t>2022-07-14T09:37:05Z</t>
  </si>
  <si>
    <t>5338878_1289347</t>
  </si>
  <si>
    <t>Esraa Elmahdy</t>
  </si>
  <si>
    <t>p_9b9f3a853b741921a5edad1fa664f89b5dd106c4@inbound.aiesec.org</t>
  </si>
  <si>
    <t>Zewail Univeristy</t>
  </si>
  <si>
    <t>2023-10-01T09:24:04Z</t>
  </si>
  <si>
    <t>5359313_1299474</t>
  </si>
  <si>
    <t>REEM ALSABOORI</t>
  </si>
  <si>
    <t>p_9660bf7f3eda4c0c58afcf5c03263fe01edb5de7@inbound.aiesec.org</t>
  </si>
  <si>
    <t>UoB (Art)</t>
  </si>
  <si>
    <t>2023-10-24T17:03:49Z</t>
  </si>
  <si>
    <t>4747550_1277333</t>
  </si>
  <si>
    <t>Ahmed Chalbia</t>
  </si>
  <si>
    <t>p_aeba8b0cbcafccccceda6a5b849d5c8c2e2e5948@inbound.aiesec.org</t>
  </si>
  <si>
    <t>2021-09-24T22:42:02Z</t>
  </si>
  <si>
    <t>5329913_1286236</t>
  </si>
  <si>
    <t>Hasna Benbekai</t>
  </si>
  <si>
    <t>p_0257aff6d7a273ae652c87e50de6bb9405172232@inbound.aiesec.org</t>
  </si>
  <si>
    <t>2023-09-22T10:12:16Z</t>
  </si>
  <si>
    <t>5369453_1299419</t>
  </si>
  <si>
    <t>Iryna Dzhulai</t>
  </si>
  <si>
    <t>p_21c94231e81f40f02d89f5c42773853e740508fc@inbound.aiesec.org</t>
  </si>
  <si>
    <t>Kyiv Universities</t>
  </si>
  <si>
    <t>https://expa.aiesec.org/opportunities/1299419</t>
  </si>
  <si>
    <t>Digital marketing</t>
  </si>
  <si>
    <t>2023-11-09T06:39:46Z</t>
  </si>
  <si>
    <t>5371444_1289757</t>
  </si>
  <si>
    <t>ekin sağıroğlu</t>
  </si>
  <si>
    <t>p_39bf8912e4de9c02aeb8da77ecea8463c1432812@inbound.aiesec.org</t>
  </si>
  <si>
    <t>2023-11-13T11:11:00Z</t>
  </si>
  <si>
    <t>5363097_1289355</t>
  </si>
  <si>
    <t>Inara Jayawardhana</t>
  </si>
  <si>
    <t>p_7b740c1d5ef43b8465f787c633aa1c508d4a2d1e@inbound.aiesec.org</t>
  </si>
  <si>
    <t>2023-10-29T20:10:20Z</t>
  </si>
  <si>
    <t>5372385_1291881</t>
  </si>
  <si>
    <t>Maryem Ammar</t>
  </si>
  <si>
    <t>p_a54e6d625328dfead5f2a477892ca14aa04262cd@inbound.aiesec.org</t>
  </si>
  <si>
    <t>2023-11-14T15:33:20Z</t>
  </si>
  <si>
    <t>5133950_1298284</t>
  </si>
  <si>
    <t>Lamis Bagani</t>
  </si>
  <si>
    <t>p_059b0dd0cd8c48555b71fa00c9bf7a2ab58362a9@inbound.aiesec.org</t>
  </si>
  <si>
    <t>2022-10-16T12:29:59Z</t>
  </si>
  <si>
    <t>5367947_1286034</t>
  </si>
  <si>
    <t>Ecaterina Banica</t>
  </si>
  <si>
    <t>p_a6db3044c16d0374d115920494afc0c4e414abeb@inbound.aiesec.org</t>
  </si>
  <si>
    <t>2023-11-06T23:02:05Z</t>
  </si>
  <si>
    <t>5367917_1286034</t>
  </si>
  <si>
    <t>Sara Violeta Mitrache</t>
  </si>
  <si>
    <t>p_0178a2cb4ce4bf813d5271aee6d7463001cd7da1@inbound.aiesec.org</t>
  </si>
  <si>
    <t>2023-11-06T21:21:01Z</t>
  </si>
  <si>
    <t>5372360_1294878</t>
  </si>
  <si>
    <t>Karim Dahmeni</t>
  </si>
  <si>
    <t>p_5221db57f3513f7f8e914ff10131865c65c29e42@inbound.aiesec.org</t>
  </si>
  <si>
    <t>2023-11-14T14:52:12Z</t>
  </si>
  <si>
    <t>5303906_1299041</t>
  </si>
  <si>
    <t>Mekni Nour</t>
  </si>
  <si>
    <t>p_4973fb56f14ef584ab4b5514f7275a3c8ed58e5e@inbound.aiesec.org</t>
  </si>
  <si>
    <t>2023-08-16T21:40:28Z</t>
  </si>
  <si>
    <t>5372527_1291881</t>
  </si>
  <si>
    <t>Molka Boukhris</t>
  </si>
  <si>
    <t>p_72f261f178e444275382a026eaf91293f55dc0e1@inbound.aiesec.org</t>
  </si>
  <si>
    <t>2023-11-14T20:04:09Z</t>
  </si>
  <si>
    <t>5372516_1284670</t>
  </si>
  <si>
    <t>azza ben mrad</t>
  </si>
  <si>
    <t>p_68f7851307524e04b8decfa722d7d47aae1ef020@inbound.aiesec.org</t>
  </si>
  <si>
    <t>2023-11-14T19:53:54Z</t>
  </si>
  <si>
    <t>1331708_1296118</t>
  </si>
  <si>
    <t>Hozayfa Mohamed Makhlof</t>
  </si>
  <si>
    <t>p_063f568603b7b68e95cc5fb9688be68072e8a007@inbound.aiesec.org</t>
  </si>
  <si>
    <t>2017-01-24T13:30:17Z</t>
  </si>
  <si>
    <t>5366588_1299037</t>
  </si>
  <si>
    <t>p_0c324ddc67735fe67a774778cc887f75df32a779@inbound.aiesec.org</t>
  </si>
  <si>
    <t>2023-11-03T23:51:11Z</t>
  </si>
  <si>
    <t>5369689_1299041</t>
  </si>
  <si>
    <t>ZHANG ZIXUAN</t>
  </si>
  <si>
    <t>p_a4354894c0300af97abb9750918a29ad29f58f25@inbound.aiesec.org</t>
  </si>
  <si>
    <t>Mainland of China, Member Committee</t>
  </si>
  <si>
    <t>中国大陆区其他</t>
  </si>
  <si>
    <t>2023-11-09T12:35:56Z</t>
  </si>
  <si>
    <t>5316268_1290731</t>
  </si>
  <si>
    <t>Mehdi Bouguesri</t>
  </si>
  <si>
    <t>p_5d0ee9ef359b7cde10a81798f800b4d7ddbdebf8@inbound.aiesec.org</t>
  </si>
  <si>
    <t>2023-09-01T15:17:26Z</t>
  </si>
  <si>
    <t>5359367_1294372</t>
  </si>
  <si>
    <t>Mostafa Tamer</t>
  </si>
  <si>
    <t>p_252e6915160a1fdf7b4ad4ccdbcec231a00d16a0@inbound.aiesec.org</t>
  </si>
  <si>
    <t>2023-10-24T18:28:44Z</t>
  </si>
  <si>
    <t>3086891_1294332</t>
  </si>
  <si>
    <t>Lina Elkadioui elidrissi</t>
  </si>
  <si>
    <t>p_fe8782c32eb604134876923e001c7a3b80de0b1d@inbound.aiesec.org</t>
  </si>
  <si>
    <t>2019-02-17T14:28:54Z</t>
  </si>
  <si>
    <t>5320021_1297055</t>
  </si>
  <si>
    <t>Benothman Amine</t>
  </si>
  <si>
    <t>p_9acfae4ba32f4ccb5ae57ced799bf406611355fc@inbound.aiesec.org</t>
  </si>
  <si>
    <t>2023-09-07T21:53:48Z</t>
  </si>
  <si>
    <t>5318306_1282413</t>
  </si>
  <si>
    <t>Nour Elhouda Ben Abouda</t>
  </si>
  <si>
    <t>p_dd759267de0bd87d31c371bee1ef11acbfec342c@inbound.aiesec.org</t>
  </si>
  <si>
    <t>2023-09-04T23:10:26Z</t>
  </si>
  <si>
    <t>5370523_1299698</t>
  </si>
  <si>
    <t>Sıla Çal</t>
  </si>
  <si>
    <t>p_a211afa2685146e2148e08d5a23e7fae4b39ba68@inbound.aiesec.org</t>
  </si>
  <si>
    <t>https://expa.aiesec.org/opportunities/1299698</t>
  </si>
  <si>
    <t>2023-11-10T19:08:14Z</t>
  </si>
  <si>
    <t>5370822_1286326</t>
  </si>
  <si>
    <t>Lona Korolyova</t>
  </si>
  <si>
    <t>p_3a39c2e34a3b567e95157b4fb8bd72ebfdcc2f2c@inbound.aiesec.org</t>
  </si>
  <si>
    <t>Kyiv National Economical University</t>
  </si>
  <si>
    <t>2023-11-11T16:07:34Z</t>
  </si>
  <si>
    <t>5370982_1299698</t>
  </si>
  <si>
    <t>Zeynep Sude Tosun</t>
  </si>
  <si>
    <t>p_7fbbefab354f19767ca3ea87e9cb0e0d83aeb32a@inbound.aiesec.org</t>
  </si>
  <si>
    <t>2023-11-12T09:37:50Z</t>
  </si>
  <si>
    <t>5373288_1280872</t>
  </si>
  <si>
    <t>ines youssef</t>
  </si>
  <si>
    <t>p_a007a30ef801e0a6158e743843f4cef4e2fd8eae@inbound.aiesec.org</t>
  </si>
  <si>
    <t>2023-11-16T08:00:22Z</t>
  </si>
  <si>
    <t>5335184_1295453</t>
  </si>
  <si>
    <t>Leonor Vales</t>
  </si>
  <si>
    <t>p_3984ebb9830d2a959adc12cbeac46fa1ca761eb4@inbound.aiesec.org</t>
  </si>
  <si>
    <t>Instituto Superior de Serviço Social do Porto (ISSSP)</t>
  </si>
  <si>
    <t>2023-09-27T16:05:51Z</t>
  </si>
  <si>
    <t>5347092_1294103</t>
  </si>
  <si>
    <t>WIAM AYATADA</t>
  </si>
  <si>
    <t>p_a196ab814704a72727c8217cce243031a78cea54@inbound.aiesec.org</t>
  </si>
  <si>
    <t>2023-10-09T17:06:56Z</t>
  </si>
  <si>
    <t>5373188_1289536</t>
  </si>
  <si>
    <t>dallagi zaineb</t>
  </si>
  <si>
    <t>p_604c79860a2e7e0676ed3999b9e4c9e5743e8a03@inbound.aiesec.org</t>
  </si>
  <si>
    <t>2023-11-15T21:32:47Z</t>
  </si>
  <si>
    <t>5370035_1291200</t>
  </si>
  <si>
    <t>Derin Deniz Dilaver</t>
  </si>
  <si>
    <t>p_95a1072aea0ccc20091f6084917122b23d7d687e@inbound.aiesec.org</t>
  </si>
  <si>
    <t>2023-11-09T21:29:51Z</t>
  </si>
  <si>
    <t>5373370_1288609</t>
  </si>
  <si>
    <t>Mariye Kosdik</t>
  </si>
  <si>
    <t>p_179053be9aaeef470800107b1d7df1a65f4cc836@inbound.aiesec.org</t>
  </si>
  <si>
    <t>2023-11-16T11:00:21Z</t>
  </si>
  <si>
    <t>4749419_1289347</t>
  </si>
  <si>
    <t>Manali Desai</t>
  </si>
  <si>
    <t>p_abdec5d802c513708d675834baedfc8c7d62ef80@inbound.aiesec.org</t>
  </si>
  <si>
    <t>Bhartiya Vidyapeeth, Pune</t>
  </si>
  <si>
    <t>2021-09-26T12:44:39Z</t>
  </si>
  <si>
    <t>5270789_1299829</t>
  </si>
  <si>
    <t>Nilgul Beste Kavur</t>
  </si>
  <si>
    <t>p_2c9ee66f874af2ca76e02024b91aba339cb39f1c@inbound.aiesec.org</t>
  </si>
  <si>
    <t>https://expa.aiesec.org/opportunities/1299829</t>
  </si>
  <si>
    <t>Business Development Specialist</t>
  </si>
  <si>
    <t>2023-06-02T19:28:44Z</t>
  </si>
  <si>
    <t>5371011_1272564</t>
  </si>
  <si>
    <t>Larysa Demydovych</t>
  </si>
  <si>
    <t>p_ae8b6e68c8f0072537b3e11342ca69e3aec8b9aa@inbound.aiesec.org</t>
  </si>
  <si>
    <t>2023-11-12T10:46:53Z</t>
  </si>
  <si>
    <t>5373123_1299041</t>
  </si>
  <si>
    <t>Syrine Bayar</t>
  </si>
  <si>
    <t>p_93244863e60003ddc849a2837dffa4718c9ee953@inbound.aiesec.org</t>
  </si>
  <si>
    <t>2023-11-15T19:04:24Z</t>
  </si>
  <si>
    <t>5373638_1291254</t>
  </si>
  <si>
    <t>Oumayma Hachem</t>
  </si>
  <si>
    <t>p_d3aef8c16b2ef2a6d11f8916d1aa843bce8e820f@inbound.aiesec.org</t>
  </si>
  <si>
    <t>2023-11-16T18:55:30Z</t>
  </si>
  <si>
    <t>5343325_1294584</t>
  </si>
  <si>
    <t>Yaryna Kovalyshena</t>
  </si>
  <si>
    <t>p_db377eb2ff570d4eb1f57df01ce0ae0543f0f61c@inbound.aiesec.org</t>
  </si>
  <si>
    <t>2023-10-05T17:07:07Z</t>
  </si>
  <si>
    <t>5318590_1286326</t>
  </si>
  <si>
    <t>5367331_1291634</t>
  </si>
  <si>
    <t>Olusile Precious</t>
  </si>
  <si>
    <t>p_fa9075d31f43376c6bd6a48a2a62ad6362b1907d@inbound.aiesec.org</t>
  </si>
  <si>
    <t>2023-11-05T21:17:36Z</t>
  </si>
  <si>
    <t>5141021_1294584</t>
  </si>
  <si>
    <t>Lily Valko</t>
  </si>
  <si>
    <t>p_bad58167d1d9a95bdd22e669a8ad02a6b3048282@inbound.aiesec.org</t>
  </si>
  <si>
    <t>2022-10-26T17:35:57Z</t>
  </si>
  <si>
    <t>4368229_1301045</t>
  </si>
  <si>
    <t>Ece Koyutürk</t>
  </si>
  <si>
    <t>p_504babc00eef431321223579f881e76273affcf8@inbound.aiesec.org</t>
  </si>
  <si>
    <t>https://expa.aiesec.org/opportunities/1301045</t>
  </si>
  <si>
    <t>2020-09-14T10:16:09Z</t>
  </si>
  <si>
    <t>5328873_1286034</t>
  </si>
  <si>
    <t>Vanshika Sirohi</t>
  </si>
  <si>
    <t>p_0daa39a99741b4935cb363f3935d57bc4f3db7ab@inbound.aiesec.org</t>
  </si>
  <si>
    <t>2023-09-21T08:25:25Z</t>
  </si>
  <si>
    <t>4752066_1286920</t>
  </si>
  <si>
    <t>5374443_1286034</t>
  </si>
  <si>
    <t>Anna Pokhodenko</t>
  </si>
  <si>
    <t>p_a484a5ec3a7bf7dc776a5a0a6fdd6724784b2c73@inbound.aiesec.org</t>
  </si>
  <si>
    <t>2023-11-17T13:54:56Z</t>
  </si>
  <si>
    <t>5369941_1299041</t>
  </si>
  <si>
    <t>Azza jomni</t>
  </si>
  <si>
    <t>p_138ea309879cdf6796bffb5536bad956f070b4fe@inbound.aiesec.org</t>
  </si>
  <si>
    <t>2023-11-09T18:58:49Z</t>
  </si>
  <si>
    <t>5373658_1286326</t>
  </si>
  <si>
    <t>Mariia Babiak</t>
  </si>
  <si>
    <t>p_0c590215da7cc5114ff82c97f752c557e1e8cee5@inbound.aiesec.org</t>
  </si>
  <si>
    <t>2023-11-16T19:39:21Z</t>
  </si>
  <si>
    <t>5352731_1281010</t>
  </si>
  <si>
    <t>Catherine Pakhalok</t>
  </si>
  <si>
    <t>p_a5377443297aa78823a4c054845dc428f1b6271b@inbound.aiesec.org</t>
  </si>
  <si>
    <t>2023-10-16T10:59:00Z</t>
  </si>
  <si>
    <t>5363497_1286034</t>
  </si>
  <si>
    <t>elyess kthiri</t>
  </si>
  <si>
    <t>p_08907d1c214c220e3d62416728de8e1729fe93c4@inbound.aiesec.org</t>
  </si>
  <si>
    <t>2023-10-30T15:16:30Z</t>
  </si>
  <si>
    <t>5364739_1286034</t>
  </si>
  <si>
    <t>Fkiri Hatem</t>
  </si>
  <si>
    <t>p_36c28ed179d82039fef339bd85d1f85e2b27862b@inbound.aiesec.org</t>
  </si>
  <si>
    <t>2023-11-01T09:00:43Z</t>
  </si>
  <si>
    <t>5374652_1299041</t>
  </si>
  <si>
    <t>Viktoriia Danyuk</t>
  </si>
  <si>
    <t>p_b2376f02f36a047d42230768d242c8cbc77ace45@inbound.aiesec.org</t>
  </si>
  <si>
    <t>2023-11-17T19:31:31Z</t>
  </si>
  <si>
    <t>5374661_1294584</t>
  </si>
  <si>
    <t>Stasiuk Sofia</t>
  </si>
  <si>
    <t>p_3a7731e0cfcc8ca213e78c86d28df78a7c0ca1ae@inbound.aiesec.org</t>
  </si>
  <si>
    <t>2023-11-17T19:50:04Z</t>
  </si>
  <si>
    <t>5353802_1300584</t>
  </si>
  <si>
    <t>Göksel Aktaş</t>
  </si>
  <si>
    <t>p_5c3d7ed46802cf625c6340635305446ef60e936c@inbound.aiesec.org</t>
  </si>
  <si>
    <t>https://expa.aiesec.org/opportunities/1300584</t>
  </si>
  <si>
    <t>2023-10-17T16:47:11Z</t>
  </si>
  <si>
    <t>4410993_1280973</t>
  </si>
  <si>
    <t>Kateryna Mudra</t>
  </si>
  <si>
    <t>p_cc24f6d58fce1bc36a414c358bd6b1310dcf1264@inbound.aiesec.org</t>
  </si>
  <si>
    <t>LUBLIN UMCS</t>
  </si>
  <si>
    <t>2020-10-30T17:14:56Z</t>
  </si>
  <si>
    <t>5368192_1284668</t>
  </si>
  <si>
    <t>Mariem elhachmi</t>
  </si>
  <si>
    <t>p_49927696f7d5667e14cd48c25bdbb1d9f9ec9eb6@inbound.aiesec.org</t>
  </si>
  <si>
    <t>FLSH Dahr El Mehraz et Sais Fès</t>
  </si>
  <si>
    <t>2023-11-07T12:09:29Z</t>
  </si>
  <si>
    <t>5357511_1299474</t>
  </si>
  <si>
    <t>Sabeen Sikander</t>
  </si>
  <si>
    <t>p_d73b67ef0a322a216003605b651ca686545343ed@inbound.aiesec.org</t>
  </si>
  <si>
    <t>2023-10-23T06:25:21Z</t>
  </si>
  <si>
    <t>5265134_1298993</t>
  </si>
  <si>
    <t>https://expa.aiesec.org/opportunities/1298993</t>
  </si>
  <si>
    <t>Pre-School Teacher in Osmaniye</t>
  </si>
  <si>
    <t>5374858_1292692</t>
  </si>
  <si>
    <t>Esra Koz</t>
  </si>
  <si>
    <t>p_e0ed8e9970920a2ee7ac46cc4d7a830a5f0e46b9@inbound.aiesec.org</t>
  </si>
  <si>
    <t>2023-11-18T10:55:11Z</t>
  </si>
  <si>
    <t>5372373_1286034</t>
  </si>
  <si>
    <t>Nicoleta Mihalcea</t>
  </si>
  <si>
    <t>p_a93bcb4dd0b3ba15ee942caacfc7b7f0033ee48e@inbound.aiesec.org</t>
  </si>
  <si>
    <t>2023-11-14T15:18:08Z</t>
  </si>
  <si>
    <t>5373683_1291881</t>
  </si>
  <si>
    <t>Farah Tarek</t>
  </si>
  <si>
    <t>p_868109dff0f5fd52713bce07362fe21b84d1ca0b@inbound.aiesec.org</t>
  </si>
  <si>
    <t>2023-11-16T20:05:11Z</t>
  </si>
  <si>
    <t>5372779_1291881</t>
  </si>
  <si>
    <t>Nour Barakat</t>
  </si>
  <si>
    <t>p_b6b697f3c960a3b4ce3cdf96f7765d2ae8460765@inbound.aiesec.org</t>
  </si>
  <si>
    <t>2023-11-15T10:51:25Z</t>
  </si>
  <si>
    <t>5372777_1291881</t>
  </si>
  <si>
    <t>Jana Halim</t>
  </si>
  <si>
    <t>p_b15912792b4930cc26a716607e2b3068a08e3e18@inbound.aiesec.org</t>
  </si>
  <si>
    <t>2023-11-15T10:49:07Z</t>
  </si>
  <si>
    <t>5372781_1291881</t>
  </si>
  <si>
    <t>Nada Samir</t>
  </si>
  <si>
    <t>p_92131917744048cc7bddaa0b7f23931a66dbf24f@inbound.aiesec.org</t>
  </si>
  <si>
    <t>2023-11-15T10:52:02Z</t>
  </si>
  <si>
    <t>4757312_1296105</t>
  </si>
  <si>
    <t>Lara Horobets</t>
  </si>
  <si>
    <t>p_52e3296be86824e8b7978374bad273b8208d36f6@inbound.aiesec.org</t>
  </si>
  <si>
    <t>2021-10-04T10:03:14Z</t>
  </si>
  <si>
    <t>5371120_1289536</t>
  </si>
  <si>
    <t>Nubar Ahmadova</t>
  </si>
  <si>
    <t>p_b8d73e9e83369255082de9673499628574b10fcc@inbound.aiesec.org</t>
  </si>
  <si>
    <t>2023-11-12T15:29:58Z</t>
  </si>
  <si>
    <t>5371078_1289536</t>
  </si>
  <si>
    <t>Aydan Mehdiyeva</t>
  </si>
  <si>
    <t>p_5f6cb0b0cb3792157bec4443a48e549aced65ab4@inbound.aiesec.org</t>
  </si>
  <si>
    <t>2023-11-12T13:36:12Z</t>
  </si>
  <si>
    <t>5343336_1289347</t>
  </si>
  <si>
    <t>Mariia Ilina</t>
  </si>
  <si>
    <t>p_60aa52bd6247a184e2fd047efb5d0cd26c471ef7@inbound.aiesec.org</t>
  </si>
  <si>
    <t>2023-10-05T17:24:29Z</t>
  </si>
  <si>
    <t>5304425_1300883</t>
  </si>
  <si>
    <t>Şeyma Tavşan</t>
  </si>
  <si>
    <t>p_0092b58d9fe076596a49dfed303fdaf2c1481b87@inbound.aiesec.org</t>
  </si>
  <si>
    <t>https://expa.aiesec.org/opportunities/1300883</t>
  </si>
  <si>
    <t>2023-08-17T18:27:20Z</t>
  </si>
  <si>
    <t>5375102_1285687</t>
  </si>
  <si>
    <t>Chayma Mansour</t>
  </si>
  <si>
    <t>p_59b9387c19ccf180b377416211fdac847e2436ab@inbound.aiesec.org</t>
  </si>
  <si>
    <t>2023-11-18T18:14:14Z</t>
  </si>
  <si>
    <t>5375124_1285687</t>
  </si>
  <si>
    <t>Hamza Rezgui</t>
  </si>
  <si>
    <t>p_825e96d1f4617e517d7f938329f4a185c22c5ea0@inbound.aiesec.org</t>
  </si>
  <si>
    <t>2023-11-18T18:56:42Z</t>
  </si>
  <si>
    <t>5375177_1300841</t>
  </si>
  <si>
    <t>mohamed amine laaribi</t>
  </si>
  <si>
    <t>p_459c7b8c2649f8a2dc103bfca8f4b35b301d27bd@inbound.aiesec.org</t>
  </si>
  <si>
    <t>2023-11-18T21:04:48Z</t>
  </si>
  <si>
    <t>5375194_1291254</t>
  </si>
  <si>
    <t>Eya Alexandrine</t>
  </si>
  <si>
    <t>p_09f61a2c116fc486fc524e7c080a079864d17a69@inbound.aiesec.org</t>
  </si>
  <si>
    <t>2023-11-18T21:48:13Z</t>
  </si>
  <si>
    <t>5363767_1299474</t>
  </si>
  <si>
    <t>Joy Andati</t>
  </si>
  <si>
    <t>p_84d81912cf068339ae54b24c68fa788ef94d5917@inbound.aiesec.org</t>
  </si>
  <si>
    <t>2023-10-30T20:18:19Z</t>
  </si>
  <si>
    <t>5314223_1295893</t>
  </si>
  <si>
    <t>5360461_1289255</t>
  </si>
  <si>
    <t>abdulahi abdulgafar abdulahi</t>
  </si>
  <si>
    <t>p_f0c524777ba19e17f9decacf0258b4d01c2a7cab@inbound.aiesec.org</t>
  </si>
  <si>
    <t>2023-10-26T04:16:48Z</t>
  </si>
  <si>
    <t>5371616_1299474</t>
  </si>
  <si>
    <t>Elena Roxana Dulgheru</t>
  </si>
  <si>
    <t>p_0f6e8db264901869805a65d46b16590e932b5419@inbound.aiesec.org</t>
  </si>
  <si>
    <t>2023-11-13T14:26:11Z</t>
  </si>
  <si>
    <t>4838215_1286034</t>
  </si>
  <si>
    <t>Sandra Sdiri</t>
  </si>
  <si>
    <t>p_7f1e0f25ab042f811f7ccf99ffdca151cb9772c5@inbound.aiesec.org</t>
  </si>
  <si>
    <t>2021-12-10T15:03:27Z</t>
  </si>
  <si>
    <t>5367551_1291376</t>
  </si>
  <si>
    <t>Ayşe Zeynep Özbay</t>
  </si>
  <si>
    <t>p_bc9de355595a67f27497578f8e240cd1ae68997a@inbound.aiesec.org</t>
  </si>
  <si>
    <t>https://expa.aiesec.org/opportunities/1291376</t>
  </si>
  <si>
    <t>2023-11-06T12:26:40Z</t>
  </si>
  <si>
    <t>3339681_1288371</t>
  </si>
  <si>
    <t>Samet Can Altay</t>
  </si>
  <si>
    <t>p_00654bd0da6bc62d04e96f41cb6e130cc7ca7753@inbound.aiesec.org</t>
  </si>
  <si>
    <t>2019-04-17T14:13:04Z</t>
  </si>
  <si>
    <t>4230939_1296105</t>
  </si>
  <si>
    <t>Honcharuk Lina</t>
  </si>
  <si>
    <t>p_d131fa8ef3d54a4a7d65cd7b89ecd3aa70d93a21@inbound.aiesec.org</t>
  </si>
  <si>
    <t>2020-03-03T16:07:49Z</t>
  </si>
  <si>
    <t>5086497_1301307</t>
  </si>
  <si>
    <t>https://expa.aiesec.org/opportunities/1301307</t>
  </si>
  <si>
    <t>5371629_1299532</t>
  </si>
  <si>
    <t>Azra Dongel</t>
  </si>
  <si>
    <t>p_5225282f4b2db741b172f54b26cfc312eb53da80@inbound.aiesec.org</t>
  </si>
  <si>
    <t>https://expa.aiesec.org/opportunities/1299532</t>
  </si>
  <si>
    <t>2023-11-13T14:45:09Z</t>
  </si>
  <si>
    <t>5374860_1288609</t>
  </si>
  <si>
    <t>Tuğba Kartal</t>
  </si>
  <si>
    <t>p_791be1f4980d677ae4d794a8f8a99b9febf2e172@inbound.aiesec.org</t>
  </si>
  <si>
    <t>2023-11-18T11:01:07Z</t>
  </si>
  <si>
    <t>5374855_1288609</t>
  </si>
  <si>
    <t>Muhammed Şahin</t>
  </si>
  <si>
    <t>p_8953371f2947d6acc2c51f4036edbb1d33398041@inbound.aiesec.org</t>
  </si>
  <si>
    <t>2023-11-18T10:53:49Z</t>
  </si>
  <si>
    <t>5374662_1288609</t>
  </si>
  <si>
    <t>Onur Birgin</t>
  </si>
  <si>
    <t>p_cebfdef1e7e7f512161ff3883222c5c5679919c4@inbound.aiesec.org</t>
  </si>
  <si>
    <t>2023-11-17T19:53:15Z</t>
  </si>
  <si>
    <t>5375944_1289686</t>
  </si>
  <si>
    <t>hadeer hesham</t>
  </si>
  <si>
    <t>p_3e7b00ff30181494364d9a463e06c6364c7ef077@inbound.aiesec.org</t>
  </si>
  <si>
    <t>2023-11-20T12:35:35Z</t>
  </si>
  <si>
    <t>5375524_1300920</t>
  </si>
  <si>
    <t>Tuğba Ergün</t>
  </si>
  <si>
    <t>p_6ddfbae25ad7a33bfc9a482c65ecfe3ab8f78582@inbound.aiesec.org</t>
  </si>
  <si>
    <t>https://expa.aiesec.org/opportunities/1300920</t>
  </si>
  <si>
    <t>sales and business development intern</t>
  </si>
  <si>
    <t>2023-11-19T17:34:15Z</t>
  </si>
  <si>
    <t>5375163_1284670</t>
  </si>
  <si>
    <t>Selbi Ismayilova</t>
  </si>
  <si>
    <t>p_1500590858d5111a1d374a692995d15b04d0fc16@inbound.aiesec.org</t>
  </si>
  <si>
    <t>2023-11-18T20:30:23Z</t>
  </si>
  <si>
    <t>5374479_1300779</t>
  </si>
  <si>
    <t>Ezgi Kınay</t>
  </si>
  <si>
    <t>p_132b938e1833dc5d5d5d9b481b77f6d9acb3e1b7@inbound.aiesec.org</t>
  </si>
  <si>
    <t>https://expa.aiesec.org/opportunities/1300779</t>
  </si>
  <si>
    <t>2023-11-17T14:33:07Z</t>
  </si>
  <si>
    <t>5373710_1300092</t>
  </si>
  <si>
    <t>Yağmur Ağaoğlu</t>
  </si>
  <si>
    <t>p_f969f688deaf5aa53c750fd1f8680c5ac29c2fe2@inbound.aiesec.org</t>
  </si>
  <si>
    <t>https://expa.aiesec.org/opportunities/1300092</t>
  </si>
  <si>
    <t>2023-11-16T20:25:36Z</t>
  </si>
  <si>
    <t>4026574_1288843</t>
  </si>
  <si>
    <t>Gözde Ersöz</t>
  </si>
  <si>
    <t>p_0f4ddc16134f9f46a93fd232b0b08659264149d8@inbound.aiesec.org</t>
  </si>
  <si>
    <t>2019-11-22T07:04:52Z</t>
  </si>
  <si>
    <t>5372819_1291395</t>
  </si>
  <si>
    <t>Selinay Çiftçi</t>
  </si>
  <si>
    <t>p_2288d9a0b2000868b5c23c01d00b2f110fad8d4f@inbound.aiesec.org</t>
  </si>
  <si>
    <t>2023-11-15T11:37:33Z</t>
  </si>
  <si>
    <t>5375962_1289536</t>
  </si>
  <si>
    <t>Azza Jelassi</t>
  </si>
  <si>
    <t>p_7280cbb3c38ed9b991f8c651bfb25ff852b180b9@inbound.aiesec.org</t>
  </si>
  <si>
    <t>2023-11-20T12:57:48Z</t>
  </si>
  <si>
    <t>5375111_1298438</t>
  </si>
  <si>
    <t>esma sariboga</t>
  </si>
  <si>
    <t>p_a8ad0e0d50b89f56a1156a7e6334a1af6bd2d53f@inbound.aiesec.org</t>
  </si>
  <si>
    <t>2023-11-18T18:32:57Z</t>
  </si>
  <si>
    <t>5376095_1293152</t>
  </si>
  <si>
    <t>Yasin Çıtak</t>
  </si>
  <si>
    <t>p_1ba77f549b2ef9d30d74ed69f9a09a90bdd13732@inbound.aiesec.org</t>
  </si>
  <si>
    <t>https://expa.aiesec.org/opportunities/1293152</t>
  </si>
  <si>
    <t>2023-11-20T15:12:44Z</t>
  </si>
  <si>
    <t>5376094_1293152</t>
  </si>
  <si>
    <t>Eren Soylu</t>
  </si>
  <si>
    <t>p_1dac6a8789ac88fdc90a872d6cd03d905f7ef3b5@inbound.aiesec.org</t>
  </si>
  <si>
    <t>2023-11-20T15:12:41Z</t>
  </si>
  <si>
    <t>5375535_1299449</t>
  </si>
  <si>
    <t>Mayar Mohamed</t>
  </si>
  <si>
    <t>p_e1f92bcc09c934841d38d54c01562cbc242f9421@inbound.aiesec.org</t>
  </si>
  <si>
    <t>https://expa.aiesec.org/opportunities/1299449</t>
  </si>
  <si>
    <t>TAD LANGUAGE SCHOOL</t>
  </si>
  <si>
    <t>2023-11-19T18:04:02Z</t>
  </si>
  <si>
    <t>5247361_1299929</t>
  </si>
  <si>
    <t>Vehbi Kerem Demirci</t>
  </si>
  <si>
    <t>p_5f0a8b72a6a2b5da8ad608918370767546a723ba@inbound.aiesec.org</t>
  </si>
  <si>
    <t>https://expa.aiesec.org/opportunities/1299929</t>
  </si>
  <si>
    <t>2023-04-22T16:19:42Z</t>
  </si>
  <si>
    <t>5362167_1296885</t>
  </si>
  <si>
    <t>Sevinç gökçe</t>
  </si>
  <si>
    <t>p_87525c93c41dcecce64e5f166db6588becc18d29@inbound.aiesec.org</t>
  </si>
  <si>
    <t>2023-10-28T15:22:33Z</t>
  </si>
  <si>
    <t>5373728_1297135</t>
  </si>
  <si>
    <t>p_ec5a5e52e0046a731441697d32da1e7008bb95d0@inbound.aiesec.org</t>
  </si>
  <si>
    <t>2023-11-16T20:42:19Z</t>
  </si>
  <si>
    <t>5376271_1299474</t>
  </si>
  <si>
    <t>Sarah Hajri</t>
  </si>
  <si>
    <t>p_82b1bab1539363421f131886f3dd1fd860a83146@inbound.aiesec.org</t>
  </si>
  <si>
    <t>2023-11-20T18:24:29Z</t>
  </si>
  <si>
    <t>5375084_1301479</t>
  </si>
  <si>
    <t>Emirhan Nuroğlu</t>
  </si>
  <si>
    <t>p_acfbba65d5bf98db96b64166eec212a3762f78af@inbound.aiesec.org</t>
  </si>
  <si>
    <t>https://expa.aiesec.org/opportunities/1301479</t>
  </si>
  <si>
    <t>2023-11-18T17:20:44Z</t>
  </si>
  <si>
    <t>5376173_1293235</t>
  </si>
  <si>
    <t>Semanur Şahin</t>
  </si>
  <si>
    <t>p_7932001fdb850384a7fca79c81b577482995b797@inbound.aiesec.org</t>
  </si>
  <si>
    <t>https://expa.aiesec.org/opportunities/1293235</t>
  </si>
  <si>
    <t>2023-11-20T16:51:40Z</t>
  </si>
  <si>
    <t>5376174_1293235</t>
  </si>
  <si>
    <t>Hatice Varlı</t>
  </si>
  <si>
    <t>p_dc00d4d8e60aeb82c63c0ac818ea4666e1a6870b@inbound.aiesec.org</t>
  </si>
  <si>
    <t>2023-11-20T16:53:27Z</t>
  </si>
  <si>
    <t>5376060_1286326</t>
  </si>
  <si>
    <t>Eya Laadhar</t>
  </si>
  <si>
    <t>p_362ea1d4fea2c8cbc01b726213bf38385cdc1528@inbound.aiesec.org</t>
  </si>
  <si>
    <t>2023-11-20T14:24:08Z</t>
  </si>
  <si>
    <t>5371902_1301470</t>
  </si>
  <si>
    <t>Adnen Baccari</t>
  </si>
  <si>
    <t>p_9a9800eb9cce2afe371cae43b30cad0866d6e1c1@inbound.aiesec.org</t>
  </si>
  <si>
    <t>https://expa.aiesec.org/opportunities/1301470</t>
  </si>
  <si>
    <t>Operation Specialist in İstanbul</t>
  </si>
  <si>
    <t>2023-11-13T20:32:08Z</t>
  </si>
  <si>
    <t>5375860_1300559</t>
  </si>
  <si>
    <t>ikra efe</t>
  </si>
  <si>
    <t>p_eecc3619b90058261e3fee9bdbb27b1e9d971d16@inbound.aiesec.org</t>
  </si>
  <si>
    <t>https://expa.aiesec.org/opportunities/1300559</t>
  </si>
  <si>
    <t>2023-11-20T10:31:31Z</t>
  </si>
  <si>
    <t>5371705_1301307</t>
  </si>
  <si>
    <t>SELİM KAMIL</t>
  </si>
  <si>
    <t>p_ef219fe456fba809da14619356e0ae1d7d264c59@inbound.aiesec.org</t>
  </si>
  <si>
    <t>2023-11-13T15:47:41Z</t>
  </si>
  <si>
    <t>5375527_1294151</t>
  </si>
  <si>
    <t>Sarya Toprak</t>
  </si>
  <si>
    <t>p_826c9cd79b394d1e182e40108c524f056a4be80c@inbound.aiesec.org</t>
  </si>
  <si>
    <t>2023-11-19T17:44:44Z</t>
  </si>
  <si>
    <t>5375526_1294151</t>
  </si>
  <si>
    <t>Sude Yılmaz</t>
  </si>
  <si>
    <t>p_fc238cb53b9132be950e6386f5f30f3709c0c181@inbound.aiesec.org</t>
  </si>
  <si>
    <t>2023-11-19T17:44:24Z</t>
  </si>
  <si>
    <t>5375153_1292960</t>
  </si>
  <si>
    <t>Yiğit GÜLEÇ</t>
  </si>
  <si>
    <t>p_648d9ea2d2d304c4b04c314579e1347a16aaf85e@inbound.aiesec.org</t>
  </si>
  <si>
    <t>2023-11-18T19:56:58Z</t>
  </si>
  <si>
    <t>1693095_1288490</t>
  </si>
  <si>
    <t>Fares Jaballah</t>
  </si>
  <si>
    <t>p_395557a6ecb4ea3c4b761cbfca44491f4604a44b@inbound.aiesec.org</t>
  </si>
  <si>
    <t>2017-08-15T21:28:43Z</t>
  </si>
  <si>
    <t>5375141_1292960</t>
  </si>
  <si>
    <t>şahin birol</t>
  </si>
  <si>
    <t>p_7de3f217aef4d66c2fc307f5d0115f537903c320@inbound.aiesec.org</t>
  </si>
  <si>
    <t>2023-11-18T19:29:47Z</t>
  </si>
  <si>
    <t>5375108_1292960</t>
  </si>
  <si>
    <t>recep emirhan koldankaya</t>
  </si>
  <si>
    <t>p_4d751b6d71968fe4ddea53f5c2ce53c50e675731@inbound.aiesec.org</t>
  </si>
  <si>
    <t>2023-11-18T18:28:50Z</t>
  </si>
  <si>
    <t>5375110_1292960</t>
  </si>
  <si>
    <t>Reşat Yiğit GÜL</t>
  </si>
  <si>
    <t>p_9c15a19326ec955dcc46a164278c5c5431048fa5@inbound.aiesec.org</t>
  </si>
  <si>
    <t>2023-11-18T18:31:55Z</t>
  </si>
  <si>
    <t>5361761_1289297</t>
  </si>
  <si>
    <t>Kuzey Hannan Karadaş</t>
  </si>
  <si>
    <t>p_9bf6e6737c90ed508d58e0e8cade8dd5cc4fc1cd@inbound.aiesec.org</t>
  </si>
  <si>
    <t>2023-10-27T19:39:34Z</t>
  </si>
  <si>
    <t>5374573_1299077</t>
  </si>
  <si>
    <t>Bengisu Çetin</t>
  </si>
  <si>
    <t>p_66b64d3b96847b5e877ad4b986d18ee8118c71de@inbound.aiesec.org</t>
  </si>
  <si>
    <t>https://expa.aiesec.org/opportunities/1299077</t>
  </si>
  <si>
    <t>2023-11-17T16:59:52Z</t>
  </si>
  <si>
    <t>5372459_1300777</t>
  </si>
  <si>
    <t>Beyzagül Çimen</t>
  </si>
  <si>
    <t>p_194a0941117885dc9a42cbe0d6e662ea584e8ca6@inbound.aiesec.org</t>
  </si>
  <si>
    <t>https://expa.aiesec.org/opportunities/1300777</t>
  </si>
  <si>
    <t>2023-11-14T18:11:46Z</t>
  </si>
  <si>
    <t>5372256_1289297</t>
  </si>
  <si>
    <t>Asmi Rozerin ÇİÇEK</t>
  </si>
  <si>
    <t>p_34bdf64b73977ce94379dc8d1837bb2f3275b2f6@inbound.aiesec.org</t>
  </si>
  <si>
    <t>2023-11-14T12:38:06Z</t>
  </si>
  <si>
    <t>5371932_1289297</t>
  </si>
  <si>
    <t>Mert Kara</t>
  </si>
  <si>
    <t>p_a91a3523e8c5dc0332b33cc93e0645e1e36bdb3b@inbound.aiesec.org</t>
  </si>
  <si>
    <t>2023-11-13T21:22:43Z</t>
  </si>
  <si>
    <t>5370883_1300624</t>
  </si>
  <si>
    <t>Ravinesh Perera</t>
  </si>
  <si>
    <t>p_b35c9c7fa78574132ce528e87bf4256c0ea95c20@inbound.aiesec.org</t>
  </si>
  <si>
    <t>2023-11-11T20:07:06Z</t>
  </si>
  <si>
    <t>4559096_1299851</t>
  </si>
  <si>
    <t>Hasan Emre Kömür</t>
  </si>
  <si>
    <t>p_96bfa7c3400584c209d6a46d4ca6913eae0c4603@inbound.aiesec.org</t>
  </si>
  <si>
    <t>https://expa.aiesec.org/opportunities/1299851</t>
  </si>
  <si>
    <t>2021-02-25T16:52:08Z</t>
  </si>
  <si>
    <t>5368568_1300091</t>
  </si>
  <si>
    <t>Ece İlkem Akbulut</t>
  </si>
  <si>
    <t>p_2b05d1c07ef8ae10970ec4ced6edf15f5220c26b@inbound.aiesec.org</t>
  </si>
  <si>
    <t>2023-11-07T20:45:41Z</t>
  </si>
  <si>
    <t>5368701_1286893</t>
  </si>
  <si>
    <t>p_c97b5ad2448ce2ba5762e12fd1108475e2f6896a@inbound.aiesec.org</t>
  </si>
  <si>
    <t>IPN</t>
  </si>
  <si>
    <t>https://expa.aiesec.org/opportunities/1286893</t>
  </si>
  <si>
    <t>2023-11-08T05:17:09Z</t>
  </si>
  <si>
    <t>3808794_1300121</t>
  </si>
  <si>
    <t>https://expa.aiesec.org/opportunities/1300121</t>
  </si>
  <si>
    <t>Sales Associate</t>
  </si>
  <si>
    <t>5376349_1299756</t>
  </si>
  <si>
    <t>Kerem Alagöz</t>
  </si>
  <si>
    <t>p_18864c6c3b9ef638eedca2464006fceef28617e4@inbound.aiesec.org</t>
  </si>
  <si>
    <t>https://expa.aiesec.org/opportunities/1299756</t>
  </si>
  <si>
    <t>2023-11-20T21:04:19Z</t>
  </si>
  <si>
    <t>5376348_1299756</t>
  </si>
  <si>
    <t>Semih Eren Caner</t>
  </si>
  <si>
    <t>p_fa990353953f828902a7822ee692c7a7ff13cb56@inbound.aiesec.org</t>
  </si>
  <si>
    <t>2023-11-20T21:04:12Z</t>
  </si>
  <si>
    <t>5341556_1296671</t>
  </si>
  <si>
    <t>5376307_1290292</t>
  </si>
  <si>
    <t>hasan faruk aksu</t>
  </si>
  <si>
    <t>p_ba6b41c94ef7df7de40f0c8719ebebdfc88beecc@inbound.aiesec.org</t>
  </si>
  <si>
    <t>2023-11-20T19:42:46Z</t>
  </si>
  <si>
    <t>5375142_1292960</t>
  </si>
  <si>
    <t>Muhammed Muratoğlu</t>
  </si>
  <si>
    <t>p_ca9f55cab09a3c01bfe9d8bd8da7bbf19a882eae@inbound.aiesec.org</t>
  </si>
  <si>
    <t>2023-11-18T19:31:56Z</t>
  </si>
  <si>
    <t>5374658_1292298</t>
  </si>
  <si>
    <t>Alperen Dinçer</t>
  </si>
  <si>
    <t>p_1bedec31474865197ff33dd5b66d1bbd810330e4@inbound.aiesec.org</t>
  </si>
  <si>
    <t>2023-11-17T19:34:42Z</t>
  </si>
  <si>
    <t>5370049_1292298</t>
  </si>
  <si>
    <t>Osman Furkan Özdemir</t>
  </si>
  <si>
    <t>p_485baff7e7b0533a998dbd989f59421a4ac31532@inbound.aiesec.org</t>
  </si>
  <si>
    <t>2023-11-09T21:56:05Z</t>
  </si>
  <si>
    <t>5361142_1294860</t>
  </si>
  <si>
    <t>Talha Deniz Hatip</t>
  </si>
  <si>
    <t>p_5b91eea3610356d5e4902e8de7175ca598b4a233@inbound.aiesec.org</t>
  </si>
  <si>
    <t>2023-10-26T19:57:55Z</t>
  </si>
  <si>
    <t>5321298_1294584</t>
  </si>
  <si>
    <t>Milica Markovic</t>
  </si>
  <si>
    <t>p_fb9e214ff17498461c588f42a09129c5bbe9c894@inbound.aiesec.org</t>
  </si>
  <si>
    <t>Faculty of Philosophy, Belgrade</t>
  </si>
  <si>
    <t>2023-09-10T19:26:15Z</t>
  </si>
  <si>
    <t>5375178_1294342</t>
  </si>
  <si>
    <t>Yunus Emre Dag</t>
  </si>
  <si>
    <t>p_9ff9bca6e1a85df8260dd67cb5f475524d582f59@inbound.aiesec.org</t>
  </si>
  <si>
    <t>https://expa.aiesec.org/opportunities/1294342</t>
  </si>
  <si>
    <t>Digital Marketing Support Associate</t>
  </si>
  <si>
    <t>2023-11-18T21:05:12Z</t>
  </si>
  <si>
    <t>5375617_1292535</t>
  </si>
  <si>
    <t>ilef mardessi</t>
  </si>
  <si>
    <t>p_d1bfd143a72732a36c4312970de0449fad8eb946@inbound.aiesec.org</t>
  </si>
  <si>
    <t>2023-11-19T22:08:22Z</t>
  </si>
  <si>
    <t>5376603_1293239</t>
  </si>
  <si>
    <t>Sude Eyidoğan</t>
  </si>
  <si>
    <t>p_d8a9ec51d0bef6108d4abcd4478350d5dbd32397@inbound.aiesec.org</t>
  </si>
  <si>
    <t>https://expa.aiesec.org/opportunities/1293239</t>
  </si>
  <si>
    <t>2023-11-21T10:11:53Z</t>
  </si>
  <si>
    <t>5376295_1289372</t>
  </si>
  <si>
    <t>Alime Sena Çevik</t>
  </si>
  <si>
    <t>p_66741e4c6f791200f7a2182964c0edf74a726806@inbound.aiesec.org</t>
  </si>
  <si>
    <t>2023-11-20T19:11:50Z</t>
  </si>
  <si>
    <t>5376157_1299474</t>
  </si>
  <si>
    <t>Yasmine Mechergui</t>
  </si>
  <si>
    <t>p_06cb3a6591b8c387a8ff515f6b2c396e3bb4fea7@inbound.aiesec.org</t>
  </si>
  <si>
    <t>2023-11-20T16:29:34Z</t>
  </si>
  <si>
    <t>5375821_1288609</t>
  </si>
  <si>
    <t>Kübra KAPLAN</t>
  </si>
  <si>
    <t>p_6fd22cc2fbfcffe14fea6d6174478d6bf94d8c4b@inbound.aiesec.org</t>
  </si>
  <si>
    <t>2023-11-20T09:43:39Z</t>
  </si>
  <si>
    <t>5227079_1301022</t>
  </si>
  <si>
    <t>Bora Yalçın</t>
  </si>
  <si>
    <t>p_f9d200c9ad08b106fa5c02432e42dd3e1b3b28c9@inbound.aiesec.org</t>
  </si>
  <si>
    <t>https://expa.aiesec.org/opportunities/1301022</t>
  </si>
  <si>
    <t>2023-03-25T20:59:32Z</t>
  </si>
  <si>
    <t>5332239_1291254</t>
  </si>
  <si>
    <t>Olesya Marchenkovskaya</t>
  </si>
  <si>
    <t>p_c7e3557209a44603d0bd4ea9b55675023afcfe56@inbound.aiesec.org</t>
  </si>
  <si>
    <t>2023-09-25T16:17:39Z</t>
  </si>
  <si>
    <t>5363974_1301307</t>
  </si>
  <si>
    <t>5366812_1289502</t>
  </si>
  <si>
    <t>Tanias Shahid</t>
  </si>
  <si>
    <t>p_4564acdabb4362b273c04d110be03f6b42aeeb6c@inbound.aiesec.org</t>
  </si>
  <si>
    <t>UoB (Business)</t>
  </si>
  <si>
    <t>2023-11-04T14:57:43Z</t>
  </si>
  <si>
    <t>5376383_1294584</t>
  </si>
  <si>
    <t>Yana Haida</t>
  </si>
  <si>
    <t>p_44d893fec601740035543d80a4e25569a20036df@inbound.aiesec.org</t>
  </si>
  <si>
    <t>2023-11-20T22:11:16Z</t>
  </si>
  <si>
    <t>5372922_1296885</t>
  </si>
  <si>
    <t>Havvanur GÜLCAN</t>
  </si>
  <si>
    <t>p_b1c23ce4fb9a25661656ca37a28bcfa5d6fab06b@inbound.aiesec.org</t>
  </si>
  <si>
    <t>2023-11-15T13:21:08Z</t>
  </si>
  <si>
    <t>5347249_1300681</t>
  </si>
  <si>
    <t>Beyza Bilge</t>
  </si>
  <si>
    <t>p_d3a1f189f06626d4661cbb2a0ec94c7a5083181b@inbound.aiesec.org</t>
  </si>
  <si>
    <t>https://expa.aiesec.org/opportunities/1300681</t>
  </si>
  <si>
    <t>2023-10-09T21:00:02Z</t>
  </si>
  <si>
    <t>5260484_1301246</t>
  </si>
  <si>
    <t>Esra Sulun</t>
  </si>
  <si>
    <t>p_64cf9f5e10b8b2d6be7991aab6b583daad0fd10e@inbound.aiesec.org</t>
  </si>
  <si>
    <t>https://expa.aiesec.org/opportunities/1301246</t>
  </si>
  <si>
    <t>2023-05-13T12:30:25Z</t>
  </si>
  <si>
    <t>5375099_1294372</t>
  </si>
  <si>
    <t>Mihaela Stoian</t>
  </si>
  <si>
    <t>p_719296e0cf303e5463dae97753a132bd2decbebb@inbound.aiesec.org</t>
  </si>
  <si>
    <t>2023-11-18T18:11:18Z</t>
  </si>
  <si>
    <t>5175833_1299661</t>
  </si>
  <si>
    <t>mehman abuzerzade</t>
  </si>
  <si>
    <t>p_1cc9016b9d5ee7c4745e7f2e3d81c07262ef8315@inbound.aiesec.org</t>
  </si>
  <si>
    <t>https://expa.aiesec.org/opportunities/1299661</t>
  </si>
  <si>
    <t>2023-01-12T09:53:38Z</t>
  </si>
  <si>
    <t>2479544_1287488</t>
  </si>
  <si>
    <t>ARAB MOHAMMED</t>
  </si>
  <si>
    <t>p_3aa8b84806ca4c10a9c62742846f04d86d91291b@inbound.aiesec.org</t>
  </si>
  <si>
    <t>2018-08-10T05:38:53Z</t>
  </si>
  <si>
    <t>5376808_1294232</t>
  </si>
  <si>
    <t>Ramazan Öcal</t>
  </si>
  <si>
    <t>p_e7422711544d6fe46c7a8353c46416b0d9fecd53@inbound.aiesec.org</t>
  </si>
  <si>
    <t>2023-11-21T14:42:32Z</t>
  </si>
  <si>
    <t>5376975_1294232</t>
  </si>
  <si>
    <t>Şefik Calayır</t>
  </si>
  <si>
    <t>p_f31a984653a2247a008ec075c689d6084e6dcdad@inbound.aiesec.org</t>
  </si>
  <si>
    <t>2023-11-21T17:27:04Z</t>
  </si>
  <si>
    <t>5376246_1296625</t>
  </si>
  <si>
    <t>p_04c7e34b283f61d89aaba9a1f2b10c726440b6b7@inbound.aiesec.org</t>
  </si>
  <si>
    <t>2023-11-20T17:57:00Z</t>
  </si>
  <si>
    <t>5373542_1288490</t>
  </si>
  <si>
    <t>Oana Salantai</t>
  </si>
  <si>
    <t>p_13c1b575051a04d8a66d9d5f5bfbd14cc8cd5b78@inbound.aiesec.org</t>
  </si>
  <si>
    <t>2023-11-16T15:35:22Z</t>
  </si>
  <si>
    <t>5375466_1299929</t>
  </si>
  <si>
    <t>Muharrem Yılmaz</t>
  </si>
  <si>
    <t>p_ed92384ab3e56ea7f7578bdf908ce47981d11fa3@inbound.aiesec.org</t>
  </si>
  <si>
    <t>2023-11-19T14:37:55Z</t>
  </si>
  <si>
    <t>5369559_1286034</t>
  </si>
  <si>
    <t>Mikołaj Mazan</t>
  </si>
  <si>
    <t>p_c3d28450e164d931c5de443c4832b5d659e99034@inbound.aiesec.org</t>
  </si>
  <si>
    <t>2023-11-09T09:21:07Z</t>
  </si>
  <si>
    <t>5373543_1289597</t>
  </si>
  <si>
    <t>Ema Cominceanu</t>
  </si>
  <si>
    <t>p_fb6ad88ff950684a85ecdc4ea29421477a99aed5@inbound.aiesec.org</t>
  </si>
  <si>
    <t>2023-11-16T15:36:33Z</t>
  </si>
  <si>
    <t>5373221_1296101</t>
  </si>
  <si>
    <t>Mohamed Wassim Amor</t>
  </si>
  <si>
    <t>p_02908c405ad92f31d90ad22be6f596460f6b87f4@inbound.aiesec.org</t>
  </si>
  <si>
    <t>2023-11-16T00:17:40Z</t>
  </si>
  <si>
    <t>5375161_1289597</t>
  </si>
  <si>
    <t>Ameni YAHYAOUI</t>
  </si>
  <si>
    <t>p_0ea6c64dc90da2549391c695213b20dbe33b5513@inbound.aiesec.org</t>
  </si>
  <si>
    <t>2023-11-18T20:20:36Z</t>
  </si>
  <si>
    <t>5375635_1289536</t>
  </si>
  <si>
    <t>hsoumi mariem</t>
  </si>
  <si>
    <t>p_1d790607b44fd379bdd3412ae21af060e25a9cd1@inbound.aiesec.org</t>
  </si>
  <si>
    <t>2023-11-19T23:16:01Z</t>
  </si>
  <si>
    <t>4871296_1300056</t>
  </si>
  <si>
    <t>Eduardo Mattos</t>
  </si>
  <si>
    <t>p_c1a2515387384e8789b329fd3a680470137c78f9@inbound.aiesec.org</t>
  </si>
  <si>
    <t>2022-01-07T18:51:19Z</t>
  </si>
  <si>
    <t>5362161_1301306</t>
  </si>
  <si>
    <t>https://expa.aiesec.org/opportunities/1301306</t>
  </si>
  <si>
    <t>5372590_1301281</t>
  </si>
  <si>
    <t>Yusuf Altıntaş</t>
  </si>
  <si>
    <t>p_7237b77851437091b63f955195595f21129c8180@inbound.aiesec.org</t>
  </si>
  <si>
    <t>https://expa.aiesec.org/opportunities/1301281</t>
  </si>
  <si>
    <t>2023-11-14T22:14:58Z</t>
  </si>
  <si>
    <t>2206508_1299818</t>
  </si>
  <si>
    <t>Doğukan Kargın</t>
  </si>
  <si>
    <t>p_72a4c65b15335b1d58bb7445bed8e0dda07851b3@inbound.aiesec.org</t>
  </si>
  <si>
    <t>https://expa.aiesec.org/opportunities/1299818</t>
  </si>
  <si>
    <t>Innovation Engagement intern</t>
  </si>
  <si>
    <t>2018-04-17T12:00:33Z</t>
  </si>
  <si>
    <t>5377347_1289536</t>
  </si>
  <si>
    <t>Amal Laouini</t>
  </si>
  <si>
    <t>p_782a0bb802eb5f864b5184dd6aa533d0b17022ab@inbound.aiesec.org</t>
  </si>
  <si>
    <t>2023-11-22T09:46:50Z</t>
  </si>
  <si>
    <t>5370288_1289536</t>
  </si>
  <si>
    <t>Ghofran Ben hamed</t>
  </si>
  <si>
    <t>p_3e4df2b88b58270a3db4498758773f986e8d345f@inbound.aiesec.org</t>
  </si>
  <si>
    <t>2023-11-10T11:44:20Z</t>
  </si>
  <si>
    <t>5375911_1294232</t>
  </si>
  <si>
    <t>Sadık Dur</t>
  </si>
  <si>
    <t>p_51645f99b91e412a7f5c6e0db59d37a081179310@inbound.aiesec.org</t>
  </si>
  <si>
    <t>2023-11-20T11:43:19Z</t>
  </si>
  <si>
    <t>5211352_1289583</t>
  </si>
  <si>
    <t>https://expa.aiesec.org/opportunities/1289583</t>
  </si>
  <si>
    <t>5377355_1292947</t>
  </si>
  <si>
    <t>Doğu Can Kel</t>
  </si>
  <si>
    <t>p_42adfc17a691400dc843d83b508bf20262e2610a@inbound.aiesec.org</t>
  </si>
  <si>
    <t>2023-11-22T10:03:15Z</t>
  </si>
  <si>
    <t>5377553_1293235</t>
  </si>
  <si>
    <t>Merve Saka</t>
  </si>
  <si>
    <t>p_195aa603c786260c514b12dc60f09da73d29dac9@inbound.aiesec.org</t>
  </si>
  <si>
    <t>2023-11-22T14:34:34Z</t>
  </si>
  <si>
    <t>5364446_1286917</t>
  </si>
  <si>
    <t>Preet Mahajan</t>
  </si>
  <si>
    <t>p_c7bfca2b8b2fa56aab3c1a22f29bcff1b75d49b4@inbound.aiesec.org</t>
  </si>
  <si>
    <t>2023-10-31T18:12:07Z</t>
  </si>
  <si>
    <t>5376809_1294584</t>
  </si>
  <si>
    <t>Nadia Zarvanska</t>
  </si>
  <si>
    <t>p_d1aa6c7460820b7b9c3d80ef1d7524d08ff886fc@inbound.aiesec.org</t>
  </si>
  <si>
    <t>2023-11-21T14:43:25Z</t>
  </si>
  <si>
    <t>5375086_1300100</t>
  </si>
  <si>
    <t>Barış Ali Aksu</t>
  </si>
  <si>
    <t>p_62e7bcf4645c75267ca09d35d0c5fd0ef15778bb@inbound.aiesec.org</t>
  </si>
  <si>
    <t>https://expa.aiesec.org/opportunities/1300100</t>
  </si>
  <si>
    <t>2023-11-18T17:22:30Z</t>
  </si>
  <si>
    <t>5374446_1300837</t>
  </si>
  <si>
    <t>Alexandru Manuel Bordea</t>
  </si>
  <si>
    <t>p_6d1ecd8e6bce8f8bd8f4b27fdf8239ecb36ed629@inbound.aiesec.org</t>
  </si>
  <si>
    <t>https://expa.aiesec.org/opportunities/1300837</t>
  </si>
  <si>
    <t>2023-11-17T14:00:32Z</t>
  </si>
  <si>
    <t>5377640_1299758</t>
  </si>
  <si>
    <t>Su Eda Çalıs</t>
  </si>
  <si>
    <t>p_b3b10675ee4d4251584fd74b43725fd4826483b6@inbound.aiesec.org</t>
  </si>
  <si>
    <t>https://expa.aiesec.org/opportunities/1299758</t>
  </si>
  <si>
    <t>2023-11-22T16:20:55Z</t>
  </si>
  <si>
    <t>5377647_1299758</t>
  </si>
  <si>
    <t>Merve Kaya</t>
  </si>
  <si>
    <t>p_a9e2eb8c97b6ef77498d2441ba9f369c72d2ddb8@inbound.aiesec.org</t>
  </si>
  <si>
    <t>2023-11-22T16:32:44Z</t>
  </si>
  <si>
    <t>5279296_1299666</t>
  </si>
  <si>
    <t>Chourouk Khiari</t>
  </si>
  <si>
    <t>p_939eaae669542da3caef3d294469bada27b183a6@inbound.aiesec.org</t>
  </si>
  <si>
    <t>2023-06-25T16:12:10Z</t>
  </si>
  <si>
    <t>5257871_1298556</t>
  </si>
  <si>
    <t>Isaque da Silva Santos de Souza</t>
  </si>
  <si>
    <t>p_02ded7ee0b6e30fb7366f18482a87f665dde72bb@inbound.aiesec.org</t>
  </si>
  <si>
    <t>2023-05-08T18:49:15Z</t>
  </si>
  <si>
    <t>5376268_1300097</t>
  </si>
  <si>
    <t>Emirhan Kartal</t>
  </si>
  <si>
    <t>p_cb82008913ad8cb0fc6597454aca83cb75ae9a39@inbound.aiesec.org</t>
  </si>
  <si>
    <t>2023-11-20T18:21:27Z</t>
  </si>
  <si>
    <t>5374304_1300779</t>
  </si>
  <si>
    <t>Ata Can Elçi</t>
  </si>
  <si>
    <t>p_e365b816904fe3363848dc53edba856f1022f121@inbound.aiesec.org</t>
  </si>
  <si>
    <t>2023-11-17T09:55:34Z</t>
  </si>
  <si>
    <t>5374291_1300779</t>
  </si>
  <si>
    <t>Meltem Yağmur Elçi</t>
  </si>
  <si>
    <t>p_f8caa8ce044ecb2ee83687608b337a4592078dda@inbound.aiesec.org</t>
  </si>
  <si>
    <t>2023-11-17T09:34:24Z</t>
  </si>
  <si>
    <t>5377065_1301227</t>
  </si>
  <si>
    <t>Hatice Hatipoğlu</t>
  </si>
  <si>
    <t>p_8c4bb4ae82ae96d11ce431a6789bd42ecdbadae2@inbound.aiesec.org</t>
  </si>
  <si>
    <t>https://expa.aiesec.org/opportunities/1301227</t>
  </si>
  <si>
    <t>2023-11-21T20:20:29Z</t>
  </si>
  <si>
    <t>5340108_1301303</t>
  </si>
  <si>
    <t>deleted 5340108</t>
  </si>
  <si>
    <t>p_eb12824a3cff11c9e599b1d0f1727b91c3316700@inbound.aiesec.org</t>
  </si>
  <si>
    <t>https://expa.aiesec.org/opportunities/1301303</t>
  </si>
  <si>
    <t>2023-10-02T20:33:22Z</t>
  </si>
  <si>
    <t>5376324_1289536</t>
  </si>
  <si>
    <t>Arij Jemal</t>
  </si>
  <si>
    <t>p_8d72c9638ce3baf53a3182f433eb0f516c268c98@inbound.aiesec.org</t>
  </si>
  <si>
    <t>2023-11-20T20:12:32Z</t>
  </si>
  <si>
    <t>4161704_1288843</t>
  </si>
  <si>
    <t>İnci Acar</t>
  </si>
  <si>
    <t>p_5d624d022c0d5cadcb1f708460080832c905f36a@inbound.aiesec.org</t>
  </si>
  <si>
    <t>2020-01-31T12:12:55Z</t>
  </si>
  <si>
    <t>5378441_1299199</t>
  </si>
  <si>
    <t>Dilek Kılbahri</t>
  </si>
  <si>
    <t>p_a478b47e28df2d6ea414afd3379e5d407a3518df@inbound.aiesec.org</t>
  </si>
  <si>
    <t>https://expa.aiesec.org/opportunities/1299199</t>
  </si>
  <si>
    <t>2023-11-23T16:16:26Z</t>
  </si>
  <si>
    <t>5279810_1291254</t>
  </si>
  <si>
    <t>Ichrak Kammoun</t>
  </si>
  <si>
    <t>p_948fcd0b13fb56527483be336d08a06f6413132a@inbound.aiesec.org</t>
  </si>
  <si>
    <t>2023-06-27T10:46:17Z</t>
  </si>
  <si>
    <t>5377513_1292947</t>
  </si>
  <si>
    <t>Beyza Ozgumus</t>
  </si>
  <si>
    <t>p_fc7ebce35b0d8287351a791845b8d2fcc236b355@inbound.aiesec.org</t>
  </si>
  <si>
    <t>2023-11-22T13:35:37Z</t>
  </si>
  <si>
    <t>5357878_1286034</t>
  </si>
  <si>
    <t>Jatlaoui Heni</t>
  </si>
  <si>
    <t>p_afb6d63018d107c6a024a825bf6534f5aeeca3f3@inbound.aiesec.org</t>
  </si>
  <si>
    <t>2023-10-23T13:27:20Z</t>
  </si>
  <si>
    <t>5374556_1299661</t>
  </si>
  <si>
    <t>Müge Girgin</t>
  </si>
  <si>
    <t>p_88f84371d260026e619cd5c2949a46287508c0f5@inbound.aiesec.org</t>
  </si>
  <si>
    <t>2023-11-17T16:39:09Z</t>
  </si>
  <si>
    <t>5368386_1298282</t>
  </si>
  <si>
    <t>Polina Pohrebna</t>
  </si>
  <si>
    <t>p_b151e9baa4f06891247c267b0befcb578df16957@inbound.aiesec.org</t>
  </si>
  <si>
    <t>2023-11-07T15:53:53Z</t>
  </si>
  <si>
    <t>5378557_1289516</t>
  </si>
  <si>
    <t>Halime Gürbüz</t>
  </si>
  <si>
    <t>p_42021dd6fd1502bdf5e57a7046a781ca906f61d5@inbound.aiesec.org</t>
  </si>
  <si>
    <t>https://expa.aiesec.org/opportunities/1289516</t>
  </si>
  <si>
    <t>2023-11-23T19:31:46Z</t>
  </si>
  <si>
    <t>5378395_1291254</t>
  </si>
  <si>
    <t>Sabrine Ben amara</t>
  </si>
  <si>
    <t>p_9261d5c798e4a1fd17dc440ca1f279ac826e8d70@inbound.aiesec.org</t>
  </si>
  <si>
    <t>2023-11-23T15:15:02Z</t>
  </si>
  <si>
    <t>5375506_1289850</t>
  </si>
  <si>
    <t>p_b282fb7432dff6a3860ddadb800b18008b408263@inbound.aiesec.org</t>
  </si>
  <si>
    <t>MERSIN</t>
  </si>
  <si>
    <t>2023-11-19T16:36:27Z</t>
  </si>
  <si>
    <t>5366857_1289597</t>
  </si>
  <si>
    <t>Salma Chidali</t>
  </si>
  <si>
    <t>p_9ddf7084005f02d9d348f2da0c1a13465e72c376@inbound.aiesec.org</t>
  </si>
  <si>
    <t>2023-11-04T15:51:42Z</t>
  </si>
  <si>
    <t>5377585_1299331</t>
  </si>
  <si>
    <t>Elif Caglayan</t>
  </si>
  <si>
    <t>p_b8520bdb027cd5f6d178ae52b40b4bee3b2964f2@inbound.aiesec.org</t>
  </si>
  <si>
    <t>https://expa.aiesec.org/opportunities/1299331</t>
  </si>
  <si>
    <t>2023-11-22T15:11:23Z</t>
  </si>
  <si>
    <t>5374313_1301583</t>
  </si>
  <si>
    <t>Mehmet Aybek</t>
  </si>
  <si>
    <t>p_9d552fd330a343522464d8a5dd574a66e70f82a4@inbound.aiesec.org</t>
  </si>
  <si>
    <t>https://expa.aiesec.org/opportunities/1301583</t>
  </si>
  <si>
    <t>2023-11-17T10:10:46Z</t>
  </si>
  <si>
    <t>5375953_1299956</t>
  </si>
  <si>
    <t>Ezgi Erten</t>
  </si>
  <si>
    <t>p_7dddc9605820ed23293fde6134a111d01cd0bcc6@inbound.aiesec.org</t>
  </si>
  <si>
    <t>https://expa.aiesec.org/opportunities/1299956</t>
  </si>
  <si>
    <t>2023-11-20T12:46:33Z</t>
  </si>
  <si>
    <t>5370389_1301559</t>
  </si>
  <si>
    <t>Bochra Bouafsoun</t>
  </si>
  <si>
    <t>p_4b2d36c8ebdce0b45b2fa7ae8c526ca301b2f638@inbound.aiesec.org</t>
  </si>
  <si>
    <t>https://expa.aiesec.org/opportunities/1301559</t>
  </si>
  <si>
    <t>PRE - SCHOOL TEACHER at ISTANBUL AIKA/BAHÇEŞEHİR</t>
  </si>
  <si>
    <t>2023-11-10T15:26:49Z</t>
  </si>
  <si>
    <t>5361724_1281010</t>
  </si>
  <si>
    <t>Bassem El Abed</t>
  </si>
  <si>
    <t>p_dea91a41b4c7b17e62fe10250c07bada309774bb@inbound.aiesec.org</t>
  </si>
  <si>
    <t>2023-10-27T18:37:55Z</t>
  </si>
  <si>
    <t>5377670_1296244</t>
  </si>
  <si>
    <t>Irmak Samsunlu</t>
  </si>
  <si>
    <t>p_4607c9198c3cad1483420b26348981702ff89678@inbound.aiesec.org</t>
  </si>
  <si>
    <t>2023-11-22T17:06:15Z</t>
  </si>
  <si>
    <t>5378412_1288609</t>
  </si>
  <si>
    <t>Sıla Sövek</t>
  </si>
  <si>
    <t>p_cd7eaacaeb295b3cd69e975034cef4b41d470cd3@inbound.aiesec.org</t>
  </si>
  <si>
    <t>2023-11-23T15:37:07Z</t>
  </si>
  <si>
    <t>5376026_1288609</t>
  </si>
  <si>
    <t>Cudi Can Tayşun</t>
  </si>
  <si>
    <t>p_bba613f76751e4cbcf09a00902eb32e2ec4b467c@inbound.aiesec.org</t>
  </si>
  <si>
    <t>2023-11-20T13:42:00Z</t>
  </si>
  <si>
    <t>4978490_1301307</t>
  </si>
  <si>
    <t>Furkan SANDIKCI</t>
  </si>
  <si>
    <t>p_ea18b6b041cf1e4a6ea58d2ab61b1c112cf760fa@inbound.aiesec.org</t>
  </si>
  <si>
    <t>2022-03-11T13:16:01Z</t>
  </si>
  <si>
    <t>5375068_1281345</t>
  </si>
  <si>
    <t>Sinem Sude Sükün</t>
  </si>
  <si>
    <t>p_cd6ded9396ad9e5324208a56abd8d21a6fa35c4a@inbound.aiesec.org</t>
  </si>
  <si>
    <t>2023-11-18T16:58:50Z</t>
  </si>
  <si>
    <t>5369226_1281345</t>
  </si>
  <si>
    <t>Helin Gunes</t>
  </si>
  <si>
    <t>p_1c09044d038bcca61637687e04f0686005a2210a@inbound.aiesec.org</t>
  </si>
  <si>
    <t>2023-11-08T18:52:36Z</t>
  </si>
  <si>
    <t>5368257_1291634</t>
  </si>
  <si>
    <t>christiane winzenick</t>
  </si>
  <si>
    <t>p_37637e805fbeed07e0439aa3e1d7dc8213a320d8@inbound.aiesec.org</t>
  </si>
  <si>
    <t>PADERBORN</t>
  </si>
  <si>
    <t>Paderborn</t>
  </si>
  <si>
    <t>2023-11-07T13:23:06Z</t>
  </si>
  <si>
    <t>5376572_1283288</t>
  </si>
  <si>
    <t>Sarah Bauroth</t>
  </si>
  <si>
    <t>p_21a191f96f0c79f0004f05bdf9b063be138ae84d@inbound.aiesec.org</t>
  </si>
  <si>
    <t>HALLE</t>
  </si>
  <si>
    <t>Leipzig</t>
  </si>
  <si>
    <t>2023-11-21T08:59:40Z</t>
  </si>
  <si>
    <t>5345516_1292650</t>
  </si>
  <si>
    <t>Fatma Sıla Durmuş</t>
  </si>
  <si>
    <t>p_e23d2dc35962852d6317eaacdfd151e38c46168a@inbound.aiesec.org</t>
  </si>
  <si>
    <t>https://expa.aiesec.org/opportunities/1292650</t>
  </si>
  <si>
    <t>2023-10-08T10:35:28Z</t>
  </si>
  <si>
    <t>5375452_1292188</t>
  </si>
  <si>
    <t>Büşra Kaya</t>
  </si>
  <si>
    <t>p_8ac4b921c9ecfed841dc4d1cc0f7778b70e998d5@inbound.aiesec.org</t>
  </si>
  <si>
    <t>2023-11-19T14:15:22Z</t>
  </si>
  <si>
    <t>5366740_1289536</t>
  </si>
  <si>
    <t>zeineb touhami</t>
  </si>
  <si>
    <t>p_1b8592134c7fb65da5f46c5317588daae9cbfdf7@inbound.aiesec.org</t>
  </si>
  <si>
    <t>2023-11-04T12:14:11Z</t>
  </si>
  <si>
    <t>5377047_1289536</t>
  </si>
  <si>
    <t>Islem Ayedi</t>
  </si>
  <si>
    <t>p_a2417af96aa1efe5dd06fc56c8be887fb17a3346@inbound.aiesec.org</t>
  </si>
  <si>
    <t>2023-11-21T19:38:17Z</t>
  </si>
  <si>
    <t>5377749_1288330</t>
  </si>
  <si>
    <t>nisa yavuz</t>
  </si>
  <si>
    <t>p_dfd2a5265cf42c4ecf7f4354c150b2f7fdb3c908@inbound.aiesec.org</t>
  </si>
  <si>
    <t>2023-11-22T19:21:14Z</t>
  </si>
  <si>
    <t>5377750_1288330</t>
  </si>
  <si>
    <t>sena nur yavuz</t>
  </si>
  <si>
    <t>p_badd78fa6696220080a8247c670ed99e4a0ce73f@inbound.aiesec.org</t>
  </si>
  <si>
    <t>2023-11-22T19:21:23Z</t>
  </si>
  <si>
    <t>5377330_1301244</t>
  </si>
  <si>
    <t>Oğuz Tuğrul</t>
  </si>
  <si>
    <t>p_1c037a64a0f7f2e34cab13891b2193668b12e2a1@inbound.aiesec.org</t>
  </si>
  <si>
    <t>https://expa.aiesec.org/opportunities/1301244</t>
  </si>
  <si>
    <t>2023-11-22T09:21:25Z</t>
  </si>
  <si>
    <t>5377332_1301244</t>
  </si>
  <si>
    <t>Sena Nur Çetin</t>
  </si>
  <si>
    <t>p_7ff16b8f0aeab63a7f8cf358101df56be0c77772@inbound.aiesec.org</t>
  </si>
  <si>
    <t>2023-11-22T09:21:46Z</t>
  </si>
  <si>
    <t>5377333_1301244</t>
  </si>
  <si>
    <t>Furkan Efe Alkan</t>
  </si>
  <si>
    <t>p_8b54996ddf2b99c3804d4e226f0ff27c8563b9a4@inbound.aiesec.org</t>
  </si>
  <si>
    <t>2023-11-22T09:21:56Z</t>
  </si>
  <si>
    <t>5379321_1289536</t>
  </si>
  <si>
    <t>oussama abidi</t>
  </si>
  <si>
    <t>p_c98c711eb5aba30549c0f42b2386acfaba3dd03e@inbound.aiesec.org</t>
  </si>
  <si>
    <t>2023-11-24T21:16:55Z</t>
  </si>
  <si>
    <t>5379315_1289536</t>
  </si>
  <si>
    <t>Oumayma Laroussi</t>
  </si>
  <si>
    <t>p_88223d43be329f420409a3570cc9d0ab5a373292@inbound.aiesec.org</t>
  </si>
  <si>
    <t>2023-11-24T20:49:22Z</t>
  </si>
  <si>
    <t>5378900_1301171</t>
  </si>
  <si>
    <t>Rabia Nisan Özdemir</t>
  </si>
  <si>
    <t>p_f8427a619b1e7400d19219e4e9eb1e16bc4aec38@inbound.aiesec.org</t>
  </si>
  <si>
    <t>https://expa.aiesec.org/opportunities/1301171</t>
  </si>
  <si>
    <t>2023-11-24T10:33:20Z</t>
  </si>
  <si>
    <t>5374714_1284668</t>
  </si>
  <si>
    <t>Chaimae El kroumi</t>
  </si>
  <si>
    <t>p_3f4b1c548aadd8214532c4573d5390e5b822a984@inbound.aiesec.org</t>
  </si>
  <si>
    <t>Collège LaSalle Marrakech</t>
  </si>
  <si>
    <t>2023-11-17T22:04:06Z</t>
  </si>
  <si>
    <t>5379336_1294473</t>
  </si>
  <si>
    <t>p_0abf378d8781d44d65838891b54848a787047d12@inbound.aiesec.org</t>
  </si>
  <si>
    <t>2023-11-24T22:29:31Z</t>
  </si>
  <si>
    <t>5377598_1288609</t>
  </si>
  <si>
    <t>p_6c940497fd880efc6fc095d553648e67d9477552@inbound.aiesec.org</t>
  </si>
  <si>
    <t>2023-11-22T15:17:28Z</t>
  </si>
  <si>
    <t>5377019_1288609</t>
  </si>
  <si>
    <t>Begüm Ece ELÇEKİN</t>
  </si>
  <si>
    <t>p_fb945d78c46fecf4b8b3d0a72fd98fb94a74e6ca@inbound.aiesec.org</t>
  </si>
  <si>
    <t>2023-11-21T18:44:27Z</t>
  </si>
  <si>
    <t>5169077_1288609</t>
  </si>
  <si>
    <t>5376280_1288609</t>
  </si>
  <si>
    <t>Mervegül ÖLÇEK</t>
  </si>
  <si>
    <t>p_21b46e687791be00fa5182d12bd1ab6ba3a993bd@inbound.aiesec.org</t>
  </si>
  <si>
    <t>2023-11-20T18:43:01Z</t>
  </si>
  <si>
    <t>5327338_1301039</t>
  </si>
  <si>
    <t>Eylem Aydemir</t>
  </si>
  <si>
    <t>p_1af53dbdc656868c2c514c53a7171eb7c872805c@inbound.aiesec.org</t>
  </si>
  <si>
    <t>https://expa.aiesec.org/opportunities/1301039</t>
  </si>
  <si>
    <t>2023-09-19T10:01:17Z</t>
  </si>
  <si>
    <t>5379232_1299605</t>
  </si>
  <si>
    <t>Mustafa Yiğit Mart</t>
  </si>
  <si>
    <t>p_804ef52c13c7e8d93ec8732350496ca8cddc5bd9@inbound.aiesec.org</t>
  </si>
  <si>
    <t>2023-11-24T17:09:43Z</t>
  </si>
  <si>
    <t>5377797_1298372</t>
  </si>
  <si>
    <t>Nil Küçük</t>
  </si>
  <si>
    <t>p_f84b784277e226630efbe57852ecd2c8d013e364@inbound.aiesec.org</t>
  </si>
  <si>
    <t>2023-11-22T21:03:12Z</t>
  </si>
  <si>
    <t>5336268_1301281</t>
  </si>
  <si>
    <t>Sude Nur Altındişoğulları</t>
  </si>
  <si>
    <t>p_7d837973a9eee31451ae8c9061ae22b88c657124@inbound.aiesec.org</t>
  </si>
  <si>
    <t>2023-09-28T13:37:06Z</t>
  </si>
  <si>
    <t>5374272_1298053</t>
  </si>
  <si>
    <t>Deniz GERİDÖNMEZ</t>
  </si>
  <si>
    <t>p_5d0414fa33a4159b7459d15072a6180ebe992046@inbound.aiesec.org</t>
  </si>
  <si>
    <t>2023-11-17T08:41:03Z</t>
  </si>
  <si>
    <t>5376509_1295628</t>
  </si>
  <si>
    <t>Eda Akkas</t>
  </si>
  <si>
    <t>p_b6a0186556140fd7749298f8cc3c438c35b2b6e4@inbound.aiesec.org</t>
  </si>
  <si>
    <t>2023-11-21T06:23:18Z</t>
  </si>
  <si>
    <t>5379548_1300628</t>
  </si>
  <si>
    <t>Baran Deniz</t>
  </si>
  <si>
    <t>p_96b86100fc4888da93c2200e93954338eb37d572@inbound.aiesec.org</t>
  </si>
  <si>
    <t>2023-11-25T11:11:19Z</t>
  </si>
  <si>
    <t>5379737_1272564</t>
  </si>
  <si>
    <t>Sara Cruz</t>
  </si>
  <si>
    <t>p_50a87e60a6b5833be9c5ccede7e0ea87943cd4b5@inbound.aiesec.org</t>
  </si>
  <si>
    <t>Não frequento uma instituição de ensino superior, mas moro no distrito de Lisboa, sendo mais cómodo deslocar-me fisicamente à zona do Rato</t>
  </si>
  <si>
    <t>2023-11-25T16:43:18Z</t>
  </si>
  <si>
    <t>5379616_1294232</t>
  </si>
  <si>
    <t>Kubilay Tuna Ozen</t>
  </si>
  <si>
    <t>p_82a07d8dc805856e03fe6147f468e5db9d260beb@inbound.aiesec.org</t>
  </si>
  <si>
    <t>2023-11-25T13:02:47Z</t>
  </si>
  <si>
    <t>5378244_1286668</t>
  </si>
  <si>
    <t>yigit mercan</t>
  </si>
  <si>
    <t>p_919d99eb943ade73c2fecbcca3770d49d9daad01@inbound.aiesec.org</t>
  </si>
  <si>
    <t>https://expa.aiesec.org/opportunities/1286668</t>
  </si>
  <si>
    <t>English teacher at EGYPT ( Menofia )</t>
  </si>
  <si>
    <t>2023-11-23T11:37:05Z</t>
  </si>
  <si>
    <t>5379789_1279126</t>
  </si>
  <si>
    <t>manel ben ahmed</t>
  </si>
  <si>
    <t>p_14c877b9d55f2a9d5c34e474e1136af75ceadae7@inbound.aiesec.org</t>
  </si>
  <si>
    <t>2023-11-25T19:05:32Z</t>
  </si>
  <si>
    <t>5379735_1289536</t>
  </si>
  <si>
    <t>islem friji</t>
  </si>
  <si>
    <t>p_d8c6af9f65c2b075602fafb19fd44d56eace4dbb@inbound.aiesec.org</t>
  </si>
  <si>
    <t>2023-11-25T16:42:20Z</t>
  </si>
  <si>
    <t>5203656_1272564</t>
  </si>
  <si>
    <t>Polina Gnylytska</t>
  </si>
  <si>
    <t>p_e00e56c474766d8e0baf576e5fc7ec4da30fb21c@inbound.aiesec.org</t>
  </si>
  <si>
    <t>2023-03-02T13:14:11Z</t>
  </si>
  <si>
    <t>5347657_1296670</t>
  </si>
  <si>
    <t>Mahitab Ehab</t>
  </si>
  <si>
    <t>p_9de88b7fda5c5f091ddeb87d9cb1d7dbf3a8a068@inbound.aiesec.org</t>
  </si>
  <si>
    <t>2023-10-10T10:29:33Z</t>
  </si>
  <si>
    <t>5380111_1300123</t>
  </si>
  <si>
    <t>Yusuf Kalan</t>
  </si>
  <si>
    <t>p_131df0d868f5bfa6cd72154ce2a721e6185c29e7@inbound.aiesec.org</t>
  </si>
  <si>
    <t>https://expa.aiesec.org/opportunities/1300123</t>
  </si>
  <si>
    <t>Content Creator</t>
  </si>
  <si>
    <t>2023-11-26T11:17:31Z</t>
  </si>
  <si>
    <t>5379179_1287855</t>
  </si>
  <si>
    <t>Samuel Shadrach</t>
  </si>
  <si>
    <t>p_cc4f2e5323a8b757ec67899bdc4d68ea88a03703@inbound.aiesec.org</t>
  </si>
  <si>
    <t>2023-11-24T15:37:00Z</t>
  </si>
  <si>
    <t>5377786_1301109</t>
  </si>
  <si>
    <t>eylül şerbetci</t>
  </si>
  <si>
    <t>p_9f292f19f854279fdd9b45e4d3ced8db73bb349a@inbound.aiesec.org</t>
  </si>
  <si>
    <t>https://expa.aiesec.org/opportunities/1301109</t>
  </si>
  <si>
    <t>2023-11-22T20:28:42Z</t>
  </si>
  <si>
    <t>5378520_1298053</t>
  </si>
  <si>
    <t>Zehra Deniz Yılmaz</t>
  </si>
  <si>
    <t>p_225c5359dc195506f42d2faf94cc67456f838a05@inbound.aiesec.org</t>
  </si>
  <si>
    <t>2023-11-23T18:29:40Z</t>
  </si>
  <si>
    <t>5380385_1285085</t>
  </si>
  <si>
    <t>kübra Acevit</t>
  </si>
  <si>
    <t>p_930439a9ba1bb4dc4c7c25062185a833b012f46d@inbound.aiesec.org</t>
  </si>
  <si>
    <t>2023-11-26T16:46:30Z</t>
  </si>
  <si>
    <t>5379571_1300585</t>
  </si>
  <si>
    <t>Hakkı Ekim Erdoğan</t>
  </si>
  <si>
    <t>p_229c86e26681380c0019591bb664ab4fd796c91a@inbound.aiesec.org</t>
  </si>
  <si>
    <t>https://expa.aiesec.org/opportunities/1300585</t>
  </si>
  <si>
    <t>2023-11-25T12:07:09Z</t>
  </si>
  <si>
    <t>5378437_1301239</t>
  </si>
  <si>
    <t>Ipek Inci OGE</t>
  </si>
  <si>
    <t>p_1394722589abf77eb0b1828c7dbbe16fad1e6d93@inbound.aiesec.org</t>
  </si>
  <si>
    <t>https://expa.aiesec.org/opportunities/1301239</t>
  </si>
  <si>
    <t>2023-11-23T16:10:44Z</t>
  </si>
  <si>
    <t>5380400_1300165</t>
  </si>
  <si>
    <t>Serdar Zengin</t>
  </si>
  <si>
    <t>p_2d2f37789d5354e63ae5210bfcfe1ff986ccfdde@inbound.aiesec.org</t>
  </si>
  <si>
    <t>https://expa.aiesec.org/opportunities/1300165</t>
  </si>
  <si>
    <t>2023-11-26T17:29:46Z</t>
  </si>
  <si>
    <t>5379835_1299605</t>
  </si>
  <si>
    <t>Tarık Batu Yörür</t>
  </si>
  <si>
    <t>p_7ee62de53eccc2dee40c18c7ff95213385f3271c@inbound.aiesec.org</t>
  </si>
  <si>
    <t>2023-11-25T20:54:50Z</t>
  </si>
  <si>
    <t>5379645_1298372</t>
  </si>
  <si>
    <t>Sümeyra Demiryürek</t>
  </si>
  <si>
    <t>p_86194b26b80596e18905a4ec1a88694473cdfd04@inbound.aiesec.org</t>
  </si>
  <si>
    <t>2023-11-25T13:57:18Z</t>
  </si>
  <si>
    <t>5301410_1299013</t>
  </si>
  <si>
    <t>DOUNANE Hadjer</t>
  </si>
  <si>
    <t>p_ad2ed2de98d49b46728c062d7a9c7a3d29cadfd1@inbound.aiesec.org</t>
  </si>
  <si>
    <t>https://expa.aiesec.org/opportunities/1299013</t>
  </si>
  <si>
    <t>2023-08-12T00:33:43Z</t>
  </si>
  <si>
    <t>5380292_1288490</t>
  </si>
  <si>
    <t>Sawsan Rahimi</t>
  </si>
  <si>
    <t>p_ffeb6dd5e5440db1ba63e6207e28b6e5953bf4e6@inbound.aiesec.org</t>
  </si>
  <si>
    <t>2023-11-26T13:08:37Z</t>
  </si>
  <si>
    <t>5380809_1301556</t>
  </si>
  <si>
    <t>eya labidi</t>
  </si>
  <si>
    <t>p_376a55d315faa289035cea26d9fb860867cebc3f@inbound.aiesec.org</t>
  </si>
  <si>
    <t>https://expa.aiesec.org/opportunities/1301556</t>
  </si>
  <si>
    <t>2023-11-27T12:40:17Z</t>
  </si>
  <si>
    <t>5380794_1284077</t>
  </si>
  <si>
    <t>Wafa Sayeh</t>
  </si>
  <si>
    <t>p_65ef98b5cbf012dceb9bf9356ec4143359c2fde9@inbound.aiesec.org</t>
  </si>
  <si>
    <t>2023-11-27T12:23:58Z</t>
  </si>
  <si>
    <t>5380679_1284077</t>
  </si>
  <si>
    <t>Rania Aloui</t>
  </si>
  <si>
    <t>p_9fa8a6e39d4b617b958dfe899ea567f7ff63a4ed@inbound.aiesec.org</t>
  </si>
  <si>
    <t>2023-11-27T10:04:41Z</t>
  </si>
  <si>
    <t>5380110_1272564</t>
  </si>
  <si>
    <t>Anna Shyshka</t>
  </si>
  <si>
    <t>p_0c9f145656be211a667cf761f33662fdbfae4b11@inbound.aiesec.org</t>
  </si>
  <si>
    <t>2023-11-26T11:17:18Z</t>
  </si>
  <si>
    <t>5379963_1272564</t>
  </si>
  <si>
    <t>Viktoria Supyk</t>
  </si>
  <si>
    <t>p_d940c89a54e88a3affc3a2aefb710caea6228e1a@inbound.aiesec.org</t>
  </si>
  <si>
    <t>2023-11-26T07:47:05Z</t>
  </si>
  <si>
    <t>5379314_1293100</t>
  </si>
  <si>
    <t>Ahmet Çetin</t>
  </si>
  <si>
    <t>p_28bda4df35050fe2315274d407c25a3067e53b42@inbound.aiesec.org</t>
  </si>
  <si>
    <t>2023-11-24T20:47:23Z</t>
  </si>
  <si>
    <t>5372823_1299121</t>
  </si>
  <si>
    <t>Hasan Sevim</t>
  </si>
  <si>
    <t>p_b060d9550c4d68a79013a5220d83e06ad1cfbd7a@inbound.aiesec.org</t>
  </si>
  <si>
    <t>2023-11-15T11:41:14Z</t>
  </si>
  <si>
    <t>5075201_1280872</t>
  </si>
  <si>
    <t>Rima Sliti</t>
  </si>
  <si>
    <t>p_3008f3693799c2a12097e0db4b81efdf49274f17@inbound.aiesec.org</t>
  </si>
  <si>
    <t>2022-06-21T16:32:25Z</t>
  </si>
  <si>
    <t>5380653_1280872</t>
  </si>
  <si>
    <t>Siwar Chaabane</t>
  </si>
  <si>
    <t>p_d5bd062619a059b6e2c533a074649190000a7e72@inbound.aiesec.org</t>
  </si>
  <si>
    <t>2023-11-27T09:28:32Z</t>
  </si>
  <si>
    <t>5377778_1272564</t>
  </si>
  <si>
    <t>Олександра Кучеренко</t>
  </si>
  <si>
    <t>p_b8e44c97b3f772bc7fee0552b3a8089d3f737f89@inbound.aiesec.org</t>
  </si>
  <si>
    <t>2023-11-22T20:11:42Z</t>
  </si>
  <si>
    <t>5376170_1286339</t>
  </si>
  <si>
    <t>Dila Akdulum</t>
  </si>
  <si>
    <t>p_7db1f7153bd36ec4c6363480b336cd08e32ee156@inbound.aiesec.org</t>
  </si>
  <si>
    <t>2023-11-20T16:49:02Z</t>
  </si>
  <si>
    <t>5375404_1293268</t>
  </si>
  <si>
    <t>Mehmet Rahat</t>
  </si>
  <si>
    <t>p_af1fd6a4d83f5da60669384a54f0b0ed63e709de@inbound.aiesec.org</t>
  </si>
  <si>
    <t>https://expa.aiesec.org/opportunities/1293268</t>
  </si>
  <si>
    <t>2023-11-19T12:11:25Z</t>
  </si>
  <si>
    <t>5381000_1301556</t>
  </si>
  <si>
    <t>Taysir Slimi</t>
  </si>
  <si>
    <t>p_cac8f9d8ac865af8c7c9ba6b5a83ed69e29cefe2@inbound.aiesec.org</t>
  </si>
  <si>
    <t>2023-11-27T17:20:35Z</t>
  </si>
  <si>
    <t>5379788_1289536</t>
  </si>
  <si>
    <t>Tayssir Trabelsi</t>
  </si>
  <si>
    <t>p_8d1b3d4f8024747d8db1043574bb0f360763caaa@inbound.aiesec.org</t>
  </si>
  <si>
    <t>2023-11-25T19:04:44Z</t>
  </si>
  <si>
    <t>5380952_1300017</t>
  </si>
  <si>
    <t>Ahmet Melih Bayer</t>
  </si>
  <si>
    <t>p_59c32be199dbc05ee75b6ddfa7bd8d80fb731ff3@inbound.aiesec.org</t>
  </si>
  <si>
    <t>https://expa.aiesec.org/opportunities/1300017</t>
  </si>
  <si>
    <t>TikTok Content Creator</t>
  </si>
  <si>
    <t>2023-11-27T15:38:44Z</t>
  </si>
  <si>
    <t>5377746_1298275</t>
  </si>
  <si>
    <t>Anna Pliasun</t>
  </si>
  <si>
    <t>p_78ae29d305b37d98fcd00fa19e7900a9b3e70086@inbound.aiesec.org</t>
  </si>
  <si>
    <t>https://expa.aiesec.org/opportunities/1298275</t>
  </si>
  <si>
    <t>2023-11-22T19:12:26Z</t>
  </si>
  <si>
    <t>5374659_1298618</t>
  </si>
  <si>
    <t>Elif İsra Ceyhan</t>
  </si>
  <si>
    <t>p_ad1faf98abc9cc3f79e22b613f10d147d64e00e9@inbound.aiesec.org</t>
  </si>
  <si>
    <t>https://expa.aiesec.org/opportunities/1298618</t>
  </si>
  <si>
    <t>2023-11-17T19:34:48Z</t>
  </si>
  <si>
    <t>5381074_1294232</t>
  </si>
  <si>
    <t>Sedanur Ertekin</t>
  </si>
  <si>
    <t>p_2f907e93d9726c24e4ebbf73692030106ee1c3a3@inbound.aiesec.org</t>
  </si>
  <si>
    <t>2023-11-27T20:05:28Z</t>
  </si>
  <si>
    <t>5381068_1294232</t>
  </si>
  <si>
    <t>Tuana Özkan</t>
  </si>
  <si>
    <t>p_237875ae1beb1c5aedb9df950c3d4711a38315d4@inbound.aiesec.org</t>
  </si>
  <si>
    <t>2023-11-27T19:47:55Z</t>
  </si>
  <si>
    <t>5379825_1286917</t>
  </si>
  <si>
    <t>Yara Cherni</t>
  </si>
  <si>
    <t>p_9e55c61e91265f8aecae6abd40055449e821bb16@inbound.aiesec.org</t>
  </si>
  <si>
    <t>2023-11-25T20:19:21Z</t>
  </si>
  <si>
    <t>5371494_1300841</t>
  </si>
  <si>
    <t>Dalibor Mrňávek</t>
  </si>
  <si>
    <t>p_a74a6e31f1f0631ceb97bebc409e5fa185285749@inbound.aiesec.org</t>
  </si>
  <si>
    <t>2023-11-13T11:56:34Z</t>
  </si>
  <si>
    <t>5361358_1300056</t>
  </si>
  <si>
    <t>José Jorge</t>
  </si>
  <si>
    <t>p_fb53fbbbe4c9525378e7e918ada2818d3fed9986@inbound.aiesec.org</t>
  </si>
  <si>
    <t>2023-10-27T09:59:22Z</t>
  </si>
  <si>
    <t>5381118_1299824</t>
  </si>
  <si>
    <t>Rania Amamou</t>
  </si>
  <si>
    <t>p_fdf97a623f594bc51c05b3117e9f7bc63e395d04@inbound.aiesec.org</t>
  </si>
  <si>
    <t>https://expa.aiesec.org/opportunities/1299824</t>
  </si>
  <si>
    <t>English Teacher in Limon Ağacı Kindergaten</t>
  </si>
  <si>
    <t>2023-11-27T21:23:46Z</t>
  </si>
  <si>
    <t>5378559_1298927</t>
  </si>
  <si>
    <t>Ömer Faruk Durmaz</t>
  </si>
  <si>
    <t>p_e966f059852445737db237989378f66b14cf66d6@inbound.aiesec.org</t>
  </si>
  <si>
    <t>https://expa.aiesec.org/opportunities/1298927</t>
  </si>
  <si>
    <t>HAKKARI</t>
  </si>
  <si>
    <t>2023-11-23T19:37:46Z</t>
  </si>
  <si>
    <t>5375475_1298102</t>
  </si>
  <si>
    <t>Nourane Mosref</t>
  </si>
  <si>
    <t>p_89ff37df7f9111a356d399f27c8e477c72f64f45@inbound.aiesec.org</t>
  </si>
  <si>
    <t>2023-11-19T15:00:27Z</t>
  </si>
  <si>
    <t>5381076_1286893</t>
  </si>
  <si>
    <t>Gunes Karsel</t>
  </si>
  <si>
    <t>p_55906b6b28d448c0a697de1c2b7f9e5d6dbc8b2b@inbound.aiesec.org</t>
  </si>
  <si>
    <t>2023-11-27T20:05:41Z</t>
  </si>
  <si>
    <t>5331295_1286339</t>
  </si>
  <si>
    <t>Elif İnce</t>
  </si>
  <si>
    <t>p_e3253f756dd437bdca7f03275abbf1c3c9ea6a0c@inbound.aiesec.org</t>
  </si>
  <si>
    <t>2023-09-24T13:52:37Z</t>
  </si>
  <si>
    <t>5379627_1299605</t>
  </si>
  <si>
    <t>Arda Sadıkoğlu</t>
  </si>
  <si>
    <t>p_6ae33865e12db57f00afd49ea59abcc18a917558@inbound.aiesec.org</t>
  </si>
  <si>
    <t>2023-11-25T13:16:42Z</t>
  </si>
  <si>
    <t>5381582_1294232</t>
  </si>
  <si>
    <t>Ömer Demir</t>
  </si>
  <si>
    <t>p_2127870bb0ffd2844a08f11e513d7992bf0dda29@inbound.aiesec.org</t>
  </si>
  <si>
    <t>2023-11-28T12:35:03Z</t>
  </si>
  <si>
    <t>5018462_1286368</t>
  </si>
  <si>
    <t>nesrine jeddi</t>
  </si>
  <si>
    <t>p_70466bcee553f333958311055ec334f39e8a4c68@inbound.aiesec.org</t>
  </si>
  <si>
    <t>2022-03-31T21:48:51Z</t>
  </si>
  <si>
    <t>5298316_1288373</t>
  </si>
  <si>
    <t>Sara Mounjib</t>
  </si>
  <si>
    <t>p_274af41ecd794150212d8e296bea3307ae162ec9@inbound.aiesec.org</t>
  </si>
  <si>
    <t>https://expa.aiesec.org/opportunities/1288373</t>
  </si>
  <si>
    <t>Sales Executive | Arabic Speaker</t>
  </si>
  <si>
    <t>2023-08-06T11:50:45Z</t>
  </si>
  <si>
    <t>5381372_1288410</t>
  </si>
  <si>
    <t>Lokman Eren Üneş</t>
  </si>
  <si>
    <t>p_d0c45a64b17f4563e892a678066640e7512cadc0@inbound.aiesec.org</t>
  </si>
  <si>
    <t>https://expa.aiesec.org/opportunities/1288410</t>
  </si>
  <si>
    <t>2023-11-28T09:43:20Z</t>
  </si>
  <si>
    <t>5372608_1281086</t>
  </si>
  <si>
    <t>Doğukan Şimşir</t>
  </si>
  <si>
    <t>p_ca8ecb45cfd7b4a077187e0f8a5eba3fb8ed8917@inbound.aiesec.org</t>
  </si>
  <si>
    <t>https://expa.aiesec.org/opportunities/1281086</t>
  </si>
  <si>
    <t>Accelerate Romania - Business Development</t>
  </si>
  <si>
    <t>2023-11-14T23:28:05Z</t>
  </si>
  <si>
    <t>5380401_1299886</t>
  </si>
  <si>
    <t>Eda Kaya</t>
  </si>
  <si>
    <t>p_71ffb10d4eab2d99583b7bb74a29027d5c1974eb@inbound.aiesec.org</t>
  </si>
  <si>
    <t>https://expa.aiesec.org/opportunities/1299886</t>
  </si>
  <si>
    <t>2023-11-26T17:30:28Z</t>
  </si>
  <si>
    <t>5377660_1294232</t>
  </si>
  <si>
    <t>Nisa Yılmaz</t>
  </si>
  <si>
    <t>p_cc2c4af6b71c05830c20e0e8c3a5c7ad0a8dda29@inbound.aiesec.org</t>
  </si>
  <si>
    <t>2023-11-22T16:47:09Z</t>
  </si>
  <si>
    <t>5381760_1294232</t>
  </si>
  <si>
    <t>Ervanur Sarı</t>
  </si>
  <si>
    <t>p_64e6564cda1075426f942fac7c08e62ee673322f@inbound.aiesec.org</t>
  </si>
  <si>
    <t>2023-11-28T14:47:35Z</t>
  </si>
  <si>
    <t>5381827_1290806</t>
  </si>
  <si>
    <t>Eda Kücüksoy</t>
  </si>
  <si>
    <t>p_51c172683f621df745975f84ca142d8686a821c5@inbound.aiesec.org</t>
  </si>
  <si>
    <t>2023-11-28T16:50:07Z</t>
  </si>
  <si>
    <t>5170362_1293679</t>
  </si>
  <si>
    <t>Daniyal Toheed</t>
  </si>
  <si>
    <t>p_d0267367115be5ed3bad9bc749d08deb97d89fa9@inbound.aiesec.org</t>
  </si>
  <si>
    <t>2022-12-26T15:02:25Z</t>
  </si>
  <si>
    <t>5340945_1295745</t>
  </si>
  <si>
    <t>5379716_1301550</t>
  </si>
  <si>
    <t>Ahmet Aykut Uysal</t>
  </si>
  <si>
    <t>p_d17ff83ecf4c2cb66ff32e2a597665a3ddbf95e7@inbound.aiesec.org</t>
  </si>
  <si>
    <t>https://expa.aiesec.org/opportunities/1301550</t>
  </si>
  <si>
    <t>2023-11-25T15:47:07Z</t>
  </si>
  <si>
    <t>5379763_1299338</t>
  </si>
  <si>
    <t>Zeynep Sena Aktaş</t>
  </si>
  <si>
    <t>p_099206eb985e481b35730b5f31e0de4984b8d592@inbound.aiesec.org</t>
  </si>
  <si>
    <t>https://expa.aiesec.org/opportunities/1299338</t>
  </si>
  <si>
    <t>English teacher, native language teacher</t>
  </si>
  <si>
    <t>2023-11-25T17:44:22Z</t>
  </si>
  <si>
    <t>5348322_1298102</t>
  </si>
  <si>
    <t>Yessine Turki</t>
  </si>
  <si>
    <t>p_a0b53a859deb59f4687b174eb3954d2d5b3945b3@inbound.aiesec.org</t>
  </si>
  <si>
    <t>2023-10-10T17:00:47Z</t>
  </si>
  <si>
    <t>5376367_1293417</t>
  </si>
  <si>
    <t>myriam toumi</t>
  </si>
  <si>
    <t>p_75ee8324b229085566d1a8d96cb2382a2b7fae57@inbound.aiesec.org</t>
  </si>
  <si>
    <t>2023-11-20T21:32:19Z</t>
  </si>
  <si>
    <t>5380808_1287140</t>
  </si>
  <si>
    <t>Halil Sağlam</t>
  </si>
  <si>
    <t>p_f3bbbd5280987f6e4d91c4185b309d95255c4a2b@inbound.aiesec.org</t>
  </si>
  <si>
    <t>https://expa.aiesec.org/opportunities/1287140</t>
  </si>
  <si>
    <t xml:space="preserve">English Supervisor at Egypt ( Menofia ) </t>
  </si>
  <si>
    <t>2023-11-27T12:39:50Z</t>
  </si>
  <si>
    <t>5379624_1299929</t>
  </si>
  <si>
    <t>Hayrettin Akgüç</t>
  </si>
  <si>
    <t>p_1952a59b08dc52263bf633ce86d26bee94613b58@inbound.aiesec.org</t>
  </si>
  <si>
    <t>2023-11-25T13:09:41Z</t>
  </si>
  <si>
    <t>5382311_1293463</t>
  </si>
  <si>
    <t>Ikra Yagmur Koc</t>
  </si>
  <si>
    <t>p_43ac213e8a457b8bde00a5eff28eb922a1ca06b8@inbound.aiesec.org</t>
  </si>
  <si>
    <t>2023-11-29T08:20:43Z</t>
  </si>
  <si>
    <t>5174568_1293463</t>
  </si>
  <si>
    <t>5381928_1293463</t>
  </si>
  <si>
    <t>Kubra Tok</t>
  </si>
  <si>
    <t>p_2199ae76d64d48939a544244375286fafdccaeca@inbound.aiesec.org</t>
  </si>
  <si>
    <t>2023-11-28T18:48:20Z</t>
  </si>
  <si>
    <t>5376681_1301306</t>
  </si>
  <si>
    <t>Hayide Işıl</t>
  </si>
  <si>
    <t>p_27cf1129ea448fdb4678473847d009cb96672c65@inbound.aiesec.org</t>
  </si>
  <si>
    <t>2023-11-21T11:58:39Z</t>
  </si>
  <si>
    <t>5378943_1299612</t>
  </si>
  <si>
    <t>halime yiğit</t>
  </si>
  <si>
    <t>p_b66d44684f3a0263fd5c2e037ec3f89ebe974f49@inbound.aiesec.org</t>
  </si>
  <si>
    <t>https://expa.aiesec.org/opportunities/1299612</t>
  </si>
  <si>
    <t>2023-11-24T11:16:59Z</t>
  </si>
  <si>
    <t>5382390_1294232</t>
  </si>
  <si>
    <t>Alper Hacıoğlu</t>
  </si>
  <si>
    <t>p_e555b820a9919068b7529ebb31ea62d3445ac1fc@inbound.aiesec.org</t>
  </si>
  <si>
    <t>2023-11-29T11:22:37Z</t>
  </si>
  <si>
    <t>5382036_1300050</t>
  </si>
  <si>
    <t>Farida Negmatova</t>
  </si>
  <si>
    <t>p_f2f7e066ee36d66ec703158bc670108a6c09ef20@inbound.aiesec.org</t>
  </si>
  <si>
    <t>2023-11-28T19:48:00Z</t>
  </si>
  <si>
    <t>4344226_1300175</t>
  </si>
  <si>
    <t>p_72bc54b7a49c88a663e9a78d70032642f3f4fb26@inbound.aiesec.org</t>
  </si>
  <si>
    <t>2020-08-16T13:44:22Z</t>
  </si>
  <si>
    <t>5351077_1284744</t>
  </si>
  <si>
    <t>İlem Tiryaki</t>
  </si>
  <si>
    <t>p_22e732830d2b35150bff89323d277726e6430f88@inbound.aiesec.org</t>
  </si>
  <si>
    <t>https://expa.aiesec.org/opportunities/1284744</t>
  </si>
  <si>
    <t>ENGLISH TEACHER at The East West Ltd. company</t>
  </si>
  <si>
    <t>2023-10-13T13:44:43Z</t>
  </si>
  <si>
    <t>5377533_1293417</t>
  </si>
  <si>
    <t>eya mhamdi</t>
  </si>
  <si>
    <t>p_aec40c7dc2be417056041612ddeb475c4b35fc5d@inbound.aiesec.org</t>
  </si>
  <si>
    <t>2023-11-22T13:58:49Z</t>
  </si>
  <si>
    <t>5382432_1299608</t>
  </si>
  <si>
    <t>Zeynep Karagöz</t>
  </si>
  <si>
    <t>p_595e4bab4d97967b9cb9e0659e772da0d8e64190@inbound.aiesec.org</t>
  </si>
  <si>
    <t>https://expa.aiesec.org/opportunities/1299608</t>
  </si>
  <si>
    <t>2023-11-29T12:22:25Z</t>
  </si>
  <si>
    <t>5382349_1288609</t>
  </si>
  <si>
    <t>Hasan Sert</t>
  </si>
  <si>
    <t>p_6c5977f6aa9df62ec789a63a5c3b434a7e58ae0f@inbound.aiesec.org</t>
  </si>
  <si>
    <t>2023-11-29T09:57:21Z</t>
  </si>
  <si>
    <t>5381920_1286521</t>
  </si>
  <si>
    <t>Leila Mou</t>
  </si>
  <si>
    <t>p_2317d88b6e2455e898ed98a6ff4e5cd25fd981b1@inbound.aiesec.org</t>
  </si>
  <si>
    <t>2023-11-28T18:29:00Z</t>
  </si>
  <si>
    <t>5381003_1289347</t>
  </si>
  <si>
    <t>Rokaia Ashraf</t>
  </si>
  <si>
    <t>p_afa82e091329453420dc90538dad7c0202b14d69@inbound.aiesec.org</t>
  </si>
  <si>
    <t>2023-11-27T17:26:55Z</t>
  </si>
  <si>
    <t>5292161_1301073</t>
  </si>
  <si>
    <t>Orkun Jan Güzel</t>
  </si>
  <si>
    <t>p_cc2c7f1f0fc3107830555cf05bc277c03a279e9c@inbound.aiesec.org</t>
  </si>
  <si>
    <t>https://expa.aiesec.org/opportunities/1301073</t>
  </si>
  <si>
    <t>2023-07-31T13:39:42Z</t>
  </si>
  <si>
    <t>5357327_1287966</t>
  </si>
  <si>
    <t>Vu Bao Han Dao</t>
  </si>
  <si>
    <t>p_3f28b86326a34dc6f7d31d169bff679107f60bde@inbound.aiesec.org</t>
  </si>
  <si>
    <t>2023-10-22T14:52:38Z</t>
  </si>
  <si>
    <t>5380095_1289347</t>
  </si>
  <si>
    <t>Nana Abdallah</t>
  </si>
  <si>
    <t>p_61865c48df5e91edff3e7191f95be9ad2312f7ca@inbound.aiesec.org</t>
  </si>
  <si>
    <t>2023-11-26T10:56:08Z</t>
  </si>
  <si>
    <t>5378844_1289597</t>
  </si>
  <si>
    <t>Douaa Limame</t>
  </si>
  <si>
    <t>p_dd94dc29e624ffa7a86799561b91b6d6350024dd@inbound.aiesec.org</t>
  </si>
  <si>
    <t>2023-11-24T07:44:01Z</t>
  </si>
  <si>
    <t>5370207_1298736</t>
  </si>
  <si>
    <t>Hagar Kadry</t>
  </si>
  <si>
    <t>p_d24ecc9f5d3ebf3a903880cbec0f99c39d8f5e38@inbound.aiesec.org</t>
  </si>
  <si>
    <t>2023-11-10T09:19:23Z</t>
  </si>
  <si>
    <t>5382475_1300091</t>
  </si>
  <si>
    <t>Hilal Çamur</t>
  </si>
  <si>
    <t>p_b61b271b3796a79dbaddfa0531a0d52f0b2c6d80@inbound.aiesec.org</t>
  </si>
  <si>
    <t>2023-11-29T13:37:37Z</t>
  </si>
  <si>
    <t>5382450_1295700</t>
  </si>
  <si>
    <t>İremhan Yüce</t>
  </si>
  <si>
    <t>p_86f37141df84dbc023ba06566f7d244bdc40672a@inbound.aiesec.org</t>
  </si>
  <si>
    <t>https://expa.aiesec.org/opportunities/1295700</t>
  </si>
  <si>
    <t>Accelerate Romania | Interior Design Modeler</t>
  </si>
  <si>
    <t>2023-11-29T12:59:54Z</t>
  </si>
  <si>
    <t>5381867_1301775</t>
  </si>
  <si>
    <t>Busenur Başoğlu</t>
  </si>
  <si>
    <t>p_74d04c93aa1b5b3fc106e0e3a95b2c69ae98a806@inbound.aiesec.org</t>
  </si>
  <si>
    <t>https://expa.aiesec.org/opportunities/1301775</t>
  </si>
  <si>
    <t>2023-11-28T17:34:00Z</t>
  </si>
  <si>
    <t>5373583_1298549</t>
  </si>
  <si>
    <t>Hatice Şahin</t>
  </si>
  <si>
    <t>p_71d19ed885fa480be8df59be93161ddebfae248e@inbound.aiesec.org</t>
  </si>
  <si>
    <t>https://expa.aiesec.org/opportunities/1298549</t>
  </si>
  <si>
    <t>2023-11-16T17:08:35Z</t>
  </si>
  <si>
    <t>5381106_1300178</t>
  </si>
  <si>
    <t>Dong Wanjun</t>
  </si>
  <si>
    <t>p_816abf9b2d4be5e8b7fc7ed8c11161b75ef71a9e@inbound.aiesec.org</t>
  </si>
  <si>
    <t>https://expa.aiesec.org/opportunities/1300178</t>
  </si>
  <si>
    <t>2023-11-27T21:01:50Z</t>
  </si>
  <si>
    <t>5381084_1294584</t>
  </si>
  <si>
    <t>Daryna Mahdii</t>
  </si>
  <si>
    <t>p_fb95c852b2fe77583ea000b85aca248af0068ae6@inbound.aiesec.org</t>
  </si>
  <si>
    <t>2023-11-27T20:24:32Z</t>
  </si>
  <si>
    <t>5371484_1300178</t>
  </si>
  <si>
    <t>Yunfeifei Mo</t>
  </si>
  <si>
    <t>p_e42407658cc4661ca57e954200db8b6b1abe0438@inbound.aiesec.org</t>
  </si>
  <si>
    <t>2023-11-13T11:46:52Z</t>
  </si>
  <si>
    <t>5375316_1299885</t>
  </si>
  <si>
    <t>Ömer Deniz Akgök</t>
  </si>
  <si>
    <t>p_fbbadda930d291a49721df4038c92005ac2d9faa@inbound.aiesec.org</t>
  </si>
  <si>
    <t>https://expa.aiesec.org/opportunities/1299885</t>
  </si>
  <si>
    <t>2023-11-19T08:16:10Z</t>
  </si>
  <si>
    <t>5379046_1299884</t>
  </si>
  <si>
    <t>ÖZNUR AKGÖL</t>
  </si>
  <si>
    <t>p_da0a1a1469abeddad333ec2baf348fe37d3b7675@inbound.aiesec.org</t>
  </si>
  <si>
    <t>https://expa.aiesec.org/opportunities/1299884</t>
  </si>
  <si>
    <t>2023-11-24T13:47:05Z</t>
  </si>
  <si>
    <t>5369352_1288970</t>
  </si>
  <si>
    <t>ahmed sherief</t>
  </si>
  <si>
    <t>p_acccf63ac4e58a84f10a04589a82bfd3e79d0a07@inbound.aiesec.org</t>
  </si>
  <si>
    <t>2023-11-08T22:24:32Z</t>
  </si>
  <si>
    <t>5382694_1298102</t>
  </si>
  <si>
    <t>haydi badri</t>
  </si>
  <si>
    <t>p_2f99a9c4d1f720dbb41337081d22d11758379291@inbound.aiesec.org</t>
  </si>
  <si>
    <t>2023-11-29T18:58:51Z</t>
  </si>
  <si>
    <t>5382677_1289583</t>
  </si>
  <si>
    <t>Seda Bunsuz</t>
  </si>
  <si>
    <t>p_8db4f347b3d6556e467c789bd284533d5aa2ad3c@inbound.aiesec.org</t>
  </si>
  <si>
    <t>2023-11-29T18:31:46Z</t>
  </si>
  <si>
    <t>5382674_1289583</t>
  </si>
  <si>
    <t>İrem hızlı</t>
  </si>
  <si>
    <t>p_f1406653ab12e17c33c3ec81231b423921027c34@inbound.aiesec.org</t>
  </si>
  <si>
    <t>2023-11-29T18:26:18Z</t>
  </si>
  <si>
    <t>5382665_1289583</t>
  </si>
  <si>
    <t>Lütfıye Ozturk</t>
  </si>
  <si>
    <t>p_111eb688e72bcaa445b6d399ec5111ddc5c78af1@inbound.aiesec.org</t>
  </si>
  <si>
    <t>2023-11-29T18:17:00Z</t>
  </si>
  <si>
    <t>5382621_1301556</t>
  </si>
  <si>
    <t>ahmed laouer</t>
  </si>
  <si>
    <t>p_e946dcff980b1996cecb6b101d7aff929d35754b@inbound.aiesec.org</t>
  </si>
  <si>
    <t>2023-11-29T17:51:11Z</t>
  </si>
  <si>
    <t>5382587_1301556</t>
  </si>
  <si>
    <t>slim halloul</t>
  </si>
  <si>
    <t>p_e7d1290410c9c76f270bcd7d064839f508dfe88d@inbound.aiesec.org</t>
  </si>
  <si>
    <t>2023-11-29T17:15:00Z</t>
  </si>
  <si>
    <t>5381010_1300757</t>
  </si>
  <si>
    <t>Özge Kurt</t>
  </si>
  <si>
    <t>p_4baea72d66b517d1a7d57259755a297e64c5e385@inbound.aiesec.org</t>
  </si>
  <si>
    <t>https://expa.aiesec.org/opportunities/1300757</t>
  </si>
  <si>
    <t>2023-11-27T17:41:47Z</t>
  </si>
  <si>
    <t>5370184_1296457</t>
  </si>
  <si>
    <t>Samman Mustafa</t>
  </si>
  <si>
    <t>p_b6b778c3d8d534fb238bc5103da64927ed359aaa@inbound.aiesec.org</t>
  </si>
  <si>
    <t>https://expa.aiesec.org/opportunities/1296457</t>
  </si>
  <si>
    <t>Marketing in EUROTRAY Company</t>
  </si>
  <si>
    <t>2023-11-10T07:23:23Z</t>
  </si>
  <si>
    <t>2598280_1291964</t>
  </si>
  <si>
    <t>Luis Manuel Piña Colmenares</t>
  </si>
  <si>
    <t>p_1d6f6ae1a3f158384e2fee0b7cd42b1d69a9e1fb@inbound.aiesec.org</t>
  </si>
  <si>
    <t>Barquisimeto</t>
  </si>
  <si>
    <t>Lara - Universidad Fermín Toro, Barquisimeto</t>
  </si>
  <si>
    <t>2018-10-01T20:10:18Z</t>
  </si>
  <si>
    <t>5375984_1299499</t>
  </si>
  <si>
    <t>İlayda Doğan</t>
  </si>
  <si>
    <t>p_345f8f9a9d71f274b6930dede53d544a89210947@inbound.aiesec.org</t>
  </si>
  <si>
    <t>https://expa.aiesec.org/opportunities/1299499</t>
  </si>
  <si>
    <t>Accelerate Romania - Marketing &amp; Positioning</t>
  </si>
  <si>
    <t>2023-11-20T13:21:27Z</t>
  </si>
  <si>
    <t>5370983_1300628</t>
  </si>
  <si>
    <t>Amid Alicanov</t>
  </si>
  <si>
    <t>p_3ee0412407d55f23e88ec9c1ad05a3c006dc4e0d@inbound.aiesec.org</t>
  </si>
  <si>
    <t>2023-11-12T09:39:51Z</t>
  </si>
  <si>
    <t>5382748_1289583</t>
  </si>
  <si>
    <t>Merjen Mamiyeva</t>
  </si>
  <si>
    <t>p_2dfd26601a614247a7cb04a96de9d5529dbf6ff7@inbound.aiesec.org</t>
  </si>
  <si>
    <t>2023-11-29T20:50:54Z</t>
  </si>
  <si>
    <t>5204711_1289617</t>
  </si>
  <si>
    <t>ekin ilhan</t>
  </si>
  <si>
    <t>p_161d3c8889c5cd5a2279025303d4a4f7c44844a9@inbound.aiesec.org</t>
  </si>
  <si>
    <t>2023-03-03T15:25:49Z</t>
  </si>
  <si>
    <t>5382061_1300779</t>
  </si>
  <si>
    <t>Emir Haberal</t>
  </si>
  <si>
    <t>p_8490dad0093a085f0df04ed5f8c52214a0898c9d@inbound.aiesec.org</t>
  </si>
  <si>
    <t>2023-11-28T21:03:31Z</t>
  </si>
  <si>
    <t>5371244_1292535</t>
  </si>
  <si>
    <t>Nerea Pérez Abalde</t>
  </si>
  <si>
    <t>p_31b4c1887833b3972973bda09f866af83dcf7f74@inbound.aiesec.org</t>
  </si>
  <si>
    <t>Bilbao</t>
  </si>
  <si>
    <t xml:space="preserve">Madrid - Otras universidades o facultades </t>
  </si>
  <si>
    <t>2023-11-12T22:29:10Z</t>
  </si>
  <si>
    <t>5173690_1301209</t>
  </si>
  <si>
    <t>ZELAL EZGİN</t>
  </si>
  <si>
    <t>p_d636c4ca57e8d5b0c7138982da321aa7aee391b8@inbound.aiesec.org</t>
  </si>
  <si>
    <t>https://expa.aiesec.org/opportunities/1301209</t>
  </si>
  <si>
    <t>2023-01-06T12:21:46Z</t>
  </si>
  <si>
    <t>5383012_1296304</t>
  </si>
  <si>
    <t>Mariem Zidi</t>
  </si>
  <si>
    <t>p_c7460615642d55c64c95b7de2bd80a8e791cdc23@inbound.aiesec.org</t>
  </si>
  <si>
    <t>https://expa.aiesec.org/opportunities/1296304</t>
  </si>
  <si>
    <t>2023-11-30T10:17:36Z</t>
  </si>
  <si>
    <t>5381102_1288970</t>
  </si>
  <si>
    <t>Aylin Canpolat</t>
  </si>
  <si>
    <t>p_a6cb004954217875c31baa2b92d73d26af115abe@inbound.aiesec.org</t>
  </si>
  <si>
    <t>2023-11-27T20:57:21Z</t>
  </si>
  <si>
    <t>5381111_1288970</t>
  </si>
  <si>
    <t>Jacqueline Weiss</t>
  </si>
  <si>
    <t>p_8fe36df7176e9929b560a2b14630873b0be66540@inbound.aiesec.org</t>
  </si>
  <si>
    <t>2023-11-27T21:06:46Z</t>
  </si>
  <si>
    <t>5374595_1284077</t>
  </si>
  <si>
    <t>Ilona Martynenko</t>
  </si>
  <si>
    <t>p_16f2d47e48a029d744759a7498cdc4b7c82b5341@inbound.aiesec.org</t>
  </si>
  <si>
    <t>2023-11-17T17:40:29Z</t>
  </si>
  <si>
    <t>5383048_1280872</t>
  </si>
  <si>
    <t>Hamza Sallemi</t>
  </si>
  <si>
    <t>p_d96fa45004e277ffcdffc060445e422cb8385bde@inbound.aiesec.org</t>
  </si>
  <si>
    <t>2023-11-30T11:00:02Z</t>
  </si>
  <si>
    <t>5382616_1298549</t>
  </si>
  <si>
    <t>Mehmet Selim Okuyucu</t>
  </si>
  <si>
    <t>p_8c9f1871c3aa36169053e6600a8f64e86dbbfbd4@inbound.aiesec.org</t>
  </si>
  <si>
    <t>2023-11-29T17:48:41Z</t>
  </si>
  <si>
    <t>5382742_1301790</t>
  </si>
  <si>
    <t>Muhammet Salih Çetin</t>
  </si>
  <si>
    <t>p_80e50e77da596a5be75571cf0275a21c62f931bb@inbound.aiesec.org</t>
  </si>
  <si>
    <t>https://expa.aiesec.org/opportunities/1301790</t>
  </si>
  <si>
    <t>2023-11-29T20:25:46Z</t>
  </si>
  <si>
    <t>5382728_1280872</t>
  </si>
  <si>
    <t>Maryna Tsymbal</t>
  </si>
  <si>
    <t>p_3619acd47e36dccd6806c03336298b9a935d46e4@inbound.aiesec.org</t>
  </si>
  <si>
    <t>2023-11-29T19:56:08Z</t>
  </si>
  <si>
    <t>5382121_1288663</t>
  </si>
  <si>
    <t>Nilay Saat</t>
  </si>
  <si>
    <t>p_2c8acb536cae1cf7b63b0376a893d6989ac2412a@inbound.aiesec.org</t>
  </si>
  <si>
    <t>BIELEFELD</t>
  </si>
  <si>
    <t>Bielefeld</t>
  </si>
  <si>
    <t>2023-11-29T00:07:34Z</t>
  </si>
  <si>
    <t>5380436_1298814</t>
  </si>
  <si>
    <t>Egemen Davran</t>
  </si>
  <si>
    <t>p_9035a5b3e0140899ba407a9a85ef941dad6869b0@inbound.aiesec.org</t>
  </si>
  <si>
    <t>https://expa.aiesec.org/opportunities/1298814</t>
  </si>
  <si>
    <t>2023-11-26T19:10:59Z</t>
  </si>
  <si>
    <t>4903388_1291482</t>
  </si>
  <si>
    <t>Azat Azimzade</t>
  </si>
  <si>
    <t>p_04a76eca719826e22ab857df864bee7c85349154@inbound.aiesec.org</t>
  </si>
  <si>
    <t>2022-01-28T19:13:06Z</t>
  </si>
  <si>
    <t>5378503_1288970</t>
  </si>
  <si>
    <t>Rana Abdulkqder</t>
  </si>
  <si>
    <t>p_c06f0ca28c6721029817b0b91066f8e72d90c8e0@inbound.aiesec.org</t>
  </si>
  <si>
    <t>2023-11-23T17:43:15Z</t>
  </si>
  <si>
    <t>5377616_1281345</t>
  </si>
  <si>
    <t>Metehan Fırat Cankara</t>
  </si>
  <si>
    <t>p_fe893feb2652db348c051beb5f53c19170ca2e36@inbound.aiesec.org</t>
  </si>
  <si>
    <t>2023-11-22T15:35:21Z</t>
  </si>
  <si>
    <t>5367180_1281236</t>
  </si>
  <si>
    <t>Ömer Faruk Demir</t>
  </si>
  <si>
    <t>p_435db91f92b0552f4b519a512241de1c42d2ad37@inbound.aiesec.org</t>
  </si>
  <si>
    <t>2023-11-05T13:28:02Z</t>
  </si>
  <si>
    <t>5046187_1289390</t>
  </si>
  <si>
    <t>Hanine Saïd</t>
  </si>
  <si>
    <t>p_e8b74be4401d25f30370e5bbd4d1fc0edeaaab31@inbound.aiesec.org</t>
  </si>
  <si>
    <t>2022-04-26T08:32:32Z</t>
  </si>
  <si>
    <t>5383179_1294232</t>
  </si>
  <si>
    <t>Mesut Mustafa Durmus</t>
  </si>
  <si>
    <t>p_5e428775f93791bd3efd4902acced6156e787183@inbound.aiesec.org</t>
  </si>
  <si>
    <t>2023-11-30T13:55:24Z</t>
  </si>
  <si>
    <t>5173413_1301027</t>
  </si>
  <si>
    <t>Servet Sakar</t>
  </si>
  <si>
    <t>p_5cdddbdf66e06ff16472b65ae03704e176f64dc3@inbound.aiesec.org</t>
  </si>
  <si>
    <t>https://expa.aiesec.org/opportunities/1301027</t>
  </si>
  <si>
    <t>2023-01-05T17:14:57Z</t>
  </si>
  <si>
    <t>5380281_1298736</t>
  </si>
  <si>
    <t>Ferdaous Guesmi</t>
  </si>
  <si>
    <t>p_64d62bba6e5c1804237473f6022a641dc13c3039@inbound.aiesec.org</t>
  </si>
  <si>
    <t>2023-11-26T12:59:43Z</t>
  </si>
  <si>
    <t>5382028_1296885</t>
  </si>
  <si>
    <t>Aleyna Şahin</t>
  </si>
  <si>
    <t>p_188a70c863bd019444f8461b2f34f61db2345933@inbound.aiesec.org</t>
  </si>
  <si>
    <t>2023-11-28T19:38:10Z</t>
  </si>
  <si>
    <t>5381840_1296885</t>
  </si>
  <si>
    <t>tuğba ilisa</t>
  </si>
  <si>
    <t>p_d980923556379910feb70c3cfe58fc32f3d231e5@inbound.aiesec.org</t>
  </si>
  <si>
    <t>2023-11-28T17:03:38Z</t>
  </si>
  <si>
    <t>5381110_1296885</t>
  </si>
  <si>
    <t>Tuana Dereli</t>
  </si>
  <si>
    <t>p_a59a2dfa67ebccc03137e997e3492836c3c62703@inbound.aiesec.org</t>
  </si>
  <si>
    <t>2023-11-27T21:05:27Z</t>
  </si>
  <si>
    <t>5381049_1298617</t>
  </si>
  <si>
    <t>Toprak Hüseyin Erhan</t>
  </si>
  <si>
    <t>p_eda3d26feceb202c14cc6b68be113efd5b74a03e@inbound.aiesec.org</t>
  </si>
  <si>
    <t>https://expa.aiesec.org/opportunities/1298617</t>
  </si>
  <si>
    <t>2023-11-27T19:07:22Z</t>
  </si>
  <si>
    <t>5378762_1300558</t>
  </si>
  <si>
    <t>Christine Gitau</t>
  </si>
  <si>
    <t>p_3774bcb22b5125e72d855063b15529dfe3691b3d@inbound.aiesec.org</t>
  </si>
  <si>
    <t>2023-11-24T06:01:45Z</t>
  </si>
  <si>
    <t>5378381_1295453</t>
  </si>
  <si>
    <t>Nadeen Farouk</t>
  </si>
  <si>
    <t>p_d82c1f06caeab7803745486810aae3bba677f352@inbound.aiesec.org</t>
  </si>
  <si>
    <t>2023-11-23T15:04:23Z</t>
  </si>
  <si>
    <t>5375132_1280872</t>
  </si>
  <si>
    <t>Essil Amaimi</t>
  </si>
  <si>
    <t>p_37f2698d859629479819e1223fcb10f60e35334b@inbound.aiesec.org</t>
  </si>
  <si>
    <t>2023-11-18T19:09:14Z</t>
  </si>
  <si>
    <t>5383309_1298102</t>
  </si>
  <si>
    <t>rihem alaya</t>
  </si>
  <si>
    <t>p_88accc90ea8ff3c9f22ae64306dd079e261795b8@inbound.aiesec.org</t>
  </si>
  <si>
    <t>2023-11-30T16:20:39Z</t>
  </si>
  <si>
    <t>5383139_1298372</t>
  </si>
  <si>
    <t>Buse Daşcı</t>
  </si>
  <si>
    <t>p_6cff4613bcd0d07ce15b0d0d9357fb497d929802@inbound.aiesec.org</t>
  </si>
  <si>
    <t>2023-11-30T12:58:34Z</t>
  </si>
  <si>
    <t>5382071_1301244</t>
  </si>
  <si>
    <t>Emirhan Şener</t>
  </si>
  <si>
    <t>p_9ff9ac8b8441125e37c540a1b85d690b84fd7634@inbound.aiesec.org</t>
  </si>
  <si>
    <t>2023-11-28T21:32:42Z</t>
  </si>
  <si>
    <t>5373141_1283483</t>
  </si>
  <si>
    <t>Daniel George</t>
  </si>
  <si>
    <t>p_75e2e38c0e8062c80d085ba07e0686fca418dc52@inbound.aiesec.org</t>
  </si>
  <si>
    <t>2023-11-15T19:38:47Z</t>
  </si>
  <si>
    <t>5378324_1283483</t>
  </si>
  <si>
    <t>Mohamed Labib</t>
  </si>
  <si>
    <t>p_56bd13b7f6c2bd3eb4fbe987c896c82887a0604f@inbound.aiesec.org</t>
  </si>
  <si>
    <t>2023-11-23T13:03:34Z</t>
  </si>
  <si>
    <t>5383076_1301556</t>
  </si>
  <si>
    <t>Ferdawes Benali</t>
  </si>
  <si>
    <t>p_4131cb8c33ae29977b83ad51c697ea1152799ad5@inbound.aiesec.org</t>
  </si>
  <si>
    <t>2023-11-30T11:42:37Z</t>
  </si>
  <si>
    <t>5383191_1298372</t>
  </si>
  <si>
    <t>Baha Eken</t>
  </si>
  <si>
    <t>p_66b67bf1c19c87681a2f1a96fbe8af56f1bcd954@inbound.aiesec.org</t>
  </si>
  <si>
    <t>NIGDE</t>
  </si>
  <si>
    <t>2023-11-30T14:12:46Z</t>
  </si>
  <si>
    <t>5382581_1292990</t>
  </si>
  <si>
    <t>Barış Bayrak</t>
  </si>
  <si>
    <t>p_323f122ad6c66f89410ad1deeadf71bcc1d13cfd@inbound.aiesec.org</t>
  </si>
  <si>
    <t>2023-11-29T16:54:06Z</t>
  </si>
  <si>
    <t>5381901_1292878</t>
  </si>
  <si>
    <t>Talimano Telaumbanua</t>
  </si>
  <si>
    <t>p_4215403b4ff39dcbae7deed0bcfda4ebe8990a96@inbound.aiesec.org</t>
  </si>
  <si>
    <t>2023-11-28T17:58:49Z</t>
  </si>
  <si>
    <t>5383325_1298102</t>
  </si>
  <si>
    <t>Aicha Elloumi</t>
  </si>
  <si>
    <t>p_e1a202e99a9d31a393af4a805857a2e0462a55f3@inbound.aiesec.org</t>
  </si>
  <si>
    <t>2023-11-30T16:36:18Z</t>
  </si>
  <si>
    <t>4826312_1300523</t>
  </si>
  <si>
    <t>Cansu Şevin Birlik</t>
  </si>
  <si>
    <t>p_6b3fb24153f03763106aa343ad66d418d5b31d69@inbound.aiesec.org</t>
  </si>
  <si>
    <t>https://expa.aiesec.org/opportunities/1300523</t>
  </si>
  <si>
    <t>2021-12-01T14:54:16Z</t>
  </si>
  <si>
    <t>5382599_1298612</t>
  </si>
  <si>
    <t>Ahmed Osmen</t>
  </si>
  <si>
    <t>p_f20102cef3d1ed1256e2badccc6987a68e2cd4c0@inbound.aiesec.org</t>
  </si>
  <si>
    <t>2023-11-29T17:37:59Z</t>
  </si>
  <si>
    <t>5382754_1301670</t>
  </si>
  <si>
    <t>Dilara Küçükdurmuş</t>
  </si>
  <si>
    <t>p_a746591c9037dff78a23f5133e2f073c59aab8e8@inbound.aiesec.org</t>
  </si>
  <si>
    <t>https://expa.aiesec.org/opportunities/1301670</t>
  </si>
  <si>
    <t>2023-11-29T21:03:44Z</t>
  </si>
  <si>
    <t>5383434_1298372</t>
  </si>
  <si>
    <t>Rana Bilici</t>
  </si>
  <si>
    <t>p_adce849b4f173d36caf395460825e4c0e78422db@inbound.aiesec.org</t>
  </si>
  <si>
    <t>2023-11-30T18:14:57Z</t>
  </si>
  <si>
    <t>5380271_1298372</t>
  </si>
  <si>
    <t>Gülce Özcan</t>
  </si>
  <si>
    <t>p_1aea0f5fcae05a272ea3814ccb3e7c1f85ca10b7@inbound.aiesec.org</t>
  </si>
  <si>
    <t>2023-11-26T12:52:50Z</t>
  </si>
  <si>
    <t>5383129_1294622</t>
  </si>
  <si>
    <t>p_108ac1afd3b1d9f71887d7fc8ff4a1da4ab62c38@inbound.aiesec.org</t>
  </si>
  <si>
    <t>2023-11-30T12:44:50Z</t>
  </si>
  <si>
    <t>5382037_1300097</t>
  </si>
  <si>
    <t>Sadık Berke Sezer</t>
  </si>
  <si>
    <t>p_494eafdd0b32789bb63965e94fe34ef4aefece1c@inbound.aiesec.org</t>
  </si>
  <si>
    <t>2023-11-28T19:48:43Z</t>
  </si>
  <si>
    <t>5380406_1301244</t>
  </si>
  <si>
    <t>Sena Durmuş</t>
  </si>
  <si>
    <t>p_8df7d9ccd97d9889b2abe16d83b0b2602eb5f009@inbound.aiesec.org</t>
  </si>
  <si>
    <t>2023-11-26T17:50:40Z</t>
  </si>
  <si>
    <t>5380404_1301244</t>
  </si>
  <si>
    <t>Baki Köse</t>
  </si>
  <si>
    <t>p_f33686f09cea5f9c40a33849c050a64b059fc56c@inbound.aiesec.org</t>
  </si>
  <si>
    <t>2023-11-26T17:46:57Z</t>
  </si>
  <si>
    <t>5383222_1299661</t>
  </si>
  <si>
    <t>Sibel Battal</t>
  </si>
  <si>
    <t>p_34d31435c7fb1efadc7e1c005d671b9a8066282e@inbound.aiesec.org</t>
  </si>
  <si>
    <t>2023-11-30T15:03:22Z</t>
  </si>
  <si>
    <t>4222295_1290826</t>
  </si>
  <si>
    <t>5383337_1293463</t>
  </si>
  <si>
    <t>Ulrich Donve Tiamgne</t>
  </si>
  <si>
    <t>p_88df8c8982af030793ee1476e18fd042030a6000@inbound.aiesec.org</t>
  </si>
  <si>
    <t>2023-11-30T16:45:07Z</t>
  </si>
  <si>
    <t>5383242_1288609</t>
  </si>
  <si>
    <t>Yagmur Gungor</t>
  </si>
  <si>
    <t>p_1046b3b4a3b88c04b40ed6b16585759d2d2bead1@inbound.aiesec.org</t>
  </si>
  <si>
    <t>2023-11-30T15:37:58Z</t>
  </si>
  <si>
    <t>5311067_1288609</t>
  </si>
  <si>
    <t>5383133_1296885</t>
  </si>
  <si>
    <t>Abdurrahman Durmuş</t>
  </si>
  <si>
    <t>p_0f44c1f5e04d03aa1b25136e0fb6dc979df77b89@inbound.aiesec.org</t>
  </si>
  <si>
    <t>2023-11-30T12:53:45Z</t>
  </si>
  <si>
    <t>5056492_1295260</t>
  </si>
  <si>
    <t>sarah Mkademini</t>
  </si>
  <si>
    <t>p_200efe9371230e81adaf4d023eb33997c1236711@inbound.aiesec.org</t>
  </si>
  <si>
    <t>https://expa.aiesec.org/opportunities/1295260</t>
  </si>
  <si>
    <t>2022-05-13T17:57:37Z</t>
  </si>
  <si>
    <t>5382924_1288609</t>
  </si>
  <si>
    <t>p_4a8d24820751d782176bc0521e7e7a2f3d4b77fa@inbound.aiesec.org</t>
  </si>
  <si>
    <t>2023-11-30T06:38:58Z</t>
  </si>
  <si>
    <t>5382920_1288609</t>
  </si>
  <si>
    <t>Aysegul Tanrıkulu</t>
  </si>
  <si>
    <t>p_b65ae5dddcf62e7f6c7c120e698b99e7ae29232b@inbound.aiesec.org</t>
  </si>
  <si>
    <t>2023-11-30T06:27:22Z</t>
  </si>
  <si>
    <t>5382800_1296670</t>
  </si>
  <si>
    <t>Zeinb abdullah</t>
  </si>
  <si>
    <t>p_cf7cec3e274b9f6a484478c3886efd3e436e65d8@inbound.aiesec.org</t>
  </si>
  <si>
    <t>2023-11-29T22:29:08Z</t>
  </si>
  <si>
    <t>5382678_1296671</t>
  </si>
  <si>
    <t>Kholoud Ahmed</t>
  </si>
  <si>
    <t>p_008cdb7af2dcac513eed725b09dcf402fdcb41ef@inbound.aiesec.org</t>
  </si>
  <si>
    <t>2023-11-29T18:34:00Z</t>
  </si>
  <si>
    <t>5382474_1293463</t>
  </si>
  <si>
    <t>Onur Yurtsever</t>
  </si>
  <si>
    <t>p_5e8052662dc0103f3a1f109ac0be67fee5c027c0@inbound.aiesec.org</t>
  </si>
  <si>
    <t>2023-11-29T13:34:50Z</t>
  </si>
  <si>
    <t>5327074_1294877</t>
  </si>
  <si>
    <t>Halima Benarfa</t>
  </si>
  <si>
    <t>p_4631ac79cf6625f2f0b3c5d17d9bafecba9f9780@inbound.aiesec.org</t>
  </si>
  <si>
    <t>2023-09-18T23:06:40Z</t>
  </si>
  <si>
    <t>5383485_1289446</t>
  </si>
  <si>
    <t>FATMA ÇELİK</t>
  </si>
  <si>
    <t>p_8888dd02ac9b1b0887a33b6e061dd58614a16ada@inbound.aiesec.org</t>
  </si>
  <si>
    <t>2023-11-30T20:23:46Z</t>
  </si>
  <si>
    <t>5383493_1289095</t>
  </si>
  <si>
    <t>abdelrahman magdy</t>
  </si>
  <si>
    <t>p_203863b7ae901169af72a6b70e8b27d4ebab72bc@inbound.aiesec.org</t>
  </si>
  <si>
    <t>CIC October</t>
  </si>
  <si>
    <t>2023-11-30T20:29:36Z</t>
  </si>
  <si>
    <t>5383475_1299332</t>
  </si>
  <si>
    <t>MELIKE AKAY</t>
  </si>
  <si>
    <t>p_a04974f02a7618e62614c5425d22bb18307ad858@inbound.aiesec.org</t>
  </si>
  <si>
    <t>https://expa.aiesec.org/opportunities/1299332</t>
  </si>
  <si>
    <t>2023-11-30T19:59:15Z</t>
  </si>
  <si>
    <t>5383418_1300217</t>
  </si>
  <si>
    <t>Mehmet Çavdar</t>
  </si>
  <si>
    <t>p_b0ccef0b94a1c17b98b4585694f3a47ee3e1114e@inbound.aiesec.org</t>
  </si>
  <si>
    <t>https://expa.aiesec.org/opportunities/1300217</t>
  </si>
  <si>
    <t>2023-11-30T17:50:38Z</t>
  </si>
  <si>
    <t>5383182_1301141</t>
  </si>
  <si>
    <t>BELAL IBRAHIM</t>
  </si>
  <si>
    <t>p_6a0d97521da9497ec33da5ea5e5b98d723ec1164@inbound.aiesec.org</t>
  </si>
  <si>
    <t>https://expa.aiesec.org/opportunities/1301141</t>
  </si>
  <si>
    <t>2023-11-30T14:03:29Z</t>
  </si>
  <si>
    <t>5158229_1284077</t>
  </si>
  <si>
    <t>5382620_1288970</t>
  </si>
  <si>
    <t>Hassan Mohammed</t>
  </si>
  <si>
    <t>p_39a293e4f3f7bd1f0d87337c23632d7d1a1363c1@inbound.aiesec.org</t>
  </si>
  <si>
    <t>2023-11-29T17:50:40Z</t>
  </si>
  <si>
    <t>5341362_1296625</t>
  </si>
  <si>
    <t>Ahlem Tizaoui</t>
  </si>
  <si>
    <t>p_9fa1a5c4de0b033c30047757943c68fa7f12354b@inbound.aiesec.org</t>
  </si>
  <si>
    <t>2023-10-03T20:59:34Z</t>
  </si>
  <si>
    <t>5379622_1301702</t>
  </si>
  <si>
    <t>Melis Demiroz</t>
  </si>
  <si>
    <t>p_a078cd89bb2ffc26ebca28e1e97dfb5dcdb5fb2f@inbound.aiesec.org</t>
  </si>
  <si>
    <t>Taiwan</t>
  </si>
  <si>
    <t>Taiwan NCKU</t>
  </si>
  <si>
    <t>https://expa.aiesec.org/opportunities/1301702</t>
  </si>
  <si>
    <t>2023-11-25T13:08:23Z</t>
  </si>
  <si>
    <t>5377428_1299929</t>
  </si>
  <si>
    <t>Haticenur Çelik</t>
  </si>
  <si>
    <t>p_da7add44bd97b4675900adf4baaa7d38c0a8cd83@inbound.aiesec.org</t>
  </si>
  <si>
    <t>2023-11-22T11:40:48Z</t>
  </si>
  <si>
    <t>5382372_1298372</t>
  </si>
  <si>
    <t>Emircan Onyıl</t>
  </si>
  <si>
    <t>p_d64273dd724236e629e62c915a98c28269d3c92b@inbound.aiesec.org</t>
  </si>
  <si>
    <t>2023-11-29T10:47:06Z</t>
  </si>
  <si>
    <t>5380978_1298542</t>
  </si>
  <si>
    <t>Yeşim Ece Akay</t>
  </si>
  <si>
    <t>p_6da7e0b8caf70be9c730f883f13344d6bc1700c2@inbound.aiesec.org</t>
  </si>
  <si>
    <t>https://expa.aiesec.org/opportunities/1298542</t>
  </si>
  <si>
    <t>2023-11-27T16:40:11Z</t>
  </si>
  <si>
    <t>5383814_1280872</t>
  </si>
  <si>
    <t>Nour LOUHICHI</t>
  </si>
  <si>
    <t>p_3faaadd895c4754576633e07d7bdb5b554e1b8fb@inbound.aiesec.org</t>
  </si>
  <si>
    <t>2023-12-01T12:28:48Z</t>
  </si>
  <si>
    <t>5383040_1295303</t>
  </si>
  <si>
    <t>Atay Önol</t>
  </si>
  <si>
    <t>p_1c2b57f7fc56fe182ad3cbc608cbeb8c22ff7af5@inbound.aiesec.org</t>
  </si>
  <si>
    <t>2023-11-30T10:51:46Z</t>
  </si>
  <si>
    <t>5353145_1286920</t>
  </si>
  <si>
    <t>aicha chabchoub</t>
  </si>
  <si>
    <t>p_603604ca68d2b61e71752bdc004b8f430a97b54f@inbound.aiesec.org</t>
  </si>
  <si>
    <t>Faculté de Medecine Sfax</t>
  </si>
  <si>
    <t>2023-10-16T21:59:57Z</t>
  </si>
  <si>
    <t>5384399_1284081</t>
  </si>
  <si>
    <t>Youssef Benothmen</t>
  </si>
  <si>
    <t>p_299ace27ab0283a686f797aeb61cab6d8ef042a2@inbound.aiesec.org</t>
  </si>
  <si>
    <t>2023-12-02T16:54:57Z</t>
  </si>
  <si>
    <t>5362749_1289536</t>
  </si>
  <si>
    <t>Hazem ramdan</t>
  </si>
  <si>
    <t>p_9c322599c7bb2d4cf79804ef643a0c2b3ba57f18@inbound.aiesec.org</t>
  </si>
  <si>
    <t>2023-10-29T13:29:34Z</t>
  </si>
  <si>
    <t>5128576_1298885</t>
  </si>
  <si>
    <t>Jennifer Mayo</t>
  </si>
  <si>
    <t>p_2e718d7ede9a9b9376ac96d5b80fa7c3a4194eac@inbound.aiesec.org</t>
  </si>
  <si>
    <t>https://expa.aiesec.org/opportunities/1298885</t>
  </si>
  <si>
    <t>Export Specialist at Agrowork</t>
  </si>
  <si>
    <t>2022-10-10T00:52:56Z</t>
  </si>
  <si>
    <t>5384294_1300649</t>
  </si>
  <si>
    <t>jihen kafsi</t>
  </si>
  <si>
    <t>p_5699691398bae60f1d62ee92b7cee75ff61682a5@inbound.aiesec.org</t>
  </si>
  <si>
    <t>https://expa.aiesec.org/opportunities/1300649</t>
  </si>
  <si>
    <t>English Teacher in Birikim Okulları</t>
  </si>
  <si>
    <t>2023-12-02T12:58:23Z</t>
  </si>
  <si>
    <t>5382696_1284081</t>
  </si>
  <si>
    <t>Youssef Kazdar</t>
  </si>
  <si>
    <t>p_4b19f4421cfaccc61e573de47fa17be86b122564@inbound.aiesec.org</t>
  </si>
  <si>
    <t>2023-11-29T19:01:06Z</t>
  </si>
  <si>
    <t>5302328_1289536</t>
  </si>
  <si>
    <t>Asma Boubaker</t>
  </si>
  <si>
    <t>p_0c13f9421bc651482835158d806a8fb767f54209@inbound.aiesec.org</t>
  </si>
  <si>
    <t>2023-08-14T12:33:50Z</t>
  </si>
  <si>
    <t>5383403_1287966</t>
  </si>
  <si>
    <t>Afsana Hasanova</t>
  </si>
  <si>
    <t>p_a1d5d8990415f0495f5d568825fb112ee3bd87e0@inbound.aiesec.org</t>
  </si>
  <si>
    <t>2023-11-30T17:38:33Z</t>
  </si>
  <si>
    <t>5380421_1288582</t>
  </si>
  <si>
    <t>Fatma Harraz</t>
  </si>
  <si>
    <t>p_47fec4862a715de7f6db4f934024953dd516a83f@inbound.aiesec.org</t>
  </si>
  <si>
    <t>2023-11-26T18:26:17Z</t>
  </si>
  <si>
    <t>5384663_1298571</t>
  </si>
  <si>
    <t>p_cb6677319b904d49ad87f65845298cd61ad1687b@inbound.aiesec.org</t>
  </si>
  <si>
    <t>2023-12-03T10:43:21Z</t>
  </si>
  <si>
    <t>5380321_1300177</t>
  </si>
  <si>
    <t>Rodeen Eltalawy</t>
  </si>
  <si>
    <t>p_d9991ff83ce87aa1f4b16c563e140e9a3ef93964@inbound.aiesec.org</t>
  </si>
  <si>
    <t>2023-11-26T13:34:39Z</t>
  </si>
  <si>
    <t>5384947_1291252</t>
  </si>
  <si>
    <t>Eya Gharsallah</t>
  </si>
  <si>
    <t>p_e2985f9461a71b1038d0137999f011122714e6b1@inbound.aiesec.org</t>
  </si>
  <si>
    <t>2023-12-03T21:06:16Z</t>
  </si>
  <si>
    <t>5384410_1296671</t>
  </si>
  <si>
    <t>shehab Emad</t>
  </si>
  <si>
    <t>p_b6cf042fc86f4dd7af761f3eb8257c99758dfc9b@inbound.aiesec.org</t>
  </si>
  <si>
    <t>2023-12-02T17:25:56Z</t>
  </si>
  <si>
    <t>5347548_1292535</t>
  </si>
  <si>
    <t>Anne Nemr</t>
  </si>
  <si>
    <t>p_2df1f8a423a2bd9390852bd00c0b8eadc0923c81@inbound.aiesec.org</t>
  </si>
  <si>
    <t>2023-10-10T09:52:14Z</t>
  </si>
  <si>
    <t>5359939_1288490</t>
  </si>
  <si>
    <t>Jiaqi Bai</t>
  </si>
  <si>
    <t>p_11f8fb39090f02d5d6c6536ba7dde7d575cbe3dd@inbound.aiesec.org</t>
  </si>
  <si>
    <t>Ningbo</t>
  </si>
  <si>
    <t>NINGBO 宁波</t>
  </si>
  <si>
    <t>2023-10-25T11:42:54Z</t>
  </si>
  <si>
    <t>5383944_1291252</t>
  </si>
  <si>
    <t>Zayneb Dakhli</t>
  </si>
  <si>
    <t>p_c351beaae059110faaaf7a52cf8ac494b463bdeb@inbound.aiesec.org</t>
  </si>
  <si>
    <t>2023-12-01T17:03:30Z</t>
  </si>
  <si>
    <t>5384880_1300091</t>
  </si>
  <si>
    <t>Enes Faruk Gültepe</t>
  </si>
  <si>
    <t>p_435b4bf561a3196bf466f969204b9661972679b4@inbound.aiesec.org</t>
  </si>
  <si>
    <t>2023-12-03T17:00:59Z</t>
  </si>
  <si>
    <t>5384281_1294254</t>
  </si>
  <si>
    <t>Seif eldeen Mohsen samara</t>
  </si>
  <si>
    <t>p_810c3c856d8d7f8ae46e5e53124b347fa7d56410@inbound.aiesec.org</t>
  </si>
  <si>
    <t>2023-12-02T12:28:21Z</t>
  </si>
  <si>
    <t>5377745_1300460</t>
  </si>
  <si>
    <t>Sena Aleyna Konuk</t>
  </si>
  <si>
    <t>p_6ccd95e8793ab9495b283d4cc1a4ff0181858523@inbound.aiesec.org</t>
  </si>
  <si>
    <t>https://expa.aiesec.org/opportunities/1300460</t>
  </si>
  <si>
    <t>Research Intern |Psychology</t>
  </si>
  <si>
    <t>2023-11-22T19:10:44Z</t>
  </si>
  <si>
    <t>5206827_1289536</t>
  </si>
  <si>
    <t>Kenza Bacha</t>
  </si>
  <si>
    <t>p_a3cd8a22ad8a6e75ac8a929a7d8b9c575cec19b0@inbound.aiesec.org</t>
  </si>
  <si>
    <t>2023-03-05T20:12:14Z</t>
  </si>
  <si>
    <t>5053443_1298736</t>
  </si>
  <si>
    <t>5384883_1294622</t>
  </si>
  <si>
    <t>Polina Tretiak</t>
  </si>
  <si>
    <t>p_d0265cef67876da1dc7f5a6d0b75f33ee64c924f@inbound.aiesec.org</t>
  </si>
  <si>
    <t>2023-12-03T17:14:03Z</t>
  </si>
  <si>
    <t>5384941_1298816</t>
  </si>
  <si>
    <t>Sümeyye Ebrar Budak</t>
  </si>
  <si>
    <t>p_1fddd50af7c801daaf5f1ce5eee35f8bb72296e3@inbound.aiesec.org</t>
  </si>
  <si>
    <t>https://expa.aiesec.org/opportunities/1298816</t>
  </si>
  <si>
    <t>2023-12-03T20:43:09Z</t>
  </si>
  <si>
    <t>5381945_1301556</t>
  </si>
  <si>
    <t>Marwa Belghith</t>
  </si>
  <si>
    <t>p_67f6d5f2c2c565674c7a131e5a3ec1944c99beca@inbound.aiesec.org</t>
  </si>
  <si>
    <t>2023-11-28T19:09:45Z</t>
  </si>
  <si>
    <t>5380145_1300120</t>
  </si>
  <si>
    <t>Yasmingül Kaya</t>
  </si>
  <si>
    <t>p_21efa7a8c2d7cd6513838ab8f46c20ecba9f0f92@inbound.aiesec.org</t>
  </si>
  <si>
    <t>https://expa.aiesec.org/opportunities/1300120</t>
  </si>
  <si>
    <t>2023-11-26T11:47:48Z</t>
  </si>
  <si>
    <t>5385676_1298102</t>
  </si>
  <si>
    <t>Roue ben asker</t>
  </si>
  <si>
    <t>p_29c22e2eb0e875d9a7ea490016613a6390a004e6@inbound.aiesec.org</t>
  </si>
  <si>
    <t>2023-12-05T12:37:47Z</t>
  </si>
  <si>
    <t>5384330_1298549</t>
  </si>
  <si>
    <t>Aylin Aydındağ</t>
  </si>
  <si>
    <t>p_442707fc430c3153fe7cd74a9535bb47b825dc5c@inbound.aiesec.org</t>
  </si>
  <si>
    <t>2023-12-02T14:48:41Z</t>
  </si>
  <si>
    <t>5383286_1299359</t>
  </si>
  <si>
    <t>Güler Buse Duman</t>
  </si>
  <si>
    <t>p_fff32029a244dfd38f9b52967548d849e267b78e@inbound.aiesec.org</t>
  </si>
  <si>
    <t>2023-11-30T16:01:32Z</t>
  </si>
  <si>
    <t>5288705_1298866</t>
  </si>
  <si>
    <t>Hatice Batmaz</t>
  </si>
  <si>
    <t>p_6db73f7c2375ad9fac417b70436db37201e3f783@inbound.aiesec.org</t>
  </si>
  <si>
    <t>2023-07-24T09:48:20Z</t>
  </si>
  <si>
    <t>5275071_1279126</t>
  </si>
  <si>
    <t>Haifa Boussadia</t>
  </si>
  <si>
    <t>p_e1db2a418b66ab9f4a3c07632edb277fafb1bb7f@inbound.aiesec.org</t>
  </si>
  <si>
    <t>Institut préparatoire aux études biologiques et géologiques de la Soukra</t>
  </si>
  <si>
    <t>2023-06-13T22:53:53Z</t>
  </si>
  <si>
    <t>5376184_1299605</t>
  </si>
  <si>
    <t>zeynep sünbül</t>
  </si>
  <si>
    <t>p_d6c2b9512cadd46f657a1d8fc7cce94293a67499@inbound.aiesec.org</t>
  </si>
  <si>
    <t>2023-11-20T17:06:50Z</t>
  </si>
  <si>
    <t>5379750_1299884</t>
  </si>
  <si>
    <t>Bahar Topal</t>
  </si>
  <si>
    <t>p_6fda305fdfd099fac0d2ebdebdf3cb1781f36e88@inbound.aiesec.org</t>
  </si>
  <si>
    <t>2023-11-25T17:17:44Z</t>
  </si>
  <si>
    <t>5381335_1299474</t>
  </si>
  <si>
    <t>Guștiuc Nicoleta</t>
  </si>
  <si>
    <t>p_efdda8387e9d39411c1759b8c5cf8d8b0213dbf7@inbound.aiesec.org</t>
  </si>
  <si>
    <t>2023-11-28T08:42:08Z</t>
  </si>
  <si>
    <t>5385950_1298102</t>
  </si>
  <si>
    <t>Ranim Zitouni</t>
  </si>
  <si>
    <t>p_2a842fc06154f5caa0a4667d985b6255da8cd7ae@inbound.aiesec.org</t>
  </si>
  <si>
    <t>2023-12-05T20:45:38Z</t>
  </si>
  <si>
    <t>5377467_1287628</t>
  </si>
  <si>
    <t>Bouazzi Ouday</t>
  </si>
  <si>
    <t>p_873f9ba078c1f7fa3a736c32653c243749b253ec@inbound.aiesec.org</t>
  </si>
  <si>
    <t>2023-11-22T12:34:21Z</t>
  </si>
  <si>
    <t>5386179_1298102</t>
  </si>
  <si>
    <t>syrine aouf</t>
  </si>
  <si>
    <t>p_c63cb3efdbbe8e7a00042a33a9fb90e0e75e768c@inbound.aiesec.org</t>
  </si>
  <si>
    <t>2023-12-06T11:53:25Z</t>
  </si>
  <si>
    <t>5386206_1279126</t>
  </si>
  <si>
    <t>Ghofrane Rebhi</t>
  </si>
  <si>
    <t>p_2fbe31006766169784414894f6060e7c65eeeeac@inbound.aiesec.org</t>
  </si>
  <si>
    <t>2023-12-06T12:25:03Z</t>
  </si>
  <si>
    <t>5305054_1294795</t>
  </si>
  <si>
    <t>5386143_1284081</t>
  </si>
  <si>
    <t>Khadija Marzouki</t>
  </si>
  <si>
    <t>p_011b703be54995fbdb37e10b793e7cf3dc290042@inbound.aiesec.org</t>
  </si>
  <si>
    <t>2023-12-06T09:53:11Z</t>
  </si>
  <si>
    <t>5386178_1300126</t>
  </si>
  <si>
    <t>Fatima zahra Djaanine</t>
  </si>
  <si>
    <t>p_3a68ff9ce54aefcf73ff609201329155a6271fa7@inbound.aiesec.org</t>
  </si>
  <si>
    <t>2023-12-06T11:47:00Z</t>
  </si>
  <si>
    <t>5378386_1296671</t>
  </si>
  <si>
    <t>Eman Abdelmoaeen</t>
  </si>
  <si>
    <t>p_991fb0806444ae3ad2473e0740be7c5fc66a9b41@inbound.aiesec.org</t>
  </si>
  <si>
    <t>Sadat Academy for Management Sciences in Maadi</t>
  </si>
  <si>
    <t>2023-11-23T15:06:18Z</t>
  </si>
  <si>
    <t>4847062_1293683</t>
  </si>
  <si>
    <t>Enes Türkoğlu</t>
  </si>
  <si>
    <t>p_19f472c0a82b4fe1adaefd46092c93cf01b7b44b@inbound.aiesec.org</t>
  </si>
  <si>
    <t>2021-12-17T08:28:30Z</t>
  </si>
  <si>
    <t>5380358_1299041</t>
  </si>
  <si>
    <t>warisanand dechpanyarat</t>
  </si>
  <si>
    <t>p_f29b130758b2b51ef13972dd9cd7b529560d70a8@inbound.aiesec.org</t>
  </si>
  <si>
    <t>MC (AIESEC in Thailand)</t>
  </si>
  <si>
    <t>2023-11-26T15:23:32Z</t>
  </si>
  <si>
    <t>5338634_1281010</t>
  </si>
  <si>
    <t>Hanna Yeshko</t>
  </si>
  <si>
    <t>p_b880fd4790f5bdafed1b274b70ddae392e4a7838@inbound.aiesec.org</t>
  </si>
  <si>
    <t>2023-09-30T20:21:47Z</t>
  </si>
  <si>
    <t>5386491_1295514</t>
  </si>
  <si>
    <t>Marwen Hmidi</t>
  </si>
  <si>
    <t>p_05e2869e5a54bf4cab3a8ed3e435adeccb2c9088@inbound.aiesec.org</t>
  </si>
  <si>
    <t>2023-12-06T19:42:35Z</t>
  </si>
  <si>
    <t>5383429_1298102</t>
  </si>
  <si>
    <t>Nermine Drobba</t>
  </si>
  <si>
    <t>p_189cc15c27b8c472d3daa2b7bbcad89603960416@inbound.aiesec.org</t>
  </si>
  <si>
    <t>2023-11-30T17:59:48Z</t>
  </si>
  <si>
    <t>5386129_1288420</t>
  </si>
  <si>
    <t>Cansel İlter</t>
  </si>
  <si>
    <t>p_0126ac1d46a6e67e65e213054566b5dfb3dbf813@inbound.aiesec.org</t>
  </si>
  <si>
    <t>2023-12-06T09:15:55Z</t>
  </si>
  <si>
    <t>5203911_1294622</t>
  </si>
  <si>
    <t>Kateryna Yurieva</t>
  </si>
  <si>
    <t>p_eaa1c491de4e1cac2b97dfb53e259e731f3a5075@inbound.aiesec.org</t>
  </si>
  <si>
    <t>2023-03-02T17:21:49Z</t>
  </si>
  <si>
    <t>4945628_1294622</t>
  </si>
  <si>
    <t>Valeriia Kurenko</t>
  </si>
  <si>
    <t>p_94f85cb8fb3b188a3e51f2248516acbdb12c9952@inbound.aiesec.org</t>
  </si>
  <si>
    <t>2022-02-23T18:48:36Z</t>
  </si>
  <si>
    <t>5386275_1294622</t>
  </si>
  <si>
    <t>Bozhana Zapishna</t>
  </si>
  <si>
    <t>p_0bcc2e4a88a284751cd51264a7741613588fc015@inbound.aiesec.org</t>
  </si>
  <si>
    <t>2023-12-06T14:26:28Z</t>
  </si>
  <si>
    <t>5379623_1301802</t>
  </si>
  <si>
    <t>Talya Karvan</t>
  </si>
  <si>
    <t>p_5e2283e7efbe32f8f2d7742cc00266a1835654a8@inbound.aiesec.org</t>
  </si>
  <si>
    <t>https://expa.aiesec.org/opportunities/1301802</t>
  </si>
  <si>
    <t>2023-11-25T13:08:48Z</t>
  </si>
  <si>
    <t>5381351_1285934</t>
  </si>
  <si>
    <t>Radhiya Alshaikh</t>
  </si>
  <si>
    <t>p_ff6f07994aafe3519bbc65eaa2880c904fa93b57@inbound.aiesec.org</t>
  </si>
  <si>
    <t>https://expa.aiesec.org/opportunities/1285934</t>
  </si>
  <si>
    <t>2023-11-28T09:20:48Z</t>
  </si>
  <si>
    <t>5385387_1296101</t>
  </si>
  <si>
    <t>Yaryna Pach</t>
  </si>
  <si>
    <t>p_04bd2d123a2e51ee3f641af04fd859b71d9cd7a9@inbound.aiesec.org</t>
  </si>
  <si>
    <t>2023-12-04T19:13:30Z</t>
  </si>
  <si>
    <t>5381986_1289536</t>
  </si>
  <si>
    <t>lamiss ben jemaa</t>
  </si>
  <si>
    <t>p_7c21da863dd6939cee49fa563f5ee650aa61a497@inbound.aiesec.org</t>
  </si>
  <si>
    <t>2023-11-28T19:28:04Z</t>
  </si>
  <si>
    <t>5381971_1289536</t>
  </si>
  <si>
    <t>Nour el houda Darghoumi</t>
  </si>
  <si>
    <t>p_b86bd497dc52722ac02cb762f65ce7634bc2caf7@inbound.aiesec.org</t>
  </si>
  <si>
    <t>2023-11-28T19:25:38Z</t>
  </si>
  <si>
    <t>5386360_1265080</t>
  </si>
  <si>
    <t>rim machdoud</t>
  </si>
  <si>
    <t>p_7d11b7ff12605ccc36629cb47837a45105b5dc6d@inbound.aiesec.org</t>
  </si>
  <si>
    <t>2023-12-06T16:26:05Z</t>
  </si>
  <si>
    <t>5386096_1289536</t>
  </si>
  <si>
    <t>maisha kara</t>
  </si>
  <si>
    <t>p_920386bd6f538a819532646ae400a3914d05fb78@inbound.aiesec.org</t>
  </si>
  <si>
    <t>Amity Global Business School, Malad W.</t>
  </si>
  <si>
    <t>2023-12-06T07:34:28Z</t>
  </si>
  <si>
    <t>5384183_1295260</t>
  </si>
  <si>
    <t>Bianca Balaban</t>
  </si>
  <si>
    <t>p_5c561d2a84ab44c972c8d615853d53bcaa16fa54@inbound.aiesec.org</t>
  </si>
  <si>
    <t>2023-12-02T08:14:37Z</t>
  </si>
  <si>
    <t>5184483_1301515</t>
  </si>
  <si>
    <t>Aya Khalid</t>
  </si>
  <si>
    <t>p_499f2c5738331eb0a3655e28a5cd9cabca186d0b@inbound.aiesec.org</t>
  </si>
  <si>
    <t>https://expa.aiesec.org/opportunities/1301515</t>
  </si>
  <si>
    <t>Real Estate Agent in OZR Projects</t>
  </si>
  <si>
    <t>2023-02-02T20:48:12Z</t>
  </si>
  <si>
    <t>5367658_1301243</t>
  </si>
  <si>
    <t>Gülsen Onay</t>
  </si>
  <si>
    <t>p_e0cf0ccb951d220dafb89d7f2f87dca6df889b64@inbound.aiesec.org</t>
  </si>
  <si>
    <t>https://expa.aiesec.org/opportunities/1301243</t>
  </si>
  <si>
    <t>2023-11-06T14:53:36Z</t>
  </si>
  <si>
    <t>5386048_1291336</t>
  </si>
  <si>
    <t>Haoze Li</t>
  </si>
  <si>
    <t>p_054b0f328b6f3477390eb45e63c104fbbf23214f@inbound.aiesec.org</t>
  </si>
  <si>
    <t>2023-12-06T03:26:14Z</t>
  </si>
  <si>
    <t>5222243_1301140</t>
  </si>
  <si>
    <t>Salma Hallab</t>
  </si>
  <si>
    <t>p_dacf1298b9d3e1bcaf6fca7bbe741d1e85cad3e3@inbound.aiesec.org</t>
  </si>
  <si>
    <t>https://expa.aiesec.org/opportunities/1301140</t>
  </si>
  <si>
    <t>2023-03-21T04:16:41Z</t>
  </si>
  <si>
    <t>5385301_1281233</t>
  </si>
  <si>
    <t>Atıf Emre Gültepe</t>
  </si>
  <si>
    <t>p_2250745144d80e5890c76909052c646820edf940@inbound.aiesec.org</t>
  </si>
  <si>
    <t>https://expa.aiesec.org/opportunities/1281233</t>
  </si>
  <si>
    <t>2023-12-04T15:51:38Z</t>
  </si>
  <si>
    <t>5379669_1291336</t>
  </si>
  <si>
    <t>Jiwon Han</t>
  </si>
  <si>
    <t>p_6f0faea24f923e073afdd516fb928b3d2246821d@inbound.aiesec.org</t>
  </si>
  <si>
    <t>2023-11-25T14:39:47Z</t>
  </si>
  <si>
    <t>5273507_1283483</t>
  </si>
  <si>
    <t>Yossra Ahmed</t>
  </si>
  <si>
    <t>p_3c49abbc969827aef6c73848b87bef06ce077694@inbound.aiesec.org</t>
  </si>
  <si>
    <t>2023-06-09T22:12:03Z</t>
  </si>
  <si>
    <t>5387133_1298102</t>
  </si>
  <si>
    <t>Menna Magdy</t>
  </si>
  <si>
    <t>p_3ccfcfd885b72ba1ec6e0de2fcfe53589fd2773f@inbound.aiesec.org</t>
  </si>
  <si>
    <t>2023-12-08T00:13:02Z</t>
  </si>
  <si>
    <t>5376362_1294878</t>
  </si>
  <si>
    <t>Turki Eya</t>
  </si>
  <si>
    <t>p_7e9f7c399e771489b5e08efa5e76bec5f2fd73fc@inbound.aiesec.org</t>
  </si>
  <si>
    <t>2023-11-20T21:25:45Z</t>
  </si>
  <si>
    <t>5387457_1293417</t>
  </si>
  <si>
    <t>Ines Zid</t>
  </si>
  <si>
    <t>p_349da37c75325996a5013043e65f9c5743759d89@inbound.aiesec.org</t>
  </si>
  <si>
    <t>2023-12-08T19:25:05Z</t>
  </si>
  <si>
    <t>5387279_1299952</t>
  </si>
  <si>
    <t>Dorcas Ogunloye</t>
  </si>
  <si>
    <t>p_6779ee99e3fe38f4e0adea70b506c19b985213b4@inbound.aiesec.org</t>
  </si>
  <si>
    <t>https://expa.aiesec.org/opportunities/1299952</t>
  </si>
  <si>
    <t>2023-12-08T11:29:45Z</t>
  </si>
  <si>
    <t>5357415_1301420</t>
  </si>
  <si>
    <t>simge kılıç</t>
  </si>
  <si>
    <t>p_45e420cbcb8207662d3d316c53d3bfab1d6b6a1a@inbound.aiesec.org</t>
  </si>
  <si>
    <t>https://expa.aiesec.org/opportunities/1301420</t>
  </si>
  <si>
    <t>2023-10-22T22:05:54Z</t>
  </si>
  <si>
    <t>5382517_1292878</t>
  </si>
  <si>
    <t>Muhammad Ali Husein</t>
  </si>
  <si>
    <t>p_891d229a12390c673ccc43db9e8031a26c197197@inbound.aiesec.org</t>
  </si>
  <si>
    <t>Unsoed</t>
  </si>
  <si>
    <t>Universitas Jendral Soedirman</t>
  </si>
  <si>
    <t>2023-11-29T14:52:19Z</t>
  </si>
  <si>
    <t>4884961_1301744</t>
  </si>
  <si>
    <t>sude gökdoğan</t>
  </si>
  <si>
    <t>p_958007a98b896ead25714040090f643701355c3c@inbound.aiesec.org</t>
  </si>
  <si>
    <t>https://expa.aiesec.org/opportunities/1301744</t>
  </si>
  <si>
    <t>2022-01-16T22:20:18Z</t>
  </si>
  <si>
    <t>4397842_1301543</t>
  </si>
  <si>
    <t>https://expa.aiesec.org/opportunities/1301543</t>
  </si>
  <si>
    <t>[ENGINE] Chemical Engineering @FO</t>
  </si>
  <si>
    <t>5377760_1287488</t>
  </si>
  <si>
    <t>deleted 5377760</t>
  </si>
  <si>
    <t>p_6da354283819986bb25397f3b21cbc0a71ca4670@inbound.aiesec.org</t>
  </si>
  <si>
    <t>ISET CHARGUIA</t>
  </si>
  <si>
    <t>2023-11-22T19:34:26Z</t>
  </si>
  <si>
    <t>5385638_1299199</t>
  </si>
  <si>
    <t>Başak Akter</t>
  </si>
  <si>
    <t>p_1813034541b3d0368e00dd05fc81c0d64ed0c285@inbound.aiesec.org</t>
  </si>
  <si>
    <t>2023-12-05T10:51:07Z</t>
  </si>
  <si>
    <t>5244169_1300854</t>
  </si>
  <si>
    <t>Fedi Jouini</t>
  </si>
  <si>
    <t>p_9d156f3369d345f08704031ade206b3eb96a9775@inbound.aiesec.org</t>
  </si>
  <si>
    <t>https://expa.aiesec.org/opportunities/1300854</t>
  </si>
  <si>
    <t>Market Researcher</t>
  </si>
  <si>
    <t>2023-04-18T05:02:25Z</t>
  </si>
  <si>
    <t>5086494_1300649</t>
  </si>
  <si>
    <t>Rebah Missaoui</t>
  </si>
  <si>
    <t>p_bb5352b5c01ea962cb9360963b7cf9ca86c138b2@inbound.aiesec.org</t>
  </si>
  <si>
    <t>2022-07-27T20:03:55Z</t>
  </si>
  <si>
    <t>5268731_1298015</t>
  </si>
  <si>
    <t>Sena Dönmez</t>
  </si>
  <si>
    <t>p_5f051246db87f9d5da6d17f8a228f2f69b5fbdb7@inbound.aiesec.org</t>
  </si>
  <si>
    <t>https://expa.aiesec.org/opportunities/1298015</t>
  </si>
  <si>
    <t>2023-05-30T11:42:33Z</t>
  </si>
  <si>
    <t>5386312_1291252</t>
  </si>
  <si>
    <t>olfa triki</t>
  </si>
  <si>
    <t>p_58d4afedad131c282f55853cbcc2d6458c033e20@inbound.aiesec.org</t>
  </si>
  <si>
    <t>2023-12-06T15:39:27Z</t>
  </si>
  <si>
    <t>5388271_1289347</t>
  </si>
  <si>
    <t>Omar Elsedfy</t>
  </si>
  <si>
    <t>p_80659718dc8a179530f85f5cdd82565726600c3e@inbound.aiesec.org</t>
  </si>
  <si>
    <t>2023-12-10T21:42:58Z</t>
  </si>
  <si>
    <t>5368258_1284670</t>
  </si>
  <si>
    <t>nada farhat</t>
  </si>
  <si>
    <t>p_1b5f2ba6f8e259733f37e713116015fa47e29429@inbound.aiesec.org</t>
  </si>
  <si>
    <t>2023-11-07T13:23:14Z</t>
  </si>
  <si>
    <t>5386279_1291252</t>
  </si>
  <si>
    <t>Amal Triqui</t>
  </si>
  <si>
    <t>p_62f8e0f88e6932c10af65573f3bce30ade817db0@inbound.aiesec.org</t>
  </si>
  <si>
    <t>2023-12-06T14:42:36Z</t>
  </si>
  <si>
    <t>5325981_1296670</t>
  </si>
  <si>
    <t>Firas Khaled</t>
  </si>
  <si>
    <t>p_c383da69db4e8be67b451691c167ce2cb89af749@inbound.aiesec.org</t>
  </si>
  <si>
    <t>2023-09-17T10:31:23Z</t>
  </si>
  <si>
    <t>5380495_1291252</t>
  </si>
  <si>
    <t>sahar khalfelleoui</t>
  </si>
  <si>
    <t>p_42b486cc1beda2acad24fc62e5962c08db5530c0@inbound.aiesec.org</t>
  </si>
  <si>
    <t>2023-11-26T22:23:08Z</t>
  </si>
  <si>
    <t>5354331_1288490</t>
  </si>
  <si>
    <t>Li'ang Zhou</t>
  </si>
  <si>
    <t>p_812703c5a48579f292023024aee225581a4b9b1d@inbound.aiesec.org</t>
  </si>
  <si>
    <t>2023-10-18T08:26:02Z</t>
  </si>
  <si>
    <t>5387954_1288410</t>
  </si>
  <si>
    <t>Nurgül Özbey</t>
  </si>
  <si>
    <t>p_0affde54347c9087ab519e99ae09d9cdf73bc537@inbound.aiesec.org</t>
  </si>
  <si>
    <t>2023-12-09T21:37:35Z</t>
  </si>
  <si>
    <t>5377444_1302043</t>
  </si>
  <si>
    <t>Defne mert</t>
  </si>
  <si>
    <t>p_03ab711b9870b7c9f86f4b06eafe5004bf48bdfa@inbound.aiesec.org</t>
  </si>
  <si>
    <t>https://expa.aiesec.org/opportunities/1302043</t>
  </si>
  <si>
    <t>2023-11-22T12:11:06Z</t>
  </si>
  <si>
    <t>5389129_1302026</t>
  </si>
  <si>
    <t>Samir Jegham</t>
  </si>
  <si>
    <t>p_6d30fc9eedd08821a215493e677529a08a13a4f7@inbound.aiesec.org</t>
  </si>
  <si>
    <t>https://expa.aiesec.org/opportunities/1302026</t>
  </si>
  <si>
    <t>2023-12-12T15:38:15Z</t>
  </si>
  <si>
    <t>5249237_1301586</t>
  </si>
  <si>
    <t>Asmaa El harchi</t>
  </si>
  <si>
    <t>p_5a5d0735a1b3b1a2ed51d341f561016d9c8e69d8@inbound.aiesec.org</t>
  </si>
  <si>
    <t>https://expa.aiesec.org/opportunities/1301586</t>
  </si>
  <si>
    <t>2023-04-25T16:34:33Z</t>
  </si>
  <si>
    <t>5249270_1301586</t>
  </si>
  <si>
    <t>ikhlass choukri</t>
  </si>
  <si>
    <t>p_6844a0df79663be056a8f5640153aac44d88c59e@inbound.aiesec.org</t>
  </si>
  <si>
    <t>2023-04-25T17:02:24Z</t>
  </si>
  <si>
    <t>5389271_1291252</t>
  </si>
  <si>
    <t>racil ayachi</t>
  </si>
  <si>
    <t>p_128b61f35093827045dbf147f7ae493ebbea593f@inbound.aiesec.org</t>
  </si>
  <si>
    <t>2023-12-12T21:12:19Z</t>
  </si>
  <si>
    <t>5389268_1301801</t>
  </si>
  <si>
    <t>mayssa amri</t>
  </si>
  <si>
    <t>p_89a44e9755bf6114e172e95e96ecf007416f6d2b@inbound.aiesec.org</t>
  </si>
  <si>
    <t>https://expa.aiesec.org/opportunities/1301801</t>
  </si>
  <si>
    <t>2023-12-12T20:59:41Z</t>
  </si>
  <si>
    <t>3696924_1298413</t>
  </si>
  <si>
    <t>mouna ben jazia</t>
  </si>
  <si>
    <t>p_bb7acda16851f7028a49e34191e4dfae04ca5871@inbound.aiesec.org</t>
  </si>
  <si>
    <t>2019-07-23T13:44:08Z</t>
  </si>
  <si>
    <t>5389418_1286122</t>
  </si>
  <si>
    <t>Mar Yem</t>
  </si>
  <si>
    <t>p_2cfe173a88ccfa67f01467e493e8bcb8bbabbdf0@inbound.aiesec.org</t>
  </si>
  <si>
    <t>2023-12-13T09:24:25Z</t>
  </si>
  <si>
    <t>5387850_1300326</t>
  </si>
  <si>
    <t>Malak Hassaan</t>
  </si>
  <si>
    <t>p_5d68960bf345638c95d17c160f0170af652a9f33@inbound.aiesec.org</t>
  </si>
  <si>
    <t>https://expa.aiesec.org/opportunities/1300326</t>
  </si>
  <si>
    <t>2023-12-09T16:06:10Z</t>
  </si>
  <si>
    <t>5372509_1287628</t>
  </si>
  <si>
    <t>Baha Kalai</t>
  </si>
  <si>
    <t>p_8f71870fc867b7030446db364358c69060e278ec@inbound.aiesec.org</t>
  </si>
  <si>
    <t>2023-11-14T19:48:31Z</t>
  </si>
  <si>
    <t>5372423_1279126</t>
  </si>
  <si>
    <t>Soltani Chaima</t>
  </si>
  <si>
    <t>p_7fdfdafd85fc6ce18a369a51523590fc81ffab43@inbound.aiesec.org</t>
  </si>
  <si>
    <t>2023-11-14T16:50:21Z</t>
  </si>
  <si>
    <t>5383978_1287628</t>
  </si>
  <si>
    <t>Rahma Matar</t>
  </si>
  <si>
    <t>p_9db5204c80ebabd057043459133191f7c7e16ad2@inbound.aiesec.org</t>
  </si>
  <si>
    <t>2023-12-01T18:31:30Z</t>
  </si>
  <si>
    <t>5387948_1279126</t>
  </si>
  <si>
    <t>abessi rihem</t>
  </si>
  <si>
    <t>p_26ff430348029ee27c0a96dde1e74c776a86c53a@inbound.aiesec.org</t>
  </si>
  <si>
    <t>2023-12-09T21:14:04Z</t>
  </si>
  <si>
    <t>5387934_1279126</t>
  </si>
  <si>
    <t>Mariem Soltani</t>
  </si>
  <si>
    <t>p_586323ca89a8aaa33f1e98eab4d0cb6f04a5682e@inbound.aiesec.org</t>
  </si>
  <si>
    <t>2023-12-09T19:53:43Z</t>
  </si>
  <si>
    <t>5389816_1289536</t>
  </si>
  <si>
    <t>Wissem Ameur</t>
  </si>
  <si>
    <t>p_333ba09e671fd123022526394bfd5517381372b9@inbound.aiesec.org</t>
  </si>
  <si>
    <t>2023-12-13T22:47:22Z</t>
  </si>
  <si>
    <t>5279843_1296670</t>
  </si>
  <si>
    <t>Haroun Mansour</t>
  </si>
  <si>
    <t>p_abc4584a5691abdc680b374b02aeaf66cc6de3af@inbound.aiesec.org</t>
  </si>
  <si>
    <t>2023-06-27T12:14:14Z</t>
  </si>
  <si>
    <t>5389752_1298284</t>
  </si>
  <si>
    <t>Monya Ben Said</t>
  </si>
  <si>
    <t>p_57a19a926c9ceaa3d224ac81839995ac0bf15d2e@inbound.aiesec.org</t>
  </si>
  <si>
    <t>2023-12-13T20:08:59Z</t>
  </si>
  <si>
    <t>5389133_1279126</t>
  </si>
  <si>
    <t>Montaha Kacem</t>
  </si>
  <si>
    <t>p_fb583d410c74269adc2f499c9e6f4245b4a1ce1b@inbound.aiesec.org</t>
  </si>
  <si>
    <t>2023-12-12T15:53:50Z</t>
  </si>
  <si>
    <t>5386860_1298284</t>
  </si>
  <si>
    <t>yosra mabrouk</t>
  </si>
  <si>
    <t>p_ba98731a7e6d0bf7958ec16aed526d31b7c91f45@inbound.aiesec.org</t>
  </si>
  <si>
    <t>2023-12-07T13:49:16Z</t>
  </si>
  <si>
    <t>5388699_1287628</t>
  </si>
  <si>
    <t>Dridi Salsabil</t>
  </si>
  <si>
    <t>p_d352c63e1fbc00148c40b085bd4e7ddb22d7ddc1@inbound.aiesec.org</t>
  </si>
  <si>
    <t>2023-12-11T18:29:43Z</t>
  </si>
  <si>
    <t>5389777_1302266</t>
  </si>
  <si>
    <t>Ines Ayachi</t>
  </si>
  <si>
    <t>p_cd1f3c9d4760f905ac0a32343837b70d198ef4c5@inbound.aiesec.org</t>
  </si>
  <si>
    <t>https://expa.aiesec.org/opportunities/1302266</t>
  </si>
  <si>
    <t>2023-12-13T21:00:14Z</t>
  </si>
  <si>
    <t>5390175_1289536</t>
  </si>
  <si>
    <t>moetaz selmi</t>
  </si>
  <si>
    <t>p_fb1d68167a1bbc3f4f90d4f36d715757542045f2@inbound.aiesec.org</t>
  </si>
  <si>
    <t>2023-12-14T15:56:32Z</t>
  </si>
  <si>
    <t>5388225_1287628</t>
  </si>
  <si>
    <t>Syrine HAMMAMI</t>
  </si>
  <si>
    <t>p_2c4ca0665cc94393cfa6dfb5d9441d5ffbefba6d@inbound.aiesec.org</t>
  </si>
  <si>
    <t>2023-12-10T20:42:23Z</t>
  </si>
  <si>
    <t>5390202_1294622</t>
  </si>
  <si>
    <t>zakaria ha</t>
  </si>
  <si>
    <t>p_f8e30f7f15272dee8813cff8c00273f45480e616@inbound.aiesec.org</t>
  </si>
  <si>
    <t>2023-12-14T16:11:50Z</t>
  </si>
  <si>
    <t>5383196_1281010</t>
  </si>
  <si>
    <t>VASILIKI MARGETI</t>
  </si>
  <si>
    <t>p_6de03dc4e60e46f3177bff159643d005a7f55660@inbound.aiesec.org</t>
  </si>
  <si>
    <t>2023-11-30T14:21:59Z</t>
  </si>
  <si>
    <t>5389760_1274161</t>
  </si>
  <si>
    <t>Yasmine Ben Omrane</t>
  </si>
  <si>
    <t>p_a35f509336f7e4a14154ab4975d616db6d2c86cb@inbound.aiesec.org</t>
  </si>
  <si>
    <t>2023-12-13T20:26:52Z</t>
  </si>
  <si>
    <t>5390705_1291252</t>
  </si>
  <si>
    <t>Dhahbi Kawther</t>
  </si>
  <si>
    <t>p_0297c895a8174dbefe2d4a33207f17fae1013ef7@inbound.aiesec.org</t>
  </si>
  <si>
    <t>2023-12-15T16:01:29Z</t>
  </si>
  <si>
    <t>5390707_1291252</t>
  </si>
  <si>
    <t>eya aissaoui</t>
  </si>
  <si>
    <t>p_59a3ace0b2edb6e5340c214348296339f64db3bb@inbound.aiesec.org</t>
  </si>
  <si>
    <t>2023-12-15T16:02:25Z</t>
  </si>
  <si>
    <t>5390737_1301801</t>
  </si>
  <si>
    <t>Amir Boujelben</t>
  </si>
  <si>
    <t>p_eae265638328404e9a421fdc4e846ef59603ec2d@inbound.aiesec.org</t>
  </si>
  <si>
    <t>2023-12-15T16:37:12Z</t>
  </si>
  <si>
    <t>5390746_1297154</t>
  </si>
  <si>
    <t>Aya Ouesletii</t>
  </si>
  <si>
    <t>p_e3aadcc5ba3928ba4841db1aa7e84627c4a9cb46@inbound.aiesec.org</t>
  </si>
  <si>
    <t>2023-12-15T16:57:49Z</t>
  </si>
  <si>
    <t>5390749_1291252</t>
  </si>
  <si>
    <t>Mohamed Rjiba</t>
  </si>
  <si>
    <t>p_1eb812b64e085a0083c72044c0cac25e859e724a@inbound.aiesec.org</t>
  </si>
  <si>
    <t>2023-12-15T17:02:26Z</t>
  </si>
  <si>
    <t>4832664_1301902</t>
  </si>
  <si>
    <t>molka bayoudh</t>
  </si>
  <si>
    <t>p_f2e5100a1c1a479b89599c01229e8fcd9b5b2957@inbound.aiesec.org</t>
  </si>
  <si>
    <t>https://expa.aiesec.org/opportunities/1301902</t>
  </si>
  <si>
    <t>IT Business School</t>
  </si>
  <si>
    <t>2021-12-06T14:08:58Z</t>
  </si>
  <si>
    <t>5253826_1301902</t>
  </si>
  <si>
    <t>eya cherif</t>
  </si>
  <si>
    <t>p_2e47c5abc7958ce67871ee4f0194180840f7b1d3@inbound.aiesec.org</t>
  </si>
  <si>
    <t>2023-05-01T17:12:49Z</t>
  </si>
  <si>
    <t>5390721_1301801</t>
  </si>
  <si>
    <t>Eya Zouini</t>
  </si>
  <si>
    <t>p_32c96f76bb0aba8ba7f607aed95c59296ca1dba5@inbound.aiesec.org</t>
  </si>
  <si>
    <t>2023-12-15T16:17:47Z</t>
  </si>
  <si>
    <t>5389903_1300628</t>
  </si>
  <si>
    <t>Adem İnanç Sezen</t>
  </si>
  <si>
    <t>p_8008787818fa67b25655a48984959de874063dd4@inbound.aiesec.org</t>
  </si>
  <si>
    <t>2023-12-14T09:14:40Z</t>
  </si>
  <si>
    <t>5389795_1287628</t>
  </si>
  <si>
    <t>Malek Ben Chamek</t>
  </si>
  <si>
    <t>p_a10a4d2c88297b0c51c016628a84fb0f4df2cbb1@inbound.aiesec.org</t>
  </si>
  <si>
    <t>2023-12-13T21:37:23Z</t>
  </si>
  <si>
    <t>5273661_1302171</t>
  </si>
  <si>
    <t>https://expa.aiesec.org/opportunities/1302171</t>
  </si>
  <si>
    <t>5390282_1289536</t>
  </si>
  <si>
    <t>Asma Drissi</t>
  </si>
  <si>
    <t>p_b9710718d7299194af391dbd4478989ee013b00d@inbound.aiesec.org</t>
  </si>
  <si>
    <t>2023-12-14T18:32:12Z</t>
  </si>
  <si>
    <t>5390284_1289536</t>
  </si>
  <si>
    <t>Ons Amorri</t>
  </si>
  <si>
    <t>p_42376bc7cd4d480524142d0f073830bb4efb37f6@inbound.aiesec.org</t>
  </si>
  <si>
    <t>2023-12-14T18:35:34Z</t>
  </si>
  <si>
    <t>5363479_1300837</t>
  </si>
  <si>
    <t>Teona Tofan</t>
  </si>
  <si>
    <t>p_ee1407c1c1674ead1a2c26bbfa35923e151e8c45@inbound.aiesec.org</t>
  </si>
  <si>
    <t>2023-10-30T14:51:41Z</t>
  </si>
  <si>
    <t>5372506_1302171</t>
  </si>
  <si>
    <t>Maissa Tlili</t>
  </si>
  <si>
    <t>p_175ff2192c300d157e608a4cc0b219dee49b09fa@inbound.aiesec.org</t>
  </si>
  <si>
    <t>2023-11-14T19:46:14Z</t>
  </si>
  <si>
    <t>3237766_1290876</t>
  </si>
  <si>
    <t>Amal Ouji</t>
  </si>
  <si>
    <t>p_f5cbfc9bf7510bde3898d5dcc65bfd5ee6ade840@inbound.aiesec.org</t>
  </si>
  <si>
    <t>2019-03-18T18:57:16Z</t>
  </si>
  <si>
    <t>5390850_1301556</t>
  </si>
  <si>
    <t>Eya Jayed</t>
  </si>
  <si>
    <t>p_69eef509ee17076ff6398b62cb0dc0998b1e1c41@inbound.aiesec.org</t>
  </si>
  <si>
    <t>2023-12-15T20:26:14Z</t>
  </si>
  <si>
    <t>5390813_1296670</t>
  </si>
  <si>
    <t>Amine Hasnaoui</t>
  </si>
  <si>
    <t>p_8f318eba609e5908caa11cd0d67f9c8c47ac2a21@inbound.aiesec.org</t>
  </si>
  <si>
    <t>2023-12-15T19:26:40Z</t>
  </si>
  <si>
    <t>4776009_1296670</t>
  </si>
  <si>
    <t>Lamouchi Yasmine</t>
  </si>
  <si>
    <t>p_d021530f006827a94260beb397e98f90415e06d0@inbound.aiesec.org</t>
  </si>
  <si>
    <t>2021-10-27T17:07:04Z</t>
  </si>
  <si>
    <t>5390814_1298284</t>
  </si>
  <si>
    <t>Sirine Nefzi</t>
  </si>
  <si>
    <t>p_3da46a780f35b0f62ea834cbee6c8715218e8fc4@inbound.aiesec.org</t>
  </si>
  <si>
    <t>2023-12-15T19:28:30Z</t>
  </si>
  <si>
    <t>5371951_1302171</t>
  </si>
  <si>
    <t>Mohamed Aziz Gallala</t>
  </si>
  <si>
    <t>p_01329d99afee413b325c00d828c25803c3eb7fe1@inbound.aiesec.org</t>
  </si>
  <si>
    <t>2023-11-13T22:38:47Z</t>
  </si>
  <si>
    <t>5390824_1296671</t>
  </si>
  <si>
    <t>Amine Sellami</t>
  </si>
  <si>
    <t>p_cda2618dc42f1d6dbd383edb30ad4f85e8ec0875@inbound.aiesec.org</t>
  </si>
  <si>
    <t>2023-12-15T19:38:15Z</t>
  </si>
  <si>
    <t>5385244_1281345</t>
  </si>
  <si>
    <t>İdil Bayram</t>
  </si>
  <si>
    <t>p_32f8b2018e6e179b6207b500c4098d30f3e11ca6@inbound.aiesec.org</t>
  </si>
  <si>
    <t>2023-12-04T14:02:34Z</t>
  </si>
  <si>
    <t>5389712_1295893</t>
  </si>
  <si>
    <t>Mariam Mohamed maher</t>
  </si>
  <si>
    <t>p_4a124b466c1a5d4231fb268052d4deaaaaaa70f6@inbound.aiesec.org</t>
  </si>
  <si>
    <t>2023-12-13T19:00:53Z</t>
  </si>
  <si>
    <t>5276513_1302206</t>
  </si>
  <si>
    <t>https://expa.aiesec.org/opportunities/1302206</t>
  </si>
  <si>
    <t>5390936_1286326</t>
  </si>
  <si>
    <t>shahd hesham</t>
  </si>
  <si>
    <t>p_40b81dd087dd5ae7099f5b0cff4f7f68bbb9e515@inbound.aiesec.org</t>
  </si>
  <si>
    <t>2023-12-15T22:14:42Z</t>
  </si>
  <si>
    <t>4871274_1300056</t>
  </si>
  <si>
    <t>KACIMOUSSA Djaber</t>
  </si>
  <si>
    <t>p_8e038d7471f58dcbd3d10c1dc754939b8d11753e@inbound.aiesec.org</t>
  </si>
  <si>
    <t>2022-01-07T18:09:12Z</t>
  </si>
  <si>
    <t>5385205_1299885</t>
  </si>
  <si>
    <t>zeynep bozkurt</t>
  </si>
  <si>
    <t>p_d15b1bb0fc2cdd38b6db139e01bb7925d3ee21a6@inbound.aiesec.org</t>
  </si>
  <si>
    <t>2023-12-04T13:17:06Z</t>
  </si>
  <si>
    <t>5380341_1288970</t>
  </si>
  <si>
    <t>Niculescu Madalina</t>
  </si>
  <si>
    <t>p_4b044a6c07fad951d97f376c923de8d92e1074a0@inbound.aiesec.org</t>
  </si>
  <si>
    <t>2023-11-26T14:44:14Z</t>
  </si>
  <si>
    <t>5378075_1281010</t>
  </si>
  <si>
    <t>Ranudi Uyangoda</t>
  </si>
  <si>
    <t>p_52751589955827395b1f400c3ea14f5d0e272697@inbound.aiesec.org</t>
  </si>
  <si>
    <t>2023-11-23T07:38:20Z</t>
  </si>
  <si>
    <t>5389249_1286920</t>
  </si>
  <si>
    <t>Hend Gassara</t>
  </si>
  <si>
    <t>p_a62963e44cee8501ecad93a2f121a7a1c5e4fb89@inbound.aiesec.org</t>
  </si>
  <si>
    <t>2023-12-12T20:27:56Z</t>
  </si>
  <si>
    <t>5385237_1289850</t>
  </si>
  <si>
    <t>Yaşar Maden</t>
  </si>
  <si>
    <t>p_86c4e991317626b00c0e60ea4906fc84cb18b8de@inbound.aiesec.org</t>
  </si>
  <si>
    <t>2023-12-04T13:53:11Z</t>
  </si>
  <si>
    <t>5383164_1281010</t>
  </si>
  <si>
    <t>Παγώνα Μαρία Μαλαμά</t>
  </si>
  <si>
    <t>p_9b0c8cc7416812b0060ef43454c0dcd661fc1b21@inbound.aiesec.org</t>
  </si>
  <si>
    <t>2023-11-30T13:36:35Z</t>
  </si>
  <si>
    <t>5243736_1300251</t>
  </si>
  <si>
    <t>İzel Damla Atasoy</t>
  </si>
  <si>
    <t>p_71b0abc755b94bbe809c61cecdfb1b262bb6762b@inbound.aiesec.org</t>
  </si>
  <si>
    <t>https://expa.aiesec.org/opportunities/1300251</t>
  </si>
  <si>
    <t>2023-04-17T12:35:32Z</t>
  </si>
  <si>
    <t>5389291_1299666</t>
  </si>
  <si>
    <t>p_0c6da8fdee4252dfc4356094018089b73775d3d4@inbound.aiesec.org</t>
  </si>
  <si>
    <t>2023-12-12T21:58:31Z</t>
  </si>
  <si>
    <t>5364208_1299121</t>
  </si>
  <si>
    <t>ahmad samim hafizi</t>
  </si>
  <si>
    <t>p_6ac20c646e09f5b8fe8645dc0e433357a4d5db54@inbound.aiesec.org</t>
  </si>
  <si>
    <t>2023-10-31T12:50:20Z</t>
  </si>
  <si>
    <t>5147206_1300103</t>
  </si>
  <si>
    <t>https://expa.aiesec.org/opportunities/1300103</t>
  </si>
  <si>
    <t>5375459_1300841</t>
  </si>
  <si>
    <t>Nisso Navruzshoyeva</t>
  </si>
  <si>
    <t>p_1b5d0ea5cf74caf7489a25fe9ef10e4c066fa377@inbound.aiesec.org</t>
  </si>
  <si>
    <t>AUCA</t>
  </si>
  <si>
    <t>2023-11-19T14:30:14Z</t>
  </si>
  <si>
    <t>5385776_1299596</t>
  </si>
  <si>
    <t>ozan aydemir</t>
  </si>
  <si>
    <t>p_33f63a55da15d581c6837a89e43a9bf4d0e944cb@inbound.aiesec.org</t>
  </si>
  <si>
    <t>https://expa.aiesec.org/opportunities/1299596</t>
  </si>
  <si>
    <t>2023-12-05T15:32:03Z</t>
  </si>
  <si>
    <t>5389289_1301243</t>
  </si>
  <si>
    <t>Cansu Karduz</t>
  </si>
  <si>
    <t>p_734463c9841064b8703e3169a2f4808b22e6bbcb@inbound.aiesec.org</t>
  </si>
  <si>
    <t>2023-12-12T21:46:54Z</t>
  </si>
  <si>
    <t>5391233_1289255</t>
  </si>
  <si>
    <t>Graciete Garcia</t>
  </si>
  <si>
    <t>p_8ca2d8d1b2d722c90358ff9cc6b6270bde8a16ab@inbound.aiesec.org</t>
  </si>
  <si>
    <t>UEM</t>
  </si>
  <si>
    <t>UEM (Maputo)</t>
  </si>
  <si>
    <t>2023-12-16T19:56:36Z</t>
  </si>
  <si>
    <t>5390905_1289255</t>
  </si>
  <si>
    <t>Emerson Teixeira</t>
  </si>
  <si>
    <t>p_90e11578461b0bcb7078a8c3417b93586b3025ef@inbound.aiesec.org</t>
  </si>
  <si>
    <t>2023-12-15T21:28:54Z</t>
  </si>
  <si>
    <t>5365567_1300841</t>
  </si>
  <si>
    <t>Violetta Rashidbekova</t>
  </si>
  <si>
    <t>p_2db2e92bfc6ae3dbb324e19c3e49808bcb33a794@inbound.aiesec.org</t>
  </si>
  <si>
    <t>MC Kyrgyzstan</t>
  </si>
  <si>
    <t>2023-11-02T10:08:11Z</t>
  </si>
  <si>
    <t>5390712_1288330</t>
  </si>
  <si>
    <t>Haktan Akkuş</t>
  </si>
  <si>
    <t>p_5a29728a39d3aa022eaee6a90b9cce88fcbf15ce@inbound.aiesec.org</t>
  </si>
  <si>
    <t>2023-12-15T16:06:05Z</t>
  </si>
  <si>
    <t>5392606_1298817</t>
  </si>
  <si>
    <t>Meryem Sinem Kete</t>
  </si>
  <si>
    <t>p_6a64a7d65df8a46c76b6d197382871505c17a159@inbound.aiesec.org</t>
  </si>
  <si>
    <t>2023-12-20T12:49:14Z</t>
  </si>
  <si>
    <t>5392604_1299216</t>
  </si>
  <si>
    <t>ilayda bolat</t>
  </si>
  <si>
    <t>p_3f741b46107409b6be2d133f6e9c0a121d47a8d5@inbound.aiesec.org</t>
  </si>
  <si>
    <t>https://expa.aiesec.org/opportunities/1299216</t>
  </si>
  <si>
    <t>2023-12-20T12:42:57Z</t>
  </si>
  <si>
    <t>5375919_1287488</t>
  </si>
  <si>
    <t>Athina Vrachopoulou</t>
  </si>
  <si>
    <t>p_3ef6125e455851a8f3ced21e0ac9080180f8e546@inbound.aiesec.org</t>
  </si>
  <si>
    <t>2023-11-20T11:56:20Z</t>
  </si>
  <si>
    <t>5392674_1265080</t>
  </si>
  <si>
    <t>Oumaima EL Hamrani</t>
  </si>
  <si>
    <t>p_cfa5c5503556047e23cc72abd04e9e9f0a6c8539@inbound.aiesec.org</t>
  </si>
  <si>
    <t>2023-12-20T15:34:23Z</t>
  </si>
  <si>
    <t>5387341_1279126</t>
  </si>
  <si>
    <t>Jelena Babic</t>
  </si>
  <si>
    <t>p_c3533dc4b3ebe7a44b0de5d5afe8e9785e2afadc@inbound.aiesec.org</t>
  </si>
  <si>
    <t>2023-12-08T13:47:12Z</t>
  </si>
  <si>
    <t>5390586_1291252</t>
  </si>
  <si>
    <t>Syrine Mkaouer</t>
  </si>
  <si>
    <t>p_004343c5f6e319b539e93d1ebc76756a698f27ca@inbound.aiesec.org</t>
  </si>
  <si>
    <t>2023-12-15T12:34:36Z</t>
  </si>
  <si>
    <t>5391725_1279126</t>
  </si>
  <si>
    <t>Raed Tefdini</t>
  </si>
  <si>
    <t>p_a658b7733862a3446f140f149f67e38f435b77b3@inbound.aiesec.org</t>
  </si>
  <si>
    <t>2023-12-18T11:05:30Z</t>
  </si>
  <si>
    <t>5376545_1285161</t>
  </si>
  <si>
    <t>Kevin Correia</t>
  </si>
  <si>
    <t>p_48fc0c2f561e4230b324fdfec952806533c46779@inbound.aiesec.org</t>
  </si>
  <si>
    <t>South Mumbai</t>
  </si>
  <si>
    <t>2023-11-21T08:11:40Z</t>
  </si>
  <si>
    <t>5391334_1289255</t>
  </si>
  <si>
    <t>Achrafe Lharras</t>
  </si>
  <si>
    <t>p_597b5dcd5939df22f390c9156a5f6df8522da3c4@inbound.aiesec.org</t>
  </si>
  <si>
    <t>2023-12-17T09:00:44Z</t>
  </si>
  <si>
    <t>5392582_1286034</t>
  </si>
  <si>
    <t>Rushaal Chugh</t>
  </si>
  <si>
    <t>p_e2da0e4e0102e016c6007b4fb38f52060c82efee@inbound.aiesec.org</t>
  </si>
  <si>
    <t>Symbiosis Law School, Noida</t>
  </si>
  <si>
    <t>2023-12-20T11:54:09Z</t>
  </si>
  <si>
    <t>4818304_1299856</t>
  </si>
  <si>
    <t>https://expa.aiesec.org/opportunities/1299856</t>
  </si>
  <si>
    <t>5391181_1301833</t>
  </si>
  <si>
    <t>Hatice Feyza Çügen</t>
  </si>
  <si>
    <t>p_8b1f66ed5615424e93a33090a08584858b0c467d@inbound.aiesec.org</t>
  </si>
  <si>
    <t>https://expa.aiesec.org/opportunities/1301833</t>
  </si>
  <si>
    <t>2023-12-16T17:57:32Z</t>
  </si>
  <si>
    <t>5393040_1299756</t>
  </si>
  <si>
    <t>Ceren Aydın</t>
  </si>
  <si>
    <t>p_c7b0f2f16120f8c89a68a6f12cb6c9d7c13f490f@inbound.aiesec.org</t>
  </si>
  <si>
    <t>2023-12-21T18:00:22Z</t>
  </si>
  <si>
    <t>5391346_1290298</t>
  </si>
  <si>
    <t>Eren Çalı</t>
  </si>
  <si>
    <t>p_d5c8e876ad089158bfa831ea13111340d5e30e79@inbound.aiesec.org</t>
  </si>
  <si>
    <t>https://expa.aiesec.org/opportunities/1290298</t>
  </si>
  <si>
    <t>2023-12-17T09:57:47Z</t>
  </si>
  <si>
    <t>5388573_1300162</t>
  </si>
  <si>
    <t>Emre Can Harmankaya</t>
  </si>
  <si>
    <t>p_d63c83bbbaaad9bd4f3cc2a5f4cf5307df3820fd@inbound.aiesec.org</t>
  </si>
  <si>
    <t>https://expa.aiesec.org/opportunities/1300162</t>
  </si>
  <si>
    <t>2023-12-11T13:37:45Z</t>
  </si>
  <si>
    <t>5393067_1299756</t>
  </si>
  <si>
    <t>Büşra Beril Baransel</t>
  </si>
  <si>
    <t>p_38bfcc642adb9ed4dc3702b2a9f6f585733e1113@inbound.aiesec.org</t>
  </si>
  <si>
    <t>2023-12-21T19:33:07Z</t>
  </si>
  <si>
    <t>5390743_1302074</t>
  </si>
  <si>
    <t>Emre ERZURUM</t>
  </si>
  <si>
    <t>p_08ccb29234106db6d8d123bd1015d35352fdbf3a@inbound.aiesec.org</t>
  </si>
  <si>
    <t>https://expa.aiesec.org/opportunities/1302074</t>
  </si>
  <si>
    <t>2023-12-15T16:49:31Z</t>
  </si>
  <si>
    <t>5392605_1302558</t>
  </si>
  <si>
    <t>devran atuğ</t>
  </si>
  <si>
    <t>p_ab8ef7e3e8025c06f7e354785cb55c59573457ac@inbound.aiesec.org</t>
  </si>
  <si>
    <t>https://expa.aiesec.org/opportunities/1302558</t>
  </si>
  <si>
    <t>2023-12-20T12:46:20Z</t>
  </si>
  <si>
    <t>5386871_1287942</t>
  </si>
  <si>
    <t>Zatasha Maudina Sheika</t>
  </si>
  <si>
    <t>p_c381537fa7f29f8ecfcd315ac18d3eb624653016@inbound.aiesec.org</t>
  </si>
  <si>
    <t>UIN Jakarta</t>
  </si>
  <si>
    <t>UIN Syarif Hidayatullah Jakarta</t>
  </si>
  <si>
    <t>2023-12-07T13:59:04Z</t>
  </si>
  <si>
    <t>5384255_1286236</t>
  </si>
  <si>
    <t>Yasmeen Marzooq</t>
  </si>
  <si>
    <t>p_0ffa2076846b3c49a2cca8df4a2a44d09f9fe2cd@inbound.aiesec.org</t>
  </si>
  <si>
    <t>2023-12-02T11:29:41Z</t>
  </si>
  <si>
    <t>5393052_1289297</t>
  </si>
  <si>
    <t>Sena Koç</t>
  </si>
  <si>
    <t>p_02bc9a55a0f647c44a330fd8de26295e41ee3638@inbound.aiesec.org</t>
  </si>
  <si>
    <t>2023-12-21T18:49:24Z</t>
  </si>
  <si>
    <t>5136173_1289255</t>
  </si>
  <si>
    <t>5393675_1289255</t>
  </si>
  <si>
    <t>Merwane Telhaoui</t>
  </si>
  <si>
    <t>p_094c882c1c0f0ac5ca461b015a3c5e0448758461@inbound.aiesec.org</t>
  </si>
  <si>
    <t>2023-12-23T11:37:23Z</t>
  </si>
  <si>
    <t>5393169_1301774</t>
  </si>
  <si>
    <t>Özgü şevval Beşik</t>
  </si>
  <si>
    <t>p_e47cdd3f320de79f28b4a519f239e09c790ae504@inbound.aiesec.org</t>
  </si>
  <si>
    <t>https://expa.aiesec.org/opportunities/1301774</t>
  </si>
  <si>
    <t>2023-12-22T05:15:07Z</t>
  </si>
  <si>
    <t>5391950_1302165</t>
  </si>
  <si>
    <t>Lorenna Navarro</t>
  </si>
  <si>
    <t>p_ac23dc403d2b2508f108eb89813cf64299d823d3@inbound.aiesec.org</t>
  </si>
  <si>
    <t>https://expa.aiesec.org/opportunities/1302165</t>
  </si>
  <si>
    <t xml:space="preserve"> MEAL OFFICER</t>
  </si>
  <si>
    <t>2023-12-18T18:19:35Z</t>
  </si>
  <si>
    <t>5385487_1293417</t>
  </si>
  <si>
    <t>Izzat Idlan Amir Raslan</t>
  </si>
  <si>
    <t>p_8c10c7e15822251f107b6a95d89a5a28f3b86fda@inbound.aiesec.org</t>
  </si>
  <si>
    <t>Johor Bahru (JB)</t>
  </si>
  <si>
    <t>2023-12-05T02:12:42Z</t>
  </si>
  <si>
    <t>5385488_1293417</t>
  </si>
  <si>
    <t>Tahir Mazhar</t>
  </si>
  <si>
    <t>p_bc3b3307934b629a095866f5629569d896f1a867@inbound.aiesec.org</t>
  </si>
  <si>
    <t>2023-12-05T02:22:32Z</t>
  </si>
  <si>
    <t>5393386_1293417</t>
  </si>
  <si>
    <t>Chen Jun Lin</t>
  </si>
  <si>
    <t>p_5ba5a0fce69fcb020ce583add1ad00898703e352@inbound.aiesec.org</t>
  </si>
  <si>
    <t>2023-12-22T17:00:05Z</t>
  </si>
  <si>
    <t>5391932_1301477</t>
  </si>
  <si>
    <t>Kıvanç Nalça</t>
  </si>
  <si>
    <t>p_1e8607302732ff0178f6b29d49c7185100ac89e2@inbound.aiesec.org</t>
  </si>
  <si>
    <t>https://expa.aiesec.org/opportunities/1301477</t>
  </si>
  <si>
    <t>2023-12-18T17:27:35Z</t>
  </si>
  <si>
    <t>5391525_1302495</t>
  </si>
  <si>
    <t>Sare nur KIZILKAYA</t>
  </si>
  <si>
    <t>p_504b8a56a7e6fe03534cb8dadcc727f55c60b76a@inbound.aiesec.org</t>
  </si>
  <si>
    <t>https://expa.aiesec.org/opportunities/1302495</t>
  </si>
  <si>
    <t>2023-12-17T19:19:05Z</t>
  </si>
  <si>
    <t>5391125_1298927</t>
  </si>
  <si>
    <t>Aycan Sönmez</t>
  </si>
  <si>
    <t>p_07135b63c10e3cef4086a4148beb072a922e69df@inbound.aiesec.org</t>
  </si>
  <si>
    <t>2023-12-16T13:44:54Z</t>
  </si>
  <si>
    <t>5391441_1300305</t>
  </si>
  <si>
    <t>Enise Feyza Korkmaz</t>
  </si>
  <si>
    <t>p_642547c0258028518a049c19ec82c436f7b28851@inbound.aiesec.org</t>
  </si>
  <si>
    <t>https://expa.aiesec.org/opportunities/1300305</t>
  </si>
  <si>
    <t>2023-12-17T14:37:02Z</t>
  </si>
  <si>
    <t>5394886_1291176</t>
  </si>
  <si>
    <t>p_d818247dce7794c62d24b9d78cf3fc775113d6f7@inbound.aiesec.org</t>
  </si>
  <si>
    <t>2023-12-26T19:27:17Z</t>
  </si>
  <si>
    <t>5332524_1296101</t>
  </si>
  <si>
    <t>Анастасія Бачуріна</t>
  </si>
  <si>
    <t>p_1450a8e35e60b43be47e51ed0c7ef276344aa863@inbound.aiesec.org</t>
  </si>
  <si>
    <t>2023-09-25T20:47:51Z</t>
  </si>
  <si>
    <t>5234304_1300161</t>
  </si>
  <si>
    <t>Altan Baysal</t>
  </si>
  <si>
    <t>p_8c38a4fab37738bfd8fd9eb71479eb12bd3c3b58@inbound.aiesec.org</t>
  </si>
  <si>
    <t>https://expa.aiesec.org/opportunities/1300161</t>
  </si>
  <si>
    <t>2023-04-03T20:45:26Z</t>
  </si>
  <si>
    <t>5381686_1289485</t>
  </si>
  <si>
    <t>Israa Mohamed</t>
  </si>
  <si>
    <t>p_bdcdfccb6c9a63dbc9727a3dee7b595b580c943c@inbound.aiesec.org</t>
  </si>
  <si>
    <t>2023-11-28T13:46:35Z</t>
  </si>
  <si>
    <t>5389598_1289255</t>
  </si>
  <si>
    <t>Kaoutar Hsiba</t>
  </si>
  <si>
    <t>p_dee77f93d268e08bf3cf32d013943dbd5e8cfb6b@inbound.aiesec.org</t>
  </si>
  <si>
    <t>CFI El Jadida</t>
  </si>
  <si>
    <t>2023-12-13T14:21:23Z</t>
  </si>
  <si>
    <t>5217202_1264946</t>
  </si>
  <si>
    <t>5389600_1284485</t>
  </si>
  <si>
    <t>Mustafa Emir BELLİ</t>
  </si>
  <si>
    <t>p_be781fcb98b823b8a8d34eacc3d3c6a8062cf91d@inbound.aiesec.org</t>
  </si>
  <si>
    <t>2023-12-13T14:24:16Z</t>
  </si>
  <si>
    <t>5395598_1301673</t>
  </si>
  <si>
    <t>Aylin Baytöre</t>
  </si>
  <si>
    <t>p_c912a8606511af72bb8aa57754c178a57a857cad@inbound.aiesec.org</t>
  </si>
  <si>
    <t>https://expa.aiesec.org/opportunities/1301673</t>
  </si>
  <si>
    <t>2023-12-28T08:44:41Z</t>
  </si>
  <si>
    <t>5357269_1302175</t>
  </si>
  <si>
    <t>Şehnaz Körpe</t>
  </si>
  <si>
    <t>p_7e31ad8aee1c44a9723ba804f32cae2893f10ada@inbound.aiesec.org</t>
  </si>
  <si>
    <t>https://expa.aiesec.org/opportunities/1302175</t>
  </si>
  <si>
    <t>2023-10-22T13:57:03Z</t>
  </si>
  <si>
    <t>5378990_1296101</t>
  </si>
  <si>
    <t>Seif madany</t>
  </si>
  <si>
    <t>p_b38a5b1060007f2106bb60f568df4befa8e291a7@inbound.aiesec.org</t>
  </si>
  <si>
    <t>2023-11-24T12:44:28Z</t>
  </si>
  <si>
    <t>5394813_1298736</t>
  </si>
  <si>
    <t>Abdo Mohamed</t>
  </si>
  <si>
    <t>p_a4682e51886a3ca71cf277627b25299f440b8858@inbound.aiesec.org</t>
  </si>
  <si>
    <t>2023-12-26T15:43:56Z</t>
  </si>
  <si>
    <t>4567641_1301902</t>
  </si>
  <si>
    <t>Evangelia Timpin</t>
  </si>
  <si>
    <t>p_2fcea203556836eed2f287c2fcb822ce458fa410@inbound.aiesec.org</t>
  </si>
  <si>
    <t>2021-03-04T18:48:30Z</t>
  </si>
  <si>
    <t>5382350_1288330</t>
  </si>
  <si>
    <t>Selman Dursun</t>
  </si>
  <si>
    <t>p_1bc4561db5a04ac91d11f7935b85d9a6f0b333d0@inbound.aiesec.org</t>
  </si>
  <si>
    <t>2023-11-29T09:59:04Z</t>
  </si>
  <si>
    <t>5392298_1296101</t>
  </si>
  <si>
    <t>Mariana Mota</t>
  </si>
  <si>
    <t>p_17baa1843b34ada24eeea588c17b54c8503a9f1f@inbound.aiesec.org</t>
  </si>
  <si>
    <t>Universidade do Minho - Escola de Ciências (ECUM)</t>
  </si>
  <si>
    <t>2023-12-19T16:18:00Z</t>
  </si>
  <si>
    <t>5385103_1296105</t>
  </si>
  <si>
    <t>Nancy Mungai</t>
  </si>
  <si>
    <t>p_b8f05f775b8a8e742b9a455e39ef930e99998adb@inbound.aiesec.org</t>
  </si>
  <si>
    <t>2023-12-04T10:15:30Z</t>
  </si>
  <si>
    <t>5395815_1301997</t>
  </si>
  <si>
    <t>p_3ddccf346ef9e9329e39cc162bc11245d4886965@inbound.aiesec.org</t>
  </si>
  <si>
    <t>https://expa.aiesec.org/opportunities/1301997</t>
  </si>
  <si>
    <t>2023-12-28T16:53:27Z</t>
  </si>
  <si>
    <t>5081363_1289689</t>
  </si>
  <si>
    <t>5393019_1300056</t>
  </si>
  <si>
    <t>Nadine Njora</t>
  </si>
  <si>
    <t>p_fa8a8ccbf6e5032fb1908aec7b13fd3dd331b414@inbound.aiesec.org</t>
  </si>
  <si>
    <t>2023-12-21T16:40:41Z</t>
  </si>
  <si>
    <t>5387375_1288970</t>
  </si>
  <si>
    <t>Smiljana Potić</t>
  </si>
  <si>
    <t>p_0a8d56bc0a785c4bf3c560e2ae6eed4db90e1d85@inbound.aiesec.org</t>
  </si>
  <si>
    <t>2023-12-08T15:17:25Z</t>
  </si>
  <si>
    <t>5394998_1290731</t>
  </si>
  <si>
    <t>Bouguesri Mehdi</t>
  </si>
  <si>
    <t>p_f17ffbc2d2f4c14864a76ddddf14d5fac9f9fe70@inbound.aiesec.org</t>
  </si>
  <si>
    <t>2023-12-27T04:24:59Z</t>
  </si>
  <si>
    <t>5019143_1300836</t>
  </si>
  <si>
    <t>Mera Elmanakhly</t>
  </si>
  <si>
    <t>p_b77341f5aa3b4a5d88c2de60fa623d7422213b97@inbound.aiesec.org</t>
  </si>
  <si>
    <t>https://expa.aiesec.org/opportunities/1300836</t>
  </si>
  <si>
    <t>2022-04-01T03:43:33Z</t>
  </si>
  <si>
    <t>5391283_1300681</t>
  </si>
  <si>
    <t>Emre Demir</t>
  </si>
  <si>
    <t>p_c743ca8a31e2222ee263aa8a9e5c6b8e3fd2cac4@inbound.aiesec.org</t>
  </si>
  <si>
    <t>2023-12-16T22:59:10Z</t>
  </si>
  <si>
    <t>5394428_1301512</t>
  </si>
  <si>
    <t>Çağla Öztürk</t>
  </si>
  <si>
    <t>p_cebf4c473ab1822e8c4c1dff1f66b371369db99b@inbound.aiesec.org</t>
  </si>
  <si>
    <t>https://expa.aiesec.org/opportunities/1301512</t>
  </si>
  <si>
    <t>2023-12-25T06:00:53Z</t>
  </si>
  <si>
    <t>5388712_1284081</t>
  </si>
  <si>
    <t>Milica Bošnjak</t>
  </si>
  <si>
    <t>p_1e83c839ff75ffe1050d31372488b99a726b4bc3@inbound.aiesec.org</t>
  </si>
  <si>
    <t>2023-12-11T18:58:42Z</t>
  </si>
  <si>
    <t>5352164_1294584</t>
  </si>
  <si>
    <t>Farhan Ahmed</t>
  </si>
  <si>
    <t>p_90072473a6ee43df5069e87b5b83c14f5302fa36@inbound.aiesec.org</t>
  </si>
  <si>
    <t>2023-10-15T09:32:56Z</t>
  </si>
  <si>
    <t>5391840_1287942</t>
  </si>
  <si>
    <t>Hayam Aly</t>
  </si>
  <si>
    <t>p_81c10c3a89a1eb6848846b81c8dd85bcd603f53e@inbound.aiesec.org</t>
  </si>
  <si>
    <t>2023-12-18T14:02:15Z</t>
  </si>
  <si>
    <t>5392596_1295745</t>
  </si>
  <si>
    <t>deniz ghasemzadeh</t>
  </si>
  <si>
    <t>p_96f6417ac4ecf9f2c9046d06795743cd6e1f47cf@inbound.aiesec.org</t>
  </si>
  <si>
    <t>Studied abroad (Asia: Turkey etc.)</t>
  </si>
  <si>
    <t>2023-12-20T12:36:50Z</t>
  </si>
  <si>
    <t>5381866_1302694</t>
  </si>
  <si>
    <t>yasin emre özel</t>
  </si>
  <si>
    <t>p_22837905f6abae6648cffce08d64755d708e3ddc@inbound.aiesec.org</t>
  </si>
  <si>
    <t>https://expa.aiesec.org/opportunities/1302694</t>
  </si>
  <si>
    <t xml:space="preserve">Marketing Associate </t>
  </si>
  <si>
    <t>2023-11-28T17:33:52Z</t>
  </si>
  <si>
    <t>5395298_1289536</t>
  </si>
  <si>
    <t>ADIBA FATEMA QUAZI</t>
  </si>
  <si>
    <t>p_8c7d54358c2d1cfced619a46287e4d8f1486cb3b@inbound.aiesec.org</t>
  </si>
  <si>
    <t>2023-12-27T15:47:22Z</t>
  </si>
  <si>
    <t>5387715_1287488</t>
  </si>
  <si>
    <t>Farzin Amonov</t>
  </si>
  <si>
    <t>p_57111bc9846cf6ddc2ea055847336c56f768fc3e@inbound.aiesec.org</t>
  </si>
  <si>
    <t>2023-12-09T12:24:05Z</t>
  </si>
  <si>
    <t>5396851_1302031</t>
  </si>
  <si>
    <t>Duha Sila Kanter</t>
  </si>
  <si>
    <t>p_7f3503a488b0f40023476c9a9161ad7f363bb2a4@inbound.aiesec.org</t>
  </si>
  <si>
    <t>https://expa.aiesec.org/opportunities/1302031</t>
  </si>
  <si>
    <t>2023-12-31T16:58:14Z</t>
  </si>
  <si>
    <t>5027833_1294941</t>
  </si>
  <si>
    <t>Patricia del Rocio Maria Alba Cardona</t>
  </si>
  <si>
    <t>p_26bd5e81ca807ad2c83717f1073f92c344d72b51@inbound.aiesec.org</t>
  </si>
  <si>
    <t>2022-04-07T06:15:40Z</t>
  </si>
  <si>
    <t>5394058_1302530</t>
  </si>
  <si>
    <t>Irmak Eylül Oral</t>
  </si>
  <si>
    <t>p_058535e669969298302fb132b0677f6f1ff3a264@inbound.aiesec.org</t>
  </si>
  <si>
    <t>https://expa.aiesec.org/opportunities/1302530</t>
  </si>
  <si>
    <t>2023-12-24T13:05:08Z</t>
  </si>
  <si>
    <t>5366769_1296105</t>
  </si>
  <si>
    <t>Yoonseo Go</t>
  </si>
  <si>
    <t>p_1a48d3f1a08658e19621f5611972c438aaed0299@inbound.aiesec.org</t>
  </si>
  <si>
    <t>연세대학교 Yonsei University</t>
  </si>
  <si>
    <t>2023-11-04T13:30:58Z</t>
  </si>
  <si>
    <t>5396327_1298281</t>
  </si>
  <si>
    <t>Beyza Çay</t>
  </si>
  <si>
    <t>p_99390b7d0a4a41ca1ea8dee241f749e10e593e65@inbound.aiesec.org</t>
  </si>
  <si>
    <t>https://expa.aiesec.org/opportunities/1298281</t>
  </si>
  <si>
    <t>2023-12-30T11:16:55Z</t>
  </si>
  <si>
    <t>5393005_1296424</t>
  </si>
  <si>
    <t>HAMMAD ALI</t>
  </si>
  <si>
    <t>p_09ceefd2de980c90977c4a883b2f38aa3ac64bd0@inbound.aiesec.org</t>
  </si>
  <si>
    <t>2023-12-21T15:50:26Z</t>
  </si>
  <si>
    <t>5340095_1294584</t>
  </si>
  <si>
    <t>Kateryna Radionova</t>
  </si>
  <si>
    <t>p_79f902dea9adf588facd75150e3b5c5e31a0de64@inbound.aiesec.org</t>
  </si>
  <si>
    <t>Kherson</t>
  </si>
  <si>
    <t>2023-10-02T19:57:56Z</t>
  </si>
  <si>
    <t>5249949_1299358</t>
  </si>
  <si>
    <t>sudenur kocaman</t>
  </si>
  <si>
    <t>p_0b9c0a092342ef9e89e63ce9faa4dc7519f048a8@inbound.aiesec.org</t>
  </si>
  <si>
    <t>2023-04-26T14:45:11Z</t>
  </si>
  <si>
    <t>5397440_1296424</t>
  </si>
  <si>
    <t>AIMAN HUSSAIN</t>
  </si>
  <si>
    <t>p_beafc76ab0a433b81dd5f1b023667ecde661a2a3@inbound.aiesec.org</t>
  </si>
  <si>
    <t>2024-01-03T10:55:08Z</t>
  </si>
  <si>
    <t>5392772_1296101</t>
  </si>
  <si>
    <t>Elena-Antonia Bolog</t>
  </si>
  <si>
    <t>p_d1c2a80cb5ad2aba9507dac378e156ed8288030a@inbound.aiesec.org</t>
  </si>
  <si>
    <t>2023-12-20T20:37:13Z</t>
  </si>
  <si>
    <t>4327433_1289255</t>
  </si>
  <si>
    <t>5366430_1289965</t>
  </si>
  <si>
    <t>Zehra Selen Yürüyen</t>
  </si>
  <si>
    <t>p_461864c2715cb8e3dec234210ec8b9430bf7a6e1@inbound.aiesec.org</t>
  </si>
  <si>
    <t>https://expa.aiesec.org/opportunities/1289965</t>
  </si>
  <si>
    <t>2023-11-03T16:16:54Z</t>
  </si>
  <si>
    <t>5397447_1301758</t>
  </si>
  <si>
    <t>Eren Aydın</t>
  </si>
  <si>
    <t>p_faadfe39e27e0743fc503314abb9cfb7bc6ce26f@inbound.aiesec.org</t>
  </si>
  <si>
    <t>https://expa.aiesec.org/opportunities/1301758</t>
  </si>
  <si>
    <t>2024-01-03T11:22:34Z</t>
  </si>
  <si>
    <t>5397218_1294063</t>
  </si>
  <si>
    <t>Begüm MELETLİ</t>
  </si>
  <si>
    <t>p_6b2c447f12366dc0b352092f314a8ffcaf3479b7@inbound.aiesec.org</t>
  </si>
  <si>
    <t>2024-01-02T14:23:02Z</t>
  </si>
  <si>
    <t>5263818_1302896</t>
  </si>
  <si>
    <t>Bekkhoucha Sihem</t>
  </si>
  <si>
    <t>p_6169cdf8e5dc37156b79795e089e199653fee63b@inbound.aiesec.org</t>
  </si>
  <si>
    <t>https://expa.aiesec.org/opportunities/1302896</t>
  </si>
  <si>
    <t>English Teacher, Kurtköy</t>
  </si>
  <si>
    <t>2023-05-19T23:16:37Z</t>
  </si>
  <si>
    <t>5398504_1291482</t>
  </si>
  <si>
    <t>Parfait Jean De La Croix Mano</t>
  </si>
  <si>
    <t>p_9284bc8feb37a43ed068999913ec0ef66688e7c9@inbound.aiesec.org</t>
  </si>
  <si>
    <t>Burkina Faso</t>
  </si>
  <si>
    <t>AIESEC in Ouagadougou</t>
  </si>
  <si>
    <t>Ouagadougou</t>
  </si>
  <si>
    <t>2024-01-06T20:44:00Z</t>
  </si>
  <si>
    <t>5397299_1299672</t>
  </si>
  <si>
    <t>hatice b</t>
  </si>
  <si>
    <t>p_edd0d5f342f894717dc48d6af4a74df93218e520@inbound.aiesec.org</t>
  </si>
  <si>
    <t>https://expa.aiesec.org/opportunities/1299672</t>
  </si>
  <si>
    <t>2024-01-02T19:27:15Z</t>
  </si>
  <si>
    <t>4829765_1294445</t>
  </si>
  <si>
    <t>https://expa.aiesec.org/opportunities/1294445</t>
  </si>
  <si>
    <t>5390730_1302898</t>
  </si>
  <si>
    <t>Jawher Rahmani</t>
  </si>
  <si>
    <t>p_d1c81508e855f8c87755e01f2a78f6da9e966421@inbound.aiesec.org</t>
  </si>
  <si>
    <t>https://expa.aiesec.org/opportunities/1302898</t>
  </si>
  <si>
    <t>English Teacher, Çamlıca</t>
  </si>
  <si>
    <t>2023-12-15T16:27:28Z</t>
  </si>
  <si>
    <t>5399599_1290282</t>
  </si>
  <si>
    <t>Selin Menek</t>
  </si>
  <si>
    <t>p_80737fccd2cea76d209f522b48cf150a01f1a573@inbound.aiesec.org</t>
  </si>
  <si>
    <t>2024-01-10T14:56:41Z</t>
  </si>
  <si>
    <t>5387415_1302591</t>
  </si>
  <si>
    <t>Mehmet Eren Tosun</t>
  </si>
  <si>
    <t>p_241d8a4b7318d0df2c4c87e97fd4c05d511397c4@inbound.aiesec.org</t>
  </si>
  <si>
    <t>https://expa.aiesec.org/opportunities/1302591</t>
  </si>
  <si>
    <t>2023-12-08T17:07:01Z</t>
  </si>
  <si>
    <t>5399168_1288330</t>
  </si>
  <si>
    <t>Emine Yağmur Göktaş</t>
  </si>
  <si>
    <t>p_91f959b070b639d192c3fbed8628d2be8e0e7177@inbound.aiesec.org</t>
  </si>
  <si>
    <t>2024-01-09T10:41:34Z</t>
  </si>
  <si>
    <t>5399295_1296671</t>
  </si>
  <si>
    <t>p_a5e4b9e43d47b0267fd33638e49f047399e3ee5f@inbound.aiesec.org</t>
  </si>
  <si>
    <t>2024-01-09T16:24:33Z</t>
  </si>
  <si>
    <t>5396340_1289255</t>
  </si>
  <si>
    <t>p_f0f0ddabb32cfd328095c9e851ffe812293af18d@inbound.aiesec.org</t>
  </si>
  <si>
    <t>2023-12-30T12:23:35Z</t>
  </si>
  <si>
    <t>5399692_1289564</t>
  </si>
  <si>
    <t>Sadık Emre Cengiz</t>
  </si>
  <si>
    <t>p_5cf0e95f9e9153541116eeac1b54dcb6501bae85@inbound.aiesec.org</t>
  </si>
  <si>
    <t>2024-01-10T20:07:45Z</t>
  </si>
  <si>
    <t>5395225_1300558</t>
  </si>
  <si>
    <t>Bushra Khan</t>
  </si>
  <si>
    <t>p_e0b7624b3e661eb8fca4d6fc58fb23079fe02737@inbound.aiesec.org</t>
  </si>
  <si>
    <t>SNDT, Santa Cruz</t>
  </si>
  <si>
    <t>2023-12-27T13:38:36Z</t>
  </si>
  <si>
    <t>5400513_1289255</t>
  </si>
  <si>
    <t>p_06444dbeee3a24078b8c93d8ec7ab25356737b66@inbound.aiesec.org</t>
  </si>
  <si>
    <t>2024-01-12T22:56:56Z</t>
  </si>
  <si>
    <t>5400444_1300326</t>
  </si>
  <si>
    <t>p_f9ca11a3ae1810afdd5b913186ec087a34739de0@inbound.aiesec.org</t>
  </si>
  <si>
    <t>2024-01-12T18:30:15Z</t>
  </si>
  <si>
    <t>5398880_1288330</t>
  </si>
  <si>
    <t>Arman Ayvazoğlu</t>
  </si>
  <si>
    <t>p_6602f8e49de2c987c7c679aa4b0862757c686fb4@inbound.aiesec.org</t>
  </si>
  <si>
    <t>2024-01-08T13:00:03Z</t>
  </si>
  <si>
    <t>5398879_1288330</t>
  </si>
  <si>
    <t>berfin köse</t>
  </si>
  <si>
    <t>p_f37ce844ff55aec5c44f0ccd61638434123c3276@inbound.aiesec.org</t>
  </si>
  <si>
    <t>2024-01-08T12:57:37Z</t>
  </si>
  <si>
    <t>5399137_1287488</t>
  </si>
  <si>
    <t>Shruti Akash Chandekar</t>
  </si>
  <si>
    <t>p_af820706a07cc47aa233311972f43757d0d8270e@inbound.aiesec.org</t>
  </si>
  <si>
    <t>2024-01-09T08:33:03Z</t>
  </si>
  <si>
    <t>5389748_1293417</t>
  </si>
  <si>
    <t>Mariana Yurishinets</t>
  </si>
  <si>
    <t>p_04e61f3ccf9be602d753c155db4ff80a8993ee72@inbound.aiesec.org</t>
  </si>
  <si>
    <t>2023-12-13T20:03:08Z</t>
  </si>
  <si>
    <t>5402143_1303001</t>
  </si>
  <si>
    <t>nilgul beste</t>
  </si>
  <si>
    <t>p_88c8f4bc70bb755d572f46454404f4363aea5795@inbound.aiesec.org</t>
  </si>
  <si>
    <t>https://expa.aiesec.org/opportunities/1303001</t>
  </si>
  <si>
    <t>Business Development Specialist (Duplicated2) (Duplicated)</t>
  </si>
  <si>
    <t>2024-01-16T19:07:25Z</t>
  </si>
  <si>
    <t>5397817_1299851</t>
  </si>
  <si>
    <t>Alper Yasin Güngördü</t>
  </si>
  <si>
    <t>p_869faa2be2af44a78fd4677ca24af6c9cd095c19@inbound.aiesec.org</t>
  </si>
  <si>
    <t>2024-01-04T14:24:04Z</t>
  </si>
  <si>
    <t>5397794_1302495</t>
  </si>
  <si>
    <t>Nisa Ekinci</t>
  </si>
  <si>
    <t>p_e19e17a42af137951223e192111c3d91267edd2e@inbound.aiesec.org</t>
  </si>
  <si>
    <t>2024-01-04T13:22:55Z</t>
  </si>
  <si>
    <t>5402610_1293635</t>
  </si>
  <si>
    <t>Rasim GÜLER</t>
  </si>
  <si>
    <t>p_e1a8670c497e1ecb2b32ef8f529fba045ae420b8@inbound.aiesec.org</t>
  </si>
  <si>
    <t>https://expa.aiesec.org/opportunities/1293635</t>
  </si>
  <si>
    <t>2024-01-17T20:17:46Z</t>
  </si>
  <si>
    <t>5381631_1296625</t>
  </si>
  <si>
    <t>Zaineb Khelifi</t>
  </si>
  <si>
    <t>p_f380ba5efac28d182fb6525e6d79445d49a9f7fd@inbound.aiesec.org</t>
  </si>
  <si>
    <t>2023-11-28T13:11:44Z</t>
  </si>
  <si>
    <t>5395743_1299666</t>
  </si>
  <si>
    <t>Sara Birkdar</t>
  </si>
  <si>
    <t>p_f05f125526e475b8a647b0c94c7b97c15fab49ae@inbound.aiesec.org</t>
  </si>
  <si>
    <t>WARWICK</t>
  </si>
  <si>
    <t>Aston University, Birmingham</t>
  </si>
  <si>
    <t>2023-12-28T14:30:30Z</t>
  </si>
  <si>
    <t>5400782_1299454</t>
  </si>
  <si>
    <t>Begüm Kılınç</t>
  </si>
  <si>
    <t>p_f52ae9ec8402c38fe3e0ba1c506e18daa1dfd18c@inbound.aiesec.org</t>
  </si>
  <si>
    <t>https://expa.aiesec.org/opportunities/1299454</t>
  </si>
  <si>
    <t>2024-01-13T20:06:28Z</t>
  </si>
  <si>
    <t>5397910_1303008</t>
  </si>
  <si>
    <t>Rosu Maria-Emilia</t>
  </si>
  <si>
    <t>p_761ec0a97c09c7fd707433ad06a6c9903160505f@inbound.aiesec.org</t>
  </si>
  <si>
    <t>https://expa.aiesec.org/opportunities/1303008</t>
  </si>
  <si>
    <t>2024-01-04T21:18:22Z</t>
  </si>
  <si>
    <t>5398320_1301834</t>
  </si>
  <si>
    <t>Hansini Wijerathna</t>
  </si>
  <si>
    <t>p_31d1b342e279fe285d97b57f85aae7cffa1e5ec6@inbound.aiesec.org</t>
  </si>
  <si>
    <t>https://expa.aiesec.org/opportunities/1301834</t>
  </si>
  <si>
    <t>2024-01-06T04:47:04Z</t>
  </si>
  <si>
    <t>5301374_1281345</t>
  </si>
  <si>
    <t>fatma olgen</t>
  </si>
  <si>
    <t>p_1a7828cb35afa7eb4e10251e776d9f26f765a1e1@inbound.aiesec.org</t>
  </si>
  <si>
    <t>2023-08-11T21:20:42Z</t>
  </si>
  <si>
    <t>5397741_1286368</t>
  </si>
  <si>
    <t>p_5c792c63c3583356ff70930af7330ecb24289a09@inbound.aiesec.org</t>
  </si>
  <si>
    <t>2024-01-04T10:01:29Z</t>
  </si>
  <si>
    <t>5398429_1286658</t>
  </si>
  <si>
    <t>Hasan Akarsoy</t>
  </si>
  <si>
    <t>p_1c80613f337747a09c62fb13f6abaad4602f6219@inbound.aiesec.org</t>
  </si>
  <si>
    <t>2024-01-06T16:00:06Z</t>
  </si>
  <si>
    <t>5397811_1289965</t>
  </si>
  <si>
    <t>Nil Beril Özkan</t>
  </si>
  <si>
    <t>p_2d9a8250e84ea513c828c1996bd245589ae45d47@inbound.aiesec.org</t>
  </si>
  <si>
    <t>2024-01-04T14:09:53Z</t>
  </si>
  <si>
    <t>4824486_1281345</t>
  </si>
  <si>
    <t>Beyza Şerife Sezer</t>
  </si>
  <si>
    <t>p_14426b0b60de18499e4d6eed9084c593c90c090f@inbound.aiesec.org</t>
  </si>
  <si>
    <t>2021-11-30T19:38:20Z</t>
  </si>
  <si>
    <t>5261042_1288486</t>
  </si>
  <si>
    <t>Amna Dernouni</t>
  </si>
  <si>
    <t>p_c82e5083c1d120073dab622a88b300e6ab93d408@inbound.aiesec.org</t>
  </si>
  <si>
    <t>2023-05-14T19:31:59Z</t>
  </si>
  <si>
    <t>3791898_1281010</t>
  </si>
  <si>
    <t>Vu Le Thanh</t>
  </si>
  <si>
    <t>p_9f1cd041490b40aa0ebf204ce2911b22a2196b69@inbound.aiesec.org</t>
  </si>
  <si>
    <t>**I am taking a gap year</t>
  </si>
  <si>
    <t>2019-08-26T07:44:32Z</t>
  </si>
  <si>
    <t>5402880_1281345</t>
  </si>
  <si>
    <t>Defne Yolal</t>
  </si>
  <si>
    <t>p_4a57805d1a543778f22e12b3c521cdc103f61c79@inbound.aiesec.org</t>
  </si>
  <si>
    <t>2024-01-18T14:43:14Z</t>
  </si>
  <si>
    <t>5403363_1295893</t>
  </si>
  <si>
    <t>Anastasiia Hrytsay</t>
  </si>
  <si>
    <t>p_da41ea8545e508016196968f5b5424535b3584ac@inbound.aiesec.org</t>
  </si>
  <si>
    <t>2024-01-19T21:03:41Z</t>
  </si>
  <si>
    <t>5402817_1303008</t>
  </si>
  <si>
    <t>Valeria Likhachova</t>
  </si>
  <si>
    <t>p_9103d5cba3cdd5f45830b7ad3f202365de7e5b0d@inbound.aiesec.org</t>
  </si>
  <si>
    <t>2024-01-18T11:49:18Z</t>
  </si>
  <si>
    <t>5391360_1292535</t>
  </si>
  <si>
    <t>Gaukhar Zhakimova</t>
  </si>
  <si>
    <t>p_f5cf0ad17026cd34ece11388516ec0a74e903ec1@inbound.aiesec.org</t>
  </si>
  <si>
    <t>2023-12-17T10:31:12Z</t>
  </si>
  <si>
    <t>5403187_1300750</t>
  </si>
  <si>
    <t>Anna Yaremenko</t>
  </si>
  <si>
    <t>p_b717d91408fed2b2d003aa0f8170259d25ceba5c@inbound.aiesec.org</t>
  </si>
  <si>
    <t>https://expa.aiesec.org/opportunities/1300750</t>
  </si>
  <si>
    <t>2024-01-19T11:35:12Z</t>
  </si>
  <si>
    <t>5401938_1303316</t>
  </si>
  <si>
    <t>Zeynep Sena Özdemir</t>
  </si>
  <si>
    <t>p_fa1af07271209c95a218f4612dc1250bb75d3790@inbound.aiesec.org</t>
  </si>
  <si>
    <t>https://expa.aiesec.org/opportunities/1303316</t>
  </si>
  <si>
    <t>2024-01-16T10:59:21Z</t>
  </si>
  <si>
    <t>5403471_1300558</t>
  </si>
  <si>
    <t>Olha Plaksii</t>
  </si>
  <si>
    <t>p_10163078880ddbce3ce764bbb8cf6d987cbcc7ea@inbound.aiesec.org</t>
  </si>
  <si>
    <t>2024-01-20T08:52:20Z</t>
  </si>
  <si>
    <t>5400369_1303008</t>
  </si>
  <si>
    <t>Andreea Raclaru</t>
  </si>
  <si>
    <t>p_746a2206fb90134c3d3454dbe44d7e11fd0b8a4f@inbound.aiesec.org</t>
  </si>
  <si>
    <t>2024-01-12T15:35:42Z</t>
  </si>
  <si>
    <t>5388505_1294941</t>
  </si>
  <si>
    <t>Nibras Mohamed</t>
  </si>
  <si>
    <t>p_c5f36dedcbd40bf16ae4c01eacf2adaf6c7a3c10@inbound.aiesec.org</t>
  </si>
  <si>
    <t>2023-12-11T12:01:17Z</t>
  </si>
  <si>
    <t>5403849_1294795</t>
  </si>
  <si>
    <t>Mariia Kozak</t>
  </si>
  <si>
    <t>p_96e6dae37f15d6e03e359090d76adcd4c40f7d8b@inbound.aiesec.org</t>
  </si>
  <si>
    <t>2024-01-21T14:32:53Z</t>
  </si>
  <si>
    <t>IGV</t>
  </si>
  <si>
    <t>IGT</t>
  </si>
  <si>
    <t>OGV</t>
  </si>
  <si>
    <t>OGT</t>
  </si>
  <si>
    <t>Pending⏱️</t>
  </si>
  <si>
    <t>Total</t>
  </si>
  <si>
    <t>LCs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</si>
</sst>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5">
    <font>
      <sz val="10.0"/>
      <color rgb="FF000000"/>
      <name val="Arial"/>
      <scheme val="minor"/>
    </font>
    <font>
      <b/>
      <sz val="11.0"/>
      <color rgb="FFFFFFFF"/>
      <name val="Calibri"/>
    </font>
    <font>
      <b/>
      <color rgb="FFFFFFFF"/>
      <name val="Arial"/>
    </font>
    <font>
      <color theme="1"/>
      <name val="Arial"/>
    </font>
    <font>
      <u/>
      <color rgb="FF1155CC"/>
      <name val="Arial"/>
    </font>
    <font>
      <color theme="1"/>
      <name val="Arial"/>
      <scheme val="minor"/>
    </font>
    <font>
      <u/>
      <color rgb="FF0000FF"/>
    </font>
    <font>
      <b/>
      <sz val="20.0"/>
      <color rgb="FFFFFFFF"/>
      <name val="Arial"/>
      <scheme val="minor"/>
    </font>
    <font/>
    <font>
      <color rgb="FFFFFFFF"/>
      <name val="Arial"/>
      <scheme val="minor"/>
    </font>
    <font>
      <b/>
      <i/>
      <sz val="10.0"/>
      <color rgb="FFFFFFFF"/>
      <name val="Lato"/>
    </font>
    <font>
      <color rgb="FFFFFFFF"/>
      <name val="Lato"/>
    </font>
    <font>
      <i/>
      <sz val="9.0"/>
      <color rgb="FF000000"/>
      <name val="Lato"/>
    </font>
    <font>
      <i/>
      <color theme="1"/>
      <name val="Lato"/>
    </font>
    <font>
      <i/>
      <u/>
      <color rgb="FF0000FF"/>
      <name val="Lato"/>
    </font>
  </fonts>
  <fills count="14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990000"/>
        <bgColor rgb="FF990000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8"/>
        <bgColor theme="8"/>
      </patternFill>
    </fill>
    <fill>
      <patternFill patternType="solid">
        <fgColor rgb="FF38761D"/>
        <bgColor rgb="FF38761D"/>
      </patternFill>
    </fill>
    <fill>
      <patternFill patternType="solid">
        <fgColor theme="4"/>
        <bgColor theme="4"/>
      </patternFill>
    </fill>
    <fill>
      <patternFill patternType="solid">
        <fgColor rgb="FF274E13"/>
        <bgColor rgb="FF274E13"/>
      </patternFill>
    </fill>
    <fill>
      <patternFill patternType="solid">
        <fgColor rgb="FF980000"/>
        <bgColor rgb="FF98000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9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2" fillId="2" fontId="1" numFmtId="0" xfId="0" applyAlignment="1" applyBorder="1" applyFont="1">
      <alignment horizontal="center" vertical="bottom"/>
    </xf>
    <xf borderId="2" fillId="2" fontId="2" numFmtId="0" xfId="0" applyAlignment="1" applyBorder="1" applyFont="1">
      <alignment horizontal="center" vertical="bottom"/>
    </xf>
    <xf borderId="2" fillId="2" fontId="2" numFmtId="0" xfId="0" applyAlignment="1" applyBorder="1" applyFont="1">
      <alignment horizontal="center" vertical="bottom"/>
    </xf>
    <xf borderId="2" fillId="2" fontId="3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center" readingOrder="0" shrinkToFit="0" vertical="bottom" wrapText="0"/>
    </xf>
    <xf quotePrefix="1" borderId="0" fillId="0" fontId="3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3" numFmtId="164" xfId="0" applyAlignment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5" numFmtId="0" xfId="0" applyAlignment="1" applyFont="1">
      <alignment shrinkToFit="0" wrapText="0"/>
    </xf>
    <xf borderId="0" fillId="0" fontId="3" numFmtId="0" xfId="0" applyAlignment="1" applyFont="1">
      <alignment horizontal="center" readingOrder="0" shrinkToFit="0" vertical="bottom" wrapText="0"/>
    </xf>
    <xf borderId="0" fillId="0" fontId="5" numFmtId="0" xfId="0" applyFont="1"/>
    <xf borderId="0" fillId="0" fontId="6" numFmtId="0" xfId="0" applyFont="1"/>
    <xf borderId="0" fillId="0" fontId="5" numFmtId="164" xfId="0" applyFont="1" applyNumberFormat="1"/>
    <xf borderId="3" fillId="3" fontId="7" numFmtId="0" xfId="0" applyAlignment="1" applyBorder="1" applyFill="1" applyFont="1">
      <alignment horizontal="center" vertical="center"/>
    </xf>
    <xf borderId="4" fillId="4" fontId="7" numFmtId="0" xfId="0" applyAlignment="1" applyBorder="1" applyFill="1" applyFont="1">
      <alignment horizontal="center" readingOrder="0" vertical="center"/>
    </xf>
    <xf borderId="4" fillId="0" fontId="8" numFmtId="0" xfId="0" applyBorder="1" applyFont="1"/>
    <xf borderId="4" fillId="5" fontId="7" numFmtId="0" xfId="0" applyAlignment="1" applyBorder="1" applyFill="1" applyFont="1">
      <alignment horizontal="center" readingOrder="0" vertical="center"/>
    </xf>
    <xf borderId="4" fillId="6" fontId="7" numFmtId="0" xfId="0" applyAlignment="1" applyBorder="1" applyFill="1" applyFont="1">
      <alignment horizontal="center" readingOrder="0" vertical="center"/>
    </xf>
    <xf borderId="0" fillId="7" fontId="7" numFmtId="0" xfId="0" applyAlignment="1" applyFill="1" applyFont="1">
      <alignment horizontal="center" readingOrder="0" vertical="center"/>
    </xf>
    <xf borderId="4" fillId="8" fontId="7" numFmtId="0" xfId="0" applyAlignment="1" applyBorder="1" applyFill="1" applyFont="1">
      <alignment horizontal="center" readingOrder="0" vertical="center"/>
    </xf>
    <xf borderId="5" fillId="0" fontId="8" numFmtId="0" xfId="0" applyBorder="1" applyFont="1"/>
    <xf borderId="6" fillId="0" fontId="8" numFmtId="0" xfId="0" applyBorder="1" applyFont="1"/>
    <xf borderId="0" fillId="4" fontId="7" numFmtId="0" xfId="0" applyAlignment="1" applyFont="1">
      <alignment horizontal="center" vertical="center"/>
    </xf>
    <xf borderId="0" fillId="5" fontId="7" numFmtId="0" xfId="0" applyAlignment="1" applyFont="1">
      <alignment horizontal="center" vertical="center"/>
    </xf>
    <xf borderId="0" fillId="6" fontId="7" numFmtId="0" xfId="0" applyAlignment="1" applyFont="1">
      <alignment horizontal="center" vertical="center"/>
    </xf>
    <xf borderId="0" fillId="8" fontId="7" numFmtId="0" xfId="0" applyAlignment="1" applyFont="1">
      <alignment horizontal="center" readingOrder="0" vertical="center"/>
    </xf>
    <xf borderId="7" fillId="0" fontId="8" numFmtId="0" xfId="0" applyBorder="1" applyFont="1"/>
    <xf borderId="6" fillId="3" fontId="9" numFmtId="0" xfId="0" applyAlignment="1" applyBorder="1" applyFont="1">
      <alignment horizontal="center" readingOrder="0" vertical="center"/>
    </xf>
    <xf borderId="0" fillId="3" fontId="9" numFmtId="0" xfId="0" applyAlignment="1" applyFont="1">
      <alignment horizontal="center" readingOrder="0" vertical="center"/>
    </xf>
    <xf borderId="0" fillId="9" fontId="9" numFmtId="0" xfId="0" applyAlignment="1" applyFill="1" applyFont="1">
      <alignment horizontal="center" readingOrder="0" vertical="center"/>
    </xf>
    <xf borderId="6" fillId="10" fontId="10" numFmtId="0" xfId="0" applyAlignment="1" applyBorder="1" applyFill="1" applyFont="1">
      <alignment horizontal="center" vertical="center"/>
    </xf>
    <xf borderId="0" fillId="11" fontId="5" numFmtId="0" xfId="0" applyAlignment="1" applyFill="1" applyFont="1">
      <alignment horizontal="center" readingOrder="0" vertical="center"/>
    </xf>
    <xf borderId="0" fillId="12" fontId="11" numFmtId="0" xfId="0" applyAlignment="1" applyFill="1" applyFont="1">
      <alignment horizontal="center" readingOrder="0" vertical="center"/>
    </xf>
    <xf borderId="0" fillId="11" fontId="11" numFmtId="0" xfId="0" applyAlignment="1" applyFont="1">
      <alignment horizontal="center" readingOrder="0" vertical="center"/>
    </xf>
    <xf borderId="8" fillId="10" fontId="10" numFmtId="0" xfId="0" applyAlignment="1" applyBorder="1" applyFont="1">
      <alignment horizontal="center" vertical="center"/>
    </xf>
    <xf borderId="0" fillId="10" fontId="10" numFmtId="0" xfId="0" applyAlignment="1" applyFont="1">
      <alignment horizontal="center" vertical="center"/>
    </xf>
    <xf borderId="0" fillId="13" fontId="12" numFmtId="0" xfId="0" applyAlignment="1" applyFill="1" applyFont="1">
      <alignment horizontal="center" vertical="center"/>
    </xf>
    <xf borderId="0" fillId="0" fontId="13" numFmtId="0" xfId="0" applyAlignment="1" applyFont="1">
      <alignment horizontal="center" vertical="center"/>
    </xf>
    <xf borderId="0" fillId="0" fontId="14" numFmtId="0" xfId="0" applyAlignment="1" applyFont="1">
      <alignment horizontal="center" vertical="center"/>
    </xf>
    <xf borderId="0" fillId="0" fontId="13" numFmtId="164" xfId="0" applyAlignment="1" applyFont="1" applyNumberFormat="1">
      <alignment horizontal="center" vertical="center"/>
    </xf>
  </cellXfs>
  <cellStyles count="1">
    <cellStyle xfId="0" name="Normal" builtinId="0"/>
  </cellStyles>
  <dxfs count="2"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660000"/>
          <bgColor rgb="FF6600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s://expa.aiesec.org/opportunities/1287243" TargetMode="External"/><Relationship Id="rId391" Type="http://schemas.openxmlformats.org/officeDocument/2006/relationships/hyperlink" Target="https://expa.aiesec.org/opportunities/1277549" TargetMode="External"/><Relationship Id="rId390" Type="http://schemas.openxmlformats.org/officeDocument/2006/relationships/hyperlink" Target="https://expa.aiesec.org/opportunities/1289281" TargetMode="External"/><Relationship Id="rId2180" Type="http://schemas.openxmlformats.org/officeDocument/2006/relationships/hyperlink" Target="https://expa.aiesec.org/opportunities/1287210" TargetMode="External"/><Relationship Id="rId2181" Type="http://schemas.openxmlformats.org/officeDocument/2006/relationships/hyperlink" Target="https://expa.aiesec.org/opportunities/1287210" TargetMode="External"/><Relationship Id="rId2182" Type="http://schemas.openxmlformats.org/officeDocument/2006/relationships/hyperlink" Target="https://expa.aiesec.org/opportunities/1287210" TargetMode="External"/><Relationship Id="rId2183" Type="http://schemas.openxmlformats.org/officeDocument/2006/relationships/hyperlink" Target="https://expa.aiesec.org/opportunities/1294785" TargetMode="External"/><Relationship Id="rId385" Type="http://schemas.openxmlformats.org/officeDocument/2006/relationships/hyperlink" Target="https://expa.aiesec.org/opportunities/1287966" TargetMode="External"/><Relationship Id="rId2184" Type="http://schemas.openxmlformats.org/officeDocument/2006/relationships/hyperlink" Target="https://expa.aiesec.org/opportunities/1293706" TargetMode="External"/><Relationship Id="rId384" Type="http://schemas.openxmlformats.org/officeDocument/2006/relationships/hyperlink" Target="https://expa.aiesec.org/opportunities/1278809" TargetMode="External"/><Relationship Id="rId2185" Type="http://schemas.openxmlformats.org/officeDocument/2006/relationships/hyperlink" Target="https://expa.aiesec.org/opportunities/1294197" TargetMode="External"/><Relationship Id="rId383" Type="http://schemas.openxmlformats.org/officeDocument/2006/relationships/hyperlink" Target="https://expa.aiesec.org/opportunities/1287990" TargetMode="External"/><Relationship Id="rId2186" Type="http://schemas.openxmlformats.org/officeDocument/2006/relationships/hyperlink" Target="https://expa.aiesec.org/opportunities/1294995" TargetMode="External"/><Relationship Id="rId382" Type="http://schemas.openxmlformats.org/officeDocument/2006/relationships/hyperlink" Target="https://expa.aiesec.org/opportunities/1289400" TargetMode="External"/><Relationship Id="rId2187" Type="http://schemas.openxmlformats.org/officeDocument/2006/relationships/hyperlink" Target="https://expa.aiesec.org/opportunities/1289505" TargetMode="External"/><Relationship Id="rId389" Type="http://schemas.openxmlformats.org/officeDocument/2006/relationships/hyperlink" Target="https://expa.aiesec.org/opportunities/1288840" TargetMode="External"/><Relationship Id="rId2188" Type="http://schemas.openxmlformats.org/officeDocument/2006/relationships/hyperlink" Target="https://expa.aiesec.org/opportunities/1289505" TargetMode="External"/><Relationship Id="rId388" Type="http://schemas.openxmlformats.org/officeDocument/2006/relationships/hyperlink" Target="https://expa.aiesec.org/opportunities/1286345" TargetMode="External"/><Relationship Id="rId2189" Type="http://schemas.openxmlformats.org/officeDocument/2006/relationships/hyperlink" Target="https://expa.aiesec.org/opportunities/1289100" TargetMode="External"/><Relationship Id="rId387" Type="http://schemas.openxmlformats.org/officeDocument/2006/relationships/hyperlink" Target="https://expa.aiesec.org/opportunities/1286368" TargetMode="External"/><Relationship Id="rId386" Type="http://schemas.openxmlformats.org/officeDocument/2006/relationships/hyperlink" Target="https://expa.aiesec.org/opportunities/1288707" TargetMode="External"/><Relationship Id="rId381" Type="http://schemas.openxmlformats.org/officeDocument/2006/relationships/hyperlink" Target="https://expa.aiesec.org/opportunities/1286326" TargetMode="External"/><Relationship Id="rId380" Type="http://schemas.openxmlformats.org/officeDocument/2006/relationships/hyperlink" Target="https://expa.aiesec.org/opportunities/1287137" TargetMode="External"/><Relationship Id="rId379" Type="http://schemas.openxmlformats.org/officeDocument/2006/relationships/hyperlink" Target="https://expa.aiesec.org/opportunities/1288606" TargetMode="External"/><Relationship Id="rId2170" Type="http://schemas.openxmlformats.org/officeDocument/2006/relationships/hyperlink" Target="https://expa.aiesec.org/opportunities/1293370" TargetMode="External"/><Relationship Id="rId2171" Type="http://schemas.openxmlformats.org/officeDocument/2006/relationships/hyperlink" Target="https://expa.aiesec.org/opportunities/1293632" TargetMode="External"/><Relationship Id="rId2172" Type="http://schemas.openxmlformats.org/officeDocument/2006/relationships/hyperlink" Target="https://expa.aiesec.org/opportunities/1293980" TargetMode="External"/><Relationship Id="rId374" Type="http://schemas.openxmlformats.org/officeDocument/2006/relationships/hyperlink" Target="https://expa.aiesec.org/opportunities/1288497" TargetMode="External"/><Relationship Id="rId2173" Type="http://schemas.openxmlformats.org/officeDocument/2006/relationships/hyperlink" Target="https://expa.aiesec.org/opportunities/1291979" TargetMode="External"/><Relationship Id="rId373" Type="http://schemas.openxmlformats.org/officeDocument/2006/relationships/hyperlink" Target="https://expa.aiesec.org/opportunities/1288497" TargetMode="External"/><Relationship Id="rId2174" Type="http://schemas.openxmlformats.org/officeDocument/2006/relationships/hyperlink" Target="https://expa.aiesec.org/opportunities/1295453" TargetMode="External"/><Relationship Id="rId372" Type="http://schemas.openxmlformats.org/officeDocument/2006/relationships/hyperlink" Target="https://expa.aiesec.org/opportunities/1288497" TargetMode="External"/><Relationship Id="rId2175" Type="http://schemas.openxmlformats.org/officeDocument/2006/relationships/hyperlink" Target="https://expa.aiesec.org/opportunities/1294656" TargetMode="External"/><Relationship Id="rId371" Type="http://schemas.openxmlformats.org/officeDocument/2006/relationships/hyperlink" Target="https://expa.aiesec.org/opportunities/1289502" TargetMode="External"/><Relationship Id="rId2176" Type="http://schemas.openxmlformats.org/officeDocument/2006/relationships/hyperlink" Target="https://expa.aiesec.org/opportunities/1272564" TargetMode="External"/><Relationship Id="rId378" Type="http://schemas.openxmlformats.org/officeDocument/2006/relationships/hyperlink" Target="https://expa.aiesec.org/opportunities/1289752" TargetMode="External"/><Relationship Id="rId2177" Type="http://schemas.openxmlformats.org/officeDocument/2006/relationships/hyperlink" Target="https://expa.aiesec.org/opportunities/1289505" TargetMode="External"/><Relationship Id="rId377" Type="http://schemas.openxmlformats.org/officeDocument/2006/relationships/hyperlink" Target="https://expa.aiesec.org/opportunities/1289367" TargetMode="External"/><Relationship Id="rId2178" Type="http://schemas.openxmlformats.org/officeDocument/2006/relationships/hyperlink" Target="https://expa.aiesec.org/opportunities/1292273" TargetMode="External"/><Relationship Id="rId376" Type="http://schemas.openxmlformats.org/officeDocument/2006/relationships/hyperlink" Target="https://expa.aiesec.org/opportunities/1288497" TargetMode="External"/><Relationship Id="rId2179" Type="http://schemas.openxmlformats.org/officeDocument/2006/relationships/hyperlink" Target="https://expa.aiesec.org/opportunities/1295124" TargetMode="External"/><Relationship Id="rId375" Type="http://schemas.openxmlformats.org/officeDocument/2006/relationships/hyperlink" Target="https://expa.aiesec.org/opportunities/1288497" TargetMode="External"/><Relationship Id="rId2190" Type="http://schemas.openxmlformats.org/officeDocument/2006/relationships/hyperlink" Target="https://expa.aiesec.org/opportunities/1291254" TargetMode="External"/><Relationship Id="rId2191" Type="http://schemas.openxmlformats.org/officeDocument/2006/relationships/hyperlink" Target="https://expa.aiesec.org/opportunities/1293965" TargetMode="External"/><Relationship Id="rId2192" Type="http://schemas.openxmlformats.org/officeDocument/2006/relationships/hyperlink" Target="https://expa.aiesec.org/opportunities/1290384" TargetMode="External"/><Relationship Id="rId2193" Type="http://schemas.openxmlformats.org/officeDocument/2006/relationships/hyperlink" Target="https://expa.aiesec.org/opportunities/1294063" TargetMode="External"/><Relationship Id="rId2194" Type="http://schemas.openxmlformats.org/officeDocument/2006/relationships/hyperlink" Target="https://expa.aiesec.org/opportunities/1295240" TargetMode="External"/><Relationship Id="rId396" Type="http://schemas.openxmlformats.org/officeDocument/2006/relationships/hyperlink" Target="https://expa.aiesec.org/opportunities/1287243" TargetMode="External"/><Relationship Id="rId2195" Type="http://schemas.openxmlformats.org/officeDocument/2006/relationships/hyperlink" Target="https://expa.aiesec.org/opportunities/1287210" TargetMode="External"/><Relationship Id="rId395" Type="http://schemas.openxmlformats.org/officeDocument/2006/relationships/hyperlink" Target="https://expa.aiesec.org/opportunities/1288970" TargetMode="External"/><Relationship Id="rId2196" Type="http://schemas.openxmlformats.org/officeDocument/2006/relationships/hyperlink" Target="https://expa.aiesec.org/opportunities/1295240" TargetMode="External"/><Relationship Id="rId394" Type="http://schemas.openxmlformats.org/officeDocument/2006/relationships/hyperlink" Target="https://expa.aiesec.org/opportunities/1289228" TargetMode="External"/><Relationship Id="rId2197" Type="http://schemas.openxmlformats.org/officeDocument/2006/relationships/hyperlink" Target="https://expa.aiesec.org/opportunities/1294795" TargetMode="External"/><Relationship Id="rId393" Type="http://schemas.openxmlformats.org/officeDocument/2006/relationships/hyperlink" Target="https://expa.aiesec.org/opportunities/1289596" TargetMode="External"/><Relationship Id="rId2198" Type="http://schemas.openxmlformats.org/officeDocument/2006/relationships/hyperlink" Target="https://expa.aiesec.org/opportunities/1291124" TargetMode="External"/><Relationship Id="rId2199" Type="http://schemas.openxmlformats.org/officeDocument/2006/relationships/hyperlink" Target="https://expa.aiesec.org/opportunities/1295149" TargetMode="External"/><Relationship Id="rId399" Type="http://schemas.openxmlformats.org/officeDocument/2006/relationships/hyperlink" Target="https://expa.aiesec.org/opportunities/1277661" TargetMode="External"/><Relationship Id="rId398" Type="http://schemas.openxmlformats.org/officeDocument/2006/relationships/hyperlink" Target="https://expa.aiesec.org/opportunities/1289206" TargetMode="External"/><Relationship Id="rId397" Type="http://schemas.openxmlformats.org/officeDocument/2006/relationships/hyperlink" Target="https://expa.aiesec.org/opportunities/1289424" TargetMode="External"/><Relationship Id="rId1730" Type="http://schemas.openxmlformats.org/officeDocument/2006/relationships/hyperlink" Target="https://expa.aiesec.org/opportunities/1286442" TargetMode="External"/><Relationship Id="rId1731" Type="http://schemas.openxmlformats.org/officeDocument/2006/relationships/hyperlink" Target="https://expa.aiesec.org/opportunities/1292104" TargetMode="External"/><Relationship Id="rId1732" Type="http://schemas.openxmlformats.org/officeDocument/2006/relationships/hyperlink" Target="https://expa.aiesec.org/opportunities/1286326" TargetMode="External"/><Relationship Id="rId1733" Type="http://schemas.openxmlformats.org/officeDocument/2006/relationships/hyperlink" Target="https://expa.aiesec.org/opportunities/1289100" TargetMode="External"/><Relationship Id="rId1734" Type="http://schemas.openxmlformats.org/officeDocument/2006/relationships/hyperlink" Target="https://expa.aiesec.org/opportunities/1286326" TargetMode="External"/><Relationship Id="rId1735" Type="http://schemas.openxmlformats.org/officeDocument/2006/relationships/hyperlink" Target="https://expa.aiesec.org/opportunities/1294489" TargetMode="External"/><Relationship Id="rId1736" Type="http://schemas.openxmlformats.org/officeDocument/2006/relationships/hyperlink" Target="https://expa.aiesec.org/opportunities/1288663" TargetMode="External"/><Relationship Id="rId1737" Type="http://schemas.openxmlformats.org/officeDocument/2006/relationships/hyperlink" Target="https://expa.aiesec.org/opportunities/1294254" TargetMode="External"/><Relationship Id="rId1738" Type="http://schemas.openxmlformats.org/officeDocument/2006/relationships/hyperlink" Target="https://expa.aiesec.org/opportunities/1294310" TargetMode="External"/><Relationship Id="rId1739" Type="http://schemas.openxmlformats.org/officeDocument/2006/relationships/hyperlink" Target="https://expa.aiesec.org/opportunities/1294179" TargetMode="External"/><Relationship Id="rId1720" Type="http://schemas.openxmlformats.org/officeDocument/2006/relationships/hyperlink" Target="https://expa.aiesec.org/opportunities/1294410" TargetMode="External"/><Relationship Id="rId1721" Type="http://schemas.openxmlformats.org/officeDocument/2006/relationships/hyperlink" Target="https://expa.aiesec.org/opportunities/1294061" TargetMode="External"/><Relationship Id="rId1722" Type="http://schemas.openxmlformats.org/officeDocument/2006/relationships/hyperlink" Target="https://expa.aiesec.org/opportunities/1289228" TargetMode="External"/><Relationship Id="rId1723" Type="http://schemas.openxmlformats.org/officeDocument/2006/relationships/hyperlink" Target="https://expa.aiesec.org/opportunities/1286326" TargetMode="External"/><Relationship Id="rId1724" Type="http://schemas.openxmlformats.org/officeDocument/2006/relationships/hyperlink" Target="https://expa.aiesec.org/opportunities/1283891" TargetMode="External"/><Relationship Id="rId1725" Type="http://schemas.openxmlformats.org/officeDocument/2006/relationships/hyperlink" Target="https://expa.aiesec.org/opportunities/1293284" TargetMode="External"/><Relationship Id="rId1726" Type="http://schemas.openxmlformats.org/officeDocument/2006/relationships/hyperlink" Target="https://expa.aiesec.org/opportunities/1291671" TargetMode="External"/><Relationship Id="rId1727" Type="http://schemas.openxmlformats.org/officeDocument/2006/relationships/hyperlink" Target="https://expa.aiesec.org/opportunities/1285209" TargetMode="External"/><Relationship Id="rId1728" Type="http://schemas.openxmlformats.org/officeDocument/2006/relationships/hyperlink" Target="https://expa.aiesec.org/opportunities/1292793" TargetMode="External"/><Relationship Id="rId1729" Type="http://schemas.openxmlformats.org/officeDocument/2006/relationships/hyperlink" Target="https://expa.aiesec.org/opportunities/1293623" TargetMode="External"/><Relationship Id="rId1752" Type="http://schemas.openxmlformats.org/officeDocument/2006/relationships/hyperlink" Target="https://expa.aiesec.org/opportunities/1290807" TargetMode="External"/><Relationship Id="rId1753" Type="http://schemas.openxmlformats.org/officeDocument/2006/relationships/hyperlink" Target="https://expa.aiesec.org/opportunities/1281195" TargetMode="External"/><Relationship Id="rId1754" Type="http://schemas.openxmlformats.org/officeDocument/2006/relationships/hyperlink" Target="https://expa.aiesec.org/opportunities/1294103" TargetMode="External"/><Relationship Id="rId1755" Type="http://schemas.openxmlformats.org/officeDocument/2006/relationships/hyperlink" Target="https://expa.aiesec.org/opportunities/1291885" TargetMode="External"/><Relationship Id="rId1756" Type="http://schemas.openxmlformats.org/officeDocument/2006/relationships/hyperlink" Target="https://expa.aiesec.org/opportunities/1289100" TargetMode="External"/><Relationship Id="rId1757" Type="http://schemas.openxmlformats.org/officeDocument/2006/relationships/hyperlink" Target="https://expa.aiesec.org/opportunities/1289261" TargetMode="External"/><Relationship Id="rId1758" Type="http://schemas.openxmlformats.org/officeDocument/2006/relationships/hyperlink" Target="https://expa.aiesec.org/opportunities/1294655" TargetMode="External"/><Relationship Id="rId1759" Type="http://schemas.openxmlformats.org/officeDocument/2006/relationships/hyperlink" Target="https://expa.aiesec.org/opportunities/1277661" TargetMode="External"/><Relationship Id="rId1750" Type="http://schemas.openxmlformats.org/officeDocument/2006/relationships/hyperlink" Target="https://expa.aiesec.org/opportunities/1292571" TargetMode="External"/><Relationship Id="rId1751" Type="http://schemas.openxmlformats.org/officeDocument/2006/relationships/hyperlink" Target="https://expa.aiesec.org/opportunities/1294061" TargetMode="External"/><Relationship Id="rId1741" Type="http://schemas.openxmlformats.org/officeDocument/2006/relationships/hyperlink" Target="https://expa.aiesec.org/opportunities/1292722" TargetMode="External"/><Relationship Id="rId1742" Type="http://schemas.openxmlformats.org/officeDocument/2006/relationships/hyperlink" Target="https://expa.aiesec.org/opportunities/1289597" TargetMode="External"/><Relationship Id="rId1743" Type="http://schemas.openxmlformats.org/officeDocument/2006/relationships/hyperlink" Target="https://expa.aiesec.org/opportunities/1294387" TargetMode="External"/><Relationship Id="rId1744" Type="http://schemas.openxmlformats.org/officeDocument/2006/relationships/hyperlink" Target="https://expa.aiesec.org/opportunities/1289596" TargetMode="External"/><Relationship Id="rId1745" Type="http://schemas.openxmlformats.org/officeDocument/2006/relationships/hyperlink" Target="https://expa.aiesec.org/opportunities/1294522" TargetMode="External"/><Relationship Id="rId1746" Type="http://schemas.openxmlformats.org/officeDocument/2006/relationships/hyperlink" Target="https://expa.aiesec.org/opportunities/1294193" TargetMode="External"/><Relationship Id="rId1747" Type="http://schemas.openxmlformats.org/officeDocument/2006/relationships/hyperlink" Target="https://expa.aiesec.org/opportunities/1294458" TargetMode="External"/><Relationship Id="rId1748" Type="http://schemas.openxmlformats.org/officeDocument/2006/relationships/hyperlink" Target="https://expa.aiesec.org/opportunities/1291144" TargetMode="External"/><Relationship Id="rId1749" Type="http://schemas.openxmlformats.org/officeDocument/2006/relationships/hyperlink" Target="https://expa.aiesec.org/opportunities/1282258" TargetMode="External"/><Relationship Id="rId1740" Type="http://schemas.openxmlformats.org/officeDocument/2006/relationships/hyperlink" Target="https://expa.aiesec.org/opportunities/1293417" TargetMode="External"/><Relationship Id="rId1710" Type="http://schemas.openxmlformats.org/officeDocument/2006/relationships/hyperlink" Target="https://expa.aiesec.org/opportunities/1286585" TargetMode="External"/><Relationship Id="rId1711" Type="http://schemas.openxmlformats.org/officeDocument/2006/relationships/hyperlink" Target="https://expa.aiesec.org/opportunities/1293861" TargetMode="External"/><Relationship Id="rId1712" Type="http://schemas.openxmlformats.org/officeDocument/2006/relationships/hyperlink" Target="https://expa.aiesec.org/opportunities/1293979" TargetMode="External"/><Relationship Id="rId1713" Type="http://schemas.openxmlformats.org/officeDocument/2006/relationships/hyperlink" Target="https://expa.aiesec.org/opportunities/1294254" TargetMode="External"/><Relationship Id="rId1714" Type="http://schemas.openxmlformats.org/officeDocument/2006/relationships/hyperlink" Target="https://expa.aiesec.org/opportunities/1294075" TargetMode="External"/><Relationship Id="rId1715" Type="http://schemas.openxmlformats.org/officeDocument/2006/relationships/hyperlink" Target="https://expa.aiesec.org/opportunities/1287749" TargetMode="External"/><Relationship Id="rId1716" Type="http://schemas.openxmlformats.org/officeDocument/2006/relationships/hyperlink" Target="https://expa.aiesec.org/opportunities/1285687" TargetMode="External"/><Relationship Id="rId1717" Type="http://schemas.openxmlformats.org/officeDocument/2006/relationships/hyperlink" Target="https://expa.aiesec.org/opportunities/1291375" TargetMode="External"/><Relationship Id="rId1718" Type="http://schemas.openxmlformats.org/officeDocument/2006/relationships/hyperlink" Target="https://expa.aiesec.org/opportunities/1283891" TargetMode="External"/><Relationship Id="rId1719" Type="http://schemas.openxmlformats.org/officeDocument/2006/relationships/hyperlink" Target="https://expa.aiesec.org/opportunities/1294254" TargetMode="External"/><Relationship Id="rId1700" Type="http://schemas.openxmlformats.org/officeDocument/2006/relationships/hyperlink" Target="https://expa.aiesec.org/opportunities/1289148" TargetMode="External"/><Relationship Id="rId1701" Type="http://schemas.openxmlformats.org/officeDocument/2006/relationships/hyperlink" Target="https://expa.aiesec.org/opportunities/1293165" TargetMode="External"/><Relationship Id="rId1702" Type="http://schemas.openxmlformats.org/officeDocument/2006/relationships/hyperlink" Target="https://expa.aiesec.org/opportunities/1281357" TargetMode="External"/><Relationship Id="rId1703" Type="http://schemas.openxmlformats.org/officeDocument/2006/relationships/hyperlink" Target="https://expa.aiesec.org/opportunities/1293968" TargetMode="External"/><Relationship Id="rId1704" Type="http://schemas.openxmlformats.org/officeDocument/2006/relationships/hyperlink" Target="https://expa.aiesec.org/opportunities/1294161" TargetMode="External"/><Relationship Id="rId1705" Type="http://schemas.openxmlformats.org/officeDocument/2006/relationships/hyperlink" Target="https://expa.aiesec.org/opportunities/1289806" TargetMode="External"/><Relationship Id="rId1706" Type="http://schemas.openxmlformats.org/officeDocument/2006/relationships/hyperlink" Target="https://expa.aiesec.org/opportunities/1294197" TargetMode="External"/><Relationship Id="rId1707" Type="http://schemas.openxmlformats.org/officeDocument/2006/relationships/hyperlink" Target="https://expa.aiesec.org/opportunities/1294197" TargetMode="External"/><Relationship Id="rId1708" Type="http://schemas.openxmlformats.org/officeDocument/2006/relationships/hyperlink" Target="https://expa.aiesec.org/opportunities/1289228" TargetMode="External"/><Relationship Id="rId1709" Type="http://schemas.openxmlformats.org/officeDocument/2006/relationships/hyperlink" Target="https://expa.aiesec.org/opportunities/1287101" TargetMode="External"/><Relationship Id="rId40" Type="http://schemas.openxmlformats.org/officeDocument/2006/relationships/hyperlink" Target="https://expa.aiesec.org/opportunities/1283891" TargetMode="External"/><Relationship Id="rId3513" Type="http://schemas.openxmlformats.org/officeDocument/2006/relationships/hyperlink" Target="https://expa.aiesec.org/opportunities/1277661" TargetMode="External"/><Relationship Id="rId3512" Type="http://schemas.openxmlformats.org/officeDocument/2006/relationships/hyperlink" Target="https://expa.aiesec.org/opportunities/1288721" TargetMode="External"/><Relationship Id="rId42" Type="http://schemas.openxmlformats.org/officeDocument/2006/relationships/hyperlink" Target="https://expa.aiesec.org/opportunities/1282450" TargetMode="External"/><Relationship Id="rId3515" Type="http://schemas.openxmlformats.org/officeDocument/2006/relationships/hyperlink" Target="https://expa.aiesec.org/opportunities/1280973" TargetMode="External"/><Relationship Id="rId41" Type="http://schemas.openxmlformats.org/officeDocument/2006/relationships/hyperlink" Target="https://expa.aiesec.org/opportunities/1285932" TargetMode="External"/><Relationship Id="rId3514" Type="http://schemas.openxmlformats.org/officeDocument/2006/relationships/hyperlink" Target="https://expa.aiesec.org/opportunities/1294418" TargetMode="External"/><Relationship Id="rId44" Type="http://schemas.openxmlformats.org/officeDocument/2006/relationships/hyperlink" Target="https://expa.aiesec.org/opportunities/1287475" TargetMode="External"/><Relationship Id="rId3517" Type="http://schemas.openxmlformats.org/officeDocument/2006/relationships/hyperlink" Target="https://expa.aiesec.org/opportunities/1279126" TargetMode="External"/><Relationship Id="rId43" Type="http://schemas.openxmlformats.org/officeDocument/2006/relationships/hyperlink" Target="https://expa.aiesec.org/opportunities/1288149" TargetMode="External"/><Relationship Id="rId3516" Type="http://schemas.openxmlformats.org/officeDocument/2006/relationships/hyperlink" Target="https://expa.aiesec.org/opportunities/1279126" TargetMode="External"/><Relationship Id="rId46" Type="http://schemas.openxmlformats.org/officeDocument/2006/relationships/hyperlink" Target="https://expa.aiesec.org/opportunities/1288279" TargetMode="External"/><Relationship Id="rId3519" Type="http://schemas.openxmlformats.org/officeDocument/2006/relationships/hyperlink" Target="https://expa.aiesec.org/opportunities/1300056" TargetMode="External"/><Relationship Id="rId45" Type="http://schemas.openxmlformats.org/officeDocument/2006/relationships/hyperlink" Target="https://expa.aiesec.org/opportunities/1285681" TargetMode="External"/><Relationship Id="rId3518" Type="http://schemas.openxmlformats.org/officeDocument/2006/relationships/hyperlink" Target="https://expa.aiesec.org/opportunities/1284670" TargetMode="External"/><Relationship Id="rId48" Type="http://schemas.openxmlformats.org/officeDocument/2006/relationships/hyperlink" Target="https://expa.aiesec.org/opportunities/1286236" TargetMode="External"/><Relationship Id="rId47" Type="http://schemas.openxmlformats.org/officeDocument/2006/relationships/hyperlink" Target="https://expa.aiesec.org/opportunities/1287966" TargetMode="External"/><Relationship Id="rId49" Type="http://schemas.openxmlformats.org/officeDocument/2006/relationships/hyperlink" Target="https://expa.aiesec.org/opportunities/1287459" TargetMode="External"/><Relationship Id="rId3511" Type="http://schemas.openxmlformats.org/officeDocument/2006/relationships/hyperlink" Target="https://expa.aiesec.org/opportunities/1291866" TargetMode="External"/><Relationship Id="rId3510" Type="http://schemas.openxmlformats.org/officeDocument/2006/relationships/hyperlink" Target="https://expa.aiesec.org/opportunities/1286034" TargetMode="External"/><Relationship Id="rId3502" Type="http://schemas.openxmlformats.org/officeDocument/2006/relationships/hyperlink" Target="https://expa.aiesec.org/opportunities/1299121" TargetMode="External"/><Relationship Id="rId3501" Type="http://schemas.openxmlformats.org/officeDocument/2006/relationships/hyperlink" Target="https://expa.aiesec.org/opportunities/1292715" TargetMode="External"/><Relationship Id="rId31" Type="http://schemas.openxmlformats.org/officeDocument/2006/relationships/hyperlink" Target="https://expa.aiesec.org/opportunities/1288009" TargetMode="External"/><Relationship Id="rId3504" Type="http://schemas.openxmlformats.org/officeDocument/2006/relationships/hyperlink" Target="https://expa.aiesec.org/opportunities/1298770" TargetMode="External"/><Relationship Id="rId30" Type="http://schemas.openxmlformats.org/officeDocument/2006/relationships/hyperlink" Target="https://expa.aiesec.org/opportunities/1284307" TargetMode="External"/><Relationship Id="rId3503" Type="http://schemas.openxmlformats.org/officeDocument/2006/relationships/hyperlink" Target="https://expa.aiesec.org/opportunities/1300628" TargetMode="External"/><Relationship Id="rId33" Type="http://schemas.openxmlformats.org/officeDocument/2006/relationships/hyperlink" Target="https://expa.aiesec.org/opportunities/1287862" TargetMode="External"/><Relationship Id="rId3506" Type="http://schemas.openxmlformats.org/officeDocument/2006/relationships/hyperlink" Target="https://expa.aiesec.org/opportunities/1298282" TargetMode="External"/><Relationship Id="rId32" Type="http://schemas.openxmlformats.org/officeDocument/2006/relationships/hyperlink" Target="https://expa.aiesec.org/opportunities/1287855" TargetMode="External"/><Relationship Id="rId3505" Type="http://schemas.openxmlformats.org/officeDocument/2006/relationships/hyperlink" Target="https://expa.aiesec.org/opportunities/1284670" TargetMode="External"/><Relationship Id="rId35" Type="http://schemas.openxmlformats.org/officeDocument/2006/relationships/hyperlink" Target="https://expa.aiesec.org/opportunities/1274157" TargetMode="External"/><Relationship Id="rId3508" Type="http://schemas.openxmlformats.org/officeDocument/2006/relationships/hyperlink" Target="https://expa.aiesec.org/opportunities/1298372" TargetMode="External"/><Relationship Id="rId34" Type="http://schemas.openxmlformats.org/officeDocument/2006/relationships/hyperlink" Target="https://expa.aiesec.org/opportunities/1287374" TargetMode="External"/><Relationship Id="rId3507" Type="http://schemas.openxmlformats.org/officeDocument/2006/relationships/hyperlink" Target="https://expa.aiesec.org/opportunities/1295453" TargetMode="External"/><Relationship Id="rId3509" Type="http://schemas.openxmlformats.org/officeDocument/2006/relationships/hyperlink" Target="https://expa.aiesec.org/opportunities/1286326" TargetMode="External"/><Relationship Id="rId37" Type="http://schemas.openxmlformats.org/officeDocument/2006/relationships/hyperlink" Target="https://expa.aiesec.org/opportunities/1287226" TargetMode="External"/><Relationship Id="rId36" Type="http://schemas.openxmlformats.org/officeDocument/2006/relationships/hyperlink" Target="https://expa.aiesec.org/opportunities/1287460" TargetMode="External"/><Relationship Id="rId39" Type="http://schemas.openxmlformats.org/officeDocument/2006/relationships/hyperlink" Target="https://expa.aiesec.org/opportunities/1286917" TargetMode="External"/><Relationship Id="rId38" Type="http://schemas.openxmlformats.org/officeDocument/2006/relationships/hyperlink" Target="https://expa.aiesec.org/opportunities/1286880" TargetMode="External"/><Relationship Id="rId3500" Type="http://schemas.openxmlformats.org/officeDocument/2006/relationships/hyperlink" Target="https://expa.aiesec.org/opportunities/1286326" TargetMode="External"/><Relationship Id="rId2203" Type="http://schemas.openxmlformats.org/officeDocument/2006/relationships/hyperlink" Target="https://expa.aiesec.org/opportunities/1294209" TargetMode="External"/><Relationship Id="rId3535" Type="http://schemas.openxmlformats.org/officeDocument/2006/relationships/hyperlink" Target="https://expa.aiesec.org/opportunities/1288843" TargetMode="External"/><Relationship Id="rId2204" Type="http://schemas.openxmlformats.org/officeDocument/2006/relationships/hyperlink" Target="https://expa.aiesec.org/opportunities/1294894" TargetMode="External"/><Relationship Id="rId3534" Type="http://schemas.openxmlformats.org/officeDocument/2006/relationships/hyperlink" Target="https://expa.aiesec.org/opportunities/1296671" TargetMode="External"/><Relationship Id="rId20" Type="http://schemas.openxmlformats.org/officeDocument/2006/relationships/hyperlink" Target="https://expa.aiesec.org/opportunities/1285265" TargetMode="External"/><Relationship Id="rId2205" Type="http://schemas.openxmlformats.org/officeDocument/2006/relationships/hyperlink" Target="https://expa.aiesec.org/opportunities/1295002" TargetMode="External"/><Relationship Id="rId3537" Type="http://schemas.openxmlformats.org/officeDocument/2006/relationships/hyperlink" Target="https://expa.aiesec.org/opportunities/1290292" TargetMode="External"/><Relationship Id="rId2206" Type="http://schemas.openxmlformats.org/officeDocument/2006/relationships/hyperlink" Target="https://expa.aiesec.org/opportunities/1289505" TargetMode="External"/><Relationship Id="rId3536" Type="http://schemas.openxmlformats.org/officeDocument/2006/relationships/hyperlink" Target="https://expa.aiesec.org/opportunities/1295874" TargetMode="External"/><Relationship Id="rId22" Type="http://schemas.openxmlformats.org/officeDocument/2006/relationships/hyperlink" Target="https://expa.aiesec.org/opportunities/1287628" TargetMode="External"/><Relationship Id="rId2207" Type="http://schemas.openxmlformats.org/officeDocument/2006/relationships/hyperlink" Target="https://expa.aiesec.org/opportunities/1289505" TargetMode="External"/><Relationship Id="rId3539" Type="http://schemas.openxmlformats.org/officeDocument/2006/relationships/hyperlink" Target="https://expa.aiesec.org/opportunities/1299358" TargetMode="External"/><Relationship Id="rId21" Type="http://schemas.openxmlformats.org/officeDocument/2006/relationships/hyperlink" Target="https://expa.aiesec.org/opportunities/1286732" TargetMode="External"/><Relationship Id="rId2208" Type="http://schemas.openxmlformats.org/officeDocument/2006/relationships/hyperlink" Target="https://expa.aiesec.org/opportunities/1295102" TargetMode="External"/><Relationship Id="rId3538" Type="http://schemas.openxmlformats.org/officeDocument/2006/relationships/hyperlink" Target="https://expa.aiesec.org/opportunities/1300628" TargetMode="External"/><Relationship Id="rId24" Type="http://schemas.openxmlformats.org/officeDocument/2006/relationships/hyperlink" Target="https://expa.aiesec.org/opportunities/1286047" TargetMode="External"/><Relationship Id="rId2209" Type="http://schemas.openxmlformats.org/officeDocument/2006/relationships/hyperlink" Target="https://expa.aiesec.org/opportunities/1295018" TargetMode="External"/><Relationship Id="rId23" Type="http://schemas.openxmlformats.org/officeDocument/2006/relationships/hyperlink" Target="https://expa.aiesec.org/opportunities/1286879" TargetMode="External"/><Relationship Id="rId26" Type="http://schemas.openxmlformats.org/officeDocument/2006/relationships/hyperlink" Target="https://expa.aiesec.org/opportunities/1287854" TargetMode="External"/><Relationship Id="rId25" Type="http://schemas.openxmlformats.org/officeDocument/2006/relationships/hyperlink" Target="https://expa.aiesec.org/opportunities/1287017" TargetMode="External"/><Relationship Id="rId28" Type="http://schemas.openxmlformats.org/officeDocument/2006/relationships/hyperlink" Target="https://expa.aiesec.org/opportunities/1283834" TargetMode="External"/><Relationship Id="rId27" Type="http://schemas.openxmlformats.org/officeDocument/2006/relationships/hyperlink" Target="https://expa.aiesec.org/opportunities/1284294" TargetMode="External"/><Relationship Id="rId3531" Type="http://schemas.openxmlformats.org/officeDocument/2006/relationships/hyperlink" Target="https://expa.aiesec.org/opportunities/1286326" TargetMode="External"/><Relationship Id="rId29" Type="http://schemas.openxmlformats.org/officeDocument/2006/relationships/hyperlink" Target="https://expa.aiesec.org/opportunities/1282278" TargetMode="External"/><Relationship Id="rId2200" Type="http://schemas.openxmlformats.org/officeDocument/2006/relationships/hyperlink" Target="https://expa.aiesec.org/opportunities/1293726" TargetMode="External"/><Relationship Id="rId3530" Type="http://schemas.openxmlformats.org/officeDocument/2006/relationships/hyperlink" Target="https://expa.aiesec.org/opportunities/1286326" TargetMode="External"/><Relationship Id="rId2201" Type="http://schemas.openxmlformats.org/officeDocument/2006/relationships/hyperlink" Target="https://expa.aiesec.org/opportunities/1292556" TargetMode="External"/><Relationship Id="rId3533" Type="http://schemas.openxmlformats.org/officeDocument/2006/relationships/hyperlink" Target="https://expa.aiesec.org/opportunities/1259741" TargetMode="External"/><Relationship Id="rId2202" Type="http://schemas.openxmlformats.org/officeDocument/2006/relationships/hyperlink" Target="https://expa.aiesec.org/opportunities/1293706" TargetMode="External"/><Relationship Id="rId3532" Type="http://schemas.openxmlformats.org/officeDocument/2006/relationships/hyperlink" Target="https://expa.aiesec.org/opportunities/1300056" TargetMode="External"/><Relationship Id="rId3524" Type="http://schemas.openxmlformats.org/officeDocument/2006/relationships/hyperlink" Target="https://expa.aiesec.org/opportunities/1299605" TargetMode="External"/><Relationship Id="rId3523" Type="http://schemas.openxmlformats.org/officeDocument/2006/relationships/hyperlink" Target="https://expa.aiesec.org/opportunities/1284670" TargetMode="External"/><Relationship Id="rId3526" Type="http://schemas.openxmlformats.org/officeDocument/2006/relationships/hyperlink" Target="https://expa.aiesec.org/opportunities/1284670" TargetMode="External"/><Relationship Id="rId3525" Type="http://schemas.openxmlformats.org/officeDocument/2006/relationships/hyperlink" Target="https://expa.aiesec.org/opportunities/1300175" TargetMode="External"/><Relationship Id="rId11" Type="http://schemas.openxmlformats.org/officeDocument/2006/relationships/hyperlink" Target="https://expa.aiesec.org/opportunities/1287553" TargetMode="External"/><Relationship Id="rId3528" Type="http://schemas.openxmlformats.org/officeDocument/2006/relationships/hyperlink" Target="https://expa.aiesec.org/opportunities/1299121" TargetMode="External"/><Relationship Id="rId10" Type="http://schemas.openxmlformats.org/officeDocument/2006/relationships/hyperlink" Target="https://expa.aiesec.org/opportunities/1286822" TargetMode="External"/><Relationship Id="rId3527" Type="http://schemas.openxmlformats.org/officeDocument/2006/relationships/hyperlink" Target="https://expa.aiesec.org/opportunities/1295893" TargetMode="External"/><Relationship Id="rId13" Type="http://schemas.openxmlformats.org/officeDocument/2006/relationships/hyperlink" Target="https://expa.aiesec.org/opportunities/1286474" TargetMode="External"/><Relationship Id="rId12" Type="http://schemas.openxmlformats.org/officeDocument/2006/relationships/hyperlink" Target="https://expa.aiesec.org/opportunities/1284976" TargetMode="External"/><Relationship Id="rId3529" Type="http://schemas.openxmlformats.org/officeDocument/2006/relationships/hyperlink" Target="https://expa.aiesec.org/opportunities/1294584" TargetMode="External"/><Relationship Id="rId15" Type="http://schemas.openxmlformats.org/officeDocument/2006/relationships/hyperlink" Target="https://expa.aiesec.org/opportunities/1286879" TargetMode="External"/><Relationship Id="rId14" Type="http://schemas.openxmlformats.org/officeDocument/2006/relationships/hyperlink" Target="https://expa.aiesec.org/opportunities/1287851" TargetMode="External"/><Relationship Id="rId17" Type="http://schemas.openxmlformats.org/officeDocument/2006/relationships/hyperlink" Target="https://expa.aiesec.org/opportunities/1287128" TargetMode="External"/><Relationship Id="rId16" Type="http://schemas.openxmlformats.org/officeDocument/2006/relationships/hyperlink" Target="https://expa.aiesec.org/opportunities/1285681" TargetMode="External"/><Relationship Id="rId19" Type="http://schemas.openxmlformats.org/officeDocument/2006/relationships/hyperlink" Target="https://expa.aiesec.org/opportunities/1287558" TargetMode="External"/><Relationship Id="rId3520" Type="http://schemas.openxmlformats.org/officeDocument/2006/relationships/hyperlink" Target="https://expa.aiesec.org/opportunities/1289536" TargetMode="External"/><Relationship Id="rId18" Type="http://schemas.openxmlformats.org/officeDocument/2006/relationships/hyperlink" Target="https://expa.aiesec.org/opportunities/1283949" TargetMode="External"/><Relationship Id="rId3522" Type="http://schemas.openxmlformats.org/officeDocument/2006/relationships/hyperlink" Target="https://expa.aiesec.org/opportunities/1286326" TargetMode="External"/><Relationship Id="rId3521" Type="http://schemas.openxmlformats.org/officeDocument/2006/relationships/hyperlink" Target="https://expa.aiesec.org/opportunities/1300056" TargetMode="External"/><Relationship Id="rId84" Type="http://schemas.openxmlformats.org/officeDocument/2006/relationships/hyperlink" Target="https://expa.aiesec.org/opportunities/1288280" TargetMode="External"/><Relationship Id="rId1774" Type="http://schemas.openxmlformats.org/officeDocument/2006/relationships/hyperlink" Target="https://expa.aiesec.org/opportunities/1290393" TargetMode="External"/><Relationship Id="rId83" Type="http://schemas.openxmlformats.org/officeDocument/2006/relationships/hyperlink" Target="https://expa.aiesec.org/opportunities/1287174" TargetMode="External"/><Relationship Id="rId1775" Type="http://schemas.openxmlformats.org/officeDocument/2006/relationships/hyperlink" Target="https://expa.aiesec.org/opportunities/1289261" TargetMode="External"/><Relationship Id="rId86" Type="http://schemas.openxmlformats.org/officeDocument/2006/relationships/hyperlink" Target="https://expa.aiesec.org/opportunities/1272564" TargetMode="External"/><Relationship Id="rId1776" Type="http://schemas.openxmlformats.org/officeDocument/2006/relationships/hyperlink" Target="https://expa.aiesec.org/opportunities/1290806" TargetMode="External"/><Relationship Id="rId85" Type="http://schemas.openxmlformats.org/officeDocument/2006/relationships/hyperlink" Target="https://expa.aiesec.org/opportunities/1287925" TargetMode="External"/><Relationship Id="rId1777" Type="http://schemas.openxmlformats.org/officeDocument/2006/relationships/hyperlink" Target="https://expa.aiesec.org/opportunities/1289261" TargetMode="External"/><Relationship Id="rId88" Type="http://schemas.openxmlformats.org/officeDocument/2006/relationships/hyperlink" Target="https://expa.aiesec.org/opportunities/1288226" TargetMode="External"/><Relationship Id="rId1778" Type="http://schemas.openxmlformats.org/officeDocument/2006/relationships/hyperlink" Target="https://expa.aiesec.org/opportunities/1288245" TargetMode="External"/><Relationship Id="rId87" Type="http://schemas.openxmlformats.org/officeDocument/2006/relationships/hyperlink" Target="https://expa.aiesec.org/opportunities/1288226" TargetMode="External"/><Relationship Id="rId1779" Type="http://schemas.openxmlformats.org/officeDocument/2006/relationships/hyperlink" Target="https://expa.aiesec.org/opportunities/1288490" TargetMode="External"/><Relationship Id="rId89" Type="http://schemas.openxmlformats.org/officeDocument/2006/relationships/hyperlink" Target="https://expa.aiesec.org/opportunities/1286716" TargetMode="External"/><Relationship Id="rId80" Type="http://schemas.openxmlformats.org/officeDocument/2006/relationships/hyperlink" Target="https://expa.aiesec.org/opportunities/1288299" TargetMode="External"/><Relationship Id="rId82" Type="http://schemas.openxmlformats.org/officeDocument/2006/relationships/hyperlink" Target="https://expa.aiesec.org/opportunities/1273874" TargetMode="External"/><Relationship Id="rId81" Type="http://schemas.openxmlformats.org/officeDocument/2006/relationships/hyperlink" Target="https://expa.aiesec.org/opportunities/1286378" TargetMode="External"/><Relationship Id="rId1770" Type="http://schemas.openxmlformats.org/officeDocument/2006/relationships/hyperlink" Target="https://expa.aiesec.org/opportunities/1288611" TargetMode="External"/><Relationship Id="rId1771" Type="http://schemas.openxmlformats.org/officeDocument/2006/relationships/hyperlink" Target="https://expa.aiesec.org/opportunities/1279870" TargetMode="External"/><Relationship Id="rId1772" Type="http://schemas.openxmlformats.org/officeDocument/2006/relationships/hyperlink" Target="https://expa.aiesec.org/opportunities/1294622" TargetMode="External"/><Relationship Id="rId1773" Type="http://schemas.openxmlformats.org/officeDocument/2006/relationships/hyperlink" Target="https://expa.aiesec.org/opportunities/1294622" TargetMode="External"/><Relationship Id="rId73" Type="http://schemas.openxmlformats.org/officeDocument/2006/relationships/hyperlink" Target="https://expa.aiesec.org/opportunities/1287861" TargetMode="External"/><Relationship Id="rId1763" Type="http://schemas.openxmlformats.org/officeDocument/2006/relationships/hyperlink" Target="https://expa.aiesec.org/opportunities/1294504" TargetMode="External"/><Relationship Id="rId72" Type="http://schemas.openxmlformats.org/officeDocument/2006/relationships/hyperlink" Target="https://expa.aiesec.org/opportunities/1286911" TargetMode="External"/><Relationship Id="rId1764" Type="http://schemas.openxmlformats.org/officeDocument/2006/relationships/hyperlink" Target="https://expa.aiesec.org/opportunities/1291783" TargetMode="External"/><Relationship Id="rId75" Type="http://schemas.openxmlformats.org/officeDocument/2006/relationships/hyperlink" Target="https://expa.aiesec.org/opportunities/1288280" TargetMode="External"/><Relationship Id="rId1765" Type="http://schemas.openxmlformats.org/officeDocument/2006/relationships/hyperlink" Target="https://expa.aiesec.org/opportunities/1284922" TargetMode="External"/><Relationship Id="rId74" Type="http://schemas.openxmlformats.org/officeDocument/2006/relationships/hyperlink" Target="https://expa.aiesec.org/opportunities/1287861" TargetMode="External"/><Relationship Id="rId1766" Type="http://schemas.openxmlformats.org/officeDocument/2006/relationships/hyperlink" Target="https://expa.aiesec.org/opportunities/1293645" TargetMode="External"/><Relationship Id="rId77" Type="http://schemas.openxmlformats.org/officeDocument/2006/relationships/hyperlink" Target="https://expa.aiesec.org/opportunities/1287181" TargetMode="External"/><Relationship Id="rId1767" Type="http://schemas.openxmlformats.org/officeDocument/2006/relationships/hyperlink" Target="https://expa.aiesec.org/opportunities/1293918" TargetMode="External"/><Relationship Id="rId76" Type="http://schemas.openxmlformats.org/officeDocument/2006/relationships/hyperlink" Target="https://expa.aiesec.org/opportunities/1272564" TargetMode="External"/><Relationship Id="rId1768" Type="http://schemas.openxmlformats.org/officeDocument/2006/relationships/hyperlink" Target="https://expa.aiesec.org/opportunities/1293980" TargetMode="External"/><Relationship Id="rId79" Type="http://schemas.openxmlformats.org/officeDocument/2006/relationships/hyperlink" Target="https://expa.aiesec.org/opportunities/1286235" TargetMode="External"/><Relationship Id="rId1769" Type="http://schemas.openxmlformats.org/officeDocument/2006/relationships/hyperlink" Target="https://expa.aiesec.org/opportunities/1293244" TargetMode="External"/><Relationship Id="rId78" Type="http://schemas.openxmlformats.org/officeDocument/2006/relationships/hyperlink" Target="https://expa.aiesec.org/opportunities/1288393" TargetMode="External"/><Relationship Id="rId71" Type="http://schemas.openxmlformats.org/officeDocument/2006/relationships/hyperlink" Target="https://expa.aiesec.org/opportunities/1287161" TargetMode="External"/><Relationship Id="rId70" Type="http://schemas.openxmlformats.org/officeDocument/2006/relationships/hyperlink" Target="https://expa.aiesec.org/opportunities/1287852" TargetMode="External"/><Relationship Id="rId1760" Type="http://schemas.openxmlformats.org/officeDocument/2006/relationships/hyperlink" Target="https://expa.aiesec.org/opportunities/1292975" TargetMode="External"/><Relationship Id="rId1761" Type="http://schemas.openxmlformats.org/officeDocument/2006/relationships/hyperlink" Target="https://expa.aiesec.org/opportunities/1294387" TargetMode="External"/><Relationship Id="rId1762" Type="http://schemas.openxmlformats.org/officeDocument/2006/relationships/hyperlink" Target="https://expa.aiesec.org/opportunities/1289261" TargetMode="External"/><Relationship Id="rId62" Type="http://schemas.openxmlformats.org/officeDocument/2006/relationships/hyperlink" Target="https://expa.aiesec.org/opportunities/1281236" TargetMode="External"/><Relationship Id="rId1796" Type="http://schemas.openxmlformats.org/officeDocument/2006/relationships/hyperlink" Target="https://expa.aiesec.org/opportunities/1294505" TargetMode="External"/><Relationship Id="rId61" Type="http://schemas.openxmlformats.org/officeDocument/2006/relationships/hyperlink" Target="https://expa.aiesec.org/opportunities/1287226" TargetMode="External"/><Relationship Id="rId1797" Type="http://schemas.openxmlformats.org/officeDocument/2006/relationships/hyperlink" Target="https://expa.aiesec.org/opportunities/1292717" TargetMode="External"/><Relationship Id="rId64" Type="http://schemas.openxmlformats.org/officeDocument/2006/relationships/hyperlink" Target="https://expa.aiesec.org/opportunities/1287863" TargetMode="External"/><Relationship Id="rId1798" Type="http://schemas.openxmlformats.org/officeDocument/2006/relationships/hyperlink" Target="https://expa.aiesec.org/opportunities/1294063" TargetMode="External"/><Relationship Id="rId63" Type="http://schemas.openxmlformats.org/officeDocument/2006/relationships/hyperlink" Target="https://expa.aiesec.org/opportunities/1278774" TargetMode="External"/><Relationship Id="rId1799" Type="http://schemas.openxmlformats.org/officeDocument/2006/relationships/hyperlink" Target="https://expa.aiesec.org/opportunities/1288970" TargetMode="External"/><Relationship Id="rId66" Type="http://schemas.openxmlformats.org/officeDocument/2006/relationships/hyperlink" Target="https://expa.aiesec.org/opportunities/1287662" TargetMode="External"/><Relationship Id="rId65" Type="http://schemas.openxmlformats.org/officeDocument/2006/relationships/hyperlink" Target="https://expa.aiesec.org/opportunities/1287459" TargetMode="External"/><Relationship Id="rId68" Type="http://schemas.openxmlformats.org/officeDocument/2006/relationships/hyperlink" Target="https://expa.aiesec.org/opportunities/1281231" TargetMode="External"/><Relationship Id="rId67" Type="http://schemas.openxmlformats.org/officeDocument/2006/relationships/hyperlink" Target="https://expa.aiesec.org/opportunities/1281231" TargetMode="External"/><Relationship Id="rId60" Type="http://schemas.openxmlformats.org/officeDocument/2006/relationships/hyperlink" Target="https://expa.aiesec.org/opportunities/1288245" TargetMode="External"/><Relationship Id="rId69" Type="http://schemas.openxmlformats.org/officeDocument/2006/relationships/hyperlink" Target="https://expa.aiesec.org/opportunities/1288257" TargetMode="External"/><Relationship Id="rId1790" Type="http://schemas.openxmlformats.org/officeDocument/2006/relationships/hyperlink" Target="https://expa.aiesec.org/opportunities/1291846" TargetMode="External"/><Relationship Id="rId1791" Type="http://schemas.openxmlformats.org/officeDocument/2006/relationships/hyperlink" Target="https://expa.aiesec.org/opportunities/1289597" TargetMode="External"/><Relationship Id="rId1792" Type="http://schemas.openxmlformats.org/officeDocument/2006/relationships/hyperlink" Target="https://expa.aiesec.org/opportunities/1294332" TargetMode="External"/><Relationship Id="rId1793" Type="http://schemas.openxmlformats.org/officeDocument/2006/relationships/hyperlink" Target="https://expa.aiesec.org/opportunities/1285555" TargetMode="External"/><Relationship Id="rId1794" Type="http://schemas.openxmlformats.org/officeDocument/2006/relationships/hyperlink" Target="https://expa.aiesec.org/opportunities/1293463" TargetMode="External"/><Relationship Id="rId1795" Type="http://schemas.openxmlformats.org/officeDocument/2006/relationships/hyperlink" Target="https://expa.aiesec.org/opportunities/1294505" TargetMode="External"/><Relationship Id="rId51" Type="http://schemas.openxmlformats.org/officeDocument/2006/relationships/hyperlink" Target="https://expa.aiesec.org/opportunities/1272564" TargetMode="External"/><Relationship Id="rId1785" Type="http://schemas.openxmlformats.org/officeDocument/2006/relationships/hyperlink" Target="https://expa.aiesec.org/opportunities/1293313" TargetMode="External"/><Relationship Id="rId50" Type="http://schemas.openxmlformats.org/officeDocument/2006/relationships/hyperlink" Target="https://expa.aiesec.org/opportunities/1287251" TargetMode="External"/><Relationship Id="rId1786" Type="http://schemas.openxmlformats.org/officeDocument/2006/relationships/hyperlink" Target="https://expa.aiesec.org/opportunities/1289390" TargetMode="External"/><Relationship Id="rId53" Type="http://schemas.openxmlformats.org/officeDocument/2006/relationships/hyperlink" Target="https://expa.aiesec.org/opportunities/1287851" TargetMode="External"/><Relationship Id="rId1787" Type="http://schemas.openxmlformats.org/officeDocument/2006/relationships/hyperlink" Target="https://expa.aiesec.org/opportunities/1294061" TargetMode="External"/><Relationship Id="rId52" Type="http://schemas.openxmlformats.org/officeDocument/2006/relationships/hyperlink" Target="https://expa.aiesec.org/opportunities/1287864" TargetMode="External"/><Relationship Id="rId1788" Type="http://schemas.openxmlformats.org/officeDocument/2006/relationships/hyperlink" Target="https://expa.aiesec.org/opportunities/1294068" TargetMode="External"/><Relationship Id="rId55" Type="http://schemas.openxmlformats.org/officeDocument/2006/relationships/hyperlink" Target="https://expa.aiesec.org/opportunities/1286875" TargetMode="External"/><Relationship Id="rId1789" Type="http://schemas.openxmlformats.org/officeDocument/2006/relationships/hyperlink" Target="https://expa.aiesec.org/opportunities/1286326" TargetMode="External"/><Relationship Id="rId54" Type="http://schemas.openxmlformats.org/officeDocument/2006/relationships/hyperlink" Target="https://expa.aiesec.org/opportunities/1287097" TargetMode="External"/><Relationship Id="rId57" Type="http://schemas.openxmlformats.org/officeDocument/2006/relationships/hyperlink" Target="https://expa.aiesec.org/opportunities/1284485" TargetMode="External"/><Relationship Id="rId56" Type="http://schemas.openxmlformats.org/officeDocument/2006/relationships/hyperlink" Target="https://expa.aiesec.org/opportunities/1284485" TargetMode="External"/><Relationship Id="rId59" Type="http://schemas.openxmlformats.org/officeDocument/2006/relationships/hyperlink" Target="https://expa.aiesec.org/opportunities/1287488" TargetMode="External"/><Relationship Id="rId58" Type="http://schemas.openxmlformats.org/officeDocument/2006/relationships/hyperlink" Target="https://expa.aiesec.org/opportunities/1284485" TargetMode="External"/><Relationship Id="rId1780" Type="http://schemas.openxmlformats.org/officeDocument/2006/relationships/hyperlink" Target="https://expa.aiesec.org/opportunities/1291473" TargetMode="External"/><Relationship Id="rId1781" Type="http://schemas.openxmlformats.org/officeDocument/2006/relationships/hyperlink" Target="https://expa.aiesec.org/opportunities/1286326" TargetMode="External"/><Relationship Id="rId1782" Type="http://schemas.openxmlformats.org/officeDocument/2006/relationships/hyperlink" Target="https://expa.aiesec.org/opportunities/1289850" TargetMode="External"/><Relationship Id="rId1783" Type="http://schemas.openxmlformats.org/officeDocument/2006/relationships/hyperlink" Target="https://expa.aiesec.org/opportunities/1288490" TargetMode="External"/><Relationship Id="rId1784" Type="http://schemas.openxmlformats.org/officeDocument/2006/relationships/hyperlink" Target="https://expa.aiesec.org/opportunities/1288490" TargetMode="External"/><Relationship Id="rId2269" Type="http://schemas.openxmlformats.org/officeDocument/2006/relationships/hyperlink" Target="https://expa.aiesec.org/opportunities/1291336" TargetMode="External"/><Relationship Id="rId349" Type="http://schemas.openxmlformats.org/officeDocument/2006/relationships/hyperlink" Target="https://expa.aiesec.org/opportunities/1289314" TargetMode="External"/><Relationship Id="rId348" Type="http://schemas.openxmlformats.org/officeDocument/2006/relationships/hyperlink" Target="https://expa.aiesec.org/opportunities/1285687" TargetMode="External"/><Relationship Id="rId347" Type="http://schemas.openxmlformats.org/officeDocument/2006/relationships/hyperlink" Target="https://expa.aiesec.org/opportunities/1289441" TargetMode="External"/><Relationship Id="rId346" Type="http://schemas.openxmlformats.org/officeDocument/2006/relationships/hyperlink" Target="https://expa.aiesec.org/opportunities/1272564" TargetMode="External"/><Relationship Id="rId3591" Type="http://schemas.openxmlformats.org/officeDocument/2006/relationships/hyperlink" Target="https://expa.aiesec.org/opportunities/1284670" TargetMode="External"/><Relationship Id="rId2260" Type="http://schemas.openxmlformats.org/officeDocument/2006/relationships/hyperlink" Target="https://expa.aiesec.org/opportunities/1293907" TargetMode="External"/><Relationship Id="rId3590" Type="http://schemas.openxmlformats.org/officeDocument/2006/relationships/hyperlink" Target="https://expa.aiesec.org/opportunities/1300558" TargetMode="External"/><Relationship Id="rId341" Type="http://schemas.openxmlformats.org/officeDocument/2006/relationships/hyperlink" Target="https://expa.aiesec.org/opportunities/1289095" TargetMode="External"/><Relationship Id="rId2261" Type="http://schemas.openxmlformats.org/officeDocument/2006/relationships/hyperlink" Target="https://expa.aiesec.org/opportunities/1295563" TargetMode="External"/><Relationship Id="rId3593" Type="http://schemas.openxmlformats.org/officeDocument/2006/relationships/hyperlink" Target="https://expa.aiesec.org/opportunities/1287132" TargetMode="External"/><Relationship Id="rId340" Type="http://schemas.openxmlformats.org/officeDocument/2006/relationships/hyperlink" Target="https://expa.aiesec.org/opportunities/1289502" TargetMode="External"/><Relationship Id="rId2262" Type="http://schemas.openxmlformats.org/officeDocument/2006/relationships/hyperlink" Target="https://expa.aiesec.org/opportunities/1292947" TargetMode="External"/><Relationship Id="rId3592" Type="http://schemas.openxmlformats.org/officeDocument/2006/relationships/hyperlink" Target="https://expa.aiesec.org/opportunities/1284670" TargetMode="External"/><Relationship Id="rId2263" Type="http://schemas.openxmlformats.org/officeDocument/2006/relationships/hyperlink" Target="https://expa.aiesec.org/opportunities/1266530" TargetMode="External"/><Relationship Id="rId3595" Type="http://schemas.openxmlformats.org/officeDocument/2006/relationships/hyperlink" Target="https://expa.aiesec.org/opportunities/1298737" TargetMode="External"/><Relationship Id="rId2264" Type="http://schemas.openxmlformats.org/officeDocument/2006/relationships/hyperlink" Target="https://expa.aiesec.org/opportunities/1294209" TargetMode="External"/><Relationship Id="rId3594" Type="http://schemas.openxmlformats.org/officeDocument/2006/relationships/hyperlink" Target="https://expa.aiesec.org/opportunities/1296328" TargetMode="External"/><Relationship Id="rId345" Type="http://schemas.openxmlformats.org/officeDocument/2006/relationships/hyperlink" Target="https://expa.aiesec.org/opportunities/1288798" TargetMode="External"/><Relationship Id="rId2265" Type="http://schemas.openxmlformats.org/officeDocument/2006/relationships/hyperlink" Target="https://expa.aiesec.org/opportunities/1294179" TargetMode="External"/><Relationship Id="rId3597" Type="http://schemas.openxmlformats.org/officeDocument/2006/relationships/hyperlink" Target="https://expa.aiesec.org/opportunities/1289536" TargetMode="External"/><Relationship Id="rId344" Type="http://schemas.openxmlformats.org/officeDocument/2006/relationships/hyperlink" Target="https://expa.aiesec.org/opportunities/1287942" TargetMode="External"/><Relationship Id="rId2266" Type="http://schemas.openxmlformats.org/officeDocument/2006/relationships/hyperlink" Target="https://expa.aiesec.org/opportunities/1294995" TargetMode="External"/><Relationship Id="rId3596" Type="http://schemas.openxmlformats.org/officeDocument/2006/relationships/hyperlink" Target="https://expa.aiesec.org/opportunities/1294166" TargetMode="External"/><Relationship Id="rId343" Type="http://schemas.openxmlformats.org/officeDocument/2006/relationships/hyperlink" Target="https://expa.aiesec.org/opportunities/1278298" TargetMode="External"/><Relationship Id="rId2267" Type="http://schemas.openxmlformats.org/officeDocument/2006/relationships/hyperlink" Target="https://expa.aiesec.org/opportunities/1293588" TargetMode="External"/><Relationship Id="rId3599" Type="http://schemas.openxmlformats.org/officeDocument/2006/relationships/hyperlink" Target="https://expa.aiesec.org/opportunities/1289347" TargetMode="External"/><Relationship Id="rId342" Type="http://schemas.openxmlformats.org/officeDocument/2006/relationships/hyperlink" Target="https://expa.aiesec.org/opportunities/1288393" TargetMode="External"/><Relationship Id="rId2268" Type="http://schemas.openxmlformats.org/officeDocument/2006/relationships/hyperlink" Target="https://expa.aiesec.org/opportunities/1290924" TargetMode="External"/><Relationship Id="rId3598" Type="http://schemas.openxmlformats.org/officeDocument/2006/relationships/hyperlink" Target="https://expa.aiesec.org/opportunities/1292535" TargetMode="External"/><Relationship Id="rId2258" Type="http://schemas.openxmlformats.org/officeDocument/2006/relationships/hyperlink" Target="https://expa.aiesec.org/opportunities/1295214" TargetMode="External"/><Relationship Id="rId2259" Type="http://schemas.openxmlformats.org/officeDocument/2006/relationships/hyperlink" Target="https://expa.aiesec.org/opportunities/1294669" TargetMode="External"/><Relationship Id="rId3589" Type="http://schemas.openxmlformats.org/officeDocument/2006/relationships/hyperlink" Target="https://expa.aiesec.org/opportunities/1295893" TargetMode="External"/><Relationship Id="rId338" Type="http://schemas.openxmlformats.org/officeDocument/2006/relationships/hyperlink" Target="https://expa.aiesec.org/opportunities/1289016" TargetMode="External"/><Relationship Id="rId337" Type="http://schemas.openxmlformats.org/officeDocument/2006/relationships/hyperlink" Target="https://expa.aiesec.org/opportunities/1288393" TargetMode="External"/><Relationship Id="rId336" Type="http://schemas.openxmlformats.org/officeDocument/2006/relationships/hyperlink" Target="https://expa.aiesec.org/opportunities/1289214" TargetMode="External"/><Relationship Id="rId335" Type="http://schemas.openxmlformats.org/officeDocument/2006/relationships/hyperlink" Target="https://expa.aiesec.org/opportunities/1287851" TargetMode="External"/><Relationship Id="rId3580" Type="http://schemas.openxmlformats.org/officeDocument/2006/relationships/hyperlink" Target="https://expa.aiesec.org/opportunities/1298284" TargetMode="External"/><Relationship Id="rId339" Type="http://schemas.openxmlformats.org/officeDocument/2006/relationships/hyperlink" Target="https://expa.aiesec.org/opportunities/1289502" TargetMode="External"/><Relationship Id="rId330" Type="http://schemas.openxmlformats.org/officeDocument/2006/relationships/hyperlink" Target="https://expa.aiesec.org/opportunities/1284312" TargetMode="External"/><Relationship Id="rId2250" Type="http://schemas.openxmlformats.org/officeDocument/2006/relationships/hyperlink" Target="https://expa.aiesec.org/opportunities/1293393" TargetMode="External"/><Relationship Id="rId3582" Type="http://schemas.openxmlformats.org/officeDocument/2006/relationships/hyperlink" Target="https://expa.aiesec.org/opportunities/1296105" TargetMode="External"/><Relationship Id="rId2251" Type="http://schemas.openxmlformats.org/officeDocument/2006/relationships/hyperlink" Target="https://expa.aiesec.org/opportunities/1293005" TargetMode="External"/><Relationship Id="rId3581" Type="http://schemas.openxmlformats.org/officeDocument/2006/relationships/hyperlink" Target="https://expa.aiesec.org/opportunities/1272564" TargetMode="External"/><Relationship Id="rId2252" Type="http://schemas.openxmlformats.org/officeDocument/2006/relationships/hyperlink" Target="https://expa.aiesec.org/opportunities/1294062" TargetMode="External"/><Relationship Id="rId3584" Type="http://schemas.openxmlformats.org/officeDocument/2006/relationships/hyperlink" Target="https://expa.aiesec.org/opportunities/1286326" TargetMode="External"/><Relationship Id="rId2253" Type="http://schemas.openxmlformats.org/officeDocument/2006/relationships/hyperlink" Target="https://expa.aiesec.org/opportunities/1294795" TargetMode="External"/><Relationship Id="rId3583" Type="http://schemas.openxmlformats.org/officeDocument/2006/relationships/hyperlink" Target="https://expa.aiesec.org/opportunities/1284670" TargetMode="External"/><Relationship Id="rId334" Type="http://schemas.openxmlformats.org/officeDocument/2006/relationships/hyperlink" Target="https://expa.aiesec.org/opportunities/1289423" TargetMode="External"/><Relationship Id="rId2254" Type="http://schemas.openxmlformats.org/officeDocument/2006/relationships/hyperlink" Target="https://expa.aiesec.org/opportunities/1292947" TargetMode="External"/><Relationship Id="rId3586" Type="http://schemas.openxmlformats.org/officeDocument/2006/relationships/hyperlink" Target="https://expa.aiesec.org/opportunities/1300624" TargetMode="External"/><Relationship Id="rId333" Type="http://schemas.openxmlformats.org/officeDocument/2006/relationships/hyperlink" Target="https://expa.aiesec.org/opportunities/1289615" TargetMode="External"/><Relationship Id="rId2255" Type="http://schemas.openxmlformats.org/officeDocument/2006/relationships/hyperlink" Target="https://expa.aiesec.org/opportunities/1290806" TargetMode="External"/><Relationship Id="rId3585" Type="http://schemas.openxmlformats.org/officeDocument/2006/relationships/hyperlink" Target="https://expa.aiesec.org/opportunities/1285687" TargetMode="External"/><Relationship Id="rId332" Type="http://schemas.openxmlformats.org/officeDocument/2006/relationships/hyperlink" Target="https://expa.aiesec.org/opportunities/1281195" TargetMode="External"/><Relationship Id="rId2256" Type="http://schemas.openxmlformats.org/officeDocument/2006/relationships/hyperlink" Target="https://expa.aiesec.org/opportunities/1290393" TargetMode="External"/><Relationship Id="rId3588" Type="http://schemas.openxmlformats.org/officeDocument/2006/relationships/hyperlink" Target="https://expa.aiesec.org/opportunities/1298282" TargetMode="External"/><Relationship Id="rId331" Type="http://schemas.openxmlformats.org/officeDocument/2006/relationships/hyperlink" Target="https://expa.aiesec.org/opportunities/1288745" TargetMode="External"/><Relationship Id="rId2257" Type="http://schemas.openxmlformats.org/officeDocument/2006/relationships/hyperlink" Target="https://expa.aiesec.org/opportunities/1290059" TargetMode="External"/><Relationship Id="rId3587" Type="http://schemas.openxmlformats.org/officeDocument/2006/relationships/hyperlink" Target="https://expa.aiesec.org/opportunities/1281195" TargetMode="External"/><Relationship Id="rId370" Type="http://schemas.openxmlformats.org/officeDocument/2006/relationships/hyperlink" Target="https://expa.aiesec.org/opportunities/1287551" TargetMode="External"/><Relationship Id="rId369" Type="http://schemas.openxmlformats.org/officeDocument/2006/relationships/hyperlink" Target="https://expa.aiesec.org/opportunities/1287477" TargetMode="External"/><Relationship Id="rId368" Type="http://schemas.openxmlformats.org/officeDocument/2006/relationships/hyperlink" Target="https://expa.aiesec.org/opportunities/1288299" TargetMode="External"/><Relationship Id="rId2280" Type="http://schemas.openxmlformats.org/officeDocument/2006/relationships/hyperlink" Target="https://expa.aiesec.org/opportunities/1291263" TargetMode="External"/><Relationship Id="rId2281" Type="http://schemas.openxmlformats.org/officeDocument/2006/relationships/hyperlink" Target="https://expa.aiesec.org/opportunities/1293541" TargetMode="External"/><Relationship Id="rId2282" Type="http://schemas.openxmlformats.org/officeDocument/2006/relationships/hyperlink" Target="https://expa.aiesec.org/opportunities/1295575" TargetMode="External"/><Relationship Id="rId363" Type="http://schemas.openxmlformats.org/officeDocument/2006/relationships/hyperlink" Target="https://expa.aiesec.org/opportunities/1283483" TargetMode="External"/><Relationship Id="rId2283" Type="http://schemas.openxmlformats.org/officeDocument/2006/relationships/hyperlink" Target="https://expa.aiesec.org/opportunities/1293726" TargetMode="External"/><Relationship Id="rId362" Type="http://schemas.openxmlformats.org/officeDocument/2006/relationships/hyperlink" Target="https://expa.aiesec.org/opportunities/1288256" TargetMode="External"/><Relationship Id="rId2284" Type="http://schemas.openxmlformats.org/officeDocument/2006/relationships/hyperlink" Target="https://expa.aiesec.org/opportunities/1285687" TargetMode="External"/><Relationship Id="rId361" Type="http://schemas.openxmlformats.org/officeDocument/2006/relationships/hyperlink" Target="https://expa.aiesec.org/opportunities/1289281" TargetMode="External"/><Relationship Id="rId2285" Type="http://schemas.openxmlformats.org/officeDocument/2006/relationships/hyperlink" Target="https://expa.aiesec.org/opportunities/1292380" TargetMode="External"/><Relationship Id="rId360" Type="http://schemas.openxmlformats.org/officeDocument/2006/relationships/hyperlink" Target="https://expa.aiesec.org/opportunities/1282150" TargetMode="External"/><Relationship Id="rId2286" Type="http://schemas.openxmlformats.org/officeDocument/2006/relationships/hyperlink" Target="https://expa.aiesec.org/opportunities/1294624" TargetMode="External"/><Relationship Id="rId367" Type="http://schemas.openxmlformats.org/officeDocument/2006/relationships/hyperlink" Target="https://expa.aiesec.org/opportunities/1289263" TargetMode="External"/><Relationship Id="rId2287" Type="http://schemas.openxmlformats.org/officeDocument/2006/relationships/hyperlink" Target="https://expa.aiesec.org/opportunities/1294734" TargetMode="External"/><Relationship Id="rId366" Type="http://schemas.openxmlformats.org/officeDocument/2006/relationships/hyperlink" Target="https://expa.aiesec.org/opportunities/1289355" TargetMode="External"/><Relationship Id="rId2288" Type="http://schemas.openxmlformats.org/officeDocument/2006/relationships/hyperlink" Target="https://expa.aiesec.org/opportunities/1291413" TargetMode="External"/><Relationship Id="rId365" Type="http://schemas.openxmlformats.org/officeDocument/2006/relationships/hyperlink" Target="https://expa.aiesec.org/opportunities/1279516" TargetMode="External"/><Relationship Id="rId2289" Type="http://schemas.openxmlformats.org/officeDocument/2006/relationships/hyperlink" Target="https://expa.aiesec.org/opportunities/1295261" TargetMode="External"/><Relationship Id="rId364" Type="http://schemas.openxmlformats.org/officeDocument/2006/relationships/hyperlink" Target="https://expa.aiesec.org/opportunities/1284447" TargetMode="External"/><Relationship Id="rId95" Type="http://schemas.openxmlformats.org/officeDocument/2006/relationships/hyperlink" Target="https://expa.aiesec.org/opportunities/1267071" TargetMode="External"/><Relationship Id="rId94" Type="http://schemas.openxmlformats.org/officeDocument/2006/relationships/hyperlink" Target="https://expa.aiesec.org/opportunities/1288299" TargetMode="External"/><Relationship Id="rId97" Type="http://schemas.openxmlformats.org/officeDocument/2006/relationships/hyperlink" Target="https://expa.aiesec.org/opportunities/1288393" TargetMode="External"/><Relationship Id="rId96" Type="http://schemas.openxmlformats.org/officeDocument/2006/relationships/hyperlink" Target="https://expa.aiesec.org/opportunities/1287925" TargetMode="External"/><Relationship Id="rId99" Type="http://schemas.openxmlformats.org/officeDocument/2006/relationships/hyperlink" Target="https://expa.aiesec.org/opportunities/1288378" TargetMode="External"/><Relationship Id="rId98" Type="http://schemas.openxmlformats.org/officeDocument/2006/relationships/hyperlink" Target="https://expa.aiesec.org/opportunities/1287174" TargetMode="External"/><Relationship Id="rId91" Type="http://schemas.openxmlformats.org/officeDocument/2006/relationships/hyperlink" Target="https://expa.aiesec.org/opportunities/1288265" TargetMode="External"/><Relationship Id="rId90" Type="http://schemas.openxmlformats.org/officeDocument/2006/relationships/hyperlink" Target="https://expa.aiesec.org/opportunities/1288431" TargetMode="External"/><Relationship Id="rId93" Type="http://schemas.openxmlformats.org/officeDocument/2006/relationships/hyperlink" Target="https://expa.aiesec.org/opportunities/1287940" TargetMode="External"/><Relationship Id="rId92" Type="http://schemas.openxmlformats.org/officeDocument/2006/relationships/hyperlink" Target="https://expa.aiesec.org/opportunities/1286228" TargetMode="External"/><Relationship Id="rId359" Type="http://schemas.openxmlformats.org/officeDocument/2006/relationships/hyperlink" Target="https://expa.aiesec.org/opportunities/1287101" TargetMode="External"/><Relationship Id="rId358" Type="http://schemas.openxmlformats.org/officeDocument/2006/relationships/hyperlink" Target="https://expa.aiesec.org/opportunities/1287854" TargetMode="External"/><Relationship Id="rId357" Type="http://schemas.openxmlformats.org/officeDocument/2006/relationships/hyperlink" Target="https://expa.aiesec.org/opportunities/1289330" TargetMode="External"/><Relationship Id="rId2270" Type="http://schemas.openxmlformats.org/officeDocument/2006/relationships/hyperlink" Target="https://expa.aiesec.org/opportunities/1294997" TargetMode="External"/><Relationship Id="rId2271" Type="http://schemas.openxmlformats.org/officeDocument/2006/relationships/hyperlink" Target="https://expa.aiesec.org/opportunities/1294761" TargetMode="External"/><Relationship Id="rId352" Type="http://schemas.openxmlformats.org/officeDocument/2006/relationships/hyperlink" Target="https://expa.aiesec.org/opportunities/1281195" TargetMode="External"/><Relationship Id="rId2272" Type="http://schemas.openxmlformats.org/officeDocument/2006/relationships/hyperlink" Target="https://expa.aiesec.org/opportunities/1288582" TargetMode="External"/><Relationship Id="rId351" Type="http://schemas.openxmlformats.org/officeDocument/2006/relationships/hyperlink" Target="https://expa.aiesec.org/opportunities/1288256" TargetMode="External"/><Relationship Id="rId2273" Type="http://schemas.openxmlformats.org/officeDocument/2006/relationships/hyperlink" Target="https://expa.aiesec.org/opportunities/1294795" TargetMode="External"/><Relationship Id="rId350" Type="http://schemas.openxmlformats.org/officeDocument/2006/relationships/hyperlink" Target="https://expa.aiesec.org/opportunities/1287854" TargetMode="External"/><Relationship Id="rId2274" Type="http://schemas.openxmlformats.org/officeDocument/2006/relationships/hyperlink" Target="https://expa.aiesec.org/opportunities/1294127" TargetMode="External"/><Relationship Id="rId2275" Type="http://schemas.openxmlformats.org/officeDocument/2006/relationships/hyperlink" Target="https://expa.aiesec.org/opportunities/1294453" TargetMode="External"/><Relationship Id="rId356" Type="http://schemas.openxmlformats.org/officeDocument/2006/relationships/hyperlink" Target="https://expa.aiesec.org/opportunities/1277737" TargetMode="External"/><Relationship Id="rId2276" Type="http://schemas.openxmlformats.org/officeDocument/2006/relationships/hyperlink" Target="https://expa.aiesec.org/opportunities/1294622" TargetMode="External"/><Relationship Id="rId355" Type="http://schemas.openxmlformats.org/officeDocument/2006/relationships/hyperlink" Target="https://expa.aiesec.org/opportunities/1289155" TargetMode="External"/><Relationship Id="rId2277" Type="http://schemas.openxmlformats.org/officeDocument/2006/relationships/hyperlink" Target="https://expa.aiesec.org/opportunities/1283891" TargetMode="External"/><Relationship Id="rId354" Type="http://schemas.openxmlformats.org/officeDocument/2006/relationships/hyperlink" Target="https://expa.aiesec.org/opportunities/1289124" TargetMode="External"/><Relationship Id="rId2278" Type="http://schemas.openxmlformats.org/officeDocument/2006/relationships/hyperlink" Target="https://expa.aiesec.org/opportunities/1294209" TargetMode="External"/><Relationship Id="rId353" Type="http://schemas.openxmlformats.org/officeDocument/2006/relationships/hyperlink" Target="https://expa.aiesec.org/opportunities/1289593" TargetMode="External"/><Relationship Id="rId2279" Type="http://schemas.openxmlformats.org/officeDocument/2006/relationships/hyperlink" Target="https://expa.aiesec.org/opportunities/1287985" TargetMode="External"/><Relationship Id="rId2225" Type="http://schemas.openxmlformats.org/officeDocument/2006/relationships/hyperlink" Target="https://expa.aiesec.org/opportunities/1294418" TargetMode="External"/><Relationship Id="rId3557" Type="http://schemas.openxmlformats.org/officeDocument/2006/relationships/hyperlink" Target="https://expa.aiesec.org/opportunities/1286326" TargetMode="External"/><Relationship Id="rId2226" Type="http://schemas.openxmlformats.org/officeDocument/2006/relationships/hyperlink" Target="https://expa.aiesec.org/opportunities/1294890" TargetMode="External"/><Relationship Id="rId3556" Type="http://schemas.openxmlformats.org/officeDocument/2006/relationships/hyperlink" Target="https://expa.aiesec.org/opportunities/1286034" TargetMode="External"/><Relationship Id="rId2227" Type="http://schemas.openxmlformats.org/officeDocument/2006/relationships/hyperlink" Target="https://expa.aiesec.org/opportunities/1290690" TargetMode="External"/><Relationship Id="rId3559" Type="http://schemas.openxmlformats.org/officeDocument/2006/relationships/hyperlink" Target="https://expa.aiesec.org/opportunities/1288843" TargetMode="External"/><Relationship Id="rId2228" Type="http://schemas.openxmlformats.org/officeDocument/2006/relationships/hyperlink" Target="https://expa.aiesec.org/opportunities/1290806" TargetMode="External"/><Relationship Id="rId3558" Type="http://schemas.openxmlformats.org/officeDocument/2006/relationships/hyperlink" Target="https://expa.aiesec.org/opportunities/1297781" TargetMode="External"/><Relationship Id="rId2229" Type="http://schemas.openxmlformats.org/officeDocument/2006/relationships/hyperlink" Target="https://expa.aiesec.org/opportunities/1291929" TargetMode="External"/><Relationship Id="rId305" Type="http://schemas.openxmlformats.org/officeDocument/2006/relationships/hyperlink" Target="https://expa.aiesec.org/opportunities/1282655" TargetMode="External"/><Relationship Id="rId304" Type="http://schemas.openxmlformats.org/officeDocument/2006/relationships/hyperlink" Target="https://expa.aiesec.org/opportunities/1289076" TargetMode="External"/><Relationship Id="rId303" Type="http://schemas.openxmlformats.org/officeDocument/2006/relationships/hyperlink" Target="https://expa.aiesec.org/opportunities/1288916" TargetMode="External"/><Relationship Id="rId302" Type="http://schemas.openxmlformats.org/officeDocument/2006/relationships/hyperlink" Target="https://expa.aiesec.org/opportunities/1289076" TargetMode="External"/><Relationship Id="rId309" Type="http://schemas.openxmlformats.org/officeDocument/2006/relationships/hyperlink" Target="https://expa.aiesec.org/opportunities/1287925" TargetMode="External"/><Relationship Id="rId308" Type="http://schemas.openxmlformats.org/officeDocument/2006/relationships/hyperlink" Target="https://expa.aiesec.org/opportunities/1284618" TargetMode="External"/><Relationship Id="rId307" Type="http://schemas.openxmlformats.org/officeDocument/2006/relationships/hyperlink" Target="https://expa.aiesec.org/opportunities/1288813" TargetMode="External"/><Relationship Id="rId306" Type="http://schemas.openxmlformats.org/officeDocument/2006/relationships/hyperlink" Target="https://expa.aiesec.org/opportunities/1284489" TargetMode="External"/><Relationship Id="rId3551" Type="http://schemas.openxmlformats.org/officeDocument/2006/relationships/hyperlink" Target="https://expa.aiesec.org/opportunities/1279126" TargetMode="External"/><Relationship Id="rId2220" Type="http://schemas.openxmlformats.org/officeDocument/2006/relationships/hyperlink" Target="https://expa.aiesec.org/opportunities/1289536" TargetMode="External"/><Relationship Id="rId3550" Type="http://schemas.openxmlformats.org/officeDocument/2006/relationships/hyperlink" Target="https://expa.aiesec.org/opportunities/1300177" TargetMode="External"/><Relationship Id="rId301" Type="http://schemas.openxmlformats.org/officeDocument/2006/relationships/hyperlink" Target="https://expa.aiesec.org/opportunities/1288970" TargetMode="External"/><Relationship Id="rId2221" Type="http://schemas.openxmlformats.org/officeDocument/2006/relationships/hyperlink" Target="https://expa.aiesec.org/opportunities/1294941" TargetMode="External"/><Relationship Id="rId3553" Type="http://schemas.openxmlformats.org/officeDocument/2006/relationships/hyperlink" Target="https://expa.aiesec.org/opportunities/1293417" TargetMode="External"/><Relationship Id="rId300" Type="http://schemas.openxmlformats.org/officeDocument/2006/relationships/hyperlink" Target="https://expa.aiesec.org/opportunities/1278449" TargetMode="External"/><Relationship Id="rId2222" Type="http://schemas.openxmlformats.org/officeDocument/2006/relationships/hyperlink" Target="https://expa.aiesec.org/opportunities/1294941" TargetMode="External"/><Relationship Id="rId3552" Type="http://schemas.openxmlformats.org/officeDocument/2006/relationships/hyperlink" Target="https://expa.aiesec.org/opportunities/1300752" TargetMode="External"/><Relationship Id="rId2223" Type="http://schemas.openxmlformats.org/officeDocument/2006/relationships/hyperlink" Target="https://expa.aiesec.org/opportunities/1286368" TargetMode="External"/><Relationship Id="rId3555" Type="http://schemas.openxmlformats.org/officeDocument/2006/relationships/hyperlink" Target="https://expa.aiesec.org/opportunities/1288490" TargetMode="External"/><Relationship Id="rId2224" Type="http://schemas.openxmlformats.org/officeDocument/2006/relationships/hyperlink" Target="https://expa.aiesec.org/opportunities/1287990" TargetMode="External"/><Relationship Id="rId3554" Type="http://schemas.openxmlformats.org/officeDocument/2006/relationships/hyperlink" Target="https://expa.aiesec.org/opportunities/1300841" TargetMode="External"/><Relationship Id="rId2214" Type="http://schemas.openxmlformats.org/officeDocument/2006/relationships/hyperlink" Target="https://expa.aiesec.org/opportunities/1294332" TargetMode="External"/><Relationship Id="rId3546" Type="http://schemas.openxmlformats.org/officeDocument/2006/relationships/hyperlink" Target="https://expa.aiesec.org/opportunities/1288609" TargetMode="External"/><Relationship Id="rId2215" Type="http://schemas.openxmlformats.org/officeDocument/2006/relationships/hyperlink" Target="https://expa.aiesec.org/opportunities/1291929" TargetMode="External"/><Relationship Id="rId3545" Type="http://schemas.openxmlformats.org/officeDocument/2006/relationships/hyperlink" Target="https://expa.aiesec.org/opportunities/1297781" TargetMode="External"/><Relationship Id="rId2216" Type="http://schemas.openxmlformats.org/officeDocument/2006/relationships/hyperlink" Target="https://expa.aiesec.org/opportunities/1291929" TargetMode="External"/><Relationship Id="rId3548" Type="http://schemas.openxmlformats.org/officeDocument/2006/relationships/hyperlink" Target="https://expa.aiesec.org/opportunities/1300624" TargetMode="External"/><Relationship Id="rId2217" Type="http://schemas.openxmlformats.org/officeDocument/2006/relationships/hyperlink" Target="https://expa.aiesec.org/opportunities/1291929" TargetMode="External"/><Relationship Id="rId3547" Type="http://schemas.openxmlformats.org/officeDocument/2006/relationships/hyperlink" Target="https://expa.aiesec.org/opportunities/1296234" TargetMode="External"/><Relationship Id="rId2218" Type="http://schemas.openxmlformats.org/officeDocument/2006/relationships/hyperlink" Target="https://expa.aiesec.org/opportunities/1291068" TargetMode="External"/><Relationship Id="rId2219" Type="http://schemas.openxmlformats.org/officeDocument/2006/relationships/hyperlink" Target="https://expa.aiesec.org/opportunities/1294063" TargetMode="External"/><Relationship Id="rId3549" Type="http://schemas.openxmlformats.org/officeDocument/2006/relationships/hyperlink" Target="https://expa.aiesec.org/opportunities/1291989" TargetMode="External"/><Relationship Id="rId3540" Type="http://schemas.openxmlformats.org/officeDocument/2006/relationships/hyperlink" Target="https://expa.aiesec.org/opportunities/1299665" TargetMode="External"/><Relationship Id="rId2210" Type="http://schemas.openxmlformats.org/officeDocument/2006/relationships/hyperlink" Target="https://expa.aiesec.org/opportunities/1292188" TargetMode="External"/><Relationship Id="rId3542" Type="http://schemas.openxmlformats.org/officeDocument/2006/relationships/hyperlink" Target="https://expa.aiesec.org/opportunities/1300287" TargetMode="External"/><Relationship Id="rId2211" Type="http://schemas.openxmlformats.org/officeDocument/2006/relationships/hyperlink" Target="https://expa.aiesec.org/opportunities/1283483" TargetMode="External"/><Relationship Id="rId3541" Type="http://schemas.openxmlformats.org/officeDocument/2006/relationships/hyperlink" Target="https://expa.aiesec.org/opportunities/1279126" TargetMode="External"/><Relationship Id="rId2212" Type="http://schemas.openxmlformats.org/officeDocument/2006/relationships/hyperlink" Target="https://expa.aiesec.org/opportunities/1292149" TargetMode="External"/><Relationship Id="rId3544" Type="http://schemas.openxmlformats.org/officeDocument/2006/relationships/hyperlink" Target="https://expa.aiesec.org/opportunities/1300091" TargetMode="External"/><Relationship Id="rId2213" Type="http://schemas.openxmlformats.org/officeDocument/2006/relationships/hyperlink" Target="https://expa.aiesec.org/opportunities/1293417" TargetMode="External"/><Relationship Id="rId3543" Type="http://schemas.openxmlformats.org/officeDocument/2006/relationships/hyperlink" Target="https://expa.aiesec.org/opportunities/1295453" TargetMode="External"/><Relationship Id="rId2247" Type="http://schemas.openxmlformats.org/officeDocument/2006/relationships/hyperlink" Target="https://expa.aiesec.org/opportunities/1294209" TargetMode="External"/><Relationship Id="rId3579" Type="http://schemas.openxmlformats.org/officeDocument/2006/relationships/hyperlink" Target="https://expa.aiesec.org/opportunities/1280872" TargetMode="External"/><Relationship Id="rId2248" Type="http://schemas.openxmlformats.org/officeDocument/2006/relationships/hyperlink" Target="https://expa.aiesec.org/opportunities/1294068" TargetMode="External"/><Relationship Id="rId3578" Type="http://schemas.openxmlformats.org/officeDocument/2006/relationships/hyperlink" Target="https://expa.aiesec.org/opportunities/1289757" TargetMode="External"/><Relationship Id="rId2249" Type="http://schemas.openxmlformats.org/officeDocument/2006/relationships/hyperlink" Target="https://expa.aiesec.org/opportunities/1289596" TargetMode="External"/><Relationship Id="rId327" Type="http://schemas.openxmlformats.org/officeDocument/2006/relationships/hyperlink" Target="https://expa.aiesec.org/opportunities/1288393" TargetMode="External"/><Relationship Id="rId326" Type="http://schemas.openxmlformats.org/officeDocument/2006/relationships/hyperlink" Target="https://expa.aiesec.org/opportunities/1281106" TargetMode="External"/><Relationship Id="rId325" Type="http://schemas.openxmlformats.org/officeDocument/2006/relationships/hyperlink" Target="https://expa.aiesec.org/opportunities/1288414" TargetMode="External"/><Relationship Id="rId324" Type="http://schemas.openxmlformats.org/officeDocument/2006/relationships/hyperlink" Target="https://expa.aiesec.org/opportunities/1282747" TargetMode="External"/><Relationship Id="rId329" Type="http://schemas.openxmlformats.org/officeDocument/2006/relationships/hyperlink" Target="https://expa.aiesec.org/opportunities/1288393" TargetMode="External"/><Relationship Id="rId328" Type="http://schemas.openxmlformats.org/officeDocument/2006/relationships/hyperlink" Target="https://expa.aiesec.org/opportunities/1289390" TargetMode="External"/><Relationship Id="rId3571" Type="http://schemas.openxmlformats.org/officeDocument/2006/relationships/hyperlink" Target="https://expa.aiesec.org/opportunities/1291989" TargetMode="External"/><Relationship Id="rId2240" Type="http://schemas.openxmlformats.org/officeDocument/2006/relationships/hyperlink" Target="https://expa.aiesec.org/opportunities/1287380" TargetMode="External"/><Relationship Id="rId3570" Type="http://schemas.openxmlformats.org/officeDocument/2006/relationships/hyperlink" Target="https://expa.aiesec.org/opportunities/1286034" TargetMode="External"/><Relationship Id="rId2241" Type="http://schemas.openxmlformats.org/officeDocument/2006/relationships/hyperlink" Target="https://expa.aiesec.org/opportunities/1295717" TargetMode="External"/><Relationship Id="rId3573" Type="http://schemas.openxmlformats.org/officeDocument/2006/relationships/hyperlink" Target="https://expa.aiesec.org/opportunities/1295095" TargetMode="External"/><Relationship Id="rId2242" Type="http://schemas.openxmlformats.org/officeDocument/2006/relationships/hyperlink" Target="https://expa.aiesec.org/opportunities/1294587" TargetMode="External"/><Relationship Id="rId3572" Type="http://schemas.openxmlformats.org/officeDocument/2006/relationships/hyperlink" Target="https://expa.aiesec.org/opportunities/1286034" TargetMode="External"/><Relationship Id="rId323" Type="http://schemas.openxmlformats.org/officeDocument/2006/relationships/hyperlink" Target="https://expa.aiesec.org/opportunities/1288533" TargetMode="External"/><Relationship Id="rId2243" Type="http://schemas.openxmlformats.org/officeDocument/2006/relationships/hyperlink" Target="https://expa.aiesec.org/opportunities/1294372" TargetMode="External"/><Relationship Id="rId3575" Type="http://schemas.openxmlformats.org/officeDocument/2006/relationships/hyperlink" Target="https://expa.aiesec.org/opportunities/1288609" TargetMode="External"/><Relationship Id="rId322" Type="http://schemas.openxmlformats.org/officeDocument/2006/relationships/hyperlink" Target="https://expa.aiesec.org/opportunities/1277661" TargetMode="External"/><Relationship Id="rId2244" Type="http://schemas.openxmlformats.org/officeDocument/2006/relationships/hyperlink" Target="https://expa.aiesec.org/opportunities/1284670" TargetMode="External"/><Relationship Id="rId3574" Type="http://schemas.openxmlformats.org/officeDocument/2006/relationships/hyperlink" Target="https://expa.aiesec.org/opportunities/1289347" TargetMode="External"/><Relationship Id="rId321" Type="http://schemas.openxmlformats.org/officeDocument/2006/relationships/hyperlink" Target="https://expa.aiesec.org/opportunities/1277661" TargetMode="External"/><Relationship Id="rId2245" Type="http://schemas.openxmlformats.org/officeDocument/2006/relationships/hyperlink" Target="https://expa.aiesec.org/opportunities/1289308" TargetMode="External"/><Relationship Id="rId3577" Type="http://schemas.openxmlformats.org/officeDocument/2006/relationships/hyperlink" Target="https://expa.aiesec.org/opportunities/1289255" TargetMode="External"/><Relationship Id="rId320" Type="http://schemas.openxmlformats.org/officeDocument/2006/relationships/hyperlink" Target="https://expa.aiesec.org/opportunities/1282578" TargetMode="External"/><Relationship Id="rId2246" Type="http://schemas.openxmlformats.org/officeDocument/2006/relationships/hyperlink" Target="https://expa.aiesec.org/opportunities/1289307" TargetMode="External"/><Relationship Id="rId3576" Type="http://schemas.openxmlformats.org/officeDocument/2006/relationships/hyperlink" Target="https://expa.aiesec.org/opportunities/1284485" TargetMode="External"/><Relationship Id="rId2236" Type="http://schemas.openxmlformats.org/officeDocument/2006/relationships/hyperlink" Target="https://expa.aiesec.org/opportunities/1294103" TargetMode="External"/><Relationship Id="rId3568" Type="http://schemas.openxmlformats.org/officeDocument/2006/relationships/hyperlink" Target="https://expa.aiesec.org/opportunities/1297990" TargetMode="External"/><Relationship Id="rId2237" Type="http://schemas.openxmlformats.org/officeDocument/2006/relationships/hyperlink" Target="https://expa.aiesec.org/opportunities/1289596" TargetMode="External"/><Relationship Id="rId3567" Type="http://schemas.openxmlformats.org/officeDocument/2006/relationships/hyperlink" Target="https://expa.aiesec.org/opportunities/1296325" TargetMode="External"/><Relationship Id="rId2238" Type="http://schemas.openxmlformats.org/officeDocument/2006/relationships/hyperlink" Target="https://expa.aiesec.org/opportunities/1281195" TargetMode="External"/><Relationship Id="rId2239" Type="http://schemas.openxmlformats.org/officeDocument/2006/relationships/hyperlink" Target="https://expa.aiesec.org/opportunities/1294062" TargetMode="External"/><Relationship Id="rId3569" Type="http://schemas.openxmlformats.org/officeDocument/2006/relationships/hyperlink" Target="https://expa.aiesec.org/opportunities/1301049" TargetMode="External"/><Relationship Id="rId316" Type="http://schemas.openxmlformats.org/officeDocument/2006/relationships/hyperlink" Target="https://expa.aiesec.org/opportunities/1282161" TargetMode="External"/><Relationship Id="rId315" Type="http://schemas.openxmlformats.org/officeDocument/2006/relationships/hyperlink" Target="https://expa.aiesec.org/opportunities/1288245" TargetMode="External"/><Relationship Id="rId314" Type="http://schemas.openxmlformats.org/officeDocument/2006/relationships/hyperlink" Target="https://expa.aiesec.org/opportunities/1263211" TargetMode="External"/><Relationship Id="rId313" Type="http://schemas.openxmlformats.org/officeDocument/2006/relationships/hyperlink" Target="https://expa.aiesec.org/opportunities/1286326" TargetMode="External"/><Relationship Id="rId319" Type="http://schemas.openxmlformats.org/officeDocument/2006/relationships/hyperlink" Target="https://expa.aiesec.org/opportunities/1289020" TargetMode="External"/><Relationship Id="rId318" Type="http://schemas.openxmlformats.org/officeDocument/2006/relationships/hyperlink" Target="https://expa.aiesec.org/opportunities/1287722" TargetMode="External"/><Relationship Id="rId317" Type="http://schemas.openxmlformats.org/officeDocument/2006/relationships/hyperlink" Target="https://expa.aiesec.org/opportunities/1287247" TargetMode="External"/><Relationship Id="rId3560" Type="http://schemas.openxmlformats.org/officeDocument/2006/relationships/hyperlink" Target="https://expa.aiesec.org/opportunities/1291395" TargetMode="External"/><Relationship Id="rId2230" Type="http://schemas.openxmlformats.org/officeDocument/2006/relationships/hyperlink" Target="https://expa.aiesec.org/opportunities/1294310" TargetMode="External"/><Relationship Id="rId3562" Type="http://schemas.openxmlformats.org/officeDocument/2006/relationships/hyperlink" Target="https://expa.aiesec.org/opportunities/1288843" TargetMode="External"/><Relationship Id="rId2231" Type="http://schemas.openxmlformats.org/officeDocument/2006/relationships/hyperlink" Target="https://expa.aiesec.org/opportunities/1294097" TargetMode="External"/><Relationship Id="rId3561" Type="http://schemas.openxmlformats.org/officeDocument/2006/relationships/hyperlink" Target="https://expa.aiesec.org/opportunities/1298612" TargetMode="External"/><Relationship Id="rId312" Type="http://schemas.openxmlformats.org/officeDocument/2006/relationships/hyperlink" Target="https://expa.aiesec.org/opportunities/1288813" TargetMode="External"/><Relationship Id="rId2232" Type="http://schemas.openxmlformats.org/officeDocument/2006/relationships/hyperlink" Target="https://expa.aiesec.org/opportunities/1294453" TargetMode="External"/><Relationship Id="rId3564" Type="http://schemas.openxmlformats.org/officeDocument/2006/relationships/hyperlink" Target="https://expa.aiesec.org/opportunities/1300624" TargetMode="External"/><Relationship Id="rId311" Type="http://schemas.openxmlformats.org/officeDocument/2006/relationships/hyperlink" Target="https://expa.aiesec.org/opportunities/1287854" TargetMode="External"/><Relationship Id="rId2233" Type="http://schemas.openxmlformats.org/officeDocument/2006/relationships/hyperlink" Target="https://expa.aiesec.org/opportunities/1294006" TargetMode="External"/><Relationship Id="rId3563" Type="http://schemas.openxmlformats.org/officeDocument/2006/relationships/hyperlink" Target="https://expa.aiesec.org/opportunities/1300624" TargetMode="External"/><Relationship Id="rId310" Type="http://schemas.openxmlformats.org/officeDocument/2006/relationships/hyperlink" Target="https://expa.aiesec.org/opportunities/1288970" TargetMode="External"/><Relationship Id="rId2234" Type="http://schemas.openxmlformats.org/officeDocument/2006/relationships/hyperlink" Target="https://expa.aiesec.org/opportunities/1287210" TargetMode="External"/><Relationship Id="rId3566" Type="http://schemas.openxmlformats.org/officeDocument/2006/relationships/hyperlink" Target="https://expa.aiesec.org/opportunities/1298818" TargetMode="External"/><Relationship Id="rId2235" Type="http://schemas.openxmlformats.org/officeDocument/2006/relationships/hyperlink" Target="https://expa.aiesec.org/opportunities/1294795" TargetMode="External"/><Relationship Id="rId3565" Type="http://schemas.openxmlformats.org/officeDocument/2006/relationships/hyperlink" Target="https://expa.aiesec.org/opportunities/1300624" TargetMode="External"/><Relationship Id="rId4040" Type="http://schemas.openxmlformats.org/officeDocument/2006/relationships/hyperlink" Target="https://expa.aiesec.org/opportunities/1294622" TargetMode="External"/><Relationship Id="rId4042" Type="http://schemas.openxmlformats.org/officeDocument/2006/relationships/hyperlink" Target="https://expa.aiesec.org/opportunities/1301556" TargetMode="External"/><Relationship Id="rId4041" Type="http://schemas.openxmlformats.org/officeDocument/2006/relationships/hyperlink" Target="https://expa.aiesec.org/opportunities/1298816" TargetMode="External"/><Relationship Id="rId4044" Type="http://schemas.openxmlformats.org/officeDocument/2006/relationships/hyperlink" Target="https://expa.aiesec.org/opportunities/1298102" TargetMode="External"/><Relationship Id="rId4043" Type="http://schemas.openxmlformats.org/officeDocument/2006/relationships/hyperlink" Target="https://expa.aiesec.org/opportunities/1300120" TargetMode="External"/><Relationship Id="rId4046" Type="http://schemas.openxmlformats.org/officeDocument/2006/relationships/hyperlink" Target="https://expa.aiesec.org/opportunities/1299359" TargetMode="External"/><Relationship Id="rId4045" Type="http://schemas.openxmlformats.org/officeDocument/2006/relationships/hyperlink" Target="https://expa.aiesec.org/opportunities/1298549" TargetMode="External"/><Relationship Id="rId4048" Type="http://schemas.openxmlformats.org/officeDocument/2006/relationships/hyperlink" Target="https://expa.aiesec.org/opportunities/1279126" TargetMode="External"/><Relationship Id="rId4047" Type="http://schemas.openxmlformats.org/officeDocument/2006/relationships/hyperlink" Target="https://expa.aiesec.org/opportunities/1298866" TargetMode="External"/><Relationship Id="rId4049" Type="http://schemas.openxmlformats.org/officeDocument/2006/relationships/hyperlink" Target="https://expa.aiesec.org/opportunities/1299605" TargetMode="External"/><Relationship Id="rId4031" Type="http://schemas.openxmlformats.org/officeDocument/2006/relationships/hyperlink" Target="https://expa.aiesec.org/opportunities/1296671" TargetMode="External"/><Relationship Id="rId4030" Type="http://schemas.openxmlformats.org/officeDocument/2006/relationships/hyperlink" Target="https://expa.aiesec.org/opportunities/1291252" TargetMode="External"/><Relationship Id="rId297" Type="http://schemas.openxmlformats.org/officeDocument/2006/relationships/hyperlink" Target="https://expa.aiesec.org/opportunities/1288864" TargetMode="External"/><Relationship Id="rId4033" Type="http://schemas.openxmlformats.org/officeDocument/2006/relationships/hyperlink" Target="https://expa.aiesec.org/opportunities/1288490" TargetMode="External"/><Relationship Id="rId296" Type="http://schemas.openxmlformats.org/officeDocument/2006/relationships/hyperlink" Target="https://expa.aiesec.org/opportunities/1283385" TargetMode="External"/><Relationship Id="rId4032" Type="http://schemas.openxmlformats.org/officeDocument/2006/relationships/hyperlink" Target="https://expa.aiesec.org/opportunities/1292535" TargetMode="External"/><Relationship Id="rId295" Type="http://schemas.openxmlformats.org/officeDocument/2006/relationships/hyperlink" Target="https://expa.aiesec.org/opportunities/1279516" TargetMode="External"/><Relationship Id="rId4035" Type="http://schemas.openxmlformats.org/officeDocument/2006/relationships/hyperlink" Target="https://expa.aiesec.org/opportunities/1300091" TargetMode="External"/><Relationship Id="rId294" Type="http://schemas.openxmlformats.org/officeDocument/2006/relationships/hyperlink" Target="https://expa.aiesec.org/opportunities/1288245" TargetMode="External"/><Relationship Id="rId4034" Type="http://schemas.openxmlformats.org/officeDocument/2006/relationships/hyperlink" Target="https://expa.aiesec.org/opportunities/1291252" TargetMode="External"/><Relationship Id="rId4037" Type="http://schemas.openxmlformats.org/officeDocument/2006/relationships/hyperlink" Target="https://expa.aiesec.org/opportunities/1300460" TargetMode="External"/><Relationship Id="rId4036" Type="http://schemas.openxmlformats.org/officeDocument/2006/relationships/hyperlink" Target="https://expa.aiesec.org/opportunities/1294254" TargetMode="External"/><Relationship Id="rId299" Type="http://schemas.openxmlformats.org/officeDocument/2006/relationships/hyperlink" Target="https://expa.aiesec.org/opportunities/1288533" TargetMode="External"/><Relationship Id="rId4039" Type="http://schemas.openxmlformats.org/officeDocument/2006/relationships/hyperlink" Target="https://expa.aiesec.org/opportunities/1298736" TargetMode="External"/><Relationship Id="rId298" Type="http://schemas.openxmlformats.org/officeDocument/2006/relationships/hyperlink" Target="https://expa.aiesec.org/opportunities/1288989" TargetMode="External"/><Relationship Id="rId4038" Type="http://schemas.openxmlformats.org/officeDocument/2006/relationships/hyperlink" Target="https://expa.aiesec.org/opportunities/1289536" TargetMode="External"/><Relationship Id="rId4060" Type="http://schemas.openxmlformats.org/officeDocument/2006/relationships/hyperlink" Target="https://expa.aiesec.org/opportunities/1293683" TargetMode="External"/><Relationship Id="rId4062" Type="http://schemas.openxmlformats.org/officeDocument/2006/relationships/hyperlink" Target="https://expa.aiesec.org/opportunities/1281010" TargetMode="External"/><Relationship Id="rId4061" Type="http://schemas.openxmlformats.org/officeDocument/2006/relationships/hyperlink" Target="https://expa.aiesec.org/opportunities/1299041" TargetMode="External"/><Relationship Id="rId4064" Type="http://schemas.openxmlformats.org/officeDocument/2006/relationships/hyperlink" Target="https://expa.aiesec.org/opportunities/1298102" TargetMode="External"/><Relationship Id="rId4063" Type="http://schemas.openxmlformats.org/officeDocument/2006/relationships/hyperlink" Target="https://expa.aiesec.org/opportunities/1295514" TargetMode="External"/><Relationship Id="rId4066" Type="http://schemas.openxmlformats.org/officeDocument/2006/relationships/hyperlink" Target="https://expa.aiesec.org/opportunities/1294622" TargetMode="External"/><Relationship Id="rId4065" Type="http://schemas.openxmlformats.org/officeDocument/2006/relationships/hyperlink" Target="https://expa.aiesec.org/opportunities/1288420" TargetMode="External"/><Relationship Id="rId4068" Type="http://schemas.openxmlformats.org/officeDocument/2006/relationships/hyperlink" Target="https://expa.aiesec.org/opportunities/1294622" TargetMode="External"/><Relationship Id="rId4067" Type="http://schemas.openxmlformats.org/officeDocument/2006/relationships/hyperlink" Target="https://expa.aiesec.org/opportunities/1294622" TargetMode="External"/><Relationship Id="rId4069" Type="http://schemas.openxmlformats.org/officeDocument/2006/relationships/hyperlink" Target="https://expa.aiesec.org/opportunities/1301802" TargetMode="External"/><Relationship Id="rId4051" Type="http://schemas.openxmlformats.org/officeDocument/2006/relationships/hyperlink" Target="https://expa.aiesec.org/opportunities/1299474" TargetMode="External"/><Relationship Id="rId4050" Type="http://schemas.openxmlformats.org/officeDocument/2006/relationships/hyperlink" Target="https://expa.aiesec.org/opportunities/1299884" TargetMode="External"/><Relationship Id="rId4053" Type="http://schemas.openxmlformats.org/officeDocument/2006/relationships/hyperlink" Target="https://expa.aiesec.org/opportunities/1287628" TargetMode="External"/><Relationship Id="rId4052" Type="http://schemas.openxmlformats.org/officeDocument/2006/relationships/hyperlink" Target="https://expa.aiesec.org/opportunities/1298102" TargetMode="External"/><Relationship Id="rId4055" Type="http://schemas.openxmlformats.org/officeDocument/2006/relationships/hyperlink" Target="https://expa.aiesec.org/opportunities/1279126" TargetMode="External"/><Relationship Id="rId4054" Type="http://schemas.openxmlformats.org/officeDocument/2006/relationships/hyperlink" Target="https://expa.aiesec.org/opportunities/1298102" TargetMode="External"/><Relationship Id="rId4057" Type="http://schemas.openxmlformats.org/officeDocument/2006/relationships/hyperlink" Target="https://expa.aiesec.org/opportunities/1284081" TargetMode="External"/><Relationship Id="rId4056" Type="http://schemas.openxmlformats.org/officeDocument/2006/relationships/hyperlink" Target="https://expa.aiesec.org/opportunities/1294795" TargetMode="External"/><Relationship Id="rId4059" Type="http://schemas.openxmlformats.org/officeDocument/2006/relationships/hyperlink" Target="https://expa.aiesec.org/opportunities/1296671" TargetMode="External"/><Relationship Id="rId4058" Type="http://schemas.openxmlformats.org/officeDocument/2006/relationships/hyperlink" Target="https://expa.aiesec.org/opportunities/1300126" TargetMode="External"/><Relationship Id="rId4008" Type="http://schemas.openxmlformats.org/officeDocument/2006/relationships/hyperlink" Target="https://expa.aiesec.org/opportunities/1300217" TargetMode="External"/><Relationship Id="rId4007" Type="http://schemas.openxmlformats.org/officeDocument/2006/relationships/hyperlink" Target="https://expa.aiesec.org/opportunities/1299332" TargetMode="External"/><Relationship Id="rId4009" Type="http://schemas.openxmlformats.org/officeDocument/2006/relationships/hyperlink" Target="https://expa.aiesec.org/opportunities/1301141" TargetMode="External"/><Relationship Id="rId271" Type="http://schemas.openxmlformats.org/officeDocument/2006/relationships/hyperlink" Target="https://expa.aiesec.org/opportunities/1287942" TargetMode="External"/><Relationship Id="rId270" Type="http://schemas.openxmlformats.org/officeDocument/2006/relationships/hyperlink" Target="https://expa.aiesec.org/opportunities/1284312" TargetMode="External"/><Relationship Id="rId269" Type="http://schemas.openxmlformats.org/officeDocument/2006/relationships/hyperlink" Target="https://expa.aiesec.org/opportunities/1284312" TargetMode="External"/><Relationship Id="rId264" Type="http://schemas.openxmlformats.org/officeDocument/2006/relationships/hyperlink" Target="https://expa.aiesec.org/opportunities/1281895" TargetMode="External"/><Relationship Id="rId4000" Type="http://schemas.openxmlformats.org/officeDocument/2006/relationships/hyperlink" Target="https://expa.aiesec.org/opportunities/1288609" TargetMode="External"/><Relationship Id="rId263" Type="http://schemas.openxmlformats.org/officeDocument/2006/relationships/hyperlink" Target="https://expa.aiesec.org/opportunities/1289033" TargetMode="External"/><Relationship Id="rId262" Type="http://schemas.openxmlformats.org/officeDocument/2006/relationships/hyperlink" Target="https://expa.aiesec.org/opportunities/1279516" TargetMode="External"/><Relationship Id="rId4002" Type="http://schemas.openxmlformats.org/officeDocument/2006/relationships/hyperlink" Target="https://expa.aiesec.org/opportunities/1296671" TargetMode="External"/><Relationship Id="rId261" Type="http://schemas.openxmlformats.org/officeDocument/2006/relationships/hyperlink" Target="https://expa.aiesec.org/opportunities/1288989" TargetMode="External"/><Relationship Id="rId4001" Type="http://schemas.openxmlformats.org/officeDocument/2006/relationships/hyperlink" Target="https://expa.aiesec.org/opportunities/1296670" TargetMode="External"/><Relationship Id="rId268" Type="http://schemas.openxmlformats.org/officeDocument/2006/relationships/hyperlink" Target="https://expa.aiesec.org/opportunities/1281195" TargetMode="External"/><Relationship Id="rId4004" Type="http://schemas.openxmlformats.org/officeDocument/2006/relationships/hyperlink" Target="https://expa.aiesec.org/opportunities/1294877" TargetMode="External"/><Relationship Id="rId267" Type="http://schemas.openxmlformats.org/officeDocument/2006/relationships/hyperlink" Target="https://expa.aiesec.org/opportunities/1288916" TargetMode="External"/><Relationship Id="rId4003" Type="http://schemas.openxmlformats.org/officeDocument/2006/relationships/hyperlink" Target="https://expa.aiesec.org/opportunities/1293463" TargetMode="External"/><Relationship Id="rId266" Type="http://schemas.openxmlformats.org/officeDocument/2006/relationships/hyperlink" Target="https://expa.aiesec.org/opportunities/1288813" TargetMode="External"/><Relationship Id="rId4006" Type="http://schemas.openxmlformats.org/officeDocument/2006/relationships/hyperlink" Target="https://expa.aiesec.org/opportunities/1289095" TargetMode="External"/><Relationship Id="rId265" Type="http://schemas.openxmlformats.org/officeDocument/2006/relationships/hyperlink" Target="https://expa.aiesec.org/opportunities/1289076" TargetMode="External"/><Relationship Id="rId4005" Type="http://schemas.openxmlformats.org/officeDocument/2006/relationships/hyperlink" Target="https://expa.aiesec.org/opportunities/1289446" TargetMode="External"/><Relationship Id="rId260" Type="http://schemas.openxmlformats.org/officeDocument/2006/relationships/hyperlink" Target="https://expa.aiesec.org/opportunities/1288995" TargetMode="External"/><Relationship Id="rId259" Type="http://schemas.openxmlformats.org/officeDocument/2006/relationships/hyperlink" Target="https://expa.aiesec.org/opportunities/1281338" TargetMode="External"/><Relationship Id="rId258" Type="http://schemas.openxmlformats.org/officeDocument/2006/relationships/hyperlink" Target="https://expa.aiesec.org/opportunities/1288989" TargetMode="External"/><Relationship Id="rId2290" Type="http://schemas.openxmlformats.org/officeDocument/2006/relationships/hyperlink" Target="https://expa.aiesec.org/opportunities/1295743" TargetMode="External"/><Relationship Id="rId2291" Type="http://schemas.openxmlformats.org/officeDocument/2006/relationships/hyperlink" Target="https://expa.aiesec.org/opportunities/1295406" TargetMode="External"/><Relationship Id="rId2292" Type="http://schemas.openxmlformats.org/officeDocument/2006/relationships/hyperlink" Target="https://expa.aiesec.org/opportunities/1295529" TargetMode="External"/><Relationship Id="rId2293" Type="http://schemas.openxmlformats.org/officeDocument/2006/relationships/hyperlink" Target="https://expa.aiesec.org/opportunities/1288490" TargetMode="External"/><Relationship Id="rId253" Type="http://schemas.openxmlformats.org/officeDocument/2006/relationships/hyperlink" Target="https://expa.aiesec.org/opportunities/1287490" TargetMode="External"/><Relationship Id="rId2294" Type="http://schemas.openxmlformats.org/officeDocument/2006/relationships/hyperlink" Target="https://expa.aiesec.org/opportunities/1293245" TargetMode="External"/><Relationship Id="rId252" Type="http://schemas.openxmlformats.org/officeDocument/2006/relationships/hyperlink" Target="https://expa.aiesec.org/opportunities/1286237" TargetMode="External"/><Relationship Id="rId2295" Type="http://schemas.openxmlformats.org/officeDocument/2006/relationships/hyperlink" Target="https://expa.aiesec.org/opportunities/1293815" TargetMode="External"/><Relationship Id="rId251" Type="http://schemas.openxmlformats.org/officeDocument/2006/relationships/hyperlink" Target="https://expa.aiesec.org/opportunities/1286120" TargetMode="External"/><Relationship Id="rId2296" Type="http://schemas.openxmlformats.org/officeDocument/2006/relationships/hyperlink" Target="https://expa.aiesec.org/opportunities/1295907" TargetMode="External"/><Relationship Id="rId250" Type="http://schemas.openxmlformats.org/officeDocument/2006/relationships/hyperlink" Target="https://expa.aiesec.org/opportunities/1282247" TargetMode="External"/><Relationship Id="rId2297" Type="http://schemas.openxmlformats.org/officeDocument/2006/relationships/hyperlink" Target="https://expa.aiesec.org/opportunities/1294334" TargetMode="External"/><Relationship Id="rId257" Type="http://schemas.openxmlformats.org/officeDocument/2006/relationships/hyperlink" Target="https://expa.aiesec.org/opportunities/1281010" TargetMode="External"/><Relationship Id="rId2298" Type="http://schemas.openxmlformats.org/officeDocument/2006/relationships/hyperlink" Target="https://expa.aiesec.org/opportunities/1295011" TargetMode="External"/><Relationship Id="rId256" Type="http://schemas.openxmlformats.org/officeDocument/2006/relationships/hyperlink" Target="https://expa.aiesec.org/opportunities/1287509" TargetMode="External"/><Relationship Id="rId2299" Type="http://schemas.openxmlformats.org/officeDocument/2006/relationships/hyperlink" Target="https://expa.aiesec.org/opportunities/1291572" TargetMode="External"/><Relationship Id="rId255" Type="http://schemas.openxmlformats.org/officeDocument/2006/relationships/hyperlink" Target="https://expa.aiesec.org/opportunities/1277443" TargetMode="External"/><Relationship Id="rId254" Type="http://schemas.openxmlformats.org/officeDocument/2006/relationships/hyperlink" Target="https://expa.aiesec.org/opportunities/1286836" TargetMode="External"/><Relationship Id="rId4029" Type="http://schemas.openxmlformats.org/officeDocument/2006/relationships/hyperlink" Target="https://expa.aiesec.org/opportunities/1300177" TargetMode="External"/><Relationship Id="rId293" Type="http://schemas.openxmlformats.org/officeDocument/2006/relationships/hyperlink" Target="https://expa.aiesec.org/opportunities/1288916" TargetMode="External"/><Relationship Id="rId292" Type="http://schemas.openxmlformats.org/officeDocument/2006/relationships/hyperlink" Target="https://expa.aiesec.org/opportunities/1288533" TargetMode="External"/><Relationship Id="rId291" Type="http://schemas.openxmlformats.org/officeDocument/2006/relationships/hyperlink" Target="https://expa.aiesec.org/opportunities/1284668" TargetMode="External"/><Relationship Id="rId290" Type="http://schemas.openxmlformats.org/officeDocument/2006/relationships/hyperlink" Target="https://expa.aiesec.org/opportunities/1288970" TargetMode="External"/><Relationship Id="rId4020" Type="http://schemas.openxmlformats.org/officeDocument/2006/relationships/hyperlink" Target="https://expa.aiesec.org/opportunities/1284081" TargetMode="External"/><Relationship Id="rId286" Type="http://schemas.openxmlformats.org/officeDocument/2006/relationships/hyperlink" Target="https://expa.aiesec.org/opportunities/1289328" TargetMode="External"/><Relationship Id="rId4022" Type="http://schemas.openxmlformats.org/officeDocument/2006/relationships/hyperlink" Target="https://expa.aiesec.org/opportunities/1298885" TargetMode="External"/><Relationship Id="rId285" Type="http://schemas.openxmlformats.org/officeDocument/2006/relationships/hyperlink" Target="https://expa.aiesec.org/opportunities/1285597" TargetMode="External"/><Relationship Id="rId4021" Type="http://schemas.openxmlformats.org/officeDocument/2006/relationships/hyperlink" Target="https://expa.aiesec.org/opportunities/1289536" TargetMode="External"/><Relationship Id="rId284" Type="http://schemas.openxmlformats.org/officeDocument/2006/relationships/hyperlink" Target="https://expa.aiesec.org/opportunities/1288813" TargetMode="External"/><Relationship Id="rId4024" Type="http://schemas.openxmlformats.org/officeDocument/2006/relationships/hyperlink" Target="https://expa.aiesec.org/opportunities/1284081" TargetMode="External"/><Relationship Id="rId283" Type="http://schemas.openxmlformats.org/officeDocument/2006/relationships/hyperlink" Target="https://expa.aiesec.org/opportunities/1287565" TargetMode="External"/><Relationship Id="rId4023" Type="http://schemas.openxmlformats.org/officeDocument/2006/relationships/hyperlink" Target="https://expa.aiesec.org/opportunities/1300649" TargetMode="External"/><Relationship Id="rId4026" Type="http://schemas.openxmlformats.org/officeDocument/2006/relationships/hyperlink" Target="https://expa.aiesec.org/opportunities/1287966" TargetMode="External"/><Relationship Id="rId289" Type="http://schemas.openxmlformats.org/officeDocument/2006/relationships/hyperlink" Target="https://expa.aiesec.org/opportunities/1288663" TargetMode="External"/><Relationship Id="rId4025" Type="http://schemas.openxmlformats.org/officeDocument/2006/relationships/hyperlink" Target="https://expa.aiesec.org/opportunities/1289536" TargetMode="External"/><Relationship Id="rId288" Type="http://schemas.openxmlformats.org/officeDocument/2006/relationships/hyperlink" Target="https://expa.aiesec.org/opportunities/1288663" TargetMode="External"/><Relationship Id="rId4028" Type="http://schemas.openxmlformats.org/officeDocument/2006/relationships/hyperlink" Target="https://expa.aiesec.org/opportunities/1298571" TargetMode="External"/><Relationship Id="rId287" Type="http://schemas.openxmlformats.org/officeDocument/2006/relationships/hyperlink" Target="https://expa.aiesec.org/opportunities/1287942" TargetMode="External"/><Relationship Id="rId4027" Type="http://schemas.openxmlformats.org/officeDocument/2006/relationships/hyperlink" Target="https://expa.aiesec.org/opportunities/1288582" TargetMode="External"/><Relationship Id="rId4019" Type="http://schemas.openxmlformats.org/officeDocument/2006/relationships/hyperlink" Target="https://expa.aiesec.org/opportunities/1286920" TargetMode="External"/><Relationship Id="rId4018" Type="http://schemas.openxmlformats.org/officeDocument/2006/relationships/hyperlink" Target="https://expa.aiesec.org/opportunities/1295303" TargetMode="External"/><Relationship Id="rId282" Type="http://schemas.openxmlformats.org/officeDocument/2006/relationships/hyperlink" Target="https://expa.aiesec.org/opportunities/1289155" TargetMode="External"/><Relationship Id="rId281" Type="http://schemas.openxmlformats.org/officeDocument/2006/relationships/hyperlink" Target="https://expa.aiesec.org/opportunities/1288991" TargetMode="External"/><Relationship Id="rId280" Type="http://schemas.openxmlformats.org/officeDocument/2006/relationships/hyperlink" Target="https://expa.aiesec.org/opportunities/1289326" TargetMode="External"/><Relationship Id="rId275" Type="http://schemas.openxmlformats.org/officeDocument/2006/relationships/hyperlink" Target="https://expa.aiesec.org/opportunities/1289016" TargetMode="External"/><Relationship Id="rId4011" Type="http://schemas.openxmlformats.org/officeDocument/2006/relationships/hyperlink" Target="https://expa.aiesec.org/opportunities/1288970" TargetMode="External"/><Relationship Id="rId274" Type="http://schemas.openxmlformats.org/officeDocument/2006/relationships/hyperlink" Target="https://expa.aiesec.org/opportunities/1286443" TargetMode="External"/><Relationship Id="rId4010" Type="http://schemas.openxmlformats.org/officeDocument/2006/relationships/hyperlink" Target="https://expa.aiesec.org/opportunities/1284077" TargetMode="External"/><Relationship Id="rId273" Type="http://schemas.openxmlformats.org/officeDocument/2006/relationships/hyperlink" Target="https://expa.aiesec.org/opportunities/1286753" TargetMode="External"/><Relationship Id="rId4013" Type="http://schemas.openxmlformats.org/officeDocument/2006/relationships/hyperlink" Target="https://expa.aiesec.org/opportunities/1301702" TargetMode="External"/><Relationship Id="rId272" Type="http://schemas.openxmlformats.org/officeDocument/2006/relationships/hyperlink" Target="https://expa.aiesec.org/opportunities/1286828" TargetMode="External"/><Relationship Id="rId4012" Type="http://schemas.openxmlformats.org/officeDocument/2006/relationships/hyperlink" Target="https://expa.aiesec.org/opportunities/1296625" TargetMode="External"/><Relationship Id="rId279" Type="http://schemas.openxmlformats.org/officeDocument/2006/relationships/hyperlink" Target="https://expa.aiesec.org/opportunities/1288663" TargetMode="External"/><Relationship Id="rId4015" Type="http://schemas.openxmlformats.org/officeDocument/2006/relationships/hyperlink" Target="https://expa.aiesec.org/opportunities/1298372" TargetMode="External"/><Relationship Id="rId278" Type="http://schemas.openxmlformats.org/officeDocument/2006/relationships/hyperlink" Target="https://expa.aiesec.org/opportunities/1288813" TargetMode="External"/><Relationship Id="rId4014" Type="http://schemas.openxmlformats.org/officeDocument/2006/relationships/hyperlink" Target="https://expa.aiesec.org/opportunities/1299929" TargetMode="External"/><Relationship Id="rId277" Type="http://schemas.openxmlformats.org/officeDocument/2006/relationships/hyperlink" Target="https://expa.aiesec.org/opportunities/1288871" TargetMode="External"/><Relationship Id="rId4017" Type="http://schemas.openxmlformats.org/officeDocument/2006/relationships/hyperlink" Target="https://expa.aiesec.org/opportunities/1280872" TargetMode="External"/><Relationship Id="rId276" Type="http://schemas.openxmlformats.org/officeDocument/2006/relationships/hyperlink" Target="https://expa.aiesec.org/opportunities/1288531" TargetMode="External"/><Relationship Id="rId4016" Type="http://schemas.openxmlformats.org/officeDocument/2006/relationships/hyperlink" Target="https://expa.aiesec.org/opportunities/1298542" TargetMode="External"/><Relationship Id="rId1851" Type="http://schemas.openxmlformats.org/officeDocument/2006/relationships/hyperlink" Target="https://expa.aiesec.org/opportunities/1293863" TargetMode="External"/><Relationship Id="rId1852" Type="http://schemas.openxmlformats.org/officeDocument/2006/relationships/hyperlink" Target="https://expa.aiesec.org/opportunities/1293460" TargetMode="External"/><Relationship Id="rId1853" Type="http://schemas.openxmlformats.org/officeDocument/2006/relationships/hyperlink" Target="https://expa.aiesec.org/opportunities/1292786" TargetMode="External"/><Relationship Id="rId1854" Type="http://schemas.openxmlformats.org/officeDocument/2006/relationships/hyperlink" Target="https://expa.aiesec.org/opportunities/1294176" TargetMode="External"/><Relationship Id="rId1855" Type="http://schemas.openxmlformats.org/officeDocument/2006/relationships/hyperlink" Target="https://expa.aiesec.org/opportunities/1292990" TargetMode="External"/><Relationship Id="rId1856" Type="http://schemas.openxmlformats.org/officeDocument/2006/relationships/hyperlink" Target="https://expa.aiesec.org/opportunities/1294068" TargetMode="External"/><Relationship Id="rId1857" Type="http://schemas.openxmlformats.org/officeDocument/2006/relationships/hyperlink" Target="https://expa.aiesec.org/opportunities/1294825" TargetMode="External"/><Relationship Id="rId1858" Type="http://schemas.openxmlformats.org/officeDocument/2006/relationships/hyperlink" Target="https://expa.aiesec.org/opportunities/1293200" TargetMode="External"/><Relationship Id="rId1859" Type="http://schemas.openxmlformats.org/officeDocument/2006/relationships/hyperlink" Target="https://expa.aiesec.org/opportunities/1292298" TargetMode="External"/><Relationship Id="rId1850" Type="http://schemas.openxmlformats.org/officeDocument/2006/relationships/hyperlink" Target="https://expa.aiesec.org/opportunities/1294128" TargetMode="External"/><Relationship Id="rId1840" Type="http://schemas.openxmlformats.org/officeDocument/2006/relationships/hyperlink" Target="https://expa.aiesec.org/opportunities/1284670" TargetMode="External"/><Relationship Id="rId1841" Type="http://schemas.openxmlformats.org/officeDocument/2006/relationships/hyperlink" Target="https://expa.aiesec.org/opportunities/1289807" TargetMode="External"/><Relationship Id="rId1842" Type="http://schemas.openxmlformats.org/officeDocument/2006/relationships/hyperlink" Target="https://expa.aiesec.org/opportunities/1293983" TargetMode="External"/><Relationship Id="rId1843" Type="http://schemas.openxmlformats.org/officeDocument/2006/relationships/hyperlink" Target="https://expa.aiesec.org/opportunities/1294062" TargetMode="External"/><Relationship Id="rId1844" Type="http://schemas.openxmlformats.org/officeDocument/2006/relationships/hyperlink" Target="https://expa.aiesec.org/opportunities/1294062" TargetMode="External"/><Relationship Id="rId1845" Type="http://schemas.openxmlformats.org/officeDocument/2006/relationships/hyperlink" Target="https://expa.aiesec.org/opportunities/1284077" TargetMode="External"/><Relationship Id="rId1846" Type="http://schemas.openxmlformats.org/officeDocument/2006/relationships/hyperlink" Target="https://expa.aiesec.org/opportunities/1294005" TargetMode="External"/><Relationship Id="rId1847" Type="http://schemas.openxmlformats.org/officeDocument/2006/relationships/hyperlink" Target="https://expa.aiesec.org/opportunities/1290282" TargetMode="External"/><Relationship Id="rId1848" Type="http://schemas.openxmlformats.org/officeDocument/2006/relationships/hyperlink" Target="https://expa.aiesec.org/opportunities/1293284" TargetMode="External"/><Relationship Id="rId1849" Type="http://schemas.openxmlformats.org/officeDocument/2006/relationships/hyperlink" Target="https://expa.aiesec.org/opportunities/1294285" TargetMode="External"/><Relationship Id="rId1873" Type="http://schemas.openxmlformats.org/officeDocument/2006/relationships/hyperlink" Target="https://expa.aiesec.org/opportunities/1294062" TargetMode="External"/><Relationship Id="rId1874" Type="http://schemas.openxmlformats.org/officeDocument/2006/relationships/hyperlink" Target="https://expa.aiesec.org/opportunities/1290858" TargetMode="External"/><Relationship Id="rId1875" Type="http://schemas.openxmlformats.org/officeDocument/2006/relationships/hyperlink" Target="https://expa.aiesec.org/opportunities/1294294" TargetMode="External"/><Relationship Id="rId1876" Type="http://schemas.openxmlformats.org/officeDocument/2006/relationships/hyperlink" Target="https://expa.aiesec.org/opportunities/1288732" TargetMode="External"/><Relationship Id="rId1877" Type="http://schemas.openxmlformats.org/officeDocument/2006/relationships/hyperlink" Target="https://expa.aiesec.org/opportunities/1292606" TargetMode="External"/><Relationship Id="rId1878" Type="http://schemas.openxmlformats.org/officeDocument/2006/relationships/hyperlink" Target="https://expa.aiesec.org/opportunities/1289984" TargetMode="External"/><Relationship Id="rId1879" Type="http://schemas.openxmlformats.org/officeDocument/2006/relationships/hyperlink" Target="https://expa.aiesec.org/opportunities/1286553" TargetMode="External"/><Relationship Id="rId1870" Type="http://schemas.openxmlformats.org/officeDocument/2006/relationships/hyperlink" Target="https://expa.aiesec.org/opportunities/1294651" TargetMode="External"/><Relationship Id="rId1871" Type="http://schemas.openxmlformats.org/officeDocument/2006/relationships/hyperlink" Target="https://expa.aiesec.org/opportunities/1294062" TargetMode="External"/><Relationship Id="rId1872" Type="http://schemas.openxmlformats.org/officeDocument/2006/relationships/hyperlink" Target="https://expa.aiesec.org/opportunities/1294459" TargetMode="External"/><Relationship Id="rId1862" Type="http://schemas.openxmlformats.org/officeDocument/2006/relationships/hyperlink" Target="https://expa.aiesec.org/opportunities/1292990" TargetMode="External"/><Relationship Id="rId1863" Type="http://schemas.openxmlformats.org/officeDocument/2006/relationships/hyperlink" Target="https://expa.aiesec.org/opportunities/1288609" TargetMode="External"/><Relationship Id="rId1864" Type="http://schemas.openxmlformats.org/officeDocument/2006/relationships/hyperlink" Target="https://expa.aiesec.org/opportunities/1278791" TargetMode="External"/><Relationship Id="rId1865" Type="http://schemas.openxmlformats.org/officeDocument/2006/relationships/hyperlink" Target="https://expa.aiesec.org/opportunities/1288609" TargetMode="External"/><Relationship Id="rId1866" Type="http://schemas.openxmlformats.org/officeDocument/2006/relationships/hyperlink" Target="https://expa.aiesec.org/opportunities/1284976" TargetMode="External"/><Relationship Id="rId1867" Type="http://schemas.openxmlformats.org/officeDocument/2006/relationships/hyperlink" Target="https://expa.aiesec.org/opportunities/1284312" TargetMode="External"/><Relationship Id="rId1868" Type="http://schemas.openxmlformats.org/officeDocument/2006/relationships/hyperlink" Target="https://expa.aiesec.org/opportunities/1294364" TargetMode="External"/><Relationship Id="rId1869" Type="http://schemas.openxmlformats.org/officeDocument/2006/relationships/hyperlink" Target="https://expa.aiesec.org/opportunities/1292531" TargetMode="External"/><Relationship Id="rId1860" Type="http://schemas.openxmlformats.org/officeDocument/2006/relationships/hyperlink" Target="https://expa.aiesec.org/opportunities/1294063" TargetMode="External"/><Relationship Id="rId1861" Type="http://schemas.openxmlformats.org/officeDocument/2006/relationships/hyperlink" Target="https://expa.aiesec.org/opportunities/1286929" TargetMode="External"/><Relationship Id="rId1810" Type="http://schemas.openxmlformats.org/officeDocument/2006/relationships/hyperlink" Target="https://expa.aiesec.org/opportunities/1286034" TargetMode="External"/><Relationship Id="rId1811" Type="http://schemas.openxmlformats.org/officeDocument/2006/relationships/hyperlink" Target="https://expa.aiesec.org/opportunities/1293463" TargetMode="External"/><Relationship Id="rId1812" Type="http://schemas.openxmlformats.org/officeDocument/2006/relationships/hyperlink" Target="https://expa.aiesec.org/opportunities/1293463" TargetMode="External"/><Relationship Id="rId1813" Type="http://schemas.openxmlformats.org/officeDocument/2006/relationships/hyperlink" Target="https://expa.aiesec.org/opportunities/1291144" TargetMode="External"/><Relationship Id="rId1814" Type="http://schemas.openxmlformats.org/officeDocument/2006/relationships/hyperlink" Target="https://expa.aiesec.org/opportunities/1294068" TargetMode="External"/><Relationship Id="rId1815" Type="http://schemas.openxmlformats.org/officeDocument/2006/relationships/hyperlink" Target="https://expa.aiesec.org/opportunities/1294444" TargetMode="External"/><Relationship Id="rId1816" Type="http://schemas.openxmlformats.org/officeDocument/2006/relationships/hyperlink" Target="https://expa.aiesec.org/opportunities/1292990" TargetMode="External"/><Relationship Id="rId1817" Type="http://schemas.openxmlformats.org/officeDocument/2006/relationships/hyperlink" Target="https://expa.aiesec.org/opportunities/1292692" TargetMode="External"/><Relationship Id="rId1818" Type="http://schemas.openxmlformats.org/officeDocument/2006/relationships/hyperlink" Target="https://expa.aiesec.org/opportunities/1290024" TargetMode="External"/><Relationship Id="rId1819" Type="http://schemas.openxmlformats.org/officeDocument/2006/relationships/hyperlink" Target="https://expa.aiesec.org/opportunities/1294674" TargetMode="External"/><Relationship Id="rId4080" Type="http://schemas.openxmlformats.org/officeDocument/2006/relationships/hyperlink" Target="https://expa.aiesec.org/opportunities/1301140" TargetMode="External"/><Relationship Id="rId4082" Type="http://schemas.openxmlformats.org/officeDocument/2006/relationships/hyperlink" Target="https://expa.aiesec.org/opportunities/1291336" TargetMode="External"/><Relationship Id="rId4081" Type="http://schemas.openxmlformats.org/officeDocument/2006/relationships/hyperlink" Target="https://expa.aiesec.org/opportunities/1281233" TargetMode="External"/><Relationship Id="rId4084" Type="http://schemas.openxmlformats.org/officeDocument/2006/relationships/hyperlink" Target="https://expa.aiesec.org/opportunities/1298102" TargetMode="External"/><Relationship Id="rId4083" Type="http://schemas.openxmlformats.org/officeDocument/2006/relationships/hyperlink" Target="https://expa.aiesec.org/opportunities/1283483" TargetMode="External"/><Relationship Id="rId4086" Type="http://schemas.openxmlformats.org/officeDocument/2006/relationships/hyperlink" Target="https://expa.aiesec.org/opportunities/1293417" TargetMode="External"/><Relationship Id="rId4085" Type="http://schemas.openxmlformats.org/officeDocument/2006/relationships/hyperlink" Target="https://expa.aiesec.org/opportunities/1294878" TargetMode="External"/><Relationship Id="rId4088" Type="http://schemas.openxmlformats.org/officeDocument/2006/relationships/hyperlink" Target="https://expa.aiesec.org/opportunities/1301420" TargetMode="External"/><Relationship Id="rId4087" Type="http://schemas.openxmlformats.org/officeDocument/2006/relationships/hyperlink" Target="https://expa.aiesec.org/opportunities/1299952" TargetMode="External"/><Relationship Id="rId4089" Type="http://schemas.openxmlformats.org/officeDocument/2006/relationships/hyperlink" Target="https://expa.aiesec.org/opportunities/1292878" TargetMode="External"/><Relationship Id="rId1800" Type="http://schemas.openxmlformats.org/officeDocument/2006/relationships/hyperlink" Target="https://expa.aiesec.org/opportunities/1286326" TargetMode="External"/><Relationship Id="rId1801" Type="http://schemas.openxmlformats.org/officeDocument/2006/relationships/hyperlink" Target="https://expa.aiesec.org/opportunities/1293979" TargetMode="External"/><Relationship Id="rId1802" Type="http://schemas.openxmlformats.org/officeDocument/2006/relationships/hyperlink" Target="https://expa.aiesec.org/opportunities/1288909" TargetMode="External"/><Relationship Id="rId1803" Type="http://schemas.openxmlformats.org/officeDocument/2006/relationships/hyperlink" Target="https://expa.aiesec.org/opportunities/1289261" TargetMode="External"/><Relationship Id="rId1804" Type="http://schemas.openxmlformats.org/officeDocument/2006/relationships/hyperlink" Target="https://expa.aiesec.org/opportunities/1294254" TargetMode="External"/><Relationship Id="rId1805" Type="http://schemas.openxmlformats.org/officeDocument/2006/relationships/hyperlink" Target="https://expa.aiesec.org/opportunities/1294584" TargetMode="External"/><Relationship Id="rId1806" Type="http://schemas.openxmlformats.org/officeDocument/2006/relationships/hyperlink" Target="https://expa.aiesec.org/opportunities/1294584" TargetMode="External"/><Relationship Id="rId1807" Type="http://schemas.openxmlformats.org/officeDocument/2006/relationships/hyperlink" Target="https://expa.aiesec.org/opportunities/1293552" TargetMode="External"/><Relationship Id="rId1808" Type="http://schemas.openxmlformats.org/officeDocument/2006/relationships/hyperlink" Target="https://expa.aiesec.org/opportunities/1294202" TargetMode="External"/><Relationship Id="rId1809" Type="http://schemas.openxmlformats.org/officeDocument/2006/relationships/hyperlink" Target="https://expa.aiesec.org/opportunities/1287488" TargetMode="External"/><Relationship Id="rId4071" Type="http://schemas.openxmlformats.org/officeDocument/2006/relationships/hyperlink" Target="https://expa.aiesec.org/opportunities/1296101" TargetMode="External"/><Relationship Id="rId4070" Type="http://schemas.openxmlformats.org/officeDocument/2006/relationships/hyperlink" Target="https://expa.aiesec.org/opportunities/1285934" TargetMode="External"/><Relationship Id="rId4073" Type="http://schemas.openxmlformats.org/officeDocument/2006/relationships/hyperlink" Target="https://expa.aiesec.org/opportunities/1289536" TargetMode="External"/><Relationship Id="rId4072" Type="http://schemas.openxmlformats.org/officeDocument/2006/relationships/hyperlink" Target="https://expa.aiesec.org/opportunities/1289536" TargetMode="External"/><Relationship Id="rId4075" Type="http://schemas.openxmlformats.org/officeDocument/2006/relationships/hyperlink" Target="https://expa.aiesec.org/opportunities/1289536" TargetMode="External"/><Relationship Id="rId4074" Type="http://schemas.openxmlformats.org/officeDocument/2006/relationships/hyperlink" Target="https://expa.aiesec.org/opportunities/1265080" TargetMode="External"/><Relationship Id="rId4077" Type="http://schemas.openxmlformats.org/officeDocument/2006/relationships/hyperlink" Target="https://expa.aiesec.org/opportunities/1301515" TargetMode="External"/><Relationship Id="rId4076" Type="http://schemas.openxmlformats.org/officeDocument/2006/relationships/hyperlink" Target="https://expa.aiesec.org/opportunities/1295260" TargetMode="External"/><Relationship Id="rId4079" Type="http://schemas.openxmlformats.org/officeDocument/2006/relationships/hyperlink" Target="https://expa.aiesec.org/opportunities/1291336" TargetMode="External"/><Relationship Id="rId4078" Type="http://schemas.openxmlformats.org/officeDocument/2006/relationships/hyperlink" Target="https://expa.aiesec.org/opportunities/1301243" TargetMode="External"/><Relationship Id="rId1830" Type="http://schemas.openxmlformats.org/officeDocument/2006/relationships/hyperlink" Target="https://expa.aiesec.org/opportunities/1294197" TargetMode="External"/><Relationship Id="rId1831" Type="http://schemas.openxmlformats.org/officeDocument/2006/relationships/hyperlink" Target="https://expa.aiesec.org/opportunities/1292793" TargetMode="External"/><Relationship Id="rId1832" Type="http://schemas.openxmlformats.org/officeDocument/2006/relationships/hyperlink" Target="https://expa.aiesec.org/opportunities/1294241" TargetMode="External"/><Relationship Id="rId1833" Type="http://schemas.openxmlformats.org/officeDocument/2006/relationships/hyperlink" Target="https://expa.aiesec.org/opportunities/1289848" TargetMode="External"/><Relationship Id="rId1834" Type="http://schemas.openxmlformats.org/officeDocument/2006/relationships/hyperlink" Target="https://expa.aiesec.org/opportunities/1294202" TargetMode="External"/><Relationship Id="rId1835" Type="http://schemas.openxmlformats.org/officeDocument/2006/relationships/hyperlink" Target="https://expa.aiesec.org/opportunities/1293112" TargetMode="External"/><Relationship Id="rId1836" Type="http://schemas.openxmlformats.org/officeDocument/2006/relationships/hyperlink" Target="https://expa.aiesec.org/opportunities/1293477" TargetMode="External"/><Relationship Id="rId1837" Type="http://schemas.openxmlformats.org/officeDocument/2006/relationships/hyperlink" Target="https://expa.aiesec.org/opportunities/1291144" TargetMode="External"/><Relationship Id="rId1838" Type="http://schemas.openxmlformats.org/officeDocument/2006/relationships/hyperlink" Target="https://expa.aiesec.org/opportunities/1293216" TargetMode="External"/><Relationship Id="rId1839" Type="http://schemas.openxmlformats.org/officeDocument/2006/relationships/hyperlink" Target="https://expa.aiesec.org/opportunities/1294063" TargetMode="External"/><Relationship Id="rId1820" Type="http://schemas.openxmlformats.org/officeDocument/2006/relationships/hyperlink" Target="https://expa.aiesec.org/opportunities/1289378" TargetMode="External"/><Relationship Id="rId1821" Type="http://schemas.openxmlformats.org/officeDocument/2006/relationships/hyperlink" Target="https://expa.aiesec.org/opportunities/1291869" TargetMode="External"/><Relationship Id="rId1822" Type="http://schemas.openxmlformats.org/officeDocument/2006/relationships/hyperlink" Target="https://expa.aiesec.org/opportunities/1292535" TargetMode="External"/><Relationship Id="rId1823" Type="http://schemas.openxmlformats.org/officeDocument/2006/relationships/hyperlink" Target="https://expa.aiesec.org/opportunities/1286658" TargetMode="External"/><Relationship Id="rId1824" Type="http://schemas.openxmlformats.org/officeDocument/2006/relationships/hyperlink" Target="https://expa.aiesec.org/opportunities/1289261" TargetMode="External"/><Relationship Id="rId1825" Type="http://schemas.openxmlformats.org/officeDocument/2006/relationships/hyperlink" Target="https://expa.aiesec.org/opportunities/1289976" TargetMode="External"/><Relationship Id="rId1826" Type="http://schemas.openxmlformats.org/officeDocument/2006/relationships/hyperlink" Target="https://expa.aiesec.org/opportunities/1293801" TargetMode="External"/><Relationship Id="rId1827" Type="http://schemas.openxmlformats.org/officeDocument/2006/relationships/hyperlink" Target="https://expa.aiesec.org/opportunities/1284670" TargetMode="External"/><Relationship Id="rId1828" Type="http://schemas.openxmlformats.org/officeDocument/2006/relationships/hyperlink" Target="https://expa.aiesec.org/opportunities/1288129" TargetMode="External"/><Relationship Id="rId1829" Type="http://schemas.openxmlformats.org/officeDocument/2006/relationships/hyperlink" Target="https://expa.aiesec.org/opportunities/1288413" TargetMode="External"/><Relationship Id="rId4091" Type="http://schemas.openxmlformats.org/officeDocument/2006/relationships/hyperlink" Target="https://expa.aiesec.org/opportunities/1301543" TargetMode="External"/><Relationship Id="rId4090" Type="http://schemas.openxmlformats.org/officeDocument/2006/relationships/hyperlink" Target="https://expa.aiesec.org/opportunities/1301744" TargetMode="External"/><Relationship Id="rId4093" Type="http://schemas.openxmlformats.org/officeDocument/2006/relationships/hyperlink" Target="https://expa.aiesec.org/opportunities/1299199" TargetMode="External"/><Relationship Id="rId4092" Type="http://schemas.openxmlformats.org/officeDocument/2006/relationships/hyperlink" Target="https://expa.aiesec.org/opportunities/1287488" TargetMode="External"/><Relationship Id="rId4095" Type="http://schemas.openxmlformats.org/officeDocument/2006/relationships/hyperlink" Target="https://expa.aiesec.org/opportunities/1300649" TargetMode="External"/><Relationship Id="rId4094" Type="http://schemas.openxmlformats.org/officeDocument/2006/relationships/hyperlink" Target="https://expa.aiesec.org/opportunities/1300854" TargetMode="External"/><Relationship Id="rId4097" Type="http://schemas.openxmlformats.org/officeDocument/2006/relationships/hyperlink" Target="https://expa.aiesec.org/opportunities/1291252" TargetMode="External"/><Relationship Id="rId4096" Type="http://schemas.openxmlformats.org/officeDocument/2006/relationships/hyperlink" Target="https://expa.aiesec.org/opportunities/1298015" TargetMode="External"/><Relationship Id="rId4099" Type="http://schemas.openxmlformats.org/officeDocument/2006/relationships/hyperlink" Target="https://expa.aiesec.org/opportunities/1284670" TargetMode="External"/><Relationship Id="rId4098" Type="http://schemas.openxmlformats.org/officeDocument/2006/relationships/hyperlink" Target="https://expa.aiesec.org/opportunities/1289347" TargetMode="External"/><Relationship Id="rId2302" Type="http://schemas.openxmlformats.org/officeDocument/2006/relationships/hyperlink" Target="https://expa.aiesec.org/opportunities/1292384" TargetMode="External"/><Relationship Id="rId3634" Type="http://schemas.openxmlformats.org/officeDocument/2006/relationships/hyperlink" Target="https://expa.aiesec.org/opportunities/1289536" TargetMode="External"/><Relationship Id="rId2303" Type="http://schemas.openxmlformats.org/officeDocument/2006/relationships/hyperlink" Target="https://expa.aiesec.org/opportunities/1294068" TargetMode="External"/><Relationship Id="rId3633" Type="http://schemas.openxmlformats.org/officeDocument/2006/relationships/hyperlink" Target="https://expa.aiesec.org/opportunities/1294103" TargetMode="External"/><Relationship Id="rId2304" Type="http://schemas.openxmlformats.org/officeDocument/2006/relationships/hyperlink" Target="https://expa.aiesec.org/opportunities/1287488" TargetMode="External"/><Relationship Id="rId3636" Type="http://schemas.openxmlformats.org/officeDocument/2006/relationships/hyperlink" Target="https://expa.aiesec.org/opportunities/1288609" TargetMode="External"/><Relationship Id="rId2305" Type="http://schemas.openxmlformats.org/officeDocument/2006/relationships/hyperlink" Target="https://expa.aiesec.org/opportunities/1294263" TargetMode="External"/><Relationship Id="rId3635" Type="http://schemas.openxmlformats.org/officeDocument/2006/relationships/hyperlink" Target="https://expa.aiesec.org/opportunities/1291200" TargetMode="External"/><Relationship Id="rId2306" Type="http://schemas.openxmlformats.org/officeDocument/2006/relationships/hyperlink" Target="https://expa.aiesec.org/opportunities/1293477" TargetMode="External"/><Relationship Id="rId3638" Type="http://schemas.openxmlformats.org/officeDocument/2006/relationships/hyperlink" Target="https://expa.aiesec.org/opportunities/1299829" TargetMode="External"/><Relationship Id="rId2307" Type="http://schemas.openxmlformats.org/officeDocument/2006/relationships/hyperlink" Target="https://expa.aiesec.org/opportunities/1295628" TargetMode="External"/><Relationship Id="rId3637" Type="http://schemas.openxmlformats.org/officeDocument/2006/relationships/hyperlink" Target="https://expa.aiesec.org/opportunities/1289347" TargetMode="External"/><Relationship Id="rId2308" Type="http://schemas.openxmlformats.org/officeDocument/2006/relationships/hyperlink" Target="https://expa.aiesec.org/opportunities/1287708" TargetMode="External"/><Relationship Id="rId2309" Type="http://schemas.openxmlformats.org/officeDocument/2006/relationships/hyperlink" Target="https://expa.aiesec.org/opportunities/1280733" TargetMode="External"/><Relationship Id="rId3639" Type="http://schemas.openxmlformats.org/officeDocument/2006/relationships/hyperlink" Target="https://expa.aiesec.org/opportunities/1272564" TargetMode="External"/><Relationship Id="rId3630" Type="http://schemas.openxmlformats.org/officeDocument/2006/relationships/hyperlink" Target="https://expa.aiesec.org/opportunities/1299698" TargetMode="External"/><Relationship Id="rId2300" Type="http://schemas.openxmlformats.org/officeDocument/2006/relationships/hyperlink" Target="https://expa.aiesec.org/opportunities/1285687" TargetMode="External"/><Relationship Id="rId3632" Type="http://schemas.openxmlformats.org/officeDocument/2006/relationships/hyperlink" Target="https://expa.aiesec.org/opportunities/1295453" TargetMode="External"/><Relationship Id="rId2301" Type="http://schemas.openxmlformats.org/officeDocument/2006/relationships/hyperlink" Target="https://expa.aiesec.org/opportunities/1292571" TargetMode="External"/><Relationship Id="rId3631" Type="http://schemas.openxmlformats.org/officeDocument/2006/relationships/hyperlink" Target="https://expa.aiesec.org/opportunities/1280872" TargetMode="External"/><Relationship Id="rId3623" Type="http://schemas.openxmlformats.org/officeDocument/2006/relationships/hyperlink" Target="https://expa.aiesec.org/opportunities/1290731" TargetMode="External"/><Relationship Id="rId3622" Type="http://schemas.openxmlformats.org/officeDocument/2006/relationships/hyperlink" Target="https://expa.aiesec.org/opportunities/1299041" TargetMode="External"/><Relationship Id="rId3625" Type="http://schemas.openxmlformats.org/officeDocument/2006/relationships/hyperlink" Target="https://expa.aiesec.org/opportunities/1294332" TargetMode="External"/><Relationship Id="rId3624" Type="http://schemas.openxmlformats.org/officeDocument/2006/relationships/hyperlink" Target="https://expa.aiesec.org/opportunities/1294372" TargetMode="External"/><Relationship Id="rId3627" Type="http://schemas.openxmlformats.org/officeDocument/2006/relationships/hyperlink" Target="https://expa.aiesec.org/opportunities/1282413" TargetMode="External"/><Relationship Id="rId3626" Type="http://schemas.openxmlformats.org/officeDocument/2006/relationships/hyperlink" Target="https://expa.aiesec.org/opportunities/1297055" TargetMode="External"/><Relationship Id="rId3629" Type="http://schemas.openxmlformats.org/officeDocument/2006/relationships/hyperlink" Target="https://expa.aiesec.org/opportunities/1286326" TargetMode="External"/><Relationship Id="rId3628" Type="http://schemas.openxmlformats.org/officeDocument/2006/relationships/hyperlink" Target="https://expa.aiesec.org/opportunities/1299698" TargetMode="External"/><Relationship Id="rId3621" Type="http://schemas.openxmlformats.org/officeDocument/2006/relationships/hyperlink" Target="https://expa.aiesec.org/opportunities/1299037" TargetMode="External"/><Relationship Id="rId3620" Type="http://schemas.openxmlformats.org/officeDocument/2006/relationships/hyperlink" Target="https://expa.aiesec.org/opportunities/1296118" TargetMode="External"/><Relationship Id="rId2324" Type="http://schemas.openxmlformats.org/officeDocument/2006/relationships/hyperlink" Target="https://expa.aiesec.org/opportunities/1295793" TargetMode="External"/><Relationship Id="rId3656" Type="http://schemas.openxmlformats.org/officeDocument/2006/relationships/hyperlink" Target="https://expa.aiesec.org/opportunities/1294584" TargetMode="External"/><Relationship Id="rId2325" Type="http://schemas.openxmlformats.org/officeDocument/2006/relationships/hyperlink" Target="https://expa.aiesec.org/opportunities/1294127" TargetMode="External"/><Relationship Id="rId3655" Type="http://schemas.openxmlformats.org/officeDocument/2006/relationships/hyperlink" Target="https://expa.aiesec.org/opportunities/1299041" TargetMode="External"/><Relationship Id="rId2326" Type="http://schemas.openxmlformats.org/officeDocument/2006/relationships/hyperlink" Target="https://expa.aiesec.org/opportunities/1294127" TargetMode="External"/><Relationship Id="rId3658" Type="http://schemas.openxmlformats.org/officeDocument/2006/relationships/hyperlink" Target="https://expa.aiesec.org/opportunities/1280973" TargetMode="External"/><Relationship Id="rId2327" Type="http://schemas.openxmlformats.org/officeDocument/2006/relationships/hyperlink" Target="https://expa.aiesec.org/opportunities/1292793" TargetMode="External"/><Relationship Id="rId3657" Type="http://schemas.openxmlformats.org/officeDocument/2006/relationships/hyperlink" Target="https://expa.aiesec.org/opportunities/1300584" TargetMode="External"/><Relationship Id="rId2328" Type="http://schemas.openxmlformats.org/officeDocument/2006/relationships/hyperlink" Target="https://expa.aiesec.org/opportunities/1295453" TargetMode="External"/><Relationship Id="rId2329" Type="http://schemas.openxmlformats.org/officeDocument/2006/relationships/hyperlink" Target="https://expa.aiesec.org/opportunities/1282257" TargetMode="External"/><Relationship Id="rId3659" Type="http://schemas.openxmlformats.org/officeDocument/2006/relationships/hyperlink" Target="https://expa.aiesec.org/opportunities/1284668" TargetMode="External"/><Relationship Id="rId3650" Type="http://schemas.openxmlformats.org/officeDocument/2006/relationships/hyperlink" Target="https://expa.aiesec.org/opportunities/1299041" TargetMode="External"/><Relationship Id="rId2320" Type="http://schemas.openxmlformats.org/officeDocument/2006/relationships/hyperlink" Target="https://expa.aiesec.org/opportunities/1288721" TargetMode="External"/><Relationship Id="rId3652" Type="http://schemas.openxmlformats.org/officeDocument/2006/relationships/hyperlink" Target="https://expa.aiesec.org/opportunities/1281010" TargetMode="External"/><Relationship Id="rId2321" Type="http://schemas.openxmlformats.org/officeDocument/2006/relationships/hyperlink" Target="https://expa.aiesec.org/opportunities/1295453" TargetMode="External"/><Relationship Id="rId3651" Type="http://schemas.openxmlformats.org/officeDocument/2006/relationships/hyperlink" Target="https://expa.aiesec.org/opportunities/1286326" TargetMode="External"/><Relationship Id="rId2322" Type="http://schemas.openxmlformats.org/officeDocument/2006/relationships/hyperlink" Target="https://expa.aiesec.org/opportunities/1295575" TargetMode="External"/><Relationship Id="rId3654" Type="http://schemas.openxmlformats.org/officeDocument/2006/relationships/hyperlink" Target="https://expa.aiesec.org/opportunities/1286034" TargetMode="External"/><Relationship Id="rId2323" Type="http://schemas.openxmlformats.org/officeDocument/2006/relationships/hyperlink" Target="https://expa.aiesec.org/opportunities/1294209" TargetMode="External"/><Relationship Id="rId3653" Type="http://schemas.openxmlformats.org/officeDocument/2006/relationships/hyperlink" Target="https://expa.aiesec.org/opportunities/1286034" TargetMode="External"/><Relationship Id="rId2313" Type="http://schemas.openxmlformats.org/officeDocument/2006/relationships/hyperlink" Target="https://expa.aiesec.org/opportunities/1295075" TargetMode="External"/><Relationship Id="rId3645" Type="http://schemas.openxmlformats.org/officeDocument/2006/relationships/hyperlink" Target="https://expa.aiesec.org/opportunities/1294584" TargetMode="External"/><Relationship Id="rId2314" Type="http://schemas.openxmlformats.org/officeDocument/2006/relationships/hyperlink" Target="https://expa.aiesec.org/opportunities/1290560" TargetMode="External"/><Relationship Id="rId3644" Type="http://schemas.openxmlformats.org/officeDocument/2006/relationships/hyperlink" Target="https://expa.aiesec.org/opportunities/1291634" TargetMode="External"/><Relationship Id="rId2315" Type="http://schemas.openxmlformats.org/officeDocument/2006/relationships/hyperlink" Target="https://expa.aiesec.org/opportunities/1294203" TargetMode="External"/><Relationship Id="rId3647" Type="http://schemas.openxmlformats.org/officeDocument/2006/relationships/hyperlink" Target="https://expa.aiesec.org/opportunities/1286034" TargetMode="External"/><Relationship Id="rId2316" Type="http://schemas.openxmlformats.org/officeDocument/2006/relationships/hyperlink" Target="https://expa.aiesec.org/opportunities/1293755" TargetMode="External"/><Relationship Id="rId3646" Type="http://schemas.openxmlformats.org/officeDocument/2006/relationships/hyperlink" Target="https://expa.aiesec.org/opportunities/1301045" TargetMode="External"/><Relationship Id="rId2317" Type="http://schemas.openxmlformats.org/officeDocument/2006/relationships/hyperlink" Target="https://expa.aiesec.org/opportunities/1295010" TargetMode="External"/><Relationship Id="rId3649" Type="http://schemas.openxmlformats.org/officeDocument/2006/relationships/hyperlink" Target="https://expa.aiesec.org/opportunities/1286034" TargetMode="External"/><Relationship Id="rId2318" Type="http://schemas.openxmlformats.org/officeDocument/2006/relationships/hyperlink" Target="https://expa.aiesec.org/opportunities/1294997" TargetMode="External"/><Relationship Id="rId3648" Type="http://schemas.openxmlformats.org/officeDocument/2006/relationships/hyperlink" Target="https://expa.aiesec.org/opportunities/1286920" TargetMode="External"/><Relationship Id="rId2319" Type="http://schemas.openxmlformats.org/officeDocument/2006/relationships/hyperlink" Target="https://expa.aiesec.org/opportunities/1294332" TargetMode="External"/><Relationship Id="rId3641" Type="http://schemas.openxmlformats.org/officeDocument/2006/relationships/hyperlink" Target="https://expa.aiesec.org/opportunities/1291254" TargetMode="External"/><Relationship Id="rId2310" Type="http://schemas.openxmlformats.org/officeDocument/2006/relationships/hyperlink" Target="https://expa.aiesec.org/opportunities/1294232" TargetMode="External"/><Relationship Id="rId3640" Type="http://schemas.openxmlformats.org/officeDocument/2006/relationships/hyperlink" Target="https://expa.aiesec.org/opportunities/1299041" TargetMode="External"/><Relationship Id="rId2311" Type="http://schemas.openxmlformats.org/officeDocument/2006/relationships/hyperlink" Target="https://expa.aiesec.org/opportunities/1292556" TargetMode="External"/><Relationship Id="rId3643" Type="http://schemas.openxmlformats.org/officeDocument/2006/relationships/hyperlink" Target="https://expa.aiesec.org/opportunities/1286326" TargetMode="External"/><Relationship Id="rId2312" Type="http://schemas.openxmlformats.org/officeDocument/2006/relationships/hyperlink" Target="https://expa.aiesec.org/opportunities/1295811" TargetMode="External"/><Relationship Id="rId3642" Type="http://schemas.openxmlformats.org/officeDocument/2006/relationships/hyperlink" Target="https://expa.aiesec.org/opportunities/1294584" TargetMode="External"/><Relationship Id="rId1895" Type="http://schemas.openxmlformats.org/officeDocument/2006/relationships/hyperlink" Target="https://expa.aiesec.org/opportunities/1292800" TargetMode="External"/><Relationship Id="rId1896" Type="http://schemas.openxmlformats.org/officeDocument/2006/relationships/hyperlink" Target="https://expa.aiesec.org/opportunities/1293015" TargetMode="External"/><Relationship Id="rId1897" Type="http://schemas.openxmlformats.org/officeDocument/2006/relationships/hyperlink" Target="https://expa.aiesec.org/opportunities/1292571" TargetMode="External"/><Relationship Id="rId1898" Type="http://schemas.openxmlformats.org/officeDocument/2006/relationships/hyperlink" Target="https://expa.aiesec.org/opportunities/1294410" TargetMode="External"/><Relationship Id="rId1899" Type="http://schemas.openxmlformats.org/officeDocument/2006/relationships/hyperlink" Target="https://expa.aiesec.org/opportunities/1286326" TargetMode="External"/><Relationship Id="rId1890" Type="http://schemas.openxmlformats.org/officeDocument/2006/relationships/hyperlink" Target="https://expa.aiesec.org/opportunities/1294247" TargetMode="External"/><Relationship Id="rId1891" Type="http://schemas.openxmlformats.org/officeDocument/2006/relationships/hyperlink" Target="https://expa.aiesec.org/opportunities/1288609" TargetMode="External"/><Relationship Id="rId1892" Type="http://schemas.openxmlformats.org/officeDocument/2006/relationships/hyperlink" Target="https://expa.aiesec.org/opportunities/1288609" TargetMode="External"/><Relationship Id="rId1893" Type="http://schemas.openxmlformats.org/officeDocument/2006/relationships/hyperlink" Target="https://expa.aiesec.org/opportunities/1288609" TargetMode="External"/><Relationship Id="rId1894" Type="http://schemas.openxmlformats.org/officeDocument/2006/relationships/hyperlink" Target="https://expa.aiesec.org/opportunities/1290145" TargetMode="External"/><Relationship Id="rId1884" Type="http://schemas.openxmlformats.org/officeDocument/2006/relationships/hyperlink" Target="https://expa.aiesec.org/opportunities/1290282" TargetMode="External"/><Relationship Id="rId1885" Type="http://schemas.openxmlformats.org/officeDocument/2006/relationships/hyperlink" Target="https://expa.aiesec.org/opportunities/1293463" TargetMode="External"/><Relationship Id="rId1886" Type="http://schemas.openxmlformats.org/officeDocument/2006/relationships/hyperlink" Target="https://expa.aiesec.org/opportunities/1290282" TargetMode="External"/><Relationship Id="rId1887" Type="http://schemas.openxmlformats.org/officeDocument/2006/relationships/hyperlink" Target="https://expa.aiesec.org/opportunities/1294357" TargetMode="External"/><Relationship Id="rId1888" Type="http://schemas.openxmlformats.org/officeDocument/2006/relationships/hyperlink" Target="https://expa.aiesec.org/opportunities/1294234" TargetMode="External"/><Relationship Id="rId1889" Type="http://schemas.openxmlformats.org/officeDocument/2006/relationships/hyperlink" Target="https://expa.aiesec.org/opportunities/1294522" TargetMode="External"/><Relationship Id="rId1880" Type="http://schemas.openxmlformats.org/officeDocument/2006/relationships/hyperlink" Target="https://expa.aiesec.org/opportunities/1290454" TargetMode="External"/><Relationship Id="rId1881" Type="http://schemas.openxmlformats.org/officeDocument/2006/relationships/hyperlink" Target="https://expa.aiesec.org/opportunities/1293645" TargetMode="External"/><Relationship Id="rId1882" Type="http://schemas.openxmlformats.org/officeDocument/2006/relationships/hyperlink" Target="https://expa.aiesec.org/opportunities/1294410" TargetMode="External"/><Relationship Id="rId1883" Type="http://schemas.openxmlformats.org/officeDocument/2006/relationships/hyperlink" Target="https://expa.aiesec.org/opportunities/1291395" TargetMode="External"/><Relationship Id="rId3612" Type="http://schemas.openxmlformats.org/officeDocument/2006/relationships/hyperlink" Target="https://expa.aiesec.org/opportunities/1291881" TargetMode="External"/><Relationship Id="rId3611" Type="http://schemas.openxmlformats.org/officeDocument/2006/relationships/hyperlink" Target="https://expa.aiesec.org/opportunities/1289355" TargetMode="External"/><Relationship Id="rId3614" Type="http://schemas.openxmlformats.org/officeDocument/2006/relationships/hyperlink" Target="https://expa.aiesec.org/opportunities/1286034" TargetMode="External"/><Relationship Id="rId3613" Type="http://schemas.openxmlformats.org/officeDocument/2006/relationships/hyperlink" Target="https://expa.aiesec.org/opportunities/1298284" TargetMode="External"/><Relationship Id="rId3616" Type="http://schemas.openxmlformats.org/officeDocument/2006/relationships/hyperlink" Target="https://expa.aiesec.org/opportunities/1294878" TargetMode="External"/><Relationship Id="rId3615" Type="http://schemas.openxmlformats.org/officeDocument/2006/relationships/hyperlink" Target="https://expa.aiesec.org/opportunities/1286034" TargetMode="External"/><Relationship Id="rId3618" Type="http://schemas.openxmlformats.org/officeDocument/2006/relationships/hyperlink" Target="https://expa.aiesec.org/opportunities/1291881" TargetMode="External"/><Relationship Id="rId3617" Type="http://schemas.openxmlformats.org/officeDocument/2006/relationships/hyperlink" Target="https://expa.aiesec.org/opportunities/1299041" TargetMode="External"/><Relationship Id="rId3619" Type="http://schemas.openxmlformats.org/officeDocument/2006/relationships/hyperlink" Target="https://expa.aiesec.org/opportunities/1284670" TargetMode="External"/><Relationship Id="rId3610" Type="http://schemas.openxmlformats.org/officeDocument/2006/relationships/hyperlink" Target="https://expa.aiesec.org/opportunities/1289757" TargetMode="External"/><Relationship Id="rId3601" Type="http://schemas.openxmlformats.org/officeDocument/2006/relationships/hyperlink" Target="https://expa.aiesec.org/opportunities/1283288" TargetMode="External"/><Relationship Id="rId3600" Type="http://schemas.openxmlformats.org/officeDocument/2006/relationships/hyperlink" Target="https://expa.aiesec.org/opportunities/1298737" TargetMode="External"/><Relationship Id="rId3603" Type="http://schemas.openxmlformats.org/officeDocument/2006/relationships/hyperlink" Target="https://expa.aiesec.org/opportunities/1296670" TargetMode="External"/><Relationship Id="rId3602" Type="http://schemas.openxmlformats.org/officeDocument/2006/relationships/hyperlink" Target="https://expa.aiesec.org/opportunities/1296670" TargetMode="External"/><Relationship Id="rId3605" Type="http://schemas.openxmlformats.org/officeDocument/2006/relationships/hyperlink" Target="https://expa.aiesec.org/opportunities/1289347" TargetMode="External"/><Relationship Id="rId3604" Type="http://schemas.openxmlformats.org/officeDocument/2006/relationships/hyperlink" Target="https://expa.aiesec.org/opportunities/1300619" TargetMode="External"/><Relationship Id="rId3607" Type="http://schemas.openxmlformats.org/officeDocument/2006/relationships/hyperlink" Target="https://expa.aiesec.org/opportunities/1277333" TargetMode="External"/><Relationship Id="rId3606" Type="http://schemas.openxmlformats.org/officeDocument/2006/relationships/hyperlink" Target="https://expa.aiesec.org/opportunities/1299474" TargetMode="External"/><Relationship Id="rId3609" Type="http://schemas.openxmlformats.org/officeDocument/2006/relationships/hyperlink" Target="https://expa.aiesec.org/opportunities/1299419" TargetMode="External"/><Relationship Id="rId3608" Type="http://schemas.openxmlformats.org/officeDocument/2006/relationships/hyperlink" Target="https://expa.aiesec.org/opportunities/1286236" TargetMode="External"/><Relationship Id="rId1059" Type="http://schemas.openxmlformats.org/officeDocument/2006/relationships/hyperlink" Target="https://expa.aiesec.org/opportunities/1290826" TargetMode="External"/><Relationship Id="rId228" Type="http://schemas.openxmlformats.org/officeDocument/2006/relationships/hyperlink" Target="https://expa.aiesec.org/opportunities/1287013" TargetMode="External"/><Relationship Id="rId227" Type="http://schemas.openxmlformats.org/officeDocument/2006/relationships/hyperlink" Target="https://expa.aiesec.org/opportunities/1287382" TargetMode="External"/><Relationship Id="rId226" Type="http://schemas.openxmlformats.org/officeDocument/2006/relationships/hyperlink" Target="https://expa.aiesec.org/opportunities/1288663" TargetMode="External"/><Relationship Id="rId225" Type="http://schemas.openxmlformats.org/officeDocument/2006/relationships/hyperlink" Target="https://expa.aiesec.org/opportunities/1285138" TargetMode="External"/><Relationship Id="rId2380" Type="http://schemas.openxmlformats.org/officeDocument/2006/relationships/hyperlink" Target="https://expa.aiesec.org/opportunities/1293504" TargetMode="External"/><Relationship Id="rId229" Type="http://schemas.openxmlformats.org/officeDocument/2006/relationships/hyperlink" Target="https://expa.aiesec.org/opportunities/1288245" TargetMode="External"/><Relationship Id="rId1050" Type="http://schemas.openxmlformats.org/officeDocument/2006/relationships/hyperlink" Target="https://expa.aiesec.org/opportunities/1291819" TargetMode="External"/><Relationship Id="rId2381" Type="http://schemas.openxmlformats.org/officeDocument/2006/relationships/hyperlink" Target="https://expa.aiesec.org/opportunities/1292773" TargetMode="External"/><Relationship Id="rId220" Type="http://schemas.openxmlformats.org/officeDocument/2006/relationships/hyperlink" Target="https://expa.aiesec.org/opportunities/1288488" TargetMode="External"/><Relationship Id="rId1051" Type="http://schemas.openxmlformats.org/officeDocument/2006/relationships/hyperlink" Target="https://expa.aiesec.org/opportunities/1290134" TargetMode="External"/><Relationship Id="rId2382" Type="http://schemas.openxmlformats.org/officeDocument/2006/relationships/hyperlink" Target="https://expa.aiesec.org/opportunities/1295749" TargetMode="External"/><Relationship Id="rId1052" Type="http://schemas.openxmlformats.org/officeDocument/2006/relationships/hyperlink" Target="https://expa.aiesec.org/opportunities/1291304" TargetMode="External"/><Relationship Id="rId2383" Type="http://schemas.openxmlformats.org/officeDocument/2006/relationships/hyperlink" Target="https://expa.aiesec.org/opportunities/1294452" TargetMode="External"/><Relationship Id="rId1053" Type="http://schemas.openxmlformats.org/officeDocument/2006/relationships/hyperlink" Target="https://expa.aiesec.org/opportunities/1292070" TargetMode="External"/><Relationship Id="rId2384" Type="http://schemas.openxmlformats.org/officeDocument/2006/relationships/hyperlink" Target="https://expa.aiesec.org/opportunities/1285687" TargetMode="External"/><Relationship Id="rId1054" Type="http://schemas.openxmlformats.org/officeDocument/2006/relationships/hyperlink" Target="https://expa.aiesec.org/opportunities/1291623" TargetMode="External"/><Relationship Id="rId2385" Type="http://schemas.openxmlformats.org/officeDocument/2006/relationships/hyperlink" Target="https://expa.aiesec.org/opportunities/1289536" TargetMode="External"/><Relationship Id="rId224" Type="http://schemas.openxmlformats.org/officeDocument/2006/relationships/hyperlink" Target="https://expa.aiesec.org/opportunities/1272564" TargetMode="External"/><Relationship Id="rId1055" Type="http://schemas.openxmlformats.org/officeDocument/2006/relationships/hyperlink" Target="https://expa.aiesec.org/opportunities/1291304" TargetMode="External"/><Relationship Id="rId2386" Type="http://schemas.openxmlformats.org/officeDocument/2006/relationships/hyperlink" Target="https://expa.aiesec.org/opportunities/1294941" TargetMode="External"/><Relationship Id="rId223" Type="http://schemas.openxmlformats.org/officeDocument/2006/relationships/hyperlink" Target="https://expa.aiesec.org/opportunities/1287966" TargetMode="External"/><Relationship Id="rId1056" Type="http://schemas.openxmlformats.org/officeDocument/2006/relationships/hyperlink" Target="https://expa.aiesec.org/opportunities/1291964" TargetMode="External"/><Relationship Id="rId2387" Type="http://schemas.openxmlformats.org/officeDocument/2006/relationships/hyperlink" Target="https://expa.aiesec.org/opportunities/1264946" TargetMode="External"/><Relationship Id="rId222" Type="http://schemas.openxmlformats.org/officeDocument/2006/relationships/hyperlink" Target="https://expa.aiesec.org/opportunities/1287851" TargetMode="External"/><Relationship Id="rId1057" Type="http://schemas.openxmlformats.org/officeDocument/2006/relationships/hyperlink" Target="https://expa.aiesec.org/opportunities/1286228" TargetMode="External"/><Relationship Id="rId2388" Type="http://schemas.openxmlformats.org/officeDocument/2006/relationships/hyperlink" Target="https://expa.aiesec.org/opportunities/1286368" TargetMode="External"/><Relationship Id="rId221" Type="http://schemas.openxmlformats.org/officeDocument/2006/relationships/hyperlink" Target="https://expa.aiesec.org/opportunities/1287566" TargetMode="External"/><Relationship Id="rId1058" Type="http://schemas.openxmlformats.org/officeDocument/2006/relationships/hyperlink" Target="https://expa.aiesec.org/opportunities/1291585" TargetMode="External"/><Relationship Id="rId2389" Type="http://schemas.openxmlformats.org/officeDocument/2006/relationships/hyperlink" Target="https://expa.aiesec.org/opportunities/1295811" TargetMode="External"/><Relationship Id="rId1048" Type="http://schemas.openxmlformats.org/officeDocument/2006/relationships/hyperlink" Target="https://expa.aiesec.org/opportunities/1287459" TargetMode="External"/><Relationship Id="rId2379" Type="http://schemas.openxmlformats.org/officeDocument/2006/relationships/hyperlink" Target="https://expa.aiesec.org/opportunities/1296080" TargetMode="External"/><Relationship Id="rId1049" Type="http://schemas.openxmlformats.org/officeDocument/2006/relationships/hyperlink" Target="https://expa.aiesec.org/opportunities/1289215" TargetMode="External"/><Relationship Id="rId217" Type="http://schemas.openxmlformats.org/officeDocument/2006/relationships/hyperlink" Target="https://expa.aiesec.org/opportunities/1287712" TargetMode="External"/><Relationship Id="rId216" Type="http://schemas.openxmlformats.org/officeDocument/2006/relationships/hyperlink" Target="https://expa.aiesec.org/opportunities/1258621" TargetMode="External"/><Relationship Id="rId215" Type="http://schemas.openxmlformats.org/officeDocument/2006/relationships/hyperlink" Target="https://expa.aiesec.org/opportunities/1278010" TargetMode="External"/><Relationship Id="rId214" Type="http://schemas.openxmlformats.org/officeDocument/2006/relationships/hyperlink" Target="https://expa.aiesec.org/opportunities/1285209" TargetMode="External"/><Relationship Id="rId219" Type="http://schemas.openxmlformats.org/officeDocument/2006/relationships/hyperlink" Target="https://expa.aiesec.org/opportunities/1288488" TargetMode="External"/><Relationship Id="rId218" Type="http://schemas.openxmlformats.org/officeDocument/2006/relationships/hyperlink" Target="https://expa.aiesec.org/opportunities/1287824" TargetMode="External"/><Relationship Id="rId2370" Type="http://schemas.openxmlformats.org/officeDocument/2006/relationships/hyperlink" Target="https://expa.aiesec.org/opportunities/1290731" TargetMode="External"/><Relationship Id="rId1040" Type="http://schemas.openxmlformats.org/officeDocument/2006/relationships/hyperlink" Target="https://expa.aiesec.org/opportunities/1288393" TargetMode="External"/><Relationship Id="rId2371" Type="http://schemas.openxmlformats.org/officeDocument/2006/relationships/hyperlink" Target="https://expa.aiesec.org/opportunities/1285905" TargetMode="External"/><Relationship Id="rId1041" Type="http://schemas.openxmlformats.org/officeDocument/2006/relationships/hyperlink" Target="https://expa.aiesec.org/opportunities/1288611" TargetMode="External"/><Relationship Id="rId2372" Type="http://schemas.openxmlformats.org/officeDocument/2006/relationships/hyperlink" Target="https://expa.aiesec.org/opportunities/1293726" TargetMode="External"/><Relationship Id="rId1042" Type="http://schemas.openxmlformats.org/officeDocument/2006/relationships/hyperlink" Target="https://expa.aiesec.org/opportunities/1288393" TargetMode="External"/><Relationship Id="rId2373" Type="http://schemas.openxmlformats.org/officeDocument/2006/relationships/hyperlink" Target="https://expa.aiesec.org/opportunities/1293944" TargetMode="External"/><Relationship Id="rId1043" Type="http://schemas.openxmlformats.org/officeDocument/2006/relationships/hyperlink" Target="https://expa.aiesec.org/opportunities/1289899" TargetMode="External"/><Relationship Id="rId2374" Type="http://schemas.openxmlformats.org/officeDocument/2006/relationships/hyperlink" Target="https://expa.aiesec.org/opportunities/1295458" TargetMode="External"/><Relationship Id="rId213" Type="http://schemas.openxmlformats.org/officeDocument/2006/relationships/hyperlink" Target="https://expa.aiesec.org/opportunities/1278298" TargetMode="External"/><Relationship Id="rId1044" Type="http://schemas.openxmlformats.org/officeDocument/2006/relationships/hyperlink" Target="https://expa.aiesec.org/opportunities/1289255" TargetMode="External"/><Relationship Id="rId2375" Type="http://schemas.openxmlformats.org/officeDocument/2006/relationships/hyperlink" Target="https://expa.aiesec.org/opportunities/1295457" TargetMode="External"/><Relationship Id="rId212" Type="http://schemas.openxmlformats.org/officeDocument/2006/relationships/hyperlink" Target="https://expa.aiesec.org/opportunities/1287856" TargetMode="External"/><Relationship Id="rId1045" Type="http://schemas.openxmlformats.org/officeDocument/2006/relationships/hyperlink" Target="https://expa.aiesec.org/opportunities/1288548" TargetMode="External"/><Relationship Id="rId2376" Type="http://schemas.openxmlformats.org/officeDocument/2006/relationships/hyperlink" Target="https://expa.aiesec.org/opportunities/1292688" TargetMode="External"/><Relationship Id="rId211" Type="http://schemas.openxmlformats.org/officeDocument/2006/relationships/hyperlink" Target="https://expa.aiesec.org/opportunities/1272646" TargetMode="External"/><Relationship Id="rId1046" Type="http://schemas.openxmlformats.org/officeDocument/2006/relationships/hyperlink" Target="https://expa.aiesec.org/opportunities/1291852" TargetMode="External"/><Relationship Id="rId2377" Type="http://schemas.openxmlformats.org/officeDocument/2006/relationships/hyperlink" Target="https://expa.aiesec.org/opportunities/1283288" TargetMode="External"/><Relationship Id="rId210" Type="http://schemas.openxmlformats.org/officeDocument/2006/relationships/hyperlink" Target="https://expa.aiesec.org/opportunities/1287925" TargetMode="External"/><Relationship Id="rId1047" Type="http://schemas.openxmlformats.org/officeDocument/2006/relationships/hyperlink" Target="https://expa.aiesec.org/opportunities/1284476" TargetMode="External"/><Relationship Id="rId2378" Type="http://schemas.openxmlformats.org/officeDocument/2006/relationships/hyperlink" Target="https://expa.aiesec.org/opportunities/1292298" TargetMode="External"/><Relationship Id="rId4107" Type="http://schemas.openxmlformats.org/officeDocument/2006/relationships/hyperlink" Target="https://expa.aiesec.org/opportunities/1301586" TargetMode="External"/><Relationship Id="rId4106" Type="http://schemas.openxmlformats.org/officeDocument/2006/relationships/hyperlink" Target="https://expa.aiesec.org/opportunities/1302026" TargetMode="External"/><Relationship Id="rId4109" Type="http://schemas.openxmlformats.org/officeDocument/2006/relationships/hyperlink" Target="https://expa.aiesec.org/opportunities/1291252" TargetMode="External"/><Relationship Id="rId4108" Type="http://schemas.openxmlformats.org/officeDocument/2006/relationships/hyperlink" Target="https://expa.aiesec.org/opportunities/1301586" TargetMode="External"/><Relationship Id="rId249" Type="http://schemas.openxmlformats.org/officeDocument/2006/relationships/hyperlink" Target="https://expa.aiesec.org/opportunities/1281010" TargetMode="External"/><Relationship Id="rId248" Type="http://schemas.openxmlformats.org/officeDocument/2006/relationships/hyperlink" Target="https://expa.aiesec.org/opportunities/1287668" TargetMode="External"/><Relationship Id="rId247" Type="http://schemas.openxmlformats.org/officeDocument/2006/relationships/hyperlink" Target="https://expa.aiesec.org/opportunities/1288465" TargetMode="External"/><Relationship Id="rId1070" Type="http://schemas.openxmlformats.org/officeDocument/2006/relationships/hyperlink" Target="https://expa.aiesec.org/opportunities/1289261" TargetMode="External"/><Relationship Id="rId1071" Type="http://schemas.openxmlformats.org/officeDocument/2006/relationships/hyperlink" Target="https://expa.aiesec.org/opportunities/1290799" TargetMode="External"/><Relationship Id="rId1072" Type="http://schemas.openxmlformats.org/officeDocument/2006/relationships/hyperlink" Target="https://expa.aiesec.org/opportunities/1291049" TargetMode="External"/><Relationship Id="rId242" Type="http://schemas.openxmlformats.org/officeDocument/2006/relationships/hyperlink" Target="https://expa.aiesec.org/opportunities/1289012" TargetMode="External"/><Relationship Id="rId1073" Type="http://schemas.openxmlformats.org/officeDocument/2006/relationships/hyperlink" Target="https://expa.aiesec.org/opportunities/1292118" TargetMode="External"/><Relationship Id="rId241" Type="http://schemas.openxmlformats.org/officeDocument/2006/relationships/hyperlink" Target="https://expa.aiesec.org/opportunities/1288299" TargetMode="External"/><Relationship Id="rId1074" Type="http://schemas.openxmlformats.org/officeDocument/2006/relationships/hyperlink" Target="https://expa.aiesec.org/opportunities/1262041" TargetMode="External"/><Relationship Id="rId240" Type="http://schemas.openxmlformats.org/officeDocument/2006/relationships/hyperlink" Target="https://expa.aiesec.org/opportunities/1288299" TargetMode="External"/><Relationship Id="rId1075" Type="http://schemas.openxmlformats.org/officeDocument/2006/relationships/hyperlink" Target="https://expa.aiesec.org/opportunities/1284312" TargetMode="External"/><Relationship Id="rId4101" Type="http://schemas.openxmlformats.org/officeDocument/2006/relationships/hyperlink" Target="https://expa.aiesec.org/opportunities/1296670" TargetMode="External"/><Relationship Id="rId1076" Type="http://schemas.openxmlformats.org/officeDocument/2006/relationships/hyperlink" Target="https://expa.aiesec.org/opportunities/1284312" TargetMode="External"/><Relationship Id="rId4100" Type="http://schemas.openxmlformats.org/officeDocument/2006/relationships/hyperlink" Target="https://expa.aiesec.org/opportunities/1291252" TargetMode="External"/><Relationship Id="rId246" Type="http://schemas.openxmlformats.org/officeDocument/2006/relationships/hyperlink" Target="https://expa.aiesec.org/opportunities/1289076" TargetMode="External"/><Relationship Id="rId1077" Type="http://schemas.openxmlformats.org/officeDocument/2006/relationships/hyperlink" Target="https://expa.aiesec.org/opportunities/1284312" TargetMode="External"/><Relationship Id="rId4103" Type="http://schemas.openxmlformats.org/officeDocument/2006/relationships/hyperlink" Target="https://expa.aiesec.org/opportunities/1288490" TargetMode="External"/><Relationship Id="rId245" Type="http://schemas.openxmlformats.org/officeDocument/2006/relationships/hyperlink" Target="https://expa.aiesec.org/opportunities/1287942" TargetMode="External"/><Relationship Id="rId1078" Type="http://schemas.openxmlformats.org/officeDocument/2006/relationships/hyperlink" Target="https://expa.aiesec.org/opportunities/1287966" TargetMode="External"/><Relationship Id="rId4102" Type="http://schemas.openxmlformats.org/officeDocument/2006/relationships/hyperlink" Target="https://expa.aiesec.org/opportunities/1291252" TargetMode="External"/><Relationship Id="rId244" Type="http://schemas.openxmlformats.org/officeDocument/2006/relationships/hyperlink" Target="https://expa.aiesec.org/opportunities/1281195" TargetMode="External"/><Relationship Id="rId1079" Type="http://schemas.openxmlformats.org/officeDocument/2006/relationships/hyperlink" Target="https://expa.aiesec.org/opportunities/1289505" TargetMode="External"/><Relationship Id="rId4105" Type="http://schemas.openxmlformats.org/officeDocument/2006/relationships/hyperlink" Target="https://expa.aiesec.org/opportunities/1302043" TargetMode="External"/><Relationship Id="rId243" Type="http://schemas.openxmlformats.org/officeDocument/2006/relationships/hyperlink" Target="https://expa.aiesec.org/opportunities/1278449" TargetMode="External"/><Relationship Id="rId4104" Type="http://schemas.openxmlformats.org/officeDocument/2006/relationships/hyperlink" Target="https://expa.aiesec.org/opportunities/1288410" TargetMode="External"/><Relationship Id="rId239" Type="http://schemas.openxmlformats.org/officeDocument/2006/relationships/hyperlink" Target="https://expa.aiesec.org/opportunities/1272564" TargetMode="External"/><Relationship Id="rId238" Type="http://schemas.openxmlformats.org/officeDocument/2006/relationships/hyperlink" Target="https://expa.aiesec.org/opportunities/1287712" TargetMode="External"/><Relationship Id="rId237" Type="http://schemas.openxmlformats.org/officeDocument/2006/relationships/hyperlink" Target="https://expa.aiesec.org/opportunities/1287226" TargetMode="External"/><Relationship Id="rId236" Type="http://schemas.openxmlformats.org/officeDocument/2006/relationships/hyperlink" Target="https://expa.aiesec.org/opportunities/1283891" TargetMode="External"/><Relationship Id="rId2390" Type="http://schemas.openxmlformats.org/officeDocument/2006/relationships/hyperlink" Target="https://expa.aiesec.org/opportunities/1289255" TargetMode="External"/><Relationship Id="rId1060" Type="http://schemas.openxmlformats.org/officeDocument/2006/relationships/hyperlink" Target="https://expa.aiesec.org/opportunities/1281901" TargetMode="External"/><Relationship Id="rId2391" Type="http://schemas.openxmlformats.org/officeDocument/2006/relationships/hyperlink" Target="https://expa.aiesec.org/opportunities/1295461" TargetMode="External"/><Relationship Id="rId1061" Type="http://schemas.openxmlformats.org/officeDocument/2006/relationships/hyperlink" Target="https://expa.aiesec.org/opportunities/1292317" TargetMode="External"/><Relationship Id="rId2392" Type="http://schemas.openxmlformats.org/officeDocument/2006/relationships/hyperlink" Target="https://expa.aiesec.org/opportunities/1296118" TargetMode="External"/><Relationship Id="rId231" Type="http://schemas.openxmlformats.org/officeDocument/2006/relationships/hyperlink" Target="https://expa.aiesec.org/opportunities/1272564" TargetMode="External"/><Relationship Id="rId1062" Type="http://schemas.openxmlformats.org/officeDocument/2006/relationships/hyperlink" Target="https://expa.aiesec.org/opportunities/1289536" TargetMode="External"/><Relationship Id="rId2393" Type="http://schemas.openxmlformats.org/officeDocument/2006/relationships/hyperlink" Target="https://expa.aiesec.org/opportunities/1295458" TargetMode="External"/><Relationship Id="rId230" Type="http://schemas.openxmlformats.org/officeDocument/2006/relationships/hyperlink" Target="https://expa.aiesec.org/opportunities/1288279" TargetMode="External"/><Relationship Id="rId1063" Type="http://schemas.openxmlformats.org/officeDocument/2006/relationships/hyperlink" Target="https://expa.aiesec.org/opportunities/1290469" TargetMode="External"/><Relationship Id="rId2394" Type="http://schemas.openxmlformats.org/officeDocument/2006/relationships/hyperlink" Target="https://expa.aiesec.org/opportunities/1295461" TargetMode="External"/><Relationship Id="rId1064" Type="http://schemas.openxmlformats.org/officeDocument/2006/relationships/hyperlink" Target="https://expa.aiesec.org/opportunities/1291372" TargetMode="External"/><Relationship Id="rId2395" Type="http://schemas.openxmlformats.org/officeDocument/2006/relationships/hyperlink" Target="https://expa.aiesec.org/opportunities/1291252" TargetMode="External"/><Relationship Id="rId1065" Type="http://schemas.openxmlformats.org/officeDocument/2006/relationships/hyperlink" Target="https://expa.aiesec.org/opportunities/1290678" TargetMode="External"/><Relationship Id="rId2396" Type="http://schemas.openxmlformats.org/officeDocument/2006/relationships/hyperlink" Target="https://expa.aiesec.org/opportunities/1293726" TargetMode="External"/><Relationship Id="rId235" Type="http://schemas.openxmlformats.org/officeDocument/2006/relationships/hyperlink" Target="https://expa.aiesec.org/opportunities/1285077" TargetMode="External"/><Relationship Id="rId1066" Type="http://schemas.openxmlformats.org/officeDocument/2006/relationships/hyperlink" Target="https://expa.aiesec.org/opportunities/1291783" TargetMode="External"/><Relationship Id="rId2397" Type="http://schemas.openxmlformats.org/officeDocument/2006/relationships/hyperlink" Target="https://expa.aiesec.org/opportunities/1295404" TargetMode="External"/><Relationship Id="rId234" Type="http://schemas.openxmlformats.org/officeDocument/2006/relationships/hyperlink" Target="https://expa.aiesec.org/opportunities/1288663" TargetMode="External"/><Relationship Id="rId1067" Type="http://schemas.openxmlformats.org/officeDocument/2006/relationships/hyperlink" Target="https://expa.aiesec.org/opportunities/1289536" TargetMode="External"/><Relationship Id="rId2398" Type="http://schemas.openxmlformats.org/officeDocument/2006/relationships/hyperlink" Target="https://expa.aiesec.org/opportunities/1294488" TargetMode="External"/><Relationship Id="rId233" Type="http://schemas.openxmlformats.org/officeDocument/2006/relationships/hyperlink" Target="https://expa.aiesec.org/opportunities/1279619" TargetMode="External"/><Relationship Id="rId1068" Type="http://schemas.openxmlformats.org/officeDocument/2006/relationships/hyperlink" Target="https://expa.aiesec.org/opportunities/1272564" TargetMode="External"/><Relationship Id="rId2399" Type="http://schemas.openxmlformats.org/officeDocument/2006/relationships/hyperlink" Target="https://expa.aiesec.org/opportunities/1288490" TargetMode="External"/><Relationship Id="rId232" Type="http://schemas.openxmlformats.org/officeDocument/2006/relationships/hyperlink" Target="https://expa.aiesec.org/opportunities/1288285" TargetMode="External"/><Relationship Id="rId1069" Type="http://schemas.openxmlformats.org/officeDocument/2006/relationships/hyperlink" Target="https://expa.aiesec.org/opportunities/1272564" TargetMode="External"/><Relationship Id="rId1015" Type="http://schemas.openxmlformats.org/officeDocument/2006/relationships/hyperlink" Target="https://expa.aiesec.org/opportunities/1288393" TargetMode="External"/><Relationship Id="rId2346" Type="http://schemas.openxmlformats.org/officeDocument/2006/relationships/hyperlink" Target="https://expa.aiesec.org/opportunities/1294211" TargetMode="External"/><Relationship Id="rId3678" Type="http://schemas.openxmlformats.org/officeDocument/2006/relationships/hyperlink" Target="https://expa.aiesec.org/opportunities/1295893" TargetMode="External"/><Relationship Id="rId1016" Type="http://schemas.openxmlformats.org/officeDocument/2006/relationships/hyperlink" Target="https://expa.aiesec.org/opportunities/1289536" TargetMode="External"/><Relationship Id="rId2347" Type="http://schemas.openxmlformats.org/officeDocument/2006/relationships/hyperlink" Target="https://expa.aiesec.org/opportunities/1289850" TargetMode="External"/><Relationship Id="rId3677" Type="http://schemas.openxmlformats.org/officeDocument/2006/relationships/hyperlink" Target="https://expa.aiesec.org/opportunities/1299474" TargetMode="External"/><Relationship Id="rId1017" Type="http://schemas.openxmlformats.org/officeDocument/2006/relationships/hyperlink" Target="https://expa.aiesec.org/opportunities/1291551" TargetMode="External"/><Relationship Id="rId2348" Type="http://schemas.openxmlformats.org/officeDocument/2006/relationships/hyperlink" Target="https://expa.aiesec.org/opportunities/1295261" TargetMode="External"/><Relationship Id="rId1018" Type="http://schemas.openxmlformats.org/officeDocument/2006/relationships/hyperlink" Target="https://expa.aiesec.org/opportunities/1285687" TargetMode="External"/><Relationship Id="rId2349" Type="http://schemas.openxmlformats.org/officeDocument/2006/relationships/hyperlink" Target="https://expa.aiesec.org/opportunities/1295599" TargetMode="External"/><Relationship Id="rId3679" Type="http://schemas.openxmlformats.org/officeDocument/2006/relationships/hyperlink" Target="https://expa.aiesec.org/opportunities/1289255" TargetMode="External"/><Relationship Id="rId1019" Type="http://schemas.openxmlformats.org/officeDocument/2006/relationships/hyperlink" Target="https://expa.aiesec.org/opportunities/1290394" TargetMode="External"/><Relationship Id="rId3670" Type="http://schemas.openxmlformats.org/officeDocument/2006/relationships/hyperlink" Target="https://expa.aiesec.org/opportunities/1289536" TargetMode="External"/><Relationship Id="rId2340" Type="http://schemas.openxmlformats.org/officeDocument/2006/relationships/hyperlink" Target="https://expa.aiesec.org/opportunities/1294486" TargetMode="External"/><Relationship Id="rId3672" Type="http://schemas.openxmlformats.org/officeDocument/2006/relationships/hyperlink" Target="https://expa.aiesec.org/opportunities/1300883" TargetMode="External"/><Relationship Id="rId1010" Type="http://schemas.openxmlformats.org/officeDocument/2006/relationships/hyperlink" Target="https://expa.aiesec.org/opportunities/1288843" TargetMode="External"/><Relationship Id="rId2341" Type="http://schemas.openxmlformats.org/officeDocument/2006/relationships/hyperlink" Target="https://expa.aiesec.org/opportunities/1294062" TargetMode="External"/><Relationship Id="rId3671" Type="http://schemas.openxmlformats.org/officeDocument/2006/relationships/hyperlink" Target="https://expa.aiesec.org/opportunities/1289347" TargetMode="External"/><Relationship Id="rId1011" Type="http://schemas.openxmlformats.org/officeDocument/2006/relationships/hyperlink" Target="https://expa.aiesec.org/opportunities/1272564" TargetMode="External"/><Relationship Id="rId2342" Type="http://schemas.openxmlformats.org/officeDocument/2006/relationships/hyperlink" Target="https://expa.aiesec.org/opportunities/1287380" TargetMode="External"/><Relationship Id="rId3674" Type="http://schemas.openxmlformats.org/officeDocument/2006/relationships/hyperlink" Target="https://expa.aiesec.org/opportunities/1285687" TargetMode="External"/><Relationship Id="rId1012" Type="http://schemas.openxmlformats.org/officeDocument/2006/relationships/hyperlink" Target="https://expa.aiesec.org/opportunities/1287304" TargetMode="External"/><Relationship Id="rId2343" Type="http://schemas.openxmlformats.org/officeDocument/2006/relationships/hyperlink" Target="https://expa.aiesec.org/opportunities/1294473" TargetMode="External"/><Relationship Id="rId3673" Type="http://schemas.openxmlformats.org/officeDocument/2006/relationships/hyperlink" Target="https://expa.aiesec.org/opportunities/1285687" TargetMode="External"/><Relationship Id="rId1013" Type="http://schemas.openxmlformats.org/officeDocument/2006/relationships/hyperlink" Target="https://expa.aiesec.org/opportunities/1285687" TargetMode="External"/><Relationship Id="rId2344" Type="http://schemas.openxmlformats.org/officeDocument/2006/relationships/hyperlink" Target="https://expa.aiesec.org/opportunities/1288836" TargetMode="External"/><Relationship Id="rId3676" Type="http://schemas.openxmlformats.org/officeDocument/2006/relationships/hyperlink" Target="https://expa.aiesec.org/opportunities/1291254" TargetMode="External"/><Relationship Id="rId1014" Type="http://schemas.openxmlformats.org/officeDocument/2006/relationships/hyperlink" Target="https://expa.aiesec.org/opportunities/1285687" TargetMode="External"/><Relationship Id="rId2345" Type="http://schemas.openxmlformats.org/officeDocument/2006/relationships/hyperlink" Target="https://expa.aiesec.org/opportunities/1296108" TargetMode="External"/><Relationship Id="rId3675" Type="http://schemas.openxmlformats.org/officeDocument/2006/relationships/hyperlink" Target="https://expa.aiesec.org/opportunities/1300841" TargetMode="External"/><Relationship Id="rId1004" Type="http://schemas.openxmlformats.org/officeDocument/2006/relationships/hyperlink" Target="https://expa.aiesec.org/opportunities/1291623" TargetMode="External"/><Relationship Id="rId2335" Type="http://schemas.openxmlformats.org/officeDocument/2006/relationships/hyperlink" Target="https://expa.aiesec.org/opportunities/1295575" TargetMode="External"/><Relationship Id="rId3667" Type="http://schemas.openxmlformats.org/officeDocument/2006/relationships/hyperlink" Target="https://expa.aiesec.org/opportunities/1291881" TargetMode="External"/><Relationship Id="rId1005" Type="http://schemas.openxmlformats.org/officeDocument/2006/relationships/hyperlink" Target="https://expa.aiesec.org/opportunities/1283288" TargetMode="External"/><Relationship Id="rId2336" Type="http://schemas.openxmlformats.org/officeDocument/2006/relationships/hyperlink" Target="https://expa.aiesec.org/opportunities/1295575" TargetMode="External"/><Relationship Id="rId3666" Type="http://schemas.openxmlformats.org/officeDocument/2006/relationships/hyperlink" Target="https://expa.aiesec.org/opportunities/1291881" TargetMode="External"/><Relationship Id="rId1006" Type="http://schemas.openxmlformats.org/officeDocument/2006/relationships/hyperlink" Target="https://expa.aiesec.org/opportunities/1291989" TargetMode="External"/><Relationship Id="rId2337" Type="http://schemas.openxmlformats.org/officeDocument/2006/relationships/hyperlink" Target="https://expa.aiesec.org/opportunities/1259741" TargetMode="External"/><Relationship Id="rId3669" Type="http://schemas.openxmlformats.org/officeDocument/2006/relationships/hyperlink" Target="https://expa.aiesec.org/opportunities/1289536" TargetMode="External"/><Relationship Id="rId1007" Type="http://schemas.openxmlformats.org/officeDocument/2006/relationships/hyperlink" Target="https://expa.aiesec.org/opportunities/1291233" TargetMode="External"/><Relationship Id="rId2338" Type="http://schemas.openxmlformats.org/officeDocument/2006/relationships/hyperlink" Target="https://expa.aiesec.org/opportunities/1288280" TargetMode="External"/><Relationship Id="rId3668" Type="http://schemas.openxmlformats.org/officeDocument/2006/relationships/hyperlink" Target="https://expa.aiesec.org/opportunities/1296105" TargetMode="External"/><Relationship Id="rId1008" Type="http://schemas.openxmlformats.org/officeDocument/2006/relationships/hyperlink" Target="https://expa.aiesec.org/opportunities/1287083" TargetMode="External"/><Relationship Id="rId2339" Type="http://schemas.openxmlformats.org/officeDocument/2006/relationships/hyperlink" Target="https://expa.aiesec.org/opportunities/1278703" TargetMode="External"/><Relationship Id="rId1009" Type="http://schemas.openxmlformats.org/officeDocument/2006/relationships/hyperlink" Target="https://expa.aiesec.org/opportunities/1292115" TargetMode="External"/><Relationship Id="rId3661" Type="http://schemas.openxmlformats.org/officeDocument/2006/relationships/hyperlink" Target="https://expa.aiesec.org/opportunities/1298993" TargetMode="External"/><Relationship Id="rId2330" Type="http://schemas.openxmlformats.org/officeDocument/2006/relationships/hyperlink" Target="https://expa.aiesec.org/opportunities/1292709" TargetMode="External"/><Relationship Id="rId3660" Type="http://schemas.openxmlformats.org/officeDocument/2006/relationships/hyperlink" Target="https://expa.aiesec.org/opportunities/1299474" TargetMode="External"/><Relationship Id="rId1000" Type="http://schemas.openxmlformats.org/officeDocument/2006/relationships/hyperlink" Target="https://expa.aiesec.org/opportunities/1289597" TargetMode="External"/><Relationship Id="rId2331" Type="http://schemas.openxmlformats.org/officeDocument/2006/relationships/hyperlink" Target="https://expa.aiesec.org/opportunities/1287702" TargetMode="External"/><Relationship Id="rId3663" Type="http://schemas.openxmlformats.org/officeDocument/2006/relationships/hyperlink" Target="https://expa.aiesec.org/opportunities/1286034" TargetMode="External"/><Relationship Id="rId1001" Type="http://schemas.openxmlformats.org/officeDocument/2006/relationships/hyperlink" Target="https://expa.aiesec.org/opportunities/1290706" TargetMode="External"/><Relationship Id="rId2332" Type="http://schemas.openxmlformats.org/officeDocument/2006/relationships/hyperlink" Target="https://expa.aiesec.org/opportunities/1293504" TargetMode="External"/><Relationship Id="rId3662" Type="http://schemas.openxmlformats.org/officeDocument/2006/relationships/hyperlink" Target="https://expa.aiesec.org/opportunities/1292692" TargetMode="External"/><Relationship Id="rId1002" Type="http://schemas.openxmlformats.org/officeDocument/2006/relationships/hyperlink" Target="https://expa.aiesec.org/opportunities/1291623" TargetMode="External"/><Relationship Id="rId2333" Type="http://schemas.openxmlformats.org/officeDocument/2006/relationships/hyperlink" Target="https://expa.aiesec.org/opportunities/1295453" TargetMode="External"/><Relationship Id="rId3665" Type="http://schemas.openxmlformats.org/officeDocument/2006/relationships/hyperlink" Target="https://expa.aiesec.org/opportunities/1291881" TargetMode="External"/><Relationship Id="rId1003" Type="http://schemas.openxmlformats.org/officeDocument/2006/relationships/hyperlink" Target="https://expa.aiesec.org/opportunities/1290024" TargetMode="External"/><Relationship Id="rId2334" Type="http://schemas.openxmlformats.org/officeDocument/2006/relationships/hyperlink" Target="https://expa.aiesec.org/opportunities/1294061" TargetMode="External"/><Relationship Id="rId3664" Type="http://schemas.openxmlformats.org/officeDocument/2006/relationships/hyperlink" Target="https://expa.aiesec.org/opportunities/1291881" TargetMode="External"/><Relationship Id="rId1037" Type="http://schemas.openxmlformats.org/officeDocument/2006/relationships/hyperlink" Target="https://expa.aiesec.org/opportunities/1291817" TargetMode="External"/><Relationship Id="rId2368" Type="http://schemas.openxmlformats.org/officeDocument/2006/relationships/hyperlink" Target="https://expa.aiesec.org/opportunities/1295453" TargetMode="External"/><Relationship Id="rId1038" Type="http://schemas.openxmlformats.org/officeDocument/2006/relationships/hyperlink" Target="https://expa.aiesec.org/opportunities/1291622" TargetMode="External"/><Relationship Id="rId2369" Type="http://schemas.openxmlformats.org/officeDocument/2006/relationships/hyperlink" Target="https://expa.aiesec.org/opportunities/1292793" TargetMode="External"/><Relationship Id="rId3699" Type="http://schemas.openxmlformats.org/officeDocument/2006/relationships/hyperlink" Target="https://expa.aiesec.org/opportunities/1293152" TargetMode="External"/><Relationship Id="rId1039" Type="http://schemas.openxmlformats.org/officeDocument/2006/relationships/hyperlink" Target="https://expa.aiesec.org/opportunities/1286839" TargetMode="External"/><Relationship Id="rId206" Type="http://schemas.openxmlformats.org/officeDocument/2006/relationships/hyperlink" Target="https://expa.aiesec.org/opportunities/1283628" TargetMode="External"/><Relationship Id="rId205" Type="http://schemas.openxmlformats.org/officeDocument/2006/relationships/hyperlink" Target="https://expa.aiesec.org/opportunities/1286840" TargetMode="External"/><Relationship Id="rId204" Type="http://schemas.openxmlformats.org/officeDocument/2006/relationships/hyperlink" Target="https://expa.aiesec.org/opportunities/1281195" TargetMode="External"/><Relationship Id="rId203" Type="http://schemas.openxmlformats.org/officeDocument/2006/relationships/hyperlink" Target="https://expa.aiesec.org/opportunities/1286326" TargetMode="External"/><Relationship Id="rId209" Type="http://schemas.openxmlformats.org/officeDocument/2006/relationships/hyperlink" Target="https://expa.aiesec.org/opportunities/1287097" TargetMode="External"/><Relationship Id="rId208" Type="http://schemas.openxmlformats.org/officeDocument/2006/relationships/hyperlink" Target="https://expa.aiesec.org/opportunities/1288612" TargetMode="External"/><Relationship Id="rId3690" Type="http://schemas.openxmlformats.org/officeDocument/2006/relationships/hyperlink" Target="https://expa.aiesec.org/opportunities/1289686" TargetMode="External"/><Relationship Id="rId207" Type="http://schemas.openxmlformats.org/officeDocument/2006/relationships/hyperlink" Target="https://expa.aiesec.org/opportunities/1288612" TargetMode="External"/><Relationship Id="rId2360" Type="http://schemas.openxmlformats.org/officeDocument/2006/relationships/hyperlink" Target="https://expa.aiesec.org/opportunities/1295434" TargetMode="External"/><Relationship Id="rId3692" Type="http://schemas.openxmlformats.org/officeDocument/2006/relationships/hyperlink" Target="https://expa.aiesec.org/opportunities/1284670" TargetMode="External"/><Relationship Id="rId1030" Type="http://schemas.openxmlformats.org/officeDocument/2006/relationships/hyperlink" Target="https://expa.aiesec.org/opportunities/1286228" TargetMode="External"/><Relationship Id="rId2361" Type="http://schemas.openxmlformats.org/officeDocument/2006/relationships/hyperlink" Target="https://expa.aiesec.org/opportunities/1286369" TargetMode="External"/><Relationship Id="rId3691" Type="http://schemas.openxmlformats.org/officeDocument/2006/relationships/hyperlink" Target="https://expa.aiesec.org/opportunities/1300920" TargetMode="External"/><Relationship Id="rId1031" Type="http://schemas.openxmlformats.org/officeDocument/2006/relationships/hyperlink" Target="https://expa.aiesec.org/opportunities/1286585" TargetMode="External"/><Relationship Id="rId2362" Type="http://schemas.openxmlformats.org/officeDocument/2006/relationships/hyperlink" Target="https://expa.aiesec.org/opportunities/1295514" TargetMode="External"/><Relationship Id="rId3694" Type="http://schemas.openxmlformats.org/officeDocument/2006/relationships/hyperlink" Target="https://expa.aiesec.org/opportunities/1300092" TargetMode="External"/><Relationship Id="rId1032" Type="http://schemas.openxmlformats.org/officeDocument/2006/relationships/hyperlink" Target="https://expa.aiesec.org/opportunities/1290826" TargetMode="External"/><Relationship Id="rId2363" Type="http://schemas.openxmlformats.org/officeDocument/2006/relationships/hyperlink" Target="https://expa.aiesec.org/opportunities/1294061" TargetMode="External"/><Relationship Id="rId3693" Type="http://schemas.openxmlformats.org/officeDocument/2006/relationships/hyperlink" Target="https://expa.aiesec.org/opportunities/1300779" TargetMode="External"/><Relationship Id="rId202" Type="http://schemas.openxmlformats.org/officeDocument/2006/relationships/hyperlink" Target="https://expa.aiesec.org/opportunities/1286836" TargetMode="External"/><Relationship Id="rId1033" Type="http://schemas.openxmlformats.org/officeDocument/2006/relationships/hyperlink" Target="https://expa.aiesec.org/opportunities/1292149" TargetMode="External"/><Relationship Id="rId2364" Type="http://schemas.openxmlformats.org/officeDocument/2006/relationships/hyperlink" Target="https://expa.aiesec.org/opportunities/1292482" TargetMode="External"/><Relationship Id="rId3696" Type="http://schemas.openxmlformats.org/officeDocument/2006/relationships/hyperlink" Target="https://expa.aiesec.org/opportunities/1291395" TargetMode="External"/><Relationship Id="rId201" Type="http://schemas.openxmlformats.org/officeDocument/2006/relationships/hyperlink" Target="https://expa.aiesec.org/opportunities/1279247" TargetMode="External"/><Relationship Id="rId1034" Type="http://schemas.openxmlformats.org/officeDocument/2006/relationships/hyperlink" Target="https://expa.aiesec.org/opportunities/1286920" TargetMode="External"/><Relationship Id="rId2365" Type="http://schemas.openxmlformats.org/officeDocument/2006/relationships/hyperlink" Target="https://expa.aiesec.org/opportunities/1295408" TargetMode="External"/><Relationship Id="rId3695" Type="http://schemas.openxmlformats.org/officeDocument/2006/relationships/hyperlink" Target="https://expa.aiesec.org/opportunities/1288843" TargetMode="External"/><Relationship Id="rId200" Type="http://schemas.openxmlformats.org/officeDocument/2006/relationships/hyperlink" Target="https://expa.aiesec.org/opportunities/1288705" TargetMode="External"/><Relationship Id="rId1035" Type="http://schemas.openxmlformats.org/officeDocument/2006/relationships/hyperlink" Target="https://expa.aiesec.org/opportunities/1289378" TargetMode="External"/><Relationship Id="rId2366" Type="http://schemas.openxmlformats.org/officeDocument/2006/relationships/hyperlink" Target="https://expa.aiesec.org/opportunities/1285555" TargetMode="External"/><Relationship Id="rId3698" Type="http://schemas.openxmlformats.org/officeDocument/2006/relationships/hyperlink" Target="https://expa.aiesec.org/opportunities/1298438" TargetMode="External"/><Relationship Id="rId1036" Type="http://schemas.openxmlformats.org/officeDocument/2006/relationships/hyperlink" Target="https://expa.aiesec.org/opportunities/1279670" TargetMode="External"/><Relationship Id="rId2367" Type="http://schemas.openxmlformats.org/officeDocument/2006/relationships/hyperlink" Target="https://expa.aiesec.org/opportunities/1295457" TargetMode="External"/><Relationship Id="rId3697" Type="http://schemas.openxmlformats.org/officeDocument/2006/relationships/hyperlink" Target="https://expa.aiesec.org/opportunities/1289536" TargetMode="External"/><Relationship Id="rId1026" Type="http://schemas.openxmlformats.org/officeDocument/2006/relationships/hyperlink" Target="https://expa.aiesec.org/opportunities/1289597" TargetMode="External"/><Relationship Id="rId2357" Type="http://schemas.openxmlformats.org/officeDocument/2006/relationships/hyperlink" Target="https://expa.aiesec.org/opportunities/1294997" TargetMode="External"/><Relationship Id="rId3689" Type="http://schemas.openxmlformats.org/officeDocument/2006/relationships/hyperlink" Target="https://expa.aiesec.org/opportunities/1288609" TargetMode="External"/><Relationship Id="rId1027" Type="http://schemas.openxmlformats.org/officeDocument/2006/relationships/hyperlink" Target="https://expa.aiesec.org/opportunities/1291304" TargetMode="External"/><Relationship Id="rId2358" Type="http://schemas.openxmlformats.org/officeDocument/2006/relationships/hyperlink" Target="https://expa.aiesec.org/opportunities/1293407" TargetMode="External"/><Relationship Id="rId3688" Type="http://schemas.openxmlformats.org/officeDocument/2006/relationships/hyperlink" Target="https://expa.aiesec.org/opportunities/1288609" TargetMode="External"/><Relationship Id="rId1028" Type="http://schemas.openxmlformats.org/officeDocument/2006/relationships/hyperlink" Target="https://expa.aiesec.org/opportunities/1291608" TargetMode="External"/><Relationship Id="rId2359" Type="http://schemas.openxmlformats.org/officeDocument/2006/relationships/hyperlink" Target="https://expa.aiesec.org/opportunities/1291336" TargetMode="External"/><Relationship Id="rId1029" Type="http://schemas.openxmlformats.org/officeDocument/2006/relationships/hyperlink" Target="https://expa.aiesec.org/opportunities/1284976" TargetMode="External"/><Relationship Id="rId3681" Type="http://schemas.openxmlformats.org/officeDocument/2006/relationships/hyperlink" Target="https://expa.aiesec.org/opportunities/1286034" TargetMode="External"/><Relationship Id="rId2350" Type="http://schemas.openxmlformats.org/officeDocument/2006/relationships/hyperlink" Target="https://expa.aiesec.org/opportunities/1294636" TargetMode="External"/><Relationship Id="rId3680" Type="http://schemas.openxmlformats.org/officeDocument/2006/relationships/hyperlink" Target="https://expa.aiesec.org/opportunities/1299474" TargetMode="External"/><Relationship Id="rId1020" Type="http://schemas.openxmlformats.org/officeDocument/2006/relationships/hyperlink" Target="https://expa.aiesec.org/opportunities/1284976" TargetMode="External"/><Relationship Id="rId2351" Type="http://schemas.openxmlformats.org/officeDocument/2006/relationships/hyperlink" Target="https://expa.aiesec.org/opportunities/1294878" TargetMode="External"/><Relationship Id="rId3683" Type="http://schemas.openxmlformats.org/officeDocument/2006/relationships/hyperlink" Target="https://expa.aiesec.org/opportunities/1288371" TargetMode="External"/><Relationship Id="rId1021" Type="http://schemas.openxmlformats.org/officeDocument/2006/relationships/hyperlink" Target="https://expa.aiesec.org/opportunities/1289597" TargetMode="External"/><Relationship Id="rId2352" Type="http://schemas.openxmlformats.org/officeDocument/2006/relationships/hyperlink" Target="https://expa.aiesec.org/opportunities/1285555" TargetMode="External"/><Relationship Id="rId3682" Type="http://schemas.openxmlformats.org/officeDocument/2006/relationships/hyperlink" Target="https://expa.aiesec.org/opportunities/1291376" TargetMode="External"/><Relationship Id="rId1022" Type="http://schemas.openxmlformats.org/officeDocument/2006/relationships/hyperlink" Target="https://expa.aiesec.org/opportunities/1281195" TargetMode="External"/><Relationship Id="rId2353" Type="http://schemas.openxmlformats.org/officeDocument/2006/relationships/hyperlink" Target="https://expa.aiesec.org/opportunities/1293742" TargetMode="External"/><Relationship Id="rId3685" Type="http://schemas.openxmlformats.org/officeDocument/2006/relationships/hyperlink" Target="https://expa.aiesec.org/opportunities/1301307" TargetMode="External"/><Relationship Id="rId1023" Type="http://schemas.openxmlformats.org/officeDocument/2006/relationships/hyperlink" Target="https://expa.aiesec.org/opportunities/1290190" TargetMode="External"/><Relationship Id="rId2354" Type="http://schemas.openxmlformats.org/officeDocument/2006/relationships/hyperlink" Target="https://expa.aiesec.org/opportunities/1293407" TargetMode="External"/><Relationship Id="rId3684" Type="http://schemas.openxmlformats.org/officeDocument/2006/relationships/hyperlink" Target="https://expa.aiesec.org/opportunities/1296105" TargetMode="External"/><Relationship Id="rId1024" Type="http://schemas.openxmlformats.org/officeDocument/2006/relationships/hyperlink" Target="https://expa.aiesec.org/opportunities/1286228" TargetMode="External"/><Relationship Id="rId2355" Type="http://schemas.openxmlformats.org/officeDocument/2006/relationships/hyperlink" Target="https://expa.aiesec.org/opportunities/1295716" TargetMode="External"/><Relationship Id="rId3687" Type="http://schemas.openxmlformats.org/officeDocument/2006/relationships/hyperlink" Target="https://expa.aiesec.org/opportunities/1288609" TargetMode="External"/><Relationship Id="rId1025" Type="http://schemas.openxmlformats.org/officeDocument/2006/relationships/hyperlink" Target="https://expa.aiesec.org/opportunities/1291378" TargetMode="External"/><Relationship Id="rId2356" Type="http://schemas.openxmlformats.org/officeDocument/2006/relationships/hyperlink" Target="https://expa.aiesec.org/opportunities/1293861" TargetMode="External"/><Relationship Id="rId3686" Type="http://schemas.openxmlformats.org/officeDocument/2006/relationships/hyperlink" Target="https://expa.aiesec.org/opportunities/1299532" TargetMode="External"/><Relationship Id="rId4161" Type="http://schemas.openxmlformats.org/officeDocument/2006/relationships/hyperlink" Target="https://expa.aiesec.org/opportunities/1286920" TargetMode="External"/><Relationship Id="rId4160" Type="http://schemas.openxmlformats.org/officeDocument/2006/relationships/hyperlink" Target="https://expa.aiesec.org/opportunities/1281010" TargetMode="External"/><Relationship Id="rId4163" Type="http://schemas.openxmlformats.org/officeDocument/2006/relationships/hyperlink" Target="https://expa.aiesec.org/opportunities/1281010" TargetMode="External"/><Relationship Id="rId4162" Type="http://schemas.openxmlformats.org/officeDocument/2006/relationships/hyperlink" Target="https://expa.aiesec.org/opportunities/1289850" TargetMode="External"/><Relationship Id="rId4165" Type="http://schemas.openxmlformats.org/officeDocument/2006/relationships/hyperlink" Target="https://expa.aiesec.org/opportunities/1299666" TargetMode="External"/><Relationship Id="rId4164" Type="http://schemas.openxmlformats.org/officeDocument/2006/relationships/hyperlink" Target="https://expa.aiesec.org/opportunities/1300251" TargetMode="External"/><Relationship Id="rId4167" Type="http://schemas.openxmlformats.org/officeDocument/2006/relationships/hyperlink" Target="https://expa.aiesec.org/opportunities/1300103" TargetMode="External"/><Relationship Id="rId4166" Type="http://schemas.openxmlformats.org/officeDocument/2006/relationships/hyperlink" Target="https://expa.aiesec.org/opportunities/1299121" TargetMode="External"/><Relationship Id="rId4169" Type="http://schemas.openxmlformats.org/officeDocument/2006/relationships/hyperlink" Target="https://expa.aiesec.org/opportunities/1299596" TargetMode="External"/><Relationship Id="rId4168" Type="http://schemas.openxmlformats.org/officeDocument/2006/relationships/hyperlink" Target="https://expa.aiesec.org/opportunities/1300841" TargetMode="External"/><Relationship Id="rId4150" Type="http://schemas.openxmlformats.org/officeDocument/2006/relationships/hyperlink" Target="https://expa.aiesec.org/opportunities/1298284" TargetMode="External"/><Relationship Id="rId4152" Type="http://schemas.openxmlformats.org/officeDocument/2006/relationships/hyperlink" Target="https://expa.aiesec.org/opportunities/1296671" TargetMode="External"/><Relationship Id="rId4151" Type="http://schemas.openxmlformats.org/officeDocument/2006/relationships/hyperlink" Target="https://expa.aiesec.org/opportunities/1302171" TargetMode="External"/><Relationship Id="rId4154" Type="http://schemas.openxmlformats.org/officeDocument/2006/relationships/hyperlink" Target="https://expa.aiesec.org/opportunities/1295893" TargetMode="External"/><Relationship Id="rId4153" Type="http://schemas.openxmlformats.org/officeDocument/2006/relationships/hyperlink" Target="https://expa.aiesec.org/opportunities/1281345" TargetMode="External"/><Relationship Id="rId4156" Type="http://schemas.openxmlformats.org/officeDocument/2006/relationships/hyperlink" Target="https://expa.aiesec.org/opportunities/1286326" TargetMode="External"/><Relationship Id="rId4155" Type="http://schemas.openxmlformats.org/officeDocument/2006/relationships/hyperlink" Target="https://expa.aiesec.org/opportunities/1302206" TargetMode="External"/><Relationship Id="rId4158" Type="http://schemas.openxmlformats.org/officeDocument/2006/relationships/hyperlink" Target="https://expa.aiesec.org/opportunities/1299885" TargetMode="External"/><Relationship Id="rId4157" Type="http://schemas.openxmlformats.org/officeDocument/2006/relationships/hyperlink" Target="https://expa.aiesec.org/opportunities/1300056" TargetMode="External"/><Relationship Id="rId4159" Type="http://schemas.openxmlformats.org/officeDocument/2006/relationships/hyperlink" Target="https://expa.aiesec.org/opportunities/1288970" TargetMode="External"/><Relationship Id="rId1910" Type="http://schemas.openxmlformats.org/officeDocument/2006/relationships/hyperlink" Target="https://expa.aiesec.org/opportunities/1291996" TargetMode="External"/><Relationship Id="rId1911" Type="http://schemas.openxmlformats.org/officeDocument/2006/relationships/hyperlink" Target="https://expa.aiesec.org/opportunities/1294894" TargetMode="External"/><Relationship Id="rId1912" Type="http://schemas.openxmlformats.org/officeDocument/2006/relationships/hyperlink" Target="https://expa.aiesec.org/opportunities/1291997" TargetMode="External"/><Relationship Id="rId1913" Type="http://schemas.openxmlformats.org/officeDocument/2006/relationships/hyperlink" Target="https://expa.aiesec.org/opportunities/1289297" TargetMode="External"/><Relationship Id="rId1914" Type="http://schemas.openxmlformats.org/officeDocument/2006/relationships/hyperlink" Target="https://expa.aiesec.org/opportunities/1294811" TargetMode="External"/><Relationship Id="rId1915" Type="http://schemas.openxmlformats.org/officeDocument/2006/relationships/hyperlink" Target="https://expa.aiesec.org/opportunities/1292188" TargetMode="External"/><Relationship Id="rId1916" Type="http://schemas.openxmlformats.org/officeDocument/2006/relationships/hyperlink" Target="https://expa.aiesec.org/opportunities/1294453" TargetMode="External"/><Relationship Id="rId1917" Type="http://schemas.openxmlformats.org/officeDocument/2006/relationships/hyperlink" Target="https://expa.aiesec.org/opportunities/1284312" TargetMode="External"/><Relationship Id="rId1918" Type="http://schemas.openxmlformats.org/officeDocument/2006/relationships/hyperlink" Target="https://expa.aiesec.org/opportunities/1290043" TargetMode="External"/><Relationship Id="rId1919" Type="http://schemas.openxmlformats.org/officeDocument/2006/relationships/hyperlink" Target="https://expa.aiesec.org/opportunities/1293463" TargetMode="External"/><Relationship Id="rId4181" Type="http://schemas.openxmlformats.org/officeDocument/2006/relationships/hyperlink" Target="https://expa.aiesec.org/opportunities/1279126" TargetMode="External"/><Relationship Id="rId4180" Type="http://schemas.openxmlformats.org/officeDocument/2006/relationships/hyperlink" Target="https://expa.aiesec.org/opportunities/1291252" TargetMode="External"/><Relationship Id="rId4183" Type="http://schemas.openxmlformats.org/officeDocument/2006/relationships/hyperlink" Target="https://expa.aiesec.org/opportunities/1289255" TargetMode="External"/><Relationship Id="rId4182" Type="http://schemas.openxmlformats.org/officeDocument/2006/relationships/hyperlink" Target="https://expa.aiesec.org/opportunities/1285161" TargetMode="External"/><Relationship Id="rId4185" Type="http://schemas.openxmlformats.org/officeDocument/2006/relationships/hyperlink" Target="https://expa.aiesec.org/opportunities/1299856" TargetMode="External"/><Relationship Id="rId4184" Type="http://schemas.openxmlformats.org/officeDocument/2006/relationships/hyperlink" Target="https://expa.aiesec.org/opportunities/1286034" TargetMode="External"/><Relationship Id="rId4187" Type="http://schemas.openxmlformats.org/officeDocument/2006/relationships/hyperlink" Target="https://expa.aiesec.org/opportunities/1299756" TargetMode="External"/><Relationship Id="rId4186" Type="http://schemas.openxmlformats.org/officeDocument/2006/relationships/hyperlink" Target="https://expa.aiesec.org/opportunities/1301833" TargetMode="External"/><Relationship Id="rId4189" Type="http://schemas.openxmlformats.org/officeDocument/2006/relationships/hyperlink" Target="https://expa.aiesec.org/opportunities/1300162" TargetMode="External"/><Relationship Id="rId4188" Type="http://schemas.openxmlformats.org/officeDocument/2006/relationships/hyperlink" Target="https://expa.aiesec.org/opportunities/1290298" TargetMode="External"/><Relationship Id="rId1900" Type="http://schemas.openxmlformats.org/officeDocument/2006/relationships/hyperlink" Target="https://expa.aiesec.org/opportunities/1288609" TargetMode="External"/><Relationship Id="rId1901" Type="http://schemas.openxmlformats.org/officeDocument/2006/relationships/hyperlink" Target="https://expa.aiesec.org/opportunities/1294034" TargetMode="External"/><Relationship Id="rId1902" Type="http://schemas.openxmlformats.org/officeDocument/2006/relationships/hyperlink" Target="https://expa.aiesec.org/opportunities/1288411" TargetMode="External"/><Relationship Id="rId1903" Type="http://schemas.openxmlformats.org/officeDocument/2006/relationships/hyperlink" Target="https://expa.aiesec.org/opportunities/1285085" TargetMode="External"/><Relationship Id="rId1904" Type="http://schemas.openxmlformats.org/officeDocument/2006/relationships/hyperlink" Target="https://expa.aiesec.org/opportunities/1293717" TargetMode="External"/><Relationship Id="rId1905" Type="http://schemas.openxmlformats.org/officeDocument/2006/relationships/hyperlink" Target="https://expa.aiesec.org/opportunities/1287942" TargetMode="External"/><Relationship Id="rId1906" Type="http://schemas.openxmlformats.org/officeDocument/2006/relationships/hyperlink" Target="https://expa.aiesec.org/opportunities/1293694" TargetMode="External"/><Relationship Id="rId1907" Type="http://schemas.openxmlformats.org/officeDocument/2006/relationships/hyperlink" Target="https://expa.aiesec.org/opportunities/1294410" TargetMode="External"/><Relationship Id="rId1908" Type="http://schemas.openxmlformats.org/officeDocument/2006/relationships/hyperlink" Target="https://expa.aiesec.org/opportunities/1294103" TargetMode="External"/><Relationship Id="rId1909" Type="http://schemas.openxmlformats.org/officeDocument/2006/relationships/hyperlink" Target="https://expa.aiesec.org/opportunities/1294453" TargetMode="External"/><Relationship Id="rId4170" Type="http://schemas.openxmlformats.org/officeDocument/2006/relationships/hyperlink" Target="https://expa.aiesec.org/opportunities/1301243" TargetMode="External"/><Relationship Id="rId4172" Type="http://schemas.openxmlformats.org/officeDocument/2006/relationships/hyperlink" Target="https://expa.aiesec.org/opportunities/1289255" TargetMode="External"/><Relationship Id="rId4171" Type="http://schemas.openxmlformats.org/officeDocument/2006/relationships/hyperlink" Target="https://expa.aiesec.org/opportunities/1289255" TargetMode="External"/><Relationship Id="rId4174" Type="http://schemas.openxmlformats.org/officeDocument/2006/relationships/hyperlink" Target="https://expa.aiesec.org/opportunities/1288330" TargetMode="External"/><Relationship Id="rId4173" Type="http://schemas.openxmlformats.org/officeDocument/2006/relationships/hyperlink" Target="https://expa.aiesec.org/opportunities/1300841" TargetMode="External"/><Relationship Id="rId4176" Type="http://schemas.openxmlformats.org/officeDocument/2006/relationships/hyperlink" Target="https://expa.aiesec.org/opportunities/1299216" TargetMode="External"/><Relationship Id="rId4175" Type="http://schemas.openxmlformats.org/officeDocument/2006/relationships/hyperlink" Target="https://expa.aiesec.org/opportunities/1298817" TargetMode="External"/><Relationship Id="rId4178" Type="http://schemas.openxmlformats.org/officeDocument/2006/relationships/hyperlink" Target="https://expa.aiesec.org/opportunities/1265080" TargetMode="External"/><Relationship Id="rId4177" Type="http://schemas.openxmlformats.org/officeDocument/2006/relationships/hyperlink" Target="https://expa.aiesec.org/opportunities/1287488" TargetMode="External"/><Relationship Id="rId4179" Type="http://schemas.openxmlformats.org/officeDocument/2006/relationships/hyperlink" Target="https://expa.aiesec.org/opportunities/1279126" TargetMode="External"/><Relationship Id="rId4129" Type="http://schemas.openxmlformats.org/officeDocument/2006/relationships/hyperlink" Target="https://expa.aiesec.org/opportunities/1281010" TargetMode="External"/><Relationship Id="rId4128" Type="http://schemas.openxmlformats.org/officeDocument/2006/relationships/hyperlink" Target="https://expa.aiesec.org/opportunities/1294622" TargetMode="External"/><Relationship Id="rId1090" Type="http://schemas.openxmlformats.org/officeDocument/2006/relationships/hyperlink" Target="https://expa.aiesec.org/opportunities/1284976" TargetMode="External"/><Relationship Id="rId1091" Type="http://schemas.openxmlformats.org/officeDocument/2006/relationships/hyperlink" Target="https://expa.aiesec.org/opportunities/1289255" TargetMode="External"/><Relationship Id="rId1092" Type="http://schemas.openxmlformats.org/officeDocument/2006/relationships/hyperlink" Target="https://expa.aiesec.org/opportunities/1286228" TargetMode="External"/><Relationship Id="rId1093" Type="http://schemas.openxmlformats.org/officeDocument/2006/relationships/hyperlink" Target="https://expa.aiesec.org/opportunities/1292343" TargetMode="External"/><Relationship Id="rId1094" Type="http://schemas.openxmlformats.org/officeDocument/2006/relationships/hyperlink" Target="https://expa.aiesec.org/opportunities/1291304" TargetMode="External"/><Relationship Id="rId1095" Type="http://schemas.openxmlformats.org/officeDocument/2006/relationships/hyperlink" Target="https://expa.aiesec.org/opportunities/1291551" TargetMode="External"/><Relationship Id="rId4121" Type="http://schemas.openxmlformats.org/officeDocument/2006/relationships/hyperlink" Target="https://expa.aiesec.org/opportunities/1298284" TargetMode="External"/><Relationship Id="rId1096" Type="http://schemas.openxmlformats.org/officeDocument/2006/relationships/hyperlink" Target="https://expa.aiesec.org/opportunities/1286839" TargetMode="External"/><Relationship Id="rId4120" Type="http://schemas.openxmlformats.org/officeDocument/2006/relationships/hyperlink" Target="https://expa.aiesec.org/opportunities/1296670" TargetMode="External"/><Relationship Id="rId1097" Type="http://schemas.openxmlformats.org/officeDocument/2006/relationships/hyperlink" Target="https://expa.aiesec.org/opportunities/1292118" TargetMode="External"/><Relationship Id="rId4123" Type="http://schemas.openxmlformats.org/officeDocument/2006/relationships/hyperlink" Target="https://expa.aiesec.org/opportunities/1298284" TargetMode="External"/><Relationship Id="rId1098" Type="http://schemas.openxmlformats.org/officeDocument/2006/relationships/hyperlink" Target="https://expa.aiesec.org/opportunities/1291663" TargetMode="External"/><Relationship Id="rId4122" Type="http://schemas.openxmlformats.org/officeDocument/2006/relationships/hyperlink" Target="https://expa.aiesec.org/opportunities/1279126" TargetMode="External"/><Relationship Id="rId1099" Type="http://schemas.openxmlformats.org/officeDocument/2006/relationships/hyperlink" Target="https://expa.aiesec.org/opportunities/1291606" TargetMode="External"/><Relationship Id="rId4125" Type="http://schemas.openxmlformats.org/officeDocument/2006/relationships/hyperlink" Target="https://expa.aiesec.org/opportunities/1302266" TargetMode="External"/><Relationship Id="rId4124" Type="http://schemas.openxmlformats.org/officeDocument/2006/relationships/hyperlink" Target="https://expa.aiesec.org/opportunities/1287628" TargetMode="External"/><Relationship Id="rId4127" Type="http://schemas.openxmlformats.org/officeDocument/2006/relationships/hyperlink" Target="https://expa.aiesec.org/opportunities/1287628" TargetMode="External"/><Relationship Id="rId4126" Type="http://schemas.openxmlformats.org/officeDocument/2006/relationships/hyperlink" Target="https://expa.aiesec.org/opportunities/1289536" TargetMode="External"/><Relationship Id="rId4118" Type="http://schemas.openxmlformats.org/officeDocument/2006/relationships/hyperlink" Target="https://expa.aiesec.org/opportunities/1279126" TargetMode="External"/><Relationship Id="rId4117" Type="http://schemas.openxmlformats.org/officeDocument/2006/relationships/hyperlink" Target="https://expa.aiesec.org/opportunities/1279126" TargetMode="External"/><Relationship Id="rId4119" Type="http://schemas.openxmlformats.org/officeDocument/2006/relationships/hyperlink" Target="https://expa.aiesec.org/opportunities/1289536" TargetMode="External"/><Relationship Id="rId1080" Type="http://schemas.openxmlformats.org/officeDocument/2006/relationships/hyperlink" Target="https://expa.aiesec.org/opportunities/1259891" TargetMode="External"/><Relationship Id="rId1081" Type="http://schemas.openxmlformats.org/officeDocument/2006/relationships/hyperlink" Target="https://expa.aiesec.org/opportunities/1281236" TargetMode="External"/><Relationship Id="rId1082" Type="http://schemas.openxmlformats.org/officeDocument/2006/relationships/hyperlink" Target="https://expa.aiesec.org/opportunities/1286228" TargetMode="External"/><Relationship Id="rId1083" Type="http://schemas.openxmlformats.org/officeDocument/2006/relationships/hyperlink" Target="https://expa.aiesec.org/opportunities/1284501" TargetMode="External"/><Relationship Id="rId1084" Type="http://schemas.openxmlformats.org/officeDocument/2006/relationships/hyperlink" Target="https://expa.aiesec.org/opportunities/1289596" TargetMode="External"/><Relationship Id="rId4110" Type="http://schemas.openxmlformats.org/officeDocument/2006/relationships/hyperlink" Target="https://expa.aiesec.org/opportunities/1301801" TargetMode="External"/><Relationship Id="rId1085" Type="http://schemas.openxmlformats.org/officeDocument/2006/relationships/hyperlink" Target="https://expa.aiesec.org/opportunities/1291340" TargetMode="External"/><Relationship Id="rId1086" Type="http://schemas.openxmlformats.org/officeDocument/2006/relationships/hyperlink" Target="https://expa.aiesec.org/opportunities/1289528" TargetMode="External"/><Relationship Id="rId4112" Type="http://schemas.openxmlformats.org/officeDocument/2006/relationships/hyperlink" Target="https://expa.aiesec.org/opportunities/1286122" TargetMode="External"/><Relationship Id="rId1087" Type="http://schemas.openxmlformats.org/officeDocument/2006/relationships/hyperlink" Target="https://expa.aiesec.org/opportunities/1292058" TargetMode="External"/><Relationship Id="rId4111" Type="http://schemas.openxmlformats.org/officeDocument/2006/relationships/hyperlink" Target="https://expa.aiesec.org/opportunities/1298413" TargetMode="External"/><Relationship Id="rId1088" Type="http://schemas.openxmlformats.org/officeDocument/2006/relationships/hyperlink" Target="https://expa.aiesec.org/opportunities/1291254" TargetMode="External"/><Relationship Id="rId4114" Type="http://schemas.openxmlformats.org/officeDocument/2006/relationships/hyperlink" Target="https://expa.aiesec.org/opportunities/1287628" TargetMode="External"/><Relationship Id="rId1089" Type="http://schemas.openxmlformats.org/officeDocument/2006/relationships/hyperlink" Target="https://expa.aiesec.org/opportunities/1291167" TargetMode="External"/><Relationship Id="rId4113" Type="http://schemas.openxmlformats.org/officeDocument/2006/relationships/hyperlink" Target="https://expa.aiesec.org/opportunities/1300326" TargetMode="External"/><Relationship Id="rId4116" Type="http://schemas.openxmlformats.org/officeDocument/2006/relationships/hyperlink" Target="https://expa.aiesec.org/opportunities/1287628" TargetMode="External"/><Relationship Id="rId4115" Type="http://schemas.openxmlformats.org/officeDocument/2006/relationships/hyperlink" Target="https://expa.aiesec.org/opportunities/1279126" TargetMode="External"/><Relationship Id="rId4141" Type="http://schemas.openxmlformats.org/officeDocument/2006/relationships/hyperlink" Target="https://expa.aiesec.org/opportunities/1302171" TargetMode="External"/><Relationship Id="rId4140" Type="http://schemas.openxmlformats.org/officeDocument/2006/relationships/hyperlink" Target="https://expa.aiesec.org/opportunities/1287628" TargetMode="External"/><Relationship Id="rId4143" Type="http://schemas.openxmlformats.org/officeDocument/2006/relationships/hyperlink" Target="https://expa.aiesec.org/opportunities/1289536" TargetMode="External"/><Relationship Id="rId4142" Type="http://schemas.openxmlformats.org/officeDocument/2006/relationships/hyperlink" Target="https://expa.aiesec.org/opportunities/1289536" TargetMode="External"/><Relationship Id="rId4145" Type="http://schemas.openxmlformats.org/officeDocument/2006/relationships/hyperlink" Target="https://expa.aiesec.org/opportunities/1302171" TargetMode="External"/><Relationship Id="rId4144" Type="http://schemas.openxmlformats.org/officeDocument/2006/relationships/hyperlink" Target="https://expa.aiesec.org/opportunities/1300837" TargetMode="External"/><Relationship Id="rId4147" Type="http://schemas.openxmlformats.org/officeDocument/2006/relationships/hyperlink" Target="https://expa.aiesec.org/opportunities/1301556" TargetMode="External"/><Relationship Id="rId4146" Type="http://schemas.openxmlformats.org/officeDocument/2006/relationships/hyperlink" Target="https://expa.aiesec.org/opportunities/1290876" TargetMode="External"/><Relationship Id="rId4149" Type="http://schemas.openxmlformats.org/officeDocument/2006/relationships/hyperlink" Target="https://expa.aiesec.org/opportunities/1296670" TargetMode="External"/><Relationship Id="rId4148" Type="http://schemas.openxmlformats.org/officeDocument/2006/relationships/hyperlink" Target="https://expa.aiesec.org/opportunities/1296670" TargetMode="External"/><Relationship Id="rId4139" Type="http://schemas.openxmlformats.org/officeDocument/2006/relationships/hyperlink" Target="https://expa.aiesec.org/opportunities/1300628" TargetMode="External"/><Relationship Id="rId4130" Type="http://schemas.openxmlformats.org/officeDocument/2006/relationships/hyperlink" Target="https://expa.aiesec.org/opportunities/1274161" TargetMode="External"/><Relationship Id="rId4132" Type="http://schemas.openxmlformats.org/officeDocument/2006/relationships/hyperlink" Target="https://expa.aiesec.org/opportunities/1291252" TargetMode="External"/><Relationship Id="rId4131" Type="http://schemas.openxmlformats.org/officeDocument/2006/relationships/hyperlink" Target="https://expa.aiesec.org/opportunities/1291252" TargetMode="External"/><Relationship Id="rId4134" Type="http://schemas.openxmlformats.org/officeDocument/2006/relationships/hyperlink" Target="https://expa.aiesec.org/opportunities/1297154" TargetMode="External"/><Relationship Id="rId4133" Type="http://schemas.openxmlformats.org/officeDocument/2006/relationships/hyperlink" Target="https://expa.aiesec.org/opportunities/1301801" TargetMode="External"/><Relationship Id="rId4136" Type="http://schemas.openxmlformats.org/officeDocument/2006/relationships/hyperlink" Target="https://expa.aiesec.org/opportunities/1301902" TargetMode="External"/><Relationship Id="rId4135" Type="http://schemas.openxmlformats.org/officeDocument/2006/relationships/hyperlink" Target="https://expa.aiesec.org/opportunities/1291252" TargetMode="External"/><Relationship Id="rId4138" Type="http://schemas.openxmlformats.org/officeDocument/2006/relationships/hyperlink" Target="https://expa.aiesec.org/opportunities/1301801" TargetMode="External"/><Relationship Id="rId4137" Type="http://schemas.openxmlformats.org/officeDocument/2006/relationships/hyperlink" Target="https://expa.aiesec.org/opportunities/1301902" TargetMode="External"/><Relationship Id="rId1972" Type="http://schemas.openxmlformats.org/officeDocument/2006/relationships/hyperlink" Target="https://expa.aiesec.org/opportunities/1291144" TargetMode="External"/><Relationship Id="rId1973" Type="http://schemas.openxmlformats.org/officeDocument/2006/relationships/hyperlink" Target="https://expa.aiesec.org/opportunities/1278774" TargetMode="External"/><Relationship Id="rId1974" Type="http://schemas.openxmlformats.org/officeDocument/2006/relationships/hyperlink" Target="https://expa.aiesec.org/opportunities/1286505" TargetMode="External"/><Relationship Id="rId1975" Type="http://schemas.openxmlformats.org/officeDocument/2006/relationships/hyperlink" Target="https://expa.aiesec.org/opportunities/1294632" TargetMode="External"/><Relationship Id="rId1976" Type="http://schemas.openxmlformats.org/officeDocument/2006/relationships/hyperlink" Target="https://expa.aiesec.org/opportunities/1294622" TargetMode="External"/><Relationship Id="rId1977" Type="http://schemas.openxmlformats.org/officeDocument/2006/relationships/hyperlink" Target="https://expa.aiesec.org/opportunities/1293863" TargetMode="External"/><Relationship Id="rId1978" Type="http://schemas.openxmlformats.org/officeDocument/2006/relationships/hyperlink" Target="https://expa.aiesec.org/opportunities/1293283" TargetMode="External"/><Relationship Id="rId1979" Type="http://schemas.openxmlformats.org/officeDocument/2006/relationships/hyperlink" Target="https://expa.aiesec.org/opportunities/1284670" TargetMode="External"/><Relationship Id="rId1970" Type="http://schemas.openxmlformats.org/officeDocument/2006/relationships/hyperlink" Target="https://expa.aiesec.org/opportunities/1294066" TargetMode="External"/><Relationship Id="rId1971" Type="http://schemas.openxmlformats.org/officeDocument/2006/relationships/hyperlink" Target="https://expa.aiesec.org/opportunities/1288245" TargetMode="External"/><Relationship Id="rId1961" Type="http://schemas.openxmlformats.org/officeDocument/2006/relationships/hyperlink" Target="https://expa.aiesec.org/opportunities/1288542" TargetMode="External"/><Relationship Id="rId1962" Type="http://schemas.openxmlformats.org/officeDocument/2006/relationships/hyperlink" Target="https://expa.aiesec.org/opportunities/1294387" TargetMode="External"/><Relationship Id="rId1963" Type="http://schemas.openxmlformats.org/officeDocument/2006/relationships/hyperlink" Target="https://expa.aiesec.org/opportunities/1293005" TargetMode="External"/><Relationship Id="rId1964" Type="http://schemas.openxmlformats.org/officeDocument/2006/relationships/hyperlink" Target="https://expa.aiesec.org/opportunities/1293699" TargetMode="External"/><Relationship Id="rId1965" Type="http://schemas.openxmlformats.org/officeDocument/2006/relationships/hyperlink" Target="https://expa.aiesec.org/opportunities/1293245" TargetMode="External"/><Relationship Id="rId1966" Type="http://schemas.openxmlformats.org/officeDocument/2006/relationships/hyperlink" Target="https://expa.aiesec.org/opportunities/1292531" TargetMode="External"/><Relationship Id="rId1967" Type="http://schemas.openxmlformats.org/officeDocument/2006/relationships/hyperlink" Target="https://expa.aiesec.org/opportunities/1293212" TargetMode="External"/><Relationship Id="rId1968" Type="http://schemas.openxmlformats.org/officeDocument/2006/relationships/hyperlink" Target="https://expa.aiesec.org/opportunities/1294372" TargetMode="External"/><Relationship Id="rId1969" Type="http://schemas.openxmlformats.org/officeDocument/2006/relationships/hyperlink" Target="https://expa.aiesec.org/opportunities/1284976" TargetMode="External"/><Relationship Id="rId1960" Type="http://schemas.openxmlformats.org/officeDocument/2006/relationships/hyperlink" Target="https://expa.aiesec.org/opportunities/1289596" TargetMode="External"/><Relationship Id="rId1994" Type="http://schemas.openxmlformats.org/officeDocument/2006/relationships/hyperlink" Target="https://expa.aiesec.org/opportunities/1286228" TargetMode="External"/><Relationship Id="rId1995" Type="http://schemas.openxmlformats.org/officeDocument/2006/relationships/hyperlink" Target="https://expa.aiesec.org/opportunities/1288461" TargetMode="External"/><Relationship Id="rId1996" Type="http://schemas.openxmlformats.org/officeDocument/2006/relationships/hyperlink" Target="https://expa.aiesec.org/opportunities/1294332" TargetMode="External"/><Relationship Id="rId1997" Type="http://schemas.openxmlformats.org/officeDocument/2006/relationships/hyperlink" Target="https://expa.aiesec.org/opportunities/1294011" TargetMode="External"/><Relationship Id="rId1998" Type="http://schemas.openxmlformats.org/officeDocument/2006/relationships/hyperlink" Target="https://expa.aiesec.org/opportunities/1289596" TargetMode="External"/><Relationship Id="rId1999" Type="http://schemas.openxmlformats.org/officeDocument/2006/relationships/hyperlink" Target="https://expa.aiesec.org/opportunities/1289596" TargetMode="External"/><Relationship Id="rId1990" Type="http://schemas.openxmlformats.org/officeDocument/2006/relationships/hyperlink" Target="https://expa.aiesec.org/opportunities/1294584" TargetMode="External"/><Relationship Id="rId1991" Type="http://schemas.openxmlformats.org/officeDocument/2006/relationships/hyperlink" Target="https://expa.aiesec.org/opportunities/1294894" TargetMode="External"/><Relationship Id="rId1992" Type="http://schemas.openxmlformats.org/officeDocument/2006/relationships/hyperlink" Target="https://expa.aiesec.org/opportunities/1287488" TargetMode="External"/><Relationship Id="rId1993" Type="http://schemas.openxmlformats.org/officeDocument/2006/relationships/hyperlink" Target="https://expa.aiesec.org/opportunities/1289261" TargetMode="External"/><Relationship Id="rId1983" Type="http://schemas.openxmlformats.org/officeDocument/2006/relationships/hyperlink" Target="https://expa.aiesec.org/opportunities/1292531" TargetMode="External"/><Relationship Id="rId1984" Type="http://schemas.openxmlformats.org/officeDocument/2006/relationships/hyperlink" Target="https://expa.aiesec.org/opportunities/1287560" TargetMode="External"/><Relationship Id="rId1985" Type="http://schemas.openxmlformats.org/officeDocument/2006/relationships/hyperlink" Target="https://expa.aiesec.org/opportunities/1288414" TargetMode="External"/><Relationship Id="rId1986" Type="http://schemas.openxmlformats.org/officeDocument/2006/relationships/hyperlink" Target="https://expa.aiesec.org/opportunities/1288609" TargetMode="External"/><Relationship Id="rId1987" Type="http://schemas.openxmlformats.org/officeDocument/2006/relationships/hyperlink" Target="https://expa.aiesec.org/opportunities/1288609" TargetMode="External"/><Relationship Id="rId1988" Type="http://schemas.openxmlformats.org/officeDocument/2006/relationships/hyperlink" Target="https://expa.aiesec.org/opportunities/1279327" TargetMode="External"/><Relationship Id="rId1989" Type="http://schemas.openxmlformats.org/officeDocument/2006/relationships/hyperlink" Target="https://expa.aiesec.org/opportunities/1294587" TargetMode="External"/><Relationship Id="rId1980" Type="http://schemas.openxmlformats.org/officeDocument/2006/relationships/hyperlink" Target="https://expa.aiesec.org/opportunities/1294332" TargetMode="External"/><Relationship Id="rId1981" Type="http://schemas.openxmlformats.org/officeDocument/2006/relationships/hyperlink" Target="https://expa.aiesec.org/opportunities/1293315" TargetMode="External"/><Relationship Id="rId1982" Type="http://schemas.openxmlformats.org/officeDocument/2006/relationships/hyperlink" Target="https://expa.aiesec.org/opportunities/1287560" TargetMode="External"/><Relationship Id="rId1930" Type="http://schemas.openxmlformats.org/officeDocument/2006/relationships/hyperlink" Target="https://expa.aiesec.org/opportunities/1294851" TargetMode="External"/><Relationship Id="rId1931" Type="http://schemas.openxmlformats.org/officeDocument/2006/relationships/hyperlink" Target="https://expa.aiesec.org/opportunities/1294429" TargetMode="External"/><Relationship Id="rId1932" Type="http://schemas.openxmlformats.org/officeDocument/2006/relationships/hyperlink" Target="https://expa.aiesec.org/opportunities/1294429" TargetMode="External"/><Relationship Id="rId1933" Type="http://schemas.openxmlformats.org/officeDocument/2006/relationships/hyperlink" Target="https://expa.aiesec.org/opportunities/1290616" TargetMode="External"/><Relationship Id="rId1934" Type="http://schemas.openxmlformats.org/officeDocument/2006/relationships/hyperlink" Target="https://expa.aiesec.org/opportunities/1293200" TargetMode="External"/><Relationship Id="rId1935" Type="http://schemas.openxmlformats.org/officeDocument/2006/relationships/hyperlink" Target="https://expa.aiesec.org/opportunities/1293954" TargetMode="External"/><Relationship Id="rId1936" Type="http://schemas.openxmlformats.org/officeDocument/2006/relationships/hyperlink" Target="https://expa.aiesec.org/opportunities/1294025" TargetMode="External"/><Relationship Id="rId1937" Type="http://schemas.openxmlformats.org/officeDocument/2006/relationships/hyperlink" Target="https://expa.aiesec.org/opportunities/1287488" TargetMode="External"/><Relationship Id="rId1938" Type="http://schemas.openxmlformats.org/officeDocument/2006/relationships/hyperlink" Target="https://expa.aiesec.org/opportunities/1293541" TargetMode="External"/><Relationship Id="rId1939" Type="http://schemas.openxmlformats.org/officeDocument/2006/relationships/hyperlink" Target="https://expa.aiesec.org/opportunities/1293999" TargetMode="External"/><Relationship Id="rId1920" Type="http://schemas.openxmlformats.org/officeDocument/2006/relationships/hyperlink" Target="https://expa.aiesec.org/opportunities/1293463" TargetMode="External"/><Relationship Id="rId1921" Type="http://schemas.openxmlformats.org/officeDocument/2006/relationships/hyperlink" Target="https://expa.aiesec.org/opportunities/1294310" TargetMode="External"/><Relationship Id="rId1922" Type="http://schemas.openxmlformats.org/officeDocument/2006/relationships/hyperlink" Target="https://expa.aiesec.org/opportunities/1287987" TargetMode="External"/><Relationship Id="rId1923" Type="http://schemas.openxmlformats.org/officeDocument/2006/relationships/hyperlink" Target="https://expa.aiesec.org/opportunities/1294923" TargetMode="External"/><Relationship Id="rId1924" Type="http://schemas.openxmlformats.org/officeDocument/2006/relationships/hyperlink" Target="https://expa.aiesec.org/opportunities/1294651" TargetMode="External"/><Relationship Id="rId1925" Type="http://schemas.openxmlformats.org/officeDocument/2006/relationships/hyperlink" Target="https://expa.aiesec.org/opportunities/1292298" TargetMode="External"/><Relationship Id="rId1926" Type="http://schemas.openxmlformats.org/officeDocument/2006/relationships/hyperlink" Target="https://expa.aiesec.org/opportunities/1294068" TargetMode="External"/><Relationship Id="rId1927" Type="http://schemas.openxmlformats.org/officeDocument/2006/relationships/hyperlink" Target="https://expa.aiesec.org/opportunities/1294102" TargetMode="External"/><Relationship Id="rId1928" Type="http://schemas.openxmlformats.org/officeDocument/2006/relationships/hyperlink" Target="https://expa.aiesec.org/opportunities/1293026" TargetMode="External"/><Relationship Id="rId1929" Type="http://schemas.openxmlformats.org/officeDocument/2006/relationships/hyperlink" Target="https://expa.aiesec.org/opportunities/1287987" TargetMode="External"/><Relationship Id="rId4190" Type="http://schemas.openxmlformats.org/officeDocument/2006/relationships/hyperlink" Target="https://expa.aiesec.org/opportunities/1299756" TargetMode="External"/><Relationship Id="rId4192" Type="http://schemas.openxmlformats.org/officeDocument/2006/relationships/hyperlink" Target="https://expa.aiesec.org/opportunities/1302558" TargetMode="External"/><Relationship Id="rId4191" Type="http://schemas.openxmlformats.org/officeDocument/2006/relationships/hyperlink" Target="https://expa.aiesec.org/opportunities/1302074" TargetMode="External"/><Relationship Id="rId4194" Type="http://schemas.openxmlformats.org/officeDocument/2006/relationships/hyperlink" Target="https://expa.aiesec.org/opportunities/1286236" TargetMode="External"/><Relationship Id="rId4193" Type="http://schemas.openxmlformats.org/officeDocument/2006/relationships/hyperlink" Target="https://expa.aiesec.org/opportunities/1287942" TargetMode="External"/><Relationship Id="rId4196" Type="http://schemas.openxmlformats.org/officeDocument/2006/relationships/hyperlink" Target="https://expa.aiesec.org/opportunities/1289255" TargetMode="External"/><Relationship Id="rId4195" Type="http://schemas.openxmlformats.org/officeDocument/2006/relationships/hyperlink" Target="https://expa.aiesec.org/opportunities/1289297" TargetMode="External"/><Relationship Id="rId4198" Type="http://schemas.openxmlformats.org/officeDocument/2006/relationships/hyperlink" Target="https://expa.aiesec.org/opportunities/1301774" TargetMode="External"/><Relationship Id="rId4197" Type="http://schemas.openxmlformats.org/officeDocument/2006/relationships/hyperlink" Target="https://expa.aiesec.org/opportunities/1289255" TargetMode="External"/><Relationship Id="rId4199" Type="http://schemas.openxmlformats.org/officeDocument/2006/relationships/hyperlink" Target="https://expa.aiesec.org/opportunities/1302165" TargetMode="External"/><Relationship Id="rId1950" Type="http://schemas.openxmlformats.org/officeDocument/2006/relationships/hyperlink" Target="https://expa.aiesec.org/opportunities/1286929" TargetMode="External"/><Relationship Id="rId1951" Type="http://schemas.openxmlformats.org/officeDocument/2006/relationships/hyperlink" Target="https://expa.aiesec.org/opportunities/1294488" TargetMode="External"/><Relationship Id="rId1952" Type="http://schemas.openxmlformats.org/officeDocument/2006/relationships/hyperlink" Target="https://expa.aiesec.org/opportunities/1294876" TargetMode="External"/><Relationship Id="rId1953" Type="http://schemas.openxmlformats.org/officeDocument/2006/relationships/hyperlink" Target="https://expa.aiesec.org/opportunities/1294894" TargetMode="External"/><Relationship Id="rId1954" Type="http://schemas.openxmlformats.org/officeDocument/2006/relationships/hyperlink" Target="https://expa.aiesec.org/opportunities/1294209" TargetMode="External"/><Relationship Id="rId1955" Type="http://schemas.openxmlformats.org/officeDocument/2006/relationships/hyperlink" Target="https://expa.aiesec.org/opportunities/1294584" TargetMode="External"/><Relationship Id="rId1956" Type="http://schemas.openxmlformats.org/officeDocument/2006/relationships/hyperlink" Target="https://expa.aiesec.org/opportunities/1294894" TargetMode="External"/><Relationship Id="rId1957" Type="http://schemas.openxmlformats.org/officeDocument/2006/relationships/hyperlink" Target="https://expa.aiesec.org/opportunities/1293918" TargetMode="External"/><Relationship Id="rId1958" Type="http://schemas.openxmlformats.org/officeDocument/2006/relationships/hyperlink" Target="https://expa.aiesec.org/opportunities/1294206" TargetMode="External"/><Relationship Id="rId1959" Type="http://schemas.openxmlformats.org/officeDocument/2006/relationships/hyperlink" Target="https://expa.aiesec.org/opportunities/1294734" TargetMode="External"/><Relationship Id="rId1940" Type="http://schemas.openxmlformats.org/officeDocument/2006/relationships/hyperlink" Target="https://expa.aiesec.org/opportunities/1293695" TargetMode="External"/><Relationship Id="rId1941" Type="http://schemas.openxmlformats.org/officeDocument/2006/relationships/hyperlink" Target="https://expa.aiesec.org/opportunities/1293406" TargetMode="External"/><Relationship Id="rId1942" Type="http://schemas.openxmlformats.org/officeDocument/2006/relationships/hyperlink" Target="https://expa.aiesec.org/opportunities/1294425" TargetMode="External"/><Relationship Id="rId1943" Type="http://schemas.openxmlformats.org/officeDocument/2006/relationships/hyperlink" Target="https://expa.aiesec.org/opportunities/1288129" TargetMode="External"/><Relationship Id="rId1944" Type="http://schemas.openxmlformats.org/officeDocument/2006/relationships/hyperlink" Target="https://expa.aiesec.org/opportunities/1293054" TargetMode="External"/><Relationship Id="rId1945" Type="http://schemas.openxmlformats.org/officeDocument/2006/relationships/hyperlink" Target="https://expa.aiesec.org/opportunities/1294508" TargetMode="External"/><Relationship Id="rId1946" Type="http://schemas.openxmlformats.org/officeDocument/2006/relationships/hyperlink" Target="https://expa.aiesec.org/opportunities/1294412" TargetMode="External"/><Relationship Id="rId1947" Type="http://schemas.openxmlformats.org/officeDocument/2006/relationships/hyperlink" Target="https://expa.aiesec.org/opportunities/1294848" TargetMode="External"/><Relationship Id="rId1948" Type="http://schemas.openxmlformats.org/officeDocument/2006/relationships/hyperlink" Target="https://expa.aiesec.org/opportunities/1294848" TargetMode="External"/><Relationship Id="rId1949" Type="http://schemas.openxmlformats.org/officeDocument/2006/relationships/hyperlink" Target="https://expa.aiesec.org/opportunities/1289951" TargetMode="External"/><Relationship Id="rId2423" Type="http://schemas.openxmlformats.org/officeDocument/2006/relationships/hyperlink" Target="https://expa.aiesec.org/opportunities/1287702" TargetMode="External"/><Relationship Id="rId3755" Type="http://schemas.openxmlformats.org/officeDocument/2006/relationships/hyperlink" Target="https://expa.aiesec.org/opportunities/1287488" TargetMode="External"/><Relationship Id="rId2424" Type="http://schemas.openxmlformats.org/officeDocument/2006/relationships/hyperlink" Target="https://expa.aiesec.org/opportunities/1289228" TargetMode="External"/><Relationship Id="rId3754" Type="http://schemas.openxmlformats.org/officeDocument/2006/relationships/hyperlink" Target="https://expa.aiesec.org/opportunities/1299661" TargetMode="External"/><Relationship Id="rId2425" Type="http://schemas.openxmlformats.org/officeDocument/2006/relationships/hyperlink" Target="https://expa.aiesec.org/opportunities/1294551" TargetMode="External"/><Relationship Id="rId3757" Type="http://schemas.openxmlformats.org/officeDocument/2006/relationships/hyperlink" Target="https://expa.aiesec.org/opportunities/1294232" TargetMode="External"/><Relationship Id="rId2426" Type="http://schemas.openxmlformats.org/officeDocument/2006/relationships/hyperlink" Target="https://expa.aiesec.org/opportunities/1294675" TargetMode="External"/><Relationship Id="rId3756" Type="http://schemas.openxmlformats.org/officeDocument/2006/relationships/hyperlink" Target="https://expa.aiesec.org/opportunities/1294232" TargetMode="External"/><Relationship Id="rId2427" Type="http://schemas.openxmlformats.org/officeDocument/2006/relationships/hyperlink" Target="https://expa.aiesec.org/opportunities/1287851" TargetMode="External"/><Relationship Id="rId3759" Type="http://schemas.openxmlformats.org/officeDocument/2006/relationships/hyperlink" Target="https://expa.aiesec.org/opportunities/1288490" TargetMode="External"/><Relationship Id="rId2428" Type="http://schemas.openxmlformats.org/officeDocument/2006/relationships/hyperlink" Target="https://expa.aiesec.org/opportunities/1294332" TargetMode="External"/><Relationship Id="rId3758" Type="http://schemas.openxmlformats.org/officeDocument/2006/relationships/hyperlink" Target="https://expa.aiesec.org/opportunities/1296625" TargetMode="External"/><Relationship Id="rId2429" Type="http://schemas.openxmlformats.org/officeDocument/2006/relationships/hyperlink" Target="https://expa.aiesec.org/opportunities/1295404" TargetMode="External"/><Relationship Id="rId509" Type="http://schemas.openxmlformats.org/officeDocument/2006/relationships/hyperlink" Target="https://expa.aiesec.org/opportunities/1290592" TargetMode="External"/><Relationship Id="rId508" Type="http://schemas.openxmlformats.org/officeDocument/2006/relationships/hyperlink" Target="https://expa.aiesec.org/opportunities/1289485" TargetMode="External"/><Relationship Id="rId503" Type="http://schemas.openxmlformats.org/officeDocument/2006/relationships/hyperlink" Target="https://expa.aiesec.org/opportunities/1289871" TargetMode="External"/><Relationship Id="rId502" Type="http://schemas.openxmlformats.org/officeDocument/2006/relationships/hyperlink" Target="https://expa.aiesec.org/opportunities/1290469" TargetMode="External"/><Relationship Id="rId501" Type="http://schemas.openxmlformats.org/officeDocument/2006/relationships/hyperlink" Target="https://expa.aiesec.org/opportunities/1287925" TargetMode="External"/><Relationship Id="rId500" Type="http://schemas.openxmlformats.org/officeDocument/2006/relationships/hyperlink" Target="https://expa.aiesec.org/opportunities/1288798" TargetMode="External"/><Relationship Id="rId507" Type="http://schemas.openxmlformats.org/officeDocument/2006/relationships/hyperlink" Target="https://expa.aiesec.org/opportunities/1289485" TargetMode="External"/><Relationship Id="rId506" Type="http://schemas.openxmlformats.org/officeDocument/2006/relationships/hyperlink" Target="https://expa.aiesec.org/opportunities/1284487" TargetMode="External"/><Relationship Id="rId505" Type="http://schemas.openxmlformats.org/officeDocument/2006/relationships/hyperlink" Target="https://expa.aiesec.org/opportunities/1287990" TargetMode="External"/><Relationship Id="rId504" Type="http://schemas.openxmlformats.org/officeDocument/2006/relationships/hyperlink" Target="https://expa.aiesec.org/opportunities/1289347" TargetMode="External"/><Relationship Id="rId3751" Type="http://schemas.openxmlformats.org/officeDocument/2006/relationships/hyperlink" Target="https://expa.aiesec.org/opportunities/1300681" TargetMode="External"/><Relationship Id="rId2420" Type="http://schemas.openxmlformats.org/officeDocument/2006/relationships/hyperlink" Target="https://expa.aiesec.org/opportunities/1296037" TargetMode="External"/><Relationship Id="rId3750" Type="http://schemas.openxmlformats.org/officeDocument/2006/relationships/hyperlink" Target="https://expa.aiesec.org/opportunities/1296885" TargetMode="External"/><Relationship Id="rId2421" Type="http://schemas.openxmlformats.org/officeDocument/2006/relationships/hyperlink" Target="https://expa.aiesec.org/opportunities/1289505" TargetMode="External"/><Relationship Id="rId3753" Type="http://schemas.openxmlformats.org/officeDocument/2006/relationships/hyperlink" Target="https://expa.aiesec.org/opportunities/1294372" TargetMode="External"/><Relationship Id="rId2422" Type="http://schemas.openxmlformats.org/officeDocument/2006/relationships/hyperlink" Target="https://expa.aiesec.org/opportunities/1296037" TargetMode="External"/><Relationship Id="rId3752" Type="http://schemas.openxmlformats.org/officeDocument/2006/relationships/hyperlink" Target="https://expa.aiesec.org/opportunities/1301246" TargetMode="External"/><Relationship Id="rId2412" Type="http://schemas.openxmlformats.org/officeDocument/2006/relationships/hyperlink" Target="https://expa.aiesec.org/opportunities/1294061" TargetMode="External"/><Relationship Id="rId3744" Type="http://schemas.openxmlformats.org/officeDocument/2006/relationships/hyperlink" Target="https://expa.aiesec.org/opportunities/1288609" TargetMode="External"/><Relationship Id="rId2413" Type="http://schemas.openxmlformats.org/officeDocument/2006/relationships/hyperlink" Target="https://expa.aiesec.org/opportunities/1294061" TargetMode="External"/><Relationship Id="rId3743" Type="http://schemas.openxmlformats.org/officeDocument/2006/relationships/hyperlink" Target="https://expa.aiesec.org/opportunities/1299474" TargetMode="External"/><Relationship Id="rId2414" Type="http://schemas.openxmlformats.org/officeDocument/2006/relationships/hyperlink" Target="https://expa.aiesec.org/opportunities/1289505" TargetMode="External"/><Relationship Id="rId3746" Type="http://schemas.openxmlformats.org/officeDocument/2006/relationships/hyperlink" Target="https://expa.aiesec.org/opportunities/1291254" TargetMode="External"/><Relationship Id="rId2415" Type="http://schemas.openxmlformats.org/officeDocument/2006/relationships/hyperlink" Target="https://expa.aiesec.org/opportunities/1290024" TargetMode="External"/><Relationship Id="rId3745" Type="http://schemas.openxmlformats.org/officeDocument/2006/relationships/hyperlink" Target="https://expa.aiesec.org/opportunities/1301022" TargetMode="External"/><Relationship Id="rId2416" Type="http://schemas.openxmlformats.org/officeDocument/2006/relationships/hyperlink" Target="https://expa.aiesec.org/opportunities/1290024" TargetMode="External"/><Relationship Id="rId3748" Type="http://schemas.openxmlformats.org/officeDocument/2006/relationships/hyperlink" Target="https://expa.aiesec.org/opportunities/1289502" TargetMode="External"/><Relationship Id="rId2417" Type="http://schemas.openxmlformats.org/officeDocument/2006/relationships/hyperlink" Target="https://expa.aiesec.org/opportunities/1293192" TargetMode="External"/><Relationship Id="rId3747" Type="http://schemas.openxmlformats.org/officeDocument/2006/relationships/hyperlink" Target="https://expa.aiesec.org/opportunities/1301307" TargetMode="External"/><Relationship Id="rId2418" Type="http://schemas.openxmlformats.org/officeDocument/2006/relationships/hyperlink" Target="https://expa.aiesec.org/opportunities/1278298" TargetMode="External"/><Relationship Id="rId2419" Type="http://schemas.openxmlformats.org/officeDocument/2006/relationships/hyperlink" Target="https://expa.aiesec.org/opportunities/1296081" TargetMode="External"/><Relationship Id="rId3749" Type="http://schemas.openxmlformats.org/officeDocument/2006/relationships/hyperlink" Target="https://expa.aiesec.org/opportunities/1294584" TargetMode="External"/><Relationship Id="rId3740" Type="http://schemas.openxmlformats.org/officeDocument/2006/relationships/hyperlink" Target="https://expa.aiesec.org/opportunities/1292535" TargetMode="External"/><Relationship Id="rId2410" Type="http://schemas.openxmlformats.org/officeDocument/2006/relationships/hyperlink" Target="https://expa.aiesec.org/opportunities/1293243" TargetMode="External"/><Relationship Id="rId3742" Type="http://schemas.openxmlformats.org/officeDocument/2006/relationships/hyperlink" Target="https://expa.aiesec.org/opportunities/1289372" TargetMode="External"/><Relationship Id="rId2411" Type="http://schemas.openxmlformats.org/officeDocument/2006/relationships/hyperlink" Target="https://expa.aiesec.org/opportunities/1292773" TargetMode="External"/><Relationship Id="rId3741" Type="http://schemas.openxmlformats.org/officeDocument/2006/relationships/hyperlink" Target="https://expa.aiesec.org/opportunities/1293239" TargetMode="External"/><Relationship Id="rId1114" Type="http://schemas.openxmlformats.org/officeDocument/2006/relationships/hyperlink" Target="https://expa.aiesec.org/opportunities/1286585" TargetMode="External"/><Relationship Id="rId2445" Type="http://schemas.openxmlformats.org/officeDocument/2006/relationships/hyperlink" Target="https://expa.aiesec.org/opportunities/1291427" TargetMode="External"/><Relationship Id="rId3777" Type="http://schemas.openxmlformats.org/officeDocument/2006/relationships/hyperlink" Target="https://expa.aiesec.org/opportunities/1294584" TargetMode="External"/><Relationship Id="rId1115" Type="http://schemas.openxmlformats.org/officeDocument/2006/relationships/hyperlink" Target="https://expa.aiesec.org/opportunities/1292124" TargetMode="External"/><Relationship Id="rId2446" Type="http://schemas.openxmlformats.org/officeDocument/2006/relationships/hyperlink" Target="https://expa.aiesec.org/opportunities/1295749" TargetMode="External"/><Relationship Id="rId3776" Type="http://schemas.openxmlformats.org/officeDocument/2006/relationships/hyperlink" Target="https://expa.aiesec.org/opportunities/1286917" TargetMode="External"/><Relationship Id="rId1116" Type="http://schemas.openxmlformats.org/officeDocument/2006/relationships/hyperlink" Target="https://expa.aiesec.org/opportunities/1292157" TargetMode="External"/><Relationship Id="rId2447" Type="http://schemas.openxmlformats.org/officeDocument/2006/relationships/hyperlink" Target="https://expa.aiesec.org/opportunities/1289387" TargetMode="External"/><Relationship Id="rId3779" Type="http://schemas.openxmlformats.org/officeDocument/2006/relationships/hyperlink" Target="https://expa.aiesec.org/opportunities/1300837" TargetMode="External"/><Relationship Id="rId1117" Type="http://schemas.openxmlformats.org/officeDocument/2006/relationships/hyperlink" Target="https://expa.aiesec.org/opportunities/1291336" TargetMode="External"/><Relationship Id="rId2448" Type="http://schemas.openxmlformats.org/officeDocument/2006/relationships/hyperlink" Target="https://expa.aiesec.org/opportunities/1295364" TargetMode="External"/><Relationship Id="rId3778" Type="http://schemas.openxmlformats.org/officeDocument/2006/relationships/hyperlink" Target="https://expa.aiesec.org/opportunities/1300100" TargetMode="External"/><Relationship Id="rId1118" Type="http://schemas.openxmlformats.org/officeDocument/2006/relationships/hyperlink" Target="https://expa.aiesec.org/opportunities/1287243" TargetMode="External"/><Relationship Id="rId2449" Type="http://schemas.openxmlformats.org/officeDocument/2006/relationships/hyperlink" Target="https://expa.aiesec.org/opportunities/1295830" TargetMode="External"/><Relationship Id="rId1119" Type="http://schemas.openxmlformats.org/officeDocument/2006/relationships/hyperlink" Target="https://expa.aiesec.org/opportunities/1288970" TargetMode="External"/><Relationship Id="rId525" Type="http://schemas.openxmlformats.org/officeDocument/2006/relationships/hyperlink" Target="https://expa.aiesec.org/opportunities/1284596" TargetMode="External"/><Relationship Id="rId524" Type="http://schemas.openxmlformats.org/officeDocument/2006/relationships/hyperlink" Target="https://expa.aiesec.org/opportunities/1287894" TargetMode="External"/><Relationship Id="rId523" Type="http://schemas.openxmlformats.org/officeDocument/2006/relationships/hyperlink" Target="https://expa.aiesec.org/opportunities/1285077" TargetMode="External"/><Relationship Id="rId522" Type="http://schemas.openxmlformats.org/officeDocument/2006/relationships/hyperlink" Target="https://expa.aiesec.org/opportunities/1290362" TargetMode="External"/><Relationship Id="rId529" Type="http://schemas.openxmlformats.org/officeDocument/2006/relationships/hyperlink" Target="https://expa.aiesec.org/opportunities/1288838" TargetMode="External"/><Relationship Id="rId528" Type="http://schemas.openxmlformats.org/officeDocument/2006/relationships/hyperlink" Target="https://expa.aiesec.org/opportunities/1288419" TargetMode="External"/><Relationship Id="rId527" Type="http://schemas.openxmlformats.org/officeDocument/2006/relationships/hyperlink" Target="https://expa.aiesec.org/opportunities/1288419" TargetMode="External"/><Relationship Id="rId526" Type="http://schemas.openxmlformats.org/officeDocument/2006/relationships/hyperlink" Target="https://expa.aiesec.org/opportunities/1288419" TargetMode="External"/><Relationship Id="rId3771" Type="http://schemas.openxmlformats.org/officeDocument/2006/relationships/hyperlink" Target="https://expa.aiesec.org/opportunities/1289536" TargetMode="External"/><Relationship Id="rId2440" Type="http://schemas.openxmlformats.org/officeDocument/2006/relationships/hyperlink" Target="https://expa.aiesec.org/opportunities/1294452" TargetMode="External"/><Relationship Id="rId3770" Type="http://schemas.openxmlformats.org/officeDocument/2006/relationships/hyperlink" Target="https://expa.aiesec.org/opportunities/1289536" TargetMode="External"/><Relationship Id="rId521" Type="http://schemas.openxmlformats.org/officeDocument/2006/relationships/hyperlink" Target="https://expa.aiesec.org/opportunities/1287855" TargetMode="External"/><Relationship Id="rId1110" Type="http://schemas.openxmlformats.org/officeDocument/2006/relationships/hyperlink" Target="https://expa.aiesec.org/opportunities/1288609" TargetMode="External"/><Relationship Id="rId2441" Type="http://schemas.openxmlformats.org/officeDocument/2006/relationships/hyperlink" Target="https://expa.aiesec.org/opportunities/1290690" TargetMode="External"/><Relationship Id="rId3773" Type="http://schemas.openxmlformats.org/officeDocument/2006/relationships/hyperlink" Target="https://expa.aiesec.org/opportunities/1289583" TargetMode="External"/><Relationship Id="rId520" Type="http://schemas.openxmlformats.org/officeDocument/2006/relationships/hyperlink" Target="https://expa.aiesec.org/opportunities/1289335" TargetMode="External"/><Relationship Id="rId1111" Type="http://schemas.openxmlformats.org/officeDocument/2006/relationships/hyperlink" Target="https://expa.aiesec.org/opportunities/1292473" TargetMode="External"/><Relationship Id="rId2442" Type="http://schemas.openxmlformats.org/officeDocument/2006/relationships/hyperlink" Target="https://expa.aiesec.org/opportunities/1286840" TargetMode="External"/><Relationship Id="rId3772" Type="http://schemas.openxmlformats.org/officeDocument/2006/relationships/hyperlink" Target="https://expa.aiesec.org/opportunities/1294232" TargetMode="External"/><Relationship Id="rId1112" Type="http://schemas.openxmlformats.org/officeDocument/2006/relationships/hyperlink" Target="https://expa.aiesec.org/opportunities/1287856" TargetMode="External"/><Relationship Id="rId2443" Type="http://schemas.openxmlformats.org/officeDocument/2006/relationships/hyperlink" Target="https://expa.aiesec.org/opportunities/1295461" TargetMode="External"/><Relationship Id="rId3775" Type="http://schemas.openxmlformats.org/officeDocument/2006/relationships/hyperlink" Target="https://expa.aiesec.org/opportunities/1293235" TargetMode="External"/><Relationship Id="rId1113" Type="http://schemas.openxmlformats.org/officeDocument/2006/relationships/hyperlink" Target="https://expa.aiesec.org/opportunities/1288970" TargetMode="External"/><Relationship Id="rId2444" Type="http://schemas.openxmlformats.org/officeDocument/2006/relationships/hyperlink" Target="https://expa.aiesec.org/opportunities/1295042" TargetMode="External"/><Relationship Id="rId3774" Type="http://schemas.openxmlformats.org/officeDocument/2006/relationships/hyperlink" Target="https://expa.aiesec.org/opportunities/1292947" TargetMode="External"/><Relationship Id="rId1103" Type="http://schemas.openxmlformats.org/officeDocument/2006/relationships/hyperlink" Target="https://expa.aiesec.org/opportunities/1284976" TargetMode="External"/><Relationship Id="rId2434" Type="http://schemas.openxmlformats.org/officeDocument/2006/relationships/hyperlink" Target="https://expa.aiesec.org/opportunities/1296037" TargetMode="External"/><Relationship Id="rId3766" Type="http://schemas.openxmlformats.org/officeDocument/2006/relationships/hyperlink" Target="https://expa.aiesec.org/opportunities/1300056" TargetMode="External"/><Relationship Id="rId1104" Type="http://schemas.openxmlformats.org/officeDocument/2006/relationships/hyperlink" Target="https://expa.aiesec.org/opportunities/1290323" TargetMode="External"/><Relationship Id="rId2435" Type="http://schemas.openxmlformats.org/officeDocument/2006/relationships/hyperlink" Target="https://expa.aiesec.org/opportunities/1295572" TargetMode="External"/><Relationship Id="rId3765" Type="http://schemas.openxmlformats.org/officeDocument/2006/relationships/hyperlink" Target="https://expa.aiesec.org/opportunities/1289536" TargetMode="External"/><Relationship Id="rId1105" Type="http://schemas.openxmlformats.org/officeDocument/2006/relationships/hyperlink" Target="https://expa.aiesec.org/opportunities/1286751" TargetMode="External"/><Relationship Id="rId2436" Type="http://schemas.openxmlformats.org/officeDocument/2006/relationships/hyperlink" Target="https://expa.aiesec.org/opportunities/1293969" TargetMode="External"/><Relationship Id="rId3768" Type="http://schemas.openxmlformats.org/officeDocument/2006/relationships/hyperlink" Target="https://expa.aiesec.org/opportunities/1301281" TargetMode="External"/><Relationship Id="rId1106" Type="http://schemas.openxmlformats.org/officeDocument/2006/relationships/hyperlink" Target="https://expa.aiesec.org/opportunities/1292399" TargetMode="External"/><Relationship Id="rId2437" Type="http://schemas.openxmlformats.org/officeDocument/2006/relationships/hyperlink" Target="https://expa.aiesec.org/opportunities/1294651" TargetMode="External"/><Relationship Id="rId3767" Type="http://schemas.openxmlformats.org/officeDocument/2006/relationships/hyperlink" Target="https://expa.aiesec.org/opportunities/1301306" TargetMode="External"/><Relationship Id="rId1107" Type="http://schemas.openxmlformats.org/officeDocument/2006/relationships/hyperlink" Target="https://expa.aiesec.org/opportunities/1291232" TargetMode="External"/><Relationship Id="rId2438" Type="http://schemas.openxmlformats.org/officeDocument/2006/relationships/hyperlink" Target="https://expa.aiesec.org/opportunities/1295459" TargetMode="External"/><Relationship Id="rId1108" Type="http://schemas.openxmlformats.org/officeDocument/2006/relationships/hyperlink" Target="https://expa.aiesec.org/opportunities/1289257" TargetMode="External"/><Relationship Id="rId2439" Type="http://schemas.openxmlformats.org/officeDocument/2006/relationships/hyperlink" Target="https://expa.aiesec.org/opportunities/1291989" TargetMode="External"/><Relationship Id="rId3769" Type="http://schemas.openxmlformats.org/officeDocument/2006/relationships/hyperlink" Target="https://expa.aiesec.org/opportunities/1299818" TargetMode="External"/><Relationship Id="rId1109" Type="http://schemas.openxmlformats.org/officeDocument/2006/relationships/hyperlink" Target="https://expa.aiesec.org/opportunities/1279126" TargetMode="External"/><Relationship Id="rId519" Type="http://schemas.openxmlformats.org/officeDocument/2006/relationships/hyperlink" Target="https://expa.aiesec.org/opportunities/1283483" TargetMode="External"/><Relationship Id="rId514" Type="http://schemas.openxmlformats.org/officeDocument/2006/relationships/hyperlink" Target="https://expa.aiesec.org/opportunities/1289355" TargetMode="External"/><Relationship Id="rId513" Type="http://schemas.openxmlformats.org/officeDocument/2006/relationships/hyperlink" Target="https://expa.aiesec.org/opportunities/1288280" TargetMode="External"/><Relationship Id="rId512" Type="http://schemas.openxmlformats.org/officeDocument/2006/relationships/hyperlink" Target="https://expa.aiesec.org/opportunities/1288995" TargetMode="External"/><Relationship Id="rId511" Type="http://schemas.openxmlformats.org/officeDocument/2006/relationships/hyperlink" Target="https://expa.aiesec.org/opportunities/1285681" TargetMode="External"/><Relationship Id="rId518" Type="http://schemas.openxmlformats.org/officeDocument/2006/relationships/hyperlink" Target="https://expa.aiesec.org/opportunities/1288813" TargetMode="External"/><Relationship Id="rId517" Type="http://schemas.openxmlformats.org/officeDocument/2006/relationships/hyperlink" Target="https://expa.aiesec.org/opportunities/1288412" TargetMode="External"/><Relationship Id="rId516" Type="http://schemas.openxmlformats.org/officeDocument/2006/relationships/hyperlink" Target="https://expa.aiesec.org/opportunities/1288711" TargetMode="External"/><Relationship Id="rId515" Type="http://schemas.openxmlformats.org/officeDocument/2006/relationships/hyperlink" Target="https://expa.aiesec.org/opportunities/1288711" TargetMode="External"/><Relationship Id="rId3760" Type="http://schemas.openxmlformats.org/officeDocument/2006/relationships/hyperlink" Target="https://expa.aiesec.org/opportunities/1299929" TargetMode="External"/><Relationship Id="rId510" Type="http://schemas.openxmlformats.org/officeDocument/2006/relationships/hyperlink" Target="https://expa.aiesec.org/opportunities/1277333" TargetMode="External"/><Relationship Id="rId2430" Type="http://schemas.openxmlformats.org/officeDocument/2006/relationships/hyperlink" Target="https://expa.aiesec.org/opportunities/1295453" TargetMode="External"/><Relationship Id="rId3762" Type="http://schemas.openxmlformats.org/officeDocument/2006/relationships/hyperlink" Target="https://expa.aiesec.org/opportunities/1289597" TargetMode="External"/><Relationship Id="rId1100" Type="http://schemas.openxmlformats.org/officeDocument/2006/relationships/hyperlink" Target="https://expa.aiesec.org/opportunities/1290642" TargetMode="External"/><Relationship Id="rId2431" Type="http://schemas.openxmlformats.org/officeDocument/2006/relationships/hyperlink" Target="https://expa.aiesec.org/opportunities/1295564" TargetMode="External"/><Relationship Id="rId3761" Type="http://schemas.openxmlformats.org/officeDocument/2006/relationships/hyperlink" Target="https://expa.aiesec.org/opportunities/1286034" TargetMode="External"/><Relationship Id="rId1101" Type="http://schemas.openxmlformats.org/officeDocument/2006/relationships/hyperlink" Target="https://expa.aiesec.org/opportunities/1291263" TargetMode="External"/><Relationship Id="rId2432" Type="http://schemas.openxmlformats.org/officeDocument/2006/relationships/hyperlink" Target="https://expa.aiesec.org/opportunities/1291252" TargetMode="External"/><Relationship Id="rId3764" Type="http://schemas.openxmlformats.org/officeDocument/2006/relationships/hyperlink" Target="https://expa.aiesec.org/opportunities/1289597" TargetMode="External"/><Relationship Id="rId1102" Type="http://schemas.openxmlformats.org/officeDocument/2006/relationships/hyperlink" Target="https://expa.aiesec.org/opportunities/1283288" TargetMode="External"/><Relationship Id="rId2433" Type="http://schemas.openxmlformats.org/officeDocument/2006/relationships/hyperlink" Target="https://expa.aiesec.org/opportunities/1292188" TargetMode="External"/><Relationship Id="rId3763" Type="http://schemas.openxmlformats.org/officeDocument/2006/relationships/hyperlink" Target="https://expa.aiesec.org/opportunities/1296101" TargetMode="External"/><Relationship Id="rId3711" Type="http://schemas.openxmlformats.org/officeDocument/2006/relationships/hyperlink" Target="https://expa.aiesec.org/opportunities/1300559" TargetMode="External"/><Relationship Id="rId3710" Type="http://schemas.openxmlformats.org/officeDocument/2006/relationships/hyperlink" Target="https://expa.aiesec.org/opportunities/1301470" TargetMode="External"/><Relationship Id="rId3713" Type="http://schemas.openxmlformats.org/officeDocument/2006/relationships/hyperlink" Target="https://expa.aiesec.org/opportunities/1294151" TargetMode="External"/><Relationship Id="rId3712" Type="http://schemas.openxmlformats.org/officeDocument/2006/relationships/hyperlink" Target="https://expa.aiesec.org/opportunities/1301307" TargetMode="External"/><Relationship Id="rId3715" Type="http://schemas.openxmlformats.org/officeDocument/2006/relationships/hyperlink" Target="https://expa.aiesec.org/opportunities/1292960" TargetMode="External"/><Relationship Id="rId3714" Type="http://schemas.openxmlformats.org/officeDocument/2006/relationships/hyperlink" Target="https://expa.aiesec.org/opportunities/1294151" TargetMode="External"/><Relationship Id="rId3717" Type="http://schemas.openxmlformats.org/officeDocument/2006/relationships/hyperlink" Target="https://expa.aiesec.org/opportunities/1292960" TargetMode="External"/><Relationship Id="rId3716" Type="http://schemas.openxmlformats.org/officeDocument/2006/relationships/hyperlink" Target="https://expa.aiesec.org/opportunities/1288490" TargetMode="External"/><Relationship Id="rId3719" Type="http://schemas.openxmlformats.org/officeDocument/2006/relationships/hyperlink" Target="https://expa.aiesec.org/opportunities/1292960" TargetMode="External"/><Relationship Id="rId3718" Type="http://schemas.openxmlformats.org/officeDocument/2006/relationships/hyperlink" Target="https://expa.aiesec.org/opportunities/1292960" TargetMode="External"/><Relationship Id="rId3700" Type="http://schemas.openxmlformats.org/officeDocument/2006/relationships/hyperlink" Target="https://expa.aiesec.org/opportunities/1293152" TargetMode="External"/><Relationship Id="rId3702" Type="http://schemas.openxmlformats.org/officeDocument/2006/relationships/hyperlink" Target="https://expa.aiesec.org/opportunities/1299929" TargetMode="External"/><Relationship Id="rId3701" Type="http://schemas.openxmlformats.org/officeDocument/2006/relationships/hyperlink" Target="https://expa.aiesec.org/opportunities/1299449" TargetMode="External"/><Relationship Id="rId3704" Type="http://schemas.openxmlformats.org/officeDocument/2006/relationships/hyperlink" Target="https://expa.aiesec.org/opportunities/1297135" TargetMode="External"/><Relationship Id="rId3703" Type="http://schemas.openxmlformats.org/officeDocument/2006/relationships/hyperlink" Target="https://expa.aiesec.org/opportunities/1296885" TargetMode="External"/><Relationship Id="rId3706" Type="http://schemas.openxmlformats.org/officeDocument/2006/relationships/hyperlink" Target="https://expa.aiesec.org/opportunities/1301479" TargetMode="External"/><Relationship Id="rId3705" Type="http://schemas.openxmlformats.org/officeDocument/2006/relationships/hyperlink" Target="https://expa.aiesec.org/opportunities/1299474" TargetMode="External"/><Relationship Id="rId3708" Type="http://schemas.openxmlformats.org/officeDocument/2006/relationships/hyperlink" Target="https://expa.aiesec.org/opportunities/1293235" TargetMode="External"/><Relationship Id="rId3707" Type="http://schemas.openxmlformats.org/officeDocument/2006/relationships/hyperlink" Target="https://expa.aiesec.org/opportunities/1293235" TargetMode="External"/><Relationship Id="rId3709" Type="http://schemas.openxmlformats.org/officeDocument/2006/relationships/hyperlink" Target="https://expa.aiesec.org/opportunities/1286326" TargetMode="External"/><Relationship Id="rId2401" Type="http://schemas.openxmlformats.org/officeDocument/2006/relationships/hyperlink" Target="https://expa.aiesec.org/opportunities/1295438" TargetMode="External"/><Relationship Id="rId3733" Type="http://schemas.openxmlformats.org/officeDocument/2006/relationships/hyperlink" Target="https://expa.aiesec.org/opportunities/1290292" TargetMode="External"/><Relationship Id="rId2402" Type="http://schemas.openxmlformats.org/officeDocument/2006/relationships/hyperlink" Target="https://expa.aiesec.org/opportunities/1295459" TargetMode="External"/><Relationship Id="rId3732" Type="http://schemas.openxmlformats.org/officeDocument/2006/relationships/hyperlink" Target="https://expa.aiesec.org/opportunities/1296671" TargetMode="External"/><Relationship Id="rId2403" Type="http://schemas.openxmlformats.org/officeDocument/2006/relationships/hyperlink" Target="https://expa.aiesec.org/opportunities/1295811" TargetMode="External"/><Relationship Id="rId3735" Type="http://schemas.openxmlformats.org/officeDocument/2006/relationships/hyperlink" Target="https://expa.aiesec.org/opportunities/1292298" TargetMode="External"/><Relationship Id="rId2404" Type="http://schemas.openxmlformats.org/officeDocument/2006/relationships/hyperlink" Target="https://expa.aiesec.org/opportunities/1294878" TargetMode="External"/><Relationship Id="rId3734" Type="http://schemas.openxmlformats.org/officeDocument/2006/relationships/hyperlink" Target="https://expa.aiesec.org/opportunities/1292960" TargetMode="External"/><Relationship Id="rId2405" Type="http://schemas.openxmlformats.org/officeDocument/2006/relationships/hyperlink" Target="https://expa.aiesec.org/opportunities/1295261" TargetMode="External"/><Relationship Id="rId3737" Type="http://schemas.openxmlformats.org/officeDocument/2006/relationships/hyperlink" Target="https://expa.aiesec.org/opportunities/1294860" TargetMode="External"/><Relationship Id="rId2406" Type="http://schemas.openxmlformats.org/officeDocument/2006/relationships/hyperlink" Target="https://expa.aiesec.org/opportunities/1289255" TargetMode="External"/><Relationship Id="rId3736" Type="http://schemas.openxmlformats.org/officeDocument/2006/relationships/hyperlink" Target="https://expa.aiesec.org/opportunities/1292298" TargetMode="External"/><Relationship Id="rId2407" Type="http://schemas.openxmlformats.org/officeDocument/2006/relationships/hyperlink" Target="https://expa.aiesec.org/opportunities/1294452" TargetMode="External"/><Relationship Id="rId3739" Type="http://schemas.openxmlformats.org/officeDocument/2006/relationships/hyperlink" Target="https://expa.aiesec.org/opportunities/1294342" TargetMode="External"/><Relationship Id="rId2408" Type="http://schemas.openxmlformats.org/officeDocument/2006/relationships/hyperlink" Target="https://expa.aiesec.org/opportunities/1295118" TargetMode="External"/><Relationship Id="rId3738" Type="http://schemas.openxmlformats.org/officeDocument/2006/relationships/hyperlink" Target="https://expa.aiesec.org/opportunities/1294584" TargetMode="External"/><Relationship Id="rId2409" Type="http://schemas.openxmlformats.org/officeDocument/2006/relationships/hyperlink" Target="https://expa.aiesec.org/opportunities/1284976" TargetMode="External"/><Relationship Id="rId3731" Type="http://schemas.openxmlformats.org/officeDocument/2006/relationships/hyperlink" Target="https://expa.aiesec.org/opportunities/1299756" TargetMode="External"/><Relationship Id="rId2400" Type="http://schemas.openxmlformats.org/officeDocument/2006/relationships/hyperlink" Target="https://expa.aiesec.org/opportunities/1278774" TargetMode="External"/><Relationship Id="rId3730" Type="http://schemas.openxmlformats.org/officeDocument/2006/relationships/hyperlink" Target="https://expa.aiesec.org/opportunities/1299756" TargetMode="External"/><Relationship Id="rId3722" Type="http://schemas.openxmlformats.org/officeDocument/2006/relationships/hyperlink" Target="https://expa.aiesec.org/opportunities/1300777" TargetMode="External"/><Relationship Id="rId3721" Type="http://schemas.openxmlformats.org/officeDocument/2006/relationships/hyperlink" Target="https://expa.aiesec.org/opportunities/1299077" TargetMode="External"/><Relationship Id="rId3724" Type="http://schemas.openxmlformats.org/officeDocument/2006/relationships/hyperlink" Target="https://expa.aiesec.org/opportunities/1289297" TargetMode="External"/><Relationship Id="rId3723" Type="http://schemas.openxmlformats.org/officeDocument/2006/relationships/hyperlink" Target="https://expa.aiesec.org/opportunities/1289297" TargetMode="External"/><Relationship Id="rId3726" Type="http://schemas.openxmlformats.org/officeDocument/2006/relationships/hyperlink" Target="https://expa.aiesec.org/opportunities/1299851" TargetMode="External"/><Relationship Id="rId3725" Type="http://schemas.openxmlformats.org/officeDocument/2006/relationships/hyperlink" Target="https://expa.aiesec.org/opportunities/1300624" TargetMode="External"/><Relationship Id="rId3728" Type="http://schemas.openxmlformats.org/officeDocument/2006/relationships/hyperlink" Target="https://expa.aiesec.org/opportunities/1286893" TargetMode="External"/><Relationship Id="rId3727" Type="http://schemas.openxmlformats.org/officeDocument/2006/relationships/hyperlink" Target="https://expa.aiesec.org/opportunities/1300091" TargetMode="External"/><Relationship Id="rId3729" Type="http://schemas.openxmlformats.org/officeDocument/2006/relationships/hyperlink" Target="https://expa.aiesec.org/opportunities/1300121" TargetMode="External"/><Relationship Id="rId3720" Type="http://schemas.openxmlformats.org/officeDocument/2006/relationships/hyperlink" Target="https://expa.aiesec.org/opportunities/1289297" TargetMode="External"/><Relationship Id="rId4206" Type="http://schemas.openxmlformats.org/officeDocument/2006/relationships/hyperlink" Target="https://expa.aiesec.org/opportunities/1300305" TargetMode="External"/><Relationship Id="rId4205" Type="http://schemas.openxmlformats.org/officeDocument/2006/relationships/hyperlink" Target="https://expa.aiesec.org/opportunities/1298927" TargetMode="External"/><Relationship Id="rId4208" Type="http://schemas.openxmlformats.org/officeDocument/2006/relationships/hyperlink" Target="https://expa.aiesec.org/opportunities/1296101" TargetMode="External"/><Relationship Id="rId4207" Type="http://schemas.openxmlformats.org/officeDocument/2006/relationships/hyperlink" Target="https://expa.aiesec.org/opportunities/1291176" TargetMode="External"/><Relationship Id="rId590" Type="http://schemas.openxmlformats.org/officeDocument/2006/relationships/hyperlink" Target="https://expa.aiesec.org/opportunities/1289155" TargetMode="External"/><Relationship Id="rId4209" Type="http://schemas.openxmlformats.org/officeDocument/2006/relationships/hyperlink" Target="https://expa.aiesec.org/opportunities/1300161" TargetMode="External"/><Relationship Id="rId589" Type="http://schemas.openxmlformats.org/officeDocument/2006/relationships/hyperlink" Target="https://expa.aiesec.org/opportunities/1287338" TargetMode="External"/><Relationship Id="rId588" Type="http://schemas.openxmlformats.org/officeDocument/2006/relationships/hyperlink" Target="https://expa.aiesec.org/opportunities/1287509" TargetMode="External"/><Relationship Id="rId1170" Type="http://schemas.openxmlformats.org/officeDocument/2006/relationships/hyperlink" Target="https://expa.aiesec.org/opportunities/1289617" TargetMode="External"/><Relationship Id="rId1171" Type="http://schemas.openxmlformats.org/officeDocument/2006/relationships/hyperlink" Target="https://expa.aiesec.org/opportunities/1291370" TargetMode="External"/><Relationship Id="rId583" Type="http://schemas.openxmlformats.org/officeDocument/2006/relationships/hyperlink" Target="https://expa.aiesec.org/opportunities/1289256" TargetMode="External"/><Relationship Id="rId1172" Type="http://schemas.openxmlformats.org/officeDocument/2006/relationships/hyperlink" Target="https://expa.aiesec.org/opportunities/1287854" TargetMode="External"/><Relationship Id="rId582" Type="http://schemas.openxmlformats.org/officeDocument/2006/relationships/hyperlink" Target="https://expa.aiesec.org/opportunities/1287338" TargetMode="External"/><Relationship Id="rId1173" Type="http://schemas.openxmlformats.org/officeDocument/2006/relationships/hyperlink" Target="https://expa.aiesec.org/opportunities/1292505" TargetMode="External"/><Relationship Id="rId581" Type="http://schemas.openxmlformats.org/officeDocument/2006/relationships/hyperlink" Target="https://expa.aiesec.org/opportunities/1288393" TargetMode="External"/><Relationship Id="rId1174" Type="http://schemas.openxmlformats.org/officeDocument/2006/relationships/hyperlink" Target="https://expa.aiesec.org/opportunities/1289536" TargetMode="External"/><Relationship Id="rId4200" Type="http://schemas.openxmlformats.org/officeDocument/2006/relationships/hyperlink" Target="https://expa.aiesec.org/opportunities/1293417" TargetMode="External"/><Relationship Id="rId580" Type="http://schemas.openxmlformats.org/officeDocument/2006/relationships/hyperlink" Target="https://expa.aiesec.org/opportunities/1285690" TargetMode="External"/><Relationship Id="rId1175" Type="http://schemas.openxmlformats.org/officeDocument/2006/relationships/hyperlink" Target="https://expa.aiesec.org/opportunities/1280872" TargetMode="External"/><Relationship Id="rId587" Type="http://schemas.openxmlformats.org/officeDocument/2006/relationships/hyperlink" Target="https://expa.aiesec.org/opportunities/1290646" TargetMode="External"/><Relationship Id="rId1176" Type="http://schemas.openxmlformats.org/officeDocument/2006/relationships/hyperlink" Target="https://expa.aiesec.org/opportunities/1289536" TargetMode="External"/><Relationship Id="rId4202" Type="http://schemas.openxmlformats.org/officeDocument/2006/relationships/hyperlink" Target="https://expa.aiesec.org/opportunities/1293417" TargetMode="External"/><Relationship Id="rId586" Type="http://schemas.openxmlformats.org/officeDocument/2006/relationships/hyperlink" Target="https://expa.aiesec.org/opportunities/1290646" TargetMode="External"/><Relationship Id="rId1177" Type="http://schemas.openxmlformats.org/officeDocument/2006/relationships/hyperlink" Target="https://expa.aiesec.org/opportunities/1290024" TargetMode="External"/><Relationship Id="rId4201" Type="http://schemas.openxmlformats.org/officeDocument/2006/relationships/hyperlink" Target="https://expa.aiesec.org/opportunities/1293417" TargetMode="External"/><Relationship Id="rId585" Type="http://schemas.openxmlformats.org/officeDocument/2006/relationships/hyperlink" Target="https://expa.aiesec.org/opportunities/1290625" TargetMode="External"/><Relationship Id="rId1178" Type="http://schemas.openxmlformats.org/officeDocument/2006/relationships/hyperlink" Target="https://expa.aiesec.org/opportunities/1277333" TargetMode="External"/><Relationship Id="rId4204" Type="http://schemas.openxmlformats.org/officeDocument/2006/relationships/hyperlink" Target="https://expa.aiesec.org/opportunities/1302495" TargetMode="External"/><Relationship Id="rId584" Type="http://schemas.openxmlformats.org/officeDocument/2006/relationships/hyperlink" Target="https://expa.aiesec.org/opportunities/1287855" TargetMode="External"/><Relationship Id="rId1179" Type="http://schemas.openxmlformats.org/officeDocument/2006/relationships/hyperlink" Target="https://expa.aiesec.org/opportunities/1291427" TargetMode="External"/><Relationship Id="rId4203" Type="http://schemas.openxmlformats.org/officeDocument/2006/relationships/hyperlink" Target="https://expa.aiesec.org/opportunities/1301477" TargetMode="External"/><Relationship Id="rId1169" Type="http://schemas.openxmlformats.org/officeDocument/2006/relationships/hyperlink" Target="https://expa.aiesec.org/opportunities/1281195" TargetMode="External"/><Relationship Id="rId579" Type="http://schemas.openxmlformats.org/officeDocument/2006/relationships/hyperlink" Target="https://expa.aiesec.org/opportunities/1290024" TargetMode="External"/><Relationship Id="rId578" Type="http://schemas.openxmlformats.org/officeDocument/2006/relationships/hyperlink" Target="https://expa.aiesec.org/opportunities/1290024" TargetMode="External"/><Relationship Id="rId577" Type="http://schemas.openxmlformats.org/officeDocument/2006/relationships/hyperlink" Target="https://expa.aiesec.org/opportunities/1282194" TargetMode="External"/><Relationship Id="rId2490" Type="http://schemas.openxmlformats.org/officeDocument/2006/relationships/hyperlink" Target="https://expa.aiesec.org/opportunities/1286839" TargetMode="External"/><Relationship Id="rId1160" Type="http://schemas.openxmlformats.org/officeDocument/2006/relationships/hyperlink" Target="https://expa.aiesec.org/opportunities/1281901" TargetMode="External"/><Relationship Id="rId2491" Type="http://schemas.openxmlformats.org/officeDocument/2006/relationships/hyperlink" Target="https://expa.aiesec.org/opportunities/1293395" TargetMode="External"/><Relationship Id="rId572" Type="http://schemas.openxmlformats.org/officeDocument/2006/relationships/hyperlink" Target="https://expa.aiesec.org/opportunities/1287445" TargetMode="External"/><Relationship Id="rId1161" Type="http://schemas.openxmlformats.org/officeDocument/2006/relationships/hyperlink" Target="https://expa.aiesec.org/opportunities/1287662" TargetMode="External"/><Relationship Id="rId2492" Type="http://schemas.openxmlformats.org/officeDocument/2006/relationships/hyperlink" Target="https://expa.aiesec.org/opportunities/1288609" TargetMode="External"/><Relationship Id="rId571" Type="http://schemas.openxmlformats.org/officeDocument/2006/relationships/hyperlink" Target="https://expa.aiesec.org/opportunities/1288497" TargetMode="External"/><Relationship Id="rId1162" Type="http://schemas.openxmlformats.org/officeDocument/2006/relationships/hyperlink" Target="https://expa.aiesec.org/opportunities/1290643" TargetMode="External"/><Relationship Id="rId2493" Type="http://schemas.openxmlformats.org/officeDocument/2006/relationships/hyperlink" Target="https://expa.aiesec.org/opportunities/1287990" TargetMode="External"/><Relationship Id="rId570" Type="http://schemas.openxmlformats.org/officeDocument/2006/relationships/hyperlink" Target="https://expa.aiesec.org/opportunities/1288953" TargetMode="External"/><Relationship Id="rId1163" Type="http://schemas.openxmlformats.org/officeDocument/2006/relationships/hyperlink" Target="https://expa.aiesec.org/opportunities/1289246" TargetMode="External"/><Relationship Id="rId2494" Type="http://schemas.openxmlformats.org/officeDocument/2006/relationships/hyperlink" Target="https://expa.aiesec.org/opportunities/1284077" TargetMode="External"/><Relationship Id="rId1164" Type="http://schemas.openxmlformats.org/officeDocument/2006/relationships/hyperlink" Target="https://expa.aiesec.org/opportunities/1292549" TargetMode="External"/><Relationship Id="rId2495" Type="http://schemas.openxmlformats.org/officeDocument/2006/relationships/hyperlink" Target="https://expa.aiesec.org/opportunities/1288609" TargetMode="External"/><Relationship Id="rId576" Type="http://schemas.openxmlformats.org/officeDocument/2006/relationships/hyperlink" Target="https://expa.aiesec.org/opportunities/1289505" TargetMode="External"/><Relationship Id="rId1165" Type="http://schemas.openxmlformats.org/officeDocument/2006/relationships/hyperlink" Target="https://expa.aiesec.org/opportunities/1292545" TargetMode="External"/><Relationship Id="rId2496" Type="http://schemas.openxmlformats.org/officeDocument/2006/relationships/hyperlink" Target="https://expa.aiesec.org/opportunities/1295459" TargetMode="External"/><Relationship Id="rId575" Type="http://schemas.openxmlformats.org/officeDocument/2006/relationships/hyperlink" Target="https://expa.aiesec.org/opportunities/1262994" TargetMode="External"/><Relationship Id="rId1166" Type="http://schemas.openxmlformats.org/officeDocument/2006/relationships/hyperlink" Target="https://expa.aiesec.org/opportunities/1288711" TargetMode="External"/><Relationship Id="rId2497" Type="http://schemas.openxmlformats.org/officeDocument/2006/relationships/hyperlink" Target="https://expa.aiesec.org/opportunities/1291068" TargetMode="External"/><Relationship Id="rId574" Type="http://schemas.openxmlformats.org/officeDocument/2006/relationships/hyperlink" Target="https://expa.aiesec.org/opportunities/1280484" TargetMode="External"/><Relationship Id="rId1167" Type="http://schemas.openxmlformats.org/officeDocument/2006/relationships/hyperlink" Target="https://expa.aiesec.org/opportunities/1292728" TargetMode="External"/><Relationship Id="rId2498" Type="http://schemas.openxmlformats.org/officeDocument/2006/relationships/hyperlink" Target="https://expa.aiesec.org/opportunities/1295749" TargetMode="External"/><Relationship Id="rId573" Type="http://schemas.openxmlformats.org/officeDocument/2006/relationships/hyperlink" Target="https://expa.aiesec.org/opportunities/1289533" TargetMode="External"/><Relationship Id="rId1168" Type="http://schemas.openxmlformats.org/officeDocument/2006/relationships/hyperlink" Target="https://expa.aiesec.org/opportunities/1284312" TargetMode="External"/><Relationship Id="rId2499" Type="http://schemas.openxmlformats.org/officeDocument/2006/relationships/hyperlink" Target="https://expa.aiesec.org/opportunities/1294941" TargetMode="External"/><Relationship Id="rId4228" Type="http://schemas.openxmlformats.org/officeDocument/2006/relationships/hyperlink" Target="https://expa.aiesec.org/opportunities/1300681" TargetMode="External"/><Relationship Id="rId4227" Type="http://schemas.openxmlformats.org/officeDocument/2006/relationships/hyperlink" Target="https://expa.aiesec.org/opportunities/1300836" TargetMode="External"/><Relationship Id="rId4229" Type="http://schemas.openxmlformats.org/officeDocument/2006/relationships/hyperlink" Target="https://expa.aiesec.org/opportunities/1301512" TargetMode="External"/><Relationship Id="rId1190" Type="http://schemas.openxmlformats.org/officeDocument/2006/relationships/hyperlink" Target="https://expa.aiesec.org/opportunities/1284541" TargetMode="External"/><Relationship Id="rId1191" Type="http://schemas.openxmlformats.org/officeDocument/2006/relationships/hyperlink" Target="https://expa.aiesec.org/opportunities/1288611" TargetMode="External"/><Relationship Id="rId1192" Type="http://schemas.openxmlformats.org/officeDocument/2006/relationships/hyperlink" Target="https://expa.aiesec.org/opportunities/1292818" TargetMode="External"/><Relationship Id="rId1193" Type="http://schemas.openxmlformats.org/officeDocument/2006/relationships/hyperlink" Target="https://expa.aiesec.org/opportunities/1288377" TargetMode="External"/><Relationship Id="rId1194" Type="http://schemas.openxmlformats.org/officeDocument/2006/relationships/hyperlink" Target="https://expa.aiesec.org/opportunities/1292412" TargetMode="External"/><Relationship Id="rId4220" Type="http://schemas.openxmlformats.org/officeDocument/2006/relationships/hyperlink" Target="https://expa.aiesec.org/opportunities/1296101" TargetMode="External"/><Relationship Id="rId1195" Type="http://schemas.openxmlformats.org/officeDocument/2006/relationships/hyperlink" Target="https://expa.aiesec.org/opportunities/1281231" TargetMode="External"/><Relationship Id="rId1196" Type="http://schemas.openxmlformats.org/officeDocument/2006/relationships/hyperlink" Target="https://expa.aiesec.org/opportunities/1290642" TargetMode="External"/><Relationship Id="rId4222" Type="http://schemas.openxmlformats.org/officeDocument/2006/relationships/hyperlink" Target="https://expa.aiesec.org/opportunities/1301997" TargetMode="External"/><Relationship Id="rId1197" Type="http://schemas.openxmlformats.org/officeDocument/2006/relationships/hyperlink" Target="https://expa.aiesec.org/opportunities/1292557" TargetMode="External"/><Relationship Id="rId4221" Type="http://schemas.openxmlformats.org/officeDocument/2006/relationships/hyperlink" Target="https://expa.aiesec.org/opportunities/1296105" TargetMode="External"/><Relationship Id="rId1198" Type="http://schemas.openxmlformats.org/officeDocument/2006/relationships/hyperlink" Target="https://expa.aiesec.org/opportunities/1287985" TargetMode="External"/><Relationship Id="rId4224" Type="http://schemas.openxmlformats.org/officeDocument/2006/relationships/hyperlink" Target="https://expa.aiesec.org/opportunities/1300056" TargetMode="External"/><Relationship Id="rId1199" Type="http://schemas.openxmlformats.org/officeDocument/2006/relationships/hyperlink" Target="https://expa.aiesec.org/opportunities/1287616" TargetMode="External"/><Relationship Id="rId4223" Type="http://schemas.openxmlformats.org/officeDocument/2006/relationships/hyperlink" Target="https://expa.aiesec.org/opportunities/1289689" TargetMode="External"/><Relationship Id="rId4226" Type="http://schemas.openxmlformats.org/officeDocument/2006/relationships/hyperlink" Target="https://expa.aiesec.org/opportunities/1290731" TargetMode="External"/><Relationship Id="rId4225" Type="http://schemas.openxmlformats.org/officeDocument/2006/relationships/hyperlink" Target="https://expa.aiesec.org/opportunities/1288970" TargetMode="External"/><Relationship Id="rId4217" Type="http://schemas.openxmlformats.org/officeDocument/2006/relationships/hyperlink" Target="https://expa.aiesec.org/opportunities/1298736" TargetMode="External"/><Relationship Id="rId4216" Type="http://schemas.openxmlformats.org/officeDocument/2006/relationships/hyperlink" Target="https://expa.aiesec.org/opportunities/1296101" TargetMode="External"/><Relationship Id="rId4219" Type="http://schemas.openxmlformats.org/officeDocument/2006/relationships/hyperlink" Target="https://expa.aiesec.org/opportunities/1288330" TargetMode="External"/><Relationship Id="rId4218" Type="http://schemas.openxmlformats.org/officeDocument/2006/relationships/hyperlink" Target="https://expa.aiesec.org/opportunities/1301902" TargetMode="External"/><Relationship Id="rId599" Type="http://schemas.openxmlformats.org/officeDocument/2006/relationships/hyperlink" Target="https://expa.aiesec.org/opportunities/1289155" TargetMode="External"/><Relationship Id="rId1180" Type="http://schemas.openxmlformats.org/officeDocument/2006/relationships/hyperlink" Target="https://expa.aiesec.org/opportunities/1292728" TargetMode="External"/><Relationship Id="rId1181" Type="http://schemas.openxmlformats.org/officeDocument/2006/relationships/hyperlink" Target="https://expa.aiesec.org/opportunities/1292719" TargetMode="External"/><Relationship Id="rId1182" Type="http://schemas.openxmlformats.org/officeDocument/2006/relationships/hyperlink" Target="https://expa.aiesec.org/opportunities/1287855" TargetMode="External"/><Relationship Id="rId594" Type="http://schemas.openxmlformats.org/officeDocument/2006/relationships/hyperlink" Target="https://expa.aiesec.org/opportunities/1290210" TargetMode="External"/><Relationship Id="rId1183" Type="http://schemas.openxmlformats.org/officeDocument/2006/relationships/hyperlink" Target="https://expa.aiesec.org/opportunities/1290282" TargetMode="External"/><Relationship Id="rId593" Type="http://schemas.openxmlformats.org/officeDocument/2006/relationships/hyperlink" Target="https://expa.aiesec.org/opportunities/1290210" TargetMode="External"/><Relationship Id="rId1184" Type="http://schemas.openxmlformats.org/officeDocument/2006/relationships/hyperlink" Target="https://expa.aiesec.org/opportunities/1292501" TargetMode="External"/><Relationship Id="rId592" Type="http://schemas.openxmlformats.org/officeDocument/2006/relationships/hyperlink" Target="https://expa.aiesec.org/opportunities/1287459" TargetMode="External"/><Relationship Id="rId1185" Type="http://schemas.openxmlformats.org/officeDocument/2006/relationships/hyperlink" Target="https://expa.aiesec.org/opportunities/1292501" TargetMode="External"/><Relationship Id="rId4211" Type="http://schemas.openxmlformats.org/officeDocument/2006/relationships/hyperlink" Target="https://expa.aiesec.org/opportunities/1289255" TargetMode="External"/><Relationship Id="rId591" Type="http://schemas.openxmlformats.org/officeDocument/2006/relationships/hyperlink" Target="https://expa.aiesec.org/opportunities/1289852" TargetMode="External"/><Relationship Id="rId1186" Type="http://schemas.openxmlformats.org/officeDocument/2006/relationships/hyperlink" Target="https://expa.aiesec.org/opportunities/1286228" TargetMode="External"/><Relationship Id="rId4210" Type="http://schemas.openxmlformats.org/officeDocument/2006/relationships/hyperlink" Target="https://expa.aiesec.org/opportunities/1289485" TargetMode="External"/><Relationship Id="rId598" Type="http://schemas.openxmlformats.org/officeDocument/2006/relationships/hyperlink" Target="https://expa.aiesec.org/opportunities/1289673" TargetMode="External"/><Relationship Id="rId1187" Type="http://schemas.openxmlformats.org/officeDocument/2006/relationships/hyperlink" Target="https://expa.aiesec.org/opportunities/1281344" TargetMode="External"/><Relationship Id="rId4213" Type="http://schemas.openxmlformats.org/officeDocument/2006/relationships/hyperlink" Target="https://expa.aiesec.org/opportunities/1284485" TargetMode="External"/><Relationship Id="rId597" Type="http://schemas.openxmlformats.org/officeDocument/2006/relationships/hyperlink" Target="https://expa.aiesec.org/opportunities/1284452" TargetMode="External"/><Relationship Id="rId1188" Type="http://schemas.openxmlformats.org/officeDocument/2006/relationships/hyperlink" Target="https://expa.aiesec.org/opportunities/1288813" TargetMode="External"/><Relationship Id="rId4212" Type="http://schemas.openxmlformats.org/officeDocument/2006/relationships/hyperlink" Target="https://expa.aiesec.org/opportunities/1264946" TargetMode="External"/><Relationship Id="rId596" Type="http://schemas.openxmlformats.org/officeDocument/2006/relationships/hyperlink" Target="https://expa.aiesec.org/opportunities/1287488" TargetMode="External"/><Relationship Id="rId1189" Type="http://schemas.openxmlformats.org/officeDocument/2006/relationships/hyperlink" Target="https://expa.aiesec.org/opportunities/1289536" TargetMode="External"/><Relationship Id="rId4215" Type="http://schemas.openxmlformats.org/officeDocument/2006/relationships/hyperlink" Target="https://expa.aiesec.org/opportunities/1302175" TargetMode="External"/><Relationship Id="rId595" Type="http://schemas.openxmlformats.org/officeDocument/2006/relationships/hyperlink" Target="https://expa.aiesec.org/opportunities/1286326" TargetMode="External"/><Relationship Id="rId4214" Type="http://schemas.openxmlformats.org/officeDocument/2006/relationships/hyperlink" Target="https://expa.aiesec.org/opportunities/1301673" TargetMode="External"/><Relationship Id="rId1136" Type="http://schemas.openxmlformats.org/officeDocument/2006/relationships/hyperlink" Target="https://expa.aiesec.org/opportunities/1292342" TargetMode="External"/><Relationship Id="rId2467" Type="http://schemas.openxmlformats.org/officeDocument/2006/relationships/hyperlink" Target="https://expa.aiesec.org/opportunities/1288609" TargetMode="External"/><Relationship Id="rId3799" Type="http://schemas.openxmlformats.org/officeDocument/2006/relationships/hyperlink" Target="https://expa.aiesec.org/opportunities/1289850" TargetMode="External"/><Relationship Id="rId1137" Type="http://schemas.openxmlformats.org/officeDocument/2006/relationships/hyperlink" Target="https://expa.aiesec.org/opportunities/1288280" TargetMode="External"/><Relationship Id="rId2468" Type="http://schemas.openxmlformats.org/officeDocument/2006/relationships/hyperlink" Target="https://expa.aiesec.org/opportunities/1295830" TargetMode="External"/><Relationship Id="rId3798" Type="http://schemas.openxmlformats.org/officeDocument/2006/relationships/hyperlink" Target="https://expa.aiesec.org/opportunities/1291254" TargetMode="External"/><Relationship Id="rId1138" Type="http://schemas.openxmlformats.org/officeDocument/2006/relationships/hyperlink" Target="https://expa.aiesec.org/opportunities/1291819" TargetMode="External"/><Relationship Id="rId2469" Type="http://schemas.openxmlformats.org/officeDocument/2006/relationships/hyperlink" Target="https://expa.aiesec.org/opportunities/1295240" TargetMode="External"/><Relationship Id="rId1139" Type="http://schemas.openxmlformats.org/officeDocument/2006/relationships/hyperlink" Target="https://expa.aiesec.org/opportunities/1291819" TargetMode="External"/><Relationship Id="rId547" Type="http://schemas.openxmlformats.org/officeDocument/2006/relationships/hyperlink" Target="https://expa.aiesec.org/opportunities/1288970" TargetMode="External"/><Relationship Id="rId546" Type="http://schemas.openxmlformats.org/officeDocument/2006/relationships/hyperlink" Target="https://expa.aiesec.org/opportunities/1289396" TargetMode="External"/><Relationship Id="rId545" Type="http://schemas.openxmlformats.org/officeDocument/2006/relationships/hyperlink" Target="https://expa.aiesec.org/opportunities/1279548" TargetMode="External"/><Relationship Id="rId544" Type="http://schemas.openxmlformats.org/officeDocument/2006/relationships/hyperlink" Target="https://expa.aiesec.org/opportunities/1287226" TargetMode="External"/><Relationship Id="rId549" Type="http://schemas.openxmlformats.org/officeDocument/2006/relationships/hyperlink" Target="https://expa.aiesec.org/opportunities/1283483" TargetMode="External"/><Relationship Id="rId548" Type="http://schemas.openxmlformats.org/officeDocument/2006/relationships/hyperlink" Target="https://expa.aiesec.org/opportunities/1290259" TargetMode="External"/><Relationship Id="rId3791" Type="http://schemas.openxmlformats.org/officeDocument/2006/relationships/hyperlink" Target="https://expa.aiesec.org/opportunities/1299199" TargetMode="External"/><Relationship Id="rId2460" Type="http://schemas.openxmlformats.org/officeDocument/2006/relationships/hyperlink" Target="https://expa.aiesec.org/opportunities/1288417" TargetMode="External"/><Relationship Id="rId3790" Type="http://schemas.openxmlformats.org/officeDocument/2006/relationships/hyperlink" Target="https://expa.aiesec.org/opportunities/1288843" TargetMode="External"/><Relationship Id="rId1130" Type="http://schemas.openxmlformats.org/officeDocument/2006/relationships/hyperlink" Target="https://expa.aiesec.org/opportunities/1290134" TargetMode="External"/><Relationship Id="rId2461" Type="http://schemas.openxmlformats.org/officeDocument/2006/relationships/hyperlink" Target="https://expa.aiesec.org/opportunities/1295875" TargetMode="External"/><Relationship Id="rId3793" Type="http://schemas.openxmlformats.org/officeDocument/2006/relationships/hyperlink" Target="https://expa.aiesec.org/opportunities/1292947" TargetMode="External"/><Relationship Id="rId1131" Type="http://schemas.openxmlformats.org/officeDocument/2006/relationships/hyperlink" Target="https://expa.aiesec.org/opportunities/1283483" TargetMode="External"/><Relationship Id="rId2462" Type="http://schemas.openxmlformats.org/officeDocument/2006/relationships/hyperlink" Target="https://expa.aiesec.org/opportunities/1295408" TargetMode="External"/><Relationship Id="rId3792" Type="http://schemas.openxmlformats.org/officeDocument/2006/relationships/hyperlink" Target="https://expa.aiesec.org/opportunities/1291254" TargetMode="External"/><Relationship Id="rId543" Type="http://schemas.openxmlformats.org/officeDocument/2006/relationships/hyperlink" Target="https://expa.aiesec.org/opportunities/1289855" TargetMode="External"/><Relationship Id="rId1132" Type="http://schemas.openxmlformats.org/officeDocument/2006/relationships/hyperlink" Target="https://expa.aiesec.org/opportunities/1288245" TargetMode="External"/><Relationship Id="rId2463" Type="http://schemas.openxmlformats.org/officeDocument/2006/relationships/hyperlink" Target="https://expa.aiesec.org/opportunities/1296101" TargetMode="External"/><Relationship Id="rId3795" Type="http://schemas.openxmlformats.org/officeDocument/2006/relationships/hyperlink" Target="https://expa.aiesec.org/opportunities/1299661" TargetMode="External"/><Relationship Id="rId542" Type="http://schemas.openxmlformats.org/officeDocument/2006/relationships/hyperlink" Target="https://expa.aiesec.org/opportunities/1290519" TargetMode="External"/><Relationship Id="rId1133" Type="http://schemas.openxmlformats.org/officeDocument/2006/relationships/hyperlink" Target="https://expa.aiesec.org/opportunities/1286751" TargetMode="External"/><Relationship Id="rId2464" Type="http://schemas.openxmlformats.org/officeDocument/2006/relationships/hyperlink" Target="https://expa.aiesec.org/opportunities/1289689" TargetMode="External"/><Relationship Id="rId3794" Type="http://schemas.openxmlformats.org/officeDocument/2006/relationships/hyperlink" Target="https://expa.aiesec.org/opportunities/1286034" TargetMode="External"/><Relationship Id="rId541" Type="http://schemas.openxmlformats.org/officeDocument/2006/relationships/hyperlink" Target="https://expa.aiesec.org/opportunities/1288970" TargetMode="External"/><Relationship Id="rId1134" Type="http://schemas.openxmlformats.org/officeDocument/2006/relationships/hyperlink" Target="https://expa.aiesec.org/opportunities/1286751" TargetMode="External"/><Relationship Id="rId2465" Type="http://schemas.openxmlformats.org/officeDocument/2006/relationships/hyperlink" Target="https://expa.aiesec.org/opportunities/1295453" TargetMode="External"/><Relationship Id="rId3797" Type="http://schemas.openxmlformats.org/officeDocument/2006/relationships/hyperlink" Target="https://expa.aiesec.org/opportunities/1289516" TargetMode="External"/><Relationship Id="rId540" Type="http://schemas.openxmlformats.org/officeDocument/2006/relationships/hyperlink" Target="https://expa.aiesec.org/opportunities/1285687" TargetMode="External"/><Relationship Id="rId1135" Type="http://schemas.openxmlformats.org/officeDocument/2006/relationships/hyperlink" Target="https://expa.aiesec.org/opportunities/1288813" TargetMode="External"/><Relationship Id="rId2466" Type="http://schemas.openxmlformats.org/officeDocument/2006/relationships/hyperlink" Target="https://expa.aiesec.org/opportunities/1287851" TargetMode="External"/><Relationship Id="rId3796" Type="http://schemas.openxmlformats.org/officeDocument/2006/relationships/hyperlink" Target="https://expa.aiesec.org/opportunities/1298282" TargetMode="External"/><Relationship Id="rId1125" Type="http://schemas.openxmlformats.org/officeDocument/2006/relationships/hyperlink" Target="https://expa.aiesec.org/opportunities/1288843" TargetMode="External"/><Relationship Id="rId2456" Type="http://schemas.openxmlformats.org/officeDocument/2006/relationships/hyperlink" Target="https://expa.aiesec.org/opportunities/1289850" TargetMode="External"/><Relationship Id="rId3788" Type="http://schemas.openxmlformats.org/officeDocument/2006/relationships/hyperlink" Target="https://expa.aiesec.org/opportunities/1301303" TargetMode="External"/><Relationship Id="rId1126" Type="http://schemas.openxmlformats.org/officeDocument/2006/relationships/hyperlink" Target="https://expa.aiesec.org/opportunities/1291585" TargetMode="External"/><Relationship Id="rId2457" Type="http://schemas.openxmlformats.org/officeDocument/2006/relationships/hyperlink" Target="https://expa.aiesec.org/opportunities/1295453" TargetMode="External"/><Relationship Id="rId3787" Type="http://schemas.openxmlformats.org/officeDocument/2006/relationships/hyperlink" Target="https://expa.aiesec.org/opportunities/1301227" TargetMode="External"/><Relationship Id="rId1127" Type="http://schemas.openxmlformats.org/officeDocument/2006/relationships/hyperlink" Target="https://expa.aiesec.org/opportunities/1279126" TargetMode="External"/><Relationship Id="rId2458" Type="http://schemas.openxmlformats.org/officeDocument/2006/relationships/hyperlink" Target="https://expa.aiesec.org/opportunities/1285555" TargetMode="External"/><Relationship Id="rId1128" Type="http://schemas.openxmlformats.org/officeDocument/2006/relationships/hyperlink" Target="https://expa.aiesec.org/opportunities/1289536" TargetMode="External"/><Relationship Id="rId2459" Type="http://schemas.openxmlformats.org/officeDocument/2006/relationships/hyperlink" Target="https://expa.aiesec.org/opportunities/1283483" TargetMode="External"/><Relationship Id="rId3789" Type="http://schemas.openxmlformats.org/officeDocument/2006/relationships/hyperlink" Target="https://expa.aiesec.org/opportunities/1289536" TargetMode="External"/><Relationship Id="rId1129" Type="http://schemas.openxmlformats.org/officeDocument/2006/relationships/hyperlink" Target="https://expa.aiesec.org/opportunities/1291819" TargetMode="External"/><Relationship Id="rId536" Type="http://schemas.openxmlformats.org/officeDocument/2006/relationships/hyperlink" Target="https://expa.aiesec.org/opportunities/1290252" TargetMode="External"/><Relationship Id="rId535" Type="http://schemas.openxmlformats.org/officeDocument/2006/relationships/hyperlink" Target="https://expa.aiesec.org/opportunities/1290207" TargetMode="External"/><Relationship Id="rId534" Type="http://schemas.openxmlformats.org/officeDocument/2006/relationships/hyperlink" Target="https://expa.aiesec.org/opportunities/1289353" TargetMode="External"/><Relationship Id="rId533" Type="http://schemas.openxmlformats.org/officeDocument/2006/relationships/hyperlink" Target="https://expa.aiesec.org/opportunities/1281235" TargetMode="External"/><Relationship Id="rId539" Type="http://schemas.openxmlformats.org/officeDocument/2006/relationships/hyperlink" Target="https://expa.aiesec.org/opportunities/1290570" TargetMode="External"/><Relationship Id="rId538" Type="http://schemas.openxmlformats.org/officeDocument/2006/relationships/hyperlink" Target="https://expa.aiesec.org/opportunities/1282413" TargetMode="External"/><Relationship Id="rId537" Type="http://schemas.openxmlformats.org/officeDocument/2006/relationships/hyperlink" Target="https://expa.aiesec.org/opportunities/1288970" TargetMode="External"/><Relationship Id="rId3780" Type="http://schemas.openxmlformats.org/officeDocument/2006/relationships/hyperlink" Target="https://expa.aiesec.org/opportunities/1299758" TargetMode="External"/><Relationship Id="rId2450" Type="http://schemas.openxmlformats.org/officeDocument/2006/relationships/hyperlink" Target="https://expa.aiesec.org/opportunities/1294923" TargetMode="External"/><Relationship Id="rId3782" Type="http://schemas.openxmlformats.org/officeDocument/2006/relationships/hyperlink" Target="https://expa.aiesec.org/opportunities/1299666" TargetMode="External"/><Relationship Id="rId1120" Type="http://schemas.openxmlformats.org/officeDocument/2006/relationships/hyperlink" Target="https://expa.aiesec.org/opportunities/1288813" TargetMode="External"/><Relationship Id="rId2451" Type="http://schemas.openxmlformats.org/officeDocument/2006/relationships/hyperlink" Target="https://expa.aiesec.org/opportunities/1291252" TargetMode="External"/><Relationship Id="rId3781" Type="http://schemas.openxmlformats.org/officeDocument/2006/relationships/hyperlink" Target="https://expa.aiesec.org/opportunities/1299758" TargetMode="External"/><Relationship Id="rId532" Type="http://schemas.openxmlformats.org/officeDocument/2006/relationships/hyperlink" Target="https://expa.aiesec.org/opportunities/1289596" TargetMode="External"/><Relationship Id="rId1121" Type="http://schemas.openxmlformats.org/officeDocument/2006/relationships/hyperlink" Target="https://expa.aiesec.org/opportunities/1286920" TargetMode="External"/><Relationship Id="rId2452" Type="http://schemas.openxmlformats.org/officeDocument/2006/relationships/hyperlink" Target="https://expa.aiesec.org/opportunities/1289850" TargetMode="External"/><Relationship Id="rId3784" Type="http://schemas.openxmlformats.org/officeDocument/2006/relationships/hyperlink" Target="https://expa.aiesec.org/opportunities/1300097" TargetMode="External"/><Relationship Id="rId531" Type="http://schemas.openxmlformats.org/officeDocument/2006/relationships/hyperlink" Target="https://expa.aiesec.org/opportunities/1289228" TargetMode="External"/><Relationship Id="rId1122" Type="http://schemas.openxmlformats.org/officeDocument/2006/relationships/hyperlink" Target="https://expa.aiesec.org/opportunities/1291605" TargetMode="External"/><Relationship Id="rId2453" Type="http://schemas.openxmlformats.org/officeDocument/2006/relationships/hyperlink" Target="https://expa.aiesec.org/opportunities/1294785" TargetMode="External"/><Relationship Id="rId3783" Type="http://schemas.openxmlformats.org/officeDocument/2006/relationships/hyperlink" Target="https://expa.aiesec.org/opportunities/1298556" TargetMode="External"/><Relationship Id="rId530" Type="http://schemas.openxmlformats.org/officeDocument/2006/relationships/hyperlink" Target="https://expa.aiesec.org/opportunities/1287101" TargetMode="External"/><Relationship Id="rId1123" Type="http://schemas.openxmlformats.org/officeDocument/2006/relationships/hyperlink" Target="https://expa.aiesec.org/opportunities/1286920" TargetMode="External"/><Relationship Id="rId2454" Type="http://schemas.openxmlformats.org/officeDocument/2006/relationships/hyperlink" Target="https://expa.aiesec.org/opportunities/1289293" TargetMode="External"/><Relationship Id="rId3786" Type="http://schemas.openxmlformats.org/officeDocument/2006/relationships/hyperlink" Target="https://expa.aiesec.org/opportunities/1300779" TargetMode="External"/><Relationship Id="rId1124" Type="http://schemas.openxmlformats.org/officeDocument/2006/relationships/hyperlink" Target="https://expa.aiesec.org/opportunities/1272564" TargetMode="External"/><Relationship Id="rId2455" Type="http://schemas.openxmlformats.org/officeDocument/2006/relationships/hyperlink" Target="https://expa.aiesec.org/opportunities/1288094" TargetMode="External"/><Relationship Id="rId3785" Type="http://schemas.openxmlformats.org/officeDocument/2006/relationships/hyperlink" Target="https://expa.aiesec.org/opportunities/1300779" TargetMode="External"/><Relationship Id="rId1158" Type="http://schemas.openxmlformats.org/officeDocument/2006/relationships/hyperlink" Target="https://expa.aiesec.org/opportunities/1286920" TargetMode="External"/><Relationship Id="rId2489" Type="http://schemas.openxmlformats.org/officeDocument/2006/relationships/hyperlink" Target="https://expa.aiesec.org/opportunities/1293477" TargetMode="External"/><Relationship Id="rId1159" Type="http://schemas.openxmlformats.org/officeDocument/2006/relationships/hyperlink" Target="https://expa.aiesec.org/opportunities/1292557" TargetMode="External"/><Relationship Id="rId569" Type="http://schemas.openxmlformats.org/officeDocument/2006/relationships/hyperlink" Target="https://expa.aiesec.org/opportunities/1284081" TargetMode="External"/><Relationship Id="rId568" Type="http://schemas.openxmlformats.org/officeDocument/2006/relationships/hyperlink" Target="https://expa.aiesec.org/opportunities/1288711" TargetMode="External"/><Relationship Id="rId567" Type="http://schemas.openxmlformats.org/officeDocument/2006/relationships/hyperlink" Target="https://expa.aiesec.org/opportunities/1287966" TargetMode="External"/><Relationship Id="rId566" Type="http://schemas.openxmlformats.org/officeDocument/2006/relationships/hyperlink" Target="https://expa.aiesec.org/opportunities/1288594" TargetMode="External"/><Relationship Id="rId2480" Type="http://schemas.openxmlformats.org/officeDocument/2006/relationships/hyperlink" Target="https://expa.aiesec.org/opportunities/1295404" TargetMode="External"/><Relationship Id="rId561" Type="http://schemas.openxmlformats.org/officeDocument/2006/relationships/hyperlink" Target="https://expa.aiesec.org/opportunities/1288616" TargetMode="External"/><Relationship Id="rId1150" Type="http://schemas.openxmlformats.org/officeDocument/2006/relationships/hyperlink" Target="https://expa.aiesec.org/opportunities/1292528" TargetMode="External"/><Relationship Id="rId2481" Type="http://schemas.openxmlformats.org/officeDocument/2006/relationships/hyperlink" Target="https://expa.aiesec.org/opportunities/1296244" TargetMode="External"/><Relationship Id="rId560" Type="http://schemas.openxmlformats.org/officeDocument/2006/relationships/hyperlink" Target="https://expa.aiesec.org/opportunities/1288616" TargetMode="External"/><Relationship Id="rId1151" Type="http://schemas.openxmlformats.org/officeDocument/2006/relationships/hyperlink" Target="https://expa.aiesec.org/opportunities/1292557" TargetMode="External"/><Relationship Id="rId2482" Type="http://schemas.openxmlformats.org/officeDocument/2006/relationships/hyperlink" Target="https://expa.aiesec.org/opportunities/1295628" TargetMode="External"/><Relationship Id="rId1152" Type="http://schemas.openxmlformats.org/officeDocument/2006/relationships/hyperlink" Target="https://expa.aiesec.org/opportunities/1292535" TargetMode="External"/><Relationship Id="rId2483" Type="http://schemas.openxmlformats.org/officeDocument/2006/relationships/hyperlink" Target="https://expa.aiesec.org/opportunities/1294916" TargetMode="External"/><Relationship Id="rId1153" Type="http://schemas.openxmlformats.org/officeDocument/2006/relationships/hyperlink" Target="https://expa.aiesec.org/opportunities/1281195" TargetMode="External"/><Relationship Id="rId2484" Type="http://schemas.openxmlformats.org/officeDocument/2006/relationships/hyperlink" Target="https://expa.aiesec.org/opportunities/1294452" TargetMode="External"/><Relationship Id="rId565" Type="http://schemas.openxmlformats.org/officeDocument/2006/relationships/hyperlink" Target="https://expa.aiesec.org/opportunities/1290418" TargetMode="External"/><Relationship Id="rId1154" Type="http://schemas.openxmlformats.org/officeDocument/2006/relationships/hyperlink" Target="https://expa.aiesec.org/opportunities/1287987" TargetMode="External"/><Relationship Id="rId2485" Type="http://schemas.openxmlformats.org/officeDocument/2006/relationships/hyperlink" Target="https://expa.aiesec.org/opportunities/1295514" TargetMode="External"/><Relationship Id="rId564" Type="http://schemas.openxmlformats.org/officeDocument/2006/relationships/hyperlink" Target="https://expa.aiesec.org/opportunities/1287855" TargetMode="External"/><Relationship Id="rId1155" Type="http://schemas.openxmlformats.org/officeDocument/2006/relationships/hyperlink" Target="https://expa.aiesec.org/opportunities/1278298" TargetMode="External"/><Relationship Id="rId2486" Type="http://schemas.openxmlformats.org/officeDocument/2006/relationships/hyperlink" Target="https://expa.aiesec.org/opportunities/1280973" TargetMode="External"/><Relationship Id="rId563" Type="http://schemas.openxmlformats.org/officeDocument/2006/relationships/hyperlink" Target="https://expa.aiesec.org/opportunities/1288419" TargetMode="External"/><Relationship Id="rId1156" Type="http://schemas.openxmlformats.org/officeDocument/2006/relationships/hyperlink" Target="https://expa.aiesec.org/opportunities/1291929" TargetMode="External"/><Relationship Id="rId2487" Type="http://schemas.openxmlformats.org/officeDocument/2006/relationships/hyperlink" Target="https://expa.aiesec.org/opportunities/1284125" TargetMode="External"/><Relationship Id="rId562" Type="http://schemas.openxmlformats.org/officeDocument/2006/relationships/hyperlink" Target="https://expa.aiesec.org/opportunities/1288711" TargetMode="External"/><Relationship Id="rId1157" Type="http://schemas.openxmlformats.org/officeDocument/2006/relationships/hyperlink" Target="https://expa.aiesec.org/opportunities/1284831" TargetMode="External"/><Relationship Id="rId2488" Type="http://schemas.openxmlformats.org/officeDocument/2006/relationships/hyperlink" Target="https://expa.aiesec.org/opportunities/1291427" TargetMode="External"/><Relationship Id="rId1147" Type="http://schemas.openxmlformats.org/officeDocument/2006/relationships/hyperlink" Target="https://expa.aiesec.org/opportunities/1289985" TargetMode="External"/><Relationship Id="rId2478" Type="http://schemas.openxmlformats.org/officeDocument/2006/relationships/hyperlink" Target="https://expa.aiesec.org/opportunities/1296101" TargetMode="External"/><Relationship Id="rId1148" Type="http://schemas.openxmlformats.org/officeDocument/2006/relationships/hyperlink" Target="https://expa.aiesec.org/opportunities/1286920" TargetMode="External"/><Relationship Id="rId2479" Type="http://schemas.openxmlformats.org/officeDocument/2006/relationships/hyperlink" Target="https://expa.aiesec.org/opportunities/1293726" TargetMode="External"/><Relationship Id="rId1149" Type="http://schemas.openxmlformats.org/officeDocument/2006/relationships/hyperlink" Target="https://expa.aiesec.org/opportunities/1288970" TargetMode="External"/><Relationship Id="rId558" Type="http://schemas.openxmlformats.org/officeDocument/2006/relationships/hyperlink" Target="https://expa.aiesec.org/opportunities/1277549" TargetMode="External"/><Relationship Id="rId557" Type="http://schemas.openxmlformats.org/officeDocument/2006/relationships/hyperlink" Target="https://expa.aiesec.org/opportunities/1287113" TargetMode="External"/><Relationship Id="rId556" Type="http://schemas.openxmlformats.org/officeDocument/2006/relationships/hyperlink" Target="https://expa.aiesec.org/opportunities/1288330" TargetMode="External"/><Relationship Id="rId555" Type="http://schemas.openxmlformats.org/officeDocument/2006/relationships/hyperlink" Target="https://expa.aiesec.org/opportunities/1286488" TargetMode="External"/><Relationship Id="rId559" Type="http://schemas.openxmlformats.org/officeDocument/2006/relationships/hyperlink" Target="https://expa.aiesec.org/opportunities/1287244" TargetMode="External"/><Relationship Id="rId550" Type="http://schemas.openxmlformats.org/officeDocument/2006/relationships/hyperlink" Target="https://expa.aiesec.org/opportunities/1289505" TargetMode="External"/><Relationship Id="rId2470" Type="http://schemas.openxmlformats.org/officeDocument/2006/relationships/hyperlink" Target="https://expa.aiesec.org/opportunities/1294355" TargetMode="External"/><Relationship Id="rId1140" Type="http://schemas.openxmlformats.org/officeDocument/2006/relationships/hyperlink" Target="https://expa.aiesec.org/opportunities/1289985" TargetMode="External"/><Relationship Id="rId2471" Type="http://schemas.openxmlformats.org/officeDocument/2006/relationships/hyperlink" Target="https://expa.aiesec.org/opportunities/1294452" TargetMode="External"/><Relationship Id="rId1141" Type="http://schemas.openxmlformats.org/officeDocument/2006/relationships/hyperlink" Target="https://expa.aiesec.org/opportunities/1289985" TargetMode="External"/><Relationship Id="rId2472" Type="http://schemas.openxmlformats.org/officeDocument/2006/relationships/hyperlink" Target="https://expa.aiesec.org/opportunities/1279126" TargetMode="External"/><Relationship Id="rId1142" Type="http://schemas.openxmlformats.org/officeDocument/2006/relationships/hyperlink" Target="https://expa.aiesec.org/opportunities/1289215" TargetMode="External"/><Relationship Id="rId2473" Type="http://schemas.openxmlformats.org/officeDocument/2006/relationships/hyperlink" Target="https://expa.aiesec.org/opportunities/1296115" TargetMode="External"/><Relationship Id="rId554" Type="http://schemas.openxmlformats.org/officeDocument/2006/relationships/hyperlink" Target="https://expa.aiesec.org/opportunities/1288708" TargetMode="External"/><Relationship Id="rId1143" Type="http://schemas.openxmlformats.org/officeDocument/2006/relationships/hyperlink" Target="https://expa.aiesec.org/opportunities/1285085" TargetMode="External"/><Relationship Id="rId2474" Type="http://schemas.openxmlformats.org/officeDocument/2006/relationships/hyperlink" Target="https://expa.aiesec.org/opportunities/1294387" TargetMode="External"/><Relationship Id="rId553" Type="http://schemas.openxmlformats.org/officeDocument/2006/relationships/hyperlink" Target="https://expa.aiesec.org/opportunities/1272564" TargetMode="External"/><Relationship Id="rId1144" Type="http://schemas.openxmlformats.org/officeDocument/2006/relationships/hyperlink" Target="https://expa.aiesec.org/opportunities/1289709" TargetMode="External"/><Relationship Id="rId2475" Type="http://schemas.openxmlformats.org/officeDocument/2006/relationships/hyperlink" Target="https://expa.aiesec.org/opportunities/1294372" TargetMode="External"/><Relationship Id="rId552" Type="http://schemas.openxmlformats.org/officeDocument/2006/relationships/hyperlink" Target="https://expa.aiesec.org/opportunities/1289228" TargetMode="External"/><Relationship Id="rId1145" Type="http://schemas.openxmlformats.org/officeDocument/2006/relationships/hyperlink" Target="https://expa.aiesec.org/opportunities/1292361" TargetMode="External"/><Relationship Id="rId2476" Type="http://schemas.openxmlformats.org/officeDocument/2006/relationships/hyperlink" Target="https://expa.aiesec.org/opportunities/1286368" TargetMode="External"/><Relationship Id="rId551" Type="http://schemas.openxmlformats.org/officeDocument/2006/relationships/hyperlink" Target="https://expa.aiesec.org/opportunities/1288798" TargetMode="External"/><Relationship Id="rId1146" Type="http://schemas.openxmlformats.org/officeDocument/2006/relationships/hyperlink" Target="https://expa.aiesec.org/opportunities/1291254" TargetMode="External"/><Relationship Id="rId2477" Type="http://schemas.openxmlformats.org/officeDocument/2006/relationships/hyperlink" Target="https://expa.aiesec.org/opportunities/1288419" TargetMode="External"/><Relationship Id="rId4280" Type="http://schemas.openxmlformats.org/officeDocument/2006/relationships/hyperlink" Target="https://expa.aiesec.org/opportunities/1286658" TargetMode="External"/><Relationship Id="rId4282" Type="http://schemas.openxmlformats.org/officeDocument/2006/relationships/hyperlink" Target="https://expa.aiesec.org/opportunities/1281345" TargetMode="External"/><Relationship Id="rId4281" Type="http://schemas.openxmlformats.org/officeDocument/2006/relationships/hyperlink" Target="https://expa.aiesec.org/opportunities/1289965" TargetMode="External"/><Relationship Id="rId4284" Type="http://schemas.openxmlformats.org/officeDocument/2006/relationships/hyperlink" Target="https://expa.aiesec.org/opportunities/1281010" TargetMode="External"/><Relationship Id="rId4283" Type="http://schemas.openxmlformats.org/officeDocument/2006/relationships/hyperlink" Target="https://expa.aiesec.org/opportunities/1288486" TargetMode="External"/><Relationship Id="rId4286" Type="http://schemas.openxmlformats.org/officeDocument/2006/relationships/hyperlink" Target="https://expa.aiesec.org/opportunities/1295893" TargetMode="External"/><Relationship Id="rId4285" Type="http://schemas.openxmlformats.org/officeDocument/2006/relationships/hyperlink" Target="https://expa.aiesec.org/opportunities/1281345" TargetMode="External"/><Relationship Id="rId4288" Type="http://schemas.openxmlformats.org/officeDocument/2006/relationships/hyperlink" Target="https://expa.aiesec.org/opportunities/1292535" TargetMode="External"/><Relationship Id="rId4287" Type="http://schemas.openxmlformats.org/officeDocument/2006/relationships/hyperlink" Target="https://expa.aiesec.org/opportunities/1303008" TargetMode="External"/><Relationship Id="rId4289" Type="http://schemas.openxmlformats.org/officeDocument/2006/relationships/hyperlink" Target="https://expa.aiesec.org/opportunities/1300750" TargetMode="External"/><Relationship Id="rId4271" Type="http://schemas.openxmlformats.org/officeDocument/2006/relationships/hyperlink" Target="https://expa.aiesec.org/opportunities/1302495" TargetMode="External"/><Relationship Id="rId4270" Type="http://schemas.openxmlformats.org/officeDocument/2006/relationships/hyperlink" Target="https://expa.aiesec.org/opportunities/1299851" TargetMode="External"/><Relationship Id="rId4273" Type="http://schemas.openxmlformats.org/officeDocument/2006/relationships/hyperlink" Target="https://expa.aiesec.org/opportunities/1296625" TargetMode="External"/><Relationship Id="rId4272" Type="http://schemas.openxmlformats.org/officeDocument/2006/relationships/hyperlink" Target="https://expa.aiesec.org/opportunities/1293635" TargetMode="External"/><Relationship Id="rId4275" Type="http://schemas.openxmlformats.org/officeDocument/2006/relationships/hyperlink" Target="https://expa.aiesec.org/opportunities/1299454" TargetMode="External"/><Relationship Id="rId4274" Type="http://schemas.openxmlformats.org/officeDocument/2006/relationships/hyperlink" Target="https://expa.aiesec.org/opportunities/1299666" TargetMode="External"/><Relationship Id="rId4277" Type="http://schemas.openxmlformats.org/officeDocument/2006/relationships/hyperlink" Target="https://expa.aiesec.org/opportunities/1301834" TargetMode="External"/><Relationship Id="rId4276" Type="http://schemas.openxmlformats.org/officeDocument/2006/relationships/hyperlink" Target="https://expa.aiesec.org/opportunities/1303008" TargetMode="External"/><Relationship Id="rId4279" Type="http://schemas.openxmlformats.org/officeDocument/2006/relationships/hyperlink" Target="https://expa.aiesec.org/opportunities/1286368" TargetMode="External"/><Relationship Id="rId4278" Type="http://schemas.openxmlformats.org/officeDocument/2006/relationships/hyperlink" Target="https://expa.aiesec.org/opportunities/1281345" TargetMode="External"/><Relationship Id="rId4291" Type="http://schemas.openxmlformats.org/officeDocument/2006/relationships/hyperlink" Target="https://expa.aiesec.org/opportunities/1300558" TargetMode="External"/><Relationship Id="rId4290" Type="http://schemas.openxmlformats.org/officeDocument/2006/relationships/hyperlink" Target="https://expa.aiesec.org/opportunities/1303316" TargetMode="External"/><Relationship Id="rId4293" Type="http://schemas.openxmlformats.org/officeDocument/2006/relationships/hyperlink" Target="https://expa.aiesec.org/opportunities/1294941" TargetMode="External"/><Relationship Id="rId4292" Type="http://schemas.openxmlformats.org/officeDocument/2006/relationships/hyperlink" Target="https://expa.aiesec.org/opportunities/1303008" TargetMode="External"/><Relationship Id="rId4295" Type="http://schemas.openxmlformats.org/officeDocument/2006/relationships/drawing" Target="../drawings/drawing1.xml"/><Relationship Id="rId4294" Type="http://schemas.openxmlformats.org/officeDocument/2006/relationships/hyperlink" Target="https://expa.aiesec.org/opportunities/1294795" TargetMode="External"/><Relationship Id="rId4249" Type="http://schemas.openxmlformats.org/officeDocument/2006/relationships/hyperlink" Target="https://expa.aiesec.org/opportunities/1301758" TargetMode="External"/><Relationship Id="rId4240" Type="http://schemas.openxmlformats.org/officeDocument/2006/relationships/hyperlink" Target="https://expa.aiesec.org/opportunities/1296105" TargetMode="External"/><Relationship Id="rId4242" Type="http://schemas.openxmlformats.org/officeDocument/2006/relationships/hyperlink" Target="https://expa.aiesec.org/opportunities/1296424" TargetMode="External"/><Relationship Id="rId4241" Type="http://schemas.openxmlformats.org/officeDocument/2006/relationships/hyperlink" Target="https://expa.aiesec.org/opportunities/1298281" TargetMode="External"/><Relationship Id="rId4244" Type="http://schemas.openxmlformats.org/officeDocument/2006/relationships/hyperlink" Target="https://expa.aiesec.org/opportunities/1299358" TargetMode="External"/><Relationship Id="rId4243" Type="http://schemas.openxmlformats.org/officeDocument/2006/relationships/hyperlink" Target="https://expa.aiesec.org/opportunities/1294584" TargetMode="External"/><Relationship Id="rId4246" Type="http://schemas.openxmlformats.org/officeDocument/2006/relationships/hyperlink" Target="https://expa.aiesec.org/opportunities/1296101" TargetMode="External"/><Relationship Id="rId4245" Type="http://schemas.openxmlformats.org/officeDocument/2006/relationships/hyperlink" Target="https://expa.aiesec.org/opportunities/1296424" TargetMode="External"/><Relationship Id="rId4248" Type="http://schemas.openxmlformats.org/officeDocument/2006/relationships/hyperlink" Target="https://expa.aiesec.org/opportunities/1289965" TargetMode="External"/><Relationship Id="rId4247" Type="http://schemas.openxmlformats.org/officeDocument/2006/relationships/hyperlink" Target="https://expa.aiesec.org/opportunities/1289255" TargetMode="External"/><Relationship Id="rId4239" Type="http://schemas.openxmlformats.org/officeDocument/2006/relationships/hyperlink" Target="https://expa.aiesec.org/opportunities/1302530" TargetMode="External"/><Relationship Id="rId4238" Type="http://schemas.openxmlformats.org/officeDocument/2006/relationships/hyperlink" Target="https://expa.aiesec.org/opportunities/1294941" TargetMode="External"/><Relationship Id="rId495" Type="http://schemas.openxmlformats.org/officeDocument/2006/relationships/hyperlink" Target="https://expa.aiesec.org/opportunities/1289985" TargetMode="External"/><Relationship Id="rId4231" Type="http://schemas.openxmlformats.org/officeDocument/2006/relationships/hyperlink" Target="https://expa.aiesec.org/opportunities/1294584" TargetMode="External"/><Relationship Id="rId494" Type="http://schemas.openxmlformats.org/officeDocument/2006/relationships/hyperlink" Target="https://expa.aiesec.org/opportunities/1279548" TargetMode="External"/><Relationship Id="rId4230" Type="http://schemas.openxmlformats.org/officeDocument/2006/relationships/hyperlink" Target="https://expa.aiesec.org/opportunities/1284081" TargetMode="External"/><Relationship Id="rId493" Type="http://schemas.openxmlformats.org/officeDocument/2006/relationships/hyperlink" Target="https://expa.aiesec.org/opportunities/1286821" TargetMode="External"/><Relationship Id="rId4233" Type="http://schemas.openxmlformats.org/officeDocument/2006/relationships/hyperlink" Target="https://expa.aiesec.org/opportunities/1295745" TargetMode="External"/><Relationship Id="rId492" Type="http://schemas.openxmlformats.org/officeDocument/2006/relationships/hyperlink" Target="https://expa.aiesec.org/opportunities/1288711" TargetMode="External"/><Relationship Id="rId4232" Type="http://schemas.openxmlformats.org/officeDocument/2006/relationships/hyperlink" Target="https://expa.aiesec.org/opportunities/1287942" TargetMode="External"/><Relationship Id="rId499" Type="http://schemas.openxmlformats.org/officeDocument/2006/relationships/hyperlink" Target="https://expa.aiesec.org/opportunities/1288441" TargetMode="External"/><Relationship Id="rId4235" Type="http://schemas.openxmlformats.org/officeDocument/2006/relationships/hyperlink" Target="https://expa.aiesec.org/opportunities/1289536" TargetMode="External"/><Relationship Id="rId498" Type="http://schemas.openxmlformats.org/officeDocument/2006/relationships/hyperlink" Target="https://expa.aiesec.org/opportunities/1288711" TargetMode="External"/><Relationship Id="rId4234" Type="http://schemas.openxmlformats.org/officeDocument/2006/relationships/hyperlink" Target="https://expa.aiesec.org/opportunities/1302694" TargetMode="External"/><Relationship Id="rId497" Type="http://schemas.openxmlformats.org/officeDocument/2006/relationships/hyperlink" Target="https://expa.aiesec.org/opportunities/1290243" TargetMode="External"/><Relationship Id="rId4237" Type="http://schemas.openxmlformats.org/officeDocument/2006/relationships/hyperlink" Target="https://expa.aiesec.org/opportunities/1302031" TargetMode="External"/><Relationship Id="rId496" Type="http://schemas.openxmlformats.org/officeDocument/2006/relationships/hyperlink" Target="https://expa.aiesec.org/opportunities/1283180" TargetMode="External"/><Relationship Id="rId4236" Type="http://schemas.openxmlformats.org/officeDocument/2006/relationships/hyperlink" Target="https://expa.aiesec.org/opportunities/1287488" TargetMode="External"/><Relationship Id="rId4260" Type="http://schemas.openxmlformats.org/officeDocument/2006/relationships/hyperlink" Target="https://expa.aiesec.org/opportunities/1289255" TargetMode="External"/><Relationship Id="rId4262" Type="http://schemas.openxmlformats.org/officeDocument/2006/relationships/hyperlink" Target="https://expa.aiesec.org/opportunities/1300558" TargetMode="External"/><Relationship Id="rId4261" Type="http://schemas.openxmlformats.org/officeDocument/2006/relationships/hyperlink" Target="https://expa.aiesec.org/opportunities/1289564" TargetMode="External"/><Relationship Id="rId4264" Type="http://schemas.openxmlformats.org/officeDocument/2006/relationships/hyperlink" Target="https://expa.aiesec.org/opportunities/1300326" TargetMode="External"/><Relationship Id="rId4263" Type="http://schemas.openxmlformats.org/officeDocument/2006/relationships/hyperlink" Target="https://expa.aiesec.org/opportunities/1289255" TargetMode="External"/><Relationship Id="rId4266" Type="http://schemas.openxmlformats.org/officeDocument/2006/relationships/hyperlink" Target="https://expa.aiesec.org/opportunities/1288330" TargetMode="External"/><Relationship Id="rId4265" Type="http://schemas.openxmlformats.org/officeDocument/2006/relationships/hyperlink" Target="https://expa.aiesec.org/opportunities/1288330" TargetMode="External"/><Relationship Id="rId4268" Type="http://schemas.openxmlformats.org/officeDocument/2006/relationships/hyperlink" Target="https://expa.aiesec.org/opportunities/1293417" TargetMode="External"/><Relationship Id="rId4267" Type="http://schemas.openxmlformats.org/officeDocument/2006/relationships/hyperlink" Target="https://expa.aiesec.org/opportunities/1287488" TargetMode="External"/><Relationship Id="rId4269" Type="http://schemas.openxmlformats.org/officeDocument/2006/relationships/hyperlink" Target="https://expa.aiesec.org/opportunities/1303001" TargetMode="External"/><Relationship Id="rId4251" Type="http://schemas.openxmlformats.org/officeDocument/2006/relationships/hyperlink" Target="https://expa.aiesec.org/opportunities/1302896" TargetMode="External"/><Relationship Id="rId4250" Type="http://schemas.openxmlformats.org/officeDocument/2006/relationships/hyperlink" Target="https://expa.aiesec.org/opportunities/1294063" TargetMode="External"/><Relationship Id="rId4253" Type="http://schemas.openxmlformats.org/officeDocument/2006/relationships/hyperlink" Target="https://expa.aiesec.org/opportunities/1299672" TargetMode="External"/><Relationship Id="rId4252" Type="http://schemas.openxmlformats.org/officeDocument/2006/relationships/hyperlink" Target="https://expa.aiesec.org/opportunities/1291482" TargetMode="External"/><Relationship Id="rId4255" Type="http://schemas.openxmlformats.org/officeDocument/2006/relationships/hyperlink" Target="https://expa.aiesec.org/opportunities/1302898" TargetMode="External"/><Relationship Id="rId4254" Type="http://schemas.openxmlformats.org/officeDocument/2006/relationships/hyperlink" Target="https://expa.aiesec.org/opportunities/1294445" TargetMode="External"/><Relationship Id="rId4257" Type="http://schemas.openxmlformats.org/officeDocument/2006/relationships/hyperlink" Target="https://expa.aiesec.org/opportunities/1302591" TargetMode="External"/><Relationship Id="rId4256" Type="http://schemas.openxmlformats.org/officeDocument/2006/relationships/hyperlink" Target="https://expa.aiesec.org/opportunities/1290282" TargetMode="External"/><Relationship Id="rId4259" Type="http://schemas.openxmlformats.org/officeDocument/2006/relationships/hyperlink" Target="https://expa.aiesec.org/opportunities/1296671" TargetMode="External"/><Relationship Id="rId4258" Type="http://schemas.openxmlformats.org/officeDocument/2006/relationships/hyperlink" Target="https://expa.aiesec.org/opportunities/1288330" TargetMode="External"/><Relationship Id="rId3810" Type="http://schemas.openxmlformats.org/officeDocument/2006/relationships/hyperlink" Target="https://expa.aiesec.org/opportunities/1281345" TargetMode="External"/><Relationship Id="rId3812" Type="http://schemas.openxmlformats.org/officeDocument/2006/relationships/hyperlink" Target="https://expa.aiesec.org/opportunities/1291634" TargetMode="External"/><Relationship Id="rId3811" Type="http://schemas.openxmlformats.org/officeDocument/2006/relationships/hyperlink" Target="https://expa.aiesec.org/opportunities/1281345" TargetMode="External"/><Relationship Id="rId3814" Type="http://schemas.openxmlformats.org/officeDocument/2006/relationships/hyperlink" Target="https://expa.aiesec.org/opportunities/1292650" TargetMode="External"/><Relationship Id="rId3813" Type="http://schemas.openxmlformats.org/officeDocument/2006/relationships/hyperlink" Target="https://expa.aiesec.org/opportunities/1283288" TargetMode="External"/><Relationship Id="rId3816" Type="http://schemas.openxmlformats.org/officeDocument/2006/relationships/hyperlink" Target="https://expa.aiesec.org/opportunities/1289536" TargetMode="External"/><Relationship Id="rId3815" Type="http://schemas.openxmlformats.org/officeDocument/2006/relationships/hyperlink" Target="https://expa.aiesec.org/opportunities/1292188" TargetMode="External"/><Relationship Id="rId3818" Type="http://schemas.openxmlformats.org/officeDocument/2006/relationships/hyperlink" Target="https://expa.aiesec.org/opportunities/1288330" TargetMode="External"/><Relationship Id="rId3817" Type="http://schemas.openxmlformats.org/officeDocument/2006/relationships/hyperlink" Target="https://expa.aiesec.org/opportunities/1289536" TargetMode="External"/><Relationship Id="rId3819" Type="http://schemas.openxmlformats.org/officeDocument/2006/relationships/hyperlink" Target="https://expa.aiesec.org/opportunities/1288330" TargetMode="External"/><Relationship Id="rId3801" Type="http://schemas.openxmlformats.org/officeDocument/2006/relationships/hyperlink" Target="https://expa.aiesec.org/opportunities/1299331" TargetMode="External"/><Relationship Id="rId3800" Type="http://schemas.openxmlformats.org/officeDocument/2006/relationships/hyperlink" Target="https://expa.aiesec.org/opportunities/1289597" TargetMode="External"/><Relationship Id="rId3803" Type="http://schemas.openxmlformats.org/officeDocument/2006/relationships/hyperlink" Target="https://expa.aiesec.org/opportunities/1299956" TargetMode="External"/><Relationship Id="rId3802" Type="http://schemas.openxmlformats.org/officeDocument/2006/relationships/hyperlink" Target="https://expa.aiesec.org/opportunities/1301583" TargetMode="External"/><Relationship Id="rId3805" Type="http://schemas.openxmlformats.org/officeDocument/2006/relationships/hyperlink" Target="https://expa.aiesec.org/opportunities/1281010" TargetMode="External"/><Relationship Id="rId3804" Type="http://schemas.openxmlformats.org/officeDocument/2006/relationships/hyperlink" Target="https://expa.aiesec.org/opportunities/1301559" TargetMode="External"/><Relationship Id="rId3807" Type="http://schemas.openxmlformats.org/officeDocument/2006/relationships/hyperlink" Target="https://expa.aiesec.org/opportunities/1288609" TargetMode="External"/><Relationship Id="rId3806" Type="http://schemas.openxmlformats.org/officeDocument/2006/relationships/hyperlink" Target="https://expa.aiesec.org/opportunities/1296244" TargetMode="External"/><Relationship Id="rId3809" Type="http://schemas.openxmlformats.org/officeDocument/2006/relationships/hyperlink" Target="https://expa.aiesec.org/opportunities/1301307" TargetMode="External"/><Relationship Id="rId3808" Type="http://schemas.openxmlformats.org/officeDocument/2006/relationships/hyperlink" Target="https://expa.aiesec.org/opportunities/1288609" TargetMode="External"/><Relationship Id="rId1213" Type="http://schemas.openxmlformats.org/officeDocument/2006/relationships/hyperlink" Target="https://expa.aiesec.org/opportunities/1292535" TargetMode="External"/><Relationship Id="rId2544" Type="http://schemas.openxmlformats.org/officeDocument/2006/relationships/hyperlink" Target="https://expa.aiesec.org/opportunities/1278298" TargetMode="External"/><Relationship Id="rId3876" Type="http://schemas.openxmlformats.org/officeDocument/2006/relationships/hyperlink" Target="https://expa.aiesec.org/opportunities/1294232" TargetMode="External"/><Relationship Id="rId1214" Type="http://schemas.openxmlformats.org/officeDocument/2006/relationships/hyperlink" Target="https://expa.aiesec.org/opportunities/1292535" TargetMode="External"/><Relationship Id="rId2545" Type="http://schemas.openxmlformats.org/officeDocument/2006/relationships/hyperlink" Target="https://expa.aiesec.org/opportunities/1294878" TargetMode="External"/><Relationship Id="rId3875" Type="http://schemas.openxmlformats.org/officeDocument/2006/relationships/hyperlink" Target="https://expa.aiesec.org/opportunities/1294232" TargetMode="External"/><Relationship Id="rId1215" Type="http://schemas.openxmlformats.org/officeDocument/2006/relationships/hyperlink" Target="https://expa.aiesec.org/opportunities/1279548" TargetMode="External"/><Relationship Id="rId2546" Type="http://schemas.openxmlformats.org/officeDocument/2006/relationships/hyperlink" Target="https://expa.aiesec.org/opportunities/1294332" TargetMode="External"/><Relationship Id="rId3878" Type="http://schemas.openxmlformats.org/officeDocument/2006/relationships/hyperlink" Target="https://expa.aiesec.org/opportunities/1300841" TargetMode="External"/><Relationship Id="rId1216" Type="http://schemas.openxmlformats.org/officeDocument/2006/relationships/hyperlink" Target="https://expa.aiesec.org/opportunities/1291393" TargetMode="External"/><Relationship Id="rId2547" Type="http://schemas.openxmlformats.org/officeDocument/2006/relationships/hyperlink" Target="https://expa.aiesec.org/opportunities/1296323" TargetMode="External"/><Relationship Id="rId3877" Type="http://schemas.openxmlformats.org/officeDocument/2006/relationships/hyperlink" Target="https://expa.aiesec.org/opportunities/1286917" TargetMode="External"/><Relationship Id="rId1217" Type="http://schemas.openxmlformats.org/officeDocument/2006/relationships/hyperlink" Target="https://expa.aiesec.org/opportunities/1292695" TargetMode="External"/><Relationship Id="rId2548" Type="http://schemas.openxmlformats.org/officeDocument/2006/relationships/hyperlink" Target="https://expa.aiesec.org/opportunities/1293743" TargetMode="External"/><Relationship Id="rId1218" Type="http://schemas.openxmlformats.org/officeDocument/2006/relationships/hyperlink" Target="https://expa.aiesec.org/opportunities/1292706" TargetMode="External"/><Relationship Id="rId2549" Type="http://schemas.openxmlformats.org/officeDocument/2006/relationships/hyperlink" Target="https://expa.aiesec.org/opportunities/1294063" TargetMode="External"/><Relationship Id="rId3879" Type="http://schemas.openxmlformats.org/officeDocument/2006/relationships/hyperlink" Target="https://expa.aiesec.org/opportunities/1300056" TargetMode="External"/><Relationship Id="rId1219" Type="http://schemas.openxmlformats.org/officeDocument/2006/relationships/hyperlink" Target="https://expa.aiesec.org/opportunities/1291929" TargetMode="External"/><Relationship Id="rId3870" Type="http://schemas.openxmlformats.org/officeDocument/2006/relationships/hyperlink" Target="https://expa.aiesec.org/opportunities/1301556" TargetMode="External"/><Relationship Id="rId2540" Type="http://schemas.openxmlformats.org/officeDocument/2006/relationships/hyperlink" Target="https://expa.aiesec.org/opportunities/1289293" TargetMode="External"/><Relationship Id="rId3872" Type="http://schemas.openxmlformats.org/officeDocument/2006/relationships/hyperlink" Target="https://expa.aiesec.org/opportunities/1300017" TargetMode="External"/><Relationship Id="rId1210" Type="http://schemas.openxmlformats.org/officeDocument/2006/relationships/hyperlink" Target="https://expa.aiesec.org/opportunities/1292535" TargetMode="External"/><Relationship Id="rId2541" Type="http://schemas.openxmlformats.org/officeDocument/2006/relationships/hyperlink" Target="https://expa.aiesec.org/opportunities/1295458" TargetMode="External"/><Relationship Id="rId3871" Type="http://schemas.openxmlformats.org/officeDocument/2006/relationships/hyperlink" Target="https://expa.aiesec.org/opportunities/1289536" TargetMode="External"/><Relationship Id="rId1211" Type="http://schemas.openxmlformats.org/officeDocument/2006/relationships/hyperlink" Target="https://expa.aiesec.org/opportunities/1291929" TargetMode="External"/><Relationship Id="rId2542" Type="http://schemas.openxmlformats.org/officeDocument/2006/relationships/hyperlink" Target="https://expa.aiesec.org/opportunities/1277661" TargetMode="External"/><Relationship Id="rId3874" Type="http://schemas.openxmlformats.org/officeDocument/2006/relationships/hyperlink" Target="https://expa.aiesec.org/opportunities/1298618" TargetMode="External"/><Relationship Id="rId1212" Type="http://schemas.openxmlformats.org/officeDocument/2006/relationships/hyperlink" Target="https://expa.aiesec.org/opportunities/1291929" TargetMode="External"/><Relationship Id="rId2543" Type="http://schemas.openxmlformats.org/officeDocument/2006/relationships/hyperlink" Target="https://expa.aiesec.org/opportunities/1287380" TargetMode="External"/><Relationship Id="rId3873" Type="http://schemas.openxmlformats.org/officeDocument/2006/relationships/hyperlink" Target="https://expa.aiesec.org/opportunities/1298275" TargetMode="External"/><Relationship Id="rId1202" Type="http://schemas.openxmlformats.org/officeDocument/2006/relationships/hyperlink" Target="https://expa.aiesec.org/opportunities/1292793" TargetMode="External"/><Relationship Id="rId2533" Type="http://schemas.openxmlformats.org/officeDocument/2006/relationships/hyperlink" Target="https://expa.aiesec.org/opportunities/1296101" TargetMode="External"/><Relationship Id="rId3865" Type="http://schemas.openxmlformats.org/officeDocument/2006/relationships/hyperlink" Target="https://expa.aiesec.org/opportunities/1280872" TargetMode="External"/><Relationship Id="rId1203" Type="http://schemas.openxmlformats.org/officeDocument/2006/relationships/hyperlink" Target="https://expa.aiesec.org/opportunities/1287832" TargetMode="External"/><Relationship Id="rId2534" Type="http://schemas.openxmlformats.org/officeDocument/2006/relationships/hyperlink" Target="https://expa.aiesec.org/opportunities/1294872" TargetMode="External"/><Relationship Id="rId3864" Type="http://schemas.openxmlformats.org/officeDocument/2006/relationships/hyperlink" Target="https://expa.aiesec.org/opportunities/1299121" TargetMode="External"/><Relationship Id="rId1204" Type="http://schemas.openxmlformats.org/officeDocument/2006/relationships/hyperlink" Target="https://expa.aiesec.org/opportunities/1280733" TargetMode="External"/><Relationship Id="rId2535" Type="http://schemas.openxmlformats.org/officeDocument/2006/relationships/hyperlink" Target="https://expa.aiesec.org/opportunities/1296105" TargetMode="External"/><Relationship Id="rId3867" Type="http://schemas.openxmlformats.org/officeDocument/2006/relationships/hyperlink" Target="https://expa.aiesec.org/opportunities/1272564" TargetMode="External"/><Relationship Id="rId1205" Type="http://schemas.openxmlformats.org/officeDocument/2006/relationships/hyperlink" Target="https://expa.aiesec.org/opportunities/1287854" TargetMode="External"/><Relationship Id="rId2536" Type="http://schemas.openxmlformats.org/officeDocument/2006/relationships/hyperlink" Target="https://expa.aiesec.org/opportunities/1281901" TargetMode="External"/><Relationship Id="rId3866" Type="http://schemas.openxmlformats.org/officeDocument/2006/relationships/hyperlink" Target="https://expa.aiesec.org/opportunities/1280872" TargetMode="External"/><Relationship Id="rId1206" Type="http://schemas.openxmlformats.org/officeDocument/2006/relationships/hyperlink" Target="https://expa.aiesec.org/opportunities/1291427" TargetMode="External"/><Relationship Id="rId2537" Type="http://schemas.openxmlformats.org/officeDocument/2006/relationships/hyperlink" Target="https://expa.aiesec.org/opportunities/1281901" TargetMode="External"/><Relationship Id="rId3869" Type="http://schemas.openxmlformats.org/officeDocument/2006/relationships/hyperlink" Target="https://expa.aiesec.org/opportunities/1293268" TargetMode="External"/><Relationship Id="rId1207" Type="http://schemas.openxmlformats.org/officeDocument/2006/relationships/hyperlink" Target="https://expa.aiesec.org/opportunities/1291005" TargetMode="External"/><Relationship Id="rId2538" Type="http://schemas.openxmlformats.org/officeDocument/2006/relationships/hyperlink" Target="https://expa.aiesec.org/opportunities/1281901" TargetMode="External"/><Relationship Id="rId3868" Type="http://schemas.openxmlformats.org/officeDocument/2006/relationships/hyperlink" Target="https://expa.aiesec.org/opportunities/1286339" TargetMode="External"/><Relationship Id="rId1208" Type="http://schemas.openxmlformats.org/officeDocument/2006/relationships/hyperlink" Target="https://expa.aiesec.org/opportunities/1286339" TargetMode="External"/><Relationship Id="rId2539" Type="http://schemas.openxmlformats.org/officeDocument/2006/relationships/hyperlink" Target="https://expa.aiesec.org/opportunities/1289100" TargetMode="External"/><Relationship Id="rId1209" Type="http://schemas.openxmlformats.org/officeDocument/2006/relationships/hyperlink" Target="https://expa.aiesec.org/opportunities/1289536" TargetMode="External"/><Relationship Id="rId3861" Type="http://schemas.openxmlformats.org/officeDocument/2006/relationships/hyperlink" Target="https://expa.aiesec.org/opportunities/1272564" TargetMode="External"/><Relationship Id="rId2530" Type="http://schemas.openxmlformats.org/officeDocument/2006/relationships/hyperlink" Target="https://expa.aiesec.org/opportunities/1288871" TargetMode="External"/><Relationship Id="rId3860" Type="http://schemas.openxmlformats.org/officeDocument/2006/relationships/hyperlink" Target="https://expa.aiesec.org/opportunities/1284077" TargetMode="External"/><Relationship Id="rId1200" Type="http://schemas.openxmlformats.org/officeDocument/2006/relationships/hyperlink" Target="https://expa.aiesec.org/opportunities/1287616" TargetMode="External"/><Relationship Id="rId2531" Type="http://schemas.openxmlformats.org/officeDocument/2006/relationships/hyperlink" Target="https://expa.aiesec.org/opportunities/1288582" TargetMode="External"/><Relationship Id="rId3863" Type="http://schemas.openxmlformats.org/officeDocument/2006/relationships/hyperlink" Target="https://expa.aiesec.org/opportunities/1293100" TargetMode="External"/><Relationship Id="rId1201" Type="http://schemas.openxmlformats.org/officeDocument/2006/relationships/hyperlink" Target="https://expa.aiesec.org/opportunities/1284541" TargetMode="External"/><Relationship Id="rId2532" Type="http://schemas.openxmlformats.org/officeDocument/2006/relationships/hyperlink" Target="https://expa.aiesec.org/opportunities/1296474" TargetMode="External"/><Relationship Id="rId3862" Type="http://schemas.openxmlformats.org/officeDocument/2006/relationships/hyperlink" Target="https://expa.aiesec.org/opportunities/1272564" TargetMode="External"/><Relationship Id="rId1235" Type="http://schemas.openxmlformats.org/officeDocument/2006/relationships/hyperlink" Target="https://expa.aiesec.org/opportunities/1291254" TargetMode="External"/><Relationship Id="rId2566" Type="http://schemas.openxmlformats.org/officeDocument/2006/relationships/hyperlink" Target="https://expa.aiesec.org/opportunities/1294586" TargetMode="External"/><Relationship Id="rId3898" Type="http://schemas.openxmlformats.org/officeDocument/2006/relationships/hyperlink" Target="https://expa.aiesec.org/opportunities/1299338" TargetMode="External"/><Relationship Id="rId1236" Type="http://schemas.openxmlformats.org/officeDocument/2006/relationships/hyperlink" Target="https://expa.aiesec.org/opportunities/1288609" TargetMode="External"/><Relationship Id="rId2567" Type="http://schemas.openxmlformats.org/officeDocument/2006/relationships/hyperlink" Target="https://expa.aiesec.org/opportunities/1283628" TargetMode="External"/><Relationship Id="rId3897" Type="http://schemas.openxmlformats.org/officeDocument/2006/relationships/hyperlink" Target="https://expa.aiesec.org/opportunities/1301550" TargetMode="External"/><Relationship Id="rId1237" Type="http://schemas.openxmlformats.org/officeDocument/2006/relationships/hyperlink" Target="https://expa.aiesec.org/opportunities/1282593" TargetMode="External"/><Relationship Id="rId2568" Type="http://schemas.openxmlformats.org/officeDocument/2006/relationships/hyperlink" Target="https://expa.aiesec.org/opportunities/1296118" TargetMode="External"/><Relationship Id="rId1238" Type="http://schemas.openxmlformats.org/officeDocument/2006/relationships/hyperlink" Target="https://expa.aiesec.org/opportunities/1291881" TargetMode="External"/><Relationship Id="rId2569" Type="http://schemas.openxmlformats.org/officeDocument/2006/relationships/hyperlink" Target="https://expa.aiesec.org/opportunities/1294622" TargetMode="External"/><Relationship Id="rId3899" Type="http://schemas.openxmlformats.org/officeDocument/2006/relationships/hyperlink" Target="https://expa.aiesec.org/opportunities/1298102" TargetMode="External"/><Relationship Id="rId1239" Type="http://schemas.openxmlformats.org/officeDocument/2006/relationships/hyperlink" Target="https://expa.aiesec.org/opportunities/1292557" TargetMode="External"/><Relationship Id="rId409" Type="http://schemas.openxmlformats.org/officeDocument/2006/relationships/hyperlink" Target="https://expa.aiesec.org/opportunities/1288970" TargetMode="External"/><Relationship Id="rId404" Type="http://schemas.openxmlformats.org/officeDocument/2006/relationships/hyperlink" Target="https://expa.aiesec.org/opportunities/1289100" TargetMode="External"/><Relationship Id="rId403" Type="http://schemas.openxmlformats.org/officeDocument/2006/relationships/hyperlink" Target="https://expa.aiesec.org/opportunities/1282413" TargetMode="External"/><Relationship Id="rId402" Type="http://schemas.openxmlformats.org/officeDocument/2006/relationships/hyperlink" Target="https://expa.aiesec.org/opportunities/1289255" TargetMode="External"/><Relationship Id="rId401" Type="http://schemas.openxmlformats.org/officeDocument/2006/relationships/hyperlink" Target="https://expa.aiesec.org/opportunities/1289296" TargetMode="External"/><Relationship Id="rId408" Type="http://schemas.openxmlformats.org/officeDocument/2006/relationships/hyperlink" Target="https://expa.aiesec.org/opportunities/1283483" TargetMode="External"/><Relationship Id="rId407" Type="http://schemas.openxmlformats.org/officeDocument/2006/relationships/hyperlink" Target="https://expa.aiesec.org/opportunities/1285300" TargetMode="External"/><Relationship Id="rId406" Type="http://schemas.openxmlformats.org/officeDocument/2006/relationships/hyperlink" Target="https://expa.aiesec.org/opportunities/1258621" TargetMode="External"/><Relationship Id="rId405" Type="http://schemas.openxmlformats.org/officeDocument/2006/relationships/hyperlink" Target="https://expa.aiesec.org/opportunities/1289803" TargetMode="External"/><Relationship Id="rId3890" Type="http://schemas.openxmlformats.org/officeDocument/2006/relationships/hyperlink" Target="https://expa.aiesec.org/opportunities/1281086" TargetMode="External"/><Relationship Id="rId2560" Type="http://schemas.openxmlformats.org/officeDocument/2006/relationships/hyperlink" Target="https://expa.aiesec.org/opportunities/1294842" TargetMode="External"/><Relationship Id="rId3892" Type="http://schemas.openxmlformats.org/officeDocument/2006/relationships/hyperlink" Target="https://expa.aiesec.org/opportunities/1294232" TargetMode="External"/><Relationship Id="rId1230" Type="http://schemas.openxmlformats.org/officeDocument/2006/relationships/hyperlink" Target="https://expa.aiesec.org/opportunities/1289167" TargetMode="External"/><Relationship Id="rId2561" Type="http://schemas.openxmlformats.org/officeDocument/2006/relationships/hyperlink" Target="https://expa.aiesec.org/opportunities/1295461" TargetMode="External"/><Relationship Id="rId3891" Type="http://schemas.openxmlformats.org/officeDocument/2006/relationships/hyperlink" Target="https://expa.aiesec.org/opportunities/1299886" TargetMode="External"/><Relationship Id="rId400" Type="http://schemas.openxmlformats.org/officeDocument/2006/relationships/hyperlink" Target="https://expa.aiesec.org/opportunities/1272227" TargetMode="External"/><Relationship Id="rId1231" Type="http://schemas.openxmlformats.org/officeDocument/2006/relationships/hyperlink" Target="https://expa.aiesec.org/opportunities/1281195" TargetMode="External"/><Relationship Id="rId2562" Type="http://schemas.openxmlformats.org/officeDocument/2006/relationships/hyperlink" Target="https://expa.aiesec.org/opportunities/1288609" TargetMode="External"/><Relationship Id="rId3894" Type="http://schemas.openxmlformats.org/officeDocument/2006/relationships/hyperlink" Target="https://expa.aiesec.org/opportunities/1290806" TargetMode="External"/><Relationship Id="rId1232" Type="http://schemas.openxmlformats.org/officeDocument/2006/relationships/hyperlink" Target="https://expa.aiesec.org/opportunities/1292549" TargetMode="External"/><Relationship Id="rId2563" Type="http://schemas.openxmlformats.org/officeDocument/2006/relationships/hyperlink" Target="https://expa.aiesec.org/opportunities/1295002" TargetMode="External"/><Relationship Id="rId3893" Type="http://schemas.openxmlformats.org/officeDocument/2006/relationships/hyperlink" Target="https://expa.aiesec.org/opportunities/1294232" TargetMode="External"/><Relationship Id="rId1233" Type="http://schemas.openxmlformats.org/officeDocument/2006/relationships/hyperlink" Target="https://expa.aiesec.org/opportunities/1288611" TargetMode="External"/><Relationship Id="rId2564" Type="http://schemas.openxmlformats.org/officeDocument/2006/relationships/hyperlink" Target="https://expa.aiesec.org/opportunities/1294372" TargetMode="External"/><Relationship Id="rId3896" Type="http://schemas.openxmlformats.org/officeDocument/2006/relationships/hyperlink" Target="https://expa.aiesec.org/opportunities/1295745" TargetMode="External"/><Relationship Id="rId1234" Type="http://schemas.openxmlformats.org/officeDocument/2006/relationships/hyperlink" Target="https://expa.aiesec.org/opportunities/1283288" TargetMode="External"/><Relationship Id="rId2565" Type="http://schemas.openxmlformats.org/officeDocument/2006/relationships/hyperlink" Target="https://expa.aiesec.org/opportunities/1294877" TargetMode="External"/><Relationship Id="rId3895" Type="http://schemas.openxmlformats.org/officeDocument/2006/relationships/hyperlink" Target="https://expa.aiesec.org/opportunities/1293679" TargetMode="External"/><Relationship Id="rId1224" Type="http://schemas.openxmlformats.org/officeDocument/2006/relationships/hyperlink" Target="https://expa.aiesec.org/opportunities/1272564" TargetMode="External"/><Relationship Id="rId2555" Type="http://schemas.openxmlformats.org/officeDocument/2006/relationships/hyperlink" Target="https://expa.aiesec.org/opportunities/1296060" TargetMode="External"/><Relationship Id="rId3887" Type="http://schemas.openxmlformats.org/officeDocument/2006/relationships/hyperlink" Target="https://expa.aiesec.org/opportunities/1286368" TargetMode="External"/><Relationship Id="rId1225" Type="http://schemas.openxmlformats.org/officeDocument/2006/relationships/hyperlink" Target="https://expa.aiesec.org/opportunities/1292409" TargetMode="External"/><Relationship Id="rId2556" Type="http://schemas.openxmlformats.org/officeDocument/2006/relationships/hyperlink" Target="https://expa.aiesec.org/opportunities/1295749" TargetMode="External"/><Relationship Id="rId3886" Type="http://schemas.openxmlformats.org/officeDocument/2006/relationships/hyperlink" Target="https://expa.aiesec.org/opportunities/1294232" TargetMode="External"/><Relationship Id="rId1226" Type="http://schemas.openxmlformats.org/officeDocument/2006/relationships/hyperlink" Target="https://expa.aiesec.org/opportunities/1291235" TargetMode="External"/><Relationship Id="rId2557" Type="http://schemas.openxmlformats.org/officeDocument/2006/relationships/hyperlink" Target="https://expa.aiesec.org/opportunities/1294287" TargetMode="External"/><Relationship Id="rId3889" Type="http://schemas.openxmlformats.org/officeDocument/2006/relationships/hyperlink" Target="https://expa.aiesec.org/opportunities/1288410" TargetMode="External"/><Relationship Id="rId1227" Type="http://schemas.openxmlformats.org/officeDocument/2006/relationships/hyperlink" Target="https://expa.aiesec.org/opportunities/1291304" TargetMode="External"/><Relationship Id="rId2558" Type="http://schemas.openxmlformats.org/officeDocument/2006/relationships/hyperlink" Target="https://expa.aiesec.org/opportunities/1280872" TargetMode="External"/><Relationship Id="rId3888" Type="http://schemas.openxmlformats.org/officeDocument/2006/relationships/hyperlink" Target="https://expa.aiesec.org/opportunities/1288373" TargetMode="External"/><Relationship Id="rId1228" Type="http://schemas.openxmlformats.org/officeDocument/2006/relationships/hyperlink" Target="https://expa.aiesec.org/opportunities/1286339" TargetMode="External"/><Relationship Id="rId2559" Type="http://schemas.openxmlformats.org/officeDocument/2006/relationships/hyperlink" Target="https://expa.aiesec.org/opportunities/1289378" TargetMode="External"/><Relationship Id="rId1229" Type="http://schemas.openxmlformats.org/officeDocument/2006/relationships/hyperlink" Target="https://expa.aiesec.org/opportunities/1292557" TargetMode="External"/><Relationship Id="rId3881" Type="http://schemas.openxmlformats.org/officeDocument/2006/relationships/hyperlink" Target="https://expa.aiesec.org/opportunities/1298927" TargetMode="External"/><Relationship Id="rId2550" Type="http://schemas.openxmlformats.org/officeDocument/2006/relationships/hyperlink" Target="https://expa.aiesec.org/opportunities/1291586" TargetMode="External"/><Relationship Id="rId3880" Type="http://schemas.openxmlformats.org/officeDocument/2006/relationships/hyperlink" Target="https://expa.aiesec.org/opportunities/1299824" TargetMode="External"/><Relationship Id="rId1220" Type="http://schemas.openxmlformats.org/officeDocument/2006/relationships/hyperlink" Target="https://expa.aiesec.org/opportunities/1291929" TargetMode="External"/><Relationship Id="rId2551" Type="http://schemas.openxmlformats.org/officeDocument/2006/relationships/hyperlink" Target="https://expa.aiesec.org/opportunities/1294174" TargetMode="External"/><Relationship Id="rId3883" Type="http://schemas.openxmlformats.org/officeDocument/2006/relationships/hyperlink" Target="https://expa.aiesec.org/opportunities/1286893" TargetMode="External"/><Relationship Id="rId1221" Type="http://schemas.openxmlformats.org/officeDocument/2006/relationships/hyperlink" Target="https://expa.aiesec.org/opportunities/1292535" TargetMode="External"/><Relationship Id="rId2552" Type="http://schemas.openxmlformats.org/officeDocument/2006/relationships/hyperlink" Target="https://expa.aiesec.org/opportunities/1289307" TargetMode="External"/><Relationship Id="rId3882" Type="http://schemas.openxmlformats.org/officeDocument/2006/relationships/hyperlink" Target="https://expa.aiesec.org/opportunities/1298102" TargetMode="External"/><Relationship Id="rId1222" Type="http://schemas.openxmlformats.org/officeDocument/2006/relationships/hyperlink" Target="https://expa.aiesec.org/opportunities/1292535" TargetMode="External"/><Relationship Id="rId2553" Type="http://schemas.openxmlformats.org/officeDocument/2006/relationships/hyperlink" Target="https://expa.aiesec.org/opportunities/1292990" TargetMode="External"/><Relationship Id="rId3885" Type="http://schemas.openxmlformats.org/officeDocument/2006/relationships/hyperlink" Target="https://expa.aiesec.org/opportunities/1299605" TargetMode="External"/><Relationship Id="rId1223" Type="http://schemas.openxmlformats.org/officeDocument/2006/relationships/hyperlink" Target="https://expa.aiesec.org/opportunities/1290826" TargetMode="External"/><Relationship Id="rId2554" Type="http://schemas.openxmlformats.org/officeDocument/2006/relationships/hyperlink" Target="https://expa.aiesec.org/opportunities/1288611" TargetMode="External"/><Relationship Id="rId3884" Type="http://schemas.openxmlformats.org/officeDocument/2006/relationships/hyperlink" Target="https://expa.aiesec.org/opportunities/1286339" TargetMode="External"/><Relationship Id="rId2500" Type="http://schemas.openxmlformats.org/officeDocument/2006/relationships/hyperlink" Target="https://expa.aiesec.org/opportunities/1274161" TargetMode="External"/><Relationship Id="rId3832" Type="http://schemas.openxmlformats.org/officeDocument/2006/relationships/hyperlink" Target="https://expa.aiesec.org/opportunities/1301039" TargetMode="External"/><Relationship Id="rId2501" Type="http://schemas.openxmlformats.org/officeDocument/2006/relationships/hyperlink" Target="https://expa.aiesec.org/opportunities/1295453" TargetMode="External"/><Relationship Id="rId3831" Type="http://schemas.openxmlformats.org/officeDocument/2006/relationships/hyperlink" Target="https://expa.aiesec.org/opportunities/1288609" TargetMode="External"/><Relationship Id="rId2502" Type="http://schemas.openxmlformats.org/officeDocument/2006/relationships/hyperlink" Target="https://expa.aiesec.org/opportunities/1294372" TargetMode="External"/><Relationship Id="rId3834" Type="http://schemas.openxmlformats.org/officeDocument/2006/relationships/hyperlink" Target="https://expa.aiesec.org/opportunities/1298372" TargetMode="External"/><Relationship Id="rId2503" Type="http://schemas.openxmlformats.org/officeDocument/2006/relationships/hyperlink" Target="https://expa.aiesec.org/opportunities/1292549" TargetMode="External"/><Relationship Id="rId3833" Type="http://schemas.openxmlformats.org/officeDocument/2006/relationships/hyperlink" Target="https://expa.aiesec.org/opportunities/1299605" TargetMode="External"/><Relationship Id="rId2504" Type="http://schemas.openxmlformats.org/officeDocument/2006/relationships/hyperlink" Target="https://expa.aiesec.org/opportunities/1288412" TargetMode="External"/><Relationship Id="rId3836" Type="http://schemas.openxmlformats.org/officeDocument/2006/relationships/hyperlink" Target="https://expa.aiesec.org/opportunities/1298053" TargetMode="External"/><Relationship Id="rId2505" Type="http://schemas.openxmlformats.org/officeDocument/2006/relationships/hyperlink" Target="https://expa.aiesec.org/opportunities/1295240" TargetMode="External"/><Relationship Id="rId3835" Type="http://schemas.openxmlformats.org/officeDocument/2006/relationships/hyperlink" Target="https://expa.aiesec.org/opportunities/1301281" TargetMode="External"/><Relationship Id="rId2506" Type="http://schemas.openxmlformats.org/officeDocument/2006/relationships/hyperlink" Target="https://expa.aiesec.org/opportunities/1294410" TargetMode="External"/><Relationship Id="rId3838" Type="http://schemas.openxmlformats.org/officeDocument/2006/relationships/hyperlink" Target="https://expa.aiesec.org/opportunities/1300628" TargetMode="External"/><Relationship Id="rId2507" Type="http://schemas.openxmlformats.org/officeDocument/2006/relationships/hyperlink" Target="https://expa.aiesec.org/opportunities/1291336" TargetMode="External"/><Relationship Id="rId3837" Type="http://schemas.openxmlformats.org/officeDocument/2006/relationships/hyperlink" Target="https://expa.aiesec.org/opportunities/1295628" TargetMode="External"/><Relationship Id="rId2508" Type="http://schemas.openxmlformats.org/officeDocument/2006/relationships/hyperlink" Target="https://expa.aiesec.org/opportunities/1281901" TargetMode="External"/><Relationship Id="rId2509" Type="http://schemas.openxmlformats.org/officeDocument/2006/relationships/hyperlink" Target="https://expa.aiesec.org/opportunities/1291622" TargetMode="External"/><Relationship Id="rId3839" Type="http://schemas.openxmlformats.org/officeDocument/2006/relationships/hyperlink" Target="https://expa.aiesec.org/opportunities/1272564" TargetMode="External"/><Relationship Id="rId3830" Type="http://schemas.openxmlformats.org/officeDocument/2006/relationships/hyperlink" Target="https://expa.aiesec.org/opportunities/1288609" TargetMode="External"/><Relationship Id="rId3821" Type="http://schemas.openxmlformats.org/officeDocument/2006/relationships/hyperlink" Target="https://expa.aiesec.org/opportunities/1301244" TargetMode="External"/><Relationship Id="rId3820" Type="http://schemas.openxmlformats.org/officeDocument/2006/relationships/hyperlink" Target="https://expa.aiesec.org/opportunities/1301244" TargetMode="External"/><Relationship Id="rId3823" Type="http://schemas.openxmlformats.org/officeDocument/2006/relationships/hyperlink" Target="https://expa.aiesec.org/opportunities/1289536" TargetMode="External"/><Relationship Id="rId3822" Type="http://schemas.openxmlformats.org/officeDocument/2006/relationships/hyperlink" Target="https://expa.aiesec.org/opportunities/1301244" TargetMode="External"/><Relationship Id="rId3825" Type="http://schemas.openxmlformats.org/officeDocument/2006/relationships/hyperlink" Target="https://expa.aiesec.org/opportunities/1301171" TargetMode="External"/><Relationship Id="rId3824" Type="http://schemas.openxmlformats.org/officeDocument/2006/relationships/hyperlink" Target="https://expa.aiesec.org/opportunities/1289536" TargetMode="External"/><Relationship Id="rId3827" Type="http://schemas.openxmlformats.org/officeDocument/2006/relationships/hyperlink" Target="https://expa.aiesec.org/opportunities/1294473" TargetMode="External"/><Relationship Id="rId3826" Type="http://schemas.openxmlformats.org/officeDocument/2006/relationships/hyperlink" Target="https://expa.aiesec.org/opportunities/1284668" TargetMode="External"/><Relationship Id="rId3829" Type="http://schemas.openxmlformats.org/officeDocument/2006/relationships/hyperlink" Target="https://expa.aiesec.org/opportunities/1288609" TargetMode="External"/><Relationship Id="rId3828" Type="http://schemas.openxmlformats.org/officeDocument/2006/relationships/hyperlink" Target="https://expa.aiesec.org/opportunities/1288609" TargetMode="External"/><Relationship Id="rId2522" Type="http://schemas.openxmlformats.org/officeDocument/2006/relationships/hyperlink" Target="https://expa.aiesec.org/opportunities/1264946" TargetMode="External"/><Relationship Id="rId3854" Type="http://schemas.openxmlformats.org/officeDocument/2006/relationships/hyperlink" Target="https://expa.aiesec.org/opportunities/1299605" TargetMode="External"/><Relationship Id="rId2523" Type="http://schemas.openxmlformats.org/officeDocument/2006/relationships/hyperlink" Target="https://expa.aiesec.org/opportunities/1295575" TargetMode="External"/><Relationship Id="rId3853" Type="http://schemas.openxmlformats.org/officeDocument/2006/relationships/hyperlink" Target="https://expa.aiesec.org/opportunities/1300165" TargetMode="External"/><Relationship Id="rId2524" Type="http://schemas.openxmlformats.org/officeDocument/2006/relationships/hyperlink" Target="https://expa.aiesec.org/opportunities/1281195" TargetMode="External"/><Relationship Id="rId3856" Type="http://schemas.openxmlformats.org/officeDocument/2006/relationships/hyperlink" Target="https://expa.aiesec.org/opportunities/1299013" TargetMode="External"/><Relationship Id="rId2525" Type="http://schemas.openxmlformats.org/officeDocument/2006/relationships/hyperlink" Target="https://expa.aiesec.org/opportunities/1295597" TargetMode="External"/><Relationship Id="rId3855" Type="http://schemas.openxmlformats.org/officeDocument/2006/relationships/hyperlink" Target="https://expa.aiesec.org/opportunities/1298372" TargetMode="External"/><Relationship Id="rId2526" Type="http://schemas.openxmlformats.org/officeDocument/2006/relationships/hyperlink" Target="https://expa.aiesec.org/opportunities/1291336" TargetMode="External"/><Relationship Id="rId3858" Type="http://schemas.openxmlformats.org/officeDocument/2006/relationships/hyperlink" Target="https://expa.aiesec.org/opportunities/1301556" TargetMode="External"/><Relationship Id="rId2527" Type="http://schemas.openxmlformats.org/officeDocument/2006/relationships/hyperlink" Target="https://expa.aiesec.org/opportunities/1288377" TargetMode="External"/><Relationship Id="rId3857" Type="http://schemas.openxmlformats.org/officeDocument/2006/relationships/hyperlink" Target="https://expa.aiesec.org/opportunities/1288490" TargetMode="External"/><Relationship Id="rId2528" Type="http://schemas.openxmlformats.org/officeDocument/2006/relationships/hyperlink" Target="https://expa.aiesec.org/opportunities/1294972" TargetMode="External"/><Relationship Id="rId2529" Type="http://schemas.openxmlformats.org/officeDocument/2006/relationships/hyperlink" Target="https://expa.aiesec.org/opportunities/1296477" TargetMode="External"/><Relationship Id="rId3859" Type="http://schemas.openxmlformats.org/officeDocument/2006/relationships/hyperlink" Target="https://expa.aiesec.org/opportunities/1284077" TargetMode="External"/><Relationship Id="rId3850" Type="http://schemas.openxmlformats.org/officeDocument/2006/relationships/hyperlink" Target="https://expa.aiesec.org/opportunities/1285085" TargetMode="External"/><Relationship Id="rId2520" Type="http://schemas.openxmlformats.org/officeDocument/2006/relationships/hyperlink" Target="https://expa.aiesec.org/opportunities/1295149" TargetMode="External"/><Relationship Id="rId3852" Type="http://schemas.openxmlformats.org/officeDocument/2006/relationships/hyperlink" Target="https://expa.aiesec.org/opportunities/1301239" TargetMode="External"/><Relationship Id="rId2521" Type="http://schemas.openxmlformats.org/officeDocument/2006/relationships/hyperlink" Target="https://expa.aiesec.org/opportunities/1289446" TargetMode="External"/><Relationship Id="rId3851" Type="http://schemas.openxmlformats.org/officeDocument/2006/relationships/hyperlink" Target="https://expa.aiesec.org/opportunities/1300585" TargetMode="External"/><Relationship Id="rId2511" Type="http://schemas.openxmlformats.org/officeDocument/2006/relationships/hyperlink" Target="https://expa.aiesec.org/opportunities/1295104" TargetMode="External"/><Relationship Id="rId3843" Type="http://schemas.openxmlformats.org/officeDocument/2006/relationships/hyperlink" Target="https://expa.aiesec.org/opportunities/1289536" TargetMode="External"/><Relationship Id="rId2512" Type="http://schemas.openxmlformats.org/officeDocument/2006/relationships/hyperlink" Target="https://expa.aiesec.org/opportunities/1293245" TargetMode="External"/><Relationship Id="rId3842" Type="http://schemas.openxmlformats.org/officeDocument/2006/relationships/hyperlink" Target="https://expa.aiesec.org/opportunities/1279126" TargetMode="External"/><Relationship Id="rId2513" Type="http://schemas.openxmlformats.org/officeDocument/2006/relationships/hyperlink" Target="https://expa.aiesec.org/opportunities/1292557" TargetMode="External"/><Relationship Id="rId3845" Type="http://schemas.openxmlformats.org/officeDocument/2006/relationships/hyperlink" Target="https://expa.aiesec.org/opportunities/1296670" TargetMode="External"/><Relationship Id="rId2514" Type="http://schemas.openxmlformats.org/officeDocument/2006/relationships/hyperlink" Target="https://expa.aiesec.org/opportunities/1295572" TargetMode="External"/><Relationship Id="rId3844" Type="http://schemas.openxmlformats.org/officeDocument/2006/relationships/hyperlink" Target="https://expa.aiesec.org/opportunities/1272564" TargetMode="External"/><Relationship Id="rId2515" Type="http://schemas.openxmlformats.org/officeDocument/2006/relationships/hyperlink" Target="https://expa.aiesec.org/opportunities/1291336" TargetMode="External"/><Relationship Id="rId3847" Type="http://schemas.openxmlformats.org/officeDocument/2006/relationships/hyperlink" Target="https://expa.aiesec.org/opportunities/1287855" TargetMode="External"/><Relationship Id="rId2516" Type="http://schemas.openxmlformats.org/officeDocument/2006/relationships/hyperlink" Target="https://expa.aiesec.org/opportunities/1286920" TargetMode="External"/><Relationship Id="rId3846" Type="http://schemas.openxmlformats.org/officeDocument/2006/relationships/hyperlink" Target="https://expa.aiesec.org/opportunities/1300123" TargetMode="External"/><Relationship Id="rId2517" Type="http://schemas.openxmlformats.org/officeDocument/2006/relationships/hyperlink" Target="https://expa.aiesec.org/opportunities/1296239" TargetMode="External"/><Relationship Id="rId3849" Type="http://schemas.openxmlformats.org/officeDocument/2006/relationships/hyperlink" Target="https://expa.aiesec.org/opportunities/1298053" TargetMode="External"/><Relationship Id="rId2518" Type="http://schemas.openxmlformats.org/officeDocument/2006/relationships/hyperlink" Target="https://expa.aiesec.org/opportunities/1296477" TargetMode="External"/><Relationship Id="rId3848" Type="http://schemas.openxmlformats.org/officeDocument/2006/relationships/hyperlink" Target="https://expa.aiesec.org/opportunities/1301109" TargetMode="External"/><Relationship Id="rId2519" Type="http://schemas.openxmlformats.org/officeDocument/2006/relationships/hyperlink" Target="https://expa.aiesec.org/opportunities/1288989" TargetMode="External"/><Relationship Id="rId3841" Type="http://schemas.openxmlformats.org/officeDocument/2006/relationships/hyperlink" Target="https://expa.aiesec.org/opportunities/1286668" TargetMode="External"/><Relationship Id="rId2510" Type="http://schemas.openxmlformats.org/officeDocument/2006/relationships/hyperlink" Target="https://expa.aiesec.org/opportunities/1293734" TargetMode="External"/><Relationship Id="rId3840" Type="http://schemas.openxmlformats.org/officeDocument/2006/relationships/hyperlink" Target="https://expa.aiesec.org/opportunities/1294232" TargetMode="External"/><Relationship Id="rId469" Type="http://schemas.openxmlformats.org/officeDocument/2006/relationships/hyperlink" Target="https://expa.aiesec.org/opportunities/1289502" TargetMode="External"/><Relationship Id="rId468" Type="http://schemas.openxmlformats.org/officeDocument/2006/relationships/hyperlink" Target="https://expa.aiesec.org/opportunities/1287244" TargetMode="External"/><Relationship Id="rId467" Type="http://schemas.openxmlformats.org/officeDocument/2006/relationships/hyperlink" Target="https://expa.aiesec.org/opportunities/1288711" TargetMode="External"/><Relationship Id="rId1290" Type="http://schemas.openxmlformats.org/officeDocument/2006/relationships/hyperlink" Target="https://expa.aiesec.org/opportunities/1287851" TargetMode="External"/><Relationship Id="rId1291" Type="http://schemas.openxmlformats.org/officeDocument/2006/relationships/hyperlink" Target="https://expa.aiesec.org/opportunities/1290826" TargetMode="External"/><Relationship Id="rId1292" Type="http://schemas.openxmlformats.org/officeDocument/2006/relationships/hyperlink" Target="https://expa.aiesec.org/opportunities/1292535" TargetMode="External"/><Relationship Id="rId462" Type="http://schemas.openxmlformats.org/officeDocument/2006/relationships/hyperlink" Target="https://expa.aiesec.org/opportunities/1287244" TargetMode="External"/><Relationship Id="rId1293" Type="http://schemas.openxmlformats.org/officeDocument/2006/relationships/hyperlink" Target="https://expa.aiesec.org/opportunities/1287255" TargetMode="External"/><Relationship Id="rId461" Type="http://schemas.openxmlformats.org/officeDocument/2006/relationships/hyperlink" Target="https://expa.aiesec.org/opportunities/1289307" TargetMode="External"/><Relationship Id="rId1294" Type="http://schemas.openxmlformats.org/officeDocument/2006/relationships/hyperlink" Target="https://expa.aiesec.org/opportunities/1287851" TargetMode="External"/><Relationship Id="rId460" Type="http://schemas.openxmlformats.org/officeDocument/2006/relationships/hyperlink" Target="https://expa.aiesec.org/opportunities/1288393" TargetMode="External"/><Relationship Id="rId1295" Type="http://schemas.openxmlformats.org/officeDocument/2006/relationships/hyperlink" Target="https://expa.aiesec.org/opportunities/1293021" TargetMode="External"/><Relationship Id="rId1296" Type="http://schemas.openxmlformats.org/officeDocument/2006/relationships/hyperlink" Target="https://expa.aiesec.org/opportunities/1292793" TargetMode="External"/><Relationship Id="rId466" Type="http://schemas.openxmlformats.org/officeDocument/2006/relationships/hyperlink" Target="https://expa.aiesec.org/opportunities/1289505" TargetMode="External"/><Relationship Id="rId1297" Type="http://schemas.openxmlformats.org/officeDocument/2006/relationships/hyperlink" Target="https://expa.aiesec.org/opportunities/1288663" TargetMode="External"/><Relationship Id="rId465" Type="http://schemas.openxmlformats.org/officeDocument/2006/relationships/hyperlink" Target="https://expa.aiesec.org/opportunities/1288970" TargetMode="External"/><Relationship Id="rId1298" Type="http://schemas.openxmlformats.org/officeDocument/2006/relationships/hyperlink" Target="https://expa.aiesec.org/opportunities/1288663" TargetMode="External"/><Relationship Id="rId464" Type="http://schemas.openxmlformats.org/officeDocument/2006/relationships/hyperlink" Target="https://expa.aiesec.org/opportunities/1284618" TargetMode="External"/><Relationship Id="rId1299" Type="http://schemas.openxmlformats.org/officeDocument/2006/relationships/hyperlink" Target="https://expa.aiesec.org/opportunities/1288663" TargetMode="External"/><Relationship Id="rId463" Type="http://schemas.openxmlformats.org/officeDocument/2006/relationships/hyperlink" Target="https://expa.aiesec.org/opportunities/1287925" TargetMode="External"/><Relationship Id="rId459" Type="http://schemas.openxmlformats.org/officeDocument/2006/relationships/hyperlink" Target="https://expa.aiesec.org/opportunities/1287097" TargetMode="External"/><Relationship Id="rId458" Type="http://schemas.openxmlformats.org/officeDocument/2006/relationships/hyperlink" Target="https://expa.aiesec.org/opportunities/1289536" TargetMode="External"/><Relationship Id="rId457" Type="http://schemas.openxmlformats.org/officeDocument/2006/relationships/hyperlink" Target="https://expa.aiesec.org/opportunities/1290024" TargetMode="External"/><Relationship Id="rId456" Type="http://schemas.openxmlformats.org/officeDocument/2006/relationships/hyperlink" Target="https://expa.aiesec.org/opportunities/1289089" TargetMode="External"/><Relationship Id="rId1280" Type="http://schemas.openxmlformats.org/officeDocument/2006/relationships/hyperlink" Target="https://expa.aiesec.org/opportunities/1286585" TargetMode="External"/><Relationship Id="rId1281" Type="http://schemas.openxmlformats.org/officeDocument/2006/relationships/hyperlink" Target="https://expa.aiesec.org/opportunities/1291929" TargetMode="External"/><Relationship Id="rId451" Type="http://schemas.openxmlformats.org/officeDocument/2006/relationships/hyperlink" Target="https://expa.aiesec.org/opportunities/1281105" TargetMode="External"/><Relationship Id="rId1282" Type="http://schemas.openxmlformats.org/officeDocument/2006/relationships/hyperlink" Target="https://expa.aiesec.org/opportunities/1289695" TargetMode="External"/><Relationship Id="rId450" Type="http://schemas.openxmlformats.org/officeDocument/2006/relationships/hyperlink" Target="https://expa.aiesec.org/opportunities/1288497" TargetMode="External"/><Relationship Id="rId1283" Type="http://schemas.openxmlformats.org/officeDocument/2006/relationships/hyperlink" Target="https://expa.aiesec.org/opportunities/1293183" TargetMode="External"/><Relationship Id="rId1284" Type="http://schemas.openxmlformats.org/officeDocument/2006/relationships/hyperlink" Target="https://expa.aiesec.org/opportunities/1292549" TargetMode="External"/><Relationship Id="rId1285" Type="http://schemas.openxmlformats.org/officeDocument/2006/relationships/hyperlink" Target="https://expa.aiesec.org/opportunities/1292535" TargetMode="External"/><Relationship Id="rId455" Type="http://schemas.openxmlformats.org/officeDocument/2006/relationships/hyperlink" Target="https://expa.aiesec.org/opportunities/1289850" TargetMode="External"/><Relationship Id="rId1286" Type="http://schemas.openxmlformats.org/officeDocument/2006/relationships/hyperlink" Target="https://expa.aiesec.org/opportunities/1284976" TargetMode="External"/><Relationship Id="rId454" Type="http://schemas.openxmlformats.org/officeDocument/2006/relationships/hyperlink" Target="https://expa.aiesec.org/opportunities/1288971" TargetMode="External"/><Relationship Id="rId1287" Type="http://schemas.openxmlformats.org/officeDocument/2006/relationships/hyperlink" Target="https://expa.aiesec.org/opportunities/1289213" TargetMode="External"/><Relationship Id="rId453" Type="http://schemas.openxmlformats.org/officeDocument/2006/relationships/hyperlink" Target="https://expa.aiesec.org/opportunities/1290026" TargetMode="External"/><Relationship Id="rId1288" Type="http://schemas.openxmlformats.org/officeDocument/2006/relationships/hyperlink" Target="https://expa.aiesec.org/opportunities/1291929" TargetMode="External"/><Relationship Id="rId452" Type="http://schemas.openxmlformats.org/officeDocument/2006/relationships/hyperlink" Target="https://expa.aiesec.org/opportunities/1288497" TargetMode="External"/><Relationship Id="rId1289" Type="http://schemas.openxmlformats.org/officeDocument/2006/relationships/hyperlink" Target="https://expa.aiesec.org/opportunities/1292118" TargetMode="External"/><Relationship Id="rId3018" Type="http://schemas.openxmlformats.org/officeDocument/2006/relationships/hyperlink" Target="https://expa.aiesec.org/opportunities/1277661" TargetMode="External"/><Relationship Id="rId3017" Type="http://schemas.openxmlformats.org/officeDocument/2006/relationships/hyperlink" Target="https://expa.aiesec.org/opportunities/1298730" TargetMode="External"/><Relationship Id="rId3019" Type="http://schemas.openxmlformats.org/officeDocument/2006/relationships/hyperlink" Target="https://expa.aiesec.org/opportunities/1291176" TargetMode="External"/><Relationship Id="rId491" Type="http://schemas.openxmlformats.org/officeDocument/2006/relationships/hyperlink" Target="https://expa.aiesec.org/opportunities/1288711" TargetMode="External"/><Relationship Id="rId490" Type="http://schemas.openxmlformats.org/officeDocument/2006/relationships/hyperlink" Target="https://expa.aiesec.org/opportunities/1288837" TargetMode="External"/><Relationship Id="rId489" Type="http://schemas.openxmlformats.org/officeDocument/2006/relationships/hyperlink" Target="https://expa.aiesec.org/opportunities/1288970" TargetMode="External"/><Relationship Id="rId484" Type="http://schemas.openxmlformats.org/officeDocument/2006/relationships/hyperlink" Target="https://expa.aiesec.org/opportunities/1289954" TargetMode="External"/><Relationship Id="rId3010" Type="http://schemas.openxmlformats.org/officeDocument/2006/relationships/hyperlink" Target="https://expa.aiesec.org/opportunities/1298738" TargetMode="External"/><Relationship Id="rId483" Type="http://schemas.openxmlformats.org/officeDocument/2006/relationships/hyperlink" Target="https://expa.aiesec.org/opportunities/1289228" TargetMode="External"/><Relationship Id="rId482" Type="http://schemas.openxmlformats.org/officeDocument/2006/relationships/hyperlink" Target="https://expa.aiesec.org/opportunities/1288798" TargetMode="External"/><Relationship Id="rId3012" Type="http://schemas.openxmlformats.org/officeDocument/2006/relationships/hyperlink" Target="https://expa.aiesec.org/opportunities/1294332" TargetMode="External"/><Relationship Id="rId481" Type="http://schemas.openxmlformats.org/officeDocument/2006/relationships/hyperlink" Target="https://expa.aiesec.org/opportunities/1289772" TargetMode="External"/><Relationship Id="rId3011" Type="http://schemas.openxmlformats.org/officeDocument/2006/relationships/hyperlink" Target="https://expa.aiesec.org/opportunities/1296671" TargetMode="External"/><Relationship Id="rId488" Type="http://schemas.openxmlformats.org/officeDocument/2006/relationships/hyperlink" Target="https://expa.aiesec.org/opportunities/1289444" TargetMode="External"/><Relationship Id="rId3014" Type="http://schemas.openxmlformats.org/officeDocument/2006/relationships/hyperlink" Target="https://expa.aiesec.org/opportunities/1298556" TargetMode="External"/><Relationship Id="rId487" Type="http://schemas.openxmlformats.org/officeDocument/2006/relationships/hyperlink" Target="https://expa.aiesec.org/opportunities/1290026" TargetMode="External"/><Relationship Id="rId3013" Type="http://schemas.openxmlformats.org/officeDocument/2006/relationships/hyperlink" Target="https://expa.aiesec.org/opportunities/1298556" TargetMode="External"/><Relationship Id="rId486" Type="http://schemas.openxmlformats.org/officeDocument/2006/relationships/hyperlink" Target="https://expa.aiesec.org/opportunities/1289954" TargetMode="External"/><Relationship Id="rId3016" Type="http://schemas.openxmlformats.org/officeDocument/2006/relationships/hyperlink" Target="https://expa.aiesec.org/opportunities/1295745" TargetMode="External"/><Relationship Id="rId485" Type="http://schemas.openxmlformats.org/officeDocument/2006/relationships/hyperlink" Target="https://expa.aiesec.org/opportunities/1289752" TargetMode="External"/><Relationship Id="rId3015" Type="http://schemas.openxmlformats.org/officeDocument/2006/relationships/hyperlink" Target="https://expa.aiesec.org/opportunities/1297247" TargetMode="External"/><Relationship Id="rId3007" Type="http://schemas.openxmlformats.org/officeDocument/2006/relationships/hyperlink" Target="https://expa.aiesec.org/opportunities/1297247" TargetMode="External"/><Relationship Id="rId3006" Type="http://schemas.openxmlformats.org/officeDocument/2006/relationships/hyperlink" Target="https://expa.aiesec.org/opportunities/1292557" TargetMode="External"/><Relationship Id="rId3009" Type="http://schemas.openxmlformats.org/officeDocument/2006/relationships/hyperlink" Target="https://expa.aiesec.org/opportunities/1291783" TargetMode="External"/><Relationship Id="rId3008" Type="http://schemas.openxmlformats.org/officeDocument/2006/relationships/hyperlink" Target="https://expa.aiesec.org/opportunities/1298733" TargetMode="External"/><Relationship Id="rId480" Type="http://schemas.openxmlformats.org/officeDocument/2006/relationships/hyperlink" Target="https://expa.aiesec.org/opportunities/1280310" TargetMode="External"/><Relationship Id="rId479" Type="http://schemas.openxmlformats.org/officeDocument/2006/relationships/hyperlink" Target="https://expa.aiesec.org/opportunities/1285687" TargetMode="External"/><Relationship Id="rId478" Type="http://schemas.openxmlformats.org/officeDocument/2006/relationships/hyperlink" Target="https://expa.aiesec.org/opportunities/1290024" TargetMode="External"/><Relationship Id="rId473" Type="http://schemas.openxmlformats.org/officeDocument/2006/relationships/hyperlink" Target="https://expa.aiesec.org/opportunities/1289772" TargetMode="External"/><Relationship Id="rId472" Type="http://schemas.openxmlformats.org/officeDocument/2006/relationships/hyperlink" Target="https://expa.aiesec.org/opportunities/1288970" TargetMode="External"/><Relationship Id="rId471" Type="http://schemas.openxmlformats.org/officeDocument/2006/relationships/hyperlink" Target="https://expa.aiesec.org/opportunities/1289487" TargetMode="External"/><Relationship Id="rId3001" Type="http://schemas.openxmlformats.org/officeDocument/2006/relationships/hyperlink" Target="https://expa.aiesec.org/opportunities/1296105" TargetMode="External"/><Relationship Id="rId470" Type="http://schemas.openxmlformats.org/officeDocument/2006/relationships/hyperlink" Target="https://expa.aiesec.org/opportunities/1289487" TargetMode="External"/><Relationship Id="rId3000" Type="http://schemas.openxmlformats.org/officeDocument/2006/relationships/hyperlink" Target="https://expa.aiesec.org/opportunities/1286326" TargetMode="External"/><Relationship Id="rId477" Type="http://schemas.openxmlformats.org/officeDocument/2006/relationships/hyperlink" Target="https://expa.aiesec.org/opportunities/1287560" TargetMode="External"/><Relationship Id="rId3003" Type="http://schemas.openxmlformats.org/officeDocument/2006/relationships/hyperlink" Target="https://expa.aiesec.org/opportunities/1291606" TargetMode="External"/><Relationship Id="rId476" Type="http://schemas.openxmlformats.org/officeDocument/2006/relationships/hyperlink" Target="https://expa.aiesec.org/opportunities/1289372" TargetMode="External"/><Relationship Id="rId3002" Type="http://schemas.openxmlformats.org/officeDocument/2006/relationships/hyperlink" Target="https://expa.aiesec.org/opportunities/1297990" TargetMode="External"/><Relationship Id="rId475" Type="http://schemas.openxmlformats.org/officeDocument/2006/relationships/hyperlink" Target="https://expa.aiesec.org/opportunities/1281357" TargetMode="External"/><Relationship Id="rId3005" Type="http://schemas.openxmlformats.org/officeDocument/2006/relationships/hyperlink" Target="https://expa.aiesec.org/opportunities/1279126" TargetMode="External"/><Relationship Id="rId474" Type="http://schemas.openxmlformats.org/officeDocument/2006/relationships/hyperlink" Target="https://expa.aiesec.org/opportunities/1288970" TargetMode="External"/><Relationship Id="rId3004" Type="http://schemas.openxmlformats.org/officeDocument/2006/relationships/hyperlink" Target="https://expa.aiesec.org/opportunities/1298772" TargetMode="External"/><Relationship Id="rId1257" Type="http://schemas.openxmlformats.org/officeDocument/2006/relationships/hyperlink" Target="https://expa.aiesec.org/opportunities/1292844" TargetMode="External"/><Relationship Id="rId2588" Type="http://schemas.openxmlformats.org/officeDocument/2006/relationships/hyperlink" Target="https://expa.aiesec.org/opportunities/1295893" TargetMode="External"/><Relationship Id="rId1258" Type="http://schemas.openxmlformats.org/officeDocument/2006/relationships/hyperlink" Target="https://expa.aiesec.org/opportunities/1288843" TargetMode="External"/><Relationship Id="rId2589" Type="http://schemas.openxmlformats.org/officeDocument/2006/relationships/hyperlink" Target="https://expa.aiesec.org/opportunities/1293982" TargetMode="External"/><Relationship Id="rId1259" Type="http://schemas.openxmlformats.org/officeDocument/2006/relationships/hyperlink" Target="https://expa.aiesec.org/opportunities/1284976" TargetMode="External"/><Relationship Id="rId426" Type="http://schemas.openxmlformats.org/officeDocument/2006/relationships/hyperlink" Target="https://expa.aiesec.org/opportunities/1288411" TargetMode="External"/><Relationship Id="rId425" Type="http://schemas.openxmlformats.org/officeDocument/2006/relationships/hyperlink" Target="https://expa.aiesec.org/opportunities/1268725" TargetMode="External"/><Relationship Id="rId424" Type="http://schemas.openxmlformats.org/officeDocument/2006/relationships/hyperlink" Target="https://expa.aiesec.org/opportunities/1277737" TargetMode="External"/><Relationship Id="rId423" Type="http://schemas.openxmlformats.org/officeDocument/2006/relationships/hyperlink" Target="https://expa.aiesec.org/opportunities/1288813" TargetMode="External"/><Relationship Id="rId429" Type="http://schemas.openxmlformats.org/officeDocument/2006/relationships/hyperlink" Target="https://expa.aiesec.org/opportunities/1287854" TargetMode="External"/><Relationship Id="rId428" Type="http://schemas.openxmlformats.org/officeDocument/2006/relationships/hyperlink" Target="https://expa.aiesec.org/opportunities/1289950" TargetMode="External"/><Relationship Id="rId427" Type="http://schemas.openxmlformats.org/officeDocument/2006/relationships/hyperlink" Target="https://expa.aiesec.org/opportunities/1289505" TargetMode="External"/><Relationship Id="rId2580" Type="http://schemas.openxmlformats.org/officeDocument/2006/relationships/hyperlink" Target="https://expa.aiesec.org/opportunities/1295002" TargetMode="External"/><Relationship Id="rId1250" Type="http://schemas.openxmlformats.org/officeDocument/2006/relationships/hyperlink" Target="https://expa.aiesec.org/opportunities/1291369" TargetMode="External"/><Relationship Id="rId2581" Type="http://schemas.openxmlformats.org/officeDocument/2006/relationships/hyperlink" Target="https://expa.aiesec.org/opportunities/1296101" TargetMode="External"/><Relationship Id="rId1251" Type="http://schemas.openxmlformats.org/officeDocument/2006/relationships/hyperlink" Target="https://expa.aiesec.org/opportunities/1288843" TargetMode="External"/><Relationship Id="rId2582" Type="http://schemas.openxmlformats.org/officeDocument/2006/relationships/hyperlink" Target="https://expa.aiesec.org/opportunities/1295149" TargetMode="External"/><Relationship Id="rId1252" Type="http://schemas.openxmlformats.org/officeDocument/2006/relationships/hyperlink" Target="https://expa.aiesec.org/opportunities/1272564" TargetMode="External"/><Relationship Id="rId2583" Type="http://schemas.openxmlformats.org/officeDocument/2006/relationships/hyperlink" Target="https://expa.aiesec.org/opportunities/1281195" TargetMode="External"/><Relationship Id="rId422" Type="http://schemas.openxmlformats.org/officeDocument/2006/relationships/hyperlink" Target="https://expa.aiesec.org/opportunities/1289711" TargetMode="External"/><Relationship Id="rId1253" Type="http://schemas.openxmlformats.org/officeDocument/2006/relationships/hyperlink" Target="https://expa.aiesec.org/opportunities/1284312" TargetMode="External"/><Relationship Id="rId2584" Type="http://schemas.openxmlformats.org/officeDocument/2006/relationships/hyperlink" Target="https://expa.aiesec.org/opportunities/1291989" TargetMode="External"/><Relationship Id="rId421" Type="http://schemas.openxmlformats.org/officeDocument/2006/relationships/hyperlink" Target="https://expa.aiesec.org/opportunities/1288770" TargetMode="External"/><Relationship Id="rId1254" Type="http://schemas.openxmlformats.org/officeDocument/2006/relationships/hyperlink" Target="https://expa.aiesec.org/opportunities/1284312" TargetMode="External"/><Relationship Id="rId2585" Type="http://schemas.openxmlformats.org/officeDocument/2006/relationships/hyperlink" Target="https://expa.aiesec.org/opportunities/1289505" TargetMode="External"/><Relationship Id="rId420" Type="http://schemas.openxmlformats.org/officeDocument/2006/relationships/hyperlink" Target="https://expa.aiesec.org/opportunities/1288419" TargetMode="External"/><Relationship Id="rId1255" Type="http://schemas.openxmlformats.org/officeDocument/2006/relationships/hyperlink" Target="https://expa.aiesec.org/opportunities/1290282" TargetMode="External"/><Relationship Id="rId2586" Type="http://schemas.openxmlformats.org/officeDocument/2006/relationships/hyperlink" Target="https://expa.aiesec.org/opportunities/1294862" TargetMode="External"/><Relationship Id="rId1256" Type="http://schemas.openxmlformats.org/officeDocument/2006/relationships/hyperlink" Target="https://expa.aiesec.org/opportunities/1290282" TargetMode="External"/><Relationship Id="rId2587" Type="http://schemas.openxmlformats.org/officeDocument/2006/relationships/hyperlink" Target="https://expa.aiesec.org/opportunities/1295568" TargetMode="External"/><Relationship Id="rId1246" Type="http://schemas.openxmlformats.org/officeDocument/2006/relationships/hyperlink" Target="https://expa.aiesec.org/opportunities/1291254" TargetMode="External"/><Relationship Id="rId2577" Type="http://schemas.openxmlformats.org/officeDocument/2006/relationships/hyperlink" Target="https://expa.aiesec.org/opportunities/1289100" TargetMode="External"/><Relationship Id="rId1247" Type="http://schemas.openxmlformats.org/officeDocument/2006/relationships/hyperlink" Target="https://expa.aiesec.org/opportunities/1291254" TargetMode="External"/><Relationship Id="rId2578" Type="http://schemas.openxmlformats.org/officeDocument/2006/relationships/hyperlink" Target="https://expa.aiesec.org/opportunities/1294487" TargetMode="External"/><Relationship Id="rId1248" Type="http://schemas.openxmlformats.org/officeDocument/2006/relationships/hyperlink" Target="https://expa.aiesec.org/opportunities/1288611" TargetMode="External"/><Relationship Id="rId2579" Type="http://schemas.openxmlformats.org/officeDocument/2006/relationships/hyperlink" Target="https://expa.aiesec.org/opportunities/1288609" TargetMode="External"/><Relationship Id="rId1249" Type="http://schemas.openxmlformats.org/officeDocument/2006/relationships/hyperlink" Target="https://expa.aiesec.org/opportunities/1287851" TargetMode="External"/><Relationship Id="rId415" Type="http://schemas.openxmlformats.org/officeDocument/2006/relationships/hyperlink" Target="https://expa.aiesec.org/opportunities/1279327" TargetMode="External"/><Relationship Id="rId414" Type="http://schemas.openxmlformats.org/officeDocument/2006/relationships/hyperlink" Target="https://expa.aiesec.org/opportunities/1289261" TargetMode="External"/><Relationship Id="rId413" Type="http://schemas.openxmlformats.org/officeDocument/2006/relationships/hyperlink" Target="https://expa.aiesec.org/opportunities/1290011" TargetMode="External"/><Relationship Id="rId412" Type="http://schemas.openxmlformats.org/officeDocument/2006/relationships/hyperlink" Target="https://expa.aiesec.org/opportunities/1286164" TargetMode="External"/><Relationship Id="rId419" Type="http://schemas.openxmlformats.org/officeDocument/2006/relationships/hyperlink" Target="https://expa.aiesec.org/opportunities/1288393" TargetMode="External"/><Relationship Id="rId418" Type="http://schemas.openxmlformats.org/officeDocument/2006/relationships/hyperlink" Target="https://expa.aiesec.org/opportunities/1289564" TargetMode="External"/><Relationship Id="rId417" Type="http://schemas.openxmlformats.org/officeDocument/2006/relationships/hyperlink" Target="https://expa.aiesec.org/opportunities/1289564" TargetMode="External"/><Relationship Id="rId416" Type="http://schemas.openxmlformats.org/officeDocument/2006/relationships/hyperlink" Target="https://expa.aiesec.org/opportunities/1289596" TargetMode="External"/><Relationship Id="rId2570" Type="http://schemas.openxmlformats.org/officeDocument/2006/relationships/hyperlink" Target="https://expa.aiesec.org/opportunities/1295232" TargetMode="External"/><Relationship Id="rId1240" Type="http://schemas.openxmlformats.org/officeDocument/2006/relationships/hyperlink" Target="https://expa.aiesec.org/opportunities/1292557" TargetMode="External"/><Relationship Id="rId2571" Type="http://schemas.openxmlformats.org/officeDocument/2006/relationships/hyperlink" Target="https://expa.aiesec.org/opportunities/1292103" TargetMode="External"/><Relationship Id="rId1241" Type="http://schemas.openxmlformats.org/officeDocument/2006/relationships/hyperlink" Target="https://expa.aiesec.org/opportunities/1290826" TargetMode="External"/><Relationship Id="rId2572" Type="http://schemas.openxmlformats.org/officeDocument/2006/relationships/hyperlink" Target="https://expa.aiesec.org/opportunities/1295572" TargetMode="External"/><Relationship Id="rId411" Type="http://schemas.openxmlformats.org/officeDocument/2006/relationships/hyperlink" Target="https://expa.aiesec.org/opportunities/1289536" TargetMode="External"/><Relationship Id="rId1242" Type="http://schemas.openxmlformats.org/officeDocument/2006/relationships/hyperlink" Target="https://expa.aiesec.org/opportunities/1287851" TargetMode="External"/><Relationship Id="rId2573" Type="http://schemas.openxmlformats.org/officeDocument/2006/relationships/hyperlink" Target="https://expa.aiesec.org/opportunities/1295240" TargetMode="External"/><Relationship Id="rId410" Type="http://schemas.openxmlformats.org/officeDocument/2006/relationships/hyperlink" Target="https://expa.aiesec.org/opportunities/1287628" TargetMode="External"/><Relationship Id="rId1243" Type="http://schemas.openxmlformats.org/officeDocument/2006/relationships/hyperlink" Target="https://expa.aiesec.org/opportunities/1290394" TargetMode="External"/><Relationship Id="rId2574" Type="http://schemas.openxmlformats.org/officeDocument/2006/relationships/hyperlink" Target="https://expa.aiesec.org/opportunities/1296103" TargetMode="External"/><Relationship Id="rId1244" Type="http://schemas.openxmlformats.org/officeDocument/2006/relationships/hyperlink" Target="https://expa.aiesec.org/opportunities/1292549" TargetMode="External"/><Relationship Id="rId2575" Type="http://schemas.openxmlformats.org/officeDocument/2006/relationships/hyperlink" Target="https://expa.aiesec.org/opportunities/1295232" TargetMode="External"/><Relationship Id="rId1245" Type="http://schemas.openxmlformats.org/officeDocument/2006/relationships/hyperlink" Target="https://expa.aiesec.org/opportunities/1290826" TargetMode="External"/><Relationship Id="rId2576" Type="http://schemas.openxmlformats.org/officeDocument/2006/relationships/hyperlink" Target="https://expa.aiesec.org/opportunities/1284976" TargetMode="External"/><Relationship Id="rId1279" Type="http://schemas.openxmlformats.org/officeDocument/2006/relationships/hyperlink" Target="https://expa.aiesec.org/opportunities/1291824" TargetMode="External"/><Relationship Id="rId448" Type="http://schemas.openxmlformats.org/officeDocument/2006/relationships/hyperlink" Target="https://expa.aiesec.org/opportunities/1289896" TargetMode="External"/><Relationship Id="rId447" Type="http://schemas.openxmlformats.org/officeDocument/2006/relationships/hyperlink" Target="https://expa.aiesec.org/opportunities/1264946" TargetMode="External"/><Relationship Id="rId446" Type="http://schemas.openxmlformats.org/officeDocument/2006/relationships/hyperlink" Target="https://expa.aiesec.org/opportunities/1277549" TargetMode="External"/><Relationship Id="rId445" Type="http://schemas.openxmlformats.org/officeDocument/2006/relationships/hyperlink" Target="https://expa.aiesec.org/opportunities/1288843" TargetMode="External"/><Relationship Id="rId449" Type="http://schemas.openxmlformats.org/officeDocument/2006/relationships/hyperlink" Target="https://expa.aiesec.org/opportunities/1288441" TargetMode="External"/><Relationship Id="rId1270" Type="http://schemas.openxmlformats.org/officeDocument/2006/relationships/hyperlink" Target="https://expa.aiesec.org/opportunities/1281900" TargetMode="External"/><Relationship Id="rId440" Type="http://schemas.openxmlformats.org/officeDocument/2006/relationships/hyperlink" Target="https://expa.aiesec.org/opportunities/1287855" TargetMode="External"/><Relationship Id="rId1271" Type="http://schemas.openxmlformats.org/officeDocument/2006/relationships/hyperlink" Target="https://expa.aiesec.org/opportunities/1292844" TargetMode="External"/><Relationship Id="rId1272" Type="http://schemas.openxmlformats.org/officeDocument/2006/relationships/hyperlink" Target="https://expa.aiesec.org/opportunities/1291167" TargetMode="External"/><Relationship Id="rId1273" Type="http://schemas.openxmlformats.org/officeDocument/2006/relationships/hyperlink" Target="https://expa.aiesec.org/opportunities/1292651" TargetMode="External"/><Relationship Id="rId1274" Type="http://schemas.openxmlformats.org/officeDocument/2006/relationships/hyperlink" Target="https://expa.aiesec.org/opportunities/1291751" TargetMode="External"/><Relationship Id="rId444" Type="http://schemas.openxmlformats.org/officeDocument/2006/relationships/hyperlink" Target="https://expa.aiesec.org/opportunities/1289502" TargetMode="External"/><Relationship Id="rId1275" Type="http://schemas.openxmlformats.org/officeDocument/2006/relationships/hyperlink" Target="https://expa.aiesec.org/opportunities/1290806" TargetMode="External"/><Relationship Id="rId443" Type="http://schemas.openxmlformats.org/officeDocument/2006/relationships/hyperlink" Target="https://expa.aiesec.org/opportunities/1290026" TargetMode="External"/><Relationship Id="rId1276" Type="http://schemas.openxmlformats.org/officeDocument/2006/relationships/hyperlink" Target="https://expa.aiesec.org/opportunities/1289228" TargetMode="External"/><Relationship Id="rId442" Type="http://schemas.openxmlformats.org/officeDocument/2006/relationships/hyperlink" Target="https://expa.aiesec.org/opportunities/1288995" TargetMode="External"/><Relationship Id="rId1277" Type="http://schemas.openxmlformats.org/officeDocument/2006/relationships/hyperlink" Target="https://expa.aiesec.org/opportunities/1286368" TargetMode="External"/><Relationship Id="rId441" Type="http://schemas.openxmlformats.org/officeDocument/2006/relationships/hyperlink" Target="https://expa.aiesec.org/opportunities/1287459" TargetMode="External"/><Relationship Id="rId1278" Type="http://schemas.openxmlformats.org/officeDocument/2006/relationships/hyperlink" Target="https://expa.aiesec.org/opportunities/1287101" TargetMode="External"/><Relationship Id="rId1268" Type="http://schemas.openxmlformats.org/officeDocument/2006/relationships/hyperlink" Target="https://expa.aiesec.org/opportunities/1290760" TargetMode="External"/><Relationship Id="rId2599" Type="http://schemas.openxmlformats.org/officeDocument/2006/relationships/hyperlink" Target="https://expa.aiesec.org/opportunities/1284670" TargetMode="External"/><Relationship Id="rId1269" Type="http://schemas.openxmlformats.org/officeDocument/2006/relationships/hyperlink" Target="https://expa.aiesec.org/opportunities/1289167" TargetMode="External"/><Relationship Id="rId437" Type="http://schemas.openxmlformats.org/officeDocument/2006/relationships/hyperlink" Target="https://expa.aiesec.org/opportunities/1289437" TargetMode="External"/><Relationship Id="rId436" Type="http://schemas.openxmlformats.org/officeDocument/2006/relationships/hyperlink" Target="https://expa.aiesec.org/opportunities/1283483" TargetMode="External"/><Relationship Id="rId435" Type="http://schemas.openxmlformats.org/officeDocument/2006/relationships/hyperlink" Target="https://expa.aiesec.org/opportunities/1289255" TargetMode="External"/><Relationship Id="rId434" Type="http://schemas.openxmlformats.org/officeDocument/2006/relationships/hyperlink" Target="https://expa.aiesec.org/opportunities/1283683" TargetMode="External"/><Relationship Id="rId439" Type="http://schemas.openxmlformats.org/officeDocument/2006/relationships/hyperlink" Target="https://expa.aiesec.org/opportunities/1288607" TargetMode="External"/><Relationship Id="rId438" Type="http://schemas.openxmlformats.org/officeDocument/2006/relationships/hyperlink" Target="https://expa.aiesec.org/opportunities/1287083" TargetMode="External"/><Relationship Id="rId2590" Type="http://schemas.openxmlformats.org/officeDocument/2006/relationships/hyperlink" Target="https://expa.aiesec.org/opportunities/1294941" TargetMode="External"/><Relationship Id="rId1260" Type="http://schemas.openxmlformats.org/officeDocument/2006/relationships/hyperlink" Target="https://expa.aiesec.org/opportunities/1284312" TargetMode="External"/><Relationship Id="rId2591" Type="http://schemas.openxmlformats.org/officeDocument/2006/relationships/hyperlink" Target="https://expa.aiesec.org/opportunities/1295240" TargetMode="External"/><Relationship Id="rId1261" Type="http://schemas.openxmlformats.org/officeDocument/2006/relationships/hyperlink" Target="https://expa.aiesec.org/opportunities/1292539" TargetMode="External"/><Relationship Id="rId2592" Type="http://schemas.openxmlformats.org/officeDocument/2006/relationships/hyperlink" Target="https://expa.aiesec.org/opportunities/1295568" TargetMode="External"/><Relationship Id="rId1262" Type="http://schemas.openxmlformats.org/officeDocument/2006/relationships/hyperlink" Target="https://expa.aiesec.org/opportunities/1292535" TargetMode="External"/><Relationship Id="rId2593" Type="http://schemas.openxmlformats.org/officeDocument/2006/relationships/hyperlink" Target="https://expa.aiesec.org/opportunities/1295830" TargetMode="External"/><Relationship Id="rId1263" Type="http://schemas.openxmlformats.org/officeDocument/2006/relationships/hyperlink" Target="https://expa.aiesec.org/opportunities/1281010" TargetMode="External"/><Relationship Id="rId2594" Type="http://schemas.openxmlformats.org/officeDocument/2006/relationships/hyperlink" Target="https://expa.aiesec.org/opportunities/1295750" TargetMode="External"/><Relationship Id="rId433" Type="http://schemas.openxmlformats.org/officeDocument/2006/relationships/hyperlink" Target="https://expa.aiesec.org/opportunities/1289487" TargetMode="External"/><Relationship Id="rId1264" Type="http://schemas.openxmlformats.org/officeDocument/2006/relationships/hyperlink" Target="https://expa.aiesec.org/opportunities/1292571" TargetMode="External"/><Relationship Id="rId2595" Type="http://schemas.openxmlformats.org/officeDocument/2006/relationships/hyperlink" Target="https://expa.aiesec.org/opportunities/1288419" TargetMode="External"/><Relationship Id="rId432" Type="http://schemas.openxmlformats.org/officeDocument/2006/relationships/hyperlink" Target="https://expa.aiesec.org/opportunities/1288991" TargetMode="External"/><Relationship Id="rId1265" Type="http://schemas.openxmlformats.org/officeDocument/2006/relationships/hyperlink" Target="https://expa.aiesec.org/opportunities/1291929" TargetMode="External"/><Relationship Id="rId2596" Type="http://schemas.openxmlformats.org/officeDocument/2006/relationships/hyperlink" Target="https://expa.aiesec.org/opportunities/1288419" TargetMode="External"/><Relationship Id="rId431" Type="http://schemas.openxmlformats.org/officeDocument/2006/relationships/hyperlink" Target="https://expa.aiesec.org/opportunities/1280872" TargetMode="External"/><Relationship Id="rId1266" Type="http://schemas.openxmlformats.org/officeDocument/2006/relationships/hyperlink" Target="https://expa.aiesec.org/opportunities/1292706" TargetMode="External"/><Relationship Id="rId2597" Type="http://schemas.openxmlformats.org/officeDocument/2006/relationships/hyperlink" Target="https://expa.aiesec.org/opportunities/1288419" TargetMode="External"/><Relationship Id="rId430" Type="http://schemas.openxmlformats.org/officeDocument/2006/relationships/hyperlink" Target="https://expa.aiesec.org/opportunities/1288393" TargetMode="External"/><Relationship Id="rId1267" Type="http://schemas.openxmlformats.org/officeDocument/2006/relationships/hyperlink" Target="https://expa.aiesec.org/opportunities/1290826" TargetMode="External"/><Relationship Id="rId2598" Type="http://schemas.openxmlformats.org/officeDocument/2006/relationships/hyperlink" Target="https://expa.aiesec.org/opportunities/1289505" TargetMode="External"/><Relationship Id="rId3070" Type="http://schemas.openxmlformats.org/officeDocument/2006/relationships/hyperlink" Target="https://expa.aiesec.org/opportunities/1295453" TargetMode="External"/><Relationship Id="rId3072" Type="http://schemas.openxmlformats.org/officeDocument/2006/relationships/hyperlink" Target="https://expa.aiesec.org/opportunities/1286326" TargetMode="External"/><Relationship Id="rId3071" Type="http://schemas.openxmlformats.org/officeDocument/2006/relationships/hyperlink" Target="https://expa.aiesec.org/opportunities/1295575" TargetMode="External"/><Relationship Id="rId3074" Type="http://schemas.openxmlformats.org/officeDocument/2006/relationships/hyperlink" Target="https://expa.aiesec.org/opportunities/1289378" TargetMode="External"/><Relationship Id="rId3073" Type="http://schemas.openxmlformats.org/officeDocument/2006/relationships/hyperlink" Target="https://expa.aiesec.org/opportunities/1286326" TargetMode="External"/><Relationship Id="rId3076" Type="http://schemas.openxmlformats.org/officeDocument/2006/relationships/hyperlink" Target="https://expa.aiesec.org/opportunities/1293407" TargetMode="External"/><Relationship Id="rId3075" Type="http://schemas.openxmlformats.org/officeDocument/2006/relationships/hyperlink" Target="https://expa.aiesec.org/opportunities/1296670" TargetMode="External"/><Relationship Id="rId3078" Type="http://schemas.openxmlformats.org/officeDocument/2006/relationships/hyperlink" Target="https://expa.aiesec.org/opportunities/1289536" TargetMode="External"/><Relationship Id="rId3077" Type="http://schemas.openxmlformats.org/officeDocument/2006/relationships/hyperlink" Target="https://expa.aiesec.org/opportunities/1295514" TargetMode="External"/><Relationship Id="rId3079" Type="http://schemas.openxmlformats.org/officeDocument/2006/relationships/hyperlink" Target="https://expa.aiesec.org/opportunities/1298556" TargetMode="External"/><Relationship Id="rId3061" Type="http://schemas.openxmlformats.org/officeDocument/2006/relationships/hyperlink" Target="https://expa.aiesec.org/opportunities/1295980" TargetMode="External"/><Relationship Id="rId3060" Type="http://schemas.openxmlformats.org/officeDocument/2006/relationships/hyperlink" Target="https://expa.aiesec.org/opportunities/1296105" TargetMode="External"/><Relationship Id="rId3063" Type="http://schemas.openxmlformats.org/officeDocument/2006/relationships/hyperlink" Target="https://expa.aiesec.org/opportunities/1298400" TargetMode="External"/><Relationship Id="rId3062" Type="http://schemas.openxmlformats.org/officeDocument/2006/relationships/hyperlink" Target="https://expa.aiesec.org/opportunities/1298400" TargetMode="External"/><Relationship Id="rId3065" Type="http://schemas.openxmlformats.org/officeDocument/2006/relationships/hyperlink" Target="https://expa.aiesec.org/opportunities/1297661" TargetMode="External"/><Relationship Id="rId3064" Type="http://schemas.openxmlformats.org/officeDocument/2006/relationships/hyperlink" Target="https://expa.aiesec.org/opportunities/1298400" TargetMode="External"/><Relationship Id="rId3067" Type="http://schemas.openxmlformats.org/officeDocument/2006/relationships/hyperlink" Target="https://expa.aiesec.org/opportunities/1280872" TargetMode="External"/><Relationship Id="rId3066" Type="http://schemas.openxmlformats.org/officeDocument/2006/relationships/hyperlink" Target="https://expa.aiesec.org/opportunities/1279126" TargetMode="External"/><Relationship Id="rId3069" Type="http://schemas.openxmlformats.org/officeDocument/2006/relationships/hyperlink" Target="https://expa.aiesec.org/opportunities/1295453" TargetMode="External"/><Relationship Id="rId3068" Type="http://schemas.openxmlformats.org/officeDocument/2006/relationships/hyperlink" Target="https://expa.aiesec.org/opportunities/1294332" TargetMode="External"/><Relationship Id="rId3090" Type="http://schemas.openxmlformats.org/officeDocument/2006/relationships/hyperlink" Target="https://expa.aiesec.org/opportunities/1295628" TargetMode="External"/><Relationship Id="rId3092" Type="http://schemas.openxmlformats.org/officeDocument/2006/relationships/hyperlink" Target="https://expa.aiesec.org/opportunities/1289296" TargetMode="External"/><Relationship Id="rId3091" Type="http://schemas.openxmlformats.org/officeDocument/2006/relationships/hyperlink" Target="https://expa.aiesec.org/opportunities/1296101" TargetMode="External"/><Relationship Id="rId3094" Type="http://schemas.openxmlformats.org/officeDocument/2006/relationships/hyperlink" Target="https://expa.aiesec.org/opportunities/1279126" TargetMode="External"/><Relationship Id="rId3093" Type="http://schemas.openxmlformats.org/officeDocument/2006/relationships/hyperlink" Target="https://expa.aiesec.org/opportunities/1296325" TargetMode="External"/><Relationship Id="rId3096" Type="http://schemas.openxmlformats.org/officeDocument/2006/relationships/hyperlink" Target="https://expa.aiesec.org/opportunities/1291144" TargetMode="External"/><Relationship Id="rId3095" Type="http://schemas.openxmlformats.org/officeDocument/2006/relationships/hyperlink" Target="https://expa.aiesec.org/opportunities/1279126" TargetMode="External"/><Relationship Id="rId3098" Type="http://schemas.openxmlformats.org/officeDocument/2006/relationships/hyperlink" Target="https://expa.aiesec.org/opportunities/1296325" TargetMode="External"/><Relationship Id="rId3097" Type="http://schemas.openxmlformats.org/officeDocument/2006/relationships/hyperlink" Target="https://expa.aiesec.org/opportunities/1297132" TargetMode="External"/><Relationship Id="rId3099" Type="http://schemas.openxmlformats.org/officeDocument/2006/relationships/hyperlink" Target="https://expa.aiesec.org/opportunities/1296325" TargetMode="External"/><Relationship Id="rId3081" Type="http://schemas.openxmlformats.org/officeDocument/2006/relationships/hyperlink" Target="https://expa.aiesec.org/opportunities/1297606" TargetMode="External"/><Relationship Id="rId3080" Type="http://schemas.openxmlformats.org/officeDocument/2006/relationships/hyperlink" Target="https://expa.aiesec.org/opportunities/1298235" TargetMode="External"/><Relationship Id="rId3083" Type="http://schemas.openxmlformats.org/officeDocument/2006/relationships/hyperlink" Target="https://expa.aiesec.org/opportunities/1298501" TargetMode="External"/><Relationship Id="rId3082" Type="http://schemas.openxmlformats.org/officeDocument/2006/relationships/hyperlink" Target="https://expa.aiesec.org/opportunities/1292878" TargetMode="External"/><Relationship Id="rId3085" Type="http://schemas.openxmlformats.org/officeDocument/2006/relationships/hyperlink" Target="https://expa.aiesec.org/opportunities/1295982" TargetMode="External"/><Relationship Id="rId3084" Type="http://schemas.openxmlformats.org/officeDocument/2006/relationships/hyperlink" Target="https://expa.aiesec.org/opportunities/1294332" TargetMode="External"/><Relationship Id="rId3087" Type="http://schemas.openxmlformats.org/officeDocument/2006/relationships/hyperlink" Target="https://expa.aiesec.org/opportunities/1289502" TargetMode="External"/><Relationship Id="rId3086" Type="http://schemas.openxmlformats.org/officeDocument/2006/relationships/hyperlink" Target="https://expa.aiesec.org/opportunities/1279126" TargetMode="External"/><Relationship Id="rId3089" Type="http://schemas.openxmlformats.org/officeDocument/2006/relationships/hyperlink" Target="https://expa.aiesec.org/opportunities/1295453" TargetMode="External"/><Relationship Id="rId3088" Type="http://schemas.openxmlformats.org/officeDocument/2006/relationships/hyperlink" Target="https://expa.aiesec.org/opportunities/1291254" TargetMode="External"/><Relationship Id="rId3039" Type="http://schemas.openxmlformats.org/officeDocument/2006/relationships/hyperlink" Target="https://expa.aiesec.org/opportunities/1286228" TargetMode="External"/><Relationship Id="rId1" Type="http://schemas.openxmlformats.org/officeDocument/2006/relationships/hyperlink" Target="https://expa.aiesec.org/opportunities/1287327" TargetMode="External"/><Relationship Id="rId2" Type="http://schemas.openxmlformats.org/officeDocument/2006/relationships/hyperlink" Target="https://expa.aiesec.org/opportunities/1288032" TargetMode="External"/><Relationship Id="rId3" Type="http://schemas.openxmlformats.org/officeDocument/2006/relationships/hyperlink" Target="https://expa.aiesec.org/opportunities/1281351" TargetMode="External"/><Relationship Id="rId4" Type="http://schemas.openxmlformats.org/officeDocument/2006/relationships/hyperlink" Target="https://expa.aiesec.org/opportunities/1286782" TargetMode="External"/><Relationship Id="rId3030" Type="http://schemas.openxmlformats.org/officeDocument/2006/relationships/hyperlink" Target="https://expa.aiesec.org/opportunities/1285161" TargetMode="External"/><Relationship Id="rId9" Type="http://schemas.openxmlformats.org/officeDocument/2006/relationships/hyperlink" Target="https://expa.aiesec.org/opportunities/1287137" TargetMode="External"/><Relationship Id="rId3032" Type="http://schemas.openxmlformats.org/officeDocument/2006/relationships/hyperlink" Target="https://expa.aiesec.org/opportunities/1295893" TargetMode="External"/><Relationship Id="rId3031" Type="http://schemas.openxmlformats.org/officeDocument/2006/relationships/hyperlink" Target="https://expa.aiesec.org/opportunities/1295893" TargetMode="External"/><Relationship Id="rId3034" Type="http://schemas.openxmlformats.org/officeDocument/2006/relationships/hyperlink" Target="https://expa.aiesec.org/opportunities/1296328" TargetMode="External"/><Relationship Id="rId3033" Type="http://schemas.openxmlformats.org/officeDocument/2006/relationships/hyperlink" Target="https://expa.aiesec.org/opportunities/1296101" TargetMode="External"/><Relationship Id="rId5" Type="http://schemas.openxmlformats.org/officeDocument/2006/relationships/hyperlink" Target="https://expa.aiesec.org/opportunities/1287628" TargetMode="External"/><Relationship Id="rId3036" Type="http://schemas.openxmlformats.org/officeDocument/2006/relationships/hyperlink" Target="https://expa.aiesec.org/opportunities/1294540" TargetMode="External"/><Relationship Id="rId6" Type="http://schemas.openxmlformats.org/officeDocument/2006/relationships/hyperlink" Target="https://expa.aiesec.org/opportunities/1285687" TargetMode="External"/><Relationship Id="rId3035" Type="http://schemas.openxmlformats.org/officeDocument/2006/relationships/hyperlink" Target="https://expa.aiesec.org/opportunities/1295893" TargetMode="External"/><Relationship Id="rId7" Type="http://schemas.openxmlformats.org/officeDocument/2006/relationships/hyperlink" Target="https://expa.aiesec.org/opportunities/1287380" TargetMode="External"/><Relationship Id="rId3038" Type="http://schemas.openxmlformats.org/officeDocument/2006/relationships/hyperlink" Target="https://expa.aiesec.org/opportunities/1291586" TargetMode="External"/><Relationship Id="rId8" Type="http://schemas.openxmlformats.org/officeDocument/2006/relationships/hyperlink" Target="https://expa.aiesec.org/opportunities/1287558" TargetMode="External"/><Relationship Id="rId3037" Type="http://schemas.openxmlformats.org/officeDocument/2006/relationships/hyperlink" Target="https://expa.aiesec.org/opportunities/1279126" TargetMode="External"/><Relationship Id="rId3029" Type="http://schemas.openxmlformats.org/officeDocument/2006/relationships/hyperlink" Target="https://expa.aiesec.org/opportunities/1285161" TargetMode="External"/><Relationship Id="rId3028" Type="http://schemas.openxmlformats.org/officeDocument/2006/relationships/hyperlink" Target="https://expa.aiesec.org/opportunities/1289850" TargetMode="External"/><Relationship Id="rId3021" Type="http://schemas.openxmlformats.org/officeDocument/2006/relationships/hyperlink" Target="https://expa.aiesec.org/opportunities/1280733" TargetMode="External"/><Relationship Id="rId3020" Type="http://schemas.openxmlformats.org/officeDocument/2006/relationships/hyperlink" Target="https://expa.aiesec.org/opportunities/1289597" TargetMode="External"/><Relationship Id="rId3023" Type="http://schemas.openxmlformats.org/officeDocument/2006/relationships/hyperlink" Target="https://expa.aiesec.org/opportunities/1294211" TargetMode="External"/><Relationship Id="rId3022" Type="http://schemas.openxmlformats.org/officeDocument/2006/relationships/hyperlink" Target="https://expa.aiesec.org/opportunities/1296328" TargetMode="External"/><Relationship Id="rId3025" Type="http://schemas.openxmlformats.org/officeDocument/2006/relationships/hyperlink" Target="https://expa.aiesec.org/opportunities/1298866" TargetMode="External"/><Relationship Id="rId3024" Type="http://schemas.openxmlformats.org/officeDocument/2006/relationships/hyperlink" Target="https://expa.aiesec.org/opportunities/1298866" TargetMode="External"/><Relationship Id="rId3027" Type="http://schemas.openxmlformats.org/officeDocument/2006/relationships/hyperlink" Target="https://expa.aiesec.org/opportunities/1286839" TargetMode="External"/><Relationship Id="rId3026" Type="http://schemas.openxmlformats.org/officeDocument/2006/relationships/hyperlink" Target="https://expa.aiesec.org/opportunities/1286521" TargetMode="External"/><Relationship Id="rId3050" Type="http://schemas.openxmlformats.org/officeDocument/2006/relationships/hyperlink" Target="https://expa.aiesec.org/opportunities/1296239" TargetMode="External"/><Relationship Id="rId3052" Type="http://schemas.openxmlformats.org/officeDocument/2006/relationships/hyperlink" Target="https://expa.aiesec.org/opportunities/1279126" TargetMode="External"/><Relationship Id="rId3051" Type="http://schemas.openxmlformats.org/officeDocument/2006/relationships/hyperlink" Target="https://expa.aiesec.org/opportunities/1298403" TargetMode="External"/><Relationship Id="rId3054" Type="http://schemas.openxmlformats.org/officeDocument/2006/relationships/hyperlink" Target="https://expa.aiesec.org/opportunities/1298403" TargetMode="External"/><Relationship Id="rId3053" Type="http://schemas.openxmlformats.org/officeDocument/2006/relationships/hyperlink" Target="https://expa.aiesec.org/opportunities/1295893" TargetMode="External"/><Relationship Id="rId3056" Type="http://schemas.openxmlformats.org/officeDocument/2006/relationships/hyperlink" Target="https://expa.aiesec.org/opportunities/1295081" TargetMode="External"/><Relationship Id="rId3055" Type="http://schemas.openxmlformats.org/officeDocument/2006/relationships/hyperlink" Target="https://expa.aiesec.org/opportunities/1298556" TargetMode="External"/><Relationship Id="rId3058" Type="http://schemas.openxmlformats.org/officeDocument/2006/relationships/hyperlink" Target="https://expa.aiesec.org/opportunities/1286326" TargetMode="External"/><Relationship Id="rId3057" Type="http://schemas.openxmlformats.org/officeDocument/2006/relationships/hyperlink" Target="https://expa.aiesec.org/opportunities/1297247" TargetMode="External"/><Relationship Id="rId3059" Type="http://schemas.openxmlformats.org/officeDocument/2006/relationships/hyperlink" Target="https://expa.aiesec.org/opportunities/1295893" TargetMode="External"/><Relationship Id="rId3041" Type="http://schemas.openxmlformats.org/officeDocument/2006/relationships/hyperlink" Target="https://expa.aiesec.org/opportunities/1296670" TargetMode="External"/><Relationship Id="rId3040" Type="http://schemas.openxmlformats.org/officeDocument/2006/relationships/hyperlink" Target="https://expa.aiesec.org/opportunities/1294209" TargetMode="External"/><Relationship Id="rId3043" Type="http://schemas.openxmlformats.org/officeDocument/2006/relationships/hyperlink" Target="https://expa.aiesec.org/opportunities/1296103" TargetMode="External"/><Relationship Id="rId3042" Type="http://schemas.openxmlformats.org/officeDocument/2006/relationships/hyperlink" Target="https://expa.aiesec.org/opportunities/1292557" TargetMode="External"/><Relationship Id="rId3045" Type="http://schemas.openxmlformats.org/officeDocument/2006/relationships/hyperlink" Target="https://expa.aiesec.org/opportunities/1292559" TargetMode="External"/><Relationship Id="rId3044" Type="http://schemas.openxmlformats.org/officeDocument/2006/relationships/hyperlink" Target="https://expa.aiesec.org/opportunities/1295453" TargetMode="External"/><Relationship Id="rId3047" Type="http://schemas.openxmlformats.org/officeDocument/2006/relationships/hyperlink" Target="https://expa.aiesec.org/opportunities/1295453" TargetMode="External"/><Relationship Id="rId3046" Type="http://schemas.openxmlformats.org/officeDocument/2006/relationships/hyperlink" Target="https://expa.aiesec.org/opportunities/1298748" TargetMode="External"/><Relationship Id="rId3049" Type="http://schemas.openxmlformats.org/officeDocument/2006/relationships/hyperlink" Target="https://expa.aiesec.org/opportunities/1298746" TargetMode="External"/><Relationship Id="rId3048" Type="http://schemas.openxmlformats.org/officeDocument/2006/relationships/hyperlink" Target="https://expa.aiesec.org/opportunities/1295453" TargetMode="External"/><Relationship Id="rId3911" Type="http://schemas.openxmlformats.org/officeDocument/2006/relationships/hyperlink" Target="https://expa.aiesec.org/opportunities/1284744" TargetMode="External"/><Relationship Id="rId3910" Type="http://schemas.openxmlformats.org/officeDocument/2006/relationships/hyperlink" Target="https://expa.aiesec.org/opportunities/1300175" TargetMode="External"/><Relationship Id="rId3913" Type="http://schemas.openxmlformats.org/officeDocument/2006/relationships/hyperlink" Target="https://expa.aiesec.org/opportunities/1299608" TargetMode="External"/><Relationship Id="rId3912" Type="http://schemas.openxmlformats.org/officeDocument/2006/relationships/hyperlink" Target="https://expa.aiesec.org/opportunities/1293417" TargetMode="External"/><Relationship Id="rId3915" Type="http://schemas.openxmlformats.org/officeDocument/2006/relationships/hyperlink" Target="https://expa.aiesec.org/opportunities/1286521" TargetMode="External"/><Relationship Id="rId3914" Type="http://schemas.openxmlformats.org/officeDocument/2006/relationships/hyperlink" Target="https://expa.aiesec.org/opportunities/1288609" TargetMode="External"/><Relationship Id="rId3917" Type="http://schemas.openxmlformats.org/officeDocument/2006/relationships/hyperlink" Target="https://expa.aiesec.org/opportunities/1301073" TargetMode="External"/><Relationship Id="rId3916" Type="http://schemas.openxmlformats.org/officeDocument/2006/relationships/hyperlink" Target="https://expa.aiesec.org/opportunities/1289347" TargetMode="External"/><Relationship Id="rId3919" Type="http://schemas.openxmlformats.org/officeDocument/2006/relationships/hyperlink" Target="https://expa.aiesec.org/opportunities/1289347" TargetMode="External"/><Relationship Id="rId3918" Type="http://schemas.openxmlformats.org/officeDocument/2006/relationships/hyperlink" Target="https://expa.aiesec.org/opportunities/1287966" TargetMode="External"/><Relationship Id="rId3900" Type="http://schemas.openxmlformats.org/officeDocument/2006/relationships/hyperlink" Target="https://expa.aiesec.org/opportunities/1293417" TargetMode="External"/><Relationship Id="rId3902" Type="http://schemas.openxmlformats.org/officeDocument/2006/relationships/hyperlink" Target="https://expa.aiesec.org/opportunities/1299929" TargetMode="External"/><Relationship Id="rId3901" Type="http://schemas.openxmlformats.org/officeDocument/2006/relationships/hyperlink" Target="https://expa.aiesec.org/opportunities/1287140" TargetMode="External"/><Relationship Id="rId3904" Type="http://schemas.openxmlformats.org/officeDocument/2006/relationships/hyperlink" Target="https://expa.aiesec.org/opportunities/1293463" TargetMode="External"/><Relationship Id="rId3903" Type="http://schemas.openxmlformats.org/officeDocument/2006/relationships/hyperlink" Target="https://expa.aiesec.org/opportunities/1293463" TargetMode="External"/><Relationship Id="rId3906" Type="http://schemas.openxmlformats.org/officeDocument/2006/relationships/hyperlink" Target="https://expa.aiesec.org/opportunities/1301306" TargetMode="External"/><Relationship Id="rId3905" Type="http://schemas.openxmlformats.org/officeDocument/2006/relationships/hyperlink" Target="https://expa.aiesec.org/opportunities/1293463" TargetMode="External"/><Relationship Id="rId3908" Type="http://schemas.openxmlformats.org/officeDocument/2006/relationships/hyperlink" Target="https://expa.aiesec.org/opportunities/1294232" TargetMode="External"/><Relationship Id="rId3907" Type="http://schemas.openxmlformats.org/officeDocument/2006/relationships/hyperlink" Target="https://expa.aiesec.org/opportunities/1299612" TargetMode="External"/><Relationship Id="rId3909" Type="http://schemas.openxmlformats.org/officeDocument/2006/relationships/hyperlink" Target="https://expa.aiesec.org/opportunities/1300050" TargetMode="External"/><Relationship Id="rId3931" Type="http://schemas.openxmlformats.org/officeDocument/2006/relationships/hyperlink" Target="https://expa.aiesec.org/opportunities/1288970" TargetMode="External"/><Relationship Id="rId2600" Type="http://schemas.openxmlformats.org/officeDocument/2006/relationships/hyperlink" Target="https://expa.aiesec.org/opportunities/1287985" TargetMode="External"/><Relationship Id="rId3930" Type="http://schemas.openxmlformats.org/officeDocument/2006/relationships/hyperlink" Target="https://expa.aiesec.org/opportunities/1299884" TargetMode="External"/><Relationship Id="rId2601" Type="http://schemas.openxmlformats.org/officeDocument/2006/relationships/hyperlink" Target="https://expa.aiesec.org/opportunities/1292549" TargetMode="External"/><Relationship Id="rId3933" Type="http://schemas.openxmlformats.org/officeDocument/2006/relationships/hyperlink" Target="https://expa.aiesec.org/opportunities/1289583" TargetMode="External"/><Relationship Id="rId2602" Type="http://schemas.openxmlformats.org/officeDocument/2006/relationships/hyperlink" Target="https://expa.aiesec.org/opportunities/1294452" TargetMode="External"/><Relationship Id="rId3932" Type="http://schemas.openxmlformats.org/officeDocument/2006/relationships/hyperlink" Target="https://expa.aiesec.org/opportunities/1298102" TargetMode="External"/><Relationship Id="rId2603" Type="http://schemas.openxmlformats.org/officeDocument/2006/relationships/hyperlink" Target="https://expa.aiesec.org/opportunities/1295382" TargetMode="External"/><Relationship Id="rId3935" Type="http://schemas.openxmlformats.org/officeDocument/2006/relationships/hyperlink" Target="https://expa.aiesec.org/opportunities/1289583" TargetMode="External"/><Relationship Id="rId2604" Type="http://schemas.openxmlformats.org/officeDocument/2006/relationships/hyperlink" Target="https://expa.aiesec.org/opportunities/1294877" TargetMode="External"/><Relationship Id="rId3934" Type="http://schemas.openxmlformats.org/officeDocument/2006/relationships/hyperlink" Target="https://expa.aiesec.org/opportunities/1289583" TargetMode="External"/><Relationship Id="rId2605" Type="http://schemas.openxmlformats.org/officeDocument/2006/relationships/hyperlink" Target="https://expa.aiesec.org/opportunities/1292463" TargetMode="External"/><Relationship Id="rId3937" Type="http://schemas.openxmlformats.org/officeDocument/2006/relationships/hyperlink" Target="https://expa.aiesec.org/opportunities/1301556" TargetMode="External"/><Relationship Id="rId2606" Type="http://schemas.openxmlformats.org/officeDocument/2006/relationships/hyperlink" Target="https://expa.aiesec.org/opportunities/1295830" TargetMode="External"/><Relationship Id="rId3936" Type="http://schemas.openxmlformats.org/officeDocument/2006/relationships/hyperlink" Target="https://expa.aiesec.org/opportunities/1301556" TargetMode="External"/><Relationship Id="rId808" Type="http://schemas.openxmlformats.org/officeDocument/2006/relationships/hyperlink" Target="https://expa.aiesec.org/opportunities/1289536" TargetMode="External"/><Relationship Id="rId2607" Type="http://schemas.openxmlformats.org/officeDocument/2006/relationships/hyperlink" Target="https://expa.aiesec.org/opportunities/1296118" TargetMode="External"/><Relationship Id="rId3939" Type="http://schemas.openxmlformats.org/officeDocument/2006/relationships/hyperlink" Target="https://expa.aiesec.org/opportunities/1296457" TargetMode="External"/><Relationship Id="rId807" Type="http://schemas.openxmlformats.org/officeDocument/2006/relationships/hyperlink" Target="https://expa.aiesec.org/opportunities/1290667" TargetMode="External"/><Relationship Id="rId2608" Type="http://schemas.openxmlformats.org/officeDocument/2006/relationships/hyperlink" Target="https://expa.aiesec.org/opportunities/1289505" TargetMode="External"/><Relationship Id="rId3938" Type="http://schemas.openxmlformats.org/officeDocument/2006/relationships/hyperlink" Target="https://expa.aiesec.org/opportunities/1300757" TargetMode="External"/><Relationship Id="rId806" Type="http://schemas.openxmlformats.org/officeDocument/2006/relationships/hyperlink" Target="https://expa.aiesec.org/opportunities/1290196" TargetMode="External"/><Relationship Id="rId2609" Type="http://schemas.openxmlformats.org/officeDocument/2006/relationships/hyperlink" Target="https://expa.aiesec.org/opportunities/1296103" TargetMode="External"/><Relationship Id="rId805" Type="http://schemas.openxmlformats.org/officeDocument/2006/relationships/hyperlink" Target="https://expa.aiesec.org/opportunities/1284485" TargetMode="External"/><Relationship Id="rId809" Type="http://schemas.openxmlformats.org/officeDocument/2006/relationships/hyperlink" Target="https://expa.aiesec.org/opportunities/1279126" TargetMode="External"/><Relationship Id="rId800" Type="http://schemas.openxmlformats.org/officeDocument/2006/relationships/hyperlink" Target="https://expa.aiesec.org/opportunities/1287315" TargetMode="External"/><Relationship Id="rId804" Type="http://schemas.openxmlformats.org/officeDocument/2006/relationships/hyperlink" Target="https://expa.aiesec.org/opportunities/1288488" TargetMode="External"/><Relationship Id="rId803" Type="http://schemas.openxmlformats.org/officeDocument/2006/relationships/hyperlink" Target="https://expa.aiesec.org/opportunities/1291039" TargetMode="External"/><Relationship Id="rId802" Type="http://schemas.openxmlformats.org/officeDocument/2006/relationships/hyperlink" Target="https://expa.aiesec.org/opportunities/1291038" TargetMode="External"/><Relationship Id="rId801" Type="http://schemas.openxmlformats.org/officeDocument/2006/relationships/hyperlink" Target="https://expa.aiesec.org/opportunities/1288721" TargetMode="External"/><Relationship Id="rId3920" Type="http://schemas.openxmlformats.org/officeDocument/2006/relationships/hyperlink" Target="https://expa.aiesec.org/opportunities/1289597" TargetMode="External"/><Relationship Id="rId3922" Type="http://schemas.openxmlformats.org/officeDocument/2006/relationships/hyperlink" Target="https://expa.aiesec.org/opportunities/1300091" TargetMode="External"/><Relationship Id="rId3921" Type="http://schemas.openxmlformats.org/officeDocument/2006/relationships/hyperlink" Target="https://expa.aiesec.org/opportunities/1298736" TargetMode="External"/><Relationship Id="rId3924" Type="http://schemas.openxmlformats.org/officeDocument/2006/relationships/hyperlink" Target="https://expa.aiesec.org/opportunities/1301775" TargetMode="External"/><Relationship Id="rId3923" Type="http://schemas.openxmlformats.org/officeDocument/2006/relationships/hyperlink" Target="https://expa.aiesec.org/opportunities/1295700" TargetMode="External"/><Relationship Id="rId3926" Type="http://schemas.openxmlformats.org/officeDocument/2006/relationships/hyperlink" Target="https://expa.aiesec.org/opportunities/1300178" TargetMode="External"/><Relationship Id="rId3925" Type="http://schemas.openxmlformats.org/officeDocument/2006/relationships/hyperlink" Target="https://expa.aiesec.org/opportunities/1298549" TargetMode="External"/><Relationship Id="rId3928" Type="http://schemas.openxmlformats.org/officeDocument/2006/relationships/hyperlink" Target="https://expa.aiesec.org/opportunities/1300178" TargetMode="External"/><Relationship Id="rId3927" Type="http://schemas.openxmlformats.org/officeDocument/2006/relationships/hyperlink" Target="https://expa.aiesec.org/opportunities/1294584" TargetMode="External"/><Relationship Id="rId3929" Type="http://schemas.openxmlformats.org/officeDocument/2006/relationships/hyperlink" Target="https://expa.aiesec.org/opportunities/1299885" TargetMode="External"/><Relationship Id="rId1334" Type="http://schemas.openxmlformats.org/officeDocument/2006/relationships/hyperlink" Target="https://expa.aiesec.org/opportunities/1287662" TargetMode="External"/><Relationship Id="rId2665" Type="http://schemas.openxmlformats.org/officeDocument/2006/relationships/hyperlink" Target="https://expa.aiesec.org/opportunities/1295874" TargetMode="External"/><Relationship Id="rId3997" Type="http://schemas.openxmlformats.org/officeDocument/2006/relationships/hyperlink" Target="https://expa.aiesec.org/opportunities/1296885" TargetMode="External"/><Relationship Id="rId1335" Type="http://schemas.openxmlformats.org/officeDocument/2006/relationships/hyperlink" Target="https://expa.aiesec.org/opportunities/1286228" TargetMode="External"/><Relationship Id="rId2666" Type="http://schemas.openxmlformats.org/officeDocument/2006/relationships/hyperlink" Target="https://expa.aiesec.org/opportunities/1296671" TargetMode="External"/><Relationship Id="rId3996" Type="http://schemas.openxmlformats.org/officeDocument/2006/relationships/hyperlink" Target="https://expa.aiesec.org/opportunities/1288609" TargetMode="External"/><Relationship Id="rId1336" Type="http://schemas.openxmlformats.org/officeDocument/2006/relationships/hyperlink" Target="https://expa.aiesec.org/opportunities/1292878" TargetMode="External"/><Relationship Id="rId2667" Type="http://schemas.openxmlformats.org/officeDocument/2006/relationships/hyperlink" Target="https://expa.aiesec.org/opportunities/1281010" TargetMode="External"/><Relationship Id="rId3999" Type="http://schemas.openxmlformats.org/officeDocument/2006/relationships/hyperlink" Target="https://expa.aiesec.org/opportunities/1288609" TargetMode="External"/><Relationship Id="rId1337" Type="http://schemas.openxmlformats.org/officeDocument/2006/relationships/hyperlink" Target="https://expa.aiesec.org/opportunities/1292878" TargetMode="External"/><Relationship Id="rId2668" Type="http://schemas.openxmlformats.org/officeDocument/2006/relationships/hyperlink" Target="https://expa.aiesec.org/opportunities/1292559" TargetMode="External"/><Relationship Id="rId3998" Type="http://schemas.openxmlformats.org/officeDocument/2006/relationships/hyperlink" Target="https://expa.aiesec.org/opportunities/1295260" TargetMode="External"/><Relationship Id="rId1338" Type="http://schemas.openxmlformats.org/officeDocument/2006/relationships/hyperlink" Target="https://expa.aiesec.org/opportunities/1289536" TargetMode="External"/><Relationship Id="rId2669" Type="http://schemas.openxmlformats.org/officeDocument/2006/relationships/hyperlink" Target="https://expa.aiesec.org/opportunities/1294669" TargetMode="External"/><Relationship Id="rId1339" Type="http://schemas.openxmlformats.org/officeDocument/2006/relationships/hyperlink" Target="https://expa.aiesec.org/opportunities/1287942" TargetMode="External"/><Relationship Id="rId745" Type="http://schemas.openxmlformats.org/officeDocument/2006/relationships/hyperlink" Target="https://expa.aiesec.org/opportunities/1290374" TargetMode="External"/><Relationship Id="rId744" Type="http://schemas.openxmlformats.org/officeDocument/2006/relationships/hyperlink" Target="https://expa.aiesec.org/opportunities/1289455" TargetMode="External"/><Relationship Id="rId743" Type="http://schemas.openxmlformats.org/officeDocument/2006/relationships/hyperlink" Target="https://expa.aiesec.org/opportunities/1286312" TargetMode="External"/><Relationship Id="rId742" Type="http://schemas.openxmlformats.org/officeDocument/2006/relationships/hyperlink" Target="https://expa.aiesec.org/opportunities/1289255" TargetMode="External"/><Relationship Id="rId749" Type="http://schemas.openxmlformats.org/officeDocument/2006/relationships/hyperlink" Target="https://expa.aiesec.org/opportunities/1291229" TargetMode="External"/><Relationship Id="rId748" Type="http://schemas.openxmlformats.org/officeDocument/2006/relationships/hyperlink" Target="https://expa.aiesec.org/opportunities/1291199" TargetMode="External"/><Relationship Id="rId747" Type="http://schemas.openxmlformats.org/officeDocument/2006/relationships/hyperlink" Target="https://expa.aiesec.org/opportunities/1290036" TargetMode="External"/><Relationship Id="rId746" Type="http://schemas.openxmlformats.org/officeDocument/2006/relationships/hyperlink" Target="https://expa.aiesec.org/opportunities/1288609" TargetMode="External"/><Relationship Id="rId3991" Type="http://schemas.openxmlformats.org/officeDocument/2006/relationships/hyperlink" Target="https://expa.aiesec.org/opportunities/1301244" TargetMode="External"/><Relationship Id="rId2660" Type="http://schemas.openxmlformats.org/officeDocument/2006/relationships/hyperlink" Target="https://expa.aiesec.org/opportunities/1277333" TargetMode="External"/><Relationship Id="rId3990" Type="http://schemas.openxmlformats.org/officeDocument/2006/relationships/hyperlink" Target="https://expa.aiesec.org/opportunities/1301244" TargetMode="External"/><Relationship Id="rId741" Type="http://schemas.openxmlformats.org/officeDocument/2006/relationships/hyperlink" Target="https://expa.aiesec.org/opportunities/1285687" TargetMode="External"/><Relationship Id="rId1330" Type="http://schemas.openxmlformats.org/officeDocument/2006/relationships/hyperlink" Target="https://expa.aiesec.org/opportunities/1292545" TargetMode="External"/><Relationship Id="rId2661" Type="http://schemas.openxmlformats.org/officeDocument/2006/relationships/hyperlink" Target="https://expa.aiesec.org/opportunities/1295572" TargetMode="External"/><Relationship Id="rId3993" Type="http://schemas.openxmlformats.org/officeDocument/2006/relationships/hyperlink" Target="https://expa.aiesec.org/opportunities/1290826" TargetMode="External"/><Relationship Id="rId740" Type="http://schemas.openxmlformats.org/officeDocument/2006/relationships/hyperlink" Target="https://expa.aiesec.org/opportunities/1285687" TargetMode="External"/><Relationship Id="rId1331" Type="http://schemas.openxmlformats.org/officeDocument/2006/relationships/hyperlink" Target="https://expa.aiesec.org/opportunities/1292379" TargetMode="External"/><Relationship Id="rId2662" Type="http://schemas.openxmlformats.org/officeDocument/2006/relationships/hyperlink" Target="https://expa.aiesec.org/opportunities/1294785" TargetMode="External"/><Relationship Id="rId3992" Type="http://schemas.openxmlformats.org/officeDocument/2006/relationships/hyperlink" Target="https://expa.aiesec.org/opportunities/1299661" TargetMode="External"/><Relationship Id="rId1332" Type="http://schemas.openxmlformats.org/officeDocument/2006/relationships/hyperlink" Target="https://expa.aiesec.org/opportunities/1292756" TargetMode="External"/><Relationship Id="rId2663" Type="http://schemas.openxmlformats.org/officeDocument/2006/relationships/hyperlink" Target="https://expa.aiesec.org/opportunities/1289255" TargetMode="External"/><Relationship Id="rId3995" Type="http://schemas.openxmlformats.org/officeDocument/2006/relationships/hyperlink" Target="https://expa.aiesec.org/opportunities/1288609" TargetMode="External"/><Relationship Id="rId1333" Type="http://schemas.openxmlformats.org/officeDocument/2006/relationships/hyperlink" Target="https://expa.aiesec.org/opportunities/1287662" TargetMode="External"/><Relationship Id="rId2664" Type="http://schemas.openxmlformats.org/officeDocument/2006/relationships/hyperlink" Target="https://expa.aiesec.org/opportunities/1295750" TargetMode="External"/><Relationship Id="rId3994" Type="http://schemas.openxmlformats.org/officeDocument/2006/relationships/hyperlink" Target="https://expa.aiesec.org/opportunities/1293463" TargetMode="External"/><Relationship Id="rId1323" Type="http://schemas.openxmlformats.org/officeDocument/2006/relationships/hyperlink" Target="https://expa.aiesec.org/opportunities/1287855" TargetMode="External"/><Relationship Id="rId2654" Type="http://schemas.openxmlformats.org/officeDocument/2006/relationships/hyperlink" Target="https://expa.aiesec.org/opportunities/1296118" TargetMode="External"/><Relationship Id="rId3986" Type="http://schemas.openxmlformats.org/officeDocument/2006/relationships/hyperlink" Target="https://expa.aiesec.org/opportunities/1298372" TargetMode="External"/><Relationship Id="rId1324" Type="http://schemas.openxmlformats.org/officeDocument/2006/relationships/hyperlink" Target="https://expa.aiesec.org/opportunities/1292835" TargetMode="External"/><Relationship Id="rId2655" Type="http://schemas.openxmlformats.org/officeDocument/2006/relationships/hyperlink" Target="https://expa.aiesec.org/opportunities/1287210" TargetMode="External"/><Relationship Id="rId3985" Type="http://schemas.openxmlformats.org/officeDocument/2006/relationships/hyperlink" Target="https://expa.aiesec.org/opportunities/1301670" TargetMode="External"/><Relationship Id="rId1325" Type="http://schemas.openxmlformats.org/officeDocument/2006/relationships/hyperlink" Target="https://expa.aiesec.org/opportunities/1292773" TargetMode="External"/><Relationship Id="rId2656" Type="http://schemas.openxmlformats.org/officeDocument/2006/relationships/hyperlink" Target="https://expa.aiesec.org/opportunities/1295572" TargetMode="External"/><Relationship Id="rId3988" Type="http://schemas.openxmlformats.org/officeDocument/2006/relationships/hyperlink" Target="https://expa.aiesec.org/opportunities/1294622" TargetMode="External"/><Relationship Id="rId1326" Type="http://schemas.openxmlformats.org/officeDocument/2006/relationships/hyperlink" Target="https://expa.aiesec.org/opportunities/1281235" TargetMode="External"/><Relationship Id="rId2657" Type="http://schemas.openxmlformats.org/officeDocument/2006/relationships/hyperlink" Target="https://expa.aiesec.org/opportunities/1290469" TargetMode="External"/><Relationship Id="rId3987" Type="http://schemas.openxmlformats.org/officeDocument/2006/relationships/hyperlink" Target="https://expa.aiesec.org/opportunities/1298372" TargetMode="External"/><Relationship Id="rId1327" Type="http://schemas.openxmlformats.org/officeDocument/2006/relationships/hyperlink" Target="https://expa.aiesec.org/opportunities/1292773" TargetMode="External"/><Relationship Id="rId2658" Type="http://schemas.openxmlformats.org/officeDocument/2006/relationships/hyperlink" Target="https://expa.aiesec.org/opportunities/1294151" TargetMode="External"/><Relationship Id="rId1328" Type="http://schemas.openxmlformats.org/officeDocument/2006/relationships/hyperlink" Target="https://expa.aiesec.org/opportunities/1289763" TargetMode="External"/><Relationship Id="rId2659" Type="http://schemas.openxmlformats.org/officeDocument/2006/relationships/hyperlink" Target="https://expa.aiesec.org/opportunities/1288265" TargetMode="External"/><Relationship Id="rId3989" Type="http://schemas.openxmlformats.org/officeDocument/2006/relationships/hyperlink" Target="https://expa.aiesec.org/opportunities/1300097" TargetMode="External"/><Relationship Id="rId1329" Type="http://schemas.openxmlformats.org/officeDocument/2006/relationships/hyperlink" Target="https://expa.aiesec.org/opportunities/1280872" TargetMode="External"/><Relationship Id="rId739" Type="http://schemas.openxmlformats.org/officeDocument/2006/relationships/hyperlink" Target="https://expa.aiesec.org/opportunities/1289686" TargetMode="External"/><Relationship Id="rId734" Type="http://schemas.openxmlformats.org/officeDocument/2006/relationships/hyperlink" Target="https://expa.aiesec.org/opportunities/1290638" TargetMode="External"/><Relationship Id="rId733" Type="http://schemas.openxmlformats.org/officeDocument/2006/relationships/hyperlink" Target="https://expa.aiesec.org/opportunities/1290024" TargetMode="External"/><Relationship Id="rId732" Type="http://schemas.openxmlformats.org/officeDocument/2006/relationships/hyperlink" Target="https://expa.aiesec.org/opportunities/1290024" TargetMode="External"/><Relationship Id="rId731" Type="http://schemas.openxmlformats.org/officeDocument/2006/relationships/hyperlink" Target="https://expa.aiesec.org/opportunities/1288989" TargetMode="External"/><Relationship Id="rId738" Type="http://schemas.openxmlformats.org/officeDocument/2006/relationships/hyperlink" Target="https://expa.aiesec.org/opportunities/1290352" TargetMode="External"/><Relationship Id="rId737" Type="http://schemas.openxmlformats.org/officeDocument/2006/relationships/hyperlink" Target="https://expa.aiesec.org/opportunities/1281195" TargetMode="External"/><Relationship Id="rId736" Type="http://schemas.openxmlformats.org/officeDocument/2006/relationships/hyperlink" Target="https://expa.aiesec.org/opportunities/1289155" TargetMode="External"/><Relationship Id="rId735" Type="http://schemas.openxmlformats.org/officeDocument/2006/relationships/hyperlink" Target="https://expa.aiesec.org/opportunities/1285413" TargetMode="External"/><Relationship Id="rId3980" Type="http://schemas.openxmlformats.org/officeDocument/2006/relationships/hyperlink" Target="https://expa.aiesec.org/opportunities/1292990" TargetMode="External"/><Relationship Id="rId730" Type="http://schemas.openxmlformats.org/officeDocument/2006/relationships/hyperlink" Target="https://expa.aiesec.org/opportunities/1284414" TargetMode="External"/><Relationship Id="rId2650" Type="http://schemas.openxmlformats.org/officeDocument/2006/relationships/hyperlink" Target="https://expa.aiesec.org/opportunities/1289505" TargetMode="External"/><Relationship Id="rId3982" Type="http://schemas.openxmlformats.org/officeDocument/2006/relationships/hyperlink" Target="https://expa.aiesec.org/opportunities/1298102" TargetMode="External"/><Relationship Id="rId1320" Type="http://schemas.openxmlformats.org/officeDocument/2006/relationships/hyperlink" Target="https://expa.aiesec.org/opportunities/1285687" TargetMode="External"/><Relationship Id="rId2651" Type="http://schemas.openxmlformats.org/officeDocument/2006/relationships/hyperlink" Target="https://expa.aiesec.org/opportunities/1296101" TargetMode="External"/><Relationship Id="rId3981" Type="http://schemas.openxmlformats.org/officeDocument/2006/relationships/hyperlink" Target="https://expa.aiesec.org/opportunities/1292878" TargetMode="External"/><Relationship Id="rId1321" Type="http://schemas.openxmlformats.org/officeDocument/2006/relationships/hyperlink" Target="https://expa.aiesec.org/opportunities/1289895" TargetMode="External"/><Relationship Id="rId2652" Type="http://schemas.openxmlformats.org/officeDocument/2006/relationships/hyperlink" Target="https://expa.aiesec.org/opportunities/1297056" TargetMode="External"/><Relationship Id="rId3984" Type="http://schemas.openxmlformats.org/officeDocument/2006/relationships/hyperlink" Target="https://expa.aiesec.org/opportunities/1298612" TargetMode="External"/><Relationship Id="rId1322" Type="http://schemas.openxmlformats.org/officeDocument/2006/relationships/hyperlink" Target="https://expa.aiesec.org/opportunities/1284831" TargetMode="External"/><Relationship Id="rId2653" Type="http://schemas.openxmlformats.org/officeDocument/2006/relationships/hyperlink" Target="https://expa.aiesec.org/opportunities/1281010" TargetMode="External"/><Relationship Id="rId3983" Type="http://schemas.openxmlformats.org/officeDocument/2006/relationships/hyperlink" Target="https://expa.aiesec.org/opportunities/1300523" TargetMode="External"/><Relationship Id="rId1356" Type="http://schemas.openxmlformats.org/officeDocument/2006/relationships/hyperlink" Target="https://expa.aiesec.org/opportunities/1293131" TargetMode="External"/><Relationship Id="rId2687" Type="http://schemas.openxmlformats.org/officeDocument/2006/relationships/hyperlink" Target="https://expa.aiesec.org/opportunities/1294332" TargetMode="External"/><Relationship Id="rId1357" Type="http://schemas.openxmlformats.org/officeDocument/2006/relationships/hyperlink" Target="https://expa.aiesec.org/opportunities/1289536" TargetMode="External"/><Relationship Id="rId2688" Type="http://schemas.openxmlformats.org/officeDocument/2006/relationships/hyperlink" Target="https://expa.aiesec.org/opportunities/1294332" TargetMode="External"/><Relationship Id="rId1358" Type="http://schemas.openxmlformats.org/officeDocument/2006/relationships/hyperlink" Target="https://expa.aiesec.org/opportunities/1288843" TargetMode="External"/><Relationship Id="rId2689" Type="http://schemas.openxmlformats.org/officeDocument/2006/relationships/hyperlink" Target="https://expa.aiesec.org/opportunities/1294068" TargetMode="External"/><Relationship Id="rId1359" Type="http://schemas.openxmlformats.org/officeDocument/2006/relationships/hyperlink" Target="https://expa.aiesec.org/opportunities/1292118" TargetMode="External"/><Relationship Id="rId767" Type="http://schemas.openxmlformats.org/officeDocument/2006/relationships/hyperlink" Target="https://expa.aiesec.org/opportunities/1287459" TargetMode="External"/><Relationship Id="rId766" Type="http://schemas.openxmlformats.org/officeDocument/2006/relationships/hyperlink" Target="https://expa.aiesec.org/opportunities/1288582" TargetMode="External"/><Relationship Id="rId765" Type="http://schemas.openxmlformats.org/officeDocument/2006/relationships/hyperlink" Target="https://expa.aiesec.org/opportunities/1290669" TargetMode="External"/><Relationship Id="rId764" Type="http://schemas.openxmlformats.org/officeDocument/2006/relationships/hyperlink" Target="https://expa.aiesec.org/opportunities/1289505" TargetMode="External"/><Relationship Id="rId769" Type="http://schemas.openxmlformats.org/officeDocument/2006/relationships/hyperlink" Target="https://expa.aiesec.org/opportunities/1284858" TargetMode="External"/><Relationship Id="rId768" Type="http://schemas.openxmlformats.org/officeDocument/2006/relationships/hyperlink" Target="https://expa.aiesec.org/opportunities/1290275" TargetMode="External"/><Relationship Id="rId2680" Type="http://schemas.openxmlformats.org/officeDocument/2006/relationships/hyperlink" Target="https://expa.aiesec.org/opportunities/1294655" TargetMode="External"/><Relationship Id="rId1350" Type="http://schemas.openxmlformats.org/officeDocument/2006/relationships/hyperlink" Target="https://expa.aiesec.org/opportunities/1292829" TargetMode="External"/><Relationship Id="rId2681" Type="http://schemas.openxmlformats.org/officeDocument/2006/relationships/hyperlink" Target="https://expa.aiesec.org/opportunities/1296538" TargetMode="External"/><Relationship Id="rId1351" Type="http://schemas.openxmlformats.org/officeDocument/2006/relationships/hyperlink" Target="https://expa.aiesec.org/opportunities/1288730" TargetMode="External"/><Relationship Id="rId2682" Type="http://schemas.openxmlformats.org/officeDocument/2006/relationships/hyperlink" Target="https://expa.aiesec.org/opportunities/1292560" TargetMode="External"/><Relationship Id="rId763" Type="http://schemas.openxmlformats.org/officeDocument/2006/relationships/hyperlink" Target="https://expa.aiesec.org/opportunities/1279126" TargetMode="External"/><Relationship Id="rId1352" Type="http://schemas.openxmlformats.org/officeDocument/2006/relationships/hyperlink" Target="https://expa.aiesec.org/opportunities/1287851" TargetMode="External"/><Relationship Id="rId2683" Type="http://schemas.openxmlformats.org/officeDocument/2006/relationships/hyperlink" Target="https://expa.aiesec.org/opportunities/1288490" TargetMode="External"/><Relationship Id="rId762" Type="http://schemas.openxmlformats.org/officeDocument/2006/relationships/hyperlink" Target="https://expa.aiesec.org/opportunities/1286326" TargetMode="External"/><Relationship Id="rId1353" Type="http://schemas.openxmlformats.org/officeDocument/2006/relationships/hyperlink" Target="https://expa.aiesec.org/opportunities/1293412" TargetMode="External"/><Relationship Id="rId2684" Type="http://schemas.openxmlformats.org/officeDocument/2006/relationships/hyperlink" Target="https://expa.aiesec.org/opportunities/1296723" TargetMode="External"/><Relationship Id="rId761" Type="http://schemas.openxmlformats.org/officeDocument/2006/relationships/hyperlink" Target="https://expa.aiesec.org/opportunities/1290024" TargetMode="External"/><Relationship Id="rId1354" Type="http://schemas.openxmlformats.org/officeDocument/2006/relationships/hyperlink" Target="https://expa.aiesec.org/opportunities/1293312" TargetMode="External"/><Relationship Id="rId2685" Type="http://schemas.openxmlformats.org/officeDocument/2006/relationships/hyperlink" Target="https://expa.aiesec.org/opportunities/1296723" TargetMode="External"/><Relationship Id="rId760" Type="http://schemas.openxmlformats.org/officeDocument/2006/relationships/hyperlink" Target="https://expa.aiesec.org/opportunities/1289202" TargetMode="External"/><Relationship Id="rId1355" Type="http://schemas.openxmlformats.org/officeDocument/2006/relationships/hyperlink" Target="https://expa.aiesec.org/opportunities/1291929" TargetMode="External"/><Relationship Id="rId2686" Type="http://schemas.openxmlformats.org/officeDocument/2006/relationships/hyperlink" Target="https://expa.aiesec.org/opportunities/1292709" TargetMode="External"/><Relationship Id="rId1345" Type="http://schemas.openxmlformats.org/officeDocument/2006/relationships/hyperlink" Target="https://expa.aiesec.org/opportunities/1291276" TargetMode="External"/><Relationship Id="rId2676" Type="http://schemas.openxmlformats.org/officeDocument/2006/relationships/hyperlink" Target="https://expa.aiesec.org/opportunities/1279525" TargetMode="External"/><Relationship Id="rId1346" Type="http://schemas.openxmlformats.org/officeDocument/2006/relationships/hyperlink" Target="https://expa.aiesec.org/opportunities/1293298" TargetMode="External"/><Relationship Id="rId2677" Type="http://schemas.openxmlformats.org/officeDocument/2006/relationships/hyperlink" Target="https://expa.aiesec.org/opportunities/1289505" TargetMode="External"/><Relationship Id="rId1347" Type="http://schemas.openxmlformats.org/officeDocument/2006/relationships/hyperlink" Target="https://expa.aiesec.org/opportunities/1291252" TargetMode="External"/><Relationship Id="rId2678" Type="http://schemas.openxmlformats.org/officeDocument/2006/relationships/hyperlink" Target="https://expa.aiesec.org/opportunities/1288607" TargetMode="External"/><Relationship Id="rId1348" Type="http://schemas.openxmlformats.org/officeDocument/2006/relationships/hyperlink" Target="https://expa.aiesec.org/opportunities/1292829" TargetMode="External"/><Relationship Id="rId2679" Type="http://schemas.openxmlformats.org/officeDocument/2006/relationships/hyperlink" Target="https://expa.aiesec.org/opportunities/1291702" TargetMode="External"/><Relationship Id="rId1349" Type="http://schemas.openxmlformats.org/officeDocument/2006/relationships/hyperlink" Target="https://expa.aiesec.org/opportunities/1288129" TargetMode="External"/><Relationship Id="rId756" Type="http://schemas.openxmlformats.org/officeDocument/2006/relationships/hyperlink" Target="https://expa.aiesec.org/opportunities/1289175" TargetMode="External"/><Relationship Id="rId755" Type="http://schemas.openxmlformats.org/officeDocument/2006/relationships/hyperlink" Target="https://expa.aiesec.org/opportunities/1288419" TargetMode="External"/><Relationship Id="rId754" Type="http://schemas.openxmlformats.org/officeDocument/2006/relationships/hyperlink" Target="https://expa.aiesec.org/opportunities/1288419" TargetMode="External"/><Relationship Id="rId753" Type="http://schemas.openxmlformats.org/officeDocument/2006/relationships/hyperlink" Target="https://expa.aiesec.org/opportunities/1269748" TargetMode="External"/><Relationship Id="rId759" Type="http://schemas.openxmlformats.org/officeDocument/2006/relationships/hyperlink" Target="https://expa.aiesec.org/opportunities/1290024" TargetMode="External"/><Relationship Id="rId758" Type="http://schemas.openxmlformats.org/officeDocument/2006/relationships/hyperlink" Target="https://expa.aiesec.org/opportunities/1272564" TargetMode="External"/><Relationship Id="rId757" Type="http://schemas.openxmlformats.org/officeDocument/2006/relationships/hyperlink" Target="https://expa.aiesec.org/opportunities/1286442" TargetMode="External"/><Relationship Id="rId2670" Type="http://schemas.openxmlformats.org/officeDocument/2006/relationships/hyperlink" Target="https://expa.aiesec.org/opportunities/1294068" TargetMode="External"/><Relationship Id="rId1340" Type="http://schemas.openxmlformats.org/officeDocument/2006/relationships/hyperlink" Target="https://expa.aiesec.org/opportunities/1293448" TargetMode="External"/><Relationship Id="rId2671" Type="http://schemas.openxmlformats.org/officeDocument/2006/relationships/hyperlink" Target="https://expa.aiesec.org/opportunities/1296103" TargetMode="External"/><Relationship Id="rId752" Type="http://schemas.openxmlformats.org/officeDocument/2006/relationships/hyperlink" Target="https://expa.aiesec.org/opportunities/1290648" TargetMode="External"/><Relationship Id="rId1341" Type="http://schemas.openxmlformats.org/officeDocument/2006/relationships/hyperlink" Target="https://expa.aiesec.org/opportunities/1284484" TargetMode="External"/><Relationship Id="rId2672" Type="http://schemas.openxmlformats.org/officeDocument/2006/relationships/hyperlink" Target="https://expa.aiesec.org/opportunities/1297126" TargetMode="External"/><Relationship Id="rId751" Type="http://schemas.openxmlformats.org/officeDocument/2006/relationships/hyperlink" Target="https://expa.aiesec.org/opportunities/1287477" TargetMode="External"/><Relationship Id="rId1342" Type="http://schemas.openxmlformats.org/officeDocument/2006/relationships/hyperlink" Target="https://expa.aiesec.org/opportunities/1292118" TargetMode="External"/><Relationship Id="rId2673" Type="http://schemas.openxmlformats.org/officeDocument/2006/relationships/hyperlink" Target="https://expa.aiesec.org/opportunities/1293284" TargetMode="External"/><Relationship Id="rId750" Type="http://schemas.openxmlformats.org/officeDocument/2006/relationships/hyperlink" Target="https://expa.aiesec.org/opportunities/1269991" TargetMode="External"/><Relationship Id="rId1343" Type="http://schemas.openxmlformats.org/officeDocument/2006/relationships/hyperlink" Target="https://expa.aiesec.org/opportunities/1291168" TargetMode="External"/><Relationship Id="rId2674" Type="http://schemas.openxmlformats.org/officeDocument/2006/relationships/hyperlink" Target="https://expa.aiesec.org/opportunities/1288490" TargetMode="External"/><Relationship Id="rId1344" Type="http://schemas.openxmlformats.org/officeDocument/2006/relationships/hyperlink" Target="https://expa.aiesec.org/opportunities/1292422" TargetMode="External"/><Relationship Id="rId2675" Type="http://schemas.openxmlformats.org/officeDocument/2006/relationships/hyperlink" Target="https://expa.aiesec.org/opportunities/1292933" TargetMode="External"/><Relationship Id="rId2621" Type="http://schemas.openxmlformats.org/officeDocument/2006/relationships/hyperlink" Target="https://expa.aiesec.org/opportunities/1294452" TargetMode="External"/><Relationship Id="rId3953" Type="http://schemas.openxmlformats.org/officeDocument/2006/relationships/hyperlink" Target="https://expa.aiesec.org/opportunities/1298549" TargetMode="External"/><Relationship Id="rId2622" Type="http://schemas.openxmlformats.org/officeDocument/2006/relationships/hyperlink" Target="https://expa.aiesec.org/opportunities/1296477" TargetMode="External"/><Relationship Id="rId3952" Type="http://schemas.openxmlformats.org/officeDocument/2006/relationships/hyperlink" Target="https://expa.aiesec.org/opportunities/1280872" TargetMode="External"/><Relationship Id="rId2623" Type="http://schemas.openxmlformats.org/officeDocument/2006/relationships/hyperlink" Target="https://expa.aiesec.org/opportunities/1259741" TargetMode="External"/><Relationship Id="rId3955" Type="http://schemas.openxmlformats.org/officeDocument/2006/relationships/hyperlink" Target="https://expa.aiesec.org/opportunities/1280872" TargetMode="External"/><Relationship Id="rId2624" Type="http://schemas.openxmlformats.org/officeDocument/2006/relationships/hyperlink" Target="https://expa.aiesec.org/opportunities/1296453" TargetMode="External"/><Relationship Id="rId3954" Type="http://schemas.openxmlformats.org/officeDocument/2006/relationships/hyperlink" Target="https://expa.aiesec.org/opportunities/1301790" TargetMode="External"/><Relationship Id="rId2625" Type="http://schemas.openxmlformats.org/officeDocument/2006/relationships/hyperlink" Target="https://expa.aiesec.org/opportunities/1289307" TargetMode="External"/><Relationship Id="rId3957" Type="http://schemas.openxmlformats.org/officeDocument/2006/relationships/hyperlink" Target="https://expa.aiesec.org/opportunities/1298814" TargetMode="External"/><Relationship Id="rId2626" Type="http://schemas.openxmlformats.org/officeDocument/2006/relationships/hyperlink" Target="https://expa.aiesec.org/opportunities/1295789" TargetMode="External"/><Relationship Id="rId3956" Type="http://schemas.openxmlformats.org/officeDocument/2006/relationships/hyperlink" Target="https://expa.aiesec.org/opportunities/1288663" TargetMode="External"/><Relationship Id="rId2627" Type="http://schemas.openxmlformats.org/officeDocument/2006/relationships/hyperlink" Target="https://expa.aiesec.org/opportunities/1295453" TargetMode="External"/><Relationship Id="rId3959" Type="http://schemas.openxmlformats.org/officeDocument/2006/relationships/hyperlink" Target="https://expa.aiesec.org/opportunities/1288970" TargetMode="External"/><Relationship Id="rId2628" Type="http://schemas.openxmlformats.org/officeDocument/2006/relationships/hyperlink" Target="https://expa.aiesec.org/opportunities/1295453" TargetMode="External"/><Relationship Id="rId3958" Type="http://schemas.openxmlformats.org/officeDocument/2006/relationships/hyperlink" Target="https://expa.aiesec.org/opportunities/1291482" TargetMode="External"/><Relationship Id="rId709" Type="http://schemas.openxmlformats.org/officeDocument/2006/relationships/hyperlink" Target="https://expa.aiesec.org/opportunities/1289596" TargetMode="External"/><Relationship Id="rId2629" Type="http://schemas.openxmlformats.org/officeDocument/2006/relationships/hyperlink" Target="https://expa.aiesec.org/opportunities/1289255" TargetMode="External"/><Relationship Id="rId708" Type="http://schemas.openxmlformats.org/officeDocument/2006/relationships/hyperlink" Target="https://expa.aiesec.org/opportunities/1284081" TargetMode="External"/><Relationship Id="rId707" Type="http://schemas.openxmlformats.org/officeDocument/2006/relationships/hyperlink" Target="https://expa.aiesec.org/opportunities/1289255" TargetMode="External"/><Relationship Id="rId706" Type="http://schemas.openxmlformats.org/officeDocument/2006/relationships/hyperlink" Target="https://expa.aiesec.org/opportunities/1289536" TargetMode="External"/><Relationship Id="rId701" Type="http://schemas.openxmlformats.org/officeDocument/2006/relationships/hyperlink" Target="https://expa.aiesec.org/opportunities/1280973" TargetMode="External"/><Relationship Id="rId700" Type="http://schemas.openxmlformats.org/officeDocument/2006/relationships/hyperlink" Target="https://expa.aiesec.org/opportunities/1288970" TargetMode="External"/><Relationship Id="rId705" Type="http://schemas.openxmlformats.org/officeDocument/2006/relationships/hyperlink" Target="https://expa.aiesec.org/opportunities/1272564" TargetMode="External"/><Relationship Id="rId704" Type="http://schemas.openxmlformats.org/officeDocument/2006/relationships/hyperlink" Target="https://expa.aiesec.org/opportunities/1272564" TargetMode="External"/><Relationship Id="rId703" Type="http://schemas.openxmlformats.org/officeDocument/2006/relationships/hyperlink" Target="https://expa.aiesec.org/opportunities/1287974" TargetMode="External"/><Relationship Id="rId702" Type="http://schemas.openxmlformats.org/officeDocument/2006/relationships/hyperlink" Target="https://expa.aiesec.org/opportunities/1291046" TargetMode="External"/><Relationship Id="rId3951" Type="http://schemas.openxmlformats.org/officeDocument/2006/relationships/hyperlink" Target="https://expa.aiesec.org/opportunities/1284077" TargetMode="External"/><Relationship Id="rId2620" Type="http://schemas.openxmlformats.org/officeDocument/2006/relationships/hyperlink" Target="https://expa.aiesec.org/opportunities/1289872" TargetMode="External"/><Relationship Id="rId3950" Type="http://schemas.openxmlformats.org/officeDocument/2006/relationships/hyperlink" Target="https://expa.aiesec.org/opportunities/1288970" TargetMode="External"/><Relationship Id="rId2610" Type="http://schemas.openxmlformats.org/officeDocument/2006/relationships/hyperlink" Target="https://expa.aiesec.org/opportunities/1293758" TargetMode="External"/><Relationship Id="rId3942" Type="http://schemas.openxmlformats.org/officeDocument/2006/relationships/hyperlink" Target="https://expa.aiesec.org/opportunities/1300628" TargetMode="External"/><Relationship Id="rId2611" Type="http://schemas.openxmlformats.org/officeDocument/2006/relationships/hyperlink" Target="https://expa.aiesec.org/opportunities/1288989" TargetMode="External"/><Relationship Id="rId3941" Type="http://schemas.openxmlformats.org/officeDocument/2006/relationships/hyperlink" Target="https://expa.aiesec.org/opportunities/1299499" TargetMode="External"/><Relationship Id="rId2612" Type="http://schemas.openxmlformats.org/officeDocument/2006/relationships/hyperlink" Target="https://expa.aiesec.org/opportunities/1286368" TargetMode="External"/><Relationship Id="rId3944" Type="http://schemas.openxmlformats.org/officeDocument/2006/relationships/hyperlink" Target="https://expa.aiesec.org/opportunities/1289617" TargetMode="External"/><Relationship Id="rId2613" Type="http://schemas.openxmlformats.org/officeDocument/2006/relationships/hyperlink" Target="https://expa.aiesec.org/opportunities/1292492" TargetMode="External"/><Relationship Id="rId3943" Type="http://schemas.openxmlformats.org/officeDocument/2006/relationships/hyperlink" Target="https://expa.aiesec.org/opportunities/1289583" TargetMode="External"/><Relationship Id="rId2614" Type="http://schemas.openxmlformats.org/officeDocument/2006/relationships/hyperlink" Target="https://expa.aiesec.org/opportunities/1286920" TargetMode="External"/><Relationship Id="rId3946" Type="http://schemas.openxmlformats.org/officeDocument/2006/relationships/hyperlink" Target="https://expa.aiesec.org/opportunities/1292535" TargetMode="External"/><Relationship Id="rId2615" Type="http://schemas.openxmlformats.org/officeDocument/2006/relationships/hyperlink" Target="https://expa.aiesec.org/opportunities/1294418" TargetMode="External"/><Relationship Id="rId3945" Type="http://schemas.openxmlformats.org/officeDocument/2006/relationships/hyperlink" Target="https://expa.aiesec.org/opportunities/1300779" TargetMode="External"/><Relationship Id="rId2616" Type="http://schemas.openxmlformats.org/officeDocument/2006/relationships/hyperlink" Target="https://expa.aiesec.org/opportunities/1291989" TargetMode="External"/><Relationship Id="rId3948" Type="http://schemas.openxmlformats.org/officeDocument/2006/relationships/hyperlink" Target="https://expa.aiesec.org/opportunities/1296304" TargetMode="External"/><Relationship Id="rId2617" Type="http://schemas.openxmlformats.org/officeDocument/2006/relationships/hyperlink" Target="https://expa.aiesec.org/opportunities/1292962" TargetMode="External"/><Relationship Id="rId3947" Type="http://schemas.openxmlformats.org/officeDocument/2006/relationships/hyperlink" Target="https://expa.aiesec.org/opportunities/1301209" TargetMode="External"/><Relationship Id="rId2618" Type="http://schemas.openxmlformats.org/officeDocument/2006/relationships/hyperlink" Target="https://expa.aiesec.org/opportunities/1281010" TargetMode="External"/><Relationship Id="rId2619" Type="http://schemas.openxmlformats.org/officeDocument/2006/relationships/hyperlink" Target="https://expa.aiesec.org/opportunities/1294332" TargetMode="External"/><Relationship Id="rId3949" Type="http://schemas.openxmlformats.org/officeDocument/2006/relationships/hyperlink" Target="https://expa.aiesec.org/opportunities/1288970" TargetMode="External"/><Relationship Id="rId3940" Type="http://schemas.openxmlformats.org/officeDocument/2006/relationships/hyperlink" Target="https://expa.aiesec.org/opportunities/1291964" TargetMode="External"/><Relationship Id="rId1312" Type="http://schemas.openxmlformats.org/officeDocument/2006/relationships/hyperlink" Target="https://expa.aiesec.org/opportunities/1291427" TargetMode="External"/><Relationship Id="rId2643" Type="http://schemas.openxmlformats.org/officeDocument/2006/relationships/hyperlink" Target="https://expa.aiesec.org/opportunities/1296101" TargetMode="External"/><Relationship Id="rId3975" Type="http://schemas.openxmlformats.org/officeDocument/2006/relationships/hyperlink" Target="https://expa.aiesec.org/opportunities/1301244" TargetMode="External"/><Relationship Id="rId1313" Type="http://schemas.openxmlformats.org/officeDocument/2006/relationships/hyperlink" Target="https://expa.aiesec.org/opportunities/1292557" TargetMode="External"/><Relationship Id="rId2644" Type="http://schemas.openxmlformats.org/officeDocument/2006/relationships/hyperlink" Target="https://expa.aiesec.org/opportunities/1289505" TargetMode="External"/><Relationship Id="rId3974" Type="http://schemas.openxmlformats.org/officeDocument/2006/relationships/hyperlink" Target="https://expa.aiesec.org/opportunities/1298372" TargetMode="External"/><Relationship Id="rId1314" Type="http://schemas.openxmlformats.org/officeDocument/2006/relationships/hyperlink" Target="https://expa.aiesec.org/opportunities/1290826" TargetMode="External"/><Relationship Id="rId2645" Type="http://schemas.openxmlformats.org/officeDocument/2006/relationships/hyperlink" Target="https://expa.aiesec.org/opportunities/1288490" TargetMode="External"/><Relationship Id="rId3977" Type="http://schemas.openxmlformats.org/officeDocument/2006/relationships/hyperlink" Target="https://expa.aiesec.org/opportunities/1283483" TargetMode="External"/><Relationship Id="rId1315" Type="http://schemas.openxmlformats.org/officeDocument/2006/relationships/hyperlink" Target="https://expa.aiesec.org/opportunities/1292962" TargetMode="External"/><Relationship Id="rId2646" Type="http://schemas.openxmlformats.org/officeDocument/2006/relationships/hyperlink" Target="https://expa.aiesec.org/opportunities/1284484" TargetMode="External"/><Relationship Id="rId3976" Type="http://schemas.openxmlformats.org/officeDocument/2006/relationships/hyperlink" Target="https://expa.aiesec.org/opportunities/1283483" TargetMode="External"/><Relationship Id="rId1316" Type="http://schemas.openxmlformats.org/officeDocument/2006/relationships/hyperlink" Target="https://expa.aiesec.org/opportunities/1292824" TargetMode="External"/><Relationship Id="rId2647" Type="http://schemas.openxmlformats.org/officeDocument/2006/relationships/hyperlink" Target="https://expa.aiesec.org/opportunities/1293243" TargetMode="External"/><Relationship Id="rId3979" Type="http://schemas.openxmlformats.org/officeDocument/2006/relationships/hyperlink" Target="https://expa.aiesec.org/opportunities/1298372" TargetMode="External"/><Relationship Id="rId1317" Type="http://schemas.openxmlformats.org/officeDocument/2006/relationships/hyperlink" Target="https://expa.aiesec.org/opportunities/1291929" TargetMode="External"/><Relationship Id="rId2648" Type="http://schemas.openxmlformats.org/officeDocument/2006/relationships/hyperlink" Target="https://expa.aiesec.org/opportunities/1288609" TargetMode="External"/><Relationship Id="rId3978" Type="http://schemas.openxmlformats.org/officeDocument/2006/relationships/hyperlink" Target="https://expa.aiesec.org/opportunities/1301556" TargetMode="External"/><Relationship Id="rId1318" Type="http://schemas.openxmlformats.org/officeDocument/2006/relationships/hyperlink" Target="https://expa.aiesec.org/opportunities/1291254" TargetMode="External"/><Relationship Id="rId2649" Type="http://schemas.openxmlformats.org/officeDocument/2006/relationships/hyperlink" Target="https://expa.aiesec.org/opportunities/1296105" TargetMode="External"/><Relationship Id="rId1319" Type="http://schemas.openxmlformats.org/officeDocument/2006/relationships/hyperlink" Target="https://expa.aiesec.org/opportunities/1293243" TargetMode="External"/><Relationship Id="rId729" Type="http://schemas.openxmlformats.org/officeDocument/2006/relationships/hyperlink" Target="https://expa.aiesec.org/opportunities/1288662" TargetMode="External"/><Relationship Id="rId728" Type="http://schemas.openxmlformats.org/officeDocument/2006/relationships/hyperlink" Target="https://expa.aiesec.org/opportunities/1289255" TargetMode="External"/><Relationship Id="rId723" Type="http://schemas.openxmlformats.org/officeDocument/2006/relationships/hyperlink" Target="https://expa.aiesec.org/opportunities/1287338" TargetMode="External"/><Relationship Id="rId722" Type="http://schemas.openxmlformats.org/officeDocument/2006/relationships/hyperlink" Target="https://expa.aiesec.org/opportunities/1290159" TargetMode="External"/><Relationship Id="rId721" Type="http://schemas.openxmlformats.org/officeDocument/2006/relationships/hyperlink" Target="https://expa.aiesec.org/opportunities/1288843" TargetMode="External"/><Relationship Id="rId720" Type="http://schemas.openxmlformats.org/officeDocument/2006/relationships/hyperlink" Target="https://expa.aiesec.org/opportunities/1288609" TargetMode="External"/><Relationship Id="rId727" Type="http://schemas.openxmlformats.org/officeDocument/2006/relationships/hyperlink" Target="https://expa.aiesec.org/opportunities/1286920" TargetMode="External"/><Relationship Id="rId726" Type="http://schemas.openxmlformats.org/officeDocument/2006/relationships/hyperlink" Target="https://expa.aiesec.org/opportunities/1288609" TargetMode="External"/><Relationship Id="rId725" Type="http://schemas.openxmlformats.org/officeDocument/2006/relationships/hyperlink" Target="https://expa.aiesec.org/opportunities/1287894" TargetMode="External"/><Relationship Id="rId724" Type="http://schemas.openxmlformats.org/officeDocument/2006/relationships/hyperlink" Target="https://expa.aiesec.org/opportunities/1287722" TargetMode="External"/><Relationship Id="rId3971" Type="http://schemas.openxmlformats.org/officeDocument/2006/relationships/hyperlink" Target="https://expa.aiesec.org/opportunities/1295453" TargetMode="External"/><Relationship Id="rId2640" Type="http://schemas.openxmlformats.org/officeDocument/2006/relationships/hyperlink" Target="https://expa.aiesec.org/opportunities/1289806" TargetMode="External"/><Relationship Id="rId3970" Type="http://schemas.openxmlformats.org/officeDocument/2006/relationships/hyperlink" Target="https://expa.aiesec.org/opportunities/1300558" TargetMode="External"/><Relationship Id="rId1310" Type="http://schemas.openxmlformats.org/officeDocument/2006/relationships/hyperlink" Target="https://expa.aiesec.org/opportunities/1292976" TargetMode="External"/><Relationship Id="rId2641" Type="http://schemas.openxmlformats.org/officeDocument/2006/relationships/hyperlink" Target="https://expa.aiesec.org/opportunities/1292061" TargetMode="External"/><Relationship Id="rId3973" Type="http://schemas.openxmlformats.org/officeDocument/2006/relationships/hyperlink" Target="https://expa.aiesec.org/opportunities/1298102" TargetMode="External"/><Relationship Id="rId1311" Type="http://schemas.openxmlformats.org/officeDocument/2006/relationships/hyperlink" Target="https://expa.aiesec.org/opportunities/1292976" TargetMode="External"/><Relationship Id="rId2642" Type="http://schemas.openxmlformats.org/officeDocument/2006/relationships/hyperlink" Target="https://expa.aiesec.org/opportunities/1279126" TargetMode="External"/><Relationship Id="rId3972" Type="http://schemas.openxmlformats.org/officeDocument/2006/relationships/hyperlink" Target="https://expa.aiesec.org/opportunities/1280872" TargetMode="External"/><Relationship Id="rId1301" Type="http://schemas.openxmlformats.org/officeDocument/2006/relationships/hyperlink" Target="https://expa.aiesec.org/opportunities/1287101" TargetMode="External"/><Relationship Id="rId2632" Type="http://schemas.openxmlformats.org/officeDocument/2006/relationships/hyperlink" Target="https://expa.aiesec.org/opportunities/1293245" TargetMode="External"/><Relationship Id="rId3964" Type="http://schemas.openxmlformats.org/officeDocument/2006/relationships/hyperlink" Target="https://expa.aiesec.org/opportunities/1301027" TargetMode="External"/><Relationship Id="rId1302" Type="http://schemas.openxmlformats.org/officeDocument/2006/relationships/hyperlink" Target="https://expa.aiesec.org/opportunities/1291252" TargetMode="External"/><Relationship Id="rId2633" Type="http://schemas.openxmlformats.org/officeDocument/2006/relationships/hyperlink" Target="https://expa.aiesec.org/opportunities/1287380" TargetMode="External"/><Relationship Id="rId3963" Type="http://schemas.openxmlformats.org/officeDocument/2006/relationships/hyperlink" Target="https://expa.aiesec.org/opportunities/1294232" TargetMode="External"/><Relationship Id="rId1303" Type="http://schemas.openxmlformats.org/officeDocument/2006/relationships/hyperlink" Target="https://expa.aiesec.org/opportunities/1291929" TargetMode="External"/><Relationship Id="rId2634" Type="http://schemas.openxmlformats.org/officeDocument/2006/relationships/hyperlink" Target="https://expa.aiesec.org/opportunities/1295149" TargetMode="External"/><Relationship Id="rId3966" Type="http://schemas.openxmlformats.org/officeDocument/2006/relationships/hyperlink" Target="https://expa.aiesec.org/opportunities/1296885" TargetMode="External"/><Relationship Id="rId1304" Type="http://schemas.openxmlformats.org/officeDocument/2006/relationships/hyperlink" Target="https://expa.aiesec.org/opportunities/1293298" TargetMode="External"/><Relationship Id="rId2635" Type="http://schemas.openxmlformats.org/officeDocument/2006/relationships/hyperlink" Target="https://expa.aiesec.org/opportunities/1287708" TargetMode="External"/><Relationship Id="rId3965" Type="http://schemas.openxmlformats.org/officeDocument/2006/relationships/hyperlink" Target="https://expa.aiesec.org/opportunities/1298736" TargetMode="External"/><Relationship Id="rId1305" Type="http://schemas.openxmlformats.org/officeDocument/2006/relationships/hyperlink" Target="https://expa.aiesec.org/opportunities/1287662" TargetMode="External"/><Relationship Id="rId2636" Type="http://schemas.openxmlformats.org/officeDocument/2006/relationships/hyperlink" Target="https://expa.aiesec.org/opportunities/1296492" TargetMode="External"/><Relationship Id="rId3968" Type="http://schemas.openxmlformats.org/officeDocument/2006/relationships/hyperlink" Target="https://expa.aiesec.org/opportunities/1296885" TargetMode="External"/><Relationship Id="rId1306" Type="http://schemas.openxmlformats.org/officeDocument/2006/relationships/hyperlink" Target="https://expa.aiesec.org/opportunities/1289255" TargetMode="External"/><Relationship Id="rId2637" Type="http://schemas.openxmlformats.org/officeDocument/2006/relationships/hyperlink" Target="https://expa.aiesec.org/opportunities/1295795" TargetMode="External"/><Relationship Id="rId3967" Type="http://schemas.openxmlformats.org/officeDocument/2006/relationships/hyperlink" Target="https://expa.aiesec.org/opportunities/1296885" TargetMode="External"/><Relationship Id="rId1307" Type="http://schemas.openxmlformats.org/officeDocument/2006/relationships/hyperlink" Target="https://expa.aiesec.org/opportunities/1293125" TargetMode="External"/><Relationship Id="rId2638" Type="http://schemas.openxmlformats.org/officeDocument/2006/relationships/hyperlink" Target="https://expa.aiesec.org/opportunities/1295572" TargetMode="External"/><Relationship Id="rId1308" Type="http://schemas.openxmlformats.org/officeDocument/2006/relationships/hyperlink" Target="https://expa.aiesec.org/opportunities/1290759" TargetMode="External"/><Relationship Id="rId2639" Type="http://schemas.openxmlformats.org/officeDocument/2006/relationships/hyperlink" Target="https://expa.aiesec.org/opportunities/1277661" TargetMode="External"/><Relationship Id="rId3969" Type="http://schemas.openxmlformats.org/officeDocument/2006/relationships/hyperlink" Target="https://expa.aiesec.org/opportunities/1298617" TargetMode="External"/><Relationship Id="rId1309" Type="http://schemas.openxmlformats.org/officeDocument/2006/relationships/hyperlink" Target="https://expa.aiesec.org/opportunities/1292829" TargetMode="External"/><Relationship Id="rId719" Type="http://schemas.openxmlformats.org/officeDocument/2006/relationships/hyperlink" Target="https://expa.aiesec.org/opportunities/1285681" TargetMode="External"/><Relationship Id="rId718" Type="http://schemas.openxmlformats.org/officeDocument/2006/relationships/hyperlink" Target="https://expa.aiesec.org/opportunities/1285713" TargetMode="External"/><Relationship Id="rId717" Type="http://schemas.openxmlformats.org/officeDocument/2006/relationships/hyperlink" Target="https://expa.aiesec.org/opportunities/1290216" TargetMode="External"/><Relationship Id="rId712" Type="http://schemas.openxmlformats.org/officeDocument/2006/relationships/hyperlink" Target="https://expa.aiesec.org/opportunities/1284485" TargetMode="External"/><Relationship Id="rId711" Type="http://schemas.openxmlformats.org/officeDocument/2006/relationships/hyperlink" Target="https://expa.aiesec.org/opportunities/1288616" TargetMode="External"/><Relationship Id="rId710" Type="http://schemas.openxmlformats.org/officeDocument/2006/relationships/hyperlink" Target="https://expa.aiesec.org/opportunities/1281357" TargetMode="External"/><Relationship Id="rId716" Type="http://schemas.openxmlformats.org/officeDocument/2006/relationships/hyperlink" Target="https://expa.aiesec.org/opportunities/1289255" TargetMode="External"/><Relationship Id="rId715" Type="http://schemas.openxmlformats.org/officeDocument/2006/relationships/hyperlink" Target="https://expa.aiesec.org/opportunities/1285704" TargetMode="External"/><Relationship Id="rId714" Type="http://schemas.openxmlformats.org/officeDocument/2006/relationships/hyperlink" Target="https://expa.aiesec.org/opportunities/1290826" TargetMode="External"/><Relationship Id="rId713" Type="http://schemas.openxmlformats.org/officeDocument/2006/relationships/hyperlink" Target="https://expa.aiesec.org/opportunities/1288813" TargetMode="External"/><Relationship Id="rId3960" Type="http://schemas.openxmlformats.org/officeDocument/2006/relationships/hyperlink" Target="https://expa.aiesec.org/opportunities/1281345" TargetMode="External"/><Relationship Id="rId2630" Type="http://schemas.openxmlformats.org/officeDocument/2006/relationships/hyperlink" Target="https://expa.aiesec.org/opportunities/1296105" TargetMode="External"/><Relationship Id="rId3962" Type="http://schemas.openxmlformats.org/officeDocument/2006/relationships/hyperlink" Target="https://expa.aiesec.org/opportunities/1289390" TargetMode="External"/><Relationship Id="rId1300" Type="http://schemas.openxmlformats.org/officeDocument/2006/relationships/hyperlink" Target="https://expa.aiesec.org/opportunities/1286368" TargetMode="External"/><Relationship Id="rId2631" Type="http://schemas.openxmlformats.org/officeDocument/2006/relationships/hyperlink" Target="https://expa.aiesec.org/opportunities/1296231" TargetMode="External"/><Relationship Id="rId3961" Type="http://schemas.openxmlformats.org/officeDocument/2006/relationships/hyperlink" Target="https://expa.aiesec.org/opportunities/1281236" TargetMode="External"/><Relationship Id="rId3117" Type="http://schemas.openxmlformats.org/officeDocument/2006/relationships/hyperlink" Target="https://expa.aiesec.org/opportunities/1296231" TargetMode="External"/><Relationship Id="rId3116" Type="http://schemas.openxmlformats.org/officeDocument/2006/relationships/hyperlink" Target="https://expa.aiesec.org/opportunities/1284081" TargetMode="External"/><Relationship Id="rId3119" Type="http://schemas.openxmlformats.org/officeDocument/2006/relationships/hyperlink" Target="https://expa.aiesec.org/opportunities/1298037" TargetMode="External"/><Relationship Id="rId3118" Type="http://schemas.openxmlformats.org/officeDocument/2006/relationships/hyperlink" Target="https://expa.aiesec.org/opportunities/1291606" TargetMode="External"/><Relationship Id="rId3111" Type="http://schemas.openxmlformats.org/officeDocument/2006/relationships/hyperlink" Target="https://expa.aiesec.org/opportunities/1298556" TargetMode="External"/><Relationship Id="rId3110" Type="http://schemas.openxmlformats.org/officeDocument/2006/relationships/hyperlink" Target="https://expa.aiesec.org/opportunities/1298556" TargetMode="External"/><Relationship Id="rId3113" Type="http://schemas.openxmlformats.org/officeDocument/2006/relationships/hyperlink" Target="https://expa.aiesec.org/opportunities/1295982" TargetMode="External"/><Relationship Id="rId3112" Type="http://schemas.openxmlformats.org/officeDocument/2006/relationships/hyperlink" Target="https://expa.aiesec.org/opportunities/1298556" TargetMode="External"/><Relationship Id="rId3115" Type="http://schemas.openxmlformats.org/officeDocument/2006/relationships/hyperlink" Target="https://expa.aiesec.org/opportunities/1287966" TargetMode="External"/><Relationship Id="rId3114" Type="http://schemas.openxmlformats.org/officeDocument/2006/relationships/hyperlink" Target="https://expa.aiesec.org/opportunities/1285690" TargetMode="External"/><Relationship Id="rId3106" Type="http://schemas.openxmlformats.org/officeDocument/2006/relationships/hyperlink" Target="https://expa.aiesec.org/opportunities/1286920" TargetMode="External"/><Relationship Id="rId3105" Type="http://schemas.openxmlformats.org/officeDocument/2006/relationships/hyperlink" Target="https://expa.aiesec.org/opportunities/1279126" TargetMode="External"/><Relationship Id="rId3108" Type="http://schemas.openxmlformats.org/officeDocument/2006/relationships/hyperlink" Target="https://expa.aiesec.org/opportunities/1295566" TargetMode="External"/><Relationship Id="rId3107" Type="http://schemas.openxmlformats.org/officeDocument/2006/relationships/hyperlink" Target="https://expa.aiesec.org/opportunities/1291055" TargetMode="External"/><Relationship Id="rId3109" Type="http://schemas.openxmlformats.org/officeDocument/2006/relationships/hyperlink" Target="https://expa.aiesec.org/opportunities/1291989" TargetMode="External"/><Relationship Id="rId3100" Type="http://schemas.openxmlformats.org/officeDocument/2006/relationships/hyperlink" Target="https://expa.aiesec.org/opportunities/1296994" TargetMode="External"/><Relationship Id="rId3102" Type="http://schemas.openxmlformats.org/officeDocument/2006/relationships/hyperlink" Target="https://expa.aiesec.org/opportunities/1280872" TargetMode="External"/><Relationship Id="rId3101" Type="http://schemas.openxmlformats.org/officeDocument/2006/relationships/hyperlink" Target="https://expa.aiesec.org/opportunities/1296885" TargetMode="External"/><Relationship Id="rId3104" Type="http://schemas.openxmlformats.org/officeDocument/2006/relationships/hyperlink" Target="https://expa.aiesec.org/opportunities/1298373" TargetMode="External"/><Relationship Id="rId3103" Type="http://schemas.openxmlformats.org/officeDocument/2006/relationships/hyperlink" Target="https://expa.aiesec.org/opportunities/1294825" TargetMode="External"/><Relationship Id="rId3139" Type="http://schemas.openxmlformats.org/officeDocument/2006/relationships/hyperlink" Target="https://expa.aiesec.org/opportunities/1295716" TargetMode="External"/><Relationship Id="rId3138" Type="http://schemas.openxmlformats.org/officeDocument/2006/relationships/hyperlink" Target="https://expa.aiesec.org/opportunities/1292557" TargetMode="External"/><Relationship Id="rId3131" Type="http://schemas.openxmlformats.org/officeDocument/2006/relationships/hyperlink" Target="https://expa.aiesec.org/opportunities/1295893" TargetMode="External"/><Relationship Id="rId3130" Type="http://schemas.openxmlformats.org/officeDocument/2006/relationships/hyperlink" Target="https://expa.aiesec.org/opportunities/1295893" TargetMode="External"/><Relationship Id="rId3133" Type="http://schemas.openxmlformats.org/officeDocument/2006/relationships/hyperlink" Target="https://expa.aiesec.org/opportunities/1279126" TargetMode="External"/><Relationship Id="rId3132" Type="http://schemas.openxmlformats.org/officeDocument/2006/relationships/hyperlink" Target="https://expa.aiesec.org/opportunities/1284476" TargetMode="External"/><Relationship Id="rId3135" Type="http://schemas.openxmlformats.org/officeDocument/2006/relationships/hyperlink" Target="https://expa.aiesec.org/opportunities/1297135" TargetMode="External"/><Relationship Id="rId3134" Type="http://schemas.openxmlformats.org/officeDocument/2006/relationships/hyperlink" Target="https://expa.aiesec.org/opportunities/1289596" TargetMode="External"/><Relationship Id="rId3137" Type="http://schemas.openxmlformats.org/officeDocument/2006/relationships/hyperlink" Target="https://expa.aiesec.org/opportunities/1297864" TargetMode="External"/><Relationship Id="rId3136" Type="http://schemas.openxmlformats.org/officeDocument/2006/relationships/hyperlink" Target="https://expa.aiesec.org/opportunities/1279126" TargetMode="External"/><Relationship Id="rId3128" Type="http://schemas.openxmlformats.org/officeDocument/2006/relationships/hyperlink" Target="https://expa.aiesec.org/opportunities/1297990" TargetMode="External"/><Relationship Id="rId3127" Type="http://schemas.openxmlformats.org/officeDocument/2006/relationships/hyperlink" Target="https://expa.aiesec.org/opportunities/1289444" TargetMode="External"/><Relationship Id="rId3129" Type="http://schemas.openxmlformats.org/officeDocument/2006/relationships/hyperlink" Target="https://expa.aiesec.org/opportunities/1295893" TargetMode="External"/><Relationship Id="rId3120" Type="http://schemas.openxmlformats.org/officeDocument/2006/relationships/hyperlink" Target="https://expa.aiesec.org/opportunities/1289502" TargetMode="External"/><Relationship Id="rId3122" Type="http://schemas.openxmlformats.org/officeDocument/2006/relationships/hyperlink" Target="https://expa.aiesec.org/opportunities/1289850" TargetMode="External"/><Relationship Id="rId3121" Type="http://schemas.openxmlformats.org/officeDocument/2006/relationships/hyperlink" Target="https://expa.aiesec.org/opportunities/1294332" TargetMode="External"/><Relationship Id="rId3124" Type="http://schemas.openxmlformats.org/officeDocument/2006/relationships/hyperlink" Target="https://expa.aiesec.org/opportunities/1279126" TargetMode="External"/><Relationship Id="rId3123" Type="http://schemas.openxmlformats.org/officeDocument/2006/relationships/hyperlink" Target="https://expa.aiesec.org/opportunities/1279126" TargetMode="External"/><Relationship Id="rId3126" Type="http://schemas.openxmlformats.org/officeDocument/2006/relationships/hyperlink" Target="https://expa.aiesec.org/opportunities/1289444" TargetMode="External"/><Relationship Id="rId3125" Type="http://schemas.openxmlformats.org/officeDocument/2006/relationships/hyperlink" Target="https://expa.aiesec.org/opportunities/1279126" TargetMode="External"/><Relationship Id="rId1378" Type="http://schemas.openxmlformats.org/officeDocument/2006/relationships/hyperlink" Target="https://expa.aiesec.org/opportunities/1287316" TargetMode="External"/><Relationship Id="rId1379" Type="http://schemas.openxmlformats.org/officeDocument/2006/relationships/hyperlink" Target="https://expa.aiesec.org/opportunities/1290282" TargetMode="External"/><Relationship Id="rId789" Type="http://schemas.openxmlformats.org/officeDocument/2006/relationships/hyperlink" Target="https://expa.aiesec.org/opportunities/1289505" TargetMode="External"/><Relationship Id="rId788" Type="http://schemas.openxmlformats.org/officeDocument/2006/relationships/hyperlink" Target="https://expa.aiesec.org/opportunities/1289505" TargetMode="External"/><Relationship Id="rId787" Type="http://schemas.openxmlformats.org/officeDocument/2006/relationships/hyperlink" Target="https://expa.aiesec.org/opportunities/1286958" TargetMode="External"/><Relationship Id="rId786" Type="http://schemas.openxmlformats.org/officeDocument/2006/relationships/hyperlink" Target="https://expa.aiesec.org/opportunities/1289505" TargetMode="External"/><Relationship Id="rId781" Type="http://schemas.openxmlformats.org/officeDocument/2006/relationships/hyperlink" Target="https://expa.aiesec.org/opportunities/1289617" TargetMode="External"/><Relationship Id="rId1370" Type="http://schemas.openxmlformats.org/officeDocument/2006/relationships/hyperlink" Target="https://expa.aiesec.org/opportunities/1290024" TargetMode="External"/><Relationship Id="rId780" Type="http://schemas.openxmlformats.org/officeDocument/2006/relationships/hyperlink" Target="https://expa.aiesec.org/opportunities/1289536" TargetMode="External"/><Relationship Id="rId1371" Type="http://schemas.openxmlformats.org/officeDocument/2006/relationships/hyperlink" Target="https://expa.aiesec.org/opportunities/1292571" TargetMode="External"/><Relationship Id="rId1372" Type="http://schemas.openxmlformats.org/officeDocument/2006/relationships/hyperlink" Target="https://expa.aiesec.org/opportunities/1293125" TargetMode="External"/><Relationship Id="rId1373" Type="http://schemas.openxmlformats.org/officeDocument/2006/relationships/hyperlink" Target="https://expa.aiesec.org/opportunities/1292878" TargetMode="External"/><Relationship Id="rId785" Type="http://schemas.openxmlformats.org/officeDocument/2006/relationships/hyperlink" Target="https://expa.aiesec.org/opportunities/1288991" TargetMode="External"/><Relationship Id="rId1374" Type="http://schemas.openxmlformats.org/officeDocument/2006/relationships/hyperlink" Target="https://expa.aiesec.org/opportunities/1289154" TargetMode="External"/><Relationship Id="rId784" Type="http://schemas.openxmlformats.org/officeDocument/2006/relationships/hyperlink" Target="https://expa.aiesec.org/opportunities/1288989" TargetMode="External"/><Relationship Id="rId1375" Type="http://schemas.openxmlformats.org/officeDocument/2006/relationships/hyperlink" Target="https://expa.aiesec.org/opportunities/1292188" TargetMode="External"/><Relationship Id="rId783" Type="http://schemas.openxmlformats.org/officeDocument/2006/relationships/hyperlink" Target="https://expa.aiesec.org/opportunities/1290210" TargetMode="External"/><Relationship Id="rId1376" Type="http://schemas.openxmlformats.org/officeDocument/2006/relationships/hyperlink" Target="https://expa.aiesec.org/opportunities/1286039" TargetMode="External"/><Relationship Id="rId782" Type="http://schemas.openxmlformats.org/officeDocument/2006/relationships/hyperlink" Target="https://expa.aiesec.org/opportunities/1279126" TargetMode="External"/><Relationship Id="rId1377" Type="http://schemas.openxmlformats.org/officeDocument/2006/relationships/hyperlink" Target="https://expa.aiesec.org/opportunities/1292773" TargetMode="External"/><Relationship Id="rId1367" Type="http://schemas.openxmlformats.org/officeDocument/2006/relationships/hyperlink" Target="https://expa.aiesec.org/opportunities/1290282" TargetMode="External"/><Relationship Id="rId2698" Type="http://schemas.openxmlformats.org/officeDocument/2006/relationships/hyperlink" Target="https://expa.aiesec.org/opportunities/1296234" TargetMode="External"/><Relationship Id="rId1368" Type="http://schemas.openxmlformats.org/officeDocument/2006/relationships/hyperlink" Target="https://expa.aiesec.org/opportunities/1281010" TargetMode="External"/><Relationship Id="rId2699" Type="http://schemas.openxmlformats.org/officeDocument/2006/relationships/hyperlink" Target="https://expa.aiesec.org/opportunities/1290027" TargetMode="External"/><Relationship Id="rId1369" Type="http://schemas.openxmlformats.org/officeDocument/2006/relationships/hyperlink" Target="https://expa.aiesec.org/opportunities/1291634" TargetMode="External"/><Relationship Id="rId778" Type="http://schemas.openxmlformats.org/officeDocument/2006/relationships/hyperlink" Target="https://expa.aiesec.org/opportunities/1281901" TargetMode="External"/><Relationship Id="rId777" Type="http://schemas.openxmlformats.org/officeDocument/2006/relationships/hyperlink" Target="https://expa.aiesec.org/opportunities/1287702" TargetMode="External"/><Relationship Id="rId776" Type="http://schemas.openxmlformats.org/officeDocument/2006/relationships/hyperlink" Target="https://expa.aiesec.org/opportunities/1290949" TargetMode="External"/><Relationship Id="rId775" Type="http://schemas.openxmlformats.org/officeDocument/2006/relationships/hyperlink" Target="https://expa.aiesec.org/opportunities/1288488" TargetMode="External"/><Relationship Id="rId779" Type="http://schemas.openxmlformats.org/officeDocument/2006/relationships/hyperlink" Target="https://expa.aiesec.org/opportunities/1290201" TargetMode="External"/><Relationship Id="rId770" Type="http://schemas.openxmlformats.org/officeDocument/2006/relationships/hyperlink" Target="https://expa.aiesec.org/opportunities/1288201" TargetMode="External"/><Relationship Id="rId2690" Type="http://schemas.openxmlformats.org/officeDocument/2006/relationships/hyperlink" Target="https://expa.aiesec.org/opportunities/1284976" TargetMode="External"/><Relationship Id="rId1360" Type="http://schemas.openxmlformats.org/officeDocument/2006/relationships/hyperlink" Target="https://expa.aiesec.org/opportunities/1288813" TargetMode="External"/><Relationship Id="rId2691" Type="http://schemas.openxmlformats.org/officeDocument/2006/relationships/hyperlink" Target="https://expa.aiesec.org/opportunities/1294332" TargetMode="External"/><Relationship Id="rId1361" Type="http://schemas.openxmlformats.org/officeDocument/2006/relationships/hyperlink" Target="https://expa.aiesec.org/opportunities/1292571" TargetMode="External"/><Relationship Id="rId2692" Type="http://schemas.openxmlformats.org/officeDocument/2006/relationships/hyperlink" Target="https://expa.aiesec.org/opportunities/1293906" TargetMode="External"/><Relationship Id="rId1362" Type="http://schemas.openxmlformats.org/officeDocument/2006/relationships/hyperlink" Target="https://expa.aiesec.org/opportunities/1293139" TargetMode="External"/><Relationship Id="rId2693" Type="http://schemas.openxmlformats.org/officeDocument/2006/relationships/hyperlink" Target="https://expa.aiesec.org/opportunities/1295745" TargetMode="External"/><Relationship Id="rId774" Type="http://schemas.openxmlformats.org/officeDocument/2006/relationships/hyperlink" Target="https://expa.aiesec.org/opportunities/1284077" TargetMode="External"/><Relationship Id="rId1363" Type="http://schemas.openxmlformats.org/officeDocument/2006/relationships/hyperlink" Target="https://expa.aiesec.org/opportunities/1286585" TargetMode="External"/><Relationship Id="rId2694" Type="http://schemas.openxmlformats.org/officeDocument/2006/relationships/hyperlink" Target="https://expa.aiesec.org/opportunities/1296234" TargetMode="External"/><Relationship Id="rId773" Type="http://schemas.openxmlformats.org/officeDocument/2006/relationships/hyperlink" Target="https://expa.aiesec.org/opportunities/1279126" TargetMode="External"/><Relationship Id="rId1364" Type="http://schemas.openxmlformats.org/officeDocument/2006/relationships/hyperlink" Target="https://expa.aiesec.org/opportunities/1291375" TargetMode="External"/><Relationship Id="rId2695" Type="http://schemas.openxmlformats.org/officeDocument/2006/relationships/hyperlink" Target="https://expa.aiesec.org/opportunities/1296787" TargetMode="External"/><Relationship Id="rId772" Type="http://schemas.openxmlformats.org/officeDocument/2006/relationships/hyperlink" Target="https://expa.aiesec.org/opportunities/1285306" TargetMode="External"/><Relationship Id="rId1365" Type="http://schemas.openxmlformats.org/officeDocument/2006/relationships/hyperlink" Target="https://expa.aiesec.org/opportunities/1293464" TargetMode="External"/><Relationship Id="rId2696" Type="http://schemas.openxmlformats.org/officeDocument/2006/relationships/hyperlink" Target="https://expa.aiesec.org/opportunities/1296670" TargetMode="External"/><Relationship Id="rId771" Type="http://schemas.openxmlformats.org/officeDocument/2006/relationships/hyperlink" Target="https://expa.aiesec.org/opportunities/1285306" TargetMode="External"/><Relationship Id="rId1366" Type="http://schemas.openxmlformats.org/officeDocument/2006/relationships/hyperlink" Target="https://expa.aiesec.org/opportunities/1287662" TargetMode="External"/><Relationship Id="rId2697" Type="http://schemas.openxmlformats.org/officeDocument/2006/relationships/hyperlink" Target="https://expa.aiesec.org/opportunities/1295311" TargetMode="External"/><Relationship Id="rId1390" Type="http://schemas.openxmlformats.org/officeDocument/2006/relationships/hyperlink" Target="https://expa.aiesec.org/opportunities/1287851" TargetMode="External"/><Relationship Id="rId1391" Type="http://schemas.openxmlformats.org/officeDocument/2006/relationships/hyperlink" Target="https://expa.aiesec.org/opportunities/1290282" TargetMode="External"/><Relationship Id="rId1392" Type="http://schemas.openxmlformats.org/officeDocument/2006/relationships/hyperlink" Target="https://expa.aiesec.org/opportunities/1288721" TargetMode="External"/><Relationship Id="rId1393" Type="http://schemas.openxmlformats.org/officeDocument/2006/relationships/hyperlink" Target="https://expa.aiesec.org/opportunities/1291067" TargetMode="External"/><Relationship Id="rId1394" Type="http://schemas.openxmlformats.org/officeDocument/2006/relationships/hyperlink" Target="https://expa.aiesec.org/opportunities/1292531" TargetMode="External"/><Relationship Id="rId1395" Type="http://schemas.openxmlformats.org/officeDocument/2006/relationships/hyperlink" Target="https://expa.aiesec.org/opportunities/1293112" TargetMode="External"/><Relationship Id="rId1396" Type="http://schemas.openxmlformats.org/officeDocument/2006/relationships/hyperlink" Target="https://expa.aiesec.org/opportunities/1289936" TargetMode="External"/><Relationship Id="rId1397" Type="http://schemas.openxmlformats.org/officeDocument/2006/relationships/hyperlink" Target="https://expa.aiesec.org/opportunities/1290024" TargetMode="External"/><Relationship Id="rId1398" Type="http://schemas.openxmlformats.org/officeDocument/2006/relationships/hyperlink" Target="https://expa.aiesec.org/opportunities/1281010" TargetMode="External"/><Relationship Id="rId1399" Type="http://schemas.openxmlformats.org/officeDocument/2006/relationships/hyperlink" Target="https://expa.aiesec.org/opportunities/1289536" TargetMode="External"/><Relationship Id="rId1389" Type="http://schemas.openxmlformats.org/officeDocument/2006/relationships/hyperlink" Target="https://expa.aiesec.org/opportunities/1285010" TargetMode="External"/><Relationship Id="rId799" Type="http://schemas.openxmlformats.org/officeDocument/2006/relationships/hyperlink" Target="https://expa.aiesec.org/opportunities/1289698" TargetMode="External"/><Relationship Id="rId798" Type="http://schemas.openxmlformats.org/officeDocument/2006/relationships/hyperlink" Target="https://expa.aiesec.org/opportunities/1289255" TargetMode="External"/><Relationship Id="rId797" Type="http://schemas.openxmlformats.org/officeDocument/2006/relationships/hyperlink" Target="https://expa.aiesec.org/opportunities/1287708" TargetMode="External"/><Relationship Id="rId1380" Type="http://schemas.openxmlformats.org/officeDocument/2006/relationships/hyperlink" Target="https://expa.aiesec.org/opportunities/1293423" TargetMode="External"/><Relationship Id="rId792" Type="http://schemas.openxmlformats.org/officeDocument/2006/relationships/hyperlink" Target="https://expa.aiesec.org/opportunities/1289505" TargetMode="External"/><Relationship Id="rId1381" Type="http://schemas.openxmlformats.org/officeDocument/2006/relationships/hyperlink" Target="https://expa.aiesec.org/opportunities/1292765" TargetMode="External"/><Relationship Id="rId791" Type="http://schemas.openxmlformats.org/officeDocument/2006/relationships/hyperlink" Target="https://expa.aiesec.org/opportunities/1284485" TargetMode="External"/><Relationship Id="rId1382" Type="http://schemas.openxmlformats.org/officeDocument/2006/relationships/hyperlink" Target="https://expa.aiesec.org/opportunities/1281235" TargetMode="External"/><Relationship Id="rId790" Type="http://schemas.openxmlformats.org/officeDocument/2006/relationships/hyperlink" Target="https://expa.aiesec.org/opportunities/1289505" TargetMode="External"/><Relationship Id="rId1383" Type="http://schemas.openxmlformats.org/officeDocument/2006/relationships/hyperlink" Target="https://expa.aiesec.org/opportunities/1292678" TargetMode="External"/><Relationship Id="rId1384" Type="http://schemas.openxmlformats.org/officeDocument/2006/relationships/hyperlink" Target="https://expa.aiesec.org/opportunities/1293125" TargetMode="External"/><Relationship Id="rId796" Type="http://schemas.openxmlformats.org/officeDocument/2006/relationships/hyperlink" Target="https://expa.aiesec.org/opportunities/1287702" TargetMode="External"/><Relationship Id="rId1385" Type="http://schemas.openxmlformats.org/officeDocument/2006/relationships/hyperlink" Target="https://expa.aiesec.org/opportunities/1288245" TargetMode="External"/><Relationship Id="rId795" Type="http://schemas.openxmlformats.org/officeDocument/2006/relationships/hyperlink" Target="https://expa.aiesec.org/opportunities/1290649" TargetMode="External"/><Relationship Id="rId1386" Type="http://schemas.openxmlformats.org/officeDocument/2006/relationships/hyperlink" Target="https://expa.aiesec.org/opportunities/1284081" TargetMode="External"/><Relationship Id="rId794" Type="http://schemas.openxmlformats.org/officeDocument/2006/relationships/hyperlink" Target="https://expa.aiesec.org/opportunities/1286312" TargetMode="External"/><Relationship Id="rId1387" Type="http://schemas.openxmlformats.org/officeDocument/2006/relationships/hyperlink" Target="https://expa.aiesec.org/opportunities/1285555" TargetMode="External"/><Relationship Id="rId793" Type="http://schemas.openxmlformats.org/officeDocument/2006/relationships/hyperlink" Target="https://expa.aiesec.org/opportunities/1278298" TargetMode="External"/><Relationship Id="rId1388" Type="http://schemas.openxmlformats.org/officeDocument/2006/relationships/hyperlink" Target="https://expa.aiesec.org/opportunities/1288414" TargetMode="External"/><Relationship Id="rId3191" Type="http://schemas.openxmlformats.org/officeDocument/2006/relationships/hyperlink" Target="https://expa.aiesec.org/opportunities/1289596" TargetMode="External"/><Relationship Id="rId3190" Type="http://schemas.openxmlformats.org/officeDocument/2006/relationships/hyperlink" Target="https://expa.aiesec.org/opportunities/1297652" TargetMode="External"/><Relationship Id="rId3193" Type="http://schemas.openxmlformats.org/officeDocument/2006/relationships/hyperlink" Target="https://expa.aiesec.org/opportunities/1296224" TargetMode="External"/><Relationship Id="rId3192" Type="http://schemas.openxmlformats.org/officeDocument/2006/relationships/hyperlink" Target="https://expa.aiesec.org/opportunities/1272564" TargetMode="External"/><Relationship Id="rId3195" Type="http://schemas.openxmlformats.org/officeDocument/2006/relationships/hyperlink" Target="https://expa.aiesec.org/opportunities/1296625" TargetMode="External"/><Relationship Id="rId3194" Type="http://schemas.openxmlformats.org/officeDocument/2006/relationships/hyperlink" Target="https://expa.aiesec.org/opportunities/1288663" TargetMode="External"/><Relationship Id="rId3197" Type="http://schemas.openxmlformats.org/officeDocument/2006/relationships/hyperlink" Target="https://expa.aiesec.org/opportunities/1289505" TargetMode="External"/><Relationship Id="rId3196" Type="http://schemas.openxmlformats.org/officeDocument/2006/relationships/hyperlink" Target="https://expa.aiesec.org/opportunities/1280733" TargetMode="External"/><Relationship Id="rId3199" Type="http://schemas.openxmlformats.org/officeDocument/2006/relationships/hyperlink" Target="https://expa.aiesec.org/opportunities/1289536" TargetMode="External"/><Relationship Id="rId3198" Type="http://schemas.openxmlformats.org/officeDocument/2006/relationships/hyperlink" Target="https://expa.aiesec.org/opportunities/1297990" TargetMode="External"/><Relationship Id="rId3180" Type="http://schemas.openxmlformats.org/officeDocument/2006/relationships/hyperlink" Target="https://expa.aiesec.org/opportunities/1297445" TargetMode="External"/><Relationship Id="rId3182" Type="http://schemas.openxmlformats.org/officeDocument/2006/relationships/hyperlink" Target="https://expa.aiesec.org/opportunities/1294581" TargetMode="External"/><Relationship Id="rId3181" Type="http://schemas.openxmlformats.org/officeDocument/2006/relationships/hyperlink" Target="https://expa.aiesec.org/opportunities/1289347" TargetMode="External"/><Relationship Id="rId3184" Type="http://schemas.openxmlformats.org/officeDocument/2006/relationships/hyperlink" Target="https://expa.aiesec.org/opportunities/1279126" TargetMode="External"/><Relationship Id="rId3183" Type="http://schemas.openxmlformats.org/officeDocument/2006/relationships/hyperlink" Target="https://expa.aiesec.org/opportunities/1295603" TargetMode="External"/><Relationship Id="rId3186" Type="http://schemas.openxmlformats.org/officeDocument/2006/relationships/hyperlink" Target="https://expa.aiesec.org/opportunities/1295453" TargetMode="External"/><Relationship Id="rId3185" Type="http://schemas.openxmlformats.org/officeDocument/2006/relationships/hyperlink" Target="https://expa.aiesec.org/opportunities/1279126" TargetMode="External"/><Relationship Id="rId3188" Type="http://schemas.openxmlformats.org/officeDocument/2006/relationships/hyperlink" Target="https://expa.aiesec.org/opportunities/1272564" TargetMode="External"/><Relationship Id="rId3187" Type="http://schemas.openxmlformats.org/officeDocument/2006/relationships/hyperlink" Target="https://expa.aiesec.org/opportunities/1295453" TargetMode="External"/><Relationship Id="rId3189" Type="http://schemas.openxmlformats.org/officeDocument/2006/relationships/hyperlink" Target="https://expa.aiesec.org/opportunities/1295453" TargetMode="External"/><Relationship Id="rId3151" Type="http://schemas.openxmlformats.org/officeDocument/2006/relationships/hyperlink" Target="https://expa.aiesec.org/opportunities/1295777" TargetMode="External"/><Relationship Id="rId3150" Type="http://schemas.openxmlformats.org/officeDocument/2006/relationships/hyperlink" Target="https://expa.aiesec.org/opportunities/1286920" TargetMode="External"/><Relationship Id="rId3153" Type="http://schemas.openxmlformats.org/officeDocument/2006/relationships/hyperlink" Target="https://expa.aiesec.org/opportunities/1279126" TargetMode="External"/><Relationship Id="rId3152" Type="http://schemas.openxmlformats.org/officeDocument/2006/relationships/hyperlink" Target="https://expa.aiesec.org/opportunities/1297088" TargetMode="External"/><Relationship Id="rId3155" Type="http://schemas.openxmlformats.org/officeDocument/2006/relationships/hyperlink" Target="https://expa.aiesec.org/opportunities/1297978" TargetMode="External"/><Relationship Id="rId3154" Type="http://schemas.openxmlformats.org/officeDocument/2006/relationships/hyperlink" Target="https://expa.aiesec.org/opportunities/1289255" TargetMode="External"/><Relationship Id="rId3157" Type="http://schemas.openxmlformats.org/officeDocument/2006/relationships/hyperlink" Target="https://expa.aiesec.org/opportunities/1299359" TargetMode="External"/><Relationship Id="rId3156" Type="http://schemas.openxmlformats.org/officeDocument/2006/relationships/hyperlink" Target="https://expa.aiesec.org/opportunities/1295127" TargetMode="External"/><Relationship Id="rId3159" Type="http://schemas.openxmlformats.org/officeDocument/2006/relationships/hyperlink" Target="https://expa.aiesec.org/opportunities/1296423" TargetMode="External"/><Relationship Id="rId3158" Type="http://schemas.openxmlformats.org/officeDocument/2006/relationships/hyperlink" Target="https://expa.aiesec.org/opportunities/1286236" TargetMode="External"/><Relationship Id="rId3149" Type="http://schemas.openxmlformats.org/officeDocument/2006/relationships/hyperlink" Target="https://expa.aiesec.org/opportunities/1279126" TargetMode="External"/><Relationship Id="rId3140" Type="http://schemas.openxmlformats.org/officeDocument/2006/relationships/hyperlink" Target="https://expa.aiesec.org/opportunities/1288497" TargetMode="External"/><Relationship Id="rId3142" Type="http://schemas.openxmlformats.org/officeDocument/2006/relationships/hyperlink" Target="https://expa.aiesec.org/opportunities/1296101" TargetMode="External"/><Relationship Id="rId3141" Type="http://schemas.openxmlformats.org/officeDocument/2006/relationships/hyperlink" Target="https://expa.aiesec.org/opportunities/1288497" TargetMode="External"/><Relationship Id="rId3144" Type="http://schemas.openxmlformats.org/officeDocument/2006/relationships/hyperlink" Target="https://expa.aiesec.org/opportunities/1295453" TargetMode="External"/><Relationship Id="rId3143" Type="http://schemas.openxmlformats.org/officeDocument/2006/relationships/hyperlink" Target="https://expa.aiesec.org/opportunities/1295745" TargetMode="External"/><Relationship Id="rId3146" Type="http://schemas.openxmlformats.org/officeDocument/2006/relationships/hyperlink" Target="https://expa.aiesec.org/opportunities/1293407" TargetMode="External"/><Relationship Id="rId3145" Type="http://schemas.openxmlformats.org/officeDocument/2006/relationships/hyperlink" Target="https://expa.aiesec.org/opportunities/1287966" TargetMode="External"/><Relationship Id="rId3148" Type="http://schemas.openxmlformats.org/officeDocument/2006/relationships/hyperlink" Target="https://expa.aiesec.org/opportunities/1298571" TargetMode="External"/><Relationship Id="rId3147" Type="http://schemas.openxmlformats.org/officeDocument/2006/relationships/hyperlink" Target="https://expa.aiesec.org/opportunities/1286122" TargetMode="External"/><Relationship Id="rId3171" Type="http://schemas.openxmlformats.org/officeDocument/2006/relationships/hyperlink" Target="https://expa.aiesec.org/opportunities/1299445" TargetMode="External"/><Relationship Id="rId3170" Type="http://schemas.openxmlformats.org/officeDocument/2006/relationships/hyperlink" Target="https://expa.aiesec.org/opportunities/1286122" TargetMode="External"/><Relationship Id="rId3173" Type="http://schemas.openxmlformats.org/officeDocument/2006/relationships/hyperlink" Target="https://expa.aiesec.org/opportunities/1295042" TargetMode="External"/><Relationship Id="rId3172" Type="http://schemas.openxmlformats.org/officeDocument/2006/relationships/hyperlink" Target="https://expa.aiesec.org/opportunities/1286122" TargetMode="External"/><Relationship Id="rId3175" Type="http://schemas.openxmlformats.org/officeDocument/2006/relationships/hyperlink" Target="https://expa.aiesec.org/opportunities/1289467" TargetMode="External"/><Relationship Id="rId3174" Type="http://schemas.openxmlformats.org/officeDocument/2006/relationships/hyperlink" Target="https://expa.aiesec.org/opportunities/1289470" TargetMode="External"/><Relationship Id="rId3177" Type="http://schemas.openxmlformats.org/officeDocument/2006/relationships/hyperlink" Target="https://expa.aiesec.org/opportunities/1299196" TargetMode="External"/><Relationship Id="rId3176" Type="http://schemas.openxmlformats.org/officeDocument/2006/relationships/hyperlink" Target="https://expa.aiesec.org/opportunities/1285681" TargetMode="External"/><Relationship Id="rId3179" Type="http://schemas.openxmlformats.org/officeDocument/2006/relationships/hyperlink" Target="https://expa.aiesec.org/opportunities/1294780" TargetMode="External"/><Relationship Id="rId3178" Type="http://schemas.openxmlformats.org/officeDocument/2006/relationships/hyperlink" Target="https://expa.aiesec.org/opportunities/1289596" TargetMode="External"/><Relationship Id="rId3160" Type="http://schemas.openxmlformats.org/officeDocument/2006/relationships/hyperlink" Target="https://expa.aiesec.org/opportunities/1288593" TargetMode="External"/><Relationship Id="rId3162" Type="http://schemas.openxmlformats.org/officeDocument/2006/relationships/hyperlink" Target="https://expa.aiesec.org/opportunities/1296305" TargetMode="External"/><Relationship Id="rId3161" Type="http://schemas.openxmlformats.org/officeDocument/2006/relationships/hyperlink" Target="https://expa.aiesec.org/opportunities/1259741" TargetMode="External"/><Relationship Id="rId3164" Type="http://schemas.openxmlformats.org/officeDocument/2006/relationships/hyperlink" Target="https://expa.aiesec.org/opportunities/1288970" TargetMode="External"/><Relationship Id="rId3163" Type="http://schemas.openxmlformats.org/officeDocument/2006/relationships/hyperlink" Target="https://expa.aiesec.org/opportunities/1295453" TargetMode="External"/><Relationship Id="rId3166" Type="http://schemas.openxmlformats.org/officeDocument/2006/relationships/hyperlink" Target="https://expa.aiesec.org/opportunities/1259741" TargetMode="External"/><Relationship Id="rId3165" Type="http://schemas.openxmlformats.org/officeDocument/2006/relationships/hyperlink" Target="https://expa.aiesec.org/opportunities/1296671" TargetMode="External"/><Relationship Id="rId3168" Type="http://schemas.openxmlformats.org/officeDocument/2006/relationships/hyperlink" Target="https://expa.aiesec.org/opportunities/1298736" TargetMode="External"/><Relationship Id="rId3167" Type="http://schemas.openxmlformats.org/officeDocument/2006/relationships/hyperlink" Target="https://expa.aiesec.org/opportunities/1289536" TargetMode="External"/><Relationship Id="rId3169" Type="http://schemas.openxmlformats.org/officeDocument/2006/relationships/hyperlink" Target="https://expa.aiesec.org/opportunities/1294825" TargetMode="External"/><Relationship Id="rId2700" Type="http://schemas.openxmlformats.org/officeDocument/2006/relationships/hyperlink" Target="https://expa.aiesec.org/opportunities/1294473" TargetMode="External"/><Relationship Id="rId2701" Type="http://schemas.openxmlformats.org/officeDocument/2006/relationships/hyperlink" Target="https://expa.aiesec.org/opportunities/1293790" TargetMode="External"/><Relationship Id="rId2702" Type="http://schemas.openxmlformats.org/officeDocument/2006/relationships/hyperlink" Target="https://expa.aiesec.org/opportunities/1294127" TargetMode="External"/><Relationship Id="rId2703" Type="http://schemas.openxmlformats.org/officeDocument/2006/relationships/hyperlink" Target="https://expa.aiesec.org/opportunities/1296671" TargetMode="External"/><Relationship Id="rId2704" Type="http://schemas.openxmlformats.org/officeDocument/2006/relationships/hyperlink" Target="https://expa.aiesec.org/opportunities/1287792" TargetMode="External"/><Relationship Id="rId2705" Type="http://schemas.openxmlformats.org/officeDocument/2006/relationships/hyperlink" Target="https://expa.aiesec.org/opportunities/1296101" TargetMode="External"/><Relationship Id="rId2706" Type="http://schemas.openxmlformats.org/officeDocument/2006/relationships/hyperlink" Target="https://expa.aiesec.org/opportunities/1293017" TargetMode="External"/><Relationship Id="rId2707" Type="http://schemas.openxmlformats.org/officeDocument/2006/relationships/hyperlink" Target="https://expa.aiesec.org/opportunities/1296697" TargetMode="External"/><Relationship Id="rId2708" Type="http://schemas.openxmlformats.org/officeDocument/2006/relationships/hyperlink" Target="https://expa.aiesec.org/opportunities/1287226" TargetMode="External"/><Relationship Id="rId2709" Type="http://schemas.openxmlformats.org/officeDocument/2006/relationships/hyperlink" Target="https://expa.aiesec.org/opportunities/1295514" TargetMode="External"/><Relationship Id="rId2720" Type="http://schemas.openxmlformats.org/officeDocument/2006/relationships/hyperlink" Target="https://expa.aiesec.org/opportunities/1294877" TargetMode="External"/><Relationship Id="rId2721" Type="http://schemas.openxmlformats.org/officeDocument/2006/relationships/hyperlink" Target="https://expa.aiesec.org/opportunities/1286837" TargetMode="External"/><Relationship Id="rId2722" Type="http://schemas.openxmlformats.org/officeDocument/2006/relationships/hyperlink" Target="https://expa.aiesec.org/opportunities/1290024" TargetMode="External"/><Relationship Id="rId2723" Type="http://schemas.openxmlformats.org/officeDocument/2006/relationships/hyperlink" Target="https://expa.aiesec.org/opportunities/1296727" TargetMode="External"/><Relationship Id="rId2724" Type="http://schemas.openxmlformats.org/officeDocument/2006/relationships/hyperlink" Target="https://expa.aiesec.org/opportunities/1287488" TargetMode="External"/><Relationship Id="rId2725" Type="http://schemas.openxmlformats.org/officeDocument/2006/relationships/hyperlink" Target="https://expa.aiesec.org/opportunities/1296419" TargetMode="External"/><Relationship Id="rId2726" Type="http://schemas.openxmlformats.org/officeDocument/2006/relationships/hyperlink" Target="https://expa.aiesec.org/opportunities/1286059" TargetMode="External"/><Relationship Id="rId2727" Type="http://schemas.openxmlformats.org/officeDocument/2006/relationships/hyperlink" Target="https://expa.aiesec.org/opportunities/1296327" TargetMode="External"/><Relationship Id="rId2728" Type="http://schemas.openxmlformats.org/officeDocument/2006/relationships/hyperlink" Target="https://expa.aiesec.org/opportunities/1295986" TargetMode="External"/><Relationship Id="rId2729" Type="http://schemas.openxmlformats.org/officeDocument/2006/relationships/hyperlink" Target="https://expa.aiesec.org/opportunities/1289261" TargetMode="External"/><Relationship Id="rId2710" Type="http://schemas.openxmlformats.org/officeDocument/2006/relationships/hyperlink" Target="https://expa.aiesec.org/opportunities/1286839" TargetMode="External"/><Relationship Id="rId2711" Type="http://schemas.openxmlformats.org/officeDocument/2006/relationships/hyperlink" Target="https://expa.aiesec.org/opportunities/1296247" TargetMode="External"/><Relationship Id="rId2712" Type="http://schemas.openxmlformats.org/officeDocument/2006/relationships/hyperlink" Target="https://expa.aiesec.org/opportunities/1294669" TargetMode="External"/><Relationship Id="rId2713" Type="http://schemas.openxmlformats.org/officeDocument/2006/relationships/hyperlink" Target="https://expa.aiesec.org/opportunities/1291317" TargetMode="External"/><Relationship Id="rId2714" Type="http://schemas.openxmlformats.org/officeDocument/2006/relationships/hyperlink" Target="https://expa.aiesec.org/opportunities/1286836" TargetMode="External"/><Relationship Id="rId2715" Type="http://schemas.openxmlformats.org/officeDocument/2006/relationships/hyperlink" Target="https://expa.aiesec.org/opportunities/1287908" TargetMode="External"/><Relationship Id="rId2716" Type="http://schemas.openxmlformats.org/officeDocument/2006/relationships/hyperlink" Target="https://expa.aiesec.org/opportunities/1294452" TargetMode="External"/><Relationship Id="rId2717" Type="http://schemas.openxmlformats.org/officeDocument/2006/relationships/hyperlink" Target="https://expa.aiesec.org/opportunities/1293333" TargetMode="External"/><Relationship Id="rId2718" Type="http://schemas.openxmlformats.org/officeDocument/2006/relationships/hyperlink" Target="https://expa.aiesec.org/opportunities/1292728" TargetMode="External"/><Relationship Id="rId2719" Type="http://schemas.openxmlformats.org/officeDocument/2006/relationships/hyperlink" Target="https://expa.aiesec.org/opportunities/1287488" TargetMode="External"/><Relationship Id="rId1455" Type="http://schemas.openxmlformats.org/officeDocument/2006/relationships/hyperlink" Target="https://expa.aiesec.org/opportunities/1293335" TargetMode="External"/><Relationship Id="rId2786" Type="http://schemas.openxmlformats.org/officeDocument/2006/relationships/hyperlink" Target="https://expa.aiesec.org/opportunities/1293683" TargetMode="External"/><Relationship Id="rId1456" Type="http://schemas.openxmlformats.org/officeDocument/2006/relationships/hyperlink" Target="https://expa.aiesec.org/opportunities/1286920" TargetMode="External"/><Relationship Id="rId2787" Type="http://schemas.openxmlformats.org/officeDocument/2006/relationships/hyperlink" Target="https://expa.aiesec.org/opportunities/1294211" TargetMode="External"/><Relationship Id="rId1457" Type="http://schemas.openxmlformats.org/officeDocument/2006/relationships/hyperlink" Target="https://expa.aiesec.org/opportunities/1293261" TargetMode="External"/><Relationship Id="rId2788" Type="http://schemas.openxmlformats.org/officeDocument/2006/relationships/hyperlink" Target="https://expa.aiesec.org/opportunities/1297132" TargetMode="External"/><Relationship Id="rId1458" Type="http://schemas.openxmlformats.org/officeDocument/2006/relationships/hyperlink" Target="https://expa.aiesec.org/opportunities/1286585" TargetMode="External"/><Relationship Id="rId2789" Type="http://schemas.openxmlformats.org/officeDocument/2006/relationships/hyperlink" Target="https://expa.aiesec.org/opportunities/1288582" TargetMode="External"/><Relationship Id="rId1459" Type="http://schemas.openxmlformats.org/officeDocument/2006/relationships/hyperlink" Target="https://expa.aiesec.org/opportunities/1291929" TargetMode="External"/><Relationship Id="rId629" Type="http://schemas.openxmlformats.org/officeDocument/2006/relationships/hyperlink" Target="https://expa.aiesec.org/opportunities/1288813" TargetMode="External"/><Relationship Id="rId624" Type="http://schemas.openxmlformats.org/officeDocument/2006/relationships/hyperlink" Target="https://expa.aiesec.org/opportunities/1289155" TargetMode="External"/><Relationship Id="rId623" Type="http://schemas.openxmlformats.org/officeDocument/2006/relationships/hyperlink" Target="https://expa.aiesec.org/opportunities/1287309" TargetMode="External"/><Relationship Id="rId622" Type="http://schemas.openxmlformats.org/officeDocument/2006/relationships/hyperlink" Target="https://expa.aiesec.org/opportunities/1289155" TargetMode="External"/><Relationship Id="rId621" Type="http://schemas.openxmlformats.org/officeDocument/2006/relationships/hyperlink" Target="https://expa.aiesec.org/opportunities/1262819" TargetMode="External"/><Relationship Id="rId628" Type="http://schemas.openxmlformats.org/officeDocument/2006/relationships/hyperlink" Target="https://expa.aiesec.org/opportunities/1289505" TargetMode="External"/><Relationship Id="rId627" Type="http://schemas.openxmlformats.org/officeDocument/2006/relationships/hyperlink" Target="https://expa.aiesec.org/opportunities/1288970" TargetMode="External"/><Relationship Id="rId626" Type="http://schemas.openxmlformats.org/officeDocument/2006/relationships/hyperlink" Target="https://expa.aiesec.org/opportunities/1288431" TargetMode="External"/><Relationship Id="rId625" Type="http://schemas.openxmlformats.org/officeDocument/2006/relationships/hyperlink" Target="https://expa.aiesec.org/opportunities/1284125" TargetMode="External"/><Relationship Id="rId2780" Type="http://schemas.openxmlformats.org/officeDocument/2006/relationships/hyperlink" Target="https://expa.aiesec.org/opportunities/1290806" TargetMode="External"/><Relationship Id="rId1450" Type="http://schemas.openxmlformats.org/officeDocument/2006/relationships/hyperlink" Target="https://expa.aiesec.org/opportunities/1288721" TargetMode="External"/><Relationship Id="rId2781" Type="http://schemas.openxmlformats.org/officeDocument/2006/relationships/hyperlink" Target="https://expa.aiesec.org/opportunities/1288393" TargetMode="External"/><Relationship Id="rId620" Type="http://schemas.openxmlformats.org/officeDocument/2006/relationships/hyperlink" Target="https://expa.aiesec.org/opportunities/1286368" TargetMode="External"/><Relationship Id="rId1451" Type="http://schemas.openxmlformats.org/officeDocument/2006/relationships/hyperlink" Target="https://expa.aiesec.org/opportunities/1292556" TargetMode="External"/><Relationship Id="rId2782" Type="http://schemas.openxmlformats.org/officeDocument/2006/relationships/hyperlink" Target="https://expa.aiesec.org/opportunities/1291411" TargetMode="External"/><Relationship Id="rId1452" Type="http://schemas.openxmlformats.org/officeDocument/2006/relationships/hyperlink" Target="https://expa.aiesec.org/opportunities/1293168" TargetMode="External"/><Relationship Id="rId2783" Type="http://schemas.openxmlformats.org/officeDocument/2006/relationships/hyperlink" Target="https://expa.aiesec.org/opportunities/1289505" TargetMode="External"/><Relationship Id="rId1453" Type="http://schemas.openxmlformats.org/officeDocument/2006/relationships/hyperlink" Target="https://expa.aiesec.org/opportunities/1291391" TargetMode="External"/><Relationship Id="rId2784" Type="http://schemas.openxmlformats.org/officeDocument/2006/relationships/hyperlink" Target="https://expa.aiesec.org/opportunities/1296493" TargetMode="External"/><Relationship Id="rId1454" Type="http://schemas.openxmlformats.org/officeDocument/2006/relationships/hyperlink" Target="https://expa.aiesec.org/opportunities/1293417" TargetMode="External"/><Relationship Id="rId2785" Type="http://schemas.openxmlformats.org/officeDocument/2006/relationships/hyperlink" Target="https://expa.aiesec.org/opportunities/1296980" TargetMode="External"/><Relationship Id="rId1444" Type="http://schemas.openxmlformats.org/officeDocument/2006/relationships/hyperlink" Target="https://expa.aiesec.org/opportunities/1284484" TargetMode="External"/><Relationship Id="rId2775" Type="http://schemas.openxmlformats.org/officeDocument/2006/relationships/hyperlink" Target="https://expa.aiesec.org/opportunities/1287488" TargetMode="External"/><Relationship Id="rId1445" Type="http://schemas.openxmlformats.org/officeDocument/2006/relationships/hyperlink" Target="https://expa.aiesec.org/opportunities/1288265" TargetMode="External"/><Relationship Id="rId2776" Type="http://schemas.openxmlformats.org/officeDocument/2006/relationships/hyperlink" Target="https://expa.aiesec.org/opportunities/1286839" TargetMode="External"/><Relationship Id="rId1446" Type="http://schemas.openxmlformats.org/officeDocument/2006/relationships/hyperlink" Target="https://expa.aiesec.org/opportunities/1287101" TargetMode="External"/><Relationship Id="rId2777" Type="http://schemas.openxmlformats.org/officeDocument/2006/relationships/hyperlink" Target="https://expa.aiesec.org/opportunities/1294852" TargetMode="External"/><Relationship Id="rId1447" Type="http://schemas.openxmlformats.org/officeDocument/2006/relationships/hyperlink" Target="https://expa.aiesec.org/opportunities/1293203" TargetMode="External"/><Relationship Id="rId2778" Type="http://schemas.openxmlformats.org/officeDocument/2006/relationships/hyperlink" Target="https://expa.aiesec.org/opportunities/1294976" TargetMode="External"/><Relationship Id="rId1448" Type="http://schemas.openxmlformats.org/officeDocument/2006/relationships/hyperlink" Target="https://expa.aiesec.org/opportunities/1289671" TargetMode="External"/><Relationship Id="rId2779" Type="http://schemas.openxmlformats.org/officeDocument/2006/relationships/hyperlink" Target="https://expa.aiesec.org/opportunities/1296118" TargetMode="External"/><Relationship Id="rId1449" Type="http://schemas.openxmlformats.org/officeDocument/2006/relationships/hyperlink" Target="https://expa.aiesec.org/opportunities/1293759" TargetMode="External"/><Relationship Id="rId619" Type="http://schemas.openxmlformats.org/officeDocument/2006/relationships/hyperlink" Target="https://expa.aiesec.org/opportunities/1290418" TargetMode="External"/><Relationship Id="rId618" Type="http://schemas.openxmlformats.org/officeDocument/2006/relationships/hyperlink" Target="https://expa.aiesec.org/opportunities/1288419" TargetMode="External"/><Relationship Id="rId613" Type="http://schemas.openxmlformats.org/officeDocument/2006/relationships/hyperlink" Target="https://expa.aiesec.org/opportunities/1290646" TargetMode="External"/><Relationship Id="rId612" Type="http://schemas.openxmlformats.org/officeDocument/2006/relationships/hyperlink" Target="https://expa.aiesec.org/opportunities/1286917" TargetMode="External"/><Relationship Id="rId611" Type="http://schemas.openxmlformats.org/officeDocument/2006/relationships/hyperlink" Target="https://expa.aiesec.org/opportunities/1288991" TargetMode="External"/><Relationship Id="rId610" Type="http://schemas.openxmlformats.org/officeDocument/2006/relationships/hyperlink" Target="https://expa.aiesec.org/opportunities/1285865" TargetMode="External"/><Relationship Id="rId617" Type="http://schemas.openxmlformats.org/officeDocument/2006/relationships/hyperlink" Target="https://expa.aiesec.org/opportunities/1288419" TargetMode="External"/><Relationship Id="rId616" Type="http://schemas.openxmlformats.org/officeDocument/2006/relationships/hyperlink" Target="https://expa.aiesec.org/opportunities/1284596" TargetMode="External"/><Relationship Id="rId615" Type="http://schemas.openxmlformats.org/officeDocument/2006/relationships/hyperlink" Target="https://expa.aiesec.org/opportunities/1284077" TargetMode="External"/><Relationship Id="rId614" Type="http://schemas.openxmlformats.org/officeDocument/2006/relationships/hyperlink" Target="https://expa.aiesec.org/opportunities/1284583" TargetMode="External"/><Relationship Id="rId2770" Type="http://schemas.openxmlformats.org/officeDocument/2006/relationships/hyperlink" Target="https://expa.aiesec.org/opportunities/1293407" TargetMode="External"/><Relationship Id="rId1440" Type="http://schemas.openxmlformats.org/officeDocument/2006/relationships/hyperlink" Target="https://expa.aiesec.org/opportunities/1293417" TargetMode="External"/><Relationship Id="rId2771" Type="http://schemas.openxmlformats.org/officeDocument/2006/relationships/hyperlink" Target="https://expa.aiesec.org/opportunities/1282413" TargetMode="External"/><Relationship Id="rId1441" Type="http://schemas.openxmlformats.org/officeDocument/2006/relationships/hyperlink" Target="https://expa.aiesec.org/opportunities/1292158" TargetMode="External"/><Relationship Id="rId2772" Type="http://schemas.openxmlformats.org/officeDocument/2006/relationships/hyperlink" Target="https://expa.aiesec.org/opportunities/1283683" TargetMode="External"/><Relationship Id="rId1442" Type="http://schemas.openxmlformats.org/officeDocument/2006/relationships/hyperlink" Target="https://expa.aiesec.org/opportunities/1284476" TargetMode="External"/><Relationship Id="rId2773" Type="http://schemas.openxmlformats.org/officeDocument/2006/relationships/hyperlink" Target="https://expa.aiesec.org/opportunities/1295460" TargetMode="External"/><Relationship Id="rId1443" Type="http://schemas.openxmlformats.org/officeDocument/2006/relationships/hyperlink" Target="https://expa.aiesec.org/opportunities/1282065" TargetMode="External"/><Relationship Id="rId2774" Type="http://schemas.openxmlformats.org/officeDocument/2006/relationships/hyperlink" Target="https://expa.aiesec.org/opportunities/1289505" TargetMode="External"/><Relationship Id="rId1477" Type="http://schemas.openxmlformats.org/officeDocument/2006/relationships/hyperlink" Target="https://expa.aiesec.org/opportunities/1291819" TargetMode="External"/><Relationship Id="rId1478" Type="http://schemas.openxmlformats.org/officeDocument/2006/relationships/hyperlink" Target="https://expa.aiesec.org/opportunities/1290282" TargetMode="External"/><Relationship Id="rId1479" Type="http://schemas.openxmlformats.org/officeDocument/2006/relationships/hyperlink" Target="https://expa.aiesec.org/opportunities/1291819" TargetMode="External"/><Relationship Id="rId646" Type="http://schemas.openxmlformats.org/officeDocument/2006/relationships/hyperlink" Target="https://expa.aiesec.org/opportunities/1290243" TargetMode="External"/><Relationship Id="rId645" Type="http://schemas.openxmlformats.org/officeDocument/2006/relationships/hyperlink" Target="https://expa.aiesec.org/opportunities/1290690" TargetMode="External"/><Relationship Id="rId644" Type="http://schemas.openxmlformats.org/officeDocument/2006/relationships/hyperlink" Target="https://expa.aiesec.org/opportunities/1279169" TargetMode="External"/><Relationship Id="rId643" Type="http://schemas.openxmlformats.org/officeDocument/2006/relationships/hyperlink" Target="https://expa.aiesec.org/opportunities/1290961" TargetMode="External"/><Relationship Id="rId649" Type="http://schemas.openxmlformats.org/officeDocument/2006/relationships/hyperlink" Target="https://expa.aiesec.org/opportunities/1289261" TargetMode="External"/><Relationship Id="rId648" Type="http://schemas.openxmlformats.org/officeDocument/2006/relationships/hyperlink" Target="https://expa.aiesec.org/opportunities/1290039" TargetMode="External"/><Relationship Id="rId647" Type="http://schemas.openxmlformats.org/officeDocument/2006/relationships/hyperlink" Target="https://expa.aiesec.org/opportunities/1290026" TargetMode="External"/><Relationship Id="rId1470" Type="http://schemas.openxmlformats.org/officeDocument/2006/relationships/hyperlink" Target="https://expa.aiesec.org/opportunities/1292384" TargetMode="External"/><Relationship Id="rId1471" Type="http://schemas.openxmlformats.org/officeDocument/2006/relationships/hyperlink" Target="https://expa.aiesec.org/opportunities/1281901" TargetMode="External"/><Relationship Id="rId1472" Type="http://schemas.openxmlformats.org/officeDocument/2006/relationships/hyperlink" Target="https://expa.aiesec.org/opportunities/1290053" TargetMode="External"/><Relationship Id="rId642" Type="http://schemas.openxmlformats.org/officeDocument/2006/relationships/hyperlink" Target="https://expa.aiesec.org/opportunities/1285713" TargetMode="External"/><Relationship Id="rId1473" Type="http://schemas.openxmlformats.org/officeDocument/2006/relationships/hyperlink" Target="https://expa.aiesec.org/opportunities/1291634" TargetMode="External"/><Relationship Id="rId641" Type="http://schemas.openxmlformats.org/officeDocument/2006/relationships/hyperlink" Target="https://expa.aiesec.org/opportunities/1290961" TargetMode="External"/><Relationship Id="rId1474" Type="http://schemas.openxmlformats.org/officeDocument/2006/relationships/hyperlink" Target="https://expa.aiesec.org/opportunities/1292793" TargetMode="External"/><Relationship Id="rId640" Type="http://schemas.openxmlformats.org/officeDocument/2006/relationships/hyperlink" Target="https://expa.aiesec.org/opportunities/1283338" TargetMode="External"/><Relationship Id="rId1475" Type="http://schemas.openxmlformats.org/officeDocument/2006/relationships/hyperlink" Target="https://expa.aiesec.org/opportunities/1290260" TargetMode="External"/><Relationship Id="rId1476" Type="http://schemas.openxmlformats.org/officeDocument/2006/relationships/hyperlink" Target="https://expa.aiesec.org/opportunities/1289328" TargetMode="External"/><Relationship Id="rId1466" Type="http://schemas.openxmlformats.org/officeDocument/2006/relationships/hyperlink" Target="https://expa.aiesec.org/opportunities/1288280" TargetMode="External"/><Relationship Id="rId2797" Type="http://schemas.openxmlformats.org/officeDocument/2006/relationships/hyperlink" Target="https://expa.aiesec.org/opportunities/1296464" TargetMode="External"/><Relationship Id="rId1467" Type="http://schemas.openxmlformats.org/officeDocument/2006/relationships/hyperlink" Target="https://expa.aiesec.org/opportunities/1293200" TargetMode="External"/><Relationship Id="rId2798" Type="http://schemas.openxmlformats.org/officeDocument/2006/relationships/hyperlink" Target="https://expa.aiesec.org/opportunities/1259741" TargetMode="External"/><Relationship Id="rId1468" Type="http://schemas.openxmlformats.org/officeDocument/2006/relationships/hyperlink" Target="https://expa.aiesec.org/opportunities/1288280" TargetMode="External"/><Relationship Id="rId2799" Type="http://schemas.openxmlformats.org/officeDocument/2006/relationships/hyperlink" Target="https://expa.aiesec.org/opportunities/1294653" TargetMode="External"/><Relationship Id="rId1469" Type="http://schemas.openxmlformats.org/officeDocument/2006/relationships/hyperlink" Target="https://expa.aiesec.org/opportunities/1290469" TargetMode="External"/><Relationship Id="rId635" Type="http://schemas.openxmlformats.org/officeDocument/2006/relationships/hyperlink" Target="https://expa.aiesec.org/opportunities/1290820" TargetMode="External"/><Relationship Id="rId634" Type="http://schemas.openxmlformats.org/officeDocument/2006/relationships/hyperlink" Target="https://expa.aiesec.org/opportunities/1284077" TargetMode="External"/><Relationship Id="rId633" Type="http://schemas.openxmlformats.org/officeDocument/2006/relationships/hyperlink" Target="https://expa.aiesec.org/opportunities/1290961" TargetMode="External"/><Relationship Id="rId632" Type="http://schemas.openxmlformats.org/officeDocument/2006/relationships/hyperlink" Target="https://expa.aiesec.org/opportunities/1284289" TargetMode="External"/><Relationship Id="rId639" Type="http://schemas.openxmlformats.org/officeDocument/2006/relationships/hyperlink" Target="https://expa.aiesec.org/opportunities/1290798" TargetMode="External"/><Relationship Id="rId638" Type="http://schemas.openxmlformats.org/officeDocument/2006/relationships/hyperlink" Target="https://expa.aiesec.org/opportunities/1286917" TargetMode="External"/><Relationship Id="rId637" Type="http://schemas.openxmlformats.org/officeDocument/2006/relationships/hyperlink" Target="https://expa.aiesec.org/opportunities/1286326" TargetMode="External"/><Relationship Id="rId636" Type="http://schemas.openxmlformats.org/officeDocument/2006/relationships/hyperlink" Target="https://expa.aiesec.org/opportunities/1290820" TargetMode="External"/><Relationship Id="rId2790" Type="http://schemas.openxmlformats.org/officeDocument/2006/relationships/hyperlink" Target="https://expa.aiesec.org/opportunities/1288490" TargetMode="External"/><Relationship Id="rId1460" Type="http://schemas.openxmlformats.org/officeDocument/2006/relationships/hyperlink" Target="https://expa.aiesec.org/opportunities/1289671" TargetMode="External"/><Relationship Id="rId2791" Type="http://schemas.openxmlformats.org/officeDocument/2006/relationships/hyperlink" Target="https://expa.aiesec.org/opportunities/1291606" TargetMode="External"/><Relationship Id="rId1461" Type="http://schemas.openxmlformats.org/officeDocument/2006/relationships/hyperlink" Target="https://expa.aiesec.org/opportunities/1292062" TargetMode="External"/><Relationship Id="rId2792" Type="http://schemas.openxmlformats.org/officeDocument/2006/relationships/hyperlink" Target="https://expa.aiesec.org/opportunities/1296521" TargetMode="External"/><Relationship Id="rId631" Type="http://schemas.openxmlformats.org/officeDocument/2006/relationships/hyperlink" Target="https://expa.aiesec.org/opportunities/1289155" TargetMode="External"/><Relationship Id="rId1462" Type="http://schemas.openxmlformats.org/officeDocument/2006/relationships/hyperlink" Target="https://expa.aiesec.org/opportunities/1285687" TargetMode="External"/><Relationship Id="rId2793" Type="http://schemas.openxmlformats.org/officeDocument/2006/relationships/hyperlink" Target="https://expa.aiesec.org/opportunities/1296818" TargetMode="External"/><Relationship Id="rId630" Type="http://schemas.openxmlformats.org/officeDocument/2006/relationships/hyperlink" Target="https://expa.aiesec.org/opportunities/1289505" TargetMode="External"/><Relationship Id="rId1463" Type="http://schemas.openxmlformats.org/officeDocument/2006/relationships/hyperlink" Target="https://expa.aiesec.org/opportunities/1281414" TargetMode="External"/><Relationship Id="rId2794" Type="http://schemas.openxmlformats.org/officeDocument/2006/relationships/hyperlink" Target="https://expa.aiesec.org/opportunities/1289032" TargetMode="External"/><Relationship Id="rId1464" Type="http://schemas.openxmlformats.org/officeDocument/2006/relationships/hyperlink" Target="https://expa.aiesec.org/opportunities/1293742" TargetMode="External"/><Relationship Id="rId2795" Type="http://schemas.openxmlformats.org/officeDocument/2006/relationships/hyperlink" Target="https://expa.aiesec.org/opportunities/1289174" TargetMode="External"/><Relationship Id="rId1465" Type="http://schemas.openxmlformats.org/officeDocument/2006/relationships/hyperlink" Target="https://expa.aiesec.org/opportunities/1281195" TargetMode="External"/><Relationship Id="rId2796" Type="http://schemas.openxmlformats.org/officeDocument/2006/relationships/hyperlink" Target="https://expa.aiesec.org/opportunities/1288837" TargetMode="External"/><Relationship Id="rId1411" Type="http://schemas.openxmlformats.org/officeDocument/2006/relationships/hyperlink" Target="https://expa.aiesec.org/opportunities/1287101" TargetMode="External"/><Relationship Id="rId2742" Type="http://schemas.openxmlformats.org/officeDocument/2006/relationships/hyperlink" Target="https://expa.aiesec.org/opportunities/1295572" TargetMode="External"/><Relationship Id="rId1412" Type="http://schemas.openxmlformats.org/officeDocument/2006/relationships/hyperlink" Target="https://expa.aiesec.org/opportunities/1288721" TargetMode="External"/><Relationship Id="rId2743" Type="http://schemas.openxmlformats.org/officeDocument/2006/relationships/hyperlink" Target="https://expa.aiesec.org/opportunities/1290682" TargetMode="External"/><Relationship Id="rId1413" Type="http://schemas.openxmlformats.org/officeDocument/2006/relationships/hyperlink" Target="https://expa.aiesec.org/opportunities/1287662" TargetMode="External"/><Relationship Id="rId2744" Type="http://schemas.openxmlformats.org/officeDocument/2006/relationships/hyperlink" Target="https://expa.aiesec.org/opportunities/1294061" TargetMode="External"/><Relationship Id="rId1414" Type="http://schemas.openxmlformats.org/officeDocument/2006/relationships/hyperlink" Target="https://expa.aiesec.org/opportunities/1289536" TargetMode="External"/><Relationship Id="rId2745" Type="http://schemas.openxmlformats.org/officeDocument/2006/relationships/hyperlink" Target="https://expa.aiesec.org/opportunities/1295893" TargetMode="External"/><Relationship Id="rId1415" Type="http://schemas.openxmlformats.org/officeDocument/2006/relationships/hyperlink" Target="https://expa.aiesec.org/opportunities/1286920" TargetMode="External"/><Relationship Id="rId2746" Type="http://schemas.openxmlformats.org/officeDocument/2006/relationships/hyperlink" Target="https://expa.aiesec.org/opportunities/1287702" TargetMode="External"/><Relationship Id="rId1416" Type="http://schemas.openxmlformats.org/officeDocument/2006/relationships/hyperlink" Target="https://expa.aiesec.org/opportunities/1289536" TargetMode="External"/><Relationship Id="rId2747" Type="http://schemas.openxmlformats.org/officeDocument/2006/relationships/hyperlink" Target="https://expa.aiesec.org/opportunities/1262994" TargetMode="External"/><Relationship Id="rId1417" Type="http://schemas.openxmlformats.org/officeDocument/2006/relationships/hyperlink" Target="https://expa.aiesec.org/opportunities/1290282" TargetMode="External"/><Relationship Id="rId2748" Type="http://schemas.openxmlformats.org/officeDocument/2006/relationships/hyperlink" Target="https://expa.aiesec.org/opportunities/1292579" TargetMode="External"/><Relationship Id="rId1418" Type="http://schemas.openxmlformats.org/officeDocument/2006/relationships/hyperlink" Target="https://expa.aiesec.org/opportunities/1290282" TargetMode="External"/><Relationship Id="rId2749" Type="http://schemas.openxmlformats.org/officeDocument/2006/relationships/hyperlink" Target="https://expa.aiesec.org/opportunities/1294209" TargetMode="External"/><Relationship Id="rId1419" Type="http://schemas.openxmlformats.org/officeDocument/2006/relationships/hyperlink" Target="https://expa.aiesec.org/opportunities/1286585" TargetMode="External"/><Relationship Id="rId2740" Type="http://schemas.openxmlformats.org/officeDocument/2006/relationships/hyperlink" Target="https://expa.aiesec.org/opportunities/1295572" TargetMode="External"/><Relationship Id="rId1410" Type="http://schemas.openxmlformats.org/officeDocument/2006/relationships/hyperlink" Target="https://expa.aiesec.org/opportunities/1290673" TargetMode="External"/><Relationship Id="rId2741" Type="http://schemas.openxmlformats.org/officeDocument/2006/relationships/hyperlink" Target="https://expa.aiesec.org/opportunities/1295572" TargetMode="External"/><Relationship Id="rId1400" Type="http://schemas.openxmlformats.org/officeDocument/2006/relationships/hyperlink" Target="https://expa.aiesec.org/opportunities/1292535" TargetMode="External"/><Relationship Id="rId2731" Type="http://schemas.openxmlformats.org/officeDocument/2006/relationships/hyperlink" Target="https://expa.aiesec.org/opportunities/1294209" TargetMode="External"/><Relationship Id="rId1401" Type="http://schemas.openxmlformats.org/officeDocument/2006/relationships/hyperlink" Target="https://expa.aiesec.org/opportunities/1293203" TargetMode="External"/><Relationship Id="rId2732" Type="http://schemas.openxmlformats.org/officeDocument/2006/relationships/hyperlink" Target="https://expa.aiesec.org/opportunities/1295982" TargetMode="External"/><Relationship Id="rId1402" Type="http://schemas.openxmlformats.org/officeDocument/2006/relationships/hyperlink" Target="https://expa.aiesec.org/opportunities/1288245" TargetMode="External"/><Relationship Id="rId2733" Type="http://schemas.openxmlformats.org/officeDocument/2006/relationships/hyperlink" Target="https://expa.aiesec.org/opportunities/1296101" TargetMode="External"/><Relationship Id="rId1403" Type="http://schemas.openxmlformats.org/officeDocument/2006/relationships/hyperlink" Target="https://expa.aiesec.org/opportunities/1289255" TargetMode="External"/><Relationship Id="rId2734" Type="http://schemas.openxmlformats.org/officeDocument/2006/relationships/hyperlink" Target="https://expa.aiesec.org/opportunities/1296477" TargetMode="External"/><Relationship Id="rId1404" Type="http://schemas.openxmlformats.org/officeDocument/2006/relationships/hyperlink" Target="https://expa.aiesec.org/opportunities/1293495" TargetMode="External"/><Relationship Id="rId2735" Type="http://schemas.openxmlformats.org/officeDocument/2006/relationships/hyperlink" Target="https://expa.aiesec.org/opportunities/1295042" TargetMode="External"/><Relationship Id="rId1405" Type="http://schemas.openxmlformats.org/officeDocument/2006/relationships/hyperlink" Target="https://expa.aiesec.org/opportunities/1288721" TargetMode="External"/><Relationship Id="rId2736" Type="http://schemas.openxmlformats.org/officeDocument/2006/relationships/hyperlink" Target="https://expa.aiesec.org/opportunities/1295042" TargetMode="External"/><Relationship Id="rId1406" Type="http://schemas.openxmlformats.org/officeDocument/2006/relationships/hyperlink" Target="https://expa.aiesec.org/opportunities/1292793" TargetMode="External"/><Relationship Id="rId2737" Type="http://schemas.openxmlformats.org/officeDocument/2006/relationships/hyperlink" Target="https://expa.aiesec.org/opportunities/1296994" TargetMode="External"/><Relationship Id="rId1407" Type="http://schemas.openxmlformats.org/officeDocument/2006/relationships/hyperlink" Target="https://expa.aiesec.org/opportunities/1292793" TargetMode="External"/><Relationship Id="rId2738" Type="http://schemas.openxmlformats.org/officeDocument/2006/relationships/hyperlink" Target="https://expa.aiesec.org/opportunities/1296317" TargetMode="External"/><Relationship Id="rId1408" Type="http://schemas.openxmlformats.org/officeDocument/2006/relationships/hyperlink" Target="https://expa.aiesec.org/opportunities/1292847" TargetMode="External"/><Relationship Id="rId2739" Type="http://schemas.openxmlformats.org/officeDocument/2006/relationships/hyperlink" Target="https://expa.aiesec.org/opportunities/1294662" TargetMode="External"/><Relationship Id="rId1409" Type="http://schemas.openxmlformats.org/officeDocument/2006/relationships/hyperlink" Target="https://expa.aiesec.org/opportunities/1292793" TargetMode="External"/><Relationship Id="rId2730" Type="http://schemas.openxmlformats.org/officeDocument/2006/relationships/hyperlink" Target="https://expa.aiesec.org/opportunities/1294209" TargetMode="External"/><Relationship Id="rId1433" Type="http://schemas.openxmlformats.org/officeDocument/2006/relationships/hyperlink" Target="https://expa.aiesec.org/opportunities/1287662" TargetMode="External"/><Relationship Id="rId2764" Type="http://schemas.openxmlformats.org/officeDocument/2006/relationships/hyperlink" Target="https://expa.aiesec.org/opportunities/1290024" TargetMode="External"/><Relationship Id="rId1434" Type="http://schemas.openxmlformats.org/officeDocument/2006/relationships/hyperlink" Target="https://expa.aiesec.org/opportunities/1287662" TargetMode="External"/><Relationship Id="rId2765" Type="http://schemas.openxmlformats.org/officeDocument/2006/relationships/hyperlink" Target="https://expa.aiesec.org/opportunities/1295149" TargetMode="External"/><Relationship Id="rId1435" Type="http://schemas.openxmlformats.org/officeDocument/2006/relationships/hyperlink" Target="https://expa.aiesec.org/opportunities/1293138" TargetMode="External"/><Relationship Id="rId2766" Type="http://schemas.openxmlformats.org/officeDocument/2006/relationships/hyperlink" Target="https://expa.aiesec.org/opportunities/1294332" TargetMode="External"/><Relationship Id="rId1436" Type="http://schemas.openxmlformats.org/officeDocument/2006/relationships/hyperlink" Target="https://expa.aiesec.org/opportunities/1289255" TargetMode="External"/><Relationship Id="rId2767" Type="http://schemas.openxmlformats.org/officeDocument/2006/relationships/hyperlink" Target="https://expa.aiesec.org/opportunities/1294332" TargetMode="External"/><Relationship Id="rId1437" Type="http://schemas.openxmlformats.org/officeDocument/2006/relationships/hyperlink" Target="https://expa.aiesec.org/opportunities/1293125" TargetMode="External"/><Relationship Id="rId2768" Type="http://schemas.openxmlformats.org/officeDocument/2006/relationships/hyperlink" Target="https://expa.aiesec.org/opportunities/1288871" TargetMode="External"/><Relationship Id="rId1438" Type="http://schemas.openxmlformats.org/officeDocument/2006/relationships/hyperlink" Target="https://expa.aiesec.org/opportunities/1287942" TargetMode="External"/><Relationship Id="rId2769" Type="http://schemas.openxmlformats.org/officeDocument/2006/relationships/hyperlink" Target="https://expa.aiesec.org/opportunities/1297133" TargetMode="External"/><Relationship Id="rId1439" Type="http://schemas.openxmlformats.org/officeDocument/2006/relationships/hyperlink" Target="https://expa.aiesec.org/opportunities/1289161" TargetMode="External"/><Relationship Id="rId609" Type="http://schemas.openxmlformats.org/officeDocument/2006/relationships/hyperlink" Target="https://expa.aiesec.org/opportunities/1290742" TargetMode="External"/><Relationship Id="rId608" Type="http://schemas.openxmlformats.org/officeDocument/2006/relationships/hyperlink" Target="https://expa.aiesec.org/opportunities/1288937" TargetMode="External"/><Relationship Id="rId607" Type="http://schemas.openxmlformats.org/officeDocument/2006/relationships/hyperlink" Target="https://expa.aiesec.org/opportunities/1284077" TargetMode="External"/><Relationship Id="rId602" Type="http://schemas.openxmlformats.org/officeDocument/2006/relationships/hyperlink" Target="https://expa.aiesec.org/opportunities/1290444" TargetMode="External"/><Relationship Id="rId601" Type="http://schemas.openxmlformats.org/officeDocument/2006/relationships/hyperlink" Target="https://expa.aiesec.org/opportunities/1284125" TargetMode="External"/><Relationship Id="rId600" Type="http://schemas.openxmlformats.org/officeDocument/2006/relationships/hyperlink" Target="https://expa.aiesec.org/opportunities/1286326" TargetMode="External"/><Relationship Id="rId606" Type="http://schemas.openxmlformats.org/officeDocument/2006/relationships/hyperlink" Target="https://expa.aiesec.org/opportunities/1290677" TargetMode="External"/><Relationship Id="rId605" Type="http://schemas.openxmlformats.org/officeDocument/2006/relationships/hyperlink" Target="https://expa.aiesec.org/opportunities/1283483" TargetMode="External"/><Relationship Id="rId604" Type="http://schemas.openxmlformats.org/officeDocument/2006/relationships/hyperlink" Target="https://expa.aiesec.org/opportunities/1288991" TargetMode="External"/><Relationship Id="rId603" Type="http://schemas.openxmlformats.org/officeDocument/2006/relationships/hyperlink" Target="https://expa.aiesec.org/opportunities/1289564" TargetMode="External"/><Relationship Id="rId2760" Type="http://schemas.openxmlformats.org/officeDocument/2006/relationships/hyperlink" Target="https://expa.aiesec.org/opportunities/1289536" TargetMode="External"/><Relationship Id="rId1430" Type="http://schemas.openxmlformats.org/officeDocument/2006/relationships/hyperlink" Target="https://expa.aiesec.org/opportunities/1289536" TargetMode="External"/><Relationship Id="rId2761" Type="http://schemas.openxmlformats.org/officeDocument/2006/relationships/hyperlink" Target="https://expa.aiesec.org/opportunities/1296103" TargetMode="External"/><Relationship Id="rId1431" Type="http://schemas.openxmlformats.org/officeDocument/2006/relationships/hyperlink" Target="https://expa.aiesec.org/opportunities/1292396" TargetMode="External"/><Relationship Id="rId2762" Type="http://schemas.openxmlformats.org/officeDocument/2006/relationships/hyperlink" Target="https://expa.aiesec.org/opportunities/1288609" TargetMode="External"/><Relationship Id="rId1432" Type="http://schemas.openxmlformats.org/officeDocument/2006/relationships/hyperlink" Target="https://expa.aiesec.org/opportunities/1286920" TargetMode="External"/><Relationship Id="rId2763" Type="http://schemas.openxmlformats.org/officeDocument/2006/relationships/hyperlink" Target="https://expa.aiesec.org/opportunities/1289505" TargetMode="External"/><Relationship Id="rId1422" Type="http://schemas.openxmlformats.org/officeDocument/2006/relationships/hyperlink" Target="https://expa.aiesec.org/opportunities/1292157" TargetMode="External"/><Relationship Id="rId2753" Type="http://schemas.openxmlformats.org/officeDocument/2006/relationships/hyperlink" Target="https://expa.aiesec.org/opportunities/1295728" TargetMode="External"/><Relationship Id="rId1423" Type="http://schemas.openxmlformats.org/officeDocument/2006/relationships/hyperlink" Target="https://expa.aiesec.org/opportunities/1286958" TargetMode="External"/><Relationship Id="rId2754" Type="http://schemas.openxmlformats.org/officeDocument/2006/relationships/hyperlink" Target="https://expa.aiesec.org/opportunities/1287210" TargetMode="External"/><Relationship Id="rId1424" Type="http://schemas.openxmlformats.org/officeDocument/2006/relationships/hyperlink" Target="https://expa.aiesec.org/opportunities/1293333" TargetMode="External"/><Relationship Id="rId2755" Type="http://schemas.openxmlformats.org/officeDocument/2006/relationships/hyperlink" Target="https://expa.aiesec.org/opportunities/1287210" TargetMode="External"/><Relationship Id="rId1425" Type="http://schemas.openxmlformats.org/officeDocument/2006/relationships/hyperlink" Target="https://expa.aiesec.org/opportunities/1292793" TargetMode="External"/><Relationship Id="rId2756" Type="http://schemas.openxmlformats.org/officeDocument/2006/relationships/hyperlink" Target="https://expa.aiesec.org/opportunities/1296670" TargetMode="External"/><Relationship Id="rId1426" Type="http://schemas.openxmlformats.org/officeDocument/2006/relationships/hyperlink" Target="https://expa.aiesec.org/opportunities/1287708" TargetMode="External"/><Relationship Id="rId2757" Type="http://schemas.openxmlformats.org/officeDocument/2006/relationships/hyperlink" Target="https://expa.aiesec.org/opportunities/1288989" TargetMode="External"/><Relationship Id="rId1427" Type="http://schemas.openxmlformats.org/officeDocument/2006/relationships/hyperlink" Target="https://expa.aiesec.org/opportunities/1289255" TargetMode="External"/><Relationship Id="rId2758" Type="http://schemas.openxmlformats.org/officeDocument/2006/relationships/hyperlink" Target="https://expa.aiesec.org/opportunities/1296427" TargetMode="External"/><Relationship Id="rId1428" Type="http://schemas.openxmlformats.org/officeDocument/2006/relationships/hyperlink" Target="https://expa.aiesec.org/opportunities/1293586" TargetMode="External"/><Relationship Id="rId2759" Type="http://schemas.openxmlformats.org/officeDocument/2006/relationships/hyperlink" Target="https://expa.aiesec.org/opportunities/1294537" TargetMode="External"/><Relationship Id="rId1429" Type="http://schemas.openxmlformats.org/officeDocument/2006/relationships/hyperlink" Target="https://expa.aiesec.org/opportunities/1293548" TargetMode="External"/><Relationship Id="rId2750" Type="http://schemas.openxmlformats.org/officeDocument/2006/relationships/hyperlink" Target="https://expa.aiesec.org/opportunities/1294209" TargetMode="External"/><Relationship Id="rId1420" Type="http://schemas.openxmlformats.org/officeDocument/2006/relationships/hyperlink" Target="https://expa.aiesec.org/opportunities/1288414" TargetMode="External"/><Relationship Id="rId2751" Type="http://schemas.openxmlformats.org/officeDocument/2006/relationships/hyperlink" Target="https://expa.aiesec.org/opportunities/1286368" TargetMode="External"/><Relationship Id="rId1421" Type="http://schemas.openxmlformats.org/officeDocument/2006/relationships/hyperlink" Target="https://expa.aiesec.org/opportunities/1283991" TargetMode="External"/><Relationship Id="rId2752" Type="http://schemas.openxmlformats.org/officeDocument/2006/relationships/hyperlink" Target="https://expa.aiesec.org/opportunities/1296816" TargetMode="External"/><Relationship Id="rId3238" Type="http://schemas.openxmlformats.org/officeDocument/2006/relationships/hyperlink" Target="https://expa.aiesec.org/opportunities/1298284" TargetMode="External"/><Relationship Id="rId3237" Type="http://schemas.openxmlformats.org/officeDocument/2006/relationships/hyperlink" Target="https://expa.aiesec.org/opportunities/1296625" TargetMode="External"/><Relationship Id="rId3239" Type="http://schemas.openxmlformats.org/officeDocument/2006/relationships/hyperlink" Target="https://expa.aiesec.org/opportunities/1291200" TargetMode="External"/><Relationship Id="rId3230" Type="http://schemas.openxmlformats.org/officeDocument/2006/relationships/hyperlink" Target="https://expa.aiesec.org/opportunities/1289850" TargetMode="External"/><Relationship Id="rId3232" Type="http://schemas.openxmlformats.org/officeDocument/2006/relationships/hyperlink" Target="https://expa.aiesec.org/opportunities/1272564" TargetMode="External"/><Relationship Id="rId3231" Type="http://schemas.openxmlformats.org/officeDocument/2006/relationships/hyperlink" Target="https://expa.aiesec.org/opportunities/1296670" TargetMode="External"/><Relationship Id="rId3234" Type="http://schemas.openxmlformats.org/officeDocument/2006/relationships/hyperlink" Target="https://expa.aiesec.org/opportunities/1285088" TargetMode="External"/><Relationship Id="rId3233" Type="http://schemas.openxmlformats.org/officeDocument/2006/relationships/hyperlink" Target="https://expa.aiesec.org/opportunities/1299622" TargetMode="External"/><Relationship Id="rId3236" Type="http://schemas.openxmlformats.org/officeDocument/2006/relationships/hyperlink" Target="https://expa.aiesec.org/opportunities/1291375" TargetMode="External"/><Relationship Id="rId3235" Type="http://schemas.openxmlformats.org/officeDocument/2006/relationships/hyperlink" Target="https://expa.aiesec.org/opportunities/1294473" TargetMode="External"/><Relationship Id="rId3227" Type="http://schemas.openxmlformats.org/officeDocument/2006/relationships/hyperlink" Target="https://expa.aiesec.org/opportunities/1298937" TargetMode="External"/><Relationship Id="rId3226" Type="http://schemas.openxmlformats.org/officeDocument/2006/relationships/hyperlink" Target="https://expa.aiesec.org/opportunities/1289378" TargetMode="External"/><Relationship Id="rId3229" Type="http://schemas.openxmlformats.org/officeDocument/2006/relationships/hyperlink" Target="https://expa.aiesec.org/opportunities/1289850" TargetMode="External"/><Relationship Id="rId3228" Type="http://schemas.openxmlformats.org/officeDocument/2006/relationships/hyperlink" Target="https://expa.aiesec.org/opportunities/1298406" TargetMode="External"/><Relationship Id="rId699" Type="http://schemas.openxmlformats.org/officeDocument/2006/relationships/hyperlink" Target="https://expa.aiesec.org/opportunities/1290210" TargetMode="External"/><Relationship Id="rId698" Type="http://schemas.openxmlformats.org/officeDocument/2006/relationships/hyperlink" Target="https://expa.aiesec.org/opportunities/1287101" TargetMode="External"/><Relationship Id="rId693" Type="http://schemas.openxmlformats.org/officeDocument/2006/relationships/hyperlink" Target="https://expa.aiesec.org/opportunities/1288609" TargetMode="External"/><Relationship Id="rId692" Type="http://schemas.openxmlformats.org/officeDocument/2006/relationships/hyperlink" Target="https://expa.aiesec.org/opportunities/1288911" TargetMode="External"/><Relationship Id="rId691" Type="http://schemas.openxmlformats.org/officeDocument/2006/relationships/hyperlink" Target="https://expa.aiesec.org/opportunities/1288280" TargetMode="External"/><Relationship Id="rId3221" Type="http://schemas.openxmlformats.org/officeDocument/2006/relationships/hyperlink" Target="https://expa.aiesec.org/opportunities/1299605" TargetMode="External"/><Relationship Id="rId690" Type="http://schemas.openxmlformats.org/officeDocument/2006/relationships/hyperlink" Target="https://expa.aiesec.org/opportunities/1288951" TargetMode="External"/><Relationship Id="rId3220" Type="http://schemas.openxmlformats.org/officeDocument/2006/relationships/hyperlink" Target="https://expa.aiesec.org/opportunities/1299359" TargetMode="External"/><Relationship Id="rId697" Type="http://schemas.openxmlformats.org/officeDocument/2006/relationships/hyperlink" Target="https://expa.aiesec.org/opportunities/1290425" TargetMode="External"/><Relationship Id="rId3223" Type="http://schemas.openxmlformats.org/officeDocument/2006/relationships/hyperlink" Target="https://expa.aiesec.org/opportunities/1298284" TargetMode="External"/><Relationship Id="rId696" Type="http://schemas.openxmlformats.org/officeDocument/2006/relationships/hyperlink" Target="https://expa.aiesec.org/opportunities/1286034" TargetMode="External"/><Relationship Id="rId3222" Type="http://schemas.openxmlformats.org/officeDocument/2006/relationships/hyperlink" Target="https://expa.aiesec.org/opportunities/1295453" TargetMode="External"/><Relationship Id="rId695" Type="http://schemas.openxmlformats.org/officeDocument/2006/relationships/hyperlink" Target="https://expa.aiesec.org/opportunities/1286034" TargetMode="External"/><Relationship Id="rId3225" Type="http://schemas.openxmlformats.org/officeDocument/2006/relationships/hyperlink" Target="https://expa.aiesec.org/opportunities/1288201" TargetMode="External"/><Relationship Id="rId694" Type="http://schemas.openxmlformats.org/officeDocument/2006/relationships/hyperlink" Target="https://expa.aiesec.org/opportunities/1287987" TargetMode="External"/><Relationship Id="rId3224" Type="http://schemas.openxmlformats.org/officeDocument/2006/relationships/hyperlink" Target="https://expa.aiesec.org/opportunities/1298556" TargetMode="External"/><Relationship Id="rId3259" Type="http://schemas.openxmlformats.org/officeDocument/2006/relationships/hyperlink" Target="https://expa.aiesec.org/opportunities/1295312" TargetMode="External"/><Relationship Id="rId3250" Type="http://schemas.openxmlformats.org/officeDocument/2006/relationships/hyperlink" Target="https://expa.aiesec.org/opportunities/1297843" TargetMode="External"/><Relationship Id="rId3252" Type="http://schemas.openxmlformats.org/officeDocument/2006/relationships/hyperlink" Target="https://expa.aiesec.org/opportunities/1289347" TargetMode="External"/><Relationship Id="rId3251" Type="http://schemas.openxmlformats.org/officeDocument/2006/relationships/hyperlink" Target="https://expa.aiesec.org/opportunities/1298571" TargetMode="External"/><Relationship Id="rId3254" Type="http://schemas.openxmlformats.org/officeDocument/2006/relationships/hyperlink" Target="https://expa.aiesec.org/opportunities/1286381" TargetMode="External"/><Relationship Id="rId3253" Type="http://schemas.openxmlformats.org/officeDocument/2006/relationships/hyperlink" Target="https://expa.aiesec.org/opportunities/1299049" TargetMode="External"/><Relationship Id="rId3256" Type="http://schemas.openxmlformats.org/officeDocument/2006/relationships/hyperlink" Target="https://expa.aiesec.org/opportunities/1272564" TargetMode="External"/><Relationship Id="rId3255" Type="http://schemas.openxmlformats.org/officeDocument/2006/relationships/hyperlink" Target="https://expa.aiesec.org/opportunities/1286326" TargetMode="External"/><Relationship Id="rId3258" Type="http://schemas.openxmlformats.org/officeDocument/2006/relationships/hyperlink" Target="https://expa.aiesec.org/opportunities/1298284" TargetMode="External"/><Relationship Id="rId3257" Type="http://schemas.openxmlformats.org/officeDocument/2006/relationships/hyperlink" Target="https://expa.aiesec.org/opportunities/1272564" TargetMode="External"/><Relationship Id="rId3249" Type="http://schemas.openxmlformats.org/officeDocument/2006/relationships/hyperlink" Target="https://expa.aiesec.org/opportunities/1298571" TargetMode="External"/><Relationship Id="rId3248" Type="http://schemas.openxmlformats.org/officeDocument/2006/relationships/hyperlink" Target="https://expa.aiesec.org/opportunities/1289536" TargetMode="External"/><Relationship Id="rId3241" Type="http://schemas.openxmlformats.org/officeDocument/2006/relationships/hyperlink" Target="https://expa.aiesec.org/opportunities/1295893" TargetMode="External"/><Relationship Id="rId3240" Type="http://schemas.openxmlformats.org/officeDocument/2006/relationships/hyperlink" Target="https://expa.aiesec.org/opportunities/1294232" TargetMode="External"/><Relationship Id="rId3243" Type="http://schemas.openxmlformats.org/officeDocument/2006/relationships/hyperlink" Target="https://expa.aiesec.org/opportunities/1298887" TargetMode="External"/><Relationship Id="rId3242" Type="http://schemas.openxmlformats.org/officeDocument/2006/relationships/hyperlink" Target="https://expa.aiesec.org/opportunities/1293480" TargetMode="External"/><Relationship Id="rId3245" Type="http://schemas.openxmlformats.org/officeDocument/2006/relationships/hyperlink" Target="https://expa.aiesec.org/opportunities/1299131" TargetMode="External"/><Relationship Id="rId3244" Type="http://schemas.openxmlformats.org/officeDocument/2006/relationships/hyperlink" Target="https://expa.aiesec.org/opportunities/1286368" TargetMode="External"/><Relationship Id="rId3247" Type="http://schemas.openxmlformats.org/officeDocument/2006/relationships/hyperlink" Target="https://expa.aiesec.org/opportunities/1298282" TargetMode="External"/><Relationship Id="rId3246" Type="http://schemas.openxmlformats.org/officeDocument/2006/relationships/hyperlink" Target="https://expa.aiesec.org/opportunities/1298598" TargetMode="External"/><Relationship Id="rId1499" Type="http://schemas.openxmlformats.org/officeDocument/2006/relationships/hyperlink" Target="https://expa.aiesec.org/opportunities/1293680" TargetMode="External"/><Relationship Id="rId668" Type="http://schemas.openxmlformats.org/officeDocument/2006/relationships/hyperlink" Target="https://expa.aiesec.org/opportunities/1284447" TargetMode="External"/><Relationship Id="rId667" Type="http://schemas.openxmlformats.org/officeDocument/2006/relationships/hyperlink" Target="https://expa.aiesec.org/opportunities/1288663" TargetMode="External"/><Relationship Id="rId666" Type="http://schemas.openxmlformats.org/officeDocument/2006/relationships/hyperlink" Target="https://expa.aiesec.org/opportunities/1290156" TargetMode="External"/><Relationship Id="rId665" Type="http://schemas.openxmlformats.org/officeDocument/2006/relationships/hyperlink" Target="https://expa.aiesec.org/opportunities/1290210" TargetMode="External"/><Relationship Id="rId669" Type="http://schemas.openxmlformats.org/officeDocument/2006/relationships/hyperlink" Target="https://expa.aiesec.org/opportunities/1286442" TargetMode="External"/><Relationship Id="rId1490" Type="http://schemas.openxmlformats.org/officeDocument/2006/relationships/hyperlink" Target="https://expa.aiesec.org/opportunities/1291648" TargetMode="External"/><Relationship Id="rId660" Type="http://schemas.openxmlformats.org/officeDocument/2006/relationships/hyperlink" Target="https://expa.aiesec.org/opportunities/1286312" TargetMode="External"/><Relationship Id="rId1491" Type="http://schemas.openxmlformats.org/officeDocument/2006/relationships/hyperlink" Target="https://expa.aiesec.org/opportunities/1292571" TargetMode="External"/><Relationship Id="rId1492" Type="http://schemas.openxmlformats.org/officeDocument/2006/relationships/hyperlink" Target="https://expa.aiesec.org/opportunities/1293245" TargetMode="External"/><Relationship Id="rId1493" Type="http://schemas.openxmlformats.org/officeDocument/2006/relationships/hyperlink" Target="https://expa.aiesec.org/opportunities/1293245" TargetMode="External"/><Relationship Id="rId1494" Type="http://schemas.openxmlformats.org/officeDocument/2006/relationships/hyperlink" Target="https://expa.aiesec.org/opportunities/1293835" TargetMode="External"/><Relationship Id="rId664" Type="http://schemas.openxmlformats.org/officeDocument/2006/relationships/hyperlink" Target="https://expa.aiesec.org/opportunities/1287966" TargetMode="External"/><Relationship Id="rId1495" Type="http://schemas.openxmlformats.org/officeDocument/2006/relationships/hyperlink" Target="https://expa.aiesec.org/opportunities/1289536" TargetMode="External"/><Relationship Id="rId663" Type="http://schemas.openxmlformats.org/officeDocument/2006/relationships/hyperlink" Target="https://expa.aiesec.org/opportunities/1288973" TargetMode="External"/><Relationship Id="rId1496" Type="http://schemas.openxmlformats.org/officeDocument/2006/relationships/hyperlink" Target="https://expa.aiesec.org/opportunities/1292556" TargetMode="External"/><Relationship Id="rId662" Type="http://schemas.openxmlformats.org/officeDocument/2006/relationships/hyperlink" Target="https://expa.aiesec.org/opportunities/1287708" TargetMode="External"/><Relationship Id="rId1497" Type="http://schemas.openxmlformats.org/officeDocument/2006/relationships/hyperlink" Target="https://expa.aiesec.org/opportunities/1293495" TargetMode="External"/><Relationship Id="rId661" Type="http://schemas.openxmlformats.org/officeDocument/2006/relationships/hyperlink" Target="https://expa.aiesec.org/opportunities/1284670" TargetMode="External"/><Relationship Id="rId1498" Type="http://schemas.openxmlformats.org/officeDocument/2006/relationships/hyperlink" Target="https://expa.aiesec.org/opportunities/1291929" TargetMode="External"/><Relationship Id="rId1488" Type="http://schemas.openxmlformats.org/officeDocument/2006/relationships/hyperlink" Target="https://expa.aiesec.org/opportunities/1293611" TargetMode="External"/><Relationship Id="rId1489" Type="http://schemas.openxmlformats.org/officeDocument/2006/relationships/hyperlink" Target="https://expa.aiesec.org/opportunities/1292571" TargetMode="External"/><Relationship Id="rId657" Type="http://schemas.openxmlformats.org/officeDocument/2006/relationships/hyperlink" Target="https://expa.aiesec.org/opportunities/1286821" TargetMode="External"/><Relationship Id="rId656" Type="http://schemas.openxmlformats.org/officeDocument/2006/relationships/hyperlink" Target="https://expa.aiesec.org/opportunities/1288497" TargetMode="External"/><Relationship Id="rId655" Type="http://schemas.openxmlformats.org/officeDocument/2006/relationships/hyperlink" Target="https://expa.aiesec.org/opportunities/1290646" TargetMode="External"/><Relationship Id="rId654" Type="http://schemas.openxmlformats.org/officeDocument/2006/relationships/hyperlink" Target="https://expa.aiesec.org/opportunities/1290024" TargetMode="External"/><Relationship Id="rId659" Type="http://schemas.openxmlformats.org/officeDocument/2006/relationships/hyperlink" Target="https://expa.aiesec.org/opportunities/1289505" TargetMode="External"/><Relationship Id="rId658" Type="http://schemas.openxmlformats.org/officeDocument/2006/relationships/hyperlink" Target="https://expa.aiesec.org/opportunities/1284831" TargetMode="External"/><Relationship Id="rId1480" Type="http://schemas.openxmlformats.org/officeDocument/2006/relationships/hyperlink" Target="https://expa.aiesec.org/opportunities/1287488" TargetMode="External"/><Relationship Id="rId1481" Type="http://schemas.openxmlformats.org/officeDocument/2006/relationships/hyperlink" Target="https://expa.aiesec.org/opportunities/1288663" TargetMode="External"/><Relationship Id="rId1482" Type="http://schemas.openxmlformats.org/officeDocument/2006/relationships/hyperlink" Target="https://expa.aiesec.org/opportunities/1288663" TargetMode="External"/><Relationship Id="rId1483" Type="http://schemas.openxmlformats.org/officeDocument/2006/relationships/hyperlink" Target="https://expa.aiesec.org/opportunities/1292557" TargetMode="External"/><Relationship Id="rId653" Type="http://schemas.openxmlformats.org/officeDocument/2006/relationships/hyperlink" Target="https://expa.aiesec.org/opportunities/1277333" TargetMode="External"/><Relationship Id="rId1484" Type="http://schemas.openxmlformats.org/officeDocument/2006/relationships/hyperlink" Target="https://expa.aiesec.org/opportunities/1291055" TargetMode="External"/><Relationship Id="rId652" Type="http://schemas.openxmlformats.org/officeDocument/2006/relationships/hyperlink" Target="https://expa.aiesec.org/opportunities/1289228" TargetMode="External"/><Relationship Id="rId1485" Type="http://schemas.openxmlformats.org/officeDocument/2006/relationships/hyperlink" Target="https://expa.aiesec.org/opportunities/1292557" TargetMode="External"/><Relationship Id="rId651" Type="http://schemas.openxmlformats.org/officeDocument/2006/relationships/hyperlink" Target="https://expa.aiesec.org/opportunities/1285020" TargetMode="External"/><Relationship Id="rId1486" Type="http://schemas.openxmlformats.org/officeDocument/2006/relationships/hyperlink" Target="https://expa.aiesec.org/opportunities/1292571" TargetMode="External"/><Relationship Id="rId650" Type="http://schemas.openxmlformats.org/officeDocument/2006/relationships/hyperlink" Target="https://expa.aiesec.org/opportunities/1284670" TargetMode="External"/><Relationship Id="rId1487" Type="http://schemas.openxmlformats.org/officeDocument/2006/relationships/hyperlink" Target="https://expa.aiesec.org/opportunities/1289829" TargetMode="External"/><Relationship Id="rId3216" Type="http://schemas.openxmlformats.org/officeDocument/2006/relationships/hyperlink" Target="https://expa.aiesec.org/opportunities/1299359" TargetMode="External"/><Relationship Id="rId3215" Type="http://schemas.openxmlformats.org/officeDocument/2006/relationships/hyperlink" Target="https://expa.aiesec.org/opportunities/1296037" TargetMode="External"/><Relationship Id="rId3218" Type="http://schemas.openxmlformats.org/officeDocument/2006/relationships/hyperlink" Target="https://expa.aiesec.org/opportunities/1287488" TargetMode="External"/><Relationship Id="rId3217" Type="http://schemas.openxmlformats.org/officeDocument/2006/relationships/hyperlink" Target="https://expa.aiesec.org/opportunities/1292767" TargetMode="External"/><Relationship Id="rId3219" Type="http://schemas.openxmlformats.org/officeDocument/2006/relationships/hyperlink" Target="https://expa.aiesec.org/opportunities/1299172" TargetMode="External"/><Relationship Id="rId689" Type="http://schemas.openxmlformats.org/officeDocument/2006/relationships/hyperlink" Target="https://expa.aiesec.org/opportunities/1288412" TargetMode="External"/><Relationship Id="rId688" Type="http://schemas.openxmlformats.org/officeDocument/2006/relationships/hyperlink" Target="https://expa.aiesec.org/opportunities/1281195" TargetMode="External"/><Relationship Id="rId687" Type="http://schemas.openxmlformats.org/officeDocument/2006/relationships/hyperlink" Target="https://expa.aiesec.org/opportunities/1287966" TargetMode="External"/><Relationship Id="rId682" Type="http://schemas.openxmlformats.org/officeDocument/2006/relationships/hyperlink" Target="https://expa.aiesec.org/opportunities/1283483" TargetMode="External"/><Relationship Id="rId681" Type="http://schemas.openxmlformats.org/officeDocument/2006/relationships/hyperlink" Target="https://expa.aiesec.org/opportunities/1290236" TargetMode="External"/><Relationship Id="rId680" Type="http://schemas.openxmlformats.org/officeDocument/2006/relationships/hyperlink" Target="https://expa.aiesec.org/opportunities/1281101" TargetMode="External"/><Relationship Id="rId3210" Type="http://schemas.openxmlformats.org/officeDocument/2006/relationships/hyperlink" Target="https://expa.aiesec.org/opportunities/1272564" TargetMode="External"/><Relationship Id="rId686" Type="http://schemas.openxmlformats.org/officeDocument/2006/relationships/hyperlink" Target="https://expa.aiesec.org/opportunities/1290876" TargetMode="External"/><Relationship Id="rId3212" Type="http://schemas.openxmlformats.org/officeDocument/2006/relationships/hyperlink" Target="https://expa.aiesec.org/opportunities/1287132" TargetMode="External"/><Relationship Id="rId685" Type="http://schemas.openxmlformats.org/officeDocument/2006/relationships/hyperlink" Target="https://expa.aiesec.org/opportunities/1286059" TargetMode="External"/><Relationship Id="rId3211" Type="http://schemas.openxmlformats.org/officeDocument/2006/relationships/hyperlink" Target="https://expa.aiesec.org/opportunities/1295453" TargetMode="External"/><Relationship Id="rId684" Type="http://schemas.openxmlformats.org/officeDocument/2006/relationships/hyperlink" Target="https://expa.aiesec.org/opportunities/1290024" TargetMode="External"/><Relationship Id="rId3214" Type="http://schemas.openxmlformats.org/officeDocument/2006/relationships/hyperlink" Target="https://expa.aiesec.org/opportunities/1298053" TargetMode="External"/><Relationship Id="rId683" Type="http://schemas.openxmlformats.org/officeDocument/2006/relationships/hyperlink" Target="https://expa.aiesec.org/opportunities/1284077" TargetMode="External"/><Relationship Id="rId3213" Type="http://schemas.openxmlformats.org/officeDocument/2006/relationships/hyperlink" Target="https://expa.aiesec.org/opportunities/1295453" TargetMode="External"/><Relationship Id="rId3205" Type="http://schemas.openxmlformats.org/officeDocument/2006/relationships/hyperlink" Target="https://expa.aiesec.org/opportunities/1299474" TargetMode="External"/><Relationship Id="rId3204" Type="http://schemas.openxmlformats.org/officeDocument/2006/relationships/hyperlink" Target="https://expa.aiesec.org/opportunities/1289505" TargetMode="External"/><Relationship Id="rId3207" Type="http://schemas.openxmlformats.org/officeDocument/2006/relationships/hyperlink" Target="https://expa.aiesec.org/opportunities/1298864" TargetMode="External"/><Relationship Id="rId3206" Type="http://schemas.openxmlformats.org/officeDocument/2006/relationships/hyperlink" Target="https://expa.aiesec.org/opportunities/1288706" TargetMode="External"/><Relationship Id="rId3209" Type="http://schemas.openxmlformats.org/officeDocument/2006/relationships/hyperlink" Target="https://expa.aiesec.org/opportunities/1289505" TargetMode="External"/><Relationship Id="rId3208" Type="http://schemas.openxmlformats.org/officeDocument/2006/relationships/hyperlink" Target="https://expa.aiesec.org/opportunities/1299279" TargetMode="External"/><Relationship Id="rId679" Type="http://schemas.openxmlformats.org/officeDocument/2006/relationships/hyperlink" Target="https://expa.aiesec.org/opportunities/1288989" TargetMode="External"/><Relationship Id="rId678" Type="http://schemas.openxmlformats.org/officeDocument/2006/relationships/hyperlink" Target="https://expa.aiesec.org/opportunities/1289255" TargetMode="External"/><Relationship Id="rId677" Type="http://schemas.openxmlformats.org/officeDocument/2006/relationships/hyperlink" Target="https://expa.aiesec.org/opportunities/1290362" TargetMode="External"/><Relationship Id="rId676" Type="http://schemas.openxmlformats.org/officeDocument/2006/relationships/hyperlink" Target="https://expa.aiesec.org/opportunities/1285555" TargetMode="External"/><Relationship Id="rId671" Type="http://schemas.openxmlformats.org/officeDocument/2006/relationships/hyperlink" Target="https://expa.aiesec.org/opportunities/1279516" TargetMode="External"/><Relationship Id="rId670" Type="http://schemas.openxmlformats.org/officeDocument/2006/relationships/hyperlink" Target="https://expa.aiesec.org/opportunities/1290278" TargetMode="External"/><Relationship Id="rId675" Type="http://schemas.openxmlformats.org/officeDocument/2006/relationships/hyperlink" Target="https://expa.aiesec.org/opportunities/1284670" TargetMode="External"/><Relationship Id="rId3201" Type="http://schemas.openxmlformats.org/officeDocument/2006/relationships/hyperlink" Target="https://expa.aiesec.org/opportunities/1286368" TargetMode="External"/><Relationship Id="rId674" Type="http://schemas.openxmlformats.org/officeDocument/2006/relationships/hyperlink" Target="https://expa.aiesec.org/opportunities/1272564" TargetMode="External"/><Relationship Id="rId3200" Type="http://schemas.openxmlformats.org/officeDocument/2006/relationships/hyperlink" Target="https://expa.aiesec.org/opportunities/1296538" TargetMode="External"/><Relationship Id="rId673" Type="http://schemas.openxmlformats.org/officeDocument/2006/relationships/hyperlink" Target="https://expa.aiesec.org/opportunities/1290283" TargetMode="External"/><Relationship Id="rId3203" Type="http://schemas.openxmlformats.org/officeDocument/2006/relationships/hyperlink" Target="https://expa.aiesec.org/opportunities/1290168" TargetMode="External"/><Relationship Id="rId672" Type="http://schemas.openxmlformats.org/officeDocument/2006/relationships/hyperlink" Target="https://expa.aiesec.org/opportunities/1288583" TargetMode="External"/><Relationship Id="rId3202" Type="http://schemas.openxmlformats.org/officeDocument/2006/relationships/hyperlink" Target="https://expa.aiesec.org/opportunities/1298368" TargetMode="External"/><Relationship Id="rId190" Type="http://schemas.openxmlformats.org/officeDocument/2006/relationships/hyperlink" Target="https://expa.aiesec.org/opportunities/1279525" TargetMode="External"/><Relationship Id="rId194" Type="http://schemas.openxmlformats.org/officeDocument/2006/relationships/hyperlink" Target="https://expa.aiesec.org/opportunities/1281195" TargetMode="External"/><Relationship Id="rId193" Type="http://schemas.openxmlformats.org/officeDocument/2006/relationships/hyperlink" Target="https://expa.aiesec.org/opportunities/1287925" TargetMode="External"/><Relationship Id="rId192" Type="http://schemas.openxmlformats.org/officeDocument/2006/relationships/hyperlink" Target="https://expa.aiesec.org/opportunities/1288453" TargetMode="External"/><Relationship Id="rId191" Type="http://schemas.openxmlformats.org/officeDocument/2006/relationships/hyperlink" Target="https://expa.aiesec.org/opportunities/1272564" TargetMode="External"/><Relationship Id="rId187" Type="http://schemas.openxmlformats.org/officeDocument/2006/relationships/hyperlink" Target="https://expa.aiesec.org/opportunities/1284126" TargetMode="External"/><Relationship Id="rId186" Type="http://schemas.openxmlformats.org/officeDocument/2006/relationships/hyperlink" Target="https://expa.aiesec.org/opportunities/1287374" TargetMode="External"/><Relationship Id="rId185" Type="http://schemas.openxmlformats.org/officeDocument/2006/relationships/hyperlink" Target="https://expa.aiesec.org/opportunities/1288593" TargetMode="External"/><Relationship Id="rId184" Type="http://schemas.openxmlformats.org/officeDocument/2006/relationships/hyperlink" Target="https://expa.aiesec.org/opportunities/1286585" TargetMode="External"/><Relationship Id="rId189" Type="http://schemas.openxmlformats.org/officeDocument/2006/relationships/hyperlink" Target="https://expa.aiesec.org/opportunities/1288713" TargetMode="External"/><Relationship Id="rId188" Type="http://schemas.openxmlformats.org/officeDocument/2006/relationships/hyperlink" Target="https://expa.aiesec.org/opportunities/1287925" TargetMode="External"/><Relationship Id="rId183" Type="http://schemas.openxmlformats.org/officeDocument/2006/relationships/hyperlink" Target="https://expa.aiesec.org/opportunities/1284709" TargetMode="External"/><Relationship Id="rId182" Type="http://schemas.openxmlformats.org/officeDocument/2006/relationships/hyperlink" Target="https://expa.aiesec.org/opportunities/1288615" TargetMode="External"/><Relationship Id="rId181" Type="http://schemas.openxmlformats.org/officeDocument/2006/relationships/hyperlink" Target="https://expa.aiesec.org/opportunities/1278298" TargetMode="External"/><Relationship Id="rId180" Type="http://schemas.openxmlformats.org/officeDocument/2006/relationships/hyperlink" Target="https://expa.aiesec.org/opportunities/1288548" TargetMode="External"/><Relationship Id="rId176" Type="http://schemas.openxmlformats.org/officeDocument/2006/relationships/hyperlink" Target="https://expa.aiesec.org/opportunities/1288467" TargetMode="External"/><Relationship Id="rId175" Type="http://schemas.openxmlformats.org/officeDocument/2006/relationships/hyperlink" Target="https://expa.aiesec.org/opportunities/1283399" TargetMode="External"/><Relationship Id="rId174" Type="http://schemas.openxmlformats.org/officeDocument/2006/relationships/hyperlink" Target="https://expa.aiesec.org/opportunities/1284992" TargetMode="External"/><Relationship Id="rId173" Type="http://schemas.openxmlformats.org/officeDocument/2006/relationships/hyperlink" Target="https://expa.aiesec.org/opportunities/1287316" TargetMode="External"/><Relationship Id="rId179" Type="http://schemas.openxmlformats.org/officeDocument/2006/relationships/hyperlink" Target="https://expa.aiesec.org/opportunities/1288497" TargetMode="External"/><Relationship Id="rId178" Type="http://schemas.openxmlformats.org/officeDocument/2006/relationships/hyperlink" Target="https://expa.aiesec.org/opportunities/1288283" TargetMode="External"/><Relationship Id="rId177" Type="http://schemas.openxmlformats.org/officeDocument/2006/relationships/hyperlink" Target="https://expa.aiesec.org/opportunities/1288497" TargetMode="External"/><Relationship Id="rId198" Type="http://schemas.openxmlformats.org/officeDocument/2006/relationships/hyperlink" Target="https://expa.aiesec.org/opportunities/1283823" TargetMode="External"/><Relationship Id="rId197" Type="http://schemas.openxmlformats.org/officeDocument/2006/relationships/hyperlink" Target="https://expa.aiesec.org/opportunities/1285161" TargetMode="External"/><Relationship Id="rId196" Type="http://schemas.openxmlformats.org/officeDocument/2006/relationships/hyperlink" Target="https://expa.aiesec.org/opportunities/1278780" TargetMode="External"/><Relationship Id="rId195" Type="http://schemas.openxmlformats.org/officeDocument/2006/relationships/hyperlink" Target="https://expa.aiesec.org/opportunities/1279323" TargetMode="External"/><Relationship Id="rId199" Type="http://schemas.openxmlformats.org/officeDocument/2006/relationships/hyperlink" Target="https://expa.aiesec.org/opportunities/1288703" TargetMode="External"/><Relationship Id="rId150" Type="http://schemas.openxmlformats.org/officeDocument/2006/relationships/hyperlink" Target="https://expa.aiesec.org/opportunities/1286810" TargetMode="External"/><Relationship Id="rId149" Type="http://schemas.openxmlformats.org/officeDocument/2006/relationships/hyperlink" Target="https://expa.aiesec.org/opportunities/1287091" TargetMode="External"/><Relationship Id="rId148" Type="http://schemas.openxmlformats.org/officeDocument/2006/relationships/hyperlink" Target="https://expa.aiesec.org/opportunities/1282161" TargetMode="External"/><Relationship Id="rId3270" Type="http://schemas.openxmlformats.org/officeDocument/2006/relationships/hyperlink" Target="https://expa.aiesec.org/opportunities/1295716" TargetMode="External"/><Relationship Id="rId3272" Type="http://schemas.openxmlformats.org/officeDocument/2006/relationships/hyperlink" Target="https://expa.aiesec.org/opportunities/1286236" TargetMode="External"/><Relationship Id="rId3271" Type="http://schemas.openxmlformats.org/officeDocument/2006/relationships/hyperlink" Target="https://expa.aiesec.org/opportunities/1293407" TargetMode="External"/><Relationship Id="rId143" Type="http://schemas.openxmlformats.org/officeDocument/2006/relationships/hyperlink" Target="https://expa.aiesec.org/opportunities/1287655" TargetMode="External"/><Relationship Id="rId3274" Type="http://schemas.openxmlformats.org/officeDocument/2006/relationships/hyperlink" Target="https://expa.aiesec.org/opportunities/1294459" TargetMode="External"/><Relationship Id="rId142" Type="http://schemas.openxmlformats.org/officeDocument/2006/relationships/hyperlink" Target="https://expa.aiesec.org/opportunities/1286344" TargetMode="External"/><Relationship Id="rId3273" Type="http://schemas.openxmlformats.org/officeDocument/2006/relationships/hyperlink" Target="https://expa.aiesec.org/opportunities/1298770" TargetMode="External"/><Relationship Id="rId141" Type="http://schemas.openxmlformats.org/officeDocument/2006/relationships/hyperlink" Target="https://expa.aiesec.org/opportunities/1279294" TargetMode="External"/><Relationship Id="rId3276" Type="http://schemas.openxmlformats.org/officeDocument/2006/relationships/hyperlink" Target="https://expa.aiesec.org/opportunities/1288609" TargetMode="External"/><Relationship Id="rId140" Type="http://schemas.openxmlformats.org/officeDocument/2006/relationships/hyperlink" Target="https://expa.aiesec.org/opportunities/1278947" TargetMode="External"/><Relationship Id="rId3275" Type="http://schemas.openxmlformats.org/officeDocument/2006/relationships/hyperlink" Target="https://expa.aiesec.org/opportunities/1298736" TargetMode="External"/><Relationship Id="rId147" Type="http://schemas.openxmlformats.org/officeDocument/2006/relationships/hyperlink" Target="https://expa.aiesec.org/opportunities/1288377" TargetMode="External"/><Relationship Id="rId3278" Type="http://schemas.openxmlformats.org/officeDocument/2006/relationships/hyperlink" Target="https://expa.aiesec.org/opportunities/1279126" TargetMode="External"/><Relationship Id="rId146" Type="http://schemas.openxmlformats.org/officeDocument/2006/relationships/hyperlink" Target="https://expa.aiesec.org/opportunities/1281061" TargetMode="External"/><Relationship Id="rId3277" Type="http://schemas.openxmlformats.org/officeDocument/2006/relationships/hyperlink" Target="https://expa.aiesec.org/opportunities/1289347" TargetMode="External"/><Relationship Id="rId145" Type="http://schemas.openxmlformats.org/officeDocument/2006/relationships/hyperlink" Target="https://expa.aiesec.org/opportunities/1278703" TargetMode="External"/><Relationship Id="rId144" Type="http://schemas.openxmlformats.org/officeDocument/2006/relationships/hyperlink" Target="https://expa.aiesec.org/opportunities/1287623" TargetMode="External"/><Relationship Id="rId3279" Type="http://schemas.openxmlformats.org/officeDocument/2006/relationships/hyperlink" Target="https://expa.aiesec.org/opportunities/1283628" TargetMode="External"/><Relationship Id="rId139" Type="http://schemas.openxmlformats.org/officeDocument/2006/relationships/hyperlink" Target="https://expa.aiesec.org/opportunities/1267071" TargetMode="External"/><Relationship Id="rId138" Type="http://schemas.openxmlformats.org/officeDocument/2006/relationships/hyperlink" Target="https://expa.aiesec.org/opportunities/1284709" TargetMode="External"/><Relationship Id="rId137" Type="http://schemas.openxmlformats.org/officeDocument/2006/relationships/hyperlink" Target="https://expa.aiesec.org/opportunities/1287925" TargetMode="External"/><Relationship Id="rId3261" Type="http://schemas.openxmlformats.org/officeDocument/2006/relationships/hyperlink" Target="https://expa.aiesec.org/opportunities/1286920" TargetMode="External"/><Relationship Id="rId3260" Type="http://schemas.openxmlformats.org/officeDocument/2006/relationships/hyperlink" Target="https://expa.aiesec.org/opportunities/1298571" TargetMode="External"/><Relationship Id="rId132" Type="http://schemas.openxmlformats.org/officeDocument/2006/relationships/hyperlink" Target="https://expa.aiesec.org/opportunities/1287248" TargetMode="External"/><Relationship Id="rId3263" Type="http://schemas.openxmlformats.org/officeDocument/2006/relationships/hyperlink" Target="https://expa.aiesec.org/opportunities/1299605" TargetMode="External"/><Relationship Id="rId131" Type="http://schemas.openxmlformats.org/officeDocument/2006/relationships/hyperlink" Target="https://expa.aiesec.org/opportunities/1288497" TargetMode="External"/><Relationship Id="rId3262" Type="http://schemas.openxmlformats.org/officeDocument/2006/relationships/hyperlink" Target="https://expa.aiesec.org/opportunities/1291375" TargetMode="External"/><Relationship Id="rId130" Type="http://schemas.openxmlformats.org/officeDocument/2006/relationships/hyperlink" Target="https://expa.aiesec.org/opportunities/1262994" TargetMode="External"/><Relationship Id="rId3265" Type="http://schemas.openxmlformats.org/officeDocument/2006/relationships/hyperlink" Target="https://expa.aiesec.org/opportunities/1299605" TargetMode="External"/><Relationship Id="rId3264" Type="http://schemas.openxmlformats.org/officeDocument/2006/relationships/hyperlink" Target="https://expa.aiesec.org/opportunities/1299393" TargetMode="External"/><Relationship Id="rId136" Type="http://schemas.openxmlformats.org/officeDocument/2006/relationships/hyperlink" Target="https://expa.aiesec.org/opportunities/1288279" TargetMode="External"/><Relationship Id="rId3267" Type="http://schemas.openxmlformats.org/officeDocument/2006/relationships/hyperlink" Target="https://expa.aiesec.org/opportunities/1286326" TargetMode="External"/><Relationship Id="rId135" Type="http://schemas.openxmlformats.org/officeDocument/2006/relationships/hyperlink" Target="https://expa.aiesec.org/opportunities/1284289" TargetMode="External"/><Relationship Id="rId3266" Type="http://schemas.openxmlformats.org/officeDocument/2006/relationships/hyperlink" Target="https://expa.aiesec.org/opportunities/1286326" TargetMode="External"/><Relationship Id="rId134" Type="http://schemas.openxmlformats.org/officeDocument/2006/relationships/hyperlink" Target="https://expa.aiesec.org/opportunities/1286368" TargetMode="External"/><Relationship Id="rId3269" Type="http://schemas.openxmlformats.org/officeDocument/2006/relationships/hyperlink" Target="https://expa.aiesec.org/opportunities/1295453" TargetMode="External"/><Relationship Id="rId133" Type="http://schemas.openxmlformats.org/officeDocument/2006/relationships/hyperlink" Target="https://expa.aiesec.org/opportunities/1280953" TargetMode="External"/><Relationship Id="rId3268" Type="http://schemas.openxmlformats.org/officeDocument/2006/relationships/hyperlink" Target="https://expa.aiesec.org/opportunities/1272564" TargetMode="External"/><Relationship Id="rId172" Type="http://schemas.openxmlformats.org/officeDocument/2006/relationships/hyperlink" Target="https://expa.aiesec.org/opportunities/1288388" TargetMode="External"/><Relationship Id="rId171" Type="http://schemas.openxmlformats.org/officeDocument/2006/relationships/hyperlink" Target="https://expa.aiesec.org/opportunities/1287771" TargetMode="External"/><Relationship Id="rId170" Type="http://schemas.openxmlformats.org/officeDocument/2006/relationships/hyperlink" Target="https://expa.aiesec.org/opportunities/1286034" TargetMode="External"/><Relationship Id="rId3290" Type="http://schemas.openxmlformats.org/officeDocument/2006/relationships/hyperlink" Target="https://expa.aiesec.org/opportunities/1289339" TargetMode="External"/><Relationship Id="rId3292" Type="http://schemas.openxmlformats.org/officeDocument/2006/relationships/hyperlink" Target="https://expa.aiesec.org/opportunities/1294332" TargetMode="External"/><Relationship Id="rId3291" Type="http://schemas.openxmlformats.org/officeDocument/2006/relationships/hyperlink" Target="https://expa.aiesec.org/opportunities/1292975" TargetMode="External"/><Relationship Id="rId3294" Type="http://schemas.openxmlformats.org/officeDocument/2006/relationships/hyperlink" Target="https://expa.aiesec.org/opportunities/1284077" TargetMode="External"/><Relationship Id="rId3293" Type="http://schemas.openxmlformats.org/officeDocument/2006/relationships/hyperlink" Target="https://expa.aiesec.org/opportunities/1289536" TargetMode="External"/><Relationship Id="rId165" Type="http://schemas.openxmlformats.org/officeDocument/2006/relationships/hyperlink" Target="https://expa.aiesec.org/opportunities/1285358" TargetMode="External"/><Relationship Id="rId3296" Type="http://schemas.openxmlformats.org/officeDocument/2006/relationships/hyperlink" Target="https://expa.aiesec.org/opportunities/1296980" TargetMode="External"/><Relationship Id="rId164" Type="http://schemas.openxmlformats.org/officeDocument/2006/relationships/hyperlink" Target="https://expa.aiesec.org/opportunities/1286344" TargetMode="External"/><Relationship Id="rId3295" Type="http://schemas.openxmlformats.org/officeDocument/2006/relationships/hyperlink" Target="https://expa.aiesec.org/opportunities/1289536" TargetMode="External"/><Relationship Id="rId163" Type="http://schemas.openxmlformats.org/officeDocument/2006/relationships/hyperlink" Target="https://expa.aiesec.org/opportunities/1288497" TargetMode="External"/><Relationship Id="rId3298" Type="http://schemas.openxmlformats.org/officeDocument/2006/relationships/hyperlink" Target="https://expa.aiesec.org/opportunities/1289536" TargetMode="External"/><Relationship Id="rId162" Type="http://schemas.openxmlformats.org/officeDocument/2006/relationships/hyperlink" Target="https://expa.aiesec.org/opportunities/1286113" TargetMode="External"/><Relationship Id="rId3297" Type="http://schemas.openxmlformats.org/officeDocument/2006/relationships/hyperlink" Target="https://expa.aiesec.org/opportunities/1289536" TargetMode="External"/><Relationship Id="rId169" Type="http://schemas.openxmlformats.org/officeDocument/2006/relationships/hyperlink" Target="https://expa.aiesec.org/opportunities/1283828" TargetMode="External"/><Relationship Id="rId168" Type="http://schemas.openxmlformats.org/officeDocument/2006/relationships/hyperlink" Target="https://expa.aiesec.org/opportunities/1279544" TargetMode="External"/><Relationship Id="rId3299" Type="http://schemas.openxmlformats.org/officeDocument/2006/relationships/hyperlink" Target="https://expa.aiesec.org/opportunities/1288497" TargetMode="External"/><Relationship Id="rId167" Type="http://schemas.openxmlformats.org/officeDocument/2006/relationships/hyperlink" Target="https://expa.aiesec.org/opportunities/1287101" TargetMode="External"/><Relationship Id="rId166" Type="http://schemas.openxmlformats.org/officeDocument/2006/relationships/hyperlink" Target="https://expa.aiesec.org/opportunities/1287181" TargetMode="External"/><Relationship Id="rId161" Type="http://schemas.openxmlformats.org/officeDocument/2006/relationships/hyperlink" Target="https://expa.aiesec.org/opportunities/1287859" TargetMode="External"/><Relationship Id="rId160" Type="http://schemas.openxmlformats.org/officeDocument/2006/relationships/hyperlink" Target="https://expa.aiesec.org/opportunities/1287721" TargetMode="External"/><Relationship Id="rId159" Type="http://schemas.openxmlformats.org/officeDocument/2006/relationships/hyperlink" Target="https://expa.aiesec.org/opportunities/1264946" TargetMode="External"/><Relationship Id="rId3281" Type="http://schemas.openxmlformats.org/officeDocument/2006/relationships/hyperlink" Target="https://expa.aiesec.org/opportunities/1296625" TargetMode="External"/><Relationship Id="rId3280" Type="http://schemas.openxmlformats.org/officeDocument/2006/relationships/hyperlink" Target="https://expa.aiesec.org/opportunities/1281195" TargetMode="External"/><Relationship Id="rId3283" Type="http://schemas.openxmlformats.org/officeDocument/2006/relationships/hyperlink" Target="https://expa.aiesec.org/opportunities/1291783" TargetMode="External"/><Relationship Id="rId3282" Type="http://schemas.openxmlformats.org/officeDocument/2006/relationships/hyperlink" Target="https://expa.aiesec.org/opportunities/1299119" TargetMode="External"/><Relationship Id="rId154" Type="http://schemas.openxmlformats.org/officeDocument/2006/relationships/hyperlink" Target="https://expa.aiesec.org/opportunities/1283891" TargetMode="External"/><Relationship Id="rId3285" Type="http://schemas.openxmlformats.org/officeDocument/2006/relationships/hyperlink" Target="https://expa.aiesec.org/opportunities/1298733" TargetMode="External"/><Relationship Id="rId153" Type="http://schemas.openxmlformats.org/officeDocument/2006/relationships/hyperlink" Target="https://expa.aiesec.org/opportunities/1283891" TargetMode="External"/><Relationship Id="rId3284" Type="http://schemas.openxmlformats.org/officeDocument/2006/relationships/hyperlink" Target="https://expa.aiesec.org/opportunities/1295745" TargetMode="External"/><Relationship Id="rId152" Type="http://schemas.openxmlformats.org/officeDocument/2006/relationships/hyperlink" Target="https://expa.aiesec.org/opportunities/1288299" TargetMode="External"/><Relationship Id="rId3287" Type="http://schemas.openxmlformats.org/officeDocument/2006/relationships/hyperlink" Target="https://expa.aiesec.org/opportunities/1286368" TargetMode="External"/><Relationship Id="rId151" Type="http://schemas.openxmlformats.org/officeDocument/2006/relationships/hyperlink" Target="https://expa.aiesec.org/opportunities/1258621" TargetMode="External"/><Relationship Id="rId3286" Type="http://schemas.openxmlformats.org/officeDocument/2006/relationships/hyperlink" Target="https://expa.aiesec.org/opportunities/1259741" TargetMode="External"/><Relationship Id="rId158" Type="http://schemas.openxmlformats.org/officeDocument/2006/relationships/hyperlink" Target="https://expa.aiesec.org/opportunities/1288371" TargetMode="External"/><Relationship Id="rId3289" Type="http://schemas.openxmlformats.org/officeDocument/2006/relationships/hyperlink" Target="https://expa.aiesec.org/opportunities/1289347" TargetMode="External"/><Relationship Id="rId157" Type="http://schemas.openxmlformats.org/officeDocument/2006/relationships/hyperlink" Target="https://expa.aiesec.org/opportunities/1287316" TargetMode="External"/><Relationship Id="rId3288" Type="http://schemas.openxmlformats.org/officeDocument/2006/relationships/hyperlink" Target="https://expa.aiesec.org/opportunities/1298766" TargetMode="External"/><Relationship Id="rId156" Type="http://schemas.openxmlformats.org/officeDocument/2006/relationships/hyperlink" Target="https://expa.aiesec.org/opportunities/1287315" TargetMode="External"/><Relationship Id="rId155" Type="http://schemas.openxmlformats.org/officeDocument/2006/relationships/hyperlink" Target="https://expa.aiesec.org/opportunities/1288279" TargetMode="External"/><Relationship Id="rId2820" Type="http://schemas.openxmlformats.org/officeDocument/2006/relationships/hyperlink" Target="https://expa.aiesec.org/opportunities/1288486" TargetMode="External"/><Relationship Id="rId2821" Type="http://schemas.openxmlformats.org/officeDocument/2006/relationships/hyperlink" Target="https://expa.aiesec.org/opportunities/1295811" TargetMode="External"/><Relationship Id="rId2822" Type="http://schemas.openxmlformats.org/officeDocument/2006/relationships/hyperlink" Target="https://expa.aiesec.org/opportunities/1296101" TargetMode="External"/><Relationship Id="rId2823" Type="http://schemas.openxmlformats.org/officeDocument/2006/relationships/hyperlink" Target="https://expa.aiesec.org/opportunities/1288864" TargetMode="External"/><Relationship Id="rId2824" Type="http://schemas.openxmlformats.org/officeDocument/2006/relationships/hyperlink" Target="https://expa.aiesec.org/opportunities/1289596" TargetMode="External"/><Relationship Id="rId2825" Type="http://schemas.openxmlformats.org/officeDocument/2006/relationships/hyperlink" Target="https://expa.aiesec.org/opportunities/1290643" TargetMode="External"/><Relationship Id="rId2826" Type="http://schemas.openxmlformats.org/officeDocument/2006/relationships/hyperlink" Target="https://expa.aiesec.org/opportunities/1277661" TargetMode="External"/><Relationship Id="rId2827" Type="http://schemas.openxmlformats.org/officeDocument/2006/relationships/hyperlink" Target="https://expa.aiesec.org/opportunities/1295055" TargetMode="External"/><Relationship Id="rId2828" Type="http://schemas.openxmlformats.org/officeDocument/2006/relationships/hyperlink" Target="https://expa.aiesec.org/opportunities/1295874" TargetMode="External"/><Relationship Id="rId2829" Type="http://schemas.openxmlformats.org/officeDocument/2006/relationships/hyperlink" Target="https://expa.aiesec.org/opportunities/1294860" TargetMode="External"/><Relationship Id="rId2810" Type="http://schemas.openxmlformats.org/officeDocument/2006/relationships/hyperlink" Target="https://expa.aiesec.org/opportunities/1294860" TargetMode="External"/><Relationship Id="rId2811" Type="http://schemas.openxmlformats.org/officeDocument/2006/relationships/hyperlink" Target="https://expa.aiesec.org/opportunities/1296671" TargetMode="External"/><Relationship Id="rId2812" Type="http://schemas.openxmlformats.org/officeDocument/2006/relationships/hyperlink" Target="https://expa.aiesec.org/opportunities/1292298" TargetMode="External"/><Relationship Id="rId2813" Type="http://schemas.openxmlformats.org/officeDocument/2006/relationships/hyperlink" Target="https://expa.aiesec.org/opportunities/1292298" TargetMode="External"/><Relationship Id="rId2814" Type="http://schemas.openxmlformats.org/officeDocument/2006/relationships/hyperlink" Target="https://expa.aiesec.org/opportunities/1277333" TargetMode="External"/><Relationship Id="rId2815" Type="http://schemas.openxmlformats.org/officeDocument/2006/relationships/hyperlink" Target="https://expa.aiesec.org/opportunities/1295363" TargetMode="External"/><Relationship Id="rId2816" Type="http://schemas.openxmlformats.org/officeDocument/2006/relationships/hyperlink" Target="https://expa.aiesec.org/opportunities/1294622" TargetMode="External"/><Relationship Id="rId2817" Type="http://schemas.openxmlformats.org/officeDocument/2006/relationships/hyperlink" Target="https://expa.aiesec.org/opportunities/1296819" TargetMode="External"/><Relationship Id="rId2818" Type="http://schemas.openxmlformats.org/officeDocument/2006/relationships/hyperlink" Target="https://expa.aiesec.org/opportunities/1287226" TargetMode="External"/><Relationship Id="rId2819" Type="http://schemas.openxmlformats.org/officeDocument/2006/relationships/hyperlink" Target="https://expa.aiesec.org/opportunities/1294332" TargetMode="External"/><Relationship Id="rId1510" Type="http://schemas.openxmlformats.org/officeDocument/2006/relationships/hyperlink" Target="https://expa.aiesec.org/opportunities/1293462" TargetMode="External"/><Relationship Id="rId2841" Type="http://schemas.openxmlformats.org/officeDocument/2006/relationships/hyperlink" Target="https://expa.aiesec.org/opportunities/1288490" TargetMode="External"/><Relationship Id="rId1511" Type="http://schemas.openxmlformats.org/officeDocument/2006/relationships/hyperlink" Target="https://expa.aiesec.org/opportunities/1288582" TargetMode="External"/><Relationship Id="rId2842" Type="http://schemas.openxmlformats.org/officeDocument/2006/relationships/hyperlink" Target="https://expa.aiesec.org/opportunities/1293735" TargetMode="External"/><Relationship Id="rId1512" Type="http://schemas.openxmlformats.org/officeDocument/2006/relationships/hyperlink" Target="https://expa.aiesec.org/opportunities/1292557" TargetMode="External"/><Relationship Id="rId2843" Type="http://schemas.openxmlformats.org/officeDocument/2006/relationships/hyperlink" Target="https://expa.aiesec.org/opportunities/1286839" TargetMode="External"/><Relationship Id="rId1513" Type="http://schemas.openxmlformats.org/officeDocument/2006/relationships/hyperlink" Target="https://expa.aiesec.org/opportunities/1292557" TargetMode="External"/><Relationship Id="rId2844" Type="http://schemas.openxmlformats.org/officeDocument/2006/relationships/hyperlink" Target="https://expa.aiesec.org/opportunities/1297652" TargetMode="External"/><Relationship Id="rId1514" Type="http://schemas.openxmlformats.org/officeDocument/2006/relationships/hyperlink" Target="https://expa.aiesec.org/opportunities/1294000" TargetMode="External"/><Relationship Id="rId2845" Type="http://schemas.openxmlformats.org/officeDocument/2006/relationships/hyperlink" Target="https://expa.aiesec.org/opportunities/1291055" TargetMode="External"/><Relationship Id="rId1515" Type="http://schemas.openxmlformats.org/officeDocument/2006/relationships/hyperlink" Target="https://expa.aiesec.org/opportunities/1290282" TargetMode="External"/><Relationship Id="rId2846" Type="http://schemas.openxmlformats.org/officeDocument/2006/relationships/hyperlink" Target="https://expa.aiesec.org/opportunities/1296424" TargetMode="External"/><Relationship Id="rId1516" Type="http://schemas.openxmlformats.org/officeDocument/2006/relationships/hyperlink" Target="https://expa.aiesec.org/opportunities/1285905" TargetMode="External"/><Relationship Id="rId2847" Type="http://schemas.openxmlformats.org/officeDocument/2006/relationships/hyperlink" Target="https://expa.aiesec.org/opportunities/1296851" TargetMode="External"/><Relationship Id="rId1517" Type="http://schemas.openxmlformats.org/officeDocument/2006/relationships/hyperlink" Target="https://expa.aiesec.org/opportunities/1285905" TargetMode="External"/><Relationship Id="rId2848" Type="http://schemas.openxmlformats.org/officeDocument/2006/relationships/hyperlink" Target="https://expa.aiesec.org/opportunities/1295002" TargetMode="External"/><Relationship Id="rId1518" Type="http://schemas.openxmlformats.org/officeDocument/2006/relationships/hyperlink" Target="https://expa.aiesec.org/opportunities/1293495" TargetMode="External"/><Relationship Id="rId2849" Type="http://schemas.openxmlformats.org/officeDocument/2006/relationships/hyperlink" Target="https://expa.aiesec.org/opportunities/1293711" TargetMode="External"/><Relationship Id="rId1519" Type="http://schemas.openxmlformats.org/officeDocument/2006/relationships/hyperlink" Target="https://expa.aiesec.org/opportunities/1293495" TargetMode="External"/><Relationship Id="rId2840" Type="http://schemas.openxmlformats.org/officeDocument/2006/relationships/hyperlink" Target="https://expa.aiesec.org/opportunities/1297711" TargetMode="External"/><Relationship Id="rId2830" Type="http://schemas.openxmlformats.org/officeDocument/2006/relationships/hyperlink" Target="https://expa.aiesec.org/opportunities/1273874" TargetMode="External"/><Relationship Id="rId1500" Type="http://schemas.openxmlformats.org/officeDocument/2006/relationships/hyperlink" Target="https://expa.aiesec.org/opportunities/1288280" TargetMode="External"/><Relationship Id="rId2831" Type="http://schemas.openxmlformats.org/officeDocument/2006/relationships/hyperlink" Target="https://expa.aiesec.org/opportunities/1294898" TargetMode="External"/><Relationship Id="rId1501" Type="http://schemas.openxmlformats.org/officeDocument/2006/relationships/hyperlink" Target="https://expa.aiesec.org/opportunities/1292944" TargetMode="External"/><Relationship Id="rId2832" Type="http://schemas.openxmlformats.org/officeDocument/2006/relationships/hyperlink" Target="https://expa.aiesec.org/opportunities/1294137" TargetMode="External"/><Relationship Id="rId1502" Type="http://schemas.openxmlformats.org/officeDocument/2006/relationships/hyperlink" Target="https://expa.aiesec.org/opportunities/1291929" TargetMode="External"/><Relationship Id="rId2833" Type="http://schemas.openxmlformats.org/officeDocument/2006/relationships/hyperlink" Target="https://expa.aiesec.org/opportunities/1279525" TargetMode="External"/><Relationship Id="rId1503" Type="http://schemas.openxmlformats.org/officeDocument/2006/relationships/hyperlink" Target="https://expa.aiesec.org/opportunities/1294000" TargetMode="External"/><Relationship Id="rId2834" Type="http://schemas.openxmlformats.org/officeDocument/2006/relationships/hyperlink" Target="https://expa.aiesec.org/opportunities/1297112" TargetMode="External"/><Relationship Id="rId1504" Type="http://schemas.openxmlformats.org/officeDocument/2006/relationships/hyperlink" Target="https://expa.aiesec.org/opportunities/1293200" TargetMode="External"/><Relationship Id="rId2835" Type="http://schemas.openxmlformats.org/officeDocument/2006/relationships/hyperlink" Target="https://expa.aiesec.org/opportunities/1290387" TargetMode="External"/><Relationship Id="rId1505" Type="http://schemas.openxmlformats.org/officeDocument/2006/relationships/hyperlink" Target="https://expa.aiesec.org/opportunities/1286236" TargetMode="External"/><Relationship Id="rId2836" Type="http://schemas.openxmlformats.org/officeDocument/2006/relationships/hyperlink" Target="https://expa.aiesec.org/opportunities/1293244" TargetMode="External"/><Relationship Id="rId1506" Type="http://schemas.openxmlformats.org/officeDocument/2006/relationships/hyperlink" Target="https://expa.aiesec.org/opportunities/1281195" TargetMode="External"/><Relationship Id="rId2837" Type="http://schemas.openxmlformats.org/officeDocument/2006/relationships/hyperlink" Target="https://expa.aiesec.org/opportunities/1292683" TargetMode="External"/><Relationship Id="rId1507" Type="http://schemas.openxmlformats.org/officeDocument/2006/relationships/hyperlink" Target="https://expa.aiesec.org/opportunities/1288813" TargetMode="External"/><Relationship Id="rId2838" Type="http://schemas.openxmlformats.org/officeDocument/2006/relationships/hyperlink" Target="https://expa.aiesec.org/opportunities/1285555" TargetMode="External"/><Relationship Id="rId1508" Type="http://schemas.openxmlformats.org/officeDocument/2006/relationships/hyperlink" Target="https://expa.aiesec.org/opportunities/1292962" TargetMode="External"/><Relationship Id="rId2839" Type="http://schemas.openxmlformats.org/officeDocument/2006/relationships/hyperlink" Target="https://expa.aiesec.org/opportunities/1291769" TargetMode="External"/><Relationship Id="rId1509" Type="http://schemas.openxmlformats.org/officeDocument/2006/relationships/hyperlink" Target="https://expa.aiesec.org/opportunities/1286326" TargetMode="External"/><Relationship Id="rId2800" Type="http://schemas.openxmlformats.org/officeDocument/2006/relationships/hyperlink" Target="https://expa.aiesec.org/opportunities/1295285" TargetMode="External"/><Relationship Id="rId2801" Type="http://schemas.openxmlformats.org/officeDocument/2006/relationships/hyperlink" Target="https://expa.aiesec.org/opportunities/1294622" TargetMode="External"/><Relationship Id="rId2802" Type="http://schemas.openxmlformats.org/officeDocument/2006/relationships/hyperlink" Target="https://expa.aiesec.org/opportunities/1289505" TargetMode="External"/><Relationship Id="rId2803" Type="http://schemas.openxmlformats.org/officeDocument/2006/relationships/hyperlink" Target="https://expa.aiesec.org/opportunities/1295167" TargetMode="External"/><Relationship Id="rId2804" Type="http://schemas.openxmlformats.org/officeDocument/2006/relationships/hyperlink" Target="https://expa.aiesec.org/opportunities/1296105" TargetMode="External"/><Relationship Id="rId2805" Type="http://schemas.openxmlformats.org/officeDocument/2006/relationships/hyperlink" Target="https://expa.aiesec.org/opportunities/1296387" TargetMode="External"/><Relationship Id="rId2806" Type="http://schemas.openxmlformats.org/officeDocument/2006/relationships/hyperlink" Target="https://expa.aiesec.org/opportunities/1296453" TargetMode="External"/><Relationship Id="rId2807" Type="http://schemas.openxmlformats.org/officeDocument/2006/relationships/hyperlink" Target="https://expa.aiesec.org/opportunities/1291989" TargetMode="External"/><Relationship Id="rId2808" Type="http://schemas.openxmlformats.org/officeDocument/2006/relationships/hyperlink" Target="https://expa.aiesec.org/opportunities/1297080" TargetMode="External"/><Relationship Id="rId2809" Type="http://schemas.openxmlformats.org/officeDocument/2006/relationships/hyperlink" Target="https://expa.aiesec.org/opportunities/1294860" TargetMode="External"/><Relationship Id="rId1576" Type="http://schemas.openxmlformats.org/officeDocument/2006/relationships/hyperlink" Target="https://expa.aiesec.org/opportunities/1288609" TargetMode="External"/><Relationship Id="rId1577" Type="http://schemas.openxmlformats.org/officeDocument/2006/relationships/hyperlink" Target="https://expa.aiesec.org/opportunities/1292556" TargetMode="External"/><Relationship Id="rId1578" Type="http://schemas.openxmlformats.org/officeDocument/2006/relationships/hyperlink" Target="https://expa.aiesec.org/opportunities/1288411" TargetMode="External"/><Relationship Id="rId1579" Type="http://schemas.openxmlformats.org/officeDocument/2006/relationships/hyperlink" Target="https://expa.aiesec.org/opportunities/1293019" TargetMode="External"/><Relationship Id="rId987" Type="http://schemas.openxmlformats.org/officeDocument/2006/relationships/hyperlink" Target="https://expa.aiesec.org/opportunities/1290982" TargetMode="External"/><Relationship Id="rId986" Type="http://schemas.openxmlformats.org/officeDocument/2006/relationships/hyperlink" Target="https://expa.aiesec.org/opportunities/1288606" TargetMode="External"/><Relationship Id="rId985" Type="http://schemas.openxmlformats.org/officeDocument/2006/relationships/hyperlink" Target="https://expa.aiesec.org/opportunities/1287445" TargetMode="External"/><Relationship Id="rId984" Type="http://schemas.openxmlformats.org/officeDocument/2006/relationships/hyperlink" Target="https://expa.aiesec.org/opportunities/1289502" TargetMode="External"/><Relationship Id="rId989" Type="http://schemas.openxmlformats.org/officeDocument/2006/relationships/hyperlink" Target="https://expa.aiesec.org/opportunities/1272564" TargetMode="External"/><Relationship Id="rId988" Type="http://schemas.openxmlformats.org/officeDocument/2006/relationships/hyperlink" Target="https://expa.aiesec.org/opportunities/1291055" TargetMode="External"/><Relationship Id="rId1570" Type="http://schemas.openxmlformats.org/officeDocument/2006/relationships/hyperlink" Target="https://expa.aiesec.org/opportunities/1284484" TargetMode="External"/><Relationship Id="rId1571" Type="http://schemas.openxmlformats.org/officeDocument/2006/relationships/hyperlink" Target="https://expa.aiesec.org/opportunities/1285687" TargetMode="External"/><Relationship Id="rId983" Type="http://schemas.openxmlformats.org/officeDocument/2006/relationships/hyperlink" Target="https://expa.aiesec.org/opportunities/1287226" TargetMode="External"/><Relationship Id="rId1572" Type="http://schemas.openxmlformats.org/officeDocument/2006/relationships/hyperlink" Target="https://expa.aiesec.org/opportunities/1285687" TargetMode="External"/><Relationship Id="rId982" Type="http://schemas.openxmlformats.org/officeDocument/2006/relationships/hyperlink" Target="https://expa.aiesec.org/opportunities/1289261" TargetMode="External"/><Relationship Id="rId1573" Type="http://schemas.openxmlformats.org/officeDocument/2006/relationships/hyperlink" Target="https://expa.aiesec.org/opportunities/1285687" TargetMode="External"/><Relationship Id="rId981" Type="http://schemas.openxmlformats.org/officeDocument/2006/relationships/hyperlink" Target="https://expa.aiesec.org/opportunities/1290277" TargetMode="External"/><Relationship Id="rId1574" Type="http://schemas.openxmlformats.org/officeDocument/2006/relationships/hyperlink" Target="https://expa.aiesec.org/opportunities/1292910" TargetMode="External"/><Relationship Id="rId980" Type="http://schemas.openxmlformats.org/officeDocument/2006/relationships/hyperlink" Target="https://expa.aiesec.org/opportunities/1289554" TargetMode="External"/><Relationship Id="rId1575" Type="http://schemas.openxmlformats.org/officeDocument/2006/relationships/hyperlink" Target="https://expa.aiesec.org/opportunities/1293495" TargetMode="External"/><Relationship Id="rId1565" Type="http://schemas.openxmlformats.org/officeDocument/2006/relationships/hyperlink" Target="https://expa.aiesec.org/opportunities/1291929" TargetMode="External"/><Relationship Id="rId2896" Type="http://schemas.openxmlformats.org/officeDocument/2006/relationships/hyperlink" Target="https://expa.aiesec.org/opportunities/1291071" TargetMode="External"/><Relationship Id="rId1566" Type="http://schemas.openxmlformats.org/officeDocument/2006/relationships/hyperlink" Target="https://expa.aiesec.org/opportunities/1294066" TargetMode="External"/><Relationship Id="rId2897" Type="http://schemas.openxmlformats.org/officeDocument/2006/relationships/hyperlink" Target="https://expa.aiesec.org/opportunities/1296307" TargetMode="External"/><Relationship Id="rId1567" Type="http://schemas.openxmlformats.org/officeDocument/2006/relationships/hyperlink" Target="https://expa.aiesec.org/opportunities/1294066" TargetMode="External"/><Relationship Id="rId2898" Type="http://schemas.openxmlformats.org/officeDocument/2006/relationships/hyperlink" Target="https://expa.aiesec.org/opportunities/1295149" TargetMode="External"/><Relationship Id="rId1568" Type="http://schemas.openxmlformats.org/officeDocument/2006/relationships/hyperlink" Target="https://expa.aiesec.org/opportunities/1289672" TargetMode="External"/><Relationship Id="rId2899" Type="http://schemas.openxmlformats.org/officeDocument/2006/relationships/hyperlink" Target="https://expa.aiesec.org/opportunities/1288377" TargetMode="External"/><Relationship Id="rId1569" Type="http://schemas.openxmlformats.org/officeDocument/2006/relationships/hyperlink" Target="https://expa.aiesec.org/opportunities/1288412" TargetMode="External"/><Relationship Id="rId976" Type="http://schemas.openxmlformats.org/officeDocument/2006/relationships/hyperlink" Target="https://expa.aiesec.org/opportunities/1291634" TargetMode="External"/><Relationship Id="rId975" Type="http://schemas.openxmlformats.org/officeDocument/2006/relationships/hyperlink" Target="https://expa.aiesec.org/opportunities/1265080" TargetMode="External"/><Relationship Id="rId974" Type="http://schemas.openxmlformats.org/officeDocument/2006/relationships/hyperlink" Target="https://expa.aiesec.org/opportunities/1285713" TargetMode="External"/><Relationship Id="rId973" Type="http://schemas.openxmlformats.org/officeDocument/2006/relationships/hyperlink" Target="https://expa.aiesec.org/opportunities/1291417" TargetMode="External"/><Relationship Id="rId979" Type="http://schemas.openxmlformats.org/officeDocument/2006/relationships/hyperlink" Target="https://expa.aiesec.org/opportunities/1289554" TargetMode="External"/><Relationship Id="rId978" Type="http://schemas.openxmlformats.org/officeDocument/2006/relationships/hyperlink" Target="https://expa.aiesec.org/opportunities/1289076" TargetMode="External"/><Relationship Id="rId977" Type="http://schemas.openxmlformats.org/officeDocument/2006/relationships/hyperlink" Target="https://expa.aiesec.org/opportunities/1291045" TargetMode="External"/><Relationship Id="rId2890" Type="http://schemas.openxmlformats.org/officeDocument/2006/relationships/hyperlink" Target="https://expa.aiesec.org/opportunities/1297417" TargetMode="External"/><Relationship Id="rId1560" Type="http://schemas.openxmlformats.org/officeDocument/2006/relationships/hyperlink" Target="https://expa.aiesec.org/opportunities/1293172" TargetMode="External"/><Relationship Id="rId2891" Type="http://schemas.openxmlformats.org/officeDocument/2006/relationships/hyperlink" Target="https://expa.aiesec.org/opportunities/1295603" TargetMode="External"/><Relationship Id="rId972" Type="http://schemas.openxmlformats.org/officeDocument/2006/relationships/hyperlink" Target="https://expa.aiesec.org/opportunities/1287854" TargetMode="External"/><Relationship Id="rId1561" Type="http://schemas.openxmlformats.org/officeDocument/2006/relationships/hyperlink" Target="https://expa.aiesec.org/opportunities/1291929" TargetMode="External"/><Relationship Id="rId2892" Type="http://schemas.openxmlformats.org/officeDocument/2006/relationships/hyperlink" Target="https://expa.aiesec.org/opportunities/1296105" TargetMode="External"/><Relationship Id="rId971" Type="http://schemas.openxmlformats.org/officeDocument/2006/relationships/hyperlink" Target="https://expa.aiesec.org/opportunities/1288330" TargetMode="External"/><Relationship Id="rId1562" Type="http://schemas.openxmlformats.org/officeDocument/2006/relationships/hyperlink" Target="https://expa.aiesec.org/opportunities/1291929" TargetMode="External"/><Relationship Id="rId2893" Type="http://schemas.openxmlformats.org/officeDocument/2006/relationships/hyperlink" Target="https://expa.aiesec.org/opportunities/1295743" TargetMode="External"/><Relationship Id="rId970" Type="http://schemas.openxmlformats.org/officeDocument/2006/relationships/hyperlink" Target="https://expa.aiesec.org/opportunities/1290260" TargetMode="External"/><Relationship Id="rId1563" Type="http://schemas.openxmlformats.org/officeDocument/2006/relationships/hyperlink" Target="https://expa.aiesec.org/opportunities/1292871" TargetMode="External"/><Relationship Id="rId2894" Type="http://schemas.openxmlformats.org/officeDocument/2006/relationships/hyperlink" Target="https://expa.aiesec.org/opportunities/1283683" TargetMode="External"/><Relationship Id="rId1564" Type="http://schemas.openxmlformats.org/officeDocument/2006/relationships/hyperlink" Target="https://expa.aiesec.org/opportunities/1289536" TargetMode="External"/><Relationship Id="rId2895" Type="http://schemas.openxmlformats.org/officeDocument/2006/relationships/hyperlink" Target="https://expa.aiesec.org/opportunities/1278298" TargetMode="External"/><Relationship Id="rId1598" Type="http://schemas.openxmlformats.org/officeDocument/2006/relationships/hyperlink" Target="https://expa.aiesec.org/opportunities/1292793" TargetMode="External"/><Relationship Id="rId1599" Type="http://schemas.openxmlformats.org/officeDocument/2006/relationships/hyperlink" Target="https://expa.aiesec.org/opportunities/1292002" TargetMode="External"/><Relationship Id="rId1590" Type="http://schemas.openxmlformats.org/officeDocument/2006/relationships/hyperlink" Target="https://expa.aiesec.org/opportunities/1294066" TargetMode="External"/><Relationship Id="rId1591" Type="http://schemas.openxmlformats.org/officeDocument/2006/relationships/hyperlink" Target="https://expa.aiesec.org/opportunities/1293463" TargetMode="External"/><Relationship Id="rId1592" Type="http://schemas.openxmlformats.org/officeDocument/2006/relationships/hyperlink" Target="https://expa.aiesec.org/opportunities/1293463" TargetMode="External"/><Relationship Id="rId1593" Type="http://schemas.openxmlformats.org/officeDocument/2006/relationships/hyperlink" Target="https://expa.aiesec.org/opportunities/1293463" TargetMode="External"/><Relationship Id="rId1594" Type="http://schemas.openxmlformats.org/officeDocument/2006/relationships/hyperlink" Target="https://expa.aiesec.org/opportunities/1293814" TargetMode="External"/><Relationship Id="rId1595" Type="http://schemas.openxmlformats.org/officeDocument/2006/relationships/hyperlink" Target="https://expa.aiesec.org/opportunities/1272564" TargetMode="External"/><Relationship Id="rId1596" Type="http://schemas.openxmlformats.org/officeDocument/2006/relationships/hyperlink" Target="https://expa.aiesec.org/opportunities/1281357" TargetMode="External"/><Relationship Id="rId1597" Type="http://schemas.openxmlformats.org/officeDocument/2006/relationships/hyperlink" Target="https://expa.aiesec.org/opportunities/1292557" TargetMode="External"/><Relationship Id="rId1587" Type="http://schemas.openxmlformats.org/officeDocument/2006/relationships/hyperlink" Target="https://expa.aiesec.org/opportunities/1284312" TargetMode="External"/><Relationship Id="rId1588" Type="http://schemas.openxmlformats.org/officeDocument/2006/relationships/hyperlink" Target="https://expa.aiesec.org/opportunities/1292793" TargetMode="External"/><Relationship Id="rId1589" Type="http://schemas.openxmlformats.org/officeDocument/2006/relationships/hyperlink" Target="https://expa.aiesec.org/opportunities/1293133" TargetMode="External"/><Relationship Id="rId998" Type="http://schemas.openxmlformats.org/officeDocument/2006/relationships/hyperlink" Target="https://expa.aiesec.org/opportunities/1284476" TargetMode="External"/><Relationship Id="rId997" Type="http://schemas.openxmlformats.org/officeDocument/2006/relationships/hyperlink" Target="https://expa.aiesec.org/opportunities/1284312" TargetMode="External"/><Relationship Id="rId996" Type="http://schemas.openxmlformats.org/officeDocument/2006/relationships/hyperlink" Target="https://expa.aiesec.org/opportunities/1289446" TargetMode="External"/><Relationship Id="rId995" Type="http://schemas.openxmlformats.org/officeDocument/2006/relationships/hyperlink" Target="https://expa.aiesec.org/opportunities/1289255" TargetMode="External"/><Relationship Id="rId999" Type="http://schemas.openxmlformats.org/officeDocument/2006/relationships/hyperlink" Target="https://expa.aiesec.org/opportunities/1290924" TargetMode="External"/><Relationship Id="rId990" Type="http://schemas.openxmlformats.org/officeDocument/2006/relationships/hyperlink" Target="https://expa.aiesec.org/opportunities/1280733" TargetMode="External"/><Relationship Id="rId1580" Type="http://schemas.openxmlformats.org/officeDocument/2006/relationships/hyperlink" Target="https://expa.aiesec.org/opportunities/1291881" TargetMode="External"/><Relationship Id="rId1581" Type="http://schemas.openxmlformats.org/officeDocument/2006/relationships/hyperlink" Target="https://expa.aiesec.org/opportunities/1291929" TargetMode="External"/><Relationship Id="rId1582" Type="http://schemas.openxmlformats.org/officeDocument/2006/relationships/hyperlink" Target="https://expa.aiesec.org/opportunities/1284831" TargetMode="External"/><Relationship Id="rId994" Type="http://schemas.openxmlformats.org/officeDocument/2006/relationships/hyperlink" Target="https://expa.aiesec.org/opportunities/1289536" TargetMode="External"/><Relationship Id="rId1583" Type="http://schemas.openxmlformats.org/officeDocument/2006/relationships/hyperlink" Target="https://expa.aiesec.org/opportunities/1292557" TargetMode="External"/><Relationship Id="rId993" Type="http://schemas.openxmlformats.org/officeDocument/2006/relationships/hyperlink" Target="https://expa.aiesec.org/opportunities/1272564" TargetMode="External"/><Relationship Id="rId1584" Type="http://schemas.openxmlformats.org/officeDocument/2006/relationships/hyperlink" Target="https://expa.aiesec.org/opportunities/1292533" TargetMode="External"/><Relationship Id="rId992" Type="http://schemas.openxmlformats.org/officeDocument/2006/relationships/hyperlink" Target="https://expa.aiesec.org/opportunities/1289536" TargetMode="External"/><Relationship Id="rId1585" Type="http://schemas.openxmlformats.org/officeDocument/2006/relationships/hyperlink" Target="https://expa.aiesec.org/opportunities/1272564" TargetMode="External"/><Relationship Id="rId991" Type="http://schemas.openxmlformats.org/officeDocument/2006/relationships/hyperlink" Target="https://expa.aiesec.org/opportunities/1291449" TargetMode="External"/><Relationship Id="rId1586" Type="http://schemas.openxmlformats.org/officeDocument/2006/relationships/hyperlink" Target="https://expa.aiesec.org/opportunities/1293374" TargetMode="External"/><Relationship Id="rId1532" Type="http://schemas.openxmlformats.org/officeDocument/2006/relationships/hyperlink" Target="https://expa.aiesec.org/opportunities/1288970" TargetMode="External"/><Relationship Id="rId2863" Type="http://schemas.openxmlformats.org/officeDocument/2006/relationships/hyperlink" Target="https://expa.aiesec.org/opportunities/1286839" TargetMode="External"/><Relationship Id="rId1533" Type="http://schemas.openxmlformats.org/officeDocument/2006/relationships/hyperlink" Target="https://expa.aiesec.org/opportunities/1287121" TargetMode="External"/><Relationship Id="rId2864" Type="http://schemas.openxmlformats.org/officeDocument/2006/relationships/hyperlink" Target="https://expa.aiesec.org/opportunities/1291679" TargetMode="External"/><Relationship Id="rId1534" Type="http://schemas.openxmlformats.org/officeDocument/2006/relationships/hyperlink" Target="https://expa.aiesec.org/opportunities/1291375" TargetMode="External"/><Relationship Id="rId2865" Type="http://schemas.openxmlformats.org/officeDocument/2006/relationships/hyperlink" Target="https://expa.aiesec.org/opportunities/1297781" TargetMode="External"/><Relationship Id="rId1535" Type="http://schemas.openxmlformats.org/officeDocument/2006/relationships/hyperlink" Target="https://expa.aiesec.org/opportunities/1290891" TargetMode="External"/><Relationship Id="rId2866" Type="http://schemas.openxmlformats.org/officeDocument/2006/relationships/hyperlink" Target="https://expa.aiesec.org/opportunities/1286839" TargetMode="External"/><Relationship Id="rId1536" Type="http://schemas.openxmlformats.org/officeDocument/2006/relationships/hyperlink" Target="https://expa.aiesec.org/opportunities/1293463" TargetMode="External"/><Relationship Id="rId2867" Type="http://schemas.openxmlformats.org/officeDocument/2006/relationships/hyperlink" Target="https://expa.aiesec.org/opportunities/1295303" TargetMode="External"/><Relationship Id="rId1537" Type="http://schemas.openxmlformats.org/officeDocument/2006/relationships/hyperlink" Target="https://expa.aiesec.org/opportunities/1286039" TargetMode="External"/><Relationship Id="rId2868" Type="http://schemas.openxmlformats.org/officeDocument/2006/relationships/hyperlink" Target="https://expa.aiesec.org/opportunities/1295247" TargetMode="External"/><Relationship Id="rId1538" Type="http://schemas.openxmlformats.org/officeDocument/2006/relationships/hyperlink" Target="https://expa.aiesec.org/opportunities/1286039" TargetMode="External"/><Relationship Id="rId2869" Type="http://schemas.openxmlformats.org/officeDocument/2006/relationships/hyperlink" Target="https://expa.aiesec.org/opportunities/1295566" TargetMode="External"/><Relationship Id="rId1539" Type="http://schemas.openxmlformats.org/officeDocument/2006/relationships/hyperlink" Target="https://expa.aiesec.org/opportunities/1293951" TargetMode="External"/><Relationship Id="rId949" Type="http://schemas.openxmlformats.org/officeDocument/2006/relationships/hyperlink" Target="https://expa.aiesec.org/opportunities/1285960" TargetMode="External"/><Relationship Id="rId948" Type="http://schemas.openxmlformats.org/officeDocument/2006/relationships/hyperlink" Target="https://expa.aiesec.org/opportunities/1291264" TargetMode="External"/><Relationship Id="rId943" Type="http://schemas.openxmlformats.org/officeDocument/2006/relationships/hyperlink" Target="https://expa.aiesec.org/opportunities/1283288" TargetMode="External"/><Relationship Id="rId942" Type="http://schemas.openxmlformats.org/officeDocument/2006/relationships/hyperlink" Target="https://expa.aiesec.org/opportunities/1291057" TargetMode="External"/><Relationship Id="rId941" Type="http://schemas.openxmlformats.org/officeDocument/2006/relationships/hyperlink" Target="https://expa.aiesec.org/opportunities/1286779" TargetMode="External"/><Relationship Id="rId940" Type="http://schemas.openxmlformats.org/officeDocument/2006/relationships/hyperlink" Target="https://expa.aiesec.org/opportunities/1290672" TargetMode="External"/><Relationship Id="rId947" Type="http://schemas.openxmlformats.org/officeDocument/2006/relationships/hyperlink" Target="https://expa.aiesec.org/opportunities/1290243" TargetMode="External"/><Relationship Id="rId946" Type="http://schemas.openxmlformats.org/officeDocument/2006/relationships/hyperlink" Target="https://expa.aiesec.org/opportunities/1291692" TargetMode="External"/><Relationship Id="rId945" Type="http://schemas.openxmlformats.org/officeDocument/2006/relationships/hyperlink" Target="https://expa.aiesec.org/opportunities/1290806" TargetMode="External"/><Relationship Id="rId944" Type="http://schemas.openxmlformats.org/officeDocument/2006/relationships/hyperlink" Target="https://expa.aiesec.org/opportunities/1291055" TargetMode="External"/><Relationship Id="rId2860" Type="http://schemas.openxmlformats.org/officeDocument/2006/relationships/hyperlink" Target="https://expa.aiesec.org/opportunities/1288393" TargetMode="External"/><Relationship Id="rId1530" Type="http://schemas.openxmlformats.org/officeDocument/2006/relationships/hyperlink" Target="https://expa.aiesec.org/opportunities/1286326" TargetMode="External"/><Relationship Id="rId2861" Type="http://schemas.openxmlformats.org/officeDocument/2006/relationships/hyperlink" Target="https://expa.aiesec.org/opportunities/1289536" TargetMode="External"/><Relationship Id="rId1531" Type="http://schemas.openxmlformats.org/officeDocument/2006/relationships/hyperlink" Target="https://expa.aiesec.org/opportunities/1288663" TargetMode="External"/><Relationship Id="rId2862" Type="http://schemas.openxmlformats.org/officeDocument/2006/relationships/hyperlink" Target="https://expa.aiesec.org/opportunities/1291204" TargetMode="External"/><Relationship Id="rId1521" Type="http://schemas.openxmlformats.org/officeDocument/2006/relationships/hyperlink" Target="https://expa.aiesec.org/opportunities/1283483" TargetMode="External"/><Relationship Id="rId2852" Type="http://schemas.openxmlformats.org/officeDocument/2006/relationships/hyperlink" Target="https://expa.aiesec.org/opportunities/1291071" TargetMode="External"/><Relationship Id="rId1522" Type="http://schemas.openxmlformats.org/officeDocument/2006/relationships/hyperlink" Target="https://expa.aiesec.org/opportunities/1292962" TargetMode="External"/><Relationship Id="rId2853" Type="http://schemas.openxmlformats.org/officeDocument/2006/relationships/hyperlink" Target="https://expa.aiesec.org/opportunities/1294137" TargetMode="External"/><Relationship Id="rId1523" Type="http://schemas.openxmlformats.org/officeDocument/2006/relationships/hyperlink" Target="https://expa.aiesec.org/opportunities/1286920" TargetMode="External"/><Relationship Id="rId2854" Type="http://schemas.openxmlformats.org/officeDocument/2006/relationships/hyperlink" Target="https://expa.aiesec.org/opportunities/1294137" TargetMode="External"/><Relationship Id="rId1524" Type="http://schemas.openxmlformats.org/officeDocument/2006/relationships/hyperlink" Target="https://expa.aiesec.org/opportunities/1290850" TargetMode="External"/><Relationship Id="rId2855" Type="http://schemas.openxmlformats.org/officeDocument/2006/relationships/hyperlink" Target="https://expa.aiesec.org/opportunities/1294352" TargetMode="External"/><Relationship Id="rId1525" Type="http://schemas.openxmlformats.org/officeDocument/2006/relationships/hyperlink" Target="https://expa.aiesec.org/opportunities/1294034" TargetMode="External"/><Relationship Id="rId2856" Type="http://schemas.openxmlformats.org/officeDocument/2006/relationships/hyperlink" Target="https://expa.aiesec.org/opportunities/1291055" TargetMode="External"/><Relationship Id="rId1526" Type="http://schemas.openxmlformats.org/officeDocument/2006/relationships/hyperlink" Target="https://expa.aiesec.org/opportunities/1294000" TargetMode="External"/><Relationship Id="rId2857" Type="http://schemas.openxmlformats.org/officeDocument/2006/relationships/hyperlink" Target="https://expa.aiesec.org/opportunities/1297414" TargetMode="External"/><Relationship Id="rId1527" Type="http://schemas.openxmlformats.org/officeDocument/2006/relationships/hyperlink" Target="https://expa.aiesec.org/opportunities/1286920" TargetMode="External"/><Relationship Id="rId2858" Type="http://schemas.openxmlformats.org/officeDocument/2006/relationships/hyperlink" Target="https://expa.aiesec.org/opportunities/1296266" TargetMode="External"/><Relationship Id="rId1528" Type="http://schemas.openxmlformats.org/officeDocument/2006/relationships/hyperlink" Target="https://expa.aiesec.org/opportunities/1293495" TargetMode="External"/><Relationship Id="rId2859" Type="http://schemas.openxmlformats.org/officeDocument/2006/relationships/hyperlink" Target="https://expa.aiesec.org/opportunities/1297355" TargetMode="External"/><Relationship Id="rId1529" Type="http://schemas.openxmlformats.org/officeDocument/2006/relationships/hyperlink" Target="https://expa.aiesec.org/opportunities/1291881" TargetMode="External"/><Relationship Id="rId939" Type="http://schemas.openxmlformats.org/officeDocument/2006/relationships/hyperlink" Target="https://expa.aiesec.org/opportunities/1272564" TargetMode="External"/><Relationship Id="rId938" Type="http://schemas.openxmlformats.org/officeDocument/2006/relationships/hyperlink" Target="https://expa.aiesec.org/opportunities/1290826" TargetMode="External"/><Relationship Id="rId937" Type="http://schemas.openxmlformats.org/officeDocument/2006/relationships/hyperlink" Target="https://expa.aiesec.org/opportunities/1291045" TargetMode="External"/><Relationship Id="rId932" Type="http://schemas.openxmlformats.org/officeDocument/2006/relationships/hyperlink" Target="https://expa.aiesec.org/opportunities/1290692" TargetMode="External"/><Relationship Id="rId931" Type="http://schemas.openxmlformats.org/officeDocument/2006/relationships/hyperlink" Target="https://expa.aiesec.org/opportunities/1290722" TargetMode="External"/><Relationship Id="rId930" Type="http://schemas.openxmlformats.org/officeDocument/2006/relationships/hyperlink" Target="https://expa.aiesec.org/opportunities/1290931" TargetMode="External"/><Relationship Id="rId936" Type="http://schemas.openxmlformats.org/officeDocument/2006/relationships/hyperlink" Target="https://expa.aiesec.org/opportunities/1291045" TargetMode="External"/><Relationship Id="rId935" Type="http://schemas.openxmlformats.org/officeDocument/2006/relationships/hyperlink" Target="https://expa.aiesec.org/opportunities/1291562" TargetMode="External"/><Relationship Id="rId934" Type="http://schemas.openxmlformats.org/officeDocument/2006/relationships/hyperlink" Target="https://expa.aiesec.org/opportunities/1291553" TargetMode="External"/><Relationship Id="rId933" Type="http://schemas.openxmlformats.org/officeDocument/2006/relationships/hyperlink" Target="https://expa.aiesec.org/opportunities/1291631" TargetMode="External"/><Relationship Id="rId2850" Type="http://schemas.openxmlformats.org/officeDocument/2006/relationships/hyperlink" Target="https://expa.aiesec.org/opportunities/1286059" TargetMode="External"/><Relationship Id="rId1520" Type="http://schemas.openxmlformats.org/officeDocument/2006/relationships/hyperlink" Target="https://expa.aiesec.org/opportunities/1288798" TargetMode="External"/><Relationship Id="rId2851" Type="http://schemas.openxmlformats.org/officeDocument/2006/relationships/hyperlink" Target="https://expa.aiesec.org/opportunities/1294209" TargetMode="External"/><Relationship Id="rId1554" Type="http://schemas.openxmlformats.org/officeDocument/2006/relationships/hyperlink" Target="https://expa.aiesec.org/opportunities/1286751" TargetMode="External"/><Relationship Id="rId2885" Type="http://schemas.openxmlformats.org/officeDocument/2006/relationships/hyperlink" Target="https://expa.aiesec.org/opportunities/1289307" TargetMode="External"/><Relationship Id="rId1555" Type="http://schemas.openxmlformats.org/officeDocument/2006/relationships/hyperlink" Target="https://expa.aiesec.org/opportunities/1289297" TargetMode="External"/><Relationship Id="rId2886" Type="http://schemas.openxmlformats.org/officeDocument/2006/relationships/hyperlink" Target="https://expa.aiesec.org/opportunities/1289615" TargetMode="External"/><Relationship Id="rId1556" Type="http://schemas.openxmlformats.org/officeDocument/2006/relationships/hyperlink" Target="https://expa.aiesec.org/opportunities/1281357" TargetMode="External"/><Relationship Id="rId2887" Type="http://schemas.openxmlformats.org/officeDocument/2006/relationships/hyperlink" Target="https://expa.aiesec.org/opportunities/1289393" TargetMode="External"/><Relationship Id="rId1557" Type="http://schemas.openxmlformats.org/officeDocument/2006/relationships/hyperlink" Target="https://expa.aiesec.org/opportunities/1285687" TargetMode="External"/><Relationship Id="rId2888" Type="http://schemas.openxmlformats.org/officeDocument/2006/relationships/hyperlink" Target="https://expa.aiesec.org/opportunities/1290731" TargetMode="External"/><Relationship Id="rId1558" Type="http://schemas.openxmlformats.org/officeDocument/2006/relationships/hyperlink" Target="https://expa.aiesec.org/opportunities/1290282" TargetMode="External"/><Relationship Id="rId2889" Type="http://schemas.openxmlformats.org/officeDocument/2006/relationships/hyperlink" Target="https://expa.aiesec.org/opportunities/1290731" TargetMode="External"/><Relationship Id="rId1559" Type="http://schemas.openxmlformats.org/officeDocument/2006/relationships/hyperlink" Target="https://expa.aiesec.org/opportunities/1288609" TargetMode="External"/><Relationship Id="rId965" Type="http://schemas.openxmlformats.org/officeDocument/2006/relationships/hyperlink" Target="https://expa.aiesec.org/opportunities/1291873" TargetMode="External"/><Relationship Id="rId964" Type="http://schemas.openxmlformats.org/officeDocument/2006/relationships/hyperlink" Target="https://expa.aiesec.org/opportunities/1288582" TargetMode="External"/><Relationship Id="rId963" Type="http://schemas.openxmlformats.org/officeDocument/2006/relationships/hyperlink" Target="https://expa.aiesec.org/opportunities/1283180" TargetMode="External"/><Relationship Id="rId962" Type="http://schemas.openxmlformats.org/officeDocument/2006/relationships/hyperlink" Target="https://expa.aiesec.org/opportunities/1290277" TargetMode="External"/><Relationship Id="rId969" Type="http://schemas.openxmlformats.org/officeDocument/2006/relationships/hyperlink" Target="https://expa.aiesec.org/opportunities/1281231" TargetMode="External"/><Relationship Id="rId968" Type="http://schemas.openxmlformats.org/officeDocument/2006/relationships/hyperlink" Target="https://expa.aiesec.org/opportunities/1291271" TargetMode="External"/><Relationship Id="rId967" Type="http://schemas.openxmlformats.org/officeDocument/2006/relationships/hyperlink" Target="https://expa.aiesec.org/opportunities/1289536" TargetMode="External"/><Relationship Id="rId966" Type="http://schemas.openxmlformats.org/officeDocument/2006/relationships/hyperlink" Target="https://expa.aiesec.org/opportunities/1289214" TargetMode="External"/><Relationship Id="rId2880" Type="http://schemas.openxmlformats.org/officeDocument/2006/relationships/hyperlink" Target="https://expa.aiesec.org/opportunities/1284081" TargetMode="External"/><Relationship Id="rId961" Type="http://schemas.openxmlformats.org/officeDocument/2006/relationships/hyperlink" Target="https://expa.aiesec.org/opportunities/1289255" TargetMode="External"/><Relationship Id="rId1550" Type="http://schemas.openxmlformats.org/officeDocument/2006/relationships/hyperlink" Target="https://expa.aiesec.org/opportunities/1289686" TargetMode="External"/><Relationship Id="rId2881" Type="http://schemas.openxmlformats.org/officeDocument/2006/relationships/hyperlink" Target="https://expa.aiesec.org/opportunities/1294651" TargetMode="External"/><Relationship Id="rId960" Type="http://schemas.openxmlformats.org/officeDocument/2006/relationships/hyperlink" Target="https://expa.aiesec.org/opportunities/1289536" TargetMode="External"/><Relationship Id="rId1551" Type="http://schemas.openxmlformats.org/officeDocument/2006/relationships/hyperlink" Target="https://expa.aiesec.org/opportunities/1293625" TargetMode="External"/><Relationship Id="rId2882" Type="http://schemas.openxmlformats.org/officeDocument/2006/relationships/hyperlink" Target="https://expa.aiesec.org/opportunities/1288393" TargetMode="External"/><Relationship Id="rId1552" Type="http://schemas.openxmlformats.org/officeDocument/2006/relationships/hyperlink" Target="https://expa.aiesec.org/opportunities/1286368" TargetMode="External"/><Relationship Id="rId2883" Type="http://schemas.openxmlformats.org/officeDocument/2006/relationships/hyperlink" Target="https://expa.aiesec.org/opportunities/1284081" TargetMode="External"/><Relationship Id="rId1553" Type="http://schemas.openxmlformats.org/officeDocument/2006/relationships/hyperlink" Target="https://expa.aiesec.org/opportunities/1293706" TargetMode="External"/><Relationship Id="rId2884" Type="http://schemas.openxmlformats.org/officeDocument/2006/relationships/hyperlink" Target="https://expa.aiesec.org/opportunities/1296101" TargetMode="External"/><Relationship Id="rId1543" Type="http://schemas.openxmlformats.org/officeDocument/2006/relationships/hyperlink" Target="https://expa.aiesec.org/opportunities/1290282" TargetMode="External"/><Relationship Id="rId2874" Type="http://schemas.openxmlformats.org/officeDocument/2006/relationships/hyperlink" Target="https://expa.aiesec.org/opportunities/1288461" TargetMode="External"/><Relationship Id="rId1544" Type="http://schemas.openxmlformats.org/officeDocument/2006/relationships/hyperlink" Target="https://expa.aiesec.org/opportunities/1293691" TargetMode="External"/><Relationship Id="rId2875" Type="http://schemas.openxmlformats.org/officeDocument/2006/relationships/hyperlink" Target="https://expa.aiesec.org/opportunities/1294232" TargetMode="External"/><Relationship Id="rId1545" Type="http://schemas.openxmlformats.org/officeDocument/2006/relationships/hyperlink" Target="https://expa.aiesec.org/opportunities/1283483" TargetMode="External"/><Relationship Id="rId2876" Type="http://schemas.openxmlformats.org/officeDocument/2006/relationships/hyperlink" Target="https://expa.aiesec.org/opportunities/1289255" TargetMode="External"/><Relationship Id="rId1546" Type="http://schemas.openxmlformats.org/officeDocument/2006/relationships/hyperlink" Target="https://expa.aiesec.org/opportunities/1292667" TargetMode="External"/><Relationship Id="rId2877" Type="http://schemas.openxmlformats.org/officeDocument/2006/relationships/hyperlink" Target="https://expa.aiesec.org/opportunities/1278298" TargetMode="External"/><Relationship Id="rId1547" Type="http://schemas.openxmlformats.org/officeDocument/2006/relationships/hyperlink" Target="https://expa.aiesec.org/opportunities/1284484" TargetMode="External"/><Relationship Id="rId2878" Type="http://schemas.openxmlformats.org/officeDocument/2006/relationships/hyperlink" Target="https://expa.aiesec.org/opportunities/1297781" TargetMode="External"/><Relationship Id="rId1548" Type="http://schemas.openxmlformats.org/officeDocument/2006/relationships/hyperlink" Target="https://expa.aiesec.org/opportunities/1293467" TargetMode="External"/><Relationship Id="rId2879" Type="http://schemas.openxmlformats.org/officeDocument/2006/relationships/hyperlink" Target="https://expa.aiesec.org/opportunities/1280733" TargetMode="External"/><Relationship Id="rId1549" Type="http://schemas.openxmlformats.org/officeDocument/2006/relationships/hyperlink" Target="https://expa.aiesec.org/opportunities/1293468" TargetMode="External"/><Relationship Id="rId959" Type="http://schemas.openxmlformats.org/officeDocument/2006/relationships/hyperlink" Target="https://expa.aiesec.org/opportunities/1291083" TargetMode="External"/><Relationship Id="rId954" Type="http://schemas.openxmlformats.org/officeDocument/2006/relationships/hyperlink" Target="https://expa.aiesec.org/opportunities/1287990" TargetMode="External"/><Relationship Id="rId953" Type="http://schemas.openxmlformats.org/officeDocument/2006/relationships/hyperlink" Target="https://expa.aiesec.org/opportunities/1291585" TargetMode="External"/><Relationship Id="rId952" Type="http://schemas.openxmlformats.org/officeDocument/2006/relationships/hyperlink" Target="https://expa.aiesec.org/opportunities/1291634" TargetMode="External"/><Relationship Id="rId951" Type="http://schemas.openxmlformats.org/officeDocument/2006/relationships/hyperlink" Target="https://expa.aiesec.org/opportunities/1289370" TargetMode="External"/><Relationship Id="rId958" Type="http://schemas.openxmlformats.org/officeDocument/2006/relationships/hyperlink" Target="https://expa.aiesec.org/opportunities/1286442" TargetMode="External"/><Relationship Id="rId957" Type="http://schemas.openxmlformats.org/officeDocument/2006/relationships/hyperlink" Target="https://expa.aiesec.org/opportunities/1288330" TargetMode="External"/><Relationship Id="rId956" Type="http://schemas.openxmlformats.org/officeDocument/2006/relationships/hyperlink" Target="https://expa.aiesec.org/opportunities/1291185" TargetMode="External"/><Relationship Id="rId955" Type="http://schemas.openxmlformats.org/officeDocument/2006/relationships/hyperlink" Target="https://expa.aiesec.org/opportunities/1278558" TargetMode="External"/><Relationship Id="rId950" Type="http://schemas.openxmlformats.org/officeDocument/2006/relationships/hyperlink" Target="https://expa.aiesec.org/opportunities/1291585" TargetMode="External"/><Relationship Id="rId2870" Type="http://schemas.openxmlformats.org/officeDocument/2006/relationships/hyperlink" Target="https://expa.aiesec.org/opportunities/1294127" TargetMode="External"/><Relationship Id="rId1540" Type="http://schemas.openxmlformats.org/officeDocument/2006/relationships/hyperlink" Target="https://expa.aiesec.org/opportunities/1286039" TargetMode="External"/><Relationship Id="rId2871" Type="http://schemas.openxmlformats.org/officeDocument/2006/relationships/hyperlink" Target="https://expa.aiesec.org/opportunities/1294127" TargetMode="External"/><Relationship Id="rId1541" Type="http://schemas.openxmlformats.org/officeDocument/2006/relationships/hyperlink" Target="https://expa.aiesec.org/opportunities/1290282" TargetMode="External"/><Relationship Id="rId2872" Type="http://schemas.openxmlformats.org/officeDocument/2006/relationships/hyperlink" Target="https://expa.aiesec.org/opportunities/1297712" TargetMode="External"/><Relationship Id="rId1542" Type="http://schemas.openxmlformats.org/officeDocument/2006/relationships/hyperlink" Target="https://expa.aiesec.org/opportunities/1292962" TargetMode="External"/><Relationship Id="rId2873" Type="http://schemas.openxmlformats.org/officeDocument/2006/relationships/hyperlink" Target="https://expa.aiesec.org/opportunities/1294209" TargetMode="External"/><Relationship Id="rId2027" Type="http://schemas.openxmlformats.org/officeDocument/2006/relationships/hyperlink" Target="https://expa.aiesec.org/opportunities/1292535" TargetMode="External"/><Relationship Id="rId3359" Type="http://schemas.openxmlformats.org/officeDocument/2006/relationships/hyperlink" Target="https://expa.aiesec.org/opportunities/1300056" TargetMode="External"/><Relationship Id="rId2028" Type="http://schemas.openxmlformats.org/officeDocument/2006/relationships/hyperlink" Target="https://expa.aiesec.org/opportunities/1294972" TargetMode="External"/><Relationship Id="rId3358" Type="http://schemas.openxmlformats.org/officeDocument/2006/relationships/hyperlink" Target="https://expa.aiesec.org/opportunities/1286836" TargetMode="External"/><Relationship Id="rId2029" Type="http://schemas.openxmlformats.org/officeDocument/2006/relationships/hyperlink" Target="https://expa.aiesec.org/opportunities/1272564" TargetMode="External"/><Relationship Id="rId107" Type="http://schemas.openxmlformats.org/officeDocument/2006/relationships/hyperlink" Target="https://expa.aiesec.org/opportunities/1287226" TargetMode="External"/><Relationship Id="rId106" Type="http://schemas.openxmlformats.org/officeDocument/2006/relationships/hyperlink" Target="https://expa.aiesec.org/opportunities/1288279" TargetMode="External"/><Relationship Id="rId105" Type="http://schemas.openxmlformats.org/officeDocument/2006/relationships/hyperlink" Target="https://expa.aiesec.org/opportunities/1281061" TargetMode="External"/><Relationship Id="rId104" Type="http://schemas.openxmlformats.org/officeDocument/2006/relationships/hyperlink" Target="https://expa.aiesec.org/opportunities/1288436" TargetMode="External"/><Relationship Id="rId109" Type="http://schemas.openxmlformats.org/officeDocument/2006/relationships/hyperlink" Target="https://expa.aiesec.org/opportunities/1279516" TargetMode="External"/><Relationship Id="rId108" Type="http://schemas.openxmlformats.org/officeDocument/2006/relationships/hyperlink" Target="https://expa.aiesec.org/opportunities/1287569" TargetMode="External"/><Relationship Id="rId3351" Type="http://schemas.openxmlformats.org/officeDocument/2006/relationships/hyperlink" Target="https://expa.aiesec.org/opportunities/1298285" TargetMode="External"/><Relationship Id="rId2020" Type="http://schemas.openxmlformats.org/officeDocument/2006/relationships/hyperlink" Target="https://expa.aiesec.org/opportunities/1294332" TargetMode="External"/><Relationship Id="rId3350" Type="http://schemas.openxmlformats.org/officeDocument/2006/relationships/hyperlink" Target="https://expa.aiesec.org/opportunities/1289505" TargetMode="External"/><Relationship Id="rId2021" Type="http://schemas.openxmlformats.org/officeDocument/2006/relationships/hyperlink" Target="https://expa.aiesec.org/opportunities/1294972" TargetMode="External"/><Relationship Id="rId3353" Type="http://schemas.openxmlformats.org/officeDocument/2006/relationships/hyperlink" Target="https://expa.aiesec.org/opportunities/1293100" TargetMode="External"/><Relationship Id="rId2022" Type="http://schemas.openxmlformats.org/officeDocument/2006/relationships/hyperlink" Target="https://expa.aiesec.org/opportunities/1294795" TargetMode="External"/><Relationship Id="rId3352" Type="http://schemas.openxmlformats.org/officeDocument/2006/relationships/hyperlink" Target="https://expa.aiesec.org/opportunities/1280872" TargetMode="External"/><Relationship Id="rId103" Type="http://schemas.openxmlformats.org/officeDocument/2006/relationships/hyperlink" Target="https://expa.aiesec.org/opportunities/1287943" TargetMode="External"/><Relationship Id="rId2023" Type="http://schemas.openxmlformats.org/officeDocument/2006/relationships/hyperlink" Target="https://expa.aiesec.org/opportunities/1283873" TargetMode="External"/><Relationship Id="rId3355" Type="http://schemas.openxmlformats.org/officeDocument/2006/relationships/hyperlink" Target="https://expa.aiesec.org/opportunities/1289505" TargetMode="External"/><Relationship Id="rId102" Type="http://schemas.openxmlformats.org/officeDocument/2006/relationships/hyperlink" Target="https://expa.aiesec.org/opportunities/1268611" TargetMode="External"/><Relationship Id="rId2024" Type="http://schemas.openxmlformats.org/officeDocument/2006/relationships/hyperlink" Target="https://expa.aiesec.org/opportunities/1292715" TargetMode="External"/><Relationship Id="rId3354" Type="http://schemas.openxmlformats.org/officeDocument/2006/relationships/hyperlink" Target="https://expa.aiesec.org/opportunities/1297055" TargetMode="External"/><Relationship Id="rId101" Type="http://schemas.openxmlformats.org/officeDocument/2006/relationships/hyperlink" Target="https://expa.aiesec.org/opportunities/1287942" TargetMode="External"/><Relationship Id="rId2025" Type="http://schemas.openxmlformats.org/officeDocument/2006/relationships/hyperlink" Target="https://expa.aiesec.org/opportunities/1292118" TargetMode="External"/><Relationship Id="rId3357" Type="http://schemas.openxmlformats.org/officeDocument/2006/relationships/hyperlink" Target="https://expa.aiesec.org/opportunities/1289505" TargetMode="External"/><Relationship Id="rId100" Type="http://schemas.openxmlformats.org/officeDocument/2006/relationships/hyperlink" Target="https://expa.aiesec.org/opportunities/1268611" TargetMode="External"/><Relationship Id="rId2026" Type="http://schemas.openxmlformats.org/officeDocument/2006/relationships/hyperlink" Target="https://expa.aiesec.org/opportunities/1294972" TargetMode="External"/><Relationship Id="rId3356" Type="http://schemas.openxmlformats.org/officeDocument/2006/relationships/hyperlink" Target="https://expa.aiesec.org/opportunities/1299474" TargetMode="External"/><Relationship Id="rId2016" Type="http://schemas.openxmlformats.org/officeDocument/2006/relationships/hyperlink" Target="https://expa.aiesec.org/opportunities/1291979" TargetMode="External"/><Relationship Id="rId3348" Type="http://schemas.openxmlformats.org/officeDocument/2006/relationships/hyperlink" Target="https://expa.aiesec.org/opportunities/1298736" TargetMode="External"/><Relationship Id="rId2017" Type="http://schemas.openxmlformats.org/officeDocument/2006/relationships/hyperlink" Target="https://expa.aiesec.org/opportunities/1294332" TargetMode="External"/><Relationship Id="rId3347" Type="http://schemas.openxmlformats.org/officeDocument/2006/relationships/hyperlink" Target="https://expa.aiesec.org/opportunities/1298736" TargetMode="External"/><Relationship Id="rId2018" Type="http://schemas.openxmlformats.org/officeDocument/2006/relationships/hyperlink" Target="https://expa.aiesec.org/opportunities/1293918" TargetMode="External"/><Relationship Id="rId2019" Type="http://schemas.openxmlformats.org/officeDocument/2006/relationships/hyperlink" Target="https://expa.aiesec.org/opportunities/1286368" TargetMode="External"/><Relationship Id="rId3349" Type="http://schemas.openxmlformats.org/officeDocument/2006/relationships/hyperlink" Target="https://expa.aiesec.org/opportunities/1299113" TargetMode="External"/><Relationship Id="rId3340" Type="http://schemas.openxmlformats.org/officeDocument/2006/relationships/hyperlink" Target="https://expa.aiesec.org/opportunities/1289505" TargetMode="External"/><Relationship Id="rId2010" Type="http://schemas.openxmlformats.org/officeDocument/2006/relationships/hyperlink" Target="https://expa.aiesec.org/opportunities/1294066" TargetMode="External"/><Relationship Id="rId3342" Type="http://schemas.openxmlformats.org/officeDocument/2006/relationships/hyperlink" Target="https://expa.aiesec.org/opportunities/1297249" TargetMode="External"/><Relationship Id="rId2011" Type="http://schemas.openxmlformats.org/officeDocument/2006/relationships/hyperlink" Target="https://expa.aiesec.org/opportunities/1292298" TargetMode="External"/><Relationship Id="rId3341" Type="http://schemas.openxmlformats.org/officeDocument/2006/relationships/hyperlink" Target="https://expa.aiesec.org/opportunities/1299666" TargetMode="External"/><Relationship Id="rId2012" Type="http://schemas.openxmlformats.org/officeDocument/2006/relationships/hyperlink" Target="https://expa.aiesec.org/opportunities/1284312" TargetMode="External"/><Relationship Id="rId3344" Type="http://schemas.openxmlformats.org/officeDocument/2006/relationships/hyperlink" Target="https://expa.aiesec.org/opportunities/1288970" TargetMode="External"/><Relationship Id="rId2013" Type="http://schemas.openxmlformats.org/officeDocument/2006/relationships/hyperlink" Target="https://expa.aiesec.org/opportunities/1294922" TargetMode="External"/><Relationship Id="rId3343" Type="http://schemas.openxmlformats.org/officeDocument/2006/relationships/hyperlink" Target="https://expa.aiesec.org/opportunities/1295893" TargetMode="External"/><Relationship Id="rId2014" Type="http://schemas.openxmlformats.org/officeDocument/2006/relationships/hyperlink" Target="https://expa.aiesec.org/opportunities/1289596" TargetMode="External"/><Relationship Id="rId3346" Type="http://schemas.openxmlformats.org/officeDocument/2006/relationships/hyperlink" Target="https://expa.aiesec.org/opportunities/1295893" TargetMode="External"/><Relationship Id="rId2015" Type="http://schemas.openxmlformats.org/officeDocument/2006/relationships/hyperlink" Target="https://expa.aiesec.org/opportunities/1289596" TargetMode="External"/><Relationship Id="rId3345" Type="http://schemas.openxmlformats.org/officeDocument/2006/relationships/hyperlink" Target="https://expa.aiesec.org/opportunities/1298373" TargetMode="External"/><Relationship Id="rId2049" Type="http://schemas.openxmlformats.org/officeDocument/2006/relationships/hyperlink" Target="https://expa.aiesec.org/opportunities/1294209" TargetMode="External"/><Relationship Id="rId129" Type="http://schemas.openxmlformats.org/officeDocument/2006/relationships/hyperlink" Target="https://expa.aiesec.org/opportunities/1286346" TargetMode="External"/><Relationship Id="rId128" Type="http://schemas.openxmlformats.org/officeDocument/2006/relationships/hyperlink" Target="https://expa.aiesec.org/opportunities/1286326" TargetMode="External"/><Relationship Id="rId127" Type="http://schemas.openxmlformats.org/officeDocument/2006/relationships/hyperlink" Target="https://expa.aiesec.org/opportunities/1288101" TargetMode="External"/><Relationship Id="rId126" Type="http://schemas.openxmlformats.org/officeDocument/2006/relationships/hyperlink" Target="https://expa.aiesec.org/opportunities/1287475" TargetMode="External"/><Relationship Id="rId3371" Type="http://schemas.openxmlformats.org/officeDocument/2006/relationships/hyperlink" Target="https://expa.aiesec.org/opportunities/1300056" TargetMode="External"/><Relationship Id="rId2040" Type="http://schemas.openxmlformats.org/officeDocument/2006/relationships/hyperlink" Target="https://expa.aiesec.org/opportunities/1294622" TargetMode="External"/><Relationship Id="rId3370" Type="http://schemas.openxmlformats.org/officeDocument/2006/relationships/hyperlink" Target="https://expa.aiesec.org/opportunities/1289377" TargetMode="External"/><Relationship Id="rId121" Type="http://schemas.openxmlformats.org/officeDocument/2006/relationships/hyperlink" Target="https://expa.aiesec.org/opportunities/1286326" TargetMode="External"/><Relationship Id="rId2041" Type="http://schemas.openxmlformats.org/officeDocument/2006/relationships/hyperlink" Target="https://expa.aiesec.org/opportunities/1288663" TargetMode="External"/><Relationship Id="rId3373" Type="http://schemas.openxmlformats.org/officeDocument/2006/relationships/hyperlink" Target="https://expa.aiesec.org/opportunities/1296234" TargetMode="External"/><Relationship Id="rId120" Type="http://schemas.openxmlformats.org/officeDocument/2006/relationships/hyperlink" Target="https://expa.aiesec.org/opportunities/1286641" TargetMode="External"/><Relationship Id="rId2042" Type="http://schemas.openxmlformats.org/officeDocument/2006/relationships/hyperlink" Target="https://expa.aiesec.org/opportunities/1290077" TargetMode="External"/><Relationship Id="rId3372" Type="http://schemas.openxmlformats.org/officeDocument/2006/relationships/hyperlink" Target="https://expa.aiesec.org/opportunities/1299145" TargetMode="External"/><Relationship Id="rId2043" Type="http://schemas.openxmlformats.org/officeDocument/2006/relationships/hyperlink" Target="https://expa.aiesec.org/opportunities/1294976" TargetMode="External"/><Relationship Id="rId3375" Type="http://schemas.openxmlformats.org/officeDocument/2006/relationships/hyperlink" Target="https://expa.aiesec.org/opportunities/1279126" TargetMode="External"/><Relationship Id="rId2044" Type="http://schemas.openxmlformats.org/officeDocument/2006/relationships/hyperlink" Target="https://expa.aiesec.org/opportunities/1291252" TargetMode="External"/><Relationship Id="rId3374" Type="http://schemas.openxmlformats.org/officeDocument/2006/relationships/hyperlink" Target="https://expa.aiesec.org/opportunities/1279126" TargetMode="External"/><Relationship Id="rId125" Type="http://schemas.openxmlformats.org/officeDocument/2006/relationships/hyperlink" Target="https://expa.aiesec.org/opportunities/1287181" TargetMode="External"/><Relationship Id="rId2045" Type="http://schemas.openxmlformats.org/officeDocument/2006/relationships/hyperlink" Target="https://expa.aiesec.org/opportunities/1287851" TargetMode="External"/><Relationship Id="rId3377" Type="http://schemas.openxmlformats.org/officeDocument/2006/relationships/hyperlink" Target="https://expa.aiesec.org/opportunities/1298556" TargetMode="External"/><Relationship Id="rId124" Type="http://schemas.openxmlformats.org/officeDocument/2006/relationships/hyperlink" Target="https://expa.aiesec.org/opportunities/1286344" TargetMode="External"/><Relationship Id="rId2046" Type="http://schemas.openxmlformats.org/officeDocument/2006/relationships/hyperlink" Target="https://expa.aiesec.org/opportunities/1293954" TargetMode="External"/><Relationship Id="rId3376" Type="http://schemas.openxmlformats.org/officeDocument/2006/relationships/hyperlink" Target="https://expa.aiesec.org/opportunities/1293100" TargetMode="External"/><Relationship Id="rId123" Type="http://schemas.openxmlformats.org/officeDocument/2006/relationships/hyperlink" Target="https://expa.aiesec.org/opportunities/1286837" TargetMode="External"/><Relationship Id="rId2047" Type="http://schemas.openxmlformats.org/officeDocument/2006/relationships/hyperlink" Target="https://expa.aiesec.org/opportunities/1284476" TargetMode="External"/><Relationship Id="rId3379" Type="http://schemas.openxmlformats.org/officeDocument/2006/relationships/hyperlink" Target="https://expa.aiesec.org/opportunities/1289536" TargetMode="External"/><Relationship Id="rId122" Type="http://schemas.openxmlformats.org/officeDocument/2006/relationships/hyperlink" Target="https://expa.aiesec.org/opportunities/1287137" TargetMode="External"/><Relationship Id="rId2048" Type="http://schemas.openxmlformats.org/officeDocument/2006/relationships/hyperlink" Target="https://expa.aiesec.org/opportunities/1288970" TargetMode="External"/><Relationship Id="rId3378" Type="http://schemas.openxmlformats.org/officeDocument/2006/relationships/hyperlink" Target="https://expa.aiesec.org/opportunities/1298053" TargetMode="External"/><Relationship Id="rId2038" Type="http://schemas.openxmlformats.org/officeDocument/2006/relationships/hyperlink" Target="https://expa.aiesec.org/opportunities/1290641" TargetMode="External"/><Relationship Id="rId2039" Type="http://schemas.openxmlformats.org/officeDocument/2006/relationships/hyperlink" Target="https://expa.aiesec.org/opportunities/1291634" TargetMode="External"/><Relationship Id="rId3369" Type="http://schemas.openxmlformats.org/officeDocument/2006/relationships/hyperlink" Target="https://expa.aiesec.org/opportunities/1292557" TargetMode="External"/><Relationship Id="rId118" Type="http://schemas.openxmlformats.org/officeDocument/2006/relationships/hyperlink" Target="https://expa.aiesec.org/opportunities/1272564" TargetMode="External"/><Relationship Id="rId117" Type="http://schemas.openxmlformats.org/officeDocument/2006/relationships/hyperlink" Target="https://expa.aiesec.org/opportunities/1287181" TargetMode="External"/><Relationship Id="rId116" Type="http://schemas.openxmlformats.org/officeDocument/2006/relationships/hyperlink" Target="https://expa.aiesec.org/opportunities/1287251" TargetMode="External"/><Relationship Id="rId115" Type="http://schemas.openxmlformats.org/officeDocument/2006/relationships/hyperlink" Target="https://expa.aiesec.org/opportunities/1281061" TargetMode="External"/><Relationship Id="rId3360" Type="http://schemas.openxmlformats.org/officeDocument/2006/relationships/hyperlink" Target="https://expa.aiesec.org/opportunities/1287708" TargetMode="External"/><Relationship Id="rId119" Type="http://schemas.openxmlformats.org/officeDocument/2006/relationships/hyperlink" Target="https://expa.aiesec.org/opportunities/1278703" TargetMode="External"/><Relationship Id="rId110" Type="http://schemas.openxmlformats.org/officeDocument/2006/relationships/hyperlink" Target="https://expa.aiesec.org/opportunities/1287785" TargetMode="External"/><Relationship Id="rId2030" Type="http://schemas.openxmlformats.org/officeDocument/2006/relationships/hyperlink" Target="https://expa.aiesec.org/opportunities/1289536" TargetMode="External"/><Relationship Id="rId3362" Type="http://schemas.openxmlformats.org/officeDocument/2006/relationships/hyperlink" Target="https://expa.aiesec.org/opportunities/1289505" TargetMode="External"/><Relationship Id="rId2031" Type="http://schemas.openxmlformats.org/officeDocument/2006/relationships/hyperlink" Target="https://expa.aiesec.org/opportunities/1293275" TargetMode="External"/><Relationship Id="rId3361" Type="http://schemas.openxmlformats.org/officeDocument/2006/relationships/hyperlink" Target="https://expa.aiesec.org/opportunities/1299474" TargetMode="External"/><Relationship Id="rId2032" Type="http://schemas.openxmlformats.org/officeDocument/2006/relationships/hyperlink" Target="https://expa.aiesec.org/opportunities/1293788" TargetMode="External"/><Relationship Id="rId3364" Type="http://schemas.openxmlformats.org/officeDocument/2006/relationships/hyperlink" Target="https://expa.aiesec.org/opportunities/1281345" TargetMode="External"/><Relationship Id="rId2033" Type="http://schemas.openxmlformats.org/officeDocument/2006/relationships/hyperlink" Target="https://expa.aiesec.org/opportunities/1293245" TargetMode="External"/><Relationship Id="rId3363" Type="http://schemas.openxmlformats.org/officeDocument/2006/relationships/hyperlink" Target="https://expa.aiesec.org/opportunities/1292545" TargetMode="External"/><Relationship Id="rId114" Type="http://schemas.openxmlformats.org/officeDocument/2006/relationships/hyperlink" Target="https://expa.aiesec.org/opportunities/1262994" TargetMode="External"/><Relationship Id="rId2034" Type="http://schemas.openxmlformats.org/officeDocument/2006/relationships/hyperlink" Target="https://expa.aiesec.org/opportunities/1294209" TargetMode="External"/><Relationship Id="rId3366" Type="http://schemas.openxmlformats.org/officeDocument/2006/relationships/hyperlink" Target="https://expa.aiesec.org/opportunities/1299041" TargetMode="External"/><Relationship Id="rId113" Type="http://schemas.openxmlformats.org/officeDocument/2006/relationships/hyperlink" Target="https://expa.aiesec.org/opportunities/1287536" TargetMode="External"/><Relationship Id="rId2035" Type="http://schemas.openxmlformats.org/officeDocument/2006/relationships/hyperlink" Target="https://expa.aiesec.org/opportunities/1284976" TargetMode="External"/><Relationship Id="rId3365" Type="http://schemas.openxmlformats.org/officeDocument/2006/relationships/hyperlink" Target="https://expa.aiesec.org/opportunities/1295743" TargetMode="External"/><Relationship Id="rId112" Type="http://schemas.openxmlformats.org/officeDocument/2006/relationships/hyperlink" Target="https://expa.aiesec.org/opportunities/1285358" TargetMode="External"/><Relationship Id="rId2036" Type="http://schemas.openxmlformats.org/officeDocument/2006/relationships/hyperlink" Target="https://expa.aiesec.org/opportunities/1294374" TargetMode="External"/><Relationship Id="rId3368" Type="http://schemas.openxmlformats.org/officeDocument/2006/relationships/hyperlink" Target="https://expa.aiesec.org/opportunities/1286920" TargetMode="External"/><Relationship Id="rId111" Type="http://schemas.openxmlformats.org/officeDocument/2006/relationships/hyperlink" Target="https://expa.aiesec.org/opportunities/1287247" TargetMode="External"/><Relationship Id="rId2037" Type="http://schemas.openxmlformats.org/officeDocument/2006/relationships/hyperlink" Target="https://expa.aiesec.org/opportunities/1293468" TargetMode="External"/><Relationship Id="rId3367" Type="http://schemas.openxmlformats.org/officeDocument/2006/relationships/hyperlink" Target="https://expa.aiesec.org/opportunities/1289536" TargetMode="External"/><Relationship Id="rId3315" Type="http://schemas.openxmlformats.org/officeDocument/2006/relationships/hyperlink" Target="https://expa.aiesec.org/opportunities/1259741" TargetMode="External"/><Relationship Id="rId3314" Type="http://schemas.openxmlformats.org/officeDocument/2006/relationships/hyperlink" Target="https://expa.aiesec.org/opportunities/1299037" TargetMode="External"/><Relationship Id="rId3317" Type="http://schemas.openxmlformats.org/officeDocument/2006/relationships/hyperlink" Target="https://expa.aiesec.org/opportunities/1296529" TargetMode="External"/><Relationship Id="rId3316" Type="http://schemas.openxmlformats.org/officeDocument/2006/relationships/hyperlink" Target="https://expa.aiesec.org/opportunities/1289347" TargetMode="External"/><Relationship Id="rId3319" Type="http://schemas.openxmlformats.org/officeDocument/2006/relationships/hyperlink" Target="https://expa.aiesec.org/opportunities/1287560" TargetMode="External"/><Relationship Id="rId3318" Type="http://schemas.openxmlformats.org/officeDocument/2006/relationships/hyperlink" Target="https://expa.aiesec.org/opportunities/1292695" TargetMode="External"/><Relationship Id="rId3311" Type="http://schemas.openxmlformats.org/officeDocument/2006/relationships/hyperlink" Target="https://expa.aiesec.org/opportunities/1294063" TargetMode="External"/><Relationship Id="rId3310" Type="http://schemas.openxmlformats.org/officeDocument/2006/relationships/hyperlink" Target="https://expa.aiesec.org/opportunities/1298284" TargetMode="External"/><Relationship Id="rId3313" Type="http://schemas.openxmlformats.org/officeDocument/2006/relationships/hyperlink" Target="https://expa.aiesec.org/opportunities/1295893" TargetMode="External"/><Relationship Id="rId3312" Type="http://schemas.openxmlformats.org/officeDocument/2006/relationships/hyperlink" Target="https://expa.aiesec.org/opportunities/1299270" TargetMode="External"/><Relationship Id="rId3304" Type="http://schemas.openxmlformats.org/officeDocument/2006/relationships/hyperlink" Target="https://expa.aiesec.org/opportunities/1298053" TargetMode="External"/><Relationship Id="rId3303" Type="http://schemas.openxmlformats.org/officeDocument/2006/relationships/hyperlink" Target="https://expa.aiesec.org/opportunities/1298817" TargetMode="External"/><Relationship Id="rId3306" Type="http://schemas.openxmlformats.org/officeDocument/2006/relationships/hyperlink" Target="https://expa.aiesec.org/opportunities/1299037" TargetMode="External"/><Relationship Id="rId3305" Type="http://schemas.openxmlformats.org/officeDocument/2006/relationships/hyperlink" Target="https://expa.aiesec.org/opportunities/1293192" TargetMode="External"/><Relationship Id="rId3308" Type="http://schemas.openxmlformats.org/officeDocument/2006/relationships/hyperlink" Target="https://expa.aiesec.org/opportunities/1287966" TargetMode="External"/><Relationship Id="rId3307" Type="http://schemas.openxmlformats.org/officeDocument/2006/relationships/hyperlink" Target="https://expa.aiesec.org/opportunities/1299036" TargetMode="External"/><Relationship Id="rId3309" Type="http://schemas.openxmlformats.org/officeDocument/2006/relationships/hyperlink" Target="https://expa.aiesec.org/opportunities/1283288" TargetMode="External"/><Relationship Id="rId3300" Type="http://schemas.openxmlformats.org/officeDocument/2006/relationships/hyperlink" Target="https://expa.aiesec.org/opportunities/1299890" TargetMode="External"/><Relationship Id="rId3302" Type="http://schemas.openxmlformats.org/officeDocument/2006/relationships/hyperlink" Target="https://expa.aiesec.org/opportunities/1287011" TargetMode="External"/><Relationship Id="rId3301" Type="http://schemas.openxmlformats.org/officeDocument/2006/relationships/hyperlink" Target="https://expa.aiesec.org/opportunities/1293417" TargetMode="External"/><Relationship Id="rId2005" Type="http://schemas.openxmlformats.org/officeDocument/2006/relationships/hyperlink" Target="https://expa.aiesec.org/opportunities/1294372" TargetMode="External"/><Relationship Id="rId3337" Type="http://schemas.openxmlformats.org/officeDocument/2006/relationships/hyperlink" Target="https://expa.aiesec.org/opportunities/1281345" TargetMode="External"/><Relationship Id="rId2006" Type="http://schemas.openxmlformats.org/officeDocument/2006/relationships/hyperlink" Target="https://expa.aiesec.org/opportunities/1272564" TargetMode="External"/><Relationship Id="rId3336" Type="http://schemas.openxmlformats.org/officeDocument/2006/relationships/hyperlink" Target="https://expa.aiesec.org/opportunities/1289536" TargetMode="External"/><Relationship Id="rId2007" Type="http://schemas.openxmlformats.org/officeDocument/2006/relationships/hyperlink" Target="https://expa.aiesec.org/opportunities/1290024" TargetMode="External"/><Relationship Id="rId3339" Type="http://schemas.openxmlformats.org/officeDocument/2006/relationships/hyperlink" Target="https://expa.aiesec.org/opportunities/1298284" TargetMode="External"/><Relationship Id="rId2008" Type="http://schemas.openxmlformats.org/officeDocument/2006/relationships/hyperlink" Target="https://expa.aiesec.org/opportunities/1294584" TargetMode="External"/><Relationship Id="rId3338" Type="http://schemas.openxmlformats.org/officeDocument/2006/relationships/hyperlink" Target="https://expa.aiesec.org/opportunities/1298284" TargetMode="External"/><Relationship Id="rId2009" Type="http://schemas.openxmlformats.org/officeDocument/2006/relationships/hyperlink" Target="https://expa.aiesec.org/opportunities/1294641" TargetMode="External"/><Relationship Id="rId3331" Type="http://schemas.openxmlformats.org/officeDocument/2006/relationships/hyperlink" Target="https://expa.aiesec.org/opportunities/1294254" TargetMode="External"/><Relationship Id="rId2000" Type="http://schemas.openxmlformats.org/officeDocument/2006/relationships/hyperlink" Target="https://expa.aiesec.org/opportunities/1294372" TargetMode="External"/><Relationship Id="rId3330" Type="http://schemas.openxmlformats.org/officeDocument/2006/relationships/hyperlink" Target="https://expa.aiesec.org/opportunities/1294254" TargetMode="External"/><Relationship Id="rId2001" Type="http://schemas.openxmlformats.org/officeDocument/2006/relationships/hyperlink" Target="https://expa.aiesec.org/opportunities/1293046" TargetMode="External"/><Relationship Id="rId3333" Type="http://schemas.openxmlformats.org/officeDocument/2006/relationships/hyperlink" Target="https://expa.aiesec.org/opportunities/1299666" TargetMode="External"/><Relationship Id="rId2002" Type="http://schemas.openxmlformats.org/officeDocument/2006/relationships/hyperlink" Target="https://expa.aiesec.org/opportunities/1290950" TargetMode="External"/><Relationship Id="rId3332" Type="http://schemas.openxmlformats.org/officeDocument/2006/relationships/hyperlink" Target="https://expa.aiesec.org/opportunities/1298284" TargetMode="External"/><Relationship Id="rId2003" Type="http://schemas.openxmlformats.org/officeDocument/2006/relationships/hyperlink" Target="https://expa.aiesec.org/opportunities/1294760" TargetMode="External"/><Relationship Id="rId3335" Type="http://schemas.openxmlformats.org/officeDocument/2006/relationships/hyperlink" Target="https://expa.aiesec.org/opportunities/1286920" TargetMode="External"/><Relationship Id="rId2004" Type="http://schemas.openxmlformats.org/officeDocument/2006/relationships/hyperlink" Target="https://expa.aiesec.org/opportunities/1292127" TargetMode="External"/><Relationship Id="rId3334" Type="http://schemas.openxmlformats.org/officeDocument/2006/relationships/hyperlink" Target="https://expa.aiesec.org/opportunities/1294068" TargetMode="External"/><Relationship Id="rId3326" Type="http://schemas.openxmlformats.org/officeDocument/2006/relationships/hyperlink" Target="https://expa.aiesec.org/opportunities/1300058" TargetMode="External"/><Relationship Id="rId3325" Type="http://schemas.openxmlformats.org/officeDocument/2006/relationships/hyperlink" Target="https://expa.aiesec.org/opportunities/1262994" TargetMode="External"/><Relationship Id="rId3328" Type="http://schemas.openxmlformats.org/officeDocument/2006/relationships/hyperlink" Target="https://expa.aiesec.org/opportunities/1289536" TargetMode="External"/><Relationship Id="rId3327" Type="http://schemas.openxmlformats.org/officeDocument/2006/relationships/hyperlink" Target="https://expa.aiesec.org/opportunities/1289536" TargetMode="External"/><Relationship Id="rId3329" Type="http://schemas.openxmlformats.org/officeDocument/2006/relationships/hyperlink" Target="https://expa.aiesec.org/opportunities/1300050" TargetMode="External"/><Relationship Id="rId3320" Type="http://schemas.openxmlformats.org/officeDocument/2006/relationships/hyperlink" Target="https://expa.aiesec.org/opportunities/1289347" TargetMode="External"/><Relationship Id="rId3322" Type="http://schemas.openxmlformats.org/officeDocument/2006/relationships/hyperlink" Target="https://expa.aiesec.org/opportunities/1297344" TargetMode="External"/><Relationship Id="rId3321" Type="http://schemas.openxmlformats.org/officeDocument/2006/relationships/hyperlink" Target="https://expa.aiesec.org/opportunities/1294063" TargetMode="External"/><Relationship Id="rId3324" Type="http://schemas.openxmlformats.org/officeDocument/2006/relationships/hyperlink" Target="https://expa.aiesec.org/opportunities/1288155" TargetMode="External"/><Relationship Id="rId3323" Type="http://schemas.openxmlformats.org/officeDocument/2006/relationships/hyperlink" Target="https://expa.aiesec.org/opportunities/1279126" TargetMode="External"/><Relationship Id="rId2090" Type="http://schemas.openxmlformats.org/officeDocument/2006/relationships/hyperlink" Target="https://expa.aiesec.org/opportunities/1285766" TargetMode="External"/><Relationship Id="rId2091" Type="http://schemas.openxmlformats.org/officeDocument/2006/relationships/hyperlink" Target="https://expa.aiesec.org/opportunities/1295002" TargetMode="External"/><Relationship Id="rId2092" Type="http://schemas.openxmlformats.org/officeDocument/2006/relationships/hyperlink" Target="https://expa.aiesec.org/opportunities/1284670" TargetMode="External"/><Relationship Id="rId2093" Type="http://schemas.openxmlformats.org/officeDocument/2006/relationships/hyperlink" Target="https://expa.aiesec.org/opportunities/1272564" TargetMode="External"/><Relationship Id="rId2094" Type="http://schemas.openxmlformats.org/officeDocument/2006/relationships/hyperlink" Target="https://expa.aiesec.org/opportunities/1291979" TargetMode="External"/><Relationship Id="rId2095" Type="http://schemas.openxmlformats.org/officeDocument/2006/relationships/hyperlink" Target="https://expa.aiesec.org/opportunities/1289100" TargetMode="External"/><Relationship Id="rId2096" Type="http://schemas.openxmlformats.org/officeDocument/2006/relationships/hyperlink" Target="https://expa.aiesec.org/opportunities/1295264" TargetMode="External"/><Relationship Id="rId2097" Type="http://schemas.openxmlformats.org/officeDocument/2006/relationships/hyperlink" Target="https://expa.aiesec.org/opportunities/1285555" TargetMode="External"/><Relationship Id="rId2098" Type="http://schemas.openxmlformats.org/officeDocument/2006/relationships/hyperlink" Target="https://expa.aiesec.org/opportunities/1287210" TargetMode="External"/><Relationship Id="rId2099" Type="http://schemas.openxmlformats.org/officeDocument/2006/relationships/hyperlink" Target="https://expa.aiesec.org/opportunities/1294410" TargetMode="External"/><Relationship Id="rId3391" Type="http://schemas.openxmlformats.org/officeDocument/2006/relationships/hyperlink" Target="https://expa.aiesec.org/opportunities/1296105" TargetMode="External"/><Relationship Id="rId2060" Type="http://schemas.openxmlformats.org/officeDocument/2006/relationships/hyperlink" Target="https://expa.aiesec.org/opportunities/1294894" TargetMode="External"/><Relationship Id="rId3390" Type="http://schemas.openxmlformats.org/officeDocument/2006/relationships/hyperlink" Target="https://expa.aiesec.org/opportunities/1299687" TargetMode="External"/><Relationship Id="rId2061" Type="http://schemas.openxmlformats.org/officeDocument/2006/relationships/hyperlink" Target="https://expa.aiesec.org/opportunities/1293679" TargetMode="External"/><Relationship Id="rId3393" Type="http://schemas.openxmlformats.org/officeDocument/2006/relationships/hyperlink" Target="https://expa.aiesec.org/opportunities/1298312" TargetMode="External"/><Relationship Id="rId2062" Type="http://schemas.openxmlformats.org/officeDocument/2006/relationships/hyperlink" Target="https://expa.aiesec.org/opportunities/1293495" TargetMode="External"/><Relationship Id="rId3392" Type="http://schemas.openxmlformats.org/officeDocument/2006/relationships/hyperlink" Target="https://expa.aiesec.org/opportunities/1289686" TargetMode="External"/><Relationship Id="rId2063" Type="http://schemas.openxmlformats.org/officeDocument/2006/relationships/hyperlink" Target="https://expa.aiesec.org/opportunities/1289536" TargetMode="External"/><Relationship Id="rId3395" Type="http://schemas.openxmlformats.org/officeDocument/2006/relationships/hyperlink" Target="https://expa.aiesec.org/opportunities/1298543" TargetMode="External"/><Relationship Id="rId2064" Type="http://schemas.openxmlformats.org/officeDocument/2006/relationships/hyperlink" Target="https://expa.aiesec.org/opportunities/1272564" TargetMode="External"/><Relationship Id="rId3394" Type="http://schemas.openxmlformats.org/officeDocument/2006/relationships/hyperlink" Target="https://expa.aiesec.org/opportunities/1296464" TargetMode="External"/><Relationship Id="rId2065" Type="http://schemas.openxmlformats.org/officeDocument/2006/relationships/hyperlink" Target="https://expa.aiesec.org/opportunities/1291929" TargetMode="External"/><Relationship Id="rId3397" Type="http://schemas.openxmlformats.org/officeDocument/2006/relationships/hyperlink" Target="https://expa.aiesec.org/opportunities/1298534" TargetMode="External"/><Relationship Id="rId2066" Type="http://schemas.openxmlformats.org/officeDocument/2006/relationships/hyperlink" Target="https://expa.aiesec.org/opportunities/1280872" TargetMode="External"/><Relationship Id="rId3396" Type="http://schemas.openxmlformats.org/officeDocument/2006/relationships/hyperlink" Target="https://expa.aiesec.org/opportunities/1289307" TargetMode="External"/><Relationship Id="rId2067" Type="http://schemas.openxmlformats.org/officeDocument/2006/relationships/hyperlink" Target="https://expa.aiesec.org/opportunities/1287210" TargetMode="External"/><Relationship Id="rId3399" Type="http://schemas.openxmlformats.org/officeDocument/2006/relationships/hyperlink" Target="https://expa.aiesec.org/opportunities/1299954" TargetMode="External"/><Relationship Id="rId2068" Type="http://schemas.openxmlformats.org/officeDocument/2006/relationships/hyperlink" Target="https://expa.aiesec.org/opportunities/1289630" TargetMode="External"/><Relationship Id="rId3398" Type="http://schemas.openxmlformats.org/officeDocument/2006/relationships/hyperlink" Target="https://expa.aiesec.org/opportunities/1299892" TargetMode="External"/><Relationship Id="rId2069" Type="http://schemas.openxmlformats.org/officeDocument/2006/relationships/hyperlink" Target="https://expa.aiesec.org/opportunities/1295137" TargetMode="External"/><Relationship Id="rId3380" Type="http://schemas.openxmlformats.org/officeDocument/2006/relationships/hyperlink" Target="https://expa.aiesec.org/opportunities/1299633" TargetMode="External"/><Relationship Id="rId2050" Type="http://schemas.openxmlformats.org/officeDocument/2006/relationships/hyperlink" Target="https://expa.aiesec.org/opportunities/1293134" TargetMode="External"/><Relationship Id="rId3382" Type="http://schemas.openxmlformats.org/officeDocument/2006/relationships/hyperlink" Target="https://expa.aiesec.org/opportunities/1289378" TargetMode="External"/><Relationship Id="rId2051" Type="http://schemas.openxmlformats.org/officeDocument/2006/relationships/hyperlink" Target="https://expa.aiesec.org/opportunities/1289255" TargetMode="External"/><Relationship Id="rId3381" Type="http://schemas.openxmlformats.org/officeDocument/2006/relationships/hyperlink" Target="https://expa.aiesec.org/opportunities/1289536" TargetMode="External"/><Relationship Id="rId2052" Type="http://schemas.openxmlformats.org/officeDocument/2006/relationships/hyperlink" Target="https://expa.aiesec.org/opportunities/1294209" TargetMode="External"/><Relationship Id="rId3384" Type="http://schemas.openxmlformats.org/officeDocument/2006/relationships/hyperlink" Target="https://expa.aiesec.org/opportunities/1281357" TargetMode="External"/><Relationship Id="rId2053" Type="http://schemas.openxmlformats.org/officeDocument/2006/relationships/hyperlink" Target="https://expa.aiesec.org/opportunities/1294068" TargetMode="External"/><Relationship Id="rId3383" Type="http://schemas.openxmlformats.org/officeDocument/2006/relationships/hyperlink" Target="https://expa.aiesec.org/opportunities/1285687" TargetMode="External"/><Relationship Id="rId2054" Type="http://schemas.openxmlformats.org/officeDocument/2006/relationships/hyperlink" Target="https://expa.aiesec.org/opportunities/1289505" TargetMode="External"/><Relationship Id="rId3386" Type="http://schemas.openxmlformats.org/officeDocument/2006/relationships/hyperlink" Target="https://expa.aiesec.org/opportunities/1298284" TargetMode="External"/><Relationship Id="rId2055" Type="http://schemas.openxmlformats.org/officeDocument/2006/relationships/hyperlink" Target="https://expa.aiesec.org/opportunities/1284670" TargetMode="External"/><Relationship Id="rId3385" Type="http://schemas.openxmlformats.org/officeDocument/2006/relationships/hyperlink" Target="https://expa.aiesec.org/opportunities/1297842" TargetMode="External"/><Relationship Id="rId2056" Type="http://schemas.openxmlformats.org/officeDocument/2006/relationships/hyperlink" Target="https://expa.aiesec.org/opportunities/1293954" TargetMode="External"/><Relationship Id="rId3388" Type="http://schemas.openxmlformats.org/officeDocument/2006/relationships/hyperlink" Target="https://expa.aiesec.org/opportunities/1298274" TargetMode="External"/><Relationship Id="rId2057" Type="http://schemas.openxmlformats.org/officeDocument/2006/relationships/hyperlink" Target="https://expa.aiesec.org/opportunities/1294976" TargetMode="External"/><Relationship Id="rId3387" Type="http://schemas.openxmlformats.org/officeDocument/2006/relationships/hyperlink" Target="https://expa.aiesec.org/opportunities/1289505" TargetMode="External"/><Relationship Id="rId2058" Type="http://schemas.openxmlformats.org/officeDocument/2006/relationships/hyperlink" Target="https://expa.aiesec.org/opportunities/1291929" TargetMode="External"/><Relationship Id="rId2059" Type="http://schemas.openxmlformats.org/officeDocument/2006/relationships/hyperlink" Target="https://expa.aiesec.org/opportunities/1294459" TargetMode="External"/><Relationship Id="rId3389" Type="http://schemas.openxmlformats.org/officeDocument/2006/relationships/hyperlink" Target="https://expa.aiesec.org/opportunities/1296625" TargetMode="External"/><Relationship Id="rId2080" Type="http://schemas.openxmlformats.org/officeDocument/2006/relationships/hyperlink" Target="https://expa.aiesec.org/opportunities/1287749" TargetMode="External"/><Relationship Id="rId2081" Type="http://schemas.openxmlformats.org/officeDocument/2006/relationships/hyperlink" Target="https://expa.aiesec.org/opportunities/1293245" TargetMode="External"/><Relationship Id="rId2082" Type="http://schemas.openxmlformats.org/officeDocument/2006/relationships/hyperlink" Target="https://expa.aiesec.org/opportunities/1289597" TargetMode="External"/><Relationship Id="rId2083" Type="http://schemas.openxmlformats.org/officeDocument/2006/relationships/hyperlink" Target="https://expa.aiesec.org/opportunities/1294332" TargetMode="External"/><Relationship Id="rId2084" Type="http://schemas.openxmlformats.org/officeDocument/2006/relationships/hyperlink" Target="https://expa.aiesec.org/opportunities/1292614" TargetMode="External"/><Relationship Id="rId2085" Type="http://schemas.openxmlformats.org/officeDocument/2006/relationships/hyperlink" Target="https://expa.aiesec.org/opportunities/1291630" TargetMode="External"/><Relationship Id="rId2086" Type="http://schemas.openxmlformats.org/officeDocument/2006/relationships/hyperlink" Target="https://expa.aiesec.org/opportunities/1294346" TargetMode="External"/><Relationship Id="rId2087" Type="http://schemas.openxmlformats.org/officeDocument/2006/relationships/hyperlink" Target="https://expa.aiesec.org/opportunities/1294776" TargetMode="External"/><Relationship Id="rId2088" Type="http://schemas.openxmlformats.org/officeDocument/2006/relationships/hyperlink" Target="https://expa.aiesec.org/opportunities/1287851" TargetMode="External"/><Relationship Id="rId2089" Type="http://schemas.openxmlformats.org/officeDocument/2006/relationships/hyperlink" Target="https://expa.aiesec.org/opportunities/1285766" TargetMode="External"/><Relationship Id="rId2070" Type="http://schemas.openxmlformats.org/officeDocument/2006/relationships/hyperlink" Target="https://expa.aiesec.org/opportunities/1289630" TargetMode="External"/><Relationship Id="rId2071" Type="http://schemas.openxmlformats.org/officeDocument/2006/relationships/hyperlink" Target="https://expa.aiesec.org/opportunities/1294127" TargetMode="External"/><Relationship Id="rId2072" Type="http://schemas.openxmlformats.org/officeDocument/2006/relationships/hyperlink" Target="https://expa.aiesec.org/opportunities/1293477" TargetMode="External"/><Relationship Id="rId2073" Type="http://schemas.openxmlformats.org/officeDocument/2006/relationships/hyperlink" Target="https://expa.aiesec.org/opportunities/1294830" TargetMode="External"/><Relationship Id="rId2074" Type="http://schemas.openxmlformats.org/officeDocument/2006/relationships/hyperlink" Target="https://expa.aiesec.org/opportunities/1294976" TargetMode="External"/><Relationship Id="rId2075" Type="http://schemas.openxmlformats.org/officeDocument/2006/relationships/hyperlink" Target="https://expa.aiesec.org/opportunities/1288415" TargetMode="External"/><Relationship Id="rId2076" Type="http://schemas.openxmlformats.org/officeDocument/2006/relationships/hyperlink" Target="https://expa.aiesec.org/opportunities/1294976" TargetMode="External"/><Relationship Id="rId2077" Type="http://schemas.openxmlformats.org/officeDocument/2006/relationships/hyperlink" Target="https://expa.aiesec.org/opportunities/1294976" TargetMode="External"/><Relationship Id="rId2078" Type="http://schemas.openxmlformats.org/officeDocument/2006/relationships/hyperlink" Target="https://expa.aiesec.org/opportunities/1288721" TargetMode="External"/><Relationship Id="rId2079" Type="http://schemas.openxmlformats.org/officeDocument/2006/relationships/hyperlink" Target="https://expa.aiesec.org/opportunities/1294480" TargetMode="External"/><Relationship Id="rId2940" Type="http://schemas.openxmlformats.org/officeDocument/2006/relationships/hyperlink" Target="https://expa.aiesec.org/opportunities/1296101" TargetMode="External"/><Relationship Id="rId1610" Type="http://schemas.openxmlformats.org/officeDocument/2006/relationships/hyperlink" Target="https://expa.aiesec.org/opportunities/1288280" TargetMode="External"/><Relationship Id="rId2941" Type="http://schemas.openxmlformats.org/officeDocument/2006/relationships/hyperlink" Target="https://expa.aiesec.org/opportunities/1288101" TargetMode="External"/><Relationship Id="rId1611" Type="http://schemas.openxmlformats.org/officeDocument/2006/relationships/hyperlink" Target="https://expa.aiesec.org/opportunities/1293866" TargetMode="External"/><Relationship Id="rId2942" Type="http://schemas.openxmlformats.org/officeDocument/2006/relationships/hyperlink" Target="https://expa.aiesec.org/opportunities/1288607" TargetMode="External"/><Relationship Id="rId1612" Type="http://schemas.openxmlformats.org/officeDocument/2006/relationships/hyperlink" Target="https://expa.aiesec.org/opportunities/1289536" TargetMode="External"/><Relationship Id="rId2943" Type="http://schemas.openxmlformats.org/officeDocument/2006/relationships/hyperlink" Target="https://expa.aiesec.org/opportunities/1294853" TargetMode="External"/><Relationship Id="rId1613" Type="http://schemas.openxmlformats.org/officeDocument/2006/relationships/hyperlink" Target="https://expa.aiesec.org/opportunities/1288441" TargetMode="External"/><Relationship Id="rId2944" Type="http://schemas.openxmlformats.org/officeDocument/2006/relationships/hyperlink" Target="https://expa.aiesec.org/opportunities/1296671" TargetMode="External"/><Relationship Id="rId1614" Type="http://schemas.openxmlformats.org/officeDocument/2006/relationships/hyperlink" Target="https://expa.aiesec.org/opportunities/1286326" TargetMode="External"/><Relationship Id="rId2945" Type="http://schemas.openxmlformats.org/officeDocument/2006/relationships/hyperlink" Target="https://expa.aiesec.org/opportunities/1291068" TargetMode="External"/><Relationship Id="rId1615" Type="http://schemas.openxmlformats.org/officeDocument/2006/relationships/hyperlink" Target="https://expa.aiesec.org/opportunities/1294155" TargetMode="External"/><Relationship Id="rId2946" Type="http://schemas.openxmlformats.org/officeDocument/2006/relationships/hyperlink" Target="https://expa.aiesec.org/opportunities/1296325" TargetMode="External"/><Relationship Id="rId1616" Type="http://schemas.openxmlformats.org/officeDocument/2006/relationships/hyperlink" Target="https://expa.aiesec.org/opportunities/1281010" TargetMode="External"/><Relationship Id="rId2947" Type="http://schemas.openxmlformats.org/officeDocument/2006/relationships/hyperlink" Target="https://expa.aiesec.org/opportunities/1297938" TargetMode="External"/><Relationship Id="rId907" Type="http://schemas.openxmlformats.org/officeDocument/2006/relationships/hyperlink" Target="https://expa.aiesec.org/opportunities/1288711" TargetMode="External"/><Relationship Id="rId1617" Type="http://schemas.openxmlformats.org/officeDocument/2006/relationships/hyperlink" Target="https://expa.aiesec.org/opportunities/1294061" TargetMode="External"/><Relationship Id="rId2948" Type="http://schemas.openxmlformats.org/officeDocument/2006/relationships/hyperlink" Target="https://expa.aiesec.org/opportunities/1298038" TargetMode="External"/><Relationship Id="rId906" Type="http://schemas.openxmlformats.org/officeDocument/2006/relationships/hyperlink" Target="https://expa.aiesec.org/opportunities/1288663" TargetMode="External"/><Relationship Id="rId1618" Type="http://schemas.openxmlformats.org/officeDocument/2006/relationships/hyperlink" Target="https://expa.aiesec.org/opportunities/1293944" TargetMode="External"/><Relationship Id="rId2949" Type="http://schemas.openxmlformats.org/officeDocument/2006/relationships/hyperlink" Target="https://expa.aiesec.org/opportunities/1297982" TargetMode="External"/><Relationship Id="rId905" Type="http://schemas.openxmlformats.org/officeDocument/2006/relationships/hyperlink" Target="https://expa.aiesec.org/opportunities/1289347" TargetMode="External"/><Relationship Id="rId1619" Type="http://schemas.openxmlformats.org/officeDocument/2006/relationships/hyperlink" Target="https://expa.aiesec.org/opportunities/1286228" TargetMode="External"/><Relationship Id="rId904" Type="http://schemas.openxmlformats.org/officeDocument/2006/relationships/hyperlink" Target="https://expa.aiesec.org/opportunities/1289347" TargetMode="External"/><Relationship Id="rId909" Type="http://schemas.openxmlformats.org/officeDocument/2006/relationships/hyperlink" Target="https://expa.aiesec.org/opportunities/1288813" TargetMode="External"/><Relationship Id="rId908" Type="http://schemas.openxmlformats.org/officeDocument/2006/relationships/hyperlink" Target="https://expa.aiesec.org/opportunities/1285713" TargetMode="External"/><Relationship Id="rId903" Type="http://schemas.openxmlformats.org/officeDocument/2006/relationships/hyperlink" Target="https://expa.aiesec.org/opportunities/1291717" TargetMode="External"/><Relationship Id="rId902" Type="http://schemas.openxmlformats.org/officeDocument/2006/relationships/hyperlink" Target="https://expa.aiesec.org/opportunities/1291045" TargetMode="External"/><Relationship Id="rId901" Type="http://schemas.openxmlformats.org/officeDocument/2006/relationships/hyperlink" Target="https://expa.aiesec.org/opportunities/1287445" TargetMode="External"/><Relationship Id="rId900" Type="http://schemas.openxmlformats.org/officeDocument/2006/relationships/hyperlink" Target="https://expa.aiesec.org/opportunities/1289689" TargetMode="External"/><Relationship Id="rId2930" Type="http://schemas.openxmlformats.org/officeDocument/2006/relationships/hyperlink" Target="https://expa.aiesec.org/opportunities/1286521" TargetMode="External"/><Relationship Id="rId1600" Type="http://schemas.openxmlformats.org/officeDocument/2006/relationships/hyperlink" Target="https://expa.aiesec.org/opportunities/1292557" TargetMode="External"/><Relationship Id="rId2931" Type="http://schemas.openxmlformats.org/officeDocument/2006/relationships/hyperlink" Target="https://expa.aiesec.org/opportunities/1289772" TargetMode="External"/><Relationship Id="rId1601" Type="http://schemas.openxmlformats.org/officeDocument/2006/relationships/hyperlink" Target="https://expa.aiesec.org/opportunities/1293200" TargetMode="External"/><Relationship Id="rId2932" Type="http://schemas.openxmlformats.org/officeDocument/2006/relationships/hyperlink" Target="https://expa.aiesec.org/opportunities/1291068" TargetMode="External"/><Relationship Id="rId1602" Type="http://schemas.openxmlformats.org/officeDocument/2006/relationships/hyperlink" Target="https://expa.aiesec.org/opportunities/1291336" TargetMode="External"/><Relationship Id="rId2933" Type="http://schemas.openxmlformats.org/officeDocument/2006/relationships/hyperlink" Target="https://expa.aiesec.org/opportunities/1277661" TargetMode="External"/><Relationship Id="rId1603" Type="http://schemas.openxmlformats.org/officeDocument/2006/relationships/hyperlink" Target="https://expa.aiesec.org/opportunities/1292773" TargetMode="External"/><Relationship Id="rId2934" Type="http://schemas.openxmlformats.org/officeDocument/2006/relationships/hyperlink" Target="https://expa.aiesec.org/opportunities/1279126" TargetMode="External"/><Relationship Id="rId1604" Type="http://schemas.openxmlformats.org/officeDocument/2006/relationships/hyperlink" Target="https://expa.aiesec.org/opportunities/1294066" TargetMode="External"/><Relationship Id="rId2935" Type="http://schemas.openxmlformats.org/officeDocument/2006/relationships/hyperlink" Target="https://expa.aiesec.org/opportunities/1289255" TargetMode="External"/><Relationship Id="rId1605" Type="http://schemas.openxmlformats.org/officeDocument/2006/relationships/hyperlink" Target="https://expa.aiesec.org/opportunities/1285687" TargetMode="External"/><Relationship Id="rId2936" Type="http://schemas.openxmlformats.org/officeDocument/2006/relationships/hyperlink" Target="https://expa.aiesec.org/opportunities/1289378" TargetMode="External"/><Relationship Id="rId1606" Type="http://schemas.openxmlformats.org/officeDocument/2006/relationships/hyperlink" Target="https://expa.aiesec.org/opportunities/1284447" TargetMode="External"/><Relationship Id="rId2937" Type="http://schemas.openxmlformats.org/officeDocument/2006/relationships/hyperlink" Target="https://expa.aiesec.org/opportunities/1290469" TargetMode="External"/><Relationship Id="rId1607" Type="http://schemas.openxmlformats.org/officeDocument/2006/relationships/hyperlink" Target="https://expa.aiesec.org/opportunities/1292774" TargetMode="External"/><Relationship Id="rId2938" Type="http://schemas.openxmlformats.org/officeDocument/2006/relationships/hyperlink" Target="https://expa.aiesec.org/opportunities/1296105" TargetMode="External"/><Relationship Id="rId1608" Type="http://schemas.openxmlformats.org/officeDocument/2006/relationships/hyperlink" Target="https://expa.aiesec.org/opportunities/1288989" TargetMode="External"/><Relationship Id="rId2939" Type="http://schemas.openxmlformats.org/officeDocument/2006/relationships/hyperlink" Target="https://expa.aiesec.org/opportunities/1295830" TargetMode="External"/><Relationship Id="rId1609" Type="http://schemas.openxmlformats.org/officeDocument/2006/relationships/hyperlink" Target="https://expa.aiesec.org/opportunities/1284312" TargetMode="External"/><Relationship Id="rId1631" Type="http://schemas.openxmlformats.org/officeDocument/2006/relationships/hyperlink" Target="https://expa.aiesec.org/opportunities/1294197" TargetMode="External"/><Relationship Id="rId2962" Type="http://schemas.openxmlformats.org/officeDocument/2006/relationships/hyperlink" Target="https://expa.aiesec.org/opportunities/1285363" TargetMode="External"/><Relationship Id="rId1632" Type="http://schemas.openxmlformats.org/officeDocument/2006/relationships/hyperlink" Target="https://expa.aiesec.org/opportunities/1294197" TargetMode="External"/><Relationship Id="rId2963" Type="http://schemas.openxmlformats.org/officeDocument/2006/relationships/hyperlink" Target="https://expa.aiesec.org/opportunities/1278298" TargetMode="External"/><Relationship Id="rId1633" Type="http://schemas.openxmlformats.org/officeDocument/2006/relationships/hyperlink" Target="https://expa.aiesec.org/opportunities/1292298" TargetMode="External"/><Relationship Id="rId2964" Type="http://schemas.openxmlformats.org/officeDocument/2006/relationships/hyperlink" Target="https://expa.aiesec.org/opportunities/1297080" TargetMode="External"/><Relationship Id="rId1634" Type="http://schemas.openxmlformats.org/officeDocument/2006/relationships/hyperlink" Target="https://expa.aiesec.org/opportunities/1293968" TargetMode="External"/><Relationship Id="rId2965" Type="http://schemas.openxmlformats.org/officeDocument/2006/relationships/hyperlink" Target="https://expa.aiesec.org/opportunities/1296671" TargetMode="External"/><Relationship Id="rId1635" Type="http://schemas.openxmlformats.org/officeDocument/2006/relationships/hyperlink" Target="https://expa.aiesec.org/opportunities/1292253" TargetMode="External"/><Relationship Id="rId2966" Type="http://schemas.openxmlformats.org/officeDocument/2006/relationships/hyperlink" Target="https://expa.aiesec.org/opportunities/1296105" TargetMode="External"/><Relationship Id="rId1636" Type="http://schemas.openxmlformats.org/officeDocument/2006/relationships/hyperlink" Target="https://expa.aiesec.org/opportunities/1291166" TargetMode="External"/><Relationship Id="rId2967" Type="http://schemas.openxmlformats.org/officeDocument/2006/relationships/hyperlink" Target="https://expa.aiesec.org/opportunities/1279126" TargetMode="External"/><Relationship Id="rId1637" Type="http://schemas.openxmlformats.org/officeDocument/2006/relationships/hyperlink" Target="https://expa.aiesec.org/opportunities/1293835" TargetMode="External"/><Relationship Id="rId2968" Type="http://schemas.openxmlformats.org/officeDocument/2006/relationships/hyperlink" Target="https://expa.aiesec.org/opportunities/1292557" TargetMode="External"/><Relationship Id="rId1638" Type="http://schemas.openxmlformats.org/officeDocument/2006/relationships/hyperlink" Target="https://expa.aiesec.org/opportunities/1291881" TargetMode="External"/><Relationship Id="rId2969" Type="http://schemas.openxmlformats.org/officeDocument/2006/relationships/hyperlink" Target="https://expa.aiesec.org/opportunities/1289485" TargetMode="External"/><Relationship Id="rId929" Type="http://schemas.openxmlformats.org/officeDocument/2006/relationships/hyperlink" Target="https://expa.aiesec.org/opportunities/1277892" TargetMode="External"/><Relationship Id="rId1639" Type="http://schemas.openxmlformats.org/officeDocument/2006/relationships/hyperlink" Target="https://expa.aiesec.org/opportunities/1293865" TargetMode="External"/><Relationship Id="rId928" Type="http://schemas.openxmlformats.org/officeDocument/2006/relationships/hyperlink" Target="https://expa.aiesec.org/opportunities/1290120" TargetMode="External"/><Relationship Id="rId927" Type="http://schemas.openxmlformats.org/officeDocument/2006/relationships/hyperlink" Target="https://expa.aiesec.org/opportunities/1291378" TargetMode="External"/><Relationship Id="rId926" Type="http://schemas.openxmlformats.org/officeDocument/2006/relationships/hyperlink" Target="https://expa.aiesec.org/opportunities/1287486" TargetMode="External"/><Relationship Id="rId921" Type="http://schemas.openxmlformats.org/officeDocument/2006/relationships/hyperlink" Target="https://expa.aiesec.org/opportunities/1279126" TargetMode="External"/><Relationship Id="rId920" Type="http://schemas.openxmlformats.org/officeDocument/2006/relationships/hyperlink" Target="https://expa.aiesec.org/opportunities/1279126" TargetMode="External"/><Relationship Id="rId925" Type="http://schemas.openxmlformats.org/officeDocument/2006/relationships/hyperlink" Target="https://expa.aiesec.org/opportunities/1287486" TargetMode="External"/><Relationship Id="rId924" Type="http://schemas.openxmlformats.org/officeDocument/2006/relationships/hyperlink" Target="https://expa.aiesec.org/opportunities/1291039" TargetMode="External"/><Relationship Id="rId923" Type="http://schemas.openxmlformats.org/officeDocument/2006/relationships/hyperlink" Target="https://expa.aiesec.org/opportunities/1284414" TargetMode="External"/><Relationship Id="rId922" Type="http://schemas.openxmlformats.org/officeDocument/2006/relationships/hyperlink" Target="https://expa.aiesec.org/opportunities/1291669" TargetMode="External"/><Relationship Id="rId2960" Type="http://schemas.openxmlformats.org/officeDocument/2006/relationships/hyperlink" Target="https://expa.aiesec.org/opportunities/1264946" TargetMode="External"/><Relationship Id="rId1630" Type="http://schemas.openxmlformats.org/officeDocument/2006/relationships/hyperlink" Target="https://expa.aiesec.org/opportunities/1293905" TargetMode="External"/><Relationship Id="rId2961" Type="http://schemas.openxmlformats.org/officeDocument/2006/relationships/hyperlink" Target="https://expa.aiesec.org/opportunities/1290643" TargetMode="External"/><Relationship Id="rId1620" Type="http://schemas.openxmlformats.org/officeDocument/2006/relationships/hyperlink" Target="https://expa.aiesec.org/opportunities/1294158" TargetMode="External"/><Relationship Id="rId2951" Type="http://schemas.openxmlformats.org/officeDocument/2006/relationships/hyperlink" Target="https://expa.aiesec.org/opportunities/1297781" TargetMode="External"/><Relationship Id="rId1621" Type="http://schemas.openxmlformats.org/officeDocument/2006/relationships/hyperlink" Target="https://expa.aiesec.org/opportunities/1294197" TargetMode="External"/><Relationship Id="rId2952" Type="http://schemas.openxmlformats.org/officeDocument/2006/relationships/hyperlink" Target="https://expa.aiesec.org/opportunities/1298334" TargetMode="External"/><Relationship Id="rId1622" Type="http://schemas.openxmlformats.org/officeDocument/2006/relationships/hyperlink" Target="https://expa.aiesec.org/opportunities/1294197" TargetMode="External"/><Relationship Id="rId2953" Type="http://schemas.openxmlformats.org/officeDocument/2006/relationships/hyperlink" Target="https://expa.aiesec.org/opportunities/1278703" TargetMode="External"/><Relationship Id="rId1623" Type="http://schemas.openxmlformats.org/officeDocument/2006/relationships/hyperlink" Target="https://expa.aiesec.org/opportunities/1294103" TargetMode="External"/><Relationship Id="rId2954" Type="http://schemas.openxmlformats.org/officeDocument/2006/relationships/hyperlink" Target="https://expa.aiesec.org/opportunities/1296980" TargetMode="External"/><Relationship Id="rId1624" Type="http://schemas.openxmlformats.org/officeDocument/2006/relationships/hyperlink" Target="https://expa.aiesec.org/opportunities/1293636" TargetMode="External"/><Relationship Id="rId2955" Type="http://schemas.openxmlformats.org/officeDocument/2006/relationships/hyperlink" Target="https://expa.aiesec.org/opportunities/1294878" TargetMode="External"/><Relationship Id="rId1625" Type="http://schemas.openxmlformats.org/officeDocument/2006/relationships/hyperlink" Target="https://expa.aiesec.org/opportunities/1294061" TargetMode="External"/><Relationship Id="rId2956" Type="http://schemas.openxmlformats.org/officeDocument/2006/relationships/hyperlink" Target="https://expa.aiesec.org/opportunities/1296671" TargetMode="External"/><Relationship Id="rId1626" Type="http://schemas.openxmlformats.org/officeDocument/2006/relationships/hyperlink" Target="https://expa.aiesec.org/opportunities/1291929" TargetMode="External"/><Relationship Id="rId2957" Type="http://schemas.openxmlformats.org/officeDocument/2006/relationships/hyperlink" Target="https://expa.aiesec.org/opportunities/1294332" TargetMode="External"/><Relationship Id="rId1627" Type="http://schemas.openxmlformats.org/officeDocument/2006/relationships/hyperlink" Target="https://expa.aiesec.org/opportunities/1292773" TargetMode="External"/><Relationship Id="rId2958" Type="http://schemas.openxmlformats.org/officeDocument/2006/relationships/hyperlink" Target="https://expa.aiesec.org/opportunities/1297112" TargetMode="External"/><Relationship Id="rId918" Type="http://schemas.openxmlformats.org/officeDocument/2006/relationships/hyperlink" Target="https://expa.aiesec.org/opportunities/1291586" TargetMode="External"/><Relationship Id="rId1628" Type="http://schemas.openxmlformats.org/officeDocument/2006/relationships/hyperlink" Target="https://expa.aiesec.org/opportunities/1286034" TargetMode="External"/><Relationship Id="rId2959" Type="http://schemas.openxmlformats.org/officeDocument/2006/relationships/hyperlink" Target="https://expa.aiesec.org/opportunities/1294977" TargetMode="External"/><Relationship Id="rId917" Type="http://schemas.openxmlformats.org/officeDocument/2006/relationships/hyperlink" Target="https://expa.aiesec.org/opportunities/1278791" TargetMode="External"/><Relationship Id="rId1629" Type="http://schemas.openxmlformats.org/officeDocument/2006/relationships/hyperlink" Target="https://expa.aiesec.org/opportunities/1292557" TargetMode="External"/><Relationship Id="rId916" Type="http://schemas.openxmlformats.org/officeDocument/2006/relationships/hyperlink" Target="https://expa.aiesec.org/opportunities/1291482" TargetMode="External"/><Relationship Id="rId915" Type="http://schemas.openxmlformats.org/officeDocument/2006/relationships/hyperlink" Target="https://expa.aiesec.org/opportunities/1284312" TargetMode="External"/><Relationship Id="rId919" Type="http://schemas.openxmlformats.org/officeDocument/2006/relationships/hyperlink" Target="https://expa.aiesec.org/opportunities/1289255" TargetMode="External"/><Relationship Id="rId910" Type="http://schemas.openxmlformats.org/officeDocument/2006/relationships/hyperlink" Target="https://expa.aiesec.org/opportunities/1286368" TargetMode="External"/><Relationship Id="rId914" Type="http://schemas.openxmlformats.org/officeDocument/2006/relationships/hyperlink" Target="https://expa.aiesec.org/opportunities/1277333" TargetMode="External"/><Relationship Id="rId913" Type="http://schemas.openxmlformats.org/officeDocument/2006/relationships/hyperlink" Target="https://expa.aiesec.org/opportunities/1286326" TargetMode="External"/><Relationship Id="rId912" Type="http://schemas.openxmlformats.org/officeDocument/2006/relationships/hyperlink" Target="https://expa.aiesec.org/opportunities/1290806" TargetMode="External"/><Relationship Id="rId911" Type="http://schemas.openxmlformats.org/officeDocument/2006/relationships/hyperlink" Target="https://expa.aiesec.org/opportunities/1284312" TargetMode="External"/><Relationship Id="rId2950" Type="http://schemas.openxmlformats.org/officeDocument/2006/relationships/hyperlink" Target="https://expa.aiesec.org/opportunities/1296222" TargetMode="External"/><Relationship Id="rId2900" Type="http://schemas.openxmlformats.org/officeDocument/2006/relationships/hyperlink" Target="https://expa.aiesec.org/opportunities/1291068" TargetMode="External"/><Relationship Id="rId2901" Type="http://schemas.openxmlformats.org/officeDocument/2006/relationships/hyperlink" Target="https://expa.aiesec.org/opportunities/1294651" TargetMode="External"/><Relationship Id="rId2902" Type="http://schemas.openxmlformats.org/officeDocument/2006/relationships/hyperlink" Target="https://expa.aiesec.org/opportunities/1296994" TargetMode="External"/><Relationship Id="rId2903" Type="http://schemas.openxmlformats.org/officeDocument/2006/relationships/hyperlink" Target="https://expa.aiesec.org/opportunities/1281010" TargetMode="External"/><Relationship Id="rId2904" Type="http://schemas.openxmlformats.org/officeDocument/2006/relationships/hyperlink" Target="https://expa.aiesec.org/opportunities/1292715" TargetMode="External"/><Relationship Id="rId2905" Type="http://schemas.openxmlformats.org/officeDocument/2006/relationships/hyperlink" Target="https://expa.aiesec.org/opportunities/1297677" TargetMode="External"/><Relationship Id="rId2906" Type="http://schemas.openxmlformats.org/officeDocument/2006/relationships/hyperlink" Target="https://expa.aiesec.org/opportunities/1295292" TargetMode="External"/><Relationship Id="rId2907" Type="http://schemas.openxmlformats.org/officeDocument/2006/relationships/hyperlink" Target="https://expa.aiesec.org/opportunities/1297603" TargetMode="External"/><Relationship Id="rId2908" Type="http://schemas.openxmlformats.org/officeDocument/2006/relationships/hyperlink" Target="https://expa.aiesec.org/opportunities/1281195" TargetMode="External"/><Relationship Id="rId2909" Type="http://schemas.openxmlformats.org/officeDocument/2006/relationships/hyperlink" Target="https://expa.aiesec.org/opportunities/1281900" TargetMode="External"/><Relationship Id="rId2920" Type="http://schemas.openxmlformats.org/officeDocument/2006/relationships/hyperlink" Target="https://expa.aiesec.org/opportunities/1279126" TargetMode="External"/><Relationship Id="rId2921" Type="http://schemas.openxmlformats.org/officeDocument/2006/relationships/hyperlink" Target="https://expa.aiesec.org/opportunities/1295153" TargetMode="External"/><Relationship Id="rId2922" Type="http://schemas.openxmlformats.org/officeDocument/2006/relationships/hyperlink" Target="https://expa.aiesec.org/opportunities/1296105" TargetMode="External"/><Relationship Id="rId2923" Type="http://schemas.openxmlformats.org/officeDocument/2006/relationships/hyperlink" Target="https://expa.aiesec.org/opportunities/1295102" TargetMode="External"/><Relationship Id="rId2924" Type="http://schemas.openxmlformats.org/officeDocument/2006/relationships/hyperlink" Target="https://expa.aiesec.org/opportunities/1272564" TargetMode="External"/><Relationship Id="rId2925" Type="http://schemas.openxmlformats.org/officeDocument/2006/relationships/hyperlink" Target="https://expa.aiesec.org/opportunities/1294878" TargetMode="External"/><Relationship Id="rId2926" Type="http://schemas.openxmlformats.org/officeDocument/2006/relationships/hyperlink" Target="https://expa.aiesec.org/opportunities/1296818" TargetMode="External"/><Relationship Id="rId2927" Type="http://schemas.openxmlformats.org/officeDocument/2006/relationships/hyperlink" Target="https://expa.aiesec.org/opportunities/1292962" TargetMode="External"/><Relationship Id="rId2928" Type="http://schemas.openxmlformats.org/officeDocument/2006/relationships/hyperlink" Target="https://expa.aiesec.org/opportunities/1296101" TargetMode="External"/><Relationship Id="rId2929" Type="http://schemas.openxmlformats.org/officeDocument/2006/relationships/hyperlink" Target="https://expa.aiesec.org/opportunities/1292118" TargetMode="External"/><Relationship Id="rId2910" Type="http://schemas.openxmlformats.org/officeDocument/2006/relationships/hyperlink" Target="https://expa.aiesec.org/opportunities/1289293" TargetMode="External"/><Relationship Id="rId2911" Type="http://schemas.openxmlformats.org/officeDocument/2006/relationships/hyperlink" Target="https://expa.aiesec.org/opportunities/1295303" TargetMode="External"/><Relationship Id="rId2912" Type="http://schemas.openxmlformats.org/officeDocument/2006/relationships/hyperlink" Target="https://expa.aiesec.org/opportunities/1295514" TargetMode="External"/><Relationship Id="rId2913" Type="http://schemas.openxmlformats.org/officeDocument/2006/relationships/hyperlink" Target="https://expa.aiesec.org/opportunities/1295149" TargetMode="External"/><Relationship Id="rId2914" Type="http://schemas.openxmlformats.org/officeDocument/2006/relationships/hyperlink" Target="https://expa.aiesec.org/opportunities/1294151" TargetMode="External"/><Relationship Id="rId2915" Type="http://schemas.openxmlformats.org/officeDocument/2006/relationships/hyperlink" Target="https://expa.aiesec.org/opportunities/1289339" TargetMode="External"/><Relationship Id="rId2916" Type="http://schemas.openxmlformats.org/officeDocument/2006/relationships/hyperlink" Target="https://expa.aiesec.org/opportunities/1296670" TargetMode="External"/><Relationship Id="rId2917" Type="http://schemas.openxmlformats.org/officeDocument/2006/relationships/hyperlink" Target="https://expa.aiesec.org/opportunities/1297982" TargetMode="External"/><Relationship Id="rId2918" Type="http://schemas.openxmlformats.org/officeDocument/2006/relationships/hyperlink" Target="https://expa.aiesec.org/opportunities/1297982" TargetMode="External"/><Relationship Id="rId2919" Type="http://schemas.openxmlformats.org/officeDocument/2006/relationships/hyperlink" Target="https://expa.aiesec.org/opportunities/1286326" TargetMode="External"/><Relationship Id="rId1697" Type="http://schemas.openxmlformats.org/officeDocument/2006/relationships/hyperlink" Target="https://expa.aiesec.org/opportunities/1294426" TargetMode="External"/><Relationship Id="rId1698" Type="http://schemas.openxmlformats.org/officeDocument/2006/relationships/hyperlink" Target="https://expa.aiesec.org/opportunities/1287602" TargetMode="External"/><Relationship Id="rId1699" Type="http://schemas.openxmlformats.org/officeDocument/2006/relationships/hyperlink" Target="https://expa.aiesec.org/opportunities/1294137" TargetMode="External"/><Relationship Id="rId866" Type="http://schemas.openxmlformats.org/officeDocument/2006/relationships/hyperlink" Target="https://expa.aiesec.org/opportunities/1288721" TargetMode="External"/><Relationship Id="rId865" Type="http://schemas.openxmlformats.org/officeDocument/2006/relationships/hyperlink" Target="https://expa.aiesec.org/opportunities/1262994" TargetMode="External"/><Relationship Id="rId864" Type="http://schemas.openxmlformats.org/officeDocument/2006/relationships/hyperlink" Target="https://expa.aiesec.org/opportunities/1279126" TargetMode="External"/><Relationship Id="rId863" Type="http://schemas.openxmlformats.org/officeDocument/2006/relationships/hyperlink" Target="https://expa.aiesec.org/opportunities/1290196" TargetMode="External"/><Relationship Id="rId869" Type="http://schemas.openxmlformats.org/officeDocument/2006/relationships/hyperlink" Target="https://expa.aiesec.org/opportunities/1291452" TargetMode="External"/><Relationship Id="rId868" Type="http://schemas.openxmlformats.org/officeDocument/2006/relationships/hyperlink" Target="https://expa.aiesec.org/opportunities/1284831" TargetMode="External"/><Relationship Id="rId867" Type="http://schemas.openxmlformats.org/officeDocument/2006/relationships/hyperlink" Target="https://expa.aiesec.org/opportunities/1290656" TargetMode="External"/><Relationship Id="rId1690" Type="http://schemas.openxmlformats.org/officeDocument/2006/relationships/hyperlink" Target="https://expa.aiesec.org/opportunities/1294410" TargetMode="External"/><Relationship Id="rId1691" Type="http://schemas.openxmlformats.org/officeDocument/2006/relationships/hyperlink" Target="https://expa.aiesec.org/opportunities/1294410" TargetMode="External"/><Relationship Id="rId1692" Type="http://schemas.openxmlformats.org/officeDocument/2006/relationships/hyperlink" Target="https://expa.aiesec.org/opportunities/1294117" TargetMode="External"/><Relationship Id="rId862" Type="http://schemas.openxmlformats.org/officeDocument/2006/relationships/hyperlink" Target="https://expa.aiesec.org/opportunities/1289505" TargetMode="External"/><Relationship Id="rId1693" Type="http://schemas.openxmlformats.org/officeDocument/2006/relationships/hyperlink" Target="https://expa.aiesec.org/opportunities/1294103" TargetMode="External"/><Relationship Id="rId861" Type="http://schemas.openxmlformats.org/officeDocument/2006/relationships/hyperlink" Target="https://expa.aiesec.org/opportunities/1291029" TargetMode="External"/><Relationship Id="rId1694" Type="http://schemas.openxmlformats.org/officeDocument/2006/relationships/hyperlink" Target="https://expa.aiesec.org/opportunities/1288798" TargetMode="External"/><Relationship Id="rId860" Type="http://schemas.openxmlformats.org/officeDocument/2006/relationships/hyperlink" Target="https://expa.aiesec.org/opportunities/1289536" TargetMode="External"/><Relationship Id="rId1695" Type="http://schemas.openxmlformats.org/officeDocument/2006/relationships/hyperlink" Target="https://expa.aiesec.org/opportunities/1290282" TargetMode="External"/><Relationship Id="rId1696" Type="http://schemas.openxmlformats.org/officeDocument/2006/relationships/hyperlink" Target="https://expa.aiesec.org/opportunities/1288542" TargetMode="External"/><Relationship Id="rId1686" Type="http://schemas.openxmlformats.org/officeDocument/2006/relationships/hyperlink" Target="https://expa.aiesec.org/opportunities/1293495" TargetMode="External"/><Relationship Id="rId1687" Type="http://schemas.openxmlformats.org/officeDocument/2006/relationships/hyperlink" Target="https://expa.aiesec.org/opportunities/1286122" TargetMode="External"/><Relationship Id="rId1688" Type="http://schemas.openxmlformats.org/officeDocument/2006/relationships/hyperlink" Target="https://expa.aiesec.org/opportunities/1272564" TargetMode="External"/><Relationship Id="rId1689" Type="http://schemas.openxmlformats.org/officeDocument/2006/relationships/hyperlink" Target="https://expa.aiesec.org/opportunities/1272564" TargetMode="External"/><Relationship Id="rId855" Type="http://schemas.openxmlformats.org/officeDocument/2006/relationships/hyperlink" Target="https://expa.aiesec.org/opportunities/1272564" TargetMode="External"/><Relationship Id="rId854" Type="http://schemas.openxmlformats.org/officeDocument/2006/relationships/hyperlink" Target="https://expa.aiesec.org/opportunities/1289122" TargetMode="External"/><Relationship Id="rId853" Type="http://schemas.openxmlformats.org/officeDocument/2006/relationships/hyperlink" Target="https://expa.aiesec.org/opportunities/1289536" TargetMode="External"/><Relationship Id="rId852" Type="http://schemas.openxmlformats.org/officeDocument/2006/relationships/hyperlink" Target="https://expa.aiesec.org/opportunities/1289307" TargetMode="External"/><Relationship Id="rId859" Type="http://schemas.openxmlformats.org/officeDocument/2006/relationships/hyperlink" Target="https://expa.aiesec.org/opportunities/1291209" TargetMode="External"/><Relationship Id="rId858" Type="http://schemas.openxmlformats.org/officeDocument/2006/relationships/hyperlink" Target="https://expa.aiesec.org/opportunities/1272564" TargetMode="External"/><Relationship Id="rId857" Type="http://schemas.openxmlformats.org/officeDocument/2006/relationships/hyperlink" Target="https://expa.aiesec.org/opportunities/1288721" TargetMode="External"/><Relationship Id="rId856" Type="http://schemas.openxmlformats.org/officeDocument/2006/relationships/hyperlink" Target="https://expa.aiesec.org/opportunities/1289255" TargetMode="External"/><Relationship Id="rId1680" Type="http://schemas.openxmlformats.org/officeDocument/2006/relationships/hyperlink" Target="https://expa.aiesec.org/opportunities/1293417" TargetMode="External"/><Relationship Id="rId1681" Type="http://schemas.openxmlformats.org/officeDocument/2006/relationships/hyperlink" Target="https://expa.aiesec.org/opportunities/1293200" TargetMode="External"/><Relationship Id="rId851" Type="http://schemas.openxmlformats.org/officeDocument/2006/relationships/hyperlink" Target="https://expa.aiesec.org/opportunities/1291200" TargetMode="External"/><Relationship Id="rId1682" Type="http://schemas.openxmlformats.org/officeDocument/2006/relationships/hyperlink" Target="https://expa.aiesec.org/opportunities/1294068" TargetMode="External"/><Relationship Id="rId850" Type="http://schemas.openxmlformats.org/officeDocument/2006/relationships/hyperlink" Target="https://expa.aiesec.org/opportunities/1291200" TargetMode="External"/><Relationship Id="rId1683" Type="http://schemas.openxmlformats.org/officeDocument/2006/relationships/hyperlink" Target="https://expa.aiesec.org/opportunities/1289850" TargetMode="External"/><Relationship Id="rId1684" Type="http://schemas.openxmlformats.org/officeDocument/2006/relationships/hyperlink" Target="https://expa.aiesec.org/opportunities/1291929" TargetMode="External"/><Relationship Id="rId1685" Type="http://schemas.openxmlformats.org/officeDocument/2006/relationships/hyperlink" Target="https://expa.aiesec.org/opportunities/1292773" TargetMode="External"/><Relationship Id="rId3414" Type="http://schemas.openxmlformats.org/officeDocument/2006/relationships/hyperlink" Target="https://expa.aiesec.org/opportunities/1296470" TargetMode="External"/><Relationship Id="rId3413" Type="http://schemas.openxmlformats.org/officeDocument/2006/relationships/hyperlink" Target="https://expa.aiesec.org/opportunities/1300091" TargetMode="External"/><Relationship Id="rId3416" Type="http://schemas.openxmlformats.org/officeDocument/2006/relationships/hyperlink" Target="https://expa.aiesec.org/opportunities/1292695" TargetMode="External"/><Relationship Id="rId3415" Type="http://schemas.openxmlformats.org/officeDocument/2006/relationships/hyperlink" Target="https://expa.aiesec.org/opportunities/1299371" TargetMode="External"/><Relationship Id="rId3418" Type="http://schemas.openxmlformats.org/officeDocument/2006/relationships/hyperlink" Target="https://expa.aiesec.org/opportunities/1298284" TargetMode="External"/><Relationship Id="rId3417" Type="http://schemas.openxmlformats.org/officeDocument/2006/relationships/hyperlink" Target="https://expa.aiesec.org/opportunities/1296234" TargetMode="External"/><Relationship Id="rId3419" Type="http://schemas.openxmlformats.org/officeDocument/2006/relationships/hyperlink" Target="https://expa.aiesec.org/opportunities/1299113" TargetMode="External"/><Relationship Id="rId888" Type="http://schemas.openxmlformats.org/officeDocument/2006/relationships/hyperlink" Target="https://expa.aiesec.org/opportunities/1290985" TargetMode="External"/><Relationship Id="rId887" Type="http://schemas.openxmlformats.org/officeDocument/2006/relationships/hyperlink" Target="https://expa.aiesec.org/opportunities/1288970" TargetMode="External"/><Relationship Id="rId886" Type="http://schemas.openxmlformats.org/officeDocument/2006/relationships/hyperlink" Target="https://expa.aiesec.org/opportunities/1291216" TargetMode="External"/><Relationship Id="rId885" Type="http://schemas.openxmlformats.org/officeDocument/2006/relationships/hyperlink" Target="https://expa.aiesec.org/opportunities/1291056" TargetMode="External"/><Relationship Id="rId889" Type="http://schemas.openxmlformats.org/officeDocument/2006/relationships/hyperlink" Target="https://expa.aiesec.org/opportunities/1288711" TargetMode="External"/><Relationship Id="rId880" Type="http://schemas.openxmlformats.org/officeDocument/2006/relationships/hyperlink" Target="https://expa.aiesec.org/opportunities/1288991" TargetMode="External"/><Relationship Id="rId884" Type="http://schemas.openxmlformats.org/officeDocument/2006/relationships/hyperlink" Target="https://expa.aiesec.org/opportunities/1291020" TargetMode="External"/><Relationship Id="rId3410" Type="http://schemas.openxmlformats.org/officeDocument/2006/relationships/hyperlink" Target="https://expa.aiesec.org/opportunities/1281357" TargetMode="External"/><Relationship Id="rId883" Type="http://schemas.openxmlformats.org/officeDocument/2006/relationships/hyperlink" Target="https://expa.aiesec.org/opportunities/1286379" TargetMode="External"/><Relationship Id="rId882" Type="http://schemas.openxmlformats.org/officeDocument/2006/relationships/hyperlink" Target="https://expa.aiesec.org/opportunities/1286379" TargetMode="External"/><Relationship Id="rId3412" Type="http://schemas.openxmlformats.org/officeDocument/2006/relationships/hyperlink" Target="https://expa.aiesec.org/opportunities/1299853" TargetMode="External"/><Relationship Id="rId881" Type="http://schemas.openxmlformats.org/officeDocument/2006/relationships/hyperlink" Target="https://expa.aiesec.org/opportunities/1291419" TargetMode="External"/><Relationship Id="rId3411" Type="http://schemas.openxmlformats.org/officeDocument/2006/relationships/hyperlink" Target="https://expa.aiesec.org/opportunities/1272564" TargetMode="External"/><Relationship Id="rId3403" Type="http://schemas.openxmlformats.org/officeDocument/2006/relationships/hyperlink" Target="https://expa.aiesec.org/opportunities/1294795" TargetMode="External"/><Relationship Id="rId3402" Type="http://schemas.openxmlformats.org/officeDocument/2006/relationships/hyperlink" Target="https://expa.aiesec.org/opportunities/1289347" TargetMode="External"/><Relationship Id="rId3405" Type="http://schemas.openxmlformats.org/officeDocument/2006/relationships/hyperlink" Target="https://expa.aiesec.org/opportunities/1298284" TargetMode="External"/><Relationship Id="rId3404" Type="http://schemas.openxmlformats.org/officeDocument/2006/relationships/hyperlink" Target="https://expa.aiesec.org/opportunities/1286326" TargetMode="External"/><Relationship Id="rId3407" Type="http://schemas.openxmlformats.org/officeDocument/2006/relationships/hyperlink" Target="https://expa.aiesec.org/opportunities/1299666" TargetMode="External"/><Relationship Id="rId3406" Type="http://schemas.openxmlformats.org/officeDocument/2006/relationships/hyperlink" Target="https://expa.aiesec.org/opportunities/1286326" TargetMode="External"/><Relationship Id="rId3409" Type="http://schemas.openxmlformats.org/officeDocument/2006/relationships/hyperlink" Target="https://expa.aiesec.org/opportunities/1289347" TargetMode="External"/><Relationship Id="rId3408" Type="http://schemas.openxmlformats.org/officeDocument/2006/relationships/hyperlink" Target="https://expa.aiesec.org/opportunities/1288663" TargetMode="External"/><Relationship Id="rId877" Type="http://schemas.openxmlformats.org/officeDocument/2006/relationships/hyperlink" Target="https://expa.aiesec.org/opportunities/1288420" TargetMode="External"/><Relationship Id="rId876" Type="http://schemas.openxmlformats.org/officeDocument/2006/relationships/hyperlink" Target="https://expa.aiesec.org/opportunities/1282256" TargetMode="External"/><Relationship Id="rId875" Type="http://schemas.openxmlformats.org/officeDocument/2006/relationships/hyperlink" Target="https://expa.aiesec.org/opportunities/1290729" TargetMode="External"/><Relationship Id="rId874" Type="http://schemas.openxmlformats.org/officeDocument/2006/relationships/hyperlink" Target="https://expa.aiesec.org/opportunities/1286920" TargetMode="External"/><Relationship Id="rId879" Type="http://schemas.openxmlformats.org/officeDocument/2006/relationships/hyperlink" Target="https://expa.aiesec.org/opportunities/1289505" TargetMode="External"/><Relationship Id="rId878" Type="http://schemas.openxmlformats.org/officeDocument/2006/relationships/hyperlink" Target="https://expa.aiesec.org/opportunities/1287101" TargetMode="External"/><Relationship Id="rId873" Type="http://schemas.openxmlformats.org/officeDocument/2006/relationships/hyperlink" Target="https://expa.aiesec.org/opportunities/1289851" TargetMode="External"/><Relationship Id="rId872" Type="http://schemas.openxmlformats.org/officeDocument/2006/relationships/hyperlink" Target="https://expa.aiesec.org/opportunities/1290186" TargetMode="External"/><Relationship Id="rId871" Type="http://schemas.openxmlformats.org/officeDocument/2006/relationships/hyperlink" Target="https://expa.aiesec.org/opportunities/1272564" TargetMode="External"/><Relationship Id="rId3401" Type="http://schemas.openxmlformats.org/officeDocument/2006/relationships/hyperlink" Target="https://expa.aiesec.org/opportunities/1279126" TargetMode="External"/><Relationship Id="rId870" Type="http://schemas.openxmlformats.org/officeDocument/2006/relationships/hyperlink" Target="https://expa.aiesec.org/opportunities/1283288" TargetMode="External"/><Relationship Id="rId3400" Type="http://schemas.openxmlformats.org/officeDocument/2006/relationships/hyperlink" Target="https://expa.aiesec.org/opportunities/1279126" TargetMode="External"/><Relationship Id="rId1653" Type="http://schemas.openxmlformats.org/officeDocument/2006/relationships/hyperlink" Target="https://expa.aiesec.org/opportunities/1292188" TargetMode="External"/><Relationship Id="rId2984" Type="http://schemas.openxmlformats.org/officeDocument/2006/relationships/hyperlink" Target="https://expa.aiesec.org/opportunities/1294651" TargetMode="External"/><Relationship Id="rId1654" Type="http://schemas.openxmlformats.org/officeDocument/2006/relationships/hyperlink" Target="https://expa.aiesec.org/opportunities/1288871" TargetMode="External"/><Relationship Id="rId2985" Type="http://schemas.openxmlformats.org/officeDocument/2006/relationships/hyperlink" Target="https://expa.aiesec.org/opportunities/1294533" TargetMode="External"/><Relationship Id="rId1655" Type="http://schemas.openxmlformats.org/officeDocument/2006/relationships/hyperlink" Target="https://expa.aiesec.org/opportunities/1293683" TargetMode="External"/><Relationship Id="rId2986" Type="http://schemas.openxmlformats.org/officeDocument/2006/relationships/hyperlink" Target="https://expa.aiesec.org/opportunities/1294332" TargetMode="External"/><Relationship Id="rId1656" Type="http://schemas.openxmlformats.org/officeDocument/2006/relationships/hyperlink" Target="https://expa.aiesec.org/opportunities/1287226" TargetMode="External"/><Relationship Id="rId2987" Type="http://schemas.openxmlformats.org/officeDocument/2006/relationships/hyperlink" Target="https://expa.aiesec.org/opportunities/1293463" TargetMode="External"/><Relationship Id="rId1657" Type="http://schemas.openxmlformats.org/officeDocument/2006/relationships/hyperlink" Target="https://expa.aiesec.org/opportunities/1294193" TargetMode="External"/><Relationship Id="rId2988" Type="http://schemas.openxmlformats.org/officeDocument/2006/relationships/hyperlink" Target="https://expa.aiesec.org/opportunities/1295453" TargetMode="External"/><Relationship Id="rId1658" Type="http://schemas.openxmlformats.org/officeDocument/2006/relationships/hyperlink" Target="https://expa.aiesec.org/opportunities/1289255" TargetMode="External"/><Relationship Id="rId2989" Type="http://schemas.openxmlformats.org/officeDocument/2006/relationships/hyperlink" Target="https://expa.aiesec.org/opportunities/1289536" TargetMode="External"/><Relationship Id="rId1659" Type="http://schemas.openxmlformats.org/officeDocument/2006/relationships/hyperlink" Target="https://expa.aiesec.org/opportunities/1290282" TargetMode="External"/><Relationship Id="rId829" Type="http://schemas.openxmlformats.org/officeDocument/2006/relationships/hyperlink" Target="https://expa.aiesec.org/opportunities/1288393" TargetMode="External"/><Relationship Id="rId828" Type="http://schemas.openxmlformats.org/officeDocument/2006/relationships/hyperlink" Target="https://expa.aiesec.org/opportunities/1277549" TargetMode="External"/><Relationship Id="rId827" Type="http://schemas.openxmlformats.org/officeDocument/2006/relationships/hyperlink" Target="https://expa.aiesec.org/opportunities/1272564" TargetMode="External"/><Relationship Id="rId822" Type="http://schemas.openxmlformats.org/officeDocument/2006/relationships/hyperlink" Target="https://expa.aiesec.org/opportunities/1291275" TargetMode="External"/><Relationship Id="rId821" Type="http://schemas.openxmlformats.org/officeDocument/2006/relationships/hyperlink" Target="https://expa.aiesec.org/opportunities/1284596" TargetMode="External"/><Relationship Id="rId820" Type="http://schemas.openxmlformats.org/officeDocument/2006/relationships/hyperlink" Target="https://expa.aiesec.org/opportunities/1289155" TargetMode="External"/><Relationship Id="rId826" Type="http://schemas.openxmlformats.org/officeDocument/2006/relationships/hyperlink" Target="https://expa.aiesec.org/opportunities/1284077" TargetMode="External"/><Relationship Id="rId825" Type="http://schemas.openxmlformats.org/officeDocument/2006/relationships/hyperlink" Target="https://expa.aiesec.org/opportunities/1289505" TargetMode="External"/><Relationship Id="rId824" Type="http://schemas.openxmlformats.org/officeDocument/2006/relationships/hyperlink" Target="https://expa.aiesec.org/opportunities/1287101" TargetMode="External"/><Relationship Id="rId823" Type="http://schemas.openxmlformats.org/officeDocument/2006/relationships/hyperlink" Target="https://expa.aiesec.org/opportunities/1290845" TargetMode="External"/><Relationship Id="rId2980" Type="http://schemas.openxmlformats.org/officeDocument/2006/relationships/hyperlink" Target="https://expa.aiesec.org/opportunities/1293311" TargetMode="External"/><Relationship Id="rId1650" Type="http://schemas.openxmlformats.org/officeDocument/2006/relationships/hyperlink" Target="https://expa.aiesec.org/opportunities/1288609" TargetMode="External"/><Relationship Id="rId2981" Type="http://schemas.openxmlformats.org/officeDocument/2006/relationships/hyperlink" Target="https://expa.aiesec.org/opportunities/1296105" TargetMode="External"/><Relationship Id="rId1651" Type="http://schemas.openxmlformats.org/officeDocument/2006/relationships/hyperlink" Target="https://expa.aiesec.org/opportunities/1289536" TargetMode="External"/><Relationship Id="rId2982" Type="http://schemas.openxmlformats.org/officeDocument/2006/relationships/hyperlink" Target="https://expa.aiesec.org/opportunities/1289596" TargetMode="External"/><Relationship Id="rId1652" Type="http://schemas.openxmlformats.org/officeDocument/2006/relationships/hyperlink" Target="https://expa.aiesec.org/opportunities/1294061" TargetMode="External"/><Relationship Id="rId2983" Type="http://schemas.openxmlformats.org/officeDocument/2006/relationships/hyperlink" Target="https://expa.aiesec.org/opportunities/1291417" TargetMode="External"/><Relationship Id="rId1642" Type="http://schemas.openxmlformats.org/officeDocument/2006/relationships/hyperlink" Target="https://expa.aiesec.org/opportunities/1293961" TargetMode="External"/><Relationship Id="rId2973" Type="http://schemas.openxmlformats.org/officeDocument/2006/relationships/hyperlink" Target="https://expa.aiesec.org/opportunities/1295120" TargetMode="External"/><Relationship Id="rId1643" Type="http://schemas.openxmlformats.org/officeDocument/2006/relationships/hyperlink" Target="https://expa.aiesec.org/opportunities/1283483" TargetMode="External"/><Relationship Id="rId2974" Type="http://schemas.openxmlformats.org/officeDocument/2006/relationships/hyperlink" Target="https://expa.aiesec.org/opportunities/1296670" TargetMode="External"/><Relationship Id="rId1644" Type="http://schemas.openxmlformats.org/officeDocument/2006/relationships/hyperlink" Target="https://expa.aiesec.org/opportunities/1294061" TargetMode="External"/><Relationship Id="rId2975" Type="http://schemas.openxmlformats.org/officeDocument/2006/relationships/hyperlink" Target="https://expa.aiesec.org/opportunities/1277333" TargetMode="External"/><Relationship Id="rId1645" Type="http://schemas.openxmlformats.org/officeDocument/2006/relationships/hyperlink" Target="https://expa.aiesec.org/opportunities/1292990" TargetMode="External"/><Relationship Id="rId2976" Type="http://schemas.openxmlformats.org/officeDocument/2006/relationships/hyperlink" Target="https://expa.aiesec.org/opportunities/1277333" TargetMode="External"/><Relationship Id="rId1646" Type="http://schemas.openxmlformats.org/officeDocument/2006/relationships/hyperlink" Target="https://expa.aiesec.org/opportunities/1293210" TargetMode="External"/><Relationship Id="rId2977" Type="http://schemas.openxmlformats.org/officeDocument/2006/relationships/hyperlink" Target="https://expa.aiesec.org/opportunities/1288486" TargetMode="External"/><Relationship Id="rId1647" Type="http://schemas.openxmlformats.org/officeDocument/2006/relationships/hyperlink" Target="https://expa.aiesec.org/opportunities/1292793" TargetMode="External"/><Relationship Id="rId2978" Type="http://schemas.openxmlformats.org/officeDocument/2006/relationships/hyperlink" Target="https://expa.aiesec.org/opportunities/1298413" TargetMode="External"/><Relationship Id="rId1648" Type="http://schemas.openxmlformats.org/officeDocument/2006/relationships/hyperlink" Target="https://expa.aiesec.org/opportunities/1284869" TargetMode="External"/><Relationship Id="rId2979" Type="http://schemas.openxmlformats.org/officeDocument/2006/relationships/hyperlink" Target="https://expa.aiesec.org/opportunities/1295568" TargetMode="External"/><Relationship Id="rId1649" Type="http://schemas.openxmlformats.org/officeDocument/2006/relationships/hyperlink" Target="https://expa.aiesec.org/opportunities/1279126" TargetMode="External"/><Relationship Id="rId819" Type="http://schemas.openxmlformats.org/officeDocument/2006/relationships/hyperlink" Target="https://expa.aiesec.org/opportunities/1288616" TargetMode="External"/><Relationship Id="rId818" Type="http://schemas.openxmlformats.org/officeDocument/2006/relationships/hyperlink" Target="https://expa.aiesec.org/opportunities/1288970" TargetMode="External"/><Relationship Id="rId817" Type="http://schemas.openxmlformats.org/officeDocument/2006/relationships/hyperlink" Target="https://expa.aiesec.org/opportunities/1290078" TargetMode="External"/><Relationship Id="rId816" Type="http://schemas.openxmlformats.org/officeDocument/2006/relationships/hyperlink" Target="https://expa.aiesec.org/opportunities/1272564" TargetMode="External"/><Relationship Id="rId811" Type="http://schemas.openxmlformats.org/officeDocument/2006/relationships/hyperlink" Target="https://expa.aiesec.org/opportunities/1289596" TargetMode="External"/><Relationship Id="rId810" Type="http://schemas.openxmlformats.org/officeDocument/2006/relationships/hyperlink" Target="https://expa.aiesec.org/opportunities/1272564" TargetMode="External"/><Relationship Id="rId815" Type="http://schemas.openxmlformats.org/officeDocument/2006/relationships/hyperlink" Target="https://expa.aiesec.org/opportunities/1286920" TargetMode="External"/><Relationship Id="rId814" Type="http://schemas.openxmlformats.org/officeDocument/2006/relationships/hyperlink" Target="https://expa.aiesec.org/opportunities/1284077" TargetMode="External"/><Relationship Id="rId813" Type="http://schemas.openxmlformats.org/officeDocument/2006/relationships/hyperlink" Target="https://expa.aiesec.org/opportunities/1280872" TargetMode="External"/><Relationship Id="rId812" Type="http://schemas.openxmlformats.org/officeDocument/2006/relationships/hyperlink" Target="https://expa.aiesec.org/opportunities/1283628" TargetMode="External"/><Relationship Id="rId2970" Type="http://schemas.openxmlformats.org/officeDocument/2006/relationships/hyperlink" Target="https://expa.aiesec.org/opportunities/1286034" TargetMode="External"/><Relationship Id="rId1640" Type="http://schemas.openxmlformats.org/officeDocument/2006/relationships/hyperlink" Target="https://expa.aiesec.org/opportunities/1272564" TargetMode="External"/><Relationship Id="rId2971" Type="http://schemas.openxmlformats.org/officeDocument/2006/relationships/hyperlink" Target="https://expa.aiesec.org/opportunities/1297445" TargetMode="External"/><Relationship Id="rId1641" Type="http://schemas.openxmlformats.org/officeDocument/2006/relationships/hyperlink" Target="https://expa.aiesec.org/opportunities/1289536" TargetMode="External"/><Relationship Id="rId2972" Type="http://schemas.openxmlformats.org/officeDocument/2006/relationships/hyperlink" Target="https://expa.aiesec.org/opportunities/1283891" TargetMode="External"/><Relationship Id="rId1675" Type="http://schemas.openxmlformats.org/officeDocument/2006/relationships/hyperlink" Target="https://expa.aiesec.org/opportunities/1292557" TargetMode="External"/><Relationship Id="rId1676" Type="http://schemas.openxmlformats.org/officeDocument/2006/relationships/hyperlink" Target="https://expa.aiesec.org/opportunities/1289228" TargetMode="External"/><Relationship Id="rId1677" Type="http://schemas.openxmlformats.org/officeDocument/2006/relationships/hyperlink" Target="https://expa.aiesec.org/opportunities/1290630" TargetMode="External"/><Relationship Id="rId1678" Type="http://schemas.openxmlformats.org/officeDocument/2006/relationships/hyperlink" Target="https://expa.aiesec.org/opportunities/1289100" TargetMode="External"/><Relationship Id="rId1679" Type="http://schemas.openxmlformats.org/officeDocument/2006/relationships/hyperlink" Target="https://expa.aiesec.org/opportunities/1290282" TargetMode="External"/><Relationship Id="rId849" Type="http://schemas.openxmlformats.org/officeDocument/2006/relationships/hyperlink" Target="https://expa.aiesec.org/opportunities/1290300" TargetMode="External"/><Relationship Id="rId844" Type="http://schemas.openxmlformats.org/officeDocument/2006/relationships/hyperlink" Target="https://expa.aiesec.org/opportunities/1279126" TargetMode="External"/><Relationship Id="rId843" Type="http://schemas.openxmlformats.org/officeDocument/2006/relationships/hyperlink" Target="https://expa.aiesec.org/opportunities/1289255" TargetMode="External"/><Relationship Id="rId842" Type="http://schemas.openxmlformats.org/officeDocument/2006/relationships/hyperlink" Target="https://expa.aiesec.org/opportunities/1291250" TargetMode="External"/><Relationship Id="rId841" Type="http://schemas.openxmlformats.org/officeDocument/2006/relationships/hyperlink" Target="https://expa.aiesec.org/opportunities/1290189" TargetMode="External"/><Relationship Id="rId848" Type="http://schemas.openxmlformats.org/officeDocument/2006/relationships/hyperlink" Target="https://expa.aiesec.org/opportunities/1289536" TargetMode="External"/><Relationship Id="rId847" Type="http://schemas.openxmlformats.org/officeDocument/2006/relationships/hyperlink" Target="https://expa.aiesec.org/opportunities/1290186" TargetMode="External"/><Relationship Id="rId846" Type="http://schemas.openxmlformats.org/officeDocument/2006/relationships/hyperlink" Target="https://expa.aiesec.org/opportunities/1290186" TargetMode="External"/><Relationship Id="rId845" Type="http://schemas.openxmlformats.org/officeDocument/2006/relationships/hyperlink" Target="https://expa.aiesec.org/opportunities/1291230" TargetMode="External"/><Relationship Id="rId1670" Type="http://schemas.openxmlformats.org/officeDocument/2006/relationships/hyperlink" Target="https://expa.aiesec.org/opportunities/1287488" TargetMode="External"/><Relationship Id="rId840" Type="http://schemas.openxmlformats.org/officeDocument/2006/relationships/hyperlink" Target="https://expa.aiesec.org/opportunities/1290189" TargetMode="External"/><Relationship Id="rId1671" Type="http://schemas.openxmlformats.org/officeDocument/2006/relationships/hyperlink" Target="https://expa.aiesec.org/opportunities/1293944" TargetMode="External"/><Relationship Id="rId1672" Type="http://schemas.openxmlformats.org/officeDocument/2006/relationships/hyperlink" Target="https://expa.aiesec.org/opportunities/1293755" TargetMode="External"/><Relationship Id="rId1673" Type="http://schemas.openxmlformats.org/officeDocument/2006/relationships/hyperlink" Target="https://expa.aiesec.org/opportunities/1294046" TargetMode="External"/><Relationship Id="rId1674" Type="http://schemas.openxmlformats.org/officeDocument/2006/relationships/hyperlink" Target="https://expa.aiesec.org/opportunities/1293866" TargetMode="External"/><Relationship Id="rId1664" Type="http://schemas.openxmlformats.org/officeDocument/2006/relationships/hyperlink" Target="https://expa.aiesec.org/opportunities/1293699" TargetMode="External"/><Relationship Id="rId2995" Type="http://schemas.openxmlformats.org/officeDocument/2006/relationships/hyperlink" Target="https://expa.aiesec.org/opportunities/1296671" TargetMode="External"/><Relationship Id="rId1665" Type="http://schemas.openxmlformats.org/officeDocument/2006/relationships/hyperlink" Target="https://expa.aiesec.org/opportunities/1291254" TargetMode="External"/><Relationship Id="rId2996" Type="http://schemas.openxmlformats.org/officeDocument/2006/relationships/hyperlink" Target="https://expa.aiesec.org/opportunities/1294878" TargetMode="External"/><Relationship Id="rId1666" Type="http://schemas.openxmlformats.org/officeDocument/2006/relationships/hyperlink" Target="https://expa.aiesec.org/opportunities/1292284" TargetMode="External"/><Relationship Id="rId2997" Type="http://schemas.openxmlformats.org/officeDocument/2006/relationships/hyperlink" Target="https://expa.aiesec.org/opportunities/1294346" TargetMode="External"/><Relationship Id="rId1667" Type="http://schemas.openxmlformats.org/officeDocument/2006/relationships/hyperlink" Target="https://expa.aiesec.org/opportunities/1287226" TargetMode="External"/><Relationship Id="rId2998" Type="http://schemas.openxmlformats.org/officeDocument/2006/relationships/hyperlink" Target="https://expa.aiesec.org/opportunities/1287942" TargetMode="External"/><Relationship Id="rId1668" Type="http://schemas.openxmlformats.org/officeDocument/2006/relationships/hyperlink" Target="https://expa.aiesec.org/opportunities/1289100" TargetMode="External"/><Relationship Id="rId2999" Type="http://schemas.openxmlformats.org/officeDocument/2006/relationships/hyperlink" Target="https://expa.aiesec.org/opportunities/1289502" TargetMode="External"/><Relationship Id="rId1669" Type="http://schemas.openxmlformats.org/officeDocument/2006/relationships/hyperlink" Target="https://expa.aiesec.org/opportunities/1293200" TargetMode="External"/><Relationship Id="rId839" Type="http://schemas.openxmlformats.org/officeDocument/2006/relationships/hyperlink" Target="https://expa.aiesec.org/opportunities/1286585" TargetMode="External"/><Relationship Id="rId838" Type="http://schemas.openxmlformats.org/officeDocument/2006/relationships/hyperlink" Target="https://expa.aiesec.org/opportunities/1291375" TargetMode="External"/><Relationship Id="rId833" Type="http://schemas.openxmlformats.org/officeDocument/2006/relationships/hyperlink" Target="https://expa.aiesec.org/opportunities/1281235" TargetMode="External"/><Relationship Id="rId832" Type="http://schemas.openxmlformats.org/officeDocument/2006/relationships/hyperlink" Target="https://expa.aiesec.org/opportunities/1289505" TargetMode="External"/><Relationship Id="rId831" Type="http://schemas.openxmlformats.org/officeDocument/2006/relationships/hyperlink" Target="https://expa.aiesec.org/opportunities/1288970" TargetMode="External"/><Relationship Id="rId830" Type="http://schemas.openxmlformats.org/officeDocument/2006/relationships/hyperlink" Target="https://expa.aiesec.org/opportunities/1285161" TargetMode="External"/><Relationship Id="rId837" Type="http://schemas.openxmlformats.org/officeDocument/2006/relationships/hyperlink" Target="https://expa.aiesec.org/opportunities/1279126" TargetMode="External"/><Relationship Id="rId836" Type="http://schemas.openxmlformats.org/officeDocument/2006/relationships/hyperlink" Target="https://expa.aiesec.org/opportunities/1289138" TargetMode="External"/><Relationship Id="rId835" Type="http://schemas.openxmlformats.org/officeDocument/2006/relationships/hyperlink" Target="https://expa.aiesec.org/opportunities/1290985" TargetMode="External"/><Relationship Id="rId834" Type="http://schemas.openxmlformats.org/officeDocument/2006/relationships/hyperlink" Target="https://expa.aiesec.org/opportunities/1289261" TargetMode="External"/><Relationship Id="rId2990" Type="http://schemas.openxmlformats.org/officeDocument/2006/relationships/hyperlink" Target="https://expa.aiesec.org/opportunities/1289536" TargetMode="External"/><Relationship Id="rId1660" Type="http://schemas.openxmlformats.org/officeDocument/2006/relationships/hyperlink" Target="https://expa.aiesec.org/opportunities/1286326" TargetMode="External"/><Relationship Id="rId2991" Type="http://schemas.openxmlformats.org/officeDocument/2006/relationships/hyperlink" Target="https://expa.aiesec.org/opportunities/1297154" TargetMode="External"/><Relationship Id="rId1661" Type="http://schemas.openxmlformats.org/officeDocument/2006/relationships/hyperlink" Target="https://expa.aiesec.org/opportunities/1288663" TargetMode="External"/><Relationship Id="rId2992" Type="http://schemas.openxmlformats.org/officeDocument/2006/relationships/hyperlink" Target="https://expa.aiesec.org/opportunities/1285868" TargetMode="External"/><Relationship Id="rId1662" Type="http://schemas.openxmlformats.org/officeDocument/2006/relationships/hyperlink" Target="https://expa.aiesec.org/opportunities/1290387" TargetMode="External"/><Relationship Id="rId2993" Type="http://schemas.openxmlformats.org/officeDocument/2006/relationships/hyperlink" Target="https://expa.aiesec.org/opportunities/1284476" TargetMode="External"/><Relationship Id="rId1663" Type="http://schemas.openxmlformats.org/officeDocument/2006/relationships/hyperlink" Target="https://expa.aiesec.org/opportunities/1293005" TargetMode="External"/><Relationship Id="rId2994" Type="http://schemas.openxmlformats.org/officeDocument/2006/relationships/hyperlink" Target="https://expa.aiesec.org/opportunities/1296101" TargetMode="External"/><Relationship Id="rId2148" Type="http://schemas.openxmlformats.org/officeDocument/2006/relationships/hyperlink" Target="https://expa.aiesec.org/opportunities/1289505" TargetMode="External"/><Relationship Id="rId2149" Type="http://schemas.openxmlformats.org/officeDocument/2006/relationships/hyperlink" Target="https://expa.aiesec.org/opportunities/1289505" TargetMode="External"/><Relationship Id="rId3479" Type="http://schemas.openxmlformats.org/officeDocument/2006/relationships/hyperlink" Target="https://expa.aiesec.org/opportunities/1300562" TargetMode="External"/><Relationship Id="rId3470" Type="http://schemas.openxmlformats.org/officeDocument/2006/relationships/hyperlink" Target="https://expa.aiesec.org/opportunities/1292875" TargetMode="External"/><Relationship Id="rId2140" Type="http://schemas.openxmlformats.org/officeDocument/2006/relationships/hyperlink" Target="https://expa.aiesec.org/opportunities/1293980" TargetMode="External"/><Relationship Id="rId3472" Type="http://schemas.openxmlformats.org/officeDocument/2006/relationships/hyperlink" Target="https://expa.aiesec.org/opportunities/1295453" TargetMode="External"/><Relationship Id="rId2141" Type="http://schemas.openxmlformats.org/officeDocument/2006/relationships/hyperlink" Target="https://expa.aiesec.org/opportunities/1293576" TargetMode="External"/><Relationship Id="rId3471" Type="http://schemas.openxmlformats.org/officeDocument/2006/relationships/hyperlink" Target="https://expa.aiesec.org/opportunities/1299265" TargetMode="External"/><Relationship Id="rId2142" Type="http://schemas.openxmlformats.org/officeDocument/2006/relationships/hyperlink" Target="https://expa.aiesec.org/opportunities/1294894" TargetMode="External"/><Relationship Id="rId3474" Type="http://schemas.openxmlformats.org/officeDocument/2006/relationships/hyperlink" Target="https://expa.aiesec.org/opportunities/1300562" TargetMode="External"/><Relationship Id="rId2143" Type="http://schemas.openxmlformats.org/officeDocument/2006/relationships/hyperlink" Target="https://expa.aiesec.org/opportunities/1294795" TargetMode="External"/><Relationship Id="rId3473" Type="http://schemas.openxmlformats.org/officeDocument/2006/relationships/hyperlink" Target="https://expa.aiesec.org/opportunities/1300102" TargetMode="External"/><Relationship Id="rId2144" Type="http://schemas.openxmlformats.org/officeDocument/2006/relationships/hyperlink" Target="https://expa.aiesec.org/opportunities/1294795" TargetMode="External"/><Relationship Id="rId3476" Type="http://schemas.openxmlformats.org/officeDocument/2006/relationships/hyperlink" Target="https://expa.aiesec.org/opportunities/1289505" TargetMode="External"/><Relationship Id="rId2145" Type="http://schemas.openxmlformats.org/officeDocument/2006/relationships/hyperlink" Target="https://expa.aiesec.org/opportunities/1286821" TargetMode="External"/><Relationship Id="rId3475" Type="http://schemas.openxmlformats.org/officeDocument/2006/relationships/hyperlink" Target="https://expa.aiesec.org/opportunities/1287708" TargetMode="External"/><Relationship Id="rId2146" Type="http://schemas.openxmlformats.org/officeDocument/2006/relationships/hyperlink" Target="https://expa.aiesec.org/opportunities/1295377" TargetMode="External"/><Relationship Id="rId3478" Type="http://schemas.openxmlformats.org/officeDocument/2006/relationships/hyperlink" Target="https://expa.aiesec.org/opportunities/1279126" TargetMode="External"/><Relationship Id="rId2147" Type="http://schemas.openxmlformats.org/officeDocument/2006/relationships/hyperlink" Target="https://expa.aiesec.org/opportunities/1294452" TargetMode="External"/><Relationship Id="rId3477" Type="http://schemas.openxmlformats.org/officeDocument/2006/relationships/hyperlink" Target="https://expa.aiesec.org/opportunities/1294795" TargetMode="External"/><Relationship Id="rId2137" Type="http://schemas.openxmlformats.org/officeDocument/2006/relationships/hyperlink" Target="https://expa.aiesec.org/opportunities/1291144" TargetMode="External"/><Relationship Id="rId3469" Type="http://schemas.openxmlformats.org/officeDocument/2006/relationships/hyperlink" Target="https://expa.aiesec.org/opportunities/1289255" TargetMode="External"/><Relationship Id="rId2138" Type="http://schemas.openxmlformats.org/officeDocument/2006/relationships/hyperlink" Target="https://expa.aiesec.org/opportunities/1293443" TargetMode="External"/><Relationship Id="rId3468" Type="http://schemas.openxmlformats.org/officeDocument/2006/relationships/hyperlink" Target="https://expa.aiesec.org/opportunities/1297178" TargetMode="External"/><Relationship Id="rId2139" Type="http://schemas.openxmlformats.org/officeDocument/2006/relationships/hyperlink" Target="https://expa.aiesec.org/opportunities/1294924" TargetMode="External"/><Relationship Id="rId3461" Type="http://schemas.openxmlformats.org/officeDocument/2006/relationships/hyperlink" Target="https://expa.aiesec.org/opportunities/1279126" TargetMode="External"/><Relationship Id="rId2130" Type="http://schemas.openxmlformats.org/officeDocument/2006/relationships/hyperlink" Target="https://expa.aiesec.org/opportunities/1294452" TargetMode="External"/><Relationship Id="rId3460" Type="http://schemas.openxmlformats.org/officeDocument/2006/relationships/hyperlink" Target="https://expa.aiesec.org/opportunities/1294063" TargetMode="External"/><Relationship Id="rId2131" Type="http://schemas.openxmlformats.org/officeDocument/2006/relationships/hyperlink" Target="https://expa.aiesec.org/opportunities/1294452" TargetMode="External"/><Relationship Id="rId3463" Type="http://schemas.openxmlformats.org/officeDocument/2006/relationships/hyperlink" Target="https://expa.aiesec.org/opportunities/1299665" TargetMode="External"/><Relationship Id="rId2132" Type="http://schemas.openxmlformats.org/officeDocument/2006/relationships/hyperlink" Target="https://expa.aiesec.org/opportunities/1294332" TargetMode="External"/><Relationship Id="rId3462" Type="http://schemas.openxmlformats.org/officeDocument/2006/relationships/hyperlink" Target="https://expa.aiesec.org/opportunities/1293543" TargetMode="External"/><Relationship Id="rId2133" Type="http://schemas.openxmlformats.org/officeDocument/2006/relationships/hyperlink" Target="https://expa.aiesec.org/opportunities/1294894" TargetMode="External"/><Relationship Id="rId3465" Type="http://schemas.openxmlformats.org/officeDocument/2006/relationships/hyperlink" Target="https://expa.aiesec.org/opportunities/1289505" TargetMode="External"/><Relationship Id="rId2134" Type="http://schemas.openxmlformats.org/officeDocument/2006/relationships/hyperlink" Target="https://expa.aiesec.org/opportunities/1292303" TargetMode="External"/><Relationship Id="rId3464" Type="http://schemas.openxmlformats.org/officeDocument/2006/relationships/hyperlink" Target="https://expa.aiesec.org/opportunities/1293726" TargetMode="External"/><Relationship Id="rId2135" Type="http://schemas.openxmlformats.org/officeDocument/2006/relationships/hyperlink" Target="https://expa.aiesec.org/opportunities/1294452" TargetMode="External"/><Relationship Id="rId3467" Type="http://schemas.openxmlformats.org/officeDocument/2006/relationships/hyperlink" Target="https://expa.aiesec.org/opportunities/1289502" TargetMode="External"/><Relationship Id="rId2136" Type="http://schemas.openxmlformats.org/officeDocument/2006/relationships/hyperlink" Target="https://expa.aiesec.org/opportunities/1289597" TargetMode="External"/><Relationship Id="rId3466" Type="http://schemas.openxmlformats.org/officeDocument/2006/relationships/hyperlink" Target="https://expa.aiesec.org/opportunities/1289505" TargetMode="External"/><Relationship Id="rId3490" Type="http://schemas.openxmlformats.org/officeDocument/2006/relationships/hyperlink" Target="https://expa.aiesec.org/opportunities/1297157" TargetMode="External"/><Relationship Id="rId2160" Type="http://schemas.openxmlformats.org/officeDocument/2006/relationships/hyperlink" Target="https://expa.aiesec.org/opportunities/1295040" TargetMode="External"/><Relationship Id="rId3492" Type="http://schemas.openxmlformats.org/officeDocument/2006/relationships/hyperlink" Target="https://expa.aiesec.org/opportunities/1286839" TargetMode="External"/><Relationship Id="rId2161" Type="http://schemas.openxmlformats.org/officeDocument/2006/relationships/hyperlink" Target="https://expa.aiesec.org/opportunities/1289536" TargetMode="External"/><Relationship Id="rId3491" Type="http://schemas.openxmlformats.org/officeDocument/2006/relationships/hyperlink" Target="https://expa.aiesec.org/opportunities/1295453" TargetMode="External"/><Relationship Id="rId2162" Type="http://schemas.openxmlformats.org/officeDocument/2006/relationships/hyperlink" Target="https://expa.aiesec.org/opportunities/1288159" TargetMode="External"/><Relationship Id="rId3494" Type="http://schemas.openxmlformats.org/officeDocument/2006/relationships/hyperlink" Target="https://expa.aiesec.org/opportunities/1279126" TargetMode="External"/><Relationship Id="rId2163" Type="http://schemas.openxmlformats.org/officeDocument/2006/relationships/hyperlink" Target="https://expa.aiesec.org/opportunities/1293327" TargetMode="External"/><Relationship Id="rId3493" Type="http://schemas.openxmlformats.org/officeDocument/2006/relationships/hyperlink" Target="https://expa.aiesec.org/opportunities/1296234" TargetMode="External"/><Relationship Id="rId2164" Type="http://schemas.openxmlformats.org/officeDocument/2006/relationships/hyperlink" Target="https://expa.aiesec.org/opportunities/1293576" TargetMode="External"/><Relationship Id="rId3496" Type="http://schemas.openxmlformats.org/officeDocument/2006/relationships/hyperlink" Target="https://expa.aiesec.org/opportunities/1297781" TargetMode="External"/><Relationship Id="rId2165" Type="http://schemas.openxmlformats.org/officeDocument/2006/relationships/hyperlink" Target="https://expa.aiesec.org/opportunities/1286034" TargetMode="External"/><Relationship Id="rId3495" Type="http://schemas.openxmlformats.org/officeDocument/2006/relationships/hyperlink" Target="https://expa.aiesec.org/opportunities/1286326" TargetMode="External"/><Relationship Id="rId2166" Type="http://schemas.openxmlformats.org/officeDocument/2006/relationships/hyperlink" Target="https://expa.aiesec.org/opportunities/1291336" TargetMode="External"/><Relationship Id="rId3498" Type="http://schemas.openxmlformats.org/officeDocument/2006/relationships/hyperlink" Target="https://expa.aiesec.org/opportunities/1297112" TargetMode="External"/><Relationship Id="rId2167" Type="http://schemas.openxmlformats.org/officeDocument/2006/relationships/hyperlink" Target="https://expa.aiesec.org/opportunities/1290024" TargetMode="External"/><Relationship Id="rId3497" Type="http://schemas.openxmlformats.org/officeDocument/2006/relationships/hyperlink" Target="https://expa.aiesec.org/opportunities/1289347" TargetMode="External"/><Relationship Id="rId2168" Type="http://schemas.openxmlformats.org/officeDocument/2006/relationships/hyperlink" Target="https://expa.aiesec.org/opportunities/1295285" TargetMode="External"/><Relationship Id="rId2169" Type="http://schemas.openxmlformats.org/officeDocument/2006/relationships/hyperlink" Target="https://expa.aiesec.org/opportunities/1294994" TargetMode="External"/><Relationship Id="rId3499" Type="http://schemas.openxmlformats.org/officeDocument/2006/relationships/hyperlink" Target="https://expa.aiesec.org/opportunities/1286326" TargetMode="External"/><Relationship Id="rId2159" Type="http://schemas.openxmlformats.org/officeDocument/2006/relationships/hyperlink" Target="https://expa.aiesec.org/opportunities/1284670" TargetMode="External"/><Relationship Id="rId3481" Type="http://schemas.openxmlformats.org/officeDocument/2006/relationships/hyperlink" Target="https://expa.aiesec.org/opportunities/1300628" TargetMode="External"/><Relationship Id="rId2150" Type="http://schemas.openxmlformats.org/officeDocument/2006/relationships/hyperlink" Target="https://expa.aiesec.org/opportunities/1289596" TargetMode="External"/><Relationship Id="rId3480" Type="http://schemas.openxmlformats.org/officeDocument/2006/relationships/hyperlink" Target="https://expa.aiesec.org/opportunities/1299113" TargetMode="External"/><Relationship Id="rId2151" Type="http://schemas.openxmlformats.org/officeDocument/2006/relationships/hyperlink" Target="https://expa.aiesec.org/opportunities/1295293" TargetMode="External"/><Relationship Id="rId3483" Type="http://schemas.openxmlformats.org/officeDocument/2006/relationships/hyperlink" Target="https://expa.aiesec.org/opportunities/1289536" TargetMode="External"/><Relationship Id="rId2152" Type="http://schemas.openxmlformats.org/officeDocument/2006/relationships/hyperlink" Target="https://expa.aiesec.org/opportunities/1289596" TargetMode="External"/><Relationship Id="rId3482" Type="http://schemas.openxmlformats.org/officeDocument/2006/relationships/hyperlink" Target="https://expa.aiesec.org/opportunities/1297178" TargetMode="External"/><Relationship Id="rId2153" Type="http://schemas.openxmlformats.org/officeDocument/2006/relationships/hyperlink" Target="https://expa.aiesec.org/opportunities/1295285" TargetMode="External"/><Relationship Id="rId3485" Type="http://schemas.openxmlformats.org/officeDocument/2006/relationships/hyperlink" Target="https://expa.aiesec.org/opportunities/1296885" TargetMode="External"/><Relationship Id="rId2154" Type="http://schemas.openxmlformats.org/officeDocument/2006/relationships/hyperlink" Target="https://expa.aiesec.org/opportunities/1293242" TargetMode="External"/><Relationship Id="rId3484" Type="http://schemas.openxmlformats.org/officeDocument/2006/relationships/hyperlink" Target="https://expa.aiesec.org/opportunities/1297178" TargetMode="External"/><Relationship Id="rId2155" Type="http://schemas.openxmlformats.org/officeDocument/2006/relationships/hyperlink" Target="https://expa.aiesec.org/opportunities/1292579" TargetMode="External"/><Relationship Id="rId3487" Type="http://schemas.openxmlformats.org/officeDocument/2006/relationships/hyperlink" Target="https://expa.aiesec.org/opportunities/1287966" TargetMode="External"/><Relationship Id="rId2156" Type="http://schemas.openxmlformats.org/officeDocument/2006/relationships/hyperlink" Target="https://expa.aiesec.org/opportunities/1287380" TargetMode="External"/><Relationship Id="rId3486" Type="http://schemas.openxmlformats.org/officeDocument/2006/relationships/hyperlink" Target="https://expa.aiesec.org/opportunities/1291869" TargetMode="External"/><Relationship Id="rId2157" Type="http://schemas.openxmlformats.org/officeDocument/2006/relationships/hyperlink" Target="https://expa.aiesec.org/opportunities/1287101" TargetMode="External"/><Relationship Id="rId3489" Type="http://schemas.openxmlformats.org/officeDocument/2006/relationships/hyperlink" Target="https://expa.aiesec.org/opportunities/1300558" TargetMode="External"/><Relationship Id="rId2158" Type="http://schemas.openxmlformats.org/officeDocument/2006/relationships/hyperlink" Target="https://expa.aiesec.org/opportunities/1295149" TargetMode="External"/><Relationship Id="rId3488" Type="http://schemas.openxmlformats.org/officeDocument/2006/relationships/hyperlink" Target="https://expa.aiesec.org/opportunities/1299995" TargetMode="External"/><Relationship Id="rId2104" Type="http://schemas.openxmlformats.org/officeDocument/2006/relationships/hyperlink" Target="https://expa.aiesec.org/opportunities/1294207" TargetMode="External"/><Relationship Id="rId3436" Type="http://schemas.openxmlformats.org/officeDocument/2006/relationships/hyperlink" Target="https://expa.aiesec.org/opportunities/1299656" TargetMode="External"/><Relationship Id="rId2105" Type="http://schemas.openxmlformats.org/officeDocument/2006/relationships/hyperlink" Target="https://expa.aiesec.org/opportunities/1294708" TargetMode="External"/><Relationship Id="rId3435" Type="http://schemas.openxmlformats.org/officeDocument/2006/relationships/hyperlink" Target="https://expa.aiesec.org/opportunities/1296670" TargetMode="External"/><Relationship Id="rId2106" Type="http://schemas.openxmlformats.org/officeDocument/2006/relationships/hyperlink" Target="https://expa.aiesec.org/opportunities/1283483" TargetMode="External"/><Relationship Id="rId3438" Type="http://schemas.openxmlformats.org/officeDocument/2006/relationships/hyperlink" Target="https://expa.aiesec.org/opportunities/1279525" TargetMode="External"/><Relationship Id="rId2107" Type="http://schemas.openxmlformats.org/officeDocument/2006/relationships/hyperlink" Target="https://expa.aiesec.org/opportunities/1294127" TargetMode="External"/><Relationship Id="rId3437" Type="http://schemas.openxmlformats.org/officeDocument/2006/relationships/hyperlink" Target="https://expa.aiesec.org/opportunities/1294332" TargetMode="External"/><Relationship Id="rId2108" Type="http://schemas.openxmlformats.org/officeDocument/2006/relationships/hyperlink" Target="https://expa.aiesec.org/opportunities/1294894" TargetMode="External"/><Relationship Id="rId2109" Type="http://schemas.openxmlformats.org/officeDocument/2006/relationships/hyperlink" Target="https://expa.aiesec.org/opportunities/1284976" TargetMode="External"/><Relationship Id="rId3439" Type="http://schemas.openxmlformats.org/officeDocument/2006/relationships/hyperlink" Target="https://expa.aiesec.org/opportunities/1289505" TargetMode="External"/><Relationship Id="rId3430" Type="http://schemas.openxmlformats.org/officeDocument/2006/relationships/hyperlink" Target="https://expa.aiesec.org/opportunities/1283288" TargetMode="External"/><Relationship Id="rId2100" Type="http://schemas.openxmlformats.org/officeDocument/2006/relationships/hyperlink" Target="https://expa.aiesec.org/opportunities/1287210" TargetMode="External"/><Relationship Id="rId3432" Type="http://schemas.openxmlformats.org/officeDocument/2006/relationships/hyperlink" Target="https://expa.aiesec.org/opportunities/1299405" TargetMode="External"/><Relationship Id="rId2101" Type="http://schemas.openxmlformats.org/officeDocument/2006/relationships/hyperlink" Target="https://expa.aiesec.org/opportunities/1295046" TargetMode="External"/><Relationship Id="rId3431" Type="http://schemas.openxmlformats.org/officeDocument/2006/relationships/hyperlink" Target="https://expa.aiesec.org/opportunities/1297655" TargetMode="External"/><Relationship Id="rId2102" Type="http://schemas.openxmlformats.org/officeDocument/2006/relationships/hyperlink" Target="https://expa.aiesec.org/opportunities/1292571" TargetMode="External"/><Relationship Id="rId3434" Type="http://schemas.openxmlformats.org/officeDocument/2006/relationships/hyperlink" Target="https://expa.aiesec.org/opportunities/1299422" TargetMode="External"/><Relationship Id="rId2103" Type="http://schemas.openxmlformats.org/officeDocument/2006/relationships/hyperlink" Target="https://expa.aiesec.org/opportunities/1291634" TargetMode="External"/><Relationship Id="rId3433" Type="http://schemas.openxmlformats.org/officeDocument/2006/relationships/hyperlink" Target="https://expa.aiesec.org/opportunities/1300126" TargetMode="External"/><Relationship Id="rId3425" Type="http://schemas.openxmlformats.org/officeDocument/2006/relationships/hyperlink" Target="https://expa.aiesec.org/opportunities/1299919" TargetMode="External"/><Relationship Id="rId3424" Type="http://schemas.openxmlformats.org/officeDocument/2006/relationships/hyperlink" Target="https://expa.aiesec.org/opportunities/1291869" TargetMode="External"/><Relationship Id="rId3427" Type="http://schemas.openxmlformats.org/officeDocument/2006/relationships/hyperlink" Target="https://expa.aiesec.org/opportunities/1300060" TargetMode="External"/><Relationship Id="rId3426" Type="http://schemas.openxmlformats.org/officeDocument/2006/relationships/hyperlink" Target="https://expa.aiesec.org/opportunities/1292557" TargetMode="External"/><Relationship Id="rId3429" Type="http://schemas.openxmlformats.org/officeDocument/2006/relationships/hyperlink" Target="https://expa.aiesec.org/opportunities/1295253" TargetMode="External"/><Relationship Id="rId3428" Type="http://schemas.openxmlformats.org/officeDocument/2006/relationships/hyperlink" Target="https://expa.aiesec.org/opportunities/1299451" TargetMode="External"/><Relationship Id="rId899" Type="http://schemas.openxmlformats.org/officeDocument/2006/relationships/hyperlink" Target="https://expa.aiesec.org/opportunities/1286821" TargetMode="External"/><Relationship Id="rId898" Type="http://schemas.openxmlformats.org/officeDocument/2006/relationships/hyperlink" Target="https://expa.aiesec.org/opportunities/1291039" TargetMode="External"/><Relationship Id="rId897" Type="http://schemas.openxmlformats.org/officeDocument/2006/relationships/hyperlink" Target="https://expa.aiesec.org/opportunities/1291209" TargetMode="External"/><Relationship Id="rId896" Type="http://schemas.openxmlformats.org/officeDocument/2006/relationships/hyperlink" Target="https://expa.aiesec.org/opportunities/1291360" TargetMode="External"/><Relationship Id="rId891" Type="http://schemas.openxmlformats.org/officeDocument/2006/relationships/hyperlink" Target="https://expa.aiesec.org/opportunities/1287916" TargetMode="External"/><Relationship Id="rId890" Type="http://schemas.openxmlformats.org/officeDocument/2006/relationships/hyperlink" Target="https://expa.aiesec.org/opportunities/1288441" TargetMode="External"/><Relationship Id="rId895" Type="http://schemas.openxmlformats.org/officeDocument/2006/relationships/hyperlink" Target="https://expa.aiesec.org/opportunities/1288991" TargetMode="External"/><Relationship Id="rId3421" Type="http://schemas.openxmlformats.org/officeDocument/2006/relationships/hyperlink" Target="https://expa.aiesec.org/opportunities/1289536" TargetMode="External"/><Relationship Id="rId894" Type="http://schemas.openxmlformats.org/officeDocument/2006/relationships/hyperlink" Target="https://expa.aiesec.org/opportunities/1287487" TargetMode="External"/><Relationship Id="rId3420" Type="http://schemas.openxmlformats.org/officeDocument/2006/relationships/hyperlink" Target="https://expa.aiesec.org/opportunities/1279126" TargetMode="External"/><Relationship Id="rId893" Type="http://schemas.openxmlformats.org/officeDocument/2006/relationships/hyperlink" Target="https://expa.aiesec.org/opportunities/1278298" TargetMode="External"/><Relationship Id="rId3423" Type="http://schemas.openxmlformats.org/officeDocument/2006/relationships/hyperlink" Target="https://expa.aiesec.org/opportunities/1289596" TargetMode="External"/><Relationship Id="rId892" Type="http://schemas.openxmlformats.org/officeDocument/2006/relationships/hyperlink" Target="https://expa.aiesec.org/opportunities/1289689" TargetMode="External"/><Relationship Id="rId3422" Type="http://schemas.openxmlformats.org/officeDocument/2006/relationships/hyperlink" Target="https://expa.aiesec.org/opportunities/1296105" TargetMode="External"/><Relationship Id="rId2126" Type="http://schemas.openxmlformats.org/officeDocument/2006/relationships/hyperlink" Target="https://expa.aiesec.org/opportunities/1295285" TargetMode="External"/><Relationship Id="rId3458" Type="http://schemas.openxmlformats.org/officeDocument/2006/relationships/hyperlink" Target="https://expa.aiesec.org/opportunities/1297178" TargetMode="External"/><Relationship Id="rId2127" Type="http://schemas.openxmlformats.org/officeDocument/2006/relationships/hyperlink" Target="https://expa.aiesec.org/opportunities/1294114" TargetMode="External"/><Relationship Id="rId3457" Type="http://schemas.openxmlformats.org/officeDocument/2006/relationships/hyperlink" Target="https://expa.aiesec.org/opportunities/1300097" TargetMode="External"/><Relationship Id="rId2128" Type="http://schemas.openxmlformats.org/officeDocument/2006/relationships/hyperlink" Target="https://expa.aiesec.org/opportunities/1287210" TargetMode="External"/><Relationship Id="rId2129" Type="http://schemas.openxmlformats.org/officeDocument/2006/relationships/hyperlink" Target="https://expa.aiesec.org/opportunities/1289505" TargetMode="External"/><Relationship Id="rId3459" Type="http://schemas.openxmlformats.org/officeDocument/2006/relationships/hyperlink" Target="https://expa.aiesec.org/opportunities/1299036" TargetMode="External"/><Relationship Id="rId3450" Type="http://schemas.openxmlformats.org/officeDocument/2006/relationships/hyperlink" Target="https://expa.aiesec.org/opportunities/1296885" TargetMode="External"/><Relationship Id="rId2120" Type="http://schemas.openxmlformats.org/officeDocument/2006/relationships/hyperlink" Target="https://expa.aiesec.org/opportunities/1293257" TargetMode="External"/><Relationship Id="rId3452" Type="http://schemas.openxmlformats.org/officeDocument/2006/relationships/hyperlink" Target="https://expa.aiesec.org/opportunities/1299393" TargetMode="External"/><Relationship Id="rId2121" Type="http://schemas.openxmlformats.org/officeDocument/2006/relationships/hyperlink" Target="https://expa.aiesec.org/opportunities/1294410" TargetMode="External"/><Relationship Id="rId3451" Type="http://schemas.openxmlformats.org/officeDocument/2006/relationships/hyperlink" Target="https://expa.aiesec.org/opportunities/1292545" TargetMode="External"/><Relationship Id="rId2122" Type="http://schemas.openxmlformats.org/officeDocument/2006/relationships/hyperlink" Target="https://expa.aiesec.org/opportunities/1295002" TargetMode="External"/><Relationship Id="rId3454" Type="http://schemas.openxmlformats.org/officeDocument/2006/relationships/hyperlink" Target="https://expa.aiesec.org/opportunities/1288609" TargetMode="External"/><Relationship Id="rId2123" Type="http://schemas.openxmlformats.org/officeDocument/2006/relationships/hyperlink" Target="https://expa.aiesec.org/opportunities/1293524" TargetMode="External"/><Relationship Id="rId3453" Type="http://schemas.openxmlformats.org/officeDocument/2006/relationships/hyperlink" Target="https://expa.aiesec.org/opportunities/1298102" TargetMode="External"/><Relationship Id="rId2124" Type="http://schemas.openxmlformats.org/officeDocument/2006/relationships/hyperlink" Target="https://expa.aiesec.org/opportunities/1295008" TargetMode="External"/><Relationship Id="rId3456" Type="http://schemas.openxmlformats.org/officeDocument/2006/relationships/hyperlink" Target="https://expa.aiesec.org/opportunities/1295830" TargetMode="External"/><Relationship Id="rId2125" Type="http://schemas.openxmlformats.org/officeDocument/2006/relationships/hyperlink" Target="https://expa.aiesec.org/opportunities/1287702" TargetMode="External"/><Relationship Id="rId3455" Type="http://schemas.openxmlformats.org/officeDocument/2006/relationships/hyperlink" Target="https://expa.aiesec.org/opportunities/1299113" TargetMode="External"/><Relationship Id="rId2115" Type="http://schemas.openxmlformats.org/officeDocument/2006/relationships/hyperlink" Target="https://expa.aiesec.org/opportunities/1294332" TargetMode="External"/><Relationship Id="rId3447" Type="http://schemas.openxmlformats.org/officeDocument/2006/relationships/hyperlink" Target="https://expa.aiesec.org/opportunities/1284670" TargetMode="External"/><Relationship Id="rId2116" Type="http://schemas.openxmlformats.org/officeDocument/2006/relationships/hyperlink" Target="https://expa.aiesec.org/opportunities/1292683" TargetMode="External"/><Relationship Id="rId3446" Type="http://schemas.openxmlformats.org/officeDocument/2006/relationships/hyperlink" Target="https://expa.aiesec.org/opportunities/1298438" TargetMode="External"/><Relationship Id="rId2117" Type="http://schemas.openxmlformats.org/officeDocument/2006/relationships/hyperlink" Target="https://expa.aiesec.org/opportunities/1290024" TargetMode="External"/><Relationship Id="rId3449" Type="http://schemas.openxmlformats.org/officeDocument/2006/relationships/hyperlink" Target="https://expa.aiesec.org/opportunities/1299527" TargetMode="External"/><Relationship Id="rId2118" Type="http://schemas.openxmlformats.org/officeDocument/2006/relationships/hyperlink" Target="https://expa.aiesec.org/opportunities/1281195" TargetMode="External"/><Relationship Id="rId3448" Type="http://schemas.openxmlformats.org/officeDocument/2006/relationships/hyperlink" Target="https://expa.aiesec.org/opportunities/1292960" TargetMode="External"/><Relationship Id="rId2119" Type="http://schemas.openxmlformats.org/officeDocument/2006/relationships/hyperlink" Target="https://expa.aiesec.org/opportunities/1294894" TargetMode="External"/><Relationship Id="rId3441" Type="http://schemas.openxmlformats.org/officeDocument/2006/relationships/hyperlink" Target="https://expa.aiesec.org/opportunities/1292960" TargetMode="External"/><Relationship Id="rId2110" Type="http://schemas.openxmlformats.org/officeDocument/2006/relationships/hyperlink" Target="https://expa.aiesec.org/opportunities/1286553" TargetMode="External"/><Relationship Id="rId3440" Type="http://schemas.openxmlformats.org/officeDocument/2006/relationships/hyperlink" Target="https://expa.aiesec.org/opportunities/1289505" TargetMode="External"/><Relationship Id="rId2111" Type="http://schemas.openxmlformats.org/officeDocument/2006/relationships/hyperlink" Target="https://expa.aiesec.org/opportunities/1287210" TargetMode="External"/><Relationship Id="rId3443" Type="http://schemas.openxmlformats.org/officeDocument/2006/relationships/hyperlink" Target="https://expa.aiesec.org/opportunities/1298736" TargetMode="External"/><Relationship Id="rId2112" Type="http://schemas.openxmlformats.org/officeDocument/2006/relationships/hyperlink" Target="https://expa.aiesec.org/opportunities/1294452" TargetMode="External"/><Relationship Id="rId3442" Type="http://schemas.openxmlformats.org/officeDocument/2006/relationships/hyperlink" Target="https://expa.aiesec.org/opportunities/1289850" TargetMode="External"/><Relationship Id="rId2113" Type="http://schemas.openxmlformats.org/officeDocument/2006/relationships/hyperlink" Target="https://expa.aiesec.org/opportunities/1293685" TargetMode="External"/><Relationship Id="rId3445" Type="http://schemas.openxmlformats.org/officeDocument/2006/relationships/hyperlink" Target="https://expa.aiesec.org/opportunities/1288609" TargetMode="External"/><Relationship Id="rId2114" Type="http://schemas.openxmlformats.org/officeDocument/2006/relationships/hyperlink" Target="https://expa.aiesec.org/opportunities/1294795" TargetMode="External"/><Relationship Id="rId3444" Type="http://schemas.openxmlformats.org/officeDocument/2006/relationships/hyperlink" Target="https://expa.aiesec.org/opportunities/1288609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94103" TargetMode="External"/><Relationship Id="rId42" Type="http://schemas.openxmlformats.org/officeDocument/2006/relationships/hyperlink" Target="https://expa.aiesec.org/opportunities/1291929" TargetMode="External"/><Relationship Id="rId41" Type="http://schemas.openxmlformats.org/officeDocument/2006/relationships/hyperlink" Target="https://expa.aiesec.org/opportunities/1294061" TargetMode="External"/><Relationship Id="rId44" Type="http://schemas.openxmlformats.org/officeDocument/2006/relationships/hyperlink" Target="https://expa.aiesec.org/opportunities/1286326" TargetMode="External"/><Relationship Id="rId43" Type="http://schemas.openxmlformats.org/officeDocument/2006/relationships/hyperlink" Target="https://expa.aiesec.org/opportunities/1283483" TargetMode="External"/><Relationship Id="rId46" Type="http://schemas.openxmlformats.org/officeDocument/2006/relationships/hyperlink" Target="https://expa.aiesec.org/opportunities/1287226" TargetMode="External"/><Relationship Id="rId45" Type="http://schemas.openxmlformats.org/officeDocument/2006/relationships/hyperlink" Target="https://expa.aiesec.org/opportunities/1288663" TargetMode="External"/><Relationship Id="rId48" Type="http://schemas.openxmlformats.org/officeDocument/2006/relationships/hyperlink" Target="https://expa.aiesec.org/opportunities/1294068" TargetMode="External"/><Relationship Id="rId47" Type="http://schemas.openxmlformats.org/officeDocument/2006/relationships/hyperlink" Target="https://expa.aiesec.org/opportunities/1289228" TargetMode="External"/><Relationship Id="rId49" Type="http://schemas.openxmlformats.org/officeDocument/2006/relationships/hyperlink" Target="https://expa.aiesec.org/opportunities/1272564" TargetMode="External"/><Relationship Id="rId31" Type="http://schemas.openxmlformats.org/officeDocument/2006/relationships/hyperlink" Target="https://expa.aiesec.org/opportunities/1291929" TargetMode="External"/><Relationship Id="rId30" Type="http://schemas.openxmlformats.org/officeDocument/2006/relationships/hyperlink" Target="https://expa.aiesec.org/opportunities/1291929" TargetMode="External"/><Relationship Id="rId33" Type="http://schemas.openxmlformats.org/officeDocument/2006/relationships/hyperlink" Target="https://expa.aiesec.org/opportunities/1294066" TargetMode="External"/><Relationship Id="rId32" Type="http://schemas.openxmlformats.org/officeDocument/2006/relationships/hyperlink" Target="https://expa.aiesec.org/opportunities/1294066" TargetMode="External"/><Relationship Id="rId35" Type="http://schemas.openxmlformats.org/officeDocument/2006/relationships/hyperlink" Target="https://expa.aiesec.org/opportunities/1294066" TargetMode="External"/><Relationship Id="rId34" Type="http://schemas.openxmlformats.org/officeDocument/2006/relationships/hyperlink" Target="https://expa.aiesec.org/opportunities/1272564" TargetMode="External"/><Relationship Id="rId37" Type="http://schemas.openxmlformats.org/officeDocument/2006/relationships/hyperlink" Target="https://expa.aiesec.org/opportunities/1288280" TargetMode="External"/><Relationship Id="rId36" Type="http://schemas.openxmlformats.org/officeDocument/2006/relationships/hyperlink" Target="https://expa.aiesec.org/opportunities/1272564" TargetMode="External"/><Relationship Id="rId39" Type="http://schemas.openxmlformats.org/officeDocument/2006/relationships/hyperlink" Target="https://expa.aiesec.org/opportunities/1286228" TargetMode="External"/><Relationship Id="rId38" Type="http://schemas.openxmlformats.org/officeDocument/2006/relationships/hyperlink" Target="https://expa.aiesec.org/opportunities/1286326" TargetMode="External"/><Relationship Id="rId20" Type="http://schemas.openxmlformats.org/officeDocument/2006/relationships/hyperlink" Target="https://expa.aiesec.org/opportunities/1284484" TargetMode="External"/><Relationship Id="rId22" Type="http://schemas.openxmlformats.org/officeDocument/2006/relationships/hyperlink" Target="https://expa.aiesec.org/opportunities/1288280" TargetMode="External"/><Relationship Id="rId21" Type="http://schemas.openxmlformats.org/officeDocument/2006/relationships/hyperlink" Target="https://expa.aiesec.org/opportunities/1285687" TargetMode="External"/><Relationship Id="rId24" Type="http://schemas.openxmlformats.org/officeDocument/2006/relationships/hyperlink" Target="https://expa.aiesec.org/opportunities/1291634" TargetMode="External"/><Relationship Id="rId23" Type="http://schemas.openxmlformats.org/officeDocument/2006/relationships/hyperlink" Target="https://expa.aiesec.org/opportunities/1288280" TargetMode="External"/><Relationship Id="rId26" Type="http://schemas.openxmlformats.org/officeDocument/2006/relationships/hyperlink" Target="https://expa.aiesec.org/opportunities/1286920" TargetMode="External"/><Relationship Id="rId25" Type="http://schemas.openxmlformats.org/officeDocument/2006/relationships/hyperlink" Target="https://expa.aiesec.org/opportunities/1288280" TargetMode="External"/><Relationship Id="rId28" Type="http://schemas.openxmlformats.org/officeDocument/2006/relationships/hyperlink" Target="https://expa.aiesec.org/opportunities/1288663" TargetMode="External"/><Relationship Id="rId27" Type="http://schemas.openxmlformats.org/officeDocument/2006/relationships/hyperlink" Target="https://expa.aiesec.org/opportunities/1286326" TargetMode="External"/><Relationship Id="rId29" Type="http://schemas.openxmlformats.org/officeDocument/2006/relationships/hyperlink" Target="https://expa.aiesec.org/opportunities/1283483" TargetMode="External"/><Relationship Id="rId11" Type="http://schemas.openxmlformats.org/officeDocument/2006/relationships/hyperlink" Target="https://expa.aiesec.org/opportunities/1290826" TargetMode="External"/><Relationship Id="rId10" Type="http://schemas.openxmlformats.org/officeDocument/2006/relationships/hyperlink" Target="https://expa.aiesec.org/opportunities/1284976" TargetMode="External"/><Relationship Id="rId13" Type="http://schemas.openxmlformats.org/officeDocument/2006/relationships/hyperlink" Target="https://expa.aiesec.org/opportunities/1287101" TargetMode="External"/><Relationship Id="rId12" Type="http://schemas.openxmlformats.org/officeDocument/2006/relationships/hyperlink" Target="https://expa.aiesec.org/opportunities/1292793" TargetMode="External"/><Relationship Id="rId15" Type="http://schemas.openxmlformats.org/officeDocument/2006/relationships/hyperlink" Target="https://expa.aiesec.org/opportunities/1287662" TargetMode="External"/><Relationship Id="rId14" Type="http://schemas.openxmlformats.org/officeDocument/2006/relationships/hyperlink" Target="https://expa.aiesec.org/opportunities/1291254" TargetMode="External"/><Relationship Id="rId17" Type="http://schemas.openxmlformats.org/officeDocument/2006/relationships/hyperlink" Target="https://expa.aiesec.org/opportunities/1291929" TargetMode="External"/><Relationship Id="rId16" Type="http://schemas.openxmlformats.org/officeDocument/2006/relationships/hyperlink" Target="https://expa.aiesec.org/opportunities/1287662" TargetMode="External"/><Relationship Id="rId19" Type="http://schemas.openxmlformats.org/officeDocument/2006/relationships/hyperlink" Target="https://expa.aiesec.org/opportunities/1283991" TargetMode="External"/><Relationship Id="rId18" Type="http://schemas.openxmlformats.org/officeDocument/2006/relationships/hyperlink" Target="https://expa.aiesec.org/opportunities/1287101" TargetMode="External"/><Relationship Id="rId84" Type="http://schemas.openxmlformats.org/officeDocument/2006/relationships/hyperlink" Target="https://expa.aiesec.org/opportunities/1294795" TargetMode="External"/><Relationship Id="rId83" Type="http://schemas.openxmlformats.org/officeDocument/2006/relationships/hyperlink" Target="https://expa.aiesec.org/opportunities/1295002" TargetMode="External"/><Relationship Id="rId86" Type="http://schemas.openxmlformats.org/officeDocument/2006/relationships/hyperlink" Target="https://expa.aiesec.org/opportunities/1294452" TargetMode="External"/><Relationship Id="rId85" Type="http://schemas.openxmlformats.org/officeDocument/2006/relationships/hyperlink" Target="https://expa.aiesec.org/opportunities/1294795" TargetMode="External"/><Relationship Id="rId88" Type="http://schemas.openxmlformats.org/officeDocument/2006/relationships/hyperlink" Target="https://expa.aiesec.org/opportunities/1287210" TargetMode="External"/><Relationship Id="rId87" Type="http://schemas.openxmlformats.org/officeDocument/2006/relationships/hyperlink" Target="https://expa.aiesec.org/opportunities/1289505" TargetMode="External"/><Relationship Id="rId89" Type="http://schemas.openxmlformats.org/officeDocument/2006/relationships/hyperlink" Target="https://expa.aiesec.org/opportunities/1295149" TargetMode="External"/><Relationship Id="rId80" Type="http://schemas.openxmlformats.org/officeDocument/2006/relationships/hyperlink" Target="https://expa.aiesec.org/opportunities/1287851" TargetMode="External"/><Relationship Id="rId82" Type="http://schemas.openxmlformats.org/officeDocument/2006/relationships/hyperlink" Target="https://expa.aiesec.org/opportunities/1294452" TargetMode="External"/><Relationship Id="rId81" Type="http://schemas.openxmlformats.org/officeDocument/2006/relationships/hyperlink" Target="https://expa.aiesec.org/opportunities/1295002" TargetMode="External"/><Relationship Id="rId73" Type="http://schemas.openxmlformats.org/officeDocument/2006/relationships/hyperlink" Target="https://expa.aiesec.org/opportunities/1289596" TargetMode="External"/><Relationship Id="rId72" Type="http://schemas.openxmlformats.org/officeDocument/2006/relationships/hyperlink" Target="https://expa.aiesec.org/opportunities/1289596" TargetMode="External"/><Relationship Id="rId75" Type="http://schemas.openxmlformats.org/officeDocument/2006/relationships/hyperlink" Target="https://expa.aiesec.org/opportunities/1288663" TargetMode="External"/><Relationship Id="rId74" Type="http://schemas.openxmlformats.org/officeDocument/2006/relationships/hyperlink" Target="https://expa.aiesec.org/opportunities/1294622" TargetMode="External"/><Relationship Id="rId77" Type="http://schemas.openxmlformats.org/officeDocument/2006/relationships/hyperlink" Target="https://expa.aiesec.org/opportunities/1287851" TargetMode="External"/><Relationship Id="rId76" Type="http://schemas.openxmlformats.org/officeDocument/2006/relationships/hyperlink" Target="https://expa.aiesec.org/opportunities/1291252" TargetMode="External"/><Relationship Id="rId79" Type="http://schemas.openxmlformats.org/officeDocument/2006/relationships/hyperlink" Target="https://expa.aiesec.org/opportunities/1294127" TargetMode="External"/><Relationship Id="rId78" Type="http://schemas.openxmlformats.org/officeDocument/2006/relationships/hyperlink" Target="https://expa.aiesec.org/opportunities/1284476" TargetMode="External"/><Relationship Id="rId71" Type="http://schemas.openxmlformats.org/officeDocument/2006/relationships/hyperlink" Target="https://expa.aiesec.org/opportunities/1288245" TargetMode="External"/><Relationship Id="rId70" Type="http://schemas.openxmlformats.org/officeDocument/2006/relationships/hyperlink" Target="https://expa.aiesec.org/opportunities/1294103" TargetMode="External"/><Relationship Id="rId62" Type="http://schemas.openxmlformats.org/officeDocument/2006/relationships/hyperlink" Target="https://expa.aiesec.org/opportunities/1288245" TargetMode="External"/><Relationship Id="rId61" Type="http://schemas.openxmlformats.org/officeDocument/2006/relationships/hyperlink" Target="https://expa.aiesec.org/opportunities/1289261" TargetMode="External"/><Relationship Id="rId64" Type="http://schemas.openxmlformats.org/officeDocument/2006/relationships/hyperlink" Target="https://expa.aiesec.org/opportunities/1291144" TargetMode="External"/><Relationship Id="rId63" Type="http://schemas.openxmlformats.org/officeDocument/2006/relationships/hyperlink" Target="https://expa.aiesec.org/opportunities/1286326" TargetMode="External"/><Relationship Id="rId66" Type="http://schemas.openxmlformats.org/officeDocument/2006/relationships/hyperlink" Target="https://expa.aiesec.org/opportunities/1294197" TargetMode="External"/><Relationship Id="rId65" Type="http://schemas.openxmlformats.org/officeDocument/2006/relationships/hyperlink" Target="https://expa.aiesec.org/opportunities/1294068" TargetMode="External"/><Relationship Id="rId68" Type="http://schemas.openxmlformats.org/officeDocument/2006/relationships/hyperlink" Target="https://expa.aiesec.org/opportunities/1294651" TargetMode="External"/><Relationship Id="rId67" Type="http://schemas.openxmlformats.org/officeDocument/2006/relationships/hyperlink" Target="https://expa.aiesec.org/opportunities/1291144" TargetMode="External"/><Relationship Id="rId60" Type="http://schemas.openxmlformats.org/officeDocument/2006/relationships/hyperlink" Target="https://expa.aiesec.org/opportunities/1288611" TargetMode="External"/><Relationship Id="rId69" Type="http://schemas.openxmlformats.org/officeDocument/2006/relationships/hyperlink" Target="https://expa.aiesec.org/opportunities/1286326" TargetMode="External"/><Relationship Id="rId51" Type="http://schemas.openxmlformats.org/officeDocument/2006/relationships/hyperlink" Target="https://expa.aiesec.org/opportunities/1294410" TargetMode="External"/><Relationship Id="rId50" Type="http://schemas.openxmlformats.org/officeDocument/2006/relationships/hyperlink" Target="https://expa.aiesec.org/opportunities/1272564" TargetMode="External"/><Relationship Id="rId53" Type="http://schemas.openxmlformats.org/officeDocument/2006/relationships/hyperlink" Target="https://expa.aiesec.org/opportunities/1287749" TargetMode="External"/><Relationship Id="rId52" Type="http://schemas.openxmlformats.org/officeDocument/2006/relationships/hyperlink" Target="https://expa.aiesec.org/opportunities/1294254" TargetMode="External"/><Relationship Id="rId55" Type="http://schemas.openxmlformats.org/officeDocument/2006/relationships/hyperlink" Target="https://expa.aiesec.org/opportunities/1289100" TargetMode="External"/><Relationship Id="rId54" Type="http://schemas.openxmlformats.org/officeDocument/2006/relationships/hyperlink" Target="https://expa.aiesec.org/opportunities/1286326" TargetMode="External"/><Relationship Id="rId57" Type="http://schemas.openxmlformats.org/officeDocument/2006/relationships/hyperlink" Target="https://expa.aiesec.org/opportunities/1294254" TargetMode="External"/><Relationship Id="rId56" Type="http://schemas.openxmlformats.org/officeDocument/2006/relationships/hyperlink" Target="https://expa.aiesec.org/opportunities/1288663" TargetMode="External"/><Relationship Id="rId59" Type="http://schemas.openxmlformats.org/officeDocument/2006/relationships/hyperlink" Target="https://expa.aiesec.org/opportunities/1289100" TargetMode="External"/><Relationship Id="rId58" Type="http://schemas.openxmlformats.org/officeDocument/2006/relationships/hyperlink" Target="https://expa.aiesec.org/opportunities/1291144" TargetMode="External"/><Relationship Id="rId95" Type="http://schemas.openxmlformats.org/officeDocument/2006/relationships/hyperlink" Target="https://expa.aiesec.org/opportunities/1295457" TargetMode="External"/><Relationship Id="rId94" Type="http://schemas.openxmlformats.org/officeDocument/2006/relationships/hyperlink" Target="https://expa.aiesec.org/opportunities/1288280" TargetMode="External"/><Relationship Id="rId97" Type="http://schemas.openxmlformats.org/officeDocument/2006/relationships/hyperlink" Target="https://expa.aiesec.org/opportunities/1294878" TargetMode="External"/><Relationship Id="rId96" Type="http://schemas.openxmlformats.org/officeDocument/2006/relationships/hyperlink" Target="https://expa.aiesec.org/opportunities/1295457" TargetMode="External"/><Relationship Id="rId99" Type="http://schemas.openxmlformats.org/officeDocument/2006/relationships/hyperlink" Target="https://expa.aiesec.org/opportunities/1296037" TargetMode="External"/><Relationship Id="rId98" Type="http://schemas.openxmlformats.org/officeDocument/2006/relationships/hyperlink" Target="https://expa.aiesec.org/opportunities/1294452" TargetMode="External"/><Relationship Id="rId91" Type="http://schemas.openxmlformats.org/officeDocument/2006/relationships/hyperlink" Target="https://expa.aiesec.org/opportunities/1287210" TargetMode="External"/><Relationship Id="rId90" Type="http://schemas.openxmlformats.org/officeDocument/2006/relationships/hyperlink" Target="https://expa.aiesec.org/opportunities/1291929" TargetMode="External"/><Relationship Id="rId93" Type="http://schemas.openxmlformats.org/officeDocument/2006/relationships/hyperlink" Target="https://expa.aiesec.org/opportunities/1288490" TargetMode="External"/><Relationship Id="rId92" Type="http://schemas.openxmlformats.org/officeDocument/2006/relationships/hyperlink" Target="https://expa.aiesec.org/opportunities/1295575" TargetMode="External"/><Relationship Id="rId1" Type="http://schemas.openxmlformats.org/officeDocument/2006/relationships/hyperlink" Target="https://expa.aiesec.org/opportunities/1284976" TargetMode="External"/><Relationship Id="rId2" Type="http://schemas.openxmlformats.org/officeDocument/2006/relationships/hyperlink" Target="https://expa.aiesec.org/opportunities/1289597" TargetMode="External"/><Relationship Id="rId3" Type="http://schemas.openxmlformats.org/officeDocument/2006/relationships/hyperlink" Target="https://expa.aiesec.org/opportunities/1284976" TargetMode="External"/><Relationship Id="rId4" Type="http://schemas.openxmlformats.org/officeDocument/2006/relationships/hyperlink" Target="https://expa.aiesec.org/opportunities/1289536" TargetMode="External"/><Relationship Id="rId9" Type="http://schemas.openxmlformats.org/officeDocument/2006/relationships/hyperlink" Target="https://expa.aiesec.org/opportunities/1290826" TargetMode="External"/><Relationship Id="rId5" Type="http://schemas.openxmlformats.org/officeDocument/2006/relationships/hyperlink" Target="https://expa.aiesec.org/opportunities/1279126" TargetMode="External"/><Relationship Id="rId6" Type="http://schemas.openxmlformats.org/officeDocument/2006/relationships/hyperlink" Target="https://expa.aiesec.org/opportunities/1288970" TargetMode="External"/><Relationship Id="rId7" Type="http://schemas.openxmlformats.org/officeDocument/2006/relationships/hyperlink" Target="https://expa.aiesec.org/opportunities/1288611" TargetMode="External"/><Relationship Id="rId8" Type="http://schemas.openxmlformats.org/officeDocument/2006/relationships/hyperlink" Target="https://expa.aiesec.org/opportunities/1284976" TargetMode="External"/><Relationship Id="rId107" Type="http://schemas.openxmlformats.org/officeDocument/2006/relationships/hyperlink" Target="https://expa.aiesec.org/opportunities/1295240" TargetMode="External"/><Relationship Id="rId106" Type="http://schemas.openxmlformats.org/officeDocument/2006/relationships/hyperlink" Target="https://expa.aiesec.org/opportunities/1295830" TargetMode="External"/><Relationship Id="rId105" Type="http://schemas.openxmlformats.org/officeDocument/2006/relationships/hyperlink" Target="https://expa.aiesec.org/opportunities/1295453" TargetMode="External"/><Relationship Id="rId104" Type="http://schemas.openxmlformats.org/officeDocument/2006/relationships/hyperlink" Target="https://expa.aiesec.org/opportunities/1295830" TargetMode="External"/><Relationship Id="rId109" Type="http://schemas.openxmlformats.org/officeDocument/2006/relationships/hyperlink" Target="https://expa.aiesec.org/opportunities/1295453" TargetMode="External"/><Relationship Id="rId108" Type="http://schemas.openxmlformats.org/officeDocument/2006/relationships/hyperlink" Target="https://expa.aiesec.org/opportunities/1296101" TargetMode="External"/><Relationship Id="rId103" Type="http://schemas.openxmlformats.org/officeDocument/2006/relationships/hyperlink" Target="https://expa.aiesec.org/opportunities/1294452" TargetMode="External"/><Relationship Id="rId102" Type="http://schemas.openxmlformats.org/officeDocument/2006/relationships/hyperlink" Target="https://expa.aiesec.org/opportunities/1295453" TargetMode="External"/><Relationship Id="rId101" Type="http://schemas.openxmlformats.org/officeDocument/2006/relationships/hyperlink" Target="https://expa.aiesec.org/opportunities/1296037" TargetMode="External"/><Relationship Id="rId100" Type="http://schemas.openxmlformats.org/officeDocument/2006/relationships/hyperlink" Target="https://expa.aiesec.org/opportunities/1289505" TargetMode="External"/><Relationship Id="rId116" Type="http://schemas.openxmlformats.org/officeDocument/2006/relationships/drawing" Target="../drawings/drawing2.xml"/><Relationship Id="rId115" Type="http://schemas.openxmlformats.org/officeDocument/2006/relationships/hyperlink" Target="https://expa.aiesec.org/opportunities/1295240" TargetMode="External"/><Relationship Id="rId110" Type="http://schemas.openxmlformats.org/officeDocument/2006/relationships/hyperlink" Target="https://expa.aiesec.org/opportunities/1296239" TargetMode="External"/><Relationship Id="rId114" Type="http://schemas.openxmlformats.org/officeDocument/2006/relationships/hyperlink" Target="https://expa.aiesec.org/opportunities/1294622" TargetMode="External"/><Relationship Id="rId113" Type="http://schemas.openxmlformats.org/officeDocument/2006/relationships/hyperlink" Target="https://expa.aiesec.org/opportunities/1296118" TargetMode="External"/><Relationship Id="rId112" Type="http://schemas.openxmlformats.org/officeDocument/2006/relationships/hyperlink" Target="https://expa.aiesec.org/opportunities/1280872" TargetMode="External"/><Relationship Id="rId111" Type="http://schemas.openxmlformats.org/officeDocument/2006/relationships/hyperlink" Target="https://expa.aiesec.org/opportunities/1296105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88991" TargetMode="External"/><Relationship Id="rId42" Type="http://schemas.openxmlformats.org/officeDocument/2006/relationships/hyperlink" Target="https://expa.aiesec.org/opportunities/1288991" TargetMode="External"/><Relationship Id="rId41" Type="http://schemas.openxmlformats.org/officeDocument/2006/relationships/hyperlink" Target="https://expa.aiesec.org/opportunities/1284077" TargetMode="External"/><Relationship Id="rId44" Type="http://schemas.openxmlformats.org/officeDocument/2006/relationships/hyperlink" Target="https://expa.aiesec.org/opportunities/1284596" TargetMode="External"/><Relationship Id="rId43" Type="http://schemas.openxmlformats.org/officeDocument/2006/relationships/hyperlink" Target="https://expa.aiesec.org/opportunities/1284077" TargetMode="External"/><Relationship Id="rId46" Type="http://schemas.openxmlformats.org/officeDocument/2006/relationships/hyperlink" Target="https://expa.aiesec.org/opportunities/1285713" TargetMode="External"/><Relationship Id="rId45" Type="http://schemas.openxmlformats.org/officeDocument/2006/relationships/hyperlink" Target="https://expa.aiesec.org/opportunities/1284077" TargetMode="External"/><Relationship Id="rId48" Type="http://schemas.openxmlformats.org/officeDocument/2006/relationships/hyperlink" Target="https://expa.aiesec.org/opportunities/1272564" TargetMode="External"/><Relationship Id="rId47" Type="http://schemas.openxmlformats.org/officeDocument/2006/relationships/hyperlink" Target="https://expa.aiesec.org/opportunities/1284670" TargetMode="External"/><Relationship Id="rId49" Type="http://schemas.openxmlformats.org/officeDocument/2006/relationships/hyperlink" Target="https://expa.aiesec.org/opportunities/1283483" TargetMode="External"/><Relationship Id="rId31" Type="http://schemas.openxmlformats.org/officeDocument/2006/relationships/hyperlink" Target="https://expa.aiesec.org/opportunities/1289505" TargetMode="External"/><Relationship Id="rId30" Type="http://schemas.openxmlformats.org/officeDocument/2006/relationships/hyperlink" Target="https://expa.aiesec.org/opportunities/1287226" TargetMode="External"/><Relationship Id="rId33" Type="http://schemas.openxmlformats.org/officeDocument/2006/relationships/hyperlink" Target="https://expa.aiesec.org/opportunities/1288497" TargetMode="External"/><Relationship Id="rId32" Type="http://schemas.openxmlformats.org/officeDocument/2006/relationships/hyperlink" Target="https://expa.aiesec.org/opportunities/1272564" TargetMode="External"/><Relationship Id="rId35" Type="http://schemas.openxmlformats.org/officeDocument/2006/relationships/hyperlink" Target="https://expa.aiesec.org/opportunities/1285690" TargetMode="External"/><Relationship Id="rId34" Type="http://schemas.openxmlformats.org/officeDocument/2006/relationships/hyperlink" Target="https://expa.aiesec.org/opportunities/1287445" TargetMode="External"/><Relationship Id="rId37" Type="http://schemas.openxmlformats.org/officeDocument/2006/relationships/hyperlink" Target="https://expa.aiesec.org/opportunities/1287855" TargetMode="External"/><Relationship Id="rId36" Type="http://schemas.openxmlformats.org/officeDocument/2006/relationships/hyperlink" Target="https://expa.aiesec.org/opportunities/1288393" TargetMode="External"/><Relationship Id="rId39" Type="http://schemas.openxmlformats.org/officeDocument/2006/relationships/hyperlink" Target="https://expa.aiesec.org/opportunities/1289155" TargetMode="External"/><Relationship Id="rId38" Type="http://schemas.openxmlformats.org/officeDocument/2006/relationships/hyperlink" Target="https://expa.aiesec.org/opportunities/1287338" TargetMode="External"/><Relationship Id="rId20" Type="http://schemas.openxmlformats.org/officeDocument/2006/relationships/hyperlink" Target="https://expa.aiesec.org/opportunities/1288711" TargetMode="External"/><Relationship Id="rId22" Type="http://schemas.openxmlformats.org/officeDocument/2006/relationships/hyperlink" Target="https://expa.aiesec.org/opportunities/1288711" TargetMode="External"/><Relationship Id="rId21" Type="http://schemas.openxmlformats.org/officeDocument/2006/relationships/hyperlink" Target="https://expa.aiesec.org/opportunities/1288711" TargetMode="External"/><Relationship Id="rId24" Type="http://schemas.openxmlformats.org/officeDocument/2006/relationships/hyperlink" Target="https://expa.aiesec.org/opportunities/1285681" TargetMode="External"/><Relationship Id="rId23" Type="http://schemas.openxmlformats.org/officeDocument/2006/relationships/hyperlink" Target="https://expa.aiesec.org/opportunities/1289347" TargetMode="External"/><Relationship Id="rId26" Type="http://schemas.openxmlformats.org/officeDocument/2006/relationships/hyperlink" Target="https://expa.aiesec.org/opportunities/1287855" TargetMode="External"/><Relationship Id="rId25" Type="http://schemas.openxmlformats.org/officeDocument/2006/relationships/hyperlink" Target="https://expa.aiesec.org/opportunities/1283483" TargetMode="External"/><Relationship Id="rId28" Type="http://schemas.openxmlformats.org/officeDocument/2006/relationships/hyperlink" Target="https://expa.aiesec.org/opportunities/1288970" TargetMode="External"/><Relationship Id="rId27" Type="http://schemas.openxmlformats.org/officeDocument/2006/relationships/hyperlink" Target="https://expa.aiesec.org/opportunities/1287101" TargetMode="External"/><Relationship Id="rId29" Type="http://schemas.openxmlformats.org/officeDocument/2006/relationships/hyperlink" Target="https://expa.aiesec.org/opportunities/1288970" TargetMode="External"/><Relationship Id="rId11" Type="http://schemas.openxmlformats.org/officeDocument/2006/relationships/hyperlink" Target="https://expa.aiesec.org/opportunities/1288497" TargetMode="External"/><Relationship Id="rId10" Type="http://schemas.openxmlformats.org/officeDocument/2006/relationships/hyperlink" Target="https://expa.aiesec.org/opportunities/1288299" TargetMode="External"/><Relationship Id="rId13" Type="http://schemas.openxmlformats.org/officeDocument/2006/relationships/hyperlink" Target="https://expa.aiesec.org/opportunities/1288970" TargetMode="External"/><Relationship Id="rId12" Type="http://schemas.openxmlformats.org/officeDocument/2006/relationships/hyperlink" Target="https://expa.aiesec.org/opportunities/1286326" TargetMode="External"/><Relationship Id="rId15" Type="http://schemas.openxmlformats.org/officeDocument/2006/relationships/hyperlink" Target="https://expa.aiesec.org/opportunities/1283483" TargetMode="External"/><Relationship Id="rId14" Type="http://schemas.openxmlformats.org/officeDocument/2006/relationships/hyperlink" Target="https://expa.aiesec.org/opportunities/1283683" TargetMode="External"/><Relationship Id="rId17" Type="http://schemas.openxmlformats.org/officeDocument/2006/relationships/hyperlink" Target="https://expa.aiesec.org/opportunities/1288711" TargetMode="External"/><Relationship Id="rId16" Type="http://schemas.openxmlformats.org/officeDocument/2006/relationships/hyperlink" Target="https://expa.aiesec.org/opportunities/1288497" TargetMode="External"/><Relationship Id="rId19" Type="http://schemas.openxmlformats.org/officeDocument/2006/relationships/hyperlink" Target="https://expa.aiesec.org/opportunities/1285687" TargetMode="External"/><Relationship Id="rId18" Type="http://schemas.openxmlformats.org/officeDocument/2006/relationships/hyperlink" Target="https://expa.aiesec.org/opportunities/1289502" TargetMode="External"/><Relationship Id="rId84" Type="http://schemas.openxmlformats.org/officeDocument/2006/relationships/hyperlink" Target="https://expa.aiesec.org/opportunities/1285713" TargetMode="External"/><Relationship Id="rId83" Type="http://schemas.openxmlformats.org/officeDocument/2006/relationships/hyperlink" Target="https://expa.aiesec.org/opportunities/1289347" TargetMode="External"/><Relationship Id="rId86" Type="http://schemas.openxmlformats.org/officeDocument/2006/relationships/hyperlink" Target="https://expa.aiesec.org/opportunities/1291055" TargetMode="External"/><Relationship Id="rId85" Type="http://schemas.openxmlformats.org/officeDocument/2006/relationships/hyperlink" Target="https://expa.aiesec.org/opportunities/1279126" TargetMode="External"/><Relationship Id="rId88" Type="http://schemas.openxmlformats.org/officeDocument/2006/relationships/hyperlink" Target="https://expa.aiesec.org/opportunities/1288582" TargetMode="External"/><Relationship Id="rId87" Type="http://schemas.openxmlformats.org/officeDocument/2006/relationships/hyperlink" Target="https://expa.aiesec.org/opportunities/1291634" TargetMode="External"/><Relationship Id="rId89" Type="http://schemas.openxmlformats.org/officeDocument/2006/relationships/hyperlink" Target="https://expa.aiesec.org/opportunities/1285713" TargetMode="External"/><Relationship Id="rId80" Type="http://schemas.openxmlformats.org/officeDocument/2006/relationships/hyperlink" Target="https://expa.aiesec.org/opportunities/1288991" TargetMode="External"/><Relationship Id="rId82" Type="http://schemas.openxmlformats.org/officeDocument/2006/relationships/hyperlink" Target="https://expa.aiesec.org/opportunities/1289347" TargetMode="External"/><Relationship Id="rId81" Type="http://schemas.openxmlformats.org/officeDocument/2006/relationships/hyperlink" Target="https://expa.aiesec.org/opportunities/1287445" TargetMode="External"/><Relationship Id="rId73" Type="http://schemas.openxmlformats.org/officeDocument/2006/relationships/hyperlink" Target="https://expa.aiesec.org/opportunities/1272564" TargetMode="External"/><Relationship Id="rId72" Type="http://schemas.openxmlformats.org/officeDocument/2006/relationships/hyperlink" Target="https://expa.aiesec.org/opportunities/1289536" TargetMode="External"/><Relationship Id="rId75" Type="http://schemas.openxmlformats.org/officeDocument/2006/relationships/hyperlink" Target="https://expa.aiesec.org/opportunities/1289536" TargetMode="External"/><Relationship Id="rId74" Type="http://schemas.openxmlformats.org/officeDocument/2006/relationships/hyperlink" Target="https://expa.aiesec.org/opportunities/1272564" TargetMode="External"/><Relationship Id="rId77" Type="http://schemas.openxmlformats.org/officeDocument/2006/relationships/hyperlink" Target="https://expa.aiesec.org/opportunities/1272564" TargetMode="External"/><Relationship Id="rId76" Type="http://schemas.openxmlformats.org/officeDocument/2006/relationships/hyperlink" Target="https://expa.aiesec.org/opportunities/1289505" TargetMode="External"/><Relationship Id="rId79" Type="http://schemas.openxmlformats.org/officeDocument/2006/relationships/hyperlink" Target="https://expa.aiesec.org/opportunities/1288970" TargetMode="External"/><Relationship Id="rId78" Type="http://schemas.openxmlformats.org/officeDocument/2006/relationships/hyperlink" Target="https://expa.aiesec.org/opportunities/1287101" TargetMode="External"/><Relationship Id="rId71" Type="http://schemas.openxmlformats.org/officeDocument/2006/relationships/hyperlink" Target="https://expa.aiesec.org/opportunities/1289261" TargetMode="External"/><Relationship Id="rId70" Type="http://schemas.openxmlformats.org/officeDocument/2006/relationships/hyperlink" Target="https://expa.aiesec.org/opportunities/1288393" TargetMode="External"/><Relationship Id="rId62" Type="http://schemas.openxmlformats.org/officeDocument/2006/relationships/hyperlink" Target="https://expa.aiesec.org/opportunities/1289505" TargetMode="External"/><Relationship Id="rId61" Type="http://schemas.openxmlformats.org/officeDocument/2006/relationships/hyperlink" Target="https://expa.aiesec.org/opportunities/1289505" TargetMode="External"/><Relationship Id="rId64" Type="http://schemas.openxmlformats.org/officeDocument/2006/relationships/hyperlink" Target="https://expa.aiesec.org/opportunities/1279126" TargetMode="External"/><Relationship Id="rId63" Type="http://schemas.openxmlformats.org/officeDocument/2006/relationships/hyperlink" Target="https://expa.aiesec.org/opportunities/1289505" TargetMode="External"/><Relationship Id="rId66" Type="http://schemas.openxmlformats.org/officeDocument/2006/relationships/hyperlink" Target="https://expa.aiesec.org/opportunities/1290078" TargetMode="External"/><Relationship Id="rId65" Type="http://schemas.openxmlformats.org/officeDocument/2006/relationships/hyperlink" Target="https://expa.aiesec.org/opportunities/1272564" TargetMode="External"/><Relationship Id="rId68" Type="http://schemas.openxmlformats.org/officeDocument/2006/relationships/hyperlink" Target="https://expa.aiesec.org/opportunities/1284596" TargetMode="External"/><Relationship Id="rId67" Type="http://schemas.openxmlformats.org/officeDocument/2006/relationships/hyperlink" Target="https://expa.aiesec.org/opportunities/1288970" TargetMode="External"/><Relationship Id="rId60" Type="http://schemas.openxmlformats.org/officeDocument/2006/relationships/hyperlink" Target="https://expa.aiesec.org/opportunities/1289505" TargetMode="External"/><Relationship Id="rId69" Type="http://schemas.openxmlformats.org/officeDocument/2006/relationships/hyperlink" Target="https://expa.aiesec.org/opportunities/1272564" TargetMode="External"/><Relationship Id="rId51" Type="http://schemas.openxmlformats.org/officeDocument/2006/relationships/hyperlink" Target="https://expa.aiesec.org/opportunities/1286034" TargetMode="External"/><Relationship Id="rId50" Type="http://schemas.openxmlformats.org/officeDocument/2006/relationships/hyperlink" Target="https://expa.aiesec.org/opportunities/1284077" TargetMode="External"/><Relationship Id="rId53" Type="http://schemas.openxmlformats.org/officeDocument/2006/relationships/hyperlink" Target="https://expa.aiesec.org/opportunities/1287101" TargetMode="External"/><Relationship Id="rId52" Type="http://schemas.openxmlformats.org/officeDocument/2006/relationships/hyperlink" Target="https://expa.aiesec.org/opportunities/1286034" TargetMode="External"/><Relationship Id="rId55" Type="http://schemas.openxmlformats.org/officeDocument/2006/relationships/hyperlink" Target="https://expa.aiesec.org/opportunities/1272564" TargetMode="External"/><Relationship Id="rId54" Type="http://schemas.openxmlformats.org/officeDocument/2006/relationships/hyperlink" Target="https://expa.aiesec.org/opportunities/1272564" TargetMode="External"/><Relationship Id="rId57" Type="http://schemas.openxmlformats.org/officeDocument/2006/relationships/hyperlink" Target="https://expa.aiesec.org/opportunities/1284414" TargetMode="External"/><Relationship Id="rId56" Type="http://schemas.openxmlformats.org/officeDocument/2006/relationships/hyperlink" Target="https://expa.aiesec.org/opportunities/1289536" TargetMode="External"/><Relationship Id="rId59" Type="http://schemas.openxmlformats.org/officeDocument/2006/relationships/hyperlink" Target="https://expa.aiesec.org/opportunities/1286958" TargetMode="External"/><Relationship Id="rId58" Type="http://schemas.openxmlformats.org/officeDocument/2006/relationships/hyperlink" Target="https://expa.aiesec.org/opportunities/1285687" TargetMode="External"/><Relationship Id="rId91" Type="http://schemas.openxmlformats.org/officeDocument/2006/relationships/hyperlink" Target="https://expa.aiesec.org/opportunities/1287445" TargetMode="External"/><Relationship Id="rId90" Type="http://schemas.openxmlformats.org/officeDocument/2006/relationships/hyperlink" Target="https://expa.aiesec.org/opportunities/1289261" TargetMode="External"/><Relationship Id="rId93" Type="http://schemas.openxmlformats.org/officeDocument/2006/relationships/drawing" Target="../drawings/drawing3.xml"/><Relationship Id="rId92" Type="http://schemas.openxmlformats.org/officeDocument/2006/relationships/hyperlink" Target="https://expa.aiesec.org/opportunities/1272564" TargetMode="External"/><Relationship Id="rId1" Type="http://schemas.openxmlformats.org/officeDocument/2006/relationships/hyperlink" Target="https://expa.aiesec.org/opportunities/1286326" TargetMode="External"/><Relationship Id="rId2" Type="http://schemas.openxmlformats.org/officeDocument/2006/relationships/hyperlink" Target="https://expa.aiesec.org/opportunities/1289016" TargetMode="External"/><Relationship Id="rId3" Type="http://schemas.openxmlformats.org/officeDocument/2006/relationships/hyperlink" Target="https://expa.aiesec.org/opportunities/1288663" TargetMode="External"/><Relationship Id="rId4" Type="http://schemas.openxmlformats.org/officeDocument/2006/relationships/hyperlink" Target="https://expa.aiesec.org/opportunities/1288533" TargetMode="External"/><Relationship Id="rId9" Type="http://schemas.openxmlformats.org/officeDocument/2006/relationships/hyperlink" Target="https://expa.aiesec.org/opportunities/1288533" TargetMode="External"/><Relationship Id="rId5" Type="http://schemas.openxmlformats.org/officeDocument/2006/relationships/hyperlink" Target="https://expa.aiesec.org/opportunities/1288970" TargetMode="External"/><Relationship Id="rId6" Type="http://schemas.openxmlformats.org/officeDocument/2006/relationships/hyperlink" Target="https://expa.aiesec.org/opportunities/1288970" TargetMode="External"/><Relationship Id="rId7" Type="http://schemas.openxmlformats.org/officeDocument/2006/relationships/hyperlink" Target="https://expa.aiesec.org/opportunities/1287854" TargetMode="External"/><Relationship Id="rId8" Type="http://schemas.openxmlformats.org/officeDocument/2006/relationships/hyperlink" Target="https://expa.aiesec.org/opportunities/1289020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84485" TargetMode="External"/><Relationship Id="rId42" Type="http://schemas.openxmlformats.org/officeDocument/2006/relationships/hyperlink" Target="https://expa.aiesec.org/opportunities/1288843" TargetMode="External"/><Relationship Id="rId41" Type="http://schemas.openxmlformats.org/officeDocument/2006/relationships/hyperlink" Target="https://expa.aiesec.org/opportunities/1288609" TargetMode="External"/><Relationship Id="rId44" Type="http://schemas.openxmlformats.org/officeDocument/2006/relationships/hyperlink" Target="https://expa.aiesec.org/opportunities/1288609" TargetMode="External"/><Relationship Id="rId43" Type="http://schemas.openxmlformats.org/officeDocument/2006/relationships/hyperlink" Target="https://expa.aiesec.org/opportunities/1287894" TargetMode="External"/><Relationship Id="rId46" Type="http://schemas.openxmlformats.org/officeDocument/2006/relationships/hyperlink" Target="https://expa.aiesec.org/opportunities/1290024" TargetMode="External"/><Relationship Id="rId45" Type="http://schemas.openxmlformats.org/officeDocument/2006/relationships/hyperlink" Target="https://expa.aiesec.org/opportunities/1290024" TargetMode="External"/><Relationship Id="rId48" Type="http://schemas.openxmlformats.org/officeDocument/2006/relationships/hyperlink" Target="https://expa.aiesec.org/opportunities/1287477" TargetMode="External"/><Relationship Id="rId47" Type="http://schemas.openxmlformats.org/officeDocument/2006/relationships/hyperlink" Target="https://expa.aiesec.org/opportunities/1288609" TargetMode="External"/><Relationship Id="rId49" Type="http://schemas.openxmlformats.org/officeDocument/2006/relationships/hyperlink" Target="https://expa.aiesec.org/opportunities/1286442" TargetMode="External"/><Relationship Id="rId31" Type="http://schemas.openxmlformats.org/officeDocument/2006/relationships/hyperlink" Target="https://expa.aiesec.org/opportunities/1287459" TargetMode="External"/><Relationship Id="rId30" Type="http://schemas.openxmlformats.org/officeDocument/2006/relationships/hyperlink" Target="https://expa.aiesec.org/opportunities/1289852" TargetMode="External"/><Relationship Id="rId33" Type="http://schemas.openxmlformats.org/officeDocument/2006/relationships/hyperlink" Target="https://expa.aiesec.org/opportunities/1287309" TargetMode="External"/><Relationship Id="rId32" Type="http://schemas.openxmlformats.org/officeDocument/2006/relationships/hyperlink" Target="https://expa.aiesec.org/opportunities/1290418" TargetMode="External"/><Relationship Id="rId35" Type="http://schemas.openxmlformats.org/officeDocument/2006/relationships/hyperlink" Target="https://expa.aiesec.org/opportunities/1290024" TargetMode="External"/><Relationship Id="rId34" Type="http://schemas.openxmlformats.org/officeDocument/2006/relationships/hyperlink" Target="https://expa.aiesec.org/opportunities/1290690" TargetMode="External"/><Relationship Id="rId37" Type="http://schemas.openxmlformats.org/officeDocument/2006/relationships/hyperlink" Target="https://expa.aiesec.org/opportunities/1290024" TargetMode="External"/><Relationship Id="rId36" Type="http://schemas.openxmlformats.org/officeDocument/2006/relationships/hyperlink" Target="https://expa.aiesec.org/opportunities/1286442" TargetMode="External"/><Relationship Id="rId39" Type="http://schemas.openxmlformats.org/officeDocument/2006/relationships/hyperlink" Target="https://expa.aiesec.org/opportunities/1288609" TargetMode="External"/><Relationship Id="rId38" Type="http://schemas.openxmlformats.org/officeDocument/2006/relationships/hyperlink" Target="https://expa.aiesec.org/opportunities/1288412" TargetMode="External"/><Relationship Id="rId20" Type="http://schemas.openxmlformats.org/officeDocument/2006/relationships/hyperlink" Target="https://expa.aiesec.org/opportunities/1287243" TargetMode="External"/><Relationship Id="rId22" Type="http://schemas.openxmlformats.org/officeDocument/2006/relationships/hyperlink" Target="https://expa.aiesec.org/opportunities/1289850" TargetMode="External"/><Relationship Id="rId21" Type="http://schemas.openxmlformats.org/officeDocument/2006/relationships/hyperlink" Target="https://expa.aiesec.org/opportunities/1288419" TargetMode="External"/><Relationship Id="rId24" Type="http://schemas.openxmlformats.org/officeDocument/2006/relationships/hyperlink" Target="https://expa.aiesec.org/opportunities/1284487" TargetMode="External"/><Relationship Id="rId23" Type="http://schemas.openxmlformats.org/officeDocument/2006/relationships/hyperlink" Target="https://expa.aiesec.org/opportunities/1287990" TargetMode="External"/><Relationship Id="rId26" Type="http://schemas.openxmlformats.org/officeDocument/2006/relationships/hyperlink" Target="https://expa.aiesec.org/opportunities/1290259" TargetMode="External"/><Relationship Id="rId25" Type="http://schemas.openxmlformats.org/officeDocument/2006/relationships/hyperlink" Target="https://expa.aiesec.org/opportunities/1289855" TargetMode="External"/><Relationship Id="rId28" Type="http://schemas.openxmlformats.org/officeDocument/2006/relationships/hyperlink" Target="https://expa.aiesec.org/opportunities/1290024" TargetMode="External"/><Relationship Id="rId27" Type="http://schemas.openxmlformats.org/officeDocument/2006/relationships/hyperlink" Target="https://expa.aiesec.org/opportunities/1287244" TargetMode="External"/><Relationship Id="rId29" Type="http://schemas.openxmlformats.org/officeDocument/2006/relationships/hyperlink" Target="https://expa.aiesec.org/opportunities/1290024" TargetMode="External"/><Relationship Id="rId11" Type="http://schemas.openxmlformats.org/officeDocument/2006/relationships/hyperlink" Target="https://expa.aiesec.org/opportunities/1282247" TargetMode="External"/><Relationship Id="rId10" Type="http://schemas.openxmlformats.org/officeDocument/2006/relationships/hyperlink" Target="https://expa.aiesec.org/opportunities/1289076" TargetMode="External"/><Relationship Id="rId13" Type="http://schemas.openxmlformats.org/officeDocument/2006/relationships/hyperlink" Target="https://expa.aiesec.org/opportunities/1289076" TargetMode="External"/><Relationship Id="rId12" Type="http://schemas.openxmlformats.org/officeDocument/2006/relationships/hyperlink" Target="https://expa.aiesec.org/opportunities/1289076" TargetMode="External"/><Relationship Id="rId15" Type="http://schemas.openxmlformats.org/officeDocument/2006/relationships/hyperlink" Target="https://expa.aiesec.org/opportunities/1289752" TargetMode="External"/><Relationship Id="rId14" Type="http://schemas.openxmlformats.org/officeDocument/2006/relationships/hyperlink" Target="https://expa.aiesec.org/opportunities/1288745" TargetMode="External"/><Relationship Id="rId17" Type="http://schemas.openxmlformats.org/officeDocument/2006/relationships/hyperlink" Target="https://expa.aiesec.org/opportunities/1288840" TargetMode="External"/><Relationship Id="rId16" Type="http://schemas.openxmlformats.org/officeDocument/2006/relationships/hyperlink" Target="https://expa.aiesec.org/opportunities/1287990" TargetMode="External"/><Relationship Id="rId19" Type="http://schemas.openxmlformats.org/officeDocument/2006/relationships/hyperlink" Target="https://expa.aiesec.org/opportunities/1287243" TargetMode="External"/><Relationship Id="rId18" Type="http://schemas.openxmlformats.org/officeDocument/2006/relationships/hyperlink" Target="https://expa.aiesec.org/opportunities/1289281" TargetMode="External"/><Relationship Id="rId70" Type="http://schemas.openxmlformats.org/officeDocument/2006/relationships/drawing" Target="../drawings/drawing4.xml"/><Relationship Id="rId62" Type="http://schemas.openxmlformats.org/officeDocument/2006/relationships/hyperlink" Target="https://expa.aiesec.org/opportunities/1284312" TargetMode="External"/><Relationship Id="rId61" Type="http://schemas.openxmlformats.org/officeDocument/2006/relationships/hyperlink" Target="https://expa.aiesec.org/opportunities/1291020" TargetMode="External"/><Relationship Id="rId64" Type="http://schemas.openxmlformats.org/officeDocument/2006/relationships/hyperlink" Target="https://expa.aiesec.org/opportunities/1290806" TargetMode="External"/><Relationship Id="rId63" Type="http://schemas.openxmlformats.org/officeDocument/2006/relationships/hyperlink" Target="https://expa.aiesec.org/opportunities/1291553" TargetMode="External"/><Relationship Id="rId66" Type="http://schemas.openxmlformats.org/officeDocument/2006/relationships/hyperlink" Target="https://expa.aiesec.org/opportunities/1287990" TargetMode="External"/><Relationship Id="rId65" Type="http://schemas.openxmlformats.org/officeDocument/2006/relationships/hyperlink" Target="https://expa.aiesec.org/opportunities/1290243" TargetMode="External"/><Relationship Id="rId68" Type="http://schemas.openxmlformats.org/officeDocument/2006/relationships/hyperlink" Target="https://expa.aiesec.org/opportunities/1286442" TargetMode="External"/><Relationship Id="rId67" Type="http://schemas.openxmlformats.org/officeDocument/2006/relationships/hyperlink" Target="https://expa.aiesec.org/opportunities/1288330" TargetMode="External"/><Relationship Id="rId60" Type="http://schemas.openxmlformats.org/officeDocument/2006/relationships/hyperlink" Target="https://expa.aiesec.org/opportunities/1289851" TargetMode="External"/><Relationship Id="rId69" Type="http://schemas.openxmlformats.org/officeDocument/2006/relationships/hyperlink" Target="https://expa.aiesec.org/opportunities/1290277" TargetMode="External"/><Relationship Id="rId51" Type="http://schemas.openxmlformats.org/officeDocument/2006/relationships/hyperlink" Target="https://expa.aiesec.org/opportunities/1281901" TargetMode="External"/><Relationship Id="rId50" Type="http://schemas.openxmlformats.org/officeDocument/2006/relationships/hyperlink" Target="https://expa.aiesec.org/opportunities/1290024" TargetMode="External"/><Relationship Id="rId53" Type="http://schemas.openxmlformats.org/officeDocument/2006/relationships/hyperlink" Target="https://expa.aiesec.org/opportunities/1284485" TargetMode="External"/><Relationship Id="rId52" Type="http://schemas.openxmlformats.org/officeDocument/2006/relationships/hyperlink" Target="https://expa.aiesec.org/opportunities/1289617" TargetMode="External"/><Relationship Id="rId55" Type="http://schemas.openxmlformats.org/officeDocument/2006/relationships/hyperlink" Target="https://expa.aiesec.org/opportunities/1284485" TargetMode="External"/><Relationship Id="rId54" Type="http://schemas.openxmlformats.org/officeDocument/2006/relationships/hyperlink" Target="https://expa.aiesec.org/opportunities/1290649" TargetMode="External"/><Relationship Id="rId57" Type="http://schemas.openxmlformats.org/officeDocument/2006/relationships/hyperlink" Target="https://expa.aiesec.org/opportunities/1291200" TargetMode="External"/><Relationship Id="rId56" Type="http://schemas.openxmlformats.org/officeDocument/2006/relationships/hyperlink" Target="https://expa.aiesec.org/opportunities/1291250" TargetMode="External"/><Relationship Id="rId59" Type="http://schemas.openxmlformats.org/officeDocument/2006/relationships/hyperlink" Target="https://expa.aiesec.org/opportunities/1291029" TargetMode="External"/><Relationship Id="rId58" Type="http://schemas.openxmlformats.org/officeDocument/2006/relationships/hyperlink" Target="https://expa.aiesec.org/opportunities/1291200" TargetMode="External"/><Relationship Id="rId1" Type="http://schemas.openxmlformats.org/officeDocument/2006/relationships/hyperlink" Target="https://expa.aiesec.org/opportunities/1283949" TargetMode="External"/><Relationship Id="rId2" Type="http://schemas.openxmlformats.org/officeDocument/2006/relationships/hyperlink" Target="https://expa.aiesec.org/opportunities/1284485" TargetMode="External"/><Relationship Id="rId3" Type="http://schemas.openxmlformats.org/officeDocument/2006/relationships/hyperlink" Target="https://expa.aiesec.org/opportunities/1284485" TargetMode="External"/><Relationship Id="rId4" Type="http://schemas.openxmlformats.org/officeDocument/2006/relationships/hyperlink" Target="https://expa.aiesec.org/opportunities/1284485" TargetMode="External"/><Relationship Id="rId9" Type="http://schemas.openxmlformats.org/officeDocument/2006/relationships/hyperlink" Target="https://expa.aiesec.org/opportunities/1288283" TargetMode="External"/><Relationship Id="rId5" Type="http://schemas.openxmlformats.org/officeDocument/2006/relationships/hyperlink" Target="https://expa.aiesec.org/opportunities/1281236" TargetMode="External"/><Relationship Id="rId6" Type="http://schemas.openxmlformats.org/officeDocument/2006/relationships/hyperlink" Target="https://expa.aiesec.org/opportunities/1281061" TargetMode="External"/><Relationship Id="rId7" Type="http://schemas.openxmlformats.org/officeDocument/2006/relationships/hyperlink" Target="https://expa.aiesec.org/opportunities/1281061" TargetMode="External"/><Relationship Id="rId8" Type="http://schemas.openxmlformats.org/officeDocument/2006/relationships/hyperlink" Target="https://expa.aiesec.org/opportunities/1286113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expa.aiesec.org/opportunities/1283180" TargetMode="External"/><Relationship Id="rId2" Type="http://schemas.openxmlformats.org/officeDocument/2006/relationships/hyperlink" Target="https://expa.aiesec.org/opportunities/1288662" TargetMode="External"/><Relationship Id="rId3" Type="http://schemas.openxmlformats.org/officeDocument/2006/relationships/hyperlink" Target="https://expa.aiesec.org/opportunities/1291199" TargetMode="External"/><Relationship Id="rId4" Type="http://schemas.openxmlformats.org/officeDocument/2006/relationships/hyperlink" Target="https://expa.aiesec.org/opportunities/1290648" TargetMode="External"/><Relationship Id="rId5" Type="http://schemas.openxmlformats.org/officeDocument/2006/relationships/hyperlink" Target="https://expa.aiesec.org/opportunities/1287487" TargetMode="External"/><Relationship Id="rId6" Type="http://schemas.openxmlformats.org/officeDocument/2006/relationships/hyperlink" Target="https://expa.aiesec.org/opportunities/1278558" TargetMode="External"/><Relationship Id="rId7" Type="http://schemas.openxmlformats.org/officeDocument/2006/relationships/hyperlink" Target="https://expa.aiesec.org/opportunities/1289446" TargetMode="External"/><Relationship Id="rId8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s://expa.aiesec.org/opportunities/1289689" TargetMode="External"/><Relationship Id="rId10" Type="http://schemas.openxmlformats.org/officeDocument/2006/relationships/hyperlink" Target="https://expa.aiesec.org/opportunities/1289255" TargetMode="External"/><Relationship Id="rId13" Type="http://schemas.openxmlformats.org/officeDocument/2006/relationships/hyperlink" Target="https://expa.aiesec.org/opportunities/1291482" TargetMode="External"/><Relationship Id="rId12" Type="http://schemas.openxmlformats.org/officeDocument/2006/relationships/hyperlink" Target="https://expa.aiesec.org/opportunities/1289689" TargetMode="External"/><Relationship Id="rId15" Type="http://schemas.openxmlformats.org/officeDocument/2006/relationships/hyperlink" Target="https://expa.aiesec.org/opportunities/1280733" TargetMode="External"/><Relationship Id="rId14" Type="http://schemas.openxmlformats.org/officeDocument/2006/relationships/hyperlink" Target="https://expa.aiesec.org/opportunities/1278791" TargetMode="External"/><Relationship Id="rId16" Type="http://schemas.openxmlformats.org/officeDocument/2006/relationships/drawing" Target="../drawings/drawing6.xml"/><Relationship Id="rId1" Type="http://schemas.openxmlformats.org/officeDocument/2006/relationships/hyperlink" Target="https://expa.aiesec.org/opportunities/1284289" TargetMode="External"/><Relationship Id="rId2" Type="http://schemas.openxmlformats.org/officeDocument/2006/relationships/hyperlink" Target="https://expa.aiesec.org/opportunities/1289441" TargetMode="External"/><Relationship Id="rId3" Type="http://schemas.openxmlformats.org/officeDocument/2006/relationships/hyperlink" Target="https://expa.aiesec.org/opportunities/1289803" TargetMode="External"/><Relationship Id="rId4" Type="http://schemas.openxmlformats.org/officeDocument/2006/relationships/hyperlink" Target="https://expa.aiesec.org/opportunities/1279327" TargetMode="External"/><Relationship Id="rId9" Type="http://schemas.openxmlformats.org/officeDocument/2006/relationships/hyperlink" Target="https://expa.aiesec.org/opportunities/1290669" TargetMode="External"/><Relationship Id="rId5" Type="http://schemas.openxmlformats.org/officeDocument/2006/relationships/hyperlink" Target="https://expa.aiesec.org/opportunities/1286821" TargetMode="External"/><Relationship Id="rId6" Type="http://schemas.openxmlformats.org/officeDocument/2006/relationships/hyperlink" Target="https://expa.aiesec.org/opportunities/1288838" TargetMode="External"/><Relationship Id="rId7" Type="http://schemas.openxmlformats.org/officeDocument/2006/relationships/hyperlink" Target="https://expa.aiesec.org/opportunities/1289686" TargetMode="External"/><Relationship Id="rId8" Type="http://schemas.openxmlformats.org/officeDocument/2006/relationships/hyperlink" Target="https://expa.aiesec.org/opportunities/1291229" TargetMode="Externa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s://expa.aiesec.org/opportunities/1278703" TargetMode="External"/><Relationship Id="rId10" Type="http://schemas.openxmlformats.org/officeDocument/2006/relationships/hyperlink" Target="https://expa.aiesec.org/opportunities/1259741" TargetMode="External"/><Relationship Id="rId13" Type="http://schemas.openxmlformats.org/officeDocument/2006/relationships/hyperlink" Target="https://expa.aiesec.org/opportunities/1264946" TargetMode="External"/><Relationship Id="rId12" Type="http://schemas.openxmlformats.org/officeDocument/2006/relationships/hyperlink" Target="https://expa.aiesec.org/opportunities/1293407" TargetMode="External"/><Relationship Id="rId15" Type="http://schemas.openxmlformats.org/officeDocument/2006/relationships/hyperlink" Target="https://expa.aiesec.org/opportunities/1286840" TargetMode="External"/><Relationship Id="rId14" Type="http://schemas.openxmlformats.org/officeDocument/2006/relationships/hyperlink" Target="https://expa.aiesec.org/opportunities/1289255" TargetMode="External"/><Relationship Id="rId17" Type="http://schemas.openxmlformats.org/officeDocument/2006/relationships/drawing" Target="../drawings/drawing7.xml"/><Relationship Id="rId16" Type="http://schemas.openxmlformats.org/officeDocument/2006/relationships/hyperlink" Target="https://expa.aiesec.org/opportunities/1294941" TargetMode="External"/><Relationship Id="rId1" Type="http://schemas.openxmlformats.org/officeDocument/2006/relationships/hyperlink" Target="https://expa.aiesec.org/opportunities/1291606" TargetMode="External"/><Relationship Id="rId2" Type="http://schemas.openxmlformats.org/officeDocument/2006/relationships/hyperlink" Target="https://expa.aiesec.org/opportunities/1281195" TargetMode="External"/><Relationship Id="rId3" Type="http://schemas.openxmlformats.org/officeDocument/2006/relationships/hyperlink" Target="https://expa.aiesec.org/opportunities/1292678" TargetMode="External"/><Relationship Id="rId4" Type="http://schemas.openxmlformats.org/officeDocument/2006/relationships/hyperlink" Target="https://expa.aiesec.org/opportunities/1281195" TargetMode="External"/><Relationship Id="rId9" Type="http://schemas.openxmlformats.org/officeDocument/2006/relationships/hyperlink" Target="https://expa.aiesec.org/opportunities/1280733" TargetMode="External"/><Relationship Id="rId5" Type="http://schemas.openxmlformats.org/officeDocument/2006/relationships/hyperlink" Target="https://expa.aiesec.org/opportunities/1291648" TargetMode="External"/><Relationship Id="rId6" Type="http://schemas.openxmlformats.org/officeDocument/2006/relationships/hyperlink" Target="https://expa.aiesec.org/opportunities/1293755" TargetMode="External"/><Relationship Id="rId7" Type="http://schemas.openxmlformats.org/officeDocument/2006/relationships/hyperlink" Target="https://expa.aiesec.org/opportunities/1277661" TargetMode="External"/><Relationship Id="rId8" Type="http://schemas.openxmlformats.org/officeDocument/2006/relationships/hyperlink" Target="https://expa.aiesec.org/opportunities/129433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expa.aiesec.org/opportunities/1289161" TargetMode="External"/><Relationship Id="rId2" Type="http://schemas.openxmlformats.org/officeDocument/2006/relationships/hyperlink" Target="https://expa.aiesec.org/opportunities/1290077" TargetMode="External"/><Relationship Id="rId3" Type="http://schemas.openxmlformats.org/officeDocument/2006/relationships/hyperlink" Target="https://expa.aiesec.org/opportunities/1296108" TargetMode="External"/><Relationship Id="rId4" Type="http://schemas.openxmlformats.org/officeDocument/2006/relationships/hyperlink" Target="https://expa.aiesec.org/opportunities/1295364" TargetMode="External"/><Relationship Id="rId5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88609" TargetMode="External"/><Relationship Id="rId42" Type="http://schemas.openxmlformats.org/officeDocument/2006/relationships/hyperlink" Target="https://expa.aiesec.org/opportunities/1294811" TargetMode="External"/><Relationship Id="rId41" Type="http://schemas.openxmlformats.org/officeDocument/2006/relationships/hyperlink" Target="https://expa.aiesec.org/opportunities/1288609" TargetMode="External"/><Relationship Id="rId44" Type="http://schemas.openxmlformats.org/officeDocument/2006/relationships/hyperlink" Target="https://expa.aiesec.org/opportunities/1288609" TargetMode="External"/><Relationship Id="rId43" Type="http://schemas.openxmlformats.org/officeDocument/2006/relationships/hyperlink" Target="https://expa.aiesec.org/opportunities/1294848" TargetMode="External"/><Relationship Id="rId46" Type="http://schemas.openxmlformats.org/officeDocument/2006/relationships/hyperlink" Target="https://expa.aiesec.org/opportunities/1294209" TargetMode="External"/><Relationship Id="rId45" Type="http://schemas.openxmlformats.org/officeDocument/2006/relationships/hyperlink" Target="https://expa.aiesec.org/opportunities/1288609" TargetMode="External"/><Relationship Id="rId48" Type="http://schemas.openxmlformats.org/officeDocument/2006/relationships/hyperlink" Target="https://expa.aiesec.org/opportunities/1290024" TargetMode="External"/><Relationship Id="rId47" Type="http://schemas.openxmlformats.org/officeDocument/2006/relationships/hyperlink" Target="https://expa.aiesec.org/opportunities/1294209" TargetMode="External"/><Relationship Id="rId49" Type="http://schemas.openxmlformats.org/officeDocument/2006/relationships/hyperlink" Target="https://expa.aiesec.org/opportunities/1294063" TargetMode="External"/><Relationship Id="rId31" Type="http://schemas.openxmlformats.org/officeDocument/2006/relationships/hyperlink" Target="https://expa.aiesec.org/opportunities/1293477" TargetMode="External"/><Relationship Id="rId30" Type="http://schemas.openxmlformats.org/officeDocument/2006/relationships/hyperlink" Target="https://expa.aiesec.org/opportunities/1286658" TargetMode="External"/><Relationship Id="rId33" Type="http://schemas.openxmlformats.org/officeDocument/2006/relationships/hyperlink" Target="https://expa.aiesec.org/opportunities/1294825" TargetMode="External"/><Relationship Id="rId32" Type="http://schemas.openxmlformats.org/officeDocument/2006/relationships/hyperlink" Target="https://expa.aiesec.org/opportunities/1293284" TargetMode="External"/><Relationship Id="rId35" Type="http://schemas.openxmlformats.org/officeDocument/2006/relationships/hyperlink" Target="https://expa.aiesec.org/opportunities/1286929" TargetMode="External"/><Relationship Id="rId34" Type="http://schemas.openxmlformats.org/officeDocument/2006/relationships/hyperlink" Target="https://expa.aiesec.org/opportunities/1292298" TargetMode="External"/><Relationship Id="rId37" Type="http://schemas.openxmlformats.org/officeDocument/2006/relationships/hyperlink" Target="https://expa.aiesec.org/opportunities/1291395" TargetMode="External"/><Relationship Id="rId36" Type="http://schemas.openxmlformats.org/officeDocument/2006/relationships/hyperlink" Target="https://expa.aiesec.org/opportunities/1294459" TargetMode="External"/><Relationship Id="rId39" Type="http://schemas.openxmlformats.org/officeDocument/2006/relationships/hyperlink" Target="https://expa.aiesec.org/opportunities/1294522" TargetMode="External"/><Relationship Id="rId38" Type="http://schemas.openxmlformats.org/officeDocument/2006/relationships/hyperlink" Target="https://expa.aiesec.org/opportunities/1293463" TargetMode="External"/><Relationship Id="rId20" Type="http://schemas.openxmlformats.org/officeDocument/2006/relationships/hyperlink" Target="https://expa.aiesec.org/opportunities/1292990" TargetMode="External"/><Relationship Id="rId22" Type="http://schemas.openxmlformats.org/officeDocument/2006/relationships/hyperlink" Target="https://expa.aiesec.org/opportunities/1293866" TargetMode="External"/><Relationship Id="rId21" Type="http://schemas.openxmlformats.org/officeDocument/2006/relationships/hyperlink" Target="https://expa.aiesec.org/opportunities/1293683" TargetMode="External"/><Relationship Id="rId24" Type="http://schemas.openxmlformats.org/officeDocument/2006/relationships/hyperlink" Target="https://expa.aiesec.org/opportunities/1293284" TargetMode="External"/><Relationship Id="rId23" Type="http://schemas.openxmlformats.org/officeDocument/2006/relationships/hyperlink" Target="https://expa.aiesec.org/opportunities/1287602" TargetMode="External"/><Relationship Id="rId26" Type="http://schemas.openxmlformats.org/officeDocument/2006/relationships/hyperlink" Target="https://expa.aiesec.org/opportunities/1284922" TargetMode="External"/><Relationship Id="rId25" Type="http://schemas.openxmlformats.org/officeDocument/2006/relationships/hyperlink" Target="https://expa.aiesec.org/opportunities/1294458" TargetMode="External"/><Relationship Id="rId28" Type="http://schemas.openxmlformats.org/officeDocument/2006/relationships/hyperlink" Target="https://expa.aiesec.org/opportunities/1293463" TargetMode="External"/><Relationship Id="rId27" Type="http://schemas.openxmlformats.org/officeDocument/2006/relationships/hyperlink" Target="https://expa.aiesec.org/opportunities/1294063" TargetMode="External"/><Relationship Id="rId29" Type="http://schemas.openxmlformats.org/officeDocument/2006/relationships/hyperlink" Target="https://expa.aiesec.org/opportunities/1290024" TargetMode="External"/><Relationship Id="rId11" Type="http://schemas.openxmlformats.org/officeDocument/2006/relationships/hyperlink" Target="https://expa.aiesec.org/opportunities/1293021" TargetMode="External"/><Relationship Id="rId10" Type="http://schemas.openxmlformats.org/officeDocument/2006/relationships/hyperlink" Target="https://expa.aiesec.org/opportunities/1286585" TargetMode="External"/><Relationship Id="rId13" Type="http://schemas.openxmlformats.org/officeDocument/2006/relationships/hyperlink" Target="https://expa.aiesec.org/opportunities/1286585" TargetMode="External"/><Relationship Id="rId12" Type="http://schemas.openxmlformats.org/officeDocument/2006/relationships/hyperlink" Target="https://expa.aiesec.org/opportunities/1290024" TargetMode="External"/><Relationship Id="rId15" Type="http://schemas.openxmlformats.org/officeDocument/2006/relationships/hyperlink" Target="https://expa.aiesec.org/opportunities/1288798" TargetMode="External"/><Relationship Id="rId14" Type="http://schemas.openxmlformats.org/officeDocument/2006/relationships/hyperlink" Target="https://expa.aiesec.org/opportunities/1293586" TargetMode="External"/><Relationship Id="rId17" Type="http://schemas.openxmlformats.org/officeDocument/2006/relationships/hyperlink" Target="https://expa.aiesec.org/opportunities/1293019" TargetMode="External"/><Relationship Id="rId16" Type="http://schemas.openxmlformats.org/officeDocument/2006/relationships/hyperlink" Target="https://expa.aiesec.org/opportunities/1286039" TargetMode="External"/><Relationship Id="rId19" Type="http://schemas.openxmlformats.org/officeDocument/2006/relationships/hyperlink" Target="https://expa.aiesec.org/opportunities/1292298" TargetMode="External"/><Relationship Id="rId18" Type="http://schemas.openxmlformats.org/officeDocument/2006/relationships/hyperlink" Target="https://expa.aiesec.org/opportunities/1284312" TargetMode="External"/><Relationship Id="rId62" Type="http://schemas.openxmlformats.org/officeDocument/2006/relationships/hyperlink" Target="https://expa.aiesec.org/opportunities/1292990" TargetMode="External"/><Relationship Id="rId61" Type="http://schemas.openxmlformats.org/officeDocument/2006/relationships/hyperlink" Target="https://expa.aiesec.org/opportunities/1281901" TargetMode="External"/><Relationship Id="rId64" Type="http://schemas.openxmlformats.org/officeDocument/2006/relationships/drawing" Target="../drawings/drawing9.xml"/><Relationship Id="rId63" Type="http://schemas.openxmlformats.org/officeDocument/2006/relationships/hyperlink" Target="https://expa.aiesec.org/opportunities/1296060" TargetMode="External"/><Relationship Id="rId60" Type="http://schemas.openxmlformats.org/officeDocument/2006/relationships/hyperlink" Target="https://expa.aiesec.org/opportunities/1281901" TargetMode="External"/><Relationship Id="rId51" Type="http://schemas.openxmlformats.org/officeDocument/2006/relationships/hyperlink" Target="https://expa.aiesec.org/opportunities/1294062" TargetMode="External"/><Relationship Id="rId50" Type="http://schemas.openxmlformats.org/officeDocument/2006/relationships/hyperlink" Target="https://expa.aiesec.org/opportunities/1287990" TargetMode="External"/><Relationship Id="rId53" Type="http://schemas.openxmlformats.org/officeDocument/2006/relationships/hyperlink" Target="https://expa.aiesec.org/opportunities/1294062" TargetMode="External"/><Relationship Id="rId52" Type="http://schemas.openxmlformats.org/officeDocument/2006/relationships/hyperlink" Target="https://expa.aiesec.org/opportunities/1294209" TargetMode="External"/><Relationship Id="rId55" Type="http://schemas.openxmlformats.org/officeDocument/2006/relationships/hyperlink" Target="https://expa.aiesec.org/opportunities/1294209" TargetMode="External"/><Relationship Id="rId54" Type="http://schemas.openxmlformats.org/officeDocument/2006/relationships/hyperlink" Target="https://expa.aiesec.org/opportunities/1266530" TargetMode="External"/><Relationship Id="rId57" Type="http://schemas.openxmlformats.org/officeDocument/2006/relationships/hyperlink" Target="https://expa.aiesec.org/opportunities/1292709" TargetMode="External"/><Relationship Id="rId56" Type="http://schemas.openxmlformats.org/officeDocument/2006/relationships/hyperlink" Target="https://expa.aiesec.org/opportunities/1294209" TargetMode="External"/><Relationship Id="rId59" Type="http://schemas.openxmlformats.org/officeDocument/2006/relationships/hyperlink" Target="https://expa.aiesec.org/opportunities/1291068" TargetMode="External"/><Relationship Id="rId58" Type="http://schemas.openxmlformats.org/officeDocument/2006/relationships/hyperlink" Target="https://expa.aiesec.org/opportunities/1292482" TargetMode="External"/><Relationship Id="rId1" Type="http://schemas.openxmlformats.org/officeDocument/2006/relationships/hyperlink" Target="https://expa.aiesec.org/opportunities/1291372" TargetMode="External"/><Relationship Id="rId2" Type="http://schemas.openxmlformats.org/officeDocument/2006/relationships/hyperlink" Target="https://expa.aiesec.org/opportunities/1290799" TargetMode="External"/><Relationship Id="rId3" Type="http://schemas.openxmlformats.org/officeDocument/2006/relationships/hyperlink" Target="https://expa.aiesec.org/opportunities/1292342" TargetMode="External"/><Relationship Id="rId4" Type="http://schemas.openxmlformats.org/officeDocument/2006/relationships/hyperlink" Target="https://expa.aiesec.org/opportunities/1289985" TargetMode="External"/><Relationship Id="rId9" Type="http://schemas.openxmlformats.org/officeDocument/2006/relationships/hyperlink" Target="https://expa.aiesec.org/opportunities/1284312" TargetMode="External"/><Relationship Id="rId5" Type="http://schemas.openxmlformats.org/officeDocument/2006/relationships/hyperlink" Target="https://expa.aiesec.org/opportunities/1289985" TargetMode="External"/><Relationship Id="rId6" Type="http://schemas.openxmlformats.org/officeDocument/2006/relationships/hyperlink" Target="https://expa.aiesec.org/opportunities/1292728" TargetMode="External"/><Relationship Id="rId7" Type="http://schemas.openxmlformats.org/officeDocument/2006/relationships/hyperlink" Target="https://expa.aiesec.org/opportunities/1291369" TargetMode="External"/><Relationship Id="rId8" Type="http://schemas.openxmlformats.org/officeDocument/2006/relationships/hyperlink" Target="https://expa.aiesec.org/opportunities/1288843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392" Type="http://schemas.openxmlformats.org/officeDocument/2006/relationships/hyperlink" Target="https://expa.aiesec.org/opportunities/1291634" TargetMode="External"/><Relationship Id="rId391" Type="http://schemas.openxmlformats.org/officeDocument/2006/relationships/hyperlink" Target="https://expa.aiesec.org/opportunities/1291585" TargetMode="External"/><Relationship Id="rId390" Type="http://schemas.openxmlformats.org/officeDocument/2006/relationships/hyperlink" Target="https://expa.aiesec.org/opportunities/1291055" TargetMode="External"/><Relationship Id="rId385" Type="http://schemas.openxmlformats.org/officeDocument/2006/relationships/hyperlink" Target="https://expa.aiesec.org/opportunities/1279126" TargetMode="External"/><Relationship Id="rId384" Type="http://schemas.openxmlformats.org/officeDocument/2006/relationships/hyperlink" Target="https://expa.aiesec.org/opportunities/1286326" TargetMode="External"/><Relationship Id="rId383" Type="http://schemas.openxmlformats.org/officeDocument/2006/relationships/hyperlink" Target="https://expa.aiesec.org/opportunities/1285713" TargetMode="External"/><Relationship Id="rId382" Type="http://schemas.openxmlformats.org/officeDocument/2006/relationships/hyperlink" Target="https://expa.aiesec.org/opportunities/1288711" TargetMode="External"/><Relationship Id="rId389" Type="http://schemas.openxmlformats.org/officeDocument/2006/relationships/hyperlink" Target="https://expa.aiesec.org/opportunities/1272564" TargetMode="External"/><Relationship Id="rId388" Type="http://schemas.openxmlformats.org/officeDocument/2006/relationships/hyperlink" Target="https://expa.aiesec.org/opportunities/1290826" TargetMode="External"/><Relationship Id="rId387" Type="http://schemas.openxmlformats.org/officeDocument/2006/relationships/hyperlink" Target="https://expa.aiesec.org/opportunities/1284414" TargetMode="External"/><Relationship Id="rId386" Type="http://schemas.openxmlformats.org/officeDocument/2006/relationships/hyperlink" Target="https://expa.aiesec.org/opportunities/1279126" TargetMode="External"/><Relationship Id="rId381" Type="http://schemas.openxmlformats.org/officeDocument/2006/relationships/hyperlink" Target="https://expa.aiesec.org/opportunities/1288663" TargetMode="External"/><Relationship Id="rId380" Type="http://schemas.openxmlformats.org/officeDocument/2006/relationships/hyperlink" Target="https://expa.aiesec.org/opportunities/1289347" TargetMode="External"/><Relationship Id="rId379" Type="http://schemas.openxmlformats.org/officeDocument/2006/relationships/hyperlink" Target="https://expa.aiesec.org/opportunities/1289347" TargetMode="External"/><Relationship Id="rId374" Type="http://schemas.openxmlformats.org/officeDocument/2006/relationships/hyperlink" Target="https://expa.aiesec.org/opportunities/1288991" TargetMode="External"/><Relationship Id="rId373" Type="http://schemas.openxmlformats.org/officeDocument/2006/relationships/hyperlink" Target="https://expa.aiesec.org/opportunities/1289505" TargetMode="External"/><Relationship Id="rId372" Type="http://schemas.openxmlformats.org/officeDocument/2006/relationships/hyperlink" Target="https://expa.aiesec.org/opportunities/1287101" TargetMode="External"/><Relationship Id="rId371" Type="http://schemas.openxmlformats.org/officeDocument/2006/relationships/hyperlink" Target="https://expa.aiesec.org/opportunities/1286920" TargetMode="External"/><Relationship Id="rId378" Type="http://schemas.openxmlformats.org/officeDocument/2006/relationships/hyperlink" Target="https://expa.aiesec.org/opportunities/1287445" TargetMode="External"/><Relationship Id="rId377" Type="http://schemas.openxmlformats.org/officeDocument/2006/relationships/hyperlink" Target="https://expa.aiesec.org/opportunities/1288991" TargetMode="External"/><Relationship Id="rId376" Type="http://schemas.openxmlformats.org/officeDocument/2006/relationships/hyperlink" Target="https://expa.aiesec.org/opportunities/1288711" TargetMode="External"/><Relationship Id="rId375" Type="http://schemas.openxmlformats.org/officeDocument/2006/relationships/hyperlink" Target="https://expa.aiesec.org/opportunities/1288970" TargetMode="External"/><Relationship Id="rId396" Type="http://schemas.openxmlformats.org/officeDocument/2006/relationships/hyperlink" Target="https://expa.aiesec.org/opportunities/1289214" TargetMode="External"/><Relationship Id="rId395" Type="http://schemas.openxmlformats.org/officeDocument/2006/relationships/hyperlink" Target="https://expa.aiesec.org/opportunities/1288582" TargetMode="External"/><Relationship Id="rId394" Type="http://schemas.openxmlformats.org/officeDocument/2006/relationships/hyperlink" Target="https://expa.aiesec.org/opportunities/1289536" TargetMode="External"/><Relationship Id="rId393" Type="http://schemas.openxmlformats.org/officeDocument/2006/relationships/hyperlink" Target="https://expa.aiesec.org/opportunities/1291585" TargetMode="External"/><Relationship Id="rId399" Type="http://schemas.openxmlformats.org/officeDocument/2006/relationships/hyperlink" Target="https://expa.aiesec.org/opportunities/1285713" TargetMode="External"/><Relationship Id="rId398" Type="http://schemas.openxmlformats.org/officeDocument/2006/relationships/hyperlink" Target="https://expa.aiesec.org/opportunities/1287854" TargetMode="External"/><Relationship Id="rId397" Type="http://schemas.openxmlformats.org/officeDocument/2006/relationships/hyperlink" Target="https://expa.aiesec.org/opportunities/1289536" TargetMode="External"/><Relationship Id="rId1730" Type="http://schemas.openxmlformats.org/officeDocument/2006/relationships/hyperlink" Target="https://expa.aiesec.org/opportunities/1300177" TargetMode="External"/><Relationship Id="rId1731" Type="http://schemas.openxmlformats.org/officeDocument/2006/relationships/hyperlink" Target="https://expa.aiesec.org/opportunities/1291252" TargetMode="External"/><Relationship Id="rId1732" Type="http://schemas.openxmlformats.org/officeDocument/2006/relationships/hyperlink" Target="https://expa.aiesec.org/opportunities/1296671" TargetMode="External"/><Relationship Id="rId1733" Type="http://schemas.openxmlformats.org/officeDocument/2006/relationships/hyperlink" Target="https://expa.aiesec.org/opportunities/1292535" TargetMode="External"/><Relationship Id="rId1734" Type="http://schemas.openxmlformats.org/officeDocument/2006/relationships/hyperlink" Target="https://expa.aiesec.org/opportunities/1288490" TargetMode="External"/><Relationship Id="rId1735" Type="http://schemas.openxmlformats.org/officeDocument/2006/relationships/hyperlink" Target="https://expa.aiesec.org/opportunities/1291252" TargetMode="External"/><Relationship Id="rId1736" Type="http://schemas.openxmlformats.org/officeDocument/2006/relationships/hyperlink" Target="https://expa.aiesec.org/opportunities/1294254" TargetMode="External"/><Relationship Id="rId1737" Type="http://schemas.openxmlformats.org/officeDocument/2006/relationships/hyperlink" Target="https://expa.aiesec.org/opportunities/1289536" TargetMode="External"/><Relationship Id="rId1738" Type="http://schemas.openxmlformats.org/officeDocument/2006/relationships/hyperlink" Target="https://expa.aiesec.org/opportunities/1294622" TargetMode="External"/><Relationship Id="rId1739" Type="http://schemas.openxmlformats.org/officeDocument/2006/relationships/hyperlink" Target="https://expa.aiesec.org/opportunities/1301556" TargetMode="External"/><Relationship Id="rId1720" Type="http://schemas.openxmlformats.org/officeDocument/2006/relationships/hyperlink" Target="https://expa.aiesec.org/opportunities/1284077" TargetMode="External"/><Relationship Id="rId1721" Type="http://schemas.openxmlformats.org/officeDocument/2006/relationships/hyperlink" Target="https://expa.aiesec.org/opportunities/1288970" TargetMode="External"/><Relationship Id="rId1722" Type="http://schemas.openxmlformats.org/officeDocument/2006/relationships/hyperlink" Target="https://expa.aiesec.org/opportunities/1280872" TargetMode="External"/><Relationship Id="rId1723" Type="http://schemas.openxmlformats.org/officeDocument/2006/relationships/hyperlink" Target="https://expa.aiesec.org/opportunities/1286920" TargetMode="External"/><Relationship Id="rId1724" Type="http://schemas.openxmlformats.org/officeDocument/2006/relationships/hyperlink" Target="https://expa.aiesec.org/opportunities/1284081" TargetMode="External"/><Relationship Id="rId1725" Type="http://schemas.openxmlformats.org/officeDocument/2006/relationships/hyperlink" Target="https://expa.aiesec.org/opportunities/1289536" TargetMode="External"/><Relationship Id="rId1726" Type="http://schemas.openxmlformats.org/officeDocument/2006/relationships/hyperlink" Target="https://expa.aiesec.org/opportunities/1284081" TargetMode="External"/><Relationship Id="rId1727" Type="http://schemas.openxmlformats.org/officeDocument/2006/relationships/hyperlink" Target="https://expa.aiesec.org/opportunities/1289536" TargetMode="External"/><Relationship Id="rId1728" Type="http://schemas.openxmlformats.org/officeDocument/2006/relationships/hyperlink" Target="https://expa.aiesec.org/opportunities/1287966" TargetMode="External"/><Relationship Id="rId1729" Type="http://schemas.openxmlformats.org/officeDocument/2006/relationships/hyperlink" Target="https://expa.aiesec.org/opportunities/1288582" TargetMode="External"/><Relationship Id="rId1752" Type="http://schemas.openxmlformats.org/officeDocument/2006/relationships/hyperlink" Target="https://expa.aiesec.org/opportunities/1298102" TargetMode="External"/><Relationship Id="rId1753" Type="http://schemas.openxmlformats.org/officeDocument/2006/relationships/hyperlink" Target="https://expa.aiesec.org/opportunities/1294622" TargetMode="External"/><Relationship Id="rId1754" Type="http://schemas.openxmlformats.org/officeDocument/2006/relationships/hyperlink" Target="https://expa.aiesec.org/opportunities/1294622" TargetMode="External"/><Relationship Id="rId1755" Type="http://schemas.openxmlformats.org/officeDocument/2006/relationships/hyperlink" Target="https://expa.aiesec.org/opportunities/1294622" TargetMode="External"/><Relationship Id="rId1756" Type="http://schemas.openxmlformats.org/officeDocument/2006/relationships/hyperlink" Target="https://expa.aiesec.org/opportunities/1285934" TargetMode="External"/><Relationship Id="rId1757" Type="http://schemas.openxmlformats.org/officeDocument/2006/relationships/hyperlink" Target="https://expa.aiesec.org/opportunities/1296101" TargetMode="External"/><Relationship Id="rId1758" Type="http://schemas.openxmlformats.org/officeDocument/2006/relationships/hyperlink" Target="https://expa.aiesec.org/opportunities/1289536" TargetMode="External"/><Relationship Id="rId1759" Type="http://schemas.openxmlformats.org/officeDocument/2006/relationships/hyperlink" Target="https://expa.aiesec.org/opportunities/1289536" TargetMode="External"/><Relationship Id="rId1750" Type="http://schemas.openxmlformats.org/officeDocument/2006/relationships/hyperlink" Target="https://expa.aiesec.org/opportunities/1299041" TargetMode="External"/><Relationship Id="rId1751" Type="http://schemas.openxmlformats.org/officeDocument/2006/relationships/hyperlink" Target="https://expa.aiesec.org/opportunities/1281010" TargetMode="External"/><Relationship Id="rId1741" Type="http://schemas.openxmlformats.org/officeDocument/2006/relationships/hyperlink" Target="https://expa.aiesec.org/opportunities/1279126" TargetMode="External"/><Relationship Id="rId1742" Type="http://schemas.openxmlformats.org/officeDocument/2006/relationships/hyperlink" Target="https://expa.aiesec.org/opportunities/1299474" TargetMode="External"/><Relationship Id="rId1743" Type="http://schemas.openxmlformats.org/officeDocument/2006/relationships/hyperlink" Target="https://expa.aiesec.org/opportunities/1298102" TargetMode="External"/><Relationship Id="rId1744" Type="http://schemas.openxmlformats.org/officeDocument/2006/relationships/hyperlink" Target="https://expa.aiesec.org/opportunities/1287628" TargetMode="External"/><Relationship Id="rId1745" Type="http://schemas.openxmlformats.org/officeDocument/2006/relationships/hyperlink" Target="https://expa.aiesec.org/opportunities/1298102" TargetMode="External"/><Relationship Id="rId1746" Type="http://schemas.openxmlformats.org/officeDocument/2006/relationships/hyperlink" Target="https://expa.aiesec.org/opportunities/1279126" TargetMode="External"/><Relationship Id="rId1747" Type="http://schemas.openxmlformats.org/officeDocument/2006/relationships/hyperlink" Target="https://expa.aiesec.org/opportunities/1294795" TargetMode="External"/><Relationship Id="rId1748" Type="http://schemas.openxmlformats.org/officeDocument/2006/relationships/hyperlink" Target="https://expa.aiesec.org/opportunities/1284081" TargetMode="External"/><Relationship Id="rId1749" Type="http://schemas.openxmlformats.org/officeDocument/2006/relationships/hyperlink" Target="https://expa.aiesec.org/opportunities/1296671" TargetMode="External"/><Relationship Id="rId1740" Type="http://schemas.openxmlformats.org/officeDocument/2006/relationships/hyperlink" Target="https://expa.aiesec.org/opportunities/1298102" TargetMode="External"/><Relationship Id="rId1710" Type="http://schemas.openxmlformats.org/officeDocument/2006/relationships/hyperlink" Target="https://expa.aiesec.org/opportunities/1301556" TargetMode="External"/><Relationship Id="rId1711" Type="http://schemas.openxmlformats.org/officeDocument/2006/relationships/hyperlink" Target="https://expa.aiesec.org/opportunities/1298102" TargetMode="External"/><Relationship Id="rId1712" Type="http://schemas.openxmlformats.org/officeDocument/2006/relationships/hyperlink" Target="https://expa.aiesec.org/opportunities/1298612" TargetMode="External"/><Relationship Id="rId1713" Type="http://schemas.openxmlformats.org/officeDocument/2006/relationships/hyperlink" Target="https://expa.aiesec.org/opportunities/1294622" TargetMode="External"/><Relationship Id="rId1714" Type="http://schemas.openxmlformats.org/officeDocument/2006/relationships/hyperlink" Target="https://expa.aiesec.org/opportunities/1290826" TargetMode="External"/><Relationship Id="rId1715" Type="http://schemas.openxmlformats.org/officeDocument/2006/relationships/hyperlink" Target="https://expa.aiesec.org/opportunities/1295260" TargetMode="External"/><Relationship Id="rId1716" Type="http://schemas.openxmlformats.org/officeDocument/2006/relationships/hyperlink" Target="https://expa.aiesec.org/opportunities/1296670" TargetMode="External"/><Relationship Id="rId1717" Type="http://schemas.openxmlformats.org/officeDocument/2006/relationships/hyperlink" Target="https://expa.aiesec.org/opportunities/1296671" TargetMode="External"/><Relationship Id="rId1718" Type="http://schemas.openxmlformats.org/officeDocument/2006/relationships/hyperlink" Target="https://expa.aiesec.org/opportunities/1294877" TargetMode="External"/><Relationship Id="rId1719" Type="http://schemas.openxmlformats.org/officeDocument/2006/relationships/hyperlink" Target="https://expa.aiesec.org/opportunities/1289095" TargetMode="External"/><Relationship Id="rId1700" Type="http://schemas.openxmlformats.org/officeDocument/2006/relationships/hyperlink" Target="https://expa.aiesec.org/opportunities/1280872" TargetMode="External"/><Relationship Id="rId1701" Type="http://schemas.openxmlformats.org/officeDocument/2006/relationships/hyperlink" Target="https://expa.aiesec.org/opportunities/1280872" TargetMode="External"/><Relationship Id="rId1702" Type="http://schemas.openxmlformats.org/officeDocument/2006/relationships/hyperlink" Target="https://expa.aiesec.org/opportunities/1288663" TargetMode="External"/><Relationship Id="rId1703" Type="http://schemas.openxmlformats.org/officeDocument/2006/relationships/hyperlink" Target="https://expa.aiesec.org/opportunities/1288970" TargetMode="External"/><Relationship Id="rId1704" Type="http://schemas.openxmlformats.org/officeDocument/2006/relationships/hyperlink" Target="https://expa.aiesec.org/opportunities/1300558" TargetMode="External"/><Relationship Id="rId1705" Type="http://schemas.openxmlformats.org/officeDocument/2006/relationships/hyperlink" Target="https://expa.aiesec.org/opportunities/1295453" TargetMode="External"/><Relationship Id="rId1706" Type="http://schemas.openxmlformats.org/officeDocument/2006/relationships/hyperlink" Target="https://expa.aiesec.org/opportunities/1280872" TargetMode="External"/><Relationship Id="rId1707" Type="http://schemas.openxmlformats.org/officeDocument/2006/relationships/hyperlink" Target="https://expa.aiesec.org/opportunities/1298102" TargetMode="External"/><Relationship Id="rId1708" Type="http://schemas.openxmlformats.org/officeDocument/2006/relationships/hyperlink" Target="https://expa.aiesec.org/opportunities/1283483" TargetMode="External"/><Relationship Id="rId1709" Type="http://schemas.openxmlformats.org/officeDocument/2006/relationships/hyperlink" Target="https://expa.aiesec.org/opportunities/1283483" TargetMode="External"/><Relationship Id="rId40" Type="http://schemas.openxmlformats.org/officeDocument/2006/relationships/hyperlink" Target="https://expa.aiesec.org/opportunities/1287174" TargetMode="External"/><Relationship Id="rId42" Type="http://schemas.openxmlformats.org/officeDocument/2006/relationships/hyperlink" Target="https://expa.aiesec.org/opportunities/1287925" TargetMode="External"/><Relationship Id="rId41" Type="http://schemas.openxmlformats.org/officeDocument/2006/relationships/hyperlink" Target="https://expa.aiesec.org/opportunities/1288280" TargetMode="External"/><Relationship Id="rId44" Type="http://schemas.openxmlformats.org/officeDocument/2006/relationships/hyperlink" Target="https://expa.aiesec.org/opportunities/1288265" TargetMode="External"/><Relationship Id="rId43" Type="http://schemas.openxmlformats.org/officeDocument/2006/relationships/hyperlink" Target="https://expa.aiesec.org/opportunities/1272564" TargetMode="External"/><Relationship Id="rId46" Type="http://schemas.openxmlformats.org/officeDocument/2006/relationships/hyperlink" Target="https://expa.aiesec.org/opportunities/1288299" TargetMode="External"/><Relationship Id="rId45" Type="http://schemas.openxmlformats.org/officeDocument/2006/relationships/hyperlink" Target="https://expa.aiesec.org/opportunities/1286228" TargetMode="External"/><Relationship Id="rId48" Type="http://schemas.openxmlformats.org/officeDocument/2006/relationships/hyperlink" Target="https://expa.aiesec.org/opportunities/1288393" TargetMode="External"/><Relationship Id="rId47" Type="http://schemas.openxmlformats.org/officeDocument/2006/relationships/hyperlink" Target="https://expa.aiesec.org/opportunities/1287925" TargetMode="External"/><Relationship Id="rId49" Type="http://schemas.openxmlformats.org/officeDocument/2006/relationships/hyperlink" Target="https://expa.aiesec.org/opportunities/1287174" TargetMode="External"/><Relationship Id="rId31" Type="http://schemas.openxmlformats.org/officeDocument/2006/relationships/hyperlink" Target="https://expa.aiesec.org/opportunities/1287226" TargetMode="External"/><Relationship Id="rId30" Type="http://schemas.openxmlformats.org/officeDocument/2006/relationships/hyperlink" Target="https://expa.aiesec.org/opportunities/1288245" TargetMode="External"/><Relationship Id="rId33" Type="http://schemas.openxmlformats.org/officeDocument/2006/relationships/hyperlink" Target="https://expa.aiesec.org/opportunities/1288257" TargetMode="External"/><Relationship Id="rId32" Type="http://schemas.openxmlformats.org/officeDocument/2006/relationships/hyperlink" Target="https://expa.aiesec.org/opportunities/1287662" TargetMode="External"/><Relationship Id="rId35" Type="http://schemas.openxmlformats.org/officeDocument/2006/relationships/hyperlink" Target="https://expa.aiesec.org/opportunities/1272564" TargetMode="External"/><Relationship Id="rId34" Type="http://schemas.openxmlformats.org/officeDocument/2006/relationships/hyperlink" Target="https://expa.aiesec.org/opportunities/1288280" TargetMode="External"/><Relationship Id="rId37" Type="http://schemas.openxmlformats.org/officeDocument/2006/relationships/hyperlink" Target="https://expa.aiesec.org/opportunities/1288393" TargetMode="External"/><Relationship Id="rId36" Type="http://schemas.openxmlformats.org/officeDocument/2006/relationships/hyperlink" Target="https://expa.aiesec.org/opportunities/1287181" TargetMode="External"/><Relationship Id="rId39" Type="http://schemas.openxmlformats.org/officeDocument/2006/relationships/hyperlink" Target="https://expa.aiesec.org/opportunities/1288299" TargetMode="External"/><Relationship Id="rId38" Type="http://schemas.openxmlformats.org/officeDocument/2006/relationships/hyperlink" Target="https://expa.aiesec.org/opportunities/1286235" TargetMode="External"/><Relationship Id="rId20" Type="http://schemas.openxmlformats.org/officeDocument/2006/relationships/hyperlink" Target="https://expa.aiesec.org/opportunities/1287475" TargetMode="External"/><Relationship Id="rId22" Type="http://schemas.openxmlformats.org/officeDocument/2006/relationships/hyperlink" Target="https://expa.aiesec.org/opportunities/1288279" TargetMode="External"/><Relationship Id="rId21" Type="http://schemas.openxmlformats.org/officeDocument/2006/relationships/hyperlink" Target="https://expa.aiesec.org/opportunities/1285681" TargetMode="External"/><Relationship Id="rId24" Type="http://schemas.openxmlformats.org/officeDocument/2006/relationships/hyperlink" Target="https://expa.aiesec.org/opportunities/1286236" TargetMode="External"/><Relationship Id="rId23" Type="http://schemas.openxmlformats.org/officeDocument/2006/relationships/hyperlink" Target="https://expa.aiesec.org/opportunities/1287966" TargetMode="External"/><Relationship Id="rId26" Type="http://schemas.openxmlformats.org/officeDocument/2006/relationships/hyperlink" Target="https://expa.aiesec.org/opportunities/1272564" TargetMode="External"/><Relationship Id="rId25" Type="http://schemas.openxmlformats.org/officeDocument/2006/relationships/hyperlink" Target="https://expa.aiesec.org/opportunities/1287251" TargetMode="External"/><Relationship Id="rId28" Type="http://schemas.openxmlformats.org/officeDocument/2006/relationships/hyperlink" Target="https://expa.aiesec.org/opportunities/1287097" TargetMode="External"/><Relationship Id="rId27" Type="http://schemas.openxmlformats.org/officeDocument/2006/relationships/hyperlink" Target="https://expa.aiesec.org/opportunities/1287851" TargetMode="External"/><Relationship Id="rId29" Type="http://schemas.openxmlformats.org/officeDocument/2006/relationships/hyperlink" Target="https://expa.aiesec.org/opportunities/1287488" TargetMode="External"/><Relationship Id="rId11" Type="http://schemas.openxmlformats.org/officeDocument/2006/relationships/hyperlink" Target="https://expa.aiesec.org/opportunities/1287628" TargetMode="External"/><Relationship Id="rId10" Type="http://schemas.openxmlformats.org/officeDocument/2006/relationships/hyperlink" Target="https://expa.aiesec.org/opportunities/1287558" TargetMode="External"/><Relationship Id="rId13" Type="http://schemas.openxmlformats.org/officeDocument/2006/relationships/hyperlink" Target="https://expa.aiesec.org/opportunities/1284307" TargetMode="External"/><Relationship Id="rId12" Type="http://schemas.openxmlformats.org/officeDocument/2006/relationships/hyperlink" Target="https://expa.aiesec.org/opportunities/1287854" TargetMode="External"/><Relationship Id="rId15" Type="http://schemas.openxmlformats.org/officeDocument/2006/relationships/hyperlink" Target="https://expa.aiesec.org/opportunities/1287226" TargetMode="External"/><Relationship Id="rId14" Type="http://schemas.openxmlformats.org/officeDocument/2006/relationships/hyperlink" Target="https://expa.aiesec.org/opportunities/1287855" TargetMode="External"/><Relationship Id="rId17" Type="http://schemas.openxmlformats.org/officeDocument/2006/relationships/hyperlink" Target="https://expa.aiesec.org/opportunities/1283891" TargetMode="External"/><Relationship Id="rId16" Type="http://schemas.openxmlformats.org/officeDocument/2006/relationships/hyperlink" Target="https://expa.aiesec.org/opportunities/1286917" TargetMode="External"/><Relationship Id="rId19" Type="http://schemas.openxmlformats.org/officeDocument/2006/relationships/hyperlink" Target="https://expa.aiesec.org/opportunities/1282450" TargetMode="External"/><Relationship Id="rId18" Type="http://schemas.openxmlformats.org/officeDocument/2006/relationships/hyperlink" Target="https://expa.aiesec.org/opportunities/1285932" TargetMode="External"/><Relationship Id="rId84" Type="http://schemas.openxmlformats.org/officeDocument/2006/relationships/hyperlink" Target="https://expa.aiesec.org/opportunities/1287097" TargetMode="External"/><Relationship Id="rId1774" Type="http://schemas.openxmlformats.org/officeDocument/2006/relationships/hyperlink" Target="https://expa.aiesec.org/opportunities/1291252" TargetMode="External"/><Relationship Id="rId83" Type="http://schemas.openxmlformats.org/officeDocument/2006/relationships/hyperlink" Target="https://expa.aiesec.org/opportunities/1286326" TargetMode="External"/><Relationship Id="rId1775" Type="http://schemas.openxmlformats.org/officeDocument/2006/relationships/hyperlink" Target="https://expa.aiesec.org/opportunities/1288490" TargetMode="External"/><Relationship Id="rId86" Type="http://schemas.openxmlformats.org/officeDocument/2006/relationships/hyperlink" Target="https://expa.aiesec.org/opportunities/1288488" TargetMode="External"/><Relationship Id="rId1776" Type="http://schemas.openxmlformats.org/officeDocument/2006/relationships/hyperlink" Target="https://expa.aiesec.org/opportunities/1291252" TargetMode="External"/><Relationship Id="rId85" Type="http://schemas.openxmlformats.org/officeDocument/2006/relationships/hyperlink" Target="https://expa.aiesec.org/opportunities/1287925" TargetMode="External"/><Relationship Id="rId1777" Type="http://schemas.openxmlformats.org/officeDocument/2006/relationships/hyperlink" Target="https://expa.aiesec.org/opportunities/1301801" TargetMode="External"/><Relationship Id="rId88" Type="http://schemas.openxmlformats.org/officeDocument/2006/relationships/hyperlink" Target="https://expa.aiesec.org/opportunities/1287566" TargetMode="External"/><Relationship Id="rId1778" Type="http://schemas.openxmlformats.org/officeDocument/2006/relationships/hyperlink" Target="https://expa.aiesec.org/opportunities/1300326" TargetMode="External"/><Relationship Id="rId87" Type="http://schemas.openxmlformats.org/officeDocument/2006/relationships/hyperlink" Target="https://expa.aiesec.org/opportunities/1288488" TargetMode="External"/><Relationship Id="rId1779" Type="http://schemas.openxmlformats.org/officeDocument/2006/relationships/hyperlink" Target="https://expa.aiesec.org/opportunities/1287628" TargetMode="External"/><Relationship Id="rId89" Type="http://schemas.openxmlformats.org/officeDocument/2006/relationships/hyperlink" Target="https://expa.aiesec.org/opportunities/1287851" TargetMode="External"/><Relationship Id="rId80" Type="http://schemas.openxmlformats.org/officeDocument/2006/relationships/hyperlink" Target="https://expa.aiesec.org/opportunities/1287925" TargetMode="External"/><Relationship Id="rId82" Type="http://schemas.openxmlformats.org/officeDocument/2006/relationships/hyperlink" Target="https://expa.aiesec.org/opportunities/1283823" TargetMode="External"/><Relationship Id="rId81" Type="http://schemas.openxmlformats.org/officeDocument/2006/relationships/hyperlink" Target="https://expa.aiesec.org/opportunities/1285161" TargetMode="External"/><Relationship Id="rId1770" Type="http://schemas.openxmlformats.org/officeDocument/2006/relationships/hyperlink" Target="https://expa.aiesec.org/opportunities/1289347" TargetMode="External"/><Relationship Id="rId1771" Type="http://schemas.openxmlformats.org/officeDocument/2006/relationships/hyperlink" Target="https://expa.aiesec.org/opportunities/1284670" TargetMode="External"/><Relationship Id="rId1772" Type="http://schemas.openxmlformats.org/officeDocument/2006/relationships/hyperlink" Target="https://expa.aiesec.org/opportunities/1291252" TargetMode="External"/><Relationship Id="rId1773" Type="http://schemas.openxmlformats.org/officeDocument/2006/relationships/hyperlink" Target="https://expa.aiesec.org/opportunities/1296670" TargetMode="External"/><Relationship Id="rId73" Type="http://schemas.openxmlformats.org/officeDocument/2006/relationships/hyperlink" Target="https://expa.aiesec.org/opportunities/1287101" TargetMode="External"/><Relationship Id="rId1763" Type="http://schemas.openxmlformats.org/officeDocument/2006/relationships/hyperlink" Target="https://expa.aiesec.org/opportunities/1291336" TargetMode="External"/><Relationship Id="rId72" Type="http://schemas.openxmlformats.org/officeDocument/2006/relationships/hyperlink" Target="https://expa.aiesec.org/opportunities/1287181" TargetMode="External"/><Relationship Id="rId1764" Type="http://schemas.openxmlformats.org/officeDocument/2006/relationships/hyperlink" Target="https://expa.aiesec.org/opportunities/1283483" TargetMode="External"/><Relationship Id="rId75" Type="http://schemas.openxmlformats.org/officeDocument/2006/relationships/hyperlink" Target="https://expa.aiesec.org/opportunities/1288497" TargetMode="External"/><Relationship Id="rId1765" Type="http://schemas.openxmlformats.org/officeDocument/2006/relationships/hyperlink" Target="https://expa.aiesec.org/opportunities/1298102" TargetMode="External"/><Relationship Id="rId74" Type="http://schemas.openxmlformats.org/officeDocument/2006/relationships/hyperlink" Target="https://expa.aiesec.org/opportunities/1286034" TargetMode="External"/><Relationship Id="rId1766" Type="http://schemas.openxmlformats.org/officeDocument/2006/relationships/hyperlink" Target="https://expa.aiesec.org/opportunities/1294878" TargetMode="External"/><Relationship Id="rId77" Type="http://schemas.openxmlformats.org/officeDocument/2006/relationships/hyperlink" Target="https://expa.aiesec.org/opportunities/1287925" TargetMode="External"/><Relationship Id="rId1767" Type="http://schemas.openxmlformats.org/officeDocument/2006/relationships/hyperlink" Target="https://expa.aiesec.org/opportunities/1293417" TargetMode="External"/><Relationship Id="rId76" Type="http://schemas.openxmlformats.org/officeDocument/2006/relationships/hyperlink" Target="https://expa.aiesec.org/opportunities/1288497" TargetMode="External"/><Relationship Id="rId1768" Type="http://schemas.openxmlformats.org/officeDocument/2006/relationships/hyperlink" Target="https://expa.aiesec.org/opportunities/1287488" TargetMode="External"/><Relationship Id="rId79" Type="http://schemas.openxmlformats.org/officeDocument/2006/relationships/hyperlink" Target="https://expa.aiesec.org/opportunities/1272564" TargetMode="External"/><Relationship Id="rId1769" Type="http://schemas.openxmlformats.org/officeDocument/2006/relationships/hyperlink" Target="https://expa.aiesec.org/opportunities/1291252" TargetMode="External"/><Relationship Id="rId78" Type="http://schemas.openxmlformats.org/officeDocument/2006/relationships/hyperlink" Target="https://expa.aiesec.org/opportunities/1288713" TargetMode="External"/><Relationship Id="rId71" Type="http://schemas.openxmlformats.org/officeDocument/2006/relationships/hyperlink" Target="https://expa.aiesec.org/opportunities/1286344" TargetMode="External"/><Relationship Id="rId70" Type="http://schemas.openxmlformats.org/officeDocument/2006/relationships/hyperlink" Target="https://expa.aiesec.org/opportunities/1288497" TargetMode="External"/><Relationship Id="rId1760" Type="http://schemas.openxmlformats.org/officeDocument/2006/relationships/hyperlink" Target="https://expa.aiesec.org/opportunities/1289536" TargetMode="External"/><Relationship Id="rId1761" Type="http://schemas.openxmlformats.org/officeDocument/2006/relationships/hyperlink" Target="https://expa.aiesec.org/opportunities/1295260" TargetMode="External"/><Relationship Id="rId1762" Type="http://schemas.openxmlformats.org/officeDocument/2006/relationships/hyperlink" Target="https://expa.aiesec.org/opportunities/1291336" TargetMode="External"/><Relationship Id="rId62" Type="http://schemas.openxmlformats.org/officeDocument/2006/relationships/hyperlink" Target="https://expa.aiesec.org/opportunities/1288497" TargetMode="External"/><Relationship Id="rId1796" Type="http://schemas.openxmlformats.org/officeDocument/2006/relationships/hyperlink" Target="https://expa.aiesec.org/opportunities/1301801" TargetMode="External"/><Relationship Id="rId61" Type="http://schemas.openxmlformats.org/officeDocument/2006/relationships/hyperlink" Target="https://expa.aiesec.org/opportunities/1286326" TargetMode="External"/><Relationship Id="rId1797" Type="http://schemas.openxmlformats.org/officeDocument/2006/relationships/hyperlink" Target="https://expa.aiesec.org/opportunities/1291252" TargetMode="External"/><Relationship Id="rId64" Type="http://schemas.openxmlformats.org/officeDocument/2006/relationships/hyperlink" Target="https://expa.aiesec.org/opportunities/1287925" TargetMode="External"/><Relationship Id="rId1798" Type="http://schemas.openxmlformats.org/officeDocument/2006/relationships/hyperlink" Target="https://expa.aiesec.org/opportunities/1301902" TargetMode="External"/><Relationship Id="rId63" Type="http://schemas.openxmlformats.org/officeDocument/2006/relationships/hyperlink" Target="https://expa.aiesec.org/opportunities/1288279" TargetMode="External"/><Relationship Id="rId1799" Type="http://schemas.openxmlformats.org/officeDocument/2006/relationships/hyperlink" Target="https://expa.aiesec.org/opportunities/1301902" TargetMode="External"/><Relationship Id="rId66" Type="http://schemas.openxmlformats.org/officeDocument/2006/relationships/hyperlink" Target="https://expa.aiesec.org/opportunities/1288299" TargetMode="External"/><Relationship Id="rId65" Type="http://schemas.openxmlformats.org/officeDocument/2006/relationships/hyperlink" Target="https://expa.aiesec.org/opportunities/1286344" TargetMode="External"/><Relationship Id="rId68" Type="http://schemas.openxmlformats.org/officeDocument/2006/relationships/hyperlink" Target="https://expa.aiesec.org/opportunities/1283891" TargetMode="External"/><Relationship Id="rId67" Type="http://schemas.openxmlformats.org/officeDocument/2006/relationships/hyperlink" Target="https://expa.aiesec.org/opportunities/1283891" TargetMode="External"/><Relationship Id="rId60" Type="http://schemas.openxmlformats.org/officeDocument/2006/relationships/hyperlink" Target="https://expa.aiesec.org/opportunities/1287475" TargetMode="External"/><Relationship Id="rId69" Type="http://schemas.openxmlformats.org/officeDocument/2006/relationships/hyperlink" Target="https://expa.aiesec.org/opportunities/1288279" TargetMode="External"/><Relationship Id="rId1790" Type="http://schemas.openxmlformats.org/officeDocument/2006/relationships/hyperlink" Target="https://expa.aiesec.org/opportunities/1289536" TargetMode="External"/><Relationship Id="rId1791" Type="http://schemas.openxmlformats.org/officeDocument/2006/relationships/hyperlink" Target="https://expa.aiesec.org/opportunities/1287628" TargetMode="External"/><Relationship Id="rId1792" Type="http://schemas.openxmlformats.org/officeDocument/2006/relationships/hyperlink" Target="https://expa.aiesec.org/opportunities/1294622" TargetMode="External"/><Relationship Id="rId1793" Type="http://schemas.openxmlformats.org/officeDocument/2006/relationships/hyperlink" Target="https://expa.aiesec.org/opportunities/1281010" TargetMode="External"/><Relationship Id="rId1794" Type="http://schemas.openxmlformats.org/officeDocument/2006/relationships/hyperlink" Target="https://expa.aiesec.org/opportunities/1291252" TargetMode="External"/><Relationship Id="rId1795" Type="http://schemas.openxmlformats.org/officeDocument/2006/relationships/hyperlink" Target="https://expa.aiesec.org/opportunities/1291252" TargetMode="External"/><Relationship Id="rId51" Type="http://schemas.openxmlformats.org/officeDocument/2006/relationships/hyperlink" Target="https://expa.aiesec.org/opportunities/1287226" TargetMode="External"/><Relationship Id="rId1785" Type="http://schemas.openxmlformats.org/officeDocument/2006/relationships/hyperlink" Target="https://expa.aiesec.org/opportunities/1296670" TargetMode="External"/><Relationship Id="rId50" Type="http://schemas.openxmlformats.org/officeDocument/2006/relationships/hyperlink" Target="https://expa.aiesec.org/opportunities/1288279" TargetMode="External"/><Relationship Id="rId1786" Type="http://schemas.openxmlformats.org/officeDocument/2006/relationships/hyperlink" Target="https://expa.aiesec.org/opportunities/1298284" TargetMode="External"/><Relationship Id="rId53" Type="http://schemas.openxmlformats.org/officeDocument/2006/relationships/hyperlink" Target="https://expa.aiesec.org/opportunities/1287251" TargetMode="External"/><Relationship Id="rId1787" Type="http://schemas.openxmlformats.org/officeDocument/2006/relationships/hyperlink" Target="https://expa.aiesec.org/opportunities/1279126" TargetMode="External"/><Relationship Id="rId52" Type="http://schemas.openxmlformats.org/officeDocument/2006/relationships/hyperlink" Target="https://expa.aiesec.org/opportunities/1279516" TargetMode="External"/><Relationship Id="rId1788" Type="http://schemas.openxmlformats.org/officeDocument/2006/relationships/hyperlink" Target="https://expa.aiesec.org/opportunities/1298284" TargetMode="External"/><Relationship Id="rId55" Type="http://schemas.openxmlformats.org/officeDocument/2006/relationships/hyperlink" Target="https://expa.aiesec.org/opportunities/1272564" TargetMode="External"/><Relationship Id="rId1789" Type="http://schemas.openxmlformats.org/officeDocument/2006/relationships/hyperlink" Target="https://expa.aiesec.org/opportunities/1287628" TargetMode="External"/><Relationship Id="rId54" Type="http://schemas.openxmlformats.org/officeDocument/2006/relationships/hyperlink" Target="https://expa.aiesec.org/opportunities/1287181" TargetMode="External"/><Relationship Id="rId57" Type="http://schemas.openxmlformats.org/officeDocument/2006/relationships/hyperlink" Target="https://expa.aiesec.org/opportunities/1287137" TargetMode="External"/><Relationship Id="rId56" Type="http://schemas.openxmlformats.org/officeDocument/2006/relationships/hyperlink" Target="https://expa.aiesec.org/opportunities/1286326" TargetMode="External"/><Relationship Id="rId59" Type="http://schemas.openxmlformats.org/officeDocument/2006/relationships/hyperlink" Target="https://expa.aiesec.org/opportunities/1287181" TargetMode="External"/><Relationship Id="rId58" Type="http://schemas.openxmlformats.org/officeDocument/2006/relationships/hyperlink" Target="https://expa.aiesec.org/opportunities/1286344" TargetMode="External"/><Relationship Id="rId1780" Type="http://schemas.openxmlformats.org/officeDocument/2006/relationships/hyperlink" Target="https://expa.aiesec.org/opportunities/1279126" TargetMode="External"/><Relationship Id="rId1781" Type="http://schemas.openxmlformats.org/officeDocument/2006/relationships/hyperlink" Target="https://expa.aiesec.org/opportunities/1287628" TargetMode="External"/><Relationship Id="rId1782" Type="http://schemas.openxmlformats.org/officeDocument/2006/relationships/hyperlink" Target="https://expa.aiesec.org/opportunities/1279126" TargetMode="External"/><Relationship Id="rId1783" Type="http://schemas.openxmlformats.org/officeDocument/2006/relationships/hyperlink" Target="https://expa.aiesec.org/opportunities/1279126" TargetMode="External"/><Relationship Id="rId1784" Type="http://schemas.openxmlformats.org/officeDocument/2006/relationships/hyperlink" Target="https://expa.aiesec.org/opportunities/1289536" TargetMode="External"/><Relationship Id="rId349" Type="http://schemas.openxmlformats.org/officeDocument/2006/relationships/hyperlink" Target="https://expa.aiesec.org/opportunities/1287101" TargetMode="External"/><Relationship Id="rId348" Type="http://schemas.openxmlformats.org/officeDocument/2006/relationships/hyperlink" Target="https://expa.aiesec.org/opportunities/1284596" TargetMode="External"/><Relationship Id="rId347" Type="http://schemas.openxmlformats.org/officeDocument/2006/relationships/hyperlink" Target="https://expa.aiesec.org/opportunities/1289155" TargetMode="External"/><Relationship Id="rId346" Type="http://schemas.openxmlformats.org/officeDocument/2006/relationships/hyperlink" Target="https://expa.aiesec.org/opportunities/1288616" TargetMode="External"/><Relationship Id="rId341" Type="http://schemas.openxmlformats.org/officeDocument/2006/relationships/hyperlink" Target="https://expa.aiesec.org/opportunities/1284077" TargetMode="External"/><Relationship Id="rId340" Type="http://schemas.openxmlformats.org/officeDocument/2006/relationships/hyperlink" Target="https://expa.aiesec.org/opportunities/1280872" TargetMode="External"/><Relationship Id="rId345" Type="http://schemas.openxmlformats.org/officeDocument/2006/relationships/hyperlink" Target="https://expa.aiesec.org/opportunities/1288970" TargetMode="External"/><Relationship Id="rId344" Type="http://schemas.openxmlformats.org/officeDocument/2006/relationships/hyperlink" Target="https://expa.aiesec.org/opportunities/1290078" TargetMode="External"/><Relationship Id="rId343" Type="http://schemas.openxmlformats.org/officeDocument/2006/relationships/hyperlink" Target="https://expa.aiesec.org/opportunities/1272564" TargetMode="External"/><Relationship Id="rId342" Type="http://schemas.openxmlformats.org/officeDocument/2006/relationships/hyperlink" Target="https://expa.aiesec.org/opportunities/1286920" TargetMode="External"/><Relationship Id="rId338" Type="http://schemas.openxmlformats.org/officeDocument/2006/relationships/hyperlink" Target="https://expa.aiesec.org/opportunities/1272564" TargetMode="External"/><Relationship Id="rId337" Type="http://schemas.openxmlformats.org/officeDocument/2006/relationships/hyperlink" Target="https://expa.aiesec.org/opportunities/1279126" TargetMode="External"/><Relationship Id="rId336" Type="http://schemas.openxmlformats.org/officeDocument/2006/relationships/hyperlink" Target="https://expa.aiesec.org/opportunities/1289536" TargetMode="External"/><Relationship Id="rId335" Type="http://schemas.openxmlformats.org/officeDocument/2006/relationships/hyperlink" Target="https://expa.aiesec.org/opportunities/1288488" TargetMode="External"/><Relationship Id="rId339" Type="http://schemas.openxmlformats.org/officeDocument/2006/relationships/hyperlink" Target="https://expa.aiesec.org/opportunities/1289596" TargetMode="External"/><Relationship Id="rId330" Type="http://schemas.openxmlformats.org/officeDocument/2006/relationships/hyperlink" Target="https://expa.aiesec.org/opportunities/1289505" TargetMode="External"/><Relationship Id="rId334" Type="http://schemas.openxmlformats.org/officeDocument/2006/relationships/hyperlink" Target="https://expa.aiesec.org/opportunities/1288721" TargetMode="External"/><Relationship Id="rId333" Type="http://schemas.openxmlformats.org/officeDocument/2006/relationships/hyperlink" Target="https://expa.aiesec.org/opportunities/1286312" TargetMode="External"/><Relationship Id="rId332" Type="http://schemas.openxmlformats.org/officeDocument/2006/relationships/hyperlink" Target="https://expa.aiesec.org/opportunities/1289505" TargetMode="External"/><Relationship Id="rId331" Type="http://schemas.openxmlformats.org/officeDocument/2006/relationships/hyperlink" Target="https://expa.aiesec.org/opportunities/1289505" TargetMode="External"/><Relationship Id="rId370" Type="http://schemas.openxmlformats.org/officeDocument/2006/relationships/hyperlink" Target="https://expa.aiesec.org/opportunities/1272564" TargetMode="External"/><Relationship Id="rId369" Type="http://schemas.openxmlformats.org/officeDocument/2006/relationships/hyperlink" Target="https://expa.aiesec.org/opportunities/1284831" TargetMode="External"/><Relationship Id="rId368" Type="http://schemas.openxmlformats.org/officeDocument/2006/relationships/hyperlink" Target="https://expa.aiesec.org/opportunities/1288721" TargetMode="External"/><Relationship Id="rId363" Type="http://schemas.openxmlformats.org/officeDocument/2006/relationships/hyperlink" Target="https://expa.aiesec.org/opportunities/1288721" TargetMode="External"/><Relationship Id="rId362" Type="http://schemas.openxmlformats.org/officeDocument/2006/relationships/hyperlink" Target="https://expa.aiesec.org/opportunities/1272564" TargetMode="External"/><Relationship Id="rId361" Type="http://schemas.openxmlformats.org/officeDocument/2006/relationships/hyperlink" Target="https://expa.aiesec.org/opportunities/1289536" TargetMode="External"/><Relationship Id="rId360" Type="http://schemas.openxmlformats.org/officeDocument/2006/relationships/hyperlink" Target="https://expa.aiesec.org/opportunities/1289536" TargetMode="External"/><Relationship Id="rId367" Type="http://schemas.openxmlformats.org/officeDocument/2006/relationships/hyperlink" Target="https://expa.aiesec.org/opportunities/1279126" TargetMode="External"/><Relationship Id="rId366" Type="http://schemas.openxmlformats.org/officeDocument/2006/relationships/hyperlink" Target="https://expa.aiesec.org/opportunities/1289505" TargetMode="External"/><Relationship Id="rId365" Type="http://schemas.openxmlformats.org/officeDocument/2006/relationships/hyperlink" Target="https://expa.aiesec.org/opportunities/1289536" TargetMode="External"/><Relationship Id="rId364" Type="http://schemas.openxmlformats.org/officeDocument/2006/relationships/hyperlink" Target="https://expa.aiesec.org/opportunities/1272564" TargetMode="External"/><Relationship Id="rId95" Type="http://schemas.openxmlformats.org/officeDocument/2006/relationships/hyperlink" Target="https://expa.aiesec.org/opportunities/1288279" TargetMode="External"/><Relationship Id="rId94" Type="http://schemas.openxmlformats.org/officeDocument/2006/relationships/hyperlink" Target="https://expa.aiesec.org/opportunities/1288245" TargetMode="External"/><Relationship Id="rId97" Type="http://schemas.openxmlformats.org/officeDocument/2006/relationships/hyperlink" Target="https://expa.aiesec.org/opportunities/1288663" TargetMode="External"/><Relationship Id="rId96" Type="http://schemas.openxmlformats.org/officeDocument/2006/relationships/hyperlink" Target="https://expa.aiesec.org/opportunities/1272564" TargetMode="External"/><Relationship Id="rId99" Type="http://schemas.openxmlformats.org/officeDocument/2006/relationships/hyperlink" Target="https://expa.aiesec.org/opportunities/1287226" TargetMode="External"/><Relationship Id="rId98" Type="http://schemas.openxmlformats.org/officeDocument/2006/relationships/hyperlink" Target="https://expa.aiesec.org/opportunities/1283891" TargetMode="External"/><Relationship Id="rId91" Type="http://schemas.openxmlformats.org/officeDocument/2006/relationships/hyperlink" Target="https://expa.aiesec.org/opportunities/1272564" TargetMode="External"/><Relationship Id="rId90" Type="http://schemas.openxmlformats.org/officeDocument/2006/relationships/hyperlink" Target="https://expa.aiesec.org/opportunities/1287966" TargetMode="External"/><Relationship Id="rId93" Type="http://schemas.openxmlformats.org/officeDocument/2006/relationships/hyperlink" Target="https://expa.aiesec.org/opportunities/1287382" TargetMode="External"/><Relationship Id="rId92" Type="http://schemas.openxmlformats.org/officeDocument/2006/relationships/hyperlink" Target="https://expa.aiesec.org/opportunities/1288663" TargetMode="External"/><Relationship Id="rId359" Type="http://schemas.openxmlformats.org/officeDocument/2006/relationships/hyperlink" Target="https://expa.aiesec.org/opportunities/1279126" TargetMode="External"/><Relationship Id="rId358" Type="http://schemas.openxmlformats.org/officeDocument/2006/relationships/hyperlink" Target="https://expa.aiesec.org/opportunities/1279126" TargetMode="External"/><Relationship Id="rId357" Type="http://schemas.openxmlformats.org/officeDocument/2006/relationships/hyperlink" Target="https://expa.aiesec.org/opportunities/1289261" TargetMode="External"/><Relationship Id="rId352" Type="http://schemas.openxmlformats.org/officeDocument/2006/relationships/hyperlink" Target="https://expa.aiesec.org/opportunities/1272564" TargetMode="External"/><Relationship Id="rId351" Type="http://schemas.openxmlformats.org/officeDocument/2006/relationships/hyperlink" Target="https://expa.aiesec.org/opportunities/1284077" TargetMode="External"/><Relationship Id="rId350" Type="http://schemas.openxmlformats.org/officeDocument/2006/relationships/hyperlink" Target="https://expa.aiesec.org/opportunities/1289505" TargetMode="External"/><Relationship Id="rId356" Type="http://schemas.openxmlformats.org/officeDocument/2006/relationships/hyperlink" Target="https://expa.aiesec.org/opportunities/1289505" TargetMode="External"/><Relationship Id="rId355" Type="http://schemas.openxmlformats.org/officeDocument/2006/relationships/hyperlink" Target="https://expa.aiesec.org/opportunities/1288970" TargetMode="External"/><Relationship Id="rId354" Type="http://schemas.openxmlformats.org/officeDocument/2006/relationships/hyperlink" Target="https://expa.aiesec.org/opportunities/1285161" TargetMode="External"/><Relationship Id="rId353" Type="http://schemas.openxmlformats.org/officeDocument/2006/relationships/hyperlink" Target="https://expa.aiesec.org/opportunities/1288393" TargetMode="External"/><Relationship Id="rId305" Type="http://schemas.openxmlformats.org/officeDocument/2006/relationships/hyperlink" Target="https://expa.aiesec.org/opportunities/1285681" TargetMode="External"/><Relationship Id="rId304" Type="http://schemas.openxmlformats.org/officeDocument/2006/relationships/hyperlink" Target="https://expa.aiesec.org/opportunities/1285713" TargetMode="External"/><Relationship Id="rId303" Type="http://schemas.openxmlformats.org/officeDocument/2006/relationships/hyperlink" Target="https://expa.aiesec.org/opportunities/1290826" TargetMode="External"/><Relationship Id="rId302" Type="http://schemas.openxmlformats.org/officeDocument/2006/relationships/hyperlink" Target="https://expa.aiesec.org/opportunities/1288616" TargetMode="External"/><Relationship Id="rId309" Type="http://schemas.openxmlformats.org/officeDocument/2006/relationships/hyperlink" Target="https://expa.aiesec.org/opportunities/1288989" TargetMode="External"/><Relationship Id="rId308" Type="http://schemas.openxmlformats.org/officeDocument/2006/relationships/hyperlink" Target="https://expa.aiesec.org/opportunities/1284414" TargetMode="External"/><Relationship Id="rId307" Type="http://schemas.openxmlformats.org/officeDocument/2006/relationships/hyperlink" Target="https://expa.aiesec.org/opportunities/1286920" TargetMode="External"/><Relationship Id="rId306" Type="http://schemas.openxmlformats.org/officeDocument/2006/relationships/hyperlink" Target="https://expa.aiesec.org/opportunities/1287338" TargetMode="External"/><Relationship Id="rId301" Type="http://schemas.openxmlformats.org/officeDocument/2006/relationships/hyperlink" Target="https://expa.aiesec.org/opportunities/1281357" TargetMode="External"/><Relationship Id="rId300" Type="http://schemas.openxmlformats.org/officeDocument/2006/relationships/hyperlink" Target="https://expa.aiesec.org/opportunities/1289596" TargetMode="External"/><Relationship Id="rId327" Type="http://schemas.openxmlformats.org/officeDocument/2006/relationships/hyperlink" Target="https://expa.aiesec.org/opportunities/1289505" TargetMode="External"/><Relationship Id="rId326" Type="http://schemas.openxmlformats.org/officeDocument/2006/relationships/hyperlink" Target="https://expa.aiesec.org/opportunities/1288991" TargetMode="External"/><Relationship Id="rId325" Type="http://schemas.openxmlformats.org/officeDocument/2006/relationships/hyperlink" Target="https://expa.aiesec.org/opportunities/1288989" TargetMode="External"/><Relationship Id="rId324" Type="http://schemas.openxmlformats.org/officeDocument/2006/relationships/hyperlink" Target="https://expa.aiesec.org/opportunities/1279126" TargetMode="External"/><Relationship Id="rId329" Type="http://schemas.openxmlformats.org/officeDocument/2006/relationships/hyperlink" Target="https://expa.aiesec.org/opportunities/1289505" TargetMode="External"/><Relationship Id="rId328" Type="http://schemas.openxmlformats.org/officeDocument/2006/relationships/hyperlink" Target="https://expa.aiesec.org/opportunities/1286958" TargetMode="External"/><Relationship Id="rId323" Type="http://schemas.openxmlformats.org/officeDocument/2006/relationships/hyperlink" Target="https://expa.aiesec.org/opportunities/1289536" TargetMode="External"/><Relationship Id="rId322" Type="http://schemas.openxmlformats.org/officeDocument/2006/relationships/hyperlink" Target="https://expa.aiesec.org/opportunities/1288488" TargetMode="External"/><Relationship Id="rId321" Type="http://schemas.openxmlformats.org/officeDocument/2006/relationships/hyperlink" Target="https://expa.aiesec.org/opportunities/1284077" TargetMode="External"/><Relationship Id="rId320" Type="http://schemas.openxmlformats.org/officeDocument/2006/relationships/hyperlink" Target="https://expa.aiesec.org/opportunities/1279126" TargetMode="External"/><Relationship Id="rId316" Type="http://schemas.openxmlformats.org/officeDocument/2006/relationships/hyperlink" Target="https://expa.aiesec.org/opportunities/1286326" TargetMode="External"/><Relationship Id="rId315" Type="http://schemas.openxmlformats.org/officeDocument/2006/relationships/hyperlink" Target="https://expa.aiesec.org/opportunities/1272564" TargetMode="External"/><Relationship Id="rId314" Type="http://schemas.openxmlformats.org/officeDocument/2006/relationships/hyperlink" Target="https://expa.aiesec.org/opportunities/1286312" TargetMode="External"/><Relationship Id="rId313" Type="http://schemas.openxmlformats.org/officeDocument/2006/relationships/hyperlink" Target="https://expa.aiesec.org/opportunities/1285687" TargetMode="External"/><Relationship Id="rId319" Type="http://schemas.openxmlformats.org/officeDocument/2006/relationships/hyperlink" Target="https://expa.aiesec.org/opportunities/1288582" TargetMode="External"/><Relationship Id="rId318" Type="http://schemas.openxmlformats.org/officeDocument/2006/relationships/hyperlink" Target="https://expa.aiesec.org/opportunities/1289505" TargetMode="External"/><Relationship Id="rId317" Type="http://schemas.openxmlformats.org/officeDocument/2006/relationships/hyperlink" Target="https://expa.aiesec.org/opportunities/1279126" TargetMode="External"/><Relationship Id="rId312" Type="http://schemas.openxmlformats.org/officeDocument/2006/relationships/hyperlink" Target="https://expa.aiesec.org/opportunities/1285687" TargetMode="External"/><Relationship Id="rId311" Type="http://schemas.openxmlformats.org/officeDocument/2006/relationships/hyperlink" Target="https://expa.aiesec.org/opportunities/1289155" TargetMode="External"/><Relationship Id="rId310" Type="http://schemas.openxmlformats.org/officeDocument/2006/relationships/hyperlink" Target="https://expa.aiesec.org/opportunities/1290638" TargetMode="External"/><Relationship Id="rId297" Type="http://schemas.openxmlformats.org/officeDocument/2006/relationships/hyperlink" Target="https://expa.aiesec.org/opportunities/1272564" TargetMode="External"/><Relationship Id="rId296" Type="http://schemas.openxmlformats.org/officeDocument/2006/relationships/hyperlink" Target="https://expa.aiesec.org/opportunities/1272564" TargetMode="External"/><Relationship Id="rId295" Type="http://schemas.openxmlformats.org/officeDocument/2006/relationships/hyperlink" Target="https://expa.aiesec.org/opportunities/1280973" TargetMode="External"/><Relationship Id="rId294" Type="http://schemas.openxmlformats.org/officeDocument/2006/relationships/hyperlink" Target="https://expa.aiesec.org/opportunities/1288970" TargetMode="External"/><Relationship Id="rId299" Type="http://schemas.openxmlformats.org/officeDocument/2006/relationships/hyperlink" Target="https://expa.aiesec.org/opportunities/1284081" TargetMode="External"/><Relationship Id="rId298" Type="http://schemas.openxmlformats.org/officeDocument/2006/relationships/hyperlink" Target="https://expa.aiesec.org/opportunities/1289536" TargetMode="External"/><Relationship Id="rId271" Type="http://schemas.openxmlformats.org/officeDocument/2006/relationships/hyperlink" Target="https://expa.aiesec.org/opportunities/1284670" TargetMode="External"/><Relationship Id="rId270" Type="http://schemas.openxmlformats.org/officeDocument/2006/relationships/hyperlink" Target="https://expa.aiesec.org/opportunities/1289261" TargetMode="External"/><Relationship Id="rId269" Type="http://schemas.openxmlformats.org/officeDocument/2006/relationships/hyperlink" Target="https://expa.aiesec.org/opportunities/1285713" TargetMode="External"/><Relationship Id="rId264" Type="http://schemas.openxmlformats.org/officeDocument/2006/relationships/hyperlink" Target="https://expa.aiesec.org/opportunities/1289505" TargetMode="External"/><Relationship Id="rId263" Type="http://schemas.openxmlformats.org/officeDocument/2006/relationships/hyperlink" Target="https://expa.aiesec.org/opportunities/1289505" TargetMode="External"/><Relationship Id="rId262" Type="http://schemas.openxmlformats.org/officeDocument/2006/relationships/hyperlink" Target="https://expa.aiesec.org/opportunities/1288970" TargetMode="External"/><Relationship Id="rId261" Type="http://schemas.openxmlformats.org/officeDocument/2006/relationships/hyperlink" Target="https://expa.aiesec.org/opportunities/1284125" TargetMode="External"/><Relationship Id="rId268" Type="http://schemas.openxmlformats.org/officeDocument/2006/relationships/hyperlink" Target="https://expa.aiesec.org/opportunities/1286917" TargetMode="External"/><Relationship Id="rId267" Type="http://schemas.openxmlformats.org/officeDocument/2006/relationships/hyperlink" Target="https://expa.aiesec.org/opportunities/1286326" TargetMode="External"/><Relationship Id="rId266" Type="http://schemas.openxmlformats.org/officeDocument/2006/relationships/hyperlink" Target="https://expa.aiesec.org/opportunities/1284077" TargetMode="External"/><Relationship Id="rId265" Type="http://schemas.openxmlformats.org/officeDocument/2006/relationships/hyperlink" Target="https://expa.aiesec.org/opportunities/1289155" TargetMode="External"/><Relationship Id="rId260" Type="http://schemas.openxmlformats.org/officeDocument/2006/relationships/hyperlink" Target="https://expa.aiesec.org/opportunities/1289155" TargetMode="External"/><Relationship Id="rId259" Type="http://schemas.openxmlformats.org/officeDocument/2006/relationships/hyperlink" Target="https://expa.aiesec.org/opportunities/1289155" TargetMode="External"/><Relationship Id="rId258" Type="http://schemas.openxmlformats.org/officeDocument/2006/relationships/hyperlink" Target="https://expa.aiesec.org/opportunities/1284596" TargetMode="External"/><Relationship Id="rId253" Type="http://schemas.openxmlformats.org/officeDocument/2006/relationships/hyperlink" Target="https://expa.aiesec.org/opportunities/1284077" TargetMode="External"/><Relationship Id="rId252" Type="http://schemas.openxmlformats.org/officeDocument/2006/relationships/hyperlink" Target="https://expa.aiesec.org/opportunities/1283483" TargetMode="External"/><Relationship Id="rId251" Type="http://schemas.openxmlformats.org/officeDocument/2006/relationships/hyperlink" Target="https://expa.aiesec.org/opportunities/1288991" TargetMode="External"/><Relationship Id="rId250" Type="http://schemas.openxmlformats.org/officeDocument/2006/relationships/hyperlink" Target="https://expa.aiesec.org/opportunities/1284125" TargetMode="External"/><Relationship Id="rId257" Type="http://schemas.openxmlformats.org/officeDocument/2006/relationships/hyperlink" Target="https://expa.aiesec.org/opportunities/1284077" TargetMode="External"/><Relationship Id="rId256" Type="http://schemas.openxmlformats.org/officeDocument/2006/relationships/hyperlink" Target="https://expa.aiesec.org/opportunities/1290646" TargetMode="External"/><Relationship Id="rId255" Type="http://schemas.openxmlformats.org/officeDocument/2006/relationships/hyperlink" Target="https://expa.aiesec.org/opportunities/1286917" TargetMode="External"/><Relationship Id="rId254" Type="http://schemas.openxmlformats.org/officeDocument/2006/relationships/hyperlink" Target="https://expa.aiesec.org/opportunities/1288991" TargetMode="External"/><Relationship Id="rId293" Type="http://schemas.openxmlformats.org/officeDocument/2006/relationships/hyperlink" Target="https://expa.aiesec.org/opportunities/1287101" TargetMode="External"/><Relationship Id="rId292" Type="http://schemas.openxmlformats.org/officeDocument/2006/relationships/hyperlink" Target="https://expa.aiesec.org/opportunities/1290425" TargetMode="External"/><Relationship Id="rId291" Type="http://schemas.openxmlformats.org/officeDocument/2006/relationships/hyperlink" Target="https://expa.aiesec.org/opportunities/1286034" TargetMode="External"/><Relationship Id="rId290" Type="http://schemas.openxmlformats.org/officeDocument/2006/relationships/hyperlink" Target="https://expa.aiesec.org/opportunities/1286034" TargetMode="External"/><Relationship Id="rId286" Type="http://schemas.openxmlformats.org/officeDocument/2006/relationships/hyperlink" Target="https://expa.aiesec.org/opportunities/1283483" TargetMode="External"/><Relationship Id="rId285" Type="http://schemas.openxmlformats.org/officeDocument/2006/relationships/hyperlink" Target="https://expa.aiesec.org/opportunities/1288989" TargetMode="External"/><Relationship Id="rId284" Type="http://schemas.openxmlformats.org/officeDocument/2006/relationships/hyperlink" Target="https://expa.aiesec.org/opportunities/1284670" TargetMode="External"/><Relationship Id="rId283" Type="http://schemas.openxmlformats.org/officeDocument/2006/relationships/hyperlink" Target="https://expa.aiesec.org/opportunities/1272564" TargetMode="External"/><Relationship Id="rId289" Type="http://schemas.openxmlformats.org/officeDocument/2006/relationships/hyperlink" Target="https://expa.aiesec.org/opportunities/1288280" TargetMode="External"/><Relationship Id="rId288" Type="http://schemas.openxmlformats.org/officeDocument/2006/relationships/hyperlink" Target="https://expa.aiesec.org/opportunities/1287966" TargetMode="External"/><Relationship Id="rId287" Type="http://schemas.openxmlformats.org/officeDocument/2006/relationships/hyperlink" Target="https://expa.aiesec.org/opportunities/1284077" TargetMode="External"/><Relationship Id="rId282" Type="http://schemas.openxmlformats.org/officeDocument/2006/relationships/hyperlink" Target="https://expa.aiesec.org/opportunities/1279516" TargetMode="External"/><Relationship Id="rId281" Type="http://schemas.openxmlformats.org/officeDocument/2006/relationships/hyperlink" Target="https://expa.aiesec.org/opportunities/1288663" TargetMode="External"/><Relationship Id="rId280" Type="http://schemas.openxmlformats.org/officeDocument/2006/relationships/hyperlink" Target="https://expa.aiesec.org/opportunities/1290156" TargetMode="External"/><Relationship Id="rId275" Type="http://schemas.openxmlformats.org/officeDocument/2006/relationships/hyperlink" Target="https://expa.aiesec.org/opportunities/1284831" TargetMode="External"/><Relationship Id="rId274" Type="http://schemas.openxmlformats.org/officeDocument/2006/relationships/hyperlink" Target="https://expa.aiesec.org/opportunities/1288497" TargetMode="External"/><Relationship Id="rId273" Type="http://schemas.openxmlformats.org/officeDocument/2006/relationships/hyperlink" Target="https://expa.aiesec.org/opportunities/1290646" TargetMode="External"/><Relationship Id="rId272" Type="http://schemas.openxmlformats.org/officeDocument/2006/relationships/hyperlink" Target="https://expa.aiesec.org/opportunities/1289228" TargetMode="External"/><Relationship Id="rId279" Type="http://schemas.openxmlformats.org/officeDocument/2006/relationships/hyperlink" Target="https://expa.aiesec.org/opportunities/1287966" TargetMode="External"/><Relationship Id="rId278" Type="http://schemas.openxmlformats.org/officeDocument/2006/relationships/hyperlink" Target="https://expa.aiesec.org/opportunities/1284670" TargetMode="External"/><Relationship Id="rId277" Type="http://schemas.openxmlformats.org/officeDocument/2006/relationships/hyperlink" Target="https://expa.aiesec.org/opportunities/1286312" TargetMode="External"/><Relationship Id="rId276" Type="http://schemas.openxmlformats.org/officeDocument/2006/relationships/hyperlink" Target="https://expa.aiesec.org/opportunities/1289505" TargetMode="External"/><Relationship Id="rId1851" Type="http://schemas.openxmlformats.org/officeDocument/2006/relationships/hyperlink" Target="https://expa.aiesec.org/opportunities/1301834" TargetMode="External"/><Relationship Id="rId1852" Type="http://schemas.openxmlformats.org/officeDocument/2006/relationships/hyperlink" Target="https://expa.aiesec.org/opportunities/1281010" TargetMode="External"/><Relationship Id="rId1853" Type="http://schemas.openxmlformats.org/officeDocument/2006/relationships/hyperlink" Target="https://expa.aiesec.org/opportunities/1295893" TargetMode="External"/><Relationship Id="rId1854" Type="http://schemas.openxmlformats.org/officeDocument/2006/relationships/hyperlink" Target="https://expa.aiesec.org/opportunities/1303008" TargetMode="External"/><Relationship Id="rId1855" Type="http://schemas.openxmlformats.org/officeDocument/2006/relationships/hyperlink" Target="https://expa.aiesec.org/opportunities/1292535" TargetMode="External"/><Relationship Id="rId1856" Type="http://schemas.openxmlformats.org/officeDocument/2006/relationships/hyperlink" Target="https://expa.aiesec.org/opportunities/1300750" TargetMode="External"/><Relationship Id="rId1857" Type="http://schemas.openxmlformats.org/officeDocument/2006/relationships/hyperlink" Target="https://expa.aiesec.org/opportunities/1300558" TargetMode="External"/><Relationship Id="rId1858" Type="http://schemas.openxmlformats.org/officeDocument/2006/relationships/hyperlink" Target="https://expa.aiesec.org/opportunities/1303008" TargetMode="External"/><Relationship Id="rId1859" Type="http://schemas.openxmlformats.org/officeDocument/2006/relationships/hyperlink" Target="https://expa.aiesec.org/opportunities/1294795" TargetMode="External"/><Relationship Id="rId1850" Type="http://schemas.openxmlformats.org/officeDocument/2006/relationships/hyperlink" Target="https://expa.aiesec.org/opportunities/1303008" TargetMode="External"/><Relationship Id="rId1840" Type="http://schemas.openxmlformats.org/officeDocument/2006/relationships/hyperlink" Target="https://expa.aiesec.org/opportunities/1289536" TargetMode="External"/><Relationship Id="rId1841" Type="http://schemas.openxmlformats.org/officeDocument/2006/relationships/hyperlink" Target="https://expa.aiesec.org/opportunities/1287488" TargetMode="External"/><Relationship Id="rId1842" Type="http://schemas.openxmlformats.org/officeDocument/2006/relationships/hyperlink" Target="https://expa.aiesec.org/opportunities/1296105" TargetMode="External"/><Relationship Id="rId1843" Type="http://schemas.openxmlformats.org/officeDocument/2006/relationships/hyperlink" Target="https://expa.aiesec.org/opportunities/1294584" TargetMode="External"/><Relationship Id="rId1844" Type="http://schemas.openxmlformats.org/officeDocument/2006/relationships/hyperlink" Target="https://expa.aiesec.org/opportunities/1296101" TargetMode="External"/><Relationship Id="rId1845" Type="http://schemas.openxmlformats.org/officeDocument/2006/relationships/hyperlink" Target="https://expa.aiesec.org/opportunities/1296671" TargetMode="External"/><Relationship Id="rId1846" Type="http://schemas.openxmlformats.org/officeDocument/2006/relationships/hyperlink" Target="https://expa.aiesec.org/opportunities/1300558" TargetMode="External"/><Relationship Id="rId1847" Type="http://schemas.openxmlformats.org/officeDocument/2006/relationships/hyperlink" Target="https://expa.aiesec.org/opportunities/1300326" TargetMode="External"/><Relationship Id="rId1848" Type="http://schemas.openxmlformats.org/officeDocument/2006/relationships/hyperlink" Target="https://expa.aiesec.org/opportunities/1287488" TargetMode="External"/><Relationship Id="rId1849" Type="http://schemas.openxmlformats.org/officeDocument/2006/relationships/hyperlink" Target="https://expa.aiesec.org/opportunities/1293417" TargetMode="External"/><Relationship Id="rId1860" Type="http://schemas.openxmlformats.org/officeDocument/2006/relationships/drawing" Target="../drawings/drawing11.xml"/><Relationship Id="rId1810" Type="http://schemas.openxmlformats.org/officeDocument/2006/relationships/hyperlink" Target="https://expa.aiesec.org/opportunities/1295893" TargetMode="External"/><Relationship Id="rId1811" Type="http://schemas.openxmlformats.org/officeDocument/2006/relationships/hyperlink" Target="https://expa.aiesec.org/opportunities/1286326" TargetMode="External"/><Relationship Id="rId1812" Type="http://schemas.openxmlformats.org/officeDocument/2006/relationships/hyperlink" Target="https://expa.aiesec.org/opportunities/1300056" TargetMode="External"/><Relationship Id="rId1813" Type="http://schemas.openxmlformats.org/officeDocument/2006/relationships/hyperlink" Target="https://expa.aiesec.org/opportunities/1288970" TargetMode="External"/><Relationship Id="rId1814" Type="http://schemas.openxmlformats.org/officeDocument/2006/relationships/hyperlink" Target="https://expa.aiesec.org/opportunities/1281010" TargetMode="External"/><Relationship Id="rId1815" Type="http://schemas.openxmlformats.org/officeDocument/2006/relationships/hyperlink" Target="https://expa.aiesec.org/opportunities/1286920" TargetMode="External"/><Relationship Id="rId1816" Type="http://schemas.openxmlformats.org/officeDocument/2006/relationships/hyperlink" Target="https://expa.aiesec.org/opportunities/1281010" TargetMode="External"/><Relationship Id="rId1817" Type="http://schemas.openxmlformats.org/officeDocument/2006/relationships/hyperlink" Target="https://expa.aiesec.org/opportunities/1300841" TargetMode="External"/><Relationship Id="rId1818" Type="http://schemas.openxmlformats.org/officeDocument/2006/relationships/hyperlink" Target="https://expa.aiesec.org/opportunities/1300841" TargetMode="External"/><Relationship Id="rId1819" Type="http://schemas.openxmlformats.org/officeDocument/2006/relationships/hyperlink" Target="https://expa.aiesec.org/opportunities/1287488" TargetMode="External"/><Relationship Id="rId1800" Type="http://schemas.openxmlformats.org/officeDocument/2006/relationships/hyperlink" Target="https://expa.aiesec.org/opportunities/1301801" TargetMode="External"/><Relationship Id="rId1801" Type="http://schemas.openxmlformats.org/officeDocument/2006/relationships/hyperlink" Target="https://expa.aiesec.org/opportunities/1287628" TargetMode="External"/><Relationship Id="rId1802" Type="http://schemas.openxmlformats.org/officeDocument/2006/relationships/hyperlink" Target="https://expa.aiesec.org/opportunities/1289536" TargetMode="External"/><Relationship Id="rId1803" Type="http://schemas.openxmlformats.org/officeDocument/2006/relationships/hyperlink" Target="https://expa.aiesec.org/opportunities/1289536" TargetMode="External"/><Relationship Id="rId1804" Type="http://schemas.openxmlformats.org/officeDocument/2006/relationships/hyperlink" Target="https://expa.aiesec.org/opportunities/1300837" TargetMode="External"/><Relationship Id="rId1805" Type="http://schemas.openxmlformats.org/officeDocument/2006/relationships/hyperlink" Target="https://expa.aiesec.org/opportunities/1301556" TargetMode="External"/><Relationship Id="rId1806" Type="http://schemas.openxmlformats.org/officeDocument/2006/relationships/hyperlink" Target="https://expa.aiesec.org/opportunities/1296670" TargetMode="External"/><Relationship Id="rId1807" Type="http://schemas.openxmlformats.org/officeDocument/2006/relationships/hyperlink" Target="https://expa.aiesec.org/opportunities/1296670" TargetMode="External"/><Relationship Id="rId1808" Type="http://schemas.openxmlformats.org/officeDocument/2006/relationships/hyperlink" Target="https://expa.aiesec.org/opportunities/1298284" TargetMode="External"/><Relationship Id="rId1809" Type="http://schemas.openxmlformats.org/officeDocument/2006/relationships/hyperlink" Target="https://expa.aiesec.org/opportunities/1296671" TargetMode="External"/><Relationship Id="rId1830" Type="http://schemas.openxmlformats.org/officeDocument/2006/relationships/hyperlink" Target="https://expa.aiesec.org/opportunities/1296101" TargetMode="External"/><Relationship Id="rId1831" Type="http://schemas.openxmlformats.org/officeDocument/2006/relationships/hyperlink" Target="https://expa.aiesec.org/opportunities/1301902" TargetMode="External"/><Relationship Id="rId1832" Type="http://schemas.openxmlformats.org/officeDocument/2006/relationships/hyperlink" Target="https://expa.aiesec.org/opportunities/1296101" TargetMode="External"/><Relationship Id="rId1833" Type="http://schemas.openxmlformats.org/officeDocument/2006/relationships/hyperlink" Target="https://expa.aiesec.org/opportunities/1296105" TargetMode="External"/><Relationship Id="rId1834" Type="http://schemas.openxmlformats.org/officeDocument/2006/relationships/hyperlink" Target="https://expa.aiesec.org/opportunities/1300056" TargetMode="External"/><Relationship Id="rId1835" Type="http://schemas.openxmlformats.org/officeDocument/2006/relationships/hyperlink" Target="https://expa.aiesec.org/opportunities/1288970" TargetMode="External"/><Relationship Id="rId1836" Type="http://schemas.openxmlformats.org/officeDocument/2006/relationships/hyperlink" Target="https://expa.aiesec.org/opportunities/1300836" TargetMode="External"/><Relationship Id="rId1837" Type="http://schemas.openxmlformats.org/officeDocument/2006/relationships/hyperlink" Target="https://expa.aiesec.org/opportunities/1284081" TargetMode="External"/><Relationship Id="rId1838" Type="http://schemas.openxmlformats.org/officeDocument/2006/relationships/hyperlink" Target="https://expa.aiesec.org/opportunities/1294584" TargetMode="External"/><Relationship Id="rId1839" Type="http://schemas.openxmlformats.org/officeDocument/2006/relationships/hyperlink" Target="https://expa.aiesec.org/opportunities/1295745" TargetMode="External"/><Relationship Id="rId1820" Type="http://schemas.openxmlformats.org/officeDocument/2006/relationships/hyperlink" Target="https://expa.aiesec.org/opportunities/1279126" TargetMode="External"/><Relationship Id="rId1821" Type="http://schemas.openxmlformats.org/officeDocument/2006/relationships/hyperlink" Target="https://expa.aiesec.org/opportunities/1291252" TargetMode="External"/><Relationship Id="rId1822" Type="http://schemas.openxmlformats.org/officeDocument/2006/relationships/hyperlink" Target="https://expa.aiesec.org/opportunities/1279126" TargetMode="External"/><Relationship Id="rId1823" Type="http://schemas.openxmlformats.org/officeDocument/2006/relationships/hyperlink" Target="https://expa.aiesec.org/opportunities/1285161" TargetMode="External"/><Relationship Id="rId1824" Type="http://schemas.openxmlformats.org/officeDocument/2006/relationships/hyperlink" Target="https://expa.aiesec.org/opportunities/1286034" TargetMode="External"/><Relationship Id="rId1825" Type="http://schemas.openxmlformats.org/officeDocument/2006/relationships/hyperlink" Target="https://expa.aiesec.org/opportunities/1286236" TargetMode="External"/><Relationship Id="rId1826" Type="http://schemas.openxmlformats.org/officeDocument/2006/relationships/hyperlink" Target="https://expa.aiesec.org/opportunities/1293417" TargetMode="External"/><Relationship Id="rId1827" Type="http://schemas.openxmlformats.org/officeDocument/2006/relationships/hyperlink" Target="https://expa.aiesec.org/opportunities/1293417" TargetMode="External"/><Relationship Id="rId1828" Type="http://schemas.openxmlformats.org/officeDocument/2006/relationships/hyperlink" Target="https://expa.aiesec.org/opportunities/1293417" TargetMode="External"/><Relationship Id="rId1829" Type="http://schemas.openxmlformats.org/officeDocument/2006/relationships/hyperlink" Target="https://expa.aiesec.org/opportunities/1296101" TargetMode="External"/><Relationship Id="rId1059" Type="http://schemas.openxmlformats.org/officeDocument/2006/relationships/hyperlink" Target="https://expa.aiesec.org/opportunities/1295240" TargetMode="External"/><Relationship Id="rId228" Type="http://schemas.openxmlformats.org/officeDocument/2006/relationships/hyperlink" Target="https://expa.aiesec.org/opportunities/1288616" TargetMode="External"/><Relationship Id="rId227" Type="http://schemas.openxmlformats.org/officeDocument/2006/relationships/hyperlink" Target="https://expa.aiesec.org/opportunities/1272564" TargetMode="External"/><Relationship Id="rId226" Type="http://schemas.openxmlformats.org/officeDocument/2006/relationships/hyperlink" Target="https://expa.aiesec.org/opportunities/1289228" TargetMode="External"/><Relationship Id="rId225" Type="http://schemas.openxmlformats.org/officeDocument/2006/relationships/hyperlink" Target="https://expa.aiesec.org/opportunities/1289505" TargetMode="External"/><Relationship Id="rId229" Type="http://schemas.openxmlformats.org/officeDocument/2006/relationships/hyperlink" Target="https://expa.aiesec.org/opportunities/1288616" TargetMode="External"/><Relationship Id="rId1050" Type="http://schemas.openxmlformats.org/officeDocument/2006/relationships/hyperlink" Target="https://expa.aiesec.org/opportunities/1295404" TargetMode="External"/><Relationship Id="rId220" Type="http://schemas.openxmlformats.org/officeDocument/2006/relationships/hyperlink" Target="https://expa.aiesec.org/opportunities/1285687" TargetMode="External"/><Relationship Id="rId1051" Type="http://schemas.openxmlformats.org/officeDocument/2006/relationships/hyperlink" Target="https://expa.aiesec.org/opportunities/1294452" TargetMode="External"/><Relationship Id="rId1052" Type="http://schemas.openxmlformats.org/officeDocument/2006/relationships/hyperlink" Target="https://expa.aiesec.org/opportunities/1280973" TargetMode="External"/><Relationship Id="rId1053" Type="http://schemas.openxmlformats.org/officeDocument/2006/relationships/hyperlink" Target="https://expa.aiesec.org/opportunities/1284125" TargetMode="External"/><Relationship Id="rId1054" Type="http://schemas.openxmlformats.org/officeDocument/2006/relationships/hyperlink" Target="https://expa.aiesec.org/opportunities/1291427" TargetMode="External"/><Relationship Id="rId224" Type="http://schemas.openxmlformats.org/officeDocument/2006/relationships/hyperlink" Target="https://expa.aiesec.org/opportunities/1283483" TargetMode="External"/><Relationship Id="rId1055" Type="http://schemas.openxmlformats.org/officeDocument/2006/relationships/hyperlink" Target="https://expa.aiesec.org/opportunities/1284077" TargetMode="External"/><Relationship Id="rId223" Type="http://schemas.openxmlformats.org/officeDocument/2006/relationships/hyperlink" Target="https://expa.aiesec.org/opportunities/1288970" TargetMode="External"/><Relationship Id="rId1056" Type="http://schemas.openxmlformats.org/officeDocument/2006/relationships/hyperlink" Target="https://expa.aiesec.org/opportunities/1295459" TargetMode="External"/><Relationship Id="rId222" Type="http://schemas.openxmlformats.org/officeDocument/2006/relationships/hyperlink" Target="https://expa.aiesec.org/opportunities/1287226" TargetMode="External"/><Relationship Id="rId1057" Type="http://schemas.openxmlformats.org/officeDocument/2006/relationships/hyperlink" Target="https://expa.aiesec.org/opportunities/1295453" TargetMode="External"/><Relationship Id="rId221" Type="http://schemas.openxmlformats.org/officeDocument/2006/relationships/hyperlink" Target="https://expa.aiesec.org/opportunities/1288970" TargetMode="External"/><Relationship Id="rId1058" Type="http://schemas.openxmlformats.org/officeDocument/2006/relationships/hyperlink" Target="https://expa.aiesec.org/opportunities/1294372" TargetMode="External"/><Relationship Id="rId1048" Type="http://schemas.openxmlformats.org/officeDocument/2006/relationships/hyperlink" Target="https://expa.aiesec.org/opportunities/1296101" TargetMode="External"/><Relationship Id="rId1049" Type="http://schemas.openxmlformats.org/officeDocument/2006/relationships/hyperlink" Target="https://expa.aiesec.org/opportunities/1293726" TargetMode="External"/><Relationship Id="rId217" Type="http://schemas.openxmlformats.org/officeDocument/2006/relationships/hyperlink" Target="https://expa.aiesec.org/opportunities/1289228" TargetMode="External"/><Relationship Id="rId216" Type="http://schemas.openxmlformats.org/officeDocument/2006/relationships/hyperlink" Target="https://expa.aiesec.org/opportunities/1287101" TargetMode="External"/><Relationship Id="rId215" Type="http://schemas.openxmlformats.org/officeDocument/2006/relationships/hyperlink" Target="https://expa.aiesec.org/opportunities/1284596" TargetMode="External"/><Relationship Id="rId214" Type="http://schemas.openxmlformats.org/officeDocument/2006/relationships/hyperlink" Target="https://expa.aiesec.org/opportunities/1287855" TargetMode="External"/><Relationship Id="rId219" Type="http://schemas.openxmlformats.org/officeDocument/2006/relationships/hyperlink" Target="https://expa.aiesec.org/opportunities/1288970" TargetMode="External"/><Relationship Id="rId218" Type="http://schemas.openxmlformats.org/officeDocument/2006/relationships/hyperlink" Target="https://expa.aiesec.org/opportunities/1289596" TargetMode="External"/><Relationship Id="rId1040" Type="http://schemas.openxmlformats.org/officeDocument/2006/relationships/hyperlink" Target="https://expa.aiesec.org/opportunities/1287851" TargetMode="External"/><Relationship Id="rId1041" Type="http://schemas.openxmlformats.org/officeDocument/2006/relationships/hyperlink" Target="https://expa.aiesec.org/opportunities/1295830" TargetMode="External"/><Relationship Id="rId1042" Type="http://schemas.openxmlformats.org/officeDocument/2006/relationships/hyperlink" Target="https://expa.aiesec.org/opportunities/1295240" TargetMode="External"/><Relationship Id="rId1043" Type="http://schemas.openxmlformats.org/officeDocument/2006/relationships/hyperlink" Target="https://expa.aiesec.org/opportunities/1294452" TargetMode="External"/><Relationship Id="rId213" Type="http://schemas.openxmlformats.org/officeDocument/2006/relationships/hyperlink" Target="https://expa.aiesec.org/opportunities/1283483" TargetMode="External"/><Relationship Id="rId1044" Type="http://schemas.openxmlformats.org/officeDocument/2006/relationships/hyperlink" Target="https://expa.aiesec.org/opportunities/1279126" TargetMode="External"/><Relationship Id="rId212" Type="http://schemas.openxmlformats.org/officeDocument/2006/relationships/hyperlink" Target="https://expa.aiesec.org/opportunities/1288711" TargetMode="External"/><Relationship Id="rId1045" Type="http://schemas.openxmlformats.org/officeDocument/2006/relationships/hyperlink" Target="https://expa.aiesec.org/opportunities/1296115" TargetMode="External"/><Relationship Id="rId211" Type="http://schemas.openxmlformats.org/officeDocument/2006/relationships/hyperlink" Target="https://expa.aiesec.org/opportunities/1288711" TargetMode="External"/><Relationship Id="rId1046" Type="http://schemas.openxmlformats.org/officeDocument/2006/relationships/hyperlink" Target="https://expa.aiesec.org/opportunities/1294387" TargetMode="External"/><Relationship Id="rId210" Type="http://schemas.openxmlformats.org/officeDocument/2006/relationships/hyperlink" Target="https://expa.aiesec.org/opportunities/1288280" TargetMode="External"/><Relationship Id="rId1047" Type="http://schemas.openxmlformats.org/officeDocument/2006/relationships/hyperlink" Target="https://expa.aiesec.org/opportunities/1294372" TargetMode="External"/><Relationship Id="rId249" Type="http://schemas.openxmlformats.org/officeDocument/2006/relationships/hyperlink" Target="https://expa.aiesec.org/opportunities/1286326" TargetMode="External"/><Relationship Id="rId248" Type="http://schemas.openxmlformats.org/officeDocument/2006/relationships/hyperlink" Target="https://expa.aiesec.org/opportunities/1289155" TargetMode="External"/><Relationship Id="rId247" Type="http://schemas.openxmlformats.org/officeDocument/2006/relationships/hyperlink" Target="https://expa.aiesec.org/opportunities/1287488" TargetMode="External"/><Relationship Id="rId1070" Type="http://schemas.openxmlformats.org/officeDocument/2006/relationships/hyperlink" Target="https://expa.aiesec.org/opportunities/1291336" TargetMode="External"/><Relationship Id="rId1071" Type="http://schemas.openxmlformats.org/officeDocument/2006/relationships/hyperlink" Target="https://expa.aiesec.org/opportunities/1294972" TargetMode="External"/><Relationship Id="rId1072" Type="http://schemas.openxmlformats.org/officeDocument/2006/relationships/hyperlink" Target="https://expa.aiesec.org/opportunities/1288582" TargetMode="External"/><Relationship Id="rId242" Type="http://schemas.openxmlformats.org/officeDocument/2006/relationships/hyperlink" Target="https://expa.aiesec.org/opportunities/1290646" TargetMode="External"/><Relationship Id="rId1073" Type="http://schemas.openxmlformats.org/officeDocument/2006/relationships/hyperlink" Target="https://expa.aiesec.org/opportunities/1296101" TargetMode="External"/><Relationship Id="rId241" Type="http://schemas.openxmlformats.org/officeDocument/2006/relationships/hyperlink" Target="https://expa.aiesec.org/opportunities/1287855" TargetMode="External"/><Relationship Id="rId1074" Type="http://schemas.openxmlformats.org/officeDocument/2006/relationships/hyperlink" Target="https://expa.aiesec.org/opportunities/1296105" TargetMode="External"/><Relationship Id="rId240" Type="http://schemas.openxmlformats.org/officeDocument/2006/relationships/hyperlink" Target="https://expa.aiesec.org/opportunities/1287338" TargetMode="External"/><Relationship Id="rId1075" Type="http://schemas.openxmlformats.org/officeDocument/2006/relationships/hyperlink" Target="https://expa.aiesec.org/opportunities/1289100" TargetMode="External"/><Relationship Id="rId1076" Type="http://schemas.openxmlformats.org/officeDocument/2006/relationships/hyperlink" Target="https://expa.aiesec.org/opportunities/1295458" TargetMode="External"/><Relationship Id="rId246" Type="http://schemas.openxmlformats.org/officeDocument/2006/relationships/hyperlink" Target="https://expa.aiesec.org/opportunities/1286326" TargetMode="External"/><Relationship Id="rId1077" Type="http://schemas.openxmlformats.org/officeDocument/2006/relationships/hyperlink" Target="https://expa.aiesec.org/opportunities/1287380" TargetMode="External"/><Relationship Id="rId245" Type="http://schemas.openxmlformats.org/officeDocument/2006/relationships/hyperlink" Target="https://expa.aiesec.org/opportunities/1289155" TargetMode="External"/><Relationship Id="rId1078" Type="http://schemas.openxmlformats.org/officeDocument/2006/relationships/hyperlink" Target="https://expa.aiesec.org/opportunities/1294878" TargetMode="External"/><Relationship Id="rId244" Type="http://schemas.openxmlformats.org/officeDocument/2006/relationships/hyperlink" Target="https://expa.aiesec.org/opportunities/1287338" TargetMode="External"/><Relationship Id="rId1079" Type="http://schemas.openxmlformats.org/officeDocument/2006/relationships/hyperlink" Target="https://expa.aiesec.org/opportunities/1288611" TargetMode="External"/><Relationship Id="rId243" Type="http://schemas.openxmlformats.org/officeDocument/2006/relationships/hyperlink" Target="https://expa.aiesec.org/opportunities/1290646" TargetMode="External"/><Relationship Id="rId239" Type="http://schemas.openxmlformats.org/officeDocument/2006/relationships/hyperlink" Target="https://expa.aiesec.org/opportunities/1288393" TargetMode="External"/><Relationship Id="rId238" Type="http://schemas.openxmlformats.org/officeDocument/2006/relationships/hyperlink" Target="https://expa.aiesec.org/opportunities/1285690" TargetMode="External"/><Relationship Id="rId237" Type="http://schemas.openxmlformats.org/officeDocument/2006/relationships/hyperlink" Target="https://expa.aiesec.org/opportunities/1289505" TargetMode="External"/><Relationship Id="rId236" Type="http://schemas.openxmlformats.org/officeDocument/2006/relationships/hyperlink" Target="https://expa.aiesec.org/opportunities/1287445" TargetMode="External"/><Relationship Id="rId1060" Type="http://schemas.openxmlformats.org/officeDocument/2006/relationships/hyperlink" Target="https://expa.aiesec.org/opportunities/1294410" TargetMode="External"/><Relationship Id="rId1061" Type="http://schemas.openxmlformats.org/officeDocument/2006/relationships/hyperlink" Target="https://expa.aiesec.org/opportunities/1291336" TargetMode="External"/><Relationship Id="rId231" Type="http://schemas.openxmlformats.org/officeDocument/2006/relationships/hyperlink" Target="https://expa.aiesec.org/opportunities/1287855" TargetMode="External"/><Relationship Id="rId1062" Type="http://schemas.openxmlformats.org/officeDocument/2006/relationships/hyperlink" Target="https://expa.aiesec.org/opportunities/1292557" TargetMode="External"/><Relationship Id="rId230" Type="http://schemas.openxmlformats.org/officeDocument/2006/relationships/hyperlink" Target="https://expa.aiesec.org/opportunities/1288711" TargetMode="External"/><Relationship Id="rId1063" Type="http://schemas.openxmlformats.org/officeDocument/2006/relationships/hyperlink" Target="https://expa.aiesec.org/opportunities/1295572" TargetMode="External"/><Relationship Id="rId1064" Type="http://schemas.openxmlformats.org/officeDocument/2006/relationships/hyperlink" Target="https://expa.aiesec.org/opportunities/1291336" TargetMode="External"/><Relationship Id="rId1065" Type="http://schemas.openxmlformats.org/officeDocument/2006/relationships/hyperlink" Target="https://expa.aiesec.org/opportunities/1286920" TargetMode="External"/><Relationship Id="rId235" Type="http://schemas.openxmlformats.org/officeDocument/2006/relationships/hyperlink" Target="https://expa.aiesec.org/opportunities/1288497" TargetMode="External"/><Relationship Id="rId1066" Type="http://schemas.openxmlformats.org/officeDocument/2006/relationships/hyperlink" Target="https://expa.aiesec.org/opportunities/1296239" TargetMode="External"/><Relationship Id="rId234" Type="http://schemas.openxmlformats.org/officeDocument/2006/relationships/hyperlink" Target="https://expa.aiesec.org/opportunities/1284081" TargetMode="External"/><Relationship Id="rId1067" Type="http://schemas.openxmlformats.org/officeDocument/2006/relationships/hyperlink" Target="https://expa.aiesec.org/opportunities/1288989" TargetMode="External"/><Relationship Id="rId233" Type="http://schemas.openxmlformats.org/officeDocument/2006/relationships/hyperlink" Target="https://expa.aiesec.org/opportunities/1288711" TargetMode="External"/><Relationship Id="rId1068" Type="http://schemas.openxmlformats.org/officeDocument/2006/relationships/hyperlink" Target="https://expa.aiesec.org/opportunities/1295149" TargetMode="External"/><Relationship Id="rId232" Type="http://schemas.openxmlformats.org/officeDocument/2006/relationships/hyperlink" Target="https://expa.aiesec.org/opportunities/1287966" TargetMode="External"/><Relationship Id="rId1069" Type="http://schemas.openxmlformats.org/officeDocument/2006/relationships/hyperlink" Target="https://expa.aiesec.org/opportunities/1295575" TargetMode="External"/><Relationship Id="rId1015" Type="http://schemas.openxmlformats.org/officeDocument/2006/relationships/hyperlink" Target="https://expa.aiesec.org/opportunities/1294061" TargetMode="External"/><Relationship Id="rId1016" Type="http://schemas.openxmlformats.org/officeDocument/2006/relationships/hyperlink" Target="https://expa.aiesec.org/opportunities/1294061" TargetMode="External"/><Relationship Id="rId1017" Type="http://schemas.openxmlformats.org/officeDocument/2006/relationships/hyperlink" Target="https://expa.aiesec.org/opportunities/1289505" TargetMode="External"/><Relationship Id="rId1018" Type="http://schemas.openxmlformats.org/officeDocument/2006/relationships/hyperlink" Target="https://expa.aiesec.org/opportunities/1296037" TargetMode="External"/><Relationship Id="rId1019" Type="http://schemas.openxmlformats.org/officeDocument/2006/relationships/hyperlink" Target="https://expa.aiesec.org/opportunities/1289505" TargetMode="External"/><Relationship Id="rId1010" Type="http://schemas.openxmlformats.org/officeDocument/2006/relationships/hyperlink" Target="https://expa.aiesec.org/opportunities/1294878" TargetMode="External"/><Relationship Id="rId1011" Type="http://schemas.openxmlformats.org/officeDocument/2006/relationships/hyperlink" Target="https://expa.aiesec.org/opportunities/1295261" TargetMode="External"/><Relationship Id="rId1012" Type="http://schemas.openxmlformats.org/officeDocument/2006/relationships/hyperlink" Target="https://expa.aiesec.org/opportunities/1294452" TargetMode="External"/><Relationship Id="rId1013" Type="http://schemas.openxmlformats.org/officeDocument/2006/relationships/hyperlink" Target="https://expa.aiesec.org/opportunities/1284976" TargetMode="External"/><Relationship Id="rId1014" Type="http://schemas.openxmlformats.org/officeDocument/2006/relationships/hyperlink" Target="https://expa.aiesec.org/opportunities/1292773" TargetMode="External"/><Relationship Id="rId1004" Type="http://schemas.openxmlformats.org/officeDocument/2006/relationships/hyperlink" Target="https://expa.aiesec.org/opportunities/1295461" TargetMode="External"/><Relationship Id="rId1005" Type="http://schemas.openxmlformats.org/officeDocument/2006/relationships/hyperlink" Target="https://expa.aiesec.org/opportunities/1291252" TargetMode="External"/><Relationship Id="rId1006" Type="http://schemas.openxmlformats.org/officeDocument/2006/relationships/hyperlink" Target="https://expa.aiesec.org/opportunities/1293726" TargetMode="External"/><Relationship Id="rId1007" Type="http://schemas.openxmlformats.org/officeDocument/2006/relationships/hyperlink" Target="https://expa.aiesec.org/opportunities/1295404" TargetMode="External"/><Relationship Id="rId1008" Type="http://schemas.openxmlformats.org/officeDocument/2006/relationships/hyperlink" Target="https://expa.aiesec.org/opportunities/1288490" TargetMode="External"/><Relationship Id="rId1009" Type="http://schemas.openxmlformats.org/officeDocument/2006/relationships/hyperlink" Target="https://expa.aiesec.org/opportunities/1295459" TargetMode="External"/><Relationship Id="rId1000" Type="http://schemas.openxmlformats.org/officeDocument/2006/relationships/hyperlink" Target="https://expa.aiesec.org/opportunities/1289536" TargetMode="External"/><Relationship Id="rId1001" Type="http://schemas.openxmlformats.org/officeDocument/2006/relationships/hyperlink" Target="https://expa.aiesec.org/opportunities/1295461" TargetMode="External"/><Relationship Id="rId1002" Type="http://schemas.openxmlformats.org/officeDocument/2006/relationships/hyperlink" Target="https://expa.aiesec.org/opportunities/1296118" TargetMode="External"/><Relationship Id="rId1003" Type="http://schemas.openxmlformats.org/officeDocument/2006/relationships/hyperlink" Target="https://expa.aiesec.org/opportunities/1295458" TargetMode="External"/><Relationship Id="rId1037" Type="http://schemas.openxmlformats.org/officeDocument/2006/relationships/hyperlink" Target="https://expa.aiesec.org/opportunities/1295408" TargetMode="External"/><Relationship Id="rId1038" Type="http://schemas.openxmlformats.org/officeDocument/2006/relationships/hyperlink" Target="https://expa.aiesec.org/opportunities/1296101" TargetMode="External"/><Relationship Id="rId1039" Type="http://schemas.openxmlformats.org/officeDocument/2006/relationships/hyperlink" Target="https://expa.aiesec.org/opportunities/1295453" TargetMode="External"/><Relationship Id="rId206" Type="http://schemas.openxmlformats.org/officeDocument/2006/relationships/hyperlink" Target="https://expa.aiesec.org/opportunities/1287925" TargetMode="External"/><Relationship Id="rId205" Type="http://schemas.openxmlformats.org/officeDocument/2006/relationships/hyperlink" Target="https://expa.aiesec.org/opportunities/1288711" TargetMode="External"/><Relationship Id="rId204" Type="http://schemas.openxmlformats.org/officeDocument/2006/relationships/hyperlink" Target="https://expa.aiesec.org/opportunities/1288711" TargetMode="External"/><Relationship Id="rId203" Type="http://schemas.openxmlformats.org/officeDocument/2006/relationships/hyperlink" Target="https://expa.aiesec.org/opportunities/1288711" TargetMode="External"/><Relationship Id="rId209" Type="http://schemas.openxmlformats.org/officeDocument/2006/relationships/hyperlink" Target="https://expa.aiesec.org/opportunities/1288995" TargetMode="External"/><Relationship Id="rId208" Type="http://schemas.openxmlformats.org/officeDocument/2006/relationships/hyperlink" Target="https://expa.aiesec.org/opportunities/1285681" TargetMode="External"/><Relationship Id="rId207" Type="http://schemas.openxmlformats.org/officeDocument/2006/relationships/hyperlink" Target="https://expa.aiesec.org/opportunities/1289347" TargetMode="External"/><Relationship Id="rId1030" Type="http://schemas.openxmlformats.org/officeDocument/2006/relationships/hyperlink" Target="https://expa.aiesec.org/opportunities/1294452" TargetMode="External"/><Relationship Id="rId1031" Type="http://schemas.openxmlformats.org/officeDocument/2006/relationships/hyperlink" Target="https://expa.aiesec.org/opportunities/1295461" TargetMode="External"/><Relationship Id="rId1032" Type="http://schemas.openxmlformats.org/officeDocument/2006/relationships/hyperlink" Target="https://expa.aiesec.org/opportunities/1291427" TargetMode="External"/><Relationship Id="rId202" Type="http://schemas.openxmlformats.org/officeDocument/2006/relationships/hyperlink" Target="https://expa.aiesec.org/opportunities/1288970" TargetMode="External"/><Relationship Id="rId1033" Type="http://schemas.openxmlformats.org/officeDocument/2006/relationships/hyperlink" Target="https://expa.aiesec.org/opportunities/1295830" TargetMode="External"/><Relationship Id="rId201" Type="http://schemas.openxmlformats.org/officeDocument/2006/relationships/hyperlink" Target="https://expa.aiesec.org/opportunities/1289228" TargetMode="External"/><Relationship Id="rId1034" Type="http://schemas.openxmlformats.org/officeDocument/2006/relationships/hyperlink" Target="https://expa.aiesec.org/opportunities/1291252" TargetMode="External"/><Relationship Id="rId200" Type="http://schemas.openxmlformats.org/officeDocument/2006/relationships/hyperlink" Target="https://expa.aiesec.org/opportunities/1285687" TargetMode="External"/><Relationship Id="rId1035" Type="http://schemas.openxmlformats.org/officeDocument/2006/relationships/hyperlink" Target="https://expa.aiesec.org/opportunities/1295453" TargetMode="External"/><Relationship Id="rId1036" Type="http://schemas.openxmlformats.org/officeDocument/2006/relationships/hyperlink" Target="https://expa.aiesec.org/opportunities/1283483" TargetMode="External"/><Relationship Id="rId1026" Type="http://schemas.openxmlformats.org/officeDocument/2006/relationships/hyperlink" Target="https://expa.aiesec.org/opportunities/1296037" TargetMode="External"/><Relationship Id="rId1027" Type="http://schemas.openxmlformats.org/officeDocument/2006/relationships/hyperlink" Target="https://expa.aiesec.org/opportunities/1295572" TargetMode="External"/><Relationship Id="rId1028" Type="http://schemas.openxmlformats.org/officeDocument/2006/relationships/hyperlink" Target="https://expa.aiesec.org/opportunities/1294651" TargetMode="External"/><Relationship Id="rId1029" Type="http://schemas.openxmlformats.org/officeDocument/2006/relationships/hyperlink" Target="https://expa.aiesec.org/opportunities/1295459" TargetMode="External"/><Relationship Id="rId1020" Type="http://schemas.openxmlformats.org/officeDocument/2006/relationships/hyperlink" Target="https://expa.aiesec.org/opportunities/1296037" TargetMode="External"/><Relationship Id="rId1021" Type="http://schemas.openxmlformats.org/officeDocument/2006/relationships/hyperlink" Target="https://expa.aiesec.org/opportunities/1289228" TargetMode="External"/><Relationship Id="rId1022" Type="http://schemas.openxmlformats.org/officeDocument/2006/relationships/hyperlink" Target="https://expa.aiesec.org/opportunities/1287851" TargetMode="External"/><Relationship Id="rId1023" Type="http://schemas.openxmlformats.org/officeDocument/2006/relationships/hyperlink" Target="https://expa.aiesec.org/opportunities/1295404" TargetMode="External"/><Relationship Id="rId1024" Type="http://schemas.openxmlformats.org/officeDocument/2006/relationships/hyperlink" Target="https://expa.aiesec.org/opportunities/1295453" TargetMode="External"/><Relationship Id="rId1025" Type="http://schemas.openxmlformats.org/officeDocument/2006/relationships/hyperlink" Target="https://expa.aiesec.org/opportunities/1291252" TargetMode="External"/><Relationship Id="rId1090" Type="http://schemas.openxmlformats.org/officeDocument/2006/relationships/hyperlink" Target="https://expa.aiesec.org/opportunities/1284976" TargetMode="External"/><Relationship Id="rId1091" Type="http://schemas.openxmlformats.org/officeDocument/2006/relationships/hyperlink" Target="https://expa.aiesec.org/opportunities/1289100" TargetMode="External"/><Relationship Id="rId1092" Type="http://schemas.openxmlformats.org/officeDocument/2006/relationships/hyperlink" Target="https://expa.aiesec.org/opportunities/1295002" TargetMode="External"/><Relationship Id="rId1093" Type="http://schemas.openxmlformats.org/officeDocument/2006/relationships/hyperlink" Target="https://expa.aiesec.org/opportunities/1296101" TargetMode="External"/><Relationship Id="rId1094" Type="http://schemas.openxmlformats.org/officeDocument/2006/relationships/hyperlink" Target="https://expa.aiesec.org/opportunities/1295149" TargetMode="External"/><Relationship Id="rId1095" Type="http://schemas.openxmlformats.org/officeDocument/2006/relationships/hyperlink" Target="https://expa.aiesec.org/opportunities/1289505" TargetMode="External"/><Relationship Id="rId1096" Type="http://schemas.openxmlformats.org/officeDocument/2006/relationships/hyperlink" Target="https://expa.aiesec.org/opportunities/1295893" TargetMode="External"/><Relationship Id="rId1097" Type="http://schemas.openxmlformats.org/officeDocument/2006/relationships/hyperlink" Target="https://expa.aiesec.org/opportunities/1295240" TargetMode="External"/><Relationship Id="rId1098" Type="http://schemas.openxmlformats.org/officeDocument/2006/relationships/hyperlink" Target="https://expa.aiesec.org/opportunities/1295830" TargetMode="External"/><Relationship Id="rId1099" Type="http://schemas.openxmlformats.org/officeDocument/2006/relationships/hyperlink" Target="https://expa.aiesec.org/opportunities/1289505" TargetMode="External"/><Relationship Id="rId1080" Type="http://schemas.openxmlformats.org/officeDocument/2006/relationships/hyperlink" Target="https://expa.aiesec.org/opportunities/1280872" TargetMode="External"/><Relationship Id="rId1081" Type="http://schemas.openxmlformats.org/officeDocument/2006/relationships/hyperlink" Target="https://expa.aiesec.org/opportunities/1295461" TargetMode="External"/><Relationship Id="rId1082" Type="http://schemas.openxmlformats.org/officeDocument/2006/relationships/hyperlink" Target="https://expa.aiesec.org/opportunities/1295002" TargetMode="External"/><Relationship Id="rId1083" Type="http://schemas.openxmlformats.org/officeDocument/2006/relationships/hyperlink" Target="https://expa.aiesec.org/opportunities/1294372" TargetMode="External"/><Relationship Id="rId1084" Type="http://schemas.openxmlformats.org/officeDocument/2006/relationships/hyperlink" Target="https://expa.aiesec.org/opportunities/1294877" TargetMode="External"/><Relationship Id="rId1085" Type="http://schemas.openxmlformats.org/officeDocument/2006/relationships/hyperlink" Target="https://expa.aiesec.org/opportunities/1296118" TargetMode="External"/><Relationship Id="rId1086" Type="http://schemas.openxmlformats.org/officeDocument/2006/relationships/hyperlink" Target="https://expa.aiesec.org/opportunities/1294622" TargetMode="External"/><Relationship Id="rId1087" Type="http://schemas.openxmlformats.org/officeDocument/2006/relationships/hyperlink" Target="https://expa.aiesec.org/opportunities/1295572" TargetMode="External"/><Relationship Id="rId1088" Type="http://schemas.openxmlformats.org/officeDocument/2006/relationships/hyperlink" Target="https://expa.aiesec.org/opportunities/1295240" TargetMode="External"/><Relationship Id="rId1089" Type="http://schemas.openxmlformats.org/officeDocument/2006/relationships/hyperlink" Target="https://expa.aiesec.org/opportunities/1296103" TargetMode="External"/><Relationship Id="rId509" Type="http://schemas.openxmlformats.org/officeDocument/2006/relationships/hyperlink" Target="https://expa.aiesec.org/opportunities/1291254" TargetMode="External"/><Relationship Id="rId508" Type="http://schemas.openxmlformats.org/officeDocument/2006/relationships/hyperlink" Target="https://expa.aiesec.org/opportunities/1288611" TargetMode="External"/><Relationship Id="rId503" Type="http://schemas.openxmlformats.org/officeDocument/2006/relationships/hyperlink" Target="https://expa.aiesec.org/opportunities/1292535" TargetMode="External"/><Relationship Id="rId502" Type="http://schemas.openxmlformats.org/officeDocument/2006/relationships/hyperlink" Target="https://expa.aiesec.org/opportunities/1292535" TargetMode="External"/><Relationship Id="rId501" Type="http://schemas.openxmlformats.org/officeDocument/2006/relationships/hyperlink" Target="https://expa.aiesec.org/opportunities/1291929" TargetMode="External"/><Relationship Id="rId500" Type="http://schemas.openxmlformats.org/officeDocument/2006/relationships/hyperlink" Target="https://expa.aiesec.org/opportunities/1291929" TargetMode="External"/><Relationship Id="rId507" Type="http://schemas.openxmlformats.org/officeDocument/2006/relationships/hyperlink" Target="https://expa.aiesec.org/opportunities/1292557" TargetMode="External"/><Relationship Id="rId506" Type="http://schemas.openxmlformats.org/officeDocument/2006/relationships/hyperlink" Target="https://expa.aiesec.org/opportunities/1291304" TargetMode="External"/><Relationship Id="rId505" Type="http://schemas.openxmlformats.org/officeDocument/2006/relationships/hyperlink" Target="https://expa.aiesec.org/opportunities/1272564" TargetMode="External"/><Relationship Id="rId504" Type="http://schemas.openxmlformats.org/officeDocument/2006/relationships/hyperlink" Target="https://expa.aiesec.org/opportunities/1290826" TargetMode="External"/><Relationship Id="rId1114" Type="http://schemas.openxmlformats.org/officeDocument/2006/relationships/hyperlink" Target="https://expa.aiesec.org/opportunities/1295453" TargetMode="External"/><Relationship Id="rId1115" Type="http://schemas.openxmlformats.org/officeDocument/2006/relationships/hyperlink" Target="https://expa.aiesec.org/opportunities/1296105" TargetMode="External"/><Relationship Id="rId1116" Type="http://schemas.openxmlformats.org/officeDocument/2006/relationships/hyperlink" Target="https://expa.aiesec.org/opportunities/1287380" TargetMode="External"/><Relationship Id="rId1117" Type="http://schemas.openxmlformats.org/officeDocument/2006/relationships/hyperlink" Target="https://expa.aiesec.org/opportunities/1295149" TargetMode="External"/><Relationship Id="rId1118" Type="http://schemas.openxmlformats.org/officeDocument/2006/relationships/hyperlink" Target="https://expa.aiesec.org/opportunities/1295572" TargetMode="External"/><Relationship Id="rId1119" Type="http://schemas.openxmlformats.org/officeDocument/2006/relationships/hyperlink" Target="https://expa.aiesec.org/opportunities/1279126" TargetMode="External"/><Relationship Id="rId525" Type="http://schemas.openxmlformats.org/officeDocument/2006/relationships/hyperlink" Target="https://expa.aiesec.org/opportunities/1290826" TargetMode="External"/><Relationship Id="rId524" Type="http://schemas.openxmlformats.org/officeDocument/2006/relationships/hyperlink" Target="https://expa.aiesec.org/opportunities/1291929" TargetMode="External"/><Relationship Id="rId523" Type="http://schemas.openxmlformats.org/officeDocument/2006/relationships/hyperlink" Target="https://expa.aiesec.org/opportunities/1281010" TargetMode="External"/><Relationship Id="rId522" Type="http://schemas.openxmlformats.org/officeDocument/2006/relationships/hyperlink" Target="https://expa.aiesec.org/opportunities/1292535" TargetMode="External"/><Relationship Id="rId529" Type="http://schemas.openxmlformats.org/officeDocument/2006/relationships/hyperlink" Target="https://expa.aiesec.org/opportunities/1292535" TargetMode="External"/><Relationship Id="rId528" Type="http://schemas.openxmlformats.org/officeDocument/2006/relationships/hyperlink" Target="https://expa.aiesec.org/opportunities/1291929" TargetMode="External"/><Relationship Id="rId527" Type="http://schemas.openxmlformats.org/officeDocument/2006/relationships/hyperlink" Target="https://expa.aiesec.org/opportunities/1287101" TargetMode="External"/><Relationship Id="rId526" Type="http://schemas.openxmlformats.org/officeDocument/2006/relationships/hyperlink" Target="https://expa.aiesec.org/opportunities/1289228" TargetMode="External"/><Relationship Id="rId521" Type="http://schemas.openxmlformats.org/officeDocument/2006/relationships/hyperlink" Target="https://expa.aiesec.org/opportunities/1284976" TargetMode="External"/><Relationship Id="rId1110" Type="http://schemas.openxmlformats.org/officeDocument/2006/relationships/hyperlink" Target="https://expa.aiesec.org/opportunities/1281010" TargetMode="External"/><Relationship Id="rId520" Type="http://schemas.openxmlformats.org/officeDocument/2006/relationships/hyperlink" Target="https://expa.aiesec.org/opportunities/1272564" TargetMode="External"/><Relationship Id="rId1111" Type="http://schemas.openxmlformats.org/officeDocument/2006/relationships/hyperlink" Target="https://expa.aiesec.org/opportunities/1294452" TargetMode="External"/><Relationship Id="rId1112" Type="http://schemas.openxmlformats.org/officeDocument/2006/relationships/hyperlink" Target="https://expa.aiesec.org/opportunities/1296453" TargetMode="External"/><Relationship Id="rId1113" Type="http://schemas.openxmlformats.org/officeDocument/2006/relationships/hyperlink" Target="https://expa.aiesec.org/opportunities/1295453" TargetMode="External"/><Relationship Id="rId1103" Type="http://schemas.openxmlformats.org/officeDocument/2006/relationships/hyperlink" Target="https://expa.aiesec.org/opportunities/1295830" TargetMode="External"/><Relationship Id="rId1104" Type="http://schemas.openxmlformats.org/officeDocument/2006/relationships/hyperlink" Target="https://expa.aiesec.org/opportunities/1296118" TargetMode="External"/><Relationship Id="rId1105" Type="http://schemas.openxmlformats.org/officeDocument/2006/relationships/hyperlink" Target="https://expa.aiesec.org/opportunities/1289505" TargetMode="External"/><Relationship Id="rId1106" Type="http://schemas.openxmlformats.org/officeDocument/2006/relationships/hyperlink" Target="https://expa.aiesec.org/opportunities/1296103" TargetMode="External"/><Relationship Id="rId1107" Type="http://schemas.openxmlformats.org/officeDocument/2006/relationships/hyperlink" Target="https://expa.aiesec.org/opportunities/1288989" TargetMode="External"/><Relationship Id="rId1108" Type="http://schemas.openxmlformats.org/officeDocument/2006/relationships/hyperlink" Target="https://expa.aiesec.org/opportunities/1286920" TargetMode="External"/><Relationship Id="rId1109" Type="http://schemas.openxmlformats.org/officeDocument/2006/relationships/hyperlink" Target="https://expa.aiesec.org/opportunities/1292962" TargetMode="External"/><Relationship Id="rId519" Type="http://schemas.openxmlformats.org/officeDocument/2006/relationships/hyperlink" Target="https://expa.aiesec.org/opportunities/1287851" TargetMode="External"/><Relationship Id="rId514" Type="http://schemas.openxmlformats.org/officeDocument/2006/relationships/hyperlink" Target="https://expa.aiesec.org/opportunities/1287851" TargetMode="External"/><Relationship Id="rId513" Type="http://schemas.openxmlformats.org/officeDocument/2006/relationships/hyperlink" Target="https://expa.aiesec.org/opportunities/1290826" TargetMode="External"/><Relationship Id="rId512" Type="http://schemas.openxmlformats.org/officeDocument/2006/relationships/hyperlink" Target="https://expa.aiesec.org/opportunities/1292557" TargetMode="External"/><Relationship Id="rId511" Type="http://schemas.openxmlformats.org/officeDocument/2006/relationships/hyperlink" Target="https://expa.aiesec.org/opportunities/1292557" TargetMode="External"/><Relationship Id="rId518" Type="http://schemas.openxmlformats.org/officeDocument/2006/relationships/hyperlink" Target="https://expa.aiesec.org/opportunities/1288611" TargetMode="External"/><Relationship Id="rId517" Type="http://schemas.openxmlformats.org/officeDocument/2006/relationships/hyperlink" Target="https://expa.aiesec.org/opportunities/1291254" TargetMode="External"/><Relationship Id="rId516" Type="http://schemas.openxmlformats.org/officeDocument/2006/relationships/hyperlink" Target="https://expa.aiesec.org/opportunities/1291254" TargetMode="External"/><Relationship Id="rId515" Type="http://schemas.openxmlformats.org/officeDocument/2006/relationships/hyperlink" Target="https://expa.aiesec.org/opportunities/1290826" TargetMode="External"/><Relationship Id="rId510" Type="http://schemas.openxmlformats.org/officeDocument/2006/relationships/hyperlink" Target="https://expa.aiesec.org/opportunities/1291881" TargetMode="External"/><Relationship Id="rId1100" Type="http://schemas.openxmlformats.org/officeDocument/2006/relationships/hyperlink" Target="https://expa.aiesec.org/opportunities/1284670" TargetMode="External"/><Relationship Id="rId1101" Type="http://schemas.openxmlformats.org/officeDocument/2006/relationships/hyperlink" Target="https://expa.aiesec.org/opportunities/1294452" TargetMode="External"/><Relationship Id="rId1102" Type="http://schemas.openxmlformats.org/officeDocument/2006/relationships/hyperlink" Target="https://expa.aiesec.org/opportunities/1294877" TargetMode="External"/><Relationship Id="rId590" Type="http://schemas.openxmlformats.org/officeDocument/2006/relationships/hyperlink" Target="https://expa.aiesec.org/opportunities/1286920" TargetMode="External"/><Relationship Id="rId589" Type="http://schemas.openxmlformats.org/officeDocument/2006/relationships/hyperlink" Target="https://expa.aiesec.org/opportunities/1289536" TargetMode="External"/><Relationship Id="rId588" Type="http://schemas.openxmlformats.org/officeDocument/2006/relationships/hyperlink" Target="https://expa.aiesec.org/opportunities/1287662" TargetMode="External"/><Relationship Id="rId1170" Type="http://schemas.openxmlformats.org/officeDocument/2006/relationships/hyperlink" Target="https://expa.aiesec.org/opportunities/1295149" TargetMode="External"/><Relationship Id="rId1171" Type="http://schemas.openxmlformats.org/officeDocument/2006/relationships/hyperlink" Target="https://expa.aiesec.org/opportunities/1283683" TargetMode="External"/><Relationship Id="rId583" Type="http://schemas.openxmlformats.org/officeDocument/2006/relationships/hyperlink" Target="https://expa.aiesec.org/opportunities/1292793" TargetMode="External"/><Relationship Id="rId1172" Type="http://schemas.openxmlformats.org/officeDocument/2006/relationships/hyperlink" Target="https://expa.aiesec.org/opportunities/1289505" TargetMode="External"/><Relationship Id="rId582" Type="http://schemas.openxmlformats.org/officeDocument/2006/relationships/hyperlink" Target="https://expa.aiesec.org/opportunities/1288721" TargetMode="External"/><Relationship Id="rId1173" Type="http://schemas.openxmlformats.org/officeDocument/2006/relationships/hyperlink" Target="https://expa.aiesec.org/opportunities/1287488" TargetMode="External"/><Relationship Id="rId581" Type="http://schemas.openxmlformats.org/officeDocument/2006/relationships/hyperlink" Target="https://expa.aiesec.org/opportunities/1293495" TargetMode="External"/><Relationship Id="rId1174" Type="http://schemas.openxmlformats.org/officeDocument/2006/relationships/hyperlink" Target="https://expa.aiesec.org/opportunities/1294976" TargetMode="External"/><Relationship Id="rId580" Type="http://schemas.openxmlformats.org/officeDocument/2006/relationships/hyperlink" Target="https://expa.aiesec.org/opportunities/1288245" TargetMode="External"/><Relationship Id="rId1175" Type="http://schemas.openxmlformats.org/officeDocument/2006/relationships/hyperlink" Target="https://expa.aiesec.org/opportunities/1296118" TargetMode="External"/><Relationship Id="rId587" Type="http://schemas.openxmlformats.org/officeDocument/2006/relationships/hyperlink" Target="https://expa.aiesec.org/opportunities/1288721" TargetMode="External"/><Relationship Id="rId1176" Type="http://schemas.openxmlformats.org/officeDocument/2006/relationships/hyperlink" Target="https://expa.aiesec.org/opportunities/1288393" TargetMode="External"/><Relationship Id="rId586" Type="http://schemas.openxmlformats.org/officeDocument/2006/relationships/hyperlink" Target="https://expa.aiesec.org/opportunities/1287101" TargetMode="External"/><Relationship Id="rId1177" Type="http://schemas.openxmlformats.org/officeDocument/2006/relationships/hyperlink" Target="https://expa.aiesec.org/opportunities/1289505" TargetMode="External"/><Relationship Id="rId585" Type="http://schemas.openxmlformats.org/officeDocument/2006/relationships/hyperlink" Target="https://expa.aiesec.org/opportunities/1292793" TargetMode="External"/><Relationship Id="rId1178" Type="http://schemas.openxmlformats.org/officeDocument/2006/relationships/hyperlink" Target="https://expa.aiesec.org/opportunities/1294211" TargetMode="External"/><Relationship Id="rId584" Type="http://schemas.openxmlformats.org/officeDocument/2006/relationships/hyperlink" Target="https://expa.aiesec.org/opportunities/1292793" TargetMode="External"/><Relationship Id="rId1179" Type="http://schemas.openxmlformats.org/officeDocument/2006/relationships/hyperlink" Target="https://expa.aiesec.org/opportunities/1288582" TargetMode="External"/><Relationship Id="rId1169" Type="http://schemas.openxmlformats.org/officeDocument/2006/relationships/hyperlink" Target="https://expa.aiesec.org/opportunities/1289505" TargetMode="External"/><Relationship Id="rId579" Type="http://schemas.openxmlformats.org/officeDocument/2006/relationships/hyperlink" Target="https://expa.aiesec.org/opportunities/1292535" TargetMode="External"/><Relationship Id="rId578" Type="http://schemas.openxmlformats.org/officeDocument/2006/relationships/hyperlink" Target="https://expa.aiesec.org/opportunities/1289536" TargetMode="External"/><Relationship Id="rId577" Type="http://schemas.openxmlformats.org/officeDocument/2006/relationships/hyperlink" Target="https://expa.aiesec.org/opportunities/1281010" TargetMode="External"/><Relationship Id="rId1160" Type="http://schemas.openxmlformats.org/officeDocument/2006/relationships/hyperlink" Target="https://expa.aiesec.org/opportunities/1295572" TargetMode="External"/><Relationship Id="rId572" Type="http://schemas.openxmlformats.org/officeDocument/2006/relationships/hyperlink" Target="https://expa.aiesec.org/opportunities/1288245" TargetMode="External"/><Relationship Id="rId1161" Type="http://schemas.openxmlformats.org/officeDocument/2006/relationships/hyperlink" Target="https://expa.aiesec.org/opportunities/1294061" TargetMode="External"/><Relationship Id="rId571" Type="http://schemas.openxmlformats.org/officeDocument/2006/relationships/hyperlink" Target="https://expa.aiesec.org/opportunities/1292773" TargetMode="External"/><Relationship Id="rId1162" Type="http://schemas.openxmlformats.org/officeDocument/2006/relationships/hyperlink" Target="https://expa.aiesec.org/opportunities/1295893" TargetMode="External"/><Relationship Id="rId570" Type="http://schemas.openxmlformats.org/officeDocument/2006/relationships/hyperlink" Target="https://expa.aiesec.org/opportunities/1291634" TargetMode="External"/><Relationship Id="rId1163" Type="http://schemas.openxmlformats.org/officeDocument/2006/relationships/hyperlink" Target="https://expa.aiesec.org/opportunities/1287210" TargetMode="External"/><Relationship Id="rId1164" Type="http://schemas.openxmlformats.org/officeDocument/2006/relationships/hyperlink" Target="https://expa.aiesec.org/opportunities/1287210" TargetMode="External"/><Relationship Id="rId576" Type="http://schemas.openxmlformats.org/officeDocument/2006/relationships/hyperlink" Target="https://expa.aiesec.org/opportunities/1292531" TargetMode="External"/><Relationship Id="rId1165" Type="http://schemas.openxmlformats.org/officeDocument/2006/relationships/hyperlink" Target="https://expa.aiesec.org/opportunities/1296670" TargetMode="External"/><Relationship Id="rId575" Type="http://schemas.openxmlformats.org/officeDocument/2006/relationships/hyperlink" Target="https://expa.aiesec.org/opportunities/1288721" TargetMode="External"/><Relationship Id="rId1166" Type="http://schemas.openxmlformats.org/officeDocument/2006/relationships/hyperlink" Target="https://expa.aiesec.org/opportunities/1288989" TargetMode="External"/><Relationship Id="rId574" Type="http://schemas.openxmlformats.org/officeDocument/2006/relationships/hyperlink" Target="https://expa.aiesec.org/opportunities/1287851" TargetMode="External"/><Relationship Id="rId1167" Type="http://schemas.openxmlformats.org/officeDocument/2006/relationships/hyperlink" Target="https://expa.aiesec.org/opportunities/1289536" TargetMode="External"/><Relationship Id="rId573" Type="http://schemas.openxmlformats.org/officeDocument/2006/relationships/hyperlink" Target="https://expa.aiesec.org/opportunities/1284081" TargetMode="External"/><Relationship Id="rId1168" Type="http://schemas.openxmlformats.org/officeDocument/2006/relationships/hyperlink" Target="https://expa.aiesec.org/opportunities/1296103" TargetMode="External"/><Relationship Id="rId1190" Type="http://schemas.openxmlformats.org/officeDocument/2006/relationships/hyperlink" Target="https://expa.aiesec.org/opportunities/1296101" TargetMode="External"/><Relationship Id="rId1191" Type="http://schemas.openxmlformats.org/officeDocument/2006/relationships/hyperlink" Target="https://expa.aiesec.org/opportunities/1289596" TargetMode="External"/><Relationship Id="rId1192" Type="http://schemas.openxmlformats.org/officeDocument/2006/relationships/hyperlink" Target="https://expa.aiesec.org/opportunities/1288490" TargetMode="External"/><Relationship Id="rId1193" Type="http://schemas.openxmlformats.org/officeDocument/2006/relationships/hyperlink" Target="https://expa.aiesec.org/opportunities/1291055" TargetMode="External"/><Relationship Id="rId1194" Type="http://schemas.openxmlformats.org/officeDocument/2006/relationships/hyperlink" Target="https://expa.aiesec.org/opportunities/1295002" TargetMode="External"/><Relationship Id="rId1195" Type="http://schemas.openxmlformats.org/officeDocument/2006/relationships/hyperlink" Target="https://expa.aiesec.org/opportunities/1291055" TargetMode="External"/><Relationship Id="rId1196" Type="http://schemas.openxmlformats.org/officeDocument/2006/relationships/hyperlink" Target="https://expa.aiesec.org/opportunities/1288393" TargetMode="External"/><Relationship Id="rId1197" Type="http://schemas.openxmlformats.org/officeDocument/2006/relationships/hyperlink" Target="https://expa.aiesec.org/opportunities/1289536" TargetMode="External"/><Relationship Id="rId1198" Type="http://schemas.openxmlformats.org/officeDocument/2006/relationships/hyperlink" Target="https://expa.aiesec.org/opportunities/1297781" TargetMode="External"/><Relationship Id="rId1199" Type="http://schemas.openxmlformats.org/officeDocument/2006/relationships/hyperlink" Target="https://expa.aiesec.org/opportunities/1294127" TargetMode="External"/><Relationship Id="rId599" Type="http://schemas.openxmlformats.org/officeDocument/2006/relationships/hyperlink" Target="https://expa.aiesec.org/opportunities/1287662" TargetMode="External"/><Relationship Id="rId1180" Type="http://schemas.openxmlformats.org/officeDocument/2006/relationships/hyperlink" Target="https://expa.aiesec.org/opportunities/1288490" TargetMode="External"/><Relationship Id="rId1181" Type="http://schemas.openxmlformats.org/officeDocument/2006/relationships/hyperlink" Target="https://expa.aiesec.org/opportunities/1296818" TargetMode="External"/><Relationship Id="rId1182" Type="http://schemas.openxmlformats.org/officeDocument/2006/relationships/hyperlink" Target="https://expa.aiesec.org/opportunities/1295285" TargetMode="External"/><Relationship Id="rId594" Type="http://schemas.openxmlformats.org/officeDocument/2006/relationships/hyperlink" Target="https://expa.aiesec.org/opportunities/1286958" TargetMode="External"/><Relationship Id="rId1183" Type="http://schemas.openxmlformats.org/officeDocument/2006/relationships/hyperlink" Target="https://expa.aiesec.org/opportunities/1294622" TargetMode="External"/><Relationship Id="rId593" Type="http://schemas.openxmlformats.org/officeDocument/2006/relationships/hyperlink" Target="https://expa.aiesec.org/opportunities/1292157" TargetMode="External"/><Relationship Id="rId1184" Type="http://schemas.openxmlformats.org/officeDocument/2006/relationships/hyperlink" Target="https://expa.aiesec.org/opportunities/1289505" TargetMode="External"/><Relationship Id="rId592" Type="http://schemas.openxmlformats.org/officeDocument/2006/relationships/hyperlink" Target="https://expa.aiesec.org/opportunities/1283991" TargetMode="External"/><Relationship Id="rId1185" Type="http://schemas.openxmlformats.org/officeDocument/2006/relationships/hyperlink" Target="https://expa.aiesec.org/opportunities/1296105" TargetMode="External"/><Relationship Id="rId591" Type="http://schemas.openxmlformats.org/officeDocument/2006/relationships/hyperlink" Target="https://expa.aiesec.org/opportunities/1289536" TargetMode="External"/><Relationship Id="rId1186" Type="http://schemas.openxmlformats.org/officeDocument/2006/relationships/hyperlink" Target="https://expa.aiesec.org/opportunities/1296453" TargetMode="External"/><Relationship Id="rId598" Type="http://schemas.openxmlformats.org/officeDocument/2006/relationships/hyperlink" Target="https://expa.aiesec.org/opportunities/1287662" TargetMode="External"/><Relationship Id="rId1187" Type="http://schemas.openxmlformats.org/officeDocument/2006/relationships/hyperlink" Target="https://expa.aiesec.org/opportunities/1296671" TargetMode="External"/><Relationship Id="rId597" Type="http://schemas.openxmlformats.org/officeDocument/2006/relationships/hyperlink" Target="https://expa.aiesec.org/opportunities/1286920" TargetMode="External"/><Relationship Id="rId1188" Type="http://schemas.openxmlformats.org/officeDocument/2006/relationships/hyperlink" Target="https://expa.aiesec.org/opportunities/1294622" TargetMode="External"/><Relationship Id="rId596" Type="http://schemas.openxmlformats.org/officeDocument/2006/relationships/hyperlink" Target="https://expa.aiesec.org/opportunities/1289536" TargetMode="External"/><Relationship Id="rId1189" Type="http://schemas.openxmlformats.org/officeDocument/2006/relationships/hyperlink" Target="https://expa.aiesec.org/opportunities/1287226" TargetMode="External"/><Relationship Id="rId595" Type="http://schemas.openxmlformats.org/officeDocument/2006/relationships/hyperlink" Target="https://expa.aiesec.org/opportunities/1292793" TargetMode="External"/><Relationship Id="rId1136" Type="http://schemas.openxmlformats.org/officeDocument/2006/relationships/hyperlink" Target="https://expa.aiesec.org/opportunities/1296103" TargetMode="External"/><Relationship Id="rId1137" Type="http://schemas.openxmlformats.org/officeDocument/2006/relationships/hyperlink" Target="https://expa.aiesec.org/opportunities/1288490" TargetMode="External"/><Relationship Id="rId1138" Type="http://schemas.openxmlformats.org/officeDocument/2006/relationships/hyperlink" Target="https://expa.aiesec.org/opportunities/1289505" TargetMode="External"/><Relationship Id="rId1139" Type="http://schemas.openxmlformats.org/officeDocument/2006/relationships/hyperlink" Target="https://expa.aiesec.org/opportunities/1288490" TargetMode="External"/><Relationship Id="rId547" Type="http://schemas.openxmlformats.org/officeDocument/2006/relationships/hyperlink" Target="https://expa.aiesec.org/opportunities/1290826" TargetMode="External"/><Relationship Id="rId546" Type="http://schemas.openxmlformats.org/officeDocument/2006/relationships/hyperlink" Target="https://expa.aiesec.org/opportunities/1292557" TargetMode="External"/><Relationship Id="rId545" Type="http://schemas.openxmlformats.org/officeDocument/2006/relationships/hyperlink" Target="https://expa.aiesec.org/opportunities/1291427" TargetMode="External"/><Relationship Id="rId544" Type="http://schemas.openxmlformats.org/officeDocument/2006/relationships/hyperlink" Target="https://expa.aiesec.org/opportunities/1287662" TargetMode="External"/><Relationship Id="rId549" Type="http://schemas.openxmlformats.org/officeDocument/2006/relationships/hyperlink" Target="https://expa.aiesec.org/opportunities/1291929" TargetMode="External"/><Relationship Id="rId548" Type="http://schemas.openxmlformats.org/officeDocument/2006/relationships/hyperlink" Target="https://expa.aiesec.org/opportunities/1292962" TargetMode="External"/><Relationship Id="rId1130" Type="http://schemas.openxmlformats.org/officeDocument/2006/relationships/hyperlink" Target="https://expa.aiesec.org/opportunities/1295572" TargetMode="External"/><Relationship Id="rId1131" Type="http://schemas.openxmlformats.org/officeDocument/2006/relationships/hyperlink" Target="https://expa.aiesec.org/opportunities/1288265" TargetMode="External"/><Relationship Id="rId543" Type="http://schemas.openxmlformats.org/officeDocument/2006/relationships/hyperlink" Target="https://expa.aiesec.org/opportunities/1291929" TargetMode="External"/><Relationship Id="rId1132" Type="http://schemas.openxmlformats.org/officeDocument/2006/relationships/hyperlink" Target="https://expa.aiesec.org/opportunities/1295572" TargetMode="External"/><Relationship Id="rId542" Type="http://schemas.openxmlformats.org/officeDocument/2006/relationships/hyperlink" Target="https://expa.aiesec.org/opportunities/1291252" TargetMode="External"/><Relationship Id="rId1133" Type="http://schemas.openxmlformats.org/officeDocument/2006/relationships/hyperlink" Target="https://expa.aiesec.org/opportunities/1296671" TargetMode="External"/><Relationship Id="rId541" Type="http://schemas.openxmlformats.org/officeDocument/2006/relationships/hyperlink" Target="https://expa.aiesec.org/opportunities/1287101" TargetMode="External"/><Relationship Id="rId1134" Type="http://schemas.openxmlformats.org/officeDocument/2006/relationships/hyperlink" Target="https://expa.aiesec.org/opportunities/1281010" TargetMode="External"/><Relationship Id="rId540" Type="http://schemas.openxmlformats.org/officeDocument/2006/relationships/hyperlink" Target="https://expa.aiesec.org/opportunities/1288663" TargetMode="External"/><Relationship Id="rId1135" Type="http://schemas.openxmlformats.org/officeDocument/2006/relationships/hyperlink" Target="https://expa.aiesec.org/opportunities/1294068" TargetMode="External"/><Relationship Id="rId1125" Type="http://schemas.openxmlformats.org/officeDocument/2006/relationships/hyperlink" Target="https://expa.aiesec.org/opportunities/1289505" TargetMode="External"/><Relationship Id="rId1126" Type="http://schemas.openxmlformats.org/officeDocument/2006/relationships/hyperlink" Target="https://expa.aiesec.org/opportunities/1296101" TargetMode="External"/><Relationship Id="rId1127" Type="http://schemas.openxmlformats.org/officeDocument/2006/relationships/hyperlink" Target="https://expa.aiesec.org/opportunities/1281010" TargetMode="External"/><Relationship Id="rId1128" Type="http://schemas.openxmlformats.org/officeDocument/2006/relationships/hyperlink" Target="https://expa.aiesec.org/opportunities/1296118" TargetMode="External"/><Relationship Id="rId1129" Type="http://schemas.openxmlformats.org/officeDocument/2006/relationships/hyperlink" Target="https://expa.aiesec.org/opportunities/1287210" TargetMode="External"/><Relationship Id="rId536" Type="http://schemas.openxmlformats.org/officeDocument/2006/relationships/hyperlink" Target="https://expa.aiesec.org/opportunities/1287851" TargetMode="External"/><Relationship Id="rId535" Type="http://schemas.openxmlformats.org/officeDocument/2006/relationships/hyperlink" Target="https://expa.aiesec.org/opportunities/1292535" TargetMode="External"/><Relationship Id="rId534" Type="http://schemas.openxmlformats.org/officeDocument/2006/relationships/hyperlink" Target="https://expa.aiesec.org/opportunities/1290826" TargetMode="External"/><Relationship Id="rId533" Type="http://schemas.openxmlformats.org/officeDocument/2006/relationships/hyperlink" Target="https://expa.aiesec.org/opportunities/1287851" TargetMode="External"/><Relationship Id="rId539" Type="http://schemas.openxmlformats.org/officeDocument/2006/relationships/hyperlink" Target="https://expa.aiesec.org/opportunities/1288663" TargetMode="External"/><Relationship Id="rId538" Type="http://schemas.openxmlformats.org/officeDocument/2006/relationships/hyperlink" Target="https://expa.aiesec.org/opportunities/1288663" TargetMode="External"/><Relationship Id="rId537" Type="http://schemas.openxmlformats.org/officeDocument/2006/relationships/hyperlink" Target="https://expa.aiesec.org/opportunities/1292793" TargetMode="External"/><Relationship Id="rId1120" Type="http://schemas.openxmlformats.org/officeDocument/2006/relationships/hyperlink" Target="https://expa.aiesec.org/opportunities/1296101" TargetMode="External"/><Relationship Id="rId532" Type="http://schemas.openxmlformats.org/officeDocument/2006/relationships/hyperlink" Target="https://expa.aiesec.org/opportunities/1292118" TargetMode="External"/><Relationship Id="rId1121" Type="http://schemas.openxmlformats.org/officeDocument/2006/relationships/hyperlink" Target="https://expa.aiesec.org/opportunities/1289505" TargetMode="External"/><Relationship Id="rId531" Type="http://schemas.openxmlformats.org/officeDocument/2006/relationships/hyperlink" Target="https://expa.aiesec.org/opportunities/1291929" TargetMode="External"/><Relationship Id="rId1122" Type="http://schemas.openxmlformats.org/officeDocument/2006/relationships/hyperlink" Target="https://expa.aiesec.org/opportunities/1288490" TargetMode="External"/><Relationship Id="rId530" Type="http://schemas.openxmlformats.org/officeDocument/2006/relationships/hyperlink" Target="https://expa.aiesec.org/opportunities/1284976" TargetMode="External"/><Relationship Id="rId1123" Type="http://schemas.openxmlformats.org/officeDocument/2006/relationships/hyperlink" Target="https://expa.aiesec.org/opportunities/1284484" TargetMode="External"/><Relationship Id="rId1124" Type="http://schemas.openxmlformats.org/officeDocument/2006/relationships/hyperlink" Target="https://expa.aiesec.org/opportunities/1296105" TargetMode="External"/><Relationship Id="rId1158" Type="http://schemas.openxmlformats.org/officeDocument/2006/relationships/hyperlink" Target="https://expa.aiesec.org/opportunities/1295572" TargetMode="External"/><Relationship Id="rId1159" Type="http://schemas.openxmlformats.org/officeDocument/2006/relationships/hyperlink" Target="https://expa.aiesec.org/opportunities/1295572" TargetMode="External"/><Relationship Id="rId569" Type="http://schemas.openxmlformats.org/officeDocument/2006/relationships/hyperlink" Target="https://expa.aiesec.org/opportunities/1281010" TargetMode="External"/><Relationship Id="rId568" Type="http://schemas.openxmlformats.org/officeDocument/2006/relationships/hyperlink" Target="https://expa.aiesec.org/opportunities/1287662" TargetMode="External"/><Relationship Id="rId567" Type="http://schemas.openxmlformats.org/officeDocument/2006/relationships/hyperlink" Target="https://expa.aiesec.org/opportunities/1292118" TargetMode="External"/><Relationship Id="rId566" Type="http://schemas.openxmlformats.org/officeDocument/2006/relationships/hyperlink" Target="https://expa.aiesec.org/opportunities/1289536" TargetMode="External"/><Relationship Id="rId561" Type="http://schemas.openxmlformats.org/officeDocument/2006/relationships/hyperlink" Target="https://expa.aiesec.org/opportunities/1284484" TargetMode="External"/><Relationship Id="rId1150" Type="http://schemas.openxmlformats.org/officeDocument/2006/relationships/hyperlink" Target="https://expa.aiesec.org/opportunities/1294452" TargetMode="External"/><Relationship Id="rId560" Type="http://schemas.openxmlformats.org/officeDocument/2006/relationships/hyperlink" Target="https://expa.aiesec.org/opportunities/1289536" TargetMode="External"/><Relationship Id="rId1151" Type="http://schemas.openxmlformats.org/officeDocument/2006/relationships/hyperlink" Target="https://expa.aiesec.org/opportunities/1287488" TargetMode="External"/><Relationship Id="rId1152" Type="http://schemas.openxmlformats.org/officeDocument/2006/relationships/hyperlink" Target="https://expa.aiesec.org/opportunities/1294877" TargetMode="External"/><Relationship Id="rId1153" Type="http://schemas.openxmlformats.org/officeDocument/2006/relationships/hyperlink" Target="https://expa.aiesec.org/opportunities/1287488" TargetMode="External"/><Relationship Id="rId565" Type="http://schemas.openxmlformats.org/officeDocument/2006/relationships/hyperlink" Target="https://expa.aiesec.org/opportunities/1291929" TargetMode="External"/><Relationship Id="rId1154" Type="http://schemas.openxmlformats.org/officeDocument/2006/relationships/hyperlink" Target="https://expa.aiesec.org/opportunities/1296327" TargetMode="External"/><Relationship Id="rId564" Type="http://schemas.openxmlformats.org/officeDocument/2006/relationships/hyperlink" Target="https://expa.aiesec.org/opportunities/1287851" TargetMode="External"/><Relationship Id="rId1155" Type="http://schemas.openxmlformats.org/officeDocument/2006/relationships/hyperlink" Target="https://expa.aiesec.org/opportunities/1295986" TargetMode="External"/><Relationship Id="rId563" Type="http://schemas.openxmlformats.org/officeDocument/2006/relationships/hyperlink" Target="https://expa.aiesec.org/opportunities/1291252" TargetMode="External"/><Relationship Id="rId1156" Type="http://schemas.openxmlformats.org/officeDocument/2006/relationships/hyperlink" Target="https://expa.aiesec.org/opportunities/1289261" TargetMode="External"/><Relationship Id="rId562" Type="http://schemas.openxmlformats.org/officeDocument/2006/relationships/hyperlink" Target="https://expa.aiesec.org/opportunities/1292118" TargetMode="External"/><Relationship Id="rId1157" Type="http://schemas.openxmlformats.org/officeDocument/2006/relationships/hyperlink" Target="https://expa.aiesec.org/opportunities/1296101" TargetMode="External"/><Relationship Id="rId1147" Type="http://schemas.openxmlformats.org/officeDocument/2006/relationships/hyperlink" Target="https://expa.aiesec.org/opportunities/1296671" TargetMode="External"/><Relationship Id="rId1148" Type="http://schemas.openxmlformats.org/officeDocument/2006/relationships/hyperlink" Target="https://expa.aiesec.org/opportunities/1296101" TargetMode="External"/><Relationship Id="rId1149" Type="http://schemas.openxmlformats.org/officeDocument/2006/relationships/hyperlink" Target="https://expa.aiesec.org/opportunities/1287226" TargetMode="External"/><Relationship Id="rId558" Type="http://schemas.openxmlformats.org/officeDocument/2006/relationships/hyperlink" Target="https://expa.aiesec.org/opportunities/1287662" TargetMode="External"/><Relationship Id="rId557" Type="http://schemas.openxmlformats.org/officeDocument/2006/relationships/hyperlink" Target="https://expa.aiesec.org/opportunities/1287662" TargetMode="External"/><Relationship Id="rId556" Type="http://schemas.openxmlformats.org/officeDocument/2006/relationships/hyperlink" Target="https://expa.aiesec.org/opportunities/1280872" TargetMode="External"/><Relationship Id="rId555" Type="http://schemas.openxmlformats.org/officeDocument/2006/relationships/hyperlink" Target="https://expa.aiesec.org/opportunities/1292773" TargetMode="External"/><Relationship Id="rId559" Type="http://schemas.openxmlformats.org/officeDocument/2006/relationships/hyperlink" Target="https://expa.aiesec.org/opportunities/1286228" TargetMode="External"/><Relationship Id="rId550" Type="http://schemas.openxmlformats.org/officeDocument/2006/relationships/hyperlink" Target="https://expa.aiesec.org/opportunities/1291254" TargetMode="External"/><Relationship Id="rId1140" Type="http://schemas.openxmlformats.org/officeDocument/2006/relationships/hyperlink" Target="https://expa.aiesec.org/opportunities/1294068" TargetMode="External"/><Relationship Id="rId1141" Type="http://schemas.openxmlformats.org/officeDocument/2006/relationships/hyperlink" Target="https://expa.aiesec.org/opportunities/1284976" TargetMode="External"/><Relationship Id="rId1142" Type="http://schemas.openxmlformats.org/officeDocument/2006/relationships/hyperlink" Target="https://expa.aiesec.org/opportunities/1295745" TargetMode="External"/><Relationship Id="rId554" Type="http://schemas.openxmlformats.org/officeDocument/2006/relationships/hyperlink" Target="https://expa.aiesec.org/opportunities/1292773" TargetMode="External"/><Relationship Id="rId1143" Type="http://schemas.openxmlformats.org/officeDocument/2006/relationships/hyperlink" Target="https://expa.aiesec.org/opportunities/1296234" TargetMode="External"/><Relationship Id="rId553" Type="http://schemas.openxmlformats.org/officeDocument/2006/relationships/hyperlink" Target="https://expa.aiesec.org/opportunities/1287855" TargetMode="External"/><Relationship Id="rId1144" Type="http://schemas.openxmlformats.org/officeDocument/2006/relationships/hyperlink" Target="https://expa.aiesec.org/opportunities/1296670" TargetMode="External"/><Relationship Id="rId552" Type="http://schemas.openxmlformats.org/officeDocument/2006/relationships/hyperlink" Target="https://expa.aiesec.org/opportunities/1284831" TargetMode="External"/><Relationship Id="rId1145" Type="http://schemas.openxmlformats.org/officeDocument/2006/relationships/hyperlink" Target="https://expa.aiesec.org/opportunities/1296234" TargetMode="External"/><Relationship Id="rId551" Type="http://schemas.openxmlformats.org/officeDocument/2006/relationships/hyperlink" Target="https://expa.aiesec.org/opportunities/1285687" TargetMode="External"/><Relationship Id="rId1146" Type="http://schemas.openxmlformats.org/officeDocument/2006/relationships/hyperlink" Target="https://expa.aiesec.org/opportunities/1294127" TargetMode="External"/><Relationship Id="rId495" Type="http://schemas.openxmlformats.org/officeDocument/2006/relationships/hyperlink" Target="https://expa.aiesec.org/opportunities/1292535" TargetMode="External"/><Relationship Id="rId494" Type="http://schemas.openxmlformats.org/officeDocument/2006/relationships/hyperlink" Target="https://expa.aiesec.org/opportunities/1289536" TargetMode="External"/><Relationship Id="rId493" Type="http://schemas.openxmlformats.org/officeDocument/2006/relationships/hyperlink" Target="https://expa.aiesec.org/opportunities/1291427" TargetMode="External"/><Relationship Id="rId492" Type="http://schemas.openxmlformats.org/officeDocument/2006/relationships/hyperlink" Target="https://expa.aiesec.org/opportunities/1287854" TargetMode="External"/><Relationship Id="rId499" Type="http://schemas.openxmlformats.org/officeDocument/2006/relationships/hyperlink" Target="https://expa.aiesec.org/opportunities/1292535" TargetMode="External"/><Relationship Id="rId498" Type="http://schemas.openxmlformats.org/officeDocument/2006/relationships/hyperlink" Target="https://expa.aiesec.org/opportunities/1292535" TargetMode="External"/><Relationship Id="rId497" Type="http://schemas.openxmlformats.org/officeDocument/2006/relationships/hyperlink" Target="https://expa.aiesec.org/opportunities/1291929" TargetMode="External"/><Relationship Id="rId496" Type="http://schemas.openxmlformats.org/officeDocument/2006/relationships/hyperlink" Target="https://expa.aiesec.org/opportunities/1291929" TargetMode="External"/><Relationship Id="rId1213" Type="http://schemas.openxmlformats.org/officeDocument/2006/relationships/hyperlink" Target="https://expa.aiesec.org/opportunities/1295149" TargetMode="External"/><Relationship Id="rId1214" Type="http://schemas.openxmlformats.org/officeDocument/2006/relationships/hyperlink" Target="https://expa.aiesec.org/opportunities/1296670" TargetMode="External"/><Relationship Id="rId1215" Type="http://schemas.openxmlformats.org/officeDocument/2006/relationships/hyperlink" Target="https://expa.aiesec.org/opportunities/1297982" TargetMode="External"/><Relationship Id="rId1216" Type="http://schemas.openxmlformats.org/officeDocument/2006/relationships/hyperlink" Target="https://expa.aiesec.org/opportunities/1297982" TargetMode="External"/><Relationship Id="rId1217" Type="http://schemas.openxmlformats.org/officeDocument/2006/relationships/hyperlink" Target="https://expa.aiesec.org/opportunities/1286326" TargetMode="External"/><Relationship Id="rId1218" Type="http://schemas.openxmlformats.org/officeDocument/2006/relationships/hyperlink" Target="https://expa.aiesec.org/opportunities/1279126" TargetMode="External"/><Relationship Id="rId1219" Type="http://schemas.openxmlformats.org/officeDocument/2006/relationships/hyperlink" Target="https://expa.aiesec.org/opportunities/1296105" TargetMode="External"/><Relationship Id="rId1210" Type="http://schemas.openxmlformats.org/officeDocument/2006/relationships/hyperlink" Target="https://expa.aiesec.org/opportunities/1295149" TargetMode="External"/><Relationship Id="rId1211" Type="http://schemas.openxmlformats.org/officeDocument/2006/relationships/hyperlink" Target="https://expa.aiesec.org/opportunities/1294651" TargetMode="External"/><Relationship Id="rId1212" Type="http://schemas.openxmlformats.org/officeDocument/2006/relationships/hyperlink" Target="https://expa.aiesec.org/opportunities/1281010" TargetMode="External"/><Relationship Id="rId1202" Type="http://schemas.openxmlformats.org/officeDocument/2006/relationships/hyperlink" Target="https://expa.aiesec.org/opportunities/1297781" TargetMode="External"/><Relationship Id="rId1203" Type="http://schemas.openxmlformats.org/officeDocument/2006/relationships/hyperlink" Target="https://expa.aiesec.org/opportunities/1284081" TargetMode="External"/><Relationship Id="rId1204" Type="http://schemas.openxmlformats.org/officeDocument/2006/relationships/hyperlink" Target="https://expa.aiesec.org/opportunities/1294651" TargetMode="External"/><Relationship Id="rId1205" Type="http://schemas.openxmlformats.org/officeDocument/2006/relationships/hyperlink" Target="https://expa.aiesec.org/opportunities/1288393" TargetMode="External"/><Relationship Id="rId1206" Type="http://schemas.openxmlformats.org/officeDocument/2006/relationships/hyperlink" Target="https://expa.aiesec.org/opportunities/1284081" TargetMode="External"/><Relationship Id="rId1207" Type="http://schemas.openxmlformats.org/officeDocument/2006/relationships/hyperlink" Target="https://expa.aiesec.org/opportunities/1296101" TargetMode="External"/><Relationship Id="rId1208" Type="http://schemas.openxmlformats.org/officeDocument/2006/relationships/hyperlink" Target="https://expa.aiesec.org/opportunities/1296105" TargetMode="External"/><Relationship Id="rId1209" Type="http://schemas.openxmlformats.org/officeDocument/2006/relationships/hyperlink" Target="https://expa.aiesec.org/opportunities/1283683" TargetMode="External"/><Relationship Id="rId1200" Type="http://schemas.openxmlformats.org/officeDocument/2006/relationships/hyperlink" Target="https://expa.aiesec.org/opportunities/1294127" TargetMode="External"/><Relationship Id="rId1201" Type="http://schemas.openxmlformats.org/officeDocument/2006/relationships/hyperlink" Target="https://expa.aiesec.org/opportunities/1288461" TargetMode="External"/><Relationship Id="rId1235" Type="http://schemas.openxmlformats.org/officeDocument/2006/relationships/hyperlink" Target="https://expa.aiesec.org/opportunities/1296671" TargetMode="External"/><Relationship Id="rId1236" Type="http://schemas.openxmlformats.org/officeDocument/2006/relationships/hyperlink" Target="https://expa.aiesec.org/opportunities/1296671" TargetMode="External"/><Relationship Id="rId1237" Type="http://schemas.openxmlformats.org/officeDocument/2006/relationships/hyperlink" Target="https://expa.aiesec.org/opportunities/1296105" TargetMode="External"/><Relationship Id="rId1238" Type="http://schemas.openxmlformats.org/officeDocument/2006/relationships/hyperlink" Target="https://expa.aiesec.org/opportunities/1279126" TargetMode="External"/><Relationship Id="rId1239" Type="http://schemas.openxmlformats.org/officeDocument/2006/relationships/hyperlink" Target="https://expa.aiesec.org/opportunities/1292557" TargetMode="External"/><Relationship Id="rId409" Type="http://schemas.openxmlformats.org/officeDocument/2006/relationships/hyperlink" Target="https://expa.aiesec.org/opportunities/1289536" TargetMode="External"/><Relationship Id="rId404" Type="http://schemas.openxmlformats.org/officeDocument/2006/relationships/hyperlink" Target="https://expa.aiesec.org/opportunities/1287445" TargetMode="External"/><Relationship Id="rId403" Type="http://schemas.openxmlformats.org/officeDocument/2006/relationships/hyperlink" Target="https://expa.aiesec.org/opportunities/1289502" TargetMode="External"/><Relationship Id="rId402" Type="http://schemas.openxmlformats.org/officeDocument/2006/relationships/hyperlink" Target="https://expa.aiesec.org/opportunities/1287226" TargetMode="External"/><Relationship Id="rId401" Type="http://schemas.openxmlformats.org/officeDocument/2006/relationships/hyperlink" Target="https://expa.aiesec.org/opportunities/1289261" TargetMode="External"/><Relationship Id="rId408" Type="http://schemas.openxmlformats.org/officeDocument/2006/relationships/hyperlink" Target="https://expa.aiesec.org/opportunities/1272564" TargetMode="External"/><Relationship Id="rId407" Type="http://schemas.openxmlformats.org/officeDocument/2006/relationships/hyperlink" Target="https://expa.aiesec.org/opportunities/1289536" TargetMode="External"/><Relationship Id="rId406" Type="http://schemas.openxmlformats.org/officeDocument/2006/relationships/hyperlink" Target="https://expa.aiesec.org/opportunities/1272564" TargetMode="External"/><Relationship Id="rId405" Type="http://schemas.openxmlformats.org/officeDocument/2006/relationships/hyperlink" Target="https://expa.aiesec.org/opportunities/1291055" TargetMode="External"/><Relationship Id="rId1230" Type="http://schemas.openxmlformats.org/officeDocument/2006/relationships/hyperlink" Target="https://expa.aiesec.org/opportunities/1296671" TargetMode="External"/><Relationship Id="rId400" Type="http://schemas.openxmlformats.org/officeDocument/2006/relationships/hyperlink" Target="https://expa.aiesec.org/opportunities/1291634" TargetMode="External"/><Relationship Id="rId1231" Type="http://schemas.openxmlformats.org/officeDocument/2006/relationships/hyperlink" Target="https://expa.aiesec.org/opportunities/1296325" TargetMode="External"/><Relationship Id="rId1232" Type="http://schemas.openxmlformats.org/officeDocument/2006/relationships/hyperlink" Target="https://expa.aiesec.org/opportunities/1297982" TargetMode="External"/><Relationship Id="rId1233" Type="http://schemas.openxmlformats.org/officeDocument/2006/relationships/hyperlink" Target="https://expa.aiesec.org/opportunities/1297781" TargetMode="External"/><Relationship Id="rId1234" Type="http://schemas.openxmlformats.org/officeDocument/2006/relationships/hyperlink" Target="https://expa.aiesec.org/opportunities/1294878" TargetMode="External"/><Relationship Id="rId1224" Type="http://schemas.openxmlformats.org/officeDocument/2006/relationships/hyperlink" Target="https://expa.aiesec.org/opportunities/1296101" TargetMode="External"/><Relationship Id="rId1225" Type="http://schemas.openxmlformats.org/officeDocument/2006/relationships/hyperlink" Target="https://expa.aiesec.org/opportunities/1292118" TargetMode="External"/><Relationship Id="rId1226" Type="http://schemas.openxmlformats.org/officeDocument/2006/relationships/hyperlink" Target="https://expa.aiesec.org/opportunities/1279126" TargetMode="External"/><Relationship Id="rId1227" Type="http://schemas.openxmlformats.org/officeDocument/2006/relationships/hyperlink" Target="https://expa.aiesec.org/opportunities/1296105" TargetMode="External"/><Relationship Id="rId1228" Type="http://schemas.openxmlformats.org/officeDocument/2006/relationships/hyperlink" Target="https://expa.aiesec.org/opportunities/1295830" TargetMode="External"/><Relationship Id="rId1229" Type="http://schemas.openxmlformats.org/officeDocument/2006/relationships/hyperlink" Target="https://expa.aiesec.org/opportunities/1296101" TargetMode="External"/><Relationship Id="rId1220" Type="http://schemas.openxmlformats.org/officeDocument/2006/relationships/hyperlink" Target="https://expa.aiesec.org/opportunities/1272564" TargetMode="External"/><Relationship Id="rId1221" Type="http://schemas.openxmlformats.org/officeDocument/2006/relationships/hyperlink" Target="https://expa.aiesec.org/opportunities/1294878" TargetMode="External"/><Relationship Id="rId1222" Type="http://schemas.openxmlformats.org/officeDocument/2006/relationships/hyperlink" Target="https://expa.aiesec.org/opportunities/1296818" TargetMode="External"/><Relationship Id="rId1223" Type="http://schemas.openxmlformats.org/officeDocument/2006/relationships/hyperlink" Target="https://expa.aiesec.org/opportunities/1292962" TargetMode="External"/><Relationship Id="rId469" Type="http://schemas.openxmlformats.org/officeDocument/2006/relationships/hyperlink" Target="https://expa.aiesec.org/opportunities/1288280" TargetMode="External"/><Relationship Id="rId468" Type="http://schemas.openxmlformats.org/officeDocument/2006/relationships/hyperlink" Target="https://expa.aiesec.org/opportunities/1286751" TargetMode="External"/><Relationship Id="rId467" Type="http://schemas.openxmlformats.org/officeDocument/2006/relationships/hyperlink" Target="https://expa.aiesec.org/opportunities/1286751" TargetMode="External"/><Relationship Id="rId1290" Type="http://schemas.openxmlformats.org/officeDocument/2006/relationships/hyperlink" Target="https://expa.aiesec.org/opportunities/1296105" TargetMode="External"/><Relationship Id="rId1291" Type="http://schemas.openxmlformats.org/officeDocument/2006/relationships/hyperlink" Target="https://expa.aiesec.org/opportunities/1279126" TargetMode="External"/><Relationship Id="rId1292" Type="http://schemas.openxmlformats.org/officeDocument/2006/relationships/hyperlink" Target="https://expa.aiesec.org/opportunities/1280872" TargetMode="External"/><Relationship Id="rId462" Type="http://schemas.openxmlformats.org/officeDocument/2006/relationships/hyperlink" Target="https://expa.aiesec.org/opportunities/1291585" TargetMode="External"/><Relationship Id="rId1293" Type="http://schemas.openxmlformats.org/officeDocument/2006/relationships/hyperlink" Target="https://expa.aiesec.org/opportunities/1295453" TargetMode="External"/><Relationship Id="rId461" Type="http://schemas.openxmlformats.org/officeDocument/2006/relationships/hyperlink" Target="https://expa.aiesec.org/opportunities/1272564" TargetMode="External"/><Relationship Id="rId1294" Type="http://schemas.openxmlformats.org/officeDocument/2006/relationships/hyperlink" Target="https://expa.aiesec.org/opportunities/1295453" TargetMode="External"/><Relationship Id="rId460" Type="http://schemas.openxmlformats.org/officeDocument/2006/relationships/hyperlink" Target="https://expa.aiesec.org/opportunities/1286920" TargetMode="External"/><Relationship Id="rId1295" Type="http://schemas.openxmlformats.org/officeDocument/2006/relationships/hyperlink" Target="https://expa.aiesec.org/opportunities/1295575" TargetMode="External"/><Relationship Id="rId1296" Type="http://schemas.openxmlformats.org/officeDocument/2006/relationships/hyperlink" Target="https://expa.aiesec.org/opportunities/1286326" TargetMode="External"/><Relationship Id="rId466" Type="http://schemas.openxmlformats.org/officeDocument/2006/relationships/hyperlink" Target="https://expa.aiesec.org/opportunities/1288245" TargetMode="External"/><Relationship Id="rId1297" Type="http://schemas.openxmlformats.org/officeDocument/2006/relationships/hyperlink" Target="https://expa.aiesec.org/opportunities/1286326" TargetMode="External"/><Relationship Id="rId465" Type="http://schemas.openxmlformats.org/officeDocument/2006/relationships/hyperlink" Target="https://expa.aiesec.org/opportunities/1283483" TargetMode="External"/><Relationship Id="rId1298" Type="http://schemas.openxmlformats.org/officeDocument/2006/relationships/hyperlink" Target="https://expa.aiesec.org/opportunities/1296670" TargetMode="External"/><Relationship Id="rId464" Type="http://schemas.openxmlformats.org/officeDocument/2006/relationships/hyperlink" Target="https://expa.aiesec.org/opportunities/1289536" TargetMode="External"/><Relationship Id="rId1299" Type="http://schemas.openxmlformats.org/officeDocument/2006/relationships/hyperlink" Target="https://expa.aiesec.org/opportunities/1289536" TargetMode="External"/><Relationship Id="rId463" Type="http://schemas.openxmlformats.org/officeDocument/2006/relationships/hyperlink" Target="https://expa.aiesec.org/opportunities/1279126" TargetMode="External"/><Relationship Id="rId459" Type="http://schemas.openxmlformats.org/officeDocument/2006/relationships/hyperlink" Target="https://expa.aiesec.org/opportunities/1286920" TargetMode="External"/><Relationship Id="rId458" Type="http://schemas.openxmlformats.org/officeDocument/2006/relationships/hyperlink" Target="https://expa.aiesec.org/opportunities/1288970" TargetMode="External"/><Relationship Id="rId457" Type="http://schemas.openxmlformats.org/officeDocument/2006/relationships/hyperlink" Target="https://expa.aiesec.org/opportunities/1291336" TargetMode="External"/><Relationship Id="rId456" Type="http://schemas.openxmlformats.org/officeDocument/2006/relationships/hyperlink" Target="https://expa.aiesec.org/opportunities/1292157" TargetMode="External"/><Relationship Id="rId1280" Type="http://schemas.openxmlformats.org/officeDocument/2006/relationships/hyperlink" Target="https://expa.aiesec.org/opportunities/1295453" TargetMode="External"/><Relationship Id="rId1281" Type="http://schemas.openxmlformats.org/officeDocument/2006/relationships/hyperlink" Target="https://expa.aiesec.org/opportunities/1295453" TargetMode="External"/><Relationship Id="rId451" Type="http://schemas.openxmlformats.org/officeDocument/2006/relationships/hyperlink" Target="https://expa.aiesec.org/opportunities/1284976" TargetMode="External"/><Relationship Id="rId1282" Type="http://schemas.openxmlformats.org/officeDocument/2006/relationships/hyperlink" Target="https://expa.aiesec.org/opportunities/1295453" TargetMode="External"/><Relationship Id="rId450" Type="http://schemas.openxmlformats.org/officeDocument/2006/relationships/hyperlink" Target="https://expa.aiesec.org/opportunities/1292118" TargetMode="External"/><Relationship Id="rId1283" Type="http://schemas.openxmlformats.org/officeDocument/2006/relationships/hyperlink" Target="https://expa.aiesec.org/opportunities/1296239" TargetMode="External"/><Relationship Id="rId1284" Type="http://schemas.openxmlformats.org/officeDocument/2006/relationships/hyperlink" Target="https://expa.aiesec.org/opportunities/1279126" TargetMode="External"/><Relationship Id="rId1285" Type="http://schemas.openxmlformats.org/officeDocument/2006/relationships/hyperlink" Target="https://expa.aiesec.org/opportunities/1295893" TargetMode="External"/><Relationship Id="rId455" Type="http://schemas.openxmlformats.org/officeDocument/2006/relationships/hyperlink" Target="https://expa.aiesec.org/opportunities/1288970" TargetMode="External"/><Relationship Id="rId1286" Type="http://schemas.openxmlformats.org/officeDocument/2006/relationships/hyperlink" Target="https://expa.aiesec.org/opportunities/1298556" TargetMode="External"/><Relationship Id="rId454" Type="http://schemas.openxmlformats.org/officeDocument/2006/relationships/hyperlink" Target="https://expa.aiesec.org/opportunities/1279126" TargetMode="External"/><Relationship Id="rId1287" Type="http://schemas.openxmlformats.org/officeDocument/2006/relationships/hyperlink" Target="https://expa.aiesec.org/opportunities/1297247" TargetMode="External"/><Relationship Id="rId453" Type="http://schemas.openxmlformats.org/officeDocument/2006/relationships/hyperlink" Target="https://expa.aiesec.org/opportunities/1291232" TargetMode="External"/><Relationship Id="rId1288" Type="http://schemas.openxmlformats.org/officeDocument/2006/relationships/hyperlink" Target="https://expa.aiesec.org/opportunities/1286326" TargetMode="External"/><Relationship Id="rId452" Type="http://schemas.openxmlformats.org/officeDocument/2006/relationships/hyperlink" Target="https://expa.aiesec.org/opportunities/1286751" TargetMode="External"/><Relationship Id="rId1289" Type="http://schemas.openxmlformats.org/officeDocument/2006/relationships/hyperlink" Target="https://expa.aiesec.org/opportunities/1295893" TargetMode="External"/><Relationship Id="rId491" Type="http://schemas.openxmlformats.org/officeDocument/2006/relationships/hyperlink" Target="https://expa.aiesec.org/opportunities/1292793" TargetMode="External"/><Relationship Id="rId490" Type="http://schemas.openxmlformats.org/officeDocument/2006/relationships/hyperlink" Target="https://expa.aiesec.org/opportunities/1292557" TargetMode="External"/><Relationship Id="rId489" Type="http://schemas.openxmlformats.org/officeDocument/2006/relationships/hyperlink" Target="https://expa.aiesec.org/opportunities/1288611" TargetMode="External"/><Relationship Id="rId484" Type="http://schemas.openxmlformats.org/officeDocument/2006/relationships/hyperlink" Target="https://expa.aiesec.org/opportunities/1289536" TargetMode="External"/><Relationship Id="rId483" Type="http://schemas.openxmlformats.org/officeDocument/2006/relationships/hyperlink" Target="https://expa.aiesec.org/opportunities/1280872" TargetMode="External"/><Relationship Id="rId482" Type="http://schemas.openxmlformats.org/officeDocument/2006/relationships/hyperlink" Target="https://expa.aiesec.org/opportunities/1289536" TargetMode="External"/><Relationship Id="rId481" Type="http://schemas.openxmlformats.org/officeDocument/2006/relationships/hyperlink" Target="https://expa.aiesec.org/opportunities/1287854" TargetMode="External"/><Relationship Id="rId488" Type="http://schemas.openxmlformats.org/officeDocument/2006/relationships/hyperlink" Target="https://expa.aiesec.org/opportunities/1289536" TargetMode="External"/><Relationship Id="rId487" Type="http://schemas.openxmlformats.org/officeDocument/2006/relationships/hyperlink" Target="https://expa.aiesec.org/opportunities/1286228" TargetMode="External"/><Relationship Id="rId486" Type="http://schemas.openxmlformats.org/officeDocument/2006/relationships/hyperlink" Target="https://expa.aiesec.org/opportunities/1287855" TargetMode="External"/><Relationship Id="rId485" Type="http://schemas.openxmlformats.org/officeDocument/2006/relationships/hyperlink" Target="https://expa.aiesec.org/opportunities/1291427" TargetMode="External"/><Relationship Id="rId480" Type="http://schemas.openxmlformats.org/officeDocument/2006/relationships/hyperlink" Target="https://expa.aiesec.org/opportunities/1288711" TargetMode="External"/><Relationship Id="rId479" Type="http://schemas.openxmlformats.org/officeDocument/2006/relationships/hyperlink" Target="https://expa.aiesec.org/opportunities/1287662" TargetMode="External"/><Relationship Id="rId478" Type="http://schemas.openxmlformats.org/officeDocument/2006/relationships/hyperlink" Target="https://expa.aiesec.org/opportunities/1292557" TargetMode="External"/><Relationship Id="rId473" Type="http://schemas.openxmlformats.org/officeDocument/2006/relationships/hyperlink" Target="https://expa.aiesec.org/opportunities/1292557" TargetMode="External"/><Relationship Id="rId472" Type="http://schemas.openxmlformats.org/officeDocument/2006/relationships/hyperlink" Target="https://expa.aiesec.org/opportunities/1288970" TargetMode="External"/><Relationship Id="rId471" Type="http://schemas.openxmlformats.org/officeDocument/2006/relationships/hyperlink" Target="https://expa.aiesec.org/opportunities/1286920" TargetMode="External"/><Relationship Id="rId470" Type="http://schemas.openxmlformats.org/officeDocument/2006/relationships/hyperlink" Target="https://expa.aiesec.org/opportunities/1291254" TargetMode="External"/><Relationship Id="rId477" Type="http://schemas.openxmlformats.org/officeDocument/2006/relationships/hyperlink" Target="https://expa.aiesec.org/opportunities/1286920" TargetMode="External"/><Relationship Id="rId476" Type="http://schemas.openxmlformats.org/officeDocument/2006/relationships/hyperlink" Target="https://expa.aiesec.org/opportunities/1284831" TargetMode="External"/><Relationship Id="rId475" Type="http://schemas.openxmlformats.org/officeDocument/2006/relationships/hyperlink" Target="https://expa.aiesec.org/opportunities/1291929" TargetMode="External"/><Relationship Id="rId474" Type="http://schemas.openxmlformats.org/officeDocument/2006/relationships/hyperlink" Target="https://expa.aiesec.org/opportunities/1292535" TargetMode="External"/><Relationship Id="rId1257" Type="http://schemas.openxmlformats.org/officeDocument/2006/relationships/hyperlink" Target="https://expa.aiesec.org/opportunities/1279126" TargetMode="External"/><Relationship Id="rId1258" Type="http://schemas.openxmlformats.org/officeDocument/2006/relationships/hyperlink" Target="https://expa.aiesec.org/opportunities/1292557" TargetMode="External"/><Relationship Id="rId1259" Type="http://schemas.openxmlformats.org/officeDocument/2006/relationships/hyperlink" Target="https://expa.aiesec.org/opportunities/1297247" TargetMode="External"/><Relationship Id="rId426" Type="http://schemas.openxmlformats.org/officeDocument/2006/relationships/hyperlink" Target="https://expa.aiesec.org/opportunities/1286920" TargetMode="External"/><Relationship Id="rId425" Type="http://schemas.openxmlformats.org/officeDocument/2006/relationships/hyperlink" Target="https://expa.aiesec.org/opportunities/1290826" TargetMode="External"/><Relationship Id="rId424" Type="http://schemas.openxmlformats.org/officeDocument/2006/relationships/hyperlink" Target="https://expa.aiesec.org/opportunities/1286228" TargetMode="External"/><Relationship Id="rId423" Type="http://schemas.openxmlformats.org/officeDocument/2006/relationships/hyperlink" Target="https://expa.aiesec.org/opportunities/1284976" TargetMode="External"/><Relationship Id="rId429" Type="http://schemas.openxmlformats.org/officeDocument/2006/relationships/hyperlink" Target="https://expa.aiesec.org/opportunities/1288393" TargetMode="External"/><Relationship Id="rId428" Type="http://schemas.openxmlformats.org/officeDocument/2006/relationships/hyperlink" Target="https://expa.aiesec.org/opportunities/1288611" TargetMode="External"/><Relationship Id="rId427" Type="http://schemas.openxmlformats.org/officeDocument/2006/relationships/hyperlink" Target="https://expa.aiesec.org/opportunities/1288393" TargetMode="External"/><Relationship Id="rId1250" Type="http://schemas.openxmlformats.org/officeDocument/2006/relationships/hyperlink" Target="https://expa.aiesec.org/opportunities/1296101" TargetMode="External"/><Relationship Id="rId1251" Type="http://schemas.openxmlformats.org/officeDocument/2006/relationships/hyperlink" Target="https://expa.aiesec.org/opportunities/1296671" TargetMode="External"/><Relationship Id="rId1252" Type="http://schemas.openxmlformats.org/officeDocument/2006/relationships/hyperlink" Target="https://expa.aiesec.org/opportunities/1294878" TargetMode="External"/><Relationship Id="rId422" Type="http://schemas.openxmlformats.org/officeDocument/2006/relationships/hyperlink" Target="https://expa.aiesec.org/opportunities/1291304" TargetMode="External"/><Relationship Id="rId1253" Type="http://schemas.openxmlformats.org/officeDocument/2006/relationships/hyperlink" Target="https://expa.aiesec.org/opportunities/1289502" TargetMode="External"/><Relationship Id="rId421" Type="http://schemas.openxmlformats.org/officeDocument/2006/relationships/hyperlink" Target="https://expa.aiesec.org/opportunities/1289597" TargetMode="External"/><Relationship Id="rId1254" Type="http://schemas.openxmlformats.org/officeDocument/2006/relationships/hyperlink" Target="https://expa.aiesec.org/opportunities/1286326" TargetMode="External"/><Relationship Id="rId420" Type="http://schemas.openxmlformats.org/officeDocument/2006/relationships/hyperlink" Target="https://expa.aiesec.org/opportunities/1286228" TargetMode="External"/><Relationship Id="rId1255" Type="http://schemas.openxmlformats.org/officeDocument/2006/relationships/hyperlink" Target="https://expa.aiesec.org/opportunities/1296105" TargetMode="External"/><Relationship Id="rId1256" Type="http://schemas.openxmlformats.org/officeDocument/2006/relationships/hyperlink" Target="https://expa.aiesec.org/opportunities/1297990" TargetMode="External"/><Relationship Id="rId1246" Type="http://schemas.openxmlformats.org/officeDocument/2006/relationships/hyperlink" Target="https://expa.aiesec.org/opportunities/1295453" TargetMode="External"/><Relationship Id="rId1247" Type="http://schemas.openxmlformats.org/officeDocument/2006/relationships/hyperlink" Target="https://expa.aiesec.org/opportunities/1289536" TargetMode="External"/><Relationship Id="rId1248" Type="http://schemas.openxmlformats.org/officeDocument/2006/relationships/hyperlink" Target="https://expa.aiesec.org/opportunities/1289536" TargetMode="External"/><Relationship Id="rId1249" Type="http://schemas.openxmlformats.org/officeDocument/2006/relationships/hyperlink" Target="https://expa.aiesec.org/opportunities/1284476" TargetMode="External"/><Relationship Id="rId415" Type="http://schemas.openxmlformats.org/officeDocument/2006/relationships/hyperlink" Target="https://expa.aiesec.org/opportunities/1288393" TargetMode="External"/><Relationship Id="rId414" Type="http://schemas.openxmlformats.org/officeDocument/2006/relationships/hyperlink" Target="https://expa.aiesec.org/opportunities/1285687" TargetMode="External"/><Relationship Id="rId413" Type="http://schemas.openxmlformats.org/officeDocument/2006/relationships/hyperlink" Target="https://expa.aiesec.org/opportunities/1285687" TargetMode="External"/><Relationship Id="rId412" Type="http://schemas.openxmlformats.org/officeDocument/2006/relationships/hyperlink" Target="https://expa.aiesec.org/opportunities/1272564" TargetMode="External"/><Relationship Id="rId419" Type="http://schemas.openxmlformats.org/officeDocument/2006/relationships/hyperlink" Target="https://expa.aiesec.org/opportunities/1289597" TargetMode="External"/><Relationship Id="rId418" Type="http://schemas.openxmlformats.org/officeDocument/2006/relationships/hyperlink" Target="https://expa.aiesec.org/opportunities/1284976" TargetMode="External"/><Relationship Id="rId417" Type="http://schemas.openxmlformats.org/officeDocument/2006/relationships/hyperlink" Target="https://expa.aiesec.org/opportunities/1285687" TargetMode="External"/><Relationship Id="rId416" Type="http://schemas.openxmlformats.org/officeDocument/2006/relationships/hyperlink" Target="https://expa.aiesec.org/opportunities/1289536" TargetMode="External"/><Relationship Id="rId1240" Type="http://schemas.openxmlformats.org/officeDocument/2006/relationships/hyperlink" Target="https://expa.aiesec.org/opportunities/1286034" TargetMode="External"/><Relationship Id="rId1241" Type="http://schemas.openxmlformats.org/officeDocument/2006/relationships/hyperlink" Target="https://expa.aiesec.org/opportunities/1283891" TargetMode="External"/><Relationship Id="rId411" Type="http://schemas.openxmlformats.org/officeDocument/2006/relationships/hyperlink" Target="https://expa.aiesec.org/opportunities/1289597" TargetMode="External"/><Relationship Id="rId1242" Type="http://schemas.openxmlformats.org/officeDocument/2006/relationships/hyperlink" Target="https://expa.aiesec.org/opportunities/1296670" TargetMode="External"/><Relationship Id="rId410" Type="http://schemas.openxmlformats.org/officeDocument/2006/relationships/hyperlink" Target="https://expa.aiesec.org/opportunities/1284476" TargetMode="External"/><Relationship Id="rId1243" Type="http://schemas.openxmlformats.org/officeDocument/2006/relationships/hyperlink" Target="https://expa.aiesec.org/opportunities/1296105" TargetMode="External"/><Relationship Id="rId1244" Type="http://schemas.openxmlformats.org/officeDocument/2006/relationships/hyperlink" Target="https://expa.aiesec.org/opportunities/1289596" TargetMode="External"/><Relationship Id="rId1245" Type="http://schemas.openxmlformats.org/officeDocument/2006/relationships/hyperlink" Target="https://expa.aiesec.org/opportunities/1294651" TargetMode="External"/><Relationship Id="rId1279" Type="http://schemas.openxmlformats.org/officeDocument/2006/relationships/hyperlink" Target="https://expa.aiesec.org/opportunities/1296103" TargetMode="External"/><Relationship Id="rId448" Type="http://schemas.openxmlformats.org/officeDocument/2006/relationships/hyperlink" Target="https://expa.aiesec.org/opportunities/1286228" TargetMode="External"/><Relationship Id="rId447" Type="http://schemas.openxmlformats.org/officeDocument/2006/relationships/hyperlink" Target="https://expa.aiesec.org/opportunities/1284976" TargetMode="External"/><Relationship Id="rId446" Type="http://schemas.openxmlformats.org/officeDocument/2006/relationships/hyperlink" Target="https://expa.aiesec.org/opportunities/1291254" TargetMode="External"/><Relationship Id="rId445" Type="http://schemas.openxmlformats.org/officeDocument/2006/relationships/hyperlink" Target="https://expa.aiesec.org/opportunities/1289596" TargetMode="External"/><Relationship Id="rId449" Type="http://schemas.openxmlformats.org/officeDocument/2006/relationships/hyperlink" Target="https://expa.aiesec.org/opportunities/1291304" TargetMode="External"/><Relationship Id="rId1270" Type="http://schemas.openxmlformats.org/officeDocument/2006/relationships/hyperlink" Target="https://expa.aiesec.org/opportunities/1295893" TargetMode="External"/><Relationship Id="rId440" Type="http://schemas.openxmlformats.org/officeDocument/2006/relationships/hyperlink" Target="https://expa.aiesec.org/opportunities/1289261" TargetMode="External"/><Relationship Id="rId1271" Type="http://schemas.openxmlformats.org/officeDocument/2006/relationships/hyperlink" Target="https://expa.aiesec.org/opportunities/1295893" TargetMode="External"/><Relationship Id="rId1272" Type="http://schemas.openxmlformats.org/officeDocument/2006/relationships/hyperlink" Target="https://expa.aiesec.org/opportunities/1296101" TargetMode="External"/><Relationship Id="rId1273" Type="http://schemas.openxmlformats.org/officeDocument/2006/relationships/hyperlink" Target="https://expa.aiesec.org/opportunities/1296328" TargetMode="External"/><Relationship Id="rId1274" Type="http://schemas.openxmlformats.org/officeDocument/2006/relationships/hyperlink" Target="https://expa.aiesec.org/opportunities/1295893" TargetMode="External"/><Relationship Id="rId444" Type="http://schemas.openxmlformats.org/officeDocument/2006/relationships/hyperlink" Target="https://expa.aiesec.org/opportunities/1286228" TargetMode="External"/><Relationship Id="rId1275" Type="http://schemas.openxmlformats.org/officeDocument/2006/relationships/hyperlink" Target="https://expa.aiesec.org/opportunities/1279126" TargetMode="External"/><Relationship Id="rId443" Type="http://schemas.openxmlformats.org/officeDocument/2006/relationships/hyperlink" Target="https://expa.aiesec.org/opportunities/1289505" TargetMode="External"/><Relationship Id="rId1276" Type="http://schemas.openxmlformats.org/officeDocument/2006/relationships/hyperlink" Target="https://expa.aiesec.org/opportunities/1286228" TargetMode="External"/><Relationship Id="rId442" Type="http://schemas.openxmlformats.org/officeDocument/2006/relationships/hyperlink" Target="https://expa.aiesec.org/opportunities/1287966" TargetMode="External"/><Relationship Id="rId1277" Type="http://schemas.openxmlformats.org/officeDocument/2006/relationships/hyperlink" Target="https://expa.aiesec.org/opportunities/1296670" TargetMode="External"/><Relationship Id="rId441" Type="http://schemas.openxmlformats.org/officeDocument/2006/relationships/hyperlink" Target="https://expa.aiesec.org/opportunities/1292118" TargetMode="External"/><Relationship Id="rId1278" Type="http://schemas.openxmlformats.org/officeDocument/2006/relationships/hyperlink" Target="https://expa.aiesec.org/opportunities/1292557" TargetMode="External"/><Relationship Id="rId1268" Type="http://schemas.openxmlformats.org/officeDocument/2006/relationships/hyperlink" Target="https://expa.aiesec.org/opportunities/1285161" TargetMode="External"/><Relationship Id="rId1269" Type="http://schemas.openxmlformats.org/officeDocument/2006/relationships/hyperlink" Target="https://expa.aiesec.org/opportunities/1285161" TargetMode="External"/><Relationship Id="rId437" Type="http://schemas.openxmlformats.org/officeDocument/2006/relationships/hyperlink" Target="https://expa.aiesec.org/opportunities/1289536" TargetMode="External"/><Relationship Id="rId436" Type="http://schemas.openxmlformats.org/officeDocument/2006/relationships/hyperlink" Target="https://expa.aiesec.org/opportunities/1289536" TargetMode="External"/><Relationship Id="rId435" Type="http://schemas.openxmlformats.org/officeDocument/2006/relationships/hyperlink" Target="https://expa.aiesec.org/opportunities/1290826" TargetMode="External"/><Relationship Id="rId434" Type="http://schemas.openxmlformats.org/officeDocument/2006/relationships/hyperlink" Target="https://expa.aiesec.org/opportunities/1291585" TargetMode="External"/><Relationship Id="rId439" Type="http://schemas.openxmlformats.org/officeDocument/2006/relationships/hyperlink" Target="https://expa.aiesec.org/opportunities/1272564" TargetMode="External"/><Relationship Id="rId438" Type="http://schemas.openxmlformats.org/officeDocument/2006/relationships/hyperlink" Target="https://expa.aiesec.org/opportunities/1272564" TargetMode="External"/><Relationship Id="rId1260" Type="http://schemas.openxmlformats.org/officeDocument/2006/relationships/hyperlink" Target="https://expa.aiesec.org/opportunities/1296671" TargetMode="External"/><Relationship Id="rId1261" Type="http://schemas.openxmlformats.org/officeDocument/2006/relationships/hyperlink" Target="https://expa.aiesec.org/opportunities/1298556" TargetMode="External"/><Relationship Id="rId1262" Type="http://schemas.openxmlformats.org/officeDocument/2006/relationships/hyperlink" Target="https://expa.aiesec.org/opportunities/1298556" TargetMode="External"/><Relationship Id="rId1263" Type="http://schemas.openxmlformats.org/officeDocument/2006/relationships/hyperlink" Target="https://expa.aiesec.org/opportunities/1297247" TargetMode="External"/><Relationship Id="rId433" Type="http://schemas.openxmlformats.org/officeDocument/2006/relationships/hyperlink" Target="https://expa.aiesec.org/opportunities/1286228" TargetMode="External"/><Relationship Id="rId1264" Type="http://schemas.openxmlformats.org/officeDocument/2006/relationships/hyperlink" Target="https://expa.aiesec.org/opportunities/1295745" TargetMode="External"/><Relationship Id="rId432" Type="http://schemas.openxmlformats.org/officeDocument/2006/relationships/hyperlink" Target="https://expa.aiesec.org/opportunities/1291304" TargetMode="External"/><Relationship Id="rId1265" Type="http://schemas.openxmlformats.org/officeDocument/2006/relationships/hyperlink" Target="https://expa.aiesec.org/opportunities/1289597" TargetMode="External"/><Relationship Id="rId431" Type="http://schemas.openxmlformats.org/officeDocument/2006/relationships/hyperlink" Target="https://expa.aiesec.org/opportunities/1291304" TargetMode="External"/><Relationship Id="rId1266" Type="http://schemas.openxmlformats.org/officeDocument/2006/relationships/hyperlink" Target="https://expa.aiesec.org/opportunities/1296328" TargetMode="External"/><Relationship Id="rId430" Type="http://schemas.openxmlformats.org/officeDocument/2006/relationships/hyperlink" Target="https://expa.aiesec.org/opportunities/1284476" TargetMode="External"/><Relationship Id="rId1267" Type="http://schemas.openxmlformats.org/officeDocument/2006/relationships/hyperlink" Target="https://expa.aiesec.org/opportunities/1294211" TargetMode="External"/><Relationship Id="rId1" Type="http://schemas.openxmlformats.org/officeDocument/2006/relationships/hyperlink" Target="https://expa.aiesec.org/opportunities/1281351" TargetMode="External"/><Relationship Id="rId2" Type="http://schemas.openxmlformats.org/officeDocument/2006/relationships/hyperlink" Target="https://expa.aiesec.org/opportunities/1287628" TargetMode="External"/><Relationship Id="rId3" Type="http://schemas.openxmlformats.org/officeDocument/2006/relationships/hyperlink" Target="https://expa.aiesec.org/opportunities/1285687" TargetMode="External"/><Relationship Id="rId4" Type="http://schemas.openxmlformats.org/officeDocument/2006/relationships/hyperlink" Target="https://expa.aiesec.org/opportunities/1287380" TargetMode="External"/><Relationship Id="rId9" Type="http://schemas.openxmlformats.org/officeDocument/2006/relationships/hyperlink" Target="https://expa.aiesec.org/opportunities/1285681" TargetMode="External"/><Relationship Id="rId5" Type="http://schemas.openxmlformats.org/officeDocument/2006/relationships/hyperlink" Target="https://expa.aiesec.org/opportunities/1287558" TargetMode="External"/><Relationship Id="rId6" Type="http://schemas.openxmlformats.org/officeDocument/2006/relationships/hyperlink" Target="https://expa.aiesec.org/opportunities/1287137" TargetMode="External"/><Relationship Id="rId7" Type="http://schemas.openxmlformats.org/officeDocument/2006/relationships/hyperlink" Target="https://expa.aiesec.org/opportunities/1284976" TargetMode="External"/><Relationship Id="rId8" Type="http://schemas.openxmlformats.org/officeDocument/2006/relationships/hyperlink" Target="https://expa.aiesec.org/opportunities/1287851" TargetMode="External"/><Relationship Id="rId808" Type="http://schemas.openxmlformats.org/officeDocument/2006/relationships/hyperlink" Target="https://expa.aiesec.org/opportunities/1294387" TargetMode="External"/><Relationship Id="rId807" Type="http://schemas.openxmlformats.org/officeDocument/2006/relationships/hyperlink" Target="https://expa.aiesec.org/opportunities/1289596" TargetMode="External"/><Relationship Id="rId806" Type="http://schemas.openxmlformats.org/officeDocument/2006/relationships/hyperlink" Target="https://expa.aiesec.org/opportunities/1294894" TargetMode="External"/><Relationship Id="rId805" Type="http://schemas.openxmlformats.org/officeDocument/2006/relationships/hyperlink" Target="https://expa.aiesec.org/opportunities/1294584" TargetMode="External"/><Relationship Id="rId809" Type="http://schemas.openxmlformats.org/officeDocument/2006/relationships/hyperlink" Target="https://expa.aiesec.org/opportunities/1292531" TargetMode="External"/><Relationship Id="rId800" Type="http://schemas.openxmlformats.org/officeDocument/2006/relationships/hyperlink" Target="https://expa.aiesec.org/opportunities/1294894" TargetMode="External"/><Relationship Id="rId804" Type="http://schemas.openxmlformats.org/officeDocument/2006/relationships/hyperlink" Target="https://expa.aiesec.org/opportunities/1294894" TargetMode="External"/><Relationship Id="rId803" Type="http://schemas.openxmlformats.org/officeDocument/2006/relationships/hyperlink" Target="https://expa.aiesec.org/opportunities/1287488" TargetMode="External"/><Relationship Id="rId802" Type="http://schemas.openxmlformats.org/officeDocument/2006/relationships/hyperlink" Target="https://expa.aiesec.org/opportunities/1294068" TargetMode="External"/><Relationship Id="rId801" Type="http://schemas.openxmlformats.org/officeDocument/2006/relationships/hyperlink" Target="https://expa.aiesec.org/opportunities/1294651" TargetMode="External"/><Relationship Id="rId1334" Type="http://schemas.openxmlformats.org/officeDocument/2006/relationships/hyperlink" Target="https://expa.aiesec.org/opportunities/1292557" TargetMode="External"/><Relationship Id="rId1335" Type="http://schemas.openxmlformats.org/officeDocument/2006/relationships/hyperlink" Target="https://expa.aiesec.org/opportunities/1288497" TargetMode="External"/><Relationship Id="rId1336" Type="http://schemas.openxmlformats.org/officeDocument/2006/relationships/hyperlink" Target="https://expa.aiesec.org/opportunities/1288497" TargetMode="External"/><Relationship Id="rId1337" Type="http://schemas.openxmlformats.org/officeDocument/2006/relationships/hyperlink" Target="https://expa.aiesec.org/opportunities/1296101" TargetMode="External"/><Relationship Id="rId1338" Type="http://schemas.openxmlformats.org/officeDocument/2006/relationships/hyperlink" Target="https://expa.aiesec.org/opportunities/1295745" TargetMode="External"/><Relationship Id="rId1339" Type="http://schemas.openxmlformats.org/officeDocument/2006/relationships/hyperlink" Target="https://expa.aiesec.org/opportunities/1295453" TargetMode="External"/><Relationship Id="rId745" Type="http://schemas.openxmlformats.org/officeDocument/2006/relationships/hyperlink" Target="https://expa.aiesec.org/opportunities/1288663" TargetMode="External"/><Relationship Id="rId744" Type="http://schemas.openxmlformats.org/officeDocument/2006/relationships/hyperlink" Target="https://expa.aiesec.org/opportunities/1286326" TargetMode="External"/><Relationship Id="rId743" Type="http://schemas.openxmlformats.org/officeDocument/2006/relationships/hyperlink" Target="https://expa.aiesec.org/opportunities/1289100" TargetMode="External"/><Relationship Id="rId742" Type="http://schemas.openxmlformats.org/officeDocument/2006/relationships/hyperlink" Target="https://expa.aiesec.org/opportunities/1286326" TargetMode="External"/><Relationship Id="rId749" Type="http://schemas.openxmlformats.org/officeDocument/2006/relationships/hyperlink" Target="https://expa.aiesec.org/opportunities/1294387" TargetMode="External"/><Relationship Id="rId748" Type="http://schemas.openxmlformats.org/officeDocument/2006/relationships/hyperlink" Target="https://expa.aiesec.org/opportunities/1289597" TargetMode="External"/><Relationship Id="rId747" Type="http://schemas.openxmlformats.org/officeDocument/2006/relationships/hyperlink" Target="https://expa.aiesec.org/opportunities/1293417" TargetMode="External"/><Relationship Id="rId746" Type="http://schemas.openxmlformats.org/officeDocument/2006/relationships/hyperlink" Target="https://expa.aiesec.org/opportunities/1294254" TargetMode="External"/><Relationship Id="rId741" Type="http://schemas.openxmlformats.org/officeDocument/2006/relationships/hyperlink" Target="https://expa.aiesec.org/opportunities/1292793" TargetMode="External"/><Relationship Id="rId1330" Type="http://schemas.openxmlformats.org/officeDocument/2006/relationships/hyperlink" Target="https://expa.aiesec.org/opportunities/1284476" TargetMode="External"/><Relationship Id="rId740" Type="http://schemas.openxmlformats.org/officeDocument/2006/relationships/hyperlink" Target="https://expa.aiesec.org/opportunities/1283891" TargetMode="External"/><Relationship Id="rId1331" Type="http://schemas.openxmlformats.org/officeDocument/2006/relationships/hyperlink" Target="https://expa.aiesec.org/opportunities/1279126" TargetMode="External"/><Relationship Id="rId1332" Type="http://schemas.openxmlformats.org/officeDocument/2006/relationships/hyperlink" Target="https://expa.aiesec.org/opportunities/1289596" TargetMode="External"/><Relationship Id="rId1333" Type="http://schemas.openxmlformats.org/officeDocument/2006/relationships/hyperlink" Target="https://expa.aiesec.org/opportunities/1279126" TargetMode="External"/><Relationship Id="rId1323" Type="http://schemas.openxmlformats.org/officeDocument/2006/relationships/hyperlink" Target="https://expa.aiesec.org/opportunities/1279126" TargetMode="External"/><Relationship Id="rId1324" Type="http://schemas.openxmlformats.org/officeDocument/2006/relationships/hyperlink" Target="https://expa.aiesec.org/opportunities/1279126" TargetMode="External"/><Relationship Id="rId1325" Type="http://schemas.openxmlformats.org/officeDocument/2006/relationships/hyperlink" Target="https://expa.aiesec.org/opportunities/1279126" TargetMode="External"/><Relationship Id="rId1326" Type="http://schemas.openxmlformats.org/officeDocument/2006/relationships/hyperlink" Target="https://expa.aiesec.org/opportunities/1297990" TargetMode="External"/><Relationship Id="rId1327" Type="http://schemas.openxmlformats.org/officeDocument/2006/relationships/hyperlink" Target="https://expa.aiesec.org/opportunities/1295893" TargetMode="External"/><Relationship Id="rId1328" Type="http://schemas.openxmlformats.org/officeDocument/2006/relationships/hyperlink" Target="https://expa.aiesec.org/opportunities/1295893" TargetMode="External"/><Relationship Id="rId1329" Type="http://schemas.openxmlformats.org/officeDocument/2006/relationships/hyperlink" Target="https://expa.aiesec.org/opportunities/1295893" TargetMode="External"/><Relationship Id="rId739" Type="http://schemas.openxmlformats.org/officeDocument/2006/relationships/hyperlink" Target="https://expa.aiesec.org/opportunities/1286326" TargetMode="External"/><Relationship Id="rId734" Type="http://schemas.openxmlformats.org/officeDocument/2006/relationships/hyperlink" Target="https://expa.aiesec.org/opportunities/1283891" TargetMode="External"/><Relationship Id="rId733" Type="http://schemas.openxmlformats.org/officeDocument/2006/relationships/hyperlink" Target="https://expa.aiesec.org/opportunities/1285687" TargetMode="External"/><Relationship Id="rId732" Type="http://schemas.openxmlformats.org/officeDocument/2006/relationships/hyperlink" Target="https://expa.aiesec.org/opportunities/1287749" TargetMode="External"/><Relationship Id="rId731" Type="http://schemas.openxmlformats.org/officeDocument/2006/relationships/hyperlink" Target="https://expa.aiesec.org/opportunities/1294254" TargetMode="External"/><Relationship Id="rId738" Type="http://schemas.openxmlformats.org/officeDocument/2006/relationships/hyperlink" Target="https://expa.aiesec.org/opportunities/1289228" TargetMode="External"/><Relationship Id="rId737" Type="http://schemas.openxmlformats.org/officeDocument/2006/relationships/hyperlink" Target="https://expa.aiesec.org/opportunities/1294061" TargetMode="External"/><Relationship Id="rId736" Type="http://schemas.openxmlformats.org/officeDocument/2006/relationships/hyperlink" Target="https://expa.aiesec.org/opportunities/1294410" TargetMode="External"/><Relationship Id="rId735" Type="http://schemas.openxmlformats.org/officeDocument/2006/relationships/hyperlink" Target="https://expa.aiesec.org/opportunities/1294254" TargetMode="External"/><Relationship Id="rId730" Type="http://schemas.openxmlformats.org/officeDocument/2006/relationships/hyperlink" Target="https://expa.aiesec.org/opportunities/1287101" TargetMode="External"/><Relationship Id="rId1320" Type="http://schemas.openxmlformats.org/officeDocument/2006/relationships/hyperlink" Target="https://expa.aiesec.org/opportunities/1287966" TargetMode="External"/><Relationship Id="rId1321" Type="http://schemas.openxmlformats.org/officeDocument/2006/relationships/hyperlink" Target="https://expa.aiesec.org/opportunities/1284081" TargetMode="External"/><Relationship Id="rId1322" Type="http://schemas.openxmlformats.org/officeDocument/2006/relationships/hyperlink" Target="https://expa.aiesec.org/opportunities/1289502" TargetMode="External"/><Relationship Id="rId1356" Type="http://schemas.openxmlformats.org/officeDocument/2006/relationships/hyperlink" Target="https://expa.aiesec.org/opportunities/1272564" TargetMode="External"/><Relationship Id="rId1357" Type="http://schemas.openxmlformats.org/officeDocument/2006/relationships/hyperlink" Target="https://expa.aiesec.org/opportunities/1295453" TargetMode="External"/><Relationship Id="rId1358" Type="http://schemas.openxmlformats.org/officeDocument/2006/relationships/hyperlink" Target="https://expa.aiesec.org/opportunities/1289596" TargetMode="External"/><Relationship Id="rId1359" Type="http://schemas.openxmlformats.org/officeDocument/2006/relationships/hyperlink" Target="https://expa.aiesec.org/opportunities/1272564" TargetMode="External"/><Relationship Id="rId767" Type="http://schemas.openxmlformats.org/officeDocument/2006/relationships/hyperlink" Target="https://expa.aiesec.org/opportunities/1288490" TargetMode="External"/><Relationship Id="rId766" Type="http://schemas.openxmlformats.org/officeDocument/2006/relationships/hyperlink" Target="https://expa.aiesec.org/opportunities/1288490" TargetMode="External"/><Relationship Id="rId765" Type="http://schemas.openxmlformats.org/officeDocument/2006/relationships/hyperlink" Target="https://expa.aiesec.org/opportunities/1286326" TargetMode="External"/><Relationship Id="rId764" Type="http://schemas.openxmlformats.org/officeDocument/2006/relationships/hyperlink" Target="https://expa.aiesec.org/opportunities/1288490" TargetMode="External"/><Relationship Id="rId769" Type="http://schemas.openxmlformats.org/officeDocument/2006/relationships/hyperlink" Target="https://expa.aiesec.org/opportunities/1294068" TargetMode="External"/><Relationship Id="rId768" Type="http://schemas.openxmlformats.org/officeDocument/2006/relationships/hyperlink" Target="https://expa.aiesec.org/opportunities/1294061" TargetMode="External"/><Relationship Id="rId1350" Type="http://schemas.openxmlformats.org/officeDocument/2006/relationships/hyperlink" Target="https://expa.aiesec.org/opportunities/1289596" TargetMode="External"/><Relationship Id="rId1351" Type="http://schemas.openxmlformats.org/officeDocument/2006/relationships/hyperlink" Target="https://expa.aiesec.org/opportunities/1289347" TargetMode="External"/><Relationship Id="rId763" Type="http://schemas.openxmlformats.org/officeDocument/2006/relationships/hyperlink" Target="https://expa.aiesec.org/opportunities/1288245" TargetMode="External"/><Relationship Id="rId1352" Type="http://schemas.openxmlformats.org/officeDocument/2006/relationships/hyperlink" Target="https://expa.aiesec.org/opportunities/1279126" TargetMode="External"/><Relationship Id="rId762" Type="http://schemas.openxmlformats.org/officeDocument/2006/relationships/hyperlink" Target="https://expa.aiesec.org/opportunities/1289261" TargetMode="External"/><Relationship Id="rId1353" Type="http://schemas.openxmlformats.org/officeDocument/2006/relationships/hyperlink" Target="https://expa.aiesec.org/opportunities/1279126" TargetMode="External"/><Relationship Id="rId761" Type="http://schemas.openxmlformats.org/officeDocument/2006/relationships/hyperlink" Target="https://expa.aiesec.org/opportunities/1289261" TargetMode="External"/><Relationship Id="rId1354" Type="http://schemas.openxmlformats.org/officeDocument/2006/relationships/hyperlink" Target="https://expa.aiesec.org/opportunities/1295453" TargetMode="External"/><Relationship Id="rId760" Type="http://schemas.openxmlformats.org/officeDocument/2006/relationships/hyperlink" Target="https://expa.aiesec.org/opportunities/1294622" TargetMode="External"/><Relationship Id="rId1355" Type="http://schemas.openxmlformats.org/officeDocument/2006/relationships/hyperlink" Target="https://expa.aiesec.org/opportunities/1295453" TargetMode="External"/><Relationship Id="rId1345" Type="http://schemas.openxmlformats.org/officeDocument/2006/relationships/hyperlink" Target="https://expa.aiesec.org/opportunities/1295453" TargetMode="External"/><Relationship Id="rId1346" Type="http://schemas.openxmlformats.org/officeDocument/2006/relationships/hyperlink" Target="https://expa.aiesec.org/opportunities/1288970" TargetMode="External"/><Relationship Id="rId1347" Type="http://schemas.openxmlformats.org/officeDocument/2006/relationships/hyperlink" Target="https://expa.aiesec.org/opportunities/1296671" TargetMode="External"/><Relationship Id="rId1348" Type="http://schemas.openxmlformats.org/officeDocument/2006/relationships/hyperlink" Target="https://expa.aiesec.org/opportunities/1289536" TargetMode="External"/><Relationship Id="rId1349" Type="http://schemas.openxmlformats.org/officeDocument/2006/relationships/hyperlink" Target="https://expa.aiesec.org/opportunities/1285681" TargetMode="External"/><Relationship Id="rId756" Type="http://schemas.openxmlformats.org/officeDocument/2006/relationships/hyperlink" Target="https://expa.aiesec.org/opportunities/1294387" TargetMode="External"/><Relationship Id="rId755" Type="http://schemas.openxmlformats.org/officeDocument/2006/relationships/hyperlink" Target="https://expa.aiesec.org/opportunities/1289261" TargetMode="External"/><Relationship Id="rId754" Type="http://schemas.openxmlformats.org/officeDocument/2006/relationships/hyperlink" Target="https://expa.aiesec.org/opportunities/1289100" TargetMode="External"/><Relationship Id="rId753" Type="http://schemas.openxmlformats.org/officeDocument/2006/relationships/hyperlink" Target="https://expa.aiesec.org/opportunities/1294103" TargetMode="External"/><Relationship Id="rId759" Type="http://schemas.openxmlformats.org/officeDocument/2006/relationships/hyperlink" Target="https://expa.aiesec.org/opportunities/1294622" TargetMode="External"/><Relationship Id="rId758" Type="http://schemas.openxmlformats.org/officeDocument/2006/relationships/hyperlink" Target="https://expa.aiesec.org/opportunities/1288611" TargetMode="External"/><Relationship Id="rId757" Type="http://schemas.openxmlformats.org/officeDocument/2006/relationships/hyperlink" Target="https://expa.aiesec.org/opportunities/1289261" TargetMode="External"/><Relationship Id="rId1340" Type="http://schemas.openxmlformats.org/officeDocument/2006/relationships/hyperlink" Target="https://expa.aiesec.org/opportunities/1287966" TargetMode="External"/><Relationship Id="rId752" Type="http://schemas.openxmlformats.org/officeDocument/2006/relationships/hyperlink" Target="https://expa.aiesec.org/opportunities/1294061" TargetMode="External"/><Relationship Id="rId1341" Type="http://schemas.openxmlformats.org/officeDocument/2006/relationships/hyperlink" Target="https://expa.aiesec.org/opportunities/1279126" TargetMode="External"/><Relationship Id="rId751" Type="http://schemas.openxmlformats.org/officeDocument/2006/relationships/hyperlink" Target="https://expa.aiesec.org/opportunities/1291144" TargetMode="External"/><Relationship Id="rId1342" Type="http://schemas.openxmlformats.org/officeDocument/2006/relationships/hyperlink" Target="https://expa.aiesec.org/opportunities/1286920" TargetMode="External"/><Relationship Id="rId750" Type="http://schemas.openxmlformats.org/officeDocument/2006/relationships/hyperlink" Target="https://expa.aiesec.org/opportunities/1289596" TargetMode="External"/><Relationship Id="rId1343" Type="http://schemas.openxmlformats.org/officeDocument/2006/relationships/hyperlink" Target="https://expa.aiesec.org/opportunities/1279126" TargetMode="External"/><Relationship Id="rId1344" Type="http://schemas.openxmlformats.org/officeDocument/2006/relationships/hyperlink" Target="https://expa.aiesec.org/opportunities/1286236" TargetMode="External"/><Relationship Id="rId709" Type="http://schemas.openxmlformats.org/officeDocument/2006/relationships/hyperlink" Target="https://expa.aiesec.org/opportunities/1291254" TargetMode="External"/><Relationship Id="rId708" Type="http://schemas.openxmlformats.org/officeDocument/2006/relationships/hyperlink" Target="https://expa.aiesec.org/opportunities/1288663" TargetMode="External"/><Relationship Id="rId707" Type="http://schemas.openxmlformats.org/officeDocument/2006/relationships/hyperlink" Target="https://expa.aiesec.org/opportunities/1286326" TargetMode="External"/><Relationship Id="rId706" Type="http://schemas.openxmlformats.org/officeDocument/2006/relationships/hyperlink" Target="https://expa.aiesec.org/opportunities/1287226" TargetMode="External"/><Relationship Id="rId701" Type="http://schemas.openxmlformats.org/officeDocument/2006/relationships/hyperlink" Target="https://expa.aiesec.org/opportunities/1294061" TargetMode="External"/><Relationship Id="rId700" Type="http://schemas.openxmlformats.org/officeDocument/2006/relationships/hyperlink" Target="https://expa.aiesec.org/opportunities/1283483" TargetMode="External"/><Relationship Id="rId705" Type="http://schemas.openxmlformats.org/officeDocument/2006/relationships/hyperlink" Target="https://expa.aiesec.org/opportunities/1294061" TargetMode="External"/><Relationship Id="rId704" Type="http://schemas.openxmlformats.org/officeDocument/2006/relationships/hyperlink" Target="https://expa.aiesec.org/opportunities/1289536" TargetMode="External"/><Relationship Id="rId703" Type="http://schemas.openxmlformats.org/officeDocument/2006/relationships/hyperlink" Target="https://expa.aiesec.org/opportunities/1279126" TargetMode="External"/><Relationship Id="rId702" Type="http://schemas.openxmlformats.org/officeDocument/2006/relationships/hyperlink" Target="https://expa.aiesec.org/opportunities/1292793" TargetMode="External"/><Relationship Id="rId1312" Type="http://schemas.openxmlformats.org/officeDocument/2006/relationships/hyperlink" Target="https://expa.aiesec.org/opportunities/1280872" TargetMode="External"/><Relationship Id="rId1313" Type="http://schemas.openxmlformats.org/officeDocument/2006/relationships/hyperlink" Target="https://expa.aiesec.org/opportunities/1279126" TargetMode="External"/><Relationship Id="rId1314" Type="http://schemas.openxmlformats.org/officeDocument/2006/relationships/hyperlink" Target="https://expa.aiesec.org/opportunities/1286920" TargetMode="External"/><Relationship Id="rId1315" Type="http://schemas.openxmlformats.org/officeDocument/2006/relationships/hyperlink" Target="https://expa.aiesec.org/opportunities/1291055" TargetMode="External"/><Relationship Id="rId1316" Type="http://schemas.openxmlformats.org/officeDocument/2006/relationships/hyperlink" Target="https://expa.aiesec.org/opportunities/1298556" TargetMode="External"/><Relationship Id="rId1317" Type="http://schemas.openxmlformats.org/officeDocument/2006/relationships/hyperlink" Target="https://expa.aiesec.org/opportunities/1298556" TargetMode="External"/><Relationship Id="rId1318" Type="http://schemas.openxmlformats.org/officeDocument/2006/relationships/hyperlink" Target="https://expa.aiesec.org/opportunities/1298556" TargetMode="External"/><Relationship Id="rId1319" Type="http://schemas.openxmlformats.org/officeDocument/2006/relationships/hyperlink" Target="https://expa.aiesec.org/opportunities/1285690" TargetMode="External"/><Relationship Id="rId729" Type="http://schemas.openxmlformats.org/officeDocument/2006/relationships/hyperlink" Target="https://expa.aiesec.org/opportunities/1289228" TargetMode="External"/><Relationship Id="rId728" Type="http://schemas.openxmlformats.org/officeDocument/2006/relationships/hyperlink" Target="https://expa.aiesec.org/opportunities/1294197" TargetMode="External"/><Relationship Id="rId723" Type="http://schemas.openxmlformats.org/officeDocument/2006/relationships/hyperlink" Target="https://expa.aiesec.org/opportunities/1294410" TargetMode="External"/><Relationship Id="rId722" Type="http://schemas.openxmlformats.org/officeDocument/2006/relationships/hyperlink" Target="https://expa.aiesec.org/opportunities/1272564" TargetMode="External"/><Relationship Id="rId721" Type="http://schemas.openxmlformats.org/officeDocument/2006/relationships/hyperlink" Target="https://expa.aiesec.org/opportunities/1272564" TargetMode="External"/><Relationship Id="rId720" Type="http://schemas.openxmlformats.org/officeDocument/2006/relationships/hyperlink" Target="https://expa.aiesec.org/opportunities/1293495" TargetMode="External"/><Relationship Id="rId727" Type="http://schemas.openxmlformats.org/officeDocument/2006/relationships/hyperlink" Target="https://expa.aiesec.org/opportunities/1294197" TargetMode="External"/><Relationship Id="rId726" Type="http://schemas.openxmlformats.org/officeDocument/2006/relationships/hyperlink" Target="https://expa.aiesec.org/opportunities/1281357" TargetMode="External"/><Relationship Id="rId725" Type="http://schemas.openxmlformats.org/officeDocument/2006/relationships/hyperlink" Target="https://expa.aiesec.org/opportunities/1294103" TargetMode="External"/><Relationship Id="rId724" Type="http://schemas.openxmlformats.org/officeDocument/2006/relationships/hyperlink" Target="https://expa.aiesec.org/opportunities/1294410" TargetMode="External"/><Relationship Id="rId1310" Type="http://schemas.openxmlformats.org/officeDocument/2006/relationships/hyperlink" Target="https://expa.aiesec.org/opportunities/1296325" TargetMode="External"/><Relationship Id="rId1311" Type="http://schemas.openxmlformats.org/officeDocument/2006/relationships/hyperlink" Target="https://expa.aiesec.org/opportunities/1296325" TargetMode="External"/><Relationship Id="rId1301" Type="http://schemas.openxmlformats.org/officeDocument/2006/relationships/hyperlink" Target="https://expa.aiesec.org/opportunities/1279126" TargetMode="External"/><Relationship Id="rId1302" Type="http://schemas.openxmlformats.org/officeDocument/2006/relationships/hyperlink" Target="https://expa.aiesec.org/opportunities/1289502" TargetMode="External"/><Relationship Id="rId1303" Type="http://schemas.openxmlformats.org/officeDocument/2006/relationships/hyperlink" Target="https://expa.aiesec.org/opportunities/1291254" TargetMode="External"/><Relationship Id="rId1304" Type="http://schemas.openxmlformats.org/officeDocument/2006/relationships/hyperlink" Target="https://expa.aiesec.org/opportunities/1295453" TargetMode="External"/><Relationship Id="rId1305" Type="http://schemas.openxmlformats.org/officeDocument/2006/relationships/hyperlink" Target="https://expa.aiesec.org/opportunities/1296101" TargetMode="External"/><Relationship Id="rId1306" Type="http://schemas.openxmlformats.org/officeDocument/2006/relationships/hyperlink" Target="https://expa.aiesec.org/opportunities/1296325" TargetMode="External"/><Relationship Id="rId1307" Type="http://schemas.openxmlformats.org/officeDocument/2006/relationships/hyperlink" Target="https://expa.aiesec.org/opportunities/1279126" TargetMode="External"/><Relationship Id="rId1308" Type="http://schemas.openxmlformats.org/officeDocument/2006/relationships/hyperlink" Target="https://expa.aiesec.org/opportunities/1279126" TargetMode="External"/><Relationship Id="rId1309" Type="http://schemas.openxmlformats.org/officeDocument/2006/relationships/hyperlink" Target="https://expa.aiesec.org/opportunities/1291144" TargetMode="External"/><Relationship Id="rId719" Type="http://schemas.openxmlformats.org/officeDocument/2006/relationships/hyperlink" Target="https://expa.aiesec.org/opportunities/1292773" TargetMode="External"/><Relationship Id="rId718" Type="http://schemas.openxmlformats.org/officeDocument/2006/relationships/hyperlink" Target="https://expa.aiesec.org/opportunities/1291929" TargetMode="External"/><Relationship Id="rId717" Type="http://schemas.openxmlformats.org/officeDocument/2006/relationships/hyperlink" Target="https://expa.aiesec.org/opportunities/1294068" TargetMode="External"/><Relationship Id="rId712" Type="http://schemas.openxmlformats.org/officeDocument/2006/relationships/hyperlink" Target="https://expa.aiesec.org/opportunities/1287488" TargetMode="External"/><Relationship Id="rId711" Type="http://schemas.openxmlformats.org/officeDocument/2006/relationships/hyperlink" Target="https://expa.aiesec.org/opportunities/1289100" TargetMode="External"/><Relationship Id="rId710" Type="http://schemas.openxmlformats.org/officeDocument/2006/relationships/hyperlink" Target="https://expa.aiesec.org/opportunities/1287226" TargetMode="External"/><Relationship Id="rId716" Type="http://schemas.openxmlformats.org/officeDocument/2006/relationships/hyperlink" Target="https://expa.aiesec.org/opportunities/1293417" TargetMode="External"/><Relationship Id="rId715" Type="http://schemas.openxmlformats.org/officeDocument/2006/relationships/hyperlink" Target="https://expa.aiesec.org/opportunities/1289100" TargetMode="External"/><Relationship Id="rId714" Type="http://schemas.openxmlformats.org/officeDocument/2006/relationships/hyperlink" Target="https://expa.aiesec.org/opportunities/1289228" TargetMode="External"/><Relationship Id="rId713" Type="http://schemas.openxmlformats.org/officeDocument/2006/relationships/hyperlink" Target="https://expa.aiesec.org/opportunities/1292557" TargetMode="External"/><Relationship Id="rId1300" Type="http://schemas.openxmlformats.org/officeDocument/2006/relationships/hyperlink" Target="https://expa.aiesec.org/opportunities/1298556" TargetMode="External"/><Relationship Id="rId1378" Type="http://schemas.openxmlformats.org/officeDocument/2006/relationships/hyperlink" Target="https://expa.aiesec.org/opportunities/1295893" TargetMode="External"/><Relationship Id="rId1379" Type="http://schemas.openxmlformats.org/officeDocument/2006/relationships/hyperlink" Target="https://expa.aiesec.org/opportunities/1298282" TargetMode="External"/><Relationship Id="rId789" Type="http://schemas.openxmlformats.org/officeDocument/2006/relationships/hyperlink" Target="https://expa.aiesec.org/opportunities/1284077" TargetMode="External"/><Relationship Id="rId788" Type="http://schemas.openxmlformats.org/officeDocument/2006/relationships/hyperlink" Target="https://expa.aiesec.org/opportunities/1284670" TargetMode="External"/><Relationship Id="rId787" Type="http://schemas.openxmlformats.org/officeDocument/2006/relationships/hyperlink" Target="https://expa.aiesec.org/opportunities/1291144" TargetMode="External"/><Relationship Id="rId786" Type="http://schemas.openxmlformats.org/officeDocument/2006/relationships/hyperlink" Target="https://expa.aiesec.org/opportunities/1292793" TargetMode="External"/><Relationship Id="rId781" Type="http://schemas.openxmlformats.org/officeDocument/2006/relationships/hyperlink" Target="https://expa.aiesec.org/opportunities/1294068" TargetMode="External"/><Relationship Id="rId1370" Type="http://schemas.openxmlformats.org/officeDocument/2006/relationships/hyperlink" Target="https://expa.aiesec.org/opportunities/1296037" TargetMode="External"/><Relationship Id="rId780" Type="http://schemas.openxmlformats.org/officeDocument/2006/relationships/hyperlink" Target="https://expa.aiesec.org/opportunities/1291144" TargetMode="External"/><Relationship Id="rId1371" Type="http://schemas.openxmlformats.org/officeDocument/2006/relationships/hyperlink" Target="https://expa.aiesec.org/opportunities/1287488" TargetMode="External"/><Relationship Id="rId1372" Type="http://schemas.openxmlformats.org/officeDocument/2006/relationships/hyperlink" Target="https://expa.aiesec.org/opportunities/1295453" TargetMode="External"/><Relationship Id="rId1373" Type="http://schemas.openxmlformats.org/officeDocument/2006/relationships/hyperlink" Target="https://expa.aiesec.org/opportunities/1298284" TargetMode="External"/><Relationship Id="rId785" Type="http://schemas.openxmlformats.org/officeDocument/2006/relationships/hyperlink" Target="https://expa.aiesec.org/opportunities/1294197" TargetMode="External"/><Relationship Id="rId1374" Type="http://schemas.openxmlformats.org/officeDocument/2006/relationships/hyperlink" Target="https://expa.aiesec.org/opportunities/1298556" TargetMode="External"/><Relationship Id="rId784" Type="http://schemas.openxmlformats.org/officeDocument/2006/relationships/hyperlink" Target="https://expa.aiesec.org/opportunities/1284670" TargetMode="External"/><Relationship Id="rId1375" Type="http://schemas.openxmlformats.org/officeDocument/2006/relationships/hyperlink" Target="https://expa.aiesec.org/opportunities/1296670" TargetMode="External"/><Relationship Id="rId783" Type="http://schemas.openxmlformats.org/officeDocument/2006/relationships/hyperlink" Target="https://expa.aiesec.org/opportunities/1289261" TargetMode="External"/><Relationship Id="rId1376" Type="http://schemas.openxmlformats.org/officeDocument/2006/relationships/hyperlink" Target="https://expa.aiesec.org/opportunities/1272564" TargetMode="External"/><Relationship Id="rId782" Type="http://schemas.openxmlformats.org/officeDocument/2006/relationships/hyperlink" Target="https://expa.aiesec.org/opportunities/1292535" TargetMode="External"/><Relationship Id="rId1377" Type="http://schemas.openxmlformats.org/officeDocument/2006/relationships/hyperlink" Target="https://expa.aiesec.org/opportunities/1298284" TargetMode="External"/><Relationship Id="rId1367" Type="http://schemas.openxmlformats.org/officeDocument/2006/relationships/hyperlink" Target="https://expa.aiesec.org/opportunities/1272564" TargetMode="External"/><Relationship Id="rId1368" Type="http://schemas.openxmlformats.org/officeDocument/2006/relationships/hyperlink" Target="https://expa.aiesec.org/opportunities/1295453" TargetMode="External"/><Relationship Id="rId1369" Type="http://schemas.openxmlformats.org/officeDocument/2006/relationships/hyperlink" Target="https://expa.aiesec.org/opportunities/1295453" TargetMode="External"/><Relationship Id="rId778" Type="http://schemas.openxmlformats.org/officeDocument/2006/relationships/hyperlink" Target="https://expa.aiesec.org/opportunities/1287488" TargetMode="External"/><Relationship Id="rId777" Type="http://schemas.openxmlformats.org/officeDocument/2006/relationships/hyperlink" Target="https://expa.aiesec.org/opportunities/1294584" TargetMode="External"/><Relationship Id="rId776" Type="http://schemas.openxmlformats.org/officeDocument/2006/relationships/hyperlink" Target="https://expa.aiesec.org/opportunities/1294584" TargetMode="External"/><Relationship Id="rId775" Type="http://schemas.openxmlformats.org/officeDocument/2006/relationships/hyperlink" Target="https://expa.aiesec.org/opportunities/1294254" TargetMode="External"/><Relationship Id="rId779" Type="http://schemas.openxmlformats.org/officeDocument/2006/relationships/hyperlink" Target="https://expa.aiesec.org/opportunities/1286034" TargetMode="External"/><Relationship Id="rId770" Type="http://schemas.openxmlformats.org/officeDocument/2006/relationships/hyperlink" Target="https://expa.aiesec.org/opportunities/1286326" TargetMode="External"/><Relationship Id="rId1360" Type="http://schemas.openxmlformats.org/officeDocument/2006/relationships/hyperlink" Target="https://expa.aiesec.org/opportunities/1288663" TargetMode="External"/><Relationship Id="rId1361" Type="http://schemas.openxmlformats.org/officeDocument/2006/relationships/hyperlink" Target="https://expa.aiesec.org/opportunities/1289505" TargetMode="External"/><Relationship Id="rId1362" Type="http://schemas.openxmlformats.org/officeDocument/2006/relationships/hyperlink" Target="https://expa.aiesec.org/opportunities/1297990" TargetMode="External"/><Relationship Id="rId774" Type="http://schemas.openxmlformats.org/officeDocument/2006/relationships/hyperlink" Target="https://expa.aiesec.org/opportunities/1289261" TargetMode="External"/><Relationship Id="rId1363" Type="http://schemas.openxmlformats.org/officeDocument/2006/relationships/hyperlink" Target="https://expa.aiesec.org/opportunities/1289536" TargetMode="External"/><Relationship Id="rId773" Type="http://schemas.openxmlformats.org/officeDocument/2006/relationships/hyperlink" Target="https://expa.aiesec.org/opportunities/1286326" TargetMode="External"/><Relationship Id="rId1364" Type="http://schemas.openxmlformats.org/officeDocument/2006/relationships/hyperlink" Target="https://expa.aiesec.org/opportunities/1289505" TargetMode="External"/><Relationship Id="rId772" Type="http://schemas.openxmlformats.org/officeDocument/2006/relationships/hyperlink" Target="https://expa.aiesec.org/opportunities/1288970" TargetMode="External"/><Relationship Id="rId1365" Type="http://schemas.openxmlformats.org/officeDocument/2006/relationships/hyperlink" Target="https://expa.aiesec.org/opportunities/1299474" TargetMode="External"/><Relationship Id="rId771" Type="http://schemas.openxmlformats.org/officeDocument/2006/relationships/hyperlink" Target="https://expa.aiesec.org/opportunities/1289597" TargetMode="External"/><Relationship Id="rId1366" Type="http://schemas.openxmlformats.org/officeDocument/2006/relationships/hyperlink" Target="https://expa.aiesec.org/opportunities/1289505" TargetMode="External"/><Relationship Id="rId1390" Type="http://schemas.openxmlformats.org/officeDocument/2006/relationships/hyperlink" Target="https://expa.aiesec.org/opportunities/1295453" TargetMode="External"/><Relationship Id="rId1391" Type="http://schemas.openxmlformats.org/officeDocument/2006/relationships/hyperlink" Target="https://expa.aiesec.org/opportunities/1286236" TargetMode="External"/><Relationship Id="rId1392" Type="http://schemas.openxmlformats.org/officeDocument/2006/relationships/hyperlink" Target="https://expa.aiesec.org/opportunities/1289347" TargetMode="External"/><Relationship Id="rId1393" Type="http://schemas.openxmlformats.org/officeDocument/2006/relationships/hyperlink" Target="https://expa.aiesec.org/opportunities/1279126" TargetMode="External"/><Relationship Id="rId1394" Type="http://schemas.openxmlformats.org/officeDocument/2006/relationships/hyperlink" Target="https://expa.aiesec.org/opportunities/1295745" TargetMode="External"/><Relationship Id="rId1395" Type="http://schemas.openxmlformats.org/officeDocument/2006/relationships/hyperlink" Target="https://expa.aiesec.org/opportunities/1289347" TargetMode="External"/><Relationship Id="rId1396" Type="http://schemas.openxmlformats.org/officeDocument/2006/relationships/hyperlink" Target="https://expa.aiesec.org/opportunities/1289536" TargetMode="External"/><Relationship Id="rId1397" Type="http://schemas.openxmlformats.org/officeDocument/2006/relationships/hyperlink" Target="https://expa.aiesec.org/opportunities/1284077" TargetMode="External"/><Relationship Id="rId1398" Type="http://schemas.openxmlformats.org/officeDocument/2006/relationships/hyperlink" Target="https://expa.aiesec.org/opportunities/1289536" TargetMode="External"/><Relationship Id="rId1399" Type="http://schemas.openxmlformats.org/officeDocument/2006/relationships/hyperlink" Target="https://expa.aiesec.org/opportunities/1289536" TargetMode="External"/><Relationship Id="rId1389" Type="http://schemas.openxmlformats.org/officeDocument/2006/relationships/hyperlink" Target="https://expa.aiesec.org/opportunities/1272564" TargetMode="External"/><Relationship Id="rId799" Type="http://schemas.openxmlformats.org/officeDocument/2006/relationships/hyperlink" Target="https://expa.aiesec.org/opportunities/1294103" TargetMode="External"/><Relationship Id="rId798" Type="http://schemas.openxmlformats.org/officeDocument/2006/relationships/hyperlink" Target="https://expa.aiesec.org/opportunities/1294410" TargetMode="External"/><Relationship Id="rId797" Type="http://schemas.openxmlformats.org/officeDocument/2006/relationships/hyperlink" Target="https://expa.aiesec.org/opportunities/1286326" TargetMode="External"/><Relationship Id="rId1380" Type="http://schemas.openxmlformats.org/officeDocument/2006/relationships/hyperlink" Target="https://expa.aiesec.org/opportunities/1289536" TargetMode="External"/><Relationship Id="rId792" Type="http://schemas.openxmlformats.org/officeDocument/2006/relationships/hyperlink" Target="https://expa.aiesec.org/opportunities/1292531" TargetMode="External"/><Relationship Id="rId1381" Type="http://schemas.openxmlformats.org/officeDocument/2006/relationships/hyperlink" Target="https://expa.aiesec.org/opportunities/1289347" TargetMode="External"/><Relationship Id="rId791" Type="http://schemas.openxmlformats.org/officeDocument/2006/relationships/hyperlink" Target="https://expa.aiesec.org/opportunities/1284976" TargetMode="External"/><Relationship Id="rId1382" Type="http://schemas.openxmlformats.org/officeDocument/2006/relationships/hyperlink" Target="https://expa.aiesec.org/opportunities/1286326" TargetMode="External"/><Relationship Id="rId790" Type="http://schemas.openxmlformats.org/officeDocument/2006/relationships/hyperlink" Target="https://expa.aiesec.org/opportunities/1294068" TargetMode="External"/><Relationship Id="rId1383" Type="http://schemas.openxmlformats.org/officeDocument/2006/relationships/hyperlink" Target="https://expa.aiesec.org/opportunities/1272564" TargetMode="External"/><Relationship Id="rId1384" Type="http://schemas.openxmlformats.org/officeDocument/2006/relationships/hyperlink" Target="https://expa.aiesec.org/opportunities/1272564" TargetMode="External"/><Relationship Id="rId796" Type="http://schemas.openxmlformats.org/officeDocument/2006/relationships/hyperlink" Target="https://expa.aiesec.org/opportunities/1294410" TargetMode="External"/><Relationship Id="rId1385" Type="http://schemas.openxmlformats.org/officeDocument/2006/relationships/hyperlink" Target="https://expa.aiesec.org/opportunities/1298284" TargetMode="External"/><Relationship Id="rId795" Type="http://schemas.openxmlformats.org/officeDocument/2006/relationships/hyperlink" Target="https://expa.aiesec.org/opportunities/1294410" TargetMode="External"/><Relationship Id="rId1386" Type="http://schemas.openxmlformats.org/officeDocument/2006/relationships/hyperlink" Target="https://expa.aiesec.org/opportunities/1286920" TargetMode="External"/><Relationship Id="rId794" Type="http://schemas.openxmlformats.org/officeDocument/2006/relationships/hyperlink" Target="https://expa.aiesec.org/opportunities/1290454" TargetMode="External"/><Relationship Id="rId1387" Type="http://schemas.openxmlformats.org/officeDocument/2006/relationships/hyperlink" Target="https://expa.aiesec.org/opportunities/1286326" TargetMode="External"/><Relationship Id="rId793" Type="http://schemas.openxmlformats.org/officeDocument/2006/relationships/hyperlink" Target="https://expa.aiesec.org/opportunities/1294651" TargetMode="External"/><Relationship Id="rId1388" Type="http://schemas.openxmlformats.org/officeDocument/2006/relationships/hyperlink" Target="https://expa.aiesec.org/opportunities/1286326" TargetMode="External"/><Relationship Id="rId1455" Type="http://schemas.openxmlformats.org/officeDocument/2006/relationships/hyperlink" Target="https://expa.aiesec.org/opportunities/1298284" TargetMode="External"/><Relationship Id="rId1456" Type="http://schemas.openxmlformats.org/officeDocument/2006/relationships/hyperlink" Target="https://expa.aiesec.org/opportunities/1286326" TargetMode="External"/><Relationship Id="rId1457" Type="http://schemas.openxmlformats.org/officeDocument/2006/relationships/hyperlink" Target="https://expa.aiesec.org/opportunities/1288663" TargetMode="External"/><Relationship Id="rId1458" Type="http://schemas.openxmlformats.org/officeDocument/2006/relationships/hyperlink" Target="https://expa.aiesec.org/opportunities/1289347" TargetMode="External"/><Relationship Id="rId1459" Type="http://schemas.openxmlformats.org/officeDocument/2006/relationships/hyperlink" Target="https://expa.aiesec.org/opportunities/1281357" TargetMode="External"/><Relationship Id="rId629" Type="http://schemas.openxmlformats.org/officeDocument/2006/relationships/hyperlink" Target="https://expa.aiesec.org/opportunities/1292962" TargetMode="External"/><Relationship Id="rId624" Type="http://schemas.openxmlformats.org/officeDocument/2006/relationships/hyperlink" Target="https://expa.aiesec.org/opportunities/1293495" TargetMode="External"/><Relationship Id="rId623" Type="http://schemas.openxmlformats.org/officeDocument/2006/relationships/hyperlink" Target="https://expa.aiesec.org/opportunities/1292556" TargetMode="External"/><Relationship Id="rId622" Type="http://schemas.openxmlformats.org/officeDocument/2006/relationships/hyperlink" Target="https://expa.aiesec.org/opportunities/1289536" TargetMode="External"/><Relationship Id="rId621" Type="http://schemas.openxmlformats.org/officeDocument/2006/relationships/hyperlink" Target="https://expa.aiesec.org/opportunities/1292557" TargetMode="External"/><Relationship Id="rId628" Type="http://schemas.openxmlformats.org/officeDocument/2006/relationships/hyperlink" Target="https://expa.aiesec.org/opportunities/1286236" TargetMode="External"/><Relationship Id="rId627" Type="http://schemas.openxmlformats.org/officeDocument/2006/relationships/hyperlink" Target="https://expa.aiesec.org/opportunities/1291929" TargetMode="External"/><Relationship Id="rId626" Type="http://schemas.openxmlformats.org/officeDocument/2006/relationships/hyperlink" Target="https://expa.aiesec.org/opportunities/1288280" TargetMode="External"/><Relationship Id="rId625" Type="http://schemas.openxmlformats.org/officeDocument/2006/relationships/hyperlink" Target="https://expa.aiesec.org/opportunities/1291929" TargetMode="External"/><Relationship Id="rId1450" Type="http://schemas.openxmlformats.org/officeDocument/2006/relationships/hyperlink" Target="https://expa.aiesec.org/opportunities/1279126" TargetMode="External"/><Relationship Id="rId620" Type="http://schemas.openxmlformats.org/officeDocument/2006/relationships/hyperlink" Target="https://expa.aiesec.org/opportunities/1291055" TargetMode="External"/><Relationship Id="rId1451" Type="http://schemas.openxmlformats.org/officeDocument/2006/relationships/hyperlink" Target="https://expa.aiesec.org/opportunities/1279126" TargetMode="External"/><Relationship Id="rId1452" Type="http://schemas.openxmlformats.org/officeDocument/2006/relationships/hyperlink" Target="https://expa.aiesec.org/opportunities/1289347" TargetMode="External"/><Relationship Id="rId1453" Type="http://schemas.openxmlformats.org/officeDocument/2006/relationships/hyperlink" Target="https://expa.aiesec.org/opportunities/1294795" TargetMode="External"/><Relationship Id="rId1454" Type="http://schemas.openxmlformats.org/officeDocument/2006/relationships/hyperlink" Target="https://expa.aiesec.org/opportunities/1286326" TargetMode="External"/><Relationship Id="rId1444" Type="http://schemas.openxmlformats.org/officeDocument/2006/relationships/hyperlink" Target="https://expa.aiesec.org/opportunities/1289536" TargetMode="External"/><Relationship Id="rId1445" Type="http://schemas.openxmlformats.org/officeDocument/2006/relationships/hyperlink" Target="https://expa.aiesec.org/opportunities/1285687" TargetMode="External"/><Relationship Id="rId1446" Type="http://schemas.openxmlformats.org/officeDocument/2006/relationships/hyperlink" Target="https://expa.aiesec.org/opportunities/1281357" TargetMode="External"/><Relationship Id="rId1447" Type="http://schemas.openxmlformats.org/officeDocument/2006/relationships/hyperlink" Target="https://expa.aiesec.org/opportunities/1298284" TargetMode="External"/><Relationship Id="rId1448" Type="http://schemas.openxmlformats.org/officeDocument/2006/relationships/hyperlink" Target="https://expa.aiesec.org/opportunities/1289505" TargetMode="External"/><Relationship Id="rId1449" Type="http://schemas.openxmlformats.org/officeDocument/2006/relationships/hyperlink" Target="https://expa.aiesec.org/opportunities/1296105" TargetMode="External"/><Relationship Id="rId619" Type="http://schemas.openxmlformats.org/officeDocument/2006/relationships/hyperlink" Target="https://expa.aiesec.org/opportunities/1292557" TargetMode="External"/><Relationship Id="rId618" Type="http://schemas.openxmlformats.org/officeDocument/2006/relationships/hyperlink" Target="https://expa.aiesec.org/opportunities/1288663" TargetMode="External"/><Relationship Id="rId613" Type="http://schemas.openxmlformats.org/officeDocument/2006/relationships/hyperlink" Target="https://expa.aiesec.org/opportunities/1288280" TargetMode="External"/><Relationship Id="rId612" Type="http://schemas.openxmlformats.org/officeDocument/2006/relationships/hyperlink" Target="https://expa.aiesec.org/opportunities/1288280" TargetMode="External"/><Relationship Id="rId611" Type="http://schemas.openxmlformats.org/officeDocument/2006/relationships/hyperlink" Target="https://expa.aiesec.org/opportunities/1285687" TargetMode="External"/><Relationship Id="rId610" Type="http://schemas.openxmlformats.org/officeDocument/2006/relationships/hyperlink" Target="https://expa.aiesec.org/opportunities/1291929" TargetMode="External"/><Relationship Id="rId617" Type="http://schemas.openxmlformats.org/officeDocument/2006/relationships/hyperlink" Target="https://expa.aiesec.org/opportunities/1288663" TargetMode="External"/><Relationship Id="rId616" Type="http://schemas.openxmlformats.org/officeDocument/2006/relationships/hyperlink" Target="https://expa.aiesec.org/opportunities/1287488" TargetMode="External"/><Relationship Id="rId615" Type="http://schemas.openxmlformats.org/officeDocument/2006/relationships/hyperlink" Target="https://expa.aiesec.org/opportunities/1292793" TargetMode="External"/><Relationship Id="rId614" Type="http://schemas.openxmlformats.org/officeDocument/2006/relationships/hyperlink" Target="https://expa.aiesec.org/opportunities/1291634" TargetMode="External"/><Relationship Id="rId1440" Type="http://schemas.openxmlformats.org/officeDocument/2006/relationships/hyperlink" Target="https://expa.aiesec.org/opportunities/1279126" TargetMode="External"/><Relationship Id="rId1441" Type="http://schemas.openxmlformats.org/officeDocument/2006/relationships/hyperlink" Target="https://expa.aiesec.org/opportunities/1279126" TargetMode="External"/><Relationship Id="rId1442" Type="http://schemas.openxmlformats.org/officeDocument/2006/relationships/hyperlink" Target="https://expa.aiesec.org/opportunities/1298556" TargetMode="External"/><Relationship Id="rId1443" Type="http://schemas.openxmlformats.org/officeDocument/2006/relationships/hyperlink" Target="https://expa.aiesec.org/opportunities/1289536" TargetMode="External"/><Relationship Id="rId1477" Type="http://schemas.openxmlformats.org/officeDocument/2006/relationships/hyperlink" Target="https://expa.aiesec.org/opportunities/1293726" TargetMode="External"/><Relationship Id="rId1478" Type="http://schemas.openxmlformats.org/officeDocument/2006/relationships/hyperlink" Target="https://expa.aiesec.org/opportunities/1289505" TargetMode="External"/><Relationship Id="rId1479" Type="http://schemas.openxmlformats.org/officeDocument/2006/relationships/hyperlink" Target="https://expa.aiesec.org/opportunities/1289505" TargetMode="External"/><Relationship Id="rId646" Type="http://schemas.openxmlformats.org/officeDocument/2006/relationships/hyperlink" Target="https://expa.aiesec.org/opportunities/1283483" TargetMode="External"/><Relationship Id="rId645" Type="http://schemas.openxmlformats.org/officeDocument/2006/relationships/hyperlink" Target="https://expa.aiesec.org/opportunities/1292962" TargetMode="External"/><Relationship Id="rId644" Type="http://schemas.openxmlformats.org/officeDocument/2006/relationships/hyperlink" Target="https://expa.aiesec.org/opportunities/1288970" TargetMode="External"/><Relationship Id="rId643" Type="http://schemas.openxmlformats.org/officeDocument/2006/relationships/hyperlink" Target="https://expa.aiesec.org/opportunities/1288663" TargetMode="External"/><Relationship Id="rId649" Type="http://schemas.openxmlformats.org/officeDocument/2006/relationships/hyperlink" Target="https://expa.aiesec.org/opportunities/1286751" TargetMode="External"/><Relationship Id="rId648" Type="http://schemas.openxmlformats.org/officeDocument/2006/relationships/hyperlink" Target="https://expa.aiesec.org/opportunities/1293706" TargetMode="External"/><Relationship Id="rId647" Type="http://schemas.openxmlformats.org/officeDocument/2006/relationships/hyperlink" Target="https://expa.aiesec.org/opportunities/1284484" TargetMode="External"/><Relationship Id="rId1470" Type="http://schemas.openxmlformats.org/officeDocument/2006/relationships/hyperlink" Target="https://expa.aiesec.org/opportunities/1289505" TargetMode="External"/><Relationship Id="rId1471" Type="http://schemas.openxmlformats.org/officeDocument/2006/relationships/hyperlink" Target="https://expa.aiesec.org/opportunities/1289505" TargetMode="External"/><Relationship Id="rId1472" Type="http://schemas.openxmlformats.org/officeDocument/2006/relationships/hyperlink" Target="https://expa.aiesec.org/opportunities/1284670" TargetMode="External"/><Relationship Id="rId642" Type="http://schemas.openxmlformats.org/officeDocument/2006/relationships/hyperlink" Target="https://expa.aiesec.org/opportunities/1286326" TargetMode="External"/><Relationship Id="rId1473" Type="http://schemas.openxmlformats.org/officeDocument/2006/relationships/hyperlink" Target="https://expa.aiesec.org/opportunities/1298102" TargetMode="External"/><Relationship Id="rId641" Type="http://schemas.openxmlformats.org/officeDocument/2006/relationships/hyperlink" Target="https://expa.aiesec.org/opportunities/1291881" TargetMode="External"/><Relationship Id="rId1474" Type="http://schemas.openxmlformats.org/officeDocument/2006/relationships/hyperlink" Target="https://expa.aiesec.org/opportunities/1299113" TargetMode="External"/><Relationship Id="rId640" Type="http://schemas.openxmlformats.org/officeDocument/2006/relationships/hyperlink" Target="https://expa.aiesec.org/opportunities/1293495" TargetMode="External"/><Relationship Id="rId1475" Type="http://schemas.openxmlformats.org/officeDocument/2006/relationships/hyperlink" Target="https://expa.aiesec.org/opportunities/1295830" TargetMode="External"/><Relationship Id="rId1476" Type="http://schemas.openxmlformats.org/officeDocument/2006/relationships/hyperlink" Target="https://expa.aiesec.org/opportunities/1279126" TargetMode="External"/><Relationship Id="rId1466" Type="http://schemas.openxmlformats.org/officeDocument/2006/relationships/hyperlink" Target="https://expa.aiesec.org/opportunities/1296105" TargetMode="External"/><Relationship Id="rId1467" Type="http://schemas.openxmlformats.org/officeDocument/2006/relationships/hyperlink" Target="https://expa.aiesec.org/opportunities/1289596" TargetMode="External"/><Relationship Id="rId1468" Type="http://schemas.openxmlformats.org/officeDocument/2006/relationships/hyperlink" Target="https://expa.aiesec.org/opportunities/1292557" TargetMode="External"/><Relationship Id="rId1469" Type="http://schemas.openxmlformats.org/officeDocument/2006/relationships/hyperlink" Target="https://expa.aiesec.org/opportunities/1296670" TargetMode="External"/><Relationship Id="rId635" Type="http://schemas.openxmlformats.org/officeDocument/2006/relationships/hyperlink" Target="https://expa.aiesec.org/opportunities/1293495" TargetMode="External"/><Relationship Id="rId634" Type="http://schemas.openxmlformats.org/officeDocument/2006/relationships/hyperlink" Target="https://expa.aiesec.org/opportunities/1293495" TargetMode="External"/><Relationship Id="rId633" Type="http://schemas.openxmlformats.org/officeDocument/2006/relationships/hyperlink" Target="https://expa.aiesec.org/opportunities/1292557" TargetMode="External"/><Relationship Id="rId632" Type="http://schemas.openxmlformats.org/officeDocument/2006/relationships/hyperlink" Target="https://expa.aiesec.org/opportunities/1292557" TargetMode="External"/><Relationship Id="rId639" Type="http://schemas.openxmlformats.org/officeDocument/2006/relationships/hyperlink" Target="https://expa.aiesec.org/opportunities/1286920" TargetMode="External"/><Relationship Id="rId638" Type="http://schemas.openxmlformats.org/officeDocument/2006/relationships/hyperlink" Target="https://expa.aiesec.org/opportunities/1286920" TargetMode="External"/><Relationship Id="rId637" Type="http://schemas.openxmlformats.org/officeDocument/2006/relationships/hyperlink" Target="https://expa.aiesec.org/opportunities/1292962" TargetMode="External"/><Relationship Id="rId636" Type="http://schemas.openxmlformats.org/officeDocument/2006/relationships/hyperlink" Target="https://expa.aiesec.org/opportunities/1283483" TargetMode="External"/><Relationship Id="rId1460" Type="http://schemas.openxmlformats.org/officeDocument/2006/relationships/hyperlink" Target="https://expa.aiesec.org/opportunities/1272564" TargetMode="External"/><Relationship Id="rId1461" Type="http://schemas.openxmlformats.org/officeDocument/2006/relationships/hyperlink" Target="https://expa.aiesec.org/opportunities/1296234" TargetMode="External"/><Relationship Id="rId631" Type="http://schemas.openxmlformats.org/officeDocument/2006/relationships/hyperlink" Target="https://expa.aiesec.org/opportunities/1288582" TargetMode="External"/><Relationship Id="rId1462" Type="http://schemas.openxmlformats.org/officeDocument/2006/relationships/hyperlink" Target="https://expa.aiesec.org/opportunities/1298284" TargetMode="External"/><Relationship Id="rId630" Type="http://schemas.openxmlformats.org/officeDocument/2006/relationships/hyperlink" Target="https://expa.aiesec.org/opportunities/1286326" TargetMode="External"/><Relationship Id="rId1463" Type="http://schemas.openxmlformats.org/officeDocument/2006/relationships/hyperlink" Target="https://expa.aiesec.org/opportunities/1299113" TargetMode="External"/><Relationship Id="rId1464" Type="http://schemas.openxmlformats.org/officeDocument/2006/relationships/hyperlink" Target="https://expa.aiesec.org/opportunities/1279126" TargetMode="External"/><Relationship Id="rId1465" Type="http://schemas.openxmlformats.org/officeDocument/2006/relationships/hyperlink" Target="https://expa.aiesec.org/opportunities/1289536" TargetMode="External"/><Relationship Id="rId1411" Type="http://schemas.openxmlformats.org/officeDocument/2006/relationships/hyperlink" Target="https://expa.aiesec.org/opportunities/1289536" TargetMode="External"/><Relationship Id="rId1412" Type="http://schemas.openxmlformats.org/officeDocument/2006/relationships/hyperlink" Target="https://expa.aiesec.org/opportunities/1289536" TargetMode="External"/><Relationship Id="rId1413" Type="http://schemas.openxmlformats.org/officeDocument/2006/relationships/hyperlink" Target="https://expa.aiesec.org/opportunities/1294254" TargetMode="External"/><Relationship Id="rId1414" Type="http://schemas.openxmlformats.org/officeDocument/2006/relationships/hyperlink" Target="https://expa.aiesec.org/opportunities/1294254" TargetMode="External"/><Relationship Id="rId1415" Type="http://schemas.openxmlformats.org/officeDocument/2006/relationships/hyperlink" Target="https://expa.aiesec.org/opportunities/1298284" TargetMode="External"/><Relationship Id="rId1416" Type="http://schemas.openxmlformats.org/officeDocument/2006/relationships/hyperlink" Target="https://expa.aiesec.org/opportunities/1294068" TargetMode="External"/><Relationship Id="rId1417" Type="http://schemas.openxmlformats.org/officeDocument/2006/relationships/hyperlink" Target="https://expa.aiesec.org/opportunities/1286920" TargetMode="External"/><Relationship Id="rId1418" Type="http://schemas.openxmlformats.org/officeDocument/2006/relationships/hyperlink" Target="https://expa.aiesec.org/opportunities/1289536" TargetMode="External"/><Relationship Id="rId1419" Type="http://schemas.openxmlformats.org/officeDocument/2006/relationships/hyperlink" Target="https://expa.aiesec.org/opportunities/1298284" TargetMode="External"/><Relationship Id="rId1410" Type="http://schemas.openxmlformats.org/officeDocument/2006/relationships/hyperlink" Target="https://expa.aiesec.org/opportunities/1279126" TargetMode="External"/><Relationship Id="rId1400" Type="http://schemas.openxmlformats.org/officeDocument/2006/relationships/hyperlink" Target="https://expa.aiesec.org/opportunities/1289536" TargetMode="External"/><Relationship Id="rId1401" Type="http://schemas.openxmlformats.org/officeDocument/2006/relationships/hyperlink" Target="https://expa.aiesec.org/opportunities/1288497" TargetMode="External"/><Relationship Id="rId1402" Type="http://schemas.openxmlformats.org/officeDocument/2006/relationships/hyperlink" Target="https://expa.aiesec.org/opportunities/1293417" TargetMode="External"/><Relationship Id="rId1403" Type="http://schemas.openxmlformats.org/officeDocument/2006/relationships/hyperlink" Target="https://expa.aiesec.org/opportunities/1299037" TargetMode="External"/><Relationship Id="rId1404" Type="http://schemas.openxmlformats.org/officeDocument/2006/relationships/hyperlink" Target="https://expa.aiesec.org/opportunities/1287966" TargetMode="External"/><Relationship Id="rId1405" Type="http://schemas.openxmlformats.org/officeDocument/2006/relationships/hyperlink" Target="https://expa.aiesec.org/opportunities/1298284" TargetMode="External"/><Relationship Id="rId1406" Type="http://schemas.openxmlformats.org/officeDocument/2006/relationships/hyperlink" Target="https://expa.aiesec.org/opportunities/1295893" TargetMode="External"/><Relationship Id="rId1407" Type="http://schemas.openxmlformats.org/officeDocument/2006/relationships/hyperlink" Target="https://expa.aiesec.org/opportunities/1299037" TargetMode="External"/><Relationship Id="rId1408" Type="http://schemas.openxmlformats.org/officeDocument/2006/relationships/hyperlink" Target="https://expa.aiesec.org/opportunities/1289347" TargetMode="External"/><Relationship Id="rId1409" Type="http://schemas.openxmlformats.org/officeDocument/2006/relationships/hyperlink" Target="https://expa.aiesec.org/opportunities/1289347" TargetMode="External"/><Relationship Id="rId1433" Type="http://schemas.openxmlformats.org/officeDocument/2006/relationships/hyperlink" Target="https://expa.aiesec.org/opportunities/1289505" TargetMode="External"/><Relationship Id="rId1434" Type="http://schemas.openxmlformats.org/officeDocument/2006/relationships/hyperlink" Target="https://expa.aiesec.org/opportunities/1299041" TargetMode="External"/><Relationship Id="rId1435" Type="http://schemas.openxmlformats.org/officeDocument/2006/relationships/hyperlink" Target="https://expa.aiesec.org/opportunities/1289536" TargetMode="External"/><Relationship Id="rId1436" Type="http://schemas.openxmlformats.org/officeDocument/2006/relationships/hyperlink" Target="https://expa.aiesec.org/opportunities/1286920" TargetMode="External"/><Relationship Id="rId1437" Type="http://schemas.openxmlformats.org/officeDocument/2006/relationships/hyperlink" Target="https://expa.aiesec.org/opportunities/1292557" TargetMode="External"/><Relationship Id="rId1438" Type="http://schemas.openxmlformats.org/officeDocument/2006/relationships/hyperlink" Target="https://expa.aiesec.org/opportunities/1300056" TargetMode="External"/><Relationship Id="rId1439" Type="http://schemas.openxmlformats.org/officeDocument/2006/relationships/hyperlink" Target="https://expa.aiesec.org/opportunities/1296234" TargetMode="External"/><Relationship Id="rId609" Type="http://schemas.openxmlformats.org/officeDocument/2006/relationships/hyperlink" Target="https://expa.aiesec.org/opportunities/1286920" TargetMode="External"/><Relationship Id="rId608" Type="http://schemas.openxmlformats.org/officeDocument/2006/relationships/hyperlink" Target="https://expa.aiesec.org/opportunities/1293417" TargetMode="External"/><Relationship Id="rId607" Type="http://schemas.openxmlformats.org/officeDocument/2006/relationships/hyperlink" Target="https://expa.aiesec.org/opportunities/1292556" TargetMode="External"/><Relationship Id="rId602" Type="http://schemas.openxmlformats.org/officeDocument/2006/relationships/hyperlink" Target="https://expa.aiesec.org/opportunities/1282065" TargetMode="External"/><Relationship Id="rId601" Type="http://schemas.openxmlformats.org/officeDocument/2006/relationships/hyperlink" Target="https://expa.aiesec.org/opportunities/1284476" TargetMode="External"/><Relationship Id="rId600" Type="http://schemas.openxmlformats.org/officeDocument/2006/relationships/hyperlink" Target="https://expa.aiesec.org/opportunities/1293417" TargetMode="External"/><Relationship Id="rId606" Type="http://schemas.openxmlformats.org/officeDocument/2006/relationships/hyperlink" Target="https://expa.aiesec.org/opportunities/1288721" TargetMode="External"/><Relationship Id="rId605" Type="http://schemas.openxmlformats.org/officeDocument/2006/relationships/hyperlink" Target="https://expa.aiesec.org/opportunities/1287101" TargetMode="External"/><Relationship Id="rId604" Type="http://schemas.openxmlformats.org/officeDocument/2006/relationships/hyperlink" Target="https://expa.aiesec.org/opportunities/1288265" TargetMode="External"/><Relationship Id="rId603" Type="http://schemas.openxmlformats.org/officeDocument/2006/relationships/hyperlink" Target="https://expa.aiesec.org/opportunities/1284484" TargetMode="External"/><Relationship Id="rId1430" Type="http://schemas.openxmlformats.org/officeDocument/2006/relationships/hyperlink" Target="https://expa.aiesec.org/opportunities/1289505" TargetMode="External"/><Relationship Id="rId1431" Type="http://schemas.openxmlformats.org/officeDocument/2006/relationships/hyperlink" Target="https://expa.aiesec.org/opportunities/1300056" TargetMode="External"/><Relationship Id="rId1432" Type="http://schemas.openxmlformats.org/officeDocument/2006/relationships/hyperlink" Target="https://expa.aiesec.org/opportunities/1299474" TargetMode="External"/><Relationship Id="rId1422" Type="http://schemas.openxmlformats.org/officeDocument/2006/relationships/hyperlink" Target="https://expa.aiesec.org/opportunities/1295893" TargetMode="External"/><Relationship Id="rId1423" Type="http://schemas.openxmlformats.org/officeDocument/2006/relationships/hyperlink" Target="https://expa.aiesec.org/opportunities/1288970" TargetMode="External"/><Relationship Id="rId1424" Type="http://schemas.openxmlformats.org/officeDocument/2006/relationships/hyperlink" Target="https://expa.aiesec.org/opportunities/1295893" TargetMode="External"/><Relationship Id="rId1425" Type="http://schemas.openxmlformats.org/officeDocument/2006/relationships/hyperlink" Target="https://expa.aiesec.org/opportunities/1299113" TargetMode="External"/><Relationship Id="rId1426" Type="http://schemas.openxmlformats.org/officeDocument/2006/relationships/hyperlink" Target="https://expa.aiesec.org/opportunities/1289505" TargetMode="External"/><Relationship Id="rId1427" Type="http://schemas.openxmlformats.org/officeDocument/2006/relationships/hyperlink" Target="https://expa.aiesec.org/opportunities/1280872" TargetMode="External"/><Relationship Id="rId1428" Type="http://schemas.openxmlformats.org/officeDocument/2006/relationships/hyperlink" Target="https://expa.aiesec.org/opportunities/1289505" TargetMode="External"/><Relationship Id="rId1429" Type="http://schemas.openxmlformats.org/officeDocument/2006/relationships/hyperlink" Target="https://expa.aiesec.org/opportunities/1299474" TargetMode="External"/><Relationship Id="rId1420" Type="http://schemas.openxmlformats.org/officeDocument/2006/relationships/hyperlink" Target="https://expa.aiesec.org/opportunities/1298284" TargetMode="External"/><Relationship Id="rId1421" Type="http://schemas.openxmlformats.org/officeDocument/2006/relationships/hyperlink" Target="https://expa.aiesec.org/opportunities/1289505" TargetMode="External"/><Relationship Id="rId699" Type="http://schemas.openxmlformats.org/officeDocument/2006/relationships/hyperlink" Target="https://expa.aiesec.org/opportunities/1289536" TargetMode="External"/><Relationship Id="rId698" Type="http://schemas.openxmlformats.org/officeDocument/2006/relationships/hyperlink" Target="https://expa.aiesec.org/opportunities/1272564" TargetMode="External"/><Relationship Id="rId693" Type="http://schemas.openxmlformats.org/officeDocument/2006/relationships/hyperlink" Target="https://expa.aiesec.org/opportunities/1286034" TargetMode="External"/><Relationship Id="rId692" Type="http://schemas.openxmlformats.org/officeDocument/2006/relationships/hyperlink" Target="https://expa.aiesec.org/opportunities/1292773" TargetMode="External"/><Relationship Id="rId691" Type="http://schemas.openxmlformats.org/officeDocument/2006/relationships/hyperlink" Target="https://expa.aiesec.org/opportunities/1291929" TargetMode="External"/><Relationship Id="rId690" Type="http://schemas.openxmlformats.org/officeDocument/2006/relationships/hyperlink" Target="https://expa.aiesec.org/opportunities/1294061" TargetMode="External"/><Relationship Id="rId697" Type="http://schemas.openxmlformats.org/officeDocument/2006/relationships/hyperlink" Target="https://expa.aiesec.org/opportunities/1291881" TargetMode="External"/><Relationship Id="rId696" Type="http://schemas.openxmlformats.org/officeDocument/2006/relationships/hyperlink" Target="https://expa.aiesec.org/opportunities/1294197" TargetMode="External"/><Relationship Id="rId695" Type="http://schemas.openxmlformats.org/officeDocument/2006/relationships/hyperlink" Target="https://expa.aiesec.org/opportunities/1294197" TargetMode="External"/><Relationship Id="rId694" Type="http://schemas.openxmlformats.org/officeDocument/2006/relationships/hyperlink" Target="https://expa.aiesec.org/opportunities/1292557" TargetMode="External"/><Relationship Id="rId1499" Type="http://schemas.openxmlformats.org/officeDocument/2006/relationships/hyperlink" Target="https://expa.aiesec.org/opportunities/1298282" TargetMode="External"/><Relationship Id="rId668" Type="http://schemas.openxmlformats.org/officeDocument/2006/relationships/hyperlink" Target="https://expa.aiesec.org/opportunities/1272564" TargetMode="External"/><Relationship Id="rId667" Type="http://schemas.openxmlformats.org/officeDocument/2006/relationships/hyperlink" Target="https://expa.aiesec.org/opportunities/1292557" TargetMode="External"/><Relationship Id="rId666" Type="http://schemas.openxmlformats.org/officeDocument/2006/relationships/hyperlink" Target="https://expa.aiesec.org/opportunities/1284831" TargetMode="External"/><Relationship Id="rId665" Type="http://schemas.openxmlformats.org/officeDocument/2006/relationships/hyperlink" Target="https://expa.aiesec.org/opportunities/1291929" TargetMode="External"/><Relationship Id="rId669" Type="http://schemas.openxmlformats.org/officeDocument/2006/relationships/hyperlink" Target="https://expa.aiesec.org/opportunities/1292793" TargetMode="External"/><Relationship Id="rId1490" Type="http://schemas.openxmlformats.org/officeDocument/2006/relationships/hyperlink" Target="https://expa.aiesec.org/opportunities/1295453" TargetMode="External"/><Relationship Id="rId660" Type="http://schemas.openxmlformats.org/officeDocument/2006/relationships/hyperlink" Target="https://expa.aiesec.org/opportunities/1285687" TargetMode="External"/><Relationship Id="rId1491" Type="http://schemas.openxmlformats.org/officeDocument/2006/relationships/hyperlink" Target="https://expa.aiesec.org/opportunities/1296234" TargetMode="External"/><Relationship Id="rId1492" Type="http://schemas.openxmlformats.org/officeDocument/2006/relationships/hyperlink" Target="https://expa.aiesec.org/opportunities/1279126" TargetMode="External"/><Relationship Id="rId1493" Type="http://schemas.openxmlformats.org/officeDocument/2006/relationships/hyperlink" Target="https://expa.aiesec.org/opportunities/1286326" TargetMode="External"/><Relationship Id="rId1494" Type="http://schemas.openxmlformats.org/officeDocument/2006/relationships/hyperlink" Target="https://expa.aiesec.org/opportunities/1297781" TargetMode="External"/><Relationship Id="rId664" Type="http://schemas.openxmlformats.org/officeDocument/2006/relationships/hyperlink" Target="https://expa.aiesec.org/opportunities/1291881" TargetMode="External"/><Relationship Id="rId1495" Type="http://schemas.openxmlformats.org/officeDocument/2006/relationships/hyperlink" Target="https://expa.aiesec.org/opportunities/1289347" TargetMode="External"/><Relationship Id="rId663" Type="http://schemas.openxmlformats.org/officeDocument/2006/relationships/hyperlink" Target="https://expa.aiesec.org/opportunities/1292556" TargetMode="External"/><Relationship Id="rId1496" Type="http://schemas.openxmlformats.org/officeDocument/2006/relationships/hyperlink" Target="https://expa.aiesec.org/opportunities/1286326" TargetMode="External"/><Relationship Id="rId662" Type="http://schemas.openxmlformats.org/officeDocument/2006/relationships/hyperlink" Target="https://expa.aiesec.org/opportunities/1293495" TargetMode="External"/><Relationship Id="rId1497" Type="http://schemas.openxmlformats.org/officeDocument/2006/relationships/hyperlink" Target="https://expa.aiesec.org/opportunities/1286326" TargetMode="External"/><Relationship Id="rId661" Type="http://schemas.openxmlformats.org/officeDocument/2006/relationships/hyperlink" Target="https://expa.aiesec.org/opportunities/1285687" TargetMode="External"/><Relationship Id="rId1498" Type="http://schemas.openxmlformats.org/officeDocument/2006/relationships/hyperlink" Target="https://expa.aiesec.org/opportunities/1284670" TargetMode="External"/><Relationship Id="rId1488" Type="http://schemas.openxmlformats.org/officeDocument/2006/relationships/hyperlink" Target="https://expa.aiesec.org/opportunities/1287966" TargetMode="External"/><Relationship Id="rId1489" Type="http://schemas.openxmlformats.org/officeDocument/2006/relationships/hyperlink" Target="https://expa.aiesec.org/opportunities/1300558" TargetMode="External"/><Relationship Id="rId657" Type="http://schemas.openxmlformats.org/officeDocument/2006/relationships/hyperlink" Target="https://expa.aiesec.org/opportunities/1294066" TargetMode="External"/><Relationship Id="rId656" Type="http://schemas.openxmlformats.org/officeDocument/2006/relationships/hyperlink" Target="https://expa.aiesec.org/opportunities/1294066" TargetMode="External"/><Relationship Id="rId655" Type="http://schemas.openxmlformats.org/officeDocument/2006/relationships/hyperlink" Target="https://expa.aiesec.org/opportunities/1291929" TargetMode="External"/><Relationship Id="rId654" Type="http://schemas.openxmlformats.org/officeDocument/2006/relationships/hyperlink" Target="https://expa.aiesec.org/opportunities/1289536" TargetMode="External"/><Relationship Id="rId659" Type="http://schemas.openxmlformats.org/officeDocument/2006/relationships/hyperlink" Target="https://expa.aiesec.org/opportunities/1285687" TargetMode="External"/><Relationship Id="rId658" Type="http://schemas.openxmlformats.org/officeDocument/2006/relationships/hyperlink" Target="https://expa.aiesec.org/opportunities/1284484" TargetMode="External"/><Relationship Id="rId1480" Type="http://schemas.openxmlformats.org/officeDocument/2006/relationships/hyperlink" Target="https://expa.aiesec.org/opportunities/1289502" TargetMode="External"/><Relationship Id="rId1481" Type="http://schemas.openxmlformats.org/officeDocument/2006/relationships/hyperlink" Target="https://expa.aiesec.org/opportunities/1299265" TargetMode="External"/><Relationship Id="rId1482" Type="http://schemas.openxmlformats.org/officeDocument/2006/relationships/hyperlink" Target="https://expa.aiesec.org/opportunities/1295453" TargetMode="External"/><Relationship Id="rId1483" Type="http://schemas.openxmlformats.org/officeDocument/2006/relationships/hyperlink" Target="https://expa.aiesec.org/opportunities/1289505" TargetMode="External"/><Relationship Id="rId653" Type="http://schemas.openxmlformats.org/officeDocument/2006/relationships/hyperlink" Target="https://expa.aiesec.org/opportunities/1291929" TargetMode="External"/><Relationship Id="rId1484" Type="http://schemas.openxmlformats.org/officeDocument/2006/relationships/hyperlink" Target="https://expa.aiesec.org/opportunities/1294795" TargetMode="External"/><Relationship Id="rId652" Type="http://schemas.openxmlformats.org/officeDocument/2006/relationships/hyperlink" Target="https://expa.aiesec.org/opportunities/1291929" TargetMode="External"/><Relationship Id="rId1485" Type="http://schemas.openxmlformats.org/officeDocument/2006/relationships/hyperlink" Target="https://expa.aiesec.org/opportunities/1279126" TargetMode="External"/><Relationship Id="rId651" Type="http://schemas.openxmlformats.org/officeDocument/2006/relationships/hyperlink" Target="https://expa.aiesec.org/opportunities/1285687" TargetMode="External"/><Relationship Id="rId1486" Type="http://schemas.openxmlformats.org/officeDocument/2006/relationships/hyperlink" Target="https://expa.aiesec.org/opportunities/1299113" TargetMode="External"/><Relationship Id="rId650" Type="http://schemas.openxmlformats.org/officeDocument/2006/relationships/hyperlink" Target="https://expa.aiesec.org/opportunities/1281357" TargetMode="External"/><Relationship Id="rId1487" Type="http://schemas.openxmlformats.org/officeDocument/2006/relationships/hyperlink" Target="https://expa.aiesec.org/opportunities/1289536" TargetMode="External"/><Relationship Id="rId689" Type="http://schemas.openxmlformats.org/officeDocument/2006/relationships/hyperlink" Target="https://expa.aiesec.org/opportunities/1294103" TargetMode="External"/><Relationship Id="rId688" Type="http://schemas.openxmlformats.org/officeDocument/2006/relationships/hyperlink" Target="https://expa.aiesec.org/opportunities/1294197" TargetMode="External"/><Relationship Id="rId687" Type="http://schemas.openxmlformats.org/officeDocument/2006/relationships/hyperlink" Target="https://expa.aiesec.org/opportunities/1294197" TargetMode="External"/><Relationship Id="rId682" Type="http://schemas.openxmlformats.org/officeDocument/2006/relationships/hyperlink" Target="https://expa.aiesec.org/opportunities/1289536" TargetMode="External"/><Relationship Id="rId681" Type="http://schemas.openxmlformats.org/officeDocument/2006/relationships/hyperlink" Target="https://expa.aiesec.org/opportunities/1288280" TargetMode="External"/><Relationship Id="rId680" Type="http://schemas.openxmlformats.org/officeDocument/2006/relationships/hyperlink" Target="https://expa.aiesec.org/opportunities/1288989" TargetMode="External"/><Relationship Id="rId686" Type="http://schemas.openxmlformats.org/officeDocument/2006/relationships/hyperlink" Target="https://expa.aiesec.org/opportunities/1286228" TargetMode="External"/><Relationship Id="rId685" Type="http://schemas.openxmlformats.org/officeDocument/2006/relationships/hyperlink" Target="https://expa.aiesec.org/opportunities/1294061" TargetMode="External"/><Relationship Id="rId684" Type="http://schemas.openxmlformats.org/officeDocument/2006/relationships/hyperlink" Target="https://expa.aiesec.org/opportunities/1281010" TargetMode="External"/><Relationship Id="rId683" Type="http://schemas.openxmlformats.org/officeDocument/2006/relationships/hyperlink" Target="https://expa.aiesec.org/opportunities/1286326" TargetMode="External"/><Relationship Id="rId679" Type="http://schemas.openxmlformats.org/officeDocument/2006/relationships/hyperlink" Target="https://expa.aiesec.org/opportunities/1285687" TargetMode="External"/><Relationship Id="rId678" Type="http://schemas.openxmlformats.org/officeDocument/2006/relationships/hyperlink" Target="https://expa.aiesec.org/opportunities/1294066" TargetMode="External"/><Relationship Id="rId677" Type="http://schemas.openxmlformats.org/officeDocument/2006/relationships/hyperlink" Target="https://expa.aiesec.org/opportunities/1292773" TargetMode="External"/><Relationship Id="rId676" Type="http://schemas.openxmlformats.org/officeDocument/2006/relationships/hyperlink" Target="https://expa.aiesec.org/opportunities/1291336" TargetMode="External"/><Relationship Id="rId671" Type="http://schemas.openxmlformats.org/officeDocument/2006/relationships/hyperlink" Target="https://expa.aiesec.org/opportunities/1272564" TargetMode="External"/><Relationship Id="rId670" Type="http://schemas.openxmlformats.org/officeDocument/2006/relationships/hyperlink" Target="https://expa.aiesec.org/opportunities/1294066" TargetMode="External"/><Relationship Id="rId675" Type="http://schemas.openxmlformats.org/officeDocument/2006/relationships/hyperlink" Target="https://expa.aiesec.org/opportunities/1292557" TargetMode="External"/><Relationship Id="rId674" Type="http://schemas.openxmlformats.org/officeDocument/2006/relationships/hyperlink" Target="https://expa.aiesec.org/opportunities/1292793" TargetMode="External"/><Relationship Id="rId673" Type="http://schemas.openxmlformats.org/officeDocument/2006/relationships/hyperlink" Target="https://expa.aiesec.org/opportunities/1292557" TargetMode="External"/><Relationship Id="rId672" Type="http://schemas.openxmlformats.org/officeDocument/2006/relationships/hyperlink" Target="https://expa.aiesec.org/opportunities/1281357" TargetMode="External"/><Relationship Id="rId190" Type="http://schemas.openxmlformats.org/officeDocument/2006/relationships/hyperlink" Target="https://expa.aiesec.org/opportunities/1287097" TargetMode="External"/><Relationship Id="rId194" Type="http://schemas.openxmlformats.org/officeDocument/2006/relationships/hyperlink" Target="https://expa.aiesec.org/opportunities/1289505" TargetMode="External"/><Relationship Id="rId193" Type="http://schemas.openxmlformats.org/officeDocument/2006/relationships/hyperlink" Target="https://expa.aiesec.org/opportunities/1288970" TargetMode="External"/><Relationship Id="rId192" Type="http://schemas.openxmlformats.org/officeDocument/2006/relationships/hyperlink" Target="https://expa.aiesec.org/opportunities/1287925" TargetMode="External"/><Relationship Id="rId191" Type="http://schemas.openxmlformats.org/officeDocument/2006/relationships/hyperlink" Target="https://expa.aiesec.org/opportunities/1288393" TargetMode="External"/><Relationship Id="rId187" Type="http://schemas.openxmlformats.org/officeDocument/2006/relationships/hyperlink" Target="https://expa.aiesec.org/opportunities/1288497" TargetMode="External"/><Relationship Id="rId186" Type="http://schemas.openxmlformats.org/officeDocument/2006/relationships/hyperlink" Target="https://expa.aiesec.org/opportunities/1289502" TargetMode="External"/><Relationship Id="rId185" Type="http://schemas.openxmlformats.org/officeDocument/2006/relationships/hyperlink" Target="https://expa.aiesec.org/opportunities/1288995" TargetMode="External"/><Relationship Id="rId184" Type="http://schemas.openxmlformats.org/officeDocument/2006/relationships/hyperlink" Target="https://expa.aiesec.org/opportunities/1287855" TargetMode="External"/><Relationship Id="rId189" Type="http://schemas.openxmlformats.org/officeDocument/2006/relationships/hyperlink" Target="https://expa.aiesec.org/opportunities/1289536" TargetMode="External"/><Relationship Id="rId188" Type="http://schemas.openxmlformats.org/officeDocument/2006/relationships/hyperlink" Target="https://expa.aiesec.org/opportunities/1288497" TargetMode="External"/><Relationship Id="rId183" Type="http://schemas.openxmlformats.org/officeDocument/2006/relationships/hyperlink" Target="https://expa.aiesec.org/opportunities/1283483" TargetMode="External"/><Relationship Id="rId182" Type="http://schemas.openxmlformats.org/officeDocument/2006/relationships/hyperlink" Target="https://expa.aiesec.org/opportunities/1283683" TargetMode="External"/><Relationship Id="rId181" Type="http://schemas.openxmlformats.org/officeDocument/2006/relationships/hyperlink" Target="https://expa.aiesec.org/opportunities/1288991" TargetMode="External"/><Relationship Id="rId180" Type="http://schemas.openxmlformats.org/officeDocument/2006/relationships/hyperlink" Target="https://expa.aiesec.org/opportunities/1280872" TargetMode="External"/><Relationship Id="rId176" Type="http://schemas.openxmlformats.org/officeDocument/2006/relationships/hyperlink" Target="https://expa.aiesec.org/opportunities/1288393" TargetMode="External"/><Relationship Id="rId175" Type="http://schemas.openxmlformats.org/officeDocument/2006/relationships/hyperlink" Target="https://expa.aiesec.org/opportunities/1289596" TargetMode="External"/><Relationship Id="rId174" Type="http://schemas.openxmlformats.org/officeDocument/2006/relationships/hyperlink" Target="https://expa.aiesec.org/opportunities/1289261" TargetMode="External"/><Relationship Id="rId173" Type="http://schemas.openxmlformats.org/officeDocument/2006/relationships/hyperlink" Target="https://expa.aiesec.org/opportunities/1289536" TargetMode="External"/><Relationship Id="rId179" Type="http://schemas.openxmlformats.org/officeDocument/2006/relationships/hyperlink" Target="https://expa.aiesec.org/opportunities/1288393" TargetMode="External"/><Relationship Id="rId178" Type="http://schemas.openxmlformats.org/officeDocument/2006/relationships/hyperlink" Target="https://expa.aiesec.org/opportunities/1287854" TargetMode="External"/><Relationship Id="rId177" Type="http://schemas.openxmlformats.org/officeDocument/2006/relationships/hyperlink" Target="https://expa.aiesec.org/opportunities/1289505" TargetMode="External"/><Relationship Id="rId198" Type="http://schemas.openxmlformats.org/officeDocument/2006/relationships/hyperlink" Target="https://expa.aiesec.org/opportunities/1288970" TargetMode="External"/><Relationship Id="rId197" Type="http://schemas.openxmlformats.org/officeDocument/2006/relationships/hyperlink" Target="https://expa.aiesec.org/opportunities/1288970" TargetMode="External"/><Relationship Id="rId196" Type="http://schemas.openxmlformats.org/officeDocument/2006/relationships/hyperlink" Target="https://expa.aiesec.org/opportunities/1289502" TargetMode="External"/><Relationship Id="rId195" Type="http://schemas.openxmlformats.org/officeDocument/2006/relationships/hyperlink" Target="https://expa.aiesec.org/opportunities/1288711" TargetMode="External"/><Relationship Id="rId199" Type="http://schemas.openxmlformats.org/officeDocument/2006/relationships/hyperlink" Target="https://expa.aiesec.org/opportunities/1281357" TargetMode="External"/><Relationship Id="rId150" Type="http://schemas.openxmlformats.org/officeDocument/2006/relationships/hyperlink" Target="https://expa.aiesec.org/opportunities/1287854" TargetMode="External"/><Relationship Id="rId149" Type="http://schemas.openxmlformats.org/officeDocument/2006/relationships/hyperlink" Target="https://expa.aiesec.org/opportunities/1289330" TargetMode="External"/><Relationship Id="rId148" Type="http://schemas.openxmlformats.org/officeDocument/2006/relationships/hyperlink" Target="https://expa.aiesec.org/opportunities/1289155" TargetMode="External"/><Relationship Id="rId143" Type="http://schemas.openxmlformats.org/officeDocument/2006/relationships/hyperlink" Target="https://expa.aiesec.org/opportunities/1288393" TargetMode="External"/><Relationship Id="rId142" Type="http://schemas.openxmlformats.org/officeDocument/2006/relationships/hyperlink" Target="https://expa.aiesec.org/opportunities/1289095" TargetMode="External"/><Relationship Id="rId141" Type="http://schemas.openxmlformats.org/officeDocument/2006/relationships/hyperlink" Target="https://expa.aiesec.org/opportunities/1289502" TargetMode="External"/><Relationship Id="rId140" Type="http://schemas.openxmlformats.org/officeDocument/2006/relationships/hyperlink" Target="https://expa.aiesec.org/opportunities/1289502" TargetMode="External"/><Relationship Id="rId147" Type="http://schemas.openxmlformats.org/officeDocument/2006/relationships/hyperlink" Target="https://expa.aiesec.org/opportunities/1288256" TargetMode="External"/><Relationship Id="rId146" Type="http://schemas.openxmlformats.org/officeDocument/2006/relationships/hyperlink" Target="https://expa.aiesec.org/opportunities/1287854" TargetMode="External"/><Relationship Id="rId145" Type="http://schemas.openxmlformats.org/officeDocument/2006/relationships/hyperlink" Target="https://expa.aiesec.org/opportunities/1285687" TargetMode="External"/><Relationship Id="rId144" Type="http://schemas.openxmlformats.org/officeDocument/2006/relationships/hyperlink" Target="https://expa.aiesec.org/opportunities/1272564" TargetMode="External"/><Relationship Id="rId139" Type="http://schemas.openxmlformats.org/officeDocument/2006/relationships/hyperlink" Target="https://expa.aiesec.org/opportunities/1289016" TargetMode="External"/><Relationship Id="rId138" Type="http://schemas.openxmlformats.org/officeDocument/2006/relationships/hyperlink" Target="https://expa.aiesec.org/opportunities/1288393" TargetMode="External"/><Relationship Id="rId137" Type="http://schemas.openxmlformats.org/officeDocument/2006/relationships/hyperlink" Target="https://expa.aiesec.org/opportunities/1289214" TargetMode="External"/><Relationship Id="rId132" Type="http://schemas.openxmlformats.org/officeDocument/2006/relationships/hyperlink" Target="https://expa.aiesec.org/opportunities/1289020" TargetMode="External"/><Relationship Id="rId131" Type="http://schemas.openxmlformats.org/officeDocument/2006/relationships/hyperlink" Target="https://expa.aiesec.org/opportunities/1288245" TargetMode="External"/><Relationship Id="rId130" Type="http://schemas.openxmlformats.org/officeDocument/2006/relationships/hyperlink" Target="https://expa.aiesec.org/opportunities/1286326" TargetMode="External"/><Relationship Id="rId136" Type="http://schemas.openxmlformats.org/officeDocument/2006/relationships/hyperlink" Target="https://expa.aiesec.org/opportunities/1287851" TargetMode="External"/><Relationship Id="rId135" Type="http://schemas.openxmlformats.org/officeDocument/2006/relationships/hyperlink" Target="https://expa.aiesec.org/opportunities/1288393" TargetMode="External"/><Relationship Id="rId134" Type="http://schemas.openxmlformats.org/officeDocument/2006/relationships/hyperlink" Target="https://expa.aiesec.org/opportunities/1288393" TargetMode="External"/><Relationship Id="rId133" Type="http://schemas.openxmlformats.org/officeDocument/2006/relationships/hyperlink" Target="https://expa.aiesec.org/opportunities/1288533" TargetMode="External"/><Relationship Id="rId172" Type="http://schemas.openxmlformats.org/officeDocument/2006/relationships/hyperlink" Target="https://expa.aiesec.org/opportunities/1287628" TargetMode="External"/><Relationship Id="rId171" Type="http://schemas.openxmlformats.org/officeDocument/2006/relationships/hyperlink" Target="https://expa.aiesec.org/opportunities/1288970" TargetMode="External"/><Relationship Id="rId170" Type="http://schemas.openxmlformats.org/officeDocument/2006/relationships/hyperlink" Target="https://expa.aiesec.org/opportunities/1283483" TargetMode="External"/><Relationship Id="rId165" Type="http://schemas.openxmlformats.org/officeDocument/2006/relationships/hyperlink" Target="https://expa.aiesec.org/opportunities/1286345" TargetMode="External"/><Relationship Id="rId164" Type="http://schemas.openxmlformats.org/officeDocument/2006/relationships/hyperlink" Target="https://expa.aiesec.org/opportunities/1287966" TargetMode="External"/><Relationship Id="rId163" Type="http://schemas.openxmlformats.org/officeDocument/2006/relationships/hyperlink" Target="https://expa.aiesec.org/opportunities/1286326" TargetMode="External"/><Relationship Id="rId162" Type="http://schemas.openxmlformats.org/officeDocument/2006/relationships/hyperlink" Target="https://expa.aiesec.org/opportunities/1287137" TargetMode="External"/><Relationship Id="rId169" Type="http://schemas.openxmlformats.org/officeDocument/2006/relationships/hyperlink" Target="https://expa.aiesec.org/opportunities/1289100" TargetMode="External"/><Relationship Id="rId168" Type="http://schemas.openxmlformats.org/officeDocument/2006/relationships/hyperlink" Target="https://expa.aiesec.org/opportunities/1288970" TargetMode="External"/><Relationship Id="rId167" Type="http://schemas.openxmlformats.org/officeDocument/2006/relationships/hyperlink" Target="https://expa.aiesec.org/opportunities/1289228" TargetMode="External"/><Relationship Id="rId166" Type="http://schemas.openxmlformats.org/officeDocument/2006/relationships/hyperlink" Target="https://expa.aiesec.org/opportunities/1289596" TargetMode="External"/><Relationship Id="rId161" Type="http://schemas.openxmlformats.org/officeDocument/2006/relationships/hyperlink" Target="https://expa.aiesec.org/opportunities/1288497" TargetMode="External"/><Relationship Id="rId160" Type="http://schemas.openxmlformats.org/officeDocument/2006/relationships/hyperlink" Target="https://expa.aiesec.org/opportunities/1288497" TargetMode="External"/><Relationship Id="rId159" Type="http://schemas.openxmlformats.org/officeDocument/2006/relationships/hyperlink" Target="https://expa.aiesec.org/opportunities/1288497" TargetMode="External"/><Relationship Id="rId154" Type="http://schemas.openxmlformats.org/officeDocument/2006/relationships/hyperlink" Target="https://expa.aiesec.org/opportunities/1279516" TargetMode="External"/><Relationship Id="rId153" Type="http://schemas.openxmlformats.org/officeDocument/2006/relationships/hyperlink" Target="https://expa.aiesec.org/opportunities/1283483" TargetMode="External"/><Relationship Id="rId152" Type="http://schemas.openxmlformats.org/officeDocument/2006/relationships/hyperlink" Target="https://expa.aiesec.org/opportunities/1288256" TargetMode="External"/><Relationship Id="rId151" Type="http://schemas.openxmlformats.org/officeDocument/2006/relationships/hyperlink" Target="https://expa.aiesec.org/opportunities/1287101" TargetMode="External"/><Relationship Id="rId158" Type="http://schemas.openxmlformats.org/officeDocument/2006/relationships/hyperlink" Target="https://expa.aiesec.org/opportunities/1288497" TargetMode="External"/><Relationship Id="rId157" Type="http://schemas.openxmlformats.org/officeDocument/2006/relationships/hyperlink" Target="https://expa.aiesec.org/opportunities/1288497" TargetMode="External"/><Relationship Id="rId156" Type="http://schemas.openxmlformats.org/officeDocument/2006/relationships/hyperlink" Target="https://expa.aiesec.org/opportunities/1289502" TargetMode="External"/><Relationship Id="rId155" Type="http://schemas.openxmlformats.org/officeDocument/2006/relationships/hyperlink" Target="https://expa.aiesec.org/opportunities/1288299" TargetMode="External"/><Relationship Id="rId1510" Type="http://schemas.openxmlformats.org/officeDocument/2006/relationships/hyperlink" Target="https://expa.aiesec.org/opportunities/1300056" TargetMode="External"/><Relationship Id="rId1511" Type="http://schemas.openxmlformats.org/officeDocument/2006/relationships/hyperlink" Target="https://expa.aiesec.org/opportunities/1286326" TargetMode="External"/><Relationship Id="rId1512" Type="http://schemas.openxmlformats.org/officeDocument/2006/relationships/hyperlink" Target="https://expa.aiesec.org/opportunities/1284670" TargetMode="External"/><Relationship Id="rId1513" Type="http://schemas.openxmlformats.org/officeDocument/2006/relationships/hyperlink" Target="https://expa.aiesec.org/opportunities/1284670" TargetMode="External"/><Relationship Id="rId1514" Type="http://schemas.openxmlformats.org/officeDocument/2006/relationships/hyperlink" Target="https://expa.aiesec.org/opportunities/1295893" TargetMode="External"/><Relationship Id="rId1515" Type="http://schemas.openxmlformats.org/officeDocument/2006/relationships/hyperlink" Target="https://expa.aiesec.org/opportunities/1294584" TargetMode="External"/><Relationship Id="rId1516" Type="http://schemas.openxmlformats.org/officeDocument/2006/relationships/hyperlink" Target="https://expa.aiesec.org/opportunities/1286326" TargetMode="External"/><Relationship Id="rId1517" Type="http://schemas.openxmlformats.org/officeDocument/2006/relationships/hyperlink" Target="https://expa.aiesec.org/opportunities/1286326" TargetMode="External"/><Relationship Id="rId1518" Type="http://schemas.openxmlformats.org/officeDocument/2006/relationships/hyperlink" Target="https://expa.aiesec.org/opportunities/1300056" TargetMode="External"/><Relationship Id="rId1519" Type="http://schemas.openxmlformats.org/officeDocument/2006/relationships/hyperlink" Target="https://expa.aiesec.org/opportunities/1296671" TargetMode="External"/><Relationship Id="rId1500" Type="http://schemas.openxmlformats.org/officeDocument/2006/relationships/hyperlink" Target="https://expa.aiesec.org/opportunities/1295453" TargetMode="External"/><Relationship Id="rId1501" Type="http://schemas.openxmlformats.org/officeDocument/2006/relationships/hyperlink" Target="https://expa.aiesec.org/opportunities/1286326" TargetMode="External"/><Relationship Id="rId1502" Type="http://schemas.openxmlformats.org/officeDocument/2006/relationships/hyperlink" Target="https://expa.aiesec.org/opportunities/1286034" TargetMode="External"/><Relationship Id="rId1503" Type="http://schemas.openxmlformats.org/officeDocument/2006/relationships/hyperlink" Target="https://expa.aiesec.org/opportunities/1288721" TargetMode="External"/><Relationship Id="rId1504" Type="http://schemas.openxmlformats.org/officeDocument/2006/relationships/hyperlink" Target="https://expa.aiesec.org/opportunities/1280973" TargetMode="External"/><Relationship Id="rId1505" Type="http://schemas.openxmlformats.org/officeDocument/2006/relationships/hyperlink" Target="https://expa.aiesec.org/opportunities/1279126" TargetMode="External"/><Relationship Id="rId1506" Type="http://schemas.openxmlformats.org/officeDocument/2006/relationships/hyperlink" Target="https://expa.aiesec.org/opportunities/1279126" TargetMode="External"/><Relationship Id="rId1507" Type="http://schemas.openxmlformats.org/officeDocument/2006/relationships/hyperlink" Target="https://expa.aiesec.org/opportunities/1284670" TargetMode="External"/><Relationship Id="rId1508" Type="http://schemas.openxmlformats.org/officeDocument/2006/relationships/hyperlink" Target="https://expa.aiesec.org/opportunities/1300056" TargetMode="External"/><Relationship Id="rId1509" Type="http://schemas.openxmlformats.org/officeDocument/2006/relationships/hyperlink" Target="https://expa.aiesec.org/opportunities/1289536" TargetMode="External"/><Relationship Id="rId1576" Type="http://schemas.openxmlformats.org/officeDocument/2006/relationships/hyperlink" Target="https://expa.aiesec.org/opportunities/1286326" TargetMode="External"/><Relationship Id="rId1577" Type="http://schemas.openxmlformats.org/officeDocument/2006/relationships/hyperlink" Target="https://expa.aiesec.org/opportunities/1280872" TargetMode="External"/><Relationship Id="rId1578" Type="http://schemas.openxmlformats.org/officeDocument/2006/relationships/hyperlink" Target="https://expa.aiesec.org/opportunities/1295453" TargetMode="External"/><Relationship Id="rId1579" Type="http://schemas.openxmlformats.org/officeDocument/2006/relationships/hyperlink" Target="https://expa.aiesec.org/opportunities/1294103" TargetMode="External"/><Relationship Id="rId987" Type="http://schemas.openxmlformats.org/officeDocument/2006/relationships/hyperlink" Target="https://expa.aiesec.org/opportunities/1294878" TargetMode="External"/><Relationship Id="rId986" Type="http://schemas.openxmlformats.org/officeDocument/2006/relationships/hyperlink" Target="https://expa.aiesec.org/opportunities/1295261" TargetMode="External"/><Relationship Id="rId985" Type="http://schemas.openxmlformats.org/officeDocument/2006/relationships/hyperlink" Target="https://expa.aiesec.org/opportunities/1294211" TargetMode="External"/><Relationship Id="rId984" Type="http://schemas.openxmlformats.org/officeDocument/2006/relationships/hyperlink" Target="https://expa.aiesec.org/opportunities/1287380" TargetMode="External"/><Relationship Id="rId989" Type="http://schemas.openxmlformats.org/officeDocument/2006/relationships/hyperlink" Target="https://expa.aiesec.org/opportunities/1294061" TargetMode="External"/><Relationship Id="rId988" Type="http://schemas.openxmlformats.org/officeDocument/2006/relationships/hyperlink" Target="https://expa.aiesec.org/opportunities/1291336" TargetMode="External"/><Relationship Id="rId1570" Type="http://schemas.openxmlformats.org/officeDocument/2006/relationships/hyperlink" Target="https://expa.aiesec.org/opportunities/1291881" TargetMode="External"/><Relationship Id="rId1571" Type="http://schemas.openxmlformats.org/officeDocument/2006/relationships/hyperlink" Target="https://expa.aiesec.org/opportunities/1284670" TargetMode="External"/><Relationship Id="rId983" Type="http://schemas.openxmlformats.org/officeDocument/2006/relationships/hyperlink" Target="https://expa.aiesec.org/opportunities/1288280" TargetMode="External"/><Relationship Id="rId1572" Type="http://schemas.openxmlformats.org/officeDocument/2006/relationships/hyperlink" Target="https://expa.aiesec.org/opportunities/1296118" TargetMode="External"/><Relationship Id="rId982" Type="http://schemas.openxmlformats.org/officeDocument/2006/relationships/hyperlink" Target="https://expa.aiesec.org/opportunities/1295575" TargetMode="External"/><Relationship Id="rId1573" Type="http://schemas.openxmlformats.org/officeDocument/2006/relationships/hyperlink" Target="https://expa.aiesec.org/opportunities/1299037" TargetMode="External"/><Relationship Id="rId981" Type="http://schemas.openxmlformats.org/officeDocument/2006/relationships/hyperlink" Target="https://expa.aiesec.org/opportunities/1295575" TargetMode="External"/><Relationship Id="rId1574" Type="http://schemas.openxmlformats.org/officeDocument/2006/relationships/hyperlink" Target="https://expa.aiesec.org/opportunities/1299041" TargetMode="External"/><Relationship Id="rId980" Type="http://schemas.openxmlformats.org/officeDocument/2006/relationships/hyperlink" Target="https://expa.aiesec.org/opportunities/1294061" TargetMode="External"/><Relationship Id="rId1575" Type="http://schemas.openxmlformats.org/officeDocument/2006/relationships/hyperlink" Target="https://expa.aiesec.org/opportunities/1294372" TargetMode="External"/><Relationship Id="rId1565" Type="http://schemas.openxmlformats.org/officeDocument/2006/relationships/hyperlink" Target="https://expa.aiesec.org/opportunities/1298284" TargetMode="External"/><Relationship Id="rId1566" Type="http://schemas.openxmlformats.org/officeDocument/2006/relationships/hyperlink" Target="https://expa.aiesec.org/opportunities/1286034" TargetMode="External"/><Relationship Id="rId1567" Type="http://schemas.openxmlformats.org/officeDocument/2006/relationships/hyperlink" Target="https://expa.aiesec.org/opportunities/1286034" TargetMode="External"/><Relationship Id="rId1568" Type="http://schemas.openxmlformats.org/officeDocument/2006/relationships/hyperlink" Target="https://expa.aiesec.org/opportunities/1294878" TargetMode="External"/><Relationship Id="rId1569" Type="http://schemas.openxmlformats.org/officeDocument/2006/relationships/hyperlink" Target="https://expa.aiesec.org/opportunities/1299041" TargetMode="External"/><Relationship Id="rId976" Type="http://schemas.openxmlformats.org/officeDocument/2006/relationships/hyperlink" Target="https://expa.aiesec.org/opportunities/1294127" TargetMode="External"/><Relationship Id="rId975" Type="http://schemas.openxmlformats.org/officeDocument/2006/relationships/hyperlink" Target="https://expa.aiesec.org/opportunities/1294127" TargetMode="External"/><Relationship Id="rId974" Type="http://schemas.openxmlformats.org/officeDocument/2006/relationships/hyperlink" Target="https://expa.aiesec.org/opportunities/1295575" TargetMode="External"/><Relationship Id="rId973" Type="http://schemas.openxmlformats.org/officeDocument/2006/relationships/hyperlink" Target="https://expa.aiesec.org/opportunities/1295453" TargetMode="External"/><Relationship Id="rId979" Type="http://schemas.openxmlformats.org/officeDocument/2006/relationships/hyperlink" Target="https://expa.aiesec.org/opportunities/1295453" TargetMode="External"/><Relationship Id="rId978" Type="http://schemas.openxmlformats.org/officeDocument/2006/relationships/hyperlink" Target="https://expa.aiesec.org/opportunities/1295453" TargetMode="External"/><Relationship Id="rId977" Type="http://schemas.openxmlformats.org/officeDocument/2006/relationships/hyperlink" Target="https://expa.aiesec.org/opportunities/1292793" TargetMode="External"/><Relationship Id="rId1560" Type="http://schemas.openxmlformats.org/officeDocument/2006/relationships/hyperlink" Target="https://expa.aiesec.org/opportunities/1296670" TargetMode="External"/><Relationship Id="rId972" Type="http://schemas.openxmlformats.org/officeDocument/2006/relationships/hyperlink" Target="https://expa.aiesec.org/opportunities/1288721" TargetMode="External"/><Relationship Id="rId1561" Type="http://schemas.openxmlformats.org/officeDocument/2006/relationships/hyperlink" Target="https://expa.aiesec.org/opportunities/1289347" TargetMode="External"/><Relationship Id="rId971" Type="http://schemas.openxmlformats.org/officeDocument/2006/relationships/hyperlink" Target="https://expa.aiesec.org/opportunities/1292556" TargetMode="External"/><Relationship Id="rId1562" Type="http://schemas.openxmlformats.org/officeDocument/2006/relationships/hyperlink" Target="https://expa.aiesec.org/opportunities/1299474" TargetMode="External"/><Relationship Id="rId970" Type="http://schemas.openxmlformats.org/officeDocument/2006/relationships/hyperlink" Target="https://expa.aiesec.org/opportunities/1287488" TargetMode="External"/><Relationship Id="rId1563" Type="http://schemas.openxmlformats.org/officeDocument/2006/relationships/hyperlink" Target="https://expa.aiesec.org/opportunities/1286236" TargetMode="External"/><Relationship Id="rId1564" Type="http://schemas.openxmlformats.org/officeDocument/2006/relationships/hyperlink" Target="https://expa.aiesec.org/opportunities/1291881" TargetMode="External"/><Relationship Id="rId1598" Type="http://schemas.openxmlformats.org/officeDocument/2006/relationships/hyperlink" Target="https://expa.aiesec.org/opportunities/1294584" TargetMode="External"/><Relationship Id="rId1599" Type="http://schemas.openxmlformats.org/officeDocument/2006/relationships/hyperlink" Target="https://expa.aiesec.org/opportunities/1280973" TargetMode="External"/><Relationship Id="rId1590" Type="http://schemas.openxmlformats.org/officeDocument/2006/relationships/hyperlink" Target="https://expa.aiesec.org/opportunities/1286920" TargetMode="External"/><Relationship Id="rId1591" Type="http://schemas.openxmlformats.org/officeDocument/2006/relationships/hyperlink" Target="https://expa.aiesec.org/opportunities/1286034" TargetMode="External"/><Relationship Id="rId1592" Type="http://schemas.openxmlformats.org/officeDocument/2006/relationships/hyperlink" Target="https://expa.aiesec.org/opportunities/1299041" TargetMode="External"/><Relationship Id="rId1593" Type="http://schemas.openxmlformats.org/officeDocument/2006/relationships/hyperlink" Target="https://expa.aiesec.org/opportunities/1286326" TargetMode="External"/><Relationship Id="rId1594" Type="http://schemas.openxmlformats.org/officeDocument/2006/relationships/hyperlink" Target="https://expa.aiesec.org/opportunities/1281010" TargetMode="External"/><Relationship Id="rId1595" Type="http://schemas.openxmlformats.org/officeDocument/2006/relationships/hyperlink" Target="https://expa.aiesec.org/opportunities/1286034" TargetMode="External"/><Relationship Id="rId1596" Type="http://schemas.openxmlformats.org/officeDocument/2006/relationships/hyperlink" Target="https://expa.aiesec.org/opportunities/1286034" TargetMode="External"/><Relationship Id="rId1597" Type="http://schemas.openxmlformats.org/officeDocument/2006/relationships/hyperlink" Target="https://expa.aiesec.org/opportunities/1299041" TargetMode="External"/><Relationship Id="rId1587" Type="http://schemas.openxmlformats.org/officeDocument/2006/relationships/hyperlink" Target="https://expa.aiesec.org/opportunities/1291634" TargetMode="External"/><Relationship Id="rId1588" Type="http://schemas.openxmlformats.org/officeDocument/2006/relationships/hyperlink" Target="https://expa.aiesec.org/opportunities/1294584" TargetMode="External"/><Relationship Id="rId1589" Type="http://schemas.openxmlformats.org/officeDocument/2006/relationships/hyperlink" Target="https://expa.aiesec.org/opportunities/1286034" TargetMode="External"/><Relationship Id="rId998" Type="http://schemas.openxmlformats.org/officeDocument/2006/relationships/hyperlink" Target="https://expa.aiesec.org/opportunities/1294452" TargetMode="External"/><Relationship Id="rId997" Type="http://schemas.openxmlformats.org/officeDocument/2006/relationships/hyperlink" Target="https://expa.aiesec.org/opportunities/1292773" TargetMode="External"/><Relationship Id="rId996" Type="http://schemas.openxmlformats.org/officeDocument/2006/relationships/hyperlink" Target="https://expa.aiesec.org/opportunities/1295457" TargetMode="External"/><Relationship Id="rId995" Type="http://schemas.openxmlformats.org/officeDocument/2006/relationships/hyperlink" Target="https://expa.aiesec.org/opportunities/1295458" TargetMode="External"/><Relationship Id="rId999" Type="http://schemas.openxmlformats.org/officeDocument/2006/relationships/hyperlink" Target="https://expa.aiesec.org/opportunities/1285687" TargetMode="External"/><Relationship Id="rId990" Type="http://schemas.openxmlformats.org/officeDocument/2006/relationships/hyperlink" Target="https://expa.aiesec.org/opportunities/1295408" TargetMode="External"/><Relationship Id="rId1580" Type="http://schemas.openxmlformats.org/officeDocument/2006/relationships/hyperlink" Target="https://expa.aiesec.org/opportunities/1289536" TargetMode="External"/><Relationship Id="rId1581" Type="http://schemas.openxmlformats.org/officeDocument/2006/relationships/hyperlink" Target="https://expa.aiesec.org/opportunities/1289347" TargetMode="External"/><Relationship Id="rId1582" Type="http://schemas.openxmlformats.org/officeDocument/2006/relationships/hyperlink" Target="https://expa.aiesec.org/opportunities/1272564" TargetMode="External"/><Relationship Id="rId994" Type="http://schemas.openxmlformats.org/officeDocument/2006/relationships/hyperlink" Target="https://expa.aiesec.org/opportunities/1293726" TargetMode="External"/><Relationship Id="rId1583" Type="http://schemas.openxmlformats.org/officeDocument/2006/relationships/hyperlink" Target="https://expa.aiesec.org/opportunities/1299041" TargetMode="External"/><Relationship Id="rId993" Type="http://schemas.openxmlformats.org/officeDocument/2006/relationships/hyperlink" Target="https://expa.aiesec.org/opportunities/1292793" TargetMode="External"/><Relationship Id="rId1584" Type="http://schemas.openxmlformats.org/officeDocument/2006/relationships/hyperlink" Target="https://expa.aiesec.org/opportunities/1291254" TargetMode="External"/><Relationship Id="rId992" Type="http://schemas.openxmlformats.org/officeDocument/2006/relationships/hyperlink" Target="https://expa.aiesec.org/opportunities/1295453" TargetMode="External"/><Relationship Id="rId1585" Type="http://schemas.openxmlformats.org/officeDocument/2006/relationships/hyperlink" Target="https://expa.aiesec.org/opportunities/1294584" TargetMode="External"/><Relationship Id="rId991" Type="http://schemas.openxmlformats.org/officeDocument/2006/relationships/hyperlink" Target="https://expa.aiesec.org/opportunities/1295457" TargetMode="External"/><Relationship Id="rId1586" Type="http://schemas.openxmlformats.org/officeDocument/2006/relationships/hyperlink" Target="https://expa.aiesec.org/opportunities/1286326" TargetMode="External"/><Relationship Id="rId1532" Type="http://schemas.openxmlformats.org/officeDocument/2006/relationships/hyperlink" Target="https://expa.aiesec.org/opportunities/1297781" TargetMode="External"/><Relationship Id="rId1533" Type="http://schemas.openxmlformats.org/officeDocument/2006/relationships/hyperlink" Target="https://expa.aiesec.org/opportunities/1298612" TargetMode="External"/><Relationship Id="rId1534" Type="http://schemas.openxmlformats.org/officeDocument/2006/relationships/hyperlink" Target="https://expa.aiesec.org/opportunities/1300624" TargetMode="External"/><Relationship Id="rId1535" Type="http://schemas.openxmlformats.org/officeDocument/2006/relationships/hyperlink" Target="https://expa.aiesec.org/opportunities/1300624" TargetMode="External"/><Relationship Id="rId1536" Type="http://schemas.openxmlformats.org/officeDocument/2006/relationships/hyperlink" Target="https://expa.aiesec.org/opportunities/1300624" TargetMode="External"/><Relationship Id="rId1537" Type="http://schemas.openxmlformats.org/officeDocument/2006/relationships/hyperlink" Target="https://expa.aiesec.org/opportunities/1296325" TargetMode="External"/><Relationship Id="rId1538" Type="http://schemas.openxmlformats.org/officeDocument/2006/relationships/hyperlink" Target="https://expa.aiesec.org/opportunities/1297990" TargetMode="External"/><Relationship Id="rId1539" Type="http://schemas.openxmlformats.org/officeDocument/2006/relationships/hyperlink" Target="https://expa.aiesec.org/opportunities/1286034" TargetMode="External"/><Relationship Id="rId949" Type="http://schemas.openxmlformats.org/officeDocument/2006/relationships/hyperlink" Target="https://expa.aiesec.org/opportunities/1294103" TargetMode="External"/><Relationship Id="rId948" Type="http://schemas.openxmlformats.org/officeDocument/2006/relationships/hyperlink" Target="https://expa.aiesec.org/opportunities/1294795" TargetMode="External"/><Relationship Id="rId943" Type="http://schemas.openxmlformats.org/officeDocument/2006/relationships/hyperlink" Target="https://expa.aiesec.org/opportunities/1291929" TargetMode="External"/><Relationship Id="rId942" Type="http://schemas.openxmlformats.org/officeDocument/2006/relationships/hyperlink" Target="https://expa.aiesec.org/opportunities/1291929" TargetMode="External"/><Relationship Id="rId941" Type="http://schemas.openxmlformats.org/officeDocument/2006/relationships/hyperlink" Target="https://expa.aiesec.org/opportunities/1293417" TargetMode="External"/><Relationship Id="rId940" Type="http://schemas.openxmlformats.org/officeDocument/2006/relationships/hyperlink" Target="https://expa.aiesec.org/opportunities/1283483" TargetMode="External"/><Relationship Id="rId947" Type="http://schemas.openxmlformats.org/officeDocument/2006/relationships/hyperlink" Target="https://expa.aiesec.org/opportunities/1287210" TargetMode="External"/><Relationship Id="rId946" Type="http://schemas.openxmlformats.org/officeDocument/2006/relationships/hyperlink" Target="https://expa.aiesec.org/opportunities/1291929" TargetMode="External"/><Relationship Id="rId945" Type="http://schemas.openxmlformats.org/officeDocument/2006/relationships/hyperlink" Target="https://expa.aiesec.org/opportunities/1289536" TargetMode="External"/><Relationship Id="rId944" Type="http://schemas.openxmlformats.org/officeDocument/2006/relationships/hyperlink" Target="https://expa.aiesec.org/opportunities/1291929" TargetMode="External"/><Relationship Id="rId1530" Type="http://schemas.openxmlformats.org/officeDocument/2006/relationships/hyperlink" Target="https://expa.aiesec.org/opportunities/1286034" TargetMode="External"/><Relationship Id="rId1531" Type="http://schemas.openxmlformats.org/officeDocument/2006/relationships/hyperlink" Target="https://expa.aiesec.org/opportunities/1286326" TargetMode="External"/><Relationship Id="rId1521" Type="http://schemas.openxmlformats.org/officeDocument/2006/relationships/hyperlink" Target="https://expa.aiesec.org/opportunities/1295453" TargetMode="External"/><Relationship Id="rId1522" Type="http://schemas.openxmlformats.org/officeDocument/2006/relationships/hyperlink" Target="https://expa.aiesec.org/opportunities/1297781" TargetMode="External"/><Relationship Id="rId1523" Type="http://schemas.openxmlformats.org/officeDocument/2006/relationships/hyperlink" Target="https://expa.aiesec.org/opportunities/1296234" TargetMode="External"/><Relationship Id="rId1524" Type="http://schemas.openxmlformats.org/officeDocument/2006/relationships/hyperlink" Target="https://expa.aiesec.org/opportunities/1300624" TargetMode="External"/><Relationship Id="rId1525" Type="http://schemas.openxmlformats.org/officeDocument/2006/relationships/hyperlink" Target="https://expa.aiesec.org/opportunities/1300177" TargetMode="External"/><Relationship Id="rId1526" Type="http://schemas.openxmlformats.org/officeDocument/2006/relationships/hyperlink" Target="https://expa.aiesec.org/opportunities/1279126" TargetMode="External"/><Relationship Id="rId1527" Type="http://schemas.openxmlformats.org/officeDocument/2006/relationships/hyperlink" Target="https://expa.aiesec.org/opportunities/1293417" TargetMode="External"/><Relationship Id="rId1528" Type="http://schemas.openxmlformats.org/officeDocument/2006/relationships/hyperlink" Target="https://expa.aiesec.org/opportunities/1300841" TargetMode="External"/><Relationship Id="rId1529" Type="http://schemas.openxmlformats.org/officeDocument/2006/relationships/hyperlink" Target="https://expa.aiesec.org/opportunities/1288490" TargetMode="External"/><Relationship Id="rId939" Type="http://schemas.openxmlformats.org/officeDocument/2006/relationships/hyperlink" Target="https://expa.aiesec.org/opportunities/1289505" TargetMode="External"/><Relationship Id="rId938" Type="http://schemas.openxmlformats.org/officeDocument/2006/relationships/hyperlink" Target="https://expa.aiesec.org/opportunities/1289505" TargetMode="External"/><Relationship Id="rId937" Type="http://schemas.openxmlformats.org/officeDocument/2006/relationships/hyperlink" Target="https://expa.aiesec.org/opportunities/1295002" TargetMode="External"/><Relationship Id="rId932" Type="http://schemas.openxmlformats.org/officeDocument/2006/relationships/hyperlink" Target="https://expa.aiesec.org/opportunities/1295149" TargetMode="External"/><Relationship Id="rId931" Type="http://schemas.openxmlformats.org/officeDocument/2006/relationships/hyperlink" Target="https://expa.aiesec.org/opportunities/1294795" TargetMode="External"/><Relationship Id="rId930" Type="http://schemas.openxmlformats.org/officeDocument/2006/relationships/hyperlink" Target="https://expa.aiesec.org/opportunities/1295240" TargetMode="External"/><Relationship Id="rId936" Type="http://schemas.openxmlformats.org/officeDocument/2006/relationships/hyperlink" Target="https://expa.aiesec.org/opportunities/1294894" TargetMode="External"/><Relationship Id="rId935" Type="http://schemas.openxmlformats.org/officeDocument/2006/relationships/hyperlink" Target="https://expa.aiesec.org/opportunities/1293706" TargetMode="External"/><Relationship Id="rId934" Type="http://schemas.openxmlformats.org/officeDocument/2006/relationships/hyperlink" Target="https://expa.aiesec.org/opportunities/1292556" TargetMode="External"/><Relationship Id="rId933" Type="http://schemas.openxmlformats.org/officeDocument/2006/relationships/hyperlink" Target="https://expa.aiesec.org/opportunities/1293726" TargetMode="External"/><Relationship Id="rId1520" Type="http://schemas.openxmlformats.org/officeDocument/2006/relationships/hyperlink" Target="https://expa.aiesec.org/opportunities/1279126" TargetMode="External"/><Relationship Id="rId1554" Type="http://schemas.openxmlformats.org/officeDocument/2006/relationships/hyperlink" Target="https://expa.aiesec.org/opportunities/1284670" TargetMode="External"/><Relationship Id="rId1555" Type="http://schemas.openxmlformats.org/officeDocument/2006/relationships/hyperlink" Target="https://expa.aiesec.org/opportunities/1296328" TargetMode="External"/><Relationship Id="rId1556" Type="http://schemas.openxmlformats.org/officeDocument/2006/relationships/hyperlink" Target="https://expa.aiesec.org/opportunities/1289536" TargetMode="External"/><Relationship Id="rId1557" Type="http://schemas.openxmlformats.org/officeDocument/2006/relationships/hyperlink" Target="https://expa.aiesec.org/opportunities/1292535" TargetMode="External"/><Relationship Id="rId1558" Type="http://schemas.openxmlformats.org/officeDocument/2006/relationships/hyperlink" Target="https://expa.aiesec.org/opportunities/1289347" TargetMode="External"/><Relationship Id="rId1559" Type="http://schemas.openxmlformats.org/officeDocument/2006/relationships/hyperlink" Target="https://expa.aiesec.org/opportunities/1296670" TargetMode="External"/><Relationship Id="rId965" Type="http://schemas.openxmlformats.org/officeDocument/2006/relationships/hyperlink" Target="https://expa.aiesec.org/opportunities/1285687" TargetMode="External"/><Relationship Id="rId964" Type="http://schemas.openxmlformats.org/officeDocument/2006/relationships/hyperlink" Target="https://expa.aiesec.org/opportunities/1293726" TargetMode="External"/><Relationship Id="rId963" Type="http://schemas.openxmlformats.org/officeDocument/2006/relationships/hyperlink" Target="https://expa.aiesec.org/opportunities/1295575" TargetMode="External"/><Relationship Id="rId962" Type="http://schemas.openxmlformats.org/officeDocument/2006/relationships/hyperlink" Target="https://expa.aiesec.org/opportunities/1283891" TargetMode="External"/><Relationship Id="rId969" Type="http://schemas.openxmlformats.org/officeDocument/2006/relationships/hyperlink" Target="https://expa.aiesec.org/opportunities/1294068" TargetMode="External"/><Relationship Id="rId968" Type="http://schemas.openxmlformats.org/officeDocument/2006/relationships/hyperlink" Target="https://expa.aiesec.org/opportunities/1285687" TargetMode="External"/><Relationship Id="rId967" Type="http://schemas.openxmlformats.org/officeDocument/2006/relationships/hyperlink" Target="https://expa.aiesec.org/opportunities/1288490" TargetMode="External"/><Relationship Id="rId966" Type="http://schemas.openxmlformats.org/officeDocument/2006/relationships/hyperlink" Target="https://expa.aiesec.org/opportunities/1295261" TargetMode="External"/><Relationship Id="rId961" Type="http://schemas.openxmlformats.org/officeDocument/2006/relationships/hyperlink" Target="https://expa.aiesec.org/opportunities/1294622" TargetMode="External"/><Relationship Id="rId1550" Type="http://schemas.openxmlformats.org/officeDocument/2006/relationships/hyperlink" Target="https://expa.aiesec.org/opportunities/1298282" TargetMode="External"/><Relationship Id="rId960" Type="http://schemas.openxmlformats.org/officeDocument/2006/relationships/hyperlink" Target="https://expa.aiesec.org/opportunities/1294127" TargetMode="External"/><Relationship Id="rId1551" Type="http://schemas.openxmlformats.org/officeDocument/2006/relationships/hyperlink" Target="https://expa.aiesec.org/opportunities/1295893" TargetMode="External"/><Relationship Id="rId1552" Type="http://schemas.openxmlformats.org/officeDocument/2006/relationships/hyperlink" Target="https://expa.aiesec.org/opportunities/1300558" TargetMode="External"/><Relationship Id="rId1553" Type="http://schemas.openxmlformats.org/officeDocument/2006/relationships/hyperlink" Target="https://expa.aiesec.org/opportunities/1284670" TargetMode="External"/><Relationship Id="rId1543" Type="http://schemas.openxmlformats.org/officeDocument/2006/relationships/hyperlink" Target="https://expa.aiesec.org/opportunities/1298284" TargetMode="External"/><Relationship Id="rId1544" Type="http://schemas.openxmlformats.org/officeDocument/2006/relationships/hyperlink" Target="https://expa.aiesec.org/opportunities/1272564" TargetMode="External"/><Relationship Id="rId1545" Type="http://schemas.openxmlformats.org/officeDocument/2006/relationships/hyperlink" Target="https://expa.aiesec.org/opportunities/1296105" TargetMode="External"/><Relationship Id="rId1546" Type="http://schemas.openxmlformats.org/officeDocument/2006/relationships/hyperlink" Target="https://expa.aiesec.org/opportunities/1284670" TargetMode="External"/><Relationship Id="rId1547" Type="http://schemas.openxmlformats.org/officeDocument/2006/relationships/hyperlink" Target="https://expa.aiesec.org/opportunities/1286326" TargetMode="External"/><Relationship Id="rId1548" Type="http://schemas.openxmlformats.org/officeDocument/2006/relationships/hyperlink" Target="https://expa.aiesec.org/opportunities/1285687" TargetMode="External"/><Relationship Id="rId1549" Type="http://schemas.openxmlformats.org/officeDocument/2006/relationships/hyperlink" Target="https://expa.aiesec.org/opportunities/1300624" TargetMode="External"/><Relationship Id="rId959" Type="http://schemas.openxmlformats.org/officeDocument/2006/relationships/hyperlink" Target="https://expa.aiesec.org/opportunities/1294795" TargetMode="External"/><Relationship Id="rId954" Type="http://schemas.openxmlformats.org/officeDocument/2006/relationships/hyperlink" Target="https://expa.aiesec.org/opportunities/1294068" TargetMode="External"/><Relationship Id="rId953" Type="http://schemas.openxmlformats.org/officeDocument/2006/relationships/hyperlink" Target="https://expa.aiesec.org/opportunities/1284670" TargetMode="External"/><Relationship Id="rId952" Type="http://schemas.openxmlformats.org/officeDocument/2006/relationships/hyperlink" Target="https://expa.aiesec.org/opportunities/1294372" TargetMode="External"/><Relationship Id="rId951" Type="http://schemas.openxmlformats.org/officeDocument/2006/relationships/hyperlink" Target="https://expa.aiesec.org/opportunities/1287380" TargetMode="External"/><Relationship Id="rId958" Type="http://schemas.openxmlformats.org/officeDocument/2006/relationships/hyperlink" Target="https://expa.aiesec.org/opportunities/1288582" TargetMode="External"/><Relationship Id="rId957" Type="http://schemas.openxmlformats.org/officeDocument/2006/relationships/hyperlink" Target="https://expa.aiesec.org/opportunities/1291336" TargetMode="External"/><Relationship Id="rId956" Type="http://schemas.openxmlformats.org/officeDocument/2006/relationships/hyperlink" Target="https://expa.aiesec.org/opportunities/1294795" TargetMode="External"/><Relationship Id="rId955" Type="http://schemas.openxmlformats.org/officeDocument/2006/relationships/hyperlink" Target="https://expa.aiesec.org/opportunities/1289596" TargetMode="External"/><Relationship Id="rId950" Type="http://schemas.openxmlformats.org/officeDocument/2006/relationships/hyperlink" Target="https://expa.aiesec.org/opportunities/1289596" TargetMode="External"/><Relationship Id="rId1540" Type="http://schemas.openxmlformats.org/officeDocument/2006/relationships/hyperlink" Target="https://expa.aiesec.org/opportunities/1286034" TargetMode="External"/><Relationship Id="rId1541" Type="http://schemas.openxmlformats.org/officeDocument/2006/relationships/hyperlink" Target="https://expa.aiesec.org/opportunities/1289347" TargetMode="External"/><Relationship Id="rId1542" Type="http://schemas.openxmlformats.org/officeDocument/2006/relationships/hyperlink" Target="https://expa.aiesec.org/opportunities/1280872" TargetMode="External"/><Relationship Id="rId107" Type="http://schemas.openxmlformats.org/officeDocument/2006/relationships/hyperlink" Target="https://expa.aiesec.org/opportunities/1288995" TargetMode="External"/><Relationship Id="rId106" Type="http://schemas.openxmlformats.org/officeDocument/2006/relationships/hyperlink" Target="https://expa.aiesec.org/opportunities/1288989" TargetMode="External"/><Relationship Id="rId105" Type="http://schemas.openxmlformats.org/officeDocument/2006/relationships/hyperlink" Target="https://expa.aiesec.org/opportunities/1281010" TargetMode="External"/><Relationship Id="rId104" Type="http://schemas.openxmlformats.org/officeDocument/2006/relationships/hyperlink" Target="https://expa.aiesec.org/opportunities/1281010" TargetMode="External"/><Relationship Id="rId109" Type="http://schemas.openxmlformats.org/officeDocument/2006/relationships/hyperlink" Target="https://expa.aiesec.org/opportunities/1279516" TargetMode="External"/><Relationship Id="rId108" Type="http://schemas.openxmlformats.org/officeDocument/2006/relationships/hyperlink" Target="https://expa.aiesec.org/opportunities/1288989" TargetMode="External"/><Relationship Id="rId103" Type="http://schemas.openxmlformats.org/officeDocument/2006/relationships/hyperlink" Target="https://expa.aiesec.org/opportunities/1287668" TargetMode="External"/><Relationship Id="rId102" Type="http://schemas.openxmlformats.org/officeDocument/2006/relationships/hyperlink" Target="https://expa.aiesec.org/opportunities/1288299" TargetMode="External"/><Relationship Id="rId101" Type="http://schemas.openxmlformats.org/officeDocument/2006/relationships/hyperlink" Target="https://expa.aiesec.org/opportunities/1288299" TargetMode="External"/><Relationship Id="rId100" Type="http://schemas.openxmlformats.org/officeDocument/2006/relationships/hyperlink" Target="https://expa.aiesec.org/opportunities/1272564" TargetMode="External"/><Relationship Id="rId129" Type="http://schemas.openxmlformats.org/officeDocument/2006/relationships/hyperlink" Target="https://expa.aiesec.org/opportunities/1287854" TargetMode="External"/><Relationship Id="rId128" Type="http://schemas.openxmlformats.org/officeDocument/2006/relationships/hyperlink" Target="https://expa.aiesec.org/opportunities/1288970" TargetMode="External"/><Relationship Id="rId127" Type="http://schemas.openxmlformats.org/officeDocument/2006/relationships/hyperlink" Target="https://expa.aiesec.org/opportunities/1287925" TargetMode="External"/><Relationship Id="rId126" Type="http://schemas.openxmlformats.org/officeDocument/2006/relationships/hyperlink" Target="https://expa.aiesec.org/opportunities/1288916" TargetMode="External"/><Relationship Id="rId121" Type="http://schemas.openxmlformats.org/officeDocument/2006/relationships/hyperlink" Target="https://expa.aiesec.org/opportunities/1288245" TargetMode="External"/><Relationship Id="rId120" Type="http://schemas.openxmlformats.org/officeDocument/2006/relationships/hyperlink" Target="https://expa.aiesec.org/opportunities/1288916" TargetMode="External"/><Relationship Id="rId125" Type="http://schemas.openxmlformats.org/officeDocument/2006/relationships/hyperlink" Target="https://expa.aiesec.org/opportunities/1288970" TargetMode="External"/><Relationship Id="rId124" Type="http://schemas.openxmlformats.org/officeDocument/2006/relationships/hyperlink" Target="https://expa.aiesec.org/opportunities/1288533" TargetMode="External"/><Relationship Id="rId123" Type="http://schemas.openxmlformats.org/officeDocument/2006/relationships/hyperlink" Target="https://expa.aiesec.org/opportunities/1288989" TargetMode="External"/><Relationship Id="rId122" Type="http://schemas.openxmlformats.org/officeDocument/2006/relationships/hyperlink" Target="https://expa.aiesec.org/opportunities/1279516" TargetMode="External"/><Relationship Id="rId118" Type="http://schemas.openxmlformats.org/officeDocument/2006/relationships/hyperlink" Target="https://expa.aiesec.org/opportunities/1288970" TargetMode="External"/><Relationship Id="rId117" Type="http://schemas.openxmlformats.org/officeDocument/2006/relationships/hyperlink" Target="https://expa.aiesec.org/opportunities/1288663" TargetMode="External"/><Relationship Id="rId116" Type="http://schemas.openxmlformats.org/officeDocument/2006/relationships/hyperlink" Target="https://expa.aiesec.org/opportunities/1288663" TargetMode="External"/><Relationship Id="rId115" Type="http://schemas.openxmlformats.org/officeDocument/2006/relationships/hyperlink" Target="https://expa.aiesec.org/opportunities/1285597" TargetMode="External"/><Relationship Id="rId119" Type="http://schemas.openxmlformats.org/officeDocument/2006/relationships/hyperlink" Target="https://expa.aiesec.org/opportunities/1288533" TargetMode="External"/><Relationship Id="rId110" Type="http://schemas.openxmlformats.org/officeDocument/2006/relationships/hyperlink" Target="https://expa.aiesec.org/opportunities/1288916" TargetMode="External"/><Relationship Id="rId114" Type="http://schemas.openxmlformats.org/officeDocument/2006/relationships/hyperlink" Target="https://expa.aiesec.org/opportunities/1289155" TargetMode="External"/><Relationship Id="rId113" Type="http://schemas.openxmlformats.org/officeDocument/2006/relationships/hyperlink" Target="https://expa.aiesec.org/opportunities/1288991" TargetMode="External"/><Relationship Id="rId112" Type="http://schemas.openxmlformats.org/officeDocument/2006/relationships/hyperlink" Target="https://expa.aiesec.org/opportunities/1288663" TargetMode="External"/><Relationship Id="rId111" Type="http://schemas.openxmlformats.org/officeDocument/2006/relationships/hyperlink" Target="https://expa.aiesec.org/opportunities/1289016" TargetMode="External"/><Relationship Id="rId1610" Type="http://schemas.openxmlformats.org/officeDocument/2006/relationships/hyperlink" Target="https://expa.aiesec.org/opportunities/1285687" TargetMode="External"/><Relationship Id="rId1611" Type="http://schemas.openxmlformats.org/officeDocument/2006/relationships/hyperlink" Target="https://expa.aiesec.org/opportunities/1285687" TargetMode="External"/><Relationship Id="rId1612" Type="http://schemas.openxmlformats.org/officeDocument/2006/relationships/hyperlink" Target="https://expa.aiesec.org/opportunities/1300841" TargetMode="External"/><Relationship Id="rId1613" Type="http://schemas.openxmlformats.org/officeDocument/2006/relationships/hyperlink" Target="https://expa.aiesec.org/opportunities/1291254" TargetMode="External"/><Relationship Id="rId1614" Type="http://schemas.openxmlformats.org/officeDocument/2006/relationships/hyperlink" Target="https://expa.aiesec.org/opportunities/1299474" TargetMode="External"/><Relationship Id="rId1615" Type="http://schemas.openxmlformats.org/officeDocument/2006/relationships/hyperlink" Target="https://expa.aiesec.org/opportunities/1295893" TargetMode="External"/><Relationship Id="rId1616" Type="http://schemas.openxmlformats.org/officeDocument/2006/relationships/hyperlink" Target="https://expa.aiesec.org/opportunities/1299474" TargetMode="External"/><Relationship Id="rId907" Type="http://schemas.openxmlformats.org/officeDocument/2006/relationships/hyperlink" Target="https://expa.aiesec.org/opportunities/1295285" TargetMode="External"/><Relationship Id="rId1617" Type="http://schemas.openxmlformats.org/officeDocument/2006/relationships/hyperlink" Target="https://expa.aiesec.org/opportunities/1286034" TargetMode="External"/><Relationship Id="rId906" Type="http://schemas.openxmlformats.org/officeDocument/2006/relationships/hyperlink" Target="https://expa.aiesec.org/opportunities/1289596" TargetMode="External"/><Relationship Id="rId1618" Type="http://schemas.openxmlformats.org/officeDocument/2006/relationships/hyperlink" Target="https://expa.aiesec.org/opportunities/1296105" TargetMode="External"/><Relationship Id="rId905" Type="http://schemas.openxmlformats.org/officeDocument/2006/relationships/hyperlink" Target="https://expa.aiesec.org/opportunities/1289596" TargetMode="External"/><Relationship Id="rId1619" Type="http://schemas.openxmlformats.org/officeDocument/2006/relationships/hyperlink" Target="https://expa.aiesec.org/opportunities/1284670" TargetMode="External"/><Relationship Id="rId904" Type="http://schemas.openxmlformats.org/officeDocument/2006/relationships/hyperlink" Target="https://expa.aiesec.org/opportunities/1289505" TargetMode="External"/><Relationship Id="rId909" Type="http://schemas.openxmlformats.org/officeDocument/2006/relationships/hyperlink" Target="https://expa.aiesec.org/opportunities/1287101" TargetMode="External"/><Relationship Id="rId908" Type="http://schemas.openxmlformats.org/officeDocument/2006/relationships/hyperlink" Target="https://expa.aiesec.org/opportunities/1287380" TargetMode="External"/><Relationship Id="rId903" Type="http://schemas.openxmlformats.org/officeDocument/2006/relationships/hyperlink" Target="https://expa.aiesec.org/opportunities/1289505" TargetMode="External"/><Relationship Id="rId902" Type="http://schemas.openxmlformats.org/officeDocument/2006/relationships/hyperlink" Target="https://expa.aiesec.org/opportunities/1294452" TargetMode="External"/><Relationship Id="rId901" Type="http://schemas.openxmlformats.org/officeDocument/2006/relationships/hyperlink" Target="https://expa.aiesec.org/opportunities/1294795" TargetMode="External"/><Relationship Id="rId900" Type="http://schemas.openxmlformats.org/officeDocument/2006/relationships/hyperlink" Target="https://expa.aiesec.org/opportunities/1294795" TargetMode="External"/><Relationship Id="rId1600" Type="http://schemas.openxmlformats.org/officeDocument/2006/relationships/hyperlink" Target="https://expa.aiesec.org/opportunities/1299474" TargetMode="External"/><Relationship Id="rId1601" Type="http://schemas.openxmlformats.org/officeDocument/2006/relationships/hyperlink" Target="https://expa.aiesec.org/opportunities/1286034" TargetMode="External"/><Relationship Id="rId1602" Type="http://schemas.openxmlformats.org/officeDocument/2006/relationships/hyperlink" Target="https://expa.aiesec.org/opportunities/1291881" TargetMode="External"/><Relationship Id="rId1603" Type="http://schemas.openxmlformats.org/officeDocument/2006/relationships/hyperlink" Target="https://expa.aiesec.org/opportunities/1291881" TargetMode="External"/><Relationship Id="rId1604" Type="http://schemas.openxmlformats.org/officeDocument/2006/relationships/hyperlink" Target="https://expa.aiesec.org/opportunities/1291881" TargetMode="External"/><Relationship Id="rId1605" Type="http://schemas.openxmlformats.org/officeDocument/2006/relationships/hyperlink" Target="https://expa.aiesec.org/opportunities/1291881" TargetMode="External"/><Relationship Id="rId1606" Type="http://schemas.openxmlformats.org/officeDocument/2006/relationships/hyperlink" Target="https://expa.aiesec.org/opportunities/1296105" TargetMode="External"/><Relationship Id="rId1607" Type="http://schemas.openxmlformats.org/officeDocument/2006/relationships/hyperlink" Target="https://expa.aiesec.org/opportunities/1289536" TargetMode="External"/><Relationship Id="rId1608" Type="http://schemas.openxmlformats.org/officeDocument/2006/relationships/hyperlink" Target="https://expa.aiesec.org/opportunities/1289536" TargetMode="External"/><Relationship Id="rId1609" Type="http://schemas.openxmlformats.org/officeDocument/2006/relationships/hyperlink" Target="https://expa.aiesec.org/opportunities/1289347" TargetMode="External"/><Relationship Id="rId1631" Type="http://schemas.openxmlformats.org/officeDocument/2006/relationships/hyperlink" Target="https://expa.aiesec.org/opportunities/1294584" TargetMode="External"/><Relationship Id="rId1632" Type="http://schemas.openxmlformats.org/officeDocument/2006/relationships/hyperlink" Target="https://expa.aiesec.org/opportunities/1294372" TargetMode="External"/><Relationship Id="rId1633" Type="http://schemas.openxmlformats.org/officeDocument/2006/relationships/hyperlink" Target="https://expa.aiesec.org/opportunities/1287488" TargetMode="External"/><Relationship Id="rId1634" Type="http://schemas.openxmlformats.org/officeDocument/2006/relationships/hyperlink" Target="https://expa.aiesec.org/opportunities/1288490" TargetMode="External"/><Relationship Id="rId1635" Type="http://schemas.openxmlformats.org/officeDocument/2006/relationships/hyperlink" Target="https://expa.aiesec.org/opportunities/1286034" TargetMode="External"/><Relationship Id="rId1636" Type="http://schemas.openxmlformats.org/officeDocument/2006/relationships/hyperlink" Target="https://expa.aiesec.org/opportunities/1289597" TargetMode="External"/><Relationship Id="rId1637" Type="http://schemas.openxmlformats.org/officeDocument/2006/relationships/hyperlink" Target="https://expa.aiesec.org/opportunities/1296101" TargetMode="External"/><Relationship Id="rId1638" Type="http://schemas.openxmlformats.org/officeDocument/2006/relationships/hyperlink" Target="https://expa.aiesec.org/opportunities/1289597" TargetMode="External"/><Relationship Id="rId929" Type="http://schemas.openxmlformats.org/officeDocument/2006/relationships/hyperlink" Target="https://expa.aiesec.org/opportunities/1287210" TargetMode="External"/><Relationship Id="rId1639" Type="http://schemas.openxmlformats.org/officeDocument/2006/relationships/hyperlink" Target="https://expa.aiesec.org/opportunities/1289536" TargetMode="External"/><Relationship Id="rId928" Type="http://schemas.openxmlformats.org/officeDocument/2006/relationships/hyperlink" Target="https://expa.aiesec.org/opportunities/1295240" TargetMode="External"/><Relationship Id="rId927" Type="http://schemas.openxmlformats.org/officeDocument/2006/relationships/hyperlink" Target="https://expa.aiesec.org/opportunities/1291254" TargetMode="External"/><Relationship Id="rId926" Type="http://schemas.openxmlformats.org/officeDocument/2006/relationships/hyperlink" Target="https://expa.aiesec.org/opportunities/1289100" TargetMode="External"/><Relationship Id="rId921" Type="http://schemas.openxmlformats.org/officeDocument/2006/relationships/hyperlink" Target="https://expa.aiesec.org/opportunities/1287210" TargetMode="External"/><Relationship Id="rId920" Type="http://schemas.openxmlformats.org/officeDocument/2006/relationships/hyperlink" Target="https://expa.aiesec.org/opportunities/1287210" TargetMode="External"/><Relationship Id="rId925" Type="http://schemas.openxmlformats.org/officeDocument/2006/relationships/hyperlink" Target="https://expa.aiesec.org/opportunities/1289505" TargetMode="External"/><Relationship Id="rId924" Type="http://schemas.openxmlformats.org/officeDocument/2006/relationships/hyperlink" Target="https://expa.aiesec.org/opportunities/1289505" TargetMode="External"/><Relationship Id="rId923" Type="http://schemas.openxmlformats.org/officeDocument/2006/relationships/hyperlink" Target="https://expa.aiesec.org/opportunities/1294197" TargetMode="External"/><Relationship Id="rId922" Type="http://schemas.openxmlformats.org/officeDocument/2006/relationships/hyperlink" Target="https://expa.aiesec.org/opportunities/1293706" TargetMode="External"/><Relationship Id="rId1630" Type="http://schemas.openxmlformats.org/officeDocument/2006/relationships/hyperlink" Target="https://expa.aiesec.org/opportunities/1289502" TargetMode="External"/><Relationship Id="rId1620" Type="http://schemas.openxmlformats.org/officeDocument/2006/relationships/hyperlink" Target="https://expa.aiesec.org/opportunities/1289536" TargetMode="External"/><Relationship Id="rId1621" Type="http://schemas.openxmlformats.org/officeDocument/2006/relationships/hyperlink" Target="https://expa.aiesec.org/opportunities/1299474" TargetMode="External"/><Relationship Id="rId1622" Type="http://schemas.openxmlformats.org/officeDocument/2006/relationships/hyperlink" Target="https://expa.aiesec.org/opportunities/1286326" TargetMode="External"/><Relationship Id="rId1623" Type="http://schemas.openxmlformats.org/officeDocument/2006/relationships/hyperlink" Target="https://expa.aiesec.org/opportunities/1288490" TargetMode="External"/><Relationship Id="rId1624" Type="http://schemas.openxmlformats.org/officeDocument/2006/relationships/hyperlink" Target="https://expa.aiesec.org/opportunities/1300624" TargetMode="External"/><Relationship Id="rId1625" Type="http://schemas.openxmlformats.org/officeDocument/2006/relationships/hyperlink" Target="https://expa.aiesec.org/opportunities/1296671" TargetMode="External"/><Relationship Id="rId1626" Type="http://schemas.openxmlformats.org/officeDocument/2006/relationships/hyperlink" Target="https://expa.aiesec.org/opportunities/1294584" TargetMode="External"/><Relationship Id="rId1627" Type="http://schemas.openxmlformats.org/officeDocument/2006/relationships/hyperlink" Target="https://expa.aiesec.org/opportunities/1292535" TargetMode="External"/><Relationship Id="rId918" Type="http://schemas.openxmlformats.org/officeDocument/2006/relationships/hyperlink" Target="https://expa.aiesec.org/opportunities/1289505" TargetMode="External"/><Relationship Id="rId1628" Type="http://schemas.openxmlformats.org/officeDocument/2006/relationships/hyperlink" Target="https://expa.aiesec.org/opportunities/1299474" TargetMode="External"/><Relationship Id="rId917" Type="http://schemas.openxmlformats.org/officeDocument/2006/relationships/hyperlink" Target="https://expa.aiesec.org/opportunities/1272564" TargetMode="External"/><Relationship Id="rId1629" Type="http://schemas.openxmlformats.org/officeDocument/2006/relationships/hyperlink" Target="https://expa.aiesec.org/opportunities/1291254" TargetMode="External"/><Relationship Id="rId916" Type="http://schemas.openxmlformats.org/officeDocument/2006/relationships/hyperlink" Target="https://expa.aiesec.org/opportunities/1295453" TargetMode="External"/><Relationship Id="rId915" Type="http://schemas.openxmlformats.org/officeDocument/2006/relationships/hyperlink" Target="https://expa.aiesec.org/opportunities/1295285" TargetMode="External"/><Relationship Id="rId919" Type="http://schemas.openxmlformats.org/officeDocument/2006/relationships/hyperlink" Target="https://expa.aiesec.org/opportunities/1287210" TargetMode="External"/><Relationship Id="rId910" Type="http://schemas.openxmlformats.org/officeDocument/2006/relationships/hyperlink" Target="https://expa.aiesec.org/opportunities/1295149" TargetMode="External"/><Relationship Id="rId914" Type="http://schemas.openxmlformats.org/officeDocument/2006/relationships/hyperlink" Target="https://expa.aiesec.org/opportunities/1291336" TargetMode="External"/><Relationship Id="rId913" Type="http://schemas.openxmlformats.org/officeDocument/2006/relationships/hyperlink" Target="https://expa.aiesec.org/opportunities/1286034" TargetMode="External"/><Relationship Id="rId912" Type="http://schemas.openxmlformats.org/officeDocument/2006/relationships/hyperlink" Target="https://expa.aiesec.org/opportunities/1289536" TargetMode="External"/><Relationship Id="rId911" Type="http://schemas.openxmlformats.org/officeDocument/2006/relationships/hyperlink" Target="https://expa.aiesec.org/opportunities/1284670" TargetMode="External"/><Relationship Id="rId1697" Type="http://schemas.openxmlformats.org/officeDocument/2006/relationships/hyperlink" Target="https://expa.aiesec.org/opportunities/1288970" TargetMode="External"/><Relationship Id="rId1698" Type="http://schemas.openxmlformats.org/officeDocument/2006/relationships/hyperlink" Target="https://expa.aiesec.org/opportunities/1288970" TargetMode="External"/><Relationship Id="rId1699" Type="http://schemas.openxmlformats.org/officeDocument/2006/relationships/hyperlink" Target="https://expa.aiesec.org/opportunities/1284077" TargetMode="External"/><Relationship Id="rId866" Type="http://schemas.openxmlformats.org/officeDocument/2006/relationships/hyperlink" Target="https://expa.aiesec.org/opportunities/1288721" TargetMode="External"/><Relationship Id="rId865" Type="http://schemas.openxmlformats.org/officeDocument/2006/relationships/hyperlink" Target="https://expa.aiesec.org/opportunities/1294976" TargetMode="External"/><Relationship Id="rId864" Type="http://schemas.openxmlformats.org/officeDocument/2006/relationships/hyperlink" Target="https://expa.aiesec.org/opportunities/1294976" TargetMode="External"/><Relationship Id="rId863" Type="http://schemas.openxmlformats.org/officeDocument/2006/relationships/hyperlink" Target="https://expa.aiesec.org/opportunities/1294976" TargetMode="External"/><Relationship Id="rId869" Type="http://schemas.openxmlformats.org/officeDocument/2006/relationships/hyperlink" Target="https://expa.aiesec.org/opportunities/1287851" TargetMode="External"/><Relationship Id="rId868" Type="http://schemas.openxmlformats.org/officeDocument/2006/relationships/hyperlink" Target="https://expa.aiesec.org/opportunities/1289597" TargetMode="External"/><Relationship Id="rId867" Type="http://schemas.openxmlformats.org/officeDocument/2006/relationships/hyperlink" Target="https://expa.aiesec.org/opportunities/1287749" TargetMode="External"/><Relationship Id="rId1690" Type="http://schemas.openxmlformats.org/officeDocument/2006/relationships/hyperlink" Target="https://expa.aiesec.org/opportunities/1294584" TargetMode="External"/><Relationship Id="rId1691" Type="http://schemas.openxmlformats.org/officeDocument/2006/relationships/hyperlink" Target="https://expa.aiesec.org/opportunities/1300178" TargetMode="External"/><Relationship Id="rId1692" Type="http://schemas.openxmlformats.org/officeDocument/2006/relationships/hyperlink" Target="https://expa.aiesec.org/opportunities/1288970" TargetMode="External"/><Relationship Id="rId862" Type="http://schemas.openxmlformats.org/officeDocument/2006/relationships/hyperlink" Target="https://expa.aiesec.org/opportunities/1294127" TargetMode="External"/><Relationship Id="rId1693" Type="http://schemas.openxmlformats.org/officeDocument/2006/relationships/hyperlink" Target="https://expa.aiesec.org/opportunities/1298102" TargetMode="External"/><Relationship Id="rId861" Type="http://schemas.openxmlformats.org/officeDocument/2006/relationships/hyperlink" Target="https://expa.aiesec.org/opportunities/1287210" TargetMode="External"/><Relationship Id="rId1694" Type="http://schemas.openxmlformats.org/officeDocument/2006/relationships/hyperlink" Target="https://expa.aiesec.org/opportunities/1301556" TargetMode="External"/><Relationship Id="rId860" Type="http://schemas.openxmlformats.org/officeDocument/2006/relationships/hyperlink" Target="https://expa.aiesec.org/opportunities/1280872" TargetMode="External"/><Relationship Id="rId1695" Type="http://schemas.openxmlformats.org/officeDocument/2006/relationships/hyperlink" Target="https://expa.aiesec.org/opportunities/1301556" TargetMode="External"/><Relationship Id="rId1696" Type="http://schemas.openxmlformats.org/officeDocument/2006/relationships/hyperlink" Target="https://expa.aiesec.org/opportunities/1292535" TargetMode="External"/><Relationship Id="rId1686" Type="http://schemas.openxmlformats.org/officeDocument/2006/relationships/hyperlink" Target="https://expa.aiesec.org/opportunities/1287966" TargetMode="External"/><Relationship Id="rId1687" Type="http://schemas.openxmlformats.org/officeDocument/2006/relationships/hyperlink" Target="https://expa.aiesec.org/opportunities/1289347" TargetMode="External"/><Relationship Id="rId1688" Type="http://schemas.openxmlformats.org/officeDocument/2006/relationships/hyperlink" Target="https://expa.aiesec.org/opportunities/1289597" TargetMode="External"/><Relationship Id="rId1689" Type="http://schemas.openxmlformats.org/officeDocument/2006/relationships/hyperlink" Target="https://expa.aiesec.org/opportunities/1300178" TargetMode="External"/><Relationship Id="rId855" Type="http://schemas.openxmlformats.org/officeDocument/2006/relationships/hyperlink" Target="https://expa.aiesec.org/opportunities/1294894" TargetMode="External"/><Relationship Id="rId854" Type="http://schemas.openxmlformats.org/officeDocument/2006/relationships/hyperlink" Target="https://expa.aiesec.org/opportunities/1291929" TargetMode="External"/><Relationship Id="rId853" Type="http://schemas.openxmlformats.org/officeDocument/2006/relationships/hyperlink" Target="https://expa.aiesec.org/opportunities/1294976" TargetMode="External"/><Relationship Id="rId852" Type="http://schemas.openxmlformats.org/officeDocument/2006/relationships/hyperlink" Target="https://expa.aiesec.org/opportunities/1284670" TargetMode="External"/><Relationship Id="rId859" Type="http://schemas.openxmlformats.org/officeDocument/2006/relationships/hyperlink" Target="https://expa.aiesec.org/opportunities/1291929" TargetMode="External"/><Relationship Id="rId858" Type="http://schemas.openxmlformats.org/officeDocument/2006/relationships/hyperlink" Target="https://expa.aiesec.org/opportunities/1272564" TargetMode="External"/><Relationship Id="rId857" Type="http://schemas.openxmlformats.org/officeDocument/2006/relationships/hyperlink" Target="https://expa.aiesec.org/opportunities/1289536" TargetMode="External"/><Relationship Id="rId856" Type="http://schemas.openxmlformats.org/officeDocument/2006/relationships/hyperlink" Target="https://expa.aiesec.org/opportunities/1293495" TargetMode="External"/><Relationship Id="rId1680" Type="http://schemas.openxmlformats.org/officeDocument/2006/relationships/hyperlink" Target="https://expa.aiesec.org/opportunities/1298102" TargetMode="External"/><Relationship Id="rId1681" Type="http://schemas.openxmlformats.org/officeDocument/2006/relationships/hyperlink" Target="https://expa.aiesec.org/opportunities/1295745" TargetMode="External"/><Relationship Id="rId851" Type="http://schemas.openxmlformats.org/officeDocument/2006/relationships/hyperlink" Target="https://expa.aiesec.org/opportunities/1289505" TargetMode="External"/><Relationship Id="rId1682" Type="http://schemas.openxmlformats.org/officeDocument/2006/relationships/hyperlink" Target="https://expa.aiesec.org/opportunities/1298102" TargetMode="External"/><Relationship Id="rId850" Type="http://schemas.openxmlformats.org/officeDocument/2006/relationships/hyperlink" Target="https://expa.aiesec.org/opportunities/1294068" TargetMode="External"/><Relationship Id="rId1683" Type="http://schemas.openxmlformats.org/officeDocument/2006/relationships/hyperlink" Target="https://expa.aiesec.org/opportunities/1293417" TargetMode="External"/><Relationship Id="rId1684" Type="http://schemas.openxmlformats.org/officeDocument/2006/relationships/hyperlink" Target="https://expa.aiesec.org/opportunities/1293417" TargetMode="External"/><Relationship Id="rId1685" Type="http://schemas.openxmlformats.org/officeDocument/2006/relationships/hyperlink" Target="https://expa.aiesec.org/opportunities/1289347" TargetMode="External"/><Relationship Id="rId888" Type="http://schemas.openxmlformats.org/officeDocument/2006/relationships/hyperlink" Target="https://expa.aiesec.org/opportunities/1294410" TargetMode="External"/><Relationship Id="rId887" Type="http://schemas.openxmlformats.org/officeDocument/2006/relationships/hyperlink" Target="https://expa.aiesec.org/opportunities/1294894" TargetMode="External"/><Relationship Id="rId886" Type="http://schemas.openxmlformats.org/officeDocument/2006/relationships/hyperlink" Target="https://expa.aiesec.org/opportunities/1294795" TargetMode="External"/><Relationship Id="rId885" Type="http://schemas.openxmlformats.org/officeDocument/2006/relationships/hyperlink" Target="https://expa.aiesec.org/opportunities/1294452" TargetMode="External"/><Relationship Id="rId889" Type="http://schemas.openxmlformats.org/officeDocument/2006/relationships/hyperlink" Target="https://expa.aiesec.org/opportunities/1295002" TargetMode="External"/><Relationship Id="rId880" Type="http://schemas.openxmlformats.org/officeDocument/2006/relationships/hyperlink" Target="https://expa.aiesec.org/opportunities/1283483" TargetMode="External"/><Relationship Id="rId884" Type="http://schemas.openxmlformats.org/officeDocument/2006/relationships/hyperlink" Target="https://expa.aiesec.org/opportunities/1287210" TargetMode="External"/><Relationship Id="rId883" Type="http://schemas.openxmlformats.org/officeDocument/2006/relationships/hyperlink" Target="https://expa.aiesec.org/opportunities/1284976" TargetMode="External"/><Relationship Id="rId882" Type="http://schemas.openxmlformats.org/officeDocument/2006/relationships/hyperlink" Target="https://expa.aiesec.org/opportunities/1294894" TargetMode="External"/><Relationship Id="rId881" Type="http://schemas.openxmlformats.org/officeDocument/2006/relationships/hyperlink" Target="https://expa.aiesec.org/opportunities/1294127" TargetMode="External"/><Relationship Id="rId877" Type="http://schemas.openxmlformats.org/officeDocument/2006/relationships/hyperlink" Target="https://expa.aiesec.org/opportunities/1294410" TargetMode="External"/><Relationship Id="rId876" Type="http://schemas.openxmlformats.org/officeDocument/2006/relationships/hyperlink" Target="https://expa.aiesec.org/opportunities/1287210" TargetMode="External"/><Relationship Id="rId875" Type="http://schemas.openxmlformats.org/officeDocument/2006/relationships/hyperlink" Target="https://expa.aiesec.org/opportunities/1289100" TargetMode="External"/><Relationship Id="rId874" Type="http://schemas.openxmlformats.org/officeDocument/2006/relationships/hyperlink" Target="https://expa.aiesec.org/opportunities/1272564" TargetMode="External"/><Relationship Id="rId879" Type="http://schemas.openxmlformats.org/officeDocument/2006/relationships/hyperlink" Target="https://expa.aiesec.org/opportunities/1291634" TargetMode="External"/><Relationship Id="rId878" Type="http://schemas.openxmlformats.org/officeDocument/2006/relationships/hyperlink" Target="https://expa.aiesec.org/opportunities/1287210" TargetMode="External"/><Relationship Id="rId873" Type="http://schemas.openxmlformats.org/officeDocument/2006/relationships/hyperlink" Target="https://expa.aiesec.org/opportunities/1284670" TargetMode="External"/><Relationship Id="rId872" Type="http://schemas.openxmlformats.org/officeDocument/2006/relationships/hyperlink" Target="https://expa.aiesec.org/opportunities/1295002" TargetMode="External"/><Relationship Id="rId871" Type="http://schemas.openxmlformats.org/officeDocument/2006/relationships/hyperlink" Target="https://expa.aiesec.org/opportunities/1285766" TargetMode="External"/><Relationship Id="rId870" Type="http://schemas.openxmlformats.org/officeDocument/2006/relationships/hyperlink" Target="https://expa.aiesec.org/opportunities/1285766" TargetMode="External"/><Relationship Id="rId1653" Type="http://schemas.openxmlformats.org/officeDocument/2006/relationships/hyperlink" Target="https://expa.aiesec.org/opportunities/1281010" TargetMode="External"/><Relationship Id="rId1654" Type="http://schemas.openxmlformats.org/officeDocument/2006/relationships/hyperlink" Target="https://expa.aiesec.org/opportunities/1291634" TargetMode="External"/><Relationship Id="rId1655" Type="http://schemas.openxmlformats.org/officeDocument/2006/relationships/hyperlink" Target="https://expa.aiesec.org/opportunities/1289536" TargetMode="External"/><Relationship Id="rId1656" Type="http://schemas.openxmlformats.org/officeDocument/2006/relationships/hyperlink" Target="https://expa.aiesec.org/opportunities/1289536" TargetMode="External"/><Relationship Id="rId1657" Type="http://schemas.openxmlformats.org/officeDocument/2006/relationships/hyperlink" Target="https://expa.aiesec.org/opportunities/1289536" TargetMode="External"/><Relationship Id="rId1658" Type="http://schemas.openxmlformats.org/officeDocument/2006/relationships/hyperlink" Target="https://expa.aiesec.org/opportunities/1289536" TargetMode="External"/><Relationship Id="rId1659" Type="http://schemas.openxmlformats.org/officeDocument/2006/relationships/hyperlink" Target="https://expa.aiesec.org/opportunities/1272564" TargetMode="External"/><Relationship Id="rId829" Type="http://schemas.openxmlformats.org/officeDocument/2006/relationships/hyperlink" Target="https://expa.aiesec.org/opportunities/1294584" TargetMode="External"/><Relationship Id="rId828" Type="http://schemas.openxmlformats.org/officeDocument/2006/relationships/hyperlink" Target="https://expa.aiesec.org/opportunities/1272564" TargetMode="External"/><Relationship Id="rId827" Type="http://schemas.openxmlformats.org/officeDocument/2006/relationships/hyperlink" Target="https://expa.aiesec.org/opportunities/1294372" TargetMode="External"/><Relationship Id="rId822" Type="http://schemas.openxmlformats.org/officeDocument/2006/relationships/hyperlink" Target="https://expa.aiesec.org/opportunities/1286228" TargetMode="External"/><Relationship Id="rId821" Type="http://schemas.openxmlformats.org/officeDocument/2006/relationships/hyperlink" Target="https://expa.aiesec.org/opportunities/1289261" TargetMode="External"/><Relationship Id="rId820" Type="http://schemas.openxmlformats.org/officeDocument/2006/relationships/hyperlink" Target="https://expa.aiesec.org/opportunities/1287488" TargetMode="External"/><Relationship Id="rId826" Type="http://schemas.openxmlformats.org/officeDocument/2006/relationships/hyperlink" Target="https://expa.aiesec.org/opportunities/1294372" TargetMode="External"/><Relationship Id="rId825" Type="http://schemas.openxmlformats.org/officeDocument/2006/relationships/hyperlink" Target="https://expa.aiesec.org/opportunities/1289596" TargetMode="External"/><Relationship Id="rId824" Type="http://schemas.openxmlformats.org/officeDocument/2006/relationships/hyperlink" Target="https://expa.aiesec.org/opportunities/1289596" TargetMode="External"/><Relationship Id="rId823" Type="http://schemas.openxmlformats.org/officeDocument/2006/relationships/hyperlink" Target="https://expa.aiesec.org/opportunities/1288461" TargetMode="External"/><Relationship Id="rId1650" Type="http://schemas.openxmlformats.org/officeDocument/2006/relationships/hyperlink" Target="https://expa.aiesec.org/opportunities/1298282" TargetMode="External"/><Relationship Id="rId1651" Type="http://schemas.openxmlformats.org/officeDocument/2006/relationships/hyperlink" Target="https://expa.aiesec.org/opportunities/1291254" TargetMode="External"/><Relationship Id="rId1652" Type="http://schemas.openxmlformats.org/officeDocument/2006/relationships/hyperlink" Target="https://expa.aiesec.org/opportunities/1289597" TargetMode="External"/><Relationship Id="rId1642" Type="http://schemas.openxmlformats.org/officeDocument/2006/relationships/hyperlink" Target="https://expa.aiesec.org/opportunities/1289536" TargetMode="External"/><Relationship Id="rId1643" Type="http://schemas.openxmlformats.org/officeDocument/2006/relationships/hyperlink" Target="https://expa.aiesec.org/opportunities/1286917" TargetMode="External"/><Relationship Id="rId1644" Type="http://schemas.openxmlformats.org/officeDocument/2006/relationships/hyperlink" Target="https://expa.aiesec.org/opportunities/1294584" TargetMode="External"/><Relationship Id="rId1645" Type="http://schemas.openxmlformats.org/officeDocument/2006/relationships/hyperlink" Target="https://expa.aiesec.org/opportunities/1300837" TargetMode="External"/><Relationship Id="rId1646" Type="http://schemas.openxmlformats.org/officeDocument/2006/relationships/hyperlink" Target="https://expa.aiesec.org/opportunities/1298556" TargetMode="External"/><Relationship Id="rId1647" Type="http://schemas.openxmlformats.org/officeDocument/2006/relationships/hyperlink" Target="https://expa.aiesec.org/opportunities/1289536" TargetMode="External"/><Relationship Id="rId1648" Type="http://schemas.openxmlformats.org/officeDocument/2006/relationships/hyperlink" Target="https://expa.aiesec.org/opportunities/1291254" TargetMode="External"/><Relationship Id="rId1649" Type="http://schemas.openxmlformats.org/officeDocument/2006/relationships/hyperlink" Target="https://expa.aiesec.org/opportunities/1286034" TargetMode="External"/><Relationship Id="rId819" Type="http://schemas.openxmlformats.org/officeDocument/2006/relationships/hyperlink" Target="https://expa.aiesec.org/opportunities/1294894" TargetMode="External"/><Relationship Id="rId818" Type="http://schemas.openxmlformats.org/officeDocument/2006/relationships/hyperlink" Target="https://expa.aiesec.org/opportunities/1294584" TargetMode="External"/><Relationship Id="rId817" Type="http://schemas.openxmlformats.org/officeDocument/2006/relationships/hyperlink" Target="https://expa.aiesec.org/opportunities/1292531" TargetMode="External"/><Relationship Id="rId816" Type="http://schemas.openxmlformats.org/officeDocument/2006/relationships/hyperlink" Target="https://expa.aiesec.org/opportunities/1284670" TargetMode="External"/><Relationship Id="rId811" Type="http://schemas.openxmlformats.org/officeDocument/2006/relationships/hyperlink" Target="https://expa.aiesec.org/opportunities/1284976" TargetMode="External"/><Relationship Id="rId810" Type="http://schemas.openxmlformats.org/officeDocument/2006/relationships/hyperlink" Target="https://expa.aiesec.org/opportunities/1294372" TargetMode="External"/><Relationship Id="rId815" Type="http://schemas.openxmlformats.org/officeDocument/2006/relationships/hyperlink" Target="https://expa.aiesec.org/opportunities/1294622" TargetMode="External"/><Relationship Id="rId814" Type="http://schemas.openxmlformats.org/officeDocument/2006/relationships/hyperlink" Target="https://expa.aiesec.org/opportunities/1291144" TargetMode="External"/><Relationship Id="rId813" Type="http://schemas.openxmlformats.org/officeDocument/2006/relationships/hyperlink" Target="https://expa.aiesec.org/opportunities/1288245" TargetMode="External"/><Relationship Id="rId812" Type="http://schemas.openxmlformats.org/officeDocument/2006/relationships/hyperlink" Target="https://expa.aiesec.org/opportunities/1294066" TargetMode="External"/><Relationship Id="rId1640" Type="http://schemas.openxmlformats.org/officeDocument/2006/relationships/hyperlink" Target="https://expa.aiesec.org/opportunities/1300056" TargetMode="External"/><Relationship Id="rId1641" Type="http://schemas.openxmlformats.org/officeDocument/2006/relationships/hyperlink" Target="https://expa.aiesec.org/opportunities/1289536" TargetMode="External"/><Relationship Id="rId1675" Type="http://schemas.openxmlformats.org/officeDocument/2006/relationships/hyperlink" Target="https://expa.aiesec.org/opportunities/1289536" TargetMode="External"/><Relationship Id="rId1676" Type="http://schemas.openxmlformats.org/officeDocument/2006/relationships/hyperlink" Target="https://expa.aiesec.org/opportunities/1298275" TargetMode="External"/><Relationship Id="rId1677" Type="http://schemas.openxmlformats.org/officeDocument/2006/relationships/hyperlink" Target="https://expa.aiesec.org/opportunities/1286917" TargetMode="External"/><Relationship Id="rId1678" Type="http://schemas.openxmlformats.org/officeDocument/2006/relationships/hyperlink" Target="https://expa.aiesec.org/opportunities/1300841" TargetMode="External"/><Relationship Id="rId1679" Type="http://schemas.openxmlformats.org/officeDocument/2006/relationships/hyperlink" Target="https://expa.aiesec.org/opportunities/1300056" TargetMode="External"/><Relationship Id="rId849" Type="http://schemas.openxmlformats.org/officeDocument/2006/relationships/hyperlink" Target="https://expa.aiesec.org/opportunities/1288970" TargetMode="External"/><Relationship Id="rId844" Type="http://schemas.openxmlformats.org/officeDocument/2006/relationships/hyperlink" Target="https://expa.aiesec.org/opportunities/1288663" TargetMode="External"/><Relationship Id="rId843" Type="http://schemas.openxmlformats.org/officeDocument/2006/relationships/hyperlink" Target="https://expa.aiesec.org/opportunities/1294622" TargetMode="External"/><Relationship Id="rId842" Type="http://schemas.openxmlformats.org/officeDocument/2006/relationships/hyperlink" Target="https://expa.aiesec.org/opportunities/1291634" TargetMode="External"/><Relationship Id="rId841" Type="http://schemas.openxmlformats.org/officeDocument/2006/relationships/hyperlink" Target="https://expa.aiesec.org/opportunities/1284976" TargetMode="External"/><Relationship Id="rId848" Type="http://schemas.openxmlformats.org/officeDocument/2006/relationships/hyperlink" Target="https://expa.aiesec.org/opportunities/1284476" TargetMode="External"/><Relationship Id="rId847" Type="http://schemas.openxmlformats.org/officeDocument/2006/relationships/hyperlink" Target="https://expa.aiesec.org/opportunities/1287851" TargetMode="External"/><Relationship Id="rId846" Type="http://schemas.openxmlformats.org/officeDocument/2006/relationships/hyperlink" Target="https://expa.aiesec.org/opportunities/1291252" TargetMode="External"/><Relationship Id="rId845" Type="http://schemas.openxmlformats.org/officeDocument/2006/relationships/hyperlink" Target="https://expa.aiesec.org/opportunities/1294976" TargetMode="External"/><Relationship Id="rId1670" Type="http://schemas.openxmlformats.org/officeDocument/2006/relationships/hyperlink" Target="https://expa.aiesec.org/opportunities/1272564" TargetMode="External"/><Relationship Id="rId840" Type="http://schemas.openxmlformats.org/officeDocument/2006/relationships/hyperlink" Target="https://expa.aiesec.org/opportunities/1289536" TargetMode="External"/><Relationship Id="rId1671" Type="http://schemas.openxmlformats.org/officeDocument/2006/relationships/hyperlink" Target="https://expa.aiesec.org/opportunities/1280872" TargetMode="External"/><Relationship Id="rId1672" Type="http://schemas.openxmlformats.org/officeDocument/2006/relationships/hyperlink" Target="https://expa.aiesec.org/opportunities/1280872" TargetMode="External"/><Relationship Id="rId1673" Type="http://schemas.openxmlformats.org/officeDocument/2006/relationships/hyperlink" Target="https://expa.aiesec.org/opportunities/1272564" TargetMode="External"/><Relationship Id="rId1674" Type="http://schemas.openxmlformats.org/officeDocument/2006/relationships/hyperlink" Target="https://expa.aiesec.org/opportunities/1301556" TargetMode="External"/><Relationship Id="rId1664" Type="http://schemas.openxmlformats.org/officeDocument/2006/relationships/hyperlink" Target="https://expa.aiesec.org/opportunities/1287855" TargetMode="External"/><Relationship Id="rId1665" Type="http://schemas.openxmlformats.org/officeDocument/2006/relationships/hyperlink" Target="https://expa.aiesec.org/opportunities/1288490" TargetMode="External"/><Relationship Id="rId1666" Type="http://schemas.openxmlformats.org/officeDocument/2006/relationships/hyperlink" Target="https://expa.aiesec.org/opportunities/1301556" TargetMode="External"/><Relationship Id="rId1667" Type="http://schemas.openxmlformats.org/officeDocument/2006/relationships/hyperlink" Target="https://expa.aiesec.org/opportunities/1284077" TargetMode="External"/><Relationship Id="rId1668" Type="http://schemas.openxmlformats.org/officeDocument/2006/relationships/hyperlink" Target="https://expa.aiesec.org/opportunities/1284077" TargetMode="External"/><Relationship Id="rId1669" Type="http://schemas.openxmlformats.org/officeDocument/2006/relationships/hyperlink" Target="https://expa.aiesec.org/opportunities/1272564" TargetMode="External"/><Relationship Id="rId839" Type="http://schemas.openxmlformats.org/officeDocument/2006/relationships/hyperlink" Target="https://expa.aiesec.org/opportunities/1272564" TargetMode="External"/><Relationship Id="rId838" Type="http://schemas.openxmlformats.org/officeDocument/2006/relationships/hyperlink" Target="https://expa.aiesec.org/opportunities/1294972" TargetMode="External"/><Relationship Id="rId833" Type="http://schemas.openxmlformats.org/officeDocument/2006/relationships/hyperlink" Target="https://expa.aiesec.org/opportunities/1294972" TargetMode="External"/><Relationship Id="rId832" Type="http://schemas.openxmlformats.org/officeDocument/2006/relationships/hyperlink" Target="https://expa.aiesec.org/opportunities/1289596" TargetMode="External"/><Relationship Id="rId831" Type="http://schemas.openxmlformats.org/officeDocument/2006/relationships/hyperlink" Target="https://expa.aiesec.org/opportunities/1289596" TargetMode="External"/><Relationship Id="rId830" Type="http://schemas.openxmlformats.org/officeDocument/2006/relationships/hyperlink" Target="https://expa.aiesec.org/opportunities/1294066" TargetMode="External"/><Relationship Id="rId837" Type="http://schemas.openxmlformats.org/officeDocument/2006/relationships/hyperlink" Target="https://expa.aiesec.org/opportunities/1292535" TargetMode="External"/><Relationship Id="rId836" Type="http://schemas.openxmlformats.org/officeDocument/2006/relationships/hyperlink" Target="https://expa.aiesec.org/opportunities/1294972" TargetMode="External"/><Relationship Id="rId835" Type="http://schemas.openxmlformats.org/officeDocument/2006/relationships/hyperlink" Target="https://expa.aiesec.org/opportunities/1292118" TargetMode="External"/><Relationship Id="rId834" Type="http://schemas.openxmlformats.org/officeDocument/2006/relationships/hyperlink" Target="https://expa.aiesec.org/opportunities/1294795" TargetMode="External"/><Relationship Id="rId1660" Type="http://schemas.openxmlformats.org/officeDocument/2006/relationships/hyperlink" Target="https://expa.aiesec.org/opportunities/1279126" TargetMode="External"/><Relationship Id="rId1661" Type="http://schemas.openxmlformats.org/officeDocument/2006/relationships/hyperlink" Target="https://expa.aiesec.org/opportunities/1289536" TargetMode="External"/><Relationship Id="rId1662" Type="http://schemas.openxmlformats.org/officeDocument/2006/relationships/hyperlink" Target="https://expa.aiesec.org/opportunities/1272564" TargetMode="External"/><Relationship Id="rId1663" Type="http://schemas.openxmlformats.org/officeDocument/2006/relationships/hyperlink" Target="https://expa.aiesec.org/opportunities/1296670" TargetMode="External"/><Relationship Id="rId899" Type="http://schemas.openxmlformats.org/officeDocument/2006/relationships/hyperlink" Target="https://expa.aiesec.org/opportunities/1294894" TargetMode="External"/><Relationship Id="rId898" Type="http://schemas.openxmlformats.org/officeDocument/2006/relationships/hyperlink" Target="https://expa.aiesec.org/opportunities/1291144" TargetMode="External"/><Relationship Id="rId897" Type="http://schemas.openxmlformats.org/officeDocument/2006/relationships/hyperlink" Target="https://expa.aiesec.org/opportunities/1289597" TargetMode="External"/><Relationship Id="rId896" Type="http://schemas.openxmlformats.org/officeDocument/2006/relationships/hyperlink" Target="https://expa.aiesec.org/opportunities/1294452" TargetMode="External"/><Relationship Id="rId891" Type="http://schemas.openxmlformats.org/officeDocument/2006/relationships/hyperlink" Target="https://expa.aiesec.org/opportunities/1287210" TargetMode="External"/><Relationship Id="rId890" Type="http://schemas.openxmlformats.org/officeDocument/2006/relationships/hyperlink" Target="https://expa.aiesec.org/opportunities/1295285" TargetMode="External"/><Relationship Id="rId895" Type="http://schemas.openxmlformats.org/officeDocument/2006/relationships/hyperlink" Target="https://expa.aiesec.org/opportunities/1294894" TargetMode="External"/><Relationship Id="rId894" Type="http://schemas.openxmlformats.org/officeDocument/2006/relationships/hyperlink" Target="https://expa.aiesec.org/opportunities/1294452" TargetMode="External"/><Relationship Id="rId893" Type="http://schemas.openxmlformats.org/officeDocument/2006/relationships/hyperlink" Target="https://expa.aiesec.org/opportunities/1294452" TargetMode="External"/><Relationship Id="rId892" Type="http://schemas.openxmlformats.org/officeDocument/2006/relationships/hyperlink" Target="https://expa.aiesec.org/opportunities/1289505" TargetMode="External"/></Relationships>
</file>

<file path=xl/worksheets/_rels/sheet12.xml.rels><?xml version="1.0" encoding="UTF-8" standalone="yes"?><Relationships xmlns="http://schemas.openxmlformats.org/package/2006/relationships"><Relationship Id="rId392" Type="http://schemas.openxmlformats.org/officeDocument/2006/relationships/hyperlink" Target="https://expa.aiesec.org/opportunities/1298748" TargetMode="External"/><Relationship Id="rId391" Type="http://schemas.openxmlformats.org/officeDocument/2006/relationships/hyperlink" Target="https://expa.aiesec.org/opportunities/1292559" TargetMode="External"/><Relationship Id="rId390" Type="http://schemas.openxmlformats.org/officeDocument/2006/relationships/hyperlink" Target="https://expa.aiesec.org/opportunities/1291586" TargetMode="External"/><Relationship Id="rId385" Type="http://schemas.openxmlformats.org/officeDocument/2006/relationships/hyperlink" Target="https://expa.aiesec.org/opportunities/1298733" TargetMode="External"/><Relationship Id="rId384" Type="http://schemas.openxmlformats.org/officeDocument/2006/relationships/hyperlink" Target="https://expa.aiesec.org/opportunities/1298772" TargetMode="External"/><Relationship Id="rId383" Type="http://schemas.openxmlformats.org/officeDocument/2006/relationships/hyperlink" Target="https://expa.aiesec.org/opportunities/1291606" TargetMode="External"/><Relationship Id="rId382" Type="http://schemas.openxmlformats.org/officeDocument/2006/relationships/hyperlink" Target="https://expa.aiesec.org/opportunities/1287942" TargetMode="External"/><Relationship Id="rId389" Type="http://schemas.openxmlformats.org/officeDocument/2006/relationships/hyperlink" Target="https://expa.aiesec.org/opportunities/1286839" TargetMode="External"/><Relationship Id="rId388" Type="http://schemas.openxmlformats.org/officeDocument/2006/relationships/hyperlink" Target="https://expa.aiesec.org/opportunities/1286521" TargetMode="External"/><Relationship Id="rId387" Type="http://schemas.openxmlformats.org/officeDocument/2006/relationships/hyperlink" Target="https://expa.aiesec.org/opportunities/1277661" TargetMode="External"/><Relationship Id="rId386" Type="http://schemas.openxmlformats.org/officeDocument/2006/relationships/hyperlink" Target="https://expa.aiesec.org/opportunities/1298738" TargetMode="External"/><Relationship Id="rId381" Type="http://schemas.openxmlformats.org/officeDocument/2006/relationships/hyperlink" Target="https://expa.aiesec.org/opportunities/1297154" TargetMode="External"/><Relationship Id="rId380" Type="http://schemas.openxmlformats.org/officeDocument/2006/relationships/hyperlink" Target="https://expa.aiesec.org/opportunities/1291417" TargetMode="External"/><Relationship Id="rId379" Type="http://schemas.openxmlformats.org/officeDocument/2006/relationships/hyperlink" Target="https://expa.aiesec.org/opportunities/1295568" TargetMode="External"/><Relationship Id="rId374" Type="http://schemas.openxmlformats.org/officeDocument/2006/relationships/hyperlink" Target="https://expa.aiesec.org/opportunities/1297445" TargetMode="External"/><Relationship Id="rId373" Type="http://schemas.openxmlformats.org/officeDocument/2006/relationships/hyperlink" Target="https://expa.aiesec.org/opportunities/1289485" TargetMode="External"/><Relationship Id="rId372" Type="http://schemas.openxmlformats.org/officeDocument/2006/relationships/hyperlink" Target="https://expa.aiesec.org/opportunities/1278298" TargetMode="External"/><Relationship Id="rId371" Type="http://schemas.openxmlformats.org/officeDocument/2006/relationships/hyperlink" Target="https://expa.aiesec.org/opportunities/1285363" TargetMode="External"/><Relationship Id="rId378" Type="http://schemas.openxmlformats.org/officeDocument/2006/relationships/hyperlink" Target="https://expa.aiesec.org/opportunities/1298413" TargetMode="External"/><Relationship Id="rId377" Type="http://schemas.openxmlformats.org/officeDocument/2006/relationships/hyperlink" Target="https://expa.aiesec.org/opportunities/1288486" TargetMode="External"/><Relationship Id="rId376" Type="http://schemas.openxmlformats.org/officeDocument/2006/relationships/hyperlink" Target="https://expa.aiesec.org/opportunities/1277333" TargetMode="External"/><Relationship Id="rId375" Type="http://schemas.openxmlformats.org/officeDocument/2006/relationships/hyperlink" Target="https://expa.aiesec.org/opportunities/1277333" TargetMode="External"/><Relationship Id="rId396" Type="http://schemas.openxmlformats.org/officeDocument/2006/relationships/hyperlink" Target="https://expa.aiesec.org/opportunities/1295980" TargetMode="External"/><Relationship Id="rId395" Type="http://schemas.openxmlformats.org/officeDocument/2006/relationships/hyperlink" Target="https://expa.aiesec.org/opportunities/1298403" TargetMode="External"/><Relationship Id="rId394" Type="http://schemas.openxmlformats.org/officeDocument/2006/relationships/hyperlink" Target="https://expa.aiesec.org/opportunities/1298403" TargetMode="External"/><Relationship Id="rId393" Type="http://schemas.openxmlformats.org/officeDocument/2006/relationships/hyperlink" Target="https://expa.aiesec.org/opportunities/1298746" TargetMode="External"/><Relationship Id="rId399" Type="http://schemas.openxmlformats.org/officeDocument/2006/relationships/hyperlink" Target="https://expa.aiesec.org/opportunities/1298235" TargetMode="External"/><Relationship Id="rId398" Type="http://schemas.openxmlformats.org/officeDocument/2006/relationships/hyperlink" Target="https://expa.aiesec.org/opportunities/1295514" TargetMode="External"/><Relationship Id="rId397" Type="http://schemas.openxmlformats.org/officeDocument/2006/relationships/hyperlink" Target="https://expa.aiesec.org/opportunities/1293407" TargetMode="External"/><Relationship Id="rId40" Type="http://schemas.openxmlformats.org/officeDocument/2006/relationships/hyperlink" Target="https://expa.aiesec.org/opportunities/1279323" TargetMode="External"/><Relationship Id="rId42" Type="http://schemas.openxmlformats.org/officeDocument/2006/relationships/hyperlink" Target="https://expa.aiesec.org/opportunities/1286836" TargetMode="External"/><Relationship Id="rId41" Type="http://schemas.openxmlformats.org/officeDocument/2006/relationships/hyperlink" Target="https://expa.aiesec.org/opportunities/1288703" TargetMode="External"/><Relationship Id="rId44" Type="http://schemas.openxmlformats.org/officeDocument/2006/relationships/hyperlink" Target="https://expa.aiesec.org/opportunities/1286840" TargetMode="External"/><Relationship Id="rId43" Type="http://schemas.openxmlformats.org/officeDocument/2006/relationships/hyperlink" Target="https://expa.aiesec.org/opportunities/1281195" TargetMode="External"/><Relationship Id="rId46" Type="http://schemas.openxmlformats.org/officeDocument/2006/relationships/hyperlink" Target="https://expa.aiesec.org/opportunities/1288612" TargetMode="External"/><Relationship Id="rId45" Type="http://schemas.openxmlformats.org/officeDocument/2006/relationships/hyperlink" Target="https://expa.aiesec.org/opportunities/1283628" TargetMode="External"/><Relationship Id="rId48" Type="http://schemas.openxmlformats.org/officeDocument/2006/relationships/hyperlink" Target="https://expa.aiesec.org/opportunities/1272646" TargetMode="External"/><Relationship Id="rId47" Type="http://schemas.openxmlformats.org/officeDocument/2006/relationships/hyperlink" Target="https://expa.aiesec.org/opportunities/1288612" TargetMode="External"/><Relationship Id="rId49" Type="http://schemas.openxmlformats.org/officeDocument/2006/relationships/hyperlink" Target="https://expa.aiesec.org/opportunities/1287856" TargetMode="External"/><Relationship Id="rId31" Type="http://schemas.openxmlformats.org/officeDocument/2006/relationships/hyperlink" Target="https://expa.aiesec.org/opportunities/1288467" TargetMode="External"/><Relationship Id="rId30" Type="http://schemas.openxmlformats.org/officeDocument/2006/relationships/hyperlink" Target="https://expa.aiesec.org/opportunities/1283399" TargetMode="External"/><Relationship Id="rId33" Type="http://schemas.openxmlformats.org/officeDocument/2006/relationships/hyperlink" Target="https://expa.aiesec.org/opportunities/1284709" TargetMode="External"/><Relationship Id="rId32" Type="http://schemas.openxmlformats.org/officeDocument/2006/relationships/hyperlink" Target="https://expa.aiesec.org/opportunities/1278298" TargetMode="External"/><Relationship Id="rId35" Type="http://schemas.openxmlformats.org/officeDocument/2006/relationships/hyperlink" Target="https://expa.aiesec.org/opportunities/1287374" TargetMode="External"/><Relationship Id="rId34" Type="http://schemas.openxmlformats.org/officeDocument/2006/relationships/hyperlink" Target="https://expa.aiesec.org/opportunities/1288593" TargetMode="External"/><Relationship Id="rId37" Type="http://schemas.openxmlformats.org/officeDocument/2006/relationships/hyperlink" Target="https://expa.aiesec.org/opportunities/1279525" TargetMode="External"/><Relationship Id="rId36" Type="http://schemas.openxmlformats.org/officeDocument/2006/relationships/hyperlink" Target="https://expa.aiesec.org/opportunities/1284126" TargetMode="External"/><Relationship Id="rId39" Type="http://schemas.openxmlformats.org/officeDocument/2006/relationships/hyperlink" Target="https://expa.aiesec.org/opportunities/1281195" TargetMode="External"/><Relationship Id="rId38" Type="http://schemas.openxmlformats.org/officeDocument/2006/relationships/hyperlink" Target="https://expa.aiesec.org/opportunities/1288453" TargetMode="External"/><Relationship Id="rId20" Type="http://schemas.openxmlformats.org/officeDocument/2006/relationships/hyperlink" Target="https://expa.aiesec.org/opportunities/1284289" TargetMode="External"/><Relationship Id="rId22" Type="http://schemas.openxmlformats.org/officeDocument/2006/relationships/hyperlink" Target="https://expa.aiesec.org/opportunities/1278947" TargetMode="External"/><Relationship Id="rId21" Type="http://schemas.openxmlformats.org/officeDocument/2006/relationships/hyperlink" Target="https://expa.aiesec.org/opportunities/1284709" TargetMode="External"/><Relationship Id="rId24" Type="http://schemas.openxmlformats.org/officeDocument/2006/relationships/hyperlink" Target="https://expa.aiesec.org/opportunities/1258621" TargetMode="External"/><Relationship Id="rId23" Type="http://schemas.openxmlformats.org/officeDocument/2006/relationships/hyperlink" Target="https://expa.aiesec.org/opportunities/1278703" TargetMode="External"/><Relationship Id="rId26" Type="http://schemas.openxmlformats.org/officeDocument/2006/relationships/hyperlink" Target="https://expa.aiesec.org/opportunities/1287721" TargetMode="External"/><Relationship Id="rId25" Type="http://schemas.openxmlformats.org/officeDocument/2006/relationships/hyperlink" Target="https://expa.aiesec.org/opportunities/1264946" TargetMode="External"/><Relationship Id="rId28" Type="http://schemas.openxmlformats.org/officeDocument/2006/relationships/hyperlink" Target="https://expa.aiesec.org/opportunities/1287771" TargetMode="External"/><Relationship Id="rId27" Type="http://schemas.openxmlformats.org/officeDocument/2006/relationships/hyperlink" Target="https://expa.aiesec.org/opportunities/1279544" TargetMode="External"/><Relationship Id="rId29" Type="http://schemas.openxmlformats.org/officeDocument/2006/relationships/hyperlink" Target="https://expa.aiesec.org/opportunities/1288388" TargetMode="External"/><Relationship Id="rId11" Type="http://schemas.openxmlformats.org/officeDocument/2006/relationships/hyperlink" Target="https://expa.aiesec.org/opportunities/1287942" TargetMode="External"/><Relationship Id="rId10" Type="http://schemas.openxmlformats.org/officeDocument/2006/relationships/hyperlink" Target="https://expa.aiesec.org/opportunities/1273874" TargetMode="External"/><Relationship Id="rId13" Type="http://schemas.openxmlformats.org/officeDocument/2006/relationships/hyperlink" Target="https://expa.aiesec.org/opportunities/1287569" TargetMode="External"/><Relationship Id="rId12" Type="http://schemas.openxmlformats.org/officeDocument/2006/relationships/hyperlink" Target="https://expa.aiesec.org/opportunities/1288436" TargetMode="External"/><Relationship Id="rId15" Type="http://schemas.openxmlformats.org/officeDocument/2006/relationships/hyperlink" Target="https://expa.aiesec.org/opportunities/1262994" TargetMode="External"/><Relationship Id="rId14" Type="http://schemas.openxmlformats.org/officeDocument/2006/relationships/hyperlink" Target="https://expa.aiesec.org/opportunities/1287785" TargetMode="External"/><Relationship Id="rId17" Type="http://schemas.openxmlformats.org/officeDocument/2006/relationships/hyperlink" Target="https://expa.aiesec.org/opportunities/1286837" TargetMode="External"/><Relationship Id="rId16" Type="http://schemas.openxmlformats.org/officeDocument/2006/relationships/hyperlink" Target="https://expa.aiesec.org/opportunities/1278703" TargetMode="External"/><Relationship Id="rId19" Type="http://schemas.openxmlformats.org/officeDocument/2006/relationships/hyperlink" Target="https://expa.aiesec.org/opportunities/1286368" TargetMode="External"/><Relationship Id="rId18" Type="http://schemas.openxmlformats.org/officeDocument/2006/relationships/hyperlink" Target="https://expa.aiesec.org/opportunities/1262994" TargetMode="External"/><Relationship Id="rId84" Type="http://schemas.openxmlformats.org/officeDocument/2006/relationships/hyperlink" Target="https://expa.aiesec.org/opportunities/1278298" TargetMode="External"/><Relationship Id="rId83" Type="http://schemas.openxmlformats.org/officeDocument/2006/relationships/hyperlink" Target="https://expa.aiesec.org/opportunities/1289615" TargetMode="External"/><Relationship Id="rId86" Type="http://schemas.openxmlformats.org/officeDocument/2006/relationships/hyperlink" Target="https://expa.aiesec.org/opportunities/1289314" TargetMode="External"/><Relationship Id="rId85" Type="http://schemas.openxmlformats.org/officeDocument/2006/relationships/hyperlink" Target="https://expa.aiesec.org/opportunities/1287942" TargetMode="External"/><Relationship Id="rId88" Type="http://schemas.openxmlformats.org/officeDocument/2006/relationships/hyperlink" Target="https://expa.aiesec.org/opportunities/1289593" TargetMode="External"/><Relationship Id="rId87" Type="http://schemas.openxmlformats.org/officeDocument/2006/relationships/hyperlink" Target="https://expa.aiesec.org/opportunities/1281195" TargetMode="External"/><Relationship Id="rId89" Type="http://schemas.openxmlformats.org/officeDocument/2006/relationships/hyperlink" Target="https://expa.aiesec.org/opportunities/1289124" TargetMode="External"/><Relationship Id="rId80" Type="http://schemas.openxmlformats.org/officeDocument/2006/relationships/hyperlink" Target="https://expa.aiesec.org/opportunities/1277661" TargetMode="External"/><Relationship Id="rId82" Type="http://schemas.openxmlformats.org/officeDocument/2006/relationships/hyperlink" Target="https://expa.aiesec.org/opportunities/1281195" TargetMode="External"/><Relationship Id="rId81" Type="http://schemas.openxmlformats.org/officeDocument/2006/relationships/hyperlink" Target="https://expa.aiesec.org/opportunities/1289390" TargetMode="External"/><Relationship Id="rId73" Type="http://schemas.openxmlformats.org/officeDocument/2006/relationships/hyperlink" Target="https://expa.aiesec.org/opportunities/1283385" TargetMode="External"/><Relationship Id="rId72" Type="http://schemas.openxmlformats.org/officeDocument/2006/relationships/hyperlink" Target="https://expa.aiesec.org/opportunities/1284668" TargetMode="External"/><Relationship Id="rId75" Type="http://schemas.openxmlformats.org/officeDocument/2006/relationships/hyperlink" Target="https://expa.aiesec.org/opportunities/1278449" TargetMode="External"/><Relationship Id="rId74" Type="http://schemas.openxmlformats.org/officeDocument/2006/relationships/hyperlink" Target="https://expa.aiesec.org/opportunities/1288864" TargetMode="External"/><Relationship Id="rId77" Type="http://schemas.openxmlformats.org/officeDocument/2006/relationships/hyperlink" Target="https://expa.aiesec.org/opportunities/1263211" TargetMode="External"/><Relationship Id="rId76" Type="http://schemas.openxmlformats.org/officeDocument/2006/relationships/hyperlink" Target="https://expa.aiesec.org/opportunities/1284618" TargetMode="External"/><Relationship Id="rId79" Type="http://schemas.openxmlformats.org/officeDocument/2006/relationships/hyperlink" Target="https://expa.aiesec.org/opportunities/1277661" TargetMode="External"/><Relationship Id="rId78" Type="http://schemas.openxmlformats.org/officeDocument/2006/relationships/hyperlink" Target="https://expa.aiesec.org/opportunities/1282578" TargetMode="External"/><Relationship Id="rId71" Type="http://schemas.openxmlformats.org/officeDocument/2006/relationships/hyperlink" Target="https://expa.aiesec.org/opportunities/1287942" TargetMode="External"/><Relationship Id="rId70" Type="http://schemas.openxmlformats.org/officeDocument/2006/relationships/hyperlink" Target="https://expa.aiesec.org/opportunities/1289328" TargetMode="External"/><Relationship Id="rId62" Type="http://schemas.openxmlformats.org/officeDocument/2006/relationships/hyperlink" Target="https://expa.aiesec.org/opportunities/1286237" TargetMode="External"/><Relationship Id="rId61" Type="http://schemas.openxmlformats.org/officeDocument/2006/relationships/hyperlink" Target="https://expa.aiesec.org/opportunities/1288465" TargetMode="External"/><Relationship Id="rId64" Type="http://schemas.openxmlformats.org/officeDocument/2006/relationships/hyperlink" Target="https://expa.aiesec.org/opportunities/1281338" TargetMode="External"/><Relationship Id="rId63" Type="http://schemas.openxmlformats.org/officeDocument/2006/relationships/hyperlink" Target="https://expa.aiesec.org/opportunities/1286836" TargetMode="External"/><Relationship Id="rId66" Type="http://schemas.openxmlformats.org/officeDocument/2006/relationships/hyperlink" Target="https://expa.aiesec.org/opportunities/1287942" TargetMode="External"/><Relationship Id="rId65" Type="http://schemas.openxmlformats.org/officeDocument/2006/relationships/hyperlink" Target="https://expa.aiesec.org/opportunities/1281195" TargetMode="External"/><Relationship Id="rId68" Type="http://schemas.openxmlformats.org/officeDocument/2006/relationships/hyperlink" Target="https://expa.aiesec.org/opportunities/1289326" TargetMode="External"/><Relationship Id="rId67" Type="http://schemas.openxmlformats.org/officeDocument/2006/relationships/hyperlink" Target="https://expa.aiesec.org/opportunities/1288871" TargetMode="External"/><Relationship Id="rId60" Type="http://schemas.openxmlformats.org/officeDocument/2006/relationships/hyperlink" Target="https://expa.aiesec.org/opportunities/1287942" TargetMode="External"/><Relationship Id="rId69" Type="http://schemas.openxmlformats.org/officeDocument/2006/relationships/hyperlink" Target="https://expa.aiesec.org/opportunities/1287565" TargetMode="External"/><Relationship Id="rId51" Type="http://schemas.openxmlformats.org/officeDocument/2006/relationships/hyperlink" Target="https://expa.aiesec.org/opportunities/1285209" TargetMode="External"/><Relationship Id="rId50" Type="http://schemas.openxmlformats.org/officeDocument/2006/relationships/hyperlink" Target="https://expa.aiesec.org/opportunities/1278298" TargetMode="External"/><Relationship Id="rId53" Type="http://schemas.openxmlformats.org/officeDocument/2006/relationships/hyperlink" Target="https://expa.aiesec.org/opportunities/1258621" TargetMode="External"/><Relationship Id="rId52" Type="http://schemas.openxmlformats.org/officeDocument/2006/relationships/hyperlink" Target="https://expa.aiesec.org/opportunities/1278010" TargetMode="External"/><Relationship Id="rId55" Type="http://schemas.openxmlformats.org/officeDocument/2006/relationships/hyperlink" Target="https://expa.aiesec.org/opportunities/1288285" TargetMode="External"/><Relationship Id="rId54" Type="http://schemas.openxmlformats.org/officeDocument/2006/relationships/hyperlink" Target="https://expa.aiesec.org/opportunities/1287013" TargetMode="External"/><Relationship Id="rId57" Type="http://schemas.openxmlformats.org/officeDocument/2006/relationships/hyperlink" Target="https://expa.aiesec.org/opportunities/1285077" TargetMode="External"/><Relationship Id="rId56" Type="http://schemas.openxmlformats.org/officeDocument/2006/relationships/hyperlink" Target="https://expa.aiesec.org/opportunities/1279619" TargetMode="External"/><Relationship Id="rId59" Type="http://schemas.openxmlformats.org/officeDocument/2006/relationships/hyperlink" Target="https://expa.aiesec.org/opportunities/1281195" TargetMode="External"/><Relationship Id="rId58" Type="http://schemas.openxmlformats.org/officeDocument/2006/relationships/hyperlink" Target="https://expa.aiesec.org/opportunities/1278449" TargetMode="External"/><Relationship Id="rId349" Type="http://schemas.openxmlformats.org/officeDocument/2006/relationships/hyperlink" Target="https://expa.aiesec.org/opportunities/1297712" TargetMode="External"/><Relationship Id="rId348" Type="http://schemas.openxmlformats.org/officeDocument/2006/relationships/hyperlink" Target="https://expa.aiesec.org/opportunities/1295566" TargetMode="External"/><Relationship Id="rId347" Type="http://schemas.openxmlformats.org/officeDocument/2006/relationships/hyperlink" Target="https://expa.aiesec.org/opportunities/1286839" TargetMode="External"/><Relationship Id="rId346" Type="http://schemas.openxmlformats.org/officeDocument/2006/relationships/hyperlink" Target="https://expa.aiesec.org/opportunities/1286839" TargetMode="External"/><Relationship Id="rId341" Type="http://schemas.openxmlformats.org/officeDocument/2006/relationships/hyperlink" Target="https://expa.aiesec.org/opportunities/1286839" TargetMode="External"/><Relationship Id="rId340" Type="http://schemas.openxmlformats.org/officeDocument/2006/relationships/hyperlink" Target="https://expa.aiesec.org/opportunities/1297711" TargetMode="External"/><Relationship Id="rId345" Type="http://schemas.openxmlformats.org/officeDocument/2006/relationships/hyperlink" Target="https://expa.aiesec.org/opportunities/1297355" TargetMode="External"/><Relationship Id="rId344" Type="http://schemas.openxmlformats.org/officeDocument/2006/relationships/hyperlink" Target="https://expa.aiesec.org/opportunities/1286059" TargetMode="External"/><Relationship Id="rId343" Type="http://schemas.openxmlformats.org/officeDocument/2006/relationships/hyperlink" Target="https://expa.aiesec.org/opportunities/1296851" TargetMode="External"/><Relationship Id="rId342" Type="http://schemas.openxmlformats.org/officeDocument/2006/relationships/hyperlink" Target="https://expa.aiesec.org/opportunities/1297652" TargetMode="External"/><Relationship Id="rId338" Type="http://schemas.openxmlformats.org/officeDocument/2006/relationships/hyperlink" Target="https://expa.aiesec.org/opportunities/1279525" TargetMode="External"/><Relationship Id="rId337" Type="http://schemas.openxmlformats.org/officeDocument/2006/relationships/hyperlink" Target="https://expa.aiesec.org/opportunities/1273874" TargetMode="External"/><Relationship Id="rId336" Type="http://schemas.openxmlformats.org/officeDocument/2006/relationships/hyperlink" Target="https://expa.aiesec.org/opportunities/1277661" TargetMode="External"/><Relationship Id="rId335" Type="http://schemas.openxmlformats.org/officeDocument/2006/relationships/hyperlink" Target="https://expa.aiesec.org/opportunities/1288864" TargetMode="External"/><Relationship Id="rId339" Type="http://schemas.openxmlformats.org/officeDocument/2006/relationships/hyperlink" Target="https://expa.aiesec.org/opportunities/1293244" TargetMode="External"/><Relationship Id="rId330" Type="http://schemas.openxmlformats.org/officeDocument/2006/relationships/hyperlink" Target="https://expa.aiesec.org/opportunities/1295167" TargetMode="External"/><Relationship Id="rId334" Type="http://schemas.openxmlformats.org/officeDocument/2006/relationships/hyperlink" Target="https://expa.aiesec.org/opportunities/1288486" TargetMode="External"/><Relationship Id="rId333" Type="http://schemas.openxmlformats.org/officeDocument/2006/relationships/hyperlink" Target="https://expa.aiesec.org/opportunities/1296819" TargetMode="External"/><Relationship Id="rId332" Type="http://schemas.openxmlformats.org/officeDocument/2006/relationships/hyperlink" Target="https://expa.aiesec.org/opportunities/1277333" TargetMode="External"/><Relationship Id="rId331" Type="http://schemas.openxmlformats.org/officeDocument/2006/relationships/hyperlink" Target="https://expa.aiesec.org/opportunities/1291989" TargetMode="External"/><Relationship Id="rId370" Type="http://schemas.openxmlformats.org/officeDocument/2006/relationships/hyperlink" Target="https://expa.aiesec.org/opportunities/1264946" TargetMode="External"/><Relationship Id="rId369" Type="http://schemas.openxmlformats.org/officeDocument/2006/relationships/hyperlink" Target="https://expa.aiesec.org/opportunities/1296980" TargetMode="External"/><Relationship Id="rId368" Type="http://schemas.openxmlformats.org/officeDocument/2006/relationships/hyperlink" Target="https://expa.aiesec.org/opportunities/1278703" TargetMode="External"/><Relationship Id="rId363" Type="http://schemas.openxmlformats.org/officeDocument/2006/relationships/hyperlink" Target="https://expa.aiesec.org/opportunities/1295514" TargetMode="External"/><Relationship Id="rId362" Type="http://schemas.openxmlformats.org/officeDocument/2006/relationships/hyperlink" Target="https://expa.aiesec.org/opportunities/1289293" TargetMode="External"/><Relationship Id="rId361" Type="http://schemas.openxmlformats.org/officeDocument/2006/relationships/hyperlink" Target="https://expa.aiesec.org/opportunities/1281195" TargetMode="External"/><Relationship Id="rId360" Type="http://schemas.openxmlformats.org/officeDocument/2006/relationships/hyperlink" Target="https://expa.aiesec.org/opportunities/1297677" TargetMode="External"/><Relationship Id="rId367" Type="http://schemas.openxmlformats.org/officeDocument/2006/relationships/hyperlink" Target="https://expa.aiesec.org/opportunities/1298334" TargetMode="External"/><Relationship Id="rId366" Type="http://schemas.openxmlformats.org/officeDocument/2006/relationships/hyperlink" Target="https://expa.aiesec.org/opportunities/1288607" TargetMode="External"/><Relationship Id="rId365" Type="http://schemas.openxmlformats.org/officeDocument/2006/relationships/hyperlink" Target="https://expa.aiesec.org/opportunities/1277661" TargetMode="External"/><Relationship Id="rId364" Type="http://schemas.openxmlformats.org/officeDocument/2006/relationships/hyperlink" Target="https://expa.aiesec.org/opportunities/1286521" TargetMode="External"/><Relationship Id="rId95" Type="http://schemas.openxmlformats.org/officeDocument/2006/relationships/hyperlink" Target="https://expa.aiesec.org/opportunities/1286368" TargetMode="External"/><Relationship Id="rId94" Type="http://schemas.openxmlformats.org/officeDocument/2006/relationships/hyperlink" Target="https://expa.aiesec.org/opportunities/1288707" TargetMode="External"/><Relationship Id="rId97" Type="http://schemas.openxmlformats.org/officeDocument/2006/relationships/hyperlink" Target="https://expa.aiesec.org/opportunities/1272227" TargetMode="External"/><Relationship Id="rId96" Type="http://schemas.openxmlformats.org/officeDocument/2006/relationships/hyperlink" Target="https://expa.aiesec.org/opportunities/1277661" TargetMode="External"/><Relationship Id="rId99" Type="http://schemas.openxmlformats.org/officeDocument/2006/relationships/hyperlink" Target="https://expa.aiesec.org/opportunities/1282413" TargetMode="External"/><Relationship Id="rId98" Type="http://schemas.openxmlformats.org/officeDocument/2006/relationships/hyperlink" Target="https://expa.aiesec.org/opportunities/1289296" TargetMode="External"/><Relationship Id="rId91" Type="http://schemas.openxmlformats.org/officeDocument/2006/relationships/hyperlink" Target="https://expa.aiesec.org/opportunities/1284447" TargetMode="External"/><Relationship Id="rId90" Type="http://schemas.openxmlformats.org/officeDocument/2006/relationships/hyperlink" Target="https://expa.aiesec.org/opportunities/1277737" TargetMode="External"/><Relationship Id="rId93" Type="http://schemas.openxmlformats.org/officeDocument/2006/relationships/hyperlink" Target="https://expa.aiesec.org/opportunities/1278809" TargetMode="External"/><Relationship Id="rId92" Type="http://schemas.openxmlformats.org/officeDocument/2006/relationships/hyperlink" Target="https://expa.aiesec.org/opportunities/1289355" TargetMode="External"/><Relationship Id="rId359" Type="http://schemas.openxmlformats.org/officeDocument/2006/relationships/hyperlink" Target="https://expa.aiesec.org/opportunities/1296307" TargetMode="External"/><Relationship Id="rId358" Type="http://schemas.openxmlformats.org/officeDocument/2006/relationships/hyperlink" Target="https://expa.aiesec.org/opportunities/1278298" TargetMode="External"/><Relationship Id="rId357" Type="http://schemas.openxmlformats.org/officeDocument/2006/relationships/hyperlink" Target="https://expa.aiesec.org/opportunities/1295743" TargetMode="External"/><Relationship Id="rId352" Type="http://schemas.openxmlformats.org/officeDocument/2006/relationships/hyperlink" Target="https://expa.aiesec.org/opportunities/1289615" TargetMode="External"/><Relationship Id="rId351" Type="http://schemas.openxmlformats.org/officeDocument/2006/relationships/hyperlink" Target="https://expa.aiesec.org/opportunities/1289307" TargetMode="External"/><Relationship Id="rId350" Type="http://schemas.openxmlformats.org/officeDocument/2006/relationships/hyperlink" Target="https://expa.aiesec.org/opportunities/1278298" TargetMode="External"/><Relationship Id="rId356" Type="http://schemas.openxmlformats.org/officeDocument/2006/relationships/hyperlink" Target="https://expa.aiesec.org/opportunities/1297417" TargetMode="External"/><Relationship Id="rId355" Type="http://schemas.openxmlformats.org/officeDocument/2006/relationships/hyperlink" Target="https://expa.aiesec.org/opportunities/1290731" TargetMode="External"/><Relationship Id="rId354" Type="http://schemas.openxmlformats.org/officeDocument/2006/relationships/hyperlink" Target="https://expa.aiesec.org/opportunities/1290731" TargetMode="External"/><Relationship Id="rId353" Type="http://schemas.openxmlformats.org/officeDocument/2006/relationships/hyperlink" Target="https://expa.aiesec.org/opportunities/1289393" TargetMode="External"/><Relationship Id="rId305" Type="http://schemas.openxmlformats.org/officeDocument/2006/relationships/hyperlink" Target="https://expa.aiesec.org/opportunities/1296787" TargetMode="External"/><Relationship Id="rId304" Type="http://schemas.openxmlformats.org/officeDocument/2006/relationships/hyperlink" Target="https://expa.aiesec.org/opportunities/1292560" TargetMode="External"/><Relationship Id="rId303" Type="http://schemas.openxmlformats.org/officeDocument/2006/relationships/hyperlink" Target="https://expa.aiesec.org/opportunities/1296538" TargetMode="External"/><Relationship Id="rId302" Type="http://schemas.openxmlformats.org/officeDocument/2006/relationships/hyperlink" Target="https://expa.aiesec.org/opportunities/1294655" TargetMode="External"/><Relationship Id="rId309" Type="http://schemas.openxmlformats.org/officeDocument/2006/relationships/hyperlink" Target="https://expa.aiesec.org/opportunities/1286839" TargetMode="External"/><Relationship Id="rId308" Type="http://schemas.openxmlformats.org/officeDocument/2006/relationships/hyperlink" Target="https://expa.aiesec.org/opportunities/1295514" TargetMode="External"/><Relationship Id="rId307" Type="http://schemas.openxmlformats.org/officeDocument/2006/relationships/hyperlink" Target="https://expa.aiesec.org/opportunities/1294473" TargetMode="External"/><Relationship Id="rId306" Type="http://schemas.openxmlformats.org/officeDocument/2006/relationships/hyperlink" Target="https://expa.aiesec.org/opportunities/1290027" TargetMode="External"/><Relationship Id="rId301" Type="http://schemas.openxmlformats.org/officeDocument/2006/relationships/hyperlink" Target="https://expa.aiesec.org/opportunities/1288607" TargetMode="External"/><Relationship Id="rId300" Type="http://schemas.openxmlformats.org/officeDocument/2006/relationships/hyperlink" Target="https://expa.aiesec.org/opportunities/1279525" TargetMode="External"/><Relationship Id="rId327" Type="http://schemas.openxmlformats.org/officeDocument/2006/relationships/hyperlink" Target="https://expa.aiesec.org/opportunities/1288837" TargetMode="External"/><Relationship Id="rId326" Type="http://schemas.openxmlformats.org/officeDocument/2006/relationships/hyperlink" Target="https://expa.aiesec.org/opportunities/1291606" TargetMode="External"/><Relationship Id="rId325" Type="http://schemas.openxmlformats.org/officeDocument/2006/relationships/hyperlink" Target="https://expa.aiesec.org/opportunities/1297132" TargetMode="External"/><Relationship Id="rId324" Type="http://schemas.openxmlformats.org/officeDocument/2006/relationships/hyperlink" Target="https://expa.aiesec.org/opportunities/1296980" TargetMode="External"/><Relationship Id="rId329" Type="http://schemas.openxmlformats.org/officeDocument/2006/relationships/hyperlink" Target="https://expa.aiesec.org/opportunities/1294653" TargetMode="External"/><Relationship Id="rId328" Type="http://schemas.openxmlformats.org/officeDocument/2006/relationships/hyperlink" Target="https://expa.aiesec.org/opportunities/1259741" TargetMode="External"/><Relationship Id="rId323" Type="http://schemas.openxmlformats.org/officeDocument/2006/relationships/hyperlink" Target="https://expa.aiesec.org/opportunities/1286839" TargetMode="External"/><Relationship Id="rId322" Type="http://schemas.openxmlformats.org/officeDocument/2006/relationships/hyperlink" Target="https://expa.aiesec.org/opportunities/1295460" TargetMode="External"/><Relationship Id="rId321" Type="http://schemas.openxmlformats.org/officeDocument/2006/relationships/hyperlink" Target="https://expa.aiesec.org/opportunities/1282413" TargetMode="External"/><Relationship Id="rId320" Type="http://schemas.openxmlformats.org/officeDocument/2006/relationships/hyperlink" Target="https://expa.aiesec.org/opportunities/1293407" TargetMode="External"/><Relationship Id="rId316" Type="http://schemas.openxmlformats.org/officeDocument/2006/relationships/hyperlink" Target="https://expa.aiesec.org/opportunities/1287702" TargetMode="External"/><Relationship Id="rId315" Type="http://schemas.openxmlformats.org/officeDocument/2006/relationships/hyperlink" Target="https://expa.aiesec.org/opportunities/1295042" TargetMode="External"/><Relationship Id="rId314" Type="http://schemas.openxmlformats.org/officeDocument/2006/relationships/hyperlink" Target="https://expa.aiesec.org/opportunities/1295042" TargetMode="External"/><Relationship Id="rId313" Type="http://schemas.openxmlformats.org/officeDocument/2006/relationships/hyperlink" Target="https://expa.aiesec.org/opportunities/1295982" TargetMode="External"/><Relationship Id="rId319" Type="http://schemas.openxmlformats.org/officeDocument/2006/relationships/hyperlink" Target="https://expa.aiesec.org/opportunities/1288871" TargetMode="External"/><Relationship Id="rId318" Type="http://schemas.openxmlformats.org/officeDocument/2006/relationships/hyperlink" Target="https://expa.aiesec.org/opportunities/1286368" TargetMode="External"/><Relationship Id="rId317" Type="http://schemas.openxmlformats.org/officeDocument/2006/relationships/hyperlink" Target="https://expa.aiesec.org/opportunities/1262994" TargetMode="External"/><Relationship Id="rId312" Type="http://schemas.openxmlformats.org/officeDocument/2006/relationships/hyperlink" Target="https://expa.aiesec.org/opportunities/1286059" TargetMode="External"/><Relationship Id="rId311" Type="http://schemas.openxmlformats.org/officeDocument/2006/relationships/hyperlink" Target="https://expa.aiesec.org/opportunities/1286837" TargetMode="External"/><Relationship Id="rId310" Type="http://schemas.openxmlformats.org/officeDocument/2006/relationships/hyperlink" Target="https://expa.aiesec.org/opportunities/1286836" TargetMode="External"/><Relationship Id="rId297" Type="http://schemas.openxmlformats.org/officeDocument/2006/relationships/hyperlink" Target="https://expa.aiesec.org/opportunities/1277333" TargetMode="External"/><Relationship Id="rId296" Type="http://schemas.openxmlformats.org/officeDocument/2006/relationships/hyperlink" Target="https://expa.aiesec.org/opportunities/1297056" TargetMode="External"/><Relationship Id="rId295" Type="http://schemas.openxmlformats.org/officeDocument/2006/relationships/hyperlink" Target="https://expa.aiesec.org/opportunities/1293243" TargetMode="External"/><Relationship Id="rId294" Type="http://schemas.openxmlformats.org/officeDocument/2006/relationships/hyperlink" Target="https://expa.aiesec.org/opportunities/1277661" TargetMode="External"/><Relationship Id="rId299" Type="http://schemas.openxmlformats.org/officeDocument/2006/relationships/hyperlink" Target="https://expa.aiesec.org/opportunities/1292559" TargetMode="External"/><Relationship Id="rId298" Type="http://schemas.openxmlformats.org/officeDocument/2006/relationships/hyperlink" Target="https://expa.aiesec.org/opportunities/1294785" TargetMode="External"/><Relationship Id="rId271" Type="http://schemas.openxmlformats.org/officeDocument/2006/relationships/hyperlink" Target="https://expa.aiesec.org/opportunities/1264946" TargetMode="External"/><Relationship Id="rId270" Type="http://schemas.openxmlformats.org/officeDocument/2006/relationships/hyperlink" Target="https://expa.aiesec.org/opportunities/1274161" TargetMode="External"/><Relationship Id="rId269" Type="http://schemas.openxmlformats.org/officeDocument/2006/relationships/hyperlink" Target="https://expa.aiesec.org/opportunities/1294941" TargetMode="External"/><Relationship Id="rId264" Type="http://schemas.openxmlformats.org/officeDocument/2006/relationships/hyperlink" Target="https://expa.aiesec.org/opportunities/1289689" TargetMode="External"/><Relationship Id="rId263" Type="http://schemas.openxmlformats.org/officeDocument/2006/relationships/hyperlink" Target="https://expa.aiesec.org/opportunities/1289293" TargetMode="External"/><Relationship Id="rId262" Type="http://schemas.openxmlformats.org/officeDocument/2006/relationships/hyperlink" Target="https://expa.aiesec.org/opportunities/1294785" TargetMode="External"/><Relationship Id="rId261" Type="http://schemas.openxmlformats.org/officeDocument/2006/relationships/hyperlink" Target="https://expa.aiesec.org/opportunities/1289387" TargetMode="External"/><Relationship Id="rId268" Type="http://schemas.openxmlformats.org/officeDocument/2006/relationships/hyperlink" Target="https://expa.aiesec.org/opportunities/1293395" TargetMode="External"/><Relationship Id="rId267" Type="http://schemas.openxmlformats.org/officeDocument/2006/relationships/hyperlink" Target="https://expa.aiesec.org/opportunities/1286839" TargetMode="External"/><Relationship Id="rId266" Type="http://schemas.openxmlformats.org/officeDocument/2006/relationships/hyperlink" Target="https://expa.aiesec.org/opportunities/1295514" TargetMode="External"/><Relationship Id="rId265" Type="http://schemas.openxmlformats.org/officeDocument/2006/relationships/hyperlink" Target="https://expa.aiesec.org/opportunities/1286368" TargetMode="External"/><Relationship Id="rId260" Type="http://schemas.openxmlformats.org/officeDocument/2006/relationships/hyperlink" Target="https://expa.aiesec.org/opportunities/1295042" TargetMode="External"/><Relationship Id="rId259" Type="http://schemas.openxmlformats.org/officeDocument/2006/relationships/hyperlink" Target="https://expa.aiesec.org/opportunities/1286840" TargetMode="External"/><Relationship Id="rId258" Type="http://schemas.openxmlformats.org/officeDocument/2006/relationships/hyperlink" Target="https://expa.aiesec.org/opportunities/1291989" TargetMode="External"/><Relationship Id="rId253" Type="http://schemas.openxmlformats.org/officeDocument/2006/relationships/hyperlink" Target="https://expa.aiesec.org/opportunities/1286368" TargetMode="External"/><Relationship Id="rId252" Type="http://schemas.openxmlformats.org/officeDocument/2006/relationships/hyperlink" Target="https://expa.aiesec.org/opportunities/1264946" TargetMode="External"/><Relationship Id="rId251" Type="http://schemas.openxmlformats.org/officeDocument/2006/relationships/hyperlink" Target="https://expa.aiesec.org/opportunities/1294941" TargetMode="External"/><Relationship Id="rId250" Type="http://schemas.openxmlformats.org/officeDocument/2006/relationships/hyperlink" Target="https://expa.aiesec.org/opportunities/1283288" TargetMode="External"/><Relationship Id="rId257" Type="http://schemas.openxmlformats.org/officeDocument/2006/relationships/hyperlink" Target="https://expa.aiesec.org/opportunities/1287702" TargetMode="External"/><Relationship Id="rId256" Type="http://schemas.openxmlformats.org/officeDocument/2006/relationships/hyperlink" Target="https://expa.aiesec.org/opportunities/1278298" TargetMode="External"/><Relationship Id="rId255" Type="http://schemas.openxmlformats.org/officeDocument/2006/relationships/hyperlink" Target="https://expa.aiesec.org/opportunities/1293243" TargetMode="External"/><Relationship Id="rId254" Type="http://schemas.openxmlformats.org/officeDocument/2006/relationships/hyperlink" Target="https://expa.aiesec.org/opportunities/1278774" TargetMode="External"/><Relationship Id="rId293" Type="http://schemas.openxmlformats.org/officeDocument/2006/relationships/hyperlink" Target="https://expa.aiesec.org/opportunities/1296492" TargetMode="External"/><Relationship Id="rId292" Type="http://schemas.openxmlformats.org/officeDocument/2006/relationships/hyperlink" Target="https://expa.aiesec.org/opportunities/1296231" TargetMode="External"/><Relationship Id="rId291" Type="http://schemas.openxmlformats.org/officeDocument/2006/relationships/hyperlink" Target="https://expa.aiesec.org/opportunities/1289307" TargetMode="External"/><Relationship Id="rId290" Type="http://schemas.openxmlformats.org/officeDocument/2006/relationships/hyperlink" Target="https://expa.aiesec.org/opportunities/1259741" TargetMode="External"/><Relationship Id="rId286" Type="http://schemas.openxmlformats.org/officeDocument/2006/relationships/hyperlink" Target="https://expa.aiesec.org/opportunities/1295568" TargetMode="External"/><Relationship Id="rId285" Type="http://schemas.openxmlformats.org/officeDocument/2006/relationships/hyperlink" Target="https://expa.aiesec.org/opportunities/1294941" TargetMode="External"/><Relationship Id="rId284" Type="http://schemas.openxmlformats.org/officeDocument/2006/relationships/hyperlink" Target="https://expa.aiesec.org/opportunities/1295568" TargetMode="External"/><Relationship Id="rId283" Type="http://schemas.openxmlformats.org/officeDocument/2006/relationships/hyperlink" Target="https://expa.aiesec.org/opportunities/1291989" TargetMode="External"/><Relationship Id="rId289" Type="http://schemas.openxmlformats.org/officeDocument/2006/relationships/hyperlink" Target="https://expa.aiesec.org/opportunities/1291989" TargetMode="External"/><Relationship Id="rId288" Type="http://schemas.openxmlformats.org/officeDocument/2006/relationships/hyperlink" Target="https://expa.aiesec.org/opportunities/1292492" TargetMode="External"/><Relationship Id="rId287" Type="http://schemas.openxmlformats.org/officeDocument/2006/relationships/hyperlink" Target="https://expa.aiesec.org/opportunities/1286368" TargetMode="External"/><Relationship Id="rId282" Type="http://schemas.openxmlformats.org/officeDocument/2006/relationships/hyperlink" Target="https://expa.aiesec.org/opportunities/1281195" TargetMode="External"/><Relationship Id="rId281" Type="http://schemas.openxmlformats.org/officeDocument/2006/relationships/hyperlink" Target="https://expa.aiesec.org/opportunities/1283628" TargetMode="External"/><Relationship Id="rId280" Type="http://schemas.openxmlformats.org/officeDocument/2006/relationships/hyperlink" Target="https://expa.aiesec.org/opportunities/1289307" TargetMode="External"/><Relationship Id="rId275" Type="http://schemas.openxmlformats.org/officeDocument/2006/relationships/hyperlink" Target="https://expa.aiesec.org/opportunities/1289293" TargetMode="External"/><Relationship Id="rId274" Type="http://schemas.openxmlformats.org/officeDocument/2006/relationships/hyperlink" Target="https://expa.aiesec.org/opportunities/1296474" TargetMode="External"/><Relationship Id="rId273" Type="http://schemas.openxmlformats.org/officeDocument/2006/relationships/hyperlink" Target="https://expa.aiesec.org/opportunities/1288871" TargetMode="External"/><Relationship Id="rId272" Type="http://schemas.openxmlformats.org/officeDocument/2006/relationships/hyperlink" Target="https://expa.aiesec.org/opportunities/1281195" TargetMode="External"/><Relationship Id="rId279" Type="http://schemas.openxmlformats.org/officeDocument/2006/relationships/hyperlink" Target="https://expa.aiesec.org/opportunities/1291586" TargetMode="External"/><Relationship Id="rId278" Type="http://schemas.openxmlformats.org/officeDocument/2006/relationships/hyperlink" Target="https://expa.aiesec.org/opportunities/1296323" TargetMode="External"/><Relationship Id="rId277" Type="http://schemas.openxmlformats.org/officeDocument/2006/relationships/hyperlink" Target="https://expa.aiesec.org/opportunities/1278298" TargetMode="External"/><Relationship Id="rId276" Type="http://schemas.openxmlformats.org/officeDocument/2006/relationships/hyperlink" Target="https://expa.aiesec.org/opportunities/1277661" TargetMode="External"/><Relationship Id="rId228" Type="http://schemas.openxmlformats.org/officeDocument/2006/relationships/hyperlink" Target="https://expa.aiesec.org/opportunities/1292303" TargetMode="External"/><Relationship Id="rId227" Type="http://schemas.openxmlformats.org/officeDocument/2006/relationships/hyperlink" Target="https://expa.aiesec.org/opportunities/1287702" TargetMode="External"/><Relationship Id="rId226" Type="http://schemas.openxmlformats.org/officeDocument/2006/relationships/hyperlink" Target="https://expa.aiesec.org/opportunities/1281195" TargetMode="External"/><Relationship Id="rId225" Type="http://schemas.openxmlformats.org/officeDocument/2006/relationships/hyperlink" Target="https://expa.aiesec.org/opportunities/1286368" TargetMode="External"/><Relationship Id="rId229" Type="http://schemas.openxmlformats.org/officeDocument/2006/relationships/hyperlink" Target="https://expa.aiesec.org/opportunities/1295293" TargetMode="External"/><Relationship Id="rId220" Type="http://schemas.openxmlformats.org/officeDocument/2006/relationships/hyperlink" Target="https://expa.aiesec.org/opportunities/1287560" TargetMode="External"/><Relationship Id="rId224" Type="http://schemas.openxmlformats.org/officeDocument/2006/relationships/hyperlink" Target="https://expa.aiesec.org/opportunities/1294641" TargetMode="External"/><Relationship Id="rId223" Type="http://schemas.openxmlformats.org/officeDocument/2006/relationships/hyperlink" Target="https://expa.aiesec.org/opportunities/1292127" TargetMode="External"/><Relationship Id="rId222" Type="http://schemas.openxmlformats.org/officeDocument/2006/relationships/hyperlink" Target="https://expa.aiesec.org/opportunities/1279327" TargetMode="External"/><Relationship Id="rId221" Type="http://schemas.openxmlformats.org/officeDocument/2006/relationships/hyperlink" Target="https://expa.aiesec.org/opportunities/1287560" TargetMode="External"/><Relationship Id="rId217" Type="http://schemas.openxmlformats.org/officeDocument/2006/relationships/hyperlink" Target="https://expa.aiesec.org/opportunities/1290616" TargetMode="External"/><Relationship Id="rId216" Type="http://schemas.openxmlformats.org/officeDocument/2006/relationships/hyperlink" Target="https://expa.aiesec.org/opportunities/1287942" TargetMode="External"/><Relationship Id="rId215" Type="http://schemas.openxmlformats.org/officeDocument/2006/relationships/hyperlink" Target="https://expa.aiesec.org/opportunities/1294674" TargetMode="External"/><Relationship Id="rId214" Type="http://schemas.openxmlformats.org/officeDocument/2006/relationships/hyperlink" Target="https://expa.aiesec.org/opportunities/1291846" TargetMode="External"/><Relationship Id="rId219" Type="http://schemas.openxmlformats.org/officeDocument/2006/relationships/hyperlink" Target="https://expa.aiesec.org/opportunities/1278774" TargetMode="External"/><Relationship Id="rId218" Type="http://schemas.openxmlformats.org/officeDocument/2006/relationships/hyperlink" Target="https://expa.aiesec.org/opportunities/1293212" TargetMode="External"/><Relationship Id="rId213" Type="http://schemas.openxmlformats.org/officeDocument/2006/relationships/hyperlink" Target="https://expa.aiesec.org/opportunities/1289390" TargetMode="External"/><Relationship Id="rId212" Type="http://schemas.openxmlformats.org/officeDocument/2006/relationships/hyperlink" Target="https://expa.aiesec.org/opportunities/1293244" TargetMode="External"/><Relationship Id="rId211" Type="http://schemas.openxmlformats.org/officeDocument/2006/relationships/hyperlink" Target="https://expa.aiesec.org/opportunities/1292975" TargetMode="External"/><Relationship Id="rId210" Type="http://schemas.openxmlformats.org/officeDocument/2006/relationships/hyperlink" Target="https://expa.aiesec.org/opportunities/1277661" TargetMode="External"/><Relationship Id="rId249" Type="http://schemas.openxmlformats.org/officeDocument/2006/relationships/hyperlink" Target="https://expa.aiesec.org/opportunities/1290731" TargetMode="External"/><Relationship Id="rId248" Type="http://schemas.openxmlformats.org/officeDocument/2006/relationships/hyperlink" Target="https://expa.aiesec.org/opportunities/1295514" TargetMode="External"/><Relationship Id="rId247" Type="http://schemas.openxmlformats.org/officeDocument/2006/relationships/hyperlink" Target="https://expa.aiesec.org/opportunities/1293407" TargetMode="External"/><Relationship Id="rId242" Type="http://schemas.openxmlformats.org/officeDocument/2006/relationships/hyperlink" Target="https://expa.aiesec.org/opportunities/1278703" TargetMode="External"/><Relationship Id="rId241" Type="http://schemas.openxmlformats.org/officeDocument/2006/relationships/hyperlink" Target="https://expa.aiesec.org/opportunities/1259741" TargetMode="External"/><Relationship Id="rId240" Type="http://schemas.openxmlformats.org/officeDocument/2006/relationships/hyperlink" Target="https://expa.aiesec.org/opportunities/1287702" TargetMode="External"/><Relationship Id="rId246" Type="http://schemas.openxmlformats.org/officeDocument/2006/relationships/hyperlink" Target="https://expa.aiesec.org/opportunities/1295716" TargetMode="External"/><Relationship Id="rId245" Type="http://schemas.openxmlformats.org/officeDocument/2006/relationships/hyperlink" Target="https://expa.aiesec.org/opportunities/1293407" TargetMode="External"/><Relationship Id="rId244" Type="http://schemas.openxmlformats.org/officeDocument/2006/relationships/hyperlink" Target="https://expa.aiesec.org/opportunities/1294636" TargetMode="External"/><Relationship Id="rId243" Type="http://schemas.openxmlformats.org/officeDocument/2006/relationships/hyperlink" Target="https://expa.aiesec.org/opportunities/1294473" TargetMode="External"/><Relationship Id="rId239" Type="http://schemas.openxmlformats.org/officeDocument/2006/relationships/hyperlink" Target="https://expa.aiesec.org/opportunities/1293755" TargetMode="External"/><Relationship Id="rId238" Type="http://schemas.openxmlformats.org/officeDocument/2006/relationships/hyperlink" Target="https://expa.aiesec.org/opportunities/1295743" TargetMode="External"/><Relationship Id="rId237" Type="http://schemas.openxmlformats.org/officeDocument/2006/relationships/hyperlink" Target="https://expa.aiesec.org/opportunities/1289307" TargetMode="External"/><Relationship Id="rId236" Type="http://schemas.openxmlformats.org/officeDocument/2006/relationships/hyperlink" Target="https://expa.aiesec.org/opportunities/1281195" TargetMode="External"/><Relationship Id="rId231" Type="http://schemas.openxmlformats.org/officeDocument/2006/relationships/hyperlink" Target="https://expa.aiesec.org/opportunities/1295124" TargetMode="External"/><Relationship Id="rId230" Type="http://schemas.openxmlformats.org/officeDocument/2006/relationships/hyperlink" Target="https://expa.aiesec.org/opportunities/1293242" TargetMode="External"/><Relationship Id="rId235" Type="http://schemas.openxmlformats.org/officeDocument/2006/relationships/hyperlink" Target="https://expa.aiesec.org/opportunities/1286368" TargetMode="External"/><Relationship Id="rId234" Type="http://schemas.openxmlformats.org/officeDocument/2006/relationships/hyperlink" Target="https://expa.aiesec.org/opportunities/1294941" TargetMode="External"/><Relationship Id="rId233" Type="http://schemas.openxmlformats.org/officeDocument/2006/relationships/hyperlink" Target="https://expa.aiesec.org/opportunities/1294941" TargetMode="External"/><Relationship Id="rId232" Type="http://schemas.openxmlformats.org/officeDocument/2006/relationships/hyperlink" Target="https://expa.aiesec.org/opportunities/1294785" TargetMode="External"/><Relationship Id="rId206" Type="http://schemas.openxmlformats.org/officeDocument/2006/relationships/hyperlink" Target="https://expa.aiesec.org/opportunities/1291375" TargetMode="External"/><Relationship Id="rId205" Type="http://schemas.openxmlformats.org/officeDocument/2006/relationships/hyperlink" Target="https://expa.aiesec.org/opportunities/1293755" TargetMode="External"/><Relationship Id="rId204" Type="http://schemas.openxmlformats.org/officeDocument/2006/relationships/hyperlink" Target="https://expa.aiesec.org/opportunities/1288871" TargetMode="External"/><Relationship Id="rId203" Type="http://schemas.openxmlformats.org/officeDocument/2006/relationships/hyperlink" Target="https://expa.aiesec.org/opportunities/1294158" TargetMode="External"/><Relationship Id="rId209" Type="http://schemas.openxmlformats.org/officeDocument/2006/relationships/hyperlink" Target="https://expa.aiesec.org/opportunities/1294655" TargetMode="External"/><Relationship Id="rId208" Type="http://schemas.openxmlformats.org/officeDocument/2006/relationships/hyperlink" Target="https://expa.aiesec.org/opportunities/1281195" TargetMode="External"/><Relationship Id="rId207" Type="http://schemas.openxmlformats.org/officeDocument/2006/relationships/hyperlink" Target="https://expa.aiesec.org/opportunities/1285209" TargetMode="External"/><Relationship Id="rId202" Type="http://schemas.openxmlformats.org/officeDocument/2006/relationships/hyperlink" Target="https://expa.aiesec.org/opportunities/1284447" TargetMode="External"/><Relationship Id="rId201" Type="http://schemas.openxmlformats.org/officeDocument/2006/relationships/hyperlink" Target="https://expa.aiesec.org/opportunities/1289672" TargetMode="External"/><Relationship Id="rId200" Type="http://schemas.openxmlformats.org/officeDocument/2006/relationships/hyperlink" Target="https://expa.aiesec.org/opportunities/1286368" TargetMode="External"/><Relationship Id="rId509" Type="http://schemas.openxmlformats.org/officeDocument/2006/relationships/hyperlink" Target="https://expa.aiesec.org/opportunities/1286368" TargetMode="External"/><Relationship Id="rId508" Type="http://schemas.openxmlformats.org/officeDocument/2006/relationships/hyperlink" Target="https://expa.aiesec.org/opportunities/1299824" TargetMode="External"/><Relationship Id="rId503" Type="http://schemas.openxmlformats.org/officeDocument/2006/relationships/hyperlink" Target="https://expa.aiesec.org/opportunities/1301559" TargetMode="External"/><Relationship Id="rId502" Type="http://schemas.openxmlformats.org/officeDocument/2006/relationships/hyperlink" Target="https://expa.aiesec.org/opportunities/1296625" TargetMode="External"/><Relationship Id="rId501" Type="http://schemas.openxmlformats.org/officeDocument/2006/relationships/hyperlink" Target="https://expa.aiesec.org/opportunities/1297135" TargetMode="External"/><Relationship Id="rId500" Type="http://schemas.openxmlformats.org/officeDocument/2006/relationships/hyperlink" Target="https://expa.aiesec.org/opportunities/1299449" TargetMode="External"/><Relationship Id="rId507" Type="http://schemas.openxmlformats.org/officeDocument/2006/relationships/hyperlink" Target="https://expa.aiesec.org/opportunities/1299013" TargetMode="External"/><Relationship Id="rId506" Type="http://schemas.openxmlformats.org/officeDocument/2006/relationships/hyperlink" Target="https://expa.aiesec.org/opportunities/1294473" TargetMode="External"/><Relationship Id="rId505" Type="http://schemas.openxmlformats.org/officeDocument/2006/relationships/hyperlink" Target="https://expa.aiesec.org/opportunities/1284668" TargetMode="External"/><Relationship Id="rId504" Type="http://schemas.openxmlformats.org/officeDocument/2006/relationships/hyperlink" Target="https://expa.aiesec.org/opportunities/1283288" TargetMode="External"/><Relationship Id="rId525" Type="http://schemas.openxmlformats.org/officeDocument/2006/relationships/hyperlink" Target="https://expa.aiesec.org/opportunities/1302171" TargetMode="External"/><Relationship Id="rId524" Type="http://schemas.openxmlformats.org/officeDocument/2006/relationships/hyperlink" Target="https://expa.aiesec.org/opportunities/1297154" TargetMode="External"/><Relationship Id="rId523" Type="http://schemas.openxmlformats.org/officeDocument/2006/relationships/hyperlink" Target="https://expa.aiesec.org/opportunities/1274161" TargetMode="External"/><Relationship Id="rId522" Type="http://schemas.openxmlformats.org/officeDocument/2006/relationships/hyperlink" Target="https://expa.aiesec.org/opportunities/1302266" TargetMode="External"/><Relationship Id="rId529" Type="http://schemas.openxmlformats.org/officeDocument/2006/relationships/hyperlink" Target="https://expa.aiesec.org/opportunities/1287942" TargetMode="External"/><Relationship Id="rId528" Type="http://schemas.openxmlformats.org/officeDocument/2006/relationships/hyperlink" Target="https://expa.aiesec.org/opportunities/1302206" TargetMode="External"/><Relationship Id="rId527" Type="http://schemas.openxmlformats.org/officeDocument/2006/relationships/hyperlink" Target="https://expa.aiesec.org/opportunities/1302171" TargetMode="External"/><Relationship Id="rId526" Type="http://schemas.openxmlformats.org/officeDocument/2006/relationships/hyperlink" Target="https://expa.aiesec.org/opportunities/1302171" TargetMode="External"/><Relationship Id="rId521" Type="http://schemas.openxmlformats.org/officeDocument/2006/relationships/hyperlink" Target="https://expa.aiesec.org/opportunities/1298413" TargetMode="External"/><Relationship Id="rId520" Type="http://schemas.openxmlformats.org/officeDocument/2006/relationships/hyperlink" Target="https://expa.aiesec.org/opportunities/1300649" TargetMode="External"/><Relationship Id="rId519" Type="http://schemas.openxmlformats.org/officeDocument/2006/relationships/hyperlink" Target="https://expa.aiesec.org/opportunities/1295514" TargetMode="External"/><Relationship Id="rId514" Type="http://schemas.openxmlformats.org/officeDocument/2006/relationships/hyperlink" Target="https://expa.aiesec.org/opportunities/1298736" TargetMode="External"/><Relationship Id="rId513" Type="http://schemas.openxmlformats.org/officeDocument/2006/relationships/hyperlink" Target="https://expa.aiesec.org/opportunities/1289390" TargetMode="External"/><Relationship Id="rId512" Type="http://schemas.openxmlformats.org/officeDocument/2006/relationships/hyperlink" Target="https://expa.aiesec.org/opportunities/1291482" TargetMode="External"/><Relationship Id="rId511" Type="http://schemas.openxmlformats.org/officeDocument/2006/relationships/hyperlink" Target="https://expa.aiesec.org/opportunities/1298736" TargetMode="External"/><Relationship Id="rId518" Type="http://schemas.openxmlformats.org/officeDocument/2006/relationships/hyperlink" Target="https://expa.aiesec.org/opportunities/1300126" TargetMode="External"/><Relationship Id="rId517" Type="http://schemas.openxmlformats.org/officeDocument/2006/relationships/hyperlink" Target="https://expa.aiesec.org/opportunities/1298736" TargetMode="External"/><Relationship Id="rId516" Type="http://schemas.openxmlformats.org/officeDocument/2006/relationships/hyperlink" Target="https://expa.aiesec.org/opportunities/1300649" TargetMode="External"/><Relationship Id="rId515" Type="http://schemas.openxmlformats.org/officeDocument/2006/relationships/hyperlink" Target="https://expa.aiesec.org/opportunities/1296625" TargetMode="External"/><Relationship Id="rId510" Type="http://schemas.openxmlformats.org/officeDocument/2006/relationships/hyperlink" Target="https://expa.aiesec.org/opportunities/1286521" TargetMode="External"/><Relationship Id="rId544" Type="http://schemas.openxmlformats.org/officeDocument/2006/relationships/drawing" Target="../drawings/drawing12.xml"/><Relationship Id="rId543" Type="http://schemas.openxmlformats.org/officeDocument/2006/relationships/hyperlink" Target="https://expa.aiesec.org/opportunities/1294941" TargetMode="External"/><Relationship Id="rId542" Type="http://schemas.openxmlformats.org/officeDocument/2006/relationships/hyperlink" Target="https://expa.aiesec.org/opportunities/1288486" TargetMode="External"/><Relationship Id="rId541" Type="http://schemas.openxmlformats.org/officeDocument/2006/relationships/hyperlink" Target="https://expa.aiesec.org/opportunities/1286368" TargetMode="External"/><Relationship Id="rId540" Type="http://schemas.openxmlformats.org/officeDocument/2006/relationships/hyperlink" Target="https://expa.aiesec.org/opportunities/1296625" TargetMode="External"/><Relationship Id="rId536" Type="http://schemas.openxmlformats.org/officeDocument/2006/relationships/hyperlink" Target="https://expa.aiesec.org/opportunities/1294941" TargetMode="External"/><Relationship Id="rId535" Type="http://schemas.openxmlformats.org/officeDocument/2006/relationships/hyperlink" Target="https://expa.aiesec.org/opportunities/1287942" TargetMode="External"/><Relationship Id="rId534" Type="http://schemas.openxmlformats.org/officeDocument/2006/relationships/hyperlink" Target="https://expa.aiesec.org/opportunities/1290731" TargetMode="External"/><Relationship Id="rId533" Type="http://schemas.openxmlformats.org/officeDocument/2006/relationships/hyperlink" Target="https://expa.aiesec.org/opportunities/1289689" TargetMode="External"/><Relationship Id="rId539" Type="http://schemas.openxmlformats.org/officeDocument/2006/relationships/hyperlink" Target="https://expa.aiesec.org/opportunities/1302898" TargetMode="External"/><Relationship Id="rId538" Type="http://schemas.openxmlformats.org/officeDocument/2006/relationships/hyperlink" Target="https://expa.aiesec.org/opportunities/1291482" TargetMode="External"/><Relationship Id="rId537" Type="http://schemas.openxmlformats.org/officeDocument/2006/relationships/hyperlink" Target="https://expa.aiesec.org/opportunities/1302896" TargetMode="External"/><Relationship Id="rId532" Type="http://schemas.openxmlformats.org/officeDocument/2006/relationships/hyperlink" Target="https://expa.aiesec.org/opportunities/1298736" TargetMode="External"/><Relationship Id="rId531" Type="http://schemas.openxmlformats.org/officeDocument/2006/relationships/hyperlink" Target="https://expa.aiesec.org/opportunities/1264946" TargetMode="External"/><Relationship Id="rId530" Type="http://schemas.openxmlformats.org/officeDocument/2006/relationships/hyperlink" Target="https://expa.aiesec.org/opportunities/1289485" TargetMode="External"/><Relationship Id="rId495" Type="http://schemas.openxmlformats.org/officeDocument/2006/relationships/hyperlink" Target="https://expa.aiesec.org/opportunities/1290731" TargetMode="External"/><Relationship Id="rId494" Type="http://schemas.openxmlformats.org/officeDocument/2006/relationships/hyperlink" Target="https://expa.aiesec.org/opportunities/1289355" TargetMode="External"/><Relationship Id="rId493" Type="http://schemas.openxmlformats.org/officeDocument/2006/relationships/hyperlink" Target="https://expa.aiesec.org/opportunities/1277333" TargetMode="External"/><Relationship Id="rId492" Type="http://schemas.openxmlformats.org/officeDocument/2006/relationships/hyperlink" Target="https://expa.aiesec.org/opportunities/1283288" TargetMode="External"/><Relationship Id="rId499" Type="http://schemas.openxmlformats.org/officeDocument/2006/relationships/hyperlink" Target="https://expa.aiesec.org/opportunities/1289686" TargetMode="External"/><Relationship Id="rId498" Type="http://schemas.openxmlformats.org/officeDocument/2006/relationships/hyperlink" Target="https://expa.aiesec.org/opportunities/1298993" TargetMode="External"/><Relationship Id="rId497" Type="http://schemas.openxmlformats.org/officeDocument/2006/relationships/hyperlink" Target="https://expa.aiesec.org/opportunities/1284668" TargetMode="External"/><Relationship Id="rId496" Type="http://schemas.openxmlformats.org/officeDocument/2006/relationships/hyperlink" Target="https://expa.aiesec.org/opportunities/1282413" TargetMode="External"/><Relationship Id="rId409" Type="http://schemas.openxmlformats.org/officeDocument/2006/relationships/hyperlink" Target="https://expa.aiesec.org/opportunities/1289444" TargetMode="External"/><Relationship Id="rId404" Type="http://schemas.openxmlformats.org/officeDocument/2006/relationships/hyperlink" Target="https://expa.aiesec.org/opportunities/1295566" TargetMode="External"/><Relationship Id="rId403" Type="http://schemas.openxmlformats.org/officeDocument/2006/relationships/hyperlink" Target="https://expa.aiesec.org/opportunities/1297132" TargetMode="External"/><Relationship Id="rId402" Type="http://schemas.openxmlformats.org/officeDocument/2006/relationships/hyperlink" Target="https://expa.aiesec.org/opportunities/1289296" TargetMode="External"/><Relationship Id="rId401" Type="http://schemas.openxmlformats.org/officeDocument/2006/relationships/hyperlink" Target="https://expa.aiesec.org/opportunities/1295982" TargetMode="External"/><Relationship Id="rId408" Type="http://schemas.openxmlformats.org/officeDocument/2006/relationships/hyperlink" Target="https://expa.aiesec.org/opportunities/1291606" TargetMode="External"/><Relationship Id="rId407" Type="http://schemas.openxmlformats.org/officeDocument/2006/relationships/hyperlink" Target="https://expa.aiesec.org/opportunities/1296231" TargetMode="External"/><Relationship Id="rId406" Type="http://schemas.openxmlformats.org/officeDocument/2006/relationships/hyperlink" Target="https://expa.aiesec.org/opportunities/1295982" TargetMode="External"/><Relationship Id="rId405" Type="http://schemas.openxmlformats.org/officeDocument/2006/relationships/hyperlink" Target="https://expa.aiesec.org/opportunities/1291989" TargetMode="External"/><Relationship Id="rId400" Type="http://schemas.openxmlformats.org/officeDocument/2006/relationships/hyperlink" Target="https://expa.aiesec.org/opportunities/1297606" TargetMode="External"/><Relationship Id="rId469" Type="http://schemas.openxmlformats.org/officeDocument/2006/relationships/hyperlink" Target="https://expa.aiesec.org/opportunities/1289686" TargetMode="External"/><Relationship Id="rId468" Type="http://schemas.openxmlformats.org/officeDocument/2006/relationships/hyperlink" Target="https://expa.aiesec.org/opportunities/1299687" TargetMode="External"/><Relationship Id="rId467" Type="http://schemas.openxmlformats.org/officeDocument/2006/relationships/hyperlink" Target="https://expa.aiesec.org/opportunities/1296625" TargetMode="External"/><Relationship Id="rId462" Type="http://schemas.openxmlformats.org/officeDocument/2006/relationships/hyperlink" Target="https://expa.aiesec.org/opportunities/1298736" TargetMode="External"/><Relationship Id="rId461" Type="http://schemas.openxmlformats.org/officeDocument/2006/relationships/hyperlink" Target="https://expa.aiesec.org/opportunities/1298736" TargetMode="External"/><Relationship Id="rId460" Type="http://schemas.openxmlformats.org/officeDocument/2006/relationships/hyperlink" Target="https://expa.aiesec.org/opportunities/1262994" TargetMode="External"/><Relationship Id="rId466" Type="http://schemas.openxmlformats.org/officeDocument/2006/relationships/hyperlink" Target="https://expa.aiesec.org/opportunities/1298274" TargetMode="External"/><Relationship Id="rId465" Type="http://schemas.openxmlformats.org/officeDocument/2006/relationships/hyperlink" Target="https://expa.aiesec.org/opportunities/1295743" TargetMode="External"/><Relationship Id="rId464" Type="http://schemas.openxmlformats.org/officeDocument/2006/relationships/hyperlink" Target="https://expa.aiesec.org/opportunities/1292545" TargetMode="External"/><Relationship Id="rId463" Type="http://schemas.openxmlformats.org/officeDocument/2006/relationships/hyperlink" Target="https://expa.aiesec.org/opportunities/1286836" TargetMode="External"/><Relationship Id="rId459" Type="http://schemas.openxmlformats.org/officeDocument/2006/relationships/hyperlink" Target="https://expa.aiesec.org/opportunities/1297344" TargetMode="External"/><Relationship Id="rId458" Type="http://schemas.openxmlformats.org/officeDocument/2006/relationships/hyperlink" Target="https://expa.aiesec.org/opportunities/1287560" TargetMode="External"/><Relationship Id="rId457" Type="http://schemas.openxmlformats.org/officeDocument/2006/relationships/hyperlink" Target="https://expa.aiesec.org/opportunities/1259741" TargetMode="External"/><Relationship Id="rId456" Type="http://schemas.openxmlformats.org/officeDocument/2006/relationships/hyperlink" Target="https://expa.aiesec.org/opportunities/1283288" TargetMode="External"/><Relationship Id="rId451" Type="http://schemas.openxmlformats.org/officeDocument/2006/relationships/hyperlink" Target="https://expa.aiesec.org/opportunities/1286368" TargetMode="External"/><Relationship Id="rId450" Type="http://schemas.openxmlformats.org/officeDocument/2006/relationships/hyperlink" Target="https://expa.aiesec.org/opportunities/1259741" TargetMode="External"/><Relationship Id="rId455" Type="http://schemas.openxmlformats.org/officeDocument/2006/relationships/hyperlink" Target="https://expa.aiesec.org/opportunities/1299036" TargetMode="External"/><Relationship Id="rId454" Type="http://schemas.openxmlformats.org/officeDocument/2006/relationships/hyperlink" Target="https://expa.aiesec.org/opportunities/1287011" TargetMode="External"/><Relationship Id="rId453" Type="http://schemas.openxmlformats.org/officeDocument/2006/relationships/hyperlink" Target="https://expa.aiesec.org/opportunities/1296980" TargetMode="External"/><Relationship Id="rId452" Type="http://schemas.openxmlformats.org/officeDocument/2006/relationships/hyperlink" Target="https://expa.aiesec.org/opportunities/1292975" TargetMode="External"/><Relationship Id="rId491" Type="http://schemas.openxmlformats.org/officeDocument/2006/relationships/hyperlink" Target="https://expa.aiesec.org/opportunities/1298737" TargetMode="External"/><Relationship Id="rId490" Type="http://schemas.openxmlformats.org/officeDocument/2006/relationships/hyperlink" Target="https://expa.aiesec.org/opportunities/1298737" TargetMode="External"/><Relationship Id="rId489" Type="http://schemas.openxmlformats.org/officeDocument/2006/relationships/hyperlink" Target="https://expa.aiesec.org/opportunities/1281195" TargetMode="External"/><Relationship Id="rId484" Type="http://schemas.openxmlformats.org/officeDocument/2006/relationships/hyperlink" Target="https://expa.aiesec.org/opportunities/1277661" TargetMode="External"/><Relationship Id="rId483" Type="http://schemas.openxmlformats.org/officeDocument/2006/relationships/hyperlink" Target="https://expa.aiesec.org/opportunities/1298770" TargetMode="External"/><Relationship Id="rId482" Type="http://schemas.openxmlformats.org/officeDocument/2006/relationships/hyperlink" Target="https://expa.aiesec.org/opportunities/1286839" TargetMode="External"/><Relationship Id="rId481" Type="http://schemas.openxmlformats.org/officeDocument/2006/relationships/hyperlink" Target="https://expa.aiesec.org/opportunities/1293543" TargetMode="External"/><Relationship Id="rId488" Type="http://schemas.openxmlformats.org/officeDocument/2006/relationships/hyperlink" Target="https://expa.aiesec.org/opportunities/1291989" TargetMode="External"/><Relationship Id="rId487" Type="http://schemas.openxmlformats.org/officeDocument/2006/relationships/hyperlink" Target="https://expa.aiesec.org/opportunities/1301049" TargetMode="External"/><Relationship Id="rId486" Type="http://schemas.openxmlformats.org/officeDocument/2006/relationships/hyperlink" Target="https://expa.aiesec.org/opportunities/1291989" TargetMode="External"/><Relationship Id="rId485" Type="http://schemas.openxmlformats.org/officeDocument/2006/relationships/hyperlink" Target="https://expa.aiesec.org/opportunities/1259741" TargetMode="External"/><Relationship Id="rId480" Type="http://schemas.openxmlformats.org/officeDocument/2006/relationships/hyperlink" Target="https://expa.aiesec.org/opportunities/1299036" TargetMode="External"/><Relationship Id="rId479" Type="http://schemas.openxmlformats.org/officeDocument/2006/relationships/hyperlink" Target="https://expa.aiesec.org/opportunities/1292545" TargetMode="External"/><Relationship Id="rId478" Type="http://schemas.openxmlformats.org/officeDocument/2006/relationships/hyperlink" Target="https://expa.aiesec.org/opportunities/1298736" TargetMode="External"/><Relationship Id="rId473" Type="http://schemas.openxmlformats.org/officeDocument/2006/relationships/hyperlink" Target="https://expa.aiesec.org/opportunities/1299954" TargetMode="External"/><Relationship Id="rId472" Type="http://schemas.openxmlformats.org/officeDocument/2006/relationships/hyperlink" Target="https://expa.aiesec.org/opportunities/1298534" TargetMode="External"/><Relationship Id="rId471" Type="http://schemas.openxmlformats.org/officeDocument/2006/relationships/hyperlink" Target="https://expa.aiesec.org/opportunities/1289307" TargetMode="External"/><Relationship Id="rId470" Type="http://schemas.openxmlformats.org/officeDocument/2006/relationships/hyperlink" Target="https://expa.aiesec.org/opportunities/1298312" TargetMode="External"/><Relationship Id="rId477" Type="http://schemas.openxmlformats.org/officeDocument/2006/relationships/hyperlink" Target="https://expa.aiesec.org/opportunities/1279525" TargetMode="External"/><Relationship Id="rId476" Type="http://schemas.openxmlformats.org/officeDocument/2006/relationships/hyperlink" Target="https://expa.aiesec.org/opportunities/1300126" TargetMode="External"/><Relationship Id="rId475" Type="http://schemas.openxmlformats.org/officeDocument/2006/relationships/hyperlink" Target="https://expa.aiesec.org/opportunities/1283288" TargetMode="External"/><Relationship Id="rId474" Type="http://schemas.openxmlformats.org/officeDocument/2006/relationships/hyperlink" Target="https://expa.aiesec.org/opportunities/1296470" TargetMode="External"/><Relationship Id="rId426" Type="http://schemas.openxmlformats.org/officeDocument/2006/relationships/hyperlink" Target="https://expa.aiesec.org/opportunities/1294581" TargetMode="External"/><Relationship Id="rId425" Type="http://schemas.openxmlformats.org/officeDocument/2006/relationships/hyperlink" Target="https://expa.aiesec.org/opportunities/1297445" TargetMode="External"/><Relationship Id="rId424" Type="http://schemas.openxmlformats.org/officeDocument/2006/relationships/hyperlink" Target="https://expa.aiesec.org/opportunities/1294780" TargetMode="External"/><Relationship Id="rId423" Type="http://schemas.openxmlformats.org/officeDocument/2006/relationships/hyperlink" Target="https://expa.aiesec.org/opportunities/1299196" TargetMode="External"/><Relationship Id="rId429" Type="http://schemas.openxmlformats.org/officeDocument/2006/relationships/hyperlink" Target="https://expa.aiesec.org/opportunities/1296538" TargetMode="External"/><Relationship Id="rId428" Type="http://schemas.openxmlformats.org/officeDocument/2006/relationships/hyperlink" Target="https://expa.aiesec.org/opportunities/1296625" TargetMode="External"/><Relationship Id="rId427" Type="http://schemas.openxmlformats.org/officeDocument/2006/relationships/hyperlink" Target="https://expa.aiesec.org/opportunities/1297652" TargetMode="External"/><Relationship Id="rId422" Type="http://schemas.openxmlformats.org/officeDocument/2006/relationships/hyperlink" Target="https://expa.aiesec.org/opportunities/1295042" TargetMode="External"/><Relationship Id="rId421" Type="http://schemas.openxmlformats.org/officeDocument/2006/relationships/hyperlink" Target="https://expa.aiesec.org/opportunities/1299445" TargetMode="External"/><Relationship Id="rId420" Type="http://schemas.openxmlformats.org/officeDocument/2006/relationships/hyperlink" Target="https://expa.aiesec.org/opportunities/1298736" TargetMode="External"/><Relationship Id="rId415" Type="http://schemas.openxmlformats.org/officeDocument/2006/relationships/hyperlink" Target="https://expa.aiesec.org/opportunities/1297978" TargetMode="External"/><Relationship Id="rId414" Type="http://schemas.openxmlformats.org/officeDocument/2006/relationships/hyperlink" Target="https://expa.aiesec.org/opportunities/1297088" TargetMode="External"/><Relationship Id="rId413" Type="http://schemas.openxmlformats.org/officeDocument/2006/relationships/hyperlink" Target="https://expa.aiesec.org/opportunities/1293407" TargetMode="External"/><Relationship Id="rId412" Type="http://schemas.openxmlformats.org/officeDocument/2006/relationships/hyperlink" Target="https://expa.aiesec.org/opportunities/1295716" TargetMode="External"/><Relationship Id="rId419" Type="http://schemas.openxmlformats.org/officeDocument/2006/relationships/hyperlink" Target="https://expa.aiesec.org/opportunities/1259741" TargetMode="External"/><Relationship Id="rId418" Type="http://schemas.openxmlformats.org/officeDocument/2006/relationships/hyperlink" Target="https://expa.aiesec.org/opportunities/1296305" TargetMode="External"/><Relationship Id="rId417" Type="http://schemas.openxmlformats.org/officeDocument/2006/relationships/hyperlink" Target="https://expa.aiesec.org/opportunities/1259741" TargetMode="External"/><Relationship Id="rId416" Type="http://schemas.openxmlformats.org/officeDocument/2006/relationships/hyperlink" Target="https://expa.aiesec.org/opportunities/1288593" TargetMode="External"/><Relationship Id="rId411" Type="http://schemas.openxmlformats.org/officeDocument/2006/relationships/hyperlink" Target="https://expa.aiesec.org/opportunities/1297135" TargetMode="External"/><Relationship Id="rId410" Type="http://schemas.openxmlformats.org/officeDocument/2006/relationships/hyperlink" Target="https://expa.aiesec.org/opportunities/1289444" TargetMode="External"/><Relationship Id="rId448" Type="http://schemas.openxmlformats.org/officeDocument/2006/relationships/hyperlink" Target="https://expa.aiesec.org/opportunities/1296625" TargetMode="External"/><Relationship Id="rId447" Type="http://schemas.openxmlformats.org/officeDocument/2006/relationships/hyperlink" Target="https://expa.aiesec.org/opportunities/1281195" TargetMode="External"/><Relationship Id="rId446" Type="http://schemas.openxmlformats.org/officeDocument/2006/relationships/hyperlink" Target="https://expa.aiesec.org/opportunities/1283628" TargetMode="External"/><Relationship Id="rId445" Type="http://schemas.openxmlformats.org/officeDocument/2006/relationships/hyperlink" Target="https://expa.aiesec.org/opportunities/1298736" TargetMode="External"/><Relationship Id="rId449" Type="http://schemas.openxmlformats.org/officeDocument/2006/relationships/hyperlink" Target="https://expa.aiesec.org/opportunities/1298733" TargetMode="External"/><Relationship Id="rId440" Type="http://schemas.openxmlformats.org/officeDocument/2006/relationships/hyperlink" Target="https://expa.aiesec.org/opportunities/1286368" TargetMode="External"/><Relationship Id="rId444" Type="http://schemas.openxmlformats.org/officeDocument/2006/relationships/hyperlink" Target="https://expa.aiesec.org/opportunities/1298770" TargetMode="External"/><Relationship Id="rId443" Type="http://schemas.openxmlformats.org/officeDocument/2006/relationships/hyperlink" Target="https://expa.aiesec.org/opportunities/1293407" TargetMode="External"/><Relationship Id="rId442" Type="http://schemas.openxmlformats.org/officeDocument/2006/relationships/hyperlink" Target="https://expa.aiesec.org/opportunities/1295716" TargetMode="External"/><Relationship Id="rId441" Type="http://schemas.openxmlformats.org/officeDocument/2006/relationships/hyperlink" Target="https://expa.aiesec.org/opportunities/1291375" TargetMode="External"/><Relationship Id="rId437" Type="http://schemas.openxmlformats.org/officeDocument/2006/relationships/hyperlink" Target="https://expa.aiesec.org/opportunities/1294473" TargetMode="External"/><Relationship Id="rId436" Type="http://schemas.openxmlformats.org/officeDocument/2006/relationships/hyperlink" Target="https://expa.aiesec.org/opportunities/1298406" TargetMode="External"/><Relationship Id="rId435" Type="http://schemas.openxmlformats.org/officeDocument/2006/relationships/hyperlink" Target="https://expa.aiesec.org/opportunities/1288201" TargetMode="External"/><Relationship Id="rId434" Type="http://schemas.openxmlformats.org/officeDocument/2006/relationships/hyperlink" Target="https://expa.aiesec.org/opportunities/1292767" TargetMode="External"/><Relationship Id="rId439" Type="http://schemas.openxmlformats.org/officeDocument/2006/relationships/hyperlink" Target="https://expa.aiesec.org/opportunities/1296625" TargetMode="External"/><Relationship Id="rId438" Type="http://schemas.openxmlformats.org/officeDocument/2006/relationships/hyperlink" Target="https://expa.aiesec.org/opportunities/1291375" TargetMode="External"/><Relationship Id="rId433" Type="http://schemas.openxmlformats.org/officeDocument/2006/relationships/hyperlink" Target="https://expa.aiesec.org/opportunities/1299279" TargetMode="External"/><Relationship Id="rId432" Type="http://schemas.openxmlformats.org/officeDocument/2006/relationships/hyperlink" Target="https://expa.aiesec.org/opportunities/1288706" TargetMode="External"/><Relationship Id="rId431" Type="http://schemas.openxmlformats.org/officeDocument/2006/relationships/hyperlink" Target="https://expa.aiesec.org/opportunities/1290168" TargetMode="External"/><Relationship Id="rId430" Type="http://schemas.openxmlformats.org/officeDocument/2006/relationships/hyperlink" Target="https://expa.aiesec.org/opportunities/1286368" TargetMode="External"/><Relationship Id="rId1" Type="http://schemas.openxmlformats.org/officeDocument/2006/relationships/hyperlink" Target="https://expa.aiesec.org/opportunities/1284294" TargetMode="External"/><Relationship Id="rId2" Type="http://schemas.openxmlformats.org/officeDocument/2006/relationships/hyperlink" Target="https://expa.aiesec.org/opportunities/1283834" TargetMode="External"/><Relationship Id="rId3" Type="http://schemas.openxmlformats.org/officeDocument/2006/relationships/hyperlink" Target="https://expa.aiesec.org/opportunities/1287862" TargetMode="External"/><Relationship Id="rId4" Type="http://schemas.openxmlformats.org/officeDocument/2006/relationships/hyperlink" Target="https://expa.aiesec.org/opportunities/1287374" TargetMode="External"/><Relationship Id="rId9" Type="http://schemas.openxmlformats.org/officeDocument/2006/relationships/hyperlink" Target="https://expa.aiesec.org/opportunities/1287861" TargetMode="External"/><Relationship Id="rId5" Type="http://schemas.openxmlformats.org/officeDocument/2006/relationships/hyperlink" Target="https://expa.aiesec.org/opportunities/1287864" TargetMode="External"/><Relationship Id="rId6" Type="http://schemas.openxmlformats.org/officeDocument/2006/relationships/hyperlink" Target="https://expa.aiesec.org/opportunities/1278774" TargetMode="External"/><Relationship Id="rId7" Type="http://schemas.openxmlformats.org/officeDocument/2006/relationships/hyperlink" Target="https://expa.aiesec.org/opportunities/1287863" TargetMode="External"/><Relationship Id="rId8" Type="http://schemas.openxmlformats.org/officeDocument/2006/relationships/hyperlink" Target="https://expa.aiesec.org/opportunities/1287861" TargetMode="External"/><Relationship Id="rId190" Type="http://schemas.openxmlformats.org/officeDocument/2006/relationships/hyperlink" Target="https://expa.aiesec.org/opportunities/1291375" TargetMode="External"/><Relationship Id="rId194" Type="http://schemas.openxmlformats.org/officeDocument/2006/relationships/hyperlink" Target="https://expa.aiesec.org/opportunities/1289671" TargetMode="External"/><Relationship Id="rId193" Type="http://schemas.openxmlformats.org/officeDocument/2006/relationships/hyperlink" Target="https://expa.aiesec.org/opportunities/1289671" TargetMode="External"/><Relationship Id="rId192" Type="http://schemas.openxmlformats.org/officeDocument/2006/relationships/hyperlink" Target="https://expa.aiesec.org/opportunities/1287942" TargetMode="External"/><Relationship Id="rId191" Type="http://schemas.openxmlformats.org/officeDocument/2006/relationships/hyperlink" Target="https://expa.aiesec.org/opportunities/1292765" TargetMode="External"/><Relationship Id="rId187" Type="http://schemas.openxmlformats.org/officeDocument/2006/relationships/hyperlink" Target="https://expa.aiesec.org/opportunities/1292545" TargetMode="External"/><Relationship Id="rId186" Type="http://schemas.openxmlformats.org/officeDocument/2006/relationships/hyperlink" Target="https://expa.aiesec.org/opportunities/1293243" TargetMode="External"/><Relationship Id="rId185" Type="http://schemas.openxmlformats.org/officeDocument/2006/relationships/hyperlink" Target="https://expa.aiesec.org/opportunities/1286368" TargetMode="External"/><Relationship Id="rId184" Type="http://schemas.openxmlformats.org/officeDocument/2006/relationships/hyperlink" Target="https://expa.aiesec.org/opportunities/1286368" TargetMode="External"/><Relationship Id="rId189" Type="http://schemas.openxmlformats.org/officeDocument/2006/relationships/hyperlink" Target="https://expa.aiesec.org/opportunities/1293448" TargetMode="External"/><Relationship Id="rId188" Type="http://schemas.openxmlformats.org/officeDocument/2006/relationships/hyperlink" Target="https://expa.aiesec.org/opportunities/1287942" TargetMode="External"/><Relationship Id="rId183" Type="http://schemas.openxmlformats.org/officeDocument/2006/relationships/hyperlink" Target="https://expa.aiesec.org/opportunities/1283288" TargetMode="External"/><Relationship Id="rId182" Type="http://schemas.openxmlformats.org/officeDocument/2006/relationships/hyperlink" Target="https://expa.aiesec.org/opportunities/1281195" TargetMode="External"/><Relationship Id="rId181" Type="http://schemas.openxmlformats.org/officeDocument/2006/relationships/hyperlink" Target="https://expa.aiesec.org/opportunities/1277333" TargetMode="External"/><Relationship Id="rId180" Type="http://schemas.openxmlformats.org/officeDocument/2006/relationships/hyperlink" Target="https://expa.aiesec.org/opportunities/1281195" TargetMode="External"/><Relationship Id="rId176" Type="http://schemas.openxmlformats.org/officeDocument/2006/relationships/hyperlink" Target="https://expa.aiesec.org/opportunities/1292124" TargetMode="External"/><Relationship Id="rId175" Type="http://schemas.openxmlformats.org/officeDocument/2006/relationships/hyperlink" Target="https://expa.aiesec.org/opportunities/1287856" TargetMode="External"/><Relationship Id="rId174" Type="http://schemas.openxmlformats.org/officeDocument/2006/relationships/hyperlink" Target="https://expa.aiesec.org/opportunities/1292473" TargetMode="External"/><Relationship Id="rId173" Type="http://schemas.openxmlformats.org/officeDocument/2006/relationships/hyperlink" Target="https://expa.aiesec.org/opportunities/1283288" TargetMode="External"/><Relationship Id="rId179" Type="http://schemas.openxmlformats.org/officeDocument/2006/relationships/hyperlink" Target="https://expa.aiesec.org/opportunities/1292545" TargetMode="External"/><Relationship Id="rId178" Type="http://schemas.openxmlformats.org/officeDocument/2006/relationships/hyperlink" Target="https://expa.aiesec.org/opportunities/1278298" TargetMode="External"/><Relationship Id="rId177" Type="http://schemas.openxmlformats.org/officeDocument/2006/relationships/hyperlink" Target="https://expa.aiesec.org/opportunities/1281195" TargetMode="External"/><Relationship Id="rId198" Type="http://schemas.openxmlformats.org/officeDocument/2006/relationships/hyperlink" Target="https://expa.aiesec.org/opportunities/1291375" TargetMode="External"/><Relationship Id="rId197" Type="http://schemas.openxmlformats.org/officeDocument/2006/relationships/hyperlink" Target="https://expa.aiesec.org/opportunities/1281195" TargetMode="External"/><Relationship Id="rId196" Type="http://schemas.openxmlformats.org/officeDocument/2006/relationships/hyperlink" Target="https://expa.aiesec.org/opportunities/1289328" TargetMode="External"/><Relationship Id="rId195" Type="http://schemas.openxmlformats.org/officeDocument/2006/relationships/hyperlink" Target="https://expa.aiesec.org/opportunities/1281195" TargetMode="External"/><Relationship Id="rId199" Type="http://schemas.openxmlformats.org/officeDocument/2006/relationships/hyperlink" Target="https://expa.aiesec.org/opportunities/1289686" TargetMode="External"/><Relationship Id="rId150" Type="http://schemas.openxmlformats.org/officeDocument/2006/relationships/hyperlink" Target="https://expa.aiesec.org/opportunities/1291056" TargetMode="External"/><Relationship Id="rId149" Type="http://schemas.openxmlformats.org/officeDocument/2006/relationships/hyperlink" Target="https://expa.aiesec.org/opportunities/1290729" TargetMode="External"/><Relationship Id="rId148" Type="http://schemas.openxmlformats.org/officeDocument/2006/relationships/hyperlink" Target="https://expa.aiesec.org/opportunities/1283288" TargetMode="External"/><Relationship Id="rId143" Type="http://schemas.openxmlformats.org/officeDocument/2006/relationships/hyperlink" Target="https://expa.aiesec.org/opportunities/1283628" TargetMode="External"/><Relationship Id="rId142" Type="http://schemas.openxmlformats.org/officeDocument/2006/relationships/hyperlink" Target="https://expa.aiesec.org/opportunities/1290667" TargetMode="External"/><Relationship Id="rId141" Type="http://schemas.openxmlformats.org/officeDocument/2006/relationships/hyperlink" Target="https://expa.aiesec.org/opportunities/1287702" TargetMode="External"/><Relationship Id="rId140" Type="http://schemas.openxmlformats.org/officeDocument/2006/relationships/hyperlink" Target="https://expa.aiesec.org/opportunities/1278298" TargetMode="External"/><Relationship Id="rId147" Type="http://schemas.openxmlformats.org/officeDocument/2006/relationships/hyperlink" Target="https://expa.aiesec.org/opportunities/1262994" TargetMode="External"/><Relationship Id="rId146" Type="http://schemas.openxmlformats.org/officeDocument/2006/relationships/hyperlink" Target="https://expa.aiesec.org/opportunities/1289122" TargetMode="External"/><Relationship Id="rId145" Type="http://schemas.openxmlformats.org/officeDocument/2006/relationships/hyperlink" Target="https://expa.aiesec.org/opportunities/1289307" TargetMode="External"/><Relationship Id="rId144" Type="http://schemas.openxmlformats.org/officeDocument/2006/relationships/hyperlink" Target="https://expa.aiesec.org/opportunities/1291375" TargetMode="External"/><Relationship Id="rId139" Type="http://schemas.openxmlformats.org/officeDocument/2006/relationships/hyperlink" Target="https://expa.aiesec.org/opportunities/1287702" TargetMode="External"/><Relationship Id="rId138" Type="http://schemas.openxmlformats.org/officeDocument/2006/relationships/hyperlink" Target="https://expa.aiesec.org/opportunities/1288201" TargetMode="External"/><Relationship Id="rId137" Type="http://schemas.openxmlformats.org/officeDocument/2006/relationships/hyperlink" Target="https://expa.aiesec.org/opportunities/1290669" TargetMode="External"/><Relationship Id="rId132" Type="http://schemas.openxmlformats.org/officeDocument/2006/relationships/hyperlink" Target="https://expa.aiesec.org/opportunities/1288951" TargetMode="External"/><Relationship Id="rId131" Type="http://schemas.openxmlformats.org/officeDocument/2006/relationships/hyperlink" Target="https://expa.aiesec.org/opportunities/1281195" TargetMode="External"/><Relationship Id="rId130" Type="http://schemas.openxmlformats.org/officeDocument/2006/relationships/hyperlink" Target="https://expa.aiesec.org/opportunities/1286059" TargetMode="External"/><Relationship Id="rId136" Type="http://schemas.openxmlformats.org/officeDocument/2006/relationships/hyperlink" Target="https://expa.aiesec.org/opportunities/1269991" TargetMode="External"/><Relationship Id="rId135" Type="http://schemas.openxmlformats.org/officeDocument/2006/relationships/hyperlink" Target="https://expa.aiesec.org/opportunities/1289686" TargetMode="External"/><Relationship Id="rId134" Type="http://schemas.openxmlformats.org/officeDocument/2006/relationships/hyperlink" Target="https://expa.aiesec.org/opportunities/1281195" TargetMode="External"/><Relationship Id="rId133" Type="http://schemas.openxmlformats.org/officeDocument/2006/relationships/hyperlink" Target="https://expa.aiesec.org/opportunities/1291046" TargetMode="External"/><Relationship Id="rId172" Type="http://schemas.openxmlformats.org/officeDocument/2006/relationships/hyperlink" Target="https://expa.aiesec.org/opportunities/1291606" TargetMode="External"/><Relationship Id="rId171" Type="http://schemas.openxmlformats.org/officeDocument/2006/relationships/hyperlink" Target="https://expa.aiesec.org/opportunities/1286839" TargetMode="External"/><Relationship Id="rId170" Type="http://schemas.openxmlformats.org/officeDocument/2006/relationships/hyperlink" Target="https://expa.aiesec.org/opportunities/1259891" TargetMode="External"/><Relationship Id="rId165" Type="http://schemas.openxmlformats.org/officeDocument/2006/relationships/hyperlink" Target="https://expa.aiesec.org/opportunities/1281195" TargetMode="External"/><Relationship Id="rId164" Type="http://schemas.openxmlformats.org/officeDocument/2006/relationships/hyperlink" Target="https://expa.aiesec.org/opportunities/1291989" TargetMode="External"/><Relationship Id="rId163" Type="http://schemas.openxmlformats.org/officeDocument/2006/relationships/hyperlink" Target="https://expa.aiesec.org/opportunities/1283288" TargetMode="External"/><Relationship Id="rId162" Type="http://schemas.openxmlformats.org/officeDocument/2006/relationships/hyperlink" Target="https://expa.aiesec.org/opportunities/1291417" TargetMode="External"/><Relationship Id="rId169" Type="http://schemas.openxmlformats.org/officeDocument/2006/relationships/hyperlink" Target="https://expa.aiesec.org/opportunities/1262041" TargetMode="External"/><Relationship Id="rId168" Type="http://schemas.openxmlformats.org/officeDocument/2006/relationships/hyperlink" Target="https://expa.aiesec.org/opportunities/1292317" TargetMode="External"/><Relationship Id="rId167" Type="http://schemas.openxmlformats.org/officeDocument/2006/relationships/hyperlink" Target="https://expa.aiesec.org/opportunities/1286839" TargetMode="External"/><Relationship Id="rId166" Type="http://schemas.openxmlformats.org/officeDocument/2006/relationships/hyperlink" Target="https://expa.aiesec.org/opportunities/1291608" TargetMode="External"/><Relationship Id="rId161" Type="http://schemas.openxmlformats.org/officeDocument/2006/relationships/hyperlink" Target="https://expa.aiesec.org/opportunities/1291083" TargetMode="External"/><Relationship Id="rId160" Type="http://schemas.openxmlformats.org/officeDocument/2006/relationships/hyperlink" Target="https://expa.aiesec.org/opportunities/1285960" TargetMode="External"/><Relationship Id="rId159" Type="http://schemas.openxmlformats.org/officeDocument/2006/relationships/hyperlink" Target="https://expa.aiesec.org/opportunities/1283288" TargetMode="External"/><Relationship Id="rId154" Type="http://schemas.openxmlformats.org/officeDocument/2006/relationships/hyperlink" Target="https://expa.aiesec.org/opportunities/1286368" TargetMode="External"/><Relationship Id="rId153" Type="http://schemas.openxmlformats.org/officeDocument/2006/relationships/hyperlink" Target="https://expa.aiesec.org/opportunities/1289689" TargetMode="External"/><Relationship Id="rId152" Type="http://schemas.openxmlformats.org/officeDocument/2006/relationships/hyperlink" Target="https://expa.aiesec.org/opportunities/1278298" TargetMode="External"/><Relationship Id="rId151" Type="http://schemas.openxmlformats.org/officeDocument/2006/relationships/hyperlink" Target="https://expa.aiesec.org/opportunities/1289689" TargetMode="External"/><Relationship Id="rId158" Type="http://schemas.openxmlformats.org/officeDocument/2006/relationships/hyperlink" Target="https://expa.aiesec.org/opportunities/1291057" TargetMode="External"/><Relationship Id="rId157" Type="http://schemas.openxmlformats.org/officeDocument/2006/relationships/hyperlink" Target="https://expa.aiesec.org/opportunities/1291586" TargetMode="External"/><Relationship Id="rId156" Type="http://schemas.openxmlformats.org/officeDocument/2006/relationships/hyperlink" Target="https://expa.aiesec.org/opportunities/1291482" TargetMode="External"/><Relationship Id="rId155" Type="http://schemas.openxmlformats.org/officeDocument/2006/relationships/hyperlink" Target="https://expa.aiesec.org/opportunities/1277333" TargetMode="External"/><Relationship Id="rId107" Type="http://schemas.openxmlformats.org/officeDocument/2006/relationships/hyperlink" Target="https://expa.aiesec.org/opportunities/1284618" TargetMode="External"/><Relationship Id="rId106" Type="http://schemas.openxmlformats.org/officeDocument/2006/relationships/hyperlink" Target="https://expa.aiesec.org/opportunities/1289307" TargetMode="External"/><Relationship Id="rId105" Type="http://schemas.openxmlformats.org/officeDocument/2006/relationships/hyperlink" Target="https://expa.aiesec.org/opportunities/1264946" TargetMode="External"/><Relationship Id="rId104" Type="http://schemas.openxmlformats.org/officeDocument/2006/relationships/hyperlink" Target="https://expa.aiesec.org/opportunities/1288607" TargetMode="External"/><Relationship Id="rId109" Type="http://schemas.openxmlformats.org/officeDocument/2006/relationships/hyperlink" Target="https://expa.aiesec.org/opportunities/1289444" TargetMode="External"/><Relationship Id="rId108" Type="http://schemas.openxmlformats.org/officeDocument/2006/relationships/hyperlink" Target="https://expa.aiesec.org/opportunities/1287560" TargetMode="External"/><Relationship Id="rId103" Type="http://schemas.openxmlformats.org/officeDocument/2006/relationships/hyperlink" Target="https://expa.aiesec.org/opportunities/1277737" TargetMode="External"/><Relationship Id="rId102" Type="http://schemas.openxmlformats.org/officeDocument/2006/relationships/hyperlink" Target="https://expa.aiesec.org/opportunities/1279327" TargetMode="External"/><Relationship Id="rId101" Type="http://schemas.openxmlformats.org/officeDocument/2006/relationships/hyperlink" Target="https://expa.aiesec.org/opportunities/1290011" TargetMode="External"/><Relationship Id="rId100" Type="http://schemas.openxmlformats.org/officeDocument/2006/relationships/hyperlink" Target="https://expa.aiesec.org/opportunities/1258621" TargetMode="External"/><Relationship Id="rId129" Type="http://schemas.openxmlformats.org/officeDocument/2006/relationships/hyperlink" Target="https://expa.aiesec.org/opportunities/1284447" TargetMode="External"/><Relationship Id="rId128" Type="http://schemas.openxmlformats.org/officeDocument/2006/relationships/hyperlink" Target="https://expa.aiesec.org/opportunities/1277333" TargetMode="External"/><Relationship Id="rId127" Type="http://schemas.openxmlformats.org/officeDocument/2006/relationships/hyperlink" Target="https://expa.aiesec.org/opportunities/1284289" TargetMode="External"/><Relationship Id="rId126" Type="http://schemas.openxmlformats.org/officeDocument/2006/relationships/hyperlink" Target="https://expa.aiesec.org/opportunities/1286368" TargetMode="External"/><Relationship Id="rId121" Type="http://schemas.openxmlformats.org/officeDocument/2006/relationships/hyperlink" Target="https://expa.aiesec.org/opportunities/1286488" TargetMode="External"/><Relationship Id="rId120" Type="http://schemas.openxmlformats.org/officeDocument/2006/relationships/hyperlink" Target="https://expa.aiesec.org/opportunities/1289396" TargetMode="External"/><Relationship Id="rId125" Type="http://schemas.openxmlformats.org/officeDocument/2006/relationships/hyperlink" Target="https://expa.aiesec.org/opportunities/1284452" TargetMode="External"/><Relationship Id="rId124" Type="http://schemas.openxmlformats.org/officeDocument/2006/relationships/hyperlink" Target="https://expa.aiesec.org/opportunities/1262994" TargetMode="External"/><Relationship Id="rId123" Type="http://schemas.openxmlformats.org/officeDocument/2006/relationships/hyperlink" Target="https://expa.aiesec.org/opportunities/1280484" TargetMode="External"/><Relationship Id="rId122" Type="http://schemas.openxmlformats.org/officeDocument/2006/relationships/hyperlink" Target="https://expa.aiesec.org/opportunities/1288953" TargetMode="External"/><Relationship Id="rId118" Type="http://schemas.openxmlformats.org/officeDocument/2006/relationships/hyperlink" Target="https://expa.aiesec.org/opportunities/1289353" TargetMode="External"/><Relationship Id="rId117" Type="http://schemas.openxmlformats.org/officeDocument/2006/relationships/hyperlink" Target="https://expa.aiesec.org/opportunities/1288838" TargetMode="External"/><Relationship Id="rId116" Type="http://schemas.openxmlformats.org/officeDocument/2006/relationships/hyperlink" Target="https://expa.aiesec.org/opportunities/1285077" TargetMode="External"/><Relationship Id="rId115" Type="http://schemas.openxmlformats.org/officeDocument/2006/relationships/hyperlink" Target="https://expa.aiesec.org/opportunities/1289355" TargetMode="External"/><Relationship Id="rId119" Type="http://schemas.openxmlformats.org/officeDocument/2006/relationships/hyperlink" Target="https://expa.aiesec.org/opportunities/1282413" TargetMode="External"/><Relationship Id="rId110" Type="http://schemas.openxmlformats.org/officeDocument/2006/relationships/hyperlink" Target="https://expa.aiesec.org/opportunities/1288837" TargetMode="External"/><Relationship Id="rId114" Type="http://schemas.openxmlformats.org/officeDocument/2006/relationships/hyperlink" Target="https://expa.aiesec.org/opportunities/1277333" TargetMode="External"/><Relationship Id="rId113" Type="http://schemas.openxmlformats.org/officeDocument/2006/relationships/hyperlink" Target="https://expa.aiesec.org/opportunities/1290592" TargetMode="External"/><Relationship Id="rId112" Type="http://schemas.openxmlformats.org/officeDocument/2006/relationships/hyperlink" Target="https://expa.aiesec.org/opportunities/1289485" TargetMode="External"/><Relationship Id="rId111" Type="http://schemas.openxmlformats.org/officeDocument/2006/relationships/hyperlink" Target="https://expa.aiesec.org/opportunities/1289485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86164" TargetMode="External"/><Relationship Id="rId42" Type="http://schemas.openxmlformats.org/officeDocument/2006/relationships/hyperlink" Target="https://expa.aiesec.org/opportunities/1289255" TargetMode="External"/><Relationship Id="rId41" Type="http://schemas.openxmlformats.org/officeDocument/2006/relationships/hyperlink" Target="https://expa.aiesec.org/opportunities/1288813" TargetMode="External"/><Relationship Id="rId44" Type="http://schemas.openxmlformats.org/officeDocument/2006/relationships/hyperlink" Target="https://expa.aiesec.org/opportunities/1287083" TargetMode="External"/><Relationship Id="rId43" Type="http://schemas.openxmlformats.org/officeDocument/2006/relationships/hyperlink" Target="https://expa.aiesec.org/opportunities/1289437" TargetMode="External"/><Relationship Id="rId46" Type="http://schemas.openxmlformats.org/officeDocument/2006/relationships/hyperlink" Target="https://expa.aiesec.org/opportunities/1281105" TargetMode="External"/><Relationship Id="rId45" Type="http://schemas.openxmlformats.org/officeDocument/2006/relationships/hyperlink" Target="https://expa.aiesec.org/opportunities/1277549" TargetMode="External"/><Relationship Id="rId48" Type="http://schemas.openxmlformats.org/officeDocument/2006/relationships/hyperlink" Target="https://expa.aiesec.org/opportunities/1286821" TargetMode="External"/><Relationship Id="rId47" Type="http://schemas.openxmlformats.org/officeDocument/2006/relationships/hyperlink" Target="https://expa.aiesec.org/opportunities/1280310" TargetMode="External"/><Relationship Id="rId49" Type="http://schemas.openxmlformats.org/officeDocument/2006/relationships/hyperlink" Target="https://expa.aiesec.org/opportunities/1279548" TargetMode="External"/><Relationship Id="rId31" Type="http://schemas.openxmlformats.org/officeDocument/2006/relationships/hyperlink" Target="https://expa.aiesec.org/opportunities/1289441" TargetMode="External"/><Relationship Id="rId30" Type="http://schemas.openxmlformats.org/officeDocument/2006/relationships/hyperlink" Target="https://expa.aiesec.org/opportunities/1289423" TargetMode="External"/><Relationship Id="rId33" Type="http://schemas.openxmlformats.org/officeDocument/2006/relationships/hyperlink" Target="https://expa.aiesec.org/opportunities/1288606" TargetMode="External"/><Relationship Id="rId32" Type="http://schemas.openxmlformats.org/officeDocument/2006/relationships/hyperlink" Target="https://expa.aiesec.org/opportunities/1289263" TargetMode="External"/><Relationship Id="rId35" Type="http://schemas.openxmlformats.org/officeDocument/2006/relationships/hyperlink" Target="https://expa.aiesec.org/opportunities/1277549" TargetMode="External"/><Relationship Id="rId34" Type="http://schemas.openxmlformats.org/officeDocument/2006/relationships/hyperlink" Target="https://expa.aiesec.org/opportunities/1289400" TargetMode="External"/><Relationship Id="rId37" Type="http://schemas.openxmlformats.org/officeDocument/2006/relationships/hyperlink" Target="https://expa.aiesec.org/opportunities/1289255" TargetMode="External"/><Relationship Id="rId36" Type="http://schemas.openxmlformats.org/officeDocument/2006/relationships/hyperlink" Target="https://expa.aiesec.org/opportunities/1289424" TargetMode="External"/><Relationship Id="rId39" Type="http://schemas.openxmlformats.org/officeDocument/2006/relationships/hyperlink" Target="https://expa.aiesec.org/opportunities/1285300" TargetMode="External"/><Relationship Id="rId38" Type="http://schemas.openxmlformats.org/officeDocument/2006/relationships/hyperlink" Target="https://expa.aiesec.org/opportunities/1289803" TargetMode="External"/><Relationship Id="rId20" Type="http://schemas.openxmlformats.org/officeDocument/2006/relationships/hyperlink" Target="https://expa.aiesec.org/opportunities/1277443" TargetMode="External"/><Relationship Id="rId22" Type="http://schemas.openxmlformats.org/officeDocument/2006/relationships/hyperlink" Target="https://expa.aiesec.org/opportunities/1288813" TargetMode="External"/><Relationship Id="rId21" Type="http://schemas.openxmlformats.org/officeDocument/2006/relationships/hyperlink" Target="https://expa.aiesec.org/opportunities/1289033" TargetMode="External"/><Relationship Id="rId24" Type="http://schemas.openxmlformats.org/officeDocument/2006/relationships/hyperlink" Target="https://expa.aiesec.org/opportunities/1288813" TargetMode="External"/><Relationship Id="rId23" Type="http://schemas.openxmlformats.org/officeDocument/2006/relationships/hyperlink" Target="https://expa.aiesec.org/opportunities/1286828" TargetMode="External"/><Relationship Id="rId26" Type="http://schemas.openxmlformats.org/officeDocument/2006/relationships/hyperlink" Target="https://expa.aiesec.org/opportunities/1282655" TargetMode="External"/><Relationship Id="rId25" Type="http://schemas.openxmlformats.org/officeDocument/2006/relationships/hyperlink" Target="https://expa.aiesec.org/opportunities/1288813" TargetMode="External"/><Relationship Id="rId28" Type="http://schemas.openxmlformats.org/officeDocument/2006/relationships/hyperlink" Target="https://expa.aiesec.org/opportunities/1288813" TargetMode="External"/><Relationship Id="rId27" Type="http://schemas.openxmlformats.org/officeDocument/2006/relationships/hyperlink" Target="https://expa.aiesec.org/opportunities/1288813" TargetMode="External"/><Relationship Id="rId29" Type="http://schemas.openxmlformats.org/officeDocument/2006/relationships/hyperlink" Target="https://expa.aiesec.org/opportunities/1281106" TargetMode="External"/><Relationship Id="rId11" Type="http://schemas.openxmlformats.org/officeDocument/2006/relationships/hyperlink" Target="https://expa.aiesec.org/opportunities/1288377" TargetMode="External"/><Relationship Id="rId10" Type="http://schemas.openxmlformats.org/officeDocument/2006/relationships/hyperlink" Target="https://expa.aiesec.org/opportunities/1286346" TargetMode="External"/><Relationship Id="rId13" Type="http://schemas.openxmlformats.org/officeDocument/2006/relationships/hyperlink" Target="https://expa.aiesec.org/opportunities/1284992" TargetMode="External"/><Relationship Id="rId12" Type="http://schemas.openxmlformats.org/officeDocument/2006/relationships/hyperlink" Target="https://expa.aiesec.org/opportunities/1287859" TargetMode="External"/><Relationship Id="rId15" Type="http://schemas.openxmlformats.org/officeDocument/2006/relationships/hyperlink" Target="https://expa.aiesec.org/opportunities/1288615" TargetMode="External"/><Relationship Id="rId14" Type="http://schemas.openxmlformats.org/officeDocument/2006/relationships/hyperlink" Target="https://expa.aiesec.org/opportunities/1288548" TargetMode="External"/><Relationship Id="rId17" Type="http://schemas.openxmlformats.org/officeDocument/2006/relationships/hyperlink" Target="https://expa.aiesec.org/opportunities/1288705" TargetMode="External"/><Relationship Id="rId16" Type="http://schemas.openxmlformats.org/officeDocument/2006/relationships/hyperlink" Target="https://expa.aiesec.org/opportunities/1278780" TargetMode="External"/><Relationship Id="rId19" Type="http://schemas.openxmlformats.org/officeDocument/2006/relationships/hyperlink" Target="https://expa.aiesec.org/opportunities/1287490" TargetMode="External"/><Relationship Id="rId18" Type="http://schemas.openxmlformats.org/officeDocument/2006/relationships/hyperlink" Target="https://expa.aiesec.org/opportunities/1279247" TargetMode="External"/><Relationship Id="rId84" Type="http://schemas.openxmlformats.org/officeDocument/2006/relationships/hyperlink" Target="https://expa.aiesec.org/opportunities/1291216" TargetMode="External"/><Relationship Id="rId83" Type="http://schemas.openxmlformats.org/officeDocument/2006/relationships/hyperlink" Target="https://expa.aiesec.org/opportunities/1291209" TargetMode="External"/><Relationship Id="rId86" Type="http://schemas.openxmlformats.org/officeDocument/2006/relationships/hyperlink" Target="https://expa.aiesec.org/opportunities/1286821" TargetMode="External"/><Relationship Id="rId85" Type="http://schemas.openxmlformats.org/officeDocument/2006/relationships/hyperlink" Target="https://expa.aiesec.org/opportunities/1291209" TargetMode="External"/><Relationship Id="rId88" Type="http://schemas.openxmlformats.org/officeDocument/2006/relationships/hyperlink" Target="https://expa.aiesec.org/opportunities/1288813" TargetMode="External"/><Relationship Id="rId87" Type="http://schemas.openxmlformats.org/officeDocument/2006/relationships/hyperlink" Target="https://expa.aiesec.org/opportunities/1291717" TargetMode="External"/><Relationship Id="rId89" Type="http://schemas.openxmlformats.org/officeDocument/2006/relationships/hyperlink" Target="https://expa.aiesec.org/opportunities/1278791" TargetMode="External"/><Relationship Id="rId80" Type="http://schemas.openxmlformats.org/officeDocument/2006/relationships/hyperlink" Target="https://expa.aiesec.org/opportunities/1277549" TargetMode="External"/><Relationship Id="rId82" Type="http://schemas.openxmlformats.org/officeDocument/2006/relationships/hyperlink" Target="https://expa.aiesec.org/opportunities/1289255" TargetMode="External"/><Relationship Id="rId81" Type="http://schemas.openxmlformats.org/officeDocument/2006/relationships/hyperlink" Target="https://expa.aiesec.org/opportunities/1289255" TargetMode="External"/><Relationship Id="rId73" Type="http://schemas.openxmlformats.org/officeDocument/2006/relationships/hyperlink" Target="https://expa.aiesec.org/opportunities/1289255" TargetMode="External"/><Relationship Id="rId72" Type="http://schemas.openxmlformats.org/officeDocument/2006/relationships/hyperlink" Target="https://expa.aiesec.org/opportunities/1288813" TargetMode="External"/><Relationship Id="rId75" Type="http://schemas.openxmlformats.org/officeDocument/2006/relationships/hyperlink" Target="https://expa.aiesec.org/opportunities/1289255" TargetMode="External"/><Relationship Id="rId74" Type="http://schemas.openxmlformats.org/officeDocument/2006/relationships/hyperlink" Target="https://expa.aiesec.org/opportunities/1289255" TargetMode="External"/><Relationship Id="rId77" Type="http://schemas.openxmlformats.org/officeDocument/2006/relationships/hyperlink" Target="https://expa.aiesec.org/opportunities/1289175" TargetMode="External"/><Relationship Id="rId76" Type="http://schemas.openxmlformats.org/officeDocument/2006/relationships/hyperlink" Target="https://expa.aiesec.org/opportunities/1291229" TargetMode="External"/><Relationship Id="rId79" Type="http://schemas.openxmlformats.org/officeDocument/2006/relationships/hyperlink" Target="https://expa.aiesec.org/opportunities/1289255" TargetMode="External"/><Relationship Id="rId78" Type="http://schemas.openxmlformats.org/officeDocument/2006/relationships/hyperlink" Target="https://expa.aiesec.org/opportunities/1287708" TargetMode="External"/><Relationship Id="rId71" Type="http://schemas.openxmlformats.org/officeDocument/2006/relationships/hyperlink" Target="https://expa.aiesec.org/opportunities/1289255" TargetMode="External"/><Relationship Id="rId70" Type="http://schemas.openxmlformats.org/officeDocument/2006/relationships/hyperlink" Target="https://expa.aiesec.org/opportunities/1290876" TargetMode="External"/><Relationship Id="rId62" Type="http://schemas.openxmlformats.org/officeDocument/2006/relationships/hyperlink" Target="https://expa.aiesec.org/opportunities/1285020" TargetMode="External"/><Relationship Id="rId61" Type="http://schemas.openxmlformats.org/officeDocument/2006/relationships/hyperlink" Target="https://expa.aiesec.org/opportunities/1288813" TargetMode="External"/><Relationship Id="rId64" Type="http://schemas.openxmlformats.org/officeDocument/2006/relationships/hyperlink" Target="https://expa.aiesec.org/opportunities/1287708" TargetMode="External"/><Relationship Id="rId63" Type="http://schemas.openxmlformats.org/officeDocument/2006/relationships/hyperlink" Target="https://expa.aiesec.org/opportunities/1286821" TargetMode="External"/><Relationship Id="rId66" Type="http://schemas.openxmlformats.org/officeDocument/2006/relationships/hyperlink" Target="https://expa.aiesec.org/opportunities/1290283" TargetMode="External"/><Relationship Id="rId65" Type="http://schemas.openxmlformats.org/officeDocument/2006/relationships/hyperlink" Target="https://expa.aiesec.org/opportunities/1288973" TargetMode="External"/><Relationship Id="rId68" Type="http://schemas.openxmlformats.org/officeDocument/2006/relationships/hyperlink" Target="https://expa.aiesec.org/opportunities/1289255" TargetMode="External"/><Relationship Id="rId67" Type="http://schemas.openxmlformats.org/officeDocument/2006/relationships/hyperlink" Target="https://expa.aiesec.org/opportunities/1285555" TargetMode="External"/><Relationship Id="rId60" Type="http://schemas.openxmlformats.org/officeDocument/2006/relationships/hyperlink" Target="https://expa.aiesec.org/opportunities/1288431" TargetMode="External"/><Relationship Id="rId69" Type="http://schemas.openxmlformats.org/officeDocument/2006/relationships/hyperlink" Target="https://expa.aiesec.org/opportunities/1281101" TargetMode="External"/><Relationship Id="rId51" Type="http://schemas.openxmlformats.org/officeDocument/2006/relationships/hyperlink" Target="https://expa.aiesec.org/opportunities/1289871" TargetMode="External"/><Relationship Id="rId50" Type="http://schemas.openxmlformats.org/officeDocument/2006/relationships/hyperlink" Target="https://expa.aiesec.org/opportunities/1290469" TargetMode="External"/><Relationship Id="rId53" Type="http://schemas.openxmlformats.org/officeDocument/2006/relationships/hyperlink" Target="https://expa.aiesec.org/opportunities/1290570" TargetMode="External"/><Relationship Id="rId52" Type="http://schemas.openxmlformats.org/officeDocument/2006/relationships/hyperlink" Target="https://expa.aiesec.org/opportunities/1288813" TargetMode="External"/><Relationship Id="rId55" Type="http://schemas.openxmlformats.org/officeDocument/2006/relationships/hyperlink" Target="https://expa.aiesec.org/opportunities/1288708" TargetMode="External"/><Relationship Id="rId54" Type="http://schemas.openxmlformats.org/officeDocument/2006/relationships/hyperlink" Target="https://expa.aiesec.org/opportunities/1279548" TargetMode="External"/><Relationship Id="rId57" Type="http://schemas.openxmlformats.org/officeDocument/2006/relationships/hyperlink" Target="https://expa.aiesec.org/opportunities/1288594" TargetMode="External"/><Relationship Id="rId56" Type="http://schemas.openxmlformats.org/officeDocument/2006/relationships/hyperlink" Target="https://expa.aiesec.org/opportunities/1277549" TargetMode="External"/><Relationship Id="rId59" Type="http://schemas.openxmlformats.org/officeDocument/2006/relationships/hyperlink" Target="https://expa.aiesec.org/opportunities/1262819" TargetMode="External"/><Relationship Id="rId58" Type="http://schemas.openxmlformats.org/officeDocument/2006/relationships/hyperlink" Target="https://expa.aiesec.org/opportunities/1284583" TargetMode="External"/><Relationship Id="rId95" Type="http://schemas.openxmlformats.org/officeDocument/2006/relationships/hyperlink" Target="https://expa.aiesec.org/opportunities/1291873" TargetMode="External"/><Relationship Id="rId94" Type="http://schemas.openxmlformats.org/officeDocument/2006/relationships/hyperlink" Target="https://expa.aiesec.org/opportunities/1289255" TargetMode="External"/><Relationship Id="rId97" Type="http://schemas.openxmlformats.org/officeDocument/2006/relationships/hyperlink" Target="https://expa.aiesec.org/opportunities/1288606" TargetMode="External"/><Relationship Id="rId96" Type="http://schemas.openxmlformats.org/officeDocument/2006/relationships/hyperlink" Target="https://expa.aiesec.org/opportunities/1265080" TargetMode="External"/><Relationship Id="rId99" Type="http://schemas.openxmlformats.org/officeDocument/2006/relationships/hyperlink" Target="https://expa.aiesec.org/opportunities/1289255" TargetMode="External"/><Relationship Id="rId98" Type="http://schemas.openxmlformats.org/officeDocument/2006/relationships/hyperlink" Target="https://expa.aiesec.org/opportunities/1280733" TargetMode="External"/><Relationship Id="rId91" Type="http://schemas.openxmlformats.org/officeDocument/2006/relationships/hyperlink" Target="https://expa.aiesec.org/opportunities/1277892" TargetMode="External"/><Relationship Id="rId90" Type="http://schemas.openxmlformats.org/officeDocument/2006/relationships/hyperlink" Target="https://expa.aiesec.org/opportunities/1289255" TargetMode="External"/><Relationship Id="rId93" Type="http://schemas.openxmlformats.org/officeDocument/2006/relationships/hyperlink" Target="https://expa.aiesec.org/opportunities/1286779" TargetMode="External"/><Relationship Id="rId92" Type="http://schemas.openxmlformats.org/officeDocument/2006/relationships/hyperlink" Target="https://expa.aiesec.org/opportunities/1290931" TargetMode="External"/><Relationship Id="rId305" Type="http://schemas.openxmlformats.org/officeDocument/2006/relationships/hyperlink" Target="https://expa.aiesec.org/opportunities/1289255" TargetMode="External"/><Relationship Id="rId304" Type="http://schemas.openxmlformats.org/officeDocument/2006/relationships/hyperlink" Target="https://expa.aiesec.org/opportunities/1299666" TargetMode="External"/><Relationship Id="rId303" Type="http://schemas.openxmlformats.org/officeDocument/2006/relationships/hyperlink" Target="https://expa.aiesec.org/opportunities/1290876" TargetMode="External"/><Relationship Id="rId302" Type="http://schemas.openxmlformats.org/officeDocument/2006/relationships/hyperlink" Target="https://expa.aiesec.org/opportunities/1286122" TargetMode="External"/><Relationship Id="rId309" Type="http://schemas.openxmlformats.org/officeDocument/2006/relationships/hyperlink" Target="https://expa.aiesec.org/opportunities/1289255" TargetMode="External"/><Relationship Id="rId308" Type="http://schemas.openxmlformats.org/officeDocument/2006/relationships/hyperlink" Target="https://expa.aiesec.org/opportunities/1289255" TargetMode="External"/><Relationship Id="rId307" Type="http://schemas.openxmlformats.org/officeDocument/2006/relationships/hyperlink" Target="https://expa.aiesec.org/opportunities/1265080" TargetMode="External"/><Relationship Id="rId306" Type="http://schemas.openxmlformats.org/officeDocument/2006/relationships/hyperlink" Target="https://expa.aiesec.org/opportunities/1289255" TargetMode="External"/><Relationship Id="rId301" Type="http://schemas.openxmlformats.org/officeDocument/2006/relationships/hyperlink" Target="https://expa.aiesec.org/opportunities/1302026" TargetMode="External"/><Relationship Id="rId300" Type="http://schemas.openxmlformats.org/officeDocument/2006/relationships/hyperlink" Target="https://expa.aiesec.org/opportunities/1300854" TargetMode="External"/><Relationship Id="rId316" Type="http://schemas.openxmlformats.org/officeDocument/2006/relationships/hyperlink" Target="https://expa.aiesec.org/opportunities/1289255" TargetMode="External"/><Relationship Id="rId315" Type="http://schemas.openxmlformats.org/officeDocument/2006/relationships/hyperlink" Target="https://expa.aiesec.org/opportunities/1289255" TargetMode="External"/><Relationship Id="rId314" Type="http://schemas.openxmlformats.org/officeDocument/2006/relationships/hyperlink" Target="https://expa.aiesec.org/opportunities/1296424" TargetMode="External"/><Relationship Id="rId313" Type="http://schemas.openxmlformats.org/officeDocument/2006/relationships/hyperlink" Target="https://expa.aiesec.org/opportunities/1296424" TargetMode="External"/><Relationship Id="rId319" Type="http://schemas.openxmlformats.org/officeDocument/2006/relationships/drawing" Target="../drawings/drawing13.xml"/><Relationship Id="rId318" Type="http://schemas.openxmlformats.org/officeDocument/2006/relationships/hyperlink" Target="https://expa.aiesec.org/opportunities/1299666" TargetMode="External"/><Relationship Id="rId317" Type="http://schemas.openxmlformats.org/officeDocument/2006/relationships/hyperlink" Target="https://expa.aiesec.org/opportunities/1289255" TargetMode="External"/><Relationship Id="rId312" Type="http://schemas.openxmlformats.org/officeDocument/2006/relationships/hyperlink" Target="https://expa.aiesec.org/opportunities/1289255" TargetMode="External"/><Relationship Id="rId311" Type="http://schemas.openxmlformats.org/officeDocument/2006/relationships/hyperlink" Target="https://expa.aiesec.org/opportunities/1302165" TargetMode="External"/><Relationship Id="rId310" Type="http://schemas.openxmlformats.org/officeDocument/2006/relationships/hyperlink" Target="https://expa.aiesec.org/opportunities/1289255" TargetMode="External"/><Relationship Id="rId297" Type="http://schemas.openxmlformats.org/officeDocument/2006/relationships/hyperlink" Target="https://expa.aiesec.org/opportunities/1301140" TargetMode="External"/><Relationship Id="rId296" Type="http://schemas.openxmlformats.org/officeDocument/2006/relationships/hyperlink" Target="https://expa.aiesec.org/opportunities/1301515" TargetMode="External"/><Relationship Id="rId295" Type="http://schemas.openxmlformats.org/officeDocument/2006/relationships/hyperlink" Target="https://expa.aiesec.org/opportunities/1265080" TargetMode="External"/><Relationship Id="rId294" Type="http://schemas.openxmlformats.org/officeDocument/2006/relationships/hyperlink" Target="https://expa.aiesec.org/opportunities/1298885" TargetMode="External"/><Relationship Id="rId299" Type="http://schemas.openxmlformats.org/officeDocument/2006/relationships/hyperlink" Target="https://expa.aiesec.org/opportunities/1292878" TargetMode="External"/><Relationship Id="rId298" Type="http://schemas.openxmlformats.org/officeDocument/2006/relationships/hyperlink" Target="https://expa.aiesec.org/opportunities/1299952" TargetMode="External"/><Relationship Id="rId271" Type="http://schemas.openxmlformats.org/officeDocument/2006/relationships/hyperlink" Target="https://expa.aiesec.org/opportunities/1289378" TargetMode="External"/><Relationship Id="rId270" Type="http://schemas.openxmlformats.org/officeDocument/2006/relationships/hyperlink" Target="https://expa.aiesec.org/opportunities/1299633" TargetMode="External"/><Relationship Id="rId269" Type="http://schemas.openxmlformats.org/officeDocument/2006/relationships/hyperlink" Target="https://expa.aiesec.org/opportunities/1289377" TargetMode="External"/><Relationship Id="rId264" Type="http://schemas.openxmlformats.org/officeDocument/2006/relationships/hyperlink" Target="https://expa.aiesec.org/opportunities/1299666" TargetMode="External"/><Relationship Id="rId263" Type="http://schemas.openxmlformats.org/officeDocument/2006/relationships/hyperlink" Target="https://expa.aiesec.org/opportunities/1294332" TargetMode="External"/><Relationship Id="rId262" Type="http://schemas.openxmlformats.org/officeDocument/2006/relationships/hyperlink" Target="https://expa.aiesec.org/opportunities/1291783" TargetMode="External"/><Relationship Id="rId261" Type="http://schemas.openxmlformats.org/officeDocument/2006/relationships/hyperlink" Target="https://expa.aiesec.org/opportunities/1299622" TargetMode="External"/><Relationship Id="rId268" Type="http://schemas.openxmlformats.org/officeDocument/2006/relationships/hyperlink" Target="https://expa.aiesec.org/opportunities/1287708" TargetMode="External"/><Relationship Id="rId267" Type="http://schemas.openxmlformats.org/officeDocument/2006/relationships/hyperlink" Target="https://expa.aiesec.org/opportunities/1297055" TargetMode="External"/><Relationship Id="rId266" Type="http://schemas.openxmlformats.org/officeDocument/2006/relationships/hyperlink" Target="https://expa.aiesec.org/opportunities/1298285" TargetMode="External"/><Relationship Id="rId265" Type="http://schemas.openxmlformats.org/officeDocument/2006/relationships/hyperlink" Target="https://expa.aiesec.org/opportunities/1299666" TargetMode="External"/><Relationship Id="rId260" Type="http://schemas.openxmlformats.org/officeDocument/2006/relationships/hyperlink" Target="https://expa.aiesec.org/opportunities/1289378" TargetMode="External"/><Relationship Id="rId259" Type="http://schemas.openxmlformats.org/officeDocument/2006/relationships/hyperlink" Target="https://expa.aiesec.org/opportunities/1280733" TargetMode="External"/><Relationship Id="rId258" Type="http://schemas.openxmlformats.org/officeDocument/2006/relationships/hyperlink" Target="https://expa.aiesec.org/opportunities/1286122" TargetMode="External"/><Relationship Id="rId253" Type="http://schemas.openxmlformats.org/officeDocument/2006/relationships/hyperlink" Target="https://expa.aiesec.org/opportunities/1294332" TargetMode="External"/><Relationship Id="rId252" Type="http://schemas.openxmlformats.org/officeDocument/2006/relationships/hyperlink" Target="https://expa.aiesec.org/opportunities/1292878" TargetMode="External"/><Relationship Id="rId251" Type="http://schemas.openxmlformats.org/officeDocument/2006/relationships/hyperlink" Target="https://expa.aiesec.org/opportunities/1289378" TargetMode="External"/><Relationship Id="rId250" Type="http://schemas.openxmlformats.org/officeDocument/2006/relationships/hyperlink" Target="https://expa.aiesec.org/opportunities/1294332" TargetMode="External"/><Relationship Id="rId257" Type="http://schemas.openxmlformats.org/officeDocument/2006/relationships/hyperlink" Target="https://expa.aiesec.org/opportunities/1286122" TargetMode="External"/><Relationship Id="rId256" Type="http://schemas.openxmlformats.org/officeDocument/2006/relationships/hyperlink" Target="https://expa.aiesec.org/opportunities/1289255" TargetMode="External"/><Relationship Id="rId255" Type="http://schemas.openxmlformats.org/officeDocument/2006/relationships/hyperlink" Target="https://expa.aiesec.org/opportunities/1286122" TargetMode="External"/><Relationship Id="rId254" Type="http://schemas.openxmlformats.org/officeDocument/2006/relationships/hyperlink" Target="https://expa.aiesec.org/opportunities/1294332" TargetMode="External"/><Relationship Id="rId293" Type="http://schemas.openxmlformats.org/officeDocument/2006/relationships/hyperlink" Target="https://expa.aiesec.org/opportunities/1301141" TargetMode="External"/><Relationship Id="rId292" Type="http://schemas.openxmlformats.org/officeDocument/2006/relationships/hyperlink" Target="https://expa.aiesec.org/opportunities/1292878" TargetMode="External"/><Relationship Id="rId291" Type="http://schemas.openxmlformats.org/officeDocument/2006/relationships/hyperlink" Target="https://expa.aiesec.org/opportunities/1296304" TargetMode="External"/><Relationship Id="rId290" Type="http://schemas.openxmlformats.org/officeDocument/2006/relationships/hyperlink" Target="https://expa.aiesec.org/opportunities/1291964" TargetMode="External"/><Relationship Id="rId286" Type="http://schemas.openxmlformats.org/officeDocument/2006/relationships/hyperlink" Target="https://expa.aiesec.org/opportunities/1301470" TargetMode="External"/><Relationship Id="rId285" Type="http://schemas.openxmlformats.org/officeDocument/2006/relationships/hyperlink" Target="https://expa.aiesec.org/opportunities/1289255" TargetMode="External"/><Relationship Id="rId284" Type="http://schemas.openxmlformats.org/officeDocument/2006/relationships/hyperlink" Target="https://expa.aiesec.org/opportunities/1297055" TargetMode="External"/><Relationship Id="rId283" Type="http://schemas.openxmlformats.org/officeDocument/2006/relationships/hyperlink" Target="https://expa.aiesec.org/opportunities/1294332" TargetMode="External"/><Relationship Id="rId289" Type="http://schemas.openxmlformats.org/officeDocument/2006/relationships/hyperlink" Target="https://expa.aiesec.org/opportunities/1296457" TargetMode="External"/><Relationship Id="rId288" Type="http://schemas.openxmlformats.org/officeDocument/2006/relationships/hyperlink" Target="https://expa.aiesec.org/opportunities/1288373" TargetMode="External"/><Relationship Id="rId287" Type="http://schemas.openxmlformats.org/officeDocument/2006/relationships/hyperlink" Target="https://expa.aiesec.org/opportunities/1299666" TargetMode="External"/><Relationship Id="rId282" Type="http://schemas.openxmlformats.org/officeDocument/2006/relationships/hyperlink" Target="https://expa.aiesec.org/opportunities/1299419" TargetMode="External"/><Relationship Id="rId281" Type="http://schemas.openxmlformats.org/officeDocument/2006/relationships/hyperlink" Target="https://expa.aiesec.org/opportunities/1289255" TargetMode="External"/><Relationship Id="rId280" Type="http://schemas.openxmlformats.org/officeDocument/2006/relationships/hyperlink" Target="https://expa.aiesec.org/opportunities/1299665" TargetMode="External"/><Relationship Id="rId275" Type="http://schemas.openxmlformats.org/officeDocument/2006/relationships/hyperlink" Target="https://expa.aiesec.org/opportunities/1294332" TargetMode="External"/><Relationship Id="rId274" Type="http://schemas.openxmlformats.org/officeDocument/2006/relationships/hyperlink" Target="https://expa.aiesec.org/opportunities/1295253" TargetMode="External"/><Relationship Id="rId273" Type="http://schemas.openxmlformats.org/officeDocument/2006/relationships/hyperlink" Target="https://expa.aiesec.org/opportunities/1300060" TargetMode="External"/><Relationship Id="rId272" Type="http://schemas.openxmlformats.org/officeDocument/2006/relationships/hyperlink" Target="https://expa.aiesec.org/opportunities/1299666" TargetMode="External"/><Relationship Id="rId279" Type="http://schemas.openxmlformats.org/officeDocument/2006/relationships/hyperlink" Target="https://expa.aiesec.org/opportunities/1299995" TargetMode="External"/><Relationship Id="rId278" Type="http://schemas.openxmlformats.org/officeDocument/2006/relationships/hyperlink" Target="https://expa.aiesec.org/opportunities/1287708" TargetMode="External"/><Relationship Id="rId277" Type="http://schemas.openxmlformats.org/officeDocument/2006/relationships/hyperlink" Target="https://expa.aiesec.org/opportunities/1289255" TargetMode="External"/><Relationship Id="rId276" Type="http://schemas.openxmlformats.org/officeDocument/2006/relationships/hyperlink" Target="https://expa.aiesec.org/opportunities/1299665" TargetMode="External"/><Relationship Id="rId228" Type="http://schemas.openxmlformats.org/officeDocument/2006/relationships/hyperlink" Target="https://expa.aiesec.org/opportunities/1297080" TargetMode="External"/><Relationship Id="rId227" Type="http://schemas.openxmlformats.org/officeDocument/2006/relationships/hyperlink" Target="https://expa.aiesec.org/opportunities/1296387" TargetMode="External"/><Relationship Id="rId226" Type="http://schemas.openxmlformats.org/officeDocument/2006/relationships/hyperlink" Target="https://expa.aiesec.org/opportunities/1289174" TargetMode="External"/><Relationship Id="rId225" Type="http://schemas.openxmlformats.org/officeDocument/2006/relationships/hyperlink" Target="https://expa.aiesec.org/opportunities/1289032" TargetMode="External"/><Relationship Id="rId229" Type="http://schemas.openxmlformats.org/officeDocument/2006/relationships/hyperlink" Target="https://expa.aiesec.org/opportunities/1294332" TargetMode="External"/><Relationship Id="rId220" Type="http://schemas.openxmlformats.org/officeDocument/2006/relationships/hyperlink" Target="https://expa.aiesec.org/opportunities/1296317" TargetMode="External"/><Relationship Id="rId224" Type="http://schemas.openxmlformats.org/officeDocument/2006/relationships/hyperlink" Target="https://expa.aiesec.org/opportunities/1297133" TargetMode="External"/><Relationship Id="rId223" Type="http://schemas.openxmlformats.org/officeDocument/2006/relationships/hyperlink" Target="https://expa.aiesec.org/opportunities/1294332" TargetMode="External"/><Relationship Id="rId222" Type="http://schemas.openxmlformats.org/officeDocument/2006/relationships/hyperlink" Target="https://expa.aiesec.org/opportunities/1294332" TargetMode="External"/><Relationship Id="rId221" Type="http://schemas.openxmlformats.org/officeDocument/2006/relationships/hyperlink" Target="https://expa.aiesec.org/opportunities/1296427" TargetMode="External"/><Relationship Id="rId217" Type="http://schemas.openxmlformats.org/officeDocument/2006/relationships/hyperlink" Target="https://expa.aiesec.org/opportunities/1287908" TargetMode="External"/><Relationship Id="rId216" Type="http://schemas.openxmlformats.org/officeDocument/2006/relationships/hyperlink" Target="https://expa.aiesec.org/opportunities/1294332" TargetMode="External"/><Relationship Id="rId215" Type="http://schemas.openxmlformats.org/officeDocument/2006/relationships/hyperlink" Target="https://expa.aiesec.org/opportunities/1294332" TargetMode="External"/><Relationship Id="rId214" Type="http://schemas.openxmlformats.org/officeDocument/2006/relationships/hyperlink" Target="https://expa.aiesec.org/opportunities/1294332" TargetMode="External"/><Relationship Id="rId219" Type="http://schemas.openxmlformats.org/officeDocument/2006/relationships/hyperlink" Target="https://expa.aiesec.org/opportunities/1296477" TargetMode="External"/><Relationship Id="rId218" Type="http://schemas.openxmlformats.org/officeDocument/2006/relationships/hyperlink" Target="https://expa.aiesec.org/opportunities/1296419" TargetMode="External"/><Relationship Id="rId213" Type="http://schemas.openxmlformats.org/officeDocument/2006/relationships/hyperlink" Target="https://expa.aiesec.org/opportunities/1297126" TargetMode="External"/><Relationship Id="rId212" Type="http://schemas.openxmlformats.org/officeDocument/2006/relationships/hyperlink" Target="https://expa.aiesec.org/opportunities/1289255" TargetMode="External"/><Relationship Id="rId211" Type="http://schemas.openxmlformats.org/officeDocument/2006/relationships/hyperlink" Target="https://expa.aiesec.org/opportunities/1290469" TargetMode="External"/><Relationship Id="rId210" Type="http://schemas.openxmlformats.org/officeDocument/2006/relationships/hyperlink" Target="https://expa.aiesec.org/opportunities/1295795" TargetMode="External"/><Relationship Id="rId249" Type="http://schemas.openxmlformats.org/officeDocument/2006/relationships/hyperlink" Target="https://expa.aiesec.org/opportunities/1297661" TargetMode="External"/><Relationship Id="rId248" Type="http://schemas.openxmlformats.org/officeDocument/2006/relationships/hyperlink" Target="https://expa.aiesec.org/opportunities/1280733" TargetMode="External"/><Relationship Id="rId247" Type="http://schemas.openxmlformats.org/officeDocument/2006/relationships/hyperlink" Target="https://expa.aiesec.org/opportunities/1298730" TargetMode="External"/><Relationship Id="rId242" Type="http://schemas.openxmlformats.org/officeDocument/2006/relationships/hyperlink" Target="https://expa.aiesec.org/opportunities/1294332" TargetMode="External"/><Relationship Id="rId241" Type="http://schemas.openxmlformats.org/officeDocument/2006/relationships/hyperlink" Target="https://expa.aiesec.org/opportunities/1288101" TargetMode="External"/><Relationship Id="rId240" Type="http://schemas.openxmlformats.org/officeDocument/2006/relationships/hyperlink" Target="https://expa.aiesec.org/opportunities/1290469" TargetMode="External"/><Relationship Id="rId246" Type="http://schemas.openxmlformats.org/officeDocument/2006/relationships/hyperlink" Target="https://expa.aiesec.org/opportunities/1294332" TargetMode="External"/><Relationship Id="rId245" Type="http://schemas.openxmlformats.org/officeDocument/2006/relationships/hyperlink" Target="https://expa.aiesec.org/opportunities/1291783" TargetMode="External"/><Relationship Id="rId244" Type="http://schemas.openxmlformats.org/officeDocument/2006/relationships/hyperlink" Target="https://expa.aiesec.org/opportunities/1294332" TargetMode="External"/><Relationship Id="rId243" Type="http://schemas.openxmlformats.org/officeDocument/2006/relationships/hyperlink" Target="https://expa.aiesec.org/opportunities/1297080" TargetMode="External"/><Relationship Id="rId239" Type="http://schemas.openxmlformats.org/officeDocument/2006/relationships/hyperlink" Target="https://expa.aiesec.org/opportunities/1289378" TargetMode="External"/><Relationship Id="rId238" Type="http://schemas.openxmlformats.org/officeDocument/2006/relationships/hyperlink" Target="https://expa.aiesec.org/opportunities/1289255" TargetMode="External"/><Relationship Id="rId237" Type="http://schemas.openxmlformats.org/officeDocument/2006/relationships/hyperlink" Target="https://expa.aiesec.org/opportunities/1297603" TargetMode="External"/><Relationship Id="rId236" Type="http://schemas.openxmlformats.org/officeDocument/2006/relationships/hyperlink" Target="https://expa.aiesec.org/opportunities/1288377" TargetMode="External"/><Relationship Id="rId231" Type="http://schemas.openxmlformats.org/officeDocument/2006/relationships/hyperlink" Target="https://expa.aiesec.org/opportunities/1285555" TargetMode="External"/><Relationship Id="rId230" Type="http://schemas.openxmlformats.org/officeDocument/2006/relationships/hyperlink" Target="https://expa.aiesec.org/opportunities/1292683" TargetMode="External"/><Relationship Id="rId235" Type="http://schemas.openxmlformats.org/officeDocument/2006/relationships/hyperlink" Target="https://expa.aiesec.org/opportunities/1280733" TargetMode="External"/><Relationship Id="rId234" Type="http://schemas.openxmlformats.org/officeDocument/2006/relationships/hyperlink" Target="https://expa.aiesec.org/opportunities/1289255" TargetMode="External"/><Relationship Id="rId233" Type="http://schemas.openxmlformats.org/officeDocument/2006/relationships/hyperlink" Target="https://expa.aiesec.org/opportunities/1297414" TargetMode="External"/><Relationship Id="rId232" Type="http://schemas.openxmlformats.org/officeDocument/2006/relationships/hyperlink" Target="https://expa.aiesec.org/opportunities/1296424" TargetMode="External"/><Relationship Id="rId206" Type="http://schemas.openxmlformats.org/officeDocument/2006/relationships/hyperlink" Target="https://expa.aiesec.org/opportunities/1289872" TargetMode="External"/><Relationship Id="rId205" Type="http://schemas.openxmlformats.org/officeDocument/2006/relationships/hyperlink" Target="https://expa.aiesec.org/opportunities/1294332" TargetMode="External"/><Relationship Id="rId204" Type="http://schemas.openxmlformats.org/officeDocument/2006/relationships/hyperlink" Target="https://expa.aiesec.org/opportunities/1295382" TargetMode="External"/><Relationship Id="rId203" Type="http://schemas.openxmlformats.org/officeDocument/2006/relationships/hyperlink" Target="https://expa.aiesec.org/opportunities/1292103" TargetMode="External"/><Relationship Id="rId209" Type="http://schemas.openxmlformats.org/officeDocument/2006/relationships/hyperlink" Target="https://expa.aiesec.org/opportunities/1287708" TargetMode="External"/><Relationship Id="rId208" Type="http://schemas.openxmlformats.org/officeDocument/2006/relationships/hyperlink" Target="https://expa.aiesec.org/opportunities/1289255" TargetMode="External"/><Relationship Id="rId207" Type="http://schemas.openxmlformats.org/officeDocument/2006/relationships/hyperlink" Target="https://expa.aiesec.org/opportunities/1296477" TargetMode="External"/><Relationship Id="rId202" Type="http://schemas.openxmlformats.org/officeDocument/2006/relationships/hyperlink" Target="https://expa.aiesec.org/opportunities/1294586" TargetMode="External"/><Relationship Id="rId201" Type="http://schemas.openxmlformats.org/officeDocument/2006/relationships/hyperlink" Target="https://expa.aiesec.org/opportunities/1289378" TargetMode="External"/><Relationship Id="rId200" Type="http://schemas.openxmlformats.org/officeDocument/2006/relationships/hyperlink" Target="https://expa.aiesec.org/opportunities/1294174" TargetMode="External"/><Relationship Id="rId1" Type="http://schemas.openxmlformats.org/officeDocument/2006/relationships/hyperlink" Target="https://expa.aiesec.org/opportunities/1287327" TargetMode="External"/><Relationship Id="rId2" Type="http://schemas.openxmlformats.org/officeDocument/2006/relationships/hyperlink" Target="https://expa.aiesec.org/opportunities/1286822" TargetMode="External"/><Relationship Id="rId3" Type="http://schemas.openxmlformats.org/officeDocument/2006/relationships/hyperlink" Target="https://expa.aiesec.org/opportunities/1274157" TargetMode="External"/><Relationship Id="rId4" Type="http://schemas.openxmlformats.org/officeDocument/2006/relationships/hyperlink" Target="https://expa.aiesec.org/opportunities/1288431" TargetMode="External"/><Relationship Id="rId9" Type="http://schemas.openxmlformats.org/officeDocument/2006/relationships/hyperlink" Target="https://expa.aiesec.org/opportunities/1288101" TargetMode="External"/><Relationship Id="rId5" Type="http://schemas.openxmlformats.org/officeDocument/2006/relationships/hyperlink" Target="https://expa.aiesec.org/opportunities/1288378" TargetMode="External"/><Relationship Id="rId6" Type="http://schemas.openxmlformats.org/officeDocument/2006/relationships/hyperlink" Target="https://expa.aiesec.org/opportunities/1268611" TargetMode="External"/><Relationship Id="rId7" Type="http://schemas.openxmlformats.org/officeDocument/2006/relationships/hyperlink" Target="https://expa.aiesec.org/opportunities/1268611" TargetMode="External"/><Relationship Id="rId8" Type="http://schemas.openxmlformats.org/officeDocument/2006/relationships/hyperlink" Target="https://expa.aiesec.org/opportunities/1287943" TargetMode="External"/><Relationship Id="rId190" Type="http://schemas.openxmlformats.org/officeDocument/2006/relationships/hyperlink" Target="https://expa.aiesec.org/opportunities/1296080" TargetMode="External"/><Relationship Id="rId194" Type="http://schemas.openxmlformats.org/officeDocument/2006/relationships/hyperlink" Target="https://expa.aiesec.org/opportunities/1294332" TargetMode="External"/><Relationship Id="rId193" Type="http://schemas.openxmlformats.org/officeDocument/2006/relationships/hyperlink" Target="https://expa.aiesec.org/opportunities/1296081" TargetMode="External"/><Relationship Id="rId192" Type="http://schemas.openxmlformats.org/officeDocument/2006/relationships/hyperlink" Target="https://expa.aiesec.org/opportunities/1289255" TargetMode="External"/><Relationship Id="rId191" Type="http://schemas.openxmlformats.org/officeDocument/2006/relationships/hyperlink" Target="https://expa.aiesec.org/opportunities/1289255" TargetMode="External"/><Relationship Id="rId187" Type="http://schemas.openxmlformats.org/officeDocument/2006/relationships/hyperlink" Target="https://expa.aiesec.org/opportunities/1295434" TargetMode="External"/><Relationship Id="rId186" Type="http://schemas.openxmlformats.org/officeDocument/2006/relationships/hyperlink" Target="https://expa.aiesec.org/opportunities/1285555" TargetMode="External"/><Relationship Id="rId185" Type="http://schemas.openxmlformats.org/officeDocument/2006/relationships/hyperlink" Target="https://expa.aiesec.org/opportunities/1294332" TargetMode="External"/><Relationship Id="rId184" Type="http://schemas.openxmlformats.org/officeDocument/2006/relationships/hyperlink" Target="https://expa.aiesec.org/opportunities/1280733" TargetMode="External"/><Relationship Id="rId189" Type="http://schemas.openxmlformats.org/officeDocument/2006/relationships/hyperlink" Target="https://expa.aiesec.org/opportunities/1285555" TargetMode="External"/><Relationship Id="rId188" Type="http://schemas.openxmlformats.org/officeDocument/2006/relationships/hyperlink" Target="https://expa.aiesec.org/opportunities/1286369" TargetMode="External"/><Relationship Id="rId183" Type="http://schemas.openxmlformats.org/officeDocument/2006/relationships/hyperlink" Target="https://expa.aiesec.org/opportunities/1287708" TargetMode="External"/><Relationship Id="rId182" Type="http://schemas.openxmlformats.org/officeDocument/2006/relationships/hyperlink" Target="https://expa.aiesec.org/opportunities/1294334" TargetMode="External"/><Relationship Id="rId181" Type="http://schemas.openxmlformats.org/officeDocument/2006/relationships/hyperlink" Target="https://expa.aiesec.org/opportunities/1295406" TargetMode="External"/><Relationship Id="rId180" Type="http://schemas.openxmlformats.org/officeDocument/2006/relationships/hyperlink" Target="https://expa.aiesec.org/opportunities/1293541" TargetMode="External"/><Relationship Id="rId176" Type="http://schemas.openxmlformats.org/officeDocument/2006/relationships/hyperlink" Target="https://expa.aiesec.org/opportunities/1294332" TargetMode="External"/><Relationship Id="rId175" Type="http://schemas.openxmlformats.org/officeDocument/2006/relationships/hyperlink" Target="https://expa.aiesec.org/opportunities/1292149" TargetMode="External"/><Relationship Id="rId174" Type="http://schemas.openxmlformats.org/officeDocument/2006/relationships/hyperlink" Target="https://expa.aiesec.org/opportunities/1294656" TargetMode="External"/><Relationship Id="rId173" Type="http://schemas.openxmlformats.org/officeDocument/2006/relationships/hyperlink" Target="https://expa.aiesec.org/opportunities/1288159" TargetMode="External"/><Relationship Id="rId179" Type="http://schemas.openxmlformats.org/officeDocument/2006/relationships/hyperlink" Target="https://expa.aiesec.org/opportunities/1290924" TargetMode="External"/><Relationship Id="rId178" Type="http://schemas.openxmlformats.org/officeDocument/2006/relationships/hyperlink" Target="https://expa.aiesec.org/opportunities/1289308" TargetMode="External"/><Relationship Id="rId177" Type="http://schemas.openxmlformats.org/officeDocument/2006/relationships/hyperlink" Target="https://expa.aiesec.org/opportunities/1294097" TargetMode="External"/><Relationship Id="rId198" Type="http://schemas.openxmlformats.org/officeDocument/2006/relationships/hyperlink" Target="https://expa.aiesec.org/opportunities/1296477" TargetMode="External"/><Relationship Id="rId197" Type="http://schemas.openxmlformats.org/officeDocument/2006/relationships/hyperlink" Target="https://expa.aiesec.org/opportunities/1288377" TargetMode="External"/><Relationship Id="rId196" Type="http://schemas.openxmlformats.org/officeDocument/2006/relationships/hyperlink" Target="https://expa.aiesec.org/opportunities/1296477" TargetMode="External"/><Relationship Id="rId195" Type="http://schemas.openxmlformats.org/officeDocument/2006/relationships/hyperlink" Target="https://expa.aiesec.org/opportunities/1285555" TargetMode="External"/><Relationship Id="rId199" Type="http://schemas.openxmlformats.org/officeDocument/2006/relationships/hyperlink" Target="https://expa.aiesec.org/opportunities/1294332" TargetMode="External"/><Relationship Id="rId150" Type="http://schemas.openxmlformats.org/officeDocument/2006/relationships/hyperlink" Target="https://expa.aiesec.org/opportunities/1291473" TargetMode="External"/><Relationship Id="rId149" Type="http://schemas.openxmlformats.org/officeDocument/2006/relationships/hyperlink" Target="https://expa.aiesec.org/opportunities/1291783" TargetMode="External"/><Relationship Id="rId148" Type="http://schemas.openxmlformats.org/officeDocument/2006/relationships/hyperlink" Target="https://expa.aiesec.org/opportunities/1291671" TargetMode="External"/><Relationship Id="rId143" Type="http://schemas.openxmlformats.org/officeDocument/2006/relationships/hyperlink" Target="https://expa.aiesec.org/opportunities/1292002" TargetMode="External"/><Relationship Id="rId142" Type="http://schemas.openxmlformats.org/officeDocument/2006/relationships/hyperlink" Target="https://expa.aiesec.org/opportunities/1293133" TargetMode="External"/><Relationship Id="rId141" Type="http://schemas.openxmlformats.org/officeDocument/2006/relationships/hyperlink" Target="https://expa.aiesec.org/opportunities/1292533" TargetMode="External"/><Relationship Id="rId140" Type="http://schemas.openxmlformats.org/officeDocument/2006/relationships/hyperlink" Target="https://expa.aiesec.org/opportunities/1288813" TargetMode="External"/><Relationship Id="rId147" Type="http://schemas.openxmlformats.org/officeDocument/2006/relationships/hyperlink" Target="https://expa.aiesec.org/opportunities/1293165" TargetMode="External"/><Relationship Id="rId146" Type="http://schemas.openxmlformats.org/officeDocument/2006/relationships/hyperlink" Target="https://expa.aiesec.org/opportunities/1286122" TargetMode="External"/><Relationship Id="rId145" Type="http://schemas.openxmlformats.org/officeDocument/2006/relationships/hyperlink" Target="https://expa.aiesec.org/opportunities/1289255" TargetMode="External"/><Relationship Id="rId144" Type="http://schemas.openxmlformats.org/officeDocument/2006/relationships/hyperlink" Target="https://expa.aiesec.org/opportunities/1284869" TargetMode="External"/><Relationship Id="rId139" Type="http://schemas.openxmlformats.org/officeDocument/2006/relationships/hyperlink" Target="https://expa.aiesec.org/opportunities/1291648" TargetMode="External"/><Relationship Id="rId138" Type="http://schemas.openxmlformats.org/officeDocument/2006/relationships/hyperlink" Target="https://expa.aiesec.org/opportunities/1290469" TargetMode="External"/><Relationship Id="rId137" Type="http://schemas.openxmlformats.org/officeDocument/2006/relationships/hyperlink" Target="https://expa.aiesec.org/opportunities/1281414" TargetMode="External"/><Relationship Id="rId132" Type="http://schemas.openxmlformats.org/officeDocument/2006/relationships/hyperlink" Target="https://expa.aiesec.org/opportunities/1289255" TargetMode="External"/><Relationship Id="rId131" Type="http://schemas.openxmlformats.org/officeDocument/2006/relationships/hyperlink" Target="https://expa.aiesec.org/opportunities/1285010" TargetMode="External"/><Relationship Id="rId130" Type="http://schemas.openxmlformats.org/officeDocument/2006/relationships/hyperlink" Target="https://expa.aiesec.org/opportunities/1285555" TargetMode="External"/><Relationship Id="rId136" Type="http://schemas.openxmlformats.org/officeDocument/2006/relationships/hyperlink" Target="https://expa.aiesec.org/opportunities/1293168" TargetMode="External"/><Relationship Id="rId135" Type="http://schemas.openxmlformats.org/officeDocument/2006/relationships/hyperlink" Target="https://expa.aiesec.org/opportunities/1289255" TargetMode="External"/><Relationship Id="rId134" Type="http://schemas.openxmlformats.org/officeDocument/2006/relationships/hyperlink" Target="https://expa.aiesec.org/opportunities/1289255" TargetMode="External"/><Relationship Id="rId133" Type="http://schemas.openxmlformats.org/officeDocument/2006/relationships/hyperlink" Target="https://expa.aiesec.org/opportunities/1287708" TargetMode="External"/><Relationship Id="rId172" Type="http://schemas.openxmlformats.org/officeDocument/2006/relationships/hyperlink" Target="https://expa.aiesec.org/opportunities/1286821" TargetMode="External"/><Relationship Id="rId171" Type="http://schemas.openxmlformats.org/officeDocument/2006/relationships/hyperlink" Target="https://expa.aiesec.org/opportunities/1294332" TargetMode="External"/><Relationship Id="rId170" Type="http://schemas.openxmlformats.org/officeDocument/2006/relationships/hyperlink" Target="https://expa.aiesec.org/opportunities/1292683" TargetMode="External"/><Relationship Id="rId165" Type="http://schemas.openxmlformats.org/officeDocument/2006/relationships/hyperlink" Target="https://expa.aiesec.org/opportunities/1293134" TargetMode="External"/><Relationship Id="rId164" Type="http://schemas.openxmlformats.org/officeDocument/2006/relationships/hyperlink" Target="https://expa.aiesec.org/opportunities/1283873" TargetMode="External"/><Relationship Id="rId163" Type="http://schemas.openxmlformats.org/officeDocument/2006/relationships/hyperlink" Target="https://expa.aiesec.org/opportunities/1294332" TargetMode="External"/><Relationship Id="rId162" Type="http://schemas.openxmlformats.org/officeDocument/2006/relationships/hyperlink" Target="https://expa.aiesec.org/opportunities/1294332" TargetMode="External"/><Relationship Id="rId169" Type="http://schemas.openxmlformats.org/officeDocument/2006/relationships/hyperlink" Target="https://expa.aiesec.org/opportunities/1294332" TargetMode="External"/><Relationship Id="rId168" Type="http://schemas.openxmlformats.org/officeDocument/2006/relationships/hyperlink" Target="https://expa.aiesec.org/opportunities/1285555" TargetMode="External"/><Relationship Id="rId167" Type="http://schemas.openxmlformats.org/officeDocument/2006/relationships/hyperlink" Target="https://expa.aiesec.org/opportunities/1294332" TargetMode="External"/><Relationship Id="rId166" Type="http://schemas.openxmlformats.org/officeDocument/2006/relationships/hyperlink" Target="https://expa.aiesec.org/opportunities/1289255" TargetMode="External"/><Relationship Id="rId161" Type="http://schemas.openxmlformats.org/officeDocument/2006/relationships/hyperlink" Target="https://expa.aiesec.org/opportunities/1294011" TargetMode="External"/><Relationship Id="rId160" Type="http://schemas.openxmlformats.org/officeDocument/2006/relationships/hyperlink" Target="https://expa.aiesec.org/opportunities/1294332" TargetMode="External"/><Relationship Id="rId159" Type="http://schemas.openxmlformats.org/officeDocument/2006/relationships/hyperlink" Target="https://expa.aiesec.org/opportunities/1294332" TargetMode="External"/><Relationship Id="rId154" Type="http://schemas.openxmlformats.org/officeDocument/2006/relationships/hyperlink" Target="https://expa.aiesec.org/opportunities/1288909" TargetMode="External"/><Relationship Id="rId153" Type="http://schemas.openxmlformats.org/officeDocument/2006/relationships/hyperlink" Target="https://expa.aiesec.org/opportunities/1292717" TargetMode="External"/><Relationship Id="rId152" Type="http://schemas.openxmlformats.org/officeDocument/2006/relationships/hyperlink" Target="https://expa.aiesec.org/opportunities/1285555" TargetMode="External"/><Relationship Id="rId151" Type="http://schemas.openxmlformats.org/officeDocument/2006/relationships/hyperlink" Target="https://expa.aiesec.org/opportunities/1294332" TargetMode="External"/><Relationship Id="rId158" Type="http://schemas.openxmlformats.org/officeDocument/2006/relationships/hyperlink" Target="https://expa.aiesec.org/opportunities/1286505" TargetMode="External"/><Relationship Id="rId157" Type="http://schemas.openxmlformats.org/officeDocument/2006/relationships/hyperlink" Target="https://expa.aiesec.org/opportunities/1293541" TargetMode="External"/><Relationship Id="rId156" Type="http://schemas.openxmlformats.org/officeDocument/2006/relationships/hyperlink" Target="https://expa.aiesec.org/opportunities/1278791" TargetMode="External"/><Relationship Id="rId155" Type="http://schemas.openxmlformats.org/officeDocument/2006/relationships/hyperlink" Target="https://expa.aiesec.org/opportunities/1289378" TargetMode="External"/><Relationship Id="rId107" Type="http://schemas.openxmlformats.org/officeDocument/2006/relationships/hyperlink" Target="https://expa.aiesec.org/opportunities/1291964" TargetMode="External"/><Relationship Id="rId106" Type="http://schemas.openxmlformats.org/officeDocument/2006/relationships/hyperlink" Target="https://expa.aiesec.org/opportunities/1288548" TargetMode="External"/><Relationship Id="rId105" Type="http://schemas.openxmlformats.org/officeDocument/2006/relationships/hyperlink" Target="https://expa.aiesec.org/opportunities/1289255" TargetMode="External"/><Relationship Id="rId104" Type="http://schemas.openxmlformats.org/officeDocument/2006/relationships/hyperlink" Target="https://expa.aiesec.org/opportunities/1279670" TargetMode="External"/><Relationship Id="rId109" Type="http://schemas.openxmlformats.org/officeDocument/2006/relationships/hyperlink" Target="https://expa.aiesec.org/opportunities/1291783" TargetMode="External"/><Relationship Id="rId108" Type="http://schemas.openxmlformats.org/officeDocument/2006/relationships/hyperlink" Target="https://expa.aiesec.org/opportunities/1290469" TargetMode="External"/><Relationship Id="rId103" Type="http://schemas.openxmlformats.org/officeDocument/2006/relationships/hyperlink" Target="https://expa.aiesec.org/opportunities/1289378" TargetMode="External"/><Relationship Id="rId102" Type="http://schemas.openxmlformats.org/officeDocument/2006/relationships/hyperlink" Target="https://expa.aiesec.org/opportunities/1292149" TargetMode="External"/><Relationship Id="rId101" Type="http://schemas.openxmlformats.org/officeDocument/2006/relationships/hyperlink" Target="https://expa.aiesec.org/opportunities/1287083" TargetMode="External"/><Relationship Id="rId100" Type="http://schemas.openxmlformats.org/officeDocument/2006/relationships/hyperlink" Target="https://expa.aiesec.org/opportunities/1290924" TargetMode="External"/><Relationship Id="rId129" Type="http://schemas.openxmlformats.org/officeDocument/2006/relationships/hyperlink" Target="https://expa.aiesec.org/opportunities/1292678" TargetMode="External"/><Relationship Id="rId128" Type="http://schemas.openxmlformats.org/officeDocument/2006/relationships/hyperlink" Target="https://expa.aiesec.org/opportunities/1292878" TargetMode="External"/><Relationship Id="rId127" Type="http://schemas.openxmlformats.org/officeDocument/2006/relationships/hyperlink" Target="https://expa.aiesec.org/opportunities/1288813" TargetMode="External"/><Relationship Id="rId126" Type="http://schemas.openxmlformats.org/officeDocument/2006/relationships/hyperlink" Target="https://expa.aiesec.org/opportunities/1292878" TargetMode="External"/><Relationship Id="rId121" Type="http://schemas.openxmlformats.org/officeDocument/2006/relationships/hyperlink" Target="https://expa.aiesec.org/opportunities/1280733" TargetMode="External"/><Relationship Id="rId120" Type="http://schemas.openxmlformats.org/officeDocument/2006/relationships/hyperlink" Target="https://expa.aiesec.org/opportunities/1292412" TargetMode="External"/><Relationship Id="rId125" Type="http://schemas.openxmlformats.org/officeDocument/2006/relationships/hyperlink" Target="https://expa.aiesec.org/opportunities/1292878" TargetMode="External"/><Relationship Id="rId124" Type="http://schemas.openxmlformats.org/officeDocument/2006/relationships/hyperlink" Target="https://expa.aiesec.org/opportunities/1289255" TargetMode="External"/><Relationship Id="rId123" Type="http://schemas.openxmlformats.org/officeDocument/2006/relationships/hyperlink" Target="https://expa.aiesec.org/opportunities/1287255" TargetMode="External"/><Relationship Id="rId122" Type="http://schemas.openxmlformats.org/officeDocument/2006/relationships/hyperlink" Target="https://expa.aiesec.org/opportunities/1279548" TargetMode="External"/><Relationship Id="rId118" Type="http://schemas.openxmlformats.org/officeDocument/2006/relationships/hyperlink" Target="https://expa.aiesec.org/opportunities/1288813" TargetMode="External"/><Relationship Id="rId117" Type="http://schemas.openxmlformats.org/officeDocument/2006/relationships/hyperlink" Target="https://expa.aiesec.org/opportunities/1291370" TargetMode="External"/><Relationship Id="rId116" Type="http://schemas.openxmlformats.org/officeDocument/2006/relationships/hyperlink" Target="https://expa.aiesec.org/opportunities/1292361" TargetMode="External"/><Relationship Id="rId115" Type="http://schemas.openxmlformats.org/officeDocument/2006/relationships/hyperlink" Target="https://expa.aiesec.org/opportunities/1288813" TargetMode="External"/><Relationship Id="rId119" Type="http://schemas.openxmlformats.org/officeDocument/2006/relationships/hyperlink" Target="https://expa.aiesec.org/opportunities/1288377" TargetMode="External"/><Relationship Id="rId110" Type="http://schemas.openxmlformats.org/officeDocument/2006/relationships/hyperlink" Target="https://expa.aiesec.org/opportunities/1284501" TargetMode="External"/><Relationship Id="rId114" Type="http://schemas.openxmlformats.org/officeDocument/2006/relationships/hyperlink" Target="https://expa.aiesec.org/opportunities/1288813" TargetMode="External"/><Relationship Id="rId113" Type="http://schemas.openxmlformats.org/officeDocument/2006/relationships/hyperlink" Target="https://expa.aiesec.org/opportunities/1291663" TargetMode="External"/><Relationship Id="rId112" Type="http://schemas.openxmlformats.org/officeDocument/2006/relationships/hyperlink" Target="https://expa.aiesec.org/opportunities/1289255" TargetMode="External"/><Relationship Id="rId111" Type="http://schemas.openxmlformats.org/officeDocument/2006/relationships/hyperlink" Target="https://expa.aiesec.org/opportunities/1292058" TargetMode="External"/></Relationships>
</file>

<file path=xl/worksheets/_rels/sheet14.xml.rels><?xml version="1.0" encoding="UTF-8" standalone="yes"?><Relationships xmlns="http://schemas.openxmlformats.org/package/2006/relationships"><Relationship Id="rId392" Type="http://schemas.openxmlformats.org/officeDocument/2006/relationships/hyperlink" Target="https://expa.aiesec.org/opportunities/1292829" TargetMode="External"/><Relationship Id="rId391" Type="http://schemas.openxmlformats.org/officeDocument/2006/relationships/hyperlink" Target="https://expa.aiesec.org/opportunities/1293125" TargetMode="External"/><Relationship Id="rId390" Type="http://schemas.openxmlformats.org/officeDocument/2006/relationships/hyperlink" Target="https://expa.aiesec.org/opportunities/1293298" TargetMode="External"/><Relationship Id="rId385" Type="http://schemas.openxmlformats.org/officeDocument/2006/relationships/hyperlink" Target="https://expa.aiesec.org/opportunities/1291824" TargetMode="External"/><Relationship Id="rId384" Type="http://schemas.openxmlformats.org/officeDocument/2006/relationships/hyperlink" Target="https://expa.aiesec.org/opportunities/1290806" TargetMode="External"/><Relationship Id="rId383" Type="http://schemas.openxmlformats.org/officeDocument/2006/relationships/hyperlink" Target="https://expa.aiesec.org/opportunities/1291751" TargetMode="External"/><Relationship Id="rId382" Type="http://schemas.openxmlformats.org/officeDocument/2006/relationships/hyperlink" Target="https://expa.aiesec.org/opportunities/1291167" TargetMode="External"/><Relationship Id="rId389" Type="http://schemas.openxmlformats.org/officeDocument/2006/relationships/hyperlink" Target="https://expa.aiesec.org/opportunities/1293021" TargetMode="External"/><Relationship Id="rId388" Type="http://schemas.openxmlformats.org/officeDocument/2006/relationships/hyperlink" Target="https://expa.aiesec.org/opportunities/1292549" TargetMode="External"/><Relationship Id="rId387" Type="http://schemas.openxmlformats.org/officeDocument/2006/relationships/hyperlink" Target="https://expa.aiesec.org/opportunities/1289695" TargetMode="External"/><Relationship Id="rId386" Type="http://schemas.openxmlformats.org/officeDocument/2006/relationships/hyperlink" Target="https://expa.aiesec.org/opportunities/1286585" TargetMode="External"/><Relationship Id="rId381" Type="http://schemas.openxmlformats.org/officeDocument/2006/relationships/hyperlink" Target="https://expa.aiesec.org/opportunities/1292844" TargetMode="External"/><Relationship Id="rId380" Type="http://schemas.openxmlformats.org/officeDocument/2006/relationships/hyperlink" Target="https://expa.aiesec.org/opportunities/1281900" TargetMode="External"/><Relationship Id="rId379" Type="http://schemas.openxmlformats.org/officeDocument/2006/relationships/hyperlink" Target="https://expa.aiesec.org/opportunities/1292706" TargetMode="External"/><Relationship Id="rId374" Type="http://schemas.openxmlformats.org/officeDocument/2006/relationships/hyperlink" Target="https://expa.aiesec.org/opportunities/1290282" TargetMode="External"/><Relationship Id="rId373" Type="http://schemas.openxmlformats.org/officeDocument/2006/relationships/hyperlink" Target="https://expa.aiesec.org/opportunities/1290282" TargetMode="External"/><Relationship Id="rId372" Type="http://schemas.openxmlformats.org/officeDocument/2006/relationships/hyperlink" Target="https://expa.aiesec.org/opportunities/1284312" TargetMode="External"/><Relationship Id="rId371" Type="http://schemas.openxmlformats.org/officeDocument/2006/relationships/hyperlink" Target="https://expa.aiesec.org/opportunities/1284312" TargetMode="External"/><Relationship Id="rId378" Type="http://schemas.openxmlformats.org/officeDocument/2006/relationships/hyperlink" Target="https://expa.aiesec.org/opportunities/1292571" TargetMode="External"/><Relationship Id="rId377" Type="http://schemas.openxmlformats.org/officeDocument/2006/relationships/hyperlink" Target="https://expa.aiesec.org/opportunities/1284312" TargetMode="External"/><Relationship Id="rId376" Type="http://schemas.openxmlformats.org/officeDocument/2006/relationships/hyperlink" Target="https://expa.aiesec.org/opportunities/1288843" TargetMode="External"/><Relationship Id="rId375" Type="http://schemas.openxmlformats.org/officeDocument/2006/relationships/hyperlink" Target="https://expa.aiesec.org/opportunities/1292844" TargetMode="External"/><Relationship Id="rId396" Type="http://schemas.openxmlformats.org/officeDocument/2006/relationships/hyperlink" Target="https://expa.aiesec.org/opportunities/1289895" TargetMode="External"/><Relationship Id="rId395" Type="http://schemas.openxmlformats.org/officeDocument/2006/relationships/hyperlink" Target="https://expa.aiesec.org/opportunities/1292824" TargetMode="External"/><Relationship Id="rId394" Type="http://schemas.openxmlformats.org/officeDocument/2006/relationships/hyperlink" Target="https://expa.aiesec.org/opportunities/1292976" TargetMode="External"/><Relationship Id="rId393" Type="http://schemas.openxmlformats.org/officeDocument/2006/relationships/hyperlink" Target="https://expa.aiesec.org/opportunities/1292976" TargetMode="External"/><Relationship Id="rId399" Type="http://schemas.openxmlformats.org/officeDocument/2006/relationships/hyperlink" Target="https://expa.aiesec.org/opportunities/1289763" TargetMode="External"/><Relationship Id="rId398" Type="http://schemas.openxmlformats.org/officeDocument/2006/relationships/hyperlink" Target="https://expa.aiesec.org/opportunities/1281235" TargetMode="External"/><Relationship Id="rId397" Type="http://schemas.openxmlformats.org/officeDocument/2006/relationships/hyperlink" Target="https://expa.aiesec.org/opportunities/1292835" TargetMode="External"/><Relationship Id="rId40" Type="http://schemas.openxmlformats.org/officeDocument/2006/relationships/hyperlink" Target="https://expa.aiesec.org/opportunities/1287315" TargetMode="External"/><Relationship Id="rId42" Type="http://schemas.openxmlformats.org/officeDocument/2006/relationships/hyperlink" Target="https://expa.aiesec.org/opportunities/1286113" TargetMode="External"/><Relationship Id="rId41" Type="http://schemas.openxmlformats.org/officeDocument/2006/relationships/hyperlink" Target="https://expa.aiesec.org/opportunities/1287316" TargetMode="External"/><Relationship Id="rId44" Type="http://schemas.openxmlformats.org/officeDocument/2006/relationships/hyperlink" Target="https://expa.aiesec.org/opportunities/1287316" TargetMode="External"/><Relationship Id="rId43" Type="http://schemas.openxmlformats.org/officeDocument/2006/relationships/hyperlink" Target="https://expa.aiesec.org/opportunities/1283828" TargetMode="External"/><Relationship Id="rId46" Type="http://schemas.openxmlformats.org/officeDocument/2006/relationships/hyperlink" Target="https://expa.aiesec.org/opportunities/1286585" TargetMode="External"/><Relationship Id="rId45" Type="http://schemas.openxmlformats.org/officeDocument/2006/relationships/hyperlink" Target="https://expa.aiesec.org/opportunities/1288283" TargetMode="External"/><Relationship Id="rId48" Type="http://schemas.openxmlformats.org/officeDocument/2006/relationships/hyperlink" Target="https://expa.aiesec.org/opportunities/1287824" TargetMode="External"/><Relationship Id="rId47" Type="http://schemas.openxmlformats.org/officeDocument/2006/relationships/hyperlink" Target="https://expa.aiesec.org/opportunities/1287712" TargetMode="External"/><Relationship Id="rId49" Type="http://schemas.openxmlformats.org/officeDocument/2006/relationships/hyperlink" Target="https://expa.aiesec.org/opportunities/1285138" TargetMode="External"/><Relationship Id="rId31" Type="http://schemas.openxmlformats.org/officeDocument/2006/relationships/hyperlink" Target="https://expa.aiesec.org/opportunities/1281061" TargetMode="External"/><Relationship Id="rId30" Type="http://schemas.openxmlformats.org/officeDocument/2006/relationships/hyperlink" Target="https://expa.aiesec.org/opportunities/1287536" TargetMode="External"/><Relationship Id="rId33" Type="http://schemas.openxmlformats.org/officeDocument/2006/relationships/hyperlink" Target="https://expa.aiesec.org/opportunities/1280953" TargetMode="External"/><Relationship Id="rId32" Type="http://schemas.openxmlformats.org/officeDocument/2006/relationships/hyperlink" Target="https://expa.aiesec.org/opportunities/1287248" TargetMode="External"/><Relationship Id="rId35" Type="http://schemas.openxmlformats.org/officeDocument/2006/relationships/hyperlink" Target="https://expa.aiesec.org/opportunities/1287623" TargetMode="External"/><Relationship Id="rId34" Type="http://schemas.openxmlformats.org/officeDocument/2006/relationships/hyperlink" Target="https://expa.aiesec.org/opportunities/1267071" TargetMode="External"/><Relationship Id="rId37" Type="http://schemas.openxmlformats.org/officeDocument/2006/relationships/hyperlink" Target="https://expa.aiesec.org/opportunities/1282161" TargetMode="External"/><Relationship Id="rId36" Type="http://schemas.openxmlformats.org/officeDocument/2006/relationships/hyperlink" Target="https://expa.aiesec.org/opportunities/1281061" TargetMode="External"/><Relationship Id="rId39" Type="http://schemas.openxmlformats.org/officeDocument/2006/relationships/hyperlink" Target="https://expa.aiesec.org/opportunities/1286810" TargetMode="External"/><Relationship Id="rId38" Type="http://schemas.openxmlformats.org/officeDocument/2006/relationships/hyperlink" Target="https://expa.aiesec.org/opportunities/1287091" TargetMode="External"/><Relationship Id="rId20" Type="http://schemas.openxmlformats.org/officeDocument/2006/relationships/hyperlink" Target="https://expa.aiesec.org/opportunities/1287161" TargetMode="External"/><Relationship Id="rId22" Type="http://schemas.openxmlformats.org/officeDocument/2006/relationships/hyperlink" Target="https://expa.aiesec.org/opportunities/1286378" TargetMode="External"/><Relationship Id="rId21" Type="http://schemas.openxmlformats.org/officeDocument/2006/relationships/hyperlink" Target="https://expa.aiesec.org/opportunities/1286911" TargetMode="External"/><Relationship Id="rId24" Type="http://schemas.openxmlformats.org/officeDocument/2006/relationships/hyperlink" Target="https://expa.aiesec.org/opportunities/1288226" TargetMode="External"/><Relationship Id="rId23" Type="http://schemas.openxmlformats.org/officeDocument/2006/relationships/hyperlink" Target="https://expa.aiesec.org/opportunities/1288226" TargetMode="External"/><Relationship Id="rId26" Type="http://schemas.openxmlformats.org/officeDocument/2006/relationships/hyperlink" Target="https://expa.aiesec.org/opportunities/1287940" TargetMode="External"/><Relationship Id="rId25" Type="http://schemas.openxmlformats.org/officeDocument/2006/relationships/hyperlink" Target="https://expa.aiesec.org/opportunities/1286716" TargetMode="External"/><Relationship Id="rId28" Type="http://schemas.openxmlformats.org/officeDocument/2006/relationships/hyperlink" Target="https://expa.aiesec.org/opportunities/1281061" TargetMode="External"/><Relationship Id="rId27" Type="http://schemas.openxmlformats.org/officeDocument/2006/relationships/hyperlink" Target="https://expa.aiesec.org/opportunities/1267071" TargetMode="External"/><Relationship Id="rId29" Type="http://schemas.openxmlformats.org/officeDocument/2006/relationships/hyperlink" Target="https://expa.aiesec.org/opportunities/1287247" TargetMode="External"/><Relationship Id="rId11" Type="http://schemas.openxmlformats.org/officeDocument/2006/relationships/hyperlink" Target="https://expa.aiesec.org/opportunities/1287459" TargetMode="External"/><Relationship Id="rId10" Type="http://schemas.openxmlformats.org/officeDocument/2006/relationships/hyperlink" Target="https://expa.aiesec.org/opportunities/1288149" TargetMode="External"/><Relationship Id="rId13" Type="http://schemas.openxmlformats.org/officeDocument/2006/relationships/hyperlink" Target="https://expa.aiesec.org/opportunities/1284485" TargetMode="External"/><Relationship Id="rId12" Type="http://schemas.openxmlformats.org/officeDocument/2006/relationships/hyperlink" Target="https://expa.aiesec.org/opportunities/1284485" TargetMode="External"/><Relationship Id="rId15" Type="http://schemas.openxmlformats.org/officeDocument/2006/relationships/hyperlink" Target="https://expa.aiesec.org/opportunities/1281236" TargetMode="External"/><Relationship Id="rId14" Type="http://schemas.openxmlformats.org/officeDocument/2006/relationships/hyperlink" Target="https://expa.aiesec.org/opportunities/1284485" TargetMode="External"/><Relationship Id="rId17" Type="http://schemas.openxmlformats.org/officeDocument/2006/relationships/hyperlink" Target="https://expa.aiesec.org/opportunities/1281231" TargetMode="External"/><Relationship Id="rId16" Type="http://schemas.openxmlformats.org/officeDocument/2006/relationships/hyperlink" Target="https://expa.aiesec.org/opportunities/1287459" TargetMode="External"/><Relationship Id="rId19" Type="http://schemas.openxmlformats.org/officeDocument/2006/relationships/hyperlink" Target="https://expa.aiesec.org/opportunities/1287852" TargetMode="External"/><Relationship Id="rId18" Type="http://schemas.openxmlformats.org/officeDocument/2006/relationships/hyperlink" Target="https://expa.aiesec.org/opportunities/1281231" TargetMode="External"/><Relationship Id="rId84" Type="http://schemas.openxmlformats.org/officeDocument/2006/relationships/hyperlink" Target="https://expa.aiesec.org/opportunities/1288419" TargetMode="External"/><Relationship Id="rId83" Type="http://schemas.openxmlformats.org/officeDocument/2006/relationships/hyperlink" Target="https://expa.aiesec.org/opportunities/1289564" TargetMode="External"/><Relationship Id="rId86" Type="http://schemas.openxmlformats.org/officeDocument/2006/relationships/hyperlink" Target="https://expa.aiesec.org/opportunities/1289711" TargetMode="External"/><Relationship Id="rId85" Type="http://schemas.openxmlformats.org/officeDocument/2006/relationships/hyperlink" Target="https://expa.aiesec.org/opportunities/1288770" TargetMode="External"/><Relationship Id="rId88" Type="http://schemas.openxmlformats.org/officeDocument/2006/relationships/hyperlink" Target="https://expa.aiesec.org/opportunities/1289950" TargetMode="External"/><Relationship Id="rId87" Type="http://schemas.openxmlformats.org/officeDocument/2006/relationships/hyperlink" Target="https://expa.aiesec.org/opportunities/1288411" TargetMode="External"/><Relationship Id="rId89" Type="http://schemas.openxmlformats.org/officeDocument/2006/relationships/hyperlink" Target="https://expa.aiesec.org/opportunities/1289487" TargetMode="External"/><Relationship Id="rId80" Type="http://schemas.openxmlformats.org/officeDocument/2006/relationships/hyperlink" Target="https://expa.aiesec.org/opportunities/1287243" TargetMode="External"/><Relationship Id="rId82" Type="http://schemas.openxmlformats.org/officeDocument/2006/relationships/hyperlink" Target="https://expa.aiesec.org/opportunities/1289564" TargetMode="External"/><Relationship Id="rId81" Type="http://schemas.openxmlformats.org/officeDocument/2006/relationships/hyperlink" Target="https://expa.aiesec.org/opportunities/1289206" TargetMode="External"/><Relationship Id="rId73" Type="http://schemas.openxmlformats.org/officeDocument/2006/relationships/hyperlink" Target="https://expa.aiesec.org/opportunities/1287477" TargetMode="External"/><Relationship Id="rId72" Type="http://schemas.openxmlformats.org/officeDocument/2006/relationships/hyperlink" Target="https://expa.aiesec.org/opportunities/1289281" TargetMode="External"/><Relationship Id="rId75" Type="http://schemas.openxmlformats.org/officeDocument/2006/relationships/hyperlink" Target="https://expa.aiesec.org/opportunities/1289752" TargetMode="External"/><Relationship Id="rId74" Type="http://schemas.openxmlformats.org/officeDocument/2006/relationships/hyperlink" Target="https://expa.aiesec.org/opportunities/1289367" TargetMode="External"/><Relationship Id="rId77" Type="http://schemas.openxmlformats.org/officeDocument/2006/relationships/hyperlink" Target="https://expa.aiesec.org/opportunities/1288840" TargetMode="External"/><Relationship Id="rId76" Type="http://schemas.openxmlformats.org/officeDocument/2006/relationships/hyperlink" Target="https://expa.aiesec.org/opportunities/1287990" TargetMode="External"/><Relationship Id="rId79" Type="http://schemas.openxmlformats.org/officeDocument/2006/relationships/hyperlink" Target="https://expa.aiesec.org/opportunities/1287243" TargetMode="External"/><Relationship Id="rId78" Type="http://schemas.openxmlformats.org/officeDocument/2006/relationships/hyperlink" Target="https://expa.aiesec.org/opportunities/1289281" TargetMode="External"/><Relationship Id="rId71" Type="http://schemas.openxmlformats.org/officeDocument/2006/relationships/hyperlink" Target="https://expa.aiesec.org/opportunities/1282150" TargetMode="External"/><Relationship Id="rId70" Type="http://schemas.openxmlformats.org/officeDocument/2006/relationships/hyperlink" Target="https://expa.aiesec.org/opportunities/1288798" TargetMode="External"/><Relationship Id="rId62" Type="http://schemas.openxmlformats.org/officeDocument/2006/relationships/hyperlink" Target="https://expa.aiesec.org/opportunities/1284489" TargetMode="External"/><Relationship Id="rId61" Type="http://schemas.openxmlformats.org/officeDocument/2006/relationships/hyperlink" Target="https://expa.aiesec.org/opportunities/1289076" TargetMode="External"/><Relationship Id="rId64" Type="http://schemas.openxmlformats.org/officeDocument/2006/relationships/hyperlink" Target="https://expa.aiesec.org/opportunities/1287247" TargetMode="External"/><Relationship Id="rId63" Type="http://schemas.openxmlformats.org/officeDocument/2006/relationships/hyperlink" Target="https://expa.aiesec.org/opportunities/1282161" TargetMode="External"/><Relationship Id="rId66" Type="http://schemas.openxmlformats.org/officeDocument/2006/relationships/hyperlink" Target="https://expa.aiesec.org/opportunities/1282747" TargetMode="External"/><Relationship Id="rId65" Type="http://schemas.openxmlformats.org/officeDocument/2006/relationships/hyperlink" Target="https://expa.aiesec.org/opportunities/1287722" TargetMode="External"/><Relationship Id="rId68" Type="http://schemas.openxmlformats.org/officeDocument/2006/relationships/hyperlink" Target="https://expa.aiesec.org/opportunities/1284312" TargetMode="External"/><Relationship Id="rId67" Type="http://schemas.openxmlformats.org/officeDocument/2006/relationships/hyperlink" Target="https://expa.aiesec.org/opportunities/1288414" TargetMode="External"/><Relationship Id="rId60" Type="http://schemas.openxmlformats.org/officeDocument/2006/relationships/hyperlink" Target="https://expa.aiesec.org/opportunities/1289076" TargetMode="External"/><Relationship Id="rId69" Type="http://schemas.openxmlformats.org/officeDocument/2006/relationships/hyperlink" Target="https://expa.aiesec.org/opportunities/1288745" TargetMode="External"/><Relationship Id="rId51" Type="http://schemas.openxmlformats.org/officeDocument/2006/relationships/hyperlink" Target="https://expa.aiesec.org/opportunities/1289076" TargetMode="External"/><Relationship Id="rId50" Type="http://schemas.openxmlformats.org/officeDocument/2006/relationships/hyperlink" Target="https://expa.aiesec.org/opportunities/1287712" TargetMode="External"/><Relationship Id="rId53" Type="http://schemas.openxmlformats.org/officeDocument/2006/relationships/hyperlink" Target="https://expa.aiesec.org/opportunities/1287509" TargetMode="External"/><Relationship Id="rId52" Type="http://schemas.openxmlformats.org/officeDocument/2006/relationships/hyperlink" Target="https://expa.aiesec.org/opportunities/1282247" TargetMode="External"/><Relationship Id="rId55" Type="http://schemas.openxmlformats.org/officeDocument/2006/relationships/hyperlink" Target="https://expa.aiesec.org/opportunities/1289076" TargetMode="External"/><Relationship Id="rId54" Type="http://schemas.openxmlformats.org/officeDocument/2006/relationships/hyperlink" Target="https://expa.aiesec.org/opportunities/1281895" TargetMode="External"/><Relationship Id="rId57" Type="http://schemas.openxmlformats.org/officeDocument/2006/relationships/hyperlink" Target="https://expa.aiesec.org/opportunities/1284312" TargetMode="External"/><Relationship Id="rId56" Type="http://schemas.openxmlformats.org/officeDocument/2006/relationships/hyperlink" Target="https://expa.aiesec.org/opportunities/1284312" TargetMode="External"/><Relationship Id="rId59" Type="http://schemas.openxmlformats.org/officeDocument/2006/relationships/hyperlink" Target="https://expa.aiesec.org/opportunities/1288531" TargetMode="External"/><Relationship Id="rId58" Type="http://schemas.openxmlformats.org/officeDocument/2006/relationships/hyperlink" Target="https://expa.aiesec.org/opportunities/1286443" TargetMode="External"/><Relationship Id="rId349" Type="http://schemas.openxmlformats.org/officeDocument/2006/relationships/hyperlink" Target="https://expa.aiesec.org/opportunities/1284541" TargetMode="External"/><Relationship Id="rId348" Type="http://schemas.openxmlformats.org/officeDocument/2006/relationships/hyperlink" Target="https://expa.aiesec.org/opportunities/1281344" TargetMode="External"/><Relationship Id="rId347" Type="http://schemas.openxmlformats.org/officeDocument/2006/relationships/hyperlink" Target="https://expa.aiesec.org/opportunities/1292501" TargetMode="External"/><Relationship Id="rId346" Type="http://schemas.openxmlformats.org/officeDocument/2006/relationships/hyperlink" Target="https://expa.aiesec.org/opportunities/1292501" TargetMode="External"/><Relationship Id="rId341" Type="http://schemas.openxmlformats.org/officeDocument/2006/relationships/hyperlink" Target="https://expa.aiesec.org/opportunities/1289617" TargetMode="External"/><Relationship Id="rId340" Type="http://schemas.openxmlformats.org/officeDocument/2006/relationships/hyperlink" Target="https://expa.aiesec.org/opportunities/1284312" TargetMode="External"/><Relationship Id="rId345" Type="http://schemas.openxmlformats.org/officeDocument/2006/relationships/hyperlink" Target="https://expa.aiesec.org/opportunities/1290282" TargetMode="External"/><Relationship Id="rId344" Type="http://schemas.openxmlformats.org/officeDocument/2006/relationships/hyperlink" Target="https://expa.aiesec.org/opportunities/1292719" TargetMode="External"/><Relationship Id="rId343" Type="http://schemas.openxmlformats.org/officeDocument/2006/relationships/hyperlink" Target="https://expa.aiesec.org/opportunities/1292728" TargetMode="External"/><Relationship Id="rId342" Type="http://schemas.openxmlformats.org/officeDocument/2006/relationships/hyperlink" Target="https://expa.aiesec.org/opportunities/1290024" TargetMode="External"/><Relationship Id="rId338" Type="http://schemas.openxmlformats.org/officeDocument/2006/relationships/hyperlink" Target="https://expa.aiesec.org/opportunities/1292549" TargetMode="External"/><Relationship Id="rId337" Type="http://schemas.openxmlformats.org/officeDocument/2006/relationships/hyperlink" Target="https://expa.aiesec.org/opportunities/1289246" TargetMode="External"/><Relationship Id="rId336" Type="http://schemas.openxmlformats.org/officeDocument/2006/relationships/hyperlink" Target="https://expa.aiesec.org/opportunities/1281901" TargetMode="External"/><Relationship Id="rId335" Type="http://schemas.openxmlformats.org/officeDocument/2006/relationships/hyperlink" Target="https://expa.aiesec.org/opportunities/1287987" TargetMode="External"/><Relationship Id="rId339" Type="http://schemas.openxmlformats.org/officeDocument/2006/relationships/hyperlink" Target="https://expa.aiesec.org/opportunities/1292728" TargetMode="External"/><Relationship Id="rId330" Type="http://schemas.openxmlformats.org/officeDocument/2006/relationships/hyperlink" Target="https://expa.aiesec.org/opportunities/1289215" TargetMode="External"/><Relationship Id="rId334" Type="http://schemas.openxmlformats.org/officeDocument/2006/relationships/hyperlink" Target="https://expa.aiesec.org/opportunities/1292528" TargetMode="External"/><Relationship Id="rId333" Type="http://schemas.openxmlformats.org/officeDocument/2006/relationships/hyperlink" Target="https://expa.aiesec.org/opportunities/1289985" TargetMode="External"/><Relationship Id="rId332" Type="http://schemas.openxmlformats.org/officeDocument/2006/relationships/hyperlink" Target="https://expa.aiesec.org/opportunities/1289709" TargetMode="External"/><Relationship Id="rId331" Type="http://schemas.openxmlformats.org/officeDocument/2006/relationships/hyperlink" Target="https://expa.aiesec.org/opportunities/1285085" TargetMode="External"/><Relationship Id="rId370" Type="http://schemas.openxmlformats.org/officeDocument/2006/relationships/hyperlink" Target="https://expa.aiesec.org/opportunities/1288843" TargetMode="External"/><Relationship Id="rId369" Type="http://schemas.openxmlformats.org/officeDocument/2006/relationships/hyperlink" Target="https://expa.aiesec.org/opportunities/1291369" TargetMode="External"/><Relationship Id="rId368" Type="http://schemas.openxmlformats.org/officeDocument/2006/relationships/hyperlink" Target="https://expa.aiesec.org/opportunities/1292549" TargetMode="External"/><Relationship Id="rId363" Type="http://schemas.openxmlformats.org/officeDocument/2006/relationships/hyperlink" Target="https://expa.aiesec.org/opportunities/1286339" TargetMode="External"/><Relationship Id="rId362" Type="http://schemas.openxmlformats.org/officeDocument/2006/relationships/hyperlink" Target="https://expa.aiesec.org/opportunities/1291235" TargetMode="External"/><Relationship Id="rId361" Type="http://schemas.openxmlformats.org/officeDocument/2006/relationships/hyperlink" Target="https://expa.aiesec.org/opportunities/1292409" TargetMode="External"/><Relationship Id="rId360" Type="http://schemas.openxmlformats.org/officeDocument/2006/relationships/hyperlink" Target="https://expa.aiesec.org/opportunities/1292706" TargetMode="External"/><Relationship Id="rId367" Type="http://schemas.openxmlformats.org/officeDocument/2006/relationships/hyperlink" Target="https://expa.aiesec.org/opportunities/1290394" TargetMode="External"/><Relationship Id="rId366" Type="http://schemas.openxmlformats.org/officeDocument/2006/relationships/hyperlink" Target="https://expa.aiesec.org/opportunities/1282593" TargetMode="External"/><Relationship Id="rId365" Type="http://schemas.openxmlformats.org/officeDocument/2006/relationships/hyperlink" Target="https://expa.aiesec.org/opportunities/1288609" TargetMode="External"/><Relationship Id="rId364" Type="http://schemas.openxmlformats.org/officeDocument/2006/relationships/hyperlink" Target="https://expa.aiesec.org/opportunities/1292549" TargetMode="External"/><Relationship Id="rId95" Type="http://schemas.openxmlformats.org/officeDocument/2006/relationships/hyperlink" Target="https://expa.aiesec.org/opportunities/1290026" TargetMode="External"/><Relationship Id="rId94" Type="http://schemas.openxmlformats.org/officeDocument/2006/relationships/hyperlink" Target="https://expa.aiesec.org/opportunities/1288441" TargetMode="External"/><Relationship Id="rId97" Type="http://schemas.openxmlformats.org/officeDocument/2006/relationships/hyperlink" Target="https://expa.aiesec.org/opportunities/1290024" TargetMode="External"/><Relationship Id="rId96" Type="http://schemas.openxmlformats.org/officeDocument/2006/relationships/hyperlink" Target="https://expa.aiesec.org/opportunities/1289850" TargetMode="External"/><Relationship Id="rId99" Type="http://schemas.openxmlformats.org/officeDocument/2006/relationships/hyperlink" Target="https://expa.aiesec.org/opportunities/1287244" TargetMode="External"/><Relationship Id="rId98" Type="http://schemas.openxmlformats.org/officeDocument/2006/relationships/hyperlink" Target="https://expa.aiesec.org/opportunities/1287244" TargetMode="External"/><Relationship Id="rId91" Type="http://schemas.openxmlformats.org/officeDocument/2006/relationships/hyperlink" Target="https://expa.aiesec.org/opportunities/1290026" TargetMode="External"/><Relationship Id="rId90" Type="http://schemas.openxmlformats.org/officeDocument/2006/relationships/hyperlink" Target="https://expa.aiesec.org/opportunities/1287459" TargetMode="External"/><Relationship Id="rId93" Type="http://schemas.openxmlformats.org/officeDocument/2006/relationships/hyperlink" Target="https://expa.aiesec.org/opportunities/1289896" TargetMode="External"/><Relationship Id="rId92" Type="http://schemas.openxmlformats.org/officeDocument/2006/relationships/hyperlink" Target="https://expa.aiesec.org/opportunities/1288843" TargetMode="External"/><Relationship Id="rId359" Type="http://schemas.openxmlformats.org/officeDocument/2006/relationships/hyperlink" Target="https://expa.aiesec.org/opportunities/1291393" TargetMode="External"/><Relationship Id="rId358" Type="http://schemas.openxmlformats.org/officeDocument/2006/relationships/hyperlink" Target="https://expa.aiesec.org/opportunities/1286339" TargetMode="External"/><Relationship Id="rId357" Type="http://schemas.openxmlformats.org/officeDocument/2006/relationships/hyperlink" Target="https://expa.aiesec.org/opportunities/1291005" TargetMode="External"/><Relationship Id="rId352" Type="http://schemas.openxmlformats.org/officeDocument/2006/relationships/hyperlink" Target="https://expa.aiesec.org/opportunities/1290642" TargetMode="External"/><Relationship Id="rId351" Type="http://schemas.openxmlformats.org/officeDocument/2006/relationships/hyperlink" Target="https://expa.aiesec.org/opportunities/1281231" TargetMode="External"/><Relationship Id="rId350" Type="http://schemas.openxmlformats.org/officeDocument/2006/relationships/hyperlink" Target="https://expa.aiesec.org/opportunities/1292818" TargetMode="External"/><Relationship Id="rId356" Type="http://schemas.openxmlformats.org/officeDocument/2006/relationships/hyperlink" Target="https://expa.aiesec.org/opportunities/1284541" TargetMode="External"/><Relationship Id="rId355" Type="http://schemas.openxmlformats.org/officeDocument/2006/relationships/hyperlink" Target="https://expa.aiesec.org/opportunities/1287616" TargetMode="External"/><Relationship Id="rId354" Type="http://schemas.openxmlformats.org/officeDocument/2006/relationships/hyperlink" Target="https://expa.aiesec.org/opportunities/1287616" TargetMode="External"/><Relationship Id="rId353" Type="http://schemas.openxmlformats.org/officeDocument/2006/relationships/hyperlink" Target="https://expa.aiesec.org/opportunities/1287985" TargetMode="External"/><Relationship Id="rId305" Type="http://schemas.openxmlformats.org/officeDocument/2006/relationships/hyperlink" Target="https://expa.aiesec.org/opportunities/1284312" TargetMode="External"/><Relationship Id="rId304" Type="http://schemas.openxmlformats.org/officeDocument/2006/relationships/hyperlink" Target="https://expa.aiesec.org/opportunities/1291049" TargetMode="External"/><Relationship Id="rId303" Type="http://schemas.openxmlformats.org/officeDocument/2006/relationships/hyperlink" Target="https://expa.aiesec.org/opportunities/1290799" TargetMode="External"/><Relationship Id="rId302" Type="http://schemas.openxmlformats.org/officeDocument/2006/relationships/hyperlink" Target="https://expa.aiesec.org/opportunities/1290678" TargetMode="External"/><Relationship Id="rId309" Type="http://schemas.openxmlformats.org/officeDocument/2006/relationships/hyperlink" Target="https://expa.aiesec.org/opportunities/1289528" TargetMode="External"/><Relationship Id="rId308" Type="http://schemas.openxmlformats.org/officeDocument/2006/relationships/hyperlink" Target="https://expa.aiesec.org/opportunities/1281236" TargetMode="External"/><Relationship Id="rId307" Type="http://schemas.openxmlformats.org/officeDocument/2006/relationships/hyperlink" Target="https://expa.aiesec.org/opportunities/1284312" TargetMode="External"/><Relationship Id="rId306" Type="http://schemas.openxmlformats.org/officeDocument/2006/relationships/hyperlink" Target="https://expa.aiesec.org/opportunities/1284312" TargetMode="External"/><Relationship Id="rId301" Type="http://schemas.openxmlformats.org/officeDocument/2006/relationships/hyperlink" Target="https://expa.aiesec.org/opportunities/1291372" TargetMode="External"/><Relationship Id="rId300" Type="http://schemas.openxmlformats.org/officeDocument/2006/relationships/hyperlink" Target="https://expa.aiesec.org/opportunities/1281901" TargetMode="External"/><Relationship Id="rId327" Type="http://schemas.openxmlformats.org/officeDocument/2006/relationships/hyperlink" Target="https://expa.aiesec.org/opportunities/1291819" TargetMode="External"/><Relationship Id="rId326" Type="http://schemas.openxmlformats.org/officeDocument/2006/relationships/hyperlink" Target="https://expa.aiesec.org/opportunities/1291819" TargetMode="External"/><Relationship Id="rId325" Type="http://schemas.openxmlformats.org/officeDocument/2006/relationships/hyperlink" Target="https://expa.aiesec.org/opportunities/1292342" TargetMode="External"/><Relationship Id="rId324" Type="http://schemas.openxmlformats.org/officeDocument/2006/relationships/hyperlink" Target="https://expa.aiesec.org/opportunities/1290134" TargetMode="External"/><Relationship Id="rId329" Type="http://schemas.openxmlformats.org/officeDocument/2006/relationships/hyperlink" Target="https://expa.aiesec.org/opportunities/1289985" TargetMode="External"/><Relationship Id="rId328" Type="http://schemas.openxmlformats.org/officeDocument/2006/relationships/hyperlink" Target="https://expa.aiesec.org/opportunities/1289985" TargetMode="External"/><Relationship Id="rId323" Type="http://schemas.openxmlformats.org/officeDocument/2006/relationships/hyperlink" Target="https://expa.aiesec.org/opportunities/1291819" TargetMode="External"/><Relationship Id="rId322" Type="http://schemas.openxmlformats.org/officeDocument/2006/relationships/hyperlink" Target="https://expa.aiesec.org/opportunities/1288843" TargetMode="External"/><Relationship Id="rId321" Type="http://schemas.openxmlformats.org/officeDocument/2006/relationships/hyperlink" Target="https://expa.aiesec.org/opportunities/1291605" TargetMode="External"/><Relationship Id="rId320" Type="http://schemas.openxmlformats.org/officeDocument/2006/relationships/hyperlink" Target="https://expa.aiesec.org/opportunities/1287243" TargetMode="External"/><Relationship Id="rId316" Type="http://schemas.openxmlformats.org/officeDocument/2006/relationships/hyperlink" Target="https://expa.aiesec.org/opportunities/1292399" TargetMode="External"/><Relationship Id="rId315" Type="http://schemas.openxmlformats.org/officeDocument/2006/relationships/hyperlink" Target="https://expa.aiesec.org/opportunities/1290323" TargetMode="External"/><Relationship Id="rId314" Type="http://schemas.openxmlformats.org/officeDocument/2006/relationships/hyperlink" Target="https://expa.aiesec.org/opportunities/1291263" TargetMode="External"/><Relationship Id="rId313" Type="http://schemas.openxmlformats.org/officeDocument/2006/relationships/hyperlink" Target="https://expa.aiesec.org/opportunities/1290642" TargetMode="External"/><Relationship Id="rId319" Type="http://schemas.openxmlformats.org/officeDocument/2006/relationships/hyperlink" Target="https://expa.aiesec.org/opportunities/1286585" TargetMode="External"/><Relationship Id="rId318" Type="http://schemas.openxmlformats.org/officeDocument/2006/relationships/hyperlink" Target="https://expa.aiesec.org/opportunities/1288609" TargetMode="External"/><Relationship Id="rId317" Type="http://schemas.openxmlformats.org/officeDocument/2006/relationships/hyperlink" Target="https://expa.aiesec.org/opportunities/1289257" TargetMode="External"/><Relationship Id="rId312" Type="http://schemas.openxmlformats.org/officeDocument/2006/relationships/hyperlink" Target="https://expa.aiesec.org/opportunities/1291551" TargetMode="External"/><Relationship Id="rId311" Type="http://schemas.openxmlformats.org/officeDocument/2006/relationships/hyperlink" Target="https://expa.aiesec.org/opportunities/1292343" TargetMode="External"/><Relationship Id="rId310" Type="http://schemas.openxmlformats.org/officeDocument/2006/relationships/hyperlink" Target="https://expa.aiesec.org/opportunities/1291167" TargetMode="External"/><Relationship Id="rId297" Type="http://schemas.openxmlformats.org/officeDocument/2006/relationships/hyperlink" Target="https://expa.aiesec.org/opportunities/1290134" TargetMode="External"/><Relationship Id="rId296" Type="http://schemas.openxmlformats.org/officeDocument/2006/relationships/hyperlink" Target="https://expa.aiesec.org/opportunities/1291819" TargetMode="External"/><Relationship Id="rId295" Type="http://schemas.openxmlformats.org/officeDocument/2006/relationships/hyperlink" Target="https://expa.aiesec.org/opportunities/1289215" TargetMode="External"/><Relationship Id="rId294" Type="http://schemas.openxmlformats.org/officeDocument/2006/relationships/hyperlink" Target="https://expa.aiesec.org/opportunities/1287459" TargetMode="External"/><Relationship Id="rId299" Type="http://schemas.openxmlformats.org/officeDocument/2006/relationships/hyperlink" Target="https://expa.aiesec.org/opportunities/1291623" TargetMode="External"/><Relationship Id="rId298" Type="http://schemas.openxmlformats.org/officeDocument/2006/relationships/hyperlink" Target="https://expa.aiesec.org/opportunities/1292070" TargetMode="External"/><Relationship Id="rId271" Type="http://schemas.openxmlformats.org/officeDocument/2006/relationships/hyperlink" Target="https://expa.aiesec.org/opportunities/1288330" TargetMode="External"/><Relationship Id="rId270" Type="http://schemas.openxmlformats.org/officeDocument/2006/relationships/hyperlink" Target="https://expa.aiesec.org/opportunities/1290260" TargetMode="External"/><Relationship Id="rId269" Type="http://schemas.openxmlformats.org/officeDocument/2006/relationships/hyperlink" Target="https://expa.aiesec.org/opportunities/1281231" TargetMode="External"/><Relationship Id="rId264" Type="http://schemas.openxmlformats.org/officeDocument/2006/relationships/hyperlink" Target="https://expa.aiesec.org/opportunities/1287990" TargetMode="External"/><Relationship Id="rId263" Type="http://schemas.openxmlformats.org/officeDocument/2006/relationships/hyperlink" Target="https://expa.aiesec.org/opportunities/1289370" TargetMode="External"/><Relationship Id="rId262" Type="http://schemas.openxmlformats.org/officeDocument/2006/relationships/hyperlink" Target="https://expa.aiesec.org/opportunities/1291264" TargetMode="External"/><Relationship Id="rId261" Type="http://schemas.openxmlformats.org/officeDocument/2006/relationships/hyperlink" Target="https://expa.aiesec.org/opportunities/1290243" TargetMode="External"/><Relationship Id="rId268" Type="http://schemas.openxmlformats.org/officeDocument/2006/relationships/hyperlink" Target="https://expa.aiesec.org/opportunities/1291271" TargetMode="External"/><Relationship Id="rId267" Type="http://schemas.openxmlformats.org/officeDocument/2006/relationships/hyperlink" Target="https://expa.aiesec.org/opportunities/1290277" TargetMode="External"/><Relationship Id="rId266" Type="http://schemas.openxmlformats.org/officeDocument/2006/relationships/hyperlink" Target="https://expa.aiesec.org/opportunities/1286442" TargetMode="External"/><Relationship Id="rId265" Type="http://schemas.openxmlformats.org/officeDocument/2006/relationships/hyperlink" Target="https://expa.aiesec.org/opportunities/1288330" TargetMode="External"/><Relationship Id="rId260" Type="http://schemas.openxmlformats.org/officeDocument/2006/relationships/hyperlink" Target="https://expa.aiesec.org/opportunities/1291692" TargetMode="External"/><Relationship Id="rId259" Type="http://schemas.openxmlformats.org/officeDocument/2006/relationships/hyperlink" Target="https://expa.aiesec.org/opportunities/1290806" TargetMode="External"/><Relationship Id="rId258" Type="http://schemas.openxmlformats.org/officeDocument/2006/relationships/hyperlink" Target="https://expa.aiesec.org/opportunities/1291045" TargetMode="External"/><Relationship Id="rId253" Type="http://schemas.openxmlformats.org/officeDocument/2006/relationships/hyperlink" Target="https://expa.aiesec.org/opportunities/1290722" TargetMode="External"/><Relationship Id="rId252" Type="http://schemas.openxmlformats.org/officeDocument/2006/relationships/hyperlink" Target="https://expa.aiesec.org/opportunities/1290120" TargetMode="External"/><Relationship Id="rId251" Type="http://schemas.openxmlformats.org/officeDocument/2006/relationships/hyperlink" Target="https://expa.aiesec.org/opportunities/1291378" TargetMode="External"/><Relationship Id="rId250" Type="http://schemas.openxmlformats.org/officeDocument/2006/relationships/hyperlink" Target="https://expa.aiesec.org/opportunities/1287486" TargetMode="External"/><Relationship Id="rId257" Type="http://schemas.openxmlformats.org/officeDocument/2006/relationships/hyperlink" Target="https://expa.aiesec.org/opportunities/1291045" TargetMode="External"/><Relationship Id="rId256" Type="http://schemas.openxmlformats.org/officeDocument/2006/relationships/hyperlink" Target="https://expa.aiesec.org/opportunities/1291553" TargetMode="External"/><Relationship Id="rId255" Type="http://schemas.openxmlformats.org/officeDocument/2006/relationships/hyperlink" Target="https://expa.aiesec.org/opportunities/1291631" TargetMode="External"/><Relationship Id="rId254" Type="http://schemas.openxmlformats.org/officeDocument/2006/relationships/hyperlink" Target="https://expa.aiesec.org/opportunities/1290692" TargetMode="External"/><Relationship Id="rId293" Type="http://schemas.openxmlformats.org/officeDocument/2006/relationships/hyperlink" Target="https://expa.aiesec.org/opportunities/1291852" TargetMode="External"/><Relationship Id="rId292" Type="http://schemas.openxmlformats.org/officeDocument/2006/relationships/hyperlink" Target="https://expa.aiesec.org/opportunities/1289899" TargetMode="External"/><Relationship Id="rId291" Type="http://schemas.openxmlformats.org/officeDocument/2006/relationships/hyperlink" Target="https://expa.aiesec.org/opportunities/1291622" TargetMode="External"/><Relationship Id="rId290" Type="http://schemas.openxmlformats.org/officeDocument/2006/relationships/hyperlink" Target="https://expa.aiesec.org/opportunities/1286585" TargetMode="External"/><Relationship Id="rId286" Type="http://schemas.openxmlformats.org/officeDocument/2006/relationships/hyperlink" Target="https://expa.aiesec.org/opportunities/1291551" TargetMode="External"/><Relationship Id="rId285" Type="http://schemas.openxmlformats.org/officeDocument/2006/relationships/hyperlink" Target="https://expa.aiesec.org/opportunities/1287304" TargetMode="External"/><Relationship Id="rId284" Type="http://schemas.openxmlformats.org/officeDocument/2006/relationships/hyperlink" Target="https://expa.aiesec.org/opportunities/1288843" TargetMode="External"/><Relationship Id="rId283" Type="http://schemas.openxmlformats.org/officeDocument/2006/relationships/hyperlink" Target="https://expa.aiesec.org/opportunities/1291233" TargetMode="External"/><Relationship Id="rId289" Type="http://schemas.openxmlformats.org/officeDocument/2006/relationships/hyperlink" Target="https://expa.aiesec.org/opportunities/1291378" TargetMode="External"/><Relationship Id="rId288" Type="http://schemas.openxmlformats.org/officeDocument/2006/relationships/hyperlink" Target="https://expa.aiesec.org/opportunities/1290190" TargetMode="External"/><Relationship Id="rId287" Type="http://schemas.openxmlformats.org/officeDocument/2006/relationships/hyperlink" Target="https://expa.aiesec.org/opportunities/1290394" TargetMode="External"/><Relationship Id="rId282" Type="http://schemas.openxmlformats.org/officeDocument/2006/relationships/hyperlink" Target="https://expa.aiesec.org/opportunities/1291623" TargetMode="External"/><Relationship Id="rId281" Type="http://schemas.openxmlformats.org/officeDocument/2006/relationships/hyperlink" Target="https://expa.aiesec.org/opportunities/1290024" TargetMode="External"/><Relationship Id="rId280" Type="http://schemas.openxmlformats.org/officeDocument/2006/relationships/hyperlink" Target="https://expa.aiesec.org/opportunities/1291623" TargetMode="External"/><Relationship Id="rId275" Type="http://schemas.openxmlformats.org/officeDocument/2006/relationships/hyperlink" Target="https://expa.aiesec.org/opportunities/1289554" TargetMode="External"/><Relationship Id="rId274" Type="http://schemas.openxmlformats.org/officeDocument/2006/relationships/hyperlink" Target="https://expa.aiesec.org/opportunities/1289554" TargetMode="External"/><Relationship Id="rId273" Type="http://schemas.openxmlformats.org/officeDocument/2006/relationships/hyperlink" Target="https://expa.aiesec.org/opportunities/1289076" TargetMode="External"/><Relationship Id="rId272" Type="http://schemas.openxmlformats.org/officeDocument/2006/relationships/hyperlink" Target="https://expa.aiesec.org/opportunities/1291045" TargetMode="External"/><Relationship Id="rId279" Type="http://schemas.openxmlformats.org/officeDocument/2006/relationships/hyperlink" Target="https://expa.aiesec.org/opportunities/1290706" TargetMode="External"/><Relationship Id="rId278" Type="http://schemas.openxmlformats.org/officeDocument/2006/relationships/hyperlink" Target="https://expa.aiesec.org/opportunities/1284312" TargetMode="External"/><Relationship Id="rId277" Type="http://schemas.openxmlformats.org/officeDocument/2006/relationships/hyperlink" Target="https://expa.aiesec.org/opportunities/1291449" TargetMode="External"/><Relationship Id="rId276" Type="http://schemas.openxmlformats.org/officeDocument/2006/relationships/hyperlink" Target="https://expa.aiesec.org/opportunities/1290277" TargetMode="External"/><Relationship Id="rId1059" Type="http://schemas.openxmlformats.org/officeDocument/2006/relationships/hyperlink" Target="https://expa.aiesec.org/opportunities/1300562" TargetMode="External"/><Relationship Id="rId228" Type="http://schemas.openxmlformats.org/officeDocument/2006/relationships/hyperlink" Target="https://expa.aiesec.org/opportunities/1290196" TargetMode="External"/><Relationship Id="rId227" Type="http://schemas.openxmlformats.org/officeDocument/2006/relationships/hyperlink" Target="https://expa.aiesec.org/opportunities/1291029" TargetMode="External"/><Relationship Id="rId226" Type="http://schemas.openxmlformats.org/officeDocument/2006/relationships/hyperlink" Target="https://expa.aiesec.org/opportunities/1291200" TargetMode="External"/><Relationship Id="rId225" Type="http://schemas.openxmlformats.org/officeDocument/2006/relationships/hyperlink" Target="https://expa.aiesec.org/opportunities/1291200" TargetMode="External"/><Relationship Id="rId229" Type="http://schemas.openxmlformats.org/officeDocument/2006/relationships/hyperlink" Target="https://expa.aiesec.org/opportunities/1290656" TargetMode="External"/><Relationship Id="rId1050" Type="http://schemas.openxmlformats.org/officeDocument/2006/relationships/hyperlink" Target="https://expa.aiesec.org/opportunities/1292960" TargetMode="External"/><Relationship Id="rId220" Type="http://schemas.openxmlformats.org/officeDocument/2006/relationships/hyperlink" Target="https://expa.aiesec.org/opportunities/1290189" TargetMode="External"/><Relationship Id="rId1051" Type="http://schemas.openxmlformats.org/officeDocument/2006/relationships/hyperlink" Target="https://expa.aiesec.org/opportunities/1299527" TargetMode="External"/><Relationship Id="rId1052" Type="http://schemas.openxmlformats.org/officeDocument/2006/relationships/hyperlink" Target="https://expa.aiesec.org/opportunities/1296885" TargetMode="External"/><Relationship Id="rId1053" Type="http://schemas.openxmlformats.org/officeDocument/2006/relationships/hyperlink" Target="https://expa.aiesec.org/opportunities/1288609" TargetMode="External"/><Relationship Id="rId1054" Type="http://schemas.openxmlformats.org/officeDocument/2006/relationships/hyperlink" Target="https://expa.aiesec.org/opportunities/1300097" TargetMode="External"/><Relationship Id="rId224" Type="http://schemas.openxmlformats.org/officeDocument/2006/relationships/hyperlink" Target="https://expa.aiesec.org/opportunities/1290186" TargetMode="External"/><Relationship Id="rId1055" Type="http://schemas.openxmlformats.org/officeDocument/2006/relationships/hyperlink" Target="https://expa.aiesec.org/opportunities/1297178" TargetMode="External"/><Relationship Id="rId223" Type="http://schemas.openxmlformats.org/officeDocument/2006/relationships/hyperlink" Target="https://expa.aiesec.org/opportunities/1290186" TargetMode="External"/><Relationship Id="rId1056" Type="http://schemas.openxmlformats.org/officeDocument/2006/relationships/hyperlink" Target="https://expa.aiesec.org/opportunities/1294063" TargetMode="External"/><Relationship Id="rId222" Type="http://schemas.openxmlformats.org/officeDocument/2006/relationships/hyperlink" Target="https://expa.aiesec.org/opportunities/1291230" TargetMode="External"/><Relationship Id="rId1057" Type="http://schemas.openxmlformats.org/officeDocument/2006/relationships/hyperlink" Target="https://expa.aiesec.org/opportunities/1297178" TargetMode="External"/><Relationship Id="rId221" Type="http://schemas.openxmlformats.org/officeDocument/2006/relationships/hyperlink" Target="https://expa.aiesec.org/opportunities/1291250" TargetMode="External"/><Relationship Id="rId1058" Type="http://schemas.openxmlformats.org/officeDocument/2006/relationships/hyperlink" Target="https://expa.aiesec.org/opportunities/1292875" TargetMode="External"/><Relationship Id="rId1048" Type="http://schemas.openxmlformats.org/officeDocument/2006/relationships/hyperlink" Target="https://expa.aiesec.org/opportunities/1288609" TargetMode="External"/><Relationship Id="rId1049" Type="http://schemas.openxmlformats.org/officeDocument/2006/relationships/hyperlink" Target="https://expa.aiesec.org/opportunities/1298438" TargetMode="External"/><Relationship Id="rId217" Type="http://schemas.openxmlformats.org/officeDocument/2006/relationships/hyperlink" Target="https://expa.aiesec.org/opportunities/1281235" TargetMode="External"/><Relationship Id="rId216" Type="http://schemas.openxmlformats.org/officeDocument/2006/relationships/hyperlink" Target="https://expa.aiesec.org/opportunities/1290845" TargetMode="External"/><Relationship Id="rId215" Type="http://schemas.openxmlformats.org/officeDocument/2006/relationships/hyperlink" Target="https://expa.aiesec.org/opportunities/1290196" TargetMode="External"/><Relationship Id="rId214" Type="http://schemas.openxmlformats.org/officeDocument/2006/relationships/hyperlink" Target="https://expa.aiesec.org/opportunities/1284485" TargetMode="External"/><Relationship Id="rId219" Type="http://schemas.openxmlformats.org/officeDocument/2006/relationships/hyperlink" Target="https://expa.aiesec.org/opportunities/1290189" TargetMode="External"/><Relationship Id="rId218" Type="http://schemas.openxmlformats.org/officeDocument/2006/relationships/hyperlink" Target="https://expa.aiesec.org/opportunities/1290985" TargetMode="External"/><Relationship Id="rId1040" Type="http://schemas.openxmlformats.org/officeDocument/2006/relationships/hyperlink" Target="https://expa.aiesec.org/opportunities/1299451" TargetMode="External"/><Relationship Id="rId1041" Type="http://schemas.openxmlformats.org/officeDocument/2006/relationships/hyperlink" Target="https://expa.aiesec.org/opportunities/1297655" TargetMode="External"/><Relationship Id="rId1042" Type="http://schemas.openxmlformats.org/officeDocument/2006/relationships/hyperlink" Target="https://expa.aiesec.org/opportunities/1299405" TargetMode="External"/><Relationship Id="rId1043" Type="http://schemas.openxmlformats.org/officeDocument/2006/relationships/hyperlink" Target="https://expa.aiesec.org/opportunities/1299422" TargetMode="External"/><Relationship Id="rId213" Type="http://schemas.openxmlformats.org/officeDocument/2006/relationships/hyperlink" Target="https://expa.aiesec.org/opportunities/1291039" TargetMode="External"/><Relationship Id="rId1044" Type="http://schemas.openxmlformats.org/officeDocument/2006/relationships/hyperlink" Target="https://expa.aiesec.org/opportunities/1299656" TargetMode="External"/><Relationship Id="rId212" Type="http://schemas.openxmlformats.org/officeDocument/2006/relationships/hyperlink" Target="https://expa.aiesec.org/opportunities/1291038" TargetMode="External"/><Relationship Id="rId1045" Type="http://schemas.openxmlformats.org/officeDocument/2006/relationships/hyperlink" Target="https://expa.aiesec.org/opportunities/1292960" TargetMode="External"/><Relationship Id="rId211" Type="http://schemas.openxmlformats.org/officeDocument/2006/relationships/hyperlink" Target="https://expa.aiesec.org/opportunities/1287315" TargetMode="External"/><Relationship Id="rId1046" Type="http://schemas.openxmlformats.org/officeDocument/2006/relationships/hyperlink" Target="https://expa.aiesec.org/opportunities/1289850" TargetMode="External"/><Relationship Id="rId210" Type="http://schemas.openxmlformats.org/officeDocument/2006/relationships/hyperlink" Target="https://expa.aiesec.org/opportunities/1289698" TargetMode="External"/><Relationship Id="rId1047" Type="http://schemas.openxmlformats.org/officeDocument/2006/relationships/hyperlink" Target="https://expa.aiesec.org/opportunities/1288609" TargetMode="External"/><Relationship Id="rId249" Type="http://schemas.openxmlformats.org/officeDocument/2006/relationships/hyperlink" Target="https://expa.aiesec.org/opportunities/1287486" TargetMode="External"/><Relationship Id="rId248" Type="http://schemas.openxmlformats.org/officeDocument/2006/relationships/hyperlink" Target="https://expa.aiesec.org/opportunities/1291039" TargetMode="External"/><Relationship Id="rId247" Type="http://schemas.openxmlformats.org/officeDocument/2006/relationships/hyperlink" Target="https://expa.aiesec.org/opportunities/1291669" TargetMode="External"/><Relationship Id="rId1070" Type="http://schemas.openxmlformats.org/officeDocument/2006/relationships/hyperlink" Target="https://expa.aiesec.org/opportunities/1300628" TargetMode="External"/><Relationship Id="rId1071" Type="http://schemas.openxmlformats.org/officeDocument/2006/relationships/hyperlink" Target="https://expa.aiesec.org/opportunities/1298372" TargetMode="External"/><Relationship Id="rId1072" Type="http://schemas.openxmlformats.org/officeDocument/2006/relationships/hyperlink" Target="https://expa.aiesec.org/opportunities/1291866" TargetMode="External"/><Relationship Id="rId242" Type="http://schemas.openxmlformats.org/officeDocument/2006/relationships/hyperlink" Target="https://expa.aiesec.org/opportunities/1291039" TargetMode="External"/><Relationship Id="rId1073" Type="http://schemas.openxmlformats.org/officeDocument/2006/relationships/hyperlink" Target="https://expa.aiesec.org/opportunities/1294418" TargetMode="External"/><Relationship Id="rId241" Type="http://schemas.openxmlformats.org/officeDocument/2006/relationships/hyperlink" Target="https://expa.aiesec.org/opportunities/1291360" TargetMode="External"/><Relationship Id="rId1074" Type="http://schemas.openxmlformats.org/officeDocument/2006/relationships/hyperlink" Target="https://expa.aiesec.org/opportunities/1299605" TargetMode="External"/><Relationship Id="rId240" Type="http://schemas.openxmlformats.org/officeDocument/2006/relationships/hyperlink" Target="https://expa.aiesec.org/opportunities/1287916" TargetMode="External"/><Relationship Id="rId1075" Type="http://schemas.openxmlformats.org/officeDocument/2006/relationships/hyperlink" Target="https://expa.aiesec.org/opportunities/1300175" TargetMode="External"/><Relationship Id="rId1076" Type="http://schemas.openxmlformats.org/officeDocument/2006/relationships/hyperlink" Target="https://expa.aiesec.org/opportunities/1299121" TargetMode="External"/><Relationship Id="rId246" Type="http://schemas.openxmlformats.org/officeDocument/2006/relationships/hyperlink" Target="https://expa.aiesec.org/opportunities/1284312" TargetMode="External"/><Relationship Id="rId1077" Type="http://schemas.openxmlformats.org/officeDocument/2006/relationships/hyperlink" Target="https://expa.aiesec.org/opportunities/1288843" TargetMode="External"/><Relationship Id="rId245" Type="http://schemas.openxmlformats.org/officeDocument/2006/relationships/hyperlink" Target="https://expa.aiesec.org/opportunities/1290806" TargetMode="External"/><Relationship Id="rId1078" Type="http://schemas.openxmlformats.org/officeDocument/2006/relationships/hyperlink" Target="https://expa.aiesec.org/opportunities/1295874" TargetMode="External"/><Relationship Id="rId244" Type="http://schemas.openxmlformats.org/officeDocument/2006/relationships/hyperlink" Target="https://expa.aiesec.org/opportunities/1284312" TargetMode="External"/><Relationship Id="rId1079" Type="http://schemas.openxmlformats.org/officeDocument/2006/relationships/hyperlink" Target="https://expa.aiesec.org/opportunities/1290292" TargetMode="External"/><Relationship Id="rId243" Type="http://schemas.openxmlformats.org/officeDocument/2006/relationships/hyperlink" Target="https://expa.aiesec.org/opportunities/1291045" TargetMode="External"/><Relationship Id="rId239" Type="http://schemas.openxmlformats.org/officeDocument/2006/relationships/hyperlink" Target="https://expa.aiesec.org/opportunities/1288441" TargetMode="External"/><Relationship Id="rId238" Type="http://schemas.openxmlformats.org/officeDocument/2006/relationships/hyperlink" Target="https://expa.aiesec.org/opportunities/1290985" TargetMode="External"/><Relationship Id="rId237" Type="http://schemas.openxmlformats.org/officeDocument/2006/relationships/hyperlink" Target="https://expa.aiesec.org/opportunities/1291020" TargetMode="External"/><Relationship Id="rId236" Type="http://schemas.openxmlformats.org/officeDocument/2006/relationships/hyperlink" Target="https://expa.aiesec.org/opportunities/1286379" TargetMode="External"/><Relationship Id="rId1060" Type="http://schemas.openxmlformats.org/officeDocument/2006/relationships/hyperlink" Target="https://expa.aiesec.org/opportunities/1300562" TargetMode="External"/><Relationship Id="rId1061" Type="http://schemas.openxmlformats.org/officeDocument/2006/relationships/hyperlink" Target="https://expa.aiesec.org/opportunities/1300628" TargetMode="External"/><Relationship Id="rId231" Type="http://schemas.openxmlformats.org/officeDocument/2006/relationships/hyperlink" Target="https://expa.aiesec.org/opportunities/1289851" TargetMode="External"/><Relationship Id="rId1062" Type="http://schemas.openxmlformats.org/officeDocument/2006/relationships/hyperlink" Target="https://expa.aiesec.org/opportunities/1297178" TargetMode="External"/><Relationship Id="rId230" Type="http://schemas.openxmlformats.org/officeDocument/2006/relationships/hyperlink" Target="https://expa.aiesec.org/opportunities/1290186" TargetMode="External"/><Relationship Id="rId1063" Type="http://schemas.openxmlformats.org/officeDocument/2006/relationships/hyperlink" Target="https://expa.aiesec.org/opportunities/1297178" TargetMode="External"/><Relationship Id="rId1064" Type="http://schemas.openxmlformats.org/officeDocument/2006/relationships/hyperlink" Target="https://expa.aiesec.org/opportunities/1296885" TargetMode="External"/><Relationship Id="rId1065" Type="http://schemas.openxmlformats.org/officeDocument/2006/relationships/hyperlink" Target="https://expa.aiesec.org/opportunities/1291869" TargetMode="External"/><Relationship Id="rId235" Type="http://schemas.openxmlformats.org/officeDocument/2006/relationships/hyperlink" Target="https://expa.aiesec.org/opportunities/1286379" TargetMode="External"/><Relationship Id="rId1066" Type="http://schemas.openxmlformats.org/officeDocument/2006/relationships/hyperlink" Target="https://expa.aiesec.org/opportunities/1297157" TargetMode="External"/><Relationship Id="rId234" Type="http://schemas.openxmlformats.org/officeDocument/2006/relationships/hyperlink" Target="https://expa.aiesec.org/opportunities/1291419" TargetMode="External"/><Relationship Id="rId1067" Type="http://schemas.openxmlformats.org/officeDocument/2006/relationships/hyperlink" Target="https://expa.aiesec.org/opportunities/1297112" TargetMode="External"/><Relationship Id="rId233" Type="http://schemas.openxmlformats.org/officeDocument/2006/relationships/hyperlink" Target="https://expa.aiesec.org/opportunities/1288420" TargetMode="External"/><Relationship Id="rId1068" Type="http://schemas.openxmlformats.org/officeDocument/2006/relationships/hyperlink" Target="https://expa.aiesec.org/opportunities/1292715" TargetMode="External"/><Relationship Id="rId232" Type="http://schemas.openxmlformats.org/officeDocument/2006/relationships/hyperlink" Target="https://expa.aiesec.org/opportunities/1282256" TargetMode="External"/><Relationship Id="rId1069" Type="http://schemas.openxmlformats.org/officeDocument/2006/relationships/hyperlink" Target="https://expa.aiesec.org/opportunities/1299121" TargetMode="External"/><Relationship Id="rId1015" Type="http://schemas.openxmlformats.org/officeDocument/2006/relationships/hyperlink" Target="https://expa.aiesec.org/opportunities/1299605" TargetMode="External"/><Relationship Id="rId1016" Type="http://schemas.openxmlformats.org/officeDocument/2006/relationships/hyperlink" Target="https://expa.aiesec.org/opportunities/1299605" TargetMode="External"/><Relationship Id="rId1017" Type="http://schemas.openxmlformats.org/officeDocument/2006/relationships/hyperlink" Target="https://expa.aiesec.org/opportunities/1294459" TargetMode="External"/><Relationship Id="rId1018" Type="http://schemas.openxmlformats.org/officeDocument/2006/relationships/hyperlink" Target="https://expa.aiesec.org/opportunities/1288609" TargetMode="External"/><Relationship Id="rId1019" Type="http://schemas.openxmlformats.org/officeDocument/2006/relationships/hyperlink" Target="https://expa.aiesec.org/opportunities/1299119" TargetMode="External"/><Relationship Id="rId1010" Type="http://schemas.openxmlformats.org/officeDocument/2006/relationships/hyperlink" Target="https://expa.aiesec.org/opportunities/1298571" TargetMode="External"/><Relationship Id="rId1011" Type="http://schemas.openxmlformats.org/officeDocument/2006/relationships/hyperlink" Target="https://expa.aiesec.org/opportunities/1298571" TargetMode="External"/><Relationship Id="rId1012" Type="http://schemas.openxmlformats.org/officeDocument/2006/relationships/hyperlink" Target="https://expa.aiesec.org/opportunities/1286381" TargetMode="External"/><Relationship Id="rId1013" Type="http://schemas.openxmlformats.org/officeDocument/2006/relationships/hyperlink" Target="https://expa.aiesec.org/opportunities/1295312" TargetMode="External"/><Relationship Id="rId1014" Type="http://schemas.openxmlformats.org/officeDocument/2006/relationships/hyperlink" Target="https://expa.aiesec.org/opportunities/1298571" TargetMode="External"/><Relationship Id="rId1004" Type="http://schemas.openxmlformats.org/officeDocument/2006/relationships/hyperlink" Target="https://expa.aiesec.org/opportunities/1289850" TargetMode="External"/><Relationship Id="rId1005" Type="http://schemas.openxmlformats.org/officeDocument/2006/relationships/hyperlink" Target="https://expa.aiesec.org/opportunities/1291200" TargetMode="External"/><Relationship Id="rId1006" Type="http://schemas.openxmlformats.org/officeDocument/2006/relationships/hyperlink" Target="https://expa.aiesec.org/opportunities/1294232" TargetMode="External"/><Relationship Id="rId1007" Type="http://schemas.openxmlformats.org/officeDocument/2006/relationships/hyperlink" Target="https://expa.aiesec.org/opportunities/1293480" TargetMode="External"/><Relationship Id="rId1008" Type="http://schemas.openxmlformats.org/officeDocument/2006/relationships/hyperlink" Target="https://expa.aiesec.org/opportunities/1298887" TargetMode="External"/><Relationship Id="rId1009" Type="http://schemas.openxmlformats.org/officeDocument/2006/relationships/hyperlink" Target="https://expa.aiesec.org/opportunities/1299131" TargetMode="External"/><Relationship Id="rId1000" Type="http://schemas.openxmlformats.org/officeDocument/2006/relationships/hyperlink" Target="https://expa.aiesec.org/opportunities/1299359" TargetMode="External"/><Relationship Id="rId1001" Type="http://schemas.openxmlformats.org/officeDocument/2006/relationships/hyperlink" Target="https://expa.aiesec.org/opportunities/1299605" TargetMode="External"/><Relationship Id="rId1002" Type="http://schemas.openxmlformats.org/officeDocument/2006/relationships/hyperlink" Target="https://expa.aiesec.org/opportunities/1298937" TargetMode="External"/><Relationship Id="rId1003" Type="http://schemas.openxmlformats.org/officeDocument/2006/relationships/hyperlink" Target="https://expa.aiesec.org/opportunities/1289850" TargetMode="External"/><Relationship Id="rId1037" Type="http://schemas.openxmlformats.org/officeDocument/2006/relationships/hyperlink" Target="https://expa.aiesec.org/opportunities/1300091" TargetMode="External"/><Relationship Id="rId1038" Type="http://schemas.openxmlformats.org/officeDocument/2006/relationships/hyperlink" Target="https://expa.aiesec.org/opportunities/1291869" TargetMode="External"/><Relationship Id="rId1039" Type="http://schemas.openxmlformats.org/officeDocument/2006/relationships/hyperlink" Target="https://expa.aiesec.org/opportunities/1299919" TargetMode="External"/><Relationship Id="rId206" Type="http://schemas.openxmlformats.org/officeDocument/2006/relationships/hyperlink" Target="https://expa.aiesec.org/opportunities/1289617" TargetMode="External"/><Relationship Id="rId205" Type="http://schemas.openxmlformats.org/officeDocument/2006/relationships/hyperlink" Target="https://expa.aiesec.org/opportunities/1290201" TargetMode="External"/><Relationship Id="rId204" Type="http://schemas.openxmlformats.org/officeDocument/2006/relationships/hyperlink" Target="https://expa.aiesec.org/opportunities/1281901" TargetMode="External"/><Relationship Id="rId203" Type="http://schemas.openxmlformats.org/officeDocument/2006/relationships/hyperlink" Target="https://expa.aiesec.org/opportunities/1290949" TargetMode="External"/><Relationship Id="rId209" Type="http://schemas.openxmlformats.org/officeDocument/2006/relationships/hyperlink" Target="https://expa.aiesec.org/opportunities/1290649" TargetMode="External"/><Relationship Id="rId208" Type="http://schemas.openxmlformats.org/officeDocument/2006/relationships/hyperlink" Target="https://expa.aiesec.org/opportunities/1284485" TargetMode="External"/><Relationship Id="rId207" Type="http://schemas.openxmlformats.org/officeDocument/2006/relationships/hyperlink" Target="https://expa.aiesec.org/opportunities/1290210" TargetMode="External"/><Relationship Id="rId1030" Type="http://schemas.openxmlformats.org/officeDocument/2006/relationships/hyperlink" Target="https://expa.aiesec.org/opportunities/1293100" TargetMode="External"/><Relationship Id="rId1031" Type="http://schemas.openxmlformats.org/officeDocument/2006/relationships/hyperlink" Target="https://expa.aiesec.org/opportunities/1281345" TargetMode="External"/><Relationship Id="rId1032" Type="http://schemas.openxmlformats.org/officeDocument/2006/relationships/hyperlink" Target="https://expa.aiesec.org/opportunities/1299145" TargetMode="External"/><Relationship Id="rId202" Type="http://schemas.openxmlformats.org/officeDocument/2006/relationships/hyperlink" Target="https://expa.aiesec.org/opportunities/1285306" TargetMode="External"/><Relationship Id="rId1033" Type="http://schemas.openxmlformats.org/officeDocument/2006/relationships/hyperlink" Target="https://expa.aiesec.org/opportunities/1293100" TargetMode="External"/><Relationship Id="rId201" Type="http://schemas.openxmlformats.org/officeDocument/2006/relationships/hyperlink" Target="https://expa.aiesec.org/opportunities/1285306" TargetMode="External"/><Relationship Id="rId1034" Type="http://schemas.openxmlformats.org/officeDocument/2006/relationships/hyperlink" Target="https://expa.aiesec.org/opportunities/1298053" TargetMode="External"/><Relationship Id="rId200" Type="http://schemas.openxmlformats.org/officeDocument/2006/relationships/hyperlink" Target="https://expa.aiesec.org/opportunities/1290275" TargetMode="External"/><Relationship Id="rId1035" Type="http://schemas.openxmlformats.org/officeDocument/2006/relationships/hyperlink" Target="https://expa.aiesec.org/opportunities/1296464" TargetMode="External"/><Relationship Id="rId1036" Type="http://schemas.openxmlformats.org/officeDocument/2006/relationships/hyperlink" Target="https://expa.aiesec.org/opportunities/1299892" TargetMode="External"/><Relationship Id="rId1026" Type="http://schemas.openxmlformats.org/officeDocument/2006/relationships/hyperlink" Target="https://expa.aiesec.org/opportunities/1299270" TargetMode="External"/><Relationship Id="rId1027" Type="http://schemas.openxmlformats.org/officeDocument/2006/relationships/hyperlink" Target="https://expa.aiesec.org/opportunities/1294063" TargetMode="External"/><Relationship Id="rId1028" Type="http://schemas.openxmlformats.org/officeDocument/2006/relationships/hyperlink" Target="https://expa.aiesec.org/opportunities/1281345" TargetMode="External"/><Relationship Id="rId1029" Type="http://schemas.openxmlformats.org/officeDocument/2006/relationships/hyperlink" Target="https://expa.aiesec.org/opportunities/1298373" TargetMode="External"/><Relationship Id="rId1020" Type="http://schemas.openxmlformats.org/officeDocument/2006/relationships/hyperlink" Target="https://expa.aiesec.org/opportunities/1298766" TargetMode="External"/><Relationship Id="rId1021" Type="http://schemas.openxmlformats.org/officeDocument/2006/relationships/hyperlink" Target="https://expa.aiesec.org/opportunities/1289339" TargetMode="External"/><Relationship Id="rId1022" Type="http://schemas.openxmlformats.org/officeDocument/2006/relationships/hyperlink" Target="https://expa.aiesec.org/opportunities/1299890" TargetMode="External"/><Relationship Id="rId1023" Type="http://schemas.openxmlformats.org/officeDocument/2006/relationships/hyperlink" Target="https://expa.aiesec.org/opportunities/1298817" TargetMode="External"/><Relationship Id="rId1024" Type="http://schemas.openxmlformats.org/officeDocument/2006/relationships/hyperlink" Target="https://expa.aiesec.org/opportunities/1298053" TargetMode="External"/><Relationship Id="rId1025" Type="http://schemas.openxmlformats.org/officeDocument/2006/relationships/hyperlink" Target="https://expa.aiesec.org/opportunities/1294063" TargetMode="External"/><Relationship Id="rId1090" Type="http://schemas.openxmlformats.org/officeDocument/2006/relationships/hyperlink" Target="https://expa.aiesec.org/opportunities/1288609" TargetMode="External"/><Relationship Id="rId1091" Type="http://schemas.openxmlformats.org/officeDocument/2006/relationships/hyperlink" Target="https://expa.aiesec.org/opportunities/1284485" TargetMode="External"/><Relationship Id="rId1092" Type="http://schemas.openxmlformats.org/officeDocument/2006/relationships/hyperlink" Target="https://expa.aiesec.org/opportunities/1289757" TargetMode="External"/><Relationship Id="rId1093" Type="http://schemas.openxmlformats.org/officeDocument/2006/relationships/hyperlink" Target="https://expa.aiesec.org/opportunities/1294166" TargetMode="External"/><Relationship Id="rId1094" Type="http://schemas.openxmlformats.org/officeDocument/2006/relationships/hyperlink" Target="https://expa.aiesec.org/opportunities/1300619" TargetMode="External"/><Relationship Id="rId1095" Type="http://schemas.openxmlformats.org/officeDocument/2006/relationships/hyperlink" Target="https://expa.aiesec.org/opportunities/1289757" TargetMode="External"/><Relationship Id="rId1096" Type="http://schemas.openxmlformats.org/officeDocument/2006/relationships/hyperlink" Target="https://expa.aiesec.org/opportunities/1299698" TargetMode="External"/><Relationship Id="rId1097" Type="http://schemas.openxmlformats.org/officeDocument/2006/relationships/hyperlink" Target="https://expa.aiesec.org/opportunities/1299698" TargetMode="External"/><Relationship Id="rId1098" Type="http://schemas.openxmlformats.org/officeDocument/2006/relationships/hyperlink" Target="https://expa.aiesec.org/opportunities/1291200" TargetMode="External"/><Relationship Id="rId1099" Type="http://schemas.openxmlformats.org/officeDocument/2006/relationships/hyperlink" Target="https://expa.aiesec.org/opportunities/1288609" TargetMode="External"/><Relationship Id="rId1080" Type="http://schemas.openxmlformats.org/officeDocument/2006/relationships/hyperlink" Target="https://expa.aiesec.org/opportunities/1300628" TargetMode="External"/><Relationship Id="rId1081" Type="http://schemas.openxmlformats.org/officeDocument/2006/relationships/hyperlink" Target="https://expa.aiesec.org/opportunities/1299358" TargetMode="External"/><Relationship Id="rId1082" Type="http://schemas.openxmlformats.org/officeDocument/2006/relationships/hyperlink" Target="https://expa.aiesec.org/opportunities/1300287" TargetMode="External"/><Relationship Id="rId1083" Type="http://schemas.openxmlformats.org/officeDocument/2006/relationships/hyperlink" Target="https://expa.aiesec.org/opportunities/1300091" TargetMode="External"/><Relationship Id="rId1084" Type="http://schemas.openxmlformats.org/officeDocument/2006/relationships/hyperlink" Target="https://expa.aiesec.org/opportunities/1288609" TargetMode="External"/><Relationship Id="rId1085" Type="http://schemas.openxmlformats.org/officeDocument/2006/relationships/hyperlink" Target="https://expa.aiesec.org/opportunities/1288843" TargetMode="External"/><Relationship Id="rId1086" Type="http://schemas.openxmlformats.org/officeDocument/2006/relationships/hyperlink" Target="https://expa.aiesec.org/opportunities/1291395" TargetMode="External"/><Relationship Id="rId1087" Type="http://schemas.openxmlformats.org/officeDocument/2006/relationships/hyperlink" Target="https://expa.aiesec.org/opportunities/1288843" TargetMode="External"/><Relationship Id="rId1088" Type="http://schemas.openxmlformats.org/officeDocument/2006/relationships/hyperlink" Target="https://expa.aiesec.org/opportunities/1298818" TargetMode="External"/><Relationship Id="rId1089" Type="http://schemas.openxmlformats.org/officeDocument/2006/relationships/hyperlink" Target="https://expa.aiesec.org/opportunities/1295095" TargetMode="External"/><Relationship Id="rId509" Type="http://schemas.openxmlformats.org/officeDocument/2006/relationships/hyperlink" Target="https://expa.aiesec.org/opportunities/1293944" TargetMode="External"/><Relationship Id="rId508" Type="http://schemas.openxmlformats.org/officeDocument/2006/relationships/hyperlink" Target="https://expa.aiesec.org/opportunities/1294155" TargetMode="External"/><Relationship Id="rId503" Type="http://schemas.openxmlformats.org/officeDocument/2006/relationships/hyperlink" Target="https://expa.aiesec.org/opportunities/1293200" TargetMode="External"/><Relationship Id="rId502" Type="http://schemas.openxmlformats.org/officeDocument/2006/relationships/hyperlink" Target="https://expa.aiesec.org/opportunities/1293814" TargetMode="External"/><Relationship Id="rId501" Type="http://schemas.openxmlformats.org/officeDocument/2006/relationships/hyperlink" Target="https://expa.aiesec.org/opportunities/1293463" TargetMode="External"/><Relationship Id="rId500" Type="http://schemas.openxmlformats.org/officeDocument/2006/relationships/hyperlink" Target="https://expa.aiesec.org/opportunities/1293463" TargetMode="External"/><Relationship Id="rId507" Type="http://schemas.openxmlformats.org/officeDocument/2006/relationships/hyperlink" Target="https://expa.aiesec.org/opportunities/1288441" TargetMode="External"/><Relationship Id="rId506" Type="http://schemas.openxmlformats.org/officeDocument/2006/relationships/hyperlink" Target="https://expa.aiesec.org/opportunities/1293866" TargetMode="External"/><Relationship Id="rId505" Type="http://schemas.openxmlformats.org/officeDocument/2006/relationships/hyperlink" Target="https://expa.aiesec.org/opportunities/1284312" TargetMode="External"/><Relationship Id="rId504" Type="http://schemas.openxmlformats.org/officeDocument/2006/relationships/hyperlink" Target="https://expa.aiesec.org/opportunities/1292774" TargetMode="External"/><Relationship Id="rId1114" Type="http://schemas.openxmlformats.org/officeDocument/2006/relationships/hyperlink" Target="https://expa.aiesec.org/opportunities/1293152" TargetMode="External"/><Relationship Id="rId1115" Type="http://schemas.openxmlformats.org/officeDocument/2006/relationships/hyperlink" Target="https://expa.aiesec.org/opportunities/1293152" TargetMode="External"/><Relationship Id="rId1116" Type="http://schemas.openxmlformats.org/officeDocument/2006/relationships/hyperlink" Target="https://expa.aiesec.org/opportunities/1299929" TargetMode="External"/><Relationship Id="rId1117" Type="http://schemas.openxmlformats.org/officeDocument/2006/relationships/hyperlink" Target="https://expa.aiesec.org/opportunities/1296885" TargetMode="External"/><Relationship Id="rId1118" Type="http://schemas.openxmlformats.org/officeDocument/2006/relationships/hyperlink" Target="https://expa.aiesec.org/opportunities/1301479" TargetMode="External"/><Relationship Id="rId1119" Type="http://schemas.openxmlformats.org/officeDocument/2006/relationships/hyperlink" Target="https://expa.aiesec.org/opportunities/1293235" TargetMode="External"/><Relationship Id="rId525" Type="http://schemas.openxmlformats.org/officeDocument/2006/relationships/hyperlink" Target="https://expa.aiesec.org/opportunities/1293005" TargetMode="External"/><Relationship Id="rId524" Type="http://schemas.openxmlformats.org/officeDocument/2006/relationships/hyperlink" Target="https://expa.aiesec.org/opportunities/1290282" TargetMode="External"/><Relationship Id="rId523" Type="http://schemas.openxmlformats.org/officeDocument/2006/relationships/hyperlink" Target="https://expa.aiesec.org/opportunities/1294193" TargetMode="External"/><Relationship Id="rId522" Type="http://schemas.openxmlformats.org/officeDocument/2006/relationships/hyperlink" Target="https://expa.aiesec.org/opportunities/1293683" TargetMode="External"/><Relationship Id="rId529" Type="http://schemas.openxmlformats.org/officeDocument/2006/relationships/hyperlink" Target="https://expa.aiesec.org/opportunities/1294046" TargetMode="External"/><Relationship Id="rId528" Type="http://schemas.openxmlformats.org/officeDocument/2006/relationships/hyperlink" Target="https://expa.aiesec.org/opportunities/1293944" TargetMode="External"/><Relationship Id="rId527" Type="http://schemas.openxmlformats.org/officeDocument/2006/relationships/hyperlink" Target="https://expa.aiesec.org/opportunities/1293200" TargetMode="External"/><Relationship Id="rId526" Type="http://schemas.openxmlformats.org/officeDocument/2006/relationships/hyperlink" Target="https://expa.aiesec.org/opportunities/1293699" TargetMode="External"/><Relationship Id="rId521" Type="http://schemas.openxmlformats.org/officeDocument/2006/relationships/hyperlink" Target="https://expa.aiesec.org/opportunities/1292188" TargetMode="External"/><Relationship Id="rId1110" Type="http://schemas.openxmlformats.org/officeDocument/2006/relationships/hyperlink" Target="https://expa.aiesec.org/opportunities/1300092" TargetMode="External"/><Relationship Id="rId520" Type="http://schemas.openxmlformats.org/officeDocument/2006/relationships/hyperlink" Target="https://expa.aiesec.org/opportunities/1288609" TargetMode="External"/><Relationship Id="rId1111" Type="http://schemas.openxmlformats.org/officeDocument/2006/relationships/hyperlink" Target="https://expa.aiesec.org/opportunities/1288843" TargetMode="External"/><Relationship Id="rId1112" Type="http://schemas.openxmlformats.org/officeDocument/2006/relationships/hyperlink" Target="https://expa.aiesec.org/opportunities/1291395" TargetMode="External"/><Relationship Id="rId1113" Type="http://schemas.openxmlformats.org/officeDocument/2006/relationships/hyperlink" Target="https://expa.aiesec.org/opportunities/1298438" TargetMode="External"/><Relationship Id="rId1103" Type="http://schemas.openxmlformats.org/officeDocument/2006/relationships/hyperlink" Target="https://expa.aiesec.org/opportunities/1291376" TargetMode="External"/><Relationship Id="rId1104" Type="http://schemas.openxmlformats.org/officeDocument/2006/relationships/hyperlink" Target="https://expa.aiesec.org/opportunities/1301307" TargetMode="External"/><Relationship Id="rId1105" Type="http://schemas.openxmlformats.org/officeDocument/2006/relationships/hyperlink" Target="https://expa.aiesec.org/opportunities/1299532" TargetMode="External"/><Relationship Id="rId1106" Type="http://schemas.openxmlformats.org/officeDocument/2006/relationships/hyperlink" Target="https://expa.aiesec.org/opportunities/1288609" TargetMode="External"/><Relationship Id="rId1107" Type="http://schemas.openxmlformats.org/officeDocument/2006/relationships/hyperlink" Target="https://expa.aiesec.org/opportunities/1288609" TargetMode="External"/><Relationship Id="rId1108" Type="http://schemas.openxmlformats.org/officeDocument/2006/relationships/hyperlink" Target="https://expa.aiesec.org/opportunities/1288609" TargetMode="External"/><Relationship Id="rId1109" Type="http://schemas.openxmlformats.org/officeDocument/2006/relationships/hyperlink" Target="https://expa.aiesec.org/opportunities/1300779" TargetMode="External"/><Relationship Id="rId519" Type="http://schemas.openxmlformats.org/officeDocument/2006/relationships/hyperlink" Target="https://expa.aiesec.org/opportunities/1293210" TargetMode="External"/><Relationship Id="rId514" Type="http://schemas.openxmlformats.org/officeDocument/2006/relationships/hyperlink" Target="https://expa.aiesec.org/opportunities/1292253" TargetMode="External"/><Relationship Id="rId513" Type="http://schemas.openxmlformats.org/officeDocument/2006/relationships/hyperlink" Target="https://expa.aiesec.org/opportunities/1293968" TargetMode="External"/><Relationship Id="rId512" Type="http://schemas.openxmlformats.org/officeDocument/2006/relationships/hyperlink" Target="https://expa.aiesec.org/opportunities/1292298" TargetMode="External"/><Relationship Id="rId511" Type="http://schemas.openxmlformats.org/officeDocument/2006/relationships/hyperlink" Target="https://expa.aiesec.org/opportunities/1293905" TargetMode="External"/><Relationship Id="rId518" Type="http://schemas.openxmlformats.org/officeDocument/2006/relationships/hyperlink" Target="https://expa.aiesec.org/opportunities/1292990" TargetMode="External"/><Relationship Id="rId517" Type="http://schemas.openxmlformats.org/officeDocument/2006/relationships/hyperlink" Target="https://expa.aiesec.org/opportunities/1293961" TargetMode="External"/><Relationship Id="rId516" Type="http://schemas.openxmlformats.org/officeDocument/2006/relationships/hyperlink" Target="https://expa.aiesec.org/opportunities/1293865" TargetMode="External"/><Relationship Id="rId515" Type="http://schemas.openxmlformats.org/officeDocument/2006/relationships/hyperlink" Target="https://expa.aiesec.org/opportunities/1293835" TargetMode="External"/><Relationship Id="rId510" Type="http://schemas.openxmlformats.org/officeDocument/2006/relationships/hyperlink" Target="https://expa.aiesec.org/opportunities/1293636" TargetMode="External"/><Relationship Id="rId1100" Type="http://schemas.openxmlformats.org/officeDocument/2006/relationships/hyperlink" Target="https://expa.aiesec.org/opportunities/1301045" TargetMode="External"/><Relationship Id="rId1101" Type="http://schemas.openxmlformats.org/officeDocument/2006/relationships/hyperlink" Target="https://expa.aiesec.org/opportunities/1300584" TargetMode="External"/><Relationship Id="rId1102" Type="http://schemas.openxmlformats.org/officeDocument/2006/relationships/hyperlink" Target="https://expa.aiesec.org/opportunities/1300883" TargetMode="External"/><Relationship Id="rId590" Type="http://schemas.openxmlformats.org/officeDocument/2006/relationships/hyperlink" Target="https://expa.aiesec.org/opportunities/1294063" TargetMode="External"/><Relationship Id="rId589" Type="http://schemas.openxmlformats.org/officeDocument/2006/relationships/hyperlink" Target="https://expa.aiesec.org/opportunities/1293216" TargetMode="External"/><Relationship Id="rId588" Type="http://schemas.openxmlformats.org/officeDocument/2006/relationships/hyperlink" Target="https://expa.aiesec.org/opportunities/1293477" TargetMode="External"/><Relationship Id="rId1170" Type="http://schemas.openxmlformats.org/officeDocument/2006/relationships/hyperlink" Target="https://expa.aiesec.org/opportunities/1299199" TargetMode="External"/><Relationship Id="rId1171" Type="http://schemas.openxmlformats.org/officeDocument/2006/relationships/hyperlink" Target="https://expa.aiesec.org/opportunities/1292947" TargetMode="External"/><Relationship Id="rId583" Type="http://schemas.openxmlformats.org/officeDocument/2006/relationships/hyperlink" Target="https://expa.aiesec.org/opportunities/1288129" TargetMode="External"/><Relationship Id="rId1172" Type="http://schemas.openxmlformats.org/officeDocument/2006/relationships/hyperlink" Target="https://expa.aiesec.org/opportunities/1299661" TargetMode="External"/><Relationship Id="rId582" Type="http://schemas.openxmlformats.org/officeDocument/2006/relationships/hyperlink" Target="https://expa.aiesec.org/opportunities/1293801" TargetMode="External"/><Relationship Id="rId1173" Type="http://schemas.openxmlformats.org/officeDocument/2006/relationships/hyperlink" Target="https://expa.aiesec.org/opportunities/1289516" TargetMode="External"/><Relationship Id="rId581" Type="http://schemas.openxmlformats.org/officeDocument/2006/relationships/hyperlink" Target="https://expa.aiesec.org/opportunities/1289976" TargetMode="External"/><Relationship Id="rId1174" Type="http://schemas.openxmlformats.org/officeDocument/2006/relationships/hyperlink" Target="https://expa.aiesec.org/opportunities/1289850" TargetMode="External"/><Relationship Id="rId580" Type="http://schemas.openxmlformats.org/officeDocument/2006/relationships/hyperlink" Target="https://expa.aiesec.org/opportunities/1286658" TargetMode="External"/><Relationship Id="rId1175" Type="http://schemas.openxmlformats.org/officeDocument/2006/relationships/hyperlink" Target="https://expa.aiesec.org/opportunities/1299331" TargetMode="External"/><Relationship Id="rId587" Type="http://schemas.openxmlformats.org/officeDocument/2006/relationships/hyperlink" Target="https://expa.aiesec.org/opportunities/1293112" TargetMode="External"/><Relationship Id="rId1176" Type="http://schemas.openxmlformats.org/officeDocument/2006/relationships/hyperlink" Target="https://expa.aiesec.org/opportunities/1301583" TargetMode="External"/><Relationship Id="rId586" Type="http://schemas.openxmlformats.org/officeDocument/2006/relationships/hyperlink" Target="https://expa.aiesec.org/opportunities/1294202" TargetMode="External"/><Relationship Id="rId1177" Type="http://schemas.openxmlformats.org/officeDocument/2006/relationships/hyperlink" Target="https://expa.aiesec.org/opportunities/1299956" TargetMode="External"/><Relationship Id="rId585" Type="http://schemas.openxmlformats.org/officeDocument/2006/relationships/hyperlink" Target="https://expa.aiesec.org/opportunities/1289848" TargetMode="External"/><Relationship Id="rId1178" Type="http://schemas.openxmlformats.org/officeDocument/2006/relationships/hyperlink" Target="https://expa.aiesec.org/opportunities/1296244" TargetMode="External"/><Relationship Id="rId584" Type="http://schemas.openxmlformats.org/officeDocument/2006/relationships/hyperlink" Target="https://expa.aiesec.org/opportunities/1288413" TargetMode="External"/><Relationship Id="rId1179" Type="http://schemas.openxmlformats.org/officeDocument/2006/relationships/hyperlink" Target="https://expa.aiesec.org/opportunities/1288609" TargetMode="External"/><Relationship Id="rId1169" Type="http://schemas.openxmlformats.org/officeDocument/2006/relationships/hyperlink" Target="https://expa.aiesec.org/opportunities/1288843" TargetMode="External"/><Relationship Id="rId579" Type="http://schemas.openxmlformats.org/officeDocument/2006/relationships/hyperlink" Target="https://expa.aiesec.org/opportunities/1291869" TargetMode="External"/><Relationship Id="rId578" Type="http://schemas.openxmlformats.org/officeDocument/2006/relationships/hyperlink" Target="https://expa.aiesec.org/opportunities/1290024" TargetMode="External"/><Relationship Id="rId577" Type="http://schemas.openxmlformats.org/officeDocument/2006/relationships/hyperlink" Target="https://expa.aiesec.org/opportunities/1292990" TargetMode="External"/><Relationship Id="rId1160" Type="http://schemas.openxmlformats.org/officeDocument/2006/relationships/hyperlink" Target="https://expa.aiesec.org/opportunities/1292947" TargetMode="External"/><Relationship Id="rId572" Type="http://schemas.openxmlformats.org/officeDocument/2006/relationships/hyperlink" Target="https://expa.aiesec.org/opportunities/1293552" TargetMode="External"/><Relationship Id="rId1161" Type="http://schemas.openxmlformats.org/officeDocument/2006/relationships/hyperlink" Target="https://expa.aiesec.org/opportunities/1293235" TargetMode="External"/><Relationship Id="rId571" Type="http://schemas.openxmlformats.org/officeDocument/2006/relationships/hyperlink" Target="https://expa.aiesec.org/opportunities/1293979" TargetMode="External"/><Relationship Id="rId1162" Type="http://schemas.openxmlformats.org/officeDocument/2006/relationships/hyperlink" Target="https://expa.aiesec.org/opportunities/1300100" TargetMode="External"/><Relationship Id="rId570" Type="http://schemas.openxmlformats.org/officeDocument/2006/relationships/hyperlink" Target="https://expa.aiesec.org/opportunities/1294063" TargetMode="External"/><Relationship Id="rId1163" Type="http://schemas.openxmlformats.org/officeDocument/2006/relationships/hyperlink" Target="https://expa.aiesec.org/opportunities/1299758" TargetMode="External"/><Relationship Id="rId1164" Type="http://schemas.openxmlformats.org/officeDocument/2006/relationships/hyperlink" Target="https://expa.aiesec.org/opportunities/1299758" TargetMode="External"/><Relationship Id="rId576" Type="http://schemas.openxmlformats.org/officeDocument/2006/relationships/hyperlink" Target="https://expa.aiesec.org/opportunities/1294444" TargetMode="External"/><Relationship Id="rId1165" Type="http://schemas.openxmlformats.org/officeDocument/2006/relationships/hyperlink" Target="https://expa.aiesec.org/opportunities/1300097" TargetMode="External"/><Relationship Id="rId575" Type="http://schemas.openxmlformats.org/officeDocument/2006/relationships/hyperlink" Target="https://expa.aiesec.org/opportunities/1293463" TargetMode="External"/><Relationship Id="rId1166" Type="http://schemas.openxmlformats.org/officeDocument/2006/relationships/hyperlink" Target="https://expa.aiesec.org/opportunities/1300779" TargetMode="External"/><Relationship Id="rId574" Type="http://schemas.openxmlformats.org/officeDocument/2006/relationships/hyperlink" Target="https://expa.aiesec.org/opportunities/1293463" TargetMode="External"/><Relationship Id="rId1167" Type="http://schemas.openxmlformats.org/officeDocument/2006/relationships/hyperlink" Target="https://expa.aiesec.org/opportunities/1300779" TargetMode="External"/><Relationship Id="rId573" Type="http://schemas.openxmlformats.org/officeDocument/2006/relationships/hyperlink" Target="https://expa.aiesec.org/opportunities/1294202" TargetMode="External"/><Relationship Id="rId1168" Type="http://schemas.openxmlformats.org/officeDocument/2006/relationships/hyperlink" Target="https://expa.aiesec.org/opportunities/1301227" TargetMode="External"/><Relationship Id="rId1190" Type="http://schemas.openxmlformats.org/officeDocument/2006/relationships/hyperlink" Target="https://expa.aiesec.org/opportunities/1301244" TargetMode="External"/><Relationship Id="rId1191" Type="http://schemas.openxmlformats.org/officeDocument/2006/relationships/hyperlink" Target="https://expa.aiesec.org/opportunities/1301171" TargetMode="External"/><Relationship Id="rId1192" Type="http://schemas.openxmlformats.org/officeDocument/2006/relationships/hyperlink" Target="https://expa.aiesec.org/opportunities/1288609" TargetMode="External"/><Relationship Id="rId1193" Type="http://schemas.openxmlformats.org/officeDocument/2006/relationships/hyperlink" Target="https://expa.aiesec.org/opportunities/1288609" TargetMode="External"/><Relationship Id="rId1194" Type="http://schemas.openxmlformats.org/officeDocument/2006/relationships/hyperlink" Target="https://expa.aiesec.org/opportunities/1288609" TargetMode="External"/><Relationship Id="rId1195" Type="http://schemas.openxmlformats.org/officeDocument/2006/relationships/hyperlink" Target="https://expa.aiesec.org/opportunities/1288609" TargetMode="External"/><Relationship Id="rId1196" Type="http://schemas.openxmlformats.org/officeDocument/2006/relationships/hyperlink" Target="https://expa.aiesec.org/opportunities/1301039" TargetMode="External"/><Relationship Id="rId1197" Type="http://schemas.openxmlformats.org/officeDocument/2006/relationships/hyperlink" Target="https://expa.aiesec.org/opportunities/1299605" TargetMode="External"/><Relationship Id="rId1198" Type="http://schemas.openxmlformats.org/officeDocument/2006/relationships/hyperlink" Target="https://expa.aiesec.org/opportunities/1298372" TargetMode="External"/><Relationship Id="rId1199" Type="http://schemas.openxmlformats.org/officeDocument/2006/relationships/hyperlink" Target="https://expa.aiesec.org/opportunities/1301281" TargetMode="External"/><Relationship Id="rId599" Type="http://schemas.openxmlformats.org/officeDocument/2006/relationships/hyperlink" Target="https://expa.aiesec.org/opportunities/1294128" TargetMode="External"/><Relationship Id="rId1180" Type="http://schemas.openxmlformats.org/officeDocument/2006/relationships/hyperlink" Target="https://expa.aiesec.org/opportunities/1288609" TargetMode="External"/><Relationship Id="rId1181" Type="http://schemas.openxmlformats.org/officeDocument/2006/relationships/hyperlink" Target="https://expa.aiesec.org/opportunities/1301307" TargetMode="External"/><Relationship Id="rId1182" Type="http://schemas.openxmlformats.org/officeDocument/2006/relationships/hyperlink" Target="https://expa.aiesec.org/opportunities/1281345" TargetMode="External"/><Relationship Id="rId594" Type="http://schemas.openxmlformats.org/officeDocument/2006/relationships/hyperlink" Target="https://expa.aiesec.org/opportunities/1294062" TargetMode="External"/><Relationship Id="rId1183" Type="http://schemas.openxmlformats.org/officeDocument/2006/relationships/hyperlink" Target="https://expa.aiesec.org/opportunities/1281345" TargetMode="External"/><Relationship Id="rId593" Type="http://schemas.openxmlformats.org/officeDocument/2006/relationships/hyperlink" Target="https://expa.aiesec.org/opportunities/1294062" TargetMode="External"/><Relationship Id="rId1184" Type="http://schemas.openxmlformats.org/officeDocument/2006/relationships/hyperlink" Target="https://expa.aiesec.org/opportunities/1292650" TargetMode="External"/><Relationship Id="rId592" Type="http://schemas.openxmlformats.org/officeDocument/2006/relationships/hyperlink" Target="https://expa.aiesec.org/opportunities/1293983" TargetMode="External"/><Relationship Id="rId1185" Type="http://schemas.openxmlformats.org/officeDocument/2006/relationships/hyperlink" Target="https://expa.aiesec.org/opportunities/1292188" TargetMode="External"/><Relationship Id="rId591" Type="http://schemas.openxmlformats.org/officeDocument/2006/relationships/hyperlink" Target="https://expa.aiesec.org/opportunities/1289807" TargetMode="External"/><Relationship Id="rId1186" Type="http://schemas.openxmlformats.org/officeDocument/2006/relationships/hyperlink" Target="https://expa.aiesec.org/opportunities/1288330" TargetMode="External"/><Relationship Id="rId598" Type="http://schemas.openxmlformats.org/officeDocument/2006/relationships/hyperlink" Target="https://expa.aiesec.org/opportunities/1294285" TargetMode="External"/><Relationship Id="rId1187" Type="http://schemas.openxmlformats.org/officeDocument/2006/relationships/hyperlink" Target="https://expa.aiesec.org/opportunities/1288330" TargetMode="External"/><Relationship Id="rId597" Type="http://schemas.openxmlformats.org/officeDocument/2006/relationships/hyperlink" Target="https://expa.aiesec.org/opportunities/1293284" TargetMode="External"/><Relationship Id="rId1188" Type="http://schemas.openxmlformats.org/officeDocument/2006/relationships/hyperlink" Target="https://expa.aiesec.org/opportunities/1301244" TargetMode="External"/><Relationship Id="rId596" Type="http://schemas.openxmlformats.org/officeDocument/2006/relationships/hyperlink" Target="https://expa.aiesec.org/opportunities/1290282" TargetMode="External"/><Relationship Id="rId1189" Type="http://schemas.openxmlformats.org/officeDocument/2006/relationships/hyperlink" Target="https://expa.aiesec.org/opportunities/1301244" TargetMode="External"/><Relationship Id="rId595" Type="http://schemas.openxmlformats.org/officeDocument/2006/relationships/hyperlink" Target="https://expa.aiesec.org/opportunities/1294005" TargetMode="External"/><Relationship Id="rId1136" Type="http://schemas.openxmlformats.org/officeDocument/2006/relationships/hyperlink" Target="https://expa.aiesec.org/opportunities/1286893" TargetMode="External"/><Relationship Id="rId1137" Type="http://schemas.openxmlformats.org/officeDocument/2006/relationships/hyperlink" Target="https://expa.aiesec.org/opportunities/1299756" TargetMode="External"/><Relationship Id="rId1138" Type="http://schemas.openxmlformats.org/officeDocument/2006/relationships/hyperlink" Target="https://expa.aiesec.org/opportunities/1299756" TargetMode="External"/><Relationship Id="rId1139" Type="http://schemas.openxmlformats.org/officeDocument/2006/relationships/hyperlink" Target="https://expa.aiesec.org/opportunities/1290292" TargetMode="External"/><Relationship Id="rId547" Type="http://schemas.openxmlformats.org/officeDocument/2006/relationships/hyperlink" Target="https://expa.aiesec.org/opportunities/1293284" TargetMode="External"/><Relationship Id="rId546" Type="http://schemas.openxmlformats.org/officeDocument/2006/relationships/hyperlink" Target="https://expa.aiesec.org/opportunities/1294075" TargetMode="External"/><Relationship Id="rId545" Type="http://schemas.openxmlformats.org/officeDocument/2006/relationships/hyperlink" Target="https://expa.aiesec.org/opportunities/1293979" TargetMode="External"/><Relationship Id="rId544" Type="http://schemas.openxmlformats.org/officeDocument/2006/relationships/hyperlink" Target="https://expa.aiesec.org/opportunities/1293861" TargetMode="External"/><Relationship Id="rId549" Type="http://schemas.openxmlformats.org/officeDocument/2006/relationships/hyperlink" Target="https://expa.aiesec.org/opportunities/1286442" TargetMode="External"/><Relationship Id="rId548" Type="http://schemas.openxmlformats.org/officeDocument/2006/relationships/hyperlink" Target="https://expa.aiesec.org/opportunities/1293623" TargetMode="External"/><Relationship Id="rId1130" Type="http://schemas.openxmlformats.org/officeDocument/2006/relationships/hyperlink" Target="https://expa.aiesec.org/opportunities/1299077" TargetMode="External"/><Relationship Id="rId1131" Type="http://schemas.openxmlformats.org/officeDocument/2006/relationships/hyperlink" Target="https://expa.aiesec.org/opportunities/1300777" TargetMode="External"/><Relationship Id="rId543" Type="http://schemas.openxmlformats.org/officeDocument/2006/relationships/hyperlink" Target="https://expa.aiesec.org/opportunities/1286585" TargetMode="External"/><Relationship Id="rId1132" Type="http://schemas.openxmlformats.org/officeDocument/2006/relationships/hyperlink" Target="https://expa.aiesec.org/opportunities/1289297" TargetMode="External"/><Relationship Id="rId542" Type="http://schemas.openxmlformats.org/officeDocument/2006/relationships/hyperlink" Target="https://expa.aiesec.org/opportunities/1289806" TargetMode="External"/><Relationship Id="rId1133" Type="http://schemas.openxmlformats.org/officeDocument/2006/relationships/hyperlink" Target="https://expa.aiesec.org/opportunities/1289297" TargetMode="External"/><Relationship Id="rId541" Type="http://schemas.openxmlformats.org/officeDocument/2006/relationships/hyperlink" Target="https://expa.aiesec.org/opportunities/1294161" TargetMode="External"/><Relationship Id="rId1134" Type="http://schemas.openxmlformats.org/officeDocument/2006/relationships/hyperlink" Target="https://expa.aiesec.org/opportunities/1299851" TargetMode="External"/><Relationship Id="rId540" Type="http://schemas.openxmlformats.org/officeDocument/2006/relationships/hyperlink" Target="https://expa.aiesec.org/opportunities/1293968" TargetMode="External"/><Relationship Id="rId1135" Type="http://schemas.openxmlformats.org/officeDocument/2006/relationships/hyperlink" Target="https://expa.aiesec.org/opportunities/1300091" TargetMode="External"/><Relationship Id="rId1125" Type="http://schemas.openxmlformats.org/officeDocument/2006/relationships/hyperlink" Target="https://expa.aiesec.org/opportunities/1292960" TargetMode="External"/><Relationship Id="rId1126" Type="http://schemas.openxmlformats.org/officeDocument/2006/relationships/hyperlink" Target="https://expa.aiesec.org/opportunities/1292960" TargetMode="External"/><Relationship Id="rId1127" Type="http://schemas.openxmlformats.org/officeDocument/2006/relationships/hyperlink" Target="https://expa.aiesec.org/opportunities/1292960" TargetMode="External"/><Relationship Id="rId1128" Type="http://schemas.openxmlformats.org/officeDocument/2006/relationships/hyperlink" Target="https://expa.aiesec.org/opportunities/1292960" TargetMode="External"/><Relationship Id="rId1129" Type="http://schemas.openxmlformats.org/officeDocument/2006/relationships/hyperlink" Target="https://expa.aiesec.org/opportunities/1289297" TargetMode="External"/><Relationship Id="rId536" Type="http://schemas.openxmlformats.org/officeDocument/2006/relationships/hyperlink" Target="https://expa.aiesec.org/opportunities/1290282" TargetMode="External"/><Relationship Id="rId535" Type="http://schemas.openxmlformats.org/officeDocument/2006/relationships/hyperlink" Target="https://expa.aiesec.org/opportunities/1288798" TargetMode="External"/><Relationship Id="rId534" Type="http://schemas.openxmlformats.org/officeDocument/2006/relationships/hyperlink" Target="https://expa.aiesec.org/opportunities/1294117" TargetMode="External"/><Relationship Id="rId533" Type="http://schemas.openxmlformats.org/officeDocument/2006/relationships/hyperlink" Target="https://expa.aiesec.org/opportunities/1289850" TargetMode="External"/><Relationship Id="rId539" Type="http://schemas.openxmlformats.org/officeDocument/2006/relationships/hyperlink" Target="https://expa.aiesec.org/opportunities/1294137" TargetMode="External"/><Relationship Id="rId538" Type="http://schemas.openxmlformats.org/officeDocument/2006/relationships/hyperlink" Target="https://expa.aiesec.org/opportunities/1287602" TargetMode="External"/><Relationship Id="rId537" Type="http://schemas.openxmlformats.org/officeDocument/2006/relationships/hyperlink" Target="https://expa.aiesec.org/opportunities/1294426" TargetMode="External"/><Relationship Id="rId1120" Type="http://schemas.openxmlformats.org/officeDocument/2006/relationships/hyperlink" Target="https://expa.aiesec.org/opportunities/1293235" TargetMode="External"/><Relationship Id="rId532" Type="http://schemas.openxmlformats.org/officeDocument/2006/relationships/hyperlink" Target="https://expa.aiesec.org/opportunities/1293200" TargetMode="External"/><Relationship Id="rId1121" Type="http://schemas.openxmlformats.org/officeDocument/2006/relationships/hyperlink" Target="https://expa.aiesec.org/opportunities/1300559" TargetMode="External"/><Relationship Id="rId531" Type="http://schemas.openxmlformats.org/officeDocument/2006/relationships/hyperlink" Target="https://expa.aiesec.org/opportunities/1290282" TargetMode="External"/><Relationship Id="rId1122" Type="http://schemas.openxmlformats.org/officeDocument/2006/relationships/hyperlink" Target="https://expa.aiesec.org/opportunities/1301307" TargetMode="External"/><Relationship Id="rId530" Type="http://schemas.openxmlformats.org/officeDocument/2006/relationships/hyperlink" Target="https://expa.aiesec.org/opportunities/1293866" TargetMode="External"/><Relationship Id="rId1123" Type="http://schemas.openxmlformats.org/officeDocument/2006/relationships/hyperlink" Target="https://expa.aiesec.org/opportunities/1294151" TargetMode="External"/><Relationship Id="rId1124" Type="http://schemas.openxmlformats.org/officeDocument/2006/relationships/hyperlink" Target="https://expa.aiesec.org/opportunities/1294151" TargetMode="External"/><Relationship Id="rId1158" Type="http://schemas.openxmlformats.org/officeDocument/2006/relationships/hyperlink" Target="https://expa.aiesec.org/opportunities/1294232" TargetMode="External"/><Relationship Id="rId1159" Type="http://schemas.openxmlformats.org/officeDocument/2006/relationships/hyperlink" Target="https://expa.aiesec.org/opportunities/1289583" TargetMode="External"/><Relationship Id="rId569" Type="http://schemas.openxmlformats.org/officeDocument/2006/relationships/hyperlink" Target="https://expa.aiesec.org/opportunities/1294505" TargetMode="External"/><Relationship Id="rId568" Type="http://schemas.openxmlformats.org/officeDocument/2006/relationships/hyperlink" Target="https://expa.aiesec.org/opportunities/1294505" TargetMode="External"/><Relationship Id="rId567" Type="http://schemas.openxmlformats.org/officeDocument/2006/relationships/hyperlink" Target="https://expa.aiesec.org/opportunities/1293463" TargetMode="External"/><Relationship Id="rId566" Type="http://schemas.openxmlformats.org/officeDocument/2006/relationships/hyperlink" Target="https://expa.aiesec.org/opportunities/1289850" TargetMode="External"/><Relationship Id="rId561" Type="http://schemas.openxmlformats.org/officeDocument/2006/relationships/hyperlink" Target="https://expa.aiesec.org/opportunities/1293918" TargetMode="External"/><Relationship Id="rId1150" Type="http://schemas.openxmlformats.org/officeDocument/2006/relationships/hyperlink" Target="https://expa.aiesec.org/opportunities/1300681" TargetMode="External"/><Relationship Id="rId560" Type="http://schemas.openxmlformats.org/officeDocument/2006/relationships/hyperlink" Target="https://expa.aiesec.org/opportunities/1293645" TargetMode="External"/><Relationship Id="rId1151" Type="http://schemas.openxmlformats.org/officeDocument/2006/relationships/hyperlink" Target="https://expa.aiesec.org/opportunities/1301246" TargetMode="External"/><Relationship Id="rId1152" Type="http://schemas.openxmlformats.org/officeDocument/2006/relationships/hyperlink" Target="https://expa.aiesec.org/opportunities/1299661" TargetMode="External"/><Relationship Id="rId1153" Type="http://schemas.openxmlformats.org/officeDocument/2006/relationships/hyperlink" Target="https://expa.aiesec.org/opportunities/1294232" TargetMode="External"/><Relationship Id="rId565" Type="http://schemas.openxmlformats.org/officeDocument/2006/relationships/hyperlink" Target="https://expa.aiesec.org/opportunities/1290806" TargetMode="External"/><Relationship Id="rId1154" Type="http://schemas.openxmlformats.org/officeDocument/2006/relationships/hyperlink" Target="https://expa.aiesec.org/opportunities/1294232" TargetMode="External"/><Relationship Id="rId564" Type="http://schemas.openxmlformats.org/officeDocument/2006/relationships/hyperlink" Target="https://expa.aiesec.org/opportunities/1290393" TargetMode="External"/><Relationship Id="rId1155" Type="http://schemas.openxmlformats.org/officeDocument/2006/relationships/hyperlink" Target="https://expa.aiesec.org/opportunities/1299929" TargetMode="External"/><Relationship Id="rId563" Type="http://schemas.openxmlformats.org/officeDocument/2006/relationships/hyperlink" Target="https://expa.aiesec.org/opportunities/1279870" TargetMode="External"/><Relationship Id="rId1156" Type="http://schemas.openxmlformats.org/officeDocument/2006/relationships/hyperlink" Target="https://expa.aiesec.org/opportunities/1301306" TargetMode="External"/><Relationship Id="rId562" Type="http://schemas.openxmlformats.org/officeDocument/2006/relationships/hyperlink" Target="https://expa.aiesec.org/opportunities/1293980" TargetMode="External"/><Relationship Id="rId1157" Type="http://schemas.openxmlformats.org/officeDocument/2006/relationships/hyperlink" Target="https://expa.aiesec.org/opportunities/1301281" TargetMode="External"/><Relationship Id="rId1147" Type="http://schemas.openxmlformats.org/officeDocument/2006/relationships/hyperlink" Target="https://expa.aiesec.org/opportunities/1301022" TargetMode="External"/><Relationship Id="rId1148" Type="http://schemas.openxmlformats.org/officeDocument/2006/relationships/hyperlink" Target="https://expa.aiesec.org/opportunities/1301307" TargetMode="External"/><Relationship Id="rId1149" Type="http://schemas.openxmlformats.org/officeDocument/2006/relationships/hyperlink" Target="https://expa.aiesec.org/opportunities/1296885" TargetMode="External"/><Relationship Id="rId558" Type="http://schemas.openxmlformats.org/officeDocument/2006/relationships/hyperlink" Target="https://expa.aiesec.org/opportunities/1291885" TargetMode="External"/><Relationship Id="rId557" Type="http://schemas.openxmlformats.org/officeDocument/2006/relationships/hyperlink" Target="https://expa.aiesec.org/opportunities/1290807" TargetMode="External"/><Relationship Id="rId556" Type="http://schemas.openxmlformats.org/officeDocument/2006/relationships/hyperlink" Target="https://expa.aiesec.org/opportunities/1292571" TargetMode="External"/><Relationship Id="rId555" Type="http://schemas.openxmlformats.org/officeDocument/2006/relationships/hyperlink" Target="https://expa.aiesec.org/opportunities/1294458" TargetMode="External"/><Relationship Id="rId559" Type="http://schemas.openxmlformats.org/officeDocument/2006/relationships/hyperlink" Target="https://expa.aiesec.org/opportunities/1284922" TargetMode="External"/><Relationship Id="rId550" Type="http://schemas.openxmlformats.org/officeDocument/2006/relationships/hyperlink" Target="https://expa.aiesec.org/opportunities/1294489" TargetMode="External"/><Relationship Id="rId1140" Type="http://schemas.openxmlformats.org/officeDocument/2006/relationships/hyperlink" Target="https://expa.aiesec.org/opportunities/1292960" TargetMode="External"/><Relationship Id="rId1141" Type="http://schemas.openxmlformats.org/officeDocument/2006/relationships/hyperlink" Target="https://expa.aiesec.org/opportunities/1292298" TargetMode="External"/><Relationship Id="rId1142" Type="http://schemas.openxmlformats.org/officeDocument/2006/relationships/hyperlink" Target="https://expa.aiesec.org/opportunities/1292298" TargetMode="External"/><Relationship Id="rId554" Type="http://schemas.openxmlformats.org/officeDocument/2006/relationships/hyperlink" Target="https://expa.aiesec.org/opportunities/1294193" TargetMode="External"/><Relationship Id="rId1143" Type="http://schemas.openxmlformats.org/officeDocument/2006/relationships/hyperlink" Target="https://expa.aiesec.org/opportunities/1294860" TargetMode="External"/><Relationship Id="rId553" Type="http://schemas.openxmlformats.org/officeDocument/2006/relationships/hyperlink" Target="https://expa.aiesec.org/opportunities/1294522" TargetMode="External"/><Relationship Id="rId1144" Type="http://schemas.openxmlformats.org/officeDocument/2006/relationships/hyperlink" Target="https://expa.aiesec.org/opportunities/1293239" TargetMode="External"/><Relationship Id="rId552" Type="http://schemas.openxmlformats.org/officeDocument/2006/relationships/hyperlink" Target="https://expa.aiesec.org/opportunities/1294179" TargetMode="External"/><Relationship Id="rId1145" Type="http://schemas.openxmlformats.org/officeDocument/2006/relationships/hyperlink" Target="https://expa.aiesec.org/opportunities/1289372" TargetMode="External"/><Relationship Id="rId551" Type="http://schemas.openxmlformats.org/officeDocument/2006/relationships/hyperlink" Target="https://expa.aiesec.org/opportunities/1294310" TargetMode="External"/><Relationship Id="rId1146" Type="http://schemas.openxmlformats.org/officeDocument/2006/relationships/hyperlink" Target="https://expa.aiesec.org/opportunities/1288609" TargetMode="External"/><Relationship Id="rId495" Type="http://schemas.openxmlformats.org/officeDocument/2006/relationships/hyperlink" Target="https://expa.aiesec.org/opportunities/1288609" TargetMode="External"/><Relationship Id="rId494" Type="http://schemas.openxmlformats.org/officeDocument/2006/relationships/hyperlink" Target="https://expa.aiesec.org/opportunities/1292910" TargetMode="External"/><Relationship Id="rId493" Type="http://schemas.openxmlformats.org/officeDocument/2006/relationships/hyperlink" Target="https://expa.aiesec.org/opportunities/1288412" TargetMode="External"/><Relationship Id="rId492" Type="http://schemas.openxmlformats.org/officeDocument/2006/relationships/hyperlink" Target="https://expa.aiesec.org/opportunities/1292871" TargetMode="External"/><Relationship Id="rId499" Type="http://schemas.openxmlformats.org/officeDocument/2006/relationships/hyperlink" Target="https://expa.aiesec.org/opportunities/1293463" TargetMode="External"/><Relationship Id="rId498" Type="http://schemas.openxmlformats.org/officeDocument/2006/relationships/hyperlink" Target="https://expa.aiesec.org/opportunities/1284312" TargetMode="External"/><Relationship Id="rId497" Type="http://schemas.openxmlformats.org/officeDocument/2006/relationships/hyperlink" Target="https://expa.aiesec.org/opportunities/1293019" TargetMode="External"/><Relationship Id="rId496" Type="http://schemas.openxmlformats.org/officeDocument/2006/relationships/hyperlink" Target="https://expa.aiesec.org/opportunities/1288411" TargetMode="External"/><Relationship Id="rId1213" Type="http://schemas.openxmlformats.org/officeDocument/2006/relationships/hyperlink" Target="https://expa.aiesec.org/opportunities/1299121" TargetMode="External"/><Relationship Id="rId1214" Type="http://schemas.openxmlformats.org/officeDocument/2006/relationships/hyperlink" Target="https://expa.aiesec.org/opportunities/1286339" TargetMode="External"/><Relationship Id="rId1215" Type="http://schemas.openxmlformats.org/officeDocument/2006/relationships/hyperlink" Target="https://expa.aiesec.org/opportunities/1293268" TargetMode="External"/><Relationship Id="rId1216" Type="http://schemas.openxmlformats.org/officeDocument/2006/relationships/hyperlink" Target="https://expa.aiesec.org/opportunities/1298618" TargetMode="External"/><Relationship Id="rId1217" Type="http://schemas.openxmlformats.org/officeDocument/2006/relationships/hyperlink" Target="https://expa.aiesec.org/opportunities/1294232" TargetMode="External"/><Relationship Id="rId1218" Type="http://schemas.openxmlformats.org/officeDocument/2006/relationships/hyperlink" Target="https://expa.aiesec.org/opportunities/1294232" TargetMode="External"/><Relationship Id="rId1219" Type="http://schemas.openxmlformats.org/officeDocument/2006/relationships/hyperlink" Target="https://expa.aiesec.org/opportunities/1298927" TargetMode="External"/><Relationship Id="rId1210" Type="http://schemas.openxmlformats.org/officeDocument/2006/relationships/hyperlink" Target="https://expa.aiesec.org/opportunities/1299605" TargetMode="External"/><Relationship Id="rId1211" Type="http://schemas.openxmlformats.org/officeDocument/2006/relationships/hyperlink" Target="https://expa.aiesec.org/opportunities/1298372" TargetMode="External"/><Relationship Id="rId1212" Type="http://schemas.openxmlformats.org/officeDocument/2006/relationships/hyperlink" Target="https://expa.aiesec.org/opportunities/1293100" TargetMode="External"/><Relationship Id="rId1202" Type="http://schemas.openxmlformats.org/officeDocument/2006/relationships/hyperlink" Target="https://expa.aiesec.org/opportunities/1300628" TargetMode="External"/><Relationship Id="rId1203" Type="http://schemas.openxmlformats.org/officeDocument/2006/relationships/hyperlink" Target="https://expa.aiesec.org/opportunities/1294232" TargetMode="External"/><Relationship Id="rId1204" Type="http://schemas.openxmlformats.org/officeDocument/2006/relationships/hyperlink" Target="https://expa.aiesec.org/opportunities/1301109" TargetMode="External"/><Relationship Id="rId1205" Type="http://schemas.openxmlformats.org/officeDocument/2006/relationships/hyperlink" Target="https://expa.aiesec.org/opportunities/1298053" TargetMode="External"/><Relationship Id="rId1206" Type="http://schemas.openxmlformats.org/officeDocument/2006/relationships/hyperlink" Target="https://expa.aiesec.org/opportunities/1285085" TargetMode="External"/><Relationship Id="rId1207" Type="http://schemas.openxmlformats.org/officeDocument/2006/relationships/hyperlink" Target="https://expa.aiesec.org/opportunities/1300585" TargetMode="External"/><Relationship Id="rId1208" Type="http://schemas.openxmlformats.org/officeDocument/2006/relationships/hyperlink" Target="https://expa.aiesec.org/opportunities/1301239" TargetMode="External"/><Relationship Id="rId1209" Type="http://schemas.openxmlformats.org/officeDocument/2006/relationships/hyperlink" Target="https://expa.aiesec.org/opportunities/1300165" TargetMode="External"/><Relationship Id="rId1200" Type="http://schemas.openxmlformats.org/officeDocument/2006/relationships/hyperlink" Target="https://expa.aiesec.org/opportunities/1298053" TargetMode="External"/><Relationship Id="rId1201" Type="http://schemas.openxmlformats.org/officeDocument/2006/relationships/hyperlink" Target="https://expa.aiesec.org/opportunities/1295628" TargetMode="External"/><Relationship Id="rId1235" Type="http://schemas.openxmlformats.org/officeDocument/2006/relationships/hyperlink" Target="https://expa.aiesec.org/opportunities/1299612" TargetMode="External"/><Relationship Id="rId1236" Type="http://schemas.openxmlformats.org/officeDocument/2006/relationships/hyperlink" Target="https://expa.aiesec.org/opportunities/1294232" TargetMode="External"/><Relationship Id="rId1237" Type="http://schemas.openxmlformats.org/officeDocument/2006/relationships/hyperlink" Target="https://expa.aiesec.org/opportunities/1300175" TargetMode="External"/><Relationship Id="rId1238" Type="http://schemas.openxmlformats.org/officeDocument/2006/relationships/hyperlink" Target="https://expa.aiesec.org/opportunities/1299608" TargetMode="External"/><Relationship Id="rId1239" Type="http://schemas.openxmlformats.org/officeDocument/2006/relationships/hyperlink" Target="https://expa.aiesec.org/opportunities/1288609" TargetMode="External"/><Relationship Id="rId409" Type="http://schemas.openxmlformats.org/officeDocument/2006/relationships/hyperlink" Target="https://expa.aiesec.org/opportunities/1293131" TargetMode="External"/><Relationship Id="rId404" Type="http://schemas.openxmlformats.org/officeDocument/2006/relationships/hyperlink" Target="https://expa.aiesec.org/opportunities/1292829" TargetMode="External"/><Relationship Id="rId403" Type="http://schemas.openxmlformats.org/officeDocument/2006/relationships/hyperlink" Target="https://expa.aiesec.org/opportunities/1293298" TargetMode="External"/><Relationship Id="rId402" Type="http://schemas.openxmlformats.org/officeDocument/2006/relationships/hyperlink" Target="https://expa.aiesec.org/opportunities/1291168" TargetMode="External"/><Relationship Id="rId401" Type="http://schemas.openxmlformats.org/officeDocument/2006/relationships/hyperlink" Target="https://expa.aiesec.org/opportunities/1292756" TargetMode="External"/><Relationship Id="rId408" Type="http://schemas.openxmlformats.org/officeDocument/2006/relationships/hyperlink" Target="https://expa.aiesec.org/opportunities/1293312" TargetMode="External"/><Relationship Id="rId407" Type="http://schemas.openxmlformats.org/officeDocument/2006/relationships/hyperlink" Target="https://expa.aiesec.org/opportunities/1293412" TargetMode="External"/><Relationship Id="rId406" Type="http://schemas.openxmlformats.org/officeDocument/2006/relationships/hyperlink" Target="https://expa.aiesec.org/opportunities/1292829" TargetMode="External"/><Relationship Id="rId405" Type="http://schemas.openxmlformats.org/officeDocument/2006/relationships/hyperlink" Target="https://expa.aiesec.org/opportunities/1288129" TargetMode="External"/><Relationship Id="rId1230" Type="http://schemas.openxmlformats.org/officeDocument/2006/relationships/hyperlink" Target="https://expa.aiesec.org/opportunities/1299929" TargetMode="External"/><Relationship Id="rId400" Type="http://schemas.openxmlformats.org/officeDocument/2006/relationships/hyperlink" Target="https://expa.aiesec.org/opportunities/1292379" TargetMode="External"/><Relationship Id="rId1231" Type="http://schemas.openxmlformats.org/officeDocument/2006/relationships/hyperlink" Target="https://expa.aiesec.org/opportunities/1293463" TargetMode="External"/><Relationship Id="rId1232" Type="http://schemas.openxmlformats.org/officeDocument/2006/relationships/hyperlink" Target="https://expa.aiesec.org/opportunities/1293463" TargetMode="External"/><Relationship Id="rId1233" Type="http://schemas.openxmlformats.org/officeDocument/2006/relationships/hyperlink" Target="https://expa.aiesec.org/opportunities/1293463" TargetMode="External"/><Relationship Id="rId1234" Type="http://schemas.openxmlformats.org/officeDocument/2006/relationships/hyperlink" Target="https://expa.aiesec.org/opportunities/1301306" TargetMode="External"/><Relationship Id="rId1224" Type="http://schemas.openxmlformats.org/officeDocument/2006/relationships/hyperlink" Target="https://expa.aiesec.org/opportunities/1288410" TargetMode="External"/><Relationship Id="rId1225" Type="http://schemas.openxmlformats.org/officeDocument/2006/relationships/hyperlink" Target="https://expa.aiesec.org/opportunities/1299886" TargetMode="External"/><Relationship Id="rId1226" Type="http://schemas.openxmlformats.org/officeDocument/2006/relationships/hyperlink" Target="https://expa.aiesec.org/opportunities/1294232" TargetMode="External"/><Relationship Id="rId1227" Type="http://schemas.openxmlformats.org/officeDocument/2006/relationships/hyperlink" Target="https://expa.aiesec.org/opportunities/1294232" TargetMode="External"/><Relationship Id="rId1228" Type="http://schemas.openxmlformats.org/officeDocument/2006/relationships/hyperlink" Target="https://expa.aiesec.org/opportunities/1290806" TargetMode="External"/><Relationship Id="rId1229" Type="http://schemas.openxmlformats.org/officeDocument/2006/relationships/hyperlink" Target="https://expa.aiesec.org/opportunities/1301550" TargetMode="External"/><Relationship Id="rId1220" Type="http://schemas.openxmlformats.org/officeDocument/2006/relationships/hyperlink" Target="https://expa.aiesec.org/opportunities/1286893" TargetMode="External"/><Relationship Id="rId1221" Type="http://schemas.openxmlformats.org/officeDocument/2006/relationships/hyperlink" Target="https://expa.aiesec.org/opportunities/1286339" TargetMode="External"/><Relationship Id="rId1222" Type="http://schemas.openxmlformats.org/officeDocument/2006/relationships/hyperlink" Target="https://expa.aiesec.org/opportunities/1299605" TargetMode="External"/><Relationship Id="rId1223" Type="http://schemas.openxmlformats.org/officeDocument/2006/relationships/hyperlink" Target="https://expa.aiesec.org/opportunities/1294232" TargetMode="External"/><Relationship Id="rId469" Type="http://schemas.openxmlformats.org/officeDocument/2006/relationships/hyperlink" Target="https://expa.aiesec.org/opportunities/1290282" TargetMode="External"/><Relationship Id="rId468" Type="http://schemas.openxmlformats.org/officeDocument/2006/relationships/hyperlink" Target="https://expa.aiesec.org/opportunities/1294000" TargetMode="External"/><Relationship Id="rId467" Type="http://schemas.openxmlformats.org/officeDocument/2006/relationships/hyperlink" Target="https://expa.aiesec.org/opportunities/1293462" TargetMode="External"/><Relationship Id="rId1290" Type="http://schemas.openxmlformats.org/officeDocument/2006/relationships/hyperlink" Target="https://expa.aiesec.org/opportunities/1298542" TargetMode="External"/><Relationship Id="rId1291" Type="http://schemas.openxmlformats.org/officeDocument/2006/relationships/hyperlink" Target="https://expa.aiesec.org/opportunities/1295303" TargetMode="External"/><Relationship Id="rId1292" Type="http://schemas.openxmlformats.org/officeDocument/2006/relationships/hyperlink" Target="https://expa.aiesec.org/opportunities/1298571" TargetMode="External"/><Relationship Id="rId462" Type="http://schemas.openxmlformats.org/officeDocument/2006/relationships/hyperlink" Target="https://expa.aiesec.org/opportunities/1293245" TargetMode="External"/><Relationship Id="rId1293" Type="http://schemas.openxmlformats.org/officeDocument/2006/relationships/hyperlink" Target="https://expa.aiesec.org/opportunities/1300091" TargetMode="External"/><Relationship Id="rId461" Type="http://schemas.openxmlformats.org/officeDocument/2006/relationships/hyperlink" Target="https://expa.aiesec.org/opportunities/1293245" TargetMode="External"/><Relationship Id="rId1294" Type="http://schemas.openxmlformats.org/officeDocument/2006/relationships/hyperlink" Target="https://expa.aiesec.org/opportunities/1298816" TargetMode="External"/><Relationship Id="rId460" Type="http://schemas.openxmlformats.org/officeDocument/2006/relationships/hyperlink" Target="https://expa.aiesec.org/opportunities/1292571" TargetMode="External"/><Relationship Id="rId1295" Type="http://schemas.openxmlformats.org/officeDocument/2006/relationships/hyperlink" Target="https://expa.aiesec.org/opportunities/1300120" TargetMode="External"/><Relationship Id="rId1296" Type="http://schemas.openxmlformats.org/officeDocument/2006/relationships/hyperlink" Target="https://expa.aiesec.org/opportunities/1298549" TargetMode="External"/><Relationship Id="rId466" Type="http://schemas.openxmlformats.org/officeDocument/2006/relationships/hyperlink" Target="https://expa.aiesec.org/opportunities/1293200" TargetMode="External"/><Relationship Id="rId1297" Type="http://schemas.openxmlformats.org/officeDocument/2006/relationships/hyperlink" Target="https://expa.aiesec.org/opportunities/1299359" TargetMode="External"/><Relationship Id="rId465" Type="http://schemas.openxmlformats.org/officeDocument/2006/relationships/hyperlink" Target="https://expa.aiesec.org/opportunities/1294000" TargetMode="External"/><Relationship Id="rId1298" Type="http://schemas.openxmlformats.org/officeDocument/2006/relationships/hyperlink" Target="https://expa.aiesec.org/opportunities/1298866" TargetMode="External"/><Relationship Id="rId464" Type="http://schemas.openxmlformats.org/officeDocument/2006/relationships/hyperlink" Target="https://expa.aiesec.org/opportunities/1292944" TargetMode="External"/><Relationship Id="rId1299" Type="http://schemas.openxmlformats.org/officeDocument/2006/relationships/hyperlink" Target="https://expa.aiesec.org/opportunities/1299605" TargetMode="External"/><Relationship Id="rId463" Type="http://schemas.openxmlformats.org/officeDocument/2006/relationships/hyperlink" Target="https://expa.aiesec.org/opportunities/1293835" TargetMode="External"/><Relationship Id="rId459" Type="http://schemas.openxmlformats.org/officeDocument/2006/relationships/hyperlink" Target="https://expa.aiesec.org/opportunities/1292571" TargetMode="External"/><Relationship Id="rId458" Type="http://schemas.openxmlformats.org/officeDocument/2006/relationships/hyperlink" Target="https://expa.aiesec.org/opportunities/1293611" TargetMode="External"/><Relationship Id="rId457" Type="http://schemas.openxmlformats.org/officeDocument/2006/relationships/hyperlink" Target="https://expa.aiesec.org/opportunities/1289829" TargetMode="External"/><Relationship Id="rId456" Type="http://schemas.openxmlformats.org/officeDocument/2006/relationships/hyperlink" Target="https://expa.aiesec.org/opportunities/1292571" TargetMode="External"/><Relationship Id="rId1280" Type="http://schemas.openxmlformats.org/officeDocument/2006/relationships/hyperlink" Target="https://expa.aiesec.org/opportunities/1288609" TargetMode="External"/><Relationship Id="rId1281" Type="http://schemas.openxmlformats.org/officeDocument/2006/relationships/hyperlink" Target="https://expa.aiesec.org/opportunities/1296885" TargetMode="External"/><Relationship Id="rId451" Type="http://schemas.openxmlformats.org/officeDocument/2006/relationships/hyperlink" Target="https://expa.aiesec.org/opportunities/1290053" TargetMode="External"/><Relationship Id="rId1282" Type="http://schemas.openxmlformats.org/officeDocument/2006/relationships/hyperlink" Target="https://expa.aiesec.org/opportunities/1288609" TargetMode="External"/><Relationship Id="rId450" Type="http://schemas.openxmlformats.org/officeDocument/2006/relationships/hyperlink" Target="https://expa.aiesec.org/opportunities/1281901" TargetMode="External"/><Relationship Id="rId1283" Type="http://schemas.openxmlformats.org/officeDocument/2006/relationships/hyperlink" Target="https://expa.aiesec.org/opportunities/1288609" TargetMode="External"/><Relationship Id="rId1284" Type="http://schemas.openxmlformats.org/officeDocument/2006/relationships/hyperlink" Target="https://expa.aiesec.org/opportunities/1293463" TargetMode="External"/><Relationship Id="rId1285" Type="http://schemas.openxmlformats.org/officeDocument/2006/relationships/hyperlink" Target="https://expa.aiesec.org/opportunities/1299332" TargetMode="External"/><Relationship Id="rId455" Type="http://schemas.openxmlformats.org/officeDocument/2006/relationships/hyperlink" Target="https://expa.aiesec.org/opportunities/1291819" TargetMode="External"/><Relationship Id="rId1286" Type="http://schemas.openxmlformats.org/officeDocument/2006/relationships/hyperlink" Target="https://expa.aiesec.org/opportunities/1300217" TargetMode="External"/><Relationship Id="rId454" Type="http://schemas.openxmlformats.org/officeDocument/2006/relationships/hyperlink" Target="https://expa.aiesec.org/opportunities/1290282" TargetMode="External"/><Relationship Id="rId1287" Type="http://schemas.openxmlformats.org/officeDocument/2006/relationships/hyperlink" Target="https://expa.aiesec.org/opportunities/1301702" TargetMode="External"/><Relationship Id="rId453" Type="http://schemas.openxmlformats.org/officeDocument/2006/relationships/hyperlink" Target="https://expa.aiesec.org/opportunities/1291819" TargetMode="External"/><Relationship Id="rId1288" Type="http://schemas.openxmlformats.org/officeDocument/2006/relationships/hyperlink" Target="https://expa.aiesec.org/opportunities/1299929" TargetMode="External"/><Relationship Id="rId452" Type="http://schemas.openxmlformats.org/officeDocument/2006/relationships/hyperlink" Target="https://expa.aiesec.org/opportunities/1290260" TargetMode="External"/><Relationship Id="rId1289" Type="http://schemas.openxmlformats.org/officeDocument/2006/relationships/hyperlink" Target="https://expa.aiesec.org/opportunities/1298372" TargetMode="External"/><Relationship Id="rId491" Type="http://schemas.openxmlformats.org/officeDocument/2006/relationships/hyperlink" Target="https://expa.aiesec.org/opportunities/1293172" TargetMode="External"/><Relationship Id="rId490" Type="http://schemas.openxmlformats.org/officeDocument/2006/relationships/hyperlink" Target="https://expa.aiesec.org/opportunities/1288609" TargetMode="External"/><Relationship Id="rId489" Type="http://schemas.openxmlformats.org/officeDocument/2006/relationships/hyperlink" Target="https://expa.aiesec.org/opportunities/1290282" TargetMode="External"/><Relationship Id="rId484" Type="http://schemas.openxmlformats.org/officeDocument/2006/relationships/hyperlink" Target="https://expa.aiesec.org/opportunities/1292667" TargetMode="External"/><Relationship Id="rId483" Type="http://schemas.openxmlformats.org/officeDocument/2006/relationships/hyperlink" Target="https://expa.aiesec.org/opportunities/1293691" TargetMode="External"/><Relationship Id="rId482" Type="http://schemas.openxmlformats.org/officeDocument/2006/relationships/hyperlink" Target="https://expa.aiesec.org/opportunities/1290282" TargetMode="External"/><Relationship Id="rId481" Type="http://schemas.openxmlformats.org/officeDocument/2006/relationships/hyperlink" Target="https://expa.aiesec.org/opportunities/1290282" TargetMode="External"/><Relationship Id="rId488" Type="http://schemas.openxmlformats.org/officeDocument/2006/relationships/hyperlink" Target="https://expa.aiesec.org/opportunities/1289297" TargetMode="External"/><Relationship Id="rId487" Type="http://schemas.openxmlformats.org/officeDocument/2006/relationships/hyperlink" Target="https://expa.aiesec.org/opportunities/1293625" TargetMode="External"/><Relationship Id="rId486" Type="http://schemas.openxmlformats.org/officeDocument/2006/relationships/hyperlink" Target="https://expa.aiesec.org/opportunities/1293468" TargetMode="External"/><Relationship Id="rId485" Type="http://schemas.openxmlformats.org/officeDocument/2006/relationships/hyperlink" Target="https://expa.aiesec.org/opportunities/1293467" TargetMode="External"/><Relationship Id="rId480" Type="http://schemas.openxmlformats.org/officeDocument/2006/relationships/hyperlink" Target="https://expa.aiesec.org/opportunities/1286039" TargetMode="External"/><Relationship Id="rId479" Type="http://schemas.openxmlformats.org/officeDocument/2006/relationships/hyperlink" Target="https://expa.aiesec.org/opportunities/1293951" TargetMode="External"/><Relationship Id="rId478" Type="http://schemas.openxmlformats.org/officeDocument/2006/relationships/hyperlink" Target="https://expa.aiesec.org/opportunities/1286039" TargetMode="External"/><Relationship Id="rId473" Type="http://schemas.openxmlformats.org/officeDocument/2006/relationships/hyperlink" Target="https://expa.aiesec.org/opportunities/1294034" TargetMode="External"/><Relationship Id="rId472" Type="http://schemas.openxmlformats.org/officeDocument/2006/relationships/hyperlink" Target="https://expa.aiesec.org/opportunities/1288798" TargetMode="External"/><Relationship Id="rId471" Type="http://schemas.openxmlformats.org/officeDocument/2006/relationships/hyperlink" Target="https://expa.aiesec.org/opportunities/1285905" TargetMode="External"/><Relationship Id="rId470" Type="http://schemas.openxmlformats.org/officeDocument/2006/relationships/hyperlink" Target="https://expa.aiesec.org/opportunities/1285905" TargetMode="External"/><Relationship Id="rId477" Type="http://schemas.openxmlformats.org/officeDocument/2006/relationships/hyperlink" Target="https://expa.aiesec.org/opportunities/1286039" TargetMode="External"/><Relationship Id="rId476" Type="http://schemas.openxmlformats.org/officeDocument/2006/relationships/hyperlink" Target="https://expa.aiesec.org/opportunities/1293463" TargetMode="External"/><Relationship Id="rId475" Type="http://schemas.openxmlformats.org/officeDocument/2006/relationships/hyperlink" Target="https://expa.aiesec.org/opportunities/1290891" TargetMode="External"/><Relationship Id="rId474" Type="http://schemas.openxmlformats.org/officeDocument/2006/relationships/hyperlink" Target="https://expa.aiesec.org/opportunities/1294000" TargetMode="External"/><Relationship Id="rId1257" Type="http://schemas.openxmlformats.org/officeDocument/2006/relationships/hyperlink" Target="https://expa.aiesec.org/opportunities/1298814" TargetMode="External"/><Relationship Id="rId1258" Type="http://schemas.openxmlformats.org/officeDocument/2006/relationships/hyperlink" Target="https://expa.aiesec.org/opportunities/1281345" TargetMode="External"/><Relationship Id="rId1259" Type="http://schemas.openxmlformats.org/officeDocument/2006/relationships/hyperlink" Target="https://expa.aiesec.org/opportunities/1281236" TargetMode="External"/><Relationship Id="rId426" Type="http://schemas.openxmlformats.org/officeDocument/2006/relationships/hyperlink" Target="https://expa.aiesec.org/opportunities/1290282" TargetMode="External"/><Relationship Id="rId425" Type="http://schemas.openxmlformats.org/officeDocument/2006/relationships/hyperlink" Target="https://expa.aiesec.org/opportunities/1288414" TargetMode="External"/><Relationship Id="rId424" Type="http://schemas.openxmlformats.org/officeDocument/2006/relationships/hyperlink" Target="https://expa.aiesec.org/opportunities/1293125" TargetMode="External"/><Relationship Id="rId423" Type="http://schemas.openxmlformats.org/officeDocument/2006/relationships/hyperlink" Target="https://expa.aiesec.org/opportunities/1281235" TargetMode="External"/><Relationship Id="rId429" Type="http://schemas.openxmlformats.org/officeDocument/2006/relationships/hyperlink" Target="https://expa.aiesec.org/opportunities/1289936" TargetMode="External"/><Relationship Id="rId428" Type="http://schemas.openxmlformats.org/officeDocument/2006/relationships/hyperlink" Target="https://expa.aiesec.org/opportunities/1293112" TargetMode="External"/><Relationship Id="rId427" Type="http://schemas.openxmlformats.org/officeDocument/2006/relationships/hyperlink" Target="https://expa.aiesec.org/opportunities/1291067" TargetMode="External"/><Relationship Id="rId1250" Type="http://schemas.openxmlformats.org/officeDocument/2006/relationships/hyperlink" Target="https://expa.aiesec.org/opportunities/1300628" TargetMode="External"/><Relationship Id="rId1251" Type="http://schemas.openxmlformats.org/officeDocument/2006/relationships/hyperlink" Target="https://expa.aiesec.org/opportunities/1289583" TargetMode="External"/><Relationship Id="rId1252" Type="http://schemas.openxmlformats.org/officeDocument/2006/relationships/hyperlink" Target="https://expa.aiesec.org/opportunities/1289617" TargetMode="External"/><Relationship Id="rId422" Type="http://schemas.openxmlformats.org/officeDocument/2006/relationships/hyperlink" Target="https://expa.aiesec.org/opportunities/1293423" TargetMode="External"/><Relationship Id="rId1253" Type="http://schemas.openxmlformats.org/officeDocument/2006/relationships/hyperlink" Target="https://expa.aiesec.org/opportunities/1300779" TargetMode="External"/><Relationship Id="rId421" Type="http://schemas.openxmlformats.org/officeDocument/2006/relationships/hyperlink" Target="https://expa.aiesec.org/opportunities/1290282" TargetMode="External"/><Relationship Id="rId1254" Type="http://schemas.openxmlformats.org/officeDocument/2006/relationships/hyperlink" Target="https://expa.aiesec.org/opportunities/1301209" TargetMode="External"/><Relationship Id="rId420" Type="http://schemas.openxmlformats.org/officeDocument/2006/relationships/hyperlink" Target="https://expa.aiesec.org/opportunities/1287316" TargetMode="External"/><Relationship Id="rId1255" Type="http://schemas.openxmlformats.org/officeDocument/2006/relationships/hyperlink" Target="https://expa.aiesec.org/opportunities/1298549" TargetMode="External"/><Relationship Id="rId1256" Type="http://schemas.openxmlformats.org/officeDocument/2006/relationships/hyperlink" Target="https://expa.aiesec.org/opportunities/1301790" TargetMode="External"/><Relationship Id="rId1246" Type="http://schemas.openxmlformats.org/officeDocument/2006/relationships/hyperlink" Target="https://expa.aiesec.org/opportunities/1289583" TargetMode="External"/><Relationship Id="rId1247" Type="http://schemas.openxmlformats.org/officeDocument/2006/relationships/hyperlink" Target="https://expa.aiesec.org/opportunities/1289583" TargetMode="External"/><Relationship Id="rId1248" Type="http://schemas.openxmlformats.org/officeDocument/2006/relationships/hyperlink" Target="https://expa.aiesec.org/opportunities/1289583" TargetMode="External"/><Relationship Id="rId1249" Type="http://schemas.openxmlformats.org/officeDocument/2006/relationships/hyperlink" Target="https://expa.aiesec.org/opportunities/1300757" TargetMode="External"/><Relationship Id="rId415" Type="http://schemas.openxmlformats.org/officeDocument/2006/relationships/hyperlink" Target="https://expa.aiesec.org/opportunities/1290024" TargetMode="External"/><Relationship Id="rId414" Type="http://schemas.openxmlformats.org/officeDocument/2006/relationships/hyperlink" Target="https://expa.aiesec.org/opportunities/1290282" TargetMode="External"/><Relationship Id="rId413" Type="http://schemas.openxmlformats.org/officeDocument/2006/relationships/hyperlink" Target="https://expa.aiesec.org/opportunities/1293464" TargetMode="External"/><Relationship Id="rId412" Type="http://schemas.openxmlformats.org/officeDocument/2006/relationships/hyperlink" Target="https://expa.aiesec.org/opportunities/1286585" TargetMode="External"/><Relationship Id="rId419" Type="http://schemas.openxmlformats.org/officeDocument/2006/relationships/hyperlink" Target="https://expa.aiesec.org/opportunities/1286039" TargetMode="External"/><Relationship Id="rId418" Type="http://schemas.openxmlformats.org/officeDocument/2006/relationships/hyperlink" Target="https://expa.aiesec.org/opportunities/1292188" TargetMode="External"/><Relationship Id="rId417" Type="http://schemas.openxmlformats.org/officeDocument/2006/relationships/hyperlink" Target="https://expa.aiesec.org/opportunities/1293125" TargetMode="External"/><Relationship Id="rId416" Type="http://schemas.openxmlformats.org/officeDocument/2006/relationships/hyperlink" Target="https://expa.aiesec.org/opportunities/1292571" TargetMode="External"/><Relationship Id="rId1240" Type="http://schemas.openxmlformats.org/officeDocument/2006/relationships/hyperlink" Target="https://expa.aiesec.org/opportunities/1301073" TargetMode="External"/><Relationship Id="rId1241" Type="http://schemas.openxmlformats.org/officeDocument/2006/relationships/hyperlink" Target="https://expa.aiesec.org/opportunities/1300091" TargetMode="External"/><Relationship Id="rId411" Type="http://schemas.openxmlformats.org/officeDocument/2006/relationships/hyperlink" Target="https://expa.aiesec.org/opportunities/1292571" TargetMode="External"/><Relationship Id="rId1242" Type="http://schemas.openxmlformats.org/officeDocument/2006/relationships/hyperlink" Target="https://expa.aiesec.org/opportunities/1301775" TargetMode="External"/><Relationship Id="rId410" Type="http://schemas.openxmlformats.org/officeDocument/2006/relationships/hyperlink" Target="https://expa.aiesec.org/opportunities/1288843" TargetMode="External"/><Relationship Id="rId1243" Type="http://schemas.openxmlformats.org/officeDocument/2006/relationships/hyperlink" Target="https://expa.aiesec.org/opportunities/1298549" TargetMode="External"/><Relationship Id="rId1244" Type="http://schemas.openxmlformats.org/officeDocument/2006/relationships/hyperlink" Target="https://expa.aiesec.org/opportunities/1299885" TargetMode="External"/><Relationship Id="rId1245" Type="http://schemas.openxmlformats.org/officeDocument/2006/relationships/hyperlink" Target="https://expa.aiesec.org/opportunities/1299884" TargetMode="External"/><Relationship Id="rId1279" Type="http://schemas.openxmlformats.org/officeDocument/2006/relationships/hyperlink" Target="https://expa.aiesec.org/opportunities/1288609" TargetMode="External"/><Relationship Id="rId448" Type="http://schemas.openxmlformats.org/officeDocument/2006/relationships/hyperlink" Target="https://expa.aiesec.org/opportunities/1293200" TargetMode="External"/><Relationship Id="rId447" Type="http://schemas.openxmlformats.org/officeDocument/2006/relationships/hyperlink" Target="https://expa.aiesec.org/opportunities/1293742" TargetMode="External"/><Relationship Id="rId446" Type="http://schemas.openxmlformats.org/officeDocument/2006/relationships/hyperlink" Target="https://expa.aiesec.org/opportunities/1286585" TargetMode="External"/><Relationship Id="rId445" Type="http://schemas.openxmlformats.org/officeDocument/2006/relationships/hyperlink" Target="https://expa.aiesec.org/opportunities/1293335" TargetMode="External"/><Relationship Id="rId449" Type="http://schemas.openxmlformats.org/officeDocument/2006/relationships/hyperlink" Target="https://expa.aiesec.org/opportunities/1292384" TargetMode="External"/><Relationship Id="rId1270" Type="http://schemas.openxmlformats.org/officeDocument/2006/relationships/hyperlink" Target="https://expa.aiesec.org/opportunities/1300523" TargetMode="External"/><Relationship Id="rId440" Type="http://schemas.openxmlformats.org/officeDocument/2006/relationships/hyperlink" Target="https://expa.aiesec.org/opportunities/1293138" TargetMode="External"/><Relationship Id="rId1271" Type="http://schemas.openxmlformats.org/officeDocument/2006/relationships/hyperlink" Target="https://expa.aiesec.org/opportunities/1301670" TargetMode="External"/><Relationship Id="rId1272" Type="http://schemas.openxmlformats.org/officeDocument/2006/relationships/hyperlink" Target="https://expa.aiesec.org/opportunities/1298372" TargetMode="External"/><Relationship Id="rId1273" Type="http://schemas.openxmlformats.org/officeDocument/2006/relationships/hyperlink" Target="https://expa.aiesec.org/opportunities/1298372" TargetMode="External"/><Relationship Id="rId1274" Type="http://schemas.openxmlformats.org/officeDocument/2006/relationships/hyperlink" Target="https://expa.aiesec.org/opportunities/1300097" TargetMode="External"/><Relationship Id="rId444" Type="http://schemas.openxmlformats.org/officeDocument/2006/relationships/hyperlink" Target="https://expa.aiesec.org/opportunities/1291391" TargetMode="External"/><Relationship Id="rId1275" Type="http://schemas.openxmlformats.org/officeDocument/2006/relationships/hyperlink" Target="https://expa.aiesec.org/opportunities/1301244" TargetMode="External"/><Relationship Id="rId443" Type="http://schemas.openxmlformats.org/officeDocument/2006/relationships/hyperlink" Target="https://expa.aiesec.org/opportunities/1293759" TargetMode="External"/><Relationship Id="rId1276" Type="http://schemas.openxmlformats.org/officeDocument/2006/relationships/hyperlink" Target="https://expa.aiesec.org/opportunities/1301244" TargetMode="External"/><Relationship Id="rId442" Type="http://schemas.openxmlformats.org/officeDocument/2006/relationships/hyperlink" Target="https://expa.aiesec.org/opportunities/1293203" TargetMode="External"/><Relationship Id="rId1277" Type="http://schemas.openxmlformats.org/officeDocument/2006/relationships/hyperlink" Target="https://expa.aiesec.org/opportunities/1299661" TargetMode="External"/><Relationship Id="rId441" Type="http://schemas.openxmlformats.org/officeDocument/2006/relationships/hyperlink" Target="https://expa.aiesec.org/opportunities/1293125" TargetMode="External"/><Relationship Id="rId1278" Type="http://schemas.openxmlformats.org/officeDocument/2006/relationships/hyperlink" Target="https://expa.aiesec.org/opportunities/1293463" TargetMode="External"/><Relationship Id="rId1268" Type="http://schemas.openxmlformats.org/officeDocument/2006/relationships/hyperlink" Target="https://expa.aiesec.org/opportunities/1298372" TargetMode="External"/><Relationship Id="rId1269" Type="http://schemas.openxmlformats.org/officeDocument/2006/relationships/hyperlink" Target="https://expa.aiesec.org/opportunities/1292990" TargetMode="External"/><Relationship Id="rId437" Type="http://schemas.openxmlformats.org/officeDocument/2006/relationships/hyperlink" Target="https://expa.aiesec.org/opportunities/1293333" TargetMode="External"/><Relationship Id="rId436" Type="http://schemas.openxmlformats.org/officeDocument/2006/relationships/hyperlink" Target="https://expa.aiesec.org/opportunities/1288414" TargetMode="External"/><Relationship Id="rId435" Type="http://schemas.openxmlformats.org/officeDocument/2006/relationships/hyperlink" Target="https://expa.aiesec.org/opportunities/1286585" TargetMode="External"/><Relationship Id="rId434" Type="http://schemas.openxmlformats.org/officeDocument/2006/relationships/hyperlink" Target="https://expa.aiesec.org/opportunities/1290282" TargetMode="External"/><Relationship Id="rId439" Type="http://schemas.openxmlformats.org/officeDocument/2006/relationships/hyperlink" Target="https://expa.aiesec.org/opportunities/1293548" TargetMode="External"/><Relationship Id="rId438" Type="http://schemas.openxmlformats.org/officeDocument/2006/relationships/hyperlink" Target="https://expa.aiesec.org/opportunities/1293586" TargetMode="External"/><Relationship Id="rId1260" Type="http://schemas.openxmlformats.org/officeDocument/2006/relationships/hyperlink" Target="https://expa.aiesec.org/opportunities/1294232" TargetMode="External"/><Relationship Id="rId1261" Type="http://schemas.openxmlformats.org/officeDocument/2006/relationships/hyperlink" Target="https://expa.aiesec.org/opportunities/1301027" TargetMode="External"/><Relationship Id="rId1262" Type="http://schemas.openxmlformats.org/officeDocument/2006/relationships/hyperlink" Target="https://expa.aiesec.org/opportunities/1296885" TargetMode="External"/><Relationship Id="rId1263" Type="http://schemas.openxmlformats.org/officeDocument/2006/relationships/hyperlink" Target="https://expa.aiesec.org/opportunities/1296885" TargetMode="External"/><Relationship Id="rId433" Type="http://schemas.openxmlformats.org/officeDocument/2006/relationships/hyperlink" Target="https://expa.aiesec.org/opportunities/1290282" TargetMode="External"/><Relationship Id="rId1264" Type="http://schemas.openxmlformats.org/officeDocument/2006/relationships/hyperlink" Target="https://expa.aiesec.org/opportunities/1296885" TargetMode="External"/><Relationship Id="rId432" Type="http://schemas.openxmlformats.org/officeDocument/2006/relationships/hyperlink" Target="https://expa.aiesec.org/opportunities/1292847" TargetMode="External"/><Relationship Id="rId1265" Type="http://schemas.openxmlformats.org/officeDocument/2006/relationships/hyperlink" Target="https://expa.aiesec.org/opportunities/1298617" TargetMode="External"/><Relationship Id="rId431" Type="http://schemas.openxmlformats.org/officeDocument/2006/relationships/hyperlink" Target="https://expa.aiesec.org/opportunities/1293203" TargetMode="External"/><Relationship Id="rId1266" Type="http://schemas.openxmlformats.org/officeDocument/2006/relationships/hyperlink" Target="https://expa.aiesec.org/opportunities/1298372" TargetMode="External"/><Relationship Id="rId430" Type="http://schemas.openxmlformats.org/officeDocument/2006/relationships/hyperlink" Target="https://expa.aiesec.org/opportunities/1290024" TargetMode="External"/><Relationship Id="rId1267" Type="http://schemas.openxmlformats.org/officeDocument/2006/relationships/hyperlink" Target="https://expa.aiesec.org/opportunities/1301244" TargetMode="External"/><Relationship Id="rId1" Type="http://schemas.openxmlformats.org/officeDocument/2006/relationships/hyperlink" Target="https://expa.aiesec.org/opportunities/1287553" TargetMode="External"/><Relationship Id="rId2" Type="http://schemas.openxmlformats.org/officeDocument/2006/relationships/hyperlink" Target="https://expa.aiesec.org/opportunities/1286879" TargetMode="External"/><Relationship Id="rId3" Type="http://schemas.openxmlformats.org/officeDocument/2006/relationships/hyperlink" Target="https://expa.aiesec.org/opportunities/1287128" TargetMode="External"/><Relationship Id="rId4" Type="http://schemas.openxmlformats.org/officeDocument/2006/relationships/hyperlink" Target="https://expa.aiesec.org/opportunities/1283949" TargetMode="External"/><Relationship Id="rId9" Type="http://schemas.openxmlformats.org/officeDocument/2006/relationships/hyperlink" Target="https://expa.aiesec.org/opportunities/1288009" TargetMode="External"/><Relationship Id="rId5" Type="http://schemas.openxmlformats.org/officeDocument/2006/relationships/hyperlink" Target="https://expa.aiesec.org/opportunities/1285265" TargetMode="External"/><Relationship Id="rId6" Type="http://schemas.openxmlformats.org/officeDocument/2006/relationships/hyperlink" Target="https://expa.aiesec.org/opportunities/1286879" TargetMode="External"/><Relationship Id="rId7" Type="http://schemas.openxmlformats.org/officeDocument/2006/relationships/hyperlink" Target="https://expa.aiesec.org/opportunities/1287017" TargetMode="External"/><Relationship Id="rId8" Type="http://schemas.openxmlformats.org/officeDocument/2006/relationships/hyperlink" Target="https://expa.aiesec.org/opportunities/1282278" TargetMode="External"/><Relationship Id="rId808" Type="http://schemas.openxmlformats.org/officeDocument/2006/relationships/hyperlink" Target="https://expa.aiesec.org/opportunities/1294232" TargetMode="External"/><Relationship Id="rId807" Type="http://schemas.openxmlformats.org/officeDocument/2006/relationships/hyperlink" Target="https://expa.aiesec.org/opportunities/1295628" TargetMode="External"/><Relationship Id="rId806" Type="http://schemas.openxmlformats.org/officeDocument/2006/relationships/hyperlink" Target="https://expa.aiesec.org/opportunities/1293477" TargetMode="External"/><Relationship Id="rId805" Type="http://schemas.openxmlformats.org/officeDocument/2006/relationships/hyperlink" Target="https://expa.aiesec.org/opportunities/1294263" TargetMode="External"/><Relationship Id="rId809" Type="http://schemas.openxmlformats.org/officeDocument/2006/relationships/hyperlink" Target="https://expa.aiesec.org/opportunities/1295075" TargetMode="External"/><Relationship Id="rId800" Type="http://schemas.openxmlformats.org/officeDocument/2006/relationships/hyperlink" Target="https://expa.aiesec.org/opportunities/1295907" TargetMode="External"/><Relationship Id="rId804" Type="http://schemas.openxmlformats.org/officeDocument/2006/relationships/hyperlink" Target="https://expa.aiesec.org/opportunities/1292384" TargetMode="External"/><Relationship Id="rId803" Type="http://schemas.openxmlformats.org/officeDocument/2006/relationships/hyperlink" Target="https://expa.aiesec.org/opportunities/1292571" TargetMode="External"/><Relationship Id="rId802" Type="http://schemas.openxmlformats.org/officeDocument/2006/relationships/hyperlink" Target="https://expa.aiesec.org/opportunities/1291572" TargetMode="External"/><Relationship Id="rId801" Type="http://schemas.openxmlformats.org/officeDocument/2006/relationships/hyperlink" Target="https://expa.aiesec.org/opportunities/1295011" TargetMode="External"/><Relationship Id="rId1334" Type="http://schemas.openxmlformats.org/officeDocument/2006/relationships/hyperlink" Target="https://expa.aiesec.org/opportunities/1301477" TargetMode="External"/><Relationship Id="rId1335" Type="http://schemas.openxmlformats.org/officeDocument/2006/relationships/hyperlink" Target="https://expa.aiesec.org/opportunities/1302495" TargetMode="External"/><Relationship Id="rId1336" Type="http://schemas.openxmlformats.org/officeDocument/2006/relationships/hyperlink" Target="https://expa.aiesec.org/opportunities/1298927" TargetMode="External"/><Relationship Id="rId1337" Type="http://schemas.openxmlformats.org/officeDocument/2006/relationships/hyperlink" Target="https://expa.aiesec.org/opportunities/1300305" TargetMode="External"/><Relationship Id="rId1338" Type="http://schemas.openxmlformats.org/officeDocument/2006/relationships/hyperlink" Target="https://expa.aiesec.org/opportunities/1291176" TargetMode="External"/><Relationship Id="rId1339" Type="http://schemas.openxmlformats.org/officeDocument/2006/relationships/hyperlink" Target="https://expa.aiesec.org/opportunities/1300161" TargetMode="External"/><Relationship Id="rId745" Type="http://schemas.openxmlformats.org/officeDocument/2006/relationships/hyperlink" Target="https://expa.aiesec.org/opportunities/1293632" TargetMode="External"/><Relationship Id="rId744" Type="http://schemas.openxmlformats.org/officeDocument/2006/relationships/hyperlink" Target="https://expa.aiesec.org/opportunities/1293370" TargetMode="External"/><Relationship Id="rId743" Type="http://schemas.openxmlformats.org/officeDocument/2006/relationships/hyperlink" Target="https://expa.aiesec.org/opportunities/1294994" TargetMode="External"/><Relationship Id="rId742" Type="http://schemas.openxmlformats.org/officeDocument/2006/relationships/hyperlink" Target="https://expa.aiesec.org/opportunities/1290024" TargetMode="External"/><Relationship Id="rId749" Type="http://schemas.openxmlformats.org/officeDocument/2006/relationships/hyperlink" Target="https://expa.aiesec.org/opportunities/1293965" TargetMode="External"/><Relationship Id="rId748" Type="http://schemas.openxmlformats.org/officeDocument/2006/relationships/hyperlink" Target="https://expa.aiesec.org/opportunities/1294995" TargetMode="External"/><Relationship Id="rId747" Type="http://schemas.openxmlformats.org/officeDocument/2006/relationships/hyperlink" Target="https://expa.aiesec.org/opportunities/1291979" TargetMode="External"/><Relationship Id="rId746" Type="http://schemas.openxmlformats.org/officeDocument/2006/relationships/hyperlink" Target="https://expa.aiesec.org/opportunities/1293980" TargetMode="External"/><Relationship Id="rId741" Type="http://schemas.openxmlformats.org/officeDocument/2006/relationships/hyperlink" Target="https://expa.aiesec.org/opportunities/1293576" TargetMode="External"/><Relationship Id="rId1330" Type="http://schemas.openxmlformats.org/officeDocument/2006/relationships/hyperlink" Target="https://expa.aiesec.org/opportunities/1302074" TargetMode="External"/><Relationship Id="rId740" Type="http://schemas.openxmlformats.org/officeDocument/2006/relationships/hyperlink" Target="https://expa.aiesec.org/opportunities/1293327" TargetMode="External"/><Relationship Id="rId1331" Type="http://schemas.openxmlformats.org/officeDocument/2006/relationships/hyperlink" Target="https://expa.aiesec.org/opportunities/1302558" TargetMode="External"/><Relationship Id="rId1332" Type="http://schemas.openxmlformats.org/officeDocument/2006/relationships/hyperlink" Target="https://expa.aiesec.org/opportunities/1289297" TargetMode="External"/><Relationship Id="rId1333" Type="http://schemas.openxmlformats.org/officeDocument/2006/relationships/hyperlink" Target="https://expa.aiesec.org/opportunities/1301774" TargetMode="External"/><Relationship Id="rId1323" Type="http://schemas.openxmlformats.org/officeDocument/2006/relationships/hyperlink" Target="https://expa.aiesec.org/opportunities/1299216" TargetMode="External"/><Relationship Id="rId1324" Type="http://schemas.openxmlformats.org/officeDocument/2006/relationships/hyperlink" Target="https://expa.aiesec.org/opportunities/1299856" TargetMode="External"/><Relationship Id="rId1325" Type="http://schemas.openxmlformats.org/officeDocument/2006/relationships/hyperlink" Target="https://expa.aiesec.org/opportunities/1301833" TargetMode="External"/><Relationship Id="rId1326" Type="http://schemas.openxmlformats.org/officeDocument/2006/relationships/hyperlink" Target="https://expa.aiesec.org/opportunities/1299756" TargetMode="External"/><Relationship Id="rId1327" Type="http://schemas.openxmlformats.org/officeDocument/2006/relationships/hyperlink" Target="https://expa.aiesec.org/opportunities/1290298" TargetMode="External"/><Relationship Id="rId1328" Type="http://schemas.openxmlformats.org/officeDocument/2006/relationships/hyperlink" Target="https://expa.aiesec.org/opportunities/1300162" TargetMode="External"/><Relationship Id="rId1329" Type="http://schemas.openxmlformats.org/officeDocument/2006/relationships/hyperlink" Target="https://expa.aiesec.org/opportunities/1299756" TargetMode="External"/><Relationship Id="rId739" Type="http://schemas.openxmlformats.org/officeDocument/2006/relationships/hyperlink" Target="https://expa.aiesec.org/opportunities/1293576" TargetMode="External"/><Relationship Id="rId734" Type="http://schemas.openxmlformats.org/officeDocument/2006/relationships/hyperlink" Target="https://expa.aiesec.org/opportunities/1295008" TargetMode="External"/><Relationship Id="rId733" Type="http://schemas.openxmlformats.org/officeDocument/2006/relationships/hyperlink" Target="https://expa.aiesec.org/opportunities/1293524" TargetMode="External"/><Relationship Id="rId732" Type="http://schemas.openxmlformats.org/officeDocument/2006/relationships/hyperlink" Target="https://expa.aiesec.org/opportunities/1293257" TargetMode="External"/><Relationship Id="rId731" Type="http://schemas.openxmlformats.org/officeDocument/2006/relationships/hyperlink" Target="https://expa.aiesec.org/opportunities/1290024" TargetMode="External"/><Relationship Id="rId738" Type="http://schemas.openxmlformats.org/officeDocument/2006/relationships/hyperlink" Target="https://expa.aiesec.org/opportunities/1293980" TargetMode="External"/><Relationship Id="rId737" Type="http://schemas.openxmlformats.org/officeDocument/2006/relationships/hyperlink" Target="https://expa.aiesec.org/opportunities/1294924" TargetMode="External"/><Relationship Id="rId736" Type="http://schemas.openxmlformats.org/officeDocument/2006/relationships/hyperlink" Target="https://expa.aiesec.org/opportunities/1293443" TargetMode="External"/><Relationship Id="rId735" Type="http://schemas.openxmlformats.org/officeDocument/2006/relationships/hyperlink" Target="https://expa.aiesec.org/opportunities/1294114" TargetMode="External"/><Relationship Id="rId730" Type="http://schemas.openxmlformats.org/officeDocument/2006/relationships/hyperlink" Target="https://expa.aiesec.org/opportunities/1293685" TargetMode="External"/><Relationship Id="rId1320" Type="http://schemas.openxmlformats.org/officeDocument/2006/relationships/hyperlink" Target="https://expa.aiesec.org/opportunities/1301243" TargetMode="External"/><Relationship Id="rId1321" Type="http://schemas.openxmlformats.org/officeDocument/2006/relationships/hyperlink" Target="https://expa.aiesec.org/opportunities/1288330" TargetMode="External"/><Relationship Id="rId1322" Type="http://schemas.openxmlformats.org/officeDocument/2006/relationships/hyperlink" Target="https://expa.aiesec.org/opportunities/1298817" TargetMode="External"/><Relationship Id="rId1356" Type="http://schemas.openxmlformats.org/officeDocument/2006/relationships/hyperlink" Target="https://expa.aiesec.org/opportunities/1290282" TargetMode="External"/><Relationship Id="rId1357" Type="http://schemas.openxmlformats.org/officeDocument/2006/relationships/hyperlink" Target="https://expa.aiesec.org/opportunities/1302591" TargetMode="External"/><Relationship Id="rId1358" Type="http://schemas.openxmlformats.org/officeDocument/2006/relationships/hyperlink" Target="https://expa.aiesec.org/opportunities/1288330" TargetMode="External"/><Relationship Id="rId1359" Type="http://schemas.openxmlformats.org/officeDocument/2006/relationships/hyperlink" Target="https://expa.aiesec.org/opportunities/1289564" TargetMode="External"/><Relationship Id="rId767" Type="http://schemas.openxmlformats.org/officeDocument/2006/relationships/hyperlink" Target="https://expa.aiesec.org/opportunities/1294062" TargetMode="External"/><Relationship Id="rId766" Type="http://schemas.openxmlformats.org/officeDocument/2006/relationships/hyperlink" Target="https://expa.aiesec.org/opportunities/1294006" TargetMode="External"/><Relationship Id="rId765" Type="http://schemas.openxmlformats.org/officeDocument/2006/relationships/hyperlink" Target="https://expa.aiesec.org/opportunities/1294453" TargetMode="External"/><Relationship Id="rId764" Type="http://schemas.openxmlformats.org/officeDocument/2006/relationships/hyperlink" Target="https://expa.aiesec.org/opportunities/1294310" TargetMode="External"/><Relationship Id="rId769" Type="http://schemas.openxmlformats.org/officeDocument/2006/relationships/hyperlink" Target="https://expa.aiesec.org/opportunities/1294209" TargetMode="External"/><Relationship Id="rId768" Type="http://schemas.openxmlformats.org/officeDocument/2006/relationships/hyperlink" Target="https://expa.aiesec.org/opportunities/1294587" TargetMode="External"/><Relationship Id="rId1350" Type="http://schemas.openxmlformats.org/officeDocument/2006/relationships/hyperlink" Target="https://expa.aiesec.org/opportunities/1299358" TargetMode="External"/><Relationship Id="rId1351" Type="http://schemas.openxmlformats.org/officeDocument/2006/relationships/hyperlink" Target="https://expa.aiesec.org/opportunities/1289965" TargetMode="External"/><Relationship Id="rId763" Type="http://schemas.openxmlformats.org/officeDocument/2006/relationships/hyperlink" Target="https://expa.aiesec.org/opportunities/1290806" TargetMode="External"/><Relationship Id="rId1352" Type="http://schemas.openxmlformats.org/officeDocument/2006/relationships/hyperlink" Target="https://expa.aiesec.org/opportunities/1301758" TargetMode="External"/><Relationship Id="rId762" Type="http://schemas.openxmlformats.org/officeDocument/2006/relationships/hyperlink" Target="https://expa.aiesec.org/opportunities/1290690" TargetMode="External"/><Relationship Id="rId1353" Type="http://schemas.openxmlformats.org/officeDocument/2006/relationships/hyperlink" Target="https://expa.aiesec.org/opportunities/1294063" TargetMode="External"/><Relationship Id="rId761" Type="http://schemas.openxmlformats.org/officeDocument/2006/relationships/hyperlink" Target="https://expa.aiesec.org/opportunities/1294890" TargetMode="External"/><Relationship Id="rId1354" Type="http://schemas.openxmlformats.org/officeDocument/2006/relationships/hyperlink" Target="https://expa.aiesec.org/opportunities/1299672" TargetMode="External"/><Relationship Id="rId760" Type="http://schemas.openxmlformats.org/officeDocument/2006/relationships/hyperlink" Target="https://expa.aiesec.org/opportunities/1294418" TargetMode="External"/><Relationship Id="rId1355" Type="http://schemas.openxmlformats.org/officeDocument/2006/relationships/hyperlink" Target="https://expa.aiesec.org/opportunities/1294445" TargetMode="External"/><Relationship Id="rId1345" Type="http://schemas.openxmlformats.org/officeDocument/2006/relationships/hyperlink" Target="https://expa.aiesec.org/opportunities/1300681" TargetMode="External"/><Relationship Id="rId1346" Type="http://schemas.openxmlformats.org/officeDocument/2006/relationships/hyperlink" Target="https://expa.aiesec.org/opportunities/1301512" TargetMode="External"/><Relationship Id="rId1347" Type="http://schemas.openxmlformats.org/officeDocument/2006/relationships/hyperlink" Target="https://expa.aiesec.org/opportunities/1302031" TargetMode="External"/><Relationship Id="rId1348" Type="http://schemas.openxmlformats.org/officeDocument/2006/relationships/hyperlink" Target="https://expa.aiesec.org/opportunities/1302530" TargetMode="External"/><Relationship Id="rId1349" Type="http://schemas.openxmlformats.org/officeDocument/2006/relationships/hyperlink" Target="https://expa.aiesec.org/opportunities/1298281" TargetMode="External"/><Relationship Id="rId756" Type="http://schemas.openxmlformats.org/officeDocument/2006/relationships/hyperlink" Target="https://expa.aiesec.org/opportunities/1292188" TargetMode="External"/><Relationship Id="rId755" Type="http://schemas.openxmlformats.org/officeDocument/2006/relationships/hyperlink" Target="https://expa.aiesec.org/opportunities/1295018" TargetMode="External"/><Relationship Id="rId754" Type="http://schemas.openxmlformats.org/officeDocument/2006/relationships/hyperlink" Target="https://expa.aiesec.org/opportunities/1295102" TargetMode="External"/><Relationship Id="rId753" Type="http://schemas.openxmlformats.org/officeDocument/2006/relationships/hyperlink" Target="https://expa.aiesec.org/opportunities/1294209" TargetMode="External"/><Relationship Id="rId759" Type="http://schemas.openxmlformats.org/officeDocument/2006/relationships/hyperlink" Target="https://expa.aiesec.org/opportunities/1287990" TargetMode="External"/><Relationship Id="rId758" Type="http://schemas.openxmlformats.org/officeDocument/2006/relationships/hyperlink" Target="https://expa.aiesec.org/opportunities/1294063" TargetMode="External"/><Relationship Id="rId757" Type="http://schemas.openxmlformats.org/officeDocument/2006/relationships/hyperlink" Target="https://expa.aiesec.org/opportunities/1291068" TargetMode="External"/><Relationship Id="rId1340" Type="http://schemas.openxmlformats.org/officeDocument/2006/relationships/hyperlink" Target="https://expa.aiesec.org/opportunities/1284485" TargetMode="External"/><Relationship Id="rId752" Type="http://schemas.openxmlformats.org/officeDocument/2006/relationships/hyperlink" Target="https://expa.aiesec.org/opportunities/1291124" TargetMode="External"/><Relationship Id="rId1341" Type="http://schemas.openxmlformats.org/officeDocument/2006/relationships/hyperlink" Target="https://expa.aiesec.org/opportunities/1301673" TargetMode="External"/><Relationship Id="rId751" Type="http://schemas.openxmlformats.org/officeDocument/2006/relationships/hyperlink" Target="https://expa.aiesec.org/opportunities/1294063" TargetMode="External"/><Relationship Id="rId1342" Type="http://schemas.openxmlformats.org/officeDocument/2006/relationships/hyperlink" Target="https://expa.aiesec.org/opportunities/1302175" TargetMode="External"/><Relationship Id="rId750" Type="http://schemas.openxmlformats.org/officeDocument/2006/relationships/hyperlink" Target="https://expa.aiesec.org/opportunities/1290384" TargetMode="External"/><Relationship Id="rId1343" Type="http://schemas.openxmlformats.org/officeDocument/2006/relationships/hyperlink" Target="https://expa.aiesec.org/opportunities/1288330" TargetMode="External"/><Relationship Id="rId1344" Type="http://schemas.openxmlformats.org/officeDocument/2006/relationships/hyperlink" Target="https://expa.aiesec.org/opportunities/1301997" TargetMode="External"/><Relationship Id="rId709" Type="http://schemas.openxmlformats.org/officeDocument/2006/relationships/hyperlink" Target="https://expa.aiesec.org/opportunities/1290641" TargetMode="External"/><Relationship Id="rId708" Type="http://schemas.openxmlformats.org/officeDocument/2006/relationships/hyperlink" Target="https://expa.aiesec.org/opportunities/1293468" TargetMode="External"/><Relationship Id="rId707" Type="http://schemas.openxmlformats.org/officeDocument/2006/relationships/hyperlink" Target="https://expa.aiesec.org/opportunities/1294374" TargetMode="External"/><Relationship Id="rId706" Type="http://schemas.openxmlformats.org/officeDocument/2006/relationships/hyperlink" Target="https://expa.aiesec.org/opportunities/1294209" TargetMode="External"/><Relationship Id="rId701" Type="http://schemas.openxmlformats.org/officeDocument/2006/relationships/hyperlink" Target="https://expa.aiesec.org/opportunities/1291979" TargetMode="External"/><Relationship Id="rId700" Type="http://schemas.openxmlformats.org/officeDocument/2006/relationships/hyperlink" Target="https://expa.aiesec.org/opportunities/1294922" TargetMode="External"/><Relationship Id="rId705" Type="http://schemas.openxmlformats.org/officeDocument/2006/relationships/hyperlink" Target="https://expa.aiesec.org/opportunities/1293245" TargetMode="External"/><Relationship Id="rId704" Type="http://schemas.openxmlformats.org/officeDocument/2006/relationships/hyperlink" Target="https://expa.aiesec.org/opportunities/1293275" TargetMode="External"/><Relationship Id="rId703" Type="http://schemas.openxmlformats.org/officeDocument/2006/relationships/hyperlink" Target="https://expa.aiesec.org/opportunities/1292715" TargetMode="External"/><Relationship Id="rId702" Type="http://schemas.openxmlformats.org/officeDocument/2006/relationships/hyperlink" Target="https://expa.aiesec.org/opportunities/1293918" TargetMode="External"/><Relationship Id="rId1312" Type="http://schemas.openxmlformats.org/officeDocument/2006/relationships/hyperlink" Target="https://expa.aiesec.org/opportunities/1301586" TargetMode="External"/><Relationship Id="rId1313" Type="http://schemas.openxmlformats.org/officeDocument/2006/relationships/hyperlink" Target="https://expa.aiesec.org/opportunities/1301586" TargetMode="External"/><Relationship Id="rId1314" Type="http://schemas.openxmlformats.org/officeDocument/2006/relationships/hyperlink" Target="https://expa.aiesec.org/opportunities/1300628" TargetMode="External"/><Relationship Id="rId1315" Type="http://schemas.openxmlformats.org/officeDocument/2006/relationships/hyperlink" Target="https://expa.aiesec.org/opportunities/1281345" TargetMode="External"/><Relationship Id="rId1316" Type="http://schemas.openxmlformats.org/officeDocument/2006/relationships/hyperlink" Target="https://expa.aiesec.org/opportunities/1299885" TargetMode="External"/><Relationship Id="rId1317" Type="http://schemas.openxmlformats.org/officeDocument/2006/relationships/hyperlink" Target="https://expa.aiesec.org/opportunities/1289850" TargetMode="External"/><Relationship Id="rId1318" Type="http://schemas.openxmlformats.org/officeDocument/2006/relationships/hyperlink" Target="https://expa.aiesec.org/opportunities/1299121" TargetMode="External"/><Relationship Id="rId1319" Type="http://schemas.openxmlformats.org/officeDocument/2006/relationships/hyperlink" Target="https://expa.aiesec.org/opportunities/1299596" TargetMode="External"/><Relationship Id="rId729" Type="http://schemas.openxmlformats.org/officeDocument/2006/relationships/hyperlink" Target="https://expa.aiesec.org/opportunities/1286553" TargetMode="External"/><Relationship Id="rId728" Type="http://schemas.openxmlformats.org/officeDocument/2006/relationships/hyperlink" Target="https://expa.aiesec.org/opportunities/1294708" TargetMode="External"/><Relationship Id="rId723" Type="http://schemas.openxmlformats.org/officeDocument/2006/relationships/hyperlink" Target="https://expa.aiesec.org/opportunities/1291979" TargetMode="External"/><Relationship Id="rId722" Type="http://schemas.openxmlformats.org/officeDocument/2006/relationships/hyperlink" Target="https://expa.aiesec.org/opportunities/1291630" TargetMode="External"/><Relationship Id="rId721" Type="http://schemas.openxmlformats.org/officeDocument/2006/relationships/hyperlink" Target="https://expa.aiesec.org/opportunities/1293245" TargetMode="External"/><Relationship Id="rId720" Type="http://schemas.openxmlformats.org/officeDocument/2006/relationships/hyperlink" Target="https://expa.aiesec.org/opportunities/1294480" TargetMode="External"/><Relationship Id="rId727" Type="http://schemas.openxmlformats.org/officeDocument/2006/relationships/hyperlink" Target="https://expa.aiesec.org/opportunities/1294207" TargetMode="External"/><Relationship Id="rId726" Type="http://schemas.openxmlformats.org/officeDocument/2006/relationships/hyperlink" Target="https://expa.aiesec.org/opportunities/1292571" TargetMode="External"/><Relationship Id="rId725" Type="http://schemas.openxmlformats.org/officeDocument/2006/relationships/hyperlink" Target="https://expa.aiesec.org/opportunities/1295046" TargetMode="External"/><Relationship Id="rId724" Type="http://schemas.openxmlformats.org/officeDocument/2006/relationships/hyperlink" Target="https://expa.aiesec.org/opportunities/1295264" TargetMode="External"/><Relationship Id="rId1310" Type="http://schemas.openxmlformats.org/officeDocument/2006/relationships/hyperlink" Target="https://expa.aiesec.org/opportunities/1288410" TargetMode="External"/><Relationship Id="rId1311" Type="http://schemas.openxmlformats.org/officeDocument/2006/relationships/hyperlink" Target="https://expa.aiesec.org/opportunities/1302043" TargetMode="External"/><Relationship Id="rId1301" Type="http://schemas.openxmlformats.org/officeDocument/2006/relationships/hyperlink" Target="https://expa.aiesec.org/opportunities/1293683" TargetMode="External"/><Relationship Id="rId1302" Type="http://schemas.openxmlformats.org/officeDocument/2006/relationships/hyperlink" Target="https://expa.aiesec.org/opportunities/1288420" TargetMode="External"/><Relationship Id="rId1303" Type="http://schemas.openxmlformats.org/officeDocument/2006/relationships/hyperlink" Target="https://expa.aiesec.org/opportunities/1301802" TargetMode="External"/><Relationship Id="rId1304" Type="http://schemas.openxmlformats.org/officeDocument/2006/relationships/hyperlink" Target="https://expa.aiesec.org/opportunities/1301243" TargetMode="External"/><Relationship Id="rId1305" Type="http://schemas.openxmlformats.org/officeDocument/2006/relationships/hyperlink" Target="https://expa.aiesec.org/opportunities/1281233" TargetMode="External"/><Relationship Id="rId1306" Type="http://schemas.openxmlformats.org/officeDocument/2006/relationships/hyperlink" Target="https://expa.aiesec.org/opportunities/1301420" TargetMode="External"/><Relationship Id="rId1307" Type="http://schemas.openxmlformats.org/officeDocument/2006/relationships/hyperlink" Target="https://expa.aiesec.org/opportunities/1301744" TargetMode="External"/><Relationship Id="rId1308" Type="http://schemas.openxmlformats.org/officeDocument/2006/relationships/hyperlink" Target="https://expa.aiesec.org/opportunities/1299199" TargetMode="External"/><Relationship Id="rId1309" Type="http://schemas.openxmlformats.org/officeDocument/2006/relationships/hyperlink" Target="https://expa.aiesec.org/opportunities/1298015" TargetMode="External"/><Relationship Id="rId719" Type="http://schemas.openxmlformats.org/officeDocument/2006/relationships/hyperlink" Target="https://expa.aiesec.org/opportunities/1288415" TargetMode="External"/><Relationship Id="rId718" Type="http://schemas.openxmlformats.org/officeDocument/2006/relationships/hyperlink" Target="https://expa.aiesec.org/opportunities/1294830" TargetMode="External"/><Relationship Id="rId717" Type="http://schemas.openxmlformats.org/officeDocument/2006/relationships/hyperlink" Target="https://expa.aiesec.org/opportunities/1293477" TargetMode="External"/><Relationship Id="rId712" Type="http://schemas.openxmlformats.org/officeDocument/2006/relationships/hyperlink" Target="https://expa.aiesec.org/opportunities/1294209" TargetMode="External"/><Relationship Id="rId711" Type="http://schemas.openxmlformats.org/officeDocument/2006/relationships/hyperlink" Target="https://expa.aiesec.org/opportunities/1294209" TargetMode="External"/><Relationship Id="rId710" Type="http://schemas.openxmlformats.org/officeDocument/2006/relationships/hyperlink" Target="https://expa.aiesec.org/opportunities/1293954" TargetMode="External"/><Relationship Id="rId716" Type="http://schemas.openxmlformats.org/officeDocument/2006/relationships/hyperlink" Target="https://expa.aiesec.org/opportunities/1289630" TargetMode="External"/><Relationship Id="rId715" Type="http://schemas.openxmlformats.org/officeDocument/2006/relationships/hyperlink" Target="https://expa.aiesec.org/opportunities/1289630" TargetMode="External"/><Relationship Id="rId714" Type="http://schemas.openxmlformats.org/officeDocument/2006/relationships/hyperlink" Target="https://expa.aiesec.org/opportunities/1294459" TargetMode="External"/><Relationship Id="rId713" Type="http://schemas.openxmlformats.org/officeDocument/2006/relationships/hyperlink" Target="https://expa.aiesec.org/opportunities/1293954" TargetMode="External"/><Relationship Id="rId1300" Type="http://schemas.openxmlformats.org/officeDocument/2006/relationships/hyperlink" Target="https://expa.aiesec.org/opportunities/1299884" TargetMode="External"/><Relationship Id="rId789" Type="http://schemas.openxmlformats.org/officeDocument/2006/relationships/hyperlink" Target="https://expa.aiesec.org/opportunities/1294453" TargetMode="External"/><Relationship Id="rId788" Type="http://schemas.openxmlformats.org/officeDocument/2006/relationships/hyperlink" Target="https://expa.aiesec.org/opportunities/1294761" TargetMode="External"/><Relationship Id="rId787" Type="http://schemas.openxmlformats.org/officeDocument/2006/relationships/hyperlink" Target="https://expa.aiesec.org/opportunities/1294997" TargetMode="External"/><Relationship Id="rId786" Type="http://schemas.openxmlformats.org/officeDocument/2006/relationships/hyperlink" Target="https://expa.aiesec.org/opportunities/1293588" TargetMode="External"/><Relationship Id="rId781" Type="http://schemas.openxmlformats.org/officeDocument/2006/relationships/hyperlink" Target="https://expa.aiesec.org/opportunities/1292947" TargetMode="External"/><Relationship Id="rId1370" Type="http://schemas.openxmlformats.org/officeDocument/2006/relationships/hyperlink" Target="https://expa.aiesec.org/opportunities/1281345" TargetMode="External"/><Relationship Id="rId780" Type="http://schemas.openxmlformats.org/officeDocument/2006/relationships/hyperlink" Target="https://expa.aiesec.org/opportunities/1295563" TargetMode="External"/><Relationship Id="rId1371" Type="http://schemas.openxmlformats.org/officeDocument/2006/relationships/hyperlink" Target="https://expa.aiesec.org/opportunities/1303316" TargetMode="External"/><Relationship Id="rId1372" Type="http://schemas.openxmlformats.org/officeDocument/2006/relationships/drawing" Target="../drawings/drawing14.xml"/><Relationship Id="rId785" Type="http://schemas.openxmlformats.org/officeDocument/2006/relationships/hyperlink" Target="https://expa.aiesec.org/opportunities/1294995" TargetMode="External"/><Relationship Id="rId784" Type="http://schemas.openxmlformats.org/officeDocument/2006/relationships/hyperlink" Target="https://expa.aiesec.org/opportunities/1294179" TargetMode="External"/><Relationship Id="rId783" Type="http://schemas.openxmlformats.org/officeDocument/2006/relationships/hyperlink" Target="https://expa.aiesec.org/opportunities/1294209" TargetMode="External"/><Relationship Id="rId782" Type="http://schemas.openxmlformats.org/officeDocument/2006/relationships/hyperlink" Target="https://expa.aiesec.org/opportunities/1266530" TargetMode="External"/><Relationship Id="rId1367" Type="http://schemas.openxmlformats.org/officeDocument/2006/relationships/hyperlink" Target="https://expa.aiesec.org/opportunities/1286658" TargetMode="External"/><Relationship Id="rId1368" Type="http://schemas.openxmlformats.org/officeDocument/2006/relationships/hyperlink" Target="https://expa.aiesec.org/opportunities/1289965" TargetMode="External"/><Relationship Id="rId1369" Type="http://schemas.openxmlformats.org/officeDocument/2006/relationships/hyperlink" Target="https://expa.aiesec.org/opportunities/1281345" TargetMode="External"/><Relationship Id="rId778" Type="http://schemas.openxmlformats.org/officeDocument/2006/relationships/hyperlink" Target="https://expa.aiesec.org/opportunities/1294669" TargetMode="External"/><Relationship Id="rId777" Type="http://schemas.openxmlformats.org/officeDocument/2006/relationships/hyperlink" Target="https://expa.aiesec.org/opportunities/1295214" TargetMode="External"/><Relationship Id="rId776" Type="http://schemas.openxmlformats.org/officeDocument/2006/relationships/hyperlink" Target="https://expa.aiesec.org/opportunities/1290059" TargetMode="External"/><Relationship Id="rId775" Type="http://schemas.openxmlformats.org/officeDocument/2006/relationships/hyperlink" Target="https://expa.aiesec.org/opportunities/1290393" TargetMode="External"/><Relationship Id="rId779" Type="http://schemas.openxmlformats.org/officeDocument/2006/relationships/hyperlink" Target="https://expa.aiesec.org/opportunities/1293907" TargetMode="External"/><Relationship Id="rId770" Type="http://schemas.openxmlformats.org/officeDocument/2006/relationships/hyperlink" Target="https://expa.aiesec.org/opportunities/1293393" TargetMode="External"/><Relationship Id="rId1360" Type="http://schemas.openxmlformats.org/officeDocument/2006/relationships/hyperlink" Target="https://expa.aiesec.org/opportunities/1288330" TargetMode="External"/><Relationship Id="rId1361" Type="http://schemas.openxmlformats.org/officeDocument/2006/relationships/hyperlink" Target="https://expa.aiesec.org/opportunities/1288330" TargetMode="External"/><Relationship Id="rId1362" Type="http://schemas.openxmlformats.org/officeDocument/2006/relationships/hyperlink" Target="https://expa.aiesec.org/opportunities/1299851" TargetMode="External"/><Relationship Id="rId774" Type="http://schemas.openxmlformats.org/officeDocument/2006/relationships/hyperlink" Target="https://expa.aiesec.org/opportunities/1290806" TargetMode="External"/><Relationship Id="rId1363" Type="http://schemas.openxmlformats.org/officeDocument/2006/relationships/hyperlink" Target="https://expa.aiesec.org/opportunities/1302495" TargetMode="External"/><Relationship Id="rId773" Type="http://schemas.openxmlformats.org/officeDocument/2006/relationships/hyperlink" Target="https://expa.aiesec.org/opportunities/1292947" TargetMode="External"/><Relationship Id="rId1364" Type="http://schemas.openxmlformats.org/officeDocument/2006/relationships/hyperlink" Target="https://expa.aiesec.org/opportunities/1293635" TargetMode="External"/><Relationship Id="rId772" Type="http://schemas.openxmlformats.org/officeDocument/2006/relationships/hyperlink" Target="https://expa.aiesec.org/opportunities/1294062" TargetMode="External"/><Relationship Id="rId1365" Type="http://schemas.openxmlformats.org/officeDocument/2006/relationships/hyperlink" Target="https://expa.aiesec.org/opportunities/1299454" TargetMode="External"/><Relationship Id="rId771" Type="http://schemas.openxmlformats.org/officeDocument/2006/relationships/hyperlink" Target="https://expa.aiesec.org/opportunities/1293005" TargetMode="External"/><Relationship Id="rId1366" Type="http://schemas.openxmlformats.org/officeDocument/2006/relationships/hyperlink" Target="https://expa.aiesec.org/opportunities/1281345" TargetMode="External"/><Relationship Id="rId799" Type="http://schemas.openxmlformats.org/officeDocument/2006/relationships/hyperlink" Target="https://expa.aiesec.org/opportunities/1293815" TargetMode="External"/><Relationship Id="rId798" Type="http://schemas.openxmlformats.org/officeDocument/2006/relationships/hyperlink" Target="https://expa.aiesec.org/opportunities/1293245" TargetMode="External"/><Relationship Id="rId797" Type="http://schemas.openxmlformats.org/officeDocument/2006/relationships/hyperlink" Target="https://expa.aiesec.org/opportunities/1295529" TargetMode="External"/><Relationship Id="rId792" Type="http://schemas.openxmlformats.org/officeDocument/2006/relationships/hyperlink" Target="https://expa.aiesec.org/opportunities/1291263" TargetMode="External"/><Relationship Id="rId791" Type="http://schemas.openxmlformats.org/officeDocument/2006/relationships/hyperlink" Target="https://expa.aiesec.org/opportunities/1287985" TargetMode="External"/><Relationship Id="rId790" Type="http://schemas.openxmlformats.org/officeDocument/2006/relationships/hyperlink" Target="https://expa.aiesec.org/opportunities/1294209" TargetMode="External"/><Relationship Id="rId796" Type="http://schemas.openxmlformats.org/officeDocument/2006/relationships/hyperlink" Target="https://expa.aiesec.org/opportunities/1291413" TargetMode="External"/><Relationship Id="rId795" Type="http://schemas.openxmlformats.org/officeDocument/2006/relationships/hyperlink" Target="https://expa.aiesec.org/opportunities/1294734" TargetMode="External"/><Relationship Id="rId794" Type="http://schemas.openxmlformats.org/officeDocument/2006/relationships/hyperlink" Target="https://expa.aiesec.org/opportunities/1294624" TargetMode="External"/><Relationship Id="rId793" Type="http://schemas.openxmlformats.org/officeDocument/2006/relationships/hyperlink" Target="https://expa.aiesec.org/opportunities/1292380" TargetMode="External"/><Relationship Id="rId629" Type="http://schemas.openxmlformats.org/officeDocument/2006/relationships/hyperlink" Target="https://expa.aiesec.org/opportunities/1294247" TargetMode="External"/><Relationship Id="rId624" Type="http://schemas.openxmlformats.org/officeDocument/2006/relationships/hyperlink" Target="https://expa.aiesec.org/opportunities/1293463" TargetMode="External"/><Relationship Id="rId623" Type="http://schemas.openxmlformats.org/officeDocument/2006/relationships/hyperlink" Target="https://expa.aiesec.org/opportunities/1290282" TargetMode="External"/><Relationship Id="rId622" Type="http://schemas.openxmlformats.org/officeDocument/2006/relationships/hyperlink" Target="https://expa.aiesec.org/opportunities/1291395" TargetMode="External"/><Relationship Id="rId621" Type="http://schemas.openxmlformats.org/officeDocument/2006/relationships/hyperlink" Target="https://expa.aiesec.org/opportunities/1293645" TargetMode="External"/><Relationship Id="rId628" Type="http://schemas.openxmlformats.org/officeDocument/2006/relationships/hyperlink" Target="https://expa.aiesec.org/opportunities/1294522" TargetMode="External"/><Relationship Id="rId627" Type="http://schemas.openxmlformats.org/officeDocument/2006/relationships/hyperlink" Target="https://expa.aiesec.org/opportunities/1294234" TargetMode="External"/><Relationship Id="rId626" Type="http://schemas.openxmlformats.org/officeDocument/2006/relationships/hyperlink" Target="https://expa.aiesec.org/opportunities/1294357" TargetMode="External"/><Relationship Id="rId625" Type="http://schemas.openxmlformats.org/officeDocument/2006/relationships/hyperlink" Target="https://expa.aiesec.org/opportunities/1290282" TargetMode="External"/><Relationship Id="rId620" Type="http://schemas.openxmlformats.org/officeDocument/2006/relationships/hyperlink" Target="https://expa.aiesec.org/opportunities/1286553" TargetMode="External"/><Relationship Id="rId619" Type="http://schemas.openxmlformats.org/officeDocument/2006/relationships/hyperlink" Target="https://expa.aiesec.org/opportunities/1289984" TargetMode="External"/><Relationship Id="rId618" Type="http://schemas.openxmlformats.org/officeDocument/2006/relationships/hyperlink" Target="https://expa.aiesec.org/opportunities/1292606" TargetMode="External"/><Relationship Id="rId613" Type="http://schemas.openxmlformats.org/officeDocument/2006/relationships/hyperlink" Target="https://expa.aiesec.org/opportunities/1294062" TargetMode="External"/><Relationship Id="rId612" Type="http://schemas.openxmlformats.org/officeDocument/2006/relationships/hyperlink" Target="https://expa.aiesec.org/opportunities/1294364" TargetMode="External"/><Relationship Id="rId611" Type="http://schemas.openxmlformats.org/officeDocument/2006/relationships/hyperlink" Target="https://expa.aiesec.org/opportunities/1284312" TargetMode="External"/><Relationship Id="rId610" Type="http://schemas.openxmlformats.org/officeDocument/2006/relationships/hyperlink" Target="https://expa.aiesec.org/opportunities/1288609" TargetMode="External"/><Relationship Id="rId617" Type="http://schemas.openxmlformats.org/officeDocument/2006/relationships/hyperlink" Target="https://expa.aiesec.org/opportunities/1294294" TargetMode="External"/><Relationship Id="rId616" Type="http://schemas.openxmlformats.org/officeDocument/2006/relationships/hyperlink" Target="https://expa.aiesec.org/opportunities/1290858" TargetMode="External"/><Relationship Id="rId615" Type="http://schemas.openxmlformats.org/officeDocument/2006/relationships/hyperlink" Target="https://expa.aiesec.org/opportunities/1294062" TargetMode="External"/><Relationship Id="rId614" Type="http://schemas.openxmlformats.org/officeDocument/2006/relationships/hyperlink" Target="https://expa.aiesec.org/opportunities/1294459" TargetMode="External"/><Relationship Id="rId646" Type="http://schemas.openxmlformats.org/officeDocument/2006/relationships/hyperlink" Target="https://expa.aiesec.org/opportunities/1289297" TargetMode="External"/><Relationship Id="rId645" Type="http://schemas.openxmlformats.org/officeDocument/2006/relationships/hyperlink" Target="https://expa.aiesec.org/opportunities/1291997" TargetMode="External"/><Relationship Id="rId644" Type="http://schemas.openxmlformats.org/officeDocument/2006/relationships/hyperlink" Target="https://expa.aiesec.org/opportunities/1291996" TargetMode="External"/><Relationship Id="rId643" Type="http://schemas.openxmlformats.org/officeDocument/2006/relationships/hyperlink" Target="https://expa.aiesec.org/opportunities/1294453" TargetMode="External"/><Relationship Id="rId649" Type="http://schemas.openxmlformats.org/officeDocument/2006/relationships/hyperlink" Target="https://expa.aiesec.org/opportunities/1294453" TargetMode="External"/><Relationship Id="rId648" Type="http://schemas.openxmlformats.org/officeDocument/2006/relationships/hyperlink" Target="https://expa.aiesec.org/opportunities/1292188" TargetMode="External"/><Relationship Id="rId647" Type="http://schemas.openxmlformats.org/officeDocument/2006/relationships/hyperlink" Target="https://expa.aiesec.org/opportunities/1294811" TargetMode="External"/><Relationship Id="rId642" Type="http://schemas.openxmlformats.org/officeDocument/2006/relationships/hyperlink" Target="https://expa.aiesec.org/opportunities/1293694" TargetMode="External"/><Relationship Id="rId641" Type="http://schemas.openxmlformats.org/officeDocument/2006/relationships/hyperlink" Target="https://expa.aiesec.org/opportunities/1293717" TargetMode="External"/><Relationship Id="rId640" Type="http://schemas.openxmlformats.org/officeDocument/2006/relationships/hyperlink" Target="https://expa.aiesec.org/opportunities/1285085" TargetMode="External"/><Relationship Id="rId635" Type="http://schemas.openxmlformats.org/officeDocument/2006/relationships/hyperlink" Target="https://expa.aiesec.org/opportunities/1293015" TargetMode="External"/><Relationship Id="rId634" Type="http://schemas.openxmlformats.org/officeDocument/2006/relationships/hyperlink" Target="https://expa.aiesec.org/opportunities/1292800" TargetMode="External"/><Relationship Id="rId633" Type="http://schemas.openxmlformats.org/officeDocument/2006/relationships/hyperlink" Target="https://expa.aiesec.org/opportunities/1290145" TargetMode="External"/><Relationship Id="rId632" Type="http://schemas.openxmlformats.org/officeDocument/2006/relationships/hyperlink" Target="https://expa.aiesec.org/opportunities/1288609" TargetMode="External"/><Relationship Id="rId639" Type="http://schemas.openxmlformats.org/officeDocument/2006/relationships/hyperlink" Target="https://expa.aiesec.org/opportunities/1288411" TargetMode="External"/><Relationship Id="rId638" Type="http://schemas.openxmlformats.org/officeDocument/2006/relationships/hyperlink" Target="https://expa.aiesec.org/opportunities/1294034" TargetMode="External"/><Relationship Id="rId637" Type="http://schemas.openxmlformats.org/officeDocument/2006/relationships/hyperlink" Target="https://expa.aiesec.org/opportunities/1288609" TargetMode="External"/><Relationship Id="rId636" Type="http://schemas.openxmlformats.org/officeDocument/2006/relationships/hyperlink" Target="https://expa.aiesec.org/opportunities/1292571" TargetMode="External"/><Relationship Id="rId631" Type="http://schemas.openxmlformats.org/officeDocument/2006/relationships/hyperlink" Target="https://expa.aiesec.org/opportunities/1288609" TargetMode="External"/><Relationship Id="rId630" Type="http://schemas.openxmlformats.org/officeDocument/2006/relationships/hyperlink" Target="https://expa.aiesec.org/opportunities/1288609" TargetMode="External"/><Relationship Id="rId609" Type="http://schemas.openxmlformats.org/officeDocument/2006/relationships/hyperlink" Target="https://expa.aiesec.org/opportunities/1288609" TargetMode="External"/><Relationship Id="rId608" Type="http://schemas.openxmlformats.org/officeDocument/2006/relationships/hyperlink" Target="https://expa.aiesec.org/opportunities/1286929" TargetMode="External"/><Relationship Id="rId607" Type="http://schemas.openxmlformats.org/officeDocument/2006/relationships/hyperlink" Target="https://expa.aiesec.org/opportunities/1294063" TargetMode="External"/><Relationship Id="rId602" Type="http://schemas.openxmlformats.org/officeDocument/2006/relationships/hyperlink" Target="https://expa.aiesec.org/opportunities/1292786" TargetMode="External"/><Relationship Id="rId601" Type="http://schemas.openxmlformats.org/officeDocument/2006/relationships/hyperlink" Target="https://expa.aiesec.org/opportunities/1293460" TargetMode="External"/><Relationship Id="rId600" Type="http://schemas.openxmlformats.org/officeDocument/2006/relationships/hyperlink" Target="https://expa.aiesec.org/opportunities/1293863" TargetMode="External"/><Relationship Id="rId606" Type="http://schemas.openxmlformats.org/officeDocument/2006/relationships/hyperlink" Target="https://expa.aiesec.org/opportunities/1292298" TargetMode="External"/><Relationship Id="rId605" Type="http://schemas.openxmlformats.org/officeDocument/2006/relationships/hyperlink" Target="https://expa.aiesec.org/opportunities/1293200" TargetMode="External"/><Relationship Id="rId604" Type="http://schemas.openxmlformats.org/officeDocument/2006/relationships/hyperlink" Target="https://expa.aiesec.org/opportunities/1294825" TargetMode="External"/><Relationship Id="rId603" Type="http://schemas.openxmlformats.org/officeDocument/2006/relationships/hyperlink" Target="https://expa.aiesec.org/opportunities/1294176" TargetMode="External"/><Relationship Id="rId699" Type="http://schemas.openxmlformats.org/officeDocument/2006/relationships/hyperlink" Target="https://expa.aiesec.org/opportunities/1284312" TargetMode="External"/><Relationship Id="rId698" Type="http://schemas.openxmlformats.org/officeDocument/2006/relationships/hyperlink" Target="https://expa.aiesec.org/opportunities/1292298" TargetMode="External"/><Relationship Id="rId693" Type="http://schemas.openxmlformats.org/officeDocument/2006/relationships/hyperlink" Target="https://expa.aiesec.org/opportunities/1294587" TargetMode="External"/><Relationship Id="rId692" Type="http://schemas.openxmlformats.org/officeDocument/2006/relationships/hyperlink" Target="https://expa.aiesec.org/opportunities/1288609" TargetMode="External"/><Relationship Id="rId691" Type="http://schemas.openxmlformats.org/officeDocument/2006/relationships/hyperlink" Target="https://expa.aiesec.org/opportunities/1288609" TargetMode="External"/><Relationship Id="rId690" Type="http://schemas.openxmlformats.org/officeDocument/2006/relationships/hyperlink" Target="https://expa.aiesec.org/opportunities/1288414" TargetMode="External"/><Relationship Id="rId697" Type="http://schemas.openxmlformats.org/officeDocument/2006/relationships/hyperlink" Target="https://expa.aiesec.org/opportunities/1290024" TargetMode="External"/><Relationship Id="rId696" Type="http://schemas.openxmlformats.org/officeDocument/2006/relationships/hyperlink" Target="https://expa.aiesec.org/opportunities/1294760" TargetMode="External"/><Relationship Id="rId695" Type="http://schemas.openxmlformats.org/officeDocument/2006/relationships/hyperlink" Target="https://expa.aiesec.org/opportunities/1290950" TargetMode="External"/><Relationship Id="rId694" Type="http://schemas.openxmlformats.org/officeDocument/2006/relationships/hyperlink" Target="https://expa.aiesec.org/opportunities/1293046" TargetMode="External"/><Relationship Id="rId668" Type="http://schemas.openxmlformats.org/officeDocument/2006/relationships/hyperlink" Target="https://expa.aiesec.org/opportunities/1293695" TargetMode="External"/><Relationship Id="rId667" Type="http://schemas.openxmlformats.org/officeDocument/2006/relationships/hyperlink" Target="https://expa.aiesec.org/opportunities/1293999" TargetMode="External"/><Relationship Id="rId666" Type="http://schemas.openxmlformats.org/officeDocument/2006/relationships/hyperlink" Target="https://expa.aiesec.org/opportunities/1294025" TargetMode="External"/><Relationship Id="rId665" Type="http://schemas.openxmlformats.org/officeDocument/2006/relationships/hyperlink" Target="https://expa.aiesec.org/opportunities/1293954" TargetMode="External"/><Relationship Id="rId669" Type="http://schemas.openxmlformats.org/officeDocument/2006/relationships/hyperlink" Target="https://expa.aiesec.org/opportunities/1293406" TargetMode="External"/><Relationship Id="rId660" Type="http://schemas.openxmlformats.org/officeDocument/2006/relationships/hyperlink" Target="https://expa.aiesec.org/opportunities/1287987" TargetMode="External"/><Relationship Id="rId664" Type="http://schemas.openxmlformats.org/officeDocument/2006/relationships/hyperlink" Target="https://expa.aiesec.org/opportunities/1293200" TargetMode="External"/><Relationship Id="rId663" Type="http://schemas.openxmlformats.org/officeDocument/2006/relationships/hyperlink" Target="https://expa.aiesec.org/opportunities/1294429" TargetMode="External"/><Relationship Id="rId662" Type="http://schemas.openxmlformats.org/officeDocument/2006/relationships/hyperlink" Target="https://expa.aiesec.org/opportunities/1294429" TargetMode="External"/><Relationship Id="rId661" Type="http://schemas.openxmlformats.org/officeDocument/2006/relationships/hyperlink" Target="https://expa.aiesec.org/opportunities/1294851" TargetMode="External"/><Relationship Id="rId657" Type="http://schemas.openxmlformats.org/officeDocument/2006/relationships/hyperlink" Target="https://expa.aiesec.org/opportunities/1292298" TargetMode="External"/><Relationship Id="rId656" Type="http://schemas.openxmlformats.org/officeDocument/2006/relationships/hyperlink" Target="https://expa.aiesec.org/opportunities/1294923" TargetMode="External"/><Relationship Id="rId655" Type="http://schemas.openxmlformats.org/officeDocument/2006/relationships/hyperlink" Target="https://expa.aiesec.org/opportunities/1287987" TargetMode="External"/><Relationship Id="rId654" Type="http://schemas.openxmlformats.org/officeDocument/2006/relationships/hyperlink" Target="https://expa.aiesec.org/opportunities/1294310" TargetMode="External"/><Relationship Id="rId659" Type="http://schemas.openxmlformats.org/officeDocument/2006/relationships/hyperlink" Target="https://expa.aiesec.org/opportunities/1293026" TargetMode="External"/><Relationship Id="rId658" Type="http://schemas.openxmlformats.org/officeDocument/2006/relationships/hyperlink" Target="https://expa.aiesec.org/opportunities/1294102" TargetMode="External"/><Relationship Id="rId653" Type="http://schemas.openxmlformats.org/officeDocument/2006/relationships/hyperlink" Target="https://expa.aiesec.org/opportunities/1293463" TargetMode="External"/><Relationship Id="rId652" Type="http://schemas.openxmlformats.org/officeDocument/2006/relationships/hyperlink" Target="https://expa.aiesec.org/opportunities/1293463" TargetMode="External"/><Relationship Id="rId651" Type="http://schemas.openxmlformats.org/officeDocument/2006/relationships/hyperlink" Target="https://expa.aiesec.org/opportunities/1290043" TargetMode="External"/><Relationship Id="rId650" Type="http://schemas.openxmlformats.org/officeDocument/2006/relationships/hyperlink" Target="https://expa.aiesec.org/opportunities/1284312" TargetMode="External"/><Relationship Id="rId689" Type="http://schemas.openxmlformats.org/officeDocument/2006/relationships/hyperlink" Target="https://expa.aiesec.org/opportunities/1293863" TargetMode="External"/><Relationship Id="rId688" Type="http://schemas.openxmlformats.org/officeDocument/2006/relationships/hyperlink" Target="https://expa.aiesec.org/opportunities/1294632" TargetMode="External"/><Relationship Id="rId687" Type="http://schemas.openxmlformats.org/officeDocument/2006/relationships/hyperlink" Target="https://expa.aiesec.org/opportunities/1293245" TargetMode="External"/><Relationship Id="rId682" Type="http://schemas.openxmlformats.org/officeDocument/2006/relationships/hyperlink" Target="https://expa.aiesec.org/opportunities/1293918" TargetMode="External"/><Relationship Id="rId681" Type="http://schemas.openxmlformats.org/officeDocument/2006/relationships/hyperlink" Target="https://expa.aiesec.org/opportunities/1294209" TargetMode="External"/><Relationship Id="rId680" Type="http://schemas.openxmlformats.org/officeDocument/2006/relationships/hyperlink" Target="https://expa.aiesec.org/opportunities/1294876" TargetMode="External"/><Relationship Id="rId686" Type="http://schemas.openxmlformats.org/officeDocument/2006/relationships/hyperlink" Target="https://expa.aiesec.org/opportunities/1293699" TargetMode="External"/><Relationship Id="rId685" Type="http://schemas.openxmlformats.org/officeDocument/2006/relationships/hyperlink" Target="https://expa.aiesec.org/opportunities/1293005" TargetMode="External"/><Relationship Id="rId684" Type="http://schemas.openxmlformats.org/officeDocument/2006/relationships/hyperlink" Target="https://expa.aiesec.org/opportunities/1294734" TargetMode="External"/><Relationship Id="rId683" Type="http://schemas.openxmlformats.org/officeDocument/2006/relationships/hyperlink" Target="https://expa.aiesec.org/opportunities/1294206" TargetMode="External"/><Relationship Id="rId679" Type="http://schemas.openxmlformats.org/officeDocument/2006/relationships/hyperlink" Target="https://expa.aiesec.org/opportunities/1294488" TargetMode="External"/><Relationship Id="rId678" Type="http://schemas.openxmlformats.org/officeDocument/2006/relationships/hyperlink" Target="https://expa.aiesec.org/opportunities/1286929" TargetMode="External"/><Relationship Id="rId677" Type="http://schemas.openxmlformats.org/officeDocument/2006/relationships/hyperlink" Target="https://expa.aiesec.org/opportunities/1289951" TargetMode="External"/><Relationship Id="rId676" Type="http://schemas.openxmlformats.org/officeDocument/2006/relationships/hyperlink" Target="https://expa.aiesec.org/opportunities/1294848" TargetMode="External"/><Relationship Id="rId671" Type="http://schemas.openxmlformats.org/officeDocument/2006/relationships/hyperlink" Target="https://expa.aiesec.org/opportunities/1288129" TargetMode="External"/><Relationship Id="rId670" Type="http://schemas.openxmlformats.org/officeDocument/2006/relationships/hyperlink" Target="https://expa.aiesec.org/opportunities/1294425" TargetMode="External"/><Relationship Id="rId675" Type="http://schemas.openxmlformats.org/officeDocument/2006/relationships/hyperlink" Target="https://expa.aiesec.org/opportunities/1294848" TargetMode="External"/><Relationship Id="rId674" Type="http://schemas.openxmlformats.org/officeDocument/2006/relationships/hyperlink" Target="https://expa.aiesec.org/opportunities/1294412" TargetMode="External"/><Relationship Id="rId673" Type="http://schemas.openxmlformats.org/officeDocument/2006/relationships/hyperlink" Target="https://expa.aiesec.org/opportunities/1294508" TargetMode="External"/><Relationship Id="rId672" Type="http://schemas.openxmlformats.org/officeDocument/2006/relationships/hyperlink" Target="https://expa.aiesec.org/opportunities/1293054" TargetMode="External"/><Relationship Id="rId190" Type="http://schemas.openxmlformats.org/officeDocument/2006/relationships/hyperlink" Target="https://expa.aiesec.org/opportunities/1290374" TargetMode="External"/><Relationship Id="rId194" Type="http://schemas.openxmlformats.org/officeDocument/2006/relationships/hyperlink" Target="https://expa.aiesec.org/opportunities/1288419" TargetMode="External"/><Relationship Id="rId193" Type="http://schemas.openxmlformats.org/officeDocument/2006/relationships/hyperlink" Target="https://expa.aiesec.org/opportunities/1287477" TargetMode="External"/><Relationship Id="rId192" Type="http://schemas.openxmlformats.org/officeDocument/2006/relationships/hyperlink" Target="https://expa.aiesec.org/opportunities/1290036" TargetMode="External"/><Relationship Id="rId191" Type="http://schemas.openxmlformats.org/officeDocument/2006/relationships/hyperlink" Target="https://expa.aiesec.org/opportunities/1288609" TargetMode="External"/><Relationship Id="rId187" Type="http://schemas.openxmlformats.org/officeDocument/2006/relationships/hyperlink" Target="https://expa.aiesec.org/opportunities/1290024" TargetMode="External"/><Relationship Id="rId186" Type="http://schemas.openxmlformats.org/officeDocument/2006/relationships/hyperlink" Target="https://expa.aiesec.org/opportunities/1290024" TargetMode="External"/><Relationship Id="rId185" Type="http://schemas.openxmlformats.org/officeDocument/2006/relationships/hyperlink" Target="https://expa.aiesec.org/opportunities/1288609" TargetMode="External"/><Relationship Id="rId184" Type="http://schemas.openxmlformats.org/officeDocument/2006/relationships/hyperlink" Target="https://expa.aiesec.org/opportunities/1287894" TargetMode="External"/><Relationship Id="rId189" Type="http://schemas.openxmlformats.org/officeDocument/2006/relationships/hyperlink" Target="https://expa.aiesec.org/opportunities/1290352" TargetMode="External"/><Relationship Id="rId188" Type="http://schemas.openxmlformats.org/officeDocument/2006/relationships/hyperlink" Target="https://expa.aiesec.org/opportunities/1285413" TargetMode="External"/><Relationship Id="rId183" Type="http://schemas.openxmlformats.org/officeDocument/2006/relationships/hyperlink" Target="https://expa.aiesec.org/opportunities/1287722" TargetMode="External"/><Relationship Id="rId182" Type="http://schemas.openxmlformats.org/officeDocument/2006/relationships/hyperlink" Target="https://expa.aiesec.org/opportunities/1290159" TargetMode="External"/><Relationship Id="rId181" Type="http://schemas.openxmlformats.org/officeDocument/2006/relationships/hyperlink" Target="https://expa.aiesec.org/opportunities/1288843" TargetMode="External"/><Relationship Id="rId180" Type="http://schemas.openxmlformats.org/officeDocument/2006/relationships/hyperlink" Target="https://expa.aiesec.org/opportunities/1288609" TargetMode="External"/><Relationship Id="rId176" Type="http://schemas.openxmlformats.org/officeDocument/2006/relationships/hyperlink" Target="https://expa.aiesec.org/opportunities/1287987" TargetMode="External"/><Relationship Id="rId175" Type="http://schemas.openxmlformats.org/officeDocument/2006/relationships/hyperlink" Target="https://expa.aiesec.org/opportunities/1288609" TargetMode="External"/><Relationship Id="rId174" Type="http://schemas.openxmlformats.org/officeDocument/2006/relationships/hyperlink" Target="https://expa.aiesec.org/opportunities/1288412" TargetMode="External"/><Relationship Id="rId173" Type="http://schemas.openxmlformats.org/officeDocument/2006/relationships/hyperlink" Target="https://expa.aiesec.org/opportunities/1290024" TargetMode="External"/><Relationship Id="rId179" Type="http://schemas.openxmlformats.org/officeDocument/2006/relationships/hyperlink" Target="https://expa.aiesec.org/opportunities/1290216" TargetMode="External"/><Relationship Id="rId178" Type="http://schemas.openxmlformats.org/officeDocument/2006/relationships/hyperlink" Target="https://expa.aiesec.org/opportunities/1284485" TargetMode="External"/><Relationship Id="rId177" Type="http://schemas.openxmlformats.org/officeDocument/2006/relationships/hyperlink" Target="https://expa.aiesec.org/opportunities/1290210" TargetMode="External"/><Relationship Id="rId198" Type="http://schemas.openxmlformats.org/officeDocument/2006/relationships/hyperlink" Target="https://expa.aiesec.org/opportunities/1290024" TargetMode="External"/><Relationship Id="rId197" Type="http://schemas.openxmlformats.org/officeDocument/2006/relationships/hyperlink" Target="https://expa.aiesec.org/opportunities/1290024" TargetMode="External"/><Relationship Id="rId196" Type="http://schemas.openxmlformats.org/officeDocument/2006/relationships/hyperlink" Target="https://expa.aiesec.org/opportunities/1286442" TargetMode="External"/><Relationship Id="rId195" Type="http://schemas.openxmlformats.org/officeDocument/2006/relationships/hyperlink" Target="https://expa.aiesec.org/opportunities/1288419" TargetMode="External"/><Relationship Id="rId199" Type="http://schemas.openxmlformats.org/officeDocument/2006/relationships/hyperlink" Target="https://expa.aiesec.org/opportunities/1287459" TargetMode="External"/><Relationship Id="rId150" Type="http://schemas.openxmlformats.org/officeDocument/2006/relationships/hyperlink" Target="https://expa.aiesec.org/opportunities/1288937" TargetMode="External"/><Relationship Id="rId149" Type="http://schemas.openxmlformats.org/officeDocument/2006/relationships/hyperlink" Target="https://expa.aiesec.org/opportunities/1290677" TargetMode="External"/><Relationship Id="rId148" Type="http://schemas.openxmlformats.org/officeDocument/2006/relationships/hyperlink" Target="https://expa.aiesec.org/opportunities/1289564" TargetMode="External"/><Relationship Id="rId143" Type="http://schemas.openxmlformats.org/officeDocument/2006/relationships/hyperlink" Target="https://expa.aiesec.org/opportunities/1287459" TargetMode="External"/><Relationship Id="rId142" Type="http://schemas.openxmlformats.org/officeDocument/2006/relationships/hyperlink" Target="https://expa.aiesec.org/opportunities/1289852" TargetMode="External"/><Relationship Id="rId141" Type="http://schemas.openxmlformats.org/officeDocument/2006/relationships/hyperlink" Target="https://expa.aiesec.org/opportunities/1287509" TargetMode="External"/><Relationship Id="rId140" Type="http://schemas.openxmlformats.org/officeDocument/2006/relationships/hyperlink" Target="https://expa.aiesec.org/opportunities/1290625" TargetMode="External"/><Relationship Id="rId147" Type="http://schemas.openxmlformats.org/officeDocument/2006/relationships/hyperlink" Target="https://expa.aiesec.org/opportunities/1290444" TargetMode="External"/><Relationship Id="rId146" Type="http://schemas.openxmlformats.org/officeDocument/2006/relationships/hyperlink" Target="https://expa.aiesec.org/opportunities/1289673" TargetMode="External"/><Relationship Id="rId145" Type="http://schemas.openxmlformats.org/officeDocument/2006/relationships/hyperlink" Target="https://expa.aiesec.org/opportunities/1290210" TargetMode="External"/><Relationship Id="rId144" Type="http://schemas.openxmlformats.org/officeDocument/2006/relationships/hyperlink" Target="https://expa.aiesec.org/opportunities/1290210" TargetMode="External"/><Relationship Id="rId139" Type="http://schemas.openxmlformats.org/officeDocument/2006/relationships/hyperlink" Target="https://expa.aiesec.org/opportunities/1289256" TargetMode="External"/><Relationship Id="rId138" Type="http://schemas.openxmlformats.org/officeDocument/2006/relationships/hyperlink" Target="https://expa.aiesec.org/opportunities/1290024" TargetMode="External"/><Relationship Id="rId137" Type="http://schemas.openxmlformats.org/officeDocument/2006/relationships/hyperlink" Target="https://expa.aiesec.org/opportunities/1290024" TargetMode="External"/><Relationship Id="rId132" Type="http://schemas.openxmlformats.org/officeDocument/2006/relationships/hyperlink" Target="https://expa.aiesec.org/opportunities/1287244" TargetMode="External"/><Relationship Id="rId131" Type="http://schemas.openxmlformats.org/officeDocument/2006/relationships/hyperlink" Target="https://expa.aiesec.org/opportunities/1287113" TargetMode="External"/><Relationship Id="rId130" Type="http://schemas.openxmlformats.org/officeDocument/2006/relationships/hyperlink" Target="https://expa.aiesec.org/opportunities/1288330" TargetMode="External"/><Relationship Id="rId136" Type="http://schemas.openxmlformats.org/officeDocument/2006/relationships/hyperlink" Target="https://expa.aiesec.org/opportunities/1282194" TargetMode="External"/><Relationship Id="rId135" Type="http://schemas.openxmlformats.org/officeDocument/2006/relationships/hyperlink" Target="https://expa.aiesec.org/opportunities/1289533" TargetMode="External"/><Relationship Id="rId134" Type="http://schemas.openxmlformats.org/officeDocument/2006/relationships/hyperlink" Target="https://expa.aiesec.org/opportunities/1290418" TargetMode="External"/><Relationship Id="rId133" Type="http://schemas.openxmlformats.org/officeDocument/2006/relationships/hyperlink" Target="https://expa.aiesec.org/opportunities/1288419" TargetMode="External"/><Relationship Id="rId172" Type="http://schemas.openxmlformats.org/officeDocument/2006/relationships/hyperlink" Target="https://expa.aiesec.org/opportunities/1290362" TargetMode="External"/><Relationship Id="rId171" Type="http://schemas.openxmlformats.org/officeDocument/2006/relationships/hyperlink" Target="https://expa.aiesec.org/opportunities/1290278" TargetMode="External"/><Relationship Id="rId170" Type="http://schemas.openxmlformats.org/officeDocument/2006/relationships/hyperlink" Target="https://expa.aiesec.org/opportunities/1286442" TargetMode="External"/><Relationship Id="rId165" Type="http://schemas.openxmlformats.org/officeDocument/2006/relationships/hyperlink" Target="https://expa.aiesec.org/opportunities/1290243" TargetMode="External"/><Relationship Id="rId164" Type="http://schemas.openxmlformats.org/officeDocument/2006/relationships/hyperlink" Target="https://expa.aiesec.org/opportunities/1290690" TargetMode="External"/><Relationship Id="rId163" Type="http://schemas.openxmlformats.org/officeDocument/2006/relationships/hyperlink" Target="https://expa.aiesec.org/opportunities/1290961" TargetMode="External"/><Relationship Id="rId162" Type="http://schemas.openxmlformats.org/officeDocument/2006/relationships/hyperlink" Target="https://expa.aiesec.org/opportunities/1290961" TargetMode="External"/><Relationship Id="rId169" Type="http://schemas.openxmlformats.org/officeDocument/2006/relationships/hyperlink" Target="https://expa.aiesec.org/opportunities/1290210" TargetMode="External"/><Relationship Id="rId168" Type="http://schemas.openxmlformats.org/officeDocument/2006/relationships/hyperlink" Target="https://expa.aiesec.org/opportunities/1290024" TargetMode="External"/><Relationship Id="rId167" Type="http://schemas.openxmlformats.org/officeDocument/2006/relationships/hyperlink" Target="https://expa.aiesec.org/opportunities/1290039" TargetMode="External"/><Relationship Id="rId166" Type="http://schemas.openxmlformats.org/officeDocument/2006/relationships/hyperlink" Target="https://expa.aiesec.org/opportunities/1290026" TargetMode="External"/><Relationship Id="rId161" Type="http://schemas.openxmlformats.org/officeDocument/2006/relationships/hyperlink" Target="https://expa.aiesec.org/opportunities/1283338" TargetMode="External"/><Relationship Id="rId160" Type="http://schemas.openxmlformats.org/officeDocument/2006/relationships/hyperlink" Target="https://expa.aiesec.org/opportunities/1290798" TargetMode="External"/><Relationship Id="rId159" Type="http://schemas.openxmlformats.org/officeDocument/2006/relationships/hyperlink" Target="https://expa.aiesec.org/opportunities/1290820" TargetMode="External"/><Relationship Id="rId154" Type="http://schemas.openxmlformats.org/officeDocument/2006/relationships/hyperlink" Target="https://expa.aiesec.org/opportunities/1288419" TargetMode="External"/><Relationship Id="rId153" Type="http://schemas.openxmlformats.org/officeDocument/2006/relationships/hyperlink" Target="https://expa.aiesec.org/opportunities/1288419" TargetMode="External"/><Relationship Id="rId152" Type="http://schemas.openxmlformats.org/officeDocument/2006/relationships/hyperlink" Target="https://expa.aiesec.org/opportunities/1285865" TargetMode="External"/><Relationship Id="rId151" Type="http://schemas.openxmlformats.org/officeDocument/2006/relationships/hyperlink" Target="https://expa.aiesec.org/opportunities/1290742" TargetMode="External"/><Relationship Id="rId158" Type="http://schemas.openxmlformats.org/officeDocument/2006/relationships/hyperlink" Target="https://expa.aiesec.org/opportunities/1290820" TargetMode="External"/><Relationship Id="rId157" Type="http://schemas.openxmlformats.org/officeDocument/2006/relationships/hyperlink" Target="https://expa.aiesec.org/opportunities/1290961" TargetMode="External"/><Relationship Id="rId156" Type="http://schemas.openxmlformats.org/officeDocument/2006/relationships/hyperlink" Target="https://expa.aiesec.org/opportunities/1287309" TargetMode="External"/><Relationship Id="rId155" Type="http://schemas.openxmlformats.org/officeDocument/2006/relationships/hyperlink" Target="https://expa.aiesec.org/opportunities/1290418" TargetMode="External"/><Relationship Id="rId987" Type="http://schemas.openxmlformats.org/officeDocument/2006/relationships/hyperlink" Target="https://expa.aiesec.org/opportunities/1298037" TargetMode="External"/><Relationship Id="rId986" Type="http://schemas.openxmlformats.org/officeDocument/2006/relationships/hyperlink" Target="https://expa.aiesec.org/opportunities/1298373" TargetMode="External"/><Relationship Id="rId985" Type="http://schemas.openxmlformats.org/officeDocument/2006/relationships/hyperlink" Target="https://expa.aiesec.org/opportunities/1294825" TargetMode="External"/><Relationship Id="rId984" Type="http://schemas.openxmlformats.org/officeDocument/2006/relationships/hyperlink" Target="https://expa.aiesec.org/opportunities/1296885" TargetMode="External"/><Relationship Id="rId989" Type="http://schemas.openxmlformats.org/officeDocument/2006/relationships/hyperlink" Target="https://expa.aiesec.org/opportunities/1297864" TargetMode="External"/><Relationship Id="rId988" Type="http://schemas.openxmlformats.org/officeDocument/2006/relationships/hyperlink" Target="https://expa.aiesec.org/opportunities/1289850" TargetMode="External"/><Relationship Id="rId983" Type="http://schemas.openxmlformats.org/officeDocument/2006/relationships/hyperlink" Target="https://expa.aiesec.org/opportunities/1296994" TargetMode="External"/><Relationship Id="rId982" Type="http://schemas.openxmlformats.org/officeDocument/2006/relationships/hyperlink" Target="https://expa.aiesec.org/opportunities/1295628" TargetMode="External"/><Relationship Id="rId981" Type="http://schemas.openxmlformats.org/officeDocument/2006/relationships/hyperlink" Target="https://expa.aiesec.org/opportunities/1298501" TargetMode="External"/><Relationship Id="rId980" Type="http://schemas.openxmlformats.org/officeDocument/2006/relationships/hyperlink" Target="https://expa.aiesec.org/opportunities/1298400" TargetMode="External"/><Relationship Id="rId976" Type="http://schemas.openxmlformats.org/officeDocument/2006/relationships/hyperlink" Target="https://expa.aiesec.org/opportunities/1294209" TargetMode="External"/><Relationship Id="rId975" Type="http://schemas.openxmlformats.org/officeDocument/2006/relationships/hyperlink" Target="https://expa.aiesec.org/opportunities/1294540" TargetMode="External"/><Relationship Id="rId974" Type="http://schemas.openxmlformats.org/officeDocument/2006/relationships/hyperlink" Target="https://expa.aiesec.org/opportunities/1289850" TargetMode="External"/><Relationship Id="rId973" Type="http://schemas.openxmlformats.org/officeDocument/2006/relationships/hyperlink" Target="https://expa.aiesec.org/opportunities/1298866" TargetMode="External"/><Relationship Id="rId979" Type="http://schemas.openxmlformats.org/officeDocument/2006/relationships/hyperlink" Target="https://expa.aiesec.org/opportunities/1298400" TargetMode="External"/><Relationship Id="rId978" Type="http://schemas.openxmlformats.org/officeDocument/2006/relationships/hyperlink" Target="https://expa.aiesec.org/opportunities/1298400" TargetMode="External"/><Relationship Id="rId977" Type="http://schemas.openxmlformats.org/officeDocument/2006/relationships/hyperlink" Target="https://expa.aiesec.org/opportunities/1295081" TargetMode="External"/><Relationship Id="rId972" Type="http://schemas.openxmlformats.org/officeDocument/2006/relationships/hyperlink" Target="https://expa.aiesec.org/opportunities/1298866" TargetMode="External"/><Relationship Id="rId971" Type="http://schemas.openxmlformats.org/officeDocument/2006/relationships/hyperlink" Target="https://expa.aiesec.org/opportunities/1291176" TargetMode="External"/><Relationship Id="rId970" Type="http://schemas.openxmlformats.org/officeDocument/2006/relationships/hyperlink" Target="https://expa.aiesec.org/opportunities/1285868" TargetMode="External"/><Relationship Id="rId998" Type="http://schemas.openxmlformats.org/officeDocument/2006/relationships/hyperlink" Target="https://expa.aiesec.org/opportunities/1299359" TargetMode="External"/><Relationship Id="rId997" Type="http://schemas.openxmlformats.org/officeDocument/2006/relationships/hyperlink" Target="https://expa.aiesec.org/opportunities/1298053" TargetMode="External"/><Relationship Id="rId996" Type="http://schemas.openxmlformats.org/officeDocument/2006/relationships/hyperlink" Target="https://expa.aiesec.org/opportunities/1298864" TargetMode="External"/><Relationship Id="rId995" Type="http://schemas.openxmlformats.org/officeDocument/2006/relationships/hyperlink" Target="https://expa.aiesec.org/opportunities/1298368" TargetMode="External"/><Relationship Id="rId999" Type="http://schemas.openxmlformats.org/officeDocument/2006/relationships/hyperlink" Target="https://expa.aiesec.org/opportunities/1299172" TargetMode="External"/><Relationship Id="rId990" Type="http://schemas.openxmlformats.org/officeDocument/2006/relationships/hyperlink" Target="https://expa.aiesec.org/opportunities/1298571" TargetMode="External"/><Relationship Id="rId994" Type="http://schemas.openxmlformats.org/officeDocument/2006/relationships/hyperlink" Target="https://expa.aiesec.org/opportunities/1296224" TargetMode="External"/><Relationship Id="rId993" Type="http://schemas.openxmlformats.org/officeDocument/2006/relationships/hyperlink" Target="https://expa.aiesec.org/opportunities/1295603" TargetMode="External"/><Relationship Id="rId992" Type="http://schemas.openxmlformats.org/officeDocument/2006/relationships/hyperlink" Target="https://expa.aiesec.org/opportunities/1294825" TargetMode="External"/><Relationship Id="rId991" Type="http://schemas.openxmlformats.org/officeDocument/2006/relationships/hyperlink" Target="https://expa.aiesec.org/opportunities/1299359" TargetMode="External"/><Relationship Id="rId949" Type="http://schemas.openxmlformats.org/officeDocument/2006/relationships/hyperlink" Target="https://expa.aiesec.org/opportunities/1294209" TargetMode="External"/><Relationship Id="rId948" Type="http://schemas.openxmlformats.org/officeDocument/2006/relationships/hyperlink" Target="https://expa.aiesec.org/opportunities/1295303" TargetMode="External"/><Relationship Id="rId943" Type="http://schemas.openxmlformats.org/officeDocument/2006/relationships/hyperlink" Target="https://expa.aiesec.org/opportunities/1291071" TargetMode="External"/><Relationship Id="rId942" Type="http://schemas.openxmlformats.org/officeDocument/2006/relationships/hyperlink" Target="https://expa.aiesec.org/opportunities/1294209" TargetMode="External"/><Relationship Id="rId941" Type="http://schemas.openxmlformats.org/officeDocument/2006/relationships/hyperlink" Target="https://expa.aiesec.org/opportunities/1293711" TargetMode="External"/><Relationship Id="rId940" Type="http://schemas.openxmlformats.org/officeDocument/2006/relationships/hyperlink" Target="https://expa.aiesec.org/opportunities/1293735" TargetMode="External"/><Relationship Id="rId947" Type="http://schemas.openxmlformats.org/officeDocument/2006/relationships/hyperlink" Target="https://expa.aiesec.org/opportunities/1291204" TargetMode="External"/><Relationship Id="rId946" Type="http://schemas.openxmlformats.org/officeDocument/2006/relationships/hyperlink" Target="https://expa.aiesec.org/opportunities/1294352" TargetMode="External"/><Relationship Id="rId945" Type="http://schemas.openxmlformats.org/officeDocument/2006/relationships/hyperlink" Target="https://expa.aiesec.org/opportunities/1294137" TargetMode="External"/><Relationship Id="rId944" Type="http://schemas.openxmlformats.org/officeDocument/2006/relationships/hyperlink" Target="https://expa.aiesec.org/opportunities/1294137" TargetMode="External"/><Relationship Id="rId939" Type="http://schemas.openxmlformats.org/officeDocument/2006/relationships/hyperlink" Target="https://expa.aiesec.org/opportunities/1291769" TargetMode="External"/><Relationship Id="rId938" Type="http://schemas.openxmlformats.org/officeDocument/2006/relationships/hyperlink" Target="https://expa.aiesec.org/opportunities/1297112" TargetMode="External"/><Relationship Id="rId937" Type="http://schemas.openxmlformats.org/officeDocument/2006/relationships/hyperlink" Target="https://expa.aiesec.org/opportunities/1294137" TargetMode="External"/><Relationship Id="rId932" Type="http://schemas.openxmlformats.org/officeDocument/2006/relationships/hyperlink" Target="https://expa.aiesec.org/opportunities/1292298" TargetMode="External"/><Relationship Id="rId931" Type="http://schemas.openxmlformats.org/officeDocument/2006/relationships/hyperlink" Target="https://expa.aiesec.org/opportunities/1292298" TargetMode="External"/><Relationship Id="rId930" Type="http://schemas.openxmlformats.org/officeDocument/2006/relationships/hyperlink" Target="https://expa.aiesec.org/opportunities/1294860" TargetMode="External"/><Relationship Id="rId936" Type="http://schemas.openxmlformats.org/officeDocument/2006/relationships/hyperlink" Target="https://expa.aiesec.org/opportunities/1294860" TargetMode="External"/><Relationship Id="rId935" Type="http://schemas.openxmlformats.org/officeDocument/2006/relationships/hyperlink" Target="https://expa.aiesec.org/opportunities/1295874" TargetMode="External"/><Relationship Id="rId934" Type="http://schemas.openxmlformats.org/officeDocument/2006/relationships/hyperlink" Target="https://expa.aiesec.org/opportunities/1295055" TargetMode="External"/><Relationship Id="rId933" Type="http://schemas.openxmlformats.org/officeDocument/2006/relationships/hyperlink" Target="https://expa.aiesec.org/opportunities/1295363" TargetMode="External"/><Relationship Id="rId965" Type="http://schemas.openxmlformats.org/officeDocument/2006/relationships/hyperlink" Target="https://expa.aiesec.org/opportunities/1296222" TargetMode="External"/><Relationship Id="rId964" Type="http://schemas.openxmlformats.org/officeDocument/2006/relationships/hyperlink" Target="https://expa.aiesec.org/opportunities/1298038" TargetMode="External"/><Relationship Id="rId963" Type="http://schemas.openxmlformats.org/officeDocument/2006/relationships/hyperlink" Target="https://expa.aiesec.org/opportunities/1291068" TargetMode="External"/><Relationship Id="rId962" Type="http://schemas.openxmlformats.org/officeDocument/2006/relationships/hyperlink" Target="https://expa.aiesec.org/opportunities/1291068" TargetMode="External"/><Relationship Id="rId969" Type="http://schemas.openxmlformats.org/officeDocument/2006/relationships/hyperlink" Target="https://expa.aiesec.org/opportunities/1293463" TargetMode="External"/><Relationship Id="rId968" Type="http://schemas.openxmlformats.org/officeDocument/2006/relationships/hyperlink" Target="https://expa.aiesec.org/opportunities/1293311" TargetMode="External"/><Relationship Id="rId967" Type="http://schemas.openxmlformats.org/officeDocument/2006/relationships/hyperlink" Target="https://expa.aiesec.org/opportunities/1295120" TargetMode="External"/><Relationship Id="rId966" Type="http://schemas.openxmlformats.org/officeDocument/2006/relationships/hyperlink" Target="https://expa.aiesec.org/opportunities/1297112" TargetMode="External"/><Relationship Id="rId961" Type="http://schemas.openxmlformats.org/officeDocument/2006/relationships/hyperlink" Target="https://expa.aiesec.org/opportunities/1289772" TargetMode="External"/><Relationship Id="rId960" Type="http://schemas.openxmlformats.org/officeDocument/2006/relationships/hyperlink" Target="https://expa.aiesec.org/opportunities/1295102" TargetMode="External"/><Relationship Id="rId959" Type="http://schemas.openxmlformats.org/officeDocument/2006/relationships/hyperlink" Target="https://expa.aiesec.org/opportunities/1289339" TargetMode="External"/><Relationship Id="rId954" Type="http://schemas.openxmlformats.org/officeDocument/2006/relationships/hyperlink" Target="https://expa.aiesec.org/opportunities/1296994" TargetMode="External"/><Relationship Id="rId953" Type="http://schemas.openxmlformats.org/officeDocument/2006/relationships/hyperlink" Target="https://expa.aiesec.org/opportunities/1291068" TargetMode="External"/><Relationship Id="rId952" Type="http://schemas.openxmlformats.org/officeDocument/2006/relationships/hyperlink" Target="https://expa.aiesec.org/opportunities/1291071" TargetMode="External"/><Relationship Id="rId951" Type="http://schemas.openxmlformats.org/officeDocument/2006/relationships/hyperlink" Target="https://expa.aiesec.org/opportunities/1295603" TargetMode="External"/><Relationship Id="rId958" Type="http://schemas.openxmlformats.org/officeDocument/2006/relationships/hyperlink" Target="https://expa.aiesec.org/opportunities/1294151" TargetMode="External"/><Relationship Id="rId957" Type="http://schemas.openxmlformats.org/officeDocument/2006/relationships/hyperlink" Target="https://expa.aiesec.org/opportunities/1295303" TargetMode="External"/><Relationship Id="rId956" Type="http://schemas.openxmlformats.org/officeDocument/2006/relationships/hyperlink" Target="https://expa.aiesec.org/opportunities/1281900" TargetMode="External"/><Relationship Id="rId955" Type="http://schemas.openxmlformats.org/officeDocument/2006/relationships/hyperlink" Target="https://expa.aiesec.org/opportunities/1292715" TargetMode="External"/><Relationship Id="rId950" Type="http://schemas.openxmlformats.org/officeDocument/2006/relationships/hyperlink" Target="https://expa.aiesec.org/opportunities/1294232" TargetMode="External"/><Relationship Id="rId107" Type="http://schemas.openxmlformats.org/officeDocument/2006/relationships/hyperlink" Target="https://expa.aiesec.org/opportunities/1289954" TargetMode="External"/><Relationship Id="rId106" Type="http://schemas.openxmlformats.org/officeDocument/2006/relationships/hyperlink" Target="https://expa.aiesec.org/opportunities/1288798" TargetMode="External"/><Relationship Id="rId105" Type="http://schemas.openxmlformats.org/officeDocument/2006/relationships/hyperlink" Target="https://expa.aiesec.org/opportunities/1289772" TargetMode="External"/><Relationship Id="rId104" Type="http://schemas.openxmlformats.org/officeDocument/2006/relationships/hyperlink" Target="https://expa.aiesec.org/opportunities/1290024" TargetMode="External"/><Relationship Id="rId109" Type="http://schemas.openxmlformats.org/officeDocument/2006/relationships/hyperlink" Target="https://expa.aiesec.org/opportunities/1289954" TargetMode="External"/><Relationship Id="rId108" Type="http://schemas.openxmlformats.org/officeDocument/2006/relationships/hyperlink" Target="https://expa.aiesec.org/opportunities/1289752" TargetMode="External"/><Relationship Id="rId103" Type="http://schemas.openxmlformats.org/officeDocument/2006/relationships/hyperlink" Target="https://expa.aiesec.org/opportunities/1289372" TargetMode="External"/><Relationship Id="rId102" Type="http://schemas.openxmlformats.org/officeDocument/2006/relationships/hyperlink" Target="https://expa.aiesec.org/opportunities/1289772" TargetMode="External"/><Relationship Id="rId101" Type="http://schemas.openxmlformats.org/officeDocument/2006/relationships/hyperlink" Target="https://expa.aiesec.org/opportunities/1289487" TargetMode="External"/><Relationship Id="rId100" Type="http://schemas.openxmlformats.org/officeDocument/2006/relationships/hyperlink" Target="https://expa.aiesec.org/opportunities/1289487" TargetMode="External"/><Relationship Id="rId129" Type="http://schemas.openxmlformats.org/officeDocument/2006/relationships/hyperlink" Target="https://expa.aiesec.org/opportunities/1288798" TargetMode="External"/><Relationship Id="rId128" Type="http://schemas.openxmlformats.org/officeDocument/2006/relationships/hyperlink" Target="https://expa.aiesec.org/opportunities/1290259" TargetMode="External"/><Relationship Id="rId127" Type="http://schemas.openxmlformats.org/officeDocument/2006/relationships/hyperlink" Target="https://expa.aiesec.org/opportunities/1289855" TargetMode="External"/><Relationship Id="rId126" Type="http://schemas.openxmlformats.org/officeDocument/2006/relationships/hyperlink" Target="https://expa.aiesec.org/opportunities/1290519" TargetMode="External"/><Relationship Id="rId121" Type="http://schemas.openxmlformats.org/officeDocument/2006/relationships/hyperlink" Target="https://expa.aiesec.org/opportunities/1288419" TargetMode="External"/><Relationship Id="rId120" Type="http://schemas.openxmlformats.org/officeDocument/2006/relationships/hyperlink" Target="https://expa.aiesec.org/opportunities/1288419" TargetMode="External"/><Relationship Id="rId125" Type="http://schemas.openxmlformats.org/officeDocument/2006/relationships/hyperlink" Target="https://expa.aiesec.org/opportunities/1290252" TargetMode="External"/><Relationship Id="rId124" Type="http://schemas.openxmlformats.org/officeDocument/2006/relationships/hyperlink" Target="https://expa.aiesec.org/opportunities/1290207" TargetMode="External"/><Relationship Id="rId123" Type="http://schemas.openxmlformats.org/officeDocument/2006/relationships/hyperlink" Target="https://expa.aiesec.org/opportunities/1281235" TargetMode="External"/><Relationship Id="rId122" Type="http://schemas.openxmlformats.org/officeDocument/2006/relationships/hyperlink" Target="https://expa.aiesec.org/opportunities/1288419" TargetMode="External"/><Relationship Id="rId118" Type="http://schemas.openxmlformats.org/officeDocument/2006/relationships/hyperlink" Target="https://expa.aiesec.org/opportunities/1290362" TargetMode="External"/><Relationship Id="rId117" Type="http://schemas.openxmlformats.org/officeDocument/2006/relationships/hyperlink" Target="https://expa.aiesec.org/opportunities/1288412" TargetMode="External"/><Relationship Id="rId116" Type="http://schemas.openxmlformats.org/officeDocument/2006/relationships/hyperlink" Target="https://expa.aiesec.org/opportunities/1284487" TargetMode="External"/><Relationship Id="rId115" Type="http://schemas.openxmlformats.org/officeDocument/2006/relationships/hyperlink" Target="https://expa.aiesec.org/opportunities/1287990" TargetMode="External"/><Relationship Id="rId119" Type="http://schemas.openxmlformats.org/officeDocument/2006/relationships/hyperlink" Target="https://expa.aiesec.org/opportunities/1287894" TargetMode="External"/><Relationship Id="rId110" Type="http://schemas.openxmlformats.org/officeDocument/2006/relationships/hyperlink" Target="https://expa.aiesec.org/opportunities/1290026" TargetMode="External"/><Relationship Id="rId114" Type="http://schemas.openxmlformats.org/officeDocument/2006/relationships/hyperlink" Target="https://expa.aiesec.org/opportunities/1288798" TargetMode="External"/><Relationship Id="rId113" Type="http://schemas.openxmlformats.org/officeDocument/2006/relationships/hyperlink" Target="https://expa.aiesec.org/opportunities/1288441" TargetMode="External"/><Relationship Id="rId112" Type="http://schemas.openxmlformats.org/officeDocument/2006/relationships/hyperlink" Target="https://expa.aiesec.org/opportunities/1290243" TargetMode="External"/><Relationship Id="rId111" Type="http://schemas.openxmlformats.org/officeDocument/2006/relationships/hyperlink" Target="https://expa.aiesec.org/opportunities/1289985" TargetMode="External"/><Relationship Id="rId907" Type="http://schemas.openxmlformats.org/officeDocument/2006/relationships/hyperlink" Target="https://expa.aiesec.org/opportunities/1293333" TargetMode="External"/><Relationship Id="rId906" Type="http://schemas.openxmlformats.org/officeDocument/2006/relationships/hyperlink" Target="https://expa.aiesec.org/opportunities/1291317" TargetMode="External"/><Relationship Id="rId905" Type="http://schemas.openxmlformats.org/officeDocument/2006/relationships/hyperlink" Target="https://expa.aiesec.org/opportunities/1294669" TargetMode="External"/><Relationship Id="rId904" Type="http://schemas.openxmlformats.org/officeDocument/2006/relationships/hyperlink" Target="https://expa.aiesec.org/opportunities/1293017" TargetMode="External"/><Relationship Id="rId909" Type="http://schemas.openxmlformats.org/officeDocument/2006/relationships/hyperlink" Target="https://expa.aiesec.org/opportunities/1290024" TargetMode="External"/><Relationship Id="rId908" Type="http://schemas.openxmlformats.org/officeDocument/2006/relationships/hyperlink" Target="https://expa.aiesec.org/opportunities/1292728" TargetMode="External"/><Relationship Id="rId903" Type="http://schemas.openxmlformats.org/officeDocument/2006/relationships/hyperlink" Target="https://expa.aiesec.org/opportunities/1293906" TargetMode="External"/><Relationship Id="rId902" Type="http://schemas.openxmlformats.org/officeDocument/2006/relationships/hyperlink" Target="https://expa.aiesec.org/opportunities/1292709" TargetMode="External"/><Relationship Id="rId901" Type="http://schemas.openxmlformats.org/officeDocument/2006/relationships/hyperlink" Target="https://expa.aiesec.org/opportunities/1291702" TargetMode="External"/><Relationship Id="rId900" Type="http://schemas.openxmlformats.org/officeDocument/2006/relationships/hyperlink" Target="https://expa.aiesec.org/opportunities/1292933" TargetMode="External"/><Relationship Id="rId929" Type="http://schemas.openxmlformats.org/officeDocument/2006/relationships/hyperlink" Target="https://expa.aiesec.org/opportunities/1294860" TargetMode="External"/><Relationship Id="rId928" Type="http://schemas.openxmlformats.org/officeDocument/2006/relationships/hyperlink" Target="https://expa.aiesec.org/opportunities/1296464" TargetMode="External"/><Relationship Id="rId927" Type="http://schemas.openxmlformats.org/officeDocument/2006/relationships/hyperlink" Target="https://expa.aiesec.org/opportunities/1293683" TargetMode="External"/><Relationship Id="rId926" Type="http://schemas.openxmlformats.org/officeDocument/2006/relationships/hyperlink" Target="https://expa.aiesec.org/opportunities/1296493" TargetMode="External"/><Relationship Id="rId921" Type="http://schemas.openxmlformats.org/officeDocument/2006/relationships/hyperlink" Target="https://expa.aiesec.org/opportunities/1288609" TargetMode="External"/><Relationship Id="rId920" Type="http://schemas.openxmlformats.org/officeDocument/2006/relationships/hyperlink" Target="https://expa.aiesec.org/opportunities/1294537" TargetMode="External"/><Relationship Id="rId925" Type="http://schemas.openxmlformats.org/officeDocument/2006/relationships/hyperlink" Target="https://expa.aiesec.org/opportunities/1291411" TargetMode="External"/><Relationship Id="rId924" Type="http://schemas.openxmlformats.org/officeDocument/2006/relationships/hyperlink" Target="https://expa.aiesec.org/opportunities/1290806" TargetMode="External"/><Relationship Id="rId923" Type="http://schemas.openxmlformats.org/officeDocument/2006/relationships/hyperlink" Target="https://expa.aiesec.org/opportunities/1294852" TargetMode="External"/><Relationship Id="rId922" Type="http://schemas.openxmlformats.org/officeDocument/2006/relationships/hyperlink" Target="https://expa.aiesec.org/opportunities/1290024" TargetMode="External"/><Relationship Id="rId918" Type="http://schemas.openxmlformats.org/officeDocument/2006/relationships/hyperlink" Target="https://expa.aiesec.org/opportunities/1296816" TargetMode="External"/><Relationship Id="rId917" Type="http://schemas.openxmlformats.org/officeDocument/2006/relationships/hyperlink" Target="https://expa.aiesec.org/opportunities/1294209" TargetMode="External"/><Relationship Id="rId916" Type="http://schemas.openxmlformats.org/officeDocument/2006/relationships/hyperlink" Target="https://expa.aiesec.org/opportunities/1294209" TargetMode="External"/><Relationship Id="rId915" Type="http://schemas.openxmlformats.org/officeDocument/2006/relationships/hyperlink" Target="https://expa.aiesec.org/opportunities/1290682" TargetMode="External"/><Relationship Id="rId919" Type="http://schemas.openxmlformats.org/officeDocument/2006/relationships/hyperlink" Target="https://expa.aiesec.org/opportunities/1295728" TargetMode="External"/><Relationship Id="rId910" Type="http://schemas.openxmlformats.org/officeDocument/2006/relationships/hyperlink" Target="https://expa.aiesec.org/opportunities/1296727" TargetMode="External"/><Relationship Id="rId914" Type="http://schemas.openxmlformats.org/officeDocument/2006/relationships/hyperlink" Target="https://expa.aiesec.org/opportunities/1294662" TargetMode="External"/><Relationship Id="rId913" Type="http://schemas.openxmlformats.org/officeDocument/2006/relationships/hyperlink" Target="https://expa.aiesec.org/opportunities/1296994" TargetMode="External"/><Relationship Id="rId912" Type="http://schemas.openxmlformats.org/officeDocument/2006/relationships/hyperlink" Target="https://expa.aiesec.org/opportunities/1294209" TargetMode="External"/><Relationship Id="rId911" Type="http://schemas.openxmlformats.org/officeDocument/2006/relationships/hyperlink" Target="https://expa.aiesec.org/opportunities/1294209" TargetMode="External"/><Relationship Id="rId866" Type="http://schemas.openxmlformats.org/officeDocument/2006/relationships/hyperlink" Target="https://expa.aiesec.org/opportunities/1294872" TargetMode="External"/><Relationship Id="rId865" Type="http://schemas.openxmlformats.org/officeDocument/2006/relationships/hyperlink" Target="https://expa.aiesec.org/opportunities/1295597" TargetMode="External"/><Relationship Id="rId864" Type="http://schemas.openxmlformats.org/officeDocument/2006/relationships/hyperlink" Target="https://expa.aiesec.org/opportunities/1293245" TargetMode="External"/><Relationship Id="rId863" Type="http://schemas.openxmlformats.org/officeDocument/2006/relationships/hyperlink" Target="https://expa.aiesec.org/opportunities/1293734" TargetMode="External"/><Relationship Id="rId869" Type="http://schemas.openxmlformats.org/officeDocument/2006/relationships/hyperlink" Target="https://expa.aiesec.org/opportunities/1281901" TargetMode="External"/><Relationship Id="rId868" Type="http://schemas.openxmlformats.org/officeDocument/2006/relationships/hyperlink" Target="https://expa.aiesec.org/opportunities/1281901" TargetMode="External"/><Relationship Id="rId867" Type="http://schemas.openxmlformats.org/officeDocument/2006/relationships/hyperlink" Target="https://expa.aiesec.org/opportunities/1281901" TargetMode="External"/><Relationship Id="rId862" Type="http://schemas.openxmlformats.org/officeDocument/2006/relationships/hyperlink" Target="https://expa.aiesec.org/opportunities/1291622" TargetMode="External"/><Relationship Id="rId861" Type="http://schemas.openxmlformats.org/officeDocument/2006/relationships/hyperlink" Target="https://expa.aiesec.org/opportunities/1281901" TargetMode="External"/><Relationship Id="rId860" Type="http://schemas.openxmlformats.org/officeDocument/2006/relationships/hyperlink" Target="https://expa.aiesec.org/opportunities/1288412" TargetMode="External"/><Relationship Id="rId855" Type="http://schemas.openxmlformats.org/officeDocument/2006/relationships/hyperlink" Target="https://expa.aiesec.org/opportunities/1287990" TargetMode="External"/><Relationship Id="rId854" Type="http://schemas.openxmlformats.org/officeDocument/2006/relationships/hyperlink" Target="https://expa.aiesec.org/opportunities/1288609" TargetMode="External"/><Relationship Id="rId853" Type="http://schemas.openxmlformats.org/officeDocument/2006/relationships/hyperlink" Target="https://expa.aiesec.org/opportunities/1293477" TargetMode="External"/><Relationship Id="rId852" Type="http://schemas.openxmlformats.org/officeDocument/2006/relationships/hyperlink" Target="https://expa.aiesec.org/opportunities/1294916" TargetMode="External"/><Relationship Id="rId859" Type="http://schemas.openxmlformats.org/officeDocument/2006/relationships/hyperlink" Target="https://expa.aiesec.org/opportunities/1292549" TargetMode="External"/><Relationship Id="rId858" Type="http://schemas.openxmlformats.org/officeDocument/2006/relationships/hyperlink" Target="https://expa.aiesec.org/opportunities/1295749" TargetMode="External"/><Relationship Id="rId857" Type="http://schemas.openxmlformats.org/officeDocument/2006/relationships/hyperlink" Target="https://expa.aiesec.org/opportunities/1291068" TargetMode="External"/><Relationship Id="rId856" Type="http://schemas.openxmlformats.org/officeDocument/2006/relationships/hyperlink" Target="https://expa.aiesec.org/opportunities/1288609" TargetMode="External"/><Relationship Id="rId851" Type="http://schemas.openxmlformats.org/officeDocument/2006/relationships/hyperlink" Target="https://expa.aiesec.org/opportunities/1295628" TargetMode="External"/><Relationship Id="rId850" Type="http://schemas.openxmlformats.org/officeDocument/2006/relationships/hyperlink" Target="https://expa.aiesec.org/opportunities/1296244" TargetMode="External"/><Relationship Id="rId888" Type="http://schemas.openxmlformats.org/officeDocument/2006/relationships/hyperlink" Target="https://expa.aiesec.org/opportunities/1292549" TargetMode="External"/><Relationship Id="rId887" Type="http://schemas.openxmlformats.org/officeDocument/2006/relationships/hyperlink" Target="https://expa.aiesec.org/opportunities/1287985" TargetMode="External"/><Relationship Id="rId886" Type="http://schemas.openxmlformats.org/officeDocument/2006/relationships/hyperlink" Target="https://expa.aiesec.org/opportunities/1288419" TargetMode="External"/><Relationship Id="rId885" Type="http://schemas.openxmlformats.org/officeDocument/2006/relationships/hyperlink" Target="https://expa.aiesec.org/opportunities/1288419" TargetMode="External"/><Relationship Id="rId889" Type="http://schemas.openxmlformats.org/officeDocument/2006/relationships/hyperlink" Target="https://expa.aiesec.org/opportunities/1292463" TargetMode="External"/><Relationship Id="rId880" Type="http://schemas.openxmlformats.org/officeDocument/2006/relationships/hyperlink" Target="https://expa.aiesec.org/opportunities/1288609" TargetMode="External"/><Relationship Id="rId884" Type="http://schemas.openxmlformats.org/officeDocument/2006/relationships/hyperlink" Target="https://expa.aiesec.org/opportunities/1288419" TargetMode="External"/><Relationship Id="rId883" Type="http://schemas.openxmlformats.org/officeDocument/2006/relationships/hyperlink" Target="https://expa.aiesec.org/opportunities/1295750" TargetMode="External"/><Relationship Id="rId882" Type="http://schemas.openxmlformats.org/officeDocument/2006/relationships/hyperlink" Target="https://expa.aiesec.org/opportunities/1293982" TargetMode="External"/><Relationship Id="rId881" Type="http://schemas.openxmlformats.org/officeDocument/2006/relationships/hyperlink" Target="https://expa.aiesec.org/opportunities/1294862" TargetMode="External"/><Relationship Id="rId877" Type="http://schemas.openxmlformats.org/officeDocument/2006/relationships/hyperlink" Target="https://expa.aiesec.org/opportunities/1295232" TargetMode="External"/><Relationship Id="rId876" Type="http://schemas.openxmlformats.org/officeDocument/2006/relationships/hyperlink" Target="https://expa.aiesec.org/opportunities/1288609" TargetMode="External"/><Relationship Id="rId875" Type="http://schemas.openxmlformats.org/officeDocument/2006/relationships/hyperlink" Target="https://expa.aiesec.org/opportunities/1294842" TargetMode="External"/><Relationship Id="rId874" Type="http://schemas.openxmlformats.org/officeDocument/2006/relationships/hyperlink" Target="https://expa.aiesec.org/opportunities/1295749" TargetMode="External"/><Relationship Id="rId879" Type="http://schemas.openxmlformats.org/officeDocument/2006/relationships/hyperlink" Target="https://expa.aiesec.org/opportunities/1294487" TargetMode="External"/><Relationship Id="rId878" Type="http://schemas.openxmlformats.org/officeDocument/2006/relationships/hyperlink" Target="https://expa.aiesec.org/opportunities/1295232" TargetMode="External"/><Relationship Id="rId873" Type="http://schemas.openxmlformats.org/officeDocument/2006/relationships/hyperlink" Target="https://expa.aiesec.org/opportunities/1296060" TargetMode="External"/><Relationship Id="rId872" Type="http://schemas.openxmlformats.org/officeDocument/2006/relationships/hyperlink" Target="https://expa.aiesec.org/opportunities/1292990" TargetMode="External"/><Relationship Id="rId871" Type="http://schemas.openxmlformats.org/officeDocument/2006/relationships/hyperlink" Target="https://expa.aiesec.org/opportunities/1294063" TargetMode="External"/><Relationship Id="rId870" Type="http://schemas.openxmlformats.org/officeDocument/2006/relationships/hyperlink" Target="https://expa.aiesec.org/opportunities/1293743" TargetMode="External"/><Relationship Id="rId829" Type="http://schemas.openxmlformats.org/officeDocument/2006/relationships/hyperlink" Target="https://expa.aiesec.org/opportunities/1293504" TargetMode="External"/><Relationship Id="rId828" Type="http://schemas.openxmlformats.org/officeDocument/2006/relationships/hyperlink" Target="https://expa.aiesec.org/opportunities/1292298" TargetMode="External"/><Relationship Id="rId827" Type="http://schemas.openxmlformats.org/officeDocument/2006/relationships/hyperlink" Target="https://expa.aiesec.org/opportunities/1293944" TargetMode="External"/><Relationship Id="rId822" Type="http://schemas.openxmlformats.org/officeDocument/2006/relationships/hyperlink" Target="https://expa.aiesec.org/opportunities/1293742" TargetMode="External"/><Relationship Id="rId821" Type="http://schemas.openxmlformats.org/officeDocument/2006/relationships/hyperlink" Target="https://expa.aiesec.org/opportunities/1295599" TargetMode="External"/><Relationship Id="rId820" Type="http://schemas.openxmlformats.org/officeDocument/2006/relationships/hyperlink" Target="https://expa.aiesec.org/opportunities/1289850" TargetMode="External"/><Relationship Id="rId826" Type="http://schemas.openxmlformats.org/officeDocument/2006/relationships/hyperlink" Target="https://expa.aiesec.org/opportunities/1285905" TargetMode="External"/><Relationship Id="rId825" Type="http://schemas.openxmlformats.org/officeDocument/2006/relationships/hyperlink" Target="https://expa.aiesec.org/opportunities/1292482" TargetMode="External"/><Relationship Id="rId824" Type="http://schemas.openxmlformats.org/officeDocument/2006/relationships/hyperlink" Target="https://expa.aiesec.org/opportunities/1294997" TargetMode="External"/><Relationship Id="rId823" Type="http://schemas.openxmlformats.org/officeDocument/2006/relationships/hyperlink" Target="https://expa.aiesec.org/opportunities/1293861" TargetMode="External"/><Relationship Id="rId819" Type="http://schemas.openxmlformats.org/officeDocument/2006/relationships/hyperlink" Target="https://expa.aiesec.org/opportunities/1294062" TargetMode="External"/><Relationship Id="rId818" Type="http://schemas.openxmlformats.org/officeDocument/2006/relationships/hyperlink" Target="https://expa.aiesec.org/opportunities/1294486" TargetMode="External"/><Relationship Id="rId817" Type="http://schemas.openxmlformats.org/officeDocument/2006/relationships/hyperlink" Target="https://expa.aiesec.org/opportunities/1293504" TargetMode="External"/><Relationship Id="rId816" Type="http://schemas.openxmlformats.org/officeDocument/2006/relationships/hyperlink" Target="https://expa.aiesec.org/opportunities/1292709" TargetMode="External"/><Relationship Id="rId811" Type="http://schemas.openxmlformats.org/officeDocument/2006/relationships/hyperlink" Target="https://expa.aiesec.org/opportunities/1294203" TargetMode="External"/><Relationship Id="rId810" Type="http://schemas.openxmlformats.org/officeDocument/2006/relationships/hyperlink" Target="https://expa.aiesec.org/opportunities/1290560" TargetMode="External"/><Relationship Id="rId815" Type="http://schemas.openxmlformats.org/officeDocument/2006/relationships/hyperlink" Target="https://expa.aiesec.org/opportunities/1282257" TargetMode="External"/><Relationship Id="rId814" Type="http://schemas.openxmlformats.org/officeDocument/2006/relationships/hyperlink" Target="https://expa.aiesec.org/opportunities/1294209" TargetMode="External"/><Relationship Id="rId813" Type="http://schemas.openxmlformats.org/officeDocument/2006/relationships/hyperlink" Target="https://expa.aiesec.org/opportunities/1294997" TargetMode="External"/><Relationship Id="rId812" Type="http://schemas.openxmlformats.org/officeDocument/2006/relationships/hyperlink" Target="https://expa.aiesec.org/opportunities/1295010" TargetMode="External"/><Relationship Id="rId849" Type="http://schemas.openxmlformats.org/officeDocument/2006/relationships/hyperlink" Target="https://expa.aiesec.org/opportunities/1288419" TargetMode="External"/><Relationship Id="rId844" Type="http://schemas.openxmlformats.org/officeDocument/2006/relationships/hyperlink" Target="https://expa.aiesec.org/opportunities/1289850" TargetMode="External"/><Relationship Id="rId843" Type="http://schemas.openxmlformats.org/officeDocument/2006/relationships/hyperlink" Target="https://expa.aiesec.org/opportunities/1294923" TargetMode="External"/><Relationship Id="rId842" Type="http://schemas.openxmlformats.org/officeDocument/2006/relationships/hyperlink" Target="https://expa.aiesec.org/opportunities/1295749" TargetMode="External"/><Relationship Id="rId841" Type="http://schemas.openxmlformats.org/officeDocument/2006/relationships/hyperlink" Target="https://expa.aiesec.org/opportunities/1290690" TargetMode="External"/><Relationship Id="rId848" Type="http://schemas.openxmlformats.org/officeDocument/2006/relationships/hyperlink" Target="https://expa.aiesec.org/opportunities/1288609" TargetMode="External"/><Relationship Id="rId847" Type="http://schemas.openxmlformats.org/officeDocument/2006/relationships/hyperlink" Target="https://expa.aiesec.org/opportunities/1295875" TargetMode="External"/><Relationship Id="rId846" Type="http://schemas.openxmlformats.org/officeDocument/2006/relationships/hyperlink" Target="https://expa.aiesec.org/opportunities/1288417" TargetMode="External"/><Relationship Id="rId845" Type="http://schemas.openxmlformats.org/officeDocument/2006/relationships/hyperlink" Target="https://expa.aiesec.org/opportunities/1289850" TargetMode="External"/><Relationship Id="rId840" Type="http://schemas.openxmlformats.org/officeDocument/2006/relationships/hyperlink" Target="https://expa.aiesec.org/opportunities/1293969" TargetMode="External"/><Relationship Id="rId839" Type="http://schemas.openxmlformats.org/officeDocument/2006/relationships/hyperlink" Target="https://expa.aiesec.org/opportunities/1292188" TargetMode="External"/><Relationship Id="rId838" Type="http://schemas.openxmlformats.org/officeDocument/2006/relationships/hyperlink" Target="https://expa.aiesec.org/opportunities/1295564" TargetMode="External"/><Relationship Id="rId833" Type="http://schemas.openxmlformats.org/officeDocument/2006/relationships/hyperlink" Target="https://expa.aiesec.org/opportunities/1295118" TargetMode="External"/><Relationship Id="rId832" Type="http://schemas.openxmlformats.org/officeDocument/2006/relationships/hyperlink" Target="https://expa.aiesec.org/opportunities/1295438" TargetMode="External"/><Relationship Id="rId831" Type="http://schemas.openxmlformats.org/officeDocument/2006/relationships/hyperlink" Target="https://expa.aiesec.org/opportunities/1294488" TargetMode="External"/><Relationship Id="rId830" Type="http://schemas.openxmlformats.org/officeDocument/2006/relationships/hyperlink" Target="https://expa.aiesec.org/opportunities/1295749" TargetMode="External"/><Relationship Id="rId837" Type="http://schemas.openxmlformats.org/officeDocument/2006/relationships/hyperlink" Target="https://expa.aiesec.org/opportunities/1294675" TargetMode="External"/><Relationship Id="rId836" Type="http://schemas.openxmlformats.org/officeDocument/2006/relationships/hyperlink" Target="https://expa.aiesec.org/opportunities/1294551" TargetMode="External"/><Relationship Id="rId835" Type="http://schemas.openxmlformats.org/officeDocument/2006/relationships/hyperlink" Target="https://expa.aiesec.org/opportunities/1290024" TargetMode="External"/><Relationship Id="rId834" Type="http://schemas.openxmlformats.org/officeDocument/2006/relationships/hyperlink" Target="https://expa.aiesec.org/opportunities/1290024" TargetMode="External"/><Relationship Id="rId899" Type="http://schemas.openxmlformats.org/officeDocument/2006/relationships/hyperlink" Target="https://expa.aiesec.org/opportunities/1293284" TargetMode="External"/><Relationship Id="rId898" Type="http://schemas.openxmlformats.org/officeDocument/2006/relationships/hyperlink" Target="https://expa.aiesec.org/opportunities/1294669" TargetMode="External"/><Relationship Id="rId897" Type="http://schemas.openxmlformats.org/officeDocument/2006/relationships/hyperlink" Target="https://expa.aiesec.org/opportunities/1295874" TargetMode="External"/><Relationship Id="rId896" Type="http://schemas.openxmlformats.org/officeDocument/2006/relationships/hyperlink" Target="https://expa.aiesec.org/opportunities/1295750" TargetMode="External"/><Relationship Id="rId891" Type="http://schemas.openxmlformats.org/officeDocument/2006/relationships/hyperlink" Target="https://expa.aiesec.org/opportunities/1293245" TargetMode="External"/><Relationship Id="rId890" Type="http://schemas.openxmlformats.org/officeDocument/2006/relationships/hyperlink" Target="https://expa.aiesec.org/opportunities/1294418" TargetMode="External"/><Relationship Id="rId895" Type="http://schemas.openxmlformats.org/officeDocument/2006/relationships/hyperlink" Target="https://expa.aiesec.org/opportunities/1294151" TargetMode="External"/><Relationship Id="rId894" Type="http://schemas.openxmlformats.org/officeDocument/2006/relationships/hyperlink" Target="https://expa.aiesec.org/opportunities/1288609" TargetMode="External"/><Relationship Id="rId893" Type="http://schemas.openxmlformats.org/officeDocument/2006/relationships/hyperlink" Target="https://expa.aiesec.org/opportunities/1292061" TargetMode="External"/><Relationship Id="rId892" Type="http://schemas.openxmlformats.org/officeDocument/2006/relationships/hyperlink" Target="https://expa.aiesec.org/opportunities/1289806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89167" TargetMode="External"/><Relationship Id="rId42" Type="http://schemas.openxmlformats.org/officeDocument/2006/relationships/hyperlink" Target="https://expa.aiesec.org/opportunities/1289167" TargetMode="External"/><Relationship Id="rId41" Type="http://schemas.openxmlformats.org/officeDocument/2006/relationships/hyperlink" Target="https://expa.aiesec.org/opportunities/1292539" TargetMode="External"/><Relationship Id="rId44" Type="http://schemas.openxmlformats.org/officeDocument/2006/relationships/hyperlink" Target="https://expa.aiesec.org/opportunities/1289213" TargetMode="External"/><Relationship Id="rId43" Type="http://schemas.openxmlformats.org/officeDocument/2006/relationships/hyperlink" Target="https://expa.aiesec.org/opportunities/1293183" TargetMode="External"/><Relationship Id="rId46" Type="http://schemas.openxmlformats.org/officeDocument/2006/relationships/hyperlink" Target="https://expa.aiesec.org/opportunities/1290673" TargetMode="External"/><Relationship Id="rId45" Type="http://schemas.openxmlformats.org/officeDocument/2006/relationships/hyperlink" Target="https://expa.aiesec.org/opportunities/1289154" TargetMode="External"/><Relationship Id="rId48" Type="http://schemas.openxmlformats.org/officeDocument/2006/relationships/hyperlink" Target="https://expa.aiesec.org/opportunities/1292158" TargetMode="External"/><Relationship Id="rId47" Type="http://schemas.openxmlformats.org/officeDocument/2006/relationships/hyperlink" Target="https://expa.aiesec.org/opportunities/1289161" TargetMode="External"/><Relationship Id="rId49" Type="http://schemas.openxmlformats.org/officeDocument/2006/relationships/hyperlink" Target="https://expa.aiesec.org/opportunities/1293261" TargetMode="External"/><Relationship Id="rId31" Type="http://schemas.openxmlformats.org/officeDocument/2006/relationships/hyperlink" Target="https://expa.aiesec.org/opportunities/1278558" TargetMode="External"/><Relationship Id="rId30" Type="http://schemas.openxmlformats.org/officeDocument/2006/relationships/hyperlink" Target="https://expa.aiesec.org/opportunities/1290672" TargetMode="External"/><Relationship Id="rId33" Type="http://schemas.openxmlformats.org/officeDocument/2006/relationships/hyperlink" Target="https://expa.aiesec.org/opportunities/1283180" TargetMode="External"/><Relationship Id="rId32" Type="http://schemas.openxmlformats.org/officeDocument/2006/relationships/hyperlink" Target="https://expa.aiesec.org/opportunities/1291185" TargetMode="External"/><Relationship Id="rId35" Type="http://schemas.openxmlformats.org/officeDocument/2006/relationships/hyperlink" Target="https://expa.aiesec.org/opportunities/1292115" TargetMode="External"/><Relationship Id="rId34" Type="http://schemas.openxmlformats.org/officeDocument/2006/relationships/hyperlink" Target="https://expa.aiesec.org/opportunities/1290982" TargetMode="External"/><Relationship Id="rId37" Type="http://schemas.openxmlformats.org/officeDocument/2006/relationships/hyperlink" Target="https://expa.aiesec.org/opportunities/1291340" TargetMode="External"/><Relationship Id="rId36" Type="http://schemas.openxmlformats.org/officeDocument/2006/relationships/hyperlink" Target="https://expa.aiesec.org/opportunities/1291817" TargetMode="External"/><Relationship Id="rId39" Type="http://schemas.openxmlformats.org/officeDocument/2006/relationships/hyperlink" Target="https://expa.aiesec.org/opportunities/1292505" TargetMode="External"/><Relationship Id="rId38" Type="http://schemas.openxmlformats.org/officeDocument/2006/relationships/hyperlink" Target="https://expa.aiesec.org/opportunities/1290643" TargetMode="External"/><Relationship Id="rId20" Type="http://schemas.openxmlformats.org/officeDocument/2006/relationships/hyperlink" Target="https://expa.aiesec.org/opportunities/1288911" TargetMode="External"/><Relationship Id="rId22" Type="http://schemas.openxmlformats.org/officeDocument/2006/relationships/hyperlink" Target="https://expa.aiesec.org/opportunities/1285704" TargetMode="External"/><Relationship Id="rId21" Type="http://schemas.openxmlformats.org/officeDocument/2006/relationships/hyperlink" Target="https://expa.aiesec.org/opportunities/1287974" TargetMode="External"/><Relationship Id="rId24" Type="http://schemas.openxmlformats.org/officeDocument/2006/relationships/hyperlink" Target="https://expa.aiesec.org/opportunities/1291199" TargetMode="External"/><Relationship Id="rId23" Type="http://schemas.openxmlformats.org/officeDocument/2006/relationships/hyperlink" Target="https://expa.aiesec.org/opportunities/1288662" TargetMode="External"/><Relationship Id="rId26" Type="http://schemas.openxmlformats.org/officeDocument/2006/relationships/hyperlink" Target="https://expa.aiesec.org/opportunities/1289202" TargetMode="External"/><Relationship Id="rId25" Type="http://schemas.openxmlformats.org/officeDocument/2006/relationships/hyperlink" Target="https://expa.aiesec.org/opportunities/1269748" TargetMode="External"/><Relationship Id="rId28" Type="http://schemas.openxmlformats.org/officeDocument/2006/relationships/hyperlink" Target="https://expa.aiesec.org/opportunities/1290300" TargetMode="External"/><Relationship Id="rId27" Type="http://schemas.openxmlformats.org/officeDocument/2006/relationships/hyperlink" Target="https://expa.aiesec.org/opportunities/1289138" TargetMode="External"/><Relationship Id="rId29" Type="http://schemas.openxmlformats.org/officeDocument/2006/relationships/hyperlink" Target="https://expa.aiesec.org/opportunities/1291562" TargetMode="External"/><Relationship Id="rId11" Type="http://schemas.openxmlformats.org/officeDocument/2006/relationships/hyperlink" Target="https://expa.aiesec.org/opportunities/1286753" TargetMode="External"/><Relationship Id="rId10" Type="http://schemas.openxmlformats.org/officeDocument/2006/relationships/hyperlink" Target="https://expa.aiesec.org/opportunities/1288371" TargetMode="External"/><Relationship Id="rId13" Type="http://schemas.openxmlformats.org/officeDocument/2006/relationships/hyperlink" Target="https://expa.aiesec.org/opportunities/1268725" TargetMode="External"/><Relationship Id="rId12" Type="http://schemas.openxmlformats.org/officeDocument/2006/relationships/hyperlink" Target="https://expa.aiesec.org/opportunities/1287551" TargetMode="External"/><Relationship Id="rId15" Type="http://schemas.openxmlformats.org/officeDocument/2006/relationships/hyperlink" Target="https://expa.aiesec.org/opportunities/1289089" TargetMode="External"/><Relationship Id="rId14" Type="http://schemas.openxmlformats.org/officeDocument/2006/relationships/hyperlink" Target="https://expa.aiesec.org/opportunities/1288971" TargetMode="External"/><Relationship Id="rId17" Type="http://schemas.openxmlformats.org/officeDocument/2006/relationships/hyperlink" Target="https://expa.aiesec.org/opportunities/1289335" TargetMode="External"/><Relationship Id="rId16" Type="http://schemas.openxmlformats.org/officeDocument/2006/relationships/hyperlink" Target="https://expa.aiesec.org/opportunities/1283180" TargetMode="External"/><Relationship Id="rId19" Type="http://schemas.openxmlformats.org/officeDocument/2006/relationships/hyperlink" Target="https://expa.aiesec.org/opportunities/1290236" TargetMode="External"/><Relationship Id="rId18" Type="http://schemas.openxmlformats.org/officeDocument/2006/relationships/hyperlink" Target="https://expa.aiesec.org/opportunities/1288583" TargetMode="External"/><Relationship Id="rId84" Type="http://schemas.openxmlformats.org/officeDocument/2006/relationships/hyperlink" Target="https://expa.aiesec.org/opportunities/1292579" TargetMode="External"/><Relationship Id="rId83" Type="http://schemas.openxmlformats.org/officeDocument/2006/relationships/hyperlink" Target="https://expa.aiesec.org/opportunities/1296247" TargetMode="External"/><Relationship Id="rId86" Type="http://schemas.openxmlformats.org/officeDocument/2006/relationships/hyperlink" Target="https://expa.aiesec.org/opportunities/1295811" TargetMode="External"/><Relationship Id="rId85" Type="http://schemas.openxmlformats.org/officeDocument/2006/relationships/hyperlink" Target="https://expa.aiesec.org/opportunities/1296521" TargetMode="External"/><Relationship Id="rId88" Type="http://schemas.openxmlformats.org/officeDocument/2006/relationships/hyperlink" Target="https://expa.aiesec.org/opportunities/1294898" TargetMode="External"/><Relationship Id="rId87" Type="http://schemas.openxmlformats.org/officeDocument/2006/relationships/hyperlink" Target="https://expa.aiesec.org/opportunities/1290643" TargetMode="External"/><Relationship Id="rId89" Type="http://schemas.openxmlformats.org/officeDocument/2006/relationships/hyperlink" Target="https://expa.aiesec.org/opportunities/1290387" TargetMode="External"/><Relationship Id="rId80" Type="http://schemas.openxmlformats.org/officeDocument/2006/relationships/hyperlink" Target="https://expa.aiesec.org/opportunities/1294287" TargetMode="External"/><Relationship Id="rId82" Type="http://schemas.openxmlformats.org/officeDocument/2006/relationships/hyperlink" Target="https://expa.aiesec.org/opportunities/1293790" TargetMode="External"/><Relationship Id="rId81" Type="http://schemas.openxmlformats.org/officeDocument/2006/relationships/hyperlink" Target="https://expa.aiesec.org/opportunities/1295311" TargetMode="External"/><Relationship Id="rId73" Type="http://schemas.openxmlformats.org/officeDocument/2006/relationships/hyperlink" Target="https://expa.aiesec.org/opportunities/1295811" TargetMode="External"/><Relationship Id="rId72" Type="http://schemas.openxmlformats.org/officeDocument/2006/relationships/hyperlink" Target="https://expa.aiesec.org/opportunities/1292273" TargetMode="External"/><Relationship Id="rId75" Type="http://schemas.openxmlformats.org/officeDocument/2006/relationships/hyperlink" Target="https://expa.aiesec.org/opportunities/1296108" TargetMode="External"/><Relationship Id="rId74" Type="http://schemas.openxmlformats.org/officeDocument/2006/relationships/hyperlink" Target="https://expa.aiesec.org/opportunities/1295793" TargetMode="External"/><Relationship Id="rId77" Type="http://schemas.openxmlformats.org/officeDocument/2006/relationships/hyperlink" Target="https://expa.aiesec.org/opportunities/1295811" TargetMode="External"/><Relationship Id="rId76" Type="http://schemas.openxmlformats.org/officeDocument/2006/relationships/hyperlink" Target="https://expa.aiesec.org/opportunities/1292688" TargetMode="External"/><Relationship Id="rId79" Type="http://schemas.openxmlformats.org/officeDocument/2006/relationships/hyperlink" Target="https://expa.aiesec.org/opportunities/1294355" TargetMode="External"/><Relationship Id="rId78" Type="http://schemas.openxmlformats.org/officeDocument/2006/relationships/hyperlink" Target="https://expa.aiesec.org/opportunities/1295811" TargetMode="External"/><Relationship Id="rId71" Type="http://schemas.openxmlformats.org/officeDocument/2006/relationships/hyperlink" Target="https://expa.aiesec.org/opportunities/1295040" TargetMode="External"/><Relationship Id="rId70" Type="http://schemas.openxmlformats.org/officeDocument/2006/relationships/hyperlink" Target="https://expa.aiesec.org/opportunities/1292579" TargetMode="External"/><Relationship Id="rId62" Type="http://schemas.openxmlformats.org/officeDocument/2006/relationships/hyperlink" Target="https://expa.aiesec.org/opportunities/1288542" TargetMode="External"/><Relationship Id="rId61" Type="http://schemas.openxmlformats.org/officeDocument/2006/relationships/hyperlink" Target="https://expa.aiesec.org/opportunities/1294241" TargetMode="External"/><Relationship Id="rId64" Type="http://schemas.openxmlformats.org/officeDocument/2006/relationships/hyperlink" Target="https://expa.aiesec.org/opportunities/1293315" TargetMode="External"/><Relationship Id="rId63" Type="http://schemas.openxmlformats.org/officeDocument/2006/relationships/hyperlink" Target="https://expa.aiesec.org/opportunities/1293283" TargetMode="External"/><Relationship Id="rId66" Type="http://schemas.openxmlformats.org/officeDocument/2006/relationships/hyperlink" Target="https://expa.aiesec.org/opportunities/1293679" TargetMode="External"/><Relationship Id="rId65" Type="http://schemas.openxmlformats.org/officeDocument/2006/relationships/hyperlink" Target="https://expa.aiesec.org/opportunities/1293788" TargetMode="External"/><Relationship Id="rId68" Type="http://schemas.openxmlformats.org/officeDocument/2006/relationships/hyperlink" Target="https://expa.aiesec.org/opportunities/1294346" TargetMode="External"/><Relationship Id="rId67" Type="http://schemas.openxmlformats.org/officeDocument/2006/relationships/hyperlink" Target="https://expa.aiesec.org/opportunities/1292614" TargetMode="External"/><Relationship Id="rId60" Type="http://schemas.openxmlformats.org/officeDocument/2006/relationships/hyperlink" Target="https://expa.aiesec.org/opportunities/1293313" TargetMode="External"/><Relationship Id="rId69" Type="http://schemas.openxmlformats.org/officeDocument/2006/relationships/hyperlink" Target="https://expa.aiesec.org/opportunities/1294776" TargetMode="External"/><Relationship Id="rId51" Type="http://schemas.openxmlformats.org/officeDocument/2006/relationships/hyperlink" Target="https://expa.aiesec.org/opportunities/1293680" TargetMode="External"/><Relationship Id="rId50" Type="http://schemas.openxmlformats.org/officeDocument/2006/relationships/hyperlink" Target="https://expa.aiesec.org/opportunities/1292062" TargetMode="External"/><Relationship Id="rId53" Type="http://schemas.openxmlformats.org/officeDocument/2006/relationships/hyperlink" Target="https://expa.aiesec.org/opportunities/1293374" TargetMode="External"/><Relationship Id="rId52" Type="http://schemas.openxmlformats.org/officeDocument/2006/relationships/hyperlink" Target="https://expa.aiesec.org/opportunities/1287121" TargetMode="External"/><Relationship Id="rId55" Type="http://schemas.openxmlformats.org/officeDocument/2006/relationships/hyperlink" Target="https://expa.aiesec.org/opportunities/1292284" TargetMode="External"/><Relationship Id="rId54" Type="http://schemas.openxmlformats.org/officeDocument/2006/relationships/hyperlink" Target="https://expa.aiesec.org/opportunities/1290387" TargetMode="External"/><Relationship Id="rId57" Type="http://schemas.openxmlformats.org/officeDocument/2006/relationships/hyperlink" Target="https://expa.aiesec.org/opportunities/1289148" TargetMode="External"/><Relationship Id="rId56" Type="http://schemas.openxmlformats.org/officeDocument/2006/relationships/hyperlink" Target="https://expa.aiesec.org/opportunities/1288542" TargetMode="External"/><Relationship Id="rId59" Type="http://schemas.openxmlformats.org/officeDocument/2006/relationships/hyperlink" Target="https://expa.aiesec.org/opportunities/1292722" TargetMode="External"/><Relationship Id="rId58" Type="http://schemas.openxmlformats.org/officeDocument/2006/relationships/hyperlink" Target="https://expa.aiesec.org/opportunities/1292104" TargetMode="External"/><Relationship Id="rId95" Type="http://schemas.openxmlformats.org/officeDocument/2006/relationships/hyperlink" Target="https://expa.aiesec.org/opportunities/1294977" TargetMode="External"/><Relationship Id="rId94" Type="http://schemas.openxmlformats.org/officeDocument/2006/relationships/hyperlink" Target="https://expa.aiesec.org/opportunities/1297938" TargetMode="External"/><Relationship Id="rId97" Type="http://schemas.openxmlformats.org/officeDocument/2006/relationships/hyperlink" Target="https://expa.aiesec.org/opportunities/1294346" TargetMode="External"/><Relationship Id="rId96" Type="http://schemas.openxmlformats.org/officeDocument/2006/relationships/hyperlink" Target="https://expa.aiesec.org/opportunities/1290643" TargetMode="External"/><Relationship Id="rId99" Type="http://schemas.openxmlformats.org/officeDocument/2006/relationships/hyperlink" Target="https://expa.aiesec.org/opportunities/1297843" TargetMode="External"/><Relationship Id="rId98" Type="http://schemas.openxmlformats.org/officeDocument/2006/relationships/hyperlink" Target="https://expa.aiesec.org/opportunities/1296423" TargetMode="External"/><Relationship Id="rId91" Type="http://schemas.openxmlformats.org/officeDocument/2006/relationships/hyperlink" Target="https://expa.aiesec.org/opportunities/1295247" TargetMode="External"/><Relationship Id="rId90" Type="http://schemas.openxmlformats.org/officeDocument/2006/relationships/hyperlink" Target="https://expa.aiesec.org/opportunities/1291679" TargetMode="External"/><Relationship Id="rId93" Type="http://schemas.openxmlformats.org/officeDocument/2006/relationships/hyperlink" Target="https://expa.aiesec.org/opportunities/1294853" TargetMode="External"/><Relationship Id="rId92" Type="http://schemas.openxmlformats.org/officeDocument/2006/relationships/hyperlink" Target="https://expa.aiesec.org/opportunities/1295153" TargetMode="External"/><Relationship Id="rId1" Type="http://schemas.openxmlformats.org/officeDocument/2006/relationships/hyperlink" Target="https://expa.aiesec.org/opportunities/1286474" TargetMode="External"/><Relationship Id="rId2" Type="http://schemas.openxmlformats.org/officeDocument/2006/relationships/hyperlink" Target="https://expa.aiesec.org/opportunities/1286732" TargetMode="External"/><Relationship Id="rId3" Type="http://schemas.openxmlformats.org/officeDocument/2006/relationships/hyperlink" Target="https://expa.aiesec.org/opportunities/1286047" TargetMode="External"/><Relationship Id="rId4" Type="http://schemas.openxmlformats.org/officeDocument/2006/relationships/hyperlink" Target="https://expa.aiesec.org/opportunities/1287460" TargetMode="External"/><Relationship Id="rId9" Type="http://schemas.openxmlformats.org/officeDocument/2006/relationships/hyperlink" Target="https://expa.aiesec.org/opportunities/1287655" TargetMode="External"/><Relationship Id="rId5" Type="http://schemas.openxmlformats.org/officeDocument/2006/relationships/hyperlink" Target="https://expa.aiesec.org/opportunities/1286880" TargetMode="External"/><Relationship Id="rId6" Type="http://schemas.openxmlformats.org/officeDocument/2006/relationships/hyperlink" Target="https://expa.aiesec.org/opportunities/1286875" TargetMode="External"/><Relationship Id="rId7" Type="http://schemas.openxmlformats.org/officeDocument/2006/relationships/hyperlink" Target="https://expa.aiesec.org/opportunities/1286641" TargetMode="External"/><Relationship Id="rId8" Type="http://schemas.openxmlformats.org/officeDocument/2006/relationships/hyperlink" Target="https://expa.aiesec.org/opportunities/1279294" TargetMode="External"/><Relationship Id="rId107" Type="http://schemas.openxmlformats.org/officeDocument/2006/relationships/hyperlink" Target="https://expa.aiesec.org/opportunities/1299853" TargetMode="External"/><Relationship Id="rId106" Type="http://schemas.openxmlformats.org/officeDocument/2006/relationships/hyperlink" Target="https://expa.aiesec.org/opportunities/1298543" TargetMode="External"/><Relationship Id="rId105" Type="http://schemas.openxmlformats.org/officeDocument/2006/relationships/hyperlink" Target="https://expa.aiesec.org/opportunities/1297842" TargetMode="External"/><Relationship Id="rId104" Type="http://schemas.openxmlformats.org/officeDocument/2006/relationships/hyperlink" Target="https://expa.aiesec.org/opportunities/1300050" TargetMode="External"/><Relationship Id="rId109" Type="http://schemas.openxmlformats.org/officeDocument/2006/relationships/hyperlink" Target="https://expa.aiesec.org/opportunities/1299393" TargetMode="External"/><Relationship Id="rId108" Type="http://schemas.openxmlformats.org/officeDocument/2006/relationships/hyperlink" Target="https://expa.aiesec.org/opportunities/1299371" TargetMode="External"/><Relationship Id="rId103" Type="http://schemas.openxmlformats.org/officeDocument/2006/relationships/hyperlink" Target="https://expa.aiesec.org/opportunities/1300058" TargetMode="External"/><Relationship Id="rId102" Type="http://schemas.openxmlformats.org/officeDocument/2006/relationships/hyperlink" Target="https://expa.aiesec.org/opportunities/1296529" TargetMode="External"/><Relationship Id="rId101" Type="http://schemas.openxmlformats.org/officeDocument/2006/relationships/hyperlink" Target="https://expa.aiesec.org/opportunities/1299393" TargetMode="External"/><Relationship Id="rId100" Type="http://schemas.openxmlformats.org/officeDocument/2006/relationships/hyperlink" Target="https://expa.aiesec.org/opportunities/1299049" TargetMode="External"/><Relationship Id="rId129" Type="http://schemas.openxmlformats.org/officeDocument/2006/relationships/drawing" Target="../drawings/drawing15.xml"/><Relationship Id="rId128" Type="http://schemas.openxmlformats.org/officeDocument/2006/relationships/hyperlink" Target="https://expa.aiesec.org/opportunities/1303001" TargetMode="External"/><Relationship Id="rId127" Type="http://schemas.openxmlformats.org/officeDocument/2006/relationships/hyperlink" Target="https://expa.aiesec.org/opportunities/1302694" TargetMode="External"/><Relationship Id="rId126" Type="http://schemas.openxmlformats.org/officeDocument/2006/relationships/hyperlink" Target="https://expa.aiesec.org/opportunities/1300251" TargetMode="External"/><Relationship Id="rId121" Type="http://schemas.openxmlformats.org/officeDocument/2006/relationships/hyperlink" Target="https://expa.aiesec.org/opportunities/1300050" TargetMode="External"/><Relationship Id="rId120" Type="http://schemas.openxmlformats.org/officeDocument/2006/relationships/hyperlink" Target="https://expa.aiesec.org/opportunities/1293679" TargetMode="External"/><Relationship Id="rId125" Type="http://schemas.openxmlformats.org/officeDocument/2006/relationships/hyperlink" Target="https://expa.aiesec.org/opportunities/1301543" TargetMode="External"/><Relationship Id="rId124" Type="http://schemas.openxmlformats.org/officeDocument/2006/relationships/hyperlink" Target="https://expa.aiesec.org/opportunities/1300460" TargetMode="External"/><Relationship Id="rId123" Type="http://schemas.openxmlformats.org/officeDocument/2006/relationships/hyperlink" Target="https://expa.aiesec.org/opportunities/1299499" TargetMode="External"/><Relationship Id="rId122" Type="http://schemas.openxmlformats.org/officeDocument/2006/relationships/hyperlink" Target="https://expa.aiesec.org/opportunities/1295700" TargetMode="External"/><Relationship Id="rId118" Type="http://schemas.openxmlformats.org/officeDocument/2006/relationships/hyperlink" Target="https://expa.aiesec.org/opportunities/1300017" TargetMode="External"/><Relationship Id="rId117" Type="http://schemas.openxmlformats.org/officeDocument/2006/relationships/hyperlink" Target="https://expa.aiesec.org/opportunities/1300123" TargetMode="External"/><Relationship Id="rId116" Type="http://schemas.openxmlformats.org/officeDocument/2006/relationships/hyperlink" Target="https://expa.aiesec.org/opportunities/1299818" TargetMode="External"/><Relationship Id="rId115" Type="http://schemas.openxmlformats.org/officeDocument/2006/relationships/hyperlink" Target="https://expa.aiesec.org/opportunities/1294342" TargetMode="External"/><Relationship Id="rId119" Type="http://schemas.openxmlformats.org/officeDocument/2006/relationships/hyperlink" Target="https://expa.aiesec.org/opportunities/1281086" TargetMode="External"/><Relationship Id="rId110" Type="http://schemas.openxmlformats.org/officeDocument/2006/relationships/hyperlink" Target="https://expa.aiesec.org/opportunities/1300102" TargetMode="External"/><Relationship Id="rId114" Type="http://schemas.openxmlformats.org/officeDocument/2006/relationships/hyperlink" Target="https://expa.aiesec.org/opportunities/1300121" TargetMode="External"/><Relationship Id="rId113" Type="http://schemas.openxmlformats.org/officeDocument/2006/relationships/hyperlink" Target="https://expa.aiesec.org/opportunities/1300920" TargetMode="External"/><Relationship Id="rId112" Type="http://schemas.openxmlformats.org/officeDocument/2006/relationships/hyperlink" Target="https://expa.aiesec.org/opportunities/1288371" TargetMode="External"/><Relationship Id="rId111" Type="http://schemas.openxmlformats.org/officeDocument/2006/relationships/hyperlink" Target="https://expa.aiesec.org/opportunities/1299829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expa.aiesec.org/opportunities/1295104" TargetMode="External"/><Relationship Id="rId42" Type="http://schemas.openxmlformats.org/officeDocument/2006/relationships/hyperlink" Target="https://expa.aiesec.org/opportunities/1293758" TargetMode="External"/><Relationship Id="rId41" Type="http://schemas.openxmlformats.org/officeDocument/2006/relationships/hyperlink" Target="https://expa.aiesec.org/opportunities/1289446" TargetMode="External"/><Relationship Id="rId44" Type="http://schemas.openxmlformats.org/officeDocument/2006/relationships/hyperlink" Target="https://expa.aiesec.org/opportunities/1296723" TargetMode="External"/><Relationship Id="rId43" Type="http://schemas.openxmlformats.org/officeDocument/2006/relationships/hyperlink" Target="https://expa.aiesec.org/opportunities/1295789" TargetMode="External"/><Relationship Id="rId46" Type="http://schemas.openxmlformats.org/officeDocument/2006/relationships/hyperlink" Target="https://expa.aiesec.org/opportunities/1287792" TargetMode="External"/><Relationship Id="rId45" Type="http://schemas.openxmlformats.org/officeDocument/2006/relationships/hyperlink" Target="https://expa.aiesec.org/opportunities/1296723" TargetMode="External"/><Relationship Id="rId48" Type="http://schemas.openxmlformats.org/officeDocument/2006/relationships/hyperlink" Target="https://expa.aiesec.org/opportunities/1296266" TargetMode="External"/><Relationship Id="rId47" Type="http://schemas.openxmlformats.org/officeDocument/2006/relationships/hyperlink" Target="https://expa.aiesec.org/opportunities/1296697" TargetMode="External"/><Relationship Id="rId49" Type="http://schemas.openxmlformats.org/officeDocument/2006/relationships/hyperlink" Target="https://expa.aiesec.org/opportunities/1295292" TargetMode="External"/><Relationship Id="rId31" Type="http://schemas.openxmlformats.org/officeDocument/2006/relationships/hyperlink" Target="https://expa.aiesec.org/opportunities/1288732" TargetMode="External"/><Relationship Id="rId30" Type="http://schemas.openxmlformats.org/officeDocument/2006/relationships/hyperlink" Target="https://expa.aiesec.org/opportunities/1292692" TargetMode="External"/><Relationship Id="rId33" Type="http://schemas.openxmlformats.org/officeDocument/2006/relationships/hyperlink" Target="https://expa.aiesec.org/opportunities/1295137" TargetMode="External"/><Relationship Id="rId32" Type="http://schemas.openxmlformats.org/officeDocument/2006/relationships/hyperlink" Target="https://expa.aiesec.org/opportunities/1290077" TargetMode="External"/><Relationship Id="rId35" Type="http://schemas.openxmlformats.org/officeDocument/2006/relationships/hyperlink" Target="https://expa.aiesec.org/opportunities/1295717" TargetMode="External"/><Relationship Id="rId34" Type="http://schemas.openxmlformats.org/officeDocument/2006/relationships/hyperlink" Target="https://expa.aiesec.org/opportunities/1295377" TargetMode="External"/><Relationship Id="rId37" Type="http://schemas.openxmlformats.org/officeDocument/2006/relationships/hyperlink" Target="https://expa.aiesec.org/opportunities/1293192" TargetMode="External"/><Relationship Id="rId36" Type="http://schemas.openxmlformats.org/officeDocument/2006/relationships/hyperlink" Target="https://expa.aiesec.org/opportunities/1288836" TargetMode="External"/><Relationship Id="rId39" Type="http://schemas.openxmlformats.org/officeDocument/2006/relationships/hyperlink" Target="https://expa.aiesec.org/opportunities/1288094" TargetMode="External"/><Relationship Id="rId38" Type="http://schemas.openxmlformats.org/officeDocument/2006/relationships/hyperlink" Target="https://expa.aiesec.org/opportunities/1295364" TargetMode="External"/><Relationship Id="rId20" Type="http://schemas.openxmlformats.org/officeDocument/2006/relationships/hyperlink" Target="https://expa.aiesec.org/opportunities/1292422" TargetMode="External"/><Relationship Id="rId22" Type="http://schemas.openxmlformats.org/officeDocument/2006/relationships/hyperlink" Target="https://expa.aiesec.org/opportunities/1288730" TargetMode="External"/><Relationship Id="rId21" Type="http://schemas.openxmlformats.org/officeDocument/2006/relationships/hyperlink" Target="https://expa.aiesec.org/opportunities/1291276" TargetMode="External"/><Relationship Id="rId24" Type="http://schemas.openxmlformats.org/officeDocument/2006/relationships/hyperlink" Target="https://expa.aiesec.org/opportunities/1292396" TargetMode="External"/><Relationship Id="rId23" Type="http://schemas.openxmlformats.org/officeDocument/2006/relationships/hyperlink" Target="https://expa.aiesec.org/opportunities/1293139" TargetMode="External"/><Relationship Id="rId26" Type="http://schemas.openxmlformats.org/officeDocument/2006/relationships/hyperlink" Target="https://expa.aiesec.org/opportunities/1291166" TargetMode="External"/><Relationship Id="rId25" Type="http://schemas.openxmlformats.org/officeDocument/2006/relationships/hyperlink" Target="https://expa.aiesec.org/opportunities/1290850" TargetMode="External"/><Relationship Id="rId28" Type="http://schemas.openxmlformats.org/officeDocument/2006/relationships/hyperlink" Target="https://expa.aiesec.org/opportunities/1282258" TargetMode="External"/><Relationship Id="rId27" Type="http://schemas.openxmlformats.org/officeDocument/2006/relationships/hyperlink" Target="https://expa.aiesec.org/opportunities/1290630" TargetMode="External"/><Relationship Id="rId29" Type="http://schemas.openxmlformats.org/officeDocument/2006/relationships/hyperlink" Target="https://expa.aiesec.org/opportunities/1294504" TargetMode="External"/><Relationship Id="rId11" Type="http://schemas.openxmlformats.org/officeDocument/2006/relationships/hyperlink" Target="https://expa.aiesec.org/opportunities/1291275" TargetMode="External"/><Relationship Id="rId10" Type="http://schemas.openxmlformats.org/officeDocument/2006/relationships/hyperlink" Target="https://expa.aiesec.org/opportunities/1284858" TargetMode="External"/><Relationship Id="rId13" Type="http://schemas.openxmlformats.org/officeDocument/2006/relationships/hyperlink" Target="https://expa.aiesec.org/opportunities/1287487" TargetMode="External"/><Relationship Id="rId12" Type="http://schemas.openxmlformats.org/officeDocument/2006/relationships/hyperlink" Target="https://expa.aiesec.org/opportunities/1291452" TargetMode="External"/><Relationship Id="rId15" Type="http://schemas.openxmlformats.org/officeDocument/2006/relationships/hyperlink" Target="https://expa.aiesec.org/opportunities/1287832" TargetMode="External"/><Relationship Id="rId14" Type="http://schemas.openxmlformats.org/officeDocument/2006/relationships/hyperlink" Target="https://expa.aiesec.org/opportunities/1289446" TargetMode="External"/><Relationship Id="rId17" Type="http://schemas.openxmlformats.org/officeDocument/2006/relationships/hyperlink" Target="https://expa.aiesec.org/opportunities/1290760" TargetMode="External"/><Relationship Id="rId16" Type="http://schemas.openxmlformats.org/officeDocument/2006/relationships/hyperlink" Target="https://expa.aiesec.org/opportunities/1292695" TargetMode="External"/><Relationship Id="rId19" Type="http://schemas.openxmlformats.org/officeDocument/2006/relationships/hyperlink" Target="https://expa.aiesec.org/opportunities/1290759" TargetMode="External"/><Relationship Id="rId18" Type="http://schemas.openxmlformats.org/officeDocument/2006/relationships/hyperlink" Target="https://expa.aiesec.org/opportunities/1292651" TargetMode="External"/><Relationship Id="rId73" Type="http://schemas.openxmlformats.org/officeDocument/2006/relationships/drawing" Target="../drawings/drawing16.xml"/><Relationship Id="rId72" Type="http://schemas.openxmlformats.org/officeDocument/2006/relationships/hyperlink" Target="https://expa.aiesec.org/opportunities/1300103" TargetMode="External"/><Relationship Id="rId71" Type="http://schemas.openxmlformats.org/officeDocument/2006/relationships/hyperlink" Target="https://expa.aiesec.org/opportunities/1289446" TargetMode="External"/><Relationship Id="rId70" Type="http://schemas.openxmlformats.org/officeDocument/2006/relationships/hyperlink" Target="https://expa.aiesec.org/opportunities/1284744" TargetMode="External"/><Relationship Id="rId62" Type="http://schemas.openxmlformats.org/officeDocument/2006/relationships/hyperlink" Target="https://expa.aiesec.org/opportunities/1292695" TargetMode="External"/><Relationship Id="rId61" Type="http://schemas.openxmlformats.org/officeDocument/2006/relationships/hyperlink" Target="https://expa.aiesec.org/opportunities/1297249" TargetMode="External"/><Relationship Id="rId64" Type="http://schemas.openxmlformats.org/officeDocument/2006/relationships/hyperlink" Target="https://expa.aiesec.org/opportunities/1287132" TargetMode="External"/><Relationship Id="rId63" Type="http://schemas.openxmlformats.org/officeDocument/2006/relationships/hyperlink" Target="https://expa.aiesec.org/opportunities/1300752" TargetMode="External"/><Relationship Id="rId66" Type="http://schemas.openxmlformats.org/officeDocument/2006/relationships/hyperlink" Target="https://expa.aiesec.org/opportunities/1301303" TargetMode="External"/><Relationship Id="rId65" Type="http://schemas.openxmlformats.org/officeDocument/2006/relationships/hyperlink" Target="https://expa.aiesec.org/opportunities/1292692" TargetMode="External"/><Relationship Id="rId68" Type="http://schemas.openxmlformats.org/officeDocument/2006/relationships/hyperlink" Target="https://expa.aiesec.org/opportunities/1299338" TargetMode="External"/><Relationship Id="rId67" Type="http://schemas.openxmlformats.org/officeDocument/2006/relationships/hyperlink" Target="https://expa.aiesec.org/opportunities/1286668" TargetMode="External"/><Relationship Id="rId60" Type="http://schemas.openxmlformats.org/officeDocument/2006/relationships/hyperlink" Target="https://expa.aiesec.org/opportunities/1288155" TargetMode="External"/><Relationship Id="rId69" Type="http://schemas.openxmlformats.org/officeDocument/2006/relationships/hyperlink" Target="https://expa.aiesec.org/opportunities/1287140" TargetMode="External"/><Relationship Id="rId51" Type="http://schemas.openxmlformats.org/officeDocument/2006/relationships/hyperlink" Target="https://expa.aiesec.org/opportunities/1295777" TargetMode="External"/><Relationship Id="rId50" Type="http://schemas.openxmlformats.org/officeDocument/2006/relationships/hyperlink" Target="https://expa.aiesec.org/opportunities/1294533" TargetMode="External"/><Relationship Id="rId53" Type="http://schemas.openxmlformats.org/officeDocument/2006/relationships/hyperlink" Target="https://expa.aiesec.org/opportunities/1289470" TargetMode="External"/><Relationship Id="rId52" Type="http://schemas.openxmlformats.org/officeDocument/2006/relationships/hyperlink" Target="https://expa.aiesec.org/opportunities/1295127" TargetMode="External"/><Relationship Id="rId55" Type="http://schemas.openxmlformats.org/officeDocument/2006/relationships/hyperlink" Target="https://expa.aiesec.org/opportunities/1287132" TargetMode="External"/><Relationship Id="rId54" Type="http://schemas.openxmlformats.org/officeDocument/2006/relationships/hyperlink" Target="https://expa.aiesec.org/opportunities/1289467" TargetMode="External"/><Relationship Id="rId57" Type="http://schemas.openxmlformats.org/officeDocument/2006/relationships/hyperlink" Target="https://expa.aiesec.org/opportunities/1298598" TargetMode="External"/><Relationship Id="rId56" Type="http://schemas.openxmlformats.org/officeDocument/2006/relationships/hyperlink" Target="https://expa.aiesec.org/opportunities/1285088" TargetMode="External"/><Relationship Id="rId59" Type="http://schemas.openxmlformats.org/officeDocument/2006/relationships/hyperlink" Target="https://expa.aiesec.org/opportunities/1292695" TargetMode="External"/><Relationship Id="rId58" Type="http://schemas.openxmlformats.org/officeDocument/2006/relationships/hyperlink" Target="https://expa.aiesec.org/opportunities/1293192" TargetMode="External"/><Relationship Id="rId1" Type="http://schemas.openxmlformats.org/officeDocument/2006/relationships/hyperlink" Target="https://expa.aiesec.org/opportunities/1288032" TargetMode="External"/><Relationship Id="rId2" Type="http://schemas.openxmlformats.org/officeDocument/2006/relationships/hyperlink" Target="https://expa.aiesec.org/opportunities/1286782" TargetMode="External"/><Relationship Id="rId3" Type="http://schemas.openxmlformats.org/officeDocument/2006/relationships/hyperlink" Target="https://expa.aiesec.org/opportunities/1285358" TargetMode="External"/><Relationship Id="rId4" Type="http://schemas.openxmlformats.org/officeDocument/2006/relationships/hyperlink" Target="https://expa.aiesec.org/opportunities/1285358" TargetMode="External"/><Relationship Id="rId9" Type="http://schemas.openxmlformats.org/officeDocument/2006/relationships/hyperlink" Target="https://expa.aiesec.org/opportunities/1290648" TargetMode="External"/><Relationship Id="rId5" Type="http://schemas.openxmlformats.org/officeDocument/2006/relationships/hyperlink" Target="https://expa.aiesec.org/opportunities/1289012" TargetMode="External"/><Relationship Id="rId6" Type="http://schemas.openxmlformats.org/officeDocument/2006/relationships/hyperlink" Target="https://expa.aiesec.org/opportunities/1286120" TargetMode="External"/><Relationship Id="rId7" Type="http://schemas.openxmlformats.org/officeDocument/2006/relationships/hyperlink" Target="https://expa.aiesec.org/opportunities/1279169" TargetMode="External"/><Relationship Id="rId8" Type="http://schemas.openxmlformats.org/officeDocument/2006/relationships/hyperlink" Target="https://expa.aiesec.org/opportunities/1289455" TargetMode="External"/></Relationships>
</file>

<file path=xl/worksheets/_rels/sheet17.xml.rels><?xml version="1.0" encoding="UTF-8" standalone="yes"?><Relationships xmlns="http://schemas.openxmlformats.org/package/2006/relationships"><Relationship Id="rId392" Type="http://schemas.openxmlformats.org/officeDocument/2006/relationships/hyperlink" Target="https://expa.aiesec.org/opportunities/1284670" TargetMode="External"/><Relationship Id="rId391" Type="http://schemas.openxmlformats.org/officeDocument/2006/relationships/hyperlink" Target="https://expa.aiesec.org/opportunities/1272564" TargetMode="External"/><Relationship Id="rId390" Type="http://schemas.openxmlformats.org/officeDocument/2006/relationships/hyperlink" Target="https://expa.aiesec.org/opportunities/1298284" TargetMode="External"/><Relationship Id="rId385" Type="http://schemas.openxmlformats.org/officeDocument/2006/relationships/hyperlink" Target="https://expa.aiesec.org/opportunities/1284670" TargetMode="External"/><Relationship Id="rId384" Type="http://schemas.openxmlformats.org/officeDocument/2006/relationships/hyperlink" Target="https://expa.aiesec.org/opportunities/1300175" TargetMode="External"/><Relationship Id="rId383" Type="http://schemas.openxmlformats.org/officeDocument/2006/relationships/hyperlink" Target="https://expa.aiesec.org/opportunities/1284670" TargetMode="External"/><Relationship Id="rId382" Type="http://schemas.openxmlformats.org/officeDocument/2006/relationships/hyperlink" Target="https://expa.aiesec.org/opportunities/1289536" TargetMode="External"/><Relationship Id="rId389" Type="http://schemas.openxmlformats.org/officeDocument/2006/relationships/hyperlink" Target="https://expa.aiesec.org/opportunities/1289255" TargetMode="External"/><Relationship Id="rId388" Type="http://schemas.openxmlformats.org/officeDocument/2006/relationships/hyperlink" Target="https://expa.aiesec.org/opportunities/1288843" TargetMode="External"/><Relationship Id="rId387" Type="http://schemas.openxmlformats.org/officeDocument/2006/relationships/hyperlink" Target="https://expa.aiesec.org/opportunities/1293417" TargetMode="External"/><Relationship Id="rId386" Type="http://schemas.openxmlformats.org/officeDocument/2006/relationships/hyperlink" Target="https://expa.aiesec.org/opportunities/1295874" TargetMode="External"/><Relationship Id="rId381" Type="http://schemas.openxmlformats.org/officeDocument/2006/relationships/hyperlink" Target="https://expa.aiesec.org/opportunities/1284670" TargetMode="External"/><Relationship Id="rId380" Type="http://schemas.openxmlformats.org/officeDocument/2006/relationships/hyperlink" Target="https://expa.aiesec.org/opportunities/1294418" TargetMode="External"/><Relationship Id="rId379" Type="http://schemas.openxmlformats.org/officeDocument/2006/relationships/hyperlink" Target="https://expa.aiesec.org/opportunities/1298282" TargetMode="External"/><Relationship Id="rId374" Type="http://schemas.openxmlformats.org/officeDocument/2006/relationships/hyperlink" Target="https://expa.aiesec.org/opportunities/1300562" TargetMode="External"/><Relationship Id="rId373" Type="http://schemas.openxmlformats.org/officeDocument/2006/relationships/hyperlink" Target="https://expa.aiesec.org/opportunities/1300562" TargetMode="External"/><Relationship Id="rId372" Type="http://schemas.openxmlformats.org/officeDocument/2006/relationships/hyperlink" Target="https://expa.aiesec.org/opportunities/1300102" TargetMode="External"/><Relationship Id="rId371" Type="http://schemas.openxmlformats.org/officeDocument/2006/relationships/hyperlink" Target="https://expa.aiesec.org/opportunities/1289255" TargetMode="External"/><Relationship Id="rId378" Type="http://schemas.openxmlformats.org/officeDocument/2006/relationships/hyperlink" Target="https://expa.aiesec.org/opportunities/1284670" TargetMode="External"/><Relationship Id="rId377" Type="http://schemas.openxmlformats.org/officeDocument/2006/relationships/hyperlink" Target="https://expa.aiesec.org/opportunities/1287966" TargetMode="External"/><Relationship Id="rId376" Type="http://schemas.openxmlformats.org/officeDocument/2006/relationships/hyperlink" Target="https://expa.aiesec.org/opportunities/1289536" TargetMode="External"/><Relationship Id="rId375" Type="http://schemas.openxmlformats.org/officeDocument/2006/relationships/hyperlink" Target="https://expa.aiesec.org/opportunities/1297178" TargetMode="External"/><Relationship Id="rId396" Type="http://schemas.openxmlformats.org/officeDocument/2006/relationships/hyperlink" Target="https://expa.aiesec.org/opportunities/1284670" TargetMode="External"/><Relationship Id="rId395" Type="http://schemas.openxmlformats.org/officeDocument/2006/relationships/hyperlink" Target="https://expa.aiesec.org/opportunities/1284670" TargetMode="External"/><Relationship Id="rId394" Type="http://schemas.openxmlformats.org/officeDocument/2006/relationships/hyperlink" Target="https://expa.aiesec.org/opportunities/1298282" TargetMode="External"/><Relationship Id="rId393" Type="http://schemas.openxmlformats.org/officeDocument/2006/relationships/hyperlink" Target="https://expa.aiesec.org/opportunities/1285687" TargetMode="External"/><Relationship Id="rId397" Type="http://schemas.openxmlformats.org/officeDocument/2006/relationships/drawing" Target="../drawings/drawing17.xml"/><Relationship Id="rId40" Type="http://schemas.openxmlformats.org/officeDocument/2006/relationships/hyperlink" Target="https://expa.aiesec.org/opportunities/1281901" TargetMode="External"/><Relationship Id="rId42" Type="http://schemas.openxmlformats.org/officeDocument/2006/relationships/hyperlink" Target="https://expa.aiesec.org/opportunities/1292505" TargetMode="External"/><Relationship Id="rId41" Type="http://schemas.openxmlformats.org/officeDocument/2006/relationships/hyperlink" Target="https://expa.aiesec.org/opportunities/1289246" TargetMode="External"/><Relationship Id="rId44" Type="http://schemas.openxmlformats.org/officeDocument/2006/relationships/hyperlink" Target="https://expa.aiesec.org/opportunities/1289536" TargetMode="External"/><Relationship Id="rId43" Type="http://schemas.openxmlformats.org/officeDocument/2006/relationships/hyperlink" Target="https://expa.aiesec.org/opportunities/1289536" TargetMode="External"/><Relationship Id="rId46" Type="http://schemas.openxmlformats.org/officeDocument/2006/relationships/hyperlink" Target="https://expa.aiesec.org/opportunities/1289536" TargetMode="External"/><Relationship Id="rId45" Type="http://schemas.openxmlformats.org/officeDocument/2006/relationships/hyperlink" Target="https://expa.aiesec.org/opportunities/1292719" TargetMode="External"/><Relationship Id="rId48" Type="http://schemas.openxmlformats.org/officeDocument/2006/relationships/hyperlink" Target="https://expa.aiesec.org/opportunities/1289536" TargetMode="External"/><Relationship Id="rId47" Type="http://schemas.openxmlformats.org/officeDocument/2006/relationships/hyperlink" Target="https://expa.aiesec.org/opportunities/1288611" TargetMode="External"/><Relationship Id="rId49" Type="http://schemas.openxmlformats.org/officeDocument/2006/relationships/hyperlink" Target="https://expa.aiesec.org/opportunities/1292706" TargetMode="External"/><Relationship Id="rId31" Type="http://schemas.openxmlformats.org/officeDocument/2006/relationships/hyperlink" Target="https://expa.aiesec.org/opportunities/1289255" TargetMode="External"/><Relationship Id="rId30" Type="http://schemas.openxmlformats.org/officeDocument/2006/relationships/hyperlink" Target="https://expa.aiesec.org/opportunities/1284501" TargetMode="External"/><Relationship Id="rId33" Type="http://schemas.openxmlformats.org/officeDocument/2006/relationships/hyperlink" Target="https://expa.aiesec.org/opportunities/1290642" TargetMode="External"/><Relationship Id="rId32" Type="http://schemas.openxmlformats.org/officeDocument/2006/relationships/hyperlink" Target="https://expa.aiesec.org/opportunities/1291551" TargetMode="External"/><Relationship Id="rId35" Type="http://schemas.openxmlformats.org/officeDocument/2006/relationships/hyperlink" Target="https://expa.aiesec.org/opportunities/1290323" TargetMode="External"/><Relationship Id="rId34" Type="http://schemas.openxmlformats.org/officeDocument/2006/relationships/hyperlink" Target="https://expa.aiesec.org/opportunities/1291263" TargetMode="External"/><Relationship Id="rId37" Type="http://schemas.openxmlformats.org/officeDocument/2006/relationships/hyperlink" Target="https://expa.aiesec.org/opportunities/1272564" TargetMode="External"/><Relationship Id="rId36" Type="http://schemas.openxmlformats.org/officeDocument/2006/relationships/hyperlink" Target="https://expa.aiesec.org/opportunities/1287856" TargetMode="External"/><Relationship Id="rId39" Type="http://schemas.openxmlformats.org/officeDocument/2006/relationships/hyperlink" Target="https://expa.aiesec.org/opportunities/1289536" TargetMode="External"/><Relationship Id="rId38" Type="http://schemas.openxmlformats.org/officeDocument/2006/relationships/hyperlink" Target="https://expa.aiesec.org/opportunities/1288843" TargetMode="External"/><Relationship Id="rId20" Type="http://schemas.openxmlformats.org/officeDocument/2006/relationships/hyperlink" Target="https://expa.aiesec.org/opportunities/1289255" TargetMode="External"/><Relationship Id="rId22" Type="http://schemas.openxmlformats.org/officeDocument/2006/relationships/hyperlink" Target="https://expa.aiesec.org/opportunities/1289536" TargetMode="External"/><Relationship Id="rId21" Type="http://schemas.openxmlformats.org/officeDocument/2006/relationships/hyperlink" Target="https://expa.aiesec.org/opportunities/1291623" TargetMode="External"/><Relationship Id="rId24" Type="http://schemas.openxmlformats.org/officeDocument/2006/relationships/hyperlink" Target="https://expa.aiesec.org/opportunities/1291783" TargetMode="External"/><Relationship Id="rId23" Type="http://schemas.openxmlformats.org/officeDocument/2006/relationships/hyperlink" Target="https://expa.aiesec.org/opportunities/1291372" TargetMode="External"/><Relationship Id="rId26" Type="http://schemas.openxmlformats.org/officeDocument/2006/relationships/hyperlink" Target="https://expa.aiesec.org/opportunities/1272564" TargetMode="External"/><Relationship Id="rId25" Type="http://schemas.openxmlformats.org/officeDocument/2006/relationships/hyperlink" Target="https://expa.aiesec.org/opportunities/1289536" TargetMode="External"/><Relationship Id="rId28" Type="http://schemas.openxmlformats.org/officeDocument/2006/relationships/hyperlink" Target="https://expa.aiesec.org/opportunities/1291049" TargetMode="External"/><Relationship Id="rId27" Type="http://schemas.openxmlformats.org/officeDocument/2006/relationships/hyperlink" Target="https://expa.aiesec.org/opportunities/1272564" TargetMode="External"/><Relationship Id="rId29" Type="http://schemas.openxmlformats.org/officeDocument/2006/relationships/hyperlink" Target="https://expa.aiesec.org/opportunities/1287966" TargetMode="External"/><Relationship Id="rId11" Type="http://schemas.openxmlformats.org/officeDocument/2006/relationships/hyperlink" Target="https://expa.aiesec.org/opportunities/1288393" TargetMode="External"/><Relationship Id="rId10" Type="http://schemas.openxmlformats.org/officeDocument/2006/relationships/hyperlink" Target="https://expa.aiesec.org/opportunities/1285687" TargetMode="External"/><Relationship Id="rId13" Type="http://schemas.openxmlformats.org/officeDocument/2006/relationships/hyperlink" Target="https://expa.aiesec.org/opportunities/1291551" TargetMode="External"/><Relationship Id="rId12" Type="http://schemas.openxmlformats.org/officeDocument/2006/relationships/hyperlink" Target="https://expa.aiesec.org/opportunities/1289536" TargetMode="External"/><Relationship Id="rId15" Type="http://schemas.openxmlformats.org/officeDocument/2006/relationships/hyperlink" Target="https://expa.aiesec.org/opportunities/1291378" TargetMode="External"/><Relationship Id="rId14" Type="http://schemas.openxmlformats.org/officeDocument/2006/relationships/hyperlink" Target="https://expa.aiesec.org/opportunities/1285687" TargetMode="External"/><Relationship Id="rId17" Type="http://schemas.openxmlformats.org/officeDocument/2006/relationships/hyperlink" Target="https://expa.aiesec.org/opportunities/1288393" TargetMode="External"/><Relationship Id="rId16" Type="http://schemas.openxmlformats.org/officeDocument/2006/relationships/hyperlink" Target="https://expa.aiesec.org/opportunities/1289378" TargetMode="External"/><Relationship Id="rId19" Type="http://schemas.openxmlformats.org/officeDocument/2006/relationships/hyperlink" Target="https://expa.aiesec.org/opportunities/1288393" TargetMode="External"/><Relationship Id="rId18" Type="http://schemas.openxmlformats.org/officeDocument/2006/relationships/hyperlink" Target="https://expa.aiesec.org/opportunities/1288611" TargetMode="External"/><Relationship Id="rId84" Type="http://schemas.openxmlformats.org/officeDocument/2006/relationships/hyperlink" Target="https://expa.aiesec.org/opportunities/1289536" TargetMode="External"/><Relationship Id="rId83" Type="http://schemas.openxmlformats.org/officeDocument/2006/relationships/hyperlink" Target="https://expa.aiesec.org/opportunities/1289255" TargetMode="External"/><Relationship Id="rId86" Type="http://schemas.openxmlformats.org/officeDocument/2006/relationships/hyperlink" Target="https://expa.aiesec.org/opportunities/1290282" TargetMode="External"/><Relationship Id="rId85" Type="http://schemas.openxmlformats.org/officeDocument/2006/relationships/hyperlink" Target="https://expa.aiesec.org/opportunities/1289536" TargetMode="External"/><Relationship Id="rId88" Type="http://schemas.openxmlformats.org/officeDocument/2006/relationships/hyperlink" Target="https://expa.aiesec.org/opportunities/1286585" TargetMode="External"/><Relationship Id="rId87" Type="http://schemas.openxmlformats.org/officeDocument/2006/relationships/hyperlink" Target="https://expa.aiesec.org/opportunities/1290282" TargetMode="External"/><Relationship Id="rId89" Type="http://schemas.openxmlformats.org/officeDocument/2006/relationships/hyperlink" Target="https://expa.aiesec.org/opportunities/1289255" TargetMode="External"/><Relationship Id="rId80" Type="http://schemas.openxmlformats.org/officeDocument/2006/relationships/hyperlink" Target="https://expa.aiesec.org/opportunities/1293112" TargetMode="External"/><Relationship Id="rId82" Type="http://schemas.openxmlformats.org/officeDocument/2006/relationships/hyperlink" Target="https://expa.aiesec.org/opportunities/1289536" TargetMode="External"/><Relationship Id="rId81" Type="http://schemas.openxmlformats.org/officeDocument/2006/relationships/hyperlink" Target="https://expa.aiesec.org/opportunities/1289936" TargetMode="External"/><Relationship Id="rId73" Type="http://schemas.openxmlformats.org/officeDocument/2006/relationships/hyperlink" Target="https://expa.aiesec.org/opportunities/1290282" TargetMode="External"/><Relationship Id="rId72" Type="http://schemas.openxmlformats.org/officeDocument/2006/relationships/hyperlink" Target="https://expa.aiesec.org/opportunities/1293464" TargetMode="External"/><Relationship Id="rId75" Type="http://schemas.openxmlformats.org/officeDocument/2006/relationships/hyperlink" Target="https://expa.aiesec.org/opportunities/1281235" TargetMode="External"/><Relationship Id="rId74" Type="http://schemas.openxmlformats.org/officeDocument/2006/relationships/hyperlink" Target="https://expa.aiesec.org/opportunities/1293125" TargetMode="External"/><Relationship Id="rId77" Type="http://schemas.openxmlformats.org/officeDocument/2006/relationships/hyperlink" Target="https://expa.aiesec.org/opportunities/1285010" TargetMode="External"/><Relationship Id="rId76" Type="http://schemas.openxmlformats.org/officeDocument/2006/relationships/hyperlink" Target="https://expa.aiesec.org/opportunities/1285555" TargetMode="External"/><Relationship Id="rId79" Type="http://schemas.openxmlformats.org/officeDocument/2006/relationships/hyperlink" Target="https://expa.aiesec.org/opportunities/1291067" TargetMode="External"/><Relationship Id="rId78" Type="http://schemas.openxmlformats.org/officeDocument/2006/relationships/hyperlink" Target="https://expa.aiesec.org/opportunities/1290282" TargetMode="External"/><Relationship Id="rId71" Type="http://schemas.openxmlformats.org/officeDocument/2006/relationships/hyperlink" Target="https://expa.aiesec.org/opportunities/1288843" TargetMode="External"/><Relationship Id="rId70" Type="http://schemas.openxmlformats.org/officeDocument/2006/relationships/hyperlink" Target="https://expa.aiesec.org/opportunities/1289536" TargetMode="External"/><Relationship Id="rId62" Type="http://schemas.openxmlformats.org/officeDocument/2006/relationships/hyperlink" Target="https://expa.aiesec.org/opportunities/1289255" TargetMode="External"/><Relationship Id="rId61" Type="http://schemas.openxmlformats.org/officeDocument/2006/relationships/hyperlink" Target="https://expa.aiesec.org/opportunities/1289213" TargetMode="External"/><Relationship Id="rId64" Type="http://schemas.openxmlformats.org/officeDocument/2006/relationships/hyperlink" Target="https://expa.aiesec.org/opportunities/1285687" TargetMode="External"/><Relationship Id="rId63" Type="http://schemas.openxmlformats.org/officeDocument/2006/relationships/hyperlink" Target="https://expa.aiesec.org/opportunities/1290759" TargetMode="External"/><Relationship Id="rId66" Type="http://schemas.openxmlformats.org/officeDocument/2006/relationships/hyperlink" Target="https://expa.aiesec.org/opportunities/1289536" TargetMode="External"/><Relationship Id="rId65" Type="http://schemas.openxmlformats.org/officeDocument/2006/relationships/hyperlink" Target="https://expa.aiesec.org/opportunities/1281235" TargetMode="External"/><Relationship Id="rId68" Type="http://schemas.openxmlformats.org/officeDocument/2006/relationships/hyperlink" Target="https://expa.aiesec.org/opportunities/1293298" TargetMode="External"/><Relationship Id="rId67" Type="http://schemas.openxmlformats.org/officeDocument/2006/relationships/hyperlink" Target="https://expa.aiesec.org/opportunities/1291168" TargetMode="External"/><Relationship Id="rId60" Type="http://schemas.openxmlformats.org/officeDocument/2006/relationships/hyperlink" Target="https://expa.aiesec.org/opportunities/1291167" TargetMode="External"/><Relationship Id="rId69" Type="http://schemas.openxmlformats.org/officeDocument/2006/relationships/hyperlink" Target="https://expa.aiesec.org/opportunities/1293312" TargetMode="External"/><Relationship Id="rId51" Type="http://schemas.openxmlformats.org/officeDocument/2006/relationships/hyperlink" Target="https://expa.aiesec.org/opportunities/1286339" TargetMode="External"/><Relationship Id="rId50" Type="http://schemas.openxmlformats.org/officeDocument/2006/relationships/hyperlink" Target="https://expa.aiesec.org/opportunities/1272564" TargetMode="External"/><Relationship Id="rId53" Type="http://schemas.openxmlformats.org/officeDocument/2006/relationships/hyperlink" Target="https://expa.aiesec.org/opportunities/1292549" TargetMode="External"/><Relationship Id="rId52" Type="http://schemas.openxmlformats.org/officeDocument/2006/relationships/hyperlink" Target="https://expa.aiesec.org/opportunities/1288611" TargetMode="External"/><Relationship Id="rId55" Type="http://schemas.openxmlformats.org/officeDocument/2006/relationships/hyperlink" Target="https://expa.aiesec.org/opportunities/1291369" TargetMode="External"/><Relationship Id="rId54" Type="http://schemas.openxmlformats.org/officeDocument/2006/relationships/hyperlink" Target="https://expa.aiesec.org/opportunities/1288611" TargetMode="External"/><Relationship Id="rId57" Type="http://schemas.openxmlformats.org/officeDocument/2006/relationships/hyperlink" Target="https://expa.aiesec.org/opportunities/1290282" TargetMode="External"/><Relationship Id="rId56" Type="http://schemas.openxmlformats.org/officeDocument/2006/relationships/hyperlink" Target="https://expa.aiesec.org/opportunities/1272564" TargetMode="External"/><Relationship Id="rId59" Type="http://schemas.openxmlformats.org/officeDocument/2006/relationships/hyperlink" Target="https://expa.aiesec.org/opportunities/1290760" TargetMode="External"/><Relationship Id="rId58" Type="http://schemas.openxmlformats.org/officeDocument/2006/relationships/hyperlink" Target="https://expa.aiesec.org/opportunities/1290282" TargetMode="External"/><Relationship Id="rId349" Type="http://schemas.openxmlformats.org/officeDocument/2006/relationships/hyperlink" Target="https://expa.aiesec.org/opportunities/1281345" TargetMode="External"/><Relationship Id="rId348" Type="http://schemas.openxmlformats.org/officeDocument/2006/relationships/hyperlink" Target="https://expa.aiesec.org/opportunities/1298284" TargetMode="External"/><Relationship Id="rId347" Type="http://schemas.openxmlformats.org/officeDocument/2006/relationships/hyperlink" Target="https://expa.aiesec.org/opportunities/1298284" TargetMode="External"/><Relationship Id="rId346" Type="http://schemas.openxmlformats.org/officeDocument/2006/relationships/hyperlink" Target="https://expa.aiesec.org/opportunities/1281345" TargetMode="External"/><Relationship Id="rId341" Type="http://schemas.openxmlformats.org/officeDocument/2006/relationships/hyperlink" Target="https://expa.aiesec.org/opportunities/1289536" TargetMode="External"/><Relationship Id="rId340" Type="http://schemas.openxmlformats.org/officeDocument/2006/relationships/hyperlink" Target="https://expa.aiesec.org/opportunities/1300058" TargetMode="External"/><Relationship Id="rId345" Type="http://schemas.openxmlformats.org/officeDocument/2006/relationships/hyperlink" Target="https://expa.aiesec.org/opportunities/1289536" TargetMode="External"/><Relationship Id="rId344" Type="http://schemas.openxmlformats.org/officeDocument/2006/relationships/hyperlink" Target="https://expa.aiesec.org/opportunities/1298284" TargetMode="External"/><Relationship Id="rId343" Type="http://schemas.openxmlformats.org/officeDocument/2006/relationships/hyperlink" Target="https://expa.aiesec.org/opportunities/1300050" TargetMode="External"/><Relationship Id="rId342" Type="http://schemas.openxmlformats.org/officeDocument/2006/relationships/hyperlink" Target="https://expa.aiesec.org/opportunities/1289536" TargetMode="External"/><Relationship Id="rId338" Type="http://schemas.openxmlformats.org/officeDocument/2006/relationships/hyperlink" Target="https://expa.aiesec.org/opportunities/1298284" TargetMode="External"/><Relationship Id="rId337" Type="http://schemas.openxmlformats.org/officeDocument/2006/relationships/hyperlink" Target="https://expa.aiesec.org/opportunities/1287966" TargetMode="External"/><Relationship Id="rId336" Type="http://schemas.openxmlformats.org/officeDocument/2006/relationships/hyperlink" Target="https://expa.aiesec.org/opportunities/1298053" TargetMode="External"/><Relationship Id="rId335" Type="http://schemas.openxmlformats.org/officeDocument/2006/relationships/hyperlink" Target="https://expa.aiesec.org/opportunities/1293417" TargetMode="External"/><Relationship Id="rId339" Type="http://schemas.openxmlformats.org/officeDocument/2006/relationships/hyperlink" Target="https://expa.aiesec.org/opportunities/1294063" TargetMode="External"/><Relationship Id="rId330" Type="http://schemas.openxmlformats.org/officeDocument/2006/relationships/hyperlink" Target="https://expa.aiesec.org/opportunities/1289339" TargetMode="External"/><Relationship Id="rId334" Type="http://schemas.openxmlformats.org/officeDocument/2006/relationships/hyperlink" Target="https://expa.aiesec.org/opportunities/1289536" TargetMode="External"/><Relationship Id="rId333" Type="http://schemas.openxmlformats.org/officeDocument/2006/relationships/hyperlink" Target="https://expa.aiesec.org/opportunities/1289536" TargetMode="External"/><Relationship Id="rId332" Type="http://schemas.openxmlformats.org/officeDocument/2006/relationships/hyperlink" Target="https://expa.aiesec.org/opportunities/1289536" TargetMode="External"/><Relationship Id="rId331" Type="http://schemas.openxmlformats.org/officeDocument/2006/relationships/hyperlink" Target="https://expa.aiesec.org/opportunities/1289536" TargetMode="External"/><Relationship Id="rId370" Type="http://schemas.openxmlformats.org/officeDocument/2006/relationships/hyperlink" Target="https://expa.aiesec.org/opportunities/1297178" TargetMode="External"/><Relationship Id="rId369" Type="http://schemas.openxmlformats.org/officeDocument/2006/relationships/hyperlink" Target="https://expa.aiesec.org/opportunities/1297178" TargetMode="External"/><Relationship Id="rId368" Type="http://schemas.openxmlformats.org/officeDocument/2006/relationships/hyperlink" Target="https://expa.aiesec.org/opportunities/1284670" TargetMode="External"/><Relationship Id="rId363" Type="http://schemas.openxmlformats.org/officeDocument/2006/relationships/hyperlink" Target="https://expa.aiesec.org/opportunities/1299919" TargetMode="External"/><Relationship Id="rId362" Type="http://schemas.openxmlformats.org/officeDocument/2006/relationships/hyperlink" Target="https://expa.aiesec.org/opportunities/1289536" TargetMode="External"/><Relationship Id="rId361" Type="http://schemas.openxmlformats.org/officeDocument/2006/relationships/hyperlink" Target="https://expa.aiesec.org/opportunities/1298284" TargetMode="External"/><Relationship Id="rId360" Type="http://schemas.openxmlformats.org/officeDocument/2006/relationships/hyperlink" Target="https://expa.aiesec.org/opportunities/1272564" TargetMode="External"/><Relationship Id="rId367" Type="http://schemas.openxmlformats.org/officeDocument/2006/relationships/hyperlink" Target="https://expa.aiesec.org/opportunities/1289850" TargetMode="External"/><Relationship Id="rId366" Type="http://schemas.openxmlformats.org/officeDocument/2006/relationships/hyperlink" Target="https://expa.aiesec.org/opportunities/1299656" TargetMode="External"/><Relationship Id="rId365" Type="http://schemas.openxmlformats.org/officeDocument/2006/relationships/hyperlink" Target="https://expa.aiesec.org/opportunities/1299422" TargetMode="External"/><Relationship Id="rId364" Type="http://schemas.openxmlformats.org/officeDocument/2006/relationships/hyperlink" Target="https://expa.aiesec.org/opportunities/1295253" TargetMode="External"/><Relationship Id="rId95" Type="http://schemas.openxmlformats.org/officeDocument/2006/relationships/hyperlink" Target="https://expa.aiesec.org/opportunities/1293417" TargetMode="External"/><Relationship Id="rId94" Type="http://schemas.openxmlformats.org/officeDocument/2006/relationships/hyperlink" Target="https://expa.aiesec.org/opportunities/1291391" TargetMode="External"/><Relationship Id="rId97" Type="http://schemas.openxmlformats.org/officeDocument/2006/relationships/hyperlink" Target="https://expa.aiesec.org/opportunities/1290282" TargetMode="External"/><Relationship Id="rId96" Type="http://schemas.openxmlformats.org/officeDocument/2006/relationships/hyperlink" Target="https://expa.aiesec.org/opportunities/1285687" TargetMode="External"/><Relationship Id="rId99" Type="http://schemas.openxmlformats.org/officeDocument/2006/relationships/hyperlink" Target="https://expa.aiesec.org/opportunities/1292571" TargetMode="External"/><Relationship Id="rId98" Type="http://schemas.openxmlformats.org/officeDocument/2006/relationships/hyperlink" Target="https://expa.aiesec.org/opportunities/1289829" TargetMode="External"/><Relationship Id="rId91" Type="http://schemas.openxmlformats.org/officeDocument/2006/relationships/hyperlink" Target="https://expa.aiesec.org/opportunities/1289255" TargetMode="External"/><Relationship Id="rId90" Type="http://schemas.openxmlformats.org/officeDocument/2006/relationships/hyperlink" Target="https://expa.aiesec.org/opportunities/1289536" TargetMode="External"/><Relationship Id="rId93" Type="http://schemas.openxmlformats.org/officeDocument/2006/relationships/hyperlink" Target="https://expa.aiesec.org/opportunities/1292158" TargetMode="External"/><Relationship Id="rId92" Type="http://schemas.openxmlformats.org/officeDocument/2006/relationships/hyperlink" Target="https://expa.aiesec.org/opportunities/1293417" TargetMode="External"/><Relationship Id="rId359" Type="http://schemas.openxmlformats.org/officeDocument/2006/relationships/hyperlink" Target="https://expa.aiesec.org/opportunities/1298284" TargetMode="External"/><Relationship Id="rId358" Type="http://schemas.openxmlformats.org/officeDocument/2006/relationships/hyperlink" Target="https://expa.aiesec.org/opportunities/1289307" TargetMode="External"/><Relationship Id="rId357" Type="http://schemas.openxmlformats.org/officeDocument/2006/relationships/hyperlink" Target="https://expa.aiesec.org/opportunities/1298284" TargetMode="External"/><Relationship Id="rId352" Type="http://schemas.openxmlformats.org/officeDocument/2006/relationships/hyperlink" Target="https://expa.aiesec.org/opportunities/1298053" TargetMode="External"/><Relationship Id="rId351" Type="http://schemas.openxmlformats.org/officeDocument/2006/relationships/hyperlink" Target="https://expa.aiesec.org/opportunities/1289377" TargetMode="External"/><Relationship Id="rId350" Type="http://schemas.openxmlformats.org/officeDocument/2006/relationships/hyperlink" Target="https://expa.aiesec.org/opportunities/1289536" TargetMode="External"/><Relationship Id="rId356" Type="http://schemas.openxmlformats.org/officeDocument/2006/relationships/hyperlink" Target="https://expa.aiesec.org/opportunities/1285687" TargetMode="External"/><Relationship Id="rId355" Type="http://schemas.openxmlformats.org/officeDocument/2006/relationships/hyperlink" Target="https://expa.aiesec.org/opportunities/1289378" TargetMode="External"/><Relationship Id="rId354" Type="http://schemas.openxmlformats.org/officeDocument/2006/relationships/hyperlink" Target="https://expa.aiesec.org/opportunities/1289536" TargetMode="External"/><Relationship Id="rId353" Type="http://schemas.openxmlformats.org/officeDocument/2006/relationships/hyperlink" Target="https://expa.aiesec.org/opportunities/1289536" TargetMode="External"/><Relationship Id="rId305" Type="http://schemas.openxmlformats.org/officeDocument/2006/relationships/hyperlink" Target="https://expa.aiesec.org/opportunities/1287966" TargetMode="External"/><Relationship Id="rId304" Type="http://schemas.openxmlformats.org/officeDocument/2006/relationships/hyperlink" Target="https://expa.aiesec.org/opportunities/1287966" TargetMode="External"/><Relationship Id="rId303" Type="http://schemas.openxmlformats.org/officeDocument/2006/relationships/hyperlink" Target="https://expa.aiesec.org/opportunities/1285690" TargetMode="External"/><Relationship Id="rId302" Type="http://schemas.openxmlformats.org/officeDocument/2006/relationships/hyperlink" Target="https://expa.aiesec.org/opportunities/1298373" TargetMode="External"/><Relationship Id="rId309" Type="http://schemas.openxmlformats.org/officeDocument/2006/relationships/hyperlink" Target="https://expa.aiesec.org/opportunities/1272564" TargetMode="External"/><Relationship Id="rId308" Type="http://schemas.openxmlformats.org/officeDocument/2006/relationships/hyperlink" Target="https://expa.aiesec.org/opportunities/1289536" TargetMode="External"/><Relationship Id="rId307" Type="http://schemas.openxmlformats.org/officeDocument/2006/relationships/hyperlink" Target="https://expa.aiesec.org/opportunities/1299359" TargetMode="External"/><Relationship Id="rId306" Type="http://schemas.openxmlformats.org/officeDocument/2006/relationships/hyperlink" Target="https://expa.aiesec.org/opportunities/1289255" TargetMode="External"/><Relationship Id="rId301" Type="http://schemas.openxmlformats.org/officeDocument/2006/relationships/hyperlink" Target="https://expa.aiesec.org/opportunities/1289536" TargetMode="External"/><Relationship Id="rId300" Type="http://schemas.openxmlformats.org/officeDocument/2006/relationships/hyperlink" Target="https://expa.aiesec.org/opportunities/1289378" TargetMode="External"/><Relationship Id="rId327" Type="http://schemas.openxmlformats.org/officeDocument/2006/relationships/hyperlink" Target="https://expa.aiesec.org/opportunities/1272564" TargetMode="External"/><Relationship Id="rId326" Type="http://schemas.openxmlformats.org/officeDocument/2006/relationships/hyperlink" Target="https://expa.aiesec.org/opportunities/1299393" TargetMode="External"/><Relationship Id="rId325" Type="http://schemas.openxmlformats.org/officeDocument/2006/relationships/hyperlink" Target="https://expa.aiesec.org/opportunities/1298284" TargetMode="External"/><Relationship Id="rId324" Type="http://schemas.openxmlformats.org/officeDocument/2006/relationships/hyperlink" Target="https://expa.aiesec.org/opportunities/1272564" TargetMode="External"/><Relationship Id="rId329" Type="http://schemas.openxmlformats.org/officeDocument/2006/relationships/hyperlink" Target="https://expa.aiesec.org/opportunities/1298766" TargetMode="External"/><Relationship Id="rId328" Type="http://schemas.openxmlformats.org/officeDocument/2006/relationships/hyperlink" Target="https://expa.aiesec.org/opportunities/1291783" TargetMode="External"/><Relationship Id="rId323" Type="http://schemas.openxmlformats.org/officeDocument/2006/relationships/hyperlink" Target="https://expa.aiesec.org/opportunities/1272564" TargetMode="External"/><Relationship Id="rId322" Type="http://schemas.openxmlformats.org/officeDocument/2006/relationships/hyperlink" Target="https://expa.aiesec.org/opportunities/1289536" TargetMode="External"/><Relationship Id="rId321" Type="http://schemas.openxmlformats.org/officeDocument/2006/relationships/hyperlink" Target="https://expa.aiesec.org/opportunities/1298282" TargetMode="External"/><Relationship Id="rId320" Type="http://schemas.openxmlformats.org/officeDocument/2006/relationships/hyperlink" Target="https://expa.aiesec.org/opportunities/1299131" TargetMode="External"/><Relationship Id="rId316" Type="http://schemas.openxmlformats.org/officeDocument/2006/relationships/hyperlink" Target="https://expa.aiesec.org/opportunities/1289378" TargetMode="External"/><Relationship Id="rId315" Type="http://schemas.openxmlformats.org/officeDocument/2006/relationships/hyperlink" Target="https://expa.aiesec.org/opportunities/1298284" TargetMode="External"/><Relationship Id="rId314" Type="http://schemas.openxmlformats.org/officeDocument/2006/relationships/hyperlink" Target="https://expa.aiesec.org/opportunities/1272564" TargetMode="External"/><Relationship Id="rId313" Type="http://schemas.openxmlformats.org/officeDocument/2006/relationships/hyperlink" Target="https://expa.aiesec.org/opportunities/1298864" TargetMode="External"/><Relationship Id="rId319" Type="http://schemas.openxmlformats.org/officeDocument/2006/relationships/hyperlink" Target="https://expa.aiesec.org/opportunities/1298284" TargetMode="External"/><Relationship Id="rId318" Type="http://schemas.openxmlformats.org/officeDocument/2006/relationships/hyperlink" Target="https://expa.aiesec.org/opportunities/1272564" TargetMode="External"/><Relationship Id="rId317" Type="http://schemas.openxmlformats.org/officeDocument/2006/relationships/hyperlink" Target="https://expa.aiesec.org/opportunities/1289850" TargetMode="External"/><Relationship Id="rId312" Type="http://schemas.openxmlformats.org/officeDocument/2006/relationships/hyperlink" Target="https://expa.aiesec.org/opportunities/1298368" TargetMode="External"/><Relationship Id="rId311" Type="http://schemas.openxmlformats.org/officeDocument/2006/relationships/hyperlink" Target="https://expa.aiesec.org/opportunities/1289536" TargetMode="External"/><Relationship Id="rId310" Type="http://schemas.openxmlformats.org/officeDocument/2006/relationships/hyperlink" Target="https://expa.aiesec.org/opportunities/1272564" TargetMode="External"/><Relationship Id="rId297" Type="http://schemas.openxmlformats.org/officeDocument/2006/relationships/hyperlink" Target="https://expa.aiesec.org/opportunities/1289536" TargetMode="External"/><Relationship Id="rId296" Type="http://schemas.openxmlformats.org/officeDocument/2006/relationships/hyperlink" Target="https://expa.aiesec.org/opportunities/1289536" TargetMode="External"/><Relationship Id="rId295" Type="http://schemas.openxmlformats.org/officeDocument/2006/relationships/hyperlink" Target="https://expa.aiesec.org/opportunities/1295120" TargetMode="External"/><Relationship Id="rId294" Type="http://schemas.openxmlformats.org/officeDocument/2006/relationships/hyperlink" Target="https://expa.aiesec.org/opportunities/1289378" TargetMode="External"/><Relationship Id="rId299" Type="http://schemas.openxmlformats.org/officeDocument/2006/relationships/hyperlink" Target="https://expa.aiesec.org/opportunities/1295081" TargetMode="External"/><Relationship Id="rId298" Type="http://schemas.openxmlformats.org/officeDocument/2006/relationships/hyperlink" Target="https://expa.aiesec.org/opportunities/1291783" TargetMode="External"/><Relationship Id="rId271" Type="http://schemas.openxmlformats.org/officeDocument/2006/relationships/hyperlink" Target="https://expa.aiesec.org/opportunities/1294137" TargetMode="External"/><Relationship Id="rId270" Type="http://schemas.openxmlformats.org/officeDocument/2006/relationships/hyperlink" Target="https://expa.aiesec.org/opportunities/1295811" TargetMode="External"/><Relationship Id="rId269" Type="http://schemas.openxmlformats.org/officeDocument/2006/relationships/hyperlink" Target="https://expa.aiesec.org/opportunities/1295363" TargetMode="External"/><Relationship Id="rId264" Type="http://schemas.openxmlformats.org/officeDocument/2006/relationships/hyperlink" Target="https://expa.aiesec.org/opportunities/1294209" TargetMode="External"/><Relationship Id="rId263" Type="http://schemas.openxmlformats.org/officeDocument/2006/relationships/hyperlink" Target="https://expa.aiesec.org/opportunities/1294209" TargetMode="External"/><Relationship Id="rId262" Type="http://schemas.openxmlformats.org/officeDocument/2006/relationships/hyperlink" Target="https://expa.aiesec.org/opportunities/1295311" TargetMode="External"/><Relationship Id="rId261" Type="http://schemas.openxmlformats.org/officeDocument/2006/relationships/hyperlink" Target="https://expa.aiesec.org/opportunities/1292709" TargetMode="External"/><Relationship Id="rId268" Type="http://schemas.openxmlformats.org/officeDocument/2006/relationships/hyperlink" Target="https://expa.aiesec.org/opportunities/1288393" TargetMode="External"/><Relationship Id="rId267" Type="http://schemas.openxmlformats.org/officeDocument/2006/relationships/hyperlink" Target="https://expa.aiesec.org/opportunities/1289536" TargetMode="External"/><Relationship Id="rId266" Type="http://schemas.openxmlformats.org/officeDocument/2006/relationships/hyperlink" Target="https://expa.aiesec.org/opportunities/1294537" TargetMode="External"/><Relationship Id="rId265" Type="http://schemas.openxmlformats.org/officeDocument/2006/relationships/hyperlink" Target="https://expa.aiesec.org/opportunities/1295728" TargetMode="External"/><Relationship Id="rId260" Type="http://schemas.openxmlformats.org/officeDocument/2006/relationships/hyperlink" Target="https://expa.aiesec.org/opportunities/1291702" TargetMode="External"/><Relationship Id="rId259" Type="http://schemas.openxmlformats.org/officeDocument/2006/relationships/hyperlink" Target="https://expa.aiesec.org/opportunities/1289255" TargetMode="External"/><Relationship Id="rId258" Type="http://schemas.openxmlformats.org/officeDocument/2006/relationships/hyperlink" Target="https://expa.aiesec.org/opportunities/1289255" TargetMode="External"/><Relationship Id="rId253" Type="http://schemas.openxmlformats.org/officeDocument/2006/relationships/hyperlink" Target="https://expa.aiesec.org/opportunities/1289378" TargetMode="External"/><Relationship Id="rId252" Type="http://schemas.openxmlformats.org/officeDocument/2006/relationships/hyperlink" Target="https://expa.aiesec.org/opportunities/1296060" TargetMode="External"/><Relationship Id="rId251" Type="http://schemas.openxmlformats.org/officeDocument/2006/relationships/hyperlink" Target="https://expa.aiesec.org/opportunities/1288611" TargetMode="External"/><Relationship Id="rId250" Type="http://schemas.openxmlformats.org/officeDocument/2006/relationships/hyperlink" Target="https://expa.aiesec.org/opportunities/1289307" TargetMode="External"/><Relationship Id="rId257" Type="http://schemas.openxmlformats.org/officeDocument/2006/relationships/hyperlink" Target="https://expa.aiesec.org/opportunities/1289307" TargetMode="External"/><Relationship Id="rId256" Type="http://schemas.openxmlformats.org/officeDocument/2006/relationships/hyperlink" Target="https://expa.aiesec.org/opportunities/1284670" TargetMode="External"/><Relationship Id="rId255" Type="http://schemas.openxmlformats.org/officeDocument/2006/relationships/hyperlink" Target="https://expa.aiesec.org/opportunities/1294487" TargetMode="External"/><Relationship Id="rId254" Type="http://schemas.openxmlformats.org/officeDocument/2006/relationships/hyperlink" Target="https://expa.aiesec.org/opportunities/1295232" TargetMode="External"/><Relationship Id="rId293" Type="http://schemas.openxmlformats.org/officeDocument/2006/relationships/hyperlink" Target="https://expa.aiesec.org/opportunities/1289255" TargetMode="External"/><Relationship Id="rId292" Type="http://schemas.openxmlformats.org/officeDocument/2006/relationships/hyperlink" Target="https://expa.aiesec.org/opportunities/1291068" TargetMode="External"/><Relationship Id="rId291" Type="http://schemas.openxmlformats.org/officeDocument/2006/relationships/hyperlink" Target="https://expa.aiesec.org/opportunities/1289772" TargetMode="External"/><Relationship Id="rId290" Type="http://schemas.openxmlformats.org/officeDocument/2006/relationships/hyperlink" Target="https://expa.aiesec.org/opportunities/1272564" TargetMode="External"/><Relationship Id="rId286" Type="http://schemas.openxmlformats.org/officeDocument/2006/relationships/hyperlink" Target="https://expa.aiesec.org/opportunities/1295303" TargetMode="External"/><Relationship Id="rId285" Type="http://schemas.openxmlformats.org/officeDocument/2006/relationships/hyperlink" Target="https://expa.aiesec.org/opportunities/1291068" TargetMode="External"/><Relationship Id="rId284" Type="http://schemas.openxmlformats.org/officeDocument/2006/relationships/hyperlink" Target="https://expa.aiesec.org/opportunities/1289307" TargetMode="External"/><Relationship Id="rId283" Type="http://schemas.openxmlformats.org/officeDocument/2006/relationships/hyperlink" Target="https://expa.aiesec.org/opportunities/1288393" TargetMode="External"/><Relationship Id="rId289" Type="http://schemas.openxmlformats.org/officeDocument/2006/relationships/hyperlink" Target="https://expa.aiesec.org/opportunities/1295102" TargetMode="External"/><Relationship Id="rId288" Type="http://schemas.openxmlformats.org/officeDocument/2006/relationships/hyperlink" Target="https://expa.aiesec.org/opportunities/1289339" TargetMode="External"/><Relationship Id="rId287" Type="http://schemas.openxmlformats.org/officeDocument/2006/relationships/hyperlink" Target="https://expa.aiesec.org/opportunities/1294151" TargetMode="External"/><Relationship Id="rId282" Type="http://schemas.openxmlformats.org/officeDocument/2006/relationships/hyperlink" Target="https://expa.aiesec.org/opportunities/1289255" TargetMode="External"/><Relationship Id="rId281" Type="http://schemas.openxmlformats.org/officeDocument/2006/relationships/hyperlink" Target="https://expa.aiesec.org/opportunities/1294209" TargetMode="External"/><Relationship Id="rId280" Type="http://schemas.openxmlformats.org/officeDocument/2006/relationships/hyperlink" Target="https://expa.aiesec.org/opportunities/1295247" TargetMode="External"/><Relationship Id="rId275" Type="http://schemas.openxmlformats.org/officeDocument/2006/relationships/hyperlink" Target="https://expa.aiesec.org/opportunities/1296266" TargetMode="External"/><Relationship Id="rId274" Type="http://schemas.openxmlformats.org/officeDocument/2006/relationships/hyperlink" Target="https://expa.aiesec.org/opportunities/1296851" TargetMode="External"/><Relationship Id="rId273" Type="http://schemas.openxmlformats.org/officeDocument/2006/relationships/hyperlink" Target="https://expa.aiesec.org/opportunities/1293735" TargetMode="External"/><Relationship Id="rId272" Type="http://schemas.openxmlformats.org/officeDocument/2006/relationships/hyperlink" Target="https://expa.aiesec.org/opportunities/1285555" TargetMode="External"/><Relationship Id="rId279" Type="http://schemas.openxmlformats.org/officeDocument/2006/relationships/hyperlink" Target="https://expa.aiesec.org/opportunities/1295303" TargetMode="External"/><Relationship Id="rId278" Type="http://schemas.openxmlformats.org/officeDocument/2006/relationships/hyperlink" Target="https://expa.aiesec.org/opportunities/1291679" TargetMode="External"/><Relationship Id="rId277" Type="http://schemas.openxmlformats.org/officeDocument/2006/relationships/hyperlink" Target="https://expa.aiesec.org/opportunities/1289536" TargetMode="External"/><Relationship Id="rId276" Type="http://schemas.openxmlformats.org/officeDocument/2006/relationships/hyperlink" Target="https://expa.aiesec.org/opportunities/1288393" TargetMode="External"/><Relationship Id="rId228" Type="http://schemas.openxmlformats.org/officeDocument/2006/relationships/hyperlink" Target="https://expa.aiesec.org/opportunities/1293477" TargetMode="External"/><Relationship Id="rId227" Type="http://schemas.openxmlformats.org/officeDocument/2006/relationships/hyperlink" Target="https://expa.aiesec.org/opportunities/1292571" TargetMode="External"/><Relationship Id="rId226" Type="http://schemas.openxmlformats.org/officeDocument/2006/relationships/hyperlink" Target="https://expa.aiesec.org/opportunities/1285687" TargetMode="External"/><Relationship Id="rId225" Type="http://schemas.openxmlformats.org/officeDocument/2006/relationships/hyperlink" Target="https://expa.aiesec.org/opportunities/1291572" TargetMode="External"/><Relationship Id="rId229" Type="http://schemas.openxmlformats.org/officeDocument/2006/relationships/hyperlink" Target="https://expa.aiesec.org/opportunities/1295811" TargetMode="External"/><Relationship Id="rId220" Type="http://schemas.openxmlformats.org/officeDocument/2006/relationships/hyperlink" Target="https://expa.aiesec.org/opportunities/1294209" TargetMode="External"/><Relationship Id="rId224" Type="http://schemas.openxmlformats.org/officeDocument/2006/relationships/hyperlink" Target="https://expa.aiesec.org/opportunities/1295406" TargetMode="External"/><Relationship Id="rId223" Type="http://schemas.openxmlformats.org/officeDocument/2006/relationships/hyperlink" Target="https://expa.aiesec.org/opportunities/1291413" TargetMode="External"/><Relationship Id="rId222" Type="http://schemas.openxmlformats.org/officeDocument/2006/relationships/hyperlink" Target="https://expa.aiesec.org/opportunities/1294624" TargetMode="External"/><Relationship Id="rId221" Type="http://schemas.openxmlformats.org/officeDocument/2006/relationships/hyperlink" Target="https://expa.aiesec.org/opportunities/1285687" TargetMode="External"/><Relationship Id="rId217" Type="http://schemas.openxmlformats.org/officeDocument/2006/relationships/hyperlink" Target="https://expa.aiesec.org/opportunities/1295563" TargetMode="External"/><Relationship Id="rId216" Type="http://schemas.openxmlformats.org/officeDocument/2006/relationships/hyperlink" Target="https://expa.aiesec.org/opportunities/1289307" TargetMode="External"/><Relationship Id="rId215" Type="http://schemas.openxmlformats.org/officeDocument/2006/relationships/hyperlink" Target="https://expa.aiesec.org/opportunities/1284670" TargetMode="External"/><Relationship Id="rId214" Type="http://schemas.openxmlformats.org/officeDocument/2006/relationships/hyperlink" Target="https://expa.aiesec.org/opportunities/1289536" TargetMode="External"/><Relationship Id="rId219" Type="http://schemas.openxmlformats.org/officeDocument/2006/relationships/hyperlink" Target="https://expa.aiesec.org/opportunities/1290924" TargetMode="External"/><Relationship Id="rId218" Type="http://schemas.openxmlformats.org/officeDocument/2006/relationships/hyperlink" Target="https://expa.aiesec.org/opportunities/1294209" TargetMode="External"/><Relationship Id="rId213" Type="http://schemas.openxmlformats.org/officeDocument/2006/relationships/hyperlink" Target="https://expa.aiesec.org/opportunities/1294063" TargetMode="External"/><Relationship Id="rId212" Type="http://schemas.openxmlformats.org/officeDocument/2006/relationships/hyperlink" Target="https://expa.aiesec.org/opportunities/1293417" TargetMode="External"/><Relationship Id="rId211" Type="http://schemas.openxmlformats.org/officeDocument/2006/relationships/hyperlink" Target="https://expa.aiesec.org/opportunities/1295102" TargetMode="External"/><Relationship Id="rId210" Type="http://schemas.openxmlformats.org/officeDocument/2006/relationships/hyperlink" Target="https://expa.aiesec.org/opportunities/1272564" TargetMode="External"/><Relationship Id="rId249" Type="http://schemas.openxmlformats.org/officeDocument/2006/relationships/hyperlink" Target="https://expa.aiesec.org/opportunities/1293245" TargetMode="External"/><Relationship Id="rId248" Type="http://schemas.openxmlformats.org/officeDocument/2006/relationships/hyperlink" Target="https://expa.aiesec.org/opportunities/1293477" TargetMode="External"/><Relationship Id="rId247" Type="http://schemas.openxmlformats.org/officeDocument/2006/relationships/hyperlink" Target="https://expa.aiesec.org/opportunities/1294916" TargetMode="External"/><Relationship Id="rId242" Type="http://schemas.openxmlformats.org/officeDocument/2006/relationships/hyperlink" Target="https://expa.aiesec.org/opportunities/1296081" TargetMode="External"/><Relationship Id="rId241" Type="http://schemas.openxmlformats.org/officeDocument/2006/relationships/hyperlink" Target="https://expa.aiesec.org/opportunities/1289255" TargetMode="External"/><Relationship Id="rId240" Type="http://schemas.openxmlformats.org/officeDocument/2006/relationships/hyperlink" Target="https://expa.aiesec.org/opportunities/1289255" TargetMode="External"/><Relationship Id="rId246" Type="http://schemas.openxmlformats.org/officeDocument/2006/relationships/hyperlink" Target="https://expa.aiesec.org/opportunities/1295875" TargetMode="External"/><Relationship Id="rId245" Type="http://schemas.openxmlformats.org/officeDocument/2006/relationships/hyperlink" Target="https://expa.aiesec.org/opportunities/1285555" TargetMode="External"/><Relationship Id="rId244" Type="http://schemas.openxmlformats.org/officeDocument/2006/relationships/hyperlink" Target="https://expa.aiesec.org/opportunities/1289850" TargetMode="External"/><Relationship Id="rId243" Type="http://schemas.openxmlformats.org/officeDocument/2006/relationships/hyperlink" Target="https://expa.aiesec.org/opportunities/1293969" TargetMode="External"/><Relationship Id="rId239" Type="http://schemas.openxmlformats.org/officeDocument/2006/relationships/hyperlink" Target="https://expa.aiesec.org/opportunities/1295811" TargetMode="External"/><Relationship Id="rId238" Type="http://schemas.openxmlformats.org/officeDocument/2006/relationships/hyperlink" Target="https://expa.aiesec.org/opportunities/1289536" TargetMode="External"/><Relationship Id="rId237" Type="http://schemas.openxmlformats.org/officeDocument/2006/relationships/hyperlink" Target="https://expa.aiesec.org/opportunities/1285687" TargetMode="External"/><Relationship Id="rId236" Type="http://schemas.openxmlformats.org/officeDocument/2006/relationships/hyperlink" Target="https://expa.aiesec.org/opportunities/1296080" TargetMode="External"/><Relationship Id="rId231" Type="http://schemas.openxmlformats.org/officeDocument/2006/relationships/hyperlink" Target="https://expa.aiesec.org/opportunities/1294486" TargetMode="External"/><Relationship Id="rId230" Type="http://schemas.openxmlformats.org/officeDocument/2006/relationships/hyperlink" Target="https://expa.aiesec.org/opportunities/1294209" TargetMode="External"/><Relationship Id="rId235" Type="http://schemas.openxmlformats.org/officeDocument/2006/relationships/hyperlink" Target="https://expa.aiesec.org/opportunities/1293944" TargetMode="External"/><Relationship Id="rId234" Type="http://schemas.openxmlformats.org/officeDocument/2006/relationships/hyperlink" Target="https://expa.aiesec.org/opportunities/1285555" TargetMode="External"/><Relationship Id="rId233" Type="http://schemas.openxmlformats.org/officeDocument/2006/relationships/hyperlink" Target="https://expa.aiesec.org/opportunities/1285555" TargetMode="External"/><Relationship Id="rId232" Type="http://schemas.openxmlformats.org/officeDocument/2006/relationships/hyperlink" Target="https://expa.aiesec.org/opportunities/1296108" TargetMode="External"/><Relationship Id="rId206" Type="http://schemas.openxmlformats.org/officeDocument/2006/relationships/hyperlink" Target="https://expa.aiesec.org/opportunities/1290024" TargetMode="External"/><Relationship Id="rId205" Type="http://schemas.openxmlformats.org/officeDocument/2006/relationships/hyperlink" Target="https://expa.aiesec.org/opportunities/1293685" TargetMode="External"/><Relationship Id="rId204" Type="http://schemas.openxmlformats.org/officeDocument/2006/relationships/hyperlink" Target="https://expa.aiesec.org/opportunities/1286553" TargetMode="External"/><Relationship Id="rId203" Type="http://schemas.openxmlformats.org/officeDocument/2006/relationships/hyperlink" Target="https://expa.aiesec.org/opportunities/1285555" TargetMode="External"/><Relationship Id="rId209" Type="http://schemas.openxmlformats.org/officeDocument/2006/relationships/hyperlink" Target="https://expa.aiesec.org/opportunities/1289536" TargetMode="External"/><Relationship Id="rId208" Type="http://schemas.openxmlformats.org/officeDocument/2006/relationships/hyperlink" Target="https://expa.aiesec.org/opportunities/1284670" TargetMode="External"/><Relationship Id="rId207" Type="http://schemas.openxmlformats.org/officeDocument/2006/relationships/hyperlink" Target="https://expa.aiesec.org/opportunities/1295008" TargetMode="External"/><Relationship Id="rId202" Type="http://schemas.openxmlformats.org/officeDocument/2006/relationships/hyperlink" Target="https://expa.aiesec.org/opportunities/1272564" TargetMode="External"/><Relationship Id="rId201" Type="http://schemas.openxmlformats.org/officeDocument/2006/relationships/hyperlink" Target="https://expa.aiesec.org/opportunities/1284670" TargetMode="External"/><Relationship Id="rId200" Type="http://schemas.openxmlformats.org/officeDocument/2006/relationships/hyperlink" Target="https://expa.aiesec.org/opportunities/1294776" TargetMode="External"/><Relationship Id="rId1" Type="http://schemas.openxmlformats.org/officeDocument/2006/relationships/hyperlink" Target="https://expa.aiesec.org/opportunities/1281895" TargetMode="External"/><Relationship Id="rId2" Type="http://schemas.openxmlformats.org/officeDocument/2006/relationships/hyperlink" Target="https://expa.aiesec.org/opportunities/1290924" TargetMode="External"/><Relationship Id="rId3" Type="http://schemas.openxmlformats.org/officeDocument/2006/relationships/hyperlink" Target="https://expa.aiesec.org/opportunities/1290706" TargetMode="External"/><Relationship Id="rId4" Type="http://schemas.openxmlformats.org/officeDocument/2006/relationships/hyperlink" Target="https://expa.aiesec.org/opportunities/1291623" TargetMode="External"/><Relationship Id="rId9" Type="http://schemas.openxmlformats.org/officeDocument/2006/relationships/hyperlink" Target="https://expa.aiesec.org/opportunities/1285687" TargetMode="External"/><Relationship Id="rId5" Type="http://schemas.openxmlformats.org/officeDocument/2006/relationships/hyperlink" Target="https://expa.aiesec.org/opportunities/1290024" TargetMode="External"/><Relationship Id="rId6" Type="http://schemas.openxmlformats.org/officeDocument/2006/relationships/hyperlink" Target="https://expa.aiesec.org/opportunities/1291623" TargetMode="External"/><Relationship Id="rId7" Type="http://schemas.openxmlformats.org/officeDocument/2006/relationships/hyperlink" Target="https://expa.aiesec.org/opportunities/1272564" TargetMode="External"/><Relationship Id="rId8" Type="http://schemas.openxmlformats.org/officeDocument/2006/relationships/hyperlink" Target="https://expa.aiesec.org/opportunities/1287304" TargetMode="External"/><Relationship Id="rId190" Type="http://schemas.openxmlformats.org/officeDocument/2006/relationships/hyperlink" Target="https://expa.aiesec.org/opportunities/1272564" TargetMode="External"/><Relationship Id="rId194" Type="http://schemas.openxmlformats.org/officeDocument/2006/relationships/hyperlink" Target="https://expa.aiesec.org/opportunities/1284670" TargetMode="External"/><Relationship Id="rId193" Type="http://schemas.openxmlformats.org/officeDocument/2006/relationships/hyperlink" Target="https://expa.aiesec.org/opportunities/1289255" TargetMode="External"/><Relationship Id="rId192" Type="http://schemas.openxmlformats.org/officeDocument/2006/relationships/hyperlink" Target="https://expa.aiesec.org/opportunities/1289536" TargetMode="External"/><Relationship Id="rId191" Type="http://schemas.openxmlformats.org/officeDocument/2006/relationships/hyperlink" Target="https://expa.aiesec.org/opportunities/1272564" TargetMode="External"/><Relationship Id="rId187" Type="http://schemas.openxmlformats.org/officeDocument/2006/relationships/hyperlink" Target="https://expa.aiesec.org/opportunities/1294209" TargetMode="External"/><Relationship Id="rId186" Type="http://schemas.openxmlformats.org/officeDocument/2006/relationships/hyperlink" Target="https://expa.aiesec.org/opportunities/1286929" TargetMode="External"/><Relationship Id="rId185" Type="http://schemas.openxmlformats.org/officeDocument/2006/relationships/hyperlink" Target="https://expa.aiesec.org/opportunities/1289951" TargetMode="External"/><Relationship Id="rId184" Type="http://schemas.openxmlformats.org/officeDocument/2006/relationships/hyperlink" Target="https://expa.aiesec.org/opportunities/1294848" TargetMode="External"/><Relationship Id="rId189" Type="http://schemas.openxmlformats.org/officeDocument/2006/relationships/hyperlink" Target="https://expa.aiesec.org/opportunities/1284670" TargetMode="External"/><Relationship Id="rId188" Type="http://schemas.openxmlformats.org/officeDocument/2006/relationships/hyperlink" Target="https://expa.aiesec.org/opportunities/1288542" TargetMode="External"/><Relationship Id="rId183" Type="http://schemas.openxmlformats.org/officeDocument/2006/relationships/hyperlink" Target="https://expa.aiesec.org/opportunities/1294429" TargetMode="External"/><Relationship Id="rId182" Type="http://schemas.openxmlformats.org/officeDocument/2006/relationships/hyperlink" Target="https://expa.aiesec.org/opportunities/1294429" TargetMode="External"/><Relationship Id="rId181" Type="http://schemas.openxmlformats.org/officeDocument/2006/relationships/hyperlink" Target="https://expa.aiesec.org/opportunities/1294851" TargetMode="External"/><Relationship Id="rId180" Type="http://schemas.openxmlformats.org/officeDocument/2006/relationships/hyperlink" Target="https://expa.aiesec.org/opportunities/1287987" TargetMode="External"/><Relationship Id="rId176" Type="http://schemas.openxmlformats.org/officeDocument/2006/relationships/hyperlink" Target="https://expa.aiesec.org/opportunities/1294310" TargetMode="External"/><Relationship Id="rId175" Type="http://schemas.openxmlformats.org/officeDocument/2006/relationships/hyperlink" Target="https://expa.aiesec.org/opportunities/1294811" TargetMode="External"/><Relationship Id="rId174" Type="http://schemas.openxmlformats.org/officeDocument/2006/relationships/hyperlink" Target="https://expa.aiesec.org/opportunities/1289297" TargetMode="External"/><Relationship Id="rId173" Type="http://schemas.openxmlformats.org/officeDocument/2006/relationships/hyperlink" Target="https://expa.aiesec.org/opportunities/1291997" TargetMode="External"/><Relationship Id="rId179" Type="http://schemas.openxmlformats.org/officeDocument/2006/relationships/hyperlink" Target="https://expa.aiesec.org/opportunities/1293026" TargetMode="External"/><Relationship Id="rId178" Type="http://schemas.openxmlformats.org/officeDocument/2006/relationships/hyperlink" Target="https://expa.aiesec.org/opportunities/1292298" TargetMode="External"/><Relationship Id="rId177" Type="http://schemas.openxmlformats.org/officeDocument/2006/relationships/hyperlink" Target="https://expa.aiesec.org/opportunities/1287987" TargetMode="External"/><Relationship Id="rId198" Type="http://schemas.openxmlformats.org/officeDocument/2006/relationships/hyperlink" Target="https://expa.aiesec.org/opportunities/1293477" TargetMode="External"/><Relationship Id="rId197" Type="http://schemas.openxmlformats.org/officeDocument/2006/relationships/hyperlink" Target="https://expa.aiesec.org/opportunities/1295137" TargetMode="External"/><Relationship Id="rId196" Type="http://schemas.openxmlformats.org/officeDocument/2006/relationships/hyperlink" Target="https://expa.aiesec.org/opportunities/1272564" TargetMode="External"/><Relationship Id="rId195" Type="http://schemas.openxmlformats.org/officeDocument/2006/relationships/hyperlink" Target="https://expa.aiesec.org/opportunities/1289536" TargetMode="External"/><Relationship Id="rId199" Type="http://schemas.openxmlformats.org/officeDocument/2006/relationships/hyperlink" Target="https://expa.aiesec.org/opportunities/1294830" TargetMode="External"/><Relationship Id="rId150" Type="http://schemas.openxmlformats.org/officeDocument/2006/relationships/hyperlink" Target="https://expa.aiesec.org/opportunities/1289378" TargetMode="External"/><Relationship Id="rId149" Type="http://schemas.openxmlformats.org/officeDocument/2006/relationships/hyperlink" Target="https://expa.aiesec.org/opportunities/1290024" TargetMode="External"/><Relationship Id="rId148" Type="http://schemas.openxmlformats.org/officeDocument/2006/relationships/hyperlink" Target="https://expa.aiesec.org/opportunities/1285555" TargetMode="External"/><Relationship Id="rId143" Type="http://schemas.openxmlformats.org/officeDocument/2006/relationships/hyperlink" Target="https://expa.aiesec.org/opportunities/1293417" TargetMode="External"/><Relationship Id="rId142" Type="http://schemas.openxmlformats.org/officeDocument/2006/relationships/hyperlink" Target="https://expa.aiesec.org/opportunities/1294179" TargetMode="External"/><Relationship Id="rId141" Type="http://schemas.openxmlformats.org/officeDocument/2006/relationships/hyperlink" Target="https://expa.aiesec.org/opportunities/1294310" TargetMode="External"/><Relationship Id="rId140" Type="http://schemas.openxmlformats.org/officeDocument/2006/relationships/hyperlink" Target="https://expa.aiesec.org/opportunities/1293284" TargetMode="External"/><Relationship Id="rId147" Type="http://schemas.openxmlformats.org/officeDocument/2006/relationships/hyperlink" Target="https://expa.aiesec.org/opportunities/1288611" TargetMode="External"/><Relationship Id="rId146" Type="http://schemas.openxmlformats.org/officeDocument/2006/relationships/hyperlink" Target="https://expa.aiesec.org/opportunities/1293918" TargetMode="External"/><Relationship Id="rId145" Type="http://schemas.openxmlformats.org/officeDocument/2006/relationships/hyperlink" Target="https://expa.aiesec.org/opportunities/1291783" TargetMode="External"/><Relationship Id="rId144" Type="http://schemas.openxmlformats.org/officeDocument/2006/relationships/hyperlink" Target="https://expa.aiesec.org/opportunities/1294522" TargetMode="External"/><Relationship Id="rId139" Type="http://schemas.openxmlformats.org/officeDocument/2006/relationships/hyperlink" Target="https://expa.aiesec.org/opportunities/1285687" TargetMode="External"/><Relationship Id="rId138" Type="http://schemas.openxmlformats.org/officeDocument/2006/relationships/hyperlink" Target="https://expa.aiesec.org/opportunities/1287602" TargetMode="External"/><Relationship Id="rId137" Type="http://schemas.openxmlformats.org/officeDocument/2006/relationships/hyperlink" Target="https://expa.aiesec.org/opportunities/1288542" TargetMode="External"/><Relationship Id="rId132" Type="http://schemas.openxmlformats.org/officeDocument/2006/relationships/hyperlink" Target="https://expa.aiesec.org/opportunities/1293200" TargetMode="External"/><Relationship Id="rId131" Type="http://schemas.openxmlformats.org/officeDocument/2006/relationships/hyperlink" Target="https://expa.aiesec.org/opportunities/1293699" TargetMode="External"/><Relationship Id="rId130" Type="http://schemas.openxmlformats.org/officeDocument/2006/relationships/hyperlink" Target="https://expa.aiesec.org/opportunities/1290282" TargetMode="External"/><Relationship Id="rId136" Type="http://schemas.openxmlformats.org/officeDocument/2006/relationships/hyperlink" Target="https://expa.aiesec.org/opportunities/1272564" TargetMode="External"/><Relationship Id="rId135" Type="http://schemas.openxmlformats.org/officeDocument/2006/relationships/hyperlink" Target="https://expa.aiesec.org/opportunities/1272564" TargetMode="External"/><Relationship Id="rId134" Type="http://schemas.openxmlformats.org/officeDocument/2006/relationships/hyperlink" Target="https://expa.aiesec.org/opportunities/1293417" TargetMode="External"/><Relationship Id="rId133" Type="http://schemas.openxmlformats.org/officeDocument/2006/relationships/hyperlink" Target="https://expa.aiesec.org/opportunities/1293866" TargetMode="External"/><Relationship Id="rId172" Type="http://schemas.openxmlformats.org/officeDocument/2006/relationships/hyperlink" Target="https://expa.aiesec.org/opportunities/1294034" TargetMode="External"/><Relationship Id="rId171" Type="http://schemas.openxmlformats.org/officeDocument/2006/relationships/hyperlink" Target="https://expa.aiesec.org/opportunities/1292800" TargetMode="External"/><Relationship Id="rId170" Type="http://schemas.openxmlformats.org/officeDocument/2006/relationships/hyperlink" Target="https://expa.aiesec.org/opportunities/1288609" TargetMode="External"/><Relationship Id="rId165" Type="http://schemas.openxmlformats.org/officeDocument/2006/relationships/hyperlink" Target="https://expa.aiesec.org/opportunities/1294063" TargetMode="External"/><Relationship Id="rId164" Type="http://schemas.openxmlformats.org/officeDocument/2006/relationships/hyperlink" Target="https://expa.aiesec.org/opportunities/1293200" TargetMode="External"/><Relationship Id="rId163" Type="http://schemas.openxmlformats.org/officeDocument/2006/relationships/hyperlink" Target="https://expa.aiesec.org/opportunities/1294176" TargetMode="External"/><Relationship Id="rId162" Type="http://schemas.openxmlformats.org/officeDocument/2006/relationships/hyperlink" Target="https://expa.aiesec.org/opportunities/1293863" TargetMode="External"/><Relationship Id="rId169" Type="http://schemas.openxmlformats.org/officeDocument/2006/relationships/hyperlink" Target="https://expa.aiesec.org/opportunities/1294234" TargetMode="External"/><Relationship Id="rId168" Type="http://schemas.openxmlformats.org/officeDocument/2006/relationships/hyperlink" Target="https://expa.aiesec.org/opportunities/1294062" TargetMode="External"/><Relationship Id="rId167" Type="http://schemas.openxmlformats.org/officeDocument/2006/relationships/hyperlink" Target="https://expa.aiesec.org/opportunities/1294459" TargetMode="External"/><Relationship Id="rId166" Type="http://schemas.openxmlformats.org/officeDocument/2006/relationships/hyperlink" Target="https://expa.aiesec.org/opportunities/1294062" TargetMode="External"/><Relationship Id="rId161" Type="http://schemas.openxmlformats.org/officeDocument/2006/relationships/hyperlink" Target="https://expa.aiesec.org/opportunities/1293284" TargetMode="External"/><Relationship Id="rId160" Type="http://schemas.openxmlformats.org/officeDocument/2006/relationships/hyperlink" Target="https://expa.aiesec.org/opportunities/1294005" TargetMode="External"/><Relationship Id="rId159" Type="http://schemas.openxmlformats.org/officeDocument/2006/relationships/hyperlink" Target="https://expa.aiesec.org/opportunities/1294062" TargetMode="External"/><Relationship Id="rId154" Type="http://schemas.openxmlformats.org/officeDocument/2006/relationships/hyperlink" Target="https://expa.aiesec.org/opportunities/1288129" TargetMode="External"/><Relationship Id="rId153" Type="http://schemas.openxmlformats.org/officeDocument/2006/relationships/hyperlink" Target="https://expa.aiesec.org/opportunities/1284670" TargetMode="External"/><Relationship Id="rId152" Type="http://schemas.openxmlformats.org/officeDocument/2006/relationships/hyperlink" Target="https://expa.aiesec.org/opportunities/1293801" TargetMode="External"/><Relationship Id="rId151" Type="http://schemas.openxmlformats.org/officeDocument/2006/relationships/hyperlink" Target="https://expa.aiesec.org/opportunities/1286658" TargetMode="External"/><Relationship Id="rId158" Type="http://schemas.openxmlformats.org/officeDocument/2006/relationships/hyperlink" Target="https://expa.aiesec.org/opportunities/1284670" TargetMode="External"/><Relationship Id="rId157" Type="http://schemas.openxmlformats.org/officeDocument/2006/relationships/hyperlink" Target="https://expa.aiesec.org/opportunities/1293216" TargetMode="External"/><Relationship Id="rId156" Type="http://schemas.openxmlformats.org/officeDocument/2006/relationships/hyperlink" Target="https://expa.aiesec.org/opportunities/1293112" TargetMode="External"/><Relationship Id="rId155" Type="http://schemas.openxmlformats.org/officeDocument/2006/relationships/hyperlink" Target="https://expa.aiesec.org/opportunities/1294202" TargetMode="External"/><Relationship Id="rId107" Type="http://schemas.openxmlformats.org/officeDocument/2006/relationships/hyperlink" Target="https://expa.aiesec.org/opportunities/1290282" TargetMode="External"/><Relationship Id="rId106" Type="http://schemas.openxmlformats.org/officeDocument/2006/relationships/hyperlink" Target="https://expa.aiesec.org/opportunities/1290282" TargetMode="External"/><Relationship Id="rId105" Type="http://schemas.openxmlformats.org/officeDocument/2006/relationships/hyperlink" Target="https://expa.aiesec.org/opportunities/1293951" TargetMode="External"/><Relationship Id="rId104" Type="http://schemas.openxmlformats.org/officeDocument/2006/relationships/hyperlink" Target="https://expa.aiesec.org/opportunities/1294000" TargetMode="External"/><Relationship Id="rId109" Type="http://schemas.openxmlformats.org/officeDocument/2006/relationships/hyperlink" Target="https://expa.aiesec.org/opportunities/1285687" TargetMode="External"/><Relationship Id="rId108" Type="http://schemas.openxmlformats.org/officeDocument/2006/relationships/hyperlink" Target="https://expa.aiesec.org/opportunities/1289297" TargetMode="External"/><Relationship Id="rId103" Type="http://schemas.openxmlformats.org/officeDocument/2006/relationships/hyperlink" Target="https://expa.aiesec.org/opportunities/1288798" TargetMode="External"/><Relationship Id="rId102" Type="http://schemas.openxmlformats.org/officeDocument/2006/relationships/hyperlink" Target="https://expa.aiesec.org/opportunities/1294000" TargetMode="External"/><Relationship Id="rId101" Type="http://schemas.openxmlformats.org/officeDocument/2006/relationships/hyperlink" Target="https://expa.aiesec.org/opportunities/1294000" TargetMode="External"/><Relationship Id="rId100" Type="http://schemas.openxmlformats.org/officeDocument/2006/relationships/hyperlink" Target="https://expa.aiesec.org/opportunities/1289536" TargetMode="External"/><Relationship Id="rId129" Type="http://schemas.openxmlformats.org/officeDocument/2006/relationships/hyperlink" Target="https://expa.aiesec.org/opportunities/1289255" TargetMode="External"/><Relationship Id="rId128" Type="http://schemas.openxmlformats.org/officeDocument/2006/relationships/hyperlink" Target="https://expa.aiesec.org/opportunities/1289536" TargetMode="External"/><Relationship Id="rId127" Type="http://schemas.openxmlformats.org/officeDocument/2006/relationships/hyperlink" Target="https://expa.aiesec.org/opportunities/1292990" TargetMode="External"/><Relationship Id="rId126" Type="http://schemas.openxmlformats.org/officeDocument/2006/relationships/hyperlink" Target="https://expa.aiesec.org/opportunities/1293961" TargetMode="External"/><Relationship Id="rId121" Type="http://schemas.openxmlformats.org/officeDocument/2006/relationships/hyperlink" Target="https://expa.aiesec.org/opportunities/1292253" TargetMode="External"/><Relationship Id="rId120" Type="http://schemas.openxmlformats.org/officeDocument/2006/relationships/hyperlink" Target="https://expa.aiesec.org/opportunities/1293968" TargetMode="External"/><Relationship Id="rId125" Type="http://schemas.openxmlformats.org/officeDocument/2006/relationships/hyperlink" Target="https://expa.aiesec.org/opportunities/1289536" TargetMode="External"/><Relationship Id="rId124" Type="http://schemas.openxmlformats.org/officeDocument/2006/relationships/hyperlink" Target="https://expa.aiesec.org/opportunities/1272564" TargetMode="External"/><Relationship Id="rId123" Type="http://schemas.openxmlformats.org/officeDocument/2006/relationships/hyperlink" Target="https://expa.aiesec.org/opportunities/1293865" TargetMode="External"/><Relationship Id="rId122" Type="http://schemas.openxmlformats.org/officeDocument/2006/relationships/hyperlink" Target="https://expa.aiesec.org/opportunities/1293835" TargetMode="External"/><Relationship Id="rId118" Type="http://schemas.openxmlformats.org/officeDocument/2006/relationships/hyperlink" Target="https://expa.aiesec.org/opportunities/1293866" TargetMode="External"/><Relationship Id="rId117" Type="http://schemas.openxmlformats.org/officeDocument/2006/relationships/hyperlink" Target="https://expa.aiesec.org/opportunities/1285687" TargetMode="External"/><Relationship Id="rId116" Type="http://schemas.openxmlformats.org/officeDocument/2006/relationships/hyperlink" Target="https://expa.aiesec.org/opportunities/1272564" TargetMode="External"/><Relationship Id="rId115" Type="http://schemas.openxmlformats.org/officeDocument/2006/relationships/hyperlink" Target="https://expa.aiesec.org/opportunities/1272564" TargetMode="External"/><Relationship Id="rId119" Type="http://schemas.openxmlformats.org/officeDocument/2006/relationships/hyperlink" Target="https://expa.aiesec.org/opportunities/1289536" TargetMode="External"/><Relationship Id="rId110" Type="http://schemas.openxmlformats.org/officeDocument/2006/relationships/hyperlink" Target="https://expa.aiesec.org/opportunities/1289536" TargetMode="External"/><Relationship Id="rId114" Type="http://schemas.openxmlformats.org/officeDocument/2006/relationships/hyperlink" Target="https://expa.aiesec.org/opportunities/1293019" TargetMode="External"/><Relationship Id="rId113" Type="http://schemas.openxmlformats.org/officeDocument/2006/relationships/hyperlink" Target="https://expa.aiesec.org/opportunities/1285687" TargetMode="External"/><Relationship Id="rId112" Type="http://schemas.openxmlformats.org/officeDocument/2006/relationships/hyperlink" Target="https://expa.aiesec.org/opportunities/1285687" TargetMode="External"/><Relationship Id="rId111" Type="http://schemas.openxmlformats.org/officeDocument/2006/relationships/hyperlink" Target="https://expa.aiesec.org/opportunities/128568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0"/>
    <col customWidth="1" min="5" max="5" width="17.38"/>
    <col customWidth="1" min="6" max="6" width="20.25"/>
    <col customWidth="1" min="7" max="7" width="16.75"/>
    <col customWidth="1" min="8" max="8" width="22.5"/>
    <col customWidth="1" min="9" max="9" width="22.25"/>
    <col customWidth="1" min="10" max="10" width="27.63"/>
    <col customWidth="1" min="11" max="11" width="42.88"/>
    <col customWidth="1" min="13" max="13" width="15.88"/>
    <col customWidth="1" min="14" max="14" width="18.0"/>
    <col customWidth="1" min="15" max="15" width="16.0"/>
    <col customWidth="1" min="22" max="22" width="49.88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5" t="s">
        <v>22</v>
      </c>
      <c r="X1" s="6"/>
      <c r="Y1" s="7"/>
      <c r="Z1" s="7"/>
    </row>
    <row r="2">
      <c r="A2" s="8" t="s">
        <v>23</v>
      </c>
      <c r="B2" s="8" t="s">
        <v>24</v>
      </c>
      <c r="C2" s="8" t="s">
        <v>25</v>
      </c>
      <c r="D2" s="8" t="s">
        <v>26</v>
      </c>
      <c r="E2" s="8" t="s">
        <v>27</v>
      </c>
      <c r="F2" s="9" t="s">
        <v>28</v>
      </c>
      <c r="G2" s="8" t="s">
        <v>29</v>
      </c>
      <c r="H2" s="8" t="s">
        <v>30</v>
      </c>
      <c r="I2" s="8" t="s">
        <v>31</v>
      </c>
      <c r="J2" s="8" t="s">
        <v>32</v>
      </c>
      <c r="K2" s="10" t="s">
        <v>33</v>
      </c>
      <c r="L2" s="8" t="s">
        <v>34</v>
      </c>
      <c r="M2" s="8" t="s">
        <v>35</v>
      </c>
      <c r="N2" s="11">
        <v>44743.0</v>
      </c>
      <c r="O2" s="11">
        <v>44746.0</v>
      </c>
      <c r="P2" s="11">
        <v>44808.0</v>
      </c>
      <c r="Q2" s="11">
        <v>44831.0</v>
      </c>
      <c r="R2" s="11">
        <v>44892.0</v>
      </c>
      <c r="S2" s="12"/>
      <c r="T2" s="8" t="s">
        <v>36</v>
      </c>
      <c r="U2" s="8" t="s">
        <v>37</v>
      </c>
      <c r="V2" s="13" t="s">
        <v>38</v>
      </c>
      <c r="W2" s="13" t="s">
        <v>39</v>
      </c>
      <c r="X2" s="12"/>
      <c r="Y2" s="14"/>
      <c r="Z2" s="14"/>
    </row>
    <row r="3">
      <c r="A3" s="8" t="s">
        <v>40</v>
      </c>
      <c r="B3" s="8" t="s">
        <v>41</v>
      </c>
      <c r="C3" s="8" t="s">
        <v>25</v>
      </c>
      <c r="D3" s="8" t="s">
        <v>26</v>
      </c>
      <c r="E3" s="8" t="s">
        <v>42</v>
      </c>
      <c r="F3" s="8">
        <v>5.526752612E9</v>
      </c>
      <c r="G3" s="8" t="s">
        <v>31</v>
      </c>
      <c r="H3" s="8" t="s">
        <v>43</v>
      </c>
      <c r="I3" s="8" t="s">
        <v>44</v>
      </c>
      <c r="J3" s="8" t="s">
        <v>45</v>
      </c>
      <c r="K3" s="10" t="s">
        <v>46</v>
      </c>
      <c r="L3" s="8" t="s">
        <v>47</v>
      </c>
      <c r="M3" s="8" t="s">
        <v>48</v>
      </c>
      <c r="N3" s="11">
        <v>44743.0</v>
      </c>
      <c r="O3" s="11">
        <v>44767.0</v>
      </c>
      <c r="P3" s="11">
        <v>44935.0</v>
      </c>
      <c r="Q3" s="11">
        <v>44775.0</v>
      </c>
      <c r="R3" s="11">
        <v>44942.0</v>
      </c>
      <c r="S3" s="12"/>
      <c r="T3" s="8"/>
      <c r="U3" s="8" t="s">
        <v>49</v>
      </c>
      <c r="V3" s="13" t="s">
        <v>43</v>
      </c>
      <c r="W3" s="13" t="s">
        <v>50</v>
      </c>
      <c r="X3" s="12"/>
      <c r="Y3" s="14"/>
      <c r="Z3" s="14"/>
    </row>
    <row r="4">
      <c r="A4" s="8" t="s">
        <v>51</v>
      </c>
      <c r="B4" s="8" t="s">
        <v>52</v>
      </c>
      <c r="C4" s="8" t="s">
        <v>25</v>
      </c>
      <c r="D4" s="8" t="s">
        <v>26</v>
      </c>
      <c r="E4" s="8" t="s">
        <v>53</v>
      </c>
      <c r="F4" s="8">
        <v>5.8831233E7</v>
      </c>
      <c r="G4" s="8" t="s">
        <v>54</v>
      </c>
      <c r="H4" s="8" t="s">
        <v>55</v>
      </c>
      <c r="I4" s="8" t="s">
        <v>31</v>
      </c>
      <c r="J4" s="8" t="s">
        <v>56</v>
      </c>
      <c r="K4" s="10" t="s">
        <v>57</v>
      </c>
      <c r="L4" s="8" t="s">
        <v>58</v>
      </c>
      <c r="M4" s="8" t="s">
        <v>35</v>
      </c>
      <c r="N4" s="11">
        <v>44743.0</v>
      </c>
      <c r="O4" s="11">
        <v>44809.0</v>
      </c>
      <c r="P4" s="11">
        <v>44851.0</v>
      </c>
      <c r="Q4" s="11">
        <v>44808.0</v>
      </c>
      <c r="R4" s="11">
        <v>44851.0</v>
      </c>
      <c r="S4" s="12"/>
      <c r="T4" s="8"/>
      <c r="U4" s="8" t="s">
        <v>59</v>
      </c>
      <c r="V4" s="13" t="s">
        <v>60</v>
      </c>
      <c r="W4" s="13" t="s">
        <v>61</v>
      </c>
      <c r="X4" s="12"/>
      <c r="Y4" s="14"/>
      <c r="Z4" s="14"/>
    </row>
    <row r="5">
      <c r="A5" s="8" t="s">
        <v>62</v>
      </c>
      <c r="B5" s="8" t="s">
        <v>63</v>
      </c>
      <c r="C5" s="8" t="s">
        <v>64</v>
      </c>
      <c r="D5" s="8" t="s">
        <v>26</v>
      </c>
      <c r="E5" s="8" t="s">
        <v>65</v>
      </c>
      <c r="F5" s="8">
        <v>5.304808916E9</v>
      </c>
      <c r="G5" s="8" t="s">
        <v>31</v>
      </c>
      <c r="H5" s="8" t="s">
        <v>66</v>
      </c>
      <c r="I5" s="8" t="s">
        <v>67</v>
      </c>
      <c r="J5" s="8" t="s">
        <v>68</v>
      </c>
      <c r="K5" s="10" t="s">
        <v>69</v>
      </c>
      <c r="L5" s="8" t="s">
        <v>47</v>
      </c>
      <c r="M5" s="8" t="s">
        <v>70</v>
      </c>
      <c r="N5" s="11">
        <v>44743.0</v>
      </c>
      <c r="O5" s="11">
        <v>44772.0</v>
      </c>
      <c r="P5" s="11">
        <v>45046.0</v>
      </c>
      <c r="Q5" s="11">
        <v>44819.0</v>
      </c>
      <c r="R5" s="11">
        <v>45078.0</v>
      </c>
      <c r="S5" s="12"/>
      <c r="T5" s="8"/>
      <c r="U5" s="8" t="s">
        <v>71</v>
      </c>
      <c r="V5" s="13" t="s">
        <v>66</v>
      </c>
      <c r="W5" s="13" t="s">
        <v>72</v>
      </c>
      <c r="X5" s="12"/>
      <c r="Y5" s="14"/>
      <c r="Z5" s="14"/>
    </row>
    <row r="6">
      <c r="A6" s="8" t="s">
        <v>73</v>
      </c>
      <c r="B6" s="8" t="s">
        <v>74</v>
      </c>
      <c r="C6" s="8" t="s">
        <v>25</v>
      </c>
      <c r="D6" s="8" t="s">
        <v>26</v>
      </c>
      <c r="E6" s="8" t="s">
        <v>75</v>
      </c>
      <c r="F6" s="8">
        <v>9.3724251E7</v>
      </c>
      <c r="G6" s="8" t="s">
        <v>54</v>
      </c>
      <c r="H6" s="8" t="s">
        <v>76</v>
      </c>
      <c r="I6" s="8" t="s">
        <v>31</v>
      </c>
      <c r="J6" s="8" t="s">
        <v>77</v>
      </c>
      <c r="K6" s="10" t="s">
        <v>78</v>
      </c>
      <c r="L6" s="8" t="s">
        <v>58</v>
      </c>
      <c r="M6" s="8" t="s">
        <v>35</v>
      </c>
      <c r="N6" s="11">
        <v>44743.0</v>
      </c>
      <c r="O6" s="11">
        <v>44767.0</v>
      </c>
      <c r="P6" s="11">
        <v>44809.0</v>
      </c>
      <c r="Q6" s="11">
        <v>44767.0</v>
      </c>
      <c r="R6" s="11">
        <v>44807.0</v>
      </c>
      <c r="S6" s="12"/>
      <c r="T6" s="8"/>
      <c r="U6" s="8" t="s">
        <v>59</v>
      </c>
      <c r="V6" s="13" t="s">
        <v>79</v>
      </c>
      <c r="W6" s="13" t="s">
        <v>80</v>
      </c>
      <c r="X6" s="12"/>
      <c r="Y6" s="14"/>
      <c r="Z6" s="14"/>
    </row>
    <row r="7">
      <c r="A7" s="8" t="s">
        <v>81</v>
      </c>
      <c r="B7" s="8" t="s">
        <v>82</v>
      </c>
      <c r="C7" s="8" t="s">
        <v>25</v>
      </c>
      <c r="D7" s="8" t="s">
        <v>26</v>
      </c>
      <c r="E7" s="8" t="s">
        <v>83</v>
      </c>
      <c r="F7" s="8">
        <v>6.9301991E8</v>
      </c>
      <c r="G7" s="8" t="s">
        <v>84</v>
      </c>
      <c r="H7" s="8" t="s">
        <v>85</v>
      </c>
      <c r="I7" s="8" t="s">
        <v>31</v>
      </c>
      <c r="J7" s="8" t="s">
        <v>86</v>
      </c>
      <c r="K7" s="10" t="s">
        <v>87</v>
      </c>
      <c r="L7" s="8" t="s">
        <v>58</v>
      </c>
      <c r="M7" s="8" t="s">
        <v>35</v>
      </c>
      <c r="N7" s="11">
        <v>44743.0</v>
      </c>
      <c r="O7" s="11">
        <v>44837.0</v>
      </c>
      <c r="P7" s="11">
        <v>44879.0</v>
      </c>
      <c r="Q7" s="11">
        <v>44837.0</v>
      </c>
      <c r="R7" s="11">
        <v>44876.0</v>
      </c>
      <c r="S7" s="12"/>
      <c r="T7" s="8"/>
      <c r="U7" s="8" t="s">
        <v>88</v>
      </c>
      <c r="V7" s="13" t="s">
        <v>89</v>
      </c>
      <c r="W7" s="13" t="s">
        <v>90</v>
      </c>
      <c r="X7" s="12"/>
      <c r="Y7" s="14"/>
      <c r="Z7" s="14"/>
    </row>
    <row r="8">
      <c r="A8" s="8" t="s">
        <v>91</v>
      </c>
      <c r="B8" s="8" t="s">
        <v>92</v>
      </c>
      <c r="C8" s="8" t="s">
        <v>25</v>
      </c>
      <c r="D8" s="8" t="s">
        <v>26</v>
      </c>
      <c r="E8" s="8" t="s">
        <v>93</v>
      </c>
      <c r="F8" s="8">
        <v>5.4190975E7</v>
      </c>
      <c r="G8" s="8" t="s">
        <v>54</v>
      </c>
      <c r="H8" s="8" t="s">
        <v>55</v>
      </c>
      <c r="I8" s="8" t="s">
        <v>31</v>
      </c>
      <c r="J8" s="8" t="s">
        <v>77</v>
      </c>
      <c r="K8" s="10" t="s">
        <v>94</v>
      </c>
      <c r="L8" s="8" t="s">
        <v>58</v>
      </c>
      <c r="M8" s="8" t="s">
        <v>35</v>
      </c>
      <c r="N8" s="11">
        <v>44744.0</v>
      </c>
      <c r="O8" s="11">
        <v>44760.0</v>
      </c>
      <c r="P8" s="11">
        <v>44802.0</v>
      </c>
      <c r="Q8" s="11">
        <v>44760.0</v>
      </c>
      <c r="R8" s="11">
        <v>44801.0</v>
      </c>
      <c r="S8" s="12"/>
      <c r="T8" s="8"/>
      <c r="U8" s="8" t="s">
        <v>59</v>
      </c>
      <c r="V8" s="13" t="s">
        <v>95</v>
      </c>
      <c r="W8" s="13" t="s">
        <v>96</v>
      </c>
      <c r="X8" s="12"/>
      <c r="Y8" s="14"/>
      <c r="Z8" s="14"/>
    </row>
    <row r="9">
      <c r="A9" s="8" t="s">
        <v>97</v>
      </c>
      <c r="B9" s="8" t="s">
        <v>98</v>
      </c>
      <c r="C9" s="8" t="s">
        <v>64</v>
      </c>
      <c r="D9" s="8" t="s">
        <v>26</v>
      </c>
      <c r="E9" s="8" t="s">
        <v>99</v>
      </c>
      <c r="F9" s="8">
        <v>6.25246611E8</v>
      </c>
      <c r="G9" s="8" t="s">
        <v>100</v>
      </c>
      <c r="H9" s="8" t="s">
        <v>101</v>
      </c>
      <c r="I9" s="8" t="s">
        <v>31</v>
      </c>
      <c r="J9" s="8" t="s">
        <v>102</v>
      </c>
      <c r="K9" s="10" t="s">
        <v>103</v>
      </c>
      <c r="L9" s="8" t="s">
        <v>58</v>
      </c>
      <c r="M9" s="8" t="s">
        <v>35</v>
      </c>
      <c r="N9" s="11">
        <v>44744.0</v>
      </c>
      <c r="O9" s="11">
        <v>44760.0</v>
      </c>
      <c r="P9" s="11">
        <v>44802.0</v>
      </c>
      <c r="Q9" s="11">
        <v>44761.0</v>
      </c>
      <c r="R9" s="11">
        <v>44804.0</v>
      </c>
      <c r="S9" s="12"/>
      <c r="T9" s="8"/>
      <c r="U9" s="8" t="s">
        <v>59</v>
      </c>
      <c r="V9" s="13" t="s">
        <v>104</v>
      </c>
      <c r="W9" s="13" t="s">
        <v>105</v>
      </c>
      <c r="X9" s="12"/>
      <c r="Y9" s="14"/>
      <c r="Z9" s="14"/>
    </row>
    <row r="10">
      <c r="A10" s="8" t="s">
        <v>106</v>
      </c>
      <c r="B10" s="8" t="s">
        <v>107</v>
      </c>
      <c r="C10" s="8" t="s">
        <v>64</v>
      </c>
      <c r="D10" s="8" t="s">
        <v>26</v>
      </c>
      <c r="E10" s="8" t="s">
        <v>108</v>
      </c>
      <c r="F10" s="8">
        <v>1.1964004332E10</v>
      </c>
      <c r="G10" s="8" t="s">
        <v>109</v>
      </c>
      <c r="H10" s="8" t="s">
        <v>110</v>
      </c>
      <c r="I10" s="8" t="s">
        <v>31</v>
      </c>
      <c r="J10" s="8" t="s">
        <v>111</v>
      </c>
      <c r="K10" s="10" t="s">
        <v>112</v>
      </c>
      <c r="L10" s="8" t="s">
        <v>58</v>
      </c>
      <c r="M10" s="8" t="s">
        <v>35</v>
      </c>
      <c r="N10" s="11">
        <v>44744.0</v>
      </c>
      <c r="O10" s="11">
        <v>44913.0</v>
      </c>
      <c r="P10" s="11">
        <v>44955.0</v>
      </c>
      <c r="Q10" s="11">
        <v>44950.0</v>
      </c>
      <c r="R10" s="11">
        <v>44991.0</v>
      </c>
      <c r="S10" s="12"/>
      <c r="T10" s="8"/>
      <c r="U10" s="8" t="s">
        <v>88</v>
      </c>
      <c r="V10" s="13" t="s">
        <v>113</v>
      </c>
      <c r="W10" s="13" t="s">
        <v>114</v>
      </c>
      <c r="X10" s="12"/>
      <c r="Y10" s="14"/>
      <c r="Z10" s="14"/>
    </row>
    <row r="11">
      <c r="A11" s="8" t="s">
        <v>115</v>
      </c>
      <c r="B11" s="8" t="s">
        <v>116</v>
      </c>
      <c r="C11" s="8" t="s">
        <v>25</v>
      </c>
      <c r="D11" s="8" t="s">
        <v>26</v>
      </c>
      <c r="E11" s="8" t="s">
        <v>117</v>
      </c>
      <c r="F11" s="8"/>
      <c r="G11" s="8" t="s">
        <v>118</v>
      </c>
      <c r="H11" s="8" t="s">
        <v>119</v>
      </c>
      <c r="I11" s="8" t="s">
        <v>31</v>
      </c>
      <c r="J11" s="8" t="s">
        <v>111</v>
      </c>
      <c r="K11" s="10" t="s">
        <v>120</v>
      </c>
      <c r="L11" s="8" t="s">
        <v>34</v>
      </c>
      <c r="M11" s="8" t="s">
        <v>35</v>
      </c>
      <c r="N11" s="11">
        <v>44746.0</v>
      </c>
      <c r="O11" s="11">
        <v>44767.0</v>
      </c>
      <c r="P11" s="11">
        <v>44850.0</v>
      </c>
      <c r="Q11" s="11">
        <v>44769.0</v>
      </c>
      <c r="R11" s="11">
        <v>44850.0</v>
      </c>
      <c r="S11" s="12"/>
      <c r="T11" s="8" t="s">
        <v>121</v>
      </c>
      <c r="U11" s="8" t="s">
        <v>122</v>
      </c>
      <c r="V11" s="13" t="s">
        <v>38</v>
      </c>
      <c r="W11" s="13" t="s">
        <v>123</v>
      </c>
      <c r="X11" s="12"/>
      <c r="Y11" s="14"/>
      <c r="Z11" s="14"/>
    </row>
    <row r="12">
      <c r="A12" s="8" t="s">
        <v>124</v>
      </c>
      <c r="B12" s="8" t="s">
        <v>125</v>
      </c>
      <c r="C12" s="8" t="s">
        <v>25</v>
      </c>
      <c r="D12" s="8" t="s">
        <v>26</v>
      </c>
      <c r="E12" s="8" t="s">
        <v>126</v>
      </c>
      <c r="F12" s="8"/>
      <c r="G12" s="8" t="s">
        <v>31</v>
      </c>
      <c r="H12" s="8" t="s">
        <v>77</v>
      </c>
      <c r="I12" s="8" t="s">
        <v>127</v>
      </c>
      <c r="J12" s="8" t="s">
        <v>128</v>
      </c>
      <c r="K12" s="10" t="s">
        <v>129</v>
      </c>
      <c r="L12" s="8" t="s">
        <v>58</v>
      </c>
      <c r="M12" s="8" t="s">
        <v>35</v>
      </c>
      <c r="N12" s="11">
        <v>44746.0</v>
      </c>
      <c r="O12" s="11">
        <v>44767.0</v>
      </c>
      <c r="P12" s="11">
        <v>44809.0</v>
      </c>
      <c r="Q12" s="11">
        <v>44768.0</v>
      </c>
      <c r="R12" s="11">
        <v>44809.0</v>
      </c>
      <c r="S12" s="12"/>
      <c r="T12" s="8"/>
      <c r="U12" s="8" t="s">
        <v>130</v>
      </c>
      <c r="V12" s="13" t="s">
        <v>38</v>
      </c>
      <c r="W12" s="13" t="s">
        <v>131</v>
      </c>
      <c r="X12" s="12"/>
      <c r="Y12" s="14"/>
      <c r="Z12" s="14"/>
    </row>
    <row r="13">
      <c r="A13" s="8" t="s">
        <v>132</v>
      </c>
      <c r="B13" s="8" t="s">
        <v>133</v>
      </c>
      <c r="C13" s="8" t="s">
        <v>64</v>
      </c>
      <c r="D13" s="8" t="s">
        <v>26</v>
      </c>
      <c r="E13" s="8" t="s">
        <v>134</v>
      </c>
      <c r="F13" s="8">
        <v>5.0076066E7</v>
      </c>
      <c r="G13" s="8" t="s">
        <v>54</v>
      </c>
      <c r="H13" s="8" t="s">
        <v>135</v>
      </c>
      <c r="I13" s="8" t="s">
        <v>31</v>
      </c>
      <c r="J13" s="8" t="s">
        <v>136</v>
      </c>
      <c r="K13" s="10" t="s">
        <v>137</v>
      </c>
      <c r="L13" s="8" t="s">
        <v>58</v>
      </c>
      <c r="M13" s="8" t="s">
        <v>35</v>
      </c>
      <c r="N13" s="11">
        <v>44746.0</v>
      </c>
      <c r="O13" s="11">
        <v>44767.0</v>
      </c>
      <c r="P13" s="11">
        <v>44809.0</v>
      </c>
      <c r="Q13" s="11">
        <v>44767.0</v>
      </c>
      <c r="R13" s="11">
        <v>44809.0</v>
      </c>
      <c r="S13" s="12"/>
      <c r="T13" s="8"/>
      <c r="U13" s="8" t="s">
        <v>88</v>
      </c>
      <c r="V13" s="13" t="s">
        <v>138</v>
      </c>
      <c r="W13" s="13" t="s">
        <v>139</v>
      </c>
      <c r="X13" s="12"/>
      <c r="Y13" s="14"/>
      <c r="Z13" s="14"/>
    </row>
    <row r="14">
      <c r="A14" s="8" t="s">
        <v>140</v>
      </c>
      <c r="B14" s="8" t="s">
        <v>141</v>
      </c>
      <c r="C14" s="8" t="s">
        <v>25</v>
      </c>
      <c r="D14" s="8" t="s">
        <v>26</v>
      </c>
      <c r="E14" s="8" t="s">
        <v>142</v>
      </c>
      <c r="F14" s="8">
        <v>1.746643068E9</v>
      </c>
      <c r="G14" s="8" t="s">
        <v>31</v>
      </c>
      <c r="H14" s="8" t="s">
        <v>111</v>
      </c>
      <c r="I14" s="8" t="s">
        <v>143</v>
      </c>
      <c r="J14" s="8" t="s">
        <v>144</v>
      </c>
      <c r="K14" s="10" t="s">
        <v>145</v>
      </c>
      <c r="L14" s="8" t="s">
        <v>34</v>
      </c>
      <c r="M14" s="8" t="s">
        <v>35</v>
      </c>
      <c r="N14" s="11">
        <v>44746.0</v>
      </c>
      <c r="O14" s="11">
        <v>44743.0</v>
      </c>
      <c r="P14" s="11">
        <v>44785.0</v>
      </c>
      <c r="Q14" s="11">
        <v>44753.0</v>
      </c>
      <c r="R14" s="11">
        <v>44796.0</v>
      </c>
      <c r="S14" s="12"/>
      <c r="T14" s="8" t="s">
        <v>36</v>
      </c>
      <c r="U14" s="8" t="s">
        <v>146</v>
      </c>
      <c r="V14" s="13" t="s">
        <v>111</v>
      </c>
      <c r="W14" s="13" t="s">
        <v>147</v>
      </c>
      <c r="X14" s="12"/>
      <c r="Y14" s="14"/>
      <c r="Z14" s="14"/>
    </row>
    <row r="15">
      <c r="A15" s="8" t="s">
        <v>148</v>
      </c>
      <c r="B15" s="8" t="s">
        <v>149</v>
      </c>
      <c r="C15" s="8" t="s">
        <v>25</v>
      </c>
      <c r="D15" s="8" t="s">
        <v>26</v>
      </c>
      <c r="E15" s="8" t="s">
        <v>150</v>
      </c>
      <c r="F15" s="8">
        <v>7.0468792E8</v>
      </c>
      <c r="G15" s="8" t="s">
        <v>84</v>
      </c>
      <c r="H15" s="8" t="s">
        <v>151</v>
      </c>
      <c r="I15" s="8" t="s">
        <v>31</v>
      </c>
      <c r="J15" s="8" t="s">
        <v>77</v>
      </c>
      <c r="K15" s="10" t="s">
        <v>152</v>
      </c>
      <c r="L15" s="8" t="s">
        <v>58</v>
      </c>
      <c r="M15" s="8" t="s">
        <v>35</v>
      </c>
      <c r="N15" s="11">
        <v>44747.0</v>
      </c>
      <c r="O15" s="11">
        <v>44781.0</v>
      </c>
      <c r="P15" s="11">
        <v>44823.0</v>
      </c>
      <c r="Q15" s="11">
        <v>44783.0</v>
      </c>
      <c r="R15" s="11">
        <v>44821.0</v>
      </c>
      <c r="S15" s="12"/>
      <c r="T15" s="8"/>
      <c r="U15" s="8" t="s">
        <v>153</v>
      </c>
      <c r="V15" s="13" t="s">
        <v>154</v>
      </c>
      <c r="W15" s="13" t="s">
        <v>155</v>
      </c>
      <c r="X15" s="12"/>
      <c r="Y15" s="14"/>
      <c r="Z15" s="14"/>
    </row>
    <row r="16">
      <c r="A16" s="8" t="s">
        <v>156</v>
      </c>
      <c r="B16" s="8" t="s">
        <v>157</v>
      </c>
      <c r="C16" s="8" t="s">
        <v>25</v>
      </c>
      <c r="D16" s="8" t="s">
        <v>26</v>
      </c>
      <c r="E16" s="8" t="s">
        <v>158</v>
      </c>
      <c r="F16" s="8">
        <v>5.075936399E9</v>
      </c>
      <c r="G16" s="8" t="s">
        <v>31</v>
      </c>
      <c r="H16" s="8" t="s">
        <v>56</v>
      </c>
      <c r="I16" s="8" t="s">
        <v>127</v>
      </c>
      <c r="J16" s="8" t="s">
        <v>159</v>
      </c>
      <c r="K16" s="10" t="s">
        <v>160</v>
      </c>
      <c r="L16" s="8" t="s">
        <v>58</v>
      </c>
      <c r="M16" s="8" t="s">
        <v>35</v>
      </c>
      <c r="N16" s="11">
        <v>44747.0</v>
      </c>
      <c r="O16" s="11">
        <v>44746.0</v>
      </c>
      <c r="P16" s="11">
        <v>44788.0</v>
      </c>
      <c r="Q16" s="11">
        <v>44768.0</v>
      </c>
      <c r="R16" s="11">
        <v>44788.0</v>
      </c>
      <c r="S16" s="12"/>
      <c r="T16" s="8"/>
      <c r="U16" s="8" t="s">
        <v>161</v>
      </c>
      <c r="V16" s="13" t="s">
        <v>56</v>
      </c>
      <c r="W16" s="13" t="s">
        <v>162</v>
      </c>
      <c r="X16" s="12"/>
      <c r="Y16" s="14"/>
      <c r="Z16" s="14"/>
    </row>
    <row r="17">
      <c r="A17" s="8" t="s">
        <v>163</v>
      </c>
      <c r="B17" s="8" t="s">
        <v>164</v>
      </c>
      <c r="C17" s="8" t="s">
        <v>64</v>
      </c>
      <c r="D17" s="8" t="s">
        <v>26</v>
      </c>
      <c r="E17" s="8" t="s">
        <v>165</v>
      </c>
      <c r="F17" s="8">
        <v>1.3991643317E10</v>
      </c>
      <c r="G17" s="8" t="s">
        <v>109</v>
      </c>
      <c r="H17" s="8" t="s">
        <v>166</v>
      </c>
      <c r="I17" s="8" t="s">
        <v>31</v>
      </c>
      <c r="J17" s="8" t="s">
        <v>167</v>
      </c>
      <c r="K17" s="10" t="s">
        <v>168</v>
      </c>
      <c r="L17" s="8" t="s">
        <v>58</v>
      </c>
      <c r="M17" s="8" t="s">
        <v>35</v>
      </c>
      <c r="N17" s="11">
        <v>44747.0</v>
      </c>
      <c r="O17" s="11">
        <v>44760.0</v>
      </c>
      <c r="P17" s="11">
        <v>44802.0</v>
      </c>
      <c r="Q17" s="11">
        <v>44760.0</v>
      </c>
      <c r="R17" s="11">
        <v>44802.0</v>
      </c>
      <c r="S17" s="12"/>
      <c r="T17" s="8"/>
      <c r="U17" s="8" t="s">
        <v>130</v>
      </c>
      <c r="V17" s="13" t="s">
        <v>169</v>
      </c>
      <c r="W17" s="13" t="s">
        <v>170</v>
      </c>
      <c r="X17" s="12"/>
      <c r="Y17" s="14"/>
      <c r="Z17" s="14"/>
    </row>
    <row r="18">
      <c r="A18" s="8" t="s">
        <v>171</v>
      </c>
      <c r="B18" s="8" t="s">
        <v>172</v>
      </c>
      <c r="C18" s="8" t="s">
        <v>25</v>
      </c>
      <c r="D18" s="8" t="s">
        <v>26</v>
      </c>
      <c r="E18" s="8" t="s">
        <v>173</v>
      </c>
      <c r="F18" s="8">
        <v>5.322971873E9</v>
      </c>
      <c r="G18" s="8" t="s">
        <v>31</v>
      </c>
      <c r="H18" s="8" t="s">
        <v>86</v>
      </c>
      <c r="I18" s="8" t="s">
        <v>127</v>
      </c>
      <c r="J18" s="8" t="s">
        <v>159</v>
      </c>
      <c r="K18" s="10" t="s">
        <v>174</v>
      </c>
      <c r="L18" s="8" t="s">
        <v>58</v>
      </c>
      <c r="M18" s="8" t="s">
        <v>35</v>
      </c>
      <c r="N18" s="11">
        <v>44747.0</v>
      </c>
      <c r="O18" s="11">
        <v>44753.0</v>
      </c>
      <c r="P18" s="11">
        <v>44795.0</v>
      </c>
      <c r="Q18" s="11">
        <v>44754.0</v>
      </c>
      <c r="R18" s="11">
        <v>44795.0</v>
      </c>
      <c r="S18" s="12"/>
      <c r="T18" s="8"/>
      <c r="U18" s="8" t="s">
        <v>130</v>
      </c>
      <c r="V18" s="13" t="s">
        <v>175</v>
      </c>
      <c r="W18" s="13" t="s">
        <v>176</v>
      </c>
      <c r="X18" s="12"/>
      <c r="Y18" s="14"/>
      <c r="Z18" s="14"/>
    </row>
    <row r="19">
      <c r="A19" s="8" t="s">
        <v>177</v>
      </c>
      <c r="B19" s="8" t="s">
        <v>178</v>
      </c>
      <c r="C19" s="8" t="s">
        <v>179</v>
      </c>
      <c r="D19" s="8" t="s">
        <v>26</v>
      </c>
      <c r="E19" s="8" t="s">
        <v>180</v>
      </c>
      <c r="F19" s="9" t="s">
        <v>181</v>
      </c>
      <c r="G19" s="8" t="s">
        <v>31</v>
      </c>
      <c r="H19" s="8" t="s">
        <v>77</v>
      </c>
      <c r="I19" s="8" t="s">
        <v>182</v>
      </c>
      <c r="J19" s="8" t="s">
        <v>183</v>
      </c>
      <c r="K19" s="10" t="s">
        <v>184</v>
      </c>
      <c r="L19" s="8" t="s">
        <v>58</v>
      </c>
      <c r="M19" s="8" t="s">
        <v>35</v>
      </c>
      <c r="N19" s="11">
        <v>44747.0</v>
      </c>
      <c r="O19" s="11">
        <v>44900.0</v>
      </c>
      <c r="P19" s="11">
        <v>44942.0</v>
      </c>
      <c r="Q19" s="11"/>
      <c r="R19" s="11"/>
      <c r="S19" s="12"/>
      <c r="T19" s="8"/>
      <c r="U19" s="8" t="s">
        <v>185</v>
      </c>
      <c r="V19" s="13" t="s">
        <v>77</v>
      </c>
      <c r="W19" s="13" t="s">
        <v>186</v>
      </c>
      <c r="X19" s="12"/>
      <c r="Y19" s="14"/>
      <c r="Z19" s="14"/>
    </row>
    <row r="20">
      <c r="A20" s="8" t="s">
        <v>187</v>
      </c>
      <c r="B20" s="8" t="s">
        <v>188</v>
      </c>
      <c r="C20" s="8" t="s">
        <v>64</v>
      </c>
      <c r="D20" s="8" t="s">
        <v>26</v>
      </c>
      <c r="E20" s="8" t="s">
        <v>189</v>
      </c>
      <c r="F20" s="8">
        <v>5.3666979E7</v>
      </c>
      <c r="G20" s="8" t="s">
        <v>54</v>
      </c>
      <c r="H20" s="8" t="s">
        <v>135</v>
      </c>
      <c r="I20" s="8" t="s">
        <v>31</v>
      </c>
      <c r="J20" s="8" t="s">
        <v>102</v>
      </c>
      <c r="K20" s="10" t="s">
        <v>103</v>
      </c>
      <c r="L20" s="8" t="s">
        <v>58</v>
      </c>
      <c r="M20" s="8" t="s">
        <v>35</v>
      </c>
      <c r="N20" s="11">
        <v>44747.0</v>
      </c>
      <c r="O20" s="11">
        <v>44760.0</v>
      </c>
      <c r="P20" s="11">
        <v>44802.0</v>
      </c>
      <c r="Q20" s="11">
        <v>44760.0</v>
      </c>
      <c r="R20" s="11">
        <v>44803.0</v>
      </c>
      <c r="S20" s="12"/>
      <c r="T20" s="8"/>
      <c r="U20" s="8" t="s">
        <v>59</v>
      </c>
      <c r="V20" s="13" t="s">
        <v>190</v>
      </c>
      <c r="W20" s="13" t="s">
        <v>191</v>
      </c>
      <c r="X20" s="12"/>
      <c r="Y20" s="14"/>
      <c r="Z20" s="14"/>
    </row>
    <row r="21">
      <c r="A21" s="8" t="s">
        <v>192</v>
      </c>
      <c r="B21" s="8" t="s">
        <v>193</v>
      </c>
      <c r="C21" s="8" t="s">
        <v>25</v>
      </c>
      <c r="D21" s="8" t="s">
        <v>26</v>
      </c>
      <c r="E21" s="8" t="s">
        <v>194</v>
      </c>
      <c r="F21" s="8">
        <v>5.349774651E9</v>
      </c>
      <c r="G21" s="8" t="s">
        <v>31</v>
      </c>
      <c r="H21" s="8" t="s">
        <v>111</v>
      </c>
      <c r="I21" s="8" t="s">
        <v>195</v>
      </c>
      <c r="J21" s="8" t="s">
        <v>196</v>
      </c>
      <c r="K21" s="10" t="s">
        <v>197</v>
      </c>
      <c r="L21" s="8" t="s">
        <v>58</v>
      </c>
      <c r="M21" s="8" t="s">
        <v>35</v>
      </c>
      <c r="N21" s="11">
        <v>44747.0</v>
      </c>
      <c r="O21" s="11">
        <v>44753.0</v>
      </c>
      <c r="P21" s="11">
        <v>44795.0</v>
      </c>
      <c r="Q21" s="11">
        <v>44754.0</v>
      </c>
      <c r="R21" s="11">
        <v>44795.0</v>
      </c>
      <c r="S21" s="12"/>
      <c r="T21" s="8"/>
      <c r="U21" s="8" t="s">
        <v>88</v>
      </c>
      <c r="V21" s="13" t="s">
        <v>175</v>
      </c>
      <c r="W21" s="13" t="s">
        <v>198</v>
      </c>
      <c r="X21" s="12"/>
      <c r="Y21" s="14"/>
      <c r="Z21" s="14"/>
    </row>
    <row r="22">
      <c r="A22" s="8" t="s">
        <v>199</v>
      </c>
      <c r="B22" s="8" t="s">
        <v>200</v>
      </c>
      <c r="C22" s="8" t="s">
        <v>64</v>
      </c>
      <c r="D22" s="8" t="s">
        <v>26</v>
      </c>
      <c r="E22" s="8" t="s">
        <v>201</v>
      </c>
      <c r="F22" s="8">
        <v>5.343412769E9</v>
      </c>
      <c r="G22" s="8" t="s">
        <v>31</v>
      </c>
      <c r="H22" s="8" t="s">
        <v>56</v>
      </c>
      <c r="I22" s="8" t="s">
        <v>202</v>
      </c>
      <c r="J22" s="8" t="s">
        <v>203</v>
      </c>
      <c r="K22" s="10" t="s">
        <v>204</v>
      </c>
      <c r="L22" s="8" t="s">
        <v>34</v>
      </c>
      <c r="M22" s="8" t="s">
        <v>70</v>
      </c>
      <c r="N22" s="11">
        <v>44747.0</v>
      </c>
      <c r="O22" s="11">
        <v>44774.0</v>
      </c>
      <c r="P22" s="11">
        <v>45138.0</v>
      </c>
      <c r="Q22" s="11">
        <v>44955.0</v>
      </c>
      <c r="R22" s="11">
        <v>45319.0</v>
      </c>
      <c r="S22" s="12"/>
      <c r="T22" s="8" t="s">
        <v>205</v>
      </c>
      <c r="U22" s="8" t="s">
        <v>206</v>
      </c>
      <c r="V22" s="13" t="s">
        <v>56</v>
      </c>
      <c r="W22" s="13" t="s">
        <v>207</v>
      </c>
      <c r="X22" s="12"/>
      <c r="Y22" s="14"/>
      <c r="Z22" s="14"/>
    </row>
    <row r="23">
      <c r="A23" s="8" t="s">
        <v>208</v>
      </c>
      <c r="B23" s="8" t="s">
        <v>209</v>
      </c>
      <c r="C23" s="8" t="s">
        <v>64</v>
      </c>
      <c r="D23" s="8" t="s">
        <v>26</v>
      </c>
      <c r="E23" s="8" t="s">
        <v>210</v>
      </c>
      <c r="F23" s="8">
        <v>5.8633298E7</v>
      </c>
      <c r="G23" s="8" t="s">
        <v>54</v>
      </c>
      <c r="H23" s="8" t="s">
        <v>55</v>
      </c>
      <c r="I23" s="8" t="s">
        <v>31</v>
      </c>
      <c r="J23" s="8" t="s">
        <v>77</v>
      </c>
      <c r="K23" s="10" t="s">
        <v>78</v>
      </c>
      <c r="L23" s="8" t="s">
        <v>58</v>
      </c>
      <c r="M23" s="8" t="s">
        <v>35</v>
      </c>
      <c r="N23" s="11">
        <v>44748.0</v>
      </c>
      <c r="O23" s="11">
        <v>44810.0</v>
      </c>
      <c r="P23" s="11">
        <v>44852.0</v>
      </c>
      <c r="Q23" s="11">
        <v>44813.0</v>
      </c>
      <c r="R23" s="11">
        <v>44849.0</v>
      </c>
      <c r="S23" s="12"/>
      <c r="T23" s="8"/>
      <c r="U23" s="8" t="s">
        <v>59</v>
      </c>
      <c r="V23" s="13" t="s">
        <v>211</v>
      </c>
      <c r="W23" s="13" t="s">
        <v>212</v>
      </c>
      <c r="X23" s="12"/>
      <c r="Y23" s="14"/>
      <c r="Z23" s="14"/>
    </row>
    <row r="24">
      <c r="A24" s="8" t="s">
        <v>213</v>
      </c>
      <c r="B24" s="8" t="s">
        <v>214</v>
      </c>
      <c r="C24" s="8" t="s">
        <v>25</v>
      </c>
      <c r="D24" s="8" t="s">
        <v>26</v>
      </c>
      <c r="E24" s="8" t="s">
        <v>215</v>
      </c>
      <c r="F24" s="8">
        <v>5.418073246E9</v>
      </c>
      <c r="G24" s="8" t="s">
        <v>31</v>
      </c>
      <c r="H24" s="8" t="s">
        <v>56</v>
      </c>
      <c r="I24" s="8" t="s">
        <v>127</v>
      </c>
      <c r="J24" s="8" t="s">
        <v>159</v>
      </c>
      <c r="K24" s="10" t="s">
        <v>160</v>
      </c>
      <c r="L24" s="8" t="s">
        <v>58</v>
      </c>
      <c r="M24" s="8" t="s">
        <v>35</v>
      </c>
      <c r="N24" s="11">
        <v>44748.0</v>
      </c>
      <c r="O24" s="11">
        <v>44746.0</v>
      </c>
      <c r="P24" s="11">
        <v>44788.0</v>
      </c>
      <c r="Q24" s="11">
        <v>44757.0</v>
      </c>
      <c r="R24" s="11">
        <v>44797.0</v>
      </c>
      <c r="S24" s="12"/>
      <c r="T24" s="8"/>
      <c r="U24" s="8" t="s">
        <v>161</v>
      </c>
      <c r="V24" s="13" t="s">
        <v>56</v>
      </c>
      <c r="W24" s="13" t="s">
        <v>216</v>
      </c>
      <c r="X24" s="12"/>
      <c r="Y24" s="14"/>
      <c r="Z24" s="14"/>
    </row>
    <row r="25">
      <c r="A25" s="8" t="s">
        <v>217</v>
      </c>
      <c r="B25" s="8" t="s">
        <v>218</v>
      </c>
      <c r="C25" s="8" t="s">
        <v>25</v>
      </c>
      <c r="D25" s="8" t="s">
        <v>26</v>
      </c>
      <c r="E25" s="8" t="s">
        <v>219</v>
      </c>
      <c r="F25" s="8"/>
      <c r="G25" s="8" t="s">
        <v>31</v>
      </c>
      <c r="H25" s="8" t="s">
        <v>220</v>
      </c>
      <c r="I25" s="8" t="s">
        <v>221</v>
      </c>
      <c r="J25" s="8" t="s">
        <v>222</v>
      </c>
      <c r="K25" s="10" t="s">
        <v>223</v>
      </c>
      <c r="L25" s="8" t="s">
        <v>34</v>
      </c>
      <c r="M25" s="8" t="s">
        <v>35</v>
      </c>
      <c r="N25" s="11">
        <v>44748.0</v>
      </c>
      <c r="O25" s="11">
        <v>44753.0</v>
      </c>
      <c r="P25" s="11">
        <v>44809.0</v>
      </c>
      <c r="Q25" s="11">
        <v>44753.0</v>
      </c>
      <c r="R25" s="11">
        <v>44809.0</v>
      </c>
      <c r="S25" s="12"/>
      <c r="T25" s="8" t="s">
        <v>224</v>
      </c>
      <c r="U25" s="8" t="s">
        <v>225</v>
      </c>
      <c r="V25" s="13" t="s">
        <v>38</v>
      </c>
      <c r="W25" s="13" t="s">
        <v>226</v>
      </c>
      <c r="X25" s="12"/>
      <c r="Y25" s="14"/>
      <c r="Z25" s="14"/>
    </row>
    <row r="26">
      <c r="A26" s="8" t="s">
        <v>227</v>
      </c>
      <c r="B26" s="8" t="s">
        <v>228</v>
      </c>
      <c r="C26" s="8" t="s">
        <v>25</v>
      </c>
      <c r="D26" s="8" t="s">
        <v>26</v>
      </c>
      <c r="E26" s="8" t="s">
        <v>229</v>
      </c>
      <c r="F26" s="8">
        <v>5.309492927E9</v>
      </c>
      <c r="G26" s="8" t="s">
        <v>31</v>
      </c>
      <c r="H26" s="8" t="s">
        <v>111</v>
      </c>
      <c r="I26" s="8" t="s">
        <v>230</v>
      </c>
      <c r="J26" s="8" t="s">
        <v>231</v>
      </c>
      <c r="K26" s="10" t="s">
        <v>232</v>
      </c>
      <c r="L26" s="8" t="s">
        <v>58</v>
      </c>
      <c r="M26" s="8" t="s">
        <v>35</v>
      </c>
      <c r="N26" s="11">
        <v>44748.0</v>
      </c>
      <c r="O26" s="11">
        <v>44766.0</v>
      </c>
      <c r="P26" s="11">
        <v>44808.0</v>
      </c>
      <c r="Q26" s="11">
        <v>44775.0</v>
      </c>
      <c r="R26" s="11">
        <v>44808.0</v>
      </c>
      <c r="S26" s="12"/>
      <c r="T26" s="8"/>
      <c r="U26" s="8" t="s">
        <v>59</v>
      </c>
      <c r="V26" s="13" t="s">
        <v>111</v>
      </c>
      <c r="W26" s="13" t="s">
        <v>233</v>
      </c>
      <c r="X26" s="12"/>
      <c r="Y26" s="14"/>
      <c r="Z26" s="14"/>
    </row>
    <row r="27">
      <c r="A27" s="8" t="s">
        <v>234</v>
      </c>
      <c r="B27" s="8" t="s">
        <v>235</v>
      </c>
      <c r="C27" s="8" t="s">
        <v>25</v>
      </c>
      <c r="D27" s="8" t="s">
        <v>26</v>
      </c>
      <c r="E27" s="8" t="s">
        <v>236</v>
      </c>
      <c r="F27" s="8"/>
      <c r="G27" s="8" t="s">
        <v>54</v>
      </c>
      <c r="H27" s="8" t="s">
        <v>237</v>
      </c>
      <c r="I27" s="8" t="s">
        <v>31</v>
      </c>
      <c r="J27" s="8" t="s">
        <v>32</v>
      </c>
      <c r="K27" s="10" t="s">
        <v>238</v>
      </c>
      <c r="L27" s="8" t="s">
        <v>58</v>
      </c>
      <c r="M27" s="8" t="s">
        <v>35</v>
      </c>
      <c r="N27" s="11">
        <v>44749.0</v>
      </c>
      <c r="O27" s="11">
        <v>44822.0</v>
      </c>
      <c r="P27" s="11">
        <v>44864.0</v>
      </c>
      <c r="Q27" s="11">
        <v>44824.0</v>
      </c>
      <c r="R27" s="11">
        <v>44864.0</v>
      </c>
      <c r="S27" s="12"/>
      <c r="T27" s="8"/>
      <c r="U27" s="8" t="s">
        <v>59</v>
      </c>
      <c r="V27" s="13" t="s">
        <v>239</v>
      </c>
      <c r="W27" s="13" t="s">
        <v>240</v>
      </c>
      <c r="X27" s="12"/>
      <c r="Y27" s="14"/>
      <c r="Z27" s="14"/>
    </row>
    <row r="28">
      <c r="A28" s="8" t="s">
        <v>241</v>
      </c>
      <c r="B28" s="8" t="s">
        <v>242</v>
      </c>
      <c r="C28" s="8" t="s">
        <v>64</v>
      </c>
      <c r="D28" s="8" t="s">
        <v>26</v>
      </c>
      <c r="E28" s="8" t="s">
        <v>243</v>
      </c>
      <c r="F28" s="8">
        <v>2.8687588E7</v>
      </c>
      <c r="G28" s="8" t="s">
        <v>54</v>
      </c>
      <c r="H28" s="8" t="s">
        <v>244</v>
      </c>
      <c r="I28" s="8" t="s">
        <v>31</v>
      </c>
      <c r="J28" s="8" t="s">
        <v>66</v>
      </c>
      <c r="K28" s="10" t="s">
        <v>245</v>
      </c>
      <c r="L28" s="8" t="s">
        <v>47</v>
      </c>
      <c r="M28" s="8" t="s">
        <v>70</v>
      </c>
      <c r="N28" s="11">
        <v>44749.0</v>
      </c>
      <c r="O28" s="11">
        <v>44788.0</v>
      </c>
      <c r="P28" s="11">
        <v>45107.0</v>
      </c>
      <c r="Q28" s="11">
        <v>44824.0</v>
      </c>
      <c r="R28" s="11">
        <v>45083.0</v>
      </c>
      <c r="S28" s="12"/>
      <c r="T28" s="8"/>
      <c r="U28" s="8" t="s">
        <v>246</v>
      </c>
      <c r="V28" s="13" t="s">
        <v>247</v>
      </c>
      <c r="W28" s="13" t="s">
        <v>248</v>
      </c>
      <c r="X28" s="12"/>
      <c r="Y28" s="14"/>
      <c r="Z28" s="14"/>
    </row>
    <row r="29">
      <c r="A29" s="8" t="s">
        <v>249</v>
      </c>
      <c r="B29" s="8" t="s">
        <v>250</v>
      </c>
      <c r="C29" s="8" t="s">
        <v>251</v>
      </c>
      <c r="D29" s="8" t="s">
        <v>26</v>
      </c>
      <c r="E29" s="8" t="s">
        <v>252</v>
      </c>
      <c r="F29" s="8" t="s">
        <v>253</v>
      </c>
      <c r="G29" s="8" t="s">
        <v>254</v>
      </c>
      <c r="H29" s="8" t="s">
        <v>255</v>
      </c>
      <c r="I29" s="8" t="s">
        <v>31</v>
      </c>
      <c r="J29" s="8" t="s">
        <v>256</v>
      </c>
      <c r="K29" s="10" t="s">
        <v>257</v>
      </c>
      <c r="L29" s="8" t="s">
        <v>47</v>
      </c>
      <c r="M29" s="8" t="s">
        <v>70</v>
      </c>
      <c r="N29" s="11">
        <v>44749.0</v>
      </c>
      <c r="O29" s="11">
        <v>44761.0</v>
      </c>
      <c r="P29" s="11">
        <v>45035.0</v>
      </c>
      <c r="Q29" s="11"/>
      <c r="R29" s="11"/>
      <c r="S29" s="12"/>
      <c r="T29" s="8"/>
      <c r="U29" s="8" t="s">
        <v>246</v>
      </c>
      <c r="V29" s="13" t="s">
        <v>258</v>
      </c>
      <c r="W29" s="13" t="s">
        <v>259</v>
      </c>
      <c r="X29" s="12"/>
      <c r="Y29" s="14"/>
      <c r="Z29" s="14"/>
    </row>
    <row r="30">
      <c r="A30" s="8" t="s">
        <v>260</v>
      </c>
      <c r="B30" s="8" t="s">
        <v>261</v>
      </c>
      <c r="C30" s="8" t="s">
        <v>251</v>
      </c>
      <c r="D30" s="8" t="s">
        <v>26</v>
      </c>
      <c r="E30" s="8" t="s">
        <v>262</v>
      </c>
      <c r="F30" s="8">
        <v>5.307018868E9</v>
      </c>
      <c r="G30" s="8" t="s">
        <v>31</v>
      </c>
      <c r="H30" s="8" t="s">
        <v>77</v>
      </c>
      <c r="I30" s="8" t="s">
        <v>127</v>
      </c>
      <c r="J30" s="8" t="s">
        <v>128</v>
      </c>
      <c r="K30" s="10" t="s">
        <v>263</v>
      </c>
      <c r="L30" s="8" t="s">
        <v>58</v>
      </c>
      <c r="M30" s="8" t="s">
        <v>35</v>
      </c>
      <c r="N30" s="11">
        <v>44749.0</v>
      </c>
      <c r="O30" s="11">
        <v>44767.0</v>
      </c>
      <c r="P30" s="11">
        <v>44809.0</v>
      </c>
      <c r="Q30" s="11"/>
      <c r="R30" s="11"/>
      <c r="S30" s="12"/>
      <c r="T30" s="8"/>
      <c r="U30" s="8" t="s">
        <v>88</v>
      </c>
      <c r="V30" s="13" t="s">
        <v>77</v>
      </c>
      <c r="W30" s="13" t="s">
        <v>264</v>
      </c>
      <c r="X30" s="12"/>
      <c r="Y30" s="14"/>
      <c r="Z30" s="14"/>
    </row>
    <row r="31">
      <c r="A31" s="8" t="s">
        <v>265</v>
      </c>
      <c r="B31" s="8" t="s">
        <v>266</v>
      </c>
      <c r="C31" s="8" t="s">
        <v>64</v>
      </c>
      <c r="D31" s="8" t="s">
        <v>26</v>
      </c>
      <c r="E31" s="8" t="s">
        <v>267</v>
      </c>
      <c r="F31" s="8">
        <v>7.8829805E7</v>
      </c>
      <c r="G31" s="8" t="s">
        <v>268</v>
      </c>
      <c r="H31" s="8" t="s">
        <v>269</v>
      </c>
      <c r="I31" s="8" t="s">
        <v>31</v>
      </c>
      <c r="J31" s="8" t="s">
        <v>270</v>
      </c>
      <c r="K31" s="10" t="s">
        <v>271</v>
      </c>
      <c r="L31" s="8" t="s">
        <v>58</v>
      </c>
      <c r="M31" s="8" t="s">
        <v>35</v>
      </c>
      <c r="N31" s="11">
        <v>44749.0</v>
      </c>
      <c r="O31" s="11">
        <v>44823.0</v>
      </c>
      <c r="P31" s="11">
        <v>44865.0</v>
      </c>
      <c r="Q31" s="11">
        <v>44829.0</v>
      </c>
      <c r="R31" s="11">
        <v>44870.0</v>
      </c>
      <c r="S31" s="12"/>
      <c r="T31" s="8"/>
      <c r="U31" s="8" t="s">
        <v>59</v>
      </c>
      <c r="V31" s="13" t="s">
        <v>272</v>
      </c>
      <c r="W31" s="13" t="s">
        <v>273</v>
      </c>
      <c r="X31" s="12"/>
      <c r="Y31" s="14"/>
      <c r="Z31" s="14"/>
    </row>
    <row r="32">
      <c r="A32" s="8" t="s">
        <v>274</v>
      </c>
      <c r="B32" s="8" t="s">
        <v>275</v>
      </c>
      <c r="C32" s="8" t="s">
        <v>25</v>
      </c>
      <c r="D32" s="8" t="s">
        <v>26</v>
      </c>
      <c r="E32" s="8" t="s">
        <v>276</v>
      </c>
      <c r="F32" s="8">
        <v>5.334159297E9</v>
      </c>
      <c r="G32" s="8" t="s">
        <v>31</v>
      </c>
      <c r="H32" s="8" t="s">
        <v>56</v>
      </c>
      <c r="I32" s="8" t="s">
        <v>277</v>
      </c>
      <c r="J32" s="8" t="s">
        <v>278</v>
      </c>
      <c r="K32" s="10" t="s">
        <v>279</v>
      </c>
      <c r="L32" s="8" t="s">
        <v>58</v>
      </c>
      <c r="M32" s="8" t="s">
        <v>35</v>
      </c>
      <c r="N32" s="11">
        <v>44749.0</v>
      </c>
      <c r="O32" s="11">
        <v>44774.0</v>
      </c>
      <c r="P32" s="11">
        <v>44816.0</v>
      </c>
      <c r="Q32" s="11">
        <v>44775.0</v>
      </c>
      <c r="R32" s="11">
        <v>44816.0</v>
      </c>
      <c r="S32" s="12"/>
      <c r="T32" s="8"/>
      <c r="U32" s="8" t="s">
        <v>185</v>
      </c>
      <c r="V32" s="13" t="s">
        <v>56</v>
      </c>
      <c r="W32" s="13" t="s">
        <v>280</v>
      </c>
      <c r="X32" s="12"/>
      <c r="Y32" s="14"/>
      <c r="Z32" s="14"/>
    </row>
    <row r="33">
      <c r="A33" s="8" t="s">
        <v>281</v>
      </c>
      <c r="B33" s="8" t="s">
        <v>282</v>
      </c>
      <c r="C33" s="8" t="s">
        <v>64</v>
      </c>
      <c r="D33" s="8" t="s">
        <v>26</v>
      </c>
      <c r="E33" s="8" t="s">
        <v>283</v>
      </c>
      <c r="F33" s="8">
        <v>1.01808546E9</v>
      </c>
      <c r="G33" s="8" t="s">
        <v>284</v>
      </c>
      <c r="H33" s="8" t="s">
        <v>285</v>
      </c>
      <c r="I33" s="8" t="s">
        <v>31</v>
      </c>
      <c r="J33" s="8" t="s">
        <v>32</v>
      </c>
      <c r="K33" s="10" t="s">
        <v>286</v>
      </c>
      <c r="L33" s="8" t="s">
        <v>58</v>
      </c>
      <c r="M33" s="8" t="s">
        <v>35</v>
      </c>
      <c r="N33" s="11">
        <v>44749.0</v>
      </c>
      <c r="O33" s="11">
        <v>44822.0</v>
      </c>
      <c r="P33" s="11">
        <v>44864.0</v>
      </c>
      <c r="Q33" s="11">
        <v>44826.0</v>
      </c>
      <c r="R33" s="11">
        <v>44868.0</v>
      </c>
      <c r="S33" s="12"/>
      <c r="T33" s="8"/>
      <c r="U33" s="8" t="s">
        <v>59</v>
      </c>
      <c r="V33" s="13" t="s">
        <v>285</v>
      </c>
      <c r="W33" s="13" t="s">
        <v>287</v>
      </c>
      <c r="X33" s="12"/>
      <c r="Y33" s="14"/>
      <c r="Z33" s="14"/>
    </row>
    <row r="34">
      <c r="A34" s="8" t="s">
        <v>288</v>
      </c>
      <c r="B34" s="8" t="s">
        <v>289</v>
      </c>
      <c r="C34" s="8" t="s">
        <v>251</v>
      </c>
      <c r="D34" s="8" t="s">
        <v>26</v>
      </c>
      <c r="E34" s="8" t="s">
        <v>290</v>
      </c>
      <c r="F34" s="8">
        <v>5.353282593E9</v>
      </c>
      <c r="G34" s="8" t="s">
        <v>254</v>
      </c>
      <c r="H34" s="8" t="s">
        <v>291</v>
      </c>
      <c r="I34" s="8" t="s">
        <v>31</v>
      </c>
      <c r="J34" s="8" t="s">
        <v>292</v>
      </c>
      <c r="K34" s="10" t="s">
        <v>293</v>
      </c>
      <c r="L34" s="8" t="s">
        <v>47</v>
      </c>
      <c r="M34" s="8" t="s">
        <v>70</v>
      </c>
      <c r="N34" s="11">
        <v>44750.0</v>
      </c>
      <c r="O34" s="11">
        <v>44793.0</v>
      </c>
      <c r="P34" s="11">
        <v>45097.0</v>
      </c>
      <c r="Q34" s="11"/>
      <c r="R34" s="11"/>
      <c r="S34" s="12"/>
      <c r="T34" s="8"/>
      <c r="U34" s="8" t="s">
        <v>294</v>
      </c>
      <c r="V34" s="13" t="s">
        <v>295</v>
      </c>
      <c r="W34" s="13" t="s">
        <v>296</v>
      </c>
      <c r="X34" s="12"/>
      <c r="Y34" s="14"/>
      <c r="Z34" s="14"/>
    </row>
    <row r="35">
      <c r="A35" s="8" t="s">
        <v>297</v>
      </c>
      <c r="B35" s="8" t="s">
        <v>298</v>
      </c>
      <c r="C35" s="8" t="s">
        <v>64</v>
      </c>
      <c r="D35" s="8" t="s">
        <v>26</v>
      </c>
      <c r="E35" s="8" t="s">
        <v>299</v>
      </c>
      <c r="F35" s="8">
        <v>1.112237777E9</v>
      </c>
      <c r="G35" s="8" t="s">
        <v>284</v>
      </c>
      <c r="H35" s="8" t="s">
        <v>300</v>
      </c>
      <c r="I35" s="8" t="s">
        <v>31</v>
      </c>
      <c r="J35" s="8" t="s">
        <v>32</v>
      </c>
      <c r="K35" s="10" t="s">
        <v>301</v>
      </c>
      <c r="L35" s="8" t="s">
        <v>47</v>
      </c>
      <c r="M35" s="8" t="s">
        <v>70</v>
      </c>
      <c r="N35" s="11">
        <v>44750.0</v>
      </c>
      <c r="O35" s="11">
        <v>44791.0</v>
      </c>
      <c r="P35" s="11">
        <v>45156.0</v>
      </c>
      <c r="Q35" s="11">
        <v>44816.0</v>
      </c>
      <c r="R35" s="11">
        <v>45181.0</v>
      </c>
      <c r="S35" s="12"/>
      <c r="T35" s="8"/>
      <c r="U35" s="8" t="s">
        <v>302</v>
      </c>
      <c r="V35" s="13" t="s">
        <v>300</v>
      </c>
      <c r="W35" s="13" t="s">
        <v>303</v>
      </c>
      <c r="X35" s="12"/>
      <c r="Y35" s="14"/>
      <c r="Z35" s="14"/>
    </row>
    <row r="36">
      <c r="A36" s="8" t="s">
        <v>304</v>
      </c>
      <c r="B36" s="8" t="s">
        <v>305</v>
      </c>
      <c r="C36" s="8" t="s">
        <v>64</v>
      </c>
      <c r="D36" s="8" t="s">
        <v>26</v>
      </c>
      <c r="E36" s="8" t="s">
        <v>306</v>
      </c>
      <c r="F36" s="8"/>
      <c r="G36" s="8" t="s">
        <v>307</v>
      </c>
      <c r="H36" s="8" t="s">
        <v>308</v>
      </c>
      <c r="I36" s="8" t="s">
        <v>31</v>
      </c>
      <c r="J36" s="8" t="s">
        <v>220</v>
      </c>
      <c r="K36" s="10" t="s">
        <v>309</v>
      </c>
      <c r="L36" s="8" t="s">
        <v>34</v>
      </c>
      <c r="M36" s="8" t="s">
        <v>70</v>
      </c>
      <c r="N36" s="11">
        <v>44751.0</v>
      </c>
      <c r="O36" s="11">
        <v>44773.0</v>
      </c>
      <c r="P36" s="11">
        <v>45138.0</v>
      </c>
      <c r="Q36" s="11">
        <v>44830.0</v>
      </c>
      <c r="R36" s="11">
        <v>45195.0</v>
      </c>
      <c r="S36" s="12"/>
      <c r="T36" s="8" t="s">
        <v>121</v>
      </c>
      <c r="U36" s="8" t="s">
        <v>310</v>
      </c>
      <c r="V36" s="13" t="s">
        <v>38</v>
      </c>
      <c r="W36" s="13" t="s">
        <v>311</v>
      </c>
      <c r="X36" s="12"/>
      <c r="Y36" s="14"/>
      <c r="Z36" s="14"/>
    </row>
    <row r="37">
      <c r="A37" s="8" t="s">
        <v>312</v>
      </c>
      <c r="B37" s="8" t="s">
        <v>313</v>
      </c>
      <c r="C37" s="8" t="s">
        <v>25</v>
      </c>
      <c r="D37" s="8" t="s">
        <v>26</v>
      </c>
      <c r="E37" s="8" t="s">
        <v>314</v>
      </c>
      <c r="F37" s="8">
        <v>5.464771043E9</v>
      </c>
      <c r="G37" s="8" t="s">
        <v>31</v>
      </c>
      <c r="H37" s="8" t="s">
        <v>86</v>
      </c>
      <c r="I37" s="8" t="s">
        <v>315</v>
      </c>
      <c r="J37" s="8" t="s">
        <v>316</v>
      </c>
      <c r="K37" s="10" t="s">
        <v>317</v>
      </c>
      <c r="L37" s="8" t="s">
        <v>34</v>
      </c>
      <c r="M37" s="8" t="s">
        <v>35</v>
      </c>
      <c r="N37" s="11">
        <v>44751.0</v>
      </c>
      <c r="O37" s="11">
        <v>44768.0</v>
      </c>
      <c r="P37" s="11">
        <v>44810.0</v>
      </c>
      <c r="Q37" s="11">
        <v>44790.0</v>
      </c>
      <c r="R37" s="11">
        <v>44821.0</v>
      </c>
      <c r="S37" s="12"/>
      <c r="T37" s="8" t="s">
        <v>205</v>
      </c>
      <c r="U37" s="8" t="s">
        <v>318</v>
      </c>
      <c r="V37" s="13" t="s">
        <v>175</v>
      </c>
      <c r="W37" s="13" t="s">
        <v>319</v>
      </c>
      <c r="X37" s="12"/>
      <c r="Y37" s="14"/>
      <c r="Z37" s="14"/>
    </row>
    <row r="38">
      <c r="A38" s="8" t="s">
        <v>320</v>
      </c>
      <c r="B38" s="8" t="s">
        <v>321</v>
      </c>
      <c r="C38" s="8" t="s">
        <v>25</v>
      </c>
      <c r="D38" s="8" t="s">
        <v>26</v>
      </c>
      <c r="E38" s="8" t="s">
        <v>322</v>
      </c>
      <c r="F38" s="8">
        <v>5.4218872E7</v>
      </c>
      <c r="G38" s="8" t="s">
        <v>54</v>
      </c>
      <c r="H38" s="8" t="s">
        <v>76</v>
      </c>
      <c r="I38" s="8" t="s">
        <v>31</v>
      </c>
      <c r="J38" s="8" t="s">
        <v>111</v>
      </c>
      <c r="K38" s="10" t="s">
        <v>323</v>
      </c>
      <c r="L38" s="8" t="s">
        <v>58</v>
      </c>
      <c r="M38" s="8" t="s">
        <v>35</v>
      </c>
      <c r="N38" s="11">
        <v>44751.0</v>
      </c>
      <c r="O38" s="11">
        <v>44767.0</v>
      </c>
      <c r="P38" s="11">
        <v>44809.0</v>
      </c>
      <c r="Q38" s="11">
        <v>44769.0</v>
      </c>
      <c r="R38" s="11">
        <v>44809.0</v>
      </c>
      <c r="S38" s="12"/>
      <c r="T38" s="8"/>
      <c r="U38" s="8" t="s">
        <v>59</v>
      </c>
      <c r="V38" s="13" t="s">
        <v>324</v>
      </c>
      <c r="W38" s="13" t="s">
        <v>325</v>
      </c>
      <c r="X38" s="12"/>
      <c r="Y38" s="14"/>
      <c r="Z38" s="14"/>
    </row>
    <row r="39">
      <c r="A39" s="8" t="s">
        <v>326</v>
      </c>
      <c r="B39" s="8" t="s">
        <v>327</v>
      </c>
      <c r="C39" s="8" t="s">
        <v>25</v>
      </c>
      <c r="D39" s="8" t="s">
        <v>26</v>
      </c>
      <c r="E39" s="8" t="s">
        <v>328</v>
      </c>
      <c r="F39" s="8">
        <v>5.383834725E9</v>
      </c>
      <c r="G39" s="8" t="s">
        <v>31</v>
      </c>
      <c r="H39" s="8" t="s">
        <v>86</v>
      </c>
      <c r="I39" s="8" t="s">
        <v>202</v>
      </c>
      <c r="J39" s="8" t="s">
        <v>203</v>
      </c>
      <c r="K39" s="10" t="s">
        <v>329</v>
      </c>
      <c r="L39" s="8" t="s">
        <v>34</v>
      </c>
      <c r="M39" s="8" t="s">
        <v>70</v>
      </c>
      <c r="N39" s="11">
        <v>44751.0</v>
      </c>
      <c r="O39" s="11">
        <v>44805.0</v>
      </c>
      <c r="P39" s="11">
        <v>45169.0</v>
      </c>
      <c r="Q39" s="11">
        <v>44890.0</v>
      </c>
      <c r="R39" s="11">
        <v>45254.0</v>
      </c>
      <c r="S39" s="12"/>
      <c r="T39" s="8" t="s">
        <v>330</v>
      </c>
      <c r="U39" s="8" t="s">
        <v>331</v>
      </c>
      <c r="V39" s="13" t="s">
        <v>175</v>
      </c>
      <c r="W39" s="13" t="s">
        <v>332</v>
      </c>
      <c r="X39" s="12"/>
      <c r="Y39" s="14"/>
      <c r="Z39" s="14"/>
    </row>
    <row r="40">
      <c r="A40" s="8" t="s">
        <v>333</v>
      </c>
      <c r="B40" s="8" t="s">
        <v>334</v>
      </c>
      <c r="C40" s="8" t="s">
        <v>335</v>
      </c>
      <c r="D40" s="8" t="s">
        <v>26</v>
      </c>
      <c r="E40" s="8" t="s">
        <v>336</v>
      </c>
      <c r="F40" s="8">
        <v>1.5153298816E10</v>
      </c>
      <c r="G40" s="8" t="s">
        <v>202</v>
      </c>
      <c r="H40" s="8" t="s">
        <v>337</v>
      </c>
      <c r="I40" s="8" t="s">
        <v>31</v>
      </c>
      <c r="J40" s="8" t="s">
        <v>111</v>
      </c>
      <c r="K40" s="10" t="s">
        <v>338</v>
      </c>
      <c r="L40" s="8" t="s">
        <v>58</v>
      </c>
      <c r="M40" s="8" t="s">
        <v>35</v>
      </c>
      <c r="N40" s="11">
        <v>45138.0</v>
      </c>
      <c r="O40" s="11">
        <v>44896.0</v>
      </c>
      <c r="P40" s="11">
        <v>44938.0</v>
      </c>
      <c r="Q40" s="11"/>
      <c r="R40" s="11"/>
      <c r="S40" s="12"/>
      <c r="T40" s="8"/>
      <c r="U40" s="8" t="s">
        <v>339</v>
      </c>
      <c r="V40" s="13" t="s">
        <v>340</v>
      </c>
      <c r="W40" s="13" t="s">
        <v>341</v>
      </c>
      <c r="X40" s="12"/>
      <c r="Y40" s="14"/>
      <c r="Z40" s="14"/>
    </row>
    <row r="41">
      <c r="A41" s="8" t="s">
        <v>342</v>
      </c>
      <c r="B41" s="8" t="s">
        <v>343</v>
      </c>
      <c r="C41" s="8" t="s">
        <v>64</v>
      </c>
      <c r="D41" s="8" t="s">
        <v>26</v>
      </c>
      <c r="E41" s="8" t="s">
        <v>344</v>
      </c>
      <c r="F41" s="8">
        <v>2.9102769E7</v>
      </c>
      <c r="G41" s="8" t="s">
        <v>54</v>
      </c>
      <c r="H41" s="8" t="s">
        <v>135</v>
      </c>
      <c r="I41" s="8" t="s">
        <v>31</v>
      </c>
      <c r="J41" s="8" t="s">
        <v>111</v>
      </c>
      <c r="K41" s="10" t="s">
        <v>345</v>
      </c>
      <c r="L41" s="8" t="s">
        <v>58</v>
      </c>
      <c r="M41" s="8" t="s">
        <v>35</v>
      </c>
      <c r="N41" s="11">
        <v>44753.0</v>
      </c>
      <c r="O41" s="11">
        <v>44760.0</v>
      </c>
      <c r="P41" s="11">
        <v>44802.0</v>
      </c>
      <c r="Q41" s="11">
        <v>44761.0</v>
      </c>
      <c r="R41" s="11">
        <v>44802.0</v>
      </c>
      <c r="S41" s="12"/>
      <c r="T41" s="8"/>
      <c r="U41" s="8" t="s">
        <v>59</v>
      </c>
      <c r="V41" s="13" t="s">
        <v>346</v>
      </c>
      <c r="W41" s="13" t="s">
        <v>347</v>
      </c>
      <c r="X41" s="12"/>
      <c r="Y41" s="14"/>
      <c r="Z41" s="14"/>
    </row>
    <row r="42">
      <c r="A42" s="8" t="s">
        <v>348</v>
      </c>
      <c r="B42" s="8" t="s">
        <v>349</v>
      </c>
      <c r="C42" s="8" t="s">
        <v>25</v>
      </c>
      <c r="D42" s="8" t="s">
        <v>26</v>
      </c>
      <c r="E42" s="8" t="s">
        <v>350</v>
      </c>
      <c r="F42" s="8"/>
      <c r="G42" s="8" t="s">
        <v>54</v>
      </c>
      <c r="H42" s="8" t="s">
        <v>135</v>
      </c>
      <c r="I42" s="8" t="s">
        <v>31</v>
      </c>
      <c r="J42" s="8" t="s">
        <v>56</v>
      </c>
      <c r="K42" s="10" t="s">
        <v>351</v>
      </c>
      <c r="L42" s="8" t="s">
        <v>58</v>
      </c>
      <c r="M42" s="8" t="s">
        <v>35</v>
      </c>
      <c r="N42" s="11">
        <v>44753.0</v>
      </c>
      <c r="O42" s="11">
        <v>44760.0</v>
      </c>
      <c r="P42" s="11">
        <v>44802.0</v>
      </c>
      <c r="Q42" s="11">
        <v>44759.0</v>
      </c>
      <c r="R42" s="11">
        <v>44802.0</v>
      </c>
      <c r="S42" s="12"/>
      <c r="T42" s="8"/>
      <c r="U42" s="8" t="s">
        <v>130</v>
      </c>
      <c r="V42" s="13" t="s">
        <v>352</v>
      </c>
      <c r="W42" s="13" t="s">
        <v>353</v>
      </c>
      <c r="X42" s="12"/>
      <c r="Y42" s="14"/>
      <c r="Z42" s="14"/>
    </row>
    <row r="43">
      <c r="A43" s="8" t="s">
        <v>354</v>
      </c>
      <c r="B43" s="8" t="s">
        <v>355</v>
      </c>
      <c r="C43" s="8" t="s">
        <v>64</v>
      </c>
      <c r="D43" s="8" t="s">
        <v>26</v>
      </c>
      <c r="E43" s="8" t="s">
        <v>356</v>
      </c>
      <c r="F43" s="8">
        <v>5.0753242E7</v>
      </c>
      <c r="G43" s="8" t="s">
        <v>54</v>
      </c>
      <c r="H43" s="8" t="s">
        <v>135</v>
      </c>
      <c r="I43" s="8" t="s">
        <v>31</v>
      </c>
      <c r="J43" s="8" t="s">
        <v>77</v>
      </c>
      <c r="K43" s="10" t="s">
        <v>357</v>
      </c>
      <c r="L43" s="8" t="s">
        <v>58</v>
      </c>
      <c r="M43" s="8" t="s">
        <v>35</v>
      </c>
      <c r="N43" s="11">
        <v>44753.0</v>
      </c>
      <c r="O43" s="11">
        <v>44767.0</v>
      </c>
      <c r="P43" s="11">
        <v>44809.0</v>
      </c>
      <c r="Q43" s="11">
        <v>44767.0</v>
      </c>
      <c r="R43" s="11">
        <v>44807.0</v>
      </c>
      <c r="S43" s="12"/>
      <c r="T43" s="8"/>
      <c r="U43" s="8" t="s">
        <v>153</v>
      </c>
      <c r="V43" s="13" t="s">
        <v>358</v>
      </c>
      <c r="W43" s="13" t="s">
        <v>359</v>
      </c>
      <c r="X43" s="12"/>
      <c r="Y43" s="14"/>
      <c r="Z43" s="14"/>
    </row>
    <row r="44">
      <c r="A44" s="8" t="s">
        <v>360</v>
      </c>
      <c r="B44" s="8" t="s">
        <v>361</v>
      </c>
      <c r="C44" s="8" t="s">
        <v>25</v>
      </c>
      <c r="D44" s="8" t="s">
        <v>26</v>
      </c>
      <c r="E44" s="8" t="s">
        <v>362</v>
      </c>
      <c r="F44" s="8">
        <v>5.419725105E9</v>
      </c>
      <c r="G44" s="8" t="s">
        <v>31</v>
      </c>
      <c r="H44" s="8" t="s">
        <v>56</v>
      </c>
      <c r="I44" s="8" t="s">
        <v>127</v>
      </c>
      <c r="J44" s="8" t="s">
        <v>363</v>
      </c>
      <c r="K44" s="10" t="s">
        <v>364</v>
      </c>
      <c r="L44" s="8" t="s">
        <v>58</v>
      </c>
      <c r="M44" s="8" t="s">
        <v>35</v>
      </c>
      <c r="N44" s="11">
        <v>44753.0</v>
      </c>
      <c r="O44" s="11">
        <v>44774.0</v>
      </c>
      <c r="P44" s="11">
        <v>44816.0</v>
      </c>
      <c r="Q44" s="11">
        <v>44775.0</v>
      </c>
      <c r="R44" s="11">
        <v>44816.0</v>
      </c>
      <c r="S44" s="12"/>
      <c r="T44" s="8"/>
      <c r="U44" s="8" t="s">
        <v>185</v>
      </c>
      <c r="V44" s="13" t="s">
        <v>56</v>
      </c>
      <c r="W44" s="13" t="s">
        <v>365</v>
      </c>
      <c r="X44" s="12"/>
      <c r="Y44" s="14"/>
      <c r="Z44" s="14"/>
    </row>
    <row r="45">
      <c r="A45" s="8" t="s">
        <v>366</v>
      </c>
      <c r="B45" s="8" t="s">
        <v>367</v>
      </c>
      <c r="C45" s="8" t="s">
        <v>25</v>
      </c>
      <c r="D45" s="8" t="s">
        <v>26</v>
      </c>
      <c r="E45" s="8" t="s">
        <v>368</v>
      </c>
      <c r="F45" s="8">
        <v>2.7957038E7</v>
      </c>
      <c r="G45" s="8" t="s">
        <v>54</v>
      </c>
      <c r="H45" s="8" t="s">
        <v>369</v>
      </c>
      <c r="I45" s="8" t="s">
        <v>31</v>
      </c>
      <c r="J45" s="8" t="s">
        <v>56</v>
      </c>
      <c r="K45" s="10" t="s">
        <v>370</v>
      </c>
      <c r="L45" s="8" t="s">
        <v>58</v>
      </c>
      <c r="M45" s="8" t="s">
        <v>35</v>
      </c>
      <c r="N45" s="11">
        <v>44753.0</v>
      </c>
      <c r="O45" s="11">
        <v>44787.0</v>
      </c>
      <c r="P45" s="11">
        <v>44829.0</v>
      </c>
      <c r="Q45" s="11">
        <v>44787.0</v>
      </c>
      <c r="R45" s="11">
        <v>44829.0</v>
      </c>
      <c r="S45" s="12"/>
      <c r="T45" s="8"/>
      <c r="U45" s="8" t="s">
        <v>371</v>
      </c>
      <c r="V45" s="13" t="s">
        <v>372</v>
      </c>
      <c r="W45" s="13" t="s">
        <v>373</v>
      </c>
      <c r="X45" s="12"/>
      <c r="Y45" s="14"/>
      <c r="Z45" s="14"/>
    </row>
    <row r="46">
      <c r="A46" s="8" t="s">
        <v>374</v>
      </c>
      <c r="B46" s="8" t="s">
        <v>375</v>
      </c>
      <c r="C46" s="8" t="s">
        <v>64</v>
      </c>
      <c r="D46" s="8" t="s">
        <v>26</v>
      </c>
      <c r="E46" s="8" t="s">
        <v>376</v>
      </c>
      <c r="F46" s="8">
        <v>2.3997189E7</v>
      </c>
      <c r="G46" s="8" t="s">
        <v>54</v>
      </c>
      <c r="H46" s="8" t="s">
        <v>377</v>
      </c>
      <c r="I46" s="8" t="s">
        <v>31</v>
      </c>
      <c r="J46" s="8" t="s">
        <v>167</v>
      </c>
      <c r="K46" s="10" t="s">
        <v>168</v>
      </c>
      <c r="L46" s="8" t="s">
        <v>58</v>
      </c>
      <c r="M46" s="8" t="s">
        <v>35</v>
      </c>
      <c r="N46" s="11">
        <v>44754.0</v>
      </c>
      <c r="O46" s="11">
        <v>44760.0</v>
      </c>
      <c r="P46" s="11">
        <v>44802.0</v>
      </c>
      <c r="Q46" s="11">
        <v>44760.0</v>
      </c>
      <c r="R46" s="11">
        <v>44802.0</v>
      </c>
      <c r="S46" s="12"/>
      <c r="T46" s="8"/>
      <c r="U46" s="8" t="s">
        <v>130</v>
      </c>
      <c r="V46" s="13" t="s">
        <v>378</v>
      </c>
      <c r="W46" s="13" t="s">
        <v>379</v>
      </c>
      <c r="X46" s="12"/>
      <c r="Y46" s="14"/>
      <c r="Z46" s="14"/>
    </row>
    <row r="47">
      <c r="A47" s="8" t="s">
        <v>380</v>
      </c>
      <c r="B47" s="8" t="s">
        <v>381</v>
      </c>
      <c r="C47" s="8" t="s">
        <v>25</v>
      </c>
      <c r="D47" s="8" t="s">
        <v>26</v>
      </c>
      <c r="E47" s="8" t="s">
        <v>382</v>
      </c>
      <c r="F47" s="8">
        <v>5.8017552E7</v>
      </c>
      <c r="G47" s="8" t="s">
        <v>54</v>
      </c>
      <c r="H47" s="8" t="s">
        <v>237</v>
      </c>
      <c r="I47" s="8" t="s">
        <v>31</v>
      </c>
      <c r="J47" s="8" t="s">
        <v>32</v>
      </c>
      <c r="K47" s="10" t="s">
        <v>383</v>
      </c>
      <c r="L47" s="8" t="s">
        <v>58</v>
      </c>
      <c r="M47" s="8" t="s">
        <v>35</v>
      </c>
      <c r="N47" s="11">
        <v>44754.0</v>
      </c>
      <c r="O47" s="11">
        <v>44794.0</v>
      </c>
      <c r="P47" s="11">
        <v>44836.0</v>
      </c>
      <c r="Q47" s="11">
        <v>44796.0</v>
      </c>
      <c r="R47" s="11">
        <v>44836.0</v>
      </c>
      <c r="S47" s="12"/>
      <c r="T47" s="8"/>
      <c r="U47" s="8" t="s">
        <v>88</v>
      </c>
      <c r="V47" s="13" t="s">
        <v>384</v>
      </c>
      <c r="W47" s="13" t="s">
        <v>385</v>
      </c>
      <c r="X47" s="12"/>
      <c r="Y47" s="14"/>
      <c r="Z47" s="14"/>
    </row>
    <row r="48">
      <c r="A48" s="8" t="s">
        <v>386</v>
      </c>
      <c r="B48" s="8" t="s">
        <v>387</v>
      </c>
      <c r="C48" s="8" t="s">
        <v>25</v>
      </c>
      <c r="D48" s="8" t="s">
        <v>26</v>
      </c>
      <c r="E48" s="8" t="s">
        <v>388</v>
      </c>
      <c r="F48" s="8"/>
      <c r="G48" s="8" t="s">
        <v>54</v>
      </c>
      <c r="H48" s="8" t="s">
        <v>76</v>
      </c>
      <c r="I48" s="8" t="s">
        <v>31</v>
      </c>
      <c r="J48" s="8" t="s">
        <v>86</v>
      </c>
      <c r="K48" s="10" t="s">
        <v>389</v>
      </c>
      <c r="L48" s="8" t="s">
        <v>58</v>
      </c>
      <c r="M48" s="8" t="s">
        <v>35</v>
      </c>
      <c r="N48" s="11">
        <v>44754.0</v>
      </c>
      <c r="O48" s="11">
        <v>44760.0</v>
      </c>
      <c r="P48" s="11">
        <v>44802.0</v>
      </c>
      <c r="Q48" s="11">
        <v>44760.0</v>
      </c>
      <c r="R48" s="11">
        <v>44802.0</v>
      </c>
      <c r="S48" s="12"/>
      <c r="T48" s="8"/>
      <c r="U48" s="8" t="s">
        <v>153</v>
      </c>
      <c r="V48" s="13" t="s">
        <v>38</v>
      </c>
      <c r="W48" s="13" t="s">
        <v>390</v>
      </c>
      <c r="X48" s="12"/>
      <c r="Y48" s="14"/>
      <c r="Z48" s="14"/>
    </row>
    <row r="49">
      <c r="A49" s="8" t="s">
        <v>391</v>
      </c>
      <c r="B49" s="8" t="s">
        <v>392</v>
      </c>
      <c r="C49" s="8" t="s">
        <v>64</v>
      </c>
      <c r="D49" s="8" t="s">
        <v>26</v>
      </c>
      <c r="E49" s="8" t="s">
        <v>393</v>
      </c>
      <c r="F49" s="8"/>
      <c r="G49" s="8" t="s">
        <v>54</v>
      </c>
      <c r="H49" s="8" t="s">
        <v>135</v>
      </c>
      <c r="I49" s="8" t="s">
        <v>31</v>
      </c>
      <c r="J49" s="8" t="s">
        <v>136</v>
      </c>
      <c r="K49" s="10" t="s">
        <v>394</v>
      </c>
      <c r="L49" s="8" t="s">
        <v>58</v>
      </c>
      <c r="M49" s="8" t="s">
        <v>35</v>
      </c>
      <c r="N49" s="11">
        <v>44754.0</v>
      </c>
      <c r="O49" s="11">
        <v>44774.0</v>
      </c>
      <c r="P49" s="11">
        <v>44816.0</v>
      </c>
      <c r="Q49" s="11">
        <v>44804.0</v>
      </c>
      <c r="R49" s="11">
        <v>44816.0</v>
      </c>
      <c r="S49" s="12"/>
      <c r="T49" s="8"/>
      <c r="U49" s="8" t="s">
        <v>59</v>
      </c>
      <c r="V49" s="13" t="s">
        <v>38</v>
      </c>
      <c r="W49" s="13" t="s">
        <v>395</v>
      </c>
      <c r="X49" s="12"/>
      <c r="Y49" s="14"/>
      <c r="Z49" s="14"/>
    </row>
    <row r="50">
      <c r="A50" s="8" t="s">
        <v>396</v>
      </c>
      <c r="B50" s="8" t="s">
        <v>397</v>
      </c>
      <c r="C50" s="8" t="s">
        <v>25</v>
      </c>
      <c r="D50" s="8" t="s">
        <v>26</v>
      </c>
      <c r="E50" s="8" t="s">
        <v>398</v>
      </c>
      <c r="F50" s="8">
        <v>5.374694505E9</v>
      </c>
      <c r="G50" s="8" t="s">
        <v>31</v>
      </c>
      <c r="H50" s="8" t="s">
        <v>111</v>
      </c>
      <c r="I50" s="8" t="s">
        <v>399</v>
      </c>
      <c r="J50" s="8" t="s">
        <v>400</v>
      </c>
      <c r="K50" s="10" t="s">
        <v>401</v>
      </c>
      <c r="L50" s="8" t="s">
        <v>58</v>
      </c>
      <c r="M50" s="8" t="s">
        <v>35</v>
      </c>
      <c r="N50" s="11">
        <v>44754.0</v>
      </c>
      <c r="O50" s="11">
        <v>44759.0</v>
      </c>
      <c r="P50" s="11">
        <v>44801.0</v>
      </c>
      <c r="Q50" s="11">
        <v>44760.0</v>
      </c>
      <c r="R50" s="11">
        <v>44801.0</v>
      </c>
      <c r="S50" s="12"/>
      <c r="T50" s="8"/>
      <c r="U50" s="8" t="s">
        <v>402</v>
      </c>
      <c r="V50" s="13" t="s">
        <v>111</v>
      </c>
      <c r="W50" s="13" t="s">
        <v>403</v>
      </c>
      <c r="X50" s="12"/>
      <c r="Y50" s="14"/>
      <c r="Z50" s="14"/>
    </row>
    <row r="51">
      <c r="A51" s="8" t="s">
        <v>404</v>
      </c>
      <c r="B51" s="8" t="s">
        <v>405</v>
      </c>
      <c r="C51" s="8" t="s">
        <v>64</v>
      </c>
      <c r="D51" s="8" t="s">
        <v>26</v>
      </c>
      <c r="E51" s="8" t="s">
        <v>406</v>
      </c>
      <c r="F51" s="8">
        <v>6.44366054E8</v>
      </c>
      <c r="G51" s="8" t="s">
        <v>407</v>
      </c>
      <c r="H51" s="8" t="s">
        <v>408</v>
      </c>
      <c r="I51" s="8" t="s">
        <v>31</v>
      </c>
      <c r="J51" s="8" t="s">
        <v>77</v>
      </c>
      <c r="K51" s="10" t="s">
        <v>409</v>
      </c>
      <c r="L51" s="8" t="s">
        <v>58</v>
      </c>
      <c r="M51" s="8" t="s">
        <v>35</v>
      </c>
      <c r="N51" s="11">
        <v>44754.0</v>
      </c>
      <c r="O51" s="11">
        <v>44802.0</v>
      </c>
      <c r="P51" s="11">
        <v>44844.0</v>
      </c>
      <c r="Q51" s="11">
        <v>44804.0</v>
      </c>
      <c r="R51" s="11">
        <v>44842.0</v>
      </c>
      <c r="S51" s="12"/>
      <c r="T51" s="8"/>
      <c r="U51" s="8" t="s">
        <v>153</v>
      </c>
      <c r="V51" s="13" t="s">
        <v>410</v>
      </c>
      <c r="W51" s="13" t="s">
        <v>411</v>
      </c>
      <c r="X51" s="12"/>
      <c r="Y51" s="14"/>
      <c r="Z51" s="14"/>
    </row>
    <row r="52">
      <c r="A52" s="8" t="s">
        <v>412</v>
      </c>
      <c r="B52" s="8" t="s">
        <v>413</v>
      </c>
      <c r="C52" s="8" t="s">
        <v>25</v>
      </c>
      <c r="D52" s="8" t="s">
        <v>26</v>
      </c>
      <c r="E52" s="8" t="s">
        <v>414</v>
      </c>
      <c r="F52" s="8">
        <v>7.75538018E8</v>
      </c>
      <c r="G52" s="8" t="s">
        <v>399</v>
      </c>
      <c r="H52" s="8" t="s">
        <v>415</v>
      </c>
      <c r="I52" s="8" t="s">
        <v>31</v>
      </c>
      <c r="J52" s="8" t="s">
        <v>86</v>
      </c>
      <c r="K52" s="10" t="s">
        <v>416</v>
      </c>
      <c r="L52" s="8" t="s">
        <v>58</v>
      </c>
      <c r="M52" s="8" t="s">
        <v>35</v>
      </c>
      <c r="N52" s="11">
        <v>44754.0</v>
      </c>
      <c r="O52" s="11">
        <v>44794.0</v>
      </c>
      <c r="P52" s="11">
        <v>44836.0</v>
      </c>
      <c r="Q52" s="11">
        <v>44816.0</v>
      </c>
      <c r="R52" s="11">
        <v>44855.0</v>
      </c>
      <c r="S52" s="12"/>
      <c r="T52" s="8"/>
      <c r="U52" s="8" t="s">
        <v>59</v>
      </c>
      <c r="V52" s="13" t="s">
        <v>417</v>
      </c>
      <c r="W52" s="13" t="s">
        <v>418</v>
      </c>
      <c r="X52" s="12"/>
      <c r="Y52" s="14"/>
      <c r="Z52" s="14"/>
    </row>
    <row r="53">
      <c r="A53" s="8" t="s">
        <v>419</v>
      </c>
      <c r="B53" s="8" t="s">
        <v>420</v>
      </c>
      <c r="C53" s="8" t="s">
        <v>64</v>
      </c>
      <c r="D53" s="8" t="s">
        <v>26</v>
      </c>
      <c r="E53" s="8" t="s">
        <v>421</v>
      </c>
      <c r="F53" s="8">
        <v>7.82280673E8</v>
      </c>
      <c r="G53" s="8" t="s">
        <v>254</v>
      </c>
      <c r="H53" s="8" t="s">
        <v>422</v>
      </c>
      <c r="I53" s="8" t="s">
        <v>31</v>
      </c>
      <c r="J53" s="8" t="s">
        <v>292</v>
      </c>
      <c r="K53" s="10" t="s">
        <v>423</v>
      </c>
      <c r="L53" s="8" t="s">
        <v>47</v>
      </c>
      <c r="M53" s="8" t="s">
        <v>70</v>
      </c>
      <c r="N53" s="11">
        <v>44755.0</v>
      </c>
      <c r="O53" s="11">
        <v>44793.0</v>
      </c>
      <c r="P53" s="11">
        <v>45097.0</v>
      </c>
      <c r="Q53" s="11">
        <v>44792.0</v>
      </c>
      <c r="R53" s="11">
        <v>45157.0</v>
      </c>
      <c r="S53" s="12"/>
      <c r="T53" s="8"/>
      <c r="U53" s="8" t="s">
        <v>424</v>
      </c>
      <c r="V53" s="13" t="s">
        <v>425</v>
      </c>
      <c r="W53" s="13" t="s">
        <v>426</v>
      </c>
      <c r="X53" s="12"/>
      <c r="Y53" s="14"/>
      <c r="Z53" s="14"/>
    </row>
    <row r="54">
      <c r="A54" s="8" t="s">
        <v>427</v>
      </c>
      <c r="B54" s="8" t="s">
        <v>428</v>
      </c>
      <c r="C54" s="8" t="s">
        <v>25</v>
      </c>
      <c r="D54" s="8" t="s">
        <v>26</v>
      </c>
      <c r="E54" s="8" t="s">
        <v>429</v>
      </c>
      <c r="F54" s="8">
        <v>9.0170702E7</v>
      </c>
      <c r="G54" s="8" t="s">
        <v>54</v>
      </c>
      <c r="H54" s="8" t="s">
        <v>430</v>
      </c>
      <c r="I54" s="8" t="s">
        <v>31</v>
      </c>
      <c r="J54" s="8" t="s">
        <v>77</v>
      </c>
      <c r="K54" s="10" t="s">
        <v>152</v>
      </c>
      <c r="L54" s="8" t="s">
        <v>58</v>
      </c>
      <c r="M54" s="8" t="s">
        <v>35</v>
      </c>
      <c r="N54" s="11">
        <v>44755.0</v>
      </c>
      <c r="O54" s="11">
        <v>44781.0</v>
      </c>
      <c r="P54" s="11">
        <v>44823.0</v>
      </c>
      <c r="Q54" s="11">
        <v>44781.0</v>
      </c>
      <c r="R54" s="11">
        <v>44821.0</v>
      </c>
      <c r="S54" s="12"/>
      <c r="T54" s="8"/>
      <c r="U54" s="8" t="s">
        <v>153</v>
      </c>
      <c r="V54" s="13" t="s">
        <v>431</v>
      </c>
      <c r="W54" s="13" t="s">
        <v>432</v>
      </c>
      <c r="X54" s="12"/>
      <c r="Y54" s="14"/>
      <c r="Z54" s="14"/>
    </row>
    <row r="55">
      <c r="A55" s="8" t="s">
        <v>433</v>
      </c>
      <c r="B55" s="8" t="s">
        <v>434</v>
      </c>
      <c r="C55" s="8" t="s">
        <v>64</v>
      </c>
      <c r="D55" s="8" t="s">
        <v>26</v>
      </c>
      <c r="E55" s="8" t="s">
        <v>435</v>
      </c>
      <c r="F55" s="8">
        <v>4030141.0</v>
      </c>
      <c r="G55" s="8" t="s">
        <v>436</v>
      </c>
      <c r="H55" s="8" t="s">
        <v>437</v>
      </c>
      <c r="I55" s="8" t="s">
        <v>31</v>
      </c>
      <c r="J55" s="8" t="s">
        <v>438</v>
      </c>
      <c r="K55" s="10" t="s">
        <v>439</v>
      </c>
      <c r="L55" s="8" t="s">
        <v>58</v>
      </c>
      <c r="M55" s="8" t="s">
        <v>35</v>
      </c>
      <c r="N55" s="11">
        <v>44755.0</v>
      </c>
      <c r="O55" s="11">
        <v>44837.0</v>
      </c>
      <c r="P55" s="11">
        <v>44879.0</v>
      </c>
      <c r="Q55" s="11">
        <v>44853.0</v>
      </c>
      <c r="R55" s="11">
        <v>44879.0</v>
      </c>
      <c r="S55" s="12"/>
      <c r="T55" s="8"/>
      <c r="U55" s="8" t="s">
        <v>59</v>
      </c>
      <c r="V55" s="13" t="s">
        <v>440</v>
      </c>
      <c r="W55" s="13" t="s">
        <v>441</v>
      </c>
      <c r="X55" s="12"/>
      <c r="Y55" s="14"/>
      <c r="Z55" s="14"/>
    </row>
    <row r="56">
      <c r="A56" s="8" t="s">
        <v>442</v>
      </c>
      <c r="B56" s="8" t="s">
        <v>443</v>
      </c>
      <c r="C56" s="8" t="s">
        <v>25</v>
      </c>
      <c r="D56" s="8" t="s">
        <v>26</v>
      </c>
      <c r="E56" s="8" t="s">
        <v>444</v>
      </c>
      <c r="F56" s="8"/>
      <c r="G56" s="8" t="s">
        <v>31</v>
      </c>
      <c r="H56" s="8" t="s">
        <v>86</v>
      </c>
      <c r="I56" s="8" t="s">
        <v>202</v>
      </c>
      <c r="J56" s="8" t="s">
        <v>203</v>
      </c>
      <c r="K56" s="10" t="s">
        <v>445</v>
      </c>
      <c r="L56" s="8" t="s">
        <v>34</v>
      </c>
      <c r="M56" s="8" t="s">
        <v>70</v>
      </c>
      <c r="N56" s="11">
        <v>44755.0</v>
      </c>
      <c r="O56" s="11">
        <v>44774.0</v>
      </c>
      <c r="P56" s="11">
        <v>45138.0</v>
      </c>
      <c r="Q56" s="11">
        <v>44819.0</v>
      </c>
      <c r="R56" s="11">
        <v>45180.0</v>
      </c>
      <c r="S56" s="12"/>
      <c r="T56" s="8" t="s">
        <v>446</v>
      </c>
      <c r="U56" s="8" t="s">
        <v>447</v>
      </c>
      <c r="V56" s="13" t="s">
        <v>38</v>
      </c>
      <c r="W56" s="13" t="s">
        <v>448</v>
      </c>
      <c r="X56" s="12"/>
      <c r="Y56" s="14"/>
      <c r="Z56" s="14"/>
    </row>
    <row r="57">
      <c r="A57" s="8" t="s">
        <v>449</v>
      </c>
      <c r="B57" s="8" t="s">
        <v>450</v>
      </c>
      <c r="C57" s="8" t="s">
        <v>179</v>
      </c>
      <c r="D57" s="8" t="s">
        <v>26</v>
      </c>
      <c r="E57" s="8" t="s">
        <v>451</v>
      </c>
      <c r="F57" s="8" t="s">
        <v>452</v>
      </c>
      <c r="G57" s="8" t="s">
        <v>31</v>
      </c>
      <c r="H57" s="8" t="s">
        <v>220</v>
      </c>
      <c r="I57" s="8" t="s">
        <v>44</v>
      </c>
      <c r="J57" s="8" t="s">
        <v>453</v>
      </c>
      <c r="K57" s="10" t="s">
        <v>454</v>
      </c>
      <c r="L57" s="8" t="s">
        <v>58</v>
      </c>
      <c r="M57" s="8" t="s">
        <v>35</v>
      </c>
      <c r="N57" s="11">
        <v>44756.0</v>
      </c>
      <c r="O57" s="11">
        <v>44910.0</v>
      </c>
      <c r="P57" s="11">
        <v>44952.0</v>
      </c>
      <c r="Q57" s="11"/>
      <c r="R57" s="11"/>
      <c r="S57" s="12"/>
      <c r="T57" s="8"/>
      <c r="U57" s="8" t="s">
        <v>59</v>
      </c>
      <c r="V57" s="13" t="s">
        <v>220</v>
      </c>
      <c r="W57" s="13" t="s">
        <v>455</v>
      </c>
      <c r="X57" s="12"/>
      <c r="Y57" s="14"/>
      <c r="Z57" s="14"/>
    </row>
    <row r="58">
      <c r="A58" s="8" t="s">
        <v>456</v>
      </c>
      <c r="B58" s="8" t="s">
        <v>457</v>
      </c>
      <c r="C58" s="8" t="s">
        <v>179</v>
      </c>
      <c r="D58" s="8" t="s">
        <v>26</v>
      </c>
      <c r="E58" s="8" t="s">
        <v>458</v>
      </c>
      <c r="F58" s="8">
        <v>5.313382596E9</v>
      </c>
      <c r="G58" s="8" t="s">
        <v>31</v>
      </c>
      <c r="H58" s="8" t="s">
        <v>220</v>
      </c>
      <c r="I58" s="8" t="s">
        <v>44</v>
      </c>
      <c r="J58" s="8" t="s">
        <v>453</v>
      </c>
      <c r="K58" s="10" t="s">
        <v>454</v>
      </c>
      <c r="L58" s="8" t="s">
        <v>58</v>
      </c>
      <c r="M58" s="8" t="s">
        <v>35</v>
      </c>
      <c r="N58" s="11">
        <v>44756.0</v>
      </c>
      <c r="O58" s="11">
        <v>44910.0</v>
      </c>
      <c r="P58" s="11">
        <v>44952.0</v>
      </c>
      <c r="Q58" s="11"/>
      <c r="R58" s="11"/>
      <c r="S58" s="12"/>
      <c r="T58" s="8"/>
      <c r="U58" s="8" t="s">
        <v>59</v>
      </c>
      <c r="V58" s="13" t="s">
        <v>220</v>
      </c>
      <c r="W58" s="13" t="s">
        <v>459</v>
      </c>
      <c r="X58" s="12"/>
      <c r="Y58" s="14"/>
      <c r="Z58" s="14"/>
    </row>
    <row r="59">
      <c r="A59" s="8" t="s">
        <v>460</v>
      </c>
      <c r="B59" s="8" t="s">
        <v>450</v>
      </c>
      <c r="C59" s="8" t="s">
        <v>179</v>
      </c>
      <c r="D59" s="8" t="s">
        <v>26</v>
      </c>
      <c r="E59" s="8" t="s">
        <v>461</v>
      </c>
      <c r="F59" s="8">
        <v>5.346026053E9</v>
      </c>
      <c r="G59" s="8" t="s">
        <v>31</v>
      </c>
      <c r="H59" s="8" t="s">
        <v>111</v>
      </c>
      <c r="I59" s="8" t="s">
        <v>44</v>
      </c>
      <c r="J59" s="8" t="s">
        <v>453</v>
      </c>
      <c r="K59" s="10" t="s">
        <v>454</v>
      </c>
      <c r="L59" s="8" t="s">
        <v>58</v>
      </c>
      <c r="M59" s="8" t="s">
        <v>35</v>
      </c>
      <c r="N59" s="11">
        <v>44756.0</v>
      </c>
      <c r="O59" s="11">
        <v>44910.0</v>
      </c>
      <c r="P59" s="11">
        <v>44952.0</v>
      </c>
      <c r="Q59" s="11"/>
      <c r="R59" s="11"/>
      <c r="S59" s="12"/>
      <c r="T59" s="8"/>
      <c r="U59" s="8" t="s">
        <v>59</v>
      </c>
      <c r="V59" s="13" t="s">
        <v>111</v>
      </c>
      <c r="W59" s="13" t="s">
        <v>462</v>
      </c>
      <c r="X59" s="12"/>
      <c r="Y59" s="14"/>
      <c r="Z59" s="14"/>
    </row>
    <row r="60">
      <c r="A60" s="8" t="s">
        <v>463</v>
      </c>
      <c r="B60" s="8" t="s">
        <v>464</v>
      </c>
      <c r="C60" s="8" t="s">
        <v>25</v>
      </c>
      <c r="D60" s="8" t="s">
        <v>26</v>
      </c>
      <c r="E60" s="8" t="s">
        <v>465</v>
      </c>
      <c r="F60" s="8">
        <v>5.525061925E9</v>
      </c>
      <c r="G60" s="8" t="s">
        <v>466</v>
      </c>
      <c r="H60" s="8" t="s">
        <v>467</v>
      </c>
      <c r="I60" s="8" t="s">
        <v>31</v>
      </c>
      <c r="J60" s="8" t="s">
        <v>111</v>
      </c>
      <c r="K60" s="10" t="s">
        <v>468</v>
      </c>
      <c r="L60" s="8" t="s">
        <v>58</v>
      </c>
      <c r="M60" s="8" t="s">
        <v>35</v>
      </c>
      <c r="N60" s="11">
        <v>44756.0</v>
      </c>
      <c r="O60" s="11">
        <v>44941.0</v>
      </c>
      <c r="P60" s="11">
        <v>44983.0</v>
      </c>
      <c r="Q60" s="11">
        <v>44969.0</v>
      </c>
      <c r="R60" s="11">
        <v>45009.0</v>
      </c>
      <c r="S60" s="12"/>
      <c r="T60" s="8"/>
      <c r="U60" s="8" t="s">
        <v>59</v>
      </c>
      <c r="V60" s="13" t="s">
        <v>38</v>
      </c>
      <c r="W60" s="13" t="s">
        <v>469</v>
      </c>
      <c r="X60" s="12"/>
      <c r="Y60" s="14"/>
      <c r="Z60" s="14"/>
    </row>
    <row r="61">
      <c r="A61" s="8" t="s">
        <v>470</v>
      </c>
      <c r="B61" s="8" t="s">
        <v>471</v>
      </c>
      <c r="C61" s="8" t="s">
        <v>64</v>
      </c>
      <c r="D61" s="8" t="s">
        <v>26</v>
      </c>
      <c r="E61" s="8" t="s">
        <v>472</v>
      </c>
      <c r="F61" s="8"/>
      <c r="G61" s="8" t="s">
        <v>284</v>
      </c>
      <c r="H61" s="8" t="s">
        <v>300</v>
      </c>
      <c r="I61" s="8" t="s">
        <v>31</v>
      </c>
      <c r="J61" s="8" t="s">
        <v>32</v>
      </c>
      <c r="K61" s="10" t="s">
        <v>473</v>
      </c>
      <c r="L61" s="8" t="s">
        <v>58</v>
      </c>
      <c r="M61" s="8" t="s">
        <v>35</v>
      </c>
      <c r="N61" s="11">
        <v>44756.0</v>
      </c>
      <c r="O61" s="11">
        <v>44787.0</v>
      </c>
      <c r="P61" s="11">
        <v>44829.0</v>
      </c>
      <c r="Q61" s="11">
        <v>44790.0</v>
      </c>
      <c r="R61" s="11">
        <v>44829.0</v>
      </c>
      <c r="S61" s="12"/>
      <c r="T61" s="8"/>
      <c r="U61" s="8" t="s">
        <v>59</v>
      </c>
      <c r="V61" s="13" t="s">
        <v>38</v>
      </c>
      <c r="W61" s="13" t="s">
        <v>474</v>
      </c>
      <c r="X61" s="12"/>
      <c r="Y61" s="14"/>
      <c r="Z61" s="14"/>
    </row>
    <row r="62">
      <c r="A62" s="8" t="s">
        <v>475</v>
      </c>
      <c r="B62" s="8" t="s">
        <v>476</v>
      </c>
      <c r="C62" s="8" t="s">
        <v>64</v>
      </c>
      <c r="D62" s="8" t="s">
        <v>26</v>
      </c>
      <c r="E62" s="8" t="s">
        <v>477</v>
      </c>
      <c r="F62" s="8">
        <v>3.238474447E9</v>
      </c>
      <c r="G62" s="8" t="s">
        <v>315</v>
      </c>
      <c r="H62" s="8" t="s">
        <v>478</v>
      </c>
      <c r="I62" s="8" t="s">
        <v>31</v>
      </c>
      <c r="J62" s="8" t="s">
        <v>111</v>
      </c>
      <c r="K62" s="10" t="s">
        <v>323</v>
      </c>
      <c r="L62" s="8" t="s">
        <v>58</v>
      </c>
      <c r="M62" s="8" t="s">
        <v>35</v>
      </c>
      <c r="N62" s="11">
        <v>44756.0</v>
      </c>
      <c r="O62" s="11">
        <v>44767.0</v>
      </c>
      <c r="P62" s="11">
        <v>44809.0</v>
      </c>
      <c r="Q62" s="11">
        <v>44769.0</v>
      </c>
      <c r="R62" s="11">
        <v>44809.0</v>
      </c>
      <c r="S62" s="12"/>
      <c r="T62" s="8"/>
      <c r="U62" s="8" t="s">
        <v>59</v>
      </c>
      <c r="V62" s="13" t="s">
        <v>479</v>
      </c>
      <c r="W62" s="13" t="s">
        <v>480</v>
      </c>
      <c r="X62" s="12"/>
      <c r="Y62" s="14"/>
      <c r="Z62" s="14"/>
    </row>
    <row r="63">
      <c r="A63" s="8" t="s">
        <v>481</v>
      </c>
      <c r="B63" s="8" t="s">
        <v>482</v>
      </c>
      <c r="C63" s="8" t="s">
        <v>179</v>
      </c>
      <c r="D63" s="8" t="s">
        <v>26</v>
      </c>
      <c r="E63" s="8" t="s">
        <v>483</v>
      </c>
      <c r="F63" s="8">
        <v>5.415356296E9</v>
      </c>
      <c r="G63" s="8" t="s">
        <v>31</v>
      </c>
      <c r="H63" s="8" t="s">
        <v>220</v>
      </c>
      <c r="I63" s="8" t="s">
        <v>44</v>
      </c>
      <c r="J63" s="8" t="s">
        <v>453</v>
      </c>
      <c r="K63" s="10" t="s">
        <v>484</v>
      </c>
      <c r="L63" s="8" t="s">
        <v>58</v>
      </c>
      <c r="M63" s="8" t="s">
        <v>35</v>
      </c>
      <c r="N63" s="11">
        <v>44756.0</v>
      </c>
      <c r="O63" s="11">
        <v>44941.0</v>
      </c>
      <c r="P63" s="11">
        <v>44983.0</v>
      </c>
      <c r="Q63" s="11"/>
      <c r="R63" s="11"/>
      <c r="S63" s="12"/>
      <c r="T63" s="8"/>
      <c r="U63" s="8" t="s">
        <v>371</v>
      </c>
      <c r="V63" s="13" t="s">
        <v>220</v>
      </c>
      <c r="W63" s="13" t="s">
        <v>485</v>
      </c>
      <c r="X63" s="12"/>
      <c r="Y63" s="14"/>
      <c r="Z63" s="14"/>
    </row>
    <row r="64">
      <c r="A64" s="8" t="s">
        <v>486</v>
      </c>
      <c r="B64" s="8" t="s">
        <v>487</v>
      </c>
      <c r="C64" s="8" t="s">
        <v>64</v>
      </c>
      <c r="D64" s="8" t="s">
        <v>26</v>
      </c>
      <c r="E64" s="8" t="s">
        <v>488</v>
      </c>
      <c r="F64" s="8">
        <v>5.5423198E7</v>
      </c>
      <c r="G64" s="8" t="s">
        <v>54</v>
      </c>
      <c r="H64" s="8" t="s">
        <v>76</v>
      </c>
      <c r="I64" s="8" t="s">
        <v>31</v>
      </c>
      <c r="J64" s="8" t="s">
        <v>292</v>
      </c>
      <c r="K64" s="10" t="s">
        <v>489</v>
      </c>
      <c r="L64" s="8" t="s">
        <v>47</v>
      </c>
      <c r="M64" s="8" t="s">
        <v>70</v>
      </c>
      <c r="N64" s="11">
        <v>44756.0</v>
      </c>
      <c r="O64" s="11">
        <v>44866.0</v>
      </c>
      <c r="P64" s="11">
        <v>45231.0</v>
      </c>
      <c r="Q64" s="11">
        <v>44810.0</v>
      </c>
      <c r="R64" s="11">
        <v>45175.0</v>
      </c>
      <c r="S64" s="12"/>
      <c r="T64" s="8"/>
      <c r="U64" s="8" t="s">
        <v>490</v>
      </c>
      <c r="V64" s="13" t="s">
        <v>491</v>
      </c>
      <c r="W64" s="13" t="s">
        <v>492</v>
      </c>
      <c r="X64" s="12"/>
      <c r="Y64" s="14"/>
      <c r="Z64" s="14"/>
    </row>
    <row r="65">
      <c r="A65" s="8" t="s">
        <v>493</v>
      </c>
      <c r="B65" s="8" t="s">
        <v>494</v>
      </c>
      <c r="C65" s="8" t="s">
        <v>64</v>
      </c>
      <c r="D65" s="8" t="s">
        <v>26</v>
      </c>
      <c r="E65" s="8" t="s">
        <v>495</v>
      </c>
      <c r="F65" s="8">
        <v>7.055548968E9</v>
      </c>
      <c r="G65" s="8" t="s">
        <v>496</v>
      </c>
      <c r="H65" s="8" t="s">
        <v>497</v>
      </c>
      <c r="I65" s="8" t="s">
        <v>31</v>
      </c>
      <c r="J65" s="8" t="s">
        <v>292</v>
      </c>
      <c r="K65" s="10" t="s">
        <v>498</v>
      </c>
      <c r="L65" s="8" t="s">
        <v>47</v>
      </c>
      <c r="M65" s="8" t="s">
        <v>70</v>
      </c>
      <c r="N65" s="11">
        <v>44756.0</v>
      </c>
      <c r="O65" s="11">
        <v>44793.0</v>
      </c>
      <c r="P65" s="11">
        <v>45097.0</v>
      </c>
      <c r="Q65" s="11">
        <v>44792.0</v>
      </c>
      <c r="R65" s="11">
        <v>45107.0</v>
      </c>
      <c r="S65" s="12"/>
      <c r="T65" s="8"/>
      <c r="U65" s="8" t="s">
        <v>499</v>
      </c>
      <c r="V65" s="13" t="s">
        <v>500</v>
      </c>
      <c r="W65" s="13" t="s">
        <v>501</v>
      </c>
      <c r="X65" s="12"/>
      <c r="Y65" s="14"/>
      <c r="Z65" s="14"/>
    </row>
    <row r="66">
      <c r="A66" s="8" t="s">
        <v>502</v>
      </c>
      <c r="B66" s="8" t="s">
        <v>503</v>
      </c>
      <c r="C66" s="8" t="s">
        <v>64</v>
      </c>
      <c r="D66" s="8" t="s">
        <v>26</v>
      </c>
      <c r="E66" s="8" t="s">
        <v>504</v>
      </c>
      <c r="F66" s="8">
        <v>5.445248809E9</v>
      </c>
      <c r="G66" s="8" t="s">
        <v>31</v>
      </c>
      <c r="H66" s="8" t="s">
        <v>438</v>
      </c>
      <c r="I66" s="8" t="s">
        <v>399</v>
      </c>
      <c r="J66" s="8" t="s">
        <v>400</v>
      </c>
      <c r="K66" s="10" t="s">
        <v>401</v>
      </c>
      <c r="L66" s="8" t="s">
        <v>58</v>
      </c>
      <c r="M66" s="8" t="s">
        <v>35</v>
      </c>
      <c r="N66" s="11">
        <v>44757.0</v>
      </c>
      <c r="O66" s="11">
        <v>44774.0</v>
      </c>
      <c r="P66" s="11">
        <v>44816.0</v>
      </c>
      <c r="Q66" s="11">
        <v>44774.0</v>
      </c>
      <c r="R66" s="11">
        <v>44816.0</v>
      </c>
      <c r="S66" s="12"/>
      <c r="T66" s="8"/>
      <c r="U66" s="8" t="s">
        <v>402</v>
      </c>
      <c r="V66" s="13" t="s">
        <v>438</v>
      </c>
      <c r="W66" s="13" t="s">
        <v>505</v>
      </c>
      <c r="X66" s="12"/>
      <c r="Y66" s="14"/>
      <c r="Z66" s="14"/>
    </row>
    <row r="67">
      <c r="A67" s="8" t="s">
        <v>506</v>
      </c>
      <c r="B67" s="8" t="s">
        <v>507</v>
      </c>
      <c r="C67" s="8" t="s">
        <v>64</v>
      </c>
      <c r="D67" s="8" t="s">
        <v>26</v>
      </c>
      <c r="E67" s="8" t="s">
        <v>508</v>
      </c>
      <c r="F67" s="8">
        <v>1.021244268E9</v>
      </c>
      <c r="G67" s="8" t="s">
        <v>284</v>
      </c>
      <c r="H67" s="8" t="s">
        <v>300</v>
      </c>
      <c r="I67" s="8" t="s">
        <v>31</v>
      </c>
      <c r="J67" s="8" t="s">
        <v>32</v>
      </c>
      <c r="K67" s="10" t="s">
        <v>509</v>
      </c>
      <c r="L67" s="8" t="s">
        <v>58</v>
      </c>
      <c r="M67" s="8" t="s">
        <v>35</v>
      </c>
      <c r="N67" s="11">
        <v>44757.0</v>
      </c>
      <c r="O67" s="11">
        <v>44773.0</v>
      </c>
      <c r="P67" s="11">
        <v>44815.0</v>
      </c>
      <c r="Q67" s="11">
        <v>44796.0</v>
      </c>
      <c r="R67" s="11">
        <v>44837.0</v>
      </c>
      <c r="S67" s="12"/>
      <c r="T67" s="8"/>
      <c r="U67" s="8" t="s">
        <v>153</v>
      </c>
      <c r="V67" s="13" t="s">
        <v>300</v>
      </c>
      <c r="W67" s="13" t="s">
        <v>510</v>
      </c>
      <c r="X67" s="12"/>
      <c r="Y67" s="14"/>
      <c r="Z67" s="14"/>
    </row>
    <row r="68">
      <c r="A68" s="8" t="s">
        <v>511</v>
      </c>
      <c r="B68" s="8" t="s">
        <v>512</v>
      </c>
      <c r="C68" s="8" t="s">
        <v>25</v>
      </c>
      <c r="D68" s="8" t="s">
        <v>26</v>
      </c>
      <c r="E68" s="8" t="s">
        <v>513</v>
      </c>
      <c r="F68" s="8">
        <v>5.324406773E9</v>
      </c>
      <c r="G68" s="8" t="s">
        <v>31</v>
      </c>
      <c r="H68" s="8" t="s">
        <v>86</v>
      </c>
      <c r="I68" s="8" t="s">
        <v>44</v>
      </c>
      <c r="J68" s="8" t="s">
        <v>453</v>
      </c>
      <c r="K68" s="10" t="s">
        <v>514</v>
      </c>
      <c r="L68" s="8" t="s">
        <v>58</v>
      </c>
      <c r="M68" s="8" t="s">
        <v>35</v>
      </c>
      <c r="N68" s="11">
        <v>44758.0</v>
      </c>
      <c r="O68" s="11">
        <v>44788.0</v>
      </c>
      <c r="P68" s="11">
        <v>44830.0</v>
      </c>
      <c r="Q68" s="11">
        <v>44787.0</v>
      </c>
      <c r="R68" s="11">
        <v>44830.0</v>
      </c>
      <c r="S68" s="12"/>
      <c r="T68" s="8"/>
      <c r="U68" s="8" t="s">
        <v>371</v>
      </c>
      <c r="V68" s="13" t="s">
        <v>175</v>
      </c>
      <c r="W68" s="13" t="s">
        <v>515</v>
      </c>
      <c r="X68" s="12"/>
      <c r="Y68" s="14"/>
      <c r="Z68" s="14"/>
    </row>
    <row r="69">
      <c r="A69" s="8" t="s">
        <v>516</v>
      </c>
      <c r="B69" s="8" t="s">
        <v>517</v>
      </c>
      <c r="C69" s="8" t="s">
        <v>25</v>
      </c>
      <c r="D69" s="8" t="s">
        <v>26</v>
      </c>
      <c r="E69" s="8" t="s">
        <v>518</v>
      </c>
      <c r="F69" s="8">
        <v>5.396624101E9</v>
      </c>
      <c r="G69" s="8" t="s">
        <v>31</v>
      </c>
      <c r="H69" s="8" t="s">
        <v>86</v>
      </c>
      <c r="I69" s="8" t="s">
        <v>44</v>
      </c>
      <c r="J69" s="8" t="s">
        <v>453</v>
      </c>
      <c r="K69" s="10" t="s">
        <v>514</v>
      </c>
      <c r="L69" s="8" t="s">
        <v>58</v>
      </c>
      <c r="M69" s="8" t="s">
        <v>35</v>
      </c>
      <c r="N69" s="11">
        <v>44758.0</v>
      </c>
      <c r="O69" s="11">
        <v>44788.0</v>
      </c>
      <c r="P69" s="11">
        <v>44830.0</v>
      </c>
      <c r="Q69" s="11">
        <v>44787.0</v>
      </c>
      <c r="R69" s="11">
        <v>44830.0</v>
      </c>
      <c r="S69" s="12"/>
      <c r="T69" s="8"/>
      <c r="U69" s="8" t="s">
        <v>371</v>
      </c>
      <c r="V69" s="13" t="s">
        <v>175</v>
      </c>
      <c r="W69" s="13" t="s">
        <v>519</v>
      </c>
      <c r="X69" s="12"/>
      <c r="Y69" s="14"/>
      <c r="Z69" s="14"/>
    </row>
    <row r="70">
      <c r="A70" s="8" t="s">
        <v>520</v>
      </c>
      <c r="B70" s="8" t="s">
        <v>521</v>
      </c>
      <c r="C70" s="8" t="s">
        <v>25</v>
      </c>
      <c r="D70" s="8" t="s">
        <v>26</v>
      </c>
      <c r="E70" s="8" t="s">
        <v>522</v>
      </c>
      <c r="F70" s="8">
        <v>7.68896339E8</v>
      </c>
      <c r="G70" s="8" t="s">
        <v>399</v>
      </c>
      <c r="H70" s="8" t="s">
        <v>523</v>
      </c>
      <c r="I70" s="8" t="s">
        <v>31</v>
      </c>
      <c r="J70" s="8" t="s">
        <v>111</v>
      </c>
      <c r="K70" s="10" t="s">
        <v>524</v>
      </c>
      <c r="L70" s="8" t="s">
        <v>58</v>
      </c>
      <c r="M70" s="8" t="s">
        <v>35</v>
      </c>
      <c r="N70" s="11">
        <v>44758.0</v>
      </c>
      <c r="O70" s="11">
        <v>44809.0</v>
      </c>
      <c r="P70" s="11">
        <v>44851.0</v>
      </c>
      <c r="Q70" s="11">
        <v>44809.0</v>
      </c>
      <c r="R70" s="11">
        <v>44851.0</v>
      </c>
      <c r="S70" s="12"/>
      <c r="T70" s="8"/>
      <c r="U70" s="8" t="s">
        <v>59</v>
      </c>
      <c r="V70" s="13" t="s">
        <v>525</v>
      </c>
      <c r="W70" s="13" t="s">
        <v>526</v>
      </c>
      <c r="X70" s="12"/>
      <c r="Y70" s="14"/>
      <c r="Z70" s="14"/>
    </row>
    <row r="71">
      <c r="A71" s="8" t="s">
        <v>527</v>
      </c>
      <c r="B71" s="8" t="s">
        <v>528</v>
      </c>
      <c r="C71" s="8" t="s">
        <v>25</v>
      </c>
      <c r="D71" s="8" t="s">
        <v>26</v>
      </c>
      <c r="E71" s="8" t="s">
        <v>529</v>
      </c>
      <c r="F71" s="8">
        <v>5.3440621E9</v>
      </c>
      <c r="G71" s="8" t="s">
        <v>31</v>
      </c>
      <c r="H71" s="8" t="s">
        <v>56</v>
      </c>
      <c r="I71" s="8" t="s">
        <v>29</v>
      </c>
      <c r="J71" s="8" t="s">
        <v>530</v>
      </c>
      <c r="K71" s="10" t="s">
        <v>531</v>
      </c>
      <c r="L71" s="8" t="s">
        <v>58</v>
      </c>
      <c r="M71" s="8" t="s">
        <v>35</v>
      </c>
      <c r="N71" s="11">
        <v>44758.0</v>
      </c>
      <c r="O71" s="11">
        <v>44762.0</v>
      </c>
      <c r="P71" s="11">
        <v>44804.0</v>
      </c>
      <c r="Q71" s="11">
        <v>44762.0</v>
      </c>
      <c r="R71" s="11">
        <v>44804.0</v>
      </c>
      <c r="S71" s="12"/>
      <c r="T71" s="8"/>
      <c r="U71" s="8" t="s">
        <v>59</v>
      </c>
      <c r="V71" s="13" t="s">
        <v>38</v>
      </c>
      <c r="W71" s="13" t="s">
        <v>532</v>
      </c>
      <c r="X71" s="12"/>
      <c r="Y71" s="14"/>
      <c r="Z71" s="14"/>
    </row>
    <row r="72">
      <c r="A72" s="8" t="s">
        <v>533</v>
      </c>
      <c r="B72" s="8" t="s">
        <v>534</v>
      </c>
      <c r="C72" s="8" t="s">
        <v>25</v>
      </c>
      <c r="D72" s="8" t="s">
        <v>26</v>
      </c>
      <c r="E72" s="8" t="s">
        <v>535</v>
      </c>
      <c r="F72" s="8">
        <v>5.350502466E9</v>
      </c>
      <c r="G72" s="8" t="s">
        <v>31</v>
      </c>
      <c r="H72" s="8" t="s">
        <v>56</v>
      </c>
      <c r="I72" s="8" t="s">
        <v>127</v>
      </c>
      <c r="J72" s="8" t="s">
        <v>128</v>
      </c>
      <c r="K72" s="10" t="s">
        <v>536</v>
      </c>
      <c r="L72" s="8" t="s">
        <v>58</v>
      </c>
      <c r="M72" s="8" t="s">
        <v>35</v>
      </c>
      <c r="N72" s="11">
        <v>44758.0</v>
      </c>
      <c r="O72" s="11">
        <v>44795.0</v>
      </c>
      <c r="P72" s="11">
        <v>44837.0</v>
      </c>
      <c r="Q72" s="11">
        <v>44803.0</v>
      </c>
      <c r="R72" s="11">
        <v>44843.0</v>
      </c>
      <c r="S72" s="12"/>
      <c r="T72" s="8"/>
      <c r="U72" s="8" t="s">
        <v>185</v>
      </c>
      <c r="V72" s="13" t="s">
        <v>537</v>
      </c>
      <c r="W72" s="13" t="s">
        <v>538</v>
      </c>
      <c r="X72" s="12"/>
      <c r="Y72" s="14"/>
      <c r="Z72" s="14"/>
    </row>
    <row r="73">
      <c r="A73" s="8" t="s">
        <v>539</v>
      </c>
      <c r="B73" s="8" t="s">
        <v>540</v>
      </c>
      <c r="C73" s="8" t="s">
        <v>25</v>
      </c>
      <c r="D73" s="8" t="s">
        <v>26</v>
      </c>
      <c r="E73" s="8" t="s">
        <v>541</v>
      </c>
      <c r="F73" s="8">
        <v>5.454089768E9</v>
      </c>
      <c r="G73" s="8" t="s">
        <v>31</v>
      </c>
      <c r="H73" s="8" t="s">
        <v>542</v>
      </c>
      <c r="I73" s="8" t="s">
        <v>230</v>
      </c>
      <c r="J73" s="8" t="s">
        <v>543</v>
      </c>
      <c r="K73" s="10" t="s">
        <v>544</v>
      </c>
      <c r="L73" s="8" t="s">
        <v>58</v>
      </c>
      <c r="M73" s="8" t="s">
        <v>35</v>
      </c>
      <c r="N73" s="11">
        <v>44758.0</v>
      </c>
      <c r="O73" s="11">
        <v>44781.0</v>
      </c>
      <c r="P73" s="11">
        <v>44823.0</v>
      </c>
      <c r="Q73" s="11">
        <v>44801.0</v>
      </c>
      <c r="R73" s="11">
        <v>44843.0</v>
      </c>
      <c r="S73" s="12"/>
      <c r="T73" s="8"/>
      <c r="U73" s="8" t="s">
        <v>88</v>
      </c>
      <c r="V73" s="13" t="s">
        <v>545</v>
      </c>
      <c r="W73" s="13" t="s">
        <v>546</v>
      </c>
      <c r="X73" s="12"/>
      <c r="Y73" s="14"/>
      <c r="Z73" s="14"/>
    </row>
    <row r="74">
      <c r="A74" s="8" t="s">
        <v>547</v>
      </c>
      <c r="B74" s="8" t="s">
        <v>548</v>
      </c>
      <c r="C74" s="8" t="s">
        <v>25</v>
      </c>
      <c r="D74" s="8" t="s">
        <v>26</v>
      </c>
      <c r="E74" s="8" t="s">
        <v>549</v>
      </c>
      <c r="F74" s="8">
        <v>6.74600128E8</v>
      </c>
      <c r="G74" s="8" t="s">
        <v>254</v>
      </c>
      <c r="H74" s="8" t="s">
        <v>255</v>
      </c>
      <c r="I74" s="8" t="s">
        <v>31</v>
      </c>
      <c r="J74" s="8" t="s">
        <v>292</v>
      </c>
      <c r="K74" s="10" t="s">
        <v>550</v>
      </c>
      <c r="L74" s="8" t="s">
        <v>47</v>
      </c>
      <c r="M74" s="8" t="s">
        <v>70</v>
      </c>
      <c r="N74" s="11">
        <v>44759.0</v>
      </c>
      <c r="O74" s="11">
        <v>44793.0</v>
      </c>
      <c r="P74" s="11">
        <v>45097.0</v>
      </c>
      <c r="Q74" s="11">
        <v>44805.0</v>
      </c>
      <c r="R74" s="11">
        <v>45097.0</v>
      </c>
      <c r="S74" s="12"/>
      <c r="T74" s="8"/>
      <c r="U74" s="8" t="s">
        <v>551</v>
      </c>
      <c r="V74" s="13" t="s">
        <v>38</v>
      </c>
      <c r="W74" s="13" t="s">
        <v>552</v>
      </c>
      <c r="X74" s="12"/>
      <c r="Y74" s="14"/>
      <c r="Z74" s="14"/>
    </row>
    <row r="75">
      <c r="A75" s="8" t="s">
        <v>553</v>
      </c>
      <c r="B75" s="8" t="s">
        <v>554</v>
      </c>
      <c r="C75" s="8" t="s">
        <v>25</v>
      </c>
      <c r="D75" s="8" t="s">
        <v>26</v>
      </c>
      <c r="E75" s="8" t="s">
        <v>555</v>
      </c>
      <c r="F75" s="8">
        <v>6.57301656E8</v>
      </c>
      <c r="G75" s="8" t="s">
        <v>254</v>
      </c>
      <c r="H75" s="8" t="s">
        <v>291</v>
      </c>
      <c r="I75" s="8" t="s">
        <v>31</v>
      </c>
      <c r="J75" s="8" t="s">
        <v>292</v>
      </c>
      <c r="K75" s="10" t="s">
        <v>550</v>
      </c>
      <c r="L75" s="8" t="s">
        <v>47</v>
      </c>
      <c r="M75" s="8" t="s">
        <v>70</v>
      </c>
      <c r="N75" s="11">
        <v>44759.0</v>
      </c>
      <c r="O75" s="11">
        <v>44793.0</v>
      </c>
      <c r="P75" s="11">
        <v>45097.0</v>
      </c>
      <c r="Q75" s="11">
        <v>44819.0</v>
      </c>
      <c r="R75" s="11">
        <v>45107.0</v>
      </c>
      <c r="S75" s="12"/>
      <c r="T75" s="8"/>
      <c r="U75" s="8" t="s">
        <v>551</v>
      </c>
      <c r="V75" s="13" t="s">
        <v>38</v>
      </c>
      <c r="W75" s="13" t="s">
        <v>556</v>
      </c>
      <c r="X75" s="12"/>
      <c r="Y75" s="14"/>
      <c r="Z75" s="14"/>
    </row>
    <row r="76">
      <c r="A76" s="8" t="s">
        <v>557</v>
      </c>
      <c r="B76" s="8" t="s">
        <v>558</v>
      </c>
      <c r="C76" s="8" t="s">
        <v>64</v>
      </c>
      <c r="D76" s="8" t="s">
        <v>26</v>
      </c>
      <c r="E76" s="8" t="s">
        <v>559</v>
      </c>
      <c r="F76" s="8">
        <v>1.022474601E9</v>
      </c>
      <c r="G76" s="8" t="s">
        <v>284</v>
      </c>
      <c r="H76" s="8" t="s">
        <v>560</v>
      </c>
      <c r="I76" s="8" t="s">
        <v>31</v>
      </c>
      <c r="J76" s="8" t="s">
        <v>32</v>
      </c>
      <c r="K76" s="10" t="s">
        <v>561</v>
      </c>
      <c r="L76" s="8" t="s">
        <v>58</v>
      </c>
      <c r="M76" s="8" t="s">
        <v>35</v>
      </c>
      <c r="N76" s="11">
        <v>44759.0</v>
      </c>
      <c r="O76" s="11">
        <v>44794.0</v>
      </c>
      <c r="P76" s="11">
        <v>44836.0</v>
      </c>
      <c r="Q76" s="11">
        <v>44817.0</v>
      </c>
      <c r="R76" s="11">
        <v>44862.0</v>
      </c>
      <c r="S76" s="12"/>
      <c r="T76" s="8"/>
      <c r="U76" s="8" t="s">
        <v>59</v>
      </c>
      <c r="V76" s="13" t="s">
        <v>562</v>
      </c>
      <c r="W76" s="13" t="s">
        <v>563</v>
      </c>
      <c r="X76" s="12"/>
      <c r="Y76" s="14"/>
      <c r="Z76" s="14"/>
    </row>
    <row r="77">
      <c r="A77" s="8" t="s">
        <v>564</v>
      </c>
      <c r="B77" s="8" t="s">
        <v>565</v>
      </c>
      <c r="C77" s="8" t="s">
        <v>64</v>
      </c>
      <c r="D77" s="8" t="s">
        <v>26</v>
      </c>
      <c r="E77" s="8" t="s">
        <v>566</v>
      </c>
      <c r="F77" s="8">
        <v>1.124557987E9</v>
      </c>
      <c r="G77" s="8" t="s">
        <v>284</v>
      </c>
      <c r="H77" s="8" t="s">
        <v>560</v>
      </c>
      <c r="I77" s="8" t="s">
        <v>31</v>
      </c>
      <c r="J77" s="8" t="s">
        <v>86</v>
      </c>
      <c r="K77" s="10" t="s">
        <v>416</v>
      </c>
      <c r="L77" s="8" t="s">
        <v>58</v>
      </c>
      <c r="M77" s="8" t="s">
        <v>35</v>
      </c>
      <c r="N77" s="11">
        <v>44759.0</v>
      </c>
      <c r="O77" s="11">
        <v>44794.0</v>
      </c>
      <c r="P77" s="11">
        <v>44836.0</v>
      </c>
      <c r="Q77" s="11">
        <v>44794.0</v>
      </c>
      <c r="R77" s="11">
        <v>44837.0</v>
      </c>
      <c r="S77" s="12"/>
      <c r="T77" s="8"/>
      <c r="U77" s="8" t="s">
        <v>59</v>
      </c>
      <c r="V77" s="13" t="s">
        <v>567</v>
      </c>
      <c r="W77" s="13" t="s">
        <v>568</v>
      </c>
      <c r="X77" s="12"/>
      <c r="Y77" s="14"/>
      <c r="Z77" s="14"/>
    </row>
    <row r="78">
      <c r="A78" s="8" t="s">
        <v>569</v>
      </c>
      <c r="B78" s="8" t="s">
        <v>570</v>
      </c>
      <c r="C78" s="8" t="s">
        <v>64</v>
      </c>
      <c r="D78" s="8" t="s">
        <v>26</v>
      </c>
      <c r="E78" s="8" t="s">
        <v>571</v>
      </c>
      <c r="F78" s="8">
        <v>5.6926253E7</v>
      </c>
      <c r="G78" s="8" t="s">
        <v>54</v>
      </c>
      <c r="H78" s="8" t="s">
        <v>76</v>
      </c>
      <c r="I78" s="8" t="s">
        <v>31</v>
      </c>
      <c r="J78" s="8" t="s">
        <v>111</v>
      </c>
      <c r="K78" s="10" t="s">
        <v>572</v>
      </c>
      <c r="L78" s="8" t="s">
        <v>58</v>
      </c>
      <c r="M78" s="8" t="s">
        <v>35</v>
      </c>
      <c r="N78" s="11">
        <v>44760.0</v>
      </c>
      <c r="O78" s="11">
        <v>44774.0</v>
      </c>
      <c r="P78" s="11">
        <v>44816.0</v>
      </c>
      <c r="Q78" s="11">
        <v>44776.0</v>
      </c>
      <c r="R78" s="11">
        <v>44816.0</v>
      </c>
      <c r="S78" s="12"/>
      <c r="T78" s="8"/>
      <c r="U78" s="8" t="s">
        <v>130</v>
      </c>
      <c r="V78" s="13" t="s">
        <v>573</v>
      </c>
      <c r="W78" s="13" t="s">
        <v>574</v>
      </c>
      <c r="X78" s="12"/>
      <c r="Y78" s="14"/>
      <c r="Z78" s="14"/>
    </row>
    <row r="79">
      <c r="A79" s="8" t="s">
        <v>575</v>
      </c>
      <c r="B79" s="8" t="s">
        <v>576</v>
      </c>
      <c r="C79" s="8" t="s">
        <v>25</v>
      </c>
      <c r="D79" s="8" t="s">
        <v>26</v>
      </c>
      <c r="E79" s="8" t="s">
        <v>577</v>
      </c>
      <c r="F79" s="8">
        <v>9.9959801E7</v>
      </c>
      <c r="G79" s="8" t="s">
        <v>54</v>
      </c>
      <c r="H79" s="8" t="s">
        <v>237</v>
      </c>
      <c r="I79" s="8" t="s">
        <v>31</v>
      </c>
      <c r="J79" s="8" t="s">
        <v>86</v>
      </c>
      <c r="K79" s="10" t="s">
        <v>578</v>
      </c>
      <c r="L79" s="8" t="s">
        <v>58</v>
      </c>
      <c r="M79" s="8" t="s">
        <v>35</v>
      </c>
      <c r="N79" s="11">
        <v>44760.0</v>
      </c>
      <c r="O79" s="11">
        <v>44781.0</v>
      </c>
      <c r="P79" s="11">
        <v>44823.0</v>
      </c>
      <c r="Q79" s="11">
        <v>44783.0</v>
      </c>
      <c r="R79" s="11">
        <v>44822.0</v>
      </c>
      <c r="S79" s="12"/>
      <c r="T79" s="8"/>
      <c r="U79" s="8" t="s">
        <v>59</v>
      </c>
      <c r="V79" s="13" t="s">
        <v>239</v>
      </c>
      <c r="W79" s="13" t="s">
        <v>579</v>
      </c>
      <c r="X79" s="12"/>
      <c r="Y79" s="14"/>
      <c r="Z79" s="14"/>
    </row>
    <row r="80">
      <c r="A80" s="8" t="s">
        <v>580</v>
      </c>
      <c r="B80" s="8" t="s">
        <v>581</v>
      </c>
      <c r="C80" s="8" t="s">
        <v>25</v>
      </c>
      <c r="D80" s="8" t="s">
        <v>26</v>
      </c>
      <c r="E80" s="8" t="s">
        <v>582</v>
      </c>
      <c r="F80" s="8">
        <v>2.0484429E7</v>
      </c>
      <c r="G80" s="8" t="s">
        <v>54</v>
      </c>
      <c r="H80" s="8" t="s">
        <v>55</v>
      </c>
      <c r="I80" s="8" t="s">
        <v>31</v>
      </c>
      <c r="J80" s="8" t="s">
        <v>136</v>
      </c>
      <c r="K80" s="10" t="s">
        <v>583</v>
      </c>
      <c r="L80" s="8" t="s">
        <v>58</v>
      </c>
      <c r="M80" s="8" t="s">
        <v>35</v>
      </c>
      <c r="N80" s="11">
        <v>44760.0</v>
      </c>
      <c r="O80" s="11">
        <v>44760.0</v>
      </c>
      <c r="P80" s="11">
        <v>44802.0</v>
      </c>
      <c r="Q80" s="11">
        <v>44767.0</v>
      </c>
      <c r="R80" s="11">
        <v>44802.0</v>
      </c>
      <c r="S80" s="12"/>
      <c r="T80" s="8"/>
      <c r="U80" s="8" t="s">
        <v>59</v>
      </c>
      <c r="V80" s="13" t="s">
        <v>584</v>
      </c>
      <c r="W80" s="13" t="s">
        <v>585</v>
      </c>
      <c r="X80" s="12"/>
      <c r="Y80" s="14"/>
      <c r="Z80" s="14"/>
    </row>
    <row r="81">
      <c r="A81" s="8" t="s">
        <v>586</v>
      </c>
      <c r="B81" s="8" t="s">
        <v>587</v>
      </c>
      <c r="C81" s="8" t="s">
        <v>64</v>
      </c>
      <c r="D81" s="8" t="s">
        <v>26</v>
      </c>
      <c r="E81" s="8" t="s">
        <v>588</v>
      </c>
      <c r="F81" s="8">
        <v>1.117039336E9</v>
      </c>
      <c r="G81" s="8" t="s">
        <v>284</v>
      </c>
      <c r="H81" s="8" t="s">
        <v>589</v>
      </c>
      <c r="I81" s="8" t="s">
        <v>31</v>
      </c>
      <c r="J81" s="8" t="s">
        <v>86</v>
      </c>
      <c r="K81" s="10" t="s">
        <v>590</v>
      </c>
      <c r="L81" s="8" t="s">
        <v>58</v>
      </c>
      <c r="M81" s="8" t="s">
        <v>35</v>
      </c>
      <c r="N81" s="11">
        <v>44760.0</v>
      </c>
      <c r="O81" s="11">
        <v>44774.0</v>
      </c>
      <c r="P81" s="11">
        <v>44829.0</v>
      </c>
      <c r="Q81" s="11">
        <v>44795.0</v>
      </c>
      <c r="R81" s="11">
        <v>44837.0</v>
      </c>
      <c r="S81" s="12"/>
      <c r="T81" s="8"/>
      <c r="U81" s="8" t="s">
        <v>59</v>
      </c>
      <c r="V81" s="13" t="s">
        <v>589</v>
      </c>
      <c r="W81" s="13" t="s">
        <v>591</v>
      </c>
      <c r="X81" s="12"/>
      <c r="Y81" s="14"/>
      <c r="Z81" s="14"/>
    </row>
    <row r="82">
      <c r="A82" s="8" t="s">
        <v>592</v>
      </c>
      <c r="B82" s="8" t="s">
        <v>593</v>
      </c>
      <c r="C82" s="8" t="s">
        <v>25</v>
      </c>
      <c r="D82" s="8" t="s">
        <v>26</v>
      </c>
      <c r="E82" s="8" t="s">
        <v>594</v>
      </c>
      <c r="F82" s="8">
        <v>5.413153551E9</v>
      </c>
      <c r="G82" s="8" t="s">
        <v>31</v>
      </c>
      <c r="H82" s="8" t="s">
        <v>220</v>
      </c>
      <c r="I82" s="8" t="s">
        <v>54</v>
      </c>
      <c r="J82" s="8" t="s">
        <v>595</v>
      </c>
      <c r="K82" s="10" t="s">
        <v>596</v>
      </c>
      <c r="L82" s="8" t="s">
        <v>58</v>
      </c>
      <c r="M82" s="8" t="s">
        <v>35</v>
      </c>
      <c r="N82" s="11">
        <v>44760.0</v>
      </c>
      <c r="O82" s="11">
        <v>44774.0</v>
      </c>
      <c r="P82" s="11">
        <v>44816.0</v>
      </c>
      <c r="Q82" s="11">
        <v>44780.0</v>
      </c>
      <c r="R82" s="11">
        <v>44816.0</v>
      </c>
      <c r="S82" s="12"/>
      <c r="T82" s="8"/>
      <c r="U82" s="8" t="s">
        <v>59</v>
      </c>
      <c r="V82" s="13" t="s">
        <v>220</v>
      </c>
      <c r="W82" s="13" t="s">
        <v>597</v>
      </c>
      <c r="X82" s="12"/>
      <c r="Y82" s="14"/>
      <c r="Z82" s="14"/>
    </row>
    <row r="83">
      <c r="A83" s="8" t="s">
        <v>598</v>
      </c>
      <c r="B83" s="8" t="s">
        <v>599</v>
      </c>
      <c r="C83" s="8" t="s">
        <v>25</v>
      </c>
      <c r="D83" s="8" t="s">
        <v>26</v>
      </c>
      <c r="E83" s="8" t="s">
        <v>600</v>
      </c>
      <c r="F83" s="8">
        <v>2.3633381E7</v>
      </c>
      <c r="G83" s="8" t="s">
        <v>54</v>
      </c>
      <c r="H83" s="8" t="s">
        <v>76</v>
      </c>
      <c r="I83" s="8" t="s">
        <v>31</v>
      </c>
      <c r="J83" s="8" t="s">
        <v>77</v>
      </c>
      <c r="K83" s="10" t="s">
        <v>601</v>
      </c>
      <c r="L83" s="8" t="s">
        <v>47</v>
      </c>
      <c r="M83" s="8" t="s">
        <v>70</v>
      </c>
      <c r="N83" s="11">
        <v>44760.0</v>
      </c>
      <c r="O83" s="11">
        <v>44809.0</v>
      </c>
      <c r="P83" s="11">
        <v>45093.0</v>
      </c>
      <c r="Q83" s="11">
        <v>44812.0</v>
      </c>
      <c r="R83" s="11">
        <v>45107.0</v>
      </c>
      <c r="S83" s="12"/>
      <c r="T83" s="8"/>
      <c r="U83" s="8" t="s">
        <v>602</v>
      </c>
      <c r="V83" s="13" t="s">
        <v>491</v>
      </c>
      <c r="W83" s="13" t="s">
        <v>603</v>
      </c>
      <c r="X83" s="12"/>
      <c r="Y83" s="14"/>
      <c r="Z83" s="14"/>
    </row>
    <row r="84">
      <c r="A84" s="8" t="s">
        <v>604</v>
      </c>
      <c r="B84" s="8" t="s">
        <v>605</v>
      </c>
      <c r="C84" s="8" t="s">
        <v>25</v>
      </c>
      <c r="D84" s="8" t="s">
        <v>26</v>
      </c>
      <c r="E84" s="8" t="s">
        <v>606</v>
      </c>
      <c r="F84" s="8">
        <v>5.54212259E8</v>
      </c>
      <c r="G84" s="8" t="s">
        <v>277</v>
      </c>
      <c r="H84" s="8" t="s">
        <v>607</v>
      </c>
      <c r="I84" s="8" t="s">
        <v>31</v>
      </c>
      <c r="J84" s="8" t="s">
        <v>56</v>
      </c>
      <c r="K84" s="10" t="s">
        <v>608</v>
      </c>
      <c r="L84" s="8" t="s">
        <v>58</v>
      </c>
      <c r="M84" s="8" t="s">
        <v>35</v>
      </c>
      <c r="N84" s="11">
        <v>44760.0</v>
      </c>
      <c r="O84" s="11">
        <v>44774.0</v>
      </c>
      <c r="P84" s="11">
        <v>44816.0</v>
      </c>
      <c r="Q84" s="11">
        <v>44777.0</v>
      </c>
      <c r="R84" s="11">
        <v>44816.0</v>
      </c>
      <c r="S84" s="12"/>
      <c r="T84" s="8"/>
      <c r="U84" s="8" t="s">
        <v>59</v>
      </c>
      <c r="V84" s="13" t="s">
        <v>609</v>
      </c>
      <c r="W84" s="13" t="s">
        <v>610</v>
      </c>
      <c r="X84" s="12"/>
      <c r="Y84" s="14"/>
      <c r="Z84" s="14"/>
    </row>
    <row r="85">
      <c r="A85" s="8" t="s">
        <v>611</v>
      </c>
      <c r="B85" s="8" t="s">
        <v>612</v>
      </c>
      <c r="C85" s="8" t="s">
        <v>25</v>
      </c>
      <c r="D85" s="8" t="s">
        <v>26</v>
      </c>
      <c r="E85" s="8" t="s">
        <v>613</v>
      </c>
      <c r="F85" s="8">
        <v>3.322227561E9</v>
      </c>
      <c r="G85" s="8" t="s">
        <v>315</v>
      </c>
      <c r="H85" s="8" t="s">
        <v>316</v>
      </c>
      <c r="I85" s="8" t="s">
        <v>31</v>
      </c>
      <c r="J85" s="8" t="s">
        <v>32</v>
      </c>
      <c r="K85" s="10" t="s">
        <v>561</v>
      </c>
      <c r="L85" s="8" t="s">
        <v>58</v>
      </c>
      <c r="M85" s="8" t="s">
        <v>35</v>
      </c>
      <c r="N85" s="11">
        <v>44760.0</v>
      </c>
      <c r="O85" s="11">
        <v>44794.0</v>
      </c>
      <c r="P85" s="11">
        <v>44836.0</v>
      </c>
      <c r="Q85" s="11">
        <v>44810.0</v>
      </c>
      <c r="R85" s="11">
        <v>44844.0</v>
      </c>
      <c r="S85" s="12"/>
      <c r="T85" s="8"/>
      <c r="U85" s="8" t="s">
        <v>59</v>
      </c>
      <c r="V85" s="13" t="s">
        <v>614</v>
      </c>
      <c r="W85" s="13" t="s">
        <v>615</v>
      </c>
      <c r="X85" s="12"/>
      <c r="Y85" s="14"/>
      <c r="Z85" s="14"/>
    </row>
    <row r="86">
      <c r="A86" s="8" t="s">
        <v>616</v>
      </c>
      <c r="B86" s="8" t="s">
        <v>617</v>
      </c>
      <c r="C86" s="8" t="s">
        <v>25</v>
      </c>
      <c r="D86" s="8" t="s">
        <v>26</v>
      </c>
      <c r="E86" s="8" t="s">
        <v>618</v>
      </c>
      <c r="F86" s="8"/>
      <c r="G86" s="8" t="s">
        <v>84</v>
      </c>
      <c r="H86" s="8" t="s">
        <v>619</v>
      </c>
      <c r="I86" s="8" t="s">
        <v>31</v>
      </c>
      <c r="J86" s="8" t="s">
        <v>167</v>
      </c>
      <c r="K86" s="10" t="s">
        <v>620</v>
      </c>
      <c r="L86" s="8" t="s">
        <v>58</v>
      </c>
      <c r="M86" s="8" t="s">
        <v>35</v>
      </c>
      <c r="N86" s="11">
        <v>44760.0</v>
      </c>
      <c r="O86" s="11">
        <v>44774.0</v>
      </c>
      <c r="P86" s="11">
        <v>44816.0</v>
      </c>
      <c r="Q86" s="11">
        <v>44774.0</v>
      </c>
      <c r="R86" s="11">
        <v>44850.0</v>
      </c>
      <c r="S86" s="12"/>
      <c r="T86" s="8"/>
      <c r="U86" s="8" t="s">
        <v>88</v>
      </c>
      <c r="V86" s="13" t="s">
        <v>38</v>
      </c>
      <c r="W86" s="13" t="s">
        <v>621</v>
      </c>
      <c r="X86" s="12"/>
      <c r="Y86" s="14"/>
      <c r="Z86" s="14"/>
    </row>
    <row r="87">
      <c r="A87" s="8" t="s">
        <v>622</v>
      </c>
      <c r="B87" s="8" t="s">
        <v>623</v>
      </c>
      <c r="C87" s="8" t="s">
        <v>64</v>
      </c>
      <c r="D87" s="8" t="s">
        <v>26</v>
      </c>
      <c r="E87" s="8" t="s">
        <v>624</v>
      </c>
      <c r="F87" s="8">
        <v>1.14936969E9</v>
      </c>
      <c r="G87" s="8" t="s">
        <v>284</v>
      </c>
      <c r="H87" s="8" t="s">
        <v>625</v>
      </c>
      <c r="I87" s="8" t="s">
        <v>31</v>
      </c>
      <c r="J87" s="8" t="s">
        <v>86</v>
      </c>
      <c r="K87" s="10" t="s">
        <v>416</v>
      </c>
      <c r="L87" s="8" t="s">
        <v>58</v>
      </c>
      <c r="M87" s="8" t="s">
        <v>35</v>
      </c>
      <c r="N87" s="11">
        <v>44760.0</v>
      </c>
      <c r="O87" s="11">
        <v>44794.0</v>
      </c>
      <c r="P87" s="11">
        <v>44836.0</v>
      </c>
      <c r="Q87" s="11">
        <v>44795.0</v>
      </c>
      <c r="R87" s="11">
        <v>44838.0</v>
      </c>
      <c r="S87" s="12"/>
      <c r="T87" s="8"/>
      <c r="U87" s="8" t="s">
        <v>59</v>
      </c>
      <c r="V87" s="13" t="s">
        <v>626</v>
      </c>
      <c r="W87" s="13" t="s">
        <v>627</v>
      </c>
      <c r="X87" s="12"/>
      <c r="Y87" s="14"/>
      <c r="Z87" s="14"/>
    </row>
    <row r="88">
      <c r="A88" s="8" t="s">
        <v>628</v>
      </c>
      <c r="B88" s="8" t="s">
        <v>629</v>
      </c>
      <c r="C88" s="8" t="s">
        <v>25</v>
      </c>
      <c r="D88" s="8" t="s">
        <v>26</v>
      </c>
      <c r="E88" s="8" t="s">
        <v>630</v>
      </c>
      <c r="F88" s="8">
        <v>5.074125415E9</v>
      </c>
      <c r="G88" s="8" t="s">
        <v>31</v>
      </c>
      <c r="H88" s="8" t="s">
        <v>32</v>
      </c>
      <c r="I88" s="8" t="s">
        <v>284</v>
      </c>
      <c r="J88" s="8" t="s">
        <v>589</v>
      </c>
      <c r="K88" s="10" t="s">
        <v>631</v>
      </c>
      <c r="L88" s="8" t="s">
        <v>58</v>
      </c>
      <c r="M88" s="8" t="s">
        <v>35</v>
      </c>
      <c r="N88" s="11">
        <v>44761.0</v>
      </c>
      <c r="O88" s="11">
        <v>44762.0</v>
      </c>
      <c r="P88" s="11">
        <v>44804.0</v>
      </c>
      <c r="Q88" s="11">
        <v>44761.0</v>
      </c>
      <c r="R88" s="11">
        <v>44803.0</v>
      </c>
      <c r="S88" s="12"/>
      <c r="T88" s="8"/>
      <c r="U88" s="8" t="s">
        <v>632</v>
      </c>
      <c r="V88" s="13" t="s">
        <v>537</v>
      </c>
      <c r="W88" s="13" t="s">
        <v>633</v>
      </c>
      <c r="X88" s="12"/>
      <c r="Y88" s="14"/>
      <c r="Z88" s="14"/>
    </row>
    <row r="89">
      <c r="A89" s="8" t="s">
        <v>634</v>
      </c>
      <c r="B89" s="8" t="s">
        <v>635</v>
      </c>
      <c r="C89" s="8" t="s">
        <v>25</v>
      </c>
      <c r="D89" s="8" t="s">
        <v>26</v>
      </c>
      <c r="E89" s="8" t="s">
        <v>636</v>
      </c>
      <c r="F89" s="8">
        <v>5.345814711E9</v>
      </c>
      <c r="G89" s="8" t="s">
        <v>31</v>
      </c>
      <c r="H89" s="8" t="s">
        <v>32</v>
      </c>
      <c r="I89" s="8" t="s">
        <v>284</v>
      </c>
      <c r="J89" s="8" t="s">
        <v>589</v>
      </c>
      <c r="K89" s="10" t="s">
        <v>631</v>
      </c>
      <c r="L89" s="8" t="s">
        <v>58</v>
      </c>
      <c r="M89" s="8" t="s">
        <v>35</v>
      </c>
      <c r="N89" s="11">
        <v>44761.0</v>
      </c>
      <c r="O89" s="11">
        <v>44762.0</v>
      </c>
      <c r="P89" s="11">
        <v>44804.0</v>
      </c>
      <c r="Q89" s="11">
        <v>44761.0</v>
      </c>
      <c r="R89" s="11">
        <v>44803.0</v>
      </c>
      <c r="S89" s="12"/>
      <c r="T89" s="8"/>
      <c r="U89" s="8" t="s">
        <v>632</v>
      </c>
      <c r="V89" s="13" t="s">
        <v>537</v>
      </c>
      <c r="W89" s="13" t="s">
        <v>637</v>
      </c>
      <c r="X89" s="12"/>
      <c r="Y89" s="14"/>
      <c r="Z89" s="14"/>
    </row>
    <row r="90">
      <c r="A90" s="8" t="s">
        <v>638</v>
      </c>
      <c r="B90" s="8" t="s">
        <v>639</v>
      </c>
      <c r="C90" s="8" t="s">
        <v>25</v>
      </c>
      <c r="D90" s="8" t="s">
        <v>26</v>
      </c>
      <c r="E90" s="8" t="s">
        <v>640</v>
      </c>
      <c r="F90" s="8">
        <v>5.353236249E9</v>
      </c>
      <c r="G90" s="8" t="s">
        <v>31</v>
      </c>
      <c r="H90" s="8" t="s">
        <v>102</v>
      </c>
      <c r="I90" s="8" t="s">
        <v>54</v>
      </c>
      <c r="J90" s="8" t="s">
        <v>595</v>
      </c>
      <c r="K90" s="10" t="s">
        <v>641</v>
      </c>
      <c r="L90" s="8" t="s">
        <v>58</v>
      </c>
      <c r="M90" s="8" t="s">
        <v>35</v>
      </c>
      <c r="N90" s="11">
        <v>44761.0</v>
      </c>
      <c r="O90" s="11">
        <v>44774.0</v>
      </c>
      <c r="P90" s="11">
        <v>44816.0</v>
      </c>
      <c r="Q90" s="11">
        <v>44775.0</v>
      </c>
      <c r="R90" s="11">
        <v>44816.0</v>
      </c>
      <c r="S90" s="12"/>
      <c r="T90" s="8"/>
      <c r="U90" s="8" t="s">
        <v>88</v>
      </c>
      <c r="V90" s="13" t="s">
        <v>102</v>
      </c>
      <c r="W90" s="13" t="s">
        <v>642</v>
      </c>
      <c r="X90" s="12"/>
      <c r="Y90" s="14"/>
      <c r="Z90" s="14"/>
    </row>
    <row r="91">
      <c r="A91" s="8" t="s">
        <v>643</v>
      </c>
      <c r="B91" s="8" t="s">
        <v>644</v>
      </c>
      <c r="C91" s="8" t="s">
        <v>64</v>
      </c>
      <c r="D91" s="8" t="s">
        <v>26</v>
      </c>
      <c r="E91" s="8" t="s">
        <v>645</v>
      </c>
      <c r="F91" s="8">
        <v>7.08502706E8</v>
      </c>
      <c r="G91" s="8" t="s">
        <v>84</v>
      </c>
      <c r="H91" s="8" t="s">
        <v>646</v>
      </c>
      <c r="I91" s="8" t="s">
        <v>31</v>
      </c>
      <c r="J91" s="8" t="s">
        <v>77</v>
      </c>
      <c r="K91" s="10" t="s">
        <v>647</v>
      </c>
      <c r="L91" s="8" t="s">
        <v>34</v>
      </c>
      <c r="M91" s="8" t="s">
        <v>70</v>
      </c>
      <c r="N91" s="11">
        <v>44761.0</v>
      </c>
      <c r="O91" s="11">
        <v>44774.0</v>
      </c>
      <c r="P91" s="11">
        <v>45139.0</v>
      </c>
      <c r="Q91" s="11">
        <v>44818.0</v>
      </c>
      <c r="R91" s="11">
        <v>45181.0</v>
      </c>
      <c r="S91" s="12"/>
      <c r="T91" s="8" t="s">
        <v>121</v>
      </c>
      <c r="U91" s="8" t="s">
        <v>648</v>
      </c>
      <c r="V91" s="13" t="s">
        <v>649</v>
      </c>
      <c r="W91" s="13" t="s">
        <v>650</v>
      </c>
      <c r="X91" s="12"/>
      <c r="Y91" s="14"/>
      <c r="Z91" s="14"/>
    </row>
    <row r="92">
      <c r="A92" s="8" t="s">
        <v>651</v>
      </c>
      <c r="B92" s="8" t="s">
        <v>652</v>
      </c>
      <c r="C92" s="8" t="s">
        <v>25</v>
      </c>
      <c r="D92" s="8" t="s">
        <v>26</v>
      </c>
      <c r="E92" s="8" t="s">
        <v>653</v>
      </c>
      <c r="F92" s="8">
        <v>9.2813213E7</v>
      </c>
      <c r="G92" s="8" t="s">
        <v>54</v>
      </c>
      <c r="H92" s="8" t="s">
        <v>430</v>
      </c>
      <c r="I92" s="8" t="s">
        <v>31</v>
      </c>
      <c r="J92" s="8" t="s">
        <v>77</v>
      </c>
      <c r="K92" s="10" t="s">
        <v>654</v>
      </c>
      <c r="L92" s="8" t="s">
        <v>58</v>
      </c>
      <c r="M92" s="8" t="s">
        <v>35</v>
      </c>
      <c r="N92" s="11">
        <v>44761.0</v>
      </c>
      <c r="O92" s="11">
        <v>44774.0</v>
      </c>
      <c r="P92" s="11">
        <v>44816.0</v>
      </c>
      <c r="Q92" s="11">
        <v>44774.0</v>
      </c>
      <c r="R92" s="11">
        <v>44814.0</v>
      </c>
      <c r="S92" s="12"/>
      <c r="T92" s="8"/>
      <c r="U92" s="8" t="s">
        <v>371</v>
      </c>
      <c r="V92" s="13" t="s">
        <v>655</v>
      </c>
      <c r="W92" s="13" t="s">
        <v>656</v>
      </c>
      <c r="X92" s="12"/>
      <c r="Y92" s="14"/>
      <c r="Z92" s="14"/>
    </row>
    <row r="93">
      <c r="A93" s="8" t="s">
        <v>657</v>
      </c>
      <c r="B93" s="8" t="s">
        <v>658</v>
      </c>
      <c r="C93" s="8" t="s">
        <v>25</v>
      </c>
      <c r="D93" s="8" t="s">
        <v>26</v>
      </c>
      <c r="E93" s="8" t="s">
        <v>659</v>
      </c>
      <c r="F93" s="8">
        <v>9.4424203E8</v>
      </c>
      <c r="G93" s="8" t="s">
        <v>660</v>
      </c>
      <c r="H93" s="8" t="s">
        <v>661</v>
      </c>
      <c r="I93" s="8" t="s">
        <v>31</v>
      </c>
      <c r="J93" s="8" t="s">
        <v>542</v>
      </c>
      <c r="K93" s="10" t="s">
        <v>662</v>
      </c>
      <c r="L93" s="8" t="s">
        <v>58</v>
      </c>
      <c r="M93" s="8" t="s">
        <v>35</v>
      </c>
      <c r="N93" s="11">
        <v>44761.0</v>
      </c>
      <c r="O93" s="11">
        <v>44942.0</v>
      </c>
      <c r="P93" s="11">
        <v>44984.0</v>
      </c>
      <c r="Q93" s="11">
        <v>44942.0</v>
      </c>
      <c r="R93" s="11">
        <v>44984.0</v>
      </c>
      <c r="S93" s="12"/>
      <c r="T93" s="8"/>
      <c r="U93" s="8" t="s">
        <v>59</v>
      </c>
      <c r="V93" s="13" t="s">
        <v>663</v>
      </c>
      <c r="W93" s="13" t="s">
        <v>664</v>
      </c>
      <c r="X93" s="12"/>
      <c r="Y93" s="14"/>
      <c r="Z93" s="14"/>
    </row>
    <row r="94">
      <c r="A94" s="8" t="s">
        <v>665</v>
      </c>
      <c r="B94" s="8" t="s">
        <v>666</v>
      </c>
      <c r="C94" s="8" t="s">
        <v>25</v>
      </c>
      <c r="D94" s="8" t="s">
        <v>26</v>
      </c>
      <c r="E94" s="8" t="s">
        <v>667</v>
      </c>
      <c r="F94" s="8"/>
      <c r="G94" s="8" t="s">
        <v>31</v>
      </c>
      <c r="H94" s="8" t="s">
        <v>86</v>
      </c>
      <c r="I94" s="8" t="s">
        <v>54</v>
      </c>
      <c r="J94" s="8" t="s">
        <v>369</v>
      </c>
      <c r="K94" s="10" t="s">
        <v>668</v>
      </c>
      <c r="L94" s="8" t="s">
        <v>58</v>
      </c>
      <c r="M94" s="8" t="s">
        <v>35</v>
      </c>
      <c r="N94" s="11">
        <v>44761.0</v>
      </c>
      <c r="O94" s="11">
        <v>44765.0</v>
      </c>
      <c r="P94" s="11">
        <v>44808.0</v>
      </c>
      <c r="Q94" s="11">
        <v>44766.0</v>
      </c>
      <c r="R94" s="11">
        <v>44808.0</v>
      </c>
      <c r="S94" s="12"/>
      <c r="T94" s="8"/>
      <c r="U94" s="8" t="s">
        <v>402</v>
      </c>
      <c r="V94" s="13" t="s">
        <v>175</v>
      </c>
      <c r="W94" s="13" t="s">
        <v>669</v>
      </c>
      <c r="X94" s="12"/>
      <c r="Y94" s="14"/>
      <c r="Z94" s="14"/>
    </row>
    <row r="95">
      <c r="A95" s="8" t="s">
        <v>670</v>
      </c>
      <c r="B95" s="8" t="s">
        <v>671</v>
      </c>
      <c r="C95" s="8" t="s">
        <v>251</v>
      </c>
      <c r="D95" s="8" t="s">
        <v>26</v>
      </c>
      <c r="E95" s="8" t="s">
        <v>672</v>
      </c>
      <c r="F95" s="8">
        <v>1.202326369E9</v>
      </c>
      <c r="G95" s="8" t="s">
        <v>284</v>
      </c>
      <c r="H95" s="8" t="s">
        <v>673</v>
      </c>
      <c r="I95" s="8" t="s">
        <v>31</v>
      </c>
      <c r="J95" s="8" t="s">
        <v>86</v>
      </c>
      <c r="K95" s="10" t="s">
        <v>590</v>
      </c>
      <c r="L95" s="8" t="s">
        <v>58</v>
      </c>
      <c r="M95" s="8" t="s">
        <v>35</v>
      </c>
      <c r="N95" s="11">
        <v>44761.0</v>
      </c>
      <c r="O95" s="11">
        <v>44774.0</v>
      </c>
      <c r="P95" s="11">
        <v>44829.0</v>
      </c>
      <c r="Q95" s="11"/>
      <c r="R95" s="11"/>
      <c r="S95" s="12"/>
      <c r="T95" s="8"/>
      <c r="U95" s="8" t="s">
        <v>59</v>
      </c>
      <c r="V95" s="13" t="s">
        <v>674</v>
      </c>
      <c r="W95" s="13" t="s">
        <v>675</v>
      </c>
      <c r="X95" s="12"/>
      <c r="Y95" s="14"/>
      <c r="Z95" s="14"/>
    </row>
    <row r="96">
      <c r="A96" s="8" t="s">
        <v>676</v>
      </c>
      <c r="B96" s="8" t="s">
        <v>677</v>
      </c>
      <c r="C96" s="8" t="s">
        <v>64</v>
      </c>
      <c r="D96" s="8" t="s">
        <v>26</v>
      </c>
      <c r="E96" s="8" t="s">
        <v>678</v>
      </c>
      <c r="F96" s="8">
        <v>5.312107327E9</v>
      </c>
      <c r="G96" s="8" t="s">
        <v>31</v>
      </c>
      <c r="H96" s="8" t="s">
        <v>111</v>
      </c>
      <c r="I96" s="8" t="s">
        <v>29</v>
      </c>
      <c r="J96" s="8" t="s">
        <v>679</v>
      </c>
      <c r="K96" s="10" t="s">
        <v>680</v>
      </c>
      <c r="L96" s="8" t="s">
        <v>58</v>
      </c>
      <c r="M96" s="8" t="s">
        <v>35</v>
      </c>
      <c r="N96" s="11">
        <v>44762.0</v>
      </c>
      <c r="O96" s="11">
        <v>44805.0</v>
      </c>
      <c r="P96" s="11">
        <v>44847.0</v>
      </c>
      <c r="Q96" s="11">
        <v>44805.0</v>
      </c>
      <c r="R96" s="11">
        <v>44847.0</v>
      </c>
      <c r="S96" s="12"/>
      <c r="T96" s="8"/>
      <c r="U96" s="8" t="s">
        <v>681</v>
      </c>
      <c r="V96" s="13" t="s">
        <v>111</v>
      </c>
      <c r="W96" s="13" t="s">
        <v>682</v>
      </c>
      <c r="X96" s="12"/>
      <c r="Y96" s="14"/>
      <c r="Z96" s="14"/>
    </row>
    <row r="97">
      <c r="A97" s="8" t="s">
        <v>683</v>
      </c>
      <c r="B97" s="8" t="s">
        <v>684</v>
      </c>
      <c r="C97" s="8" t="s">
        <v>25</v>
      </c>
      <c r="D97" s="8" t="s">
        <v>26</v>
      </c>
      <c r="E97" s="8" t="s">
        <v>685</v>
      </c>
      <c r="F97" s="8">
        <v>2.6566995E7</v>
      </c>
      <c r="G97" s="8" t="s">
        <v>54</v>
      </c>
      <c r="H97" s="8" t="s">
        <v>377</v>
      </c>
      <c r="I97" s="8" t="s">
        <v>31</v>
      </c>
      <c r="J97" s="8" t="s">
        <v>167</v>
      </c>
      <c r="K97" s="10" t="s">
        <v>620</v>
      </c>
      <c r="L97" s="8" t="s">
        <v>58</v>
      </c>
      <c r="M97" s="8" t="s">
        <v>35</v>
      </c>
      <c r="N97" s="11">
        <v>44763.0</v>
      </c>
      <c r="O97" s="11">
        <v>44774.0</v>
      </c>
      <c r="P97" s="11">
        <v>44816.0</v>
      </c>
      <c r="Q97" s="11">
        <v>44774.0</v>
      </c>
      <c r="R97" s="11">
        <v>44816.0</v>
      </c>
      <c r="S97" s="12"/>
      <c r="T97" s="8"/>
      <c r="U97" s="8" t="s">
        <v>88</v>
      </c>
      <c r="V97" s="13" t="s">
        <v>686</v>
      </c>
      <c r="W97" s="13" t="s">
        <v>687</v>
      </c>
      <c r="X97" s="12"/>
      <c r="Y97" s="14"/>
      <c r="Z97" s="14"/>
    </row>
    <row r="98">
      <c r="A98" s="8" t="s">
        <v>688</v>
      </c>
      <c r="B98" s="8" t="s">
        <v>689</v>
      </c>
      <c r="C98" s="8" t="s">
        <v>251</v>
      </c>
      <c r="D98" s="8" t="s">
        <v>26</v>
      </c>
      <c r="E98" s="8" t="s">
        <v>690</v>
      </c>
      <c r="F98" s="8">
        <v>1.096425218E9</v>
      </c>
      <c r="G98" s="8" t="s">
        <v>284</v>
      </c>
      <c r="H98" s="8" t="s">
        <v>691</v>
      </c>
      <c r="I98" s="8" t="s">
        <v>31</v>
      </c>
      <c r="J98" s="8" t="s">
        <v>86</v>
      </c>
      <c r="K98" s="10" t="s">
        <v>578</v>
      </c>
      <c r="L98" s="8" t="s">
        <v>58</v>
      </c>
      <c r="M98" s="8" t="s">
        <v>35</v>
      </c>
      <c r="N98" s="11">
        <v>44763.0</v>
      </c>
      <c r="O98" s="11">
        <v>44781.0</v>
      </c>
      <c r="P98" s="11">
        <v>44823.0</v>
      </c>
      <c r="Q98" s="11"/>
      <c r="R98" s="11"/>
      <c r="S98" s="12"/>
      <c r="T98" s="8"/>
      <c r="U98" s="8" t="s">
        <v>59</v>
      </c>
      <c r="V98" s="13" t="s">
        <v>692</v>
      </c>
      <c r="W98" s="13" t="s">
        <v>693</v>
      </c>
      <c r="X98" s="12"/>
      <c r="Y98" s="14"/>
      <c r="Z98" s="14"/>
    </row>
    <row r="99">
      <c r="A99" s="8" t="s">
        <v>694</v>
      </c>
      <c r="B99" s="8" t="s">
        <v>695</v>
      </c>
      <c r="C99" s="8" t="s">
        <v>25</v>
      </c>
      <c r="D99" s="8" t="s">
        <v>26</v>
      </c>
      <c r="E99" s="8" t="s">
        <v>696</v>
      </c>
      <c r="F99" s="8">
        <v>5.02220373E8</v>
      </c>
      <c r="G99" s="8" t="s">
        <v>277</v>
      </c>
      <c r="H99" s="8" t="s">
        <v>697</v>
      </c>
      <c r="I99" s="8" t="s">
        <v>31</v>
      </c>
      <c r="J99" s="8" t="s">
        <v>56</v>
      </c>
      <c r="K99" s="10" t="s">
        <v>608</v>
      </c>
      <c r="L99" s="8" t="s">
        <v>58</v>
      </c>
      <c r="M99" s="8" t="s">
        <v>35</v>
      </c>
      <c r="N99" s="11">
        <v>44763.0</v>
      </c>
      <c r="O99" s="11">
        <v>44774.0</v>
      </c>
      <c r="P99" s="11">
        <v>44816.0</v>
      </c>
      <c r="Q99" s="11">
        <v>44774.0</v>
      </c>
      <c r="R99" s="11">
        <v>44816.0</v>
      </c>
      <c r="S99" s="12"/>
      <c r="T99" s="8"/>
      <c r="U99" s="8" t="s">
        <v>59</v>
      </c>
      <c r="V99" s="13" t="s">
        <v>698</v>
      </c>
      <c r="W99" s="13" t="s">
        <v>699</v>
      </c>
      <c r="X99" s="12"/>
      <c r="Y99" s="14"/>
      <c r="Z99" s="14"/>
    </row>
    <row r="100">
      <c r="A100" s="8" t="s">
        <v>700</v>
      </c>
      <c r="B100" s="8" t="s">
        <v>701</v>
      </c>
      <c r="C100" s="8" t="s">
        <v>64</v>
      </c>
      <c r="D100" s="8" t="s">
        <v>26</v>
      </c>
      <c r="E100" s="8" t="s">
        <v>702</v>
      </c>
      <c r="F100" s="8"/>
      <c r="G100" s="8" t="s">
        <v>307</v>
      </c>
      <c r="H100" s="8" t="s">
        <v>308</v>
      </c>
      <c r="I100" s="8" t="s">
        <v>31</v>
      </c>
      <c r="J100" s="8" t="s">
        <v>77</v>
      </c>
      <c r="K100" s="10" t="s">
        <v>703</v>
      </c>
      <c r="L100" s="8" t="s">
        <v>34</v>
      </c>
      <c r="M100" s="8" t="s">
        <v>70</v>
      </c>
      <c r="N100" s="11">
        <v>44763.0</v>
      </c>
      <c r="O100" s="11">
        <v>44770.0</v>
      </c>
      <c r="P100" s="11">
        <v>45135.0</v>
      </c>
      <c r="Q100" s="11">
        <v>44790.0</v>
      </c>
      <c r="R100" s="11">
        <v>45154.0</v>
      </c>
      <c r="S100" s="12"/>
      <c r="T100" s="8" t="s">
        <v>205</v>
      </c>
      <c r="U100" s="8" t="s">
        <v>704</v>
      </c>
      <c r="V100" s="13" t="s">
        <v>38</v>
      </c>
      <c r="W100" s="13" t="s">
        <v>705</v>
      </c>
      <c r="X100" s="12"/>
      <c r="Y100" s="14"/>
      <c r="Z100" s="14"/>
    </row>
    <row r="101">
      <c r="A101" s="8" t="s">
        <v>706</v>
      </c>
      <c r="B101" s="8" t="s">
        <v>707</v>
      </c>
      <c r="C101" s="8" t="s">
        <v>708</v>
      </c>
      <c r="D101" s="8" t="s">
        <v>26</v>
      </c>
      <c r="E101" s="8" t="s">
        <v>709</v>
      </c>
      <c r="F101" s="8">
        <v>5.59530916E8</v>
      </c>
      <c r="G101" s="8" t="s">
        <v>254</v>
      </c>
      <c r="H101" s="8" t="s">
        <v>291</v>
      </c>
      <c r="I101" s="8" t="s">
        <v>31</v>
      </c>
      <c r="J101" s="8" t="s">
        <v>86</v>
      </c>
      <c r="K101" s="10" t="s">
        <v>710</v>
      </c>
      <c r="L101" s="8" t="s">
        <v>34</v>
      </c>
      <c r="M101" s="8" t="s">
        <v>70</v>
      </c>
      <c r="N101" s="11">
        <v>44764.0</v>
      </c>
      <c r="O101" s="11">
        <v>44830.0</v>
      </c>
      <c r="P101" s="11">
        <v>45352.0</v>
      </c>
      <c r="Q101" s="11">
        <v>44834.0</v>
      </c>
      <c r="R101" s="11">
        <v>45352.0</v>
      </c>
      <c r="S101" s="12"/>
      <c r="T101" s="8" t="s">
        <v>36</v>
      </c>
      <c r="U101" s="8" t="s">
        <v>711</v>
      </c>
      <c r="V101" s="13" t="s">
        <v>295</v>
      </c>
      <c r="W101" s="13" t="s">
        <v>712</v>
      </c>
      <c r="X101" s="12"/>
      <c r="Y101" s="14"/>
      <c r="Z101" s="14"/>
    </row>
    <row r="102">
      <c r="A102" s="8" t="s">
        <v>713</v>
      </c>
      <c r="B102" s="8" t="s">
        <v>714</v>
      </c>
      <c r="C102" s="8" t="s">
        <v>64</v>
      </c>
      <c r="D102" s="8" t="s">
        <v>26</v>
      </c>
      <c r="E102" s="8" t="s">
        <v>715</v>
      </c>
      <c r="F102" s="8">
        <v>5.3140333E7</v>
      </c>
      <c r="G102" s="8" t="s">
        <v>54</v>
      </c>
      <c r="H102" s="8" t="s">
        <v>76</v>
      </c>
      <c r="I102" s="8" t="s">
        <v>31</v>
      </c>
      <c r="J102" s="8" t="s">
        <v>32</v>
      </c>
      <c r="K102" s="10" t="s">
        <v>716</v>
      </c>
      <c r="L102" s="8" t="s">
        <v>47</v>
      </c>
      <c r="M102" s="8" t="s">
        <v>70</v>
      </c>
      <c r="N102" s="11">
        <v>44764.0</v>
      </c>
      <c r="O102" s="11">
        <v>44795.0</v>
      </c>
      <c r="P102" s="11">
        <v>45099.0</v>
      </c>
      <c r="Q102" s="11">
        <v>44775.0</v>
      </c>
      <c r="R102" s="11">
        <v>45079.0</v>
      </c>
      <c r="S102" s="12"/>
      <c r="T102" s="8"/>
      <c r="U102" s="8" t="s">
        <v>717</v>
      </c>
      <c r="V102" s="13" t="s">
        <v>491</v>
      </c>
      <c r="W102" s="13" t="s">
        <v>718</v>
      </c>
      <c r="X102" s="12"/>
      <c r="Y102" s="14"/>
      <c r="Z102" s="14"/>
    </row>
    <row r="103">
      <c r="A103" s="8" t="s">
        <v>719</v>
      </c>
      <c r="B103" s="8" t="s">
        <v>720</v>
      </c>
      <c r="C103" s="8" t="s">
        <v>708</v>
      </c>
      <c r="D103" s="8" t="s">
        <v>26</v>
      </c>
      <c r="E103" s="8" t="s">
        <v>721</v>
      </c>
      <c r="F103" s="8">
        <v>5.345296294E9</v>
      </c>
      <c r="G103" s="8" t="s">
        <v>722</v>
      </c>
      <c r="H103" s="8" t="s">
        <v>723</v>
      </c>
      <c r="I103" s="8" t="s">
        <v>31</v>
      </c>
      <c r="J103" s="8" t="s">
        <v>86</v>
      </c>
      <c r="K103" s="10" t="s">
        <v>710</v>
      </c>
      <c r="L103" s="8" t="s">
        <v>34</v>
      </c>
      <c r="M103" s="8" t="s">
        <v>70</v>
      </c>
      <c r="N103" s="11">
        <v>44764.0</v>
      </c>
      <c r="O103" s="11">
        <v>44802.0</v>
      </c>
      <c r="P103" s="11">
        <v>45324.0</v>
      </c>
      <c r="Q103" s="11">
        <v>44853.0</v>
      </c>
      <c r="R103" s="11">
        <v>45380.0</v>
      </c>
      <c r="S103" s="12"/>
      <c r="T103" s="8" t="s">
        <v>36</v>
      </c>
      <c r="U103" s="8" t="s">
        <v>711</v>
      </c>
      <c r="V103" s="13" t="s">
        <v>724</v>
      </c>
      <c r="W103" s="13" t="s">
        <v>725</v>
      </c>
      <c r="X103" s="12"/>
      <c r="Y103" s="14"/>
      <c r="Z103" s="14"/>
    </row>
    <row r="104">
      <c r="A104" s="8" t="s">
        <v>726</v>
      </c>
      <c r="B104" s="8" t="s">
        <v>727</v>
      </c>
      <c r="C104" s="8" t="s">
        <v>64</v>
      </c>
      <c r="D104" s="8" t="s">
        <v>26</v>
      </c>
      <c r="E104" s="8" t="s">
        <v>728</v>
      </c>
      <c r="F104" s="8">
        <v>7.71941942E8</v>
      </c>
      <c r="G104" s="8" t="s">
        <v>84</v>
      </c>
      <c r="H104" s="8" t="s">
        <v>646</v>
      </c>
      <c r="I104" s="8" t="s">
        <v>31</v>
      </c>
      <c r="J104" s="8" t="s">
        <v>111</v>
      </c>
      <c r="K104" s="10" t="s">
        <v>729</v>
      </c>
      <c r="L104" s="8" t="s">
        <v>34</v>
      </c>
      <c r="M104" s="8" t="s">
        <v>48</v>
      </c>
      <c r="N104" s="11">
        <v>44764.0</v>
      </c>
      <c r="O104" s="11">
        <v>44836.0</v>
      </c>
      <c r="P104" s="11">
        <v>45017.0</v>
      </c>
      <c r="Q104" s="11">
        <v>44871.0</v>
      </c>
      <c r="R104" s="11">
        <v>45184.0</v>
      </c>
      <c r="S104" s="12"/>
      <c r="T104" s="8" t="s">
        <v>205</v>
      </c>
      <c r="U104" s="8" t="s">
        <v>730</v>
      </c>
      <c r="V104" s="13" t="s">
        <v>731</v>
      </c>
      <c r="W104" s="13" t="s">
        <v>732</v>
      </c>
      <c r="X104" s="12"/>
      <c r="Y104" s="14"/>
      <c r="Z104" s="14"/>
    </row>
    <row r="105">
      <c r="A105" s="8" t="s">
        <v>733</v>
      </c>
      <c r="B105" s="8" t="s">
        <v>734</v>
      </c>
      <c r="C105" s="8" t="s">
        <v>25</v>
      </c>
      <c r="D105" s="8" t="s">
        <v>26</v>
      </c>
      <c r="E105" s="8" t="s">
        <v>735</v>
      </c>
      <c r="F105" s="8">
        <v>2.6666853E7</v>
      </c>
      <c r="G105" s="8" t="s">
        <v>54</v>
      </c>
      <c r="H105" s="8" t="s">
        <v>55</v>
      </c>
      <c r="I105" s="8" t="s">
        <v>31</v>
      </c>
      <c r="J105" s="8" t="s">
        <v>292</v>
      </c>
      <c r="K105" s="10" t="s">
        <v>736</v>
      </c>
      <c r="L105" s="8" t="s">
        <v>47</v>
      </c>
      <c r="M105" s="8" t="s">
        <v>70</v>
      </c>
      <c r="N105" s="11">
        <v>44765.0</v>
      </c>
      <c r="O105" s="11">
        <v>44805.0</v>
      </c>
      <c r="P105" s="11">
        <v>45170.0</v>
      </c>
      <c r="Q105" s="11">
        <v>44819.0</v>
      </c>
      <c r="R105" s="11">
        <v>45184.0</v>
      </c>
      <c r="S105" s="12"/>
      <c r="T105" s="8"/>
      <c r="U105" s="8" t="s">
        <v>246</v>
      </c>
      <c r="V105" s="13" t="s">
        <v>38</v>
      </c>
      <c r="W105" s="13" t="s">
        <v>737</v>
      </c>
      <c r="X105" s="12"/>
      <c r="Y105" s="14"/>
      <c r="Z105" s="14"/>
    </row>
    <row r="106">
      <c r="A106" s="8" t="s">
        <v>738</v>
      </c>
      <c r="B106" s="8" t="s">
        <v>739</v>
      </c>
      <c r="C106" s="8" t="s">
        <v>25</v>
      </c>
      <c r="D106" s="8" t="s">
        <v>26</v>
      </c>
      <c r="E106" s="8" t="s">
        <v>740</v>
      </c>
      <c r="F106" s="8">
        <v>5.38065105E9</v>
      </c>
      <c r="G106" s="8" t="s">
        <v>31</v>
      </c>
      <c r="H106" s="8" t="s">
        <v>56</v>
      </c>
      <c r="I106" s="8" t="s">
        <v>44</v>
      </c>
      <c r="J106" s="8" t="s">
        <v>741</v>
      </c>
      <c r="K106" s="10" t="s">
        <v>742</v>
      </c>
      <c r="L106" s="8" t="s">
        <v>58</v>
      </c>
      <c r="M106" s="8" t="s">
        <v>35</v>
      </c>
      <c r="N106" s="11">
        <v>44765.0</v>
      </c>
      <c r="O106" s="11">
        <v>44781.0</v>
      </c>
      <c r="P106" s="11">
        <v>44823.0</v>
      </c>
      <c r="Q106" s="11">
        <v>44798.0</v>
      </c>
      <c r="R106" s="11">
        <v>44788.0</v>
      </c>
      <c r="S106" s="12"/>
      <c r="T106" s="8"/>
      <c r="U106" s="8" t="s">
        <v>88</v>
      </c>
      <c r="V106" s="13" t="s">
        <v>56</v>
      </c>
      <c r="W106" s="13" t="s">
        <v>743</v>
      </c>
      <c r="X106" s="12"/>
      <c r="Y106" s="14"/>
      <c r="Z106" s="14"/>
    </row>
    <row r="107">
      <c r="A107" s="8" t="s">
        <v>744</v>
      </c>
      <c r="B107" s="8" t="s">
        <v>745</v>
      </c>
      <c r="C107" s="8" t="s">
        <v>25</v>
      </c>
      <c r="D107" s="8" t="s">
        <v>26</v>
      </c>
      <c r="E107" s="8" t="s">
        <v>746</v>
      </c>
      <c r="F107" s="8">
        <v>3.314110049E9</v>
      </c>
      <c r="G107" s="8" t="s">
        <v>315</v>
      </c>
      <c r="H107" s="8" t="s">
        <v>316</v>
      </c>
      <c r="I107" s="8" t="s">
        <v>31</v>
      </c>
      <c r="J107" s="8" t="s">
        <v>32</v>
      </c>
      <c r="K107" s="10" t="s">
        <v>383</v>
      </c>
      <c r="L107" s="8" t="s">
        <v>58</v>
      </c>
      <c r="M107" s="8" t="s">
        <v>35</v>
      </c>
      <c r="N107" s="11">
        <v>44765.0</v>
      </c>
      <c r="O107" s="11">
        <v>44794.0</v>
      </c>
      <c r="P107" s="11">
        <v>44836.0</v>
      </c>
      <c r="Q107" s="11">
        <v>44800.0</v>
      </c>
      <c r="R107" s="11">
        <v>44840.0</v>
      </c>
      <c r="S107" s="12"/>
      <c r="T107" s="8"/>
      <c r="U107" s="8" t="s">
        <v>88</v>
      </c>
      <c r="V107" s="13" t="s">
        <v>747</v>
      </c>
      <c r="W107" s="13" t="s">
        <v>748</v>
      </c>
      <c r="X107" s="12"/>
      <c r="Y107" s="14"/>
      <c r="Z107" s="14"/>
    </row>
    <row r="108">
      <c r="A108" s="8" t="s">
        <v>749</v>
      </c>
      <c r="B108" s="8" t="s">
        <v>750</v>
      </c>
      <c r="C108" s="8" t="s">
        <v>64</v>
      </c>
      <c r="D108" s="8" t="s">
        <v>26</v>
      </c>
      <c r="E108" s="8" t="s">
        <v>751</v>
      </c>
      <c r="F108" s="8">
        <v>6.87592025E8</v>
      </c>
      <c r="G108" s="8" t="s">
        <v>84</v>
      </c>
      <c r="H108" s="8" t="s">
        <v>752</v>
      </c>
      <c r="I108" s="8" t="s">
        <v>31</v>
      </c>
      <c r="J108" s="8" t="s">
        <v>111</v>
      </c>
      <c r="K108" s="10" t="s">
        <v>323</v>
      </c>
      <c r="L108" s="8" t="s">
        <v>58</v>
      </c>
      <c r="M108" s="8" t="s">
        <v>35</v>
      </c>
      <c r="N108" s="11">
        <v>44766.0</v>
      </c>
      <c r="O108" s="11">
        <v>44767.0</v>
      </c>
      <c r="P108" s="11">
        <v>44809.0</v>
      </c>
      <c r="Q108" s="11">
        <v>44769.0</v>
      </c>
      <c r="R108" s="11">
        <v>44809.0</v>
      </c>
      <c r="S108" s="12"/>
      <c r="T108" s="8"/>
      <c r="U108" s="8" t="s">
        <v>59</v>
      </c>
      <c r="V108" s="13" t="s">
        <v>753</v>
      </c>
      <c r="W108" s="13" t="s">
        <v>754</v>
      </c>
      <c r="X108" s="12"/>
      <c r="Y108" s="14"/>
      <c r="Z108" s="14"/>
    </row>
    <row r="109">
      <c r="A109" s="8" t="s">
        <v>755</v>
      </c>
      <c r="B109" s="8" t="s">
        <v>756</v>
      </c>
      <c r="C109" s="8" t="s">
        <v>64</v>
      </c>
      <c r="D109" s="8" t="s">
        <v>26</v>
      </c>
      <c r="E109" s="8" t="s">
        <v>757</v>
      </c>
      <c r="F109" s="8">
        <v>6.60914939E8</v>
      </c>
      <c r="G109" s="8" t="s">
        <v>254</v>
      </c>
      <c r="H109" s="8" t="s">
        <v>758</v>
      </c>
      <c r="I109" s="8" t="s">
        <v>31</v>
      </c>
      <c r="J109" s="8" t="s">
        <v>256</v>
      </c>
      <c r="K109" s="10" t="s">
        <v>759</v>
      </c>
      <c r="L109" s="8" t="s">
        <v>47</v>
      </c>
      <c r="M109" s="8" t="s">
        <v>70</v>
      </c>
      <c r="N109" s="11">
        <v>44766.0</v>
      </c>
      <c r="O109" s="11">
        <v>44804.0</v>
      </c>
      <c r="P109" s="11">
        <v>45168.0</v>
      </c>
      <c r="Q109" s="11">
        <v>44788.0</v>
      </c>
      <c r="R109" s="11">
        <v>45139.0</v>
      </c>
      <c r="S109" s="12"/>
      <c r="T109" s="8"/>
      <c r="U109" s="8" t="s">
        <v>246</v>
      </c>
      <c r="V109" s="13" t="s">
        <v>38</v>
      </c>
      <c r="W109" s="13" t="s">
        <v>760</v>
      </c>
      <c r="X109" s="12"/>
      <c r="Y109" s="14"/>
      <c r="Z109" s="14"/>
    </row>
    <row r="110">
      <c r="A110" s="8" t="s">
        <v>761</v>
      </c>
      <c r="B110" s="8" t="s">
        <v>762</v>
      </c>
      <c r="C110" s="8" t="s">
        <v>25</v>
      </c>
      <c r="D110" s="8" t="s">
        <v>26</v>
      </c>
      <c r="E110" s="8" t="s">
        <v>763</v>
      </c>
      <c r="F110" s="8">
        <v>5.6598782E7</v>
      </c>
      <c r="G110" s="8" t="s">
        <v>54</v>
      </c>
      <c r="H110" s="8" t="s">
        <v>377</v>
      </c>
      <c r="I110" s="8" t="s">
        <v>31</v>
      </c>
      <c r="J110" s="8" t="s">
        <v>77</v>
      </c>
      <c r="K110" s="10" t="s">
        <v>764</v>
      </c>
      <c r="L110" s="8" t="s">
        <v>58</v>
      </c>
      <c r="M110" s="8" t="s">
        <v>35</v>
      </c>
      <c r="N110" s="11">
        <v>44767.0</v>
      </c>
      <c r="O110" s="11">
        <v>44823.0</v>
      </c>
      <c r="P110" s="11">
        <v>44865.0</v>
      </c>
      <c r="Q110" s="11">
        <v>44825.0</v>
      </c>
      <c r="R110" s="11">
        <v>44863.0</v>
      </c>
      <c r="S110" s="12"/>
      <c r="T110" s="8"/>
      <c r="U110" s="8" t="s">
        <v>59</v>
      </c>
      <c r="V110" s="13" t="s">
        <v>765</v>
      </c>
      <c r="W110" s="13" t="s">
        <v>766</v>
      </c>
      <c r="X110" s="12"/>
      <c r="Y110" s="14"/>
      <c r="Z110" s="14"/>
    </row>
    <row r="111">
      <c r="A111" s="8" t="s">
        <v>767</v>
      </c>
      <c r="B111" s="8" t="s">
        <v>768</v>
      </c>
      <c r="C111" s="8" t="s">
        <v>25</v>
      </c>
      <c r="D111" s="8" t="s">
        <v>26</v>
      </c>
      <c r="E111" s="8" t="s">
        <v>769</v>
      </c>
      <c r="F111" s="8">
        <v>5.342858357E9</v>
      </c>
      <c r="G111" s="8" t="s">
        <v>254</v>
      </c>
      <c r="H111" s="8" t="s">
        <v>291</v>
      </c>
      <c r="I111" s="8" t="s">
        <v>31</v>
      </c>
      <c r="J111" s="8" t="s">
        <v>542</v>
      </c>
      <c r="K111" s="10" t="s">
        <v>770</v>
      </c>
      <c r="L111" s="8" t="s">
        <v>47</v>
      </c>
      <c r="M111" s="8" t="s">
        <v>70</v>
      </c>
      <c r="N111" s="11">
        <v>44767.0</v>
      </c>
      <c r="O111" s="11">
        <v>44788.0</v>
      </c>
      <c r="P111" s="11">
        <v>45153.0</v>
      </c>
      <c r="Q111" s="11">
        <v>44839.0</v>
      </c>
      <c r="R111" s="11">
        <v>45198.0</v>
      </c>
      <c r="S111" s="12"/>
      <c r="T111" s="8"/>
      <c r="U111" s="8" t="s">
        <v>771</v>
      </c>
      <c r="V111" s="13" t="s">
        <v>38</v>
      </c>
      <c r="W111" s="13" t="s">
        <v>772</v>
      </c>
      <c r="X111" s="12"/>
      <c r="Y111" s="14"/>
      <c r="Z111" s="14"/>
    </row>
    <row r="112">
      <c r="A112" s="8" t="s">
        <v>773</v>
      </c>
      <c r="B112" s="8" t="s">
        <v>774</v>
      </c>
      <c r="C112" s="8" t="s">
        <v>25</v>
      </c>
      <c r="D112" s="8" t="s">
        <v>26</v>
      </c>
      <c r="E112" s="8" t="s">
        <v>775</v>
      </c>
      <c r="F112" s="8">
        <v>5.549030543E9</v>
      </c>
      <c r="G112" s="8" t="s">
        <v>31</v>
      </c>
      <c r="H112" s="8" t="s">
        <v>111</v>
      </c>
      <c r="I112" s="8" t="s">
        <v>230</v>
      </c>
      <c r="J112" s="8" t="s">
        <v>543</v>
      </c>
      <c r="K112" s="10" t="s">
        <v>776</v>
      </c>
      <c r="L112" s="8" t="s">
        <v>58</v>
      </c>
      <c r="M112" s="8" t="s">
        <v>35</v>
      </c>
      <c r="N112" s="11">
        <v>44767.0</v>
      </c>
      <c r="O112" s="11">
        <v>44781.0</v>
      </c>
      <c r="P112" s="11">
        <v>44823.0</v>
      </c>
      <c r="Q112" s="11">
        <v>44795.0</v>
      </c>
      <c r="R112" s="11">
        <v>44837.0</v>
      </c>
      <c r="S112" s="12"/>
      <c r="T112" s="8"/>
      <c r="U112" s="8" t="s">
        <v>59</v>
      </c>
      <c r="V112" s="13" t="s">
        <v>111</v>
      </c>
      <c r="W112" s="13" t="s">
        <v>777</v>
      </c>
      <c r="X112" s="12"/>
      <c r="Y112" s="14"/>
      <c r="Z112" s="14"/>
    </row>
    <row r="113">
      <c r="A113" s="8" t="s">
        <v>778</v>
      </c>
      <c r="B113" s="8" t="s">
        <v>779</v>
      </c>
      <c r="C113" s="8" t="s">
        <v>64</v>
      </c>
      <c r="D113" s="8" t="s">
        <v>26</v>
      </c>
      <c r="E113" s="8" t="s">
        <v>780</v>
      </c>
      <c r="F113" s="8">
        <v>5.071672047E9</v>
      </c>
      <c r="G113" s="8" t="s">
        <v>31</v>
      </c>
      <c r="H113" s="8" t="s">
        <v>438</v>
      </c>
      <c r="I113" s="8" t="s">
        <v>67</v>
      </c>
      <c r="J113" s="8" t="s">
        <v>781</v>
      </c>
      <c r="K113" s="10" t="s">
        <v>782</v>
      </c>
      <c r="L113" s="8" t="s">
        <v>47</v>
      </c>
      <c r="M113" s="8" t="s">
        <v>70</v>
      </c>
      <c r="N113" s="11">
        <v>44767.0</v>
      </c>
      <c r="O113" s="11">
        <v>44781.0</v>
      </c>
      <c r="P113" s="11">
        <v>45146.0</v>
      </c>
      <c r="Q113" s="11">
        <v>44819.0</v>
      </c>
      <c r="R113" s="11">
        <v>45245.0</v>
      </c>
      <c r="S113" s="12"/>
      <c r="T113" s="8"/>
      <c r="U113" s="8" t="s">
        <v>783</v>
      </c>
      <c r="V113" s="13" t="s">
        <v>438</v>
      </c>
      <c r="W113" s="13" t="s">
        <v>784</v>
      </c>
      <c r="X113" s="12"/>
      <c r="Y113" s="14"/>
      <c r="Z113" s="14"/>
    </row>
    <row r="114">
      <c r="A114" s="8" t="s">
        <v>785</v>
      </c>
      <c r="B114" s="8" t="s">
        <v>786</v>
      </c>
      <c r="C114" s="8" t="s">
        <v>25</v>
      </c>
      <c r="D114" s="8" t="s">
        <v>26</v>
      </c>
      <c r="E114" s="8" t="s">
        <v>787</v>
      </c>
      <c r="F114" s="8">
        <v>5.337989132E9</v>
      </c>
      <c r="G114" s="8" t="s">
        <v>31</v>
      </c>
      <c r="H114" s="8" t="s">
        <v>111</v>
      </c>
      <c r="I114" s="8" t="s">
        <v>54</v>
      </c>
      <c r="J114" s="8" t="s">
        <v>595</v>
      </c>
      <c r="K114" s="10" t="s">
        <v>788</v>
      </c>
      <c r="L114" s="8" t="s">
        <v>58</v>
      </c>
      <c r="M114" s="8" t="s">
        <v>35</v>
      </c>
      <c r="N114" s="11">
        <v>44768.0</v>
      </c>
      <c r="O114" s="11">
        <v>44774.0</v>
      </c>
      <c r="P114" s="11">
        <v>44816.0</v>
      </c>
      <c r="Q114" s="11">
        <v>44775.0</v>
      </c>
      <c r="R114" s="11">
        <v>44816.0</v>
      </c>
      <c r="S114" s="12"/>
      <c r="T114" s="8"/>
      <c r="U114" s="8" t="s">
        <v>88</v>
      </c>
      <c r="V114" s="13" t="s">
        <v>111</v>
      </c>
      <c r="W114" s="13" t="s">
        <v>789</v>
      </c>
      <c r="X114" s="12"/>
      <c r="Y114" s="14"/>
      <c r="Z114" s="14"/>
    </row>
    <row r="115">
      <c r="A115" s="8" t="s">
        <v>790</v>
      </c>
      <c r="B115" s="8" t="s">
        <v>791</v>
      </c>
      <c r="C115" s="8" t="s">
        <v>64</v>
      </c>
      <c r="D115" s="8" t="s">
        <v>26</v>
      </c>
      <c r="E115" s="8" t="s">
        <v>792</v>
      </c>
      <c r="F115" s="8">
        <v>1.140263019E9</v>
      </c>
      <c r="G115" s="8" t="s">
        <v>284</v>
      </c>
      <c r="H115" s="8" t="s">
        <v>793</v>
      </c>
      <c r="I115" s="8" t="s">
        <v>31</v>
      </c>
      <c r="J115" s="8" t="s">
        <v>256</v>
      </c>
      <c r="K115" s="10" t="s">
        <v>794</v>
      </c>
      <c r="L115" s="8" t="s">
        <v>47</v>
      </c>
      <c r="M115" s="8" t="s">
        <v>70</v>
      </c>
      <c r="N115" s="11">
        <v>44768.0</v>
      </c>
      <c r="O115" s="11">
        <v>44819.0</v>
      </c>
      <c r="P115" s="11">
        <v>45184.0</v>
      </c>
      <c r="Q115" s="11">
        <v>44797.0</v>
      </c>
      <c r="R115" s="11">
        <v>45138.0</v>
      </c>
      <c r="S115" s="12"/>
      <c r="T115" s="8"/>
      <c r="U115" s="8" t="s">
        <v>795</v>
      </c>
      <c r="V115" s="13" t="s">
        <v>796</v>
      </c>
      <c r="W115" s="13" t="s">
        <v>797</v>
      </c>
      <c r="X115" s="12"/>
      <c r="Y115" s="14"/>
      <c r="Z115" s="14"/>
    </row>
    <row r="116">
      <c r="A116" s="8" t="s">
        <v>798</v>
      </c>
      <c r="B116" s="8" t="s">
        <v>799</v>
      </c>
      <c r="C116" s="8" t="s">
        <v>179</v>
      </c>
      <c r="D116" s="8" t="s">
        <v>26</v>
      </c>
      <c r="E116" s="8" t="s">
        <v>800</v>
      </c>
      <c r="F116" s="8">
        <v>5.536307299E9</v>
      </c>
      <c r="G116" s="8" t="s">
        <v>31</v>
      </c>
      <c r="H116" s="8" t="s">
        <v>220</v>
      </c>
      <c r="I116" s="8" t="s">
        <v>44</v>
      </c>
      <c r="J116" s="8" t="s">
        <v>741</v>
      </c>
      <c r="K116" s="10" t="s">
        <v>742</v>
      </c>
      <c r="L116" s="8" t="s">
        <v>58</v>
      </c>
      <c r="M116" s="8" t="s">
        <v>35</v>
      </c>
      <c r="N116" s="11">
        <v>44768.0</v>
      </c>
      <c r="O116" s="11">
        <v>44941.0</v>
      </c>
      <c r="P116" s="11">
        <v>44983.0</v>
      </c>
      <c r="Q116" s="11"/>
      <c r="R116" s="11"/>
      <c r="S116" s="12"/>
      <c r="T116" s="8"/>
      <c r="U116" s="8" t="s">
        <v>88</v>
      </c>
      <c r="V116" s="13" t="s">
        <v>220</v>
      </c>
      <c r="W116" s="13" t="s">
        <v>801</v>
      </c>
      <c r="X116" s="12"/>
      <c r="Y116" s="14"/>
      <c r="Z116" s="14"/>
    </row>
    <row r="117">
      <c r="A117" s="8" t="s">
        <v>802</v>
      </c>
      <c r="B117" s="8" t="s">
        <v>803</v>
      </c>
      <c r="C117" s="8" t="s">
        <v>25</v>
      </c>
      <c r="D117" s="8" t="s">
        <v>26</v>
      </c>
      <c r="E117" s="8" t="s">
        <v>804</v>
      </c>
      <c r="F117" s="8">
        <v>7.15193519E8</v>
      </c>
      <c r="G117" s="8" t="s">
        <v>399</v>
      </c>
      <c r="H117" s="8" t="s">
        <v>415</v>
      </c>
      <c r="I117" s="8" t="s">
        <v>31</v>
      </c>
      <c r="J117" s="8" t="s">
        <v>77</v>
      </c>
      <c r="K117" s="10" t="s">
        <v>409</v>
      </c>
      <c r="L117" s="8" t="s">
        <v>58</v>
      </c>
      <c r="M117" s="8" t="s">
        <v>35</v>
      </c>
      <c r="N117" s="11">
        <v>44768.0</v>
      </c>
      <c r="O117" s="11">
        <v>44802.0</v>
      </c>
      <c r="P117" s="11">
        <v>44844.0</v>
      </c>
      <c r="Q117" s="11">
        <v>44817.0</v>
      </c>
      <c r="R117" s="11">
        <v>44849.0</v>
      </c>
      <c r="S117" s="12"/>
      <c r="T117" s="8"/>
      <c r="U117" s="8" t="s">
        <v>153</v>
      </c>
      <c r="V117" s="13" t="s">
        <v>417</v>
      </c>
      <c r="W117" s="13" t="s">
        <v>805</v>
      </c>
      <c r="X117" s="12"/>
      <c r="Y117" s="14"/>
      <c r="Z117" s="14"/>
    </row>
    <row r="118">
      <c r="A118" s="8" t="s">
        <v>806</v>
      </c>
      <c r="B118" s="8" t="s">
        <v>807</v>
      </c>
      <c r="C118" s="8" t="s">
        <v>25</v>
      </c>
      <c r="D118" s="8" t="s">
        <v>26</v>
      </c>
      <c r="E118" s="8" t="s">
        <v>808</v>
      </c>
      <c r="F118" s="8">
        <v>5.5370293E7</v>
      </c>
      <c r="G118" s="8" t="s">
        <v>54</v>
      </c>
      <c r="H118" s="8" t="s">
        <v>135</v>
      </c>
      <c r="I118" s="8" t="s">
        <v>31</v>
      </c>
      <c r="J118" s="8" t="s">
        <v>111</v>
      </c>
      <c r="K118" s="10" t="s">
        <v>572</v>
      </c>
      <c r="L118" s="8" t="s">
        <v>58</v>
      </c>
      <c r="M118" s="8" t="s">
        <v>35</v>
      </c>
      <c r="N118" s="11">
        <v>44768.0</v>
      </c>
      <c r="O118" s="11">
        <v>44774.0</v>
      </c>
      <c r="P118" s="11">
        <v>44816.0</v>
      </c>
      <c r="Q118" s="11">
        <v>44776.0</v>
      </c>
      <c r="R118" s="11">
        <v>44816.0</v>
      </c>
      <c r="S118" s="12"/>
      <c r="T118" s="8"/>
      <c r="U118" s="8" t="s">
        <v>130</v>
      </c>
      <c r="V118" s="13" t="s">
        <v>809</v>
      </c>
      <c r="W118" s="13" t="s">
        <v>810</v>
      </c>
      <c r="X118" s="12"/>
      <c r="Y118" s="14"/>
      <c r="Z118" s="14"/>
    </row>
    <row r="119">
      <c r="A119" s="8" t="s">
        <v>811</v>
      </c>
      <c r="B119" s="8" t="s">
        <v>812</v>
      </c>
      <c r="C119" s="8" t="s">
        <v>64</v>
      </c>
      <c r="D119" s="8" t="s">
        <v>26</v>
      </c>
      <c r="E119" s="8" t="s">
        <v>813</v>
      </c>
      <c r="F119" s="8">
        <v>1.06167339E9</v>
      </c>
      <c r="G119" s="8" t="s">
        <v>284</v>
      </c>
      <c r="H119" s="8" t="s">
        <v>560</v>
      </c>
      <c r="I119" s="8" t="s">
        <v>31</v>
      </c>
      <c r="J119" s="8" t="s">
        <v>86</v>
      </c>
      <c r="K119" s="10" t="s">
        <v>416</v>
      </c>
      <c r="L119" s="8" t="s">
        <v>58</v>
      </c>
      <c r="M119" s="8" t="s">
        <v>35</v>
      </c>
      <c r="N119" s="11">
        <v>44768.0</v>
      </c>
      <c r="O119" s="11">
        <v>44899.0</v>
      </c>
      <c r="P119" s="11">
        <v>44941.0</v>
      </c>
      <c r="Q119" s="11">
        <v>44905.0</v>
      </c>
      <c r="R119" s="11">
        <v>44946.0</v>
      </c>
      <c r="S119" s="12"/>
      <c r="T119" s="8"/>
      <c r="U119" s="8" t="s">
        <v>59</v>
      </c>
      <c r="V119" s="13" t="s">
        <v>562</v>
      </c>
      <c r="W119" s="13" t="s">
        <v>814</v>
      </c>
      <c r="X119" s="12"/>
      <c r="Y119" s="14"/>
      <c r="Z119" s="14"/>
    </row>
    <row r="120">
      <c r="A120" s="8" t="s">
        <v>815</v>
      </c>
      <c r="B120" s="8" t="s">
        <v>816</v>
      </c>
      <c r="C120" s="8" t="s">
        <v>25</v>
      </c>
      <c r="D120" s="8" t="s">
        <v>26</v>
      </c>
      <c r="E120" s="8" t="s">
        <v>817</v>
      </c>
      <c r="F120" s="8">
        <v>5.346069981E9</v>
      </c>
      <c r="G120" s="8" t="s">
        <v>818</v>
      </c>
      <c r="H120" s="8" t="s">
        <v>819</v>
      </c>
      <c r="I120" s="8" t="s">
        <v>31</v>
      </c>
      <c r="J120" s="8" t="s">
        <v>77</v>
      </c>
      <c r="K120" s="10" t="s">
        <v>820</v>
      </c>
      <c r="L120" s="8" t="s">
        <v>47</v>
      </c>
      <c r="M120" s="8" t="s">
        <v>70</v>
      </c>
      <c r="N120" s="11">
        <v>44768.0</v>
      </c>
      <c r="O120" s="11">
        <v>44728.0</v>
      </c>
      <c r="P120" s="11">
        <v>45093.0</v>
      </c>
      <c r="Q120" s="11">
        <v>44802.0</v>
      </c>
      <c r="R120" s="11">
        <v>45107.0</v>
      </c>
      <c r="S120" s="12"/>
      <c r="T120" s="8"/>
      <c r="U120" s="8" t="s">
        <v>821</v>
      </c>
      <c r="V120" s="13" t="s">
        <v>822</v>
      </c>
      <c r="W120" s="13" t="s">
        <v>823</v>
      </c>
      <c r="X120" s="12"/>
      <c r="Y120" s="14"/>
      <c r="Z120" s="14"/>
    </row>
    <row r="121">
      <c r="A121" s="8" t="s">
        <v>824</v>
      </c>
      <c r="B121" s="8" t="s">
        <v>825</v>
      </c>
      <c r="C121" s="8" t="s">
        <v>25</v>
      </c>
      <c r="D121" s="8" t="s">
        <v>26</v>
      </c>
      <c r="E121" s="8" t="s">
        <v>826</v>
      </c>
      <c r="F121" s="8"/>
      <c r="G121" s="8" t="s">
        <v>31</v>
      </c>
      <c r="H121" s="8" t="s">
        <v>32</v>
      </c>
      <c r="I121" s="8" t="s">
        <v>827</v>
      </c>
      <c r="J121" s="8" t="s">
        <v>828</v>
      </c>
      <c r="K121" s="10" t="s">
        <v>829</v>
      </c>
      <c r="L121" s="8" t="s">
        <v>34</v>
      </c>
      <c r="M121" s="8" t="s">
        <v>70</v>
      </c>
      <c r="N121" s="11">
        <v>44768.0</v>
      </c>
      <c r="O121" s="11">
        <v>44774.0</v>
      </c>
      <c r="P121" s="11">
        <v>44965.0</v>
      </c>
      <c r="Q121" s="11">
        <v>44837.0</v>
      </c>
      <c r="R121" s="11">
        <v>45016.0</v>
      </c>
      <c r="S121" s="12"/>
      <c r="T121" s="8" t="s">
        <v>224</v>
      </c>
      <c r="U121" s="8" t="s">
        <v>830</v>
      </c>
      <c r="V121" s="13" t="s">
        <v>537</v>
      </c>
      <c r="W121" s="13" t="s">
        <v>831</v>
      </c>
      <c r="X121" s="12"/>
      <c r="Y121" s="14"/>
      <c r="Z121" s="14"/>
    </row>
    <row r="122">
      <c r="A122" s="8" t="s">
        <v>832</v>
      </c>
      <c r="B122" s="8" t="s">
        <v>833</v>
      </c>
      <c r="C122" s="8" t="s">
        <v>64</v>
      </c>
      <c r="D122" s="8" t="s">
        <v>26</v>
      </c>
      <c r="E122" s="8" t="s">
        <v>834</v>
      </c>
      <c r="F122" s="8">
        <v>6.66534883E8</v>
      </c>
      <c r="G122" s="8" t="s">
        <v>835</v>
      </c>
      <c r="H122" s="8" t="s">
        <v>836</v>
      </c>
      <c r="I122" s="8" t="s">
        <v>31</v>
      </c>
      <c r="J122" s="8" t="s">
        <v>43</v>
      </c>
      <c r="K122" s="10" t="s">
        <v>837</v>
      </c>
      <c r="L122" s="8" t="s">
        <v>58</v>
      </c>
      <c r="M122" s="8" t="s">
        <v>35</v>
      </c>
      <c r="N122" s="11">
        <v>44768.0</v>
      </c>
      <c r="O122" s="11">
        <v>44865.0</v>
      </c>
      <c r="P122" s="11">
        <v>44911.0</v>
      </c>
      <c r="Q122" s="11">
        <v>44869.0</v>
      </c>
      <c r="R122" s="11">
        <v>44911.0</v>
      </c>
      <c r="S122" s="12"/>
      <c r="T122" s="8"/>
      <c r="U122" s="8" t="s">
        <v>130</v>
      </c>
      <c r="V122" s="13" t="s">
        <v>838</v>
      </c>
      <c r="W122" s="13" t="s">
        <v>839</v>
      </c>
      <c r="X122" s="12"/>
      <c r="Y122" s="14"/>
      <c r="Z122" s="14"/>
    </row>
    <row r="123">
      <c r="A123" s="8" t="s">
        <v>840</v>
      </c>
      <c r="B123" s="8" t="s">
        <v>841</v>
      </c>
      <c r="C123" s="8" t="s">
        <v>64</v>
      </c>
      <c r="D123" s="8" t="s">
        <v>26</v>
      </c>
      <c r="E123" s="8" t="s">
        <v>842</v>
      </c>
      <c r="F123" s="8"/>
      <c r="G123" s="8" t="s">
        <v>84</v>
      </c>
      <c r="H123" s="8" t="s">
        <v>646</v>
      </c>
      <c r="I123" s="8" t="s">
        <v>31</v>
      </c>
      <c r="J123" s="8" t="s">
        <v>111</v>
      </c>
      <c r="K123" s="10" t="s">
        <v>112</v>
      </c>
      <c r="L123" s="8" t="s">
        <v>58</v>
      </c>
      <c r="M123" s="8" t="s">
        <v>35</v>
      </c>
      <c r="N123" s="11">
        <v>44769.0</v>
      </c>
      <c r="O123" s="11">
        <v>44783.0</v>
      </c>
      <c r="P123" s="11">
        <v>44825.0</v>
      </c>
      <c r="Q123" s="11">
        <v>44769.0</v>
      </c>
      <c r="R123" s="11">
        <v>44809.0</v>
      </c>
      <c r="S123" s="12"/>
      <c r="T123" s="8"/>
      <c r="U123" s="8" t="s">
        <v>88</v>
      </c>
      <c r="V123" s="13" t="s">
        <v>38</v>
      </c>
      <c r="W123" s="13" t="s">
        <v>843</v>
      </c>
      <c r="X123" s="12"/>
      <c r="Y123" s="14"/>
      <c r="Z123" s="14"/>
    </row>
    <row r="124">
      <c r="A124" s="8" t="s">
        <v>844</v>
      </c>
      <c r="B124" s="8" t="s">
        <v>845</v>
      </c>
      <c r="C124" s="8" t="s">
        <v>64</v>
      </c>
      <c r="D124" s="8" t="s">
        <v>26</v>
      </c>
      <c r="E124" s="8" t="s">
        <v>846</v>
      </c>
      <c r="F124" s="8">
        <v>2.001051E7</v>
      </c>
      <c r="G124" s="8" t="s">
        <v>54</v>
      </c>
      <c r="H124" s="8" t="s">
        <v>430</v>
      </c>
      <c r="I124" s="8" t="s">
        <v>31</v>
      </c>
      <c r="J124" s="8" t="s">
        <v>542</v>
      </c>
      <c r="K124" s="10" t="s">
        <v>847</v>
      </c>
      <c r="L124" s="8" t="s">
        <v>47</v>
      </c>
      <c r="M124" s="8" t="s">
        <v>70</v>
      </c>
      <c r="N124" s="11">
        <v>44769.0</v>
      </c>
      <c r="O124" s="11">
        <v>44795.0</v>
      </c>
      <c r="P124" s="11">
        <v>45107.0</v>
      </c>
      <c r="Q124" s="11">
        <v>44796.0</v>
      </c>
      <c r="R124" s="11">
        <v>45107.0</v>
      </c>
      <c r="S124" s="12"/>
      <c r="T124" s="8" t="s">
        <v>121</v>
      </c>
      <c r="U124" s="8" t="s">
        <v>848</v>
      </c>
      <c r="V124" s="13" t="s">
        <v>849</v>
      </c>
      <c r="W124" s="13" t="s">
        <v>850</v>
      </c>
      <c r="X124" s="12"/>
      <c r="Y124" s="14"/>
      <c r="Z124" s="14"/>
    </row>
    <row r="125">
      <c r="A125" s="8" t="s">
        <v>851</v>
      </c>
      <c r="B125" s="8" t="s">
        <v>852</v>
      </c>
      <c r="C125" s="8" t="s">
        <v>64</v>
      </c>
      <c r="D125" s="8" t="s">
        <v>26</v>
      </c>
      <c r="E125" s="8" t="s">
        <v>853</v>
      </c>
      <c r="F125" s="8">
        <v>1.122258997E9</v>
      </c>
      <c r="G125" s="8" t="s">
        <v>284</v>
      </c>
      <c r="H125" s="8" t="s">
        <v>854</v>
      </c>
      <c r="I125" s="8" t="s">
        <v>31</v>
      </c>
      <c r="J125" s="8" t="s">
        <v>32</v>
      </c>
      <c r="K125" s="10" t="s">
        <v>855</v>
      </c>
      <c r="L125" s="8" t="s">
        <v>58</v>
      </c>
      <c r="M125" s="8" t="s">
        <v>35</v>
      </c>
      <c r="N125" s="11">
        <v>44769.0</v>
      </c>
      <c r="O125" s="11">
        <v>44871.0</v>
      </c>
      <c r="P125" s="11">
        <v>44913.0</v>
      </c>
      <c r="Q125" s="11">
        <v>44875.0</v>
      </c>
      <c r="R125" s="11">
        <v>44915.0</v>
      </c>
      <c r="S125" s="12"/>
      <c r="T125" s="8"/>
      <c r="U125" s="8" t="s">
        <v>59</v>
      </c>
      <c r="V125" s="13" t="s">
        <v>856</v>
      </c>
      <c r="W125" s="13" t="s">
        <v>857</v>
      </c>
      <c r="X125" s="12"/>
      <c r="Y125" s="14"/>
      <c r="Z125" s="14"/>
    </row>
    <row r="126">
      <c r="A126" s="8" t="s">
        <v>858</v>
      </c>
      <c r="B126" s="8" t="s">
        <v>859</v>
      </c>
      <c r="C126" s="8" t="s">
        <v>64</v>
      </c>
      <c r="D126" s="8" t="s">
        <v>26</v>
      </c>
      <c r="E126" s="8" t="s">
        <v>860</v>
      </c>
      <c r="F126" s="8">
        <v>9.3244679E7</v>
      </c>
      <c r="G126" s="8" t="s">
        <v>54</v>
      </c>
      <c r="H126" s="8" t="s">
        <v>135</v>
      </c>
      <c r="I126" s="8" t="s">
        <v>31</v>
      </c>
      <c r="J126" s="8" t="s">
        <v>111</v>
      </c>
      <c r="K126" s="10" t="s">
        <v>572</v>
      </c>
      <c r="L126" s="8" t="s">
        <v>58</v>
      </c>
      <c r="M126" s="8" t="s">
        <v>35</v>
      </c>
      <c r="N126" s="11">
        <v>44769.0</v>
      </c>
      <c r="O126" s="11">
        <v>44774.0</v>
      </c>
      <c r="P126" s="11">
        <v>44816.0</v>
      </c>
      <c r="Q126" s="11">
        <v>44776.0</v>
      </c>
      <c r="R126" s="11">
        <v>44816.0</v>
      </c>
      <c r="S126" s="12"/>
      <c r="T126" s="8"/>
      <c r="U126" s="8" t="s">
        <v>130</v>
      </c>
      <c r="V126" s="13" t="s">
        <v>809</v>
      </c>
      <c r="W126" s="13" t="s">
        <v>861</v>
      </c>
      <c r="X126" s="12"/>
      <c r="Y126" s="14"/>
      <c r="Z126" s="14"/>
    </row>
    <row r="127">
      <c r="A127" s="8" t="s">
        <v>862</v>
      </c>
      <c r="B127" s="8" t="s">
        <v>863</v>
      </c>
      <c r="C127" s="8" t="s">
        <v>25</v>
      </c>
      <c r="D127" s="8" t="s">
        <v>26</v>
      </c>
      <c r="E127" s="8" t="s">
        <v>864</v>
      </c>
      <c r="F127" s="8"/>
      <c r="G127" s="8" t="s">
        <v>54</v>
      </c>
      <c r="H127" s="8" t="s">
        <v>369</v>
      </c>
      <c r="I127" s="8" t="s">
        <v>31</v>
      </c>
      <c r="J127" s="8" t="s">
        <v>56</v>
      </c>
      <c r="K127" s="10" t="s">
        <v>370</v>
      </c>
      <c r="L127" s="8" t="s">
        <v>58</v>
      </c>
      <c r="M127" s="8" t="s">
        <v>35</v>
      </c>
      <c r="N127" s="11">
        <v>44769.0</v>
      </c>
      <c r="O127" s="11">
        <v>44787.0</v>
      </c>
      <c r="P127" s="11">
        <v>44829.0</v>
      </c>
      <c r="Q127" s="11">
        <v>44787.0</v>
      </c>
      <c r="R127" s="11">
        <v>44829.0</v>
      </c>
      <c r="S127" s="12"/>
      <c r="T127" s="8"/>
      <c r="U127" s="8" t="s">
        <v>371</v>
      </c>
      <c r="V127" s="13" t="s">
        <v>38</v>
      </c>
      <c r="W127" s="13" t="s">
        <v>865</v>
      </c>
      <c r="X127" s="12"/>
      <c r="Y127" s="14"/>
      <c r="Z127" s="14"/>
    </row>
    <row r="128">
      <c r="A128" s="8" t="s">
        <v>866</v>
      </c>
      <c r="B128" s="8" t="s">
        <v>867</v>
      </c>
      <c r="C128" s="8" t="s">
        <v>64</v>
      </c>
      <c r="D128" s="8" t="s">
        <v>26</v>
      </c>
      <c r="E128" s="8" t="s">
        <v>868</v>
      </c>
      <c r="F128" s="8">
        <v>5.364827026E9</v>
      </c>
      <c r="G128" s="8" t="s">
        <v>84</v>
      </c>
      <c r="H128" s="8" t="s">
        <v>646</v>
      </c>
      <c r="I128" s="8" t="s">
        <v>31</v>
      </c>
      <c r="J128" s="8" t="s">
        <v>32</v>
      </c>
      <c r="K128" s="10" t="s">
        <v>869</v>
      </c>
      <c r="L128" s="8" t="s">
        <v>34</v>
      </c>
      <c r="M128" s="8" t="s">
        <v>70</v>
      </c>
      <c r="N128" s="11">
        <v>44769.0</v>
      </c>
      <c r="O128" s="11">
        <v>44780.0</v>
      </c>
      <c r="P128" s="11">
        <v>45084.0</v>
      </c>
      <c r="Q128" s="11">
        <v>44775.0</v>
      </c>
      <c r="R128" s="11">
        <v>45114.0</v>
      </c>
      <c r="S128" s="12"/>
      <c r="T128" s="8" t="s">
        <v>36</v>
      </c>
      <c r="U128" s="8" t="s">
        <v>870</v>
      </c>
      <c r="V128" s="13" t="s">
        <v>649</v>
      </c>
      <c r="W128" s="13" t="s">
        <v>871</v>
      </c>
      <c r="X128" s="12"/>
      <c r="Y128" s="14"/>
      <c r="Z128" s="14"/>
    </row>
    <row r="129">
      <c r="A129" s="8" t="s">
        <v>872</v>
      </c>
      <c r="B129" s="8" t="s">
        <v>873</v>
      </c>
      <c r="C129" s="8" t="s">
        <v>179</v>
      </c>
      <c r="D129" s="8" t="s">
        <v>26</v>
      </c>
      <c r="E129" s="8" t="s">
        <v>874</v>
      </c>
      <c r="F129" s="8"/>
      <c r="G129" s="8" t="s">
        <v>109</v>
      </c>
      <c r="H129" s="8" t="s">
        <v>875</v>
      </c>
      <c r="I129" s="8" t="s">
        <v>31</v>
      </c>
      <c r="J129" s="8" t="s">
        <v>43</v>
      </c>
      <c r="K129" s="10" t="s">
        <v>837</v>
      </c>
      <c r="L129" s="8" t="s">
        <v>58</v>
      </c>
      <c r="M129" s="8" t="s">
        <v>35</v>
      </c>
      <c r="N129" s="11">
        <v>44769.0</v>
      </c>
      <c r="O129" s="11">
        <v>45061.0</v>
      </c>
      <c r="P129" s="11">
        <v>45107.0</v>
      </c>
      <c r="Q129" s="11"/>
      <c r="R129" s="11"/>
      <c r="S129" s="12"/>
      <c r="T129" s="8"/>
      <c r="U129" s="8" t="s">
        <v>130</v>
      </c>
      <c r="V129" s="13" t="s">
        <v>876</v>
      </c>
      <c r="W129" s="13" t="s">
        <v>877</v>
      </c>
      <c r="X129" s="12"/>
      <c r="Y129" s="14"/>
      <c r="Z129" s="14"/>
    </row>
    <row r="130">
      <c r="A130" s="8" t="s">
        <v>878</v>
      </c>
      <c r="B130" s="8" t="s">
        <v>879</v>
      </c>
      <c r="C130" s="8" t="s">
        <v>64</v>
      </c>
      <c r="D130" s="8" t="s">
        <v>26</v>
      </c>
      <c r="E130" s="8" t="s">
        <v>880</v>
      </c>
      <c r="F130" s="8"/>
      <c r="G130" s="8" t="s">
        <v>44</v>
      </c>
      <c r="H130" s="8" t="s">
        <v>881</v>
      </c>
      <c r="I130" s="8" t="s">
        <v>31</v>
      </c>
      <c r="J130" s="8" t="s">
        <v>43</v>
      </c>
      <c r="K130" s="10" t="s">
        <v>882</v>
      </c>
      <c r="L130" s="8" t="s">
        <v>34</v>
      </c>
      <c r="M130" s="8" t="s">
        <v>35</v>
      </c>
      <c r="N130" s="11">
        <v>44769.0</v>
      </c>
      <c r="O130" s="11">
        <v>44788.0</v>
      </c>
      <c r="P130" s="11">
        <v>44849.0</v>
      </c>
      <c r="Q130" s="11">
        <v>44859.0</v>
      </c>
      <c r="R130" s="11">
        <v>44911.0</v>
      </c>
      <c r="S130" s="12"/>
      <c r="T130" s="8" t="s">
        <v>121</v>
      </c>
      <c r="U130" s="8" t="s">
        <v>883</v>
      </c>
      <c r="V130" s="13" t="s">
        <v>881</v>
      </c>
      <c r="W130" s="13" t="s">
        <v>884</v>
      </c>
      <c r="X130" s="12"/>
      <c r="Y130" s="14"/>
      <c r="Z130" s="14"/>
    </row>
    <row r="131">
      <c r="A131" s="8" t="s">
        <v>885</v>
      </c>
      <c r="B131" s="8" t="s">
        <v>886</v>
      </c>
      <c r="C131" s="8" t="s">
        <v>64</v>
      </c>
      <c r="D131" s="8" t="s">
        <v>26</v>
      </c>
      <c r="E131" s="8" t="s">
        <v>887</v>
      </c>
      <c r="F131" s="8">
        <v>1.117713796E9</v>
      </c>
      <c r="G131" s="8" t="s">
        <v>284</v>
      </c>
      <c r="H131" s="8" t="s">
        <v>793</v>
      </c>
      <c r="I131" s="8" t="s">
        <v>31</v>
      </c>
      <c r="J131" s="8" t="s">
        <v>256</v>
      </c>
      <c r="K131" s="10" t="s">
        <v>794</v>
      </c>
      <c r="L131" s="8" t="s">
        <v>47</v>
      </c>
      <c r="M131" s="8" t="s">
        <v>70</v>
      </c>
      <c r="N131" s="11">
        <v>44770.0</v>
      </c>
      <c r="O131" s="11">
        <v>44819.0</v>
      </c>
      <c r="P131" s="11">
        <v>45184.0</v>
      </c>
      <c r="Q131" s="11">
        <v>44788.0</v>
      </c>
      <c r="R131" s="11">
        <v>45139.0</v>
      </c>
      <c r="S131" s="12"/>
      <c r="T131" s="8"/>
      <c r="U131" s="8" t="s">
        <v>795</v>
      </c>
      <c r="V131" s="13" t="s">
        <v>793</v>
      </c>
      <c r="W131" s="13" t="s">
        <v>888</v>
      </c>
      <c r="X131" s="12"/>
      <c r="Y131" s="14"/>
      <c r="Z131" s="14"/>
    </row>
    <row r="132">
      <c r="A132" s="8" t="s">
        <v>889</v>
      </c>
      <c r="B132" s="8" t="s">
        <v>890</v>
      </c>
      <c r="C132" s="8" t="s">
        <v>64</v>
      </c>
      <c r="D132" s="8" t="s">
        <v>26</v>
      </c>
      <c r="E132" s="8" t="s">
        <v>891</v>
      </c>
      <c r="F132" s="8">
        <v>1.02233329E8</v>
      </c>
      <c r="G132" s="8" t="s">
        <v>722</v>
      </c>
      <c r="H132" s="8" t="s">
        <v>892</v>
      </c>
      <c r="I132" s="8" t="s">
        <v>31</v>
      </c>
      <c r="J132" s="8" t="s">
        <v>167</v>
      </c>
      <c r="K132" s="10" t="s">
        <v>893</v>
      </c>
      <c r="L132" s="8" t="s">
        <v>58</v>
      </c>
      <c r="M132" s="8" t="s">
        <v>35</v>
      </c>
      <c r="N132" s="11">
        <v>44770.0</v>
      </c>
      <c r="O132" s="11">
        <v>44781.0</v>
      </c>
      <c r="P132" s="11">
        <v>44823.0</v>
      </c>
      <c r="Q132" s="11">
        <v>44785.0</v>
      </c>
      <c r="R132" s="11">
        <v>44823.0</v>
      </c>
      <c r="S132" s="12"/>
      <c r="T132" s="8"/>
      <c r="U132" s="8" t="s">
        <v>88</v>
      </c>
      <c r="V132" s="13" t="s">
        <v>894</v>
      </c>
      <c r="W132" s="13" t="s">
        <v>895</v>
      </c>
      <c r="X132" s="12"/>
      <c r="Y132" s="14"/>
      <c r="Z132" s="14"/>
    </row>
    <row r="133">
      <c r="A133" s="8" t="s">
        <v>896</v>
      </c>
      <c r="B133" s="8" t="s">
        <v>897</v>
      </c>
      <c r="C133" s="8" t="s">
        <v>25</v>
      </c>
      <c r="D133" s="8" t="s">
        <v>26</v>
      </c>
      <c r="E133" s="8" t="s">
        <v>898</v>
      </c>
      <c r="F133" s="8">
        <v>5.412552592E9</v>
      </c>
      <c r="G133" s="8" t="s">
        <v>31</v>
      </c>
      <c r="H133" s="8" t="s">
        <v>86</v>
      </c>
      <c r="I133" s="8" t="s">
        <v>230</v>
      </c>
      <c r="J133" s="8" t="s">
        <v>543</v>
      </c>
      <c r="K133" s="10" t="s">
        <v>899</v>
      </c>
      <c r="L133" s="8" t="s">
        <v>58</v>
      </c>
      <c r="M133" s="8" t="s">
        <v>35</v>
      </c>
      <c r="N133" s="11">
        <v>44770.0</v>
      </c>
      <c r="O133" s="11">
        <v>44774.0</v>
      </c>
      <c r="P133" s="11">
        <v>44816.0</v>
      </c>
      <c r="Q133" s="11">
        <v>44775.0</v>
      </c>
      <c r="R133" s="11">
        <v>44816.0</v>
      </c>
      <c r="S133" s="12"/>
      <c r="T133" s="8"/>
      <c r="U133" s="8" t="s">
        <v>59</v>
      </c>
      <c r="V133" s="13" t="s">
        <v>175</v>
      </c>
      <c r="W133" s="13" t="s">
        <v>900</v>
      </c>
      <c r="X133" s="12"/>
      <c r="Y133" s="14"/>
      <c r="Z133" s="14"/>
    </row>
    <row r="134">
      <c r="A134" s="8" t="s">
        <v>901</v>
      </c>
      <c r="B134" s="8" t="s">
        <v>902</v>
      </c>
      <c r="C134" s="8" t="s">
        <v>64</v>
      </c>
      <c r="D134" s="8" t="s">
        <v>26</v>
      </c>
      <c r="E134" s="8" t="s">
        <v>903</v>
      </c>
      <c r="F134" s="8">
        <v>5.380542406E9</v>
      </c>
      <c r="G134" s="8" t="s">
        <v>31</v>
      </c>
      <c r="H134" s="8" t="s">
        <v>86</v>
      </c>
      <c r="I134" s="8" t="s">
        <v>399</v>
      </c>
      <c r="J134" s="8" t="s">
        <v>904</v>
      </c>
      <c r="K134" s="10" t="s">
        <v>905</v>
      </c>
      <c r="L134" s="8" t="s">
        <v>58</v>
      </c>
      <c r="M134" s="8" t="s">
        <v>35</v>
      </c>
      <c r="N134" s="11">
        <v>44770.0</v>
      </c>
      <c r="O134" s="11">
        <v>44776.0</v>
      </c>
      <c r="P134" s="11">
        <v>44818.0</v>
      </c>
      <c r="Q134" s="11">
        <v>44776.0</v>
      </c>
      <c r="R134" s="11">
        <v>44816.0</v>
      </c>
      <c r="S134" s="12"/>
      <c r="T134" s="8"/>
      <c r="U134" s="8" t="s">
        <v>153</v>
      </c>
      <c r="V134" s="13" t="s">
        <v>175</v>
      </c>
      <c r="W134" s="13" t="s">
        <v>906</v>
      </c>
      <c r="X134" s="12"/>
      <c r="Y134" s="14"/>
      <c r="Z134" s="14"/>
    </row>
    <row r="135">
      <c r="A135" s="8" t="s">
        <v>907</v>
      </c>
      <c r="B135" s="8" t="s">
        <v>908</v>
      </c>
      <c r="C135" s="8" t="s">
        <v>64</v>
      </c>
      <c r="D135" s="8" t="s">
        <v>26</v>
      </c>
      <c r="E135" s="8" t="s">
        <v>909</v>
      </c>
      <c r="F135" s="8">
        <v>6.56056602E8</v>
      </c>
      <c r="G135" s="8" t="s">
        <v>84</v>
      </c>
      <c r="H135" s="8" t="s">
        <v>646</v>
      </c>
      <c r="I135" s="8" t="s">
        <v>31</v>
      </c>
      <c r="J135" s="8" t="s">
        <v>111</v>
      </c>
      <c r="K135" s="10" t="s">
        <v>910</v>
      </c>
      <c r="L135" s="8" t="s">
        <v>47</v>
      </c>
      <c r="M135" s="8" t="s">
        <v>70</v>
      </c>
      <c r="N135" s="11">
        <v>44770.0</v>
      </c>
      <c r="O135" s="11">
        <v>44802.0</v>
      </c>
      <c r="P135" s="11">
        <v>45163.0</v>
      </c>
      <c r="Q135" s="11">
        <v>44803.0</v>
      </c>
      <c r="R135" s="11">
        <v>45168.0</v>
      </c>
      <c r="S135" s="12"/>
      <c r="T135" s="8"/>
      <c r="U135" s="8" t="s">
        <v>246</v>
      </c>
      <c r="V135" s="13" t="s">
        <v>649</v>
      </c>
      <c r="W135" s="13" t="s">
        <v>911</v>
      </c>
      <c r="X135" s="12"/>
      <c r="Y135" s="14"/>
      <c r="Z135" s="14"/>
    </row>
    <row r="136">
      <c r="A136" s="8" t="s">
        <v>912</v>
      </c>
      <c r="B136" s="8" t="s">
        <v>913</v>
      </c>
      <c r="C136" s="8" t="s">
        <v>179</v>
      </c>
      <c r="D136" s="8" t="s">
        <v>26</v>
      </c>
      <c r="E136" s="8" t="s">
        <v>914</v>
      </c>
      <c r="F136" s="8">
        <v>2.76033865E8</v>
      </c>
      <c r="G136" s="8" t="s">
        <v>915</v>
      </c>
      <c r="H136" s="8" t="s">
        <v>916</v>
      </c>
      <c r="I136" s="8" t="s">
        <v>31</v>
      </c>
      <c r="J136" s="8" t="s">
        <v>77</v>
      </c>
      <c r="K136" s="10" t="s">
        <v>917</v>
      </c>
      <c r="L136" s="8" t="s">
        <v>47</v>
      </c>
      <c r="M136" s="8" t="s">
        <v>70</v>
      </c>
      <c r="N136" s="11">
        <v>44770.0</v>
      </c>
      <c r="O136" s="11">
        <v>44805.0</v>
      </c>
      <c r="P136" s="11">
        <v>45107.0</v>
      </c>
      <c r="Q136" s="11"/>
      <c r="R136" s="11"/>
      <c r="S136" s="12"/>
      <c r="T136" s="8"/>
      <c r="U136" s="8" t="s">
        <v>918</v>
      </c>
      <c r="V136" s="13" t="s">
        <v>38</v>
      </c>
      <c r="W136" s="13" t="s">
        <v>919</v>
      </c>
      <c r="X136" s="12"/>
      <c r="Y136" s="14"/>
      <c r="Z136" s="14"/>
    </row>
    <row r="137">
      <c r="A137" s="8" t="s">
        <v>920</v>
      </c>
      <c r="B137" s="8" t="s">
        <v>921</v>
      </c>
      <c r="C137" s="8" t="s">
        <v>25</v>
      </c>
      <c r="D137" s="8" t="s">
        <v>26</v>
      </c>
      <c r="E137" s="8" t="s">
        <v>922</v>
      </c>
      <c r="F137" s="8">
        <v>7.6736163E8</v>
      </c>
      <c r="G137" s="8" t="s">
        <v>84</v>
      </c>
      <c r="H137" s="8" t="s">
        <v>646</v>
      </c>
      <c r="I137" s="8" t="s">
        <v>31</v>
      </c>
      <c r="J137" s="8" t="s">
        <v>32</v>
      </c>
      <c r="K137" s="10" t="s">
        <v>383</v>
      </c>
      <c r="L137" s="8" t="s">
        <v>58</v>
      </c>
      <c r="M137" s="8" t="s">
        <v>35</v>
      </c>
      <c r="N137" s="11">
        <v>44770.0</v>
      </c>
      <c r="O137" s="11">
        <v>44794.0</v>
      </c>
      <c r="P137" s="11">
        <v>44836.0</v>
      </c>
      <c r="Q137" s="11">
        <v>44800.0</v>
      </c>
      <c r="R137" s="11">
        <v>44840.0</v>
      </c>
      <c r="S137" s="12"/>
      <c r="T137" s="8"/>
      <c r="U137" s="8" t="s">
        <v>88</v>
      </c>
      <c r="V137" s="13" t="s">
        <v>923</v>
      </c>
      <c r="W137" s="13" t="s">
        <v>924</v>
      </c>
      <c r="X137" s="12"/>
      <c r="Y137" s="14"/>
      <c r="Z137" s="14"/>
    </row>
    <row r="138">
      <c r="A138" s="8" t="s">
        <v>925</v>
      </c>
      <c r="B138" s="8" t="s">
        <v>926</v>
      </c>
      <c r="C138" s="8" t="s">
        <v>64</v>
      </c>
      <c r="D138" s="8" t="s">
        <v>26</v>
      </c>
      <c r="E138" s="8" t="s">
        <v>927</v>
      </c>
      <c r="F138" s="8" t="s">
        <v>928</v>
      </c>
      <c r="G138" s="8" t="s">
        <v>127</v>
      </c>
      <c r="H138" s="8" t="s">
        <v>159</v>
      </c>
      <c r="I138" s="8" t="s">
        <v>31</v>
      </c>
      <c r="J138" s="8" t="s">
        <v>167</v>
      </c>
      <c r="K138" s="10" t="s">
        <v>620</v>
      </c>
      <c r="L138" s="8" t="s">
        <v>58</v>
      </c>
      <c r="M138" s="8" t="s">
        <v>35</v>
      </c>
      <c r="N138" s="11">
        <v>44770.0</v>
      </c>
      <c r="O138" s="11">
        <v>44774.0</v>
      </c>
      <c r="P138" s="11">
        <v>44816.0</v>
      </c>
      <c r="Q138" s="11">
        <v>44782.0</v>
      </c>
      <c r="R138" s="11">
        <v>44816.0</v>
      </c>
      <c r="S138" s="12"/>
      <c r="T138" s="8"/>
      <c r="U138" s="8" t="s">
        <v>88</v>
      </c>
      <c r="V138" s="13" t="s">
        <v>159</v>
      </c>
      <c r="W138" s="13" t="s">
        <v>929</v>
      </c>
      <c r="X138" s="12"/>
      <c r="Y138" s="14"/>
      <c r="Z138" s="14"/>
    </row>
    <row r="139">
      <c r="A139" s="8" t="s">
        <v>930</v>
      </c>
      <c r="B139" s="8" t="s">
        <v>931</v>
      </c>
      <c r="C139" s="8" t="s">
        <v>64</v>
      </c>
      <c r="D139" s="8" t="s">
        <v>26</v>
      </c>
      <c r="E139" s="8" t="s">
        <v>932</v>
      </c>
      <c r="F139" s="8"/>
      <c r="G139" s="8" t="s">
        <v>54</v>
      </c>
      <c r="H139" s="8" t="s">
        <v>369</v>
      </c>
      <c r="I139" s="8" t="s">
        <v>31</v>
      </c>
      <c r="J139" s="8" t="s">
        <v>32</v>
      </c>
      <c r="K139" s="10" t="s">
        <v>933</v>
      </c>
      <c r="L139" s="8" t="s">
        <v>47</v>
      </c>
      <c r="M139" s="8" t="s">
        <v>70</v>
      </c>
      <c r="N139" s="11">
        <v>44770.0</v>
      </c>
      <c r="O139" s="11">
        <v>44753.0</v>
      </c>
      <c r="P139" s="11">
        <v>45118.0</v>
      </c>
      <c r="Q139" s="11">
        <v>44819.0</v>
      </c>
      <c r="R139" s="11">
        <v>45184.0</v>
      </c>
      <c r="S139" s="12"/>
      <c r="T139" s="8"/>
      <c r="U139" s="8" t="s">
        <v>934</v>
      </c>
      <c r="V139" s="13" t="s">
        <v>38</v>
      </c>
      <c r="W139" s="13" t="s">
        <v>935</v>
      </c>
      <c r="X139" s="12"/>
      <c r="Y139" s="14"/>
      <c r="Z139" s="14"/>
    </row>
    <row r="140">
      <c r="A140" s="8" t="s">
        <v>936</v>
      </c>
      <c r="B140" s="8" t="s">
        <v>937</v>
      </c>
      <c r="C140" s="8" t="s">
        <v>25</v>
      </c>
      <c r="D140" s="8" t="s">
        <v>26</v>
      </c>
      <c r="E140" s="8" t="s">
        <v>938</v>
      </c>
      <c r="F140" s="8">
        <v>5.078107864E9</v>
      </c>
      <c r="G140" s="8" t="s">
        <v>31</v>
      </c>
      <c r="H140" s="8" t="s">
        <v>32</v>
      </c>
      <c r="I140" s="8" t="s">
        <v>29</v>
      </c>
      <c r="J140" s="8" t="s">
        <v>679</v>
      </c>
      <c r="K140" s="10" t="s">
        <v>680</v>
      </c>
      <c r="L140" s="8" t="s">
        <v>58</v>
      </c>
      <c r="M140" s="8" t="s">
        <v>35</v>
      </c>
      <c r="N140" s="11">
        <v>44770.0</v>
      </c>
      <c r="O140" s="11">
        <v>44805.0</v>
      </c>
      <c r="P140" s="11">
        <v>44847.0</v>
      </c>
      <c r="Q140" s="11">
        <v>44806.0</v>
      </c>
      <c r="R140" s="11">
        <v>44847.0</v>
      </c>
      <c r="S140" s="12"/>
      <c r="T140" s="8"/>
      <c r="U140" s="8" t="s">
        <v>681</v>
      </c>
      <c r="V140" s="13" t="s">
        <v>537</v>
      </c>
      <c r="W140" s="13" t="s">
        <v>939</v>
      </c>
      <c r="X140" s="12"/>
      <c r="Y140" s="14"/>
      <c r="Z140" s="14"/>
    </row>
    <row r="141">
      <c r="A141" s="8" t="s">
        <v>940</v>
      </c>
      <c r="B141" s="8" t="s">
        <v>941</v>
      </c>
      <c r="C141" s="8" t="s">
        <v>64</v>
      </c>
      <c r="D141" s="8" t="s">
        <v>26</v>
      </c>
      <c r="E141" s="8" t="s">
        <v>942</v>
      </c>
      <c r="F141" s="8">
        <v>5.0278519E7</v>
      </c>
      <c r="G141" s="8" t="s">
        <v>54</v>
      </c>
      <c r="H141" s="8" t="s">
        <v>55</v>
      </c>
      <c r="I141" s="8" t="s">
        <v>31</v>
      </c>
      <c r="J141" s="8" t="s">
        <v>66</v>
      </c>
      <c r="K141" s="10" t="s">
        <v>943</v>
      </c>
      <c r="L141" s="8" t="s">
        <v>47</v>
      </c>
      <c r="M141" s="8" t="s">
        <v>70</v>
      </c>
      <c r="N141" s="11">
        <v>44771.0</v>
      </c>
      <c r="O141" s="11">
        <v>44793.0</v>
      </c>
      <c r="P141" s="11">
        <v>45155.0</v>
      </c>
      <c r="Q141" s="11">
        <v>44824.0</v>
      </c>
      <c r="R141" s="11">
        <v>45155.0</v>
      </c>
      <c r="S141" s="12"/>
      <c r="T141" s="8"/>
      <c r="U141" s="8" t="s">
        <v>246</v>
      </c>
      <c r="V141" s="13" t="s">
        <v>60</v>
      </c>
      <c r="W141" s="13" t="s">
        <v>944</v>
      </c>
      <c r="X141" s="12"/>
      <c r="Y141" s="14"/>
      <c r="Z141" s="14"/>
    </row>
    <row r="142">
      <c r="A142" s="8" t="s">
        <v>945</v>
      </c>
      <c r="B142" s="8" t="s">
        <v>946</v>
      </c>
      <c r="C142" s="8" t="s">
        <v>25</v>
      </c>
      <c r="D142" s="8" t="s">
        <v>26</v>
      </c>
      <c r="E142" s="8" t="s">
        <v>947</v>
      </c>
      <c r="F142" s="8">
        <v>5.050444855E9</v>
      </c>
      <c r="G142" s="8" t="s">
        <v>31</v>
      </c>
      <c r="H142" s="8" t="s">
        <v>56</v>
      </c>
      <c r="I142" s="8" t="s">
        <v>127</v>
      </c>
      <c r="J142" s="8" t="s">
        <v>159</v>
      </c>
      <c r="K142" s="10" t="s">
        <v>948</v>
      </c>
      <c r="L142" s="8" t="s">
        <v>34</v>
      </c>
      <c r="M142" s="8" t="s">
        <v>35</v>
      </c>
      <c r="N142" s="11">
        <v>44771.0</v>
      </c>
      <c r="O142" s="11">
        <v>44784.0</v>
      </c>
      <c r="P142" s="11">
        <v>44826.0</v>
      </c>
      <c r="Q142" s="11">
        <v>44776.0</v>
      </c>
      <c r="R142" s="11">
        <v>44816.0</v>
      </c>
      <c r="S142" s="12"/>
      <c r="T142" s="8" t="s">
        <v>224</v>
      </c>
      <c r="U142" s="8" t="s">
        <v>949</v>
      </c>
      <c r="V142" s="13" t="s">
        <v>56</v>
      </c>
      <c r="W142" s="13" t="s">
        <v>950</v>
      </c>
      <c r="X142" s="12"/>
      <c r="Y142" s="14"/>
      <c r="Z142" s="14"/>
    </row>
    <row r="143">
      <c r="A143" s="8" t="s">
        <v>951</v>
      </c>
      <c r="B143" s="8" t="s">
        <v>952</v>
      </c>
      <c r="C143" s="8" t="s">
        <v>25</v>
      </c>
      <c r="D143" s="8" t="s">
        <v>26</v>
      </c>
      <c r="E143" s="8" t="s">
        <v>953</v>
      </c>
      <c r="F143" s="8"/>
      <c r="G143" s="8" t="s">
        <v>109</v>
      </c>
      <c r="H143" s="8" t="s">
        <v>954</v>
      </c>
      <c r="I143" s="8" t="s">
        <v>31</v>
      </c>
      <c r="J143" s="8" t="s">
        <v>32</v>
      </c>
      <c r="K143" s="10" t="s">
        <v>855</v>
      </c>
      <c r="L143" s="8" t="s">
        <v>58</v>
      </c>
      <c r="M143" s="8" t="s">
        <v>35</v>
      </c>
      <c r="N143" s="11">
        <v>44771.0</v>
      </c>
      <c r="O143" s="11">
        <v>45025.0</v>
      </c>
      <c r="P143" s="11">
        <v>45067.0</v>
      </c>
      <c r="Q143" s="11">
        <v>45026.0</v>
      </c>
      <c r="R143" s="11">
        <v>45067.0</v>
      </c>
      <c r="S143" s="12"/>
      <c r="T143" s="8"/>
      <c r="U143" s="8" t="s">
        <v>59</v>
      </c>
      <c r="V143" s="13" t="s">
        <v>38</v>
      </c>
      <c r="W143" s="13" t="s">
        <v>955</v>
      </c>
      <c r="X143" s="12"/>
      <c r="Y143" s="14"/>
      <c r="Z143" s="14"/>
    </row>
    <row r="144">
      <c r="A144" s="8" t="s">
        <v>956</v>
      </c>
      <c r="B144" s="8" t="s">
        <v>957</v>
      </c>
      <c r="C144" s="8" t="s">
        <v>25</v>
      </c>
      <c r="D144" s="8" t="s">
        <v>26</v>
      </c>
      <c r="E144" s="8" t="s">
        <v>958</v>
      </c>
      <c r="F144" s="8"/>
      <c r="G144" s="8" t="s">
        <v>31</v>
      </c>
      <c r="H144" s="8" t="s">
        <v>959</v>
      </c>
      <c r="I144" s="8" t="s">
        <v>127</v>
      </c>
      <c r="J144" s="8" t="s">
        <v>159</v>
      </c>
      <c r="K144" s="10" t="s">
        <v>960</v>
      </c>
      <c r="L144" s="8" t="s">
        <v>34</v>
      </c>
      <c r="M144" s="8" t="s">
        <v>35</v>
      </c>
      <c r="N144" s="11">
        <v>44771.0</v>
      </c>
      <c r="O144" s="11">
        <v>44760.0</v>
      </c>
      <c r="P144" s="11">
        <v>44813.0</v>
      </c>
      <c r="Q144" s="11">
        <v>44799.0</v>
      </c>
      <c r="R144" s="11">
        <v>44839.0</v>
      </c>
      <c r="S144" s="12"/>
      <c r="T144" s="8" t="s">
        <v>224</v>
      </c>
      <c r="U144" s="8" t="s">
        <v>961</v>
      </c>
      <c r="V144" s="13" t="s">
        <v>38</v>
      </c>
      <c r="W144" s="13" t="s">
        <v>962</v>
      </c>
      <c r="X144" s="12"/>
      <c r="Y144" s="14"/>
      <c r="Z144" s="14"/>
    </row>
    <row r="145">
      <c r="A145" s="8" t="s">
        <v>963</v>
      </c>
      <c r="B145" s="8" t="s">
        <v>964</v>
      </c>
      <c r="C145" s="8" t="s">
        <v>25</v>
      </c>
      <c r="D145" s="8" t="s">
        <v>26</v>
      </c>
      <c r="E145" s="8" t="s">
        <v>965</v>
      </c>
      <c r="F145" s="8">
        <v>5.443591839E9</v>
      </c>
      <c r="G145" s="8" t="s">
        <v>31</v>
      </c>
      <c r="H145" s="8" t="s">
        <v>86</v>
      </c>
      <c r="I145" s="8" t="s">
        <v>284</v>
      </c>
      <c r="J145" s="8" t="s">
        <v>793</v>
      </c>
      <c r="K145" s="10" t="s">
        <v>966</v>
      </c>
      <c r="L145" s="8" t="s">
        <v>58</v>
      </c>
      <c r="M145" s="8" t="s">
        <v>35</v>
      </c>
      <c r="N145" s="11">
        <v>44772.0</v>
      </c>
      <c r="O145" s="11">
        <v>44779.0</v>
      </c>
      <c r="P145" s="11">
        <v>44821.0</v>
      </c>
      <c r="Q145" s="11">
        <v>44787.0</v>
      </c>
      <c r="R145" s="11">
        <v>44825.0</v>
      </c>
      <c r="S145" s="12"/>
      <c r="T145" s="8"/>
      <c r="U145" s="8" t="s">
        <v>161</v>
      </c>
      <c r="V145" s="13" t="s">
        <v>175</v>
      </c>
      <c r="W145" s="13" t="s">
        <v>967</v>
      </c>
      <c r="X145" s="12"/>
      <c r="Y145" s="14"/>
      <c r="Z145" s="14"/>
    </row>
    <row r="146">
      <c r="A146" s="8" t="s">
        <v>968</v>
      </c>
      <c r="B146" s="8" t="s">
        <v>969</v>
      </c>
      <c r="C146" s="8" t="s">
        <v>64</v>
      </c>
      <c r="D146" s="8" t="s">
        <v>26</v>
      </c>
      <c r="E146" s="8" t="s">
        <v>970</v>
      </c>
      <c r="F146" s="8">
        <v>5.441029798E9</v>
      </c>
      <c r="G146" s="8" t="s">
        <v>818</v>
      </c>
      <c r="H146" s="8" t="s">
        <v>971</v>
      </c>
      <c r="I146" s="8" t="s">
        <v>31</v>
      </c>
      <c r="J146" s="8" t="s">
        <v>77</v>
      </c>
      <c r="K146" s="10" t="s">
        <v>820</v>
      </c>
      <c r="L146" s="8" t="s">
        <v>47</v>
      </c>
      <c r="M146" s="8" t="s">
        <v>70</v>
      </c>
      <c r="N146" s="11">
        <v>44772.0</v>
      </c>
      <c r="O146" s="11">
        <v>44810.0</v>
      </c>
      <c r="P146" s="11">
        <v>45093.0</v>
      </c>
      <c r="Q146" s="11">
        <v>44802.0</v>
      </c>
      <c r="R146" s="11">
        <v>45107.0</v>
      </c>
      <c r="S146" s="12"/>
      <c r="T146" s="8"/>
      <c r="U146" s="8" t="s">
        <v>821</v>
      </c>
      <c r="V146" s="13" t="s">
        <v>972</v>
      </c>
      <c r="W146" s="13" t="s">
        <v>973</v>
      </c>
      <c r="X146" s="12"/>
      <c r="Y146" s="14"/>
      <c r="Z146" s="14"/>
    </row>
    <row r="147">
      <c r="A147" s="8" t="s">
        <v>974</v>
      </c>
      <c r="B147" s="8" t="s">
        <v>975</v>
      </c>
      <c r="C147" s="8" t="s">
        <v>179</v>
      </c>
      <c r="D147" s="8" t="s">
        <v>26</v>
      </c>
      <c r="E147" s="8" t="s">
        <v>976</v>
      </c>
      <c r="F147" s="8">
        <v>5.539038688E9</v>
      </c>
      <c r="G147" s="8" t="s">
        <v>31</v>
      </c>
      <c r="H147" s="8" t="s">
        <v>220</v>
      </c>
      <c r="I147" s="8" t="s">
        <v>44</v>
      </c>
      <c r="J147" s="8" t="s">
        <v>741</v>
      </c>
      <c r="K147" s="10" t="s">
        <v>742</v>
      </c>
      <c r="L147" s="8" t="s">
        <v>58</v>
      </c>
      <c r="M147" s="8" t="s">
        <v>35</v>
      </c>
      <c r="N147" s="11">
        <v>44772.0</v>
      </c>
      <c r="O147" s="11">
        <v>44941.0</v>
      </c>
      <c r="P147" s="11">
        <v>44983.0</v>
      </c>
      <c r="Q147" s="11"/>
      <c r="R147" s="11"/>
      <c r="S147" s="12"/>
      <c r="T147" s="8"/>
      <c r="U147" s="8" t="s">
        <v>88</v>
      </c>
      <c r="V147" s="13" t="s">
        <v>220</v>
      </c>
      <c r="W147" s="13" t="s">
        <v>977</v>
      </c>
      <c r="X147" s="12"/>
      <c r="Y147" s="14"/>
      <c r="Z147" s="14"/>
    </row>
    <row r="148">
      <c r="A148" s="8" t="s">
        <v>978</v>
      </c>
      <c r="B148" s="8" t="s">
        <v>979</v>
      </c>
      <c r="C148" s="8" t="s">
        <v>251</v>
      </c>
      <c r="D148" s="8" t="s">
        <v>26</v>
      </c>
      <c r="E148" s="8" t="s">
        <v>980</v>
      </c>
      <c r="F148" s="8">
        <v>3.192435536E9</v>
      </c>
      <c r="G148" s="8" t="s">
        <v>981</v>
      </c>
      <c r="H148" s="8" t="s">
        <v>982</v>
      </c>
      <c r="I148" s="8" t="s">
        <v>31</v>
      </c>
      <c r="J148" s="8" t="s">
        <v>43</v>
      </c>
      <c r="K148" s="10" t="s">
        <v>983</v>
      </c>
      <c r="L148" s="8" t="s">
        <v>34</v>
      </c>
      <c r="M148" s="8" t="s">
        <v>70</v>
      </c>
      <c r="N148" s="11">
        <v>44772.0</v>
      </c>
      <c r="O148" s="11">
        <v>44803.0</v>
      </c>
      <c r="P148" s="11">
        <v>45168.0</v>
      </c>
      <c r="Q148" s="11"/>
      <c r="R148" s="11"/>
      <c r="S148" s="12"/>
      <c r="T148" s="8" t="s">
        <v>121</v>
      </c>
      <c r="U148" s="8" t="s">
        <v>984</v>
      </c>
      <c r="V148" s="13" t="s">
        <v>985</v>
      </c>
      <c r="W148" s="13" t="s">
        <v>986</v>
      </c>
      <c r="X148" s="12"/>
      <c r="Y148" s="14"/>
      <c r="Z148" s="14"/>
    </row>
    <row r="149">
      <c r="A149" s="8" t="s">
        <v>987</v>
      </c>
      <c r="B149" s="8" t="s">
        <v>988</v>
      </c>
      <c r="C149" s="8" t="s">
        <v>251</v>
      </c>
      <c r="D149" s="8" t="s">
        <v>26</v>
      </c>
      <c r="E149" s="8" t="s">
        <v>989</v>
      </c>
      <c r="F149" s="8">
        <v>5.076260404E9</v>
      </c>
      <c r="G149" s="8" t="s">
        <v>31</v>
      </c>
      <c r="H149" s="8" t="s">
        <v>111</v>
      </c>
      <c r="I149" s="8" t="s">
        <v>44</v>
      </c>
      <c r="J149" s="8" t="s">
        <v>990</v>
      </c>
      <c r="K149" s="10" t="s">
        <v>991</v>
      </c>
      <c r="L149" s="8" t="s">
        <v>58</v>
      </c>
      <c r="M149" s="8" t="s">
        <v>35</v>
      </c>
      <c r="N149" s="11">
        <v>44772.0</v>
      </c>
      <c r="O149" s="11">
        <v>44774.0</v>
      </c>
      <c r="P149" s="11">
        <v>44816.0</v>
      </c>
      <c r="Q149" s="11"/>
      <c r="R149" s="11"/>
      <c r="S149" s="12"/>
      <c r="T149" s="8"/>
      <c r="U149" s="8" t="s">
        <v>185</v>
      </c>
      <c r="V149" s="13" t="s">
        <v>111</v>
      </c>
      <c r="W149" s="13" t="s">
        <v>992</v>
      </c>
      <c r="X149" s="12"/>
      <c r="Y149" s="14"/>
      <c r="Z149" s="14"/>
    </row>
    <row r="150">
      <c r="A150" s="8" t="s">
        <v>993</v>
      </c>
      <c r="B150" s="8" t="s">
        <v>994</v>
      </c>
      <c r="C150" s="8" t="s">
        <v>25</v>
      </c>
      <c r="D150" s="8" t="s">
        <v>26</v>
      </c>
      <c r="E150" s="8" t="s">
        <v>995</v>
      </c>
      <c r="F150" s="8">
        <v>5.308424783E9</v>
      </c>
      <c r="G150" s="8" t="s">
        <v>31</v>
      </c>
      <c r="H150" s="8" t="s">
        <v>86</v>
      </c>
      <c r="I150" s="8" t="s">
        <v>54</v>
      </c>
      <c r="J150" s="8" t="s">
        <v>76</v>
      </c>
      <c r="K150" s="10" t="s">
        <v>996</v>
      </c>
      <c r="L150" s="8" t="s">
        <v>58</v>
      </c>
      <c r="M150" s="8" t="s">
        <v>35</v>
      </c>
      <c r="N150" s="11">
        <v>44773.0</v>
      </c>
      <c r="O150" s="11">
        <v>44776.0</v>
      </c>
      <c r="P150" s="11">
        <v>44818.0</v>
      </c>
      <c r="Q150" s="11">
        <v>44783.0</v>
      </c>
      <c r="R150" s="11">
        <v>44816.0</v>
      </c>
      <c r="S150" s="12"/>
      <c r="T150" s="8"/>
      <c r="U150" s="8" t="s">
        <v>997</v>
      </c>
      <c r="V150" s="13" t="s">
        <v>175</v>
      </c>
      <c r="W150" s="13" t="s">
        <v>998</v>
      </c>
      <c r="X150" s="12"/>
      <c r="Y150" s="14"/>
      <c r="Z150" s="14"/>
    </row>
    <row r="151">
      <c r="A151" s="8" t="s">
        <v>999</v>
      </c>
      <c r="B151" s="8" t="s">
        <v>1000</v>
      </c>
      <c r="C151" s="8" t="s">
        <v>25</v>
      </c>
      <c r="D151" s="8" t="s">
        <v>26</v>
      </c>
      <c r="E151" s="8" t="s">
        <v>1001</v>
      </c>
      <c r="F151" s="8"/>
      <c r="G151" s="8" t="s">
        <v>31</v>
      </c>
      <c r="H151" s="8" t="s">
        <v>86</v>
      </c>
      <c r="I151" s="8" t="s">
        <v>284</v>
      </c>
      <c r="J151" s="8" t="s">
        <v>854</v>
      </c>
      <c r="K151" s="10" t="s">
        <v>1002</v>
      </c>
      <c r="L151" s="8" t="s">
        <v>58</v>
      </c>
      <c r="M151" s="8" t="s">
        <v>35</v>
      </c>
      <c r="N151" s="11">
        <v>44773.0</v>
      </c>
      <c r="O151" s="11">
        <v>44787.0</v>
      </c>
      <c r="P151" s="11">
        <v>44833.0</v>
      </c>
      <c r="Q151" s="11">
        <v>44788.0</v>
      </c>
      <c r="R151" s="11">
        <v>44832.0</v>
      </c>
      <c r="S151" s="12"/>
      <c r="T151" s="8"/>
      <c r="U151" s="8" t="s">
        <v>59</v>
      </c>
      <c r="V151" s="13" t="s">
        <v>175</v>
      </c>
      <c r="W151" s="13" t="s">
        <v>1003</v>
      </c>
      <c r="X151" s="12"/>
      <c r="Y151" s="14"/>
      <c r="Z151" s="14"/>
    </row>
    <row r="152">
      <c r="A152" s="8" t="s">
        <v>1004</v>
      </c>
      <c r="B152" s="8" t="s">
        <v>1005</v>
      </c>
      <c r="C152" s="8" t="s">
        <v>708</v>
      </c>
      <c r="D152" s="8" t="s">
        <v>26</v>
      </c>
      <c r="E152" s="8" t="s">
        <v>1006</v>
      </c>
      <c r="F152" s="8">
        <v>7.73256922E8</v>
      </c>
      <c r="G152" s="8" t="s">
        <v>254</v>
      </c>
      <c r="H152" s="8" t="s">
        <v>1007</v>
      </c>
      <c r="I152" s="8" t="s">
        <v>31</v>
      </c>
      <c r="J152" s="8" t="s">
        <v>542</v>
      </c>
      <c r="K152" s="10" t="s">
        <v>1008</v>
      </c>
      <c r="L152" s="8" t="s">
        <v>47</v>
      </c>
      <c r="M152" s="8" t="s">
        <v>70</v>
      </c>
      <c r="N152" s="11">
        <v>44773.0</v>
      </c>
      <c r="O152" s="11">
        <v>44788.0</v>
      </c>
      <c r="P152" s="11">
        <v>45331.0</v>
      </c>
      <c r="Q152" s="11">
        <v>44839.0</v>
      </c>
      <c r="R152" s="11">
        <v>45352.0</v>
      </c>
      <c r="S152" s="12"/>
      <c r="T152" s="8"/>
      <c r="U152" s="8" t="s">
        <v>1009</v>
      </c>
      <c r="V152" s="13" t="s">
        <v>1010</v>
      </c>
      <c r="W152" s="13" t="s">
        <v>1011</v>
      </c>
      <c r="X152" s="12"/>
      <c r="Y152" s="14"/>
      <c r="Z152" s="14"/>
    </row>
    <row r="153">
      <c r="A153" s="8" t="s">
        <v>1012</v>
      </c>
      <c r="B153" s="8" t="s">
        <v>1013</v>
      </c>
      <c r="C153" s="8" t="s">
        <v>251</v>
      </c>
      <c r="D153" s="8" t="s">
        <v>26</v>
      </c>
      <c r="E153" s="8" t="s">
        <v>1014</v>
      </c>
      <c r="F153" s="8">
        <v>1.22992772E9</v>
      </c>
      <c r="G153" s="8" t="s">
        <v>284</v>
      </c>
      <c r="H153" s="8" t="s">
        <v>793</v>
      </c>
      <c r="I153" s="8" t="s">
        <v>31</v>
      </c>
      <c r="J153" s="8" t="s">
        <v>86</v>
      </c>
      <c r="K153" s="10" t="s">
        <v>590</v>
      </c>
      <c r="L153" s="8" t="s">
        <v>58</v>
      </c>
      <c r="M153" s="8" t="s">
        <v>35</v>
      </c>
      <c r="N153" s="11">
        <v>44773.0</v>
      </c>
      <c r="O153" s="11">
        <v>44774.0</v>
      </c>
      <c r="P153" s="11">
        <v>44829.0</v>
      </c>
      <c r="Q153" s="11"/>
      <c r="R153" s="11"/>
      <c r="S153" s="12"/>
      <c r="T153" s="8"/>
      <c r="U153" s="8" t="s">
        <v>59</v>
      </c>
      <c r="V153" s="13" t="s">
        <v>793</v>
      </c>
      <c r="W153" s="13" t="s">
        <v>1015</v>
      </c>
      <c r="X153" s="12"/>
      <c r="Y153" s="14"/>
      <c r="Z153" s="14"/>
    </row>
    <row r="154">
      <c r="A154" s="8" t="s">
        <v>1016</v>
      </c>
      <c r="B154" s="8" t="s">
        <v>1017</v>
      </c>
      <c r="C154" s="8" t="s">
        <v>64</v>
      </c>
      <c r="D154" s="8" t="s">
        <v>26</v>
      </c>
      <c r="E154" s="8" t="s">
        <v>1018</v>
      </c>
      <c r="F154" s="8">
        <v>2.9229756E7</v>
      </c>
      <c r="G154" s="8" t="s">
        <v>54</v>
      </c>
      <c r="H154" s="8" t="s">
        <v>135</v>
      </c>
      <c r="I154" s="8" t="s">
        <v>31</v>
      </c>
      <c r="J154" s="8" t="s">
        <v>111</v>
      </c>
      <c r="K154" s="10" t="s">
        <v>345</v>
      </c>
      <c r="L154" s="8" t="s">
        <v>58</v>
      </c>
      <c r="M154" s="8" t="s">
        <v>35</v>
      </c>
      <c r="N154" s="11">
        <v>44773.0</v>
      </c>
      <c r="O154" s="11">
        <v>44783.0</v>
      </c>
      <c r="P154" s="11">
        <v>44825.0</v>
      </c>
      <c r="Q154" s="11">
        <v>44773.0</v>
      </c>
      <c r="R154" s="11">
        <v>44814.0</v>
      </c>
      <c r="S154" s="12"/>
      <c r="T154" s="8"/>
      <c r="U154" s="8" t="s">
        <v>59</v>
      </c>
      <c r="V154" s="13" t="s">
        <v>138</v>
      </c>
      <c r="W154" s="13" t="s">
        <v>1019</v>
      </c>
      <c r="X154" s="12"/>
      <c r="Y154" s="14"/>
      <c r="Z154" s="14"/>
    </row>
    <row r="155">
      <c r="A155" s="8" t="s">
        <v>1020</v>
      </c>
      <c r="B155" s="8" t="s">
        <v>1021</v>
      </c>
      <c r="C155" s="8" t="s">
        <v>64</v>
      </c>
      <c r="D155" s="8" t="s">
        <v>26</v>
      </c>
      <c r="E155" s="8" t="s">
        <v>1022</v>
      </c>
      <c r="F155" s="8">
        <v>9.3905742E7</v>
      </c>
      <c r="G155" s="8" t="s">
        <v>54</v>
      </c>
      <c r="H155" s="8" t="s">
        <v>135</v>
      </c>
      <c r="I155" s="8" t="s">
        <v>31</v>
      </c>
      <c r="J155" s="8" t="s">
        <v>111</v>
      </c>
      <c r="K155" s="10" t="s">
        <v>345</v>
      </c>
      <c r="L155" s="8" t="s">
        <v>58</v>
      </c>
      <c r="M155" s="8" t="s">
        <v>35</v>
      </c>
      <c r="N155" s="11">
        <v>44773.0</v>
      </c>
      <c r="O155" s="11">
        <v>44783.0</v>
      </c>
      <c r="P155" s="11">
        <v>44825.0</v>
      </c>
      <c r="Q155" s="11">
        <v>44773.0</v>
      </c>
      <c r="R155" s="11">
        <v>44814.0</v>
      </c>
      <c r="S155" s="12"/>
      <c r="T155" s="8"/>
      <c r="U155" s="8" t="s">
        <v>59</v>
      </c>
      <c r="V155" s="13" t="s">
        <v>138</v>
      </c>
      <c r="W155" s="13" t="s">
        <v>1023</v>
      </c>
      <c r="X155" s="12"/>
      <c r="Y155" s="14"/>
      <c r="Z155" s="14"/>
    </row>
    <row r="156">
      <c r="A156" s="8" t="s">
        <v>1024</v>
      </c>
      <c r="B156" s="8" t="s">
        <v>1025</v>
      </c>
      <c r="C156" s="8" t="s">
        <v>25</v>
      </c>
      <c r="D156" s="8" t="s">
        <v>26</v>
      </c>
      <c r="E156" s="8" t="s">
        <v>1026</v>
      </c>
      <c r="F156" s="8">
        <v>1.11292322E9</v>
      </c>
      <c r="G156" s="8" t="s">
        <v>284</v>
      </c>
      <c r="H156" s="8" t="s">
        <v>793</v>
      </c>
      <c r="I156" s="8" t="s">
        <v>31</v>
      </c>
      <c r="J156" s="8" t="s">
        <v>32</v>
      </c>
      <c r="K156" s="10" t="s">
        <v>383</v>
      </c>
      <c r="L156" s="8" t="s">
        <v>58</v>
      </c>
      <c r="M156" s="8" t="s">
        <v>35</v>
      </c>
      <c r="N156" s="11">
        <v>44773.0</v>
      </c>
      <c r="O156" s="11">
        <v>44794.0</v>
      </c>
      <c r="P156" s="11">
        <v>44836.0</v>
      </c>
      <c r="Q156" s="11">
        <v>44800.0</v>
      </c>
      <c r="R156" s="11">
        <v>44842.0</v>
      </c>
      <c r="S156" s="12"/>
      <c r="T156" s="8"/>
      <c r="U156" s="8" t="s">
        <v>88</v>
      </c>
      <c r="V156" s="13" t="s">
        <v>793</v>
      </c>
      <c r="W156" s="13" t="s">
        <v>1027</v>
      </c>
      <c r="X156" s="12"/>
      <c r="Y156" s="14"/>
      <c r="Z156" s="14"/>
    </row>
    <row r="157">
      <c r="A157" s="8" t="s">
        <v>1028</v>
      </c>
      <c r="B157" s="8" t="s">
        <v>1029</v>
      </c>
      <c r="C157" s="8" t="s">
        <v>25</v>
      </c>
      <c r="D157" s="8" t="s">
        <v>26</v>
      </c>
      <c r="E157" s="8" t="s">
        <v>1030</v>
      </c>
      <c r="F157" s="8">
        <v>5.458697734E9</v>
      </c>
      <c r="G157" s="8" t="s">
        <v>31</v>
      </c>
      <c r="H157" s="8" t="s">
        <v>270</v>
      </c>
      <c r="I157" s="8" t="s">
        <v>284</v>
      </c>
      <c r="J157" s="8" t="s">
        <v>793</v>
      </c>
      <c r="K157" s="10" t="s">
        <v>1031</v>
      </c>
      <c r="L157" s="8" t="s">
        <v>58</v>
      </c>
      <c r="M157" s="8" t="s">
        <v>35</v>
      </c>
      <c r="N157" s="11">
        <v>44774.0</v>
      </c>
      <c r="O157" s="11">
        <v>44779.0</v>
      </c>
      <c r="P157" s="11">
        <v>44821.0</v>
      </c>
      <c r="Q157" s="11">
        <v>44787.0</v>
      </c>
      <c r="R157" s="11">
        <v>44794.0</v>
      </c>
      <c r="S157" s="12"/>
      <c r="T157" s="8"/>
      <c r="U157" s="8" t="s">
        <v>59</v>
      </c>
      <c r="V157" s="13" t="s">
        <v>1032</v>
      </c>
      <c r="W157" s="13" t="s">
        <v>1033</v>
      </c>
      <c r="X157" s="12"/>
      <c r="Y157" s="14"/>
      <c r="Z157" s="14"/>
    </row>
    <row r="158">
      <c r="A158" s="8" t="s">
        <v>1034</v>
      </c>
      <c r="B158" s="8" t="s">
        <v>1035</v>
      </c>
      <c r="C158" s="8" t="s">
        <v>25</v>
      </c>
      <c r="D158" s="8" t="s">
        <v>26</v>
      </c>
      <c r="E158" s="8" t="s">
        <v>1036</v>
      </c>
      <c r="F158" s="8">
        <v>5.316297165E9</v>
      </c>
      <c r="G158" s="8" t="s">
        <v>31</v>
      </c>
      <c r="H158" s="8" t="s">
        <v>66</v>
      </c>
      <c r="I158" s="8" t="s">
        <v>284</v>
      </c>
      <c r="J158" s="8" t="s">
        <v>854</v>
      </c>
      <c r="K158" s="10" t="s">
        <v>1037</v>
      </c>
      <c r="L158" s="8" t="s">
        <v>58</v>
      </c>
      <c r="M158" s="8" t="s">
        <v>35</v>
      </c>
      <c r="N158" s="11">
        <v>44774.0</v>
      </c>
      <c r="O158" s="11">
        <v>44835.0</v>
      </c>
      <c r="P158" s="11">
        <v>44881.0</v>
      </c>
      <c r="Q158" s="11">
        <v>44835.0</v>
      </c>
      <c r="R158" s="11">
        <v>44849.0</v>
      </c>
      <c r="S158" s="12"/>
      <c r="T158" s="8"/>
      <c r="U158" s="8" t="s">
        <v>1038</v>
      </c>
      <c r="V158" s="13" t="s">
        <v>66</v>
      </c>
      <c r="W158" s="13" t="s">
        <v>1039</v>
      </c>
      <c r="X158" s="12"/>
      <c r="Y158" s="14"/>
      <c r="Z158" s="14"/>
    </row>
    <row r="159">
      <c r="A159" s="8" t="s">
        <v>1040</v>
      </c>
      <c r="B159" s="8" t="s">
        <v>1041</v>
      </c>
      <c r="C159" s="8" t="s">
        <v>25</v>
      </c>
      <c r="D159" s="8" t="s">
        <v>26</v>
      </c>
      <c r="E159" s="8" t="s">
        <v>1042</v>
      </c>
      <c r="F159" s="8">
        <v>5.372510067E9</v>
      </c>
      <c r="G159" s="8" t="s">
        <v>31</v>
      </c>
      <c r="H159" s="8" t="s">
        <v>292</v>
      </c>
      <c r="I159" s="8" t="s">
        <v>44</v>
      </c>
      <c r="J159" s="8" t="s">
        <v>990</v>
      </c>
      <c r="K159" s="10" t="s">
        <v>1043</v>
      </c>
      <c r="L159" s="8" t="s">
        <v>34</v>
      </c>
      <c r="M159" s="8" t="s">
        <v>70</v>
      </c>
      <c r="N159" s="11">
        <v>44774.0</v>
      </c>
      <c r="O159" s="11">
        <v>44809.0</v>
      </c>
      <c r="P159" s="11">
        <v>45173.0</v>
      </c>
      <c r="Q159" s="11">
        <v>44824.0</v>
      </c>
      <c r="R159" s="11">
        <v>45187.0</v>
      </c>
      <c r="S159" s="12"/>
      <c r="T159" s="8" t="s">
        <v>205</v>
      </c>
      <c r="U159" s="8" t="s">
        <v>1044</v>
      </c>
      <c r="V159" s="13" t="s">
        <v>292</v>
      </c>
      <c r="W159" s="13" t="s">
        <v>1045</v>
      </c>
      <c r="X159" s="12"/>
      <c r="Y159" s="14"/>
      <c r="Z159" s="14"/>
    </row>
    <row r="160">
      <c r="A160" s="8" t="s">
        <v>1046</v>
      </c>
      <c r="B160" s="8" t="s">
        <v>1047</v>
      </c>
      <c r="C160" s="8" t="s">
        <v>25</v>
      </c>
      <c r="D160" s="8" t="s">
        <v>26</v>
      </c>
      <c r="E160" s="8" t="s">
        <v>1048</v>
      </c>
      <c r="F160" s="8">
        <v>5.398294192E9</v>
      </c>
      <c r="G160" s="8" t="s">
        <v>54</v>
      </c>
      <c r="H160" s="8" t="s">
        <v>430</v>
      </c>
      <c r="I160" s="8" t="s">
        <v>31</v>
      </c>
      <c r="J160" s="8" t="s">
        <v>77</v>
      </c>
      <c r="K160" s="10" t="s">
        <v>1049</v>
      </c>
      <c r="L160" s="8" t="s">
        <v>47</v>
      </c>
      <c r="M160" s="8" t="s">
        <v>70</v>
      </c>
      <c r="N160" s="11">
        <v>44774.0</v>
      </c>
      <c r="O160" s="11">
        <v>44811.0</v>
      </c>
      <c r="P160" s="11">
        <v>45107.0</v>
      </c>
      <c r="Q160" s="11">
        <v>44883.0</v>
      </c>
      <c r="R160" s="11">
        <v>45107.0</v>
      </c>
      <c r="S160" s="12"/>
      <c r="T160" s="8"/>
      <c r="U160" s="8" t="s">
        <v>1050</v>
      </c>
      <c r="V160" s="13" t="s">
        <v>1051</v>
      </c>
      <c r="W160" s="13" t="s">
        <v>1052</v>
      </c>
      <c r="X160" s="12"/>
      <c r="Y160" s="14"/>
      <c r="Z160" s="14"/>
    </row>
    <row r="161">
      <c r="A161" s="8" t="s">
        <v>1053</v>
      </c>
      <c r="B161" s="8" t="s">
        <v>1054</v>
      </c>
      <c r="C161" s="8" t="s">
        <v>64</v>
      </c>
      <c r="D161" s="8" t="s">
        <v>26</v>
      </c>
      <c r="E161" s="8" t="s">
        <v>1055</v>
      </c>
      <c r="F161" s="8">
        <v>5.0088139E7</v>
      </c>
      <c r="G161" s="8" t="s">
        <v>54</v>
      </c>
      <c r="H161" s="8" t="s">
        <v>244</v>
      </c>
      <c r="I161" s="8" t="s">
        <v>31</v>
      </c>
      <c r="J161" s="8" t="s">
        <v>438</v>
      </c>
      <c r="K161" s="10" t="s">
        <v>1056</v>
      </c>
      <c r="L161" s="8" t="s">
        <v>47</v>
      </c>
      <c r="M161" s="8" t="s">
        <v>70</v>
      </c>
      <c r="N161" s="11">
        <v>44774.0</v>
      </c>
      <c r="O161" s="11">
        <v>44769.0</v>
      </c>
      <c r="P161" s="11">
        <v>45108.0</v>
      </c>
      <c r="Q161" s="11">
        <v>44779.0</v>
      </c>
      <c r="R161" s="11">
        <v>45108.0</v>
      </c>
      <c r="S161" s="12"/>
      <c r="T161" s="8"/>
      <c r="U161" s="8" t="s">
        <v>246</v>
      </c>
      <c r="V161" s="13" t="s">
        <v>247</v>
      </c>
      <c r="W161" s="13" t="s">
        <v>1057</v>
      </c>
      <c r="X161" s="12"/>
      <c r="Y161" s="14"/>
      <c r="Z161" s="14"/>
    </row>
    <row r="162">
      <c r="A162" s="8" t="s">
        <v>1058</v>
      </c>
      <c r="B162" s="8" t="s">
        <v>1059</v>
      </c>
      <c r="C162" s="8" t="s">
        <v>25</v>
      </c>
      <c r="D162" s="8" t="s">
        <v>26</v>
      </c>
      <c r="E162" s="8" t="s">
        <v>1060</v>
      </c>
      <c r="F162" s="8">
        <v>6.49533757E8</v>
      </c>
      <c r="G162" s="8" t="s">
        <v>84</v>
      </c>
      <c r="H162" s="8" t="s">
        <v>85</v>
      </c>
      <c r="I162" s="8" t="s">
        <v>31</v>
      </c>
      <c r="J162" s="8" t="s">
        <v>292</v>
      </c>
      <c r="K162" s="10" t="s">
        <v>1061</v>
      </c>
      <c r="L162" s="8" t="s">
        <v>34</v>
      </c>
      <c r="M162" s="8" t="s">
        <v>70</v>
      </c>
      <c r="N162" s="11">
        <v>44775.0</v>
      </c>
      <c r="O162" s="11">
        <v>44830.0</v>
      </c>
      <c r="P162" s="11">
        <v>45195.0</v>
      </c>
      <c r="Q162" s="11">
        <v>44830.0</v>
      </c>
      <c r="R162" s="11">
        <v>45194.0</v>
      </c>
      <c r="S162" s="12"/>
      <c r="T162" s="8" t="s">
        <v>205</v>
      </c>
      <c r="U162" s="8" t="s">
        <v>1062</v>
      </c>
      <c r="V162" s="13" t="s">
        <v>1063</v>
      </c>
      <c r="W162" s="13" t="s">
        <v>1064</v>
      </c>
      <c r="X162" s="12"/>
      <c r="Y162" s="14"/>
      <c r="Z162" s="14"/>
    </row>
    <row r="163">
      <c r="A163" s="8" t="s">
        <v>1065</v>
      </c>
      <c r="B163" s="8" t="s">
        <v>1066</v>
      </c>
      <c r="C163" s="8" t="s">
        <v>179</v>
      </c>
      <c r="D163" s="8" t="s">
        <v>26</v>
      </c>
      <c r="E163" s="8" t="s">
        <v>1067</v>
      </c>
      <c r="F163" s="8">
        <v>5.33859324E9</v>
      </c>
      <c r="G163" s="8" t="s">
        <v>31</v>
      </c>
      <c r="H163" s="8" t="s">
        <v>959</v>
      </c>
      <c r="I163" s="8" t="s">
        <v>44</v>
      </c>
      <c r="J163" s="8" t="s">
        <v>453</v>
      </c>
      <c r="K163" s="10" t="s">
        <v>1068</v>
      </c>
      <c r="L163" s="8" t="s">
        <v>58</v>
      </c>
      <c r="M163" s="8" t="s">
        <v>35</v>
      </c>
      <c r="N163" s="11">
        <v>44775.0</v>
      </c>
      <c r="O163" s="11">
        <v>44958.0</v>
      </c>
      <c r="P163" s="11">
        <v>45000.0</v>
      </c>
      <c r="Q163" s="11"/>
      <c r="R163" s="11"/>
      <c r="S163" s="12"/>
      <c r="T163" s="8"/>
      <c r="U163" s="8" t="s">
        <v>371</v>
      </c>
      <c r="V163" s="13" t="s">
        <v>1069</v>
      </c>
      <c r="W163" s="13" t="s">
        <v>1070</v>
      </c>
      <c r="X163" s="12"/>
      <c r="Y163" s="14"/>
      <c r="Z163" s="14"/>
    </row>
    <row r="164">
      <c r="A164" s="8" t="s">
        <v>1071</v>
      </c>
      <c r="B164" s="8" t="s">
        <v>1072</v>
      </c>
      <c r="C164" s="8" t="s">
        <v>64</v>
      </c>
      <c r="D164" s="8" t="s">
        <v>26</v>
      </c>
      <c r="E164" s="8" t="s">
        <v>1073</v>
      </c>
      <c r="F164" s="8">
        <v>7.7777461E8</v>
      </c>
      <c r="G164" s="8" t="s">
        <v>1074</v>
      </c>
      <c r="H164" s="8" t="s">
        <v>1075</v>
      </c>
      <c r="I164" s="8" t="s">
        <v>31</v>
      </c>
      <c r="J164" s="8" t="s">
        <v>167</v>
      </c>
      <c r="K164" s="10" t="s">
        <v>893</v>
      </c>
      <c r="L164" s="8" t="s">
        <v>58</v>
      </c>
      <c r="M164" s="8" t="s">
        <v>35</v>
      </c>
      <c r="N164" s="11">
        <v>44775.0</v>
      </c>
      <c r="O164" s="11">
        <v>44781.0</v>
      </c>
      <c r="P164" s="11">
        <v>44823.0</v>
      </c>
      <c r="Q164" s="11">
        <v>44782.0</v>
      </c>
      <c r="R164" s="11">
        <v>44816.0</v>
      </c>
      <c r="S164" s="12"/>
      <c r="T164" s="8"/>
      <c r="U164" s="8" t="s">
        <v>88</v>
      </c>
      <c r="V164" s="13" t="s">
        <v>38</v>
      </c>
      <c r="W164" s="13" t="s">
        <v>1076</v>
      </c>
      <c r="X164" s="12"/>
      <c r="Y164" s="14"/>
      <c r="Z164" s="14"/>
    </row>
    <row r="165">
      <c r="A165" s="8" t="s">
        <v>1077</v>
      </c>
      <c r="B165" s="8" t="s">
        <v>1078</v>
      </c>
      <c r="C165" s="8" t="s">
        <v>25</v>
      </c>
      <c r="D165" s="8" t="s">
        <v>26</v>
      </c>
      <c r="E165" s="8" t="s">
        <v>1079</v>
      </c>
      <c r="F165" s="8">
        <v>1.498801756E10</v>
      </c>
      <c r="G165" s="8" t="s">
        <v>109</v>
      </c>
      <c r="H165" s="8" t="s">
        <v>954</v>
      </c>
      <c r="I165" s="8" t="s">
        <v>31</v>
      </c>
      <c r="J165" s="8" t="s">
        <v>32</v>
      </c>
      <c r="K165" s="10" t="s">
        <v>855</v>
      </c>
      <c r="L165" s="8" t="s">
        <v>58</v>
      </c>
      <c r="M165" s="8" t="s">
        <v>35</v>
      </c>
      <c r="N165" s="11">
        <v>44775.0</v>
      </c>
      <c r="O165" s="11">
        <v>45025.0</v>
      </c>
      <c r="P165" s="11">
        <v>45067.0</v>
      </c>
      <c r="Q165" s="11">
        <v>45026.0</v>
      </c>
      <c r="R165" s="11">
        <v>45067.0</v>
      </c>
      <c r="S165" s="12"/>
      <c r="T165" s="8"/>
      <c r="U165" s="8" t="s">
        <v>59</v>
      </c>
      <c r="V165" s="13" t="s">
        <v>1080</v>
      </c>
      <c r="W165" s="13" t="s">
        <v>1081</v>
      </c>
      <c r="X165" s="12"/>
      <c r="Y165" s="14"/>
      <c r="Z165" s="14"/>
    </row>
    <row r="166">
      <c r="A166" s="8" t="s">
        <v>1082</v>
      </c>
      <c r="B166" s="8" t="s">
        <v>1083</v>
      </c>
      <c r="C166" s="8" t="s">
        <v>64</v>
      </c>
      <c r="D166" s="8" t="s">
        <v>26</v>
      </c>
      <c r="E166" s="8" t="s">
        <v>1084</v>
      </c>
      <c r="F166" s="8">
        <v>5.075258108E9</v>
      </c>
      <c r="G166" s="8" t="s">
        <v>31</v>
      </c>
      <c r="H166" s="8" t="s">
        <v>438</v>
      </c>
      <c r="I166" s="8" t="s">
        <v>67</v>
      </c>
      <c r="J166" s="8" t="s">
        <v>781</v>
      </c>
      <c r="K166" s="10" t="s">
        <v>782</v>
      </c>
      <c r="L166" s="8" t="s">
        <v>47</v>
      </c>
      <c r="M166" s="8" t="s">
        <v>70</v>
      </c>
      <c r="N166" s="11">
        <v>44775.0</v>
      </c>
      <c r="O166" s="11">
        <v>44781.0</v>
      </c>
      <c r="P166" s="11">
        <v>45146.0</v>
      </c>
      <c r="Q166" s="11">
        <v>44819.0</v>
      </c>
      <c r="R166" s="11">
        <v>45245.0</v>
      </c>
      <c r="S166" s="12"/>
      <c r="T166" s="8"/>
      <c r="U166" s="8" t="s">
        <v>783</v>
      </c>
      <c r="V166" s="13" t="s">
        <v>438</v>
      </c>
      <c r="W166" s="13" t="s">
        <v>1085</v>
      </c>
      <c r="X166" s="12"/>
      <c r="Y166" s="14"/>
      <c r="Z166" s="14"/>
    </row>
    <row r="167">
      <c r="A167" s="8" t="s">
        <v>1086</v>
      </c>
      <c r="B167" s="8" t="s">
        <v>1087</v>
      </c>
      <c r="C167" s="8" t="s">
        <v>25</v>
      </c>
      <c r="D167" s="8" t="s">
        <v>26</v>
      </c>
      <c r="E167" s="8" t="s">
        <v>1088</v>
      </c>
      <c r="F167" s="8">
        <v>2.2501009E7</v>
      </c>
      <c r="G167" s="8" t="s">
        <v>54</v>
      </c>
      <c r="H167" s="8" t="s">
        <v>76</v>
      </c>
      <c r="I167" s="8" t="s">
        <v>31</v>
      </c>
      <c r="J167" s="8" t="s">
        <v>111</v>
      </c>
      <c r="K167" s="10" t="s">
        <v>572</v>
      </c>
      <c r="L167" s="8" t="s">
        <v>58</v>
      </c>
      <c r="M167" s="8" t="s">
        <v>35</v>
      </c>
      <c r="N167" s="11">
        <v>44776.0</v>
      </c>
      <c r="O167" s="11">
        <v>44788.0</v>
      </c>
      <c r="P167" s="11">
        <v>44830.0</v>
      </c>
      <c r="Q167" s="11">
        <v>44781.0</v>
      </c>
      <c r="R167" s="11">
        <v>44816.0</v>
      </c>
      <c r="S167" s="12"/>
      <c r="T167" s="8"/>
      <c r="U167" s="8" t="s">
        <v>130</v>
      </c>
      <c r="V167" s="13" t="s">
        <v>1089</v>
      </c>
      <c r="W167" s="13" t="s">
        <v>1090</v>
      </c>
      <c r="X167" s="12"/>
      <c r="Y167" s="14"/>
      <c r="Z167" s="14"/>
    </row>
    <row r="168">
      <c r="A168" s="8" t="s">
        <v>1091</v>
      </c>
      <c r="B168" s="8" t="s">
        <v>1092</v>
      </c>
      <c r="C168" s="8" t="s">
        <v>251</v>
      </c>
      <c r="D168" s="8" t="s">
        <v>26</v>
      </c>
      <c r="E168" s="8" t="s">
        <v>1093</v>
      </c>
      <c r="F168" s="8">
        <v>1.5232007084E10</v>
      </c>
      <c r="G168" s="8" t="s">
        <v>202</v>
      </c>
      <c r="H168" s="8" t="s">
        <v>1094</v>
      </c>
      <c r="I168" s="8" t="s">
        <v>31</v>
      </c>
      <c r="J168" s="8" t="s">
        <v>32</v>
      </c>
      <c r="K168" s="10" t="s">
        <v>1095</v>
      </c>
      <c r="L168" s="8" t="s">
        <v>58</v>
      </c>
      <c r="M168" s="8" t="s">
        <v>35</v>
      </c>
      <c r="N168" s="11">
        <v>44776.0</v>
      </c>
      <c r="O168" s="11">
        <v>44857.0</v>
      </c>
      <c r="P168" s="11">
        <v>44899.0</v>
      </c>
      <c r="Q168" s="11"/>
      <c r="R168" s="11"/>
      <c r="S168" s="12"/>
      <c r="T168" s="8"/>
      <c r="U168" s="8" t="s">
        <v>59</v>
      </c>
      <c r="V168" s="13" t="s">
        <v>1096</v>
      </c>
      <c r="W168" s="13" t="s">
        <v>1097</v>
      </c>
      <c r="X168" s="12"/>
      <c r="Y168" s="14"/>
      <c r="Z168" s="14"/>
    </row>
    <row r="169">
      <c r="A169" s="8" t="s">
        <v>1098</v>
      </c>
      <c r="B169" s="8" t="s">
        <v>1099</v>
      </c>
      <c r="C169" s="8" t="s">
        <v>251</v>
      </c>
      <c r="D169" s="8" t="s">
        <v>26</v>
      </c>
      <c r="E169" s="8" t="s">
        <v>1100</v>
      </c>
      <c r="F169" s="8">
        <v>9.0557251E7</v>
      </c>
      <c r="G169" s="8" t="s">
        <v>54</v>
      </c>
      <c r="H169" s="8" t="s">
        <v>244</v>
      </c>
      <c r="I169" s="8" t="s">
        <v>31</v>
      </c>
      <c r="J169" s="8" t="s">
        <v>77</v>
      </c>
      <c r="K169" s="10" t="s">
        <v>1101</v>
      </c>
      <c r="L169" s="8" t="s">
        <v>47</v>
      </c>
      <c r="M169" s="8" t="s">
        <v>70</v>
      </c>
      <c r="N169" s="11">
        <v>44777.0</v>
      </c>
      <c r="O169" s="11">
        <v>44805.0</v>
      </c>
      <c r="P169" s="11">
        <v>45170.0</v>
      </c>
      <c r="Q169" s="11"/>
      <c r="R169" s="11"/>
      <c r="S169" s="12"/>
      <c r="T169" s="8"/>
      <c r="U169" s="8" t="s">
        <v>1102</v>
      </c>
      <c r="V169" s="13" t="s">
        <v>247</v>
      </c>
      <c r="W169" s="13" t="s">
        <v>1103</v>
      </c>
      <c r="X169" s="12"/>
      <c r="Y169" s="14"/>
      <c r="Z169" s="14"/>
    </row>
    <row r="170">
      <c r="A170" s="8" t="s">
        <v>1104</v>
      </c>
      <c r="B170" s="8" t="s">
        <v>1105</v>
      </c>
      <c r="C170" s="8" t="s">
        <v>64</v>
      </c>
      <c r="D170" s="8" t="s">
        <v>26</v>
      </c>
      <c r="E170" s="8" t="s">
        <v>1106</v>
      </c>
      <c r="F170" s="8"/>
      <c r="G170" s="8" t="s">
        <v>31</v>
      </c>
      <c r="H170" s="8" t="s">
        <v>32</v>
      </c>
      <c r="I170" s="8" t="s">
        <v>29</v>
      </c>
      <c r="J170" s="8" t="s">
        <v>1107</v>
      </c>
      <c r="K170" s="10" t="s">
        <v>1108</v>
      </c>
      <c r="L170" s="8" t="s">
        <v>58</v>
      </c>
      <c r="M170" s="8" t="s">
        <v>35</v>
      </c>
      <c r="N170" s="11">
        <v>44777.0</v>
      </c>
      <c r="O170" s="11">
        <v>44802.0</v>
      </c>
      <c r="P170" s="11">
        <v>44844.0</v>
      </c>
      <c r="Q170" s="11">
        <v>44802.0</v>
      </c>
      <c r="R170" s="11">
        <v>44844.0</v>
      </c>
      <c r="S170" s="12"/>
      <c r="T170" s="8"/>
      <c r="U170" s="8" t="s">
        <v>185</v>
      </c>
      <c r="V170" s="13" t="s">
        <v>38</v>
      </c>
      <c r="W170" s="13" t="s">
        <v>1109</v>
      </c>
      <c r="X170" s="12"/>
      <c r="Y170" s="14"/>
      <c r="Z170" s="14"/>
    </row>
    <row r="171">
      <c r="A171" s="8" t="s">
        <v>1110</v>
      </c>
      <c r="B171" s="8" t="s">
        <v>1111</v>
      </c>
      <c r="C171" s="8" t="s">
        <v>251</v>
      </c>
      <c r="D171" s="8" t="s">
        <v>26</v>
      </c>
      <c r="E171" s="8" t="s">
        <v>1112</v>
      </c>
      <c r="F171" s="8">
        <v>4.375528997E9</v>
      </c>
      <c r="G171" s="8" t="s">
        <v>315</v>
      </c>
      <c r="H171" s="8" t="s">
        <v>316</v>
      </c>
      <c r="I171" s="8" t="s">
        <v>31</v>
      </c>
      <c r="J171" s="8" t="s">
        <v>102</v>
      </c>
      <c r="K171" s="10" t="s">
        <v>1113</v>
      </c>
      <c r="L171" s="8" t="s">
        <v>58</v>
      </c>
      <c r="M171" s="8" t="s">
        <v>35</v>
      </c>
      <c r="N171" s="11">
        <v>44777.0</v>
      </c>
      <c r="O171" s="11">
        <v>44837.0</v>
      </c>
      <c r="P171" s="11">
        <v>44879.0</v>
      </c>
      <c r="Q171" s="11"/>
      <c r="R171" s="11"/>
      <c r="S171" s="12"/>
      <c r="T171" s="8"/>
      <c r="U171" s="8" t="s">
        <v>59</v>
      </c>
      <c r="V171" s="13" t="s">
        <v>38</v>
      </c>
      <c r="W171" s="13" t="s">
        <v>1114</v>
      </c>
      <c r="X171" s="12"/>
      <c r="Y171" s="14"/>
      <c r="Z171" s="14"/>
    </row>
    <row r="172">
      <c r="A172" s="8" t="s">
        <v>1115</v>
      </c>
      <c r="B172" s="8" t="s">
        <v>1116</v>
      </c>
      <c r="C172" s="8" t="s">
        <v>64</v>
      </c>
      <c r="D172" s="8" t="s">
        <v>26</v>
      </c>
      <c r="E172" s="8" t="s">
        <v>1117</v>
      </c>
      <c r="F172" s="8">
        <v>7.7104112E8</v>
      </c>
      <c r="G172" s="8" t="s">
        <v>307</v>
      </c>
      <c r="H172" s="8" t="s">
        <v>1118</v>
      </c>
      <c r="I172" s="8" t="s">
        <v>31</v>
      </c>
      <c r="J172" s="8" t="s">
        <v>1119</v>
      </c>
      <c r="K172" s="10" t="s">
        <v>1120</v>
      </c>
      <c r="L172" s="8" t="s">
        <v>47</v>
      </c>
      <c r="M172" s="8" t="s">
        <v>70</v>
      </c>
      <c r="N172" s="11">
        <v>44777.0</v>
      </c>
      <c r="O172" s="11">
        <v>44805.0</v>
      </c>
      <c r="P172" s="11">
        <v>45092.0</v>
      </c>
      <c r="Q172" s="11">
        <v>44804.0</v>
      </c>
      <c r="R172" s="11">
        <v>45104.0</v>
      </c>
      <c r="S172" s="12"/>
      <c r="T172" s="8"/>
      <c r="U172" s="8" t="s">
        <v>1121</v>
      </c>
      <c r="V172" s="13" t="s">
        <v>1122</v>
      </c>
      <c r="W172" s="13" t="s">
        <v>1123</v>
      </c>
      <c r="X172" s="12"/>
      <c r="Y172" s="14"/>
      <c r="Z172" s="14"/>
    </row>
    <row r="173">
      <c r="A173" s="8" t="s">
        <v>1124</v>
      </c>
      <c r="B173" s="8" t="s">
        <v>1125</v>
      </c>
      <c r="C173" s="8" t="s">
        <v>25</v>
      </c>
      <c r="D173" s="8" t="s">
        <v>26</v>
      </c>
      <c r="E173" s="8" t="s">
        <v>1126</v>
      </c>
      <c r="F173" s="8">
        <v>6.21724939E8</v>
      </c>
      <c r="G173" s="8" t="s">
        <v>84</v>
      </c>
      <c r="H173" s="8" t="s">
        <v>1127</v>
      </c>
      <c r="I173" s="8" t="s">
        <v>31</v>
      </c>
      <c r="J173" s="8" t="s">
        <v>66</v>
      </c>
      <c r="K173" s="10" t="s">
        <v>1128</v>
      </c>
      <c r="L173" s="8" t="s">
        <v>47</v>
      </c>
      <c r="M173" s="8" t="s">
        <v>70</v>
      </c>
      <c r="N173" s="11">
        <v>44778.0</v>
      </c>
      <c r="O173" s="11">
        <v>44837.0</v>
      </c>
      <c r="P173" s="11">
        <v>45198.0</v>
      </c>
      <c r="Q173" s="11">
        <v>44864.0</v>
      </c>
      <c r="R173" s="11">
        <v>45199.0</v>
      </c>
      <c r="S173" s="12"/>
      <c r="T173" s="8"/>
      <c r="U173" s="8" t="s">
        <v>1129</v>
      </c>
      <c r="V173" s="13" t="s">
        <v>1130</v>
      </c>
      <c r="W173" s="13" t="s">
        <v>1131</v>
      </c>
      <c r="X173" s="12"/>
      <c r="Y173" s="14"/>
      <c r="Z173" s="14"/>
    </row>
    <row r="174">
      <c r="A174" s="8" t="s">
        <v>1132</v>
      </c>
      <c r="B174" s="8" t="s">
        <v>1133</v>
      </c>
      <c r="C174" s="8" t="s">
        <v>25</v>
      </c>
      <c r="D174" s="8" t="s">
        <v>26</v>
      </c>
      <c r="E174" s="8" t="s">
        <v>1134</v>
      </c>
      <c r="F174" s="8"/>
      <c r="G174" s="8" t="s">
        <v>31</v>
      </c>
      <c r="H174" s="8" t="s">
        <v>542</v>
      </c>
      <c r="I174" s="8" t="s">
        <v>284</v>
      </c>
      <c r="J174" s="8" t="s">
        <v>854</v>
      </c>
      <c r="K174" s="10" t="s">
        <v>1037</v>
      </c>
      <c r="L174" s="8" t="s">
        <v>58</v>
      </c>
      <c r="M174" s="8" t="s">
        <v>35</v>
      </c>
      <c r="N174" s="11">
        <v>44778.0</v>
      </c>
      <c r="O174" s="11">
        <v>44835.0</v>
      </c>
      <c r="P174" s="11">
        <v>44881.0</v>
      </c>
      <c r="Q174" s="11">
        <v>44841.0</v>
      </c>
      <c r="R174" s="11">
        <v>44883.0</v>
      </c>
      <c r="S174" s="12"/>
      <c r="T174" s="8"/>
      <c r="U174" s="8" t="s">
        <v>1038</v>
      </c>
      <c r="V174" s="13" t="s">
        <v>38</v>
      </c>
      <c r="W174" s="13" t="s">
        <v>1135</v>
      </c>
      <c r="X174" s="12"/>
      <c r="Y174" s="14"/>
      <c r="Z174" s="14"/>
    </row>
    <row r="175">
      <c r="A175" s="8" t="s">
        <v>1136</v>
      </c>
      <c r="B175" s="8" t="s">
        <v>1137</v>
      </c>
      <c r="C175" s="8" t="s">
        <v>251</v>
      </c>
      <c r="D175" s="8" t="s">
        <v>26</v>
      </c>
      <c r="E175" s="8" t="s">
        <v>1138</v>
      </c>
      <c r="F175" s="8">
        <v>2.3596617E7</v>
      </c>
      <c r="G175" s="8" t="s">
        <v>54</v>
      </c>
      <c r="H175" s="8" t="s">
        <v>237</v>
      </c>
      <c r="I175" s="8" t="s">
        <v>31</v>
      </c>
      <c r="J175" s="8" t="s">
        <v>438</v>
      </c>
      <c r="K175" s="10" t="s">
        <v>1139</v>
      </c>
      <c r="L175" s="8" t="s">
        <v>34</v>
      </c>
      <c r="M175" s="8" t="s">
        <v>70</v>
      </c>
      <c r="N175" s="11">
        <v>44779.0</v>
      </c>
      <c r="O175" s="11">
        <v>44813.0</v>
      </c>
      <c r="P175" s="11">
        <v>45178.0</v>
      </c>
      <c r="Q175" s="11"/>
      <c r="R175" s="11"/>
      <c r="S175" s="12"/>
      <c r="T175" s="8" t="s">
        <v>224</v>
      </c>
      <c r="U175" s="8" t="s">
        <v>1140</v>
      </c>
      <c r="V175" s="13" t="s">
        <v>239</v>
      </c>
      <c r="W175" s="13" t="s">
        <v>1141</v>
      </c>
      <c r="X175" s="12"/>
      <c r="Y175" s="14"/>
      <c r="Z175" s="14"/>
    </row>
    <row r="176">
      <c r="A176" s="8" t="s">
        <v>1142</v>
      </c>
      <c r="B176" s="8" t="s">
        <v>1143</v>
      </c>
      <c r="C176" s="8" t="s">
        <v>251</v>
      </c>
      <c r="D176" s="8" t="s">
        <v>26</v>
      </c>
      <c r="E176" s="8" t="s">
        <v>1144</v>
      </c>
      <c r="F176" s="8">
        <v>5.078495671E9</v>
      </c>
      <c r="G176" s="8" t="s">
        <v>84</v>
      </c>
      <c r="H176" s="8" t="s">
        <v>646</v>
      </c>
      <c r="I176" s="8" t="s">
        <v>31</v>
      </c>
      <c r="J176" s="8" t="s">
        <v>256</v>
      </c>
      <c r="K176" s="10" t="s">
        <v>1145</v>
      </c>
      <c r="L176" s="8" t="s">
        <v>47</v>
      </c>
      <c r="M176" s="8" t="s">
        <v>70</v>
      </c>
      <c r="N176" s="11">
        <v>44779.0</v>
      </c>
      <c r="O176" s="11">
        <v>44805.0</v>
      </c>
      <c r="P176" s="11">
        <v>45170.0</v>
      </c>
      <c r="Q176" s="11"/>
      <c r="R176" s="11"/>
      <c r="S176" s="12"/>
      <c r="T176" s="8"/>
      <c r="U176" s="8" t="s">
        <v>246</v>
      </c>
      <c r="V176" s="13" t="s">
        <v>1146</v>
      </c>
      <c r="W176" s="13" t="s">
        <v>1147</v>
      </c>
      <c r="X176" s="12"/>
      <c r="Y176" s="14"/>
      <c r="Z176" s="14"/>
    </row>
    <row r="177">
      <c r="A177" s="8" t="s">
        <v>1148</v>
      </c>
      <c r="B177" s="8" t="s">
        <v>1149</v>
      </c>
      <c r="C177" s="8" t="s">
        <v>64</v>
      </c>
      <c r="D177" s="8" t="s">
        <v>26</v>
      </c>
      <c r="E177" s="8" t="s">
        <v>1150</v>
      </c>
      <c r="F177" s="8">
        <v>5.57354496E8</v>
      </c>
      <c r="G177" s="8" t="s">
        <v>254</v>
      </c>
      <c r="H177" s="8" t="s">
        <v>291</v>
      </c>
      <c r="I177" s="8" t="s">
        <v>31</v>
      </c>
      <c r="J177" s="8" t="s">
        <v>292</v>
      </c>
      <c r="K177" s="10" t="s">
        <v>1151</v>
      </c>
      <c r="L177" s="8" t="s">
        <v>47</v>
      </c>
      <c r="M177" s="8" t="s">
        <v>70</v>
      </c>
      <c r="N177" s="11">
        <v>44779.0</v>
      </c>
      <c r="O177" s="11">
        <v>44823.0</v>
      </c>
      <c r="P177" s="11">
        <v>45188.0</v>
      </c>
      <c r="Q177" s="11">
        <v>44872.0</v>
      </c>
      <c r="R177" s="11">
        <v>45237.0</v>
      </c>
      <c r="S177" s="12"/>
      <c r="T177" s="8"/>
      <c r="U177" s="8" t="s">
        <v>246</v>
      </c>
      <c r="V177" s="13" t="s">
        <v>38</v>
      </c>
      <c r="W177" s="13" t="s">
        <v>1152</v>
      </c>
      <c r="X177" s="12"/>
      <c r="Y177" s="14"/>
      <c r="Z177" s="14"/>
    </row>
    <row r="178">
      <c r="A178" s="8" t="s">
        <v>1153</v>
      </c>
      <c r="B178" s="8" t="s">
        <v>1154</v>
      </c>
      <c r="C178" s="8" t="s">
        <v>25</v>
      </c>
      <c r="D178" s="8" t="s">
        <v>26</v>
      </c>
      <c r="E178" s="8" t="s">
        <v>1155</v>
      </c>
      <c r="F178" s="8">
        <v>7.62363981E8</v>
      </c>
      <c r="G178" s="8" t="s">
        <v>84</v>
      </c>
      <c r="H178" s="8" t="s">
        <v>1156</v>
      </c>
      <c r="I178" s="8" t="s">
        <v>31</v>
      </c>
      <c r="J178" s="8" t="s">
        <v>167</v>
      </c>
      <c r="K178" s="10" t="s">
        <v>893</v>
      </c>
      <c r="L178" s="8" t="s">
        <v>58</v>
      </c>
      <c r="M178" s="8" t="s">
        <v>35</v>
      </c>
      <c r="N178" s="11">
        <v>44779.0</v>
      </c>
      <c r="O178" s="11">
        <v>44781.0</v>
      </c>
      <c r="P178" s="11">
        <v>44823.0</v>
      </c>
      <c r="Q178" s="11">
        <v>44785.0</v>
      </c>
      <c r="R178" s="11">
        <v>44823.0</v>
      </c>
      <c r="S178" s="12"/>
      <c r="T178" s="8"/>
      <c r="U178" s="8" t="s">
        <v>88</v>
      </c>
      <c r="V178" s="13" t="s">
        <v>1157</v>
      </c>
      <c r="W178" s="13" t="s">
        <v>1158</v>
      </c>
      <c r="X178" s="12"/>
      <c r="Y178" s="14"/>
      <c r="Z178" s="14"/>
    </row>
    <row r="179">
      <c r="A179" s="8" t="s">
        <v>1159</v>
      </c>
      <c r="B179" s="8" t="s">
        <v>1160</v>
      </c>
      <c r="C179" s="8" t="s">
        <v>179</v>
      </c>
      <c r="D179" s="8" t="s">
        <v>26</v>
      </c>
      <c r="E179" s="8" t="s">
        <v>1161</v>
      </c>
      <c r="F179" s="8">
        <v>5.052667525E9</v>
      </c>
      <c r="G179" s="8" t="s">
        <v>31</v>
      </c>
      <c r="H179" s="8" t="s">
        <v>220</v>
      </c>
      <c r="I179" s="8" t="s">
        <v>118</v>
      </c>
      <c r="J179" s="8" t="s">
        <v>1162</v>
      </c>
      <c r="K179" s="10" t="s">
        <v>1163</v>
      </c>
      <c r="L179" s="8" t="s">
        <v>58</v>
      </c>
      <c r="M179" s="8" t="s">
        <v>35</v>
      </c>
      <c r="N179" s="11">
        <v>44779.0</v>
      </c>
      <c r="O179" s="11">
        <v>44935.0</v>
      </c>
      <c r="P179" s="11">
        <v>44977.0</v>
      </c>
      <c r="Q179" s="11"/>
      <c r="R179" s="11"/>
      <c r="S179" s="12"/>
      <c r="T179" s="8"/>
      <c r="U179" s="8" t="s">
        <v>185</v>
      </c>
      <c r="V179" s="13" t="s">
        <v>220</v>
      </c>
      <c r="W179" s="13" t="s">
        <v>1164</v>
      </c>
      <c r="X179" s="12"/>
      <c r="Y179" s="14"/>
      <c r="Z179" s="14"/>
    </row>
    <row r="180">
      <c r="A180" s="8" t="s">
        <v>1165</v>
      </c>
      <c r="B180" s="8" t="s">
        <v>1166</v>
      </c>
      <c r="C180" s="8" t="s">
        <v>25</v>
      </c>
      <c r="D180" s="8" t="s">
        <v>26</v>
      </c>
      <c r="E180" s="8" t="s">
        <v>1167</v>
      </c>
      <c r="F180" s="8">
        <v>7.08367917E9</v>
      </c>
      <c r="G180" s="8" t="s">
        <v>496</v>
      </c>
      <c r="H180" s="8" t="s">
        <v>497</v>
      </c>
      <c r="I180" s="8" t="s">
        <v>31</v>
      </c>
      <c r="J180" s="8" t="s">
        <v>167</v>
      </c>
      <c r="K180" s="10" t="s">
        <v>893</v>
      </c>
      <c r="L180" s="8" t="s">
        <v>58</v>
      </c>
      <c r="M180" s="8" t="s">
        <v>35</v>
      </c>
      <c r="N180" s="11">
        <v>44779.0</v>
      </c>
      <c r="O180" s="11">
        <v>44781.0</v>
      </c>
      <c r="P180" s="11">
        <v>44823.0</v>
      </c>
      <c r="Q180" s="11">
        <v>44782.0</v>
      </c>
      <c r="R180" s="11">
        <v>44816.0</v>
      </c>
      <c r="S180" s="12"/>
      <c r="T180" s="8"/>
      <c r="U180" s="8" t="s">
        <v>88</v>
      </c>
      <c r="V180" s="13" t="s">
        <v>500</v>
      </c>
      <c r="W180" s="13" t="s">
        <v>1168</v>
      </c>
      <c r="X180" s="12"/>
      <c r="Y180" s="14"/>
      <c r="Z180" s="14"/>
    </row>
    <row r="181">
      <c r="A181" s="8" t="s">
        <v>1169</v>
      </c>
      <c r="B181" s="8" t="s">
        <v>1170</v>
      </c>
      <c r="C181" s="8" t="s">
        <v>251</v>
      </c>
      <c r="D181" s="8" t="s">
        <v>26</v>
      </c>
      <c r="E181" s="8" t="s">
        <v>1171</v>
      </c>
      <c r="F181" s="8">
        <v>9.4935259E7</v>
      </c>
      <c r="G181" s="8" t="s">
        <v>54</v>
      </c>
      <c r="H181" s="8" t="s">
        <v>430</v>
      </c>
      <c r="I181" s="8" t="s">
        <v>31</v>
      </c>
      <c r="J181" s="8" t="s">
        <v>167</v>
      </c>
      <c r="K181" s="10" t="s">
        <v>1172</v>
      </c>
      <c r="L181" s="8" t="s">
        <v>34</v>
      </c>
      <c r="M181" s="8" t="s">
        <v>70</v>
      </c>
      <c r="N181" s="11">
        <v>44780.0</v>
      </c>
      <c r="O181" s="11">
        <v>44788.0</v>
      </c>
      <c r="P181" s="11">
        <v>45153.0</v>
      </c>
      <c r="Q181" s="11"/>
      <c r="R181" s="11"/>
      <c r="S181" s="12"/>
      <c r="T181" s="8" t="s">
        <v>205</v>
      </c>
      <c r="U181" s="8" t="s">
        <v>1173</v>
      </c>
      <c r="V181" s="13" t="s">
        <v>1174</v>
      </c>
      <c r="W181" s="13" t="s">
        <v>1175</v>
      </c>
      <c r="X181" s="12"/>
      <c r="Y181" s="14"/>
      <c r="Z181" s="14"/>
    </row>
    <row r="182">
      <c r="A182" s="8" t="s">
        <v>1176</v>
      </c>
      <c r="B182" s="8" t="s">
        <v>1177</v>
      </c>
      <c r="C182" s="8" t="s">
        <v>25</v>
      </c>
      <c r="D182" s="8" t="s">
        <v>26</v>
      </c>
      <c r="E182" s="8" t="s">
        <v>1178</v>
      </c>
      <c r="F182" s="8">
        <v>6.56485319E8</v>
      </c>
      <c r="G182" s="8" t="s">
        <v>254</v>
      </c>
      <c r="H182" s="8" t="s">
        <v>255</v>
      </c>
      <c r="I182" s="8" t="s">
        <v>31</v>
      </c>
      <c r="J182" s="8" t="s">
        <v>77</v>
      </c>
      <c r="K182" s="10" t="s">
        <v>1179</v>
      </c>
      <c r="L182" s="8" t="s">
        <v>47</v>
      </c>
      <c r="M182" s="8" t="s">
        <v>70</v>
      </c>
      <c r="N182" s="11">
        <v>44780.0</v>
      </c>
      <c r="O182" s="11">
        <v>44816.0</v>
      </c>
      <c r="P182" s="11">
        <v>45181.0</v>
      </c>
      <c r="Q182" s="11">
        <v>44820.0</v>
      </c>
      <c r="R182" s="11">
        <v>45185.0</v>
      </c>
      <c r="S182" s="12"/>
      <c r="T182" s="8"/>
      <c r="U182" s="8" t="s">
        <v>1180</v>
      </c>
      <c r="V182" s="13" t="s">
        <v>38</v>
      </c>
      <c r="W182" s="13" t="s">
        <v>1181</v>
      </c>
      <c r="X182" s="12"/>
      <c r="Y182" s="14"/>
      <c r="Z182" s="14"/>
    </row>
    <row r="183">
      <c r="A183" s="8" t="s">
        <v>1182</v>
      </c>
      <c r="B183" s="8" t="s">
        <v>1183</v>
      </c>
      <c r="C183" s="8" t="s">
        <v>25</v>
      </c>
      <c r="D183" s="8" t="s">
        <v>26</v>
      </c>
      <c r="E183" s="8" t="s">
        <v>1184</v>
      </c>
      <c r="F183" s="8">
        <v>9.791077279E9</v>
      </c>
      <c r="G183" s="8" t="s">
        <v>44</v>
      </c>
      <c r="H183" s="8" t="s">
        <v>1185</v>
      </c>
      <c r="I183" s="8" t="s">
        <v>31</v>
      </c>
      <c r="J183" s="8" t="s">
        <v>77</v>
      </c>
      <c r="K183" s="10" t="s">
        <v>1186</v>
      </c>
      <c r="L183" s="8" t="s">
        <v>34</v>
      </c>
      <c r="M183" s="8" t="s">
        <v>70</v>
      </c>
      <c r="N183" s="11">
        <v>44781.0</v>
      </c>
      <c r="O183" s="11">
        <v>44795.0</v>
      </c>
      <c r="P183" s="11">
        <v>45160.0</v>
      </c>
      <c r="Q183" s="11">
        <v>44858.0</v>
      </c>
      <c r="R183" s="11">
        <v>45202.0</v>
      </c>
      <c r="S183" s="12"/>
      <c r="T183" s="8" t="s">
        <v>1187</v>
      </c>
      <c r="U183" s="8" t="s">
        <v>1188</v>
      </c>
      <c r="V183" s="13" t="s">
        <v>1189</v>
      </c>
      <c r="W183" s="13" t="s">
        <v>1190</v>
      </c>
      <c r="X183" s="12"/>
      <c r="Y183" s="14"/>
      <c r="Z183" s="14"/>
    </row>
    <row r="184">
      <c r="A184" s="8" t="s">
        <v>1191</v>
      </c>
      <c r="B184" s="8" t="s">
        <v>1192</v>
      </c>
      <c r="C184" s="8" t="s">
        <v>251</v>
      </c>
      <c r="D184" s="8" t="s">
        <v>26</v>
      </c>
      <c r="E184" s="8" t="s">
        <v>1193</v>
      </c>
      <c r="F184" s="8">
        <v>6.98888917E8</v>
      </c>
      <c r="G184" s="8" t="s">
        <v>254</v>
      </c>
      <c r="H184" s="8" t="s">
        <v>758</v>
      </c>
      <c r="I184" s="8" t="s">
        <v>31</v>
      </c>
      <c r="J184" s="8" t="s">
        <v>32</v>
      </c>
      <c r="K184" s="10" t="s">
        <v>933</v>
      </c>
      <c r="L184" s="8" t="s">
        <v>47</v>
      </c>
      <c r="M184" s="8" t="s">
        <v>70</v>
      </c>
      <c r="N184" s="11">
        <v>44781.0</v>
      </c>
      <c r="O184" s="11">
        <v>44805.0</v>
      </c>
      <c r="P184" s="11">
        <v>45170.0</v>
      </c>
      <c r="Q184" s="11"/>
      <c r="R184" s="11"/>
      <c r="S184" s="12"/>
      <c r="T184" s="8"/>
      <c r="U184" s="8" t="s">
        <v>934</v>
      </c>
      <c r="V184" s="13" t="s">
        <v>1194</v>
      </c>
      <c r="W184" s="13" t="s">
        <v>1195</v>
      </c>
      <c r="X184" s="12"/>
      <c r="Y184" s="14"/>
      <c r="Z184" s="14"/>
    </row>
    <row r="185">
      <c r="A185" s="8" t="s">
        <v>1196</v>
      </c>
      <c r="B185" s="8" t="s">
        <v>1197</v>
      </c>
      <c r="C185" s="8" t="s">
        <v>64</v>
      </c>
      <c r="D185" s="8" t="s">
        <v>26</v>
      </c>
      <c r="E185" s="8" t="s">
        <v>1198</v>
      </c>
      <c r="F185" s="8"/>
      <c r="G185" s="8" t="s">
        <v>31</v>
      </c>
      <c r="H185" s="8" t="s">
        <v>292</v>
      </c>
      <c r="I185" s="8" t="s">
        <v>399</v>
      </c>
      <c r="J185" s="8" t="s">
        <v>415</v>
      </c>
      <c r="K185" s="10" t="s">
        <v>1199</v>
      </c>
      <c r="L185" s="8" t="s">
        <v>58</v>
      </c>
      <c r="M185" s="8" t="s">
        <v>35</v>
      </c>
      <c r="N185" s="11">
        <v>44782.0</v>
      </c>
      <c r="O185" s="11">
        <v>44800.0</v>
      </c>
      <c r="P185" s="11">
        <v>44842.0</v>
      </c>
      <c r="Q185" s="11">
        <v>44801.0</v>
      </c>
      <c r="R185" s="11">
        <v>44841.0</v>
      </c>
      <c r="S185" s="12"/>
      <c r="T185" s="8"/>
      <c r="U185" s="8" t="s">
        <v>1038</v>
      </c>
      <c r="V185" s="13" t="s">
        <v>38</v>
      </c>
      <c r="W185" s="13" t="s">
        <v>1200</v>
      </c>
      <c r="X185" s="12"/>
      <c r="Y185" s="14"/>
      <c r="Z185" s="14"/>
    </row>
    <row r="186">
      <c r="A186" s="8" t="s">
        <v>1201</v>
      </c>
      <c r="B186" s="8" t="s">
        <v>1202</v>
      </c>
      <c r="C186" s="8" t="s">
        <v>25</v>
      </c>
      <c r="D186" s="8" t="s">
        <v>26</v>
      </c>
      <c r="E186" s="8" t="s">
        <v>1203</v>
      </c>
      <c r="F186" s="8"/>
      <c r="G186" s="8" t="s">
        <v>277</v>
      </c>
      <c r="H186" s="8" t="s">
        <v>278</v>
      </c>
      <c r="I186" s="8" t="s">
        <v>31</v>
      </c>
      <c r="J186" s="8" t="s">
        <v>32</v>
      </c>
      <c r="K186" s="10" t="s">
        <v>1204</v>
      </c>
      <c r="L186" s="8" t="s">
        <v>47</v>
      </c>
      <c r="M186" s="8" t="s">
        <v>70</v>
      </c>
      <c r="N186" s="11">
        <v>44782.0</v>
      </c>
      <c r="O186" s="11">
        <v>44816.0</v>
      </c>
      <c r="P186" s="11">
        <v>45093.0</v>
      </c>
      <c r="Q186" s="11">
        <v>44816.0</v>
      </c>
      <c r="R186" s="11">
        <v>45175.0</v>
      </c>
      <c r="S186" s="12"/>
      <c r="T186" s="8"/>
      <c r="U186" s="8" t="s">
        <v>1205</v>
      </c>
      <c r="V186" s="13" t="s">
        <v>38</v>
      </c>
      <c r="W186" s="13" t="s">
        <v>1206</v>
      </c>
      <c r="X186" s="12"/>
      <c r="Y186" s="14"/>
      <c r="Z186" s="14"/>
    </row>
    <row r="187">
      <c r="A187" s="8" t="s">
        <v>1207</v>
      </c>
      <c r="B187" s="8" t="s">
        <v>1208</v>
      </c>
      <c r="C187" s="8" t="s">
        <v>64</v>
      </c>
      <c r="D187" s="8" t="s">
        <v>26</v>
      </c>
      <c r="E187" s="8" t="s">
        <v>1209</v>
      </c>
      <c r="F187" s="8">
        <v>9.27851956E8</v>
      </c>
      <c r="G187" s="8" t="s">
        <v>660</v>
      </c>
      <c r="H187" s="8" t="s">
        <v>1210</v>
      </c>
      <c r="I187" s="8" t="s">
        <v>31</v>
      </c>
      <c r="J187" s="8" t="s">
        <v>32</v>
      </c>
      <c r="K187" s="10" t="s">
        <v>301</v>
      </c>
      <c r="L187" s="8" t="s">
        <v>47</v>
      </c>
      <c r="M187" s="8" t="s">
        <v>70</v>
      </c>
      <c r="N187" s="11">
        <v>44782.0</v>
      </c>
      <c r="O187" s="11">
        <v>44791.0</v>
      </c>
      <c r="P187" s="11">
        <v>45156.0</v>
      </c>
      <c r="Q187" s="11">
        <v>44841.0</v>
      </c>
      <c r="R187" s="11">
        <v>45206.0</v>
      </c>
      <c r="S187" s="12"/>
      <c r="T187" s="8"/>
      <c r="U187" s="8" t="s">
        <v>302</v>
      </c>
      <c r="V187" s="13" t="s">
        <v>1211</v>
      </c>
      <c r="W187" s="13" t="s">
        <v>1212</v>
      </c>
      <c r="X187" s="12"/>
      <c r="Y187" s="14"/>
      <c r="Z187" s="14"/>
    </row>
    <row r="188">
      <c r="A188" s="8" t="s">
        <v>1213</v>
      </c>
      <c r="B188" s="8" t="s">
        <v>1214</v>
      </c>
      <c r="C188" s="8" t="s">
        <v>25</v>
      </c>
      <c r="D188" s="8" t="s">
        <v>26</v>
      </c>
      <c r="E188" s="8" t="s">
        <v>1215</v>
      </c>
      <c r="F188" s="8">
        <v>6.92454661E8</v>
      </c>
      <c r="G188" s="8" t="s">
        <v>1216</v>
      </c>
      <c r="H188" s="8" t="s">
        <v>1217</v>
      </c>
      <c r="I188" s="8" t="s">
        <v>31</v>
      </c>
      <c r="J188" s="8" t="s">
        <v>111</v>
      </c>
      <c r="K188" s="10" t="s">
        <v>1218</v>
      </c>
      <c r="L188" s="8" t="s">
        <v>47</v>
      </c>
      <c r="M188" s="8" t="s">
        <v>70</v>
      </c>
      <c r="N188" s="11">
        <v>44783.0</v>
      </c>
      <c r="O188" s="11">
        <v>44809.0</v>
      </c>
      <c r="P188" s="11">
        <v>45174.0</v>
      </c>
      <c r="Q188" s="11">
        <v>44799.0</v>
      </c>
      <c r="R188" s="11">
        <v>45164.0</v>
      </c>
      <c r="S188" s="12"/>
      <c r="T188" s="8"/>
      <c r="U188" s="8" t="s">
        <v>246</v>
      </c>
      <c r="V188" s="13" t="s">
        <v>1219</v>
      </c>
      <c r="W188" s="13" t="s">
        <v>1220</v>
      </c>
      <c r="X188" s="12"/>
      <c r="Y188" s="14"/>
      <c r="Z188" s="14"/>
    </row>
    <row r="189">
      <c r="A189" s="8" t="s">
        <v>1221</v>
      </c>
      <c r="B189" s="8" t="s">
        <v>1222</v>
      </c>
      <c r="C189" s="8" t="s">
        <v>25</v>
      </c>
      <c r="D189" s="8" t="s">
        <v>26</v>
      </c>
      <c r="E189" s="8" t="s">
        <v>1223</v>
      </c>
      <c r="F189" s="8">
        <v>3.149129007E9</v>
      </c>
      <c r="G189" s="8" t="s">
        <v>315</v>
      </c>
      <c r="H189" s="8" t="s">
        <v>316</v>
      </c>
      <c r="I189" s="8" t="s">
        <v>31</v>
      </c>
      <c r="J189" s="8" t="s">
        <v>167</v>
      </c>
      <c r="K189" s="10" t="s">
        <v>620</v>
      </c>
      <c r="L189" s="8" t="s">
        <v>58</v>
      </c>
      <c r="M189" s="8" t="s">
        <v>35</v>
      </c>
      <c r="N189" s="11">
        <v>44783.0</v>
      </c>
      <c r="O189" s="11">
        <v>44816.0</v>
      </c>
      <c r="P189" s="11">
        <v>44858.0</v>
      </c>
      <c r="Q189" s="11">
        <v>44815.0</v>
      </c>
      <c r="R189" s="11">
        <v>44858.0</v>
      </c>
      <c r="S189" s="12"/>
      <c r="T189" s="8"/>
      <c r="U189" s="8" t="s">
        <v>88</v>
      </c>
      <c r="V189" s="13" t="s">
        <v>38</v>
      </c>
      <c r="W189" s="13" t="s">
        <v>1224</v>
      </c>
      <c r="X189" s="12"/>
      <c r="Y189" s="14"/>
      <c r="Z189" s="14"/>
    </row>
    <row r="190">
      <c r="A190" s="8" t="s">
        <v>1225</v>
      </c>
      <c r="B190" s="8" t="s">
        <v>1226</v>
      </c>
      <c r="C190" s="8" t="s">
        <v>64</v>
      </c>
      <c r="D190" s="8" t="s">
        <v>26</v>
      </c>
      <c r="E190" s="8" t="s">
        <v>1227</v>
      </c>
      <c r="F190" s="8">
        <v>5.2928269E7</v>
      </c>
      <c r="G190" s="8" t="s">
        <v>54</v>
      </c>
      <c r="H190" s="8" t="s">
        <v>430</v>
      </c>
      <c r="I190" s="8" t="s">
        <v>31</v>
      </c>
      <c r="J190" s="8" t="s">
        <v>542</v>
      </c>
      <c r="K190" s="10" t="s">
        <v>1228</v>
      </c>
      <c r="L190" s="8" t="s">
        <v>58</v>
      </c>
      <c r="M190" s="8" t="s">
        <v>35</v>
      </c>
      <c r="N190" s="11">
        <v>44783.0</v>
      </c>
      <c r="O190" s="11">
        <v>44809.0</v>
      </c>
      <c r="P190" s="11">
        <v>44851.0</v>
      </c>
      <c r="Q190" s="11">
        <v>44868.0</v>
      </c>
      <c r="R190" s="11">
        <v>44910.0</v>
      </c>
      <c r="S190" s="12"/>
      <c r="T190" s="8"/>
      <c r="U190" s="8" t="s">
        <v>59</v>
      </c>
      <c r="V190" s="13" t="s">
        <v>1229</v>
      </c>
      <c r="W190" s="13" t="s">
        <v>1230</v>
      </c>
      <c r="X190" s="12"/>
      <c r="Y190" s="14"/>
      <c r="Z190" s="14"/>
    </row>
    <row r="191">
      <c r="A191" s="8" t="s">
        <v>1231</v>
      </c>
      <c r="B191" s="8" t="s">
        <v>1232</v>
      </c>
      <c r="C191" s="8" t="s">
        <v>25</v>
      </c>
      <c r="D191" s="8" t="s">
        <v>26</v>
      </c>
      <c r="E191" s="8" t="s">
        <v>1233</v>
      </c>
      <c r="F191" s="8">
        <v>6.20319978E8</v>
      </c>
      <c r="G191" s="8" t="s">
        <v>84</v>
      </c>
      <c r="H191" s="8" t="s">
        <v>1234</v>
      </c>
      <c r="I191" s="8" t="s">
        <v>31</v>
      </c>
      <c r="J191" s="8" t="s">
        <v>77</v>
      </c>
      <c r="K191" s="10" t="s">
        <v>1235</v>
      </c>
      <c r="L191" s="8" t="s">
        <v>47</v>
      </c>
      <c r="M191" s="8" t="s">
        <v>70</v>
      </c>
      <c r="N191" s="11">
        <v>44783.0</v>
      </c>
      <c r="O191" s="11">
        <v>44783.0</v>
      </c>
      <c r="P191" s="11">
        <v>44983.0</v>
      </c>
      <c r="Q191" s="11">
        <v>44786.0</v>
      </c>
      <c r="R191" s="11">
        <v>44984.0</v>
      </c>
      <c r="S191" s="12"/>
      <c r="T191" s="8"/>
      <c r="U191" s="8" t="s">
        <v>1236</v>
      </c>
      <c r="V191" s="13" t="s">
        <v>1237</v>
      </c>
      <c r="W191" s="13" t="s">
        <v>1238</v>
      </c>
      <c r="X191" s="12"/>
      <c r="Y191" s="14"/>
      <c r="Z191" s="14"/>
    </row>
    <row r="192">
      <c r="A192" s="8" t="s">
        <v>1239</v>
      </c>
      <c r="B192" s="8" t="s">
        <v>1240</v>
      </c>
      <c r="C192" s="8" t="s">
        <v>25</v>
      </c>
      <c r="D192" s="8" t="s">
        <v>26</v>
      </c>
      <c r="E192" s="8" t="s">
        <v>1241</v>
      </c>
      <c r="F192" s="8">
        <v>3.204567622E9</v>
      </c>
      <c r="G192" s="8" t="s">
        <v>315</v>
      </c>
      <c r="H192" s="8" t="s">
        <v>1242</v>
      </c>
      <c r="I192" s="8" t="s">
        <v>31</v>
      </c>
      <c r="J192" s="8" t="s">
        <v>86</v>
      </c>
      <c r="K192" s="10" t="s">
        <v>416</v>
      </c>
      <c r="L192" s="8" t="s">
        <v>58</v>
      </c>
      <c r="M192" s="8" t="s">
        <v>35</v>
      </c>
      <c r="N192" s="11">
        <v>44783.0</v>
      </c>
      <c r="O192" s="11">
        <v>44836.0</v>
      </c>
      <c r="P192" s="11">
        <v>44878.0</v>
      </c>
      <c r="Q192" s="11">
        <v>44837.0</v>
      </c>
      <c r="R192" s="11">
        <v>44876.0</v>
      </c>
      <c r="S192" s="12"/>
      <c r="T192" s="8"/>
      <c r="U192" s="8" t="s">
        <v>59</v>
      </c>
      <c r="V192" s="13" t="s">
        <v>1243</v>
      </c>
      <c r="W192" s="13" t="s">
        <v>1244</v>
      </c>
      <c r="X192" s="12"/>
      <c r="Y192" s="14"/>
      <c r="Z192" s="14"/>
    </row>
    <row r="193">
      <c r="A193" s="8" t="s">
        <v>1245</v>
      </c>
      <c r="B193" s="8" t="s">
        <v>1246</v>
      </c>
      <c r="C193" s="8" t="s">
        <v>25</v>
      </c>
      <c r="D193" s="8" t="s">
        <v>26</v>
      </c>
      <c r="E193" s="8" t="s">
        <v>1247</v>
      </c>
      <c r="F193" s="8">
        <v>6.98013235E8</v>
      </c>
      <c r="G193" s="8" t="s">
        <v>254</v>
      </c>
      <c r="H193" s="8" t="s">
        <v>1007</v>
      </c>
      <c r="I193" s="8" t="s">
        <v>31</v>
      </c>
      <c r="J193" s="8" t="s">
        <v>32</v>
      </c>
      <c r="K193" s="10" t="s">
        <v>1248</v>
      </c>
      <c r="L193" s="8" t="s">
        <v>47</v>
      </c>
      <c r="M193" s="8" t="s">
        <v>70</v>
      </c>
      <c r="N193" s="11">
        <v>44783.0</v>
      </c>
      <c r="O193" s="11">
        <v>44819.0</v>
      </c>
      <c r="P193" s="11">
        <v>45092.0</v>
      </c>
      <c r="Q193" s="11"/>
      <c r="R193" s="11">
        <v>45092.0</v>
      </c>
      <c r="S193" s="12"/>
      <c r="T193" s="8"/>
      <c r="U193" s="8" t="s">
        <v>1205</v>
      </c>
      <c r="V193" s="13" t="s">
        <v>1249</v>
      </c>
      <c r="W193" s="13" t="s">
        <v>1250</v>
      </c>
      <c r="X193" s="12"/>
      <c r="Y193" s="14"/>
      <c r="Z193" s="14"/>
    </row>
    <row r="194">
      <c r="A194" s="8" t="s">
        <v>1251</v>
      </c>
      <c r="B194" s="8" t="s">
        <v>1252</v>
      </c>
      <c r="C194" s="8" t="s">
        <v>25</v>
      </c>
      <c r="D194" s="8" t="s">
        <v>26</v>
      </c>
      <c r="E194" s="8" t="s">
        <v>1253</v>
      </c>
      <c r="F194" s="8">
        <v>6.2192011E8</v>
      </c>
      <c r="G194" s="8" t="s">
        <v>221</v>
      </c>
      <c r="H194" s="8" t="s">
        <v>1254</v>
      </c>
      <c r="I194" s="8" t="s">
        <v>31</v>
      </c>
      <c r="J194" s="8" t="s">
        <v>167</v>
      </c>
      <c r="K194" s="10" t="s">
        <v>620</v>
      </c>
      <c r="L194" s="8" t="s">
        <v>58</v>
      </c>
      <c r="M194" s="8" t="s">
        <v>35</v>
      </c>
      <c r="N194" s="11">
        <v>44783.0</v>
      </c>
      <c r="O194" s="11">
        <v>44816.0</v>
      </c>
      <c r="P194" s="11">
        <v>44858.0</v>
      </c>
      <c r="Q194" s="11">
        <v>44815.0</v>
      </c>
      <c r="R194" s="11">
        <v>44858.0</v>
      </c>
      <c r="S194" s="12"/>
      <c r="T194" s="8"/>
      <c r="U194" s="8" t="s">
        <v>88</v>
      </c>
      <c r="V194" s="13" t="s">
        <v>1255</v>
      </c>
      <c r="W194" s="13" t="s">
        <v>1256</v>
      </c>
      <c r="X194" s="12"/>
      <c r="Y194" s="14"/>
      <c r="Z194" s="14"/>
    </row>
    <row r="195">
      <c r="A195" s="8" t="s">
        <v>1257</v>
      </c>
      <c r="B195" s="8" t="s">
        <v>1258</v>
      </c>
      <c r="C195" s="8" t="s">
        <v>64</v>
      </c>
      <c r="D195" s="8" t="s">
        <v>26</v>
      </c>
      <c r="E195" s="8" t="s">
        <v>1259</v>
      </c>
      <c r="F195" s="8">
        <v>3.15535433E9</v>
      </c>
      <c r="G195" s="8" t="s">
        <v>315</v>
      </c>
      <c r="H195" s="8" t="s">
        <v>316</v>
      </c>
      <c r="I195" s="8" t="s">
        <v>31</v>
      </c>
      <c r="J195" s="8" t="s">
        <v>292</v>
      </c>
      <c r="K195" s="10" t="s">
        <v>1260</v>
      </c>
      <c r="L195" s="8" t="s">
        <v>47</v>
      </c>
      <c r="M195" s="8" t="s">
        <v>70</v>
      </c>
      <c r="N195" s="11">
        <v>44784.0</v>
      </c>
      <c r="O195" s="11">
        <v>44837.0</v>
      </c>
      <c r="P195" s="11">
        <v>45202.0</v>
      </c>
      <c r="Q195" s="11">
        <v>44821.0</v>
      </c>
      <c r="R195" s="11">
        <v>45200.0</v>
      </c>
      <c r="S195" s="12"/>
      <c r="T195" s="8"/>
      <c r="U195" s="8" t="s">
        <v>1261</v>
      </c>
      <c r="V195" s="13" t="s">
        <v>38</v>
      </c>
      <c r="W195" s="13" t="s">
        <v>1262</v>
      </c>
      <c r="X195" s="12"/>
      <c r="Y195" s="14"/>
      <c r="Z195" s="14"/>
    </row>
    <row r="196">
      <c r="A196" s="8" t="s">
        <v>1263</v>
      </c>
      <c r="B196" s="8" t="s">
        <v>1264</v>
      </c>
      <c r="C196" s="8" t="s">
        <v>251</v>
      </c>
      <c r="D196" s="8" t="s">
        <v>26</v>
      </c>
      <c r="E196" s="8" t="s">
        <v>1265</v>
      </c>
      <c r="F196" s="8">
        <v>6.10526383E8</v>
      </c>
      <c r="G196" s="8" t="s">
        <v>84</v>
      </c>
      <c r="H196" s="8" t="s">
        <v>1266</v>
      </c>
      <c r="I196" s="8" t="s">
        <v>31</v>
      </c>
      <c r="J196" s="8" t="s">
        <v>43</v>
      </c>
      <c r="K196" s="10" t="s">
        <v>1267</v>
      </c>
      <c r="L196" s="8" t="s">
        <v>47</v>
      </c>
      <c r="M196" s="8" t="s">
        <v>70</v>
      </c>
      <c r="N196" s="11">
        <v>44784.0</v>
      </c>
      <c r="O196" s="11">
        <v>44819.0</v>
      </c>
      <c r="P196" s="11">
        <v>45139.0</v>
      </c>
      <c r="Q196" s="11"/>
      <c r="R196" s="11"/>
      <c r="S196" s="12"/>
      <c r="T196" s="8"/>
      <c r="U196" s="8" t="s">
        <v>1268</v>
      </c>
      <c r="V196" s="13" t="s">
        <v>1269</v>
      </c>
      <c r="W196" s="13" t="s">
        <v>1270</v>
      </c>
      <c r="X196" s="12"/>
      <c r="Y196" s="14"/>
      <c r="Z196" s="14"/>
    </row>
    <row r="197">
      <c r="A197" s="8" t="s">
        <v>1271</v>
      </c>
      <c r="B197" s="8" t="s">
        <v>1272</v>
      </c>
      <c r="C197" s="8" t="s">
        <v>64</v>
      </c>
      <c r="D197" s="8" t="s">
        <v>26</v>
      </c>
      <c r="E197" s="8" t="s">
        <v>1273</v>
      </c>
      <c r="F197" s="8"/>
      <c r="G197" s="8" t="s">
        <v>254</v>
      </c>
      <c r="H197" s="8" t="s">
        <v>758</v>
      </c>
      <c r="I197" s="8" t="s">
        <v>31</v>
      </c>
      <c r="J197" s="8" t="s">
        <v>1274</v>
      </c>
      <c r="K197" s="10" t="s">
        <v>1275</v>
      </c>
      <c r="L197" s="8" t="s">
        <v>34</v>
      </c>
      <c r="M197" s="8" t="s">
        <v>70</v>
      </c>
      <c r="N197" s="11">
        <v>44784.0</v>
      </c>
      <c r="O197" s="11">
        <v>44802.0</v>
      </c>
      <c r="P197" s="11">
        <v>44991.0</v>
      </c>
      <c r="Q197" s="11">
        <v>44864.0</v>
      </c>
      <c r="R197" s="11">
        <v>45046.0</v>
      </c>
      <c r="S197" s="12"/>
      <c r="T197" s="8" t="s">
        <v>36</v>
      </c>
      <c r="U197" s="8" t="s">
        <v>37</v>
      </c>
      <c r="V197" s="13" t="s">
        <v>38</v>
      </c>
      <c r="W197" s="13" t="s">
        <v>1276</v>
      </c>
      <c r="X197" s="12"/>
      <c r="Y197" s="14"/>
      <c r="Z197" s="14"/>
    </row>
    <row r="198">
      <c r="A198" s="8" t="s">
        <v>1277</v>
      </c>
      <c r="B198" s="8" t="s">
        <v>1278</v>
      </c>
      <c r="C198" s="8" t="s">
        <v>25</v>
      </c>
      <c r="D198" s="8" t="s">
        <v>26</v>
      </c>
      <c r="E198" s="8" t="s">
        <v>1279</v>
      </c>
      <c r="F198" s="8" t="s">
        <v>253</v>
      </c>
      <c r="G198" s="8" t="s">
        <v>84</v>
      </c>
      <c r="H198" s="8" t="s">
        <v>1280</v>
      </c>
      <c r="I198" s="8" t="s">
        <v>31</v>
      </c>
      <c r="J198" s="8" t="s">
        <v>77</v>
      </c>
      <c r="K198" s="10" t="s">
        <v>1281</v>
      </c>
      <c r="L198" s="8" t="s">
        <v>58</v>
      </c>
      <c r="M198" s="8" t="s">
        <v>35</v>
      </c>
      <c r="N198" s="11">
        <v>44785.0</v>
      </c>
      <c r="O198" s="11">
        <v>44823.0</v>
      </c>
      <c r="P198" s="11">
        <v>44865.0</v>
      </c>
      <c r="Q198" s="11">
        <v>44825.0</v>
      </c>
      <c r="R198" s="11">
        <v>44863.0</v>
      </c>
      <c r="S198" s="12"/>
      <c r="T198" s="8"/>
      <c r="U198" s="8" t="s">
        <v>59</v>
      </c>
      <c r="V198" s="13" t="s">
        <v>1282</v>
      </c>
      <c r="W198" s="13" t="s">
        <v>1283</v>
      </c>
      <c r="X198" s="12"/>
      <c r="Y198" s="14"/>
      <c r="Z198" s="14"/>
    </row>
    <row r="199">
      <c r="A199" s="8" t="s">
        <v>1284</v>
      </c>
      <c r="B199" s="8" t="s">
        <v>1285</v>
      </c>
      <c r="C199" s="8" t="s">
        <v>25</v>
      </c>
      <c r="D199" s="8" t="s">
        <v>26</v>
      </c>
      <c r="E199" s="8" t="s">
        <v>1286</v>
      </c>
      <c r="F199" s="8">
        <v>1.060458133E9</v>
      </c>
      <c r="G199" s="8" t="s">
        <v>284</v>
      </c>
      <c r="H199" s="8" t="s">
        <v>1287</v>
      </c>
      <c r="I199" s="8" t="s">
        <v>31</v>
      </c>
      <c r="J199" s="8" t="s">
        <v>292</v>
      </c>
      <c r="K199" s="10" t="s">
        <v>1288</v>
      </c>
      <c r="L199" s="8" t="s">
        <v>58</v>
      </c>
      <c r="M199" s="8" t="s">
        <v>35</v>
      </c>
      <c r="N199" s="11">
        <v>44785.0</v>
      </c>
      <c r="O199" s="11">
        <v>44797.0</v>
      </c>
      <c r="P199" s="11">
        <v>44839.0</v>
      </c>
      <c r="Q199" s="11">
        <v>44790.0</v>
      </c>
      <c r="R199" s="11">
        <v>44830.0</v>
      </c>
      <c r="S199" s="12"/>
      <c r="T199" s="8"/>
      <c r="U199" s="8" t="s">
        <v>88</v>
      </c>
      <c r="V199" s="13" t="s">
        <v>1289</v>
      </c>
      <c r="W199" s="13" t="s">
        <v>1290</v>
      </c>
      <c r="X199" s="12"/>
      <c r="Y199" s="14"/>
      <c r="Z199" s="14"/>
    </row>
    <row r="200">
      <c r="A200" s="8" t="s">
        <v>1291</v>
      </c>
      <c r="B200" s="8" t="s">
        <v>1292</v>
      </c>
      <c r="C200" s="8" t="s">
        <v>25</v>
      </c>
      <c r="D200" s="8" t="s">
        <v>26</v>
      </c>
      <c r="E200" s="8" t="s">
        <v>1293</v>
      </c>
      <c r="F200" s="8">
        <v>1.021213334E9</v>
      </c>
      <c r="G200" s="8" t="s">
        <v>284</v>
      </c>
      <c r="H200" s="8" t="s">
        <v>793</v>
      </c>
      <c r="I200" s="8" t="s">
        <v>31</v>
      </c>
      <c r="J200" s="8" t="s">
        <v>256</v>
      </c>
      <c r="K200" s="10" t="s">
        <v>1294</v>
      </c>
      <c r="L200" s="8" t="s">
        <v>47</v>
      </c>
      <c r="M200" s="8" t="s">
        <v>35</v>
      </c>
      <c r="N200" s="11">
        <v>44785.0</v>
      </c>
      <c r="O200" s="11">
        <v>44789.0</v>
      </c>
      <c r="P200" s="11">
        <v>44872.0</v>
      </c>
      <c r="Q200" s="11">
        <v>44788.0</v>
      </c>
      <c r="R200" s="11">
        <v>44842.0</v>
      </c>
      <c r="S200" s="12"/>
      <c r="T200" s="8"/>
      <c r="U200" s="8" t="s">
        <v>1295</v>
      </c>
      <c r="V200" s="13" t="s">
        <v>793</v>
      </c>
      <c r="W200" s="13" t="s">
        <v>1296</v>
      </c>
      <c r="X200" s="12"/>
      <c r="Y200" s="14"/>
      <c r="Z200" s="14"/>
    </row>
    <row r="201">
      <c r="A201" s="8" t="s">
        <v>1297</v>
      </c>
      <c r="B201" s="8" t="s">
        <v>1298</v>
      </c>
      <c r="C201" s="8" t="s">
        <v>251</v>
      </c>
      <c r="D201" s="8" t="s">
        <v>26</v>
      </c>
      <c r="E201" s="8" t="s">
        <v>1299</v>
      </c>
      <c r="F201" s="8">
        <v>6.50397213E8</v>
      </c>
      <c r="G201" s="8" t="s">
        <v>84</v>
      </c>
      <c r="H201" s="8" t="s">
        <v>1127</v>
      </c>
      <c r="I201" s="8" t="s">
        <v>31</v>
      </c>
      <c r="J201" s="8" t="s">
        <v>256</v>
      </c>
      <c r="K201" s="10" t="s">
        <v>1300</v>
      </c>
      <c r="L201" s="8" t="s">
        <v>34</v>
      </c>
      <c r="M201" s="8" t="s">
        <v>70</v>
      </c>
      <c r="N201" s="11">
        <v>44785.0</v>
      </c>
      <c r="O201" s="11">
        <v>44866.0</v>
      </c>
      <c r="P201" s="11">
        <v>45231.0</v>
      </c>
      <c r="Q201" s="11"/>
      <c r="R201" s="11"/>
      <c r="S201" s="12"/>
      <c r="T201" s="8" t="s">
        <v>205</v>
      </c>
      <c r="U201" s="8" t="s">
        <v>1301</v>
      </c>
      <c r="V201" s="13" t="s">
        <v>1302</v>
      </c>
      <c r="W201" s="13" t="s">
        <v>1303</v>
      </c>
      <c r="X201" s="12"/>
      <c r="Y201" s="14"/>
      <c r="Z201" s="14"/>
    </row>
    <row r="202">
      <c r="A202" s="8" t="s">
        <v>1304</v>
      </c>
      <c r="B202" s="8" t="s">
        <v>1305</v>
      </c>
      <c r="C202" s="8" t="s">
        <v>64</v>
      </c>
      <c r="D202" s="8" t="s">
        <v>26</v>
      </c>
      <c r="E202" s="8" t="s">
        <v>1306</v>
      </c>
      <c r="F202" s="8"/>
      <c r="G202" s="8" t="s">
        <v>835</v>
      </c>
      <c r="H202" s="8" t="s">
        <v>1307</v>
      </c>
      <c r="I202" s="8" t="s">
        <v>31</v>
      </c>
      <c r="J202" s="8" t="s">
        <v>167</v>
      </c>
      <c r="K202" s="10" t="s">
        <v>1308</v>
      </c>
      <c r="L202" s="8" t="s">
        <v>34</v>
      </c>
      <c r="M202" s="8" t="s">
        <v>48</v>
      </c>
      <c r="N202" s="11">
        <v>44785.0</v>
      </c>
      <c r="O202" s="11">
        <v>44795.0</v>
      </c>
      <c r="P202" s="11">
        <v>44976.0</v>
      </c>
      <c r="Q202" s="11">
        <v>44787.0</v>
      </c>
      <c r="R202" s="11">
        <v>44962.0</v>
      </c>
      <c r="S202" s="12"/>
      <c r="T202" s="8" t="s">
        <v>446</v>
      </c>
      <c r="U202" s="8" t="s">
        <v>1309</v>
      </c>
      <c r="V202" s="13" t="s">
        <v>1310</v>
      </c>
      <c r="W202" s="13" t="s">
        <v>1311</v>
      </c>
      <c r="X202" s="12"/>
      <c r="Y202" s="14"/>
      <c r="Z202" s="14"/>
    </row>
    <row r="203">
      <c r="A203" s="8" t="s">
        <v>1312</v>
      </c>
      <c r="B203" s="8" t="s">
        <v>1313</v>
      </c>
      <c r="C203" s="8" t="s">
        <v>25</v>
      </c>
      <c r="D203" s="8" t="s">
        <v>26</v>
      </c>
      <c r="E203" s="8" t="s">
        <v>1314</v>
      </c>
      <c r="F203" s="8">
        <v>2.01008995371E11</v>
      </c>
      <c r="G203" s="8" t="s">
        <v>284</v>
      </c>
      <c r="H203" s="8" t="s">
        <v>673</v>
      </c>
      <c r="I203" s="8" t="s">
        <v>31</v>
      </c>
      <c r="J203" s="8" t="s">
        <v>542</v>
      </c>
      <c r="K203" s="10" t="s">
        <v>1315</v>
      </c>
      <c r="L203" s="8" t="s">
        <v>47</v>
      </c>
      <c r="M203" s="8" t="s">
        <v>70</v>
      </c>
      <c r="N203" s="11">
        <v>44785.0</v>
      </c>
      <c r="O203" s="11">
        <v>44795.0</v>
      </c>
      <c r="P203" s="11">
        <v>45160.0</v>
      </c>
      <c r="Q203" s="11">
        <v>44817.0</v>
      </c>
      <c r="R203" s="11">
        <v>45107.0</v>
      </c>
      <c r="S203" s="12"/>
      <c r="T203" s="8" t="s">
        <v>121</v>
      </c>
      <c r="U203" s="8" t="s">
        <v>1316</v>
      </c>
      <c r="V203" s="13" t="s">
        <v>38</v>
      </c>
      <c r="W203" s="13" t="s">
        <v>1317</v>
      </c>
      <c r="X203" s="12"/>
      <c r="Y203" s="14"/>
      <c r="Z203" s="14"/>
    </row>
    <row r="204">
      <c r="A204" s="8" t="s">
        <v>1318</v>
      </c>
      <c r="B204" s="8" t="s">
        <v>1319</v>
      </c>
      <c r="C204" s="8" t="s">
        <v>25</v>
      </c>
      <c r="D204" s="8" t="s">
        <v>26</v>
      </c>
      <c r="E204" s="8" t="s">
        <v>1320</v>
      </c>
      <c r="F204" s="8">
        <v>6.30951446E9</v>
      </c>
      <c r="G204" s="8" t="s">
        <v>44</v>
      </c>
      <c r="H204" s="8" t="s">
        <v>1321</v>
      </c>
      <c r="I204" s="8" t="s">
        <v>31</v>
      </c>
      <c r="J204" s="8" t="s">
        <v>43</v>
      </c>
      <c r="K204" s="10" t="s">
        <v>837</v>
      </c>
      <c r="L204" s="8" t="s">
        <v>58</v>
      </c>
      <c r="M204" s="8" t="s">
        <v>35</v>
      </c>
      <c r="N204" s="11">
        <v>44785.0</v>
      </c>
      <c r="O204" s="11">
        <v>44865.0</v>
      </c>
      <c r="P204" s="11">
        <v>44911.0</v>
      </c>
      <c r="Q204" s="11">
        <v>44869.0</v>
      </c>
      <c r="R204" s="11">
        <v>44911.0</v>
      </c>
      <c r="S204" s="12"/>
      <c r="T204" s="8"/>
      <c r="U204" s="8" t="s">
        <v>130</v>
      </c>
      <c r="V204" s="13" t="s">
        <v>1322</v>
      </c>
      <c r="W204" s="13" t="s">
        <v>1323</v>
      </c>
      <c r="X204" s="12"/>
      <c r="Y204" s="14"/>
      <c r="Z204" s="14"/>
    </row>
    <row r="205">
      <c r="A205" s="8" t="s">
        <v>1324</v>
      </c>
      <c r="B205" s="8" t="s">
        <v>1325</v>
      </c>
      <c r="C205" s="8" t="s">
        <v>1326</v>
      </c>
      <c r="D205" s="8" t="s">
        <v>26</v>
      </c>
      <c r="E205" s="8" t="s">
        <v>1327</v>
      </c>
      <c r="F205" s="8">
        <v>3.486600344E9</v>
      </c>
      <c r="G205" s="8" t="s">
        <v>315</v>
      </c>
      <c r="H205" s="8" t="s">
        <v>1242</v>
      </c>
      <c r="I205" s="8" t="s">
        <v>31</v>
      </c>
      <c r="J205" s="8" t="s">
        <v>292</v>
      </c>
      <c r="K205" s="10" t="s">
        <v>1260</v>
      </c>
      <c r="L205" s="8" t="s">
        <v>47</v>
      </c>
      <c r="M205" s="8" t="s">
        <v>70</v>
      </c>
      <c r="N205" s="11">
        <v>44786.0</v>
      </c>
      <c r="O205" s="11">
        <v>44837.0</v>
      </c>
      <c r="P205" s="11">
        <v>45202.0</v>
      </c>
      <c r="Q205" s="11">
        <v>44790.0</v>
      </c>
      <c r="R205" s="11">
        <v>45153.0</v>
      </c>
      <c r="S205" s="12"/>
      <c r="T205" s="8"/>
      <c r="U205" s="8" t="s">
        <v>1261</v>
      </c>
      <c r="V205" s="13" t="s">
        <v>1328</v>
      </c>
      <c r="W205" s="13" t="s">
        <v>1329</v>
      </c>
      <c r="X205" s="12"/>
      <c r="Y205" s="14"/>
      <c r="Z205" s="14"/>
    </row>
    <row r="206">
      <c r="A206" s="8" t="s">
        <v>1330</v>
      </c>
      <c r="B206" s="8" t="s">
        <v>1331</v>
      </c>
      <c r="C206" s="8" t="s">
        <v>251</v>
      </c>
      <c r="D206" s="8" t="s">
        <v>26</v>
      </c>
      <c r="E206" s="8" t="s">
        <v>1332</v>
      </c>
      <c r="F206" s="8">
        <v>1.091097516E9</v>
      </c>
      <c r="G206" s="8" t="s">
        <v>284</v>
      </c>
      <c r="H206" s="8" t="s">
        <v>673</v>
      </c>
      <c r="I206" s="8" t="s">
        <v>31</v>
      </c>
      <c r="J206" s="8" t="s">
        <v>542</v>
      </c>
      <c r="K206" s="10" t="s">
        <v>1333</v>
      </c>
      <c r="L206" s="8" t="s">
        <v>47</v>
      </c>
      <c r="M206" s="8" t="s">
        <v>70</v>
      </c>
      <c r="N206" s="11">
        <v>44787.0</v>
      </c>
      <c r="O206" s="11">
        <v>44795.0</v>
      </c>
      <c r="P206" s="11">
        <v>45107.0</v>
      </c>
      <c r="Q206" s="11"/>
      <c r="R206" s="11"/>
      <c r="S206" s="12"/>
      <c r="T206" s="8" t="s">
        <v>121</v>
      </c>
      <c r="U206" s="8" t="s">
        <v>1334</v>
      </c>
      <c r="V206" s="13" t="s">
        <v>674</v>
      </c>
      <c r="W206" s="13" t="s">
        <v>1335</v>
      </c>
      <c r="X206" s="12"/>
      <c r="Y206" s="14"/>
      <c r="Z206" s="14"/>
    </row>
    <row r="207">
      <c r="A207" s="8" t="s">
        <v>1336</v>
      </c>
      <c r="B207" s="8" t="s">
        <v>1337</v>
      </c>
      <c r="C207" s="8" t="s">
        <v>25</v>
      </c>
      <c r="D207" s="8" t="s">
        <v>26</v>
      </c>
      <c r="E207" s="8" t="s">
        <v>1338</v>
      </c>
      <c r="F207" s="8">
        <v>5.360258845E9</v>
      </c>
      <c r="G207" s="8" t="s">
        <v>254</v>
      </c>
      <c r="H207" s="8" t="s">
        <v>291</v>
      </c>
      <c r="I207" s="8" t="s">
        <v>31</v>
      </c>
      <c r="J207" s="8" t="s">
        <v>438</v>
      </c>
      <c r="K207" s="10" t="s">
        <v>1339</v>
      </c>
      <c r="L207" s="8" t="s">
        <v>47</v>
      </c>
      <c r="M207" s="8" t="s">
        <v>70</v>
      </c>
      <c r="N207" s="11">
        <v>44787.0</v>
      </c>
      <c r="O207" s="11">
        <v>44809.0</v>
      </c>
      <c r="P207" s="11">
        <v>45173.0</v>
      </c>
      <c r="Q207" s="11">
        <v>44842.0</v>
      </c>
      <c r="R207" s="11">
        <v>45187.0</v>
      </c>
      <c r="S207" s="12"/>
      <c r="T207" s="8"/>
      <c r="U207" s="8" t="s">
        <v>1340</v>
      </c>
      <c r="V207" s="13" t="s">
        <v>295</v>
      </c>
      <c r="W207" s="13" t="s">
        <v>1341</v>
      </c>
      <c r="X207" s="12"/>
      <c r="Y207" s="14"/>
      <c r="Z207" s="14"/>
    </row>
    <row r="208">
      <c r="A208" s="8" t="s">
        <v>1342</v>
      </c>
      <c r="B208" s="8" t="s">
        <v>1343</v>
      </c>
      <c r="C208" s="8" t="s">
        <v>64</v>
      </c>
      <c r="D208" s="8" t="s">
        <v>26</v>
      </c>
      <c r="E208" s="8" t="s">
        <v>1344</v>
      </c>
      <c r="F208" s="8" t="s">
        <v>253</v>
      </c>
      <c r="G208" s="8" t="s">
        <v>254</v>
      </c>
      <c r="H208" s="8" t="s">
        <v>422</v>
      </c>
      <c r="I208" s="8" t="s">
        <v>31</v>
      </c>
      <c r="J208" s="8" t="s">
        <v>32</v>
      </c>
      <c r="K208" s="10" t="s">
        <v>1345</v>
      </c>
      <c r="L208" s="8" t="s">
        <v>47</v>
      </c>
      <c r="M208" s="8" t="s">
        <v>70</v>
      </c>
      <c r="N208" s="11">
        <v>44787.0</v>
      </c>
      <c r="O208" s="11">
        <v>44819.0</v>
      </c>
      <c r="P208" s="11">
        <v>45092.0</v>
      </c>
      <c r="Q208" s="11"/>
      <c r="R208" s="11">
        <v>45092.0</v>
      </c>
      <c r="S208" s="12"/>
      <c r="T208" s="8"/>
      <c r="U208" s="8" t="s">
        <v>1205</v>
      </c>
      <c r="V208" s="13" t="s">
        <v>425</v>
      </c>
      <c r="W208" s="13" t="s">
        <v>1346</v>
      </c>
      <c r="X208" s="12"/>
      <c r="Y208" s="14"/>
      <c r="Z208" s="14"/>
    </row>
    <row r="209">
      <c r="A209" s="8" t="s">
        <v>1347</v>
      </c>
      <c r="B209" s="8" t="s">
        <v>1348</v>
      </c>
      <c r="C209" s="8" t="s">
        <v>64</v>
      </c>
      <c r="D209" s="8" t="s">
        <v>26</v>
      </c>
      <c r="E209" s="8" t="s">
        <v>1349</v>
      </c>
      <c r="F209" s="8">
        <v>5.40306672E8</v>
      </c>
      <c r="G209" s="8" t="s">
        <v>254</v>
      </c>
      <c r="H209" s="8" t="s">
        <v>422</v>
      </c>
      <c r="I209" s="8" t="s">
        <v>31</v>
      </c>
      <c r="J209" s="8" t="s">
        <v>32</v>
      </c>
      <c r="K209" s="10" t="s">
        <v>1345</v>
      </c>
      <c r="L209" s="8" t="s">
        <v>47</v>
      </c>
      <c r="M209" s="8" t="s">
        <v>70</v>
      </c>
      <c r="N209" s="11">
        <v>44787.0</v>
      </c>
      <c r="O209" s="11">
        <v>44819.0</v>
      </c>
      <c r="P209" s="11">
        <v>45092.0</v>
      </c>
      <c r="Q209" s="11"/>
      <c r="R209" s="11">
        <v>45092.0</v>
      </c>
      <c r="S209" s="12"/>
      <c r="T209" s="8"/>
      <c r="U209" s="8" t="s">
        <v>1205</v>
      </c>
      <c r="V209" s="13" t="s">
        <v>425</v>
      </c>
      <c r="W209" s="13" t="s">
        <v>1350</v>
      </c>
      <c r="X209" s="12"/>
      <c r="Y209" s="14"/>
      <c r="Z209" s="14"/>
    </row>
    <row r="210">
      <c r="A210" s="8" t="s">
        <v>1351</v>
      </c>
      <c r="B210" s="8" t="s">
        <v>1352</v>
      </c>
      <c r="C210" s="8" t="s">
        <v>64</v>
      </c>
      <c r="D210" s="8" t="s">
        <v>26</v>
      </c>
      <c r="E210" s="8" t="s">
        <v>1353</v>
      </c>
      <c r="F210" s="8">
        <v>7.98444023E8</v>
      </c>
      <c r="G210" s="8" t="s">
        <v>1074</v>
      </c>
      <c r="H210" s="8" t="s">
        <v>1075</v>
      </c>
      <c r="I210" s="8" t="s">
        <v>31</v>
      </c>
      <c r="J210" s="8" t="s">
        <v>438</v>
      </c>
      <c r="K210" s="10" t="s">
        <v>439</v>
      </c>
      <c r="L210" s="8" t="s">
        <v>58</v>
      </c>
      <c r="M210" s="8" t="s">
        <v>35</v>
      </c>
      <c r="N210" s="11">
        <v>44787.0</v>
      </c>
      <c r="O210" s="11">
        <v>44837.0</v>
      </c>
      <c r="P210" s="11">
        <v>44879.0</v>
      </c>
      <c r="Q210" s="11">
        <v>44841.0</v>
      </c>
      <c r="R210" s="11">
        <v>44879.0</v>
      </c>
      <c r="S210" s="12"/>
      <c r="T210" s="8"/>
      <c r="U210" s="8" t="s">
        <v>59</v>
      </c>
      <c r="V210" s="13" t="s">
        <v>1354</v>
      </c>
      <c r="W210" s="13" t="s">
        <v>1355</v>
      </c>
      <c r="X210" s="12"/>
      <c r="Y210" s="14"/>
      <c r="Z210" s="14"/>
    </row>
    <row r="211">
      <c r="A211" s="8" t="s">
        <v>1356</v>
      </c>
      <c r="B211" s="8" t="s">
        <v>1357</v>
      </c>
      <c r="C211" s="8" t="s">
        <v>64</v>
      </c>
      <c r="D211" s="8" t="s">
        <v>26</v>
      </c>
      <c r="E211" s="8" t="s">
        <v>1358</v>
      </c>
      <c r="F211" s="8"/>
      <c r="G211" s="8" t="s">
        <v>284</v>
      </c>
      <c r="H211" s="8" t="s">
        <v>1359</v>
      </c>
      <c r="I211" s="8" t="s">
        <v>31</v>
      </c>
      <c r="J211" s="8" t="s">
        <v>167</v>
      </c>
      <c r="K211" s="10" t="s">
        <v>620</v>
      </c>
      <c r="L211" s="8" t="s">
        <v>58</v>
      </c>
      <c r="M211" s="8" t="s">
        <v>35</v>
      </c>
      <c r="N211" s="11">
        <v>44787.0</v>
      </c>
      <c r="O211" s="11">
        <v>44816.0</v>
      </c>
      <c r="P211" s="11">
        <v>44858.0</v>
      </c>
      <c r="Q211" s="11">
        <v>44815.0</v>
      </c>
      <c r="R211" s="11">
        <v>44858.0</v>
      </c>
      <c r="S211" s="12"/>
      <c r="T211" s="8"/>
      <c r="U211" s="8" t="s">
        <v>88</v>
      </c>
      <c r="V211" s="13" t="s">
        <v>38</v>
      </c>
      <c r="W211" s="13" t="s">
        <v>1360</v>
      </c>
      <c r="X211" s="12"/>
      <c r="Y211" s="14"/>
      <c r="Z211" s="14"/>
    </row>
    <row r="212">
      <c r="A212" s="8" t="s">
        <v>1361</v>
      </c>
      <c r="B212" s="8" t="s">
        <v>1362</v>
      </c>
      <c r="C212" s="8" t="s">
        <v>251</v>
      </c>
      <c r="D212" s="8" t="s">
        <v>26</v>
      </c>
      <c r="E212" s="8" t="s">
        <v>1363</v>
      </c>
      <c r="F212" s="8">
        <v>7.67444481E8</v>
      </c>
      <c r="G212" s="8" t="s">
        <v>84</v>
      </c>
      <c r="H212" s="8" t="s">
        <v>1127</v>
      </c>
      <c r="I212" s="8" t="s">
        <v>31</v>
      </c>
      <c r="J212" s="8" t="s">
        <v>77</v>
      </c>
      <c r="K212" s="10" t="s">
        <v>1364</v>
      </c>
      <c r="L212" s="8" t="s">
        <v>47</v>
      </c>
      <c r="M212" s="8" t="s">
        <v>70</v>
      </c>
      <c r="N212" s="11">
        <v>44788.0</v>
      </c>
      <c r="O212" s="11">
        <v>44816.0</v>
      </c>
      <c r="P212" s="11">
        <v>45107.0</v>
      </c>
      <c r="Q212" s="11"/>
      <c r="R212" s="11"/>
      <c r="S212" s="12"/>
      <c r="T212" s="8"/>
      <c r="U212" s="8" t="s">
        <v>1365</v>
      </c>
      <c r="V212" s="13" t="s">
        <v>1366</v>
      </c>
      <c r="W212" s="13" t="s">
        <v>1367</v>
      </c>
      <c r="X212" s="12"/>
      <c r="Y212" s="14"/>
      <c r="Z212" s="14"/>
    </row>
    <row r="213">
      <c r="A213" s="8" t="s">
        <v>1368</v>
      </c>
      <c r="B213" s="8" t="s">
        <v>1369</v>
      </c>
      <c r="C213" s="8" t="s">
        <v>251</v>
      </c>
      <c r="D213" s="8" t="s">
        <v>26</v>
      </c>
      <c r="E213" s="8" t="s">
        <v>1370</v>
      </c>
      <c r="F213" s="8">
        <v>5.0011751E7</v>
      </c>
      <c r="G213" s="8" t="s">
        <v>307</v>
      </c>
      <c r="H213" s="8" t="s">
        <v>1118</v>
      </c>
      <c r="I213" s="8" t="s">
        <v>31</v>
      </c>
      <c r="J213" s="8" t="s">
        <v>86</v>
      </c>
      <c r="K213" s="10" t="s">
        <v>1371</v>
      </c>
      <c r="L213" s="8" t="s">
        <v>47</v>
      </c>
      <c r="M213" s="8" t="s">
        <v>70</v>
      </c>
      <c r="N213" s="11">
        <v>44788.0</v>
      </c>
      <c r="O213" s="11">
        <v>44802.0</v>
      </c>
      <c r="P213" s="11">
        <v>45170.0</v>
      </c>
      <c r="Q213" s="11"/>
      <c r="R213" s="11"/>
      <c r="S213" s="12"/>
      <c r="T213" s="8"/>
      <c r="U213" s="8" t="s">
        <v>1372</v>
      </c>
      <c r="V213" s="13" t="s">
        <v>38</v>
      </c>
      <c r="W213" s="13" t="s">
        <v>1373</v>
      </c>
      <c r="X213" s="12"/>
      <c r="Y213" s="14"/>
      <c r="Z213" s="14"/>
    </row>
    <row r="214">
      <c r="A214" s="8" t="s">
        <v>1374</v>
      </c>
      <c r="B214" s="8" t="s">
        <v>1375</v>
      </c>
      <c r="C214" s="8" t="s">
        <v>25</v>
      </c>
      <c r="D214" s="8" t="s">
        <v>26</v>
      </c>
      <c r="E214" s="8" t="s">
        <v>1376</v>
      </c>
      <c r="F214" s="8">
        <v>6.72921508E8</v>
      </c>
      <c r="G214" s="8" t="s">
        <v>254</v>
      </c>
      <c r="H214" s="8" t="s">
        <v>422</v>
      </c>
      <c r="I214" s="8" t="s">
        <v>31</v>
      </c>
      <c r="J214" s="8" t="s">
        <v>77</v>
      </c>
      <c r="K214" s="10" t="s">
        <v>1179</v>
      </c>
      <c r="L214" s="8" t="s">
        <v>47</v>
      </c>
      <c r="M214" s="8" t="s">
        <v>70</v>
      </c>
      <c r="N214" s="11">
        <v>44788.0</v>
      </c>
      <c r="O214" s="11">
        <v>44816.0</v>
      </c>
      <c r="P214" s="11">
        <v>45181.0</v>
      </c>
      <c r="Q214" s="11">
        <v>44820.0</v>
      </c>
      <c r="R214" s="11">
        <v>45181.0</v>
      </c>
      <c r="S214" s="12"/>
      <c r="T214" s="8"/>
      <c r="U214" s="8" t="s">
        <v>1180</v>
      </c>
      <c r="V214" s="13" t="s">
        <v>38</v>
      </c>
      <c r="W214" s="13" t="s">
        <v>1377</v>
      </c>
      <c r="X214" s="12"/>
      <c r="Y214" s="14"/>
      <c r="Z214" s="14"/>
    </row>
    <row r="215">
      <c r="A215" s="8" t="s">
        <v>1378</v>
      </c>
      <c r="B215" s="8" t="s">
        <v>1379</v>
      </c>
      <c r="C215" s="8" t="s">
        <v>25</v>
      </c>
      <c r="D215" s="8" t="s">
        <v>26</v>
      </c>
      <c r="E215" s="8" t="s">
        <v>1380</v>
      </c>
      <c r="F215" s="8">
        <v>7.55358536E8</v>
      </c>
      <c r="G215" s="8" t="s">
        <v>399</v>
      </c>
      <c r="H215" s="8" t="s">
        <v>1381</v>
      </c>
      <c r="I215" s="8" t="s">
        <v>31</v>
      </c>
      <c r="J215" s="8" t="s">
        <v>438</v>
      </c>
      <c r="K215" s="10" t="s">
        <v>1382</v>
      </c>
      <c r="L215" s="8" t="s">
        <v>47</v>
      </c>
      <c r="M215" s="8" t="s">
        <v>70</v>
      </c>
      <c r="N215" s="11">
        <v>44788.0</v>
      </c>
      <c r="O215" s="11">
        <v>44802.0</v>
      </c>
      <c r="P215" s="11">
        <v>45166.0</v>
      </c>
      <c r="Q215" s="11">
        <v>44864.0</v>
      </c>
      <c r="R215" s="11">
        <v>45190.0</v>
      </c>
      <c r="S215" s="12"/>
      <c r="T215" s="8"/>
      <c r="U215" s="8" t="s">
        <v>246</v>
      </c>
      <c r="V215" s="13" t="s">
        <v>1383</v>
      </c>
      <c r="W215" s="13" t="s">
        <v>1384</v>
      </c>
      <c r="X215" s="12"/>
      <c r="Y215" s="14"/>
      <c r="Z215" s="14"/>
    </row>
    <row r="216">
      <c r="A216" s="8" t="s">
        <v>1385</v>
      </c>
      <c r="B216" s="8" t="s">
        <v>1386</v>
      </c>
      <c r="C216" s="8" t="s">
        <v>64</v>
      </c>
      <c r="D216" s="8" t="s">
        <v>26</v>
      </c>
      <c r="E216" s="8" t="s">
        <v>1387</v>
      </c>
      <c r="F216" s="8"/>
      <c r="G216" s="8" t="s">
        <v>84</v>
      </c>
      <c r="H216" s="8" t="s">
        <v>1266</v>
      </c>
      <c r="I216" s="8" t="s">
        <v>31</v>
      </c>
      <c r="J216" s="8" t="s">
        <v>86</v>
      </c>
      <c r="K216" s="10" t="s">
        <v>1388</v>
      </c>
      <c r="L216" s="8" t="s">
        <v>47</v>
      </c>
      <c r="M216" s="8" t="s">
        <v>70</v>
      </c>
      <c r="N216" s="11">
        <v>44789.0</v>
      </c>
      <c r="O216" s="11">
        <v>44809.0</v>
      </c>
      <c r="P216" s="11">
        <v>45170.0</v>
      </c>
      <c r="Q216" s="11">
        <v>44811.0</v>
      </c>
      <c r="R216" s="11">
        <v>45100.0</v>
      </c>
      <c r="S216" s="12"/>
      <c r="T216" s="8"/>
      <c r="U216" s="8" t="s">
        <v>1389</v>
      </c>
      <c r="V216" s="13" t="s">
        <v>38</v>
      </c>
      <c r="W216" s="13" t="s">
        <v>1390</v>
      </c>
      <c r="X216" s="12"/>
      <c r="Y216" s="14"/>
      <c r="Z216" s="14"/>
    </row>
    <row r="217">
      <c r="A217" s="8" t="s">
        <v>1391</v>
      </c>
      <c r="B217" s="8" t="s">
        <v>1392</v>
      </c>
      <c r="C217" s="8" t="s">
        <v>708</v>
      </c>
      <c r="D217" s="8" t="s">
        <v>26</v>
      </c>
      <c r="E217" s="8" t="s">
        <v>1393</v>
      </c>
      <c r="F217" s="8">
        <v>3.175253807E9</v>
      </c>
      <c r="G217" s="8" t="s">
        <v>315</v>
      </c>
      <c r="H217" s="8" t="s">
        <v>316</v>
      </c>
      <c r="I217" s="8" t="s">
        <v>31</v>
      </c>
      <c r="J217" s="8" t="s">
        <v>542</v>
      </c>
      <c r="K217" s="10" t="s">
        <v>1008</v>
      </c>
      <c r="L217" s="8" t="s">
        <v>47</v>
      </c>
      <c r="M217" s="8" t="s">
        <v>70</v>
      </c>
      <c r="N217" s="11">
        <v>44789.0</v>
      </c>
      <c r="O217" s="11">
        <v>44805.0</v>
      </c>
      <c r="P217" s="11">
        <v>45350.0</v>
      </c>
      <c r="Q217" s="11">
        <v>44829.0</v>
      </c>
      <c r="R217" s="11">
        <v>45366.0</v>
      </c>
      <c r="S217" s="12"/>
      <c r="T217" s="8"/>
      <c r="U217" s="8" t="s">
        <v>1009</v>
      </c>
      <c r="V217" s="13" t="s">
        <v>1394</v>
      </c>
      <c r="W217" s="13" t="s">
        <v>1395</v>
      </c>
      <c r="X217" s="12"/>
      <c r="Y217" s="14"/>
      <c r="Z217" s="14"/>
    </row>
    <row r="218">
      <c r="A218" s="8" t="s">
        <v>1396</v>
      </c>
      <c r="B218" s="8" t="s">
        <v>1397</v>
      </c>
      <c r="C218" s="8" t="s">
        <v>25</v>
      </c>
      <c r="D218" s="8" t="s">
        <v>26</v>
      </c>
      <c r="E218" s="8" t="s">
        <v>1398</v>
      </c>
      <c r="F218" s="8" t="s">
        <v>1399</v>
      </c>
      <c r="G218" s="8" t="s">
        <v>31</v>
      </c>
      <c r="H218" s="8" t="s">
        <v>32</v>
      </c>
      <c r="I218" s="8" t="s">
        <v>1400</v>
      </c>
      <c r="J218" s="8" t="s">
        <v>1401</v>
      </c>
      <c r="K218" s="10" t="s">
        <v>1402</v>
      </c>
      <c r="L218" s="8" t="s">
        <v>58</v>
      </c>
      <c r="M218" s="8" t="s">
        <v>35</v>
      </c>
      <c r="N218" s="11">
        <v>44789.0</v>
      </c>
      <c r="O218" s="11">
        <v>44808.0</v>
      </c>
      <c r="P218" s="11">
        <v>44850.0</v>
      </c>
      <c r="Q218" s="11">
        <v>44810.0</v>
      </c>
      <c r="R218" s="11">
        <v>44850.0</v>
      </c>
      <c r="S218" s="12"/>
      <c r="T218" s="8"/>
      <c r="U218" s="8" t="s">
        <v>88</v>
      </c>
      <c r="V218" s="13" t="s">
        <v>537</v>
      </c>
      <c r="W218" s="13" t="s">
        <v>1403</v>
      </c>
      <c r="X218" s="12"/>
      <c r="Y218" s="14"/>
      <c r="Z218" s="14"/>
    </row>
    <row r="219">
      <c r="A219" s="8" t="s">
        <v>1404</v>
      </c>
      <c r="B219" s="8" t="s">
        <v>1405</v>
      </c>
      <c r="C219" s="8" t="s">
        <v>25</v>
      </c>
      <c r="D219" s="8" t="s">
        <v>26</v>
      </c>
      <c r="E219" s="8" t="s">
        <v>1406</v>
      </c>
      <c r="F219" s="8">
        <v>5.300737688E9</v>
      </c>
      <c r="G219" s="8" t="s">
        <v>31</v>
      </c>
      <c r="H219" s="8" t="s">
        <v>77</v>
      </c>
      <c r="I219" s="8" t="s">
        <v>54</v>
      </c>
      <c r="J219" s="8" t="s">
        <v>135</v>
      </c>
      <c r="K219" s="10" t="s">
        <v>1407</v>
      </c>
      <c r="L219" s="8" t="s">
        <v>58</v>
      </c>
      <c r="M219" s="8" t="s">
        <v>35</v>
      </c>
      <c r="N219" s="11">
        <v>44790.0</v>
      </c>
      <c r="O219" s="11">
        <v>44900.0</v>
      </c>
      <c r="P219" s="11">
        <v>44942.0</v>
      </c>
      <c r="Q219" s="11">
        <v>44901.0</v>
      </c>
      <c r="R219" s="11">
        <v>44942.0</v>
      </c>
      <c r="S219" s="12"/>
      <c r="T219" s="8"/>
      <c r="U219" s="8" t="s">
        <v>161</v>
      </c>
      <c r="V219" s="13" t="s">
        <v>1408</v>
      </c>
      <c r="W219" s="13" t="s">
        <v>1409</v>
      </c>
      <c r="X219" s="12"/>
      <c r="Y219" s="14"/>
      <c r="Z219" s="14"/>
    </row>
    <row r="220">
      <c r="A220" s="8" t="s">
        <v>1410</v>
      </c>
      <c r="B220" s="8" t="s">
        <v>1411</v>
      </c>
      <c r="C220" s="8" t="s">
        <v>251</v>
      </c>
      <c r="D220" s="8" t="s">
        <v>26</v>
      </c>
      <c r="E220" s="8" t="s">
        <v>1412</v>
      </c>
      <c r="F220" s="8">
        <v>1.009451674E9</v>
      </c>
      <c r="G220" s="8" t="s">
        <v>284</v>
      </c>
      <c r="H220" s="8" t="s">
        <v>793</v>
      </c>
      <c r="I220" s="8" t="s">
        <v>31</v>
      </c>
      <c r="J220" s="8" t="s">
        <v>136</v>
      </c>
      <c r="K220" s="10" t="s">
        <v>1413</v>
      </c>
      <c r="L220" s="8" t="s">
        <v>58</v>
      </c>
      <c r="M220" s="8" t="s">
        <v>35</v>
      </c>
      <c r="N220" s="11">
        <v>44791.0</v>
      </c>
      <c r="O220" s="11">
        <v>44956.0</v>
      </c>
      <c r="P220" s="11">
        <v>44998.0</v>
      </c>
      <c r="Q220" s="11"/>
      <c r="R220" s="11"/>
      <c r="S220" s="12"/>
      <c r="T220" s="8"/>
      <c r="U220" s="8" t="s">
        <v>59</v>
      </c>
      <c r="V220" s="13" t="s">
        <v>796</v>
      </c>
      <c r="W220" s="13" t="s">
        <v>1414</v>
      </c>
      <c r="X220" s="12"/>
      <c r="Y220" s="14"/>
      <c r="Z220" s="14"/>
    </row>
    <row r="221">
      <c r="A221" s="8" t="s">
        <v>1415</v>
      </c>
      <c r="B221" s="8" t="s">
        <v>1416</v>
      </c>
      <c r="C221" s="8" t="s">
        <v>251</v>
      </c>
      <c r="D221" s="8" t="s">
        <v>26</v>
      </c>
      <c r="E221" s="8" t="s">
        <v>1417</v>
      </c>
      <c r="F221" s="8">
        <v>1.014288483E9</v>
      </c>
      <c r="G221" s="8" t="s">
        <v>284</v>
      </c>
      <c r="H221" s="8" t="s">
        <v>793</v>
      </c>
      <c r="I221" s="8" t="s">
        <v>31</v>
      </c>
      <c r="J221" s="8" t="s">
        <v>136</v>
      </c>
      <c r="K221" s="10" t="s">
        <v>1413</v>
      </c>
      <c r="L221" s="8" t="s">
        <v>58</v>
      </c>
      <c r="M221" s="8" t="s">
        <v>35</v>
      </c>
      <c r="N221" s="11">
        <v>44791.0</v>
      </c>
      <c r="O221" s="11">
        <v>44956.0</v>
      </c>
      <c r="P221" s="11">
        <v>44998.0</v>
      </c>
      <c r="Q221" s="11"/>
      <c r="R221" s="11"/>
      <c r="S221" s="12"/>
      <c r="T221" s="8"/>
      <c r="U221" s="8" t="s">
        <v>59</v>
      </c>
      <c r="V221" s="13" t="s">
        <v>793</v>
      </c>
      <c r="W221" s="13" t="s">
        <v>1418</v>
      </c>
      <c r="X221" s="12"/>
      <c r="Y221" s="14"/>
      <c r="Z221" s="14"/>
    </row>
    <row r="222">
      <c r="A222" s="8" t="s">
        <v>1419</v>
      </c>
      <c r="B222" s="8" t="s">
        <v>1420</v>
      </c>
      <c r="C222" s="8" t="s">
        <v>25</v>
      </c>
      <c r="D222" s="8" t="s">
        <v>26</v>
      </c>
      <c r="E222" s="8" t="s">
        <v>1421</v>
      </c>
      <c r="F222" s="8">
        <v>1.211408566E9</v>
      </c>
      <c r="G222" s="8" t="s">
        <v>284</v>
      </c>
      <c r="H222" s="8" t="s">
        <v>1422</v>
      </c>
      <c r="I222" s="8" t="s">
        <v>31</v>
      </c>
      <c r="J222" s="8" t="s">
        <v>1274</v>
      </c>
      <c r="K222" s="10" t="s">
        <v>1423</v>
      </c>
      <c r="L222" s="8" t="s">
        <v>58</v>
      </c>
      <c r="M222" s="8" t="s">
        <v>35</v>
      </c>
      <c r="N222" s="11">
        <v>44791.0</v>
      </c>
      <c r="O222" s="11">
        <v>44798.0</v>
      </c>
      <c r="P222" s="11">
        <v>44840.0</v>
      </c>
      <c r="Q222" s="11">
        <v>44798.0</v>
      </c>
      <c r="R222" s="11">
        <v>44827.0</v>
      </c>
      <c r="S222" s="12"/>
      <c r="T222" s="8"/>
      <c r="U222" s="8" t="s">
        <v>59</v>
      </c>
      <c r="V222" s="13" t="s">
        <v>1424</v>
      </c>
      <c r="W222" s="13" t="s">
        <v>1425</v>
      </c>
      <c r="X222" s="12"/>
      <c r="Y222" s="14"/>
      <c r="Z222" s="14"/>
    </row>
    <row r="223">
      <c r="A223" s="8" t="s">
        <v>1426</v>
      </c>
      <c r="B223" s="8" t="s">
        <v>1427</v>
      </c>
      <c r="C223" s="8" t="s">
        <v>25</v>
      </c>
      <c r="D223" s="8" t="s">
        <v>26</v>
      </c>
      <c r="E223" s="8" t="s">
        <v>1428</v>
      </c>
      <c r="F223" s="8">
        <v>1.0997427E9</v>
      </c>
      <c r="G223" s="8" t="s">
        <v>284</v>
      </c>
      <c r="H223" s="8" t="s">
        <v>854</v>
      </c>
      <c r="I223" s="8" t="s">
        <v>31</v>
      </c>
      <c r="J223" s="8" t="s">
        <v>77</v>
      </c>
      <c r="K223" s="10" t="s">
        <v>152</v>
      </c>
      <c r="L223" s="8" t="s">
        <v>58</v>
      </c>
      <c r="M223" s="8" t="s">
        <v>35</v>
      </c>
      <c r="N223" s="11">
        <v>44791.0</v>
      </c>
      <c r="O223" s="11">
        <v>44865.0</v>
      </c>
      <c r="P223" s="11">
        <v>44907.0</v>
      </c>
      <c r="Q223" s="11">
        <v>44870.0</v>
      </c>
      <c r="R223" s="11">
        <v>44912.0</v>
      </c>
      <c r="S223" s="12"/>
      <c r="T223" s="8"/>
      <c r="U223" s="8" t="s">
        <v>153</v>
      </c>
      <c r="V223" s="13" t="s">
        <v>856</v>
      </c>
      <c r="W223" s="13" t="s">
        <v>1429</v>
      </c>
      <c r="X223" s="12"/>
      <c r="Y223" s="14"/>
      <c r="Z223" s="14"/>
    </row>
    <row r="224">
      <c r="A224" s="8" t="s">
        <v>1430</v>
      </c>
      <c r="B224" s="8" t="s">
        <v>1431</v>
      </c>
      <c r="C224" s="8" t="s">
        <v>64</v>
      </c>
      <c r="D224" s="8" t="s">
        <v>26</v>
      </c>
      <c r="E224" s="8" t="s">
        <v>1432</v>
      </c>
      <c r="F224" s="8">
        <v>8.770099493E9</v>
      </c>
      <c r="G224" s="8" t="s">
        <v>44</v>
      </c>
      <c r="H224" s="8" t="s">
        <v>1433</v>
      </c>
      <c r="I224" s="8" t="s">
        <v>31</v>
      </c>
      <c r="J224" s="8" t="s">
        <v>86</v>
      </c>
      <c r="K224" s="10" t="s">
        <v>389</v>
      </c>
      <c r="L224" s="8" t="s">
        <v>58</v>
      </c>
      <c r="M224" s="8" t="s">
        <v>35</v>
      </c>
      <c r="N224" s="11">
        <v>44791.0</v>
      </c>
      <c r="O224" s="11">
        <v>44823.0</v>
      </c>
      <c r="P224" s="11">
        <v>44865.0</v>
      </c>
      <c r="Q224" s="11">
        <v>44823.0</v>
      </c>
      <c r="R224" s="11">
        <v>44863.0</v>
      </c>
      <c r="S224" s="12"/>
      <c r="T224" s="8"/>
      <c r="U224" s="8" t="s">
        <v>153</v>
      </c>
      <c r="V224" s="13" t="s">
        <v>1434</v>
      </c>
      <c r="W224" s="13" t="s">
        <v>1435</v>
      </c>
      <c r="X224" s="12"/>
      <c r="Y224" s="14"/>
      <c r="Z224" s="14"/>
    </row>
    <row r="225">
      <c r="A225" s="8" t="s">
        <v>1436</v>
      </c>
      <c r="B225" s="8" t="s">
        <v>1437</v>
      </c>
      <c r="C225" s="8" t="s">
        <v>25</v>
      </c>
      <c r="D225" s="8" t="s">
        <v>26</v>
      </c>
      <c r="E225" s="8" t="s">
        <v>1438</v>
      </c>
      <c r="F225" s="8">
        <v>5.00121154E8</v>
      </c>
      <c r="G225" s="8" t="s">
        <v>230</v>
      </c>
      <c r="H225" s="8" t="s">
        <v>1439</v>
      </c>
      <c r="I225" s="8" t="s">
        <v>31</v>
      </c>
      <c r="J225" s="8" t="s">
        <v>86</v>
      </c>
      <c r="K225" s="10" t="s">
        <v>416</v>
      </c>
      <c r="L225" s="8" t="s">
        <v>58</v>
      </c>
      <c r="M225" s="8" t="s">
        <v>35</v>
      </c>
      <c r="N225" s="11">
        <v>44791.0</v>
      </c>
      <c r="O225" s="11">
        <v>44899.0</v>
      </c>
      <c r="P225" s="11">
        <v>44941.0</v>
      </c>
      <c r="Q225" s="11">
        <v>44900.0</v>
      </c>
      <c r="R225" s="11">
        <v>44941.0</v>
      </c>
      <c r="S225" s="12"/>
      <c r="T225" s="8"/>
      <c r="U225" s="8" t="s">
        <v>59</v>
      </c>
      <c r="V225" s="13" t="s">
        <v>1440</v>
      </c>
      <c r="W225" s="13" t="s">
        <v>1441</v>
      </c>
      <c r="X225" s="12"/>
      <c r="Y225" s="14"/>
      <c r="Z225" s="14"/>
    </row>
    <row r="226">
      <c r="A226" s="8" t="s">
        <v>1442</v>
      </c>
      <c r="B226" s="8" t="s">
        <v>1443</v>
      </c>
      <c r="C226" s="8" t="s">
        <v>25</v>
      </c>
      <c r="D226" s="8" t="s">
        <v>26</v>
      </c>
      <c r="E226" s="8" t="s">
        <v>1444</v>
      </c>
      <c r="F226" s="8">
        <v>5.322191395E9</v>
      </c>
      <c r="G226" s="8" t="s">
        <v>31</v>
      </c>
      <c r="H226" s="8" t="s">
        <v>111</v>
      </c>
      <c r="I226" s="8" t="s">
        <v>29</v>
      </c>
      <c r="J226" s="8" t="s">
        <v>679</v>
      </c>
      <c r="K226" s="10" t="s">
        <v>1445</v>
      </c>
      <c r="L226" s="8" t="s">
        <v>58</v>
      </c>
      <c r="M226" s="8" t="s">
        <v>35</v>
      </c>
      <c r="N226" s="11">
        <v>44791.0</v>
      </c>
      <c r="O226" s="11">
        <v>44844.0</v>
      </c>
      <c r="P226" s="11">
        <v>44886.0</v>
      </c>
      <c r="Q226" s="11">
        <v>44844.0</v>
      </c>
      <c r="R226" s="11">
        <v>44886.0</v>
      </c>
      <c r="S226" s="12"/>
      <c r="T226" s="8"/>
      <c r="U226" s="8" t="s">
        <v>59</v>
      </c>
      <c r="V226" s="13" t="s">
        <v>111</v>
      </c>
      <c r="W226" s="13" t="s">
        <v>1446</v>
      </c>
      <c r="X226" s="12"/>
      <c r="Y226" s="14"/>
      <c r="Z226" s="14"/>
    </row>
    <row r="227">
      <c r="A227" s="8" t="s">
        <v>1447</v>
      </c>
      <c r="B227" s="8" t="s">
        <v>1448</v>
      </c>
      <c r="C227" s="8" t="s">
        <v>64</v>
      </c>
      <c r="D227" s="8" t="s">
        <v>26</v>
      </c>
      <c r="E227" s="8" t="s">
        <v>1449</v>
      </c>
      <c r="F227" s="8"/>
      <c r="G227" s="8" t="s">
        <v>284</v>
      </c>
      <c r="H227" s="8" t="s">
        <v>1450</v>
      </c>
      <c r="I227" s="8" t="s">
        <v>31</v>
      </c>
      <c r="J227" s="8" t="s">
        <v>32</v>
      </c>
      <c r="K227" s="10" t="s">
        <v>1451</v>
      </c>
      <c r="L227" s="8" t="s">
        <v>58</v>
      </c>
      <c r="M227" s="8" t="s">
        <v>35</v>
      </c>
      <c r="N227" s="11">
        <v>44792.0</v>
      </c>
      <c r="O227" s="11">
        <v>44857.0</v>
      </c>
      <c r="P227" s="11">
        <v>44899.0</v>
      </c>
      <c r="Q227" s="11">
        <v>44860.0</v>
      </c>
      <c r="R227" s="11">
        <v>44902.0</v>
      </c>
      <c r="S227" s="12"/>
      <c r="T227" s="8"/>
      <c r="U227" s="8" t="s">
        <v>59</v>
      </c>
      <c r="V227" s="13" t="s">
        <v>38</v>
      </c>
      <c r="W227" s="13" t="s">
        <v>1452</v>
      </c>
      <c r="X227" s="12"/>
      <c r="Y227" s="14"/>
      <c r="Z227" s="14"/>
    </row>
    <row r="228">
      <c r="A228" s="8" t="s">
        <v>1453</v>
      </c>
      <c r="B228" s="8" t="s">
        <v>1454</v>
      </c>
      <c r="C228" s="8" t="s">
        <v>25</v>
      </c>
      <c r="D228" s="8" t="s">
        <v>26</v>
      </c>
      <c r="E228" s="8" t="s">
        <v>1455</v>
      </c>
      <c r="F228" s="8">
        <v>6.88298004E8</v>
      </c>
      <c r="G228" s="8" t="s">
        <v>84</v>
      </c>
      <c r="H228" s="8" t="s">
        <v>646</v>
      </c>
      <c r="I228" s="8" t="s">
        <v>31</v>
      </c>
      <c r="J228" s="8" t="s">
        <v>56</v>
      </c>
      <c r="K228" s="10" t="s">
        <v>1456</v>
      </c>
      <c r="L228" s="8" t="s">
        <v>58</v>
      </c>
      <c r="M228" s="8" t="s">
        <v>35</v>
      </c>
      <c r="N228" s="11">
        <v>44792.0</v>
      </c>
      <c r="O228" s="11">
        <v>44785.0</v>
      </c>
      <c r="P228" s="11">
        <v>44827.0</v>
      </c>
      <c r="Q228" s="11">
        <v>44792.0</v>
      </c>
      <c r="R228" s="11">
        <v>44827.0</v>
      </c>
      <c r="S228" s="12"/>
      <c r="T228" s="8"/>
      <c r="U228" s="8" t="s">
        <v>161</v>
      </c>
      <c r="V228" s="13" t="s">
        <v>1457</v>
      </c>
      <c r="W228" s="13" t="s">
        <v>1458</v>
      </c>
      <c r="X228" s="12"/>
      <c r="Y228" s="14"/>
      <c r="Z228" s="14"/>
    </row>
    <row r="229">
      <c r="A229" s="8" t="s">
        <v>1459</v>
      </c>
      <c r="B229" s="8" t="s">
        <v>1460</v>
      </c>
      <c r="C229" s="8" t="s">
        <v>64</v>
      </c>
      <c r="D229" s="8" t="s">
        <v>26</v>
      </c>
      <c r="E229" s="8" t="s">
        <v>1461</v>
      </c>
      <c r="F229" s="8">
        <v>5.0974671E7</v>
      </c>
      <c r="G229" s="8" t="s">
        <v>54</v>
      </c>
      <c r="H229" s="8" t="s">
        <v>430</v>
      </c>
      <c r="I229" s="8" t="s">
        <v>31</v>
      </c>
      <c r="J229" s="8" t="s">
        <v>292</v>
      </c>
      <c r="K229" s="10" t="s">
        <v>1462</v>
      </c>
      <c r="L229" s="8" t="s">
        <v>47</v>
      </c>
      <c r="M229" s="8" t="s">
        <v>70</v>
      </c>
      <c r="N229" s="11">
        <v>44792.0</v>
      </c>
      <c r="O229" s="11">
        <v>44830.0</v>
      </c>
      <c r="P229" s="11">
        <v>45195.0</v>
      </c>
      <c r="Q229" s="11">
        <v>44847.0</v>
      </c>
      <c r="R229" s="11">
        <v>45212.0</v>
      </c>
      <c r="S229" s="12"/>
      <c r="T229" s="8"/>
      <c r="U229" s="8" t="s">
        <v>1463</v>
      </c>
      <c r="V229" s="13" t="s">
        <v>1229</v>
      </c>
      <c r="W229" s="13" t="s">
        <v>1464</v>
      </c>
      <c r="X229" s="12"/>
      <c r="Y229" s="14"/>
      <c r="Z229" s="14"/>
    </row>
    <row r="230">
      <c r="A230" s="8" t="s">
        <v>1465</v>
      </c>
      <c r="B230" s="8" t="s">
        <v>1466</v>
      </c>
      <c r="C230" s="8" t="s">
        <v>64</v>
      </c>
      <c r="D230" s="8" t="s">
        <v>26</v>
      </c>
      <c r="E230" s="8" t="s">
        <v>1467</v>
      </c>
      <c r="F230" s="8">
        <v>9.335013714E9</v>
      </c>
      <c r="G230" s="8" t="s">
        <v>44</v>
      </c>
      <c r="H230" s="8" t="s">
        <v>1321</v>
      </c>
      <c r="I230" s="8" t="s">
        <v>31</v>
      </c>
      <c r="J230" s="8" t="s">
        <v>32</v>
      </c>
      <c r="K230" s="10" t="s">
        <v>473</v>
      </c>
      <c r="L230" s="8" t="s">
        <v>58</v>
      </c>
      <c r="M230" s="8" t="s">
        <v>35</v>
      </c>
      <c r="N230" s="11">
        <v>44793.0</v>
      </c>
      <c r="O230" s="11">
        <v>44829.0</v>
      </c>
      <c r="P230" s="11">
        <v>44871.0</v>
      </c>
      <c r="Q230" s="11">
        <v>44834.0</v>
      </c>
      <c r="R230" s="11">
        <v>44876.0</v>
      </c>
      <c r="S230" s="12"/>
      <c r="T230" s="8"/>
      <c r="U230" s="8" t="s">
        <v>59</v>
      </c>
      <c r="V230" s="13" t="s">
        <v>1468</v>
      </c>
      <c r="W230" s="13" t="s">
        <v>1469</v>
      </c>
      <c r="X230" s="12"/>
      <c r="Y230" s="14"/>
      <c r="Z230" s="14"/>
    </row>
    <row r="231">
      <c r="A231" s="8" t="s">
        <v>1470</v>
      </c>
      <c r="B231" s="15" t="s">
        <v>1471</v>
      </c>
      <c r="C231" s="8" t="s">
        <v>64</v>
      </c>
      <c r="D231" s="8" t="s">
        <v>26</v>
      </c>
      <c r="E231" s="8" t="s">
        <v>1472</v>
      </c>
      <c r="F231" s="8">
        <v>7.72267765E8</v>
      </c>
      <c r="G231" s="8" t="s">
        <v>127</v>
      </c>
      <c r="H231" s="8" t="s">
        <v>128</v>
      </c>
      <c r="I231" s="8" t="s">
        <v>31</v>
      </c>
      <c r="J231" s="8" t="s">
        <v>32</v>
      </c>
      <c r="K231" s="10" t="s">
        <v>383</v>
      </c>
      <c r="L231" s="8" t="s">
        <v>58</v>
      </c>
      <c r="M231" s="8" t="s">
        <v>35</v>
      </c>
      <c r="N231" s="11">
        <v>44793.0</v>
      </c>
      <c r="O231" s="11">
        <v>44794.0</v>
      </c>
      <c r="P231" s="11">
        <v>44836.0</v>
      </c>
      <c r="Q231" s="11">
        <v>44796.0</v>
      </c>
      <c r="R231" s="11">
        <v>44836.0</v>
      </c>
      <c r="S231" s="12"/>
      <c r="T231" s="8"/>
      <c r="U231" s="8" t="s">
        <v>88</v>
      </c>
      <c r="V231" s="13" t="s">
        <v>1473</v>
      </c>
      <c r="W231" s="13" t="s">
        <v>1474</v>
      </c>
      <c r="X231" s="12"/>
      <c r="Y231" s="14"/>
      <c r="Z231" s="14"/>
    </row>
    <row r="232">
      <c r="A232" s="8" t="s">
        <v>1475</v>
      </c>
      <c r="B232" s="8" t="s">
        <v>1476</v>
      </c>
      <c r="C232" s="8" t="s">
        <v>25</v>
      </c>
      <c r="D232" s="8" t="s">
        <v>26</v>
      </c>
      <c r="E232" s="8" t="s">
        <v>1477</v>
      </c>
      <c r="F232" s="8">
        <v>6.978223879E9</v>
      </c>
      <c r="G232" s="8" t="s">
        <v>143</v>
      </c>
      <c r="H232" s="8" t="s">
        <v>1478</v>
      </c>
      <c r="I232" s="8" t="s">
        <v>31</v>
      </c>
      <c r="J232" s="8" t="s">
        <v>86</v>
      </c>
      <c r="K232" s="10" t="s">
        <v>416</v>
      </c>
      <c r="L232" s="8" t="s">
        <v>58</v>
      </c>
      <c r="M232" s="8" t="s">
        <v>35</v>
      </c>
      <c r="N232" s="11">
        <v>44794.0</v>
      </c>
      <c r="O232" s="11">
        <v>44836.0</v>
      </c>
      <c r="P232" s="11">
        <v>44878.0</v>
      </c>
      <c r="Q232" s="11">
        <v>44837.0</v>
      </c>
      <c r="R232" s="11">
        <v>44876.0</v>
      </c>
      <c r="S232" s="12"/>
      <c r="T232" s="8"/>
      <c r="U232" s="8" t="s">
        <v>59</v>
      </c>
      <c r="V232" s="13" t="s">
        <v>1479</v>
      </c>
      <c r="W232" s="13" t="s">
        <v>1480</v>
      </c>
      <c r="X232" s="12"/>
      <c r="Y232" s="14"/>
      <c r="Z232" s="14"/>
    </row>
    <row r="233">
      <c r="A233" s="8" t="s">
        <v>1481</v>
      </c>
      <c r="B233" s="8" t="s">
        <v>1482</v>
      </c>
      <c r="C233" s="8" t="s">
        <v>64</v>
      </c>
      <c r="D233" s="8" t="s">
        <v>26</v>
      </c>
      <c r="E233" s="8" t="s">
        <v>1483</v>
      </c>
      <c r="F233" s="8">
        <v>5.49000274E8</v>
      </c>
      <c r="G233" s="8" t="s">
        <v>254</v>
      </c>
      <c r="H233" s="8" t="s">
        <v>1484</v>
      </c>
      <c r="I233" s="8" t="s">
        <v>31</v>
      </c>
      <c r="J233" s="8" t="s">
        <v>1119</v>
      </c>
      <c r="K233" s="10" t="s">
        <v>1485</v>
      </c>
      <c r="L233" s="8" t="s">
        <v>47</v>
      </c>
      <c r="M233" s="8" t="s">
        <v>70</v>
      </c>
      <c r="N233" s="11">
        <v>44794.0</v>
      </c>
      <c r="O233" s="11">
        <v>44805.0</v>
      </c>
      <c r="P233" s="11">
        <v>45168.0</v>
      </c>
      <c r="Q233" s="11">
        <v>44840.0</v>
      </c>
      <c r="R233" s="11">
        <v>45198.0</v>
      </c>
      <c r="S233" s="12"/>
      <c r="T233" s="8"/>
      <c r="U233" s="8" t="s">
        <v>1486</v>
      </c>
      <c r="V233" s="13" t="s">
        <v>1487</v>
      </c>
      <c r="W233" s="13" t="s">
        <v>1488</v>
      </c>
      <c r="X233" s="12"/>
      <c r="Y233" s="14"/>
      <c r="Z233" s="14"/>
    </row>
    <row r="234">
      <c r="A234" s="8" t="s">
        <v>1489</v>
      </c>
      <c r="B234" s="8" t="s">
        <v>1490</v>
      </c>
      <c r="C234" s="8" t="s">
        <v>64</v>
      </c>
      <c r="D234" s="8" t="s">
        <v>26</v>
      </c>
      <c r="E234" s="8" t="s">
        <v>1491</v>
      </c>
      <c r="F234" s="8"/>
      <c r="G234" s="8" t="s">
        <v>100</v>
      </c>
      <c r="H234" s="8" t="s">
        <v>1492</v>
      </c>
      <c r="I234" s="8" t="s">
        <v>31</v>
      </c>
      <c r="J234" s="8" t="s">
        <v>136</v>
      </c>
      <c r="K234" s="10" t="s">
        <v>1493</v>
      </c>
      <c r="L234" s="8" t="s">
        <v>47</v>
      </c>
      <c r="M234" s="8" t="s">
        <v>48</v>
      </c>
      <c r="N234" s="11">
        <v>44794.0</v>
      </c>
      <c r="O234" s="11">
        <v>44809.0</v>
      </c>
      <c r="P234" s="11">
        <v>44989.0</v>
      </c>
      <c r="Q234" s="11">
        <v>44833.0</v>
      </c>
      <c r="R234" s="11">
        <v>45016.0</v>
      </c>
      <c r="S234" s="12"/>
      <c r="T234" s="8"/>
      <c r="U234" s="8" t="s">
        <v>1494</v>
      </c>
      <c r="V234" s="13" t="s">
        <v>38</v>
      </c>
      <c r="W234" s="13" t="s">
        <v>1495</v>
      </c>
      <c r="X234" s="12"/>
      <c r="Y234" s="14"/>
      <c r="Z234" s="14"/>
    </row>
    <row r="235">
      <c r="A235" s="8" t="s">
        <v>1496</v>
      </c>
      <c r="B235" s="8" t="s">
        <v>1497</v>
      </c>
      <c r="C235" s="8" t="s">
        <v>251</v>
      </c>
      <c r="D235" s="8" t="s">
        <v>26</v>
      </c>
      <c r="E235" s="8" t="s">
        <v>1498</v>
      </c>
      <c r="F235" s="8"/>
      <c r="G235" s="8" t="s">
        <v>54</v>
      </c>
      <c r="H235" s="8" t="s">
        <v>430</v>
      </c>
      <c r="I235" s="8" t="s">
        <v>31</v>
      </c>
      <c r="J235" s="8" t="s">
        <v>32</v>
      </c>
      <c r="K235" s="10" t="s">
        <v>1451</v>
      </c>
      <c r="L235" s="8" t="s">
        <v>58</v>
      </c>
      <c r="M235" s="8" t="s">
        <v>35</v>
      </c>
      <c r="N235" s="11">
        <v>44795.0</v>
      </c>
      <c r="O235" s="11">
        <v>44815.0</v>
      </c>
      <c r="P235" s="11">
        <v>44857.0</v>
      </c>
      <c r="Q235" s="11"/>
      <c r="R235" s="11"/>
      <c r="S235" s="12"/>
      <c r="T235" s="8"/>
      <c r="U235" s="8" t="s">
        <v>59</v>
      </c>
      <c r="V235" s="13" t="s">
        <v>38</v>
      </c>
      <c r="W235" s="13" t="s">
        <v>1499</v>
      </c>
      <c r="X235" s="12"/>
      <c r="Y235" s="14"/>
      <c r="Z235" s="14"/>
    </row>
    <row r="236">
      <c r="A236" s="8" t="s">
        <v>1500</v>
      </c>
      <c r="B236" s="8" t="s">
        <v>1501</v>
      </c>
      <c r="C236" s="8" t="s">
        <v>251</v>
      </c>
      <c r="D236" s="8" t="s">
        <v>26</v>
      </c>
      <c r="E236" s="8" t="s">
        <v>1502</v>
      </c>
      <c r="F236" s="8">
        <v>3.198520093E9</v>
      </c>
      <c r="G236" s="8" t="s">
        <v>109</v>
      </c>
      <c r="H236" s="8" t="s">
        <v>1503</v>
      </c>
      <c r="I236" s="8" t="s">
        <v>31</v>
      </c>
      <c r="J236" s="8" t="s">
        <v>292</v>
      </c>
      <c r="K236" s="10" t="s">
        <v>1504</v>
      </c>
      <c r="L236" s="8" t="s">
        <v>47</v>
      </c>
      <c r="M236" s="8" t="s">
        <v>70</v>
      </c>
      <c r="N236" s="11">
        <v>44796.0</v>
      </c>
      <c r="O236" s="11">
        <v>44821.0</v>
      </c>
      <c r="P236" s="11">
        <v>45186.0</v>
      </c>
      <c r="Q236" s="11"/>
      <c r="R236" s="11"/>
      <c r="S236" s="12"/>
      <c r="T236" s="8"/>
      <c r="U236" s="8" t="s">
        <v>1463</v>
      </c>
      <c r="V236" s="13" t="s">
        <v>1505</v>
      </c>
      <c r="W236" s="13" t="s">
        <v>1506</v>
      </c>
      <c r="X236" s="12"/>
      <c r="Y236" s="14"/>
      <c r="Z236" s="14"/>
    </row>
    <row r="237">
      <c r="A237" s="8" t="s">
        <v>1507</v>
      </c>
      <c r="B237" s="8" t="s">
        <v>1508</v>
      </c>
      <c r="C237" s="8" t="s">
        <v>64</v>
      </c>
      <c r="D237" s="8" t="s">
        <v>26</v>
      </c>
      <c r="E237" s="8" t="s">
        <v>1509</v>
      </c>
      <c r="F237" s="8">
        <v>3.435503232E9</v>
      </c>
      <c r="G237" s="8" t="s">
        <v>1510</v>
      </c>
      <c r="H237" s="8" t="s">
        <v>1511</v>
      </c>
      <c r="I237" s="8" t="s">
        <v>31</v>
      </c>
      <c r="J237" s="8" t="s">
        <v>111</v>
      </c>
      <c r="K237" s="10" t="s">
        <v>345</v>
      </c>
      <c r="L237" s="8" t="s">
        <v>58</v>
      </c>
      <c r="M237" s="8" t="s">
        <v>35</v>
      </c>
      <c r="N237" s="11">
        <v>44796.0</v>
      </c>
      <c r="O237" s="11">
        <v>44783.0</v>
      </c>
      <c r="P237" s="11">
        <v>44825.0</v>
      </c>
      <c r="Q237" s="11">
        <v>44796.0</v>
      </c>
      <c r="R237" s="11">
        <v>44837.0</v>
      </c>
      <c r="S237" s="12"/>
      <c r="T237" s="8"/>
      <c r="U237" s="8" t="s">
        <v>59</v>
      </c>
      <c r="V237" s="13" t="s">
        <v>1512</v>
      </c>
      <c r="W237" s="13" t="s">
        <v>1513</v>
      </c>
      <c r="X237" s="12"/>
      <c r="Y237" s="14"/>
      <c r="Z237" s="14"/>
    </row>
    <row r="238">
      <c r="A238" s="8" t="s">
        <v>1514</v>
      </c>
      <c r="B238" s="8" t="s">
        <v>1515</v>
      </c>
      <c r="C238" s="8" t="s">
        <v>25</v>
      </c>
      <c r="D238" s="8" t="s">
        <v>26</v>
      </c>
      <c r="E238" s="8" t="s">
        <v>1516</v>
      </c>
      <c r="F238" s="8">
        <v>1.096077055E9</v>
      </c>
      <c r="G238" s="8" t="s">
        <v>284</v>
      </c>
      <c r="H238" s="8" t="s">
        <v>560</v>
      </c>
      <c r="I238" s="8" t="s">
        <v>31</v>
      </c>
      <c r="J238" s="8" t="s">
        <v>111</v>
      </c>
      <c r="K238" s="10" t="s">
        <v>323</v>
      </c>
      <c r="L238" s="8" t="s">
        <v>58</v>
      </c>
      <c r="M238" s="8" t="s">
        <v>35</v>
      </c>
      <c r="N238" s="11">
        <v>44796.0</v>
      </c>
      <c r="O238" s="11">
        <v>44767.0</v>
      </c>
      <c r="P238" s="11">
        <v>44809.0</v>
      </c>
      <c r="Q238" s="11">
        <v>44796.0</v>
      </c>
      <c r="R238" s="11">
        <v>44837.0</v>
      </c>
      <c r="S238" s="12"/>
      <c r="T238" s="8"/>
      <c r="U238" s="8" t="s">
        <v>59</v>
      </c>
      <c r="V238" s="13" t="s">
        <v>1517</v>
      </c>
      <c r="W238" s="13" t="s">
        <v>1518</v>
      </c>
      <c r="X238" s="12"/>
      <c r="Y238" s="14"/>
      <c r="Z238" s="14"/>
    </row>
    <row r="239">
      <c r="A239" s="8" t="s">
        <v>1519</v>
      </c>
      <c r="B239" s="8" t="s">
        <v>1520</v>
      </c>
      <c r="C239" s="8" t="s">
        <v>25</v>
      </c>
      <c r="D239" s="8" t="s">
        <v>26</v>
      </c>
      <c r="E239" s="8" t="s">
        <v>1521</v>
      </c>
      <c r="F239" s="8"/>
      <c r="G239" s="8" t="s">
        <v>31</v>
      </c>
      <c r="H239" s="8" t="s">
        <v>111</v>
      </c>
      <c r="I239" s="8" t="s">
        <v>1400</v>
      </c>
      <c r="J239" s="8" t="s">
        <v>1401</v>
      </c>
      <c r="K239" s="10" t="s">
        <v>1402</v>
      </c>
      <c r="L239" s="8" t="s">
        <v>58</v>
      </c>
      <c r="M239" s="8" t="s">
        <v>35</v>
      </c>
      <c r="N239" s="11">
        <v>44796.0</v>
      </c>
      <c r="O239" s="11">
        <v>44808.0</v>
      </c>
      <c r="P239" s="11">
        <v>44850.0</v>
      </c>
      <c r="Q239" s="11">
        <v>44810.0</v>
      </c>
      <c r="R239" s="11">
        <v>44850.0</v>
      </c>
      <c r="S239" s="12"/>
      <c r="T239" s="8"/>
      <c r="U239" s="8" t="s">
        <v>88</v>
      </c>
      <c r="V239" s="13" t="s">
        <v>111</v>
      </c>
      <c r="W239" s="13" t="s">
        <v>1522</v>
      </c>
      <c r="X239" s="12"/>
      <c r="Y239" s="14"/>
      <c r="Z239" s="14"/>
    </row>
    <row r="240">
      <c r="A240" s="8" t="s">
        <v>1523</v>
      </c>
      <c r="B240" s="8" t="s">
        <v>1524</v>
      </c>
      <c r="C240" s="8" t="s">
        <v>251</v>
      </c>
      <c r="D240" s="8" t="s">
        <v>26</v>
      </c>
      <c r="E240" s="8" t="s">
        <v>1525</v>
      </c>
      <c r="F240" s="8">
        <v>1.1116142E9</v>
      </c>
      <c r="G240" s="8" t="s">
        <v>284</v>
      </c>
      <c r="H240" s="8" t="s">
        <v>1422</v>
      </c>
      <c r="I240" s="8" t="s">
        <v>31</v>
      </c>
      <c r="J240" s="8" t="s">
        <v>86</v>
      </c>
      <c r="K240" s="10" t="s">
        <v>416</v>
      </c>
      <c r="L240" s="8" t="s">
        <v>58</v>
      </c>
      <c r="M240" s="8" t="s">
        <v>35</v>
      </c>
      <c r="N240" s="11">
        <v>44797.0</v>
      </c>
      <c r="O240" s="11">
        <v>44810.0</v>
      </c>
      <c r="P240" s="11">
        <v>44852.0</v>
      </c>
      <c r="Q240" s="11"/>
      <c r="R240" s="11"/>
      <c r="S240" s="12"/>
      <c r="T240" s="8"/>
      <c r="U240" s="8" t="s">
        <v>59</v>
      </c>
      <c r="V240" s="13" t="s">
        <v>1424</v>
      </c>
      <c r="W240" s="13" t="s">
        <v>1526</v>
      </c>
      <c r="X240" s="12"/>
      <c r="Y240" s="14"/>
      <c r="Z240" s="14"/>
    </row>
    <row r="241">
      <c r="A241" s="8" t="s">
        <v>1527</v>
      </c>
      <c r="B241" s="8" t="s">
        <v>1528</v>
      </c>
      <c r="C241" s="8" t="s">
        <v>251</v>
      </c>
      <c r="D241" s="8" t="s">
        <v>26</v>
      </c>
      <c r="E241" s="8" t="s">
        <v>1529</v>
      </c>
      <c r="F241" s="8">
        <v>1.000158629E9</v>
      </c>
      <c r="G241" s="8" t="s">
        <v>284</v>
      </c>
      <c r="H241" s="8" t="s">
        <v>1422</v>
      </c>
      <c r="I241" s="8" t="s">
        <v>31</v>
      </c>
      <c r="J241" s="8" t="s">
        <v>86</v>
      </c>
      <c r="K241" s="10" t="s">
        <v>590</v>
      </c>
      <c r="L241" s="8" t="s">
        <v>58</v>
      </c>
      <c r="M241" s="8" t="s">
        <v>35</v>
      </c>
      <c r="N241" s="11">
        <v>44797.0</v>
      </c>
      <c r="O241" s="11">
        <v>44810.0</v>
      </c>
      <c r="P241" s="11">
        <v>44865.0</v>
      </c>
      <c r="Q241" s="11"/>
      <c r="R241" s="11"/>
      <c r="S241" s="12"/>
      <c r="T241" s="8"/>
      <c r="U241" s="8" t="s">
        <v>59</v>
      </c>
      <c r="V241" s="13" t="s">
        <v>1424</v>
      </c>
      <c r="W241" s="13" t="s">
        <v>1530</v>
      </c>
      <c r="X241" s="12"/>
      <c r="Y241" s="14"/>
      <c r="Z241" s="14"/>
    </row>
    <row r="242">
      <c r="A242" s="8" t="s">
        <v>1531</v>
      </c>
      <c r="B242" s="8" t="s">
        <v>1532</v>
      </c>
      <c r="C242" s="8" t="s">
        <v>251</v>
      </c>
      <c r="D242" s="8" t="s">
        <v>26</v>
      </c>
      <c r="E242" s="8" t="s">
        <v>1533</v>
      </c>
      <c r="F242" s="8">
        <v>1.120023363E9</v>
      </c>
      <c r="G242" s="8" t="s">
        <v>284</v>
      </c>
      <c r="H242" s="8" t="s">
        <v>1422</v>
      </c>
      <c r="I242" s="8" t="s">
        <v>31</v>
      </c>
      <c r="J242" s="8" t="s">
        <v>86</v>
      </c>
      <c r="K242" s="10" t="s">
        <v>590</v>
      </c>
      <c r="L242" s="8" t="s">
        <v>58</v>
      </c>
      <c r="M242" s="8" t="s">
        <v>35</v>
      </c>
      <c r="N242" s="11">
        <v>44797.0</v>
      </c>
      <c r="O242" s="11">
        <v>44810.0</v>
      </c>
      <c r="P242" s="11">
        <v>44865.0</v>
      </c>
      <c r="Q242" s="11"/>
      <c r="R242" s="11"/>
      <c r="S242" s="12"/>
      <c r="T242" s="8"/>
      <c r="U242" s="8" t="s">
        <v>59</v>
      </c>
      <c r="V242" s="13" t="s">
        <v>1424</v>
      </c>
      <c r="W242" s="13" t="s">
        <v>1534</v>
      </c>
      <c r="X242" s="12"/>
      <c r="Y242" s="14"/>
      <c r="Z242" s="14"/>
    </row>
    <row r="243">
      <c r="A243" s="8" t="s">
        <v>1535</v>
      </c>
      <c r="B243" s="8" t="s">
        <v>1536</v>
      </c>
      <c r="C243" s="8" t="s">
        <v>25</v>
      </c>
      <c r="D243" s="8" t="s">
        <v>26</v>
      </c>
      <c r="E243" s="8" t="s">
        <v>1537</v>
      </c>
      <c r="F243" s="8">
        <v>5.458171158E9</v>
      </c>
      <c r="G243" s="8" t="s">
        <v>31</v>
      </c>
      <c r="H243" s="8" t="s">
        <v>32</v>
      </c>
      <c r="I243" s="8" t="s">
        <v>67</v>
      </c>
      <c r="J243" s="8" t="s">
        <v>781</v>
      </c>
      <c r="K243" s="10" t="s">
        <v>1538</v>
      </c>
      <c r="L243" s="8" t="s">
        <v>47</v>
      </c>
      <c r="M243" s="8" t="s">
        <v>35</v>
      </c>
      <c r="N243" s="11">
        <v>44797.0</v>
      </c>
      <c r="O243" s="11">
        <v>44819.0</v>
      </c>
      <c r="P243" s="11">
        <v>44895.0</v>
      </c>
      <c r="Q243" s="11">
        <v>44846.0</v>
      </c>
      <c r="R243" s="11">
        <v>44907.0</v>
      </c>
      <c r="S243" s="12"/>
      <c r="T243" s="8"/>
      <c r="U243" s="8" t="s">
        <v>1539</v>
      </c>
      <c r="V243" s="13" t="s">
        <v>1540</v>
      </c>
      <c r="W243" s="13" t="s">
        <v>1541</v>
      </c>
      <c r="X243" s="12"/>
      <c r="Y243" s="14"/>
      <c r="Z243" s="14"/>
    </row>
    <row r="244">
      <c r="A244" s="8" t="s">
        <v>1542</v>
      </c>
      <c r="B244" s="8" t="s">
        <v>1543</v>
      </c>
      <c r="C244" s="8" t="s">
        <v>251</v>
      </c>
      <c r="D244" s="8" t="s">
        <v>26</v>
      </c>
      <c r="E244" s="8" t="s">
        <v>1544</v>
      </c>
      <c r="F244" s="8">
        <v>5.010727756E9</v>
      </c>
      <c r="G244" s="8" t="s">
        <v>254</v>
      </c>
      <c r="H244" s="8" t="s">
        <v>1007</v>
      </c>
      <c r="I244" s="8" t="s">
        <v>31</v>
      </c>
      <c r="J244" s="8" t="s">
        <v>77</v>
      </c>
      <c r="K244" s="10" t="s">
        <v>1545</v>
      </c>
      <c r="L244" s="8" t="s">
        <v>47</v>
      </c>
      <c r="M244" s="8" t="s">
        <v>70</v>
      </c>
      <c r="N244" s="11">
        <v>44798.0</v>
      </c>
      <c r="O244" s="11">
        <v>44816.0</v>
      </c>
      <c r="P244" s="11">
        <v>45107.0</v>
      </c>
      <c r="Q244" s="11"/>
      <c r="R244" s="11"/>
      <c r="S244" s="12"/>
      <c r="T244" s="8"/>
      <c r="U244" s="8" t="s">
        <v>1546</v>
      </c>
      <c r="V244" s="13" t="s">
        <v>1249</v>
      </c>
      <c r="W244" s="13" t="s">
        <v>1547</v>
      </c>
      <c r="X244" s="12"/>
      <c r="Y244" s="14"/>
      <c r="Z244" s="14"/>
    </row>
    <row r="245">
      <c r="A245" s="8" t="s">
        <v>1548</v>
      </c>
      <c r="B245" s="8" t="s">
        <v>1549</v>
      </c>
      <c r="C245" s="8" t="s">
        <v>251</v>
      </c>
      <c r="D245" s="8" t="s">
        <v>26</v>
      </c>
      <c r="E245" s="8" t="s">
        <v>1550</v>
      </c>
      <c r="F245" s="8">
        <v>6.68825568E8</v>
      </c>
      <c r="G245" s="8" t="s">
        <v>84</v>
      </c>
      <c r="H245" s="8" t="s">
        <v>1551</v>
      </c>
      <c r="I245" s="8" t="s">
        <v>31</v>
      </c>
      <c r="J245" s="8" t="s">
        <v>292</v>
      </c>
      <c r="K245" s="10" t="s">
        <v>1260</v>
      </c>
      <c r="L245" s="8" t="s">
        <v>47</v>
      </c>
      <c r="M245" s="8" t="s">
        <v>70</v>
      </c>
      <c r="N245" s="11">
        <v>44798.0</v>
      </c>
      <c r="O245" s="11">
        <v>44837.0</v>
      </c>
      <c r="P245" s="11">
        <v>45202.0</v>
      </c>
      <c r="Q245" s="11"/>
      <c r="R245" s="11"/>
      <c r="S245" s="12"/>
      <c r="T245" s="8"/>
      <c r="U245" s="8" t="s">
        <v>1261</v>
      </c>
      <c r="V245" s="13" t="s">
        <v>1552</v>
      </c>
      <c r="W245" s="13" t="s">
        <v>1553</v>
      </c>
      <c r="X245" s="12"/>
      <c r="Y245" s="14"/>
      <c r="Z245" s="14"/>
    </row>
    <row r="246">
      <c r="A246" s="8" t="s">
        <v>1554</v>
      </c>
      <c r="B246" s="8" t="s">
        <v>1555</v>
      </c>
      <c r="C246" s="8" t="s">
        <v>25</v>
      </c>
      <c r="D246" s="8" t="s">
        <v>26</v>
      </c>
      <c r="E246" s="8" t="s">
        <v>1556</v>
      </c>
      <c r="F246" s="8">
        <v>5.06515821E9</v>
      </c>
      <c r="G246" s="8" t="s">
        <v>315</v>
      </c>
      <c r="H246" s="8" t="s">
        <v>1557</v>
      </c>
      <c r="I246" s="8" t="s">
        <v>31</v>
      </c>
      <c r="J246" s="8" t="s">
        <v>32</v>
      </c>
      <c r="K246" s="10" t="s">
        <v>716</v>
      </c>
      <c r="L246" s="8" t="s">
        <v>47</v>
      </c>
      <c r="M246" s="8" t="s">
        <v>70</v>
      </c>
      <c r="N246" s="11">
        <v>44799.0</v>
      </c>
      <c r="O246" s="11">
        <v>44822.0</v>
      </c>
      <c r="P246" s="11">
        <v>45125.0</v>
      </c>
      <c r="Q246" s="11">
        <v>44837.0</v>
      </c>
      <c r="R246" s="11">
        <v>45148.0</v>
      </c>
      <c r="S246" s="12"/>
      <c r="T246" s="8"/>
      <c r="U246" s="8" t="s">
        <v>717</v>
      </c>
      <c r="V246" s="13" t="s">
        <v>1558</v>
      </c>
      <c r="W246" s="13" t="s">
        <v>1559</v>
      </c>
      <c r="X246" s="12"/>
      <c r="Y246" s="14"/>
      <c r="Z246" s="14"/>
    </row>
    <row r="247">
      <c r="A247" s="8" t="s">
        <v>1560</v>
      </c>
      <c r="B247" s="8" t="s">
        <v>1561</v>
      </c>
      <c r="C247" s="8" t="s">
        <v>179</v>
      </c>
      <c r="D247" s="8" t="s">
        <v>26</v>
      </c>
      <c r="E247" s="8" t="s">
        <v>1562</v>
      </c>
      <c r="F247" s="9" t="s">
        <v>1563</v>
      </c>
      <c r="G247" s="8" t="s">
        <v>31</v>
      </c>
      <c r="H247" s="8" t="s">
        <v>66</v>
      </c>
      <c r="I247" s="8" t="s">
        <v>1400</v>
      </c>
      <c r="J247" s="8" t="s">
        <v>1564</v>
      </c>
      <c r="K247" s="10" t="s">
        <v>1565</v>
      </c>
      <c r="L247" s="8" t="s">
        <v>58</v>
      </c>
      <c r="M247" s="8" t="s">
        <v>35</v>
      </c>
      <c r="N247" s="11">
        <v>44799.0</v>
      </c>
      <c r="O247" s="11">
        <v>44938.0</v>
      </c>
      <c r="P247" s="11">
        <v>44980.0</v>
      </c>
      <c r="Q247" s="11"/>
      <c r="R247" s="11"/>
      <c r="S247" s="12"/>
      <c r="T247" s="8"/>
      <c r="U247" s="8" t="s">
        <v>88</v>
      </c>
      <c r="V247" s="13" t="s">
        <v>66</v>
      </c>
      <c r="W247" s="13" t="s">
        <v>1566</v>
      </c>
      <c r="X247" s="12"/>
      <c r="Y247" s="14"/>
      <c r="Z247" s="14"/>
    </row>
    <row r="248">
      <c r="A248" s="8" t="s">
        <v>1567</v>
      </c>
      <c r="B248" s="8" t="s">
        <v>1568</v>
      </c>
      <c r="C248" s="8" t="s">
        <v>64</v>
      </c>
      <c r="D248" s="8" t="s">
        <v>26</v>
      </c>
      <c r="E248" s="8" t="s">
        <v>1569</v>
      </c>
      <c r="F248" s="8">
        <v>5.04441739E8</v>
      </c>
      <c r="G248" s="8" t="s">
        <v>277</v>
      </c>
      <c r="H248" s="8" t="s">
        <v>607</v>
      </c>
      <c r="I248" s="8" t="s">
        <v>31</v>
      </c>
      <c r="J248" s="8" t="s">
        <v>66</v>
      </c>
      <c r="K248" s="10" t="s">
        <v>1570</v>
      </c>
      <c r="L248" s="8" t="s">
        <v>47</v>
      </c>
      <c r="M248" s="8" t="s">
        <v>70</v>
      </c>
      <c r="N248" s="11">
        <v>44799.0</v>
      </c>
      <c r="O248" s="11">
        <v>44823.0</v>
      </c>
      <c r="P248" s="11">
        <v>45096.0</v>
      </c>
      <c r="Q248" s="11">
        <v>44824.0</v>
      </c>
      <c r="R248" s="11">
        <v>45096.0</v>
      </c>
      <c r="S248" s="12"/>
      <c r="T248" s="8"/>
      <c r="U248" s="8" t="s">
        <v>1571</v>
      </c>
      <c r="V248" s="13" t="s">
        <v>1572</v>
      </c>
      <c r="W248" s="13" t="s">
        <v>1573</v>
      </c>
      <c r="X248" s="12"/>
      <c r="Y248" s="14"/>
      <c r="Z248" s="14"/>
    </row>
    <row r="249">
      <c r="A249" s="8" t="s">
        <v>1574</v>
      </c>
      <c r="B249" s="8" t="s">
        <v>1575</v>
      </c>
      <c r="C249" s="8" t="s">
        <v>64</v>
      </c>
      <c r="D249" s="8" t="s">
        <v>26</v>
      </c>
      <c r="E249" s="8" t="s">
        <v>1576</v>
      </c>
      <c r="F249" s="8">
        <v>7.47256058E8</v>
      </c>
      <c r="G249" s="8" t="s">
        <v>722</v>
      </c>
      <c r="H249" s="8" t="s">
        <v>892</v>
      </c>
      <c r="I249" s="8" t="s">
        <v>31</v>
      </c>
      <c r="J249" s="8" t="s">
        <v>32</v>
      </c>
      <c r="K249" s="10" t="s">
        <v>1577</v>
      </c>
      <c r="L249" s="8" t="s">
        <v>58</v>
      </c>
      <c r="M249" s="8" t="s">
        <v>35</v>
      </c>
      <c r="N249" s="11">
        <v>44799.0</v>
      </c>
      <c r="O249" s="11">
        <v>44823.0</v>
      </c>
      <c r="P249" s="11">
        <v>44865.0</v>
      </c>
      <c r="Q249" s="11">
        <v>44855.0</v>
      </c>
      <c r="R249" s="11">
        <v>44897.0</v>
      </c>
      <c r="S249" s="12"/>
      <c r="T249" s="8"/>
      <c r="U249" s="8" t="s">
        <v>59</v>
      </c>
      <c r="V249" s="13" t="s">
        <v>894</v>
      </c>
      <c r="W249" s="13" t="s">
        <v>1578</v>
      </c>
      <c r="X249" s="12"/>
      <c r="Y249" s="14"/>
      <c r="Z249" s="14"/>
    </row>
    <row r="250">
      <c r="A250" s="8" t="s">
        <v>1579</v>
      </c>
      <c r="B250" s="8" t="s">
        <v>1580</v>
      </c>
      <c r="C250" s="8" t="s">
        <v>25</v>
      </c>
      <c r="D250" s="8" t="s">
        <v>26</v>
      </c>
      <c r="E250" s="8" t="s">
        <v>1581</v>
      </c>
      <c r="F250" s="8">
        <v>5.2101125E7</v>
      </c>
      <c r="G250" s="8" t="s">
        <v>54</v>
      </c>
      <c r="H250" s="8" t="s">
        <v>595</v>
      </c>
      <c r="I250" s="8" t="s">
        <v>31</v>
      </c>
      <c r="J250" s="8" t="s">
        <v>77</v>
      </c>
      <c r="K250" s="10" t="s">
        <v>1582</v>
      </c>
      <c r="L250" s="8" t="s">
        <v>58</v>
      </c>
      <c r="M250" s="8" t="s">
        <v>35</v>
      </c>
      <c r="N250" s="11">
        <v>44800.0</v>
      </c>
      <c r="O250" s="11">
        <v>44817.0</v>
      </c>
      <c r="P250" s="11">
        <v>44859.0</v>
      </c>
      <c r="Q250" s="11">
        <v>44820.0</v>
      </c>
      <c r="R250" s="11">
        <v>44863.0</v>
      </c>
      <c r="S250" s="12"/>
      <c r="T250" s="8"/>
      <c r="U250" s="8" t="s">
        <v>59</v>
      </c>
      <c r="V250" s="13" t="s">
        <v>1583</v>
      </c>
      <c r="W250" s="13" t="s">
        <v>1584</v>
      </c>
      <c r="X250" s="12"/>
      <c r="Y250" s="14"/>
      <c r="Z250" s="14"/>
    </row>
    <row r="251">
      <c r="A251" s="8" t="s">
        <v>1585</v>
      </c>
      <c r="B251" s="8" t="s">
        <v>1586</v>
      </c>
      <c r="C251" s="8" t="s">
        <v>179</v>
      </c>
      <c r="D251" s="8" t="s">
        <v>26</v>
      </c>
      <c r="E251" s="8" t="s">
        <v>1587</v>
      </c>
      <c r="F251" s="8"/>
      <c r="G251" s="8" t="s">
        <v>31</v>
      </c>
      <c r="H251" s="8" t="s">
        <v>66</v>
      </c>
      <c r="I251" s="8" t="s">
        <v>44</v>
      </c>
      <c r="J251" s="8" t="s">
        <v>1588</v>
      </c>
      <c r="K251" s="10" t="s">
        <v>1589</v>
      </c>
      <c r="L251" s="8" t="s">
        <v>58</v>
      </c>
      <c r="M251" s="8" t="s">
        <v>35</v>
      </c>
      <c r="N251" s="11">
        <v>44800.0</v>
      </c>
      <c r="O251" s="11">
        <v>44888.0</v>
      </c>
      <c r="P251" s="11">
        <v>44930.0</v>
      </c>
      <c r="Q251" s="11"/>
      <c r="R251" s="11"/>
      <c r="S251" s="12"/>
      <c r="T251" s="8"/>
      <c r="U251" s="8" t="s">
        <v>1590</v>
      </c>
      <c r="V251" s="13" t="s">
        <v>38</v>
      </c>
      <c r="W251" s="13" t="s">
        <v>1591</v>
      </c>
      <c r="X251" s="12"/>
      <c r="Y251" s="14"/>
      <c r="Z251" s="14"/>
    </row>
    <row r="252">
      <c r="A252" s="8" t="s">
        <v>1592</v>
      </c>
      <c r="B252" s="8" t="s">
        <v>1593</v>
      </c>
      <c r="C252" s="8" t="s">
        <v>64</v>
      </c>
      <c r="D252" s="8" t="s">
        <v>26</v>
      </c>
      <c r="E252" s="8" t="s">
        <v>1594</v>
      </c>
      <c r="F252" s="8"/>
      <c r="G252" s="8" t="s">
        <v>31</v>
      </c>
      <c r="H252" s="8" t="s">
        <v>56</v>
      </c>
      <c r="I252" s="8" t="s">
        <v>1595</v>
      </c>
      <c r="J252" s="8" t="s">
        <v>1596</v>
      </c>
      <c r="K252" s="10" t="s">
        <v>1597</v>
      </c>
      <c r="L252" s="8" t="s">
        <v>47</v>
      </c>
      <c r="M252" s="8" t="s">
        <v>48</v>
      </c>
      <c r="N252" s="11">
        <v>44800.0</v>
      </c>
      <c r="O252" s="11">
        <v>44805.0</v>
      </c>
      <c r="P252" s="11">
        <v>44986.0</v>
      </c>
      <c r="Q252" s="11">
        <v>44846.0</v>
      </c>
      <c r="R252" s="11">
        <v>45026.0</v>
      </c>
      <c r="S252" s="12"/>
      <c r="T252" s="8"/>
      <c r="U252" s="8" t="s">
        <v>1598</v>
      </c>
      <c r="V252" s="13" t="s">
        <v>56</v>
      </c>
      <c r="W252" s="13" t="s">
        <v>1599</v>
      </c>
      <c r="X252" s="12"/>
      <c r="Y252" s="14"/>
      <c r="Z252" s="14"/>
    </row>
    <row r="253">
      <c r="A253" s="8" t="s">
        <v>1600</v>
      </c>
      <c r="B253" s="8" t="s">
        <v>1601</v>
      </c>
      <c r="C253" s="8" t="s">
        <v>25</v>
      </c>
      <c r="D253" s="8" t="s">
        <v>26</v>
      </c>
      <c r="E253" s="8" t="s">
        <v>1602</v>
      </c>
      <c r="F253" s="8">
        <v>5.8664195E7</v>
      </c>
      <c r="G253" s="8" t="s">
        <v>54</v>
      </c>
      <c r="H253" s="8" t="s">
        <v>377</v>
      </c>
      <c r="I253" s="8" t="s">
        <v>31</v>
      </c>
      <c r="J253" s="8" t="s">
        <v>136</v>
      </c>
      <c r="K253" s="10" t="s">
        <v>1603</v>
      </c>
      <c r="L253" s="8" t="s">
        <v>47</v>
      </c>
      <c r="M253" s="8" t="s">
        <v>35</v>
      </c>
      <c r="N253" s="11">
        <v>44801.0</v>
      </c>
      <c r="O253" s="11">
        <v>44830.0</v>
      </c>
      <c r="P253" s="11">
        <v>44913.0</v>
      </c>
      <c r="Q253" s="11">
        <v>44833.0</v>
      </c>
      <c r="R253" s="11">
        <v>44914.0</v>
      </c>
      <c r="S253" s="12"/>
      <c r="T253" s="8"/>
      <c r="U253" s="8" t="s">
        <v>1463</v>
      </c>
      <c r="V253" s="13" t="s">
        <v>1604</v>
      </c>
      <c r="W253" s="13" t="s">
        <v>1605</v>
      </c>
      <c r="X253" s="12"/>
      <c r="Y253" s="14"/>
      <c r="Z253" s="14"/>
    </row>
    <row r="254">
      <c r="A254" s="8" t="s">
        <v>1606</v>
      </c>
      <c r="B254" s="8" t="s">
        <v>1607</v>
      </c>
      <c r="C254" s="8" t="s">
        <v>25</v>
      </c>
      <c r="D254" s="8" t="s">
        <v>26</v>
      </c>
      <c r="E254" s="8" t="s">
        <v>1608</v>
      </c>
      <c r="F254" s="8">
        <v>2.474745E7</v>
      </c>
      <c r="G254" s="8" t="s">
        <v>54</v>
      </c>
      <c r="H254" s="8" t="s">
        <v>377</v>
      </c>
      <c r="I254" s="8" t="s">
        <v>31</v>
      </c>
      <c r="J254" s="8" t="s">
        <v>77</v>
      </c>
      <c r="K254" s="10" t="s">
        <v>1609</v>
      </c>
      <c r="L254" s="8" t="s">
        <v>34</v>
      </c>
      <c r="M254" s="8" t="s">
        <v>70</v>
      </c>
      <c r="N254" s="11">
        <v>44801.0</v>
      </c>
      <c r="O254" s="11">
        <v>44805.0</v>
      </c>
      <c r="P254" s="11">
        <v>45170.0</v>
      </c>
      <c r="Q254" s="11">
        <v>44826.0</v>
      </c>
      <c r="R254" s="11">
        <v>45188.0</v>
      </c>
      <c r="S254" s="12"/>
      <c r="T254" s="8" t="s">
        <v>36</v>
      </c>
      <c r="U254" s="8" t="s">
        <v>1610</v>
      </c>
      <c r="V254" s="13" t="s">
        <v>1611</v>
      </c>
      <c r="W254" s="13" t="s">
        <v>1612</v>
      </c>
      <c r="X254" s="12"/>
      <c r="Y254" s="14"/>
      <c r="Z254" s="14"/>
    </row>
    <row r="255">
      <c r="A255" s="8" t="s">
        <v>1613</v>
      </c>
      <c r="B255" s="8" t="s">
        <v>1614</v>
      </c>
      <c r="C255" s="8" t="s">
        <v>251</v>
      </c>
      <c r="D255" s="8" t="s">
        <v>26</v>
      </c>
      <c r="E255" s="8" t="s">
        <v>1615</v>
      </c>
      <c r="F255" s="8"/>
      <c r="G255" s="8" t="s">
        <v>84</v>
      </c>
      <c r="H255" s="8" t="s">
        <v>1266</v>
      </c>
      <c r="I255" s="8" t="s">
        <v>31</v>
      </c>
      <c r="J255" s="8" t="s">
        <v>542</v>
      </c>
      <c r="K255" s="10" t="s">
        <v>1315</v>
      </c>
      <c r="L255" s="8" t="s">
        <v>47</v>
      </c>
      <c r="M255" s="8" t="s">
        <v>70</v>
      </c>
      <c r="N255" s="11">
        <v>44801.0</v>
      </c>
      <c r="O255" s="11">
        <v>44816.0</v>
      </c>
      <c r="P255" s="11">
        <v>45107.0</v>
      </c>
      <c r="Q255" s="11"/>
      <c r="R255" s="11"/>
      <c r="S255" s="12"/>
      <c r="T255" s="8" t="s">
        <v>121</v>
      </c>
      <c r="U255" s="8" t="s">
        <v>1316</v>
      </c>
      <c r="V255" s="13" t="s">
        <v>38</v>
      </c>
      <c r="W255" s="13" t="s">
        <v>1616</v>
      </c>
      <c r="X255" s="12"/>
      <c r="Y255" s="14"/>
      <c r="Z255" s="14"/>
    </row>
    <row r="256">
      <c r="A256" s="8" t="s">
        <v>1617</v>
      </c>
      <c r="B256" s="8" t="s">
        <v>1618</v>
      </c>
      <c r="C256" s="8" t="s">
        <v>25</v>
      </c>
      <c r="D256" s="8" t="s">
        <v>26</v>
      </c>
      <c r="E256" s="8" t="s">
        <v>1619</v>
      </c>
      <c r="F256" s="8">
        <v>5.55351981E8</v>
      </c>
      <c r="G256" s="8" t="s">
        <v>1620</v>
      </c>
      <c r="H256" s="8" t="s">
        <v>1621</v>
      </c>
      <c r="I256" s="8" t="s">
        <v>31</v>
      </c>
      <c r="J256" s="8" t="s">
        <v>1274</v>
      </c>
      <c r="K256" s="10" t="s">
        <v>1622</v>
      </c>
      <c r="L256" s="8" t="s">
        <v>34</v>
      </c>
      <c r="M256" s="8" t="s">
        <v>70</v>
      </c>
      <c r="N256" s="11">
        <v>44801.0</v>
      </c>
      <c r="O256" s="11">
        <v>44802.0</v>
      </c>
      <c r="P256" s="11">
        <v>44991.0</v>
      </c>
      <c r="Q256" s="11">
        <v>44864.0</v>
      </c>
      <c r="R256" s="11">
        <v>44995.0</v>
      </c>
      <c r="S256" s="12"/>
      <c r="T256" s="8" t="s">
        <v>121</v>
      </c>
      <c r="U256" s="8" t="s">
        <v>37</v>
      </c>
      <c r="V256" s="13" t="s">
        <v>1623</v>
      </c>
      <c r="W256" s="13" t="s">
        <v>1624</v>
      </c>
      <c r="X256" s="12"/>
      <c r="Y256" s="14"/>
      <c r="Z256" s="14"/>
    </row>
    <row r="257">
      <c r="A257" s="8" t="s">
        <v>1625</v>
      </c>
      <c r="B257" s="8" t="s">
        <v>1626</v>
      </c>
      <c r="C257" s="8" t="s">
        <v>25</v>
      </c>
      <c r="D257" s="8" t="s">
        <v>26</v>
      </c>
      <c r="E257" s="8" t="s">
        <v>1627</v>
      </c>
      <c r="F257" s="8">
        <v>5.363347949E9</v>
      </c>
      <c r="G257" s="8" t="s">
        <v>31</v>
      </c>
      <c r="H257" s="8" t="s">
        <v>77</v>
      </c>
      <c r="I257" s="8" t="s">
        <v>127</v>
      </c>
      <c r="J257" s="8" t="s">
        <v>1628</v>
      </c>
      <c r="K257" s="10" t="s">
        <v>1629</v>
      </c>
      <c r="L257" s="8" t="s">
        <v>58</v>
      </c>
      <c r="M257" s="8" t="s">
        <v>35</v>
      </c>
      <c r="N257" s="11">
        <v>44801.0</v>
      </c>
      <c r="O257" s="11">
        <v>44935.0</v>
      </c>
      <c r="P257" s="11">
        <v>44977.0</v>
      </c>
      <c r="Q257" s="11">
        <v>44945.0</v>
      </c>
      <c r="R257" s="11">
        <v>44987.0</v>
      </c>
      <c r="S257" s="12"/>
      <c r="T257" s="8"/>
      <c r="U257" s="8" t="s">
        <v>88</v>
      </c>
      <c r="V257" s="13" t="s">
        <v>1630</v>
      </c>
      <c r="W257" s="13" t="s">
        <v>1631</v>
      </c>
      <c r="X257" s="12"/>
      <c r="Y257" s="14"/>
      <c r="Z257" s="14"/>
    </row>
    <row r="258">
      <c r="A258" s="8" t="s">
        <v>1632</v>
      </c>
      <c r="B258" s="8" t="s">
        <v>1633</v>
      </c>
      <c r="C258" s="8" t="s">
        <v>25</v>
      </c>
      <c r="D258" s="8" t="s">
        <v>26</v>
      </c>
      <c r="E258" s="8" t="s">
        <v>1634</v>
      </c>
      <c r="F258" s="8"/>
      <c r="G258" s="8" t="s">
        <v>1620</v>
      </c>
      <c r="H258" s="8" t="s">
        <v>1635</v>
      </c>
      <c r="I258" s="8" t="s">
        <v>31</v>
      </c>
      <c r="J258" s="8" t="s">
        <v>77</v>
      </c>
      <c r="K258" s="10" t="s">
        <v>1582</v>
      </c>
      <c r="L258" s="8" t="s">
        <v>58</v>
      </c>
      <c r="M258" s="8" t="s">
        <v>35</v>
      </c>
      <c r="N258" s="11">
        <v>44802.0</v>
      </c>
      <c r="O258" s="11">
        <v>44817.0</v>
      </c>
      <c r="P258" s="11">
        <v>44859.0</v>
      </c>
      <c r="Q258" s="11">
        <v>44817.0</v>
      </c>
      <c r="R258" s="11">
        <v>44856.0</v>
      </c>
      <c r="S258" s="12"/>
      <c r="T258" s="8"/>
      <c r="U258" s="8" t="s">
        <v>59</v>
      </c>
      <c r="V258" s="13" t="s">
        <v>38</v>
      </c>
      <c r="W258" s="13" t="s">
        <v>1636</v>
      </c>
      <c r="X258" s="12"/>
      <c r="Y258" s="14"/>
      <c r="Z258" s="14"/>
    </row>
    <row r="259">
      <c r="A259" s="8" t="s">
        <v>1637</v>
      </c>
      <c r="B259" s="8" t="s">
        <v>1638</v>
      </c>
      <c r="C259" s="8" t="s">
        <v>25</v>
      </c>
      <c r="D259" s="8" t="s">
        <v>26</v>
      </c>
      <c r="E259" s="8" t="s">
        <v>1639</v>
      </c>
      <c r="F259" s="8">
        <v>2.8072199E7</v>
      </c>
      <c r="G259" s="8" t="s">
        <v>54</v>
      </c>
      <c r="H259" s="8" t="s">
        <v>1640</v>
      </c>
      <c r="I259" s="8" t="s">
        <v>31</v>
      </c>
      <c r="J259" s="8" t="s">
        <v>1274</v>
      </c>
      <c r="K259" s="10" t="s">
        <v>1641</v>
      </c>
      <c r="L259" s="8" t="s">
        <v>58</v>
      </c>
      <c r="M259" s="8" t="s">
        <v>35</v>
      </c>
      <c r="N259" s="11">
        <v>44802.0</v>
      </c>
      <c r="O259" s="11">
        <v>44823.0</v>
      </c>
      <c r="P259" s="11">
        <v>44865.0</v>
      </c>
      <c r="Q259" s="11">
        <v>44827.0</v>
      </c>
      <c r="R259" s="11">
        <v>44861.0</v>
      </c>
      <c r="S259" s="12"/>
      <c r="T259" s="8"/>
      <c r="U259" s="8" t="s">
        <v>185</v>
      </c>
      <c r="V259" s="13" t="s">
        <v>1642</v>
      </c>
      <c r="W259" s="13" t="s">
        <v>1643</v>
      </c>
      <c r="X259" s="12"/>
      <c r="Y259" s="14"/>
      <c r="Z259" s="14"/>
    </row>
    <row r="260">
      <c r="A260" s="8" t="s">
        <v>1644</v>
      </c>
      <c r="B260" s="8" t="s">
        <v>1645</v>
      </c>
      <c r="C260" s="8" t="s">
        <v>64</v>
      </c>
      <c r="D260" s="8" t="s">
        <v>26</v>
      </c>
      <c r="E260" s="8" t="s">
        <v>1646</v>
      </c>
      <c r="F260" s="8"/>
      <c r="G260" s="8" t="s">
        <v>84</v>
      </c>
      <c r="H260" s="8" t="s">
        <v>85</v>
      </c>
      <c r="I260" s="8" t="s">
        <v>31</v>
      </c>
      <c r="J260" s="8" t="s">
        <v>86</v>
      </c>
      <c r="K260" s="10" t="s">
        <v>1647</v>
      </c>
      <c r="L260" s="8" t="s">
        <v>47</v>
      </c>
      <c r="M260" s="8" t="s">
        <v>70</v>
      </c>
      <c r="N260" s="11">
        <v>44802.0</v>
      </c>
      <c r="O260" s="11">
        <v>44816.0</v>
      </c>
      <c r="P260" s="11">
        <v>45086.0</v>
      </c>
      <c r="Q260" s="11">
        <v>44851.0</v>
      </c>
      <c r="R260" s="11">
        <v>45086.0</v>
      </c>
      <c r="S260" s="12"/>
      <c r="T260" s="8"/>
      <c r="U260" s="8" t="s">
        <v>246</v>
      </c>
      <c r="V260" s="13" t="s">
        <v>1648</v>
      </c>
      <c r="W260" s="13" t="s">
        <v>1649</v>
      </c>
      <c r="X260" s="12"/>
      <c r="Y260" s="14"/>
      <c r="Z260" s="14"/>
    </row>
    <row r="261">
      <c r="A261" s="8" t="s">
        <v>1650</v>
      </c>
      <c r="B261" s="8" t="s">
        <v>1651</v>
      </c>
      <c r="C261" s="8" t="s">
        <v>64</v>
      </c>
      <c r="D261" s="8" t="s">
        <v>26</v>
      </c>
      <c r="E261" s="8" t="s">
        <v>1652</v>
      </c>
      <c r="F261" s="8">
        <v>6.942779538E9</v>
      </c>
      <c r="G261" s="8" t="s">
        <v>143</v>
      </c>
      <c r="H261" s="8" t="s">
        <v>1478</v>
      </c>
      <c r="I261" s="8" t="s">
        <v>31</v>
      </c>
      <c r="J261" s="8" t="s">
        <v>542</v>
      </c>
      <c r="K261" s="10" t="s">
        <v>1653</v>
      </c>
      <c r="L261" s="8" t="s">
        <v>58</v>
      </c>
      <c r="M261" s="8" t="s">
        <v>35</v>
      </c>
      <c r="N261" s="11">
        <v>44802.0</v>
      </c>
      <c r="O261" s="11">
        <v>44837.0</v>
      </c>
      <c r="P261" s="11">
        <v>44879.0</v>
      </c>
      <c r="Q261" s="11">
        <v>44868.0</v>
      </c>
      <c r="R261" s="11">
        <v>44910.0</v>
      </c>
      <c r="S261" s="12"/>
      <c r="T261" s="8"/>
      <c r="U261" s="8" t="s">
        <v>59</v>
      </c>
      <c r="V261" s="13" t="s">
        <v>1654</v>
      </c>
      <c r="W261" s="13" t="s">
        <v>1655</v>
      </c>
      <c r="X261" s="12"/>
      <c r="Y261" s="14"/>
      <c r="Z261" s="14"/>
    </row>
    <row r="262">
      <c r="A262" s="8" t="s">
        <v>1656</v>
      </c>
      <c r="B262" s="8" t="s">
        <v>1657</v>
      </c>
      <c r="C262" s="8" t="s">
        <v>25</v>
      </c>
      <c r="D262" s="8" t="s">
        <v>26</v>
      </c>
      <c r="E262" s="8" t="s">
        <v>1658</v>
      </c>
      <c r="F262" s="8">
        <v>2.0946364E7</v>
      </c>
      <c r="G262" s="8" t="s">
        <v>54</v>
      </c>
      <c r="H262" s="8" t="s">
        <v>1640</v>
      </c>
      <c r="I262" s="8" t="s">
        <v>31</v>
      </c>
      <c r="J262" s="8" t="s">
        <v>1274</v>
      </c>
      <c r="K262" s="10" t="s">
        <v>1641</v>
      </c>
      <c r="L262" s="8" t="s">
        <v>58</v>
      </c>
      <c r="M262" s="8" t="s">
        <v>35</v>
      </c>
      <c r="N262" s="11">
        <v>44802.0</v>
      </c>
      <c r="O262" s="11">
        <v>44823.0</v>
      </c>
      <c r="P262" s="11">
        <v>44865.0</v>
      </c>
      <c r="Q262" s="11">
        <v>44827.0</v>
      </c>
      <c r="R262" s="11">
        <v>44862.0</v>
      </c>
      <c r="S262" s="12"/>
      <c r="T262" s="8"/>
      <c r="U262" s="8" t="s">
        <v>185</v>
      </c>
      <c r="V262" s="13" t="s">
        <v>1659</v>
      </c>
      <c r="W262" s="13" t="s">
        <v>1660</v>
      </c>
      <c r="X262" s="12"/>
      <c r="Y262" s="14"/>
      <c r="Z262" s="14"/>
    </row>
    <row r="263">
      <c r="A263" s="8" t="s">
        <v>1661</v>
      </c>
      <c r="B263" s="8" t="s">
        <v>1662</v>
      </c>
      <c r="C263" s="8" t="s">
        <v>64</v>
      </c>
      <c r="D263" s="8" t="s">
        <v>26</v>
      </c>
      <c r="E263" s="8" t="s">
        <v>1663</v>
      </c>
      <c r="F263" s="8">
        <v>2.0026222E7</v>
      </c>
      <c r="G263" s="8" t="s">
        <v>54</v>
      </c>
      <c r="H263" s="8" t="s">
        <v>1640</v>
      </c>
      <c r="I263" s="8" t="s">
        <v>31</v>
      </c>
      <c r="J263" s="8" t="s">
        <v>77</v>
      </c>
      <c r="K263" s="10" t="s">
        <v>764</v>
      </c>
      <c r="L263" s="8" t="s">
        <v>58</v>
      </c>
      <c r="M263" s="8" t="s">
        <v>35</v>
      </c>
      <c r="N263" s="11">
        <v>44802.0</v>
      </c>
      <c r="O263" s="11">
        <v>44823.0</v>
      </c>
      <c r="P263" s="11">
        <v>44865.0</v>
      </c>
      <c r="Q263" s="11">
        <v>44859.0</v>
      </c>
      <c r="R263" s="11">
        <v>44898.0</v>
      </c>
      <c r="S263" s="12"/>
      <c r="T263" s="8"/>
      <c r="U263" s="8" t="s">
        <v>59</v>
      </c>
      <c r="V263" s="13" t="s">
        <v>1664</v>
      </c>
      <c r="W263" s="13" t="s">
        <v>1665</v>
      </c>
      <c r="X263" s="12"/>
      <c r="Y263" s="14"/>
      <c r="Z263" s="14"/>
    </row>
    <row r="264">
      <c r="A264" s="8" t="s">
        <v>1666</v>
      </c>
      <c r="B264" s="8" t="s">
        <v>1667</v>
      </c>
      <c r="C264" s="8" t="s">
        <v>64</v>
      </c>
      <c r="D264" s="8" t="s">
        <v>26</v>
      </c>
      <c r="E264" s="8" t="s">
        <v>1668</v>
      </c>
      <c r="F264" s="8">
        <v>2.3623526E7</v>
      </c>
      <c r="G264" s="8" t="s">
        <v>54</v>
      </c>
      <c r="H264" s="8" t="s">
        <v>369</v>
      </c>
      <c r="I264" s="8" t="s">
        <v>31</v>
      </c>
      <c r="J264" s="8" t="s">
        <v>220</v>
      </c>
      <c r="K264" s="10" t="s">
        <v>1669</v>
      </c>
      <c r="L264" s="8" t="s">
        <v>34</v>
      </c>
      <c r="M264" s="8" t="s">
        <v>70</v>
      </c>
      <c r="N264" s="11">
        <v>44802.0</v>
      </c>
      <c r="O264" s="11">
        <v>44834.0</v>
      </c>
      <c r="P264" s="11">
        <v>45199.0</v>
      </c>
      <c r="Q264" s="11">
        <v>44875.0</v>
      </c>
      <c r="R264" s="11">
        <v>45240.0</v>
      </c>
      <c r="S264" s="12"/>
      <c r="T264" s="8" t="s">
        <v>205</v>
      </c>
      <c r="U264" s="8" t="s">
        <v>1670</v>
      </c>
      <c r="V264" s="13" t="s">
        <v>1671</v>
      </c>
      <c r="W264" s="13" t="s">
        <v>1672</v>
      </c>
      <c r="X264" s="12"/>
      <c r="Y264" s="14"/>
      <c r="Z264" s="14"/>
    </row>
    <row r="265">
      <c r="A265" s="8" t="s">
        <v>1673</v>
      </c>
      <c r="B265" s="8" t="s">
        <v>1674</v>
      </c>
      <c r="C265" s="8" t="s">
        <v>335</v>
      </c>
      <c r="D265" s="8" t="s">
        <v>26</v>
      </c>
      <c r="E265" s="8" t="s">
        <v>1675</v>
      </c>
      <c r="F265" s="8">
        <v>5.074768191E9</v>
      </c>
      <c r="G265" s="8" t="s">
        <v>31</v>
      </c>
      <c r="H265" s="8" t="s">
        <v>86</v>
      </c>
      <c r="I265" s="8" t="s">
        <v>399</v>
      </c>
      <c r="J265" s="8" t="s">
        <v>1381</v>
      </c>
      <c r="K265" s="10" t="s">
        <v>1676</v>
      </c>
      <c r="L265" s="8" t="s">
        <v>58</v>
      </c>
      <c r="M265" s="8" t="s">
        <v>35</v>
      </c>
      <c r="N265" s="11">
        <v>45190.0</v>
      </c>
      <c r="O265" s="11">
        <v>44949.0</v>
      </c>
      <c r="P265" s="11">
        <v>44992.0</v>
      </c>
      <c r="Q265" s="11"/>
      <c r="R265" s="11"/>
      <c r="S265" s="12"/>
      <c r="T265" s="8"/>
      <c r="U265" s="8" t="s">
        <v>339</v>
      </c>
      <c r="V265" s="13" t="s">
        <v>175</v>
      </c>
      <c r="W265" s="13" t="s">
        <v>1677</v>
      </c>
      <c r="X265" s="12"/>
      <c r="Y265" s="14"/>
      <c r="Z265" s="14"/>
    </row>
    <row r="266">
      <c r="A266" s="8" t="s">
        <v>1678</v>
      </c>
      <c r="B266" s="8" t="s">
        <v>1679</v>
      </c>
      <c r="C266" s="8" t="s">
        <v>179</v>
      </c>
      <c r="D266" s="8" t="s">
        <v>26</v>
      </c>
      <c r="E266" s="8" t="s">
        <v>1680</v>
      </c>
      <c r="F266" s="8">
        <v>5.422533165E9</v>
      </c>
      <c r="G266" s="8" t="s">
        <v>31</v>
      </c>
      <c r="H266" s="8" t="s">
        <v>66</v>
      </c>
      <c r="I266" s="8" t="s">
        <v>1400</v>
      </c>
      <c r="J266" s="8" t="s">
        <v>1564</v>
      </c>
      <c r="K266" s="10" t="s">
        <v>1565</v>
      </c>
      <c r="L266" s="8" t="s">
        <v>58</v>
      </c>
      <c r="M266" s="8" t="s">
        <v>35</v>
      </c>
      <c r="N266" s="11">
        <v>44803.0</v>
      </c>
      <c r="O266" s="11">
        <v>44938.0</v>
      </c>
      <c r="P266" s="11">
        <v>44980.0</v>
      </c>
      <c r="Q266" s="11"/>
      <c r="R266" s="11"/>
      <c r="S266" s="12"/>
      <c r="T266" s="8"/>
      <c r="U266" s="8" t="s">
        <v>88</v>
      </c>
      <c r="V266" s="13" t="s">
        <v>66</v>
      </c>
      <c r="W266" s="13" t="s">
        <v>1681</v>
      </c>
      <c r="X266" s="12"/>
      <c r="Y266" s="14"/>
      <c r="Z266" s="14"/>
    </row>
    <row r="267">
      <c r="A267" s="8" t="s">
        <v>1682</v>
      </c>
      <c r="B267" s="8" t="s">
        <v>1683</v>
      </c>
      <c r="C267" s="8" t="s">
        <v>25</v>
      </c>
      <c r="D267" s="8" t="s">
        <v>26</v>
      </c>
      <c r="E267" s="8" t="s">
        <v>1684</v>
      </c>
      <c r="F267" s="8">
        <v>1.143541755E9</v>
      </c>
      <c r="G267" s="8" t="s">
        <v>284</v>
      </c>
      <c r="H267" s="8" t="s">
        <v>673</v>
      </c>
      <c r="I267" s="8" t="s">
        <v>31</v>
      </c>
      <c r="J267" s="8" t="s">
        <v>542</v>
      </c>
      <c r="K267" s="10" t="s">
        <v>1685</v>
      </c>
      <c r="L267" s="8" t="s">
        <v>34</v>
      </c>
      <c r="M267" s="8" t="s">
        <v>70</v>
      </c>
      <c r="N267" s="11">
        <v>44803.0</v>
      </c>
      <c r="O267" s="11">
        <v>44816.0</v>
      </c>
      <c r="P267" s="11">
        <v>45180.0</v>
      </c>
      <c r="Q267" s="11">
        <v>44859.0</v>
      </c>
      <c r="R267" s="11">
        <v>45223.0</v>
      </c>
      <c r="S267" s="12"/>
      <c r="T267" s="8" t="s">
        <v>205</v>
      </c>
      <c r="U267" s="8" t="s">
        <v>1686</v>
      </c>
      <c r="V267" s="13" t="s">
        <v>674</v>
      </c>
      <c r="W267" s="13" t="s">
        <v>1687</v>
      </c>
      <c r="X267" s="12"/>
      <c r="Y267" s="14"/>
      <c r="Z267" s="14"/>
    </row>
    <row r="268">
      <c r="A268" s="8" t="s">
        <v>1688</v>
      </c>
      <c r="B268" s="8" t="s">
        <v>1689</v>
      </c>
      <c r="C268" s="8" t="s">
        <v>64</v>
      </c>
      <c r="D268" s="8" t="s">
        <v>26</v>
      </c>
      <c r="E268" s="8" t="s">
        <v>1690</v>
      </c>
      <c r="F268" s="8">
        <v>7.00075019E8</v>
      </c>
      <c r="G268" s="8" t="s">
        <v>818</v>
      </c>
      <c r="H268" s="8" t="s">
        <v>971</v>
      </c>
      <c r="I268" s="8" t="s">
        <v>31</v>
      </c>
      <c r="J268" s="8" t="s">
        <v>77</v>
      </c>
      <c r="K268" s="10" t="s">
        <v>1691</v>
      </c>
      <c r="L268" s="8" t="s">
        <v>58</v>
      </c>
      <c r="M268" s="8" t="s">
        <v>35</v>
      </c>
      <c r="N268" s="11">
        <v>44803.0</v>
      </c>
      <c r="O268" s="11">
        <v>44851.0</v>
      </c>
      <c r="P268" s="11">
        <v>44893.0</v>
      </c>
      <c r="Q268" s="11">
        <v>44870.0</v>
      </c>
      <c r="R268" s="11">
        <v>44905.0</v>
      </c>
      <c r="S268" s="12"/>
      <c r="T268" s="8"/>
      <c r="U268" s="8" t="s">
        <v>153</v>
      </c>
      <c r="V268" s="13" t="s">
        <v>972</v>
      </c>
      <c r="W268" s="13" t="s">
        <v>1692</v>
      </c>
      <c r="X268" s="12"/>
      <c r="Y268" s="14"/>
      <c r="Z268" s="14"/>
    </row>
    <row r="269">
      <c r="A269" s="8" t="s">
        <v>1693</v>
      </c>
      <c r="B269" s="8" t="s">
        <v>1694</v>
      </c>
      <c r="C269" s="8" t="s">
        <v>64</v>
      </c>
      <c r="D269" s="8" t="s">
        <v>26</v>
      </c>
      <c r="E269" s="8" t="s">
        <v>1695</v>
      </c>
      <c r="F269" s="8">
        <v>7.628999E8</v>
      </c>
      <c r="G269" s="8" t="s">
        <v>399</v>
      </c>
      <c r="H269" s="8" t="s">
        <v>415</v>
      </c>
      <c r="I269" s="8" t="s">
        <v>31</v>
      </c>
      <c r="J269" s="8" t="s">
        <v>292</v>
      </c>
      <c r="K269" s="10" t="s">
        <v>1260</v>
      </c>
      <c r="L269" s="8" t="s">
        <v>47</v>
      </c>
      <c r="M269" s="8" t="s">
        <v>70</v>
      </c>
      <c r="N269" s="11">
        <v>44803.0</v>
      </c>
      <c r="O269" s="11">
        <v>44837.0</v>
      </c>
      <c r="P269" s="11">
        <v>45202.0</v>
      </c>
      <c r="Q269" s="11">
        <v>44854.0</v>
      </c>
      <c r="R269" s="11">
        <v>45218.0</v>
      </c>
      <c r="S269" s="12"/>
      <c r="T269" s="8"/>
      <c r="U269" s="8" t="s">
        <v>1261</v>
      </c>
      <c r="V269" s="13" t="s">
        <v>417</v>
      </c>
      <c r="W269" s="13" t="s">
        <v>1696</v>
      </c>
      <c r="X269" s="12"/>
      <c r="Y269" s="14"/>
      <c r="Z269" s="14"/>
    </row>
    <row r="270">
      <c r="A270" s="8" t="s">
        <v>1697</v>
      </c>
      <c r="B270" s="8" t="s">
        <v>1698</v>
      </c>
      <c r="C270" s="8" t="s">
        <v>335</v>
      </c>
      <c r="D270" s="8" t="s">
        <v>26</v>
      </c>
      <c r="E270" s="8" t="s">
        <v>1699</v>
      </c>
      <c r="F270" s="8">
        <v>5.323929648E9</v>
      </c>
      <c r="G270" s="8" t="s">
        <v>31</v>
      </c>
      <c r="H270" s="8" t="s">
        <v>66</v>
      </c>
      <c r="I270" s="8" t="s">
        <v>399</v>
      </c>
      <c r="J270" s="8" t="s">
        <v>400</v>
      </c>
      <c r="K270" s="10" t="s">
        <v>1700</v>
      </c>
      <c r="L270" s="8" t="s">
        <v>58</v>
      </c>
      <c r="M270" s="8" t="s">
        <v>35</v>
      </c>
      <c r="N270" s="11">
        <v>45190.0</v>
      </c>
      <c r="O270" s="11">
        <v>45118.0</v>
      </c>
      <c r="P270" s="11">
        <v>45160.0</v>
      </c>
      <c r="Q270" s="11"/>
      <c r="R270" s="11"/>
      <c r="S270" s="12"/>
      <c r="T270" s="8"/>
      <c r="U270" s="8" t="s">
        <v>1038</v>
      </c>
      <c r="V270" s="13" t="s">
        <v>66</v>
      </c>
      <c r="W270" s="13" t="s">
        <v>1701</v>
      </c>
      <c r="X270" s="12"/>
      <c r="Y270" s="14"/>
      <c r="Z270" s="14"/>
    </row>
    <row r="271">
      <c r="A271" s="8" t="s">
        <v>1702</v>
      </c>
      <c r="B271" s="8" t="s">
        <v>1703</v>
      </c>
      <c r="C271" s="8" t="s">
        <v>335</v>
      </c>
      <c r="D271" s="8" t="s">
        <v>26</v>
      </c>
      <c r="E271" s="8" t="s">
        <v>1704</v>
      </c>
      <c r="F271" s="8">
        <v>5.39502305E9</v>
      </c>
      <c r="G271" s="8" t="s">
        <v>31</v>
      </c>
      <c r="H271" s="8" t="s">
        <v>66</v>
      </c>
      <c r="I271" s="8" t="s">
        <v>399</v>
      </c>
      <c r="J271" s="8" t="s">
        <v>400</v>
      </c>
      <c r="K271" s="10" t="s">
        <v>1700</v>
      </c>
      <c r="L271" s="8" t="s">
        <v>58</v>
      </c>
      <c r="M271" s="8" t="s">
        <v>35</v>
      </c>
      <c r="N271" s="11">
        <v>45190.0</v>
      </c>
      <c r="O271" s="11">
        <v>45118.0</v>
      </c>
      <c r="P271" s="11">
        <v>45160.0</v>
      </c>
      <c r="Q271" s="11"/>
      <c r="R271" s="11"/>
      <c r="S271" s="12"/>
      <c r="T271" s="8"/>
      <c r="U271" s="8" t="s">
        <v>1038</v>
      </c>
      <c r="V271" s="13" t="s">
        <v>66</v>
      </c>
      <c r="W271" s="13" t="s">
        <v>1705</v>
      </c>
      <c r="X271" s="12"/>
      <c r="Y271" s="14"/>
      <c r="Z271" s="14"/>
    </row>
    <row r="272">
      <c r="A272" s="8" t="s">
        <v>1706</v>
      </c>
      <c r="B272" s="8" t="s">
        <v>1707</v>
      </c>
      <c r="C272" s="8" t="s">
        <v>64</v>
      </c>
      <c r="D272" s="8" t="s">
        <v>26</v>
      </c>
      <c r="E272" s="8" t="s">
        <v>1708</v>
      </c>
      <c r="F272" s="8">
        <v>7.478338345E9</v>
      </c>
      <c r="G272" s="8" t="s">
        <v>496</v>
      </c>
      <c r="H272" s="8" t="s">
        <v>497</v>
      </c>
      <c r="I272" s="8" t="s">
        <v>31</v>
      </c>
      <c r="J272" s="8" t="s">
        <v>32</v>
      </c>
      <c r="K272" s="10" t="s">
        <v>716</v>
      </c>
      <c r="L272" s="8" t="s">
        <v>47</v>
      </c>
      <c r="M272" s="8" t="s">
        <v>70</v>
      </c>
      <c r="N272" s="11">
        <v>44804.0</v>
      </c>
      <c r="O272" s="11">
        <v>44822.0</v>
      </c>
      <c r="P272" s="11">
        <v>45125.0</v>
      </c>
      <c r="Q272" s="11">
        <v>44819.0</v>
      </c>
      <c r="R272" s="11">
        <v>45184.0</v>
      </c>
      <c r="S272" s="12"/>
      <c r="T272" s="8"/>
      <c r="U272" s="8" t="s">
        <v>717</v>
      </c>
      <c r="V272" s="13" t="s">
        <v>500</v>
      </c>
      <c r="W272" s="13" t="s">
        <v>1709</v>
      </c>
      <c r="X272" s="12"/>
      <c r="Y272" s="14"/>
      <c r="Z272" s="14"/>
    </row>
    <row r="273">
      <c r="A273" s="8" t="s">
        <v>1710</v>
      </c>
      <c r="B273" s="8" t="s">
        <v>1711</v>
      </c>
      <c r="C273" s="8" t="s">
        <v>64</v>
      </c>
      <c r="D273" s="8" t="s">
        <v>26</v>
      </c>
      <c r="E273" s="8" t="s">
        <v>1712</v>
      </c>
      <c r="F273" s="8">
        <v>5.4539439E7</v>
      </c>
      <c r="G273" s="8" t="s">
        <v>54</v>
      </c>
      <c r="H273" s="8" t="s">
        <v>430</v>
      </c>
      <c r="I273" s="8" t="s">
        <v>31</v>
      </c>
      <c r="J273" s="8" t="s">
        <v>86</v>
      </c>
      <c r="K273" s="10" t="s">
        <v>1713</v>
      </c>
      <c r="L273" s="8" t="s">
        <v>34</v>
      </c>
      <c r="M273" s="8" t="s">
        <v>70</v>
      </c>
      <c r="N273" s="11">
        <v>44804.0</v>
      </c>
      <c r="O273" s="11">
        <v>44829.0</v>
      </c>
      <c r="P273" s="11">
        <v>45191.0</v>
      </c>
      <c r="Q273" s="11">
        <v>44834.0</v>
      </c>
      <c r="R273" s="11">
        <v>45191.0</v>
      </c>
      <c r="S273" s="12"/>
      <c r="T273" s="8" t="s">
        <v>205</v>
      </c>
      <c r="U273" s="8" t="s">
        <v>1714</v>
      </c>
      <c r="V273" s="13" t="s">
        <v>1715</v>
      </c>
      <c r="W273" s="13" t="s">
        <v>1716</v>
      </c>
      <c r="X273" s="12"/>
      <c r="Y273" s="14"/>
      <c r="Z273" s="14"/>
    </row>
    <row r="274">
      <c r="A274" s="8" t="s">
        <v>1717</v>
      </c>
      <c r="B274" s="8" t="s">
        <v>1718</v>
      </c>
      <c r="C274" s="8" t="s">
        <v>64</v>
      </c>
      <c r="D274" s="8" t="s">
        <v>26</v>
      </c>
      <c r="E274" s="8" t="s">
        <v>1719</v>
      </c>
      <c r="F274" s="8">
        <v>5.418025485E9</v>
      </c>
      <c r="G274" s="8" t="s">
        <v>31</v>
      </c>
      <c r="H274" s="8" t="s">
        <v>111</v>
      </c>
      <c r="I274" s="8" t="s">
        <v>1720</v>
      </c>
      <c r="J274" s="8" t="s">
        <v>1721</v>
      </c>
      <c r="K274" s="10" t="s">
        <v>1722</v>
      </c>
      <c r="L274" s="8" t="s">
        <v>34</v>
      </c>
      <c r="M274" s="8" t="s">
        <v>70</v>
      </c>
      <c r="N274" s="11">
        <v>44804.0</v>
      </c>
      <c r="O274" s="11">
        <v>44866.0</v>
      </c>
      <c r="P274" s="11">
        <v>45231.0</v>
      </c>
      <c r="Q274" s="11">
        <v>44872.0</v>
      </c>
      <c r="R274" s="11">
        <v>45231.0</v>
      </c>
      <c r="S274" s="12"/>
      <c r="T274" s="8" t="s">
        <v>224</v>
      </c>
      <c r="U274" s="8" t="s">
        <v>1723</v>
      </c>
      <c r="V274" s="13" t="s">
        <v>38</v>
      </c>
      <c r="W274" s="13" t="s">
        <v>1724</v>
      </c>
      <c r="X274" s="12"/>
      <c r="Y274" s="14"/>
      <c r="Z274" s="14"/>
    </row>
    <row r="275">
      <c r="A275" s="8" t="s">
        <v>1725</v>
      </c>
      <c r="B275" s="8" t="s">
        <v>1726</v>
      </c>
      <c r="C275" s="8" t="s">
        <v>64</v>
      </c>
      <c r="D275" s="8" t="s">
        <v>26</v>
      </c>
      <c r="E275" s="8" t="s">
        <v>1727</v>
      </c>
      <c r="F275" s="8"/>
      <c r="G275" s="8" t="s">
        <v>31</v>
      </c>
      <c r="H275" s="8" t="s">
        <v>86</v>
      </c>
      <c r="I275" s="8" t="s">
        <v>1400</v>
      </c>
      <c r="J275" s="8" t="s">
        <v>1728</v>
      </c>
      <c r="K275" s="10" t="s">
        <v>1729</v>
      </c>
      <c r="L275" s="8" t="s">
        <v>58</v>
      </c>
      <c r="M275" s="8" t="s">
        <v>35</v>
      </c>
      <c r="N275" s="11">
        <v>44805.0</v>
      </c>
      <c r="O275" s="11">
        <v>44808.0</v>
      </c>
      <c r="P275" s="11">
        <v>44850.0</v>
      </c>
      <c r="Q275" s="11">
        <v>44855.0</v>
      </c>
      <c r="R275" s="11">
        <v>44895.0</v>
      </c>
      <c r="S275" s="12"/>
      <c r="T275" s="8"/>
      <c r="U275" s="8" t="s">
        <v>88</v>
      </c>
      <c r="V275" s="13" t="s">
        <v>175</v>
      </c>
      <c r="W275" s="13" t="s">
        <v>1730</v>
      </c>
      <c r="X275" s="12"/>
      <c r="Y275" s="14"/>
      <c r="Z275" s="14"/>
    </row>
    <row r="276">
      <c r="A276" s="8" t="s">
        <v>1731</v>
      </c>
      <c r="B276" s="8" t="s">
        <v>1732</v>
      </c>
      <c r="C276" s="8" t="s">
        <v>179</v>
      </c>
      <c r="D276" s="8" t="s">
        <v>26</v>
      </c>
      <c r="E276" s="8" t="s">
        <v>1733</v>
      </c>
      <c r="F276" s="8">
        <v>7.65900817E8</v>
      </c>
      <c r="G276" s="8" t="s">
        <v>399</v>
      </c>
      <c r="H276" s="8" t="s">
        <v>400</v>
      </c>
      <c r="I276" s="8" t="s">
        <v>31</v>
      </c>
      <c r="J276" s="8" t="s">
        <v>1274</v>
      </c>
      <c r="K276" s="10" t="s">
        <v>1734</v>
      </c>
      <c r="L276" s="8" t="s">
        <v>58</v>
      </c>
      <c r="M276" s="8" t="s">
        <v>35</v>
      </c>
      <c r="N276" s="11">
        <v>44806.0</v>
      </c>
      <c r="O276" s="11">
        <v>44924.0</v>
      </c>
      <c r="P276" s="11">
        <v>44966.0</v>
      </c>
      <c r="Q276" s="11"/>
      <c r="R276" s="11"/>
      <c r="S276" s="12"/>
      <c r="T276" s="8"/>
      <c r="U276" s="8" t="s">
        <v>59</v>
      </c>
      <c r="V276" s="13" t="s">
        <v>400</v>
      </c>
      <c r="W276" s="13" t="s">
        <v>1735</v>
      </c>
      <c r="X276" s="12"/>
      <c r="Y276" s="14"/>
      <c r="Z276" s="14"/>
    </row>
    <row r="277">
      <c r="A277" s="8" t="s">
        <v>1736</v>
      </c>
      <c r="B277" s="8" t="s">
        <v>1737</v>
      </c>
      <c r="C277" s="8" t="s">
        <v>25</v>
      </c>
      <c r="D277" s="8" t="s">
        <v>26</v>
      </c>
      <c r="E277" s="8" t="s">
        <v>1738</v>
      </c>
      <c r="F277" s="8"/>
      <c r="G277" s="8" t="s">
        <v>31</v>
      </c>
      <c r="H277" s="8" t="s">
        <v>56</v>
      </c>
      <c r="I277" s="8" t="s">
        <v>29</v>
      </c>
      <c r="J277" s="8" t="s">
        <v>530</v>
      </c>
      <c r="K277" s="10" t="s">
        <v>1739</v>
      </c>
      <c r="L277" s="8" t="s">
        <v>58</v>
      </c>
      <c r="M277" s="8" t="s">
        <v>35</v>
      </c>
      <c r="N277" s="11">
        <v>44806.0</v>
      </c>
      <c r="O277" s="11">
        <v>44815.0</v>
      </c>
      <c r="P277" s="11">
        <v>44857.0</v>
      </c>
      <c r="Q277" s="11">
        <v>44821.0</v>
      </c>
      <c r="R277" s="11">
        <v>44857.0</v>
      </c>
      <c r="S277" s="12"/>
      <c r="T277" s="8"/>
      <c r="U277" s="8" t="s">
        <v>130</v>
      </c>
      <c r="V277" s="13" t="s">
        <v>38</v>
      </c>
      <c r="W277" s="13" t="s">
        <v>1740</v>
      </c>
      <c r="X277" s="12"/>
      <c r="Y277" s="14"/>
      <c r="Z277" s="14"/>
    </row>
    <row r="278">
      <c r="A278" s="8" t="s">
        <v>1741</v>
      </c>
      <c r="B278" s="8" t="s">
        <v>1742</v>
      </c>
      <c r="C278" s="8" t="s">
        <v>251</v>
      </c>
      <c r="D278" s="8" t="s">
        <v>26</v>
      </c>
      <c r="E278" s="8" t="s">
        <v>1743</v>
      </c>
      <c r="F278" s="8"/>
      <c r="G278" s="8" t="s">
        <v>54</v>
      </c>
      <c r="H278" s="8" t="s">
        <v>237</v>
      </c>
      <c r="I278" s="8" t="s">
        <v>31</v>
      </c>
      <c r="J278" s="8" t="s">
        <v>111</v>
      </c>
      <c r="K278" s="10" t="s">
        <v>1744</v>
      </c>
      <c r="L278" s="8" t="s">
        <v>47</v>
      </c>
      <c r="M278" s="8" t="s">
        <v>70</v>
      </c>
      <c r="N278" s="11">
        <v>44807.0</v>
      </c>
      <c r="O278" s="11">
        <v>44809.0</v>
      </c>
      <c r="P278" s="11">
        <v>45174.0</v>
      </c>
      <c r="Q278" s="11"/>
      <c r="R278" s="11"/>
      <c r="S278" s="12"/>
      <c r="T278" s="8"/>
      <c r="U278" s="8" t="s">
        <v>1745</v>
      </c>
      <c r="V278" s="13" t="s">
        <v>38</v>
      </c>
      <c r="W278" s="13" t="s">
        <v>1746</v>
      </c>
      <c r="X278" s="12"/>
      <c r="Y278" s="14"/>
      <c r="Z278" s="14"/>
    </row>
    <row r="279">
      <c r="A279" s="8" t="s">
        <v>1747</v>
      </c>
      <c r="B279" s="8" t="s">
        <v>1748</v>
      </c>
      <c r="C279" s="8" t="s">
        <v>64</v>
      </c>
      <c r="D279" s="8" t="s">
        <v>26</v>
      </c>
      <c r="E279" s="8" t="s">
        <v>1749</v>
      </c>
      <c r="F279" s="8">
        <v>1.100234961E9</v>
      </c>
      <c r="G279" s="8" t="s">
        <v>284</v>
      </c>
      <c r="H279" s="8" t="s">
        <v>673</v>
      </c>
      <c r="I279" s="8" t="s">
        <v>31</v>
      </c>
      <c r="J279" s="8" t="s">
        <v>542</v>
      </c>
      <c r="K279" s="10" t="s">
        <v>1685</v>
      </c>
      <c r="L279" s="8" t="s">
        <v>34</v>
      </c>
      <c r="M279" s="8" t="s">
        <v>70</v>
      </c>
      <c r="N279" s="11">
        <v>44807.0</v>
      </c>
      <c r="O279" s="11">
        <v>44816.0</v>
      </c>
      <c r="P279" s="11">
        <v>45180.0</v>
      </c>
      <c r="Q279" s="11">
        <v>44860.0</v>
      </c>
      <c r="R279" s="11">
        <v>45223.0</v>
      </c>
      <c r="S279" s="12"/>
      <c r="T279" s="8" t="s">
        <v>205</v>
      </c>
      <c r="U279" s="8" t="s">
        <v>1686</v>
      </c>
      <c r="V279" s="13" t="s">
        <v>38</v>
      </c>
      <c r="W279" s="13" t="s">
        <v>1750</v>
      </c>
      <c r="X279" s="12"/>
      <c r="Y279" s="14"/>
      <c r="Z279" s="14"/>
    </row>
    <row r="280">
      <c r="A280" s="8" t="s">
        <v>1751</v>
      </c>
      <c r="B280" s="8" t="s">
        <v>1752</v>
      </c>
      <c r="C280" s="8" t="s">
        <v>25</v>
      </c>
      <c r="D280" s="8" t="s">
        <v>26</v>
      </c>
      <c r="E280" s="8" t="s">
        <v>1753</v>
      </c>
      <c r="F280" s="8"/>
      <c r="G280" s="8" t="s">
        <v>44</v>
      </c>
      <c r="H280" s="8" t="s">
        <v>1321</v>
      </c>
      <c r="I280" s="8" t="s">
        <v>31</v>
      </c>
      <c r="J280" s="8" t="s">
        <v>32</v>
      </c>
      <c r="K280" s="10" t="s">
        <v>1451</v>
      </c>
      <c r="L280" s="8" t="s">
        <v>58</v>
      </c>
      <c r="M280" s="8" t="s">
        <v>35</v>
      </c>
      <c r="N280" s="11">
        <v>44807.0</v>
      </c>
      <c r="O280" s="11">
        <v>44857.0</v>
      </c>
      <c r="P280" s="11">
        <v>44899.0</v>
      </c>
      <c r="Q280" s="11">
        <v>44868.0</v>
      </c>
      <c r="R280" s="11">
        <v>44911.0</v>
      </c>
      <c r="S280" s="12"/>
      <c r="T280" s="8"/>
      <c r="U280" s="8" t="s">
        <v>59</v>
      </c>
      <c r="V280" s="13" t="s">
        <v>38</v>
      </c>
      <c r="W280" s="13" t="s">
        <v>1754</v>
      </c>
      <c r="X280" s="12"/>
      <c r="Y280" s="14"/>
      <c r="Z280" s="14"/>
    </row>
    <row r="281">
      <c r="A281" s="8" t="s">
        <v>1755</v>
      </c>
      <c r="B281" s="8" t="s">
        <v>1756</v>
      </c>
      <c r="C281" s="8" t="s">
        <v>25</v>
      </c>
      <c r="D281" s="8" t="s">
        <v>26</v>
      </c>
      <c r="E281" s="8" t="s">
        <v>1757</v>
      </c>
      <c r="F281" s="8">
        <v>7.97790283E8</v>
      </c>
      <c r="G281" s="8" t="s">
        <v>254</v>
      </c>
      <c r="H281" s="8" t="s">
        <v>291</v>
      </c>
      <c r="I281" s="8" t="s">
        <v>31</v>
      </c>
      <c r="J281" s="8" t="s">
        <v>56</v>
      </c>
      <c r="K281" s="10" t="s">
        <v>1758</v>
      </c>
      <c r="L281" s="8" t="s">
        <v>47</v>
      </c>
      <c r="M281" s="8" t="s">
        <v>70</v>
      </c>
      <c r="N281" s="11">
        <v>44808.0</v>
      </c>
      <c r="O281" s="11">
        <v>44823.0</v>
      </c>
      <c r="P281" s="11">
        <v>45065.0</v>
      </c>
      <c r="Q281" s="11">
        <v>44831.0</v>
      </c>
      <c r="R281" s="11">
        <v>45073.0</v>
      </c>
      <c r="S281" s="12"/>
      <c r="T281" s="8"/>
      <c r="U281" s="8" t="s">
        <v>1759</v>
      </c>
      <c r="V281" s="13" t="s">
        <v>38</v>
      </c>
      <c r="W281" s="13" t="s">
        <v>1760</v>
      </c>
      <c r="X281" s="12"/>
      <c r="Y281" s="14"/>
      <c r="Z281" s="14"/>
    </row>
    <row r="282">
      <c r="A282" s="8" t="s">
        <v>1761</v>
      </c>
      <c r="B282" s="8" t="s">
        <v>1762</v>
      </c>
      <c r="C282" s="8" t="s">
        <v>25</v>
      </c>
      <c r="D282" s="8" t="s">
        <v>26</v>
      </c>
      <c r="E282" s="8" t="s">
        <v>1763</v>
      </c>
      <c r="F282" s="8">
        <v>1.211311115E9</v>
      </c>
      <c r="G282" s="8" t="s">
        <v>284</v>
      </c>
      <c r="H282" s="8" t="s">
        <v>1764</v>
      </c>
      <c r="I282" s="8" t="s">
        <v>31</v>
      </c>
      <c r="J282" s="8" t="s">
        <v>56</v>
      </c>
      <c r="K282" s="10" t="s">
        <v>1765</v>
      </c>
      <c r="L282" s="8" t="s">
        <v>58</v>
      </c>
      <c r="M282" s="8" t="s">
        <v>35</v>
      </c>
      <c r="N282" s="11">
        <v>44808.0</v>
      </c>
      <c r="O282" s="11">
        <v>44886.0</v>
      </c>
      <c r="P282" s="11">
        <v>44928.0</v>
      </c>
      <c r="Q282" s="11">
        <v>44908.0</v>
      </c>
      <c r="R282" s="11">
        <v>44950.0</v>
      </c>
      <c r="S282" s="12"/>
      <c r="T282" s="8"/>
      <c r="U282" s="8" t="s">
        <v>185</v>
      </c>
      <c r="V282" s="13" t="s">
        <v>1766</v>
      </c>
      <c r="W282" s="13" t="s">
        <v>1767</v>
      </c>
      <c r="X282" s="12"/>
      <c r="Y282" s="14"/>
      <c r="Z282" s="14"/>
    </row>
    <row r="283">
      <c r="A283" s="8" t="s">
        <v>1768</v>
      </c>
      <c r="B283" s="8" t="s">
        <v>1769</v>
      </c>
      <c r="C283" s="8" t="s">
        <v>251</v>
      </c>
      <c r="D283" s="8" t="s">
        <v>26</v>
      </c>
      <c r="E283" s="8" t="s">
        <v>1770</v>
      </c>
      <c r="F283" s="8">
        <v>7.70368221E8</v>
      </c>
      <c r="G283" s="8" t="s">
        <v>127</v>
      </c>
      <c r="H283" s="8" t="s">
        <v>1771</v>
      </c>
      <c r="I283" s="8" t="s">
        <v>31</v>
      </c>
      <c r="J283" s="8" t="s">
        <v>220</v>
      </c>
      <c r="K283" s="10" t="s">
        <v>1772</v>
      </c>
      <c r="L283" s="8" t="s">
        <v>58</v>
      </c>
      <c r="M283" s="8" t="s">
        <v>35</v>
      </c>
      <c r="N283" s="11">
        <v>44808.0</v>
      </c>
      <c r="O283" s="11">
        <v>45117.0</v>
      </c>
      <c r="P283" s="11">
        <v>45159.0</v>
      </c>
      <c r="Q283" s="11"/>
      <c r="R283" s="11"/>
      <c r="S283" s="12"/>
      <c r="T283" s="8"/>
      <c r="U283" s="8" t="s">
        <v>59</v>
      </c>
      <c r="V283" s="13" t="s">
        <v>1473</v>
      </c>
      <c r="W283" s="13" t="s">
        <v>1773</v>
      </c>
      <c r="X283" s="12"/>
      <c r="Y283" s="14"/>
      <c r="Z283" s="14"/>
    </row>
    <row r="284">
      <c r="A284" s="8" t="s">
        <v>1774</v>
      </c>
      <c r="B284" s="8" t="s">
        <v>1775</v>
      </c>
      <c r="C284" s="8" t="s">
        <v>251</v>
      </c>
      <c r="D284" s="8" t="s">
        <v>26</v>
      </c>
      <c r="E284" s="8" t="s">
        <v>1776</v>
      </c>
      <c r="F284" s="8"/>
      <c r="G284" s="8" t="s">
        <v>284</v>
      </c>
      <c r="H284" s="8" t="s">
        <v>1777</v>
      </c>
      <c r="I284" s="8" t="s">
        <v>31</v>
      </c>
      <c r="J284" s="8" t="s">
        <v>43</v>
      </c>
      <c r="K284" s="10" t="s">
        <v>1778</v>
      </c>
      <c r="L284" s="8" t="s">
        <v>47</v>
      </c>
      <c r="M284" s="8" t="s">
        <v>70</v>
      </c>
      <c r="N284" s="11">
        <v>44808.0</v>
      </c>
      <c r="O284" s="11">
        <v>44837.0</v>
      </c>
      <c r="P284" s="11">
        <v>45205.0</v>
      </c>
      <c r="Q284" s="11"/>
      <c r="R284" s="11"/>
      <c r="S284" s="12"/>
      <c r="T284" s="8"/>
      <c r="U284" s="8" t="s">
        <v>246</v>
      </c>
      <c r="V284" s="13" t="s">
        <v>38</v>
      </c>
      <c r="W284" s="13" t="s">
        <v>1779</v>
      </c>
      <c r="X284" s="12"/>
      <c r="Y284" s="14"/>
      <c r="Z284" s="14"/>
    </row>
    <row r="285">
      <c r="A285" s="8" t="s">
        <v>1780</v>
      </c>
      <c r="B285" s="8" t="s">
        <v>1781</v>
      </c>
      <c r="C285" s="8" t="s">
        <v>25</v>
      </c>
      <c r="D285" s="8" t="s">
        <v>26</v>
      </c>
      <c r="E285" s="8" t="s">
        <v>1782</v>
      </c>
      <c r="F285" s="8">
        <v>1.006891183E9</v>
      </c>
      <c r="G285" s="8" t="s">
        <v>284</v>
      </c>
      <c r="H285" s="8" t="s">
        <v>793</v>
      </c>
      <c r="I285" s="8" t="s">
        <v>31</v>
      </c>
      <c r="J285" s="8" t="s">
        <v>542</v>
      </c>
      <c r="K285" s="10" t="s">
        <v>1685</v>
      </c>
      <c r="L285" s="8" t="s">
        <v>34</v>
      </c>
      <c r="M285" s="8" t="s">
        <v>70</v>
      </c>
      <c r="N285" s="11">
        <v>44808.0</v>
      </c>
      <c r="O285" s="11">
        <v>44816.0</v>
      </c>
      <c r="P285" s="11">
        <v>45180.0</v>
      </c>
      <c r="Q285" s="11">
        <v>44865.0</v>
      </c>
      <c r="R285" s="11">
        <v>45230.0</v>
      </c>
      <c r="S285" s="12"/>
      <c r="T285" s="8" t="s">
        <v>205</v>
      </c>
      <c r="U285" s="8" t="s">
        <v>1686</v>
      </c>
      <c r="V285" s="13" t="s">
        <v>793</v>
      </c>
      <c r="W285" s="13" t="s">
        <v>1783</v>
      </c>
      <c r="X285" s="12"/>
      <c r="Y285" s="14"/>
      <c r="Z285" s="14"/>
    </row>
    <row r="286">
      <c r="A286" s="8" t="s">
        <v>1784</v>
      </c>
      <c r="B286" s="8" t="s">
        <v>1785</v>
      </c>
      <c r="C286" s="8" t="s">
        <v>25</v>
      </c>
      <c r="D286" s="8" t="s">
        <v>26</v>
      </c>
      <c r="E286" s="8" t="s">
        <v>1786</v>
      </c>
      <c r="F286" s="8">
        <v>9.9020599E7</v>
      </c>
      <c r="G286" s="8" t="s">
        <v>54</v>
      </c>
      <c r="H286" s="8" t="s">
        <v>237</v>
      </c>
      <c r="I286" s="8" t="s">
        <v>31</v>
      </c>
      <c r="J286" s="8" t="s">
        <v>292</v>
      </c>
      <c r="K286" s="10" t="s">
        <v>1787</v>
      </c>
      <c r="L286" s="8" t="s">
        <v>58</v>
      </c>
      <c r="M286" s="8" t="s">
        <v>35</v>
      </c>
      <c r="N286" s="11">
        <v>44809.0</v>
      </c>
      <c r="O286" s="11">
        <v>44820.0</v>
      </c>
      <c r="P286" s="11">
        <v>44862.0</v>
      </c>
      <c r="Q286" s="11">
        <v>44830.0</v>
      </c>
      <c r="R286" s="11">
        <v>44862.0</v>
      </c>
      <c r="S286" s="12"/>
      <c r="T286" s="8"/>
      <c r="U286" s="8" t="s">
        <v>88</v>
      </c>
      <c r="V286" s="13" t="s">
        <v>1788</v>
      </c>
      <c r="W286" s="13" t="s">
        <v>1789</v>
      </c>
      <c r="X286" s="12"/>
      <c r="Y286" s="14"/>
      <c r="Z286" s="14"/>
    </row>
    <row r="287">
      <c r="A287" s="8" t="s">
        <v>1790</v>
      </c>
      <c r="B287" s="8" t="s">
        <v>1791</v>
      </c>
      <c r="C287" s="8" t="s">
        <v>25</v>
      </c>
      <c r="D287" s="8" t="s">
        <v>26</v>
      </c>
      <c r="E287" s="8" t="s">
        <v>1792</v>
      </c>
      <c r="F287" s="8">
        <v>5.3037237E7</v>
      </c>
      <c r="G287" s="8" t="s">
        <v>54</v>
      </c>
      <c r="H287" s="8" t="s">
        <v>244</v>
      </c>
      <c r="I287" s="8" t="s">
        <v>31</v>
      </c>
      <c r="J287" s="8" t="s">
        <v>56</v>
      </c>
      <c r="K287" s="10" t="s">
        <v>1793</v>
      </c>
      <c r="L287" s="8" t="s">
        <v>47</v>
      </c>
      <c r="M287" s="8" t="s">
        <v>70</v>
      </c>
      <c r="N287" s="11">
        <v>44809.0</v>
      </c>
      <c r="O287" s="11">
        <v>44823.0</v>
      </c>
      <c r="P287" s="11">
        <v>45188.0</v>
      </c>
      <c r="Q287" s="11">
        <v>44864.0</v>
      </c>
      <c r="R287" s="11">
        <v>45229.0</v>
      </c>
      <c r="S287" s="12"/>
      <c r="T287" s="8"/>
      <c r="U287" s="8" t="s">
        <v>1794</v>
      </c>
      <c r="V287" s="13" t="s">
        <v>247</v>
      </c>
      <c r="W287" s="13" t="s">
        <v>1795</v>
      </c>
      <c r="X287" s="12"/>
      <c r="Y287" s="14"/>
      <c r="Z287" s="14"/>
    </row>
    <row r="288">
      <c r="A288" s="8" t="s">
        <v>1796</v>
      </c>
      <c r="B288" s="8" t="s">
        <v>1797</v>
      </c>
      <c r="C288" s="8" t="s">
        <v>25</v>
      </c>
      <c r="D288" s="8" t="s">
        <v>26</v>
      </c>
      <c r="E288" s="8" t="s">
        <v>1798</v>
      </c>
      <c r="F288" s="8">
        <v>7.05748929E8</v>
      </c>
      <c r="G288" s="8" t="s">
        <v>277</v>
      </c>
      <c r="H288" s="8" t="s">
        <v>607</v>
      </c>
      <c r="I288" s="8" t="s">
        <v>31</v>
      </c>
      <c r="J288" s="8" t="s">
        <v>32</v>
      </c>
      <c r="K288" s="10" t="s">
        <v>716</v>
      </c>
      <c r="L288" s="8" t="s">
        <v>47</v>
      </c>
      <c r="M288" s="8" t="s">
        <v>70</v>
      </c>
      <c r="N288" s="11">
        <v>44809.0</v>
      </c>
      <c r="O288" s="11">
        <v>44822.0</v>
      </c>
      <c r="P288" s="11">
        <v>45125.0</v>
      </c>
      <c r="Q288" s="11">
        <v>44819.0</v>
      </c>
      <c r="R288" s="11">
        <v>45184.0</v>
      </c>
      <c r="S288" s="12"/>
      <c r="T288" s="8"/>
      <c r="U288" s="8" t="s">
        <v>717</v>
      </c>
      <c r="V288" s="13" t="s">
        <v>1572</v>
      </c>
      <c r="W288" s="13" t="s">
        <v>1799</v>
      </c>
      <c r="X288" s="12"/>
      <c r="Y288" s="14"/>
      <c r="Z288" s="14"/>
    </row>
    <row r="289">
      <c r="A289" s="8" t="s">
        <v>1800</v>
      </c>
      <c r="B289" s="8" t="s">
        <v>1801</v>
      </c>
      <c r="C289" s="8" t="s">
        <v>251</v>
      </c>
      <c r="D289" s="8" t="s">
        <v>26</v>
      </c>
      <c r="E289" s="8" t="s">
        <v>1802</v>
      </c>
      <c r="F289" s="8">
        <v>1.121485035E9</v>
      </c>
      <c r="G289" s="8" t="s">
        <v>284</v>
      </c>
      <c r="H289" s="8" t="s">
        <v>854</v>
      </c>
      <c r="I289" s="8" t="s">
        <v>31</v>
      </c>
      <c r="J289" s="8" t="s">
        <v>32</v>
      </c>
      <c r="K289" s="10" t="s">
        <v>1451</v>
      </c>
      <c r="L289" s="8" t="s">
        <v>58</v>
      </c>
      <c r="M289" s="8" t="s">
        <v>35</v>
      </c>
      <c r="N289" s="11">
        <v>44809.0</v>
      </c>
      <c r="O289" s="11">
        <v>44899.0</v>
      </c>
      <c r="P289" s="11">
        <v>44941.0</v>
      </c>
      <c r="Q289" s="11"/>
      <c r="R289" s="11"/>
      <c r="S289" s="12"/>
      <c r="T289" s="8"/>
      <c r="U289" s="8" t="s">
        <v>59</v>
      </c>
      <c r="V289" s="13" t="s">
        <v>856</v>
      </c>
      <c r="W289" s="13" t="s">
        <v>1803</v>
      </c>
      <c r="X289" s="12"/>
      <c r="Y289" s="14"/>
      <c r="Z289" s="14"/>
    </row>
    <row r="290">
      <c r="A290" s="8" t="s">
        <v>1804</v>
      </c>
      <c r="B290" s="8" t="s">
        <v>1805</v>
      </c>
      <c r="C290" s="8" t="s">
        <v>179</v>
      </c>
      <c r="D290" s="8" t="s">
        <v>26</v>
      </c>
      <c r="E290" s="8" t="s">
        <v>1806</v>
      </c>
      <c r="F290" s="8">
        <v>7.00503287E8</v>
      </c>
      <c r="G290" s="8" t="s">
        <v>84</v>
      </c>
      <c r="H290" s="8" t="s">
        <v>752</v>
      </c>
      <c r="I290" s="8" t="s">
        <v>31</v>
      </c>
      <c r="J290" s="8" t="s">
        <v>32</v>
      </c>
      <c r="K290" s="10" t="s">
        <v>1451</v>
      </c>
      <c r="L290" s="8" t="s">
        <v>58</v>
      </c>
      <c r="M290" s="8" t="s">
        <v>35</v>
      </c>
      <c r="N290" s="11">
        <v>44809.0</v>
      </c>
      <c r="O290" s="11">
        <v>44983.0</v>
      </c>
      <c r="P290" s="11">
        <v>45025.0</v>
      </c>
      <c r="Q290" s="11"/>
      <c r="R290" s="11"/>
      <c r="S290" s="12"/>
      <c r="T290" s="8"/>
      <c r="U290" s="8" t="s">
        <v>59</v>
      </c>
      <c r="V290" s="13" t="s">
        <v>1807</v>
      </c>
      <c r="W290" s="13" t="s">
        <v>1808</v>
      </c>
      <c r="X290" s="12"/>
      <c r="Y290" s="14"/>
      <c r="Z290" s="14"/>
    </row>
    <row r="291">
      <c r="A291" s="8" t="s">
        <v>1809</v>
      </c>
      <c r="B291" s="8" t="s">
        <v>1810</v>
      </c>
      <c r="C291" s="8" t="s">
        <v>64</v>
      </c>
      <c r="D291" s="8" t="s">
        <v>26</v>
      </c>
      <c r="E291" s="8" t="s">
        <v>1811</v>
      </c>
      <c r="F291" s="8">
        <v>6.54710253E8</v>
      </c>
      <c r="G291" s="8" t="s">
        <v>221</v>
      </c>
      <c r="H291" s="8" t="s">
        <v>1812</v>
      </c>
      <c r="I291" s="8" t="s">
        <v>31</v>
      </c>
      <c r="J291" s="8" t="s">
        <v>32</v>
      </c>
      <c r="K291" s="10" t="s">
        <v>1813</v>
      </c>
      <c r="L291" s="8" t="s">
        <v>58</v>
      </c>
      <c r="M291" s="8" t="s">
        <v>35</v>
      </c>
      <c r="N291" s="11">
        <v>44809.0</v>
      </c>
      <c r="O291" s="11">
        <v>44955.0</v>
      </c>
      <c r="P291" s="11">
        <v>44997.0</v>
      </c>
      <c r="Q291" s="11">
        <v>44958.0</v>
      </c>
      <c r="R291" s="11">
        <v>45000.0</v>
      </c>
      <c r="S291" s="12"/>
      <c r="T291" s="8"/>
      <c r="U291" s="8" t="s">
        <v>161</v>
      </c>
      <c r="V291" s="13" t="s">
        <v>446</v>
      </c>
      <c r="W291" s="13" t="s">
        <v>1814</v>
      </c>
      <c r="X291" s="12"/>
      <c r="Y291" s="14"/>
      <c r="Z291" s="14"/>
    </row>
    <row r="292">
      <c r="A292" s="8" t="s">
        <v>1815</v>
      </c>
      <c r="B292" s="8" t="s">
        <v>1816</v>
      </c>
      <c r="C292" s="8" t="s">
        <v>25</v>
      </c>
      <c r="D292" s="8" t="s">
        <v>26</v>
      </c>
      <c r="E292" s="8" t="s">
        <v>1817</v>
      </c>
      <c r="F292" s="8">
        <v>1.022406015E9</v>
      </c>
      <c r="G292" s="8" t="s">
        <v>284</v>
      </c>
      <c r="H292" s="8" t="s">
        <v>560</v>
      </c>
      <c r="I292" s="8" t="s">
        <v>31</v>
      </c>
      <c r="J292" s="8" t="s">
        <v>292</v>
      </c>
      <c r="K292" s="10" t="s">
        <v>1818</v>
      </c>
      <c r="L292" s="8" t="s">
        <v>47</v>
      </c>
      <c r="M292" s="8" t="s">
        <v>70</v>
      </c>
      <c r="N292" s="11">
        <v>44809.0</v>
      </c>
      <c r="O292" s="11">
        <v>44837.0</v>
      </c>
      <c r="P292" s="11">
        <v>45080.0</v>
      </c>
      <c r="Q292" s="11">
        <v>44869.0</v>
      </c>
      <c r="R292" s="11">
        <v>45232.0</v>
      </c>
      <c r="S292" s="12"/>
      <c r="T292" s="8"/>
      <c r="U292" s="8" t="s">
        <v>1819</v>
      </c>
      <c r="V292" s="13" t="s">
        <v>38</v>
      </c>
      <c r="W292" s="13" t="s">
        <v>1820</v>
      </c>
      <c r="X292" s="12"/>
      <c r="Y292" s="14"/>
      <c r="Z292" s="14"/>
    </row>
    <row r="293">
      <c r="A293" s="8" t="s">
        <v>1821</v>
      </c>
      <c r="B293" s="8" t="s">
        <v>1822</v>
      </c>
      <c r="C293" s="8" t="s">
        <v>251</v>
      </c>
      <c r="D293" s="8" t="s">
        <v>26</v>
      </c>
      <c r="E293" s="8" t="s">
        <v>1823</v>
      </c>
      <c r="F293" s="8">
        <v>3.412837323E9</v>
      </c>
      <c r="G293" s="8" t="s">
        <v>315</v>
      </c>
      <c r="H293" s="8" t="s">
        <v>478</v>
      </c>
      <c r="I293" s="8" t="s">
        <v>31</v>
      </c>
      <c r="J293" s="8" t="s">
        <v>111</v>
      </c>
      <c r="K293" s="10" t="s">
        <v>1824</v>
      </c>
      <c r="L293" s="8" t="s">
        <v>58</v>
      </c>
      <c r="M293" s="8" t="s">
        <v>35</v>
      </c>
      <c r="N293" s="11">
        <v>44809.0</v>
      </c>
      <c r="O293" s="11">
        <v>44809.0</v>
      </c>
      <c r="P293" s="11">
        <v>44851.0</v>
      </c>
      <c r="Q293" s="11"/>
      <c r="R293" s="11"/>
      <c r="S293" s="12"/>
      <c r="T293" s="8"/>
      <c r="U293" s="8" t="s">
        <v>59</v>
      </c>
      <c r="V293" s="13" t="s">
        <v>479</v>
      </c>
      <c r="W293" s="13" t="s">
        <v>1825</v>
      </c>
      <c r="X293" s="12"/>
      <c r="Y293" s="14"/>
      <c r="Z293" s="14"/>
    </row>
    <row r="294">
      <c r="A294" s="8" t="s">
        <v>1826</v>
      </c>
      <c r="B294" s="8" t="s">
        <v>1827</v>
      </c>
      <c r="C294" s="8" t="s">
        <v>64</v>
      </c>
      <c r="D294" s="8" t="s">
        <v>26</v>
      </c>
      <c r="E294" s="8" t="s">
        <v>1828</v>
      </c>
      <c r="F294" s="8">
        <v>7.91590781E8</v>
      </c>
      <c r="G294" s="8" t="s">
        <v>818</v>
      </c>
      <c r="H294" s="8" t="s">
        <v>971</v>
      </c>
      <c r="I294" s="8" t="s">
        <v>31</v>
      </c>
      <c r="J294" s="8" t="s">
        <v>77</v>
      </c>
      <c r="K294" s="10" t="s">
        <v>1691</v>
      </c>
      <c r="L294" s="8" t="s">
        <v>58</v>
      </c>
      <c r="M294" s="8" t="s">
        <v>35</v>
      </c>
      <c r="N294" s="11">
        <v>44809.0</v>
      </c>
      <c r="O294" s="11">
        <v>44851.0</v>
      </c>
      <c r="P294" s="11">
        <v>44893.0</v>
      </c>
      <c r="Q294" s="11">
        <v>44870.0</v>
      </c>
      <c r="R294" s="11">
        <v>44905.0</v>
      </c>
      <c r="S294" s="12"/>
      <c r="T294" s="8"/>
      <c r="U294" s="8" t="s">
        <v>153</v>
      </c>
      <c r="V294" s="13" t="s">
        <v>972</v>
      </c>
      <c r="W294" s="13" t="s">
        <v>1829</v>
      </c>
      <c r="X294" s="12"/>
      <c r="Y294" s="14"/>
      <c r="Z294" s="14"/>
    </row>
    <row r="295">
      <c r="A295" s="8" t="s">
        <v>1830</v>
      </c>
      <c r="B295" s="8" t="s">
        <v>1831</v>
      </c>
      <c r="C295" s="8" t="s">
        <v>25</v>
      </c>
      <c r="D295" s="8" t="s">
        <v>26</v>
      </c>
      <c r="E295" s="8" t="s">
        <v>1832</v>
      </c>
      <c r="F295" s="8">
        <v>3.238228487E9</v>
      </c>
      <c r="G295" s="8" t="s">
        <v>315</v>
      </c>
      <c r="H295" s="8" t="s">
        <v>1833</v>
      </c>
      <c r="I295" s="8" t="s">
        <v>31</v>
      </c>
      <c r="J295" s="8" t="s">
        <v>32</v>
      </c>
      <c r="K295" s="10" t="s">
        <v>473</v>
      </c>
      <c r="L295" s="8" t="s">
        <v>58</v>
      </c>
      <c r="M295" s="8" t="s">
        <v>35</v>
      </c>
      <c r="N295" s="11">
        <v>44809.0</v>
      </c>
      <c r="O295" s="11">
        <v>44871.0</v>
      </c>
      <c r="P295" s="11">
        <v>44913.0</v>
      </c>
      <c r="Q295" s="11">
        <v>44875.0</v>
      </c>
      <c r="R295" s="11">
        <v>44876.0</v>
      </c>
      <c r="S295" s="12"/>
      <c r="T295" s="8"/>
      <c r="U295" s="8" t="s">
        <v>59</v>
      </c>
      <c r="V295" s="13" t="s">
        <v>1834</v>
      </c>
      <c r="W295" s="13" t="s">
        <v>1835</v>
      </c>
      <c r="X295" s="12"/>
      <c r="Y295" s="14"/>
      <c r="Z295" s="14"/>
    </row>
    <row r="296">
      <c r="A296" s="8" t="s">
        <v>1836</v>
      </c>
      <c r="B296" s="8" t="s">
        <v>1837</v>
      </c>
      <c r="C296" s="8" t="s">
        <v>64</v>
      </c>
      <c r="D296" s="8" t="s">
        <v>26</v>
      </c>
      <c r="E296" s="8" t="s">
        <v>1838</v>
      </c>
      <c r="F296" s="8">
        <v>3.124328487E9</v>
      </c>
      <c r="G296" s="8" t="s">
        <v>981</v>
      </c>
      <c r="H296" s="8" t="s">
        <v>1839</v>
      </c>
      <c r="I296" s="8" t="s">
        <v>31</v>
      </c>
      <c r="J296" s="8" t="s">
        <v>77</v>
      </c>
      <c r="K296" s="10" t="s">
        <v>764</v>
      </c>
      <c r="L296" s="8" t="s">
        <v>58</v>
      </c>
      <c r="M296" s="8" t="s">
        <v>35</v>
      </c>
      <c r="N296" s="11">
        <v>44809.0</v>
      </c>
      <c r="O296" s="11">
        <v>44907.0</v>
      </c>
      <c r="P296" s="11">
        <v>44949.0</v>
      </c>
      <c r="Q296" s="11">
        <v>44909.0</v>
      </c>
      <c r="R296" s="11">
        <v>44949.0</v>
      </c>
      <c r="S296" s="12"/>
      <c r="T296" s="8"/>
      <c r="U296" s="8" t="s">
        <v>59</v>
      </c>
      <c r="V296" s="13" t="s">
        <v>1840</v>
      </c>
      <c r="W296" s="13" t="s">
        <v>1841</v>
      </c>
      <c r="X296" s="12"/>
      <c r="Y296" s="14"/>
      <c r="Z296" s="14"/>
    </row>
    <row r="297">
      <c r="A297" s="8" t="s">
        <v>1842</v>
      </c>
      <c r="B297" s="8" t="s">
        <v>1843</v>
      </c>
      <c r="C297" s="8" t="s">
        <v>64</v>
      </c>
      <c r="D297" s="8" t="s">
        <v>26</v>
      </c>
      <c r="E297" s="8" t="s">
        <v>1844</v>
      </c>
      <c r="F297" s="8">
        <v>6.15230477E8</v>
      </c>
      <c r="G297" s="8" t="s">
        <v>1845</v>
      </c>
      <c r="H297" s="8" t="s">
        <v>1846</v>
      </c>
      <c r="I297" s="8" t="s">
        <v>31</v>
      </c>
      <c r="J297" s="8" t="s">
        <v>292</v>
      </c>
      <c r="K297" s="10" t="s">
        <v>1847</v>
      </c>
      <c r="L297" s="8" t="s">
        <v>47</v>
      </c>
      <c r="M297" s="8" t="s">
        <v>70</v>
      </c>
      <c r="N297" s="11">
        <v>44809.0</v>
      </c>
      <c r="O297" s="11">
        <v>44725.0</v>
      </c>
      <c r="P297" s="11">
        <v>45090.0</v>
      </c>
      <c r="Q297" s="11">
        <v>44867.0</v>
      </c>
      <c r="R297" s="11">
        <v>45231.0</v>
      </c>
      <c r="S297" s="12"/>
      <c r="T297" s="8"/>
      <c r="U297" s="8" t="s">
        <v>246</v>
      </c>
      <c r="V297" s="13" t="s">
        <v>1848</v>
      </c>
      <c r="W297" s="13" t="s">
        <v>1849</v>
      </c>
      <c r="X297" s="12"/>
      <c r="Y297" s="14"/>
      <c r="Z297" s="14"/>
    </row>
    <row r="298">
      <c r="A298" s="8" t="s">
        <v>1850</v>
      </c>
      <c r="B298" s="8" t="s">
        <v>1851</v>
      </c>
      <c r="C298" s="8" t="s">
        <v>251</v>
      </c>
      <c r="D298" s="8" t="s">
        <v>26</v>
      </c>
      <c r="E298" s="8" t="s">
        <v>1852</v>
      </c>
      <c r="F298" s="8">
        <v>7.08774026E8</v>
      </c>
      <c r="G298" s="8" t="s">
        <v>84</v>
      </c>
      <c r="H298" s="8" t="s">
        <v>619</v>
      </c>
      <c r="I298" s="8" t="s">
        <v>31</v>
      </c>
      <c r="J298" s="8" t="s">
        <v>77</v>
      </c>
      <c r="K298" s="10" t="s">
        <v>1853</v>
      </c>
      <c r="L298" s="8" t="s">
        <v>47</v>
      </c>
      <c r="M298" s="8" t="s">
        <v>70</v>
      </c>
      <c r="N298" s="11">
        <v>44810.0</v>
      </c>
      <c r="O298" s="11">
        <v>44816.0</v>
      </c>
      <c r="P298" s="11">
        <v>45078.0</v>
      </c>
      <c r="Q298" s="11"/>
      <c r="R298" s="11"/>
      <c r="S298" s="12"/>
      <c r="T298" s="8"/>
      <c r="U298" s="8" t="s">
        <v>1854</v>
      </c>
      <c r="V298" s="13" t="s">
        <v>1855</v>
      </c>
      <c r="W298" s="13" t="s">
        <v>1856</v>
      </c>
      <c r="X298" s="12"/>
      <c r="Y298" s="14"/>
      <c r="Z298" s="14"/>
    </row>
    <row r="299">
      <c r="A299" s="8" t="s">
        <v>1857</v>
      </c>
      <c r="B299" s="8" t="s">
        <v>1858</v>
      </c>
      <c r="C299" s="8" t="s">
        <v>25</v>
      </c>
      <c r="D299" s="8" t="s">
        <v>26</v>
      </c>
      <c r="E299" s="8" t="s">
        <v>1859</v>
      </c>
      <c r="F299" s="8">
        <v>5.2320756E7</v>
      </c>
      <c r="G299" s="8" t="s">
        <v>54</v>
      </c>
      <c r="H299" s="8" t="s">
        <v>135</v>
      </c>
      <c r="I299" s="8" t="s">
        <v>31</v>
      </c>
      <c r="J299" s="8" t="s">
        <v>1274</v>
      </c>
      <c r="K299" s="10" t="s">
        <v>1641</v>
      </c>
      <c r="L299" s="8" t="s">
        <v>58</v>
      </c>
      <c r="M299" s="8" t="s">
        <v>35</v>
      </c>
      <c r="N299" s="11">
        <v>44810.0</v>
      </c>
      <c r="O299" s="11">
        <v>44823.0</v>
      </c>
      <c r="P299" s="11">
        <v>44865.0</v>
      </c>
      <c r="Q299" s="11">
        <v>44827.0</v>
      </c>
      <c r="R299" s="11">
        <v>44862.0</v>
      </c>
      <c r="S299" s="12"/>
      <c r="T299" s="8"/>
      <c r="U299" s="8" t="s">
        <v>185</v>
      </c>
      <c r="V299" s="13" t="s">
        <v>352</v>
      </c>
      <c r="W299" s="13" t="s">
        <v>1860</v>
      </c>
      <c r="X299" s="12"/>
      <c r="Y299" s="14"/>
      <c r="Z299" s="14"/>
    </row>
    <row r="300">
      <c r="A300" s="8" t="s">
        <v>1861</v>
      </c>
      <c r="B300" s="8" t="s">
        <v>1862</v>
      </c>
      <c r="C300" s="8" t="s">
        <v>179</v>
      </c>
      <c r="D300" s="8" t="s">
        <v>26</v>
      </c>
      <c r="E300" s="8" t="s">
        <v>1863</v>
      </c>
      <c r="F300" s="8"/>
      <c r="G300" s="8" t="s">
        <v>44</v>
      </c>
      <c r="H300" s="8" t="s">
        <v>990</v>
      </c>
      <c r="I300" s="8" t="s">
        <v>31</v>
      </c>
      <c r="J300" s="8" t="s">
        <v>111</v>
      </c>
      <c r="K300" s="10" t="s">
        <v>1824</v>
      </c>
      <c r="L300" s="8" t="s">
        <v>58</v>
      </c>
      <c r="M300" s="8" t="s">
        <v>35</v>
      </c>
      <c r="N300" s="11">
        <v>44810.0</v>
      </c>
      <c r="O300" s="11">
        <v>44935.0</v>
      </c>
      <c r="P300" s="11">
        <v>44977.0</v>
      </c>
      <c r="Q300" s="11"/>
      <c r="R300" s="11"/>
      <c r="S300" s="12"/>
      <c r="T300" s="8"/>
      <c r="U300" s="8" t="s">
        <v>59</v>
      </c>
      <c r="V300" s="13" t="s">
        <v>38</v>
      </c>
      <c r="W300" s="13" t="s">
        <v>1864</v>
      </c>
      <c r="X300" s="12"/>
      <c r="Y300" s="14"/>
      <c r="Z300" s="14"/>
    </row>
    <row r="301">
      <c r="A301" s="8" t="s">
        <v>1865</v>
      </c>
      <c r="B301" s="8" t="s">
        <v>1866</v>
      </c>
      <c r="C301" s="8" t="s">
        <v>25</v>
      </c>
      <c r="D301" s="8" t="s">
        <v>26</v>
      </c>
      <c r="E301" s="8" t="s">
        <v>1867</v>
      </c>
      <c r="F301" s="8">
        <v>5.40275433E8</v>
      </c>
      <c r="G301" s="8" t="s">
        <v>254</v>
      </c>
      <c r="H301" s="8" t="s">
        <v>291</v>
      </c>
      <c r="I301" s="8" t="s">
        <v>31</v>
      </c>
      <c r="J301" s="8" t="s">
        <v>77</v>
      </c>
      <c r="K301" s="10" t="s">
        <v>1545</v>
      </c>
      <c r="L301" s="8" t="s">
        <v>47</v>
      </c>
      <c r="M301" s="8" t="s">
        <v>70</v>
      </c>
      <c r="N301" s="11">
        <v>44811.0</v>
      </c>
      <c r="O301" s="11">
        <v>44816.0</v>
      </c>
      <c r="P301" s="11">
        <v>45107.0</v>
      </c>
      <c r="Q301" s="11">
        <v>44846.0</v>
      </c>
      <c r="R301" s="11">
        <v>45107.0</v>
      </c>
      <c r="S301" s="12"/>
      <c r="T301" s="8"/>
      <c r="U301" s="8" t="s">
        <v>1546</v>
      </c>
      <c r="V301" s="13" t="s">
        <v>38</v>
      </c>
      <c r="W301" s="13" t="s">
        <v>1868</v>
      </c>
      <c r="X301" s="12"/>
      <c r="Y301" s="14"/>
      <c r="Z301" s="14"/>
    </row>
    <row r="302">
      <c r="A302" s="8" t="s">
        <v>1869</v>
      </c>
      <c r="B302" s="8" t="s">
        <v>1870</v>
      </c>
      <c r="C302" s="8" t="s">
        <v>179</v>
      </c>
      <c r="D302" s="8" t="s">
        <v>26</v>
      </c>
      <c r="E302" s="8" t="s">
        <v>1871</v>
      </c>
      <c r="F302" s="8"/>
      <c r="G302" s="8" t="s">
        <v>109</v>
      </c>
      <c r="H302" s="8" t="s">
        <v>1872</v>
      </c>
      <c r="I302" s="8" t="s">
        <v>31</v>
      </c>
      <c r="J302" s="8" t="s">
        <v>32</v>
      </c>
      <c r="K302" s="10" t="s">
        <v>1813</v>
      </c>
      <c r="L302" s="8" t="s">
        <v>58</v>
      </c>
      <c r="M302" s="8" t="s">
        <v>35</v>
      </c>
      <c r="N302" s="11">
        <v>44811.0</v>
      </c>
      <c r="O302" s="11">
        <v>45123.0</v>
      </c>
      <c r="P302" s="11">
        <v>45165.0</v>
      </c>
      <c r="Q302" s="11"/>
      <c r="R302" s="11"/>
      <c r="S302" s="12"/>
      <c r="T302" s="8"/>
      <c r="U302" s="8" t="s">
        <v>161</v>
      </c>
      <c r="V302" s="13" t="s">
        <v>38</v>
      </c>
      <c r="W302" s="13" t="s">
        <v>1873</v>
      </c>
      <c r="X302" s="12"/>
      <c r="Y302" s="14"/>
      <c r="Z302" s="14"/>
    </row>
    <row r="303">
      <c r="A303" s="8" t="s">
        <v>1874</v>
      </c>
      <c r="B303" s="8" t="s">
        <v>1875</v>
      </c>
      <c r="C303" s="8" t="s">
        <v>179</v>
      </c>
      <c r="D303" s="8" t="s">
        <v>26</v>
      </c>
      <c r="E303" s="8" t="s">
        <v>1876</v>
      </c>
      <c r="F303" s="8">
        <v>5.385625551E9</v>
      </c>
      <c r="G303" s="8" t="s">
        <v>31</v>
      </c>
      <c r="H303" s="8" t="s">
        <v>77</v>
      </c>
      <c r="I303" s="8" t="s">
        <v>1400</v>
      </c>
      <c r="J303" s="8" t="s">
        <v>1564</v>
      </c>
      <c r="K303" s="10" t="s">
        <v>1565</v>
      </c>
      <c r="L303" s="8" t="s">
        <v>58</v>
      </c>
      <c r="M303" s="8" t="s">
        <v>35</v>
      </c>
      <c r="N303" s="11">
        <v>44812.0</v>
      </c>
      <c r="O303" s="11">
        <v>44938.0</v>
      </c>
      <c r="P303" s="11">
        <v>44980.0</v>
      </c>
      <c r="Q303" s="11"/>
      <c r="R303" s="11"/>
      <c r="S303" s="12"/>
      <c r="T303" s="8"/>
      <c r="U303" s="8" t="s">
        <v>88</v>
      </c>
      <c r="V303" s="13" t="s">
        <v>111</v>
      </c>
      <c r="W303" s="13" t="s">
        <v>1877</v>
      </c>
      <c r="X303" s="12"/>
      <c r="Y303" s="14"/>
      <c r="Z303" s="14"/>
    </row>
    <row r="304">
      <c r="A304" s="8" t="s">
        <v>1878</v>
      </c>
      <c r="B304" s="8" t="s">
        <v>1879</v>
      </c>
      <c r="C304" s="8" t="s">
        <v>64</v>
      </c>
      <c r="D304" s="8" t="s">
        <v>26</v>
      </c>
      <c r="E304" s="8" t="s">
        <v>1880</v>
      </c>
      <c r="F304" s="8">
        <v>5.5342777E7</v>
      </c>
      <c r="G304" s="8" t="s">
        <v>54</v>
      </c>
      <c r="H304" s="8" t="s">
        <v>135</v>
      </c>
      <c r="I304" s="8" t="s">
        <v>31</v>
      </c>
      <c r="J304" s="8" t="s">
        <v>77</v>
      </c>
      <c r="K304" s="10" t="s">
        <v>1691</v>
      </c>
      <c r="L304" s="8" t="s">
        <v>58</v>
      </c>
      <c r="M304" s="8" t="s">
        <v>35</v>
      </c>
      <c r="N304" s="11">
        <v>44812.0</v>
      </c>
      <c r="O304" s="11">
        <v>44851.0</v>
      </c>
      <c r="P304" s="11">
        <v>44893.0</v>
      </c>
      <c r="Q304" s="11">
        <v>44853.0</v>
      </c>
      <c r="R304" s="11">
        <v>44891.0</v>
      </c>
      <c r="S304" s="12"/>
      <c r="T304" s="8"/>
      <c r="U304" s="8" t="s">
        <v>153</v>
      </c>
      <c r="V304" s="13" t="s">
        <v>138</v>
      </c>
      <c r="W304" s="13" t="s">
        <v>1881</v>
      </c>
      <c r="X304" s="12"/>
      <c r="Y304" s="14"/>
      <c r="Z304" s="14"/>
    </row>
    <row r="305">
      <c r="A305" s="8" t="s">
        <v>1882</v>
      </c>
      <c r="B305" s="8" t="s">
        <v>1883</v>
      </c>
      <c r="C305" s="8" t="s">
        <v>335</v>
      </c>
      <c r="D305" s="8" t="s">
        <v>26</v>
      </c>
      <c r="E305" s="8" t="s">
        <v>1884</v>
      </c>
      <c r="F305" s="8">
        <v>5.345226699E9</v>
      </c>
      <c r="G305" s="8" t="s">
        <v>31</v>
      </c>
      <c r="H305" s="8" t="s">
        <v>111</v>
      </c>
      <c r="I305" s="8" t="s">
        <v>1400</v>
      </c>
      <c r="J305" s="8" t="s">
        <v>1564</v>
      </c>
      <c r="K305" s="10" t="s">
        <v>1565</v>
      </c>
      <c r="L305" s="8" t="s">
        <v>58</v>
      </c>
      <c r="M305" s="8" t="s">
        <v>35</v>
      </c>
      <c r="N305" s="11">
        <v>45168.0</v>
      </c>
      <c r="O305" s="11">
        <v>44938.0</v>
      </c>
      <c r="P305" s="11">
        <v>44980.0</v>
      </c>
      <c r="Q305" s="11"/>
      <c r="R305" s="11"/>
      <c r="S305" s="12"/>
      <c r="T305" s="8"/>
      <c r="U305" s="8" t="s">
        <v>88</v>
      </c>
      <c r="V305" s="13" t="s">
        <v>111</v>
      </c>
      <c r="W305" s="13" t="s">
        <v>1885</v>
      </c>
      <c r="X305" s="12"/>
      <c r="Y305" s="14"/>
      <c r="Z305" s="14"/>
    </row>
    <row r="306">
      <c r="A306" s="8" t="s">
        <v>1886</v>
      </c>
      <c r="B306" s="8" t="s">
        <v>1887</v>
      </c>
      <c r="C306" s="8" t="s">
        <v>64</v>
      </c>
      <c r="D306" s="8" t="s">
        <v>26</v>
      </c>
      <c r="E306" s="8" t="s">
        <v>1888</v>
      </c>
      <c r="F306" s="8">
        <v>3.182846586E9</v>
      </c>
      <c r="G306" s="8" t="s">
        <v>981</v>
      </c>
      <c r="H306" s="8" t="s">
        <v>1889</v>
      </c>
      <c r="I306" s="8" t="s">
        <v>31</v>
      </c>
      <c r="J306" s="8" t="s">
        <v>292</v>
      </c>
      <c r="K306" s="10" t="s">
        <v>1890</v>
      </c>
      <c r="L306" s="8" t="s">
        <v>34</v>
      </c>
      <c r="M306" s="8" t="s">
        <v>70</v>
      </c>
      <c r="N306" s="11">
        <v>44812.0</v>
      </c>
      <c r="O306" s="11">
        <v>44835.0</v>
      </c>
      <c r="P306" s="11">
        <v>45200.0</v>
      </c>
      <c r="Q306" s="11">
        <v>44835.0</v>
      </c>
      <c r="R306" s="11">
        <v>45200.0</v>
      </c>
      <c r="S306" s="12"/>
      <c r="T306" s="8" t="s">
        <v>205</v>
      </c>
      <c r="U306" s="8" t="s">
        <v>37</v>
      </c>
      <c r="V306" s="13" t="s">
        <v>1891</v>
      </c>
      <c r="W306" s="13" t="s">
        <v>1892</v>
      </c>
      <c r="X306" s="12"/>
      <c r="Y306" s="14"/>
      <c r="Z306" s="14"/>
    </row>
    <row r="307">
      <c r="A307" s="8" t="s">
        <v>1893</v>
      </c>
      <c r="B307" s="8" t="s">
        <v>1894</v>
      </c>
      <c r="C307" s="8" t="s">
        <v>25</v>
      </c>
      <c r="D307" s="8" t="s">
        <v>26</v>
      </c>
      <c r="E307" s="8" t="s">
        <v>1895</v>
      </c>
      <c r="F307" s="8">
        <v>5.452161005E9</v>
      </c>
      <c r="G307" s="8" t="s">
        <v>31</v>
      </c>
      <c r="H307" s="8" t="s">
        <v>1274</v>
      </c>
      <c r="I307" s="8" t="s">
        <v>44</v>
      </c>
      <c r="J307" s="8" t="s">
        <v>453</v>
      </c>
      <c r="K307" s="10" t="s">
        <v>1896</v>
      </c>
      <c r="L307" s="8" t="s">
        <v>58</v>
      </c>
      <c r="M307" s="8" t="s">
        <v>35</v>
      </c>
      <c r="N307" s="11">
        <v>44813.0</v>
      </c>
      <c r="O307" s="11">
        <v>44896.0</v>
      </c>
      <c r="P307" s="11">
        <v>44938.0</v>
      </c>
      <c r="Q307" s="11">
        <v>44904.0</v>
      </c>
      <c r="R307" s="11">
        <v>44946.0</v>
      </c>
      <c r="S307" s="12"/>
      <c r="T307" s="8"/>
      <c r="U307" s="8" t="s">
        <v>339</v>
      </c>
      <c r="V307" s="13" t="s">
        <v>1274</v>
      </c>
      <c r="W307" s="13" t="s">
        <v>1897</v>
      </c>
      <c r="X307" s="12"/>
      <c r="Y307" s="14"/>
      <c r="Z307" s="14"/>
    </row>
    <row r="308">
      <c r="A308" s="8" t="s">
        <v>1898</v>
      </c>
      <c r="B308" s="8" t="s">
        <v>1899</v>
      </c>
      <c r="C308" s="8" t="s">
        <v>64</v>
      </c>
      <c r="D308" s="8" t="s">
        <v>26</v>
      </c>
      <c r="E308" s="8" t="s">
        <v>1900</v>
      </c>
      <c r="F308" s="8">
        <v>5.54252713E8</v>
      </c>
      <c r="G308" s="8" t="s">
        <v>254</v>
      </c>
      <c r="H308" s="8" t="s">
        <v>255</v>
      </c>
      <c r="I308" s="8" t="s">
        <v>31</v>
      </c>
      <c r="J308" s="8" t="s">
        <v>542</v>
      </c>
      <c r="K308" s="10" t="s">
        <v>1685</v>
      </c>
      <c r="L308" s="8" t="s">
        <v>34</v>
      </c>
      <c r="M308" s="8" t="s">
        <v>70</v>
      </c>
      <c r="N308" s="11">
        <v>44813.0</v>
      </c>
      <c r="O308" s="11">
        <v>44816.0</v>
      </c>
      <c r="P308" s="11">
        <v>45180.0</v>
      </c>
      <c r="Q308" s="11">
        <v>44859.0</v>
      </c>
      <c r="R308" s="11">
        <v>45223.0</v>
      </c>
      <c r="S308" s="12"/>
      <c r="T308" s="8" t="s">
        <v>205</v>
      </c>
      <c r="U308" s="8" t="s">
        <v>1686</v>
      </c>
      <c r="V308" s="13" t="s">
        <v>38</v>
      </c>
      <c r="W308" s="13" t="s">
        <v>1901</v>
      </c>
      <c r="X308" s="12"/>
      <c r="Y308" s="14"/>
      <c r="Z308" s="14"/>
    </row>
    <row r="309">
      <c r="A309" s="8" t="s">
        <v>1902</v>
      </c>
      <c r="B309" s="8" t="s">
        <v>1903</v>
      </c>
      <c r="C309" s="8" t="s">
        <v>25</v>
      </c>
      <c r="D309" s="8" t="s">
        <v>26</v>
      </c>
      <c r="E309" s="8" t="s">
        <v>1904</v>
      </c>
      <c r="F309" s="8">
        <v>6.59700566E8</v>
      </c>
      <c r="G309" s="8" t="s">
        <v>254</v>
      </c>
      <c r="H309" s="8" t="s">
        <v>758</v>
      </c>
      <c r="I309" s="8" t="s">
        <v>31</v>
      </c>
      <c r="J309" s="8" t="s">
        <v>438</v>
      </c>
      <c r="K309" s="10" t="s">
        <v>1905</v>
      </c>
      <c r="L309" s="8" t="s">
        <v>47</v>
      </c>
      <c r="M309" s="8" t="s">
        <v>70</v>
      </c>
      <c r="N309" s="11">
        <v>44813.0</v>
      </c>
      <c r="O309" s="11">
        <v>44802.0</v>
      </c>
      <c r="P309" s="11">
        <v>45166.0</v>
      </c>
      <c r="Q309" s="11">
        <v>44819.0</v>
      </c>
      <c r="R309" s="11">
        <v>45026.0</v>
      </c>
      <c r="S309" s="12"/>
      <c r="T309" s="8"/>
      <c r="U309" s="8" t="s">
        <v>1906</v>
      </c>
      <c r="V309" s="13" t="s">
        <v>295</v>
      </c>
      <c r="W309" s="13" t="s">
        <v>1907</v>
      </c>
      <c r="X309" s="12"/>
      <c r="Y309" s="14"/>
      <c r="Z309" s="14"/>
    </row>
    <row r="310">
      <c r="A310" s="8" t="s">
        <v>1908</v>
      </c>
      <c r="B310" s="8" t="s">
        <v>1909</v>
      </c>
      <c r="C310" s="8" t="s">
        <v>64</v>
      </c>
      <c r="D310" s="8" t="s">
        <v>26</v>
      </c>
      <c r="E310" s="8" t="s">
        <v>1910</v>
      </c>
      <c r="F310" s="8">
        <v>2.8127021E7</v>
      </c>
      <c r="G310" s="8" t="s">
        <v>54</v>
      </c>
      <c r="H310" s="8" t="s">
        <v>1911</v>
      </c>
      <c r="I310" s="8" t="s">
        <v>31</v>
      </c>
      <c r="J310" s="8" t="s">
        <v>167</v>
      </c>
      <c r="K310" s="10" t="s">
        <v>620</v>
      </c>
      <c r="L310" s="8" t="s">
        <v>58</v>
      </c>
      <c r="M310" s="8" t="s">
        <v>35</v>
      </c>
      <c r="N310" s="11">
        <v>44814.0</v>
      </c>
      <c r="O310" s="11">
        <v>44816.0</v>
      </c>
      <c r="P310" s="11">
        <v>44858.0</v>
      </c>
      <c r="Q310" s="11">
        <v>44815.0</v>
      </c>
      <c r="R310" s="11">
        <v>44858.0</v>
      </c>
      <c r="S310" s="12"/>
      <c r="T310" s="8"/>
      <c r="U310" s="8" t="s">
        <v>88</v>
      </c>
      <c r="V310" s="13" t="s">
        <v>1912</v>
      </c>
      <c r="W310" s="13" t="s">
        <v>1913</v>
      </c>
      <c r="X310" s="12"/>
      <c r="Y310" s="14"/>
      <c r="Z310" s="14"/>
    </row>
    <row r="311">
      <c r="A311" s="8" t="s">
        <v>1914</v>
      </c>
      <c r="B311" s="8" t="s">
        <v>1915</v>
      </c>
      <c r="C311" s="8" t="s">
        <v>179</v>
      </c>
      <c r="D311" s="8" t="s">
        <v>26</v>
      </c>
      <c r="E311" s="8" t="s">
        <v>1916</v>
      </c>
      <c r="F311" s="8">
        <v>1.0005685E9</v>
      </c>
      <c r="G311" s="8" t="s">
        <v>284</v>
      </c>
      <c r="H311" s="8" t="s">
        <v>589</v>
      </c>
      <c r="I311" s="8" t="s">
        <v>31</v>
      </c>
      <c r="J311" s="8" t="s">
        <v>32</v>
      </c>
      <c r="K311" s="10" t="s">
        <v>1813</v>
      </c>
      <c r="L311" s="8" t="s">
        <v>58</v>
      </c>
      <c r="M311" s="8" t="s">
        <v>35</v>
      </c>
      <c r="N311" s="11">
        <v>44814.0</v>
      </c>
      <c r="O311" s="11">
        <v>45123.0</v>
      </c>
      <c r="P311" s="11">
        <v>45165.0</v>
      </c>
      <c r="Q311" s="11"/>
      <c r="R311" s="11"/>
      <c r="S311" s="12"/>
      <c r="T311" s="8"/>
      <c r="U311" s="8" t="s">
        <v>161</v>
      </c>
      <c r="V311" s="13" t="s">
        <v>589</v>
      </c>
      <c r="W311" s="13" t="s">
        <v>1917</v>
      </c>
      <c r="X311" s="12"/>
      <c r="Y311" s="14"/>
      <c r="Z311" s="14"/>
    </row>
    <row r="312">
      <c r="A312" s="8" t="s">
        <v>1918</v>
      </c>
      <c r="B312" s="8" t="s">
        <v>1919</v>
      </c>
      <c r="C312" s="8" t="s">
        <v>179</v>
      </c>
      <c r="D312" s="8" t="s">
        <v>26</v>
      </c>
      <c r="E312" s="8" t="s">
        <v>1920</v>
      </c>
      <c r="F312" s="8">
        <v>1.9993584506E10</v>
      </c>
      <c r="G312" s="8" t="s">
        <v>109</v>
      </c>
      <c r="H312" s="8" t="s">
        <v>1921</v>
      </c>
      <c r="I312" s="8" t="s">
        <v>31</v>
      </c>
      <c r="J312" s="8" t="s">
        <v>32</v>
      </c>
      <c r="K312" s="10" t="s">
        <v>238</v>
      </c>
      <c r="L312" s="8" t="s">
        <v>58</v>
      </c>
      <c r="M312" s="8" t="s">
        <v>35</v>
      </c>
      <c r="N312" s="11">
        <v>44814.0</v>
      </c>
      <c r="O312" s="11">
        <v>44990.0</v>
      </c>
      <c r="P312" s="11">
        <v>45032.0</v>
      </c>
      <c r="Q312" s="11"/>
      <c r="R312" s="11"/>
      <c r="S312" s="12"/>
      <c r="T312" s="8"/>
      <c r="U312" s="8" t="s">
        <v>59</v>
      </c>
      <c r="V312" s="13" t="s">
        <v>1922</v>
      </c>
      <c r="W312" s="13" t="s">
        <v>1923</v>
      </c>
      <c r="X312" s="12"/>
      <c r="Y312" s="14"/>
      <c r="Z312" s="14"/>
    </row>
    <row r="313">
      <c r="A313" s="8" t="s">
        <v>1924</v>
      </c>
      <c r="B313" s="8" t="s">
        <v>1925</v>
      </c>
      <c r="C313" s="8" t="s">
        <v>25</v>
      </c>
      <c r="D313" s="8" t="s">
        <v>26</v>
      </c>
      <c r="E313" s="8" t="s">
        <v>1926</v>
      </c>
      <c r="F313" s="8">
        <v>6.65971871E8</v>
      </c>
      <c r="G313" s="8" t="s">
        <v>84</v>
      </c>
      <c r="H313" s="8" t="s">
        <v>85</v>
      </c>
      <c r="I313" s="8" t="s">
        <v>31</v>
      </c>
      <c r="J313" s="8" t="s">
        <v>542</v>
      </c>
      <c r="K313" s="10" t="s">
        <v>1685</v>
      </c>
      <c r="L313" s="8" t="s">
        <v>34</v>
      </c>
      <c r="M313" s="8" t="s">
        <v>70</v>
      </c>
      <c r="N313" s="11">
        <v>44814.0</v>
      </c>
      <c r="O313" s="11">
        <v>44816.0</v>
      </c>
      <c r="P313" s="11">
        <v>45180.0</v>
      </c>
      <c r="Q313" s="11">
        <v>44865.0</v>
      </c>
      <c r="R313" s="11">
        <v>45230.0</v>
      </c>
      <c r="S313" s="12"/>
      <c r="T313" s="8" t="s">
        <v>205</v>
      </c>
      <c r="U313" s="8" t="s">
        <v>1686</v>
      </c>
      <c r="V313" s="13" t="s">
        <v>1927</v>
      </c>
      <c r="W313" s="13" t="s">
        <v>1928</v>
      </c>
      <c r="X313" s="12"/>
      <c r="Y313" s="14"/>
      <c r="Z313" s="14"/>
    </row>
    <row r="314">
      <c r="A314" s="8" t="s">
        <v>1929</v>
      </c>
      <c r="B314" s="8" t="s">
        <v>1930</v>
      </c>
      <c r="C314" s="8" t="s">
        <v>64</v>
      </c>
      <c r="D314" s="8" t="s">
        <v>26</v>
      </c>
      <c r="E314" s="8" t="s">
        <v>1931</v>
      </c>
      <c r="F314" s="8">
        <v>6.60604322E8</v>
      </c>
      <c r="G314" s="8" t="s">
        <v>835</v>
      </c>
      <c r="H314" s="8" t="s">
        <v>1932</v>
      </c>
      <c r="I314" s="8" t="s">
        <v>31</v>
      </c>
      <c r="J314" s="8" t="s">
        <v>43</v>
      </c>
      <c r="K314" s="10" t="s">
        <v>837</v>
      </c>
      <c r="L314" s="8" t="s">
        <v>58</v>
      </c>
      <c r="M314" s="8" t="s">
        <v>35</v>
      </c>
      <c r="N314" s="11">
        <v>44814.0</v>
      </c>
      <c r="O314" s="11">
        <v>44816.0</v>
      </c>
      <c r="P314" s="11">
        <v>44862.0</v>
      </c>
      <c r="Q314" s="11">
        <v>44816.0</v>
      </c>
      <c r="R314" s="11">
        <v>44862.0</v>
      </c>
      <c r="S314" s="12"/>
      <c r="T314" s="8"/>
      <c r="U314" s="8" t="s">
        <v>130</v>
      </c>
      <c r="V314" s="13" t="s">
        <v>1933</v>
      </c>
      <c r="W314" s="13" t="s">
        <v>1934</v>
      </c>
      <c r="X314" s="12"/>
      <c r="Y314" s="14"/>
      <c r="Z314" s="14"/>
    </row>
    <row r="315">
      <c r="A315" s="8" t="s">
        <v>1935</v>
      </c>
      <c r="B315" s="8" t="s">
        <v>1936</v>
      </c>
      <c r="C315" s="8" t="s">
        <v>25</v>
      </c>
      <c r="D315" s="8" t="s">
        <v>26</v>
      </c>
      <c r="E315" s="8" t="s">
        <v>1937</v>
      </c>
      <c r="F315" s="8">
        <v>5.5671889E8</v>
      </c>
      <c r="G315" s="8" t="s">
        <v>254</v>
      </c>
      <c r="H315" s="8" t="s">
        <v>422</v>
      </c>
      <c r="I315" s="8" t="s">
        <v>31</v>
      </c>
      <c r="J315" s="8" t="s">
        <v>32</v>
      </c>
      <c r="K315" s="10" t="s">
        <v>1938</v>
      </c>
      <c r="L315" s="8" t="s">
        <v>47</v>
      </c>
      <c r="M315" s="8" t="s">
        <v>70</v>
      </c>
      <c r="N315" s="11">
        <v>44815.0</v>
      </c>
      <c r="O315" s="11">
        <v>44827.0</v>
      </c>
      <c r="P315" s="11">
        <v>45192.0</v>
      </c>
      <c r="Q315" s="11"/>
      <c r="R315" s="11">
        <v>45192.0</v>
      </c>
      <c r="S315" s="12"/>
      <c r="T315" s="8"/>
      <c r="U315" s="8" t="s">
        <v>246</v>
      </c>
      <c r="V315" s="13" t="s">
        <v>425</v>
      </c>
      <c r="W315" s="13" t="s">
        <v>1939</v>
      </c>
      <c r="X315" s="12"/>
      <c r="Y315" s="14"/>
      <c r="Z315" s="14"/>
    </row>
    <row r="316">
      <c r="A316" s="8" t="s">
        <v>1940</v>
      </c>
      <c r="B316" s="8" t="s">
        <v>1941</v>
      </c>
      <c r="C316" s="8" t="s">
        <v>25</v>
      </c>
      <c r="D316" s="8" t="s">
        <v>26</v>
      </c>
      <c r="E316" s="8" t="s">
        <v>1942</v>
      </c>
      <c r="F316" s="8">
        <v>1.151516239E9</v>
      </c>
      <c r="G316" s="8" t="s">
        <v>284</v>
      </c>
      <c r="H316" s="8" t="s">
        <v>625</v>
      </c>
      <c r="I316" s="8" t="s">
        <v>31</v>
      </c>
      <c r="J316" s="8" t="s">
        <v>32</v>
      </c>
      <c r="K316" s="10" t="s">
        <v>473</v>
      </c>
      <c r="L316" s="8" t="s">
        <v>58</v>
      </c>
      <c r="M316" s="8" t="s">
        <v>35</v>
      </c>
      <c r="N316" s="11">
        <v>44815.0</v>
      </c>
      <c r="O316" s="11">
        <v>44871.0</v>
      </c>
      <c r="P316" s="11">
        <v>44913.0</v>
      </c>
      <c r="Q316" s="11">
        <v>44875.0</v>
      </c>
      <c r="R316" s="11">
        <v>44913.0</v>
      </c>
      <c r="S316" s="12"/>
      <c r="T316" s="8"/>
      <c r="U316" s="8" t="s">
        <v>59</v>
      </c>
      <c r="V316" s="13" t="s">
        <v>626</v>
      </c>
      <c r="W316" s="13" t="s">
        <v>1943</v>
      </c>
      <c r="X316" s="12"/>
      <c r="Y316" s="14"/>
      <c r="Z316" s="14"/>
    </row>
    <row r="317">
      <c r="A317" s="8" t="s">
        <v>1944</v>
      </c>
      <c r="B317" s="8" t="s">
        <v>1945</v>
      </c>
      <c r="C317" s="8" t="s">
        <v>25</v>
      </c>
      <c r="D317" s="8" t="s">
        <v>26</v>
      </c>
      <c r="E317" s="8" t="s">
        <v>1946</v>
      </c>
      <c r="F317" s="8">
        <v>5.335696169E9</v>
      </c>
      <c r="G317" s="8" t="s">
        <v>31</v>
      </c>
      <c r="H317" s="8" t="s">
        <v>111</v>
      </c>
      <c r="I317" s="8" t="s">
        <v>44</v>
      </c>
      <c r="J317" s="8" t="s">
        <v>990</v>
      </c>
      <c r="K317" s="10" t="s">
        <v>991</v>
      </c>
      <c r="L317" s="8" t="s">
        <v>58</v>
      </c>
      <c r="M317" s="8" t="s">
        <v>35</v>
      </c>
      <c r="N317" s="11">
        <v>44815.0</v>
      </c>
      <c r="O317" s="11">
        <v>44835.0</v>
      </c>
      <c r="P317" s="11">
        <v>44877.0</v>
      </c>
      <c r="Q317" s="11">
        <v>44815.0</v>
      </c>
      <c r="R317" s="11">
        <v>44852.0</v>
      </c>
      <c r="S317" s="12"/>
      <c r="T317" s="8"/>
      <c r="U317" s="8" t="s">
        <v>185</v>
      </c>
      <c r="V317" s="13" t="s">
        <v>111</v>
      </c>
      <c r="W317" s="13" t="s">
        <v>1947</v>
      </c>
      <c r="X317" s="12"/>
      <c r="Y317" s="14"/>
      <c r="Z317" s="14"/>
    </row>
    <row r="318">
      <c r="A318" s="8" t="s">
        <v>1948</v>
      </c>
      <c r="B318" s="8" t="s">
        <v>1949</v>
      </c>
      <c r="C318" s="8" t="s">
        <v>25</v>
      </c>
      <c r="D318" s="8" t="s">
        <v>26</v>
      </c>
      <c r="E318" s="8" t="s">
        <v>1950</v>
      </c>
      <c r="F318" s="8">
        <v>5.374865822E9</v>
      </c>
      <c r="G318" s="8" t="s">
        <v>31</v>
      </c>
      <c r="H318" s="8" t="s">
        <v>220</v>
      </c>
      <c r="I318" s="8" t="s">
        <v>230</v>
      </c>
      <c r="J318" s="8" t="s">
        <v>543</v>
      </c>
      <c r="K318" s="10" t="s">
        <v>776</v>
      </c>
      <c r="L318" s="8" t="s">
        <v>58</v>
      </c>
      <c r="M318" s="8" t="s">
        <v>35</v>
      </c>
      <c r="N318" s="11">
        <v>44816.0</v>
      </c>
      <c r="O318" s="11">
        <v>44826.0</v>
      </c>
      <c r="P318" s="11">
        <v>44868.0</v>
      </c>
      <c r="Q318" s="11">
        <v>44823.0</v>
      </c>
      <c r="R318" s="11">
        <v>44865.0</v>
      </c>
      <c r="S318" s="12"/>
      <c r="T318" s="8"/>
      <c r="U318" s="8" t="s">
        <v>59</v>
      </c>
      <c r="V318" s="13" t="s">
        <v>220</v>
      </c>
      <c r="W318" s="13" t="s">
        <v>1951</v>
      </c>
      <c r="X318" s="12"/>
      <c r="Y318" s="14"/>
      <c r="Z318" s="14"/>
    </row>
    <row r="319">
      <c r="A319" s="8" t="s">
        <v>1952</v>
      </c>
      <c r="B319" s="8" t="s">
        <v>1953</v>
      </c>
      <c r="C319" s="8" t="s">
        <v>25</v>
      </c>
      <c r="D319" s="8" t="s">
        <v>26</v>
      </c>
      <c r="E319" s="8" t="s">
        <v>1954</v>
      </c>
      <c r="F319" s="8">
        <v>5.454818592E9</v>
      </c>
      <c r="G319" s="8" t="s">
        <v>31</v>
      </c>
      <c r="H319" s="8" t="s">
        <v>102</v>
      </c>
      <c r="I319" s="8" t="s">
        <v>127</v>
      </c>
      <c r="J319" s="8" t="s">
        <v>1628</v>
      </c>
      <c r="K319" s="10" t="s">
        <v>1955</v>
      </c>
      <c r="L319" s="8" t="s">
        <v>58</v>
      </c>
      <c r="M319" s="8" t="s">
        <v>35</v>
      </c>
      <c r="N319" s="11">
        <v>44816.0</v>
      </c>
      <c r="O319" s="11">
        <v>44935.0</v>
      </c>
      <c r="P319" s="11">
        <v>44977.0</v>
      </c>
      <c r="Q319" s="11">
        <v>44934.0</v>
      </c>
      <c r="R319" s="11">
        <v>44977.0</v>
      </c>
      <c r="S319" s="12"/>
      <c r="T319" s="8"/>
      <c r="U319" s="8" t="s">
        <v>1956</v>
      </c>
      <c r="V319" s="13" t="s">
        <v>1957</v>
      </c>
      <c r="W319" s="13" t="s">
        <v>1958</v>
      </c>
      <c r="X319" s="12"/>
      <c r="Y319" s="14"/>
      <c r="Z319" s="14"/>
    </row>
    <row r="320">
      <c r="A320" s="8" t="s">
        <v>1959</v>
      </c>
      <c r="B320" s="8" t="s">
        <v>1960</v>
      </c>
      <c r="C320" s="8" t="s">
        <v>179</v>
      </c>
      <c r="D320" s="8" t="s">
        <v>26</v>
      </c>
      <c r="E320" s="8" t="s">
        <v>1961</v>
      </c>
      <c r="F320" s="8">
        <v>7.786611528E9</v>
      </c>
      <c r="G320" s="8" t="s">
        <v>496</v>
      </c>
      <c r="H320" s="8" t="s">
        <v>497</v>
      </c>
      <c r="I320" s="8" t="s">
        <v>31</v>
      </c>
      <c r="J320" s="8" t="s">
        <v>167</v>
      </c>
      <c r="K320" s="10" t="s">
        <v>1962</v>
      </c>
      <c r="L320" s="8" t="s">
        <v>58</v>
      </c>
      <c r="M320" s="8" t="s">
        <v>35</v>
      </c>
      <c r="N320" s="11">
        <v>44816.0</v>
      </c>
      <c r="O320" s="11">
        <v>44914.0</v>
      </c>
      <c r="P320" s="11">
        <v>44956.0</v>
      </c>
      <c r="Q320" s="11"/>
      <c r="R320" s="11"/>
      <c r="S320" s="12"/>
      <c r="T320" s="8"/>
      <c r="U320" s="8" t="s">
        <v>59</v>
      </c>
      <c r="V320" s="13" t="s">
        <v>500</v>
      </c>
      <c r="W320" s="13" t="s">
        <v>1963</v>
      </c>
      <c r="X320" s="12"/>
      <c r="Y320" s="14"/>
      <c r="Z320" s="14"/>
    </row>
    <row r="321">
      <c r="A321" s="8" t="s">
        <v>1964</v>
      </c>
      <c r="B321" s="8" t="s">
        <v>1965</v>
      </c>
      <c r="C321" s="8" t="s">
        <v>64</v>
      </c>
      <c r="D321" s="8" t="s">
        <v>26</v>
      </c>
      <c r="E321" s="8" t="s">
        <v>1966</v>
      </c>
      <c r="F321" s="8"/>
      <c r="G321" s="8" t="s">
        <v>54</v>
      </c>
      <c r="H321" s="8" t="s">
        <v>377</v>
      </c>
      <c r="I321" s="8" t="s">
        <v>31</v>
      </c>
      <c r="J321" s="8" t="s">
        <v>292</v>
      </c>
      <c r="K321" s="10" t="s">
        <v>1967</v>
      </c>
      <c r="L321" s="8" t="s">
        <v>47</v>
      </c>
      <c r="M321" s="8" t="s">
        <v>70</v>
      </c>
      <c r="N321" s="11">
        <v>44817.0</v>
      </c>
      <c r="O321" s="11">
        <v>44858.0</v>
      </c>
      <c r="P321" s="11">
        <v>45223.0</v>
      </c>
      <c r="Q321" s="11">
        <v>44873.0</v>
      </c>
      <c r="R321" s="11">
        <v>45238.0</v>
      </c>
      <c r="S321" s="12"/>
      <c r="T321" s="8"/>
      <c r="U321" s="8" t="s">
        <v>1819</v>
      </c>
      <c r="V321" s="13" t="s">
        <v>38</v>
      </c>
      <c r="W321" s="13" t="s">
        <v>1968</v>
      </c>
      <c r="X321" s="12"/>
      <c r="Y321" s="14"/>
      <c r="Z321" s="14"/>
    </row>
    <row r="322">
      <c r="A322" s="8" t="s">
        <v>1969</v>
      </c>
      <c r="B322" s="8" t="s">
        <v>1970</v>
      </c>
      <c r="C322" s="8" t="s">
        <v>251</v>
      </c>
      <c r="D322" s="8" t="s">
        <v>26</v>
      </c>
      <c r="E322" s="8" t="s">
        <v>1971</v>
      </c>
      <c r="F322" s="8">
        <v>6.96546247E8</v>
      </c>
      <c r="G322" s="8" t="s">
        <v>84</v>
      </c>
      <c r="H322" s="8" t="s">
        <v>1551</v>
      </c>
      <c r="I322" s="8" t="s">
        <v>31</v>
      </c>
      <c r="J322" s="8" t="s">
        <v>77</v>
      </c>
      <c r="K322" s="10" t="s">
        <v>1972</v>
      </c>
      <c r="L322" s="8" t="s">
        <v>47</v>
      </c>
      <c r="M322" s="8" t="s">
        <v>70</v>
      </c>
      <c r="N322" s="11">
        <v>44817.0</v>
      </c>
      <c r="O322" s="11">
        <v>44835.0</v>
      </c>
      <c r="P322" s="11">
        <v>45107.0</v>
      </c>
      <c r="Q322" s="11"/>
      <c r="R322" s="11"/>
      <c r="S322" s="12"/>
      <c r="T322" s="8"/>
      <c r="U322" s="8" t="s">
        <v>1973</v>
      </c>
      <c r="V322" s="13" t="s">
        <v>1974</v>
      </c>
      <c r="W322" s="13" t="s">
        <v>1975</v>
      </c>
      <c r="X322" s="12"/>
      <c r="Y322" s="14"/>
      <c r="Z322" s="14"/>
    </row>
    <row r="323">
      <c r="A323" s="8" t="s">
        <v>1976</v>
      </c>
      <c r="B323" s="8" t="s">
        <v>1977</v>
      </c>
      <c r="C323" s="8" t="s">
        <v>25</v>
      </c>
      <c r="D323" s="8" t="s">
        <v>26</v>
      </c>
      <c r="E323" s="8" t="s">
        <v>1978</v>
      </c>
      <c r="F323" s="8">
        <v>7.95245655E8</v>
      </c>
      <c r="G323" s="8" t="s">
        <v>254</v>
      </c>
      <c r="H323" s="8" t="s">
        <v>291</v>
      </c>
      <c r="I323" s="8" t="s">
        <v>31</v>
      </c>
      <c r="J323" s="8" t="s">
        <v>77</v>
      </c>
      <c r="K323" s="10" t="s">
        <v>1972</v>
      </c>
      <c r="L323" s="8" t="s">
        <v>47</v>
      </c>
      <c r="M323" s="8" t="s">
        <v>70</v>
      </c>
      <c r="N323" s="11">
        <v>44817.0</v>
      </c>
      <c r="O323" s="11">
        <v>44835.0</v>
      </c>
      <c r="P323" s="11">
        <v>45107.0</v>
      </c>
      <c r="Q323" s="11">
        <v>44858.0</v>
      </c>
      <c r="R323" s="11">
        <v>45107.0</v>
      </c>
      <c r="S323" s="12"/>
      <c r="T323" s="8"/>
      <c r="U323" s="8" t="s">
        <v>1973</v>
      </c>
      <c r="V323" s="13" t="s">
        <v>38</v>
      </c>
      <c r="W323" s="13" t="s">
        <v>1979</v>
      </c>
      <c r="X323" s="12"/>
      <c r="Y323" s="14"/>
      <c r="Z323" s="14"/>
    </row>
    <row r="324">
      <c r="A324" s="8" t="s">
        <v>1980</v>
      </c>
      <c r="B324" s="8" t="s">
        <v>1981</v>
      </c>
      <c r="C324" s="8" t="s">
        <v>179</v>
      </c>
      <c r="D324" s="8" t="s">
        <v>26</v>
      </c>
      <c r="E324" s="8" t="s">
        <v>1982</v>
      </c>
      <c r="F324" s="8">
        <v>2.7538956E7</v>
      </c>
      <c r="G324" s="8" t="s">
        <v>54</v>
      </c>
      <c r="H324" s="8" t="s">
        <v>1911</v>
      </c>
      <c r="I324" s="8" t="s">
        <v>31</v>
      </c>
      <c r="J324" s="8" t="s">
        <v>111</v>
      </c>
      <c r="K324" s="10" t="s">
        <v>1824</v>
      </c>
      <c r="L324" s="8" t="s">
        <v>58</v>
      </c>
      <c r="M324" s="8" t="s">
        <v>35</v>
      </c>
      <c r="N324" s="11">
        <v>44817.0</v>
      </c>
      <c r="O324" s="11">
        <v>44893.0</v>
      </c>
      <c r="P324" s="11">
        <v>44935.0</v>
      </c>
      <c r="Q324" s="11"/>
      <c r="R324" s="11"/>
      <c r="S324" s="12"/>
      <c r="T324" s="8"/>
      <c r="U324" s="8" t="s">
        <v>59</v>
      </c>
      <c r="V324" s="13" t="s">
        <v>1983</v>
      </c>
      <c r="W324" s="13" t="s">
        <v>1984</v>
      </c>
      <c r="X324" s="12"/>
      <c r="Y324" s="14"/>
      <c r="Z324" s="14"/>
    </row>
    <row r="325">
      <c r="A325" s="8" t="s">
        <v>1985</v>
      </c>
      <c r="B325" s="8" t="s">
        <v>1986</v>
      </c>
      <c r="C325" s="8" t="s">
        <v>251</v>
      </c>
      <c r="D325" s="8" t="s">
        <v>26</v>
      </c>
      <c r="E325" s="8" t="s">
        <v>1987</v>
      </c>
      <c r="F325" s="8">
        <v>5.059420842E9</v>
      </c>
      <c r="G325" s="8" t="s">
        <v>31</v>
      </c>
      <c r="H325" s="8" t="s">
        <v>56</v>
      </c>
      <c r="I325" s="8" t="s">
        <v>44</v>
      </c>
      <c r="J325" s="8" t="s">
        <v>741</v>
      </c>
      <c r="K325" s="10" t="s">
        <v>1988</v>
      </c>
      <c r="L325" s="8" t="s">
        <v>58</v>
      </c>
      <c r="M325" s="8" t="s">
        <v>35</v>
      </c>
      <c r="N325" s="11">
        <v>44818.0</v>
      </c>
      <c r="O325" s="11">
        <v>45108.0</v>
      </c>
      <c r="P325" s="11">
        <v>45150.0</v>
      </c>
      <c r="Q325" s="11"/>
      <c r="R325" s="11"/>
      <c r="S325" s="12"/>
      <c r="T325" s="8"/>
      <c r="U325" s="8" t="s">
        <v>59</v>
      </c>
      <c r="V325" s="13" t="s">
        <v>56</v>
      </c>
      <c r="W325" s="13" t="s">
        <v>1989</v>
      </c>
      <c r="X325" s="12"/>
      <c r="Y325" s="14"/>
      <c r="Z325" s="14"/>
    </row>
    <row r="326">
      <c r="A326" s="8" t="s">
        <v>1990</v>
      </c>
      <c r="B326" s="8" t="s">
        <v>1991</v>
      </c>
      <c r="C326" s="8" t="s">
        <v>25</v>
      </c>
      <c r="D326" s="8" t="s">
        <v>26</v>
      </c>
      <c r="E326" s="8" t="s">
        <v>1992</v>
      </c>
      <c r="F326" s="8">
        <v>5.51430774E9</v>
      </c>
      <c r="G326" s="8" t="s">
        <v>31</v>
      </c>
      <c r="H326" s="8" t="s">
        <v>136</v>
      </c>
      <c r="I326" s="8" t="s">
        <v>44</v>
      </c>
      <c r="J326" s="8" t="s">
        <v>1993</v>
      </c>
      <c r="K326" s="10" t="s">
        <v>1994</v>
      </c>
      <c r="L326" s="8" t="s">
        <v>58</v>
      </c>
      <c r="M326" s="8" t="s">
        <v>35</v>
      </c>
      <c r="N326" s="11">
        <v>44818.0</v>
      </c>
      <c r="O326" s="11">
        <v>45109.0</v>
      </c>
      <c r="P326" s="11">
        <v>45151.0</v>
      </c>
      <c r="Q326" s="11">
        <v>45112.0</v>
      </c>
      <c r="R326" s="11">
        <v>45152.0</v>
      </c>
      <c r="S326" s="12"/>
      <c r="T326" s="8"/>
      <c r="U326" s="8" t="s">
        <v>371</v>
      </c>
      <c r="V326" s="13" t="s">
        <v>136</v>
      </c>
      <c r="W326" s="13" t="s">
        <v>1995</v>
      </c>
      <c r="X326" s="12"/>
      <c r="Y326" s="14"/>
      <c r="Z326" s="14"/>
    </row>
    <row r="327">
      <c r="A327" s="8" t="s">
        <v>1996</v>
      </c>
      <c r="B327" s="8" t="s">
        <v>1997</v>
      </c>
      <c r="C327" s="8" t="s">
        <v>25</v>
      </c>
      <c r="D327" s="8" t="s">
        <v>26</v>
      </c>
      <c r="E327" s="8" t="s">
        <v>1998</v>
      </c>
      <c r="F327" s="8"/>
      <c r="G327" s="8" t="s">
        <v>54</v>
      </c>
      <c r="H327" s="8" t="s">
        <v>135</v>
      </c>
      <c r="I327" s="8" t="s">
        <v>31</v>
      </c>
      <c r="J327" s="8" t="s">
        <v>167</v>
      </c>
      <c r="K327" s="10" t="s">
        <v>1999</v>
      </c>
      <c r="L327" s="8" t="s">
        <v>34</v>
      </c>
      <c r="M327" s="8" t="s">
        <v>70</v>
      </c>
      <c r="N327" s="11">
        <v>44818.0</v>
      </c>
      <c r="O327" s="11">
        <v>44827.0</v>
      </c>
      <c r="P327" s="11">
        <v>45199.0</v>
      </c>
      <c r="Q327" s="11">
        <v>44825.0</v>
      </c>
      <c r="R327" s="11">
        <v>45194.0</v>
      </c>
      <c r="S327" s="12"/>
      <c r="T327" s="8" t="s">
        <v>205</v>
      </c>
      <c r="U327" s="8" t="s">
        <v>2000</v>
      </c>
      <c r="V327" s="13" t="s">
        <v>38</v>
      </c>
      <c r="W327" s="13" t="s">
        <v>2001</v>
      </c>
      <c r="X327" s="12"/>
      <c r="Y327" s="14"/>
      <c r="Z327" s="14"/>
    </row>
    <row r="328">
      <c r="A328" s="8" t="s">
        <v>2002</v>
      </c>
      <c r="B328" s="8" t="s">
        <v>2003</v>
      </c>
      <c r="C328" s="8" t="s">
        <v>64</v>
      </c>
      <c r="D328" s="8" t="s">
        <v>26</v>
      </c>
      <c r="E328" s="8" t="s">
        <v>2004</v>
      </c>
      <c r="F328" s="8">
        <v>9.821717795E9</v>
      </c>
      <c r="G328" s="8" t="s">
        <v>44</v>
      </c>
      <c r="H328" s="8" t="s">
        <v>990</v>
      </c>
      <c r="I328" s="8" t="s">
        <v>31</v>
      </c>
      <c r="J328" s="8" t="s">
        <v>86</v>
      </c>
      <c r="K328" s="10" t="s">
        <v>578</v>
      </c>
      <c r="L328" s="8" t="s">
        <v>58</v>
      </c>
      <c r="M328" s="8" t="s">
        <v>35</v>
      </c>
      <c r="N328" s="11">
        <v>44819.0</v>
      </c>
      <c r="O328" s="11">
        <v>44922.0</v>
      </c>
      <c r="P328" s="11">
        <v>44964.0</v>
      </c>
      <c r="Q328" s="11">
        <v>44922.0</v>
      </c>
      <c r="R328" s="11">
        <v>44964.0</v>
      </c>
      <c r="S328" s="12"/>
      <c r="T328" s="8"/>
      <c r="U328" s="8" t="s">
        <v>59</v>
      </c>
      <c r="V328" s="13" t="s">
        <v>2005</v>
      </c>
      <c r="W328" s="13" t="s">
        <v>2006</v>
      </c>
      <c r="X328" s="12"/>
      <c r="Y328" s="14"/>
      <c r="Z328" s="14"/>
    </row>
    <row r="329">
      <c r="A329" s="8" t="s">
        <v>2007</v>
      </c>
      <c r="B329" s="8" t="s">
        <v>2008</v>
      </c>
      <c r="C329" s="8" t="s">
        <v>25</v>
      </c>
      <c r="D329" s="8" t="s">
        <v>26</v>
      </c>
      <c r="E329" s="8" t="s">
        <v>2009</v>
      </c>
      <c r="F329" s="8">
        <v>7.075612347E9</v>
      </c>
      <c r="G329" s="8" t="s">
        <v>496</v>
      </c>
      <c r="H329" s="8" t="s">
        <v>497</v>
      </c>
      <c r="I329" s="8" t="s">
        <v>31</v>
      </c>
      <c r="J329" s="8" t="s">
        <v>77</v>
      </c>
      <c r="K329" s="10" t="s">
        <v>2010</v>
      </c>
      <c r="L329" s="8" t="s">
        <v>47</v>
      </c>
      <c r="M329" s="8" t="s">
        <v>70</v>
      </c>
      <c r="N329" s="11">
        <v>44819.0</v>
      </c>
      <c r="O329" s="11">
        <v>44844.0</v>
      </c>
      <c r="P329" s="11">
        <v>45107.0</v>
      </c>
      <c r="Q329" s="11">
        <v>44840.0</v>
      </c>
      <c r="R329" s="11">
        <v>45107.0</v>
      </c>
      <c r="S329" s="12"/>
      <c r="T329" s="8"/>
      <c r="U329" s="8" t="s">
        <v>2011</v>
      </c>
      <c r="V329" s="13" t="s">
        <v>500</v>
      </c>
      <c r="W329" s="13" t="s">
        <v>2012</v>
      </c>
      <c r="X329" s="12"/>
      <c r="Y329" s="14"/>
      <c r="Z329" s="14"/>
    </row>
    <row r="330">
      <c r="A330" s="8" t="s">
        <v>2013</v>
      </c>
      <c r="B330" s="8" t="s">
        <v>2014</v>
      </c>
      <c r="C330" s="8" t="s">
        <v>64</v>
      </c>
      <c r="D330" s="8" t="s">
        <v>26</v>
      </c>
      <c r="E330" s="8" t="s">
        <v>2015</v>
      </c>
      <c r="F330" s="8">
        <v>6.477038331E9</v>
      </c>
      <c r="G330" s="8" t="s">
        <v>1510</v>
      </c>
      <c r="H330" s="8" t="s">
        <v>2016</v>
      </c>
      <c r="I330" s="8" t="s">
        <v>31</v>
      </c>
      <c r="J330" s="8" t="s">
        <v>86</v>
      </c>
      <c r="K330" s="10" t="s">
        <v>578</v>
      </c>
      <c r="L330" s="8" t="s">
        <v>58</v>
      </c>
      <c r="M330" s="8" t="s">
        <v>35</v>
      </c>
      <c r="N330" s="11">
        <v>44819.0</v>
      </c>
      <c r="O330" s="11">
        <v>44880.0</v>
      </c>
      <c r="P330" s="11">
        <v>44922.0</v>
      </c>
      <c r="Q330" s="11">
        <v>44879.0</v>
      </c>
      <c r="R330" s="11">
        <v>44921.0</v>
      </c>
      <c r="S330" s="12"/>
      <c r="T330" s="8"/>
      <c r="U330" s="8" t="s">
        <v>59</v>
      </c>
      <c r="V330" s="13" t="s">
        <v>2017</v>
      </c>
      <c r="W330" s="13" t="s">
        <v>2018</v>
      </c>
      <c r="X330" s="12"/>
      <c r="Y330" s="14"/>
      <c r="Z330" s="14"/>
    </row>
    <row r="331">
      <c r="A331" s="8" t="s">
        <v>2019</v>
      </c>
      <c r="B331" s="8" t="s">
        <v>2020</v>
      </c>
      <c r="C331" s="8" t="s">
        <v>335</v>
      </c>
      <c r="D331" s="8" t="s">
        <v>26</v>
      </c>
      <c r="E331" s="8" t="s">
        <v>2021</v>
      </c>
      <c r="F331" s="8">
        <v>5.439332426E9</v>
      </c>
      <c r="G331" s="8" t="s">
        <v>31</v>
      </c>
      <c r="H331" s="8" t="s">
        <v>542</v>
      </c>
      <c r="I331" s="8" t="s">
        <v>399</v>
      </c>
      <c r="J331" s="8" t="s">
        <v>400</v>
      </c>
      <c r="K331" s="10" t="s">
        <v>1700</v>
      </c>
      <c r="L331" s="8" t="s">
        <v>58</v>
      </c>
      <c r="M331" s="8" t="s">
        <v>35</v>
      </c>
      <c r="N331" s="11">
        <v>45190.0</v>
      </c>
      <c r="O331" s="11">
        <v>45118.0</v>
      </c>
      <c r="P331" s="11">
        <v>45160.0</v>
      </c>
      <c r="Q331" s="11"/>
      <c r="R331" s="11"/>
      <c r="S331" s="12"/>
      <c r="T331" s="8"/>
      <c r="U331" s="8" t="s">
        <v>1038</v>
      </c>
      <c r="V331" s="13" t="s">
        <v>545</v>
      </c>
      <c r="W331" s="13" t="s">
        <v>2022</v>
      </c>
      <c r="X331" s="12"/>
      <c r="Y331" s="14"/>
      <c r="Z331" s="14"/>
    </row>
    <row r="332">
      <c r="A332" s="8" t="s">
        <v>2023</v>
      </c>
      <c r="B332" s="8" t="s">
        <v>2024</v>
      </c>
      <c r="C332" s="8" t="s">
        <v>179</v>
      </c>
      <c r="D332" s="8" t="s">
        <v>26</v>
      </c>
      <c r="E332" s="8" t="s">
        <v>2025</v>
      </c>
      <c r="F332" s="8">
        <v>5.46534369E9</v>
      </c>
      <c r="G332" s="8" t="s">
        <v>31</v>
      </c>
      <c r="H332" s="8" t="s">
        <v>542</v>
      </c>
      <c r="I332" s="8" t="s">
        <v>284</v>
      </c>
      <c r="J332" s="8" t="s">
        <v>1777</v>
      </c>
      <c r="K332" s="10" t="s">
        <v>2026</v>
      </c>
      <c r="L332" s="8" t="s">
        <v>58</v>
      </c>
      <c r="M332" s="8" t="s">
        <v>35</v>
      </c>
      <c r="N332" s="11">
        <v>44819.0</v>
      </c>
      <c r="O332" s="11">
        <v>44919.0</v>
      </c>
      <c r="P332" s="11">
        <v>44961.0</v>
      </c>
      <c r="Q332" s="11"/>
      <c r="R332" s="11"/>
      <c r="S332" s="12"/>
      <c r="T332" s="8"/>
      <c r="U332" s="8" t="s">
        <v>161</v>
      </c>
      <c r="V332" s="13" t="s">
        <v>175</v>
      </c>
      <c r="W332" s="13" t="s">
        <v>2027</v>
      </c>
      <c r="X332" s="12"/>
      <c r="Y332" s="14"/>
      <c r="Z332" s="14"/>
    </row>
    <row r="333">
      <c r="A333" s="8" t="s">
        <v>2028</v>
      </c>
      <c r="B333" s="8" t="s">
        <v>2029</v>
      </c>
      <c r="C333" s="8" t="s">
        <v>25</v>
      </c>
      <c r="D333" s="8" t="s">
        <v>26</v>
      </c>
      <c r="E333" s="8" t="s">
        <v>2030</v>
      </c>
      <c r="F333" s="8">
        <v>7.0431636E8</v>
      </c>
      <c r="G333" s="8" t="s">
        <v>307</v>
      </c>
      <c r="H333" s="8" t="s">
        <v>1118</v>
      </c>
      <c r="I333" s="8" t="s">
        <v>31</v>
      </c>
      <c r="J333" s="8" t="s">
        <v>292</v>
      </c>
      <c r="K333" s="10" t="s">
        <v>1260</v>
      </c>
      <c r="L333" s="8" t="s">
        <v>47</v>
      </c>
      <c r="M333" s="8" t="s">
        <v>70</v>
      </c>
      <c r="N333" s="11">
        <v>44819.0</v>
      </c>
      <c r="O333" s="11">
        <v>44835.0</v>
      </c>
      <c r="P333" s="11">
        <v>45200.0</v>
      </c>
      <c r="Q333" s="11">
        <v>44834.0</v>
      </c>
      <c r="R333" s="11">
        <v>44956.0</v>
      </c>
      <c r="S333" s="12"/>
      <c r="T333" s="8"/>
      <c r="U333" s="8" t="s">
        <v>1261</v>
      </c>
      <c r="V333" s="13" t="s">
        <v>2031</v>
      </c>
      <c r="W333" s="13" t="s">
        <v>2032</v>
      </c>
      <c r="X333" s="12"/>
      <c r="Y333" s="14"/>
      <c r="Z333" s="14"/>
    </row>
    <row r="334">
      <c r="A334" s="8" t="s">
        <v>2033</v>
      </c>
      <c r="B334" s="8" t="s">
        <v>2034</v>
      </c>
      <c r="C334" s="8" t="s">
        <v>251</v>
      </c>
      <c r="D334" s="8" t="s">
        <v>26</v>
      </c>
      <c r="E334" s="8" t="s">
        <v>2035</v>
      </c>
      <c r="F334" s="8"/>
      <c r="G334" s="8" t="s">
        <v>254</v>
      </c>
      <c r="H334" s="8" t="s">
        <v>1007</v>
      </c>
      <c r="I334" s="8" t="s">
        <v>31</v>
      </c>
      <c r="J334" s="8" t="s">
        <v>77</v>
      </c>
      <c r="K334" s="10" t="s">
        <v>2036</v>
      </c>
      <c r="L334" s="8" t="s">
        <v>47</v>
      </c>
      <c r="M334" s="8" t="s">
        <v>70</v>
      </c>
      <c r="N334" s="11">
        <v>44820.0</v>
      </c>
      <c r="O334" s="11">
        <v>44844.0</v>
      </c>
      <c r="P334" s="11">
        <v>45107.0</v>
      </c>
      <c r="Q334" s="11"/>
      <c r="R334" s="11"/>
      <c r="S334" s="12"/>
      <c r="T334" s="8"/>
      <c r="U334" s="8" t="s">
        <v>2037</v>
      </c>
      <c r="V334" s="13" t="s">
        <v>38</v>
      </c>
      <c r="W334" s="13" t="s">
        <v>2038</v>
      </c>
      <c r="X334" s="12"/>
      <c r="Y334" s="14"/>
      <c r="Z334" s="14"/>
    </row>
    <row r="335">
      <c r="A335" s="8" t="s">
        <v>2039</v>
      </c>
      <c r="B335" s="8" t="s">
        <v>2040</v>
      </c>
      <c r="C335" s="8" t="s">
        <v>25</v>
      </c>
      <c r="D335" s="8" t="s">
        <v>26</v>
      </c>
      <c r="E335" s="8" t="s">
        <v>2041</v>
      </c>
      <c r="F335" s="8">
        <v>7.8828001E7</v>
      </c>
      <c r="G335" s="8" t="s">
        <v>2042</v>
      </c>
      <c r="H335" s="8" t="s">
        <v>2043</v>
      </c>
      <c r="I335" s="8" t="s">
        <v>31</v>
      </c>
      <c r="J335" s="8" t="s">
        <v>77</v>
      </c>
      <c r="K335" s="10" t="s">
        <v>2044</v>
      </c>
      <c r="L335" s="8" t="s">
        <v>34</v>
      </c>
      <c r="M335" s="8" t="s">
        <v>48</v>
      </c>
      <c r="N335" s="11">
        <v>44820.0</v>
      </c>
      <c r="O335" s="11">
        <v>44941.0</v>
      </c>
      <c r="P335" s="11">
        <v>45061.0</v>
      </c>
      <c r="Q335" s="11">
        <v>44953.0</v>
      </c>
      <c r="R335" s="11">
        <v>45071.0</v>
      </c>
      <c r="S335" s="12"/>
      <c r="T335" s="8" t="s">
        <v>1187</v>
      </c>
      <c r="U335" s="8" t="s">
        <v>2045</v>
      </c>
      <c r="V335" s="13" t="s">
        <v>38</v>
      </c>
      <c r="W335" s="13" t="s">
        <v>2046</v>
      </c>
      <c r="X335" s="12"/>
      <c r="Y335" s="14"/>
      <c r="Z335" s="14"/>
    </row>
    <row r="336">
      <c r="A336" s="8" t="s">
        <v>2047</v>
      </c>
      <c r="B336" s="8" t="s">
        <v>2048</v>
      </c>
      <c r="C336" s="8" t="s">
        <v>64</v>
      </c>
      <c r="D336" s="8" t="s">
        <v>26</v>
      </c>
      <c r="E336" s="8" t="s">
        <v>2049</v>
      </c>
      <c r="F336" s="8">
        <v>7.27051358E8</v>
      </c>
      <c r="G336" s="8" t="s">
        <v>818</v>
      </c>
      <c r="H336" s="8" t="s">
        <v>971</v>
      </c>
      <c r="I336" s="8" t="s">
        <v>31</v>
      </c>
      <c r="J336" s="8" t="s">
        <v>77</v>
      </c>
      <c r="K336" s="10" t="s">
        <v>152</v>
      </c>
      <c r="L336" s="8" t="s">
        <v>58</v>
      </c>
      <c r="M336" s="8" t="s">
        <v>35</v>
      </c>
      <c r="N336" s="11">
        <v>44820.0</v>
      </c>
      <c r="O336" s="11">
        <v>44865.0</v>
      </c>
      <c r="P336" s="11">
        <v>44907.0</v>
      </c>
      <c r="Q336" s="11">
        <v>44870.0</v>
      </c>
      <c r="R336" s="11">
        <v>44905.0</v>
      </c>
      <c r="S336" s="12"/>
      <c r="T336" s="8"/>
      <c r="U336" s="8" t="s">
        <v>153</v>
      </c>
      <c r="V336" s="13" t="s">
        <v>972</v>
      </c>
      <c r="W336" s="13" t="s">
        <v>2050</v>
      </c>
      <c r="X336" s="12"/>
      <c r="Y336" s="14"/>
      <c r="Z336" s="14"/>
    </row>
    <row r="337">
      <c r="A337" s="8" t="s">
        <v>2051</v>
      </c>
      <c r="B337" s="8" t="s">
        <v>2052</v>
      </c>
      <c r="C337" s="8" t="s">
        <v>251</v>
      </c>
      <c r="D337" s="8" t="s">
        <v>26</v>
      </c>
      <c r="E337" s="8" t="s">
        <v>2053</v>
      </c>
      <c r="F337" s="8"/>
      <c r="G337" s="8" t="s">
        <v>44</v>
      </c>
      <c r="H337" s="8" t="s">
        <v>2054</v>
      </c>
      <c r="I337" s="8" t="s">
        <v>31</v>
      </c>
      <c r="J337" s="8" t="s">
        <v>167</v>
      </c>
      <c r="K337" s="10" t="s">
        <v>2055</v>
      </c>
      <c r="L337" s="8" t="s">
        <v>58</v>
      </c>
      <c r="M337" s="8" t="s">
        <v>35</v>
      </c>
      <c r="N337" s="11">
        <v>44821.0</v>
      </c>
      <c r="O337" s="11">
        <v>44879.0</v>
      </c>
      <c r="P337" s="11">
        <v>44921.0</v>
      </c>
      <c r="Q337" s="11"/>
      <c r="R337" s="11"/>
      <c r="S337" s="12"/>
      <c r="T337" s="8"/>
      <c r="U337" s="8" t="s">
        <v>88</v>
      </c>
      <c r="V337" s="13" t="s">
        <v>38</v>
      </c>
      <c r="W337" s="13" t="s">
        <v>2056</v>
      </c>
      <c r="X337" s="12"/>
      <c r="Y337" s="14"/>
      <c r="Z337" s="14"/>
    </row>
    <row r="338">
      <c r="A338" s="8" t="s">
        <v>2057</v>
      </c>
      <c r="B338" s="8" t="s">
        <v>2058</v>
      </c>
      <c r="C338" s="8" t="s">
        <v>25</v>
      </c>
      <c r="D338" s="8" t="s">
        <v>26</v>
      </c>
      <c r="E338" s="8" t="s">
        <v>2059</v>
      </c>
      <c r="F338" s="8">
        <v>6.28461733E8</v>
      </c>
      <c r="G338" s="8" t="s">
        <v>221</v>
      </c>
      <c r="H338" s="8" t="s">
        <v>1812</v>
      </c>
      <c r="I338" s="8" t="s">
        <v>31</v>
      </c>
      <c r="J338" s="8" t="s">
        <v>86</v>
      </c>
      <c r="K338" s="10" t="s">
        <v>578</v>
      </c>
      <c r="L338" s="8" t="s">
        <v>58</v>
      </c>
      <c r="M338" s="8" t="s">
        <v>35</v>
      </c>
      <c r="N338" s="11">
        <v>44821.0</v>
      </c>
      <c r="O338" s="11">
        <v>44880.0</v>
      </c>
      <c r="P338" s="11">
        <v>44922.0</v>
      </c>
      <c r="Q338" s="11">
        <v>44879.0</v>
      </c>
      <c r="R338" s="11">
        <v>44890.0</v>
      </c>
      <c r="S338" s="12"/>
      <c r="T338" s="8"/>
      <c r="U338" s="8" t="s">
        <v>59</v>
      </c>
      <c r="V338" s="13" t="s">
        <v>2060</v>
      </c>
      <c r="W338" s="13" t="s">
        <v>2061</v>
      </c>
      <c r="X338" s="12"/>
      <c r="Y338" s="14"/>
      <c r="Z338" s="14"/>
    </row>
    <row r="339">
      <c r="A339" s="8" t="s">
        <v>2062</v>
      </c>
      <c r="B339" s="8" t="s">
        <v>2063</v>
      </c>
      <c r="C339" s="8" t="s">
        <v>25</v>
      </c>
      <c r="D339" s="8" t="s">
        <v>26</v>
      </c>
      <c r="E339" s="8" t="s">
        <v>2064</v>
      </c>
      <c r="F339" s="8">
        <v>1.026850868E9</v>
      </c>
      <c r="G339" s="8" t="s">
        <v>284</v>
      </c>
      <c r="H339" s="8" t="s">
        <v>2065</v>
      </c>
      <c r="I339" s="8" t="s">
        <v>31</v>
      </c>
      <c r="J339" s="8" t="s">
        <v>1274</v>
      </c>
      <c r="K339" s="10" t="s">
        <v>1734</v>
      </c>
      <c r="L339" s="8" t="s">
        <v>58</v>
      </c>
      <c r="M339" s="8" t="s">
        <v>35</v>
      </c>
      <c r="N339" s="11">
        <v>44821.0</v>
      </c>
      <c r="O339" s="11">
        <v>44882.0</v>
      </c>
      <c r="P339" s="11">
        <v>44924.0</v>
      </c>
      <c r="Q339" s="11">
        <v>44901.0</v>
      </c>
      <c r="R339" s="11">
        <v>44943.0</v>
      </c>
      <c r="S339" s="12"/>
      <c r="T339" s="8"/>
      <c r="U339" s="8" t="s">
        <v>59</v>
      </c>
      <c r="V339" s="13" t="s">
        <v>2065</v>
      </c>
      <c r="W339" s="13" t="s">
        <v>2066</v>
      </c>
      <c r="X339" s="12"/>
      <c r="Y339" s="14"/>
      <c r="Z339" s="14"/>
    </row>
    <row r="340">
      <c r="A340" s="8" t="s">
        <v>2067</v>
      </c>
      <c r="B340" s="8" t="s">
        <v>2068</v>
      </c>
      <c r="C340" s="8" t="s">
        <v>64</v>
      </c>
      <c r="D340" s="8" t="s">
        <v>26</v>
      </c>
      <c r="E340" s="8" t="s">
        <v>2069</v>
      </c>
      <c r="F340" s="8">
        <v>5.2396909E7</v>
      </c>
      <c r="G340" s="8" t="s">
        <v>54</v>
      </c>
      <c r="H340" s="8" t="s">
        <v>1640</v>
      </c>
      <c r="I340" s="8" t="s">
        <v>31</v>
      </c>
      <c r="J340" s="8" t="s">
        <v>292</v>
      </c>
      <c r="K340" s="10" t="s">
        <v>2070</v>
      </c>
      <c r="L340" s="8" t="s">
        <v>58</v>
      </c>
      <c r="M340" s="8" t="s">
        <v>35</v>
      </c>
      <c r="N340" s="11">
        <v>44821.0</v>
      </c>
      <c r="O340" s="11">
        <v>44827.0</v>
      </c>
      <c r="P340" s="11">
        <v>44869.0</v>
      </c>
      <c r="Q340" s="11">
        <v>44876.0</v>
      </c>
      <c r="R340" s="11">
        <v>44876.0</v>
      </c>
      <c r="S340" s="12"/>
      <c r="T340" s="8"/>
      <c r="U340" s="8" t="s">
        <v>88</v>
      </c>
      <c r="V340" s="13" t="s">
        <v>1659</v>
      </c>
      <c r="W340" s="13" t="s">
        <v>2071</v>
      </c>
      <c r="X340" s="12"/>
      <c r="Y340" s="14"/>
      <c r="Z340" s="14"/>
    </row>
    <row r="341">
      <c r="A341" s="8" t="s">
        <v>2072</v>
      </c>
      <c r="B341" s="8" t="s">
        <v>2073</v>
      </c>
      <c r="C341" s="8" t="s">
        <v>64</v>
      </c>
      <c r="D341" s="8" t="s">
        <v>26</v>
      </c>
      <c r="E341" s="8" t="s">
        <v>2074</v>
      </c>
      <c r="F341" s="9" t="s">
        <v>2075</v>
      </c>
      <c r="G341" s="8" t="s">
        <v>54</v>
      </c>
      <c r="H341" s="8" t="s">
        <v>1640</v>
      </c>
      <c r="I341" s="8" t="s">
        <v>31</v>
      </c>
      <c r="J341" s="8" t="s">
        <v>292</v>
      </c>
      <c r="K341" s="10" t="s">
        <v>2070</v>
      </c>
      <c r="L341" s="8" t="s">
        <v>58</v>
      </c>
      <c r="M341" s="8" t="s">
        <v>35</v>
      </c>
      <c r="N341" s="11">
        <v>44821.0</v>
      </c>
      <c r="O341" s="11">
        <v>44827.0</v>
      </c>
      <c r="P341" s="11">
        <v>44869.0</v>
      </c>
      <c r="Q341" s="11">
        <v>44876.0</v>
      </c>
      <c r="R341" s="11">
        <v>44876.0</v>
      </c>
      <c r="S341" s="12"/>
      <c r="T341" s="8"/>
      <c r="U341" s="8" t="s">
        <v>88</v>
      </c>
      <c r="V341" s="13" t="s">
        <v>1659</v>
      </c>
      <c r="W341" s="13" t="s">
        <v>2076</v>
      </c>
      <c r="X341" s="12"/>
      <c r="Y341" s="14"/>
      <c r="Z341" s="14"/>
    </row>
    <row r="342">
      <c r="A342" s="8" t="s">
        <v>2077</v>
      </c>
      <c r="B342" s="8" t="s">
        <v>2078</v>
      </c>
      <c r="C342" s="8" t="s">
        <v>64</v>
      </c>
      <c r="D342" s="8" t="s">
        <v>26</v>
      </c>
      <c r="E342" s="8" t="s">
        <v>2079</v>
      </c>
      <c r="F342" s="8">
        <v>1.145673645E9</v>
      </c>
      <c r="G342" s="8" t="s">
        <v>284</v>
      </c>
      <c r="H342" s="8" t="s">
        <v>793</v>
      </c>
      <c r="I342" s="8" t="s">
        <v>31</v>
      </c>
      <c r="J342" s="8" t="s">
        <v>292</v>
      </c>
      <c r="K342" s="10" t="s">
        <v>2080</v>
      </c>
      <c r="L342" s="8" t="s">
        <v>58</v>
      </c>
      <c r="M342" s="8" t="s">
        <v>35</v>
      </c>
      <c r="N342" s="11">
        <v>44821.0</v>
      </c>
      <c r="O342" s="11">
        <v>44886.0</v>
      </c>
      <c r="P342" s="11">
        <v>44928.0</v>
      </c>
      <c r="Q342" s="11">
        <v>44888.0</v>
      </c>
      <c r="R342" s="11">
        <v>44929.0</v>
      </c>
      <c r="S342" s="12"/>
      <c r="T342" s="8"/>
      <c r="U342" s="8" t="s">
        <v>59</v>
      </c>
      <c r="V342" s="13" t="s">
        <v>793</v>
      </c>
      <c r="W342" s="13" t="s">
        <v>2081</v>
      </c>
      <c r="X342" s="12"/>
      <c r="Y342" s="14"/>
      <c r="Z342" s="14"/>
    </row>
    <row r="343">
      <c r="A343" s="8" t="s">
        <v>2082</v>
      </c>
      <c r="B343" s="8" t="s">
        <v>2083</v>
      </c>
      <c r="C343" s="8" t="s">
        <v>25</v>
      </c>
      <c r="D343" s="8" t="s">
        <v>26</v>
      </c>
      <c r="E343" s="8" t="s">
        <v>2084</v>
      </c>
      <c r="F343" s="8"/>
      <c r="G343" s="8" t="s">
        <v>109</v>
      </c>
      <c r="H343" s="8" t="s">
        <v>1872</v>
      </c>
      <c r="I343" s="8" t="s">
        <v>31</v>
      </c>
      <c r="J343" s="8" t="s">
        <v>86</v>
      </c>
      <c r="K343" s="10" t="s">
        <v>578</v>
      </c>
      <c r="L343" s="8" t="s">
        <v>58</v>
      </c>
      <c r="M343" s="8" t="s">
        <v>35</v>
      </c>
      <c r="N343" s="11">
        <v>44822.0</v>
      </c>
      <c r="O343" s="11">
        <v>44922.0</v>
      </c>
      <c r="P343" s="11">
        <v>44964.0</v>
      </c>
      <c r="Q343" s="11">
        <v>44922.0</v>
      </c>
      <c r="R343" s="11">
        <v>44964.0</v>
      </c>
      <c r="S343" s="12"/>
      <c r="T343" s="8"/>
      <c r="U343" s="8" t="s">
        <v>59</v>
      </c>
      <c r="V343" s="13" t="s">
        <v>38</v>
      </c>
      <c r="W343" s="13" t="s">
        <v>2085</v>
      </c>
      <c r="X343" s="12"/>
      <c r="Y343" s="14"/>
      <c r="Z343" s="14"/>
    </row>
    <row r="344">
      <c r="A344" s="8" t="s">
        <v>2086</v>
      </c>
      <c r="B344" s="8" t="s">
        <v>2087</v>
      </c>
      <c r="C344" s="8" t="s">
        <v>64</v>
      </c>
      <c r="D344" s="8" t="s">
        <v>26</v>
      </c>
      <c r="E344" s="8" t="s">
        <v>2088</v>
      </c>
      <c r="F344" s="8">
        <v>5.063807732E9</v>
      </c>
      <c r="G344" s="8" t="s">
        <v>254</v>
      </c>
      <c r="H344" s="8" t="s">
        <v>1007</v>
      </c>
      <c r="I344" s="8" t="s">
        <v>31</v>
      </c>
      <c r="J344" s="8" t="s">
        <v>77</v>
      </c>
      <c r="K344" s="10" t="s">
        <v>1179</v>
      </c>
      <c r="L344" s="8" t="s">
        <v>47</v>
      </c>
      <c r="M344" s="8" t="s">
        <v>70</v>
      </c>
      <c r="N344" s="11">
        <v>44822.0</v>
      </c>
      <c r="O344" s="11">
        <v>44823.0</v>
      </c>
      <c r="P344" s="11">
        <v>45188.0</v>
      </c>
      <c r="Q344" s="11">
        <v>44853.0</v>
      </c>
      <c r="R344" s="11">
        <v>45219.0</v>
      </c>
      <c r="S344" s="12"/>
      <c r="T344" s="8"/>
      <c r="U344" s="8" t="s">
        <v>1180</v>
      </c>
      <c r="V344" s="13" t="s">
        <v>1010</v>
      </c>
      <c r="W344" s="13" t="s">
        <v>2089</v>
      </c>
      <c r="X344" s="12"/>
      <c r="Y344" s="14"/>
      <c r="Z344" s="14"/>
    </row>
    <row r="345">
      <c r="A345" s="8" t="s">
        <v>2090</v>
      </c>
      <c r="B345" s="8" t="s">
        <v>471</v>
      </c>
      <c r="C345" s="8" t="s">
        <v>251</v>
      </c>
      <c r="D345" s="8" t="s">
        <v>26</v>
      </c>
      <c r="E345" s="8" t="s">
        <v>472</v>
      </c>
      <c r="F345" s="8"/>
      <c r="G345" s="8" t="s">
        <v>284</v>
      </c>
      <c r="H345" s="8" t="s">
        <v>300</v>
      </c>
      <c r="I345" s="8" t="s">
        <v>31</v>
      </c>
      <c r="J345" s="8" t="s">
        <v>32</v>
      </c>
      <c r="K345" s="10" t="s">
        <v>716</v>
      </c>
      <c r="L345" s="8" t="s">
        <v>47</v>
      </c>
      <c r="M345" s="8" t="s">
        <v>70</v>
      </c>
      <c r="N345" s="11">
        <v>44822.0</v>
      </c>
      <c r="O345" s="11">
        <v>44822.0</v>
      </c>
      <c r="P345" s="11">
        <v>45125.0</v>
      </c>
      <c r="Q345" s="11"/>
      <c r="R345" s="11"/>
      <c r="S345" s="12"/>
      <c r="T345" s="8"/>
      <c r="U345" s="8" t="s">
        <v>717</v>
      </c>
      <c r="V345" s="13" t="s">
        <v>38</v>
      </c>
      <c r="W345" s="13" t="s">
        <v>474</v>
      </c>
      <c r="X345" s="12"/>
      <c r="Y345" s="14"/>
      <c r="Z345" s="14"/>
    </row>
    <row r="346">
      <c r="A346" s="8" t="s">
        <v>2091</v>
      </c>
      <c r="B346" s="8" t="s">
        <v>2092</v>
      </c>
      <c r="C346" s="8" t="s">
        <v>25</v>
      </c>
      <c r="D346" s="8" t="s">
        <v>26</v>
      </c>
      <c r="E346" s="8" t="s">
        <v>2093</v>
      </c>
      <c r="F346" s="8">
        <v>5.462437959E9</v>
      </c>
      <c r="G346" s="8" t="s">
        <v>31</v>
      </c>
      <c r="H346" s="8" t="s">
        <v>86</v>
      </c>
      <c r="I346" s="8" t="s">
        <v>399</v>
      </c>
      <c r="J346" s="8" t="s">
        <v>1381</v>
      </c>
      <c r="K346" s="10" t="s">
        <v>2094</v>
      </c>
      <c r="L346" s="8" t="s">
        <v>58</v>
      </c>
      <c r="M346" s="8" t="s">
        <v>35</v>
      </c>
      <c r="N346" s="11">
        <v>44823.0</v>
      </c>
      <c r="O346" s="11">
        <v>45138.0</v>
      </c>
      <c r="P346" s="11">
        <v>45180.0</v>
      </c>
      <c r="Q346" s="11">
        <v>45138.0</v>
      </c>
      <c r="R346" s="11">
        <v>45180.0</v>
      </c>
      <c r="S346" s="12"/>
      <c r="T346" s="8"/>
      <c r="U346" s="8" t="s">
        <v>153</v>
      </c>
      <c r="V346" s="13" t="s">
        <v>175</v>
      </c>
      <c r="W346" s="13" t="s">
        <v>2095</v>
      </c>
      <c r="X346" s="12"/>
      <c r="Y346" s="14"/>
      <c r="Z346" s="14"/>
    </row>
    <row r="347">
      <c r="A347" s="8" t="s">
        <v>2096</v>
      </c>
      <c r="B347" s="8" t="s">
        <v>2097</v>
      </c>
      <c r="C347" s="8" t="s">
        <v>251</v>
      </c>
      <c r="D347" s="8" t="s">
        <v>26</v>
      </c>
      <c r="E347" s="8" t="s">
        <v>2098</v>
      </c>
      <c r="F347" s="8">
        <v>9.871624668E9</v>
      </c>
      <c r="G347" s="8" t="s">
        <v>44</v>
      </c>
      <c r="H347" s="8" t="s">
        <v>990</v>
      </c>
      <c r="I347" s="8" t="s">
        <v>31</v>
      </c>
      <c r="J347" s="8" t="s">
        <v>86</v>
      </c>
      <c r="K347" s="10" t="s">
        <v>416</v>
      </c>
      <c r="L347" s="8" t="s">
        <v>58</v>
      </c>
      <c r="M347" s="8" t="s">
        <v>35</v>
      </c>
      <c r="N347" s="11">
        <v>44823.0</v>
      </c>
      <c r="O347" s="11">
        <v>44836.0</v>
      </c>
      <c r="P347" s="11">
        <v>44878.0</v>
      </c>
      <c r="Q347" s="11"/>
      <c r="R347" s="11"/>
      <c r="S347" s="12"/>
      <c r="T347" s="8"/>
      <c r="U347" s="8" t="s">
        <v>59</v>
      </c>
      <c r="V347" s="13" t="s">
        <v>2099</v>
      </c>
      <c r="W347" s="13" t="s">
        <v>2100</v>
      </c>
      <c r="X347" s="12"/>
      <c r="Y347" s="14"/>
      <c r="Z347" s="14"/>
    </row>
    <row r="348">
      <c r="A348" s="8" t="s">
        <v>2101</v>
      </c>
      <c r="B348" s="8" t="s">
        <v>2102</v>
      </c>
      <c r="C348" s="8" t="s">
        <v>179</v>
      </c>
      <c r="D348" s="8" t="s">
        <v>26</v>
      </c>
      <c r="E348" s="8" t="s">
        <v>2103</v>
      </c>
      <c r="F348" s="8">
        <v>9.89920553E8</v>
      </c>
      <c r="G348" s="8" t="s">
        <v>1620</v>
      </c>
      <c r="H348" s="8" t="s">
        <v>2104</v>
      </c>
      <c r="I348" s="8" t="s">
        <v>31</v>
      </c>
      <c r="J348" s="8" t="s">
        <v>32</v>
      </c>
      <c r="K348" s="10" t="s">
        <v>2105</v>
      </c>
      <c r="L348" s="8" t="s">
        <v>34</v>
      </c>
      <c r="M348" s="8" t="s">
        <v>35</v>
      </c>
      <c r="N348" s="11">
        <v>44823.0</v>
      </c>
      <c r="O348" s="11">
        <v>44880.0</v>
      </c>
      <c r="P348" s="11">
        <v>44941.0</v>
      </c>
      <c r="Q348" s="11"/>
      <c r="R348" s="11"/>
      <c r="S348" s="12"/>
      <c r="T348" s="8" t="s">
        <v>205</v>
      </c>
      <c r="U348" s="8" t="s">
        <v>2106</v>
      </c>
      <c r="V348" s="13" t="s">
        <v>2107</v>
      </c>
      <c r="W348" s="13" t="s">
        <v>2108</v>
      </c>
      <c r="X348" s="12"/>
      <c r="Y348" s="14"/>
      <c r="Z348" s="14"/>
    </row>
    <row r="349">
      <c r="A349" s="8" t="s">
        <v>2109</v>
      </c>
      <c r="B349" s="8" t="s">
        <v>2110</v>
      </c>
      <c r="C349" s="8" t="s">
        <v>25</v>
      </c>
      <c r="D349" s="8" t="s">
        <v>26</v>
      </c>
      <c r="E349" s="8" t="s">
        <v>2111</v>
      </c>
      <c r="F349" s="8">
        <v>9.151547033E9</v>
      </c>
      <c r="G349" s="8" t="s">
        <v>496</v>
      </c>
      <c r="H349" s="8" t="s">
        <v>2112</v>
      </c>
      <c r="I349" s="8" t="s">
        <v>31</v>
      </c>
      <c r="J349" s="8" t="s">
        <v>86</v>
      </c>
      <c r="K349" s="10" t="s">
        <v>87</v>
      </c>
      <c r="L349" s="8" t="s">
        <v>58</v>
      </c>
      <c r="M349" s="8" t="s">
        <v>35</v>
      </c>
      <c r="N349" s="11">
        <v>44823.0</v>
      </c>
      <c r="O349" s="11">
        <v>44837.0</v>
      </c>
      <c r="P349" s="11">
        <v>44879.0</v>
      </c>
      <c r="Q349" s="11">
        <v>44844.0</v>
      </c>
      <c r="R349" s="11">
        <v>44886.0</v>
      </c>
      <c r="S349" s="12"/>
      <c r="T349" s="8"/>
      <c r="U349" s="8" t="s">
        <v>88</v>
      </c>
      <c r="V349" s="13" t="s">
        <v>2112</v>
      </c>
      <c r="W349" s="13" t="s">
        <v>2113</v>
      </c>
      <c r="X349" s="12"/>
      <c r="Y349" s="14"/>
      <c r="Z349" s="14"/>
    </row>
    <row r="350">
      <c r="A350" s="8" t="s">
        <v>2114</v>
      </c>
      <c r="B350" s="8" t="s">
        <v>2115</v>
      </c>
      <c r="C350" s="8" t="s">
        <v>25</v>
      </c>
      <c r="D350" s="8" t="s">
        <v>26</v>
      </c>
      <c r="E350" s="8" t="s">
        <v>2116</v>
      </c>
      <c r="F350" s="8">
        <v>6.56107473E8</v>
      </c>
      <c r="G350" s="8" t="s">
        <v>254</v>
      </c>
      <c r="H350" s="8" t="s">
        <v>422</v>
      </c>
      <c r="I350" s="8" t="s">
        <v>31</v>
      </c>
      <c r="J350" s="8" t="s">
        <v>1119</v>
      </c>
      <c r="K350" s="10" t="s">
        <v>2117</v>
      </c>
      <c r="L350" s="8" t="s">
        <v>47</v>
      </c>
      <c r="M350" s="8" t="s">
        <v>70</v>
      </c>
      <c r="N350" s="11">
        <v>44823.0</v>
      </c>
      <c r="O350" s="11">
        <v>44834.0</v>
      </c>
      <c r="P350" s="11">
        <v>45092.0</v>
      </c>
      <c r="Q350" s="11">
        <v>44829.0</v>
      </c>
      <c r="R350" s="11">
        <v>45104.0</v>
      </c>
      <c r="S350" s="12"/>
      <c r="T350" s="8"/>
      <c r="U350" s="8" t="s">
        <v>2118</v>
      </c>
      <c r="V350" s="13" t="s">
        <v>38</v>
      </c>
      <c r="W350" s="13" t="s">
        <v>2119</v>
      </c>
      <c r="X350" s="12"/>
      <c r="Y350" s="14"/>
      <c r="Z350" s="14"/>
    </row>
    <row r="351">
      <c r="A351" s="8" t="s">
        <v>2120</v>
      </c>
      <c r="B351" s="8" t="s">
        <v>2121</v>
      </c>
      <c r="C351" s="8" t="s">
        <v>25</v>
      </c>
      <c r="D351" s="8" t="s">
        <v>26</v>
      </c>
      <c r="E351" s="8" t="s">
        <v>2122</v>
      </c>
      <c r="F351" s="8" t="s">
        <v>2123</v>
      </c>
      <c r="G351" s="8" t="s">
        <v>109</v>
      </c>
      <c r="H351" s="8" t="s">
        <v>1872</v>
      </c>
      <c r="I351" s="8" t="s">
        <v>31</v>
      </c>
      <c r="J351" s="8" t="s">
        <v>32</v>
      </c>
      <c r="K351" s="10" t="s">
        <v>238</v>
      </c>
      <c r="L351" s="8" t="s">
        <v>58</v>
      </c>
      <c r="M351" s="8" t="s">
        <v>35</v>
      </c>
      <c r="N351" s="11">
        <v>44824.0</v>
      </c>
      <c r="O351" s="11">
        <v>44906.0</v>
      </c>
      <c r="P351" s="11">
        <v>44948.0</v>
      </c>
      <c r="Q351" s="11">
        <v>44916.0</v>
      </c>
      <c r="R351" s="11">
        <v>44958.0</v>
      </c>
      <c r="S351" s="12"/>
      <c r="T351" s="8"/>
      <c r="U351" s="8" t="s">
        <v>59</v>
      </c>
      <c r="V351" s="13" t="s">
        <v>2124</v>
      </c>
      <c r="W351" s="13" t="s">
        <v>2125</v>
      </c>
      <c r="X351" s="12"/>
      <c r="Y351" s="14"/>
      <c r="Z351" s="14"/>
    </row>
    <row r="352">
      <c r="A352" s="8" t="s">
        <v>2126</v>
      </c>
      <c r="B352" s="8" t="s">
        <v>2127</v>
      </c>
      <c r="C352" s="8" t="s">
        <v>25</v>
      </c>
      <c r="D352" s="8" t="s">
        <v>26</v>
      </c>
      <c r="E352" s="8" t="s">
        <v>2128</v>
      </c>
      <c r="F352" s="8">
        <v>2.2541979E7</v>
      </c>
      <c r="G352" s="8" t="s">
        <v>54</v>
      </c>
      <c r="H352" s="8" t="s">
        <v>430</v>
      </c>
      <c r="I352" s="8" t="s">
        <v>31</v>
      </c>
      <c r="J352" s="8" t="s">
        <v>111</v>
      </c>
      <c r="K352" s="10" t="s">
        <v>2129</v>
      </c>
      <c r="L352" s="8" t="s">
        <v>58</v>
      </c>
      <c r="M352" s="8" t="s">
        <v>35</v>
      </c>
      <c r="N352" s="11">
        <v>44824.0</v>
      </c>
      <c r="O352" s="11">
        <v>44809.0</v>
      </c>
      <c r="P352" s="11">
        <v>44851.0</v>
      </c>
      <c r="Q352" s="11">
        <v>44824.0</v>
      </c>
      <c r="R352" s="11">
        <v>44865.0</v>
      </c>
      <c r="S352" s="12"/>
      <c r="T352" s="8"/>
      <c r="U352" s="8" t="s">
        <v>59</v>
      </c>
      <c r="V352" s="13" t="s">
        <v>2130</v>
      </c>
      <c r="W352" s="13" t="s">
        <v>2131</v>
      </c>
      <c r="X352" s="12"/>
      <c r="Y352" s="14"/>
      <c r="Z352" s="14"/>
    </row>
    <row r="353">
      <c r="A353" s="8" t="s">
        <v>2132</v>
      </c>
      <c r="B353" s="8" t="s">
        <v>2133</v>
      </c>
      <c r="C353" s="8" t="s">
        <v>64</v>
      </c>
      <c r="D353" s="8" t="s">
        <v>26</v>
      </c>
      <c r="E353" s="8" t="s">
        <v>2134</v>
      </c>
      <c r="F353" s="8">
        <v>3.364423196E9</v>
      </c>
      <c r="G353" s="8" t="s">
        <v>315</v>
      </c>
      <c r="H353" s="8" t="s">
        <v>1242</v>
      </c>
      <c r="I353" s="8" t="s">
        <v>31</v>
      </c>
      <c r="J353" s="8" t="s">
        <v>292</v>
      </c>
      <c r="K353" s="10" t="s">
        <v>1260</v>
      </c>
      <c r="L353" s="8" t="s">
        <v>47</v>
      </c>
      <c r="M353" s="8" t="s">
        <v>70</v>
      </c>
      <c r="N353" s="11">
        <v>44825.0</v>
      </c>
      <c r="O353" s="11">
        <v>44835.0</v>
      </c>
      <c r="P353" s="11">
        <v>45200.0</v>
      </c>
      <c r="Q353" s="11">
        <v>44830.0</v>
      </c>
      <c r="R353" s="11">
        <v>45193.0</v>
      </c>
      <c r="S353" s="12"/>
      <c r="T353" s="8"/>
      <c r="U353" s="8" t="s">
        <v>1261</v>
      </c>
      <c r="V353" s="13" t="s">
        <v>1243</v>
      </c>
      <c r="W353" s="13" t="s">
        <v>2135</v>
      </c>
      <c r="X353" s="12"/>
      <c r="Y353" s="14"/>
      <c r="Z353" s="14"/>
    </row>
    <row r="354">
      <c r="A354" s="8" t="s">
        <v>2136</v>
      </c>
      <c r="B354" s="8" t="s">
        <v>2137</v>
      </c>
      <c r="C354" s="8" t="s">
        <v>25</v>
      </c>
      <c r="D354" s="8" t="s">
        <v>26</v>
      </c>
      <c r="E354" s="8" t="s">
        <v>2138</v>
      </c>
      <c r="F354" s="8">
        <v>6.18886334E8</v>
      </c>
      <c r="G354" s="8" t="s">
        <v>84</v>
      </c>
      <c r="H354" s="8" t="s">
        <v>1234</v>
      </c>
      <c r="I354" s="8" t="s">
        <v>31</v>
      </c>
      <c r="J354" s="8" t="s">
        <v>111</v>
      </c>
      <c r="K354" s="10" t="s">
        <v>2139</v>
      </c>
      <c r="L354" s="8" t="s">
        <v>47</v>
      </c>
      <c r="M354" s="8" t="s">
        <v>70</v>
      </c>
      <c r="N354" s="11">
        <v>44825.0</v>
      </c>
      <c r="O354" s="11">
        <v>44835.0</v>
      </c>
      <c r="P354" s="11">
        <v>45200.0</v>
      </c>
      <c r="Q354" s="11">
        <v>44837.0</v>
      </c>
      <c r="R354" s="11">
        <v>45202.0</v>
      </c>
      <c r="S354" s="12"/>
      <c r="T354" s="8"/>
      <c r="U354" s="8" t="s">
        <v>2140</v>
      </c>
      <c r="V354" s="13" t="s">
        <v>38</v>
      </c>
      <c r="W354" s="13" t="s">
        <v>2141</v>
      </c>
      <c r="X354" s="12"/>
      <c r="Y354" s="14"/>
      <c r="Z354" s="14"/>
    </row>
    <row r="355">
      <c r="A355" s="8" t="s">
        <v>2142</v>
      </c>
      <c r="B355" s="8" t="s">
        <v>2143</v>
      </c>
      <c r="C355" s="8" t="s">
        <v>25</v>
      </c>
      <c r="D355" s="8" t="s">
        <v>26</v>
      </c>
      <c r="E355" s="8" t="s">
        <v>2144</v>
      </c>
      <c r="F355" s="8">
        <v>7.93103124E8</v>
      </c>
      <c r="G355" s="8" t="s">
        <v>254</v>
      </c>
      <c r="H355" s="8" t="s">
        <v>1007</v>
      </c>
      <c r="I355" s="8" t="s">
        <v>31</v>
      </c>
      <c r="J355" s="8" t="s">
        <v>32</v>
      </c>
      <c r="K355" s="10" t="s">
        <v>2145</v>
      </c>
      <c r="L355" s="8" t="s">
        <v>47</v>
      </c>
      <c r="M355" s="8" t="s">
        <v>70</v>
      </c>
      <c r="N355" s="11">
        <v>44825.0</v>
      </c>
      <c r="O355" s="11">
        <v>44851.0</v>
      </c>
      <c r="P355" s="11">
        <v>45216.0</v>
      </c>
      <c r="Q355" s="11">
        <v>44880.0</v>
      </c>
      <c r="R355" s="11">
        <v>45245.0</v>
      </c>
      <c r="S355" s="12"/>
      <c r="T355" s="8"/>
      <c r="U355" s="8" t="s">
        <v>2146</v>
      </c>
      <c r="V355" s="13" t="s">
        <v>1249</v>
      </c>
      <c r="W355" s="13" t="s">
        <v>2147</v>
      </c>
      <c r="X355" s="12"/>
      <c r="Y355" s="14"/>
      <c r="Z355" s="14"/>
    </row>
    <row r="356">
      <c r="A356" s="8" t="s">
        <v>2148</v>
      </c>
      <c r="B356" s="8" t="s">
        <v>2149</v>
      </c>
      <c r="C356" s="8" t="s">
        <v>179</v>
      </c>
      <c r="D356" s="8" t="s">
        <v>26</v>
      </c>
      <c r="E356" s="8" t="s">
        <v>2150</v>
      </c>
      <c r="F356" s="8">
        <v>5.2800012E7</v>
      </c>
      <c r="G356" s="8" t="s">
        <v>54</v>
      </c>
      <c r="H356" s="8" t="s">
        <v>377</v>
      </c>
      <c r="I356" s="8" t="s">
        <v>31</v>
      </c>
      <c r="J356" s="8" t="s">
        <v>220</v>
      </c>
      <c r="K356" s="10" t="s">
        <v>1772</v>
      </c>
      <c r="L356" s="8" t="s">
        <v>58</v>
      </c>
      <c r="M356" s="8" t="s">
        <v>35</v>
      </c>
      <c r="N356" s="11">
        <v>44826.0</v>
      </c>
      <c r="O356" s="11">
        <v>45145.0</v>
      </c>
      <c r="P356" s="11">
        <v>45187.0</v>
      </c>
      <c r="Q356" s="11"/>
      <c r="R356" s="11"/>
      <c r="S356" s="12"/>
      <c r="T356" s="8"/>
      <c r="U356" s="8" t="s">
        <v>59</v>
      </c>
      <c r="V356" s="13" t="s">
        <v>2151</v>
      </c>
      <c r="W356" s="13" t="s">
        <v>2152</v>
      </c>
      <c r="X356" s="12"/>
      <c r="Y356" s="14"/>
      <c r="Z356" s="14"/>
    </row>
    <row r="357">
      <c r="A357" s="8" t="s">
        <v>2153</v>
      </c>
      <c r="B357" s="8" t="s">
        <v>2154</v>
      </c>
      <c r="C357" s="8" t="s">
        <v>25</v>
      </c>
      <c r="D357" s="8" t="s">
        <v>26</v>
      </c>
      <c r="E357" s="8" t="s">
        <v>2155</v>
      </c>
      <c r="F357" s="8">
        <v>2.8695175E7</v>
      </c>
      <c r="G357" s="8" t="s">
        <v>54</v>
      </c>
      <c r="H357" s="8" t="s">
        <v>1640</v>
      </c>
      <c r="I357" s="8" t="s">
        <v>31</v>
      </c>
      <c r="J357" s="8" t="s">
        <v>77</v>
      </c>
      <c r="K357" s="10" t="s">
        <v>2156</v>
      </c>
      <c r="L357" s="8" t="s">
        <v>47</v>
      </c>
      <c r="M357" s="8" t="s">
        <v>70</v>
      </c>
      <c r="N357" s="11">
        <v>44826.0</v>
      </c>
      <c r="O357" s="11">
        <v>44846.0</v>
      </c>
      <c r="P357" s="11">
        <v>45107.0</v>
      </c>
      <c r="Q357" s="11">
        <v>44858.0</v>
      </c>
      <c r="R357" s="11">
        <v>45107.0</v>
      </c>
      <c r="S357" s="12"/>
      <c r="T357" s="8"/>
      <c r="U357" s="8" t="s">
        <v>2157</v>
      </c>
      <c r="V357" s="13" t="s">
        <v>1659</v>
      </c>
      <c r="W357" s="13" t="s">
        <v>2158</v>
      </c>
      <c r="X357" s="12"/>
      <c r="Y357" s="14"/>
      <c r="Z357" s="14"/>
    </row>
    <row r="358">
      <c r="A358" s="8" t="s">
        <v>2159</v>
      </c>
      <c r="B358" s="8" t="s">
        <v>2160</v>
      </c>
      <c r="C358" s="8" t="s">
        <v>64</v>
      </c>
      <c r="D358" s="8" t="s">
        <v>26</v>
      </c>
      <c r="E358" s="8" t="s">
        <v>2161</v>
      </c>
      <c r="F358" s="8">
        <v>3.124969425E9</v>
      </c>
      <c r="G358" s="8" t="s">
        <v>315</v>
      </c>
      <c r="H358" s="8" t="s">
        <v>478</v>
      </c>
      <c r="I358" s="8" t="s">
        <v>31</v>
      </c>
      <c r="J358" s="8" t="s">
        <v>292</v>
      </c>
      <c r="K358" s="10" t="s">
        <v>2162</v>
      </c>
      <c r="L358" s="8" t="s">
        <v>58</v>
      </c>
      <c r="M358" s="8" t="s">
        <v>35</v>
      </c>
      <c r="N358" s="11">
        <v>44826.0</v>
      </c>
      <c r="O358" s="11">
        <v>44830.0</v>
      </c>
      <c r="P358" s="11">
        <v>44872.0</v>
      </c>
      <c r="Q358" s="11">
        <v>44839.0</v>
      </c>
      <c r="R358" s="11">
        <v>44872.0</v>
      </c>
      <c r="S358" s="12"/>
      <c r="T358" s="8"/>
      <c r="U358" s="8" t="s">
        <v>59</v>
      </c>
      <c r="V358" s="13" t="s">
        <v>479</v>
      </c>
      <c r="W358" s="13" t="s">
        <v>2163</v>
      </c>
      <c r="X358" s="12"/>
      <c r="Y358" s="14"/>
      <c r="Z358" s="14"/>
    </row>
    <row r="359">
      <c r="A359" s="8" t="s">
        <v>2164</v>
      </c>
      <c r="B359" s="8" t="s">
        <v>2165</v>
      </c>
      <c r="C359" s="8" t="s">
        <v>64</v>
      </c>
      <c r="D359" s="8" t="s">
        <v>26</v>
      </c>
      <c r="E359" s="8" t="s">
        <v>2166</v>
      </c>
      <c r="F359" s="9" t="s">
        <v>2167</v>
      </c>
      <c r="G359" s="8" t="s">
        <v>284</v>
      </c>
      <c r="H359" s="8" t="s">
        <v>1777</v>
      </c>
      <c r="I359" s="8" t="s">
        <v>31</v>
      </c>
      <c r="J359" s="8" t="s">
        <v>32</v>
      </c>
      <c r="K359" s="10" t="s">
        <v>238</v>
      </c>
      <c r="L359" s="8" t="s">
        <v>58</v>
      </c>
      <c r="M359" s="8" t="s">
        <v>35</v>
      </c>
      <c r="N359" s="11">
        <v>44826.0</v>
      </c>
      <c r="O359" s="11">
        <v>44906.0</v>
      </c>
      <c r="P359" s="11">
        <v>44948.0</v>
      </c>
      <c r="Q359" s="11">
        <v>44921.0</v>
      </c>
      <c r="R359" s="11">
        <v>44963.0</v>
      </c>
      <c r="S359" s="12"/>
      <c r="T359" s="8"/>
      <c r="U359" s="8" t="s">
        <v>59</v>
      </c>
      <c r="V359" s="13" t="s">
        <v>2168</v>
      </c>
      <c r="W359" s="13" t="s">
        <v>2169</v>
      </c>
      <c r="X359" s="12"/>
      <c r="Y359" s="14"/>
      <c r="Z359" s="14"/>
    </row>
    <row r="360">
      <c r="A360" s="8" t="s">
        <v>2170</v>
      </c>
      <c r="B360" s="8" t="s">
        <v>2171</v>
      </c>
      <c r="C360" s="8" t="s">
        <v>251</v>
      </c>
      <c r="D360" s="8" t="s">
        <v>26</v>
      </c>
      <c r="E360" s="8" t="s">
        <v>2172</v>
      </c>
      <c r="F360" s="8">
        <v>1.012570007E9</v>
      </c>
      <c r="G360" s="8" t="s">
        <v>284</v>
      </c>
      <c r="H360" s="8" t="s">
        <v>285</v>
      </c>
      <c r="I360" s="8" t="s">
        <v>31</v>
      </c>
      <c r="J360" s="8" t="s">
        <v>32</v>
      </c>
      <c r="K360" s="10" t="s">
        <v>1095</v>
      </c>
      <c r="L360" s="8" t="s">
        <v>58</v>
      </c>
      <c r="M360" s="8" t="s">
        <v>35</v>
      </c>
      <c r="N360" s="11">
        <v>44826.0</v>
      </c>
      <c r="O360" s="11">
        <v>44906.0</v>
      </c>
      <c r="P360" s="11">
        <v>44948.0</v>
      </c>
      <c r="Q360" s="11"/>
      <c r="R360" s="11"/>
      <c r="S360" s="12"/>
      <c r="T360" s="8"/>
      <c r="U360" s="8" t="s">
        <v>59</v>
      </c>
      <c r="V360" s="13" t="s">
        <v>285</v>
      </c>
      <c r="W360" s="13" t="s">
        <v>2173</v>
      </c>
      <c r="X360" s="12"/>
      <c r="Y360" s="14"/>
      <c r="Z360" s="14"/>
    </row>
    <row r="361">
      <c r="A361" s="8" t="s">
        <v>2174</v>
      </c>
      <c r="B361" s="8" t="s">
        <v>2175</v>
      </c>
      <c r="C361" s="8" t="s">
        <v>335</v>
      </c>
      <c r="D361" s="8" t="s">
        <v>26</v>
      </c>
      <c r="E361" s="8" t="s">
        <v>2176</v>
      </c>
      <c r="F361" s="8">
        <v>9.05072576151E11</v>
      </c>
      <c r="G361" s="8" t="s">
        <v>31</v>
      </c>
      <c r="H361" s="8" t="s">
        <v>32</v>
      </c>
      <c r="I361" s="8" t="s">
        <v>399</v>
      </c>
      <c r="J361" s="8" t="s">
        <v>904</v>
      </c>
      <c r="K361" s="10" t="s">
        <v>2177</v>
      </c>
      <c r="L361" s="8" t="s">
        <v>58</v>
      </c>
      <c r="M361" s="8" t="s">
        <v>35</v>
      </c>
      <c r="N361" s="11">
        <v>45190.0</v>
      </c>
      <c r="O361" s="11">
        <v>44896.0</v>
      </c>
      <c r="P361" s="11">
        <v>44938.0</v>
      </c>
      <c r="Q361" s="11"/>
      <c r="R361" s="11"/>
      <c r="S361" s="12"/>
      <c r="T361" s="8"/>
      <c r="U361" s="8" t="s">
        <v>59</v>
      </c>
      <c r="V361" s="13" t="s">
        <v>537</v>
      </c>
      <c r="W361" s="13" t="s">
        <v>2178</v>
      </c>
      <c r="X361" s="12"/>
      <c r="Y361" s="14"/>
      <c r="Z361" s="14"/>
    </row>
    <row r="362">
      <c r="A362" s="8" t="s">
        <v>2179</v>
      </c>
      <c r="B362" s="8" t="s">
        <v>2180</v>
      </c>
      <c r="C362" s="8" t="s">
        <v>25</v>
      </c>
      <c r="D362" s="8" t="s">
        <v>26</v>
      </c>
      <c r="E362" s="8" t="s">
        <v>2181</v>
      </c>
      <c r="F362" s="8">
        <v>5.340837436E9</v>
      </c>
      <c r="G362" s="8" t="s">
        <v>31</v>
      </c>
      <c r="H362" s="8" t="s">
        <v>32</v>
      </c>
      <c r="I362" s="8" t="s">
        <v>127</v>
      </c>
      <c r="J362" s="8" t="s">
        <v>2182</v>
      </c>
      <c r="K362" s="10" t="s">
        <v>2183</v>
      </c>
      <c r="L362" s="8" t="s">
        <v>58</v>
      </c>
      <c r="M362" s="8" t="s">
        <v>35</v>
      </c>
      <c r="N362" s="11">
        <v>44827.0</v>
      </c>
      <c r="O362" s="11">
        <v>45108.0</v>
      </c>
      <c r="P362" s="11">
        <v>45156.0</v>
      </c>
      <c r="Q362" s="11">
        <v>45116.0</v>
      </c>
      <c r="R362" s="11">
        <v>45164.0</v>
      </c>
      <c r="S362" s="12"/>
      <c r="T362" s="8"/>
      <c r="U362" s="8" t="s">
        <v>59</v>
      </c>
      <c r="V362" s="13" t="s">
        <v>537</v>
      </c>
      <c r="W362" s="13" t="s">
        <v>2184</v>
      </c>
      <c r="X362" s="12"/>
      <c r="Y362" s="14"/>
      <c r="Z362" s="14"/>
    </row>
    <row r="363">
      <c r="A363" s="8" t="s">
        <v>2185</v>
      </c>
      <c r="B363" s="8" t="s">
        <v>2186</v>
      </c>
      <c r="C363" s="8" t="s">
        <v>25</v>
      </c>
      <c r="D363" s="8" t="s">
        <v>26</v>
      </c>
      <c r="E363" s="8" t="s">
        <v>2187</v>
      </c>
      <c r="F363" s="8">
        <v>1.092278181E9</v>
      </c>
      <c r="G363" s="8" t="s">
        <v>284</v>
      </c>
      <c r="H363" s="8" t="s">
        <v>2065</v>
      </c>
      <c r="I363" s="8" t="s">
        <v>31</v>
      </c>
      <c r="J363" s="8" t="s">
        <v>111</v>
      </c>
      <c r="K363" s="10" t="s">
        <v>2129</v>
      </c>
      <c r="L363" s="8" t="s">
        <v>58</v>
      </c>
      <c r="M363" s="8" t="s">
        <v>35</v>
      </c>
      <c r="N363" s="11">
        <v>44827.0</v>
      </c>
      <c r="O363" s="11">
        <v>44809.0</v>
      </c>
      <c r="P363" s="11">
        <v>44851.0</v>
      </c>
      <c r="Q363" s="11">
        <v>44827.0</v>
      </c>
      <c r="R363" s="11">
        <v>44867.0</v>
      </c>
      <c r="S363" s="12"/>
      <c r="T363" s="8"/>
      <c r="U363" s="8" t="s">
        <v>59</v>
      </c>
      <c r="V363" s="13" t="s">
        <v>2065</v>
      </c>
      <c r="W363" s="13" t="s">
        <v>2188</v>
      </c>
      <c r="X363" s="12"/>
      <c r="Y363" s="14"/>
      <c r="Z363" s="14"/>
    </row>
    <row r="364">
      <c r="A364" s="8" t="s">
        <v>2189</v>
      </c>
      <c r="B364" s="8" t="s">
        <v>2190</v>
      </c>
      <c r="C364" s="8" t="s">
        <v>179</v>
      </c>
      <c r="D364" s="8" t="s">
        <v>26</v>
      </c>
      <c r="E364" s="8" t="s">
        <v>2191</v>
      </c>
      <c r="F364" s="8" t="s">
        <v>2192</v>
      </c>
      <c r="G364" s="8" t="s">
        <v>109</v>
      </c>
      <c r="H364" s="8" t="s">
        <v>875</v>
      </c>
      <c r="I364" s="8" t="s">
        <v>31</v>
      </c>
      <c r="J364" s="8" t="s">
        <v>220</v>
      </c>
      <c r="K364" s="10" t="s">
        <v>2193</v>
      </c>
      <c r="L364" s="8" t="s">
        <v>58</v>
      </c>
      <c r="M364" s="8" t="s">
        <v>35</v>
      </c>
      <c r="N364" s="11">
        <v>44828.0</v>
      </c>
      <c r="O364" s="11">
        <v>45145.0</v>
      </c>
      <c r="P364" s="11">
        <v>45187.0</v>
      </c>
      <c r="Q364" s="11"/>
      <c r="R364" s="11"/>
      <c r="S364" s="12"/>
      <c r="T364" s="8"/>
      <c r="U364" s="8" t="s">
        <v>59</v>
      </c>
      <c r="V364" s="13" t="s">
        <v>876</v>
      </c>
      <c r="W364" s="13" t="s">
        <v>2194</v>
      </c>
      <c r="X364" s="12"/>
      <c r="Y364" s="14"/>
      <c r="Z364" s="14"/>
    </row>
    <row r="365">
      <c r="A365" s="8" t="s">
        <v>2195</v>
      </c>
      <c r="B365" s="8" t="s">
        <v>2196</v>
      </c>
      <c r="C365" s="8" t="s">
        <v>64</v>
      </c>
      <c r="D365" s="8" t="s">
        <v>26</v>
      </c>
      <c r="E365" s="8" t="s">
        <v>2197</v>
      </c>
      <c r="F365" s="8">
        <v>7.82132063E8</v>
      </c>
      <c r="G365" s="8" t="s">
        <v>254</v>
      </c>
      <c r="H365" s="8" t="s">
        <v>758</v>
      </c>
      <c r="I365" s="8" t="s">
        <v>31</v>
      </c>
      <c r="J365" s="8" t="s">
        <v>220</v>
      </c>
      <c r="K365" s="10" t="s">
        <v>2198</v>
      </c>
      <c r="L365" s="8" t="s">
        <v>47</v>
      </c>
      <c r="M365" s="8" t="s">
        <v>70</v>
      </c>
      <c r="N365" s="11">
        <v>44828.0</v>
      </c>
      <c r="O365" s="11">
        <v>44857.0</v>
      </c>
      <c r="P365" s="11">
        <v>45222.0</v>
      </c>
      <c r="Q365" s="11">
        <v>44866.0</v>
      </c>
      <c r="R365" s="11">
        <v>45231.0</v>
      </c>
      <c r="S365" s="12"/>
      <c r="T365" s="8"/>
      <c r="U365" s="8" t="s">
        <v>2199</v>
      </c>
      <c r="V365" s="13" t="s">
        <v>295</v>
      </c>
      <c r="W365" s="13" t="s">
        <v>2200</v>
      </c>
      <c r="X365" s="12"/>
      <c r="Y365" s="14"/>
      <c r="Z365" s="14"/>
    </row>
    <row r="366">
      <c r="A366" s="8" t="s">
        <v>2201</v>
      </c>
      <c r="B366" s="8" t="s">
        <v>2202</v>
      </c>
      <c r="C366" s="8" t="s">
        <v>64</v>
      </c>
      <c r="D366" s="8" t="s">
        <v>26</v>
      </c>
      <c r="E366" s="8" t="s">
        <v>2203</v>
      </c>
      <c r="F366" s="8">
        <v>9.92031201E9</v>
      </c>
      <c r="G366" s="8" t="s">
        <v>44</v>
      </c>
      <c r="H366" s="8" t="s">
        <v>2204</v>
      </c>
      <c r="I366" s="8" t="s">
        <v>31</v>
      </c>
      <c r="J366" s="8" t="s">
        <v>77</v>
      </c>
      <c r="K366" s="10" t="s">
        <v>764</v>
      </c>
      <c r="L366" s="8" t="s">
        <v>58</v>
      </c>
      <c r="M366" s="8" t="s">
        <v>35</v>
      </c>
      <c r="N366" s="11">
        <v>44828.0</v>
      </c>
      <c r="O366" s="11">
        <v>44865.0</v>
      </c>
      <c r="P366" s="11">
        <v>44907.0</v>
      </c>
      <c r="Q366" s="11">
        <v>44866.0</v>
      </c>
      <c r="R366" s="11">
        <v>44905.0</v>
      </c>
      <c r="S366" s="12"/>
      <c r="T366" s="8"/>
      <c r="U366" s="8" t="s">
        <v>59</v>
      </c>
      <c r="V366" s="13" t="s">
        <v>2205</v>
      </c>
      <c r="W366" s="13" t="s">
        <v>2206</v>
      </c>
      <c r="X366" s="12"/>
      <c r="Y366" s="14"/>
      <c r="Z366" s="14"/>
    </row>
    <row r="367">
      <c r="A367" s="8" t="s">
        <v>2207</v>
      </c>
      <c r="B367" s="8" t="s">
        <v>2208</v>
      </c>
      <c r="C367" s="8" t="s">
        <v>25</v>
      </c>
      <c r="D367" s="8" t="s">
        <v>26</v>
      </c>
      <c r="E367" s="8" t="s">
        <v>2209</v>
      </c>
      <c r="F367" s="8">
        <v>5.52711714E8</v>
      </c>
      <c r="G367" s="8" t="s">
        <v>307</v>
      </c>
      <c r="H367" s="8" t="s">
        <v>1118</v>
      </c>
      <c r="I367" s="8" t="s">
        <v>31</v>
      </c>
      <c r="J367" s="8" t="s">
        <v>102</v>
      </c>
      <c r="K367" s="10" t="s">
        <v>2210</v>
      </c>
      <c r="L367" s="8" t="s">
        <v>47</v>
      </c>
      <c r="M367" s="8" t="s">
        <v>70</v>
      </c>
      <c r="N367" s="11">
        <v>44829.0</v>
      </c>
      <c r="O367" s="11">
        <v>44849.0</v>
      </c>
      <c r="P367" s="11">
        <v>45214.0</v>
      </c>
      <c r="Q367" s="11">
        <v>44853.0</v>
      </c>
      <c r="R367" s="11">
        <v>45039.0</v>
      </c>
      <c r="S367" s="12"/>
      <c r="T367" s="8"/>
      <c r="U367" s="8" t="s">
        <v>246</v>
      </c>
      <c r="V367" s="13" t="s">
        <v>2211</v>
      </c>
      <c r="W367" s="13" t="s">
        <v>2212</v>
      </c>
      <c r="X367" s="12"/>
      <c r="Y367" s="14"/>
      <c r="Z367" s="14"/>
    </row>
    <row r="368">
      <c r="A368" s="8" t="s">
        <v>2213</v>
      </c>
      <c r="B368" s="8" t="s">
        <v>2214</v>
      </c>
      <c r="C368" s="8" t="s">
        <v>64</v>
      </c>
      <c r="D368" s="8" t="s">
        <v>26</v>
      </c>
      <c r="E368" s="8" t="s">
        <v>2215</v>
      </c>
      <c r="F368" s="8">
        <v>5.5952028E7</v>
      </c>
      <c r="G368" s="8" t="s">
        <v>54</v>
      </c>
      <c r="H368" s="8" t="s">
        <v>377</v>
      </c>
      <c r="I368" s="8" t="s">
        <v>31</v>
      </c>
      <c r="J368" s="8" t="s">
        <v>220</v>
      </c>
      <c r="K368" s="10" t="s">
        <v>2216</v>
      </c>
      <c r="L368" s="8" t="s">
        <v>34</v>
      </c>
      <c r="M368" s="8" t="s">
        <v>70</v>
      </c>
      <c r="N368" s="11">
        <v>44830.0</v>
      </c>
      <c r="O368" s="11">
        <v>44835.0</v>
      </c>
      <c r="P368" s="11">
        <v>45200.0</v>
      </c>
      <c r="Q368" s="11">
        <v>44885.0</v>
      </c>
      <c r="R368" s="11">
        <v>45249.0</v>
      </c>
      <c r="S368" s="12"/>
      <c r="T368" s="8" t="s">
        <v>205</v>
      </c>
      <c r="U368" s="8" t="s">
        <v>2217</v>
      </c>
      <c r="V368" s="13" t="s">
        <v>2218</v>
      </c>
      <c r="W368" s="13" t="s">
        <v>2219</v>
      </c>
      <c r="X368" s="12"/>
      <c r="Y368" s="14"/>
      <c r="Z368" s="14"/>
    </row>
    <row r="369">
      <c r="A369" s="8" t="s">
        <v>2220</v>
      </c>
      <c r="B369" s="8" t="s">
        <v>2221</v>
      </c>
      <c r="C369" s="8" t="s">
        <v>179</v>
      </c>
      <c r="D369" s="8" t="s">
        <v>26</v>
      </c>
      <c r="E369" s="8" t="s">
        <v>2222</v>
      </c>
      <c r="F369" s="8">
        <v>9.74601105E8</v>
      </c>
      <c r="G369" s="8" t="s">
        <v>660</v>
      </c>
      <c r="H369" s="8" t="s">
        <v>1210</v>
      </c>
      <c r="I369" s="8" t="s">
        <v>31</v>
      </c>
      <c r="J369" s="8" t="s">
        <v>86</v>
      </c>
      <c r="K369" s="10" t="s">
        <v>590</v>
      </c>
      <c r="L369" s="8" t="s">
        <v>58</v>
      </c>
      <c r="M369" s="8" t="s">
        <v>35</v>
      </c>
      <c r="N369" s="11">
        <v>44830.0</v>
      </c>
      <c r="O369" s="11">
        <v>44998.0</v>
      </c>
      <c r="P369" s="11">
        <v>45053.0</v>
      </c>
      <c r="Q369" s="11"/>
      <c r="R369" s="11"/>
      <c r="S369" s="12"/>
      <c r="T369" s="8"/>
      <c r="U369" s="8" t="s">
        <v>59</v>
      </c>
      <c r="V369" s="13" t="s">
        <v>38</v>
      </c>
      <c r="W369" s="13" t="s">
        <v>2223</v>
      </c>
      <c r="X369" s="12"/>
      <c r="Y369" s="14"/>
      <c r="Z369" s="14"/>
    </row>
    <row r="370">
      <c r="A370" s="8" t="s">
        <v>2224</v>
      </c>
      <c r="B370" s="8" t="s">
        <v>2225</v>
      </c>
      <c r="C370" s="8" t="s">
        <v>25</v>
      </c>
      <c r="D370" s="8" t="s">
        <v>26</v>
      </c>
      <c r="E370" s="8" t="s">
        <v>2226</v>
      </c>
      <c r="F370" s="8">
        <v>5.535012508E9</v>
      </c>
      <c r="G370" s="8" t="s">
        <v>31</v>
      </c>
      <c r="H370" s="8" t="s">
        <v>292</v>
      </c>
      <c r="I370" s="8" t="s">
        <v>44</v>
      </c>
      <c r="J370" s="8" t="s">
        <v>1993</v>
      </c>
      <c r="K370" s="10" t="s">
        <v>2227</v>
      </c>
      <c r="L370" s="8" t="s">
        <v>58</v>
      </c>
      <c r="M370" s="8" t="s">
        <v>35</v>
      </c>
      <c r="N370" s="11">
        <v>44830.0</v>
      </c>
      <c r="O370" s="11">
        <v>45115.0</v>
      </c>
      <c r="P370" s="11">
        <v>45157.0</v>
      </c>
      <c r="Q370" s="11">
        <v>45125.0</v>
      </c>
      <c r="R370" s="11">
        <v>45165.0</v>
      </c>
      <c r="S370" s="12"/>
      <c r="T370" s="8"/>
      <c r="U370" s="8" t="s">
        <v>371</v>
      </c>
      <c r="V370" s="13" t="s">
        <v>292</v>
      </c>
      <c r="W370" s="13" t="s">
        <v>2228</v>
      </c>
      <c r="X370" s="12"/>
      <c r="Y370" s="14"/>
      <c r="Z370" s="14"/>
    </row>
    <row r="371">
      <c r="A371" s="8" t="s">
        <v>2229</v>
      </c>
      <c r="B371" s="8" t="s">
        <v>2230</v>
      </c>
      <c r="C371" s="8" t="s">
        <v>25</v>
      </c>
      <c r="D371" s="8" t="s">
        <v>26</v>
      </c>
      <c r="E371" s="8" t="s">
        <v>2231</v>
      </c>
      <c r="F371" s="8">
        <v>5.33430994E9</v>
      </c>
      <c r="G371" s="8" t="s">
        <v>31</v>
      </c>
      <c r="H371" s="8" t="s">
        <v>86</v>
      </c>
      <c r="I371" s="8" t="s">
        <v>109</v>
      </c>
      <c r="J371" s="8" t="s">
        <v>2232</v>
      </c>
      <c r="K371" s="10" t="s">
        <v>2233</v>
      </c>
      <c r="L371" s="8" t="s">
        <v>34</v>
      </c>
      <c r="M371" s="8" t="s">
        <v>70</v>
      </c>
      <c r="N371" s="11">
        <v>44831.0</v>
      </c>
      <c r="O371" s="11">
        <v>44834.0</v>
      </c>
      <c r="P371" s="11">
        <v>45198.0</v>
      </c>
      <c r="Q371" s="11">
        <v>44890.0</v>
      </c>
      <c r="R371" s="11">
        <v>45254.0</v>
      </c>
      <c r="S371" s="12"/>
      <c r="T371" s="8" t="s">
        <v>224</v>
      </c>
      <c r="U371" s="8" t="s">
        <v>2234</v>
      </c>
      <c r="V371" s="13" t="s">
        <v>175</v>
      </c>
      <c r="W371" s="13" t="s">
        <v>2235</v>
      </c>
      <c r="X371" s="12"/>
      <c r="Y371" s="14"/>
      <c r="Z371" s="14"/>
    </row>
    <row r="372">
      <c r="A372" s="8" t="s">
        <v>2236</v>
      </c>
      <c r="B372" s="8" t="s">
        <v>2237</v>
      </c>
      <c r="C372" s="8" t="s">
        <v>25</v>
      </c>
      <c r="D372" s="8" t="s">
        <v>26</v>
      </c>
      <c r="E372" s="8" t="s">
        <v>2238</v>
      </c>
      <c r="F372" s="8"/>
      <c r="G372" s="8" t="s">
        <v>284</v>
      </c>
      <c r="H372" s="8" t="s">
        <v>793</v>
      </c>
      <c r="I372" s="8" t="s">
        <v>31</v>
      </c>
      <c r="J372" s="8" t="s">
        <v>292</v>
      </c>
      <c r="K372" s="10" t="s">
        <v>2070</v>
      </c>
      <c r="L372" s="8" t="s">
        <v>58</v>
      </c>
      <c r="M372" s="8" t="s">
        <v>35</v>
      </c>
      <c r="N372" s="11">
        <v>44831.0</v>
      </c>
      <c r="O372" s="11">
        <v>44865.0</v>
      </c>
      <c r="P372" s="11">
        <v>44907.0</v>
      </c>
      <c r="Q372" s="11">
        <v>44868.0</v>
      </c>
      <c r="R372" s="11">
        <v>44907.0</v>
      </c>
      <c r="S372" s="12"/>
      <c r="T372" s="8"/>
      <c r="U372" s="8" t="s">
        <v>88</v>
      </c>
      <c r="V372" s="13" t="s">
        <v>38</v>
      </c>
      <c r="W372" s="13" t="s">
        <v>2239</v>
      </c>
      <c r="X372" s="12"/>
      <c r="Y372" s="14"/>
      <c r="Z372" s="14"/>
    </row>
    <row r="373">
      <c r="A373" s="8" t="s">
        <v>2240</v>
      </c>
      <c r="B373" s="8" t="s">
        <v>2241</v>
      </c>
      <c r="C373" s="8" t="s">
        <v>25</v>
      </c>
      <c r="D373" s="8" t="s">
        <v>26</v>
      </c>
      <c r="E373" s="8" t="s">
        <v>2242</v>
      </c>
      <c r="F373" s="8">
        <v>9.6674503E7</v>
      </c>
      <c r="G373" s="8" t="s">
        <v>54</v>
      </c>
      <c r="H373" s="8" t="s">
        <v>377</v>
      </c>
      <c r="I373" s="8" t="s">
        <v>31</v>
      </c>
      <c r="J373" s="8" t="s">
        <v>167</v>
      </c>
      <c r="K373" s="10" t="s">
        <v>893</v>
      </c>
      <c r="L373" s="8" t="s">
        <v>58</v>
      </c>
      <c r="M373" s="8" t="s">
        <v>35</v>
      </c>
      <c r="N373" s="11">
        <v>44832.0</v>
      </c>
      <c r="O373" s="11">
        <v>45117.0</v>
      </c>
      <c r="P373" s="11">
        <v>45159.0</v>
      </c>
      <c r="Q373" s="11">
        <v>45118.0</v>
      </c>
      <c r="R373" s="11">
        <v>45159.0</v>
      </c>
      <c r="S373" s="12"/>
      <c r="T373" s="8"/>
      <c r="U373" s="8" t="s">
        <v>88</v>
      </c>
      <c r="V373" s="13" t="s">
        <v>2243</v>
      </c>
      <c r="W373" s="13" t="s">
        <v>2244</v>
      </c>
      <c r="X373" s="12"/>
      <c r="Y373" s="14"/>
      <c r="Z373" s="14"/>
    </row>
    <row r="374">
      <c r="A374" s="8" t="s">
        <v>2245</v>
      </c>
      <c r="B374" s="8" t="s">
        <v>2246</v>
      </c>
      <c r="C374" s="8" t="s">
        <v>25</v>
      </c>
      <c r="D374" s="8" t="s">
        <v>26</v>
      </c>
      <c r="E374" s="8" t="s">
        <v>2247</v>
      </c>
      <c r="F374" s="8">
        <v>5.3204667E7</v>
      </c>
      <c r="G374" s="8" t="s">
        <v>54</v>
      </c>
      <c r="H374" s="8" t="s">
        <v>377</v>
      </c>
      <c r="I374" s="8" t="s">
        <v>31</v>
      </c>
      <c r="J374" s="8" t="s">
        <v>167</v>
      </c>
      <c r="K374" s="10" t="s">
        <v>893</v>
      </c>
      <c r="L374" s="8" t="s">
        <v>58</v>
      </c>
      <c r="M374" s="8" t="s">
        <v>35</v>
      </c>
      <c r="N374" s="11">
        <v>44832.0</v>
      </c>
      <c r="O374" s="11">
        <v>45117.0</v>
      </c>
      <c r="P374" s="11">
        <v>45159.0</v>
      </c>
      <c r="Q374" s="11">
        <v>45118.0</v>
      </c>
      <c r="R374" s="11">
        <v>45159.0</v>
      </c>
      <c r="S374" s="12"/>
      <c r="T374" s="8"/>
      <c r="U374" s="8" t="s">
        <v>88</v>
      </c>
      <c r="V374" s="13" t="s">
        <v>2243</v>
      </c>
      <c r="W374" s="13" t="s">
        <v>2248</v>
      </c>
      <c r="X374" s="12"/>
      <c r="Y374" s="14"/>
      <c r="Z374" s="14"/>
    </row>
    <row r="375">
      <c r="A375" s="8" t="s">
        <v>2249</v>
      </c>
      <c r="B375" s="8" t="s">
        <v>2250</v>
      </c>
      <c r="C375" s="8" t="s">
        <v>25</v>
      </c>
      <c r="D375" s="8" t="s">
        <v>26</v>
      </c>
      <c r="E375" s="8" t="s">
        <v>2251</v>
      </c>
      <c r="F375" s="8">
        <v>4.0311313E7</v>
      </c>
      <c r="G375" s="8" t="s">
        <v>54</v>
      </c>
      <c r="H375" s="8" t="s">
        <v>377</v>
      </c>
      <c r="I375" s="8" t="s">
        <v>31</v>
      </c>
      <c r="J375" s="8" t="s">
        <v>167</v>
      </c>
      <c r="K375" s="10" t="s">
        <v>893</v>
      </c>
      <c r="L375" s="8" t="s">
        <v>58</v>
      </c>
      <c r="M375" s="8" t="s">
        <v>35</v>
      </c>
      <c r="N375" s="11">
        <v>44832.0</v>
      </c>
      <c r="O375" s="11">
        <v>45117.0</v>
      </c>
      <c r="P375" s="11">
        <v>45159.0</v>
      </c>
      <c r="Q375" s="11">
        <v>45118.0</v>
      </c>
      <c r="R375" s="11">
        <v>45159.0</v>
      </c>
      <c r="S375" s="12"/>
      <c r="T375" s="8"/>
      <c r="U375" s="8" t="s">
        <v>88</v>
      </c>
      <c r="V375" s="13" t="s">
        <v>2243</v>
      </c>
      <c r="W375" s="13" t="s">
        <v>2252</v>
      </c>
      <c r="X375" s="12"/>
      <c r="Y375" s="14"/>
      <c r="Z375" s="14"/>
    </row>
    <row r="376">
      <c r="A376" s="8" t="s">
        <v>2253</v>
      </c>
      <c r="B376" s="8" t="s">
        <v>2254</v>
      </c>
      <c r="C376" s="8" t="s">
        <v>179</v>
      </c>
      <c r="D376" s="8" t="s">
        <v>26</v>
      </c>
      <c r="E376" s="8" t="s">
        <v>2255</v>
      </c>
      <c r="F376" s="8">
        <v>5.8764575E7</v>
      </c>
      <c r="G376" s="8" t="s">
        <v>54</v>
      </c>
      <c r="H376" s="8" t="s">
        <v>377</v>
      </c>
      <c r="I376" s="8" t="s">
        <v>31</v>
      </c>
      <c r="J376" s="8" t="s">
        <v>167</v>
      </c>
      <c r="K376" s="10" t="s">
        <v>893</v>
      </c>
      <c r="L376" s="8" t="s">
        <v>58</v>
      </c>
      <c r="M376" s="8" t="s">
        <v>35</v>
      </c>
      <c r="N376" s="11">
        <v>44832.0</v>
      </c>
      <c r="O376" s="11">
        <v>45117.0</v>
      </c>
      <c r="P376" s="11">
        <v>45159.0</v>
      </c>
      <c r="Q376" s="11"/>
      <c r="R376" s="11"/>
      <c r="S376" s="12"/>
      <c r="T376" s="8"/>
      <c r="U376" s="8" t="s">
        <v>88</v>
      </c>
      <c r="V376" s="13" t="s">
        <v>2243</v>
      </c>
      <c r="W376" s="13" t="s">
        <v>2256</v>
      </c>
      <c r="X376" s="12"/>
      <c r="Y376" s="14"/>
      <c r="Z376" s="14"/>
    </row>
    <row r="377">
      <c r="A377" s="8" t="s">
        <v>2257</v>
      </c>
      <c r="B377" s="8" t="s">
        <v>2258</v>
      </c>
      <c r="C377" s="8" t="s">
        <v>25</v>
      </c>
      <c r="D377" s="8" t="s">
        <v>26</v>
      </c>
      <c r="E377" s="8" t="s">
        <v>2259</v>
      </c>
      <c r="F377" s="8">
        <v>3.468229187E9</v>
      </c>
      <c r="G377" s="8" t="s">
        <v>29</v>
      </c>
      <c r="H377" s="8" t="s">
        <v>1107</v>
      </c>
      <c r="I377" s="8" t="s">
        <v>31</v>
      </c>
      <c r="J377" s="8" t="s">
        <v>167</v>
      </c>
      <c r="K377" s="10" t="s">
        <v>893</v>
      </c>
      <c r="L377" s="8" t="s">
        <v>58</v>
      </c>
      <c r="M377" s="8" t="s">
        <v>35</v>
      </c>
      <c r="N377" s="11">
        <v>44832.0</v>
      </c>
      <c r="O377" s="11">
        <v>45117.0</v>
      </c>
      <c r="P377" s="11">
        <v>45159.0</v>
      </c>
      <c r="Q377" s="11">
        <v>45118.0</v>
      </c>
      <c r="R377" s="11">
        <v>45159.0</v>
      </c>
      <c r="S377" s="12"/>
      <c r="T377" s="8"/>
      <c r="U377" s="8" t="s">
        <v>88</v>
      </c>
      <c r="V377" s="13" t="s">
        <v>38</v>
      </c>
      <c r="W377" s="13" t="s">
        <v>2260</v>
      </c>
      <c r="X377" s="12"/>
      <c r="Y377" s="14"/>
      <c r="Z377" s="14"/>
    </row>
    <row r="378">
      <c r="A378" s="8" t="s">
        <v>2261</v>
      </c>
      <c r="B378" s="8" t="s">
        <v>2262</v>
      </c>
      <c r="C378" s="8" t="s">
        <v>25</v>
      </c>
      <c r="D378" s="8" t="s">
        <v>26</v>
      </c>
      <c r="E378" s="8" t="s">
        <v>2263</v>
      </c>
      <c r="F378" s="8">
        <v>5.057054401E9</v>
      </c>
      <c r="G378" s="8" t="s">
        <v>31</v>
      </c>
      <c r="H378" s="8" t="s">
        <v>77</v>
      </c>
      <c r="I378" s="8" t="s">
        <v>127</v>
      </c>
      <c r="J378" s="8" t="s">
        <v>128</v>
      </c>
      <c r="K378" s="10" t="s">
        <v>2264</v>
      </c>
      <c r="L378" s="8" t="s">
        <v>58</v>
      </c>
      <c r="M378" s="8" t="s">
        <v>35</v>
      </c>
      <c r="N378" s="11">
        <v>44832.0</v>
      </c>
      <c r="O378" s="11">
        <v>44949.0</v>
      </c>
      <c r="P378" s="11">
        <v>44991.0</v>
      </c>
      <c r="Q378" s="11">
        <v>44949.0</v>
      </c>
      <c r="R378" s="11">
        <v>44991.0</v>
      </c>
      <c r="S378" s="12"/>
      <c r="T378" s="8"/>
      <c r="U378" s="8" t="s">
        <v>185</v>
      </c>
      <c r="V378" s="13" t="s">
        <v>111</v>
      </c>
      <c r="W378" s="13" t="s">
        <v>2265</v>
      </c>
      <c r="X378" s="12"/>
      <c r="Y378" s="14"/>
      <c r="Z378" s="14"/>
    </row>
    <row r="379">
      <c r="A379" s="8" t="s">
        <v>2266</v>
      </c>
      <c r="B379" s="8" t="s">
        <v>2267</v>
      </c>
      <c r="C379" s="8" t="s">
        <v>179</v>
      </c>
      <c r="D379" s="8" t="s">
        <v>26</v>
      </c>
      <c r="E379" s="8" t="s">
        <v>2268</v>
      </c>
      <c r="F379" s="8">
        <v>5.053885117E9</v>
      </c>
      <c r="G379" s="8" t="s">
        <v>31</v>
      </c>
      <c r="H379" s="8" t="s">
        <v>1274</v>
      </c>
      <c r="I379" s="8" t="s">
        <v>29</v>
      </c>
      <c r="J379" s="8" t="s">
        <v>2269</v>
      </c>
      <c r="K379" s="10" t="s">
        <v>2270</v>
      </c>
      <c r="L379" s="8" t="s">
        <v>58</v>
      </c>
      <c r="M379" s="8" t="s">
        <v>35</v>
      </c>
      <c r="N379" s="11">
        <v>44832.0</v>
      </c>
      <c r="O379" s="11">
        <v>44935.0</v>
      </c>
      <c r="P379" s="11">
        <v>44977.0</v>
      </c>
      <c r="Q379" s="11"/>
      <c r="R379" s="11"/>
      <c r="S379" s="12"/>
      <c r="T379" s="8"/>
      <c r="U379" s="8" t="s">
        <v>88</v>
      </c>
      <c r="V379" s="13" t="s">
        <v>1274</v>
      </c>
      <c r="W379" s="13" t="s">
        <v>2271</v>
      </c>
      <c r="X379" s="12"/>
      <c r="Y379" s="14"/>
      <c r="Z379" s="14"/>
    </row>
    <row r="380">
      <c r="A380" s="8" t="s">
        <v>2272</v>
      </c>
      <c r="B380" s="8" t="s">
        <v>2273</v>
      </c>
      <c r="C380" s="8" t="s">
        <v>64</v>
      </c>
      <c r="D380" s="8" t="s">
        <v>26</v>
      </c>
      <c r="E380" s="8" t="s">
        <v>2274</v>
      </c>
      <c r="F380" s="8">
        <v>6.9397409E8</v>
      </c>
      <c r="G380" s="8" t="s">
        <v>84</v>
      </c>
      <c r="H380" s="8" t="s">
        <v>752</v>
      </c>
      <c r="I380" s="8" t="s">
        <v>31</v>
      </c>
      <c r="J380" s="8" t="s">
        <v>111</v>
      </c>
      <c r="K380" s="10" t="s">
        <v>2275</v>
      </c>
      <c r="L380" s="8" t="s">
        <v>34</v>
      </c>
      <c r="M380" s="8" t="s">
        <v>35</v>
      </c>
      <c r="N380" s="11">
        <v>44832.0</v>
      </c>
      <c r="O380" s="11">
        <v>44847.0</v>
      </c>
      <c r="P380" s="11">
        <v>44926.0</v>
      </c>
      <c r="Q380" s="11">
        <v>44855.0</v>
      </c>
      <c r="R380" s="11">
        <v>44926.0</v>
      </c>
      <c r="S380" s="12"/>
      <c r="T380" s="8" t="s">
        <v>121</v>
      </c>
      <c r="U380" s="8" t="s">
        <v>2276</v>
      </c>
      <c r="V380" s="13" t="s">
        <v>2277</v>
      </c>
      <c r="W380" s="13" t="s">
        <v>2278</v>
      </c>
      <c r="X380" s="12"/>
      <c r="Y380" s="14"/>
      <c r="Z380" s="14"/>
    </row>
    <row r="381">
      <c r="A381" s="8" t="s">
        <v>2279</v>
      </c>
      <c r="B381" s="8" t="s">
        <v>2280</v>
      </c>
      <c r="C381" s="8" t="s">
        <v>25</v>
      </c>
      <c r="D381" s="8" t="s">
        <v>26</v>
      </c>
      <c r="E381" s="8" t="s">
        <v>2281</v>
      </c>
      <c r="F381" s="8">
        <v>2.0518245E7</v>
      </c>
      <c r="G381" s="8" t="s">
        <v>54</v>
      </c>
      <c r="H381" s="8" t="s">
        <v>135</v>
      </c>
      <c r="I381" s="8" t="s">
        <v>31</v>
      </c>
      <c r="J381" s="8" t="s">
        <v>111</v>
      </c>
      <c r="K381" s="10" t="s">
        <v>112</v>
      </c>
      <c r="L381" s="8" t="s">
        <v>58</v>
      </c>
      <c r="M381" s="8" t="s">
        <v>35</v>
      </c>
      <c r="N381" s="11">
        <v>44832.0</v>
      </c>
      <c r="O381" s="11">
        <v>44913.0</v>
      </c>
      <c r="P381" s="11">
        <v>44955.0</v>
      </c>
      <c r="Q381" s="11">
        <v>44950.0</v>
      </c>
      <c r="R381" s="11">
        <v>44991.0</v>
      </c>
      <c r="S381" s="12"/>
      <c r="T381" s="8"/>
      <c r="U381" s="8" t="s">
        <v>88</v>
      </c>
      <c r="V381" s="13" t="s">
        <v>352</v>
      </c>
      <c r="W381" s="13" t="s">
        <v>2282</v>
      </c>
      <c r="X381" s="12"/>
      <c r="Y381" s="14"/>
      <c r="Z381" s="14"/>
    </row>
    <row r="382">
      <c r="A382" s="8" t="s">
        <v>2283</v>
      </c>
      <c r="B382" s="8" t="s">
        <v>2284</v>
      </c>
      <c r="C382" s="8" t="s">
        <v>179</v>
      </c>
      <c r="D382" s="8" t="s">
        <v>26</v>
      </c>
      <c r="E382" s="8" t="s">
        <v>2285</v>
      </c>
      <c r="F382" s="8">
        <v>7.1984735292E10</v>
      </c>
      <c r="G382" s="8" t="s">
        <v>109</v>
      </c>
      <c r="H382" s="8" t="s">
        <v>2286</v>
      </c>
      <c r="I382" s="8" t="s">
        <v>31</v>
      </c>
      <c r="J382" s="8" t="s">
        <v>43</v>
      </c>
      <c r="K382" s="10" t="s">
        <v>837</v>
      </c>
      <c r="L382" s="8" t="s">
        <v>58</v>
      </c>
      <c r="M382" s="8" t="s">
        <v>35</v>
      </c>
      <c r="N382" s="11">
        <v>44833.0</v>
      </c>
      <c r="O382" s="11">
        <v>45012.0</v>
      </c>
      <c r="P382" s="11">
        <v>45058.0</v>
      </c>
      <c r="Q382" s="11"/>
      <c r="R382" s="11"/>
      <c r="S382" s="12"/>
      <c r="T382" s="8"/>
      <c r="U382" s="8" t="s">
        <v>130</v>
      </c>
      <c r="V382" s="13" t="s">
        <v>2287</v>
      </c>
      <c r="W382" s="13" t="s">
        <v>2288</v>
      </c>
      <c r="X382" s="12"/>
      <c r="Y382" s="14"/>
      <c r="Z382" s="14"/>
    </row>
    <row r="383">
      <c r="A383" s="8" t="s">
        <v>2289</v>
      </c>
      <c r="B383" s="8" t="s">
        <v>2290</v>
      </c>
      <c r="C383" s="8" t="s">
        <v>251</v>
      </c>
      <c r="D383" s="8" t="s">
        <v>26</v>
      </c>
      <c r="E383" s="8" t="s">
        <v>2291</v>
      </c>
      <c r="F383" s="8">
        <v>6.00552721E8</v>
      </c>
      <c r="G383" s="8" t="s">
        <v>84</v>
      </c>
      <c r="H383" s="8" t="s">
        <v>1280</v>
      </c>
      <c r="I383" s="8" t="s">
        <v>31</v>
      </c>
      <c r="J383" s="8" t="s">
        <v>77</v>
      </c>
      <c r="K383" s="10" t="s">
        <v>2292</v>
      </c>
      <c r="L383" s="8" t="s">
        <v>34</v>
      </c>
      <c r="M383" s="8" t="s">
        <v>70</v>
      </c>
      <c r="N383" s="11">
        <v>44833.0</v>
      </c>
      <c r="O383" s="11">
        <v>44851.0</v>
      </c>
      <c r="P383" s="11">
        <v>45216.0</v>
      </c>
      <c r="Q383" s="11"/>
      <c r="R383" s="11"/>
      <c r="S383" s="12"/>
      <c r="T383" s="8" t="s">
        <v>1187</v>
      </c>
      <c r="U383" s="8" t="s">
        <v>2293</v>
      </c>
      <c r="V383" s="13" t="s">
        <v>2294</v>
      </c>
      <c r="W383" s="13" t="s">
        <v>2295</v>
      </c>
      <c r="X383" s="12"/>
      <c r="Y383" s="14"/>
      <c r="Z383" s="14"/>
    </row>
    <row r="384">
      <c r="A384" s="8" t="s">
        <v>2296</v>
      </c>
      <c r="B384" s="8" t="s">
        <v>2297</v>
      </c>
      <c r="C384" s="8" t="s">
        <v>179</v>
      </c>
      <c r="D384" s="8" t="s">
        <v>26</v>
      </c>
      <c r="E384" s="8" t="s">
        <v>2298</v>
      </c>
      <c r="F384" s="8">
        <v>5.315409716E9</v>
      </c>
      <c r="G384" s="8" t="s">
        <v>31</v>
      </c>
      <c r="H384" s="8" t="s">
        <v>77</v>
      </c>
      <c r="I384" s="8" t="s">
        <v>44</v>
      </c>
      <c r="J384" s="8" t="s">
        <v>1993</v>
      </c>
      <c r="K384" s="10" t="s">
        <v>2299</v>
      </c>
      <c r="L384" s="8" t="s">
        <v>58</v>
      </c>
      <c r="M384" s="8" t="s">
        <v>35</v>
      </c>
      <c r="N384" s="11">
        <v>44833.0</v>
      </c>
      <c r="O384" s="11">
        <v>45114.0</v>
      </c>
      <c r="P384" s="11">
        <v>45156.0</v>
      </c>
      <c r="Q384" s="11"/>
      <c r="R384" s="11"/>
      <c r="S384" s="12"/>
      <c r="T384" s="8"/>
      <c r="U384" s="8" t="s">
        <v>371</v>
      </c>
      <c r="V384" s="13" t="s">
        <v>77</v>
      </c>
      <c r="W384" s="13" t="s">
        <v>2300</v>
      </c>
      <c r="X384" s="12"/>
      <c r="Y384" s="14"/>
      <c r="Z384" s="14"/>
    </row>
    <row r="385">
      <c r="A385" s="8" t="s">
        <v>2301</v>
      </c>
      <c r="B385" s="8" t="s">
        <v>2302</v>
      </c>
      <c r="C385" s="8" t="s">
        <v>251</v>
      </c>
      <c r="D385" s="8" t="s">
        <v>26</v>
      </c>
      <c r="E385" s="8" t="s">
        <v>2303</v>
      </c>
      <c r="F385" s="8">
        <v>1.013321966E9</v>
      </c>
      <c r="G385" s="8" t="s">
        <v>284</v>
      </c>
      <c r="H385" s="8" t="s">
        <v>285</v>
      </c>
      <c r="I385" s="8" t="s">
        <v>31</v>
      </c>
      <c r="J385" s="8" t="s">
        <v>438</v>
      </c>
      <c r="K385" s="10" t="s">
        <v>2304</v>
      </c>
      <c r="L385" s="8" t="s">
        <v>47</v>
      </c>
      <c r="M385" s="8" t="s">
        <v>70</v>
      </c>
      <c r="N385" s="11">
        <v>44833.0</v>
      </c>
      <c r="O385" s="11">
        <v>44886.0</v>
      </c>
      <c r="P385" s="11">
        <v>45250.0</v>
      </c>
      <c r="Q385" s="11"/>
      <c r="R385" s="11"/>
      <c r="S385" s="12"/>
      <c r="T385" s="8"/>
      <c r="U385" s="8" t="s">
        <v>1295</v>
      </c>
      <c r="V385" s="13" t="s">
        <v>285</v>
      </c>
      <c r="W385" s="13" t="s">
        <v>2305</v>
      </c>
      <c r="X385" s="12"/>
      <c r="Y385" s="14"/>
      <c r="Z385" s="14"/>
    </row>
    <row r="386">
      <c r="A386" s="8" t="s">
        <v>2306</v>
      </c>
      <c r="B386" s="8" t="s">
        <v>2307</v>
      </c>
      <c r="C386" s="8" t="s">
        <v>251</v>
      </c>
      <c r="D386" s="8" t="s">
        <v>26</v>
      </c>
      <c r="E386" s="8" t="s">
        <v>2308</v>
      </c>
      <c r="F386" s="8">
        <v>1.206753341E9</v>
      </c>
      <c r="G386" s="8" t="s">
        <v>284</v>
      </c>
      <c r="H386" s="8" t="s">
        <v>673</v>
      </c>
      <c r="I386" s="8" t="s">
        <v>31</v>
      </c>
      <c r="J386" s="8" t="s">
        <v>86</v>
      </c>
      <c r="K386" s="10" t="s">
        <v>389</v>
      </c>
      <c r="L386" s="8" t="s">
        <v>58</v>
      </c>
      <c r="M386" s="8" t="s">
        <v>35</v>
      </c>
      <c r="N386" s="11">
        <v>44833.0</v>
      </c>
      <c r="O386" s="11">
        <v>44852.0</v>
      </c>
      <c r="P386" s="11">
        <v>44894.0</v>
      </c>
      <c r="Q386" s="11"/>
      <c r="R386" s="11"/>
      <c r="S386" s="12"/>
      <c r="T386" s="8"/>
      <c r="U386" s="8" t="s">
        <v>153</v>
      </c>
      <c r="V386" s="13" t="s">
        <v>674</v>
      </c>
      <c r="W386" s="13" t="s">
        <v>2309</v>
      </c>
      <c r="X386" s="12"/>
      <c r="Y386" s="14"/>
      <c r="Z386" s="14"/>
    </row>
    <row r="387">
      <c r="A387" s="8" t="s">
        <v>2310</v>
      </c>
      <c r="B387" s="8" t="s">
        <v>2311</v>
      </c>
      <c r="C387" s="8" t="s">
        <v>64</v>
      </c>
      <c r="D387" s="8" t="s">
        <v>26</v>
      </c>
      <c r="E387" s="8" t="s">
        <v>2312</v>
      </c>
      <c r="F387" s="8">
        <v>3.472535007E9</v>
      </c>
      <c r="G387" s="8" t="s">
        <v>315</v>
      </c>
      <c r="H387" s="8" t="s">
        <v>1833</v>
      </c>
      <c r="I387" s="8" t="s">
        <v>31</v>
      </c>
      <c r="J387" s="8" t="s">
        <v>256</v>
      </c>
      <c r="K387" s="10" t="s">
        <v>2313</v>
      </c>
      <c r="L387" s="8" t="s">
        <v>47</v>
      </c>
      <c r="M387" s="8" t="s">
        <v>70</v>
      </c>
      <c r="N387" s="11">
        <v>44833.0</v>
      </c>
      <c r="O387" s="11">
        <v>44844.0</v>
      </c>
      <c r="P387" s="11">
        <v>45209.0</v>
      </c>
      <c r="Q387" s="11">
        <v>44853.0</v>
      </c>
      <c r="R387" s="11">
        <v>45218.0</v>
      </c>
      <c r="S387" s="12"/>
      <c r="T387" s="8"/>
      <c r="U387" s="8" t="s">
        <v>1295</v>
      </c>
      <c r="V387" s="13" t="s">
        <v>2314</v>
      </c>
      <c r="W387" s="13" t="s">
        <v>2315</v>
      </c>
      <c r="X387" s="12"/>
      <c r="Y387" s="14"/>
      <c r="Z387" s="14"/>
    </row>
    <row r="388">
      <c r="A388" s="8" t="s">
        <v>2316</v>
      </c>
      <c r="B388" s="8" t="s">
        <v>2317</v>
      </c>
      <c r="C388" s="8" t="s">
        <v>25</v>
      </c>
      <c r="D388" s="8" t="s">
        <v>26</v>
      </c>
      <c r="E388" s="8" t="s">
        <v>2318</v>
      </c>
      <c r="F388" s="8">
        <v>6.48414662E8</v>
      </c>
      <c r="G388" s="8" t="s">
        <v>84</v>
      </c>
      <c r="H388" s="8" t="s">
        <v>646</v>
      </c>
      <c r="I388" s="8" t="s">
        <v>31</v>
      </c>
      <c r="J388" s="8" t="s">
        <v>111</v>
      </c>
      <c r="K388" s="10" t="s">
        <v>910</v>
      </c>
      <c r="L388" s="8" t="s">
        <v>47</v>
      </c>
      <c r="M388" s="8" t="s">
        <v>70</v>
      </c>
      <c r="N388" s="11">
        <v>44833.0</v>
      </c>
      <c r="O388" s="11">
        <v>44842.0</v>
      </c>
      <c r="P388" s="11">
        <v>45207.0</v>
      </c>
      <c r="Q388" s="11">
        <v>44858.0</v>
      </c>
      <c r="R388" s="11">
        <v>45223.0</v>
      </c>
      <c r="S388" s="12"/>
      <c r="T388" s="8"/>
      <c r="U388" s="8" t="s">
        <v>246</v>
      </c>
      <c r="V388" s="13" t="s">
        <v>2319</v>
      </c>
      <c r="W388" s="13" t="s">
        <v>2320</v>
      </c>
      <c r="X388" s="12"/>
      <c r="Y388" s="14"/>
      <c r="Z388" s="14"/>
    </row>
    <row r="389">
      <c r="A389" s="8" t="s">
        <v>2321</v>
      </c>
      <c r="B389" s="8" t="s">
        <v>2322</v>
      </c>
      <c r="C389" s="8" t="s">
        <v>64</v>
      </c>
      <c r="D389" s="8" t="s">
        <v>26</v>
      </c>
      <c r="E389" s="8" t="s">
        <v>2323</v>
      </c>
      <c r="F389" s="8"/>
      <c r="G389" s="8" t="s">
        <v>315</v>
      </c>
      <c r="H389" s="8" t="s">
        <v>1833</v>
      </c>
      <c r="I389" s="8" t="s">
        <v>31</v>
      </c>
      <c r="J389" s="8" t="s">
        <v>167</v>
      </c>
      <c r="K389" s="10" t="s">
        <v>2324</v>
      </c>
      <c r="L389" s="8" t="s">
        <v>58</v>
      </c>
      <c r="M389" s="8" t="s">
        <v>35</v>
      </c>
      <c r="N389" s="11">
        <v>44833.0</v>
      </c>
      <c r="O389" s="11">
        <v>44900.0</v>
      </c>
      <c r="P389" s="11">
        <v>44942.0</v>
      </c>
      <c r="Q389" s="11">
        <v>44901.0</v>
      </c>
      <c r="R389" s="11">
        <v>44942.0</v>
      </c>
      <c r="S389" s="12"/>
      <c r="T389" s="8"/>
      <c r="U389" s="8" t="s">
        <v>59</v>
      </c>
      <c r="V389" s="13" t="s">
        <v>2325</v>
      </c>
      <c r="W389" s="13" t="s">
        <v>2326</v>
      </c>
      <c r="X389" s="12"/>
      <c r="Y389" s="14"/>
      <c r="Z389" s="14"/>
    </row>
    <row r="390">
      <c r="A390" s="8" t="s">
        <v>2327</v>
      </c>
      <c r="B390" s="8" t="s">
        <v>2328</v>
      </c>
      <c r="C390" s="8" t="s">
        <v>179</v>
      </c>
      <c r="D390" s="8" t="s">
        <v>26</v>
      </c>
      <c r="E390" s="8" t="s">
        <v>2329</v>
      </c>
      <c r="F390" s="8">
        <v>5.367214718E9</v>
      </c>
      <c r="G390" s="8" t="s">
        <v>31</v>
      </c>
      <c r="H390" s="8" t="s">
        <v>56</v>
      </c>
      <c r="I390" s="8" t="s">
        <v>2330</v>
      </c>
      <c r="J390" s="8" t="s">
        <v>2331</v>
      </c>
      <c r="K390" s="10" t="s">
        <v>2332</v>
      </c>
      <c r="L390" s="8" t="s">
        <v>58</v>
      </c>
      <c r="M390" s="8" t="s">
        <v>35</v>
      </c>
      <c r="N390" s="11">
        <v>44833.0</v>
      </c>
      <c r="O390" s="11">
        <v>44903.0</v>
      </c>
      <c r="P390" s="11">
        <v>44945.0</v>
      </c>
      <c r="Q390" s="11"/>
      <c r="R390" s="11"/>
      <c r="S390" s="12"/>
      <c r="T390" s="8"/>
      <c r="U390" s="8" t="s">
        <v>59</v>
      </c>
      <c r="V390" s="13" t="s">
        <v>56</v>
      </c>
      <c r="W390" s="13" t="s">
        <v>2333</v>
      </c>
      <c r="X390" s="12"/>
      <c r="Y390" s="14"/>
      <c r="Z390" s="14"/>
    </row>
    <row r="391">
      <c r="A391" s="8" t="s">
        <v>2334</v>
      </c>
      <c r="B391" s="8" t="s">
        <v>2335</v>
      </c>
      <c r="C391" s="8" t="s">
        <v>179</v>
      </c>
      <c r="D391" s="8" t="s">
        <v>26</v>
      </c>
      <c r="E391" s="8" t="s">
        <v>2336</v>
      </c>
      <c r="F391" s="8">
        <v>5.079948777E9</v>
      </c>
      <c r="G391" s="8" t="s">
        <v>31</v>
      </c>
      <c r="H391" s="8" t="s">
        <v>43</v>
      </c>
      <c r="I391" s="8" t="s">
        <v>127</v>
      </c>
      <c r="J391" s="8" t="s">
        <v>2182</v>
      </c>
      <c r="K391" s="10" t="s">
        <v>2183</v>
      </c>
      <c r="L391" s="8" t="s">
        <v>58</v>
      </c>
      <c r="M391" s="8" t="s">
        <v>35</v>
      </c>
      <c r="N391" s="11">
        <v>44833.0</v>
      </c>
      <c r="O391" s="11">
        <v>45108.0</v>
      </c>
      <c r="P391" s="11">
        <v>45156.0</v>
      </c>
      <c r="Q391" s="11"/>
      <c r="R391" s="11"/>
      <c r="S391" s="12"/>
      <c r="T391" s="8"/>
      <c r="U391" s="8" t="s">
        <v>59</v>
      </c>
      <c r="V391" s="13" t="s">
        <v>43</v>
      </c>
      <c r="W391" s="13" t="s">
        <v>2337</v>
      </c>
      <c r="X391" s="12"/>
      <c r="Y391" s="14"/>
      <c r="Z391" s="14"/>
    </row>
    <row r="392">
      <c r="A392" s="8" t="s">
        <v>2338</v>
      </c>
      <c r="B392" s="8" t="s">
        <v>2339</v>
      </c>
      <c r="C392" s="8" t="s">
        <v>25</v>
      </c>
      <c r="D392" s="8" t="s">
        <v>26</v>
      </c>
      <c r="E392" s="8" t="s">
        <v>2340</v>
      </c>
      <c r="F392" s="8">
        <v>5.376035843E9</v>
      </c>
      <c r="G392" s="8" t="s">
        <v>315</v>
      </c>
      <c r="H392" s="8" t="s">
        <v>1833</v>
      </c>
      <c r="I392" s="8" t="s">
        <v>31</v>
      </c>
      <c r="J392" s="8" t="s">
        <v>77</v>
      </c>
      <c r="K392" s="10" t="s">
        <v>2341</v>
      </c>
      <c r="L392" s="8" t="s">
        <v>34</v>
      </c>
      <c r="M392" s="8" t="s">
        <v>35</v>
      </c>
      <c r="N392" s="11">
        <v>44834.0</v>
      </c>
      <c r="O392" s="11">
        <v>44861.0</v>
      </c>
      <c r="P392" s="11">
        <v>44917.0</v>
      </c>
      <c r="Q392" s="11">
        <v>44875.0</v>
      </c>
      <c r="R392" s="11">
        <v>44931.0</v>
      </c>
      <c r="S392" s="12"/>
      <c r="T392" s="8" t="s">
        <v>121</v>
      </c>
      <c r="U392" s="8" t="s">
        <v>2342</v>
      </c>
      <c r="V392" s="13" t="s">
        <v>2343</v>
      </c>
      <c r="W392" s="13" t="s">
        <v>2344</v>
      </c>
      <c r="X392" s="12"/>
      <c r="Y392" s="14"/>
      <c r="Z392" s="14"/>
    </row>
    <row r="393">
      <c r="A393" s="8" t="s">
        <v>2345</v>
      </c>
      <c r="B393" s="8" t="s">
        <v>2346</v>
      </c>
      <c r="C393" s="8" t="s">
        <v>179</v>
      </c>
      <c r="D393" s="8" t="s">
        <v>26</v>
      </c>
      <c r="E393" s="8" t="s">
        <v>2347</v>
      </c>
      <c r="F393" s="8">
        <v>5.369488488E9</v>
      </c>
      <c r="G393" s="8" t="s">
        <v>31</v>
      </c>
      <c r="H393" s="8" t="s">
        <v>56</v>
      </c>
      <c r="I393" s="8" t="s">
        <v>44</v>
      </c>
      <c r="J393" s="8" t="s">
        <v>2348</v>
      </c>
      <c r="K393" s="10" t="s">
        <v>2349</v>
      </c>
      <c r="L393" s="8" t="s">
        <v>58</v>
      </c>
      <c r="M393" s="8" t="s">
        <v>35</v>
      </c>
      <c r="N393" s="11">
        <v>44834.0</v>
      </c>
      <c r="O393" s="11">
        <v>44942.0</v>
      </c>
      <c r="P393" s="11">
        <v>44986.0</v>
      </c>
      <c r="Q393" s="11"/>
      <c r="R393" s="11"/>
      <c r="S393" s="12"/>
      <c r="T393" s="8"/>
      <c r="U393" s="8" t="s">
        <v>632</v>
      </c>
      <c r="V393" s="13" t="s">
        <v>56</v>
      </c>
      <c r="W393" s="13" t="s">
        <v>2350</v>
      </c>
      <c r="X393" s="12"/>
      <c r="Y393" s="14"/>
      <c r="Z393" s="14"/>
    </row>
    <row r="394">
      <c r="A394" s="8" t="s">
        <v>2351</v>
      </c>
      <c r="B394" s="8" t="s">
        <v>2352</v>
      </c>
      <c r="C394" s="8" t="s">
        <v>179</v>
      </c>
      <c r="D394" s="8" t="s">
        <v>26</v>
      </c>
      <c r="E394" s="8" t="s">
        <v>2353</v>
      </c>
      <c r="F394" s="8">
        <v>9.91373444E8</v>
      </c>
      <c r="G394" s="8" t="s">
        <v>109</v>
      </c>
      <c r="H394" s="8" t="s">
        <v>875</v>
      </c>
      <c r="I394" s="8" t="s">
        <v>31</v>
      </c>
      <c r="J394" s="8" t="s">
        <v>136</v>
      </c>
      <c r="K394" s="10" t="s">
        <v>2354</v>
      </c>
      <c r="L394" s="8" t="s">
        <v>58</v>
      </c>
      <c r="M394" s="8" t="s">
        <v>35</v>
      </c>
      <c r="N394" s="11">
        <v>44834.0</v>
      </c>
      <c r="O394" s="11">
        <v>45299.0</v>
      </c>
      <c r="P394" s="11">
        <v>45341.0</v>
      </c>
      <c r="Q394" s="11"/>
      <c r="R394" s="11"/>
      <c r="S394" s="12"/>
      <c r="T394" s="8"/>
      <c r="U394" s="8" t="s">
        <v>59</v>
      </c>
      <c r="V394" s="13" t="s">
        <v>876</v>
      </c>
      <c r="W394" s="13" t="s">
        <v>2355</v>
      </c>
      <c r="X394" s="12"/>
      <c r="Y394" s="14"/>
      <c r="Z394" s="14"/>
    </row>
    <row r="395">
      <c r="A395" s="8" t="s">
        <v>2356</v>
      </c>
      <c r="B395" s="8" t="s">
        <v>2357</v>
      </c>
      <c r="C395" s="8" t="s">
        <v>25</v>
      </c>
      <c r="D395" s="8" t="s">
        <v>26</v>
      </c>
      <c r="E395" s="8" t="s">
        <v>2358</v>
      </c>
      <c r="F395" s="8">
        <v>4.4999681596E10</v>
      </c>
      <c r="G395" s="8" t="s">
        <v>109</v>
      </c>
      <c r="H395" s="8" t="s">
        <v>2359</v>
      </c>
      <c r="I395" s="8" t="s">
        <v>31</v>
      </c>
      <c r="J395" s="8" t="s">
        <v>542</v>
      </c>
      <c r="K395" s="10" t="s">
        <v>2360</v>
      </c>
      <c r="L395" s="8" t="s">
        <v>58</v>
      </c>
      <c r="M395" s="8" t="s">
        <v>35</v>
      </c>
      <c r="N395" s="11">
        <v>44834.0</v>
      </c>
      <c r="O395" s="11">
        <v>45061.0</v>
      </c>
      <c r="P395" s="11">
        <v>45103.0</v>
      </c>
      <c r="Q395" s="11">
        <v>45061.0</v>
      </c>
      <c r="R395" s="11">
        <v>45103.0</v>
      </c>
      <c r="S395" s="12"/>
      <c r="T395" s="8"/>
      <c r="U395" s="8" t="s">
        <v>59</v>
      </c>
      <c r="V395" s="13" t="s">
        <v>2361</v>
      </c>
      <c r="W395" s="13" t="s">
        <v>2362</v>
      </c>
      <c r="X395" s="12"/>
      <c r="Y395" s="14"/>
      <c r="Z395" s="14"/>
    </row>
    <row r="396">
      <c r="A396" s="8" t="s">
        <v>2363</v>
      </c>
      <c r="B396" s="8" t="s">
        <v>2364</v>
      </c>
      <c r="C396" s="8" t="s">
        <v>25</v>
      </c>
      <c r="D396" s="8" t="s">
        <v>26</v>
      </c>
      <c r="E396" s="8" t="s">
        <v>2365</v>
      </c>
      <c r="F396" s="8">
        <v>4.8998595904E10</v>
      </c>
      <c r="G396" s="8" t="s">
        <v>109</v>
      </c>
      <c r="H396" s="8" t="s">
        <v>2366</v>
      </c>
      <c r="I396" s="8" t="s">
        <v>31</v>
      </c>
      <c r="J396" s="8" t="s">
        <v>32</v>
      </c>
      <c r="K396" s="10" t="s">
        <v>1813</v>
      </c>
      <c r="L396" s="8" t="s">
        <v>58</v>
      </c>
      <c r="M396" s="8" t="s">
        <v>35</v>
      </c>
      <c r="N396" s="11">
        <v>44834.0</v>
      </c>
      <c r="O396" s="11">
        <v>44913.0</v>
      </c>
      <c r="P396" s="11">
        <v>44955.0</v>
      </c>
      <c r="Q396" s="11">
        <v>44916.0</v>
      </c>
      <c r="R396" s="11">
        <v>44958.0</v>
      </c>
      <c r="S396" s="12"/>
      <c r="T396" s="8"/>
      <c r="U396" s="8" t="s">
        <v>161</v>
      </c>
      <c r="V396" s="13" t="s">
        <v>38</v>
      </c>
      <c r="W396" s="13" t="s">
        <v>2367</v>
      </c>
      <c r="X396" s="12"/>
      <c r="Y396" s="14"/>
      <c r="Z396" s="14"/>
    </row>
    <row r="397">
      <c r="A397" s="8" t="s">
        <v>2368</v>
      </c>
      <c r="B397" s="8" t="s">
        <v>2369</v>
      </c>
      <c r="C397" s="8" t="s">
        <v>179</v>
      </c>
      <c r="D397" s="8" t="s">
        <v>26</v>
      </c>
      <c r="E397" s="8" t="s">
        <v>2370</v>
      </c>
      <c r="F397" s="8">
        <v>5.456727185E9</v>
      </c>
      <c r="G397" s="8" t="s">
        <v>31</v>
      </c>
      <c r="H397" s="8" t="s">
        <v>56</v>
      </c>
      <c r="I397" s="8" t="s">
        <v>44</v>
      </c>
      <c r="J397" s="8" t="s">
        <v>2348</v>
      </c>
      <c r="K397" s="10" t="s">
        <v>2349</v>
      </c>
      <c r="L397" s="8" t="s">
        <v>58</v>
      </c>
      <c r="M397" s="8" t="s">
        <v>35</v>
      </c>
      <c r="N397" s="11">
        <v>44834.0</v>
      </c>
      <c r="O397" s="11">
        <v>44942.0</v>
      </c>
      <c r="P397" s="11">
        <v>44986.0</v>
      </c>
      <c r="Q397" s="11"/>
      <c r="R397" s="11"/>
      <c r="S397" s="12"/>
      <c r="T397" s="8"/>
      <c r="U397" s="8" t="s">
        <v>632</v>
      </c>
      <c r="V397" s="13" t="s">
        <v>56</v>
      </c>
      <c r="W397" s="13" t="s">
        <v>2371</v>
      </c>
      <c r="X397" s="12"/>
      <c r="Y397" s="14"/>
      <c r="Z397" s="14"/>
    </row>
    <row r="398">
      <c r="A398" s="8" t="s">
        <v>2372</v>
      </c>
      <c r="B398" s="8" t="s">
        <v>2373</v>
      </c>
      <c r="C398" s="8" t="s">
        <v>64</v>
      </c>
      <c r="D398" s="8" t="s">
        <v>26</v>
      </c>
      <c r="E398" s="8" t="s">
        <v>2374</v>
      </c>
      <c r="F398" s="8">
        <v>6.237406086E9</v>
      </c>
      <c r="G398" s="8" t="s">
        <v>84</v>
      </c>
      <c r="H398" s="8" t="s">
        <v>85</v>
      </c>
      <c r="I398" s="8" t="s">
        <v>31</v>
      </c>
      <c r="J398" s="8" t="s">
        <v>77</v>
      </c>
      <c r="K398" s="10" t="s">
        <v>2375</v>
      </c>
      <c r="L398" s="8" t="s">
        <v>34</v>
      </c>
      <c r="M398" s="8" t="s">
        <v>70</v>
      </c>
      <c r="N398" s="11">
        <v>44834.0</v>
      </c>
      <c r="O398" s="11">
        <v>44844.0</v>
      </c>
      <c r="P398" s="11">
        <v>45209.0</v>
      </c>
      <c r="Q398" s="11">
        <v>44888.0</v>
      </c>
      <c r="R398" s="11">
        <v>45251.0</v>
      </c>
      <c r="S398" s="12"/>
      <c r="T398" s="8" t="s">
        <v>1187</v>
      </c>
      <c r="U398" s="8" t="s">
        <v>2376</v>
      </c>
      <c r="V398" s="13" t="s">
        <v>38</v>
      </c>
      <c r="W398" s="13" t="s">
        <v>2377</v>
      </c>
      <c r="X398" s="12"/>
      <c r="Y398" s="14"/>
      <c r="Z398" s="14"/>
    </row>
    <row r="399">
      <c r="A399" s="8" t="s">
        <v>2378</v>
      </c>
      <c r="B399" s="8" t="s">
        <v>2379</v>
      </c>
      <c r="C399" s="8" t="s">
        <v>25</v>
      </c>
      <c r="D399" s="8" t="s">
        <v>26</v>
      </c>
      <c r="E399" s="8" t="s">
        <v>2380</v>
      </c>
      <c r="F399" s="8">
        <v>5.385015525E9</v>
      </c>
      <c r="G399" s="8" t="s">
        <v>31</v>
      </c>
      <c r="H399" s="8" t="s">
        <v>32</v>
      </c>
      <c r="I399" s="8" t="s">
        <v>2381</v>
      </c>
      <c r="J399" s="8" t="s">
        <v>2382</v>
      </c>
      <c r="K399" s="10" t="s">
        <v>2383</v>
      </c>
      <c r="L399" s="8" t="s">
        <v>58</v>
      </c>
      <c r="M399" s="8" t="s">
        <v>35</v>
      </c>
      <c r="N399" s="11">
        <v>44834.0</v>
      </c>
      <c r="O399" s="11">
        <v>44866.0</v>
      </c>
      <c r="P399" s="11">
        <v>44908.0</v>
      </c>
      <c r="Q399" s="11">
        <v>44876.0</v>
      </c>
      <c r="R399" s="11">
        <v>44910.0</v>
      </c>
      <c r="S399" s="12"/>
      <c r="T399" s="8"/>
      <c r="U399" s="8" t="s">
        <v>59</v>
      </c>
      <c r="V399" s="13" t="s">
        <v>537</v>
      </c>
      <c r="W399" s="13" t="s">
        <v>2384</v>
      </c>
      <c r="X399" s="12"/>
      <c r="Y399" s="14"/>
      <c r="Z399" s="14"/>
    </row>
    <row r="400">
      <c r="A400" s="8" t="s">
        <v>2385</v>
      </c>
      <c r="B400" s="8" t="s">
        <v>2386</v>
      </c>
      <c r="C400" s="8" t="s">
        <v>64</v>
      </c>
      <c r="D400" s="8" t="s">
        <v>26</v>
      </c>
      <c r="E400" s="8" t="s">
        <v>2387</v>
      </c>
      <c r="F400" s="8">
        <v>6.73701656E8</v>
      </c>
      <c r="G400" s="8" t="s">
        <v>254</v>
      </c>
      <c r="H400" s="8" t="s">
        <v>291</v>
      </c>
      <c r="I400" s="8" t="s">
        <v>31</v>
      </c>
      <c r="J400" s="8" t="s">
        <v>77</v>
      </c>
      <c r="K400" s="10" t="s">
        <v>1972</v>
      </c>
      <c r="L400" s="8" t="s">
        <v>47</v>
      </c>
      <c r="M400" s="8" t="s">
        <v>70</v>
      </c>
      <c r="N400" s="11">
        <v>44835.0</v>
      </c>
      <c r="O400" s="11">
        <v>44849.0</v>
      </c>
      <c r="P400" s="11">
        <v>45107.0</v>
      </c>
      <c r="Q400" s="11">
        <v>44858.0</v>
      </c>
      <c r="R400" s="11">
        <v>45107.0</v>
      </c>
      <c r="S400" s="12"/>
      <c r="T400" s="8"/>
      <c r="U400" s="8" t="s">
        <v>1973</v>
      </c>
      <c r="V400" s="13" t="s">
        <v>295</v>
      </c>
      <c r="W400" s="13" t="s">
        <v>2388</v>
      </c>
      <c r="X400" s="12"/>
      <c r="Y400" s="14"/>
      <c r="Z400" s="14"/>
    </row>
    <row r="401">
      <c r="A401" s="8" t="s">
        <v>2389</v>
      </c>
      <c r="B401" s="8" t="s">
        <v>2390</v>
      </c>
      <c r="C401" s="8" t="s">
        <v>25</v>
      </c>
      <c r="D401" s="8" t="s">
        <v>26</v>
      </c>
      <c r="E401" s="8" t="s">
        <v>2391</v>
      </c>
      <c r="F401" s="8">
        <v>9.4069283E7</v>
      </c>
      <c r="G401" s="8" t="s">
        <v>54</v>
      </c>
      <c r="H401" s="8" t="s">
        <v>377</v>
      </c>
      <c r="I401" s="8" t="s">
        <v>31</v>
      </c>
      <c r="J401" s="8" t="s">
        <v>542</v>
      </c>
      <c r="K401" s="10" t="s">
        <v>2392</v>
      </c>
      <c r="L401" s="8" t="s">
        <v>47</v>
      </c>
      <c r="M401" s="8" t="s">
        <v>70</v>
      </c>
      <c r="N401" s="11">
        <v>44835.0</v>
      </c>
      <c r="O401" s="11">
        <v>44851.0</v>
      </c>
      <c r="P401" s="11">
        <v>45212.0</v>
      </c>
      <c r="Q401" s="11">
        <v>44893.0</v>
      </c>
      <c r="R401" s="11">
        <v>45254.0</v>
      </c>
      <c r="S401" s="12"/>
      <c r="T401" s="8"/>
      <c r="U401" s="8" t="s">
        <v>2393</v>
      </c>
      <c r="V401" s="13" t="s">
        <v>1604</v>
      </c>
      <c r="W401" s="13" t="s">
        <v>2394</v>
      </c>
      <c r="X401" s="12"/>
      <c r="Y401" s="14"/>
      <c r="Z401" s="14"/>
    </row>
    <row r="402">
      <c r="A402" s="8" t="s">
        <v>2395</v>
      </c>
      <c r="B402" s="8" t="s">
        <v>2396</v>
      </c>
      <c r="C402" s="8" t="s">
        <v>25</v>
      </c>
      <c r="D402" s="8" t="s">
        <v>26</v>
      </c>
      <c r="E402" s="8" t="s">
        <v>2397</v>
      </c>
      <c r="F402" s="8">
        <v>7.754509E8</v>
      </c>
      <c r="G402" s="8" t="s">
        <v>254</v>
      </c>
      <c r="H402" s="8" t="s">
        <v>1007</v>
      </c>
      <c r="I402" s="8" t="s">
        <v>31</v>
      </c>
      <c r="J402" s="8" t="s">
        <v>32</v>
      </c>
      <c r="K402" s="10" t="s">
        <v>2398</v>
      </c>
      <c r="L402" s="8" t="s">
        <v>47</v>
      </c>
      <c r="M402" s="8" t="s">
        <v>70</v>
      </c>
      <c r="N402" s="11">
        <v>44835.0</v>
      </c>
      <c r="O402" s="11">
        <v>44851.0</v>
      </c>
      <c r="P402" s="11">
        <v>45107.0</v>
      </c>
      <c r="Q402" s="11">
        <v>44894.0</v>
      </c>
      <c r="R402" s="11">
        <v>45150.0</v>
      </c>
      <c r="S402" s="12"/>
      <c r="T402" s="8"/>
      <c r="U402" s="8" t="s">
        <v>2399</v>
      </c>
      <c r="V402" s="13" t="s">
        <v>1010</v>
      </c>
      <c r="W402" s="13" t="s">
        <v>2400</v>
      </c>
      <c r="X402" s="12"/>
      <c r="Y402" s="14"/>
      <c r="Z402" s="14"/>
    </row>
    <row r="403">
      <c r="A403" s="8" t="s">
        <v>2401</v>
      </c>
      <c r="B403" s="8" t="s">
        <v>2402</v>
      </c>
      <c r="C403" s="8" t="s">
        <v>708</v>
      </c>
      <c r="D403" s="8" t="s">
        <v>26</v>
      </c>
      <c r="E403" s="8" t="s">
        <v>2403</v>
      </c>
      <c r="F403" s="8">
        <v>5.57783068E8</v>
      </c>
      <c r="G403" s="8" t="s">
        <v>254</v>
      </c>
      <c r="H403" s="8" t="s">
        <v>291</v>
      </c>
      <c r="I403" s="8" t="s">
        <v>31</v>
      </c>
      <c r="J403" s="8" t="s">
        <v>86</v>
      </c>
      <c r="K403" s="10" t="s">
        <v>2404</v>
      </c>
      <c r="L403" s="8" t="s">
        <v>34</v>
      </c>
      <c r="M403" s="8" t="s">
        <v>70</v>
      </c>
      <c r="N403" s="11">
        <v>44837.0</v>
      </c>
      <c r="O403" s="11">
        <v>44865.0</v>
      </c>
      <c r="P403" s="11">
        <v>45401.0</v>
      </c>
      <c r="Q403" s="11">
        <v>44863.0</v>
      </c>
      <c r="R403" s="11">
        <v>45401.0</v>
      </c>
      <c r="S403" s="12"/>
      <c r="T403" s="8" t="s">
        <v>36</v>
      </c>
      <c r="U403" s="8" t="s">
        <v>2405</v>
      </c>
      <c r="V403" s="13" t="s">
        <v>295</v>
      </c>
      <c r="W403" s="13" t="s">
        <v>2406</v>
      </c>
      <c r="X403" s="12"/>
      <c r="Y403" s="14"/>
      <c r="Z403" s="14"/>
    </row>
    <row r="404">
      <c r="A404" s="8" t="s">
        <v>2407</v>
      </c>
      <c r="B404" s="8" t="s">
        <v>2408</v>
      </c>
      <c r="C404" s="8" t="s">
        <v>25</v>
      </c>
      <c r="D404" s="8" t="s">
        <v>26</v>
      </c>
      <c r="E404" s="8" t="s">
        <v>2409</v>
      </c>
      <c r="F404" s="8">
        <v>6.57746722E8</v>
      </c>
      <c r="G404" s="8" t="s">
        <v>254</v>
      </c>
      <c r="H404" s="8" t="s">
        <v>1484</v>
      </c>
      <c r="I404" s="8" t="s">
        <v>31</v>
      </c>
      <c r="J404" s="8" t="s">
        <v>77</v>
      </c>
      <c r="K404" s="10" t="s">
        <v>2410</v>
      </c>
      <c r="L404" s="8" t="s">
        <v>47</v>
      </c>
      <c r="M404" s="8" t="s">
        <v>70</v>
      </c>
      <c r="N404" s="11">
        <v>44837.0</v>
      </c>
      <c r="O404" s="11">
        <v>44851.0</v>
      </c>
      <c r="P404" s="11">
        <v>45107.0</v>
      </c>
      <c r="Q404" s="11">
        <v>44872.0</v>
      </c>
      <c r="R404" s="11">
        <v>45107.0</v>
      </c>
      <c r="S404" s="12"/>
      <c r="T404" s="8"/>
      <c r="U404" s="8" t="s">
        <v>2411</v>
      </c>
      <c r="V404" s="13" t="s">
        <v>1487</v>
      </c>
      <c r="W404" s="13" t="s">
        <v>2412</v>
      </c>
      <c r="X404" s="12"/>
      <c r="Y404" s="14"/>
      <c r="Z404" s="14"/>
    </row>
    <row r="405">
      <c r="A405" s="8" t="s">
        <v>2413</v>
      </c>
      <c r="B405" s="8" t="s">
        <v>2414</v>
      </c>
      <c r="C405" s="8" t="s">
        <v>25</v>
      </c>
      <c r="D405" s="8" t="s">
        <v>26</v>
      </c>
      <c r="E405" s="8" t="s">
        <v>2415</v>
      </c>
      <c r="F405" s="8">
        <v>7.65822431E8</v>
      </c>
      <c r="G405" s="8" t="s">
        <v>399</v>
      </c>
      <c r="H405" s="8" t="s">
        <v>2416</v>
      </c>
      <c r="I405" s="8" t="s">
        <v>31</v>
      </c>
      <c r="J405" s="8" t="s">
        <v>77</v>
      </c>
      <c r="K405" s="10" t="s">
        <v>2417</v>
      </c>
      <c r="L405" s="8" t="s">
        <v>58</v>
      </c>
      <c r="M405" s="8" t="s">
        <v>35</v>
      </c>
      <c r="N405" s="11">
        <v>44837.0</v>
      </c>
      <c r="O405" s="11">
        <v>44837.0</v>
      </c>
      <c r="P405" s="11">
        <v>44879.0</v>
      </c>
      <c r="Q405" s="11">
        <v>44847.0</v>
      </c>
      <c r="R405" s="11">
        <v>44884.0</v>
      </c>
      <c r="S405" s="12"/>
      <c r="T405" s="8"/>
      <c r="U405" s="8" t="s">
        <v>59</v>
      </c>
      <c r="V405" s="13" t="s">
        <v>2418</v>
      </c>
      <c r="W405" s="13" t="s">
        <v>2419</v>
      </c>
      <c r="X405" s="12"/>
      <c r="Y405" s="14"/>
      <c r="Z405" s="14"/>
    </row>
    <row r="406">
      <c r="A406" s="8" t="s">
        <v>2420</v>
      </c>
      <c r="B406" s="8" t="s">
        <v>2421</v>
      </c>
      <c r="C406" s="8" t="s">
        <v>179</v>
      </c>
      <c r="D406" s="8" t="s">
        <v>26</v>
      </c>
      <c r="E406" s="8" t="s">
        <v>2422</v>
      </c>
      <c r="F406" s="8">
        <v>7.97431792E8</v>
      </c>
      <c r="G406" s="8" t="s">
        <v>1074</v>
      </c>
      <c r="H406" s="8" t="s">
        <v>1075</v>
      </c>
      <c r="I406" s="8" t="s">
        <v>31</v>
      </c>
      <c r="J406" s="8" t="s">
        <v>56</v>
      </c>
      <c r="K406" s="10" t="s">
        <v>2423</v>
      </c>
      <c r="L406" s="8" t="s">
        <v>34</v>
      </c>
      <c r="M406" s="8" t="s">
        <v>48</v>
      </c>
      <c r="N406" s="11">
        <v>44837.0</v>
      </c>
      <c r="O406" s="11">
        <v>44845.0</v>
      </c>
      <c r="P406" s="11">
        <v>44957.0</v>
      </c>
      <c r="Q406" s="11"/>
      <c r="R406" s="11"/>
      <c r="S406" s="12"/>
      <c r="T406" s="8" t="s">
        <v>36</v>
      </c>
      <c r="U406" s="8" t="s">
        <v>2424</v>
      </c>
      <c r="V406" s="13" t="s">
        <v>1354</v>
      </c>
      <c r="W406" s="13" t="s">
        <v>2425</v>
      </c>
      <c r="X406" s="12"/>
      <c r="Y406" s="14"/>
      <c r="Z406" s="14"/>
    </row>
    <row r="407">
      <c r="A407" s="8" t="s">
        <v>2426</v>
      </c>
      <c r="B407" s="8" t="s">
        <v>2427</v>
      </c>
      <c r="C407" s="8" t="s">
        <v>708</v>
      </c>
      <c r="D407" s="8" t="s">
        <v>26</v>
      </c>
      <c r="E407" s="8" t="s">
        <v>2428</v>
      </c>
      <c r="F407" s="8">
        <v>5.3806227E7</v>
      </c>
      <c r="G407" s="8" t="s">
        <v>54</v>
      </c>
      <c r="H407" s="8" t="s">
        <v>135</v>
      </c>
      <c r="I407" s="8" t="s">
        <v>31</v>
      </c>
      <c r="J407" s="8" t="s">
        <v>542</v>
      </c>
      <c r="K407" s="10" t="s">
        <v>1008</v>
      </c>
      <c r="L407" s="8" t="s">
        <v>47</v>
      </c>
      <c r="M407" s="8" t="s">
        <v>70</v>
      </c>
      <c r="N407" s="11">
        <v>44838.0</v>
      </c>
      <c r="O407" s="11">
        <v>44879.0</v>
      </c>
      <c r="P407" s="11">
        <v>45408.0</v>
      </c>
      <c r="Q407" s="11">
        <v>44861.0</v>
      </c>
      <c r="R407" s="11">
        <v>45387.0</v>
      </c>
      <c r="S407" s="12"/>
      <c r="T407" s="8"/>
      <c r="U407" s="8" t="s">
        <v>1009</v>
      </c>
      <c r="V407" s="13" t="s">
        <v>358</v>
      </c>
      <c r="W407" s="13" t="s">
        <v>2429</v>
      </c>
      <c r="X407" s="12"/>
      <c r="Y407" s="14"/>
      <c r="Z407" s="14"/>
    </row>
    <row r="408">
      <c r="A408" s="8" t="s">
        <v>2430</v>
      </c>
      <c r="B408" s="8" t="s">
        <v>2431</v>
      </c>
      <c r="C408" s="8" t="s">
        <v>64</v>
      </c>
      <c r="D408" s="8" t="s">
        <v>26</v>
      </c>
      <c r="E408" s="8" t="s">
        <v>2432</v>
      </c>
      <c r="F408" s="8">
        <v>5.40491376E8</v>
      </c>
      <c r="G408" s="8" t="s">
        <v>254</v>
      </c>
      <c r="H408" s="8" t="s">
        <v>1007</v>
      </c>
      <c r="I408" s="8" t="s">
        <v>31</v>
      </c>
      <c r="J408" s="8" t="s">
        <v>220</v>
      </c>
      <c r="K408" s="10" t="s">
        <v>2433</v>
      </c>
      <c r="L408" s="8" t="s">
        <v>34</v>
      </c>
      <c r="M408" s="8" t="s">
        <v>70</v>
      </c>
      <c r="N408" s="11">
        <v>44838.0</v>
      </c>
      <c r="O408" s="11">
        <v>44865.0</v>
      </c>
      <c r="P408" s="11">
        <v>45230.0</v>
      </c>
      <c r="Q408" s="11">
        <v>44865.0</v>
      </c>
      <c r="R408" s="11">
        <v>45230.0</v>
      </c>
      <c r="S408" s="12"/>
      <c r="T408" s="8" t="s">
        <v>205</v>
      </c>
      <c r="U408" s="8" t="s">
        <v>2434</v>
      </c>
      <c r="V408" s="13" t="s">
        <v>1249</v>
      </c>
      <c r="W408" s="13" t="s">
        <v>2435</v>
      </c>
      <c r="X408" s="12"/>
      <c r="Y408" s="14"/>
      <c r="Z408" s="14"/>
    </row>
    <row r="409">
      <c r="A409" s="8" t="s">
        <v>2436</v>
      </c>
      <c r="B409" s="8" t="s">
        <v>2437</v>
      </c>
      <c r="C409" s="8" t="s">
        <v>64</v>
      </c>
      <c r="D409" s="8" t="s">
        <v>26</v>
      </c>
      <c r="E409" s="8" t="s">
        <v>2438</v>
      </c>
      <c r="F409" s="8">
        <v>4.6999243701E10</v>
      </c>
      <c r="G409" s="8" t="s">
        <v>109</v>
      </c>
      <c r="H409" s="8" t="s">
        <v>875</v>
      </c>
      <c r="I409" s="8" t="s">
        <v>31</v>
      </c>
      <c r="J409" s="8" t="s">
        <v>220</v>
      </c>
      <c r="K409" s="10" t="s">
        <v>2193</v>
      </c>
      <c r="L409" s="8" t="s">
        <v>58</v>
      </c>
      <c r="M409" s="8" t="s">
        <v>35</v>
      </c>
      <c r="N409" s="11">
        <v>44838.0</v>
      </c>
      <c r="O409" s="11">
        <v>45243.0</v>
      </c>
      <c r="P409" s="11">
        <v>45285.0</v>
      </c>
      <c r="Q409" s="11">
        <v>45244.0</v>
      </c>
      <c r="R409" s="11">
        <v>45285.0</v>
      </c>
      <c r="S409" s="12"/>
      <c r="T409" s="8"/>
      <c r="U409" s="8" t="s">
        <v>59</v>
      </c>
      <c r="V409" s="13" t="s">
        <v>876</v>
      </c>
      <c r="W409" s="13" t="s">
        <v>2439</v>
      </c>
      <c r="X409" s="12"/>
      <c r="Y409" s="14"/>
      <c r="Z409" s="14"/>
    </row>
    <row r="410">
      <c r="A410" s="8" t="s">
        <v>2440</v>
      </c>
      <c r="B410" s="8" t="s">
        <v>2441</v>
      </c>
      <c r="C410" s="8" t="s">
        <v>179</v>
      </c>
      <c r="D410" s="8" t="s">
        <v>26</v>
      </c>
      <c r="E410" s="8" t="s">
        <v>2442</v>
      </c>
      <c r="F410" s="8"/>
      <c r="G410" s="8" t="s">
        <v>109</v>
      </c>
      <c r="H410" s="8" t="s">
        <v>954</v>
      </c>
      <c r="I410" s="8" t="s">
        <v>31</v>
      </c>
      <c r="J410" s="8" t="s">
        <v>32</v>
      </c>
      <c r="K410" s="10" t="s">
        <v>1813</v>
      </c>
      <c r="L410" s="8" t="s">
        <v>58</v>
      </c>
      <c r="M410" s="8" t="s">
        <v>35</v>
      </c>
      <c r="N410" s="11">
        <v>44838.0</v>
      </c>
      <c r="O410" s="11">
        <v>45081.0</v>
      </c>
      <c r="P410" s="11">
        <v>45123.0</v>
      </c>
      <c r="Q410" s="11"/>
      <c r="R410" s="11"/>
      <c r="S410" s="12"/>
      <c r="T410" s="8"/>
      <c r="U410" s="8" t="s">
        <v>161</v>
      </c>
      <c r="V410" s="13" t="s">
        <v>38</v>
      </c>
      <c r="W410" s="13" t="s">
        <v>2443</v>
      </c>
      <c r="X410" s="12"/>
      <c r="Y410" s="14"/>
      <c r="Z410" s="14"/>
    </row>
    <row r="411">
      <c r="A411" s="8" t="s">
        <v>2444</v>
      </c>
      <c r="B411" s="8" t="s">
        <v>2445</v>
      </c>
      <c r="C411" s="8" t="s">
        <v>25</v>
      </c>
      <c r="D411" s="8" t="s">
        <v>26</v>
      </c>
      <c r="E411" s="8" t="s">
        <v>2446</v>
      </c>
      <c r="F411" s="9" t="s">
        <v>2447</v>
      </c>
      <c r="G411" s="8" t="s">
        <v>29</v>
      </c>
      <c r="H411" s="8" t="s">
        <v>2448</v>
      </c>
      <c r="I411" s="8" t="s">
        <v>31</v>
      </c>
      <c r="J411" s="8" t="s">
        <v>77</v>
      </c>
      <c r="K411" s="10" t="s">
        <v>78</v>
      </c>
      <c r="L411" s="8" t="s">
        <v>58</v>
      </c>
      <c r="M411" s="8" t="s">
        <v>35</v>
      </c>
      <c r="N411" s="11">
        <v>44838.0</v>
      </c>
      <c r="O411" s="11">
        <v>44844.0</v>
      </c>
      <c r="P411" s="11">
        <v>44886.0</v>
      </c>
      <c r="Q411" s="11">
        <v>44847.0</v>
      </c>
      <c r="R411" s="11">
        <v>44884.0</v>
      </c>
      <c r="S411" s="12"/>
      <c r="T411" s="8"/>
      <c r="U411" s="8" t="s">
        <v>59</v>
      </c>
      <c r="V411" s="13" t="s">
        <v>38</v>
      </c>
      <c r="W411" s="13" t="s">
        <v>2449</v>
      </c>
      <c r="X411" s="12"/>
      <c r="Y411" s="14"/>
      <c r="Z411" s="14"/>
    </row>
    <row r="412">
      <c r="A412" s="8" t="s">
        <v>2450</v>
      </c>
      <c r="B412" s="8" t="s">
        <v>2451</v>
      </c>
      <c r="C412" s="8" t="s">
        <v>64</v>
      </c>
      <c r="D412" s="8" t="s">
        <v>26</v>
      </c>
      <c r="E412" s="8" t="s">
        <v>2452</v>
      </c>
      <c r="F412" s="8">
        <v>6.08315553E8</v>
      </c>
      <c r="G412" s="8" t="s">
        <v>1400</v>
      </c>
      <c r="H412" s="8" t="s">
        <v>1728</v>
      </c>
      <c r="I412" s="8" t="s">
        <v>31</v>
      </c>
      <c r="J412" s="8" t="s">
        <v>86</v>
      </c>
      <c r="K412" s="10" t="s">
        <v>2453</v>
      </c>
      <c r="L412" s="8" t="s">
        <v>58</v>
      </c>
      <c r="M412" s="8" t="s">
        <v>35</v>
      </c>
      <c r="N412" s="11">
        <v>44839.0</v>
      </c>
      <c r="O412" s="11">
        <v>44879.0</v>
      </c>
      <c r="P412" s="11">
        <v>44921.0</v>
      </c>
      <c r="Q412" s="11">
        <v>44877.0</v>
      </c>
      <c r="R412" s="11">
        <v>44920.0</v>
      </c>
      <c r="S412" s="12"/>
      <c r="T412" s="8"/>
      <c r="U412" s="8" t="s">
        <v>59</v>
      </c>
      <c r="V412" s="13" t="s">
        <v>38</v>
      </c>
      <c r="W412" s="13" t="s">
        <v>2454</v>
      </c>
      <c r="X412" s="12"/>
      <c r="Y412" s="14"/>
      <c r="Z412" s="14"/>
    </row>
    <row r="413">
      <c r="A413" s="8" t="s">
        <v>2455</v>
      </c>
      <c r="B413" s="8" t="s">
        <v>2456</v>
      </c>
      <c r="C413" s="8" t="s">
        <v>251</v>
      </c>
      <c r="D413" s="8" t="s">
        <v>26</v>
      </c>
      <c r="E413" s="8" t="s">
        <v>2457</v>
      </c>
      <c r="F413" s="8">
        <v>5.31481227E9</v>
      </c>
      <c r="G413" s="8" t="s">
        <v>54</v>
      </c>
      <c r="H413" s="8" t="s">
        <v>377</v>
      </c>
      <c r="I413" s="8" t="s">
        <v>31</v>
      </c>
      <c r="J413" s="8" t="s">
        <v>32</v>
      </c>
      <c r="K413" s="10" t="s">
        <v>2458</v>
      </c>
      <c r="L413" s="8" t="s">
        <v>34</v>
      </c>
      <c r="M413" s="8" t="s">
        <v>70</v>
      </c>
      <c r="N413" s="11">
        <v>44839.0</v>
      </c>
      <c r="O413" s="11">
        <v>44866.0</v>
      </c>
      <c r="P413" s="11">
        <v>45231.0</v>
      </c>
      <c r="Q413" s="11"/>
      <c r="R413" s="11"/>
      <c r="S413" s="12"/>
      <c r="T413" s="8" t="s">
        <v>205</v>
      </c>
      <c r="U413" s="8" t="s">
        <v>2459</v>
      </c>
      <c r="V413" s="13" t="s">
        <v>2460</v>
      </c>
      <c r="W413" s="13" t="s">
        <v>2461</v>
      </c>
      <c r="X413" s="12"/>
      <c r="Y413" s="14"/>
      <c r="Z413" s="14"/>
    </row>
    <row r="414">
      <c r="A414" s="8" t="s">
        <v>2462</v>
      </c>
      <c r="B414" s="8" t="s">
        <v>2463</v>
      </c>
      <c r="C414" s="8" t="s">
        <v>25</v>
      </c>
      <c r="D414" s="8" t="s">
        <v>26</v>
      </c>
      <c r="E414" s="8" t="s">
        <v>2464</v>
      </c>
      <c r="F414" s="8"/>
      <c r="G414" s="8" t="s">
        <v>84</v>
      </c>
      <c r="H414" s="8" t="s">
        <v>1127</v>
      </c>
      <c r="I414" s="8" t="s">
        <v>31</v>
      </c>
      <c r="J414" s="8" t="s">
        <v>56</v>
      </c>
      <c r="K414" s="10" t="s">
        <v>2465</v>
      </c>
      <c r="L414" s="8" t="s">
        <v>47</v>
      </c>
      <c r="M414" s="8" t="s">
        <v>70</v>
      </c>
      <c r="N414" s="11">
        <v>44839.0</v>
      </c>
      <c r="O414" s="11">
        <v>44866.0</v>
      </c>
      <c r="P414" s="11">
        <v>45108.0</v>
      </c>
      <c r="Q414" s="11">
        <v>44865.0</v>
      </c>
      <c r="R414" s="11">
        <v>45078.0</v>
      </c>
      <c r="S414" s="12"/>
      <c r="T414" s="8"/>
      <c r="U414" s="8" t="s">
        <v>1295</v>
      </c>
      <c r="V414" s="13" t="s">
        <v>38</v>
      </c>
      <c r="W414" s="13" t="s">
        <v>2466</v>
      </c>
      <c r="X414" s="12"/>
      <c r="Y414" s="14"/>
      <c r="Z414" s="14"/>
    </row>
    <row r="415">
      <c r="A415" s="8" t="s">
        <v>2467</v>
      </c>
      <c r="B415" s="8" t="s">
        <v>2468</v>
      </c>
      <c r="C415" s="8" t="s">
        <v>64</v>
      </c>
      <c r="D415" s="8" t="s">
        <v>26</v>
      </c>
      <c r="E415" s="8" t="s">
        <v>2469</v>
      </c>
      <c r="F415" s="8">
        <v>9.405983787E9</v>
      </c>
      <c r="G415" s="8" t="s">
        <v>44</v>
      </c>
      <c r="H415" s="8" t="s">
        <v>2054</v>
      </c>
      <c r="I415" s="8" t="s">
        <v>31</v>
      </c>
      <c r="J415" s="8" t="s">
        <v>32</v>
      </c>
      <c r="K415" s="10" t="s">
        <v>2470</v>
      </c>
      <c r="L415" s="8" t="s">
        <v>58</v>
      </c>
      <c r="M415" s="8" t="s">
        <v>35</v>
      </c>
      <c r="N415" s="11">
        <v>44839.0</v>
      </c>
      <c r="O415" s="11">
        <v>44857.0</v>
      </c>
      <c r="P415" s="11">
        <v>44899.0</v>
      </c>
      <c r="Q415" s="11">
        <v>44868.0</v>
      </c>
      <c r="R415" s="11">
        <v>44908.0</v>
      </c>
      <c r="S415" s="12"/>
      <c r="T415" s="8"/>
      <c r="U415" s="8" t="s">
        <v>59</v>
      </c>
      <c r="V415" s="13" t="s">
        <v>2471</v>
      </c>
      <c r="W415" s="13" t="s">
        <v>2472</v>
      </c>
      <c r="X415" s="12"/>
      <c r="Y415" s="14"/>
      <c r="Z415" s="14"/>
    </row>
    <row r="416">
      <c r="A416" s="8" t="s">
        <v>2473</v>
      </c>
      <c r="B416" s="8" t="s">
        <v>2474</v>
      </c>
      <c r="C416" s="8" t="s">
        <v>179</v>
      </c>
      <c r="D416" s="8" t="s">
        <v>26</v>
      </c>
      <c r="E416" s="8" t="s">
        <v>2475</v>
      </c>
      <c r="F416" s="8">
        <v>7.90946665E8</v>
      </c>
      <c r="G416" s="8" t="s">
        <v>254</v>
      </c>
      <c r="H416" s="8" t="s">
        <v>1484</v>
      </c>
      <c r="I416" s="8" t="s">
        <v>31</v>
      </c>
      <c r="J416" s="8" t="s">
        <v>77</v>
      </c>
      <c r="K416" s="10" t="s">
        <v>2476</v>
      </c>
      <c r="L416" s="8" t="s">
        <v>47</v>
      </c>
      <c r="M416" s="8" t="s">
        <v>70</v>
      </c>
      <c r="N416" s="11">
        <v>44840.0</v>
      </c>
      <c r="O416" s="11">
        <v>44854.0</v>
      </c>
      <c r="P416" s="11">
        <v>45107.0</v>
      </c>
      <c r="Q416" s="11"/>
      <c r="R416" s="11"/>
      <c r="S416" s="12"/>
      <c r="T416" s="8"/>
      <c r="U416" s="8" t="s">
        <v>2477</v>
      </c>
      <c r="V416" s="13" t="s">
        <v>258</v>
      </c>
      <c r="W416" s="13" t="s">
        <v>2478</v>
      </c>
      <c r="X416" s="12"/>
      <c r="Y416" s="14"/>
      <c r="Z416" s="14"/>
    </row>
    <row r="417">
      <c r="A417" s="8" t="s">
        <v>2479</v>
      </c>
      <c r="B417" s="8" t="s">
        <v>2480</v>
      </c>
      <c r="C417" s="8" t="s">
        <v>179</v>
      </c>
      <c r="D417" s="8" t="s">
        <v>26</v>
      </c>
      <c r="E417" s="8" t="s">
        <v>2481</v>
      </c>
      <c r="F417" s="8"/>
      <c r="G417" s="8" t="s">
        <v>109</v>
      </c>
      <c r="H417" s="8" t="s">
        <v>875</v>
      </c>
      <c r="I417" s="8" t="s">
        <v>31</v>
      </c>
      <c r="J417" s="8" t="s">
        <v>136</v>
      </c>
      <c r="K417" s="10" t="s">
        <v>2354</v>
      </c>
      <c r="L417" s="8" t="s">
        <v>58</v>
      </c>
      <c r="M417" s="8" t="s">
        <v>35</v>
      </c>
      <c r="N417" s="11">
        <v>44840.0</v>
      </c>
      <c r="O417" s="11">
        <v>45299.0</v>
      </c>
      <c r="P417" s="11">
        <v>45341.0</v>
      </c>
      <c r="Q417" s="11"/>
      <c r="R417" s="11"/>
      <c r="S417" s="12"/>
      <c r="T417" s="8"/>
      <c r="U417" s="8" t="s">
        <v>59</v>
      </c>
      <c r="V417" s="13" t="s">
        <v>38</v>
      </c>
      <c r="W417" s="13" t="s">
        <v>2482</v>
      </c>
      <c r="X417" s="12"/>
      <c r="Y417" s="14"/>
      <c r="Z417" s="14"/>
    </row>
    <row r="418">
      <c r="A418" s="8" t="s">
        <v>2483</v>
      </c>
      <c r="B418" s="8" t="s">
        <v>2484</v>
      </c>
      <c r="C418" s="8" t="s">
        <v>251</v>
      </c>
      <c r="D418" s="8" t="s">
        <v>26</v>
      </c>
      <c r="E418" s="8" t="s">
        <v>2485</v>
      </c>
      <c r="F418" s="8">
        <v>5.548343892E9</v>
      </c>
      <c r="G418" s="8" t="s">
        <v>31</v>
      </c>
      <c r="H418" s="8" t="s">
        <v>32</v>
      </c>
      <c r="I418" s="8" t="s">
        <v>284</v>
      </c>
      <c r="J418" s="8" t="s">
        <v>793</v>
      </c>
      <c r="K418" s="10" t="s">
        <v>2486</v>
      </c>
      <c r="L418" s="8" t="s">
        <v>58</v>
      </c>
      <c r="M418" s="8" t="s">
        <v>35</v>
      </c>
      <c r="N418" s="11">
        <v>44840.0</v>
      </c>
      <c r="O418" s="11">
        <v>44927.0</v>
      </c>
      <c r="P418" s="11">
        <v>44969.0</v>
      </c>
      <c r="Q418" s="11"/>
      <c r="R418" s="11"/>
      <c r="S418" s="12"/>
      <c r="T418" s="8"/>
      <c r="U418" s="8" t="s">
        <v>1038</v>
      </c>
      <c r="V418" s="13" t="s">
        <v>537</v>
      </c>
      <c r="W418" s="13" t="s">
        <v>2487</v>
      </c>
      <c r="X418" s="12"/>
      <c r="Y418" s="14"/>
      <c r="Z418" s="14"/>
    </row>
    <row r="419">
      <c r="A419" s="8" t="s">
        <v>2488</v>
      </c>
      <c r="B419" s="8" t="s">
        <v>2489</v>
      </c>
      <c r="C419" s="8" t="s">
        <v>251</v>
      </c>
      <c r="D419" s="8" t="s">
        <v>26</v>
      </c>
      <c r="E419" s="8" t="s">
        <v>2490</v>
      </c>
      <c r="F419" s="8">
        <v>5.076134231E9</v>
      </c>
      <c r="G419" s="8" t="s">
        <v>31</v>
      </c>
      <c r="H419" s="8" t="s">
        <v>32</v>
      </c>
      <c r="I419" s="8" t="s">
        <v>284</v>
      </c>
      <c r="J419" s="8" t="s">
        <v>793</v>
      </c>
      <c r="K419" s="10" t="s">
        <v>2486</v>
      </c>
      <c r="L419" s="8" t="s">
        <v>58</v>
      </c>
      <c r="M419" s="8" t="s">
        <v>35</v>
      </c>
      <c r="N419" s="11">
        <v>44840.0</v>
      </c>
      <c r="O419" s="11">
        <v>44927.0</v>
      </c>
      <c r="P419" s="11">
        <v>44969.0</v>
      </c>
      <c r="Q419" s="11"/>
      <c r="R419" s="11"/>
      <c r="S419" s="12"/>
      <c r="T419" s="8"/>
      <c r="U419" s="8" t="s">
        <v>1038</v>
      </c>
      <c r="V419" s="13" t="s">
        <v>2491</v>
      </c>
      <c r="W419" s="13" t="s">
        <v>2492</v>
      </c>
      <c r="X419" s="12"/>
      <c r="Y419" s="14"/>
      <c r="Z419" s="14"/>
    </row>
    <row r="420">
      <c r="A420" s="8" t="s">
        <v>2493</v>
      </c>
      <c r="B420" s="8" t="s">
        <v>2494</v>
      </c>
      <c r="C420" s="8" t="s">
        <v>25</v>
      </c>
      <c r="D420" s="8" t="s">
        <v>26</v>
      </c>
      <c r="E420" s="8" t="s">
        <v>2495</v>
      </c>
      <c r="F420" s="8">
        <v>9.867984001E9</v>
      </c>
      <c r="G420" s="8" t="s">
        <v>44</v>
      </c>
      <c r="H420" s="8" t="s">
        <v>741</v>
      </c>
      <c r="I420" s="8" t="s">
        <v>31</v>
      </c>
      <c r="J420" s="8" t="s">
        <v>86</v>
      </c>
      <c r="K420" s="10" t="s">
        <v>578</v>
      </c>
      <c r="L420" s="8" t="s">
        <v>58</v>
      </c>
      <c r="M420" s="8" t="s">
        <v>35</v>
      </c>
      <c r="N420" s="11">
        <v>44841.0</v>
      </c>
      <c r="O420" s="11">
        <v>45054.0</v>
      </c>
      <c r="P420" s="11">
        <v>45096.0</v>
      </c>
      <c r="Q420" s="11">
        <v>45061.0</v>
      </c>
      <c r="R420" s="11">
        <v>45103.0</v>
      </c>
      <c r="S420" s="12"/>
      <c r="T420" s="8"/>
      <c r="U420" s="8" t="s">
        <v>59</v>
      </c>
      <c r="V420" s="13" t="s">
        <v>2496</v>
      </c>
      <c r="W420" s="13" t="s">
        <v>2497</v>
      </c>
      <c r="X420" s="12"/>
      <c r="Y420" s="14"/>
      <c r="Z420" s="14"/>
    </row>
    <row r="421">
      <c r="A421" s="8" t="s">
        <v>2498</v>
      </c>
      <c r="B421" s="8" t="s">
        <v>2499</v>
      </c>
      <c r="C421" s="8" t="s">
        <v>179</v>
      </c>
      <c r="D421" s="8" t="s">
        <v>26</v>
      </c>
      <c r="E421" s="8" t="s">
        <v>2500</v>
      </c>
      <c r="F421" s="8">
        <v>5.456020827E9</v>
      </c>
      <c r="G421" s="8" t="s">
        <v>31</v>
      </c>
      <c r="H421" s="8" t="s">
        <v>77</v>
      </c>
      <c r="I421" s="8" t="s">
        <v>44</v>
      </c>
      <c r="J421" s="8" t="s">
        <v>1993</v>
      </c>
      <c r="K421" s="10" t="s">
        <v>2501</v>
      </c>
      <c r="L421" s="8" t="s">
        <v>58</v>
      </c>
      <c r="M421" s="8" t="s">
        <v>35</v>
      </c>
      <c r="N421" s="11">
        <v>44841.0</v>
      </c>
      <c r="O421" s="11">
        <v>45108.0</v>
      </c>
      <c r="P421" s="11">
        <v>45150.0</v>
      </c>
      <c r="Q421" s="11"/>
      <c r="R421" s="11"/>
      <c r="S421" s="12"/>
      <c r="T421" s="8"/>
      <c r="U421" s="8" t="s">
        <v>1038</v>
      </c>
      <c r="V421" s="13" t="s">
        <v>292</v>
      </c>
      <c r="W421" s="13" t="s">
        <v>2502</v>
      </c>
      <c r="X421" s="12"/>
      <c r="Y421" s="14"/>
      <c r="Z421" s="14"/>
    </row>
    <row r="422">
      <c r="A422" s="8" t="s">
        <v>2503</v>
      </c>
      <c r="B422" s="8" t="s">
        <v>2504</v>
      </c>
      <c r="C422" s="8" t="s">
        <v>25</v>
      </c>
      <c r="D422" s="8" t="s">
        <v>26</v>
      </c>
      <c r="E422" s="8" t="s">
        <v>2505</v>
      </c>
      <c r="F422" s="8">
        <v>5.378761034E9</v>
      </c>
      <c r="G422" s="8" t="s">
        <v>31</v>
      </c>
      <c r="H422" s="8" t="s">
        <v>77</v>
      </c>
      <c r="I422" s="8" t="s">
        <v>118</v>
      </c>
      <c r="J422" s="8" t="s">
        <v>1162</v>
      </c>
      <c r="K422" s="10" t="s">
        <v>2506</v>
      </c>
      <c r="L422" s="8" t="s">
        <v>58</v>
      </c>
      <c r="M422" s="8" t="s">
        <v>35</v>
      </c>
      <c r="N422" s="11">
        <v>44841.0</v>
      </c>
      <c r="O422" s="11">
        <v>44935.0</v>
      </c>
      <c r="P422" s="11">
        <v>44977.0</v>
      </c>
      <c r="Q422" s="11">
        <v>44937.0</v>
      </c>
      <c r="R422" s="11">
        <v>44977.0</v>
      </c>
      <c r="S422" s="12"/>
      <c r="T422" s="8"/>
      <c r="U422" s="8" t="s">
        <v>130</v>
      </c>
      <c r="V422" s="13" t="s">
        <v>77</v>
      </c>
      <c r="W422" s="13" t="s">
        <v>2507</v>
      </c>
      <c r="X422" s="12"/>
      <c r="Y422" s="14"/>
      <c r="Z422" s="14"/>
    </row>
    <row r="423">
      <c r="A423" s="8" t="s">
        <v>2508</v>
      </c>
      <c r="B423" s="8" t="s">
        <v>2509</v>
      </c>
      <c r="C423" s="8" t="s">
        <v>25</v>
      </c>
      <c r="D423" s="8" t="s">
        <v>26</v>
      </c>
      <c r="E423" s="8" t="s">
        <v>2510</v>
      </c>
      <c r="F423" s="8">
        <v>5.437953091E9</v>
      </c>
      <c r="G423" s="8" t="s">
        <v>31</v>
      </c>
      <c r="H423" s="8" t="s">
        <v>111</v>
      </c>
      <c r="I423" s="8" t="s">
        <v>127</v>
      </c>
      <c r="J423" s="8" t="s">
        <v>128</v>
      </c>
      <c r="K423" s="10" t="s">
        <v>2511</v>
      </c>
      <c r="L423" s="8" t="s">
        <v>58</v>
      </c>
      <c r="M423" s="8" t="s">
        <v>35</v>
      </c>
      <c r="N423" s="11">
        <v>44841.0</v>
      </c>
      <c r="O423" s="11">
        <v>45096.0</v>
      </c>
      <c r="P423" s="11">
        <v>45138.0</v>
      </c>
      <c r="Q423" s="11">
        <v>45096.0</v>
      </c>
      <c r="R423" s="11">
        <v>45138.0</v>
      </c>
      <c r="S423" s="12"/>
      <c r="T423" s="8"/>
      <c r="U423" s="8" t="s">
        <v>161</v>
      </c>
      <c r="V423" s="13" t="s">
        <v>111</v>
      </c>
      <c r="W423" s="13" t="s">
        <v>2512</v>
      </c>
      <c r="X423" s="12"/>
      <c r="Y423" s="14"/>
      <c r="Z423" s="14"/>
    </row>
    <row r="424">
      <c r="A424" s="8" t="s">
        <v>2513</v>
      </c>
      <c r="B424" s="8" t="s">
        <v>2514</v>
      </c>
      <c r="C424" s="8" t="s">
        <v>708</v>
      </c>
      <c r="D424" s="8" t="s">
        <v>26</v>
      </c>
      <c r="E424" s="8" t="s">
        <v>2515</v>
      </c>
      <c r="F424" s="8">
        <v>5.4444517E7</v>
      </c>
      <c r="G424" s="8" t="s">
        <v>54</v>
      </c>
      <c r="H424" s="8" t="s">
        <v>76</v>
      </c>
      <c r="I424" s="8" t="s">
        <v>31</v>
      </c>
      <c r="J424" s="8" t="s">
        <v>542</v>
      </c>
      <c r="K424" s="10" t="s">
        <v>1685</v>
      </c>
      <c r="L424" s="8" t="s">
        <v>34</v>
      </c>
      <c r="M424" s="8" t="s">
        <v>70</v>
      </c>
      <c r="N424" s="11">
        <v>44841.0</v>
      </c>
      <c r="O424" s="11">
        <v>44872.0</v>
      </c>
      <c r="P424" s="11">
        <v>45237.0</v>
      </c>
      <c r="Q424" s="11">
        <v>45016.0</v>
      </c>
      <c r="R424" s="11">
        <v>45382.0</v>
      </c>
      <c r="S424" s="12"/>
      <c r="T424" s="8" t="s">
        <v>205</v>
      </c>
      <c r="U424" s="8" t="s">
        <v>1686</v>
      </c>
      <c r="V424" s="13" t="s">
        <v>38</v>
      </c>
      <c r="W424" s="13" t="s">
        <v>2516</v>
      </c>
      <c r="X424" s="12"/>
      <c r="Y424" s="14"/>
      <c r="Z424" s="14"/>
    </row>
    <row r="425">
      <c r="A425" s="8" t="s">
        <v>2517</v>
      </c>
      <c r="B425" s="8" t="s">
        <v>2518</v>
      </c>
      <c r="C425" s="8" t="s">
        <v>25</v>
      </c>
      <c r="D425" s="8" t="s">
        <v>26</v>
      </c>
      <c r="E425" s="8" t="s">
        <v>2519</v>
      </c>
      <c r="F425" s="8">
        <v>5.58930557E8</v>
      </c>
      <c r="G425" s="8" t="s">
        <v>254</v>
      </c>
      <c r="H425" s="8" t="s">
        <v>291</v>
      </c>
      <c r="I425" s="8" t="s">
        <v>31</v>
      </c>
      <c r="J425" s="8" t="s">
        <v>77</v>
      </c>
      <c r="K425" s="10" t="s">
        <v>2156</v>
      </c>
      <c r="L425" s="8" t="s">
        <v>47</v>
      </c>
      <c r="M425" s="8" t="s">
        <v>70</v>
      </c>
      <c r="N425" s="11">
        <v>44841.0</v>
      </c>
      <c r="O425" s="11">
        <v>44846.0</v>
      </c>
      <c r="P425" s="11">
        <v>45107.0</v>
      </c>
      <c r="Q425" s="11">
        <v>44896.0</v>
      </c>
      <c r="R425" s="11">
        <v>45157.0</v>
      </c>
      <c r="S425" s="12"/>
      <c r="T425" s="8"/>
      <c r="U425" s="8" t="s">
        <v>2157</v>
      </c>
      <c r="V425" s="13" t="s">
        <v>38</v>
      </c>
      <c r="W425" s="13" t="s">
        <v>2520</v>
      </c>
      <c r="X425" s="12"/>
      <c r="Y425" s="14"/>
      <c r="Z425" s="14"/>
    </row>
    <row r="426">
      <c r="A426" s="8" t="s">
        <v>2521</v>
      </c>
      <c r="B426" s="8" t="s">
        <v>2522</v>
      </c>
      <c r="C426" s="8" t="s">
        <v>708</v>
      </c>
      <c r="D426" s="8" t="s">
        <v>26</v>
      </c>
      <c r="E426" s="8" t="s">
        <v>2523</v>
      </c>
      <c r="F426" s="8">
        <v>5.39450035E8</v>
      </c>
      <c r="G426" s="8" t="s">
        <v>31</v>
      </c>
      <c r="H426" s="8" t="s">
        <v>43</v>
      </c>
      <c r="I426" s="8" t="s">
        <v>2524</v>
      </c>
      <c r="J426" s="8" t="s">
        <v>2525</v>
      </c>
      <c r="K426" s="10" t="s">
        <v>2526</v>
      </c>
      <c r="L426" s="8" t="s">
        <v>34</v>
      </c>
      <c r="M426" s="8" t="s">
        <v>70</v>
      </c>
      <c r="N426" s="11">
        <v>44841.0</v>
      </c>
      <c r="O426" s="11">
        <v>44835.0</v>
      </c>
      <c r="P426" s="11">
        <v>45200.0</v>
      </c>
      <c r="Q426" s="11">
        <v>44914.0</v>
      </c>
      <c r="R426" s="11">
        <v>45459.0</v>
      </c>
      <c r="S426" s="12"/>
      <c r="T426" s="8" t="s">
        <v>224</v>
      </c>
      <c r="U426" s="8" t="s">
        <v>2527</v>
      </c>
      <c r="V426" s="13" t="s">
        <v>175</v>
      </c>
      <c r="W426" s="13" t="s">
        <v>2528</v>
      </c>
      <c r="X426" s="12"/>
      <c r="Y426" s="14"/>
      <c r="Z426" s="14"/>
    </row>
    <row r="427">
      <c r="A427" s="8" t="s">
        <v>2529</v>
      </c>
      <c r="B427" s="8" t="s">
        <v>2530</v>
      </c>
      <c r="C427" s="8" t="s">
        <v>25</v>
      </c>
      <c r="D427" s="8" t="s">
        <v>26</v>
      </c>
      <c r="E427" s="8" t="s">
        <v>2531</v>
      </c>
      <c r="F427" s="8">
        <v>5.362913458E9</v>
      </c>
      <c r="G427" s="8" t="s">
        <v>31</v>
      </c>
      <c r="H427" s="8" t="s">
        <v>77</v>
      </c>
      <c r="I427" s="8" t="s">
        <v>44</v>
      </c>
      <c r="J427" s="8" t="s">
        <v>1993</v>
      </c>
      <c r="K427" s="10" t="s">
        <v>2532</v>
      </c>
      <c r="L427" s="8" t="s">
        <v>58</v>
      </c>
      <c r="M427" s="8" t="s">
        <v>35</v>
      </c>
      <c r="N427" s="11">
        <v>44842.0</v>
      </c>
      <c r="O427" s="11">
        <v>44960.0</v>
      </c>
      <c r="P427" s="11">
        <v>45002.0</v>
      </c>
      <c r="Q427" s="11">
        <v>44960.0</v>
      </c>
      <c r="R427" s="11">
        <v>45002.0</v>
      </c>
      <c r="S427" s="12"/>
      <c r="T427" s="8"/>
      <c r="U427" s="8" t="s">
        <v>371</v>
      </c>
      <c r="V427" s="13" t="s">
        <v>77</v>
      </c>
      <c r="W427" s="13" t="s">
        <v>2533</v>
      </c>
      <c r="X427" s="12"/>
      <c r="Y427" s="14"/>
      <c r="Z427" s="14"/>
    </row>
    <row r="428">
      <c r="A428" s="8" t="s">
        <v>2534</v>
      </c>
      <c r="B428" s="8" t="s">
        <v>2535</v>
      </c>
      <c r="C428" s="8" t="s">
        <v>25</v>
      </c>
      <c r="D428" s="8" t="s">
        <v>26</v>
      </c>
      <c r="E428" s="8" t="s">
        <v>2536</v>
      </c>
      <c r="F428" s="8"/>
      <c r="G428" s="8" t="s">
        <v>44</v>
      </c>
      <c r="H428" s="8" t="s">
        <v>2348</v>
      </c>
      <c r="I428" s="8" t="s">
        <v>31</v>
      </c>
      <c r="J428" s="8" t="s">
        <v>77</v>
      </c>
      <c r="K428" s="10" t="s">
        <v>2537</v>
      </c>
      <c r="L428" s="8" t="s">
        <v>58</v>
      </c>
      <c r="M428" s="8" t="s">
        <v>35</v>
      </c>
      <c r="N428" s="11">
        <v>44842.0</v>
      </c>
      <c r="O428" s="11">
        <v>44907.0</v>
      </c>
      <c r="P428" s="11">
        <v>44949.0</v>
      </c>
      <c r="Q428" s="11">
        <v>44918.0</v>
      </c>
      <c r="R428" s="11">
        <v>44960.0</v>
      </c>
      <c r="S428" s="12"/>
      <c r="T428" s="8"/>
      <c r="U428" s="8" t="s">
        <v>88</v>
      </c>
      <c r="V428" s="13" t="s">
        <v>38</v>
      </c>
      <c r="W428" s="13" t="s">
        <v>2538</v>
      </c>
      <c r="X428" s="12"/>
      <c r="Y428" s="14"/>
      <c r="Z428" s="14"/>
    </row>
    <row r="429">
      <c r="A429" s="8" t="s">
        <v>2539</v>
      </c>
      <c r="B429" s="8" t="s">
        <v>2540</v>
      </c>
      <c r="C429" s="8" t="s">
        <v>25</v>
      </c>
      <c r="D429" s="8" t="s">
        <v>26</v>
      </c>
      <c r="E429" s="8" t="s">
        <v>2541</v>
      </c>
      <c r="F429" s="8">
        <v>5.419042863E9</v>
      </c>
      <c r="G429" s="8" t="s">
        <v>31</v>
      </c>
      <c r="H429" s="8" t="s">
        <v>77</v>
      </c>
      <c r="I429" s="8" t="s">
        <v>127</v>
      </c>
      <c r="J429" s="8" t="s">
        <v>159</v>
      </c>
      <c r="K429" s="10" t="s">
        <v>2542</v>
      </c>
      <c r="L429" s="8" t="s">
        <v>58</v>
      </c>
      <c r="M429" s="8" t="s">
        <v>35</v>
      </c>
      <c r="N429" s="11">
        <v>44842.0</v>
      </c>
      <c r="O429" s="11">
        <v>44949.0</v>
      </c>
      <c r="P429" s="11">
        <v>44991.0</v>
      </c>
      <c r="Q429" s="11">
        <v>44954.0</v>
      </c>
      <c r="R429" s="11">
        <v>44994.0</v>
      </c>
      <c r="S429" s="12"/>
      <c r="T429" s="8"/>
      <c r="U429" s="8" t="s">
        <v>130</v>
      </c>
      <c r="V429" s="13" t="s">
        <v>77</v>
      </c>
      <c r="W429" s="13" t="s">
        <v>2543</v>
      </c>
      <c r="X429" s="12"/>
      <c r="Y429" s="14"/>
      <c r="Z429" s="14"/>
    </row>
    <row r="430">
      <c r="A430" s="8" t="s">
        <v>2544</v>
      </c>
      <c r="B430" s="8" t="s">
        <v>2545</v>
      </c>
      <c r="C430" s="8" t="s">
        <v>64</v>
      </c>
      <c r="D430" s="8" t="s">
        <v>26</v>
      </c>
      <c r="E430" s="8" t="s">
        <v>2546</v>
      </c>
      <c r="F430" s="8"/>
      <c r="G430" s="8" t="s">
        <v>284</v>
      </c>
      <c r="H430" s="8" t="s">
        <v>285</v>
      </c>
      <c r="I430" s="8" t="s">
        <v>31</v>
      </c>
      <c r="J430" s="8" t="s">
        <v>32</v>
      </c>
      <c r="K430" s="10" t="s">
        <v>238</v>
      </c>
      <c r="L430" s="8" t="s">
        <v>58</v>
      </c>
      <c r="M430" s="8" t="s">
        <v>35</v>
      </c>
      <c r="N430" s="11">
        <v>44842.0</v>
      </c>
      <c r="O430" s="11">
        <v>44990.0</v>
      </c>
      <c r="P430" s="11">
        <v>45032.0</v>
      </c>
      <c r="Q430" s="11">
        <v>44998.0</v>
      </c>
      <c r="R430" s="11">
        <v>45040.0</v>
      </c>
      <c r="S430" s="12"/>
      <c r="T430" s="8"/>
      <c r="U430" s="8" t="s">
        <v>59</v>
      </c>
      <c r="V430" s="13" t="s">
        <v>38</v>
      </c>
      <c r="W430" s="13" t="s">
        <v>2547</v>
      </c>
      <c r="X430" s="12"/>
      <c r="Y430" s="14"/>
      <c r="Z430" s="14"/>
    </row>
    <row r="431">
      <c r="A431" s="8" t="s">
        <v>2548</v>
      </c>
      <c r="B431" s="8" t="s">
        <v>2549</v>
      </c>
      <c r="C431" s="8" t="s">
        <v>25</v>
      </c>
      <c r="D431" s="8" t="s">
        <v>26</v>
      </c>
      <c r="E431" s="8" t="s">
        <v>2550</v>
      </c>
      <c r="F431" s="8">
        <v>3.442204898E9</v>
      </c>
      <c r="G431" s="8" t="s">
        <v>315</v>
      </c>
      <c r="H431" s="8" t="s">
        <v>1833</v>
      </c>
      <c r="I431" s="8" t="s">
        <v>31</v>
      </c>
      <c r="J431" s="8" t="s">
        <v>86</v>
      </c>
      <c r="K431" s="10" t="s">
        <v>578</v>
      </c>
      <c r="L431" s="8" t="s">
        <v>58</v>
      </c>
      <c r="M431" s="8" t="s">
        <v>35</v>
      </c>
      <c r="N431" s="11">
        <v>44843.0</v>
      </c>
      <c r="O431" s="11">
        <v>44922.0</v>
      </c>
      <c r="P431" s="11">
        <v>44964.0</v>
      </c>
      <c r="Q431" s="11">
        <v>44922.0</v>
      </c>
      <c r="R431" s="11">
        <v>44964.0</v>
      </c>
      <c r="S431" s="12"/>
      <c r="T431" s="8"/>
      <c r="U431" s="8" t="s">
        <v>59</v>
      </c>
      <c r="V431" s="13" t="s">
        <v>2314</v>
      </c>
      <c r="W431" s="13" t="s">
        <v>2551</v>
      </c>
      <c r="X431" s="12"/>
      <c r="Y431" s="14"/>
      <c r="Z431" s="14"/>
    </row>
    <row r="432">
      <c r="A432" s="8" t="s">
        <v>2552</v>
      </c>
      <c r="B432" s="8" t="s">
        <v>2553</v>
      </c>
      <c r="C432" s="8" t="s">
        <v>64</v>
      </c>
      <c r="D432" s="8" t="s">
        <v>26</v>
      </c>
      <c r="E432" s="8" t="s">
        <v>2554</v>
      </c>
      <c r="F432" s="8">
        <v>8.879289203E9</v>
      </c>
      <c r="G432" s="8" t="s">
        <v>44</v>
      </c>
      <c r="H432" s="8" t="s">
        <v>2204</v>
      </c>
      <c r="I432" s="8" t="s">
        <v>31</v>
      </c>
      <c r="J432" s="8" t="s">
        <v>77</v>
      </c>
      <c r="K432" s="10" t="s">
        <v>2555</v>
      </c>
      <c r="L432" s="8" t="s">
        <v>58</v>
      </c>
      <c r="M432" s="8" t="s">
        <v>35</v>
      </c>
      <c r="N432" s="11">
        <v>44844.0</v>
      </c>
      <c r="O432" s="11">
        <v>44893.0</v>
      </c>
      <c r="P432" s="11">
        <v>44935.0</v>
      </c>
      <c r="Q432" s="11">
        <v>44895.0</v>
      </c>
      <c r="R432" s="11">
        <v>44937.0</v>
      </c>
      <c r="S432" s="12"/>
      <c r="T432" s="8"/>
      <c r="U432" s="8" t="s">
        <v>371</v>
      </c>
      <c r="V432" s="13" t="s">
        <v>2556</v>
      </c>
      <c r="W432" s="13" t="s">
        <v>2557</v>
      </c>
      <c r="X432" s="12"/>
      <c r="Y432" s="14"/>
      <c r="Z432" s="14"/>
    </row>
    <row r="433">
      <c r="A433" s="8" t="s">
        <v>2558</v>
      </c>
      <c r="B433" s="8" t="s">
        <v>2559</v>
      </c>
      <c r="C433" s="8" t="s">
        <v>251</v>
      </c>
      <c r="D433" s="8" t="s">
        <v>26</v>
      </c>
      <c r="E433" s="8" t="s">
        <v>2560</v>
      </c>
      <c r="F433" s="8">
        <v>1.008456342E9</v>
      </c>
      <c r="G433" s="8" t="s">
        <v>284</v>
      </c>
      <c r="H433" s="8" t="s">
        <v>1764</v>
      </c>
      <c r="I433" s="8" t="s">
        <v>31</v>
      </c>
      <c r="J433" s="8" t="s">
        <v>56</v>
      </c>
      <c r="K433" s="10" t="s">
        <v>1765</v>
      </c>
      <c r="L433" s="8" t="s">
        <v>58</v>
      </c>
      <c r="M433" s="8" t="s">
        <v>35</v>
      </c>
      <c r="N433" s="11">
        <v>44844.0</v>
      </c>
      <c r="O433" s="11">
        <v>44886.0</v>
      </c>
      <c r="P433" s="11">
        <v>44928.0</v>
      </c>
      <c r="Q433" s="11"/>
      <c r="R433" s="11"/>
      <c r="S433" s="12"/>
      <c r="T433" s="8"/>
      <c r="U433" s="8" t="s">
        <v>185</v>
      </c>
      <c r="V433" s="13" t="s">
        <v>1766</v>
      </c>
      <c r="W433" s="13" t="s">
        <v>2561</v>
      </c>
      <c r="X433" s="12"/>
      <c r="Y433" s="14"/>
      <c r="Z433" s="14"/>
    </row>
    <row r="434">
      <c r="A434" s="8" t="s">
        <v>2562</v>
      </c>
      <c r="B434" s="8" t="s">
        <v>2563</v>
      </c>
      <c r="C434" s="8" t="s">
        <v>25</v>
      </c>
      <c r="D434" s="8" t="s">
        <v>26</v>
      </c>
      <c r="E434" s="8" t="s">
        <v>2564</v>
      </c>
      <c r="F434" s="8">
        <v>5.324017722E9</v>
      </c>
      <c r="G434" s="8" t="s">
        <v>31</v>
      </c>
      <c r="H434" s="8" t="s">
        <v>86</v>
      </c>
      <c r="I434" s="8" t="s">
        <v>284</v>
      </c>
      <c r="J434" s="8" t="s">
        <v>589</v>
      </c>
      <c r="K434" s="10" t="s">
        <v>2565</v>
      </c>
      <c r="L434" s="8" t="s">
        <v>58</v>
      </c>
      <c r="M434" s="8" t="s">
        <v>35</v>
      </c>
      <c r="N434" s="11">
        <v>44845.0</v>
      </c>
      <c r="O434" s="11">
        <v>44938.0</v>
      </c>
      <c r="P434" s="11">
        <v>44980.0</v>
      </c>
      <c r="Q434" s="11">
        <v>44942.0</v>
      </c>
      <c r="R434" s="11">
        <v>44983.0</v>
      </c>
      <c r="S434" s="12"/>
      <c r="T434" s="8"/>
      <c r="U434" s="8" t="s">
        <v>1038</v>
      </c>
      <c r="V434" s="13" t="s">
        <v>175</v>
      </c>
      <c r="W434" s="13" t="s">
        <v>2566</v>
      </c>
      <c r="X434" s="12"/>
      <c r="Y434" s="14"/>
      <c r="Z434" s="14"/>
    </row>
    <row r="435">
      <c r="A435" s="8" t="s">
        <v>2567</v>
      </c>
      <c r="B435" s="8" t="s">
        <v>2568</v>
      </c>
      <c r="C435" s="8" t="s">
        <v>179</v>
      </c>
      <c r="D435" s="8" t="s">
        <v>26</v>
      </c>
      <c r="E435" s="8" t="s">
        <v>2569</v>
      </c>
      <c r="F435" s="8">
        <v>3.410210321E9</v>
      </c>
      <c r="G435" s="8" t="s">
        <v>315</v>
      </c>
      <c r="H435" s="8" t="s">
        <v>1833</v>
      </c>
      <c r="I435" s="8" t="s">
        <v>31</v>
      </c>
      <c r="J435" s="8" t="s">
        <v>256</v>
      </c>
      <c r="K435" s="10" t="s">
        <v>2570</v>
      </c>
      <c r="L435" s="8" t="s">
        <v>58</v>
      </c>
      <c r="M435" s="8" t="s">
        <v>35</v>
      </c>
      <c r="N435" s="11">
        <v>44845.0</v>
      </c>
      <c r="O435" s="11">
        <v>44915.0</v>
      </c>
      <c r="P435" s="11">
        <v>44957.0</v>
      </c>
      <c r="Q435" s="11"/>
      <c r="R435" s="11"/>
      <c r="S435" s="12"/>
      <c r="T435" s="8"/>
      <c r="U435" s="8" t="s">
        <v>59</v>
      </c>
      <c r="V435" s="13" t="s">
        <v>1834</v>
      </c>
      <c r="W435" s="13" t="s">
        <v>2571</v>
      </c>
      <c r="X435" s="12"/>
      <c r="Y435" s="14"/>
      <c r="Z435" s="14"/>
    </row>
    <row r="436">
      <c r="A436" s="8" t="s">
        <v>2572</v>
      </c>
      <c r="B436" s="8" t="s">
        <v>2573</v>
      </c>
      <c r="C436" s="8" t="s">
        <v>708</v>
      </c>
      <c r="D436" s="8" t="s">
        <v>26</v>
      </c>
      <c r="E436" s="8" t="s">
        <v>2574</v>
      </c>
      <c r="F436" s="8">
        <v>6.71418363E8</v>
      </c>
      <c r="G436" s="8" t="s">
        <v>254</v>
      </c>
      <c r="H436" s="8" t="s">
        <v>255</v>
      </c>
      <c r="I436" s="8" t="s">
        <v>31</v>
      </c>
      <c r="J436" s="8" t="s">
        <v>86</v>
      </c>
      <c r="K436" s="10" t="s">
        <v>2404</v>
      </c>
      <c r="L436" s="8" t="s">
        <v>34</v>
      </c>
      <c r="M436" s="8" t="s">
        <v>70</v>
      </c>
      <c r="N436" s="11">
        <v>44845.0</v>
      </c>
      <c r="O436" s="11">
        <v>44865.0</v>
      </c>
      <c r="P436" s="11">
        <v>45401.0</v>
      </c>
      <c r="Q436" s="11">
        <v>44863.0</v>
      </c>
      <c r="R436" s="11">
        <v>45401.0</v>
      </c>
      <c r="S436" s="12"/>
      <c r="T436" s="8" t="s">
        <v>36</v>
      </c>
      <c r="U436" s="8" t="s">
        <v>2405</v>
      </c>
      <c r="V436" s="13" t="s">
        <v>258</v>
      </c>
      <c r="W436" s="13" t="s">
        <v>2575</v>
      </c>
      <c r="X436" s="12"/>
      <c r="Y436" s="14"/>
      <c r="Z436" s="14"/>
    </row>
    <row r="437">
      <c r="A437" s="8" t="s">
        <v>2576</v>
      </c>
      <c r="B437" s="8" t="s">
        <v>2577</v>
      </c>
      <c r="C437" s="8" t="s">
        <v>179</v>
      </c>
      <c r="D437" s="8" t="s">
        <v>26</v>
      </c>
      <c r="E437" s="8" t="s">
        <v>2578</v>
      </c>
      <c r="F437" s="8">
        <v>9.96279372E8</v>
      </c>
      <c r="G437" s="8" t="s">
        <v>109</v>
      </c>
      <c r="H437" s="8" t="s">
        <v>1872</v>
      </c>
      <c r="I437" s="8" t="s">
        <v>31</v>
      </c>
      <c r="J437" s="8" t="s">
        <v>220</v>
      </c>
      <c r="K437" s="10" t="s">
        <v>2193</v>
      </c>
      <c r="L437" s="8" t="s">
        <v>58</v>
      </c>
      <c r="M437" s="8" t="s">
        <v>35</v>
      </c>
      <c r="N437" s="11">
        <v>44845.0</v>
      </c>
      <c r="O437" s="11">
        <v>45117.0</v>
      </c>
      <c r="P437" s="11">
        <v>45159.0</v>
      </c>
      <c r="Q437" s="11"/>
      <c r="R437" s="11"/>
      <c r="S437" s="12"/>
      <c r="T437" s="8"/>
      <c r="U437" s="8" t="s">
        <v>59</v>
      </c>
      <c r="V437" s="13" t="s">
        <v>2124</v>
      </c>
      <c r="W437" s="13" t="s">
        <v>2579</v>
      </c>
      <c r="X437" s="12"/>
      <c r="Y437" s="14"/>
      <c r="Z437" s="14"/>
    </row>
    <row r="438">
      <c r="A438" s="8" t="s">
        <v>2580</v>
      </c>
      <c r="B438" s="8" t="s">
        <v>2581</v>
      </c>
      <c r="C438" s="8" t="s">
        <v>251</v>
      </c>
      <c r="D438" s="8" t="s">
        <v>26</v>
      </c>
      <c r="E438" s="8" t="s">
        <v>2582</v>
      </c>
      <c r="F438" s="8">
        <v>6.29257387E8</v>
      </c>
      <c r="G438" s="8" t="s">
        <v>84</v>
      </c>
      <c r="H438" s="8" t="s">
        <v>646</v>
      </c>
      <c r="I438" s="8" t="s">
        <v>31</v>
      </c>
      <c r="J438" s="8" t="s">
        <v>43</v>
      </c>
      <c r="K438" s="10" t="s">
        <v>2583</v>
      </c>
      <c r="L438" s="8" t="s">
        <v>34</v>
      </c>
      <c r="M438" s="8" t="s">
        <v>70</v>
      </c>
      <c r="N438" s="11">
        <v>44845.0</v>
      </c>
      <c r="O438" s="11">
        <v>44858.0</v>
      </c>
      <c r="P438" s="11">
        <v>45226.0</v>
      </c>
      <c r="Q438" s="11"/>
      <c r="R438" s="11"/>
      <c r="S438" s="12"/>
      <c r="T438" s="8" t="s">
        <v>205</v>
      </c>
      <c r="U438" s="8" t="s">
        <v>2584</v>
      </c>
      <c r="V438" s="13" t="s">
        <v>2585</v>
      </c>
      <c r="W438" s="13" t="s">
        <v>2586</v>
      </c>
      <c r="X438" s="12"/>
      <c r="Y438" s="14"/>
      <c r="Z438" s="14"/>
    </row>
    <row r="439">
      <c r="A439" s="8" t="s">
        <v>2587</v>
      </c>
      <c r="B439" s="8" t="s">
        <v>2588</v>
      </c>
      <c r="C439" s="8" t="s">
        <v>64</v>
      </c>
      <c r="D439" s="8" t="s">
        <v>26</v>
      </c>
      <c r="E439" s="8" t="s">
        <v>2589</v>
      </c>
      <c r="F439" s="8">
        <v>6.34450127E8</v>
      </c>
      <c r="G439" s="8" t="s">
        <v>84</v>
      </c>
      <c r="H439" s="8" t="s">
        <v>1234</v>
      </c>
      <c r="I439" s="8" t="s">
        <v>31</v>
      </c>
      <c r="J439" s="8" t="s">
        <v>256</v>
      </c>
      <c r="K439" s="10" t="s">
        <v>2590</v>
      </c>
      <c r="L439" s="8" t="s">
        <v>34</v>
      </c>
      <c r="M439" s="8" t="s">
        <v>70</v>
      </c>
      <c r="N439" s="11">
        <v>44845.0</v>
      </c>
      <c r="O439" s="11">
        <v>44835.0</v>
      </c>
      <c r="P439" s="11">
        <v>45200.0</v>
      </c>
      <c r="Q439" s="11">
        <v>44853.0</v>
      </c>
      <c r="R439" s="11">
        <v>45218.0</v>
      </c>
      <c r="S439" s="12"/>
      <c r="T439" s="8" t="s">
        <v>205</v>
      </c>
      <c r="U439" s="8" t="s">
        <v>2591</v>
      </c>
      <c r="V439" s="13" t="s">
        <v>2592</v>
      </c>
      <c r="W439" s="13" t="s">
        <v>2593</v>
      </c>
      <c r="X439" s="12"/>
      <c r="Y439" s="14"/>
      <c r="Z439" s="14"/>
    </row>
    <row r="440">
      <c r="A440" s="8" t="s">
        <v>2594</v>
      </c>
      <c r="B440" s="8" t="s">
        <v>2595</v>
      </c>
      <c r="C440" s="8" t="s">
        <v>25</v>
      </c>
      <c r="D440" s="8" t="s">
        <v>26</v>
      </c>
      <c r="E440" s="8" t="s">
        <v>2596</v>
      </c>
      <c r="F440" s="8"/>
      <c r="G440" s="8" t="s">
        <v>54</v>
      </c>
      <c r="H440" s="8" t="s">
        <v>377</v>
      </c>
      <c r="I440" s="8" t="s">
        <v>31</v>
      </c>
      <c r="J440" s="8" t="s">
        <v>77</v>
      </c>
      <c r="K440" s="10" t="s">
        <v>2597</v>
      </c>
      <c r="L440" s="8" t="s">
        <v>47</v>
      </c>
      <c r="M440" s="8" t="s">
        <v>70</v>
      </c>
      <c r="N440" s="11">
        <v>44846.0</v>
      </c>
      <c r="O440" s="11">
        <v>44854.0</v>
      </c>
      <c r="P440" s="11">
        <v>45107.0</v>
      </c>
      <c r="Q440" s="11">
        <v>44912.0</v>
      </c>
      <c r="R440" s="11">
        <v>45166.0</v>
      </c>
      <c r="S440" s="12"/>
      <c r="T440" s="8"/>
      <c r="U440" s="8" t="s">
        <v>2598</v>
      </c>
      <c r="V440" s="13" t="s">
        <v>38</v>
      </c>
      <c r="W440" s="13" t="s">
        <v>2599</v>
      </c>
      <c r="X440" s="12"/>
      <c r="Y440" s="14"/>
      <c r="Z440" s="14"/>
    </row>
    <row r="441">
      <c r="A441" s="8" t="s">
        <v>2600</v>
      </c>
      <c r="B441" s="8" t="s">
        <v>2601</v>
      </c>
      <c r="C441" s="8" t="s">
        <v>64</v>
      </c>
      <c r="D441" s="8" t="s">
        <v>26</v>
      </c>
      <c r="E441" s="8" t="s">
        <v>2602</v>
      </c>
      <c r="F441" s="8"/>
      <c r="G441" s="8" t="s">
        <v>84</v>
      </c>
      <c r="H441" s="8" t="s">
        <v>85</v>
      </c>
      <c r="I441" s="8" t="s">
        <v>31</v>
      </c>
      <c r="J441" s="8" t="s">
        <v>32</v>
      </c>
      <c r="K441" s="10" t="s">
        <v>286</v>
      </c>
      <c r="L441" s="8" t="s">
        <v>58</v>
      </c>
      <c r="M441" s="8" t="s">
        <v>35</v>
      </c>
      <c r="N441" s="11">
        <v>44846.0</v>
      </c>
      <c r="O441" s="11">
        <v>44864.0</v>
      </c>
      <c r="P441" s="11">
        <v>44906.0</v>
      </c>
      <c r="Q441" s="11">
        <v>44875.0</v>
      </c>
      <c r="R441" s="11">
        <v>44906.0</v>
      </c>
      <c r="S441" s="12"/>
      <c r="T441" s="8"/>
      <c r="U441" s="8" t="s">
        <v>59</v>
      </c>
      <c r="V441" s="13" t="s">
        <v>38</v>
      </c>
      <c r="W441" s="13" t="s">
        <v>2603</v>
      </c>
      <c r="X441" s="12"/>
      <c r="Y441" s="14"/>
      <c r="Z441" s="14"/>
    </row>
    <row r="442">
      <c r="A442" s="8" t="s">
        <v>2604</v>
      </c>
      <c r="B442" s="8" t="s">
        <v>2605</v>
      </c>
      <c r="C442" s="8" t="s">
        <v>25</v>
      </c>
      <c r="D442" s="8" t="s">
        <v>26</v>
      </c>
      <c r="E442" s="8" t="s">
        <v>2606</v>
      </c>
      <c r="F442" s="8">
        <v>5.445834357E9</v>
      </c>
      <c r="G442" s="8" t="s">
        <v>31</v>
      </c>
      <c r="H442" s="8" t="s">
        <v>77</v>
      </c>
      <c r="I442" s="8" t="s">
        <v>399</v>
      </c>
      <c r="J442" s="8" t="s">
        <v>400</v>
      </c>
      <c r="K442" s="10" t="s">
        <v>401</v>
      </c>
      <c r="L442" s="8" t="s">
        <v>58</v>
      </c>
      <c r="M442" s="8" t="s">
        <v>35</v>
      </c>
      <c r="N442" s="11">
        <v>44846.0</v>
      </c>
      <c r="O442" s="11">
        <v>44866.0</v>
      </c>
      <c r="P442" s="11">
        <v>44908.0</v>
      </c>
      <c r="Q442" s="11">
        <v>44866.0</v>
      </c>
      <c r="R442" s="11">
        <v>44908.0</v>
      </c>
      <c r="S442" s="12"/>
      <c r="T442" s="8"/>
      <c r="U442" s="8" t="s">
        <v>402</v>
      </c>
      <c r="V442" s="13" t="s">
        <v>77</v>
      </c>
      <c r="W442" s="13" t="s">
        <v>2607</v>
      </c>
      <c r="X442" s="12"/>
      <c r="Y442" s="14"/>
      <c r="Z442" s="14"/>
    </row>
    <row r="443">
      <c r="A443" s="8" t="s">
        <v>2608</v>
      </c>
      <c r="B443" s="8" t="s">
        <v>2609</v>
      </c>
      <c r="C443" s="8" t="s">
        <v>25</v>
      </c>
      <c r="D443" s="8" t="s">
        <v>26</v>
      </c>
      <c r="E443" s="8" t="s">
        <v>2610</v>
      </c>
      <c r="F443" s="8">
        <v>1.027595439E9</v>
      </c>
      <c r="G443" s="8" t="s">
        <v>284</v>
      </c>
      <c r="H443" s="8" t="s">
        <v>793</v>
      </c>
      <c r="I443" s="8" t="s">
        <v>31</v>
      </c>
      <c r="J443" s="8" t="s">
        <v>542</v>
      </c>
      <c r="K443" s="10" t="s">
        <v>1653</v>
      </c>
      <c r="L443" s="8" t="s">
        <v>58</v>
      </c>
      <c r="M443" s="8" t="s">
        <v>35</v>
      </c>
      <c r="N443" s="11">
        <v>44846.0</v>
      </c>
      <c r="O443" s="11">
        <v>44935.0</v>
      </c>
      <c r="P443" s="11">
        <v>44977.0</v>
      </c>
      <c r="Q443" s="11">
        <v>44935.0</v>
      </c>
      <c r="R443" s="11">
        <v>44977.0</v>
      </c>
      <c r="S443" s="12"/>
      <c r="T443" s="8"/>
      <c r="U443" s="8" t="s">
        <v>59</v>
      </c>
      <c r="V443" s="13" t="s">
        <v>793</v>
      </c>
      <c r="W443" s="13" t="s">
        <v>2611</v>
      </c>
      <c r="X443" s="12"/>
      <c r="Y443" s="14"/>
      <c r="Z443" s="14"/>
    </row>
    <row r="444">
      <c r="A444" s="8" t="s">
        <v>2612</v>
      </c>
      <c r="B444" s="8" t="s">
        <v>2613</v>
      </c>
      <c r="C444" s="8" t="s">
        <v>25</v>
      </c>
      <c r="D444" s="8" t="s">
        <v>26</v>
      </c>
      <c r="E444" s="8" t="s">
        <v>2614</v>
      </c>
      <c r="F444" s="8"/>
      <c r="G444" s="8" t="s">
        <v>31</v>
      </c>
      <c r="H444" s="8" t="s">
        <v>77</v>
      </c>
      <c r="I444" s="8" t="s">
        <v>127</v>
      </c>
      <c r="J444" s="8" t="s">
        <v>159</v>
      </c>
      <c r="K444" s="10" t="s">
        <v>2615</v>
      </c>
      <c r="L444" s="8" t="s">
        <v>58</v>
      </c>
      <c r="M444" s="8" t="s">
        <v>35</v>
      </c>
      <c r="N444" s="11">
        <v>44846.0</v>
      </c>
      <c r="O444" s="11">
        <v>44949.0</v>
      </c>
      <c r="P444" s="11">
        <v>44991.0</v>
      </c>
      <c r="Q444" s="11">
        <v>44949.0</v>
      </c>
      <c r="R444" s="11">
        <v>44991.0</v>
      </c>
      <c r="S444" s="12"/>
      <c r="T444" s="8"/>
      <c r="U444" s="8" t="s">
        <v>1956</v>
      </c>
      <c r="V444" s="13" t="s">
        <v>38</v>
      </c>
      <c r="W444" s="13" t="s">
        <v>2616</v>
      </c>
      <c r="X444" s="12"/>
      <c r="Y444" s="14"/>
      <c r="Z444" s="14"/>
    </row>
    <row r="445">
      <c r="A445" s="8" t="s">
        <v>2617</v>
      </c>
      <c r="B445" s="8" t="s">
        <v>2618</v>
      </c>
      <c r="C445" s="8" t="s">
        <v>64</v>
      </c>
      <c r="D445" s="8" t="s">
        <v>26</v>
      </c>
      <c r="E445" s="8" t="s">
        <v>2619</v>
      </c>
      <c r="F445" s="9" t="s">
        <v>2620</v>
      </c>
      <c r="G445" s="8" t="s">
        <v>118</v>
      </c>
      <c r="H445" s="8" t="s">
        <v>119</v>
      </c>
      <c r="I445" s="8" t="s">
        <v>31</v>
      </c>
      <c r="J445" s="8" t="s">
        <v>292</v>
      </c>
      <c r="K445" s="10" t="s">
        <v>2070</v>
      </c>
      <c r="L445" s="8" t="s">
        <v>58</v>
      </c>
      <c r="M445" s="8" t="s">
        <v>35</v>
      </c>
      <c r="N445" s="11">
        <v>44846.0</v>
      </c>
      <c r="O445" s="11">
        <v>44865.0</v>
      </c>
      <c r="P445" s="11">
        <v>44907.0</v>
      </c>
      <c r="Q445" s="11">
        <v>44868.0</v>
      </c>
      <c r="R445" s="11">
        <v>44907.0</v>
      </c>
      <c r="S445" s="12"/>
      <c r="T445" s="8"/>
      <c r="U445" s="8" t="s">
        <v>88</v>
      </c>
      <c r="V445" s="13" t="s">
        <v>2621</v>
      </c>
      <c r="W445" s="13" t="s">
        <v>2622</v>
      </c>
      <c r="X445" s="12"/>
      <c r="Y445" s="14"/>
      <c r="Z445" s="14"/>
    </row>
    <row r="446">
      <c r="A446" s="8" t="s">
        <v>2623</v>
      </c>
      <c r="B446" s="8" t="s">
        <v>2624</v>
      </c>
      <c r="C446" s="8" t="s">
        <v>64</v>
      </c>
      <c r="D446" s="8" t="s">
        <v>26</v>
      </c>
      <c r="E446" s="8" t="s">
        <v>2625</v>
      </c>
      <c r="F446" s="8">
        <v>5.312118282E9</v>
      </c>
      <c r="G446" s="8" t="s">
        <v>31</v>
      </c>
      <c r="H446" s="8" t="s">
        <v>438</v>
      </c>
      <c r="I446" s="8" t="s">
        <v>399</v>
      </c>
      <c r="J446" s="8" t="s">
        <v>415</v>
      </c>
      <c r="K446" s="10" t="s">
        <v>2626</v>
      </c>
      <c r="L446" s="8" t="s">
        <v>58</v>
      </c>
      <c r="M446" s="8" t="s">
        <v>35</v>
      </c>
      <c r="N446" s="11">
        <v>44846.0</v>
      </c>
      <c r="O446" s="11">
        <v>45122.0</v>
      </c>
      <c r="P446" s="11">
        <v>45164.0</v>
      </c>
      <c r="Q446" s="11">
        <v>45128.0</v>
      </c>
      <c r="R446" s="11">
        <v>45168.0</v>
      </c>
      <c r="S446" s="12"/>
      <c r="T446" s="8"/>
      <c r="U446" s="8" t="s">
        <v>185</v>
      </c>
      <c r="V446" s="13" t="s">
        <v>438</v>
      </c>
      <c r="W446" s="13" t="s">
        <v>2627</v>
      </c>
      <c r="X446" s="12"/>
      <c r="Y446" s="14"/>
      <c r="Z446" s="14"/>
    </row>
    <row r="447">
      <c r="A447" s="8" t="s">
        <v>2628</v>
      </c>
      <c r="B447" s="8" t="s">
        <v>2629</v>
      </c>
      <c r="C447" s="8" t="s">
        <v>25</v>
      </c>
      <c r="D447" s="8" t="s">
        <v>26</v>
      </c>
      <c r="E447" s="8" t="s">
        <v>2630</v>
      </c>
      <c r="F447" s="8">
        <v>7.755725232E9</v>
      </c>
      <c r="G447" s="8" t="s">
        <v>496</v>
      </c>
      <c r="H447" s="8" t="s">
        <v>2112</v>
      </c>
      <c r="I447" s="8" t="s">
        <v>31</v>
      </c>
      <c r="J447" s="8" t="s">
        <v>77</v>
      </c>
      <c r="K447" s="10" t="s">
        <v>2341</v>
      </c>
      <c r="L447" s="8" t="s">
        <v>34</v>
      </c>
      <c r="M447" s="8" t="s">
        <v>35</v>
      </c>
      <c r="N447" s="11">
        <v>44846.0</v>
      </c>
      <c r="O447" s="11">
        <v>44861.0</v>
      </c>
      <c r="P447" s="11">
        <v>44917.0</v>
      </c>
      <c r="Q447" s="11">
        <v>44902.0</v>
      </c>
      <c r="R447" s="11">
        <v>44958.0</v>
      </c>
      <c r="S447" s="12"/>
      <c r="T447" s="8" t="s">
        <v>121</v>
      </c>
      <c r="U447" s="8" t="s">
        <v>2342</v>
      </c>
      <c r="V447" s="13" t="s">
        <v>2631</v>
      </c>
      <c r="W447" s="13" t="s">
        <v>2632</v>
      </c>
      <c r="X447" s="12"/>
      <c r="Y447" s="14"/>
      <c r="Z447" s="14"/>
    </row>
    <row r="448">
      <c r="A448" s="8" t="s">
        <v>2633</v>
      </c>
      <c r="B448" s="8" t="s">
        <v>2634</v>
      </c>
      <c r="C448" s="8" t="s">
        <v>25</v>
      </c>
      <c r="D448" s="8" t="s">
        <v>26</v>
      </c>
      <c r="E448" s="8" t="s">
        <v>2635</v>
      </c>
      <c r="F448" s="8">
        <v>6.67987075E8</v>
      </c>
      <c r="G448" s="8" t="s">
        <v>254</v>
      </c>
      <c r="H448" s="8" t="s">
        <v>255</v>
      </c>
      <c r="I448" s="8" t="s">
        <v>31</v>
      </c>
      <c r="J448" s="8" t="s">
        <v>77</v>
      </c>
      <c r="K448" s="10" t="s">
        <v>1049</v>
      </c>
      <c r="L448" s="8" t="s">
        <v>47</v>
      </c>
      <c r="M448" s="8" t="s">
        <v>70</v>
      </c>
      <c r="N448" s="11">
        <v>44846.0</v>
      </c>
      <c r="O448" s="11">
        <v>44852.0</v>
      </c>
      <c r="P448" s="11">
        <v>45107.0</v>
      </c>
      <c r="Q448" s="11">
        <v>44876.0</v>
      </c>
      <c r="R448" s="11">
        <v>45107.0</v>
      </c>
      <c r="S448" s="12"/>
      <c r="T448" s="8"/>
      <c r="U448" s="8" t="s">
        <v>1050</v>
      </c>
      <c r="V448" s="13" t="s">
        <v>258</v>
      </c>
      <c r="W448" s="13" t="s">
        <v>2636</v>
      </c>
      <c r="X448" s="12"/>
      <c r="Y448" s="14"/>
      <c r="Z448" s="14"/>
    </row>
    <row r="449">
      <c r="A449" s="8" t="s">
        <v>2637</v>
      </c>
      <c r="B449" s="8" t="s">
        <v>2638</v>
      </c>
      <c r="C449" s="8" t="s">
        <v>25</v>
      </c>
      <c r="D449" s="8" t="s">
        <v>26</v>
      </c>
      <c r="E449" s="8" t="s">
        <v>2639</v>
      </c>
      <c r="F449" s="8">
        <v>5.444847707E9</v>
      </c>
      <c r="G449" s="8" t="s">
        <v>31</v>
      </c>
      <c r="H449" s="8" t="s">
        <v>102</v>
      </c>
      <c r="I449" s="8" t="s">
        <v>284</v>
      </c>
      <c r="J449" s="8" t="s">
        <v>793</v>
      </c>
      <c r="K449" s="10" t="s">
        <v>2640</v>
      </c>
      <c r="L449" s="8" t="s">
        <v>58</v>
      </c>
      <c r="M449" s="8" t="s">
        <v>35</v>
      </c>
      <c r="N449" s="11">
        <v>44847.0</v>
      </c>
      <c r="O449" s="11">
        <v>44958.0</v>
      </c>
      <c r="P449" s="11">
        <v>45000.0</v>
      </c>
      <c r="Q449" s="11">
        <v>44957.0</v>
      </c>
      <c r="R449" s="11">
        <v>45000.0</v>
      </c>
      <c r="S449" s="12"/>
      <c r="T449" s="8"/>
      <c r="U449" s="8" t="s">
        <v>339</v>
      </c>
      <c r="V449" s="13" t="s">
        <v>102</v>
      </c>
      <c r="W449" s="13" t="s">
        <v>2641</v>
      </c>
      <c r="X449" s="12"/>
      <c r="Y449" s="14"/>
      <c r="Z449" s="14"/>
    </row>
    <row r="450">
      <c r="A450" s="8" t="s">
        <v>2642</v>
      </c>
      <c r="B450" s="8" t="s">
        <v>2643</v>
      </c>
      <c r="C450" s="8" t="s">
        <v>25</v>
      </c>
      <c r="D450" s="8" t="s">
        <v>26</v>
      </c>
      <c r="E450" s="8" t="s">
        <v>2644</v>
      </c>
      <c r="F450" s="8"/>
      <c r="G450" s="8" t="s">
        <v>31</v>
      </c>
      <c r="H450" s="8" t="s">
        <v>102</v>
      </c>
      <c r="I450" s="8" t="s">
        <v>44</v>
      </c>
      <c r="J450" s="8" t="s">
        <v>1993</v>
      </c>
      <c r="K450" s="10" t="s">
        <v>2645</v>
      </c>
      <c r="L450" s="8" t="s">
        <v>58</v>
      </c>
      <c r="M450" s="8" t="s">
        <v>35</v>
      </c>
      <c r="N450" s="11">
        <v>44847.0</v>
      </c>
      <c r="O450" s="11">
        <v>44975.0</v>
      </c>
      <c r="P450" s="11">
        <v>45017.0</v>
      </c>
      <c r="Q450" s="11">
        <v>44974.0</v>
      </c>
      <c r="R450" s="11">
        <v>45017.0</v>
      </c>
      <c r="S450" s="12"/>
      <c r="T450" s="8"/>
      <c r="U450" s="8" t="s">
        <v>88</v>
      </c>
      <c r="V450" s="13" t="s">
        <v>38</v>
      </c>
      <c r="W450" s="13" t="s">
        <v>2646</v>
      </c>
      <c r="X450" s="12"/>
      <c r="Y450" s="14"/>
      <c r="Z450" s="14"/>
    </row>
    <row r="451">
      <c r="A451" s="8" t="s">
        <v>2647</v>
      </c>
      <c r="B451" s="8" t="s">
        <v>2648</v>
      </c>
      <c r="C451" s="8" t="s">
        <v>25</v>
      </c>
      <c r="D451" s="8" t="s">
        <v>26</v>
      </c>
      <c r="E451" s="8" t="s">
        <v>2649</v>
      </c>
      <c r="F451" s="8"/>
      <c r="G451" s="8" t="s">
        <v>54</v>
      </c>
      <c r="H451" s="8" t="s">
        <v>55</v>
      </c>
      <c r="I451" s="8" t="s">
        <v>31</v>
      </c>
      <c r="J451" s="8" t="s">
        <v>167</v>
      </c>
      <c r="K451" s="10" t="s">
        <v>893</v>
      </c>
      <c r="L451" s="8" t="s">
        <v>58</v>
      </c>
      <c r="M451" s="8" t="s">
        <v>35</v>
      </c>
      <c r="N451" s="11">
        <v>44847.0</v>
      </c>
      <c r="O451" s="11">
        <v>45117.0</v>
      </c>
      <c r="P451" s="11">
        <v>45159.0</v>
      </c>
      <c r="Q451" s="11">
        <v>45118.0</v>
      </c>
      <c r="R451" s="11">
        <v>45159.0</v>
      </c>
      <c r="S451" s="12"/>
      <c r="T451" s="8"/>
      <c r="U451" s="8" t="s">
        <v>88</v>
      </c>
      <c r="V451" s="13" t="s">
        <v>38</v>
      </c>
      <c r="W451" s="13" t="s">
        <v>2650</v>
      </c>
      <c r="X451" s="12"/>
      <c r="Y451" s="14"/>
      <c r="Z451" s="14"/>
    </row>
    <row r="452">
      <c r="A452" s="8" t="s">
        <v>2651</v>
      </c>
      <c r="B452" s="8" t="s">
        <v>2652</v>
      </c>
      <c r="C452" s="8" t="s">
        <v>251</v>
      </c>
      <c r="D452" s="8" t="s">
        <v>26</v>
      </c>
      <c r="E452" s="8" t="s">
        <v>2653</v>
      </c>
      <c r="F452" s="8"/>
      <c r="G452" s="8" t="s">
        <v>109</v>
      </c>
      <c r="H452" s="8" t="s">
        <v>1503</v>
      </c>
      <c r="I452" s="8" t="s">
        <v>31</v>
      </c>
      <c r="J452" s="8" t="s">
        <v>167</v>
      </c>
      <c r="K452" s="10" t="s">
        <v>2654</v>
      </c>
      <c r="L452" s="8" t="s">
        <v>34</v>
      </c>
      <c r="M452" s="8" t="s">
        <v>70</v>
      </c>
      <c r="N452" s="11">
        <v>44847.0</v>
      </c>
      <c r="O452" s="11">
        <v>44858.0</v>
      </c>
      <c r="P452" s="11">
        <v>45209.0</v>
      </c>
      <c r="Q452" s="11"/>
      <c r="R452" s="11"/>
      <c r="S452" s="12"/>
      <c r="T452" s="8" t="s">
        <v>205</v>
      </c>
      <c r="U452" s="8" t="s">
        <v>2655</v>
      </c>
      <c r="V452" s="13" t="s">
        <v>38</v>
      </c>
      <c r="W452" s="13" t="s">
        <v>2656</v>
      </c>
      <c r="X452" s="12"/>
      <c r="Y452" s="14"/>
      <c r="Z452" s="14"/>
    </row>
    <row r="453">
      <c r="A453" s="8" t="s">
        <v>2657</v>
      </c>
      <c r="B453" s="8" t="s">
        <v>2658</v>
      </c>
      <c r="C453" s="8" t="s">
        <v>179</v>
      </c>
      <c r="D453" s="8" t="s">
        <v>26</v>
      </c>
      <c r="E453" s="8" t="s">
        <v>2659</v>
      </c>
      <c r="F453" s="8">
        <v>1.14400383E9</v>
      </c>
      <c r="G453" s="8" t="s">
        <v>284</v>
      </c>
      <c r="H453" s="8" t="s">
        <v>691</v>
      </c>
      <c r="I453" s="8" t="s">
        <v>31</v>
      </c>
      <c r="J453" s="8" t="s">
        <v>167</v>
      </c>
      <c r="K453" s="10" t="s">
        <v>893</v>
      </c>
      <c r="L453" s="8" t="s">
        <v>58</v>
      </c>
      <c r="M453" s="8" t="s">
        <v>35</v>
      </c>
      <c r="N453" s="11">
        <v>44847.0</v>
      </c>
      <c r="O453" s="11">
        <v>45117.0</v>
      </c>
      <c r="P453" s="11">
        <v>45159.0</v>
      </c>
      <c r="Q453" s="11"/>
      <c r="R453" s="11"/>
      <c r="S453" s="12"/>
      <c r="T453" s="8"/>
      <c r="U453" s="8" t="s">
        <v>88</v>
      </c>
      <c r="V453" s="13" t="s">
        <v>692</v>
      </c>
      <c r="W453" s="13" t="s">
        <v>2660</v>
      </c>
      <c r="X453" s="12"/>
      <c r="Y453" s="14"/>
      <c r="Z453" s="14"/>
    </row>
    <row r="454">
      <c r="A454" s="8" t="s">
        <v>2661</v>
      </c>
      <c r="B454" s="8" t="s">
        <v>2662</v>
      </c>
      <c r="C454" s="8" t="s">
        <v>25</v>
      </c>
      <c r="D454" s="8" t="s">
        <v>26</v>
      </c>
      <c r="E454" s="8" t="s">
        <v>2663</v>
      </c>
      <c r="F454" s="8">
        <v>5.334189667E9</v>
      </c>
      <c r="G454" s="8" t="s">
        <v>31</v>
      </c>
      <c r="H454" s="8" t="s">
        <v>542</v>
      </c>
      <c r="I454" s="8" t="s">
        <v>127</v>
      </c>
      <c r="J454" s="8" t="s">
        <v>159</v>
      </c>
      <c r="K454" s="10" t="s">
        <v>2615</v>
      </c>
      <c r="L454" s="8" t="s">
        <v>58</v>
      </c>
      <c r="M454" s="8" t="s">
        <v>35</v>
      </c>
      <c r="N454" s="11">
        <v>44847.0</v>
      </c>
      <c r="O454" s="11">
        <v>44949.0</v>
      </c>
      <c r="P454" s="11">
        <v>44991.0</v>
      </c>
      <c r="Q454" s="11">
        <v>44956.0</v>
      </c>
      <c r="R454" s="11">
        <v>44999.0</v>
      </c>
      <c r="S454" s="12"/>
      <c r="T454" s="8"/>
      <c r="U454" s="8" t="s">
        <v>1956</v>
      </c>
      <c r="V454" s="13" t="s">
        <v>545</v>
      </c>
      <c r="W454" s="13" t="s">
        <v>2664</v>
      </c>
      <c r="X454" s="12"/>
      <c r="Y454" s="14"/>
      <c r="Z454" s="14"/>
    </row>
    <row r="455">
      <c r="A455" s="8" t="s">
        <v>2665</v>
      </c>
      <c r="B455" s="8" t="s">
        <v>2666</v>
      </c>
      <c r="C455" s="8" t="s">
        <v>25</v>
      </c>
      <c r="D455" s="8" t="s">
        <v>26</v>
      </c>
      <c r="E455" s="8" t="s">
        <v>2667</v>
      </c>
      <c r="F455" s="8">
        <v>1.5735454168E10</v>
      </c>
      <c r="G455" s="8" t="s">
        <v>31</v>
      </c>
      <c r="H455" s="8" t="s">
        <v>111</v>
      </c>
      <c r="I455" s="8" t="s">
        <v>202</v>
      </c>
      <c r="J455" s="8" t="s">
        <v>2668</v>
      </c>
      <c r="K455" s="10" t="s">
        <v>2669</v>
      </c>
      <c r="L455" s="8" t="s">
        <v>34</v>
      </c>
      <c r="M455" s="8" t="s">
        <v>48</v>
      </c>
      <c r="N455" s="11">
        <v>44847.0</v>
      </c>
      <c r="O455" s="11">
        <v>44866.0</v>
      </c>
      <c r="P455" s="11">
        <v>45046.0</v>
      </c>
      <c r="Q455" s="11">
        <v>44991.0</v>
      </c>
      <c r="R455" s="11">
        <v>45175.0</v>
      </c>
      <c r="S455" s="12"/>
      <c r="T455" s="8" t="s">
        <v>205</v>
      </c>
      <c r="U455" s="8" t="s">
        <v>2670</v>
      </c>
      <c r="V455" s="13" t="s">
        <v>111</v>
      </c>
      <c r="W455" s="13" t="s">
        <v>2671</v>
      </c>
      <c r="X455" s="12"/>
      <c r="Y455" s="14"/>
      <c r="Z455" s="14"/>
    </row>
    <row r="456">
      <c r="A456" s="8" t="s">
        <v>2672</v>
      </c>
      <c r="B456" s="8" t="s">
        <v>2673</v>
      </c>
      <c r="C456" s="8" t="s">
        <v>179</v>
      </c>
      <c r="D456" s="8" t="s">
        <v>26</v>
      </c>
      <c r="E456" s="8" t="s">
        <v>2674</v>
      </c>
      <c r="F456" s="8"/>
      <c r="G456" s="8" t="s">
        <v>31</v>
      </c>
      <c r="H456" s="8" t="s">
        <v>86</v>
      </c>
      <c r="I456" s="8" t="s">
        <v>44</v>
      </c>
      <c r="J456" s="8" t="s">
        <v>741</v>
      </c>
      <c r="K456" s="10" t="s">
        <v>2675</v>
      </c>
      <c r="L456" s="8" t="s">
        <v>58</v>
      </c>
      <c r="M456" s="8" t="s">
        <v>35</v>
      </c>
      <c r="N456" s="11">
        <v>44848.0</v>
      </c>
      <c r="O456" s="11">
        <v>45108.0</v>
      </c>
      <c r="P456" s="11">
        <v>45150.0</v>
      </c>
      <c r="Q456" s="11"/>
      <c r="R456" s="11"/>
      <c r="S456" s="12"/>
      <c r="T456" s="8"/>
      <c r="U456" s="8" t="s">
        <v>59</v>
      </c>
      <c r="V456" s="13" t="s">
        <v>38</v>
      </c>
      <c r="W456" s="13" t="s">
        <v>2676</v>
      </c>
      <c r="X456" s="12"/>
      <c r="Y456" s="14"/>
      <c r="Z456" s="14"/>
    </row>
    <row r="457">
      <c r="A457" s="8" t="s">
        <v>2677</v>
      </c>
      <c r="B457" s="8" t="s">
        <v>2678</v>
      </c>
      <c r="C457" s="8" t="s">
        <v>25</v>
      </c>
      <c r="D457" s="8" t="s">
        <v>26</v>
      </c>
      <c r="E457" s="8" t="s">
        <v>2679</v>
      </c>
      <c r="F457" s="8"/>
      <c r="G457" s="8" t="s">
        <v>31</v>
      </c>
      <c r="H457" s="8" t="s">
        <v>32</v>
      </c>
      <c r="I457" s="8" t="s">
        <v>2680</v>
      </c>
      <c r="J457" s="8" t="s">
        <v>2681</v>
      </c>
      <c r="K457" s="10" t="s">
        <v>2682</v>
      </c>
      <c r="L457" s="8" t="s">
        <v>34</v>
      </c>
      <c r="M457" s="8" t="s">
        <v>70</v>
      </c>
      <c r="N457" s="11">
        <v>44848.0</v>
      </c>
      <c r="O457" s="11">
        <v>44893.0</v>
      </c>
      <c r="P457" s="11">
        <v>45257.0</v>
      </c>
      <c r="Q457" s="11">
        <v>44896.0</v>
      </c>
      <c r="R457" s="11">
        <v>45266.0</v>
      </c>
      <c r="S457" s="12"/>
      <c r="T457" s="8" t="s">
        <v>1187</v>
      </c>
      <c r="U457" s="8" t="s">
        <v>2683</v>
      </c>
      <c r="V457" s="13" t="s">
        <v>38</v>
      </c>
      <c r="W457" s="13" t="s">
        <v>2684</v>
      </c>
      <c r="X457" s="12"/>
      <c r="Y457" s="14"/>
      <c r="Z457" s="14"/>
    </row>
    <row r="458">
      <c r="A458" s="8" t="s">
        <v>2685</v>
      </c>
      <c r="B458" s="8" t="s">
        <v>2686</v>
      </c>
      <c r="C458" s="8" t="s">
        <v>64</v>
      </c>
      <c r="D458" s="8" t="s">
        <v>26</v>
      </c>
      <c r="E458" s="8" t="s">
        <v>2687</v>
      </c>
      <c r="F458" s="8">
        <v>5.061635795E9</v>
      </c>
      <c r="G458" s="8" t="s">
        <v>31</v>
      </c>
      <c r="H458" s="8" t="s">
        <v>292</v>
      </c>
      <c r="I458" s="8" t="s">
        <v>284</v>
      </c>
      <c r="J458" s="8" t="s">
        <v>793</v>
      </c>
      <c r="K458" s="10" t="s">
        <v>2688</v>
      </c>
      <c r="L458" s="8" t="s">
        <v>58</v>
      </c>
      <c r="M458" s="8" t="s">
        <v>35</v>
      </c>
      <c r="N458" s="11">
        <v>44848.0</v>
      </c>
      <c r="O458" s="11">
        <v>45108.0</v>
      </c>
      <c r="P458" s="11">
        <v>45150.0</v>
      </c>
      <c r="Q458" s="11">
        <v>45107.0</v>
      </c>
      <c r="R458" s="11">
        <v>45154.0</v>
      </c>
      <c r="S458" s="12"/>
      <c r="T458" s="8"/>
      <c r="U458" s="8" t="s">
        <v>1038</v>
      </c>
      <c r="V458" s="13" t="s">
        <v>292</v>
      </c>
      <c r="W458" s="13" t="s">
        <v>2689</v>
      </c>
      <c r="X458" s="12"/>
      <c r="Y458" s="14"/>
      <c r="Z458" s="14"/>
    </row>
    <row r="459">
      <c r="A459" s="8" t="s">
        <v>2690</v>
      </c>
      <c r="B459" s="8" t="s">
        <v>2691</v>
      </c>
      <c r="C459" s="8" t="s">
        <v>64</v>
      </c>
      <c r="D459" s="8" t="s">
        <v>26</v>
      </c>
      <c r="E459" s="8" t="s">
        <v>2692</v>
      </c>
      <c r="F459" s="8">
        <v>9.6281976E7</v>
      </c>
      <c r="G459" s="8" t="s">
        <v>54</v>
      </c>
      <c r="H459" s="8" t="s">
        <v>135</v>
      </c>
      <c r="I459" s="8" t="s">
        <v>31</v>
      </c>
      <c r="J459" s="8" t="s">
        <v>86</v>
      </c>
      <c r="K459" s="10" t="s">
        <v>2453</v>
      </c>
      <c r="L459" s="8" t="s">
        <v>58</v>
      </c>
      <c r="M459" s="8" t="s">
        <v>35</v>
      </c>
      <c r="N459" s="11">
        <v>44848.0</v>
      </c>
      <c r="O459" s="11">
        <v>44879.0</v>
      </c>
      <c r="P459" s="11">
        <v>44921.0</v>
      </c>
      <c r="Q459" s="11">
        <v>44879.0</v>
      </c>
      <c r="R459" s="11">
        <v>44921.0</v>
      </c>
      <c r="S459" s="12"/>
      <c r="T459" s="8"/>
      <c r="U459" s="8" t="s">
        <v>59</v>
      </c>
      <c r="V459" s="13" t="s">
        <v>2693</v>
      </c>
      <c r="W459" s="13" t="s">
        <v>2694</v>
      </c>
      <c r="X459" s="12"/>
      <c r="Y459" s="14"/>
      <c r="Z459" s="14"/>
    </row>
    <row r="460">
      <c r="A460" s="8" t="s">
        <v>2695</v>
      </c>
      <c r="B460" s="8" t="s">
        <v>2696</v>
      </c>
      <c r="C460" s="8" t="s">
        <v>25</v>
      </c>
      <c r="D460" s="8" t="s">
        <v>26</v>
      </c>
      <c r="E460" s="8" t="s">
        <v>2697</v>
      </c>
      <c r="F460" s="8"/>
      <c r="G460" s="8" t="s">
        <v>315</v>
      </c>
      <c r="H460" s="8" t="s">
        <v>1242</v>
      </c>
      <c r="I460" s="8" t="s">
        <v>31</v>
      </c>
      <c r="J460" s="8" t="s">
        <v>438</v>
      </c>
      <c r="K460" s="10" t="s">
        <v>439</v>
      </c>
      <c r="L460" s="8" t="s">
        <v>58</v>
      </c>
      <c r="M460" s="8" t="s">
        <v>35</v>
      </c>
      <c r="N460" s="11">
        <v>44848.0</v>
      </c>
      <c r="O460" s="11">
        <v>44886.0</v>
      </c>
      <c r="P460" s="11">
        <v>44928.0</v>
      </c>
      <c r="Q460" s="11">
        <v>44884.0</v>
      </c>
      <c r="R460" s="11">
        <v>44928.0</v>
      </c>
      <c r="S460" s="12"/>
      <c r="T460" s="8"/>
      <c r="U460" s="8" t="s">
        <v>59</v>
      </c>
      <c r="V460" s="13" t="s">
        <v>38</v>
      </c>
      <c r="W460" s="13" t="s">
        <v>2698</v>
      </c>
      <c r="X460" s="12"/>
      <c r="Y460" s="14"/>
      <c r="Z460" s="14"/>
    </row>
    <row r="461">
      <c r="A461" s="8" t="s">
        <v>2699</v>
      </c>
      <c r="B461" s="8" t="s">
        <v>2700</v>
      </c>
      <c r="C461" s="8" t="s">
        <v>25</v>
      </c>
      <c r="D461" s="8" t="s">
        <v>26</v>
      </c>
      <c r="E461" s="8" t="s">
        <v>2701</v>
      </c>
      <c r="F461" s="8">
        <v>9.9151431E7</v>
      </c>
      <c r="G461" s="8" t="s">
        <v>54</v>
      </c>
      <c r="H461" s="8" t="s">
        <v>430</v>
      </c>
      <c r="I461" s="8" t="s">
        <v>31</v>
      </c>
      <c r="J461" s="8" t="s">
        <v>86</v>
      </c>
      <c r="K461" s="10" t="s">
        <v>578</v>
      </c>
      <c r="L461" s="8" t="s">
        <v>58</v>
      </c>
      <c r="M461" s="8" t="s">
        <v>35</v>
      </c>
      <c r="N461" s="11">
        <v>44848.0</v>
      </c>
      <c r="O461" s="11">
        <v>44852.0</v>
      </c>
      <c r="P461" s="11">
        <v>44894.0</v>
      </c>
      <c r="Q461" s="11">
        <v>44854.0</v>
      </c>
      <c r="R461" s="11">
        <v>44895.0</v>
      </c>
      <c r="S461" s="12"/>
      <c r="T461" s="8"/>
      <c r="U461" s="8" t="s">
        <v>59</v>
      </c>
      <c r="V461" s="13" t="s">
        <v>431</v>
      </c>
      <c r="W461" s="13" t="s">
        <v>2702</v>
      </c>
      <c r="X461" s="12"/>
      <c r="Y461" s="14"/>
      <c r="Z461" s="14"/>
    </row>
    <row r="462">
      <c r="A462" s="8" t="s">
        <v>2703</v>
      </c>
      <c r="B462" s="8" t="s">
        <v>2704</v>
      </c>
      <c r="C462" s="8" t="s">
        <v>25</v>
      </c>
      <c r="D462" s="8" t="s">
        <v>26</v>
      </c>
      <c r="E462" s="8" t="s">
        <v>2705</v>
      </c>
      <c r="F462" s="8">
        <v>5.40674883E8</v>
      </c>
      <c r="G462" s="8" t="s">
        <v>254</v>
      </c>
      <c r="H462" s="8" t="s">
        <v>255</v>
      </c>
      <c r="I462" s="8" t="s">
        <v>31</v>
      </c>
      <c r="J462" s="8" t="s">
        <v>86</v>
      </c>
      <c r="K462" s="10" t="s">
        <v>2706</v>
      </c>
      <c r="L462" s="8" t="s">
        <v>47</v>
      </c>
      <c r="M462" s="8" t="s">
        <v>70</v>
      </c>
      <c r="N462" s="11">
        <v>44848.0</v>
      </c>
      <c r="O462" s="11">
        <v>44829.0</v>
      </c>
      <c r="P462" s="11">
        <v>45191.0</v>
      </c>
      <c r="Q462" s="11">
        <v>44878.0</v>
      </c>
      <c r="R462" s="11">
        <v>45121.0</v>
      </c>
      <c r="S462" s="12"/>
      <c r="T462" s="8"/>
      <c r="U462" s="8" t="s">
        <v>2707</v>
      </c>
      <c r="V462" s="13" t="s">
        <v>258</v>
      </c>
      <c r="W462" s="13" t="s">
        <v>2708</v>
      </c>
      <c r="X462" s="12"/>
      <c r="Y462" s="14"/>
      <c r="Z462" s="14"/>
    </row>
    <row r="463">
      <c r="A463" s="8" t="s">
        <v>2709</v>
      </c>
      <c r="B463" s="8" t="s">
        <v>2710</v>
      </c>
      <c r="C463" s="8" t="s">
        <v>179</v>
      </c>
      <c r="D463" s="8" t="s">
        <v>26</v>
      </c>
      <c r="E463" s="8" t="s">
        <v>2711</v>
      </c>
      <c r="F463" s="8" t="s">
        <v>2712</v>
      </c>
      <c r="G463" s="8" t="s">
        <v>31</v>
      </c>
      <c r="H463" s="8" t="s">
        <v>1274</v>
      </c>
      <c r="I463" s="8" t="s">
        <v>44</v>
      </c>
      <c r="J463" s="8" t="s">
        <v>2348</v>
      </c>
      <c r="K463" s="10" t="s">
        <v>2713</v>
      </c>
      <c r="L463" s="8" t="s">
        <v>58</v>
      </c>
      <c r="M463" s="8" t="s">
        <v>35</v>
      </c>
      <c r="N463" s="11">
        <v>44849.0</v>
      </c>
      <c r="O463" s="11">
        <v>45170.0</v>
      </c>
      <c r="P463" s="11">
        <v>45214.0</v>
      </c>
      <c r="Q463" s="11"/>
      <c r="R463" s="11"/>
      <c r="S463" s="12"/>
      <c r="T463" s="8"/>
      <c r="U463" s="8" t="s">
        <v>161</v>
      </c>
      <c r="V463" s="13" t="s">
        <v>1274</v>
      </c>
      <c r="W463" s="13" t="s">
        <v>2714</v>
      </c>
      <c r="X463" s="12"/>
      <c r="Y463" s="14"/>
      <c r="Z463" s="14"/>
    </row>
    <row r="464">
      <c r="A464" s="8" t="s">
        <v>2715</v>
      </c>
      <c r="B464" s="8" t="s">
        <v>2716</v>
      </c>
      <c r="C464" s="8" t="s">
        <v>64</v>
      </c>
      <c r="D464" s="8" t="s">
        <v>26</v>
      </c>
      <c r="E464" s="8" t="s">
        <v>2717</v>
      </c>
      <c r="F464" s="8"/>
      <c r="G464" s="8" t="s">
        <v>2330</v>
      </c>
      <c r="H464" s="8" t="s">
        <v>2718</v>
      </c>
      <c r="I464" s="8" t="s">
        <v>31</v>
      </c>
      <c r="J464" s="8" t="s">
        <v>167</v>
      </c>
      <c r="K464" s="10" t="s">
        <v>620</v>
      </c>
      <c r="L464" s="8" t="s">
        <v>58</v>
      </c>
      <c r="M464" s="8" t="s">
        <v>35</v>
      </c>
      <c r="N464" s="11">
        <v>44849.0</v>
      </c>
      <c r="O464" s="11">
        <v>44851.0</v>
      </c>
      <c r="P464" s="11">
        <v>44893.0</v>
      </c>
      <c r="Q464" s="11">
        <v>44852.0</v>
      </c>
      <c r="R464" s="11">
        <v>44887.0</v>
      </c>
      <c r="S464" s="12"/>
      <c r="T464" s="8"/>
      <c r="U464" s="8" t="s">
        <v>88</v>
      </c>
      <c r="V464" s="13" t="s">
        <v>38</v>
      </c>
      <c r="W464" s="13" t="s">
        <v>2719</v>
      </c>
      <c r="X464" s="12"/>
      <c r="Y464" s="14"/>
      <c r="Z464" s="14"/>
    </row>
    <row r="465">
      <c r="A465" s="8" t="s">
        <v>2720</v>
      </c>
      <c r="B465" s="8" t="s">
        <v>2721</v>
      </c>
      <c r="C465" s="8" t="s">
        <v>64</v>
      </c>
      <c r="D465" s="8" t="s">
        <v>26</v>
      </c>
      <c r="E465" s="8" t="s">
        <v>2722</v>
      </c>
      <c r="F465" s="8">
        <v>1.142063672E9</v>
      </c>
      <c r="G465" s="8" t="s">
        <v>284</v>
      </c>
      <c r="H465" s="8" t="s">
        <v>589</v>
      </c>
      <c r="I465" s="8" t="s">
        <v>31</v>
      </c>
      <c r="J465" s="8" t="s">
        <v>438</v>
      </c>
      <c r="K465" s="10" t="s">
        <v>1905</v>
      </c>
      <c r="L465" s="8" t="s">
        <v>47</v>
      </c>
      <c r="M465" s="8" t="s">
        <v>70</v>
      </c>
      <c r="N465" s="11">
        <v>44849.0</v>
      </c>
      <c r="O465" s="11">
        <v>44865.0</v>
      </c>
      <c r="P465" s="11">
        <v>45229.0</v>
      </c>
      <c r="Q465" s="11">
        <v>44897.0</v>
      </c>
      <c r="R465" s="11">
        <v>45261.0</v>
      </c>
      <c r="S465" s="12"/>
      <c r="T465" s="8"/>
      <c r="U465" s="8" t="s">
        <v>1906</v>
      </c>
      <c r="V465" s="13" t="s">
        <v>589</v>
      </c>
      <c r="W465" s="13" t="s">
        <v>2723</v>
      </c>
      <c r="X465" s="12"/>
      <c r="Y465" s="14"/>
      <c r="Z465" s="14"/>
    </row>
    <row r="466">
      <c r="A466" s="8" t="s">
        <v>2724</v>
      </c>
      <c r="B466" s="8" t="s">
        <v>2725</v>
      </c>
      <c r="C466" s="8" t="s">
        <v>64</v>
      </c>
      <c r="D466" s="8" t="s">
        <v>26</v>
      </c>
      <c r="E466" s="8" t="s">
        <v>2726</v>
      </c>
      <c r="F466" s="8">
        <v>2.6207405E7</v>
      </c>
      <c r="G466" s="8" t="s">
        <v>54</v>
      </c>
      <c r="H466" s="8" t="s">
        <v>237</v>
      </c>
      <c r="I466" s="8" t="s">
        <v>31</v>
      </c>
      <c r="J466" s="8" t="s">
        <v>32</v>
      </c>
      <c r="K466" s="10" t="s">
        <v>1813</v>
      </c>
      <c r="L466" s="8" t="s">
        <v>58</v>
      </c>
      <c r="M466" s="8" t="s">
        <v>35</v>
      </c>
      <c r="N466" s="11">
        <v>44850.0</v>
      </c>
      <c r="O466" s="11">
        <v>45081.0</v>
      </c>
      <c r="P466" s="11">
        <v>45123.0</v>
      </c>
      <c r="Q466" s="11">
        <v>45089.0</v>
      </c>
      <c r="R466" s="11">
        <v>45131.0</v>
      </c>
      <c r="S466" s="12"/>
      <c r="T466" s="8"/>
      <c r="U466" s="8" t="s">
        <v>161</v>
      </c>
      <c r="V466" s="13" t="s">
        <v>384</v>
      </c>
      <c r="W466" s="13" t="s">
        <v>2727</v>
      </c>
      <c r="X466" s="12"/>
      <c r="Y466" s="14"/>
      <c r="Z466" s="14"/>
    </row>
    <row r="467">
      <c r="A467" s="8" t="s">
        <v>2728</v>
      </c>
      <c r="B467" s="8" t="s">
        <v>2729</v>
      </c>
      <c r="C467" s="8" t="s">
        <v>25</v>
      </c>
      <c r="D467" s="8" t="s">
        <v>26</v>
      </c>
      <c r="E467" s="8" t="s">
        <v>2730</v>
      </c>
      <c r="F467" s="8">
        <v>9.892579836E9</v>
      </c>
      <c r="G467" s="8" t="s">
        <v>44</v>
      </c>
      <c r="H467" s="8" t="s">
        <v>741</v>
      </c>
      <c r="I467" s="8" t="s">
        <v>31</v>
      </c>
      <c r="J467" s="8" t="s">
        <v>77</v>
      </c>
      <c r="K467" s="10" t="s">
        <v>2537</v>
      </c>
      <c r="L467" s="8" t="s">
        <v>58</v>
      </c>
      <c r="M467" s="8" t="s">
        <v>35</v>
      </c>
      <c r="N467" s="11">
        <v>44850.0</v>
      </c>
      <c r="O467" s="11">
        <v>44907.0</v>
      </c>
      <c r="P467" s="11">
        <v>44949.0</v>
      </c>
      <c r="Q467" s="11">
        <v>44909.0</v>
      </c>
      <c r="R467" s="11">
        <v>44949.0</v>
      </c>
      <c r="S467" s="12"/>
      <c r="T467" s="8"/>
      <c r="U467" s="8" t="s">
        <v>88</v>
      </c>
      <c r="V467" s="13" t="s">
        <v>741</v>
      </c>
      <c r="W467" s="13" t="s">
        <v>2731</v>
      </c>
      <c r="X467" s="12"/>
      <c r="Y467" s="14"/>
      <c r="Z467" s="14"/>
    </row>
    <row r="468">
      <c r="A468" s="8" t="s">
        <v>2732</v>
      </c>
      <c r="B468" s="8" t="s">
        <v>2733</v>
      </c>
      <c r="C468" s="8" t="s">
        <v>179</v>
      </c>
      <c r="D468" s="8" t="s">
        <v>26</v>
      </c>
      <c r="E468" s="8" t="s">
        <v>2734</v>
      </c>
      <c r="F468" s="8">
        <v>6.29720481E8</v>
      </c>
      <c r="G468" s="8" t="s">
        <v>221</v>
      </c>
      <c r="H468" s="8" t="s">
        <v>2735</v>
      </c>
      <c r="I468" s="8" t="s">
        <v>31</v>
      </c>
      <c r="J468" s="8" t="s">
        <v>1119</v>
      </c>
      <c r="K468" s="10" t="s">
        <v>2736</v>
      </c>
      <c r="L468" s="8" t="s">
        <v>58</v>
      </c>
      <c r="M468" s="8" t="s">
        <v>35</v>
      </c>
      <c r="N468" s="11">
        <v>44850.0</v>
      </c>
      <c r="O468" s="11">
        <v>45109.0</v>
      </c>
      <c r="P468" s="11">
        <v>45151.0</v>
      </c>
      <c r="Q468" s="11"/>
      <c r="R468" s="11"/>
      <c r="S468" s="12"/>
      <c r="T468" s="8"/>
      <c r="U468" s="8" t="s">
        <v>59</v>
      </c>
      <c r="V468" s="13" t="s">
        <v>2737</v>
      </c>
      <c r="W468" s="13" t="s">
        <v>2738</v>
      </c>
      <c r="X468" s="12"/>
      <c r="Y468" s="14"/>
      <c r="Z468" s="14"/>
    </row>
    <row r="469">
      <c r="A469" s="8" t="s">
        <v>2739</v>
      </c>
      <c r="B469" s="8" t="s">
        <v>2740</v>
      </c>
      <c r="C469" s="8" t="s">
        <v>179</v>
      </c>
      <c r="D469" s="8" t="s">
        <v>26</v>
      </c>
      <c r="E469" s="8" t="s">
        <v>2741</v>
      </c>
      <c r="F469" s="8" t="s">
        <v>2742</v>
      </c>
      <c r="G469" s="8" t="s">
        <v>31</v>
      </c>
      <c r="H469" s="8" t="s">
        <v>1274</v>
      </c>
      <c r="I469" s="8" t="s">
        <v>44</v>
      </c>
      <c r="J469" s="8" t="s">
        <v>2348</v>
      </c>
      <c r="K469" s="10" t="s">
        <v>2713</v>
      </c>
      <c r="L469" s="8" t="s">
        <v>58</v>
      </c>
      <c r="M469" s="8" t="s">
        <v>35</v>
      </c>
      <c r="N469" s="11">
        <v>44851.0</v>
      </c>
      <c r="O469" s="11">
        <v>45170.0</v>
      </c>
      <c r="P469" s="11">
        <v>45214.0</v>
      </c>
      <c r="Q469" s="11"/>
      <c r="R469" s="11"/>
      <c r="S469" s="12"/>
      <c r="T469" s="8"/>
      <c r="U469" s="8" t="s">
        <v>161</v>
      </c>
      <c r="V469" s="13" t="s">
        <v>1274</v>
      </c>
      <c r="W469" s="13" t="s">
        <v>2743</v>
      </c>
      <c r="X469" s="12"/>
      <c r="Y469" s="14"/>
      <c r="Z469" s="14"/>
    </row>
    <row r="470">
      <c r="A470" s="8" t="s">
        <v>2744</v>
      </c>
      <c r="B470" s="8" t="s">
        <v>2745</v>
      </c>
      <c r="C470" s="8" t="s">
        <v>179</v>
      </c>
      <c r="D470" s="8" t="s">
        <v>26</v>
      </c>
      <c r="E470" s="8" t="s">
        <v>2746</v>
      </c>
      <c r="F470" s="8">
        <v>5.1999154241E10</v>
      </c>
      <c r="G470" s="8" t="s">
        <v>109</v>
      </c>
      <c r="H470" s="8" t="s">
        <v>2747</v>
      </c>
      <c r="I470" s="8" t="s">
        <v>31</v>
      </c>
      <c r="J470" s="8" t="s">
        <v>292</v>
      </c>
      <c r="K470" s="10" t="s">
        <v>2070</v>
      </c>
      <c r="L470" s="8" t="s">
        <v>58</v>
      </c>
      <c r="M470" s="8" t="s">
        <v>35</v>
      </c>
      <c r="N470" s="11">
        <v>44851.0</v>
      </c>
      <c r="O470" s="11">
        <v>45033.0</v>
      </c>
      <c r="P470" s="11">
        <v>45075.0</v>
      </c>
      <c r="Q470" s="11"/>
      <c r="R470" s="11"/>
      <c r="S470" s="12"/>
      <c r="T470" s="8"/>
      <c r="U470" s="8" t="s">
        <v>88</v>
      </c>
      <c r="V470" s="13" t="s">
        <v>38</v>
      </c>
      <c r="W470" s="13" t="s">
        <v>2748</v>
      </c>
      <c r="X470" s="12"/>
      <c r="Y470" s="14"/>
      <c r="Z470" s="14"/>
    </row>
    <row r="471">
      <c r="A471" s="8" t="s">
        <v>2749</v>
      </c>
      <c r="B471" s="8" t="s">
        <v>2750</v>
      </c>
      <c r="C471" s="8" t="s">
        <v>25</v>
      </c>
      <c r="D471" s="8" t="s">
        <v>26</v>
      </c>
      <c r="E471" s="8" t="s">
        <v>2751</v>
      </c>
      <c r="F471" s="8">
        <v>5.374304374E9</v>
      </c>
      <c r="G471" s="8" t="s">
        <v>31</v>
      </c>
      <c r="H471" s="8" t="s">
        <v>86</v>
      </c>
      <c r="I471" s="8" t="s">
        <v>284</v>
      </c>
      <c r="J471" s="8" t="s">
        <v>589</v>
      </c>
      <c r="K471" s="10" t="s">
        <v>2565</v>
      </c>
      <c r="L471" s="8" t="s">
        <v>58</v>
      </c>
      <c r="M471" s="8" t="s">
        <v>35</v>
      </c>
      <c r="N471" s="11">
        <v>44851.0</v>
      </c>
      <c r="O471" s="11">
        <v>44938.0</v>
      </c>
      <c r="P471" s="11">
        <v>44980.0</v>
      </c>
      <c r="Q471" s="11">
        <v>44942.0</v>
      </c>
      <c r="R471" s="11">
        <v>44985.0</v>
      </c>
      <c r="S471" s="12"/>
      <c r="T471" s="8"/>
      <c r="U471" s="8" t="s">
        <v>1038</v>
      </c>
      <c r="V471" s="13" t="s">
        <v>175</v>
      </c>
      <c r="W471" s="13" t="s">
        <v>2752</v>
      </c>
      <c r="X471" s="12"/>
      <c r="Y471" s="14"/>
      <c r="Z471" s="14"/>
    </row>
    <row r="472">
      <c r="A472" s="8" t="s">
        <v>2753</v>
      </c>
      <c r="B472" s="8" t="s">
        <v>2754</v>
      </c>
      <c r="C472" s="8" t="s">
        <v>25</v>
      </c>
      <c r="D472" s="8" t="s">
        <v>26</v>
      </c>
      <c r="E472" s="8" t="s">
        <v>2755</v>
      </c>
      <c r="F472" s="8">
        <v>5.382704736E9</v>
      </c>
      <c r="G472" s="8" t="s">
        <v>31</v>
      </c>
      <c r="H472" s="8" t="s">
        <v>86</v>
      </c>
      <c r="I472" s="8" t="s">
        <v>284</v>
      </c>
      <c r="J472" s="8" t="s">
        <v>589</v>
      </c>
      <c r="K472" s="10" t="s">
        <v>2565</v>
      </c>
      <c r="L472" s="8" t="s">
        <v>58</v>
      </c>
      <c r="M472" s="8" t="s">
        <v>35</v>
      </c>
      <c r="N472" s="11">
        <v>44851.0</v>
      </c>
      <c r="O472" s="11">
        <v>44938.0</v>
      </c>
      <c r="P472" s="11">
        <v>44980.0</v>
      </c>
      <c r="Q472" s="11">
        <v>44942.0</v>
      </c>
      <c r="R472" s="11">
        <v>44984.0</v>
      </c>
      <c r="S472" s="12"/>
      <c r="T472" s="8"/>
      <c r="U472" s="8" t="s">
        <v>1038</v>
      </c>
      <c r="V472" s="13" t="s">
        <v>175</v>
      </c>
      <c r="W472" s="13" t="s">
        <v>2756</v>
      </c>
      <c r="X472" s="12"/>
      <c r="Y472" s="14"/>
      <c r="Z472" s="14"/>
    </row>
    <row r="473">
      <c r="A473" s="8" t="s">
        <v>2757</v>
      </c>
      <c r="B473" s="8" t="s">
        <v>2758</v>
      </c>
      <c r="C473" s="8" t="s">
        <v>64</v>
      </c>
      <c r="D473" s="8" t="s">
        <v>26</v>
      </c>
      <c r="E473" s="8" t="s">
        <v>2759</v>
      </c>
      <c r="F473" s="8">
        <v>6.0131433E8</v>
      </c>
      <c r="G473" s="8" t="s">
        <v>221</v>
      </c>
      <c r="H473" s="8" t="s">
        <v>2760</v>
      </c>
      <c r="I473" s="8" t="s">
        <v>31</v>
      </c>
      <c r="J473" s="8" t="s">
        <v>32</v>
      </c>
      <c r="K473" s="10" t="s">
        <v>1813</v>
      </c>
      <c r="L473" s="8" t="s">
        <v>58</v>
      </c>
      <c r="M473" s="8" t="s">
        <v>35</v>
      </c>
      <c r="N473" s="11">
        <v>44851.0</v>
      </c>
      <c r="O473" s="11">
        <v>45123.0</v>
      </c>
      <c r="P473" s="11">
        <v>45165.0</v>
      </c>
      <c r="Q473" s="11">
        <v>45124.0</v>
      </c>
      <c r="R473" s="11">
        <v>45166.0</v>
      </c>
      <c r="S473" s="12"/>
      <c r="T473" s="8"/>
      <c r="U473" s="8" t="s">
        <v>161</v>
      </c>
      <c r="V473" s="13" t="s">
        <v>2761</v>
      </c>
      <c r="W473" s="13" t="s">
        <v>2762</v>
      </c>
      <c r="X473" s="12"/>
      <c r="Y473" s="14"/>
      <c r="Z473" s="14"/>
    </row>
    <row r="474">
      <c r="A474" s="8" t="s">
        <v>2763</v>
      </c>
      <c r="B474" s="8" t="s">
        <v>2764</v>
      </c>
      <c r="C474" s="8" t="s">
        <v>25</v>
      </c>
      <c r="D474" s="8" t="s">
        <v>26</v>
      </c>
      <c r="E474" s="8" t="s">
        <v>2765</v>
      </c>
      <c r="F474" s="8">
        <v>5.468053079E9</v>
      </c>
      <c r="G474" s="8" t="s">
        <v>31</v>
      </c>
      <c r="H474" s="8" t="s">
        <v>1274</v>
      </c>
      <c r="I474" s="8" t="s">
        <v>284</v>
      </c>
      <c r="J474" s="8" t="s">
        <v>589</v>
      </c>
      <c r="K474" s="10" t="s">
        <v>2766</v>
      </c>
      <c r="L474" s="8" t="s">
        <v>58</v>
      </c>
      <c r="M474" s="8" t="s">
        <v>35</v>
      </c>
      <c r="N474" s="11">
        <v>44852.0</v>
      </c>
      <c r="O474" s="11">
        <v>45148.0</v>
      </c>
      <c r="P474" s="11">
        <v>45190.0</v>
      </c>
      <c r="Q474" s="11">
        <v>45149.0</v>
      </c>
      <c r="R474" s="11">
        <v>45190.0</v>
      </c>
      <c r="S474" s="12"/>
      <c r="T474" s="8"/>
      <c r="U474" s="8" t="s">
        <v>632</v>
      </c>
      <c r="V474" s="13" t="s">
        <v>1274</v>
      </c>
      <c r="W474" s="13" t="s">
        <v>2767</v>
      </c>
      <c r="X474" s="12"/>
      <c r="Y474" s="14"/>
      <c r="Z474" s="14"/>
    </row>
    <row r="475">
      <c r="A475" s="8" t="s">
        <v>2768</v>
      </c>
      <c r="B475" s="8" t="s">
        <v>2769</v>
      </c>
      <c r="C475" s="8" t="s">
        <v>64</v>
      </c>
      <c r="D475" s="8" t="s">
        <v>26</v>
      </c>
      <c r="E475" s="8" t="s">
        <v>2770</v>
      </c>
      <c r="F475" s="8">
        <v>1.121060419E9</v>
      </c>
      <c r="G475" s="8" t="s">
        <v>284</v>
      </c>
      <c r="H475" s="8" t="s">
        <v>1777</v>
      </c>
      <c r="I475" s="8" t="s">
        <v>31</v>
      </c>
      <c r="J475" s="8" t="s">
        <v>32</v>
      </c>
      <c r="K475" s="10" t="s">
        <v>1813</v>
      </c>
      <c r="L475" s="8" t="s">
        <v>58</v>
      </c>
      <c r="M475" s="8" t="s">
        <v>35</v>
      </c>
      <c r="N475" s="11">
        <v>44852.0</v>
      </c>
      <c r="O475" s="11">
        <v>44913.0</v>
      </c>
      <c r="P475" s="11">
        <v>44955.0</v>
      </c>
      <c r="Q475" s="11">
        <v>44921.0</v>
      </c>
      <c r="R475" s="11">
        <v>44963.0</v>
      </c>
      <c r="S475" s="12"/>
      <c r="T475" s="8"/>
      <c r="U475" s="8" t="s">
        <v>161</v>
      </c>
      <c r="V475" s="13" t="s">
        <v>2168</v>
      </c>
      <c r="W475" s="13" t="s">
        <v>2771</v>
      </c>
      <c r="X475" s="12"/>
      <c r="Y475" s="14"/>
      <c r="Z475" s="14"/>
    </row>
    <row r="476">
      <c r="A476" s="8" t="s">
        <v>2772</v>
      </c>
      <c r="B476" s="8" t="s">
        <v>2773</v>
      </c>
      <c r="C476" s="8" t="s">
        <v>25</v>
      </c>
      <c r="D476" s="8" t="s">
        <v>26</v>
      </c>
      <c r="E476" s="8" t="s">
        <v>2774</v>
      </c>
      <c r="F476" s="8">
        <v>7.073606037E9</v>
      </c>
      <c r="G476" s="8" t="s">
        <v>496</v>
      </c>
      <c r="H476" s="8" t="s">
        <v>2112</v>
      </c>
      <c r="I476" s="8" t="s">
        <v>31</v>
      </c>
      <c r="J476" s="8" t="s">
        <v>256</v>
      </c>
      <c r="K476" s="10" t="s">
        <v>2775</v>
      </c>
      <c r="L476" s="8" t="s">
        <v>58</v>
      </c>
      <c r="M476" s="8" t="s">
        <v>35</v>
      </c>
      <c r="N476" s="11">
        <v>44852.0</v>
      </c>
      <c r="O476" s="11">
        <v>44923.0</v>
      </c>
      <c r="P476" s="11">
        <v>44965.0</v>
      </c>
      <c r="Q476" s="11">
        <v>44924.0</v>
      </c>
      <c r="R476" s="11">
        <v>44965.0</v>
      </c>
      <c r="S476" s="12"/>
      <c r="T476" s="8"/>
      <c r="U476" s="8" t="s">
        <v>59</v>
      </c>
      <c r="V476" s="13" t="s">
        <v>2776</v>
      </c>
      <c r="W476" s="13" t="s">
        <v>2777</v>
      </c>
      <c r="X476" s="12"/>
      <c r="Y476" s="14"/>
      <c r="Z476" s="14"/>
    </row>
    <row r="477">
      <c r="A477" s="8" t="s">
        <v>2778</v>
      </c>
      <c r="B477" s="8" t="s">
        <v>2779</v>
      </c>
      <c r="C477" s="8" t="s">
        <v>25</v>
      </c>
      <c r="D477" s="8" t="s">
        <v>26</v>
      </c>
      <c r="E477" s="8" t="s">
        <v>2780</v>
      </c>
      <c r="F477" s="8">
        <v>5.377370149E9</v>
      </c>
      <c r="G477" s="8" t="s">
        <v>31</v>
      </c>
      <c r="H477" s="8" t="s">
        <v>56</v>
      </c>
      <c r="I477" s="8" t="s">
        <v>284</v>
      </c>
      <c r="J477" s="8" t="s">
        <v>793</v>
      </c>
      <c r="K477" s="10" t="s">
        <v>2781</v>
      </c>
      <c r="L477" s="8" t="s">
        <v>58</v>
      </c>
      <c r="M477" s="8" t="s">
        <v>35</v>
      </c>
      <c r="N477" s="11">
        <v>44852.0</v>
      </c>
      <c r="O477" s="11">
        <v>44958.0</v>
      </c>
      <c r="P477" s="11">
        <v>45000.0</v>
      </c>
      <c r="Q477" s="11">
        <v>44957.0</v>
      </c>
      <c r="R477" s="11">
        <v>45000.0</v>
      </c>
      <c r="S477" s="12"/>
      <c r="T477" s="8"/>
      <c r="U477" s="8" t="s">
        <v>339</v>
      </c>
      <c r="V477" s="13" t="s">
        <v>56</v>
      </c>
      <c r="W477" s="13" t="s">
        <v>2782</v>
      </c>
      <c r="X477" s="12"/>
      <c r="Y477" s="14"/>
      <c r="Z477" s="14"/>
    </row>
    <row r="478">
      <c r="A478" s="8" t="s">
        <v>2783</v>
      </c>
      <c r="B478" s="8" t="s">
        <v>2784</v>
      </c>
      <c r="C478" s="8" t="s">
        <v>25</v>
      </c>
      <c r="D478" s="8" t="s">
        <v>26</v>
      </c>
      <c r="E478" s="8" t="s">
        <v>2785</v>
      </c>
      <c r="F478" s="8" t="s">
        <v>2786</v>
      </c>
      <c r="G478" s="8" t="s">
        <v>54</v>
      </c>
      <c r="H478" s="8" t="s">
        <v>237</v>
      </c>
      <c r="I478" s="8" t="s">
        <v>31</v>
      </c>
      <c r="J478" s="8" t="s">
        <v>56</v>
      </c>
      <c r="K478" s="10" t="s">
        <v>2787</v>
      </c>
      <c r="L478" s="8" t="s">
        <v>47</v>
      </c>
      <c r="M478" s="8" t="s">
        <v>70</v>
      </c>
      <c r="N478" s="11">
        <v>44852.0</v>
      </c>
      <c r="O478" s="11">
        <v>44869.0</v>
      </c>
      <c r="P478" s="11">
        <v>45234.0</v>
      </c>
      <c r="Q478" s="11">
        <v>44905.0</v>
      </c>
      <c r="R478" s="11">
        <v>45268.0</v>
      </c>
      <c r="S478" s="12"/>
      <c r="T478" s="8"/>
      <c r="U478" s="8" t="s">
        <v>2788</v>
      </c>
      <c r="V478" s="13" t="s">
        <v>1788</v>
      </c>
      <c r="W478" s="13" t="s">
        <v>2789</v>
      </c>
      <c r="X478" s="12"/>
      <c r="Y478" s="14"/>
      <c r="Z478" s="14"/>
    </row>
    <row r="479">
      <c r="A479" s="8" t="s">
        <v>2790</v>
      </c>
      <c r="B479" s="8" t="s">
        <v>2791</v>
      </c>
      <c r="C479" s="8" t="s">
        <v>25</v>
      </c>
      <c r="D479" s="8" t="s">
        <v>26</v>
      </c>
      <c r="E479" s="8" t="s">
        <v>2792</v>
      </c>
      <c r="F479" s="8">
        <v>5.323937396E9</v>
      </c>
      <c r="G479" s="8" t="s">
        <v>31</v>
      </c>
      <c r="H479" s="8" t="s">
        <v>86</v>
      </c>
      <c r="I479" s="8" t="s">
        <v>284</v>
      </c>
      <c r="J479" s="8" t="s">
        <v>793</v>
      </c>
      <c r="K479" s="10" t="s">
        <v>2688</v>
      </c>
      <c r="L479" s="8" t="s">
        <v>58</v>
      </c>
      <c r="M479" s="8" t="s">
        <v>35</v>
      </c>
      <c r="N479" s="11">
        <v>44852.0</v>
      </c>
      <c r="O479" s="11">
        <v>45108.0</v>
      </c>
      <c r="P479" s="11">
        <v>45150.0</v>
      </c>
      <c r="Q479" s="11">
        <v>45107.0</v>
      </c>
      <c r="R479" s="11">
        <v>45154.0</v>
      </c>
      <c r="S479" s="12"/>
      <c r="T479" s="8"/>
      <c r="U479" s="8" t="s">
        <v>1038</v>
      </c>
      <c r="V479" s="13" t="s">
        <v>175</v>
      </c>
      <c r="W479" s="13" t="s">
        <v>2793</v>
      </c>
      <c r="X479" s="12"/>
      <c r="Y479" s="14"/>
      <c r="Z479" s="14"/>
    </row>
    <row r="480">
      <c r="A480" s="8" t="s">
        <v>2794</v>
      </c>
      <c r="B480" s="8" t="s">
        <v>2795</v>
      </c>
      <c r="C480" s="8" t="s">
        <v>179</v>
      </c>
      <c r="D480" s="8" t="s">
        <v>26</v>
      </c>
      <c r="E480" s="8" t="s">
        <v>2796</v>
      </c>
      <c r="F480" s="8">
        <v>6.52415088E8</v>
      </c>
      <c r="G480" s="8" t="s">
        <v>835</v>
      </c>
      <c r="H480" s="8" t="s">
        <v>836</v>
      </c>
      <c r="I480" s="8" t="s">
        <v>31</v>
      </c>
      <c r="J480" s="8" t="s">
        <v>86</v>
      </c>
      <c r="K480" s="10" t="s">
        <v>87</v>
      </c>
      <c r="L480" s="8" t="s">
        <v>58</v>
      </c>
      <c r="M480" s="8" t="s">
        <v>35</v>
      </c>
      <c r="N480" s="11">
        <v>44852.0</v>
      </c>
      <c r="O480" s="11">
        <v>44956.0</v>
      </c>
      <c r="P480" s="11">
        <v>44998.0</v>
      </c>
      <c r="Q480" s="11"/>
      <c r="R480" s="11"/>
      <c r="S480" s="12"/>
      <c r="T480" s="8"/>
      <c r="U480" s="8" t="s">
        <v>88</v>
      </c>
      <c r="V480" s="13" t="s">
        <v>2797</v>
      </c>
      <c r="W480" s="13" t="s">
        <v>2798</v>
      </c>
      <c r="X480" s="12"/>
      <c r="Y480" s="14"/>
      <c r="Z480" s="14"/>
    </row>
    <row r="481">
      <c r="A481" s="8" t="s">
        <v>2799</v>
      </c>
      <c r="B481" s="8" t="s">
        <v>2800</v>
      </c>
      <c r="C481" s="8" t="s">
        <v>64</v>
      </c>
      <c r="D481" s="8" t="s">
        <v>26</v>
      </c>
      <c r="E481" s="8" t="s">
        <v>2801</v>
      </c>
      <c r="F481" s="8">
        <v>7.72128543E8</v>
      </c>
      <c r="G481" s="8" t="s">
        <v>84</v>
      </c>
      <c r="H481" s="8" t="s">
        <v>1234</v>
      </c>
      <c r="I481" s="8" t="s">
        <v>31</v>
      </c>
      <c r="J481" s="8" t="s">
        <v>86</v>
      </c>
      <c r="K481" s="10" t="s">
        <v>2802</v>
      </c>
      <c r="L481" s="8" t="s">
        <v>34</v>
      </c>
      <c r="M481" s="8" t="s">
        <v>70</v>
      </c>
      <c r="N481" s="11">
        <v>44853.0</v>
      </c>
      <c r="O481" s="11">
        <v>44874.0</v>
      </c>
      <c r="P481" s="11">
        <v>45239.0</v>
      </c>
      <c r="Q481" s="11">
        <v>44915.0</v>
      </c>
      <c r="R481" s="11">
        <v>45280.0</v>
      </c>
      <c r="S481" s="12"/>
      <c r="T481" s="8" t="s">
        <v>205</v>
      </c>
      <c r="U481" s="8" t="s">
        <v>2803</v>
      </c>
      <c r="V481" s="13" t="s">
        <v>2592</v>
      </c>
      <c r="W481" s="13" t="s">
        <v>2804</v>
      </c>
      <c r="X481" s="12"/>
      <c r="Y481" s="14"/>
      <c r="Z481" s="14"/>
    </row>
    <row r="482">
      <c r="A482" s="8" t="s">
        <v>2805</v>
      </c>
      <c r="B482" s="8" t="s">
        <v>2806</v>
      </c>
      <c r="C482" s="8" t="s">
        <v>25</v>
      </c>
      <c r="D482" s="8" t="s">
        <v>26</v>
      </c>
      <c r="E482" s="8" t="s">
        <v>2807</v>
      </c>
      <c r="F482" s="8">
        <v>5.342127618E9</v>
      </c>
      <c r="G482" s="8" t="s">
        <v>31</v>
      </c>
      <c r="H482" s="8" t="s">
        <v>86</v>
      </c>
      <c r="I482" s="8" t="s">
        <v>284</v>
      </c>
      <c r="J482" s="8" t="s">
        <v>589</v>
      </c>
      <c r="K482" s="10" t="s">
        <v>2766</v>
      </c>
      <c r="L482" s="8" t="s">
        <v>58</v>
      </c>
      <c r="M482" s="8" t="s">
        <v>35</v>
      </c>
      <c r="N482" s="11">
        <v>44853.0</v>
      </c>
      <c r="O482" s="11">
        <v>45148.0</v>
      </c>
      <c r="P482" s="11">
        <v>45190.0</v>
      </c>
      <c r="Q482" s="11">
        <v>45149.0</v>
      </c>
      <c r="R482" s="11">
        <v>45190.0</v>
      </c>
      <c r="S482" s="12"/>
      <c r="T482" s="8"/>
      <c r="U482" s="8" t="s">
        <v>632</v>
      </c>
      <c r="V482" s="13" t="s">
        <v>175</v>
      </c>
      <c r="W482" s="13" t="s">
        <v>2808</v>
      </c>
      <c r="X482" s="12"/>
      <c r="Y482" s="14"/>
      <c r="Z482" s="14"/>
    </row>
    <row r="483">
      <c r="A483" s="8" t="s">
        <v>2809</v>
      </c>
      <c r="B483" s="8" t="s">
        <v>2810</v>
      </c>
      <c r="C483" s="8" t="s">
        <v>25</v>
      </c>
      <c r="D483" s="8" t="s">
        <v>26</v>
      </c>
      <c r="E483" s="8" t="s">
        <v>2811</v>
      </c>
      <c r="F483" s="8">
        <v>5.301633922E9</v>
      </c>
      <c r="G483" s="8" t="s">
        <v>31</v>
      </c>
      <c r="H483" s="8" t="s">
        <v>86</v>
      </c>
      <c r="I483" s="8" t="s">
        <v>399</v>
      </c>
      <c r="J483" s="8" t="s">
        <v>1381</v>
      </c>
      <c r="K483" s="10" t="s">
        <v>2094</v>
      </c>
      <c r="L483" s="8" t="s">
        <v>58</v>
      </c>
      <c r="M483" s="8" t="s">
        <v>35</v>
      </c>
      <c r="N483" s="11">
        <v>44853.0</v>
      </c>
      <c r="O483" s="11">
        <v>45138.0</v>
      </c>
      <c r="P483" s="11">
        <v>45180.0</v>
      </c>
      <c r="Q483" s="11">
        <v>45138.0</v>
      </c>
      <c r="R483" s="11">
        <v>45180.0</v>
      </c>
      <c r="S483" s="12"/>
      <c r="T483" s="8"/>
      <c r="U483" s="8" t="s">
        <v>153</v>
      </c>
      <c r="V483" s="13" t="s">
        <v>175</v>
      </c>
      <c r="W483" s="13" t="s">
        <v>2812</v>
      </c>
      <c r="X483" s="12"/>
      <c r="Y483" s="14"/>
      <c r="Z483" s="14"/>
    </row>
    <row r="484">
      <c r="A484" s="8" t="s">
        <v>2813</v>
      </c>
      <c r="B484" s="8" t="s">
        <v>2814</v>
      </c>
      <c r="C484" s="8" t="s">
        <v>179</v>
      </c>
      <c r="D484" s="8" t="s">
        <v>26</v>
      </c>
      <c r="E484" s="8" t="s">
        <v>2815</v>
      </c>
      <c r="F484" s="8">
        <v>1.022428713E9</v>
      </c>
      <c r="G484" s="8" t="s">
        <v>284</v>
      </c>
      <c r="H484" s="8" t="s">
        <v>793</v>
      </c>
      <c r="I484" s="8" t="s">
        <v>31</v>
      </c>
      <c r="J484" s="8" t="s">
        <v>542</v>
      </c>
      <c r="K484" s="10" t="s">
        <v>2360</v>
      </c>
      <c r="L484" s="8" t="s">
        <v>58</v>
      </c>
      <c r="M484" s="8" t="s">
        <v>35</v>
      </c>
      <c r="N484" s="11">
        <v>44853.0</v>
      </c>
      <c r="O484" s="11">
        <v>45187.0</v>
      </c>
      <c r="P484" s="11">
        <v>45229.0</v>
      </c>
      <c r="Q484" s="11"/>
      <c r="R484" s="11"/>
      <c r="S484" s="12"/>
      <c r="T484" s="8"/>
      <c r="U484" s="8" t="s">
        <v>59</v>
      </c>
      <c r="V484" s="13" t="s">
        <v>793</v>
      </c>
      <c r="W484" s="13" t="s">
        <v>2816</v>
      </c>
      <c r="X484" s="12"/>
      <c r="Y484" s="14"/>
      <c r="Z484" s="14"/>
    </row>
    <row r="485">
      <c r="A485" s="8" t="s">
        <v>2817</v>
      </c>
      <c r="B485" s="8" t="s">
        <v>2818</v>
      </c>
      <c r="C485" s="8" t="s">
        <v>25</v>
      </c>
      <c r="D485" s="8" t="s">
        <v>26</v>
      </c>
      <c r="E485" s="8" t="s">
        <v>2819</v>
      </c>
      <c r="F485" s="8"/>
      <c r="G485" s="8" t="s">
        <v>31</v>
      </c>
      <c r="H485" s="8" t="s">
        <v>292</v>
      </c>
      <c r="I485" s="8" t="s">
        <v>284</v>
      </c>
      <c r="J485" s="8" t="s">
        <v>1359</v>
      </c>
      <c r="K485" s="10" t="s">
        <v>2820</v>
      </c>
      <c r="L485" s="8" t="s">
        <v>58</v>
      </c>
      <c r="M485" s="8" t="s">
        <v>35</v>
      </c>
      <c r="N485" s="11">
        <v>44854.0</v>
      </c>
      <c r="O485" s="11">
        <v>45108.0</v>
      </c>
      <c r="P485" s="11">
        <v>45150.0</v>
      </c>
      <c r="Q485" s="11">
        <v>45109.0</v>
      </c>
      <c r="R485" s="11">
        <v>45150.0</v>
      </c>
      <c r="S485" s="12"/>
      <c r="T485" s="8"/>
      <c r="U485" s="8" t="s">
        <v>1038</v>
      </c>
      <c r="V485" s="13" t="s">
        <v>292</v>
      </c>
      <c r="W485" s="13" t="s">
        <v>2821</v>
      </c>
      <c r="X485" s="12"/>
      <c r="Y485" s="14"/>
      <c r="Z485" s="14"/>
    </row>
    <row r="486">
      <c r="A486" s="8" t="s">
        <v>2822</v>
      </c>
      <c r="B486" s="8" t="s">
        <v>2823</v>
      </c>
      <c r="C486" s="8" t="s">
        <v>25</v>
      </c>
      <c r="D486" s="8" t="s">
        <v>26</v>
      </c>
      <c r="E486" s="8" t="s">
        <v>2824</v>
      </c>
      <c r="F486" s="8"/>
      <c r="G486" s="8" t="s">
        <v>31</v>
      </c>
      <c r="H486" s="8" t="s">
        <v>542</v>
      </c>
      <c r="I486" s="8" t="s">
        <v>29</v>
      </c>
      <c r="J486" s="8" t="s">
        <v>2269</v>
      </c>
      <c r="K486" s="10" t="s">
        <v>2270</v>
      </c>
      <c r="L486" s="8" t="s">
        <v>58</v>
      </c>
      <c r="M486" s="8" t="s">
        <v>35</v>
      </c>
      <c r="N486" s="11">
        <v>44854.0</v>
      </c>
      <c r="O486" s="11">
        <v>44886.0</v>
      </c>
      <c r="P486" s="11">
        <v>44928.0</v>
      </c>
      <c r="Q486" s="11">
        <v>44886.0</v>
      </c>
      <c r="R486" s="11">
        <v>44928.0</v>
      </c>
      <c r="S486" s="12"/>
      <c r="T486" s="8"/>
      <c r="U486" s="8" t="s">
        <v>88</v>
      </c>
      <c r="V486" s="13" t="s">
        <v>38</v>
      </c>
      <c r="W486" s="13" t="s">
        <v>2825</v>
      </c>
      <c r="X486" s="12"/>
      <c r="Y486" s="14"/>
      <c r="Z486" s="14"/>
    </row>
    <row r="487">
      <c r="A487" s="8" t="s">
        <v>2826</v>
      </c>
      <c r="B487" s="8" t="s">
        <v>2827</v>
      </c>
      <c r="C487" s="8" t="s">
        <v>335</v>
      </c>
      <c r="D487" s="8" t="s">
        <v>26</v>
      </c>
      <c r="E487" s="8" t="s">
        <v>2828</v>
      </c>
      <c r="F487" s="8">
        <v>5.356719215E9</v>
      </c>
      <c r="G487" s="8" t="s">
        <v>31</v>
      </c>
      <c r="H487" s="8" t="s">
        <v>111</v>
      </c>
      <c r="I487" s="8" t="s">
        <v>284</v>
      </c>
      <c r="J487" s="8" t="s">
        <v>1359</v>
      </c>
      <c r="K487" s="10" t="s">
        <v>2820</v>
      </c>
      <c r="L487" s="8" t="s">
        <v>58</v>
      </c>
      <c r="M487" s="8" t="s">
        <v>35</v>
      </c>
      <c r="N487" s="11">
        <v>45140.0</v>
      </c>
      <c r="O487" s="11">
        <v>45108.0</v>
      </c>
      <c r="P487" s="11">
        <v>45150.0</v>
      </c>
      <c r="Q487" s="11"/>
      <c r="R487" s="11"/>
      <c r="S487" s="12"/>
      <c r="T487" s="8"/>
      <c r="U487" s="8" t="s">
        <v>1038</v>
      </c>
      <c r="V487" s="13" t="s">
        <v>111</v>
      </c>
      <c r="W487" s="13" t="s">
        <v>2829</v>
      </c>
      <c r="X487" s="12"/>
      <c r="Y487" s="14"/>
      <c r="Z487" s="14"/>
    </row>
    <row r="488">
      <c r="A488" s="8" t="s">
        <v>2830</v>
      </c>
      <c r="B488" s="8" t="s">
        <v>2831</v>
      </c>
      <c r="C488" s="8" t="s">
        <v>25</v>
      </c>
      <c r="D488" s="8" t="s">
        <v>26</v>
      </c>
      <c r="E488" s="8" t="s">
        <v>2832</v>
      </c>
      <c r="F488" s="8"/>
      <c r="G488" s="8" t="s">
        <v>31</v>
      </c>
      <c r="H488" s="8" t="s">
        <v>77</v>
      </c>
      <c r="I488" s="8" t="s">
        <v>127</v>
      </c>
      <c r="J488" s="8" t="s">
        <v>159</v>
      </c>
      <c r="K488" s="10" t="s">
        <v>2615</v>
      </c>
      <c r="L488" s="8" t="s">
        <v>58</v>
      </c>
      <c r="M488" s="8" t="s">
        <v>35</v>
      </c>
      <c r="N488" s="11">
        <v>44854.0</v>
      </c>
      <c r="O488" s="11">
        <v>44949.0</v>
      </c>
      <c r="P488" s="11">
        <v>44991.0</v>
      </c>
      <c r="Q488" s="11">
        <v>44949.0</v>
      </c>
      <c r="R488" s="11">
        <v>44991.0</v>
      </c>
      <c r="S488" s="12"/>
      <c r="T488" s="8"/>
      <c r="U488" s="8" t="s">
        <v>1956</v>
      </c>
      <c r="V488" s="13" t="s">
        <v>38</v>
      </c>
      <c r="W488" s="13" t="s">
        <v>2833</v>
      </c>
      <c r="X488" s="12"/>
      <c r="Y488" s="14"/>
      <c r="Z488" s="14"/>
    </row>
    <row r="489">
      <c r="A489" s="8" t="s">
        <v>2834</v>
      </c>
      <c r="B489" s="8" t="s">
        <v>2835</v>
      </c>
      <c r="C489" s="8" t="s">
        <v>251</v>
      </c>
      <c r="D489" s="8" t="s">
        <v>26</v>
      </c>
      <c r="E489" s="8" t="s">
        <v>2836</v>
      </c>
      <c r="F489" s="8">
        <v>3.143794784E9</v>
      </c>
      <c r="G489" s="8" t="s">
        <v>981</v>
      </c>
      <c r="H489" s="8" t="s">
        <v>2837</v>
      </c>
      <c r="I489" s="8" t="s">
        <v>31</v>
      </c>
      <c r="J489" s="8" t="s">
        <v>43</v>
      </c>
      <c r="K489" s="10" t="s">
        <v>2838</v>
      </c>
      <c r="L489" s="8" t="s">
        <v>47</v>
      </c>
      <c r="M489" s="8" t="s">
        <v>70</v>
      </c>
      <c r="N489" s="11">
        <v>44854.0</v>
      </c>
      <c r="O489" s="11">
        <v>44872.0</v>
      </c>
      <c r="P489" s="11">
        <v>45240.0</v>
      </c>
      <c r="Q489" s="11"/>
      <c r="R489" s="11"/>
      <c r="S489" s="12"/>
      <c r="T489" s="8"/>
      <c r="U489" s="8" t="s">
        <v>2839</v>
      </c>
      <c r="V489" s="13" t="s">
        <v>2840</v>
      </c>
      <c r="W489" s="13" t="s">
        <v>2841</v>
      </c>
      <c r="X489" s="12"/>
      <c r="Y489" s="14"/>
      <c r="Z489" s="14"/>
    </row>
    <row r="490">
      <c r="A490" s="8" t="s">
        <v>2842</v>
      </c>
      <c r="B490" s="8" t="s">
        <v>2843</v>
      </c>
      <c r="C490" s="8" t="s">
        <v>25</v>
      </c>
      <c r="D490" s="8" t="s">
        <v>26</v>
      </c>
      <c r="E490" s="8" t="s">
        <v>2844</v>
      </c>
      <c r="F490" s="8">
        <v>5.4229095E7</v>
      </c>
      <c r="G490" s="8" t="s">
        <v>54</v>
      </c>
      <c r="H490" s="8" t="s">
        <v>237</v>
      </c>
      <c r="I490" s="8" t="s">
        <v>31</v>
      </c>
      <c r="J490" s="8" t="s">
        <v>32</v>
      </c>
      <c r="K490" s="10" t="s">
        <v>1813</v>
      </c>
      <c r="L490" s="8" t="s">
        <v>58</v>
      </c>
      <c r="M490" s="8" t="s">
        <v>35</v>
      </c>
      <c r="N490" s="11">
        <v>44855.0</v>
      </c>
      <c r="O490" s="11">
        <v>44871.0</v>
      </c>
      <c r="P490" s="11">
        <v>44913.0</v>
      </c>
      <c r="Q490" s="11">
        <v>44880.0</v>
      </c>
      <c r="R490" s="11">
        <v>44922.0</v>
      </c>
      <c r="S490" s="12"/>
      <c r="T490" s="8"/>
      <c r="U490" s="8" t="s">
        <v>161</v>
      </c>
      <c r="V490" s="13" t="s">
        <v>384</v>
      </c>
      <c r="W490" s="13" t="s">
        <v>2845</v>
      </c>
      <c r="X490" s="12"/>
      <c r="Y490" s="14"/>
      <c r="Z490" s="14"/>
    </row>
    <row r="491">
      <c r="A491" s="8" t="s">
        <v>2846</v>
      </c>
      <c r="B491" s="8" t="s">
        <v>2847</v>
      </c>
      <c r="C491" s="8" t="s">
        <v>25</v>
      </c>
      <c r="D491" s="8" t="s">
        <v>26</v>
      </c>
      <c r="E491" s="8" t="s">
        <v>2848</v>
      </c>
      <c r="F491" s="8">
        <v>2.0617717E7</v>
      </c>
      <c r="G491" s="8" t="s">
        <v>54</v>
      </c>
      <c r="H491" s="8" t="s">
        <v>377</v>
      </c>
      <c r="I491" s="8" t="s">
        <v>31</v>
      </c>
      <c r="J491" s="8" t="s">
        <v>77</v>
      </c>
      <c r="K491" s="10" t="s">
        <v>2849</v>
      </c>
      <c r="L491" s="8" t="s">
        <v>47</v>
      </c>
      <c r="M491" s="8" t="s">
        <v>70</v>
      </c>
      <c r="N491" s="11">
        <v>44855.0</v>
      </c>
      <c r="O491" s="11">
        <v>44867.0</v>
      </c>
      <c r="P491" s="11">
        <v>45107.0</v>
      </c>
      <c r="Q491" s="11">
        <v>44930.0</v>
      </c>
      <c r="R491" s="11">
        <v>45168.0</v>
      </c>
      <c r="S491" s="12"/>
      <c r="T491" s="8"/>
      <c r="U491" s="8" t="s">
        <v>2850</v>
      </c>
      <c r="V491" s="13" t="s">
        <v>1604</v>
      </c>
      <c r="W491" s="13" t="s">
        <v>2851</v>
      </c>
      <c r="X491" s="12"/>
      <c r="Y491" s="14"/>
      <c r="Z491" s="14"/>
    </row>
    <row r="492">
      <c r="A492" s="8" t="s">
        <v>2852</v>
      </c>
      <c r="B492" s="8" t="s">
        <v>2853</v>
      </c>
      <c r="C492" s="8" t="s">
        <v>179</v>
      </c>
      <c r="D492" s="8" t="s">
        <v>26</v>
      </c>
      <c r="E492" s="8" t="s">
        <v>2854</v>
      </c>
      <c r="F492" s="8">
        <v>5.256089E7</v>
      </c>
      <c r="G492" s="8" t="s">
        <v>54</v>
      </c>
      <c r="H492" s="8" t="s">
        <v>377</v>
      </c>
      <c r="I492" s="8" t="s">
        <v>31</v>
      </c>
      <c r="J492" s="8" t="s">
        <v>1119</v>
      </c>
      <c r="K492" s="10" t="s">
        <v>2736</v>
      </c>
      <c r="L492" s="8" t="s">
        <v>58</v>
      </c>
      <c r="M492" s="8" t="s">
        <v>35</v>
      </c>
      <c r="N492" s="11">
        <v>44855.0</v>
      </c>
      <c r="O492" s="11">
        <v>45109.0</v>
      </c>
      <c r="P492" s="11">
        <v>45151.0</v>
      </c>
      <c r="Q492" s="11"/>
      <c r="R492" s="11"/>
      <c r="S492" s="12"/>
      <c r="T492" s="8"/>
      <c r="U492" s="8" t="s">
        <v>59</v>
      </c>
      <c r="V492" s="13" t="s">
        <v>2855</v>
      </c>
      <c r="W492" s="13" t="s">
        <v>2856</v>
      </c>
      <c r="X492" s="12"/>
      <c r="Y492" s="14"/>
      <c r="Z492" s="14"/>
    </row>
    <row r="493">
      <c r="A493" s="8" t="s">
        <v>2857</v>
      </c>
      <c r="B493" s="8" t="s">
        <v>2858</v>
      </c>
      <c r="C493" s="8" t="s">
        <v>179</v>
      </c>
      <c r="D493" s="8" t="s">
        <v>26</v>
      </c>
      <c r="E493" s="8" t="s">
        <v>2859</v>
      </c>
      <c r="F493" s="8">
        <v>5.593906E7</v>
      </c>
      <c r="G493" s="8" t="s">
        <v>54</v>
      </c>
      <c r="H493" s="8" t="s">
        <v>377</v>
      </c>
      <c r="I493" s="8" t="s">
        <v>31</v>
      </c>
      <c r="J493" s="8" t="s">
        <v>1119</v>
      </c>
      <c r="K493" s="10" t="s">
        <v>2736</v>
      </c>
      <c r="L493" s="8" t="s">
        <v>58</v>
      </c>
      <c r="M493" s="8" t="s">
        <v>35</v>
      </c>
      <c r="N493" s="11">
        <v>44855.0</v>
      </c>
      <c r="O493" s="11">
        <v>45109.0</v>
      </c>
      <c r="P493" s="11">
        <v>45151.0</v>
      </c>
      <c r="Q493" s="11"/>
      <c r="R493" s="11"/>
      <c r="S493" s="12"/>
      <c r="T493" s="8"/>
      <c r="U493" s="8" t="s">
        <v>59</v>
      </c>
      <c r="V493" s="13" t="s">
        <v>2855</v>
      </c>
      <c r="W493" s="13" t="s">
        <v>2860</v>
      </c>
      <c r="X493" s="12"/>
      <c r="Y493" s="14"/>
      <c r="Z493" s="14"/>
    </row>
    <row r="494">
      <c r="A494" s="8" t="s">
        <v>2861</v>
      </c>
      <c r="B494" s="8" t="s">
        <v>2862</v>
      </c>
      <c r="C494" s="8" t="s">
        <v>179</v>
      </c>
      <c r="D494" s="8" t="s">
        <v>26</v>
      </c>
      <c r="E494" s="8" t="s">
        <v>2863</v>
      </c>
      <c r="F494" s="8"/>
      <c r="G494" s="8" t="s">
        <v>54</v>
      </c>
      <c r="H494" s="8" t="s">
        <v>430</v>
      </c>
      <c r="I494" s="8" t="s">
        <v>31</v>
      </c>
      <c r="J494" s="8" t="s">
        <v>111</v>
      </c>
      <c r="K494" s="10" t="s">
        <v>2864</v>
      </c>
      <c r="L494" s="8" t="s">
        <v>34</v>
      </c>
      <c r="M494" s="8" t="s">
        <v>35</v>
      </c>
      <c r="N494" s="11">
        <v>44855.0</v>
      </c>
      <c r="O494" s="11">
        <v>44928.0</v>
      </c>
      <c r="P494" s="11">
        <v>45011.0</v>
      </c>
      <c r="Q494" s="11"/>
      <c r="R494" s="11"/>
      <c r="S494" s="12"/>
      <c r="T494" s="8" t="s">
        <v>121</v>
      </c>
      <c r="U494" s="8" t="s">
        <v>122</v>
      </c>
      <c r="V494" s="13" t="s">
        <v>38</v>
      </c>
      <c r="W494" s="13" t="s">
        <v>2865</v>
      </c>
      <c r="X494" s="12"/>
      <c r="Y494" s="14"/>
      <c r="Z494" s="14"/>
    </row>
    <row r="495">
      <c r="A495" s="8" t="s">
        <v>2866</v>
      </c>
      <c r="B495" s="8" t="s">
        <v>2867</v>
      </c>
      <c r="C495" s="8" t="s">
        <v>64</v>
      </c>
      <c r="D495" s="8" t="s">
        <v>26</v>
      </c>
      <c r="E495" s="8" t="s">
        <v>2868</v>
      </c>
      <c r="F495" s="8">
        <v>2.583695E7</v>
      </c>
      <c r="G495" s="8" t="s">
        <v>54</v>
      </c>
      <c r="H495" s="8" t="s">
        <v>55</v>
      </c>
      <c r="I495" s="8" t="s">
        <v>31</v>
      </c>
      <c r="J495" s="8" t="s">
        <v>77</v>
      </c>
      <c r="K495" s="10" t="s">
        <v>2869</v>
      </c>
      <c r="L495" s="8" t="s">
        <v>34</v>
      </c>
      <c r="M495" s="8" t="s">
        <v>70</v>
      </c>
      <c r="N495" s="11">
        <v>44855.0</v>
      </c>
      <c r="O495" s="11">
        <v>44886.0</v>
      </c>
      <c r="P495" s="11">
        <v>45075.0</v>
      </c>
      <c r="Q495" s="11">
        <v>44886.0</v>
      </c>
      <c r="R495" s="11">
        <v>45251.0</v>
      </c>
      <c r="S495" s="12"/>
      <c r="T495" s="8" t="s">
        <v>121</v>
      </c>
      <c r="U495" s="8" t="s">
        <v>2870</v>
      </c>
      <c r="V495" s="13" t="s">
        <v>2871</v>
      </c>
      <c r="W495" s="13" t="s">
        <v>2872</v>
      </c>
      <c r="X495" s="12"/>
      <c r="Y495" s="14"/>
      <c r="Z495" s="14"/>
    </row>
    <row r="496">
      <c r="A496" s="8" t="s">
        <v>2873</v>
      </c>
      <c r="B496" s="8" t="s">
        <v>2874</v>
      </c>
      <c r="C496" s="8" t="s">
        <v>25</v>
      </c>
      <c r="D496" s="8" t="s">
        <v>26</v>
      </c>
      <c r="E496" s="8" t="s">
        <v>2875</v>
      </c>
      <c r="F496" s="8">
        <v>5.34677028E9</v>
      </c>
      <c r="G496" s="8" t="s">
        <v>31</v>
      </c>
      <c r="H496" s="8" t="s">
        <v>56</v>
      </c>
      <c r="I496" s="8" t="s">
        <v>44</v>
      </c>
      <c r="J496" s="8" t="s">
        <v>741</v>
      </c>
      <c r="K496" s="10" t="s">
        <v>2876</v>
      </c>
      <c r="L496" s="8" t="s">
        <v>58</v>
      </c>
      <c r="M496" s="8" t="s">
        <v>35</v>
      </c>
      <c r="N496" s="11">
        <v>44856.0</v>
      </c>
      <c r="O496" s="11">
        <v>45108.0</v>
      </c>
      <c r="P496" s="11">
        <v>45150.0</v>
      </c>
      <c r="Q496" s="11">
        <v>45110.0</v>
      </c>
      <c r="R496" s="11">
        <v>45150.0</v>
      </c>
      <c r="S496" s="12"/>
      <c r="T496" s="8"/>
      <c r="U496" s="8" t="s">
        <v>632</v>
      </c>
      <c r="V496" s="13" t="s">
        <v>56</v>
      </c>
      <c r="W496" s="13" t="s">
        <v>2877</v>
      </c>
      <c r="X496" s="12"/>
      <c r="Y496" s="14"/>
      <c r="Z496" s="14"/>
    </row>
    <row r="497">
      <c r="A497" s="8" t="s">
        <v>2878</v>
      </c>
      <c r="B497" s="8" t="s">
        <v>2879</v>
      </c>
      <c r="C497" s="8" t="s">
        <v>179</v>
      </c>
      <c r="D497" s="8" t="s">
        <v>26</v>
      </c>
      <c r="E497" s="8" t="s">
        <v>2880</v>
      </c>
      <c r="F497" s="8"/>
      <c r="G497" s="8" t="s">
        <v>31</v>
      </c>
      <c r="H497" s="8" t="s">
        <v>136</v>
      </c>
      <c r="I497" s="8" t="s">
        <v>2524</v>
      </c>
      <c r="J497" s="8" t="s">
        <v>2881</v>
      </c>
      <c r="K497" s="10" t="s">
        <v>2882</v>
      </c>
      <c r="L497" s="8" t="s">
        <v>34</v>
      </c>
      <c r="M497" s="8" t="s">
        <v>70</v>
      </c>
      <c r="N497" s="11">
        <v>44856.0</v>
      </c>
      <c r="O497" s="11">
        <v>44964.0</v>
      </c>
      <c r="P497" s="11">
        <v>45237.0</v>
      </c>
      <c r="Q497" s="11"/>
      <c r="R497" s="11"/>
      <c r="S497" s="12"/>
      <c r="T497" s="8" t="s">
        <v>330</v>
      </c>
      <c r="U497" s="8" t="s">
        <v>2883</v>
      </c>
      <c r="V497" s="13" t="s">
        <v>136</v>
      </c>
      <c r="W497" s="13" t="s">
        <v>2884</v>
      </c>
      <c r="X497" s="12"/>
      <c r="Y497" s="14"/>
      <c r="Z497" s="14"/>
    </row>
    <row r="498">
      <c r="A498" s="8" t="s">
        <v>2885</v>
      </c>
      <c r="B498" s="8" t="s">
        <v>2886</v>
      </c>
      <c r="C498" s="8" t="s">
        <v>25</v>
      </c>
      <c r="D498" s="8" t="s">
        <v>26</v>
      </c>
      <c r="E498" s="8" t="s">
        <v>2887</v>
      </c>
      <c r="F498" s="8">
        <v>5.535142507E9</v>
      </c>
      <c r="G498" s="8" t="s">
        <v>31</v>
      </c>
      <c r="H498" s="8" t="s">
        <v>32</v>
      </c>
      <c r="I498" s="8" t="s">
        <v>284</v>
      </c>
      <c r="J498" s="8" t="s">
        <v>589</v>
      </c>
      <c r="K498" s="10" t="s">
        <v>2888</v>
      </c>
      <c r="L498" s="8" t="s">
        <v>58</v>
      </c>
      <c r="M498" s="8" t="s">
        <v>35</v>
      </c>
      <c r="N498" s="11">
        <v>44857.0</v>
      </c>
      <c r="O498" s="11">
        <v>45122.0</v>
      </c>
      <c r="P498" s="11">
        <v>45164.0</v>
      </c>
      <c r="Q498" s="11">
        <v>45122.0</v>
      </c>
      <c r="R498" s="11">
        <v>45164.0</v>
      </c>
      <c r="S498" s="12"/>
      <c r="T498" s="8"/>
      <c r="U498" s="8" t="s">
        <v>1038</v>
      </c>
      <c r="V498" s="13" t="s">
        <v>537</v>
      </c>
      <c r="W498" s="13" t="s">
        <v>2889</v>
      </c>
      <c r="X498" s="12"/>
      <c r="Y498" s="14"/>
      <c r="Z498" s="14"/>
    </row>
    <row r="499">
      <c r="A499" s="8" t="s">
        <v>2890</v>
      </c>
      <c r="B499" s="8" t="s">
        <v>2891</v>
      </c>
      <c r="C499" s="8" t="s">
        <v>179</v>
      </c>
      <c r="D499" s="8" t="s">
        <v>26</v>
      </c>
      <c r="E499" s="8" t="s">
        <v>2892</v>
      </c>
      <c r="F499" s="8">
        <v>6.00980486E8</v>
      </c>
      <c r="G499" s="8" t="s">
        <v>84</v>
      </c>
      <c r="H499" s="8" t="s">
        <v>1266</v>
      </c>
      <c r="I499" s="8" t="s">
        <v>31</v>
      </c>
      <c r="J499" s="8" t="s">
        <v>1119</v>
      </c>
      <c r="K499" s="10" t="s">
        <v>2736</v>
      </c>
      <c r="L499" s="8" t="s">
        <v>58</v>
      </c>
      <c r="M499" s="8" t="s">
        <v>35</v>
      </c>
      <c r="N499" s="11">
        <v>44857.0</v>
      </c>
      <c r="O499" s="11">
        <v>45109.0</v>
      </c>
      <c r="P499" s="11">
        <v>45151.0</v>
      </c>
      <c r="Q499" s="11"/>
      <c r="R499" s="11"/>
      <c r="S499" s="12"/>
      <c r="T499" s="8"/>
      <c r="U499" s="8" t="s">
        <v>59</v>
      </c>
      <c r="V499" s="13" t="s">
        <v>2893</v>
      </c>
      <c r="W499" s="13" t="s">
        <v>2894</v>
      </c>
      <c r="X499" s="12"/>
      <c r="Y499" s="14"/>
      <c r="Z499" s="14"/>
    </row>
    <row r="500">
      <c r="A500" s="8" t="s">
        <v>2895</v>
      </c>
      <c r="B500" s="8" t="s">
        <v>2896</v>
      </c>
      <c r="C500" s="8" t="s">
        <v>25</v>
      </c>
      <c r="D500" s="8" t="s">
        <v>26</v>
      </c>
      <c r="E500" s="8" t="s">
        <v>2897</v>
      </c>
      <c r="F500" s="8">
        <v>5.389595556E9</v>
      </c>
      <c r="G500" s="8" t="s">
        <v>31</v>
      </c>
      <c r="H500" s="8" t="s">
        <v>86</v>
      </c>
      <c r="I500" s="8" t="s">
        <v>44</v>
      </c>
      <c r="J500" s="8" t="s">
        <v>1993</v>
      </c>
      <c r="K500" s="10" t="s">
        <v>2645</v>
      </c>
      <c r="L500" s="8" t="s">
        <v>58</v>
      </c>
      <c r="M500" s="8" t="s">
        <v>35</v>
      </c>
      <c r="N500" s="11">
        <v>44858.0</v>
      </c>
      <c r="O500" s="11">
        <v>44947.0</v>
      </c>
      <c r="P500" s="11">
        <v>44989.0</v>
      </c>
      <c r="Q500" s="11">
        <v>44946.0</v>
      </c>
      <c r="R500" s="11">
        <v>44989.0</v>
      </c>
      <c r="S500" s="12"/>
      <c r="T500" s="8"/>
      <c r="U500" s="8" t="s">
        <v>88</v>
      </c>
      <c r="V500" s="13" t="s">
        <v>175</v>
      </c>
      <c r="W500" s="13" t="s">
        <v>2898</v>
      </c>
      <c r="X500" s="12"/>
      <c r="Y500" s="14"/>
      <c r="Z500" s="14"/>
    </row>
    <row r="501">
      <c r="A501" s="8" t="s">
        <v>2899</v>
      </c>
      <c r="B501" s="8" t="s">
        <v>2900</v>
      </c>
      <c r="C501" s="8" t="s">
        <v>25</v>
      </c>
      <c r="D501" s="8" t="s">
        <v>26</v>
      </c>
      <c r="E501" s="8" t="s">
        <v>2901</v>
      </c>
      <c r="F501" s="8">
        <v>5.525325373E9</v>
      </c>
      <c r="G501" s="8" t="s">
        <v>31</v>
      </c>
      <c r="H501" s="8" t="s">
        <v>86</v>
      </c>
      <c r="I501" s="8" t="s">
        <v>399</v>
      </c>
      <c r="J501" s="8" t="s">
        <v>1381</v>
      </c>
      <c r="K501" s="10" t="s">
        <v>2094</v>
      </c>
      <c r="L501" s="8" t="s">
        <v>58</v>
      </c>
      <c r="M501" s="8" t="s">
        <v>35</v>
      </c>
      <c r="N501" s="11">
        <v>44859.0</v>
      </c>
      <c r="O501" s="11">
        <v>45138.0</v>
      </c>
      <c r="P501" s="11">
        <v>45180.0</v>
      </c>
      <c r="Q501" s="11">
        <v>45138.0</v>
      </c>
      <c r="R501" s="11">
        <v>45180.0</v>
      </c>
      <c r="S501" s="12"/>
      <c r="T501" s="8"/>
      <c r="U501" s="8" t="s">
        <v>153</v>
      </c>
      <c r="V501" s="13" t="s">
        <v>175</v>
      </c>
      <c r="W501" s="13" t="s">
        <v>2902</v>
      </c>
      <c r="X501" s="12"/>
      <c r="Y501" s="14"/>
      <c r="Z501" s="14"/>
    </row>
    <row r="502">
      <c r="A502" s="8" t="s">
        <v>2903</v>
      </c>
      <c r="B502" s="8" t="s">
        <v>2904</v>
      </c>
      <c r="C502" s="8" t="s">
        <v>64</v>
      </c>
      <c r="D502" s="8" t="s">
        <v>26</v>
      </c>
      <c r="E502" s="8" t="s">
        <v>2905</v>
      </c>
      <c r="F502" s="8">
        <v>7.06018796E8</v>
      </c>
      <c r="G502" s="8" t="s">
        <v>84</v>
      </c>
      <c r="H502" s="8" t="s">
        <v>646</v>
      </c>
      <c r="I502" s="8" t="s">
        <v>31</v>
      </c>
      <c r="J502" s="8" t="s">
        <v>167</v>
      </c>
      <c r="K502" s="10" t="s">
        <v>620</v>
      </c>
      <c r="L502" s="8" t="s">
        <v>58</v>
      </c>
      <c r="M502" s="8" t="s">
        <v>35</v>
      </c>
      <c r="N502" s="11">
        <v>44859.0</v>
      </c>
      <c r="O502" s="11">
        <v>44851.0</v>
      </c>
      <c r="P502" s="11">
        <v>44893.0</v>
      </c>
      <c r="Q502" s="11">
        <v>44868.0</v>
      </c>
      <c r="R502" s="11">
        <v>44900.0</v>
      </c>
      <c r="S502" s="12"/>
      <c r="T502" s="8"/>
      <c r="U502" s="8" t="s">
        <v>88</v>
      </c>
      <c r="V502" s="13" t="s">
        <v>2585</v>
      </c>
      <c r="W502" s="13" t="s">
        <v>2906</v>
      </c>
      <c r="X502" s="12"/>
      <c r="Y502" s="14"/>
      <c r="Z502" s="14"/>
    </row>
    <row r="503">
      <c r="A503" s="8" t="s">
        <v>2907</v>
      </c>
      <c r="B503" s="8" t="s">
        <v>2908</v>
      </c>
      <c r="C503" s="8" t="s">
        <v>251</v>
      </c>
      <c r="D503" s="8" t="s">
        <v>26</v>
      </c>
      <c r="E503" s="8" t="s">
        <v>2909</v>
      </c>
      <c r="F503" s="8"/>
      <c r="G503" s="8" t="s">
        <v>277</v>
      </c>
      <c r="H503" s="8" t="s">
        <v>607</v>
      </c>
      <c r="I503" s="8" t="s">
        <v>31</v>
      </c>
      <c r="J503" s="8" t="s">
        <v>77</v>
      </c>
      <c r="K503" s="10" t="s">
        <v>2910</v>
      </c>
      <c r="L503" s="8" t="s">
        <v>34</v>
      </c>
      <c r="M503" s="8" t="s">
        <v>70</v>
      </c>
      <c r="N503" s="11">
        <v>44860.0</v>
      </c>
      <c r="O503" s="11">
        <v>44886.0</v>
      </c>
      <c r="P503" s="11">
        <v>45251.0</v>
      </c>
      <c r="Q503" s="11"/>
      <c r="R503" s="11"/>
      <c r="S503" s="12"/>
      <c r="T503" s="8" t="s">
        <v>205</v>
      </c>
      <c r="U503" s="8" t="s">
        <v>2911</v>
      </c>
      <c r="V503" s="13" t="s">
        <v>38</v>
      </c>
      <c r="W503" s="13" t="s">
        <v>2912</v>
      </c>
      <c r="X503" s="12"/>
      <c r="Y503" s="14"/>
      <c r="Z503" s="14"/>
    </row>
    <row r="504">
      <c r="A504" s="8" t="s">
        <v>2913</v>
      </c>
      <c r="B504" s="8" t="s">
        <v>2914</v>
      </c>
      <c r="C504" s="8" t="s">
        <v>708</v>
      </c>
      <c r="D504" s="8" t="s">
        <v>26</v>
      </c>
      <c r="E504" s="8" t="s">
        <v>2915</v>
      </c>
      <c r="F504" s="8"/>
      <c r="G504" s="8" t="s">
        <v>54</v>
      </c>
      <c r="H504" s="8" t="s">
        <v>369</v>
      </c>
      <c r="I504" s="8" t="s">
        <v>31</v>
      </c>
      <c r="J504" s="8" t="s">
        <v>220</v>
      </c>
      <c r="K504" s="10" t="s">
        <v>2916</v>
      </c>
      <c r="L504" s="8" t="s">
        <v>34</v>
      </c>
      <c r="M504" s="8" t="s">
        <v>70</v>
      </c>
      <c r="N504" s="11">
        <v>44860.0</v>
      </c>
      <c r="O504" s="11">
        <v>44866.0</v>
      </c>
      <c r="P504" s="11">
        <v>45231.0</v>
      </c>
      <c r="Q504" s="11">
        <v>44966.0</v>
      </c>
      <c r="R504" s="11">
        <v>45329.0</v>
      </c>
      <c r="S504" s="12"/>
      <c r="T504" s="8" t="s">
        <v>205</v>
      </c>
      <c r="U504" s="8" t="s">
        <v>2917</v>
      </c>
      <c r="V504" s="13" t="s">
        <v>38</v>
      </c>
      <c r="W504" s="13" t="s">
        <v>2918</v>
      </c>
      <c r="X504" s="12"/>
      <c r="Y504" s="14"/>
      <c r="Z504" s="14"/>
    </row>
    <row r="505">
      <c r="A505" s="8" t="s">
        <v>2919</v>
      </c>
      <c r="B505" s="8" t="s">
        <v>2920</v>
      </c>
      <c r="C505" s="8" t="s">
        <v>179</v>
      </c>
      <c r="D505" s="8" t="s">
        <v>26</v>
      </c>
      <c r="E505" s="8" t="s">
        <v>2921</v>
      </c>
      <c r="F505" s="8">
        <v>5.3003253E7</v>
      </c>
      <c r="G505" s="8" t="s">
        <v>54</v>
      </c>
      <c r="H505" s="8" t="s">
        <v>377</v>
      </c>
      <c r="I505" s="8" t="s">
        <v>31</v>
      </c>
      <c r="J505" s="8" t="s">
        <v>43</v>
      </c>
      <c r="K505" s="10" t="s">
        <v>2922</v>
      </c>
      <c r="L505" s="8" t="s">
        <v>58</v>
      </c>
      <c r="M505" s="8" t="s">
        <v>35</v>
      </c>
      <c r="N505" s="11">
        <v>44861.0</v>
      </c>
      <c r="O505" s="11">
        <v>45103.0</v>
      </c>
      <c r="P505" s="11">
        <v>45149.0</v>
      </c>
      <c r="Q505" s="11"/>
      <c r="R505" s="11"/>
      <c r="S505" s="12"/>
      <c r="T505" s="8"/>
      <c r="U505" s="8" t="s">
        <v>59</v>
      </c>
      <c r="V505" s="13" t="s">
        <v>765</v>
      </c>
      <c r="W505" s="13" t="s">
        <v>2923</v>
      </c>
      <c r="X505" s="12"/>
      <c r="Y505" s="14"/>
      <c r="Z505" s="14"/>
    </row>
    <row r="506">
      <c r="A506" s="8" t="s">
        <v>2924</v>
      </c>
      <c r="B506" s="8" t="s">
        <v>2925</v>
      </c>
      <c r="C506" s="8" t="s">
        <v>179</v>
      </c>
      <c r="D506" s="8" t="s">
        <v>26</v>
      </c>
      <c r="E506" s="8" t="s">
        <v>2926</v>
      </c>
      <c r="F506" s="8">
        <v>5.456824156E9</v>
      </c>
      <c r="G506" s="8" t="s">
        <v>31</v>
      </c>
      <c r="H506" s="8" t="s">
        <v>77</v>
      </c>
      <c r="I506" s="8" t="s">
        <v>44</v>
      </c>
      <c r="J506" s="8" t="s">
        <v>1993</v>
      </c>
      <c r="K506" s="10" t="s">
        <v>2299</v>
      </c>
      <c r="L506" s="8" t="s">
        <v>58</v>
      </c>
      <c r="M506" s="8" t="s">
        <v>35</v>
      </c>
      <c r="N506" s="11">
        <v>44861.0</v>
      </c>
      <c r="O506" s="11">
        <v>45114.0</v>
      </c>
      <c r="P506" s="11">
        <v>45156.0</v>
      </c>
      <c r="Q506" s="11"/>
      <c r="R506" s="11"/>
      <c r="S506" s="12"/>
      <c r="T506" s="8"/>
      <c r="U506" s="8" t="s">
        <v>371</v>
      </c>
      <c r="V506" s="13" t="s">
        <v>77</v>
      </c>
      <c r="W506" s="13" t="s">
        <v>2927</v>
      </c>
      <c r="X506" s="12"/>
      <c r="Y506" s="14"/>
      <c r="Z506" s="14"/>
    </row>
    <row r="507">
      <c r="A507" s="8" t="s">
        <v>2928</v>
      </c>
      <c r="B507" s="8" t="s">
        <v>2929</v>
      </c>
      <c r="C507" s="8" t="s">
        <v>179</v>
      </c>
      <c r="D507" s="8" t="s">
        <v>26</v>
      </c>
      <c r="E507" s="8" t="s">
        <v>2930</v>
      </c>
      <c r="F507" s="8">
        <v>5.439638708E9</v>
      </c>
      <c r="G507" s="8" t="s">
        <v>31</v>
      </c>
      <c r="H507" s="8" t="s">
        <v>438</v>
      </c>
      <c r="I507" s="8" t="s">
        <v>44</v>
      </c>
      <c r="J507" s="8" t="s">
        <v>453</v>
      </c>
      <c r="K507" s="10" t="s">
        <v>2931</v>
      </c>
      <c r="L507" s="8" t="s">
        <v>58</v>
      </c>
      <c r="M507" s="8" t="s">
        <v>35</v>
      </c>
      <c r="N507" s="11">
        <v>44861.0</v>
      </c>
      <c r="O507" s="11">
        <v>45122.0</v>
      </c>
      <c r="P507" s="11">
        <v>45164.0</v>
      </c>
      <c r="Q507" s="11"/>
      <c r="R507" s="11"/>
      <c r="S507" s="12"/>
      <c r="T507" s="8"/>
      <c r="U507" s="8" t="s">
        <v>59</v>
      </c>
      <c r="V507" s="13" t="s">
        <v>438</v>
      </c>
      <c r="W507" s="13" t="s">
        <v>2932</v>
      </c>
      <c r="X507" s="12"/>
      <c r="Y507" s="14"/>
      <c r="Z507" s="14"/>
    </row>
    <row r="508">
      <c r="A508" s="8" t="s">
        <v>2933</v>
      </c>
      <c r="B508" s="8" t="s">
        <v>2934</v>
      </c>
      <c r="C508" s="8" t="s">
        <v>64</v>
      </c>
      <c r="D508" s="8" t="s">
        <v>26</v>
      </c>
      <c r="E508" s="8" t="s">
        <v>2935</v>
      </c>
      <c r="F508" s="8">
        <v>5.54953157E8</v>
      </c>
      <c r="G508" s="8" t="s">
        <v>254</v>
      </c>
      <c r="H508" s="8" t="s">
        <v>1007</v>
      </c>
      <c r="I508" s="8" t="s">
        <v>31</v>
      </c>
      <c r="J508" s="8" t="s">
        <v>292</v>
      </c>
      <c r="K508" s="10" t="s">
        <v>2936</v>
      </c>
      <c r="L508" s="8" t="s">
        <v>47</v>
      </c>
      <c r="M508" s="8" t="s">
        <v>70</v>
      </c>
      <c r="N508" s="11">
        <v>44861.0</v>
      </c>
      <c r="O508" s="11">
        <v>44893.0</v>
      </c>
      <c r="P508" s="11">
        <v>45258.0</v>
      </c>
      <c r="Q508" s="11">
        <v>44890.0</v>
      </c>
      <c r="R508" s="11">
        <v>45258.0</v>
      </c>
      <c r="S508" s="12"/>
      <c r="T508" s="8"/>
      <c r="U508" s="8" t="s">
        <v>2937</v>
      </c>
      <c r="V508" s="13" t="s">
        <v>1249</v>
      </c>
      <c r="W508" s="13" t="s">
        <v>2938</v>
      </c>
      <c r="X508" s="12"/>
      <c r="Y508" s="14"/>
      <c r="Z508" s="14"/>
    </row>
    <row r="509">
      <c r="A509" s="8" t="s">
        <v>2939</v>
      </c>
      <c r="B509" s="8" t="s">
        <v>2940</v>
      </c>
      <c r="C509" s="8" t="s">
        <v>64</v>
      </c>
      <c r="D509" s="8" t="s">
        <v>26</v>
      </c>
      <c r="E509" s="8" t="s">
        <v>2941</v>
      </c>
      <c r="F509" s="8"/>
      <c r="G509" s="8" t="s">
        <v>84</v>
      </c>
      <c r="H509" s="8" t="s">
        <v>646</v>
      </c>
      <c r="I509" s="8" t="s">
        <v>31</v>
      </c>
      <c r="J509" s="8" t="s">
        <v>292</v>
      </c>
      <c r="K509" s="10" t="s">
        <v>2936</v>
      </c>
      <c r="L509" s="8" t="s">
        <v>47</v>
      </c>
      <c r="M509" s="8" t="s">
        <v>70</v>
      </c>
      <c r="N509" s="11">
        <v>44861.0</v>
      </c>
      <c r="O509" s="11">
        <v>44837.0</v>
      </c>
      <c r="P509" s="11">
        <v>45202.0</v>
      </c>
      <c r="Q509" s="11">
        <v>44883.0</v>
      </c>
      <c r="R509" s="11">
        <v>45248.0</v>
      </c>
      <c r="S509" s="12"/>
      <c r="T509" s="8"/>
      <c r="U509" s="8" t="s">
        <v>2937</v>
      </c>
      <c r="V509" s="13" t="s">
        <v>38</v>
      </c>
      <c r="W509" s="13" t="s">
        <v>2942</v>
      </c>
      <c r="X509" s="12"/>
      <c r="Y509" s="14"/>
      <c r="Z509" s="14"/>
    </row>
    <row r="510">
      <c r="A510" s="8" t="s">
        <v>2943</v>
      </c>
      <c r="B510" s="8" t="s">
        <v>2944</v>
      </c>
      <c r="C510" s="8" t="s">
        <v>64</v>
      </c>
      <c r="D510" s="8" t="s">
        <v>26</v>
      </c>
      <c r="E510" s="8" t="s">
        <v>2945</v>
      </c>
      <c r="F510" s="8">
        <v>5.342935285E9</v>
      </c>
      <c r="G510" s="8" t="s">
        <v>54</v>
      </c>
      <c r="H510" s="8" t="s">
        <v>430</v>
      </c>
      <c r="I510" s="8" t="s">
        <v>31</v>
      </c>
      <c r="J510" s="8" t="s">
        <v>256</v>
      </c>
      <c r="K510" s="10" t="s">
        <v>2946</v>
      </c>
      <c r="L510" s="8" t="s">
        <v>47</v>
      </c>
      <c r="M510" s="8" t="s">
        <v>48</v>
      </c>
      <c r="N510" s="11">
        <v>44862.0</v>
      </c>
      <c r="O510" s="11">
        <v>44887.0</v>
      </c>
      <c r="P510" s="11">
        <v>45068.0</v>
      </c>
      <c r="Q510" s="11">
        <v>44917.0</v>
      </c>
      <c r="R510" s="11">
        <v>45099.0</v>
      </c>
      <c r="S510" s="12"/>
      <c r="T510" s="8"/>
      <c r="U510" s="8" t="s">
        <v>1295</v>
      </c>
      <c r="V510" s="13" t="s">
        <v>38</v>
      </c>
      <c r="W510" s="13" t="s">
        <v>2947</v>
      </c>
      <c r="X510" s="12"/>
      <c r="Y510" s="14"/>
      <c r="Z510" s="14"/>
    </row>
    <row r="511">
      <c r="A511" s="8" t="s">
        <v>2948</v>
      </c>
      <c r="B511" s="8" t="s">
        <v>2949</v>
      </c>
      <c r="C511" s="8" t="s">
        <v>64</v>
      </c>
      <c r="D511" s="8" t="s">
        <v>26</v>
      </c>
      <c r="E511" s="8" t="s">
        <v>2950</v>
      </c>
      <c r="F511" s="8">
        <v>2.3525948E7</v>
      </c>
      <c r="G511" s="8" t="s">
        <v>54</v>
      </c>
      <c r="H511" s="8" t="s">
        <v>55</v>
      </c>
      <c r="I511" s="8" t="s">
        <v>31</v>
      </c>
      <c r="J511" s="8" t="s">
        <v>77</v>
      </c>
      <c r="K511" s="10" t="s">
        <v>2951</v>
      </c>
      <c r="L511" s="8" t="s">
        <v>47</v>
      </c>
      <c r="M511" s="8" t="s">
        <v>70</v>
      </c>
      <c r="N511" s="11">
        <v>44862.0</v>
      </c>
      <c r="O511" s="11">
        <v>44872.0</v>
      </c>
      <c r="P511" s="11">
        <v>45237.0</v>
      </c>
      <c r="Q511" s="11">
        <v>44896.0</v>
      </c>
      <c r="R511" s="11">
        <v>45261.0</v>
      </c>
      <c r="S511" s="12"/>
      <c r="T511" s="8"/>
      <c r="U511" s="8" t="s">
        <v>2952</v>
      </c>
      <c r="V511" s="13" t="s">
        <v>60</v>
      </c>
      <c r="W511" s="13" t="s">
        <v>2953</v>
      </c>
      <c r="X511" s="12"/>
      <c r="Y511" s="14"/>
      <c r="Z511" s="14"/>
    </row>
    <row r="512">
      <c r="A512" s="8" t="s">
        <v>2954</v>
      </c>
      <c r="B512" s="8" t="s">
        <v>2955</v>
      </c>
      <c r="C512" s="8" t="s">
        <v>179</v>
      </c>
      <c r="D512" s="8" t="s">
        <v>26</v>
      </c>
      <c r="E512" s="8" t="s">
        <v>2956</v>
      </c>
      <c r="F512" s="8">
        <v>3.4998686597E10</v>
      </c>
      <c r="G512" s="8" t="s">
        <v>109</v>
      </c>
      <c r="H512" s="8" t="s">
        <v>2359</v>
      </c>
      <c r="I512" s="8" t="s">
        <v>31</v>
      </c>
      <c r="J512" s="8" t="s">
        <v>167</v>
      </c>
      <c r="K512" s="10" t="s">
        <v>168</v>
      </c>
      <c r="L512" s="8" t="s">
        <v>58</v>
      </c>
      <c r="M512" s="8" t="s">
        <v>35</v>
      </c>
      <c r="N512" s="11">
        <v>44862.0</v>
      </c>
      <c r="O512" s="11">
        <v>45117.0</v>
      </c>
      <c r="P512" s="11">
        <v>45159.0</v>
      </c>
      <c r="Q512" s="11"/>
      <c r="R512" s="11"/>
      <c r="S512" s="12"/>
      <c r="T512" s="8"/>
      <c r="U512" s="8" t="s">
        <v>130</v>
      </c>
      <c r="V512" s="13" t="s">
        <v>2361</v>
      </c>
      <c r="W512" s="13" t="s">
        <v>2957</v>
      </c>
      <c r="X512" s="12"/>
      <c r="Y512" s="14"/>
      <c r="Z512" s="14"/>
    </row>
    <row r="513">
      <c r="A513" s="8" t="s">
        <v>2958</v>
      </c>
      <c r="B513" s="8" t="s">
        <v>2959</v>
      </c>
      <c r="C513" s="8" t="s">
        <v>25</v>
      </c>
      <c r="D513" s="8" t="s">
        <v>26</v>
      </c>
      <c r="E513" s="8" t="s">
        <v>2960</v>
      </c>
      <c r="F513" s="8">
        <v>5.3849754E7</v>
      </c>
      <c r="G513" s="8" t="s">
        <v>54</v>
      </c>
      <c r="H513" s="8" t="s">
        <v>595</v>
      </c>
      <c r="I513" s="8" t="s">
        <v>31</v>
      </c>
      <c r="J513" s="8" t="s">
        <v>542</v>
      </c>
      <c r="K513" s="10" t="s">
        <v>1653</v>
      </c>
      <c r="L513" s="8" t="s">
        <v>58</v>
      </c>
      <c r="M513" s="8" t="s">
        <v>35</v>
      </c>
      <c r="N513" s="11">
        <v>44863.0</v>
      </c>
      <c r="O513" s="11">
        <v>44935.0</v>
      </c>
      <c r="P513" s="11">
        <v>44977.0</v>
      </c>
      <c r="Q513" s="11">
        <v>44936.0</v>
      </c>
      <c r="R513" s="11">
        <v>44977.0</v>
      </c>
      <c r="S513" s="12"/>
      <c r="T513" s="8"/>
      <c r="U513" s="8" t="s">
        <v>59</v>
      </c>
      <c r="V513" s="13" t="s">
        <v>2961</v>
      </c>
      <c r="W513" s="13" t="s">
        <v>2962</v>
      </c>
      <c r="X513" s="12"/>
      <c r="Y513" s="14"/>
      <c r="Z513" s="14"/>
    </row>
    <row r="514">
      <c r="A514" s="8" t="s">
        <v>2963</v>
      </c>
      <c r="B514" s="8" t="s">
        <v>2964</v>
      </c>
      <c r="C514" s="8" t="s">
        <v>251</v>
      </c>
      <c r="D514" s="8" t="s">
        <v>26</v>
      </c>
      <c r="E514" s="8" t="s">
        <v>2965</v>
      </c>
      <c r="F514" s="8">
        <v>3.349915915E9</v>
      </c>
      <c r="G514" s="8" t="s">
        <v>315</v>
      </c>
      <c r="H514" s="8" t="s">
        <v>316</v>
      </c>
      <c r="I514" s="8" t="s">
        <v>31</v>
      </c>
      <c r="J514" s="8" t="s">
        <v>32</v>
      </c>
      <c r="K514" s="10" t="s">
        <v>561</v>
      </c>
      <c r="L514" s="8" t="s">
        <v>58</v>
      </c>
      <c r="M514" s="8" t="s">
        <v>35</v>
      </c>
      <c r="N514" s="11">
        <v>44863.0</v>
      </c>
      <c r="O514" s="11">
        <v>44983.0</v>
      </c>
      <c r="P514" s="11">
        <v>45025.0</v>
      </c>
      <c r="Q514" s="11"/>
      <c r="R514" s="11"/>
      <c r="S514" s="12"/>
      <c r="T514" s="8"/>
      <c r="U514" s="8" t="s">
        <v>59</v>
      </c>
      <c r="V514" s="13" t="s">
        <v>1394</v>
      </c>
      <c r="W514" s="13" t="s">
        <v>2966</v>
      </c>
      <c r="X514" s="12"/>
      <c r="Y514" s="14"/>
      <c r="Z514" s="14"/>
    </row>
    <row r="515">
      <c r="A515" s="8" t="s">
        <v>2967</v>
      </c>
      <c r="B515" s="8" t="s">
        <v>2968</v>
      </c>
      <c r="C515" s="8" t="s">
        <v>25</v>
      </c>
      <c r="D515" s="8" t="s">
        <v>26</v>
      </c>
      <c r="E515" s="8" t="s">
        <v>2969</v>
      </c>
      <c r="F515" s="8">
        <v>2.9290704E7</v>
      </c>
      <c r="G515" s="8" t="s">
        <v>54</v>
      </c>
      <c r="H515" s="8" t="s">
        <v>377</v>
      </c>
      <c r="I515" s="8" t="s">
        <v>31</v>
      </c>
      <c r="J515" s="8" t="s">
        <v>102</v>
      </c>
      <c r="K515" s="10" t="s">
        <v>2210</v>
      </c>
      <c r="L515" s="8" t="s">
        <v>47</v>
      </c>
      <c r="M515" s="8" t="s">
        <v>70</v>
      </c>
      <c r="N515" s="11">
        <v>44863.0</v>
      </c>
      <c r="O515" s="11">
        <v>44873.0</v>
      </c>
      <c r="P515" s="11">
        <v>45238.0</v>
      </c>
      <c r="Q515" s="11">
        <v>44886.0</v>
      </c>
      <c r="R515" s="11">
        <v>45251.0</v>
      </c>
      <c r="S515" s="12"/>
      <c r="T515" s="8"/>
      <c r="U515" s="8" t="s">
        <v>246</v>
      </c>
      <c r="V515" s="13" t="s">
        <v>1604</v>
      </c>
      <c r="W515" s="13" t="s">
        <v>2970</v>
      </c>
      <c r="X515" s="12"/>
      <c r="Y515" s="14"/>
      <c r="Z515" s="14"/>
    </row>
    <row r="516">
      <c r="A516" s="8" t="s">
        <v>2971</v>
      </c>
      <c r="B516" s="8" t="s">
        <v>2972</v>
      </c>
      <c r="C516" s="8" t="s">
        <v>25</v>
      </c>
      <c r="D516" s="8" t="s">
        <v>26</v>
      </c>
      <c r="E516" s="8" t="s">
        <v>2973</v>
      </c>
      <c r="F516" s="8">
        <v>7.025755941E9</v>
      </c>
      <c r="G516" s="8" t="s">
        <v>496</v>
      </c>
      <c r="H516" s="8" t="s">
        <v>2112</v>
      </c>
      <c r="I516" s="8" t="s">
        <v>31</v>
      </c>
      <c r="J516" s="8" t="s">
        <v>1119</v>
      </c>
      <c r="K516" s="10" t="s">
        <v>2736</v>
      </c>
      <c r="L516" s="8" t="s">
        <v>58</v>
      </c>
      <c r="M516" s="8" t="s">
        <v>35</v>
      </c>
      <c r="N516" s="11">
        <v>44863.0</v>
      </c>
      <c r="O516" s="11">
        <v>45109.0</v>
      </c>
      <c r="P516" s="11">
        <v>45151.0</v>
      </c>
      <c r="Q516" s="11">
        <v>45106.0</v>
      </c>
      <c r="R516" s="11">
        <v>45151.0</v>
      </c>
      <c r="S516" s="12"/>
      <c r="T516" s="8"/>
      <c r="U516" s="8" t="s">
        <v>59</v>
      </c>
      <c r="V516" s="13" t="s">
        <v>2776</v>
      </c>
      <c r="W516" s="13" t="s">
        <v>2974</v>
      </c>
      <c r="X516" s="12"/>
      <c r="Y516" s="14"/>
      <c r="Z516" s="14"/>
    </row>
    <row r="517">
      <c r="A517" s="8" t="s">
        <v>2975</v>
      </c>
      <c r="B517" s="8" t="s">
        <v>2976</v>
      </c>
      <c r="C517" s="8" t="s">
        <v>25</v>
      </c>
      <c r="D517" s="8" t="s">
        <v>26</v>
      </c>
      <c r="E517" s="8" t="s">
        <v>2977</v>
      </c>
      <c r="F517" s="8">
        <v>7.761409158E9</v>
      </c>
      <c r="G517" s="8" t="s">
        <v>496</v>
      </c>
      <c r="H517" s="8" t="s">
        <v>2112</v>
      </c>
      <c r="I517" s="8" t="s">
        <v>31</v>
      </c>
      <c r="J517" s="8" t="s">
        <v>1119</v>
      </c>
      <c r="K517" s="10" t="s">
        <v>2736</v>
      </c>
      <c r="L517" s="8" t="s">
        <v>58</v>
      </c>
      <c r="M517" s="8" t="s">
        <v>35</v>
      </c>
      <c r="N517" s="11">
        <v>44863.0</v>
      </c>
      <c r="O517" s="11">
        <v>45109.0</v>
      </c>
      <c r="P517" s="11">
        <v>45151.0</v>
      </c>
      <c r="Q517" s="11">
        <v>45106.0</v>
      </c>
      <c r="R517" s="11">
        <v>45151.0</v>
      </c>
      <c r="S517" s="12"/>
      <c r="T517" s="8"/>
      <c r="U517" s="8" t="s">
        <v>59</v>
      </c>
      <c r="V517" s="13" t="s">
        <v>2776</v>
      </c>
      <c r="W517" s="13" t="s">
        <v>2978</v>
      </c>
      <c r="X517" s="12"/>
      <c r="Y517" s="14"/>
      <c r="Z517" s="14"/>
    </row>
    <row r="518">
      <c r="A518" s="8" t="s">
        <v>2979</v>
      </c>
      <c r="B518" s="8" t="s">
        <v>2980</v>
      </c>
      <c r="C518" s="8" t="s">
        <v>25</v>
      </c>
      <c r="D518" s="8" t="s">
        <v>26</v>
      </c>
      <c r="E518" s="8" t="s">
        <v>2981</v>
      </c>
      <c r="F518" s="8">
        <v>5.340742004E9</v>
      </c>
      <c r="G518" s="8" t="s">
        <v>31</v>
      </c>
      <c r="H518" s="8" t="s">
        <v>292</v>
      </c>
      <c r="I518" s="8" t="s">
        <v>44</v>
      </c>
      <c r="J518" s="8" t="s">
        <v>1993</v>
      </c>
      <c r="K518" s="10" t="s">
        <v>2982</v>
      </c>
      <c r="L518" s="8" t="s">
        <v>58</v>
      </c>
      <c r="M518" s="8" t="s">
        <v>35</v>
      </c>
      <c r="N518" s="11">
        <v>44863.0</v>
      </c>
      <c r="O518" s="11">
        <v>45086.0</v>
      </c>
      <c r="P518" s="11">
        <v>45128.0</v>
      </c>
      <c r="Q518" s="11">
        <v>45087.0</v>
      </c>
      <c r="R518" s="11">
        <v>45128.0</v>
      </c>
      <c r="S518" s="12"/>
      <c r="T518" s="8"/>
      <c r="U518" s="8" t="s">
        <v>371</v>
      </c>
      <c r="V518" s="13" t="s">
        <v>292</v>
      </c>
      <c r="W518" s="13" t="s">
        <v>2983</v>
      </c>
      <c r="X518" s="12"/>
      <c r="Y518" s="14"/>
      <c r="Z518" s="14"/>
    </row>
    <row r="519">
      <c r="A519" s="8" t="s">
        <v>2984</v>
      </c>
      <c r="B519" s="8" t="s">
        <v>2985</v>
      </c>
      <c r="C519" s="8" t="s">
        <v>25</v>
      </c>
      <c r="D519" s="8" t="s">
        <v>26</v>
      </c>
      <c r="E519" s="8" t="s">
        <v>2986</v>
      </c>
      <c r="F519" s="8"/>
      <c r="G519" s="8" t="s">
        <v>254</v>
      </c>
      <c r="H519" s="8" t="s">
        <v>291</v>
      </c>
      <c r="I519" s="8" t="s">
        <v>31</v>
      </c>
      <c r="J519" s="8" t="s">
        <v>542</v>
      </c>
      <c r="K519" s="10" t="s">
        <v>1685</v>
      </c>
      <c r="L519" s="8" t="s">
        <v>34</v>
      </c>
      <c r="M519" s="8" t="s">
        <v>70</v>
      </c>
      <c r="N519" s="11">
        <v>44864.0</v>
      </c>
      <c r="O519" s="11">
        <v>44872.0</v>
      </c>
      <c r="P519" s="11">
        <v>45237.0</v>
      </c>
      <c r="Q519" s="11">
        <v>44892.0</v>
      </c>
      <c r="R519" s="11">
        <v>45258.0</v>
      </c>
      <c r="S519" s="12"/>
      <c r="T519" s="8" t="s">
        <v>205</v>
      </c>
      <c r="U519" s="8" t="s">
        <v>1686</v>
      </c>
      <c r="V519" s="13" t="s">
        <v>38</v>
      </c>
      <c r="W519" s="13" t="s">
        <v>2987</v>
      </c>
      <c r="X519" s="12"/>
      <c r="Y519" s="14"/>
      <c r="Z519" s="14"/>
    </row>
    <row r="520">
      <c r="A520" s="8" t="s">
        <v>2988</v>
      </c>
      <c r="B520" s="8" t="s">
        <v>2989</v>
      </c>
      <c r="C520" s="8" t="s">
        <v>179</v>
      </c>
      <c r="D520" s="8" t="s">
        <v>26</v>
      </c>
      <c r="E520" s="8" t="s">
        <v>2990</v>
      </c>
      <c r="F520" s="8">
        <v>2.6426455E7</v>
      </c>
      <c r="G520" s="8" t="s">
        <v>54</v>
      </c>
      <c r="H520" s="8" t="s">
        <v>377</v>
      </c>
      <c r="I520" s="8" t="s">
        <v>31</v>
      </c>
      <c r="J520" s="8" t="s">
        <v>220</v>
      </c>
      <c r="K520" s="10" t="s">
        <v>2193</v>
      </c>
      <c r="L520" s="8" t="s">
        <v>58</v>
      </c>
      <c r="M520" s="8" t="s">
        <v>35</v>
      </c>
      <c r="N520" s="11">
        <v>44865.0</v>
      </c>
      <c r="O520" s="11">
        <v>45117.0</v>
      </c>
      <c r="P520" s="11">
        <v>45159.0</v>
      </c>
      <c r="Q520" s="11"/>
      <c r="R520" s="11"/>
      <c r="S520" s="12"/>
      <c r="T520" s="8"/>
      <c r="U520" s="8" t="s">
        <v>59</v>
      </c>
      <c r="V520" s="13" t="s">
        <v>2218</v>
      </c>
      <c r="W520" s="13" t="s">
        <v>2991</v>
      </c>
      <c r="X520" s="12"/>
      <c r="Y520" s="14"/>
      <c r="Z520" s="14"/>
    </row>
    <row r="521">
      <c r="A521" s="8" t="s">
        <v>2992</v>
      </c>
      <c r="B521" s="8" t="s">
        <v>2993</v>
      </c>
      <c r="C521" s="8" t="s">
        <v>64</v>
      </c>
      <c r="D521" s="8" t="s">
        <v>26</v>
      </c>
      <c r="E521" s="8" t="s">
        <v>2994</v>
      </c>
      <c r="F521" s="8">
        <v>5.38471295E9</v>
      </c>
      <c r="G521" s="8" t="s">
        <v>31</v>
      </c>
      <c r="H521" s="8" t="s">
        <v>56</v>
      </c>
      <c r="I521" s="8" t="s">
        <v>2680</v>
      </c>
      <c r="J521" s="8" t="s">
        <v>2681</v>
      </c>
      <c r="K521" s="10" t="s">
        <v>2995</v>
      </c>
      <c r="L521" s="8" t="s">
        <v>34</v>
      </c>
      <c r="M521" s="8" t="s">
        <v>70</v>
      </c>
      <c r="N521" s="11">
        <v>44865.0</v>
      </c>
      <c r="O521" s="11">
        <v>44935.0</v>
      </c>
      <c r="P521" s="11">
        <v>45299.0</v>
      </c>
      <c r="Q521" s="11">
        <v>44935.0</v>
      </c>
      <c r="R521" s="11">
        <v>45299.0</v>
      </c>
      <c r="S521" s="12"/>
      <c r="T521" s="8" t="s">
        <v>446</v>
      </c>
      <c r="U521" s="8" t="s">
        <v>2996</v>
      </c>
      <c r="V521" s="13" t="s">
        <v>56</v>
      </c>
      <c r="W521" s="13" t="s">
        <v>2997</v>
      </c>
      <c r="X521" s="12"/>
      <c r="Y521" s="14"/>
      <c r="Z521" s="14"/>
    </row>
    <row r="522">
      <c r="A522" s="8" t="s">
        <v>2998</v>
      </c>
      <c r="B522" s="8" t="s">
        <v>2999</v>
      </c>
      <c r="C522" s="8" t="s">
        <v>179</v>
      </c>
      <c r="D522" s="8" t="s">
        <v>26</v>
      </c>
      <c r="E522" s="8" t="s">
        <v>3000</v>
      </c>
      <c r="F522" s="8">
        <v>6.65084848E8</v>
      </c>
      <c r="G522" s="8" t="s">
        <v>221</v>
      </c>
      <c r="H522" s="8" t="s">
        <v>3001</v>
      </c>
      <c r="I522" s="8" t="s">
        <v>31</v>
      </c>
      <c r="J522" s="8" t="s">
        <v>32</v>
      </c>
      <c r="K522" s="10" t="s">
        <v>286</v>
      </c>
      <c r="L522" s="8" t="s">
        <v>58</v>
      </c>
      <c r="M522" s="8" t="s">
        <v>35</v>
      </c>
      <c r="N522" s="11">
        <v>44865.0</v>
      </c>
      <c r="O522" s="11">
        <v>44990.0</v>
      </c>
      <c r="P522" s="11">
        <v>45032.0</v>
      </c>
      <c r="Q522" s="11"/>
      <c r="R522" s="11"/>
      <c r="S522" s="12"/>
      <c r="T522" s="8"/>
      <c r="U522" s="8" t="s">
        <v>59</v>
      </c>
      <c r="V522" s="13" t="s">
        <v>2060</v>
      </c>
      <c r="W522" s="13" t="s">
        <v>3002</v>
      </c>
      <c r="X522" s="12"/>
      <c r="Y522" s="14"/>
      <c r="Z522" s="14"/>
    </row>
    <row r="523">
      <c r="A523" s="8" t="s">
        <v>3003</v>
      </c>
      <c r="B523" s="8" t="s">
        <v>3004</v>
      </c>
      <c r="C523" s="8" t="s">
        <v>64</v>
      </c>
      <c r="D523" s="8" t="s">
        <v>26</v>
      </c>
      <c r="E523" s="8" t="s">
        <v>3005</v>
      </c>
      <c r="F523" s="8">
        <v>5.071005054E9</v>
      </c>
      <c r="G523" s="8" t="s">
        <v>31</v>
      </c>
      <c r="H523" s="8" t="s">
        <v>220</v>
      </c>
      <c r="I523" s="8" t="s">
        <v>127</v>
      </c>
      <c r="J523" s="8" t="s">
        <v>3006</v>
      </c>
      <c r="K523" s="10" t="s">
        <v>3007</v>
      </c>
      <c r="L523" s="8" t="s">
        <v>58</v>
      </c>
      <c r="M523" s="8" t="s">
        <v>35</v>
      </c>
      <c r="N523" s="11">
        <v>44865.0</v>
      </c>
      <c r="O523" s="11">
        <v>44935.0</v>
      </c>
      <c r="P523" s="11">
        <v>44977.0</v>
      </c>
      <c r="Q523" s="11">
        <v>44936.0</v>
      </c>
      <c r="R523" s="11">
        <v>44977.0</v>
      </c>
      <c r="S523" s="12"/>
      <c r="T523" s="8"/>
      <c r="U523" s="8" t="s">
        <v>1956</v>
      </c>
      <c r="V523" s="13" t="s">
        <v>56</v>
      </c>
      <c r="W523" s="13" t="s">
        <v>3008</v>
      </c>
      <c r="X523" s="12"/>
      <c r="Y523" s="14"/>
      <c r="Z523" s="14"/>
    </row>
    <row r="524">
      <c r="A524" s="8" t="s">
        <v>3009</v>
      </c>
      <c r="B524" s="8" t="s">
        <v>3010</v>
      </c>
      <c r="C524" s="8" t="s">
        <v>251</v>
      </c>
      <c r="D524" s="8" t="s">
        <v>26</v>
      </c>
      <c r="E524" s="8" t="s">
        <v>3011</v>
      </c>
      <c r="F524" s="8">
        <v>7.95685747E8</v>
      </c>
      <c r="G524" s="8" t="s">
        <v>254</v>
      </c>
      <c r="H524" s="8" t="s">
        <v>291</v>
      </c>
      <c r="I524" s="8" t="s">
        <v>31</v>
      </c>
      <c r="J524" s="8" t="s">
        <v>292</v>
      </c>
      <c r="K524" s="10" t="s">
        <v>1504</v>
      </c>
      <c r="L524" s="8" t="s">
        <v>47</v>
      </c>
      <c r="M524" s="8" t="s">
        <v>70</v>
      </c>
      <c r="N524" s="11">
        <v>44865.0</v>
      </c>
      <c r="O524" s="11">
        <v>44893.0</v>
      </c>
      <c r="P524" s="11">
        <v>45258.0</v>
      </c>
      <c r="Q524" s="11"/>
      <c r="R524" s="11"/>
      <c r="S524" s="12"/>
      <c r="T524" s="8"/>
      <c r="U524" s="8" t="s">
        <v>1463</v>
      </c>
      <c r="V524" s="13" t="s">
        <v>38</v>
      </c>
      <c r="W524" s="13" t="s">
        <v>3012</v>
      </c>
      <c r="X524" s="12"/>
      <c r="Y524" s="14"/>
      <c r="Z524" s="14"/>
    </row>
    <row r="525">
      <c r="A525" s="8" t="s">
        <v>3013</v>
      </c>
      <c r="B525" s="8" t="s">
        <v>3014</v>
      </c>
      <c r="C525" s="8" t="s">
        <v>64</v>
      </c>
      <c r="D525" s="8" t="s">
        <v>26</v>
      </c>
      <c r="E525" s="8" t="s">
        <v>3015</v>
      </c>
      <c r="F525" s="8"/>
      <c r="G525" s="8" t="s">
        <v>31</v>
      </c>
      <c r="H525" s="8" t="s">
        <v>438</v>
      </c>
      <c r="I525" s="8" t="s">
        <v>100</v>
      </c>
      <c r="J525" s="8" t="s">
        <v>3016</v>
      </c>
      <c r="K525" s="10" t="s">
        <v>3017</v>
      </c>
      <c r="L525" s="8" t="s">
        <v>58</v>
      </c>
      <c r="M525" s="8" t="s">
        <v>35</v>
      </c>
      <c r="N525" s="11">
        <v>44865.0</v>
      </c>
      <c r="O525" s="11">
        <v>44963.0</v>
      </c>
      <c r="P525" s="11">
        <v>45005.0</v>
      </c>
      <c r="Q525" s="11">
        <v>44964.0</v>
      </c>
      <c r="R525" s="11">
        <v>45005.0</v>
      </c>
      <c r="S525" s="12"/>
      <c r="T525" s="8"/>
      <c r="U525" s="8" t="s">
        <v>88</v>
      </c>
      <c r="V525" s="13" t="s">
        <v>38</v>
      </c>
      <c r="W525" s="13" t="s">
        <v>3018</v>
      </c>
      <c r="X525" s="12"/>
      <c r="Y525" s="14"/>
      <c r="Z525" s="14"/>
    </row>
    <row r="526">
      <c r="A526" s="8" t="s">
        <v>3019</v>
      </c>
      <c r="B526" s="8" t="s">
        <v>3020</v>
      </c>
      <c r="C526" s="8" t="s">
        <v>64</v>
      </c>
      <c r="D526" s="8" t="s">
        <v>26</v>
      </c>
      <c r="E526" s="8" t="s">
        <v>3021</v>
      </c>
      <c r="F526" s="8">
        <v>2.2156803E7</v>
      </c>
      <c r="G526" s="8" t="s">
        <v>54</v>
      </c>
      <c r="H526" s="8" t="s">
        <v>595</v>
      </c>
      <c r="I526" s="8" t="s">
        <v>31</v>
      </c>
      <c r="J526" s="8" t="s">
        <v>167</v>
      </c>
      <c r="K526" s="10" t="s">
        <v>3022</v>
      </c>
      <c r="L526" s="8" t="s">
        <v>58</v>
      </c>
      <c r="M526" s="8" t="s">
        <v>35</v>
      </c>
      <c r="N526" s="11">
        <v>44866.0</v>
      </c>
      <c r="O526" s="11">
        <v>45117.0</v>
      </c>
      <c r="P526" s="11">
        <v>45159.0</v>
      </c>
      <c r="Q526" s="11">
        <v>45118.0</v>
      </c>
      <c r="R526" s="11">
        <v>45159.0</v>
      </c>
      <c r="S526" s="12"/>
      <c r="T526" s="8"/>
      <c r="U526" s="8" t="s">
        <v>88</v>
      </c>
      <c r="V526" s="13" t="s">
        <v>2961</v>
      </c>
      <c r="W526" s="13" t="s">
        <v>3023</v>
      </c>
      <c r="X526" s="12"/>
      <c r="Y526" s="14"/>
      <c r="Z526" s="14"/>
    </row>
    <row r="527">
      <c r="A527" s="8" t="s">
        <v>3024</v>
      </c>
      <c r="B527" s="8" t="s">
        <v>3025</v>
      </c>
      <c r="C527" s="8" t="s">
        <v>179</v>
      </c>
      <c r="D527" s="8" t="s">
        <v>26</v>
      </c>
      <c r="E527" s="8" t="s">
        <v>3026</v>
      </c>
      <c r="F527" s="8">
        <v>5.344236945E9</v>
      </c>
      <c r="G527" s="8" t="s">
        <v>31</v>
      </c>
      <c r="H527" s="8" t="s">
        <v>77</v>
      </c>
      <c r="I527" s="8" t="s">
        <v>44</v>
      </c>
      <c r="J527" s="8" t="s">
        <v>1993</v>
      </c>
      <c r="K527" s="10" t="s">
        <v>2501</v>
      </c>
      <c r="L527" s="8" t="s">
        <v>58</v>
      </c>
      <c r="M527" s="8" t="s">
        <v>35</v>
      </c>
      <c r="N527" s="11">
        <v>44866.0</v>
      </c>
      <c r="O527" s="11">
        <v>45171.0</v>
      </c>
      <c r="P527" s="11">
        <v>45213.0</v>
      </c>
      <c r="Q527" s="11"/>
      <c r="R527" s="11"/>
      <c r="S527" s="12"/>
      <c r="T527" s="8"/>
      <c r="U527" s="8" t="s">
        <v>1038</v>
      </c>
      <c r="V527" s="13" t="s">
        <v>3027</v>
      </c>
      <c r="W527" s="13" t="s">
        <v>3028</v>
      </c>
      <c r="X527" s="12"/>
      <c r="Y527" s="14"/>
      <c r="Z527" s="14"/>
    </row>
    <row r="528">
      <c r="A528" s="8" t="s">
        <v>3029</v>
      </c>
      <c r="B528" s="8" t="s">
        <v>3030</v>
      </c>
      <c r="C528" s="8" t="s">
        <v>335</v>
      </c>
      <c r="D528" s="8" t="s">
        <v>26</v>
      </c>
      <c r="E528" s="8" t="s">
        <v>3031</v>
      </c>
      <c r="F528" s="8">
        <v>5.374587104E9</v>
      </c>
      <c r="G528" s="8" t="s">
        <v>31</v>
      </c>
      <c r="H528" s="8" t="s">
        <v>77</v>
      </c>
      <c r="I528" s="8" t="s">
        <v>44</v>
      </c>
      <c r="J528" s="8" t="s">
        <v>1993</v>
      </c>
      <c r="K528" s="10" t="s">
        <v>2501</v>
      </c>
      <c r="L528" s="8" t="s">
        <v>58</v>
      </c>
      <c r="M528" s="8" t="s">
        <v>35</v>
      </c>
      <c r="N528" s="11">
        <v>45138.0</v>
      </c>
      <c r="O528" s="11">
        <v>45171.0</v>
      </c>
      <c r="P528" s="11">
        <v>45213.0</v>
      </c>
      <c r="Q528" s="11"/>
      <c r="R528" s="11"/>
      <c r="S528" s="12"/>
      <c r="T528" s="8"/>
      <c r="U528" s="8" t="s">
        <v>1038</v>
      </c>
      <c r="V528" s="13" t="s">
        <v>111</v>
      </c>
      <c r="W528" s="13" t="s">
        <v>3032</v>
      </c>
      <c r="X528" s="12"/>
      <c r="Y528" s="14"/>
      <c r="Z528" s="14"/>
    </row>
    <row r="529">
      <c r="A529" s="8" t="s">
        <v>3033</v>
      </c>
      <c r="B529" s="8" t="s">
        <v>3034</v>
      </c>
      <c r="C529" s="8" t="s">
        <v>179</v>
      </c>
      <c r="D529" s="8" t="s">
        <v>26</v>
      </c>
      <c r="E529" s="8" t="s">
        <v>3035</v>
      </c>
      <c r="F529" s="8">
        <v>5.522383665E9</v>
      </c>
      <c r="G529" s="8" t="s">
        <v>31</v>
      </c>
      <c r="H529" s="8" t="s">
        <v>77</v>
      </c>
      <c r="I529" s="8" t="s">
        <v>44</v>
      </c>
      <c r="J529" s="8" t="s">
        <v>1993</v>
      </c>
      <c r="K529" s="10" t="s">
        <v>2501</v>
      </c>
      <c r="L529" s="8" t="s">
        <v>58</v>
      </c>
      <c r="M529" s="8" t="s">
        <v>35</v>
      </c>
      <c r="N529" s="11">
        <v>44866.0</v>
      </c>
      <c r="O529" s="11">
        <v>45171.0</v>
      </c>
      <c r="P529" s="11">
        <v>45213.0</v>
      </c>
      <c r="Q529" s="11"/>
      <c r="R529" s="11"/>
      <c r="S529" s="12"/>
      <c r="T529" s="8"/>
      <c r="U529" s="8" t="s">
        <v>1038</v>
      </c>
      <c r="V529" s="13" t="s">
        <v>2491</v>
      </c>
      <c r="W529" s="13" t="s">
        <v>3036</v>
      </c>
      <c r="X529" s="12"/>
      <c r="Y529" s="14"/>
      <c r="Z529" s="14"/>
    </row>
    <row r="530">
      <c r="A530" s="8" t="s">
        <v>3037</v>
      </c>
      <c r="B530" s="8" t="s">
        <v>3038</v>
      </c>
      <c r="C530" s="8" t="s">
        <v>179</v>
      </c>
      <c r="D530" s="8" t="s">
        <v>26</v>
      </c>
      <c r="E530" s="8" t="s">
        <v>3039</v>
      </c>
      <c r="F530" s="8">
        <v>5.57115707E8</v>
      </c>
      <c r="G530" s="8" t="s">
        <v>254</v>
      </c>
      <c r="H530" s="8" t="s">
        <v>255</v>
      </c>
      <c r="I530" s="8" t="s">
        <v>31</v>
      </c>
      <c r="J530" s="8" t="s">
        <v>32</v>
      </c>
      <c r="K530" s="10" t="s">
        <v>3040</v>
      </c>
      <c r="L530" s="8" t="s">
        <v>47</v>
      </c>
      <c r="M530" s="8" t="s">
        <v>70</v>
      </c>
      <c r="N530" s="11">
        <v>44866.0</v>
      </c>
      <c r="O530" s="11">
        <v>44895.0</v>
      </c>
      <c r="P530" s="11">
        <v>45137.0</v>
      </c>
      <c r="Q530" s="11"/>
      <c r="R530" s="11"/>
      <c r="S530" s="12"/>
      <c r="T530" s="8"/>
      <c r="U530" s="8" t="s">
        <v>3041</v>
      </c>
      <c r="V530" s="13" t="s">
        <v>38</v>
      </c>
      <c r="W530" s="13" t="s">
        <v>3042</v>
      </c>
      <c r="X530" s="12"/>
      <c r="Y530" s="14"/>
      <c r="Z530" s="14"/>
    </row>
    <row r="531">
      <c r="A531" s="8" t="s">
        <v>3043</v>
      </c>
      <c r="B531" s="8" t="s">
        <v>3044</v>
      </c>
      <c r="C531" s="8" t="s">
        <v>179</v>
      </c>
      <c r="D531" s="8" t="s">
        <v>26</v>
      </c>
      <c r="E531" s="8" t="s">
        <v>3045</v>
      </c>
      <c r="F531" s="8">
        <v>7.255064834E9</v>
      </c>
      <c r="G531" s="8" t="s">
        <v>44</v>
      </c>
      <c r="H531" s="8" t="s">
        <v>1185</v>
      </c>
      <c r="I531" s="8" t="s">
        <v>31</v>
      </c>
      <c r="J531" s="8" t="s">
        <v>32</v>
      </c>
      <c r="K531" s="10" t="s">
        <v>1095</v>
      </c>
      <c r="L531" s="8" t="s">
        <v>58</v>
      </c>
      <c r="M531" s="8" t="s">
        <v>35</v>
      </c>
      <c r="N531" s="11">
        <v>44866.0</v>
      </c>
      <c r="O531" s="11">
        <v>44906.0</v>
      </c>
      <c r="P531" s="11">
        <v>44948.0</v>
      </c>
      <c r="Q531" s="11"/>
      <c r="R531" s="11"/>
      <c r="S531" s="12"/>
      <c r="T531" s="8"/>
      <c r="U531" s="8" t="s">
        <v>59</v>
      </c>
      <c r="V531" s="13" t="s">
        <v>1185</v>
      </c>
      <c r="W531" s="13" t="s">
        <v>3046</v>
      </c>
      <c r="X531" s="12"/>
      <c r="Y531" s="14"/>
      <c r="Z531" s="14"/>
    </row>
    <row r="532">
      <c r="A532" s="8" t="s">
        <v>3047</v>
      </c>
      <c r="B532" s="8" t="s">
        <v>3048</v>
      </c>
      <c r="C532" s="8" t="s">
        <v>25</v>
      </c>
      <c r="D532" s="8" t="s">
        <v>26</v>
      </c>
      <c r="E532" s="8" t="s">
        <v>3049</v>
      </c>
      <c r="F532" s="8">
        <v>6.29641071E8</v>
      </c>
      <c r="G532" s="8" t="s">
        <v>221</v>
      </c>
      <c r="H532" s="8" t="s">
        <v>3050</v>
      </c>
      <c r="I532" s="8" t="s">
        <v>31</v>
      </c>
      <c r="J532" s="8" t="s">
        <v>542</v>
      </c>
      <c r="K532" s="10" t="s">
        <v>2360</v>
      </c>
      <c r="L532" s="8" t="s">
        <v>58</v>
      </c>
      <c r="M532" s="8" t="s">
        <v>35</v>
      </c>
      <c r="N532" s="11">
        <v>44866.0</v>
      </c>
      <c r="O532" s="11">
        <v>44900.0</v>
      </c>
      <c r="P532" s="11">
        <v>44942.0</v>
      </c>
      <c r="Q532" s="11">
        <v>44900.0</v>
      </c>
      <c r="R532" s="11">
        <v>44942.0</v>
      </c>
      <c r="S532" s="12"/>
      <c r="T532" s="8"/>
      <c r="U532" s="8" t="s">
        <v>59</v>
      </c>
      <c r="V532" s="13" t="s">
        <v>3050</v>
      </c>
      <c r="W532" s="13" t="s">
        <v>3051</v>
      </c>
      <c r="X532" s="12"/>
      <c r="Y532" s="14"/>
      <c r="Z532" s="14"/>
    </row>
    <row r="533">
      <c r="A533" s="8" t="s">
        <v>3052</v>
      </c>
      <c r="B533" s="8" t="s">
        <v>3053</v>
      </c>
      <c r="C533" s="8" t="s">
        <v>25</v>
      </c>
      <c r="D533" s="8" t="s">
        <v>26</v>
      </c>
      <c r="E533" s="8" t="s">
        <v>3054</v>
      </c>
      <c r="F533" s="8">
        <v>9.618132898E9</v>
      </c>
      <c r="G533" s="8" t="s">
        <v>44</v>
      </c>
      <c r="H533" s="8" t="s">
        <v>1588</v>
      </c>
      <c r="I533" s="8" t="s">
        <v>31</v>
      </c>
      <c r="J533" s="8" t="s">
        <v>136</v>
      </c>
      <c r="K533" s="10" t="s">
        <v>2354</v>
      </c>
      <c r="L533" s="8" t="s">
        <v>58</v>
      </c>
      <c r="M533" s="8" t="s">
        <v>35</v>
      </c>
      <c r="N533" s="11">
        <v>44866.0</v>
      </c>
      <c r="O533" s="11">
        <v>45173.0</v>
      </c>
      <c r="P533" s="11">
        <v>45215.0</v>
      </c>
      <c r="Q533" s="11">
        <v>45173.0</v>
      </c>
      <c r="R533" s="11">
        <v>45215.0</v>
      </c>
      <c r="S533" s="12"/>
      <c r="T533" s="8"/>
      <c r="U533" s="8" t="s">
        <v>59</v>
      </c>
      <c r="V533" s="13" t="s">
        <v>3055</v>
      </c>
      <c r="W533" s="13" t="s">
        <v>3056</v>
      </c>
      <c r="X533" s="12"/>
      <c r="Y533" s="14"/>
      <c r="Z533" s="14"/>
    </row>
    <row r="534">
      <c r="A534" s="8" t="s">
        <v>3057</v>
      </c>
      <c r="B534" s="8" t="s">
        <v>3058</v>
      </c>
      <c r="C534" s="8" t="s">
        <v>25</v>
      </c>
      <c r="D534" s="8" t="s">
        <v>26</v>
      </c>
      <c r="E534" s="8" t="s">
        <v>3059</v>
      </c>
      <c r="F534" s="8">
        <v>5.537870711E9</v>
      </c>
      <c r="G534" s="8" t="s">
        <v>31</v>
      </c>
      <c r="H534" s="8" t="s">
        <v>111</v>
      </c>
      <c r="I534" s="8" t="s">
        <v>44</v>
      </c>
      <c r="J534" s="8" t="s">
        <v>453</v>
      </c>
      <c r="K534" s="10" t="s">
        <v>3060</v>
      </c>
      <c r="L534" s="8" t="s">
        <v>58</v>
      </c>
      <c r="M534" s="8" t="s">
        <v>35</v>
      </c>
      <c r="N534" s="11">
        <v>44866.0</v>
      </c>
      <c r="O534" s="11">
        <v>45108.0</v>
      </c>
      <c r="P534" s="11">
        <v>45150.0</v>
      </c>
      <c r="Q534" s="11">
        <v>45125.0</v>
      </c>
      <c r="R534" s="11">
        <v>45167.0</v>
      </c>
      <c r="S534" s="12"/>
      <c r="T534" s="8"/>
      <c r="U534" s="8" t="s">
        <v>371</v>
      </c>
      <c r="V534" s="13" t="s">
        <v>111</v>
      </c>
      <c r="W534" s="13" t="s">
        <v>3061</v>
      </c>
      <c r="X534" s="12"/>
      <c r="Y534" s="14"/>
      <c r="Z534" s="14"/>
    </row>
    <row r="535">
      <c r="A535" s="8" t="s">
        <v>3062</v>
      </c>
      <c r="B535" s="8" t="s">
        <v>3063</v>
      </c>
      <c r="C535" s="8" t="s">
        <v>251</v>
      </c>
      <c r="D535" s="8" t="s">
        <v>26</v>
      </c>
      <c r="E535" s="8" t="s">
        <v>3064</v>
      </c>
      <c r="F535" s="8">
        <v>7.62106005E8</v>
      </c>
      <c r="G535" s="8" t="s">
        <v>399</v>
      </c>
      <c r="H535" s="8" t="s">
        <v>415</v>
      </c>
      <c r="I535" s="8" t="s">
        <v>31</v>
      </c>
      <c r="J535" s="8" t="s">
        <v>102</v>
      </c>
      <c r="K535" s="10" t="s">
        <v>3065</v>
      </c>
      <c r="L535" s="8" t="s">
        <v>47</v>
      </c>
      <c r="M535" s="8" t="s">
        <v>48</v>
      </c>
      <c r="N535" s="11">
        <v>44866.0</v>
      </c>
      <c r="O535" s="11">
        <v>44889.0</v>
      </c>
      <c r="P535" s="11">
        <v>45070.0</v>
      </c>
      <c r="Q535" s="11"/>
      <c r="R535" s="11"/>
      <c r="S535" s="12"/>
      <c r="T535" s="8"/>
      <c r="U535" s="8" t="s">
        <v>3066</v>
      </c>
      <c r="V535" s="13" t="s">
        <v>417</v>
      </c>
      <c r="W535" s="13" t="s">
        <v>3067</v>
      </c>
      <c r="X535" s="12"/>
      <c r="Y535" s="14"/>
      <c r="Z535" s="14"/>
    </row>
    <row r="536">
      <c r="A536" s="8" t="s">
        <v>3068</v>
      </c>
      <c r="B536" s="8" t="s">
        <v>3069</v>
      </c>
      <c r="C536" s="8" t="s">
        <v>25</v>
      </c>
      <c r="D536" s="8" t="s">
        <v>26</v>
      </c>
      <c r="E536" s="8" t="s">
        <v>3070</v>
      </c>
      <c r="F536" s="8">
        <v>5.524528184E9</v>
      </c>
      <c r="G536" s="8" t="s">
        <v>31</v>
      </c>
      <c r="H536" s="8" t="s">
        <v>77</v>
      </c>
      <c r="I536" s="8" t="s">
        <v>127</v>
      </c>
      <c r="J536" s="8" t="s">
        <v>128</v>
      </c>
      <c r="K536" s="10" t="s">
        <v>3071</v>
      </c>
      <c r="L536" s="8" t="s">
        <v>58</v>
      </c>
      <c r="M536" s="8" t="s">
        <v>35</v>
      </c>
      <c r="N536" s="11">
        <v>44867.0</v>
      </c>
      <c r="O536" s="11">
        <v>44949.0</v>
      </c>
      <c r="P536" s="11">
        <v>44991.0</v>
      </c>
      <c r="Q536" s="11">
        <v>44949.0</v>
      </c>
      <c r="R536" s="11">
        <v>44991.0</v>
      </c>
      <c r="S536" s="12"/>
      <c r="T536" s="8"/>
      <c r="U536" s="8" t="s">
        <v>371</v>
      </c>
      <c r="V536" s="13" t="s">
        <v>77</v>
      </c>
      <c r="W536" s="13" t="s">
        <v>3072</v>
      </c>
      <c r="X536" s="12"/>
      <c r="Y536" s="14"/>
      <c r="Z536" s="14"/>
    </row>
    <row r="537">
      <c r="A537" s="8" t="s">
        <v>3073</v>
      </c>
      <c r="B537" s="8" t="s">
        <v>3074</v>
      </c>
      <c r="C537" s="8" t="s">
        <v>335</v>
      </c>
      <c r="D537" s="8" t="s">
        <v>26</v>
      </c>
      <c r="E537" s="8" t="s">
        <v>3075</v>
      </c>
      <c r="F537" s="8">
        <v>5.549687591E9</v>
      </c>
      <c r="G537" s="8" t="s">
        <v>31</v>
      </c>
      <c r="H537" s="8" t="s">
        <v>438</v>
      </c>
      <c r="I537" s="8" t="s">
        <v>2381</v>
      </c>
      <c r="J537" s="8" t="s">
        <v>3076</v>
      </c>
      <c r="K537" s="10" t="s">
        <v>3077</v>
      </c>
      <c r="L537" s="8" t="s">
        <v>58</v>
      </c>
      <c r="M537" s="8" t="s">
        <v>35</v>
      </c>
      <c r="N537" s="11">
        <v>45168.0</v>
      </c>
      <c r="O537" s="11">
        <v>44935.0</v>
      </c>
      <c r="P537" s="11">
        <v>44983.0</v>
      </c>
      <c r="Q537" s="11"/>
      <c r="R537" s="11"/>
      <c r="S537" s="12"/>
      <c r="T537" s="8"/>
      <c r="U537" s="8" t="s">
        <v>59</v>
      </c>
      <c r="V537" s="13" t="s">
        <v>438</v>
      </c>
      <c r="W537" s="13" t="s">
        <v>3078</v>
      </c>
      <c r="X537" s="12"/>
      <c r="Y537" s="14"/>
      <c r="Z537" s="14"/>
    </row>
    <row r="538">
      <c r="A538" s="8" t="s">
        <v>3079</v>
      </c>
      <c r="B538" s="8" t="s">
        <v>3080</v>
      </c>
      <c r="C538" s="8" t="s">
        <v>179</v>
      </c>
      <c r="D538" s="8" t="s">
        <v>26</v>
      </c>
      <c r="E538" s="8" t="s">
        <v>3081</v>
      </c>
      <c r="F538" s="8">
        <v>6.43485257E8</v>
      </c>
      <c r="G538" s="8" t="s">
        <v>84</v>
      </c>
      <c r="H538" s="8" t="s">
        <v>752</v>
      </c>
      <c r="I538" s="8" t="s">
        <v>31</v>
      </c>
      <c r="J538" s="8" t="s">
        <v>32</v>
      </c>
      <c r="K538" s="10" t="s">
        <v>1813</v>
      </c>
      <c r="L538" s="8" t="s">
        <v>58</v>
      </c>
      <c r="M538" s="8" t="s">
        <v>35</v>
      </c>
      <c r="N538" s="11">
        <v>44867.0</v>
      </c>
      <c r="O538" s="11">
        <v>44871.0</v>
      </c>
      <c r="P538" s="11">
        <v>44913.0</v>
      </c>
      <c r="Q538" s="11"/>
      <c r="R538" s="11"/>
      <c r="S538" s="12"/>
      <c r="T538" s="8"/>
      <c r="U538" s="8" t="s">
        <v>161</v>
      </c>
      <c r="V538" s="13" t="s">
        <v>3082</v>
      </c>
      <c r="W538" s="13" t="s">
        <v>3083</v>
      </c>
      <c r="X538" s="12"/>
      <c r="Y538" s="14"/>
      <c r="Z538" s="14"/>
    </row>
    <row r="539">
      <c r="A539" s="8" t="s">
        <v>3084</v>
      </c>
      <c r="B539" s="8" t="s">
        <v>3085</v>
      </c>
      <c r="C539" s="8" t="s">
        <v>25</v>
      </c>
      <c r="D539" s="8" t="s">
        <v>26</v>
      </c>
      <c r="E539" s="8" t="s">
        <v>3086</v>
      </c>
      <c r="F539" s="8">
        <v>6.69165205E8</v>
      </c>
      <c r="G539" s="8" t="s">
        <v>254</v>
      </c>
      <c r="H539" s="8" t="s">
        <v>3087</v>
      </c>
      <c r="I539" s="8" t="s">
        <v>31</v>
      </c>
      <c r="J539" s="8" t="s">
        <v>77</v>
      </c>
      <c r="K539" s="10" t="s">
        <v>2410</v>
      </c>
      <c r="L539" s="8" t="s">
        <v>47</v>
      </c>
      <c r="M539" s="8" t="s">
        <v>70</v>
      </c>
      <c r="N539" s="11">
        <v>44867.0</v>
      </c>
      <c r="O539" s="11">
        <v>44893.0</v>
      </c>
      <c r="P539" s="11">
        <v>45107.0</v>
      </c>
      <c r="Q539" s="11">
        <v>44900.0</v>
      </c>
      <c r="R539" s="11">
        <v>45114.0</v>
      </c>
      <c r="S539" s="12"/>
      <c r="T539" s="8"/>
      <c r="U539" s="8" t="s">
        <v>2411</v>
      </c>
      <c r="V539" s="13" t="s">
        <v>3088</v>
      </c>
      <c r="W539" s="13" t="s">
        <v>3089</v>
      </c>
      <c r="X539" s="12"/>
      <c r="Y539" s="14"/>
      <c r="Z539" s="14"/>
    </row>
    <row r="540">
      <c r="A540" s="8" t="s">
        <v>3090</v>
      </c>
      <c r="B540" s="8" t="s">
        <v>3091</v>
      </c>
      <c r="C540" s="8" t="s">
        <v>25</v>
      </c>
      <c r="D540" s="8" t="s">
        <v>26</v>
      </c>
      <c r="E540" s="8" t="s">
        <v>3092</v>
      </c>
      <c r="F540" s="8"/>
      <c r="G540" s="8" t="s">
        <v>44</v>
      </c>
      <c r="H540" s="8" t="s">
        <v>3093</v>
      </c>
      <c r="I540" s="8" t="s">
        <v>31</v>
      </c>
      <c r="J540" s="8" t="s">
        <v>102</v>
      </c>
      <c r="K540" s="10" t="s">
        <v>3094</v>
      </c>
      <c r="L540" s="8" t="s">
        <v>34</v>
      </c>
      <c r="M540" s="8" t="s">
        <v>48</v>
      </c>
      <c r="N540" s="11">
        <v>44867.0</v>
      </c>
      <c r="O540" s="11">
        <v>44923.0</v>
      </c>
      <c r="P540" s="11">
        <v>45104.0</v>
      </c>
      <c r="Q540" s="11">
        <v>44954.0</v>
      </c>
      <c r="R540" s="11">
        <v>45135.0</v>
      </c>
      <c r="S540" s="12"/>
      <c r="T540" s="8" t="s">
        <v>224</v>
      </c>
      <c r="U540" s="8" t="s">
        <v>3095</v>
      </c>
      <c r="V540" s="13" t="s">
        <v>38</v>
      </c>
      <c r="W540" s="13" t="s">
        <v>3096</v>
      </c>
      <c r="X540" s="12"/>
      <c r="Y540" s="14"/>
      <c r="Z540" s="14"/>
    </row>
    <row r="541">
      <c r="A541" s="8" t="s">
        <v>3097</v>
      </c>
      <c r="B541" s="8" t="s">
        <v>3098</v>
      </c>
      <c r="C541" s="8" t="s">
        <v>64</v>
      </c>
      <c r="D541" s="8" t="s">
        <v>26</v>
      </c>
      <c r="E541" s="8" t="s">
        <v>3099</v>
      </c>
      <c r="F541" s="8">
        <v>9.36297698E8</v>
      </c>
      <c r="G541" s="8" t="s">
        <v>118</v>
      </c>
      <c r="H541" s="8" t="s">
        <v>3100</v>
      </c>
      <c r="I541" s="8" t="s">
        <v>31</v>
      </c>
      <c r="J541" s="8" t="s">
        <v>86</v>
      </c>
      <c r="K541" s="10" t="s">
        <v>87</v>
      </c>
      <c r="L541" s="8" t="s">
        <v>58</v>
      </c>
      <c r="M541" s="8" t="s">
        <v>35</v>
      </c>
      <c r="N541" s="11">
        <v>44867.0</v>
      </c>
      <c r="O541" s="11">
        <v>44879.0</v>
      </c>
      <c r="P541" s="11">
        <v>44921.0</v>
      </c>
      <c r="Q541" s="11">
        <v>44879.0</v>
      </c>
      <c r="R541" s="11">
        <v>44921.0</v>
      </c>
      <c r="S541" s="12"/>
      <c r="T541" s="8"/>
      <c r="U541" s="8" t="s">
        <v>88</v>
      </c>
      <c r="V541" s="13" t="s">
        <v>3101</v>
      </c>
      <c r="W541" s="13" t="s">
        <v>3102</v>
      </c>
      <c r="X541" s="12"/>
      <c r="Y541" s="14"/>
      <c r="Z541" s="14"/>
    </row>
    <row r="542">
      <c r="A542" s="8" t="s">
        <v>3103</v>
      </c>
      <c r="B542" s="8" t="s">
        <v>3104</v>
      </c>
      <c r="C542" s="8" t="s">
        <v>179</v>
      </c>
      <c r="D542" s="8" t="s">
        <v>26</v>
      </c>
      <c r="E542" s="8" t="s">
        <v>3105</v>
      </c>
      <c r="F542" s="8">
        <v>6.29670026E8</v>
      </c>
      <c r="G542" s="8" t="s">
        <v>221</v>
      </c>
      <c r="H542" s="8" t="s">
        <v>3050</v>
      </c>
      <c r="I542" s="8" t="s">
        <v>31</v>
      </c>
      <c r="J542" s="8" t="s">
        <v>32</v>
      </c>
      <c r="K542" s="10" t="s">
        <v>1813</v>
      </c>
      <c r="L542" s="8" t="s">
        <v>58</v>
      </c>
      <c r="M542" s="8" t="s">
        <v>35</v>
      </c>
      <c r="N542" s="11">
        <v>44867.0</v>
      </c>
      <c r="O542" s="11">
        <v>44913.0</v>
      </c>
      <c r="P542" s="11">
        <v>44955.0</v>
      </c>
      <c r="Q542" s="11"/>
      <c r="R542" s="11"/>
      <c r="S542" s="12"/>
      <c r="T542" s="8"/>
      <c r="U542" s="8" t="s">
        <v>161</v>
      </c>
      <c r="V542" s="13" t="s">
        <v>3050</v>
      </c>
      <c r="W542" s="13" t="s">
        <v>3106</v>
      </c>
      <c r="X542" s="12"/>
      <c r="Y542" s="14"/>
      <c r="Z542" s="14"/>
    </row>
    <row r="543">
      <c r="A543" s="8" t="s">
        <v>3107</v>
      </c>
      <c r="B543" s="8" t="s">
        <v>3108</v>
      </c>
      <c r="C543" s="8" t="s">
        <v>25</v>
      </c>
      <c r="D543" s="8" t="s">
        <v>26</v>
      </c>
      <c r="E543" s="8" t="s">
        <v>3109</v>
      </c>
      <c r="F543" s="8"/>
      <c r="G543" s="8" t="s">
        <v>31</v>
      </c>
      <c r="H543" s="8" t="s">
        <v>111</v>
      </c>
      <c r="I543" s="8" t="s">
        <v>127</v>
      </c>
      <c r="J543" s="8" t="s">
        <v>128</v>
      </c>
      <c r="K543" s="10" t="s">
        <v>3110</v>
      </c>
      <c r="L543" s="8" t="s">
        <v>58</v>
      </c>
      <c r="M543" s="8" t="s">
        <v>35</v>
      </c>
      <c r="N543" s="11">
        <v>44867.0</v>
      </c>
      <c r="O543" s="11">
        <v>45096.0</v>
      </c>
      <c r="P543" s="11">
        <v>45138.0</v>
      </c>
      <c r="Q543" s="11">
        <v>45096.0</v>
      </c>
      <c r="R543" s="11">
        <v>45138.0</v>
      </c>
      <c r="S543" s="12"/>
      <c r="T543" s="8"/>
      <c r="U543" s="8" t="s">
        <v>3111</v>
      </c>
      <c r="V543" s="13" t="s">
        <v>38</v>
      </c>
      <c r="W543" s="13" t="s">
        <v>3112</v>
      </c>
      <c r="X543" s="12"/>
      <c r="Y543" s="14"/>
      <c r="Z543" s="14"/>
    </row>
    <row r="544">
      <c r="A544" s="8" t="s">
        <v>3113</v>
      </c>
      <c r="B544" s="8" t="s">
        <v>3114</v>
      </c>
      <c r="C544" s="8" t="s">
        <v>179</v>
      </c>
      <c r="D544" s="8" t="s">
        <v>26</v>
      </c>
      <c r="E544" s="8" t="s">
        <v>3115</v>
      </c>
      <c r="F544" s="8" t="s">
        <v>253</v>
      </c>
      <c r="G544" s="8" t="s">
        <v>31</v>
      </c>
      <c r="H544" s="8" t="s">
        <v>56</v>
      </c>
      <c r="I544" s="8" t="s">
        <v>44</v>
      </c>
      <c r="J544" s="8" t="s">
        <v>741</v>
      </c>
      <c r="K544" s="10" t="s">
        <v>3116</v>
      </c>
      <c r="L544" s="8" t="s">
        <v>58</v>
      </c>
      <c r="M544" s="8" t="s">
        <v>35</v>
      </c>
      <c r="N544" s="11">
        <v>44867.0</v>
      </c>
      <c r="O544" s="11">
        <v>45127.0</v>
      </c>
      <c r="P544" s="11">
        <v>45169.0</v>
      </c>
      <c r="Q544" s="11"/>
      <c r="R544" s="11"/>
      <c r="S544" s="12"/>
      <c r="T544" s="8"/>
      <c r="U544" s="8" t="s">
        <v>1590</v>
      </c>
      <c r="V544" s="13" t="s">
        <v>56</v>
      </c>
      <c r="W544" s="13" t="s">
        <v>3117</v>
      </c>
      <c r="X544" s="12"/>
      <c r="Y544" s="14"/>
      <c r="Z544" s="14"/>
    </row>
    <row r="545">
      <c r="A545" s="8" t="s">
        <v>3118</v>
      </c>
      <c r="B545" s="8" t="s">
        <v>1981</v>
      </c>
      <c r="C545" s="8" t="s">
        <v>179</v>
      </c>
      <c r="D545" s="8" t="s">
        <v>26</v>
      </c>
      <c r="E545" s="8" t="s">
        <v>1982</v>
      </c>
      <c r="F545" s="8">
        <v>2.7538956E7</v>
      </c>
      <c r="G545" s="8" t="s">
        <v>54</v>
      </c>
      <c r="H545" s="8" t="s">
        <v>1911</v>
      </c>
      <c r="I545" s="8" t="s">
        <v>31</v>
      </c>
      <c r="J545" s="8" t="s">
        <v>111</v>
      </c>
      <c r="K545" s="10" t="s">
        <v>323</v>
      </c>
      <c r="L545" s="8" t="s">
        <v>58</v>
      </c>
      <c r="M545" s="8" t="s">
        <v>35</v>
      </c>
      <c r="N545" s="11">
        <v>44867.0</v>
      </c>
      <c r="O545" s="11">
        <v>44886.0</v>
      </c>
      <c r="P545" s="11">
        <v>44928.0</v>
      </c>
      <c r="Q545" s="11"/>
      <c r="R545" s="11"/>
      <c r="S545" s="12"/>
      <c r="T545" s="8"/>
      <c r="U545" s="8" t="s">
        <v>59</v>
      </c>
      <c r="V545" s="13" t="s">
        <v>1983</v>
      </c>
      <c r="W545" s="13" t="s">
        <v>1984</v>
      </c>
      <c r="X545" s="12"/>
      <c r="Y545" s="14"/>
      <c r="Z545" s="14"/>
    </row>
    <row r="546">
      <c r="A546" s="8" t="s">
        <v>3119</v>
      </c>
      <c r="B546" s="8" t="s">
        <v>3120</v>
      </c>
      <c r="C546" s="8" t="s">
        <v>64</v>
      </c>
      <c r="D546" s="8" t="s">
        <v>26</v>
      </c>
      <c r="E546" s="8" t="s">
        <v>3121</v>
      </c>
      <c r="F546" s="8">
        <v>3.112445927E9</v>
      </c>
      <c r="G546" s="8" t="s">
        <v>981</v>
      </c>
      <c r="H546" s="8" t="s">
        <v>3122</v>
      </c>
      <c r="I546" s="8" t="s">
        <v>31</v>
      </c>
      <c r="J546" s="8" t="s">
        <v>77</v>
      </c>
      <c r="K546" s="10" t="s">
        <v>2869</v>
      </c>
      <c r="L546" s="8" t="s">
        <v>34</v>
      </c>
      <c r="M546" s="8" t="s">
        <v>70</v>
      </c>
      <c r="N546" s="11">
        <v>44868.0</v>
      </c>
      <c r="O546" s="11">
        <v>44895.0</v>
      </c>
      <c r="P546" s="11">
        <v>45260.0</v>
      </c>
      <c r="Q546" s="11">
        <v>44886.0</v>
      </c>
      <c r="R546" s="11">
        <v>45260.0</v>
      </c>
      <c r="S546" s="12"/>
      <c r="T546" s="8" t="s">
        <v>121</v>
      </c>
      <c r="U546" s="8" t="s">
        <v>2870</v>
      </c>
      <c r="V546" s="13" t="s">
        <v>38</v>
      </c>
      <c r="W546" s="13" t="s">
        <v>3123</v>
      </c>
      <c r="X546" s="12"/>
      <c r="Y546" s="14"/>
      <c r="Z546" s="14"/>
    </row>
    <row r="547">
      <c r="A547" s="8" t="s">
        <v>3124</v>
      </c>
      <c r="B547" s="8" t="s">
        <v>3125</v>
      </c>
      <c r="C547" s="8" t="s">
        <v>64</v>
      </c>
      <c r="D547" s="8" t="s">
        <v>26</v>
      </c>
      <c r="E547" s="8" t="s">
        <v>3126</v>
      </c>
      <c r="F547" s="8">
        <v>7.76075249E8</v>
      </c>
      <c r="G547" s="8" t="s">
        <v>254</v>
      </c>
      <c r="H547" s="8" t="s">
        <v>3087</v>
      </c>
      <c r="I547" s="8" t="s">
        <v>31</v>
      </c>
      <c r="J547" s="8" t="s">
        <v>77</v>
      </c>
      <c r="K547" s="10" t="s">
        <v>3127</v>
      </c>
      <c r="L547" s="8" t="s">
        <v>47</v>
      </c>
      <c r="M547" s="8" t="s">
        <v>70</v>
      </c>
      <c r="N547" s="11">
        <v>44868.0</v>
      </c>
      <c r="O547" s="11">
        <v>44875.0</v>
      </c>
      <c r="P547" s="11">
        <v>45240.0</v>
      </c>
      <c r="Q547" s="11">
        <v>44912.0</v>
      </c>
      <c r="R547" s="11">
        <v>45278.0</v>
      </c>
      <c r="S547" s="12"/>
      <c r="T547" s="8"/>
      <c r="U547" s="8" t="s">
        <v>3128</v>
      </c>
      <c r="V547" s="13" t="s">
        <v>3088</v>
      </c>
      <c r="W547" s="13" t="s">
        <v>3129</v>
      </c>
      <c r="X547" s="12"/>
      <c r="Y547" s="14"/>
      <c r="Z547" s="14"/>
    </row>
    <row r="548">
      <c r="A548" s="8" t="s">
        <v>3130</v>
      </c>
      <c r="B548" s="8" t="s">
        <v>3131</v>
      </c>
      <c r="C548" s="8" t="s">
        <v>251</v>
      </c>
      <c r="D548" s="8" t="s">
        <v>26</v>
      </c>
      <c r="E548" s="8" t="s">
        <v>3132</v>
      </c>
      <c r="F548" s="8">
        <v>1.12932017E9</v>
      </c>
      <c r="G548" s="8" t="s">
        <v>284</v>
      </c>
      <c r="H548" s="8" t="s">
        <v>673</v>
      </c>
      <c r="I548" s="8" t="s">
        <v>31</v>
      </c>
      <c r="J548" s="8" t="s">
        <v>32</v>
      </c>
      <c r="K548" s="10" t="s">
        <v>1813</v>
      </c>
      <c r="L548" s="8" t="s">
        <v>58</v>
      </c>
      <c r="M548" s="8" t="s">
        <v>35</v>
      </c>
      <c r="N548" s="11">
        <v>44868.0</v>
      </c>
      <c r="O548" s="11">
        <v>44955.0</v>
      </c>
      <c r="P548" s="11">
        <v>44997.0</v>
      </c>
      <c r="Q548" s="11"/>
      <c r="R548" s="11"/>
      <c r="S548" s="12"/>
      <c r="T548" s="8"/>
      <c r="U548" s="8" t="s">
        <v>161</v>
      </c>
      <c r="V548" s="13" t="s">
        <v>674</v>
      </c>
      <c r="W548" s="13" t="s">
        <v>3133</v>
      </c>
      <c r="X548" s="12"/>
      <c r="Y548" s="14"/>
      <c r="Z548" s="14"/>
    </row>
    <row r="549">
      <c r="A549" s="8" t="s">
        <v>3134</v>
      </c>
      <c r="B549" s="8" t="s">
        <v>3135</v>
      </c>
      <c r="C549" s="8" t="s">
        <v>179</v>
      </c>
      <c r="D549" s="8" t="s">
        <v>26</v>
      </c>
      <c r="E549" s="8" t="s">
        <v>3136</v>
      </c>
      <c r="F549" s="8">
        <v>5.059794547E9</v>
      </c>
      <c r="G549" s="8" t="s">
        <v>31</v>
      </c>
      <c r="H549" s="8" t="s">
        <v>43</v>
      </c>
      <c r="I549" s="8" t="s">
        <v>2381</v>
      </c>
      <c r="J549" s="8" t="s">
        <v>3076</v>
      </c>
      <c r="K549" s="10" t="s">
        <v>3137</v>
      </c>
      <c r="L549" s="8" t="s">
        <v>58</v>
      </c>
      <c r="M549" s="8" t="s">
        <v>35</v>
      </c>
      <c r="N549" s="11">
        <v>44868.0</v>
      </c>
      <c r="O549" s="11">
        <v>44935.0</v>
      </c>
      <c r="P549" s="11">
        <v>44983.0</v>
      </c>
      <c r="Q549" s="11"/>
      <c r="R549" s="11"/>
      <c r="S549" s="12"/>
      <c r="T549" s="8"/>
      <c r="U549" s="8" t="s">
        <v>1038</v>
      </c>
      <c r="V549" s="13" t="s">
        <v>3138</v>
      </c>
      <c r="W549" s="13" t="s">
        <v>3139</v>
      </c>
      <c r="X549" s="12"/>
      <c r="Y549" s="14"/>
      <c r="Z549" s="14"/>
    </row>
    <row r="550">
      <c r="A550" s="8" t="s">
        <v>3140</v>
      </c>
      <c r="B550" s="8" t="s">
        <v>3141</v>
      </c>
      <c r="C550" s="8" t="s">
        <v>25</v>
      </c>
      <c r="D550" s="8" t="s">
        <v>26</v>
      </c>
      <c r="E550" s="8" t="s">
        <v>3142</v>
      </c>
      <c r="F550" s="8">
        <v>3.115845613E9</v>
      </c>
      <c r="G550" s="8" t="s">
        <v>981</v>
      </c>
      <c r="H550" s="8" t="s">
        <v>3143</v>
      </c>
      <c r="I550" s="8" t="s">
        <v>31</v>
      </c>
      <c r="J550" s="8" t="s">
        <v>220</v>
      </c>
      <c r="K550" s="10" t="s">
        <v>2193</v>
      </c>
      <c r="L550" s="8" t="s">
        <v>58</v>
      </c>
      <c r="M550" s="8" t="s">
        <v>35</v>
      </c>
      <c r="N550" s="11">
        <v>44868.0</v>
      </c>
      <c r="O550" s="11">
        <v>45061.0</v>
      </c>
      <c r="P550" s="11">
        <v>45103.0</v>
      </c>
      <c r="Q550" s="11">
        <v>45065.0</v>
      </c>
      <c r="R550" s="11">
        <v>45107.0</v>
      </c>
      <c r="S550" s="12"/>
      <c r="T550" s="8"/>
      <c r="U550" s="8" t="s">
        <v>59</v>
      </c>
      <c r="V550" s="13" t="s">
        <v>38</v>
      </c>
      <c r="W550" s="13" t="s">
        <v>3144</v>
      </c>
      <c r="X550" s="12"/>
      <c r="Y550" s="14"/>
      <c r="Z550" s="14"/>
    </row>
    <row r="551">
      <c r="A551" s="8" t="s">
        <v>3145</v>
      </c>
      <c r="B551" s="8" t="s">
        <v>3146</v>
      </c>
      <c r="C551" s="8" t="s">
        <v>179</v>
      </c>
      <c r="D551" s="8" t="s">
        <v>26</v>
      </c>
      <c r="E551" s="8" t="s">
        <v>3147</v>
      </c>
      <c r="F551" s="8">
        <v>5.4116857E7</v>
      </c>
      <c r="G551" s="8" t="s">
        <v>54</v>
      </c>
      <c r="H551" s="8" t="s">
        <v>595</v>
      </c>
      <c r="I551" s="8" t="s">
        <v>31</v>
      </c>
      <c r="J551" s="8" t="s">
        <v>77</v>
      </c>
      <c r="K551" s="10" t="s">
        <v>2537</v>
      </c>
      <c r="L551" s="8" t="s">
        <v>58</v>
      </c>
      <c r="M551" s="8" t="s">
        <v>35</v>
      </c>
      <c r="N551" s="11">
        <v>44869.0</v>
      </c>
      <c r="O551" s="11">
        <v>45103.0</v>
      </c>
      <c r="P551" s="11">
        <v>45145.0</v>
      </c>
      <c r="Q551" s="11"/>
      <c r="R551" s="11"/>
      <c r="S551" s="12"/>
      <c r="T551" s="8"/>
      <c r="U551" s="8" t="s">
        <v>88</v>
      </c>
      <c r="V551" s="13" t="s">
        <v>38</v>
      </c>
      <c r="W551" s="13" t="s">
        <v>3148</v>
      </c>
      <c r="X551" s="12"/>
      <c r="Y551" s="14"/>
      <c r="Z551" s="14"/>
    </row>
    <row r="552">
      <c r="A552" s="8" t="s">
        <v>3149</v>
      </c>
      <c r="B552" s="8" t="s">
        <v>3150</v>
      </c>
      <c r="C552" s="8" t="s">
        <v>25</v>
      </c>
      <c r="D552" s="8" t="s">
        <v>26</v>
      </c>
      <c r="E552" s="8" t="s">
        <v>3151</v>
      </c>
      <c r="F552" s="8">
        <v>5.514392977E9</v>
      </c>
      <c r="G552" s="8" t="s">
        <v>31</v>
      </c>
      <c r="H552" s="8" t="s">
        <v>292</v>
      </c>
      <c r="I552" s="8" t="s">
        <v>399</v>
      </c>
      <c r="J552" s="8" t="s">
        <v>1381</v>
      </c>
      <c r="K552" s="10" t="s">
        <v>2094</v>
      </c>
      <c r="L552" s="8" t="s">
        <v>58</v>
      </c>
      <c r="M552" s="8" t="s">
        <v>35</v>
      </c>
      <c r="N552" s="11">
        <v>44869.0</v>
      </c>
      <c r="O552" s="11">
        <v>45089.0</v>
      </c>
      <c r="P552" s="11">
        <v>45131.0</v>
      </c>
      <c r="Q552" s="11">
        <v>45089.0</v>
      </c>
      <c r="R552" s="11">
        <v>45131.0</v>
      </c>
      <c r="S552" s="12"/>
      <c r="T552" s="8"/>
      <c r="U552" s="8" t="s">
        <v>153</v>
      </c>
      <c r="V552" s="13" t="s">
        <v>292</v>
      </c>
      <c r="W552" s="13" t="s">
        <v>3152</v>
      </c>
      <c r="X552" s="12"/>
      <c r="Y552" s="14"/>
      <c r="Z552" s="14"/>
    </row>
    <row r="553">
      <c r="A553" s="8" t="s">
        <v>3153</v>
      </c>
      <c r="B553" s="8" t="s">
        <v>3154</v>
      </c>
      <c r="C553" s="8" t="s">
        <v>64</v>
      </c>
      <c r="D553" s="8" t="s">
        <v>26</v>
      </c>
      <c r="E553" s="8" t="s">
        <v>3155</v>
      </c>
      <c r="F553" s="8">
        <v>6.987280304E9</v>
      </c>
      <c r="G553" s="8" t="s">
        <v>143</v>
      </c>
      <c r="H553" s="8" t="s">
        <v>144</v>
      </c>
      <c r="I553" s="8" t="s">
        <v>31</v>
      </c>
      <c r="J553" s="8" t="s">
        <v>542</v>
      </c>
      <c r="K553" s="10" t="s">
        <v>2360</v>
      </c>
      <c r="L553" s="8" t="s">
        <v>58</v>
      </c>
      <c r="M553" s="8" t="s">
        <v>35</v>
      </c>
      <c r="N553" s="11">
        <v>44869.0</v>
      </c>
      <c r="O553" s="11">
        <v>45187.0</v>
      </c>
      <c r="P553" s="11">
        <v>45229.0</v>
      </c>
      <c r="Q553" s="11">
        <v>45188.0</v>
      </c>
      <c r="R553" s="11">
        <v>45229.0</v>
      </c>
      <c r="S553" s="12"/>
      <c r="T553" s="8"/>
      <c r="U553" s="8" t="s">
        <v>59</v>
      </c>
      <c r="V553" s="13" t="s">
        <v>38</v>
      </c>
      <c r="W553" s="13" t="s">
        <v>3156</v>
      </c>
      <c r="X553" s="12"/>
      <c r="Y553" s="14"/>
      <c r="Z553" s="14"/>
    </row>
    <row r="554">
      <c r="A554" s="8" t="s">
        <v>3157</v>
      </c>
      <c r="B554" s="8" t="s">
        <v>3158</v>
      </c>
      <c r="C554" s="8" t="s">
        <v>179</v>
      </c>
      <c r="D554" s="8" t="s">
        <v>26</v>
      </c>
      <c r="E554" s="8" t="s">
        <v>3159</v>
      </c>
      <c r="F554" s="8">
        <v>6.57720918E8</v>
      </c>
      <c r="G554" s="8" t="s">
        <v>84</v>
      </c>
      <c r="H554" s="8" t="s">
        <v>3160</v>
      </c>
      <c r="I554" s="8" t="s">
        <v>31</v>
      </c>
      <c r="J554" s="8" t="s">
        <v>86</v>
      </c>
      <c r="K554" s="10" t="s">
        <v>416</v>
      </c>
      <c r="L554" s="8" t="s">
        <v>58</v>
      </c>
      <c r="M554" s="8" t="s">
        <v>35</v>
      </c>
      <c r="N554" s="11">
        <v>44869.0</v>
      </c>
      <c r="O554" s="11">
        <v>44942.0</v>
      </c>
      <c r="P554" s="11">
        <v>44984.0</v>
      </c>
      <c r="Q554" s="11"/>
      <c r="R554" s="11"/>
      <c r="S554" s="12"/>
      <c r="T554" s="8"/>
      <c r="U554" s="8" t="s">
        <v>59</v>
      </c>
      <c r="V554" s="13" t="s">
        <v>3161</v>
      </c>
      <c r="W554" s="13" t="s">
        <v>3162</v>
      </c>
      <c r="X554" s="12"/>
      <c r="Y554" s="14"/>
      <c r="Z554" s="14"/>
    </row>
    <row r="555">
      <c r="A555" s="8" t="s">
        <v>3163</v>
      </c>
      <c r="B555" s="8" t="s">
        <v>3164</v>
      </c>
      <c r="C555" s="8" t="s">
        <v>251</v>
      </c>
      <c r="D555" s="8" t="s">
        <v>26</v>
      </c>
      <c r="E555" s="8" t="s">
        <v>3165</v>
      </c>
      <c r="F555" s="8">
        <v>5.5655319E7</v>
      </c>
      <c r="G555" s="8" t="s">
        <v>54</v>
      </c>
      <c r="H555" s="8" t="s">
        <v>244</v>
      </c>
      <c r="I555" s="8" t="s">
        <v>31</v>
      </c>
      <c r="J555" s="8" t="s">
        <v>256</v>
      </c>
      <c r="K555" s="10" t="s">
        <v>3166</v>
      </c>
      <c r="L555" s="8" t="s">
        <v>34</v>
      </c>
      <c r="M555" s="8" t="s">
        <v>35</v>
      </c>
      <c r="N555" s="11">
        <v>44870.0</v>
      </c>
      <c r="O555" s="11">
        <v>44880.0</v>
      </c>
      <c r="P555" s="11">
        <v>44963.0</v>
      </c>
      <c r="Q555" s="11"/>
      <c r="R555" s="11"/>
      <c r="S555" s="12"/>
      <c r="T555" s="8" t="s">
        <v>205</v>
      </c>
      <c r="U555" s="8" t="s">
        <v>1301</v>
      </c>
      <c r="V555" s="13" t="s">
        <v>3167</v>
      </c>
      <c r="W555" s="13" t="s">
        <v>3168</v>
      </c>
      <c r="X555" s="12"/>
      <c r="Y555" s="14"/>
      <c r="Z555" s="14"/>
    </row>
    <row r="556">
      <c r="A556" s="8" t="s">
        <v>3169</v>
      </c>
      <c r="B556" s="8" t="s">
        <v>3170</v>
      </c>
      <c r="C556" s="8" t="s">
        <v>64</v>
      </c>
      <c r="D556" s="8" t="s">
        <v>26</v>
      </c>
      <c r="E556" s="8" t="s">
        <v>3171</v>
      </c>
      <c r="F556" s="8">
        <v>5.04150878E8</v>
      </c>
      <c r="G556" s="8" t="s">
        <v>277</v>
      </c>
      <c r="H556" s="8" t="s">
        <v>607</v>
      </c>
      <c r="I556" s="8" t="s">
        <v>31</v>
      </c>
      <c r="J556" s="8" t="s">
        <v>32</v>
      </c>
      <c r="K556" s="10" t="s">
        <v>3172</v>
      </c>
      <c r="L556" s="8" t="s">
        <v>47</v>
      </c>
      <c r="M556" s="8" t="s">
        <v>70</v>
      </c>
      <c r="N556" s="11">
        <v>44870.0</v>
      </c>
      <c r="O556" s="11">
        <v>44885.0</v>
      </c>
      <c r="P556" s="11">
        <v>45250.0</v>
      </c>
      <c r="Q556" s="11">
        <v>44885.0</v>
      </c>
      <c r="R556" s="11">
        <v>45250.0</v>
      </c>
      <c r="S556" s="12"/>
      <c r="T556" s="8"/>
      <c r="U556" s="8" t="s">
        <v>3173</v>
      </c>
      <c r="V556" s="13" t="s">
        <v>1572</v>
      </c>
      <c r="W556" s="13" t="s">
        <v>3174</v>
      </c>
      <c r="X556" s="12"/>
      <c r="Y556" s="14"/>
      <c r="Z556" s="14"/>
    </row>
    <row r="557">
      <c r="A557" s="8" t="s">
        <v>3175</v>
      </c>
      <c r="B557" s="8" t="s">
        <v>3176</v>
      </c>
      <c r="C557" s="8" t="s">
        <v>25</v>
      </c>
      <c r="D557" s="8" t="s">
        <v>26</v>
      </c>
      <c r="E557" s="8" t="s">
        <v>3177</v>
      </c>
      <c r="F557" s="8">
        <v>5.365924194E9</v>
      </c>
      <c r="G557" s="8" t="s">
        <v>31</v>
      </c>
      <c r="H557" s="8" t="s">
        <v>292</v>
      </c>
      <c r="I557" s="8" t="s">
        <v>399</v>
      </c>
      <c r="J557" s="8" t="s">
        <v>415</v>
      </c>
      <c r="K557" s="10" t="s">
        <v>3178</v>
      </c>
      <c r="L557" s="8" t="s">
        <v>58</v>
      </c>
      <c r="M557" s="8" t="s">
        <v>35</v>
      </c>
      <c r="N557" s="11">
        <v>44870.0</v>
      </c>
      <c r="O557" s="11">
        <v>45115.0</v>
      </c>
      <c r="P557" s="11">
        <v>45157.0</v>
      </c>
      <c r="Q557" s="11">
        <v>45115.0</v>
      </c>
      <c r="R557" s="11">
        <v>45157.0</v>
      </c>
      <c r="S557" s="12"/>
      <c r="T557" s="8"/>
      <c r="U557" s="8" t="s">
        <v>402</v>
      </c>
      <c r="V557" s="13" t="s">
        <v>292</v>
      </c>
      <c r="W557" s="13" t="s">
        <v>3179</v>
      </c>
      <c r="X557" s="12"/>
      <c r="Y557" s="14"/>
      <c r="Z557" s="14"/>
    </row>
    <row r="558">
      <c r="A558" s="8" t="s">
        <v>3180</v>
      </c>
      <c r="B558" s="8" t="s">
        <v>3181</v>
      </c>
      <c r="C558" s="8" t="s">
        <v>25</v>
      </c>
      <c r="D558" s="8" t="s">
        <v>26</v>
      </c>
      <c r="E558" s="8" t="s">
        <v>3182</v>
      </c>
      <c r="F558" s="8">
        <v>5.312347936E9</v>
      </c>
      <c r="G558" s="8" t="s">
        <v>31</v>
      </c>
      <c r="H558" s="8" t="s">
        <v>1274</v>
      </c>
      <c r="I558" s="8" t="s">
        <v>230</v>
      </c>
      <c r="J558" s="8" t="s">
        <v>231</v>
      </c>
      <c r="K558" s="10" t="s">
        <v>3183</v>
      </c>
      <c r="L558" s="8" t="s">
        <v>58</v>
      </c>
      <c r="M558" s="8" t="s">
        <v>35</v>
      </c>
      <c r="N558" s="11">
        <v>44870.0</v>
      </c>
      <c r="O558" s="11">
        <v>44941.0</v>
      </c>
      <c r="P558" s="11">
        <v>44983.0</v>
      </c>
      <c r="Q558" s="11">
        <v>44942.0</v>
      </c>
      <c r="R558" s="11">
        <v>44983.0</v>
      </c>
      <c r="S558" s="12"/>
      <c r="T558" s="8"/>
      <c r="U558" s="8" t="s">
        <v>59</v>
      </c>
      <c r="V558" s="13" t="s">
        <v>1274</v>
      </c>
      <c r="W558" s="13" t="s">
        <v>3184</v>
      </c>
      <c r="X558" s="12"/>
      <c r="Y558" s="14"/>
      <c r="Z558" s="14"/>
    </row>
    <row r="559">
      <c r="A559" s="8" t="s">
        <v>3185</v>
      </c>
      <c r="B559" s="8" t="s">
        <v>3186</v>
      </c>
      <c r="C559" s="8" t="s">
        <v>25</v>
      </c>
      <c r="D559" s="8" t="s">
        <v>26</v>
      </c>
      <c r="E559" s="8" t="s">
        <v>3187</v>
      </c>
      <c r="F559" s="8">
        <v>1.003700691E9</v>
      </c>
      <c r="G559" s="8" t="s">
        <v>284</v>
      </c>
      <c r="H559" s="8" t="s">
        <v>3188</v>
      </c>
      <c r="I559" s="8" t="s">
        <v>31</v>
      </c>
      <c r="J559" s="8" t="s">
        <v>77</v>
      </c>
      <c r="K559" s="10" t="s">
        <v>2341</v>
      </c>
      <c r="L559" s="8" t="s">
        <v>34</v>
      </c>
      <c r="M559" s="8" t="s">
        <v>35</v>
      </c>
      <c r="N559" s="11">
        <v>44871.0</v>
      </c>
      <c r="O559" s="11">
        <v>44963.0</v>
      </c>
      <c r="P559" s="11">
        <v>45005.0</v>
      </c>
      <c r="Q559" s="11">
        <v>44966.0</v>
      </c>
      <c r="R559" s="11">
        <v>45025.0</v>
      </c>
      <c r="S559" s="12"/>
      <c r="T559" s="8" t="s">
        <v>121</v>
      </c>
      <c r="U559" s="8" t="s">
        <v>2342</v>
      </c>
      <c r="V559" s="13" t="s">
        <v>3188</v>
      </c>
      <c r="W559" s="13" t="s">
        <v>3189</v>
      </c>
      <c r="X559" s="12"/>
      <c r="Y559" s="14"/>
      <c r="Z559" s="14"/>
    </row>
    <row r="560">
      <c r="A560" s="8" t="s">
        <v>3190</v>
      </c>
      <c r="B560" s="8" t="s">
        <v>3191</v>
      </c>
      <c r="C560" s="8" t="s">
        <v>179</v>
      </c>
      <c r="D560" s="8" t="s">
        <v>26</v>
      </c>
      <c r="E560" s="8" t="s">
        <v>3192</v>
      </c>
      <c r="F560" s="8">
        <v>5.330328104E9</v>
      </c>
      <c r="G560" s="8" t="s">
        <v>31</v>
      </c>
      <c r="H560" s="8" t="s">
        <v>56</v>
      </c>
      <c r="I560" s="8" t="s">
        <v>44</v>
      </c>
      <c r="J560" s="8" t="s">
        <v>2348</v>
      </c>
      <c r="K560" s="10" t="s">
        <v>2713</v>
      </c>
      <c r="L560" s="8" t="s">
        <v>58</v>
      </c>
      <c r="M560" s="8" t="s">
        <v>35</v>
      </c>
      <c r="N560" s="11">
        <v>44871.0</v>
      </c>
      <c r="O560" s="11">
        <v>45078.0</v>
      </c>
      <c r="P560" s="11">
        <v>45120.0</v>
      </c>
      <c r="Q560" s="11"/>
      <c r="R560" s="11"/>
      <c r="S560" s="12"/>
      <c r="T560" s="8"/>
      <c r="U560" s="8" t="s">
        <v>161</v>
      </c>
      <c r="V560" s="13" t="s">
        <v>56</v>
      </c>
      <c r="W560" s="13" t="s">
        <v>3193</v>
      </c>
      <c r="X560" s="12"/>
      <c r="Y560" s="14"/>
      <c r="Z560" s="14"/>
    </row>
    <row r="561">
      <c r="A561" s="8" t="s">
        <v>3194</v>
      </c>
      <c r="B561" s="8" t="s">
        <v>3195</v>
      </c>
      <c r="C561" s="8" t="s">
        <v>25</v>
      </c>
      <c r="D561" s="8" t="s">
        <v>26</v>
      </c>
      <c r="E561" s="8" t="s">
        <v>3196</v>
      </c>
      <c r="F561" s="8">
        <v>9.924277111E9</v>
      </c>
      <c r="G561" s="8" t="s">
        <v>44</v>
      </c>
      <c r="H561" s="8" t="s">
        <v>2348</v>
      </c>
      <c r="I561" s="8" t="s">
        <v>31</v>
      </c>
      <c r="J561" s="8" t="s">
        <v>56</v>
      </c>
      <c r="K561" s="10" t="s">
        <v>3197</v>
      </c>
      <c r="L561" s="8" t="s">
        <v>58</v>
      </c>
      <c r="M561" s="8" t="s">
        <v>35</v>
      </c>
      <c r="N561" s="11">
        <v>44871.0</v>
      </c>
      <c r="O561" s="11">
        <v>44912.0</v>
      </c>
      <c r="P561" s="11">
        <v>44954.0</v>
      </c>
      <c r="Q561" s="11">
        <v>44911.0</v>
      </c>
      <c r="R561" s="11">
        <v>44956.0</v>
      </c>
      <c r="S561" s="12"/>
      <c r="T561" s="8"/>
      <c r="U561" s="8" t="s">
        <v>59</v>
      </c>
      <c r="V561" s="13" t="s">
        <v>3198</v>
      </c>
      <c r="W561" s="13" t="s">
        <v>3199</v>
      </c>
      <c r="X561" s="12"/>
      <c r="Y561" s="14"/>
      <c r="Z561" s="14"/>
    </row>
    <row r="562">
      <c r="A562" s="8" t="s">
        <v>3200</v>
      </c>
      <c r="B562" s="8" t="s">
        <v>3201</v>
      </c>
      <c r="C562" s="8" t="s">
        <v>25</v>
      </c>
      <c r="D562" s="8" t="s">
        <v>26</v>
      </c>
      <c r="E562" s="8" t="s">
        <v>3202</v>
      </c>
      <c r="F562" s="8">
        <v>8.780940538E9</v>
      </c>
      <c r="G562" s="8" t="s">
        <v>44</v>
      </c>
      <c r="H562" s="8" t="s">
        <v>2348</v>
      </c>
      <c r="I562" s="8" t="s">
        <v>31</v>
      </c>
      <c r="J562" s="8" t="s">
        <v>56</v>
      </c>
      <c r="K562" s="10" t="s">
        <v>3197</v>
      </c>
      <c r="L562" s="8" t="s">
        <v>58</v>
      </c>
      <c r="M562" s="8" t="s">
        <v>35</v>
      </c>
      <c r="N562" s="11">
        <v>44871.0</v>
      </c>
      <c r="O562" s="11">
        <v>44912.0</v>
      </c>
      <c r="P562" s="11">
        <v>44954.0</v>
      </c>
      <c r="Q562" s="11">
        <v>44911.0</v>
      </c>
      <c r="R562" s="11">
        <v>44956.0</v>
      </c>
      <c r="S562" s="12"/>
      <c r="T562" s="8"/>
      <c r="U562" s="8" t="s">
        <v>59</v>
      </c>
      <c r="V562" s="13" t="s">
        <v>3198</v>
      </c>
      <c r="W562" s="13" t="s">
        <v>3203</v>
      </c>
      <c r="X562" s="12"/>
      <c r="Y562" s="14"/>
      <c r="Z562" s="14"/>
    </row>
    <row r="563">
      <c r="A563" s="8" t="s">
        <v>3204</v>
      </c>
      <c r="B563" s="8" t="s">
        <v>3205</v>
      </c>
      <c r="C563" s="8" t="s">
        <v>25</v>
      </c>
      <c r="D563" s="8" t="s">
        <v>26</v>
      </c>
      <c r="E563" s="8" t="s">
        <v>3206</v>
      </c>
      <c r="F563" s="8" t="s">
        <v>253</v>
      </c>
      <c r="G563" s="8" t="s">
        <v>118</v>
      </c>
      <c r="H563" s="8" t="s">
        <v>1162</v>
      </c>
      <c r="I563" s="8" t="s">
        <v>31</v>
      </c>
      <c r="J563" s="8" t="s">
        <v>1119</v>
      </c>
      <c r="K563" s="10" t="s">
        <v>2736</v>
      </c>
      <c r="L563" s="8" t="s">
        <v>58</v>
      </c>
      <c r="M563" s="8" t="s">
        <v>35</v>
      </c>
      <c r="N563" s="11">
        <v>44871.0</v>
      </c>
      <c r="O563" s="11">
        <v>45109.0</v>
      </c>
      <c r="P563" s="11">
        <v>45151.0</v>
      </c>
      <c r="Q563" s="11">
        <v>45106.0</v>
      </c>
      <c r="R563" s="11">
        <v>45151.0</v>
      </c>
      <c r="S563" s="12"/>
      <c r="T563" s="8"/>
      <c r="U563" s="8" t="s">
        <v>59</v>
      </c>
      <c r="V563" s="13" t="s">
        <v>3207</v>
      </c>
      <c r="W563" s="13" t="s">
        <v>3208</v>
      </c>
      <c r="X563" s="12"/>
      <c r="Y563" s="14"/>
      <c r="Z563" s="14"/>
    </row>
    <row r="564">
      <c r="A564" s="8" t="s">
        <v>3209</v>
      </c>
      <c r="B564" s="8" t="s">
        <v>3210</v>
      </c>
      <c r="C564" s="8" t="s">
        <v>25</v>
      </c>
      <c r="D564" s="8" t="s">
        <v>26</v>
      </c>
      <c r="E564" s="8" t="s">
        <v>3211</v>
      </c>
      <c r="F564" s="8">
        <v>5.459040736E9</v>
      </c>
      <c r="G564" s="8" t="s">
        <v>31</v>
      </c>
      <c r="H564" s="8" t="s">
        <v>77</v>
      </c>
      <c r="I564" s="8" t="s">
        <v>44</v>
      </c>
      <c r="J564" s="8" t="s">
        <v>1993</v>
      </c>
      <c r="K564" s="10" t="s">
        <v>2501</v>
      </c>
      <c r="L564" s="8" t="s">
        <v>58</v>
      </c>
      <c r="M564" s="8" t="s">
        <v>35</v>
      </c>
      <c r="N564" s="11">
        <v>44872.0</v>
      </c>
      <c r="O564" s="11">
        <v>44961.0</v>
      </c>
      <c r="P564" s="11">
        <v>45003.0</v>
      </c>
      <c r="Q564" s="11">
        <v>44960.0</v>
      </c>
      <c r="R564" s="11">
        <v>45003.0</v>
      </c>
      <c r="S564" s="12"/>
      <c r="T564" s="8"/>
      <c r="U564" s="8" t="s">
        <v>1038</v>
      </c>
      <c r="V564" s="13" t="s">
        <v>3212</v>
      </c>
      <c r="W564" s="13" t="s">
        <v>3213</v>
      </c>
      <c r="X564" s="12"/>
      <c r="Y564" s="14"/>
      <c r="Z564" s="14"/>
    </row>
    <row r="565">
      <c r="A565" s="8" t="s">
        <v>3214</v>
      </c>
      <c r="B565" s="8" t="s">
        <v>3215</v>
      </c>
      <c r="C565" s="8" t="s">
        <v>251</v>
      </c>
      <c r="D565" s="8" t="s">
        <v>26</v>
      </c>
      <c r="E565" s="8" t="s">
        <v>3216</v>
      </c>
      <c r="F565" s="8">
        <v>6.51421383E8</v>
      </c>
      <c r="G565" s="8" t="s">
        <v>84</v>
      </c>
      <c r="H565" s="8" t="s">
        <v>752</v>
      </c>
      <c r="I565" s="8" t="s">
        <v>31</v>
      </c>
      <c r="J565" s="8" t="s">
        <v>32</v>
      </c>
      <c r="K565" s="10" t="s">
        <v>286</v>
      </c>
      <c r="L565" s="8" t="s">
        <v>58</v>
      </c>
      <c r="M565" s="8" t="s">
        <v>35</v>
      </c>
      <c r="N565" s="11">
        <v>44872.0</v>
      </c>
      <c r="O565" s="11">
        <v>44948.0</v>
      </c>
      <c r="P565" s="11">
        <v>44990.0</v>
      </c>
      <c r="Q565" s="11"/>
      <c r="R565" s="11"/>
      <c r="S565" s="12"/>
      <c r="T565" s="8"/>
      <c r="U565" s="8" t="s">
        <v>59</v>
      </c>
      <c r="V565" s="13" t="s">
        <v>2277</v>
      </c>
      <c r="W565" s="13" t="s">
        <v>3217</v>
      </c>
      <c r="X565" s="12"/>
      <c r="Y565" s="14"/>
      <c r="Z565" s="14"/>
    </row>
    <row r="566">
      <c r="A566" s="8" t="s">
        <v>3218</v>
      </c>
      <c r="B566" s="8" t="s">
        <v>3219</v>
      </c>
      <c r="C566" s="8" t="s">
        <v>64</v>
      </c>
      <c r="D566" s="8" t="s">
        <v>26</v>
      </c>
      <c r="E566" s="8" t="s">
        <v>3220</v>
      </c>
      <c r="F566" s="8"/>
      <c r="G566" s="8" t="s">
        <v>31</v>
      </c>
      <c r="H566" s="8" t="s">
        <v>86</v>
      </c>
      <c r="I566" s="8" t="s">
        <v>127</v>
      </c>
      <c r="J566" s="8" t="s">
        <v>1628</v>
      </c>
      <c r="K566" s="10" t="s">
        <v>3221</v>
      </c>
      <c r="L566" s="8" t="s">
        <v>58</v>
      </c>
      <c r="M566" s="8" t="s">
        <v>35</v>
      </c>
      <c r="N566" s="11">
        <v>44872.0</v>
      </c>
      <c r="O566" s="11">
        <v>44970.0</v>
      </c>
      <c r="P566" s="11">
        <v>45012.0</v>
      </c>
      <c r="Q566" s="11">
        <v>44969.0</v>
      </c>
      <c r="R566" s="11">
        <v>45012.0</v>
      </c>
      <c r="S566" s="12"/>
      <c r="T566" s="8"/>
      <c r="U566" s="8" t="s">
        <v>1956</v>
      </c>
      <c r="V566" s="13" t="s">
        <v>38</v>
      </c>
      <c r="W566" s="13" t="s">
        <v>3222</v>
      </c>
      <c r="X566" s="12"/>
      <c r="Y566" s="14"/>
      <c r="Z566" s="14"/>
    </row>
    <row r="567">
      <c r="A567" s="8" t="s">
        <v>3223</v>
      </c>
      <c r="B567" s="8" t="s">
        <v>3224</v>
      </c>
      <c r="C567" s="8" t="s">
        <v>25</v>
      </c>
      <c r="D567" s="8" t="s">
        <v>26</v>
      </c>
      <c r="E567" s="8" t="s">
        <v>3225</v>
      </c>
      <c r="F567" s="8"/>
      <c r="G567" s="8" t="s">
        <v>54</v>
      </c>
      <c r="H567" s="8" t="s">
        <v>244</v>
      </c>
      <c r="I567" s="8" t="s">
        <v>31</v>
      </c>
      <c r="J567" s="8" t="s">
        <v>256</v>
      </c>
      <c r="K567" s="10" t="s">
        <v>3226</v>
      </c>
      <c r="L567" s="8" t="s">
        <v>34</v>
      </c>
      <c r="M567" s="8" t="s">
        <v>35</v>
      </c>
      <c r="N567" s="11">
        <v>44873.0</v>
      </c>
      <c r="O567" s="11">
        <v>44896.0</v>
      </c>
      <c r="P567" s="11">
        <v>44979.0</v>
      </c>
      <c r="Q567" s="11">
        <v>44910.0</v>
      </c>
      <c r="R567" s="11">
        <v>44997.0</v>
      </c>
      <c r="S567" s="12"/>
      <c r="T567" s="8" t="s">
        <v>205</v>
      </c>
      <c r="U567" s="8" t="s">
        <v>1301</v>
      </c>
      <c r="V567" s="13" t="s">
        <v>247</v>
      </c>
      <c r="W567" s="13" t="s">
        <v>3227</v>
      </c>
      <c r="X567" s="12"/>
      <c r="Y567" s="14"/>
      <c r="Z567" s="14"/>
    </row>
    <row r="568">
      <c r="A568" s="8" t="s">
        <v>3228</v>
      </c>
      <c r="B568" s="8" t="s">
        <v>3229</v>
      </c>
      <c r="C568" s="8" t="s">
        <v>64</v>
      </c>
      <c r="D568" s="8" t="s">
        <v>26</v>
      </c>
      <c r="E568" s="8" t="s">
        <v>3230</v>
      </c>
      <c r="F568" s="8">
        <v>1.063004721E9</v>
      </c>
      <c r="G568" s="8" t="s">
        <v>284</v>
      </c>
      <c r="H568" s="8" t="s">
        <v>285</v>
      </c>
      <c r="I568" s="8" t="s">
        <v>31</v>
      </c>
      <c r="J568" s="8" t="s">
        <v>86</v>
      </c>
      <c r="K568" s="10" t="s">
        <v>389</v>
      </c>
      <c r="L568" s="8" t="s">
        <v>58</v>
      </c>
      <c r="M568" s="8" t="s">
        <v>35</v>
      </c>
      <c r="N568" s="11">
        <v>44873.0</v>
      </c>
      <c r="O568" s="11">
        <v>44900.0</v>
      </c>
      <c r="P568" s="11">
        <v>44942.0</v>
      </c>
      <c r="Q568" s="11">
        <v>44915.0</v>
      </c>
      <c r="R568" s="11">
        <v>44957.0</v>
      </c>
      <c r="S568" s="12"/>
      <c r="T568" s="8"/>
      <c r="U568" s="8" t="s">
        <v>153</v>
      </c>
      <c r="V568" s="13" t="s">
        <v>285</v>
      </c>
      <c r="W568" s="13" t="s">
        <v>3231</v>
      </c>
      <c r="X568" s="12"/>
      <c r="Y568" s="14"/>
      <c r="Z568" s="14"/>
    </row>
    <row r="569">
      <c r="A569" s="8" t="s">
        <v>3232</v>
      </c>
      <c r="B569" s="8" t="s">
        <v>3233</v>
      </c>
      <c r="C569" s="8" t="s">
        <v>25</v>
      </c>
      <c r="D569" s="8" t="s">
        <v>26</v>
      </c>
      <c r="E569" s="8" t="s">
        <v>3234</v>
      </c>
      <c r="F569" s="9" t="s">
        <v>3235</v>
      </c>
      <c r="G569" s="8" t="s">
        <v>118</v>
      </c>
      <c r="H569" s="8" t="s">
        <v>1162</v>
      </c>
      <c r="I569" s="8" t="s">
        <v>31</v>
      </c>
      <c r="J569" s="8" t="s">
        <v>1119</v>
      </c>
      <c r="K569" s="10" t="s">
        <v>2736</v>
      </c>
      <c r="L569" s="8" t="s">
        <v>58</v>
      </c>
      <c r="M569" s="8" t="s">
        <v>35</v>
      </c>
      <c r="N569" s="11">
        <v>44873.0</v>
      </c>
      <c r="O569" s="11">
        <v>45109.0</v>
      </c>
      <c r="P569" s="11">
        <v>45151.0</v>
      </c>
      <c r="Q569" s="11">
        <v>45113.0</v>
      </c>
      <c r="R569" s="11">
        <v>45155.0</v>
      </c>
      <c r="S569" s="12"/>
      <c r="T569" s="8"/>
      <c r="U569" s="8" t="s">
        <v>59</v>
      </c>
      <c r="V569" s="13" t="s">
        <v>3236</v>
      </c>
      <c r="W569" s="13" t="s">
        <v>3237</v>
      </c>
      <c r="X569" s="12"/>
      <c r="Y569" s="14"/>
      <c r="Z569" s="14"/>
    </row>
    <row r="570">
      <c r="A570" s="8" t="s">
        <v>3238</v>
      </c>
      <c r="B570" s="8" t="s">
        <v>3239</v>
      </c>
      <c r="C570" s="8" t="s">
        <v>64</v>
      </c>
      <c r="D570" s="8" t="s">
        <v>26</v>
      </c>
      <c r="E570" s="8" t="s">
        <v>3240</v>
      </c>
      <c r="F570" s="8"/>
      <c r="G570" s="8" t="s">
        <v>109</v>
      </c>
      <c r="H570" s="8" t="s">
        <v>2747</v>
      </c>
      <c r="I570" s="8" t="s">
        <v>31</v>
      </c>
      <c r="J570" s="8" t="s">
        <v>77</v>
      </c>
      <c r="K570" s="10" t="s">
        <v>3241</v>
      </c>
      <c r="L570" s="8" t="s">
        <v>58</v>
      </c>
      <c r="M570" s="8" t="s">
        <v>35</v>
      </c>
      <c r="N570" s="11">
        <v>44873.0</v>
      </c>
      <c r="O570" s="11">
        <v>45040.0</v>
      </c>
      <c r="P570" s="11">
        <v>45082.0</v>
      </c>
      <c r="Q570" s="11">
        <v>45040.0</v>
      </c>
      <c r="R570" s="11">
        <v>45082.0</v>
      </c>
      <c r="S570" s="12"/>
      <c r="T570" s="8"/>
      <c r="U570" s="8" t="s">
        <v>59</v>
      </c>
      <c r="V570" s="13" t="s">
        <v>3242</v>
      </c>
      <c r="W570" s="13" t="s">
        <v>3243</v>
      </c>
      <c r="X570" s="12"/>
      <c r="Y570" s="14"/>
      <c r="Z570" s="14"/>
    </row>
    <row r="571">
      <c r="A571" s="8" t="s">
        <v>3244</v>
      </c>
      <c r="B571" s="8" t="s">
        <v>3245</v>
      </c>
      <c r="C571" s="8" t="s">
        <v>251</v>
      </c>
      <c r="D571" s="8" t="s">
        <v>26</v>
      </c>
      <c r="E571" s="8" t="s">
        <v>3246</v>
      </c>
      <c r="F571" s="8">
        <v>2.7175516E7</v>
      </c>
      <c r="G571" s="8" t="s">
        <v>54</v>
      </c>
      <c r="H571" s="8" t="s">
        <v>76</v>
      </c>
      <c r="I571" s="8" t="s">
        <v>31</v>
      </c>
      <c r="J571" s="8" t="s">
        <v>32</v>
      </c>
      <c r="K571" s="10" t="s">
        <v>3247</v>
      </c>
      <c r="L571" s="8" t="s">
        <v>47</v>
      </c>
      <c r="M571" s="8" t="s">
        <v>70</v>
      </c>
      <c r="N571" s="11">
        <v>44874.0</v>
      </c>
      <c r="O571" s="11">
        <v>44910.0</v>
      </c>
      <c r="P571" s="11">
        <v>45275.0</v>
      </c>
      <c r="Q571" s="11"/>
      <c r="R571" s="11"/>
      <c r="S571" s="12"/>
      <c r="T571" s="8"/>
      <c r="U571" s="8" t="s">
        <v>3248</v>
      </c>
      <c r="V571" s="13" t="s">
        <v>491</v>
      </c>
      <c r="W571" s="13" t="s">
        <v>3249</v>
      </c>
      <c r="X571" s="12"/>
      <c r="Y571" s="14"/>
      <c r="Z571" s="14"/>
    </row>
    <row r="572">
      <c r="A572" s="8" t="s">
        <v>3250</v>
      </c>
      <c r="B572" s="8" t="s">
        <v>3251</v>
      </c>
      <c r="C572" s="8" t="s">
        <v>179</v>
      </c>
      <c r="D572" s="8" t="s">
        <v>26</v>
      </c>
      <c r="E572" s="8" t="s">
        <v>3252</v>
      </c>
      <c r="F572" s="8">
        <v>5.1019623E7</v>
      </c>
      <c r="G572" s="8" t="s">
        <v>54</v>
      </c>
      <c r="H572" s="8" t="s">
        <v>377</v>
      </c>
      <c r="I572" s="8" t="s">
        <v>31</v>
      </c>
      <c r="J572" s="8" t="s">
        <v>167</v>
      </c>
      <c r="K572" s="10" t="s">
        <v>893</v>
      </c>
      <c r="L572" s="8" t="s">
        <v>58</v>
      </c>
      <c r="M572" s="8" t="s">
        <v>35</v>
      </c>
      <c r="N572" s="11">
        <v>44874.0</v>
      </c>
      <c r="O572" s="11">
        <v>45117.0</v>
      </c>
      <c r="P572" s="11">
        <v>45159.0</v>
      </c>
      <c r="Q572" s="11"/>
      <c r="R572" s="11"/>
      <c r="S572" s="12"/>
      <c r="T572" s="8"/>
      <c r="U572" s="8" t="s">
        <v>88</v>
      </c>
      <c r="V572" s="13" t="s">
        <v>686</v>
      </c>
      <c r="W572" s="13" t="s">
        <v>3253</v>
      </c>
      <c r="X572" s="12"/>
      <c r="Y572" s="14"/>
      <c r="Z572" s="14"/>
    </row>
    <row r="573">
      <c r="A573" s="8" t="s">
        <v>3254</v>
      </c>
      <c r="B573" s="8" t="s">
        <v>3255</v>
      </c>
      <c r="C573" s="8" t="s">
        <v>179</v>
      </c>
      <c r="D573" s="8" t="s">
        <v>26</v>
      </c>
      <c r="E573" s="8" t="s">
        <v>3256</v>
      </c>
      <c r="F573" s="8">
        <v>3.134589874E9</v>
      </c>
      <c r="G573" s="8" t="s">
        <v>315</v>
      </c>
      <c r="H573" s="8" t="s">
        <v>1242</v>
      </c>
      <c r="I573" s="8" t="s">
        <v>31</v>
      </c>
      <c r="J573" s="8" t="s">
        <v>66</v>
      </c>
      <c r="K573" s="10" t="s">
        <v>3257</v>
      </c>
      <c r="L573" s="8" t="s">
        <v>58</v>
      </c>
      <c r="M573" s="8" t="s">
        <v>35</v>
      </c>
      <c r="N573" s="11">
        <v>44874.0</v>
      </c>
      <c r="O573" s="11">
        <v>44893.0</v>
      </c>
      <c r="P573" s="11">
        <v>44935.0</v>
      </c>
      <c r="Q573" s="11"/>
      <c r="R573" s="11"/>
      <c r="S573" s="12"/>
      <c r="T573" s="8"/>
      <c r="U573" s="8" t="s">
        <v>59</v>
      </c>
      <c r="V573" s="13" t="s">
        <v>3258</v>
      </c>
      <c r="W573" s="13" t="s">
        <v>3259</v>
      </c>
      <c r="X573" s="12"/>
      <c r="Y573" s="14"/>
      <c r="Z573" s="14"/>
    </row>
    <row r="574">
      <c r="A574" s="8" t="s">
        <v>3260</v>
      </c>
      <c r="B574" s="8" t="s">
        <v>1133</v>
      </c>
      <c r="C574" s="8" t="s">
        <v>25</v>
      </c>
      <c r="D574" s="8" t="s">
        <v>26</v>
      </c>
      <c r="E574" s="8" t="s">
        <v>1134</v>
      </c>
      <c r="F574" s="8"/>
      <c r="G574" s="8" t="s">
        <v>31</v>
      </c>
      <c r="H574" s="8" t="s">
        <v>542</v>
      </c>
      <c r="I574" s="8" t="s">
        <v>284</v>
      </c>
      <c r="J574" s="8" t="s">
        <v>2065</v>
      </c>
      <c r="K574" s="10" t="s">
        <v>3261</v>
      </c>
      <c r="L574" s="8" t="s">
        <v>58</v>
      </c>
      <c r="M574" s="8" t="s">
        <v>35</v>
      </c>
      <c r="N574" s="11">
        <v>44874.0</v>
      </c>
      <c r="O574" s="11">
        <v>44885.0</v>
      </c>
      <c r="P574" s="11">
        <v>44927.0</v>
      </c>
      <c r="Q574" s="11">
        <v>44885.0</v>
      </c>
      <c r="R574" s="11">
        <v>44927.0</v>
      </c>
      <c r="S574" s="12"/>
      <c r="T574" s="8"/>
      <c r="U574" s="8" t="s">
        <v>59</v>
      </c>
      <c r="V574" s="13" t="s">
        <v>38</v>
      </c>
      <c r="W574" s="13" t="s">
        <v>1135</v>
      </c>
      <c r="X574" s="12"/>
      <c r="Y574" s="14"/>
      <c r="Z574" s="14"/>
    </row>
    <row r="575">
      <c r="A575" s="8" t="s">
        <v>3262</v>
      </c>
      <c r="B575" s="8" t="s">
        <v>3263</v>
      </c>
      <c r="C575" s="8" t="s">
        <v>64</v>
      </c>
      <c r="D575" s="8" t="s">
        <v>26</v>
      </c>
      <c r="E575" s="8" t="s">
        <v>3264</v>
      </c>
      <c r="F575" s="8">
        <v>6.99820381E8</v>
      </c>
      <c r="G575" s="8" t="s">
        <v>254</v>
      </c>
      <c r="H575" s="8" t="s">
        <v>1007</v>
      </c>
      <c r="I575" s="8" t="s">
        <v>31</v>
      </c>
      <c r="J575" s="8" t="s">
        <v>542</v>
      </c>
      <c r="K575" s="10" t="s">
        <v>3265</v>
      </c>
      <c r="L575" s="8" t="s">
        <v>47</v>
      </c>
      <c r="M575" s="8" t="s">
        <v>70</v>
      </c>
      <c r="N575" s="11">
        <v>44874.0</v>
      </c>
      <c r="O575" s="11">
        <v>44900.0</v>
      </c>
      <c r="P575" s="11">
        <v>45089.0</v>
      </c>
      <c r="Q575" s="11">
        <v>44940.0</v>
      </c>
      <c r="R575" s="11">
        <v>45306.0</v>
      </c>
      <c r="S575" s="12"/>
      <c r="T575" s="8"/>
      <c r="U575" s="8" t="s">
        <v>1389</v>
      </c>
      <c r="V575" s="13" t="s">
        <v>1010</v>
      </c>
      <c r="W575" s="13" t="s">
        <v>3266</v>
      </c>
      <c r="X575" s="12"/>
      <c r="Y575" s="14"/>
      <c r="Z575" s="14"/>
    </row>
    <row r="576">
      <c r="A576" s="8" t="s">
        <v>3267</v>
      </c>
      <c r="B576" s="8" t="s">
        <v>3268</v>
      </c>
      <c r="C576" s="8" t="s">
        <v>25</v>
      </c>
      <c r="D576" s="8" t="s">
        <v>26</v>
      </c>
      <c r="E576" s="8" t="s">
        <v>3269</v>
      </c>
      <c r="F576" s="8">
        <v>5.358609952E9</v>
      </c>
      <c r="G576" s="8" t="s">
        <v>254</v>
      </c>
      <c r="H576" s="8" t="s">
        <v>255</v>
      </c>
      <c r="I576" s="8" t="s">
        <v>31</v>
      </c>
      <c r="J576" s="8" t="s">
        <v>256</v>
      </c>
      <c r="K576" s="10" t="s">
        <v>794</v>
      </c>
      <c r="L576" s="8" t="s">
        <v>47</v>
      </c>
      <c r="M576" s="8" t="s">
        <v>70</v>
      </c>
      <c r="N576" s="11">
        <v>44875.0</v>
      </c>
      <c r="O576" s="11">
        <v>44920.0</v>
      </c>
      <c r="P576" s="11">
        <v>45286.0</v>
      </c>
      <c r="Q576" s="11">
        <v>44917.0</v>
      </c>
      <c r="R576" s="11">
        <v>45287.0</v>
      </c>
      <c r="S576" s="12"/>
      <c r="T576" s="8"/>
      <c r="U576" s="8" t="s">
        <v>795</v>
      </c>
      <c r="V576" s="13" t="s">
        <v>258</v>
      </c>
      <c r="W576" s="13" t="s">
        <v>3270</v>
      </c>
      <c r="X576" s="12"/>
      <c r="Y576" s="14"/>
      <c r="Z576" s="14"/>
    </row>
    <row r="577">
      <c r="A577" s="8" t="s">
        <v>3271</v>
      </c>
      <c r="B577" s="8" t="s">
        <v>3272</v>
      </c>
      <c r="C577" s="8" t="s">
        <v>25</v>
      </c>
      <c r="D577" s="8" t="s">
        <v>26</v>
      </c>
      <c r="E577" s="8" t="s">
        <v>3273</v>
      </c>
      <c r="F577" s="8">
        <v>9.9081669E7</v>
      </c>
      <c r="G577" s="8" t="s">
        <v>54</v>
      </c>
      <c r="H577" s="8" t="s">
        <v>377</v>
      </c>
      <c r="I577" s="8" t="s">
        <v>31</v>
      </c>
      <c r="J577" s="8" t="s">
        <v>77</v>
      </c>
      <c r="K577" s="10" t="s">
        <v>2537</v>
      </c>
      <c r="L577" s="8" t="s">
        <v>58</v>
      </c>
      <c r="M577" s="8" t="s">
        <v>35</v>
      </c>
      <c r="N577" s="11">
        <v>44875.0</v>
      </c>
      <c r="O577" s="11">
        <v>45103.0</v>
      </c>
      <c r="P577" s="11">
        <v>45145.0</v>
      </c>
      <c r="Q577" s="11">
        <v>45102.0</v>
      </c>
      <c r="R577" s="11">
        <v>45145.0</v>
      </c>
      <c r="S577" s="12"/>
      <c r="T577" s="8"/>
      <c r="U577" s="8" t="s">
        <v>88</v>
      </c>
      <c r="V577" s="13" t="s">
        <v>3274</v>
      </c>
      <c r="W577" s="13" t="s">
        <v>3275</v>
      </c>
      <c r="X577" s="12"/>
      <c r="Y577" s="14"/>
      <c r="Z577" s="14"/>
    </row>
    <row r="578">
      <c r="A578" s="8" t="s">
        <v>3276</v>
      </c>
      <c r="B578" s="8" t="s">
        <v>3277</v>
      </c>
      <c r="C578" s="8" t="s">
        <v>25</v>
      </c>
      <c r="D578" s="8" t="s">
        <v>26</v>
      </c>
      <c r="E578" s="8" t="s">
        <v>3278</v>
      </c>
      <c r="F578" s="8">
        <v>5.372133836E9</v>
      </c>
      <c r="G578" s="8" t="s">
        <v>31</v>
      </c>
      <c r="H578" s="8" t="s">
        <v>292</v>
      </c>
      <c r="I578" s="8" t="s">
        <v>143</v>
      </c>
      <c r="J578" s="8" t="s">
        <v>1478</v>
      </c>
      <c r="K578" s="10" t="s">
        <v>3279</v>
      </c>
      <c r="L578" s="8" t="s">
        <v>58</v>
      </c>
      <c r="M578" s="8" t="s">
        <v>35</v>
      </c>
      <c r="N578" s="11">
        <v>44875.0</v>
      </c>
      <c r="O578" s="11">
        <v>44889.0</v>
      </c>
      <c r="P578" s="11">
        <v>44931.0</v>
      </c>
      <c r="Q578" s="11">
        <v>44879.0</v>
      </c>
      <c r="R578" s="11">
        <v>44921.0</v>
      </c>
      <c r="S578" s="12"/>
      <c r="T578" s="8"/>
      <c r="U578" s="8" t="s">
        <v>59</v>
      </c>
      <c r="V578" s="13" t="s">
        <v>292</v>
      </c>
      <c r="W578" s="13" t="s">
        <v>3280</v>
      </c>
      <c r="X578" s="12"/>
      <c r="Y578" s="14"/>
      <c r="Z578" s="14"/>
    </row>
    <row r="579">
      <c r="A579" s="8" t="s">
        <v>3281</v>
      </c>
      <c r="B579" s="8" t="s">
        <v>3282</v>
      </c>
      <c r="C579" s="8" t="s">
        <v>179</v>
      </c>
      <c r="D579" s="8" t="s">
        <v>26</v>
      </c>
      <c r="E579" s="8" t="s">
        <v>3283</v>
      </c>
      <c r="F579" s="8">
        <v>5.305445916E9</v>
      </c>
      <c r="G579" s="8" t="s">
        <v>31</v>
      </c>
      <c r="H579" s="8" t="s">
        <v>77</v>
      </c>
      <c r="I579" s="8" t="s">
        <v>284</v>
      </c>
      <c r="J579" s="8" t="s">
        <v>793</v>
      </c>
      <c r="K579" s="10" t="s">
        <v>2688</v>
      </c>
      <c r="L579" s="8" t="s">
        <v>58</v>
      </c>
      <c r="M579" s="8" t="s">
        <v>35</v>
      </c>
      <c r="N579" s="11">
        <v>44875.0</v>
      </c>
      <c r="O579" s="11">
        <v>45108.0</v>
      </c>
      <c r="P579" s="11">
        <v>45150.0</v>
      </c>
      <c r="Q579" s="11"/>
      <c r="R579" s="11"/>
      <c r="S579" s="12"/>
      <c r="T579" s="8"/>
      <c r="U579" s="8" t="s">
        <v>1038</v>
      </c>
      <c r="V579" s="13" t="s">
        <v>77</v>
      </c>
      <c r="W579" s="13" t="s">
        <v>3284</v>
      </c>
      <c r="X579" s="12"/>
      <c r="Y579" s="14"/>
      <c r="Z579" s="14"/>
    </row>
    <row r="580">
      <c r="A580" s="8" t="s">
        <v>3285</v>
      </c>
      <c r="B580" s="8" t="s">
        <v>3286</v>
      </c>
      <c r="C580" s="8" t="s">
        <v>179</v>
      </c>
      <c r="D580" s="8" t="s">
        <v>26</v>
      </c>
      <c r="E580" s="8" t="s">
        <v>3287</v>
      </c>
      <c r="F580" s="8">
        <v>5.439603453E9</v>
      </c>
      <c r="G580" s="8" t="s">
        <v>31</v>
      </c>
      <c r="H580" s="8" t="s">
        <v>77</v>
      </c>
      <c r="I580" s="8" t="s">
        <v>284</v>
      </c>
      <c r="J580" s="8" t="s">
        <v>793</v>
      </c>
      <c r="K580" s="10" t="s">
        <v>2688</v>
      </c>
      <c r="L580" s="8" t="s">
        <v>58</v>
      </c>
      <c r="M580" s="8" t="s">
        <v>35</v>
      </c>
      <c r="N580" s="11">
        <v>44875.0</v>
      </c>
      <c r="O580" s="11">
        <v>45108.0</v>
      </c>
      <c r="P580" s="11">
        <v>45150.0</v>
      </c>
      <c r="Q580" s="11"/>
      <c r="R580" s="11"/>
      <c r="S580" s="12"/>
      <c r="T580" s="8"/>
      <c r="U580" s="8" t="s">
        <v>1038</v>
      </c>
      <c r="V580" s="13" t="s">
        <v>77</v>
      </c>
      <c r="W580" s="13" t="s">
        <v>3288</v>
      </c>
      <c r="X580" s="12"/>
      <c r="Y580" s="14"/>
      <c r="Z580" s="14"/>
    </row>
    <row r="581">
      <c r="A581" s="8" t="s">
        <v>3289</v>
      </c>
      <c r="B581" s="8" t="s">
        <v>3290</v>
      </c>
      <c r="C581" s="8" t="s">
        <v>179</v>
      </c>
      <c r="D581" s="8" t="s">
        <v>26</v>
      </c>
      <c r="E581" s="8" t="s">
        <v>3291</v>
      </c>
      <c r="F581" s="8">
        <v>6.56141593E8</v>
      </c>
      <c r="G581" s="8" t="s">
        <v>84</v>
      </c>
      <c r="H581" s="8" t="s">
        <v>3160</v>
      </c>
      <c r="I581" s="8" t="s">
        <v>31</v>
      </c>
      <c r="J581" s="8" t="s">
        <v>86</v>
      </c>
      <c r="K581" s="10" t="s">
        <v>3292</v>
      </c>
      <c r="L581" s="8" t="s">
        <v>58</v>
      </c>
      <c r="M581" s="8" t="s">
        <v>35</v>
      </c>
      <c r="N581" s="11">
        <v>44875.0</v>
      </c>
      <c r="O581" s="11">
        <v>44942.0</v>
      </c>
      <c r="P581" s="11">
        <v>44984.0</v>
      </c>
      <c r="Q581" s="11"/>
      <c r="R581" s="11"/>
      <c r="S581" s="12"/>
      <c r="T581" s="8"/>
      <c r="U581" s="8" t="s">
        <v>59</v>
      </c>
      <c r="V581" s="13" t="s">
        <v>3161</v>
      </c>
      <c r="W581" s="13" t="s">
        <v>3293</v>
      </c>
      <c r="X581" s="12"/>
      <c r="Y581" s="14"/>
      <c r="Z581" s="14"/>
    </row>
    <row r="582">
      <c r="A582" s="8" t="s">
        <v>3294</v>
      </c>
      <c r="B582" s="8" t="s">
        <v>3295</v>
      </c>
      <c r="C582" s="8" t="s">
        <v>179</v>
      </c>
      <c r="D582" s="8" t="s">
        <v>26</v>
      </c>
      <c r="E582" s="8" t="s">
        <v>3296</v>
      </c>
      <c r="F582" s="8">
        <v>6.304889813E9</v>
      </c>
      <c r="G582" s="8" t="s">
        <v>44</v>
      </c>
      <c r="H582" s="8" t="s">
        <v>1588</v>
      </c>
      <c r="I582" s="8" t="s">
        <v>31</v>
      </c>
      <c r="J582" s="8" t="s">
        <v>86</v>
      </c>
      <c r="K582" s="10" t="s">
        <v>578</v>
      </c>
      <c r="L582" s="8" t="s">
        <v>58</v>
      </c>
      <c r="M582" s="8" t="s">
        <v>35</v>
      </c>
      <c r="N582" s="11">
        <v>44875.0</v>
      </c>
      <c r="O582" s="11">
        <v>44922.0</v>
      </c>
      <c r="P582" s="11">
        <v>44964.0</v>
      </c>
      <c r="Q582" s="11"/>
      <c r="R582" s="11"/>
      <c r="S582" s="12"/>
      <c r="T582" s="8"/>
      <c r="U582" s="8" t="s">
        <v>59</v>
      </c>
      <c r="V582" s="13" t="s">
        <v>1588</v>
      </c>
      <c r="W582" s="13" t="s">
        <v>3297</v>
      </c>
      <c r="X582" s="12"/>
      <c r="Y582" s="14"/>
      <c r="Z582" s="14"/>
    </row>
    <row r="583">
      <c r="A583" s="8" t="s">
        <v>3298</v>
      </c>
      <c r="B583" s="8" t="s">
        <v>3299</v>
      </c>
      <c r="C583" s="8" t="s">
        <v>64</v>
      </c>
      <c r="D583" s="8" t="s">
        <v>26</v>
      </c>
      <c r="E583" s="8" t="s">
        <v>3300</v>
      </c>
      <c r="F583" s="8">
        <v>1.229048713E9</v>
      </c>
      <c r="G583" s="8" t="s">
        <v>284</v>
      </c>
      <c r="H583" s="8" t="s">
        <v>1764</v>
      </c>
      <c r="I583" s="8" t="s">
        <v>31</v>
      </c>
      <c r="J583" s="8" t="s">
        <v>56</v>
      </c>
      <c r="K583" s="10" t="s">
        <v>3301</v>
      </c>
      <c r="L583" s="8" t="s">
        <v>58</v>
      </c>
      <c r="M583" s="8" t="s">
        <v>35</v>
      </c>
      <c r="N583" s="11">
        <v>44875.0</v>
      </c>
      <c r="O583" s="11">
        <v>44909.0</v>
      </c>
      <c r="P583" s="11">
        <v>44951.0</v>
      </c>
      <c r="Q583" s="11">
        <v>44911.0</v>
      </c>
      <c r="R583" s="11">
        <v>44988.0</v>
      </c>
      <c r="S583" s="12"/>
      <c r="T583" s="8"/>
      <c r="U583" s="8" t="s">
        <v>130</v>
      </c>
      <c r="V583" s="13" t="s">
        <v>1766</v>
      </c>
      <c r="W583" s="13" t="s">
        <v>3302</v>
      </c>
      <c r="X583" s="12"/>
      <c r="Y583" s="14"/>
      <c r="Z583" s="14"/>
    </row>
    <row r="584">
      <c r="A584" s="8" t="s">
        <v>3303</v>
      </c>
      <c r="B584" s="8" t="s">
        <v>3304</v>
      </c>
      <c r="C584" s="8" t="s">
        <v>25</v>
      </c>
      <c r="D584" s="8" t="s">
        <v>26</v>
      </c>
      <c r="E584" s="8" t="s">
        <v>3305</v>
      </c>
      <c r="F584" s="8">
        <v>5.423700387E9</v>
      </c>
      <c r="G584" s="8" t="s">
        <v>31</v>
      </c>
      <c r="H584" s="8" t="s">
        <v>32</v>
      </c>
      <c r="I584" s="8" t="s">
        <v>284</v>
      </c>
      <c r="J584" s="8" t="s">
        <v>2065</v>
      </c>
      <c r="K584" s="10" t="s">
        <v>3306</v>
      </c>
      <c r="L584" s="8" t="s">
        <v>58</v>
      </c>
      <c r="M584" s="8" t="s">
        <v>35</v>
      </c>
      <c r="N584" s="11">
        <v>44875.0</v>
      </c>
      <c r="O584" s="11">
        <v>44958.0</v>
      </c>
      <c r="P584" s="11">
        <v>45000.0</v>
      </c>
      <c r="Q584" s="11">
        <v>44958.0</v>
      </c>
      <c r="R584" s="11">
        <v>45000.0</v>
      </c>
      <c r="S584" s="12"/>
      <c r="T584" s="8"/>
      <c r="U584" s="8" t="s">
        <v>371</v>
      </c>
      <c r="V584" s="13" t="s">
        <v>537</v>
      </c>
      <c r="W584" s="13" t="s">
        <v>3307</v>
      </c>
      <c r="X584" s="12"/>
      <c r="Y584" s="14"/>
      <c r="Z584" s="14"/>
    </row>
    <row r="585">
      <c r="A585" s="8" t="s">
        <v>3308</v>
      </c>
      <c r="B585" s="8" t="s">
        <v>3309</v>
      </c>
      <c r="C585" s="8" t="s">
        <v>179</v>
      </c>
      <c r="D585" s="8" t="s">
        <v>26</v>
      </c>
      <c r="E585" s="8" t="s">
        <v>3310</v>
      </c>
      <c r="F585" s="8">
        <v>6.36155664E8</v>
      </c>
      <c r="G585" s="8" t="s">
        <v>84</v>
      </c>
      <c r="H585" s="8" t="s">
        <v>1280</v>
      </c>
      <c r="I585" s="8" t="s">
        <v>31</v>
      </c>
      <c r="J585" s="8" t="s">
        <v>32</v>
      </c>
      <c r="K585" s="10" t="s">
        <v>286</v>
      </c>
      <c r="L585" s="8" t="s">
        <v>58</v>
      </c>
      <c r="M585" s="8" t="s">
        <v>35</v>
      </c>
      <c r="N585" s="11">
        <v>44875.0</v>
      </c>
      <c r="O585" s="11">
        <v>44990.0</v>
      </c>
      <c r="P585" s="11">
        <v>45032.0</v>
      </c>
      <c r="Q585" s="11"/>
      <c r="R585" s="11"/>
      <c r="S585" s="12"/>
      <c r="T585" s="8"/>
      <c r="U585" s="8" t="s">
        <v>59</v>
      </c>
      <c r="V585" s="13" t="s">
        <v>2294</v>
      </c>
      <c r="W585" s="13" t="s">
        <v>3311</v>
      </c>
      <c r="X585" s="12"/>
      <c r="Y585" s="14"/>
      <c r="Z585" s="14"/>
    </row>
    <row r="586">
      <c r="A586" s="8" t="s">
        <v>3312</v>
      </c>
      <c r="B586" s="8" t="s">
        <v>3313</v>
      </c>
      <c r="C586" s="8" t="s">
        <v>25</v>
      </c>
      <c r="D586" s="8" t="s">
        <v>26</v>
      </c>
      <c r="E586" s="8" t="s">
        <v>3314</v>
      </c>
      <c r="F586" s="8"/>
      <c r="G586" s="8" t="s">
        <v>31</v>
      </c>
      <c r="H586" s="8" t="s">
        <v>77</v>
      </c>
      <c r="I586" s="8" t="s">
        <v>29</v>
      </c>
      <c r="J586" s="8" t="s">
        <v>679</v>
      </c>
      <c r="K586" s="10" t="s">
        <v>3315</v>
      </c>
      <c r="L586" s="8" t="s">
        <v>58</v>
      </c>
      <c r="M586" s="8" t="s">
        <v>35</v>
      </c>
      <c r="N586" s="11">
        <v>44875.0</v>
      </c>
      <c r="O586" s="11">
        <v>44944.0</v>
      </c>
      <c r="P586" s="11">
        <v>44986.0</v>
      </c>
      <c r="Q586" s="11">
        <v>44943.0</v>
      </c>
      <c r="R586" s="11">
        <v>44986.0</v>
      </c>
      <c r="S586" s="12"/>
      <c r="T586" s="8"/>
      <c r="U586" s="8" t="s">
        <v>59</v>
      </c>
      <c r="V586" s="13" t="s">
        <v>38</v>
      </c>
      <c r="W586" s="13" t="s">
        <v>3316</v>
      </c>
      <c r="X586" s="12"/>
      <c r="Y586" s="14"/>
      <c r="Z586" s="14"/>
    </row>
    <row r="587">
      <c r="A587" s="8" t="s">
        <v>3317</v>
      </c>
      <c r="B587" s="8" t="s">
        <v>3318</v>
      </c>
      <c r="C587" s="8" t="s">
        <v>25</v>
      </c>
      <c r="D587" s="8" t="s">
        <v>26</v>
      </c>
      <c r="E587" s="8" t="s">
        <v>3319</v>
      </c>
      <c r="F587" s="8"/>
      <c r="G587" s="8" t="s">
        <v>981</v>
      </c>
      <c r="H587" s="8" t="s">
        <v>3143</v>
      </c>
      <c r="I587" s="8" t="s">
        <v>31</v>
      </c>
      <c r="J587" s="8" t="s">
        <v>292</v>
      </c>
      <c r="K587" s="10" t="s">
        <v>3320</v>
      </c>
      <c r="L587" s="8" t="s">
        <v>58</v>
      </c>
      <c r="M587" s="8" t="s">
        <v>35</v>
      </c>
      <c r="N587" s="11">
        <v>44875.0</v>
      </c>
      <c r="O587" s="11">
        <v>44900.0</v>
      </c>
      <c r="P587" s="11">
        <v>44942.0</v>
      </c>
      <c r="Q587" s="11">
        <v>44901.0</v>
      </c>
      <c r="R587" s="11">
        <v>44942.0</v>
      </c>
      <c r="S587" s="12"/>
      <c r="T587" s="8"/>
      <c r="U587" s="8" t="s">
        <v>88</v>
      </c>
      <c r="V587" s="13" t="s">
        <v>38</v>
      </c>
      <c r="W587" s="13" t="s">
        <v>3321</v>
      </c>
      <c r="X587" s="12"/>
      <c r="Y587" s="14"/>
      <c r="Z587" s="14"/>
    </row>
    <row r="588">
      <c r="A588" s="8" t="s">
        <v>3322</v>
      </c>
      <c r="B588" s="8" t="s">
        <v>3323</v>
      </c>
      <c r="C588" s="8" t="s">
        <v>25</v>
      </c>
      <c r="D588" s="8" t="s">
        <v>26</v>
      </c>
      <c r="E588" s="8" t="s">
        <v>3324</v>
      </c>
      <c r="F588" s="8"/>
      <c r="G588" s="8" t="s">
        <v>981</v>
      </c>
      <c r="H588" s="8" t="s">
        <v>3143</v>
      </c>
      <c r="I588" s="8" t="s">
        <v>31</v>
      </c>
      <c r="J588" s="8" t="s">
        <v>292</v>
      </c>
      <c r="K588" s="10" t="s">
        <v>3320</v>
      </c>
      <c r="L588" s="8" t="s">
        <v>58</v>
      </c>
      <c r="M588" s="8" t="s">
        <v>35</v>
      </c>
      <c r="N588" s="11">
        <v>44875.0</v>
      </c>
      <c r="O588" s="11">
        <v>44900.0</v>
      </c>
      <c r="P588" s="11">
        <v>44942.0</v>
      </c>
      <c r="Q588" s="11">
        <v>44901.0</v>
      </c>
      <c r="R588" s="11">
        <v>44942.0</v>
      </c>
      <c r="S588" s="12"/>
      <c r="T588" s="8"/>
      <c r="U588" s="8" t="s">
        <v>88</v>
      </c>
      <c r="V588" s="13" t="s">
        <v>38</v>
      </c>
      <c r="W588" s="13" t="s">
        <v>3325</v>
      </c>
      <c r="X588" s="12"/>
      <c r="Y588" s="14"/>
      <c r="Z588" s="14"/>
    </row>
    <row r="589">
      <c r="A589" s="8" t="s">
        <v>3326</v>
      </c>
      <c r="B589" s="8" t="s">
        <v>3327</v>
      </c>
      <c r="C589" s="8" t="s">
        <v>64</v>
      </c>
      <c r="D589" s="8" t="s">
        <v>26</v>
      </c>
      <c r="E589" s="8" t="s">
        <v>3328</v>
      </c>
      <c r="F589" s="8">
        <v>5.303421222E9</v>
      </c>
      <c r="G589" s="8" t="s">
        <v>31</v>
      </c>
      <c r="H589" s="8" t="s">
        <v>86</v>
      </c>
      <c r="I589" s="8" t="s">
        <v>127</v>
      </c>
      <c r="J589" s="8" t="s">
        <v>1628</v>
      </c>
      <c r="K589" s="10" t="s">
        <v>1629</v>
      </c>
      <c r="L589" s="8" t="s">
        <v>58</v>
      </c>
      <c r="M589" s="8" t="s">
        <v>35</v>
      </c>
      <c r="N589" s="11">
        <v>44875.0</v>
      </c>
      <c r="O589" s="11">
        <v>44935.0</v>
      </c>
      <c r="P589" s="11">
        <v>44977.0</v>
      </c>
      <c r="Q589" s="11">
        <v>44937.0</v>
      </c>
      <c r="R589" s="11">
        <v>44977.0</v>
      </c>
      <c r="S589" s="12"/>
      <c r="T589" s="8"/>
      <c r="U589" s="8" t="s">
        <v>88</v>
      </c>
      <c r="V589" s="13" t="s">
        <v>175</v>
      </c>
      <c r="W589" s="13" t="s">
        <v>3329</v>
      </c>
      <c r="X589" s="12"/>
      <c r="Y589" s="14"/>
      <c r="Z589" s="14"/>
    </row>
    <row r="590">
      <c r="A590" s="8" t="s">
        <v>3330</v>
      </c>
      <c r="B590" s="8" t="s">
        <v>3331</v>
      </c>
      <c r="C590" s="8" t="s">
        <v>179</v>
      </c>
      <c r="D590" s="8" t="s">
        <v>26</v>
      </c>
      <c r="E590" s="8" t="s">
        <v>3332</v>
      </c>
      <c r="F590" s="8"/>
      <c r="G590" s="8" t="s">
        <v>84</v>
      </c>
      <c r="H590" s="8" t="s">
        <v>3160</v>
      </c>
      <c r="I590" s="8" t="s">
        <v>31</v>
      </c>
      <c r="J590" s="8" t="s">
        <v>56</v>
      </c>
      <c r="K590" s="10" t="s">
        <v>3301</v>
      </c>
      <c r="L590" s="8" t="s">
        <v>58</v>
      </c>
      <c r="M590" s="8" t="s">
        <v>35</v>
      </c>
      <c r="N590" s="11">
        <v>44876.0</v>
      </c>
      <c r="O590" s="11">
        <v>44909.0</v>
      </c>
      <c r="P590" s="11">
        <v>44951.0</v>
      </c>
      <c r="Q590" s="11"/>
      <c r="R590" s="11"/>
      <c r="S590" s="12"/>
      <c r="T590" s="8"/>
      <c r="U590" s="8" t="s">
        <v>130</v>
      </c>
      <c r="V590" s="13" t="s">
        <v>38</v>
      </c>
      <c r="W590" s="13" t="s">
        <v>3333</v>
      </c>
      <c r="X590" s="12"/>
      <c r="Y590" s="14"/>
      <c r="Z590" s="14"/>
    </row>
    <row r="591">
      <c r="A591" s="8" t="s">
        <v>3334</v>
      </c>
      <c r="B591" s="8" t="s">
        <v>3335</v>
      </c>
      <c r="C591" s="8" t="s">
        <v>179</v>
      </c>
      <c r="D591" s="8" t="s">
        <v>26</v>
      </c>
      <c r="E591" s="8" t="s">
        <v>3336</v>
      </c>
      <c r="F591" s="8">
        <v>5.5889791E7</v>
      </c>
      <c r="G591" s="8" t="s">
        <v>54</v>
      </c>
      <c r="H591" s="8" t="s">
        <v>377</v>
      </c>
      <c r="I591" s="8" t="s">
        <v>31</v>
      </c>
      <c r="J591" s="8" t="s">
        <v>220</v>
      </c>
      <c r="K591" s="10" t="s">
        <v>1772</v>
      </c>
      <c r="L591" s="8" t="s">
        <v>58</v>
      </c>
      <c r="M591" s="8" t="s">
        <v>35</v>
      </c>
      <c r="N591" s="11">
        <v>44876.0</v>
      </c>
      <c r="O591" s="11">
        <v>45117.0</v>
      </c>
      <c r="P591" s="11">
        <v>45159.0</v>
      </c>
      <c r="Q591" s="11"/>
      <c r="R591" s="11"/>
      <c r="S591" s="12"/>
      <c r="T591" s="8"/>
      <c r="U591" s="8" t="s">
        <v>59</v>
      </c>
      <c r="V591" s="13" t="s">
        <v>2243</v>
      </c>
      <c r="W591" s="13" t="s">
        <v>3337</v>
      </c>
      <c r="X591" s="12"/>
      <c r="Y591" s="14"/>
      <c r="Z591" s="14"/>
    </row>
    <row r="592">
      <c r="A592" s="8" t="s">
        <v>3338</v>
      </c>
      <c r="B592" s="8" t="s">
        <v>3339</v>
      </c>
      <c r="C592" s="8" t="s">
        <v>179</v>
      </c>
      <c r="D592" s="8" t="s">
        <v>26</v>
      </c>
      <c r="E592" s="8" t="s">
        <v>3340</v>
      </c>
      <c r="F592" s="8">
        <v>5.531609839E9</v>
      </c>
      <c r="G592" s="8" t="s">
        <v>31</v>
      </c>
      <c r="H592" s="8" t="s">
        <v>32</v>
      </c>
      <c r="I592" s="8" t="s">
        <v>44</v>
      </c>
      <c r="J592" s="8" t="s">
        <v>741</v>
      </c>
      <c r="K592" s="10" t="s">
        <v>3341</v>
      </c>
      <c r="L592" s="8" t="s">
        <v>58</v>
      </c>
      <c r="M592" s="8" t="s">
        <v>35</v>
      </c>
      <c r="N592" s="11">
        <v>44876.0</v>
      </c>
      <c r="O592" s="11">
        <v>45108.0</v>
      </c>
      <c r="P592" s="11">
        <v>45150.0</v>
      </c>
      <c r="Q592" s="11"/>
      <c r="R592" s="11"/>
      <c r="S592" s="12"/>
      <c r="T592" s="8"/>
      <c r="U592" s="8" t="s">
        <v>3111</v>
      </c>
      <c r="V592" s="13" t="s">
        <v>2491</v>
      </c>
      <c r="W592" s="13" t="s">
        <v>3342</v>
      </c>
      <c r="X592" s="12"/>
      <c r="Y592" s="14"/>
      <c r="Z592" s="14"/>
    </row>
    <row r="593">
      <c r="A593" s="8" t="s">
        <v>3343</v>
      </c>
      <c r="B593" s="8" t="s">
        <v>3344</v>
      </c>
      <c r="C593" s="8" t="s">
        <v>179</v>
      </c>
      <c r="D593" s="8" t="s">
        <v>26</v>
      </c>
      <c r="E593" s="8" t="s">
        <v>3345</v>
      </c>
      <c r="F593" s="8">
        <v>5.435827901E9</v>
      </c>
      <c r="G593" s="8" t="s">
        <v>31</v>
      </c>
      <c r="H593" s="8" t="s">
        <v>86</v>
      </c>
      <c r="I593" s="8" t="s">
        <v>399</v>
      </c>
      <c r="J593" s="8" t="s">
        <v>400</v>
      </c>
      <c r="K593" s="10" t="s">
        <v>401</v>
      </c>
      <c r="L593" s="8" t="s">
        <v>58</v>
      </c>
      <c r="M593" s="8" t="s">
        <v>35</v>
      </c>
      <c r="N593" s="11">
        <v>44876.0</v>
      </c>
      <c r="O593" s="11">
        <v>45139.0</v>
      </c>
      <c r="P593" s="11">
        <v>45181.0</v>
      </c>
      <c r="Q593" s="11"/>
      <c r="R593" s="11"/>
      <c r="S593" s="12"/>
      <c r="T593" s="8"/>
      <c r="U593" s="8" t="s">
        <v>402</v>
      </c>
      <c r="V593" s="13" t="s">
        <v>175</v>
      </c>
      <c r="W593" s="13" t="s">
        <v>3346</v>
      </c>
      <c r="X593" s="12"/>
      <c r="Y593" s="14"/>
      <c r="Z593" s="14"/>
    </row>
    <row r="594">
      <c r="A594" s="8" t="s">
        <v>3347</v>
      </c>
      <c r="B594" s="8" t="s">
        <v>3348</v>
      </c>
      <c r="C594" s="8" t="s">
        <v>64</v>
      </c>
      <c r="D594" s="8" t="s">
        <v>26</v>
      </c>
      <c r="E594" s="8" t="s">
        <v>3349</v>
      </c>
      <c r="F594" s="8"/>
      <c r="G594" s="8" t="s">
        <v>31</v>
      </c>
      <c r="H594" s="8" t="s">
        <v>56</v>
      </c>
      <c r="I594" s="8" t="s">
        <v>127</v>
      </c>
      <c r="J594" s="8" t="s">
        <v>159</v>
      </c>
      <c r="K594" s="10" t="s">
        <v>3350</v>
      </c>
      <c r="L594" s="8" t="s">
        <v>58</v>
      </c>
      <c r="M594" s="8" t="s">
        <v>35</v>
      </c>
      <c r="N594" s="11">
        <v>44876.0</v>
      </c>
      <c r="O594" s="11">
        <v>44949.0</v>
      </c>
      <c r="P594" s="11">
        <v>44991.0</v>
      </c>
      <c r="Q594" s="11">
        <v>44956.0</v>
      </c>
      <c r="R594" s="11">
        <v>44999.0</v>
      </c>
      <c r="S594" s="12"/>
      <c r="T594" s="8"/>
      <c r="U594" s="8" t="s">
        <v>1956</v>
      </c>
      <c r="V594" s="13" t="s">
        <v>38</v>
      </c>
      <c r="W594" s="13" t="s">
        <v>3351</v>
      </c>
      <c r="X594" s="12"/>
      <c r="Y594" s="14"/>
      <c r="Z594" s="14"/>
    </row>
    <row r="595">
      <c r="A595" s="8" t="s">
        <v>3352</v>
      </c>
      <c r="B595" s="8" t="s">
        <v>3353</v>
      </c>
      <c r="C595" s="8" t="s">
        <v>64</v>
      </c>
      <c r="D595" s="8" t="s">
        <v>26</v>
      </c>
      <c r="E595" s="8" t="s">
        <v>3354</v>
      </c>
      <c r="F595" s="8">
        <v>5.308616071E9</v>
      </c>
      <c r="G595" s="8" t="s">
        <v>31</v>
      </c>
      <c r="H595" s="8" t="s">
        <v>56</v>
      </c>
      <c r="I595" s="8" t="s">
        <v>127</v>
      </c>
      <c r="J595" s="8" t="s">
        <v>159</v>
      </c>
      <c r="K595" s="10" t="s">
        <v>3350</v>
      </c>
      <c r="L595" s="8" t="s">
        <v>58</v>
      </c>
      <c r="M595" s="8" t="s">
        <v>35</v>
      </c>
      <c r="N595" s="11">
        <v>44876.0</v>
      </c>
      <c r="O595" s="11">
        <v>44949.0</v>
      </c>
      <c r="P595" s="11">
        <v>44991.0</v>
      </c>
      <c r="Q595" s="11">
        <v>44956.0</v>
      </c>
      <c r="R595" s="11">
        <v>44999.0</v>
      </c>
      <c r="S595" s="12"/>
      <c r="T595" s="8"/>
      <c r="U595" s="8" t="s">
        <v>1956</v>
      </c>
      <c r="V595" s="13" t="s">
        <v>56</v>
      </c>
      <c r="W595" s="13" t="s">
        <v>3355</v>
      </c>
      <c r="X595" s="12"/>
      <c r="Y595" s="14"/>
      <c r="Z595" s="14"/>
    </row>
    <row r="596">
      <c r="A596" s="8" t="s">
        <v>3356</v>
      </c>
      <c r="B596" s="8" t="s">
        <v>3357</v>
      </c>
      <c r="C596" s="8" t="s">
        <v>251</v>
      </c>
      <c r="D596" s="8" t="s">
        <v>26</v>
      </c>
      <c r="E596" s="8" t="s">
        <v>3358</v>
      </c>
      <c r="F596" s="8">
        <v>3.914096105E9</v>
      </c>
      <c r="G596" s="8" t="s">
        <v>29</v>
      </c>
      <c r="H596" s="8" t="s">
        <v>1107</v>
      </c>
      <c r="I596" s="8" t="s">
        <v>31</v>
      </c>
      <c r="J596" s="8" t="s">
        <v>43</v>
      </c>
      <c r="K596" s="10" t="s">
        <v>837</v>
      </c>
      <c r="L596" s="8" t="s">
        <v>58</v>
      </c>
      <c r="M596" s="8" t="s">
        <v>35</v>
      </c>
      <c r="N596" s="11">
        <v>44876.0</v>
      </c>
      <c r="O596" s="11">
        <v>44963.0</v>
      </c>
      <c r="P596" s="11">
        <v>45009.0</v>
      </c>
      <c r="Q596" s="11"/>
      <c r="R596" s="11"/>
      <c r="S596" s="12"/>
      <c r="T596" s="8"/>
      <c r="U596" s="8" t="s">
        <v>130</v>
      </c>
      <c r="V596" s="13" t="s">
        <v>38</v>
      </c>
      <c r="W596" s="13" t="s">
        <v>3359</v>
      </c>
      <c r="X596" s="12"/>
      <c r="Y596" s="14"/>
      <c r="Z596" s="14"/>
    </row>
    <row r="597">
      <c r="A597" s="8" t="s">
        <v>3360</v>
      </c>
      <c r="B597" s="8" t="s">
        <v>1862</v>
      </c>
      <c r="C597" s="8" t="s">
        <v>25</v>
      </c>
      <c r="D597" s="8" t="s">
        <v>26</v>
      </c>
      <c r="E597" s="8" t="s">
        <v>1863</v>
      </c>
      <c r="F597" s="8"/>
      <c r="G597" s="8" t="s">
        <v>44</v>
      </c>
      <c r="H597" s="8" t="s">
        <v>990</v>
      </c>
      <c r="I597" s="8" t="s">
        <v>31</v>
      </c>
      <c r="J597" s="8" t="s">
        <v>111</v>
      </c>
      <c r="K597" s="10" t="s">
        <v>468</v>
      </c>
      <c r="L597" s="8" t="s">
        <v>58</v>
      </c>
      <c r="M597" s="8" t="s">
        <v>35</v>
      </c>
      <c r="N597" s="11">
        <v>44877.0</v>
      </c>
      <c r="O597" s="11">
        <v>44941.0</v>
      </c>
      <c r="P597" s="11">
        <v>44983.0</v>
      </c>
      <c r="Q597" s="11">
        <v>44969.0</v>
      </c>
      <c r="R597" s="11">
        <v>45009.0</v>
      </c>
      <c r="S597" s="12"/>
      <c r="T597" s="8"/>
      <c r="U597" s="8" t="s">
        <v>59</v>
      </c>
      <c r="V597" s="13" t="s">
        <v>38</v>
      </c>
      <c r="W597" s="13" t="s">
        <v>1864</v>
      </c>
      <c r="X597" s="12"/>
      <c r="Y597" s="14"/>
      <c r="Z597" s="14"/>
    </row>
    <row r="598">
      <c r="A598" s="8" t="s">
        <v>3361</v>
      </c>
      <c r="B598" s="8" t="s">
        <v>3362</v>
      </c>
      <c r="C598" s="8" t="s">
        <v>64</v>
      </c>
      <c r="D598" s="8" t="s">
        <v>26</v>
      </c>
      <c r="E598" s="8" t="s">
        <v>3363</v>
      </c>
      <c r="F598" s="8">
        <v>5.3701614E7</v>
      </c>
      <c r="G598" s="8" t="s">
        <v>54</v>
      </c>
      <c r="H598" s="8" t="s">
        <v>377</v>
      </c>
      <c r="I598" s="8" t="s">
        <v>31</v>
      </c>
      <c r="J598" s="8" t="s">
        <v>220</v>
      </c>
      <c r="K598" s="10" t="s">
        <v>3364</v>
      </c>
      <c r="L598" s="8" t="s">
        <v>47</v>
      </c>
      <c r="M598" s="8" t="s">
        <v>70</v>
      </c>
      <c r="N598" s="11">
        <v>44877.0</v>
      </c>
      <c r="O598" s="11">
        <v>44896.0</v>
      </c>
      <c r="P598" s="11">
        <v>45261.0</v>
      </c>
      <c r="Q598" s="11">
        <v>44923.0</v>
      </c>
      <c r="R598" s="11">
        <v>45288.0</v>
      </c>
      <c r="S598" s="12"/>
      <c r="T598" s="8"/>
      <c r="U598" s="8" t="s">
        <v>3365</v>
      </c>
      <c r="V598" s="13" t="s">
        <v>1604</v>
      </c>
      <c r="W598" s="13" t="s">
        <v>3366</v>
      </c>
      <c r="X598" s="12"/>
      <c r="Y598" s="14"/>
      <c r="Z598" s="14"/>
    </row>
    <row r="599">
      <c r="A599" s="8" t="s">
        <v>3367</v>
      </c>
      <c r="B599" s="8" t="s">
        <v>3368</v>
      </c>
      <c r="C599" s="8" t="s">
        <v>25</v>
      </c>
      <c r="D599" s="8" t="s">
        <v>26</v>
      </c>
      <c r="E599" s="8" t="s">
        <v>3369</v>
      </c>
      <c r="F599" s="8"/>
      <c r="G599" s="8" t="s">
        <v>31</v>
      </c>
      <c r="H599" s="8" t="s">
        <v>56</v>
      </c>
      <c r="I599" s="8" t="s">
        <v>284</v>
      </c>
      <c r="J599" s="8" t="s">
        <v>589</v>
      </c>
      <c r="K599" s="10" t="s">
        <v>3370</v>
      </c>
      <c r="L599" s="8" t="s">
        <v>58</v>
      </c>
      <c r="M599" s="8" t="s">
        <v>35</v>
      </c>
      <c r="N599" s="11">
        <v>44877.0</v>
      </c>
      <c r="O599" s="11">
        <v>45122.0</v>
      </c>
      <c r="P599" s="11">
        <v>45164.0</v>
      </c>
      <c r="Q599" s="11">
        <v>45122.0</v>
      </c>
      <c r="R599" s="11">
        <v>45164.0</v>
      </c>
      <c r="S599" s="12"/>
      <c r="T599" s="8"/>
      <c r="U599" s="8" t="s">
        <v>632</v>
      </c>
      <c r="V599" s="13" t="s">
        <v>38</v>
      </c>
      <c r="W599" s="13" t="s">
        <v>3371</v>
      </c>
      <c r="X599" s="12"/>
      <c r="Y599" s="14"/>
      <c r="Z599" s="14"/>
    </row>
    <row r="600">
      <c r="A600" s="8" t="s">
        <v>3372</v>
      </c>
      <c r="B600" s="8" t="s">
        <v>3373</v>
      </c>
      <c r="C600" s="8" t="s">
        <v>179</v>
      </c>
      <c r="D600" s="8" t="s">
        <v>26</v>
      </c>
      <c r="E600" s="8" t="s">
        <v>3374</v>
      </c>
      <c r="F600" s="8">
        <v>9.6014188E7</v>
      </c>
      <c r="G600" s="8" t="s">
        <v>54</v>
      </c>
      <c r="H600" s="8" t="s">
        <v>135</v>
      </c>
      <c r="I600" s="8" t="s">
        <v>31</v>
      </c>
      <c r="J600" s="8" t="s">
        <v>220</v>
      </c>
      <c r="K600" s="10" t="s">
        <v>1772</v>
      </c>
      <c r="L600" s="8" t="s">
        <v>58</v>
      </c>
      <c r="M600" s="8" t="s">
        <v>35</v>
      </c>
      <c r="N600" s="11">
        <v>44877.0</v>
      </c>
      <c r="O600" s="11">
        <v>45145.0</v>
      </c>
      <c r="P600" s="11">
        <v>45187.0</v>
      </c>
      <c r="Q600" s="11"/>
      <c r="R600" s="11"/>
      <c r="S600" s="12"/>
      <c r="T600" s="8"/>
      <c r="U600" s="8" t="s">
        <v>59</v>
      </c>
      <c r="V600" s="13" t="s">
        <v>190</v>
      </c>
      <c r="W600" s="13" t="s">
        <v>3375</v>
      </c>
      <c r="X600" s="12"/>
      <c r="Y600" s="14"/>
      <c r="Z600" s="14"/>
    </row>
    <row r="601">
      <c r="A601" s="8" t="s">
        <v>3376</v>
      </c>
      <c r="B601" s="8" t="s">
        <v>3377</v>
      </c>
      <c r="C601" s="8" t="s">
        <v>64</v>
      </c>
      <c r="D601" s="8" t="s">
        <v>26</v>
      </c>
      <c r="E601" s="8" t="s">
        <v>3378</v>
      </c>
      <c r="F601" s="8"/>
      <c r="G601" s="8" t="s">
        <v>29</v>
      </c>
      <c r="H601" s="8" t="s">
        <v>1107</v>
      </c>
      <c r="I601" s="8" t="s">
        <v>31</v>
      </c>
      <c r="J601" s="8" t="s">
        <v>43</v>
      </c>
      <c r="K601" s="10" t="s">
        <v>837</v>
      </c>
      <c r="L601" s="8" t="s">
        <v>58</v>
      </c>
      <c r="M601" s="8" t="s">
        <v>35</v>
      </c>
      <c r="N601" s="11">
        <v>44877.0</v>
      </c>
      <c r="O601" s="11">
        <v>45061.0</v>
      </c>
      <c r="P601" s="11">
        <v>45107.0</v>
      </c>
      <c r="Q601" s="11">
        <v>45063.0</v>
      </c>
      <c r="R601" s="11">
        <v>45107.0</v>
      </c>
      <c r="S601" s="12"/>
      <c r="T601" s="8"/>
      <c r="U601" s="8" t="s">
        <v>130</v>
      </c>
      <c r="V601" s="13" t="s">
        <v>38</v>
      </c>
      <c r="W601" s="13" t="s">
        <v>3379</v>
      </c>
      <c r="X601" s="12"/>
      <c r="Y601" s="14"/>
      <c r="Z601" s="14"/>
    </row>
    <row r="602">
      <c r="A602" s="8" t="s">
        <v>3380</v>
      </c>
      <c r="B602" s="8" t="s">
        <v>3381</v>
      </c>
      <c r="C602" s="8" t="s">
        <v>25</v>
      </c>
      <c r="D602" s="8" t="s">
        <v>26</v>
      </c>
      <c r="E602" s="8" t="s">
        <v>3382</v>
      </c>
      <c r="F602" s="8">
        <v>2.91423E7</v>
      </c>
      <c r="G602" s="8" t="s">
        <v>54</v>
      </c>
      <c r="H602" s="8" t="s">
        <v>595</v>
      </c>
      <c r="I602" s="8" t="s">
        <v>31</v>
      </c>
      <c r="J602" s="8" t="s">
        <v>542</v>
      </c>
      <c r="K602" s="10" t="s">
        <v>3383</v>
      </c>
      <c r="L602" s="8" t="s">
        <v>58</v>
      </c>
      <c r="M602" s="8" t="s">
        <v>35</v>
      </c>
      <c r="N602" s="11">
        <v>44878.0</v>
      </c>
      <c r="O602" s="11">
        <v>44928.0</v>
      </c>
      <c r="P602" s="11">
        <v>44970.0</v>
      </c>
      <c r="Q602" s="11">
        <v>44936.0</v>
      </c>
      <c r="R602" s="11">
        <v>44977.0</v>
      </c>
      <c r="S602" s="12"/>
      <c r="T602" s="8"/>
      <c r="U602" s="8" t="s">
        <v>59</v>
      </c>
      <c r="V602" s="13" t="s">
        <v>2961</v>
      </c>
      <c r="W602" s="13" t="s">
        <v>3384</v>
      </c>
      <c r="X602" s="12"/>
      <c r="Y602" s="14"/>
      <c r="Z602" s="14"/>
    </row>
    <row r="603">
      <c r="A603" s="8" t="s">
        <v>3385</v>
      </c>
      <c r="B603" s="8" t="s">
        <v>3386</v>
      </c>
      <c r="C603" s="8" t="s">
        <v>25</v>
      </c>
      <c r="D603" s="8" t="s">
        <v>26</v>
      </c>
      <c r="E603" s="8" t="s">
        <v>3387</v>
      </c>
      <c r="F603" s="8"/>
      <c r="G603" s="8" t="s">
        <v>31</v>
      </c>
      <c r="H603" s="8" t="s">
        <v>77</v>
      </c>
      <c r="I603" s="8" t="s">
        <v>127</v>
      </c>
      <c r="J603" s="8" t="s">
        <v>128</v>
      </c>
      <c r="K603" s="10" t="s">
        <v>3388</v>
      </c>
      <c r="L603" s="8" t="s">
        <v>58</v>
      </c>
      <c r="M603" s="8" t="s">
        <v>35</v>
      </c>
      <c r="N603" s="11">
        <v>44878.0</v>
      </c>
      <c r="O603" s="11">
        <v>44949.0</v>
      </c>
      <c r="P603" s="11">
        <v>44991.0</v>
      </c>
      <c r="Q603" s="11">
        <v>44949.0</v>
      </c>
      <c r="R603" s="11">
        <v>44991.0</v>
      </c>
      <c r="S603" s="12"/>
      <c r="T603" s="8"/>
      <c r="U603" s="8" t="s">
        <v>88</v>
      </c>
      <c r="V603" s="13" t="s">
        <v>38</v>
      </c>
      <c r="W603" s="13" t="s">
        <v>3389</v>
      </c>
      <c r="X603" s="12"/>
      <c r="Y603" s="14"/>
      <c r="Z603" s="14"/>
    </row>
    <row r="604">
      <c r="A604" s="8" t="s">
        <v>3390</v>
      </c>
      <c r="B604" s="8" t="s">
        <v>3391</v>
      </c>
      <c r="C604" s="8" t="s">
        <v>25</v>
      </c>
      <c r="D604" s="8" t="s">
        <v>26</v>
      </c>
      <c r="E604" s="8" t="s">
        <v>3392</v>
      </c>
      <c r="F604" s="8">
        <v>5.34429167E8</v>
      </c>
      <c r="G604" s="8" t="s">
        <v>31</v>
      </c>
      <c r="H604" s="8" t="s">
        <v>43</v>
      </c>
      <c r="I604" s="8" t="s">
        <v>284</v>
      </c>
      <c r="J604" s="8" t="s">
        <v>793</v>
      </c>
      <c r="K604" s="10" t="s">
        <v>2486</v>
      </c>
      <c r="L604" s="8" t="s">
        <v>58</v>
      </c>
      <c r="M604" s="8" t="s">
        <v>35</v>
      </c>
      <c r="N604" s="11">
        <v>44878.0</v>
      </c>
      <c r="O604" s="11">
        <v>44958.0</v>
      </c>
      <c r="P604" s="11">
        <v>45000.0</v>
      </c>
      <c r="Q604" s="11">
        <v>44961.0</v>
      </c>
      <c r="R604" s="11">
        <v>45002.0</v>
      </c>
      <c r="S604" s="12"/>
      <c r="T604" s="8"/>
      <c r="U604" s="8" t="s">
        <v>1038</v>
      </c>
      <c r="V604" s="13" t="s">
        <v>43</v>
      </c>
      <c r="W604" s="13" t="s">
        <v>3393</v>
      </c>
      <c r="X604" s="12"/>
      <c r="Y604" s="14"/>
      <c r="Z604" s="14"/>
    </row>
    <row r="605">
      <c r="A605" s="8" t="s">
        <v>3394</v>
      </c>
      <c r="B605" s="8" t="s">
        <v>3395</v>
      </c>
      <c r="C605" s="8" t="s">
        <v>179</v>
      </c>
      <c r="D605" s="8" t="s">
        <v>26</v>
      </c>
      <c r="E605" s="8" t="s">
        <v>3396</v>
      </c>
      <c r="F605" s="8">
        <v>9.325638651E9</v>
      </c>
      <c r="G605" s="8" t="s">
        <v>44</v>
      </c>
      <c r="H605" s="8" t="s">
        <v>741</v>
      </c>
      <c r="I605" s="8" t="s">
        <v>31</v>
      </c>
      <c r="J605" s="8" t="s">
        <v>56</v>
      </c>
      <c r="K605" s="10" t="s">
        <v>1765</v>
      </c>
      <c r="L605" s="8" t="s">
        <v>58</v>
      </c>
      <c r="M605" s="8" t="s">
        <v>35</v>
      </c>
      <c r="N605" s="11">
        <v>44878.0</v>
      </c>
      <c r="O605" s="11">
        <v>44938.0</v>
      </c>
      <c r="P605" s="11">
        <v>44980.0</v>
      </c>
      <c r="Q605" s="11"/>
      <c r="R605" s="11"/>
      <c r="S605" s="12"/>
      <c r="T605" s="8"/>
      <c r="U605" s="8" t="s">
        <v>185</v>
      </c>
      <c r="V605" s="13" t="s">
        <v>3397</v>
      </c>
      <c r="W605" s="13" t="s">
        <v>3398</v>
      </c>
      <c r="X605" s="12"/>
      <c r="Y605" s="14"/>
      <c r="Z605" s="14"/>
    </row>
    <row r="606">
      <c r="A606" s="8" t="s">
        <v>3399</v>
      </c>
      <c r="B606" s="8" t="s">
        <v>3400</v>
      </c>
      <c r="C606" s="8" t="s">
        <v>179</v>
      </c>
      <c r="D606" s="8" t="s">
        <v>26</v>
      </c>
      <c r="E606" s="8" t="s">
        <v>3401</v>
      </c>
      <c r="F606" s="8">
        <v>2.4156052E7</v>
      </c>
      <c r="G606" s="8" t="s">
        <v>54</v>
      </c>
      <c r="H606" s="8" t="s">
        <v>76</v>
      </c>
      <c r="I606" s="8" t="s">
        <v>31</v>
      </c>
      <c r="J606" s="8" t="s">
        <v>220</v>
      </c>
      <c r="K606" s="10" t="s">
        <v>2193</v>
      </c>
      <c r="L606" s="8" t="s">
        <v>58</v>
      </c>
      <c r="M606" s="8" t="s">
        <v>35</v>
      </c>
      <c r="N606" s="11">
        <v>44879.0</v>
      </c>
      <c r="O606" s="11">
        <v>45145.0</v>
      </c>
      <c r="P606" s="11">
        <v>45187.0</v>
      </c>
      <c r="Q606" s="11"/>
      <c r="R606" s="11"/>
      <c r="S606" s="12"/>
      <c r="T606" s="8"/>
      <c r="U606" s="8" t="s">
        <v>59</v>
      </c>
      <c r="V606" s="13" t="s">
        <v>324</v>
      </c>
      <c r="W606" s="13" t="s">
        <v>3402</v>
      </c>
      <c r="X606" s="12"/>
      <c r="Y606" s="14"/>
      <c r="Z606" s="14"/>
    </row>
    <row r="607">
      <c r="A607" s="8" t="s">
        <v>3403</v>
      </c>
      <c r="B607" s="8" t="s">
        <v>3404</v>
      </c>
      <c r="C607" s="8" t="s">
        <v>25</v>
      </c>
      <c r="D607" s="8" t="s">
        <v>26</v>
      </c>
      <c r="E607" s="8" t="s">
        <v>3405</v>
      </c>
      <c r="F607" s="8">
        <v>5.374750025E9</v>
      </c>
      <c r="G607" s="8" t="s">
        <v>31</v>
      </c>
      <c r="H607" s="8" t="s">
        <v>56</v>
      </c>
      <c r="I607" s="8" t="s">
        <v>54</v>
      </c>
      <c r="J607" s="8" t="s">
        <v>377</v>
      </c>
      <c r="K607" s="10" t="s">
        <v>3406</v>
      </c>
      <c r="L607" s="8" t="s">
        <v>58</v>
      </c>
      <c r="M607" s="8" t="s">
        <v>35</v>
      </c>
      <c r="N607" s="11">
        <v>44879.0</v>
      </c>
      <c r="O607" s="11">
        <v>45110.0</v>
      </c>
      <c r="P607" s="11">
        <v>45152.0</v>
      </c>
      <c r="Q607" s="11">
        <v>45110.0</v>
      </c>
      <c r="R607" s="11">
        <v>45152.0</v>
      </c>
      <c r="S607" s="12"/>
      <c r="T607" s="8"/>
      <c r="U607" s="8" t="s">
        <v>59</v>
      </c>
      <c r="V607" s="13" t="s">
        <v>56</v>
      </c>
      <c r="W607" s="13" t="s">
        <v>3407</v>
      </c>
      <c r="X607" s="12"/>
      <c r="Y607" s="14"/>
      <c r="Z607" s="14"/>
    </row>
    <row r="608">
      <c r="A608" s="8" t="s">
        <v>3408</v>
      </c>
      <c r="B608" s="15" t="s">
        <v>3409</v>
      </c>
      <c r="C608" s="8" t="s">
        <v>179</v>
      </c>
      <c r="D608" s="8" t="s">
        <v>26</v>
      </c>
      <c r="E608" s="8" t="s">
        <v>3410</v>
      </c>
      <c r="F608" s="8">
        <v>1.142268085E9</v>
      </c>
      <c r="G608" s="8" t="s">
        <v>284</v>
      </c>
      <c r="H608" s="8" t="s">
        <v>1777</v>
      </c>
      <c r="I608" s="8" t="s">
        <v>31</v>
      </c>
      <c r="J608" s="8" t="s">
        <v>256</v>
      </c>
      <c r="K608" s="10" t="s">
        <v>3411</v>
      </c>
      <c r="L608" s="8" t="s">
        <v>58</v>
      </c>
      <c r="M608" s="8" t="s">
        <v>35</v>
      </c>
      <c r="N608" s="11">
        <v>44879.0</v>
      </c>
      <c r="O608" s="11">
        <v>45122.0</v>
      </c>
      <c r="P608" s="11">
        <v>45164.0</v>
      </c>
      <c r="Q608" s="11"/>
      <c r="R608" s="11"/>
      <c r="S608" s="12"/>
      <c r="T608" s="8"/>
      <c r="U608" s="8" t="s">
        <v>59</v>
      </c>
      <c r="V608" s="13" t="s">
        <v>2168</v>
      </c>
      <c r="W608" s="13" t="s">
        <v>3412</v>
      </c>
      <c r="X608" s="12"/>
      <c r="Y608" s="14"/>
      <c r="Z608" s="14"/>
    </row>
    <row r="609">
      <c r="A609" s="8" t="s">
        <v>3413</v>
      </c>
      <c r="B609" s="8" t="s">
        <v>3414</v>
      </c>
      <c r="C609" s="8" t="s">
        <v>251</v>
      </c>
      <c r="D609" s="8" t="s">
        <v>26</v>
      </c>
      <c r="E609" s="8" t="s">
        <v>3415</v>
      </c>
      <c r="F609" s="8" t="s">
        <v>3416</v>
      </c>
      <c r="G609" s="8" t="s">
        <v>31</v>
      </c>
      <c r="H609" s="8" t="s">
        <v>292</v>
      </c>
      <c r="I609" s="8" t="s">
        <v>284</v>
      </c>
      <c r="J609" s="8" t="s">
        <v>2065</v>
      </c>
      <c r="K609" s="10" t="s">
        <v>3417</v>
      </c>
      <c r="L609" s="8" t="s">
        <v>58</v>
      </c>
      <c r="M609" s="8" t="s">
        <v>35</v>
      </c>
      <c r="N609" s="11">
        <v>44879.0</v>
      </c>
      <c r="O609" s="11">
        <v>45097.0</v>
      </c>
      <c r="P609" s="11">
        <v>45139.0</v>
      </c>
      <c r="Q609" s="11"/>
      <c r="R609" s="11"/>
      <c r="S609" s="12"/>
      <c r="T609" s="8"/>
      <c r="U609" s="8" t="s">
        <v>339</v>
      </c>
      <c r="V609" s="13" t="s">
        <v>292</v>
      </c>
      <c r="W609" s="13" t="s">
        <v>3418</v>
      </c>
      <c r="X609" s="12"/>
      <c r="Y609" s="14"/>
      <c r="Z609" s="14"/>
    </row>
    <row r="610">
      <c r="A610" s="8" t="s">
        <v>3419</v>
      </c>
      <c r="B610" s="8" t="s">
        <v>3420</v>
      </c>
      <c r="C610" s="8" t="s">
        <v>25</v>
      </c>
      <c r="D610" s="8" t="s">
        <v>26</v>
      </c>
      <c r="E610" s="8" t="s">
        <v>3421</v>
      </c>
      <c r="F610" s="8"/>
      <c r="G610" s="8" t="s">
        <v>31</v>
      </c>
      <c r="H610" s="8" t="s">
        <v>77</v>
      </c>
      <c r="I610" s="8" t="s">
        <v>127</v>
      </c>
      <c r="J610" s="8" t="s">
        <v>128</v>
      </c>
      <c r="K610" s="10" t="s">
        <v>3422</v>
      </c>
      <c r="L610" s="8" t="s">
        <v>58</v>
      </c>
      <c r="M610" s="8" t="s">
        <v>35</v>
      </c>
      <c r="N610" s="11">
        <v>44879.0</v>
      </c>
      <c r="O610" s="11">
        <v>45096.0</v>
      </c>
      <c r="P610" s="11">
        <v>45138.0</v>
      </c>
      <c r="Q610" s="11">
        <v>45096.0</v>
      </c>
      <c r="R610" s="11">
        <v>45138.0</v>
      </c>
      <c r="S610" s="12"/>
      <c r="T610" s="8"/>
      <c r="U610" s="8" t="s">
        <v>59</v>
      </c>
      <c r="V610" s="13" t="s">
        <v>38</v>
      </c>
      <c r="W610" s="13" t="s">
        <v>3423</v>
      </c>
      <c r="X610" s="12"/>
      <c r="Y610" s="14"/>
      <c r="Z610" s="14"/>
    </row>
    <row r="611">
      <c r="A611" s="8" t="s">
        <v>3424</v>
      </c>
      <c r="B611" s="8" t="s">
        <v>3425</v>
      </c>
      <c r="C611" s="8" t="s">
        <v>251</v>
      </c>
      <c r="D611" s="8" t="s">
        <v>26</v>
      </c>
      <c r="E611" s="8" t="s">
        <v>3426</v>
      </c>
      <c r="F611" s="8">
        <v>5.396556084E9</v>
      </c>
      <c r="G611" s="8" t="s">
        <v>31</v>
      </c>
      <c r="H611" s="8" t="s">
        <v>292</v>
      </c>
      <c r="I611" s="8" t="s">
        <v>284</v>
      </c>
      <c r="J611" s="8" t="s">
        <v>2065</v>
      </c>
      <c r="K611" s="10" t="s">
        <v>3427</v>
      </c>
      <c r="L611" s="8" t="s">
        <v>58</v>
      </c>
      <c r="M611" s="8" t="s">
        <v>35</v>
      </c>
      <c r="N611" s="11">
        <v>44879.0</v>
      </c>
      <c r="O611" s="11">
        <v>45097.0</v>
      </c>
      <c r="P611" s="11">
        <v>45139.0</v>
      </c>
      <c r="Q611" s="11"/>
      <c r="R611" s="11"/>
      <c r="S611" s="12"/>
      <c r="T611" s="8"/>
      <c r="U611" s="8" t="s">
        <v>339</v>
      </c>
      <c r="V611" s="13" t="s">
        <v>292</v>
      </c>
      <c r="W611" s="13" t="s">
        <v>3428</v>
      </c>
      <c r="X611" s="12"/>
      <c r="Y611" s="14"/>
      <c r="Z611" s="14"/>
    </row>
    <row r="612">
      <c r="A612" s="8" t="s">
        <v>3429</v>
      </c>
      <c r="B612" s="8" t="s">
        <v>3430</v>
      </c>
      <c r="C612" s="8" t="s">
        <v>179</v>
      </c>
      <c r="D612" s="8" t="s">
        <v>26</v>
      </c>
      <c r="E612" s="8" t="s">
        <v>3431</v>
      </c>
      <c r="F612" s="8">
        <v>9.173478735E9</v>
      </c>
      <c r="G612" s="8" t="s">
        <v>44</v>
      </c>
      <c r="H612" s="8" t="s">
        <v>741</v>
      </c>
      <c r="I612" s="8" t="s">
        <v>31</v>
      </c>
      <c r="J612" s="8" t="s">
        <v>56</v>
      </c>
      <c r="K612" s="10" t="s">
        <v>1765</v>
      </c>
      <c r="L612" s="8" t="s">
        <v>58</v>
      </c>
      <c r="M612" s="8" t="s">
        <v>35</v>
      </c>
      <c r="N612" s="11">
        <v>44879.0</v>
      </c>
      <c r="O612" s="11">
        <v>44938.0</v>
      </c>
      <c r="P612" s="11">
        <v>44980.0</v>
      </c>
      <c r="Q612" s="11"/>
      <c r="R612" s="11"/>
      <c r="S612" s="12"/>
      <c r="T612" s="8"/>
      <c r="U612" s="8" t="s">
        <v>185</v>
      </c>
      <c r="V612" s="13" t="s">
        <v>3432</v>
      </c>
      <c r="W612" s="13" t="s">
        <v>3433</v>
      </c>
      <c r="X612" s="12"/>
      <c r="Y612" s="14"/>
      <c r="Z612" s="14"/>
    </row>
    <row r="613">
      <c r="A613" s="8" t="s">
        <v>3434</v>
      </c>
      <c r="B613" s="8" t="s">
        <v>3435</v>
      </c>
      <c r="C613" s="8" t="s">
        <v>25</v>
      </c>
      <c r="D613" s="8" t="s">
        <v>26</v>
      </c>
      <c r="E613" s="8" t="s">
        <v>3436</v>
      </c>
      <c r="F613" s="9" t="s">
        <v>3437</v>
      </c>
      <c r="G613" s="8" t="s">
        <v>29</v>
      </c>
      <c r="H613" s="8" t="s">
        <v>2448</v>
      </c>
      <c r="I613" s="8" t="s">
        <v>31</v>
      </c>
      <c r="J613" s="8" t="s">
        <v>111</v>
      </c>
      <c r="K613" s="10" t="s">
        <v>338</v>
      </c>
      <c r="L613" s="8" t="s">
        <v>58</v>
      </c>
      <c r="M613" s="8" t="s">
        <v>35</v>
      </c>
      <c r="N613" s="11">
        <v>44880.0</v>
      </c>
      <c r="O613" s="11">
        <v>44881.0</v>
      </c>
      <c r="P613" s="11">
        <v>44923.0</v>
      </c>
      <c r="Q613" s="11">
        <v>44880.0</v>
      </c>
      <c r="R613" s="11">
        <v>44921.0</v>
      </c>
      <c r="S613" s="12"/>
      <c r="T613" s="8"/>
      <c r="U613" s="8" t="s">
        <v>339</v>
      </c>
      <c r="V613" s="13" t="s">
        <v>38</v>
      </c>
      <c r="W613" s="13" t="s">
        <v>3438</v>
      </c>
      <c r="X613" s="12"/>
      <c r="Y613" s="14"/>
      <c r="Z613" s="14"/>
    </row>
    <row r="614">
      <c r="A614" s="8" t="s">
        <v>3439</v>
      </c>
      <c r="B614" s="8" t="s">
        <v>3440</v>
      </c>
      <c r="C614" s="8" t="s">
        <v>64</v>
      </c>
      <c r="D614" s="8" t="s">
        <v>26</v>
      </c>
      <c r="E614" s="8" t="s">
        <v>3441</v>
      </c>
      <c r="F614" s="8"/>
      <c r="G614" s="8" t="s">
        <v>315</v>
      </c>
      <c r="H614" s="8" t="s">
        <v>1242</v>
      </c>
      <c r="I614" s="8" t="s">
        <v>31</v>
      </c>
      <c r="J614" s="8" t="s">
        <v>292</v>
      </c>
      <c r="K614" s="10" t="s">
        <v>3320</v>
      </c>
      <c r="L614" s="8" t="s">
        <v>58</v>
      </c>
      <c r="M614" s="8" t="s">
        <v>35</v>
      </c>
      <c r="N614" s="11">
        <v>44880.0</v>
      </c>
      <c r="O614" s="11">
        <v>44900.0</v>
      </c>
      <c r="P614" s="11">
        <v>44942.0</v>
      </c>
      <c r="Q614" s="11">
        <v>44898.0</v>
      </c>
      <c r="R614" s="11">
        <v>44942.0</v>
      </c>
      <c r="S614" s="12"/>
      <c r="T614" s="8"/>
      <c r="U614" s="8" t="s">
        <v>88</v>
      </c>
      <c r="V614" s="13" t="s">
        <v>38</v>
      </c>
      <c r="W614" s="13" t="s">
        <v>3442</v>
      </c>
      <c r="X614" s="12"/>
      <c r="Y614" s="14"/>
      <c r="Z614" s="14"/>
    </row>
    <row r="615">
      <c r="A615" s="8" t="s">
        <v>3443</v>
      </c>
      <c r="B615" s="8" t="s">
        <v>3444</v>
      </c>
      <c r="C615" s="8" t="s">
        <v>64</v>
      </c>
      <c r="D615" s="8" t="s">
        <v>26</v>
      </c>
      <c r="E615" s="8" t="s">
        <v>3445</v>
      </c>
      <c r="F615" s="8"/>
      <c r="G615" s="8" t="s">
        <v>109</v>
      </c>
      <c r="H615" s="8" t="s">
        <v>1503</v>
      </c>
      <c r="I615" s="8" t="s">
        <v>31</v>
      </c>
      <c r="J615" s="8" t="s">
        <v>86</v>
      </c>
      <c r="K615" s="10" t="s">
        <v>3446</v>
      </c>
      <c r="L615" s="8" t="s">
        <v>34</v>
      </c>
      <c r="M615" s="8" t="s">
        <v>70</v>
      </c>
      <c r="N615" s="11">
        <v>44880.0</v>
      </c>
      <c r="O615" s="11">
        <v>44924.0</v>
      </c>
      <c r="P615" s="11">
        <v>45289.0</v>
      </c>
      <c r="Q615" s="11">
        <v>44943.0</v>
      </c>
      <c r="R615" s="11">
        <v>45308.0</v>
      </c>
      <c r="S615" s="12"/>
      <c r="T615" s="8" t="s">
        <v>36</v>
      </c>
      <c r="U615" s="8" t="s">
        <v>3447</v>
      </c>
      <c r="V615" s="13" t="s">
        <v>38</v>
      </c>
      <c r="W615" s="13" t="s">
        <v>3448</v>
      </c>
      <c r="X615" s="12"/>
      <c r="Y615" s="14"/>
      <c r="Z615" s="14"/>
    </row>
    <row r="616">
      <c r="A616" s="8" t="s">
        <v>3449</v>
      </c>
      <c r="B616" s="8" t="s">
        <v>3450</v>
      </c>
      <c r="C616" s="8" t="s">
        <v>179</v>
      </c>
      <c r="D616" s="8" t="s">
        <v>26</v>
      </c>
      <c r="E616" s="8" t="s">
        <v>3451</v>
      </c>
      <c r="F616" s="8">
        <v>1.015564566E9</v>
      </c>
      <c r="G616" s="8" t="s">
        <v>284</v>
      </c>
      <c r="H616" s="8" t="s">
        <v>1777</v>
      </c>
      <c r="I616" s="8" t="s">
        <v>31</v>
      </c>
      <c r="J616" s="8" t="s">
        <v>256</v>
      </c>
      <c r="K616" s="10" t="s">
        <v>3411</v>
      </c>
      <c r="L616" s="8" t="s">
        <v>58</v>
      </c>
      <c r="M616" s="8" t="s">
        <v>35</v>
      </c>
      <c r="N616" s="11">
        <v>44881.0</v>
      </c>
      <c r="O616" s="11">
        <v>45122.0</v>
      </c>
      <c r="P616" s="11">
        <v>45164.0</v>
      </c>
      <c r="Q616" s="11"/>
      <c r="R616" s="11"/>
      <c r="S616" s="12"/>
      <c r="T616" s="8"/>
      <c r="U616" s="8" t="s">
        <v>59</v>
      </c>
      <c r="V616" s="13" t="s">
        <v>2168</v>
      </c>
      <c r="W616" s="13" t="s">
        <v>3452</v>
      </c>
      <c r="X616" s="12"/>
      <c r="Y616" s="14"/>
      <c r="Z616" s="14"/>
    </row>
    <row r="617">
      <c r="A617" s="8" t="s">
        <v>3453</v>
      </c>
      <c r="B617" s="8" t="s">
        <v>3454</v>
      </c>
      <c r="C617" s="8" t="s">
        <v>179</v>
      </c>
      <c r="D617" s="8" t="s">
        <v>26</v>
      </c>
      <c r="E617" s="8" t="s">
        <v>3455</v>
      </c>
      <c r="F617" s="8">
        <v>5.1019623E7</v>
      </c>
      <c r="G617" s="8" t="s">
        <v>54</v>
      </c>
      <c r="H617" s="8" t="s">
        <v>377</v>
      </c>
      <c r="I617" s="8" t="s">
        <v>31</v>
      </c>
      <c r="J617" s="8" t="s">
        <v>167</v>
      </c>
      <c r="K617" s="10" t="s">
        <v>3022</v>
      </c>
      <c r="L617" s="8" t="s">
        <v>58</v>
      </c>
      <c r="M617" s="8" t="s">
        <v>35</v>
      </c>
      <c r="N617" s="11">
        <v>44881.0</v>
      </c>
      <c r="O617" s="11">
        <v>45117.0</v>
      </c>
      <c r="P617" s="11">
        <v>45159.0</v>
      </c>
      <c r="Q617" s="11"/>
      <c r="R617" s="11"/>
      <c r="S617" s="12"/>
      <c r="T617" s="8"/>
      <c r="U617" s="8" t="s">
        <v>88</v>
      </c>
      <c r="V617" s="13" t="s">
        <v>2243</v>
      </c>
      <c r="W617" s="13" t="s">
        <v>3456</v>
      </c>
      <c r="X617" s="12"/>
      <c r="Y617" s="14"/>
      <c r="Z617" s="14"/>
    </row>
    <row r="618">
      <c r="A618" s="8" t="s">
        <v>3457</v>
      </c>
      <c r="B618" s="8" t="s">
        <v>3458</v>
      </c>
      <c r="C618" s="8" t="s">
        <v>251</v>
      </c>
      <c r="D618" s="8" t="s">
        <v>26</v>
      </c>
      <c r="E618" s="8" t="s">
        <v>3459</v>
      </c>
      <c r="F618" s="8">
        <v>5.316567984E9</v>
      </c>
      <c r="G618" s="8" t="s">
        <v>31</v>
      </c>
      <c r="H618" s="8" t="s">
        <v>77</v>
      </c>
      <c r="I618" s="8" t="s">
        <v>44</v>
      </c>
      <c r="J618" s="8" t="s">
        <v>1993</v>
      </c>
      <c r="K618" s="10" t="s">
        <v>2501</v>
      </c>
      <c r="L618" s="8" t="s">
        <v>58</v>
      </c>
      <c r="M618" s="8" t="s">
        <v>35</v>
      </c>
      <c r="N618" s="11">
        <v>44881.0</v>
      </c>
      <c r="O618" s="11">
        <v>44961.0</v>
      </c>
      <c r="P618" s="11">
        <v>45003.0</v>
      </c>
      <c r="Q618" s="11"/>
      <c r="R618" s="11"/>
      <c r="S618" s="12"/>
      <c r="T618" s="8"/>
      <c r="U618" s="8" t="s">
        <v>1038</v>
      </c>
      <c r="V618" s="13" t="s">
        <v>77</v>
      </c>
      <c r="W618" s="13" t="s">
        <v>3460</v>
      </c>
      <c r="X618" s="12"/>
      <c r="Y618" s="14"/>
      <c r="Z618" s="14"/>
    </row>
    <row r="619">
      <c r="A619" s="8" t="s">
        <v>3461</v>
      </c>
      <c r="B619" s="8" t="s">
        <v>3462</v>
      </c>
      <c r="C619" s="8" t="s">
        <v>25</v>
      </c>
      <c r="D619" s="8" t="s">
        <v>26</v>
      </c>
      <c r="E619" s="8" t="s">
        <v>3463</v>
      </c>
      <c r="F619" s="8">
        <v>5.396409652E9</v>
      </c>
      <c r="G619" s="8" t="s">
        <v>31</v>
      </c>
      <c r="H619" s="8" t="s">
        <v>77</v>
      </c>
      <c r="I619" s="8" t="s">
        <v>44</v>
      </c>
      <c r="J619" s="8" t="s">
        <v>1993</v>
      </c>
      <c r="K619" s="10" t="s">
        <v>2501</v>
      </c>
      <c r="L619" s="8" t="s">
        <v>58</v>
      </c>
      <c r="M619" s="8" t="s">
        <v>35</v>
      </c>
      <c r="N619" s="11">
        <v>44881.0</v>
      </c>
      <c r="O619" s="11">
        <v>44961.0</v>
      </c>
      <c r="P619" s="11">
        <v>45003.0</v>
      </c>
      <c r="Q619" s="11">
        <v>44960.0</v>
      </c>
      <c r="R619" s="11">
        <v>45003.0</v>
      </c>
      <c r="S619" s="12"/>
      <c r="T619" s="8"/>
      <c r="U619" s="8" t="s">
        <v>1038</v>
      </c>
      <c r="V619" s="13" t="s">
        <v>77</v>
      </c>
      <c r="W619" s="13" t="s">
        <v>3464</v>
      </c>
      <c r="X619" s="12"/>
      <c r="Y619" s="14"/>
      <c r="Z619" s="14"/>
    </row>
    <row r="620">
      <c r="A620" s="8" t="s">
        <v>3465</v>
      </c>
      <c r="B620" s="8" t="s">
        <v>3466</v>
      </c>
      <c r="C620" s="8" t="s">
        <v>179</v>
      </c>
      <c r="D620" s="8" t="s">
        <v>26</v>
      </c>
      <c r="E620" s="8" t="s">
        <v>3467</v>
      </c>
      <c r="F620" s="8" t="s">
        <v>3468</v>
      </c>
      <c r="G620" s="8" t="s">
        <v>31</v>
      </c>
      <c r="H620" s="8" t="s">
        <v>66</v>
      </c>
      <c r="I620" s="8" t="s">
        <v>127</v>
      </c>
      <c r="J620" s="8" t="s">
        <v>1628</v>
      </c>
      <c r="K620" s="10" t="s">
        <v>3221</v>
      </c>
      <c r="L620" s="8" t="s">
        <v>58</v>
      </c>
      <c r="M620" s="8" t="s">
        <v>35</v>
      </c>
      <c r="N620" s="11">
        <v>44881.0</v>
      </c>
      <c r="O620" s="11">
        <v>44970.0</v>
      </c>
      <c r="P620" s="11">
        <v>45012.0</v>
      </c>
      <c r="Q620" s="11"/>
      <c r="R620" s="11"/>
      <c r="S620" s="12"/>
      <c r="T620" s="8"/>
      <c r="U620" s="8" t="s">
        <v>1956</v>
      </c>
      <c r="V620" s="13" t="s">
        <v>66</v>
      </c>
      <c r="W620" s="13" t="s">
        <v>3469</v>
      </c>
      <c r="X620" s="12"/>
      <c r="Y620" s="14"/>
      <c r="Z620" s="14"/>
    </row>
    <row r="621">
      <c r="A621" s="8" t="s">
        <v>3470</v>
      </c>
      <c r="B621" s="8" t="s">
        <v>1614</v>
      </c>
      <c r="C621" s="8" t="s">
        <v>25</v>
      </c>
      <c r="D621" s="8" t="s">
        <v>26</v>
      </c>
      <c r="E621" s="8" t="s">
        <v>1615</v>
      </c>
      <c r="F621" s="8"/>
      <c r="G621" s="8" t="s">
        <v>84</v>
      </c>
      <c r="H621" s="8" t="s">
        <v>1266</v>
      </c>
      <c r="I621" s="8" t="s">
        <v>31</v>
      </c>
      <c r="J621" s="8" t="s">
        <v>111</v>
      </c>
      <c r="K621" s="10" t="s">
        <v>910</v>
      </c>
      <c r="L621" s="8" t="s">
        <v>47</v>
      </c>
      <c r="M621" s="8" t="s">
        <v>70</v>
      </c>
      <c r="N621" s="11">
        <v>44881.0</v>
      </c>
      <c r="O621" s="11">
        <v>44892.0</v>
      </c>
      <c r="P621" s="11">
        <v>45256.0</v>
      </c>
      <c r="Q621" s="11">
        <v>44884.0</v>
      </c>
      <c r="R621" s="11">
        <v>45256.0</v>
      </c>
      <c r="S621" s="12"/>
      <c r="T621" s="8"/>
      <c r="U621" s="8" t="s">
        <v>246</v>
      </c>
      <c r="V621" s="13" t="s">
        <v>38</v>
      </c>
      <c r="W621" s="13" t="s">
        <v>1616</v>
      </c>
      <c r="X621" s="12"/>
      <c r="Y621" s="14"/>
      <c r="Z621" s="14"/>
    </row>
    <row r="622">
      <c r="A622" s="8" t="s">
        <v>3471</v>
      </c>
      <c r="B622" s="8" t="s">
        <v>3472</v>
      </c>
      <c r="C622" s="8" t="s">
        <v>708</v>
      </c>
      <c r="D622" s="8" t="s">
        <v>26</v>
      </c>
      <c r="E622" s="8" t="s">
        <v>3473</v>
      </c>
      <c r="F622" s="8">
        <v>2.2660959E7</v>
      </c>
      <c r="G622" s="8" t="s">
        <v>54</v>
      </c>
      <c r="H622" s="8" t="s">
        <v>1911</v>
      </c>
      <c r="I622" s="8" t="s">
        <v>31</v>
      </c>
      <c r="J622" s="8" t="s">
        <v>86</v>
      </c>
      <c r="K622" s="10" t="s">
        <v>3474</v>
      </c>
      <c r="L622" s="8" t="s">
        <v>34</v>
      </c>
      <c r="M622" s="8" t="s">
        <v>70</v>
      </c>
      <c r="N622" s="11">
        <v>44881.0</v>
      </c>
      <c r="O622" s="11">
        <v>44893.0</v>
      </c>
      <c r="P622" s="11">
        <v>45254.0</v>
      </c>
      <c r="Q622" s="11">
        <v>44958.0</v>
      </c>
      <c r="R622" s="11">
        <v>45323.0</v>
      </c>
      <c r="S622" s="12"/>
      <c r="T622" s="8" t="s">
        <v>446</v>
      </c>
      <c r="U622" s="8" t="s">
        <v>3475</v>
      </c>
      <c r="V622" s="13" t="s">
        <v>3476</v>
      </c>
      <c r="W622" s="13" t="s">
        <v>3477</v>
      </c>
      <c r="X622" s="12"/>
      <c r="Y622" s="14"/>
      <c r="Z622" s="14"/>
    </row>
    <row r="623">
      <c r="A623" s="8" t="s">
        <v>3478</v>
      </c>
      <c r="B623" s="8" t="s">
        <v>3479</v>
      </c>
      <c r="C623" s="8" t="s">
        <v>25</v>
      </c>
      <c r="D623" s="8" t="s">
        <v>26</v>
      </c>
      <c r="E623" s="8" t="s">
        <v>3480</v>
      </c>
      <c r="F623" s="8">
        <v>5.8638787E7</v>
      </c>
      <c r="G623" s="8" t="s">
        <v>54</v>
      </c>
      <c r="H623" s="8" t="s">
        <v>377</v>
      </c>
      <c r="I623" s="8" t="s">
        <v>31</v>
      </c>
      <c r="J623" s="8" t="s">
        <v>220</v>
      </c>
      <c r="K623" s="10" t="s">
        <v>1772</v>
      </c>
      <c r="L623" s="8" t="s">
        <v>58</v>
      </c>
      <c r="M623" s="8" t="s">
        <v>35</v>
      </c>
      <c r="N623" s="11">
        <v>44882.0</v>
      </c>
      <c r="O623" s="11">
        <v>45145.0</v>
      </c>
      <c r="P623" s="11">
        <v>45187.0</v>
      </c>
      <c r="Q623" s="11">
        <v>45178.0</v>
      </c>
      <c r="R623" s="11">
        <v>45221.0</v>
      </c>
      <c r="S623" s="12"/>
      <c r="T623" s="8"/>
      <c r="U623" s="8" t="s">
        <v>59</v>
      </c>
      <c r="V623" s="13" t="s">
        <v>3274</v>
      </c>
      <c r="W623" s="13" t="s">
        <v>3481</v>
      </c>
      <c r="X623" s="12"/>
      <c r="Y623" s="14"/>
      <c r="Z623" s="14"/>
    </row>
    <row r="624">
      <c r="A624" s="8" t="s">
        <v>3482</v>
      </c>
      <c r="B624" s="8" t="s">
        <v>3483</v>
      </c>
      <c r="C624" s="8" t="s">
        <v>179</v>
      </c>
      <c r="D624" s="8" t="s">
        <v>26</v>
      </c>
      <c r="E624" s="8" t="s">
        <v>3484</v>
      </c>
      <c r="F624" s="8">
        <v>5.078792272E9</v>
      </c>
      <c r="G624" s="8" t="s">
        <v>31</v>
      </c>
      <c r="H624" s="8" t="s">
        <v>256</v>
      </c>
      <c r="I624" s="8" t="s">
        <v>54</v>
      </c>
      <c r="J624" s="8" t="s">
        <v>1640</v>
      </c>
      <c r="K624" s="10" t="s">
        <v>3485</v>
      </c>
      <c r="L624" s="8" t="s">
        <v>58</v>
      </c>
      <c r="M624" s="8" t="s">
        <v>35</v>
      </c>
      <c r="N624" s="11">
        <v>44882.0</v>
      </c>
      <c r="O624" s="11">
        <v>45086.0</v>
      </c>
      <c r="P624" s="11">
        <v>45128.0</v>
      </c>
      <c r="Q624" s="11"/>
      <c r="R624" s="11"/>
      <c r="S624" s="12"/>
      <c r="T624" s="8"/>
      <c r="U624" s="8" t="s">
        <v>185</v>
      </c>
      <c r="V624" s="13" t="s">
        <v>256</v>
      </c>
      <c r="W624" s="13" t="s">
        <v>3486</v>
      </c>
      <c r="X624" s="12"/>
      <c r="Y624" s="14"/>
      <c r="Z624" s="14"/>
    </row>
    <row r="625">
      <c r="A625" s="8" t="s">
        <v>3487</v>
      </c>
      <c r="B625" s="8" t="s">
        <v>3488</v>
      </c>
      <c r="C625" s="8" t="s">
        <v>25</v>
      </c>
      <c r="D625" s="8" t="s">
        <v>26</v>
      </c>
      <c r="E625" s="8" t="s">
        <v>3489</v>
      </c>
      <c r="F625" s="9" t="s">
        <v>3490</v>
      </c>
      <c r="G625" s="8" t="s">
        <v>54</v>
      </c>
      <c r="H625" s="8" t="s">
        <v>377</v>
      </c>
      <c r="I625" s="8" t="s">
        <v>31</v>
      </c>
      <c r="J625" s="8" t="s">
        <v>220</v>
      </c>
      <c r="K625" s="10" t="s">
        <v>1772</v>
      </c>
      <c r="L625" s="8" t="s">
        <v>58</v>
      </c>
      <c r="M625" s="8" t="s">
        <v>35</v>
      </c>
      <c r="N625" s="11">
        <v>44882.0</v>
      </c>
      <c r="O625" s="11">
        <v>45117.0</v>
      </c>
      <c r="P625" s="11">
        <v>45159.0</v>
      </c>
      <c r="Q625" s="11">
        <v>45119.0</v>
      </c>
      <c r="R625" s="11">
        <v>45159.0</v>
      </c>
      <c r="S625" s="12"/>
      <c r="T625" s="8"/>
      <c r="U625" s="8" t="s">
        <v>59</v>
      </c>
      <c r="V625" s="13" t="s">
        <v>3491</v>
      </c>
      <c r="W625" s="13" t="s">
        <v>3492</v>
      </c>
      <c r="X625" s="12"/>
      <c r="Y625" s="14"/>
      <c r="Z625" s="14"/>
    </row>
    <row r="626">
      <c r="A626" s="8" t="s">
        <v>3493</v>
      </c>
      <c r="B626" s="8" t="s">
        <v>3494</v>
      </c>
      <c r="C626" s="8" t="s">
        <v>64</v>
      </c>
      <c r="D626" s="8" t="s">
        <v>26</v>
      </c>
      <c r="E626" s="8" t="s">
        <v>3495</v>
      </c>
      <c r="F626" s="8">
        <v>2.9753744E7</v>
      </c>
      <c r="G626" s="8" t="s">
        <v>54</v>
      </c>
      <c r="H626" s="8" t="s">
        <v>76</v>
      </c>
      <c r="I626" s="8" t="s">
        <v>31</v>
      </c>
      <c r="J626" s="8" t="s">
        <v>542</v>
      </c>
      <c r="K626" s="10" t="s">
        <v>3383</v>
      </c>
      <c r="L626" s="8" t="s">
        <v>58</v>
      </c>
      <c r="M626" s="8" t="s">
        <v>35</v>
      </c>
      <c r="N626" s="11">
        <v>44882.0</v>
      </c>
      <c r="O626" s="11">
        <v>45110.0</v>
      </c>
      <c r="P626" s="11">
        <v>45152.0</v>
      </c>
      <c r="Q626" s="11">
        <v>45111.0</v>
      </c>
      <c r="R626" s="11">
        <v>45152.0</v>
      </c>
      <c r="S626" s="12"/>
      <c r="T626" s="8"/>
      <c r="U626" s="8" t="s">
        <v>59</v>
      </c>
      <c r="V626" s="13" t="s">
        <v>3496</v>
      </c>
      <c r="W626" s="13" t="s">
        <v>3497</v>
      </c>
      <c r="X626" s="12"/>
      <c r="Y626" s="14"/>
      <c r="Z626" s="14"/>
    </row>
    <row r="627">
      <c r="A627" s="8" t="s">
        <v>3498</v>
      </c>
      <c r="B627" s="8" t="s">
        <v>3499</v>
      </c>
      <c r="C627" s="8" t="s">
        <v>64</v>
      </c>
      <c r="D627" s="8" t="s">
        <v>26</v>
      </c>
      <c r="E627" s="8" t="s">
        <v>3500</v>
      </c>
      <c r="F627" s="8">
        <v>3.323563664E9</v>
      </c>
      <c r="G627" s="8" t="s">
        <v>315</v>
      </c>
      <c r="H627" s="8" t="s">
        <v>1833</v>
      </c>
      <c r="I627" s="8" t="s">
        <v>31</v>
      </c>
      <c r="J627" s="8" t="s">
        <v>77</v>
      </c>
      <c r="K627" s="10" t="s">
        <v>647</v>
      </c>
      <c r="L627" s="8" t="s">
        <v>34</v>
      </c>
      <c r="M627" s="8" t="s">
        <v>70</v>
      </c>
      <c r="N627" s="11">
        <v>44882.0</v>
      </c>
      <c r="O627" s="11">
        <v>44914.0</v>
      </c>
      <c r="P627" s="11">
        <v>45279.0</v>
      </c>
      <c r="Q627" s="11">
        <v>44912.0</v>
      </c>
      <c r="R627" s="11">
        <v>45279.0</v>
      </c>
      <c r="S627" s="12"/>
      <c r="T627" s="8" t="s">
        <v>121</v>
      </c>
      <c r="U627" s="8" t="s">
        <v>648</v>
      </c>
      <c r="V627" s="13" t="s">
        <v>3501</v>
      </c>
      <c r="W627" s="13" t="s">
        <v>3502</v>
      </c>
      <c r="X627" s="12"/>
      <c r="Y627" s="14"/>
      <c r="Z627" s="14"/>
    </row>
    <row r="628">
      <c r="A628" s="8" t="s">
        <v>3503</v>
      </c>
      <c r="B628" s="8" t="s">
        <v>3504</v>
      </c>
      <c r="C628" s="8" t="s">
        <v>64</v>
      </c>
      <c r="D628" s="8" t="s">
        <v>26</v>
      </c>
      <c r="E628" s="8" t="s">
        <v>3505</v>
      </c>
      <c r="F628" s="8">
        <v>6.05864241E8</v>
      </c>
      <c r="G628" s="8" t="s">
        <v>221</v>
      </c>
      <c r="H628" s="8" t="s">
        <v>3506</v>
      </c>
      <c r="I628" s="8" t="s">
        <v>31</v>
      </c>
      <c r="J628" s="8" t="s">
        <v>32</v>
      </c>
      <c r="K628" s="10" t="s">
        <v>1813</v>
      </c>
      <c r="L628" s="8" t="s">
        <v>58</v>
      </c>
      <c r="M628" s="8" t="s">
        <v>35</v>
      </c>
      <c r="N628" s="11">
        <v>44882.0</v>
      </c>
      <c r="O628" s="11">
        <v>45039.0</v>
      </c>
      <c r="P628" s="11">
        <v>45081.0</v>
      </c>
      <c r="Q628" s="11">
        <v>45041.0</v>
      </c>
      <c r="R628" s="11">
        <v>45081.0</v>
      </c>
      <c r="S628" s="12"/>
      <c r="T628" s="8"/>
      <c r="U628" s="8" t="s">
        <v>161</v>
      </c>
      <c r="V628" s="13" t="s">
        <v>3507</v>
      </c>
      <c r="W628" s="13" t="s">
        <v>3508</v>
      </c>
      <c r="X628" s="12"/>
      <c r="Y628" s="14"/>
      <c r="Z628" s="14"/>
    </row>
    <row r="629">
      <c r="A629" s="8" t="s">
        <v>3509</v>
      </c>
      <c r="B629" s="8" t="s">
        <v>3510</v>
      </c>
      <c r="C629" s="8" t="s">
        <v>64</v>
      </c>
      <c r="D629" s="8" t="s">
        <v>26</v>
      </c>
      <c r="E629" s="8" t="s">
        <v>3511</v>
      </c>
      <c r="F629" s="8">
        <v>1.210564009E9</v>
      </c>
      <c r="G629" s="8" t="s">
        <v>284</v>
      </c>
      <c r="H629" s="8" t="s">
        <v>625</v>
      </c>
      <c r="I629" s="8" t="s">
        <v>31</v>
      </c>
      <c r="J629" s="8" t="s">
        <v>77</v>
      </c>
      <c r="K629" s="10" t="s">
        <v>2537</v>
      </c>
      <c r="L629" s="8" t="s">
        <v>58</v>
      </c>
      <c r="M629" s="8" t="s">
        <v>35</v>
      </c>
      <c r="N629" s="11">
        <v>44882.0</v>
      </c>
      <c r="O629" s="11">
        <v>45145.0</v>
      </c>
      <c r="P629" s="11">
        <v>45187.0</v>
      </c>
      <c r="Q629" s="11">
        <v>45145.0</v>
      </c>
      <c r="R629" s="11">
        <v>45187.0</v>
      </c>
      <c r="S629" s="12"/>
      <c r="T629" s="8"/>
      <c r="U629" s="8" t="s">
        <v>88</v>
      </c>
      <c r="V629" s="13" t="s">
        <v>626</v>
      </c>
      <c r="W629" s="13" t="s">
        <v>3512</v>
      </c>
      <c r="X629" s="12"/>
      <c r="Y629" s="14"/>
      <c r="Z629" s="14"/>
    </row>
    <row r="630">
      <c r="A630" s="8" t="s">
        <v>3513</v>
      </c>
      <c r="B630" s="8" t="s">
        <v>3514</v>
      </c>
      <c r="C630" s="8" t="s">
        <v>64</v>
      </c>
      <c r="D630" s="8" t="s">
        <v>26</v>
      </c>
      <c r="E630" s="8" t="s">
        <v>3515</v>
      </c>
      <c r="F630" s="8">
        <v>6.65726223E8</v>
      </c>
      <c r="G630" s="8" t="s">
        <v>254</v>
      </c>
      <c r="H630" s="8" t="s">
        <v>422</v>
      </c>
      <c r="I630" s="8" t="s">
        <v>31</v>
      </c>
      <c r="J630" s="8" t="s">
        <v>542</v>
      </c>
      <c r="K630" s="10" t="s">
        <v>1685</v>
      </c>
      <c r="L630" s="8" t="s">
        <v>34</v>
      </c>
      <c r="M630" s="8" t="s">
        <v>70</v>
      </c>
      <c r="N630" s="11">
        <v>44882.0</v>
      </c>
      <c r="O630" s="11">
        <v>44872.0</v>
      </c>
      <c r="P630" s="11">
        <v>45237.0</v>
      </c>
      <c r="Q630" s="11">
        <v>44940.0</v>
      </c>
      <c r="R630" s="11">
        <v>45307.0</v>
      </c>
      <c r="S630" s="12"/>
      <c r="T630" s="8" t="s">
        <v>205</v>
      </c>
      <c r="U630" s="8" t="s">
        <v>1686</v>
      </c>
      <c r="V630" s="13" t="s">
        <v>425</v>
      </c>
      <c r="W630" s="13" t="s">
        <v>3516</v>
      </c>
      <c r="X630" s="12"/>
      <c r="Y630" s="14"/>
      <c r="Z630" s="14"/>
    </row>
    <row r="631">
      <c r="A631" s="8" t="s">
        <v>3517</v>
      </c>
      <c r="B631" s="8" t="s">
        <v>3518</v>
      </c>
      <c r="C631" s="8" t="s">
        <v>25</v>
      </c>
      <c r="D631" s="8" t="s">
        <v>26</v>
      </c>
      <c r="E631" s="8" t="s">
        <v>3519</v>
      </c>
      <c r="F631" s="8">
        <v>5.3148697E7</v>
      </c>
      <c r="G631" s="8" t="s">
        <v>54</v>
      </c>
      <c r="H631" s="8" t="s">
        <v>377</v>
      </c>
      <c r="I631" s="8" t="s">
        <v>31</v>
      </c>
      <c r="J631" s="8" t="s">
        <v>77</v>
      </c>
      <c r="K631" s="10" t="s">
        <v>2537</v>
      </c>
      <c r="L631" s="8" t="s">
        <v>58</v>
      </c>
      <c r="M631" s="8" t="s">
        <v>35</v>
      </c>
      <c r="N631" s="11">
        <v>44883.0</v>
      </c>
      <c r="O631" s="11">
        <v>45103.0</v>
      </c>
      <c r="P631" s="11">
        <v>45145.0</v>
      </c>
      <c r="Q631" s="11">
        <v>45102.0</v>
      </c>
      <c r="R631" s="11">
        <v>45145.0</v>
      </c>
      <c r="S631" s="12"/>
      <c r="T631" s="8"/>
      <c r="U631" s="8" t="s">
        <v>88</v>
      </c>
      <c r="V631" s="13" t="s">
        <v>2243</v>
      </c>
      <c r="W631" s="13" t="s">
        <v>3520</v>
      </c>
      <c r="X631" s="12"/>
      <c r="Y631" s="14"/>
      <c r="Z631" s="14"/>
    </row>
    <row r="632">
      <c r="A632" s="8" t="s">
        <v>3521</v>
      </c>
      <c r="B632" s="8" t="s">
        <v>3522</v>
      </c>
      <c r="C632" s="8" t="s">
        <v>25</v>
      </c>
      <c r="D632" s="8" t="s">
        <v>26</v>
      </c>
      <c r="E632" s="8" t="s">
        <v>3523</v>
      </c>
      <c r="F632" s="8">
        <v>2.8401115E7</v>
      </c>
      <c r="G632" s="8" t="s">
        <v>54</v>
      </c>
      <c r="H632" s="8" t="s">
        <v>377</v>
      </c>
      <c r="I632" s="8" t="s">
        <v>31</v>
      </c>
      <c r="J632" s="8" t="s">
        <v>220</v>
      </c>
      <c r="K632" s="10" t="s">
        <v>1772</v>
      </c>
      <c r="L632" s="8" t="s">
        <v>58</v>
      </c>
      <c r="M632" s="8" t="s">
        <v>35</v>
      </c>
      <c r="N632" s="11">
        <v>44883.0</v>
      </c>
      <c r="O632" s="11">
        <v>45117.0</v>
      </c>
      <c r="P632" s="11">
        <v>45159.0</v>
      </c>
      <c r="Q632" s="11">
        <v>45136.0</v>
      </c>
      <c r="R632" s="11">
        <v>45179.0</v>
      </c>
      <c r="S632" s="12"/>
      <c r="T632" s="8"/>
      <c r="U632" s="8" t="s">
        <v>59</v>
      </c>
      <c r="V632" s="13" t="s">
        <v>3274</v>
      </c>
      <c r="W632" s="13" t="s">
        <v>3524</v>
      </c>
      <c r="X632" s="12"/>
      <c r="Y632" s="14"/>
      <c r="Z632" s="14"/>
    </row>
    <row r="633">
      <c r="A633" s="8" t="s">
        <v>3525</v>
      </c>
      <c r="B633" s="8" t="s">
        <v>3526</v>
      </c>
      <c r="C633" s="8" t="s">
        <v>25</v>
      </c>
      <c r="D633" s="8" t="s">
        <v>26</v>
      </c>
      <c r="E633" s="8" t="s">
        <v>3527</v>
      </c>
      <c r="F633" s="8">
        <v>2.8091138E7</v>
      </c>
      <c r="G633" s="8" t="s">
        <v>54</v>
      </c>
      <c r="H633" s="8" t="s">
        <v>1640</v>
      </c>
      <c r="I633" s="8" t="s">
        <v>31</v>
      </c>
      <c r="J633" s="8" t="s">
        <v>77</v>
      </c>
      <c r="K633" s="10" t="s">
        <v>917</v>
      </c>
      <c r="L633" s="8" t="s">
        <v>47</v>
      </c>
      <c r="M633" s="8" t="s">
        <v>70</v>
      </c>
      <c r="N633" s="11">
        <v>44883.0</v>
      </c>
      <c r="O633" s="11">
        <v>44905.0</v>
      </c>
      <c r="P633" s="11">
        <v>45107.0</v>
      </c>
      <c r="Q633" s="11">
        <v>44912.0</v>
      </c>
      <c r="R633" s="11">
        <v>45115.0</v>
      </c>
      <c r="S633" s="12"/>
      <c r="T633" s="8"/>
      <c r="U633" s="8" t="s">
        <v>918</v>
      </c>
      <c r="V633" s="13" t="s">
        <v>3528</v>
      </c>
      <c r="W633" s="13" t="s">
        <v>3529</v>
      </c>
      <c r="X633" s="12"/>
      <c r="Y633" s="14"/>
      <c r="Z633" s="14"/>
    </row>
    <row r="634">
      <c r="A634" s="8" t="s">
        <v>3530</v>
      </c>
      <c r="B634" s="8" t="s">
        <v>3531</v>
      </c>
      <c r="C634" s="8" t="s">
        <v>25</v>
      </c>
      <c r="D634" s="8" t="s">
        <v>26</v>
      </c>
      <c r="E634" s="8" t="s">
        <v>3532</v>
      </c>
      <c r="F634" s="8">
        <v>5.359811829E9</v>
      </c>
      <c r="G634" s="8" t="s">
        <v>31</v>
      </c>
      <c r="H634" s="8" t="s">
        <v>220</v>
      </c>
      <c r="I634" s="8" t="s">
        <v>54</v>
      </c>
      <c r="J634" s="8" t="s">
        <v>595</v>
      </c>
      <c r="K634" s="10" t="s">
        <v>3533</v>
      </c>
      <c r="L634" s="8" t="s">
        <v>58</v>
      </c>
      <c r="M634" s="8" t="s">
        <v>35</v>
      </c>
      <c r="N634" s="11">
        <v>44883.0</v>
      </c>
      <c r="O634" s="11">
        <v>44954.0</v>
      </c>
      <c r="P634" s="11">
        <v>44996.0</v>
      </c>
      <c r="Q634" s="11">
        <v>44958.0</v>
      </c>
      <c r="R634" s="11">
        <v>45000.0</v>
      </c>
      <c r="S634" s="12"/>
      <c r="T634" s="8"/>
      <c r="U634" s="8" t="s">
        <v>185</v>
      </c>
      <c r="V634" s="13" t="s">
        <v>220</v>
      </c>
      <c r="W634" s="13" t="s">
        <v>3534</v>
      </c>
      <c r="X634" s="12"/>
      <c r="Y634" s="14"/>
      <c r="Z634" s="14"/>
    </row>
    <row r="635">
      <c r="A635" s="8" t="s">
        <v>3535</v>
      </c>
      <c r="B635" s="8" t="s">
        <v>3536</v>
      </c>
      <c r="C635" s="8" t="s">
        <v>179</v>
      </c>
      <c r="D635" s="8" t="s">
        <v>26</v>
      </c>
      <c r="E635" s="8" t="s">
        <v>3537</v>
      </c>
      <c r="F635" s="8">
        <v>1.092140284E9</v>
      </c>
      <c r="G635" s="8" t="s">
        <v>284</v>
      </c>
      <c r="H635" s="8" t="s">
        <v>793</v>
      </c>
      <c r="I635" s="8" t="s">
        <v>31</v>
      </c>
      <c r="J635" s="8" t="s">
        <v>256</v>
      </c>
      <c r="K635" s="10" t="s">
        <v>3411</v>
      </c>
      <c r="L635" s="8" t="s">
        <v>58</v>
      </c>
      <c r="M635" s="8" t="s">
        <v>35</v>
      </c>
      <c r="N635" s="11">
        <v>44883.0</v>
      </c>
      <c r="O635" s="11">
        <v>44996.0</v>
      </c>
      <c r="P635" s="11">
        <v>45038.0</v>
      </c>
      <c r="Q635" s="11"/>
      <c r="R635" s="11"/>
      <c r="S635" s="12"/>
      <c r="T635" s="8"/>
      <c r="U635" s="8" t="s">
        <v>59</v>
      </c>
      <c r="V635" s="13" t="s">
        <v>793</v>
      </c>
      <c r="W635" s="13" t="s">
        <v>3538</v>
      </c>
      <c r="X635" s="12"/>
      <c r="Y635" s="14"/>
      <c r="Z635" s="14"/>
    </row>
    <row r="636">
      <c r="A636" s="8" t="s">
        <v>3539</v>
      </c>
      <c r="B636" s="8" t="s">
        <v>3540</v>
      </c>
      <c r="C636" s="8" t="s">
        <v>25</v>
      </c>
      <c r="D636" s="8" t="s">
        <v>26</v>
      </c>
      <c r="E636" s="8" t="s">
        <v>3541</v>
      </c>
      <c r="F636" s="8">
        <v>5.3646184E9</v>
      </c>
      <c r="G636" s="8" t="s">
        <v>31</v>
      </c>
      <c r="H636" s="8" t="s">
        <v>77</v>
      </c>
      <c r="I636" s="8" t="s">
        <v>127</v>
      </c>
      <c r="J636" s="8" t="s">
        <v>3542</v>
      </c>
      <c r="K636" s="10" t="s">
        <v>3543</v>
      </c>
      <c r="L636" s="8" t="s">
        <v>58</v>
      </c>
      <c r="M636" s="8" t="s">
        <v>35</v>
      </c>
      <c r="N636" s="11">
        <v>44883.0</v>
      </c>
      <c r="O636" s="11">
        <v>45096.0</v>
      </c>
      <c r="P636" s="11">
        <v>45138.0</v>
      </c>
      <c r="Q636" s="11">
        <v>45103.0</v>
      </c>
      <c r="R636" s="11">
        <v>45145.0</v>
      </c>
      <c r="S636" s="12"/>
      <c r="T636" s="8"/>
      <c r="U636" s="8" t="s">
        <v>59</v>
      </c>
      <c r="V636" s="13" t="s">
        <v>77</v>
      </c>
      <c r="W636" s="13" t="s">
        <v>3544</v>
      </c>
      <c r="X636" s="12"/>
      <c r="Y636" s="14"/>
      <c r="Z636" s="14"/>
    </row>
    <row r="637">
      <c r="A637" s="8" t="s">
        <v>3545</v>
      </c>
      <c r="B637" s="8" t="s">
        <v>3546</v>
      </c>
      <c r="C637" s="8" t="s">
        <v>25</v>
      </c>
      <c r="D637" s="8" t="s">
        <v>26</v>
      </c>
      <c r="E637" s="8" t="s">
        <v>3547</v>
      </c>
      <c r="F637" s="8">
        <v>5.378742693E9</v>
      </c>
      <c r="G637" s="8" t="s">
        <v>31</v>
      </c>
      <c r="H637" s="8" t="s">
        <v>77</v>
      </c>
      <c r="I637" s="8" t="s">
        <v>127</v>
      </c>
      <c r="J637" s="8" t="s">
        <v>3542</v>
      </c>
      <c r="K637" s="10" t="s">
        <v>3543</v>
      </c>
      <c r="L637" s="8" t="s">
        <v>58</v>
      </c>
      <c r="M637" s="8" t="s">
        <v>35</v>
      </c>
      <c r="N637" s="11">
        <v>44883.0</v>
      </c>
      <c r="O637" s="11">
        <v>45096.0</v>
      </c>
      <c r="P637" s="11">
        <v>45138.0</v>
      </c>
      <c r="Q637" s="11">
        <v>45103.0</v>
      </c>
      <c r="R637" s="11">
        <v>45145.0</v>
      </c>
      <c r="S637" s="12"/>
      <c r="T637" s="8"/>
      <c r="U637" s="8" t="s">
        <v>59</v>
      </c>
      <c r="V637" s="13" t="s">
        <v>111</v>
      </c>
      <c r="W637" s="13" t="s">
        <v>3548</v>
      </c>
      <c r="X637" s="12"/>
      <c r="Y637" s="14"/>
      <c r="Z637" s="14"/>
    </row>
    <row r="638">
      <c r="A638" s="8" t="s">
        <v>3549</v>
      </c>
      <c r="B638" s="8" t="s">
        <v>3550</v>
      </c>
      <c r="C638" s="8" t="s">
        <v>251</v>
      </c>
      <c r="D638" s="8" t="s">
        <v>26</v>
      </c>
      <c r="E638" s="8" t="s">
        <v>3551</v>
      </c>
      <c r="F638" s="9" t="s">
        <v>3552</v>
      </c>
      <c r="G638" s="8" t="s">
        <v>29</v>
      </c>
      <c r="H638" s="8" t="s">
        <v>530</v>
      </c>
      <c r="I638" s="8" t="s">
        <v>31</v>
      </c>
      <c r="J638" s="8" t="s">
        <v>43</v>
      </c>
      <c r="K638" s="10" t="s">
        <v>837</v>
      </c>
      <c r="L638" s="8" t="s">
        <v>58</v>
      </c>
      <c r="M638" s="8" t="s">
        <v>35</v>
      </c>
      <c r="N638" s="11">
        <v>44883.0</v>
      </c>
      <c r="O638" s="11">
        <v>44963.0</v>
      </c>
      <c r="P638" s="11">
        <v>45009.0</v>
      </c>
      <c r="Q638" s="11"/>
      <c r="R638" s="11"/>
      <c r="S638" s="12"/>
      <c r="T638" s="8"/>
      <c r="U638" s="8" t="s">
        <v>130</v>
      </c>
      <c r="V638" s="13" t="s">
        <v>38</v>
      </c>
      <c r="W638" s="13" t="s">
        <v>3553</v>
      </c>
      <c r="X638" s="12"/>
      <c r="Y638" s="14"/>
      <c r="Z638" s="14"/>
    </row>
    <row r="639">
      <c r="A639" s="8" t="s">
        <v>3554</v>
      </c>
      <c r="B639" s="8" t="s">
        <v>434</v>
      </c>
      <c r="C639" s="8" t="s">
        <v>64</v>
      </c>
      <c r="D639" s="8" t="s">
        <v>26</v>
      </c>
      <c r="E639" s="8" t="s">
        <v>435</v>
      </c>
      <c r="F639" s="8">
        <v>4030141.0</v>
      </c>
      <c r="G639" s="8" t="s">
        <v>436</v>
      </c>
      <c r="H639" s="8" t="s">
        <v>437</v>
      </c>
      <c r="I639" s="8" t="s">
        <v>31</v>
      </c>
      <c r="J639" s="8" t="s">
        <v>111</v>
      </c>
      <c r="K639" s="10" t="s">
        <v>338</v>
      </c>
      <c r="L639" s="8" t="s">
        <v>58</v>
      </c>
      <c r="M639" s="8" t="s">
        <v>35</v>
      </c>
      <c r="N639" s="11">
        <v>44883.0</v>
      </c>
      <c r="O639" s="11">
        <v>44881.0</v>
      </c>
      <c r="P639" s="11">
        <v>44923.0</v>
      </c>
      <c r="Q639" s="11">
        <v>44883.0</v>
      </c>
      <c r="R639" s="11">
        <v>44923.0</v>
      </c>
      <c r="S639" s="12"/>
      <c r="T639" s="8"/>
      <c r="U639" s="8" t="s">
        <v>339</v>
      </c>
      <c r="V639" s="13" t="s">
        <v>440</v>
      </c>
      <c r="W639" s="13" t="s">
        <v>441</v>
      </c>
      <c r="X639" s="12"/>
      <c r="Y639" s="14"/>
      <c r="Z639" s="14"/>
    </row>
    <row r="640">
      <c r="A640" s="8" t="s">
        <v>3555</v>
      </c>
      <c r="B640" s="8" t="s">
        <v>3556</v>
      </c>
      <c r="C640" s="8" t="s">
        <v>25</v>
      </c>
      <c r="D640" s="8" t="s">
        <v>26</v>
      </c>
      <c r="E640" s="8" t="s">
        <v>3557</v>
      </c>
      <c r="F640" s="8"/>
      <c r="G640" s="8" t="s">
        <v>31</v>
      </c>
      <c r="H640" s="8" t="s">
        <v>77</v>
      </c>
      <c r="I640" s="8" t="s">
        <v>221</v>
      </c>
      <c r="J640" s="8" t="s">
        <v>2760</v>
      </c>
      <c r="K640" s="10" t="s">
        <v>3558</v>
      </c>
      <c r="L640" s="8" t="s">
        <v>58</v>
      </c>
      <c r="M640" s="8" t="s">
        <v>35</v>
      </c>
      <c r="N640" s="11">
        <v>44883.0</v>
      </c>
      <c r="O640" s="11">
        <v>44942.0</v>
      </c>
      <c r="P640" s="11">
        <v>44984.0</v>
      </c>
      <c r="Q640" s="11">
        <v>44947.0</v>
      </c>
      <c r="R640" s="11">
        <v>44989.0</v>
      </c>
      <c r="S640" s="12"/>
      <c r="T640" s="8"/>
      <c r="U640" s="8" t="s">
        <v>88</v>
      </c>
      <c r="V640" s="13" t="s">
        <v>38</v>
      </c>
      <c r="W640" s="13" t="s">
        <v>3559</v>
      </c>
      <c r="X640" s="12"/>
      <c r="Y640" s="14"/>
      <c r="Z640" s="14"/>
    </row>
    <row r="641">
      <c r="A641" s="8" t="s">
        <v>3560</v>
      </c>
      <c r="B641" s="8" t="s">
        <v>3561</v>
      </c>
      <c r="C641" s="8" t="s">
        <v>25</v>
      </c>
      <c r="D641" s="8" t="s">
        <v>26</v>
      </c>
      <c r="E641" s="8" t="s">
        <v>3562</v>
      </c>
      <c r="F641" s="8">
        <v>5.421312176E9</v>
      </c>
      <c r="G641" s="8" t="s">
        <v>31</v>
      </c>
      <c r="H641" s="8" t="s">
        <v>136</v>
      </c>
      <c r="I641" s="8" t="s">
        <v>44</v>
      </c>
      <c r="J641" s="8" t="s">
        <v>3563</v>
      </c>
      <c r="K641" s="10" t="s">
        <v>3564</v>
      </c>
      <c r="L641" s="8" t="s">
        <v>58</v>
      </c>
      <c r="M641" s="8" t="s">
        <v>35</v>
      </c>
      <c r="N641" s="11">
        <v>44883.0</v>
      </c>
      <c r="O641" s="11">
        <v>44941.0</v>
      </c>
      <c r="P641" s="11">
        <v>44983.0</v>
      </c>
      <c r="Q641" s="11">
        <v>44941.0</v>
      </c>
      <c r="R641" s="11">
        <v>44983.0</v>
      </c>
      <c r="S641" s="12"/>
      <c r="T641" s="8"/>
      <c r="U641" s="8" t="s">
        <v>59</v>
      </c>
      <c r="V641" s="13" t="s">
        <v>136</v>
      </c>
      <c r="W641" s="13" t="s">
        <v>3565</v>
      </c>
      <c r="X641" s="12"/>
      <c r="Y641" s="14"/>
      <c r="Z641" s="14"/>
    </row>
    <row r="642">
      <c r="A642" s="8" t="s">
        <v>3566</v>
      </c>
      <c r="B642" s="8" t="s">
        <v>3567</v>
      </c>
      <c r="C642" s="8" t="s">
        <v>25</v>
      </c>
      <c r="D642" s="8" t="s">
        <v>26</v>
      </c>
      <c r="E642" s="8" t="s">
        <v>3568</v>
      </c>
      <c r="F642" s="8">
        <v>5.434277234E9</v>
      </c>
      <c r="G642" s="8" t="s">
        <v>31</v>
      </c>
      <c r="H642" s="8" t="s">
        <v>220</v>
      </c>
      <c r="I642" s="8" t="s">
        <v>54</v>
      </c>
      <c r="J642" s="8" t="s">
        <v>595</v>
      </c>
      <c r="K642" s="10" t="s">
        <v>3533</v>
      </c>
      <c r="L642" s="8" t="s">
        <v>58</v>
      </c>
      <c r="M642" s="8" t="s">
        <v>35</v>
      </c>
      <c r="N642" s="11">
        <v>44884.0</v>
      </c>
      <c r="O642" s="11">
        <v>44954.0</v>
      </c>
      <c r="P642" s="11">
        <v>44996.0</v>
      </c>
      <c r="Q642" s="11">
        <v>44958.0</v>
      </c>
      <c r="R642" s="11">
        <v>45000.0</v>
      </c>
      <c r="S642" s="12"/>
      <c r="T642" s="8"/>
      <c r="U642" s="8" t="s">
        <v>185</v>
      </c>
      <c r="V642" s="13" t="s">
        <v>3569</v>
      </c>
      <c r="W642" s="13" t="s">
        <v>3570</v>
      </c>
      <c r="X642" s="12"/>
      <c r="Y642" s="14"/>
      <c r="Z642" s="14"/>
    </row>
    <row r="643">
      <c r="A643" s="8" t="s">
        <v>3571</v>
      </c>
      <c r="B643" s="8" t="s">
        <v>3572</v>
      </c>
      <c r="C643" s="8" t="s">
        <v>179</v>
      </c>
      <c r="D643" s="8" t="s">
        <v>26</v>
      </c>
      <c r="E643" s="8" t="s">
        <v>3573</v>
      </c>
      <c r="F643" s="8">
        <v>6.22289089E8</v>
      </c>
      <c r="G643" s="8" t="s">
        <v>3574</v>
      </c>
      <c r="H643" s="8" t="s">
        <v>3575</v>
      </c>
      <c r="I643" s="8" t="s">
        <v>31</v>
      </c>
      <c r="J643" s="8" t="s">
        <v>86</v>
      </c>
      <c r="K643" s="10" t="s">
        <v>3576</v>
      </c>
      <c r="L643" s="8" t="s">
        <v>58</v>
      </c>
      <c r="M643" s="8" t="s">
        <v>35</v>
      </c>
      <c r="N643" s="11">
        <v>44884.0</v>
      </c>
      <c r="O643" s="11">
        <v>44977.0</v>
      </c>
      <c r="P643" s="11">
        <v>45019.0</v>
      </c>
      <c r="Q643" s="11"/>
      <c r="R643" s="11"/>
      <c r="S643" s="12"/>
      <c r="T643" s="8"/>
      <c r="U643" s="8" t="s">
        <v>153</v>
      </c>
      <c r="V643" s="13" t="s">
        <v>3577</v>
      </c>
      <c r="W643" s="13" t="s">
        <v>3578</v>
      </c>
      <c r="X643" s="12"/>
      <c r="Y643" s="14"/>
      <c r="Z643" s="14"/>
    </row>
    <row r="644">
      <c r="A644" s="8" t="s">
        <v>3579</v>
      </c>
      <c r="B644" s="8" t="s">
        <v>3580</v>
      </c>
      <c r="C644" s="8" t="s">
        <v>25</v>
      </c>
      <c r="D644" s="8" t="s">
        <v>26</v>
      </c>
      <c r="E644" s="8" t="s">
        <v>3581</v>
      </c>
      <c r="F644" s="8">
        <v>5.539558206E9</v>
      </c>
      <c r="G644" s="8" t="s">
        <v>31</v>
      </c>
      <c r="H644" s="8" t="s">
        <v>220</v>
      </c>
      <c r="I644" s="8" t="s">
        <v>54</v>
      </c>
      <c r="J644" s="8" t="s">
        <v>595</v>
      </c>
      <c r="K644" s="10" t="s">
        <v>3533</v>
      </c>
      <c r="L644" s="8" t="s">
        <v>58</v>
      </c>
      <c r="M644" s="8" t="s">
        <v>35</v>
      </c>
      <c r="N644" s="11">
        <v>44884.0</v>
      </c>
      <c r="O644" s="11">
        <v>44954.0</v>
      </c>
      <c r="P644" s="11">
        <v>44996.0</v>
      </c>
      <c r="Q644" s="11">
        <v>44958.0</v>
      </c>
      <c r="R644" s="11">
        <v>45000.0</v>
      </c>
      <c r="S644" s="12"/>
      <c r="T644" s="8"/>
      <c r="U644" s="8" t="s">
        <v>185</v>
      </c>
      <c r="V644" s="13" t="s">
        <v>220</v>
      </c>
      <c r="W644" s="13" t="s">
        <v>3582</v>
      </c>
      <c r="X644" s="12"/>
      <c r="Y644" s="14"/>
      <c r="Z644" s="14"/>
    </row>
    <row r="645">
      <c r="A645" s="8" t="s">
        <v>3583</v>
      </c>
      <c r="B645" s="8" t="s">
        <v>3584</v>
      </c>
      <c r="C645" s="8" t="s">
        <v>251</v>
      </c>
      <c r="D645" s="8" t="s">
        <v>26</v>
      </c>
      <c r="E645" s="8" t="s">
        <v>3585</v>
      </c>
      <c r="F645" s="8"/>
      <c r="G645" s="8" t="s">
        <v>31</v>
      </c>
      <c r="H645" s="8" t="s">
        <v>292</v>
      </c>
      <c r="I645" s="8" t="s">
        <v>284</v>
      </c>
      <c r="J645" s="8" t="s">
        <v>3586</v>
      </c>
      <c r="K645" s="10" t="s">
        <v>3587</v>
      </c>
      <c r="L645" s="8" t="s">
        <v>47</v>
      </c>
      <c r="M645" s="8" t="s">
        <v>35</v>
      </c>
      <c r="N645" s="11">
        <v>44884.0</v>
      </c>
      <c r="O645" s="11">
        <v>44958.0</v>
      </c>
      <c r="P645" s="11">
        <v>45041.0</v>
      </c>
      <c r="Q645" s="11"/>
      <c r="R645" s="11"/>
      <c r="S645" s="12"/>
      <c r="T645" s="8"/>
      <c r="U645" s="8" t="s">
        <v>3588</v>
      </c>
      <c r="V645" s="13" t="s">
        <v>38</v>
      </c>
      <c r="W645" s="13" t="s">
        <v>3589</v>
      </c>
      <c r="X645" s="12"/>
      <c r="Y645" s="14"/>
      <c r="Z645" s="14"/>
    </row>
    <row r="646">
      <c r="A646" s="8" t="s">
        <v>3590</v>
      </c>
      <c r="B646" s="8" t="s">
        <v>3591</v>
      </c>
      <c r="C646" s="8" t="s">
        <v>179</v>
      </c>
      <c r="D646" s="8" t="s">
        <v>26</v>
      </c>
      <c r="E646" s="8" t="s">
        <v>3592</v>
      </c>
      <c r="F646" s="9" t="s">
        <v>3593</v>
      </c>
      <c r="G646" s="8" t="s">
        <v>31</v>
      </c>
      <c r="H646" s="8" t="s">
        <v>542</v>
      </c>
      <c r="I646" s="8" t="s">
        <v>284</v>
      </c>
      <c r="J646" s="8" t="s">
        <v>1422</v>
      </c>
      <c r="K646" s="10" t="s">
        <v>3594</v>
      </c>
      <c r="L646" s="8" t="s">
        <v>58</v>
      </c>
      <c r="M646" s="8" t="s">
        <v>35</v>
      </c>
      <c r="N646" s="11">
        <v>44884.0</v>
      </c>
      <c r="O646" s="11">
        <v>45078.0</v>
      </c>
      <c r="P646" s="11">
        <v>45120.0</v>
      </c>
      <c r="Q646" s="11"/>
      <c r="R646" s="11"/>
      <c r="S646" s="12"/>
      <c r="T646" s="8"/>
      <c r="U646" s="8" t="s">
        <v>153</v>
      </c>
      <c r="V646" s="13" t="s">
        <v>111</v>
      </c>
      <c r="W646" s="13" t="s">
        <v>3595</v>
      </c>
      <c r="X646" s="12"/>
      <c r="Y646" s="14"/>
      <c r="Z646" s="14"/>
    </row>
    <row r="647">
      <c r="A647" s="8" t="s">
        <v>3596</v>
      </c>
      <c r="B647" s="8" t="s">
        <v>3597</v>
      </c>
      <c r="C647" s="8" t="s">
        <v>25</v>
      </c>
      <c r="D647" s="8" t="s">
        <v>26</v>
      </c>
      <c r="E647" s="8" t="s">
        <v>3598</v>
      </c>
      <c r="F647" s="8">
        <v>5.514582807E9</v>
      </c>
      <c r="G647" s="8" t="s">
        <v>31</v>
      </c>
      <c r="H647" s="8" t="s">
        <v>220</v>
      </c>
      <c r="I647" s="8" t="s">
        <v>284</v>
      </c>
      <c r="J647" s="8" t="s">
        <v>589</v>
      </c>
      <c r="K647" s="10" t="s">
        <v>2888</v>
      </c>
      <c r="L647" s="8" t="s">
        <v>58</v>
      </c>
      <c r="M647" s="8" t="s">
        <v>35</v>
      </c>
      <c r="N647" s="11">
        <v>44885.0</v>
      </c>
      <c r="O647" s="11">
        <v>45122.0</v>
      </c>
      <c r="P647" s="11">
        <v>45164.0</v>
      </c>
      <c r="Q647" s="11">
        <v>45122.0</v>
      </c>
      <c r="R647" s="11">
        <v>45164.0</v>
      </c>
      <c r="S647" s="12"/>
      <c r="T647" s="8"/>
      <c r="U647" s="8" t="s">
        <v>1038</v>
      </c>
      <c r="V647" s="13" t="s">
        <v>220</v>
      </c>
      <c r="W647" s="13" t="s">
        <v>3599</v>
      </c>
      <c r="X647" s="12"/>
      <c r="Y647" s="14"/>
      <c r="Z647" s="14"/>
    </row>
    <row r="648">
      <c r="A648" s="8" t="s">
        <v>3600</v>
      </c>
      <c r="B648" s="8" t="s">
        <v>3601</v>
      </c>
      <c r="C648" s="8" t="s">
        <v>25</v>
      </c>
      <c r="D648" s="8" t="s">
        <v>26</v>
      </c>
      <c r="E648" s="8" t="s">
        <v>3602</v>
      </c>
      <c r="F648" s="8"/>
      <c r="G648" s="8" t="s">
        <v>31</v>
      </c>
      <c r="H648" s="8" t="s">
        <v>102</v>
      </c>
      <c r="I648" s="8" t="s">
        <v>127</v>
      </c>
      <c r="J648" s="8" t="s">
        <v>159</v>
      </c>
      <c r="K648" s="10" t="s">
        <v>2615</v>
      </c>
      <c r="L648" s="8" t="s">
        <v>58</v>
      </c>
      <c r="M648" s="8" t="s">
        <v>35</v>
      </c>
      <c r="N648" s="11">
        <v>44885.0</v>
      </c>
      <c r="O648" s="11">
        <v>44949.0</v>
      </c>
      <c r="P648" s="11">
        <v>44991.0</v>
      </c>
      <c r="Q648" s="11">
        <v>44949.0</v>
      </c>
      <c r="R648" s="11">
        <v>44991.0</v>
      </c>
      <c r="S648" s="12"/>
      <c r="T648" s="8"/>
      <c r="U648" s="8" t="s">
        <v>1956</v>
      </c>
      <c r="V648" s="13" t="s">
        <v>38</v>
      </c>
      <c r="W648" s="13" t="s">
        <v>3603</v>
      </c>
      <c r="X648" s="12"/>
      <c r="Y648" s="14"/>
      <c r="Z648" s="14"/>
    </row>
    <row r="649">
      <c r="A649" s="8" t="s">
        <v>3604</v>
      </c>
      <c r="B649" s="8" t="s">
        <v>3605</v>
      </c>
      <c r="C649" s="8" t="s">
        <v>25</v>
      </c>
      <c r="D649" s="8" t="s">
        <v>26</v>
      </c>
      <c r="E649" s="8" t="s">
        <v>3606</v>
      </c>
      <c r="F649" s="8">
        <v>5.309583354E9</v>
      </c>
      <c r="G649" s="8" t="s">
        <v>31</v>
      </c>
      <c r="H649" s="8" t="s">
        <v>86</v>
      </c>
      <c r="I649" s="8" t="s">
        <v>3607</v>
      </c>
      <c r="J649" s="8" t="s">
        <v>3608</v>
      </c>
      <c r="K649" s="10" t="s">
        <v>3609</v>
      </c>
      <c r="L649" s="8" t="s">
        <v>58</v>
      </c>
      <c r="M649" s="8" t="s">
        <v>35</v>
      </c>
      <c r="N649" s="11">
        <v>44885.0</v>
      </c>
      <c r="O649" s="11">
        <v>44928.0</v>
      </c>
      <c r="P649" s="11">
        <v>44970.0</v>
      </c>
      <c r="Q649" s="11"/>
      <c r="R649" s="11">
        <v>44970.0</v>
      </c>
      <c r="S649" s="12"/>
      <c r="T649" s="8"/>
      <c r="U649" s="8" t="s">
        <v>59</v>
      </c>
      <c r="V649" s="13" t="s">
        <v>111</v>
      </c>
      <c r="W649" s="13" t="s">
        <v>3610</v>
      </c>
      <c r="X649" s="12"/>
      <c r="Y649" s="14"/>
      <c r="Z649" s="14"/>
    </row>
    <row r="650">
      <c r="A650" s="8" t="s">
        <v>3611</v>
      </c>
      <c r="B650" s="8" t="s">
        <v>3612</v>
      </c>
      <c r="C650" s="8" t="s">
        <v>251</v>
      </c>
      <c r="D650" s="8" t="s">
        <v>26</v>
      </c>
      <c r="E650" s="8" t="s">
        <v>3613</v>
      </c>
      <c r="F650" s="8">
        <v>3.3838002E7</v>
      </c>
      <c r="G650" s="8" t="s">
        <v>3614</v>
      </c>
      <c r="H650" s="8" t="s">
        <v>3615</v>
      </c>
      <c r="I650" s="8" t="s">
        <v>31</v>
      </c>
      <c r="J650" s="8" t="s">
        <v>32</v>
      </c>
      <c r="K650" s="10" t="s">
        <v>2470</v>
      </c>
      <c r="L650" s="8" t="s">
        <v>58</v>
      </c>
      <c r="M650" s="8" t="s">
        <v>35</v>
      </c>
      <c r="N650" s="11">
        <v>44885.0</v>
      </c>
      <c r="O650" s="11">
        <v>44941.0</v>
      </c>
      <c r="P650" s="11">
        <v>44983.0</v>
      </c>
      <c r="Q650" s="11"/>
      <c r="R650" s="11"/>
      <c r="S650" s="12"/>
      <c r="T650" s="8"/>
      <c r="U650" s="8" t="s">
        <v>59</v>
      </c>
      <c r="V650" s="13" t="s">
        <v>3616</v>
      </c>
      <c r="W650" s="13" t="s">
        <v>3617</v>
      </c>
      <c r="X650" s="12"/>
      <c r="Y650" s="14"/>
      <c r="Z650" s="14"/>
    </row>
    <row r="651">
      <c r="A651" s="8" t="s">
        <v>3618</v>
      </c>
      <c r="B651" s="8" t="s">
        <v>3619</v>
      </c>
      <c r="C651" s="8" t="s">
        <v>179</v>
      </c>
      <c r="D651" s="8" t="s">
        <v>26</v>
      </c>
      <c r="E651" s="8" t="s">
        <v>3620</v>
      </c>
      <c r="F651" s="8">
        <v>8.447306441E9</v>
      </c>
      <c r="G651" s="8" t="s">
        <v>44</v>
      </c>
      <c r="H651" s="8" t="s">
        <v>1433</v>
      </c>
      <c r="I651" s="8" t="s">
        <v>31</v>
      </c>
      <c r="J651" s="8" t="s">
        <v>86</v>
      </c>
      <c r="K651" s="10" t="s">
        <v>3621</v>
      </c>
      <c r="L651" s="8" t="s">
        <v>58</v>
      </c>
      <c r="M651" s="8" t="s">
        <v>35</v>
      </c>
      <c r="N651" s="11">
        <v>44886.0</v>
      </c>
      <c r="O651" s="11">
        <v>45111.0</v>
      </c>
      <c r="P651" s="11">
        <v>45153.0</v>
      </c>
      <c r="Q651" s="11"/>
      <c r="R651" s="11"/>
      <c r="S651" s="12"/>
      <c r="T651" s="8"/>
      <c r="U651" s="8" t="s">
        <v>153</v>
      </c>
      <c r="V651" s="13" t="s">
        <v>3622</v>
      </c>
      <c r="W651" s="13" t="s">
        <v>3623</v>
      </c>
      <c r="X651" s="12"/>
      <c r="Y651" s="14"/>
      <c r="Z651" s="14"/>
    </row>
    <row r="652">
      <c r="A652" s="8" t="s">
        <v>3624</v>
      </c>
      <c r="B652" s="8" t="s">
        <v>3625</v>
      </c>
      <c r="C652" s="8" t="s">
        <v>64</v>
      </c>
      <c r="D652" s="8" t="s">
        <v>26</v>
      </c>
      <c r="E652" s="8" t="s">
        <v>3626</v>
      </c>
      <c r="F652" s="8"/>
      <c r="G652" s="8" t="s">
        <v>3627</v>
      </c>
      <c r="H652" s="8" t="s">
        <v>3628</v>
      </c>
      <c r="I652" s="8" t="s">
        <v>31</v>
      </c>
      <c r="J652" s="8" t="s">
        <v>256</v>
      </c>
      <c r="K652" s="10" t="s">
        <v>3629</v>
      </c>
      <c r="L652" s="8" t="s">
        <v>34</v>
      </c>
      <c r="M652" s="8" t="s">
        <v>70</v>
      </c>
      <c r="N652" s="11">
        <v>44886.0</v>
      </c>
      <c r="O652" s="11">
        <v>44900.0</v>
      </c>
      <c r="P652" s="11">
        <v>45265.0</v>
      </c>
      <c r="Q652" s="11">
        <v>44886.0</v>
      </c>
      <c r="R652" s="11">
        <v>45260.0</v>
      </c>
      <c r="S652" s="12"/>
      <c r="T652" s="8" t="s">
        <v>205</v>
      </c>
      <c r="U652" s="8" t="s">
        <v>3630</v>
      </c>
      <c r="V652" s="13" t="s">
        <v>3631</v>
      </c>
      <c r="W652" s="13" t="s">
        <v>3632</v>
      </c>
      <c r="X652" s="12"/>
      <c r="Y652" s="14"/>
      <c r="Z652" s="14"/>
    </row>
    <row r="653">
      <c r="A653" s="8" t="s">
        <v>3633</v>
      </c>
      <c r="B653" s="8" t="s">
        <v>3634</v>
      </c>
      <c r="C653" s="8" t="s">
        <v>25</v>
      </c>
      <c r="D653" s="8" t="s">
        <v>26</v>
      </c>
      <c r="E653" s="8" t="s">
        <v>3635</v>
      </c>
      <c r="F653" s="8">
        <v>5.03129366E8</v>
      </c>
      <c r="G653" s="8" t="s">
        <v>3614</v>
      </c>
      <c r="H653" s="8" t="s">
        <v>3636</v>
      </c>
      <c r="I653" s="8" t="s">
        <v>31</v>
      </c>
      <c r="J653" s="8" t="s">
        <v>542</v>
      </c>
      <c r="K653" s="10" t="s">
        <v>2360</v>
      </c>
      <c r="L653" s="8" t="s">
        <v>58</v>
      </c>
      <c r="M653" s="8" t="s">
        <v>35</v>
      </c>
      <c r="N653" s="11">
        <v>44886.0</v>
      </c>
      <c r="O653" s="11">
        <v>44900.0</v>
      </c>
      <c r="P653" s="11">
        <v>44942.0</v>
      </c>
      <c r="Q653" s="11">
        <v>44915.0</v>
      </c>
      <c r="R653" s="11">
        <v>44956.0</v>
      </c>
      <c r="S653" s="12"/>
      <c r="T653" s="8"/>
      <c r="U653" s="8" t="s">
        <v>59</v>
      </c>
      <c r="V653" s="13" t="s">
        <v>3637</v>
      </c>
      <c r="W653" s="13" t="s">
        <v>3638</v>
      </c>
      <c r="X653" s="12"/>
      <c r="Y653" s="14"/>
      <c r="Z653" s="14"/>
    </row>
    <row r="654">
      <c r="A654" s="8" t="s">
        <v>3639</v>
      </c>
      <c r="B654" s="8" t="s">
        <v>3640</v>
      </c>
      <c r="C654" s="8" t="s">
        <v>25</v>
      </c>
      <c r="D654" s="8" t="s">
        <v>26</v>
      </c>
      <c r="E654" s="8" t="s">
        <v>3641</v>
      </c>
      <c r="F654" s="8"/>
      <c r="G654" s="8" t="s">
        <v>254</v>
      </c>
      <c r="H654" s="8" t="s">
        <v>758</v>
      </c>
      <c r="I654" s="8" t="s">
        <v>31</v>
      </c>
      <c r="J654" s="8" t="s">
        <v>77</v>
      </c>
      <c r="K654" s="10" t="s">
        <v>2951</v>
      </c>
      <c r="L654" s="8" t="s">
        <v>47</v>
      </c>
      <c r="M654" s="8" t="s">
        <v>70</v>
      </c>
      <c r="N654" s="11">
        <v>44886.0</v>
      </c>
      <c r="O654" s="11">
        <v>44905.0</v>
      </c>
      <c r="P654" s="11">
        <v>45270.0</v>
      </c>
      <c r="Q654" s="11">
        <v>44912.0</v>
      </c>
      <c r="R654" s="11">
        <v>45232.0</v>
      </c>
      <c r="S654" s="12"/>
      <c r="T654" s="8"/>
      <c r="U654" s="8" t="s">
        <v>2952</v>
      </c>
      <c r="V654" s="13" t="s">
        <v>38</v>
      </c>
      <c r="W654" s="13" t="s">
        <v>3642</v>
      </c>
      <c r="X654" s="12"/>
      <c r="Y654" s="14"/>
      <c r="Z654" s="14"/>
    </row>
    <row r="655">
      <c r="A655" s="8" t="s">
        <v>3643</v>
      </c>
      <c r="B655" s="8" t="s">
        <v>3644</v>
      </c>
      <c r="C655" s="8" t="s">
        <v>179</v>
      </c>
      <c r="D655" s="8" t="s">
        <v>26</v>
      </c>
      <c r="E655" s="8" t="s">
        <v>3645</v>
      </c>
      <c r="F655" s="8">
        <v>5.443628501E9</v>
      </c>
      <c r="G655" s="8" t="s">
        <v>31</v>
      </c>
      <c r="H655" s="8" t="s">
        <v>86</v>
      </c>
      <c r="I655" s="8" t="s">
        <v>284</v>
      </c>
      <c r="J655" s="8" t="s">
        <v>793</v>
      </c>
      <c r="K655" s="10" t="s">
        <v>2688</v>
      </c>
      <c r="L655" s="8" t="s">
        <v>58</v>
      </c>
      <c r="M655" s="8" t="s">
        <v>35</v>
      </c>
      <c r="N655" s="11">
        <v>44886.0</v>
      </c>
      <c r="O655" s="11">
        <v>45108.0</v>
      </c>
      <c r="P655" s="11">
        <v>45150.0</v>
      </c>
      <c r="Q655" s="11"/>
      <c r="R655" s="11"/>
      <c r="S655" s="12"/>
      <c r="T655" s="8"/>
      <c r="U655" s="8" t="s">
        <v>1038</v>
      </c>
      <c r="V655" s="13" t="s">
        <v>175</v>
      </c>
      <c r="W655" s="13" t="s">
        <v>3646</v>
      </c>
      <c r="X655" s="12"/>
      <c r="Y655" s="14"/>
      <c r="Z655" s="14"/>
    </row>
    <row r="656">
      <c r="A656" s="8" t="s">
        <v>3647</v>
      </c>
      <c r="B656" s="8" t="s">
        <v>3648</v>
      </c>
      <c r="C656" s="8" t="s">
        <v>25</v>
      </c>
      <c r="D656" s="8" t="s">
        <v>26</v>
      </c>
      <c r="E656" s="8" t="s">
        <v>3649</v>
      </c>
      <c r="F656" s="8">
        <v>9.872524459E9</v>
      </c>
      <c r="G656" s="8" t="s">
        <v>44</v>
      </c>
      <c r="H656" s="8" t="s">
        <v>881</v>
      </c>
      <c r="I656" s="8" t="s">
        <v>31</v>
      </c>
      <c r="J656" s="8" t="s">
        <v>292</v>
      </c>
      <c r="K656" s="10" t="s">
        <v>3320</v>
      </c>
      <c r="L656" s="8" t="s">
        <v>58</v>
      </c>
      <c r="M656" s="8" t="s">
        <v>35</v>
      </c>
      <c r="N656" s="11">
        <v>44886.0</v>
      </c>
      <c r="O656" s="11">
        <v>44941.0</v>
      </c>
      <c r="P656" s="11">
        <v>44983.0</v>
      </c>
      <c r="Q656" s="11">
        <v>44963.0</v>
      </c>
      <c r="R656" s="11">
        <v>45028.0</v>
      </c>
      <c r="S656" s="12"/>
      <c r="T656" s="8"/>
      <c r="U656" s="8" t="s">
        <v>88</v>
      </c>
      <c r="V656" s="13" t="s">
        <v>3650</v>
      </c>
      <c r="W656" s="13" t="s">
        <v>3651</v>
      </c>
      <c r="X656" s="12"/>
      <c r="Y656" s="14"/>
      <c r="Z656" s="14"/>
    </row>
    <row r="657">
      <c r="A657" s="8" t="s">
        <v>3652</v>
      </c>
      <c r="B657" s="8" t="s">
        <v>3653</v>
      </c>
      <c r="C657" s="8" t="s">
        <v>25</v>
      </c>
      <c r="D657" s="8" t="s">
        <v>26</v>
      </c>
      <c r="E657" s="8" t="s">
        <v>3654</v>
      </c>
      <c r="F657" s="8">
        <v>9.6901591E8</v>
      </c>
      <c r="G657" s="8" t="s">
        <v>1620</v>
      </c>
      <c r="H657" s="8" t="s">
        <v>3655</v>
      </c>
      <c r="I657" s="8" t="s">
        <v>31</v>
      </c>
      <c r="J657" s="8" t="s">
        <v>167</v>
      </c>
      <c r="K657" s="10" t="s">
        <v>893</v>
      </c>
      <c r="L657" s="8" t="s">
        <v>58</v>
      </c>
      <c r="M657" s="8" t="s">
        <v>35</v>
      </c>
      <c r="N657" s="11">
        <v>44886.0</v>
      </c>
      <c r="O657" s="11">
        <v>45117.0</v>
      </c>
      <c r="P657" s="11">
        <v>45159.0</v>
      </c>
      <c r="Q657" s="11">
        <v>45118.0</v>
      </c>
      <c r="R657" s="11">
        <v>45159.0</v>
      </c>
      <c r="S657" s="12"/>
      <c r="T657" s="8"/>
      <c r="U657" s="8" t="s">
        <v>88</v>
      </c>
      <c r="V657" s="13" t="s">
        <v>3656</v>
      </c>
      <c r="W657" s="13" t="s">
        <v>3657</v>
      </c>
      <c r="X657" s="12"/>
      <c r="Y657" s="14"/>
      <c r="Z657" s="14"/>
    </row>
    <row r="658">
      <c r="A658" s="8" t="s">
        <v>3658</v>
      </c>
      <c r="B658" s="8" t="s">
        <v>3659</v>
      </c>
      <c r="C658" s="8" t="s">
        <v>64</v>
      </c>
      <c r="D658" s="8" t="s">
        <v>26</v>
      </c>
      <c r="E658" s="8" t="s">
        <v>3660</v>
      </c>
      <c r="F658" s="8"/>
      <c r="G658" s="8" t="s">
        <v>54</v>
      </c>
      <c r="H658" s="8" t="s">
        <v>135</v>
      </c>
      <c r="I658" s="8" t="s">
        <v>31</v>
      </c>
      <c r="J658" s="8" t="s">
        <v>111</v>
      </c>
      <c r="K658" s="10" t="s">
        <v>2864</v>
      </c>
      <c r="L658" s="8" t="s">
        <v>34</v>
      </c>
      <c r="M658" s="8" t="s">
        <v>35</v>
      </c>
      <c r="N658" s="11">
        <v>44886.0</v>
      </c>
      <c r="O658" s="11">
        <v>44928.0</v>
      </c>
      <c r="P658" s="11">
        <v>45011.0</v>
      </c>
      <c r="Q658" s="11">
        <v>44925.0</v>
      </c>
      <c r="R658" s="11">
        <v>45013.0</v>
      </c>
      <c r="S658" s="12"/>
      <c r="T658" s="8" t="s">
        <v>121</v>
      </c>
      <c r="U658" s="8" t="s">
        <v>122</v>
      </c>
      <c r="V658" s="13" t="s">
        <v>38</v>
      </c>
      <c r="W658" s="13" t="s">
        <v>3661</v>
      </c>
      <c r="X658" s="12"/>
      <c r="Y658" s="14"/>
      <c r="Z658" s="14"/>
    </row>
    <row r="659">
      <c r="A659" s="8" t="s">
        <v>3662</v>
      </c>
      <c r="B659" s="8" t="s">
        <v>3663</v>
      </c>
      <c r="C659" s="8" t="s">
        <v>25</v>
      </c>
      <c r="D659" s="8" t="s">
        <v>26</v>
      </c>
      <c r="E659" s="8" t="s">
        <v>3664</v>
      </c>
      <c r="F659" s="8">
        <v>5.0777121E7</v>
      </c>
      <c r="G659" s="8" t="s">
        <v>54</v>
      </c>
      <c r="H659" s="8" t="s">
        <v>377</v>
      </c>
      <c r="I659" s="8" t="s">
        <v>31</v>
      </c>
      <c r="J659" s="8" t="s">
        <v>1119</v>
      </c>
      <c r="K659" s="10" t="s">
        <v>3665</v>
      </c>
      <c r="L659" s="8" t="s">
        <v>58</v>
      </c>
      <c r="M659" s="8" t="s">
        <v>35</v>
      </c>
      <c r="N659" s="11">
        <v>44887.0</v>
      </c>
      <c r="O659" s="11">
        <v>45117.0</v>
      </c>
      <c r="P659" s="11">
        <v>45159.0</v>
      </c>
      <c r="Q659" s="11">
        <v>45118.0</v>
      </c>
      <c r="R659" s="11">
        <v>45159.0</v>
      </c>
      <c r="S659" s="12"/>
      <c r="T659" s="8"/>
      <c r="U659" s="8" t="s">
        <v>59</v>
      </c>
      <c r="V659" s="13" t="s">
        <v>2243</v>
      </c>
      <c r="W659" s="13" t="s">
        <v>3666</v>
      </c>
      <c r="X659" s="12"/>
      <c r="Y659" s="14"/>
      <c r="Z659" s="14"/>
    </row>
    <row r="660">
      <c r="A660" s="8" t="s">
        <v>3667</v>
      </c>
      <c r="B660" s="8" t="s">
        <v>3668</v>
      </c>
      <c r="C660" s="8" t="s">
        <v>25</v>
      </c>
      <c r="D660" s="8" t="s">
        <v>26</v>
      </c>
      <c r="E660" s="8" t="s">
        <v>3669</v>
      </c>
      <c r="F660" s="8">
        <v>5.8612138E7</v>
      </c>
      <c r="G660" s="8" t="s">
        <v>54</v>
      </c>
      <c r="H660" s="8" t="s">
        <v>595</v>
      </c>
      <c r="I660" s="8" t="s">
        <v>31</v>
      </c>
      <c r="J660" s="8" t="s">
        <v>77</v>
      </c>
      <c r="K660" s="10" t="s">
        <v>2537</v>
      </c>
      <c r="L660" s="8" t="s">
        <v>58</v>
      </c>
      <c r="M660" s="8" t="s">
        <v>35</v>
      </c>
      <c r="N660" s="11">
        <v>44887.0</v>
      </c>
      <c r="O660" s="11">
        <v>44907.0</v>
      </c>
      <c r="P660" s="11">
        <v>44949.0</v>
      </c>
      <c r="Q660" s="11">
        <v>44907.0</v>
      </c>
      <c r="R660" s="11">
        <v>44949.0</v>
      </c>
      <c r="S660" s="12"/>
      <c r="T660" s="8"/>
      <c r="U660" s="8" t="s">
        <v>88</v>
      </c>
      <c r="V660" s="13" t="s">
        <v>3670</v>
      </c>
      <c r="W660" s="13" t="s">
        <v>3671</v>
      </c>
      <c r="X660" s="12"/>
      <c r="Y660" s="14"/>
      <c r="Z660" s="14"/>
    </row>
    <row r="661">
      <c r="A661" s="8" t="s">
        <v>3672</v>
      </c>
      <c r="B661" s="8" t="s">
        <v>3673</v>
      </c>
      <c r="C661" s="8" t="s">
        <v>25</v>
      </c>
      <c r="D661" s="8" t="s">
        <v>26</v>
      </c>
      <c r="E661" s="8" t="s">
        <v>3674</v>
      </c>
      <c r="F661" s="8">
        <v>5.6143891E7</v>
      </c>
      <c r="G661" s="8" t="s">
        <v>54</v>
      </c>
      <c r="H661" s="8" t="s">
        <v>377</v>
      </c>
      <c r="I661" s="8" t="s">
        <v>31</v>
      </c>
      <c r="J661" s="8" t="s">
        <v>220</v>
      </c>
      <c r="K661" s="10" t="s">
        <v>3675</v>
      </c>
      <c r="L661" s="8" t="s">
        <v>58</v>
      </c>
      <c r="M661" s="8" t="s">
        <v>35</v>
      </c>
      <c r="N661" s="11">
        <v>44887.0</v>
      </c>
      <c r="O661" s="11">
        <v>45117.0</v>
      </c>
      <c r="P661" s="11">
        <v>45159.0</v>
      </c>
      <c r="Q661" s="11">
        <v>45119.0</v>
      </c>
      <c r="R661" s="11">
        <v>45159.0</v>
      </c>
      <c r="S661" s="12"/>
      <c r="T661" s="8"/>
      <c r="U661" s="8" t="s">
        <v>59</v>
      </c>
      <c r="V661" s="13" t="s">
        <v>3274</v>
      </c>
      <c r="W661" s="13" t="s">
        <v>3676</v>
      </c>
      <c r="X661" s="12"/>
      <c r="Y661" s="14"/>
      <c r="Z661" s="14"/>
    </row>
    <row r="662">
      <c r="A662" s="8" t="s">
        <v>3677</v>
      </c>
      <c r="B662" s="8" t="s">
        <v>3678</v>
      </c>
      <c r="C662" s="8" t="s">
        <v>64</v>
      </c>
      <c r="D662" s="8" t="s">
        <v>26</v>
      </c>
      <c r="E662" s="8" t="s">
        <v>3679</v>
      </c>
      <c r="F662" s="8">
        <v>8.219670398E9</v>
      </c>
      <c r="G662" s="8" t="s">
        <v>44</v>
      </c>
      <c r="H662" s="8" t="s">
        <v>1433</v>
      </c>
      <c r="I662" s="8" t="s">
        <v>31</v>
      </c>
      <c r="J662" s="8" t="s">
        <v>86</v>
      </c>
      <c r="K662" s="10" t="s">
        <v>3621</v>
      </c>
      <c r="L662" s="8" t="s">
        <v>58</v>
      </c>
      <c r="M662" s="8" t="s">
        <v>35</v>
      </c>
      <c r="N662" s="11">
        <v>44887.0</v>
      </c>
      <c r="O662" s="11">
        <v>45111.0</v>
      </c>
      <c r="P662" s="11">
        <v>45153.0</v>
      </c>
      <c r="Q662" s="11">
        <v>45110.0</v>
      </c>
      <c r="R662" s="11">
        <v>45153.0</v>
      </c>
      <c r="S662" s="12"/>
      <c r="T662" s="8"/>
      <c r="U662" s="8" t="s">
        <v>153</v>
      </c>
      <c r="V662" s="13" t="s">
        <v>3622</v>
      </c>
      <c r="W662" s="13" t="s">
        <v>3680</v>
      </c>
      <c r="X662" s="12"/>
      <c r="Y662" s="14"/>
      <c r="Z662" s="14"/>
    </row>
    <row r="663">
      <c r="A663" s="8" t="s">
        <v>3681</v>
      </c>
      <c r="B663" s="8" t="s">
        <v>3682</v>
      </c>
      <c r="C663" s="8" t="s">
        <v>251</v>
      </c>
      <c r="D663" s="8" t="s">
        <v>26</v>
      </c>
      <c r="E663" s="8" t="s">
        <v>3683</v>
      </c>
      <c r="F663" s="8"/>
      <c r="G663" s="8" t="s">
        <v>284</v>
      </c>
      <c r="H663" s="8" t="s">
        <v>1450</v>
      </c>
      <c r="I663" s="8" t="s">
        <v>31</v>
      </c>
      <c r="J663" s="8" t="s">
        <v>542</v>
      </c>
      <c r="K663" s="10" t="s">
        <v>3684</v>
      </c>
      <c r="L663" s="8" t="s">
        <v>34</v>
      </c>
      <c r="M663" s="8" t="s">
        <v>70</v>
      </c>
      <c r="N663" s="11">
        <v>44887.0</v>
      </c>
      <c r="O663" s="11">
        <v>44907.0</v>
      </c>
      <c r="P663" s="11">
        <v>45271.0</v>
      </c>
      <c r="Q663" s="11"/>
      <c r="R663" s="11"/>
      <c r="S663" s="12"/>
      <c r="T663" s="8" t="s">
        <v>205</v>
      </c>
      <c r="U663" s="8" t="s">
        <v>3685</v>
      </c>
      <c r="V663" s="13" t="s">
        <v>38</v>
      </c>
      <c r="W663" s="13" t="s">
        <v>3686</v>
      </c>
      <c r="X663" s="12"/>
      <c r="Y663" s="14"/>
      <c r="Z663" s="14"/>
    </row>
    <row r="664">
      <c r="A664" s="8" t="s">
        <v>3687</v>
      </c>
      <c r="B664" s="8" t="s">
        <v>3688</v>
      </c>
      <c r="C664" s="8" t="s">
        <v>64</v>
      </c>
      <c r="D664" s="8" t="s">
        <v>26</v>
      </c>
      <c r="E664" s="8" t="s">
        <v>3689</v>
      </c>
      <c r="F664" s="8"/>
      <c r="G664" s="8" t="s">
        <v>84</v>
      </c>
      <c r="H664" s="8" t="s">
        <v>85</v>
      </c>
      <c r="I664" s="8" t="s">
        <v>31</v>
      </c>
      <c r="J664" s="8" t="s">
        <v>86</v>
      </c>
      <c r="K664" s="10" t="s">
        <v>3690</v>
      </c>
      <c r="L664" s="8" t="s">
        <v>34</v>
      </c>
      <c r="M664" s="8" t="s">
        <v>70</v>
      </c>
      <c r="N664" s="11">
        <v>44887.0</v>
      </c>
      <c r="O664" s="11">
        <v>44898.0</v>
      </c>
      <c r="P664" s="11">
        <v>45247.0</v>
      </c>
      <c r="Q664" s="11">
        <v>44898.0</v>
      </c>
      <c r="R664" s="11">
        <v>45260.0</v>
      </c>
      <c r="S664" s="12"/>
      <c r="T664" s="8" t="s">
        <v>205</v>
      </c>
      <c r="U664" s="8" t="s">
        <v>3691</v>
      </c>
      <c r="V664" s="13" t="s">
        <v>38</v>
      </c>
      <c r="W664" s="13" t="s">
        <v>3692</v>
      </c>
      <c r="X664" s="12"/>
      <c r="Y664" s="14"/>
      <c r="Z664" s="14"/>
    </row>
    <row r="665">
      <c r="A665" s="8" t="s">
        <v>3693</v>
      </c>
      <c r="B665" s="8" t="s">
        <v>3694</v>
      </c>
      <c r="C665" s="8" t="s">
        <v>25</v>
      </c>
      <c r="D665" s="8" t="s">
        <v>26</v>
      </c>
      <c r="E665" s="8" t="s">
        <v>3695</v>
      </c>
      <c r="F665" s="8">
        <v>6.12033791E8</v>
      </c>
      <c r="G665" s="8" t="s">
        <v>221</v>
      </c>
      <c r="H665" s="8" t="s">
        <v>3506</v>
      </c>
      <c r="I665" s="8" t="s">
        <v>31</v>
      </c>
      <c r="J665" s="8" t="s">
        <v>86</v>
      </c>
      <c r="K665" s="10" t="s">
        <v>389</v>
      </c>
      <c r="L665" s="8" t="s">
        <v>58</v>
      </c>
      <c r="M665" s="8" t="s">
        <v>35</v>
      </c>
      <c r="N665" s="11">
        <v>44887.0</v>
      </c>
      <c r="O665" s="11">
        <v>44928.0</v>
      </c>
      <c r="P665" s="11">
        <v>44970.0</v>
      </c>
      <c r="Q665" s="11">
        <v>44929.0</v>
      </c>
      <c r="R665" s="11">
        <v>44970.0</v>
      </c>
      <c r="S665" s="12"/>
      <c r="T665" s="8"/>
      <c r="U665" s="8" t="s">
        <v>153</v>
      </c>
      <c r="V665" s="13" t="s">
        <v>3507</v>
      </c>
      <c r="W665" s="13" t="s">
        <v>3696</v>
      </c>
      <c r="X665" s="12"/>
      <c r="Y665" s="14"/>
      <c r="Z665" s="14"/>
    </row>
    <row r="666">
      <c r="A666" s="8" t="s">
        <v>3697</v>
      </c>
      <c r="B666" s="8" t="s">
        <v>3698</v>
      </c>
      <c r="C666" s="8" t="s">
        <v>25</v>
      </c>
      <c r="D666" s="8" t="s">
        <v>26</v>
      </c>
      <c r="E666" s="8" t="s">
        <v>3699</v>
      </c>
      <c r="F666" s="8">
        <v>5.510273878E9</v>
      </c>
      <c r="G666" s="8" t="s">
        <v>31</v>
      </c>
      <c r="H666" s="8" t="s">
        <v>102</v>
      </c>
      <c r="I666" s="8" t="s">
        <v>127</v>
      </c>
      <c r="J666" s="8" t="s">
        <v>159</v>
      </c>
      <c r="K666" s="10" t="s">
        <v>3350</v>
      </c>
      <c r="L666" s="8" t="s">
        <v>58</v>
      </c>
      <c r="M666" s="8" t="s">
        <v>35</v>
      </c>
      <c r="N666" s="11">
        <v>44887.0</v>
      </c>
      <c r="O666" s="11">
        <v>44949.0</v>
      </c>
      <c r="P666" s="11">
        <v>44991.0</v>
      </c>
      <c r="Q666" s="11">
        <v>44954.0</v>
      </c>
      <c r="R666" s="11">
        <v>44994.0</v>
      </c>
      <c r="S666" s="12"/>
      <c r="T666" s="8"/>
      <c r="U666" s="8" t="s">
        <v>1956</v>
      </c>
      <c r="V666" s="13" t="s">
        <v>102</v>
      </c>
      <c r="W666" s="13" t="s">
        <v>3700</v>
      </c>
      <c r="X666" s="12"/>
      <c r="Y666" s="14"/>
      <c r="Z666" s="14"/>
    </row>
    <row r="667">
      <c r="A667" s="8" t="s">
        <v>3701</v>
      </c>
      <c r="B667" s="8" t="s">
        <v>3702</v>
      </c>
      <c r="C667" s="8" t="s">
        <v>64</v>
      </c>
      <c r="D667" s="8" t="s">
        <v>26</v>
      </c>
      <c r="E667" s="8" t="s">
        <v>3703</v>
      </c>
      <c r="F667" s="8">
        <v>1.063998971E9</v>
      </c>
      <c r="G667" s="8" t="s">
        <v>284</v>
      </c>
      <c r="H667" s="8" t="s">
        <v>854</v>
      </c>
      <c r="I667" s="8" t="s">
        <v>31</v>
      </c>
      <c r="J667" s="8" t="s">
        <v>77</v>
      </c>
      <c r="K667" s="10" t="s">
        <v>3704</v>
      </c>
      <c r="L667" s="8" t="s">
        <v>58</v>
      </c>
      <c r="M667" s="8" t="s">
        <v>35</v>
      </c>
      <c r="N667" s="11">
        <v>44887.0</v>
      </c>
      <c r="O667" s="11">
        <v>44907.0</v>
      </c>
      <c r="P667" s="11">
        <v>44949.0</v>
      </c>
      <c r="Q667" s="11">
        <v>44909.0</v>
      </c>
      <c r="R667" s="11">
        <v>44949.0</v>
      </c>
      <c r="S667" s="12"/>
      <c r="T667" s="8"/>
      <c r="U667" s="8" t="s">
        <v>59</v>
      </c>
      <c r="V667" s="13" t="s">
        <v>856</v>
      </c>
      <c r="W667" s="13" t="s">
        <v>3705</v>
      </c>
      <c r="X667" s="12"/>
      <c r="Y667" s="14"/>
      <c r="Z667" s="14"/>
    </row>
    <row r="668">
      <c r="A668" s="8" t="s">
        <v>3706</v>
      </c>
      <c r="B668" s="8" t="s">
        <v>3707</v>
      </c>
      <c r="C668" s="8" t="s">
        <v>64</v>
      </c>
      <c r="D668" s="8" t="s">
        <v>26</v>
      </c>
      <c r="E668" s="8" t="s">
        <v>3708</v>
      </c>
      <c r="F668" s="8"/>
      <c r="G668" s="8" t="s">
        <v>284</v>
      </c>
      <c r="H668" s="8" t="s">
        <v>625</v>
      </c>
      <c r="I668" s="8" t="s">
        <v>31</v>
      </c>
      <c r="J668" s="8" t="s">
        <v>32</v>
      </c>
      <c r="K668" s="10" t="s">
        <v>1451</v>
      </c>
      <c r="L668" s="8" t="s">
        <v>58</v>
      </c>
      <c r="M668" s="8" t="s">
        <v>35</v>
      </c>
      <c r="N668" s="11">
        <v>44887.0</v>
      </c>
      <c r="O668" s="11">
        <v>44983.0</v>
      </c>
      <c r="P668" s="11">
        <v>45025.0</v>
      </c>
      <c r="Q668" s="11">
        <v>44985.0</v>
      </c>
      <c r="R668" s="11">
        <v>45027.0</v>
      </c>
      <c r="S668" s="12"/>
      <c r="T668" s="8"/>
      <c r="U668" s="8" t="s">
        <v>59</v>
      </c>
      <c r="V668" s="13" t="s">
        <v>38</v>
      </c>
      <c r="W668" s="13" t="s">
        <v>3709</v>
      </c>
      <c r="X668" s="12"/>
      <c r="Y668" s="14"/>
      <c r="Z668" s="14"/>
    </row>
    <row r="669">
      <c r="A669" s="8" t="s">
        <v>3710</v>
      </c>
      <c r="B669" s="8" t="s">
        <v>3711</v>
      </c>
      <c r="C669" s="8" t="s">
        <v>251</v>
      </c>
      <c r="D669" s="8" t="s">
        <v>26</v>
      </c>
      <c r="E669" s="8" t="s">
        <v>3712</v>
      </c>
      <c r="F669" s="8">
        <v>6.59552164E8</v>
      </c>
      <c r="G669" s="8" t="s">
        <v>254</v>
      </c>
      <c r="H669" s="8" t="s">
        <v>758</v>
      </c>
      <c r="I669" s="8" t="s">
        <v>31</v>
      </c>
      <c r="J669" s="8" t="s">
        <v>220</v>
      </c>
      <c r="K669" s="10" t="s">
        <v>2198</v>
      </c>
      <c r="L669" s="8" t="s">
        <v>47</v>
      </c>
      <c r="M669" s="8" t="s">
        <v>70</v>
      </c>
      <c r="N669" s="11">
        <v>44887.0</v>
      </c>
      <c r="O669" s="11">
        <v>44941.0</v>
      </c>
      <c r="P669" s="11">
        <v>45306.0</v>
      </c>
      <c r="Q669" s="11"/>
      <c r="R669" s="11"/>
      <c r="S669" s="12"/>
      <c r="T669" s="8"/>
      <c r="U669" s="8" t="s">
        <v>2199</v>
      </c>
      <c r="V669" s="13" t="s">
        <v>1194</v>
      </c>
      <c r="W669" s="13" t="s">
        <v>3713</v>
      </c>
      <c r="X669" s="12"/>
      <c r="Y669" s="14"/>
      <c r="Z669" s="14"/>
    </row>
    <row r="670">
      <c r="A670" s="8" t="s">
        <v>3714</v>
      </c>
      <c r="B670" s="8" t="s">
        <v>3715</v>
      </c>
      <c r="C670" s="8" t="s">
        <v>179</v>
      </c>
      <c r="D670" s="8" t="s">
        <v>26</v>
      </c>
      <c r="E670" s="8" t="s">
        <v>3716</v>
      </c>
      <c r="F670" s="8">
        <v>5.013171682E9</v>
      </c>
      <c r="G670" s="8" t="s">
        <v>31</v>
      </c>
      <c r="H670" s="8" t="s">
        <v>43</v>
      </c>
      <c r="I670" s="8" t="s">
        <v>1400</v>
      </c>
      <c r="J670" s="8" t="s">
        <v>1728</v>
      </c>
      <c r="K670" s="10" t="s">
        <v>3717</v>
      </c>
      <c r="L670" s="8" t="s">
        <v>58</v>
      </c>
      <c r="M670" s="8" t="s">
        <v>35</v>
      </c>
      <c r="N670" s="11">
        <v>44887.0</v>
      </c>
      <c r="O670" s="11">
        <v>44942.0</v>
      </c>
      <c r="P670" s="11">
        <v>44984.0</v>
      </c>
      <c r="Q670" s="11"/>
      <c r="R670" s="11"/>
      <c r="S670" s="12"/>
      <c r="T670" s="8"/>
      <c r="U670" s="8" t="s">
        <v>88</v>
      </c>
      <c r="V670" s="13" t="s">
        <v>43</v>
      </c>
      <c r="W670" s="13" t="s">
        <v>3718</v>
      </c>
      <c r="X670" s="12"/>
      <c r="Y670" s="14"/>
      <c r="Z670" s="14"/>
    </row>
    <row r="671">
      <c r="A671" s="8" t="s">
        <v>3719</v>
      </c>
      <c r="B671" s="8" t="s">
        <v>3720</v>
      </c>
      <c r="C671" s="8" t="s">
        <v>25</v>
      </c>
      <c r="D671" s="8" t="s">
        <v>26</v>
      </c>
      <c r="E671" s="8" t="s">
        <v>3721</v>
      </c>
      <c r="F671" s="8"/>
      <c r="G671" s="8" t="s">
        <v>31</v>
      </c>
      <c r="H671" s="8" t="s">
        <v>32</v>
      </c>
      <c r="I671" s="8" t="s">
        <v>100</v>
      </c>
      <c r="J671" s="8" t="s">
        <v>3016</v>
      </c>
      <c r="K671" s="10" t="s">
        <v>3722</v>
      </c>
      <c r="L671" s="8" t="s">
        <v>58</v>
      </c>
      <c r="M671" s="8" t="s">
        <v>35</v>
      </c>
      <c r="N671" s="11">
        <v>44887.0</v>
      </c>
      <c r="O671" s="11">
        <v>44963.0</v>
      </c>
      <c r="P671" s="11">
        <v>45005.0</v>
      </c>
      <c r="Q671" s="11">
        <v>44964.0</v>
      </c>
      <c r="R671" s="11">
        <v>45005.0</v>
      </c>
      <c r="S671" s="12"/>
      <c r="T671" s="8"/>
      <c r="U671" s="8" t="s">
        <v>1956</v>
      </c>
      <c r="V671" s="13" t="s">
        <v>38</v>
      </c>
      <c r="W671" s="13" t="s">
        <v>3723</v>
      </c>
      <c r="X671" s="12"/>
      <c r="Y671" s="14"/>
      <c r="Z671" s="14"/>
    </row>
    <row r="672">
      <c r="A672" s="8" t="s">
        <v>3724</v>
      </c>
      <c r="B672" s="8" t="s">
        <v>3725</v>
      </c>
      <c r="C672" s="8" t="s">
        <v>25</v>
      </c>
      <c r="D672" s="8" t="s">
        <v>26</v>
      </c>
      <c r="E672" s="8" t="s">
        <v>3726</v>
      </c>
      <c r="F672" s="8">
        <v>6.563161335E9</v>
      </c>
      <c r="G672" s="8" t="s">
        <v>466</v>
      </c>
      <c r="H672" s="8" t="s">
        <v>3727</v>
      </c>
      <c r="I672" s="8" t="s">
        <v>31</v>
      </c>
      <c r="J672" s="8" t="s">
        <v>77</v>
      </c>
      <c r="K672" s="10" t="s">
        <v>764</v>
      </c>
      <c r="L672" s="8" t="s">
        <v>58</v>
      </c>
      <c r="M672" s="8" t="s">
        <v>35</v>
      </c>
      <c r="N672" s="11">
        <v>44888.0</v>
      </c>
      <c r="O672" s="11">
        <v>44907.0</v>
      </c>
      <c r="P672" s="11">
        <v>44949.0</v>
      </c>
      <c r="Q672" s="11">
        <v>44909.0</v>
      </c>
      <c r="R672" s="11">
        <v>44949.0</v>
      </c>
      <c r="S672" s="12"/>
      <c r="T672" s="8"/>
      <c r="U672" s="8" t="s">
        <v>59</v>
      </c>
      <c r="V672" s="13" t="s">
        <v>3728</v>
      </c>
      <c r="W672" s="13" t="s">
        <v>3729</v>
      </c>
      <c r="X672" s="12"/>
      <c r="Y672" s="14"/>
      <c r="Z672" s="14"/>
    </row>
    <row r="673">
      <c r="A673" s="8" t="s">
        <v>3730</v>
      </c>
      <c r="B673" s="8" t="s">
        <v>3731</v>
      </c>
      <c r="C673" s="8" t="s">
        <v>708</v>
      </c>
      <c r="D673" s="8" t="s">
        <v>26</v>
      </c>
      <c r="E673" s="8" t="s">
        <v>3732</v>
      </c>
      <c r="F673" s="8"/>
      <c r="G673" s="8" t="s">
        <v>31</v>
      </c>
      <c r="H673" s="8" t="s">
        <v>86</v>
      </c>
      <c r="I673" s="8" t="s">
        <v>202</v>
      </c>
      <c r="J673" s="8" t="s">
        <v>3733</v>
      </c>
      <c r="K673" s="10" t="s">
        <v>3734</v>
      </c>
      <c r="L673" s="8" t="s">
        <v>34</v>
      </c>
      <c r="M673" s="8" t="s">
        <v>70</v>
      </c>
      <c r="N673" s="11">
        <v>44888.0</v>
      </c>
      <c r="O673" s="11">
        <v>44958.0</v>
      </c>
      <c r="P673" s="11">
        <v>45322.0</v>
      </c>
      <c r="Q673" s="11">
        <v>45050.0</v>
      </c>
      <c r="R673" s="11">
        <v>45382.0</v>
      </c>
      <c r="S673" s="12"/>
      <c r="T673" s="8" t="s">
        <v>446</v>
      </c>
      <c r="U673" s="8" t="s">
        <v>3735</v>
      </c>
      <c r="V673" s="13" t="s">
        <v>175</v>
      </c>
      <c r="W673" s="13" t="s">
        <v>3736</v>
      </c>
      <c r="X673" s="12"/>
      <c r="Y673" s="14"/>
      <c r="Z673" s="14"/>
    </row>
    <row r="674">
      <c r="A674" s="8" t="s">
        <v>3737</v>
      </c>
      <c r="B674" s="8" t="s">
        <v>3738</v>
      </c>
      <c r="C674" s="8" t="s">
        <v>64</v>
      </c>
      <c r="D674" s="8" t="s">
        <v>26</v>
      </c>
      <c r="E674" s="8" t="s">
        <v>3739</v>
      </c>
      <c r="F674" s="8">
        <v>5.6113422E7</v>
      </c>
      <c r="G674" s="8" t="s">
        <v>54</v>
      </c>
      <c r="H674" s="8" t="s">
        <v>135</v>
      </c>
      <c r="I674" s="8" t="s">
        <v>31</v>
      </c>
      <c r="J674" s="8" t="s">
        <v>86</v>
      </c>
      <c r="K674" s="10" t="s">
        <v>3740</v>
      </c>
      <c r="L674" s="8" t="s">
        <v>34</v>
      </c>
      <c r="M674" s="8" t="s">
        <v>70</v>
      </c>
      <c r="N674" s="11">
        <v>44888.0</v>
      </c>
      <c r="O674" s="11">
        <v>44921.0</v>
      </c>
      <c r="P674" s="11">
        <v>45289.0</v>
      </c>
      <c r="Q674" s="11">
        <v>44949.0</v>
      </c>
      <c r="R674" s="11">
        <v>45317.0</v>
      </c>
      <c r="S674" s="12"/>
      <c r="T674" s="8" t="s">
        <v>121</v>
      </c>
      <c r="U674" s="8" t="s">
        <v>3741</v>
      </c>
      <c r="V674" s="13" t="s">
        <v>352</v>
      </c>
      <c r="W674" s="13" t="s">
        <v>3742</v>
      </c>
      <c r="X674" s="12"/>
      <c r="Y674" s="14"/>
      <c r="Z674" s="14"/>
    </row>
    <row r="675">
      <c r="A675" s="8" t="s">
        <v>3743</v>
      </c>
      <c r="B675" s="8" t="s">
        <v>3744</v>
      </c>
      <c r="C675" s="8" t="s">
        <v>179</v>
      </c>
      <c r="D675" s="8" t="s">
        <v>26</v>
      </c>
      <c r="E675" s="8" t="s">
        <v>3745</v>
      </c>
      <c r="F675" s="8"/>
      <c r="G675" s="8" t="s">
        <v>54</v>
      </c>
      <c r="H675" s="8" t="s">
        <v>237</v>
      </c>
      <c r="I675" s="8" t="s">
        <v>31</v>
      </c>
      <c r="J675" s="8" t="s">
        <v>86</v>
      </c>
      <c r="K675" s="10" t="s">
        <v>416</v>
      </c>
      <c r="L675" s="8" t="s">
        <v>58</v>
      </c>
      <c r="M675" s="8" t="s">
        <v>35</v>
      </c>
      <c r="N675" s="11">
        <v>44888.0</v>
      </c>
      <c r="O675" s="11">
        <v>45082.0</v>
      </c>
      <c r="P675" s="11">
        <v>45124.0</v>
      </c>
      <c r="Q675" s="11"/>
      <c r="R675" s="11"/>
      <c r="S675" s="12"/>
      <c r="T675" s="8"/>
      <c r="U675" s="8" t="s">
        <v>59</v>
      </c>
      <c r="V675" s="13" t="s">
        <v>3746</v>
      </c>
      <c r="W675" s="13" t="s">
        <v>3747</v>
      </c>
      <c r="X675" s="12"/>
      <c r="Y675" s="14"/>
      <c r="Z675" s="14"/>
    </row>
    <row r="676">
      <c r="A676" s="8" t="s">
        <v>3748</v>
      </c>
      <c r="B676" s="8" t="s">
        <v>3749</v>
      </c>
      <c r="C676" s="8" t="s">
        <v>64</v>
      </c>
      <c r="D676" s="8" t="s">
        <v>26</v>
      </c>
      <c r="E676" s="8" t="s">
        <v>3750</v>
      </c>
      <c r="F676" s="8">
        <v>9.999895287E9</v>
      </c>
      <c r="G676" s="8" t="s">
        <v>44</v>
      </c>
      <c r="H676" s="8" t="s">
        <v>1433</v>
      </c>
      <c r="I676" s="8" t="s">
        <v>31</v>
      </c>
      <c r="J676" s="8" t="s">
        <v>86</v>
      </c>
      <c r="K676" s="10" t="s">
        <v>3621</v>
      </c>
      <c r="L676" s="8" t="s">
        <v>58</v>
      </c>
      <c r="M676" s="8" t="s">
        <v>35</v>
      </c>
      <c r="N676" s="11">
        <v>44888.0</v>
      </c>
      <c r="O676" s="11">
        <v>45111.0</v>
      </c>
      <c r="P676" s="11">
        <v>45153.0</v>
      </c>
      <c r="Q676" s="11">
        <v>45110.0</v>
      </c>
      <c r="R676" s="11">
        <v>45153.0</v>
      </c>
      <c r="S676" s="12"/>
      <c r="T676" s="8"/>
      <c r="U676" s="8" t="s">
        <v>153</v>
      </c>
      <c r="V676" s="13" t="s">
        <v>3622</v>
      </c>
      <c r="W676" s="13" t="s">
        <v>3751</v>
      </c>
      <c r="X676" s="12"/>
      <c r="Y676" s="14"/>
      <c r="Z676" s="14"/>
    </row>
    <row r="677">
      <c r="A677" s="8" t="s">
        <v>3752</v>
      </c>
      <c r="B677" s="8" t="s">
        <v>3753</v>
      </c>
      <c r="C677" s="8" t="s">
        <v>64</v>
      </c>
      <c r="D677" s="8" t="s">
        <v>26</v>
      </c>
      <c r="E677" s="8" t="s">
        <v>3754</v>
      </c>
      <c r="F677" s="8">
        <v>1.098160222E9</v>
      </c>
      <c r="G677" s="8" t="s">
        <v>284</v>
      </c>
      <c r="H677" s="8" t="s">
        <v>589</v>
      </c>
      <c r="I677" s="8" t="s">
        <v>31</v>
      </c>
      <c r="J677" s="8" t="s">
        <v>86</v>
      </c>
      <c r="K677" s="10" t="s">
        <v>3755</v>
      </c>
      <c r="L677" s="8" t="s">
        <v>34</v>
      </c>
      <c r="M677" s="8" t="s">
        <v>70</v>
      </c>
      <c r="N677" s="11">
        <v>44888.0</v>
      </c>
      <c r="O677" s="11">
        <v>44894.0</v>
      </c>
      <c r="P677" s="11">
        <v>45259.0</v>
      </c>
      <c r="Q677" s="11">
        <v>44895.0</v>
      </c>
      <c r="R677" s="11">
        <v>45260.0</v>
      </c>
      <c r="S677" s="12"/>
      <c r="T677" s="8" t="s">
        <v>36</v>
      </c>
      <c r="U677" s="8" t="s">
        <v>3756</v>
      </c>
      <c r="V677" s="13" t="s">
        <v>589</v>
      </c>
      <c r="W677" s="13" t="s">
        <v>3757</v>
      </c>
      <c r="X677" s="12"/>
      <c r="Y677" s="14"/>
      <c r="Z677" s="14"/>
    </row>
    <row r="678">
      <c r="A678" s="8" t="s">
        <v>3758</v>
      </c>
      <c r="B678" s="8" t="s">
        <v>3759</v>
      </c>
      <c r="C678" s="8" t="s">
        <v>25</v>
      </c>
      <c r="D678" s="8" t="s">
        <v>26</v>
      </c>
      <c r="E678" s="8" t="s">
        <v>3760</v>
      </c>
      <c r="F678" s="8">
        <v>5.37262428E9</v>
      </c>
      <c r="G678" s="8" t="s">
        <v>31</v>
      </c>
      <c r="H678" s="8" t="s">
        <v>136</v>
      </c>
      <c r="I678" s="8" t="s">
        <v>127</v>
      </c>
      <c r="J678" s="8" t="s">
        <v>3006</v>
      </c>
      <c r="K678" s="10" t="s">
        <v>3007</v>
      </c>
      <c r="L678" s="8" t="s">
        <v>58</v>
      </c>
      <c r="M678" s="8" t="s">
        <v>35</v>
      </c>
      <c r="N678" s="11">
        <v>44888.0</v>
      </c>
      <c r="O678" s="11">
        <v>44935.0</v>
      </c>
      <c r="P678" s="11">
        <v>44977.0</v>
      </c>
      <c r="Q678" s="11">
        <v>44936.0</v>
      </c>
      <c r="R678" s="11">
        <v>44977.0</v>
      </c>
      <c r="S678" s="12"/>
      <c r="T678" s="8"/>
      <c r="U678" s="8" t="s">
        <v>1956</v>
      </c>
      <c r="V678" s="13" t="s">
        <v>136</v>
      </c>
      <c r="W678" s="13" t="s">
        <v>3761</v>
      </c>
      <c r="X678" s="12"/>
      <c r="Y678" s="14"/>
      <c r="Z678" s="14"/>
    </row>
    <row r="679">
      <c r="A679" s="8" t="s">
        <v>3762</v>
      </c>
      <c r="B679" s="8" t="s">
        <v>3763</v>
      </c>
      <c r="C679" s="8" t="s">
        <v>708</v>
      </c>
      <c r="D679" s="8" t="s">
        <v>26</v>
      </c>
      <c r="E679" s="8" t="s">
        <v>3764</v>
      </c>
      <c r="F679" s="8">
        <v>6.68095706E8</v>
      </c>
      <c r="G679" s="8" t="s">
        <v>254</v>
      </c>
      <c r="H679" s="8" t="s">
        <v>1007</v>
      </c>
      <c r="I679" s="8" t="s">
        <v>31</v>
      </c>
      <c r="J679" s="8" t="s">
        <v>86</v>
      </c>
      <c r="K679" s="10" t="s">
        <v>2404</v>
      </c>
      <c r="L679" s="8" t="s">
        <v>34</v>
      </c>
      <c r="M679" s="8" t="s">
        <v>70</v>
      </c>
      <c r="N679" s="11">
        <v>44888.0</v>
      </c>
      <c r="O679" s="11">
        <v>44921.0</v>
      </c>
      <c r="P679" s="11">
        <v>45450.0</v>
      </c>
      <c r="Q679" s="11">
        <v>44935.0</v>
      </c>
      <c r="R679" s="11">
        <v>45464.0</v>
      </c>
      <c r="S679" s="12"/>
      <c r="T679" s="8" t="s">
        <v>36</v>
      </c>
      <c r="U679" s="8" t="s">
        <v>2405</v>
      </c>
      <c r="V679" s="13" t="s">
        <v>1249</v>
      </c>
      <c r="W679" s="13" t="s">
        <v>3765</v>
      </c>
      <c r="X679" s="12"/>
      <c r="Y679" s="14"/>
      <c r="Z679" s="14"/>
    </row>
    <row r="680">
      <c r="A680" s="8" t="s">
        <v>3766</v>
      </c>
      <c r="B680" s="8" t="s">
        <v>3767</v>
      </c>
      <c r="C680" s="8" t="s">
        <v>64</v>
      </c>
      <c r="D680" s="8" t="s">
        <v>26</v>
      </c>
      <c r="E680" s="8" t="s">
        <v>3768</v>
      </c>
      <c r="F680" s="8"/>
      <c r="G680" s="8" t="s">
        <v>284</v>
      </c>
      <c r="H680" s="8" t="s">
        <v>3769</v>
      </c>
      <c r="I680" s="8" t="s">
        <v>31</v>
      </c>
      <c r="J680" s="8" t="s">
        <v>1274</v>
      </c>
      <c r="K680" s="10" t="s">
        <v>1641</v>
      </c>
      <c r="L680" s="8" t="s">
        <v>58</v>
      </c>
      <c r="M680" s="8" t="s">
        <v>35</v>
      </c>
      <c r="N680" s="11">
        <v>44888.0</v>
      </c>
      <c r="O680" s="11">
        <v>45047.0</v>
      </c>
      <c r="P680" s="11">
        <v>45089.0</v>
      </c>
      <c r="Q680" s="11">
        <v>45062.0</v>
      </c>
      <c r="R680" s="11">
        <v>45102.0</v>
      </c>
      <c r="S680" s="12"/>
      <c r="T680" s="8"/>
      <c r="U680" s="8" t="s">
        <v>185</v>
      </c>
      <c r="V680" s="13" t="s">
        <v>38</v>
      </c>
      <c r="W680" s="13" t="s">
        <v>3770</v>
      </c>
      <c r="X680" s="12"/>
      <c r="Y680" s="14"/>
      <c r="Z680" s="14"/>
    </row>
    <row r="681">
      <c r="A681" s="8" t="s">
        <v>3771</v>
      </c>
      <c r="B681" s="8" t="s">
        <v>3772</v>
      </c>
      <c r="C681" s="8" t="s">
        <v>64</v>
      </c>
      <c r="D681" s="8" t="s">
        <v>26</v>
      </c>
      <c r="E681" s="8" t="s">
        <v>3773</v>
      </c>
      <c r="F681" s="8"/>
      <c r="G681" s="8" t="s">
        <v>84</v>
      </c>
      <c r="H681" s="8" t="s">
        <v>151</v>
      </c>
      <c r="I681" s="8" t="s">
        <v>31</v>
      </c>
      <c r="J681" s="8" t="s">
        <v>167</v>
      </c>
      <c r="K681" s="10" t="s">
        <v>3774</v>
      </c>
      <c r="L681" s="8" t="s">
        <v>34</v>
      </c>
      <c r="M681" s="8" t="s">
        <v>70</v>
      </c>
      <c r="N681" s="11">
        <v>44888.0</v>
      </c>
      <c r="O681" s="11">
        <v>44907.0</v>
      </c>
      <c r="P681" s="11">
        <v>45272.0</v>
      </c>
      <c r="Q681" s="11">
        <v>44951.0</v>
      </c>
      <c r="R681" s="11">
        <v>45316.0</v>
      </c>
      <c r="S681" s="12"/>
      <c r="T681" s="8" t="s">
        <v>205</v>
      </c>
      <c r="U681" s="8" t="s">
        <v>2655</v>
      </c>
      <c r="V681" s="13" t="s">
        <v>38</v>
      </c>
      <c r="W681" s="13" t="s">
        <v>3775</v>
      </c>
      <c r="X681" s="12"/>
      <c r="Y681" s="14"/>
      <c r="Z681" s="14"/>
    </row>
    <row r="682">
      <c r="A682" s="8" t="s">
        <v>3776</v>
      </c>
      <c r="B682" s="8" t="s">
        <v>3777</v>
      </c>
      <c r="C682" s="8" t="s">
        <v>708</v>
      </c>
      <c r="D682" s="8" t="s">
        <v>26</v>
      </c>
      <c r="E682" s="8" t="s">
        <v>3778</v>
      </c>
      <c r="F682" s="8">
        <v>5.34635497E9</v>
      </c>
      <c r="G682" s="8" t="s">
        <v>31</v>
      </c>
      <c r="H682" s="8" t="s">
        <v>86</v>
      </c>
      <c r="I682" s="8" t="s">
        <v>202</v>
      </c>
      <c r="J682" s="8" t="s">
        <v>203</v>
      </c>
      <c r="K682" s="10" t="s">
        <v>3779</v>
      </c>
      <c r="L682" s="8" t="s">
        <v>34</v>
      </c>
      <c r="M682" s="8" t="s">
        <v>70</v>
      </c>
      <c r="N682" s="11">
        <v>44888.0</v>
      </c>
      <c r="O682" s="11">
        <v>44935.0</v>
      </c>
      <c r="P682" s="11">
        <v>45299.0</v>
      </c>
      <c r="Q682" s="11">
        <v>45048.0</v>
      </c>
      <c r="R682" s="11">
        <v>45412.0</v>
      </c>
      <c r="S682" s="12"/>
      <c r="T682" s="8" t="s">
        <v>446</v>
      </c>
      <c r="U682" s="8" t="s">
        <v>3780</v>
      </c>
      <c r="V682" s="13" t="s">
        <v>38</v>
      </c>
      <c r="W682" s="13" t="s">
        <v>3781</v>
      </c>
      <c r="X682" s="12"/>
      <c r="Y682" s="14"/>
      <c r="Z682" s="14"/>
    </row>
    <row r="683">
      <c r="A683" s="8" t="s">
        <v>3782</v>
      </c>
      <c r="B683" s="8" t="s">
        <v>3783</v>
      </c>
      <c r="C683" s="8" t="s">
        <v>179</v>
      </c>
      <c r="D683" s="8" t="s">
        <v>26</v>
      </c>
      <c r="E683" s="8" t="s">
        <v>3784</v>
      </c>
      <c r="F683" s="8">
        <v>9.4398054E7</v>
      </c>
      <c r="G683" s="8" t="s">
        <v>54</v>
      </c>
      <c r="H683" s="8" t="s">
        <v>377</v>
      </c>
      <c r="I683" s="8" t="s">
        <v>31</v>
      </c>
      <c r="J683" s="8" t="s">
        <v>220</v>
      </c>
      <c r="K683" s="10" t="s">
        <v>2193</v>
      </c>
      <c r="L683" s="8" t="s">
        <v>58</v>
      </c>
      <c r="M683" s="8" t="s">
        <v>35</v>
      </c>
      <c r="N683" s="11">
        <v>44889.0</v>
      </c>
      <c r="O683" s="11">
        <v>45117.0</v>
      </c>
      <c r="P683" s="11">
        <v>45159.0</v>
      </c>
      <c r="Q683" s="11"/>
      <c r="R683" s="11"/>
      <c r="S683" s="12"/>
      <c r="T683" s="8"/>
      <c r="U683" s="8" t="s">
        <v>59</v>
      </c>
      <c r="V683" s="13" t="s">
        <v>3274</v>
      </c>
      <c r="W683" s="13" t="s">
        <v>3785</v>
      </c>
      <c r="X683" s="12"/>
      <c r="Y683" s="14"/>
      <c r="Z683" s="14"/>
    </row>
    <row r="684">
      <c r="A684" s="8" t="s">
        <v>3786</v>
      </c>
      <c r="B684" s="8" t="s">
        <v>3787</v>
      </c>
      <c r="C684" s="8" t="s">
        <v>179</v>
      </c>
      <c r="D684" s="8" t="s">
        <v>26</v>
      </c>
      <c r="E684" s="8" t="s">
        <v>3788</v>
      </c>
      <c r="F684" s="8">
        <v>1.030731335E9</v>
      </c>
      <c r="G684" s="8" t="s">
        <v>284</v>
      </c>
      <c r="H684" s="8" t="s">
        <v>3188</v>
      </c>
      <c r="I684" s="8" t="s">
        <v>31</v>
      </c>
      <c r="J684" s="8" t="s">
        <v>256</v>
      </c>
      <c r="K684" s="10" t="s">
        <v>3411</v>
      </c>
      <c r="L684" s="8" t="s">
        <v>58</v>
      </c>
      <c r="M684" s="8" t="s">
        <v>35</v>
      </c>
      <c r="N684" s="11">
        <v>44889.0</v>
      </c>
      <c r="O684" s="11">
        <v>45122.0</v>
      </c>
      <c r="P684" s="11">
        <v>45164.0</v>
      </c>
      <c r="Q684" s="11"/>
      <c r="R684" s="11"/>
      <c r="S684" s="12"/>
      <c r="T684" s="8"/>
      <c r="U684" s="8" t="s">
        <v>59</v>
      </c>
      <c r="V684" s="13" t="s">
        <v>3188</v>
      </c>
      <c r="W684" s="13" t="s">
        <v>3789</v>
      </c>
      <c r="X684" s="12"/>
      <c r="Y684" s="14"/>
      <c r="Z684" s="14"/>
    </row>
    <row r="685">
      <c r="A685" s="8" t="s">
        <v>3790</v>
      </c>
      <c r="B685" s="8" t="s">
        <v>3791</v>
      </c>
      <c r="C685" s="8" t="s">
        <v>179</v>
      </c>
      <c r="D685" s="8" t="s">
        <v>26</v>
      </c>
      <c r="E685" s="8" t="s">
        <v>3792</v>
      </c>
      <c r="F685" s="8"/>
      <c r="G685" s="8" t="s">
        <v>31</v>
      </c>
      <c r="H685" s="8" t="s">
        <v>77</v>
      </c>
      <c r="I685" s="8" t="s">
        <v>284</v>
      </c>
      <c r="J685" s="8" t="s">
        <v>793</v>
      </c>
      <c r="K685" s="10" t="s">
        <v>2688</v>
      </c>
      <c r="L685" s="8" t="s">
        <v>58</v>
      </c>
      <c r="M685" s="8" t="s">
        <v>35</v>
      </c>
      <c r="N685" s="11">
        <v>44889.0</v>
      </c>
      <c r="O685" s="11">
        <v>45108.0</v>
      </c>
      <c r="P685" s="11">
        <v>45150.0</v>
      </c>
      <c r="Q685" s="11"/>
      <c r="R685" s="11"/>
      <c r="S685" s="12"/>
      <c r="T685" s="8"/>
      <c r="U685" s="8" t="s">
        <v>1038</v>
      </c>
      <c r="V685" s="13" t="s">
        <v>38</v>
      </c>
      <c r="W685" s="13" t="s">
        <v>3793</v>
      </c>
      <c r="X685" s="12"/>
      <c r="Y685" s="14"/>
      <c r="Z685" s="14"/>
    </row>
    <row r="686">
      <c r="A686" s="8" t="s">
        <v>3794</v>
      </c>
      <c r="B686" s="8" t="s">
        <v>3795</v>
      </c>
      <c r="C686" s="8" t="s">
        <v>708</v>
      </c>
      <c r="D686" s="8" t="s">
        <v>26</v>
      </c>
      <c r="E686" s="8" t="s">
        <v>3796</v>
      </c>
      <c r="F686" s="8">
        <v>7.7253639E8</v>
      </c>
      <c r="G686" s="8" t="s">
        <v>399</v>
      </c>
      <c r="H686" s="8" t="s">
        <v>3797</v>
      </c>
      <c r="I686" s="8" t="s">
        <v>31</v>
      </c>
      <c r="J686" s="8" t="s">
        <v>32</v>
      </c>
      <c r="K686" s="10" t="s">
        <v>3798</v>
      </c>
      <c r="L686" s="8" t="s">
        <v>47</v>
      </c>
      <c r="M686" s="8" t="s">
        <v>70</v>
      </c>
      <c r="N686" s="11">
        <v>44889.0</v>
      </c>
      <c r="O686" s="11">
        <v>44900.0</v>
      </c>
      <c r="P686" s="11">
        <v>45269.0</v>
      </c>
      <c r="Q686" s="11">
        <v>44954.0</v>
      </c>
      <c r="R686" s="11">
        <v>45323.0</v>
      </c>
      <c r="S686" s="12"/>
      <c r="T686" s="8"/>
      <c r="U686" s="8" t="s">
        <v>3248</v>
      </c>
      <c r="V686" s="13" t="s">
        <v>3799</v>
      </c>
      <c r="W686" s="13" t="s">
        <v>3800</v>
      </c>
      <c r="X686" s="12"/>
      <c r="Y686" s="14"/>
      <c r="Z686" s="14"/>
    </row>
    <row r="687">
      <c r="A687" s="8" t="s">
        <v>3801</v>
      </c>
      <c r="B687" s="8" t="s">
        <v>3802</v>
      </c>
      <c r="C687" s="8" t="s">
        <v>64</v>
      </c>
      <c r="D687" s="8" t="s">
        <v>26</v>
      </c>
      <c r="E687" s="8" t="s">
        <v>3803</v>
      </c>
      <c r="F687" s="8">
        <v>5.2880157E7</v>
      </c>
      <c r="G687" s="8" t="s">
        <v>54</v>
      </c>
      <c r="H687" s="8" t="s">
        <v>377</v>
      </c>
      <c r="I687" s="8" t="s">
        <v>31</v>
      </c>
      <c r="J687" s="8" t="s">
        <v>292</v>
      </c>
      <c r="K687" s="10" t="s">
        <v>3804</v>
      </c>
      <c r="L687" s="8" t="s">
        <v>34</v>
      </c>
      <c r="M687" s="8" t="s">
        <v>70</v>
      </c>
      <c r="N687" s="11">
        <v>44890.0</v>
      </c>
      <c r="O687" s="11">
        <v>44927.0</v>
      </c>
      <c r="P687" s="11">
        <v>45292.0</v>
      </c>
      <c r="Q687" s="11">
        <v>44944.0</v>
      </c>
      <c r="R687" s="11">
        <v>45309.0</v>
      </c>
      <c r="S687" s="12"/>
      <c r="T687" s="8" t="s">
        <v>205</v>
      </c>
      <c r="U687" s="8" t="s">
        <v>3805</v>
      </c>
      <c r="V687" s="13" t="s">
        <v>3806</v>
      </c>
      <c r="W687" s="13" t="s">
        <v>3807</v>
      </c>
      <c r="X687" s="12"/>
      <c r="Y687" s="14"/>
      <c r="Z687" s="14"/>
    </row>
    <row r="688">
      <c r="A688" s="8" t="s">
        <v>3808</v>
      </c>
      <c r="B688" s="8" t="s">
        <v>3809</v>
      </c>
      <c r="C688" s="8" t="s">
        <v>25</v>
      </c>
      <c r="D688" s="8" t="s">
        <v>26</v>
      </c>
      <c r="E688" s="8" t="s">
        <v>3810</v>
      </c>
      <c r="F688" s="8">
        <v>6.28384428E9</v>
      </c>
      <c r="G688" s="8" t="s">
        <v>44</v>
      </c>
      <c r="H688" s="8" t="s">
        <v>3811</v>
      </c>
      <c r="I688" s="8" t="s">
        <v>31</v>
      </c>
      <c r="J688" s="8" t="s">
        <v>86</v>
      </c>
      <c r="K688" s="10" t="s">
        <v>389</v>
      </c>
      <c r="L688" s="8" t="s">
        <v>58</v>
      </c>
      <c r="M688" s="8" t="s">
        <v>35</v>
      </c>
      <c r="N688" s="11">
        <v>44890.0</v>
      </c>
      <c r="O688" s="11">
        <v>44942.0</v>
      </c>
      <c r="P688" s="11">
        <v>44984.0</v>
      </c>
      <c r="Q688" s="11">
        <v>44962.0</v>
      </c>
      <c r="R688" s="11">
        <v>45005.0</v>
      </c>
      <c r="S688" s="12"/>
      <c r="T688" s="8"/>
      <c r="U688" s="8" t="s">
        <v>153</v>
      </c>
      <c r="V688" s="13" t="s">
        <v>3811</v>
      </c>
      <c r="W688" s="13" t="s">
        <v>3812</v>
      </c>
      <c r="X688" s="12"/>
      <c r="Y688" s="14"/>
      <c r="Z688" s="14"/>
    </row>
    <row r="689">
      <c r="A689" s="8" t="s">
        <v>3813</v>
      </c>
      <c r="B689" s="8" t="s">
        <v>3814</v>
      </c>
      <c r="C689" s="8" t="s">
        <v>708</v>
      </c>
      <c r="D689" s="8" t="s">
        <v>26</v>
      </c>
      <c r="E689" s="8" t="s">
        <v>3815</v>
      </c>
      <c r="F689" s="8">
        <v>5.6132905E7</v>
      </c>
      <c r="G689" s="8" t="s">
        <v>54</v>
      </c>
      <c r="H689" s="8" t="s">
        <v>377</v>
      </c>
      <c r="I689" s="8" t="s">
        <v>31</v>
      </c>
      <c r="J689" s="8" t="s">
        <v>292</v>
      </c>
      <c r="K689" s="10" t="s">
        <v>1260</v>
      </c>
      <c r="L689" s="8" t="s">
        <v>47</v>
      </c>
      <c r="M689" s="8" t="s">
        <v>70</v>
      </c>
      <c r="N689" s="11">
        <v>44890.0</v>
      </c>
      <c r="O689" s="11">
        <v>44907.0</v>
      </c>
      <c r="P689" s="11">
        <v>45272.0</v>
      </c>
      <c r="Q689" s="11">
        <v>44901.0</v>
      </c>
      <c r="R689" s="11">
        <v>45272.0</v>
      </c>
      <c r="S689" s="12"/>
      <c r="T689" s="8"/>
      <c r="U689" s="8" t="s">
        <v>1261</v>
      </c>
      <c r="V689" s="13" t="s">
        <v>1604</v>
      </c>
      <c r="W689" s="13" t="s">
        <v>3816</v>
      </c>
      <c r="X689" s="12"/>
      <c r="Y689" s="14"/>
      <c r="Z689" s="14"/>
    </row>
    <row r="690">
      <c r="A690" s="8" t="s">
        <v>3817</v>
      </c>
      <c r="B690" s="8" t="s">
        <v>3818</v>
      </c>
      <c r="C690" s="8" t="s">
        <v>179</v>
      </c>
      <c r="D690" s="8" t="s">
        <v>26</v>
      </c>
      <c r="E690" s="8" t="s">
        <v>3819</v>
      </c>
      <c r="F690" s="8"/>
      <c r="G690" s="8" t="s">
        <v>31</v>
      </c>
      <c r="H690" s="8" t="s">
        <v>77</v>
      </c>
      <c r="I690" s="8" t="s">
        <v>44</v>
      </c>
      <c r="J690" s="8" t="s">
        <v>1993</v>
      </c>
      <c r="K690" s="10" t="s">
        <v>2982</v>
      </c>
      <c r="L690" s="8" t="s">
        <v>58</v>
      </c>
      <c r="M690" s="8" t="s">
        <v>35</v>
      </c>
      <c r="N690" s="11">
        <v>44890.0</v>
      </c>
      <c r="O690" s="11">
        <v>45115.0</v>
      </c>
      <c r="P690" s="11">
        <v>45157.0</v>
      </c>
      <c r="Q690" s="11"/>
      <c r="R690" s="11"/>
      <c r="S690" s="12"/>
      <c r="T690" s="8"/>
      <c r="U690" s="8" t="s">
        <v>371</v>
      </c>
      <c r="V690" s="13" t="s">
        <v>38</v>
      </c>
      <c r="W690" s="13" t="s">
        <v>3820</v>
      </c>
      <c r="X690" s="12"/>
      <c r="Y690" s="14"/>
      <c r="Z690" s="14"/>
    </row>
    <row r="691">
      <c r="A691" s="8" t="s">
        <v>3821</v>
      </c>
      <c r="B691" s="8" t="s">
        <v>3822</v>
      </c>
      <c r="C691" s="8" t="s">
        <v>708</v>
      </c>
      <c r="D691" s="8" t="s">
        <v>26</v>
      </c>
      <c r="E691" s="8" t="s">
        <v>3823</v>
      </c>
      <c r="F691" s="8">
        <v>4.7989041527E10</v>
      </c>
      <c r="G691" s="8" t="s">
        <v>109</v>
      </c>
      <c r="H691" s="8" t="s">
        <v>2366</v>
      </c>
      <c r="I691" s="8" t="s">
        <v>31</v>
      </c>
      <c r="J691" s="8" t="s">
        <v>66</v>
      </c>
      <c r="K691" s="10" t="s">
        <v>3824</v>
      </c>
      <c r="L691" s="8" t="s">
        <v>47</v>
      </c>
      <c r="M691" s="8" t="s">
        <v>70</v>
      </c>
      <c r="N691" s="11">
        <v>44890.0</v>
      </c>
      <c r="O691" s="11">
        <v>45152.0</v>
      </c>
      <c r="P691" s="11">
        <v>45471.0</v>
      </c>
      <c r="Q691" s="11">
        <v>45161.0</v>
      </c>
      <c r="R691" s="11">
        <v>45480.0</v>
      </c>
      <c r="S691" s="12"/>
      <c r="T691" s="8"/>
      <c r="U691" s="8" t="s">
        <v>3825</v>
      </c>
      <c r="V691" s="13" t="s">
        <v>3826</v>
      </c>
      <c r="W691" s="13" t="s">
        <v>3827</v>
      </c>
      <c r="X691" s="12"/>
      <c r="Y691" s="14"/>
      <c r="Z691" s="14"/>
    </row>
    <row r="692">
      <c r="A692" s="8" t="s">
        <v>3828</v>
      </c>
      <c r="B692" s="8" t="s">
        <v>3829</v>
      </c>
      <c r="C692" s="8" t="s">
        <v>251</v>
      </c>
      <c r="D692" s="8" t="s">
        <v>26</v>
      </c>
      <c r="E692" s="8" t="s">
        <v>3830</v>
      </c>
      <c r="F692" s="8">
        <v>5.4827194E7</v>
      </c>
      <c r="G692" s="8" t="s">
        <v>54</v>
      </c>
      <c r="H692" s="8" t="s">
        <v>369</v>
      </c>
      <c r="I692" s="8" t="s">
        <v>31</v>
      </c>
      <c r="J692" s="8" t="s">
        <v>32</v>
      </c>
      <c r="K692" s="10" t="s">
        <v>561</v>
      </c>
      <c r="L692" s="8" t="s">
        <v>58</v>
      </c>
      <c r="M692" s="8" t="s">
        <v>35</v>
      </c>
      <c r="N692" s="11">
        <v>44890.0</v>
      </c>
      <c r="O692" s="11">
        <v>45102.0</v>
      </c>
      <c r="P692" s="11">
        <v>45144.0</v>
      </c>
      <c r="Q692" s="11"/>
      <c r="R692" s="11"/>
      <c r="S692" s="12"/>
      <c r="T692" s="8"/>
      <c r="U692" s="8" t="s">
        <v>59</v>
      </c>
      <c r="V692" s="13" t="s">
        <v>372</v>
      </c>
      <c r="W692" s="13" t="s">
        <v>3831</v>
      </c>
      <c r="X692" s="12"/>
      <c r="Y692" s="14"/>
      <c r="Z692" s="14"/>
    </row>
    <row r="693">
      <c r="A693" s="8" t="s">
        <v>3832</v>
      </c>
      <c r="B693" s="8" t="s">
        <v>3833</v>
      </c>
      <c r="C693" s="8" t="s">
        <v>25</v>
      </c>
      <c r="D693" s="8" t="s">
        <v>26</v>
      </c>
      <c r="E693" s="8" t="s">
        <v>3834</v>
      </c>
      <c r="F693" s="8"/>
      <c r="G693" s="8" t="s">
        <v>31</v>
      </c>
      <c r="H693" s="8" t="s">
        <v>86</v>
      </c>
      <c r="I693" s="8" t="s">
        <v>143</v>
      </c>
      <c r="J693" s="8" t="s">
        <v>1478</v>
      </c>
      <c r="K693" s="10" t="s">
        <v>3835</v>
      </c>
      <c r="L693" s="8" t="s">
        <v>34</v>
      </c>
      <c r="M693" s="8" t="s">
        <v>35</v>
      </c>
      <c r="N693" s="11">
        <v>44890.0</v>
      </c>
      <c r="O693" s="11">
        <v>44896.0</v>
      </c>
      <c r="P693" s="11">
        <v>44955.0</v>
      </c>
      <c r="Q693" s="11">
        <v>44922.0</v>
      </c>
      <c r="R693" s="11">
        <v>44981.0</v>
      </c>
      <c r="S693" s="12"/>
      <c r="T693" s="8" t="s">
        <v>205</v>
      </c>
      <c r="U693" s="8" t="s">
        <v>3836</v>
      </c>
      <c r="V693" s="13" t="s">
        <v>38</v>
      </c>
      <c r="W693" s="13" t="s">
        <v>3837</v>
      </c>
      <c r="X693" s="12"/>
      <c r="Y693" s="14"/>
      <c r="Z693" s="14"/>
    </row>
    <row r="694">
      <c r="A694" s="8" t="s">
        <v>3838</v>
      </c>
      <c r="B694" s="8" t="s">
        <v>3839</v>
      </c>
      <c r="C694" s="8" t="s">
        <v>179</v>
      </c>
      <c r="D694" s="8" t="s">
        <v>26</v>
      </c>
      <c r="E694" s="8" t="s">
        <v>3840</v>
      </c>
      <c r="F694" s="8"/>
      <c r="G694" s="8" t="s">
        <v>31</v>
      </c>
      <c r="H694" s="8" t="s">
        <v>542</v>
      </c>
      <c r="I694" s="8" t="s">
        <v>284</v>
      </c>
      <c r="J694" s="8" t="s">
        <v>285</v>
      </c>
      <c r="K694" s="10" t="s">
        <v>3841</v>
      </c>
      <c r="L694" s="8" t="s">
        <v>58</v>
      </c>
      <c r="M694" s="8" t="s">
        <v>35</v>
      </c>
      <c r="N694" s="11">
        <v>44891.0</v>
      </c>
      <c r="O694" s="11">
        <v>45108.0</v>
      </c>
      <c r="P694" s="11">
        <v>45150.0</v>
      </c>
      <c r="Q694" s="11"/>
      <c r="R694" s="11"/>
      <c r="S694" s="12"/>
      <c r="T694" s="8"/>
      <c r="U694" s="8" t="s">
        <v>1038</v>
      </c>
      <c r="V694" s="13" t="s">
        <v>38</v>
      </c>
      <c r="W694" s="13" t="s">
        <v>3842</v>
      </c>
      <c r="X694" s="12"/>
      <c r="Y694" s="14"/>
      <c r="Z694" s="14"/>
    </row>
    <row r="695">
      <c r="A695" s="8" t="s">
        <v>3843</v>
      </c>
      <c r="B695" s="8" t="s">
        <v>3844</v>
      </c>
      <c r="C695" s="8" t="s">
        <v>25</v>
      </c>
      <c r="D695" s="8" t="s">
        <v>26</v>
      </c>
      <c r="E695" s="8" t="s">
        <v>3845</v>
      </c>
      <c r="F695" s="8">
        <v>5.446170547E9</v>
      </c>
      <c r="G695" s="8" t="s">
        <v>31</v>
      </c>
      <c r="H695" s="8" t="s">
        <v>77</v>
      </c>
      <c r="I695" s="8" t="s">
        <v>44</v>
      </c>
      <c r="J695" s="8" t="s">
        <v>1993</v>
      </c>
      <c r="K695" s="10" t="s">
        <v>3846</v>
      </c>
      <c r="L695" s="8" t="s">
        <v>58</v>
      </c>
      <c r="M695" s="8" t="s">
        <v>35</v>
      </c>
      <c r="N695" s="11">
        <v>44891.0</v>
      </c>
      <c r="O695" s="11">
        <v>45086.0</v>
      </c>
      <c r="P695" s="11">
        <v>45128.0</v>
      </c>
      <c r="Q695" s="11">
        <v>45085.0</v>
      </c>
      <c r="R695" s="11">
        <v>45128.0</v>
      </c>
      <c r="S695" s="12"/>
      <c r="T695" s="8"/>
      <c r="U695" s="8" t="s">
        <v>1038</v>
      </c>
      <c r="V695" s="13" t="s">
        <v>77</v>
      </c>
      <c r="W695" s="13" t="s">
        <v>3847</v>
      </c>
      <c r="X695" s="12"/>
      <c r="Y695" s="14"/>
      <c r="Z695" s="14"/>
    </row>
    <row r="696">
      <c r="A696" s="8" t="s">
        <v>3848</v>
      </c>
      <c r="B696" s="8" t="s">
        <v>3849</v>
      </c>
      <c r="C696" s="8" t="s">
        <v>179</v>
      </c>
      <c r="D696" s="8" t="s">
        <v>26</v>
      </c>
      <c r="E696" s="8" t="s">
        <v>3850</v>
      </c>
      <c r="F696" s="8">
        <v>5.3999383438E10</v>
      </c>
      <c r="G696" s="8" t="s">
        <v>109</v>
      </c>
      <c r="H696" s="8" t="s">
        <v>3851</v>
      </c>
      <c r="I696" s="8" t="s">
        <v>31</v>
      </c>
      <c r="J696" s="8" t="s">
        <v>102</v>
      </c>
      <c r="K696" s="10" t="s">
        <v>1113</v>
      </c>
      <c r="L696" s="8" t="s">
        <v>58</v>
      </c>
      <c r="M696" s="8" t="s">
        <v>35</v>
      </c>
      <c r="N696" s="11">
        <v>44891.0</v>
      </c>
      <c r="O696" s="11">
        <v>44970.0</v>
      </c>
      <c r="P696" s="11">
        <v>45012.0</v>
      </c>
      <c r="Q696" s="11"/>
      <c r="R696" s="11"/>
      <c r="S696" s="12"/>
      <c r="T696" s="8"/>
      <c r="U696" s="8" t="s">
        <v>59</v>
      </c>
      <c r="V696" s="13" t="s">
        <v>3852</v>
      </c>
      <c r="W696" s="13" t="s">
        <v>3853</v>
      </c>
      <c r="X696" s="12"/>
      <c r="Y696" s="14"/>
      <c r="Z696" s="14"/>
    </row>
    <row r="697">
      <c r="A697" s="8" t="s">
        <v>3854</v>
      </c>
      <c r="B697" s="8" t="s">
        <v>3855</v>
      </c>
      <c r="C697" s="8" t="s">
        <v>179</v>
      </c>
      <c r="D697" s="8" t="s">
        <v>26</v>
      </c>
      <c r="E697" s="8" t="s">
        <v>3856</v>
      </c>
      <c r="F697" s="8"/>
      <c r="G697" s="8" t="s">
        <v>109</v>
      </c>
      <c r="H697" s="8" t="s">
        <v>3851</v>
      </c>
      <c r="I697" s="8" t="s">
        <v>31</v>
      </c>
      <c r="J697" s="8" t="s">
        <v>102</v>
      </c>
      <c r="K697" s="10" t="s">
        <v>1113</v>
      </c>
      <c r="L697" s="8" t="s">
        <v>58</v>
      </c>
      <c r="M697" s="8" t="s">
        <v>35</v>
      </c>
      <c r="N697" s="11">
        <v>44891.0</v>
      </c>
      <c r="O697" s="11">
        <v>44970.0</v>
      </c>
      <c r="P697" s="11">
        <v>45012.0</v>
      </c>
      <c r="Q697" s="11"/>
      <c r="R697" s="11"/>
      <c r="S697" s="12"/>
      <c r="T697" s="8"/>
      <c r="U697" s="8" t="s">
        <v>59</v>
      </c>
      <c r="V697" s="13" t="s">
        <v>38</v>
      </c>
      <c r="W697" s="13" t="s">
        <v>3857</v>
      </c>
      <c r="X697" s="12"/>
      <c r="Y697" s="14"/>
      <c r="Z697" s="14"/>
    </row>
    <row r="698">
      <c r="A698" s="8" t="s">
        <v>3858</v>
      </c>
      <c r="B698" s="8" t="s">
        <v>3859</v>
      </c>
      <c r="C698" s="8" t="s">
        <v>25</v>
      </c>
      <c r="D698" s="8" t="s">
        <v>26</v>
      </c>
      <c r="E698" s="8" t="s">
        <v>3860</v>
      </c>
      <c r="F698" s="8">
        <v>1.096513508E9</v>
      </c>
      <c r="G698" s="8" t="s">
        <v>284</v>
      </c>
      <c r="H698" s="8" t="s">
        <v>300</v>
      </c>
      <c r="I698" s="8" t="s">
        <v>31</v>
      </c>
      <c r="J698" s="8" t="s">
        <v>1274</v>
      </c>
      <c r="K698" s="10" t="s">
        <v>3861</v>
      </c>
      <c r="L698" s="8" t="s">
        <v>58</v>
      </c>
      <c r="M698" s="8" t="s">
        <v>35</v>
      </c>
      <c r="N698" s="11">
        <v>44891.0</v>
      </c>
      <c r="O698" s="11">
        <v>44924.0</v>
      </c>
      <c r="P698" s="11">
        <v>44966.0</v>
      </c>
      <c r="Q698" s="11">
        <v>44928.0</v>
      </c>
      <c r="R698" s="11">
        <v>44970.0</v>
      </c>
      <c r="S698" s="12"/>
      <c r="T698" s="8"/>
      <c r="U698" s="8" t="s">
        <v>59</v>
      </c>
      <c r="V698" s="13" t="s">
        <v>300</v>
      </c>
      <c r="W698" s="13" t="s">
        <v>3862</v>
      </c>
      <c r="X698" s="12"/>
      <c r="Y698" s="14"/>
      <c r="Z698" s="14"/>
    </row>
    <row r="699">
      <c r="A699" s="8" t="s">
        <v>3863</v>
      </c>
      <c r="B699" s="8" t="s">
        <v>3864</v>
      </c>
      <c r="C699" s="8" t="s">
        <v>179</v>
      </c>
      <c r="D699" s="8" t="s">
        <v>26</v>
      </c>
      <c r="E699" s="8" t="s">
        <v>3865</v>
      </c>
      <c r="F699" s="8">
        <v>1.207260397E9</v>
      </c>
      <c r="G699" s="8" t="s">
        <v>284</v>
      </c>
      <c r="H699" s="8" t="s">
        <v>1422</v>
      </c>
      <c r="I699" s="8" t="s">
        <v>31</v>
      </c>
      <c r="J699" s="8" t="s">
        <v>32</v>
      </c>
      <c r="K699" s="10" t="s">
        <v>1095</v>
      </c>
      <c r="L699" s="8" t="s">
        <v>58</v>
      </c>
      <c r="M699" s="8" t="s">
        <v>35</v>
      </c>
      <c r="N699" s="11">
        <v>44891.0</v>
      </c>
      <c r="O699" s="11">
        <v>45102.0</v>
      </c>
      <c r="P699" s="11">
        <v>45144.0</v>
      </c>
      <c r="Q699" s="11"/>
      <c r="R699" s="11"/>
      <c r="S699" s="12"/>
      <c r="T699" s="8"/>
      <c r="U699" s="8" t="s">
        <v>59</v>
      </c>
      <c r="V699" s="13" t="s">
        <v>1424</v>
      </c>
      <c r="W699" s="13" t="s">
        <v>3866</v>
      </c>
      <c r="X699" s="12"/>
      <c r="Y699" s="14"/>
      <c r="Z699" s="14"/>
    </row>
    <row r="700">
      <c r="A700" s="8" t="s">
        <v>3867</v>
      </c>
      <c r="B700" s="8" t="s">
        <v>3868</v>
      </c>
      <c r="C700" s="8" t="s">
        <v>64</v>
      </c>
      <c r="D700" s="8" t="s">
        <v>26</v>
      </c>
      <c r="E700" s="8" t="s">
        <v>3869</v>
      </c>
      <c r="F700" s="8">
        <v>5.346807882E9</v>
      </c>
      <c r="G700" s="8" t="s">
        <v>31</v>
      </c>
      <c r="H700" s="8" t="s">
        <v>56</v>
      </c>
      <c r="I700" s="8" t="s">
        <v>127</v>
      </c>
      <c r="J700" s="8" t="s">
        <v>159</v>
      </c>
      <c r="K700" s="10" t="s">
        <v>3350</v>
      </c>
      <c r="L700" s="8" t="s">
        <v>58</v>
      </c>
      <c r="M700" s="8" t="s">
        <v>35</v>
      </c>
      <c r="N700" s="11">
        <v>44891.0</v>
      </c>
      <c r="O700" s="11">
        <v>44949.0</v>
      </c>
      <c r="P700" s="11">
        <v>44991.0</v>
      </c>
      <c r="Q700" s="11">
        <v>44949.0</v>
      </c>
      <c r="R700" s="11">
        <v>44991.0</v>
      </c>
      <c r="S700" s="12"/>
      <c r="T700" s="8"/>
      <c r="U700" s="8" t="s">
        <v>1956</v>
      </c>
      <c r="V700" s="13" t="s">
        <v>56</v>
      </c>
      <c r="W700" s="13" t="s">
        <v>3870</v>
      </c>
      <c r="X700" s="12"/>
      <c r="Y700" s="14"/>
      <c r="Z700" s="14"/>
    </row>
    <row r="701">
      <c r="A701" s="8" t="s">
        <v>3871</v>
      </c>
      <c r="B701" s="8" t="s">
        <v>3872</v>
      </c>
      <c r="C701" s="8" t="s">
        <v>179</v>
      </c>
      <c r="D701" s="8" t="s">
        <v>26</v>
      </c>
      <c r="E701" s="8" t="s">
        <v>3873</v>
      </c>
      <c r="F701" s="8"/>
      <c r="G701" s="8" t="s">
        <v>127</v>
      </c>
      <c r="H701" s="8" t="s">
        <v>3542</v>
      </c>
      <c r="I701" s="8" t="s">
        <v>31</v>
      </c>
      <c r="J701" s="8" t="s">
        <v>32</v>
      </c>
      <c r="K701" s="10" t="s">
        <v>1813</v>
      </c>
      <c r="L701" s="8" t="s">
        <v>58</v>
      </c>
      <c r="M701" s="8" t="s">
        <v>35</v>
      </c>
      <c r="N701" s="11">
        <v>44891.0</v>
      </c>
      <c r="O701" s="11">
        <v>45165.0</v>
      </c>
      <c r="P701" s="11">
        <v>45207.0</v>
      </c>
      <c r="Q701" s="11"/>
      <c r="R701" s="11"/>
      <c r="S701" s="12"/>
      <c r="T701" s="8"/>
      <c r="U701" s="8" t="s">
        <v>161</v>
      </c>
      <c r="V701" s="13" t="s">
        <v>38</v>
      </c>
      <c r="W701" s="13" t="s">
        <v>3874</v>
      </c>
      <c r="X701" s="12"/>
      <c r="Y701" s="14"/>
      <c r="Z701" s="14"/>
    </row>
    <row r="702">
      <c r="A702" s="8" t="s">
        <v>3875</v>
      </c>
      <c r="B702" s="8" t="s">
        <v>3876</v>
      </c>
      <c r="C702" s="8" t="s">
        <v>25</v>
      </c>
      <c r="D702" s="8" t="s">
        <v>26</v>
      </c>
      <c r="E702" s="8" t="s">
        <v>3877</v>
      </c>
      <c r="F702" s="8"/>
      <c r="G702" s="8" t="s">
        <v>2680</v>
      </c>
      <c r="H702" s="8" t="s">
        <v>3878</v>
      </c>
      <c r="I702" s="8" t="s">
        <v>31</v>
      </c>
      <c r="J702" s="8" t="s">
        <v>77</v>
      </c>
      <c r="K702" s="10" t="s">
        <v>3879</v>
      </c>
      <c r="L702" s="8" t="s">
        <v>58</v>
      </c>
      <c r="M702" s="8" t="s">
        <v>35</v>
      </c>
      <c r="N702" s="11">
        <v>44891.0</v>
      </c>
      <c r="O702" s="11">
        <v>44907.0</v>
      </c>
      <c r="P702" s="11">
        <v>44949.0</v>
      </c>
      <c r="Q702" s="11">
        <v>44918.0</v>
      </c>
      <c r="R702" s="11">
        <v>44960.0</v>
      </c>
      <c r="S702" s="12"/>
      <c r="T702" s="8"/>
      <c r="U702" s="8" t="s">
        <v>59</v>
      </c>
      <c r="V702" s="13" t="s">
        <v>38</v>
      </c>
      <c r="W702" s="13" t="s">
        <v>3880</v>
      </c>
      <c r="X702" s="12"/>
      <c r="Y702" s="14"/>
      <c r="Z702" s="14"/>
    </row>
    <row r="703">
      <c r="A703" s="8" t="s">
        <v>3881</v>
      </c>
      <c r="B703" s="8" t="s">
        <v>3882</v>
      </c>
      <c r="C703" s="8" t="s">
        <v>251</v>
      </c>
      <c r="D703" s="8" t="s">
        <v>26</v>
      </c>
      <c r="E703" s="8" t="s">
        <v>3883</v>
      </c>
      <c r="F703" s="8">
        <v>5.2060799E7</v>
      </c>
      <c r="G703" s="8" t="s">
        <v>54</v>
      </c>
      <c r="H703" s="8" t="s">
        <v>377</v>
      </c>
      <c r="I703" s="8" t="s">
        <v>31</v>
      </c>
      <c r="J703" s="8" t="s">
        <v>167</v>
      </c>
      <c r="K703" s="10" t="s">
        <v>3884</v>
      </c>
      <c r="L703" s="8" t="s">
        <v>47</v>
      </c>
      <c r="M703" s="8" t="s">
        <v>70</v>
      </c>
      <c r="N703" s="11">
        <v>44892.0</v>
      </c>
      <c r="O703" s="11">
        <v>44928.0</v>
      </c>
      <c r="P703" s="11">
        <v>45293.0</v>
      </c>
      <c r="Q703" s="11"/>
      <c r="R703" s="11"/>
      <c r="S703" s="12"/>
      <c r="T703" s="8"/>
      <c r="U703" s="8" t="s">
        <v>3885</v>
      </c>
      <c r="V703" s="13" t="s">
        <v>1604</v>
      </c>
      <c r="W703" s="13" t="s">
        <v>3886</v>
      </c>
      <c r="X703" s="12"/>
      <c r="Y703" s="14"/>
      <c r="Z703" s="14"/>
    </row>
    <row r="704">
      <c r="A704" s="8" t="s">
        <v>3887</v>
      </c>
      <c r="B704" s="8" t="s">
        <v>3888</v>
      </c>
      <c r="C704" s="8" t="s">
        <v>64</v>
      </c>
      <c r="D704" s="8" t="s">
        <v>26</v>
      </c>
      <c r="E704" s="8" t="s">
        <v>3889</v>
      </c>
      <c r="F704" s="8">
        <v>5.075624123E9</v>
      </c>
      <c r="G704" s="8" t="s">
        <v>31</v>
      </c>
      <c r="H704" s="8" t="s">
        <v>86</v>
      </c>
      <c r="I704" s="8" t="s">
        <v>202</v>
      </c>
      <c r="J704" s="8" t="s">
        <v>3890</v>
      </c>
      <c r="K704" s="10" t="s">
        <v>3891</v>
      </c>
      <c r="L704" s="8" t="s">
        <v>34</v>
      </c>
      <c r="M704" s="8" t="s">
        <v>70</v>
      </c>
      <c r="N704" s="11">
        <v>44892.0</v>
      </c>
      <c r="O704" s="11">
        <v>44906.0</v>
      </c>
      <c r="P704" s="11">
        <v>45095.0</v>
      </c>
      <c r="Q704" s="11">
        <v>44906.0</v>
      </c>
      <c r="R704" s="11">
        <v>45169.0</v>
      </c>
      <c r="S704" s="12"/>
      <c r="T704" s="8" t="s">
        <v>446</v>
      </c>
      <c r="U704" s="8" t="s">
        <v>3892</v>
      </c>
      <c r="V704" s="13" t="s">
        <v>175</v>
      </c>
      <c r="W704" s="13" t="s">
        <v>3893</v>
      </c>
      <c r="X704" s="12"/>
      <c r="Y704" s="14"/>
      <c r="Z704" s="14"/>
    </row>
    <row r="705">
      <c r="A705" s="8" t="s">
        <v>3894</v>
      </c>
      <c r="B705" s="8" t="s">
        <v>3895</v>
      </c>
      <c r="C705" s="8" t="s">
        <v>179</v>
      </c>
      <c r="D705" s="8" t="s">
        <v>26</v>
      </c>
      <c r="E705" s="8" t="s">
        <v>3896</v>
      </c>
      <c r="F705" s="8">
        <v>2.8591727E7</v>
      </c>
      <c r="G705" s="8" t="s">
        <v>54</v>
      </c>
      <c r="H705" s="8" t="s">
        <v>237</v>
      </c>
      <c r="I705" s="8" t="s">
        <v>31</v>
      </c>
      <c r="J705" s="8" t="s">
        <v>86</v>
      </c>
      <c r="K705" s="10" t="s">
        <v>416</v>
      </c>
      <c r="L705" s="8" t="s">
        <v>58</v>
      </c>
      <c r="M705" s="8" t="s">
        <v>35</v>
      </c>
      <c r="N705" s="11">
        <v>44892.0</v>
      </c>
      <c r="O705" s="11">
        <v>45117.0</v>
      </c>
      <c r="P705" s="11">
        <v>45159.0</v>
      </c>
      <c r="Q705" s="11"/>
      <c r="R705" s="11"/>
      <c r="S705" s="12"/>
      <c r="T705" s="8"/>
      <c r="U705" s="8" t="s">
        <v>59</v>
      </c>
      <c r="V705" s="13" t="s">
        <v>3897</v>
      </c>
      <c r="W705" s="13" t="s">
        <v>3898</v>
      </c>
      <c r="X705" s="12"/>
      <c r="Y705" s="14"/>
      <c r="Z705" s="14"/>
    </row>
    <row r="706">
      <c r="A706" s="8" t="s">
        <v>3899</v>
      </c>
      <c r="B706" s="8" t="s">
        <v>3900</v>
      </c>
      <c r="C706" s="8" t="s">
        <v>179</v>
      </c>
      <c r="D706" s="8" t="s">
        <v>26</v>
      </c>
      <c r="E706" s="8" t="s">
        <v>3901</v>
      </c>
      <c r="F706" s="8" t="s">
        <v>3902</v>
      </c>
      <c r="G706" s="8" t="s">
        <v>54</v>
      </c>
      <c r="H706" s="8" t="s">
        <v>237</v>
      </c>
      <c r="I706" s="8" t="s">
        <v>31</v>
      </c>
      <c r="J706" s="8" t="s">
        <v>86</v>
      </c>
      <c r="K706" s="10" t="s">
        <v>416</v>
      </c>
      <c r="L706" s="8" t="s">
        <v>58</v>
      </c>
      <c r="M706" s="8" t="s">
        <v>35</v>
      </c>
      <c r="N706" s="11">
        <v>44892.0</v>
      </c>
      <c r="O706" s="11">
        <v>45117.0</v>
      </c>
      <c r="P706" s="11">
        <v>45159.0</v>
      </c>
      <c r="Q706" s="11"/>
      <c r="R706" s="11"/>
      <c r="S706" s="12"/>
      <c r="T706" s="8"/>
      <c r="U706" s="8" t="s">
        <v>59</v>
      </c>
      <c r="V706" s="13" t="s">
        <v>3897</v>
      </c>
      <c r="W706" s="13" t="s">
        <v>3903</v>
      </c>
      <c r="X706" s="12"/>
      <c r="Y706" s="14"/>
      <c r="Z706" s="14"/>
    </row>
    <row r="707">
      <c r="A707" s="8" t="s">
        <v>3904</v>
      </c>
      <c r="B707" s="8" t="s">
        <v>3905</v>
      </c>
      <c r="C707" s="8" t="s">
        <v>179</v>
      </c>
      <c r="D707" s="8" t="s">
        <v>26</v>
      </c>
      <c r="E707" s="8" t="s">
        <v>3906</v>
      </c>
      <c r="F707" s="8">
        <v>5.8616787E7</v>
      </c>
      <c r="G707" s="8" t="s">
        <v>54</v>
      </c>
      <c r="H707" s="8" t="s">
        <v>237</v>
      </c>
      <c r="I707" s="8" t="s">
        <v>31</v>
      </c>
      <c r="J707" s="8" t="s">
        <v>86</v>
      </c>
      <c r="K707" s="10" t="s">
        <v>2453</v>
      </c>
      <c r="L707" s="8" t="s">
        <v>58</v>
      </c>
      <c r="M707" s="8" t="s">
        <v>35</v>
      </c>
      <c r="N707" s="11">
        <v>44892.0</v>
      </c>
      <c r="O707" s="11">
        <v>45132.0</v>
      </c>
      <c r="P707" s="11">
        <v>45174.0</v>
      </c>
      <c r="Q707" s="11"/>
      <c r="R707" s="11"/>
      <c r="S707" s="12"/>
      <c r="T707" s="8"/>
      <c r="U707" s="8" t="s">
        <v>59</v>
      </c>
      <c r="V707" s="13" t="s">
        <v>3897</v>
      </c>
      <c r="W707" s="13" t="s">
        <v>3907</v>
      </c>
      <c r="X707" s="12"/>
      <c r="Y707" s="14"/>
      <c r="Z707" s="14"/>
    </row>
    <row r="708">
      <c r="A708" s="8" t="s">
        <v>3908</v>
      </c>
      <c r="B708" s="8" t="s">
        <v>3909</v>
      </c>
      <c r="C708" s="8" t="s">
        <v>708</v>
      </c>
      <c r="D708" s="8" t="s">
        <v>26</v>
      </c>
      <c r="E708" s="8" t="s">
        <v>3910</v>
      </c>
      <c r="F708" s="9" t="s">
        <v>3911</v>
      </c>
      <c r="G708" s="8" t="s">
        <v>254</v>
      </c>
      <c r="H708" s="8" t="s">
        <v>1484</v>
      </c>
      <c r="I708" s="8" t="s">
        <v>31</v>
      </c>
      <c r="J708" s="8" t="s">
        <v>86</v>
      </c>
      <c r="K708" s="10" t="s">
        <v>2404</v>
      </c>
      <c r="L708" s="8" t="s">
        <v>34</v>
      </c>
      <c r="M708" s="8" t="s">
        <v>70</v>
      </c>
      <c r="N708" s="11">
        <v>44892.0</v>
      </c>
      <c r="O708" s="11">
        <v>44903.0</v>
      </c>
      <c r="P708" s="11">
        <v>45401.0</v>
      </c>
      <c r="Q708" s="11">
        <v>44903.0</v>
      </c>
      <c r="R708" s="11">
        <v>45402.0</v>
      </c>
      <c r="S708" s="12"/>
      <c r="T708" s="8" t="s">
        <v>36</v>
      </c>
      <c r="U708" s="8" t="s">
        <v>2405</v>
      </c>
      <c r="V708" s="13" t="s">
        <v>1487</v>
      </c>
      <c r="W708" s="13" t="s">
        <v>3912</v>
      </c>
      <c r="X708" s="12"/>
      <c r="Y708" s="14"/>
      <c r="Z708" s="14"/>
    </row>
    <row r="709">
      <c r="A709" s="8" t="s">
        <v>3913</v>
      </c>
      <c r="B709" s="8" t="s">
        <v>3914</v>
      </c>
      <c r="C709" s="8" t="s">
        <v>64</v>
      </c>
      <c r="D709" s="8" t="s">
        <v>26</v>
      </c>
      <c r="E709" s="8" t="s">
        <v>3915</v>
      </c>
      <c r="F709" s="8">
        <v>1.142371818E9</v>
      </c>
      <c r="G709" s="8" t="s">
        <v>284</v>
      </c>
      <c r="H709" s="8" t="s">
        <v>1777</v>
      </c>
      <c r="I709" s="8" t="s">
        <v>31</v>
      </c>
      <c r="J709" s="8" t="s">
        <v>77</v>
      </c>
      <c r="K709" s="10" t="s">
        <v>3241</v>
      </c>
      <c r="L709" s="8" t="s">
        <v>58</v>
      </c>
      <c r="M709" s="8" t="s">
        <v>35</v>
      </c>
      <c r="N709" s="11">
        <v>44892.0</v>
      </c>
      <c r="O709" s="11">
        <v>44900.0</v>
      </c>
      <c r="P709" s="11">
        <v>44942.0</v>
      </c>
      <c r="Q709" s="11">
        <v>44910.0</v>
      </c>
      <c r="R709" s="11">
        <v>44952.0</v>
      </c>
      <c r="S709" s="12"/>
      <c r="T709" s="8"/>
      <c r="U709" s="8" t="s">
        <v>59</v>
      </c>
      <c r="V709" s="13" t="s">
        <v>2168</v>
      </c>
      <c r="W709" s="13" t="s">
        <v>3916</v>
      </c>
      <c r="X709" s="12"/>
      <c r="Y709" s="14"/>
      <c r="Z709" s="14"/>
    </row>
    <row r="710">
      <c r="A710" s="8" t="s">
        <v>3917</v>
      </c>
      <c r="B710" s="8" t="s">
        <v>3918</v>
      </c>
      <c r="C710" s="8" t="s">
        <v>179</v>
      </c>
      <c r="D710" s="8" t="s">
        <v>26</v>
      </c>
      <c r="E710" s="8" t="s">
        <v>3919</v>
      </c>
      <c r="F710" s="8">
        <v>4.792863155E9</v>
      </c>
      <c r="G710" s="8" t="s">
        <v>109</v>
      </c>
      <c r="H710" s="8" t="s">
        <v>875</v>
      </c>
      <c r="I710" s="8" t="s">
        <v>31</v>
      </c>
      <c r="J710" s="8" t="s">
        <v>136</v>
      </c>
      <c r="K710" s="10" t="s">
        <v>2354</v>
      </c>
      <c r="L710" s="8" t="s">
        <v>58</v>
      </c>
      <c r="M710" s="8" t="s">
        <v>35</v>
      </c>
      <c r="N710" s="11">
        <v>44892.0</v>
      </c>
      <c r="O710" s="11">
        <v>45257.0</v>
      </c>
      <c r="P710" s="11">
        <v>45299.0</v>
      </c>
      <c r="Q710" s="11"/>
      <c r="R710" s="11"/>
      <c r="S710" s="12"/>
      <c r="T710" s="8"/>
      <c r="U710" s="8" t="s">
        <v>59</v>
      </c>
      <c r="V710" s="13" t="s">
        <v>876</v>
      </c>
      <c r="W710" s="13" t="s">
        <v>3920</v>
      </c>
      <c r="X710" s="12"/>
      <c r="Y710" s="14"/>
      <c r="Z710" s="14"/>
    </row>
    <row r="711">
      <c r="A711" s="8" t="s">
        <v>3921</v>
      </c>
      <c r="B711" s="8" t="s">
        <v>3922</v>
      </c>
      <c r="C711" s="8" t="s">
        <v>25</v>
      </c>
      <c r="D711" s="8" t="s">
        <v>26</v>
      </c>
      <c r="E711" s="8" t="s">
        <v>3923</v>
      </c>
      <c r="F711" s="8">
        <v>8.295055607E9</v>
      </c>
      <c r="G711" s="8" t="s">
        <v>44</v>
      </c>
      <c r="H711" s="8" t="s">
        <v>3924</v>
      </c>
      <c r="I711" s="8" t="s">
        <v>31</v>
      </c>
      <c r="J711" s="8" t="s">
        <v>256</v>
      </c>
      <c r="K711" s="10" t="s">
        <v>2775</v>
      </c>
      <c r="L711" s="8" t="s">
        <v>58</v>
      </c>
      <c r="M711" s="8" t="s">
        <v>35</v>
      </c>
      <c r="N711" s="11">
        <v>44892.0</v>
      </c>
      <c r="O711" s="11">
        <v>44907.0</v>
      </c>
      <c r="P711" s="11">
        <v>44949.0</v>
      </c>
      <c r="Q711" s="11">
        <v>44906.0</v>
      </c>
      <c r="R711" s="11">
        <v>44949.0</v>
      </c>
      <c r="S711" s="12"/>
      <c r="T711" s="8"/>
      <c r="U711" s="8" t="s">
        <v>59</v>
      </c>
      <c r="V711" s="13" t="s">
        <v>3924</v>
      </c>
      <c r="W711" s="13" t="s">
        <v>3925</v>
      </c>
      <c r="X711" s="12"/>
      <c r="Y711" s="14"/>
      <c r="Z711" s="14"/>
    </row>
    <row r="712">
      <c r="A712" s="8" t="s">
        <v>3926</v>
      </c>
      <c r="B712" s="8" t="s">
        <v>3927</v>
      </c>
      <c r="C712" s="8" t="s">
        <v>64</v>
      </c>
      <c r="D712" s="8" t="s">
        <v>26</v>
      </c>
      <c r="E712" s="8" t="s">
        <v>3928</v>
      </c>
      <c r="F712" s="8">
        <v>6.2225402E7</v>
      </c>
      <c r="G712" s="8" t="s">
        <v>3929</v>
      </c>
      <c r="H712" s="8" t="s">
        <v>3930</v>
      </c>
      <c r="I712" s="8" t="s">
        <v>31</v>
      </c>
      <c r="J712" s="8" t="s">
        <v>56</v>
      </c>
      <c r="K712" s="10" t="s">
        <v>3197</v>
      </c>
      <c r="L712" s="8" t="s">
        <v>58</v>
      </c>
      <c r="M712" s="8" t="s">
        <v>35</v>
      </c>
      <c r="N712" s="11">
        <v>44892.0</v>
      </c>
      <c r="O712" s="11">
        <v>44912.0</v>
      </c>
      <c r="P712" s="11">
        <v>44954.0</v>
      </c>
      <c r="Q712" s="11">
        <v>44912.0</v>
      </c>
      <c r="R712" s="11">
        <v>44955.0</v>
      </c>
      <c r="S712" s="12"/>
      <c r="T712" s="8"/>
      <c r="U712" s="8" t="s">
        <v>59</v>
      </c>
      <c r="V712" s="13" t="s">
        <v>3931</v>
      </c>
      <c r="W712" s="13" t="s">
        <v>3932</v>
      </c>
      <c r="X712" s="12"/>
      <c r="Y712" s="14"/>
      <c r="Z712" s="14"/>
    </row>
    <row r="713">
      <c r="A713" s="8" t="s">
        <v>3933</v>
      </c>
      <c r="B713" s="8" t="s">
        <v>3934</v>
      </c>
      <c r="C713" s="8" t="s">
        <v>179</v>
      </c>
      <c r="D713" s="8" t="s">
        <v>26</v>
      </c>
      <c r="E713" s="8" t="s">
        <v>3935</v>
      </c>
      <c r="F713" s="8">
        <v>5.453382441E9</v>
      </c>
      <c r="G713" s="8" t="s">
        <v>31</v>
      </c>
      <c r="H713" s="8" t="s">
        <v>66</v>
      </c>
      <c r="I713" s="8" t="s">
        <v>44</v>
      </c>
      <c r="J713" s="8" t="s">
        <v>453</v>
      </c>
      <c r="K713" s="10" t="s">
        <v>454</v>
      </c>
      <c r="L713" s="8" t="s">
        <v>58</v>
      </c>
      <c r="M713" s="8" t="s">
        <v>35</v>
      </c>
      <c r="N713" s="11">
        <v>44892.0</v>
      </c>
      <c r="O713" s="11">
        <v>45122.0</v>
      </c>
      <c r="P713" s="11">
        <v>45164.0</v>
      </c>
      <c r="Q713" s="11"/>
      <c r="R713" s="11"/>
      <c r="S713" s="12"/>
      <c r="T713" s="8"/>
      <c r="U713" s="8" t="s">
        <v>59</v>
      </c>
      <c r="V713" s="13" t="s">
        <v>3936</v>
      </c>
      <c r="W713" s="13" t="s">
        <v>3937</v>
      </c>
      <c r="X713" s="12"/>
      <c r="Y713" s="14"/>
      <c r="Z713" s="14"/>
    </row>
    <row r="714">
      <c r="A714" s="8" t="s">
        <v>3938</v>
      </c>
      <c r="B714" s="8" t="s">
        <v>3939</v>
      </c>
      <c r="C714" s="8" t="s">
        <v>25</v>
      </c>
      <c r="D714" s="8" t="s">
        <v>26</v>
      </c>
      <c r="E714" s="8" t="s">
        <v>3940</v>
      </c>
      <c r="F714" s="8">
        <v>5.360216965E9</v>
      </c>
      <c r="G714" s="8" t="s">
        <v>284</v>
      </c>
      <c r="H714" s="8" t="s">
        <v>673</v>
      </c>
      <c r="I714" s="8" t="s">
        <v>31</v>
      </c>
      <c r="J714" s="8" t="s">
        <v>542</v>
      </c>
      <c r="K714" s="10" t="s">
        <v>1685</v>
      </c>
      <c r="L714" s="8" t="s">
        <v>34</v>
      </c>
      <c r="M714" s="8" t="s">
        <v>70</v>
      </c>
      <c r="N714" s="11">
        <v>44892.0</v>
      </c>
      <c r="O714" s="11">
        <v>44914.0</v>
      </c>
      <c r="P714" s="11">
        <v>45275.0</v>
      </c>
      <c r="Q714" s="11">
        <v>44940.0</v>
      </c>
      <c r="R714" s="11">
        <v>45303.0</v>
      </c>
      <c r="S714" s="12"/>
      <c r="T714" s="8" t="s">
        <v>205</v>
      </c>
      <c r="U714" s="8" t="s">
        <v>1686</v>
      </c>
      <c r="V714" s="13" t="s">
        <v>674</v>
      </c>
      <c r="W714" s="13" t="s">
        <v>3941</v>
      </c>
      <c r="X714" s="12"/>
      <c r="Y714" s="14"/>
      <c r="Z714" s="14"/>
    </row>
    <row r="715">
      <c r="A715" s="8" t="s">
        <v>3942</v>
      </c>
      <c r="B715" s="8" t="s">
        <v>3943</v>
      </c>
      <c r="C715" s="8" t="s">
        <v>251</v>
      </c>
      <c r="D715" s="8" t="s">
        <v>26</v>
      </c>
      <c r="E715" s="8" t="s">
        <v>3944</v>
      </c>
      <c r="F715" s="8">
        <v>1.122532244E9</v>
      </c>
      <c r="G715" s="8" t="s">
        <v>284</v>
      </c>
      <c r="H715" s="8" t="s">
        <v>625</v>
      </c>
      <c r="I715" s="8" t="s">
        <v>31</v>
      </c>
      <c r="J715" s="8" t="s">
        <v>77</v>
      </c>
      <c r="K715" s="10" t="s">
        <v>3945</v>
      </c>
      <c r="L715" s="8" t="s">
        <v>58</v>
      </c>
      <c r="M715" s="8" t="s">
        <v>35</v>
      </c>
      <c r="N715" s="11">
        <v>44893.0</v>
      </c>
      <c r="O715" s="11">
        <v>44949.0</v>
      </c>
      <c r="P715" s="11">
        <v>44991.0</v>
      </c>
      <c r="Q715" s="11"/>
      <c r="R715" s="11"/>
      <c r="S715" s="12"/>
      <c r="T715" s="8"/>
      <c r="U715" s="8" t="s">
        <v>59</v>
      </c>
      <c r="V715" s="13" t="s">
        <v>626</v>
      </c>
      <c r="W715" s="13" t="s">
        <v>3946</v>
      </c>
      <c r="X715" s="12"/>
      <c r="Y715" s="14"/>
      <c r="Z715" s="14"/>
    </row>
    <row r="716">
      <c r="A716" s="8" t="s">
        <v>3947</v>
      </c>
      <c r="B716" s="8" t="s">
        <v>3948</v>
      </c>
      <c r="C716" s="8" t="s">
        <v>708</v>
      </c>
      <c r="D716" s="8" t="s">
        <v>26</v>
      </c>
      <c r="E716" s="8" t="s">
        <v>3949</v>
      </c>
      <c r="F716" s="8">
        <v>5.396481198E9</v>
      </c>
      <c r="G716" s="8" t="s">
        <v>31</v>
      </c>
      <c r="H716" s="8" t="s">
        <v>86</v>
      </c>
      <c r="I716" s="8" t="s">
        <v>2524</v>
      </c>
      <c r="J716" s="8" t="s">
        <v>3950</v>
      </c>
      <c r="K716" s="10" t="s">
        <v>3951</v>
      </c>
      <c r="L716" s="8" t="s">
        <v>34</v>
      </c>
      <c r="M716" s="8" t="s">
        <v>70</v>
      </c>
      <c r="N716" s="11">
        <v>44893.0</v>
      </c>
      <c r="O716" s="11">
        <v>44915.0</v>
      </c>
      <c r="P716" s="11">
        <v>45280.0</v>
      </c>
      <c r="Q716" s="11">
        <v>45126.0</v>
      </c>
      <c r="R716" s="11">
        <v>45475.0</v>
      </c>
      <c r="S716" s="12"/>
      <c r="T716" s="8" t="s">
        <v>1187</v>
      </c>
      <c r="U716" s="8" t="s">
        <v>3952</v>
      </c>
      <c r="V716" s="13" t="s">
        <v>175</v>
      </c>
      <c r="W716" s="13" t="s">
        <v>3953</v>
      </c>
      <c r="X716" s="12"/>
      <c r="Y716" s="14"/>
      <c r="Z716" s="14"/>
    </row>
    <row r="717">
      <c r="A717" s="8" t="s">
        <v>3954</v>
      </c>
      <c r="B717" s="8" t="s">
        <v>3955</v>
      </c>
      <c r="C717" s="8" t="s">
        <v>251</v>
      </c>
      <c r="D717" s="8" t="s">
        <v>26</v>
      </c>
      <c r="E717" s="8" t="s">
        <v>3956</v>
      </c>
      <c r="F717" s="8">
        <v>6.37755619E8</v>
      </c>
      <c r="G717" s="8" t="s">
        <v>84</v>
      </c>
      <c r="H717" s="8" t="s">
        <v>646</v>
      </c>
      <c r="I717" s="8" t="s">
        <v>31</v>
      </c>
      <c r="J717" s="8" t="s">
        <v>86</v>
      </c>
      <c r="K717" s="10" t="s">
        <v>2404</v>
      </c>
      <c r="L717" s="8" t="s">
        <v>34</v>
      </c>
      <c r="M717" s="8" t="s">
        <v>70</v>
      </c>
      <c r="N717" s="11">
        <v>44893.0</v>
      </c>
      <c r="O717" s="11">
        <v>44903.0</v>
      </c>
      <c r="P717" s="11">
        <v>45401.0</v>
      </c>
      <c r="Q717" s="11"/>
      <c r="R717" s="11"/>
      <c r="S717" s="12"/>
      <c r="T717" s="8" t="s">
        <v>36</v>
      </c>
      <c r="U717" s="8" t="s">
        <v>2405</v>
      </c>
      <c r="V717" s="13" t="s">
        <v>3957</v>
      </c>
      <c r="W717" s="13" t="s">
        <v>3958</v>
      </c>
      <c r="X717" s="12"/>
      <c r="Y717" s="14"/>
      <c r="Z717" s="14"/>
    </row>
    <row r="718">
      <c r="A718" s="8" t="s">
        <v>3959</v>
      </c>
      <c r="B718" s="8" t="s">
        <v>3960</v>
      </c>
      <c r="C718" s="8" t="s">
        <v>25</v>
      </c>
      <c r="D718" s="8" t="s">
        <v>26</v>
      </c>
      <c r="E718" s="8" t="s">
        <v>3961</v>
      </c>
      <c r="F718" s="8">
        <v>5.558809634E9</v>
      </c>
      <c r="G718" s="8" t="s">
        <v>31</v>
      </c>
      <c r="H718" s="8" t="s">
        <v>77</v>
      </c>
      <c r="I718" s="8" t="s">
        <v>127</v>
      </c>
      <c r="J718" s="8" t="s">
        <v>128</v>
      </c>
      <c r="K718" s="10" t="s">
        <v>3962</v>
      </c>
      <c r="L718" s="8" t="s">
        <v>58</v>
      </c>
      <c r="M718" s="8" t="s">
        <v>35</v>
      </c>
      <c r="N718" s="11">
        <v>44893.0</v>
      </c>
      <c r="O718" s="11">
        <v>44949.0</v>
      </c>
      <c r="P718" s="11">
        <v>44991.0</v>
      </c>
      <c r="Q718" s="11">
        <v>44949.0</v>
      </c>
      <c r="R718" s="11">
        <v>44991.0</v>
      </c>
      <c r="S718" s="12"/>
      <c r="T718" s="8"/>
      <c r="U718" s="8" t="s">
        <v>161</v>
      </c>
      <c r="V718" s="13" t="s">
        <v>77</v>
      </c>
      <c r="W718" s="13" t="s">
        <v>3963</v>
      </c>
      <c r="X718" s="12"/>
      <c r="Y718" s="14"/>
      <c r="Z718" s="14"/>
    </row>
    <row r="719">
      <c r="A719" s="8" t="s">
        <v>3964</v>
      </c>
      <c r="B719" s="8" t="s">
        <v>3965</v>
      </c>
      <c r="C719" s="8" t="s">
        <v>251</v>
      </c>
      <c r="D719" s="8" t="s">
        <v>26</v>
      </c>
      <c r="E719" s="8" t="s">
        <v>3966</v>
      </c>
      <c r="F719" s="8"/>
      <c r="G719" s="8" t="s">
        <v>143</v>
      </c>
      <c r="H719" s="8" t="s">
        <v>3967</v>
      </c>
      <c r="I719" s="8" t="s">
        <v>31</v>
      </c>
      <c r="J719" s="8" t="s">
        <v>86</v>
      </c>
      <c r="K719" s="10" t="s">
        <v>3576</v>
      </c>
      <c r="L719" s="8" t="s">
        <v>58</v>
      </c>
      <c r="M719" s="8" t="s">
        <v>35</v>
      </c>
      <c r="N719" s="11">
        <v>44893.0</v>
      </c>
      <c r="O719" s="11">
        <v>44914.0</v>
      </c>
      <c r="P719" s="11">
        <v>44956.0</v>
      </c>
      <c r="Q719" s="11"/>
      <c r="R719" s="11"/>
      <c r="S719" s="12"/>
      <c r="T719" s="8"/>
      <c r="U719" s="8" t="s">
        <v>153</v>
      </c>
      <c r="V719" s="13" t="s">
        <v>38</v>
      </c>
      <c r="W719" s="13" t="s">
        <v>3968</v>
      </c>
      <c r="X719" s="12"/>
      <c r="Y719" s="14"/>
      <c r="Z719" s="14"/>
    </row>
    <row r="720">
      <c r="A720" s="8" t="s">
        <v>3969</v>
      </c>
      <c r="B720" s="8" t="s">
        <v>3970</v>
      </c>
      <c r="C720" s="8" t="s">
        <v>25</v>
      </c>
      <c r="D720" s="8" t="s">
        <v>26</v>
      </c>
      <c r="E720" s="8" t="s">
        <v>3971</v>
      </c>
      <c r="F720" s="8">
        <v>7.55229674E8</v>
      </c>
      <c r="G720" s="8" t="s">
        <v>127</v>
      </c>
      <c r="H720" s="8" t="s">
        <v>159</v>
      </c>
      <c r="I720" s="8" t="s">
        <v>31</v>
      </c>
      <c r="J720" s="8" t="s">
        <v>167</v>
      </c>
      <c r="K720" s="10" t="s">
        <v>168</v>
      </c>
      <c r="L720" s="8" t="s">
        <v>58</v>
      </c>
      <c r="M720" s="8" t="s">
        <v>35</v>
      </c>
      <c r="N720" s="11">
        <v>44893.0</v>
      </c>
      <c r="O720" s="11">
        <v>45117.0</v>
      </c>
      <c r="P720" s="11">
        <v>45159.0</v>
      </c>
      <c r="Q720" s="11">
        <v>45118.0</v>
      </c>
      <c r="R720" s="11">
        <v>45159.0</v>
      </c>
      <c r="S720" s="12"/>
      <c r="T720" s="8"/>
      <c r="U720" s="8" t="s">
        <v>130</v>
      </c>
      <c r="V720" s="13" t="s">
        <v>159</v>
      </c>
      <c r="W720" s="13" t="s">
        <v>3972</v>
      </c>
      <c r="X720" s="12"/>
      <c r="Y720" s="14"/>
      <c r="Z720" s="14"/>
    </row>
    <row r="721">
      <c r="A721" s="8" t="s">
        <v>3973</v>
      </c>
      <c r="B721" s="8" t="s">
        <v>3974</v>
      </c>
      <c r="C721" s="8" t="s">
        <v>179</v>
      </c>
      <c r="D721" s="8" t="s">
        <v>26</v>
      </c>
      <c r="E721" s="8" t="s">
        <v>3975</v>
      </c>
      <c r="F721" s="8">
        <v>5.398940376E9</v>
      </c>
      <c r="G721" s="8" t="s">
        <v>31</v>
      </c>
      <c r="H721" s="8" t="s">
        <v>136</v>
      </c>
      <c r="I721" s="8" t="s">
        <v>284</v>
      </c>
      <c r="J721" s="8" t="s">
        <v>285</v>
      </c>
      <c r="K721" s="10" t="s">
        <v>3841</v>
      </c>
      <c r="L721" s="8" t="s">
        <v>58</v>
      </c>
      <c r="M721" s="8" t="s">
        <v>35</v>
      </c>
      <c r="N721" s="11">
        <v>44893.0</v>
      </c>
      <c r="O721" s="11">
        <v>45108.0</v>
      </c>
      <c r="P721" s="11">
        <v>45150.0</v>
      </c>
      <c r="Q721" s="11"/>
      <c r="R721" s="11"/>
      <c r="S721" s="12"/>
      <c r="T721" s="8"/>
      <c r="U721" s="8" t="s">
        <v>1038</v>
      </c>
      <c r="V721" s="13" t="s">
        <v>136</v>
      </c>
      <c r="W721" s="13" t="s">
        <v>3976</v>
      </c>
      <c r="X721" s="12"/>
      <c r="Y721" s="14"/>
      <c r="Z721" s="14"/>
    </row>
    <row r="722">
      <c r="A722" s="8" t="s">
        <v>3977</v>
      </c>
      <c r="B722" s="8" t="s">
        <v>3978</v>
      </c>
      <c r="C722" s="8" t="s">
        <v>179</v>
      </c>
      <c r="D722" s="8" t="s">
        <v>26</v>
      </c>
      <c r="E722" s="8" t="s">
        <v>3979</v>
      </c>
      <c r="F722" s="8" t="s">
        <v>3980</v>
      </c>
      <c r="G722" s="8" t="s">
        <v>31</v>
      </c>
      <c r="H722" s="8" t="s">
        <v>959</v>
      </c>
      <c r="I722" s="8" t="s">
        <v>399</v>
      </c>
      <c r="J722" s="8" t="s">
        <v>415</v>
      </c>
      <c r="K722" s="10" t="s">
        <v>2626</v>
      </c>
      <c r="L722" s="8" t="s">
        <v>58</v>
      </c>
      <c r="M722" s="8" t="s">
        <v>35</v>
      </c>
      <c r="N722" s="11">
        <v>44893.0</v>
      </c>
      <c r="O722" s="11">
        <v>45122.0</v>
      </c>
      <c r="P722" s="11">
        <v>45164.0</v>
      </c>
      <c r="Q722" s="11"/>
      <c r="R722" s="11"/>
      <c r="S722" s="12"/>
      <c r="T722" s="8"/>
      <c r="U722" s="8" t="s">
        <v>185</v>
      </c>
      <c r="V722" s="13" t="s">
        <v>1069</v>
      </c>
      <c r="W722" s="13" t="s">
        <v>3981</v>
      </c>
      <c r="X722" s="12"/>
      <c r="Y722" s="14"/>
      <c r="Z722" s="14"/>
    </row>
    <row r="723">
      <c r="A723" s="8" t="s">
        <v>3982</v>
      </c>
      <c r="B723" s="8" t="s">
        <v>3983</v>
      </c>
      <c r="C723" s="8" t="s">
        <v>25</v>
      </c>
      <c r="D723" s="8" t="s">
        <v>26</v>
      </c>
      <c r="E723" s="8" t="s">
        <v>3984</v>
      </c>
      <c r="F723" s="8">
        <v>5.419730209E9</v>
      </c>
      <c r="G723" s="8" t="s">
        <v>31</v>
      </c>
      <c r="H723" s="8" t="s">
        <v>102</v>
      </c>
      <c r="I723" s="8" t="s">
        <v>221</v>
      </c>
      <c r="J723" s="8" t="s">
        <v>3985</v>
      </c>
      <c r="K723" s="10" t="s">
        <v>3986</v>
      </c>
      <c r="L723" s="8" t="s">
        <v>58</v>
      </c>
      <c r="M723" s="8" t="s">
        <v>35</v>
      </c>
      <c r="N723" s="11">
        <v>44893.0</v>
      </c>
      <c r="O723" s="11">
        <v>44942.0</v>
      </c>
      <c r="P723" s="11">
        <v>44984.0</v>
      </c>
      <c r="Q723" s="11">
        <v>44943.0</v>
      </c>
      <c r="R723" s="11">
        <v>44984.0</v>
      </c>
      <c r="S723" s="12"/>
      <c r="T723" s="8"/>
      <c r="U723" s="8" t="s">
        <v>371</v>
      </c>
      <c r="V723" s="13" t="s">
        <v>102</v>
      </c>
      <c r="W723" s="13" t="s">
        <v>3987</v>
      </c>
      <c r="X723" s="12"/>
      <c r="Y723" s="14"/>
      <c r="Z723" s="14"/>
    </row>
    <row r="724">
      <c r="A724" s="8" t="s">
        <v>3988</v>
      </c>
      <c r="B724" s="8" t="s">
        <v>3989</v>
      </c>
      <c r="C724" s="8" t="s">
        <v>64</v>
      </c>
      <c r="D724" s="8" t="s">
        <v>26</v>
      </c>
      <c r="E724" s="8" t="s">
        <v>3990</v>
      </c>
      <c r="F724" s="8"/>
      <c r="G724" s="8" t="s">
        <v>835</v>
      </c>
      <c r="H724" s="8" t="s">
        <v>1307</v>
      </c>
      <c r="I724" s="8" t="s">
        <v>31</v>
      </c>
      <c r="J724" s="8" t="s">
        <v>56</v>
      </c>
      <c r="K724" s="10" t="s">
        <v>3301</v>
      </c>
      <c r="L724" s="8" t="s">
        <v>58</v>
      </c>
      <c r="M724" s="8" t="s">
        <v>35</v>
      </c>
      <c r="N724" s="11">
        <v>44893.0</v>
      </c>
      <c r="O724" s="11">
        <v>44909.0</v>
      </c>
      <c r="P724" s="11">
        <v>44951.0</v>
      </c>
      <c r="Q724" s="11">
        <v>44912.0</v>
      </c>
      <c r="R724" s="11">
        <v>44954.0</v>
      </c>
      <c r="S724" s="12"/>
      <c r="T724" s="8"/>
      <c r="U724" s="8" t="s">
        <v>130</v>
      </c>
      <c r="V724" s="13" t="s">
        <v>38</v>
      </c>
      <c r="W724" s="13" t="s">
        <v>3991</v>
      </c>
      <c r="X724" s="12"/>
      <c r="Y724" s="14"/>
      <c r="Z724" s="14"/>
    </row>
    <row r="725">
      <c r="A725" s="8" t="s">
        <v>3992</v>
      </c>
      <c r="B725" s="8" t="s">
        <v>3993</v>
      </c>
      <c r="C725" s="8" t="s">
        <v>25</v>
      </c>
      <c r="D725" s="8" t="s">
        <v>26</v>
      </c>
      <c r="E725" s="8" t="s">
        <v>3994</v>
      </c>
      <c r="F725" s="8">
        <v>5.523540873E9</v>
      </c>
      <c r="G725" s="8" t="s">
        <v>31</v>
      </c>
      <c r="H725" s="8" t="s">
        <v>86</v>
      </c>
      <c r="I725" s="8" t="s">
        <v>127</v>
      </c>
      <c r="J725" s="8" t="s">
        <v>1628</v>
      </c>
      <c r="K725" s="10" t="s">
        <v>1955</v>
      </c>
      <c r="L725" s="8" t="s">
        <v>58</v>
      </c>
      <c r="M725" s="8" t="s">
        <v>35</v>
      </c>
      <c r="N725" s="11">
        <v>44893.0</v>
      </c>
      <c r="O725" s="11">
        <v>44935.0</v>
      </c>
      <c r="P725" s="11">
        <v>44977.0</v>
      </c>
      <c r="Q725" s="11">
        <v>44936.0</v>
      </c>
      <c r="R725" s="11">
        <v>44977.0</v>
      </c>
      <c r="S725" s="12"/>
      <c r="T725" s="8"/>
      <c r="U725" s="8" t="s">
        <v>1956</v>
      </c>
      <c r="V725" s="13" t="s">
        <v>175</v>
      </c>
      <c r="W725" s="13" t="s">
        <v>3995</v>
      </c>
      <c r="X725" s="12"/>
      <c r="Y725" s="14"/>
      <c r="Z725" s="14"/>
    </row>
    <row r="726">
      <c r="A726" s="8" t="s">
        <v>3996</v>
      </c>
      <c r="B726" s="8" t="s">
        <v>3997</v>
      </c>
      <c r="C726" s="8" t="s">
        <v>179</v>
      </c>
      <c r="D726" s="8" t="s">
        <v>26</v>
      </c>
      <c r="E726" s="8" t="s">
        <v>3998</v>
      </c>
      <c r="F726" s="8"/>
      <c r="G726" s="8" t="s">
        <v>31</v>
      </c>
      <c r="H726" s="8" t="s">
        <v>86</v>
      </c>
      <c r="I726" s="8" t="s">
        <v>100</v>
      </c>
      <c r="J726" s="8" t="s">
        <v>3016</v>
      </c>
      <c r="K726" s="10" t="s">
        <v>3017</v>
      </c>
      <c r="L726" s="8" t="s">
        <v>58</v>
      </c>
      <c r="M726" s="8" t="s">
        <v>35</v>
      </c>
      <c r="N726" s="11">
        <v>44893.0</v>
      </c>
      <c r="O726" s="11">
        <v>44963.0</v>
      </c>
      <c r="P726" s="11">
        <v>45005.0</v>
      </c>
      <c r="Q726" s="11"/>
      <c r="R726" s="11"/>
      <c r="S726" s="12"/>
      <c r="T726" s="8"/>
      <c r="U726" s="8" t="s">
        <v>88</v>
      </c>
      <c r="V726" s="13" t="s">
        <v>38</v>
      </c>
      <c r="W726" s="13" t="s">
        <v>3999</v>
      </c>
      <c r="X726" s="12"/>
      <c r="Y726" s="14"/>
      <c r="Z726" s="14"/>
    </row>
    <row r="727">
      <c r="A727" s="8" t="s">
        <v>4000</v>
      </c>
      <c r="B727" s="8" t="s">
        <v>4001</v>
      </c>
      <c r="C727" s="8" t="s">
        <v>179</v>
      </c>
      <c r="D727" s="8" t="s">
        <v>26</v>
      </c>
      <c r="E727" s="8" t="s">
        <v>4002</v>
      </c>
      <c r="F727" s="8" t="s">
        <v>4003</v>
      </c>
      <c r="G727" s="8" t="s">
        <v>31</v>
      </c>
      <c r="H727" s="8" t="s">
        <v>542</v>
      </c>
      <c r="I727" s="8" t="s">
        <v>284</v>
      </c>
      <c r="J727" s="8" t="s">
        <v>285</v>
      </c>
      <c r="K727" s="10" t="s">
        <v>3841</v>
      </c>
      <c r="L727" s="8" t="s">
        <v>58</v>
      </c>
      <c r="M727" s="8" t="s">
        <v>35</v>
      </c>
      <c r="N727" s="11">
        <v>44894.0</v>
      </c>
      <c r="O727" s="11">
        <v>45108.0</v>
      </c>
      <c r="P727" s="11">
        <v>45150.0</v>
      </c>
      <c r="Q727" s="11"/>
      <c r="R727" s="11"/>
      <c r="S727" s="12"/>
      <c r="T727" s="8"/>
      <c r="U727" s="8" t="s">
        <v>1038</v>
      </c>
      <c r="V727" s="13" t="s">
        <v>545</v>
      </c>
      <c r="W727" s="13" t="s">
        <v>4004</v>
      </c>
      <c r="X727" s="12"/>
      <c r="Y727" s="14"/>
      <c r="Z727" s="14"/>
    </row>
    <row r="728">
      <c r="A728" s="8" t="s">
        <v>4005</v>
      </c>
      <c r="B728" s="8" t="s">
        <v>4006</v>
      </c>
      <c r="C728" s="8" t="s">
        <v>25</v>
      </c>
      <c r="D728" s="8" t="s">
        <v>26</v>
      </c>
      <c r="E728" s="8" t="s">
        <v>4007</v>
      </c>
      <c r="F728" s="8">
        <v>5.3426542E7</v>
      </c>
      <c r="G728" s="8" t="s">
        <v>54</v>
      </c>
      <c r="H728" s="8" t="s">
        <v>377</v>
      </c>
      <c r="I728" s="8" t="s">
        <v>31</v>
      </c>
      <c r="J728" s="8" t="s">
        <v>167</v>
      </c>
      <c r="K728" s="10" t="s">
        <v>4008</v>
      </c>
      <c r="L728" s="8" t="s">
        <v>58</v>
      </c>
      <c r="M728" s="8" t="s">
        <v>35</v>
      </c>
      <c r="N728" s="11">
        <v>44894.0</v>
      </c>
      <c r="O728" s="11">
        <v>44907.0</v>
      </c>
      <c r="P728" s="11">
        <v>44949.0</v>
      </c>
      <c r="Q728" s="11">
        <v>44915.0</v>
      </c>
      <c r="R728" s="11">
        <v>44956.0</v>
      </c>
      <c r="S728" s="12"/>
      <c r="T728" s="8"/>
      <c r="U728" s="8" t="s">
        <v>59</v>
      </c>
      <c r="V728" s="13" t="s">
        <v>686</v>
      </c>
      <c r="W728" s="13" t="s">
        <v>4009</v>
      </c>
      <c r="X728" s="12"/>
      <c r="Y728" s="14"/>
      <c r="Z728" s="14"/>
    </row>
    <row r="729">
      <c r="A729" s="8" t="s">
        <v>4010</v>
      </c>
      <c r="B729" s="8" t="s">
        <v>2573</v>
      </c>
      <c r="C729" s="8" t="s">
        <v>708</v>
      </c>
      <c r="D729" s="8" t="s">
        <v>26</v>
      </c>
      <c r="E729" s="8" t="s">
        <v>4011</v>
      </c>
      <c r="F729" s="8">
        <v>6.71418363E8</v>
      </c>
      <c r="G729" s="8" t="s">
        <v>254</v>
      </c>
      <c r="H729" s="8" t="s">
        <v>255</v>
      </c>
      <c r="I729" s="8" t="s">
        <v>31</v>
      </c>
      <c r="J729" s="8" t="s">
        <v>86</v>
      </c>
      <c r="K729" s="10" t="s">
        <v>2404</v>
      </c>
      <c r="L729" s="8" t="s">
        <v>34</v>
      </c>
      <c r="M729" s="8" t="s">
        <v>70</v>
      </c>
      <c r="N729" s="11">
        <v>44894.0</v>
      </c>
      <c r="O729" s="11">
        <v>44903.0</v>
      </c>
      <c r="P729" s="11">
        <v>45401.0</v>
      </c>
      <c r="Q729" s="11">
        <v>44903.0</v>
      </c>
      <c r="R729" s="11">
        <v>45402.0</v>
      </c>
      <c r="S729" s="12"/>
      <c r="T729" s="8" t="s">
        <v>36</v>
      </c>
      <c r="U729" s="8" t="s">
        <v>2405</v>
      </c>
      <c r="V729" s="13" t="s">
        <v>258</v>
      </c>
      <c r="W729" s="13" t="s">
        <v>4012</v>
      </c>
      <c r="X729" s="12"/>
      <c r="Y729" s="14"/>
      <c r="Z729" s="14"/>
    </row>
    <row r="730">
      <c r="A730" s="8" t="s">
        <v>4013</v>
      </c>
      <c r="B730" s="8" t="s">
        <v>4014</v>
      </c>
      <c r="C730" s="8" t="s">
        <v>179</v>
      </c>
      <c r="D730" s="8" t="s">
        <v>26</v>
      </c>
      <c r="E730" s="8" t="s">
        <v>4015</v>
      </c>
      <c r="F730" s="8">
        <v>5.339739702E9</v>
      </c>
      <c r="G730" s="8" t="s">
        <v>31</v>
      </c>
      <c r="H730" s="8" t="s">
        <v>86</v>
      </c>
      <c r="I730" s="8" t="s">
        <v>4016</v>
      </c>
      <c r="J730" s="8" t="s">
        <v>4017</v>
      </c>
      <c r="K730" s="10" t="s">
        <v>4018</v>
      </c>
      <c r="L730" s="8" t="s">
        <v>34</v>
      </c>
      <c r="M730" s="8" t="s">
        <v>70</v>
      </c>
      <c r="N730" s="11">
        <v>44894.0</v>
      </c>
      <c r="O730" s="11">
        <v>45017.0</v>
      </c>
      <c r="P730" s="11">
        <v>45382.0</v>
      </c>
      <c r="Q730" s="11"/>
      <c r="R730" s="11"/>
      <c r="S730" s="12"/>
      <c r="T730" s="8" t="s">
        <v>446</v>
      </c>
      <c r="U730" s="8" t="s">
        <v>4019</v>
      </c>
      <c r="V730" s="13" t="s">
        <v>175</v>
      </c>
      <c r="W730" s="13" t="s">
        <v>4020</v>
      </c>
      <c r="X730" s="12"/>
      <c r="Y730" s="14"/>
      <c r="Z730" s="14"/>
    </row>
    <row r="731">
      <c r="A731" s="8" t="s">
        <v>4021</v>
      </c>
      <c r="B731" s="8" t="s">
        <v>4022</v>
      </c>
      <c r="C731" s="8" t="s">
        <v>179</v>
      </c>
      <c r="D731" s="8" t="s">
        <v>26</v>
      </c>
      <c r="E731" s="8" t="s">
        <v>4023</v>
      </c>
      <c r="F731" s="8">
        <v>5.52905601E9</v>
      </c>
      <c r="G731" s="8" t="s">
        <v>466</v>
      </c>
      <c r="H731" s="8" t="s">
        <v>4024</v>
      </c>
      <c r="I731" s="8" t="s">
        <v>31</v>
      </c>
      <c r="J731" s="8" t="s">
        <v>86</v>
      </c>
      <c r="K731" s="10" t="s">
        <v>4025</v>
      </c>
      <c r="L731" s="8" t="s">
        <v>58</v>
      </c>
      <c r="M731" s="8" t="s">
        <v>35</v>
      </c>
      <c r="N731" s="11">
        <v>44894.0</v>
      </c>
      <c r="O731" s="11">
        <v>45103.0</v>
      </c>
      <c r="P731" s="11">
        <v>45145.0</v>
      </c>
      <c r="Q731" s="11"/>
      <c r="R731" s="11"/>
      <c r="S731" s="12"/>
      <c r="T731" s="8"/>
      <c r="U731" s="8" t="s">
        <v>130</v>
      </c>
      <c r="V731" s="13" t="s">
        <v>4026</v>
      </c>
      <c r="W731" s="13" t="s">
        <v>4027</v>
      </c>
      <c r="X731" s="12"/>
      <c r="Y731" s="14"/>
      <c r="Z731" s="14"/>
    </row>
    <row r="732">
      <c r="A732" s="8" t="s">
        <v>4028</v>
      </c>
      <c r="B732" s="8" t="s">
        <v>4029</v>
      </c>
      <c r="C732" s="8" t="s">
        <v>25</v>
      </c>
      <c r="D732" s="8" t="s">
        <v>26</v>
      </c>
      <c r="E732" s="8" t="s">
        <v>4030</v>
      </c>
      <c r="F732" s="8">
        <v>5.514252035E9</v>
      </c>
      <c r="G732" s="8" t="s">
        <v>109</v>
      </c>
      <c r="H732" s="8" t="s">
        <v>4031</v>
      </c>
      <c r="I732" s="8" t="s">
        <v>31</v>
      </c>
      <c r="J732" s="8" t="s">
        <v>1274</v>
      </c>
      <c r="K732" s="10" t="s">
        <v>1641</v>
      </c>
      <c r="L732" s="8" t="s">
        <v>58</v>
      </c>
      <c r="M732" s="8" t="s">
        <v>35</v>
      </c>
      <c r="N732" s="11">
        <v>44894.0</v>
      </c>
      <c r="O732" s="11">
        <v>45047.0</v>
      </c>
      <c r="P732" s="11">
        <v>45089.0</v>
      </c>
      <c r="Q732" s="11">
        <v>45047.0</v>
      </c>
      <c r="R732" s="11">
        <v>45089.0</v>
      </c>
      <c r="S732" s="12"/>
      <c r="T732" s="8"/>
      <c r="U732" s="8" t="s">
        <v>185</v>
      </c>
      <c r="V732" s="13" t="s">
        <v>4032</v>
      </c>
      <c r="W732" s="13" t="s">
        <v>4033</v>
      </c>
      <c r="X732" s="12"/>
      <c r="Y732" s="14"/>
      <c r="Z732" s="14"/>
    </row>
    <row r="733">
      <c r="A733" s="8" t="s">
        <v>4034</v>
      </c>
      <c r="B733" s="8" t="s">
        <v>4035</v>
      </c>
      <c r="C733" s="8" t="s">
        <v>179</v>
      </c>
      <c r="D733" s="8" t="s">
        <v>26</v>
      </c>
      <c r="E733" s="8" t="s">
        <v>4036</v>
      </c>
      <c r="F733" s="8">
        <v>5.413931854E9</v>
      </c>
      <c r="G733" s="8" t="s">
        <v>31</v>
      </c>
      <c r="H733" s="8" t="s">
        <v>32</v>
      </c>
      <c r="I733" s="8" t="s">
        <v>284</v>
      </c>
      <c r="J733" s="8" t="s">
        <v>793</v>
      </c>
      <c r="K733" s="10" t="s">
        <v>2688</v>
      </c>
      <c r="L733" s="8" t="s">
        <v>58</v>
      </c>
      <c r="M733" s="8" t="s">
        <v>35</v>
      </c>
      <c r="N733" s="11">
        <v>44894.0</v>
      </c>
      <c r="O733" s="11">
        <v>45108.0</v>
      </c>
      <c r="P733" s="11">
        <v>45150.0</v>
      </c>
      <c r="Q733" s="11"/>
      <c r="R733" s="11"/>
      <c r="S733" s="12"/>
      <c r="T733" s="8"/>
      <c r="U733" s="8" t="s">
        <v>1038</v>
      </c>
      <c r="V733" s="13" t="s">
        <v>537</v>
      </c>
      <c r="W733" s="13" t="s">
        <v>4037</v>
      </c>
      <c r="X733" s="12"/>
      <c r="Y733" s="14"/>
      <c r="Z733" s="14"/>
    </row>
    <row r="734">
      <c r="A734" s="8" t="s">
        <v>4038</v>
      </c>
      <c r="B734" s="8" t="s">
        <v>4039</v>
      </c>
      <c r="C734" s="8" t="s">
        <v>179</v>
      </c>
      <c r="D734" s="8" t="s">
        <v>26</v>
      </c>
      <c r="E734" s="8" t="s">
        <v>4040</v>
      </c>
      <c r="F734" s="8">
        <v>5.413834807E9</v>
      </c>
      <c r="G734" s="8" t="s">
        <v>31</v>
      </c>
      <c r="H734" s="8" t="s">
        <v>32</v>
      </c>
      <c r="I734" s="8" t="s">
        <v>284</v>
      </c>
      <c r="J734" s="8" t="s">
        <v>793</v>
      </c>
      <c r="K734" s="10" t="s">
        <v>2688</v>
      </c>
      <c r="L734" s="8" t="s">
        <v>58</v>
      </c>
      <c r="M734" s="8" t="s">
        <v>35</v>
      </c>
      <c r="N734" s="11">
        <v>44894.0</v>
      </c>
      <c r="O734" s="11">
        <v>45108.0</v>
      </c>
      <c r="P734" s="11">
        <v>45150.0</v>
      </c>
      <c r="Q734" s="11"/>
      <c r="R734" s="11"/>
      <c r="S734" s="12"/>
      <c r="T734" s="8"/>
      <c r="U734" s="8" t="s">
        <v>1038</v>
      </c>
      <c r="V734" s="13" t="s">
        <v>537</v>
      </c>
      <c r="W734" s="13" t="s">
        <v>4037</v>
      </c>
      <c r="X734" s="12"/>
      <c r="Y734" s="14"/>
      <c r="Z734" s="14"/>
    </row>
    <row r="735">
      <c r="A735" s="8" t="s">
        <v>4041</v>
      </c>
      <c r="B735" s="8" t="s">
        <v>4042</v>
      </c>
      <c r="C735" s="8" t="s">
        <v>25</v>
      </c>
      <c r="D735" s="8" t="s">
        <v>26</v>
      </c>
      <c r="E735" s="8" t="s">
        <v>4043</v>
      </c>
      <c r="F735" s="8">
        <v>1.271779276E9</v>
      </c>
      <c r="G735" s="8" t="s">
        <v>284</v>
      </c>
      <c r="H735" s="8" t="s">
        <v>854</v>
      </c>
      <c r="I735" s="8" t="s">
        <v>31</v>
      </c>
      <c r="J735" s="8" t="s">
        <v>1274</v>
      </c>
      <c r="K735" s="10" t="s">
        <v>4044</v>
      </c>
      <c r="L735" s="8" t="s">
        <v>58</v>
      </c>
      <c r="M735" s="8" t="s">
        <v>35</v>
      </c>
      <c r="N735" s="11">
        <v>44894.0</v>
      </c>
      <c r="O735" s="11">
        <v>44958.0</v>
      </c>
      <c r="P735" s="11">
        <v>45000.0</v>
      </c>
      <c r="Q735" s="11">
        <v>44959.0</v>
      </c>
      <c r="R735" s="11">
        <v>45000.0</v>
      </c>
      <c r="S735" s="12"/>
      <c r="T735" s="8"/>
      <c r="U735" s="8" t="s">
        <v>339</v>
      </c>
      <c r="V735" s="13" t="s">
        <v>856</v>
      </c>
      <c r="W735" s="13" t="s">
        <v>4045</v>
      </c>
      <c r="X735" s="12"/>
      <c r="Y735" s="14"/>
      <c r="Z735" s="14"/>
    </row>
    <row r="736">
      <c r="A736" s="8" t="s">
        <v>4046</v>
      </c>
      <c r="B736" s="8" t="s">
        <v>4047</v>
      </c>
      <c r="C736" s="8" t="s">
        <v>25</v>
      </c>
      <c r="D736" s="8" t="s">
        <v>26</v>
      </c>
      <c r="E736" s="8" t="s">
        <v>4048</v>
      </c>
      <c r="F736" s="8">
        <v>5.322358398E9</v>
      </c>
      <c r="G736" s="8" t="s">
        <v>31</v>
      </c>
      <c r="H736" s="8" t="s">
        <v>43</v>
      </c>
      <c r="I736" s="8" t="s">
        <v>143</v>
      </c>
      <c r="J736" s="8" t="s">
        <v>1478</v>
      </c>
      <c r="K736" s="10" t="s">
        <v>4049</v>
      </c>
      <c r="L736" s="8" t="s">
        <v>58</v>
      </c>
      <c r="M736" s="8" t="s">
        <v>35</v>
      </c>
      <c r="N736" s="11">
        <v>44894.0</v>
      </c>
      <c r="O736" s="11">
        <v>44986.0</v>
      </c>
      <c r="P736" s="11">
        <v>45028.0</v>
      </c>
      <c r="Q736" s="11">
        <v>44987.0</v>
      </c>
      <c r="R736" s="11">
        <v>45028.0</v>
      </c>
      <c r="S736" s="12"/>
      <c r="T736" s="8"/>
      <c r="U736" s="8" t="s">
        <v>339</v>
      </c>
      <c r="V736" s="13" t="s">
        <v>43</v>
      </c>
      <c r="W736" s="13" t="s">
        <v>4050</v>
      </c>
      <c r="X736" s="12"/>
      <c r="Y736" s="14"/>
      <c r="Z736" s="14"/>
    </row>
    <row r="737">
      <c r="A737" s="8" t="s">
        <v>4051</v>
      </c>
      <c r="B737" s="8" t="s">
        <v>4052</v>
      </c>
      <c r="C737" s="8" t="s">
        <v>64</v>
      </c>
      <c r="D737" s="8" t="s">
        <v>26</v>
      </c>
      <c r="E737" s="8" t="s">
        <v>4053</v>
      </c>
      <c r="F737" s="8"/>
      <c r="G737" s="8" t="s">
        <v>284</v>
      </c>
      <c r="H737" s="8" t="s">
        <v>625</v>
      </c>
      <c r="I737" s="8" t="s">
        <v>31</v>
      </c>
      <c r="J737" s="8" t="s">
        <v>220</v>
      </c>
      <c r="K737" s="10" t="s">
        <v>1772</v>
      </c>
      <c r="L737" s="8" t="s">
        <v>58</v>
      </c>
      <c r="M737" s="8" t="s">
        <v>35</v>
      </c>
      <c r="N737" s="11">
        <v>44894.0</v>
      </c>
      <c r="O737" s="11">
        <v>45117.0</v>
      </c>
      <c r="P737" s="11">
        <v>45159.0</v>
      </c>
      <c r="Q737" s="11">
        <v>45136.0</v>
      </c>
      <c r="R737" s="11">
        <v>45179.0</v>
      </c>
      <c r="S737" s="12"/>
      <c r="T737" s="8"/>
      <c r="U737" s="8" t="s">
        <v>59</v>
      </c>
      <c r="V737" s="13" t="s">
        <v>38</v>
      </c>
      <c r="W737" s="13" t="s">
        <v>4054</v>
      </c>
      <c r="X737" s="12"/>
      <c r="Y737" s="14"/>
      <c r="Z737" s="14"/>
    </row>
    <row r="738">
      <c r="A738" s="8" t="s">
        <v>4055</v>
      </c>
      <c r="B738" s="8" t="s">
        <v>4056</v>
      </c>
      <c r="C738" s="8" t="s">
        <v>64</v>
      </c>
      <c r="D738" s="8" t="s">
        <v>26</v>
      </c>
      <c r="E738" s="8" t="s">
        <v>4057</v>
      </c>
      <c r="F738" s="8">
        <v>5.058143591E9</v>
      </c>
      <c r="G738" s="8" t="s">
        <v>915</v>
      </c>
      <c r="H738" s="8" t="s">
        <v>4058</v>
      </c>
      <c r="I738" s="8" t="s">
        <v>31</v>
      </c>
      <c r="J738" s="8" t="s">
        <v>292</v>
      </c>
      <c r="K738" s="10" t="s">
        <v>1260</v>
      </c>
      <c r="L738" s="8" t="s">
        <v>47</v>
      </c>
      <c r="M738" s="8" t="s">
        <v>70</v>
      </c>
      <c r="N738" s="11">
        <v>44894.0</v>
      </c>
      <c r="O738" s="11">
        <v>44907.0</v>
      </c>
      <c r="P738" s="11">
        <v>45272.0</v>
      </c>
      <c r="Q738" s="11">
        <v>44931.0</v>
      </c>
      <c r="R738" s="11">
        <v>45296.0</v>
      </c>
      <c r="S738" s="12"/>
      <c r="T738" s="8"/>
      <c r="U738" s="8" t="s">
        <v>1261</v>
      </c>
      <c r="V738" s="13" t="s">
        <v>38</v>
      </c>
      <c r="W738" s="13" t="s">
        <v>4059</v>
      </c>
      <c r="X738" s="12"/>
      <c r="Y738" s="14"/>
      <c r="Z738" s="14"/>
    </row>
    <row r="739">
      <c r="A739" s="8" t="s">
        <v>4060</v>
      </c>
      <c r="B739" s="8" t="s">
        <v>4061</v>
      </c>
      <c r="C739" s="8" t="s">
        <v>25</v>
      </c>
      <c r="D739" s="8" t="s">
        <v>26</v>
      </c>
      <c r="E739" s="8" t="s">
        <v>4062</v>
      </c>
      <c r="F739" s="8">
        <v>5.467376905E9</v>
      </c>
      <c r="G739" s="8" t="s">
        <v>31</v>
      </c>
      <c r="H739" s="8" t="s">
        <v>542</v>
      </c>
      <c r="I739" s="8" t="s">
        <v>284</v>
      </c>
      <c r="J739" s="8" t="s">
        <v>2065</v>
      </c>
      <c r="K739" s="10" t="s">
        <v>4063</v>
      </c>
      <c r="L739" s="8" t="s">
        <v>58</v>
      </c>
      <c r="M739" s="8" t="s">
        <v>35</v>
      </c>
      <c r="N739" s="11">
        <v>44895.0</v>
      </c>
      <c r="O739" s="11">
        <v>45108.0</v>
      </c>
      <c r="P739" s="11">
        <v>45150.0</v>
      </c>
      <c r="Q739" s="11">
        <v>45118.0</v>
      </c>
      <c r="R739" s="11">
        <v>45160.0</v>
      </c>
      <c r="S739" s="12"/>
      <c r="T739" s="8"/>
      <c r="U739" s="8" t="s">
        <v>153</v>
      </c>
      <c r="V739" s="13" t="s">
        <v>545</v>
      </c>
      <c r="W739" s="13" t="s">
        <v>4064</v>
      </c>
      <c r="X739" s="12"/>
      <c r="Y739" s="14"/>
      <c r="Z739" s="14"/>
    </row>
    <row r="740">
      <c r="A740" s="8" t="s">
        <v>4065</v>
      </c>
      <c r="B740" s="8" t="s">
        <v>4066</v>
      </c>
      <c r="C740" s="8" t="s">
        <v>179</v>
      </c>
      <c r="D740" s="8" t="s">
        <v>26</v>
      </c>
      <c r="E740" s="8" t="s">
        <v>4067</v>
      </c>
      <c r="F740" s="8">
        <v>2.1857177E7</v>
      </c>
      <c r="G740" s="8" t="s">
        <v>54</v>
      </c>
      <c r="H740" s="8" t="s">
        <v>55</v>
      </c>
      <c r="I740" s="8" t="s">
        <v>31</v>
      </c>
      <c r="J740" s="8" t="s">
        <v>66</v>
      </c>
      <c r="K740" s="10" t="s">
        <v>4068</v>
      </c>
      <c r="L740" s="8" t="s">
        <v>47</v>
      </c>
      <c r="M740" s="8" t="s">
        <v>70</v>
      </c>
      <c r="N740" s="11">
        <v>44895.0</v>
      </c>
      <c r="O740" s="11">
        <v>44913.0</v>
      </c>
      <c r="P740" s="11">
        <v>45169.0</v>
      </c>
      <c r="Q740" s="11"/>
      <c r="R740" s="11"/>
      <c r="S740" s="12"/>
      <c r="T740" s="8"/>
      <c r="U740" s="8" t="s">
        <v>4069</v>
      </c>
      <c r="V740" s="13" t="s">
        <v>60</v>
      </c>
      <c r="W740" s="13" t="s">
        <v>4070</v>
      </c>
      <c r="X740" s="12"/>
      <c r="Y740" s="14"/>
      <c r="Z740" s="14"/>
    </row>
    <row r="741">
      <c r="A741" s="8" t="s">
        <v>4071</v>
      </c>
      <c r="B741" s="8" t="s">
        <v>4072</v>
      </c>
      <c r="C741" s="8" t="s">
        <v>179</v>
      </c>
      <c r="D741" s="8" t="s">
        <v>26</v>
      </c>
      <c r="E741" s="8" t="s">
        <v>4073</v>
      </c>
      <c r="F741" s="8">
        <v>2.2037812E7</v>
      </c>
      <c r="G741" s="8" t="s">
        <v>54</v>
      </c>
      <c r="H741" s="8" t="s">
        <v>237</v>
      </c>
      <c r="I741" s="8" t="s">
        <v>31</v>
      </c>
      <c r="J741" s="8" t="s">
        <v>86</v>
      </c>
      <c r="K741" s="10" t="s">
        <v>87</v>
      </c>
      <c r="L741" s="8" t="s">
        <v>58</v>
      </c>
      <c r="M741" s="8" t="s">
        <v>35</v>
      </c>
      <c r="N741" s="11">
        <v>44895.0</v>
      </c>
      <c r="O741" s="11">
        <v>45124.0</v>
      </c>
      <c r="P741" s="11">
        <v>45166.0</v>
      </c>
      <c r="Q741" s="11"/>
      <c r="R741" s="11"/>
      <c r="S741" s="12"/>
      <c r="T741" s="8"/>
      <c r="U741" s="8" t="s">
        <v>88</v>
      </c>
      <c r="V741" s="13" t="s">
        <v>3897</v>
      </c>
      <c r="W741" s="13" t="s">
        <v>4074</v>
      </c>
      <c r="X741" s="12"/>
      <c r="Y741" s="14"/>
      <c r="Z741" s="14"/>
    </row>
    <row r="742">
      <c r="A742" s="8" t="s">
        <v>4075</v>
      </c>
      <c r="B742" s="8" t="s">
        <v>4076</v>
      </c>
      <c r="C742" s="8" t="s">
        <v>64</v>
      </c>
      <c r="D742" s="8" t="s">
        <v>26</v>
      </c>
      <c r="E742" s="8" t="s">
        <v>4077</v>
      </c>
      <c r="F742" s="8">
        <v>2.6203629E7</v>
      </c>
      <c r="G742" s="8" t="s">
        <v>54</v>
      </c>
      <c r="H742" s="8" t="s">
        <v>237</v>
      </c>
      <c r="I742" s="8" t="s">
        <v>31</v>
      </c>
      <c r="J742" s="8" t="s">
        <v>86</v>
      </c>
      <c r="K742" s="10" t="s">
        <v>87</v>
      </c>
      <c r="L742" s="8" t="s">
        <v>58</v>
      </c>
      <c r="M742" s="8" t="s">
        <v>35</v>
      </c>
      <c r="N742" s="11">
        <v>44895.0</v>
      </c>
      <c r="O742" s="11">
        <v>45124.0</v>
      </c>
      <c r="P742" s="11">
        <v>45166.0</v>
      </c>
      <c r="Q742" s="11">
        <v>45125.0</v>
      </c>
      <c r="R742" s="11">
        <v>45166.0</v>
      </c>
      <c r="S742" s="12"/>
      <c r="T742" s="8"/>
      <c r="U742" s="8" t="s">
        <v>88</v>
      </c>
      <c r="V742" s="13" t="s">
        <v>384</v>
      </c>
      <c r="W742" s="13" t="s">
        <v>4078</v>
      </c>
      <c r="X742" s="12"/>
      <c r="Y742" s="14"/>
      <c r="Z742" s="14"/>
    </row>
    <row r="743">
      <c r="A743" s="8" t="s">
        <v>4079</v>
      </c>
      <c r="B743" s="8" t="s">
        <v>2402</v>
      </c>
      <c r="C743" s="8" t="s">
        <v>708</v>
      </c>
      <c r="D743" s="8" t="s">
        <v>26</v>
      </c>
      <c r="E743" s="8" t="s">
        <v>4080</v>
      </c>
      <c r="F743" s="9" t="s">
        <v>4081</v>
      </c>
      <c r="G743" s="8" t="s">
        <v>254</v>
      </c>
      <c r="H743" s="8" t="s">
        <v>291</v>
      </c>
      <c r="I743" s="8" t="s">
        <v>31</v>
      </c>
      <c r="J743" s="8" t="s">
        <v>86</v>
      </c>
      <c r="K743" s="10" t="s">
        <v>2404</v>
      </c>
      <c r="L743" s="8" t="s">
        <v>34</v>
      </c>
      <c r="M743" s="8" t="s">
        <v>70</v>
      </c>
      <c r="N743" s="11">
        <v>44895.0</v>
      </c>
      <c r="O743" s="11">
        <v>44903.0</v>
      </c>
      <c r="P743" s="11">
        <v>45401.0</v>
      </c>
      <c r="Q743" s="11">
        <v>44903.0</v>
      </c>
      <c r="R743" s="11">
        <v>45402.0</v>
      </c>
      <c r="S743" s="12"/>
      <c r="T743" s="8" t="s">
        <v>36</v>
      </c>
      <c r="U743" s="8" t="s">
        <v>2405</v>
      </c>
      <c r="V743" s="13" t="s">
        <v>295</v>
      </c>
      <c r="W743" s="13" t="s">
        <v>4082</v>
      </c>
      <c r="X743" s="12"/>
      <c r="Y743" s="14"/>
      <c r="Z743" s="14"/>
    </row>
    <row r="744">
      <c r="A744" s="8" t="s">
        <v>4083</v>
      </c>
      <c r="B744" s="8" t="s">
        <v>4084</v>
      </c>
      <c r="C744" s="8" t="s">
        <v>64</v>
      </c>
      <c r="D744" s="8" t="s">
        <v>26</v>
      </c>
      <c r="E744" s="8" t="s">
        <v>4085</v>
      </c>
      <c r="F744" s="8">
        <v>2.9322929E7</v>
      </c>
      <c r="G744" s="8" t="s">
        <v>54</v>
      </c>
      <c r="H744" s="8" t="s">
        <v>76</v>
      </c>
      <c r="I744" s="8" t="s">
        <v>31</v>
      </c>
      <c r="J744" s="8" t="s">
        <v>220</v>
      </c>
      <c r="K744" s="10" t="s">
        <v>3675</v>
      </c>
      <c r="L744" s="8" t="s">
        <v>58</v>
      </c>
      <c r="M744" s="8" t="s">
        <v>35</v>
      </c>
      <c r="N744" s="11">
        <v>44895.0</v>
      </c>
      <c r="O744" s="11">
        <v>45117.0</v>
      </c>
      <c r="P744" s="11">
        <v>45159.0</v>
      </c>
      <c r="Q744" s="11">
        <v>45119.0</v>
      </c>
      <c r="R744" s="11">
        <v>45159.0</v>
      </c>
      <c r="S744" s="12"/>
      <c r="T744" s="8"/>
      <c r="U744" s="8" t="s">
        <v>59</v>
      </c>
      <c r="V744" s="13" t="s">
        <v>79</v>
      </c>
      <c r="W744" s="13" t="s">
        <v>4086</v>
      </c>
      <c r="X744" s="12"/>
      <c r="Y744" s="14"/>
      <c r="Z744" s="14"/>
    </row>
    <row r="745">
      <c r="A745" s="8" t="s">
        <v>4087</v>
      </c>
      <c r="B745" s="8" t="s">
        <v>4088</v>
      </c>
      <c r="C745" s="8" t="s">
        <v>251</v>
      </c>
      <c r="D745" s="8" t="s">
        <v>26</v>
      </c>
      <c r="E745" s="8" t="s">
        <v>4089</v>
      </c>
      <c r="F745" s="8">
        <v>5.071982184E9</v>
      </c>
      <c r="G745" s="8" t="s">
        <v>31</v>
      </c>
      <c r="H745" s="8" t="s">
        <v>111</v>
      </c>
      <c r="I745" s="8" t="s">
        <v>284</v>
      </c>
      <c r="J745" s="8" t="s">
        <v>793</v>
      </c>
      <c r="K745" s="10" t="s">
        <v>4090</v>
      </c>
      <c r="L745" s="8" t="s">
        <v>47</v>
      </c>
      <c r="M745" s="8" t="s">
        <v>35</v>
      </c>
      <c r="N745" s="11">
        <v>44895.0</v>
      </c>
      <c r="O745" s="11">
        <v>45109.0</v>
      </c>
      <c r="P745" s="11">
        <v>45192.0</v>
      </c>
      <c r="Q745" s="11"/>
      <c r="R745" s="11"/>
      <c r="S745" s="12"/>
      <c r="T745" s="8"/>
      <c r="U745" s="8" t="s">
        <v>4091</v>
      </c>
      <c r="V745" s="13" t="s">
        <v>111</v>
      </c>
      <c r="W745" s="13" t="s">
        <v>4092</v>
      </c>
      <c r="X745" s="12"/>
      <c r="Y745" s="14"/>
      <c r="Z745" s="14"/>
    </row>
    <row r="746">
      <c r="A746" s="8" t="s">
        <v>4093</v>
      </c>
      <c r="B746" s="8" t="s">
        <v>4094</v>
      </c>
      <c r="C746" s="8" t="s">
        <v>25</v>
      </c>
      <c r="D746" s="8" t="s">
        <v>26</v>
      </c>
      <c r="E746" s="8" t="s">
        <v>4095</v>
      </c>
      <c r="F746" s="8">
        <v>5.535759159E9</v>
      </c>
      <c r="G746" s="8" t="s">
        <v>31</v>
      </c>
      <c r="H746" s="8" t="s">
        <v>77</v>
      </c>
      <c r="I746" s="8" t="s">
        <v>127</v>
      </c>
      <c r="J746" s="8" t="s">
        <v>128</v>
      </c>
      <c r="K746" s="10" t="s">
        <v>4096</v>
      </c>
      <c r="L746" s="8" t="s">
        <v>58</v>
      </c>
      <c r="M746" s="8" t="s">
        <v>35</v>
      </c>
      <c r="N746" s="11">
        <v>44895.0</v>
      </c>
      <c r="O746" s="11">
        <v>44949.0</v>
      </c>
      <c r="P746" s="11">
        <v>44991.0</v>
      </c>
      <c r="Q746" s="11">
        <v>44949.0</v>
      </c>
      <c r="R746" s="11">
        <v>44991.0</v>
      </c>
      <c r="S746" s="12"/>
      <c r="T746" s="8"/>
      <c r="U746" s="8" t="s">
        <v>59</v>
      </c>
      <c r="V746" s="13" t="s">
        <v>77</v>
      </c>
      <c r="W746" s="13" t="s">
        <v>4097</v>
      </c>
      <c r="X746" s="12"/>
      <c r="Y746" s="14"/>
      <c r="Z746" s="14"/>
    </row>
    <row r="747">
      <c r="A747" s="8" t="s">
        <v>4098</v>
      </c>
      <c r="B747" s="8" t="s">
        <v>4099</v>
      </c>
      <c r="C747" s="8" t="s">
        <v>179</v>
      </c>
      <c r="D747" s="8" t="s">
        <v>26</v>
      </c>
      <c r="E747" s="8" t="s">
        <v>4100</v>
      </c>
      <c r="F747" s="8" t="s">
        <v>4101</v>
      </c>
      <c r="G747" s="8" t="s">
        <v>31</v>
      </c>
      <c r="H747" s="8" t="s">
        <v>542</v>
      </c>
      <c r="I747" s="8" t="s">
        <v>284</v>
      </c>
      <c r="J747" s="8" t="s">
        <v>285</v>
      </c>
      <c r="K747" s="10" t="s">
        <v>3841</v>
      </c>
      <c r="L747" s="8" t="s">
        <v>58</v>
      </c>
      <c r="M747" s="8" t="s">
        <v>35</v>
      </c>
      <c r="N747" s="11">
        <v>44895.0</v>
      </c>
      <c r="O747" s="11">
        <v>45108.0</v>
      </c>
      <c r="P747" s="11">
        <v>45150.0</v>
      </c>
      <c r="Q747" s="11"/>
      <c r="R747" s="11"/>
      <c r="S747" s="12"/>
      <c r="T747" s="8"/>
      <c r="U747" s="8" t="s">
        <v>1038</v>
      </c>
      <c r="V747" s="13" t="s">
        <v>545</v>
      </c>
      <c r="W747" s="13" t="s">
        <v>4102</v>
      </c>
      <c r="X747" s="12"/>
      <c r="Y747" s="14"/>
      <c r="Z747" s="14"/>
    </row>
    <row r="748">
      <c r="A748" s="8" t="s">
        <v>4103</v>
      </c>
      <c r="B748" s="8" t="s">
        <v>4104</v>
      </c>
      <c r="C748" s="8" t="s">
        <v>25</v>
      </c>
      <c r="D748" s="8" t="s">
        <v>26</v>
      </c>
      <c r="E748" s="8" t="s">
        <v>4105</v>
      </c>
      <c r="F748" s="8">
        <v>5.070528911E9</v>
      </c>
      <c r="G748" s="8" t="s">
        <v>31</v>
      </c>
      <c r="H748" s="8" t="s">
        <v>136</v>
      </c>
      <c r="I748" s="8" t="s">
        <v>127</v>
      </c>
      <c r="J748" s="8" t="s">
        <v>128</v>
      </c>
      <c r="K748" s="10" t="s">
        <v>4106</v>
      </c>
      <c r="L748" s="8" t="s">
        <v>58</v>
      </c>
      <c r="M748" s="8" t="s">
        <v>35</v>
      </c>
      <c r="N748" s="11">
        <v>44895.0</v>
      </c>
      <c r="O748" s="11">
        <v>44935.0</v>
      </c>
      <c r="P748" s="11">
        <v>44977.0</v>
      </c>
      <c r="Q748" s="11">
        <v>44937.0</v>
      </c>
      <c r="R748" s="11">
        <v>44977.0</v>
      </c>
      <c r="S748" s="12"/>
      <c r="T748" s="8"/>
      <c r="U748" s="8" t="s">
        <v>88</v>
      </c>
      <c r="V748" s="13" t="s">
        <v>136</v>
      </c>
      <c r="W748" s="13" t="s">
        <v>4107</v>
      </c>
      <c r="X748" s="12"/>
      <c r="Y748" s="14"/>
      <c r="Z748" s="14"/>
    </row>
    <row r="749">
      <c r="A749" s="8" t="s">
        <v>4108</v>
      </c>
      <c r="B749" s="8" t="s">
        <v>4109</v>
      </c>
      <c r="C749" s="8" t="s">
        <v>179</v>
      </c>
      <c r="D749" s="8" t="s">
        <v>26</v>
      </c>
      <c r="E749" s="8" t="s">
        <v>4110</v>
      </c>
      <c r="F749" s="8">
        <v>1.713527951E9</v>
      </c>
      <c r="G749" s="8" t="s">
        <v>31</v>
      </c>
      <c r="H749" s="8" t="s">
        <v>86</v>
      </c>
      <c r="I749" s="8" t="s">
        <v>202</v>
      </c>
      <c r="J749" s="8" t="s">
        <v>3890</v>
      </c>
      <c r="K749" s="10" t="s">
        <v>4111</v>
      </c>
      <c r="L749" s="8" t="s">
        <v>34</v>
      </c>
      <c r="M749" s="8" t="s">
        <v>70</v>
      </c>
      <c r="N749" s="11">
        <v>44895.0</v>
      </c>
      <c r="O749" s="11">
        <v>44927.0</v>
      </c>
      <c r="P749" s="11">
        <v>45291.0</v>
      </c>
      <c r="Q749" s="11"/>
      <c r="R749" s="11"/>
      <c r="S749" s="12"/>
      <c r="T749" s="8" t="s">
        <v>224</v>
      </c>
      <c r="U749" s="8" t="s">
        <v>4112</v>
      </c>
      <c r="V749" s="13" t="s">
        <v>175</v>
      </c>
      <c r="W749" s="13" t="s">
        <v>4113</v>
      </c>
      <c r="X749" s="12"/>
      <c r="Y749" s="14"/>
      <c r="Z749" s="14"/>
    </row>
    <row r="750">
      <c r="A750" s="8" t="s">
        <v>4114</v>
      </c>
      <c r="B750" s="8" t="s">
        <v>4115</v>
      </c>
      <c r="C750" s="8" t="s">
        <v>179</v>
      </c>
      <c r="D750" s="8" t="s">
        <v>26</v>
      </c>
      <c r="E750" s="8" t="s">
        <v>4116</v>
      </c>
      <c r="F750" s="8">
        <v>1.0650511E9</v>
      </c>
      <c r="G750" s="8" t="s">
        <v>284</v>
      </c>
      <c r="H750" s="8" t="s">
        <v>854</v>
      </c>
      <c r="I750" s="8" t="s">
        <v>31</v>
      </c>
      <c r="J750" s="8" t="s">
        <v>256</v>
      </c>
      <c r="K750" s="10" t="s">
        <v>4117</v>
      </c>
      <c r="L750" s="8" t="s">
        <v>34</v>
      </c>
      <c r="M750" s="8" t="s">
        <v>70</v>
      </c>
      <c r="N750" s="11">
        <v>44895.0</v>
      </c>
      <c r="O750" s="11">
        <v>44958.0</v>
      </c>
      <c r="P750" s="11">
        <v>45323.0</v>
      </c>
      <c r="Q750" s="11"/>
      <c r="R750" s="11"/>
      <c r="S750" s="12"/>
      <c r="T750" s="8" t="s">
        <v>205</v>
      </c>
      <c r="U750" s="8" t="s">
        <v>4118</v>
      </c>
      <c r="V750" s="13" t="s">
        <v>856</v>
      </c>
      <c r="W750" s="13" t="s">
        <v>4119</v>
      </c>
      <c r="X750" s="12"/>
      <c r="Y750" s="14"/>
      <c r="Z750" s="14"/>
    </row>
    <row r="751">
      <c r="A751" s="8" t="s">
        <v>4120</v>
      </c>
      <c r="B751" s="8" t="s">
        <v>4121</v>
      </c>
      <c r="C751" s="8" t="s">
        <v>251</v>
      </c>
      <c r="D751" s="8" t="s">
        <v>26</v>
      </c>
      <c r="E751" s="8" t="s">
        <v>4122</v>
      </c>
      <c r="F751" s="8"/>
      <c r="G751" s="8" t="s">
        <v>284</v>
      </c>
      <c r="H751" s="8" t="s">
        <v>673</v>
      </c>
      <c r="I751" s="8" t="s">
        <v>31</v>
      </c>
      <c r="J751" s="8" t="s">
        <v>77</v>
      </c>
      <c r="K751" s="10" t="s">
        <v>4123</v>
      </c>
      <c r="L751" s="8" t="s">
        <v>47</v>
      </c>
      <c r="M751" s="8" t="s">
        <v>70</v>
      </c>
      <c r="N751" s="11">
        <v>44895.0</v>
      </c>
      <c r="O751" s="11">
        <v>44915.0</v>
      </c>
      <c r="P751" s="11">
        <v>45107.0</v>
      </c>
      <c r="Q751" s="11"/>
      <c r="R751" s="11"/>
      <c r="S751" s="12"/>
      <c r="T751" s="8"/>
      <c r="U751" s="8" t="s">
        <v>4124</v>
      </c>
      <c r="V751" s="13" t="s">
        <v>38</v>
      </c>
      <c r="W751" s="13" t="s">
        <v>4125</v>
      </c>
      <c r="X751" s="12"/>
      <c r="Y751" s="14"/>
      <c r="Z751" s="14"/>
    </row>
    <row r="752">
      <c r="A752" s="8" t="s">
        <v>4126</v>
      </c>
      <c r="B752" s="8" t="s">
        <v>4127</v>
      </c>
      <c r="C752" s="8" t="s">
        <v>179</v>
      </c>
      <c r="D752" s="8" t="s">
        <v>26</v>
      </c>
      <c r="E752" s="8" t="s">
        <v>4128</v>
      </c>
      <c r="F752" s="8">
        <v>5.469765042E9</v>
      </c>
      <c r="G752" s="8" t="s">
        <v>31</v>
      </c>
      <c r="H752" s="8" t="s">
        <v>77</v>
      </c>
      <c r="I752" s="8" t="s">
        <v>44</v>
      </c>
      <c r="J752" s="8" t="s">
        <v>1993</v>
      </c>
      <c r="K752" s="10" t="s">
        <v>2227</v>
      </c>
      <c r="L752" s="8" t="s">
        <v>58</v>
      </c>
      <c r="M752" s="8" t="s">
        <v>35</v>
      </c>
      <c r="N752" s="11">
        <v>44895.0</v>
      </c>
      <c r="O752" s="11">
        <v>45115.0</v>
      </c>
      <c r="P752" s="11">
        <v>45157.0</v>
      </c>
      <c r="Q752" s="11"/>
      <c r="R752" s="11"/>
      <c r="S752" s="12"/>
      <c r="T752" s="8"/>
      <c r="U752" s="8" t="s">
        <v>371</v>
      </c>
      <c r="V752" s="13" t="s">
        <v>77</v>
      </c>
      <c r="W752" s="13" t="s">
        <v>4129</v>
      </c>
      <c r="X752" s="12"/>
      <c r="Y752" s="14"/>
      <c r="Z752" s="14"/>
    </row>
    <row r="753">
      <c r="A753" s="8" t="s">
        <v>4130</v>
      </c>
      <c r="B753" s="8" t="s">
        <v>4131</v>
      </c>
      <c r="C753" s="8" t="s">
        <v>179</v>
      </c>
      <c r="D753" s="8" t="s">
        <v>26</v>
      </c>
      <c r="E753" s="8" t="s">
        <v>4132</v>
      </c>
      <c r="F753" s="8"/>
      <c r="G753" s="8" t="s">
        <v>31</v>
      </c>
      <c r="H753" s="8" t="s">
        <v>111</v>
      </c>
      <c r="I753" s="8" t="s">
        <v>284</v>
      </c>
      <c r="J753" s="8" t="s">
        <v>1422</v>
      </c>
      <c r="K753" s="10" t="s">
        <v>4133</v>
      </c>
      <c r="L753" s="8" t="s">
        <v>47</v>
      </c>
      <c r="M753" s="8" t="s">
        <v>35</v>
      </c>
      <c r="N753" s="11">
        <v>44895.0</v>
      </c>
      <c r="O753" s="11">
        <v>45118.0</v>
      </c>
      <c r="P753" s="11">
        <v>45181.0</v>
      </c>
      <c r="Q753" s="11"/>
      <c r="R753" s="11"/>
      <c r="S753" s="12"/>
      <c r="T753" s="8"/>
      <c r="U753" s="8" t="s">
        <v>246</v>
      </c>
      <c r="V753" s="13" t="s">
        <v>111</v>
      </c>
      <c r="W753" s="13" t="s">
        <v>4134</v>
      </c>
      <c r="X753" s="12"/>
      <c r="Y753" s="14"/>
      <c r="Z753" s="14"/>
    </row>
    <row r="754">
      <c r="A754" s="8" t="s">
        <v>4135</v>
      </c>
      <c r="B754" s="8" t="s">
        <v>4136</v>
      </c>
      <c r="C754" s="8" t="s">
        <v>25</v>
      </c>
      <c r="D754" s="8" t="s">
        <v>26</v>
      </c>
      <c r="E754" s="8" t="s">
        <v>4137</v>
      </c>
      <c r="F754" s="8">
        <v>6.12241298E8</v>
      </c>
      <c r="G754" s="8" t="s">
        <v>31</v>
      </c>
      <c r="H754" s="8" t="s">
        <v>56</v>
      </c>
      <c r="I754" s="8" t="s">
        <v>2524</v>
      </c>
      <c r="J754" s="8" t="s">
        <v>2525</v>
      </c>
      <c r="K754" s="10" t="s">
        <v>4138</v>
      </c>
      <c r="L754" s="8" t="s">
        <v>34</v>
      </c>
      <c r="M754" s="8" t="s">
        <v>70</v>
      </c>
      <c r="N754" s="11">
        <v>44895.0</v>
      </c>
      <c r="O754" s="11">
        <v>44914.0</v>
      </c>
      <c r="P754" s="11">
        <v>45279.0</v>
      </c>
      <c r="Q754" s="11"/>
      <c r="R754" s="11">
        <v>45295.0</v>
      </c>
      <c r="S754" s="12"/>
      <c r="T754" s="8" t="s">
        <v>36</v>
      </c>
      <c r="U754" s="8" t="s">
        <v>4139</v>
      </c>
      <c r="V754" s="13" t="s">
        <v>56</v>
      </c>
      <c r="W754" s="13" t="s">
        <v>4140</v>
      </c>
      <c r="X754" s="12"/>
      <c r="Y754" s="14"/>
      <c r="Z754" s="14"/>
    </row>
    <row r="755">
      <c r="A755" s="8" t="s">
        <v>4141</v>
      </c>
      <c r="B755" s="8" t="s">
        <v>4142</v>
      </c>
      <c r="C755" s="8" t="s">
        <v>25</v>
      </c>
      <c r="D755" s="8" t="s">
        <v>26</v>
      </c>
      <c r="E755" s="8" t="s">
        <v>4143</v>
      </c>
      <c r="F755" s="8">
        <v>5.442800612E9</v>
      </c>
      <c r="G755" s="8" t="s">
        <v>31</v>
      </c>
      <c r="H755" s="8" t="s">
        <v>77</v>
      </c>
      <c r="I755" s="8" t="s">
        <v>44</v>
      </c>
      <c r="J755" s="8" t="s">
        <v>1993</v>
      </c>
      <c r="K755" s="10" t="s">
        <v>2501</v>
      </c>
      <c r="L755" s="8" t="s">
        <v>58</v>
      </c>
      <c r="M755" s="8" t="s">
        <v>35</v>
      </c>
      <c r="N755" s="11">
        <v>44895.0</v>
      </c>
      <c r="O755" s="11">
        <v>45108.0</v>
      </c>
      <c r="P755" s="11">
        <v>45150.0</v>
      </c>
      <c r="Q755" s="11">
        <v>45108.0</v>
      </c>
      <c r="R755" s="11">
        <v>45150.0</v>
      </c>
      <c r="S755" s="12"/>
      <c r="T755" s="8"/>
      <c r="U755" s="8" t="s">
        <v>1038</v>
      </c>
      <c r="V755" s="13" t="s">
        <v>77</v>
      </c>
      <c r="W755" s="13" t="s">
        <v>4144</v>
      </c>
      <c r="X755" s="12"/>
      <c r="Y755" s="14"/>
      <c r="Z755" s="14"/>
    </row>
    <row r="756">
      <c r="A756" s="8" t="s">
        <v>4145</v>
      </c>
      <c r="B756" s="8" t="s">
        <v>4146</v>
      </c>
      <c r="C756" s="8" t="s">
        <v>25</v>
      </c>
      <c r="D756" s="8" t="s">
        <v>26</v>
      </c>
      <c r="E756" s="8" t="s">
        <v>4147</v>
      </c>
      <c r="F756" s="8">
        <v>5.452860551E9</v>
      </c>
      <c r="G756" s="8" t="s">
        <v>31</v>
      </c>
      <c r="H756" s="8" t="s">
        <v>77</v>
      </c>
      <c r="I756" s="8" t="s">
        <v>44</v>
      </c>
      <c r="J756" s="8" t="s">
        <v>1993</v>
      </c>
      <c r="K756" s="10" t="s">
        <v>2501</v>
      </c>
      <c r="L756" s="8" t="s">
        <v>58</v>
      </c>
      <c r="M756" s="8" t="s">
        <v>35</v>
      </c>
      <c r="N756" s="11">
        <v>44895.0</v>
      </c>
      <c r="O756" s="11">
        <v>45108.0</v>
      </c>
      <c r="P756" s="11">
        <v>45150.0</v>
      </c>
      <c r="Q756" s="11">
        <v>45108.0</v>
      </c>
      <c r="R756" s="11">
        <v>45150.0</v>
      </c>
      <c r="S756" s="12"/>
      <c r="T756" s="8"/>
      <c r="U756" s="8" t="s">
        <v>1038</v>
      </c>
      <c r="V756" s="13" t="s">
        <v>77</v>
      </c>
      <c r="W756" s="13" t="s">
        <v>4148</v>
      </c>
      <c r="X756" s="12"/>
      <c r="Y756" s="14"/>
      <c r="Z756" s="14"/>
    </row>
    <row r="757">
      <c r="A757" s="8" t="s">
        <v>4149</v>
      </c>
      <c r="B757" s="8" t="s">
        <v>4150</v>
      </c>
      <c r="C757" s="8" t="s">
        <v>251</v>
      </c>
      <c r="D757" s="8" t="s">
        <v>26</v>
      </c>
      <c r="E757" s="8" t="s">
        <v>4151</v>
      </c>
      <c r="F757" s="8"/>
      <c r="G757" s="8" t="s">
        <v>981</v>
      </c>
      <c r="H757" s="8" t="s">
        <v>3122</v>
      </c>
      <c r="I757" s="8" t="s">
        <v>31</v>
      </c>
      <c r="J757" s="8" t="s">
        <v>220</v>
      </c>
      <c r="K757" s="10" t="s">
        <v>4152</v>
      </c>
      <c r="L757" s="8" t="s">
        <v>34</v>
      </c>
      <c r="M757" s="8" t="s">
        <v>70</v>
      </c>
      <c r="N757" s="11">
        <v>44895.0</v>
      </c>
      <c r="O757" s="11">
        <v>44896.0</v>
      </c>
      <c r="P757" s="11">
        <v>45261.0</v>
      </c>
      <c r="Q757" s="11"/>
      <c r="R757" s="11"/>
      <c r="S757" s="12"/>
      <c r="T757" s="8" t="s">
        <v>205</v>
      </c>
      <c r="U757" s="8" t="s">
        <v>4153</v>
      </c>
      <c r="V757" s="13" t="s">
        <v>38</v>
      </c>
      <c r="W757" s="13" t="s">
        <v>4154</v>
      </c>
      <c r="X757" s="12"/>
      <c r="Y757" s="14"/>
      <c r="Z757" s="14"/>
    </row>
    <row r="758">
      <c r="A758" s="8" t="s">
        <v>4155</v>
      </c>
      <c r="B758" s="8" t="s">
        <v>4156</v>
      </c>
      <c r="C758" s="8" t="s">
        <v>179</v>
      </c>
      <c r="D758" s="8" t="s">
        <v>26</v>
      </c>
      <c r="E758" s="8" t="s">
        <v>4157</v>
      </c>
      <c r="F758" s="8">
        <v>5.432508358E9</v>
      </c>
      <c r="G758" s="8" t="s">
        <v>31</v>
      </c>
      <c r="H758" s="8" t="s">
        <v>43</v>
      </c>
      <c r="I758" s="8" t="s">
        <v>1400</v>
      </c>
      <c r="J758" s="8" t="s">
        <v>1728</v>
      </c>
      <c r="K758" s="10" t="s">
        <v>3717</v>
      </c>
      <c r="L758" s="8" t="s">
        <v>58</v>
      </c>
      <c r="M758" s="8" t="s">
        <v>35</v>
      </c>
      <c r="N758" s="11">
        <v>44895.0</v>
      </c>
      <c r="O758" s="11">
        <v>45053.0</v>
      </c>
      <c r="P758" s="11">
        <v>45095.0</v>
      </c>
      <c r="Q758" s="11"/>
      <c r="R758" s="11"/>
      <c r="S758" s="12"/>
      <c r="T758" s="8"/>
      <c r="U758" s="8" t="s">
        <v>88</v>
      </c>
      <c r="V758" s="13" t="s">
        <v>43</v>
      </c>
      <c r="W758" s="13" t="s">
        <v>4158</v>
      </c>
      <c r="X758" s="12"/>
      <c r="Y758" s="14"/>
      <c r="Z758" s="14"/>
    </row>
    <row r="759">
      <c r="A759" s="8" t="s">
        <v>4159</v>
      </c>
      <c r="B759" s="8" t="s">
        <v>4160</v>
      </c>
      <c r="C759" s="8" t="s">
        <v>179</v>
      </c>
      <c r="D759" s="8" t="s">
        <v>26</v>
      </c>
      <c r="E759" s="8" t="s">
        <v>4161</v>
      </c>
      <c r="F759" s="8">
        <v>8.76620554E9</v>
      </c>
      <c r="G759" s="8" t="s">
        <v>44</v>
      </c>
      <c r="H759" s="8" t="s">
        <v>990</v>
      </c>
      <c r="I759" s="8" t="s">
        <v>31</v>
      </c>
      <c r="J759" s="8" t="s">
        <v>86</v>
      </c>
      <c r="K759" s="10" t="s">
        <v>416</v>
      </c>
      <c r="L759" s="8" t="s">
        <v>58</v>
      </c>
      <c r="M759" s="8" t="s">
        <v>35</v>
      </c>
      <c r="N759" s="11">
        <v>44895.0</v>
      </c>
      <c r="O759" s="11">
        <v>45173.0</v>
      </c>
      <c r="P759" s="11">
        <v>45215.0</v>
      </c>
      <c r="Q759" s="11"/>
      <c r="R759" s="11"/>
      <c r="S759" s="12"/>
      <c r="T759" s="8"/>
      <c r="U759" s="8" t="s">
        <v>59</v>
      </c>
      <c r="V759" s="13" t="s">
        <v>2005</v>
      </c>
      <c r="W759" s="13" t="s">
        <v>4162</v>
      </c>
      <c r="X759" s="12"/>
      <c r="Y759" s="14"/>
      <c r="Z759" s="14"/>
    </row>
    <row r="760">
      <c r="A760" s="8" t="s">
        <v>4163</v>
      </c>
      <c r="B760" s="8" t="s">
        <v>4164</v>
      </c>
      <c r="C760" s="8" t="s">
        <v>25</v>
      </c>
      <c r="D760" s="8" t="s">
        <v>26</v>
      </c>
      <c r="E760" s="8" t="s">
        <v>4165</v>
      </c>
      <c r="F760" s="8">
        <v>5.350286235E9</v>
      </c>
      <c r="G760" s="8" t="s">
        <v>31</v>
      </c>
      <c r="H760" s="8" t="s">
        <v>32</v>
      </c>
      <c r="I760" s="8" t="s">
        <v>284</v>
      </c>
      <c r="J760" s="8" t="s">
        <v>793</v>
      </c>
      <c r="K760" s="10" t="s">
        <v>2688</v>
      </c>
      <c r="L760" s="8" t="s">
        <v>58</v>
      </c>
      <c r="M760" s="8" t="s">
        <v>35</v>
      </c>
      <c r="N760" s="11">
        <v>44895.0</v>
      </c>
      <c r="O760" s="11">
        <v>45108.0</v>
      </c>
      <c r="P760" s="11">
        <v>45150.0</v>
      </c>
      <c r="Q760" s="11">
        <v>45107.0</v>
      </c>
      <c r="R760" s="11">
        <v>45151.0</v>
      </c>
      <c r="S760" s="12"/>
      <c r="T760" s="8"/>
      <c r="U760" s="8" t="s">
        <v>1038</v>
      </c>
      <c r="V760" s="13" t="s">
        <v>537</v>
      </c>
      <c r="W760" s="13" t="s">
        <v>4166</v>
      </c>
      <c r="X760" s="12"/>
      <c r="Y760" s="14"/>
      <c r="Z760" s="14"/>
    </row>
    <row r="761">
      <c r="A761" s="8" t="s">
        <v>4167</v>
      </c>
      <c r="B761" s="8" t="s">
        <v>4168</v>
      </c>
      <c r="C761" s="8" t="s">
        <v>25</v>
      </c>
      <c r="D761" s="8" t="s">
        <v>26</v>
      </c>
      <c r="E761" s="8" t="s">
        <v>4169</v>
      </c>
      <c r="F761" s="8">
        <v>5.351046881E9</v>
      </c>
      <c r="G761" s="8" t="s">
        <v>31</v>
      </c>
      <c r="H761" s="8" t="s">
        <v>86</v>
      </c>
      <c r="I761" s="8" t="s">
        <v>44</v>
      </c>
      <c r="J761" s="8" t="s">
        <v>4170</v>
      </c>
      <c r="K761" s="10" t="s">
        <v>4171</v>
      </c>
      <c r="L761" s="8" t="s">
        <v>34</v>
      </c>
      <c r="M761" s="8" t="s">
        <v>35</v>
      </c>
      <c r="N761" s="11">
        <v>44895.0</v>
      </c>
      <c r="O761" s="11">
        <v>44935.0</v>
      </c>
      <c r="P761" s="11">
        <v>44990.0</v>
      </c>
      <c r="Q761" s="11">
        <v>44936.0</v>
      </c>
      <c r="R761" s="11">
        <v>44990.0</v>
      </c>
      <c r="S761" s="12"/>
      <c r="T761" s="8" t="s">
        <v>1187</v>
      </c>
      <c r="U761" s="8" t="s">
        <v>4172</v>
      </c>
      <c r="V761" s="13" t="s">
        <v>175</v>
      </c>
      <c r="W761" s="13" t="s">
        <v>4173</v>
      </c>
      <c r="X761" s="12"/>
      <c r="Y761" s="14"/>
      <c r="Z761" s="14"/>
    </row>
    <row r="762">
      <c r="A762" s="8" t="s">
        <v>4174</v>
      </c>
      <c r="B762" s="8" t="s">
        <v>4175</v>
      </c>
      <c r="C762" s="8" t="s">
        <v>179</v>
      </c>
      <c r="D762" s="8" t="s">
        <v>26</v>
      </c>
      <c r="E762" s="8" t="s">
        <v>4176</v>
      </c>
      <c r="F762" s="8"/>
      <c r="G762" s="8" t="s">
        <v>31</v>
      </c>
      <c r="H762" s="8" t="s">
        <v>86</v>
      </c>
      <c r="I762" s="8" t="s">
        <v>284</v>
      </c>
      <c r="J762" s="8" t="s">
        <v>793</v>
      </c>
      <c r="K762" s="10" t="s">
        <v>2688</v>
      </c>
      <c r="L762" s="8" t="s">
        <v>58</v>
      </c>
      <c r="M762" s="8" t="s">
        <v>35</v>
      </c>
      <c r="N762" s="11">
        <v>44895.0</v>
      </c>
      <c r="O762" s="11">
        <v>45108.0</v>
      </c>
      <c r="P762" s="11">
        <v>45150.0</v>
      </c>
      <c r="Q762" s="11"/>
      <c r="R762" s="11"/>
      <c r="S762" s="12"/>
      <c r="T762" s="8"/>
      <c r="U762" s="8" t="s">
        <v>1038</v>
      </c>
      <c r="V762" s="13" t="s">
        <v>38</v>
      </c>
      <c r="W762" s="13" t="s">
        <v>4177</v>
      </c>
      <c r="X762" s="12"/>
      <c r="Y762" s="14"/>
      <c r="Z762" s="14"/>
    </row>
    <row r="763">
      <c r="A763" s="8" t="s">
        <v>4178</v>
      </c>
      <c r="B763" s="8" t="s">
        <v>4179</v>
      </c>
      <c r="C763" s="8" t="s">
        <v>25</v>
      </c>
      <c r="D763" s="8" t="s">
        <v>26</v>
      </c>
      <c r="E763" s="8" t="s">
        <v>4180</v>
      </c>
      <c r="F763" s="8">
        <v>3.192435536E9</v>
      </c>
      <c r="G763" s="8" t="s">
        <v>4181</v>
      </c>
      <c r="H763" s="8" t="s">
        <v>4182</v>
      </c>
      <c r="I763" s="8" t="s">
        <v>31</v>
      </c>
      <c r="J763" s="8" t="s">
        <v>43</v>
      </c>
      <c r="K763" s="10" t="s">
        <v>837</v>
      </c>
      <c r="L763" s="8" t="s">
        <v>58</v>
      </c>
      <c r="M763" s="8" t="s">
        <v>35</v>
      </c>
      <c r="N763" s="11">
        <v>44895.0</v>
      </c>
      <c r="O763" s="11">
        <v>44914.0</v>
      </c>
      <c r="P763" s="11">
        <v>44960.0</v>
      </c>
      <c r="Q763" s="11">
        <v>44913.0</v>
      </c>
      <c r="R763" s="11">
        <v>44960.0</v>
      </c>
      <c r="S763" s="12"/>
      <c r="T763" s="8"/>
      <c r="U763" s="8" t="s">
        <v>130</v>
      </c>
      <c r="V763" s="13" t="s">
        <v>4183</v>
      </c>
      <c r="W763" s="13" t="s">
        <v>4184</v>
      </c>
      <c r="X763" s="12"/>
      <c r="Y763" s="14"/>
      <c r="Z763" s="14"/>
    </row>
    <row r="764">
      <c r="A764" s="8" t="s">
        <v>4185</v>
      </c>
      <c r="B764" s="8" t="s">
        <v>4186</v>
      </c>
      <c r="C764" s="8" t="s">
        <v>64</v>
      </c>
      <c r="D764" s="8" t="s">
        <v>26</v>
      </c>
      <c r="E764" s="8" t="s">
        <v>4187</v>
      </c>
      <c r="F764" s="8">
        <v>5.1169221E7</v>
      </c>
      <c r="G764" s="8" t="s">
        <v>54</v>
      </c>
      <c r="H764" s="8" t="s">
        <v>595</v>
      </c>
      <c r="I764" s="8" t="s">
        <v>31</v>
      </c>
      <c r="J764" s="8" t="s">
        <v>77</v>
      </c>
      <c r="K764" s="10" t="s">
        <v>4188</v>
      </c>
      <c r="L764" s="8" t="s">
        <v>58</v>
      </c>
      <c r="M764" s="8" t="s">
        <v>35</v>
      </c>
      <c r="N764" s="11">
        <v>44896.0</v>
      </c>
      <c r="O764" s="11">
        <v>45138.0</v>
      </c>
      <c r="P764" s="11">
        <v>45180.0</v>
      </c>
      <c r="Q764" s="11">
        <v>45139.0</v>
      </c>
      <c r="R764" s="11">
        <v>45180.0</v>
      </c>
      <c r="S764" s="12"/>
      <c r="T764" s="8"/>
      <c r="U764" s="8" t="s">
        <v>59</v>
      </c>
      <c r="V764" s="13" t="s">
        <v>2961</v>
      </c>
      <c r="W764" s="13" t="s">
        <v>4189</v>
      </c>
      <c r="X764" s="12"/>
      <c r="Y764" s="14"/>
      <c r="Z764" s="14"/>
    </row>
    <row r="765">
      <c r="A765" s="8" t="s">
        <v>4190</v>
      </c>
      <c r="B765" s="8" t="s">
        <v>4191</v>
      </c>
      <c r="C765" s="8" t="s">
        <v>64</v>
      </c>
      <c r="D765" s="8" t="s">
        <v>26</v>
      </c>
      <c r="E765" s="8" t="s">
        <v>4192</v>
      </c>
      <c r="F765" s="8">
        <v>5.829324E7</v>
      </c>
      <c r="G765" s="8" t="s">
        <v>54</v>
      </c>
      <c r="H765" s="8" t="s">
        <v>595</v>
      </c>
      <c r="I765" s="8" t="s">
        <v>31</v>
      </c>
      <c r="J765" s="8" t="s">
        <v>77</v>
      </c>
      <c r="K765" s="10" t="s">
        <v>2537</v>
      </c>
      <c r="L765" s="8" t="s">
        <v>58</v>
      </c>
      <c r="M765" s="8" t="s">
        <v>35</v>
      </c>
      <c r="N765" s="11">
        <v>44896.0</v>
      </c>
      <c r="O765" s="11">
        <v>44907.0</v>
      </c>
      <c r="P765" s="11">
        <v>44949.0</v>
      </c>
      <c r="Q765" s="11">
        <v>44907.0</v>
      </c>
      <c r="R765" s="11">
        <v>44949.0</v>
      </c>
      <c r="S765" s="12"/>
      <c r="T765" s="8"/>
      <c r="U765" s="8" t="s">
        <v>88</v>
      </c>
      <c r="V765" s="13" t="s">
        <v>2961</v>
      </c>
      <c r="W765" s="13" t="s">
        <v>4193</v>
      </c>
      <c r="X765" s="12"/>
      <c r="Y765" s="14"/>
      <c r="Z765" s="14"/>
    </row>
    <row r="766">
      <c r="A766" s="8" t="s">
        <v>4194</v>
      </c>
      <c r="B766" s="8" t="s">
        <v>4195</v>
      </c>
      <c r="C766" s="8" t="s">
        <v>179</v>
      </c>
      <c r="D766" s="8" t="s">
        <v>26</v>
      </c>
      <c r="E766" s="8" t="s">
        <v>4196</v>
      </c>
      <c r="F766" s="8"/>
      <c r="G766" s="8" t="s">
        <v>84</v>
      </c>
      <c r="H766" s="8" t="s">
        <v>1234</v>
      </c>
      <c r="I766" s="8" t="s">
        <v>31</v>
      </c>
      <c r="J766" s="8" t="s">
        <v>77</v>
      </c>
      <c r="K766" s="10" t="s">
        <v>4197</v>
      </c>
      <c r="L766" s="8" t="s">
        <v>47</v>
      </c>
      <c r="M766" s="8" t="s">
        <v>48</v>
      </c>
      <c r="N766" s="11">
        <v>44896.0</v>
      </c>
      <c r="O766" s="11">
        <v>44920.0</v>
      </c>
      <c r="P766" s="11">
        <v>45101.0</v>
      </c>
      <c r="Q766" s="11"/>
      <c r="R766" s="11"/>
      <c r="S766" s="12"/>
      <c r="T766" s="8"/>
      <c r="U766" s="8" t="s">
        <v>4198</v>
      </c>
      <c r="V766" s="13" t="s">
        <v>38</v>
      </c>
      <c r="W766" s="13" t="s">
        <v>4199</v>
      </c>
      <c r="X766" s="12"/>
      <c r="Y766" s="14"/>
      <c r="Z766" s="14"/>
    </row>
    <row r="767">
      <c r="A767" s="8" t="s">
        <v>4200</v>
      </c>
      <c r="B767" s="8" t="s">
        <v>4201</v>
      </c>
      <c r="C767" s="8" t="s">
        <v>179</v>
      </c>
      <c r="D767" s="8" t="s">
        <v>26</v>
      </c>
      <c r="E767" s="8" t="s">
        <v>4202</v>
      </c>
      <c r="F767" s="8"/>
      <c r="G767" s="8" t="s">
        <v>284</v>
      </c>
      <c r="H767" s="8" t="s">
        <v>1450</v>
      </c>
      <c r="I767" s="8" t="s">
        <v>31</v>
      </c>
      <c r="J767" s="8" t="s">
        <v>256</v>
      </c>
      <c r="K767" s="10" t="s">
        <v>4203</v>
      </c>
      <c r="L767" s="8" t="s">
        <v>58</v>
      </c>
      <c r="M767" s="8" t="s">
        <v>35</v>
      </c>
      <c r="N767" s="11">
        <v>44896.0</v>
      </c>
      <c r="O767" s="11">
        <v>45140.0</v>
      </c>
      <c r="P767" s="11">
        <v>45182.0</v>
      </c>
      <c r="Q767" s="11"/>
      <c r="R767" s="11"/>
      <c r="S767" s="12"/>
      <c r="T767" s="8"/>
      <c r="U767" s="8" t="s">
        <v>59</v>
      </c>
      <c r="V767" s="13" t="s">
        <v>38</v>
      </c>
      <c r="W767" s="13" t="s">
        <v>4204</v>
      </c>
      <c r="X767" s="12"/>
      <c r="Y767" s="14"/>
      <c r="Z767" s="14"/>
    </row>
    <row r="768">
      <c r="A768" s="8" t="s">
        <v>4205</v>
      </c>
      <c r="B768" s="8" t="s">
        <v>4206</v>
      </c>
      <c r="C768" s="8" t="s">
        <v>335</v>
      </c>
      <c r="D768" s="8" t="s">
        <v>26</v>
      </c>
      <c r="E768" s="8" t="s">
        <v>4207</v>
      </c>
      <c r="F768" s="8">
        <v>5.42779046E9</v>
      </c>
      <c r="G768" s="8" t="s">
        <v>31</v>
      </c>
      <c r="H768" s="8" t="s">
        <v>111</v>
      </c>
      <c r="I768" s="8" t="s">
        <v>399</v>
      </c>
      <c r="J768" s="8" t="s">
        <v>400</v>
      </c>
      <c r="K768" s="10" t="s">
        <v>401</v>
      </c>
      <c r="L768" s="8" t="s">
        <v>58</v>
      </c>
      <c r="M768" s="8" t="s">
        <v>35</v>
      </c>
      <c r="N768" s="11">
        <v>45168.0</v>
      </c>
      <c r="O768" s="11">
        <v>45139.0</v>
      </c>
      <c r="P768" s="11">
        <v>45181.0</v>
      </c>
      <c r="Q768" s="11"/>
      <c r="R768" s="11"/>
      <c r="S768" s="12"/>
      <c r="T768" s="8"/>
      <c r="U768" s="8" t="s">
        <v>402</v>
      </c>
      <c r="V768" s="13" t="s">
        <v>111</v>
      </c>
      <c r="W768" s="13" t="s">
        <v>4208</v>
      </c>
      <c r="X768" s="12"/>
      <c r="Y768" s="14"/>
      <c r="Z768" s="14"/>
    </row>
    <row r="769">
      <c r="A769" s="8" t="s">
        <v>4209</v>
      </c>
      <c r="B769" s="8" t="s">
        <v>4210</v>
      </c>
      <c r="C769" s="8" t="s">
        <v>25</v>
      </c>
      <c r="D769" s="8" t="s">
        <v>26</v>
      </c>
      <c r="E769" s="8" t="s">
        <v>4211</v>
      </c>
      <c r="F769" s="8">
        <v>5.396678156E9</v>
      </c>
      <c r="G769" s="8" t="s">
        <v>31</v>
      </c>
      <c r="H769" s="8" t="s">
        <v>32</v>
      </c>
      <c r="I769" s="8" t="s">
        <v>143</v>
      </c>
      <c r="J769" s="8" t="s">
        <v>4212</v>
      </c>
      <c r="K769" s="10" t="s">
        <v>4213</v>
      </c>
      <c r="L769" s="8" t="s">
        <v>58</v>
      </c>
      <c r="M769" s="8" t="s">
        <v>35</v>
      </c>
      <c r="N769" s="11">
        <v>44896.0</v>
      </c>
      <c r="O769" s="11">
        <v>44949.0</v>
      </c>
      <c r="P769" s="11">
        <v>44991.0</v>
      </c>
      <c r="Q769" s="11">
        <v>44950.0</v>
      </c>
      <c r="R769" s="11">
        <v>44991.0</v>
      </c>
      <c r="S769" s="12"/>
      <c r="T769" s="8"/>
      <c r="U769" s="8" t="s">
        <v>1590</v>
      </c>
      <c r="V769" s="13" t="s">
        <v>438</v>
      </c>
      <c r="W769" s="13" t="s">
        <v>4214</v>
      </c>
      <c r="X769" s="12"/>
      <c r="Y769" s="14"/>
      <c r="Z769" s="14"/>
    </row>
    <row r="770">
      <c r="A770" s="8" t="s">
        <v>4215</v>
      </c>
      <c r="B770" s="8" t="s">
        <v>4216</v>
      </c>
      <c r="C770" s="8" t="s">
        <v>64</v>
      </c>
      <c r="D770" s="8" t="s">
        <v>26</v>
      </c>
      <c r="E770" s="8" t="s">
        <v>4217</v>
      </c>
      <c r="F770" s="8">
        <v>5.421975499E9</v>
      </c>
      <c r="G770" s="8" t="s">
        <v>31</v>
      </c>
      <c r="H770" s="8" t="s">
        <v>56</v>
      </c>
      <c r="I770" s="8" t="s">
        <v>1595</v>
      </c>
      <c r="J770" s="8" t="s">
        <v>1596</v>
      </c>
      <c r="K770" s="10" t="s">
        <v>4218</v>
      </c>
      <c r="L770" s="8" t="s">
        <v>47</v>
      </c>
      <c r="M770" s="8" t="s">
        <v>48</v>
      </c>
      <c r="N770" s="11">
        <v>44896.0</v>
      </c>
      <c r="O770" s="11">
        <v>44896.0</v>
      </c>
      <c r="P770" s="11">
        <v>45077.0</v>
      </c>
      <c r="Q770" s="11">
        <v>44966.0</v>
      </c>
      <c r="R770" s="11">
        <v>45147.0</v>
      </c>
      <c r="S770" s="12"/>
      <c r="T770" s="8"/>
      <c r="U770" s="8" t="s">
        <v>4219</v>
      </c>
      <c r="V770" s="13" t="s">
        <v>56</v>
      </c>
      <c r="W770" s="13" t="s">
        <v>4220</v>
      </c>
      <c r="X770" s="12"/>
      <c r="Y770" s="14"/>
      <c r="Z770" s="14"/>
    </row>
    <row r="771">
      <c r="A771" s="8" t="s">
        <v>4221</v>
      </c>
      <c r="B771" s="8" t="s">
        <v>4222</v>
      </c>
      <c r="C771" s="8" t="s">
        <v>64</v>
      </c>
      <c r="D771" s="8" t="s">
        <v>26</v>
      </c>
      <c r="E771" s="8" t="s">
        <v>4223</v>
      </c>
      <c r="F771" s="8">
        <v>5.55237258E8</v>
      </c>
      <c r="G771" s="8" t="s">
        <v>254</v>
      </c>
      <c r="H771" s="8" t="s">
        <v>1484</v>
      </c>
      <c r="I771" s="8" t="s">
        <v>31</v>
      </c>
      <c r="J771" s="8" t="s">
        <v>111</v>
      </c>
      <c r="K771" s="10" t="s">
        <v>4224</v>
      </c>
      <c r="L771" s="8" t="s">
        <v>47</v>
      </c>
      <c r="M771" s="8" t="s">
        <v>70</v>
      </c>
      <c r="N771" s="11">
        <v>44896.0</v>
      </c>
      <c r="O771" s="11">
        <v>44837.0</v>
      </c>
      <c r="P771" s="11">
        <v>45202.0</v>
      </c>
      <c r="Q771" s="11">
        <v>44905.0</v>
      </c>
      <c r="R771" s="11">
        <v>45270.0</v>
      </c>
      <c r="S771" s="12"/>
      <c r="T771" s="8"/>
      <c r="U771" s="8" t="s">
        <v>246</v>
      </c>
      <c r="V771" s="13" t="s">
        <v>258</v>
      </c>
      <c r="W771" s="13" t="s">
        <v>4225</v>
      </c>
      <c r="X771" s="12"/>
      <c r="Y771" s="14"/>
      <c r="Z771" s="14"/>
    </row>
    <row r="772">
      <c r="A772" s="8" t="s">
        <v>4226</v>
      </c>
      <c r="B772" s="8" t="s">
        <v>4227</v>
      </c>
      <c r="C772" s="8" t="s">
        <v>25</v>
      </c>
      <c r="D772" s="8" t="s">
        <v>26</v>
      </c>
      <c r="E772" s="8" t="s">
        <v>4228</v>
      </c>
      <c r="F772" s="8">
        <v>5.343416354E9</v>
      </c>
      <c r="G772" s="8" t="s">
        <v>31</v>
      </c>
      <c r="H772" s="8" t="s">
        <v>77</v>
      </c>
      <c r="I772" s="8" t="s">
        <v>230</v>
      </c>
      <c r="J772" s="8" t="s">
        <v>231</v>
      </c>
      <c r="K772" s="10" t="s">
        <v>4229</v>
      </c>
      <c r="L772" s="8" t="s">
        <v>58</v>
      </c>
      <c r="M772" s="8" t="s">
        <v>35</v>
      </c>
      <c r="N772" s="11">
        <v>44897.0</v>
      </c>
      <c r="O772" s="11">
        <v>44941.0</v>
      </c>
      <c r="P772" s="11">
        <v>44983.0</v>
      </c>
      <c r="Q772" s="11">
        <v>44957.0</v>
      </c>
      <c r="R772" s="11">
        <v>44998.0</v>
      </c>
      <c r="S772" s="12"/>
      <c r="T772" s="8"/>
      <c r="U772" s="8" t="s">
        <v>59</v>
      </c>
      <c r="V772" s="13" t="s">
        <v>77</v>
      </c>
      <c r="W772" s="13" t="s">
        <v>4230</v>
      </c>
      <c r="X772" s="12"/>
      <c r="Y772" s="14"/>
      <c r="Z772" s="14"/>
    </row>
    <row r="773">
      <c r="A773" s="8" t="s">
        <v>4231</v>
      </c>
      <c r="B773" s="8" t="s">
        <v>4232</v>
      </c>
      <c r="C773" s="8" t="s">
        <v>25</v>
      </c>
      <c r="D773" s="8" t="s">
        <v>26</v>
      </c>
      <c r="E773" s="8" t="s">
        <v>4233</v>
      </c>
      <c r="F773" s="8">
        <v>5.532898276E9</v>
      </c>
      <c r="G773" s="8" t="s">
        <v>31</v>
      </c>
      <c r="H773" s="8" t="s">
        <v>77</v>
      </c>
      <c r="I773" s="8" t="s">
        <v>230</v>
      </c>
      <c r="J773" s="8" t="s">
        <v>231</v>
      </c>
      <c r="K773" s="10" t="s">
        <v>4229</v>
      </c>
      <c r="L773" s="8" t="s">
        <v>58</v>
      </c>
      <c r="M773" s="8" t="s">
        <v>35</v>
      </c>
      <c r="N773" s="11">
        <v>44897.0</v>
      </c>
      <c r="O773" s="11">
        <v>44941.0</v>
      </c>
      <c r="P773" s="11">
        <v>44983.0</v>
      </c>
      <c r="Q773" s="11">
        <v>44957.0</v>
      </c>
      <c r="R773" s="11">
        <v>44998.0</v>
      </c>
      <c r="S773" s="12"/>
      <c r="T773" s="8"/>
      <c r="U773" s="8" t="s">
        <v>59</v>
      </c>
      <c r="V773" s="13" t="s">
        <v>77</v>
      </c>
      <c r="W773" s="13" t="s">
        <v>4234</v>
      </c>
      <c r="X773" s="12"/>
      <c r="Y773" s="14"/>
      <c r="Z773" s="14"/>
    </row>
    <row r="774">
      <c r="A774" s="8" t="s">
        <v>4235</v>
      </c>
      <c r="B774" s="8" t="s">
        <v>4236</v>
      </c>
      <c r="C774" s="8" t="s">
        <v>64</v>
      </c>
      <c r="D774" s="8" t="s">
        <v>26</v>
      </c>
      <c r="E774" s="8" t="s">
        <v>4237</v>
      </c>
      <c r="F774" s="8"/>
      <c r="G774" s="8" t="s">
        <v>127</v>
      </c>
      <c r="H774" s="8" t="s">
        <v>128</v>
      </c>
      <c r="I774" s="8" t="s">
        <v>31</v>
      </c>
      <c r="J774" s="8" t="s">
        <v>77</v>
      </c>
      <c r="K774" s="10" t="s">
        <v>4188</v>
      </c>
      <c r="L774" s="8" t="s">
        <v>58</v>
      </c>
      <c r="M774" s="8" t="s">
        <v>35</v>
      </c>
      <c r="N774" s="11">
        <v>44897.0</v>
      </c>
      <c r="O774" s="11">
        <v>45138.0</v>
      </c>
      <c r="P774" s="11">
        <v>45180.0</v>
      </c>
      <c r="Q774" s="11">
        <v>45138.0</v>
      </c>
      <c r="R774" s="11">
        <v>45180.0</v>
      </c>
      <c r="S774" s="12"/>
      <c r="T774" s="8"/>
      <c r="U774" s="8" t="s">
        <v>59</v>
      </c>
      <c r="V774" s="13" t="s">
        <v>38</v>
      </c>
      <c r="W774" s="13" t="s">
        <v>4238</v>
      </c>
      <c r="X774" s="12"/>
      <c r="Y774" s="14"/>
      <c r="Z774" s="14"/>
    </row>
    <row r="775">
      <c r="A775" s="8" t="s">
        <v>4239</v>
      </c>
      <c r="B775" s="8" t="s">
        <v>4240</v>
      </c>
      <c r="C775" s="8" t="s">
        <v>179</v>
      </c>
      <c r="D775" s="8" t="s">
        <v>26</v>
      </c>
      <c r="E775" s="8" t="s">
        <v>4241</v>
      </c>
      <c r="F775" s="8">
        <v>1.210355628E9</v>
      </c>
      <c r="G775" s="8" t="s">
        <v>284</v>
      </c>
      <c r="H775" s="8" t="s">
        <v>1422</v>
      </c>
      <c r="I775" s="8" t="s">
        <v>31</v>
      </c>
      <c r="J775" s="8" t="s">
        <v>256</v>
      </c>
      <c r="K775" s="10" t="s">
        <v>3411</v>
      </c>
      <c r="L775" s="8" t="s">
        <v>58</v>
      </c>
      <c r="M775" s="8" t="s">
        <v>35</v>
      </c>
      <c r="N775" s="11">
        <v>44897.0</v>
      </c>
      <c r="O775" s="11">
        <v>45141.0</v>
      </c>
      <c r="P775" s="11">
        <v>45183.0</v>
      </c>
      <c r="Q775" s="11"/>
      <c r="R775" s="11"/>
      <c r="S775" s="12"/>
      <c r="T775" s="8"/>
      <c r="U775" s="8" t="s">
        <v>59</v>
      </c>
      <c r="V775" s="13" t="s">
        <v>1424</v>
      </c>
      <c r="W775" s="13" t="s">
        <v>4242</v>
      </c>
      <c r="X775" s="12"/>
      <c r="Y775" s="14"/>
      <c r="Z775" s="14"/>
    </row>
    <row r="776">
      <c r="A776" s="8" t="s">
        <v>4243</v>
      </c>
      <c r="B776" s="8" t="s">
        <v>4244</v>
      </c>
      <c r="C776" s="8" t="s">
        <v>179</v>
      </c>
      <c r="D776" s="8" t="s">
        <v>26</v>
      </c>
      <c r="E776" s="8" t="s">
        <v>4245</v>
      </c>
      <c r="F776" s="8">
        <v>1.285029399E9</v>
      </c>
      <c r="G776" s="8" t="s">
        <v>284</v>
      </c>
      <c r="H776" s="8" t="s">
        <v>3188</v>
      </c>
      <c r="I776" s="8" t="s">
        <v>31</v>
      </c>
      <c r="J776" s="8" t="s">
        <v>136</v>
      </c>
      <c r="K776" s="10" t="s">
        <v>1413</v>
      </c>
      <c r="L776" s="8" t="s">
        <v>58</v>
      </c>
      <c r="M776" s="8" t="s">
        <v>35</v>
      </c>
      <c r="N776" s="11">
        <v>44897.0</v>
      </c>
      <c r="O776" s="11">
        <v>45173.0</v>
      </c>
      <c r="P776" s="11">
        <v>45215.0</v>
      </c>
      <c r="Q776" s="11"/>
      <c r="R776" s="11"/>
      <c r="S776" s="12"/>
      <c r="T776" s="8"/>
      <c r="U776" s="8" t="s">
        <v>59</v>
      </c>
      <c r="V776" s="13" t="s">
        <v>3188</v>
      </c>
      <c r="W776" s="13" t="s">
        <v>4246</v>
      </c>
      <c r="X776" s="12"/>
      <c r="Y776" s="14"/>
      <c r="Z776" s="14"/>
    </row>
    <row r="777">
      <c r="A777" s="8" t="s">
        <v>4247</v>
      </c>
      <c r="B777" s="8" t="s">
        <v>4248</v>
      </c>
      <c r="C777" s="8" t="s">
        <v>25</v>
      </c>
      <c r="D777" s="8" t="s">
        <v>26</v>
      </c>
      <c r="E777" s="8" t="s">
        <v>4249</v>
      </c>
      <c r="F777" s="8">
        <v>5.423296801E9</v>
      </c>
      <c r="G777" s="8" t="s">
        <v>31</v>
      </c>
      <c r="H777" s="8" t="s">
        <v>111</v>
      </c>
      <c r="I777" s="8" t="s">
        <v>127</v>
      </c>
      <c r="J777" s="8" t="s">
        <v>128</v>
      </c>
      <c r="K777" s="10" t="s">
        <v>4250</v>
      </c>
      <c r="L777" s="8" t="s">
        <v>58</v>
      </c>
      <c r="M777" s="8" t="s">
        <v>35</v>
      </c>
      <c r="N777" s="11">
        <v>44897.0</v>
      </c>
      <c r="O777" s="11">
        <v>45124.0</v>
      </c>
      <c r="P777" s="11">
        <v>45166.0</v>
      </c>
      <c r="Q777" s="11">
        <v>45125.0</v>
      </c>
      <c r="R777" s="11">
        <v>45166.0</v>
      </c>
      <c r="S777" s="12"/>
      <c r="T777" s="8"/>
      <c r="U777" s="8" t="s">
        <v>161</v>
      </c>
      <c r="V777" s="13" t="s">
        <v>175</v>
      </c>
      <c r="W777" s="13" t="s">
        <v>4251</v>
      </c>
      <c r="X777" s="12"/>
      <c r="Y777" s="14"/>
      <c r="Z777" s="14"/>
    </row>
    <row r="778">
      <c r="A778" s="8" t="s">
        <v>4252</v>
      </c>
      <c r="B778" s="8" t="s">
        <v>4253</v>
      </c>
      <c r="C778" s="8" t="s">
        <v>64</v>
      </c>
      <c r="D778" s="8" t="s">
        <v>26</v>
      </c>
      <c r="E778" s="8" t="s">
        <v>4254</v>
      </c>
      <c r="F778" s="8">
        <v>9.79854602E8</v>
      </c>
      <c r="G778" s="8" t="s">
        <v>1620</v>
      </c>
      <c r="H778" s="8" t="s">
        <v>1635</v>
      </c>
      <c r="I778" s="8" t="s">
        <v>31</v>
      </c>
      <c r="J778" s="8" t="s">
        <v>43</v>
      </c>
      <c r="K778" s="10" t="s">
        <v>4255</v>
      </c>
      <c r="L778" s="8" t="s">
        <v>47</v>
      </c>
      <c r="M778" s="8" t="s">
        <v>70</v>
      </c>
      <c r="N778" s="11">
        <v>44897.0</v>
      </c>
      <c r="O778" s="11">
        <v>44927.0</v>
      </c>
      <c r="P778" s="11">
        <v>45128.0</v>
      </c>
      <c r="Q778" s="11">
        <v>44958.0</v>
      </c>
      <c r="R778" s="11">
        <v>45093.0</v>
      </c>
      <c r="S778" s="12"/>
      <c r="T778" s="8"/>
      <c r="U778" s="8" t="s">
        <v>246</v>
      </c>
      <c r="V778" s="13" t="s">
        <v>4256</v>
      </c>
      <c r="W778" s="13" t="s">
        <v>4257</v>
      </c>
      <c r="X778" s="12"/>
      <c r="Y778" s="14"/>
      <c r="Z778" s="14"/>
    </row>
    <row r="779">
      <c r="A779" s="8" t="s">
        <v>4258</v>
      </c>
      <c r="B779" s="8" t="s">
        <v>4259</v>
      </c>
      <c r="C779" s="8" t="s">
        <v>179</v>
      </c>
      <c r="D779" s="8" t="s">
        <v>26</v>
      </c>
      <c r="E779" s="8" t="s">
        <v>4260</v>
      </c>
      <c r="F779" s="8">
        <v>5.309366651E9</v>
      </c>
      <c r="G779" s="8" t="s">
        <v>31</v>
      </c>
      <c r="H779" s="8" t="s">
        <v>111</v>
      </c>
      <c r="I779" s="8" t="s">
        <v>399</v>
      </c>
      <c r="J779" s="8" t="s">
        <v>1381</v>
      </c>
      <c r="K779" s="10" t="s">
        <v>4261</v>
      </c>
      <c r="L779" s="8" t="s">
        <v>58</v>
      </c>
      <c r="M779" s="8" t="s">
        <v>35</v>
      </c>
      <c r="N779" s="11">
        <v>44897.0</v>
      </c>
      <c r="O779" s="11">
        <v>45089.0</v>
      </c>
      <c r="P779" s="11">
        <v>45131.0</v>
      </c>
      <c r="Q779" s="11"/>
      <c r="R779" s="11"/>
      <c r="S779" s="12"/>
      <c r="T779" s="8"/>
      <c r="U779" s="8" t="s">
        <v>402</v>
      </c>
      <c r="V779" s="13" t="s">
        <v>111</v>
      </c>
      <c r="W779" s="13" t="s">
        <v>4262</v>
      </c>
      <c r="X779" s="12"/>
      <c r="Y779" s="14"/>
      <c r="Z779" s="14"/>
    </row>
    <row r="780">
      <c r="A780" s="8" t="s">
        <v>4263</v>
      </c>
      <c r="B780" s="8" t="s">
        <v>4264</v>
      </c>
      <c r="C780" s="8" t="s">
        <v>64</v>
      </c>
      <c r="D780" s="8" t="s">
        <v>26</v>
      </c>
      <c r="E780" s="8" t="s">
        <v>4265</v>
      </c>
      <c r="F780" s="8">
        <v>5.422267997E9</v>
      </c>
      <c r="G780" s="8" t="s">
        <v>31</v>
      </c>
      <c r="H780" s="8" t="s">
        <v>56</v>
      </c>
      <c r="I780" s="8" t="s">
        <v>127</v>
      </c>
      <c r="J780" s="8" t="s">
        <v>128</v>
      </c>
      <c r="K780" s="10" t="s">
        <v>4266</v>
      </c>
      <c r="L780" s="8" t="s">
        <v>58</v>
      </c>
      <c r="M780" s="8" t="s">
        <v>35</v>
      </c>
      <c r="N780" s="11">
        <v>44897.0</v>
      </c>
      <c r="O780" s="11">
        <v>44935.0</v>
      </c>
      <c r="P780" s="11">
        <v>44977.0</v>
      </c>
      <c r="Q780" s="11">
        <v>44937.0</v>
      </c>
      <c r="R780" s="11">
        <v>44977.0</v>
      </c>
      <c r="S780" s="12"/>
      <c r="T780" s="8"/>
      <c r="U780" s="8" t="s">
        <v>161</v>
      </c>
      <c r="V780" s="13" t="s">
        <v>56</v>
      </c>
      <c r="W780" s="13" t="s">
        <v>4267</v>
      </c>
      <c r="X780" s="12"/>
      <c r="Y780" s="14"/>
      <c r="Z780" s="14"/>
    </row>
    <row r="781">
      <c r="A781" s="8" t="s">
        <v>4268</v>
      </c>
      <c r="B781" s="8" t="s">
        <v>4269</v>
      </c>
      <c r="C781" s="8" t="s">
        <v>25</v>
      </c>
      <c r="D781" s="8" t="s">
        <v>26</v>
      </c>
      <c r="E781" s="8" t="s">
        <v>4270</v>
      </c>
      <c r="F781" s="8">
        <v>4.6306662E7</v>
      </c>
      <c r="G781" s="8" t="s">
        <v>54</v>
      </c>
      <c r="H781" s="8" t="s">
        <v>237</v>
      </c>
      <c r="I781" s="8" t="s">
        <v>31</v>
      </c>
      <c r="J781" s="8" t="s">
        <v>86</v>
      </c>
      <c r="K781" s="10" t="s">
        <v>2453</v>
      </c>
      <c r="L781" s="8" t="s">
        <v>58</v>
      </c>
      <c r="M781" s="8" t="s">
        <v>35</v>
      </c>
      <c r="N781" s="11">
        <v>44898.0</v>
      </c>
      <c r="O781" s="11">
        <v>45132.0</v>
      </c>
      <c r="P781" s="11">
        <v>45174.0</v>
      </c>
      <c r="Q781" s="11">
        <v>45133.0</v>
      </c>
      <c r="R781" s="11">
        <v>45174.0</v>
      </c>
      <c r="S781" s="12"/>
      <c r="T781" s="8"/>
      <c r="U781" s="8" t="s">
        <v>59</v>
      </c>
      <c r="V781" s="13" t="s">
        <v>384</v>
      </c>
      <c r="W781" s="13" t="s">
        <v>4271</v>
      </c>
      <c r="X781" s="12"/>
      <c r="Y781" s="14"/>
      <c r="Z781" s="14"/>
    </row>
    <row r="782">
      <c r="A782" s="8" t="s">
        <v>4272</v>
      </c>
      <c r="B782" s="8" t="s">
        <v>4273</v>
      </c>
      <c r="C782" s="8" t="s">
        <v>179</v>
      </c>
      <c r="D782" s="8" t="s">
        <v>26</v>
      </c>
      <c r="E782" s="8" t="s">
        <v>4274</v>
      </c>
      <c r="F782" s="8">
        <v>5.435303473E9</v>
      </c>
      <c r="G782" s="8" t="s">
        <v>31</v>
      </c>
      <c r="H782" s="8" t="s">
        <v>56</v>
      </c>
      <c r="I782" s="8" t="s">
        <v>284</v>
      </c>
      <c r="J782" s="8" t="s">
        <v>1422</v>
      </c>
      <c r="K782" s="10" t="s">
        <v>4275</v>
      </c>
      <c r="L782" s="8" t="s">
        <v>58</v>
      </c>
      <c r="M782" s="8" t="s">
        <v>35</v>
      </c>
      <c r="N782" s="11">
        <v>44898.0</v>
      </c>
      <c r="O782" s="11">
        <v>45100.0</v>
      </c>
      <c r="P782" s="11">
        <v>45142.0</v>
      </c>
      <c r="Q782" s="11"/>
      <c r="R782" s="11"/>
      <c r="S782" s="12"/>
      <c r="T782" s="8"/>
      <c r="U782" s="8" t="s">
        <v>161</v>
      </c>
      <c r="V782" s="13" t="s">
        <v>56</v>
      </c>
      <c r="W782" s="13" t="s">
        <v>4276</v>
      </c>
      <c r="X782" s="12"/>
      <c r="Y782" s="14"/>
      <c r="Z782" s="14"/>
    </row>
    <row r="783">
      <c r="A783" s="8" t="s">
        <v>4277</v>
      </c>
      <c r="B783" s="8" t="s">
        <v>4278</v>
      </c>
      <c r="C783" s="8" t="s">
        <v>64</v>
      </c>
      <c r="D783" s="8" t="s">
        <v>26</v>
      </c>
      <c r="E783" s="8" t="s">
        <v>4279</v>
      </c>
      <c r="F783" s="8">
        <v>7.40159098E8</v>
      </c>
      <c r="G783" s="8" t="s">
        <v>127</v>
      </c>
      <c r="H783" s="8" t="s">
        <v>128</v>
      </c>
      <c r="I783" s="8" t="s">
        <v>31</v>
      </c>
      <c r="J783" s="8" t="s">
        <v>77</v>
      </c>
      <c r="K783" s="10" t="s">
        <v>4188</v>
      </c>
      <c r="L783" s="8" t="s">
        <v>58</v>
      </c>
      <c r="M783" s="8" t="s">
        <v>35</v>
      </c>
      <c r="N783" s="11">
        <v>44898.0</v>
      </c>
      <c r="O783" s="11">
        <v>45138.0</v>
      </c>
      <c r="P783" s="11">
        <v>45180.0</v>
      </c>
      <c r="Q783" s="11">
        <v>45138.0</v>
      </c>
      <c r="R783" s="11">
        <v>45180.0</v>
      </c>
      <c r="S783" s="12"/>
      <c r="T783" s="8"/>
      <c r="U783" s="8" t="s">
        <v>59</v>
      </c>
      <c r="V783" s="13" t="s">
        <v>1473</v>
      </c>
      <c r="W783" s="13" t="s">
        <v>4280</v>
      </c>
      <c r="X783" s="12"/>
      <c r="Y783" s="14"/>
      <c r="Z783" s="14"/>
    </row>
    <row r="784">
      <c r="A784" s="8" t="s">
        <v>4281</v>
      </c>
      <c r="B784" s="8" t="s">
        <v>4282</v>
      </c>
      <c r="C784" s="8" t="s">
        <v>25</v>
      </c>
      <c r="D784" s="8" t="s">
        <v>26</v>
      </c>
      <c r="E784" s="8" t="s">
        <v>4283</v>
      </c>
      <c r="F784" s="8">
        <v>5.316603014E9</v>
      </c>
      <c r="G784" s="8" t="s">
        <v>31</v>
      </c>
      <c r="H784" s="8" t="s">
        <v>77</v>
      </c>
      <c r="I784" s="8" t="s">
        <v>127</v>
      </c>
      <c r="J784" s="8" t="s">
        <v>159</v>
      </c>
      <c r="K784" s="10" t="s">
        <v>3350</v>
      </c>
      <c r="L784" s="8" t="s">
        <v>58</v>
      </c>
      <c r="M784" s="8" t="s">
        <v>35</v>
      </c>
      <c r="N784" s="11">
        <v>44898.0</v>
      </c>
      <c r="O784" s="11">
        <v>44949.0</v>
      </c>
      <c r="P784" s="11">
        <v>44991.0</v>
      </c>
      <c r="Q784" s="11">
        <v>44954.0</v>
      </c>
      <c r="R784" s="11">
        <v>44994.0</v>
      </c>
      <c r="S784" s="12"/>
      <c r="T784" s="8"/>
      <c r="U784" s="8" t="s">
        <v>1956</v>
      </c>
      <c r="V784" s="13" t="s">
        <v>77</v>
      </c>
      <c r="W784" s="13" t="s">
        <v>4284</v>
      </c>
      <c r="X784" s="12"/>
      <c r="Y784" s="14"/>
      <c r="Z784" s="14"/>
    </row>
    <row r="785">
      <c r="A785" s="8" t="s">
        <v>4285</v>
      </c>
      <c r="B785" s="8" t="s">
        <v>4286</v>
      </c>
      <c r="C785" s="8" t="s">
        <v>64</v>
      </c>
      <c r="D785" s="8" t="s">
        <v>26</v>
      </c>
      <c r="E785" s="8" t="s">
        <v>4287</v>
      </c>
      <c r="F785" s="8"/>
      <c r="G785" s="8" t="s">
        <v>1620</v>
      </c>
      <c r="H785" s="8" t="s">
        <v>4288</v>
      </c>
      <c r="I785" s="8" t="s">
        <v>31</v>
      </c>
      <c r="J785" s="8" t="s">
        <v>1274</v>
      </c>
      <c r="K785" s="10" t="s">
        <v>1641</v>
      </c>
      <c r="L785" s="8" t="s">
        <v>58</v>
      </c>
      <c r="M785" s="8" t="s">
        <v>35</v>
      </c>
      <c r="N785" s="11">
        <v>44898.0</v>
      </c>
      <c r="O785" s="11">
        <v>45047.0</v>
      </c>
      <c r="P785" s="11">
        <v>45089.0</v>
      </c>
      <c r="Q785" s="11">
        <v>45050.0</v>
      </c>
      <c r="R785" s="11">
        <v>45091.0</v>
      </c>
      <c r="S785" s="12"/>
      <c r="T785" s="8"/>
      <c r="U785" s="8" t="s">
        <v>185</v>
      </c>
      <c r="V785" s="13" t="s">
        <v>38</v>
      </c>
      <c r="W785" s="13" t="s">
        <v>4289</v>
      </c>
      <c r="X785" s="12"/>
      <c r="Y785" s="14"/>
      <c r="Z785" s="14"/>
    </row>
    <row r="786">
      <c r="A786" s="8" t="s">
        <v>4290</v>
      </c>
      <c r="B786" s="8" t="s">
        <v>4291</v>
      </c>
      <c r="C786" s="8" t="s">
        <v>25</v>
      </c>
      <c r="D786" s="8" t="s">
        <v>26</v>
      </c>
      <c r="E786" s="8" t="s">
        <v>4292</v>
      </c>
      <c r="F786" s="8">
        <v>1.062112953E9</v>
      </c>
      <c r="G786" s="8" t="s">
        <v>3607</v>
      </c>
      <c r="H786" s="8" t="s">
        <v>4293</v>
      </c>
      <c r="I786" s="8" t="s">
        <v>31</v>
      </c>
      <c r="J786" s="8" t="s">
        <v>56</v>
      </c>
      <c r="K786" s="10" t="s">
        <v>1765</v>
      </c>
      <c r="L786" s="8" t="s">
        <v>58</v>
      </c>
      <c r="M786" s="8" t="s">
        <v>35</v>
      </c>
      <c r="N786" s="11">
        <v>44898.0</v>
      </c>
      <c r="O786" s="11">
        <v>44938.0</v>
      </c>
      <c r="P786" s="11">
        <v>44980.0</v>
      </c>
      <c r="Q786" s="11">
        <v>44938.0</v>
      </c>
      <c r="R786" s="11">
        <v>44980.0</v>
      </c>
      <c r="S786" s="12"/>
      <c r="T786" s="8"/>
      <c r="U786" s="8" t="s">
        <v>185</v>
      </c>
      <c r="V786" s="13" t="s">
        <v>4294</v>
      </c>
      <c r="W786" s="13" t="s">
        <v>4295</v>
      </c>
      <c r="X786" s="12"/>
      <c r="Y786" s="14"/>
      <c r="Z786" s="14"/>
    </row>
    <row r="787">
      <c r="A787" s="8" t="s">
        <v>4296</v>
      </c>
      <c r="B787" s="8" t="s">
        <v>4297</v>
      </c>
      <c r="C787" s="8" t="s">
        <v>25</v>
      </c>
      <c r="D787" s="8" t="s">
        <v>26</v>
      </c>
      <c r="E787" s="8" t="s">
        <v>4298</v>
      </c>
      <c r="F787" s="8">
        <v>2.6016352E7</v>
      </c>
      <c r="G787" s="8" t="s">
        <v>54</v>
      </c>
      <c r="H787" s="8" t="s">
        <v>595</v>
      </c>
      <c r="I787" s="8" t="s">
        <v>31</v>
      </c>
      <c r="J787" s="8" t="s">
        <v>77</v>
      </c>
      <c r="K787" s="10" t="s">
        <v>2537</v>
      </c>
      <c r="L787" s="8" t="s">
        <v>58</v>
      </c>
      <c r="M787" s="8" t="s">
        <v>35</v>
      </c>
      <c r="N787" s="11">
        <v>44899.0</v>
      </c>
      <c r="O787" s="11">
        <v>45103.0</v>
      </c>
      <c r="P787" s="11">
        <v>45145.0</v>
      </c>
      <c r="Q787" s="11">
        <v>45102.0</v>
      </c>
      <c r="R787" s="11">
        <v>45145.0</v>
      </c>
      <c r="S787" s="12"/>
      <c r="T787" s="8"/>
      <c r="U787" s="8" t="s">
        <v>88</v>
      </c>
      <c r="V787" s="13" t="s">
        <v>2961</v>
      </c>
      <c r="W787" s="13" t="s">
        <v>4299</v>
      </c>
      <c r="X787" s="12"/>
      <c r="Y787" s="14"/>
      <c r="Z787" s="14"/>
    </row>
    <row r="788">
      <c r="A788" s="8" t="s">
        <v>4300</v>
      </c>
      <c r="B788" s="8" t="s">
        <v>4301</v>
      </c>
      <c r="C788" s="8" t="s">
        <v>179</v>
      </c>
      <c r="D788" s="8" t="s">
        <v>26</v>
      </c>
      <c r="E788" s="8" t="s">
        <v>4302</v>
      </c>
      <c r="F788" s="8">
        <v>6.12980389E8</v>
      </c>
      <c r="G788" s="8" t="s">
        <v>221</v>
      </c>
      <c r="H788" s="8" t="s">
        <v>2735</v>
      </c>
      <c r="I788" s="8" t="s">
        <v>31</v>
      </c>
      <c r="J788" s="8" t="s">
        <v>220</v>
      </c>
      <c r="K788" s="10" t="s">
        <v>4303</v>
      </c>
      <c r="L788" s="8" t="s">
        <v>58</v>
      </c>
      <c r="M788" s="8" t="s">
        <v>35</v>
      </c>
      <c r="N788" s="11">
        <v>44899.0</v>
      </c>
      <c r="O788" s="11">
        <v>45117.0</v>
      </c>
      <c r="P788" s="11">
        <v>45159.0</v>
      </c>
      <c r="Q788" s="11"/>
      <c r="R788" s="11"/>
      <c r="S788" s="12"/>
      <c r="T788" s="8"/>
      <c r="U788" s="8" t="s">
        <v>59</v>
      </c>
      <c r="V788" s="13" t="s">
        <v>2737</v>
      </c>
      <c r="W788" s="13" t="s">
        <v>4304</v>
      </c>
      <c r="X788" s="12"/>
      <c r="Y788" s="14"/>
      <c r="Z788" s="14"/>
    </row>
    <row r="789">
      <c r="A789" s="8" t="s">
        <v>4305</v>
      </c>
      <c r="B789" s="8" t="s">
        <v>4306</v>
      </c>
      <c r="C789" s="8" t="s">
        <v>179</v>
      </c>
      <c r="D789" s="8" t="s">
        <v>26</v>
      </c>
      <c r="E789" s="8" t="s">
        <v>4307</v>
      </c>
      <c r="F789" s="8">
        <v>7.49559456E8</v>
      </c>
      <c r="G789" s="8" t="s">
        <v>127</v>
      </c>
      <c r="H789" s="8" t="s">
        <v>3542</v>
      </c>
      <c r="I789" s="8" t="s">
        <v>31</v>
      </c>
      <c r="J789" s="8" t="s">
        <v>77</v>
      </c>
      <c r="K789" s="10" t="s">
        <v>2537</v>
      </c>
      <c r="L789" s="8" t="s">
        <v>58</v>
      </c>
      <c r="M789" s="8" t="s">
        <v>35</v>
      </c>
      <c r="N789" s="11">
        <v>44899.0</v>
      </c>
      <c r="O789" s="11">
        <v>45117.0</v>
      </c>
      <c r="P789" s="11">
        <v>45159.0</v>
      </c>
      <c r="Q789" s="11"/>
      <c r="R789" s="11"/>
      <c r="S789" s="12"/>
      <c r="T789" s="8"/>
      <c r="U789" s="8" t="s">
        <v>88</v>
      </c>
      <c r="V789" s="13" t="s">
        <v>4308</v>
      </c>
      <c r="W789" s="13" t="s">
        <v>4309</v>
      </c>
      <c r="X789" s="12"/>
      <c r="Y789" s="14"/>
      <c r="Z789" s="14"/>
    </row>
    <row r="790">
      <c r="A790" s="8" t="s">
        <v>4310</v>
      </c>
      <c r="B790" s="8" t="s">
        <v>4311</v>
      </c>
      <c r="C790" s="8" t="s">
        <v>179</v>
      </c>
      <c r="D790" s="8" t="s">
        <v>26</v>
      </c>
      <c r="E790" s="8" t="s">
        <v>4312</v>
      </c>
      <c r="F790" s="8">
        <v>7.37752809E8</v>
      </c>
      <c r="G790" s="8" t="s">
        <v>127</v>
      </c>
      <c r="H790" s="8" t="s">
        <v>3542</v>
      </c>
      <c r="I790" s="8" t="s">
        <v>31</v>
      </c>
      <c r="J790" s="8" t="s">
        <v>77</v>
      </c>
      <c r="K790" s="10" t="s">
        <v>2537</v>
      </c>
      <c r="L790" s="8" t="s">
        <v>58</v>
      </c>
      <c r="M790" s="8" t="s">
        <v>35</v>
      </c>
      <c r="N790" s="11">
        <v>44899.0</v>
      </c>
      <c r="O790" s="11">
        <v>45117.0</v>
      </c>
      <c r="P790" s="11">
        <v>45159.0</v>
      </c>
      <c r="Q790" s="11"/>
      <c r="R790" s="11"/>
      <c r="S790" s="12"/>
      <c r="T790" s="8"/>
      <c r="U790" s="8" t="s">
        <v>88</v>
      </c>
      <c r="V790" s="13" t="s">
        <v>4313</v>
      </c>
      <c r="W790" s="13" t="s">
        <v>4314</v>
      </c>
      <c r="X790" s="12"/>
      <c r="Y790" s="14"/>
      <c r="Z790" s="14"/>
    </row>
    <row r="791">
      <c r="A791" s="8" t="s">
        <v>4315</v>
      </c>
      <c r="B791" s="8" t="s">
        <v>4316</v>
      </c>
      <c r="C791" s="8" t="s">
        <v>179</v>
      </c>
      <c r="D791" s="8" t="s">
        <v>26</v>
      </c>
      <c r="E791" s="8" t="s">
        <v>4317</v>
      </c>
      <c r="F791" s="8"/>
      <c r="G791" s="8" t="s">
        <v>127</v>
      </c>
      <c r="H791" s="8" t="s">
        <v>3542</v>
      </c>
      <c r="I791" s="8" t="s">
        <v>31</v>
      </c>
      <c r="J791" s="8" t="s">
        <v>77</v>
      </c>
      <c r="K791" s="10" t="s">
        <v>2537</v>
      </c>
      <c r="L791" s="8" t="s">
        <v>58</v>
      </c>
      <c r="M791" s="8" t="s">
        <v>35</v>
      </c>
      <c r="N791" s="11">
        <v>44899.0</v>
      </c>
      <c r="O791" s="11">
        <v>45117.0</v>
      </c>
      <c r="P791" s="11">
        <v>45159.0</v>
      </c>
      <c r="Q791" s="11"/>
      <c r="R791" s="11"/>
      <c r="S791" s="12"/>
      <c r="T791" s="8"/>
      <c r="U791" s="8" t="s">
        <v>88</v>
      </c>
      <c r="V791" s="13" t="s">
        <v>38</v>
      </c>
      <c r="W791" s="13" t="s">
        <v>4318</v>
      </c>
      <c r="X791" s="12"/>
      <c r="Y791" s="14"/>
      <c r="Z791" s="14"/>
    </row>
    <row r="792">
      <c r="A792" s="8" t="s">
        <v>4319</v>
      </c>
      <c r="B792" s="8" t="s">
        <v>4320</v>
      </c>
      <c r="C792" s="8" t="s">
        <v>179</v>
      </c>
      <c r="D792" s="8" t="s">
        <v>26</v>
      </c>
      <c r="E792" s="8" t="s">
        <v>4321</v>
      </c>
      <c r="F792" s="8">
        <v>5.346026053E9</v>
      </c>
      <c r="G792" s="8" t="s">
        <v>31</v>
      </c>
      <c r="H792" s="8" t="s">
        <v>220</v>
      </c>
      <c r="I792" s="8" t="s">
        <v>44</v>
      </c>
      <c r="J792" s="8" t="s">
        <v>453</v>
      </c>
      <c r="K792" s="10" t="s">
        <v>454</v>
      </c>
      <c r="L792" s="8" t="s">
        <v>58</v>
      </c>
      <c r="M792" s="8" t="s">
        <v>35</v>
      </c>
      <c r="N792" s="11">
        <v>44899.0</v>
      </c>
      <c r="O792" s="11">
        <v>44962.0</v>
      </c>
      <c r="P792" s="11">
        <v>45004.0</v>
      </c>
      <c r="Q792" s="11"/>
      <c r="R792" s="11"/>
      <c r="S792" s="12"/>
      <c r="T792" s="8"/>
      <c r="U792" s="8" t="s">
        <v>59</v>
      </c>
      <c r="V792" s="13" t="s">
        <v>220</v>
      </c>
      <c r="W792" s="13" t="s">
        <v>4322</v>
      </c>
      <c r="X792" s="12"/>
      <c r="Y792" s="14"/>
      <c r="Z792" s="14"/>
    </row>
    <row r="793">
      <c r="A793" s="8" t="s">
        <v>4323</v>
      </c>
      <c r="B793" s="8" t="s">
        <v>4324</v>
      </c>
      <c r="C793" s="8" t="s">
        <v>179</v>
      </c>
      <c r="D793" s="8" t="s">
        <v>26</v>
      </c>
      <c r="E793" s="8" t="s">
        <v>4325</v>
      </c>
      <c r="F793" s="8">
        <v>2.5545173E7</v>
      </c>
      <c r="G793" s="8" t="s">
        <v>54</v>
      </c>
      <c r="H793" s="8" t="s">
        <v>377</v>
      </c>
      <c r="I793" s="8" t="s">
        <v>31</v>
      </c>
      <c r="J793" s="8" t="s">
        <v>77</v>
      </c>
      <c r="K793" s="10" t="s">
        <v>2537</v>
      </c>
      <c r="L793" s="8" t="s">
        <v>58</v>
      </c>
      <c r="M793" s="8" t="s">
        <v>35</v>
      </c>
      <c r="N793" s="11">
        <v>44900.0</v>
      </c>
      <c r="O793" s="11">
        <v>45103.0</v>
      </c>
      <c r="P793" s="11">
        <v>45145.0</v>
      </c>
      <c r="Q793" s="11"/>
      <c r="R793" s="11"/>
      <c r="S793" s="12"/>
      <c r="T793" s="8"/>
      <c r="U793" s="8" t="s">
        <v>88</v>
      </c>
      <c r="V793" s="13" t="s">
        <v>765</v>
      </c>
      <c r="W793" s="13" t="s">
        <v>4326</v>
      </c>
      <c r="X793" s="12"/>
      <c r="Y793" s="14"/>
      <c r="Z793" s="14"/>
    </row>
    <row r="794">
      <c r="A794" s="8" t="s">
        <v>4327</v>
      </c>
      <c r="B794" s="8" t="s">
        <v>4328</v>
      </c>
      <c r="C794" s="8" t="s">
        <v>251</v>
      </c>
      <c r="D794" s="8" t="s">
        <v>26</v>
      </c>
      <c r="E794" s="8" t="s">
        <v>4329</v>
      </c>
      <c r="F794" s="8">
        <v>7.1986514071E10</v>
      </c>
      <c r="G794" s="8" t="s">
        <v>109</v>
      </c>
      <c r="H794" s="8" t="s">
        <v>2286</v>
      </c>
      <c r="I794" s="8" t="s">
        <v>31</v>
      </c>
      <c r="J794" s="8" t="s">
        <v>77</v>
      </c>
      <c r="K794" s="10" t="s">
        <v>1179</v>
      </c>
      <c r="L794" s="8" t="s">
        <v>47</v>
      </c>
      <c r="M794" s="8" t="s">
        <v>70</v>
      </c>
      <c r="N794" s="11">
        <v>44900.0</v>
      </c>
      <c r="O794" s="11">
        <v>44920.0</v>
      </c>
      <c r="P794" s="11">
        <v>45109.0</v>
      </c>
      <c r="Q794" s="11"/>
      <c r="R794" s="11"/>
      <c r="S794" s="12"/>
      <c r="T794" s="8"/>
      <c r="U794" s="8" t="s">
        <v>1180</v>
      </c>
      <c r="V794" s="13" t="s">
        <v>2287</v>
      </c>
      <c r="W794" s="13" t="s">
        <v>4330</v>
      </c>
      <c r="X794" s="12"/>
      <c r="Y794" s="14"/>
      <c r="Z794" s="14"/>
    </row>
    <row r="795">
      <c r="A795" s="8" t="s">
        <v>4331</v>
      </c>
      <c r="B795" s="8" t="s">
        <v>4332</v>
      </c>
      <c r="C795" s="8" t="s">
        <v>25</v>
      </c>
      <c r="D795" s="8" t="s">
        <v>26</v>
      </c>
      <c r="E795" s="8" t="s">
        <v>4333</v>
      </c>
      <c r="F795" s="8">
        <v>6.01529518E8</v>
      </c>
      <c r="G795" s="8" t="s">
        <v>221</v>
      </c>
      <c r="H795" s="8" t="s">
        <v>2735</v>
      </c>
      <c r="I795" s="8" t="s">
        <v>31</v>
      </c>
      <c r="J795" s="8" t="s">
        <v>220</v>
      </c>
      <c r="K795" s="10" t="s">
        <v>3675</v>
      </c>
      <c r="L795" s="8" t="s">
        <v>58</v>
      </c>
      <c r="M795" s="8" t="s">
        <v>35</v>
      </c>
      <c r="N795" s="11">
        <v>44900.0</v>
      </c>
      <c r="O795" s="11">
        <v>45117.0</v>
      </c>
      <c r="P795" s="11">
        <v>45159.0</v>
      </c>
      <c r="Q795" s="11">
        <v>45119.0</v>
      </c>
      <c r="R795" s="11">
        <v>45159.0</v>
      </c>
      <c r="S795" s="12"/>
      <c r="T795" s="8"/>
      <c r="U795" s="8" t="s">
        <v>59</v>
      </c>
      <c r="V795" s="13" t="s">
        <v>2737</v>
      </c>
      <c r="W795" s="13" t="s">
        <v>4334</v>
      </c>
      <c r="X795" s="12"/>
      <c r="Y795" s="14"/>
      <c r="Z795" s="14"/>
    </row>
    <row r="796">
      <c r="A796" s="8" t="s">
        <v>4335</v>
      </c>
      <c r="B796" s="8" t="s">
        <v>4336</v>
      </c>
      <c r="C796" s="8" t="s">
        <v>179</v>
      </c>
      <c r="D796" s="8" t="s">
        <v>26</v>
      </c>
      <c r="E796" s="8" t="s">
        <v>4337</v>
      </c>
      <c r="F796" s="8">
        <v>5.322426176E9</v>
      </c>
      <c r="G796" s="8" t="s">
        <v>31</v>
      </c>
      <c r="H796" s="8" t="s">
        <v>542</v>
      </c>
      <c r="I796" s="8" t="s">
        <v>54</v>
      </c>
      <c r="J796" s="8" t="s">
        <v>55</v>
      </c>
      <c r="K796" s="10" t="s">
        <v>4338</v>
      </c>
      <c r="L796" s="8" t="s">
        <v>58</v>
      </c>
      <c r="M796" s="8" t="s">
        <v>35</v>
      </c>
      <c r="N796" s="11">
        <v>44900.0</v>
      </c>
      <c r="O796" s="11">
        <v>44915.0</v>
      </c>
      <c r="P796" s="11">
        <v>44957.0</v>
      </c>
      <c r="Q796" s="11"/>
      <c r="R796" s="11"/>
      <c r="S796" s="12"/>
      <c r="T796" s="8"/>
      <c r="U796" s="8" t="s">
        <v>1038</v>
      </c>
      <c r="V796" s="13" t="s">
        <v>545</v>
      </c>
      <c r="W796" s="13" t="s">
        <v>4339</v>
      </c>
      <c r="X796" s="12"/>
      <c r="Y796" s="14"/>
      <c r="Z796" s="14"/>
    </row>
    <row r="797">
      <c r="A797" s="8" t="s">
        <v>4340</v>
      </c>
      <c r="B797" s="8" t="s">
        <v>4341</v>
      </c>
      <c r="C797" s="8" t="s">
        <v>251</v>
      </c>
      <c r="D797" s="8" t="s">
        <v>26</v>
      </c>
      <c r="E797" s="8" t="s">
        <v>4342</v>
      </c>
      <c r="F797" s="8">
        <v>1.285141318E9</v>
      </c>
      <c r="G797" s="8" t="s">
        <v>284</v>
      </c>
      <c r="H797" s="8" t="s">
        <v>673</v>
      </c>
      <c r="I797" s="8" t="s">
        <v>31</v>
      </c>
      <c r="J797" s="8" t="s">
        <v>43</v>
      </c>
      <c r="K797" s="10" t="s">
        <v>4255</v>
      </c>
      <c r="L797" s="8" t="s">
        <v>47</v>
      </c>
      <c r="M797" s="8" t="s">
        <v>70</v>
      </c>
      <c r="N797" s="11">
        <v>44900.0</v>
      </c>
      <c r="O797" s="11">
        <v>44906.0</v>
      </c>
      <c r="P797" s="11">
        <v>45095.0</v>
      </c>
      <c r="Q797" s="11"/>
      <c r="R797" s="11"/>
      <c r="S797" s="12"/>
      <c r="T797" s="8"/>
      <c r="U797" s="8" t="s">
        <v>246</v>
      </c>
      <c r="V797" s="13" t="s">
        <v>674</v>
      </c>
      <c r="W797" s="13" t="s">
        <v>4343</v>
      </c>
      <c r="X797" s="12"/>
      <c r="Y797" s="14"/>
      <c r="Z797" s="14"/>
    </row>
    <row r="798">
      <c r="A798" s="8" t="s">
        <v>4344</v>
      </c>
      <c r="B798" s="8" t="s">
        <v>4345</v>
      </c>
      <c r="C798" s="8" t="s">
        <v>708</v>
      </c>
      <c r="D798" s="8" t="s">
        <v>26</v>
      </c>
      <c r="E798" s="8" t="s">
        <v>4346</v>
      </c>
      <c r="F798" s="9" t="s">
        <v>4347</v>
      </c>
      <c r="G798" s="8" t="s">
        <v>284</v>
      </c>
      <c r="H798" s="8" t="s">
        <v>793</v>
      </c>
      <c r="I798" s="8" t="s">
        <v>31</v>
      </c>
      <c r="J798" s="8" t="s">
        <v>542</v>
      </c>
      <c r="K798" s="10" t="s">
        <v>3684</v>
      </c>
      <c r="L798" s="8" t="s">
        <v>34</v>
      </c>
      <c r="M798" s="8" t="s">
        <v>70</v>
      </c>
      <c r="N798" s="11">
        <v>44900.0</v>
      </c>
      <c r="O798" s="11">
        <v>44907.0</v>
      </c>
      <c r="P798" s="11">
        <v>45271.0</v>
      </c>
      <c r="Q798" s="11">
        <v>44970.0</v>
      </c>
      <c r="R798" s="11">
        <v>45335.0</v>
      </c>
      <c r="S798" s="12"/>
      <c r="T798" s="8" t="s">
        <v>205</v>
      </c>
      <c r="U798" s="8" t="s">
        <v>3685</v>
      </c>
      <c r="V798" s="13" t="s">
        <v>793</v>
      </c>
      <c r="W798" s="13" t="s">
        <v>4348</v>
      </c>
      <c r="X798" s="12"/>
      <c r="Y798" s="14"/>
      <c r="Z798" s="14"/>
    </row>
    <row r="799">
      <c r="A799" s="8" t="s">
        <v>4349</v>
      </c>
      <c r="B799" s="8" t="s">
        <v>4350</v>
      </c>
      <c r="C799" s="8" t="s">
        <v>179</v>
      </c>
      <c r="D799" s="8" t="s">
        <v>26</v>
      </c>
      <c r="E799" s="8" t="s">
        <v>4351</v>
      </c>
      <c r="F799" s="8">
        <v>5.3723914E7</v>
      </c>
      <c r="G799" s="8" t="s">
        <v>54</v>
      </c>
      <c r="H799" s="8" t="s">
        <v>595</v>
      </c>
      <c r="I799" s="8" t="s">
        <v>31</v>
      </c>
      <c r="J799" s="8" t="s">
        <v>86</v>
      </c>
      <c r="K799" s="10" t="s">
        <v>2404</v>
      </c>
      <c r="L799" s="8" t="s">
        <v>34</v>
      </c>
      <c r="M799" s="8" t="s">
        <v>70</v>
      </c>
      <c r="N799" s="11">
        <v>44901.0</v>
      </c>
      <c r="O799" s="11">
        <v>44935.0</v>
      </c>
      <c r="P799" s="11">
        <v>45474.0</v>
      </c>
      <c r="Q799" s="11"/>
      <c r="R799" s="11"/>
      <c r="S799" s="12"/>
      <c r="T799" s="8" t="s">
        <v>36</v>
      </c>
      <c r="U799" s="8" t="s">
        <v>2405</v>
      </c>
      <c r="V799" s="13" t="s">
        <v>4352</v>
      </c>
      <c r="W799" s="13" t="s">
        <v>4353</v>
      </c>
      <c r="X799" s="12"/>
      <c r="Y799" s="14"/>
      <c r="Z799" s="14"/>
    </row>
    <row r="800">
      <c r="A800" s="8" t="s">
        <v>4354</v>
      </c>
      <c r="B800" s="8" t="s">
        <v>4355</v>
      </c>
      <c r="C800" s="8" t="s">
        <v>25</v>
      </c>
      <c r="D800" s="8" t="s">
        <v>26</v>
      </c>
      <c r="E800" s="8" t="s">
        <v>4356</v>
      </c>
      <c r="F800" s="8"/>
      <c r="G800" s="8" t="s">
        <v>31</v>
      </c>
      <c r="H800" s="8" t="s">
        <v>86</v>
      </c>
      <c r="I800" s="8" t="s">
        <v>284</v>
      </c>
      <c r="J800" s="8" t="s">
        <v>589</v>
      </c>
      <c r="K800" s="10" t="s">
        <v>4357</v>
      </c>
      <c r="L800" s="8" t="s">
        <v>58</v>
      </c>
      <c r="M800" s="8" t="s">
        <v>35</v>
      </c>
      <c r="N800" s="11">
        <v>44901.0</v>
      </c>
      <c r="O800" s="11">
        <v>45123.0</v>
      </c>
      <c r="P800" s="11">
        <v>45165.0</v>
      </c>
      <c r="Q800" s="11"/>
      <c r="R800" s="11">
        <v>45158.0</v>
      </c>
      <c r="S800" s="12"/>
      <c r="T800" s="8"/>
      <c r="U800" s="8" t="s">
        <v>1590</v>
      </c>
      <c r="V800" s="13" t="s">
        <v>38</v>
      </c>
      <c r="W800" s="13" t="s">
        <v>4358</v>
      </c>
      <c r="X800" s="12"/>
      <c r="Y800" s="14"/>
      <c r="Z800" s="14"/>
    </row>
    <row r="801">
      <c r="A801" s="8" t="s">
        <v>4359</v>
      </c>
      <c r="B801" s="8" t="s">
        <v>4360</v>
      </c>
      <c r="C801" s="8" t="s">
        <v>25</v>
      </c>
      <c r="D801" s="8" t="s">
        <v>26</v>
      </c>
      <c r="E801" s="8" t="s">
        <v>4361</v>
      </c>
      <c r="F801" s="8">
        <v>5.388448161E9</v>
      </c>
      <c r="G801" s="8" t="s">
        <v>31</v>
      </c>
      <c r="H801" s="8" t="s">
        <v>86</v>
      </c>
      <c r="I801" s="8" t="s">
        <v>284</v>
      </c>
      <c r="J801" s="8" t="s">
        <v>793</v>
      </c>
      <c r="K801" s="10" t="s">
        <v>1031</v>
      </c>
      <c r="L801" s="8" t="s">
        <v>58</v>
      </c>
      <c r="M801" s="8" t="s">
        <v>35</v>
      </c>
      <c r="N801" s="11">
        <v>44901.0</v>
      </c>
      <c r="O801" s="11">
        <v>45122.0</v>
      </c>
      <c r="P801" s="11">
        <v>45164.0</v>
      </c>
      <c r="Q801" s="11">
        <v>45123.0</v>
      </c>
      <c r="R801" s="11">
        <v>45167.0</v>
      </c>
      <c r="S801" s="12"/>
      <c r="T801" s="8"/>
      <c r="U801" s="8" t="s">
        <v>59</v>
      </c>
      <c r="V801" s="13" t="s">
        <v>175</v>
      </c>
      <c r="W801" s="13" t="s">
        <v>4362</v>
      </c>
      <c r="X801" s="12"/>
      <c r="Y801" s="14"/>
      <c r="Z801" s="14"/>
    </row>
    <row r="802">
      <c r="A802" s="8" t="s">
        <v>4363</v>
      </c>
      <c r="B802" s="8" t="s">
        <v>4364</v>
      </c>
      <c r="C802" s="8" t="s">
        <v>25</v>
      </c>
      <c r="D802" s="8" t="s">
        <v>26</v>
      </c>
      <c r="E802" s="8" t="s">
        <v>4365</v>
      </c>
      <c r="F802" s="8">
        <v>1.01576784E8</v>
      </c>
      <c r="G802" s="8" t="s">
        <v>284</v>
      </c>
      <c r="H802" s="8" t="s">
        <v>793</v>
      </c>
      <c r="I802" s="8" t="s">
        <v>31</v>
      </c>
      <c r="J802" s="8" t="s">
        <v>1274</v>
      </c>
      <c r="K802" s="10" t="s">
        <v>4366</v>
      </c>
      <c r="L802" s="8" t="s">
        <v>58</v>
      </c>
      <c r="M802" s="8" t="s">
        <v>35</v>
      </c>
      <c r="N802" s="11">
        <v>44901.0</v>
      </c>
      <c r="O802" s="11">
        <v>45096.0</v>
      </c>
      <c r="P802" s="11">
        <v>45138.0</v>
      </c>
      <c r="Q802" s="11">
        <v>45097.0</v>
      </c>
      <c r="R802" s="11">
        <v>45138.0</v>
      </c>
      <c r="S802" s="12"/>
      <c r="T802" s="8"/>
      <c r="U802" s="8" t="s">
        <v>1038</v>
      </c>
      <c r="V802" s="13" t="s">
        <v>793</v>
      </c>
      <c r="W802" s="13" t="s">
        <v>4367</v>
      </c>
      <c r="X802" s="12"/>
      <c r="Y802" s="14"/>
      <c r="Z802" s="14"/>
    </row>
    <row r="803">
      <c r="A803" s="8" t="s">
        <v>4368</v>
      </c>
      <c r="B803" s="8" t="s">
        <v>4369</v>
      </c>
      <c r="C803" s="8" t="s">
        <v>25</v>
      </c>
      <c r="D803" s="8" t="s">
        <v>26</v>
      </c>
      <c r="E803" s="8" t="s">
        <v>4370</v>
      </c>
      <c r="F803" s="8">
        <v>5.462271406E9</v>
      </c>
      <c r="G803" s="8" t="s">
        <v>31</v>
      </c>
      <c r="H803" s="8" t="s">
        <v>438</v>
      </c>
      <c r="I803" s="8" t="s">
        <v>221</v>
      </c>
      <c r="J803" s="8" t="s">
        <v>1254</v>
      </c>
      <c r="K803" s="10" t="s">
        <v>4371</v>
      </c>
      <c r="L803" s="8" t="s">
        <v>58</v>
      </c>
      <c r="M803" s="8" t="s">
        <v>35</v>
      </c>
      <c r="N803" s="11">
        <v>44901.0</v>
      </c>
      <c r="O803" s="11">
        <v>44941.0</v>
      </c>
      <c r="P803" s="11">
        <v>44983.0</v>
      </c>
      <c r="Q803" s="11">
        <v>44943.0</v>
      </c>
      <c r="R803" s="11">
        <v>44983.0</v>
      </c>
      <c r="S803" s="12"/>
      <c r="T803" s="8"/>
      <c r="U803" s="8" t="s">
        <v>59</v>
      </c>
      <c r="V803" s="13" t="s">
        <v>438</v>
      </c>
      <c r="W803" s="13" t="s">
        <v>4372</v>
      </c>
      <c r="X803" s="12"/>
      <c r="Y803" s="14"/>
      <c r="Z803" s="14"/>
    </row>
    <row r="804">
      <c r="A804" s="8" t="s">
        <v>4373</v>
      </c>
      <c r="B804" s="8" t="s">
        <v>4374</v>
      </c>
      <c r="C804" s="8" t="s">
        <v>25</v>
      </c>
      <c r="D804" s="8" t="s">
        <v>26</v>
      </c>
      <c r="E804" s="8" t="s">
        <v>4375</v>
      </c>
      <c r="F804" s="8">
        <v>5.061331545E9</v>
      </c>
      <c r="G804" s="8" t="s">
        <v>31</v>
      </c>
      <c r="H804" s="8" t="s">
        <v>438</v>
      </c>
      <c r="I804" s="8" t="s">
        <v>221</v>
      </c>
      <c r="J804" s="8" t="s">
        <v>1254</v>
      </c>
      <c r="K804" s="10" t="s">
        <v>4376</v>
      </c>
      <c r="L804" s="8" t="s">
        <v>58</v>
      </c>
      <c r="M804" s="8" t="s">
        <v>35</v>
      </c>
      <c r="N804" s="11">
        <v>44901.0</v>
      </c>
      <c r="O804" s="11">
        <v>44941.0</v>
      </c>
      <c r="P804" s="11">
        <v>44983.0</v>
      </c>
      <c r="Q804" s="11">
        <v>44943.0</v>
      </c>
      <c r="R804" s="11">
        <v>44983.0</v>
      </c>
      <c r="S804" s="12"/>
      <c r="T804" s="8"/>
      <c r="U804" s="8" t="s">
        <v>88</v>
      </c>
      <c r="V804" s="13" t="s">
        <v>438</v>
      </c>
      <c r="W804" s="13" t="s">
        <v>4377</v>
      </c>
      <c r="X804" s="12"/>
      <c r="Y804" s="14"/>
      <c r="Z804" s="14"/>
    </row>
    <row r="805">
      <c r="A805" s="8" t="s">
        <v>4378</v>
      </c>
      <c r="B805" s="8" t="s">
        <v>4379</v>
      </c>
      <c r="C805" s="8" t="s">
        <v>179</v>
      </c>
      <c r="D805" s="8" t="s">
        <v>26</v>
      </c>
      <c r="E805" s="8" t="s">
        <v>4380</v>
      </c>
      <c r="F805" s="8">
        <v>1.100424017E9</v>
      </c>
      <c r="G805" s="8" t="s">
        <v>284</v>
      </c>
      <c r="H805" s="8" t="s">
        <v>793</v>
      </c>
      <c r="I805" s="8" t="s">
        <v>31</v>
      </c>
      <c r="J805" s="8" t="s">
        <v>136</v>
      </c>
      <c r="K805" s="10" t="s">
        <v>1413</v>
      </c>
      <c r="L805" s="8" t="s">
        <v>58</v>
      </c>
      <c r="M805" s="8" t="s">
        <v>35</v>
      </c>
      <c r="N805" s="11">
        <v>44901.0</v>
      </c>
      <c r="O805" s="11">
        <v>45173.0</v>
      </c>
      <c r="P805" s="11">
        <v>45215.0</v>
      </c>
      <c r="Q805" s="11"/>
      <c r="R805" s="11"/>
      <c r="S805" s="12"/>
      <c r="T805" s="8"/>
      <c r="U805" s="8" t="s">
        <v>59</v>
      </c>
      <c r="V805" s="13" t="s">
        <v>793</v>
      </c>
      <c r="W805" s="13" t="s">
        <v>4381</v>
      </c>
      <c r="X805" s="12"/>
      <c r="Y805" s="14"/>
      <c r="Z805" s="14"/>
    </row>
    <row r="806">
      <c r="A806" s="8" t="s">
        <v>4382</v>
      </c>
      <c r="B806" s="8" t="s">
        <v>457</v>
      </c>
      <c r="C806" s="8" t="s">
        <v>179</v>
      </c>
      <c r="D806" s="8" t="s">
        <v>26</v>
      </c>
      <c r="E806" s="8" t="s">
        <v>4383</v>
      </c>
      <c r="F806" s="8">
        <v>5.313382596E9</v>
      </c>
      <c r="G806" s="8" t="s">
        <v>31</v>
      </c>
      <c r="H806" s="8" t="s">
        <v>220</v>
      </c>
      <c r="I806" s="8" t="s">
        <v>44</v>
      </c>
      <c r="J806" s="8" t="s">
        <v>453</v>
      </c>
      <c r="K806" s="10" t="s">
        <v>454</v>
      </c>
      <c r="L806" s="8" t="s">
        <v>58</v>
      </c>
      <c r="M806" s="8" t="s">
        <v>35</v>
      </c>
      <c r="N806" s="11">
        <v>44901.0</v>
      </c>
      <c r="O806" s="11">
        <v>44962.0</v>
      </c>
      <c r="P806" s="11">
        <v>45004.0</v>
      </c>
      <c r="Q806" s="11"/>
      <c r="R806" s="11"/>
      <c r="S806" s="12"/>
      <c r="T806" s="8"/>
      <c r="U806" s="8" t="s">
        <v>59</v>
      </c>
      <c r="V806" s="13" t="s">
        <v>175</v>
      </c>
      <c r="W806" s="13" t="s">
        <v>4384</v>
      </c>
      <c r="X806" s="12"/>
      <c r="Y806" s="14"/>
      <c r="Z806" s="14"/>
    </row>
    <row r="807">
      <c r="A807" s="8" t="s">
        <v>4385</v>
      </c>
      <c r="B807" s="8" t="s">
        <v>4386</v>
      </c>
      <c r="C807" s="8" t="s">
        <v>25</v>
      </c>
      <c r="D807" s="8" t="s">
        <v>26</v>
      </c>
      <c r="E807" s="8" t="s">
        <v>4387</v>
      </c>
      <c r="F807" s="8">
        <v>5.531174636E9</v>
      </c>
      <c r="G807" s="8" t="s">
        <v>31</v>
      </c>
      <c r="H807" s="8" t="s">
        <v>111</v>
      </c>
      <c r="I807" s="8" t="s">
        <v>284</v>
      </c>
      <c r="J807" s="8" t="s">
        <v>1422</v>
      </c>
      <c r="K807" s="10" t="s">
        <v>4388</v>
      </c>
      <c r="L807" s="8" t="s">
        <v>58</v>
      </c>
      <c r="M807" s="8" t="s">
        <v>35</v>
      </c>
      <c r="N807" s="11">
        <v>44901.0</v>
      </c>
      <c r="O807" s="11">
        <v>45099.0</v>
      </c>
      <c r="P807" s="11">
        <v>45141.0</v>
      </c>
      <c r="Q807" s="11">
        <v>45099.0</v>
      </c>
      <c r="R807" s="11">
        <v>45141.0</v>
      </c>
      <c r="S807" s="12"/>
      <c r="T807" s="8"/>
      <c r="U807" s="8" t="s">
        <v>3111</v>
      </c>
      <c r="V807" s="13" t="s">
        <v>111</v>
      </c>
      <c r="W807" s="13" t="s">
        <v>4389</v>
      </c>
      <c r="X807" s="12"/>
      <c r="Y807" s="14"/>
      <c r="Z807" s="14"/>
    </row>
    <row r="808">
      <c r="A808" s="8" t="s">
        <v>4390</v>
      </c>
      <c r="B808" s="8" t="s">
        <v>4391</v>
      </c>
      <c r="C808" s="8" t="s">
        <v>708</v>
      </c>
      <c r="D808" s="8" t="s">
        <v>26</v>
      </c>
      <c r="E808" s="8" t="s">
        <v>4392</v>
      </c>
      <c r="F808" s="8">
        <v>6.1993531897E10</v>
      </c>
      <c r="G808" s="8" t="s">
        <v>109</v>
      </c>
      <c r="H808" s="8" t="s">
        <v>4031</v>
      </c>
      <c r="I808" s="8" t="s">
        <v>31</v>
      </c>
      <c r="J808" s="8" t="s">
        <v>77</v>
      </c>
      <c r="K808" s="10" t="s">
        <v>4393</v>
      </c>
      <c r="L808" s="8" t="s">
        <v>47</v>
      </c>
      <c r="M808" s="8" t="s">
        <v>70</v>
      </c>
      <c r="N808" s="11">
        <v>44901.0</v>
      </c>
      <c r="O808" s="11">
        <v>45163.0</v>
      </c>
      <c r="P808" s="11">
        <v>45473.0</v>
      </c>
      <c r="Q808" s="11">
        <v>45169.0</v>
      </c>
      <c r="R808" s="11">
        <v>45478.0</v>
      </c>
      <c r="S808" s="12"/>
      <c r="T808" s="8"/>
      <c r="U808" s="8" t="s">
        <v>4394</v>
      </c>
      <c r="V808" s="13" t="s">
        <v>4032</v>
      </c>
      <c r="W808" s="13" t="s">
        <v>4395</v>
      </c>
      <c r="X808" s="12"/>
      <c r="Y808" s="14"/>
      <c r="Z808" s="14"/>
    </row>
    <row r="809">
      <c r="A809" s="8" t="s">
        <v>4396</v>
      </c>
      <c r="B809" s="8" t="s">
        <v>4397</v>
      </c>
      <c r="C809" s="8" t="s">
        <v>25</v>
      </c>
      <c r="D809" s="8" t="s">
        <v>26</v>
      </c>
      <c r="E809" s="8" t="s">
        <v>4398</v>
      </c>
      <c r="F809" s="8">
        <v>2.0002496E7</v>
      </c>
      <c r="G809" s="8" t="s">
        <v>54</v>
      </c>
      <c r="H809" s="8" t="s">
        <v>237</v>
      </c>
      <c r="I809" s="8" t="s">
        <v>31</v>
      </c>
      <c r="J809" s="8" t="s">
        <v>86</v>
      </c>
      <c r="K809" s="10" t="s">
        <v>2453</v>
      </c>
      <c r="L809" s="8" t="s">
        <v>58</v>
      </c>
      <c r="M809" s="8" t="s">
        <v>35</v>
      </c>
      <c r="N809" s="11">
        <v>44902.0</v>
      </c>
      <c r="O809" s="11">
        <v>45132.0</v>
      </c>
      <c r="P809" s="11">
        <v>45174.0</v>
      </c>
      <c r="Q809" s="11">
        <v>45133.0</v>
      </c>
      <c r="R809" s="11">
        <v>45174.0</v>
      </c>
      <c r="S809" s="12"/>
      <c r="T809" s="8"/>
      <c r="U809" s="8" t="s">
        <v>59</v>
      </c>
      <c r="V809" s="13" t="s">
        <v>4399</v>
      </c>
      <c r="W809" s="13" t="s">
        <v>4400</v>
      </c>
      <c r="X809" s="12"/>
      <c r="Y809" s="14"/>
      <c r="Z809" s="14"/>
    </row>
    <row r="810">
      <c r="A810" s="8" t="s">
        <v>4401</v>
      </c>
      <c r="B810" s="8" t="s">
        <v>4402</v>
      </c>
      <c r="C810" s="8" t="s">
        <v>179</v>
      </c>
      <c r="D810" s="8" t="s">
        <v>26</v>
      </c>
      <c r="E810" s="8" t="s">
        <v>4403</v>
      </c>
      <c r="F810" s="8">
        <v>5.3879706E7</v>
      </c>
      <c r="G810" s="8" t="s">
        <v>54</v>
      </c>
      <c r="H810" s="8" t="s">
        <v>595</v>
      </c>
      <c r="I810" s="8" t="s">
        <v>31</v>
      </c>
      <c r="J810" s="8" t="s">
        <v>77</v>
      </c>
      <c r="K810" s="10" t="s">
        <v>4188</v>
      </c>
      <c r="L810" s="8" t="s">
        <v>58</v>
      </c>
      <c r="M810" s="8" t="s">
        <v>35</v>
      </c>
      <c r="N810" s="11">
        <v>44902.0</v>
      </c>
      <c r="O810" s="11">
        <v>45110.0</v>
      </c>
      <c r="P810" s="11">
        <v>45152.0</v>
      </c>
      <c r="Q810" s="11"/>
      <c r="R810" s="11"/>
      <c r="S810" s="12"/>
      <c r="T810" s="8"/>
      <c r="U810" s="8" t="s">
        <v>59</v>
      </c>
      <c r="V810" s="13" t="s">
        <v>1583</v>
      </c>
      <c r="W810" s="13" t="s">
        <v>4404</v>
      </c>
      <c r="X810" s="12"/>
      <c r="Y810" s="14"/>
      <c r="Z810" s="14"/>
    </row>
    <row r="811">
      <c r="A811" s="8" t="s">
        <v>4405</v>
      </c>
      <c r="B811" s="8" t="s">
        <v>4406</v>
      </c>
      <c r="C811" s="8" t="s">
        <v>64</v>
      </c>
      <c r="D811" s="8" t="s">
        <v>26</v>
      </c>
      <c r="E811" s="8" t="s">
        <v>4407</v>
      </c>
      <c r="F811" s="8"/>
      <c r="G811" s="8" t="s">
        <v>54</v>
      </c>
      <c r="H811" s="8" t="s">
        <v>76</v>
      </c>
      <c r="I811" s="8" t="s">
        <v>31</v>
      </c>
      <c r="J811" s="8" t="s">
        <v>86</v>
      </c>
      <c r="K811" s="10" t="s">
        <v>416</v>
      </c>
      <c r="L811" s="8" t="s">
        <v>58</v>
      </c>
      <c r="M811" s="8" t="s">
        <v>35</v>
      </c>
      <c r="N811" s="11">
        <v>44902.0</v>
      </c>
      <c r="O811" s="11">
        <v>45117.0</v>
      </c>
      <c r="P811" s="11">
        <v>45159.0</v>
      </c>
      <c r="Q811" s="11">
        <v>45117.0</v>
      </c>
      <c r="R811" s="11">
        <v>45159.0</v>
      </c>
      <c r="S811" s="12"/>
      <c r="T811" s="8"/>
      <c r="U811" s="8" t="s">
        <v>59</v>
      </c>
      <c r="V811" s="13" t="s">
        <v>38</v>
      </c>
      <c r="W811" s="13" t="s">
        <v>4408</v>
      </c>
      <c r="X811" s="12"/>
      <c r="Y811" s="14"/>
      <c r="Z811" s="14"/>
    </row>
    <row r="812">
      <c r="A812" s="8" t="s">
        <v>4409</v>
      </c>
      <c r="B812" s="8" t="s">
        <v>4410</v>
      </c>
      <c r="C812" s="8" t="s">
        <v>25</v>
      </c>
      <c r="D812" s="8" t="s">
        <v>26</v>
      </c>
      <c r="E812" s="8" t="s">
        <v>4411</v>
      </c>
      <c r="F812" s="8">
        <v>9.68135221E8</v>
      </c>
      <c r="G812" s="8" t="s">
        <v>118</v>
      </c>
      <c r="H812" s="8" t="s">
        <v>3100</v>
      </c>
      <c r="I812" s="8" t="s">
        <v>31</v>
      </c>
      <c r="J812" s="8" t="s">
        <v>136</v>
      </c>
      <c r="K812" s="10" t="s">
        <v>2354</v>
      </c>
      <c r="L812" s="8" t="s">
        <v>58</v>
      </c>
      <c r="M812" s="8" t="s">
        <v>35</v>
      </c>
      <c r="N812" s="11">
        <v>44902.0</v>
      </c>
      <c r="O812" s="11">
        <v>45173.0</v>
      </c>
      <c r="P812" s="11">
        <v>45215.0</v>
      </c>
      <c r="Q812" s="11">
        <v>45173.0</v>
      </c>
      <c r="R812" s="11">
        <v>45215.0</v>
      </c>
      <c r="S812" s="12"/>
      <c r="T812" s="8"/>
      <c r="U812" s="8" t="s">
        <v>59</v>
      </c>
      <c r="V812" s="13" t="s">
        <v>4412</v>
      </c>
      <c r="W812" s="13" t="s">
        <v>4413</v>
      </c>
      <c r="X812" s="12"/>
      <c r="Y812" s="14"/>
      <c r="Z812" s="14"/>
    </row>
    <row r="813">
      <c r="A813" s="8" t="s">
        <v>4414</v>
      </c>
      <c r="B813" s="8" t="s">
        <v>4415</v>
      </c>
      <c r="C813" s="8" t="s">
        <v>25</v>
      </c>
      <c r="D813" s="8" t="s">
        <v>26</v>
      </c>
      <c r="E813" s="8" t="s">
        <v>4416</v>
      </c>
      <c r="F813" s="8">
        <v>6.72995424E8</v>
      </c>
      <c r="G813" s="8" t="s">
        <v>254</v>
      </c>
      <c r="H813" s="8" t="s">
        <v>3087</v>
      </c>
      <c r="I813" s="8" t="s">
        <v>31</v>
      </c>
      <c r="J813" s="8" t="s">
        <v>438</v>
      </c>
      <c r="K813" s="10" t="s">
        <v>1339</v>
      </c>
      <c r="L813" s="8" t="s">
        <v>47</v>
      </c>
      <c r="M813" s="8" t="s">
        <v>70</v>
      </c>
      <c r="N813" s="11">
        <v>44903.0</v>
      </c>
      <c r="O813" s="11">
        <v>44934.0</v>
      </c>
      <c r="P813" s="11">
        <v>45298.0</v>
      </c>
      <c r="Q813" s="11">
        <v>44935.0</v>
      </c>
      <c r="R813" s="11">
        <v>45190.0</v>
      </c>
      <c r="S813" s="12"/>
      <c r="T813" s="8"/>
      <c r="U813" s="8" t="s">
        <v>1340</v>
      </c>
      <c r="V813" s="13" t="s">
        <v>3088</v>
      </c>
      <c r="W813" s="13" t="s">
        <v>4417</v>
      </c>
      <c r="X813" s="12"/>
      <c r="Y813" s="14"/>
      <c r="Z813" s="14"/>
    </row>
    <row r="814">
      <c r="A814" s="8" t="s">
        <v>4418</v>
      </c>
      <c r="B814" s="8" t="s">
        <v>4419</v>
      </c>
      <c r="C814" s="8" t="s">
        <v>64</v>
      </c>
      <c r="D814" s="8" t="s">
        <v>26</v>
      </c>
      <c r="E814" s="8" t="s">
        <v>4420</v>
      </c>
      <c r="F814" s="8"/>
      <c r="G814" s="8" t="s">
        <v>84</v>
      </c>
      <c r="H814" s="8" t="s">
        <v>1234</v>
      </c>
      <c r="I814" s="8" t="s">
        <v>31</v>
      </c>
      <c r="J814" s="8" t="s">
        <v>77</v>
      </c>
      <c r="K814" s="10" t="s">
        <v>2555</v>
      </c>
      <c r="L814" s="8" t="s">
        <v>58</v>
      </c>
      <c r="M814" s="8" t="s">
        <v>35</v>
      </c>
      <c r="N814" s="11">
        <v>44903.0</v>
      </c>
      <c r="O814" s="11">
        <v>44915.0</v>
      </c>
      <c r="P814" s="11">
        <v>44957.0</v>
      </c>
      <c r="Q814" s="11">
        <v>44909.0</v>
      </c>
      <c r="R814" s="11">
        <v>44957.0</v>
      </c>
      <c r="S814" s="12"/>
      <c r="T814" s="8"/>
      <c r="U814" s="8" t="s">
        <v>371</v>
      </c>
      <c r="V814" s="13" t="s">
        <v>38</v>
      </c>
      <c r="W814" s="13" t="s">
        <v>4421</v>
      </c>
      <c r="X814" s="12"/>
      <c r="Y814" s="14"/>
      <c r="Z814" s="14"/>
    </row>
    <row r="815">
      <c r="A815" s="8" t="s">
        <v>4422</v>
      </c>
      <c r="B815" s="8" t="s">
        <v>4423</v>
      </c>
      <c r="C815" s="8" t="s">
        <v>179</v>
      </c>
      <c r="D815" s="8" t="s">
        <v>26</v>
      </c>
      <c r="E815" s="8" t="s">
        <v>4424</v>
      </c>
      <c r="F815" s="8"/>
      <c r="G815" s="8" t="s">
        <v>277</v>
      </c>
      <c r="H815" s="8" t="s">
        <v>697</v>
      </c>
      <c r="I815" s="8" t="s">
        <v>31</v>
      </c>
      <c r="J815" s="8" t="s">
        <v>256</v>
      </c>
      <c r="K815" s="10" t="s">
        <v>3411</v>
      </c>
      <c r="L815" s="8" t="s">
        <v>58</v>
      </c>
      <c r="M815" s="8" t="s">
        <v>35</v>
      </c>
      <c r="N815" s="11">
        <v>44903.0</v>
      </c>
      <c r="O815" s="11">
        <v>45141.0</v>
      </c>
      <c r="P815" s="11">
        <v>45183.0</v>
      </c>
      <c r="Q815" s="11"/>
      <c r="R815" s="11"/>
      <c r="S815" s="12"/>
      <c r="T815" s="8"/>
      <c r="U815" s="8" t="s">
        <v>59</v>
      </c>
      <c r="V815" s="13" t="s">
        <v>38</v>
      </c>
      <c r="W815" s="13" t="s">
        <v>4425</v>
      </c>
      <c r="X815" s="12"/>
      <c r="Y815" s="14"/>
      <c r="Z815" s="14"/>
    </row>
    <row r="816">
      <c r="A816" s="8" t="s">
        <v>4426</v>
      </c>
      <c r="B816" s="8" t="s">
        <v>4427</v>
      </c>
      <c r="C816" s="8" t="s">
        <v>25</v>
      </c>
      <c r="D816" s="8" t="s">
        <v>26</v>
      </c>
      <c r="E816" s="8" t="s">
        <v>4428</v>
      </c>
      <c r="F816" s="8">
        <v>5.18770603E8</v>
      </c>
      <c r="G816" s="8" t="s">
        <v>277</v>
      </c>
      <c r="H816" s="8" t="s">
        <v>278</v>
      </c>
      <c r="I816" s="8" t="s">
        <v>31</v>
      </c>
      <c r="J816" s="8" t="s">
        <v>167</v>
      </c>
      <c r="K816" s="10" t="s">
        <v>4008</v>
      </c>
      <c r="L816" s="8" t="s">
        <v>58</v>
      </c>
      <c r="M816" s="8" t="s">
        <v>35</v>
      </c>
      <c r="N816" s="11">
        <v>44903.0</v>
      </c>
      <c r="O816" s="11">
        <v>45117.0</v>
      </c>
      <c r="P816" s="11">
        <v>45159.0</v>
      </c>
      <c r="Q816" s="11">
        <v>45117.0</v>
      </c>
      <c r="R816" s="11">
        <v>45159.0</v>
      </c>
      <c r="S816" s="12"/>
      <c r="T816" s="8"/>
      <c r="U816" s="8" t="s">
        <v>59</v>
      </c>
      <c r="V816" s="13" t="s">
        <v>4429</v>
      </c>
      <c r="W816" s="13" t="s">
        <v>4430</v>
      </c>
      <c r="X816" s="12"/>
      <c r="Y816" s="14"/>
      <c r="Z816" s="14"/>
    </row>
    <row r="817">
      <c r="A817" s="8" t="s">
        <v>4431</v>
      </c>
      <c r="B817" s="8" t="s">
        <v>4432</v>
      </c>
      <c r="C817" s="8" t="s">
        <v>179</v>
      </c>
      <c r="D817" s="8" t="s">
        <v>26</v>
      </c>
      <c r="E817" s="8" t="s">
        <v>4433</v>
      </c>
      <c r="F817" s="8">
        <v>6.8445253E8</v>
      </c>
      <c r="G817" s="8" t="s">
        <v>84</v>
      </c>
      <c r="H817" s="8" t="s">
        <v>752</v>
      </c>
      <c r="I817" s="8" t="s">
        <v>31</v>
      </c>
      <c r="J817" s="8" t="s">
        <v>86</v>
      </c>
      <c r="K817" s="10" t="s">
        <v>416</v>
      </c>
      <c r="L817" s="8" t="s">
        <v>58</v>
      </c>
      <c r="M817" s="8" t="s">
        <v>35</v>
      </c>
      <c r="N817" s="11">
        <v>44903.0</v>
      </c>
      <c r="O817" s="11">
        <v>45117.0</v>
      </c>
      <c r="P817" s="11">
        <v>45159.0</v>
      </c>
      <c r="Q817" s="11"/>
      <c r="R817" s="11"/>
      <c r="S817" s="12"/>
      <c r="T817" s="8"/>
      <c r="U817" s="8" t="s">
        <v>59</v>
      </c>
      <c r="V817" s="13" t="s">
        <v>38</v>
      </c>
      <c r="W817" s="13" t="s">
        <v>4434</v>
      </c>
      <c r="X817" s="12"/>
      <c r="Y817" s="14"/>
      <c r="Z817" s="14"/>
    </row>
    <row r="818">
      <c r="A818" s="8" t="s">
        <v>4435</v>
      </c>
      <c r="B818" s="8" t="s">
        <v>4436</v>
      </c>
      <c r="C818" s="8" t="s">
        <v>179</v>
      </c>
      <c r="D818" s="8" t="s">
        <v>26</v>
      </c>
      <c r="E818" s="8" t="s">
        <v>4437</v>
      </c>
      <c r="F818" s="8">
        <v>3.372116871E9</v>
      </c>
      <c r="G818" s="8" t="s">
        <v>315</v>
      </c>
      <c r="H818" s="8" t="s">
        <v>1833</v>
      </c>
      <c r="I818" s="8" t="s">
        <v>31</v>
      </c>
      <c r="J818" s="8" t="s">
        <v>270</v>
      </c>
      <c r="K818" s="10" t="s">
        <v>4438</v>
      </c>
      <c r="L818" s="8" t="s">
        <v>58</v>
      </c>
      <c r="M818" s="8" t="s">
        <v>35</v>
      </c>
      <c r="N818" s="11">
        <v>44903.0</v>
      </c>
      <c r="O818" s="11">
        <v>44949.0</v>
      </c>
      <c r="P818" s="11">
        <v>44991.0</v>
      </c>
      <c r="Q818" s="11"/>
      <c r="R818" s="11"/>
      <c r="S818" s="12"/>
      <c r="T818" s="8"/>
      <c r="U818" s="8" t="s">
        <v>59</v>
      </c>
      <c r="V818" s="13" t="s">
        <v>1834</v>
      </c>
      <c r="W818" s="13" t="s">
        <v>4439</v>
      </c>
      <c r="X818" s="12"/>
      <c r="Y818" s="14"/>
      <c r="Z818" s="14"/>
    </row>
    <row r="819">
      <c r="A819" s="8" t="s">
        <v>4440</v>
      </c>
      <c r="B819" s="8" t="s">
        <v>4441</v>
      </c>
      <c r="C819" s="8" t="s">
        <v>179</v>
      </c>
      <c r="D819" s="8" t="s">
        <v>26</v>
      </c>
      <c r="E819" s="8" t="s">
        <v>4442</v>
      </c>
      <c r="F819" s="8"/>
      <c r="G819" s="8" t="s">
        <v>127</v>
      </c>
      <c r="H819" s="8" t="s">
        <v>128</v>
      </c>
      <c r="I819" s="8" t="s">
        <v>31</v>
      </c>
      <c r="J819" s="8" t="s">
        <v>32</v>
      </c>
      <c r="K819" s="10" t="s">
        <v>1813</v>
      </c>
      <c r="L819" s="8" t="s">
        <v>58</v>
      </c>
      <c r="M819" s="8" t="s">
        <v>35</v>
      </c>
      <c r="N819" s="11">
        <v>44903.0</v>
      </c>
      <c r="O819" s="11">
        <v>45123.0</v>
      </c>
      <c r="P819" s="11">
        <v>45165.0</v>
      </c>
      <c r="Q819" s="11"/>
      <c r="R819" s="11"/>
      <c r="S819" s="12"/>
      <c r="T819" s="8"/>
      <c r="U819" s="8" t="s">
        <v>161</v>
      </c>
      <c r="V819" s="13" t="s">
        <v>38</v>
      </c>
      <c r="W819" s="13" t="s">
        <v>4443</v>
      </c>
      <c r="X819" s="12"/>
      <c r="Y819" s="14"/>
      <c r="Z819" s="14"/>
    </row>
    <row r="820">
      <c r="A820" s="8" t="s">
        <v>4444</v>
      </c>
      <c r="B820" s="8" t="s">
        <v>4445</v>
      </c>
      <c r="C820" s="8" t="s">
        <v>64</v>
      </c>
      <c r="D820" s="8" t="s">
        <v>26</v>
      </c>
      <c r="E820" s="8" t="s">
        <v>4446</v>
      </c>
      <c r="F820" s="8"/>
      <c r="G820" s="8" t="s">
        <v>3929</v>
      </c>
      <c r="H820" s="8" t="s">
        <v>3930</v>
      </c>
      <c r="I820" s="8" t="s">
        <v>31</v>
      </c>
      <c r="J820" s="8" t="s">
        <v>56</v>
      </c>
      <c r="K820" s="10" t="s">
        <v>3197</v>
      </c>
      <c r="L820" s="8" t="s">
        <v>58</v>
      </c>
      <c r="M820" s="8" t="s">
        <v>35</v>
      </c>
      <c r="N820" s="11">
        <v>44903.0</v>
      </c>
      <c r="O820" s="11">
        <v>44912.0</v>
      </c>
      <c r="P820" s="11">
        <v>44954.0</v>
      </c>
      <c r="Q820" s="11">
        <v>44912.0</v>
      </c>
      <c r="R820" s="11">
        <v>44955.0</v>
      </c>
      <c r="S820" s="12"/>
      <c r="T820" s="8"/>
      <c r="U820" s="8" t="s">
        <v>59</v>
      </c>
      <c r="V820" s="13" t="s">
        <v>38</v>
      </c>
      <c r="W820" s="13" t="s">
        <v>4447</v>
      </c>
      <c r="X820" s="12"/>
      <c r="Y820" s="14"/>
      <c r="Z820" s="14"/>
    </row>
    <row r="821">
      <c r="A821" s="8" t="s">
        <v>4448</v>
      </c>
      <c r="B821" s="8" t="s">
        <v>4449</v>
      </c>
      <c r="C821" s="8" t="s">
        <v>179</v>
      </c>
      <c r="D821" s="8" t="s">
        <v>26</v>
      </c>
      <c r="E821" s="8" t="s">
        <v>4450</v>
      </c>
      <c r="F821" s="8">
        <v>7.73105285E8</v>
      </c>
      <c r="G821" s="8" t="s">
        <v>277</v>
      </c>
      <c r="H821" s="8" t="s">
        <v>278</v>
      </c>
      <c r="I821" s="8" t="s">
        <v>31</v>
      </c>
      <c r="J821" s="8" t="s">
        <v>220</v>
      </c>
      <c r="K821" s="10" t="s">
        <v>1772</v>
      </c>
      <c r="L821" s="8" t="s">
        <v>58</v>
      </c>
      <c r="M821" s="8" t="s">
        <v>35</v>
      </c>
      <c r="N821" s="11">
        <v>44903.0</v>
      </c>
      <c r="O821" s="11">
        <v>45145.0</v>
      </c>
      <c r="P821" s="11">
        <v>45187.0</v>
      </c>
      <c r="Q821" s="11"/>
      <c r="R821" s="11"/>
      <c r="S821" s="12"/>
      <c r="T821" s="8"/>
      <c r="U821" s="8" t="s">
        <v>59</v>
      </c>
      <c r="V821" s="13" t="s">
        <v>4451</v>
      </c>
      <c r="W821" s="13" t="s">
        <v>4452</v>
      </c>
      <c r="X821" s="12"/>
      <c r="Y821" s="14"/>
      <c r="Z821" s="14"/>
    </row>
    <row r="822">
      <c r="A822" s="8" t="s">
        <v>4453</v>
      </c>
      <c r="B822" s="8" t="s">
        <v>3454</v>
      </c>
      <c r="C822" s="8" t="s">
        <v>179</v>
      </c>
      <c r="D822" s="8" t="s">
        <v>26</v>
      </c>
      <c r="E822" s="8" t="s">
        <v>4454</v>
      </c>
      <c r="F822" s="8"/>
      <c r="G822" s="8" t="s">
        <v>54</v>
      </c>
      <c r="H822" s="8" t="s">
        <v>377</v>
      </c>
      <c r="I822" s="8" t="s">
        <v>31</v>
      </c>
      <c r="J822" s="8" t="s">
        <v>167</v>
      </c>
      <c r="K822" s="10" t="s">
        <v>3022</v>
      </c>
      <c r="L822" s="8" t="s">
        <v>58</v>
      </c>
      <c r="M822" s="8" t="s">
        <v>35</v>
      </c>
      <c r="N822" s="11">
        <v>44903.0</v>
      </c>
      <c r="O822" s="11">
        <v>45117.0</v>
      </c>
      <c r="P822" s="11">
        <v>45159.0</v>
      </c>
      <c r="Q822" s="11"/>
      <c r="R822" s="11"/>
      <c r="S822" s="12"/>
      <c r="T822" s="8"/>
      <c r="U822" s="8" t="s">
        <v>88</v>
      </c>
      <c r="V822" s="13" t="s">
        <v>38</v>
      </c>
      <c r="W822" s="13" t="s">
        <v>4455</v>
      </c>
      <c r="X822" s="12"/>
      <c r="Y822" s="14"/>
      <c r="Z822" s="14"/>
    </row>
    <row r="823">
      <c r="A823" s="8" t="s">
        <v>4456</v>
      </c>
      <c r="B823" s="8" t="s">
        <v>4457</v>
      </c>
      <c r="C823" s="8" t="s">
        <v>25</v>
      </c>
      <c r="D823" s="8" t="s">
        <v>26</v>
      </c>
      <c r="E823" s="8" t="s">
        <v>4458</v>
      </c>
      <c r="F823" s="9" t="s">
        <v>4459</v>
      </c>
      <c r="G823" s="8" t="s">
        <v>31</v>
      </c>
      <c r="H823" s="8" t="s">
        <v>111</v>
      </c>
      <c r="I823" s="8" t="s">
        <v>284</v>
      </c>
      <c r="J823" s="8" t="s">
        <v>691</v>
      </c>
      <c r="K823" s="10" t="s">
        <v>4460</v>
      </c>
      <c r="L823" s="8" t="s">
        <v>47</v>
      </c>
      <c r="M823" s="8" t="s">
        <v>35</v>
      </c>
      <c r="N823" s="11">
        <v>44904.0</v>
      </c>
      <c r="O823" s="11">
        <v>45078.0</v>
      </c>
      <c r="P823" s="11">
        <v>45141.0</v>
      </c>
      <c r="Q823" s="11">
        <v>45079.0</v>
      </c>
      <c r="R823" s="11">
        <v>45169.0</v>
      </c>
      <c r="S823" s="12"/>
      <c r="T823" s="8"/>
      <c r="U823" s="8" t="s">
        <v>4461</v>
      </c>
      <c r="V823" s="13" t="s">
        <v>111</v>
      </c>
      <c r="W823" s="13" t="s">
        <v>4462</v>
      </c>
      <c r="X823" s="12"/>
      <c r="Y823" s="14"/>
      <c r="Z823" s="14"/>
    </row>
    <row r="824">
      <c r="A824" s="8" t="s">
        <v>4463</v>
      </c>
      <c r="B824" s="8" t="s">
        <v>4464</v>
      </c>
      <c r="C824" s="8" t="s">
        <v>25</v>
      </c>
      <c r="D824" s="8" t="s">
        <v>26</v>
      </c>
      <c r="E824" s="8" t="s">
        <v>4465</v>
      </c>
      <c r="F824" s="8">
        <v>5.399158125E9</v>
      </c>
      <c r="G824" s="8" t="s">
        <v>31</v>
      </c>
      <c r="H824" s="8" t="s">
        <v>86</v>
      </c>
      <c r="I824" s="8" t="s">
        <v>221</v>
      </c>
      <c r="J824" s="8" t="s">
        <v>2735</v>
      </c>
      <c r="K824" s="10" t="s">
        <v>4466</v>
      </c>
      <c r="L824" s="8" t="s">
        <v>58</v>
      </c>
      <c r="M824" s="8" t="s">
        <v>35</v>
      </c>
      <c r="N824" s="11">
        <v>44904.0</v>
      </c>
      <c r="O824" s="11">
        <v>44941.0</v>
      </c>
      <c r="P824" s="11">
        <v>44983.0</v>
      </c>
      <c r="Q824" s="11">
        <v>44943.0</v>
      </c>
      <c r="R824" s="11">
        <v>44983.0</v>
      </c>
      <c r="S824" s="12"/>
      <c r="T824" s="8"/>
      <c r="U824" s="8" t="s">
        <v>88</v>
      </c>
      <c r="V824" s="13" t="s">
        <v>175</v>
      </c>
      <c r="W824" s="13" t="s">
        <v>4467</v>
      </c>
      <c r="X824" s="12"/>
      <c r="Y824" s="14"/>
      <c r="Z824" s="14"/>
    </row>
    <row r="825">
      <c r="A825" s="8" t="s">
        <v>4468</v>
      </c>
      <c r="B825" s="8" t="s">
        <v>4469</v>
      </c>
      <c r="C825" s="8" t="s">
        <v>25</v>
      </c>
      <c r="D825" s="8" t="s">
        <v>26</v>
      </c>
      <c r="E825" s="8" t="s">
        <v>4470</v>
      </c>
      <c r="F825" s="8">
        <v>7.054861842E9</v>
      </c>
      <c r="G825" s="8" t="s">
        <v>496</v>
      </c>
      <c r="H825" s="8" t="s">
        <v>2112</v>
      </c>
      <c r="I825" s="8" t="s">
        <v>31</v>
      </c>
      <c r="J825" s="8" t="s">
        <v>32</v>
      </c>
      <c r="K825" s="10" t="s">
        <v>1095</v>
      </c>
      <c r="L825" s="8" t="s">
        <v>58</v>
      </c>
      <c r="M825" s="8" t="s">
        <v>35</v>
      </c>
      <c r="N825" s="11">
        <v>44904.0</v>
      </c>
      <c r="O825" s="11">
        <v>45053.0</v>
      </c>
      <c r="P825" s="11">
        <v>45095.0</v>
      </c>
      <c r="Q825" s="11">
        <v>45064.0</v>
      </c>
      <c r="R825" s="11">
        <v>45106.0</v>
      </c>
      <c r="S825" s="12"/>
      <c r="T825" s="8"/>
      <c r="U825" s="8" t="s">
        <v>59</v>
      </c>
      <c r="V825" s="13" t="s">
        <v>2112</v>
      </c>
      <c r="W825" s="13" t="s">
        <v>4471</v>
      </c>
      <c r="X825" s="12"/>
      <c r="Y825" s="14"/>
      <c r="Z825" s="14"/>
    </row>
    <row r="826">
      <c r="A826" s="8" t="s">
        <v>4472</v>
      </c>
      <c r="B826" s="8" t="s">
        <v>4473</v>
      </c>
      <c r="C826" s="8" t="s">
        <v>251</v>
      </c>
      <c r="D826" s="8" t="s">
        <v>26</v>
      </c>
      <c r="E826" s="8" t="s">
        <v>4474</v>
      </c>
      <c r="F826" s="8">
        <v>9.1507913E8</v>
      </c>
      <c r="G826" s="8" t="s">
        <v>118</v>
      </c>
      <c r="H826" s="8" t="s">
        <v>4475</v>
      </c>
      <c r="I826" s="8" t="s">
        <v>31</v>
      </c>
      <c r="J826" s="8" t="s">
        <v>77</v>
      </c>
      <c r="K826" s="10" t="s">
        <v>2537</v>
      </c>
      <c r="L826" s="8" t="s">
        <v>58</v>
      </c>
      <c r="M826" s="8" t="s">
        <v>35</v>
      </c>
      <c r="N826" s="11">
        <v>44904.0</v>
      </c>
      <c r="O826" s="11">
        <v>45103.0</v>
      </c>
      <c r="P826" s="11">
        <v>45145.0</v>
      </c>
      <c r="Q826" s="11"/>
      <c r="R826" s="11"/>
      <c r="S826" s="12"/>
      <c r="T826" s="8"/>
      <c r="U826" s="8" t="s">
        <v>88</v>
      </c>
      <c r="V826" s="13" t="s">
        <v>4476</v>
      </c>
      <c r="W826" s="13" t="s">
        <v>4477</v>
      </c>
      <c r="X826" s="12"/>
      <c r="Y826" s="14"/>
      <c r="Z826" s="14"/>
    </row>
    <row r="827">
      <c r="A827" s="8" t="s">
        <v>4478</v>
      </c>
      <c r="B827" s="8" t="s">
        <v>4479</v>
      </c>
      <c r="C827" s="8" t="s">
        <v>25</v>
      </c>
      <c r="D827" s="8" t="s">
        <v>26</v>
      </c>
      <c r="E827" s="8" t="s">
        <v>4480</v>
      </c>
      <c r="F827" s="8">
        <v>7.70661388E8</v>
      </c>
      <c r="G827" s="8" t="s">
        <v>127</v>
      </c>
      <c r="H827" s="8" t="s">
        <v>363</v>
      </c>
      <c r="I827" s="8" t="s">
        <v>31</v>
      </c>
      <c r="J827" s="8" t="s">
        <v>256</v>
      </c>
      <c r="K827" s="10" t="s">
        <v>3411</v>
      </c>
      <c r="L827" s="8" t="s">
        <v>58</v>
      </c>
      <c r="M827" s="8" t="s">
        <v>35</v>
      </c>
      <c r="N827" s="11">
        <v>44904.0</v>
      </c>
      <c r="O827" s="11">
        <v>45141.0</v>
      </c>
      <c r="P827" s="11">
        <v>45183.0</v>
      </c>
      <c r="Q827" s="11">
        <v>45141.0</v>
      </c>
      <c r="R827" s="11">
        <v>45183.0</v>
      </c>
      <c r="S827" s="12"/>
      <c r="T827" s="8"/>
      <c r="U827" s="8" t="s">
        <v>59</v>
      </c>
      <c r="V827" s="13" t="s">
        <v>4481</v>
      </c>
      <c r="W827" s="13" t="s">
        <v>4482</v>
      </c>
      <c r="X827" s="12"/>
      <c r="Y827" s="14"/>
      <c r="Z827" s="14"/>
    </row>
    <row r="828">
      <c r="A828" s="8" t="s">
        <v>4483</v>
      </c>
      <c r="B828" s="8" t="s">
        <v>4484</v>
      </c>
      <c r="C828" s="8" t="s">
        <v>179</v>
      </c>
      <c r="D828" s="8" t="s">
        <v>26</v>
      </c>
      <c r="E828" s="8" t="s">
        <v>4485</v>
      </c>
      <c r="F828" s="8">
        <v>7.475181157E9</v>
      </c>
      <c r="G828" s="8" t="s">
        <v>496</v>
      </c>
      <c r="H828" s="8" t="s">
        <v>2112</v>
      </c>
      <c r="I828" s="8" t="s">
        <v>31</v>
      </c>
      <c r="J828" s="8" t="s">
        <v>86</v>
      </c>
      <c r="K828" s="10" t="s">
        <v>416</v>
      </c>
      <c r="L828" s="8" t="s">
        <v>58</v>
      </c>
      <c r="M828" s="8" t="s">
        <v>35</v>
      </c>
      <c r="N828" s="11">
        <v>44904.0</v>
      </c>
      <c r="O828" s="11">
        <v>45082.0</v>
      </c>
      <c r="P828" s="11">
        <v>45124.0</v>
      </c>
      <c r="Q828" s="11"/>
      <c r="R828" s="11"/>
      <c r="S828" s="12"/>
      <c r="T828" s="8"/>
      <c r="U828" s="8" t="s">
        <v>59</v>
      </c>
      <c r="V828" s="13" t="s">
        <v>2112</v>
      </c>
      <c r="W828" s="13" t="s">
        <v>4486</v>
      </c>
      <c r="X828" s="12"/>
      <c r="Y828" s="14"/>
      <c r="Z828" s="14"/>
    </row>
    <row r="829">
      <c r="A829" s="8" t="s">
        <v>4487</v>
      </c>
      <c r="B829" s="8" t="s">
        <v>4488</v>
      </c>
      <c r="C829" s="8" t="s">
        <v>25</v>
      </c>
      <c r="D829" s="8" t="s">
        <v>26</v>
      </c>
      <c r="E829" s="8" t="s">
        <v>4489</v>
      </c>
      <c r="F829" s="8">
        <v>1.7683427323E10</v>
      </c>
      <c r="G829" s="8" t="s">
        <v>202</v>
      </c>
      <c r="H829" s="8" t="s">
        <v>3733</v>
      </c>
      <c r="I829" s="8" t="s">
        <v>31</v>
      </c>
      <c r="J829" s="8" t="s">
        <v>77</v>
      </c>
      <c r="K829" s="10" t="s">
        <v>2341</v>
      </c>
      <c r="L829" s="8" t="s">
        <v>34</v>
      </c>
      <c r="M829" s="8" t="s">
        <v>35</v>
      </c>
      <c r="N829" s="11">
        <v>44904.0</v>
      </c>
      <c r="O829" s="11">
        <v>44935.0</v>
      </c>
      <c r="P829" s="11">
        <v>44994.0</v>
      </c>
      <c r="Q829" s="11">
        <v>44935.0</v>
      </c>
      <c r="R829" s="11">
        <v>44995.0</v>
      </c>
      <c r="S829" s="12"/>
      <c r="T829" s="8" t="s">
        <v>121</v>
      </c>
      <c r="U829" s="8" t="s">
        <v>2342</v>
      </c>
      <c r="V829" s="13" t="s">
        <v>4490</v>
      </c>
      <c r="W829" s="13" t="s">
        <v>4491</v>
      </c>
      <c r="X829" s="12"/>
      <c r="Y829" s="14"/>
      <c r="Z829" s="14"/>
    </row>
    <row r="830">
      <c r="A830" s="8" t="s">
        <v>4492</v>
      </c>
      <c r="B830" s="8" t="s">
        <v>4493</v>
      </c>
      <c r="C830" s="8" t="s">
        <v>179</v>
      </c>
      <c r="D830" s="8" t="s">
        <v>26</v>
      </c>
      <c r="E830" s="8" t="s">
        <v>4494</v>
      </c>
      <c r="F830" s="8">
        <v>9.971761051E9</v>
      </c>
      <c r="G830" s="8" t="s">
        <v>44</v>
      </c>
      <c r="H830" s="8" t="s">
        <v>1433</v>
      </c>
      <c r="I830" s="8" t="s">
        <v>31</v>
      </c>
      <c r="J830" s="8" t="s">
        <v>86</v>
      </c>
      <c r="K830" s="10" t="s">
        <v>578</v>
      </c>
      <c r="L830" s="8" t="s">
        <v>58</v>
      </c>
      <c r="M830" s="8" t="s">
        <v>35</v>
      </c>
      <c r="N830" s="11">
        <v>44905.0</v>
      </c>
      <c r="O830" s="11">
        <v>45117.0</v>
      </c>
      <c r="P830" s="11">
        <v>45159.0</v>
      </c>
      <c r="Q830" s="11"/>
      <c r="R830" s="11"/>
      <c r="S830" s="12"/>
      <c r="T830" s="8"/>
      <c r="U830" s="8" t="s">
        <v>59</v>
      </c>
      <c r="V830" s="13" t="s">
        <v>3622</v>
      </c>
      <c r="W830" s="13" t="s">
        <v>4495</v>
      </c>
      <c r="X830" s="12"/>
      <c r="Y830" s="14"/>
      <c r="Z830" s="14"/>
    </row>
    <row r="831">
      <c r="A831" s="8" t="s">
        <v>4496</v>
      </c>
      <c r="B831" s="8" t="s">
        <v>2202</v>
      </c>
      <c r="C831" s="8" t="s">
        <v>64</v>
      </c>
      <c r="D831" s="8" t="s">
        <v>26</v>
      </c>
      <c r="E831" s="8" t="s">
        <v>2203</v>
      </c>
      <c r="F831" s="8">
        <v>9.92031201E9</v>
      </c>
      <c r="G831" s="8" t="s">
        <v>44</v>
      </c>
      <c r="H831" s="8" t="s">
        <v>2204</v>
      </c>
      <c r="I831" s="8" t="s">
        <v>31</v>
      </c>
      <c r="J831" s="8" t="s">
        <v>77</v>
      </c>
      <c r="K831" s="10" t="s">
        <v>1281</v>
      </c>
      <c r="L831" s="8" t="s">
        <v>58</v>
      </c>
      <c r="M831" s="8" t="s">
        <v>35</v>
      </c>
      <c r="N831" s="11">
        <v>44905.0</v>
      </c>
      <c r="O831" s="11">
        <v>44918.0</v>
      </c>
      <c r="P831" s="11">
        <v>44960.0</v>
      </c>
      <c r="Q831" s="11">
        <v>44922.0</v>
      </c>
      <c r="R831" s="11">
        <v>44964.0</v>
      </c>
      <c r="S831" s="12"/>
      <c r="T831" s="8"/>
      <c r="U831" s="8" t="s">
        <v>59</v>
      </c>
      <c r="V831" s="13" t="s">
        <v>2205</v>
      </c>
      <c r="W831" s="13" t="s">
        <v>2206</v>
      </c>
      <c r="X831" s="12"/>
      <c r="Y831" s="14"/>
      <c r="Z831" s="14"/>
    </row>
    <row r="832">
      <c r="A832" s="8" t="s">
        <v>4497</v>
      </c>
      <c r="B832" s="8" t="s">
        <v>4498</v>
      </c>
      <c r="C832" s="8" t="s">
        <v>64</v>
      </c>
      <c r="D832" s="8" t="s">
        <v>26</v>
      </c>
      <c r="E832" s="8" t="s">
        <v>4499</v>
      </c>
      <c r="F832" s="8"/>
      <c r="G832" s="8" t="s">
        <v>466</v>
      </c>
      <c r="H832" s="8" t="s">
        <v>4500</v>
      </c>
      <c r="I832" s="8" t="s">
        <v>31</v>
      </c>
      <c r="J832" s="8" t="s">
        <v>32</v>
      </c>
      <c r="K832" s="10" t="s">
        <v>1813</v>
      </c>
      <c r="L832" s="8" t="s">
        <v>58</v>
      </c>
      <c r="M832" s="8" t="s">
        <v>35</v>
      </c>
      <c r="N832" s="11">
        <v>44905.0</v>
      </c>
      <c r="O832" s="11">
        <v>45039.0</v>
      </c>
      <c r="P832" s="11">
        <v>45081.0</v>
      </c>
      <c r="Q832" s="11">
        <v>45041.0</v>
      </c>
      <c r="R832" s="11">
        <v>45081.0</v>
      </c>
      <c r="S832" s="12"/>
      <c r="T832" s="8"/>
      <c r="U832" s="8" t="s">
        <v>161</v>
      </c>
      <c r="V832" s="13" t="s">
        <v>38</v>
      </c>
      <c r="W832" s="13" t="s">
        <v>4501</v>
      </c>
      <c r="X832" s="12"/>
      <c r="Y832" s="14"/>
      <c r="Z832" s="14"/>
    </row>
    <row r="833">
      <c r="A833" s="8" t="s">
        <v>4502</v>
      </c>
      <c r="B833" s="8" t="s">
        <v>4503</v>
      </c>
      <c r="C833" s="8" t="s">
        <v>25</v>
      </c>
      <c r="D833" s="8" t="s">
        <v>26</v>
      </c>
      <c r="E833" s="8" t="s">
        <v>4504</v>
      </c>
      <c r="F833" s="8">
        <v>9.39615227E8</v>
      </c>
      <c r="G833" s="8" t="s">
        <v>118</v>
      </c>
      <c r="H833" s="8" t="s">
        <v>4475</v>
      </c>
      <c r="I833" s="8" t="s">
        <v>31</v>
      </c>
      <c r="J833" s="8" t="s">
        <v>77</v>
      </c>
      <c r="K833" s="10" t="s">
        <v>2537</v>
      </c>
      <c r="L833" s="8" t="s">
        <v>58</v>
      </c>
      <c r="M833" s="8" t="s">
        <v>35</v>
      </c>
      <c r="N833" s="11">
        <v>44905.0</v>
      </c>
      <c r="O833" s="11">
        <v>45117.0</v>
      </c>
      <c r="P833" s="11">
        <v>45159.0</v>
      </c>
      <c r="Q833" s="11">
        <v>45117.0</v>
      </c>
      <c r="R833" s="11">
        <v>45159.0</v>
      </c>
      <c r="S833" s="12"/>
      <c r="T833" s="8"/>
      <c r="U833" s="8" t="s">
        <v>88</v>
      </c>
      <c r="V833" s="13" t="s">
        <v>4476</v>
      </c>
      <c r="W833" s="13" t="s">
        <v>4505</v>
      </c>
      <c r="X833" s="12"/>
      <c r="Y833" s="14"/>
      <c r="Z833" s="14"/>
    </row>
    <row r="834">
      <c r="A834" s="8" t="s">
        <v>4506</v>
      </c>
      <c r="B834" s="8" t="s">
        <v>4507</v>
      </c>
      <c r="C834" s="8" t="s">
        <v>25</v>
      </c>
      <c r="D834" s="8" t="s">
        <v>26</v>
      </c>
      <c r="E834" s="8" t="s">
        <v>4508</v>
      </c>
      <c r="F834" s="8">
        <v>5.532190243E9</v>
      </c>
      <c r="G834" s="8" t="s">
        <v>31</v>
      </c>
      <c r="H834" s="8" t="s">
        <v>86</v>
      </c>
      <c r="I834" s="8" t="s">
        <v>44</v>
      </c>
      <c r="J834" s="8" t="s">
        <v>453</v>
      </c>
      <c r="K834" s="10" t="s">
        <v>3060</v>
      </c>
      <c r="L834" s="8" t="s">
        <v>58</v>
      </c>
      <c r="M834" s="8" t="s">
        <v>35</v>
      </c>
      <c r="N834" s="11">
        <v>44905.0</v>
      </c>
      <c r="O834" s="11">
        <v>45122.0</v>
      </c>
      <c r="P834" s="11">
        <v>45164.0</v>
      </c>
      <c r="Q834" s="11">
        <v>45121.0</v>
      </c>
      <c r="R834" s="11">
        <v>45164.0</v>
      </c>
      <c r="S834" s="12"/>
      <c r="T834" s="8"/>
      <c r="U834" s="8" t="s">
        <v>371</v>
      </c>
      <c r="V834" s="13" t="s">
        <v>175</v>
      </c>
      <c r="W834" s="13" t="s">
        <v>4509</v>
      </c>
      <c r="X834" s="12"/>
      <c r="Y834" s="14"/>
      <c r="Z834" s="14"/>
    </row>
    <row r="835">
      <c r="A835" s="8" t="s">
        <v>4510</v>
      </c>
      <c r="B835" s="8" t="s">
        <v>4511</v>
      </c>
      <c r="C835" s="8" t="s">
        <v>179</v>
      </c>
      <c r="D835" s="8" t="s">
        <v>26</v>
      </c>
      <c r="E835" s="8" t="s">
        <v>4512</v>
      </c>
      <c r="F835" s="8">
        <v>9.920798149E9</v>
      </c>
      <c r="G835" s="8" t="s">
        <v>44</v>
      </c>
      <c r="H835" s="8" t="s">
        <v>45</v>
      </c>
      <c r="I835" s="8" t="s">
        <v>31</v>
      </c>
      <c r="J835" s="8" t="s">
        <v>32</v>
      </c>
      <c r="K835" s="10" t="s">
        <v>2470</v>
      </c>
      <c r="L835" s="8" t="s">
        <v>58</v>
      </c>
      <c r="M835" s="8" t="s">
        <v>35</v>
      </c>
      <c r="N835" s="11">
        <v>44905.0</v>
      </c>
      <c r="O835" s="11">
        <v>45025.0</v>
      </c>
      <c r="P835" s="11">
        <v>45067.0</v>
      </c>
      <c r="Q835" s="11"/>
      <c r="R835" s="11"/>
      <c r="S835" s="12"/>
      <c r="T835" s="8"/>
      <c r="U835" s="8" t="s">
        <v>59</v>
      </c>
      <c r="V835" s="13" t="s">
        <v>45</v>
      </c>
      <c r="W835" s="13" t="s">
        <v>4513</v>
      </c>
      <c r="X835" s="12"/>
      <c r="Y835" s="14"/>
      <c r="Z835" s="14"/>
    </row>
    <row r="836">
      <c r="A836" s="8" t="s">
        <v>4514</v>
      </c>
      <c r="B836" s="8" t="s">
        <v>4515</v>
      </c>
      <c r="C836" s="8" t="s">
        <v>25</v>
      </c>
      <c r="D836" s="8" t="s">
        <v>26</v>
      </c>
      <c r="E836" s="8" t="s">
        <v>4516</v>
      </c>
      <c r="F836" s="8">
        <v>5.071500108E9</v>
      </c>
      <c r="G836" s="8" t="s">
        <v>31</v>
      </c>
      <c r="H836" s="8" t="s">
        <v>32</v>
      </c>
      <c r="I836" s="8" t="s">
        <v>127</v>
      </c>
      <c r="J836" s="8" t="s">
        <v>2182</v>
      </c>
      <c r="K836" s="10" t="s">
        <v>4517</v>
      </c>
      <c r="L836" s="8" t="s">
        <v>58</v>
      </c>
      <c r="M836" s="8" t="s">
        <v>35</v>
      </c>
      <c r="N836" s="11">
        <v>44905.0</v>
      </c>
      <c r="O836" s="11">
        <v>45089.0</v>
      </c>
      <c r="P836" s="11">
        <v>45131.0</v>
      </c>
      <c r="Q836" s="11">
        <v>45089.0</v>
      </c>
      <c r="R836" s="11">
        <v>45131.0</v>
      </c>
      <c r="S836" s="12"/>
      <c r="T836" s="8"/>
      <c r="U836" s="8" t="s">
        <v>59</v>
      </c>
      <c r="V836" s="13" t="s">
        <v>4518</v>
      </c>
      <c r="W836" s="13" t="s">
        <v>4519</v>
      </c>
      <c r="X836" s="12"/>
      <c r="Y836" s="14"/>
      <c r="Z836" s="14"/>
    </row>
    <row r="837">
      <c r="A837" s="8" t="s">
        <v>4520</v>
      </c>
      <c r="B837" s="8" t="s">
        <v>4521</v>
      </c>
      <c r="C837" s="8" t="s">
        <v>64</v>
      </c>
      <c r="D837" s="8" t="s">
        <v>26</v>
      </c>
      <c r="E837" s="8" t="s">
        <v>4522</v>
      </c>
      <c r="F837" s="8"/>
      <c r="G837" s="8" t="s">
        <v>31</v>
      </c>
      <c r="H837" s="8" t="s">
        <v>77</v>
      </c>
      <c r="I837" s="8" t="s">
        <v>44</v>
      </c>
      <c r="J837" s="8" t="s">
        <v>4170</v>
      </c>
      <c r="K837" s="10" t="s">
        <v>4523</v>
      </c>
      <c r="L837" s="8" t="s">
        <v>34</v>
      </c>
      <c r="M837" s="8" t="s">
        <v>35</v>
      </c>
      <c r="N837" s="11">
        <v>44905.0</v>
      </c>
      <c r="O837" s="11">
        <v>44977.0</v>
      </c>
      <c r="P837" s="11">
        <v>45032.0</v>
      </c>
      <c r="Q837" s="11">
        <v>44936.0</v>
      </c>
      <c r="R837" s="11">
        <v>45032.0</v>
      </c>
      <c r="S837" s="12"/>
      <c r="T837" s="8" t="s">
        <v>224</v>
      </c>
      <c r="U837" s="8" t="s">
        <v>4524</v>
      </c>
      <c r="V837" s="13" t="s">
        <v>38</v>
      </c>
      <c r="W837" s="13" t="s">
        <v>4525</v>
      </c>
      <c r="X837" s="12"/>
      <c r="Y837" s="14"/>
      <c r="Z837" s="14"/>
    </row>
    <row r="838">
      <c r="A838" s="8" t="s">
        <v>4526</v>
      </c>
      <c r="B838" s="8" t="s">
        <v>4527</v>
      </c>
      <c r="C838" s="8" t="s">
        <v>25</v>
      </c>
      <c r="D838" s="8" t="s">
        <v>26</v>
      </c>
      <c r="E838" s="8" t="s">
        <v>4528</v>
      </c>
      <c r="F838" s="8"/>
      <c r="G838" s="8" t="s">
        <v>127</v>
      </c>
      <c r="H838" s="8" t="s">
        <v>128</v>
      </c>
      <c r="I838" s="8" t="s">
        <v>31</v>
      </c>
      <c r="J838" s="8" t="s">
        <v>77</v>
      </c>
      <c r="K838" s="10" t="s">
        <v>4188</v>
      </c>
      <c r="L838" s="8" t="s">
        <v>58</v>
      </c>
      <c r="M838" s="8" t="s">
        <v>35</v>
      </c>
      <c r="N838" s="11">
        <v>44906.0</v>
      </c>
      <c r="O838" s="11">
        <v>45110.0</v>
      </c>
      <c r="P838" s="11">
        <v>45152.0</v>
      </c>
      <c r="Q838" s="11">
        <v>45110.0</v>
      </c>
      <c r="R838" s="11">
        <v>45152.0</v>
      </c>
      <c r="S838" s="12"/>
      <c r="T838" s="8"/>
      <c r="U838" s="8" t="s">
        <v>59</v>
      </c>
      <c r="V838" s="13" t="s">
        <v>38</v>
      </c>
      <c r="W838" s="13" t="s">
        <v>4529</v>
      </c>
      <c r="X838" s="12"/>
      <c r="Y838" s="14"/>
      <c r="Z838" s="14"/>
    </row>
    <row r="839">
      <c r="A839" s="8" t="s">
        <v>4530</v>
      </c>
      <c r="B839" s="8" t="s">
        <v>4531</v>
      </c>
      <c r="C839" s="8" t="s">
        <v>25</v>
      </c>
      <c r="D839" s="8" t="s">
        <v>26</v>
      </c>
      <c r="E839" s="8" t="s">
        <v>4532</v>
      </c>
      <c r="F839" s="8" t="s">
        <v>4533</v>
      </c>
      <c r="G839" s="8" t="s">
        <v>84</v>
      </c>
      <c r="H839" s="8" t="s">
        <v>1234</v>
      </c>
      <c r="I839" s="8" t="s">
        <v>31</v>
      </c>
      <c r="J839" s="8" t="s">
        <v>438</v>
      </c>
      <c r="K839" s="10" t="s">
        <v>4534</v>
      </c>
      <c r="L839" s="8" t="s">
        <v>47</v>
      </c>
      <c r="M839" s="8" t="s">
        <v>70</v>
      </c>
      <c r="N839" s="11">
        <v>44906.0</v>
      </c>
      <c r="O839" s="11">
        <v>44932.0</v>
      </c>
      <c r="P839" s="11">
        <v>45296.0</v>
      </c>
      <c r="Q839" s="11">
        <v>44932.0</v>
      </c>
      <c r="R839" s="11">
        <v>45129.0</v>
      </c>
      <c r="S839" s="12"/>
      <c r="T839" s="8"/>
      <c r="U839" s="8" t="s">
        <v>246</v>
      </c>
      <c r="V839" s="13" t="s">
        <v>1237</v>
      </c>
      <c r="W839" s="13" t="s">
        <v>4535</v>
      </c>
      <c r="X839" s="12"/>
      <c r="Y839" s="14"/>
      <c r="Z839" s="14"/>
    </row>
    <row r="840">
      <c r="A840" s="8" t="s">
        <v>4536</v>
      </c>
      <c r="B840" s="8" t="s">
        <v>4537</v>
      </c>
      <c r="C840" s="8" t="s">
        <v>179</v>
      </c>
      <c r="D840" s="8" t="s">
        <v>26</v>
      </c>
      <c r="E840" s="8" t="s">
        <v>4538</v>
      </c>
      <c r="F840" s="8">
        <v>1.14766366E9</v>
      </c>
      <c r="G840" s="8" t="s">
        <v>284</v>
      </c>
      <c r="H840" s="8" t="s">
        <v>691</v>
      </c>
      <c r="I840" s="8" t="s">
        <v>399</v>
      </c>
      <c r="J840" s="8" t="s">
        <v>415</v>
      </c>
      <c r="K840" s="10" t="s">
        <v>1199</v>
      </c>
      <c r="L840" s="8" t="s">
        <v>58</v>
      </c>
      <c r="M840" s="8" t="s">
        <v>35</v>
      </c>
      <c r="N840" s="11">
        <v>44906.0</v>
      </c>
      <c r="O840" s="11">
        <v>45185.0</v>
      </c>
      <c r="P840" s="11">
        <v>45227.0</v>
      </c>
      <c r="Q840" s="11"/>
      <c r="R840" s="11"/>
      <c r="S840" s="12"/>
      <c r="T840" s="8"/>
      <c r="U840" s="8" t="s">
        <v>1038</v>
      </c>
      <c r="V840" s="13" t="s">
        <v>692</v>
      </c>
      <c r="W840" s="13" t="s">
        <v>4539</v>
      </c>
      <c r="X840" s="12"/>
      <c r="Y840" s="14"/>
      <c r="Z840" s="14"/>
    </row>
    <row r="841">
      <c r="A841" s="8" t="s">
        <v>4540</v>
      </c>
      <c r="B841" s="8" t="s">
        <v>4541</v>
      </c>
      <c r="C841" s="8" t="s">
        <v>25</v>
      </c>
      <c r="D841" s="8" t="s">
        <v>26</v>
      </c>
      <c r="E841" s="8" t="s">
        <v>4542</v>
      </c>
      <c r="F841" s="8">
        <v>5.051561401E9</v>
      </c>
      <c r="G841" s="8" t="s">
        <v>31</v>
      </c>
      <c r="H841" s="8" t="s">
        <v>86</v>
      </c>
      <c r="I841" s="8" t="s">
        <v>127</v>
      </c>
      <c r="J841" s="8" t="s">
        <v>128</v>
      </c>
      <c r="K841" s="10" t="s">
        <v>4543</v>
      </c>
      <c r="L841" s="8" t="s">
        <v>58</v>
      </c>
      <c r="M841" s="8" t="s">
        <v>35</v>
      </c>
      <c r="N841" s="11">
        <v>44907.0</v>
      </c>
      <c r="O841" s="11">
        <v>45096.0</v>
      </c>
      <c r="P841" s="11">
        <v>45138.0</v>
      </c>
      <c r="Q841" s="11">
        <v>45096.0</v>
      </c>
      <c r="R841" s="11">
        <v>45138.0</v>
      </c>
      <c r="S841" s="12"/>
      <c r="T841" s="8"/>
      <c r="U841" s="8" t="s">
        <v>130</v>
      </c>
      <c r="V841" s="13" t="s">
        <v>175</v>
      </c>
      <c r="W841" s="13" t="s">
        <v>4544</v>
      </c>
      <c r="X841" s="12"/>
      <c r="Y841" s="14"/>
      <c r="Z841" s="14"/>
    </row>
    <row r="842">
      <c r="A842" s="8" t="s">
        <v>4545</v>
      </c>
      <c r="B842" s="8" t="s">
        <v>4546</v>
      </c>
      <c r="C842" s="8" t="s">
        <v>25</v>
      </c>
      <c r="D842" s="8" t="s">
        <v>26</v>
      </c>
      <c r="E842" s="8" t="s">
        <v>4547</v>
      </c>
      <c r="F842" s="8">
        <v>5.313392997E9</v>
      </c>
      <c r="G842" s="8" t="s">
        <v>31</v>
      </c>
      <c r="H842" s="8" t="s">
        <v>56</v>
      </c>
      <c r="I842" s="8" t="s">
        <v>127</v>
      </c>
      <c r="J842" s="8" t="s">
        <v>128</v>
      </c>
      <c r="K842" s="10" t="s">
        <v>4543</v>
      </c>
      <c r="L842" s="8" t="s">
        <v>58</v>
      </c>
      <c r="M842" s="8" t="s">
        <v>35</v>
      </c>
      <c r="N842" s="11">
        <v>44907.0</v>
      </c>
      <c r="O842" s="11">
        <v>45096.0</v>
      </c>
      <c r="P842" s="11">
        <v>45138.0</v>
      </c>
      <c r="Q842" s="11">
        <v>45096.0</v>
      </c>
      <c r="R842" s="11">
        <v>45138.0</v>
      </c>
      <c r="S842" s="12"/>
      <c r="T842" s="8"/>
      <c r="U842" s="8" t="s">
        <v>130</v>
      </c>
      <c r="V842" s="13" t="s">
        <v>56</v>
      </c>
      <c r="W842" s="13" t="s">
        <v>4548</v>
      </c>
      <c r="X842" s="12"/>
      <c r="Y842" s="14"/>
      <c r="Z842" s="14"/>
    </row>
    <row r="843">
      <c r="A843" s="8" t="s">
        <v>4549</v>
      </c>
      <c r="B843" s="8" t="s">
        <v>4550</v>
      </c>
      <c r="C843" s="8" t="s">
        <v>179</v>
      </c>
      <c r="D843" s="8" t="s">
        <v>26</v>
      </c>
      <c r="E843" s="8" t="s">
        <v>4551</v>
      </c>
      <c r="F843" s="8">
        <v>5.431836289E9</v>
      </c>
      <c r="G843" s="8" t="s">
        <v>31</v>
      </c>
      <c r="H843" s="8" t="s">
        <v>56</v>
      </c>
      <c r="I843" s="8" t="s">
        <v>44</v>
      </c>
      <c r="J843" s="8" t="s">
        <v>741</v>
      </c>
      <c r="K843" s="10" t="s">
        <v>4552</v>
      </c>
      <c r="L843" s="8" t="s">
        <v>58</v>
      </c>
      <c r="M843" s="8" t="s">
        <v>35</v>
      </c>
      <c r="N843" s="11">
        <v>44907.0</v>
      </c>
      <c r="O843" s="11">
        <v>45109.0</v>
      </c>
      <c r="P843" s="11">
        <v>45151.0</v>
      </c>
      <c r="Q843" s="11"/>
      <c r="R843" s="11"/>
      <c r="S843" s="12"/>
      <c r="T843" s="8"/>
      <c r="U843" s="8" t="s">
        <v>371</v>
      </c>
      <c r="V843" s="13" t="s">
        <v>56</v>
      </c>
      <c r="W843" s="13" t="s">
        <v>4553</v>
      </c>
      <c r="X843" s="12"/>
      <c r="Y843" s="14"/>
      <c r="Z843" s="14"/>
    </row>
    <row r="844">
      <c r="A844" s="8" t="s">
        <v>4554</v>
      </c>
      <c r="B844" s="8" t="s">
        <v>4555</v>
      </c>
      <c r="C844" s="8" t="s">
        <v>708</v>
      </c>
      <c r="D844" s="8" t="s">
        <v>26</v>
      </c>
      <c r="E844" s="8" t="s">
        <v>4556</v>
      </c>
      <c r="F844" s="8">
        <v>5.317859187E9</v>
      </c>
      <c r="G844" s="8" t="s">
        <v>254</v>
      </c>
      <c r="H844" s="8" t="s">
        <v>1484</v>
      </c>
      <c r="I844" s="8" t="s">
        <v>31</v>
      </c>
      <c r="J844" s="8" t="s">
        <v>86</v>
      </c>
      <c r="K844" s="10" t="s">
        <v>2404</v>
      </c>
      <c r="L844" s="8" t="s">
        <v>34</v>
      </c>
      <c r="M844" s="8" t="s">
        <v>70</v>
      </c>
      <c r="N844" s="11">
        <v>44907.0</v>
      </c>
      <c r="O844" s="11">
        <v>44935.0</v>
      </c>
      <c r="P844" s="11">
        <v>45471.0</v>
      </c>
      <c r="Q844" s="11">
        <v>45012.0</v>
      </c>
      <c r="R844" s="11">
        <v>45562.0</v>
      </c>
      <c r="S844" s="12"/>
      <c r="T844" s="8" t="s">
        <v>36</v>
      </c>
      <c r="U844" s="8" t="s">
        <v>2405</v>
      </c>
      <c r="V844" s="13" t="s">
        <v>258</v>
      </c>
      <c r="W844" s="13" t="s">
        <v>4557</v>
      </c>
      <c r="X844" s="12"/>
      <c r="Y844" s="14"/>
      <c r="Z844" s="14"/>
    </row>
    <row r="845">
      <c r="A845" s="8" t="s">
        <v>4558</v>
      </c>
      <c r="B845" s="8" t="s">
        <v>4559</v>
      </c>
      <c r="C845" s="8" t="s">
        <v>25</v>
      </c>
      <c r="D845" s="8" t="s">
        <v>26</v>
      </c>
      <c r="E845" s="8" t="s">
        <v>4560</v>
      </c>
      <c r="F845" s="8">
        <v>7.73946941E8</v>
      </c>
      <c r="G845" s="8" t="s">
        <v>127</v>
      </c>
      <c r="H845" s="8" t="s">
        <v>128</v>
      </c>
      <c r="I845" s="8" t="s">
        <v>31</v>
      </c>
      <c r="J845" s="8" t="s">
        <v>77</v>
      </c>
      <c r="K845" s="10" t="s">
        <v>4188</v>
      </c>
      <c r="L845" s="8" t="s">
        <v>58</v>
      </c>
      <c r="M845" s="8" t="s">
        <v>35</v>
      </c>
      <c r="N845" s="11">
        <v>44907.0</v>
      </c>
      <c r="O845" s="11">
        <v>45138.0</v>
      </c>
      <c r="P845" s="11">
        <v>45180.0</v>
      </c>
      <c r="Q845" s="11">
        <v>45138.0</v>
      </c>
      <c r="R845" s="11">
        <v>45180.0</v>
      </c>
      <c r="S845" s="12"/>
      <c r="T845" s="8"/>
      <c r="U845" s="8" t="s">
        <v>59</v>
      </c>
      <c r="V845" s="13" t="s">
        <v>4561</v>
      </c>
      <c r="W845" s="13" t="s">
        <v>4562</v>
      </c>
      <c r="X845" s="12"/>
      <c r="Y845" s="14"/>
      <c r="Z845" s="14"/>
    </row>
    <row r="846">
      <c r="A846" s="8" t="s">
        <v>4563</v>
      </c>
      <c r="B846" s="8" t="s">
        <v>4564</v>
      </c>
      <c r="C846" s="8" t="s">
        <v>25</v>
      </c>
      <c r="D846" s="8" t="s">
        <v>26</v>
      </c>
      <c r="E846" s="8" t="s">
        <v>4565</v>
      </c>
      <c r="F846" s="8">
        <v>5.447267248E9</v>
      </c>
      <c r="G846" s="8" t="s">
        <v>31</v>
      </c>
      <c r="H846" s="8" t="s">
        <v>542</v>
      </c>
      <c r="I846" s="8" t="s">
        <v>127</v>
      </c>
      <c r="J846" s="8" t="s">
        <v>128</v>
      </c>
      <c r="K846" s="10" t="s">
        <v>4566</v>
      </c>
      <c r="L846" s="8" t="s">
        <v>58</v>
      </c>
      <c r="M846" s="8" t="s">
        <v>35</v>
      </c>
      <c r="N846" s="11">
        <v>44908.0</v>
      </c>
      <c r="O846" s="11">
        <v>45124.0</v>
      </c>
      <c r="P846" s="11">
        <v>45166.0</v>
      </c>
      <c r="Q846" s="11">
        <v>45124.0</v>
      </c>
      <c r="R846" s="11">
        <v>45166.0</v>
      </c>
      <c r="S846" s="12"/>
      <c r="T846" s="8"/>
      <c r="U846" s="8" t="s">
        <v>59</v>
      </c>
      <c r="V846" s="13" t="s">
        <v>545</v>
      </c>
      <c r="W846" s="13" t="s">
        <v>4567</v>
      </c>
      <c r="X846" s="12"/>
      <c r="Y846" s="14"/>
      <c r="Z846" s="14"/>
    </row>
    <row r="847">
      <c r="A847" s="8" t="s">
        <v>4568</v>
      </c>
      <c r="B847" s="8" t="s">
        <v>4569</v>
      </c>
      <c r="C847" s="8" t="s">
        <v>25</v>
      </c>
      <c r="D847" s="8" t="s">
        <v>26</v>
      </c>
      <c r="E847" s="8" t="s">
        <v>4570</v>
      </c>
      <c r="F847" s="8"/>
      <c r="G847" s="8" t="s">
        <v>31</v>
      </c>
      <c r="H847" s="8" t="s">
        <v>56</v>
      </c>
      <c r="I847" s="8" t="s">
        <v>127</v>
      </c>
      <c r="J847" s="8" t="s">
        <v>128</v>
      </c>
      <c r="K847" s="10" t="s">
        <v>4571</v>
      </c>
      <c r="L847" s="8" t="s">
        <v>58</v>
      </c>
      <c r="M847" s="8" t="s">
        <v>35</v>
      </c>
      <c r="N847" s="11">
        <v>44908.0</v>
      </c>
      <c r="O847" s="11">
        <v>45096.0</v>
      </c>
      <c r="P847" s="11">
        <v>45138.0</v>
      </c>
      <c r="Q847" s="11">
        <v>45100.0</v>
      </c>
      <c r="R847" s="11">
        <v>45140.0</v>
      </c>
      <c r="S847" s="12"/>
      <c r="T847" s="8"/>
      <c r="U847" s="8" t="s">
        <v>371</v>
      </c>
      <c r="V847" s="13" t="s">
        <v>38</v>
      </c>
      <c r="W847" s="13" t="s">
        <v>4572</v>
      </c>
      <c r="X847" s="12"/>
      <c r="Y847" s="14"/>
      <c r="Z847" s="14"/>
    </row>
    <row r="848">
      <c r="A848" s="8" t="s">
        <v>4573</v>
      </c>
      <c r="B848" s="8" t="s">
        <v>4574</v>
      </c>
      <c r="C848" s="8" t="s">
        <v>25</v>
      </c>
      <c r="D848" s="8" t="s">
        <v>26</v>
      </c>
      <c r="E848" s="8" t="s">
        <v>4575</v>
      </c>
      <c r="F848" s="8">
        <v>5.079880039E9</v>
      </c>
      <c r="G848" s="8" t="s">
        <v>31</v>
      </c>
      <c r="H848" s="8" t="s">
        <v>77</v>
      </c>
      <c r="I848" s="8" t="s">
        <v>127</v>
      </c>
      <c r="J848" s="8" t="s">
        <v>128</v>
      </c>
      <c r="K848" s="10" t="s">
        <v>4571</v>
      </c>
      <c r="L848" s="8" t="s">
        <v>58</v>
      </c>
      <c r="M848" s="8" t="s">
        <v>35</v>
      </c>
      <c r="N848" s="11">
        <v>44908.0</v>
      </c>
      <c r="O848" s="11">
        <v>45096.0</v>
      </c>
      <c r="P848" s="11">
        <v>45138.0</v>
      </c>
      <c r="Q848" s="11">
        <v>45095.0</v>
      </c>
      <c r="R848" s="11">
        <v>45138.0</v>
      </c>
      <c r="S848" s="12"/>
      <c r="T848" s="8"/>
      <c r="U848" s="8" t="s">
        <v>371</v>
      </c>
      <c r="V848" s="13" t="s">
        <v>77</v>
      </c>
      <c r="W848" s="13" t="s">
        <v>4576</v>
      </c>
      <c r="X848" s="12"/>
      <c r="Y848" s="14"/>
      <c r="Z848" s="14"/>
    </row>
    <row r="849">
      <c r="A849" s="8" t="s">
        <v>4577</v>
      </c>
      <c r="B849" s="8" t="s">
        <v>4578</v>
      </c>
      <c r="C849" s="8" t="s">
        <v>25</v>
      </c>
      <c r="D849" s="8" t="s">
        <v>26</v>
      </c>
      <c r="E849" s="8" t="s">
        <v>4579</v>
      </c>
      <c r="F849" s="8"/>
      <c r="G849" s="8" t="s">
        <v>466</v>
      </c>
      <c r="H849" s="8" t="s">
        <v>467</v>
      </c>
      <c r="I849" s="8" t="s">
        <v>31</v>
      </c>
      <c r="J849" s="8" t="s">
        <v>86</v>
      </c>
      <c r="K849" s="10" t="s">
        <v>2453</v>
      </c>
      <c r="L849" s="8" t="s">
        <v>58</v>
      </c>
      <c r="M849" s="8" t="s">
        <v>35</v>
      </c>
      <c r="N849" s="11">
        <v>44908.0</v>
      </c>
      <c r="O849" s="11">
        <v>45005.0</v>
      </c>
      <c r="P849" s="11">
        <v>45047.0</v>
      </c>
      <c r="Q849" s="11">
        <v>45013.0</v>
      </c>
      <c r="R849" s="11">
        <v>45055.0</v>
      </c>
      <c r="S849" s="12"/>
      <c r="T849" s="8"/>
      <c r="U849" s="8" t="s">
        <v>59</v>
      </c>
      <c r="V849" s="13" t="s">
        <v>38</v>
      </c>
      <c r="W849" s="13" t="s">
        <v>4580</v>
      </c>
      <c r="X849" s="12"/>
      <c r="Y849" s="14"/>
      <c r="Z849" s="14"/>
    </row>
    <row r="850">
      <c r="A850" s="8" t="s">
        <v>4581</v>
      </c>
      <c r="B850" s="8" t="s">
        <v>4582</v>
      </c>
      <c r="C850" s="8" t="s">
        <v>25</v>
      </c>
      <c r="D850" s="8" t="s">
        <v>26</v>
      </c>
      <c r="E850" s="8" t="s">
        <v>4583</v>
      </c>
      <c r="F850" s="8">
        <v>5.313719801E9</v>
      </c>
      <c r="G850" s="8" t="s">
        <v>31</v>
      </c>
      <c r="H850" s="8" t="s">
        <v>86</v>
      </c>
      <c r="I850" s="8" t="s">
        <v>221</v>
      </c>
      <c r="J850" s="8" t="s">
        <v>222</v>
      </c>
      <c r="K850" s="10" t="s">
        <v>4584</v>
      </c>
      <c r="L850" s="8" t="s">
        <v>34</v>
      </c>
      <c r="M850" s="8" t="s">
        <v>35</v>
      </c>
      <c r="N850" s="11">
        <v>44909.0</v>
      </c>
      <c r="O850" s="11">
        <v>44942.0</v>
      </c>
      <c r="P850" s="11">
        <v>44998.0</v>
      </c>
      <c r="Q850" s="11">
        <v>44957.0</v>
      </c>
      <c r="R850" s="11">
        <v>45013.0</v>
      </c>
      <c r="S850" s="12"/>
      <c r="T850" s="8" t="s">
        <v>1187</v>
      </c>
      <c r="U850" s="8" t="s">
        <v>4585</v>
      </c>
      <c r="V850" s="13" t="s">
        <v>175</v>
      </c>
      <c r="W850" s="13" t="s">
        <v>4586</v>
      </c>
      <c r="X850" s="12"/>
      <c r="Y850" s="14"/>
      <c r="Z850" s="14"/>
    </row>
    <row r="851">
      <c r="A851" s="8" t="s">
        <v>4587</v>
      </c>
      <c r="B851" s="8" t="s">
        <v>4588</v>
      </c>
      <c r="C851" s="8" t="s">
        <v>179</v>
      </c>
      <c r="D851" s="8" t="s">
        <v>26</v>
      </c>
      <c r="E851" s="8" t="s">
        <v>4589</v>
      </c>
      <c r="F851" s="8">
        <v>5.458242554E9</v>
      </c>
      <c r="G851" s="8" t="s">
        <v>31</v>
      </c>
      <c r="H851" s="8" t="s">
        <v>86</v>
      </c>
      <c r="I851" s="8" t="s">
        <v>284</v>
      </c>
      <c r="J851" s="8" t="s">
        <v>589</v>
      </c>
      <c r="K851" s="10" t="s">
        <v>4590</v>
      </c>
      <c r="L851" s="8" t="s">
        <v>58</v>
      </c>
      <c r="M851" s="8" t="s">
        <v>35</v>
      </c>
      <c r="N851" s="11">
        <v>44909.0</v>
      </c>
      <c r="O851" s="11">
        <v>45108.0</v>
      </c>
      <c r="P851" s="11">
        <v>45153.0</v>
      </c>
      <c r="Q851" s="11"/>
      <c r="R851" s="11"/>
      <c r="S851" s="12"/>
      <c r="T851" s="8"/>
      <c r="U851" s="8" t="s">
        <v>632</v>
      </c>
      <c r="V851" s="13" t="s">
        <v>175</v>
      </c>
      <c r="W851" s="13" t="s">
        <v>4591</v>
      </c>
      <c r="X851" s="12"/>
      <c r="Y851" s="14"/>
      <c r="Z851" s="14"/>
    </row>
    <row r="852">
      <c r="A852" s="8" t="s">
        <v>4592</v>
      </c>
      <c r="B852" s="8" t="s">
        <v>4593</v>
      </c>
      <c r="C852" s="8" t="s">
        <v>179</v>
      </c>
      <c r="D852" s="8" t="s">
        <v>26</v>
      </c>
      <c r="E852" s="8" t="s">
        <v>4594</v>
      </c>
      <c r="F852" s="8">
        <v>5.36997245E9</v>
      </c>
      <c r="G852" s="8" t="s">
        <v>31</v>
      </c>
      <c r="H852" s="8" t="s">
        <v>86</v>
      </c>
      <c r="I852" s="8" t="s">
        <v>284</v>
      </c>
      <c r="J852" s="8" t="s">
        <v>589</v>
      </c>
      <c r="K852" s="10" t="s">
        <v>4590</v>
      </c>
      <c r="L852" s="8" t="s">
        <v>58</v>
      </c>
      <c r="M852" s="8" t="s">
        <v>35</v>
      </c>
      <c r="N852" s="11">
        <v>44909.0</v>
      </c>
      <c r="O852" s="11">
        <v>45108.0</v>
      </c>
      <c r="P852" s="11">
        <v>45153.0</v>
      </c>
      <c r="Q852" s="11"/>
      <c r="R852" s="11"/>
      <c r="S852" s="12"/>
      <c r="T852" s="8"/>
      <c r="U852" s="8" t="s">
        <v>632</v>
      </c>
      <c r="V852" s="13" t="s">
        <v>175</v>
      </c>
      <c r="W852" s="13" t="s">
        <v>4595</v>
      </c>
      <c r="X852" s="12"/>
      <c r="Y852" s="14"/>
      <c r="Z852" s="14"/>
    </row>
    <row r="853">
      <c r="A853" s="8" t="s">
        <v>4596</v>
      </c>
      <c r="B853" s="8" t="s">
        <v>4597</v>
      </c>
      <c r="C853" s="8" t="s">
        <v>251</v>
      </c>
      <c r="D853" s="8" t="s">
        <v>26</v>
      </c>
      <c r="E853" s="8" t="s">
        <v>4598</v>
      </c>
      <c r="F853" s="8">
        <v>1.115980343E9</v>
      </c>
      <c r="G853" s="8" t="s">
        <v>284</v>
      </c>
      <c r="H853" s="8" t="s">
        <v>285</v>
      </c>
      <c r="I853" s="8" t="s">
        <v>31</v>
      </c>
      <c r="J853" s="8" t="s">
        <v>86</v>
      </c>
      <c r="K853" s="10" t="s">
        <v>2706</v>
      </c>
      <c r="L853" s="8" t="s">
        <v>47</v>
      </c>
      <c r="M853" s="8" t="s">
        <v>70</v>
      </c>
      <c r="N853" s="11">
        <v>44909.0</v>
      </c>
      <c r="O853" s="11">
        <v>44920.0</v>
      </c>
      <c r="P853" s="11">
        <v>45121.0</v>
      </c>
      <c r="Q853" s="11"/>
      <c r="R853" s="11"/>
      <c r="S853" s="12"/>
      <c r="T853" s="8"/>
      <c r="U853" s="8" t="s">
        <v>2707</v>
      </c>
      <c r="V853" s="13" t="s">
        <v>285</v>
      </c>
      <c r="W853" s="13" t="s">
        <v>4599</v>
      </c>
      <c r="X853" s="12"/>
      <c r="Y853" s="14"/>
      <c r="Z853" s="14"/>
    </row>
    <row r="854">
      <c r="A854" s="8" t="s">
        <v>4600</v>
      </c>
      <c r="B854" s="8" t="s">
        <v>3295</v>
      </c>
      <c r="C854" s="8" t="s">
        <v>179</v>
      </c>
      <c r="D854" s="8" t="s">
        <v>26</v>
      </c>
      <c r="E854" s="8" t="s">
        <v>3296</v>
      </c>
      <c r="F854" s="8">
        <v>6.304889813E9</v>
      </c>
      <c r="G854" s="8" t="s">
        <v>44</v>
      </c>
      <c r="H854" s="8" t="s">
        <v>1588</v>
      </c>
      <c r="I854" s="8" t="s">
        <v>31</v>
      </c>
      <c r="J854" s="8" t="s">
        <v>86</v>
      </c>
      <c r="K854" s="10" t="s">
        <v>2453</v>
      </c>
      <c r="L854" s="8" t="s">
        <v>58</v>
      </c>
      <c r="M854" s="8" t="s">
        <v>35</v>
      </c>
      <c r="N854" s="11">
        <v>44909.0</v>
      </c>
      <c r="O854" s="11">
        <v>45005.0</v>
      </c>
      <c r="P854" s="11">
        <v>45047.0</v>
      </c>
      <c r="Q854" s="11"/>
      <c r="R854" s="11"/>
      <c r="S854" s="12"/>
      <c r="T854" s="8"/>
      <c r="U854" s="8" t="s">
        <v>59</v>
      </c>
      <c r="V854" s="13" t="s">
        <v>1588</v>
      </c>
      <c r="W854" s="13" t="s">
        <v>3297</v>
      </c>
      <c r="X854" s="12"/>
      <c r="Y854" s="14"/>
      <c r="Z854" s="14"/>
    </row>
    <row r="855">
      <c r="A855" s="8" t="s">
        <v>4601</v>
      </c>
      <c r="B855" s="8" t="s">
        <v>4602</v>
      </c>
      <c r="C855" s="8" t="s">
        <v>64</v>
      </c>
      <c r="D855" s="8" t="s">
        <v>26</v>
      </c>
      <c r="E855" s="8" t="s">
        <v>4603</v>
      </c>
      <c r="F855" s="8">
        <v>5.57090115E8</v>
      </c>
      <c r="G855" s="8" t="s">
        <v>254</v>
      </c>
      <c r="H855" s="8" t="s">
        <v>291</v>
      </c>
      <c r="I855" s="8" t="s">
        <v>31</v>
      </c>
      <c r="J855" s="8" t="s">
        <v>86</v>
      </c>
      <c r="K855" s="10" t="s">
        <v>4604</v>
      </c>
      <c r="L855" s="8" t="s">
        <v>47</v>
      </c>
      <c r="M855" s="8" t="s">
        <v>70</v>
      </c>
      <c r="N855" s="11">
        <v>44909.0</v>
      </c>
      <c r="O855" s="11">
        <v>44920.0</v>
      </c>
      <c r="P855" s="11">
        <v>45163.0</v>
      </c>
      <c r="Q855" s="11">
        <v>44920.0</v>
      </c>
      <c r="R855" s="11">
        <v>45163.0</v>
      </c>
      <c r="S855" s="12"/>
      <c r="T855" s="8"/>
      <c r="U855" s="8" t="s">
        <v>1389</v>
      </c>
      <c r="V855" s="13" t="s">
        <v>295</v>
      </c>
      <c r="W855" s="13" t="s">
        <v>4605</v>
      </c>
      <c r="X855" s="12"/>
      <c r="Y855" s="14"/>
      <c r="Z855" s="14"/>
    </row>
    <row r="856">
      <c r="A856" s="8" t="s">
        <v>4606</v>
      </c>
      <c r="B856" s="8" t="s">
        <v>4607</v>
      </c>
      <c r="C856" s="8" t="s">
        <v>179</v>
      </c>
      <c r="D856" s="8" t="s">
        <v>26</v>
      </c>
      <c r="E856" s="8" t="s">
        <v>4608</v>
      </c>
      <c r="F856" s="8">
        <v>9.654295958E9</v>
      </c>
      <c r="G856" s="8" t="s">
        <v>44</v>
      </c>
      <c r="H856" s="8" t="s">
        <v>990</v>
      </c>
      <c r="I856" s="8" t="s">
        <v>31</v>
      </c>
      <c r="J856" s="8" t="s">
        <v>86</v>
      </c>
      <c r="K856" s="10" t="s">
        <v>416</v>
      </c>
      <c r="L856" s="8" t="s">
        <v>58</v>
      </c>
      <c r="M856" s="8" t="s">
        <v>35</v>
      </c>
      <c r="N856" s="11">
        <v>44909.0</v>
      </c>
      <c r="O856" s="11">
        <v>45082.0</v>
      </c>
      <c r="P856" s="11">
        <v>45124.0</v>
      </c>
      <c r="Q856" s="11"/>
      <c r="R856" s="11"/>
      <c r="S856" s="12"/>
      <c r="T856" s="8"/>
      <c r="U856" s="8" t="s">
        <v>59</v>
      </c>
      <c r="V856" s="13" t="s">
        <v>4609</v>
      </c>
      <c r="W856" s="13" t="s">
        <v>4610</v>
      </c>
      <c r="X856" s="12"/>
      <c r="Y856" s="14"/>
      <c r="Z856" s="14"/>
    </row>
    <row r="857">
      <c r="A857" s="8" t="s">
        <v>4611</v>
      </c>
      <c r="B857" s="8" t="s">
        <v>4612</v>
      </c>
      <c r="C857" s="8" t="s">
        <v>25</v>
      </c>
      <c r="D857" s="8" t="s">
        <v>26</v>
      </c>
      <c r="E857" s="8" t="s">
        <v>4613</v>
      </c>
      <c r="F857" s="8">
        <v>5.368967732E9</v>
      </c>
      <c r="G857" s="8" t="s">
        <v>84</v>
      </c>
      <c r="H857" s="8" t="s">
        <v>85</v>
      </c>
      <c r="I857" s="8" t="s">
        <v>31</v>
      </c>
      <c r="J857" s="8" t="s">
        <v>86</v>
      </c>
      <c r="K857" s="10" t="s">
        <v>2404</v>
      </c>
      <c r="L857" s="8" t="s">
        <v>34</v>
      </c>
      <c r="M857" s="8" t="s">
        <v>70</v>
      </c>
      <c r="N857" s="11">
        <v>44909.0</v>
      </c>
      <c r="O857" s="11">
        <v>44920.0</v>
      </c>
      <c r="P857" s="11">
        <v>45109.0</v>
      </c>
      <c r="Q857" s="11">
        <v>44920.0</v>
      </c>
      <c r="R857" s="11">
        <v>45109.0</v>
      </c>
      <c r="S857" s="12"/>
      <c r="T857" s="8" t="s">
        <v>36</v>
      </c>
      <c r="U857" s="8" t="s">
        <v>2405</v>
      </c>
      <c r="V857" s="13" t="s">
        <v>1927</v>
      </c>
      <c r="W857" s="13" t="s">
        <v>4614</v>
      </c>
      <c r="X857" s="12"/>
      <c r="Y857" s="14"/>
      <c r="Z857" s="14"/>
    </row>
    <row r="858">
      <c r="A858" s="8" t="s">
        <v>4615</v>
      </c>
      <c r="B858" s="8" t="s">
        <v>4616</v>
      </c>
      <c r="C858" s="8" t="s">
        <v>25</v>
      </c>
      <c r="D858" s="8" t="s">
        <v>26</v>
      </c>
      <c r="E858" s="8" t="s">
        <v>4617</v>
      </c>
      <c r="F858" s="8">
        <v>1.002681531E9</v>
      </c>
      <c r="G858" s="8" t="s">
        <v>284</v>
      </c>
      <c r="H858" s="8" t="s">
        <v>793</v>
      </c>
      <c r="I858" s="8" t="s">
        <v>31</v>
      </c>
      <c r="J858" s="8" t="s">
        <v>1274</v>
      </c>
      <c r="K858" s="10" t="s">
        <v>4366</v>
      </c>
      <c r="L858" s="8" t="s">
        <v>58</v>
      </c>
      <c r="M858" s="8" t="s">
        <v>35</v>
      </c>
      <c r="N858" s="11">
        <v>44909.0</v>
      </c>
      <c r="O858" s="11">
        <v>45096.0</v>
      </c>
      <c r="P858" s="11">
        <v>45138.0</v>
      </c>
      <c r="Q858" s="11">
        <v>45097.0</v>
      </c>
      <c r="R858" s="11">
        <v>45138.0</v>
      </c>
      <c r="S858" s="12"/>
      <c r="T858" s="8"/>
      <c r="U858" s="8" t="s">
        <v>1038</v>
      </c>
      <c r="V858" s="13" t="s">
        <v>793</v>
      </c>
      <c r="W858" s="13" t="s">
        <v>4618</v>
      </c>
      <c r="X858" s="12"/>
      <c r="Y858" s="14"/>
      <c r="Z858" s="14"/>
    </row>
    <row r="859">
      <c r="A859" s="8" t="s">
        <v>4619</v>
      </c>
      <c r="B859" s="8" t="s">
        <v>4620</v>
      </c>
      <c r="C859" s="8" t="s">
        <v>179</v>
      </c>
      <c r="D859" s="8" t="s">
        <v>26</v>
      </c>
      <c r="E859" s="8" t="s">
        <v>4621</v>
      </c>
      <c r="F859" s="8"/>
      <c r="G859" s="8" t="s">
        <v>44</v>
      </c>
      <c r="H859" s="8" t="s">
        <v>990</v>
      </c>
      <c r="I859" s="8" t="s">
        <v>31</v>
      </c>
      <c r="J859" s="8" t="s">
        <v>86</v>
      </c>
      <c r="K859" s="10" t="s">
        <v>416</v>
      </c>
      <c r="L859" s="8" t="s">
        <v>58</v>
      </c>
      <c r="M859" s="8" t="s">
        <v>35</v>
      </c>
      <c r="N859" s="11">
        <v>44910.0</v>
      </c>
      <c r="O859" s="11">
        <v>45071.0</v>
      </c>
      <c r="P859" s="11">
        <v>45113.0</v>
      </c>
      <c r="Q859" s="11"/>
      <c r="R859" s="11"/>
      <c r="S859" s="12"/>
      <c r="T859" s="8"/>
      <c r="U859" s="8" t="s">
        <v>59</v>
      </c>
      <c r="V859" s="13" t="s">
        <v>38</v>
      </c>
      <c r="W859" s="13" t="s">
        <v>4622</v>
      </c>
      <c r="X859" s="12"/>
      <c r="Y859" s="14"/>
      <c r="Z859" s="14"/>
    </row>
    <row r="860">
      <c r="A860" s="8" t="s">
        <v>4623</v>
      </c>
      <c r="B860" s="8" t="s">
        <v>4624</v>
      </c>
      <c r="C860" s="8" t="s">
        <v>708</v>
      </c>
      <c r="D860" s="8" t="s">
        <v>26</v>
      </c>
      <c r="E860" s="8" t="s">
        <v>4625</v>
      </c>
      <c r="F860" s="8"/>
      <c r="G860" s="8" t="s">
        <v>284</v>
      </c>
      <c r="H860" s="8" t="s">
        <v>589</v>
      </c>
      <c r="I860" s="8" t="s">
        <v>31</v>
      </c>
      <c r="J860" s="8" t="s">
        <v>542</v>
      </c>
      <c r="K860" s="10" t="s">
        <v>4626</v>
      </c>
      <c r="L860" s="8" t="s">
        <v>34</v>
      </c>
      <c r="M860" s="8" t="s">
        <v>70</v>
      </c>
      <c r="N860" s="11">
        <v>44910.0</v>
      </c>
      <c r="O860" s="11">
        <v>44956.0</v>
      </c>
      <c r="P860" s="11">
        <v>45317.0</v>
      </c>
      <c r="Q860" s="11">
        <v>44998.0</v>
      </c>
      <c r="R860" s="11">
        <v>45359.0</v>
      </c>
      <c r="S860" s="12"/>
      <c r="T860" s="8" t="s">
        <v>205</v>
      </c>
      <c r="U860" s="8" t="s">
        <v>4627</v>
      </c>
      <c r="V860" s="13" t="s">
        <v>38</v>
      </c>
      <c r="W860" s="13" t="s">
        <v>4628</v>
      </c>
      <c r="X860" s="12"/>
      <c r="Y860" s="14"/>
      <c r="Z860" s="14"/>
    </row>
    <row r="861">
      <c r="A861" s="8" t="s">
        <v>4629</v>
      </c>
      <c r="B861" s="8" t="s">
        <v>4630</v>
      </c>
      <c r="C861" s="8" t="s">
        <v>179</v>
      </c>
      <c r="D861" s="8" t="s">
        <v>26</v>
      </c>
      <c r="E861" s="8" t="s">
        <v>4631</v>
      </c>
      <c r="F861" s="8">
        <v>9.15477611E9</v>
      </c>
      <c r="G861" s="8" t="s">
        <v>44</v>
      </c>
      <c r="H861" s="8" t="s">
        <v>1588</v>
      </c>
      <c r="I861" s="8" t="s">
        <v>31</v>
      </c>
      <c r="J861" s="8" t="s">
        <v>86</v>
      </c>
      <c r="K861" s="10" t="s">
        <v>2453</v>
      </c>
      <c r="L861" s="8" t="s">
        <v>58</v>
      </c>
      <c r="M861" s="8" t="s">
        <v>35</v>
      </c>
      <c r="N861" s="11">
        <v>44910.0</v>
      </c>
      <c r="O861" s="11">
        <v>45132.0</v>
      </c>
      <c r="P861" s="11">
        <v>45174.0</v>
      </c>
      <c r="Q861" s="11"/>
      <c r="R861" s="11"/>
      <c r="S861" s="12"/>
      <c r="T861" s="8"/>
      <c r="U861" s="8" t="s">
        <v>59</v>
      </c>
      <c r="V861" s="13" t="s">
        <v>1588</v>
      </c>
      <c r="W861" s="13" t="s">
        <v>4632</v>
      </c>
      <c r="X861" s="12"/>
      <c r="Y861" s="14"/>
      <c r="Z861" s="14"/>
    </row>
    <row r="862">
      <c r="A862" s="8" t="s">
        <v>4633</v>
      </c>
      <c r="B862" s="8" t="s">
        <v>4634</v>
      </c>
      <c r="C862" s="8" t="s">
        <v>179</v>
      </c>
      <c r="D862" s="8" t="s">
        <v>26</v>
      </c>
      <c r="E862" s="8" t="s">
        <v>4635</v>
      </c>
      <c r="F862" s="8">
        <v>5.425672996E9</v>
      </c>
      <c r="G862" s="8" t="s">
        <v>31</v>
      </c>
      <c r="H862" s="8" t="s">
        <v>86</v>
      </c>
      <c r="I862" s="8" t="s">
        <v>109</v>
      </c>
      <c r="J862" s="8" t="s">
        <v>4636</v>
      </c>
      <c r="K862" s="10" t="s">
        <v>4637</v>
      </c>
      <c r="L862" s="8" t="s">
        <v>58</v>
      </c>
      <c r="M862" s="8" t="s">
        <v>35</v>
      </c>
      <c r="N862" s="11">
        <v>44910.0</v>
      </c>
      <c r="O862" s="11">
        <v>45124.0</v>
      </c>
      <c r="P862" s="11">
        <v>45166.0</v>
      </c>
      <c r="Q862" s="11"/>
      <c r="R862" s="11"/>
      <c r="S862" s="12"/>
      <c r="T862" s="8"/>
      <c r="U862" s="8" t="s">
        <v>997</v>
      </c>
      <c r="V862" s="13" t="s">
        <v>111</v>
      </c>
      <c r="W862" s="13" t="s">
        <v>4638</v>
      </c>
      <c r="X862" s="12"/>
      <c r="Y862" s="14"/>
      <c r="Z862" s="14"/>
    </row>
    <row r="863">
      <c r="A863" s="8" t="s">
        <v>4639</v>
      </c>
      <c r="B863" s="8" t="s">
        <v>4640</v>
      </c>
      <c r="C863" s="8" t="s">
        <v>179</v>
      </c>
      <c r="D863" s="8" t="s">
        <v>26</v>
      </c>
      <c r="E863" s="8" t="s">
        <v>4641</v>
      </c>
      <c r="F863" s="8"/>
      <c r="G863" s="8" t="s">
        <v>54</v>
      </c>
      <c r="H863" s="8" t="s">
        <v>595</v>
      </c>
      <c r="I863" s="8" t="s">
        <v>31</v>
      </c>
      <c r="J863" s="8" t="s">
        <v>77</v>
      </c>
      <c r="K863" s="10" t="s">
        <v>2537</v>
      </c>
      <c r="L863" s="8" t="s">
        <v>58</v>
      </c>
      <c r="M863" s="8" t="s">
        <v>35</v>
      </c>
      <c r="N863" s="11">
        <v>44911.0</v>
      </c>
      <c r="O863" s="11">
        <v>45103.0</v>
      </c>
      <c r="P863" s="11">
        <v>45145.0</v>
      </c>
      <c r="Q863" s="11"/>
      <c r="R863" s="11"/>
      <c r="S863" s="12"/>
      <c r="T863" s="8"/>
      <c r="U863" s="8" t="s">
        <v>88</v>
      </c>
      <c r="V863" s="13" t="s">
        <v>38</v>
      </c>
      <c r="W863" s="13" t="s">
        <v>4642</v>
      </c>
      <c r="X863" s="12"/>
      <c r="Y863" s="14"/>
      <c r="Z863" s="14"/>
    </row>
    <row r="864">
      <c r="A864" s="8" t="s">
        <v>4643</v>
      </c>
      <c r="B864" s="8" t="s">
        <v>4644</v>
      </c>
      <c r="C864" s="8" t="s">
        <v>25</v>
      </c>
      <c r="D864" s="8" t="s">
        <v>26</v>
      </c>
      <c r="E864" s="8" t="s">
        <v>4645</v>
      </c>
      <c r="F864" s="8">
        <v>5.347231122E9</v>
      </c>
      <c r="G864" s="8" t="s">
        <v>31</v>
      </c>
      <c r="H864" s="8" t="s">
        <v>56</v>
      </c>
      <c r="I864" s="8" t="s">
        <v>284</v>
      </c>
      <c r="J864" s="8" t="s">
        <v>1422</v>
      </c>
      <c r="K864" s="10" t="s">
        <v>4388</v>
      </c>
      <c r="L864" s="8" t="s">
        <v>58</v>
      </c>
      <c r="M864" s="8" t="s">
        <v>35</v>
      </c>
      <c r="N864" s="11">
        <v>44911.0</v>
      </c>
      <c r="O864" s="11">
        <v>45099.0</v>
      </c>
      <c r="P864" s="11">
        <v>45141.0</v>
      </c>
      <c r="Q864" s="11">
        <v>45099.0</v>
      </c>
      <c r="R864" s="11">
        <v>45141.0</v>
      </c>
      <c r="S864" s="12"/>
      <c r="T864" s="8"/>
      <c r="U864" s="8" t="s">
        <v>3111</v>
      </c>
      <c r="V864" s="13" t="s">
        <v>1119</v>
      </c>
      <c r="W864" s="13" t="s">
        <v>4646</v>
      </c>
      <c r="X864" s="12"/>
      <c r="Y864" s="14"/>
      <c r="Z864" s="14"/>
    </row>
    <row r="865">
      <c r="A865" s="8" t="s">
        <v>4647</v>
      </c>
      <c r="B865" s="8" t="s">
        <v>4648</v>
      </c>
      <c r="C865" s="8" t="s">
        <v>64</v>
      </c>
      <c r="D865" s="8" t="s">
        <v>26</v>
      </c>
      <c r="E865" s="8" t="s">
        <v>4649</v>
      </c>
      <c r="F865" s="8"/>
      <c r="G865" s="8" t="s">
        <v>127</v>
      </c>
      <c r="H865" s="8" t="s">
        <v>128</v>
      </c>
      <c r="I865" s="8" t="s">
        <v>31</v>
      </c>
      <c r="J865" s="8" t="s">
        <v>77</v>
      </c>
      <c r="K865" s="10" t="s">
        <v>4188</v>
      </c>
      <c r="L865" s="8" t="s">
        <v>58</v>
      </c>
      <c r="M865" s="8" t="s">
        <v>35</v>
      </c>
      <c r="N865" s="11">
        <v>44911.0</v>
      </c>
      <c r="O865" s="11">
        <v>45138.0</v>
      </c>
      <c r="P865" s="11">
        <v>45180.0</v>
      </c>
      <c r="Q865" s="11">
        <v>45138.0</v>
      </c>
      <c r="R865" s="11">
        <v>45180.0</v>
      </c>
      <c r="S865" s="12"/>
      <c r="T865" s="8"/>
      <c r="U865" s="8" t="s">
        <v>59</v>
      </c>
      <c r="V865" s="13" t="s">
        <v>38</v>
      </c>
      <c r="W865" s="13" t="s">
        <v>4650</v>
      </c>
      <c r="X865" s="12"/>
      <c r="Y865" s="14"/>
      <c r="Z865" s="14"/>
    </row>
    <row r="866">
      <c r="A866" s="8" t="s">
        <v>4651</v>
      </c>
      <c r="B866" s="8" t="s">
        <v>4652</v>
      </c>
      <c r="C866" s="8" t="s">
        <v>251</v>
      </c>
      <c r="D866" s="8" t="s">
        <v>26</v>
      </c>
      <c r="E866" s="8" t="s">
        <v>4653</v>
      </c>
      <c r="F866" s="8">
        <v>5.352169153E9</v>
      </c>
      <c r="G866" s="8" t="s">
        <v>284</v>
      </c>
      <c r="H866" s="8" t="s">
        <v>793</v>
      </c>
      <c r="I866" s="8" t="s">
        <v>31</v>
      </c>
      <c r="J866" s="8" t="s">
        <v>256</v>
      </c>
      <c r="K866" s="10" t="s">
        <v>794</v>
      </c>
      <c r="L866" s="8" t="s">
        <v>47</v>
      </c>
      <c r="M866" s="8" t="s">
        <v>70</v>
      </c>
      <c r="N866" s="11">
        <v>44912.0</v>
      </c>
      <c r="O866" s="11">
        <v>44958.0</v>
      </c>
      <c r="P866" s="11">
        <v>45323.0</v>
      </c>
      <c r="Q866" s="11"/>
      <c r="R866" s="11"/>
      <c r="S866" s="12"/>
      <c r="T866" s="8"/>
      <c r="U866" s="8" t="s">
        <v>795</v>
      </c>
      <c r="V866" s="13" t="s">
        <v>793</v>
      </c>
      <c r="W866" s="13" t="s">
        <v>4654</v>
      </c>
      <c r="X866" s="12"/>
      <c r="Y866" s="14"/>
      <c r="Z866" s="14"/>
    </row>
    <row r="867">
      <c r="A867" s="8" t="s">
        <v>4655</v>
      </c>
      <c r="B867" s="8" t="s">
        <v>4656</v>
      </c>
      <c r="C867" s="8" t="s">
        <v>25</v>
      </c>
      <c r="D867" s="8" t="s">
        <v>26</v>
      </c>
      <c r="E867" s="8" t="s">
        <v>4657</v>
      </c>
      <c r="F867" s="8"/>
      <c r="G867" s="8" t="s">
        <v>284</v>
      </c>
      <c r="H867" s="8" t="s">
        <v>793</v>
      </c>
      <c r="I867" s="8" t="s">
        <v>31</v>
      </c>
      <c r="J867" s="8" t="s">
        <v>1274</v>
      </c>
      <c r="K867" s="10" t="s">
        <v>4366</v>
      </c>
      <c r="L867" s="8" t="s">
        <v>58</v>
      </c>
      <c r="M867" s="8" t="s">
        <v>35</v>
      </c>
      <c r="N867" s="11">
        <v>44912.0</v>
      </c>
      <c r="O867" s="11">
        <v>45096.0</v>
      </c>
      <c r="P867" s="11">
        <v>45138.0</v>
      </c>
      <c r="Q867" s="11">
        <v>45097.0</v>
      </c>
      <c r="R867" s="11">
        <v>45138.0</v>
      </c>
      <c r="S867" s="12"/>
      <c r="T867" s="8"/>
      <c r="U867" s="8" t="s">
        <v>1038</v>
      </c>
      <c r="V867" s="13" t="s">
        <v>38</v>
      </c>
      <c r="W867" s="13" t="s">
        <v>4658</v>
      </c>
      <c r="X867" s="12"/>
      <c r="Y867" s="14"/>
      <c r="Z867" s="14"/>
    </row>
    <row r="868">
      <c r="A868" s="8" t="s">
        <v>4659</v>
      </c>
      <c r="B868" s="8" t="s">
        <v>4660</v>
      </c>
      <c r="C868" s="8" t="s">
        <v>25</v>
      </c>
      <c r="D868" s="8" t="s">
        <v>26</v>
      </c>
      <c r="E868" s="8" t="s">
        <v>4661</v>
      </c>
      <c r="F868" s="8">
        <v>5.458964714E9</v>
      </c>
      <c r="G868" s="8" t="s">
        <v>31</v>
      </c>
      <c r="H868" s="8" t="s">
        <v>86</v>
      </c>
      <c r="I868" s="8" t="s">
        <v>54</v>
      </c>
      <c r="J868" s="8" t="s">
        <v>1640</v>
      </c>
      <c r="K868" s="10" t="s">
        <v>4662</v>
      </c>
      <c r="L868" s="8" t="s">
        <v>58</v>
      </c>
      <c r="M868" s="8" t="s">
        <v>35</v>
      </c>
      <c r="N868" s="11">
        <v>44912.0</v>
      </c>
      <c r="O868" s="11">
        <v>44956.0</v>
      </c>
      <c r="P868" s="11">
        <v>44998.0</v>
      </c>
      <c r="Q868" s="11">
        <v>44959.0</v>
      </c>
      <c r="R868" s="11">
        <v>44999.0</v>
      </c>
      <c r="S868" s="12"/>
      <c r="T868" s="8"/>
      <c r="U868" s="8" t="s">
        <v>161</v>
      </c>
      <c r="V868" s="13" t="s">
        <v>175</v>
      </c>
      <c r="W868" s="13" t="s">
        <v>4663</v>
      </c>
      <c r="X868" s="12"/>
      <c r="Y868" s="14"/>
      <c r="Z868" s="14"/>
    </row>
    <row r="869">
      <c r="A869" s="8" t="s">
        <v>4664</v>
      </c>
      <c r="B869" s="8" t="s">
        <v>4665</v>
      </c>
      <c r="C869" s="8" t="s">
        <v>25</v>
      </c>
      <c r="D869" s="8" t="s">
        <v>26</v>
      </c>
      <c r="E869" s="8" t="s">
        <v>4666</v>
      </c>
      <c r="F869" s="8">
        <v>5.2920174E7</v>
      </c>
      <c r="G869" s="8" t="s">
        <v>54</v>
      </c>
      <c r="H869" s="8" t="s">
        <v>369</v>
      </c>
      <c r="I869" s="8" t="s">
        <v>31</v>
      </c>
      <c r="J869" s="8" t="s">
        <v>1119</v>
      </c>
      <c r="K869" s="10" t="s">
        <v>3665</v>
      </c>
      <c r="L869" s="8" t="s">
        <v>58</v>
      </c>
      <c r="M869" s="8" t="s">
        <v>35</v>
      </c>
      <c r="N869" s="11">
        <v>44912.0</v>
      </c>
      <c r="O869" s="11">
        <v>45117.0</v>
      </c>
      <c r="P869" s="11">
        <v>45159.0</v>
      </c>
      <c r="Q869" s="11">
        <v>45116.0</v>
      </c>
      <c r="R869" s="11">
        <v>45159.0</v>
      </c>
      <c r="S869" s="12"/>
      <c r="T869" s="8"/>
      <c r="U869" s="8" t="s">
        <v>59</v>
      </c>
      <c r="V869" s="13" t="s">
        <v>372</v>
      </c>
      <c r="W869" s="13" t="s">
        <v>4667</v>
      </c>
      <c r="X869" s="12"/>
      <c r="Y869" s="14"/>
      <c r="Z869" s="14"/>
    </row>
    <row r="870">
      <c r="A870" s="8" t="s">
        <v>4668</v>
      </c>
      <c r="B870" s="8" t="s">
        <v>4669</v>
      </c>
      <c r="C870" s="8" t="s">
        <v>179</v>
      </c>
      <c r="D870" s="8" t="s">
        <v>26</v>
      </c>
      <c r="E870" s="8" t="s">
        <v>4670</v>
      </c>
      <c r="F870" s="8">
        <v>5.059702874E9</v>
      </c>
      <c r="G870" s="8" t="s">
        <v>31</v>
      </c>
      <c r="H870" s="8" t="s">
        <v>111</v>
      </c>
      <c r="I870" s="8" t="s">
        <v>284</v>
      </c>
      <c r="J870" s="8" t="s">
        <v>1422</v>
      </c>
      <c r="K870" s="10" t="s">
        <v>4671</v>
      </c>
      <c r="L870" s="8" t="s">
        <v>47</v>
      </c>
      <c r="M870" s="8" t="s">
        <v>48</v>
      </c>
      <c r="N870" s="11">
        <v>44915.0</v>
      </c>
      <c r="O870" s="11">
        <v>45123.0</v>
      </c>
      <c r="P870" s="11">
        <v>45300.0</v>
      </c>
      <c r="Q870" s="11"/>
      <c r="R870" s="11"/>
      <c r="S870" s="12"/>
      <c r="T870" s="8"/>
      <c r="U870" s="8" t="s">
        <v>246</v>
      </c>
      <c r="V870" s="13" t="s">
        <v>111</v>
      </c>
      <c r="W870" s="13" t="s">
        <v>4672</v>
      </c>
      <c r="X870" s="12"/>
      <c r="Y870" s="14"/>
      <c r="Z870" s="14"/>
    </row>
    <row r="871">
      <c r="A871" s="8" t="s">
        <v>4673</v>
      </c>
      <c r="B871" s="8" t="s">
        <v>4674</v>
      </c>
      <c r="C871" s="8" t="s">
        <v>708</v>
      </c>
      <c r="D871" s="8" t="s">
        <v>26</v>
      </c>
      <c r="E871" s="8" t="s">
        <v>4675</v>
      </c>
      <c r="F871" s="8"/>
      <c r="G871" s="8" t="s">
        <v>254</v>
      </c>
      <c r="H871" s="8" t="s">
        <v>255</v>
      </c>
      <c r="I871" s="8" t="s">
        <v>31</v>
      </c>
      <c r="J871" s="8" t="s">
        <v>111</v>
      </c>
      <c r="K871" s="10" t="s">
        <v>4676</v>
      </c>
      <c r="L871" s="8" t="s">
        <v>47</v>
      </c>
      <c r="M871" s="8" t="s">
        <v>70</v>
      </c>
      <c r="N871" s="11">
        <v>44915.0</v>
      </c>
      <c r="O871" s="11">
        <v>44931.0</v>
      </c>
      <c r="P871" s="11">
        <v>45296.0</v>
      </c>
      <c r="Q871" s="11">
        <v>44966.0</v>
      </c>
      <c r="R871" s="11">
        <v>45331.0</v>
      </c>
      <c r="S871" s="12"/>
      <c r="T871" s="8" t="s">
        <v>446</v>
      </c>
      <c r="U871" s="8" t="s">
        <v>4677</v>
      </c>
      <c r="V871" s="13" t="s">
        <v>38</v>
      </c>
      <c r="W871" s="13" t="s">
        <v>4678</v>
      </c>
      <c r="X871" s="12"/>
      <c r="Y871" s="14"/>
      <c r="Z871" s="14"/>
    </row>
    <row r="872">
      <c r="A872" s="8" t="s">
        <v>4679</v>
      </c>
      <c r="B872" s="8" t="s">
        <v>4680</v>
      </c>
      <c r="C872" s="8" t="s">
        <v>179</v>
      </c>
      <c r="D872" s="8" t="s">
        <v>26</v>
      </c>
      <c r="E872" s="8" t="s">
        <v>4681</v>
      </c>
      <c r="F872" s="8">
        <v>5.57967362E8</v>
      </c>
      <c r="G872" s="8" t="s">
        <v>277</v>
      </c>
      <c r="H872" s="8" t="s">
        <v>278</v>
      </c>
      <c r="I872" s="8" t="s">
        <v>31</v>
      </c>
      <c r="J872" s="8" t="s">
        <v>86</v>
      </c>
      <c r="K872" s="10" t="s">
        <v>416</v>
      </c>
      <c r="L872" s="8" t="s">
        <v>58</v>
      </c>
      <c r="M872" s="8" t="s">
        <v>35</v>
      </c>
      <c r="N872" s="11">
        <v>44915.0</v>
      </c>
      <c r="O872" s="11">
        <v>45122.0</v>
      </c>
      <c r="P872" s="11">
        <v>45164.0</v>
      </c>
      <c r="Q872" s="11"/>
      <c r="R872" s="11"/>
      <c r="S872" s="12"/>
      <c r="T872" s="8"/>
      <c r="U872" s="8" t="s">
        <v>59</v>
      </c>
      <c r="V872" s="13" t="s">
        <v>4429</v>
      </c>
      <c r="W872" s="13" t="s">
        <v>4682</v>
      </c>
      <c r="X872" s="12"/>
      <c r="Y872" s="14"/>
      <c r="Z872" s="14"/>
    </row>
    <row r="873">
      <c r="A873" s="8" t="s">
        <v>4683</v>
      </c>
      <c r="B873" s="8" t="s">
        <v>4684</v>
      </c>
      <c r="C873" s="8" t="s">
        <v>25</v>
      </c>
      <c r="D873" s="8" t="s">
        <v>26</v>
      </c>
      <c r="E873" s="8" t="s">
        <v>4685</v>
      </c>
      <c r="F873" s="8"/>
      <c r="G873" s="8" t="s">
        <v>31</v>
      </c>
      <c r="H873" s="8" t="s">
        <v>111</v>
      </c>
      <c r="I873" s="8" t="s">
        <v>127</v>
      </c>
      <c r="J873" s="8" t="s">
        <v>128</v>
      </c>
      <c r="K873" s="10" t="s">
        <v>4571</v>
      </c>
      <c r="L873" s="8" t="s">
        <v>58</v>
      </c>
      <c r="M873" s="8" t="s">
        <v>35</v>
      </c>
      <c r="N873" s="11">
        <v>44915.0</v>
      </c>
      <c r="O873" s="11">
        <v>45096.0</v>
      </c>
      <c r="P873" s="11">
        <v>45138.0</v>
      </c>
      <c r="Q873" s="11">
        <v>45095.0</v>
      </c>
      <c r="R873" s="11">
        <v>45138.0</v>
      </c>
      <c r="S873" s="12"/>
      <c r="T873" s="8"/>
      <c r="U873" s="8" t="s">
        <v>371</v>
      </c>
      <c r="V873" s="13" t="s">
        <v>38</v>
      </c>
      <c r="W873" s="13" t="s">
        <v>4686</v>
      </c>
      <c r="X873" s="12"/>
      <c r="Y873" s="14"/>
      <c r="Z873" s="14"/>
    </row>
    <row r="874">
      <c r="A874" s="8" t="s">
        <v>4687</v>
      </c>
      <c r="B874" s="8" t="s">
        <v>4688</v>
      </c>
      <c r="C874" s="8" t="s">
        <v>179</v>
      </c>
      <c r="D874" s="8" t="s">
        <v>26</v>
      </c>
      <c r="E874" s="8" t="s">
        <v>4689</v>
      </c>
      <c r="F874" s="8">
        <v>5.349621005E9</v>
      </c>
      <c r="G874" s="8" t="s">
        <v>31</v>
      </c>
      <c r="H874" s="8" t="s">
        <v>111</v>
      </c>
      <c r="I874" s="8" t="s">
        <v>44</v>
      </c>
      <c r="J874" s="8" t="s">
        <v>741</v>
      </c>
      <c r="K874" s="10" t="s">
        <v>4690</v>
      </c>
      <c r="L874" s="8" t="s">
        <v>58</v>
      </c>
      <c r="M874" s="8" t="s">
        <v>35</v>
      </c>
      <c r="N874" s="11">
        <v>44915.0</v>
      </c>
      <c r="O874" s="11">
        <v>45139.0</v>
      </c>
      <c r="P874" s="11">
        <v>45181.0</v>
      </c>
      <c r="Q874" s="11"/>
      <c r="R874" s="11"/>
      <c r="S874" s="12"/>
      <c r="T874" s="8"/>
      <c r="U874" s="8" t="s">
        <v>161</v>
      </c>
      <c r="V874" s="13" t="s">
        <v>111</v>
      </c>
      <c r="W874" s="13" t="s">
        <v>4691</v>
      </c>
      <c r="X874" s="12"/>
      <c r="Y874" s="14"/>
      <c r="Z874" s="14"/>
    </row>
    <row r="875">
      <c r="A875" s="8" t="s">
        <v>4692</v>
      </c>
      <c r="B875" s="8" t="s">
        <v>1960</v>
      </c>
      <c r="C875" s="8" t="s">
        <v>64</v>
      </c>
      <c r="D875" s="8" t="s">
        <v>26</v>
      </c>
      <c r="E875" s="8" t="s">
        <v>1961</v>
      </c>
      <c r="F875" s="8">
        <v>7.786611528E9</v>
      </c>
      <c r="G875" s="8" t="s">
        <v>496</v>
      </c>
      <c r="H875" s="8" t="s">
        <v>497</v>
      </c>
      <c r="I875" s="8" t="s">
        <v>31</v>
      </c>
      <c r="J875" s="8" t="s">
        <v>167</v>
      </c>
      <c r="K875" s="10" t="s">
        <v>4008</v>
      </c>
      <c r="L875" s="8" t="s">
        <v>58</v>
      </c>
      <c r="M875" s="8" t="s">
        <v>35</v>
      </c>
      <c r="N875" s="11">
        <v>44915.0</v>
      </c>
      <c r="O875" s="11">
        <v>44907.0</v>
      </c>
      <c r="P875" s="11">
        <v>44949.0</v>
      </c>
      <c r="Q875" s="11">
        <v>44915.0</v>
      </c>
      <c r="R875" s="11">
        <v>44956.0</v>
      </c>
      <c r="S875" s="12"/>
      <c r="T875" s="8"/>
      <c r="U875" s="8" t="s">
        <v>59</v>
      </c>
      <c r="V875" s="13" t="s">
        <v>500</v>
      </c>
      <c r="W875" s="13" t="s">
        <v>1963</v>
      </c>
      <c r="X875" s="12"/>
      <c r="Y875" s="14"/>
      <c r="Z875" s="14"/>
    </row>
    <row r="876">
      <c r="A876" s="8" t="s">
        <v>4693</v>
      </c>
      <c r="B876" s="8" t="s">
        <v>4694</v>
      </c>
      <c r="C876" s="8" t="s">
        <v>64</v>
      </c>
      <c r="D876" s="8" t="s">
        <v>26</v>
      </c>
      <c r="E876" s="8" t="s">
        <v>4695</v>
      </c>
      <c r="F876" s="8"/>
      <c r="G876" s="8" t="s">
        <v>284</v>
      </c>
      <c r="H876" s="8" t="s">
        <v>691</v>
      </c>
      <c r="I876" s="8" t="s">
        <v>31</v>
      </c>
      <c r="J876" s="8" t="s">
        <v>256</v>
      </c>
      <c r="K876" s="10" t="s">
        <v>4696</v>
      </c>
      <c r="L876" s="8" t="s">
        <v>47</v>
      </c>
      <c r="M876" s="8" t="s">
        <v>70</v>
      </c>
      <c r="N876" s="11">
        <v>44916.0</v>
      </c>
      <c r="O876" s="11">
        <v>44942.0</v>
      </c>
      <c r="P876" s="11">
        <v>45307.0</v>
      </c>
      <c r="Q876" s="11">
        <v>44948.0</v>
      </c>
      <c r="R876" s="11">
        <v>45314.0</v>
      </c>
      <c r="S876" s="12"/>
      <c r="T876" s="8"/>
      <c r="U876" s="8" t="s">
        <v>795</v>
      </c>
      <c r="V876" s="13" t="s">
        <v>38</v>
      </c>
      <c r="W876" s="13" t="s">
        <v>4697</v>
      </c>
      <c r="X876" s="12"/>
      <c r="Y876" s="14"/>
      <c r="Z876" s="14"/>
    </row>
    <row r="877">
      <c r="A877" s="8" t="s">
        <v>4698</v>
      </c>
      <c r="B877" s="8" t="s">
        <v>4699</v>
      </c>
      <c r="C877" s="8" t="s">
        <v>25</v>
      </c>
      <c r="D877" s="8" t="s">
        <v>26</v>
      </c>
      <c r="E877" s="8" t="s">
        <v>4700</v>
      </c>
      <c r="F877" s="8">
        <v>5.346501607E9</v>
      </c>
      <c r="G877" s="8" t="s">
        <v>31</v>
      </c>
      <c r="H877" s="8" t="s">
        <v>111</v>
      </c>
      <c r="I877" s="8" t="s">
        <v>44</v>
      </c>
      <c r="J877" s="8" t="s">
        <v>2054</v>
      </c>
      <c r="K877" s="10" t="s">
        <v>4701</v>
      </c>
      <c r="L877" s="8" t="s">
        <v>58</v>
      </c>
      <c r="M877" s="8" t="s">
        <v>35</v>
      </c>
      <c r="N877" s="11">
        <v>44916.0</v>
      </c>
      <c r="O877" s="11">
        <v>45139.0</v>
      </c>
      <c r="P877" s="11">
        <v>45181.0</v>
      </c>
      <c r="Q877" s="11">
        <v>45139.0</v>
      </c>
      <c r="R877" s="11">
        <v>45181.0</v>
      </c>
      <c r="S877" s="12"/>
      <c r="T877" s="8"/>
      <c r="U877" s="8" t="s">
        <v>153</v>
      </c>
      <c r="V877" s="13" t="s">
        <v>111</v>
      </c>
      <c r="W877" s="13" t="s">
        <v>4702</v>
      </c>
      <c r="X877" s="12"/>
      <c r="Y877" s="14"/>
      <c r="Z877" s="14"/>
    </row>
    <row r="878">
      <c r="A878" s="8" t="s">
        <v>4703</v>
      </c>
      <c r="B878" s="8" t="s">
        <v>4704</v>
      </c>
      <c r="C878" s="8" t="s">
        <v>25</v>
      </c>
      <c r="D878" s="8" t="s">
        <v>26</v>
      </c>
      <c r="E878" s="8" t="s">
        <v>4705</v>
      </c>
      <c r="F878" s="8">
        <v>5.426807711E9</v>
      </c>
      <c r="G878" s="8" t="s">
        <v>31</v>
      </c>
      <c r="H878" s="8" t="s">
        <v>102</v>
      </c>
      <c r="I878" s="8" t="s">
        <v>44</v>
      </c>
      <c r="J878" s="8" t="s">
        <v>1993</v>
      </c>
      <c r="K878" s="10" t="s">
        <v>4706</v>
      </c>
      <c r="L878" s="8" t="s">
        <v>58</v>
      </c>
      <c r="M878" s="8" t="s">
        <v>35</v>
      </c>
      <c r="N878" s="11">
        <v>44916.0</v>
      </c>
      <c r="O878" s="11">
        <v>44961.0</v>
      </c>
      <c r="P878" s="11">
        <v>45003.0</v>
      </c>
      <c r="Q878" s="11">
        <v>44964.0</v>
      </c>
      <c r="R878" s="11">
        <v>45006.0</v>
      </c>
      <c r="S878" s="12"/>
      <c r="T878" s="8"/>
      <c r="U878" s="8" t="s">
        <v>153</v>
      </c>
      <c r="V878" s="13" t="s">
        <v>102</v>
      </c>
      <c r="W878" s="13" t="s">
        <v>4707</v>
      </c>
      <c r="X878" s="12"/>
      <c r="Y878" s="14"/>
      <c r="Z878" s="14"/>
    </row>
    <row r="879">
      <c r="A879" s="8" t="s">
        <v>4708</v>
      </c>
      <c r="B879" s="8" t="s">
        <v>4709</v>
      </c>
      <c r="C879" s="8" t="s">
        <v>179</v>
      </c>
      <c r="D879" s="8" t="s">
        <v>26</v>
      </c>
      <c r="E879" s="8" t="s">
        <v>4710</v>
      </c>
      <c r="F879" s="8">
        <v>9.0122599E7</v>
      </c>
      <c r="G879" s="8" t="s">
        <v>54</v>
      </c>
      <c r="H879" s="8" t="s">
        <v>430</v>
      </c>
      <c r="I879" s="8" t="s">
        <v>31</v>
      </c>
      <c r="J879" s="8" t="s">
        <v>32</v>
      </c>
      <c r="K879" s="10" t="s">
        <v>1095</v>
      </c>
      <c r="L879" s="8" t="s">
        <v>58</v>
      </c>
      <c r="M879" s="8" t="s">
        <v>35</v>
      </c>
      <c r="N879" s="11">
        <v>44916.0</v>
      </c>
      <c r="O879" s="11">
        <v>45102.0</v>
      </c>
      <c r="P879" s="11">
        <v>45144.0</v>
      </c>
      <c r="Q879" s="11"/>
      <c r="R879" s="11"/>
      <c r="S879" s="12"/>
      <c r="T879" s="8"/>
      <c r="U879" s="8" t="s">
        <v>59</v>
      </c>
      <c r="V879" s="13" t="s">
        <v>2130</v>
      </c>
      <c r="W879" s="13" t="s">
        <v>4711</v>
      </c>
      <c r="X879" s="12"/>
      <c r="Y879" s="14"/>
      <c r="Z879" s="14"/>
    </row>
    <row r="880">
      <c r="A880" s="8" t="s">
        <v>4712</v>
      </c>
      <c r="B880" s="8" t="s">
        <v>4713</v>
      </c>
      <c r="C880" s="8" t="s">
        <v>25</v>
      </c>
      <c r="D880" s="8" t="s">
        <v>26</v>
      </c>
      <c r="E880" s="8" t="s">
        <v>4714</v>
      </c>
      <c r="F880" s="8">
        <v>7.52427716E8</v>
      </c>
      <c r="G880" s="8" t="s">
        <v>127</v>
      </c>
      <c r="H880" s="8" t="s">
        <v>363</v>
      </c>
      <c r="I880" s="8" t="s">
        <v>31</v>
      </c>
      <c r="J880" s="8" t="s">
        <v>77</v>
      </c>
      <c r="K880" s="10" t="s">
        <v>2537</v>
      </c>
      <c r="L880" s="8" t="s">
        <v>58</v>
      </c>
      <c r="M880" s="8" t="s">
        <v>35</v>
      </c>
      <c r="N880" s="11">
        <v>44917.0</v>
      </c>
      <c r="O880" s="11">
        <v>45145.0</v>
      </c>
      <c r="P880" s="11">
        <v>45187.0</v>
      </c>
      <c r="Q880" s="11">
        <v>45145.0</v>
      </c>
      <c r="R880" s="11">
        <v>45187.0</v>
      </c>
      <c r="S880" s="12"/>
      <c r="T880" s="8"/>
      <c r="U880" s="8" t="s">
        <v>88</v>
      </c>
      <c r="V880" s="13" t="s">
        <v>4481</v>
      </c>
      <c r="W880" s="13" t="s">
        <v>4715</v>
      </c>
      <c r="X880" s="12"/>
      <c r="Y880" s="14"/>
      <c r="Z880" s="14"/>
    </row>
    <row r="881">
      <c r="A881" s="8" t="s">
        <v>4716</v>
      </c>
      <c r="B881" s="8" t="s">
        <v>4717</v>
      </c>
      <c r="C881" s="8" t="s">
        <v>251</v>
      </c>
      <c r="D881" s="8" t="s">
        <v>26</v>
      </c>
      <c r="E881" s="8" t="s">
        <v>4718</v>
      </c>
      <c r="F881" s="8"/>
      <c r="G881" s="8" t="s">
        <v>4719</v>
      </c>
      <c r="H881" s="8" t="s">
        <v>4720</v>
      </c>
      <c r="I881" s="8" t="s">
        <v>31</v>
      </c>
      <c r="J881" s="8" t="s">
        <v>56</v>
      </c>
      <c r="K881" s="10" t="s">
        <v>1765</v>
      </c>
      <c r="L881" s="8" t="s">
        <v>58</v>
      </c>
      <c r="M881" s="8" t="s">
        <v>35</v>
      </c>
      <c r="N881" s="11">
        <v>44917.0</v>
      </c>
      <c r="O881" s="11">
        <v>44938.0</v>
      </c>
      <c r="P881" s="11">
        <v>44980.0</v>
      </c>
      <c r="Q881" s="11"/>
      <c r="R881" s="11"/>
      <c r="S881" s="12"/>
      <c r="T881" s="8"/>
      <c r="U881" s="8" t="s">
        <v>185</v>
      </c>
      <c r="V881" s="13" t="s">
        <v>38</v>
      </c>
      <c r="W881" s="13" t="s">
        <v>4721</v>
      </c>
      <c r="X881" s="12"/>
      <c r="Y881" s="14"/>
      <c r="Z881" s="14"/>
    </row>
    <row r="882">
      <c r="A882" s="8" t="s">
        <v>4722</v>
      </c>
      <c r="B882" s="8" t="s">
        <v>4723</v>
      </c>
      <c r="C882" s="8" t="s">
        <v>25</v>
      </c>
      <c r="D882" s="8" t="s">
        <v>26</v>
      </c>
      <c r="E882" s="8" t="s">
        <v>4724</v>
      </c>
      <c r="F882" s="8">
        <v>5.306463999E9</v>
      </c>
      <c r="G882" s="8" t="s">
        <v>31</v>
      </c>
      <c r="H882" s="8" t="s">
        <v>56</v>
      </c>
      <c r="I882" s="8" t="s">
        <v>127</v>
      </c>
      <c r="J882" s="8" t="s">
        <v>128</v>
      </c>
      <c r="K882" s="10" t="s">
        <v>4725</v>
      </c>
      <c r="L882" s="8" t="s">
        <v>58</v>
      </c>
      <c r="M882" s="8" t="s">
        <v>35</v>
      </c>
      <c r="N882" s="11">
        <v>44918.0</v>
      </c>
      <c r="O882" s="11">
        <v>45124.0</v>
      </c>
      <c r="P882" s="11">
        <v>45166.0</v>
      </c>
      <c r="Q882" s="11">
        <v>45124.0</v>
      </c>
      <c r="R882" s="11">
        <v>45166.0</v>
      </c>
      <c r="S882" s="12"/>
      <c r="T882" s="8"/>
      <c r="U882" s="8" t="s">
        <v>59</v>
      </c>
      <c r="V882" s="13" t="s">
        <v>56</v>
      </c>
      <c r="W882" s="13" t="s">
        <v>4726</v>
      </c>
      <c r="X882" s="12"/>
      <c r="Y882" s="14"/>
      <c r="Z882" s="14"/>
    </row>
    <row r="883">
      <c r="A883" s="8" t="s">
        <v>4727</v>
      </c>
      <c r="B883" s="8" t="s">
        <v>4728</v>
      </c>
      <c r="C883" s="8" t="s">
        <v>25</v>
      </c>
      <c r="D883" s="8" t="s">
        <v>26</v>
      </c>
      <c r="E883" s="8" t="s">
        <v>4729</v>
      </c>
      <c r="F883" s="8">
        <v>5.533196043E9</v>
      </c>
      <c r="G883" s="8" t="s">
        <v>31</v>
      </c>
      <c r="H883" s="8" t="s">
        <v>56</v>
      </c>
      <c r="I883" s="8" t="s">
        <v>54</v>
      </c>
      <c r="J883" s="8" t="s">
        <v>595</v>
      </c>
      <c r="K883" s="10" t="s">
        <v>4730</v>
      </c>
      <c r="L883" s="8" t="s">
        <v>58</v>
      </c>
      <c r="M883" s="8" t="s">
        <v>35</v>
      </c>
      <c r="N883" s="11">
        <v>44918.0</v>
      </c>
      <c r="O883" s="11">
        <v>45127.0</v>
      </c>
      <c r="P883" s="11">
        <v>45169.0</v>
      </c>
      <c r="Q883" s="11">
        <v>45128.0</v>
      </c>
      <c r="R883" s="11">
        <v>45169.0</v>
      </c>
      <c r="S883" s="12"/>
      <c r="T883" s="8"/>
      <c r="U883" s="8" t="s">
        <v>185</v>
      </c>
      <c r="V883" s="13" t="s">
        <v>56</v>
      </c>
      <c r="W883" s="13" t="s">
        <v>4731</v>
      </c>
      <c r="X883" s="12"/>
      <c r="Y883" s="14"/>
      <c r="Z883" s="14"/>
    </row>
    <row r="884">
      <c r="A884" s="8" t="s">
        <v>4732</v>
      </c>
      <c r="B884" s="8" t="s">
        <v>4733</v>
      </c>
      <c r="C884" s="8" t="s">
        <v>64</v>
      </c>
      <c r="D884" s="8" t="s">
        <v>26</v>
      </c>
      <c r="E884" s="8" t="s">
        <v>4734</v>
      </c>
      <c r="F884" s="8">
        <v>5.533317948E9</v>
      </c>
      <c r="G884" s="8" t="s">
        <v>31</v>
      </c>
      <c r="H884" s="8" t="s">
        <v>56</v>
      </c>
      <c r="I884" s="8" t="s">
        <v>54</v>
      </c>
      <c r="J884" s="8" t="s">
        <v>595</v>
      </c>
      <c r="K884" s="10" t="s">
        <v>4730</v>
      </c>
      <c r="L884" s="8" t="s">
        <v>58</v>
      </c>
      <c r="M884" s="8" t="s">
        <v>35</v>
      </c>
      <c r="N884" s="11">
        <v>44918.0</v>
      </c>
      <c r="O884" s="11">
        <v>45127.0</v>
      </c>
      <c r="P884" s="11">
        <v>45169.0</v>
      </c>
      <c r="Q884" s="11">
        <v>45128.0</v>
      </c>
      <c r="R884" s="11">
        <v>45169.0</v>
      </c>
      <c r="S884" s="12"/>
      <c r="T884" s="8"/>
      <c r="U884" s="8" t="s">
        <v>185</v>
      </c>
      <c r="V884" s="13" t="s">
        <v>56</v>
      </c>
      <c r="W884" s="13" t="s">
        <v>4735</v>
      </c>
      <c r="X884" s="12"/>
      <c r="Y884" s="14"/>
      <c r="Z884" s="14"/>
    </row>
    <row r="885">
      <c r="A885" s="8" t="s">
        <v>4736</v>
      </c>
      <c r="B885" s="8" t="s">
        <v>4737</v>
      </c>
      <c r="C885" s="8" t="s">
        <v>179</v>
      </c>
      <c r="D885" s="8" t="s">
        <v>26</v>
      </c>
      <c r="E885" s="8" t="s">
        <v>4738</v>
      </c>
      <c r="F885" s="8"/>
      <c r="G885" s="8" t="s">
        <v>31</v>
      </c>
      <c r="H885" s="8" t="s">
        <v>56</v>
      </c>
      <c r="I885" s="8" t="s">
        <v>127</v>
      </c>
      <c r="J885" s="8" t="s">
        <v>128</v>
      </c>
      <c r="K885" s="10" t="s">
        <v>4739</v>
      </c>
      <c r="L885" s="8" t="s">
        <v>58</v>
      </c>
      <c r="M885" s="8" t="s">
        <v>35</v>
      </c>
      <c r="N885" s="11">
        <v>44918.0</v>
      </c>
      <c r="O885" s="11">
        <v>45096.0</v>
      </c>
      <c r="P885" s="11">
        <v>45138.0</v>
      </c>
      <c r="Q885" s="11"/>
      <c r="R885" s="11"/>
      <c r="S885" s="12"/>
      <c r="T885" s="8"/>
      <c r="U885" s="8" t="s">
        <v>59</v>
      </c>
      <c r="V885" s="13" t="s">
        <v>38</v>
      </c>
      <c r="W885" s="13" t="s">
        <v>4740</v>
      </c>
      <c r="X885" s="12"/>
      <c r="Y885" s="14"/>
      <c r="Z885" s="14"/>
    </row>
    <row r="886">
      <c r="A886" s="8" t="s">
        <v>4741</v>
      </c>
      <c r="B886" s="8" t="s">
        <v>4195</v>
      </c>
      <c r="C886" s="8" t="s">
        <v>64</v>
      </c>
      <c r="D886" s="8" t="s">
        <v>26</v>
      </c>
      <c r="E886" s="8" t="s">
        <v>4196</v>
      </c>
      <c r="F886" s="8"/>
      <c r="G886" s="8" t="s">
        <v>84</v>
      </c>
      <c r="H886" s="8" t="s">
        <v>1234</v>
      </c>
      <c r="I886" s="8" t="s">
        <v>31</v>
      </c>
      <c r="J886" s="8" t="s">
        <v>66</v>
      </c>
      <c r="K886" s="10" t="s">
        <v>4742</v>
      </c>
      <c r="L886" s="8" t="s">
        <v>47</v>
      </c>
      <c r="M886" s="8" t="s">
        <v>70</v>
      </c>
      <c r="N886" s="11">
        <v>44920.0</v>
      </c>
      <c r="O886" s="11">
        <v>44907.0</v>
      </c>
      <c r="P886" s="11">
        <v>45184.0</v>
      </c>
      <c r="Q886" s="11">
        <v>45025.0</v>
      </c>
      <c r="R886" s="11">
        <v>45302.0</v>
      </c>
      <c r="S886" s="12"/>
      <c r="T886" s="8"/>
      <c r="U886" s="8" t="s">
        <v>4743</v>
      </c>
      <c r="V886" s="13" t="s">
        <v>38</v>
      </c>
      <c r="W886" s="13" t="s">
        <v>4199</v>
      </c>
      <c r="X886" s="12"/>
      <c r="Y886" s="14"/>
      <c r="Z886" s="14"/>
    </row>
    <row r="887">
      <c r="A887" s="8" t="s">
        <v>4744</v>
      </c>
      <c r="B887" s="8" t="s">
        <v>4745</v>
      </c>
      <c r="C887" s="8" t="s">
        <v>64</v>
      </c>
      <c r="D887" s="8" t="s">
        <v>26</v>
      </c>
      <c r="E887" s="8" t="s">
        <v>4746</v>
      </c>
      <c r="F887" s="8">
        <v>7.17207339E8</v>
      </c>
      <c r="G887" s="8" t="s">
        <v>84</v>
      </c>
      <c r="H887" s="8" t="s">
        <v>1127</v>
      </c>
      <c r="I887" s="8" t="s">
        <v>31</v>
      </c>
      <c r="J887" s="8" t="s">
        <v>542</v>
      </c>
      <c r="K887" s="10" t="s">
        <v>4747</v>
      </c>
      <c r="L887" s="8" t="s">
        <v>34</v>
      </c>
      <c r="M887" s="8" t="s">
        <v>70</v>
      </c>
      <c r="N887" s="11">
        <v>44921.0</v>
      </c>
      <c r="O887" s="11">
        <v>44956.0</v>
      </c>
      <c r="P887" s="11">
        <v>45317.0</v>
      </c>
      <c r="Q887" s="11">
        <v>44951.0</v>
      </c>
      <c r="R887" s="11">
        <v>45317.0</v>
      </c>
      <c r="S887" s="12"/>
      <c r="T887" s="8" t="s">
        <v>205</v>
      </c>
      <c r="U887" s="8" t="s">
        <v>4748</v>
      </c>
      <c r="V887" s="13" t="s">
        <v>1302</v>
      </c>
      <c r="W887" s="13" t="s">
        <v>4749</v>
      </c>
      <c r="X887" s="12"/>
      <c r="Y887" s="14"/>
      <c r="Z887" s="14"/>
    </row>
    <row r="888">
      <c r="A888" s="8" t="s">
        <v>4750</v>
      </c>
      <c r="B888" s="8" t="s">
        <v>4751</v>
      </c>
      <c r="C888" s="8" t="s">
        <v>179</v>
      </c>
      <c r="D888" s="8" t="s">
        <v>26</v>
      </c>
      <c r="E888" s="8" t="s">
        <v>4752</v>
      </c>
      <c r="F888" s="8">
        <v>9.978698098E9</v>
      </c>
      <c r="G888" s="8" t="s">
        <v>44</v>
      </c>
      <c r="H888" s="8" t="s">
        <v>4753</v>
      </c>
      <c r="I888" s="8" t="s">
        <v>31</v>
      </c>
      <c r="J888" s="8" t="s">
        <v>32</v>
      </c>
      <c r="K888" s="10" t="s">
        <v>1813</v>
      </c>
      <c r="L888" s="8" t="s">
        <v>58</v>
      </c>
      <c r="M888" s="8" t="s">
        <v>35</v>
      </c>
      <c r="N888" s="11">
        <v>44921.0</v>
      </c>
      <c r="O888" s="11">
        <v>45081.0</v>
      </c>
      <c r="P888" s="11">
        <v>45123.0</v>
      </c>
      <c r="Q888" s="11"/>
      <c r="R888" s="11"/>
      <c r="S888" s="12"/>
      <c r="T888" s="8"/>
      <c r="U888" s="8" t="s">
        <v>161</v>
      </c>
      <c r="V888" s="13" t="s">
        <v>4754</v>
      </c>
      <c r="W888" s="13" t="s">
        <v>4755</v>
      </c>
      <c r="X888" s="12"/>
      <c r="Y888" s="14"/>
      <c r="Z888" s="14"/>
    </row>
    <row r="889">
      <c r="A889" s="8" t="s">
        <v>4756</v>
      </c>
      <c r="B889" s="8" t="s">
        <v>4757</v>
      </c>
      <c r="C889" s="8" t="s">
        <v>25</v>
      </c>
      <c r="D889" s="8" t="s">
        <v>26</v>
      </c>
      <c r="E889" s="8" t="s">
        <v>4758</v>
      </c>
      <c r="F889" s="8"/>
      <c r="G889" s="8" t="s">
        <v>31</v>
      </c>
      <c r="H889" s="8" t="s">
        <v>86</v>
      </c>
      <c r="I889" s="8" t="s">
        <v>127</v>
      </c>
      <c r="J889" s="8" t="s">
        <v>2182</v>
      </c>
      <c r="K889" s="10" t="s">
        <v>4517</v>
      </c>
      <c r="L889" s="8" t="s">
        <v>58</v>
      </c>
      <c r="M889" s="8" t="s">
        <v>35</v>
      </c>
      <c r="N889" s="11">
        <v>44921.0</v>
      </c>
      <c r="O889" s="11">
        <v>45089.0</v>
      </c>
      <c r="P889" s="11">
        <v>45131.0</v>
      </c>
      <c r="Q889" s="11">
        <v>45089.0</v>
      </c>
      <c r="R889" s="11">
        <v>45131.0</v>
      </c>
      <c r="S889" s="12"/>
      <c r="T889" s="8"/>
      <c r="U889" s="8" t="s">
        <v>59</v>
      </c>
      <c r="V889" s="13" t="s">
        <v>175</v>
      </c>
      <c r="W889" s="13" t="s">
        <v>4759</v>
      </c>
      <c r="X889" s="12"/>
      <c r="Y889" s="14"/>
      <c r="Z889" s="14"/>
    </row>
    <row r="890">
      <c r="A890" s="8" t="s">
        <v>4760</v>
      </c>
      <c r="B890" s="8" t="s">
        <v>4761</v>
      </c>
      <c r="C890" s="8" t="s">
        <v>25</v>
      </c>
      <c r="D890" s="8" t="s">
        <v>26</v>
      </c>
      <c r="E890" s="8" t="s">
        <v>4762</v>
      </c>
      <c r="F890" s="8">
        <v>1.064338007E9</v>
      </c>
      <c r="G890" s="8" t="s">
        <v>284</v>
      </c>
      <c r="H890" s="8" t="s">
        <v>854</v>
      </c>
      <c r="I890" s="8" t="s">
        <v>31</v>
      </c>
      <c r="J890" s="8" t="s">
        <v>1119</v>
      </c>
      <c r="K890" s="10" t="s">
        <v>2736</v>
      </c>
      <c r="L890" s="8" t="s">
        <v>58</v>
      </c>
      <c r="M890" s="8" t="s">
        <v>35</v>
      </c>
      <c r="N890" s="11">
        <v>44922.0</v>
      </c>
      <c r="O890" s="11">
        <v>45109.0</v>
      </c>
      <c r="P890" s="11">
        <v>45151.0</v>
      </c>
      <c r="Q890" s="11">
        <v>45113.0</v>
      </c>
      <c r="R890" s="11">
        <v>45155.0</v>
      </c>
      <c r="S890" s="12"/>
      <c r="T890" s="8"/>
      <c r="U890" s="8" t="s">
        <v>59</v>
      </c>
      <c r="V890" s="13" t="s">
        <v>856</v>
      </c>
      <c r="W890" s="13" t="s">
        <v>4763</v>
      </c>
      <c r="X890" s="12"/>
      <c r="Y890" s="14"/>
      <c r="Z890" s="14"/>
    </row>
    <row r="891">
      <c r="A891" s="8" t="s">
        <v>4764</v>
      </c>
      <c r="B891" s="8" t="s">
        <v>4765</v>
      </c>
      <c r="C891" s="8" t="s">
        <v>25</v>
      </c>
      <c r="D891" s="8" t="s">
        <v>26</v>
      </c>
      <c r="E891" s="8" t="s">
        <v>4766</v>
      </c>
      <c r="F891" s="8">
        <v>5.457220437E9</v>
      </c>
      <c r="G891" s="8" t="s">
        <v>31</v>
      </c>
      <c r="H891" s="8" t="s">
        <v>292</v>
      </c>
      <c r="I891" s="8" t="s">
        <v>44</v>
      </c>
      <c r="J891" s="8" t="s">
        <v>1993</v>
      </c>
      <c r="K891" s="10" t="s">
        <v>2645</v>
      </c>
      <c r="L891" s="8" t="s">
        <v>58</v>
      </c>
      <c r="M891" s="8" t="s">
        <v>35</v>
      </c>
      <c r="N891" s="11">
        <v>44922.0</v>
      </c>
      <c r="O891" s="11">
        <v>45108.0</v>
      </c>
      <c r="P891" s="11">
        <v>45150.0</v>
      </c>
      <c r="Q891" s="11">
        <v>45108.0</v>
      </c>
      <c r="R891" s="11">
        <v>45150.0</v>
      </c>
      <c r="S891" s="12"/>
      <c r="T891" s="8"/>
      <c r="U891" s="8" t="s">
        <v>88</v>
      </c>
      <c r="V891" s="13" t="s">
        <v>292</v>
      </c>
      <c r="W891" s="13" t="s">
        <v>4767</v>
      </c>
      <c r="X891" s="12"/>
      <c r="Y891" s="14"/>
      <c r="Z891" s="14"/>
    </row>
    <row r="892">
      <c r="A892" s="8" t="s">
        <v>4768</v>
      </c>
      <c r="B892" s="8" t="s">
        <v>1443</v>
      </c>
      <c r="C892" s="8" t="s">
        <v>25</v>
      </c>
      <c r="D892" s="8" t="s">
        <v>26</v>
      </c>
      <c r="E892" s="8" t="s">
        <v>1444</v>
      </c>
      <c r="F892" s="8">
        <v>5.322191395E9</v>
      </c>
      <c r="G892" s="8" t="s">
        <v>31</v>
      </c>
      <c r="H892" s="8" t="s">
        <v>111</v>
      </c>
      <c r="I892" s="8" t="s">
        <v>1720</v>
      </c>
      <c r="J892" s="8" t="s">
        <v>4769</v>
      </c>
      <c r="K892" s="10" t="s">
        <v>4770</v>
      </c>
      <c r="L892" s="8" t="s">
        <v>58</v>
      </c>
      <c r="M892" s="8" t="s">
        <v>35</v>
      </c>
      <c r="N892" s="11">
        <v>44922.0</v>
      </c>
      <c r="O892" s="11">
        <v>44977.0</v>
      </c>
      <c r="P892" s="11">
        <v>45019.0</v>
      </c>
      <c r="Q892" s="11">
        <v>44979.0</v>
      </c>
      <c r="R892" s="11">
        <v>45019.0</v>
      </c>
      <c r="S892" s="12"/>
      <c r="T892" s="8"/>
      <c r="U892" s="8" t="s">
        <v>59</v>
      </c>
      <c r="V892" s="13" t="s">
        <v>111</v>
      </c>
      <c r="W892" s="13" t="s">
        <v>1446</v>
      </c>
      <c r="X892" s="12"/>
      <c r="Y892" s="14"/>
      <c r="Z892" s="14"/>
    </row>
    <row r="893">
      <c r="A893" s="8" t="s">
        <v>4771</v>
      </c>
      <c r="B893" s="8" t="s">
        <v>4772</v>
      </c>
      <c r="C893" s="8" t="s">
        <v>179</v>
      </c>
      <c r="D893" s="8" t="s">
        <v>26</v>
      </c>
      <c r="E893" s="8" t="s">
        <v>4773</v>
      </c>
      <c r="F893" s="8">
        <v>7.92131965E8</v>
      </c>
      <c r="G893" s="8" t="s">
        <v>254</v>
      </c>
      <c r="H893" s="8" t="s">
        <v>422</v>
      </c>
      <c r="I893" s="8" t="s">
        <v>31</v>
      </c>
      <c r="J893" s="8" t="s">
        <v>66</v>
      </c>
      <c r="K893" s="10" t="s">
        <v>4774</v>
      </c>
      <c r="L893" s="8" t="s">
        <v>47</v>
      </c>
      <c r="M893" s="8" t="s">
        <v>48</v>
      </c>
      <c r="N893" s="11">
        <v>44923.0</v>
      </c>
      <c r="O893" s="11">
        <v>44972.0</v>
      </c>
      <c r="P893" s="11">
        <v>45153.0</v>
      </c>
      <c r="Q893" s="11"/>
      <c r="R893" s="11"/>
      <c r="S893" s="12"/>
      <c r="T893" s="8"/>
      <c r="U893" s="8" t="s">
        <v>4775</v>
      </c>
      <c r="V893" s="13" t="s">
        <v>38</v>
      </c>
      <c r="W893" s="13" t="s">
        <v>4776</v>
      </c>
      <c r="X893" s="12"/>
      <c r="Y893" s="14"/>
      <c r="Z893" s="14"/>
    </row>
    <row r="894">
      <c r="A894" s="8" t="s">
        <v>4777</v>
      </c>
      <c r="B894" s="8" t="s">
        <v>4778</v>
      </c>
      <c r="C894" s="8" t="s">
        <v>708</v>
      </c>
      <c r="D894" s="8" t="s">
        <v>26</v>
      </c>
      <c r="E894" s="8" t="s">
        <v>4779</v>
      </c>
      <c r="F894" s="8">
        <v>5.5326277E7</v>
      </c>
      <c r="G894" s="8" t="s">
        <v>54</v>
      </c>
      <c r="H894" s="8" t="s">
        <v>430</v>
      </c>
      <c r="I894" s="8" t="s">
        <v>31</v>
      </c>
      <c r="J894" s="8" t="s">
        <v>77</v>
      </c>
      <c r="K894" s="10" t="s">
        <v>1179</v>
      </c>
      <c r="L894" s="8" t="s">
        <v>47</v>
      </c>
      <c r="M894" s="8" t="s">
        <v>70</v>
      </c>
      <c r="N894" s="11">
        <v>44923.0</v>
      </c>
      <c r="O894" s="11">
        <v>44956.0</v>
      </c>
      <c r="P894" s="11">
        <v>45321.0</v>
      </c>
      <c r="Q894" s="11">
        <v>44967.0</v>
      </c>
      <c r="R894" s="11">
        <v>45330.0</v>
      </c>
      <c r="S894" s="12"/>
      <c r="T894" s="8"/>
      <c r="U894" s="8" t="s">
        <v>1180</v>
      </c>
      <c r="V894" s="13" t="s">
        <v>4780</v>
      </c>
      <c r="W894" s="13" t="s">
        <v>4781</v>
      </c>
      <c r="X894" s="12"/>
      <c r="Y894" s="14"/>
      <c r="Z894" s="14"/>
    </row>
    <row r="895">
      <c r="A895" s="8" t="s">
        <v>4782</v>
      </c>
      <c r="B895" s="8" t="s">
        <v>4783</v>
      </c>
      <c r="C895" s="8" t="s">
        <v>179</v>
      </c>
      <c r="D895" s="8" t="s">
        <v>26</v>
      </c>
      <c r="E895" s="8" t="s">
        <v>4784</v>
      </c>
      <c r="F895" s="8">
        <v>5.535706835E9</v>
      </c>
      <c r="G895" s="8" t="s">
        <v>31</v>
      </c>
      <c r="H895" s="8" t="s">
        <v>292</v>
      </c>
      <c r="I895" s="8" t="s">
        <v>1595</v>
      </c>
      <c r="J895" s="8" t="s">
        <v>4785</v>
      </c>
      <c r="K895" s="10" t="s">
        <v>4786</v>
      </c>
      <c r="L895" s="8" t="s">
        <v>47</v>
      </c>
      <c r="M895" s="8" t="s">
        <v>48</v>
      </c>
      <c r="N895" s="11">
        <v>44923.0</v>
      </c>
      <c r="O895" s="11">
        <v>44971.0</v>
      </c>
      <c r="P895" s="11">
        <v>45062.0</v>
      </c>
      <c r="Q895" s="11"/>
      <c r="R895" s="11"/>
      <c r="S895" s="12"/>
      <c r="T895" s="8"/>
      <c r="U895" s="8" t="s">
        <v>4787</v>
      </c>
      <c r="V895" s="13" t="s">
        <v>292</v>
      </c>
      <c r="W895" s="13" t="s">
        <v>4788</v>
      </c>
      <c r="X895" s="12"/>
      <c r="Y895" s="14"/>
      <c r="Z895" s="14"/>
    </row>
    <row r="896">
      <c r="A896" s="8" t="s">
        <v>4789</v>
      </c>
      <c r="B896" s="8" t="s">
        <v>4790</v>
      </c>
      <c r="C896" s="8" t="s">
        <v>179</v>
      </c>
      <c r="D896" s="8" t="s">
        <v>26</v>
      </c>
      <c r="E896" s="8" t="s">
        <v>4791</v>
      </c>
      <c r="F896" s="8">
        <v>2.01545712E8</v>
      </c>
      <c r="G896" s="8" t="s">
        <v>44</v>
      </c>
      <c r="H896" s="8" t="s">
        <v>881</v>
      </c>
      <c r="I896" s="8" t="s">
        <v>31</v>
      </c>
      <c r="J896" s="8" t="s">
        <v>56</v>
      </c>
      <c r="K896" s="10" t="s">
        <v>1765</v>
      </c>
      <c r="L896" s="8" t="s">
        <v>58</v>
      </c>
      <c r="M896" s="8" t="s">
        <v>35</v>
      </c>
      <c r="N896" s="11">
        <v>44923.0</v>
      </c>
      <c r="O896" s="11">
        <v>44938.0</v>
      </c>
      <c r="P896" s="11">
        <v>44980.0</v>
      </c>
      <c r="Q896" s="11"/>
      <c r="R896" s="11"/>
      <c r="S896" s="12"/>
      <c r="T896" s="8"/>
      <c r="U896" s="8" t="s">
        <v>185</v>
      </c>
      <c r="V896" s="13" t="s">
        <v>4792</v>
      </c>
      <c r="W896" s="13" t="s">
        <v>4793</v>
      </c>
      <c r="X896" s="12"/>
      <c r="Y896" s="14"/>
      <c r="Z896" s="14"/>
    </row>
    <row r="897">
      <c r="A897" s="8" t="s">
        <v>4794</v>
      </c>
      <c r="B897" s="8" t="s">
        <v>4795</v>
      </c>
      <c r="C897" s="8" t="s">
        <v>25</v>
      </c>
      <c r="D897" s="8" t="s">
        <v>26</v>
      </c>
      <c r="E897" s="8" t="s">
        <v>4796</v>
      </c>
      <c r="F897" s="8">
        <v>5.45567755E9</v>
      </c>
      <c r="G897" s="8" t="s">
        <v>31</v>
      </c>
      <c r="H897" s="8" t="s">
        <v>86</v>
      </c>
      <c r="I897" s="8" t="s">
        <v>221</v>
      </c>
      <c r="J897" s="8" t="s">
        <v>2760</v>
      </c>
      <c r="K897" s="10" t="s">
        <v>4797</v>
      </c>
      <c r="L897" s="8" t="s">
        <v>58</v>
      </c>
      <c r="M897" s="8" t="s">
        <v>35</v>
      </c>
      <c r="N897" s="11">
        <v>44924.0</v>
      </c>
      <c r="O897" s="11">
        <v>44942.0</v>
      </c>
      <c r="P897" s="11">
        <v>44984.0</v>
      </c>
      <c r="Q897" s="11">
        <v>44947.0</v>
      </c>
      <c r="R897" s="11">
        <v>44989.0</v>
      </c>
      <c r="S897" s="12"/>
      <c r="T897" s="8"/>
      <c r="U897" s="8" t="s">
        <v>88</v>
      </c>
      <c r="V897" s="13" t="s">
        <v>4798</v>
      </c>
      <c r="W897" s="13" t="s">
        <v>4799</v>
      </c>
      <c r="X897" s="12"/>
      <c r="Y897" s="14"/>
      <c r="Z897" s="14"/>
    </row>
    <row r="898">
      <c r="A898" s="8" t="s">
        <v>4800</v>
      </c>
      <c r="B898" s="8" t="s">
        <v>4801</v>
      </c>
      <c r="C898" s="8" t="s">
        <v>64</v>
      </c>
      <c r="D898" s="8" t="s">
        <v>26</v>
      </c>
      <c r="E898" s="8" t="s">
        <v>4802</v>
      </c>
      <c r="F898" s="9" t="s">
        <v>4803</v>
      </c>
      <c r="G898" s="8" t="s">
        <v>84</v>
      </c>
      <c r="H898" s="8" t="s">
        <v>1127</v>
      </c>
      <c r="I898" s="8" t="s">
        <v>31</v>
      </c>
      <c r="J898" s="8" t="s">
        <v>542</v>
      </c>
      <c r="K898" s="10" t="s">
        <v>4626</v>
      </c>
      <c r="L898" s="8" t="s">
        <v>34</v>
      </c>
      <c r="M898" s="8" t="s">
        <v>70</v>
      </c>
      <c r="N898" s="11">
        <v>44924.0</v>
      </c>
      <c r="O898" s="11">
        <v>44956.0</v>
      </c>
      <c r="P898" s="11">
        <v>45317.0</v>
      </c>
      <c r="Q898" s="11">
        <v>44951.0</v>
      </c>
      <c r="R898" s="11">
        <v>45317.0</v>
      </c>
      <c r="S898" s="12"/>
      <c r="T898" s="8" t="s">
        <v>205</v>
      </c>
      <c r="U898" s="8" t="s">
        <v>4627</v>
      </c>
      <c r="V898" s="13" t="s">
        <v>1302</v>
      </c>
      <c r="W898" s="13" t="s">
        <v>4804</v>
      </c>
      <c r="X898" s="12"/>
      <c r="Y898" s="14"/>
      <c r="Z898" s="14"/>
    </row>
    <row r="899">
      <c r="A899" s="8" t="s">
        <v>4805</v>
      </c>
      <c r="B899" s="8" t="s">
        <v>4806</v>
      </c>
      <c r="C899" s="8" t="s">
        <v>25</v>
      </c>
      <c r="D899" s="8" t="s">
        <v>26</v>
      </c>
      <c r="E899" s="8" t="s">
        <v>4807</v>
      </c>
      <c r="F899" s="8"/>
      <c r="G899" s="8" t="s">
        <v>31</v>
      </c>
      <c r="H899" s="8" t="s">
        <v>86</v>
      </c>
      <c r="I899" s="8" t="s">
        <v>221</v>
      </c>
      <c r="J899" s="8" t="s">
        <v>1254</v>
      </c>
      <c r="K899" s="10" t="s">
        <v>4376</v>
      </c>
      <c r="L899" s="8" t="s">
        <v>58</v>
      </c>
      <c r="M899" s="8" t="s">
        <v>35</v>
      </c>
      <c r="N899" s="11">
        <v>44925.0</v>
      </c>
      <c r="O899" s="11">
        <v>44941.0</v>
      </c>
      <c r="P899" s="11">
        <v>44983.0</v>
      </c>
      <c r="Q899" s="11">
        <v>44943.0</v>
      </c>
      <c r="R899" s="11">
        <v>44983.0</v>
      </c>
      <c r="S899" s="12"/>
      <c r="T899" s="8"/>
      <c r="U899" s="8" t="s">
        <v>88</v>
      </c>
      <c r="V899" s="13" t="s">
        <v>38</v>
      </c>
      <c r="W899" s="13" t="s">
        <v>4808</v>
      </c>
      <c r="X899" s="12"/>
      <c r="Y899" s="14"/>
      <c r="Z899" s="14"/>
    </row>
    <row r="900">
      <c r="A900" s="8" t="s">
        <v>4809</v>
      </c>
      <c r="B900" s="8" t="s">
        <v>4810</v>
      </c>
      <c r="C900" s="8" t="s">
        <v>251</v>
      </c>
      <c r="D900" s="8" t="s">
        <v>26</v>
      </c>
      <c r="E900" s="8" t="s">
        <v>4811</v>
      </c>
      <c r="F900" s="8">
        <v>6.0952364E8</v>
      </c>
      <c r="G900" s="8" t="s">
        <v>84</v>
      </c>
      <c r="H900" s="8" t="s">
        <v>1127</v>
      </c>
      <c r="I900" s="8" t="s">
        <v>31</v>
      </c>
      <c r="J900" s="8" t="s">
        <v>111</v>
      </c>
      <c r="K900" s="10" t="s">
        <v>2864</v>
      </c>
      <c r="L900" s="8" t="s">
        <v>34</v>
      </c>
      <c r="M900" s="8" t="s">
        <v>35</v>
      </c>
      <c r="N900" s="11">
        <v>44925.0</v>
      </c>
      <c r="O900" s="11">
        <v>44937.0</v>
      </c>
      <c r="P900" s="11">
        <v>45020.0</v>
      </c>
      <c r="Q900" s="11"/>
      <c r="R900" s="11"/>
      <c r="S900" s="12"/>
      <c r="T900" s="8" t="s">
        <v>121</v>
      </c>
      <c r="U900" s="8" t="s">
        <v>122</v>
      </c>
      <c r="V900" s="13" t="s">
        <v>1302</v>
      </c>
      <c r="W900" s="13" t="s">
        <v>4812</v>
      </c>
      <c r="X900" s="12"/>
      <c r="Y900" s="14"/>
      <c r="Z900" s="14"/>
    </row>
    <row r="901">
      <c r="A901" s="8" t="s">
        <v>4813</v>
      </c>
      <c r="B901" s="8" t="s">
        <v>4814</v>
      </c>
      <c r="C901" s="8" t="s">
        <v>179</v>
      </c>
      <c r="D901" s="8" t="s">
        <v>26</v>
      </c>
      <c r="E901" s="8" t="s">
        <v>4815</v>
      </c>
      <c r="F901" s="8">
        <v>1.200887239E9</v>
      </c>
      <c r="G901" s="8" t="s">
        <v>284</v>
      </c>
      <c r="H901" s="8" t="s">
        <v>793</v>
      </c>
      <c r="I901" s="8" t="s">
        <v>31</v>
      </c>
      <c r="J901" s="8" t="s">
        <v>66</v>
      </c>
      <c r="K901" s="10" t="s">
        <v>4774</v>
      </c>
      <c r="L901" s="8" t="s">
        <v>47</v>
      </c>
      <c r="M901" s="8" t="s">
        <v>48</v>
      </c>
      <c r="N901" s="11">
        <v>44925.0</v>
      </c>
      <c r="O901" s="11">
        <v>44972.0</v>
      </c>
      <c r="P901" s="11">
        <v>45153.0</v>
      </c>
      <c r="Q901" s="11"/>
      <c r="R901" s="11"/>
      <c r="S901" s="12"/>
      <c r="T901" s="8"/>
      <c r="U901" s="8" t="s">
        <v>4775</v>
      </c>
      <c r="V901" s="13" t="s">
        <v>793</v>
      </c>
      <c r="W901" s="13" t="s">
        <v>4816</v>
      </c>
      <c r="X901" s="12"/>
      <c r="Y901" s="14"/>
      <c r="Z901" s="14"/>
    </row>
    <row r="902">
      <c r="A902" s="8" t="s">
        <v>4817</v>
      </c>
      <c r="B902" s="8" t="s">
        <v>4818</v>
      </c>
      <c r="C902" s="8" t="s">
        <v>179</v>
      </c>
      <c r="D902" s="8" t="s">
        <v>26</v>
      </c>
      <c r="E902" s="8" t="s">
        <v>4819</v>
      </c>
      <c r="F902" s="8">
        <v>1.093169849E9</v>
      </c>
      <c r="G902" s="8" t="s">
        <v>284</v>
      </c>
      <c r="H902" s="8" t="s">
        <v>854</v>
      </c>
      <c r="I902" s="8" t="s">
        <v>31</v>
      </c>
      <c r="J902" s="8" t="s">
        <v>66</v>
      </c>
      <c r="K902" s="10" t="s">
        <v>3257</v>
      </c>
      <c r="L902" s="8" t="s">
        <v>58</v>
      </c>
      <c r="M902" s="8" t="s">
        <v>35</v>
      </c>
      <c r="N902" s="11">
        <v>44925.0</v>
      </c>
      <c r="O902" s="11">
        <v>44970.0</v>
      </c>
      <c r="P902" s="11">
        <v>45012.0</v>
      </c>
      <c r="Q902" s="11"/>
      <c r="R902" s="11"/>
      <c r="S902" s="12"/>
      <c r="T902" s="8"/>
      <c r="U902" s="8" t="s">
        <v>59</v>
      </c>
      <c r="V902" s="13" t="s">
        <v>856</v>
      </c>
      <c r="W902" s="13" t="s">
        <v>4820</v>
      </c>
      <c r="X902" s="12"/>
      <c r="Y902" s="14"/>
      <c r="Z902" s="14"/>
    </row>
    <row r="903">
      <c r="A903" s="8" t="s">
        <v>4821</v>
      </c>
      <c r="B903" s="8" t="s">
        <v>4822</v>
      </c>
      <c r="C903" s="8" t="s">
        <v>25</v>
      </c>
      <c r="D903" s="8" t="s">
        <v>26</v>
      </c>
      <c r="E903" s="8" t="s">
        <v>4823</v>
      </c>
      <c r="F903" s="8">
        <v>5.056925059E9</v>
      </c>
      <c r="G903" s="8" t="s">
        <v>31</v>
      </c>
      <c r="H903" s="8" t="s">
        <v>32</v>
      </c>
      <c r="I903" s="8" t="s">
        <v>221</v>
      </c>
      <c r="J903" s="8" t="s">
        <v>3001</v>
      </c>
      <c r="K903" s="10" t="s">
        <v>4824</v>
      </c>
      <c r="L903" s="8" t="s">
        <v>58</v>
      </c>
      <c r="M903" s="8" t="s">
        <v>35</v>
      </c>
      <c r="N903" s="11">
        <v>44925.0</v>
      </c>
      <c r="O903" s="11">
        <v>44942.0</v>
      </c>
      <c r="P903" s="11">
        <v>44984.0</v>
      </c>
      <c r="Q903" s="11">
        <v>44945.0</v>
      </c>
      <c r="R903" s="11">
        <v>44987.0</v>
      </c>
      <c r="S903" s="12"/>
      <c r="T903" s="8"/>
      <c r="U903" s="8" t="s">
        <v>371</v>
      </c>
      <c r="V903" s="13" t="s">
        <v>537</v>
      </c>
      <c r="W903" s="13" t="s">
        <v>4825</v>
      </c>
      <c r="X903" s="12"/>
      <c r="Y903" s="14"/>
      <c r="Z903" s="14"/>
    </row>
    <row r="904">
      <c r="A904" s="8" t="s">
        <v>4826</v>
      </c>
      <c r="B904" s="8" t="s">
        <v>4827</v>
      </c>
      <c r="C904" s="8" t="s">
        <v>64</v>
      </c>
      <c r="D904" s="8" t="s">
        <v>26</v>
      </c>
      <c r="E904" s="8" t="s">
        <v>4828</v>
      </c>
      <c r="F904" s="8">
        <v>6.51390208E8</v>
      </c>
      <c r="G904" s="8" t="s">
        <v>84</v>
      </c>
      <c r="H904" s="8" t="s">
        <v>1266</v>
      </c>
      <c r="I904" s="8" t="s">
        <v>31</v>
      </c>
      <c r="J904" s="8" t="s">
        <v>111</v>
      </c>
      <c r="K904" s="10" t="s">
        <v>4829</v>
      </c>
      <c r="L904" s="8" t="s">
        <v>34</v>
      </c>
      <c r="M904" s="8" t="s">
        <v>48</v>
      </c>
      <c r="N904" s="11">
        <v>44926.0</v>
      </c>
      <c r="O904" s="11">
        <v>44949.0</v>
      </c>
      <c r="P904" s="11">
        <v>45130.0</v>
      </c>
      <c r="Q904" s="11">
        <v>44947.0</v>
      </c>
      <c r="R904" s="11">
        <v>45161.0</v>
      </c>
      <c r="S904" s="12"/>
      <c r="T904" s="8" t="s">
        <v>121</v>
      </c>
      <c r="U904" s="8" t="s">
        <v>4830</v>
      </c>
      <c r="V904" s="13" t="s">
        <v>2893</v>
      </c>
      <c r="W904" s="13" t="s">
        <v>4831</v>
      </c>
      <c r="X904" s="12"/>
      <c r="Y904" s="14"/>
      <c r="Z904" s="14"/>
    </row>
    <row r="905">
      <c r="A905" s="8" t="s">
        <v>4832</v>
      </c>
      <c r="B905" s="8" t="s">
        <v>4833</v>
      </c>
      <c r="C905" s="8" t="s">
        <v>179</v>
      </c>
      <c r="D905" s="8" t="s">
        <v>26</v>
      </c>
      <c r="E905" s="8" t="s">
        <v>4834</v>
      </c>
      <c r="F905" s="8">
        <v>9.742067693E9</v>
      </c>
      <c r="G905" s="8" t="s">
        <v>44</v>
      </c>
      <c r="H905" s="8" t="s">
        <v>1321</v>
      </c>
      <c r="I905" s="8" t="s">
        <v>31</v>
      </c>
      <c r="J905" s="8" t="s">
        <v>43</v>
      </c>
      <c r="K905" s="10" t="s">
        <v>2922</v>
      </c>
      <c r="L905" s="8" t="s">
        <v>58</v>
      </c>
      <c r="M905" s="8" t="s">
        <v>35</v>
      </c>
      <c r="N905" s="11">
        <v>44926.0</v>
      </c>
      <c r="O905" s="11">
        <v>45103.0</v>
      </c>
      <c r="P905" s="11">
        <v>45149.0</v>
      </c>
      <c r="Q905" s="11"/>
      <c r="R905" s="11"/>
      <c r="S905" s="12"/>
      <c r="T905" s="8"/>
      <c r="U905" s="8" t="s">
        <v>59</v>
      </c>
      <c r="V905" s="13" t="s">
        <v>4835</v>
      </c>
      <c r="W905" s="13" t="s">
        <v>4836</v>
      </c>
      <c r="X905" s="12"/>
      <c r="Y905" s="14"/>
      <c r="Z905" s="14"/>
    </row>
    <row r="906">
      <c r="A906" s="8" t="s">
        <v>4837</v>
      </c>
      <c r="B906" s="8" t="s">
        <v>4838</v>
      </c>
      <c r="C906" s="8" t="s">
        <v>179</v>
      </c>
      <c r="D906" s="8" t="s">
        <v>26</v>
      </c>
      <c r="E906" s="8" t="s">
        <v>4839</v>
      </c>
      <c r="F906" s="8">
        <v>8.762430199E9</v>
      </c>
      <c r="G906" s="8" t="s">
        <v>44</v>
      </c>
      <c r="H906" s="8" t="s">
        <v>1321</v>
      </c>
      <c r="I906" s="8" t="s">
        <v>31</v>
      </c>
      <c r="J906" s="8" t="s">
        <v>43</v>
      </c>
      <c r="K906" s="10" t="s">
        <v>2922</v>
      </c>
      <c r="L906" s="8" t="s">
        <v>58</v>
      </c>
      <c r="M906" s="8" t="s">
        <v>35</v>
      </c>
      <c r="N906" s="11">
        <v>44926.0</v>
      </c>
      <c r="O906" s="11">
        <v>45103.0</v>
      </c>
      <c r="P906" s="11">
        <v>45149.0</v>
      </c>
      <c r="Q906" s="11"/>
      <c r="R906" s="11"/>
      <c r="S906" s="12"/>
      <c r="T906" s="8"/>
      <c r="U906" s="8" t="s">
        <v>59</v>
      </c>
      <c r="V906" s="13" t="s">
        <v>1468</v>
      </c>
      <c r="W906" s="13" t="s">
        <v>4840</v>
      </c>
      <c r="X906" s="12"/>
      <c r="Y906" s="14"/>
      <c r="Z906" s="14"/>
    </row>
    <row r="907">
      <c r="A907" s="8" t="s">
        <v>4841</v>
      </c>
      <c r="B907" s="8" t="s">
        <v>4842</v>
      </c>
      <c r="C907" s="8" t="s">
        <v>25</v>
      </c>
      <c r="D907" s="8" t="s">
        <v>26</v>
      </c>
      <c r="E907" s="8" t="s">
        <v>4843</v>
      </c>
      <c r="F907" s="8">
        <v>6.1508377E8</v>
      </c>
      <c r="G907" s="8" t="s">
        <v>84</v>
      </c>
      <c r="H907" s="8" t="s">
        <v>1127</v>
      </c>
      <c r="I907" s="8" t="s">
        <v>31</v>
      </c>
      <c r="J907" s="8" t="s">
        <v>32</v>
      </c>
      <c r="K907" s="10" t="s">
        <v>1451</v>
      </c>
      <c r="L907" s="8" t="s">
        <v>58</v>
      </c>
      <c r="M907" s="8" t="s">
        <v>35</v>
      </c>
      <c r="N907" s="11">
        <v>44926.0</v>
      </c>
      <c r="O907" s="11">
        <v>44941.0</v>
      </c>
      <c r="P907" s="11">
        <v>44983.0</v>
      </c>
      <c r="Q907" s="11">
        <v>44941.0</v>
      </c>
      <c r="R907" s="11">
        <v>44983.0</v>
      </c>
      <c r="S907" s="12"/>
      <c r="T907" s="8"/>
      <c r="U907" s="8" t="s">
        <v>59</v>
      </c>
      <c r="V907" s="13" t="s">
        <v>1302</v>
      </c>
      <c r="W907" s="13" t="s">
        <v>4844</v>
      </c>
      <c r="X907" s="12"/>
      <c r="Y907" s="14"/>
      <c r="Z907" s="14"/>
    </row>
    <row r="908">
      <c r="A908" s="8" t="s">
        <v>4845</v>
      </c>
      <c r="B908" s="8" t="s">
        <v>4846</v>
      </c>
      <c r="C908" s="8" t="s">
        <v>25</v>
      </c>
      <c r="D908" s="8" t="s">
        <v>26</v>
      </c>
      <c r="E908" s="8" t="s">
        <v>4847</v>
      </c>
      <c r="F908" s="8"/>
      <c r="G908" s="8" t="s">
        <v>284</v>
      </c>
      <c r="H908" s="8" t="s">
        <v>854</v>
      </c>
      <c r="I908" s="8" t="s">
        <v>31</v>
      </c>
      <c r="J908" s="8" t="s">
        <v>1119</v>
      </c>
      <c r="K908" s="10" t="s">
        <v>2736</v>
      </c>
      <c r="L908" s="8" t="s">
        <v>58</v>
      </c>
      <c r="M908" s="8" t="s">
        <v>35</v>
      </c>
      <c r="N908" s="11">
        <v>44926.0</v>
      </c>
      <c r="O908" s="11">
        <v>45109.0</v>
      </c>
      <c r="P908" s="11">
        <v>45151.0</v>
      </c>
      <c r="Q908" s="11">
        <v>45108.0</v>
      </c>
      <c r="R908" s="11">
        <v>45151.0</v>
      </c>
      <c r="S908" s="12"/>
      <c r="T908" s="8"/>
      <c r="U908" s="8" t="s">
        <v>59</v>
      </c>
      <c r="V908" s="13" t="s">
        <v>856</v>
      </c>
      <c r="W908" s="13" t="s">
        <v>4848</v>
      </c>
      <c r="X908" s="12"/>
      <c r="Y908" s="14"/>
      <c r="Z908" s="14"/>
    </row>
    <row r="909">
      <c r="A909" s="8" t="s">
        <v>4849</v>
      </c>
      <c r="B909" s="8" t="s">
        <v>4850</v>
      </c>
      <c r="C909" s="8" t="s">
        <v>179</v>
      </c>
      <c r="D909" s="8" t="s">
        <v>26</v>
      </c>
      <c r="E909" s="8" t="s">
        <v>4851</v>
      </c>
      <c r="F909" s="8">
        <v>9.78627176E8</v>
      </c>
      <c r="G909" s="8" t="s">
        <v>44</v>
      </c>
      <c r="H909" s="8" t="s">
        <v>1321</v>
      </c>
      <c r="I909" s="8" t="s">
        <v>31</v>
      </c>
      <c r="J909" s="8" t="s">
        <v>86</v>
      </c>
      <c r="K909" s="10" t="s">
        <v>3576</v>
      </c>
      <c r="L909" s="8" t="s">
        <v>58</v>
      </c>
      <c r="M909" s="8" t="s">
        <v>35</v>
      </c>
      <c r="N909" s="11">
        <v>44926.0</v>
      </c>
      <c r="O909" s="11">
        <v>45117.0</v>
      </c>
      <c r="P909" s="11">
        <v>45159.0</v>
      </c>
      <c r="Q909" s="11"/>
      <c r="R909" s="11"/>
      <c r="S909" s="12"/>
      <c r="T909" s="8"/>
      <c r="U909" s="8" t="s">
        <v>153</v>
      </c>
      <c r="V909" s="13" t="s">
        <v>4852</v>
      </c>
      <c r="W909" s="13" t="s">
        <v>4853</v>
      </c>
      <c r="X909" s="12"/>
      <c r="Y909" s="14"/>
      <c r="Z909" s="14"/>
    </row>
    <row r="910">
      <c r="A910" s="8" t="s">
        <v>4854</v>
      </c>
      <c r="B910" s="8" t="s">
        <v>4855</v>
      </c>
      <c r="C910" s="8" t="s">
        <v>708</v>
      </c>
      <c r="D910" s="8" t="s">
        <v>26</v>
      </c>
      <c r="E910" s="8" t="s">
        <v>4856</v>
      </c>
      <c r="F910" s="8">
        <v>1.276087103E9</v>
      </c>
      <c r="G910" s="8" t="s">
        <v>284</v>
      </c>
      <c r="H910" s="8" t="s">
        <v>673</v>
      </c>
      <c r="I910" s="8" t="s">
        <v>31</v>
      </c>
      <c r="J910" s="8" t="s">
        <v>542</v>
      </c>
      <c r="K910" s="10" t="s">
        <v>1685</v>
      </c>
      <c r="L910" s="8" t="s">
        <v>34</v>
      </c>
      <c r="M910" s="8" t="s">
        <v>70</v>
      </c>
      <c r="N910" s="11">
        <v>44927.0</v>
      </c>
      <c r="O910" s="11">
        <v>44984.0</v>
      </c>
      <c r="P910" s="11">
        <v>45348.0</v>
      </c>
      <c r="Q910" s="11">
        <v>44998.0</v>
      </c>
      <c r="R910" s="11">
        <v>45362.0</v>
      </c>
      <c r="S910" s="12"/>
      <c r="T910" s="8" t="s">
        <v>205</v>
      </c>
      <c r="U910" s="8" t="s">
        <v>1686</v>
      </c>
      <c r="V910" s="13" t="s">
        <v>674</v>
      </c>
      <c r="W910" s="13" t="s">
        <v>4857</v>
      </c>
      <c r="X910" s="12"/>
      <c r="Y910" s="14"/>
      <c r="Z910" s="14"/>
    </row>
    <row r="911">
      <c r="A911" s="8" t="s">
        <v>4858</v>
      </c>
      <c r="B911" s="8" t="s">
        <v>4859</v>
      </c>
      <c r="C911" s="8" t="s">
        <v>64</v>
      </c>
      <c r="D911" s="8" t="s">
        <v>26</v>
      </c>
      <c r="E911" s="8" t="s">
        <v>4860</v>
      </c>
      <c r="F911" s="8">
        <v>7.64998329E8</v>
      </c>
      <c r="G911" s="8" t="s">
        <v>399</v>
      </c>
      <c r="H911" s="8" t="s">
        <v>415</v>
      </c>
      <c r="I911" s="8" t="s">
        <v>31</v>
      </c>
      <c r="J911" s="8" t="s">
        <v>111</v>
      </c>
      <c r="K911" s="10" t="s">
        <v>910</v>
      </c>
      <c r="L911" s="8" t="s">
        <v>47</v>
      </c>
      <c r="M911" s="8" t="s">
        <v>70</v>
      </c>
      <c r="N911" s="11">
        <v>44927.0</v>
      </c>
      <c r="O911" s="11">
        <v>44942.0</v>
      </c>
      <c r="P911" s="11">
        <v>45310.0</v>
      </c>
      <c r="Q911" s="11">
        <v>44951.0</v>
      </c>
      <c r="R911" s="11">
        <v>45320.0</v>
      </c>
      <c r="S911" s="12"/>
      <c r="T911" s="8"/>
      <c r="U911" s="8" t="s">
        <v>246</v>
      </c>
      <c r="V911" s="13" t="s">
        <v>417</v>
      </c>
      <c r="W911" s="13" t="s">
        <v>4861</v>
      </c>
      <c r="X911" s="12"/>
      <c r="Y911" s="14"/>
      <c r="Z911" s="14"/>
    </row>
    <row r="912">
      <c r="A912" s="8" t="s">
        <v>4862</v>
      </c>
      <c r="B912" s="8" t="s">
        <v>1674</v>
      </c>
      <c r="C912" s="8" t="s">
        <v>25</v>
      </c>
      <c r="D912" s="8" t="s">
        <v>26</v>
      </c>
      <c r="E912" s="8" t="s">
        <v>4863</v>
      </c>
      <c r="F912" s="8">
        <v>5.074768191E9</v>
      </c>
      <c r="G912" s="8" t="s">
        <v>31</v>
      </c>
      <c r="H912" s="8" t="s">
        <v>86</v>
      </c>
      <c r="I912" s="8" t="s">
        <v>399</v>
      </c>
      <c r="J912" s="8" t="s">
        <v>400</v>
      </c>
      <c r="K912" s="10" t="s">
        <v>1700</v>
      </c>
      <c r="L912" s="8" t="s">
        <v>58</v>
      </c>
      <c r="M912" s="8" t="s">
        <v>35</v>
      </c>
      <c r="N912" s="11">
        <v>44928.0</v>
      </c>
      <c r="O912" s="11">
        <v>44941.0</v>
      </c>
      <c r="P912" s="11">
        <v>44983.0</v>
      </c>
      <c r="Q912" s="11">
        <v>44942.0</v>
      </c>
      <c r="R912" s="11">
        <v>44983.0</v>
      </c>
      <c r="S912" s="12"/>
      <c r="T912" s="8"/>
      <c r="U912" s="8" t="s">
        <v>1038</v>
      </c>
      <c r="V912" s="13" t="s">
        <v>175</v>
      </c>
      <c r="W912" s="13" t="s">
        <v>4864</v>
      </c>
      <c r="X912" s="12"/>
      <c r="Y912" s="14"/>
      <c r="Z912" s="14"/>
    </row>
    <row r="913">
      <c r="A913" s="8" t="s">
        <v>4865</v>
      </c>
      <c r="B913" s="8" t="s">
        <v>4866</v>
      </c>
      <c r="C913" s="8" t="s">
        <v>25</v>
      </c>
      <c r="D913" s="8" t="s">
        <v>26</v>
      </c>
      <c r="E913" s="8" t="s">
        <v>4867</v>
      </c>
      <c r="F913" s="8">
        <v>5.438455882E9</v>
      </c>
      <c r="G913" s="8" t="s">
        <v>31</v>
      </c>
      <c r="H913" s="8" t="s">
        <v>292</v>
      </c>
      <c r="I913" s="8" t="s">
        <v>399</v>
      </c>
      <c r="J913" s="8" t="s">
        <v>4868</v>
      </c>
      <c r="K913" s="10" t="s">
        <v>4869</v>
      </c>
      <c r="L913" s="8" t="s">
        <v>58</v>
      </c>
      <c r="M913" s="8" t="s">
        <v>35</v>
      </c>
      <c r="N913" s="11">
        <v>44928.0</v>
      </c>
      <c r="O913" s="11">
        <v>45159.0</v>
      </c>
      <c r="P913" s="11">
        <v>45201.0</v>
      </c>
      <c r="Q913" s="11">
        <v>45179.0</v>
      </c>
      <c r="R913" s="11">
        <v>45219.0</v>
      </c>
      <c r="S913" s="12"/>
      <c r="T913" s="8"/>
      <c r="U913" s="8" t="s">
        <v>4870</v>
      </c>
      <c r="V913" s="13" t="s">
        <v>3027</v>
      </c>
      <c r="W913" s="13" t="s">
        <v>4871</v>
      </c>
      <c r="X913" s="12"/>
      <c r="Y913" s="14"/>
      <c r="Z913" s="14"/>
    </row>
    <row r="914">
      <c r="A914" s="8" t="s">
        <v>4872</v>
      </c>
      <c r="B914" s="8" t="s">
        <v>4873</v>
      </c>
      <c r="C914" s="8" t="s">
        <v>251</v>
      </c>
      <c r="D914" s="8" t="s">
        <v>26</v>
      </c>
      <c r="E914" s="8" t="s">
        <v>4874</v>
      </c>
      <c r="F914" s="9" t="s">
        <v>4875</v>
      </c>
      <c r="G914" s="8" t="s">
        <v>44</v>
      </c>
      <c r="H914" s="8" t="s">
        <v>2204</v>
      </c>
      <c r="I914" s="8" t="s">
        <v>31</v>
      </c>
      <c r="J914" s="8" t="s">
        <v>43</v>
      </c>
      <c r="K914" s="10" t="s">
        <v>837</v>
      </c>
      <c r="L914" s="8" t="s">
        <v>58</v>
      </c>
      <c r="M914" s="8" t="s">
        <v>35</v>
      </c>
      <c r="N914" s="11">
        <v>44929.0</v>
      </c>
      <c r="O914" s="11">
        <v>44942.0</v>
      </c>
      <c r="P914" s="11">
        <v>44984.0</v>
      </c>
      <c r="Q914" s="11"/>
      <c r="R914" s="11"/>
      <c r="S914" s="12"/>
      <c r="T914" s="8"/>
      <c r="U914" s="8" t="s">
        <v>130</v>
      </c>
      <c r="V914" s="13" t="s">
        <v>4876</v>
      </c>
      <c r="W914" s="13" t="s">
        <v>4877</v>
      </c>
      <c r="X914" s="12"/>
      <c r="Y914" s="14"/>
      <c r="Z914" s="14"/>
    </row>
    <row r="915">
      <c r="A915" s="8" t="s">
        <v>4878</v>
      </c>
      <c r="B915" s="8" t="s">
        <v>4879</v>
      </c>
      <c r="C915" s="8" t="s">
        <v>708</v>
      </c>
      <c r="D915" s="8" t="s">
        <v>26</v>
      </c>
      <c r="E915" s="8" t="s">
        <v>4880</v>
      </c>
      <c r="F915" s="8">
        <v>7.93813457E8</v>
      </c>
      <c r="G915" s="8" t="s">
        <v>254</v>
      </c>
      <c r="H915" s="8" t="s">
        <v>255</v>
      </c>
      <c r="I915" s="8" t="s">
        <v>31</v>
      </c>
      <c r="J915" s="8" t="s">
        <v>77</v>
      </c>
      <c r="K915" s="10" t="s">
        <v>2951</v>
      </c>
      <c r="L915" s="8" t="s">
        <v>47</v>
      </c>
      <c r="M915" s="8" t="s">
        <v>70</v>
      </c>
      <c r="N915" s="11">
        <v>44929.0</v>
      </c>
      <c r="O915" s="11">
        <v>44962.0</v>
      </c>
      <c r="P915" s="11">
        <v>45327.0</v>
      </c>
      <c r="Q915" s="11">
        <v>44962.0</v>
      </c>
      <c r="R915" s="11">
        <v>45327.0</v>
      </c>
      <c r="S915" s="12"/>
      <c r="T915" s="8"/>
      <c r="U915" s="8" t="s">
        <v>2952</v>
      </c>
      <c r="V915" s="13" t="s">
        <v>258</v>
      </c>
      <c r="W915" s="13" t="s">
        <v>4881</v>
      </c>
      <c r="X915" s="12"/>
      <c r="Y915" s="14"/>
      <c r="Z915" s="14"/>
    </row>
    <row r="916">
      <c r="A916" s="8" t="s">
        <v>4882</v>
      </c>
      <c r="B916" s="8" t="s">
        <v>4883</v>
      </c>
      <c r="C916" s="8" t="s">
        <v>179</v>
      </c>
      <c r="D916" s="8" t="s">
        <v>26</v>
      </c>
      <c r="E916" s="8" t="s">
        <v>4884</v>
      </c>
      <c r="F916" s="8">
        <v>5.392350279E9</v>
      </c>
      <c r="G916" s="8" t="s">
        <v>31</v>
      </c>
      <c r="H916" s="8" t="s">
        <v>66</v>
      </c>
      <c r="I916" s="8" t="s">
        <v>399</v>
      </c>
      <c r="J916" s="8" t="s">
        <v>400</v>
      </c>
      <c r="K916" s="10" t="s">
        <v>1700</v>
      </c>
      <c r="L916" s="8" t="s">
        <v>58</v>
      </c>
      <c r="M916" s="8" t="s">
        <v>35</v>
      </c>
      <c r="N916" s="11">
        <v>44929.0</v>
      </c>
      <c r="O916" s="11">
        <v>45119.0</v>
      </c>
      <c r="P916" s="11">
        <v>45161.0</v>
      </c>
      <c r="Q916" s="11"/>
      <c r="R916" s="11"/>
      <c r="S916" s="12"/>
      <c r="T916" s="8"/>
      <c r="U916" s="8" t="s">
        <v>1038</v>
      </c>
      <c r="V916" s="13" t="s">
        <v>66</v>
      </c>
      <c r="W916" s="13" t="s">
        <v>4885</v>
      </c>
      <c r="X916" s="12"/>
      <c r="Y916" s="14"/>
      <c r="Z916" s="14"/>
    </row>
    <row r="917">
      <c r="A917" s="8" t="s">
        <v>4886</v>
      </c>
      <c r="B917" s="8" t="s">
        <v>4887</v>
      </c>
      <c r="C917" s="8" t="s">
        <v>179</v>
      </c>
      <c r="D917" s="8" t="s">
        <v>26</v>
      </c>
      <c r="E917" s="8" t="s">
        <v>4888</v>
      </c>
      <c r="F917" s="8">
        <v>6.38280864E8</v>
      </c>
      <c r="G917" s="8" t="s">
        <v>84</v>
      </c>
      <c r="H917" s="8" t="s">
        <v>646</v>
      </c>
      <c r="I917" s="8" t="s">
        <v>31</v>
      </c>
      <c r="J917" s="8" t="s">
        <v>1119</v>
      </c>
      <c r="K917" s="10" t="s">
        <v>4889</v>
      </c>
      <c r="L917" s="8" t="s">
        <v>47</v>
      </c>
      <c r="M917" s="8" t="s">
        <v>70</v>
      </c>
      <c r="N917" s="11">
        <v>44929.0</v>
      </c>
      <c r="O917" s="11">
        <v>44958.0</v>
      </c>
      <c r="P917" s="11">
        <v>45323.0</v>
      </c>
      <c r="Q917" s="11"/>
      <c r="R917" s="11"/>
      <c r="S917" s="12"/>
      <c r="T917" s="8"/>
      <c r="U917" s="8" t="s">
        <v>4890</v>
      </c>
      <c r="V917" s="13" t="s">
        <v>38</v>
      </c>
      <c r="W917" s="13" t="s">
        <v>4891</v>
      </c>
      <c r="X917" s="12"/>
      <c r="Y917" s="14"/>
      <c r="Z917" s="14"/>
    </row>
    <row r="918">
      <c r="A918" s="8" t="s">
        <v>4892</v>
      </c>
      <c r="B918" s="8" t="s">
        <v>4893</v>
      </c>
      <c r="C918" s="8" t="s">
        <v>179</v>
      </c>
      <c r="D918" s="8" t="s">
        <v>26</v>
      </c>
      <c r="E918" s="8" t="s">
        <v>4894</v>
      </c>
      <c r="F918" s="8"/>
      <c r="G918" s="8" t="s">
        <v>54</v>
      </c>
      <c r="H918" s="8" t="s">
        <v>135</v>
      </c>
      <c r="I918" s="8" t="s">
        <v>31</v>
      </c>
      <c r="J918" s="8" t="s">
        <v>77</v>
      </c>
      <c r="K918" s="10" t="s">
        <v>4895</v>
      </c>
      <c r="L918" s="8" t="s">
        <v>34</v>
      </c>
      <c r="M918" s="8" t="s">
        <v>70</v>
      </c>
      <c r="N918" s="11">
        <v>44929.0</v>
      </c>
      <c r="O918" s="11">
        <v>44928.0</v>
      </c>
      <c r="P918" s="11">
        <v>45293.0</v>
      </c>
      <c r="Q918" s="11"/>
      <c r="R918" s="11"/>
      <c r="S918" s="12"/>
      <c r="T918" s="8" t="s">
        <v>121</v>
      </c>
      <c r="U918" s="8" t="s">
        <v>4896</v>
      </c>
      <c r="V918" s="13" t="s">
        <v>38</v>
      </c>
      <c r="W918" s="13" t="s">
        <v>4897</v>
      </c>
      <c r="X918" s="12"/>
      <c r="Y918" s="14"/>
      <c r="Z918" s="14"/>
    </row>
    <row r="919">
      <c r="A919" s="8" t="s">
        <v>4898</v>
      </c>
      <c r="B919" s="8" t="s">
        <v>4899</v>
      </c>
      <c r="C919" s="8" t="s">
        <v>64</v>
      </c>
      <c r="D919" s="8" t="s">
        <v>26</v>
      </c>
      <c r="E919" s="8" t="s">
        <v>4900</v>
      </c>
      <c r="F919" s="8">
        <v>6.01773803E8</v>
      </c>
      <c r="G919" s="8" t="s">
        <v>84</v>
      </c>
      <c r="H919" s="8" t="s">
        <v>151</v>
      </c>
      <c r="I919" s="8" t="s">
        <v>31</v>
      </c>
      <c r="J919" s="8" t="s">
        <v>66</v>
      </c>
      <c r="K919" s="10" t="s">
        <v>4901</v>
      </c>
      <c r="L919" s="8" t="s">
        <v>47</v>
      </c>
      <c r="M919" s="8" t="s">
        <v>70</v>
      </c>
      <c r="N919" s="11">
        <v>44930.0</v>
      </c>
      <c r="O919" s="11">
        <v>44958.0</v>
      </c>
      <c r="P919" s="11">
        <v>45107.0</v>
      </c>
      <c r="Q919" s="11">
        <v>45025.0</v>
      </c>
      <c r="R919" s="11">
        <v>45173.0</v>
      </c>
      <c r="S919" s="12"/>
      <c r="T919" s="8"/>
      <c r="U919" s="8" t="s">
        <v>4902</v>
      </c>
      <c r="V919" s="13" t="s">
        <v>1146</v>
      </c>
      <c r="W919" s="13" t="s">
        <v>4903</v>
      </c>
      <c r="X919" s="12"/>
      <c r="Y919" s="14"/>
      <c r="Z919" s="14"/>
    </row>
    <row r="920">
      <c r="A920" s="8" t="s">
        <v>4904</v>
      </c>
      <c r="B920" s="8" t="s">
        <v>4905</v>
      </c>
      <c r="C920" s="8" t="s">
        <v>708</v>
      </c>
      <c r="D920" s="8" t="s">
        <v>26</v>
      </c>
      <c r="E920" s="8" t="s">
        <v>4906</v>
      </c>
      <c r="F920" s="8">
        <v>2.1601362E7</v>
      </c>
      <c r="G920" s="8" t="s">
        <v>54</v>
      </c>
      <c r="H920" s="8" t="s">
        <v>430</v>
      </c>
      <c r="I920" s="8" t="s">
        <v>31</v>
      </c>
      <c r="J920" s="8" t="s">
        <v>86</v>
      </c>
      <c r="K920" s="10" t="s">
        <v>2404</v>
      </c>
      <c r="L920" s="8" t="s">
        <v>34</v>
      </c>
      <c r="M920" s="8" t="s">
        <v>70</v>
      </c>
      <c r="N920" s="11">
        <v>44930.0</v>
      </c>
      <c r="O920" s="11">
        <v>44935.0</v>
      </c>
      <c r="P920" s="11">
        <v>45471.0</v>
      </c>
      <c r="Q920" s="11">
        <v>45005.0</v>
      </c>
      <c r="R920" s="11">
        <v>45555.0</v>
      </c>
      <c r="S920" s="12"/>
      <c r="T920" s="8" t="s">
        <v>36</v>
      </c>
      <c r="U920" s="8" t="s">
        <v>2405</v>
      </c>
      <c r="V920" s="13" t="s">
        <v>1229</v>
      </c>
      <c r="W920" s="13" t="s">
        <v>4907</v>
      </c>
      <c r="X920" s="12"/>
      <c r="Y920" s="14"/>
      <c r="Z920" s="14"/>
    </row>
    <row r="921">
      <c r="A921" s="8" t="s">
        <v>4908</v>
      </c>
      <c r="B921" s="8" t="s">
        <v>4909</v>
      </c>
      <c r="C921" s="8" t="s">
        <v>179</v>
      </c>
      <c r="D921" s="8" t="s">
        <v>26</v>
      </c>
      <c r="E921" s="8" t="s">
        <v>4910</v>
      </c>
      <c r="F921" s="8">
        <v>7.71676033E8</v>
      </c>
      <c r="G921" s="8" t="s">
        <v>127</v>
      </c>
      <c r="H921" s="8" t="s">
        <v>128</v>
      </c>
      <c r="I921" s="8" t="s">
        <v>31</v>
      </c>
      <c r="J921" s="8" t="s">
        <v>77</v>
      </c>
      <c r="K921" s="10" t="s">
        <v>4188</v>
      </c>
      <c r="L921" s="8" t="s">
        <v>58</v>
      </c>
      <c r="M921" s="8" t="s">
        <v>35</v>
      </c>
      <c r="N921" s="11">
        <v>44930.0</v>
      </c>
      <c r="O921" s="11">
        <v>45110.0</v>
      </c>
      <c r="P921" s="11">
        <v>45152.0</v>
      </c>
      <c r="Q921" s="11"/>
      <c r="R921" s="11"/>
      <c r="S921" s="12"/>
      <c r="T921" s="8"/>
      <c r="U921" s="8" t="s">
        <v>59</v>
      </c>
      <c r="V921" s="13" t="s">
        <v>4911</v>
      </c>
      <c r="W921" s="13" t="s">
        <v>4912</v>
      </c>
      <c r="X921" s="12"/>
      <c r="Y921" s="14"/>
      <c r="Z921" s="14"/>
    </row>
    <row r="922">
      <c r="A922" s="8" t="s">
        <v>4913</v>
      </c>
      <c r="B922" s="8" t="s">
        <v>4914</v>
      </c>
      <c r="C922" s="8" t="s">
        <v>64</v>
      </c>
      <c r="D922" s="8" t="s">
        <v>26</v>
      </c>
      <c r="E922" s="8" t="s">
        <v>4915</v>
      </c>
      <c r="F922" s="8"/>
      <c r="G922" s="8" t="s">
        <v>127</v>
      </c>
      <c r="H922" s="8" t="s">
        <v>128</v>
      </c>
      <c r="I922" s="8" t="s">
        <v>31</v>
      </c>
      <c r="J922" s="8" t="s">
        <v>77</v>
      </c>
      <c r="K922" s="10" t="s">
        <v>4188</v>
      </c>
      <c r="L922" s="8" t="s">
        <v>58</v>
      </c>
      <c r="M922" s="8" t="s">
        <v>35</v>
      </c>
      <c r="N922" s="11">
        <v>44930.0</v>
      </c>
      <c r="O922" s="11">
        <v>45138.0</v>
      </c>
      <c r="P922" s="11">
        <v>45180.0</v>
      </c>
      <c r="Q922" s="11">
        <v>45138.0</v>
      </c>
      <c r="R922" s="11">
        <v>45180.0</v>
      </c>
      <c r="S922" s="12"/>
      <c r="T922" s="8"/>
      <c r="U922" s="8" t="s">
        <v>59</v>
      </c>
      <c r="V922" s="13" t="s">
        <v>38</v>
      </c>
      <c r="W922" s="13" t="s">
        <v>4916</v>
      </c>
      <c r="X922" s="12"/>
      <c r="Y922" s="14"/>
      <c r="Z922" s="14"/>
    </row>
    <row r="923">
      <c r="A923" s="8" t="s">
        <v>4917</v>
      </c>
      <c r="B923" s="8" t="s">
        <v>4918</v>
      </c>
      <c r="C923" s="8" t="s">
        <v>25</v>
      </c>
      <c r="D923" s="8" t="s">
        <v>26</v>
      </c>
      <c r="E923" s="8" t="s">
        <v>4919</v>
      </c>
      <c r="F923" s="8"/>
      <c r="G923" s="8" t="s">
        <v>31</v>
      </c>
      <c r="H923" s="8" t="s">
        <v>77</v>
      </c>
      <c r="I923" s="8" t="s">
        <v>127</v>
      </c>
      <c r="J923" s="8" t="s">
        <v>128</v>
      </c>
      <c r="K923" s="10" t="s">
        <v>4920</v>
      </c>
      <c r="L923" s="8" t="s">
        <v>58</v>
      </c>
      <c r="M923" s="8" t="s">
        <v>35</v>
      </c>
      <c r="N923" s="11">
        <v>44932.0</v>
      </c>
      <c r="O923" s="11">
        <v>45096.0</v>
      </c>
      <c r="P923" s="11">
        <v>45138.0</v>
      </c>
      <c r="Q923" s="11">
        <v>45102.0</v>
      </c>
      <c r="R923" s="11">
        <v>45142.0</v>
      </c>
      <c r="S923" s="12"/>
      <c r="T923" s="8"/>
      <c r="U923" s="8" t="s">
        <v>59</v>
      </c>
      <c r="V923" s="13" t="s">
        <v>38</v>
      </c>
      <c r="W923" s="13" t="s">
        <v>4921</v>
      </c>
      <c r="X923" s="12"/>
      <c r="Y923" s="14"/>
      <c r="Z923" s="14"/>
    </row>
    <row r="924">
      <c r="A924" s="8" t="s">
        <v>4922</v>
      </c>
      <c r="B924" s="8" t="s">
        <v>4923</v>
      </c>
      <c r="C924" s="8" t="s">
        <v>25</v>
      </c>
      <c r="D924" s="8" t="s">
        <v>26</v>
      </c>
      <c r="E924" s="8" t="s">
        <v>4924</v>
      </c>
      <c r="F924" s="8">
        <v>5.445215941E9</v>
      </c>
      <c r="G924" s="8" t="s">
        <v>315</v>
      </c>
      <c r="H924" s="8" t="s">
        <v>4925</v>
      </c>
      <c r="I924" s="8" t="s">
        <v>31</v>
      </c>
      <c r="J924" s="8" t="s">
        <v>86</v>
      </c>
      <c r="K924" s="10" t="s">
        <v>4025</v>
      </c>
      <c r="L924" s="8" t="s">
        <v>58</v>
      </c>
      <c r="M924" s="8" t="s">
        <v>35</v>
      </c>
      <c r="N924" s="11">
        <v>44932.0</v>
      </c>
      <c r="O924" s="11">
        <v>44942.0</v>
      </c>
      <c r="P924" s="11">
        <v>44984.0</v>
      </c>
      <c r="Q924" s="11">
        <v>44943.0</v>
      </c>
      <c r="R924" s="11">
        <v>44984.0</v>
      </c>
      <c r="S924" s="12"/>
      <c r="T924" s="8"/>
      <c r="U924" s="8" t="s">
        <v>130</v>
      </c>
      <c r="V924" s="13" t="s">
        <v>4926</v>
      </c>
      <c r="W924" s="13" t="s">
        <v>4927</v>
      </c>
      <c r="X924" s="12"/>
      <c r="Y924" s="14"/>
      <c r="Z924" s="14"/>
    </row>
    <row r="925">
      <c r="A925" s="8" t="s">
        <v>4928</v>
      </c>
      <c r="B925" s="8" t="s">
        <v>4929</v>
      </c>
      <c r="C925" s="8" t="s">
        <v>25</v>
      </c>
      <c r="D925" s="8" t="s">
        <v>26</v>
      </c>
      <c r="E925" s="8" t="s">
        <v>4930</v>
      </c>
      <c r="F925" s="8">
        <v>5.535385433E9</v>
      </c>
      <c r="G925" s="8" t="s">
        <v>31</v>
      </c>
      <c r="H925" s="8" t="s">
        <v>86</v>
      </c>
      <c r="I925" s="8" t="s">
        <v>221</v>
      </c>
      <c r="J925" s="8" t="s">
        <v>1254</v>
      </c>
      <c r="K925" s="10" t="s">
        <v>4376</v>
      </c>
      <c r="L925" s="8" t="s">
        <v>58</v>
      </c>
      <c r="M925" s="8" t="s">
        <v>35</v>
      </c>
      <c r="N925" s="11">
        <v>44933.0</v>
      </c>
      <c r="O925" s="11">
        <v>44941.0</v>
      </c>
      <c r="P925" s="11">
        <v>44983.0</v>
      </c>
      <c r="Q925" s="11">
        <v>44943.0</v>
      </c>
      <c r="R925" s="11">
        <v>44983.0</v>
      </c>
      <c r="S925" s="12"/>
      <c r="T925" s="8"/>
      <c r="U925" s="8" t="s">
        <v>88</v>
      </c>
      <c r="V925" s="13" t="s">
        <v>175</v>
      </c>
      <c r="W925" s="13" t="s">
        <v>4931</v>
      </c>
      <c r="X925" s="12"/>
      <c r="Y925" s="14"/>
      <c r="Z925" s="14"/>
    </row>
    <row r="926">
      <c r="A926" s="8" t="s">
        <v>4932</v>
      </c>
      <c r="B926" s="8" t="s">
        <v>4933</v>
      </c>
      <c r="C926" s="8" t="s">
        <v>25</v>
      </c>
      <c r="D926" s="8" t="s">
        <v>26</v>
      </c>
      <c r="E926" s="8" t="s">
        <v>4934</v>
      </c>
      <c r="F926" s="8"/>
      <c r="G926" s="8" t="s">
        <v>31</v>
      </c>
      <c r="H926" s="8" t="s">
        <v>86</v>
      </c>
      <c r="I926" s="8" t="s">
        <v>284</v>
      </c>
      <c r="J926" s="8" t="s">
        <v>3188</v>
      </c>
      <c r="K926" s="10" t="s">
        <v>4935</v>
      </c>
      <c r="L926" s="8" t="s">
        <v>58</v>
      </c>
      <c r="M926" s="8" t="s">
        <v>35</v>
      </c>
      <c r="N926" s="11">
        <v>44933.0</v>
      </c>
      <c r="O926" s="11">
        <v>45092.0</v>
      </c>
      <c r="P926" s="11">
        <v>45134.0</v>
      </c>
      <c r="Q926" s="11">
        <v>45097.0</v>
      </c>
      <c r="R926" s="11">
        <v>45139.0</v>
      </c>
      <c r="S926" s="12"/>
      <c r="T926" s="8"/>
      <c r="U926" s="8" t="s">
        <v>59</v>
      </c>
      <c r="V926" s="13" t="s">
        <v>38</v>
      </c>
      <c r="W926" s="13" t="s">
        <v>4936</v>
      </c>
      <c r="X926" s="12"/>
      <c r="Y926" s="14"/>
      <c r="Z926" s="14"/>
    </row>
    <row r="927">
      <c r="A927" s="8" t="s">
        <v>4937</v>
      </c>
      <c r="B927" s="8" t="s">
        <v>2673</v>
      </c>
      <c r="C927" s="8" t="s">
        <v>25</v>
      </c>
      <c r="D927" s="8" t="s">
        <v>26</v>
      </c>
      <c r="E927" s="8" t="s">
        <v>2674</v>
      </c>
      <c r="F927" s="8"/>
      <c r="G927" s="8" t="s">
        <v>31</v>
      </c>
      <c r="H927" s="8" t="s">
        <v>86</v>
      </c>
      <c r="I927" s="8" t="s">
        <v>284</v>
      </c>
      <c r="J927" s="8" t="s">
        <v>3188</v>
      </c>
      <c r="K927" s="10" t="s">
        <v>4935</v>
      </c>
      <c r="L927" s="8" t="s">
        <v>58</v>
      </c>
      <c r="M927" s="8" t="s">
        <v>35</v>
      </c>
      <c r="N927" s="11">
        <v>44933.0</v>
      </c>
      <c r="O927" s="11">
        <v>45092.0</v>
      </c>
      <c r="P927" s="11">
        <v>45134.0</v>
      </c>
      <c r="Q927" s="11">
        <v>45093.0</v>
      </c>
      <c r="R927" s="11">
        <v>45134.0</v>
      </c>
      <c r="S927" s="12"/>
      <c r="T927" s="8"/>
      <c r="U927" s="8" t="s">
        <v>59</v>
      </c>
      <c r="V927" s="13" t="s">
        <v>38</v>
      </c>
      <c r="W927" s="13" t="s">
        <v>2676</v>
      </c>
      <c r="X927" s="12"/>
      <c r="Y927" s="14"/>
      <c r="Z927" s="14"/>
    </row>
    <row r="928">
      <c r="A928" s="8" t="s">
        <v>4938</v>
      </c>
      <c r="B928" s="8" t="s">
        <v>4939</v>
      </c>
      <c r="C928" s="8" t="s">
        <v>64</v>
      </c>
      <c r="D928" s="8" t="s">
        <v>26</v>
      </c>
      <c r="E928" s="8" t="s">
        <v>4940</v>
      </c>
      <c r="F928" s="8">
        <v>5.428029442E9</v>
      </c>
      <c r="G928" s="8" t="s">
        <v>31</v>
      </c>
      <c r="H928" s="8" t="s">
        <v>56</v>
      </c>
      <c r="I928" s="8" t="s">
        <v>127</v>
      </c>
      <c r="J928" s="8" t="s">
        <v>128</v>
      </c>
      <c r="K928" s="10" t="s">
        <v>4941</v>
      </c>
      <c r="L928" s="8" t="s">
        <v>58</v>
      </c>
      <c r="M928" s="8" t="s">
        <v>35</v>
      </c>
      <c r="N928" s="11">
        <v>44933.0</v>
      </c>
      <c r="O928" s="11">
        <v>45096.0</v>
      </c>
      <c r="P928" s="11">
        <v>45138.0</v>
      </c>
      <c r="Q928" s="11">
        <v>45103.0</v>
      </c>
      <c r="R928" s="11">
        <v>45143.0</v>
      </c>
      <c r="S928" s="12"/>
      <c r="T928" s="8"/>
      <c r="U928" s="8" t="s">
        <v>1590</v>
      </c>
      <c r="V928" s="13" t="s">
        <v>56</v>
      </c>
      <c r="W928" s="13" t="s">
        <v>4942</v>
      </c>
      <c r="X928" s="12"/>
      <c r="Y928" s="14"/>
      <c r="Z928" s="14"/>
    </row>
    <row r="929">
      <c r="A929" s="8" t="s">
        <v>4943</v>
      </c>
      <c r="B929" s="8" t="s">
        <v>4944</v>
      </c>
      <c r="C929" s="8" t="s">
        <v>251</v>
      </c>
      <c r="D929" s="8" t="s">
        <v>26</v>
      </c>
      <c r="E929" s="8" t="s">
        <v>4945</v>
      </c>
      <c r="F929" s="8">
        <v>5.533403235E9</v>
      </c>
      <c r="G929" s="8" t="s">
        <v>31</v>
      </c>
      <c r="H929" s="8" t="s">
        <v>56</v>
      </c>
      <c r="I929" s="8" t="s">
        <v>230</v>
      </c>
      <c r="J929" s="8" t="s">
        <v>231</v>
      </c>
      <c r="K929" s="10" t="s">
        <v>4946</v>
      </c>
      <c r="L929" s="8" t="s">
        <v>58</v>
      </c>
      <c r="M929" s="8" t="s">
        <v>35</v>
      </c>
      <c r="N929" s="11">
        <v>44933.0</v>
      </c>
      <c r="O929" s="11">
        <v>44948.0</v>
      </c>
      <c r="P929" s="11">
        <v>44990.0</v>
      </c>
      <c r="Q929" s="11"/>
      <c r="R929" s="11"/>
      <c r="S929" s="12"/>
      <c r="T929" s="8"/>
      <c r="U929" s="8" t="s">
        <v>59</v>
      </c>
      <c r="V929" s="13" t="s">
        <v>56</v>
      </c>
      <c r="W929" s="13" t="s">
        <v>4947</v>
      </c>
      <c r="X929" s="12"/>
      <c r="Y929" s="14"/>
      <c r="Z929" s="14"/>
    </row>
    <row r="930">
      <c r="A930" s="8" t="s">
        <v>4948</v>
      </c>
      <c r="B930" s="8" t="s">
        <v>4949</v>
      </c>
      <c r="C930" s="8" t="s">
        <v>708</v>
      </c>
      <c r="D930" s="8" t="s">
        <v>26</v>
      </c>
      <c r="E930" s="8" t="s">
        <v>4950</v>
      </c>
      <c r="F930" s="8"/>
      <c r="G930" s="8" t="s">
        <v>307</v>
      </c>
      <c r="H930" s="8" t="s">
        <v>1118</v>
      </c>
      <c r="I930" s="8" t="s">
        <v>31</v>
      </c>
      <c r="J930" s="8" t="s">
        <v>102</v>
      </c>
      <c r="K930" s="10" t="s">
        <v>4951</v>
      </c>
      <c r="L930" s="8" t="s">
        <v>34</v>
      </c>
      <c r="M930" s="8" t="s">
        <v>70</v>
      </c>
      <c r="N930" s="11">
        <v>44933.0</v>
      </c>
      <c r="O930" s="11">
        <v>44949.0</v>
      </c>
      <c r="P930" s="11">
        <v>45314.0</v>
      </c>
      <c r="Q930" s="11">
        <v>45033.0</v>
      </c>
      <c r="R930" s="11">
        <v>45398.0</v>
      </c>
      <c r="S930" s="12"/>
      <c r="T930" s="8" t="s">
        <v>224</v>
      </c>
      <c r="U930" s="8" t="s">
        <v>4952</v>
      </c>
      <c r="V930" s="13" t="s">
        <v>38</v>
      </c>
      <c r="W930" s="13" t="s">
        <v>4953</v>
      </c>
      <c r="X930" s="12"/>
      <c r="Y930" s="14"/>
      <c r="Z930" s="14"/>
    </row>
    <row r="931">
      <c r="A931" s="8" t="s">
        <v>4954</v>
      </c>
      <c r="B931" s="8" t="s">
        <v>4955</v>
      </c>
      <c r="C931" s="8" t="s">
        <v>25</v>
      </c>
      <c r="D931" s="8" t="s">
        <v>26</v>
      </c>
      <c r="E931" s="8" t="s">
        <v>4956</v>
      </c>
      <c r="F931" s="8"/>
      <c r="G931" s="8" t="s">
        <v>254</v>
      </c>
      <c r="H931" s="8" t="s">
        <v>1007</v>
      </c>
      <c r="I931" s="8" t="s">
        <v>31</v>
      </c>
      <c r="J931" s="8" t="s">
        <v>542</v>
      </c>
      <c r="K931" s="10" t="s">
        <v>4957</v>
      </c>
      <c r="L931" s="8" t="s">
        <v>34</v>
      </c>
      <c r="M931" s="8" t="s">
        <v>48</v>
      </c>
      <c r="N931" s="11">
        <v>44934.0</v>
      </c>
      <c r="O931" s="11">
        <v>44949.0</v>
      </c>
      <c r="P931" s="11">
        <v>45128.0</v>
      </c>
      <c r="Q931" s="11">
        <v>44970.0</v>
      </c>
      <c r="R931" s="11">
        <v>45152.0</v>
      </c>
      <c r="S931" s="12"/>
      <c r="T931" s="8" t="s">
        <v>205</v>
      </c>
      <c r="U931" s="8" t="s">
        <v>4958</v>
      </c>
      <c r="V931" s="13" t="s">
        <v>1010</v>
      </c>
      <c r="W931" s="13" t="s">
        <v>4959</v>
      </c>
      <c r="X931" s="12"/>
      <c r="Y931" s="14"/>
      <c r="Z931" s="14"/>
    </row>
    <row r="932">
      <c r="A932" s="8" t="s">
        <v>4960</v>
      </c>
      <c r="B932" s="8" t="s">
        <v>4961</v>
      </c>
      <c r="C932" s="8" t="s">
        <v>25</v>
      </c>
      <c r="D932" s="8" t="s">
        <v>26</v>
      </c>
      <c r="E932" s="8" t="s">
        <v>4962</v>
      </c>
      <c r="F932" s="8"/>
      <c r="G932" s="8" t="s">
        <v>31</v>
      </c>
      <c r="H932" s="8" t="s">
        <v>77</v>
      </c>
      <c r="I932" s="8" t="s">
        <v>221</v>
      </c>
      <c r="J932" s="8" t="s">
        <v>3985</v>
      </c>
      <c r="K932" s="10" t="s">
        <v>4963</v>
      </c>
      <c r="L932" s="8" t="s">
        <v>58</v>
      </c>
      <c r="M932" s="8" t="s">
        <v>35</v>
      </c>
      <c r="N932" s="11">
        <v>44934.0</v>
      </c>
      <c r="O932" s="11">
        <v>44942.0</v>
      </c>
      <c r="P932" s="11">
        <v>44984.0</v>
      </c>
      <c r="Q932" s="11">
        <v>44943.0</v>
      </c>
      <c r="R932" s="11">
        <v>44984.0</v>
      </c>
      <c r="S932" s="12"/>
      <c r="T932" s="8"/>
      <c r="U932" s="8" t="s">
        <v>59</v>
      </c>
      <c r="V932" s="13" t="s">
        <v>38</v>
      </c>
      <c r="W932" s="13" t="s">
        <v>4964</v>
      </c>
      <c r="X932" s="12"/>
      <c r="Y932" s="14"/>
      <c r="Z932" s="14"/>
    </row>
    <row r="933">
      <c r="A933" s="8" t="s">
        <v>4965</v>
      </c>
      <c r="B933" s="8" t="s">
        <v>4966</v>
      </c>
      <c r="C933" s="8" t="s">
        <v>25</v>
      </c>
      <c r="D933" s="8" t="s">
        <v>26</v>
      </c>
      <c r="E933" s="8" t="s">
        <v>4967</v>
      </c>
      <c r="F933" s="8"/>
      <c r="G933" s="8" t="s">
        <v>31</v>
      </c>
      <c r="H933" s="8" t="s">
        <v>86</v>
      </c>
      <c r="I933" s="8" t="s">
        <v>284</v>
      </c>
      <c r="J933" s="8" t="s">
        <v>1777</v>
      </c>
      <c r="K933" s="10" t="s">
        <v>4968</v>
      </c>
      <c r="L933" s="8" t="s">
        <v>58</v>
      </c>
      <c r="M933" s="8" t="s">
        <v>35</v>
      </c>
      <c r="N933" s="11">
        <v>44935.0</v>
      </c>
      <c r="O933" s="11">
        <v>45163.0</v>
      </c>
      <c r="P933" s="11">
        <v>45205.0</v>
      </c>
      <c r="Q933" s="11">
        <v>45157.0</v>
      </c>
      <c r="R933" s="11">
        <v>45205.0</v>
      </c>
      <c r="S933" s="12"/>
      <c r="T933" s="8"/>
      <c r="U933" s="8" t="s">
        <v>161</v>
      </c>
      <c r="V933" s="13" t="s">
        <v>38</v>
      </c>
      <c r="W933" s="13" t="s">
        <v>4969</v>
      </c>
      <c r="X933" s="12"/>
      <c r="Y933" s="14"/>
      <c r="Z933" s="14"/>
    </row>
    <row r="934">
      <c r="A934" s="8" t="s">
        <v>4970</v>
      </c>
      <c r="B934" s="8" t="s">
        <v>4971</v>
      </c>
      <c r="C934" s="8" t="s">
        <v>25</v>
      </c>
      <c r="D934" s="8" t="s">
        <v>26</v>
      </c>
      <c r="E934" s="8" t="s">
        <v>4972</v>
      </c>
      <c r="F934" s="8">
        <v>5.35787823E9</v>
      </c>
      <c r="G934" s="8" t="s">
        <v>31</v>
      </c>
      <c r="H934" s="8" t="s">
        <v>86</v>
      </c>
      <c r="I934" s="8" t="s">
        <v>127</v>
      </c>
      <c r="J934" s="8" t="s">
        <v>128</v>
      </c>
      <c r="K934" s="10" t="s">
        <v>4973</v>
      </c>
      <c r="L934" s="8" t="s">
        <v>58</v>
      </c>
      <c r="M934" s="8" t="s">
        <v>35</v>
      </c>
      <c r="N934" s="11">
        <v>44935.0</v>
      </c>
      <c r="O934" s="11">
        <v>45096.0</v>
      </c>
      <c r="P934" s="11">
        <v>45138.0</v>
      </c>
      <c r="Q934" s="11">
        <v>45096.0</v>
      </c>
      <c r="R934" s="11">
        <v>45138.0</v>
      </c>
      <c r="S934" s="12"/>
      <c r="T934" s="8"/>
      <c r="U934" s="8" t="s">
        <v>185</v>
      </c>
      <c r="V934" s="13" t="s">
        <v>175</v>
      </c>
      <c r="W934" s="13" t="s">
        <v>4974</v>
      </c>
      <c r="X934" s="12"/>
      <c r="Y934" s="14"/>
      <c r="Z934" s="14"/>
    </row>
    <row r="935">
      <c r="A935" s="8" t="s">
        <v>4975</v>
      </c>
      <c r="B935" s="8" t="s">
        <v>4976</v>
      </c>
      <c r="C935" s="8" t="s">
        <v>179</v>
      </c>
      <c r="D935" s="8" t="s">
        <v>26</v>
      </c>
      <c r="E935" s="8" t="s">
        <v>4977</v>
      </c>
      <c r="F935" s="8"/>
      <c r="G935" s="8" t="s">
        <v>31</v>
      </c>
      <c r="H935" s="8" t="s">
        <v>86</v>
      </c>
      <c r="I935" s="8" t="s">
        <v>127</v>
      </c>
      <c r="J935" s="8" t="s">
        <v>128</v>
      </c>
      <c r="K935" s="10" t="s">
        <v>4978</v>
      </c>
      <c r="L935" s="8" t="s">
        <v>58</v>
      </c>
      <c r="M935" s="8" t="s">
        <v>35</v>
      </c>
      <c r="N935" s="11">
        <v>44935.0</v>
      </c>
      <c r="O935" s="11">
        <v>45096.0</v>
      </c>
      <c r="P935" s="11">
        <v>45138.0</v>
      </c>
      <c r="Q935" s="11"/>
      <c r="R935" s="11"/>
      <c r="S935" s="12"/>
      <c r="T935" s="8"/>
      <c r="U935" s="8" t="s">
        <v>185</v>
      </c>
      <c r="V935" s="13" t="s">
        <v>4979</v>
      </c>
      <c r="W935" s="13" t="s">
        <v>4980</v>
      </c>
      <c r="X935" s="12"/>
      <c r="Y935" s="14"/>
      <c r="Z935" s="14"/>
    </row>
    <row r="936">
      <c r="A936" s="8" t="s">
        <v>4981</v>
      </c>
      <c r="B936" s="8" t="s">
        <v>4982</v>
      </c>
      <c r="C936" s="8" t="s">
        <v>25</v>
      </c>
      <c r="D936" s="8" t="s">
        <v>26</v>
      </c>
      <c r="E936" s="8" t="s">
        <v>4983</v>
      </c>
      <c r="F936" s="8"/>
      <c r="G936" s="8" t="s">
        <v>31</v>
      </c>
      <c r="H936" s="8" t="s">
        <v>56</v>
      </c>
      <c r="I936" s="8" t="s">
        <v>127</v>
      </c>
      <c r="J936" s="8" t="s">
        <v>159</v>
      </c>
      <c r="K936" s="10" t="s">
        <v>4984</v>
      </c>
      <c r="L936" s="8" t="s">
        <v>34</v>
      </c>
      <c r="M936" s="8" t="s">
        <v>35</v>
      </c>
      <c r="N936" s="11">
        <v>44935.0</v>
      </c>
      <c r="O936" s="11">
        <v>44998.0</v>
      </c>
      <c r="P936" s="11">
        <v>45051.0</v>
      </c>
      <c r="Q936" s="11">
        <v>44999.0</v>
      </c>
      <c r="R936" s="11">
        <v>45051.0</v>
      </c>
      <c r="S936" s="12"/>
      <c r="T936" s="8" t="s">
        <v>224</v>
      </c>
      <c r="U936" s="8" t="s">
        <v>4985</v>
      </c>
      <c r="V936" s="13" t="s">
        <v>38</v>
      </c>
      <c r="W936" s="13" t="s">
        <v>4986</v>
      </c>
      <c r="X936" s="12"/>
      <c r="Y936" s="14"/>
      <c r="Z936" s="14"/>
    </row>
    <row r="937">
      <c r="A937" s="8" t="s">
        <v>4987</v>
      </c>
      <c r="B937" s="8" t="s">
        <v>4988</v>
      </c>
      <c r="C937" s="8" t="s">
        <v>25</v>
      </c>
      <c r="D937" s="8" t="s">
        <v>26</v>
      </c>
      <c r="E937" s="8" t="s">
        <v>4989</v>
      </c>
      <c r="F937" s="8">
        <v>5.428194931E9</v>
      </c>
      <c r="G937" s="8" t="s">
        <v>31</v>
      </c>
      <c r="H937" s="8" t="s">
        <v>86</v>
      </c>
      <c r="I937" s="8" t="s">
        <v>221</v>
      </c>
      <c r="J937" s="8" t="s">
        <v>3001</v>
      </c>
      <c r="K937" s="10" t="s">
        <v>4824</v>
      </c>
      <c r="L937" s="8" t="s">
        <v>58</v>
      </c>
      <c r="M937" s="8" t="s">
        <v>35</v>
      </c>
      <c r="N937" s="11">
        <v>44935.0</v>
      </c>
      <c r="O937" s="11">
        <v>44942.0</v>
      </c>
      <c r="P937" s="11">
        <v>44984.0</v>
      </c>
      <c r="Q937" s="11">
        <v>44945.0</v>
      </c>
      <c r="R937" s="11">
        <v>44987.0</v>
      </c>
      <c r="S937" s="12"/>
      <c r="T937" s="8"/>
      <c r="U937" s="8" t="s">
        <v>371</v>
      </c>
      <c r="V937" s="13" t="s">
        <v>175</v>
      </c>
      <c r="W937" s="13" t="s">
        <v>4990</v>
      </c>
      <c r="X937" s="12"/>
      <c r="Y937" s="14"/>
      <c r="Z937" s="14"/>
    </row>
    <row r="938">
      <c r="A938" s="8" t="s">
        <v>4991</v>
      </c>
      <c r="B938" s="8" t="s">
        <v>4992</v>
      </c>
      <c r="C938" s="8" t="s">
        <v>25</v>
      </c>
      <c r="D938" s="8" t="s">
        <v>26</v>
      </c>
      <c r="E938" s="8" t="s">
        <v>4993</v>
      </c>
      <c r="F938" s="8">
        <v>5.30147482E9</v>
      </c>
      <c r="G938" s="8" t="s">
        <v>31</v>
      </c>
      <c r="H938" s="8" t="s">
        <v>86</v>
      </c>
      <c r="I938" s="8" t="s">
        <v>221</v>
      </c>
      <c r="J938" s="8" t="s">
        <v>3001</v>
      </c>
      <c r="K938" s="10" t="s">
        <v>4824</v>
      </c>
      <c r="L938" s="8" t="s">
        <v>58</v>
      </c>
      <c r="M938" s="8" t="s">
        <v>35</v>
      </c>
      <c r="N938" s="11">
        <v>44935.0</v>
      </c>
      <c r="O938" s="11">
        <v>44942.0</v>
      </c>
      <c r="P938" s="11">
        <v>44984.0</v>
      </c>
      <c r="Q938" s="11">
        <v>44945.0</v>
      </c>
      <c r="R938" s="11">
        <v>44987.0</v>
      </c>
      <c r="S938" s="12"/>
      <c r="T938" s="8"/>
      <c r="U938" s="8" t="s">
        <v>371</v>
      </c>
      <c r="V938" s="13" t="s">
        <v>175</v>
      </c>
      <c r="W938" s="13" t="s">
        <v>4994</v>
      </c>
      <c r="X938" s="12"/>
      <c r="Y938" s="14"/>
      <c r="Z938" s="14"/>
    </row>
    <row r="939">
      <c r="A939" s="8" t="s">
        <v>4995</v>
      </c>
      <c r="B939" s="8" t="s">
        <v>4996</v>
      </c>
      <c r="C939" s="8" t="s">
        <v>25</v>
      </c>
      <c r="D939" s="8" t="s">
        <v>26</v>
      </c>
      <c r="E939" s="8" t="s">
        <v>4997</v>
      </c>
      <c r="F939" s="8"/>
      <c r="G939" s="8" t="s">
        <v>109</v>
      </c>
      <c r="H939" s="8" t="s">
        <v>4998</v>
      </c>
      <c r="I939" s="8" t="s">
        <v>31</v>
      </c>
      <c r="J939" s="8" t="s">
        <v>77</v>
      </c>
      <c r="K939" s="10" t="s">
        <v>3945</v>
      </c>
      <c r="L939" s="8" t="s">
        <v>58</v>
      </c>
      <c r="M939" s="8" t="s">
        <v>35</v>
      </c>
      <c r="N939" s="11">
        <v>44935.0</v>
      </c>
      <c r="O939" s="11">
        <v>44938.0</v>
      </c>
      <c r="P939" s="11">
        <v>44980.0</v>
      </c>
      <c r="Q939" s="11">
        <v>44941.0</v>
      </c>
      <c r="R939" s="11">
        <v>44983.0</v>
      </c>
      <c r="S939" s="12"/>
      <c r="T939" s="8"/>
      <c r="U939" s="8" t="s">
        <v>59</v>
      </c>
      <c r="V939" s="13" t="s">
        <v>38</v>
      </c>
      <c r="W939" s="13" t="s">
        <v>4999</v>
      </c>
      <c r="X939" s="12"/>
      <c r="Y939" s="14"/>
      <c r="Z939" s="14"/>
    </row>
    <row r="940">
      <c r="A940" s="8" t="s">
        <v>5000</v>
      </c>
      <c r="B940" s="8" t="s">
        <v>5001</v>
      </c>
      <c r="C940" s="8" t="s">
        <v>179</v>
      </c>
      <c r="D940" s="8" t="s">
        <v>26</v>
      </c>
      <c r="E940" s="8" t="s">
        <v>5002</v>
      </c>
      <c r="F940" s="8"/>
      <c r="G940" s="8" t="s">
        <v>29</v>
      </c>
      <c r="H940" s="8" t="s">
        <v>5003</v>
      </c>
      <c r="I940" s="8" t="s">
        <v>31</v>
      </c>
      <c r="J940" s="8" t="s">
        <v>86</v>
      </c>
      <c r="K940" s="10" t="s">
        <v>416</v>
      </c>
      <c r="L940" s="8" t="s">
        <v>58</v>
      </c>
      <c r="M940" s="8" t="s">
        <v>35</v>
      </c>
      <c r="N940" s="11">
        <v>44935.0</v>
      </c>
      <c r="O940" s="11">
        <v>45173.0</v>
      </c>
      <c r="P940" s="11">
        <v>45215.0</v>
      </c>
      <c r="Q940" s="11"/>
      <c r="R940" s="11"/>
      <c r="S940" s="12"/>
      <c r="T940" s="8"/>
      <c r="U940" s="8" t="s">
        <v>59</v>
      </c>
      <c r="V940" s="13" t="s">
        <v>38</v>
      </c>
      <c r="W940" s="13" t="s">
        <v>5004</v>
      </c>
      <c r="X940" s="12"/>
      <c r="Y940" s="14"/>
      <c r="Z940" s="14"/>
    </row>
    <row r="941">
      <c r="A941" s="8" t="s">
        <v>5005</v>
      </c>
      <c r="B941" s="8" t="s">
        <v>5006</v>
      </c>
      <c r="C941" s="8" t="s">
        <v>708</v>
      </c>
      <c r="D941" s="8" t="s">
        <v>26</v>
      </c>
      <c r="E941" s="8" t="s">
        <v>5007</v>
      </c>
      <c r="F941" s="8"/>
      <c r="G941" s="8" t="s">
        <v>31</v>
      </c>
      <c r="H941" s="8" t="s">
        <v>111</v>
      </c>
      <c r="I941" s="8" t="s">
        <v>5008</v>
      </c>
      <c r="J941" s="8" t="s">
        <v>5009</v>
      </c>
      <c r="K941" s="10" t="s">
        <v>5010</v>
      </c>
      <c r="L941" s="8" t="s">
        <v>34</v>
      </c>
      <c r="M941" s="8" t="s">
        <v>70</v>
      </c>
      <c r="N941" s="11">
        <v>44935.0</v>
      </c>
      <c r="O941" s="11">
        <v>44928.0</v>
      </c>
      <c r="P941" s="11">
        <v>45293.0</v>
      </c>
      <c r="Q941" s="11">
        <v>45035.0</v>
      </c>
      <c r="R941" s="11">
        <v>45398.0</v>
      </c>
      <c r="S941" s="12"/>
      <c r="T941" s="8" t="s">
        <v>36</v>
      </c>
      <c r="U941" s="8" t="s">
        <v>5011</v>
      </c>
      <c r="V941" s="13" t="s">
        <v>38</v>
      </c>
      <c r="W941" s="13" t="s">
        <v>5012</v>
      </c>
      <c r="X941" s="12"/>
      <c r="Y941" s="14"/>
      <c r="Z941" s="14"/>
    </row>
    <row r="942">
      <c r="A942" s="8" t="s">
        <v>5013</v>
      </c>
      <c r="B942" s="8" t="s">
        <v>5014</v>
      </c>
      <c r="C942" s="8" t="s">
        <v>708</v>
      </c>
      <c r="D942" s="8" t="s">
        <v>26</v>
      </c>
      <c r="E942" s="8" t="s">
        <v>5015</v>
      </c>
      <c r="F942" s="8">
        <v>9.841866809E9</v>
      </c>
      <c r="G942" s="8" t="s">
        <v>466</v>
      </c>
      <c r="H942" s="8" t="s">
        <v>5016</v>
      </c>
      <c r="I942" s="8" t="s">
        <v>31</v>
      </c>
      <c r="J942" s="8" t="s">
        <v>86</v>
      </c>
      <c r="K942" s="10" t="s">
        <v>5017</v>
      </c>
      <c r="L942" s="8" t="s">
        <v>34</v>
      </c>
      <c r="M942" s="8" t="s">
        <v>70</v>
      </c>
      <c r="N942" s="11">
        <v>44936.0</v>
      </c>
      <c r="O942" s="11">
        <v>44963.0</v>
      </c>
      <c r="P942" s="11">
        <v>45324.0</v>
      </c>
      <c r="Q942" s="11">
        <v>44963.0</v>
      </c>
      <c r="R942" s="11">
        <v>45328.0</v>
      </c>
      <c r="S942" s="12"/>
      <c r="T942" s="8" t="s">
        <v>121</v>
      </c>
      <c r="U942" s="8" t="s">
        <v>5018</v>
      </c>
      <c r="V942" s="13" t="s">
        <v>5019</v>
      </c>
      <c r="W942" s="13" t="s">
        <v>5020</v>
      </c>
      <c r="X942" s="12"/>
      <c r="Y942" s="14"/>
      <c r="Z942" s="14"/>
    </row>
    <row r="943">
      <c r="A943" s="8" t="s">
        <v>5021</v>
      </c>
      <c r="B943" s="8" t="s">
        <v>3038</v>
      </c>
      <c r="C943" s="8" t="s">
        <v>64</v>
      </c>
      <c r="D943" s="8" t="s">
        <v>26</v>
      </c>
      <c r="E943" s="8" t="s">
        <v>3039</v>
      </c>
      <c r="F943" s="8">
        <v>5.57115707E8</v>
      </c>
      <c r="G943" s="8" t="s">
        <v>254</v>
      </c>
      <c r="H943" s="8" t="s">
        <v>255</v>
      </c>
      <c r="I943" s="8" t="s">
        <v>31</v>
      </c>
      <c r="J943" s="8" t="s">
        <v>111</v>
      </c>
      <c r="K943" s="10" t="s">
        <v>5022</v>
      </c>
      <c r="L943" s="8" t="s">
        <v>47</v>
      </c>
      <c r="M943" s="8" t="s">
        <v>70</v>
      </c>
      <c r="N943" s="11">
        <v>44936.0</v>
      </c>
      <c r="O943" s="11">
        <v>44944.0</v>
      </c>
      <c r="P943" s="11">
        <v>45309.0</v>
      </c>
      <c r="Q943" s="11">
        <v>44939.0</v>
      </c>
      <c r="R943" s="11">
        <v>45309.0</v>
      </c>
      <c r="S943" s="12"/>
      <c r="T943" s="8"/>
      <c r="U943" s="8" t="s">
        <v>246</v>
      </c>
      <c r="V943" s="13" t="s">
        <v>38</v>
      </c>
      <c r="W943" s="13" t="s">
        <v>3042</v>
      </c>
      <c r="X943" s="12"/>
      <c r="Y943" s="14"/>
      <c r="Z943" s="14"/>
    </row>
    <row r="944">
      <c r="A944" s="8" t="s">
        <v>5023</v>
      </c>
      <c r="B944" s="8" t="s">
        <v>5024</v>
      </c>
      <c r="C944" s="8" t="s">
        <v>64</v>
      </c>
      <c r="D944" s="8" t="s">
        <v>26</v>
      </c>
      <c r="E944" s="8" t="s">
        <v>5025</v>
      </c>
      <c r="F944" s="8"/>
      <c r="G944" s="8" t="s">
        <v>835</v>
      </c>
      <c r="H944" s="8" t="s">
        <v>836</v>
      </c>
      <c r="I944" s="8" t="s">
        <v>31</v>
      </c>
      <c r="J944" s="8" t="s">
        <v>111</v>
      </c>
      <c r="K944" s="10" t="s">
        <v>4676</v>
      </c>
      <c r="L944" s="8" t="s">
        <v>47</v>
      </c>
      <c r="M944" s="8" t="s">
        <v>70</v>
      </c>
      <c r="N944" s="11">
        <v>44936.0</v>
      </c>
      <c r="O944" s="11">
        <v>44931.0</v>
      </c>
      <c r="P944" s="11">
        <v>45296.0</v>
      </c>
      <c r="Q944" s="11">
        <v>44953.0</v>
      </c>
      <c r="R944" s="11">
        <v>45318.0</v>
      </c>
      <c r="S944" s="12"/>
      <c r="T944" s="8" t="s">
        <v>446</v>
      </c>
      <c r="U944" s="8" t="s">
        <v>4677</v>
      </c>
      <c r="V944" s="13" t="s">
        <v>838</v>
      </c>
      <c r="W944" s="13" t="s">
        <v>5026</v>
      </c>
      <c r="X944" s="12"/>
      <c r="Y944" s="14"/>
      <c r="Z944" s="14"/>
    </row>
    <row r="945">
      <c r="A945" s="8" t="s">
        <v>5027</v>
      </c>
      <c r="B945" s="8" t="s">
        <v>5028</v>
      </c>
      <c r="C945" s="8" t="s">
        <v>179</v>
      </c>
      <c r="D945" s="8" t="s">
        <v>26</v>
      </c>
      <c r="E945" s="8" t="s">
        <v>5029</v>
      </c>
      <c r="F945" s="8">
        <v>9.765731171E9</v>
      </c>
      <c r="G945" s="8" t="s">
        <v>44</v>
      </c>
      <c r="H945" s="8" t="s">
        <v>2054</v>
      </c>
      <c r="I945" s="8" t="s">
        <v>31</v>
      </c>
      <c r="J945" s="8" t="s">
        <v>66</v>
      </c>
      <c r="K945" s="10" t="s">
        <v>5030</v>
      </c>
      <c r="L945" s="8" t="s">
        <v>58</v>
      </c>
      <c r="M945" s="8" t="s">
        <v>35</v>
      </c>
      <c r="N945" s="11">
        <v>44936.0</v>
      </c>
      <c r="O945" s="11">
        <v>45116.0</v>
      </c>
      <c r="P945" s="11">
        <v>45163.0</v>
      </c>
      <c r="Q945" s="11"/>
      <c r="R945" s="11"/>
      <c r="S945" s="12"/>
      <c r="T945" s="8"/>
      <c r="U945" s="8" t="s">
        <v>88</v>
      </c>
      <c r="V945" s="13" t="s">
        <v>5031</v>
      </c>
      <c r="W945" s="13" t="s">
        <v>5032</v>
      </c>
      <c r="X945" s="12"/>
      <c r="Y945" s="14"/>
      <c r="Z945" s="14"/>
    </row>
    <row r="946">
      <c r="A946" s="8" t="s">
        <v>5033</v>
      </c>
      <c r="B946" s="8" t="s">
        <v>5034</v>
      </c>
      <c r="C946" s="8" t="s">
        <v>179</v>
      </c>
      <c r="D946" s="8" t="s">
        <v>26</v>
      </c>
      <c r="E946" s="8" t="s">
        <v>5035</v>
      </c>
      <c r="F946" s="8">
        <v>5.438107759E9</v>
      </c>
      <c r="G946" s="8" t="s">
        <v>31</v>
      </c>
      <c r="H946" s="8" t="s">
        <v>86</v>
      </c>
      <c r="I946" s="8" t="s">
        <v>399</v>
      </c>
      <c r="J946" s="8" t="s">
        <v>4868</v>
      </c>
      <c r="K946" s="10" t="s">
        <v>4869</v>
      </c>
      <c r="L946" s="8" t="s">
        <v>58</v>
      </c>
      <c r="M946" s="8" t="s">
        <v>35</v>
      </c>
      <c r="N946" s="11">
        <v>44937.0</v>
      </c>
      <c r="O946" s="11">
        <v>45110.0</v>
      </c>
      <c r="P946" s="11">
        <v>45152.0</v>
      </c>
      <c r="Q946" s="11"/>
      <c r="R946" s="11"/>
      <c r="S946" s="12"/>
      <c r="T946" s="8"/>
      <c r="U946" s="8" t="s">
        <v>4870</v>
      </c>
      <c r="V946" s="13" t="s">
        <v>175</v>
      </c>
      <c r="W946" s="13" t="s">
        <v>5036</v>
      </c>
      <c r="X946" s="12"/>
      <c r="Y946" s="14"/>
      <c r="Z946" s="14"/>
    </row>
    <row r="947">
      <c r="A947" s="8" t="s">
        <v>5037</v>
      </c>
      <c r="B947" s="8" t="s">
        <v>5038</v>
      </c>
      <c r="C947" s="8" t="s">
        <v>25</v>
      </c>
      <c r="D947" s="8" t="s">
        <v>26</v>
      </c>
      <c r="E947" s="8" t="s">
        <v>5039</v>
      </c>
      <c r="F947" s="8"/>
      <c r="G947" s="8" t="s">
        <v>31</v>
      </c>
      <c r="H947" s="8" t="s">
        <v>77</v>
      </c>
      <c r="I947" s="8" t="s">
        <v>466</v>
      </c>
      <c r="J947" s="8" t="s">
        <v>5040</v>
      </c>
      <c r="K947" s="10" t="s">
        <v>5041</v>
      </c>
      <c r="L947" s="8" t="s">
        <v>58</v>
      </c>
      <c r="M947" s="8" t="s">
        <v>35</v>
      </c>
      <c r="N947" s="11">
        <v>44937.0</v>
      </c>
      <c r="O947" s="11">
        <v>44954.0</v>
      </c>
      <c r="P947" s="11">
        <v>44996.0</v>
      </c>
      <c r="Q947" s="11">
        <v>44954.0</v>
      </c>
      <c r="R947" s="11">
        <v>44996.0</v>
      </c>
      <c r="S947" s="12"/>
      <c r="T947" s="8"/>
      <c r="U947" s="8" t="s">
        <v>59</v>
      </c>
      <c r="V947" s="13" t="s">
        <v>38</v>
      </c>
      <c r="W947" s="13" t="s">
        <v>5042</v>
      </c>
      <c r="X947" s="12"/>
      <c r="Y947" s="14"/>
      <c r="Z947" s="14"/>
    </row>
    <row r="948">
      <c r="A948" s="8" t="s">
        <v>5043</v>
      </c>
      <c r="B948" s="8" t="s">
        <v>5044</v>
      </c>
      <c r="C948" s="8" t="s">
        <v>179</v>
      </c>
      <c r="D948" s="8" t="s">
        <v>26</v>
      </c>
      <c r="E948" s="8" t="s">
        <v>5045</v>
      </c>
      <c r="F948" s="8"/>
      <c r="G948" s="8" t="s">
        <v>31</v>
      </c>
      <c r="H948" s="8" t="s">
        <v>86</v>
      </c>
      <c r="I948" s="8" t="s">
        <v>284</v>
      </c>
      <c r="J948" s="8" t="s">
        <v>589</v>
      </c>
      <c r="K948" s="10" t="s">
        <v>2888</v>
      </c>
      <c r="L948" s="8" t="s">
        <v>58</v>
      </c>
      <c r="M948" s="8" t="s">
        <v>35</v>
      </c>
      <c r="N948" s="11">
        <v>44937.0</v>
      </c>
      <c r="O948" s="11">
        <v>45139.0</v>
      </c>
      <c r="P948" s="11">
        <v>45181.0</v>
      </c>
      <c r="Q948" s="11"/>
      <c r="R948" s="11"/>
      <c r="S948" s="12"/>
      <c r="T948" s="8"/>
      <c r="U948" s="8" t="s">
        <v>1038</v>
      </c>
      <c r="V948" s="13" t="s">
        <v>38</v>
      </c>
      <c r="W948" s="13" t="s">
        <v>5046</v>
      </c>
      <c r="X948" s="12"/>
      <c r="Y948" s="14"/>
      <c r="Z948" s="14"/>
    </row>
    <row r="949">
      <c r="A949" s="8" t="s">
        <v>5047</v>
      </c>
      <c r="B949" s="8" t="s">
        <v>5048</v>
      </c>
      <c r="C949" s="8" t="s">
        <v>25</v>
      </c>
      <c r="D949" s="8" t="s">
        <v>26</v>
      </c>
      <c r="E949" s="8" t="s">
        <v>5049</v>
      </c>
      <c r="F949" s="8">
        <v>5.07779149E9</v>
      </c>
      <c r="G949" s="8" t="s">
        <v>31</v>
      </c>
      <c r="H949" s="8" t="s">
        <v>86</v>
      </c>
      <c r="I949" s="8" t="s">
        <v>100</v>
      </c>
      <c r="J949" s="8" t="s">
        <v>3016</v>
      </c>
      <c r="K949" s="10" t="s">
        <v>5050</v>
      </c>
      <c r="L949" s="8" t="s">
        <v>58</v>
      </c>
      <c r="M949" s="8" t="s">
        <v>35</v>
      </c>
      <c r="N949" s="11">
        <v>44937.0</v>
      </c>
      <c r="O949" s="11">
        <v>44963.0</v>
      </c>
      <c r="P949" s="11">
        <v>45005.0</v>
      </c>
      <c r="Q949" s="11">
        <v>44970.0</v>
      </c>
      <c r="R949" s="11">
        <v>45011.0</v>
      </c>
      <c r="S949" s="12"/>
      <c r="T949" s="8"/>
      <c r="U949" s="8" t="s">
        <v>88</v>
      </c>
      <c r="V949" s="13" t="s">
        <v>175</v>
      </c>
      <c r="W949" s="13" t="s">
        <v>5051</v>
      </c>
      <c r="X949" s="12"/>
      <c r="Y949" s="14"/>
      <c r="Z949" s="14"/>
    </row>
    <row r="950">
      <c r="A950" s="8" t="s">
        <v>5052</v>
      </c>
      <c r="B950" s="8" t="s">
        <v>5053</v>
      </c>
      <c r="C950" s="8" t="s">
        <v>251</v>
      </c>
      <c r="D950" s="8" t="s">
        <v>26</v>
      </c>
      <c r="E950" s="8" t="s">
        <v>5054</v>
      </c>
      <c r="F950" s="8">
        <v>7.7986898E8</v>
      </c>
      <c r="G950" s="8" t="s">
        <v>254</v>
      </c>
      <c r="H950" s="8" t="s">
        <v>291</v>
      </c>
      <c r="I950" s="8" t="s">
        <v>31</v>
      </c>
      <c r="J950" s="8" t="s">
        <v>43</v>
      </c>
      <c r="K950" s="10" t="s">
        <v>5055</v>
      </c>
      <c r="L950" s="8" t="s">
        <v>47</v>
      </c>
      <c r="M950" s="8" t="s">
        <v>70</v>
      </c>
      <c r="N950" s="11">
        <v>44938.0</v>
      </c>
      <c r="O950" s="11">
        <v>44944.0</v>
      </c>
      <c r="P950" s="11">
        <v>45134.0</v>
      </c>
      <c r="Q950" s="11"/>
      <c r="R950" s="11"/>
      <c r="S950" s="12"/>
      <c r="T950" s="8"/>
      <c r="U950" s="8" t="s">
        <v>246</v>
      </c>
      <c r="V950" s="13" t="s">
        <v>295</v>
      </c>
      <c r="W950" s="13" t="s">
        <v>5056</v>
      </c>
      <c r="X950" s="12"/>
      <c r="Y950" s="14"/>
      <c r="Z950" s="14"/>
    </row>
    <row r="951">
      <c r="A951" s="8" t="s">
        <v>5057</v>
      </c>
      <c r="B951" s="8" t="s">
        <v>5058</v>
      </c>
      <c r="C951" s="8" t="s">
        <v>64</v>
      </c>
      <c r="D951" s="8" t="s">
        <v>26</v>
      </c>
      <c r="E951" s="8" t="s">
        <v>5059</v>
      </c>
      <c r="F951" s="8">
        <v>2.0238375E7</v>
      </c>
      <c r="G951" s="8" t="s">
        <v>54</v>
      </c>
      <c r="H951" s="8" t="s">
        <v>1640</v>
      </c>
      <c r="I951" s="8" t="s">
        <v>31</v>
      </c>
      <c r="J951" s="8" t="s">
        <v>32</v>
      </c>
      <c r="K951" s="10" t="s">
        <v>5060</v>
      </c>
      <c r="L951" s="8" t="s">
        <v>58</v>
      </c>
      <c r="M951" s="8" t="s">
        <v>35</v>
      </c>
      <c r="N951" s="11">
        <v>44938.0</v>
      </c>
      <c r="O951" s="11">
        <v>45110.0</v>
      </c>
      <c r="P951" s="11">
        <v>45152.0</v>
      </c>
      <c r="Q951" s="11">
        <v>45111.0</v>
      </c>
      <c r="R951" s="11">
        <v>45153.0</v>
      </c>
      <c r="S951" s="12"/>
      <c r="T951" s="8"/>
      <c r="U951" s="8" t="s">
        <v>161</v>
      </c>
      <c r="V951" s="13" t="s">
        <v>5061</v>
      </c>
      <c r="W951" s="13" t="s">
        <v>5062</v>
      </c>
      <c r="X951" s="12"/>
      <c r="Y951" s="14"/>
      <c r="Z951" s="14"/>
    </row>
    <row r="952">
      <c r="A952" s="8" t="s">
        <v>5063</v>
      </c>
      <c r="B952" s="8" t="s">
        <v>5064</v>
      </c>
      <c r="C952" s="8" t="s">
        <v>25</v>
      </c>
      <c r="D952" s="8" t="s">
        <v>26</v>
      </c>
      <c r="E952" s="8" t="s">
        <v>5065</v>
      </c>
      <c r="F952" s="8">
        <v>5.073211361E9</v>
      </c>
      <c r="G952" s="8" t="s">
        <v>31</v>
      </c>
      <c r="H952" s="8" t="s">
        <v>111</v>
      </c>
      <c r="I952" s="8" t="s">
        <v>284</v>
      </c>
      <c r="J952" s="8" t="s">
        <v>793</v>
      </c>
      <c r="K952" s="10" t="s">
        <v>5066</v>
      </c>
      <c r="L952" s="8" t="s">
        <v>58</v>
      </c>
      <c r="M952" s="8" t="s">
        <v>35</v>
      </c>
      <c r="N952" s="11">
        <v>44938.0</v>
      </c>
      <c r="O952" s="11">
        <v>45108.0</v>
      </c>
      <c r="P952" s="11">
        <v>45150.0</v>
      </c>
      <c r="Q952" s="11">
        <v>45145.0</v>
      </c>
      <c r="R952" s="11">
        <v>45190.0</v>
      </c>
      <c r="S952" s="12"/>
      <c r="T952" s="8"/>
      <c r="U952" s="8" t="s">
        <v>161</v>
      </c>
      <c r="V952" s="13" t="s">
        <v>111</v>
      </c>
      <c r="W952" s="13" t="s">
        <v>5067</v>
      </c>
      <c r="X952" s="12"/>
      <c r="Y952" s="14"/>
      <c r="Z952" s="14"/>
    </row>
    <row r="953">
      <c r="A953" s="8" t="s">
        <v>5068</v>
      </c>
      <c r="B953" s="8" t="s">
        <v>5069</v>
      </c>
      <c r="C953" s="8" t="s">
        <v>179</v>
      </c>
      <c r="D953" s="8" t="s">
        <v>26</v>
      </c>
      <c r="E953" s="8" t="s">
        <v>5070</v>
      </c>
      <c r="F953" s="8">
        <v>1.013632142E9</v>
      </c>
      <c r="G953" s="8" t="s">
        <v>284</v>
      </c>
      <c r="H953" s="8" t="s">
        <v>1287</v>
      </c>
      <c r="I953" s="8" t="s">
        <v>31</v>
      </c>
      <c r="J953" s="8" t="s">
        <v>32</v>
      </c>
      <c r="K953" s="10" t="s">
        <v>5071</v>
      </c>
      <c r="L953" s="8" t="s">
        <v>58</v>
      </c>
      <c r="M953" s="8" t="s">
        <v>35</v>
      </c>
      <c r="N953" s="11">
        <v>44939.0</v>
      </c>
      <c r="O953" s="11">
        <v>45110.0</v>
      </c>
      <c r="P953" s="11">
        <v>45152.0</v>
      </c>
      <c r="Q953" s="11"/>
      <c r="R953" s="11"/>
      <c r="S953" s="12"/>
      <c r="T953" s="8"/>
      <c r="U953" s="8" t="s">
        <v>161</v>
      </c>
      <c r="V953" s="13" t="s">
        <v>5072</v>
      </c>
      <c r="W953" s="13" t="s">
        <v>5073</v>
      </c>
      <c r="X953" s="12"/>
      <c r="Y953" s="14"/>
      <c r="Z953" s="14"/>
    </row>
    <row r="954">
      <c r="A954" s="8" t="s">
        <v>5074</v>
      </c>
      <c r="B954" s="8" t="s">
        <v>5075</v>
      </c>
      <c r="C954" s="8" t="s">
        <v>251</v>
      </c>
      <c r="D954" s="8" t="s">
        <v>26</v>
      </c>
      <c r="E954" s="8" t="s">
        <v>5076</v>
      </c>
      <c r="F954" s="8">
        <v>7.02748818E8</v>
      </c>
      <c r="G954" s="8" t="s">
        <v>277</v>
      </c>
      <c r="H954" s="8" t="s">
        <v>697</v>
      </c>
      <c r="I954" s="8" t="s">
        <v>31</v>
      </c>
      <c r="J954" s="8" t="s">
        <v>32</v>
      </c>
      <c r="K954" s="10" t="s">
        <v>5060</v>
      </c>
      <c r="L954" s="8" t="s">
        <v>58</v>
      </c>
      <c r="M954" s="8" t="s">
        <v>35</v>
      </c>
      <c r="N954" s="11">
        <v>44939.0</v>
      </c>
      <c r="O954" s="11">
        <v>45110.0</v>
      </c>
      <c r="P954" s="11">
        <v>45152.0</v>
      </c>
      <c r="Q954" s="11"/>
      <c r="R954" s="11"/>
      <c r="S954" s="12"/>
      <c r="T954" s="8"/>
      <c r="U954" s="8" t="s">
        <v>161</v>
      </c>
      <c r="V954" s="13" t="s">
        <v>5077</v>
      </c>
      <c r="W954" s="13" t="s">
        <v>5078</v>
      </c>
      <c r="X954" s="12"/>
      <c r="Y954" s="14"/>
      <c r="Z954" s="14"/>
    </row>
    <row r="955">
      <c r="A955" s="8" t="s">
        <v>5079</v>
      </c>
      <c r="B955" s="8" t="s">
        <v>5080</v>
      </c>
      <c r="C955" s="8" t="s">
        <v>179</v>
      </c>
      <c r="D955" s="8" t="s">
        <v>26</v>
      </c>
      <c r="E955" s="8" t="s">
        <v>5081</v>
      </c>
      <c r="F955" s="8">
        <v>5.359455234E9</v>
      </c>
      <c r="G955" s="8" t="s">
        <v>31</v>
      </c>
      <c r="H955" s="8" t="s">
        <v>77</v>
      </c>
      <c r="I955" s="8" t="s">
        <v>44</v>
      </c>
      <c r="J955" s="8" t="s">
        <v>1993</v>
      </c>
      <c r="K955" s="10" t="s">
        <v>2299</v>
      </c>
      <c r="L955" s="8" t="s">
        <v>58</v>
      </c>
      <c r="M955" s="8" t="s">
        <v>35</v>
      </c>
      <c r="N955" s="11">
        <v>44939.0</v>
      </c>
      <c r="O955" s="11">
        <v>45114.0</v>
      </c>
      <c r="P955" s="11">
        <v>45156.0</v>
      </c>
      <c r="Q955" s="11"/>
      <c r="R955" s="11"/>
      <c r="S955" s="12"/>
      <c r="T955" s="8"/>
      <c r="U955" s="8" t="s">
        <v>371</v>
      </c>
      <c r="V955" s="13" t="s">
        <v>77</v>
      </c>
      <c r="W955" s="13" t="s">
        <v>5082</v>
      </c>
      <c r="X955" s="12"/>
      <c r="Y955" s="14"/>
      <c r="Z955" s="14"/>
    </row>
    <row r="956">
      <c r="A956" s="8" t="s">
        <v>5083</v>
      </c>
      <c r="B956" s="8" t="s">
        <v>5084</v>
      </c>
      <c r="C956" s="8" t="s">
        <v>179</v>
      </c>
      <c r="D956" s="8" t="s">
        <v>26</v>
      </c>
      <c r="E956" s="8" t="s">
        <v>5085</v>
      </c>
      <c r="F956" s="8"/>
      <c r="G956" s="8" t="s">
        <v>31</v>
      </c>
      <c r="H956" s="8" t="s">
        <v>56</v>
      </c>
      <c r="I956" s="8" t="s">
        <v>2524</v>
      </c>
      <c r="J956" s="8" t="s">
        <v>2881</v>
      </c>
      <c r="K956" s="10" t="s">
        <v>5086</v>
      </c>
      <c r="L956" s="8" t="s">
        <v>34</v>
      </c>
      <c r="M956" s="8" t="s">
        <v>70</v>
      </c>
      <c r="N956" s="11">
        <v>44939.0</v>
      </c>
      <c r="O956" s="11">
        <v>45006.0</v>
      </c>
      <c r="P956" s="11">
        <v>45281.0</v>
      </c>
      <c r="Q956" s="11"/>
      <c r="R956" s="11"/>
      <c r="S956" s="12"/>
      <c r="T956" s="8" t="s">
        <v>36</v>
      </c>
      <c r="U956" s="8" t="s">
        <v>5087</v>
      </c>
      <c r="V956" s="13" t="s">
        <v>38</v>
      </c>
      <c r="W956" s="13" t="s">
        <v>5088</v>
      </c>
      <c r="X956" s="12"/>
      <c r="Y956" s="14"/>
      <c r="Z956" s="14"/>
    </row>
    <row r="957">
      <c r="A957" s="8" t="s">
        <v>5089</v>
      </c>
      <c r="B957" s="8" t="s">
        <v>5090</v>
      </c>
      <c r="C957" s="8" t="s">
        <v>25</v>
      </c>
      <c r="D957" s="8" t="s">
        <v>26</v>
      </c>
      <c r="E957" s="8" t="s">
        <v>5091</v>
      </c>
      <c r="F957" s="8">
        <v>5.358343509E9</v>
      </c>
      <c r="G957" s="8" t="s">
        <v>31</v>
      </c>
      <c r="H957" s="8" t="s">
        <v>86</v>
      </c>
      <c r="I957" s="8" t="s">
        <v>143</v>
      </c>
      <c r="J957" s="8" t="s">
        <v>1478</v>
      </c>
      <c r="K957" s="10" t="s">
        <v>5092</v>
      </c>
      <c r="L957" s="8" t="s">
        <v>34</v>
      </c>
      <c r="M957" s="8" t="s">
        <v>35</v>
      </c>
      <c r="N957" s="11">
        <v>44939.0</v>
      </c>
      <c r="O957" s="11">
        <v>44962.0</v>
      </c>
      <c r="P957" s="11">
        <v>45018.0</v>
      </c>
      <c r="Q957" s="11">
        <v>44998.0</v>
      </c>
      <c r="R957" s="11">
        <v>45054.0</v>
      </c>
      <c r="S957" s="12"/>
      <c r="T957" s="8" t="s">
        <v>205</v>
      </c>
      <c r="U957" s="8" t="s">
        <v>5093</v>
      </c>
      <c r="V957" s="13" t="s">
        <v>175</v>
      </c>
      <c r="W957" s="13" t="s">
        <v>5094</v>
      </c>
      <c r="X957" s="12"/>
      <c r="Y957" s="14"/>
      <c r="Z957" s="14"/>
    </row>
    <row r="958">
      <c r="A958" s="8" t="s">
        <v>5095</v>
      </c>
      <c r="B958" s="8" t="s">
        <v>5096</v>
      </c>
      <c r="C958" s="8" t="s">
        <v>179</v>
      </c>
      <c r="D958" s="8" t="s">
        <v>26</v>
      </c>
      <c r="E958" s="8" t="s">
        <v>5097</v>
      </c>
      <c r="F958" s="8">
        <v>5.073517826E9</v>
      </c>
      <c r="G958" s="8" t="s">
        <v>31</v>
      </c>
      <c r="H958" s="8" t="s">
        <v>111</v>
      </c>
      <c r="I958" s="8" t="s">
        <v>399</v>
      </c>
      <c r="J958" s="8" t="s">
        <v>415</v>
      </c>
      <c r="K958" s="10" t="s">
        <v>3178</v>
      </c>
      <c r="L958" s="8" t="s">
        <v>58</v>
      </c>
      <c r="M958" s="8" t="s">
        <v>35</v>
      </c>
      <c r="N958" s="11">
        <v>44939.0</v>
      </c>
      <c r="O958" s="11">
        <v>45115.0</v>
      </c>
      <c r="P958" s="11">
        <v>45157.0</v>
      </c>
      <c r="Q958" s="11"/>
      <c r="R958" s="11"/>
      <c r="S958" s="12"/>
      <c r="T958" s="8"/>
      <c r="U958" s="8" t="s">
        <v>402</v>
      </c>
      <c r="V958" s="13" t="s">
        <v>111</v>
      </c>
      <c r="W958" s="13" t="s">
        <v>5098</v>
      </c>
      <c r="X958" s="12"/>
      <c r="Y958" s="14"/>
      <c r="Z958" s="14"/>
    </row>
    <row r="959">
      <c r="A959" s="8" t="s">
        <v>5099</v>
      </c>
      <c r="B959" s="8" t="s">
        <v>5100</v>
      </c>
      <c r="C959" s="8" t="s">
        <v>179</v>
      </c>
      <c r="D959" s="8" t="s">
        <v>26</v>
      </c>
      <c r="E959" s="8" t="s">
        <v>5101</v>
      </c>
      <c r="F959" s="8">
        <v>5.078551745E9</v>
      </c>
      <c r="G959" s="8" t="s">
        <v>31</v>
      </c>
      <c r="H959" s="8" t="s">
        <v>542</v>
      </c>
      <c r="I959" s="8" t="s">
        <v>1400</v>
      </c>
      <c r="J959" s="8" t="s">
        <v>1728</v>
      </c>
      <c r="K959" s="10" t="s">
        <v>3717</v>
      </c>
      <c r="L959" s="8" t="s">
        <v>58</v>
      </c>
      <c r="M959" s="8" t="s">
        <v>35</v>
      </c>
      <c r="N959" s="11">
        <v>44940.0</v>
      </c>
      <c r="O959" s="11">
        <v>45053.0</v>
      </c>
      <c r="P959" s="11">
        <v>45095.0</v>
      </c>
      <c r="Q959" s="11"/>
      <c r="R959" s="11"/>
      <c r="S959" s="12"/>
      <c r="T959" s="8"/>
      <c r="U959" s="8" t="s">
        <v>88</v>
      </c>
      <c r="V959" s="13" t="s">
        <v>545</v>
      </c>
      <c r="W959" s="13" t="s">
        <v>5102</v>
      </c>
      <c r="X959" s="12"/>
      <c r="Y959" s="14"/>
      <c r="Z959" s="14"/>
    </row>
    <row r="960">
      <c r="A960" s="8" t="s">
        <v>5103</v>
      </c>
      <c r="B960" s="8" t="s">
        <v>5104</v>
      </c>
      <c r="C960" s="8" t="s">
        <v>708</v>
      </c>
      <c r="D960" s="8" t="s">
        <v>26</v>
      </c>
      <c r="E960" s="8" t="s">
        <v>5105</v>
      </c>
      <c r="F960" s="8"/>
      <c r="G960" s="8" t="s">
        <v>254</v>
      </c>
      <c r="H960" s="8" t="s">
        <v>1007</v>
      </c>
      <c r="I960" s="8" t="s">
        <v>31</v>
      </c>
      <c r="J960" s="8" t="s">
        <v>542</v>
      </c>
      <c r="K960" s="10" t="s">
        <v>5106</v>
      </c>
      <c r="L960" s="8" t="s">
        <v>47</v>
      </c>
      <c r="M960" s="8" t="s">
        <v>70</v>
      </c>
      <c r="N960" s="11">
        <v>44941.0</v>
      </c>
      <c r="O960" s="11">
        <v>44966.0</v>
      </c>
      <c r="P960" s="11">
        <v>45330.0</v>
      </c>
      <c r="Q960" s="11">
        <v>44984.0</v>
      </c>
      <c r="R960" s="11">
        <v>45348.0</v>
      </c>
      <c r="S960" s="12"/>
      <c r="T960" s="8"/>
      <c r="U960" s="8" t="s">
        <v>5107</v>
      </c>
      <c r="V960" s="13" t="s">
        <v>38</v>
      </c>
      <c r="W960" s="13" t="s">
        <v>5108</v>
      </c>
      <c r="X960" s="12"/>
      <c r="Y960" s="14"/>
      <c r="Z960" s="14"/>
    </row>
    <row r="961">
      <c r="A961" s="8" t="s">
        <v>5109</v>
      </c>
      <c r="B961" s="8" t="s">
        <v>5110</v>
      </c>
      <c r="C961" s="8" t="s">
        <v>64</v>
      </c>
      <c r="D961" s="8" t="s">
        <v>26</v>
      </c>
      <c r="E961" s="8" t="s">
        <v>5111</v>
      </c>
      <c r="F961" s="8">
        <v>6.138634128E9</v>
      </c>
      <c r="G961" s="8" t="s">
        <v>1510</v>
      </c>
      <c r="H961" s="8" t="s">
        <v>5112</v>
      </c>
      <c r="I961" s="8" t="s">
        <v>31</v>
      </c>
      <c r="J961" s="8" t="s">
        <v>86</v>
      </c>
      <c r="K961" s="10" t="s">
        <v>2453</v>
      </c>
      <c r="L961" s="8" t="s">
        <v>58</v>
      </c>
      <c r="M961" s="8" t="s">
        <v>35</v>
      </c>
      <c r="N961" s="11">
        <v>44941.0</v>
      </c>
      <c r="O961" s="11">
        <v>45090.0</v>
      </c>
      <c r="P961" s="11">
        <v>45132.0</v>
      </c>
      <c r="Q961" s="11">
        <v>45090.0</v>
      </c>
      <c r="R961" s="11">
        <v>45132.0</v>
      </c>
      <c r="S961" s="12"/>
      <c r="T961" s="8"/>
      <c r="U961" s="8" t="s">
        <v>59</v>
      </c>
      <c r="V961" s="13" t="s">
        <v>5113</v>
      </c>
      <c r="W961" s="13" t="s">
        <v>5114</v>
      </c>
      <c r="X961" s="12"/>
      <c r="Y961" s="14"/>
      <c r="Z961" s="14"/>
    </row>
    <row r="962">
      <c r="A962" s="8" t="s">
        <v>5115</v>
      </c>
      <c r="B962" s="8" t="s">
        <v>5116</v>
      </c>
      <c r="C962" s="8" t="s">
        <v>708</v>
      </c>
      <c r="D962" s="8" t="s">
        <v>26</v>
      </c>
      <c r="E962" s="8" t="s">
        <v>5117</v>
      </c>
      <c r="F962" s="8">
        <v>7.21742797E8</v>
      </c>
      <c r="G962" s="8" t="s">
        <v>84</v>
      </c>
      <c r="H962" s="8" t="s">
        <v>1234</v>
      </c>
      <c r="I962" s="8" t="s">
        <v>31</v>
      </c>
      <c r="J962" s="8" t="s">
        <v>86</v>
      </c>
      <c r="K962" s="10" t="s">
        <v>2404</v>
      </c>
      <c r="L962" s="8" t="s">
        <v>34</v>
      </c>
      <c r="M962" s="8" t="s">
        <v>70</v>
      </c>
      <c r="N962" s="11">
        <v>44942.0</v>
      </c>
      <c r="O962" s="11">
        <v>44970.0</v>
      </c>
      <c r="P962" s="11">
        <v>45335.0</v>
      </c>
      <c r="Q962" s="11">
        <v>44972.0</v>
      </c>
      <c r="R962" s="11">
        <v>45516.0</v>
      </c>
      <c r="S962" s="12"/>
      <c r="T962" s="8" t="s">
        <v>36</v>
      </c>
      <c r="U962" s="8" t="s">
        <v>2405</v>
      </c>
      <c r="V962" s="13" t="s">
        <v>5118</v>
      </c>
      <c r="W962" s="13" t="s">
        <v>5119</v>
      </c>
      <c r="X962" s="12"/>
      <c r="Y962" s="14"/>
      <c r="Z962" s="14"/>
    </row>
    <row r="963">
      <c r="A963" s="8" t="s">
        <v>5120</v>
      </c>
      <c r="B963" s="8" t="s">
        <v>5121</v>
      </c>
      <c r="C963" s="8" t="s">
        <v>25</v>
      </c>
      <c r="D963" s="8" t="s">
        <v>26</v>
      </c>
      <c r="E963" s="8" t="s">
        <v>5122</v>
      </c>
      <c r="F963" s="8">
        <v>5.465071811E9</v>
      </c>
      <c r="G963" s="8" t="s">
        <v>31</v>
      </c>
      <c r="H963" s="8" t="s">
        <v>111</v>
      </c>
      <c r="I963" s="8" t="s">
        <v>284</v>
      </c>
      <c r="J963" s="8" t="s">
        <v>2065</v>
      </c>
      <c r="K963" s="10" t="s">
        <v>5123</v>
      </c>
      <c r="L963" s="8" t="s">
        <v>58</v>
      </c>
      <c r="M963" s="8" t="s">
        <v>35</v>
      </c>
      <c r="N963" s="11">
        <v>44942.0</v>
      </c>
      <c r="O963" s="11">
        <v>45108.0</v>
      </c>
      <c r="P963" s="11">
        <v>45150.0</v>
      </c>
      <c r="Q963" s="11">
        <v>45118.0</v>
      </c>
      <c r="R963" s="11">
        <v>45160.0</v>
      </c>
      <c r="S963" s="12"/>
      <c r="T963" s="8"/>
      <c r="U963" s="8" t="s">
        <v>1038</v>
      </c>
      <c r="V963" s="13" t="s">
        <v>111</v>
      </c>
      <c r="W963" s="13" t="s">
        <v>5124</v>
      </c>
      <c r="X963" s="12"/>
      <c r="Y963" s="14"/>
      <c r="Z963" s="14"/>
    </row>
    <row r="964">
      <c r="A964" s="8" t="s">
        <v>5125</v>
      </c>
      <c r="B964" s="8" t="s">
        <v>5126</v>
      </c>
      <c r="C964" s="8" t="s">
        <v>251</v>
      </c>
      <c r="D964" s="8" t="s">
        <v>26</v>
      </c>
      <c r="E964" s="8" t="s">
        <v>5127</v>
      </c>
      <c r="F964" s="8"/>
      <c r="G964" s="8" t="s">
        <v>31</v>
      </c>
      <c r="H964" s="8" t="s">
        <v>111</v>
      </c>
      <c r="I964" s="8" t="s">
        <v>2524</v>
      </c>
      <c r="J964" s="8" t="s">
        <v>2881</v>
      </c>
      <c r="K964" s="10" t="s">
        <v>2882</v>
      </c>
      <c r="L964" s="8" t="s">
        <v>34</v>
      </c>
      <c r="M964" s="8" t="s">
        <v>70</v>
      </c>
      <c r="N964" s="11">
        <v>44942.0</v>
      </c>
      <c r="O964" s="11">
        <v>44964.0</v>
      </c>
      <c r="P964" s="11">
        <v>45237.0</v>
      </c>
      <c r="Q964" s="11"/>
      <c r="R964" s="11"/>
      <c r="S964" s="12"/>
      <c r="T964" s="8" t="s">
        <v>330</v>
      </c>
      <c r="U964" s="8" t="s">
        <v>2883</v>
      </c>
      <c r="V964" s="13" t="s">
        <v>111</v>
      </c>
      <c r="W964" s="13" t="s">
        <v>5128</v>
      </c>
      <c r="X964" s="12"/>
      <c r="Y964" s="14"/>
      <c r="Z964" s="14"/>
    </row>
    <row r="965">
      <c r="A965" s="8" t="s">
        <v>5129</v>
      </c>
      <c r="B965" s="8" t="s">
        <v>5130</v>
      </c>
      <c r="C965" s="8" t="s">
        <v>179</v>
      </c>
      <c r="D965" s="8" t="s">
        <v>26</v>
      </c>
      <c r="E965" s="8" t="s">
        <v>5131</v>
      </c>
      <c r="F965" s="8">
        <v>1.117281431E9</v>
      </c>
      <c r="G965" s="8" t="s">
        <v>284</v>
      </c>
      <c r="H965" s="8" t="s">
        <v>1422</v>
      </c>
      <c r="I965" s="8" t="s">
        <v>31</v>
      </c>
      <c r="J965" s="8" t="s">
        <v>256</v>
      </c>
      <c r="K965" s="10" t="s">
        <v>4203</v>
      </c>
      <c r="L965" s="8" t="s">
        <v>58</v>
      </c>
      <c r="M965" s="8" t="s">
        <v>35</v>
      </c>
      <c r="N965" s="11">
        <v>44942.0</v>
      </c>
      <c r="O965" s="11">
        <v>45097.0</v>
      </c>
      <c r="P965" s="11">
        <v>45139.0</v>
      </c>
      <c r="Q965" s="11"/>
      <c r="R965" s="11"/>
      <c r="S965" s="12"/>
      <c r="T965" s="8"/>
      <c r="U965" s="8" t="s">
        <v>59</v>
      </c>
      <c r="V965" s="13" t="s">
        <v>1424</v>
      </c>
      <c r="W965" s="13" t="s">
        <v>5132</v>
      </c>
      <c r="X965" s="12"/>
      <c r="Y965" s="14"/>
      <c r="Z965" s="14"/>
    </row>
    <row r="966">
      <c r="A966" s="8" t="s">
        <v>5133</v>
      </c>
      <c r="B966" s="8" t="s">
        <v>5134</v>
      </c>
      <c r="C966" s="8" t="s">
        <v>251</v>
      </c>
      <c r="D966" s="8" t="s">
        <v>26</v>
      </c>
      <c r="E966" s="8" t="s">
        <v>5135</v>
      </c>
      <c r="F966" s="8">
        <v>1.093441678E9</v>
      </c>
      <c r="G966" s="8" t="s">
        <v>284</v>
      </c>
      <c r="H966" s="8" t="s">
        <v>2065</v>
      </c>
      <c r="I966" s="8" t="s">
        <v>31</v>
      </c>
      <c r="J966" s="8" t="s">
        <v>102</v>
      </c>
      <c r="K966" s="10" t="s">
        <v>5136</v>
      </c>
      <c r="L966" s="8" t="s">
        <v>34</v>
      </c>
      <c r="M966" s="8" t="s">
        <v>48</v>
      </c>
      <c r="N966" s="11">
        <v>44942.0</v>
      </c>
      <c r="O966" s="11">
        <v>45005.0</v>
      </c>
      <c r="P966" s="11">
        <v>45186.0</v>
      </c>
      <c r="Q966" s="11"/>
      <c r="R966" s="11"/>
      <c r="S966" s="12"/>
      <c r="T966" s="8" t="s">
        <v>205</v>
      </c>
      <c r="U966" s="8" t="s">
        <v>5137</v>
      </c>
      <c r="V966" s="13" t="s">
        <v>2065</v>
      </c>
      <c r="W966" s="13" t="s">
        <v>5138</v>
      </c>
      <c r="X966" s="12"/>
      <c r="Y966" s="14"/>
      <c r="Z966" s="14"/>
    </row>
    <row r="967">
      <c r="A967" s="8" t="s">
        <v>5139</v>
      </c>
      <c r="B967" s="8" t="s">
        <v>5140</v>
      </c>
      <c r="C967" s="8" t="s">
        <v>64</v>
      </c>
      <c r="D967" s="8" t="s">
        <v>26</v>
      </c>
      <c r="E967" s="8" t="s">
        <v>5141</v>
      </c>
      <c r="F967" s="8"/>
      <c r="G967" s="8" t="s">
        <v>54</v>
      </c>
      <c r="H967" s="8" t="s">
        <v>76</v>
      </c>
      <c r="I967" s="8" t="s">
        <v>31</v>
      </c>
      <c r="J967" s="8" t="s">
        <v>167</v>
      </c>
      <c r="K967" s="10" t="s">
        <v>2055</v>
      </c>
      <c r="L967" s="8" t="s">
        <v>58</v>
      </c>
      <c r="M967" s="8" t="s">
        <v>35</v>
      </c>
      <c r="N967" s="11">
        <v>44942.0</v>
      </c>
      <c r="O967" s="11">
        <v>44940.0</v>
      </c>
      <c r="P967" s="11">
        <v>44982.0</v>
      </c>
      <c r="Q967" s="11">
        <v>44950.0</v>
      </c>
      <c r="R967" s="11">
        <v>44990.0</v>
      </c>
      <c r="S967" s="12"/>
      <c r="T967" s="8"/>
      <c r="U967" s="8" t="s">
        <v>88</v>
      </c>
      <c r="V967" s="13" t="s">
        <v>38</v>
      </c>
      <c r="W967" s="13" t="s">
        <v>5142</v>
      </c>
      <c r="X967" s="12"/>
      <c r="Y967" s="14"/>
      <c r="Z967" s="14"/>
    </row>
    <row r="968">
      <c r="A968" s="8" t="s">
        <v>5143</v>
      </c>
      <c r="B968" s="8" t="s">
        <v>5144</v>
      </c>
      <c r="C968" s="8" t="s">
        <v>64</v>
      </c>
      <c r="D968" s="8" t="s">
        <v>26</v>
      </c>
      <c r="E968" s="8" t="s">
        <v>5145</v>
      </c>
      <c r="F968" s="8">
        <v>6.59079436E8</v>
      </c>
      <c r="G968" s="8" t="s">
        <v>254</v>
      </c>
      <c r="H968" s="8" t="s">
        <v>422</v>
      </c>
      <c r="I968" s="8" t="s">
        <v>31</v>
      </c>
      <c r="J968" s="8" t="s">
        <v>86</v>
      </c>
      <c r="K968" s="10" t="s">
        <v>2453</v>
      </c>
      <c r="L968" s="8" t="s">
        <v>58</v>
      </c>
      <c r="M968" s="8" t="s">
        <v>35</v>
      </c>
      <c r="N968" s="11">
        <v>44943.0</v>
      </c>
      <c r="O968" s="11">
        <v>45132.0</v>
      </c>
      <c r="P968" s="11">
        <v>45174.0</v>
      </c>
      <c r="Q968" s="11">
        <v>45117.0</v>
      </c>
      <c r="R968" s="11">
        <v>45174.0</v>
      </c>
      <c r="S968" s="12"/>
      <c r="T968" s="8"/>
      <c r="U968" s="8" t="s">
        <v>59</v>
      </c>
      <c r="V968" s="13" t="s">
        <v>425</v>
      </c>
      <c r="W968" s="13" t="s">
        <v>5146</v>
      </c>
      <c r="X968" s="12"/>
      <c r="Y968" s="14"/>
      <c r="Z968" s="14"/>
    </row>
    <row r="969">
      <c r="A969" s="8" t="s">
        <v>5147</v>
      </c>
      <c r="B969" s="8" t="s">
        <v>5148</v>
      </c>
      <c r="C969" s="8" t="s">
        <v>25</v>
      </c>
      <c r="D969" s="8" t="s">
        <v>26</v>
      </c>
      <c r="E969" s="8" t="s">
        <v>5149</v>
      </c>
      <c r="F969" s="8">
        <v>5.301376195E9</v>
      </c>
      <c r="G969" s="8" t="s">
        <v>31</v>
      </c>
      <c r="H969" s="8" t="s">
        <v>86</v>
      </c>
      <c r="I969" s="8" t="s">
        <v>109</v>
      </c>
      <c r="J969" s="8" t="s">
        <v>4636</v>
      </c>
      <c r="K969" s="10" t="s">
        <v>5150</v>
      </c>
      <c r="L969" s="8" t="s">
        <v>58</v>
      </c>
      <c r="M969" s="8" t="s">
        <v>35</v>
      </c>
      <c r="N969" s="11">
        <v>44943.0</v>
      </c>
      <c r="O969" s="11">
        <v>45124.0</v>
      </c>
      <c r="P969" s="11">
        <v>45166.0</v>
      </c>
      <c r="Q969" s="11">
        <v>45126.0</v>
      </c>
      <c r="R969" s="11">
        <v>45146.0</v>
      </c>
      <c r="S969" s="12"/>
      <c r="T969" s="8"/>
      <c r="U969" s="8" t="s">
        <v>997</v>
      </c>
      <c r="V969" s="13" t="s">
        <v>175</v>
      </c>
      <c r="W969" s="13" t="s">
        <v>5151</v>
      </c>
      <c r="X969" s="12"/>
      <c r="Y969" s="14"/>
      <c r="Z969" s="14"/>
    </row>
    <row r="970">
      <c r="A970" s="8" t="s">
        <v>5152</v>
      </c>
      <c r="B970" s="8" t="s">
        <v>5153</v>
      </c>
      <c r="C970" s="8" t="s">
        <v>25</v>
      </c>
      <c r="D970" s="8" t="s">
        <v>26</v>
      </c>
      <c r="E970" s="8" t="s">
        <v>5154</v>
      </c>
      <c r="F970" s="8"/>
      <c r="G970" s="8" t="s">
        <v>31</v>
      </c>
      <c r="H970" s="8" t="s">
        <v>86</v>
      </c>
      <c r="I970" s="8" t="s">
        <v>44</v>
      </c>
      <c r="J970" s="8" t="s">
        <v>453</v>
      </c>
      <c r="K970" s="10" t="s">
        <v>514</v>
      </c>
      <c r="L970" s="8" t="s">
        <v>58</v>
      </c>
      <c r="M970" s="8" t="s">
        <v>35</v>
      </c>
      <c r="N970" s="11">
        <v>44943.0</v>
      </c>
      <c r="O970" s="11">
        <v>45122.0</v>
      </c>
      <c r="P970" s="11">
        <v>45164.0</v>
      </c>
      <c r="Q970" s="11">
        <v>45127.0</v>
      </c>
      <c r="R970" s="11">
        <v>45167.0</v>
      </c>
      <c r="S970" s="12"/>
      <c r="T970" s="8"/>
      <c r="U970" s="8" t="s">
        <v>371</v>
      </c>
      <c r="V970" s="13" t="s">
        <v>38</v>
      </c>
      <c r="W970" s="13" t="s">
        <v>5155</v>
      </c>
      <c r="X970" s="12"/>
      <c r="Y970" s="14"/>
      <c r="Z970" s="14"/>
    </row>
    <row r="971">
      <c r="A971" s="8" t="s">
        <v>5156</v>
      </c>
      <c r="B971" s="8" t="s">
        <v>5157</v>
      </c>
      <c r="C971" s="8" t="s">
        <v>335</v>
      </c>
      <c r="D971" s="8" t="s">
        <v>26</v>
      </c>
      <c r="E971" s="8" t="s">
        <v>5158</v>
      </c>
      <c r="F971" s="8">
        <v>5.079070083E9</v>
      </c>
      <c r="G971" s="8" t="s">
        <v>31</v>
      </c>
      <c r="H971" s="8" t="s">
        <v>56</v>
      </c>
      <c r="I971" s="8" t="s">
        <v>284</v>
      </c>
      <c r="J971" s="8" t="s">
        <v>3188</v>
      </c>
      <c r="K971" s="10" t="s">
        <v>5159</v>
      </c>
      <c r="L971" s="8" t="s">
        <v>58</v>
      </c>
      <c r="M971" s="8" t="s">
        <v>35</v>
      </c>
      <c r="N971" s="11">
        <v>45175.0</v>
      </c>
      <c r="O971" s="11">
        <v>45084.0</v>
      </c>
      <c r="P971" s="11">
        <v>45126.0</v>
      </c>
      <c r="Q971" s="11"/>
      <c r="R971" s="11"/>
      <c r="S971" s="12"/>
      <c r="T971" s="8"/>
      <c r="U971" s="8" t="s">
        <v>153</v>
      </c>
      <c r="V971" s="13" t="s">
        <v>56</v>
      </c>
      <c r="W971" s="13" t="s">
        <v>5160</v>
      </c>
      <c r="X971" s="12"/>
      <c r="Y971" s="14"/>
      <c r="Z971" s="14"/>
    </row>
    <row r="972">
      <c r="A972" s="8" t="s">
        <v>5161</v>
      </c>
      <c r="B972" s="8" t="s">
        <v>5162</v>
      </c>
      <c r="C972" s="8" t="s">
        <v>25</v>
      </c>
      <c r="D972" s="8" t="s">
        <v>26</v>
      </c>
      <c r="E972" s="8" t="s">
        <v>5163</v>
      </c>
      <c r="F972" s="8">
        <v>5.531815715E9</v>
      </c>
      <c r="G972" s="8" t="s">
        <v>31</v>
      </c>
      <c r="H972" s="8" t="s">
        <v>111</v>
      </c>
      <c r="I972" s="8" t="s">
        <v>399</v>
      </c>
      <c r="J972" s="8" t="s">
        <v>415</v>
      </c>
      <c r="K972" s="10" t="s">
        <v>3178</v>
      </c>
      <c r="L972" s="8" t="s">
        <v>58</v>
      </c>
      <c r="M972" s="8" t="s">
        <v>35</v>
      </c>
      <c r="N972" s="11">
        <v>44944.0</v>
      </c>
      <c r="O972" s="11">
        <v>45115.0</v>
      </c>
      <c r="P972" s="11">
        <v>45157.0</v>
      </c>
      <c r="Q972" s="11">
        <v>45115.0</v>
      </c>
      <c r="R972" s="11">
        <v>45157.0</v>
      </c>
      <c r="S972" s="12"/>
      <c r="T972" s="8"/>
      <c r="U972" s="8" t="s">
        <v>402</v>
      </c>
      <c r="V972" s="13" t="s">
        <v>111</v>
      </c>
      <c r="W972" s="13" t="s">
        <v>5164</v>
      </c>
      <c r="X972" s="12"/>
      <c r="Y972" s="14"/>
      <c r="Z972" s="14"/>
    </row>
    <row r="973">
      <c r="A973" s="8" t="s">
        <v>5165</v>
      </c>
      <c r="B973" s="8" t="s">
        <v>5166</v>
      </c>
      <c r="C973" s="8" t="s">
        <v>64</v>
      </c>
      <c r="D973" s="8" t="s">
        <v>26</v>
      </c>
      <c r="E973" s="8" t="s">
        <v>5167</v>
      </c>
      <c r="F973" s="8">
        <v>7.77549604E8</v>
      </c>
      <c r="G973" s="8" t="s">
        <v>1074</v>
      </c>
      <c r="H973" s="8" t="s">
        <v>1075</v>
      </c>
      <c r="I973" s="8" t="s">
        <v>31</v>
      </c>
      <c r="J973" s="8" t="s">
        <v>32</v>
      </c>
      <c r="K973" s="10" t="s">
        <v>238</v>
      </c>
      <c r="L973" s="8" t="s">
        <v>58</v>
      </c>
      <c r="M973" s="8" t="s">
        <v>35</v>
      </c>
      <c r="N973" s="11">
        <v>44944.0</v>
      </c>
      <c r="O973" s="11">
        <v>44948.0</v>
      </c>
      <c r="P973" s="11">
        <v>44990.0</v>
      </c>
      <c r="Q973" s="11">
        <v>44958.0</v>
      </c>
      <c r="R973" s="11">
        <v>45000.0</v>
      </c>
      <c r="S973" s="12"/>
      <c r="T973" s="8"/>
      <c r="U973" s="8" t="s">
        <v>59</v>
      </c>
      <c r="V973" s="13" t="s">
        <v>5168</v>
      </c>
      <c r="W973" s="13" t="s">
        <v>5169</v>
      </c>
      <c r="X973" s="12"/>
      <c r="Y973" s="14"/>
      <c r="Z973" s="14"/>
    </row>
    <row r="974">
      <c r="A974" s="8" t="s">
        <v>5170</v>
      </c>
      <c r="B974" s="8" t="s">
        <v>5171</v>
      </c>
      <c r="C974" s="8" t="s">
        <v>25</v>
      </c>
      <c r="D974" s="8" t="s">
        <v>26</v>
      </c>
      <c r="E974" s="8" t="s">
        <v>5172</v>
      </c>
      <c r="F974" s="8"/>
      <c r="G974" s="8" t="s">
        <v>1216</v>
      </c>
      <c r="H974" s="8" t="s">
        <v>5173</v>
      </c>
      <c r="I974" s="8" t="s">
        <v>31</v>
      </c>
      <c r="J974" s="8" t="s">
        <v>438</v>
      </c>
      <c r="K974" s="10" t="s">
        <v>5174</v>
      </c>
      <c r="L974" s="8" t="s">
        <v>47</v>
      </c>
      <c r="M974" s="8" t="s">
        <v>70</v>
      </c>
      <c r="N974" s="11">
        <v>44945.0</v>
      </c>
      <c r="O974" s="11">
        <v>44958.0</v>
      </c>
      <c r="P974" s="11">
        <v>45322.0</v>
      </c>
      <c r="Q974" s="11">
        <v>44965.0</v>
      </c>
      <c r="R974" s="11">
        <v>45190.0</v>
      </c>
      <c r="S974" s="12"/>
      <c r="T974" s="8"/>
      <c r="U974" s="8" t="s">
        <v>5175</v>
      </c>
      <c r="V974" s="13" t="s">
        <v>38</v>
      </c>
      <c r="W974" s="13" t="s">
        <v>5176</v>
      </c>
      <c r="X974" s="12"/>
      <c r="Y974" s="14"/>
      <c r="Z974" s="14"/>
    </row>
    <row r="975">
      <c r="A975" s="8" t="s">
        <v>5177</v>
      </c>
      <c r="B975" s="8" t="s">
        <v>5178</v>
      </c>
      <c r="C975" s="8" t="s">
        <v>179</v>
      </c>
      <c r="D975" s="8" t="s">
        <v>26</v>
      </c>
      <c r="E975" s="8" t="s">
        <v>5179</v>
      </c>
      <c r="F975" s="8">
        <v>5.0777221E8</v>
      </c>
      <c r="G975" s="8" t="s">
        <v>277</v>
      </c>
      <c r="H975" s="8" t="s">
        <v>607</v>
      </c>
      <c r="I975" s="8" t="s">
        <v>31</v>
      </c>
      <c r="J975" s="8" t="s">
        <v>86</v>
      </c>
      <c r="K975" s="10" t="s">
        <v>3576</v>
      </c>
      <c r="L975" s="8" t="s">
        <v>58</v>
      </c>
      <c r="M975" s="8" t="s">
        <v>35</v>
      </c>
      <c r="N975" s="11">
        <v>44945.0</v>
      </c>
      <c r="O975" s="11">
        <v>45117.0</v>
      </c>
      <c r="P975" s="11">
        <v>45159.0</v>
      </c>
      <c r="Q975" s="11"/>
      <c r="R975" s="11"/>
      <c r="S975" s="12"/>
      <c r="T975" s="8"/>
      <c r="U975" s="8" t="s">
        <v>153</v>
      </c>
      <c r="V975" s="13" t="s">
        <v>5180</v>
      </c>
      <c r="W975" s="13" t="s">
        <v>5181</v>
      </c>
      <c r="X975" s="12"/>
      <c r="Y975" s="14"/>
      <c r="Z975" s="14"/>
    </row>
    <row r="976">
      <c r="A976" s="8" t="s">
        <v>5182</v>
      </c>
      <c r="B976" s="8" t="s">
        <v>5183</v>
      </c>
      <c r="C976" s="8" t="s">
        <v>25</v>
      </c>
      <c r="D976" s="8" t="s">
        <v>26</v>
      </c>
      <c r="E976" s="8" t="s">
        <v>5184</v>
      </c>
      <c r="F976" s="8"/>
      <c r="G976" s="8" t="s">
        <v>84</v>
      </c>
      <c r="H976" s="8" t="s">
        <v>752</v>
      </c>
      <c r="I976" s="8" t="s">
        <v>31</v>
      </c>
      <c r="J976" s="8" t="s">
        <v>86</v>
      </c>
      <c r="K976" s="10" t="s">
        <v>5185</v>
      </c>
      <c r="L976" s="8" t="s">
        <v>34</v>
      </c>
      <c r="M976" s="8" t="s">
        <v>35</v>
      </c>
      <c r="N976" s="11">
        <v>44946.0</v>
      </c>
      <c r="O976" s="11">
        <v>44964.0</v>
      </c>
      <c r="P976" s="11">
        <v>45047.0</v>
      </c>
      <c r="Q976" s="11">
        <v>44981.0</v>
      </c>
      <c r="R976" s="11">
        <v>45072.0</v>
      </c>
      <c r="S976" s="12"/>
      <c r="T976" s="8" t="s">
        <v>121</v>
      </c>
      <c r="U976" s="8" t="s">
        <v>5186</v>
      </c>
      <c r="V976" s="13" t="s">
        <v>38</v>
      </c>
      <c r="W976" s="13" t="s">
        <v>5187</v>
      </c>
      <c r="X976" s="12"/>
      <c r="Y976" s="14"/>
      <c r="Z976" s="14"/>
    </row>
    <row r="977">
      <c r="A977" s="8" t="s">
        <v>5188</v>
      </c>
      <c r="B977" s="8" t="s">
        <v>5189</v>
      </c>
      <c r="C977" s="8" t="s">
        <v>25</v>
      </c>
      <c r="D977" s="8" t="s">
        <v>26</v>
      </c>
      <c r="E977" s="8" t="s">
        <v>5190</v>
      </c>
      <c r="F977" s="8"/>
      <c r="G977" s="8" t="s">
        <v>277</v>
      </c>
      <c r="H977" s="8" t="s">
        <v>278</v>
      </c>
      <c r="I977" s="8" t="s">
        <v>31</v>
      </c>
      <c r="J977" s="8" t="s">
        <v>32</v>
      </c>
      <c r="K977" s="10" t="s">
        <v>5071</v>
      </c>
      <c r="L977" s="8" t="s">
        <v>58</v>
      </c>
      <c r="M977" s="8" t="s">
        <v>35</v>
      </c>
      <c r="N977" s="11">
        <v>44946.0</v>
      </c>
      <c r="O977" s="11">
        <v>45110.0</v>
      </c>
      <c r="P977" s="11">
        <v>45152.0</v>
      </c>
      <c r="Q977" s="11">
        <v>45111.0</v>
      </c>
      <c r="R977" s="11">
        <v>45153.0</v>
      </c>
      <c r="S977" s="12"/>
      <c r="T977" s="8"/>
      <c r="U977" s="8" t="s">
        <v>161</v>
      </c>
      <c r="V977" s="13" t="s">
        <v>38</v>
      </c>
      <c r="W977" s="13" t="s">
        <v>5191</v>
      </c>
      <c r="X977" s="12"/>
      <c r="Y977" s="14"/>
      <c r="Z977" s="14"/>
    </row>
    <row r="978">
      <c r="A978" s="8" t="s">
        <v>5192</v>
      </c>
      <c r="B978" s="8" t="s">
        <v>5193</v>
      </c>
      <c r="C978" s="8" t="s">
        <v>25</v>
      </c>
      <c r="D978" s="8" t="s">
        <v>26</v>
      </c>
      <c r="E978" s="8" t="s">
        <v>5194</v>
      </c>
      <c r="F978" s="8">
        <v>5.368787494E9</v>
      </c>
      <c r="G978" s="8" t="s">
        <v>31</v>
      </c>
      <c r="H978" s="8" t="s">
        <v>32</v>
      </c>
      <c r="I978" s="8" t="s">
        <v>221</v>
      </c>
      <c r="J978" s="8" t="s">
        <v>3001</v>
      </c>
      <c r="K978" s="10" t="s">
        <v>4824</v>
      </c>
      <c r="L978" s="8" t="s">
        <v>58</v>
      </c>
      <c r="M978" s="8" t="s">
        <v>35</v>
      </c>
      <c r="N978" s="11">
        <v>44946.0</v>
      </c>
      <c r="O978" s="11">
        <v>44942.0</v>
      </c>
      <c r="P978" s="11">
        <v>44984.0</v>
      </c>
      <c r="Q978" s="11">
        <v>44948.0</v>
      </c>
      <c r="R978" s="11">
        <v>44989.0</v>
      </c>
      <c r="S978" s="12"/>
      <c r="T978" s="8"/>
      <c r="U978" s="8" t="s">
        <v>371</v>
      </c>
      <c r="V978" s="13" t="s">
        <v>4518</v>
      </c>
      <c r="W978" s="13" t="s">
        <v>5195</v>
      </c>
      <c r="X978" s="12"/>
      <c r="Y978" s="14"/>
      <c r="Z978" s="14"/>
    </row>
    <row r="979">
      <c r="A979" s="8" t="s">
        <v>5196</v>
      </c>
      <c r="B979" s="8" t="s">
        <v>3948</v>
      </c>
      <c r="C979" s="8" t="s">
        <v>25</v>
      </c>
      <c r="D979" s="8" t="s">
        <v>26</v>
      </c>
      <c r="E979" s="8" t="s">
        <v>5197</v>
      </c>
      <c r="F979" s="8">
        <v>5.396481198E9</v>
      </c>
      <c r="G979" s="8" t="s">
        <v>31</v>
      </c>
      <c r="H979" s="8" t="s">
        <v>86</v>
      </c>
      <c r="I979" s="8" t="s">
        <v>1400</v>
      </c>
      <c r="J979" s="8" t="s">
        <v>1564</v>
      </c>
      <c r="K979" s="10" t="s">
        <v>1565</v>
      </c>
      <c r="L979" s="8" t="s">
        <v>58</v>
      </c>
      <c r="M979" s="8" t="s">
        <v>35</v>
      </c>
      <c r="N979" s="11">
        <v>44947.0</v>
      </c>
      <c r="O979" s="11">
        <v>44938.0</v>
      </c>
      <c r="P979" s="11">
        <v>44980.0</v>
      </c>
      <c r="Q979" s="11">
        <v>44948.0</v>
      </c>
      <c r="R979" s="11">
        <v>44990.0</v>
      </c>
      <c r="S979" s="12"/>
      <c r="T979" s="8"/>
      <c r="U979" s="8" t="s">
        <v>88</v>
      </c>
      <c r="V979" s="13" t="s">
        <v>175</v>
      </c>
      <c r="W979" s="13" t="s">
        <v>5198</v>
      </c>
      <c r="X979" s="12"/>
      <c r="Y979" s="14"/>
      <c r="Z979" s="14"/>
    </row>
    <row r="980">
      <c r="A980" s="8" t="s">
        <v>5199</v>
      </c>
      <c r="B980" s="8" t="s">
        <v>5200</v>
      </c>
      <c r="C980" s="8" t="s">
        <v>179</v>
      </c>
      <c r="D980" s="8" t="s">
        <v>26</v>
      </c>
      <c r="E980" s="8" t="s">
        <v>5201</v>
      </c>
      <c r="F980" s="8"/>
      <c r="G980" s="8" t="s">
        <v>31</v>
      </c>
      <c r="H980" s="8" t="s">
        <v>102</v>
      </c>
      <c r="I980" s="8" t="s">
        <v>284</v>
      </c>
      <c r="J980" s="8" t="s">
        <v>5202</v>
      </c>
      <c r="K980" s="10" t="s">
        <v>5203</v>
      </c>
      <c r="L980" s="8" t="s">
        <v>58</v>
      </c>
      <c r="M980" s="8" t="s">
        <v>35</v>
      </c>
      <c r="N980" s="11">
        <v>44948.0</v>
      </c>
      <c r="O980" s="11">
        <v>45186.0</v>
      </c>
      <c r="P980" s="11">
        <v>45230.0</v>
      </c>
      <c r="Q980" s="11"/>
      <c r="R980" s="11"/>
      <c r="S980" s="12"/>
      <c r="T980" s="8"/>
      <c r="U980" s="8" t="s">
        <v>1038</v>
      </c>
      <c r="V980" s="13" t="s">
        <v>102</v>
      </c>
      <c r="W980" s="13" t="s">
        <v>5204</v>
      </c>
      <c r="X980" s="12"/>
      <c r="Y980" s="14"/>
      <c r="Z980" s="14"/>
    </row>
    <row r="981">
      <c r="A981" s="8" t="s">
        <v>5205</v>
      </c>
      <c r="B981" s="8" t="s">
        <v>5206</v>
      </c>
      <c r="C981" s="8" t="s">
        <v>179</v>
      </c>
      <c r="D981" s="8" t="s">
        <v>26</v>
      </c>
      <c r="E981" s="8" t="s">
        <v>5207</v>
      </c>
      <c r="F981" s="8">
        <v>5.074721707E9</v>
      </c>
      <c r="G981" s="8" t="s">
        <v>31</v>
      </c>
      <c r="H981" s="8" t="s">
        <v>102</v>
      </c>
      <c r="I981" s="8" t="s">
        <v>284</v>
      </c>
      <c r="J981" s="8" t="s">
        <v>5202</v>
      </c>
      <c r="K981" s="10" t="s">
        <v>5203</v>
      </c>
      <c r="L981" s="8" t="s">
        <v>58</v>
      </c>
      <c r="M981" s="8" t="s">
        <v>35</v>
      </c>
      <c r="N981" s="11">
        <v>44948.0</v>
      </c>
      <c r="O981" s="11">
        <v>45186.0</v>
      </c>
      <c r="P981" s="11">
        <v>45230.0</v>
      </c>
      <c r="Q981" s="11"/>
      <c r="R981" s="11"/>
      <c r="S981" s="12"/>
      <c r="T981" s="8"/>
      <c r="U981" s="8" t="s">
        <v>1038</v>
      </c>
      <c r="V981" s="13" t="s">
        <v>102</v>
      </c>
      <c r="W981" s="13" t="s">
        <v>5208</v>
      </c>
      <c r="X981" s="12"/>
      <c r="Y981" s="14"/>
      <c r="Z981" s="14"/>
    </row>
    <row r="982">
      <c r="A982" s="8" t="s">
        <v>5209</v>
      </c>
      <c r="B982" s="8" t="s">
        <v>5210</v>
      </c>
      <c r="C982" s="8" t="s">
        <v>179</v>
      </c>
      <c r="D982" s="8" t="s">
        <v>26</v>
      </c>
      <c r="E982" s="8" t="s">
        <v>5211</v>
      </c>
      <c r="F982" s="8">
        <v>5.3752081E9</v>
      </c>
      <c r="G982" s="8" t="s">
        <v>31</v>
      </c>
      <c r="H982" s="8" t="s">
        <v>66</v>
      </c>
      <c r="I982" s="8" t="s">
        <v>284</v>
      </c>
      <c r="J982" s="8" t="s">
        <v>2065</v>
      </c>
      <c r="K982" s="10" t="s">
        <v>5123</v>
      </c>
      <c r="L982" s="8" t="s">
        <v>58</v>
      </c>
      <c r="M982" s="8" t="s">
        <v>35</v>
      </c>
      <c r="N982" s="11">
        <v>44948.0</v>
      </c>
      <c r="O982" s="11">
        <v>45108.0</v>
      </c>
      <c r="P982" s="11">
        <v>45150.0</v>
      </c>
      <c r="Q982" s="11"/>
      <c r="R982" s="11"/>
      <c r="S982" s="12"/>
      <c r="T982" s="8"/>
      <c r="U982" s="8" t="s">
        <v>1038</v>
      </c>
      <c r="V982" s="13" t="s">
        <v>5212</v>
      </c>
      <c r="W982" s="13" t="s">
        <v>5213</v>
      </c>
      <c r="X982" s="12"/>
      <c r="Y982" s="14"/>
      <c r="Z982" s="14"/>
    </row>
    <row r="983">
      <c r="A983" s="8" t="s">
        <v>5214</v>
      </c>
      <c r="B983" s="8" t="s">
        <v>5215</v>
      </c>
      <c r="C983" s="8" t="s">
        <v>179</v>
      </c>
      <c r="D983" s="8" t="s">
        <v>26</v>
      </c>
      <c r="E983" s="8" t="s">
        <v>5216</v>
      </c>
      <c r="F983" s="8">
        <v>8.866450236E9</v>
      </c>
      <c r="G983" s="8" t="s">
        <v>44</v>
      </c>
      <c r="H983" s="8" t="s">
        <v>4753</v>
      </c>
      <c r="I983" s="8" t="s">
        <v>31</v>
      </c>
      <c r="J983" s="8" t="s">
        <v>32</v>
      </c>
      <c r="K983" s="10" t="s">
        <v>2470</v>
      </c>
      <c r="L983" s="8" t="s">
        <v>58</v>
      </c>
      <c r="M983" s="8" t="s">
        <v>35</v>
      </c>
      <c r="N983" s="11">
        <v>44949.0</v>
      </c>
      <c r="O983" s="11">
        <v>44983.0</v>
      </c>
      <c r="P983" s="11">
        <v>45025.0</v>
      </c>
      <c r="Q983" s="11"/>
      <c r="R983" s="11"/>
      <c r="S983" s="12"/>
      <c r="T983" s="8"/>
      <c r="U983" s="8" t="s">
        <v>59</v>
      </c>
      <c r="V983" s="13" t="s">
        <v>5217</v>
      </c>
      <c r="W983" s="13" t="s">
        <v>5218</v>
      </c>
      <c r="X983" s="12"/>
      <c r="Y983" s="14"/>
      <c r="Z983" s="14"/>
    </row>
    <row r="984">
      <c r="A984" s="8" t="s">
        <v>5219</v>
      </c>
      <c r="B984" s="8" t="s">
        <v>5220</v>
      </c>
      <c r="C984" s="8" t="s">
        <v>25</v>
      </c>
      <c r="D984" s="8" t="s">
        <v>26</v>
      </c>
      <c r="E984" s="8" t="s">
        <v>5221</v>
      </c>
      <c r="F984" s="8">
        <v>1.032091201E9</v>
      </c>
      <c r="G984" s="8" t="s">
        <v>284</v>
      </c>
      <c r="H984" s="8" t="s">
        <v>793</v>
      </c>
      <c r="I984" s="8" t="s">
        <v>31</v>
      </c>
      <c r="J984" s="8" t="s">
        <v>111</v>
      </c>
      <c r="K984" s="10" t="s">
        <v>323</v>
      </c>
      <c r="L984" s="8" t="s">
        <v>58</v>
      </c>
      <c r="M984" s="8" t="s">
        <v>35</v>
      </c>
      <c r="N984" s="11">
        <v>44950.0</v>
      </c>
      <c r="O984" s="11">
        <v>44958.0</v>
      </c>
      <c r="P984" s="11">
        <v>45000.0</v>
      </c>
      <c r="Q984" s="11">
        <v>44960.0</v>
      </c>
      <c r="R984" s="11">
        <v>45002.0</v>
      </c>
      <c r="S984" s="12"/>
      <c r="T984" s="8"/>
      <c r="U984" s="8" t="s">
        <v>59</v>
      </c>
      <c r="V984" s="13" t="s">
        <v>793</v>
      </c>
      <c r="W984" s="13" t="s">
        <v>5222</v>
      </c>
      <c r="X984" s="12"/>
      <c r="Y984" s="14"/>
      <c r="Z984" s="14"/>
    </row>
    <row r="985">
      <c r="A985" s="8" t="s">
        <v>5223</v>
      </c>
      <c r="B985" s="8" t="s">
        <v>2535</v>
      </c>
      <c r="C985" s="8" t="s">
        <v>64</v>
      </c>
      <c r="D985" s="8" t="s">
        <v>26</v>
      </c>
      <c r="E985" s="8" t="s">
        <v>2536</v>
      </c>
      <c r="F985" s="8"/>
      <c r="G985" s="8" t="s">
        <v>44</v>
      </c>
      <c r="H985" s="8" t="s">
        <v>2348</v>
      </c>
      <c r="I985" s="8" t="s">
        <v>31</v>
      </c>
      <c r="J985" s="8" t="s">
        <v>292</v>
      </c>
      <c r="K985" s="10" t="s">
        <v>2070</v>
      </c>
      <c r="L985" s="8" t="s">
        <v>58</v>
      </c>
      <c r="M985" s="8" t="s">
        <v>35</v>
      </c>
      <c r="N985" s="11">
        <v>44950.0</v>
      </c>
      <c r="O985" s="11">
        <v>44952.0</v>
      </c>
      <c r="P985" s="11">
        <v>44994.0</v>
      </c>
      <c r="Q985" s="11">
        <v>44959.0</v>
      </c>
      <c r="R985" s="11">
        <v>45000.0</v>
      </c>
      <c r="S985" s="12"/>
      <c r="T985" s="8"/>
      <c r="U985" s="8" t="s">
        <v>88</v>
      </c>
      <c r="V985" s="13" t="s">
        <v>38</v>
      </c>
      <c r="W985" s="13" t="s">
        <v>2538</v>
      </c>
      <c r="X985" s="12"/>
      <c r="Y985" s="14"/>
      <c r="Z985" s="14"/>
    </row>
    <row r="986">
      <c r="A986" s="8" t="s">
        <v>5224</v>
      </c>
      <c r="B986" s="8" t="s">
        <v>5225</v>
      </c>
      <c r="C986" s="8" t="s">
        <v>179</v>
      </c>
      <c r="D986" s="8" t="s">
        <v>26</v>
      </c>
      <c r="E986" s="8" t="s">
        <v>5226</v>
      </c>
      <c r="F986" s="8">
        <v>3.007666634E9</v>
      </c>
      <c r="G986" s="8" t="s">
        <v>315</v>
      </c>
      <c r="H986" s="8" t="s">
        <v>1242</v>
      </c>
      <c r="I986" s="8" t="s">
        <v>31</v>
      </c>
      <c r="J986" s="8" t="s">
        <v>66</v>
      </c>
      <c r="K986" s="10" t="s">
        <v>3257</v>
      </c>
      <c r="L986" s="8" t="s">
        <v>58</v>
      </c>
      <c r="M986" s="8" t="s">
        <v>35</v>
      </c>
      <c r="N986" s="11">
        <v>44950.0</v>
      </c>
      <c r="O986" s="11">
        <v>44970.0</v>
      </c>
      <c r="P986" s="11">
        <v>45012.0</v>
      </c>
      <c r="Q986" s="11"/>
      <c r="R986" s="11"/>
      <c r="S986" s="12"/>
      <c r="T986" s="8"/>
      <c r="U986" s="8" t="s">
        <v>59</v>
      </c>
      <c r="V986" s="13" t="s">
        <v>5227</v>
      </c>
      <c r="W986" s="13" t="s">
        <v>5228</v>
      </c>
      <c r="X986" s="12"/>
      <c r="Y986" s="14"/>
      <c r="Z986" s="14"/>
    </row>
    <row r="987">
      <c r="A987" s="8" t="s">
        <v>5229</v>
      </c>
      <c r="B987" s="8" t="s">
        <v>5230</v>
      </c>
      <c r="C987" s="8" t="s">
        <v>25</v>
      </c>
      <c r="D987" s="8" t="s">
        <v>26</v>
      </c>
      <c r="E987" s="8" t="s">
        <v>5231</v>
      </c>
      <c r="F987" s="8">
        <v>4.423972761E9</v>
      </c>
      <c r="G987" s="8" t="s">
        <v>466</v>
      </c>
      <c r="H987" s="8" t="s">
        <v>5016</v>
      </c>
      <c r="I987" s="8" t="s">
        <v>31</v>
      </c>
      <c r="J987" s="8" t="s">
        <v>111</v>
      </c>
      <c r="K987" s="10" t="s">
        <v>2275</v>
      </c>
      <c r="L987" s="8" t="s">
        <v>34</v>
      </c>
      <c r="M987" s="8" t="s">
        <v>35</v>
      </c>
      <c r="N987" s="11">
        <v>44950.0</v>
      </c>
      <c r="O987" s="11">
        <v>44963.0</v>
      </c>
      <c r="P987" s="11">
        <v>45046.0</v>
      </c>
      <c r="Q987" s="11">
        <v>44966.0</v>
      </c>
      <c r="R987" s="11">
        <v>45049.0</v>
      </c>
      <c r="S987" s="12"/>
      <c r="T987" s="8" t="s">
        <v>121</v>
      </c>
      <c r="U987" s="8" t="s">
        <v>2276</v>
      </c>
      <c r="V987" s="13" t="s">
        <v>5019</v>
      </c>
      <c r="W987" s="13" t="s">
        <v>5232</v>
      </c>
      <c r="X987" s="12"/>
      <c r="Y987" s="14"/>
      <c r="Z987" s="14"/>
    </row>
    <row r="988">
      <c r="A988" s="8" t="s">
        <v>5233</v>
      </c>
      <c r="B988" s="8" t="s">
        <v>5234</v>
      </c>
      <c r="C988" s="8" t="s">
        <v>25</v>
      </c>
      <c r="D988" s="8" t="s">
        <v>26</v>
      </c>
      <c r="E988" s="8" t="s">
        <v>5235</v>
      </c>
      <c r="F988" s="8">
        <v>5.050819985E9</v>
      </c>
      <c r="G988" s="8" t="s">
        <v>31</v>
      </c>
      <c r="H988" s="8" t="s">
        <v>1119</v>
      </c>
      <c r="I988" s="8" t="s">
        <v>5236</v>
      </c>
      <c r="J988" s="8" t="s">
        <v>5237</v>
      </c>
      <c r="K988" s="10" t="s">
        <v>5238</v>
      </c>
      <c r="L988" s="8" t="s">
        <v>34</v>
      </c>
      <c r="M988" s="8" t="s">
        <v>48</v>
      </c>
      <c r="N988" s="11">
        <v>44950.0</v>
      </c>
      <c r="O988" s="11">
        <v>44927.0</v>
      </c>
      <c r="P988" s="11">
        <v>45108.0</v>
      </c>
      <c r="Q988" s="11">
        <v>45080.0</v>
      </c>
      <c r="R988" s="11">
        <v>45264.0</v>
      </c>
      <c r="S988" s="12"/>
      <c r="T988" s="8" t="s">
        <v>36</v>
      </c>
      <c r="U988" s="8" t="s">
        <v>5239</v>
      </c>
      <c r="V988" s="13" t="s">
        <v>38</v>
      </c>
      <c r="W988" s="13" t="s">
        <v>5240</v>
      </c>
      <c r="X988" s="12"/>
      <c r="Y988" s="14"/>
      <c r="Z988" s="14"/>
    </row>
    <row r="989">
      <c r="A989" s="8" t="s">
        <v>5241</v>
      </c>
      <c r="B989" s="8" t="s">
        <v>5242</v>
      </c>
      <c r="C989" s="8" t="s">
        <v>25</v>
      </c>
      <c r="D989" s="8" t="s">
        <v>26</v>
      </c>
      <c r="E989" s="8" t="s">
        <v>5243</v>
      </c>
      <c r="F989" s="8"/>
      <c r="G989" s="8" t="s">
        <v>1620</v>
      </c>
      <c r="H989" s="8" t="s">
        <v>5244</v>
      </c>
      <c r="I989" s="8" t="s">
        <v>31</v>
      </c>
      <c r="J989" s="8" t="s">
        <v>66</v>
      </c>
      <c r="K989" s="10" t="s">
        <v>5030</v>
      </c>
      <c r="L989" s="8" t="s">
        <v>58</v>
      </c>
      <c r="M989" s="8" t="s">
        <v>35</v>
      </c>
      <c r="N989" s="11">
        <v>44951.0</v>
      </c>
      <c r="O989" s="11">
        <v>45004.0</v>
      </c>
      <c r="P989" s="11">
        <v>45051.0</v>
      </c>
      <c r="Q989" s="11">
        <v>45006.0</v>
      </c>
      <c r="R989" s="11">
        <v>45051.0</v>
      </c>
      <c r="S989" s="12"/>
      <c r="T989" s="8"/>
      <c r="U989" s="8" t="s">
        <v>88</v>
      </c>
      <c r="V989" s="13" t="s">
        <v>38</v>
      </c>
      <c r="W989" s="13" t="s">
        <v>5245</v>
      </c>
      <c r="X989" s="12"/>
      <c r="Y989" s="14"/>
      <c r="Z989" s="14"/>
    </row>
    <row r="990">
      <c r="A990" s="8" t="s">
        <v>5246</v>
      </c>
      <c r="B990" s="8" t="s">
        <v>5247</v>
      </c>
      <c r="C990" s="8" t="s">
        <v>179</v>
      </c>
      <c r="D990" s="8" t="s">
        <v>26</v>
      </c>
      <c r="E990" s="8" t="s">
        <v>5248</v>
      </c>
      <c r="F990" s="8">
        <v>3.368803244E9</v>
      </c>
      <c r="G990" s="8" t="s">
        <v>315</v>
      </c>
      <c r="H990" s="8" t="s">
        <v>5249</v>
      </c>
      <c r="I990" s="8" t="s">
        <v>31</v>
      </c>
      <c r="J990" s="8" t="s">
        <v>86</v>
      </c>
      <c r="K990" s="10" t="s">
        <v>416</v>
      </c>
      <c r="L990" s="8" t="s">
        <v>58</v>
      </c>
      <c r="M990" s="8" t="s">
        <v>35</v>
      </c>
      <c r="N990" s="11">
        <v>44951.0</v>
      </c>
      <c r="O990" s="11">
        <v>45122.0</v>
      </c>
      <c r="P990" s="11">
        <v>45164.0</v>
      </c>
      <c r="Q990" s="11"/>
      <c r="R990" s="11"/>
      <c r="S990" s="12"/>
      <c r="T990" s="8"/>
      <c r="U990" s="8" t="s">
        <v>59</v>
      </c>
      <c r="V990" s="13" t="s">
        <v>38</v>
      </c>
      <c r="W990" s="13" t="s">
        <v>5250</v>
      </c>
      <c r="X990" s="12"/>
      <c r="Y990" s="14"/>
      <c r="Z990" s="14"/>
    </row>
    <row r="991">
      <c r="A991" s="8" t="s">
        <v>5251</v>
      </c>
      <c r="B991" s="8" t="s">
        <v>5252</v>
      </c>
      <c r="C991" s="8" t="s">
        <v>179</v>
      </c>
      <c r="D991" s="8" t="s">
        <v>26</v>
      </c>
      <c r="E991" s="8" t="s">
        <v>5253</v>
      </c>
      <c r="F991" s="8">
        <v>2.4487642E7</v>
      </c>
      <c r="G991" s="8" t="s">
        <v>54</v>
      </c>
      <c r="H991" s="8" t="s">
        <v>135</v>
      </c>
      <c r="I991" s="8" t="s">
        <v>31</v>
      </c>
      <c r="J991" s="8" t="s">
        <v>102</v>
      </c>
      <c r="K991" s="10" t="s">
        <v>5254</v>
      </c>
      <c r="L991" s="8" t="s">
        <v>34</v>
      </c>
      <c r="M991" s="8" t="s">
        <v>70</v>
      </c>
      <c r="N991" s="11">
        <v>44951.0</v>
      </c>
      <c r="O991" s="11">
        <v>44920.0</v>
      </c>
      <c r="P991" s="11">
        <v>45285.0</v>
      </c>
      <c r="Q991" s="11"/>
      <c r="R991" s="11"/>
      <c r="S991" s="12"/>
      <c r="T991" s="8" t="s">
        <v>446</v>
      </c>
      <c r="U991" s="8" t="s">
        <v>5255</v>
      </c>
      <c r="V991" s="13" t="s">
        <v>38</v>
      </c>
      <c r="W991" s="13" t="s">
        <v>5256</v>
      </c>
      <c r="X991" s="12"/>
      <c r="Y991" s="14"/>
      <c r="Z991" s="14"/>
    </row>
    <row r="992">
      <c r="A992" s="8" t="s">
        <v>5257</v>
      </c>
      <c r="B992" s="8" t="s">
        <v>5258</v>
      </c>
      <c r="C992" s="8" t="s">
        <v>25</v>
      </c>
      <c r="D992" s="8" t="s">
        <v>26</v>
      </c>
      <c r="E992" s="8" t="s">
        <v>5259</v>
      </c>
      <c r="F992" s="8">
        <v>5.526205433E9</v>
      </c>
      <c r="G992" s="8" t="s">
        <v>31</v>
      </c>
      <c r="H992" s="8" t="s">
        <v>167</v>
      </c>
      <c r="I992" s="8" t="s">
        <v>127</v>
      </c>
      <c r="J992" s="8" t="s">
        <v>3542</v>
      </c>
      <c r="K992" s="10" t="s">
        <v>5260</v>
      </c>
      <c r="L992" s="8" t="s">
        <v>58</v>
      </c>
      <c r="M992" s="8" t="s">
        <v>35</v>
      </c>
      <c r="N992" s="11">
        <v>44952.0</v>
      </c>
      <c r="O992" s="11">
        <v>45103.0</v>
      </c>
      <c r="P992" s="11">
        <v>45145.0</v>
      </c>
      <c r="Q992" s="11">
        <v>45103.0</v>
      </c>
      <c r="R992" s="11">
        <v>45145.0</v>
      </c>
      <c r="S992" s="12"/>
      <c r="T992" s="8"/>
      <c r="U992" s="8" t="s">
        <v>59</v>
      </c>
      <c r="V992" s="13" t="s">
        <v>167</v>
      </c>
      <c r="W992" s="13" t="s">
        <v>5261</v>
      </c>
      <c r="X992" s="12"/>
      <c r="Y992" s="14"/>
      <c r="Z992" s="14"/>
    </row>
    <row r="993">
      <c r="A993" s="8" t="s">
        <v>5262</v>
      </c>
      <c r="B993" s="8" t="s">
        <v>5263</v>
      </c>
      <c r="C993" s="8" t="s">
        <v>64</v>
      </c>
      <c r="D993" s="8" t="s">
        <v>26</v>
      </c>
      <c r="E993" s="8" t="s">
        <v>5264</v>
      </c>
      <c r="F993" s="8"/>
      <c r="G993" s="8" t="s">
        <v>127</v>
      </c>
      <c r="H993" s="8" t="s">
        <v>159</v>
      </c>
      <c r="I993" s="8" t="s">
        <v>31</v>
      </c>
      <c r="J993" s="8" t="s">
        <v>86</v>
      </c>
      <c r="K993" s="10" t="s">
        <v>2453</v>
      </c>
      <c r="L993" s="8" t="s">
        <v>58</v>
      </c>
      <c r="M993" s="8" t="s">
        <v>35</v>
      </c>
      <c r="N993" s="11">
        <v>44953.0</v>
      </c>
      <c r="O993" s="11">
        <v>45132.0</v>
      </c>
      <c r="P993" s="11">
        <v>45174.0</v>
      </c>
      <c r="Q993" s="11">
        <v>45131.0</v>
      </c>
      <c r="R993" s="11">
        <v>45174.0</v>
      </c>
      <c r="S993" s="12"/>
      <c r="T993" s="8"/>
      <c r="U993" s="8" t="s">
        <v>59</v>
      </c>
      <c r="V993" s="13" t="s">
        <v>38</v>
      </c>
      <c r="W993" s="13" t="s">
        <v>5265</v>
      </c>
      <c r="X993" s="12"/>
      <c r="Y993" s="14"/>
      <c r="Z993" s="14"/>
    </row>
    <row r="994">
      <c r="A994" s="8" t="s">
        <v>5266</v>
      </c>
      <c r="B994" s="8" t="s">
        <v>5267</v>
      </c>
      <c r="C994" s="8" t="s">
        <v>25</v>
      </c>
      <c r="D994" s="8" t="s">
        <v>26</v>
      </c>
      <c r="E994" s="8" t="s">
        <v>5268</v>
      </c>
      <c r="F994" s="9" t="s">
        <v>5269</v>
      </c>
      <c r="G994" s="8" t="s">
        <v>127</v>
      </c>
      <c r="H994" s="8" t="s">
        <v>159</v>
      </c>
      <c r="I994" s="8" t="s">
        <v>31</v>
      </c>
      <c r="J994" s="8" t="s">
        <v>86</v>
      </c>
      <c r="K994" s="10" t="s">
        <v>416</v>
      </c>
      <c r="L994" s="8" t="s">
        <v>58</v>
      </c>
      <c r="M994" s="8" t="s">
        <v>35</v>
      </c>
      <c r="N994" s="11">
        <v>44953.0</v>
      </c>
      <c r="O994" s="11">
        <v>45123.0</v>
      </c>
      <c r="P994" s="11">
        <v>45165.0</v>
      </c>
      <c r="Q994" s="11">
        <v>45123.0</v>
      </c>
      <c r="R994" s="11">
        <v>45165.0</v>
      </c>
      <c r="S994" s="12"/>
      <c r="T994" s="8"/>
      <c r="U994" s="8" t="s">
        <v>59</v>
      </c>
      <c r="V994" s="13" t="s">
        <v>159</v>
      </c>
      <c r="W994" s="13" t="s">
        <v>5270</v>
      </c>
      <c r="X994" s="12"/>
      <c r="Y994" s="14"/>
      <c r="Z994" s="14"/>
    </row>
    <row r="995">
      <c r="A995" s="8" t="s">
        <v>5271</v>
      </c>
      <c r="B995" s="8" t="s">
        <v>5272</v>
      </c>
      <c r="C995" s="8" t="s">
        <v>25</v>
      </c>
      <c r="D995" s="8" t="s">
        <v>26</v>
      </c>
      <c r="E995" s="8" t="s">
        <v>5273</v>
      </c>
      <c r="F995" s="8">
        <v>7.73795911E8</v>
      </c>
      <c r="G995" s="8" t="s">
        <v>127</v>
      </c>
      <c r="H995" s="8" t="s">
        <v>159</v>
      </c>
      <c r="I995" s="8" t="s">
        <v>31</v>
      </c>
      <c r="J995" s="8" t="s">
        <v>86</v>
      </c>
      <c r="K995" s="10" t="s">
        <v>2453</v>
      </c>
      <c r="L995" s="8" t="s">
        <v>58</v>
      </c>
      <c r="M995" s="8" t="s">
        <v>35</v>
      </c>
      <c r="N995" s="11">
        <v>44953.0</v>
      </c>
      <c r="O995" s="11">
        <v>45132.0</v>
      </c>
      <c r="P995" s="11">
        <v>45174.0</v>
      </c>
      <c r="Q995" s="11">
        <v>45131.0</v>
      </c>
      <c r="R995" s="11">
        <v>45174.0</v>
      </c>
      <c r="S995" s="12"/>
      <c r="T995" s="8"/>
      <c r="U995" s="8" t="s">
        <v>59</v>
      </c>
      <c r="V995" s="13" t="s">
        <v>159</v>
      </c>
      <c r="W995" s="13" t="s">
        <v>5274</v>
      </c>
      <c r="X995" s="12"/>
      <c r="Y995" s="14"/>
      <c r="Z995" s="14"/>
    </row>
    <row r="996">
      <c r="A996" s="8" t="s">
        <v>5275</v>
      </c>
      <c r="B996" s="8" t="s">
        <v>5276</v>
      </c>
      <c r="C996" s="8" t="s">
        <v>708</v>
      </c>
      <c r="D996" s="8" t="s">
        <v>26</v>
      </c>
      <c r="E996" s="8" t="s">
        <v>5277</v>
      </c>
      <c r="F996" s="8">
        <v>5.51475142E8</v>
      </c>
      <c r="G996" s="8" t="s">
        <v>254</v>
      </c>
      <c r="H996" s="8" t="s">
        <v>291</v>
      </c>
      <c r="I996" s="8" t="s">
        <v>31</v>
      </c>
      <c r="J996" s="8" t="s">
        <v>86</v>
      </c>
      <c r="K996" s="10" t="s">
        <v>2404</v>
      </c>
      <c r="L996" s="8" t="s">
        <v>34</v>
      </c>
      <c r="M996" s="8" t="s">
        <v>70</v>
      </c>
      <c r="N996" s="11">
        <v>44953.0</v>
      </c>
      <c r="O996" s="11">
        <v>44984.0</v>
      </c>
      <c r="P996" s="11">
        <v>45527.0</v>
      </c>
      <c r="Q996" s="11">
        <v>45005.0</v>
      </c>
      <c r="R996" s="11">
        <v>45555.0</v>
      </c>
      <c r="S996" s="12"/>
      <c r="T996" s="8" t="s">
        <v>36</v>
      </c>
      <c r="U996" s="8" t="s">
        <v>2405</v>
      </c>
      <c r="V996" s="13" t="s">
        <v>295</v>
      </c>
      <c r="W996" s="13" t="s">
        <v>5278</v>
      </c>
      <c r="X996" s="12"/>
      <c r="Y996" s="14"/>
      <c r="Z996" s="14"/>
    </row>
    <row r="997">
      <c r="A997" s="8" t="s">
        <v>5279</v>
      </c>
      <c r="B997" s="8" t="s">
        <v>5280</v>
      </c>
      <c r="C997" s="8" t="s">
        <v>179</v>
      </c>
      <c r="D997" s="8" t="s">
        <v>26</v>
      </c>
      <c r="E997" s="8" t="s">
        <v>5281</v>
      </c>
      <c r="F997" s="8">
        <v>4.38271947298E11</v>
      </c>
      <c r="G997" s="8" t="s">
        <v>31</v>
      </c>
      <c r="H997" s="8" t="s">
        <v>43</v>
      </c>
      <c r="I997" s="8" t="s">
        <v>284</v>
      </c>
      <c r="J997" s="8" t="s">
        <v>1450</v>
      </c>
      <c r="K997" s="10" t="s">
        <v>5282</v>
      </c>
      <c r="L997" s="8" t="s">
        <v>47</v>
      </c>
      <c r="M997" s="8" t="s">
        <v>35</v>
      </c>
      <c r="N997" s="11">
        <v>44954.0</v>
      </c>
      <c r="O997" s="11">
        <v>45103.0</v>
      </c>
      <c r="P997" s="11">
        <v>45186.0</v>
      </c>
      <c r="Q997" s="11"/>
      <c r="R997" s="11"/>
      <c r="S997" s="12"/>
      <c r="T997" s="8"/>
      <c r="U997" s="8" t="s">
        <v>246</v>
      </c>
      <c r="V997" s="13" t="s">
        <v>43</v>
      </c>
      <c r="W997" s="13" t="s">
        <v>5283</v>
      </c>
      <c r="X997" s="12"/>
      <c r="Y997" s="14"/>
      <c r="Z997" s="14"/>
    </row>
    <row r="998">
      <c r="A998" s="8" t="s">
        <v>5284</v>
      </c>
      <c r="B998" s="8" t="s">
        <v>5285</v>
      </c>
      <c r="C998" s="8" t="s">
        <v>179</v>
      </c>
      <c r="D998" s="8" t="s">
        <v>26</v>
      </c>
      <c r="E998" s="8" t="s">
        <v>5286</v>
      </c>
      <c r="F998" s="8">
        <v>5.447129742E9</v>
      </c>
      <c r="G998" s="8" t="s">
        <v>31</v>
      </c>
      <c r="H998" s="8" t="s">
        <v>542</v>
      </c>
      <c r="I998" s="8" t="s">
        <v>399</v>
      </c>
      <c r="J998" s="8" t="s">
        <v>400</v>
      </c>
      <c r="K998" s="10" t="s">
        <v>1700</v>
      </c>
      <c r="L998" s="8" t="s">
        <v>58</v>
      </c>
      <c r="M998" s="8" t="s">
        <v>35</v>
      </c>
      <c r="N998" s="11">
        <v>44958.0</v>
      </c>
      <c r="O998" s="11">
        <v>45119.0</v>
      </c>
      <c r="P998" s="11">
        <v>45161.0</v>
      </c>
      <c r="Q998" s="11"/>
      <c r="R998" s="11"/>
      <c r="S998" s="12"/>
      <c r="T998" s="8"/>
      <c r="U998" s="8" t="s">
        <v>1038</v>
      </c>
      <c r="V998" s="13" t="s">
        <v>545</v>
      </c>
      <c r="W998" s="13" t="s">
        <v>5287</v>
      </c>
      <c r="X998" s="12"/>
      <c r="Y998" s="14"/>
      <c r="Z998" s="14"/>
    </row>
    <row r="999">
      <c r="A999" s="8" t="s">
        <v>5288</v>
      </c>
      <c r="B999" s="8" t="s">
        <v>4160</v>
      </c>
      <c r="C999" s="8" t="s">
        <v>179</v>
      </c>
      <c r="D999" s="8" t="s">
        <v>26</v>
      </c>
      <c r="E999" s="8" t="s">
        <v>4161</v>
      </c>
      <c r="F999" s="8">
        <v>8.76620554E9</v>
      </c>
      <c r="G999" s="8" t="s">
        <v>44</v>
      </c>
      <c r="H999" s="8" t="s">
        <v>990</v>
      </c>
      <c r="I999" s="8" t="s">
        <v>31</v>
      </c>
      <c r="J999" s="8" t="s">
        <v>43</v>
      </c>
      <c r="K999" s="10" t="s">
        <v>5289</v>
      </c>
      <c r="L999" s="8" t="s">
        <v>58</v>
      </c>
      <c r="M999" s="8" t="s">
        <v>35</v>
      </c>
      <c r="N999" s="11">
        <v>44958.0</v>
      </c>
      <c r="O999" s="11">
        <v>45036.0</v>
      </c>
      <c r="P999" s="11">
        <v>45079.0</v>
      </c>
      <c r="Q999" s="11"/>
      <c r="R999" s="11"/>
      <c r="S999" s="12"/>
      <c r="T999" s="8"/>
      <c r="U999" s="8" t="s">
        <v>59</v>
      </c>
      <c r="V999" s="13" t="s">
        <v>2005</v>
      </c>
      <c r="W999" s="13" t="s">
        <v>4162</v>
      </c>
      <c r="X999" s="12"/>
      <c r="Y999" s="14"/>
      <c r="Z999" s="14"/>
    </row>
    <row r="1000">
      <c r="A1000" s="8" t="s">
        <v>5290</v>
      </c>
      <c r="B1000" s="8" t="s">
        <v>5291</v>
      </c>
      <c r="C1000" s="8" t="s">
        <v>25</v>
      </c>
      <c r="D1000" s="8" t="s">
        <v>26</v>
      </c>
      <c r="E1000" s="8" t="s">
        <v>5292</v>
      </c>
      <c r="F1000" s="8">
        <v>2.7106629E7</v>
      </c>
      <c r="G1000" s="8" t="s">
        <v>54</v>
      </c>
      <c r="H1000" s="8" t="s">
        <v>135</v>
      </c>
      <c r="I1000" s="8" t="s">
        <v>31</v>
      </c>
      <c r="J1000" s="8" t="s">
        <v>86</v>
      </c>
      <c r="K1000" s="10" t="s">
        <v>5293</v>
      </c>
      <c r="L1000" s="8" t="s">
        <v>34</v>
      </c>
      <c r="M1000" s="8" t="s">
        <v>35</v>
      </c>
      <c r="N1000" s="11">
        <v>44958.0</v>
      </c>
      <c r="O1000" s="11">
        <v>44970.0</v>
      </c>
      <c r="P1000" s="11">
        <v>45023.0</v>
      </c>
      <c r="Q1000" s="11">
        <v>44971.0</v>
      </c>
      <c r="R1000" s="11">
        <v>45023.0</v>
      </c>
      <c r="S1000" s="12"/>
      <c r="T1000" s="8" t="s">
        <v>121</v>
      </c>
      <c r="U1000" s="8" t="s">
        <v>5294</v>
      </c>
      <c r="V1000" s="13" t="s">
        <v>138</v>
      </c>
      <c r="W1000" s="13" t="s">
        <v>5295</v>
      </c>
      <c r="X1000" s="12"/>
      <c r="Y1000" s="14"/>
      <c r="Z1000" s="14"/>
    </row>
    <row r="1001">
      <c r="A1001" s="8" t="s">
        <v>5296</v>
      </c>
      <c r="B1001" s="8" t="s">
        <v>5297</v>
      </c>
      <c r="C1001" s="8" t="s">
        <v>179</v>
      </c>
      <c r="D1001" s="8" t="s">
        <v>26</v>
      </c>
      <c r="E1001" s="8" t="s">
        <v>5298</v>
      </c>
      <c r="F1001" s="8">
        <v>1.012798788E9</v>
      </c>
      <c r="G1001" s="8" t="s">
        <v>284</v>
      </c>
      <c r="H1001" s="8" t="s">
        <v>625</v>
      </c>
      <c r="I1001" s="8" t="s">
        <v>31</v>
      </c>
      <c r="J1001" s="8" t="s">
        <v>136</v>
      </c>
      <c r="K1001" s="10" t="s">
        <v>5299</v>
      </c>
      <c r="L1001" s="8" t="s">
        <v>58</v>
      </c>
      <c r="M1001" s="8" t="s">
        <v>35</v>
      </c>
      <c r="N1001" s="11">
        <v>44958.0</v>
      </c>
      <c r="O1001" s="11">
        <v>45117.0</v>
      </c>
      <c r="P1001" s="11">
        <v>45159.0</v>
      </c>
      <c r="Q1001" s="11"/>
      <c r="R1001" s="11"/>
      <c r="S1001" s="12"/>
      <c r="T1001" s="8"/>
      <c r="U1001" s="8" t="s">
        <v>59</v>
      </c>
      <c r="V1001" s="13" t="s">
        <v>626</v>
      </c>
      <c r="W1001" s="13" t="s">
        <v>5300</v>
      </c>
      <c r="X1001" s="12"/>
      <c r="Y1001" s="14"/>
      <c r="Z1001" s="14"/>
    </row>
    <row r="1002">
      <c r="A1002" s="8" t="s">
        <v>5301</v>
      </c>
      <c r="B1002" s="8" t="s">
        <v>5302</v>
      </c>
      <c r="C1002" s="8" t="s">
        <v>25</v>
      </c>
      <c r="D1002" s="8" t="s">
        <v>26</v>
      </c>
      <c r="E1002" s="8" t="s">
        <v>5303</v>
      </c>
      <c r="F1002" s="8">
        <v>5.382807923E9</v>
      </c>
      <c r="G1002" s="8" t="s">
        <v>31</v>
      </c>
      <c r="H1002" s="8" t="s">
        <v>86</v>
      </c>
      <c r="I1002" s="8" t="s">
        <v>284</v>
      </c>
      <c r="J1002" s="8" t="s">
        <v>793</v>
      </c>
      <c r="K1002" s="10" t="s">
        <v>5304</v>
      </c>
      <c r="L1002" s="8" t="s">
        <v>58</v>
      </c>
      <c r="M1002" s="8" t="s">
        <v>35</v>
      </c>
      <c r="N1002" s="11">
        <v>44958.0</v>
      </c>
      <c r="O1002" s="11">
        <v>45108.0</v>
      </c>
      <c r="P1002" s="11">
        <v>45150.0</v>
      </c>
      <c r="Q1002" s="11">
        <v>45107.0</v>
      </c>
      <c r="R1002" s="11">
        <v>45150.0</v>
      </c>
      <c r="S1002" s="12"/>
      <c r="T1002" s="8"/>
      <c r="U1002" s="8" t="s">
        <v>161</v>
      </c>
      <c r="V1002" s="13" t="s">
        <v>175</v>
      </c>
      <c r="W1002" s="13" t="s">
        <v>5305</v>
      </c>
      <c r="X1002" s="12"/>
      <c r="Y1002" s="14"/>
      <c r="Z1002" s="14"/>
    </row>
    <row r="1003">
      <c r="A1003" s="8" t="s">
        <v>5306</v>
      </c>
      <c r="B1003" s="8" t="s">
        <v>5307</v>
      </c>
      <c r="C1003" s="8" t="s">
        <v>25</v>
      </c>
      <c r="D1003" s="8" t="s">
        <v>26</v>
      </c>
      <c r="E1003" s="8" t="s">
        <v>5308</v>
      </c>
      <c r="F1003" s="8" t="s">
        <v>5309</v>
      </c>
      <c r="G1003" s="8" t="s">
        <v>31</v>
      </c>
      <c r="H1003" s="8" t="s">
        <v>86</v>
      </c>
      <c r="I1003" s="8" t="s">
        <v>127</v>
      </c>
      <c r="J1003" s="8" t="s">
        <v>3542</v>
      </c>
      <c r="K1003" s="10" t="s">
        <v>5310</v>
      </c>
      <c r="L1003" s="8" t="s">
        <v>58</v>
      </c>
      <c r="M1003" s="8" t="s">
        <v>35</v>
      </c>
      <c r="N1003" s="11">
        <v>44958.0</v>
      </c>
      <c r="O1003" s="11">
        <v>45103.0</v>
      </c>
      <c r="P1003" s="11">
        <v>45145.0</v>
      </c>
      <c r="Q1003" s="11">
        <v>45103.0</v>
      </c>
      <c r="R1003" s="11">
        <v>45145.0</v>
      </c>
      <c r="S1003" s="12"/>
      <c r="T1003" s="8"/>
      <c r="U1003" s="8" t="s">
        <v>59</v>
      </c>
      <c r="V1003" s="13" t="s">
        <v>175</v>
      </c>
      <c r="W1003" s="13" t="s">
        <v>5311</v>
      </c>
      <c r="X1003" s="12"/>
      <c r="Y1003" s="14"/>
      <c r="Z1003" s="14"/>
    </row>
    <row r="1004">
      <c r="A1004" s="8" t="s">
        <v>5312</v>
      </c>
      <c r="B1004" s="8" t="s">
        <v>5313</v>
      </c>
      <c r="C1004" s="8" t="s">
        <v>25</v>
      </c>
      <c r="D1004" s="8" t="s">
        <v>26</v>
      </c>
      <c r="E1004" s="8" t="s">
        <v>5314</v>
      </c>
      <c r="F1004" s="8">
        <v>5.534599393E9</v>
      </c>
      <c r="G1004" s="8" t="s">
        <v>31</v>
      </c>
      <c r="H1004" s="8" t="s">
        <v>86</v>
      </c>
      <c r="I1004" s="8" t="s">
        <v>284</v>
      </c>
      <c r="J1004" s="8" t="s">
        <v>793</v>
      </c>
      <c r="K1004" s="10" t="s">
        <v>2688</v>
      </c>
      <c r="L1004" s="8" t="s">
        <v>58</v>
      </c>
      <c r="M1004" s="8" t="s">
        <v>35</v>
      </c>
      <c r="N1004" s="11">
        <v>44958.0</v>
      </c>
      <c r="O1004" s="11">
        <v>45108.0</v>
      </c>
      <c r="P1004" s="11">
        <v>45150.0</v>
      </c>
      <c r="Q1004" s="11">
        <v>45116.0</v>
      </c>
      <c r="R1004" s="11">
        <v>45158.0</v>
      </c>
      <c r="S1004" s="12"/>
      <c r="T1004" s="8"/>
      <c r="U1004" s="8" t="s">
        <v>1038</v>
      </c>
      <c r="V1004" s="13" t="s">
        <v>175</v>
      </c>
      <c r="W1004" s="13" t="s">
        <v>5315</v>
      </c>
      <c r="X1004" s="12"/>
      <c r="Y1004" s="14"/>
      <c r="Z1004" s="14"/>
    </row>
    <row r="1005">
      <c r="A1005" s="8" t="s">
        <v>5316</v>
      </c>
      <c r="B1005" s="8" t="s">
        <v>5317</v>
      </c>
      <c r="C1005" s="8" t="s">
        <v>179</v>
      </c>
      <c r="D1005" s="8" t="s">
        <v>26</v>
      </c>
      <c r="E1005" s="8" t="s">
        <v>5318</v>
      </c>
      <c r="F1005" s="8"/>
      <c r="G1005" s="8" t="s">
        <v>31</v>
      </c>
      <c r="H1005" s="8" t="s">
        <v>86</v>
      </c>
      <c r="I1005" s="8" t="s">
        <v>127</v>
      </c>
      <c r="J1005" s="8" t="s">
        <v>3542</v>
      </c>
      <c r="K1005" s="10" t="s">
        <v>5310</v>
      </c>
      <c r="L1005" s="8" t="s">
        <v>58</v>
      </c>
      <c r="M1005" s="8" t="s">
        <v>35</v>
      </c>
      <c r="N1005" s="11">
        <v>44958.0</v>
      </c>
      <c r="O1005" s="11">
        <v>45103.0</v>
      </c>
      <c r="P1005" s="11">
        <v>45145.0</v>
      </c>
      <c r="Q1005" s="11"/>
      <c r="R1005" s="11"/>
      <c r="S1005" s="12"/>
      <c r="T1005" s="8"/>
      <c r="U1005" s="8" t="s">
        <v>59</v>
      </c>
      <c r="V1005" s="13" t="s">
        <v>38</v>
      </c>
      <c r="W1005" s="13" t="s">
        <v>5319</v>
      </c>
      <c r="X1005" s="12"/>
      <c r="Y1005" s="14"/>
      <c r="Z1005" s="14"/>
    </row>
    <row r="1006">
      <c r="A1006" s="8" t="s">
        <v>5320</v>
      </c>
      <c r="B1006" s="8" t="s">
        <v>5321</v>
      </c>
      <c r="C1006" s="8" t="s">
        <v>179</v>
      </c>
      <c r="D1006" s="8" t="s">
        <v>26</v>
      </c>
      <c r="E1006" s="8" t="s">
        <v>5322</v>
      </c>
      <c r="F1006" s="8"/>
      <c r="G1006" s="8" t="s">
        <v>254</v>
      </c>
      <c r="H1006" s="8" t="s">
        <v>291</v>
      </c>
      <c r="I1006" s="8" t="s">
        <v>31</v>
      </c>
      <c r="J1006" s="8" t="s">
        <v>111</v>
      </c>
      <c r="K1006" s="10" t="s">
        <v>4676</v>
      </c>
      <c r="L1006" s="8" t="s">
        <v>47</v>
      </c>
      <c r="M1006" s="8" t="s">
        <v>70</v>
      </c>
      <c r="N1006" s="11">
        <v>44958.0</v>
      </c>
      <c r="O1006" s="11">
        <v>44963.0</v>
      </c>
      <c r="P1006" s="11">
        <v>45328.0</v>
      </c>
      <c r="Q1006" s="11"/>
      <c r="R1006" s="11"/>
      <c r="S1006" s="12"/>
      <c r="T1006" s="8" t="s">
        <v>446</v>
      </c>
      <c r="U1006" s="8" t="s">
        <v>4677</v>
      </c>
      <c r="V1006" s="13" t="s">
        <v>38</v>
      </c>
      <c r="W1006" s="13" t="s">
        <v>5323</v>
      </c>
      <c r="X1006" s="12"/>
      <c r="Y1006" s="14"/>
      <c r="Z1006" s="14"/>
    </row>
    <row r="1007">
      <c r="A1007" s="8" t="s">
        <v>5324</v>
      </c>
      <c r="B1007" s="8" t="s">
        <v>5325</v>
      </c>
      <c r="C1007" s="8" t="s">
        <v>25</v>
      </c>
      <c r="D1007" s="8" t="s">
        <v>26</v>
      </c>
      <c r="E1007" s="8" t="s">
        <v>5326</v>
      </c>
      <c r="F1007" s="8">
        <v>6.60914903E8</v>
      </c>
      <c r="G1007" s="8" t="s">
        <v>254</v>
      </c>
      <c r="H1007" s="8" t="s">
        <v>758</v>
      </c>
      <c r="I1007" s="8" t="s">
        <v>31</v>
      </c>
      <c r="J1007" s="8" t="s">
        <v>256</v>
      </c>
      <c r="K1007" s="10" t="s">
        <v>5327</v>
      </c>
      <c r="L1007" s="8" t="s">
        <v>47</v>
      </c>
      <c r="M1007" s="8" t="s">
        <v>70</v>
      </c>
      <c r="N1007" s="11">
        <v>44958.0</v>
      </c>
      <c r="O1007" s="11">
        <v>44961.0</v>
      </c>
      <c r="P1007" s="11">
        <v>45150.0</v>
      </c>
      <c r="Q1007" s="11">
        <v>44962.0</v>
      </c>
      <c r="R1007" s="11">
        <v>45150.0</v>
      </c>
      <c r="S1007" s="12"/>
      <c r="T1007" s="8"/>
      <c r="U1007" s="8" t="s">
        <v>246</v>
      </c>
      <c r="V1007" s="13" t="s">
        <v>38</v>
      </c>
      <c r="W1007" s="13" t="s">
        <v>5328</v>
      </c>
      <c r="X1007" s="12"/>
      <c r="Y1007" s="14"/>
      <c r="Z1007" s="14"/>
    </row>
    <row r="1008">
      <c r="A1008" s="8" t="s">
        <v>5329</v>
      </c>
      <c r="B1008" s="8" t="s">
        <v>5330</v>
      </c>
      <c r="C1008" s="8" t="s">
        <v>251</v>
      </c>
      <c r="D1008" s="8" t="s">
        <v>26</v>
      </c>
      <c r="E1008" s="8" t="s">
        <v>5331</v>
      </c>
      <c r="F1008" s="8">
        <v>5.551822073E9</v>
      </c>
      <c r="G1008" s="8" t="s">
        <v>31</v>
      </c>
      <c r="H1008" s="8" t="s">
        <v>56</v>
      </c>
      <c r="I1008" s="8" t="s">
        <v>284</v>
      </c>
      <c r="J1008" s="8" t="s">
        <v>1422</v>
      </c>
      <c r="K1008" s="10" t="s">
        <v>5332</v>
      </c>
      <c r="L1008" s="8" t="s">
        <v>58</v>
      </c>
      <c r="M1008" s="8" t="s">
        <v>35</v>
      </c>
      <c r="N1008" s="11">
        <v>44958.0</v>
      </c>
      <c r="O1008" s="11">
        <v>45130.0</v>
      </c>
      <c r="P1008" s="11">
        <v>45172.0</v>
      </c>
      <c r="Q1008" s="11"/>
      <c r="R1008" s="11"/>
      <c r="S1008" s="12"/>
      <c r="T1008" s="8"/>
      <c r="U1008" s="8" t="s">
        <v>1038</v>
      </c>
      <c r="V1008" s="13" t="s">
        <v>56</v>
      </c>
      <c r="W1008" s="13" t="s">
        <v>5333</v>
      </c>
      <c r="X1008" s="12"/>
      <c r="Y1008" s="14"/>
      <c r="Z1008" s="14"/>
    </row>
    <row r="1009">
      <c r="A1009" s="8" t="s">
        <v>5334</v>
      </c>
      <c r="B1009" s="8" t="s">
        <v>1143</v>
      </c>
      <c r="C1009" s="8" t="s">
        <v>251</v>
      </c>
      <c r="D1009" s="8" t="s">
        <v>26</v>
      </c>
      <c r="E1009" s="8" t="s">
        <v>1144</v>
      </c>
      <c r="F1009" s="8">
        <v>5.078495671E9</v>
      </c>
      <c r="G1009" s="8" t="s">
        <v>84</v>
      </c>
      <c r="H1009" s="8" t="s">
        <v>646</v>
      </c>
      <c r="I1009" s="8" t="s">
        <v>31</v>
      </c>
      <c r="J1009" s="8" t="s">
        <v>256</v>
      </c>
      <c r="K1009" s="10" t="s">
        <v>2590</v>
      </c>
      <c r="L1009" s="8" t="s">
        <v>34</v>
      </c>
      <c r="M1009" s="8" t="s">
        <v>70</v>
      </c>
      <c r="N1009" s="11">
        <v>44958.0</v>
      </c>
      <c r="O1009" s="11">
        <v>44958.0</v>
      </c>
      <c r="P1009" s="11">
        <v>45323.0</v>
      </c>
      <c r="Q1009" s="11"/>
      <c r="R1009" s="11"/>
      <c r="S1009" s="12"/>
      <c r="T1009" s="8" t="s">
        <v>205</v>
      </c>
      <c r="U1009" s="8" t="s">
        <v>2591</v>
      </c>
      <c r="V1009" s="13" t="s">
        <v>1146</v>
      </c>
      <c r="W1009" s="13" t="s">
        <v>1147</v>
      </c>
      <c r="X1009" s="12"/>
      <c r="Y1009" s="14"/>
      <c r="Z1009" s="14"/>
    </row>
    <row r="1010">
      <c r="A1010" s="8" t="s">
        <v>5335</v>
      </c>
      <c r="B1010" s="8" t="s">
        <v>5336</v>
      </c>
      <c r="C1010" s="8" t="s">
        <v>708</v>
      </c>
      <c r="D1010" s="8" t="s">
        <v>26</v>
      </c>
      <c r="E1010" s="8" t="s">
        <v>5337</v>
      </c>
      <c r="F1010" s="8">
        <v>5.313033186E9</v>
      </c>
      <c r="G1010" s="8" t="s">
        <v>31</v>
      </c>
      <c r="H1010" s="8" t="s">
        <v>102</v>
      </c>
      <c r="I1010" s="8" t="s">
        <v>2524</v>
      </c>
      <c r="J1010" s="8" t="s">
        <v>3950</v>
      </c>
      <c r="K1010" s="10" t="s">
        <v>5338</v>
      </c>
      <c r="L1010" s="8" t="s">
        <v>34</v>
      </c>
      <c r="M1010" s="8" t="s">
        <v>70</v>
      </c>
      <c r="N1010" s="11">
        <v>44958.0</v>
      </c>
      <c r="O1010" s="11">
        <v>44963.0</v>
      </c>
      <c r="P1010" s="11">
        <v>45328.0</v>
      </c>
      <c r="Q1010" s="11">
        <v>44963.0</v>
      </c>
      <c r="R1010" s="11">
        <v>45328.0</v>
      </c>
      <c r="S1010" s="12"/>
      <c r="T1010" s="8" t="s">
        <v>1187</v>
      </c>
      <c r="U1010" s="8" t="s">
        <v>5339</v>
      </c>
      <c r="V1010" s="13" t="s">
        <v>136</v>
      </c>
      <c r="W1010" s="13" t="s">
        <v>5340</v>
      </c>
      <c r="X1010" s="12"/>
      <c r="Y1010" s="14"/>
      <c r="Z1010" s="14"/>
    </row>
    <row r="1011">
      <c r="A1011" s="8" t="s">
        <v>5341</v>
      </c>
      <c r="B1011" s="8" t="s">
        <v>5342</v>
      </c>
      <c r="C1011" s="8" t="s">
        <v>25</v>
      </c>
      <c r="D1011" s="8" t="s">
        <v>26</v>
      </c>
      <c r="E1011" s="8" t="s">
        <v>5343</v>
      </c>
      <c r="F1011" s="8"/>
      <c r="G1011" s="8" t="s">
        <v>31</v>
      </c>
      <c r="H1011" s="8" t="s">
        <v>111</v>
      </c>
      <c r="I1011" s="8" t="s">
        <v>399</v>
      </c>
      <c r="J1011" s="8" t="s">
        <v>415</v>
      </c>
      <c r="K1011" s="10" t="s">
        <v>2626</v>
      </c>
      <c r="L1011" s="8" t="s">
        <v>58</v>
      </c>
      <c r="M1011" s="8" t="s">
        <v>35</v>
      </c>
      <c r="N1011" s="11">
        <v>44958.0</v>
      </c>
      <c r="O1011" s="11">
        <v>45122.0</v>
      </c>
      <c r="P1011" s="11">
        <v>45164.0</v>
      </c>
      <c r="Q1011" s="11">
        <v>45120.0</v>
      </c>
      <c r="R1011" s="11">
        <v>45164.0</v>
      </c>
      <c r="S1011" s="12"/>
      <c r="T1011" s="8"/>
      <c r="U1011" s="8" t="s">
        <v>185</v>
      </c>
      <c r="V1011" s="13" t="s">
        <v>38</v>
      </c>
      <c r="W1011" s="13" t="s">
        <v>5344</v>
      </c>
      <c r="X1011" s="12"/>
      <c r="Y1011" s="14"/>
      <c r="Z1011" s="14"/>
    </row>
    <row r="1012">
      <c r="A1012" s="8" t="s">
        <v>5345</v>
      </c>
      <c r="B1012" s="8" t="s">
        <v>5346</v>
      </c>
      <c r="C1012" s="8" t="s">
        <v>64</v>
      </c>
      <c r="D1012" s="8" t="s">
        <v>26</v>
      </c>
      <c r="E1012" s="8" t="s">
        <v>5347</v>
      </c>
      <c r="F1012" s="8"/>
      <c r="G1012" s="8" t="s">
        <v>127</v>
      </c>
      <c r="H1012" s="8" t="s">
        <v>159</v>
      </c>
      <c r="I1012" s="8" t="s">
        <v>31</v>
      </c>
      <c r="J1012" s="8" t="s">
        <v>86</v>
      </c>
      <c r="K1012" s="10" t="s">
        <v>416</v>
      </c>
      <c r="L1012" s="8" t="s">
        <v>58</v>
      </c>
      <c r="M1012" s="8" t="s">
        <v>35</v>
      </c>
      <c r="N1012" s="11">
        <v>44958.0</v>
      </c>
      <c r="O1012" s="11">
        <v>45123.0</v>
      </c>
      <c r="P1012" s="11">
        <v>45165.0</v>
      </c>
      <c r="Q1012" s="11">
        <v>45125.0</v>
      </c>
      <c r="R1012" s="11">
        <v>45165.0</v>
      </c>
      <c r="S1012" s="12"/>
      <c r="T1012" s="8"/>
      <c r="U1012" s="8" t="s">
        <v>59</v>
      </c>
      <c r="V1012" s="13" t="s">
        <v>38</v>
      </c>
      <c r="W1012" s="13" t="s">
        <v>5348</v>
      </c>
      <c r="X1012" s="12"/>
      <c r="Y1012" s="14"/>
      <c r="Z1012" s="14"/>
    </row>
    <row r="1013">
      <c r="A1013" s="8" t="s">
        <v>5349</v>
      </c>
      <c r="B1013" s="8" t="s">
        <v>5350</v>
      </c>
      <c r="C1013" s="8" t="s">
        <v>179</v>
      </c>
      <c r="D1013" s="8" t="s">
        <v>26</v>
      </c>
      <c r="E1013" s="8" t="s">
        <v>5351</v>
      </c>
      <c r="F1013" s="8"/>
      <c r="G1013" s="8" t="s">
        <v>31</v>
      </c>
      <c r="H1013" s="8" t="s">
        <v>86</v>
      </c>
      <c r="I1013" s="8" t="s">
        <v>284</v>
      </c>
      <c r="J1013" s="8" t="s">
        <v>793</v>
      </c>
      <c r="K1013" s="10" t="s">
        <v>5352</v>
      </c>
      <c r="L1013" s="8" t="s">
        <v>58</v>
      </c>
      <c r="M1013" s="8" t="s">
        <v>35</v>
      </c>
      <c r="N1013" s="11">
        <v>44958.0</v>
      </c>
      <c r="O1013" s="11">
        <v>45108.0</v>
      </c>
      <c r="P1013" s="11">
        <v>45150.0</v>
      </c>
      <c r="Q1013" s="11"/>
      <c r="R1013" s="11"/>
      <c r="S1013" s="12"/>
      <c r="T1013" s="8"/>
      <c r="U1013" s="8" t="s">
        <v>1590</v>
      </c>
      <c r="V1013" s="13" t="s">
        <v>38</v>
      </c>
      <c r="W1013" s="13" t="s">
        <v>5353</v>
      </c>
      <c r="X1013" s="12"/>
      <c r="Y1013" s="14"/>
      <c r="Z1013" s="14"/>
    </row>
    <row r="1014">
      <c r="A1014" s="8" t="s">
        <v>5354</v>
      </c>
      <c r="B1014" s="8" t="s">
        <v>5355</v>
      </c>
      <c r="C1014" s="8" t="s">
        <v>25</v>
      </c>
      <c r="D1014" s="8" t="s">
        <v>26</v>
      </c>
      <c r="E1014" s="8" t="s">
        <v>5356</v>
      </c>
      <c r="F1014" s="8">
        <v>7.64694473E8</v>
      </c>
      <c r="G1014" s="8" t="s">
        <v>127</v>
      </c>
      <c r="H1014" s="8" t="s">
        <v>159</v>
      </c>
      <c r="I1014" s="8" t="s">
        <v>31</v>
      </c>
      <c r="J1014" s="8" t="s">
        <v>86</v>
      </c>
      <c r="K1014" s="10" t="s">
        <v>87</v>
      </c>
      <c r="L1014" s="8" t="s">
        <v>58</v>
      </c>
      <c r="M1014" s="8" t="s">
        <v>35</v>
      </c>
      <c r="N1014" s="11">
        <v>44958.0</v>
      </c>
      <c r="O1014" s="11">
        <v>45122.0</v>
      </c>
      <c r="P1014" s="11">
        <v>45164.0</v>
      </c>
      <c r="Q1014" s="11">
        <v>45121.0</v>
      </c>
      <c r="R1014" s="11">
        <v>45164.0</v>
      </c>
      <c r="S1014" s="12"/>
      <c r="T1014" s="8"/>
      <c r="U1014" s="8" t="s">
        <v>88</v>
      </c>
      <c r="V1014" s="13" t="s">
        <v>159</v>
      </c>
      <c r="W1014" s="13" t="s">
        <v>5357</v>
      </c>
      <c r="X1014" s="12"/>
      <c r="Y1014" s="14"/>
      <c r="Z1014" s="14"/>
    </row>
    <row r="1015">
      <c r="A1015" s="8" t="s">
        <v>5358</v>
      </c>
      <c r="B1015" s="8" t="s">
        <v>5359</v>
      </c>
      <c r="C1015" s="8" t="s">
        <v>64</v>
      </c>
      <c r="D1015" s="8" t="s">
        <v>26</v>
      </c>
      <c r="E1015" s="8" t="s">
        <v>5360</v>
      </c>
      <c r="F1015" s="8">
        <v>7.47586902E8</v>
      </c>
      <c r="G1015" s="8" t="s">
        <v>127</v>
      </c>
      <c r="H1015" s="8" t="s">
        <v>159</v>
      </c>
      <c r="I1015" s="8" t="s">
        <v>31</v>
      </c>
      <c r="J1015" s="8" t="s">
        <v>86</v>
      </c>
      <c r="K1015" s="10" t="s">
        <v>87</v>
      </c>
      <c r="L1015" s="8" t="s">
        <v>58</v>
      </c>
      <c r="M1015" s="8" t="s">
        <v>35</v>
      </c>
      <c r="N1015" s="11">
        <v>44958.0</v>
      </c>
      <c r="O1015" s="11">
        <v>45122.0</v>
      </c>
      <c r="P1015" s="11">
        <v>45164.0</v>
      </c>
      <c r="Q1015" s="11">
        <v>45121.0</v>
      </c>
      <c r="R1015" s="11">
        <v>45164.0</v>
      </c>
      <c r="S1015" s="12"/>
      <c r="T1015" s="8"/>
      <c r="U1015" s="8" t="s">
        <v>88</v>
      </c>
      <c r="V1015" s="13" t="s">
        <v>159</v>
      </c>
      <c r="W1015" s="13" t="s">
        <v>5361</v>
      </c>
      <c r="X1015" s="12"/>
      <c r="Y1015" s="14"/>
      <c r="Z1015" s="14"/>
    </row>
    <row r="1016">
      <c r="A1016" s="8" t="s">
        <v>5362</v>
      </c>
      <c r="B1016" s="8" t="s">
        <v>5363</v>
      </c>
      <c r="C1016" s="8" t="s">
        <v>25</v>
      </c>
      <c r="D1016" s="8" t="s">
        <v>26</v>
      </c>
      <c r="E1016" s="8" t="s">
        <v>5364</v>
      </c>
      <c r="F1016" s="8"/>
      <c r="G1016" s="8" t="s">
        <v>127</v>
      </c>
      <c r="H1016" s="8" t="s">
        <v>159</v>
      </c>
      <c r="I1016" s="8" t="s">
        <v>31</v>
      </c>
      <c r="J1016" s="8" t="s">
        <v>86</v>
      </c>
      <c r="K1016" s="10" t="s">
        <v>578</v>
      </c>
      <c r="L1016" s="8" t="s">
        <v>58</v>
      </c>
      <c r="M1016" s="8" t="s">
        <v>35</v>
      </c>
      <c r="N1016" s="11">
        <v>44958.0</v>
      </c>
      <c r="O1016" s="11">
        <v>45123.0</v>
      </c>
      <c r="P1016" s="11">
        <v>45165.0</v>
      </c>
      <c r="Q1016" s="11">
        <v>45123.0</v>
      </c>
      <c r="R1016" s="11">
        <v>45165.0</v>
      </c>
      <c r="S1016" s="12"/>
      <c r="T1016" s="8"/>
      <c r="U1016" s="8" t="s">
        <v>59</v>
      </c>
      <c r="V1016" s="13" t="s">
        <v>38</v>
      </c>
      <c r="W1016" s="13" t="s">
        <v>5365</v>
      </c>
      <c r="X1016" s="12"/>
      <c r="Y1016" s="14"/>
      <c r="Z1016" s="14"/>
    </row>
    <row r="1017">
      <c r="A1017" s="8" t="s">
        <v>5366</v>
      </c>
      <c r="B1017" s="8" t="s">
        <v>5367</v>
      </c>
      <c r="C1017" s="8" t="s">
        <v>251</v>
      </c>
      <c r="D1017" s="8" t="s">
        <v>26</v>
      </c>
      <c r="E1017" s="8" t="s">
        <v>5368</v>
      </c>
      <c r="F1017" s="8"/>
      <c r="G1017" s="8" t="s">
        <v>127</v>
      </c>
      <c r="H1017" s="8" t="s">
        <v>159</v>
      </c>
      <c r="I1017" s="8" t="s">
        <v>31</v>
      </c>
      <c r="J1017" s="8" t="s">
        <v>86</v>
      </c>
      <c r="K1017" s="10" t="s">
        <v>2453</v>
      </c>
      <c r="L1017" s="8" t="s">
        <v>58</v>
      </c>
      <c r="M1017" s="8" t="s">
        <v>35</v>
      </c>
      <c r="N1017" s="11">
        <v>44958.0</v>
      </c>
      <c r="O1017" s="11">
        <v>45132.0</v>
      </c>
      <c r="P1017" s="11">
        <v>45174.0</v>
      </c>
      <c r="Q1017" s="11"/>
      <c r="R1017" s="11"/>
      <c r="S1017" s="12"/>
      <c r="T1017" s="8"/>
      <c r="U1017" s="8" t="s">
        <v>59</v>
      </c>
      <c r="V1017" s="13" t="s">
        <v>38</v>
      </c>
      <c r="W1017" s="13" t="s">
        <v>5369</v>
      </c>
      <c r="X1017" s="12"/>
      <c r="Y1017" s="14"/>
      <c r="Z1017" s="14"/>
    </row>
    <row r="1018">
      <c r="A1018" s="8" t="s">
        <v>5370</v>
      </c>
      <c r="B1018" s="8" t="s">
        <v>5371</v>
      </c>
      <c r="C1018" s="8" t="s">
        <v>25</v>
      </c>
      <c r="D1018" s="8" t="s">
        <v>26</v>
      </c>
      <c r="E1018" s="8" t="s">
        <v>5372</v>
      </c>
      <c r="F1018" s="8">
        <v>5.012551535E9</v>
      </c>
      <c r="G1018" s="8" t="s">
        <v>31</v>
      </c>
      <c r="H1018" s="8" t="s">
        <v>86</v>
      </c>
      <c r="I1018" s="8" t="s">
        <v>29</v>
      </c>
      <c r="J1018" s="8" t="s">
        <v>530</v>
      </c>
      <c r="K1018" s="10" t="s">
        <v>5373</v>
      </c>
      <c r="L1018" s="8" t="s">
        <v>58</v>
      </c>
      <c r="M1018" s="8" t="s">
        <v>35</v>
      </c>
      <c r="N1018" s="11">
        <v>44958.0</v>
      </c>
      <c r="O1018" s="11">
        <v>45032.0</v>
      </c>
      <c r="P1018" s="11">
        <v>45074.0</v>
      </c>
      <c r="Q1018" s="11">
        <v>45032.0</v>
      </c>
      <c r="R1018" s="11">
        <v>45074.0</v>
      </c>
      <c r="S1018" s="12"/>
      <c r="T1018" s="8"/>
      <c r="U1018" s="8" t="s">
        <v>88</v>
      </c>
      <c r="V1018" s="13" t="s">
        <v>175</v>
      </c>
      <c r="W1018" s="13" t="s">
        <v>5374</v>
      </c>
      <c r="X1018" s="12"/>
      <c r="Y1018" s="14"/>
      <c r="Z1018" s="14"/>
    </row>
    <row r="1019">
      <c r="A1019" s="8" t="s">
        <v>5375</v>
      </c>
      <c r="B1019" s="8" t="s">
        <v>5376</v>
      </c>
      <c r="C1019" s="8" t="s">
        <v>25</v>
      </c>
      <c r="D1019" s="8" t="s">
        <v>26</v>
      </c>
      <c r="E1019" s="8" t="s">
        <v>5377</v>
      </c>
      <c r="F1019" s="8">
        <v>8.70041085E9</v>
      </c>
      <c r="G1019" s="8" t="s">
        <v>44</v>
      </c>
      <c r="H1019" s="8" t="s">
        <v>3093</v>
      </c>
      <c r="I1019" s="8" t="s">
        <v>31</v>
      </c>
      <c r="J1019" s="8" t="s">
        <v>86</v>
      </c>
      <c r="K1019" s="10" t="s">
        <v>87</v>
      </c>
      <c r="L1019" s="8" t="s">
        <v>58</v>
      </c>
      <c r="M1019" s="8" t="s">
        <v>35</v>
      </c>
      <c r="N1019" s="11">
        <v>44958.0</v>
      </c>
      <c r="O1019" s="11">
        <v>45015.0</v>
      </c>
      <c r="P1019" s="11">
        <v>45057.0</v>
      </c>
      <c r="Q1019" s="11">
        <v>45016.0</v>
      </c>
      <c r="R1019" s="11">
        <v>45058.0</v>
      </c>
      <c r="S1019" s="12"/>
      <c r="T1019" s="8"/>
      <c r="U1019" s="8" t="s">
        <v>88</v>
      </c>
      <c r="V1019" s="13" t="s">
        <v>5378</v>
      </c>
      <c r="W1019" s="13" t="s">
        <v>5379</v>
      </c>
      <c r="X1019" s="12"/>
      <c r="Y1019" s="14"/>
      <c r="Z1019" s="14"/>
    </row>
    <row r="1020">
      <c r="A1020" s="8" t="s">
        <v>5380</v>
      </c>
      <c r="B1020" s="8" t="s">
        <v>5381</v>
      </c>
      <c r="C1020" s="8" t="s">
        <v>25</v>
      </c>
      <c r="D1020" s="8" t="s">
        <v>26</v>
      </c>
      <c r="E1020" s="8" t="s">
        <v>5382</v>
      </c>
      <c r="F1020" s="8">
        <v>5.445696279E9</v>
      </c>
      <c r="G1020" s="8" t="s">
        <v>31</v>
      </c>
      <c r="H1020" s="8" t="s">
        <v>542</v>
      </c>
      <c r="I1020" s="8" t="s">
        <v>284</v>
      </c>
      <c r="J1020" s="8" t="s">
        <v>793</v>
      </c>
      <c r="K1020" s="10" t="s">
        <v>5383</v>
      </c>
      <c r="L1020" s="8" t="s">
        <v>58</v>
      </c>
      <c r="M1020" s="8" t="s">
        <v>35</v>
      </c>
      <c r="N1020" s="11">
        <v>44958.0</v>
      </c>
      <c r="O1020" s="11">
        <v>45122.0</v>
      </c>
      <c r="P1020" s="11">
        <v>45164.0</v>
      </c>
      <c r="Q1020" s="11">
        <v>45122.0</v>
      </c>
      <c r="R1020" s="11">
        <v>45164.0</v>
      </c>
      <c r="S1020" s="12"/>
      <c r="T1020" s="8"/>
      <c r="U1020" s="8" t="s">
        <v>59</v>
      </c>
      <c r="V1020" s="13" t="s">
        <v>545</v>
      </c>
      <c r="W1020" s="13" t="s">
        <v>5384</v>
      </c>
      <c r="X1020" s="12"/>
      <c r="Y1020" s="14"/>
      <c r="Z1020" s="14"/>
    </row>
    <row r="1021">
      <c r="A1021" s="8" t="s">
        <v>5385</v>
      </c>
      <c r="B1021" s="8" t="s">
        <v>5386</v>
      </c>
      <c r="C1021" s="8" t="s">
        <v>179</v>
      </c>
      <c r="D1021" s="8" t="s">
        <v>26</v>
      </c>
      <c r="E1021" s="8" t="s">
        <v>5387</v>
      </c>
      <c r="F1021" s="8">
        <v>1.024980973E9</v>
      </c>
      <c r="G1021" s="8" t="s">
        <v>284</v>
      </c>
      <c r="H1021" s="8" t="s">
        <v>793</v>
      </c>
      <c r="I1021" s="8" t="s">
        <v>31</v>
      </c>
      <c r="J1021" s="8" t="s">
        <v>136</v>
      </c>
      <c r="K1021" s="10" t="s">
        <v>137</v>
      </c>
      <c r="L1021" s="8" t="s">
        <v>58</v>
      </c>
      <c r="M1021" s="8" t="s">
        <v>35</v>
      </c>
      <c r="N1021" s="11">
        <v>44958.0</v>
      </c>
      <c r="O1021" s="11">
        <v>45124.0</v>
      </c>
      <c r="P1021" s="11">
        <v>45166.0</v>
      </c>
      <c r="Q1021" s="11"/>
      <c r="R1021" s="11"/>
      <c r="S1021" s="12"/>
      <c r="T1021" s="8"/>
      <c r="U1021" s="8" t="s">
        <v>88</v>
      </c>
      <c r="V1021" s="13" t="s">
        <v>793</v>
      </c>
      <c r="W1021" s="13" t="s">
        <v>5388</v>
      </c>
      <c r="X1021" s="12"/>
      <c r="Y1021" s="14"/>
      <c r="Z1021" s="14"/>
    </row>
    <row r="1022">
      <c r="A1022" s="8" t="s">
        <v>5389</v>
      </c>
      <c r="B1022" s="8" t="s">
        <v>5390</v>
      </c>
      <c r="C1022" s="8" t="s">
        <v>179</v>
      </c>
      <c r="D1022" s="8" t="s">
        <v>26</v>
      </c>
      <c r="E1022" s="8" t="s">
        <v>5391</v>
      </c>
      <c r="F1022" s="8"/>
      <c r="G1022" s="8" t="s">
        <v>284</v>
      </c>
      <c r="H1022" s="8" t="s">
        <v>793</v>
      </c>
      <c r="I1022" s="8" t="s">
        <v>31</v>
      </c>
      <c r="J1022" s="8" t="s">
        <v>136</v>
      </c>
      <c r="K1022" s="10" t="s">
        <v>5299</v>
      </c>
      <c r="L1022" s="8" t="s">
        <v>58</v>
      </c>
      <c r="M1022" s="8" t="s">
        <v>35</v>
      </c>
      <c r="N1022" s="11">
        <v>44958.0</v>
      </c>
      <c r="O1022" s="11">
        <v>45159.0</v>
      </c>
      <c r="P1022" s="11">
        <v>45201.0</v>
      </c>
      <c r="Q1022" s="11"/>
      <c r="R1022" s="11"/>
      <c r="S1022" s="12"/>
      <c r="T1022" s="8"/>
      <c r="U1022" s="8" t="s">
        <v>59</v>
      </c>
      <c r="V1022" s="13" t="s">
        <v>38</v>
      </c>
      <c r="W1022" s="13" t="s">
        <v>5392</v>
      </c>
      <c r="X1022" s="12"/>
      <c r="Y1022" s="14"/>
      <c r="Z1022" s="14"/>
    </row>
    <row r="1023">
      <c r="A1023" s="8" t="s">
        <v>5393</v>
      </c>
      <c r="B1023" s="8" t="s">
        <v>5394</v>
      </c>
      <c r="C1023" s="8" t="s">
        <v>708</v>
      </c>
      <c r="D1023" s="8" t="s">
        <v>26</v>
      </c>
      <c r="E1023" s="8" t="s">
        <v>5395</v>
      </c>
      <c r="F1023" s="8"/>
      <c r="G1023" s="8" t="s">
        <v>284</v>
      </c>
      <c r="H1023" s="8" t="s">
        <v>285</v>
      </c>
      <c r="I1023" s="8" t="s">
        <v>31</v>
      </c>
      <c r="J1023" s="8" t="s">
        <v>292</v>
      </c>
      <c r="K1023" s="10" t="s">
        <v>1260</v>
      </c>
      <c r="L1023" s="8" t="s">
        <v>47</v>
      </c>
      <c r="M1023" s="8" t="s">
        <v>70</v>
      </c>
      <c r="N1023" s="11">
        <v>44958.0</v>
      </c>
      <c r="O1023" s="11">
        <v>45000.0</v>
      </c>
      <c r="P1023" s="11">
        <v>45366.0</v>
      </c>
      <c r="Q1023" s="11">
        <v>45002.0</v>
      </c>
      <c r="R1023" s="11">
        <v>45366.0</v>
      </c>
      <c r="S1023" s="12"/>
      <c r="T1023" s="8"/>
      <c r="U1023" s="8" t="s">
        <v>1261</v>
      </c>
      <c r="V1023" s="13" t="s">
        <v>38</v>
      </c>
      <c r="W1023" s="13" t="s">
        <v>5396</v>
      </c>
      <c r="X1023" s="12"/>
      <c r="Y1023" s="14"/>
      <c r="Z1023" s="14"/>
    </row>
    <row r="1024">
      <c r="A1024" s="8" t="s">
        <v>5397</v>
      </c>
      <c r="B1024" s="8" t="s">
        <v>5398</v>
      </c>
      <c r="C1024" s="8" t="s">
        <v>179</v>
      </c>
      <c r="D1024" s="8" t="s">
        <v>26</v>
      </c>
      <c r="E1024" s="8" t="s">
        <v>5399</v>
      </c>
      <c r="F1024" s="8">
        <v>5.388968503E9</v>
      </c>
      <c r="G1024" s="8" t="s">
        <v>31</v>
      </c>
      <c r="H1024" s="8" t="s">
        <v>111</v>
      </c>
      <c r="I1024" s="8" t="s">
        <v>127</v>
      </c>
      <c r="J1024" s="8" t="s">
        <v>128</v>
      </c>
      <c r="K1024" s="10" t="s">
        <v>5400</v>
      </c>
      <c r="L1024" s="8" t="s">
        <v>58</v>
      </c>
      <c r="M1024" s="8" t="s">
        <v>35</v>
      </c>
      <c r="N1024" s="11">
        <v>44958.0</v>
      </c>
      <c r="O1024" s="11">
        <v>45096.0</v>
      </c>
      <c r="P1024" s="11">
        <v>45138.0</v>
      </c>
      <c r="Q1024" s="11"/>
      <c r="R1024" s="11"/>
      <c r="S1024" s="12"/>
      <c r="T1024" s="8"/>
      <c r="U1024" s="8" t="s">
        <v>161</v>
      </c>
      <c r="V1024" s="13" t="s">
        <v>111</v>
      </c>
      <c r="W1024" s="13" t="s">
        <v>5401</v>
      </c>
      <c r="X1024" s="12"/>
      <c r="Y1024" s="14"/>
      <c r="Z1024" s="14"/>
    </row>
    <row r="1025">
      <c r="A1025" s="8" t="s">
        <v>5402</v>
      </c>
      <c r="B1025" s="8" t="s">
        <v>5403</v>
      </c>
      <c r="C1025" s="8" t="s">
        <v>25</v>
      </c>
      <c r="D1025" s="8" t="s">
        <v>26</v>
      </c>
      <c r="E1025" s="8" t="s">
        <v>5404</v>
      </c>
      <c r="F1025" s="8">
        <v>9.50398726E8</v>
      </c>
      <c r="G1025" s="8" t="s">
        <v>1620</v>
      </c>
      <c r="H1025" s="8" t="s">
        <v>1635</v>
      </c>
      <c r="I1025" s="8" t="s">
        <v>31</v>
      </c>
      <c r="J1025" s="8" t="s">
        <v>542</v>
      </c>
      <c r="K1025" s="10" t="s">
        <v>662</v>
      </c>
      <c r="L1025" s="8" t="s">
        <v>58</v>
      </c>
      <c r="M1025" s="8" t="s">
        <v>35</v>
      </c>
      <c r="N1025" s="11">
        <v>44958.0</v>
      </c>
      <c r="O1025" s="11">
        <v>45040.0</v>
      </c>
      <c r="P1025" s="11">
        <v>45082.0</v>
      </c>
      <c r="Q1025" s="11">
        <v>45040.0</v>
      </c>
      <c r="R1025" s="11">
        <v>45082.0</v>
      </c>
      <c r="S1025" s="12"/>
      <c r="T1025" s="8"/>
      <c r="U1025" s="8" t="s">
        <v>59</v>
      </c>
      <c r="V1025" s="13" t="s">
        <v>5405</v>
      </c>
      <c r="W1025" s="13" t="s">
        <v>5406</v>
      </c>
      <c r="X1025" s="12"/>
      <c r="Y1025" s="14"/>
      <c r="Z1025" s="14"/>
    </row>
    <row r="1026">
      <c r="A1026" s="8" t="s">
        <v>5407</v>
      </c>
      <c r="B1026" s="8" t="s">
        <v>5408</v>
      </c>
      <c r="C1026" s="8" t="s">
        <v>179</v>
      </c>
      <c r="D1026" s="8" t="s">
        <v>26</v>
      </c>
      <c r="E1026" s="8" t="s">
        <v>5409</v>
      </c>
      <c r="F1026" s="8">
        <v>5.35300158E9</v>
      </c>
      <c r="G1026" s="8" t="s">
        <v>31</v>
      </c>
      <c r="H1026" s="8" t="s">
        <v>86</v>
      </c>
      <c r="I1026" s="8" t="s">
        <v>127</v>
      </c>
      <c r="J1026" s="8" t="s">
        <v>128</v>
      </c>
      <c r="K1026" s="10" t="s">
        <v>4941</v>
      </c>
      <c r="L1026" s="8" t="s">
        <v>58</v>
      </c>
      <c r="M1026" s="8" t="s">
        <v>35</v>
      </c>
      <c r="N1026" s="11">
        <v>44958.0</v>
      </c>
      <c r="O1026" s="11">
        <v>45096.0</v>
      </c>
      <c r="P1026" s="11">
        <v>45138.0</v>
      </c>
      <c r="Q1026" s="11"/>
      <c r="R1026" s="11"/>
      <c r="S1026" s="12"/>
      <c r="T1026" s="8"/>
      <c r="U1026" s="8" t="s">
        <v>1590</v>
      </c>
      <c r="V1026" s="13" t="s">
        <v>111</v>
      </c>
      <c r="W1026" s="13" t="s">
        <v>5410</v>
      </c>
      <c r="X1026" s="12"/>
      <c r="Y1026" s="14"/>
      <c r="Z1026" s="14"/>
    </row>
    <row r="1027">
      <c r="A1027" s="8" t="s">
        <v>5411</v>
      </c>
      <c r="B1027" s="8" t="s">
        <v>5412</v>
      </c>
      <c r="C1027" s="8" t="s">
        <v>251</v>
      </c>
      <c r="D1027" s="8" t="s">
        <v>26</v>
      </c>
      <c r="E1027" s="8" t="s">
        <v>5413</v>
      </c>
      <c r="F1027" s="8">
        <v>1.094224498E9</v>
      </c>
      <c r="G1027" s="8" t="s">
        <v>284</v>
      </c>
      <c r="H1027" s="8" t="s">
        <v>793</v>
      </c>
      <c r="I1027" s="8" t="s">
        <v>31</v>
      </c>
      <c r="J1027" s="8" t="s">
        <v>136</v>
      </c>
      <c r="K1027" s="10" t="s">
        <v>5299</v>
      </c>
      <c r="L1027" s="8" t="s">
        <v>58</v>
      </c>
      <c r="M1027" s="8" t="s">
        <v>35</v>
      </c>
      <c r="N1027" s="11">
        <v>44958.0</v>
      </c>
      <c r="O1027" s="11">
        <v>45117.0</v>
      </c>
      <c r="P1027" s="11">
        <v>45159.0</v>
      </c>
      <c r="Q1027" s="11"/>
      <c r="R1027" s="11"/>
      <c r="S1027" s="12"/>
      <c r="T1027" s="8"/>
      <c r="U1027" s="8" t="s">
        <v>59</v>
      </c>
      <c r="V1027" s="13" t="s">
        <v>793</v>
      </c>
      <c r="W1027" s="13" t="s">
        <v>5414</v>
      </c>
      <c r="X1027" s="12"/>
      <c r="Y1027" s="14"/>
      <c r="Z1027" s="14"/>
    </row>
    <row r="1028">
      <c r="A1028" s="8" t="s">
        <v>5415</v>
      </c>
      <c r="B1028" s="8" t="s">
        <v>5416</v>
      </c>
      <c r="C1028" s="8" t="s">
        <v>179</v>
      </c>
      <c r="D1028" s="8" t="s">
        <v>26</v>
      </c>
      <c r="E1028" s="8" t="s">
        <v>5417</v>
      </c>
      <c r="F1028" s="8">
        <v>9.1277905E8</v>
      </c>
      <c r="G1028" s="8" t="s">
        <v>284</v>
      </c>
      <c r="H1028" s="8" t="s">
        <v>793</v>
      </c>
      <c r="I1028" s="8" t="s">
        <v>31</v>
      </c>
      <c r="J1028" s="8" t="s">
        <v>292</v>
      </c>
      <c r="K1028" s="10" t="s">
        <v>5418</v>
      </c>
      <c r="L1028" s="8" t="s">
        <v>58</v>
      </c>
      <c r="M1028" s="8" t="s">
        <v>35</v>
      </c>
      <c r="N1028" s="11">
        <v>44958.0</v>
      </c>
      <c r="O1028" s="11">
        <v>44963.0</v>
      </c>
      <c r="P1028" s="11">
        <v>45005.0</v>
      </c>
      <c r="Q1028" s="11"/>
      <c r="R1028" s="11"/>
      <c r="S1028" s="12"/>
      <c r="T1028" s="8"/>
      <c r="U1028" s="8" t="s">
        <v>88</v>
      </c>
      <c r="V1028" s="13" t="s">
        <v>793</v>
      </c>
      <c r="W1028" s="13" t="s">
        <v>5419</v>
      </c>
      <c r="X1028" s="12"/>
      <c r="Y1028" s="14"/>
      <c r="Z1028" s="14"/>
    </row>
    <row r="1029">
      <c r="A1029" s="8" t="s">
        <v>5420</v>
      </c>
      <c r="B1029" s="8" t="s">
        <v>5421</v>
      </c>
      <c r="C1029" s="8" t="s">
        <v>251</v>
      </c>
      <c r="D1029" s="8" t="s">
        <v>26</v>
      </c>
      <c r="E1029" s="8" t="s">
        <v>5422</v>
      </c>
      <c r="F1029" s="8">
        <v>5.52705418E8</v>
      </c>
      <c r="G1029" s="8" t="s">
        <v>254</v>
      </c>
      <c r="H1029" s="8" t="s">
        <v>291</v>
      </c>
      <c r="I1029" s="8" t="s">
        <v>31</v>
      </c>
      <c r="J1029" s="8" t="s">
        <v>292</v>
      </c>
      <c r="K1029" s="10" t="s">
        <v>5423</v>
      </c>
      <c r="L1029" s="8" t="s">
        <v>47</v>
      </c>
      <c r="M1029" s="8" t="s">
        <v>70</v>
      </c>
      <c r="N1029" s="11">
        <v>44958.0</v>
      </c>
      <c r="O1029" s="11">
        <v>44986.0</v>
      </c>
      <c r="P1029" s="11">
        <v>45352.0</v>
      </c>
      <c r="Q1029" s="11"/>
      <c r="R1029" s="11"/>
      <c r="S1029" s="12"/>
      <c r="T1029" s="8"/>
      <c r="U1029" s="8" t="s">
        <v>5424</v>
      </c>
      <c r="V1029" s="13" t="s">
        <v>295</v>
      </c>
      <c r="W1029" s="13" t="s">
        <v>5425</v>
      </c>
      <c r="X1029" s="12"/>
      <c r="Y1029" s="14"/>
      <c r="Z1029" s="14"/>
    </row>
    <row r="1030">
      <c r="A1030" s="8" t="s">
        <v>5426</v>
      </c>
      <c r="B1030" s="8" t="s">
        <v>5427</v>
      </c>
      <c r="C1030" s="8" t="s">
        <v>179</v>
      </c>
      <c r="D1030" s="8" t="s">
        <v>26</v>
      </c>
      <c r="E1030" s="8" t="s">
        <v>5428</v>
      </c>
      <c r="F1030" s="8">
        <v>2.5481007E7</v>
      </c>
      <c r="G1030" s="8" t="s">
        <v>54</v>
      </c>
      <c r="H1030" s="8" t="s">
        <v>369</v>
      </c>
      <c r="I1030" s="8" t="s">
        <v>31</v>
      </c>
      <c r="J1030" s="8" t="s">
        <v>136</v>
      </c>
      <c r="K1030" s="10" t="s">
        <v>137</v>
      </c>
      <c r="L1030" s="8" t="s">
        <v>58</v>
      </c>
      <c r="M1030" s="8" t="s">
        <v>35</v>
      </c>
      <c r="N1030" s="11">
        <v>44958.0</v>
      </c>
      <c r="O1030" s="11">
        <v>45124.0</v>
      </c>
      <c r="P1030" s="11">
        <v>45166.0</v>
      </c>
      <c r="Q1030" s="11"/>
      <c r="R1030" s="11"/>
      <c r="S1030" s="12"/>
      <c r="T1030" s="8"/>
      <c r="U1030" s="8" t="s">
        <v>88</v>
      </c>
      <c r="V1030" s="13" t="s">
        <v>372</v>
      </c>
      <c r="W1030" s="13" t="s">
        <v>5429</v>
      </c>
      <c r="X1030" s="12"/>
      <c r="Y1030" s="14"/>
      <c r="Z1030" s="14"/>
    </row>
    <row r="1031">
      <c r="A1031" s="8" t="s">
        <v>5430</v>
      </c>
      <c r="B1031" s="8" t="s">
        <v>5431</v>
      </c>
      <c r="C1031" s="8" t="s">
        <v>25</v>
      </c>
      <c r="D1031" s="8" t="s">
        <v>26</v>
      </c>
      <c r="E1031" s="8" t="s">
        <v>5432</v>
      </c>
      <c r="F1031" s="8"/>
      <c r="G1031" s="8" t="s">
        <v>1620</v>
      </c>
      <c r="H1031" s="8" t="s">
        <v>1635</v>
      </c>
      <c r="I1031" s="8" t="s">
        <v>31</v>
      </c>
      <c r="J1031" s="8" t="s">
        <v>542</v>
      </c>
      <c r="K1031" s="10" t="s">
        <v>662</v>
      </c>
      <c r="L1031" s="8" t="s">
        <v>58</v>
      </c>
      <c r="M1031" s="8" t="s">
        <v>35</v>
      </c>
      <c r="N1031" s="11">
        <v>44958.0</v>
      </c>
      <c r="O1031" s="11">
        <v>45138.0</v>
      </c>
      <c r="P1031" s="11">
        <v>45180.0</v>
      </c>
      <c r="Q1031" s="11">
        <v>45138.0</v>
      </c>
      <c r="R1031" s="11">
        <v>45180.0</v>
      </c>
      <c r="S1031" s="12"/>
      <c r="T1031" s="8"/>
      <c r="U1031" s="8" t="s">
        <v>59</v>
      </c>
      <c r="V1031" s="13" t="s">
        <v>38</v>
      </c>
      <c r="W1031" s="13" t="s">
        <v>5433</v>
      </c>
      <c r="X1031" s="12"/>
      <c r="Y1031" s="14"/>
      <c r="Z1031" s="14"/>
    </row>
    <row r="1032">
      <c r="A1032" s="8" t="s">
        <v>5434</v>
      </c>
      <c r="B1032" s="8" t="s">
        <v>5435</v>
      </c>
      <c r="C1032" s="8" t="s">
        <v>25</v>
      </c>
      <c r="D1032" s="8" t="s">
        <v>26</v>
      </c>
      <c r="E1032" s="8" t="s">
        <v>5436</v>
      </c>
      <c r="F1032" s="8">
        <v>5.413065298E9</v>
      </c>
      <c r="G1032" s="8" t="s">
        <v>31</v>
      </c>
      <c r="H1032" s="8" t="s">
        <v>102</v>
      </c>
      <c r="I1032" s="8" t="s">
        <v>399</v>
      </c>
      <c r="J1032" s="8" t="s">
        <v>415</v>
      </c>
      <c r="K1032" s="10" t="s">
        <v>1199</v>
      </c>
      <c r="L1032" s="8" t="s">
        <v>58</v>
      </c>
      <c r="M1032" s="8" t="s">
        <v>35</v>
      </c>
      <c r="N1032" s="11">
        <v>44958.0</v>
      </c>
      <c r="O1032" s="11">
        <v>44975.0</v>
      </c>
      <c r="P1032" s="11">
        <v>45017.0</v>
      </c>
      <c r="Q1032" s="11">
        <v>44977.0</v>
      </c>
      <c r="R1032" s="11">
        <v>45017.0</v>
      </c>
      <c r="S1032" s="12"/>
      <c r="T1032" s="8"/>
      <c r="U1032" s="8" t="s">
        <v>1038</v>
      </c>
      <c r="V1032" s="13" t="s">
        <v>102</v>
      </c>
      <c r="W1032" s="13" t="s">
        <v>5437</v>
      </c>
      <c r="X1032" s="12"/>
      <c r="Y1032" s="14"/>
      <c r="Z1032" s="14"/>
    </row>
    <row r="1033">
      <c r="A1033" s="8" t="s">
        <v>5438</v>
      </c>
      <c r="B1033" s="8" t="s">
        <v>5439</v>
      </c>
      <c r="C1033" s="8" t="s">
        <v>25</v>
      </c>
      <c r="D1033" s="8" t="s">
        <v>26</v>
      </c>
      <c r="E1033" s="8" t="s">
        <v>5440</v>
      </c>
      <c r="F1033" s="8"/>
      <c r="G1033" s="8" t="s">
        <v>54</v>
      </c>
      <c r="H1033" s="8" t="s">
        <v>244</v>
      </c>
      <c r="I1033" s="8" t="s">
        <v>31</v>
      </c>
      <c r="J1033" s="8" t="s">
        <v>77</v>
      </c>
      <c r="K1033" s="10" t="s">
        <v>3945</v>
      </c>
      <c r="L1033" s="8" t="s">
        <v>58</v>
      </c>
      <c r="M1033" s="8" t="s">
        <v>35</v>
      </c>
      <c r="N1033" s="11">
        <v>44959.0</v>
      </c>
      <c r="O1033" s="11">
        <v>45033.0</v>
      </c>
      <c r="P1033" s="11">
        <v>45075.0</v>
      </c>
      <c r="Q1033" s="11">
        <v>45035.0</v>
      </c>
      <c r="R1033" s="11">
        <v>45075.0</v>
      </c>
      <c r="S1033" s="12"/>
      <c r="T1033" s="8"/>
      <c r="U1033" s="8" t="s">
        <v>59</v>
      </c>
      <c r="V1033" s="13" t="s">
        <v>38</v>
      </c>
      <c r="W1033" s="13" t="s">
        <v>5441</v>
      </c>
      <c r="X1033" s="12"/>
      <c r="Y1033" s="14"/>
      <c r="Z1033" s="14"/>
    </row>
    <row r="1034">
      <c r="A1034" s="8" t="s">
        <v>5442</v>
      </c>
      <c r="B1034" s="8" t="s">
        <v>2588</v>
      </c>
      <c r="C1034" s="8" t="s">
        <v>708</v>
      </c>
      <c r="D1034" s="8" t="s">
        <v>26</v>
      </c>
      <c r="E1034" s="8" t="s">
        <v>2589</v>
      </c>
      <c r="F1034" s="8">
        <v>6.34450127E8</v>
      </c>
      <c r="G1034" s="8" t="s">
        <v>84</v>
      </c>
      <c r="H1034" s="8" t="s">
        <v>1234</v>
      </c>
      <c r="I1034" s="8" t="s">
        <v>31</v>
      </c>
      <c r="J1034" s="8" t="s">
        <v>256</v>
      </c>
      <c r="K1034" s="10" t="s">
        <v>5443</v>
      </c>
      <c r="L1034" s="8" t="s">
        <v>34</v>
      </c>
      <c r="M1034" s="8" t="s">
        <v>70</v>
      </c>
      <c r="N1034" s="11">
        <v>44959.0</v>
      </c>
      <c r="O1034" s="11">
        <v>44986.0</v>
      </c>
      <c r="P1034" s="11">
        <v>45352.0</v>
      </c>
      <c r="Q1034" s="11">
        <v>44987.0</v>
      </c>
      <c r="R1034" s="11">
        <v>45352.0</v>
      </c>
      <c r="S1034" s="12"/>
      <c r="T1034" s="8" t="s">
        <v>205</v>
      </c>
      <c r="U1034" s="8" t="s">
        <v>205</v>
      </c>
      <c r="V1034" s="13" t="s">
        <v>2592</v>
      </c>
      <c r="W1034" s="13" t="s">
        <v>2593</v>
      </c>
      <c r="X1034" s="12"/>
      <c r="Y1034" s="14"/>
      <c r="Z1034" s="14"/>
    </row>
    <row r="1035">
      <c r="A1035" s="8" t="s">
        <v>5444</v>
      </c>
      <c r="B1035" s="8" t="s">
        <v>3922</v>
      </c>
      <c r="C1035" s="8" t="s">
        <v>25</v>
      </c>
      <c r="D1035" s="8" t="s">
        <v>26</v>
      </c>
      <c r="E1035" s="8" t="s">
        <v>3923</v>
      </c>
      <c r="F1035" s="8">
        <v>8.295055607E9</v>
      </c>
      <c r="G1035" s="8" t="s">
        <v>44</v>
      </c>
      <c r="H1035" s="8" t="s">
        <v>3924</v>
      </c>
      <c r="I1035" s="8" t="s">
        <v>31</v>
      </c>
      <c r="J1035" s="8" t="s">
        <v>167</v>
      </c>
      <c r="K1035" s="10" t="s">
        <v>4008</v>
      </c>
      <c r="L1035" s="8" t="s">
        <v>58</v>
      </c>
      <c r="M1035" s="8" t="s">
        <v>35</v>
      </c>
      <c r="N1035" s="11">
        <v>44959.0</v>
      </c>
      <c r="O1035" s="11">
        <v>44977.0</v>
      </c>
      <c r="P1035" s="11">
        <v>45019.0</v>
      </c>
      <c r="Q1035" s="11">
        <v>44976.0</v>
      </c>
      <c r="R1035" s="11">
        <v>45019.0</v>
      </c>
      <c r="S1035" s="12"/>
      <c r="T1035" s="8"/>
      <c r="U1035" s="8" t="s">
        <v>59</v>
      </c>
      <c r="V1035" s="13" t="s">
        <v>3924</v>
      </c>
      <c r="W1035" s="13" t="s">
        <v>3925</v>
      </c>
      <c r="X1035" s="12"/>
      <c r="Y1035" s="14"/>
      <c r="Z1035" s="14"/>
    </row>
    <row r="1036">
      <c r="A1036" s="8" t="s">
        <v>5445</v>
      </c>
      <c r="B1036" s="8" t="s">
        <v>5446</v>
      </c>
      <c r="C1036" s="8" t="s">
        <v>251</v>
      </c>
      <c r="D1036" s="8" t="s">
        <v>26</v>
      </c>
      <c r="E1036" s="8" t="s">
        <v>5447</v>
      </c>
      <c r="F1036" s="8">
        <v>6.442461194E9</v>
      </c>
      <c r="G1036" s="8" t="s">
        <v>466</v>
      </c>
      <c r="H1036" s="8" t="s">
        <v>5448</v>
      </c>
      <c r="I1036" s="8" t="s">
        <v>31</v>
      </c>
      <c r="J1036" s="8" t="s">
        <v>86</v>
      </c>
      <c r="K1036" s="10" t="s">
        <v>5449</v>
      </c>
      <c r="L1036" s="8" t="s">
        <v>34</v>
      </c>
      <c r="M1036" s="8" t="s">
        <v>70</v>
      </c>
      <c r="N1036" s="11">
        <v>44959.0</v>
      </c>
      <c r="O1036" s="11">
        <v>44984.0</v>
      </c>
      <c r="P1036" s="11">
        <v>45527.0</v>
      </c>
      <c r="Q1036" s="11"/>
      <c r="R1036" s="11"/>
      <c r="S1036" s="12"/>
      <c r="T1036" s="8" t="s">
        <v>36</v>
      </c>
      <c r="U1036" s="8" t="s">
        <v>5450</v>
      </c>
      <c r="V1036" s="13" t="s">
        <v>5451</v>
      </c>
      <c r="W1036" s="13" t="s">
        <v>5452</v>
      </c>
      <c r="X1036" s="12"/>
      <c r="Y1036" s="14"/>
      <c r="Z1036" s="14"/>
    </row>
    <row r="1037">
      <c r="A1037" s="8" t="s">
        <v>5453</v>
      </c>
      <c r="B1037" s="8" t="s">
        <v>5454</v>
      </c>
      <c r="C1037" s="8" t="s">
        <v>179</v>
      </c>
      <c r="D1037" s="8" t="s">
        <v>26</v>
      </c>
      <c r="E1037" s="8" t="s">
        <v>5455</v>
      </c>
      <c r="F1037" s="8">
        <v>5.428211E7</v>
      </c>
      <c r="G1037" s="8" t="s">
        <v>54</v>
      </c>
      <c r="H1037" s="8" t="s">
        <v>244</v>
      </c>
      <c r="I1037" s="8" t="s">
        <v>31</v>
      </c>
      <c r="J1037" s="8" t="s">
        <v>256</v>
      </c>
      <c r="K1037" s="10" t="s">
        <v>5456</v>
      </c>
      <c r="L1037" s="8" t="s">
        <v>34</v>
      </c>
      <c r="M1037" s="8" t="s">
        <v>70</v>
      </c>
      <c r="N1037" s="11">
        <v>44960.0</v>
      </c>
      <c r="O1037" s="11">
        <v>44972.0</v>
      </c>
      <c r="P1037" s="11">
        <v>45337.0</v>
      </c>
      <c r="Q1037" s="11"/>
      <c r="R1037" s="11"/>
      <c r="S1037" s="12"/>
      <c r="T1037" s="8" t="s">
        <v>205</v>
      </c>
      <c r="U1037" s="8" t="s">
        <v>2591</v>
      </c>
      <c r="V1037" s="13" t="s">
        <v>5457</v>
      </c>
      <c r="W1037" s="13" t="s">
        <v>5458</v>
      </c>
      <c r="X1037" s="12"/>
      <c r="Y1037" s="14"/>
      <c r="Z1037" s="14"/>
    </row>
    <row r="1038">
      <c r="A1038" s="8" t="s">
        <v>5459</v>
      </c>
      <c r="B1038" s="8" t="s">
        <v>5460</v>
      </c>
      <c r="C1038" s="8" t="s">
        <v>251</v>
      </c>
      <c r="D1038" s="8" t="s">
        <v>26</v>
      </c>
      <c r="E1038" s="8" t="s">
        <v>5461</v>
      </c>
      <c r="F1038" s="8">
        <v>5.300881891E9</v>
      </c>
      <c r="G1038" s="8" t="s">
        <v>31</v>
      </c>
      <c r="H1038" s="8" t="s">
        <v>292</v>
      </c>
      <c r="I1038" s="8" t="s">
        <v>143</v>
      </c>
      <c r="J1038" s="8" t="s">
        <v>1478</v>
      </c>
      <c r="K1038" s="10" t="s">
        <v>5462</v>
      </c>
      <c r="L1038" s="8" t="s">
        <v>34</v>
      </c>
      <c r="M1038" s="8" t="s">
        <v>35</v>
      </c>
      <c r="N1038" s="11">
        <v>44960.0</v>
      </c>
      <c r="O1038" s="11">
        <v>45161.0</v>
      </c>
      <c r="P1038" s="11">
        <v>45217.0</v>
      </c>
      <c r="Q1038" s="11"/>
      <c r="R1038" s="11"/>
      <c r="S1038" s="12"/>
      <c r="T1038" s="8" t="s">
        <v>205</v>
      </c>
      <c r="U1038" s="8" t="s">
        <v>5463</v>
      </c>
      <c r="V1038" s="13" t="s">
        <v>292</v>
      </c>
      <c r="W1038" s="13" t="s">
        <v>5464</v>
      </c>
      <c r="X1038" s="12"/>
      <c r="Y1038" s="14"/>
      <c r="Z1038" s="14"/>
    </row>
    <row r="1039">
      <c r="A1039" s="8" t="s">
        <v>5465</v>
      </c>
      <c r="B1039" s="8" t="s">
        <v>5466</v>
      </c>
      <c r="C1039" s="8" t="s">
        <v>25</v>
      </c>
      <c r="D1039" s="8" t="s">
        <v>26</v>
      </c>
      <c r="E1039" s="8" t="s">
        <v>5467</v>
      </c>
      <c r="F1039" s="8"/>
      <c r="G1039" s="8" t="s">
        <v>31</v>
      </c>
      <c r="H1039" s="8" t="s">
        <v>77</v>
      </c>
      <c r="I1039" s="8" t="s">
        <v>127</v>
      </c>
      <c r="J1039" s="8" t="s">
        <v>3542</v>
      </c>
      <c r="K1039" s="10" t="s">
        <v>5468</v>
      </c>
      <c r="L1039" s="8" t="s">
        <v>58</v>
      </c>
      <c r="M1039" s="8" t="s">
        <v>35</v>
      </c>
      <c r="N1039" s="11">
        <v>44960.0</v>
      </c>
      <c r="O1039" s="11">
        <v>45102.0</v>
      </c>
      <c r="P1039" s="11">
        <v>45144.0</v>
      </c>
      <c r="Q1039" s="11">
        <v>45103.0</v>
      </c>
      <c r="R1039" s="11">
        <v>45145.0</v>
      </c>
      <c r="S1039" s="12"/>
      <c r="T1039" s="8"/>
      <c r="U1039" s="8" t="s">
        <v>59</v>
      </c>
      <c r="V1039" s="13" t="s">
        <v>38</v>
      </c>
      <c r="W1039" s="13" t="s">
        <v>5469</v>
      </c>
      <c r="X1039" s="12"/>
      <c r="Y1039" s="14"/>
      <c r="Z1039" s="14"/>
    </row>
    <row r="1040">
      <c r="A1040" s="8" t="s">
        <v>5470</v>
      </c>
      <c r="B1040" s="8" t="s">
        <v>5471</v>
      </c>
      <c r="C1040" s="8" t="s">
        <v>708</v>
      </c>
      <c r="D1040" s="8" t="s">
        <v>26</v>
      </c>
      <c r="E1040" s="8" t="s">
        <v>5472</v>
      </c>
      <c r="F1040" s="8"/>
      <c r="G1040" s="8" t="s">
        <v>284</v>
      </c>
      <c r="H1040" s="8" t="s">
        <v>854</v>
      </c>
      <c r="I1040" s="8" t="s">
        <v>31</v>
      </c>
      <c r="J1040" s="8" t="s">
        <v>542</v>
      </c>
      <c r="K1040" s="10" t="s">
        <v>5473</v>
      </c>
      <c r="L1040" s="8" t="s">
        <v>47</v>
      </c>
      <c r="M1040" s="8" t="s">
        <v>70</v>
      </c>
      <c r="N1040" s="11">
        <v>44960.0</v>
      </c>
      <c r="O1040" s="11">
        <v>44977.0</v>
      </c>
      <c r="P1040" s="11">
        <v>45166.0</v>
      </c>
      <c r="Q1040" s="11">
        <v>44994.0</v>
      </c>
      <c r="R1040" s="11">
        <v>45358.0</v>
      </c>
      <c r="S1040" s="12"/>
      <c r="T1040" s="8" t="s">
        <v>121</v>
      </c>
      <c r="U1040" s="8" t="s">
        <v>5474</v>
      </c>
      <c r="V1040" s="13" t="s">
        <v>38</v>
      </c>
      <c r="W1040" s="13" t="s">
        <v>5475</v>
      </c>
      <c r="X1040" s="12"/>
      <c r="Y1040" s="14"/>
      <c r="Z1040" s="14"/>
    </row>
    <row r="1041">
      <c r="A1041" s="8" t="s">
        <v>5476</v>
      </c>
      <c r="B1041" s="8" t="s">
        <v>5477</v>
      </c>
      <c r="C1041" s="8" t="s">
        <v>64</v>
      </c>
      <c r="D1041" s="8" t="s">
        <v>26</v>
      </c>
      <c r="E1041" s="8" t="s">
        <v>5478</v>
      </c>
      <c r="F1041" s="8">
        <v>2.8773126E7</v>
      </c>
      <c r="G1041" s="8" t="s">
        <v>54</v>
      </c>
      <c r="H1041" s="8" t="s">
        <v>1640</v>
      </c>
      <c r="I1041" s="8" t="s">
        <v>31</v>
      </c>
      <c r="J1041" s="8" t="s">
        <v>86</v>
      </c>
      <c r="K1041" s="10" t="s">
        <v>578</v>
      </c>
      <c r="L1041" s="8" t="s">
        <v>58</v>
      </c>
      <c r="M1041" s="8" t="s">
        <v>35</v>
      </c>
      <c r="N1041" s="11">
        <v>44960.0</v>
      </c>
      <c r="O1041" s="11">
        <v>45123.0</v>
      </c>
      <c r="P1041" s="11">
        <v>45165.0</v>
      </c>
      <c r="Q1041" s="11">
        <v>45121.0</v>
      </c>
      <c r="R1041" s="11">
        <v>45165.0</v>
      </c>
      <c r="S1041" s="12"/>
      <c r="T1041" s="8"/>
      <c r="U1041" s="8" t="s">
        <v>59</v>
      </c>
      <c r="V1041" s="13" t="s">
        <v>5061</v>
      </c>
      <c r="W1041" s="13" t="s">
        <v>5479</v>
      </c>
      <c r="X1041" s="12"/>
      <c r="Y1041" s="14"/>
      <c r="Z1041" s="14"/>
    </row>
    <row r="1042">
      <c r="A1042" s="8" t="s">
        <v>5480</v>
      </c>
      <c r="B1042" s="8" t="s">
        <v>5481</v>
      </c>
      <c r="C1042" s="8" t="s">
        <v>25</v>
      </c>
      <c r="D1042" s="8" t="s">
        <v>26</v>
      </c>
      <c r="E1042" s="8" t="s">
        <v>5482</v>
      </c>
      <c r="F1042" s="8"/>
      <c r="G1042" s="8" t="s">
        <v>254</v>
      </c>
      <c r="H1042" s="8" t="s">
        <v>422</v>
      </c>
      <c r="I1042" s="8" t="s">
        <v>31</v>
      </c>
      <c r="J1042" s="8" t="s">
        <v>86</v>
      </c>
      <c r="K1042" s="10" t="s">
        <v>5483</v>
      </c>
      <c r="L1042" s="8" t="s">
        <v>58</v>
      </c>
      <c r="M1042" s="8" t="s">
        <v>35</v>
      </c>
      <c r="N1042" s="11">
        <v>44960.0</v>
      </c>
      <c r="O1042" s="11">
        <v>45012.0</v>
      </c>
      <c r="P1042" s="11">
        <v>45054.0</v>
      </c>
      <c r="Q1042" s="11">
        <v>45012.0</v>
      </c>
      <c r="R1042" s="11">
        <v>45054.0</v>
      </c>
      <c r="S1042" s="12"/>
      <c r="T1042" s="8"/>
      <c r="U1042" s="8" t="s">
        <v>59</v>
      </c>
      <c r="V1042" s="13" t="s">
        <v>38</v>
      </c>
      <c r="W1042" s="13" t="s">
        <v>5484</v>
      </c>
      <c r="X1042" s="12"/>
      <c r="Y1042" s="14"/>
      <c r="Z1042" s="14"/>
    </row>
    <row r="1043">
      <c r="A1043" s="8" t="s">
        <v>5485</v>
      </c>
      <c r="B1043" s="8" t="s">
        <v>5486</v>
      </c>
      <c r="C1043" s="8" t="s">
        <v>64</v>
      </c>
      <c r="D1043" s="8" t="s">
        <v>26</v>
      </c>
      <c r="E1043" s="8" t="s">
        <v>5487</v>
      </c>
      <c r="F1043" s="8"/>
      <c r="G1043" s="8" t="s">
        <v>54</v>
      </c>
      <c r="H1043" s="8" t="s">
        <v>1640</v>
      </c>
      <c r="I1043" s="8" t="s">
        <v>31</v>
      </c>
      <c r="J1043" s="8" t="s">
        <v>86</v>
      </c>
      <c r="K1043" s="10" t="s">
        <v>578</v>
      </c>
      <c r="L1043" s="8" t="s">
        <v>58</v>
      </c>
      <c r="M1043" s="8" t="s">
        <v>35</v>
      </c>
      <c r="N1043" s="11">
        <v>44960.0</v>
      </c>
      <c r="O1043" s="11">
        <v>45123.0</v>
      </c>
      <c r="P1043" s="11">
        <v>45165.0</v>
      </c>
      <c r="Q1043" s="11">
        <v>45123.0</v>
      </c>
      <c r="R1043" s="11">
        <v>45165.0</v>
      </c>
      <c r="S1043" s="12"/>
      <c r="T1043" s="8"/>
      <c r="U1043" s="8" t="s">
        <v>59</v>
      </c>
      <c r="V1043" s="13" t="s">
        <v>5061</v>
      </c>
      <c r="W1043" s="13" t="s">
        <v>5488</v>
      </c>
      <c r="X1043" s="12"/>
      <c r="Y1043" s="14"/>
      <c r="Z1043" s="14"/>
    </row>
    <row r="1044">
      <c r="A1044" s="8" t="s">
        <v>5489</v>
      </c>
      <c r="B1044" s="8" t="s">
        <v>5490</v>
      </c>
      <c r="C1044" s="8" t="s">
        <v>179</v>
      </c>
      <c r="D1044" s="8" t="s">
        <v>26</v>
      </c>
      <c r="E1044" s="8" t="s">
        <v>5491</v>
      </c>
      <c r="F1044" s="8">
        <v>5.454621891E9</v>
      </c>
      <c r="G1044" s="8" t="s">
        <v>31</v>
      </c>
      <c r="H1044" s="8" t="s">
        <v>542</v>
      </c>
      <c r="I1044" s="8" t="s">
        <v>284</v>
      </c>
      <c r="J1044" s="8" t="s">
        <v>5202</v>
      </c>
      <c r="K1044" s="10" t="s">
        <v>5492</v>
      </c>
      <c r="L1044" s="8" t="s">
        <v>58</v>
      </c>
      <c r="M1044" s="8" t="s">
        <v>35</v>
      </c>
      <c r="N1044" s="11">
        <v>44960.0</v>
      </c>
      <c r="O1044" s="11">
        <v>45108.0</v>
      </c>
      <c r="P1044" s="11">
        <v>45152.0</v>
      </c>
      <c r="Q1044" s="11"/>
      <c r="R1044" s="11"/>
      <c r="S1044" s="12"/>
      <c r="T1044" s="8"/>
      <c r="U1044" s="8" t="s">
        <v>1590</v>
      </c>
      <c r="V1044" s="13" t="s">
        <v>545</v>
      </c>
      <c r="W1044" s="13" t="s">
        <v>5493</v>
      </c>
      <c r="X1044" s="12"/>
      <c r="Y1044" s="14"/>
      <c r="Z1044" s="14"/>
    </row>
    <row r="1045">
      <c r="A1045" s="8" t="s">
        <v>5494</v>
      </c>
      <c r="B1045" s="8" t="s">
        <v>5495</v>
      </c>
      <c r="C1045" s="8" t="s">
        <v>708</v>
      </c>
      <c r="D1045" s="8" t="s">
        <v>26</v>
      </c>
      <c r="E1045" s="8" t="s">
        <v>5496</v>
      </c>
      <c r="F1045" s="8" t="s">
        <v>5497</v>
      </c>
      <c r="G1045" s="8" t="s">
        <v>254</v>
      </c>
      <c r="H1045" s="8" t="s">
        <v>255</v>
      </c>
      <c r="I1045" s="8" t="s">
        <v>31</v>
      </c>
      <c r="J1045" s="8" t="s">
        <v>86</v>
      </c>
      <c r="K1045" s="10" t="s">
        <v>2404</v>
      </c>
      <c r="L1045" s="8" t="s">
        <v>34</v>
      </c>
      <c r="M1045" s="8" t="s">
        <v>70</v>
      </c>
      <c r="N1045" s="11">
        <v>44960.0</v>
      </c>
      <c r="O1045" s="11">
        <v>44977.0</v>
      </c>
      <c r="P1045" s="11">
        <v>45520.0</v>
      </c>
      <c r="Q1045" s="11">
        <v>45005.0</v>
      </c>
      <c r="R1045" s="11">
        <v>45548.0</v>
      </c>
      <c r="S1045" s="12"/>
      <c r="T1045" s="8" t="s">
        <v>36</v>
      </c>
      <c r="U1045" s="8" t="s">
        <v>2405</v>
      </c>
      <c r="V1045" s="13" t="s">
        <v>258</v>
      </c>
      <c r="W1045" s="13" t="s">
        <v>5498</v>
      </c>
      <c r="X1045" s="12"/>
      <c r="Y1045" s="14"/>
      <c r="Z1045" s="14"/>
    </row>
    <row r="1046">
      <c r="A1046" s="8" t="s">
        <v>5499</v>
      </c>
      <c r="B1046" s="8" t="s">
        <v>5500</v>
      </c>
      <c r="C1046" s="8" t="s">
        <v>708</v>
      </c>
      <c r="D1046" s="8" t="s">
        <v>26</v>
      </c>
      <c r="E1046" s="8" t="s">
        <v>5501</v>
      </c>
      <c r="F1046" s="8">
        <v>6.21483316E8</v>
      </c>
      <c r="G1046" s="8" t="s">
        <v>84</v>
      </c>
      <c r="H1046" s="8" t="s">
        <v>85</v>
      </c>
      <c r="I1046" s="8" t="s">
        <v>31</v>
      </c>
      <c r="J1046" s="8" t="s">
        <v>167</v>
      </c>
      <c r="K1046" s="10" t="s">
        <v>1172</v>
      </c>
      <c r="L1046" s="8" t="s">
        <v>34</v>
      </c>
      <c r="M1046" s="8" t="s">
        <v>70</v>
      </c>
      <c r="N1046" s="11">
        <v>44960.0</v>
      </c>
      <c r="O1046" s="11">
        <v>44958.0</v>
      </c>
      <c r="P1046" s="11">
        <v>45323.0</v>
      </c>
      <c r="Q1046" s="11">
        <v>44999.0</v>
      </c>
      <c r="R1046" s="11">
        <v>45364.0</v>
      </c>
      <c r="S1046" s="12"/>
      <c r="T1046" s="8" t="s">
        <v>205</v>
      </c>
      <c r="U1046" s="8" t="s">
        <v>1173</v>
      </c>
      <c r="V1046" s="13" t="s">
        <v>5502</v>
      </c>
      <c r="W1046" s="13" t="s">
        <v>5503</v>
      </c>
      <c r="X1046" s="12"/>
      <c r="Y1046" s="14"/>
      <c r="Z1046" s="14"/>
    </row>
    <row r="1047">
      <c r="A1047" s="8" t="s">
        <v>5504</v>
      </c>
      <c r="B1047" s="8" t="s">
        <v>5505</v>
      </c>
      <c r="C1047" s="8" t="s">
        <v>25</v>
      </c>
      <c r="D1047" s="8" t="s">
        <v>26</v>
      </c>
      <c r="E1047" s="8" t="s">
        <v>5506</v>
      </c>
      <c r="F1047" s="8">
        <v>5.348491143E9</v>
      </c>
      <c r="G1047" s="8" t="s">
        <v>31</v>
      </c>
      <c r="H1047" s="8" t="s">
        <v>111</v>
      </c>
      <c r="I1047" s="8" t="s">
        <v>127</v>
      </c>
      <c r="J1047" s="8" t="s">
        <v>128</v>
      </c>
      <c r="K1047" s="10" t="s">
        <v>5507</v>
      </c>
      <c r="L1047" s="8" t="s">
        <v>58</v>
      </c>
      <c r="M1047" s="8" t="s">
        <v>35</v>
      </c>
      <c r="N1047" s="11">
        <v>44960.0</v>
      </c>
      <c r="O1047" s="11">
        <v>45096.0</v>
      </c>
      <c r="P1047" s="11">
        <v>45138.0</v>
      </c>
      <c r="Q1047" s="11">
        <v>45095.0</v>
      </c>
      <c r="R1047" s="11">
        <v>45138.0</v>
      </c>
      <c r="S1047" s="12"/>
      <c r="T1047" s="8"/>
      <c r="U1047" s="8" t="s">
        <v>161</v>
      </c>
      <c r="V1047" s="13" t="s">
        <v>175</v>
      </c>
      <c r="W1047" s="13" t="s">
        <v>5508</v>
      </c>
      <c r="X1047" s="12"/>
      <c r="Y1047" s="14"/>
      <c r="Z1047" s="14"/>
    </row>
    <row r="1048">
      <c r="A1048" s="8" t="s">
        <v>5509</v>
      </c>
      <c r="B1048" s="8" t="s">
        <v>5510</v>
      </c>
      <c r="C1048" s="8" t="s">
        <v>179</v>
      </c>
      <c r="D1048" s="8" t="s">
        <v>26</v>
      </c>
      <c r="E1048" s="8" t="s">
        <v>5511</v>
      </c>
      <c r="F1048" s="8">
        <v>1.01211016E9</v>
      </c>
      <c r="G1048" s="8" t="s">
        <v>284</v>
      </c>
      <c r="H1048" s="8" t="s">
        <v>854</v>
      </c>
      <c r="I1048" s="8" t="s">
        <v>31</v>
      </c>
      <c r="J1048" s="8" t="s">
        <v>43</v>
      </c>
      <c r="K1048" s="10" t="s">
        <v>5289</v>
      </c>
      <c r="L1048" s="8" t="s">
        <v>58</v>
      </c>
      <c r="M1048" s="8" t="s">
        <v>35</v>
      </c>
      <c r="N1048" s="11">
        <v>44960.0</v>
      </c>
      <c r="O1048" s="11">
        <v>45036.0</v>
      </c>
      <c r="P1048" s="11">
        <v>45079.0</v>
      </c>
      <c r="Q1048" s="11"/>
      <c r="R1048" s="11"/>
      <c r="S1048" s="12"/>
      <c r="T1048" s="8"/>
      <c r="U1048" s="8" t="s">
        <v>59</v>
      </c>
      <c r="V1048" s="13" t="s">
        <v>856</v>
      </c>
      <c r="W1048" s="13" t="s">
        <v>5512</v>
      </c>
      <c r="X1048" s="12"/>
      <c r="Y1048" s="14"/>
      <c r="Z1048" s="14"/>
    </row>
    <row r="1049">
      <c r="A1049" s="8" t="s">
        <v>5513</v>
      </c>
      <c r="B1049" s="8" t="s">
        <v>5514</v>
      </c>
      <c r="C1049" s="8" t="s">
        <v>179</v>
      </c>
      <c r="D1049" s="8" t="s">
        <v>26</v>
      </c>
      <c r="E1049" s="8" t="s">
        <v>5515</v>
      </c>
      <c r="F1049" s="9" t="s">
        <v>5516</v>
      </c>
      <c r="G1049" s="8" t="s">
        <v>31</v>
      </c>
      <c r="H1049" s="8" t="s">
        <v>292</v>
      </c>
      <c r="I1049" s="8" t="s">
        <v>399</v>
      </c>
      <c r="J1049" s="8" t="s">
        <v>400</v>
      </c>
      <c r="K1049" s="10" t="s">
        <v>401</v>
      </c>
      <c r="L1049" s="8" t="s">
        <v>58</v>
      </c>
      <c r="M1049" s="8" t="s">
        <v>35</v>
      </c>
      <c r="N1049" s="11">
        <v>44960.0</v>
      </c>
      <c r="O1049" s="11">
        <v>45118.0</v>
      </c>
      <c r="P1049" s="11">
        <v>45160.0</v>
      </c>
      <c r="Q1049" s="11"/>
      <c r="R1049" s="11"/>
      <c r="S1049" s="12"/>
      <c r="T1049" s="8"/>
      <c r="U1049" s="8" t="s">
        <v>402</v>
      </c>
      <c r="V1049" s="13" t="s">
        <v>3027</v>
      </c>
      <c r="W1049" s="13" t="s">
        <v>5517</v>
      </c>
      <c r="X1049" s="12"/>
      <c r="Y1049" s="14"/>
      <c r="Z1049" s="14"/>
    </row>
    <row r="1050">
      <c r="A1050" s="8" t="s">
        <v>5518</v>
      </c>
      <c r="B1050" s="8" t="s">
        <v>5519</v>
      </c>
      <c r="C1050" s="8" t="s">
        <v>25</v>
      </c>
      <c r="D1050" s="8" t="s">
        <v>26</v>
      </c>
      <c r="E1050" s="8" t="s">
        <v>5520</v>
      </c>
      <c r="F1050" s="8">
        <v>5.531123029E9</v>
      </c>
      <c r="G1050" s="8" t="s">
        <v>31</v>
      </c>
      <c r="H1050" s="8" t="s">
        <v>1274</v>
      </c>
      <c r="I1050" s="8" t="s">
        <v>284</v>
      </c>
      <c r="J1050" s="8" t="s">
        <v>589</v>
      </c>
      <c r="K1050" s="10" t="s">
        <v>5521</v>
      </c>
      <c r="L1050" s="8" t="s">
        <v>58</v>
      </c>
      <c r="M1050" s="8" t="s">
        <v>35</v>
      </c>
      <c r="N1050" s="11">
        <v>44961.0</v>
      </c>
      <c r="O1050" s="11">
        <v>45104.0</v>
      </c>
      <c r="P1050" s="11">
        <v>45146.0</v>
      </c>
      <c r="Q1050" s="11">
        <v>45106.0</v>
      </c>
      <c r="R1050" s="11">
        <v>45146.0</v>
      </c>
      <c r="S1050" s="12"/>
      <c r="T1050" s="8"/>
      <c r="U1050" s="8" t="s">
        <v>632</v>
      </c>
      <c r="V1050" s="13" t="s">
        <v>1274</v>
      </c>
      <c r="W1050" s="13" t="s">
        <v>5522</v>
      </c>
      <c r="X1050" s="12"/>
      <c r="Y1050" s="14"/>
      <c r="Z1050" s="14"/>
    </row>
    <row r="1051">
      <c r="A1051" s="8" t="s">
        <v>5523</v>
      </c>
      <c r="B1051" s="8" t="s">
        <v>799</v>
      </c>
      <c r="C1051" s="8" t="s">
        <v>179</v>
      </c>
      <c r="D1051" s="8" t="s">
        <v>26</v>
      </c>
      <c r="E1051" s="8" t="s">
        <v>5524</v>
      </c>
      <c r="F1051" s="8">
        <v>5.536307299E9</v>
      </c>
      <c r="G1051" s="8" t="s">
        <v>31</v>
      </c>
      <c r="H1051" s="8" t="s">
        <v>220</v>
      </c>
      <c r="I1051" s="8" t="s">
        <v>44</v>
      </c>
      <c r="J1051" s="8" t="s">
        <v>741</v>
      </c>
      <c r="K1051" s="10" t="s">
        <v>5525</v>
      </c>
      <c r="L1051" s="8" t="s">
        <v>58</v>
      </c>
      <c r="M1051" s="8" t="s">
        <v>35</v>
      </c>
      <c r="N1051" s="11">
        <v>44961.0</v>
      </c>
      <c r="O1051" s="11">
        <v>44986.0</v>
      </c>
      <c r="P1051" s="11">
        <v>45030.0</v>
      </c>
      <c r="Q1051" s="11"/>
      <c r="R1051" s="11"/>
      <c r="S1051" s="12"/>
      <c r="T1051" s="8"/>
      <c r="U1051" s="8" t="s">
        <v>88</v>
      </c>
      <c r="V1051" s="13" t="s">
        <v>220</v>
      </c>
      <c r="W1051" s="13" t="s">
        <v>5526</v>
      </c>
      <c r="X1051" s="12"/>
      <c r="Y1051" s="14"/>
      <c r="Z1051" s="14"/>
    </row>
    <row r="1052">
      <c r="A1052" s="8" t="s">
        <v>5527</v>
      </c>
      <c r="B1052" s="8" t="s">
        <v>5528</v>
      </c>
      <c r="C1052" s="8" t="s">
        <v>64</v>
      </c>
      <c r="D1052" s="8" t="s">
        <v>26</v>
      </c>
      <c r="E1052" s="8" t="s">
        <v>5529</v>
      </c>
      <c r="F1052" s="9" t="s">
        <v>5530</v>
      </c>
      <c r="G1052" s="8" t="s">
        <v>31</v>
      </c>
      <c r="H1052" s="8" t="s">
        <v>111</v>
      </c>
      <c r="I1052" s="8" t="s">
        <v>44</v>
      </c>
      <c r="J1052" s="8" t="s">
        <v>453</v>
      </c>
      <c r="K1052" s="10" t="s">
        <v>5531</v>
      </c>
      <c r="L1052" s="8" t="s">
        <v>58</v>
      </c>
      <c r="M1052" s="8" t="s">
        <v>35</v>
      </c>
      <c r="N1052" s="11">
        <v>44961.0</v>
      </c>
      <c r="O1052" s="11">
        <v>45122.0</v>
      </c>
      <c r="P1052" s="11">
        <v>45164.0</v>
      </c>
      <c r="Q1052" s="11">
        <v>45121.0</v>
      </c>
      <c r="R1052" s="11">
        <v>45164.0</v>
      </c>
      <c r="S1052" s="12"/>
      <c r="T1052" s="8"/>
      <c r="U1052" s="8" t="s">
        <v>1038</v>
      </c>
      <c r="V1052" s="13" t="s">
        <v>111</v>
      </c>
      <c r="W1052" s="13" t="s">
        <v>5532</v>
      </c>
      <c r="X1052" s="12"/>
      <c r="Y1052" s="14"/>
      <c r="Z1052" s="14"/>
    </row>
    <row r="1053">
      <c r="A1053" s="8" t="s">
        <v>5533</v>
      </c>
      <c r="B1053" s="8" t="s">
        <v>5534</v>
      </c>
      <c r="C1053" s="8" t="s">
        <v>25</v>
      </c>
      <c r="D1053" s="8" t="s">
        <v>26</v>
      </c>
      <c r="E1053" s="8" t="s">
        <v>5535</v>
      </c>
      <c r="F1053" s="8" t="s">
        <v>5536</v>
      </c>
      <c r="G1053" s="8" t="s">
        <v>277</v>
      </c>
      <c r="H1053" s="8" t="s">
        <v>607</v>
      </c>
      <c r="I1053" s="8" t="s">
        <v>31</v>
      </c>
      <c r="J1053" s="8" t="s">
        <v>292</v>
      </c>
      <c r="K1053" s="10" t="s">
        <v>5418</v>
      </c>
      <c r="L1053" s="8" t="s">
        <v>58</v>
      </c>
      <c r="M1053" s="8" t="s">
        <v>35</v>
      </c>
      <c r="N1053" s="11">
        <v>44961.0</v>
      </c>
      <c r="O1053" s="11">
        <v>45012.0</v>
      </c>
      <c r="P1053" s="11">
        <v>45054.0</v>
      </c>
      <c r="Q1053" s="11">
        <v>45019.0</v>
      </c>
      <c r="R1053" s="11">
        <v>45060.0</v>
      </c>
      <c r="S1053" s="12"/>
      <c r="T1053" s="8"/>
      <c r="U1053" s="8" t="s">
        <v>88</v>
      </c>
      <c r="V1053" s="13" t="s">
        <v>5537</v>
      </c>
      <c r="W1053" s="13" t="s">
        <v>5538</v>
      </c>
      <c r="X1053" s="12"/>
      <c r="Y1053" s="14"/>
      <c r="Z1053" s="14"/>
    </row>
    <row r="1054">
      <c r="A1054" s="8" t="s">
        <v>5539</v>
      </c>
      <c r="B1054" s="8" t="s">
        <v>5540</v>
      </c>
      <c r="C1054" s="8" t="s">
        <v>25</v>
      </c>
      <c r="D1054" s="8" t="s">
        <v>26</v>
      </c>
      <c r="E1054" s="8" t="s">
        <v>5541</v>
      </c>
      <c r="F1054" s="8">
        <v>5.394652475E9</v>
      </c>
      <c r="G1054" s="8" t="s">
        <v>31</v>
      </c>
      <c r="H1054" s="8" t="s">
        <v>111</v>
      </c>
      <c r="I1054" s="8" t="s">
        <v>127</v>
      </c>
      <c r="J1054" s="8" t="s">
        <v>128</v>
      </c>
      <c r="K1054" s="10" t="s">
        <v>5542</v>
      </c>
      <c r="L1054" s="8" t="s">
        <v>58</v>
      </c>
      <c r="M1054" s="8" t="s">
        <v>35</v>
      </c>
      <c r="N1054" s="11">
        <v>44961.0</v>
      </c>
      <c r="O1054" s="11">
        <v>45096.0</v>
      </c>
      <c r="P1054" s="11">
        <v>45138.0</v>
      </c>
      <c r="Q1054" s="11">
        <v>45095.0</v>
      </c>
      <c r="R1054" s="11">
        <v>45138.0</v>
      </c>
      <c r="S1054" s="12"/>
      <c r="T1054" s="8"/>
      <c r="U1054" s="8" t="s">
        <v>88</v>
      </c>
      <c r="V1054" s="13" t="s">
        <v>111</v>
      </c>
      <c r="W1054" s="13" t="s">
        <v>5543</v>
      </c>
      <c r="X1054" s="12"/>
      <c r="Y1054" s="14"/>
      <c r="Z1054" s="14"/>
    </row>
    <row r="1055">
      <c r="A1055" s="8" t="s">
        <v>5544</v>
      </c>
      <c r="B1055" s="8" t="s">
        <v>5545</v>
      </c>
      <c r="C1055" s="8" t="s">
        <v>25</v>
      </c>
      <c r="D1055" s="8" t="s">
        <v>26</v>
      </c>
      <c r="E1055" s="8" t="s">
        <v>5546</v>
      </c>
      <c r="F1055" s="8">
        <v>5.336736836E9</v>
      </c>
      <c r="G1055" s="8" t="s">
        <v>31</v>
      </c>
      <c r="H1055" s="8" t="s">
        <v>86</v>
      </c>
      <c r="I1055" s="8" t="s">
        <v>127</v>
      </c>
      <c r="J1055" s="8" t="s">
        <v>3542</v>
      </c>
      <c r="K1055" s="10" t="s">
        <v>5310</v>
      </c>
      <c r="L1055" s="8" t="s">
        <v>58</v>
      </c>
      <c r="M1055" s="8" t="s">
        <v>35</v>
      </c>
      <c r="N1055" s="11">
        <v>44961.0</v>
      </c>
      <c r="O1055" s="11">
        <v>45103.0</v>
      </c>
      <c r="P1055" s="11">
        <v>45145.0</v>
      </c>
      <c r="Q1055" s="11">
        <v>45103.0</v>
      </c>
      <c r="R1055" s="11">
        <v>45145.0</v>
      </c>
      <c r="S1055" s="12"/>
      <c r="T1055" s="8"/>
      <c r="U1055" s="8" t="s">
        <v>59</v>
      </c>
      <c r="V1055" s="13" t="s">
        <v>175</v>
      </c>
      <c r="W1055" s="13" t="s">
        <v>5547</v>
      </c>
      <c r="X1055" s="12"/>
      <c r="Y1055" s="14"/>
      <c r="Z1055" s="14"/>
    </row>
    <row r="1056">
      <c r="A1056" s="8" t="s">
        <v>5548</v>
      </c>
      <c r="B1056" s="8" t="s">
        <v>5549</v>
      </c>
      <c r="C1056" s="8" t="s">
        <v>64</v>
      </c>
      <c r="D1056" s="8" t="s">
        <v>26</v>
      </c>
      <c r="E1056" s="8" t="s">
        <v>5550</v>
      </c>
      <c r="F1056" s="8">
        <v>6.54501609E8</v>
      </c>
      <c r="G1056" s="8" t="s">
        <v>84</v>
      </c>
      <c r="H1056" s="8" t="s">
        <v>1234</v>
      </c>
      <c r="I1056" s="8" t="s">
        <v>31</v>
      </c>
      <c r="J1056" s="8" t="s">
        <v>292</v>
      </c>
      <c r="K1056" s="10" t="s">
        <v>5418</v>
      </c>
      <c r="L1056" s="8" t="s">
        <v>58</v>
      </c>
      <c r="M1056" s="8" t="s">
        <v>35</v>
      </c>
      <c r="N1056" s="11">
        <v>44961.0</v>
      </c>
      <c r="O1056" s="11">
        <v>45012.0</v>
      </c>
      <c r="P1056" s="11">
        <v>45054.0</v>
      </c>
      <c r="Q1056" s="11">
        <v>45019.0</v>
      </c>
      <c r="R1056" s="11">
        <v>45059.0</v>
      </c>
      <c r="S1056" s="12"/>
      <c r="T1056" s="8"/>
      <c r="U1056" s="8" t="s">
        <v>88</v>
      </c>
      <c r="V1056" s="13" t="s">
        <v>1237</v>
      </c>
      <c r="W1056" s="13" t="s">
        <v>5551</v>
      </c>
      <c r="X1056" s="12"/>
      <c r="Y1056" s="14"/>
      <c r="Z1056" s="14"/>
    </row>
    <row r="1057">
      <c r="A1057" s="8" t="s">
        <v>5552</v>
      </c>
      <c r="B1057" s="8" t="s">
        <v>5553</v>
      </c>
      <c r="C1057" s="8" t="s">
        <v>708</v>
      </c>
      <c r="D1057" s="8" t="s">
        <v>26</v>
      </c>
      <c r="E1057" s="8" t="s">
        <v>5554</v>
      </c>
      <c r="F1057" s="8">
        <v>2.3946617E7</v>
      </c>
      <c r="G1057" s="8" t="s">
        <v>54</v>
      </c>
      <c r="H1057" s="8" t="s">
        <v>430</v>
      </c>
      <c r="I1057" s="8" t="s">
        <v>31</v>
      </c>
      <c r="J1057" s="8" t="s">
        <v>77</v>
      </c>
      <c r="K1057" s="10" t="s">
        <v>5555</v>
      </c>
      <c r="L1057" s="8" t="s">
        <v>34</v>
      </c>
      <c r="M1057" s="8" t="s">
        <v>70</v>
      </c>
      <c r="N1057" s="11">
        <v>44962.0</v>
      </c>
      <c r="O1057" s="11">
        <v>44976.0</v>
      </c>
      <c r="P1057" s="11">
        <v>45323.0</v>
      </c>
      <c r="Q1057" s="11">
        <v>44970.0</v>
      </c>
      <c r="R1057" s="11">
        <v>45341.0</v>
      </c>
      <c r="S1057" s="12"/>
      <c r="T1057" s="8" t="s">
        <v>205</v>
      </c>
      <c r="U1057" s="8" t="s">
        <v>5556</v>
      </c>
      <c r="V1057" s="13" t="s">
        <v>4780</v>
      </c>
      <c r="W1057" s="13" t="s">
        <v>5557</v>
      </c>
      <c r="X1057" s="12"/>
      <c r="Y1057" s="14"/>
      <c r="Z1057" s="14"/>
    </row>
    <row r="1058">
      <c r="A1058" s="8" t="s">
        <v>5558</v>
      </c>
      <c r="B1058" s="8" t="s">
        <v>5559</v>
      </c>
      <c r="C1058" s="8" t="s">
        <v>25</v>
      </c>
      <c r="D1058" s="8" t="s">
        <v>26</v>
      </c>
      <c r="E1058" s="8" t="s">
        <v>5560</v>
      </c>
      <c r="F1058" s="8">
        <v>1.008127811E9</v>
      </c>
      <c r="G1058" s="8" t="s">
        <v>284</v>
      </c>
      <c r="H1058" s="8" t="s">
        <v>854</v>
      </c>
      <c r="I1058" s="8" t="s">
        <v>31</v>
      </c>
      <c r="J1058" s="8" t="s">
        <v>542</v>
      </c>
      <c r="K1058" s="10" t="s">
        <v>662</v>
      </c>
      <c r="L1058" s="8" t="s">
        <v>58</v>
      </c>
      <c r="M1058" s="8" t="s">
        <v>35</v>
      </c>
      <c r="N1058" s="11">
        <v>44962.0</v>
      </c>
      <c r="O1058" s="11">
        <v>45138.0</v>
      </c>
      <c r="P1058" s="11">
        <v>45180.0</v>
      </c>
      <c r="Q1058" s="11">
        <v>45138.0</v>
      </c>
      <c r="R1058" s="11">
        <v>45180.0</v>
      </c>
      <c r="S1058" s="12"/>
      <c r="T1058" s="8"/>
      <c r="U1058" s="8" t="s">
        <v>59</v>
      </c>
      <c r="V1058" s="13" t="s">
        <v>856</v>
      </c>
      <c r="W1058" s="13" t="s">
        <v>5561</v>
      </c>
      <c r="X1058" s="12"/>
      <c r="Y1058" s="14"/>
      <c r="Z1058" s="14"/>
    </row>
    <row r="1059">
      <c r="A1059" s="8" t="s">
        <v>5562</v>
      </c>
      <c r="B1059" s="8" t="s">
        <v>5563</v>
      </c>
      <c r="C1059" s="8" t="s">
        <v>64</v>
      </c>
      <c r="D1059" s="8" t="s">
        <v>26</v>
      </c>
      <c r="E1059" s="8" t="s">
        <v>5564</v>
      </c>
      <c r="F1059" s="8">
        <v>7.784864797E9</v>
      </c>
      <c r="G1059" s="8" t="s">
        <v>496</v>
      </c>
      <c r="H1059" s="8" t="s">
        <v>497</v>
      </c>
      <c r="I1059" s="8" t="s">
        <v>31</v>
      </c>
      <c r="J1059" s="8" t="s">
        <v>32</v>
      </c>
      <c r="K1059" s="10" t="s">
        <v>5060</v>
      </c>
      <c r="L1059" s="8" t="s">
        <v>58</v>
      </c>
      <c r="M1059" s="8" t="s">
        <v>35</v>
      </c>
      <c r="N1059" s="11">
        <v>44962.0</v>
      </c>
      <c r="O1059" s="11">
        <v>44963.0</v>
      </c>
      <c r="P1059" s="11">
        <v>45005.0</v>
      </c>
      <c r="Q1059" s="11">
        <v>44970.0</v>
      </c>
      <c r="R1059" s="11">
        <v>45012.0</v>
      </c>
      <c r="S1059" s="12"/>
      <c r="T1059" s="8"/>
      <c r="U1059" s="8" t="s">
        <v>161</v>
      </c>
      <c r="V1059" s="13" t="s">
        <v>5565</v>
      </c>
      <c r="W1059" s="13" t="s">
        <v>5566</v>
      </c>
      <c r="X1059" s="12"/>
      <c r="Y1059" s="14"/>
      <c r="Z1059" s="14"/>
    </row>
    <row r="1060">
      <c r="A1060" s="8" t="s">
        <v>5567</v>
      </c>
      <c r="B1060" s="8" t="s">
        <v>5568</v>
      </c>
      <c r="C1060" s="8" t="s">
        <v>179</v>
      </c>
      <c r="D1060" s="8" t="s">
        <v>26</v>
      </c>
      <c r="E1060" s="8" t="s">
        <v>5569</v>
      </c>
      <c r="F1060" s="8">
        <v>7.40910607E8</v>
      </c>
      <c r="G1060" s="8" t="s">
        <v>399</v>
      </c>
      <c r="H1060" s="8" t="s">
        <v>5570</v>
      </c>
      <c r="I1060" s="8" t="s">
        <v>31</v>
      </c>
      <c r="J1060" s="8" t="s">
        <v>77</v>
      </c>
      <c r="K1060" s="10" t="s">
        <v>3945</v>
      </c>
      <c r="L1060" s="8" t="s">
        <v>58</v>
      </c>
      <c r="M1060" s="8" t="s">
        <v>35</v>
      </c>
      <c r="N1060" s="11">
        <v>44962.0</v>
      </c>
      <c r="O1060" s="11">
        <v>45033.0</v>
      </c>
      <c r="P1060" s="11">
        <v>45075.0</v>
      </c>
      <c r="Q1060" s="11"/>
      <c r="R1060" s="11"/>
      <c r="S1060" s="12"/>
      <c r="T1060" s="8"/>
      <c r="U1060" s="8" t="s">
        <v>59</v>
      </c>
      <c r="V1060" s="13" t="s">
        <v>2418</v>
      </c>
      <c r="W1060" s="13" t="s">
        <v>5571</v>
      </c>
      <c r="X1060" s="12"/>
      <c r="Y1060" s="14"/>
      <c r="Z1060" s="14"/>
    </row>
    <row r="1061">
      <c r="A1061" s="8" t="s">
        <v>5572</v>
      </c>
      <c r="B1061" s="8" t="s">
        <v>5573</v>
      </c>
      <c r="C1061" s="8" t="s">
        <v>179</v>
      </c>
      <c r="D1061" s="8" t="s">
        <v>26</v>
      </c>
      <c r="E1061" s="8" t="s">
        <v>5574</v>
      </c>
      <c r="F1061" s="8">
        <v>5.548928403E9</v>
      </c>
      <c r="G1061" s="8" t="s">
        <v>31</v>
      </c>
      <c r="H1061" s="8" t="s">
        <v>56</v>
      </c>
      <c r="I1061" s="8" t="s">
        <v>399</v>
      </c>
      <c r="J1061" s="8" t="s">
        <v>1381</v>
      </c>
      <c r="K1061" s="10" t="s">
        <v>4261</v>
      </c>
      <c r="L1061" s="8" t="s">
        <v>58</v>
      </c>
      <c r="M1061" s="8" t="s">
        <v>35</v>
      </c>
      <c r="N1061" s="11">
        <v>44962.0</v>
      </c>
      <c r="O1061" s="11">
        <v>45089.0</v>
      </c>
      <c r="P1061" s="11">
        <v>45131.0</v>
      </c>
      <c r="Q1061" s="11"/>
      <c r="R1061" s="11"/>
      <c r="S1061" s="12"/>
      <c r="T1061" s="8"/>
      <c r="U1061" s="8" t="s">
        <v>402</v>
      </c>
      <c r="V1061" s="13" t="s">
        <v>56</v>
      </c>
      <c r="W1061" s="13" t="s">
        <v>5575</v>
      </c>
      <c r="X1061" s="12"/>
      <c r="Y1061" s="14"/>
      <c r="Z1061" s="14"/>
    </row>
    <row r="1062">
      <c r="A1062" s="8" t="s">
        <v>5576</v>
      </c>
      <c r="B1062" s="8" t="s">
        <v>2729</v>
      </c>
      <c r="C1062" s="8" t="s">
        <v>708</v>
      </c>
      <c r="D1062" s="8" t="s">
        <v>26</v>
      </c>
      <c r="E1062" s="8" t="s">
        <v>2730</v>
      </c>
      <c r="F1062" s="8">
        <v>9.892579836E9</v>
      </c>
      <c r="G1062" s="8" t="s">
        <v>44</v>
      </c>
      <c r="H1062" s="8" t="s">
        <v>741</v>
      </c>
      <c r="I1062" s="8" t="s">
        <v>31</v>
      </c>
      <c r="J1062" s="8" t="s">
        <v>77</v>
      </c>
      <c r="K1062" s="10" t="s">
        <v>5577</v>
      </c>
      <c r="L1062" s="8" t="s">
        <v>47</v>
      </c>
      <c r="M1062" s="8" t="s">
        <v>70</v>
      </c>
      <c r="N1062" s="11">
        <v>44963.0</v>
      </c>
      <c r="O1062" s="11">
        <v>44974.0</v>
      </c>
      <c r="P1062" s="11">
        <v>45339.0</v>
      </c>
      <c r="Q1062" s="11">
        <v>44986.0</v>
      </c>
      <c r="R1062" s="11">
        <v>45349.0</v>
      </c>
      <c r="S1062" s="12"/>
      <c r="T1062" s="8"/>
      <c r="U1062" s="8" t="s">
        <v>5578</v>
      </c>
      <c r="V1062" s="13" t="s">
        <v>741</v>
      </c>
      <c r="W1062" s="13" t="s">
        <v>2731</v>
      </c>
      <c r="X1062" s="12"/>
      <c r="Y1062" s="14"/>
      <c r="Z1062" s="14"/>
    </row>
    <row r="1063">
      <c r="A1063" s="8" t="s">
        <v>5579</v>
      </c>
      <c r="B1063" s="8" t="s">
        <v>5580</v>
      </c>
      <c r="C1063" s="8" t="s">
        <v>179</v>
      </c>
      <c r="D1063" s="8" t="s">
        <v>26</v>
      </c>
      <c r="E1063" s="8" t="s">
        <v>5581</v>
      </c>
      <c r="F1063" s="8"/>
      <c r="G1063" s="8" t="s">
        <v>29</v>
      </c>
      <c r="H1063" s="8" t="s">
        <v>2448</v>
      </c>
      <c r="I1063" s="8" t="s">
        <v>31</v>
      </c>
      <c r="J1063" s="8" t="s">
        <v>86</v>
      </c>
      <c r="K1063" s="10" t="s">
        <v>2453</v>
      </c>
      <c r="L1063" s="8" t="s">
        <v>58</v>
      </c>
      <c r="M1063" s="8" t="s">
        <v>35</v>
      </c>
      <c r="N1063" s="11">
        <v>44963.0</v>
      </c>
      <c r="O1063" s="11">
        <v>45132.0</v>
      </c>
      <c r="P1063" s="11">
        <v>45174.0</v>
      </c>
      <c r="Q1063" s="11"/>
      <c r="R1063" s="11"/>
      <c r="S1063" s="12"/>
      <c r="T1063" s="8"/>
      <c r="U1063" s="8" t="s">
        <v>59</v>
      </c>
      <c r="V1063" s="13" t="s">
        <v>38</v>
      </c>
      <c r="W1063" s="13" t="s">
        <v>5582</v>
      </c>
      <c r="X1063" s="12"/>
      <c r="Y1063" s="14"/>
      <c r="Z1063" s="14"/>
    </row>
    <row r="1064">
      <c r="A1064" s="8" t="s">
        <v>5583</v>
      </c>
      <c r="B1064" s="8" t="s">
        <v>5584</v>
      </c>
      <c r="C1064" s="8" t="s">
        <v>708</v>
      </c>
      <c r="D1064" s="8" t="s">
        <v>26</v>
      </c>
      <c r="E1064" s="8" t="s">
        <v>5585</v>
      </c>
      <c r="F1064" s="8">
        <v>6.37680048E8</v>
      </c>
      <c r="G1064" s="8" t="s">
        <v>84</v>
      </c>
      <c r="H1064" s="8" t="s">
        <v>1234</v>
      </c>
      <c r="I1064" s="8" t="s">
        <v>31</v>
      </c>
      <c r="J1064" s="8" t="s">
        <v>77</v>
      </c>
      <c r="K1064" s="10" t="s">
        <v>2910</v>
      </c>
      <c r="L1064" s="8" t="s">
        <v>34</v>
      </c>
      <c r="M1064" s="8" t="s">
        <v>70</v>
      </c>
      <c r="N1064" s="11">
        <v>44963.0</v>
      </c>
      <c r="O1064" s="11">
        <v>44967.0</v>
      </c>
      <c r="P1064" s="11">
        <v>45332.0</v>
      </c>
      <c r="Q1064" s="11">
        <v>45021.0</v>
      </c>
      <c r="R1064" s="11">
        <v>45384.0</v>
      </c>
      <c r="S1064" s="12"/>
      <c r="T1064" s="8" t="s">
        <v>205</v>
      </c>
      <c r="U1064" s="8" t="s">
        <v>2911</v>
      </c>
      <c r="V1064" s="13" t="s">
        <v>5586</v>
      </c>
      <c r="W1064" s="13" t="s">
        <v>5587</v>
      </c>
      <c r="X1064" s="12"/>
      <c r="Y1064" s="14"/>
      <c r="Z1064" s="14"/>
    </row>
    <row r="1065">
      <c r="A1065" s="8" t="s">
        <v>5588</v>
      </c>
      <c r="B1065" s="8" t="s">
        <v>5589</v>
      </c>
      <c r="C1065" s="8" t="s">
        <v>179</v>
      </c>
      <c r="D1065" s="8" t="s">
        <v>26</v>
      </c>
      <c r="E1065" s="8" t="s">
        <v>5590</v>
      </c>
      <c r="F1065" s="8">
        <v>5.385477061E9</v>
      </c>
      <c r="G1065" s="8" t="s">
        <v>31</v>
      </c>
      <c r="H1065" s="8" t="s">
        <v>86</v>
      </c>
      <c r="I1065" s="8" t="s">
        <v>109</v>
      </c>
      <c r="J1065" s="8" t="s">
        <v>4636</v>
      </c>
      <c r="K1065" s="10" t="s">
        <v>5591</v>
      </c>
      <c r="L1065" s="8" t="s">
        <v>58</v>
      </c>
      <c r="M1065" s="8" t="s">
        <v>35</v>
      </c>
      <c r="N1065" s="11">
        <v>44963.0</v>
      </c>
      <c r="O1065" s="11">
        <v>45131.0</v>
      </c>
      <c r="P1065" s="11">
        <v>45173.0</v>
      </c>
      <c r="Q1065" s="11"/>
      <c r="R1065" s="11"/>
      <c r="S1065" s="12"/>
      <c r="T1065" s="8"/>
      <c r="U1065" s="8" t="s">
        <v>88</v>
      </c>
      <c r="V1065" s="13" t="s">
        <v>175</v>
      </c>
      <c r="W1065" s="13" t="s">
        <v>5592</v>
      </c>
      <c r="X1065" s="12"/>
      <c r="Y1065" s="14"/>
      <c r="Z1065" s="14"/>
    </row>
    <row r="1066">
      <c r="A1066" s="8" t="s">
        <v>5593</v>
      </c>
      <c r="B1066" s="8" t="s">
        <v>5594</v>
      </c>
      <c r="C1066" s="8" t="s">
        <v>25</v>
      </c>
      <c r="D1066" s="8" t="s">
        <v>26</v>
      </c>
      <c r="E1066" s="8" t="s">
        <v>5595</v>
      </c>
      <c r="F1066" s="8">
        <v>5.464500967E9</v>
      </c>
      <c r="G1066" s="8" t="s">
        <v>31</v>
      </c>
      <c r="H1066" s="8" t="s">
        <v>56</v>
      </c>
      <c r="I1066" s="8" t="s">
        <v>54</v>
      </c>
      <c r="J1066" s="8" t="s">
        <v>377</v>
      </c>
      <c r="K1066" s="10" t="s">
        <v>5596</v>
      </c>
      <c r="L1066" s="8" t="s">
        <v>58</v>
      </c>
      <c r="M1066" s="8" t="s">
        <v>35</v>
      </c>
      <c r="N1066" s="11">
        <v>44963.0</v>
      </c>
      <c r="O1066" s="11">
        <v>45110.0</v>
      </c>
      <c r="P1066" s="11">
        <v>45152.0</v>
      </c>
      <c r="Q1066" s="11">
        <v>45110.0</v>
      </c>
      <c r="R1066" s="11">
        <v>45152.0</v>
      </c>
      <c r="S1066" s="12"/>
      <c r="T1066" s="8"/>
      <c r="U1066" s="8" t="s">
        <v>161</v>
      </c>
      <c r="V1066" s="13" t="s">
        <v>56</v>
      </c>
      <c r="W1066" s="13" t="s">
        <v>5597</v>
      </c>
      <c r="X1066" s="12"/>
      <c r="Y1066" s="14"/>
      <c r="Z1066" s="14"/>
    </row>
    <row r="1067">
      <c r="A1067" s="8" t="s">
        <v>5598</v>
      </c>
      <c r="B1067" s="8" t="s">
        <v>5599</v>
      </c>
      <c r="C1067" s="8" t="s">
        <v>708</v>
      </c>
      <c r="D1067" s="8" t="s">
        <v>26</v>
      </c>
      <c r="E1067" s="8" t="s">
        <v>5600</v>
      </c>
      <c r="F1067" s="8">
        <v>7.73393322E8</v>
      </c>
      <c r="G1067" s="8" t="s">
        <v>84</v>
      </c>
      <c r="H1067" s="8" t="s">
        <v>85</v>
      </c>
      <c r="I1067" s="8" t="s">
        <v>31</v>
      </c>
      <c r="J1067" s="8" t="s">
        <v>86</v>
      </c>
      <c r="K1067" s="10" t="s">
        <v>5601</v>
      </c>
      <c r="L1067" s="8" t="s">
        <v>34</v>
      </c>
      <c r="M1067" s="8" t="s">
        <v>70</v>
      </c>
      <c r="N1067" s="11">
        <v>44963.0</v>
      </c>
      <c r="O1067" s="11">
        <v>44969.0</v>
      </c>
      <c r="P1067" s="11">
        <v>45334.0</v>
      </c>
      <c r="Q1067" s="11">
        <v>45051.0</v>
      </c>
      <c r="R1067" s="11">
        <v>45418.0</v>
      </c>
      <c r="S1067" s="12"/>
      <c r="T1067" s="8" t="s">
        <v>36</v>
      </c>
      <c r="U1067" s="8" t="s">
        <v>5602</v>
      </c>
      <c r="V1067" s="13" t="s">
        <v>5603</v>
      </c>
      <c r="W1067" s="13" t="s">
        <v>5604</v>
      </c>
      <c r="X1067" s="12"/>
      <c r="Y1067" s="14"/>
      <c r="Z1067" s="14"/>
    </row>
    <row r="1068">
      <c r="A1068" s="8" t="s">
        <v>5605</v>
      </c>
      <c r="B1068" s="8" t="s">
        <v>5606</v>
      </c>
      <c r="C1068" s="8" t="s">
        <v>64</v>
      </c>
      <c r="D1068" s="8" t="s">
        <v>26</v>
      </c>
      <c r="E1068" s="8" t="s">
        <v>5607</v>
      </c>
      <c r="F1068" s="8">
        <v>9.83581519E8</v>
      </c>
      <c r="G1068" s="8" t="s">
        <v>3574</v>
      </c>
      <c r="H1068" s="8" t="s">
        <v>5608</v>
      </c>
      <c r="I1068" s="8" t="s">
        <v>31</v>
      </c>
      <c r="J1068" s="8" t="s">
        <v>86</v>
      </c>
      <c r="K1068" s="10" t="s">
        <v>2453</v>
      </c>
      <c r="L1068" s="8" t="s">
        <v>58</v>
      </c>
      <c r="M1068" s="8" t="s">
        <v>35</v>
      </c>
      <c r="N1068" s="11">
        <v>44964.0</v>
      </c>
      <c r="O1068" s="11">
        <v>44977.0</v>
      </c>
      <c r="P1068" s="11">
        <v>45019.0</v>
      </c>
      <c r="Q1068" s="11">
        <v>44978.0</v>
      </c>
      <c r="R1068" s="11">
        <v>45019.0</v>
      </c>
      <c r="S1068" s="12"/>
      <c r="T1068" s="8"/>
      <c r="U1068" s="8" t="s">
        <v>59</v>
      </c>
      <c r="V1068" s="13" t="s">
        <v>38</v>
      </c>
      <c r="W1068" s="13" t="s">
        <v>5609</v>
      </c>
      <c r="X1068" s="12"/>
      <c r="Y1068" s="14"/>
      <c r="Z1068" s="14"/>
    </row>
    <row r="1069">
      <c r="A1069" s="8" t="s">
        <v>5610</v>
      </c>
      <c r="B1069" s="8" t="s">
        <v>5611</v>
      </c>
      <c r="C1069" s="8" t="s">
        <v>25</v>
      </c>
      <c r="D1069" s="8" t="s">
        <v>26</v>
      </c>
      <c r="E1069" s="8" t="s">
        <v>5612</v>
      </c>
      <c r="F1069" s="8">
        <v>4.169886484E9</v>
      </c>
      <c r="G1069" s="8" t="s">
        <v>1510</v>
      </c>
      <c r="H1069" s="8" t="s">
        <v>2016</v>
      </c>
      <c r="I1069" s="8" t="s">
        <v>31</v>
      </c>
      <c r="J1069" s="8" t="s">
        <v>86</v>
      </c>
      <c r="K1069" s="10" t="s">
        <v>416</v>
      </c>
      <c r="L1069" s="8" t="s">
        <v>58</v>
      </c>
      <c r="M1069" s="8" t="s">
        <v>35</v>
      </c>
      <c r="N1069" s="11">
        <v>44964.0</v>
      </c>
      <c r="O1069" s="11">
        <v>45117.0</v>
      </c>
      <c r="P1069" s="11">
        <v>45159.0</v>
      </c>
      <c r="Q1069" s="11">
        <v>45117.0</v>
      </c>
      <c r="R1069" s="11">
        <v>45159.0</v>
      </c>
      <c r="S1069" s="12"/>
      <c r="T1069" s="8"/>
      <c r="U1069" s="8" t="s">
        <v>59</v>
      </c>
      <c r="V1069" s="13" t="s">
        <v>2017</v>
      </c>
      <c r="W1069" s="13" t="s">
        <v>5613</v>
      </c>
      <c r="X1069" s="12"/>
      <c r="Y1069" s="14"/>
      <c r="Z1069" s="14"/>
    </row>
    <row r="1070">
      <c r="A1070" s="8" t="s">
        <v>5614</v>
      </c>
      <c r="B1070" s="8" t="s">
        <v>5615</v>
      </c>
      <c r="C1070" s="8" t="s">
        <v>25</v>
      </c>
      <c r="D1070" s="8" t="s">
        <v>26</v>
      </c>
      <c r="E1070" s="8" t="s">
        <v>5616</v>
      </c>
      <c r="F1070" s="8"/>
      <c r="G1070" s="8" t="s">
        <v>1510</v>
      </c>
      <c r="H1070" s="8" t="s">
        <v>2016</v>
      </c>
      <c r="I1070" s="8" t="s">
        <v>31</v>
      </c>
      <c r="J1070" s="8" t="s">
        <v>86</v>
      </c>
      <c r="K1070" s="10" t="s">
        <v>416</v>
      </c>
      <c r="L1070" s="8" t="s">
        <v>58</v>
      </c>
      <c r="M1070" s="8" t="s">
        <v>35</v>
      </c>
      <c r="N1070" s="11">
        <v>44964.0</v>
      </c>
      <c r="O1070" s="11">
        <v>45117.0</v>
      </c>
      <c r="P1070" s="11">
        <v>45159.0</v>
      </c>
      <c r="Q1070" s="11">
        <v>45117.0</v>
      </c>
      <c r="R1070" s="11">
        <v>45159.0</v>
      </c>
      <c r="S1070" s="12"/>
      <c r="T1070" s="8"/>
      <c r="U1070" s="8" t="s">
        <v>59</v>
      </c>
      <c r="V1070" s="13" t="s">
        <v>38</v>
      </c>
      <c r="W1070" s="13" t="s">
        <v>5617</v>
      </c>
      <c r="X1070" s="12"/>
      <c r="Y1070" s="14"/>
      <c r="Z1070" s="14"/>
    </row>
    <row r="1071">
      <c r="A1071" s="8" t="s">
        <v>5618</v>
      </c>
      <c r="B1071" s="8" t="s">
        <v>5619</v>
      </c>
      <c r="C1071" s="8" t="s">
        <v>25</v>
      </c>
      <c r="D1071" s="8" t="s">
        <v>26</v>
      </c>
      <c r="E1071" s="8" t="s">
        <v>5620</v>
      </c>
      <c r="F1071" s="8">
        <v>5.3544678E7</v>
      </c>
      <c r="G1071" s="8" t="s">
        <v>54</v>
      </c>
      <c r="H1071" s="8" t="s">
        <v>377</v>
      </c>
      <c r="I1071" s="8" t="s">
        <v>31</v>
      </c>
      <c r="J1071" s="8" t="s">
        <v>32</v>
      </c>
      <c r="K1071" s="10" t="s">
        <v>2470</v>
      </c>
      <c r="L1071" s="8" t="s">
        <v>58</v>
      </c>
      <c r="M1071" s="8" t="s">
        <v>35</v>
      </c>
      <c r="N1071" s="11">
        <v>44965.0</v>
      </c>
      <c r="O1071" s="11">
        <v>44983.0</v>
      </c>
      <c r="P1071" s="11">
        <v>45025.0</v>
      </c>
      <c r="Q1071" s="11">
        <v>44985.0</v>
      </c>
      <c r="R1071" s="11">
        <v>45027.0</v>
      </c>
      <c r="S1071" s="12"/>
      <c r="T1071" s="8"/>
      <c r="U1071" s="8" t="s">
        <v>59</v>
      </c>
      <c r="V1071" s="13" t="s">
        <v>2243</v>
      </c>
      <c r="W1071" s="13" t="s">
        <v>5621</v>
      </c>
      <c r="X1071" s="12"/>
      <c r="Y1071" s="14"/>
      <c r="Z1071" s="14"/>
    </row>
    <row r="1072">
      <c r="A1072" s="8" t="s">
        <v>5622</v>
      </c>
      <c r="B1072" s="8" t="s">
        <v>5623</v>
      </c>
      <c r="C1072" s="8" t="s">
        <v>179</v>
      </c>
      <c r="D1072" s="8" t="s">
        <v>26</v>
      </c>
      <c r="E1072" s="8" t="s">
        <v>5624</v>
      </c>
      <c r="F1072" s="8">
        <v>5.360559139E9</v>
      </c>
      <c r="G1072" s="8" t="s">
        <v>31</v>
      </c>
      <c r="H1072" s="8" t="s">
        <v>77</v>
      </c>
      <c r="I1072" s="8" t="s">
        <v>127</v>
      </c>
      <c r="J1072" s="8" t="s">
        <v>128</v>
      </c>
      <c r="K1072" s="10" t="s">
        <v>5625</v>
      </c>
      <c r="L1072" s="8" t="s">
        <v>58</v>
      </c>
      <c r="M1072" s="8" t="s">
        <v>35</v>
      </c>
      <c r="N1072" s="11">
        <v>44965.0</v>
      </c>
      <c r="O1072" s="11">
        <v>45131.0</v>
      </c>
      <c r="P1072" s="11">
        <v>45173.0</v>
      </c>
      <c r="Q1072" s="11"/>
      <c r="R1072" s="11"/>
      <c r="S1072" s="12"/>
      <c r="T1072" s="8"/>
      <c r="U1072" s="8" t="s">
        <v>161</v>
      </c>
      <c r="V1072" s="13" t="s">
        <v>77</v>
      </c>
      <c r="W1072" s="13" t="s">
        <v>5626</v>
      </c>
      <c r="X1072" s="12"/>
      <c r="Y1072" s="14"/>
      <c r="Z1072" s="14"/>
    </row>
    <row r="1073">
      <c r="A1073" s="8" t="s">
        <v>5627</v>
      </c>
      <c r="B1073" s="8" t="s">
        <v>5628</v>
      </c>
      <c r="C1073" s="8" t="s">
        <v>25</v>
      </c>
      <c r="D1073" s="8" t="s">
        <v>26</v>
      </c>
      <c r="E1073" s="8" t="s">
        <v>5629</v>
      </c>
      <c r="F1073" s="8">
        <v>5.061280039E9</v>
      </c>
      <c r="G1073" s="8" t="s">
        <v>31</v>
      </c>
      <c r="H1073" s="8" t="s">
        <v>86</v>
      </c>
      <c r="I1073" s="8" t="s">
        <v>284</v>
      </c>
      <c r="J1073" s="8" t="s">
        <v>589</v>
      </c>
      <c r="K1073" s="10" t="s">
        <v>5630</v>
      </c>
      <c r="L1073" s="8" t="s">
        <v>58</v>
      </c>
      <c r="M1073" s="8" t="s">
        <v>35</v>
      </c>
      <c r="N1073" s="11">
        <v>44965.0</v>
      </c>
      <c r="O1073" s="11">
        <v>45123.0</v>
      </c>
      <c r="P1073" s="11">
        <v>45165.0</v>
      </c>
      <c r="Q1073" s="11">
        <v>45125.0</v>
      </c>
      <c r="R1073" s="11">
        <v>45166.0</v>
      </c>
      <c r="S1073" s="12"/>
      <c r="T1073" s="8"/>
      <c r="U1073" s="8" t="s">
        <v>59</v>
      </c>
      <c r="V1073" s="13" t="s">
        <v>175</v>
      </c>
      <c r="W1073" s="13" t="s">
        <v>5631</v>
      </c>
      <c r="X1073" s="12"/>
      <c r="Y1073" s="14"/>
      <c r="Z1073" s="14"/>
    </row>
    <row r="1074">
      <c r="A1074" s="8" t="s">
        <v>5632</v>
      </c>
      <c r="B1074" s="8" t="s">
        <v>5633</v>
      </c>
      <c r="C1074" s="8" t="s">
        <v>25</v>
      </c>
      <c r="D1074" s="8" t="s">
        <v>26</v>
      </c>
      <c r="E1074" s="8" t="s">
        <v>5634</v>
      </c>
      <c r="F1074" s="8">
        <v>2.1979276729E10</v>
      </c>
      <c r="G1074" s="8" t="s">
        <v>109</v>
      </c>
      <c r="H1074" s="8" t="s">
        <v>1872</v>
      </c>
      <c r="I1074" s="8" t="s">
        <v>31</v>
      </c>
      <c r="J1074" s="8" t="s">
        <v>77</v>
      </c>
      <c r="K1074" s="10" t="s">
        <v>5635</v>
      </c>
      <c r="L1074" s="8" t="s">
        <v>58</v>
      </c>
      <c r="M1074" s="8" t="s">
        <v>35</v>
      </c>
      <c r="N1074" s="11">
        <v>44965.0</v>
      </c>
      <c r="O1074" s="11">
        <v>44977.0</v>
      </c>
      <c r="P1074" s="11">
        <v>45019.0</v>
      </c>
      <c r="Q1074" s="11">
        <v>44977.0</v>
      </c>
      <c r="R1074" s="11">
        <v>45019.0</v>
      </c>
      <c r="S1074" s="12"/>
      <c r="T1074" s="8"/>
      <c r="U1074" s="8" t="s">
        <v>59</v>
      </c>
      <c r="V1074" s="13" t="s">
        <v>2124</v>
      </c>
      <c r="W1074" s="13" t="s">
        <v>5636</v>
      </c>
      <c r="X1074" s="12"/>
      <c r="Y1074" s="14"/>
      <c r="Z1074" s="14"/>
    </row>
    <row r="1075">
      <c r="A1075" s="8" t="s">
        <v>5637</v>
      </c>
      <c r="B1075" s="8" t="s">
        <v>5638</v>
      </c>
      <c r="C1075" s="8" t="s">
        <v>25</v>
      </c>
      <c r="D1075" s="8" t="s">
        <v>26</v>
      </c>
      <c r="E1075" s="8" t="s">
        <v>5639</v>
      </c>
      <c r="F1075" s="8">
        <v>5.41046373E8</v>
      </c>
      <c r="G1075" s="8" t="s">
        <v>254</v>
      </c>
      <c r="H1075" s="8" t="s">
        <v>422</v>
      </c>
      <c r="I1075" s="8" t="s">
        <v>31</v>
      </c>
      <c r="J1075" s="8" t="s">
        <v>111</v>
      </c>
      <c r="K1075" s="10" t="s">
        <v>5640</v>
      </c>
      <c r="L1075" s="8" t="s">
        <v>47</v>
      </c>
      <c r="M1075" s="8" t="s">
        <v>48</v>
      </c>
      <c r="N1075" s="11">
        <v>44966.0</v>
      </c>
      <c r="O1075" s="11">
        <v>44986.0</v>
      </c>
      <c r="P1075" s="11">
        <v>45167.0</v>
      </c>
      <c r="Q1075" s="11">
        <v>44991.0</v>
      </c>
      <c r="R1075" s="11">
        <v>45179.0</v>
      </c>
      <c r="S1075" s="12"/>
      <c r="T1075" s="8"/>
      <c r="U1075" s="8" t="s">
        <v>5641</v>
      </c>
      <c r="V1075" s="13" t="s">
        <v>425</v>
      </c>
      <c r="W1075" s="13" t="s">
        <v>5642</v>
      </c>
      <c r="X1075" s="12"/>
      <c r="Y1075" s="14"/>
      <c r="Z1075" s="14"/>
    </row>
    <row r="1076">
      <c r="A1076" s="8" t="s">
        <v>5643</v>
      </c>
      <c r="B1076" s="8" t="s">
        <v>5644</v>
      </c>
      <c r="C1076" s="8" t="s">
        <v>25</v>
      </c>
      <c r="D1076" s="8" t="s">
        <v>26</v>
      </c>
      <c r="E1076" s="8" t="s">
        <v>5645</v>
      </c>
      <c r="F1076" s="8">
        <v>5.433266929E9</v>
      </c>
      <c r="G1076" s="8" t="s">
        <v>31</v>
      </c>
      <c r="H1076" s="8" t="s">
        <v>77</v>
      </c>
      <c r="I1076" s="8" t="s">
        <v>399</v>
      </c>
      <c r="J1076" s="8" t="s">
        <v>400</v>
      </c>
      <c r="K1076" s="10" t="s">
        <v>1700</v>
      </c>
      <c r="L1076" s="8" t="s">
        <v>58</v>
      </c>
      <c r="M1076" s="8" t="s">
        <v>35</v>
      </c>
      <c r="N1076" s="11">
        <v>44966.0</v>
      </c>
      <c r="O1076" s="11">
        <v>45139.0</v>
      </c>
      <c r="P1076" s="11">
        <v>45181.0</v>
      </c>
      <c r="Q1076" s="11">
        <v>45140.0</v>
      </c>
      <c r="R1076" s="11">
        <v>45181.0</v>
      </c>
      <c r="S1076" s="12"/>
      <c r="T1076" s="8"/>
      <c r="U1076" s="8" t="s">
        <v>1038</v>
      </c>
      <c r="V1076" s="13" t="s">
        <v>1408</v>
      </c>
      <c r="W1076" s="13" t="s">
        <v>5646</v>
      </c>
      <c r="X1076" s="12"/>
      <c r="Y1076" s="14"/>
      <c r="Z1076" s="14"/>
    </row>
    <row r="1077">
      <c r="A1077" s="8" t="s">
        <v>5647</v>
      </c>
      <c r="B1077" s="8" t="s">
        <v>5648</v>
      </c>
      <c r="C1077" s="8" t="s">
        <v>25</v>
      </c>
      <c r="D1077" s="8" t="s">
        <v>26</v>
      </c>
      <c r="E1077" s="8" t="s">
        <v>5649</v>
      </c>
      <c r="F1077" s="8">
        <v>5.360156011E9</v>
      </c>
      <c r="G1077" s="8" t="s">
        <v>31</v>
      </c>
      <c r="H1077" s="8" t="s">
        <v>77</v>
      </c>
      <c r="I1077" s="8" t="s">
        <v>399</v>
      </c>
      <c r="J1077" s="8" t="s">
        <v>400</v>
      </c>
      <c r="K1077" s="10" t="s">
        <v>1700</v>
      </c>
      <c r="L1077" s="8" t="s">
        <v>58</v>
      </c>
      <c r="M1077" s="8" t="s">
        <v>35</v>
      </c>
      <c r="N1077" s="11">
        <v>44966.0</v>
      </c>
      <c r="O1077" s="11">
        <v>45139.0</v>
      </c>
      <c r="P1077" s="11">
        <v>45181.0</v>
      </c>
      <c r="Q1077" s="11">
        <v>45140.0</v>
      </c>
      <c r="R1077" s="11">
        <v>45181.0</v>
      </c>
      <c r="S1077" s="12"/>
      <c r="T1077" s="8"/>
      <c r="U1077" s="8" t="s">
        <v>1038</v>
      </c>
      <c r="V1077" s="13" t="s">
        <v>77</v>
      </c>
      <c r="W1077" s="13" t="s">
        <v>5650</v>
      </c>
      <c r="X1077" s="12"/>
      <c r="Y1077" s="14"/>
      <c r="Z1077" s="14"/>
    </row>
    <row r="1078">
      <c r="A1078" s="8" t="s">
        <v>5651</v>
      </c>
      <c r="B1078" s="8" t="s">
        <v>5652</v>
      </c>
      <c r="C1078" s="8" t="s">
        <v>25</v>
      </c>
      <c r="D1078" s="8" t="s">
        <v>26</v>
      </c>
      <c r="E1078" s="8" t="s">
        <v>5653</v>
      </c>
      <c r="F1078" s="8"/>
      <c r="G1078" s="8" t="s">
        <v>31</v>
      </c>
      <c r="H1078" s="8" t="s">
        <v>77</v>
      </c>
      <c r="I1078" s="8" t="s">
        <v>399</v>
      </c>
      <c r="J1078" s="8" t="s">
        <v>400</v>
      </c>
      <c r="K1078" s="10" t="s">
        <v>1700</v>
      </c>
      <c r="L1078" s="8" t="s">
        <v>58</v>
      </c>
      <c r="M1078" s="8" t="s">
        <v>35</v>
      </c>
      <c r="N1078" s="11">
        <v>44966.0</v>
      </c>
      <c r="O1078" s="11">
        <v>45139.0</v>
      </c>
      <c r="P1078" s="11">
        <v>45181.0</v>
      </c>
      <c r="Q1078" s="11">
        <v>45140.0</v>
      </c>
      <c r="R1078" s="11">
        <v>45181.0</v>
      </c>
      <c r="S1078" s="12"/>
      <c r="T1078" s="8"/>
      <c r="U1078" s="8" t="s">
        <v>1038</v>
      </c>
      <c r="V1078" s="13" t="s">
        <v>77</v>
      </c>
      <c r="W1078" s="13" t="s">
        <v>5654</v>
      </c>
      <c r="X1078" s="12"/>
      <c r="Y1078" s="14"/>
      <c r="Z1078" s="14"/>
    </row>
    <row r="1079">
      <c r="A1079" s="8" t="s">
        <v>5655</v>
      </c>
      <c r="B1079" s="8" t="s">
        <v>5656</v>
      </c>
      <c r="C1079" s="8" t="s">
        <v>25</v>
      </c>
      <c r="D1079" s="8" t="s">
        <v>26</v>
      </c>
      <c r="E1079" s="8" t="s">
        <v>5657</v>
      </c>
      <c r="F1079" s="8">
        <v>6.67473536E8</v>
      </c>
      <c r="G1079" s="8" t="s">
        <v>1620</v>
      </c>
      <c r="H1079" s="8" t="s">
        <v>1635</v>
      </c>
      <c r="I1079" s="8" t="s">
        <v>31</v>
      </c>
      <c r="J1079" s="8" t="s">
        <v>86</v>
      </c>
      <c r="K1079" s="10" t="s">
        <v>389</v>
      </c>
      <c r="L1079" s="8" t="s">
        <v>58</v>
      </c>
      <c r="M1079" s="8" t="s">
        <v>35</v>
      </c>
      <c r="N1079" s="11">
        <v>44966.0</v>
      </c>
      <c r="O1079" s="11">
        <v>45109.0</v>
      </c>
      <c r="P1079" s="11">
        <v>45151.0</v>
      </c>
      <c r="Q1079" s="11">
        <v>45110.0</v>
      </c>
      <c r="R1079" s="11">
        <v>45151.0</v>
      </c>
      <c r="S1079" s="12"/>
      <c r="T1079" s="8"/>
      <c r="U1079" s="8" t="s">
        <v>153</v>
      </c>
      <c r="V1079" s="13" t="s">
        <v>5658</v>
      </c>
      <c r="W1079" s="13" t="s">
        <v>5659</v>
      </c>
      <c r="X1079" s="12"/>
      <c r="Y1079" s="14"/>
      <c r="Z1079" s="14"/>
    </row>
    <row r="1080">
      <c r="A1080" s="8" t="s">
        <v>5660</v>
      </c>
      <c r="B1080" s="8" t="s">
        <v>5661</v>
      </c>
      <c r="C1080" s="8" t="s">
        <v>25</v>
      </c>
      <c r="D1080" s="8" t="s">
        <v>26</v>
      </c>
      <c r="E1080" s="8" t="s">
        <v>5662</v>
      </c>
      <c r="F1080" s="8">
        <v>2.9296948E7</v>
      </c>
      <c r="G1080" s="8" t="s">
        <v>54</v>
      </c>
      <c r="H1080" s="8" t="s">
        <v>135</v>
      </c>
      <c r="I1080" s="8" t="s">
        <v>31</v>
      </c>
      <c r="J1080" s="8" t="s">
        <v>77</v>
      </c>
      <c r="K1080" s="10" t="s">
        <v>2537</v>
      </c>
      <c r="L1080" s="8" t="s">
        <v>58</v>
      </c>
      <c r="M1080" s="8" t="s">
        <v>35</v>
      </c>
      <c r="N1080" s="11">
        <v>44966.0</v>
      </c>
      <c r="O1080" s="11">
        <v>45117.0</v>
      </c>
      <c r="P1080" s="11">
        <v>45159.0</v>
      </c>
      <c r="Q1080" s="11">
        <v>45117.0</v>
      </c>
      <c r="R1080" s="11">
        <v>45159.0</v>
      </c>
      <c r="S1080" s="12"/>
      <c r="T1080" s="8"/>
      <c r="U1080" s="8" t="s">
        <v>88</v>
      </c>
      <c r="V1080" s="13" t="s">
        <v>138</v>
      </c>
      <c r="W1080" s="13" t="s">
        <v>5663</v>
      </c>
      <c r="X1080" s="12"/>
      <c r="Y1080" s="14"/>
      <c r="Z1080" s="14"/>
    </row>
    <row r="1081">
      <c r="A1081" s="8" t="s">
        <v>5664</v>
      </c>
      <c r="B1081" s="8" t="s">
        <v>5665</v>
      </c>
      <c r="C1081" s="8" t="s">
        <v>251</v>
      </c>
      <c r="D1081" s="8" t="s">
        <v>26</v>
      </c>
      <c r="E1081" s="8" t="s">
        <v>5666</v>
      </c>
      <c r="F1081" s="8">
        <v>1.069516326E9</v>
      </c>
      <c r="G1081" s="8" t="s">
        <v>284</v>
      </c>
      <c r="H1081" s="8" t="s">
        <v>5202</v>
      </c>
      <c r="I1081" s="8" t="s">
        <v>31</v>
      </c>
      <c r="J1081" s="8" t="s">
        <v>220</v>
      </c>
      <c r="K1081" s="10" t="s">
        <v>5667</v>
      </c>
      <c r="L1081" s="8" t="s">
        <v>47</v>
      </c>
      <c r="M1081" s="8" t="s">
        <v>70</v>
      </c>
      <c r="N1081" s="11">
        <v>44966.0</v>
      </c>
      <c r="O1081" s="11">
        <v>44958.0</v>
      </c>
      <c r="P1081" s="11">
        <v>45323.0</v>
      </c>
      <c r="Q1081" s="11"/>
      <c r="R1081" s="11"/>
      <c r="S1081" s="12"/>
      <c r="T1081" s="8"/>
      <c r="U1081" s="8" t="s">
        <v>5668</v>
      </c>
      <c r="V1081" s="13" t="s">
        <v>5669</v>
      </c>
      <c r="W1081" s="13" t="s">
        <v>5670</v>
      </c>
      <c r="X1081" s="12"/>
      <c r="Y1081" s="14"/>
      <c r="Z1081" s="14"/>
    </row>
    <row r="1082">
      <c r="A1082" s="8" t="s">
        <v>5671</v>
      </c>
      <c r="B1082" s="8" t="s">
        <v>5672</v>
      </c>
      <c r="C1082" s="8" t="s">
        <v>25</v>
      </c>
      <c r="D1082" s="8" t="s">
        <v>26</v>
      </c>
      <c r="E1082" s="8" t="s">
        <v>5673</v>
      </c>
      <c r="F1082" s="8">
        <v>5.423123461E9</v>
      </c>
      <c r="G1082" s="8" t="s">
        <v>31</v>
      </c>
      <c r="H1082" s="8" t="s">
        <v>77</v>
      </c>
      <c r="I1082" s="8" t="s">
        <v>44</v>
      </c>
      <c r="J1082" s="8" t="s">
        <v>453</v>
      </c>
      <c r="K1082" s="10" t="s">
        <v>484</v>
      </c>
      <c r="L1082" s="8" t="s">
        <v>58</v>
      </c>
      <c r="M1082" s="8" t="s">
        <v>35</v>
      </c>
      <c r="N1082" s="11">
        <v>44967.0</v>
      </c>
      <c r="O1082" s="11">
        <v>45122.0</v>
      </c>
      <c r="P1082" s="11">
        <v>45164.0</v>
      </c>
      <c r="Q1082" s="11">
        <v>45122.0</v>
      </c>
      <c r="R1082" s="11">
        <v>45164.0</v>
      </c>
      <c r="S1082" s="12"/>
      <c r="T1082" s="8"/>
      <c r="U1082" s="8" t="s">
        <v>371</v>
      </c>
      <c r="V1082" s="13" t="s">
        <v>77</v>
      </c>
      <c r="W1082" s="13" t="s">
        <v>5674</v>
      </c>
      <c r="X1082" s="12"/>
      <c r="Y1082" s="14"/>
      <c r="Z1082" s="14"/>
    </row>
    <row r="1083">
      <c r="A1083" s="8" t="s">
        <v>5675</v>
      </c>
      <c r="B1083" s="8" t="s">
        <v>5676</v>
      </c>
      <c r="C1083" s="8" t="s">
        <v>25</v>
      </c>
      <c r="D1083" s="8" t="s">
        <v>26</v>
      </c>
      <c r="E1083" s="8" t="s">
        <v>5677</v>
      </c>
      <c r="F1083" s="8">
        <v>5.4515831E7</v>
      </c>
      <c r="G1083" s="8" t="s">
        <v>54</v>
      </c>
      <c r="H1083" s="8" t="s">
        <v>377</v>
      </c>
      <c r="I1083" s="8" t="s">
        <v>31</v>
      </c>
      <c r="J1083" s="8" t="s">
        <v>542</v>
      </c>
      <c r="K1083" s="10" t="s">
        <v>662</v>
      </c>
      <c r="L1083" s="8" t="s">
        <v>58</v>
      </c>
      <c r="M1083" s="8" t="s">
        <v>35</v>
      </c>
      <c r="N1083" s="11">
        <v>44968.0</v>
      </c>
      <c r="O1083" s="11">
        <v>45089.0</v>
      </c>
      <c r="P1083" s="11">
        <v>45131.0</v>
      </c>
      <c r="Q1083" s="11">
        <v>45089.0</v>
      </c>
      <c r="R1083" s="11">
        <v>45131.0</v>
      </c>
      <c r="S1083" s="12"/>
      <c r="T1083" s="8"/>
      <c r="U1083" s="8" t="s">
        <v>59</v>
      </c>
      <c r="V1083" s="13" t="s">
        <v>2243</v>
      </c>
      <c r="W1083" s="13" t="s">
        <v>5678</v>
      </c>
      <c r="X1083" s="12"/>
      <c r="Y1083" s="14"/>
      <c r="Z1083" s="14"/>
    </row>
    <row r="1084">
      <c r="A1084" s="8" t="s">
        <v>5679</v>
      </c>
      <c r="B1084" s="8" t="s">
        <v>5680</v>
      </c>
      <c r="C1084" s="8" t="s">
        <v>708</v>
      </c>
      <c r="D1084" s="8" t="s">
        <v>26</v>
      </c>
      <c r="E1084" s="8" t="s">
        <v>5681</v>
      </c>
      <c r="F1084" s="8">
        <v>6.6069391E7</v>
      </c>
      <c r="G1084" s="8" t="s">
        <v>5682</v>
      </c>
      <c r="H1084" s="8" t="s">
        <v>5683</v>
      </c>
      <c r="I1084" s="8" t="s">
        <v>31</v>
      </c>
      <c r="J1084" s="8" t="s">
        <v>86</v>
      </c>
      <c r="K1084" s="10" t="s">
        <v>5684</v>
      </c>
      <c r="L1084" s="8" t="s">
        <v>34</v>
      </c>
      <c r="M1084" s="8" t="s">
        <v>70</v>
      </c>
      <c r="N1084" s="11">
        <v>44968.0</v>
      </c>
      <c r="O1084" s="11">
        <v>44998.0</v>
      </c>
      <c r="P1084" s="11">
        <v>45359.0</v>
      </c>
      <c r="Q1084" s="11">
        <v>45040.0</v>
      </c>
      <c r="R1084" s="11">
        <v>45408.0</v>
      </c>
      <c r="S1084" s="12"/>
      <c r="T1084" s="8" t="s">
        <v>205</v>
      </c>
      <c r="U1084" s="8" t="s">
        <v>1062</v>
      </c>
      <c r="V1084" s="13" t="s">
        <v>38</v>
      </c>
      <c r="W1084" s="13" t="s">
        <v>5685</v>
      </c>
      <c r="X1084" s="12"/>
      <c r="Y1084" s="14"/>
      <c r="Z1084" s="14"/>
    </row>
    <row r="1085">
      <c r="A1085" s="8" t="s">
        <v>5686</v>
      </c>
      <c r="B1085" s="8" t="s">
        <v>5687</v>
      </c>
      <c r="C1085" s="8" t="s">
        <v>179</v>
      </c>
      <c r="D1085" s="8" t="s">
        <v>26</v>
      </c>
      <c r="E1085" s="8" t="s">
        <v>5688</v>
      </c>
      <c r="F1085" s="8">
        <v>1.099136073E9</v>
      </c>
      <c r="G1085" s="8" t="s">
        <v>284</v>
      </c>
      <c r="H1085" s="8" t="s">
        <v>673</v>
      </c>
      <c r="I1085" s="8" t="s">
        <v>31</v>
      </c>
      <c r="J1085" s="8" t="s">
        <v>136</v>
      </c>
      <c r="K1085" s="10" t="s">
        <v>2354</v>
      </c>
      <c r="L1085" s="8" t="s">
        <v>58</v>
      </c>
      <c r="M1085" s="8" t="s">
        <v>35</v>
      </c>
      <c r="N1085" s="11">
        <v>44968.0</v>
      </c>
      <c r="O1085" s="11">
        <v>45467.0</v>
      </c>
      <c r="P1085" s="11">
        <v>45509.0</v>
      </c>
      <c r="Q1085" s="11"/>
      <c r="R1085" s="11"/>
      <c r="S1085" s="12"/>
      <c r="T1085" s="8"/>
      <c r="U1085" s="8" t="s">
        <v>59</v>
      </c>
      <c r="V1085" s="13" t="s">
        <v>5689</v>
      </c>
      <c r="W1085" s="13" t="s">
        <v>5690</v>
      </c>
      <c r="X1085" s="12"/>
      <c r="Y1085" s="14"/>
      <c r="Z1085" s="14"/>
    </row>
    <row r="1086">
      <c r="A1086" s="8" t="s">
        <v>5691</v>
      </c>
      <c r="B1086" s="8" t="s">
        <v>5692</v>
      </c>
      <c r="C1086" s="8" t="s">
        <v>25</v>
      </c>
      <c r="D1086" s="8" t="s">
        <v>26</v>
      </c>
      <c r="E1086" s="8" t="s">
        <v>5693</v>
      </c>
      <c r="F1086" s="8"/>
      <c r="G1086" s="8" t="s">
        <v>31</v>
      </c>
      <c r="H1086" s="8" t="s">
        <v>542</v>
      </c>
      <c r="I1086" s="8" t="s">
        <v>284</v>
      </c>
      <c r="J1086" s="8" t="s">
        <v>1764</v>
      </c>
      <c r="K1086" s="10" t="s">
        <v>5694</v>
      </c>
      <c r="L1086" s="8" t="s">
        <v>34</v>
      </c>
      <c r="M1086" s="8" t="s">
        <v>35</v>
      </c>
      <c r="N1086" s="11">
        <v>44969.0</v>
      </c>
      <c r="O1086" s="11">
        <v>45022.0</v>
      </c>
      <c r="P1086" s="11">
        <v>45105.0</v>
      </c>
      <c r="Q1086" s="11">
        <v>45026.0</v>
      </c>
      <c r="R1086" s="11">
        <v>45109.0</v>
      </c>
      <c r="S1086" s="12"/>
      <c r="T1086" s="8" t="s">
        <v>224</v>
      </c>
      <c r="U1086" s="8" t="s">
        <v>5695</v>
      </c>
      <c r="V1086" s="13" t="s">
        <v>545</v>
      </c>
      <c r="W1086" s="13" t="s">
        <v>5696</v>
      </c>
      <c r="X1086" s="12"/>
      <c r="Y1086" s="14"/>
      <c r="Z1086" s="14"/>
    </row>
    <row r="1087">
      <c r="A1087" s="8" t="s">
        <v>5697</v>
      </c>
      <c r="B1087" s="8" t="s">
        <v>5698</v>
      </c>
      <c r="C1087" s="8" t="s">
        <v>25</v>
      </c>
      <c r="D1087" s="8" t="s">
        <v>26</v>
      </c>
      <c r="E1087" s="8" t="s">
        <v>5699</v>
      </c>
      <c r="F1087" s="8">
        <v>5.061485918E9</v>
      </c>
      <c r="G1087" s="8" t="s">
        <v>31</v>
      </c>
      <c r="H1087" s="8" t="s">
        <v>77</v>
      </c>
      <c r="I1087" s="8" t="s">
        <v>284</v>
      </c>
      <c r="J1087" s="8" t="s">
        <v>589</v>
      </c>
      <c r="K1087" s="10" t="s">
        <v>5700</v>
      </c>
      <c r="L1087" s="8" t="s">
        <v>58</v>
      </c>
      <c r="M1087" s="8" t="s">
        <v>35</v>
      </c>
      <c r="N1087" s="11">
        <v>44969.0</v>
      </c>
      <c r="O1087" s="11">
        <v>45123.0</v>
      </c>
      <c r="P1087" s="11">
        <v>45165.0</v>
      </c>
      <c r="Q1087" s="11">
        <v>45122.0</v>
      </c>
      <c r="R1087" s="11">
        <v>45165.0</v>
      </c>
      <c r="S1087" s="12"/>
      <c r="T1087" s="8"/>
      <c r="U1087" s="8" t="s">
        <v>1590</v>
      </c>
      <c r="V1087" s="13" t="s">
        <v>77</v>
      </c>
      <c r="W1087" s="13" t="s">
        <v>5701</v>
      </c>
      <c r="X1087" s="12"/>
      <c r="Y1087" s="14"/>
      <c r="Z1087" s="14"/>
    </row>
    <row r="1088">
      <c r="A1088" s="8" t="s">
        <v>5702</v>
      </c>
      <c r="B1088" s="8" t="s">
        <v>5703</v>
      </c>
      <c r="C1088" s="8" t="s">
        <v>708</v>
      </c>
      <c r="D1088" s="8" t="s">
        <v>26</v>
      </c>
      <c r="E1088" s="8" t="s">
        <v>5704</v>
      </c>
      <c r="F1088" s="8">
        <v>7.10288199E8</v>
      </c>
      <c r="G1088" s="8" t="s">
        <v>84</v>
      </c>
      <c r="H1088" s="8" t="s">
        <v>1127</v>
      </c>
      <c r="I1088" s="8" t="s">
        <v>31</v>
      </c>
      <c r="J1088" s="8" t="s">
        <v>43</v>
      </c>
      <c r="K1088" s="10" t="s">
        <v>5705</v>
      </c>
      <c r="L1088" s="8" t="s">
        <v>34</v>
      </c>
      <c r="M1088" s="8" t="s">
        <v>70</v>
      </c>
      <c r="N1088" s="11">
        <v>44969.0</v>
      </c>
      <c r="O1088" s="11">
        <v>44973.0</v>
      </c>
      <c r="P1088" s="11">
        <v>45367.0</v>
      </c>
      <c r="Q1088" s="11">
        <v>45026.0</v>
      </c>
      <c r="R1088" s="11">
        <v>45420.0</v>
      </c>
      <c r="S1088" s="12"/>
      <c r="T1088" s="8" t="s">
        <v>205</v>
      </c>
      <c r="U1088" s="8" t="s">
        <v>5706</v>
      </c>
      <c r="V1088" s="13" t="s">
        <v>1302</v>
      </c>
      <c r="W1088" s="13" t="s">
        <v>5707</v>
      </c>
      <c r="X1088" s="12"/>
      <c r="Y1088" s="14"/>
      <c r="Z1088" s="14"/>
    </row>
    <row r="1089">
      <c r="A1089" s="8" t="s">
        <v>5708</v>
      </c>
      <c r="B1089" s="8" t="s">
        <v>5709</v>
      </c>
      <c r="C1089" s="8" t="s">
        <v>251</v>
      </c>
      <c r="D1089" s="8" t="s">
        <v>26</v>
      </c>
      <c r="E1089" s="8" t="s">
        <v>5710</v>
      </c>
      <c r="F1089" s="8">
        <v>3.279104646E9</v>
      </c>
      <c r="G1089" s="8" t="s">
        <v>29</v>
      </c>
      <c r="H1089" s="8" t="s">
        <v>5711</v>
      </c>
      <c r="I1089" s="8" t="s">
        <v>31</v>
      </c>
      <c r="J1089" s="8" t="s">
        <v>77</v>
      </c>
      <c r="K1089" s="10" t="s">
        <v>5712</v>
      </c>
      <c r="L1089" s="8" t="s">
        <v>58</v>
      </c>
      <c r="M1089" s="8" t="s">
        <v>35</v>
      </c>
      <c r="N1089" s="11">
        <v>44970.0</v>
      </c>
      <c r="O1089" s="11">
        <v>45127.0</v>
      </c>
      <c r="P1089" s="11">
        <v>45169.0</v>
      </c>
      <c r="Q1089" s="11"/>
      <c r="R1089" s="11"/>
      <c r="S1089" s="12"/>
      <c r="T1089" s="8"/>
      <c r="U1089" s="8" t="s">
        <v>59</v>
      </c>
      <c r="V1089" s="13" t="s">
        <v>38</v>
      </c>
      <c r="W1089" s="13" t="s">
        <v>5713</v>
      </c>
      <c r="X1089" s="12"/>
      <c r="Y1089" s="14"/>
      <c r="Z1089" s="14"/>
    </row>
    <row r="1090">
      <c r="A1090" s="8" t="s">
        <v>5714</v>
      </c>
      <c r="B1090" s="8" t="s">
        <v>5715</v>
      </c>
      <c r="C1090" s="8" t="s">
        <v>25</v>
      </c>
      <c r="D1090" s="8" t="s">
        <v>26</v>
      </c>
      <c r="E1090" s="8" t="s">
        <v>5716</v>
      </c>
      <c r="F1090" s="8">
        <v>5.309559348E9</v>
      </c>
      <c r="G1090" s="8" t="s">
        <v>31</v>
      </c>
      <c r="H1090" s="8" t="s">
        <v>43</v>
      </c>
      <c r="I1090" s="8" t="s">
        <v>284</v>
      </c>
      <c r="J1090" s="8" t="s">
        <v>589</v>
      </c>
      <c r="K1090" s="10" t="s">
        <v>5717</v>
      </c>
      <c r="L1090" s="8" t="s">
        <v>58</v>
      </c>
      <c r="M1090" s="8" t="s">
        <v>35</v>
      </c>
      <c r="N1090" s="11">
        <v>44970.0</v>
      </c>
      <c r="O1090" s="11">
        <v>45122.0</v>
      </c>
      <c r="P1090" s="11">
        <v>45164.0</v>
      </c>
      <c r="Q1090" s="11">
        <v>45122.0</v>
      </c>
      <c r="R1090" s="11">
        <v>45164.0</v>
      </c>
      <c r="S1090" s="12"/>
      <c r="T1090" s="8"/>
      <c r="U1090" s="8" t="s">
        <v>185</v>
      </c>
      <c r="V1090" s="13" t="s">
        <v>111</v>
      </c>
      <c r="W1090" s="13" t="s">
        <v>5718</v>
      </c>
      <c r="X1090" s="12"/>
      <c r="Y1090" s="14"/>
      <c r="Z1090" s="14"/>
    </row>
    <row r="1091">
      <c r="A1091" s="8" t="s">
        <v>5719</v>
      </c>
      <c r="B1091" s="8" t="s">
        <v>5720</v>
      </c>
      <c r="C1091" s="8" t="s">
        <v>335</v>
      </c>
      <c r="D1091" s="8" t="s">
        <v>26</v>
      </c>
      <c r="E1091" s="8" t="s">
        <v>5721</v>
      </c>
      <c r="F1091" s="8">
        <v>1.021419999E9</v>
      </c>
      <c r="G1091" s="8" t="s">
        <v>284</v>
      </c>
      <c r="H1091" s="8" t="s">
        <v>854</v>
      </c>
      <c r="I1091" s="8" t="s">
        <v>31</v>
      </c>
      <c r="J1091" s="8" t="s">
        <v>136</v>
      </c>
      <c r="K1091" s="10" t="s">
        <v>137</v>
      </c>
      <c r="L1091" s="8" t="s">
        <v>58</v>
      </c>
      <c r="M1091" s="8" t="s">
        <v>35</v>
      </c>
      <c r="N1091" s="11">
        <v>45133.0</v>
      </c>
      <c r="O1091" s="11">
        <v>45124.0</v>
      </c>
      <c r="P1091" s="11">
        <v>45166.0</v>
      </c>
      <c r="Q1091" s="11"/>
      <c r="R1091" s="11"/>
      <c r="S1091" s="12"/>
      <c r="T1091" s="8"/>
      <c r="U1091" s="8" t="s">
        <v>88</v>
      </c>
      <c r="V1091" s="13" t="s">
        <v>856</v>
      </c>
      <c r="W1091" s="13" t="s">
        <v>5722</v>
      </c>
      <c r="X1091" s="12"/>
      <c r="Y1091" s="14"/>
      <c r="Z1091" s="14"/>
    </row>
    <row r="1092">
      <c r="A1092" s="8" t="s">
        <v>5723</v>
      </c>
      <c r="B1092" s="8" t="s">
        <v>5724</v>
      </c>
      <c r="C1092" s="8" t="s">
        <v>708</v>
      </c>
      <c r="D1092" s="8" t="s">
        <v>26</v>
      </c>
      <c r="E1092" s="8" t="s">
        <v>5725</v>
      </c>
      <c r="F1092" s="8">
        <v>2.8315626E7</v>
      </c>
      <c r="G1092" s="8" t="s">
        <v>54</v>
      </c>
      <c r="H1092" s="8" t="s">
        <v>430</v>
      </c>
      <c r="I1092" s="8" t="s">
        <v>31</v>
      </c>
      <c r="J1092" s="8" t="s">
        <v>86</v>
      </c>
      <c r="K1092" s="10" t="s">
        <v>2404</v>
      </c>
      <c r="L1092" s="8" t="s">
        <v>34</v>
      </c>
      <c r="M1092" s="8" t="s">
        <v>70</v>
      </c>
      <c r="N1092" s="11">
        <v>44971.0</v>
      </c>
      <c r="O1092" s="11">
        <v>44991.0</v>
      </c>
      <c r="P1092" s="11">
        <v>45536.0</v>
      </c>
      <c r="Q1092" s="11">
        <v>44993.0</v>
      </c>
      <c r="R1092" s="11">
        <v>45536.0</v>
      </c>
      <c r="S1092" s="12"/>
      <c r="T1092" s="8" t="s">
        <v>36</v>
      </c>
      <c r="U1092" s="8" t="s">
        <v>2405</v>
      </c>
      <c r="V1092" s="13" t="s">
        <v>1229</v>
      </c>
      <c r="W1092" s="13" t="s">
        <v>5726</v>
      </c>
      <c r="X1092" s="12"/>
      <c r="Y1092" s="14"/>
      <c r="Z1092" s="14"/>
    </row>
    <row r="1093">
      <c r="A1093" s="8" t="s">
        <v>5727</v>
      </c>
      <c r="B1093" s="8" t="s">
        <v>5728</v>
      </c>
      <c r="C1093" s="8" t="s">
        <v>25</v>
      </c>
      <c r="D1093" s="8" t="s">
        <v>26</v>
      </c>
      <c r="E1093" s="8" t="s">
        <v>5729</v>
      </c>
      <c r="F1093" s="8">
        <v>2.6210925E7</v>
      </c>
      <c r="G1093" s="8" t="s">
        <v>54</v>
      </c>
      <c r="H1093" s="8" t="s">
        <v>430</v>
      </c>
      <c r="I1093" s="8" t="s">
        <v>31</v>
      </c>
      <c r="J1093" s="8" t="s">
        <v>542</v>
      </c>
      <c r="K1093" s="10" t="s">
        <v>662</v>
      </c>
      <c r="L1093" s="8" t="s">
        <v>58</v>
      </c>
      <c r="M1093" s="8" t="s">
        <v>35</v>
      </c>
      <c r="N1093" s="11">
        <v>44971.0</v>
      </c>
      <c r="O1093" s="11">
        <v>45089.0</v>
      </c>
      <c r="P1093" s="11">
        <v>45131.0</v>
      </c>
      <c r="Q1093" s="11">
        <v>45096.0</v>
      </c>
      <c r="R1093" s="11">
        <v>45136.0</v>
      </c>
      <c r="S1093" s="12"/>
      <c r="T1093" s="8"/>
      <c r="U1093" s="8" t="s">
        <v>59</v>
      </c>
      <c r="V1093" s="13" t="s">
        <v>1051</v>
      </c>
      <c r="W1093" s="13" t="s">
        <v>5730</v>
      </c>
      <c r="X1093" s="12"/>
      <c r="Y1093" s="14"/>
      <c r="Z1093" s="14"/>
    </row>
    <row r="1094">
      <c r="A1094" s="8" t="s">
        <v>5731</v>
      </c>
      <c r="B1094" s="8" t="s">
        <v>5732</v>
      </c>
      <c r="C1094" s="8" t="s">
        <v>25</v>
      </c>
      <c r="D1094" s="8" t="s">
        <v>26</v>
      </c>
      <c r="E1094" s="8" t="s">
        <v>5733</v>
      </c>
      <c r="F1094" s="8">
        <v>5.41329952E9</v>
      </c>
      <c r="G1094" s="8" t="s">
        <v>31</v>
      </c>
      <c r="H1094" s="8" t="s">
        <v>32</v>
      </c>
      <c r="I1094" s="8" t="s">
        <v>127</v>
      </c>
      <c r="J1094" s="8" t="s">
        <v>128</v>
      </c>
      <c r="K1094" s="10" t="s">
        <v>5734</v>
      </c>
      <c r="L1094" s="8" t="s">
        <v>58</v>
      </c>
      <c r="M1094" s="8" t="s">
        <v>35</v>
      </c>
      <c r="N1094" s="11">
        <v>44971.0</v>
      </c>
      <c r="O1094" s="11">
        <v>45124.0</v>
      </c>
      <c r="P1094" s="11">
        <v>45166.0</v>
      </c>
      <c r="Q1094" s="11">
        <v>45124.0</v>
      </c>
      <c r="R1094" s="11">
        <v>45166.0</v>
      </c>
      <c r="S1094" s="12"/>
      <c r="T1094" s="8"/>
      <c r="U1094" s="8" t="s">
        <v>185</v>
      </c>
      <c r="V1094" s="13" t="s">
        <v>537</v>
      </c>
      <c r="W1094" s="13" t="s">
        <v>5735</v>
      </c>
      <c r="X1094" s="12"/>
      <c r="Y1094" s="14"/>
      <c r="Z1094" s="14"/>
    </row>
    <row r="1095">
      <c r="A1095" s="8" t="s">
        <v>5736</v>
      </c>
      <c r="B1095" s="8" t="s">
        <v>5737</v>
      </c>
      <c r="C1095" s="8" t="s">
        <v>251</v>
      </c>
      <c r="D1095" s="8" t="s">
        <v>26</v>
      </c>
      <c r="E1095" s="8" t="s">
        <v>5738</v>
      </c>
      <c r="F1095" s="8">
        <v>9.73630069E8</v>
      </c>
      <c r="G1095" s="8" t="s">
        <v>1620</v>
      </c>
      <c r="H1095" s="8" t="s">
        <v>3655</v>
      </c>
      <c r="I1095" s="8" t="s">
        <v>31</v>
      </c>
      <c r="J1095" s="8" t="s">
        <v>292</v>
      </c>
      <c r="K1095" s="10" t="s">
        <v>5418</v>
      </c>
      <c r="L1095" s="8" t="s">
        <v>58</v>
      </c>
      <c r="M1095" s="8" t="s">
        <v>35</v>
      </c>
      <c r="N1095" s="11">
        <v>44971.0</v>
      </c>
      <c r="O1095" s="11">
        <v>45012.0</v>
      </c>
      <c r="P1095" s="11">
        <v>45054.0</v>
      </c>
      <c r="Q1095" s="11"/>
      <c r="R1095" s="11"/>
      <c r="S1095" s="12"/>
      <c r="T1095" s="8"/>
      <c r="U1095" s="8" t="s">
        <v>88</v>
      </c>
      <c r="V1095" s="13" t="s">
        <v>3656</v>
      </c>
      <c r="W1095" s="13" t="s">
        <v>5739</v>
      </c>
      <c r="X1095" s="12"/>
      <c r="Y1095" s="14"/>
      <c r="Z1095" s="14"/>
    </row>
    <row r="1096">
      <c r="A1096" s="8" t="s">
        <v>5740</v>
      </c>
      <c r="B1096" s="8" t="s">
        <v>5741</v>
      </c>
      <c r="C1096" s="8" t="s">
        <v>25</v>
      </c>
      <c r="D1096" s="8" t="s">
        <v>26</v>
      </c>
      <c r="E1096" s="8" t="s">
        <v>5742</v>
      </c>
      <c r="F1096" s="8">
        <v>5.469475031E9</v>
      </c>
      <c r="G1096" s="8" t="s">
        <v>31</v>
      </c>
      <c r="H1096" s="8" t="s">
        <v>86</v>
      </c>
      <c r="I1096" s="8" t="s">
        <v>29</v>
      </c>
      <c r="J1096" s="8" t="s">
        <v>530</v>
      </c>
      <c r="K1096" s="10" t="s">
        <v>5373</v>
      </c>
      <c r="L1096" s="8" t="s">
        <v>58</v>
      </c>
      <c r="M1096" s="8" t="s">
        <v>35</v>
      </c>
      <c r="N1096" s="11">
        <v>44971.0</v>
      </c>
      <c r="O1096" s="11">
        <v>45032.0</v>
      </c>
      <c r="P1096" s="11">
        <v>45074.0</v>
      </c>
      <c r="Q1096" s="11">
        <v>45032.0</v>
      </c>
      <c r="R1096" s="11">
        <v>45074.0</v>
      </c>
      <c r="S1096" s="12"/>
      <c r="T1096" s="8"/>
      <c r="U1096" s="8" t="s">
        <v>88</v>
      </c>
      <c r="V1096" s="13" t="s">
        <v>175</v>
      </c>
      <c r="W1096" s="13" t="s">
        <v>5743</v>
      </c>
      <c r="X1096" s="12"/>
      <c r="Y1096" s="14"/>
      <c r="Z1096" s="14"/>
    </row>
    <row r="1097">
      <c r="A1097" s="8" t="s">
        <v>5744</v>
      </c>
      <c r="B1097" s="8" t="s">
        <v>5745</v>
      </c>
      <c r="C1097" s="8" t="s">
        <v>708</v>
      </c>
      <c r="D1097" s="8" t="s">
        <v>26</v>
      </c>
      <c r="E1097" s="8" t="s">
        <v>5746</v>
      </c>
      <c r="F1097" s="8">
        <v>7.73464991E8</v>
      </c>
      <c r="G1097" s="8" t="s">
        <v>254</v>
      </c>
      <c r="H1097" s="8" t="s">
        <v>422</v>
      </c>
      <c r="I1097" s="8" t="s">
        <v>31</v>
      </c>
      <c r="J1097" s="8" t="s">
        <v>542</v>
      </c>
      <c r="K1097" s="10" t="s">
        <v>5473</v>
      </c>
      <c r="L1097" s="8" t="s">
        <v>47</v>
      </c>
      <c r="M1097" s="8" t="s">
        <v>70</v>
      </c>
      <c r="N1097" s="11">
        <v>44972.0</v>
      </c>
      <c r="O1097" s="11">
        <v>45016.0</v>
      </c>
      <c r="P1097" s="11">
        <v>45379.0</v>
      </c>
      <c r="Q1097" s="11">
        <v>45012.0</v>
      </c>
      <c r="R1097" s="11">
        <v>45379.0</v>
      </c>
      <c r="S1097" s="12"/>
      <c r="T1097" s="8" t="s">
        <v>121</v>
      </c>
      <c r="U1097" s="8" t="s">
        <v>5474</v>
      </c>
      <c r="V1097" s="13" t="s">
        <v>38</v>
      </c>
      <c r="W1097" s="13" t="s">
        <v>5747</v>
      </c>
      <c r="X1097" s="12"/>
      <c r="Y1097" s="14"/>
      <c r="Z1097" s="14"/>
    </row>
    <row r="1098">
      <c r="A1098" s="8" t="s">
        <v>5748</v>
      </c>
      <c r="B1098" s="8" t="s">
        <v>5749</v>
      </c>
      <c r="C1098" s="8" t="s">
        <v>25</v>
      </c>
      <c r="D1098" s="8" t="s">
        <v>26</v>
      </c>
      <c r="E1098" s="8" t="s">
        <v>5750</v>
      </c>
      <c r="F1098" s="8"/>
      <c r="G1098" s="8" t="s">
        <v>84</v>
      </c>
      <c r="H1098" s="8" t="s">
        <v>619</v>
      </c>
      <c r="I1098" s="8" t="s">
        <v>31</v>
      </c>
      <c r="J1098" s="8" t="s">
        <v>77</v>
      </c>
      <c r="K1098" s="10" t="s">
        <v>5635</v>
      </c>
      <c r="L1098" s="8" t="s">
        <v>58</v>
      </c>
      <c r="M1098" s="8" t="s">
        <v>35</v>
      </c>
      <c r="N1098" s="11">
        <v>44972.0</v>
      </c>
      <c r="O1098" s="11">
        <v>44981.0</v>
      </c>
      <c r="P1098" s="11">
        <v>45023.0</v>
      </c>
      <c r="Q1098" s="11">
        <v>44975.0</v>
      </c>
      <c r="R1098" s="11">
        <v>45023.0</v>
      </c>
      <c r="S1098" s="12"/>
      <c r="T1098" s="8"/>
      <c r="U1098" s="8" t="s">
        <v>59</v>
      </c>
      <c r="V1098" s="13" t="s">
        <v>38</v>
      </c>
      <c r="W1098" s="13" t="s">
        <v>5751</v>
      </c>
      <c r="X1098" s="12"/>
      <c r="Y1098" s="14"/>
      <c r="Z1098" s="14"/>
    </row>
    <row r="1099">
      <c r="A1099" s="8" t="s">
        <v>5752</v>
      </c>
      <c r="B1099" s="8" t="s">
        <v>5753</v>
      </c>
      <c r="C1099" s="8" t="s">
        <v>708</v>
      </c>
      <c r="D1099" s="8" t="s">
        <v>26</v>
      </c>
      <c r="E1099" s="8" t="s">
        <v>5754</v>
      </c>
      <c r="F1099" s="8"/>
      <c r="G1099" s="8" t="s">
        <v>254</v>
      </c>
      <c r="H1099" s="8" t="s">
        <v>291</v>
      </c>
      <c r="I1099" s="8" t="s">
        <v>31</v>
      </c>
      <c r="J1099" s="8" t="s">
        <v>542</v>
      </c>
      <c r="K1099" s="10" t="s">
        <v>5755</v>
      </c>
      <c r="L1099" s="8" t="s">
        <v>34</v>
      </c>
      <c r="M1099" s="8" t="s">
        <v>70</v>
      </c>
      <c r="N1099" s="11">
        <v>44972.0</v>
      </c>
      <c r="O1099" s="11">
        <v>45000.0</v>
      </c>
      <c r="P1099" s="11">
        <v>45363.0</v>
      </c>
      <c r="Q1099" s="11">
        <v>45035.0</v>
      </c>
      <c r="R1099" s="11">
        <v>45398.0</v>
      </c>
      <c r="S1099" s="12"/>
      <c r="T1099" s="8" t="s">
        <v>205</v>
      </c>
      <c r="U1099" s="8" t="s">
        <v>5756</v>
      </c>
      <c r="V1099" s="13" t="s">
        <v>38</v>
      </c>
      <c r="W1099" s="13" t="s">
        <v>5757</v>
      </c>
      <c r="X1099" s="12"/>
      <c r="Y1099" s="14"/>
      <c r="Z1099" s="14"/>
    </row>
    <row r="1100">
      <c r="A1100" s="8" t="s">
        <v>5758</v>
      </c>
      <c r="B1100" s="8" t="s">
        <v>5759</v>
      </c>
      <c r="C1100" s="8" t="s">
        <v>179</v>
      </c>
      <c r="D1100" s="8" t="s">
        <v>26</v>
      </c>
      <c r="E1100" s="8" t="s">
        <v>5760</v>
      </c>
      <c r="F1100" s="8">
        <v>1.126512088E9</v>
      </c>
      <c r="G1100" s="8" t="s">
        <v>284</v>
      </c>
      <c r="H1100" s="8" t="s">
        <v>2065</v>
      </c>
      <c r="I1100" s="8" t="s">
        <v>31</v>
      </c>
      <c r="J1100" s="8" t="s">
        <v>292</v>
      </c>
      <c r="K1100" s="10" t="s">
        <v>5761</v>
      </c>
      <c r="L1100" s="8" t="s">
        <v>47</v>
      </c>
      <c r="M1100" s="8" t="s">
        <v>70</v>
      </c>
      <c r="N1100" s="11">
        <v>44972.0</v>
      </c>
      <c r="O1100" s="11">
        <v>45170.0</v>
      </c>
      <c r="P1100" s="11">
        <v>45536.0</v>
      </c>
      <c r="Q1100" s="11"/>
      <c r="R1100" s="11"/>
      <c r="S1100" s="12"/>
      <c r="T1100" s="8"/>
      <c r="U1100" s="8" t="s">
        <v>5424</v>
      </c>
      <c r="V1100" s="13" t="s">
        <v>5762</v>
      </c>
      <c r="W1100" s="13" t="s">
        <v>5763</v>
      </c>
      <c r="X1100" s="12"/>
      <c r="Y1100" s="14"/>
      <c r="Z1100" s="14"/>
    </row>
    <row r="1101">
      <c r="A1101" s="8" t="s">
        <v>5764</v>
      </c>
      <c r="B1101" s="8" t="s">
        <v>5765</v>
      </c>
      <c r="C1101" s="8" t="s">
        <v>25</v>
      </c>
      <c r="D1101" s="8" t="s">
        <v>26</v>
      </c>
      <c r="E1101" s="8" t="s">
        <v>5766</v>
      </c>
      <c r="F1101" s="8">
        <v>5.300996824E9</v>
      </c>
      <c r="G1101" s="8" t="s">
        <v>31</v>
      </c>
      <c r="H1101" s="8" t="s">
        <v>86</v>
      </c>
      <c r="I1101" s="8" t="s">
        <v>127</v>
      </c>
      <c r="J1101" s="8" t="s">
        <v>128</v>
      </c>
      <c r="K1101" s="10" t="s">
        <v>5767</v>
      </c>
      <c r="L1101" s="8" t="s">
        <v>58</v>
      </c>
      <c r="M1101" s="8" t="s">
        <v>35</v>
      </c>
      <c r="N1101" s="11">
        <v>44972.0</v>
      </c>
      <c r="O1101" s="11">
        <v>45124.0</v>
      </c>
      <c r="P1101" s="11">
        <v>45166.0</v>
      </c>
      <c r="Q1101" s="11">
        <v>45124.0</v>
      </c>
      <c r="R1101" s="11">
        <v>45166.0</v>
      </c>
      <c r="S1101" s="12"/>
      <c r="T1101" s="8"/>
      <c r="U1101" s="8" t="s">
        <v>3111</v>
      </c>
      <c r="V1101" s="13" t="s">
        <v>175</v>
      </c>
      <c r="W1101" s="13" t="s">
        <v>5768</v>
      </c>
      <c r="X1101" s="12"/>
      <c r="Y1101" s="14"/>
      <c r="Z1101" s="14"/>
    </row>
    <row r="1102">
      <c r="A1102" s="8" t="s">
        <v>5769</v>
      </c>
      <c r="B1102" s="8" t="s">
        <v>5770</v>
      </c>
      <c r="C1102" s="8" t="s">
        <v>25</v>
      </c>
      <c r="D1102" s="8" t="s">
        <v>26</v>
      </c>
      <c r="E1102" s="8" t="s">
        <v>5771</v>
      </c>
      <c r="F1102" s="8"/>
      <c r="G1102" s="8" t="s">
        <v>31</v>
      </c>
      <c r="H1102" s="8" t="s">
        <v>86</v>
      </c>
      <c r="I1102" s="8" t="s">
        <v>143</v>
      </c>
      <c r="J1102" s="8" t="s">
        <v>1478</v>
      </c>
      <c r="K1102" s="10" t="s">
        <v>5772</v>
      </c>
      <c r="L1102" s="8" t="s">
        <v>58</v>
      </c>
      <c r="M1102" s="8" t="s">
        <v>35</v>
      </c>
      <c r="N1102" s="11">
        <v>44972.0</v>
      </c>
      <c r="O1102" s="11">
        <v>45061.0</v>
      </c>
      <c r="P1102" s="11">
        <v>45103.0</v>
      </c>
      <c r="Q1102" s="11">
        <v>45061.0</v>
      </c>
      <c r="R1102" s="11">
        <v>45103.0</v>
      </c>
      <c r="S1102" s="12"/>
      <c r="T1102" s="8"/>
      <c r="U1102" s="8" t="s">
        <v>59</v>
      </c>
      <c r="V1102" s="13" t="s">
        <v>38</v>
      </c>
      <c r="W1102" s="13" t="s">
        <v>5773</v>
      </c>
      <c r="X1102" s="12"/>
      <c r="Y1102" s="14"/>
      <c r="Z1102" s="14"/>
    </row>
    <row r="1103">
      <c r="A1103" s="8" t="s">
        <v>5774</v>
      </c>
      <c r="B1103" s="8" t="s">
        <v>5775</v>
      </c>
      <c r="C1103" s="8" t="s">
        <v>708</v>
      </c>
      <c r="D1103" s="8" t="s">
        <v>26</v>
      </c>
      <c r="E1103" s="8" t="s">
        <v>5776</v>
      </c>
      <c r="F1103" s="8"/>
      <c r="G1103" s="8" t="s">
        <v>254</v>
      </c>
      <c r="H1103" s="8" t="s">
        <v>291</v>
      </c>
      <c r="I1103" s="8" t="s">
        <v>31</v>
      </c>
      <c r="J1103" s="8" t="s">
        <v>111</v>
      </c>
      <c r="K1103" s="10" t="s">
        <v>4676</v>
      </c>
      <c r="L1103" s="8" t="s">
        <v>47</v>
      </c>
      <c r="M1103" s="8" t="s">
        <v>70</v>
      </c>
      <c r="N1103" s="11">
        <v>44972.0</v>
      </c>
      <c r="O1103" s="11">
        <v>44991.0</v>
      </c>
      <c r="P1103" s="11">
        <v>45357.0</v>
      </c>
      <c r="Q1103" s="11">
        <v>45013.0</v>
      </c>
      <c r="R1103" s="11">
        <v>45379.0</v>
      </c>
      <c r="S1103" s="12"/>
      <c r="T1103" s="8" t="s">
        <v>446</v>
      </c>
      <c r="U1103" s="8" t="s">
        <v>4677</v>
      </c>
      <c r="V1103" s="13" t="s">
        <v>38</v>
      </c>
      <c r="W1103" s="13" t="s">
        <v>5777</v>
      </c>
      <c r="X1103" s="12"/>
      <c r="Y1103" s="14"/>
      <c r="Z1103" s="14"/>
    </row>
    <row r="1104">
      <c r="A1104" s="8" t="s">
        <v>5778</v>
      </c>
      <c r="B1104" s="8" t="s">
        <v>5779</v>
      </c>
      <c r="C1104" s="8" t="s">
        <v>25</v>
      </c>
      <c r="D1104" s="8" t="s">
        <v>26</v>
      </c>
      <c r="E1104" s="8" t="s">
        <v>5780</v>
      </c>
      <c r="F1104" s="8">
        <v>3.15521526E9</v>
      </c>
      <c r="G1104" s="8" t="s">
        <v>315</v>
      </c>
      <c r="H1104" s="8" t="s">
        <v>316</v>
      </c>
      <c r="I1104" s="8" t="s">
        <v>31</v>
      </c>
      <c r="J1104" s="8" t="s">
        <v>136</v>
      </c>
      <c r="K1104" s="10" t="s">
        <v>137</v>
      </c>
      <c r="L1104" s="8" t="s">
        <v>58</v>
      </c>
      <c r="M1104" s="8" t="s">
        <v>35</v>
      </c>
      <c r="N1104" s="11">
        <v>44972.0</v>
      </c>
      <c r="O1104" s="11">
        <v>45124.0</v>
      </c>
      <c r="P1104" s="11">
        <v>45166.0</v>
      </c>
      <c r="Q1104" s="11">
        <v>45126.0</v>
      </c>
      <c r="R1104" s="11">
        <v>45166.0</v>
      </c>
      <c r="S1104" s="12"/>
      <c r="T1104" s="8"/>
      <c r="U1104" s="8" t="s">
        <v>88</v>
      </c>
      <c r="V1104" s="13" t="s">
        <v>5781</v>
      </c>
      <c r="W1104" s="13" t="s">
        <v>5782</v>
      </c>
      <c r="X1104" s="12"/>
      <c r="Y1104" s="14"/>
      <c r="Z1104" s="14"/>
    </row>
    <row r="1105">
      <c r="A1105" s="8" t="s">
        <v>5783</v>
      </c>
      <c r="B1105" s="8" t="s">
        <v>5784</v>
      </c>
      <c r="C1105" s="8" t="s">
        <v>179</v>
      </c>
      <c r="D1105" s="8" t="s">
        <v>26</v>
      </c>
      <c r="E1105" s="8" t="s">
        <v>5785</v>
      </c>
      <c r="F1105" s="8"/>
      <c r="G1105" s="8" t="s">
        <v>31</v>
      </c>
      <c r="H1105" s="8" t="s">
        <v>86</v>
      </c>
      <c r="I1105" s="8" t="s">
        <v>284</v>
      </c>
      <c r="J1105" s="8" t="s">
        <v>793</v>
      </c>
      <c r="K1105" s="10" t="s">
        <v>5786</v>
      </c>
      <c r="L1105" s="8" t="s">
        <v>58</v>
      </c>
      <c r="M1105" s="8" t="s">
        <v>35</v>
      </c>
      <c r="N1105" s="11">
        <v>44972.0</v>
      </c>
      <c r="O1105" s="11">
        <v>45108.0</v>
      </c>
      <c r="P1105" s="11">
        <v>45153.0</v>
      </c>
      <c r="Q1105" s="11"/>
      <c r="R1105" s="11"/>
      <c r="S1105" s="12"/>
      <c r="T1105" s="8"/>
      <c r="U1105" s="8" t="s">
        <v>632</v>
      </c>
      <c r="V1105" s="13" t="s">
        <v>38</v>
      </c>
      <c r="W1105" s="13" t="s">
        <v>5787</v>
      </c>
      <c r="X1105" s="12"/>
      <c r="Y1105" s="14"/>
      <c r="Z1105" s="14"/>
    </row>
    <row r="1106">
      <c r="A1106" s="8" t="s">
        <v>5788</v>
      </c>
      <c r="B1106" s="8" t="s">
        <v>5789</v>
      </c>
      <c r="C1106" s="8" t="s">
        <v>25</v>
      </c>
      <c r="D1106" s="8" t="s">
        <v>26</v>
      </c>
      <c r="E1106" s="8" t="s">
        <v>5790</v>
      </c>
      <c r="F1106" s="8">
        <v>5.412393E7</v>
      </c>
      <c r="G1106" s="8" t="s">
        <v>54</v>
      </c>
      <c r="H1106" s="8" t="s">
        <v>377</v>
      </c>
      <c r="I1106" s="8" t="s">
        <v>31</v>
      </c>
      <c r="J1106" s="8" t="s">
        <v>32</v>
      </c>
      <c r="K1106" s="10" t="s">
        <v>5791</v>
      </c>
      <c r="L1106" s="8" t="s">
        <v>58</v>
      </c>
      <c r="M1106" s="8" t="s">
        <v>35</v>
      </c>
      <c r="N1106" s="11">
        <v>44973.0</v>
      </c>
      <c r="O1106" s="11">
        <v>45088.0</v>
      </c>
      <c r="P1106" s="11">
        <v>45130.0</v>
      </c>
      <c r="Q1106" s="11">
        <v>45089.0</v>
      </c>
      <c r="R1106" s="11">
        <v>45131.0</v>
      </c>
      <c r="S1106" s="12"/>
      <c r="T1106" s="8"/>
      <c r="U1106" s="8" t="s">
        <v>59</v>
      </c>
      <c r="V1106" s="13" t="s">
        <v>378</v>
      </c>
      <c r="W1106" s="13" t="s">
        <v>5792</v>
      </c>
      <c r="X1106" s="12"/>
      <c r="Y1106" s="14"/>
      <c r="Z1106" s="14"/>
    </row>
    <row r="1107">
      <c r="A1107" s="8" t="s">
        <v>5793</v>
      </c>
      <c r="B1107" s="8" t="s">
        <v>5794</v>
      </c>
      <c r="C1107" s="8" t="s">
        <v>25</v>
      </c>
      <c r="D1107" s="8" t="s">
        <v>26</v>
      </c>
      <c r="E1107" s="8" t="s">
        <v>5795</v>
      </c>
      <c r="F1107" s="8">
        <v>5.510785809E9</v>
      </c>
      <c r="G1107" s="8" t="s">
        <v>31</v>
      </c>
      <c r="H1107" s="8" t="s">
        <v>66</v>
      </c>
      <c r="I1107" s="8" t="s">
        <v>54</v>
      </c>
      <c r="J1107" s="8" t="s">
        <v>430</v>
      </c>
      <c r="K1107" s="10" t="s">
        <v>5796</v>
      </c>
      <c r="L1107" s="8" t="s">
        <v>58</v>
      </c>
      <c r="M1107" s="8" t="s">
        <v>35</v>
      </c>
      <c r="N1107" s="11">
        <v>44973.0</v>
      </c>
      <c r="O1107" s="11">
        <v>45097.0</v>
      </c>
      <c r="P1107" s="11">
        <v>45142.0</v>
      </c>
      <c r="Q1107" s="11">
        <v>45099.0</v>
      </c>
      <c r="R1107" s="11">
        <v>45142.0</v>
      </c>
      <c r="S1107" s="12"/>
      <c r="T1107" s="8"/>
      <c r="U1107" s="8" t="s">
        <v>59</v>
      </c>
      <c r="V1107" s="13" t="s">
        <v>66</v>
      </c>
      <c r="W1107" s="13" t="s">
        <v>5797</v>
      </c>
      <c r="X1107" s="12"/>
      <c r="Y1107" s="14"/>
      <c r="Z1107" s="14"/>
    </row>
    <row r="1108">
      <c r="A1108" s="8" t="s">
        <v>5798</v>
      </c>
      <c r="B1108" s="8" t="s">
        <v>5799</v>
      </c>
      <c r="C1108" s="8" t="s">
        <v>25</v>
      </c>
      <c r="D1108" s="8" t="s">
        <v>26</v>
      </c>
      <c r="E1108" s="8" t="s">
        <v>5800</v>
      </c>
      <c r="F1108" s="8"/>
      <c r="G1108" s="8" t="s">
        <v>109</v>
      </c>
      <c r="H1108" s="8" t="s">
        <v>2286</v>
      </c>
      <c r="I1108" s="8" t="s">
        <v>31</v>
      </c>
      <c r="J1108" s="8" t="s">
        <v>292</v>
      </c>
      <c r="K1108" s="10" t="s">
        <v>5801</v>
      </c>
      <c r="L1108" s="8" t="s">
        <v>58</v>
      </c>
      <c r="M1108" s="8" t="s">
        <v>35</v>
      </c>
      <c r="N1108" s="11">
        <v>44973.0</v>
      </c>
      <c r="O1108" s="11">
        <v>44991.0</v>
      </c>
      <c r="P1108" s="11">
        <v>45033.0</v>
      </c>
      <c r="Q1108" s="11">
        <v>44996.0</v>
      </c>
      <c r="R1108" s="11">
        <v>45039.0</v>
      </c>
      <c r="S1108" s="12"/>
      <c r="T1108" s="8"/>
      <c r="U1108" s="8" t="s">
        <v>88</v>
      </c>
      <c r="V1108" s="13" t="s">
        <v>38</v>
      </c>
      <c r="W1108" s="13" t="s">
        <v>5802</v>
      </c>
      <c r="X1108" s="12"/>
      <c r="Y1108" s="14"/>
      <c r="Z1108" s="14"/>
    </row>
    <row r="1109">
      <c r="A1109" s="8" t="s">
        <v>5803</v>
      </c>
      <c r="B1109" s="8" t="s">
        <v>5804</v>
      </c>
      <c r="C1109" s="8" t="s">
        <v>25</v>
      </c>
      <c r="D1109" s="8" t="s">
        <v>26</v>
      </c>
      <c r="E1109" s="8" t="s">
        <v>5805</v>
      </c>
      <c r="F1109" s="8"/>
      <c r="G1109" s="8" t="s">
        <v>31</v>
      </c>
      <c r="H1109" s="8" t="s">
        <v>56</v>
      </c>
      <c r="I1109" s="8" t="s">
        <v>284</v>
      </c>
      <c r="J1109" s="8" t="s">
        <v>2065</v>
      </c>
      <c r="K1109" s="10" t="s">
        <v>5806</v>
      </c>
      <c r="L1109" s="8" t="s">
        <v>58</v>
      </c>
      <c r="M1109" s="8" t="s">
        <v>35</v>
      </c>
      <c r="N1109" s="11">
        <v>44973.0</v>
      </c>
      <c r="O1109" s="11">
        <v>45127.0</v>
      </c>
      <c r="P1109" s="11">
        <v>45169.0</v>
      </c>
      <c r="Q1109" s="11">
        <v>45131.0</v>
      </c>
      <c r="R1109" s="11">
        <v>45173.0</v>
      </c>
      <c r="S1109" s="12"/>
      <c r="T1109" s="8"/>
      <c r="U1109" s="8" t="s">
        <v>59</v>
      </c>
      <c r="V1109" s="13" t="s">
        <v>38</v>
      </c>
      <c r="W1109" s="13" t="s">
        <v>5807</v>
      </c>
      <c r="X1109" s="12"/>
      <c r="Y1109" s="14"/>
      <c r="Z1109" s="14"/>
    </row>
    <row r="1110">
      <c r="A1110" s="8" t="s">
        <v>5808</v>
      </c>
      <c r="B1110" s="8" t="s">
        <v>5809</v>
      </c>
      <c r="C1110" s="8" t="s">
        <v>179</v>
      </c>
      <c r="D1110" s="8" t="s">
        <v>26</v>
      </c>
      <c r="E1110" s="8" t="s">
        <v>5810</v>
      </c>
      <c r="F1110" s="8">
        <v>6.9910515191E10</v>
      </c>
      <c r="G1110" s="8" t="s">
        <v>827</v>
      </c>
      <c r="H1110" s="8" t="s">
        <v>5811</v>
      </c>
      <c r="I1110" s="8" t="s">
        <v>31</v>
      </c>
      <c r="J1110" s="8" t="s">
        <v>77</v>
      </c>
      <c r="K1110" s="10" t="s">
        <v>4188</v>
      </c>
      <c r="L1110" s="8" t="s">
        <v>58</v>
      </c>
      <c r="M1110" s="8" t="s">
        <v>35</v>
      </c>
      <c r="N1110" s="11">
        <v>44973.0</v>
      </c>
      <c r="O1110" s="11">
        <v>45138.0</v>
      </c>
      <c r="P1110" s="11">
        <v>45180.0</v>
      </c>
      <c r="Q1110" s="11"/>
      <c r="R1110" s="11"/>
      <c r="S1110" s="12"/>
      <c r="T1110" s="8"/>
      <c r="U1110" s="8" t="s">
        <v>59</v>
      </c>
      <c r="V1110" s="13" t="s">
        <v>5812</v>
      </c>
      <c r="W1110" s="13" t="s">
        <v>5813</v>
      </c>
      <c r="X1110" s="12"/>
      <c r="Y1110" s="14"/>
      <c r="Z1110" s="14"/>
    </row>
    <row r="1111">
      <c r="A1111" s="8" t="s">
        <v>5814</v>
      </c>
      <c r="B1111" s="8" t="s">
        <v>5815</v>
      </c>
      <c r="C1111" s="8" t="s">
        <v>179</v>
      </c>
      <c r="D1111" s="8" t="s">
        <v>26</v>
      </c>
      <c r="E1111" s="8" t="s">
        <v>5816</v>
      </c>
      <c r="F1111" s="8" t="s">
        <v>5817</v>
      </c>
      <c r="G1111" s="8" t="s">
        <v>31</v>
      </c>
      <c r="H1111" s="8" t="s">
        <v>542</v>
      </c>
      <c r="I1111" s="8" t="s">
        <v>284</v>
      </c>
      <c r="J1111" s="8" t="s">
        <v>285</v>
      </c>
      <c r="K1111" s="10" t="s">
        <v>3841</v>
      </c>
      <c r="L1111" s="8" t="s">
        <v>58</v>
      </c>
      <c r="M1111" s="8" t="s">
        <v>35</v>
      </c>
      <c r="N1111" s="11">
        <v>44974.0</v>
      </c>
      <c r="O1111" s="11">
        <v>45108.0</v>
      </c>
      <c r="P1111" s="11">
        <v>45150.0</v>
      </c>
      <c r="Q1111" s="11"/>
      <c r="R1111" s="11"/>
      <c r="S1111" s="12"/>
      <c r="T1111" s="8"/>
      <c r="U1111" s="8" t="s">
        <v>1038</v>
      </c>
      <c r="V1111" s="13" t="s">
        <v>545</v>
      </c>
      <c r="W1111" s="13" t="s">
        <v>5818</v>
      </c>
      <c r="X1111" s="12"/>
      <c r="Y1111" s="14"/>
      <c r="Z1111" s="14"/>
    </row>
    <row r="1112">
      <c r="A1112" s="8" t="s">
        <v>5819</v>
      </c>
      <c r="B1112" s="8" t="s">
        <v>5820</v>
      </c>
      <c r="C1112" s="8" t="s">
        <v>251</v>
      </c>
      <c r="D1112" s="8" t="s">
        <v>26</v>
      </c>
      <c r="E1112" s="8" t="s">
        <v>5821</v>
      </c>
      <c r="F1112" s="8" t="s">
        <v>253</v>
      </c>
      <c r="G1112" s="8" t="s">
        <v>254</v>
      </c>
      <c r="H1112" s="8" t="s">
        <v>255</v>
      </c>
      <c r="I1112" s="8" t="s">
        <v>31</v>
      </c>
      <c r="J1112" s="8" t="s">
        <v>77</v>
      </c>
      <c r="K1112" s="10" t="s">
        <v>5822</v>
      </c>
      <c r="L1112" s="8" t="s">
        <v>47</v>
      </c>
      <c r="M1112" s="8" t="s">
        <v>48</v>
      </c>
      <c r="N1112" s="11">
        <v>44974.0</v>
      </c>
      <c r="O1112" s="11">
        <v>44984.0</v>
      </c>
      <c r="P1112" s="11">
        <v>45092.0</v>
      </c>
      <c r="Q1112" s="11"/>
      <c r="R1112" s="11"/>
      <c r="S1112" s="12"/>
      <c r="T1112" s="8"/>
      <c r="U1112" s="8" t="s">
        <v>5823</v>
      </c>
      <c r="V1112" s="13" t="s">
        <v>38</v>
      </c>
      <c r="W1112" s="13" t="s">
        <v>5824</v>
      </c>
      <c r="X1112" s="12"/>
      <c r="Y1112" s="14"/>
      <c r="Z1112" s="14"/>
    </row>
    <row r="1113">
      <c r="A1113" s="8" t="s">
        <v>5825</v>
      </c>
      <c r="B1113" s="8" t="s">
        <v>1369</v>
      </c>
      <c r="C1113" s="8" t="s">
        <v>64</v>
      </c>
      <c r="D1113" s="8" t="s">
        <v>26</v>
      </c>
      <c r="E1113" s="8" t="s">
        <v>5826</v>
      </c>
      <c r="F1113" s="8">
        <v>5.00111751E8</v>
      </c>
      <c r="G1113" s="8" t="s">
        <v>307</v>
      </c>
      <c r="H1113" s="8" t="s">
        <v>1118</v>
      </c>
      <c r="I1113" s="8" t="s">
        <v>31</v>
      </c>
      <c r="J1113" s="8" t="s">
        <v>86</v>
      </c>
      <c r="K1113" s="10" t="s">
        <v>1371</v>
      </c>
      <c r="L1113" s="8" t="s">
        <v>47</v>
      </c>
      <c r="M1113" s="8" t="s">
        <v>70</v>
      </c>
      <c r="N1113" s="11">
        <v>44974.0</v>
      </c>
      <c r="O1113" s="11">
        <v>44982.0</v>
      </c>
      <c r="P1113" s="11">
        <v>45171.0</v>
      </c>
      <c r="Q1113" s="11">
        <v>44974.0</v>
      </c>
      <c r="R1113" s="11">
        <v>45171.0</v>
      </c>
      <c r="S1113" s="12"/>
      <c r="T1113" s="8"/>
      <c r="U1113" s="8" t="s">
        <v>1372</v>
      </c>
      <c r="V1113" s="13" t="s">
        <v>5827</v>
      </c>
      <c r="W1113" s="13" t="s">
        <v>5828</v>
      </c>
      <c r="X1113" s="12"/>
      <c r="Y1113" s="14"/>
      <c r="Z1113" s="14"/>
    </row>
    <row r="1114">
      <c r="A1114" s="8" t="s">
        <v>5829</v>
      </c>
      <c r="B1114" s="8" t="s">
        <v>5830</v>
      </c>
      <c r="C1114" s="8" t="s">
        <v>179</v>
      </c>
      <c r="D1114" s="8" t="s">
        <v>26</v>
      </c>
      <c r="E1114" s="8" t="s">
        <v>5831</v>
      </c>
      <c r="F1114" s="8">
        <v>5.6891987E7</v>
      </c>
      <c r="G1114" s="8" t="s">
        <v>54</v>
      </c>
      <c r="H1114" s="8" t="s">
        <v>369</v>
      </c>
      <c r="I1114" s="8" t="s">
        <v>31</v>
      </c>
      <c r="J1114" s="8" t="s">
        <v>32</v>
      </c>
      <c r="K1114" s="10" t="s">
        <v>1813</v>
      </c>
      <c r="L1114" s="8" t="s">
        <v>58</v>
      </c>
      <c r="M1114" s="8" t="s">
        <v>35</v>
      </c>
      <c r="N1114" s="11">
        <v>44974.0</v>
      </c>
      <c r="O1114" s="11">
        <v>45165.0</v>
      </c>
      <c r="P1114" s="11">
        <v>45207.0</v>
      </c>
      <c r="Q1114" s="11"/>
      <c r="R1114" s="11"/>
      <c r="S1114" s="12"/>
      <c r="T1114" s="8"/>
      <c r="U1114" s="8" t="s">
        <v>161</v>
      </c>
      <c r="V1114" s="13" t="s">
        <v>372</v>
      </c>
      <c r="W1114" s="13" t="s">
        <v>5832</v>
      </c>
      <c r="X1114" s="12"/>
      <c r="Y1114" s="14"/>
      <c r="Z1114" s="14"/>
    </row>
    <row r="1115">
      <c r="A1115" s="8" t="s">
        <v>5833</v>
      </c>
      <c r="B1115" s="8" t="s">
        <v>5834</v>
      </c>
      <c r="C1115" s="8" t="s">
        <v>179</v>
      </c>
      <c r="D1115" s="8" t="s">
        <v>26</v>
      </c>
      <c r="E1115" s="8" t="s">
        <v>5835</v>
      </c>
      <c r="F1115" s="8">
        <v>5.392608571E9</v>
      </c>
      <c r="G1115" s="8" t="s">
        <v>31</v>
      </c>
      <c r="H1115" s="8" t="s">
        <v>542</v>
      </c>
      <c r="I1115" s="8" t="s">
        <v>399</v>
      </c>
      <c r="J1115" s="8" t="s">
        <v>415</v>
      </c>
      <c r="K1115" s="10" t="s">
        <v>1199</v>
      </c>
      <c r="L1115" s="8" t="s">
        <v>58</v>
      </c>
      <c r="M1115" s="8" t="s">
        <v>35</v>
      </c>
      <c r="N1115" s="11">
        <v>44974.0</v>
      </c>
      <c r="O1115" s="11">
        <v>45297.0</v>
      </c>
      <c r="P1115" s="11">
        <v>45339.0</v>
      </c>
      <c r="Q1115" s="11"/>
      <c r="R1115" s="11"/>
      <c r="S1115" s="12"/>
      <c r="T1115" s="8"/>
      <c r="U1115" s="8" t="s">
        <v>1038</v>
      </c>
      <c r="V1115" s="13" t="s">
        <v>545</v>
      </c>
      <c r="W1115" s="13" t="s">
        <v>5836</v>
      </c>
      <c r="X1115" s="12"/>
      <c r="Y1115" s="14"/>
      <c r="Z1115" s="14"/>
    </row>
    <row r="1116">
      <c r="A1116" s="8" t="s">
        <v>5837</v>
      </c>
      <c r="B1116" s="8" t="s">
        <v>2949</v>
      </c>
      <c r="C1116" s="8" t="s">
        <v>251</v>
      </c>
      <c r="D1116" s="8" t="s">
        <v>26</v>
      </c>
      <c r="E1116" s="8" t="s">
        <v>2950</v>
      </c>
      <c r="F1116" s="8">
        <v>2.3525948E7</v>
      </c>
      <c r="G1116" s="8" t="s">
        <v>54</v>
      </c>
      <c r="H1116" s="8" t="s">
        <v>55</v>
      </c>
      <c r="I1116" s="8" t="s">
        <v>31</v>
      </c>
      <c r="J1116" s="8" t="s">
        <v>77</v>
      </c>
      <c r="K1116" s="10" t="s">
        <v>5838</v>
      </c>
      <c r="L1116" s="8" t="s">
        <v>47</v>
      </c>
      <c r="M1116" s="8" t="s">
        <v>48</v>
      </c>
      <c r="N1116" s="11">
        <v>44975.0</v>
      </c>
      <c r="O1116" s="11">
        <v>44989.0</v>
      </c>
      <c r="P1116" s="11">
        <v>45107.0</v>
      </c>
      <c r="Q1116" s="11"/>
      <c r="R1116" s="11"/>
      <c r="S1116" s="12"/>
      <c r="T1116" s="8"/>
      <c r="U1116" s="8" t="s">
        <v>5839</v>
      </c>
      <c r="V1116" s="13" t="s">
        <v>60</v>
      </c>
      <c r="W1116" s="13" t="s">
        <v>2953</v>
      </c>
      <c r="X1116" s="12"/>
      <c r="Y1116" s="14"/>
      <c r="Z1116" s="14"/>
    </row>
    <row r="1117">
      <c r="A1117" s="8" t="s">
        <v>5840</v>
      </c>
      <c r="B1117" s="8" t="s">
        <v>5841</v>
      </c>
      <c r="C1117" s="8" t="s">
        <v>179</v>
      </c>
      <c r="D1117" s="8" t="s">
        <v>26</v>
      </c>
      <c r="E1117" s="8" t="s">
        <v>5842</v>
      </c>
      <c r="F1117" s="8">
        <v>5.2779775E7</v>
      </c>
      <c r="G1117" s="8" t="s">
        <v>54</v>
      </c>
      <c r="H1117" s="8" t="s">
        <v>369</v>
      </c>
      <c r="I1117" s="8" t="s">
        <v>31</v>
      </c>
      <c r="J1117" s="8" t="s">
        <v>32</v>
      </c>
      <c r="K1117" s="10" t="s">
        <v>5843</v>
      </c>
      <c r="L1117" s="8" t="s">
        <v>58</v>
      </c>
      <c r="M1117" s="8" t="s">
        <v>35</v>
      </c>
      <c r="N1117" s="11">
        <v>44975.0</v>
      </c>
      <c r="O1117" s="11">
        <v>45089.0</v>
      </c>
      <c r="P1117" s="11">
        <v>45131.0</v>
      </c>
      <c r="Q1117" s="11"/>
      <c r="R1117" s="11"/>
      <c r="S1117" s="12"/>
      <c r="T1117" s="8"/>
      <c r="U1117" s="8" t="s">
        <v>161</v>
      </c>
      <c r="V1117" s="13" t="s">
        <v>5844</v>
      </c>
      <c r="W1117" s="13" t="s">
        <v>5845</v>
      </c>
      <c r="X1117" s="12"/>
      <c r="Y1117" s="14"/>
      <c r="Z1117" s="14"/>
    </row>
    <row r="1118">
      <c r="A1118" s="8" t="s">
        <v>5846</v>
      </c>
      <c r="B1118" s="8" t="s">
        <v>5847</v>
      </c>
      <c r="C1118" s="8" t="s">
        <v>179</v>
      </c>
      <c r="D1118" s="8" t="s">
        <v>26</v>
      </c>
      <c r="E1118" s="8" t="s">
        <v>5848</v>
      </c>
      <c r="F1118" s="8">
        <v>1.014824957E9</v>
      </c>
      <c r="G1118" s="8" t="s">
        <v>284</v>
      </c>
      <c r="H1118" s="8" t="s">
        <v>1422</v>
      </c>
      <c r="I1118" s="8" t="s">
        <v>31</v>
      </c>
      <c r="J1118" s="8" t="s">
        <v>167</v>
      </c>
      <c r="K1118" s="10" t="s">
        <v>5849</v>
      </c>
      <c r="L1118" s="8" t="s">
        <v>58</v>
      </c>
      <c r="M1118" s="8" t="s">
        <v>35</v>
      </c>
      <c r="N1118" s="11">
        <v>44975.0</v>
      </c>
      <c r="O1118" s="11">
        <v>45019.0</v>
      </c>
      <c r="P1118" s="11">
        <v>45061.0</v>
      </c>
      <c r="Q1118" s="11"/>
      <c r="R1118" s="11"/>
      <c r="S1118" s="12"/>
      <c r="T1118" s="8"/>
      <c r="U1118" s="8" t="s">
        <v>59</v>
      </c>
      <c r="V1118" s="13" t="s">
        <v>1424</v>
      </c>
      <c r="W1118" s="13" t="s">
        <v>5850</v>
      </c>
      <c r="X1118" s="12"/>
      <c r="Y1118" s="14"/>
      <c r="Z1118" s="14"/>
    </row>
    <row r="1119">
      <c r="A1119" s="8" t="s">
        <v>5851</v>
      </c>
      <c r="B1119" s="8" t="s">
        <v>5852</v>
      </c>
      <c r="C1119" s="8" t="s">
        <v>179</v>
      </c>
      <c r="D1119" s="8" t="s">
        <v>26</v>
      </c>
      <c r="E1119" s="8" t="s">
        <v>5853</v>
      </c>
      <c r="F1119" s="9" t="s">
        <v>5854</v>
      </c>
      <c r="G1119" s="8" t="s">
        <v>31</v>
      </c>
      <c r="H1119" s="8" t="s">
        <v>167</v>
      </c>
      <c r="I1119" s="8" t="s">
        <v>44</v>
      </c>
      <c r="J1119" s="8" t="s">
        <v>2348</v>
      </c>
      <c r="K1119" s="10" t="s">
        <v>2349</v>
      </c>
      <c r="L1119" s="8" t="s">
        <v>58</v>
      </c>
      <c r="M1119" s="8" t="s">
        <v>35</v>
      </c>
      <c r="N1119" s="11">
        <v>44975.0</v>
      </c>
      <c r="O1119" s="11">
        <v>45122.0</v>
      </c>
      <c r="P1119" s="11">
        <v>45167.0</v>
      </c>
      <c r="Q1119" s="11"/>
      <c r="R1119" s="11"/>
      <c r="S1119" s="12"/>
      <c r="T1119" s="8"/>
      <c r="U1119" s="8" t="s">
        <v>632</v>
      </c>
      <c r="V1119" s="13" t="s">
        <v>167</v>
      </c>
      <c r="W1119" s="13" t="s">
        <v>5855</v>
      </c>
      <c r="X1119" s="12"/>
      <c r="Y1119" s="14"/>
      <c r="Z1119" s="14"/>
    </row>
    <row r="1120">
      <c r="A1120" s="8" t="s">
        <v>5856</v>
      </c>
      <c r="B1120" s="8" t="s">
        <v>5857</v>
      </c>
      <c r="C1120" s="8" t="s">
        <v>64</v>
      </c>
      <c r="D1120" s="8" t="s">
        <v>26</v>
      </c>
      <c r="E1120" s="8" t="s">
        <v>5858</v>
      </c>
      <c r="F1120" s="8"/>
      <c r="G1120" s="8" t="s">
        <v>315</v>
      </c>
      <c r="H1120" s="8" t="s">
        <v>1557</v>
      </c>
      <c r="I1120" s="8" t="s">
        <v>31</v>
      </c>
      <c r="J1120" s="8" t="s">
        <v>32</v>
      </c>
      <c r="K1120" s="10" t="s">
        <v>1813</v>
      </c>
      <c r="L1120" s="8" t="s">
        <v>58</v>
      </c>
      <c r="M1120" s="8" t="s">
        <v>35</v>
      </c>
      <c r="N1120" s="11">
        <v>44975.0</v>
      </c>
      <c r="O1120" s="11">
        <v>45165.0</v>
      </c>
      <c r="P1120" s="11">
        <v>45207.0</v>
      </c>
      <c r="Q1120" s="11">
        <v>45167.0</v>
      </c>
      <c r="R1120" s="11">
        <v>45209.0</v>
      </c>
      <c r="S1120" s="12"/>
      <c r="T1120" s="8"/>
      <c r="U1120" s="8" t="s">
        <v>161</v>
      </c>
      <c r="V1120" s="13" t="s">
        <v>38</v>
      </c>
      <c r="W1120" s="13" t="s">
        <v>5859</v>
      </c>
      <c r="X1120" s="12"/>
      <c r="Y1120" s="14"/>
      <c r="Z1120" s="14"/>
    </row>
    <row r="1121">
      <c r="A1121" s="8" t="s">
        <v>5860</v>
      </c>
      <c r="B1121" s="8" t="s">
        <v>5861</v>
      </c>
      <c r="C1121" s="8" t="s">
        <v>708</v>
      </c>
      <c r="D1121" s="8" t="s">
        <v>26</v>
      </c>
      <c r="E1121" s="8" t="s">
        <v>5862</v>
      </c>
      <c r="F1121" s="8">
        <v>6.65783269E8</v>
      </c>
      <c r="G1121" s="8" t="s">
        <v>254</v>
      </c>
      <c r="H1121" s="8" t="s">
        <v>758</v>
      </c>
      <c r="I1121" s="8" t="s">
        <v>31</v>
      </c>
      <c r="J1121" s="8" t="s">
        <v>542</v>
      </c>
      <c r="K1121" s="10" t="s">
        <v>1685</v>
      </c>
      <c r="L1121" s="8" t="s">
        <v>34</v>
      </c>
      <c r="M1121" s="8" t="s">
        <v>70</v>
      </c>
      <c r="N1121" s="11">
        <v>44975.0</v>
      </c>
      <c r="O1121" s="11">
        <v>44986.0</v>
      </c>
      <c r="P1121" s="11">
        <v>45326.0</v>
      </c>
      <c r="Q1121" s="11">
        <v>45012.0</v>
      </c>
      <c r="R1121" s="11">
        <v>45364.0</v>
      </c>
      <c r="S1121" s="12"/>
      <c r="T1121" s="8" t="s">
        <v>205</v>
      </c>
      <c r="U1121" s="8" t="s">
        <v>1686</v>
      </c>
      <c r="V1121" s="13" t="s">
        <v>295</v>
      </c>
      <c r="W1121" s="13" t="s">
        <v>5863</v>
      </c>
      <c r="X1121" s="12"/>
      <c r="Y1121" s="14"/>
      <c r="Z1121" s="14"/>
    </row>
    <row r="1122">
      <c r="A1122" s="8" t="s">
        <v>5864</v>
      </c>
      <c r="B1122" s="8" t="s">
        <v>5865</v>
      </c>
      <c r="C1122" s="8" t="s">
        <v>64</v>
      </c>
      <c r="D1122" s="8" t="s">
        <v>26</v>
      </c>
      <c r="E1122" s="8" t="s">
        <v>5866</v>
      </c>
      <c r="F1122" s="8"/>
      <c r="G1122" s="8" t="s">
        <v>54</v>
      </c>
      <c r="H1122" s="8" t="s">
        <v>377</v>
      </c>
      <c r="I1122" s="8" t="s">
        <v>31</v>
      </c>
      <c r="J1122" s="8" t="s">
        <v>167</v>
      </c>
      <c r="K1122" s="10" t="s">
        <v>4008</v>
      </c>
      <c r="L1122" s="8" t="s">
        <v>58</v>
      </c>
      <c r="M1122" s="8" t="s">
        <v>35</v>
      </c>
      <c r="N1122" s="11">
        <v>44976.0</v>
      </c>
      <c r="O1122" s="11">
        <v>45117.0</v>
      </c>
      <c r="P1122" s="11">
        <v>45159.0</v>
      </c>
      <c r="Q1122" s="11">
        <v>45124.0</v>
      </c>
      <c r="R1122" s="11">
        <v>45165.0</v>
      </c>
      <c r="S1122" s="12"/>
      <c r="T1122" s="8"/>
      <c r="U1122" s="8" t="s">
        <v>59</v>
      </c>
      <c r="V1122" s="13" t="s">
        <v>38</v>
      </c>
      <c r="W1122" s="13" t="s">
        <v>5867</v>
      </c>
      <c r="X1122" s="12"/>
      <c r="Y1122" s="14"/>
      <c r="Z1122" s="14"/>
    </row>
    <row r="1123">
      <c r="A1123" s="8" t="s">
        <v>5868</v>
      </c>
      <c r="B1123" s="8" t="s">
        <v>5869</v>
      </c>
      <c r="C1123" s="8" t="s">
        <v>64</v>
      </c>
      <c r="D1123" s="8" t="s">
        <v>26</v>
      </c>
      <c r="E1123" s="8" t="s">
        <v>5870</v>
      </c>
      <c r="F1123" s="8"/>
      <c r="G1123" s="8" t="s">
        <v>31</v>
      </c>
      <c r="H1123" s="8" t="s">
        <v>220</v>
      </c>
      <c r="I1123" s="8" t="s">
        <v>5871</v>
      </c>
      <c r="J1123" s="8" t="s">
        <v>5872</v>
      </c>
      <c r="K1123" s="10" t="s">
        <v>5873</v>
      </c>
      <c r="L1123" s="8" t="s">
        <v>58</v>
      </c>
      <c r="M1123" s="8" t="s">
        <v>35</v>
      </c>
      <c r="N1123" s="11">
        <v>44976.0</v>
      </c>
      <c r="O1123" s="11">
        <v>45000.0</v>
      </c>
      <c r="P1123" s="11">
        <v>45042.0</v>
      </c>
      <c r="Q1123" s="11">
        <v>45007.0</v>
      </c>
      <c r="R1123" s="11">
        <v>45048.0</v>
      </c>
      <c r="S1123" s="12"/>
      <c r="T1123" s="8"/>
      <c r="U1123" s="8" t="s">
        <v>997</v>
      </c>
      <c r="V1123" s="13" t="s">
        <v>38</v>
      </c>
      <c r="W1123" s="13" t="s">
        <v>5874</v>
      </c>
      <c r="X1123" s="12"/>
      <c r="Y1123" s="14"/>
      <c r="Z1123" s="14"/>
    </row>
    <row r="1124">
      <c r="A1124" s="8" t="s">
        <v>5875</v>
      </c>
      <c r="B1124" s="8" t="s">
        <v>5876</v>
      </c>
      <c r="C1124" s="8" t="s">
        <v>25</v>
      </c>
      <c r="D1124" s="8" t="s">
        <v>26</v>
      </c>
      <c r="E1124" s="8" t="s">
        <v>5877</v>
      </c>
      <c r="F1124" s="8">
        <v>3.00799908E9</v>
      </c>
      <c r="G1124" s="8" t="s">
        <v>315</v>
      </c>
      <c r="H1124" s="8" t="s">
        <v>1242</v>
      </c>
      <c r="I1124" s="8" t="s">
        <v>31</v>
      </c>
      <c r="J1124" s="8" t="s">
        <v>167</v>
      </c>
      <c r="K1124" s="10" t="s">
        <v>4008</v>
      </c>
      <c r="L1124" s="8" t="s">
        <v>58</v>
      </c>
      <c r="M1124" s="8" t="s">
        <v>35</v>
      </c>
      <c r="N1124" s="11">
        <v>44976.0</v>
      </c>
      <c r="O1124" s="11">
        <v>45033.0</v>
      </c>
      <c r="P1124" s="11">
        <v>45075.0</v>
      </c>
      <c r="Q1124" s="11">
        <v>45042.0</v>
      </c>
      <c r="R1124" s="11">
        <v>45083.0</v>
      </c>
      <c r="S1124" s="12"/>
      <c r="T1124" s="8"/>
      <c r="U1124" s="8" t="s">
        <v>59</v>
      </c>
      <c r="V1124" s="13" t="s">
        <v>1243</v>
      </c>
      <c r="W1124" s="13" t="s">
        <v>5878</v>
      </c>
      <c r="X1124" s="12"/>
      <c r="Y1124" s="14"/>
      <c r="Z1124" s="14"/>
    </row>
    <row r="1125">
      <c r="A1125" s="8" t="s">
        <v>5879</v>
      </c>
      <c r="B1125" s="8" t="s">
        <v>5880</v>
      </c>
      <c r="C1125" s="8" t="s">
        <v>64</v>
      </c>
      <c r="D1125" s="8" t="s">
        <v>26</v>
      </c>
      <c r="E1125" s="8" t="s">
        <v>5881</v>
      </c>
      <c r="F1125" s="8"/>
      <c r="G1125" s="8" t="s">
        <v>118</v>
      </c>
      <c r="H1125" s="8" t="s">
        <v>3100</v>
      </c>
      <c r="I1125" s="8" t="s">
        <v>31</v>
      </c>
      <c r="J1125" s="8" t="s">
        <v>86</v>
      </c>
      <c r="K1125" s="10" t="s">
        <v>416</v>
      </c>
      <c r="L1125" s="8" t="s">
        <v>58</v>
      </c>
      <c r="M1125" s="8" t="s">
        <v>35</v>
      </c>
      <c r="N1125" s="11">
        <v>44976.0</v>
      </c>
      <c r="O1125" s="11">
        <v>45123.0</v>
      </c>
      <c r="P1125" s="11">
        <v>45165.0</v>
      </c>
      <c r="Q1125" s="11">
        <v>45117.0</v>
      </c>
      <c r="R1125" s="11">
        <v>45165.0</v>
      </c>
      <c r="S1125" s="12"/>
      <c r="T1125" s="8"/>
      <c r="U1125" s="8" t="s">
        <v>59</v>
      </c>
      <c r="V1125" s="13" t="s">
        <v>38</v>
      </c>
      <c r="W1125" s="13" t="s">
        <v>5882</v>
      </c>
      <c r="X1125" s="12"/>
      <c r="Y1125" s="14"/>
      <c r="Z1125" s="14"/>
    </row>
    <row r="1126">
      <c r="A1126" s="8" t="s">
        <v>5883</v>
      </c>
      <c r="B1126" s="8" t="s">
        <v>5884</v>
      </c>
      <c r="C1126" s="8" t="s">
        <v>25</v>
      </c>
      <c r="D1126" s="8" t="s">
        <v>26</v>
      </c>
      <c r="E1126" s="8" t="s">
        <v>5885</v>
      </c>
      <c r="F1126" s="8">
        <v>5.434150789E9</v>
      </c>
      <c r="G1126" s="8" t="s">
        <v>31</v>
      </c>
      <c r="H1126" s="8" t="s">
        <v>86</v>
      </c>
      <c r="I1126" s="8" t="s">
        <v>399</v>
      </c>
      <c r="J1126" s="8" t="s">
        <v>415</v>
      </c>
      <c r="K1126" s="10" t="s">
        <v>2626</v>
      </c>
      <c r="L1126" s="8" t="s">
        <v>58</v>
      </c>
      <c r="M1126" s="8" t="s">
        <v>35</v>
      </c>
      <c r="N1126" s="11">
        <v>44977.0</v>
      </c>
      <c r="O1126" s="11">
        <v>45115.0</v>
      </c>
      <c r="P1126" s="11">
        <v>45157.0</v>
      </c>
      <c r="Q1126" s="11">
        <v>45120.0</v>
      </c>
      <c r="R1126" s="11">
        <v>45160.0</v>
      </c>
      <c r="S1126" s="12"/>
      <c r="T1126" s="8"/>
      <c r="U1126" s="8" t="s">
        <v>185</v>
      </c>
      <c r="V1126" s="13" t="s">
        <v>175</v>
      </c>
      <c r="W1126" s="13" t="s">
        <v>5886</v>
      </c>
      <c r="X1126" s="12"/>
      <c r="Y1126" s="14"/>
      <c r="Z1126" s="14"/>
    </row>
    <row r="1127">
      <c r="A1127" s="8" t="s">
        <v>5887</v>
      </c>
      <c r="B1127" s="8" t="s">
        <v>5888</v>
      </c>
      <c r="C1127" s="8" t="s">
        <v>179</v>
      </c>
      <c r="D1127" s="8" t="s">
        <v>26</v>
      </c>
      <c r="E1127" s="8" t="s">
        <v>5889</v>
      </c>
      <c r="F1127" s="8">
        <v>7.47519027E8</v>
      </c>
      <c r="G1127" s="8" t="s">
        <v>127</v>
      </c>
      <c r="H1127" s="8" t="s">
        <v>3542</v>
      </c>
      <c r="I1127" s="8" t="s">
        <v>31</v>
      </c>
      <c r="J1127" s="8" t="s">
        <v>32</v>
      </c>
      <c r="K1127" s="10" t="s">
        <v>5060</v>
      </c>
      <c r="L1127" s="8" t="s">
        <v>58</v>
      </c>
      <c r="M1127" s="8" t="s">
        <v>35</v>
      </c>
      <c r="N1127" s="11">
        <v>44977.0</v>
      </c>
      <c r="O1127" s="11">
        <v>45110.0</v>
      </c>
      <c r="P1127" s="11">
        <v>45152.0</v>
      </c>
      <c r="Q1127" s="11"/>
      <c r="R1127" s="11"/>
      <c r="S1127" s="12"/>
      <c r="T1127" s="8"/>
      <c r="U1127" s="8" t="s">
        <v>161</v>
      </c>
      <c r="V1127" s="13" t="s">
        <v>4308</v>
      </c>
      <c r="W1127" s="13" t="s">
        <v>5890</v>
      </c>
      <c r="X1127" s="12"/>
      <c r="Y1127" s="14"/>
      <c r="Z1127" s="14"/>
    </row>
    <row r="1128">
      <c r="A1128" s="8" t="s">
        <v>5891</v>
      </c>
      <c r="B1128" s="8" t="s">
        <v>5892</v>
      </c>
      <c r="C1128" s="8" t="s">
        <v>179</v>
      </c>
      <c r="D1128" s="8" t="s">
        <v>26</v>
      </c>
      <c r="E1128" s="8" t="s">
        <v>5893</v>
      </c>
      <c r="F1128" s="9" t="s">
        <v>5894</v>
      </c>
      <c r="G1128" s="8" t="s">
        <v>29</v>
      </c>
      <c r="H1128" s="8" t="s">
        <v>530</v>
      </c>
      <c r="I1128" s="8" t="s">
        <v>31</v>
      </c>
      <c r="J1128" s="8" t="s">
        <v>77</v>
      </c>
      <c r="K1128" s="10" t="s">
        <v>4188</v>
      </c>
      <c r="L1128" s="8" t="s">
        <v>58</v>
      </c>
      <c r="M1128" s="8" t="s">
        <v>35</v>
      </c>
      <c r="N1128" s="11">
        <v>44977.0</v>
      </c>
      <c r="O1128" s="11">
        <v>45110.0</v>
      </c>
      <c r="P1128" s="11">
        <v>45152.0</v>
      </c>
      <c r="Q1128" s="11"/>
      <c r="R1128" s="11"/>
      <c r="S1128" s="12"/>
      <c r="T1128" s="8"/>
      <c r="U1128" s="8" t="s">
        <v>59</v>
      </c>
      <c r="V1128" s="13" t="s">
        <v>5895</v>
      </c>
      <c r="W1128" s="13" t="s">
        <v>5896</v>
      </c>
      <c r="X1128" s="12"/>
      <c r="Y1128" s="14"/>
      <c r="Z1128" s="14"/>
    </row>
    <row r="1129">
      <c r="A1129" s="8" t="s">
        <v>5897</v>
      </c>
      <c r="B1129" s="8" t="s">
        <v>5898</v>
      </c>
      <c r="C1129" s="8" t="s">
        <v>25</v>
      </c>
      <c r="D1129" s="8" t="s">
        <v>26</v>
      </c>
      <c r="E1129" s="8" t="s">
        <v>5899</v>
      </c>
      <c r="F1129" s="8">
        <v>7.14948162E8</v>
      </c>
      <c r="G1129" s="8" t="s">
        <v>818</v>
      </c>
      <c r="H1129" s="8" t="s">
        <v>5900</v>
      </c>
      <c r="I1129" s="8" t="s">
        <v>31</v>
      </c>
      <c r="J1129" s="8" t="s">
        <v>86</v>
      </c>
      <c r="K1129" s="10" t="s">
        <v>2453</v>
      </c>
      <c r="L1129" s="8" t="s">
        <v>58</v>
      </c>
      <c r="M1129" s="8" t="s">
        <v>35</v>
      </c>
      <c r="N1129" s="11">
        <v>44977.0</v>
      </c>
      <c r="O1129" s="11">
        <v>45005.0</v>
      </c>
      <c r="P1129" s="11">
        <v>45047.0</v>
      </c>
      <c r="Q1129" s="11">
        <v>45023.0</v>
      </c>
      <c r="R1129" s="11">
        <v>45065.0</v>
      </c>
      <c r="S1129" s="12"/>
      <c r="T1129" s="8"/>
      <c r="U1129" s="8" t="s">
        <v>59</v>
      </c>
      <c r="V1129" s="13" t="s">
        <v>5901</v>
      </c>
      <c r="W1129" s="13" t="s">
        <v>5902</v>
      </c>
      <c r="X1129" s="12"/>
      <c r="Y1129" s="14"/>
      <c r="Z1129" s="14"/>
    </row>
    <row r="1130">
      <c r="A1130" s="8" t="s">
        <v>5903</v>
      </c>
      <c r="B1130" s="8" t="s">
        <v>975</v>
      </c>
      <c r="C1130" s="8" t="s">
        <v>179</v>
      </c>
      <c r="D1130" s="8" t="s">
        <v>26</v>
      </c>
      <c r="E1130" s="8" t="s">
        <v>5904</v>
      </c>
      <c r="F1130" s="8">
        <v>5.052667525E9</v>
      </c>
      <c r="G1130" s="8" t="s">
        <v>31</v>
      </c>
      <c r="H1130" s="8" t="s">
        <v>220</v>
      </c>
      <c r="I1130" s="8" t="s">
        <v>44</v>
      </c>
      <c r="J1130" s="8" t="s">
        <v>741</v>
      </c>
      <c r="K1130" s="10" t="s">
        <v>5525</v>
      </c>
      <c r="L1130" s="8" t="s">
        <v>58</v>
      </c>
      <c r="M1130" s="8" t="s">
        <v>35</v>
      </c>
      <c r="N1130" s="11">
        <v>44978.0</v>
      </c>
      <c r="O1130" s="11">
        <v>44992.0</v>
      </c>
      <c r="P1130" s="11">
        <v>45034.0</v>
      </c>
      <c r="Q1130" s="11"/>
      <c r="R1130" s="11"/>
      <c r="S1130" s="12"/>
      <c r="T1130" s="8"/>
      <c r="U1130" s="8" t="s">
        <v>88</v>
      </c>
      <c r="V1130" s="13" t="s">
        <v>220</v>
      </c>
      <c r="W1130" s="13" t="s">
        <v>5905</v>
      </c>
      <c r="X1130" s="12"/>
      <c r="Y1130" s="14"/>
      <c r="Z1130" s="14"/>
    </row>
    <row r="1131">
      <c r="A1131" s="8" t="s">
        <v>5906</v>
      </c>
      <c r="B1131" s="8" t="s">
        <v>5907</v>
      </c>
      <c r="C1131" s="8" t="s">
        <v>251</v>
      </c>
      <c r="D1131" s="8" t="s">
        <v>26</v>
      </c>
      <c r="E1131" s="8" t="s">
        <v>5908</v>
      </c>
      <c r="F1131" s="8">
        <v>5.370116406E9</v>
      </c>
      <c r="G1131" s="8" t="s">
        <v>31</v>
      </c>
      <c r="H1131" s="8" t="s">
        <v>56</v>
      </c>
      <c r="I1131" s="8" t="s">
        <v>44</v>
      </c>
      <c r="J1131" s="8" t="s">
        <v>453</v>
      </c>
      <c r="K1131" s="10" t="s">
        <v>5531</v>
      </c>
      <c r="L1131" s="8" t="s">
        <v>58</v>
      </c>
      <c r="M1131" s="8" t="s">
        <v>35</v>
      </c>
      <c r="N1131" s="11">
        <v>44978.0</v>
      </c>
      <c r="O1131" s="11">
        <v>45122.0</v>
      </c>
      <c r="P1131" s="11">
        <v>45164.0</v>
      </c>
      <c r="Q1131" s="11"/>
      <c r="R1131" s="11"/>
      <c r="S1131" s="12"/>
      <c r="T1131" s="8"/>
      <c r="U1131" s="8" t="s">
        <v>1038</v>
      </c>
      <c r="V1131" s="13" t="s">
        <v>56</v>
      </c>
      <c r="W1131" s="13" t="s">
        <v>5909</v>
      </c>
      <c r="X1131" s="12"/>
      <c r="Y1131" s="14"/>
      <c r="Z1131" s="14"/>
    </row>
    <row r="1132">
      <c r="A1132" s="8" t="s">
        <v>5910</v>
      </c>
      <c r="B1132" s="8" t="s">
        <v>5911</v>
      </c>
      <c r="C1132" s="8" t="s">
        <v>179</v>
      </c>
      <c r="D1132" s="8" t="s">
        <v>26</v>
      </c>
      <c r="E1132" s="8" t="s">
        <v>5912</v>
      </c>
      <c r="F1132" s="8">
        <v>6.6938633E8</v>
      </c>
      <c r="G1132" s="8" t="s">
        <v>1620</v>
      </c>
      <c r="H1132" s="8" t="s">
        <v>5244</v>
      </c>
      <c r="I1132" s="8" t="s">
        <v>31</v>
      </c>
      <c r="J1132" s="8" t="s">
        <v>220</v>
      </c>
      <c r="K1132" s="10" t="s">
        <v>2193</v>
      </c>
      <c r="L1132" s="8" t="s">
        <v>58</v>
      </c>
      <c r="M1132" s="8" t="s">
        <v>35</v>
      </c>
      <c r="N1132" s="11">
        <v>44978.0</v>
      </c>
      <c r="O1132" s="11">
        <v>45117.0</v>
      </c>
      <c r="P1132" s="11">
        <v>45159.0</v>
      </c>
      <c r="Q1132" s="11"/>
      <c r="R1132" s="11"/>
      <c r="S1132" s="12"/>
      <c r="T1132" s="8"/>
      <c r="U1132" s="8" t="s">
        <v>59</v>
      </c>
      <c r="V1132" s="13" t="s">
        <v>5913</v>
      </c>
      <c r="W1132" s="13" t="s">
        <v>5914</v>
      </c>
      <c r="X1132" s="12"/>
      <c r="Y1132" s="14"/>
      <c r="Z1132" s="14"/>
    </row>
    <row r="1133">
      <c r="A1133" s="8" t="s">
        <v>5915</v>
      </c>
      <c r="B1133" s="8" t="s">
        <v>5916</v>
      </c>
      <c r="C1133" s="8" t="s">
        <v>251</v>
      </c>
      <c r="D1133" s="8" t="s">
        <v>26</v>
      </c>
      <c r="E1133" s="8" t="s">
        <v>5917</v>
      </c>
      <c r="F1133" s="8"/>
      <c r="G1133" s="8" t="s">
        <v>315</v>
      </c>
      <c r="H1133" s="8" t="s">
        <v>1833</v>
      </c>
      <c r="I1133" s="8" t="s">
        <v>31</v>
      </c>
      <c r="J1133" s="8" t="s">
        <v>32</v>
      </c>
      <c r="K1133" s="10" t="s">
        <v>473</v>
      </c>
      <c r="L1133" s="8" t="s">
        <v>58</v>
      </c>
      <c r="M1133" s="8" t="s">
        <v>35</v>
      </c>
      <c r="N1133" s="11">
        <v>44978.0</v>
      </c>
      <c r="O1133" s="11">
        <v>45088.0</v>
      </c>
      <c r="P1133" s="11">
        <v>45130.0</v>
      </c>
      <c r="Q1133" s="11"/>
      <c r="R1133" s="11"/>
      <c r="S1133" s="12"/>
      <c r="T1133" s="8"/>
      <c r="U1133" s="8" t="s">
        <v>59</v>
      </c>
      <c r="V1133" s="13" t="s">
        <v>38</v>
      </c>
      <c r="W1133" s="13" t="s">
        <v>5918</v>
      </c>
      <c r="X1133" s="12"/>
      <c r="Y1133" s="14"/>
      <c r="Z1133" s="14"/>
    </row>
    <row r="1134">
      <c r="A1134" s="8" t="s">
        <v>5919</v>
      </c>
      <c r="B1134" s="8" t="s">
        <v>5920</v>
      </c>
      <c r="C1134" s="8" t="s">
        <v>25</v>
      </c>
      <c r="D1134" s="8" t="s">
        <v>26</v>
      </c>
      <c r="E1134" s="8" t="s">
        <v>5921</v>
      </c>
      <c r="F1134" s="8">
        <v>3.312444454E9</v>
      </c>
      <c r="G1134" s="8" t="s">
        <v>315</v>
      </c>
      <c r="H1134" s="8" t="s">
        <v>1833</v>
      </c>
      <c r="I1134" s="8" t="s">
        <v>31</v>
      </c>
      <c r="J1134" s="8" t="s">
        <v>32</v>
      </c>
      <c r="K1134" s="10" t="s">
        <v>5791</v>
      </c>
      <c r="L1134" s="8" t="s">
        <v>58</v>
      </c>
      <c r="M1134" s="8" t="s">
        <v>35</v>
      </c>
      <c r="N1134" s="11">
        <v>44978.0</v>
      </c>
      <c r="O1134" s="11">
        <v>45088.0</v>
      </c>
      <c r="P1134" s="11">
        <v>45130.0</v>
      </c>
      <c r="Q1134" s="11">
        <v>45089.0</v>
      </c>
      <c r="R1134" s="11">
        <v>45131.0</v>
      </c>
      <c r="S1134" s="12"/>
      <c r="T1134" s="8"/>
      <c r="U1134" s="8" t="s">
        <v>59</v>
      </c>
      <c r="V1134" s="13" t="s">
        <v>3501</v>
      </c>
      <c r="W1134" s="13" t="s">
        <v>5922</v>
      </c>
      <c r="X1134" s="12"/>
      <c r="Y1134" s="14"/>
      <c r="Z1134" s="14"/>
    </row>
    <row r="1135">
      <c r="A1135" s="8" t="s">
        <v>5923</v>
      </c>
      <c r="B1135" s="8" t="s">
        <v>5924</v>
      </c>
      <c r="C1135" s="8" t="s">
        <v>64</v>
      </c>
      <c r="D1135" s="8" t="s">
        <v>26</v>
      </c>
      <c r="E1135" s="8" t="s">
        <v>5925</v>
      </c>
      <c r="F1135" s="8">
        <v>3.022817108E9</v>
      </c>
      <c r="G1135" s="8" t="s">
        <v>315</v>
      </c>
      <c r="H1135" s="8" t="s">
        <v>1833</v>
      </c>
      <c r="I1135" s="8" t="s">
        <v>31</v>
      </c>
      <c r="J1135" s="8" t="s">
        <v>32</v>
      </c>
      <c r="K1135" s="10" t="s">
        <v>5791</v>
      </c>
      <c r="L1135" s="8" t="s">
        <v>58</v>
      </c>
      <c r="M1135" s="8" t="s">
        <v>35</v>
      </c>
      <c r="N1135" s="11">
        <v>44978.0</v>
      </c>
      <c r="O1135" s="11">
        <v>45088.0</v>
      </c>
      <c r="P1135" s="11">
        <v>45130.0</v>
      </c>
      <c r="Q1135" s="11">
        <v>45089.0</v>
      </c>
      <c r="R1135" s="11">
        <v>45131.0</v>
      </c>
      <c r="S1135" s="12"/>
      <c r="T1135" s="8"/>
      <c r="U1135" s="8" t="s">
        <v>59</v>
      </c>
      <c r="V1135" s="13" t="s">
        <v>3501</v>
      </c>
      <c r="W1135" s="13" t="s">
        <v>5926</v>
      </c>
      <c r="X1135" s="12"/>
      <c r="Y1135" s="14"/>
      <c r="Z1135" s="14"/>
    </row>
    <row r="1136">
      <c r="A1136" s="8" t="s">
        <v>5927</v>
      </c>
      <c r="B1136" s="8" t="s">
        <v>5928</v>
      </c>
      <c r="C1136" s="8" t="s">
        <v>179</v>
      </c>
      <c r="D1136" s="8" t="s">
        <v>26</v>
      </c>
      <c r="E1136" s="8" t="s">
        <v>5929</v>
      </c>
      <c r="F1136" s="8">
        <v>6.67865216E8</v>
      </c>
      <c r="G1136" s="8" t="s">
        <v>254</v>
      </c>
      <c r="H1136" s="8" t="s">
        <v>291</v>
      </c>
      <c r="I1136" s="8" t="s">
        <v>31</v>
      </c>
      <c r="J1136" s="8" t="s">
        <v>542</v>
      </c>
      <c r="K1136" s="10" t="s">
        <v>1685</v>
      </c>
      <c r="L1136" s="8" t="s">
        <v>34</v>
      </c>
      <c r="M1136" s="8" t="s">
        <v>70</v>
      </c>
      <c r="N1136" s="11">
        <v>44978.0</v>
      </c>
      <c r="O1136" s="11">
        <v>44986.0</v>
      </c>
      <c r="P1136" s="11">
        <v>45326.0</v>
      </c>
      <c r="Q1136" s="11"/>
      <c r="R1136" s="11"/>
      <c r="S1136" s="12"/>
      <c r="T1136" s="8" t="s">
        <v>205</v>
      </c>
      <c r="U1136" s="8" t="s">
        <v>1686</v>
      </c>
      <c r="V1136" s="13" t="s">
        <v>38</v>
      </c>
      <c r="W1136" s="13" t="s">
        <v>5930</v>
      </c>
      <c r="X1136" s="12"/>
      <c r="Y1136" s="14"/>
      <c r="Z1136" s="14"/>
    </row>
    <row r="1137">
      <c r="A1137" s="8" t="s">
        <v>5931</v>
      </c>
      <c r="B1137" s="8" t="s">
        <v>5932</v>
      </c>
      <c r="C1137" s="8" t="s">
        <v>179</v>
      </c>
      <c r="D1137" s="8" t="s">
        <v>26</v>
      </c>
      <c r="E1137" s="8" t="s">
        <v>5933</v>
      </c>
      <c r="F1137" s="8">
        <v>5.435019541E9</v>
      </c>
      <c r="G1137" s="8" t="s">
        <v>31</v>
      </c>
      <c r="H1137" s="8" t="s">
        <v>56</v>
      </c>
      <c r="I1137" s="8" t="s">
        <v>127</v>
      </c>
      <c r="J1137" s="8" t="s">
        <v>128</v>
      </c>
      <c r="K1137" s="10" t="s">
        <v>5934</v>
      </c>
      <c r="L1137" s="8" t="s">
        <v>58</v>
      </c>
      <c r="M1137" s="8" t="s">
        <v>35</v>
      </c>
      <c r="N1137" s="11">
        <v>44978.0</v>
      </c>
      <c r="O1137" s="11">
        <v>45124.0</v>
      </c>
      <c r="P1137" s="11">
        <v>45166.0</v>
      </c>
      <c r="Q1137" s="11"/>
      <c r="R1137" s="11"/>
      <c r="S1137" s="12"/>
      <c r="T1137" s="8"/>
      <c r="U1137" s="8" t="s">
        <v>59</v>
      </c>
      <c r="V1137" s="13" t="s">
        <v>56</v>
      </c>
      <c r="W1137" s="13" t="s">
        <v>5935</v>
      </c>
      <c r="X1137" s="12"/>
      <c r="Y1137" s="14"/>
      <c r="Z1137" s="14"/>
    </row>
    <row r="1138">
      <c r="A1138" s="8" t="s">
        <v>5936</v>
      </c>
      <c r="B1138" s="8" t="s">
        <v>5937</v>
      </c>
      <c r="C1138" s="8" t="s">
        <v>64</v>
      </c>
      <c r="D1138" s="8" t="s">
        <v>26</v>
      </c>
      <c r="E1138" s="8" t="s">
        <v>5938</v>
      </c>
      <c r="F1138" s="8">
        <v>9.74659027E8</v>
      </c>
      <c r="G1138" s="8" t="s">
        <v>1620</v>
      </c>
      <c r="H1138" s="8" t="s">
        <v>4288</v>
      </c>
      <c r="I1138" s="8" t="s">
        <v>31</v>
      </c>
      <c r="J1138" s="8" t="s">
        <v>32</v>
      </c>
      <c r="K1138" s="10" t="s">
        <v>561</v>
      </c>
      <c r="L1138" s="8" t="s">
        <v>58</v>
      </c>
      <c r="M1138" s="8" t="s">
        <v>35</v>
      </c>
      <c r="N1138" s="11">
        <v>44978.0</v>
      </c>
      <c r="O1138" s="11">
        <v>45102.0</v>
      </c>
      <c r="P1138" s="11">
        <v>45144.0</v>
      </c>
      <c r="Q1138" s="11">
        <v>45105.0</v>
      </c>
      <c r="R1138" s="11">
        <v>45148.0</v>
      </c>
      <c r="S1138" s="12"/>
      <c r="T1138" s="8"/>
      <c r="U1138" s="8" t="s">
        <v>59</v>
      </c>
      <c r="V1138" s="13" t="s">
        <v>5939</v>
      </c>
      <c r="W1138" s="13" t="s">
        <v>5940</v>
      </c>
      <c r="X1138" s="12"/>
      <c r="Y1138" s="14"/>
      <c r="Z1138" s="14"/>
    </row>
    <row r="1139">
      <c r="A1139" s="8" t="s">
        <v>5941</v>
      </c>
      <c r="B1139" s="8" t="s">
        <v>482</v>
      </c>
      <c r="C1139" s="8" t="s">
        <v>179</v>
      </c>
      <c r="D1139" s="8" t="s">
        <v>26</v>
      </c>
      <c r="E1139" s="8" t="s">
        <v>5942</v>
      </c>
      <c r="F1139" s="8">
        <v>5.052667525E9</v>
      </c>
      <c r="G1139" s="8" t="s">
        <v>31</v>
      </c>
      <c r="H1139" s="8" t="s">
        <v>220</v>
      </c>
      <c r="I1139" s="8" t="s">
        <v>44</v>
      </c>
      <c r="J1139" s="8" t="s">
        <v>741</v>
      </c>
      <c r="K1139" s="10" t="s">
        <v>5525</v>
      </c>
      <c r="L1139" s="8" t="s">
        <v>58</v>
      </c>
      <c r="M1139" s="8" t="s">
        <v>35</v>
      </c>
      <c r="N1139" s="11">
        <v>44979.0</v>
      </c>
      <c r="O1139" s="11">
        <v>45261.0</v>
      </c>
      <c r="P1139" s="11">
        <v>45303.0</v>
      </c>
      <c r="Q1139" s="11"/>
      <c r="R1139" s="11"/>
      <c r="S1139" s="12"/>
      <c r="T1139" s="8"/>
      <c r="U1139" s="8" t="s">
        <v>88</v>
      </c>
      <c r="V1139" s="13" t="s">
        <v>220</v>
      </c>
      <c r="W1139" s="13" t="s">
        <v>5943</v>
      </c>
      <c r="X1139" s="12"/>
      <c r="Y1139" s="14"/>
      <c r="Z1139" s="14"/>
    </row>
    <row r="1140">
      <c r="A1140" s="8" t="s">
        <v>5944</v>
      </c>
      <c r="B1140" s="8" t="s">
        <v>5945</v>
      </c>
      <c r="C1140" s="8" t="s">
        <v>179</v>
      </c>
      <c r="D1140" s="8" t="s">
        <v>26</v>
      </c>
      <c r="E1140" s="8" t="s">
        <v>5946</v>
      </c>
      <c r="F1140" s="8">
        <v>5.052667525E9</v>
      </c>
      <c r="G1140" s="8" t="s">
        <v>31</v>
      </c>
      <c r="H1140" s="8" t="s">
        <v>220</v>
      </c>
      <c r="I1140" s="8" t="s">
        <v>44</v>
      </c>
      <c r="J1140" s="8" t="s">
        <v>741</v>
      </c>
      <c r="K1140" s="10" t="s">
        <v>5525</v>
      </c>
      <c r="L1140" s="8" t="s">
        <v>58</v>
      </c>
      <c r="M1140" s="8" t="s">
        <v>35</v>
      </c>
      <c r="N1140" s="11">
        <v>44979.0</v>
      </c>
      <c r="O1140" s="11">
        <v>45261.0</v>
      </c>
      <c r="P1140" s="11">
        <v>45303.0</v>
      </c>
      <c r="Q1140" s="11"/>
      <c r="R1140" s="11"/>
      <c r="S1140" s="12"/>
      <c r="T1140" s="8"/>
      <c r="U1140" s="8" t="s">
        <v>88</v>
      </c>
      <c r="V1140" s="13" t="s">
        <v>220</v>
      </c>
      <c r="W1140" s="13" t="s">
        <v>5947</v>
      </c>
      <c r="X1140" s="12"/>
      <c r="Y1140" s="14"/>
      <c r="Z1140" s="14"/>
    </row>
    <row r="1141">
      <c r="A1141" s="8" t="s">
        <v>5948</v>
      </c>
      <c r="B1141" s="8" t="s">
        <v>5949</v>
      </c>
      <c r="C1141" s="8" t="s">
        <v>179</v>
      </c>
      <c r="D1141" s="8" t="s">
        <v>26</v>
      </c>
      <c r="E1141" s="8" t="s">
        <v>5950</v>
      </c>
      <c r="F1141" s="8"/>
      <c r="G1141" s="8" t="s">
        <v>31</v>
      </c>
      <c r="H1141" s="8" t="s">
        <v>220</v>
      </c>
      <c r="I1141" s="8" t="s">
        <v>44</v>
      </c>
      <c r="J1141" s="8" t="s">
        <v>741</v>
      </c>
      <c r="K1141" s="10" t="s">
        <v>2876</v>
      </c>
      <c r="L1141" s="8" t="s">
        <v>58</v>
      </c>
      <c r="M1141" s="8" t="s">
        <v>35</v>
      </c>
      <c r="N1141" s="11">
        <v>44979.0</v>
      </c>
      <c r="O1141" s="11">
        <v>45139.0</v>
      </c>
      <c r="P1141" s="11">
        <v>45181.0</v>
      </c>
      <c r="Q1141" s="11"/>
      <c r="R1141" s="11"/>
      <c r="S1141" s="12"/>
      <c r="T1141" s="8"/>
      <c r="U1141" s="8" t="s">
        <v>632</v>
      </c>
      <c r="V1141" s="13" t="s">
        <v>38</v>
      </c>
      <c r="W1141" s="13" t="s">
        <v>5951</v>
      </c>
      <c r="X1141" s="12"/>
      <c r="Y1141" s="14"/>
      <c r="Z1141" s="14"/>
    </row>
    <row r="1142">
      <c r="A1142" s="8" t="s">
        <v>5952</v>
      </c>
      <c r="B1142" s="8" t="s">
        <v>1160</v>
      </c>
      <c r="C1142" s="8" t="s">
        <v>179</v>
      </c>
      <c r="D1142" s="8" t="s">
        <v>26</v>
      </c>
      <c r="E1142" s="8" t="s">
        <v>1161</v>
      </c>
      <c r="F1142" s="8">
        <v>5.052667525E9</v>
      </c>
      <c r="G1142" s="8" t="s">
        <v>31</v>
      </c>
      <c r="H1142" s="8" t="s">
        <v>220</v>
      </c>
      <c r="I1142" s="8" t="s">
        <v>44</v>
      </c>
      <c r="J1142" s="8" t="s">
        <v>741</v>
      </c>
      <c r="K1142" s="10" t="s">
        <v>2876</v>
      </c>
      <c r="L1142" s="8" t="s">
        <v>58</v>
      </c>
      <c r="M1142" s="8" t="s">
        <v>35</v>
      </c>
      <c r="N1142" s="11">
        <v>44979.0</v>
      </c>
      <c r="O1142" s="11">
        <v>45170.0</v>
      </c>
      <c r="P1142" s="11">
        <v>45212.0</v>
      </c>
      <c r="Q1142" s="11"/>
      <c r="R1142" s="11"/>
      <c r="S1142" s="12"/>
      <c r="T1142" s="8"/>
      <c r="U1142" s="8" t="s">
        <v>632</v>
      </c>
      <c r="V1142" s="13" t="s">
        <v>220</v>
      </c>
      <c r="W1142" s="13" t="s">
        <v>1164</v>
      </c>
      <c r="X1142" s="12"/>
      <c r="Y1142" s="14"/>
      <c r="Z1142" s="14"/>
    </row>
    <row r="1143">
      <c r="A1143" s="8" t="s">
        <v>5953</v>
      </c>
      <c r="B1143" s="8" t="s">
        <v>5954</v>
      </c>
      <c r="C1143" s="8" t="s">
        <v>64</v>
      </c>
      <c r="D1143" s="8" t="s">
        <v>26</v>
      </c>
      <c r="E1143" s="8" t="s">
        <v>5955</v>
      </c>
      <c r="F1143" s="8">
        <v>5.399322567E9</v>
      </c>
      <c r="G1143" s="8" t="s">
        <v>31</v>
      </c>
      <c r="H1143" s="8" t="s">
        <v>66</v>
      </c>
      <c r="I1143" s="8" t="s">
        <v>284</v>
      </c>
      <c r="J1143" s="8" t="s">
        <v>589</v>
      </c>
      <c r="K1143" s="10" t="s">
        <v>5521</v>
      </c>
      <c r="L1143" s="8" t="s">
        <v>58</v>
      </c>
      <c r="M1143" s="8" t="s">
        <v>35</v>
      </c>
      <c r="N1143" s="11">
        <v>44979.0</v>
      </c>
      <c r="O1143" s="11">
        <v>45108.0</v>
      </c>
      <c r="P1143" s="11">
        <v>45150.0</v>
      </c>
      <c r="Q1143" s="11">
        <v>45106.0</v>
      </c>
      <c r="R1143" s="11">
        <v>45150.0</v>
      </c>
      <c r="S1143" s="12"/>
      <c r="T1143" s="8"/>
      <c r="U1143" s="8" t="s">
        <v>632</v>
      </c>
      <c r="V1143" s="13" t="s">
        <v>5212</v>
      </c>
      <c r="W1143" s="13" t="s">
        <v>5956</v>
      </c>
      <c r="X1143" s="12"/>
      <c r="Y1143" s="14"/>
      <c r="Z1143" s="14"/>
    </row>
    <row r="1144">
      <c r="A1144" s="8" t="s">
        <v>5957</v>
      </c>
      <c r="B1144" s="8" t="s">
        <v>5958</v>
      </c>
      <c r="C1144" s="8" t="s">
        <v>179</v>
      </c>
      <c r="D1144" s="8" t="s">
        <v>26</v>
      </c>
      <c r="E1144" s="8" t="s">
        <v>5959</v>
      </c>
      <c r="F1144" s="8">
        <v>5.326299003E9</v>
      </c>
      <c r="G1144" s="8" t="s">
        <v>31</v>
      </c>
      <c r="H1144" s="8" t="s">
        <v>542</v>
      </c>
      <c r="I1144" s="8" t="s">
        <v>399</v>
      </c>
      <c r="J1144" s="8" t="s">
        <v>4868</v>
      </c>
      <c r="K1144" s="10" t="s">
        <v>5960</v>
      </c>
      <c r="L1144" s="8" t="s">
        <v>58</v>
      </c>
      <c r="M1144" s="8" t="s">
        <v>35</v>
      </c>
      <c r="N1144" s="11">
        <v>44979.0</v>
      </c>
      <c r="O1144" s="11">
        <v>45341.0</v>
      </c>
      <c r="P1144" s="11">
        <v>45383.0</v>
      </c>
      <c r="Q1144" s="11"/>
      <c r="R1144" s="11"/>
      <c r="S1144" s="12"/>
      <c r="T1144" s="8"/>
      <c r="U1144" s="8" t="s">
        <v>402</v>
      </c>
      <c r="V1144" s="13" t="s">
        <v>5961</v>
      </c>
      <c r="W1144" s="13" t="s">
        <v>5962</v>
      </c>
      <c r="X1144" s="12"/>
      <c r="Y1144" s="14"/>
      <c r="Z1144" s="14"/>
    </row>
    <row r="1145">
      <c r="A1145" s="8" t="s">
        <v>5963</v>
      </c>
      <c r="B1145" s="8" t="s">
        <v>5964</v>
      </c>
      <c r="C1145" s="8" t="s">
        <v>25</v>
      </c>
      <c r="D1145" s="8" t="s">
        <v>26</v>
      </c>
      <c r="E1145" s="8" t="s">
        <v>5965</v>
      </c>
      <c r="F1145" s="8">
        <v>5.360545894E9</v>
      </c>
      <c r="G1145" s="8" t="s">
        <v>31</v>
      </c>
      <c r="H1145" s="8" t="s">
        <v>56</v>
      </c>
      <c r="I1145" s="8" t="s">
        <v>399</v>
      </c>
      <c r="J1145" s="8" t="s">
        <v>3797</v>
      </c>
      <c r="K1145" s="10" t="s">
        <v>5966</v>
      </c>
      <c r="L1145" s="8" t="s">
        <v>58</v>
      </c>
      <c r="M1145" s="8" t="s">
        <v>35</v>
      </c>
      <c r="N1145" s="11">
        <v>44979.0</v>
      </c>
      <c r="O1145" s="11">
        <v>45124.0</v>
      </c>
      <c r="P1145" s="11">
        <v>45166.0</v>
      </c>
      <c r="Q1145" s="11">
        <v>45123.0</v>
      </c>
      <c r="R1145" s="11">
        <v>45166.0</v>
      </c>
      <c r="S1145" s="12"/>
      <c r="T1145" s="8"/>
      <c r="U1145" s="8" t="s">
        <v>130</v>
      </c>
      <c r="V1145" s="13" t="s">
        <v>56</v>
      </c>
      <c r="W1145" s="13" t="s">
        <v>5967</v>
      </c>
      <c r="X1145" s="12"/>
      <c r="Y1145" s="14"/>
      <c r="Z1145" s="14"/>
    </row>
    <row r="1146">
      <c r="A1146" s="8" t="s">
        <v>5968</v>
      </c>
      <c r="B1146" s="8" t="s">
        <v>4842</v>
      </c>
      <c r="C1146" s="8" t="s">
        <v>708</v>
      </c>
      <c r="D1146" s="8" t="s">
        <v>26</v>
      </c>
      <c r="E1146" s="8" t="s">
        <v>4843</v>
      </c>
      <c r="F1146" s="8">
        <v>6.1508377E8</v>
      </c>
      <c r="G1146" s="8" t="s">
        <v>84</v>
      </c>
      <c r="H1146" s="8" t="s">
        <v>1127</v>
      </c>
      <c r="I1146" s="8" t="s">
        <v>31</v>
      </c>
      <c r="J1146" s="8" t="s">
        <v>32</v>
      </c>
      <c r="K1146" s="10" t="s">
        <v>5969</v>
      </c>
      <c r="L1146" s="8" t="s">
        <v>34</v>
      </c>
      <c r="M1146" s="8" t="s">
        <v>70</v>
      </c>
      <c r="N1146" s="11">
        <v>44979.0</v>
      </c>
      <c r="O1146" s="11">
        <v>45017.0</v>
      </c>
      <c r="P1146" s="11">
        <v>45383.0</v>
      </c>
      <c r="Q1146" s="11">
        <v>44987.0</v>
      </c>
      <c r="R1146" s="11">
        <v>45383.0</v>
      </c>
      <c r="S1146" s="12"/>
      <c r="T1146" s="8" t="s">
        <v>36</v>
      </c>
      <c r="U1146" s="8" t="s">
        <v>5970</v>
      </c>
      <c r="V1146" s="13" t="s">
        <v>1302</v>
      </c>
      <c r="W1146" s="13" t="s">
        <v>4844</v>
      </c>
      <c r="X1146" s="12"/>
      <c r="Y1146" s="14"/>
      <c r="Z1146" s="14"/>
    </row>
    <row r="1147">
      <c r="A1147" s="8" t="s">
        <v>5971</v>
      </c>
      <c r="B1147" s="8" t="s">
        <v>5972</v>
      </c>
      <c r="C1147" s="8" t="s">
        <v>64</v>
      </c>
      <c r="D1147" s="8" t="s">
        <v>26</v>
      </c>
      <c r="E1147" s="8" t="s">
        <v>5973</v>
      </c>
      <c r="F1147" s="8"/>
      <c r="G1147" s="8" t="s">
        <v>127</v>
      </c>
      <c r="H1147" s="8" t="s">
        <v>128</v>
      </c>
      <c r="I1147" s="8" t="s">
        <v>31</v>
      </c>
      <c r="J1147" s="8" t="s">
        <v>77</v>
      </c>
      <c r="K1147" s="10" t="s">
        <v>5712</v>
      </c>
      <c r="L1147" s="8" t="s">
        <v>58</v>
      </c>
      <c r="M1147" s="8" t="s">
        <v>35</v>
      </c>
      <c r="N1147" s="11">
        <v>44979.0</v>
      </c>
      <c r="O1147" s="11">
        <v>45127.0</v>
      </c>
      <c r="P1147" s="11">
        <v>45169.0</v>
      </c>
      <c r="Q1147" s="11">
        <v>45131.0</v>
      </c>
      <c r="R1147" s="11">
        <v>45173.0</v>
      </c>
      <c r="S1147" s="12"/>
      <c r="T1147" s="8"/>
      <c r="U1147" s="8" t="s">
        <v>59</v>
      </c>
      <c r="V1147" s="13" t="s">
        <v>38</v>
      </c>
      <c r="W1147" s="13" t="s">
        <v>5974</v>
      </c>
      <c r="X1147" s="12"/>
      <c r="Y1147" s="14"/>
      <c r="Z1147" s="14"/>
    </row>
    <row r="1148">
      <c r="A1148" s="8" t="s">
        <v>5975</v>
      </c>
      <c r="B1148" s="8" t="s">
        <v>5976</v>
      </c>
      <c r="C1148" s="8" t="s">
        <v>179</v>
      </c>
      <c r="D1148" s="8" t="s">
        <v>26</v>
      </c>
      <c r="E1148" s="8" t="s">
        <v>5977</v>
      </c>
      <c r="F1148" s="8"/>
      <c r="G1148" s="8" t="s">
        <v>31</v>
      </c>
      <c r="H1148" s="8" t="s">
        <v>111</v>
      </c>
      <c r="I1148" s="8" t="s">
        <v>44</v>
      </c>
      <c r="J1148" s="8" t="s">
        <v>741</v>
      </c>
      <c r="K1148" s="10" t="s">
        <v>2876</v>
      </c>
      <c r="L1148" s="8" t="s">
        <v>58</v>
      </c>
      <c r="M1148" s="8" t="s">
        <v>35</v>
      </c>
      <c r="N1148" s="11">
        <v>44979.0</v>
      </c>
      <c r="O1148" s="11">
        <v>45108.0</v>
      </c>
      <c r="P1148" s="11">
        <v>45150.0</v>
      </c>
      <c r="Q1148" s="11"/>
      <c r="R1148" s="11"/>
      <c r="S1148" s="12"/>
      <c r="T1148" s="8"/>
      <c r="U1148" s="8" t="s">
        <v>632</v>
      </c>
      <c r="V1148" s="13" t="s">
        <v>38</v>
      </c>
      <c r="W1148" s="13" t="s">
        <v>5978</v>
      </c>
      <c r="X1148" s="12"/>
      <c r="Y1148" s="14"/>
      <c r="Z1148" s="14"/>
    </row>
    <row r="1149">
      <c r="A1149" s="8" t="s">
        <v>5979</v>
      </c>
      <c r="B1149" s="8" t="s">
        <v>5980</v>
      </c>
      <c r="C1149" s="8" t="s">
        <v>64</v>
      </c>
      <c r="D1149" s="8" t="s">
        <v>26</v>
      </c>
      <c r="E1149" s="8" t="s">
        <v>5981</v>
      </c>
      <c r="F1149" s="8">
        <v>1.1224903E9</v>
      </c>
      <c r="G1149" s="8" t="s">
        <v>284</v>
      </c>
      <c r="H1149" s="8" t="s">
        <v>1422</v>
      </c>
      <c r="I1149" s="8" t="s">
        <v>31</v>
      </c>
      <c r="J1149" s="8" t="s">
        <v>167</v>
      </c>
      <c r="K1149" s="10" t="s">
        <v>4008</v>
      </c>
      <c r="L1149" s="8" t="s">
        <v>58</v>
      </c>
      <c r="M1149" s="8" t="s">
        <v>35</v>
      </c>
      <c r="N1149" s="11">
        <v>44980.0</v>
      </c>
      <c r="O1149" s="11">
        <v>45159.0</v>
      </c>
      <c r="P1149" s="11">
        <v>45201.0</v>
      </c>
      <c r="Q1149" s="11">
        <v>45162.0</v>
      </c>
      <c r="R1149" s="11">
        <v>45202.0</v>
      </c>
      <c r="S1149" s="12"/>
      <c r="T1149" s="8"/>
      <c r="U1149" s="8" t="s">
        <v>59</v>
      </c>
      <c r="V1149" s="13" t="s">
        <v>1424</v>
      </c>
      <c r="W1149" s="13" t="s">
        <v>5982</v>
      </c>
      <c r="X1149" s="12"/>
      <c r="Y1149" s="14"/>
      <c r="Z1149" s="14"/>
    </row>
    <row r="1150">
      <c r="A1150" s="8" t="s">
        <v>5983</v>
      </c>
      <c r="B1150" s="8" t="s">
        <v>5984</v>
      </c>
      <c r="C1150" s="8" t="s">
        <v>64</v>
      </c>
      <c r="D1150" s="8" t="s">
        <v>26</v>
      </c>
      <c r="E1150" s="8" t="s">
        <v>5985</v>
      </c>
      <c r="F1150" s="8">
        <v>3.212839067E9</v>
      </c>
      <c r="G1150" s="8" t="s">
        <v>315</v>
      </c>
      <c r="H1150" s="8" t="s">
        <v>1557</v>
      </c>
      <c r="I1150" s="8" t="s">
        <v>31</v>
      </c>
      <c r="J1150" s="8" t="s">
        <v>32</v>
      </c>
      <c r="K1150" s="10" t="s">
        <v>1813</v>
      </c>
      <c r="L1150" s="8" t="s">
        <v>58</v>
      </c>
      <c r="M1150" s="8" t="s">
        <v>35</v>
      </c>
      <c r="N1150" s="11">
        <v>44980.0</v>
      </c>
      <c r="O1150" s="11">
        <v>45165.0</v>
      </c>
      <c r="P1150" s="11">
        <v>45207.0</v>
      </c>
      <c r="Q1150" s="11">
        <v>45167.0</v>
      </c>
      <c r="R1150" s="11">
        <v>45209.0</v>
      </c>
      <c r="S1150" s="12"/>
      <c r="T1150" s="8"/>
      <c r="U1150" s="8" t="s">
        <v>161</v>
      </c>
      <c r="V1150" s="13" t="s">
        <v>5986</v>
      </c>
      <c r="W1150" s="13" t="s">
        <v>5987</v>
      </c>
      <c r="X1150" s="12"/>
      <c r="Y1150" s="14"/>
      <c r="Z1150" s="14"/>
    </row>
    <row r="1151">
      <c r="A1151" s="8" t="s">
        <v>5988</v>
      </c>
      <c r="B1151" s="8" t="s">
        <v>5989</v>
      </c>
      <c r="C1151" s="8" t="s">
        <v>25</v>
      </c>
      <c r="D1151" s="8" t="s">
        <v>26</v>
      </c>
      <c r="E1151" s="8" t="s">
        <v>5990</v>
      </c>
      <c r="F1151" s="8">
        <v>5.336486627E9</v>
      </c>
      <c r="G1151" s="8" t="s">
        <v>31</v>
      </c>
      <c r="H1151" s="8" t="s">
        <v>102</v>
      </c>
      <c r="I1151" s="8" t="s">
        <v>284</v>
      </c>
      <c r="J1151" s="8" t="s">
        <v>5202</v>
      </c>
      <c r="K1151" s="10" t="s">
        <v>5991</v>
      </c>
      <c r="L1151" s="8" t="s">
        <v>58</v>
      </c>
      <c r="M1151" s="8" t="s">
        <v>35</v>
      </c>
      <c r="N1151" s="11">
        <v>44981.0</v>
      </c>
      <c r="O1151" s="11">
        <v>45117.0</v>
      </c>
      <c r="P1151" s="11">
        <v>45161.0</v>
      </c>
      <c r="Q1151" s="11">
        <v>45123.0</v>
      </c>
      <c r="R1151" s="11">
        <v>45167.0</v>
      </c>
      <c r="S1151" s="12"/>
      <c r="T1151" s="8"/>
      <c r="U1151" s="8" t="s">
        <v>1038</v>
      </c>
      <c r="V1151" s="13" t="s">
        <v>102</v>
      </c>
      <c r="W1151" s="13" t="s">
        <v>5992</v>
      </c>
      <c r="X1151" s="12"/>
      <c r="Y1151" s="14"/>
      <c r="Z1151" s="14"/>
    </row>
    <row r="1152">
      <c r="A1152" s="8" t="s">
        <v>5993</v>
      </c>
      <c r="B1152" s="8" t="s">
        <v>5994</v>
      </c>
      <c r="C1152" s="8" t="s">
        <v>25</v>
      </c>
      <c r="D1152" s="8" t="s">
        <v>26</v>
      </c>
      <c r="E1152" s="8" t="s">
        <v>5995</v>
      </c>
      <c r="F1152" s="8">
        <v>3.2288026E9</v>
      </c>
      <c r="G1152" s="8" t="s">
        <v>315</v>
      </c>
      <c r="H1152" s="8" t="s">
        <v>1833</v>
      </c>
      <c r="I1152" s="8" t="s">
        <v>31</v>
      </c>
      <c r="J1152" s="8" t="s">
        <v>167</v>
      </c>
      <c r="K1152" s="10" t="s">
        <v>5996</v>
      </c>
      <c r="L1152" s="8" t="s">
        <v>58</v>
      </c>
      <c r="M1152" s="8" t="s">
        <v>35</v>
      </c>
      <c r="N1152" s="11">
        <v>44981.0</v>
      </c>
      <c r="O1152" s="11">
        <v>45117.0</v>
      </c>
      <c r="P1152" s="11">
        <v>45159.0</v>
      </c>
      <c r="Q1152" s="11">
        <v>45117.0</v>
      </c>
      <c r="R1152" s="11">
        <v>45159.0</v>
      </c>
      <c r="S1152" s="12"/>
      <c r="T1152" s="8"/>
      <c r="U1152" s="8" t="s">
        <v>130</v>
      </c>
      <c r="V1152" s="13" t="s">
        <v>3501</v>
      </c>
      <c r="W1152" s="13" t="s">
        <v>5997</v>
      </c>
      <c r="X1152" s="12"/>
      <c r="Y1152" s="14"/>
      <c r="Z1152" s="14"/>
    </row>
    <row r="1153">
      <c r="A1153" s="8" t="s">
        <v>5998</v>
      </c>
      <c r="B1153" s="8" t="s">
        <v>5999</v>
      </c>
      <c r="C1153" s="8" t="s">
        <v>25</v>
      </c>
      <c r="D1153" s="8" t="s">
        <v>26</v>
      </c>
      <c r="E1153" s="8" t="s">
        <v>6000</v>
      </c>
      <c r="F1153" s="8">
        <v>7.474981785E9</v>
      </c>
      <c r="G1153" s="8" t="s">
        <v>496</v>
      </c>
      <c r="H1153" s="8" t="s">
        <v>497</v>
      </c>
      <c r="I1153" s="8" t="s">
        <v>31</v>
      </c>
      <c r="J1153" s="8" t="s">
        <v>438</v>
      </c>
      <c r="K1153" s="10" t="s">
        <v>6001</v>
      </c>
      <c r="L1153" s="8" t="s">
        <v>58</v>
      </c>
      <c r="M1153" s="8" t="s">
        <v>35</v>
      </c>
      <c r="N1153" s="11">
        <v>44981.0</v>
      </c>
      <c r="O1153" s="11">
        <v>45117.0</v>
      </c>
      <c r="P1153" s="11">
        <v>45159.0</v>
      </c>
      <c r="Q1153" s="11">
        <v>45118.0</v>
      </c>
      <c r="R1153" s="11">
        <v>45159.0</v>
      </c>
      <c r="S1153" s="12"/>
      <c r="T1153" s="8"/>
      <c r="U1153" s="8" t="s">
        <v>59</v>
      </c>
      <c r="V1153" s="13" t="s">
        <v>500</v>
      </c>
      <c r="W1153" s="13" t="s">
        <v>6002</v>
      </c>
      <c r="X1153" s="12"/>
      <c r="Y1153" s="14"/>
      <c r="Z1153" s="14"/>
    </row>
    <row r="1154">
      <c r="A1154" s="8" t="s">
        <v>6003</v>
      </c>
      <c r="B1154" s="8" t="s">
        <v>1575</v>
      </c>
      <c r="C1154" s="8" t="s">
        <v>708</v>
      </c>
      <c r="D1154" s="8" t="s">
        <v>26</v>
      </c>
      <c r="E1154" s="8" t="s">
        <v>1576</v>
      </c>
      <c r="F1154" s="8">
        <v>7.47256058E8</v>
      </c>
      <c r="G1154" s="8" t="s">
        <v>722</v>
      </c>
      <c r="H1154" s="8" t="s">
        <v>892</v>
      </c>
      <c r="I1154" s="8" t="s">
        <v>31</v>
      </c>
      <c r="J1154" s="8" t="s">
        <v>292</v>
      </c>
      <c r="K1154" s="10" t="s">
        <v>1260</v>
      </c>
      <c r="L1154" s="8" t="s">
        <v>47</v>
      </c>
      <c r="M1154" s="8" t="s">
        <v>70</v>
      </c>
      <c r="N1154" s="11">
        <v>44981.0</v>
      </c>
      <c r="O1154" s="11">
        <v>45000.0</v>
      </c>
      <c r="P1154" s="11">
        <v>45366.0</v>
      </c>
      <c r="Q1154" s="11">
        <v>45035.0</v>
      </c>
      <c r="R1154" s="11">
        <v>45401.0</v>
      </c>
      <c r="S1154" s="12"/>
      <c r="T1154" s="8"/>
      <c r="U1154" s="8" t="s">
        <v>1261</v>
      </c>
      <c r="V1154" s="13" t="s">
        <v>894</v>
      </c>
      <c r="W1154" s="13" t="s">
        <v>1578</v>
      </c>
      <c r="X1154" s="12"/>
      <c r="Y1154" s="14"/>
      <c r="Z1154" s="14"/>
    </row>
    <row r="1155">
      <c r="A1155" s="8" t="s">
        <v>6004</v>
      </c>
      <c r="B1155" s="8" t="s">
        <v>6005</v>
      </c>
      <c r="C1155" s="8" t="s">
        <v>25</v>
      </c>
      <c r="D1155" s="8" t="s">
        <v>26</v>
      </c>
      <c r="E1155" s="8" t="s">
        <v>6006</v>
      </c>
      <c r="F1155" s="8">
        <v>5.459025174E9</v>
      </c>
      <c r="G1155" s="8" t="s">
        <v>31</v>
      </c>
      <c r="H1155" s="8" t="s">
        <v>32</v>
      </c>
      <c r="I1155" s="8" t="s">
        <v>44</v>
      </c>
      <c r="J1155" s="8" t="s">
        <v>1993</v>
      </c>
      <c r="K1155" s="10" t="s">
        <v>3846</v>
      </c>
      <c r="L1155" s="8" t="s">
        <v>58</v>
      </c>
      <c r="M1155" s="8" t="s">
        <v>35</v>
      </c>
      <c r="N1155" s="11">
        <v>44981.0</v>
      </c>
      <c r="O1155" s="11">
        <v>45171.0</v>
      </c>
      <c r="P1155" s="11">
        <v>45213.0</v>
      </c>
      <c r="Q1155" s="11">
        <v>45172.0</v>
      </c>
      <c r="R1155" s="11">
        <v>45213.0</v>
      </c>
      <c r="S1155" s="12"/>
      <c r="T1155" s="8"/>
      <c r="U1155" s="8" t="s">
        <v>1038</v>
      </c>
      <c r="V1155" s="13" t="s">
        <v>2491</v>
      </c>
      <c r="W1155" s="13" t="s">
        <v>6007</v>
      </c>
      <c r="X1155" s="12"/>
      <c r="Y1155" s="14"/>
      <c r="Z1155" s="14"/>
    </row>
    <row r="1156">
      <c r="A1156" s="8" t="s">
        <v>6008</v>
      </c>
      <c r="B1156" s="8" t="s">
        <v>6009</v>
      </c>
      <c r="C1156" s="8" t="s">
        <v>708</v>
      </c>
      <c r="D1156" s="8" t="s">
        <v>26</v>
      </c>
      <c r="E1156" s="8" t="s">
        <v>6010</v>
      </c>
      <c r="F1156" s="8">
        <v>5.53098205E8</v>
      </c>
      <c r="G1156" s="8" t="s">
        <v>254</v>
      </c>
      <c r="H1156" s="8" t="s">
        <v>1007</v>
      </c>
      <c r="I1156" s="8" t="s">
        <v>31</v>
      </c>
      <c r="J1156" s="8" t="s">
        <v>77</v>
      </c>
      <c r="K1156" s="10" t="s">
        <v>1179</v>
      </c>
      <c r="L1156" s="8" t="s">
        <v>47</v>
      </c>
      <c r="M1156" s="8" t="s">
        <v>70</v>
      </c>
      <c r="N1156" s="11">
        <v>44983.0</v>
      </c>
      <c r="O1156" s="11">
        <v>45005.0</v>
      </c>
      <c r="P1156" s="11">
        <v>45311.0</v>
      </c>
      <c r="Q1156" s="11">
        <v>45020.0</v>
      </c>
      <c r="R1156" s="11">
        <v>45355.0</v>
      </c>
      <c r="S1156" s="12"/>
      <c r="T1156" s="8"/>
      <c r="U1156" s="8" t="s">
        <v>1180</v>
      </c>
      <c r="V1156" s="13" t="s">
        <v>1249</v>
      </c>
      <c r="W1156" s="13" t="s">
        <v>6011</v>
      </c>
      <c r="X1156" s="12"/>
      <c r="Y1156" s="14"/>
      <c r="Z1156" s="14"/>
    </row>
    <row r="1157">
      <c r="A1157" s="8" t="s">
        <v>6012</v>
      </c>
      <c r="B1157" s="8" t="s">
        <v>6013</v>
      </c>
      <c r="C1157" s="8" t="s">
        <v>25</v>
      </c>
      <c r="D1157" s="8" t="s">
        <v>26</v>
      </c>
      <c r="E1157" s="8" t="s">
        <v>6014</v>
      </c>
      <c r="F1157" s="8">
        <v>1.557666629E9</v>
      </c>
      <c r="G1157" s="8" t="s">
        <v>284</v>
      </c>
      <c r="H1157" s="8" t="s">
        <v>673</v>
      </c>
      <c r="I1157" s="8" t="s">
        <v>31</v>
      </c>
      <c r="J1157" s="8" t="s">
        <v>1119</v>
      </c>
      <c r="K1157" s="10" t="s">
        <v>6015</v>
      </c>
      <c r="L1157" s="8" t="s">
        <v>58</v>
      </c>
      <c r="M1157" s="8" t="s">
        <v>35</v>
      </c>
      <c r="N1157" s="11">
        <v>44984.0</v>
      </c>
      <c r="O1157" s="11">
        <v>45128.0</v>
      </c>
      <c r="P1157" s="11">
        <v>45170.0</v>
      </c>
      <c r="Q1157" s="11">
        <v>45135.0</v>
      </c>
      <c r="R1157" s="11">
        <v>45177.0</v>
      </c>
      <c r="S1157" s="12"/>
      <c r="T1157" s="8"/>
      <c r="U1157" s="8" t="s">
        <v>59</v>
      </c>
      <c r="V1157" s="13" t="s">
        <v>674</v>
      </c>
      <c r="W1157" s="13" t="s">
        <v>6016</v>
      </c>
      <c r="X1157" s="12"/>
      <c r="Y1157" s="14"/>
      <c r="Z1157" s="14"/>
    </row>
    <row r="1158">
      <c r="A1158" s="8" t="s">
        <v>6017</v>
      </c>
      <c r="B1158" s="8" t="s">
        <v>6018</v>
      </c>
      <c r="C1158" s="8" t="s">
        <v>179</v>
      </c>
      <c r="D1158" s="8" t="s">
        <v>26</v>
      </c>
      <c r="E1158" s="8" t="s">
        <v>6019</v>
      </c>
      <c r="F1158" s="8">
        <v>1.204063245E9</v>
      </c>
      <c r="G1158" s="8" t="s">
        <v>284</v>
      </c>
      <c r="H1158" s="8" t="s">
        <v>673</v>
      </c>
      <c r="I1158" s="8" t="s">
        <v>31</v>
      </c>
      <c r="J1158" s="8" t="s">
        <v>1119</v>
      </c>
      <c r="K1158" s="10" t="s">
        <v>3665</v>
      </c>
      <c r="L1158" s="8" t="s">
        <v>58</v>
      </c>
      <c r="M1158" s="8" t="s">
        <v>35</v>
      </c>
      <c r="N1158" s="11">
        <v>44984.0</v>
      </c>
      <c r="O1158" s="11">
        <v>45117.0</v>
      </c>
      <c r="P1158" s="11">
        <v>45159.0</v>
      </c>
      <c r="Q1158" s="11"/>
      <c r="R1158" s="11"/>
      <c r="S1158" s="12"/>
      <c r="T1158" s="8"/>
      <c r="U1158" s="8" t="s">
        <v>59</v>
      </c>
      <c r="V1158" s="13" t="s">
        <v>38</v>
      </c>
      <c r="W1158" s="13" t="s">
        <v>6020</v>
      </c>
      <c r="X1158" s="12"/>
      <c r="Y1158" s="14"/>
      <c r="Z1158" s="14"/>
    </row>
    <row r="1159">
      <c r="A1159" s="8" t="s">
        <v>6021</v>
      </c>
      <c r="B1159" s="8" t="s">
        <v>6022</v>
      </c>
      <c r="C1159" s="8" t="s">
        <v>25</v>
      </c>
      <c r="D1159" s="8" t="s">
        <v>26</v>
      </c>
      <c r="E1159" s="8" t="s">
        <v>6023</v>
      </c>
      <c r="F1159" s="8">
        <v>7.78192891E8</v>
      </c>
      <c r="G1159" s="8" t="s">
        <v>399</v>
      </c>
      <c r="H1159" s="8" t="s">
        <v>904</v>
      </c>
      <c r="I1159" s="8" t="s">
        <v>31</v>
      </c>
      <c r="J1159" s="8" t="s">
        <v>167</v>
      </c>
      <c r="K1159" s="10" t="s">
        <v>4008</v>
      </c>
      <c r="L1159" s="8" t="s">
        <v>58</v>
      </c>
      <c r="M1159" s="8" t="s">
        <v>35</v>
      </c>
      <c r="N1159" s="11">
        <v>44984.0</v>
      </c>
      <c r="O1159" s="11">
        <v>45033.0</v>
      </c>
      <c r="P1159" s="11">
        <v>45075.0</v>
      </c>
      <c r="Q1159" s="11">
        <v>45042.0</v>
      </c>
      <c r="R1159" s="11">
        <v>45083.0</v>
      </c>
      <c r="S1159" s="12"/>
      <c r="T1159" s="8"/>
      <c r="U1159" s="8" t="s">
        <v>59</v>
      </c>
      <c r="V1159" s="13" t="s">
        <v>6024</v>
      </c>
      <c r="W1159" s="13" t="s">
        <v>6025</v>
      </c>
      <c r="X1159" s="12"/>
      <c r="Y1159" s="14"/>
      <c r="Z1159" s="14"/>
    </row>
    <row r="1160">
      <c r="A1160" s="8" t="s">
        <v>6026</v>
      </c>
      <c r="B1160" s="8" t="s">
        <v>6027</v>
      </c>
      <c r="C1160" s="8" t="s">
        <v>251</v>
      </c>
      <c r="D1160" s="8" t="s">
        <v>26</v>
      </c>
      <c r="E1160" s="8" t="s">
        <v>6028</v>
      </c>
      <c r="F1160" s="8"/>
      <c r="G1160" s="8" t="s">
        <v>284</v>
      </c>
      <c r="H1160" s="8" t="s">
        <v>691</v>
      </c>
      <c r="I1160" s="8" t="s">
        <v>31</v>
      </c>
      <c r="J1160" s="8" t="s">
        <v>167</v>
      </c>
      <c r="K1160" s="10" t="s">
        <v>5996</v>
      </c>
      <c r="L1160" s="8" t="s">
        <v>58</v>
      </c>
      <c r="M1160" s="8" t="s">
        <v>35</v>
      </c>
      <c r="N1160" s="11">
        <v>44984.0</v>
      </c>
      <c r="O1160" s="11">
        <v>45117.0</v>
      </c>
      <c r="P1160" s="11">
        <v>45159.0</v>
      </c>
      <c r="Q1160" s="11"/>
      <c r="R1160" s="11"/>
      <c r="S1160" s="12"/>
      <c r="T1160" s="8"/>
      <c r="U1160" s="8" t="s">
        <v>130</v>
      </c>
      <c r="V1160" s="13" t="s">
        <v>38</v>
      </c>
      <c r="W1160" s="13" t="s">
        <v>6029</v>
      </c>
      <c r="X1160" s="12"/>
      <c r="Y1160" s="14"/>
      <c r="Z1160" s="14"/>
    </row>
    <row r="1161">
      <c r="A1161" s="8" t="s">
        <v>6030</v>
      </c>
      <c r="B1161" s="8" t="s">
        <v>6031</v>
      </c>
      <c r="C1161" s="8" t="s">
        <v>179</v>
      </c>
      <c r="D1161" s="8" t="s">
        <v>26</v>
      </c>
      <c r="E1161" s="8" t="s">
        <v>6032</v>
      </c>
      <c r="F1161" s="8">
        <v>5.438825245E9</v>
      </c>
      <c r="G1161" s="8" t="s">
        <v>31</v>
      </c>
      <c r="H1161" s="8" t="s">
        <v>86</v>
      </c>
      <c r="I1161" s="8" t="s">
        <v>399</v>
      </c>
      <c r="J1161" s="8" t="s">
        <v>1381</v>
      </c>
      <c r="K1161" s="10" t="s">
        <v>4261</v>
      </c>
      <c r="L1161" s="8" t="s">
        <v>58</v>
      </c>
      <c r="M1161" s="8" t="s">
        <v>35</v>
      </c>
      <c r="N1161" s="11">
        <v>44984.0</v>
      </c>
      <c r="O1161" s="11">
        <v>45089.0</v>
      </c>
      <c r="P1161" s="11">
        <v>45131.0</v>
      </c>
      <c r="Q1161" s="11"/>
      <c r="R1161" s="11"/>
      <c r="S1161" s="12"/>
      <c r="T1161" s="8"/>
      <c r="U1161" s="8" t="s">
        <v>402</v>
      </c>
      <c r="V1161" s="13" t="s">
        <v>175</v>
      </c>
      <c r="W1161" s="13" t="s">
        <v>6033</v>
      </c>
      <c r="X1161" s="12"/>
      <c r="Y1161" s="14"/>
      <c r="Z1161" s="14"/>
    </row>
    <row r="1162">
      <c r="A1162" s="8" t="s">
        <v>6034</v>
      </c>
      <c r="B1162" s="8" t="s">
        <v>6035</v>
      </c>
      <c r="C1162" s="8" t="s">
        <v>25</v>
      </c>
      <c r="D1162" s="8" t="s">
        <v>26</v>
      </c>
      <c r="E1162" s="8" t="s">
        <v>6036</v>
      </c>
      <c r="F1162" s="8">
        <v>2.5875039E7</v>
      </c>
      <c r="G1162" s="8" t="s">
        <v>54</v>
      </c>
      <c r="H1162" s="8" t="s">
        <v>430</v>
      </c>
      <c r="I1162" s="8" t="s">
        <v>31</v>
      </c>
      <c r="J1162" s="8" t="s">
        <v>32</v>
      </c>
      <c r="K1162" s="10" t="s">
        <v>509</v>
      </c>
      <c r="L1162" s="8" t="s">
        <v>58</v>
      </c>
      <c r="M1162" s="8" t="s">
        <v>35</v>
      </c>
      <c r="N1162" s="11">
        <v>44984.0</v>
      </c>
      <c r="O1162" s="11">
        <v>45145.0</v>
      </c>
      <c r="P1162" s="11">
        <v>45187.0</v>
      </c>
      <c r="Q1162" s="11">
        <v>45146.0</v>
      </c>
      <c r="R1162" s="11">
        <v>45188.0</v>
      </c>
      <c r="S1162" s="12"/>
      <c r="T1162" s="8"/>
      <c r="U1162" s="8" t="s">
        <v>153</v>
      </c>
      <c r="V1162" s="13" t="s">
        <v>4780</v>
      </c>
      <c r="W1162" s="13" t="s">
        <v>6037</v>
      </c>
      <c r="X1162" s="12"/>
      <c r="Y1162" s="14"/>
      <c r="Z1162" s="14"/>
    </row>
    <row r="1163">
      <c r="A1163" s="8" t="s">
        <v>6038</v>
      </c>
      <c r="B1163" s="8" t="s">
        <v>6039</v>
      </c>
      <c r="C1163" s="8" t="s">
        <v>251</v>
      </c>
      <c r="D1163" s="8" t="s">
        <v>26</v>
      </c>
      <c r="E1163" s="8" t="s">
        <v>6040</v>
      </c>
      <c r="F1163" s="8">
        <v>5.34500599E9</v>
      </c>
      <c r="G1163" s="8" t="s">
        <v>31</v>
      </c>
      <c r="H1163" s="8" t="s">
        <v>111</v>
      </c>
      <c r="I1163" s="8" t="s">
        <v>284</v>
      </c>
      <c r="J1163" s="8" t="s">
        <v>300</v>
      </c>
      <c r="K1163" s="10" t="s">
        <v>6041</v>
      </c>
      <c r="L1163" s="8" t="s">
        <v>34</v>
      </c>
      <c r="M1163" s="8" t="s">
        <v>35</v>
      </c>
      <c r="N1163" s="11">
        <v>44984.0</v>
      </c>
      <c r="O1163" s="11">
        <v>45078.0</v>
      </c>
      <c r="P1163" s="11">
        <v>45161.0</v>
      </c>
      <c r="Q1163" s="11"/>
      <c r="R1163" s="11"/>
      <c r="S1163" s="12"/>
      <c r="T1163" s="8" t="s">
        <v>36</v>
      </c>
      <c r="U1163" s="8" t="s">
        <v>6042</v>
      </c>
      <c r="V1163" s="13" t="s">
        <v>111</v>
      </c>
      <c r="W1163" s="13" t="s">
        <v>6043</v>
      </c>
      <c r="X1163" s="12"/>
      <c r="Y1163" s="14"/>
      <c r="Z1163" s="14"/>
    </row>
    <row r="1164">
      <c r="A1164" s="8" t="s">
        <v>6044</v>
      </c>
      <c r="B1164" s="8" t="s">
        <v>6045</v>
      </c>
      <c r="C1164" s="8" t="s">
        <v>179</v>
      </c>
      <c r="D1164" s="8" t="s">
        <v>26</v>
      </c>
      <c r="E1164" s="8" t="s">
        <v>6046</v>
      </c>
      <c r="F1164" s="8">
        <v>5.527434086E9</v>
      </c>
      <c r="G1164" s="8" t="s">
        <v>31</v>
      </c>
      <c r="H1164" s="8" t="s">
        <v>86</v>
      </c>
      <c r="I1164" s="8" t="s">
        <v>109</v>
      </c>
      <c r="J1164" s="8" t="s">
        <v>6047</v>
      </c>
      <c r="K1164" s="10" t="s">
        <v>6048</v>
      </c>
      <c r="L1164" s="8" t="s">
        <v>58</v>
      </c>
      <c r="M1164" s="8" t="s">
        <v>35</v>
      </c>
      <c r="N1164" s="11">
        <v>44984.0</v>
      </c>
      <c r="O1164" s="11">
        <v>45120.0</v>
      </c>
      <c r="P1164" s="11">
        <v>45162.0</v>
      </c>
      <c r="Q1164" s="11"/>
      <c r="R1164" s="11"/>
      <c r="S1164" s="12"/>
      <c r="T1164" s="8"/>
      <c r="U1164" s="8" t="s">
        <v>59</v>
      </c>
      <c r="V1164" s="13" t="s">
        <v>175</v>
      </c>
      <c r="W1164" s="13" t="s">
        <v>6049</v>
      </c>
      <c r="X1164" s="12"/>
      <c r="Y1164" s="14"/>
      <c r="Z1164" s="14"/>
    </row>
    <row r="1165">
      <c r="A1165" s="8" t="s">
        <v>6050</v>
      </c>
      <c r="B1165" s="8" t="s">
        <v>6051</v>
      </c>
      <c r="C1165" s="8" t="s">
        <v>179</v>
      </c>
      <c r="D1165" s="8" t="s">
        <v>26</v>
      </c>
      <c r="E1165" s="8" t="s">
        <v>6052</v>
      </c>
      <c r="F1165" s="8"/>
      <c r="G1165" s="8" t="s">
        <v>31</v>
      </c>
      <c r="H1165" s="8" t="s">
        <v>66</v>
      </c>
      <c r="I1165" s="8" t="s">
        <v>54</v>
      </c>
      <c r="J1165" s="8" t="s">
        <v>430</v>
      </c>
      <c r="K1165" s="10" t="s">
        <v>6053</v>
      </c>
      <c r="L1165" s="8" t="s">
        <v>58</v>
      </c>
      <c r="M1165" s="8" t="s">
        <v>35</v>
      </c>
      <c r="N1165" s="11">
        <v>44985.0</v>
      </c>
      <c r="O1165" s="11">
        <v>45120.0</v>
      </c>
      <c r="P1165" s="11">
        <v>45164.0</v>
      </c>
      <c r="Q1165" s="11"/>
      <c r="R1165" s="11"/>
      <c r="S1165" s="12"/>
      <c r="T1165" s="8"/>
      <c r="U1165" s="8" t="s">
        <v>1038</v>
      </c>
      <c r="V1165" s="13" t="s">
        <v>38</v>
      </c>
      <c r="W1165" s="13" t="s">
        <v>6054</v>
      </c>
      <c r="X1165" s="12"/>
      <c r="Y1165" s="14"/>
      <c r="Z1165" s="14"/>
    </row>
    <row r="1166">
      <c r="A1166" s="8" t="s">
        <v>6055</v>
      </c>
      <c r="B1166" s="8" t="s">
        <v>6056</v>
      </c>
      <c r="C1166" s="8" t="s">
        <v>708</v>
      </c>
      <c r="D1166" s="8" t="s">
        <v>26</v>
      </c>
      <c r="E1166" s="8" t="s">
        <v>6057</v>
      </c>
      <c r="F1166" s="8">
        <v>2.902821E7</v>
      </c>
      <c r="G1166" s="8" t="s">
        <v>54</v>
      </c>
      <c r="H1166" s="8" t="s">
        <v>76</v>
      </c>
      <c r="I1166" s="8" t="s">
        <v>31</v>
      </c>
      <c r="J1166" s="8" t="s">
        <v>292</v>
      </c>
      <c r="K1166" s="10" t="s">
        <v>6058</v>
      </c>
      <c r="L1166" s="8" t="s">
        <v>47</v>
      </c>
      <c r="M1166" s="8" t="s">
        <v>70</v>
      </c>
      <c r="N1166" s="11">
        <v>44985.0</v>
      </c>
      <c r="O1166" s="11">
        <v>45017.0</v>
      </c>
      <c r="P1166" s="11">
        <v>45383.0</v>
      </c>
      <c r="Q1166" s="11">
        <v>45107.0</v>
      </c>
      <c r="R1166" s="11">
        <v>45473.0</v>
      </c>
      <c r="S1166" s="12"/>
      <c r="T1166" s="8"/>
      <c r="U1166" s="8" t="s">
        <v>6059</v>
      </c>
      <c r="V1166" s="13" t="s">
        <v>491</v>
      </c>
      <c r="W1166" s="13" t="s">
        <v>6060</v>
      </c>
      <c r="X1166" s="12"/>
      <c r="Y1166" s="14"/>
      <c r="Z1166" s="14"/>
    </row>
    <row r="1167">
      <c r="A1167" s="8" t="s">
        <v>6061</v>
      </c>
      <c r="B1167" s="8" t="s">
        <v>6062</v>
      </c>
      <c r="C1167" s="8" t="s">
        <v>25</v>
      </c>
      <c r="D1167" s="8" t="s">
        <v>26</v>
      </c>
      <c r="E1167" s="8" t="s">
        <v>6063</v>
      </c>
      <c r="F1167" s="8">
        <v>6.63210043E8</v>
      </c>
      <c r="G1167" s="8" t="s">
        <v>84</v>
      </c>
      <c r="H1167" s="8" t="s">
        <v>1127</v>
      </c>
      <c r="I1167" s="8" t="s">
        <v>31</v>
      </c>
      <c r="J1167" s="8" t="s">
        <v>1119</v>
      </c>
      <c r="K1167" s="10" t="s">
        <v>2736</v>
      </c>
      <c r="L1167" s="8" t="s">
        <v>58</v>
      </c>
      <c r="M1167" s="8" t="s">
        <v>35</v>
      </c>
      <c r="N1167" s="11">
        <v>44985.0</v>
      </c>
      <c r="O1167" s="11">
        <v>45109.0</v>
      </c>
      <c r="P1167" s="11">
        <v>45151.0</v>
      </c>
      <c r="Q1167" s="11">
        <v>45108.0</v>
      </c>
      <c r="R1167" s="11">
        <v>45151.0</v>
      </c>
      <c r="S1167" s="12"/>
      <c r="T1167" s="8"/>
      <c r="U1167" s="8" t="s">
        <v>59</v>
      </c>
      <c r="V1167" s="13" t="s">
        <v>1302</v>
      </c>
      <c r="W1167" s="13" t="s">
        <v>6064</v>
      </c>
      <c r="X1167" s="12"/>
      <c r="Y1167" s="14"/>
      <c r="Z1167" s="14"/>
    </row>
    <row r="1168">
      <c r="A1168" s="8" t="s">
        <v>6065</v>
      </c>
      <c r="B1168" s="8" t="s">
        <v>6066</v>
      </c>
      <c r="C1168" s="8" t="s">
        <v>179</v>
      </c>
      <c r="D1168" s="8" t="s">
        <v>26</v>
      </c>
      <c r="E1168" s="8" t="s">
        <v>6067</v>
      </c>
      <c r="F1168" s="8"/>
      <c r="G1168" s="8" t="s">
        <v>31</v>
      </c>
      <c r="H1168" s="8" t="s">
        <v>56</v>
      </c>
      <c r="I1168" s="8" t="s">
        <v>54</v>
      </c>
      <c r="J1168" s="8" t="s">
        <v>595</v>
      </c>
      <c r="K1168" s="10" t="s">
        <v>6068</v>
      </c>
      <c r="L1168" s="8" t="s">
        <v>58</v>
      </c>
      <c r="M1168" s="8" t="s">
        <v>35</v>
      </c>
      <c r="N1168" s="11">
        <v>44985.0</v>
      </c>
      <c r="O1168" s="11">
        <v>45139.0</v>
      </c>
      <c r="P1168" s="11">
        <v>45181.0</v>
      </c>
      <c r="Q1168" s="11"/>
      <c r="R1168" s="11"/>
      <c r="S1168" s="12"/>
      <c r="T1168" s="8"/>
      <c r="U1168" s="8" t="s">
        <v>59</v>
      </c>
      <c r="V1168" s="13" t="s">
        <v>38</v>
      </c>
      <c r="W1168" s="13" t="s">
        <v>6069</v>
      </c>
      <c r="X1168" s="12"/>
      <c r="Y1168" s="14"/>
      <c r="Z1168" s="14"/>
    </row>
    <row r="1169">
      <c r="A1169" s="8" t="s">
        <v>6070</v>
      </c>
      <c r="B1169" s="8" t="s">
        <v>6071</v>
      </c>
      <c r="C1169" s="8" t="s">
        <v>179</v>
      </c>
      <c r="D1169" s="8" t="s">
        <v>26</v>
      </c>
      <c r="E1169" s="8" t="s">
        <v>6072</v>
      </c>
      <c r="F1169" s="8">
        <v>5.325503668E9</v>
      </c>
      <c r="G1169" s="8" t="s">
        <v>31</v>
      </c>
      <c r="H1169" s="8" t="s">
        <v>542</v>
      </c>
      <c r="I1169" s="8" t="s">
        <v>399</v>
      </c>
      <c r="J1169" s="8" t="s">
        <v>400</v>
      </c>
      <c r="K1169" s="10" t="s">
        <v>1700</v>
      </c>
      <c r="L1169" s="8" t="s">
        <v>58</v>
      </c>
      <c r="M1169" s="8" t="s">
        <v>35</v>
      </c>
      <c r="N1169" s="11">
        <v>44985.0</v>
      </c>
      <c r="O1169" s="11">
        <v>45119.0</v>
      </c>
      <c r="P1169" s="11">
        <v>45161.0</v>
      </c>
      <c r="Q1169" s="11"/>
      <c r="R1169" s="11"/>
      <c r="S1169" s="12"/>
      <c r="T1169" s="8"/>
      <c r="U1169" s="8" t="s">
        <v>1038</v>
      </c>
      <c r="V1169" s="13" t="s">
        <v>545</v>
      </c>
      <c r="W1169" s="13" t="s">
        <v>6073</v>
      </c>
      <c r="X1169" s="12"/>
      <c r="Y1169" s="14"/>
      <c r="Z1169" s="14"/>
    </row>
    <row r="1170">
      <c r="A1170" s="8" t="s">
        <v>6074</v>
      </c>
      <c r="B1170" s="8" t="s">
        <v>6075</v>
      </c>
      <c r="C1170" s="8" t="s">
        <v>179</v>
      </c>
      <c r="D1170" s="8" t="s">
        <v>26</v>
      </c>
      <c r="E1170" s="8" t="s">
        <v>6076</v>
      </c>
      <c r="F1170" s="8">
        <v>7.05673338E8</v>
      </c>
      <c r="G1170" s="8" t="s">
        <v>6077</v>
      </c>
      <c r="H1170" s="8" t="s">
        <v>6078</v>
      </c>
      <c r="I1170" s="8" t="s">
        <v>31</v>
      </c>
      <c r="J1170" s="8" t="s">
        <v>292</v>
      </c>
      <c r="K1170" s="10" t="s">
        <v>1260</v>
      </c>
      <c r="L1170" s="8" t="s">
        <v>47</v>
      </c>
      <c r="M1170" s="8" t="s">
        <v>70</v>
      </c>
      <c r="N1170" s="11">
        <v>44985.0</v>
      </c>
      <c r="O1170" s="11">
        <v>45157.0</v>
      </c>
      <c r="P1170" s="11">
        <v>45523.0</v>
      </c>
      <c r="Q1170" s="11"/>
      <c r="R1170" s="11"/>
      <c r="S1170" s="12"/>
      <c r="T1170" s="8"/>
      <c r="U1170" s="8" t="s">
        <v>1261</v>
      </c>
      <c r="V1170" s="13" t="s">
        <v>6079</v>
      </c>
      <c r="W1170" s="13" t="s">
        <v>6080</v>
      </c>
      <c r="X1170" s="12"/>
      <c r="Y1170" s="14"/>
      <c r="Z1170" s="14"/>
    </row>
    <row r="1171">
      <c r="A1171" s="8" t="s">
        <v>6081</v>
      </c>
      <c r="B1171" s="8" t="s">
        <v>4273</v>
      </c>
      <c r="C1171" s="8" t="s">
        <v>25</v>
      </c>
      <c r="D1171" s="8" t="s">
        <v>26</v>
      </c>
      <c r="E1171" s="8" t="s">
        <v>6082</v>
      </c>
      <c r="F1171" s="8">
        <v>5.435303473E9</v>
      </c>
      <c r="G1171" s="8" t="s">
        <v>31</v>
      </c>
      <c r="H1171" s="8" t="s">
        <v>56</v>
      </c>
      <c r="I1171" s="8" t="s">
        <v>284</v>
      </c>
      <c r="J1171" s="8" t="s">
        <v>1422</v>
      </c>
      <c r="K1171" s="10" t="s">
        <v>4275</v>
      </c>
      <c r="L1171" s="8" t="s">
        <v>58</v>
      </c>
      <c r="M1171" s="8" t="s">
        <v>35</v>
      </c>
      <c r="N1171" s="11">
        <v>44985.0</v>
      </c>
      <c r="O1171" s="11">
        <v>45123.0</v>
      </c>
      <c r="P1171" s="11">
        <v>45165.0</v>
      </c>
      <c r="Q1171" s="11">
        <v>45123.0</v>
      </c>
      <c r="R1171" s="11">
        <v>45165.0</v>
      </c>
      <c r="S1171" s="12"/>
      <c r="T1171" s="8"/>
      <c r="U1171" s="8" t="s">
        <v>161</v>
      </c>
      <c r="V1171" s="13" t="s">
        <v>56</v>
      </c>
      <c r="W1171" s="13" t="s">
        <v>6083</v>
      </c>
      <c r="X1171" s="12"/>
      <c r="Y1171" s="14"/>
      <c r="Z1171" s="14"/>
    </row>
    <row r="1172">
      <c r="A1172" s="8" t="s">
        <v>6084</v>
      </c>
      <c r="B1172" s="8" t="s">
        <v>6085</v>
      </c>
      <c r="C1172" s="8" t="s">
        <v>64</v>
      </c>
      <c r="D1172" s="8" t="s">
        <v>26</v>
      </c>
      <c r="E1172" s="8" t="s">
        <v>6086</v>
      </c>
      <c r="F1172" s="8">
        <v>9.218766841E9</v>
      </c>
      <c r="G1172" s="8" t="s">
        <v>6087</v>
      </c>
      <c r="H1172" s="8" t="s">
        <v>6088</v>
      </c>
      <c r="I1172" s="8" t="s">
        <v>31</v>
      </c>
      <c r="J1172" s="8" t="s">
        <v>56</v>
      </c>
      <c r="K1172" s="10" t="s">
        <v>6089</v>
      </c>
      <c r="L1172" s="8" t="s">
        <v>34</v>
      </c>
      <c r="M1172" s="8" t="s">
        <v>35</v>
      </c>
      <c r="N1172" s="11">
        <v>44985.0</v>
      </c>
      <c r="O1172" s="11">
        <v>45012.0</v>
      </c>
      <c r="P1172" s="11">
        <v>45093.0</v>
      </c>
      <c r="Q1172" s="11">
        <v>45012.0</v>
      </c>
      <c r="R1172" s="11">
        <v>45093.0</v>
      </c>
      <c r="S1172" s="12"/>
      <c r="T1172" s="8" t="s">
        <v>121</v>
      </c>
      <c r="U1172" s="8" t="s">
        <v>6090</v>
      </c>
      <c r="V1172" s="13" t="s">
        <v>38</v>
      </c>
      <c r="W1172" s="13" t="s">
        <v>6091</v>
      </c>
      <c r="X1172" s="12"/>
      <c r="Y1172" s="14"/>
      <c r="Z1172" s="14"/>
    </row>
    <row r="1173">
      <c r="A1173" s="8" t="s">
        <v>6092</v>
      </c>
      <c r="B1173" s="8" t="s">
        <v>6093</v>
      </c>
      <c r="C1173" s="8" t="s">
        <v>179</v>
      </c>
      <c r="D1173" s="8" t="s">
        <v>26</v>
      </c>
      <c r="E1173" s="8" t="s">
        <v>6094</v>
      </c>
      <c r="F1173" s="8">
        <v>1.202639666E9</v>
      </c>
      <c r="G1173" s="8" t="s">
        <v>284</v>
      </c>
      <c r="H1173" s="8" t="s">
        <v>1287</v>
      </c>
      <c r="I1173" s="8" t="s">
        <v>31</v>
      </c>
      <c r="J1173" s="8" t="s">
        <v>32</v>
      </c>
      <c r="K1173" s="10" t="s">
        <v>238</v>
      </c>
      <c r="L1173" s="8" t="s">
        <v>58</v>
      </c>
      <c r="M1173" s="8" t="s">
        <v>35</v>
      </c>
      <c r="N1173" s="11">
        <v>44985.0</v>
      </c>
      <c r="O1173" s="11">
        <v>45081.0</v>
      </c>
      <c r="P1173" s="11">
        <v>45123.0</v>
      </c>
      <c r="Q1173" s="11"/>
      <c r="R1173" s="11"/>
      <c r="S1173" s="12"/>
      <c r="T1173" s="8"/>
      <c r="U1173" s="8" t="s">
        <v>59</v>
      </c>
      <c r="V1173" s="13" t="s">
        <v>5072</v>
      </c>
      <c r="W1173" s="13" t="s">
        <v>6095</v>
      </c>
      <c r="X1173" s="12"/>
      <c r="Y1173" s="14"/>
      <c r="Z1173" s="14"/>
    </row>
    <row r="1174">
      <c r="A1174" s="8" t="s">
        <v>6096</v>
      </c>
      <c r="B1174" s="8" t="s">
        <v>6097</v>
      </c>
      <c r="C1174" s="8" t="s">
        <v>25</v>
      </c>
      <c r="D1174" s="8" t="s">
        <v>26</v>
      </c>
      <c r="E1174" s="8" t="s">
        <v>6098</v>
      </c>
      <c r="F1174" s="8">
        <v>5.300692215E9</v>
      </c>
      <c r="G1174" s="8" t="s">
        <v>31</v>
      </c>
      <c r="H1174" s="8" t="s">
        <v>86</v>
      </c>
      <c r="I1174" s="8" t="s">
        <v>127</v>
      </c>
      <c r="J1174" s="8" t="s">
        <v>6099</v>
      </c>
      <c r="K1174" s="10" t="s">
        <v>6100</v>
      </c>
      <c r="L1174" s="8" t="s">
        <v>34</v>
      </c>
      <c r="M1174" s="8" t="s">
        <v>35</v>
      </c>
      <c r="N1174" s="11">
        <v>44985.0</v>
      </c>
      <c r="O1174" s="11">
        <v>45110.0</v>
      </c>
      <c r="P1174" s="11">
        <v>45166.0</v>
      </c>
      <c r="Q1174" s="11">
        <v>45110.0</v>
      </c>
      <c r="R1174" s="11">
        <v>45166.0</v>
      </c>
      <c r="S1174" s="12"/>
      <c r="T1174" s="8" t="s">
        <v>224</v>
      </c>
      <c r="U1174" s="8" t="s">
        <v>6101</v>
      </c>
      <c r="V1174" s="13" t="s">
        <v>175</v>
      </c>
      <c r="W1174" s="13" t="s">
        <v>6102</v>
      </c>
      <c r="X1174" s="12"/>
      <c r="Y1174" s="14"/>
      <c r="Z1174" s="14"/>
    </row>
    <row r="1175">
      <c r="A1175" s="8" t="s">
        <v>6103</v>
      </c>
      <c r="B1175" s="8" t="s">
        <v>6104</v>
      </c>
      <c r="C1175" s="8" t="s">
        <v>179</v>
      </c>
      <c r="D1175" s="8" t="s">
        <v>26</v>
      </c>
      <c r="E1175" s="8" t="s">
        <v>6105</v>
      </c>
      <c r="F1175" s="8"/>
      <c r="G1175" s="8" t="s">
        <v>109</v>
      </c>
      <c r="H1175" s="8" t="s">
        <v>2359</v>
      </c>
      <c r="I1175" s="8" t="s">
        <v>31</v>
      </c>
      <c r="J1175" s="8" t="s">
        <v>86</v>
      </c>
      <c r="K1175" s="10" t="s">
        <v>2453</v>
      </c>
      <c r="L1175" s="8" t="s">
        <v>58</v>
      </c>
      <c r="M1175" s="8" t="s">
        <v>35</v>
      </c>
      <c r="N1175" s="11">
        <v>44985.0</v>
      </c>
      <c r="O1175" s="11">
        <v>45271.0</v>
      </c>
      <c r="P1175" s="11">
        <v>45313.0</v>
      </c>
      <c r="Q1175" s="11"/>
      <c r="R1175" s="11"/>
      <c r="S1175" s="12"/>
      <c r="T1175" s="8"/>
      <c r="U1175" s="8" t="s">
        <v>59</v>
      </c>
      <c r="V1175" s="13" t="s">
        <v>2361</v>
      </c>
      <c r="W1175" s="13" t="s">
        <v>6106</v>
      </c>
      <c r="X1175" s="12"/>
      <c r="Y1175" s="14"/>
      <c r="Z1175" s="14"/>
    </row>
    <row r="1176">
      <c r="A1176" s="8" t="s">
        <v>6107</v>
      </c>
      <c r="B1176" s="8" t="s">
        <v>6108</v>
      </c>
      <c r="C1176" s="8" t="s">
        <v>25</v>
      </c>
      <c r="D1176" s="8" t="s">
        <v>26</v>
      </c>
      <c r="E1176" s="8" t="s">
        <v>6109</v>
      </c>
      <c r="F1176" s="8"/>
      <c r="G1176" s="8" t="s">
        <v>54</v>
      </c>
      <c r="H1176" s="8" t="s">
        <v>135</v>
      </c>
      <c r="I1176" s="8" t="s">
        <v>31</v>
      </c>
      <c r="J1176" s="8" t="s">
        <v>77</v>
      </c>
      <c r="K1176" s="10" t="s">
        <v>2555</v>
      </c>
      <c r="L1176" s="8" t="s">
        <v>58</v>
      </c>
      <c r="M1176" s="8" t="s">
        <v>35</v>
      </c>
      <c r="N1176" s="11">
        <v>44985.0</v>
      </c>
      <c r="O1176" s="11">
        <v>44986.0</v>
      </c>
      <c r="P1176" s="11">
        <v>45028.0</v>
      </c>
      <c r="Q1176" s="11">
        <v>44990.0</v>
      </c>
      <c r="R1176" s="11">
        <v>45031.0</v>
      </c>
      <c r="S1176" s="12"/>
      <c r="T1176" s="8"/>
      <c r="U1176" s="8" t="s">
        <v>371</v>
      </c>
      <c r="V1176" s="13" t="s">
        <v>38</v>
      </c>
      <c r="W1176" s="13" t="s">
        <v>6110</v>
      </c>
      <c r="X1176" s="12"/>
      <c r="Y1176" s="14"/>
      <c r="Z1176" s="14"/>
    </row>
    <row r="1177">
      <c r="A1177" s="8" t="s">
        <v>6111</v>
      </c>
      <c r="B1177" s="8" t="s">
        <v>6112</v>
      </c>
      <c r="C1177" s="8" t="s">
        <v>179</v>
      </c>
      <c r="D1177" s="8" t="s">
        <v>26</v>
      </c>
      <c r="E1177" s="8" t="s">
        <v>6113</v>
      </c>
      <c r="F1177" s="8">
        <v>6.499608996E10</v>
      </c>
      <c r="G1177" s="8" t="s">
        <v>109</v>
      </c>
      <c r="H1177" s="8" t="s">
        <v>2359</v>
      </c>
      <c r="I1177" s="8" t="s">
        <v>31</v>
      </c>
      <c r="J1177" s="8" t="s">
        <v>86</v>
      </c>
      <c r="K1177" s="10" t="s">
        <v>2453</v>
      </c>
      <c r="L1177" s="8" t="s">
        <v>58</v>
      </c>
      <c r="M1177" s="8" t="s">
        <v>35</v>
      </c>
      <c r="N1177" s="11">
        <v>44985.0</v>
      </c>
      <c r="O1177" s="11">
        <v>45271.0</v>
      </c>
      <c r="P1177" s="11">
        <v>45313.0</v>
      </c>
      <c r="Q1177" s="11"/>
      <c r="R1177" s="11"/>
      <c r="S1177" s="12"/>
      <c r="T1177" s="8"/>
      <c r="U1177" s="8" t="s">
        <v>59</v>
      </c>
      <c r="V1177" s="13" t="s">
        <v>38</v>
      </c>
      <c r="W1177" s="13" t="s">
        <v>6114</v>
      </c>
      <c r="X1177" s="12"/>
      <c r="Y1177" s="14"/>
      <c r="Z1177" s="14"/>
    </row>
    <row r="1178">
      <c r="A1178" s="8" t="s">
        <v>6115</v>
      </c>
      <c r="B1178" s="8" t="s">
        <v>6116</v>
      </c>
      <c r="C1178" s="8" t="s">
        <v>25</v>
      </c>
      <c r="D1178" s="8" t="s">
        <v>26</v>
      </c>
      <c r="E1178" s="8" t="s">
        <v>6117</v>
      </c>
      <c r="F1178" s="8">
        <v>5.309283505E9</v>
      </c>
      <c r="G1178" s="8" t="s">
        <v>31</v>
      </c>
      <c r="H1178" s="8" t="s">
        <v>1274</v>
      </c>
      <c r="I1178" s="8" t="s">
        <v>284</v>
      </c>
      <c r="J1178" s="8" t="s">
        <v>793</v>
      </c>
      <c r="K1178" s="10" t="s">
        <v>2688</v>
      </c>
      <c r="L1178" s="8" t="s">
        <v>58</v>
      </c>
      <c r="M1178" s="8" t="s">
        <v>35</v>
      </c>
      <c r="N1178" s="11">
        <v>44985.0</v>
      </c>
      <c r="O1178" s="11">
        <v>45108.0</v>
      </c>
      <c r="P1178" s="11">
        <v>45150.0</v>
      </c>
      <c r="Q1178" s="11">
        <v>45116.0</v>
      </c>
      <c r="R1178" s="11">
        <v>45158.0</v>
      </c>
      <c r="S1178" s="12"/>
      <c r="T1178" s="8"/>
      <c r="U1178" s="8" t="s">
        <v>1038</v>
      </c>
      <c r="V1178" s="13" t="s">
        <v>1274</v>
      </c>
      <c r="W1178" s="13" t="s">
        <v>6118</v>
      </c>
      <c r="X1178" s="12"/>
      <c r="Y1178" s="14"/>
      <c r="Z1178" s="14"/>
    </row>
    <row r="1179">
      <c r="A1179" s="8" t="s">
        <v>6119</v>
      </c>
      <c r="B1179" s="8" t="s">
        <v>6120</v>
      </c>
      <c r="C1179" s="8" t="s">
        <v>708</v>
      </c>
      <c r="D1179" s="8" t="s">
        <v>26</v>
      </c>
      <c r="E1179" s="8" t="s">
        <v>6121</v>
      </c>
      <c r="F1179" s="8" t="s">
        <v>6122</v>
      </c>
      <c r="G1179" s="8" t="s">
        <v>54</v>
      </c>
      <c r="H1179" s="8" t="s">
        <v>430</v>
      </c>
      <c r="I1179" s="8" t="s">
        <v>31</v>
      </c>
      <c r="J1179" s="8" t="s">
        <v>77</v>
      </c>
      <c r="K1179" s="10" t="s">
        <v>2951</v>
      </c>
      <c r="L1179" s="8" t="s">
        <v>47</v>
      </c>
      <c r="M1179" s="8" t="s">
        <v>70</v>
      </c>
      <c r="N1179" s="11">
        <v>44986.0</v>
      </c>
      <c r="O1179" s="11">
        <v>45000.0</v>
      </c>
      <c r="P1179" s="11">
        <v>45366.0</v>
      </c>
      <c r="Q1179" s="11">
        <v>44993.0</v>
      </c>
      <c r="R1179" s="11">
        <v>45366.0</v>
      </c>
      <c r="S1179" s="12"/>
      <c r="T1179" s="8"/>
      <c r="U1179" s="8" t="s">
        <v>2952</v>
      </c>
      <c r="V1179" s="13" t="s">
        <v>6123</v>
      </c>
      <c r="W1179" s="13" t="s">
        <v>6124</v>
      </c>
      <c r="X1179" s="12"/>
      <c r="Y1179" s="14"/>
      <c r="Z1179" s="14"/>
    </row>
    <row r="1180">
      <c r="A1180" s="8" t="s">
        <v>6125</v>
      </c>
      <c r="B1180" s="8" t="s">
        <v>6126</v>
      </c>
      <c r="C1180" s="8" t="s">
        <v>251</v>
      </c>
      <c r="D1180" s="8" t="s">
        <v>26</v>
      </c>
      <c r="E1180" s="8" t="s">
        <v>6127</v>
      </c>
      <c r="F1180" s="8"/>
      <c r="G1180" s="8" t="s">
        <v>315</v>
      </c>
      <c r="H1180" s="8" t="s">
        <v>316</v>
      </c>
      <c r="I1180" s="8" t="s">
        <v>31</v>
      </c>
      <c r="J1180" s="8" t="s">
        <v>542</v>
      </c>
      <c r="K1180" s="10" t="s">
        <v>6128</v>
      </c>
      <c r="L1180" s="8" t="s">
        <v>58</v>
      </c>
      <c r="M1180" s="8" t="s">
        <v>35</v>
      </c>
      <c r="N1180" s="11">
        <v>44986.0</v>
      </c>
      <c r="O1180" s="11">
        <v>45061.0</v>
      </c>
      <c r="P1180" s="11">
        <v>45103.0</v>
      </c>
      <c r="Q1180" s="11"/>
      <c r="R1180" s="11"/>
      <c r="S1180" s="12"/>
      <c r="T1180" s="8"/>
      <c r="U1180" s="8" t="s">
        <v>161</v>
      </c>
      <c r="V1180" s="13" t="s">
        <v>38</v>
      </c>
      <c r="W1180" s="13" t="s">
        <v>6129</v>
      </c>
      <c r="X1180" s="12"/>
      <c r="Y1180" s="14"/>
      <c r="Z1180" s="14"/>
    </row>
    <row r="1181">
      <c r="A1181" s="8" t="s">
        <v>6130</v>
      </c>
      <c r="B1181" s="8" t="s">
        <v>6131</v>
      </c>
      <c r="C1181" s="8" t="s">
        <v>25</v>
      </c>
      <c r="D1181" s="8" t="s">
        <v>26</v>
      </c>
      <c r="E1181" s="8" t="s">
        <v>6132</v>
      </c>
      <c r="F1181" s="8"/>
      <c r="G1181" s="8" t="s">
        <v>31</v>
      </c>
      <c r="H1181" s="8" t="s">
        <v>32</v>
      </c>
      <c r="I1181" s="8" t="s">
        <v>54</v>
      </c>
      <c r="J1181" s="8" t="s">
        <v>595</v>
      </c>
      <c r="K1181" s="10" t="s">
        <v>6068</v>
      </c>
      <c r="L1181" s="8" t="s">
        <v>58</v>
      </c>
      <c r="M1181" s="8" t="s">
        <v>35</v>
      </c>
      <c r="N1181" s="11">
        <v>44986.0</v>
      </c>
      <c r="O1181" s="11">
        <v>45139.0</v>
      </c>
      <c r="P1181" s="11">
        <v>45181.0</v>
      </c>
      <c r="Q1181" s="11">
        <v>45138.0</v>
      </c>
      <c r="R1181" s="11">
        <v>45181.0</v>
      </c>
      <c r="S1181" s="12"/>
      <c r="T1181" s="8"/>
      <c r="U1181" s="8" t="s">
        <v>59</v>
      </c>
      <c r="V1181" s="13" t="s">
        <v>38</v>
      </c>
      <c r="W1181" s="13" t="s">
        <v>6133</v>
      </c>
      <c r="X1181" s="12"/>
      <c r="Y1181" s="14"/>
      <c r="Z1181" s="14"/>
    </row>
    <row r="1182">
      <c r="A1182" s="8" t="s">
        <v>6134</v>
      </c>
      <c r="B1182" s="8" t="s">
        <v>6135</v>
      </c>
      <c r="C1182" s="8" t="s">
        <v>25</v>
      </c>
      <c r="D1182" s="8" t="s">
        <v>26</v>
      </c>
      <c r="E1182" s="8" t="s">
        <v>6136</v>
      </c>
      <c r="F1182" s="8"/>
      <c r="G1182" s="8" t="s">
        <v>31</v>
      </c>
      <c r="H1182" s="8" t="s">
        <v>86</v>
      </c>
      <c r="I1182" s="8" t="s">
        <v>29</v>
      </c>
      <c r="J1182" s="8" t="s">
        <v>2269</v>
      </c>
      <c r="K1182" s="10" t="s">
        <v>6137</v>
      </c>
      <c r="L1182" s="8" t="s">
        <v>58</v>
      </c>
      <c r="M1182" s="8" t="s">
        <v>35</v>
      </c>
      <c r="N1182" s="11">
        <v>44986.0</v>
      </c>
      <c r="O1182" s="11">
        <v>45089.0</v>
      </c>
      <c r="P1182" s="11">
        <v>45131.0</v>
      </c>
      <c r="Q1182" s="11">
        <v>45089.0</v>
      </c>
      <c r="R1182" s="11">
        <v>45131.0</v>
      </c>
      <c r="S1182" s="12"/>
      <c r="T1182" s="8"/>
      <c r="U1182" s="8" t="s">
        <v>185</v>
      </c>
      <c r="V1182" s="13" t="s">
        <v>38</v>
      </c>
      <c r="W1182" s="13" t="s">
        <v>6138</v>
      </c>
      <c r="X1182" s="12"/>
      <c r="Y1182" s="14"/>
      <c r="Z1182" s="14"/>
    </row>
    <row r="1183">
      <c r="A1183" s="8" t="s">
        <v>6139</v>
      </c>
      <c r="B1183" s="8" t="s">
        <v>6140</v>
      </c>
      <c r="C1183" s="8" t="s">
        <v>64</v>
      </c>
      <c r="D1183" s="8" t="s">
        <v>26</v>
      </c>
      <c r="E1183" s="8" t="s">
        <v>6141</v>
      </c>
      <c r="F1183" s="8">
        <v>3.323481098E9</v>
      </c>
      <c r="G1183" s="8" t="s">
        <v>315</v>
      </c>
      <c r="H1183" s="8" t="s">
        <v>1833</v>
      </c>
      <c r="I1183" s="8" t="s">
        <v>31</v>
      </c>
      <c r="J1183" s="8" t="s">
        <v>32</v>
      </c>
      <c r="K1183" s="10" t="s">
        <v>286</v>
      </c>
      <c r="L1183" s="8" t="s">
        <v>58</v>
      </c>
      <c r="M1183" s="8" t="s">
        <v>35</v>
      </c>
      <c r="N1183" s="11">
        <v>44986.0</v>
      </c>
      <c r="O1183" s="11">
        <v>45081.0</v>
      </c>
      <c r="P1183" s="11">
        <v>45123.0</v>
      </c>
      <c r="Q1183" s="11">
        <v>45089.0</v>
      </c>
      <c r="R1183" s="11">
        <v>45131.0</v>
      </c>
      <c r="S1183" s="12"/>
      <c r="T1183" s="8"/>
      <c r="U1183" s="8" t="s">
        <v>59</v>
      </c>
      <c r="V1183" s="13" t="s">
        <v>38</v>
      </c>
      <c r="W1183" s="13" t="s">
        <v>6142</v>
      </c>
      <c r="X1183" s="12"/>
      <c r="Y1183" s="14"/>
      <c r="Z1183" s="14"/>
    </row>
    <row r="1184">
      <c r="A1184" s="8" t="s">
        <v>6143</v>
      </c>
      <c r="B1184" s="8" t="s">
        <v>6144</v>
      </c>
      <c r="C1184" s="8" t="s">
        <v>179</v>
      </c>
      <c r="D1184" s="8" t="s">
        <v>26</v>
      </c>
      <c r="E1184" s="8" t="s">
        <v>6145</v>
      </c>
      <c r="F1184" s="8">
        <v>5.422921005E9</v>
      </c>
      <c r="G1184" s="8" t="s">
        <v>31</v>
      </c>
      <c r="H1184" s="8" t="s">
        <v>77</v>
      </c>
      <c r="I1184" s="8" t="s">
        <v>284</v>
      </c>
      <c r="J1184" s="8" t="s">
        <v>589</v>
      </c>
      <c r="K1184" s="10" t="s">
        <v>6146</v>
      </c>
      <c r="L1184" s="8" t="s">
        <v>58</v>
      </c>
      <c r="M1184" s="8" t="s">
        <v>35</v>
      </c>
      <c r="N1184" s="11">
        <v>44986.0</v>
      </c>
      <c r="O1184" s="11">
        <v>45122.0</v>
      </c>
      <c r="P1184" s="11">
        <v>45164.0</v>
      </c>
      <c r="Q1184" s="11"/>
      <c r="R1184" s="11"/>
      <c r="S1184" s="12"/>
      <c r="T1184" s="8"/>
      <c r="U1184" s="8" t="s">
        <v>1038</v>
      </c>
      <c r="V1184" s="13" t="s">
        <v>1408</v>
      </c>
      <c r="W1184" s="13" t="s">
        <v>6147</v>
      </c>
      <c r="X1184" s="12"/>
      <c r="Y1184" s="14"/>
      <c r="Z1184" s="14"/>
    </row>
    <row r="1185">
      <c r="A1185" s="8" t="s">
        <v>6148</v>
      </c>
      <c r="B1185" s="8" t="s">
        <v>6149</v>
      </c>
      <c r="C1185" s="8" t="s">
        <v>179</v>
      </c>
      <c r="D1185" s="8" t="s">
        <v>26</v>
      </c>
      <c r="E1185" s="8" t="s">
        <v>6150</v>
      </c>
      <c r="F1185" s="8">
        <v>5.392140529E9</v>
      </c>
      <c r="G1185" s="8" t="s">
        <v>31</v>
      </c>
      <c r="H1185" s="8" t="s">
        <v>167</v>
      </c>
      <c r="I1185" s="8" t="s">
        <v>284</v>
      </c>
      <c r="J1185" s="8" t="s">
        <v>1287</v>
      </c>
      <c r="K1185" s="10" t="s">
        <v>6151</v>
      </c>
      <c r="L1185" s="8" t="s">
        <v>58</v>
      </c>
      <c r="M1185" s="8" t="s">
        <v>35</v>
      </c>
      <c r="N1185" s="11">
        <v>44986.0</v>
      </c>
      <c r="O1185" s="11">
        <v>45122.0</v>
      </c>
      <c r="P1185" s="11">
        <v>45164.0</v>
      </c>
      <c r="Q1185" s="11"/>
      <c r="R1185" s="11"/>
      <c r="S1185" s="12"/>
      <c r="T1185" s="8"/>
      <c r="U1185" s="8" t="s">
        <v>371</v>
      </c>
      <c r="V1185" s="13" t="s">
        <v>167</v>
      </c>
      <c r="W1185" s="13" t="s">
        <v>6152</v>
      </c>
      <c r="X1185" s="12"/>
      <c r="Y1185" s="14"/>
      <c r="Z1185" s="14"/>
    </row>
    <row r="1186">
      <c r="A1186" s="8" t="s">
        <v>6153</v>
      </c>
      <c r="B1186" s="8" t="s">
        <v>6154</v>
      </c>
      <c r="C1186" s="8" t="s">
        <v>179</v>
      </c>
      <c r="D1186" s="8" t="s">
        <v>26</v>
      </c>
      <c r="E1186" s="8" t="s">
        <v>6155</v>
      </c>
      <c r="F1186" s="8">
        <v>5.060644041E9</v>
      </c>
      <c r="G1186" s="8" t="s">
        <v>31</v>
      </c>
      <c r="H1186" s="8" t="s">
        <v>167</v>
      </c>
      <c r="I1186" s="8" t="s">
        <v>284</v>
      </c>
      <c r="J1186" s="8" t="s">
        <v>1287</v>
      </c>
      <c r="K1186" s="10" t="s">
        <v>6151</v>
      </c>
      <c r="L1186" s="8" t="s">
        <v>58</v>
      </c>
      <c r="M1186" s="8" t="s">
        <v>35</v>
      </c>
      <c r="N1186" s="11">
        <v>44986.0</v>
      </c>
      <c r="O1186" s="11">
        <v>45122.0</v>
      </c>
      <c r="P1186" s="11">
        <v>45164.0</v>
      </c>
      <c r="Q1186" s="11"/>
      <c r="R1186" s="11"/>
      <c r="S1186" s="12"/>
      <c r="T1186" s="8"/>
      <c r="U1186" s="8" t="s">
        <v>371</v>
      </c>
      <c r="V1186" s="13" t="s">
        <v>167</v>
      </c>
      <c r="W1186" s="13" t="s">
        <v>6156</v>
      </c>
      <c r="X1186" s="12"/>
      <c r="Y1186" s="14"/>
      <c r="Z1186" s="14"/>
    </row>
    <row r="1187">
      <c r="A1187" s="8" t="s">
        <v>6157</v>
      </c>
      <c r="B1187" s="8" t="s">
        <v>6158</v>
      </c>
      <c r="C1187" s="8" t="s">
        <v>25</v>
      </c>
      <c r="D1187" s="8" t="s">
        <v>26</v>
      </c>
      <c r="E1187" s="8" t="s">
        <v>6159</v>
      </c>
      <c r="F1187" s="8">
        <v>5.4248248E7</v>
      </c>
      <c r="G1187" s="8" t="s">
        <v>54</v>
      </c>
      <c r="H1187" s="8" t="s">
        <v>430</v>
      </c>
      <c r="I1187" s="8" t="s">
        <v>31</v>
      </c>
      <c r="J1187" s="8" t="s">
        <v>542</v>
      </c>
      <c r="K1187" s="10" t="s">
        <v>662</v>
      </c>
      <c r="L1187" s="8" t="s">
        <v>58</v>
      </c>
      <c r="M1187" s="8" t="s">
        <v>35</v>
      </c>
      <c r="N1187" s="11">
        <v>44986.0</v>
      </c>
      <c r="O1187" s="11">
        <v>45187.0</v>
      </c>
      <c r="P1187" s="11">
        <v>45229.0</v>
      </c>
      <c r="Q1187" s="11">
        <v>45188.0</v>
      </c>
      <c r="R1187" s="11">
        <v>45229.0</v>
      </c>
      <c r="S1187" s="12"/>
      <c r="T1187" s="8"/>
      <c r="U1187" s="8" t="s">
        <v>59</v>
      </c>
      <c r="V1187" s="13" t="s">
        <v>6160</v>
      </c>
      <c r="W1187" s="13" t="s">
        <v>6161</v>
      </c>
      <c r="X1187" s="12"/>
      <c r="Y1187" s="14"/>
      <c r="Z1187" s="14"/>
    </row>
    <row r="1188">
      <c r="A1188" s="8" t="s">
        <v>6162</v>
      </c>
      <c r="B1188" s="8" t="s">
        <v>3191</v>
      </c>
      <c r="C1188" s="8" t="s">
        <v>25</v>
      </c>
      <c r="D1188" s="8" t="s">
        <v>26</v>
      </c>
      <c r="E1188" s="8" t="s">
        <v>3192</v>
      </c>
      <c r="F1188" s="8">
        <v>5.330328104E9</v>
      </c>
      <c r="G1188" s="8" t="s">
        <v>31</v>
      </c>
      <c r="H1188" s="8" t="s">
        <v>56</v>
      </c>
      <c r="I1188" s="8" t="s">
        <v>399</v>
      </c>
      <c r="J1188" s="8" t="s">
        <v>904</v>
      </c>
      <c r="K1188" s="10" t="s">
        <v>6163</v>
      </c>
      <c r="L1188" s="8" t="s">
        <v>58</v>
      </c>
      <c r="M1188" s="8" t="s">
        <v>35</v>
      </c>
      <c r="N1188" s="11">
        <v>44986.0</v>
      </c>
      <c r="O1188" s="11">
        <v>45103.0</v>
      </c>
      <c r="P1188" s="11">
        <v>45145.0</v>
      </c>
      <c r="Q1188" s="11">
        <v>45105.0</v>
      </c>
      <c r="R1188" s="11">
        <v>45145.0</v>
      </c>
      <c r="S1188" s="12"/>
      <c r="T1188" s="8"/>
      <c r="U1188" s="8" t="s">
        <v>1038</v>
      </c>
      <c r="V1188" s="13" t="s">
        <v>56</v>
      </c>
      <c r="W1188" s="13" t="s">
        <v>3193</v>
      </c>
      <c r="X1188" s="12"/>
      <c r="Y1188" s="14"/>
      <c r="Z1188" s="14"/>
    </row>
    <row r="1189">
      <c r="A1189" s="8" t="s">
        <v>6164</v>
      </c>
      <c r="B1189" s="8" t="s">
        <v>6165</v>
      </c>
      <c r="C1189" s="8" t="s">
        <v>708</v>
      </c>
      <c r="D1189" s="8" t="s">
        <v>26</v>
      </c>
      <c r="E1189" s="8" t="s">
        <v>6166</v>
      </c>
      <c r="F1189" s="8">
        <v>9.5127051E7</v>
      </c>
      <c r="G1189" s="8" t="s">
        <v>54</v>
      </c>
      <c r="H1189" s="8" t="s">
        <v>55</v>
      </c>
      <c r="I1189" s="8" t="s">
        <v>31</v>
      </c>
      <c r="J1189" s="8" t="s">
        <v>542</v>
      </c>
      <c r="K1189" s="10" t="s">
        <v>1685</v>
      </c>
      <c r="L1189" s="8" t="s">
        <v>34</v>
      </c>
      <c r="M1189" s="8" t="s">
        <v>70</v>
      </c>
      <c r="N1189" s="11">
        <v>44986.0</v>
      </c>
      <c r="O1189" s="11">
        <v>45047.0</v>
      </c>
      <c r="P1189" s="11">
        <v>45412.0</v>
      </c>
      <c r="Q1189" s="11">
        <v>45012.0</v>
      </c>
      <c r="R1189" s="11">
        <v>45412.0</v>
      </c>
      <c r="S1189" s="12"/>
      <c r="T1189" s="8" t="s">
        <v>205</v>
      </c>
      <c r="U1189" s="8" t="s">
        <v>1686</v>
      </c>
      <c r="V1189" s="13" t="s">
        <v>60</v>
      </c>
      <c r="W1189" s="13" t="s">
        <v>6167</v>
      </c>
      <c r="X1189" s="12"/>
      <c r="Y1189" s="14"/>
      <c r="Z1189" s="14"/>
    </row>
    <row r="1190">
      <c r="A1190" s="8" t="s">
        <v>6168</v>
      </c>
      <c r="B1190" s="8" t="s">
        <v>6169</v>
      </c>
      <c r="C1190" s="8" t="s">
        <v>25</v>
      </c>
      <c r="D1190" s="8" t="s">
        <v>26</v>
      </c>
      <c r="E1190" s="8" t="s">
        <v>6170</v>
      </c>
      <c r="F1190" s="8">
        <v>7.08075458E8</v>
      </c>
      <c r="G1190" s="8" t="s">
        <v>84</v>
      </c>
      <c r="H1190" s="8" t="s">
        <v>752</v>
      </c>
      <c r="I1190" s="8" t="s">
        <v>31</v>
      </c>
      <c r="J1190" s="8" t="s">
        <v>86</v>
      </c>
      <c r="K1190" s="10" t="s">
        <v>2453</v>
      </c>
      <c r="L1190" s="8" t="s">
        <v>58</v>
      </c>
      <c r="M1190" s="8" t="s">
        <v>35</v>
      </c>
      <c r="N1190" s="11">
        <v>44986.0</v>
      </c>
      <c r="O1190" s="11">
        <v>45090.0</v>
      </c>
      <c r="P1190" s="11">
        <v>45132.0</v>
      </c>
      <c r="Q1190" s="11">
        <v>45096.0</v>
      </c>
      <c r="R1190" s="11">
        <v>45136.0</v>
      </c>
      <c r="S1190" s="12"/>
      <c r="T1190" s="8"/>
      <c r="U1190" s="8" t="s">
        <v>59</v>
      </c>
      <c r="V1190" s="13" t="s">
        <v>6171</v>
      </c>
      <c r="W1190" s="13" t="s">
        <v>6172</v>
      </c>
      <c r="X1190" s="12"/>
      <c r="Y1190" s="14"/>
      <c r="Z1190" s="14"/>
    </row>
    <row r="1191">
      <c r="A1191" s="8" t="s">
        <v>6173</v>
      </c>
      <c r="B1191" s="8" t="s">
        <v>6174</v>
      </c>
      <c r="C1191" s="8" t="s">
        <v>179</v>
      </c>
      <c r="D1191" s="8" t="s">
        <v>26</v>
      </c>
      <c r="E1191" s="8" t="s">
        <v>6175</v>
      </c>
      <c r="F1191" s="8">
        <v>5.398646437E9</v>
      </c>
      <c r="G1191" s="8" t="s">
        <v>31</v>
      </c>
      <c r="H1191" s="8" t="s">
        <v>542</v>
      </c>
      <c r="I1191" s="8" t="s">
        <v>44</v>
      </c>
      <c r="J1191" s="8" t="s">
        <v>1993</v>
      </c>
      <c r="K1191" s="10" t="s">
        <v>6176</v>
      </c>
      <c r="L1191" s="8" t="s">
        <v>58</v>
      </c>
      <c r="M1191" s="8" t="s">
        <v>35</v>
      </c>
      <c r="N1191" s="11">
        <v>44986.0</v>
      </c>
      <c r="O1191" s="11">
        <v>45276.0</v>
      </c>
      <c r="P1191" s="11">
        <v>45318.0</v>
      </c>
      <c r="Q1191" s="11"/>
      <c r="R1191" s="11"/>
      <c r="S1191" s="12"/>
      <c r="T1191" s="8"/>
      <c r="U1191" s="8" t="s">
        <v>59</v>
      </c>
      <c r="V1191" s="13" t="s">
        <v>545</v>
      </c>
      <c r="W1191" s="13" t="s">
        <v>6177</v>
      </c>
      <c r="X1191" s="12"/>
      <c r="Y1191" s="14"/>
      <c r="Z1191" s="14"/>
    </row>
    <row r="1192">
      <c r="A1192" s="8" t="s">
        <v>6178</v>
      </c>
      <c r="B1192" s="8" t="s">
        <v>6179</v>
      </c>
      <c r="C1192" s="8" t="s">
        <v>179</v>
      </c>
      <c r="D1192" s="8" t="s">
        <v>26</v>
      </c>
      <c r="E1192" s="8" t="s">
        <v>6180</v>
      </c>
      <c r="F1192" s="8">
        <v>2.021334E7</v>
      </c>
      <c r="G1192" s="8" t="s">
        <v>54</v>
      </c>
      <c r="H1192" s="8" t="s">
        <v>76</v>
      </c>
      <c r="I1192" s="8" t="s">
        <v>31</v>
      </c>
      <c r="J1192" s="8" t="s">
        <v>86</v>
      </c>
      <c r="K1192" s="10" t="s">
        <v>5483</v>
      </c>
      <c r="L1192" s="8" t="s">
        <v>58</v>
      </c>
      <c r="M1192" s="8" t="s">
        <v>35</v>
      </c>
      <c r="N1192" s="11">
        <v>44987.0</v>
      </c>
      <c r="O1192" s="11">
        <v>45054.0</v>
      </c>
      <c r="P1192" s="11">
        <v>45096.0</v>
      </c>
      <c r="Q1192" s="11"/>
      <c r="R1192" s="11"/>
      <c r="S1192" s="12"/>
      <c r="T1192" s="8"/>
      <c r="U1192" s="8" t="s">
        <v>59</v>
      </c>
      <c r="V1192" s="13" t="s">
        <v>79</v>
      </c>
      <c r="W1192" s="13" t="s">
        <v>6181</v>
      </c>
      <c r="X1192" s="12"/>
      <c r="Y1192" s="14"/>
      <c r="Z1192" s="14"/>
    </row>
    <row r="1193">
      <c r="A1193" s="8" t="s">
        <v>6182</v>
      </c>
      <c r="B1193" s="8" t="s">
        <v>6183</v>
      </c>
      <c r="C1193" s="8" t="s">
        <v>64</v>
      </c>
      <c r="D1193" s="8" t="s">
        <v>26</v>
      </c>
      <c r="E1193" s="8" t="s">
        <v>6184</v>
      </c>
      <c r="F1193" s="8"/>
      <c r="G1193" s="8" t="s">
        <v>31</v>
      </c>
      <c r="H1193" s="8" t="s">
        <v>56</v>
      </c>
      <c r="I1193" s="8" t="s">
        <v>54</v>
      </c>
      <c r="J1193" s="8" t="s">
        <v>595</v>
      </c>
      <c r="K1193" s="10" t="s">
        <v>6185</v>
      </c>
      <c r="L1193" s="8" t="s">
        <v>58</v>
      </c>
      <c r="M1193" s="8" t="s">
        <v>35</v>
      </c>
      <c r="N1193" s="11">
        <v>44987.0</v>
      </c>
      <c r="O1193" s="11">
        <v>45108.0</v>
      </c>
      <c r="P1193" s="11">
        <v>45150.0</v>
      </c>
      <c r="Q1193" s="11">
        <v>45108.0</v>
      </c>
      <c r="R1193" s="11">
        <v>45150.0</v>
      </c>
      <c r="S1193" s="12"/>
      <c r="T1193" s="8"/>
      <c r="U1193" s="8" t="s">
        <v>339</v>
      </c>
      <c r="V1193" s="13" t="s">
        <v>38</v>
      </c>
      <c r="W1193" s="13" t="s">
        <v>6186</v>
      </c>
      <c r="X1193" s="12"/>
      <c r="Y1193" s="14"/>
      <c r="Z1193" s="14"/>
    </row>
    <row r="1194">
      <c r="A1194" s="8" t="s">
        <v>6187</v>
      </c>
      <c r="B1194" s="8" t="s">
        <v>4179</v>
      </c>
      <c r="C1194" s="8" t="s">
        <v>251</v>
      </c>
      <c r="D1194" s="8" t="s">
        <v>26</v>
      </c>
      <c r="E1194" s="8" t="s">
        <v>4180</v>
      </c>
      <c r="F1194" s="8">
        <v>3.192435536E9</v>
      </c>
      <c r="G1194" s="8" t="s">
        <v>4181</v>
      </c>
      <c r="H1194" s="8" t="s">
        <v>4182</v>
      </c>
      <c r="I1194" s="8" t="s">
        <v>31</v>
      </c>
      <c r="J1194" s="8" t="s">
        <v>43</v>
      </c>
      <c r="K1194" s="10" t="s">
        <v>983</v>
      </c>
      <c r="L1194" s="8" t="s">
        <v>34</v>
      </c>
      <c r="M1194" s="8" t="s">
        <v>70</v>
      </c>
      <c r="N1194" s="11">
        <v>44987.0</v>
      </c>
      <c r="O1194" s="11">
        <v>44987.0</v>
      </c>
      <c r="P1194" s="11">
        <v>45358.0</v>
      </c>
      <c r="Q1194" s="11"/>
      <c r="R1194" s="11"/>
      <c r="S1194" s="12"/>
      <c r="T1194" s="8" t="s">
        <v>121</v>
      </c>
      <c r="U1194" s="8" t="s">
        <v>984</v>
      </c>
      <c r="V1194" s="13" t="s">
        <v>4183</v>
      </c>
      <c r="W1194" s="13" t="s">
        <v>4184</v>
      </c>
      <c r="X1194" s="12"/>
      <c r="Y1194" s="14"/>
      <c r="Z1194" s="14"/>
    </row>
    <row r="1195">
      <c r="A1195" s="8" t="s">
        <v>6188</v>
      </c>
      <c r="B1195" s="8" t="s">
        <v>3625</v>
      </c>
      <c r="C1195" s="8" t="s">
        <v>25</v>
      </c>
      <c r="D1195" s="8" t="s">
        <v>26</v>
      </c>
      <c r="E1195" s="8" t="s">
        <v>3626</v>
      </c>
      <c r="F1195" s="8"/>
      <c r="G1195" s="8" t="s">
        <v>3627</v>
      </c>
      <c r="H1195" s="8" t="s">
        <v>3628</v>
      </c>
      <c r="I1195" s="8" t="s">
        <v>31</v>
      </c>
      <c r="J1195" s="8" t="s">
        <v>256</v>
      </c>
      <c r="K1195" s="10" t="s">
        <v>6189</v>
      </c>
      <c r="L1195" s="8" t="s">
        <v>34</v>
      </c>
      <c r="M1195" s="8" t="s">
        <v>70</v>
      </c>
      <c r="N1195" s="11">
        <v>44987.0</v>
      </c>
      <c r="O1195" s="11">
        <v>44979.0</v>
      </c>
      <c r="P1195" s="11">
        <v>45168.0</v>
      </c>
      <c r="Q1195" s="11">
        <v>44987.0</v>
      </c>
      <c r="R1195" s="11">
        <v>45175.0</v>
      </c>
      <c r="S1195" s="12"/>
      <c r="T1195" s="8" t="s">
        <v>205</v>
      </c>
      <c r="U1195" s="8" t="s">
        <v>205</v>
      </c>
      <c r="V1195" s="13" t="s">
        <v>3631</v>
      </c>
      <c r="W1195" s="13" t="s">
        <v>3632</v>
      </c>
      <c r="X1195" s="12"/>
      <c r="Y1195" s="14"/>
      <c r="Z1195" s="14"/>
    </row>
    <row r="1196">
      <c r="A1196" s="8" t="s">
        <v>6190</v>
      </c>
      <c r="B1196" s="8" t="s">
        <v>6191</v>
      </c>
      <c r="C1196" s="8" t="s">
        <v>179</v>
      </c>
      <c r="D1196" s="8" t="s">
        <v>26</v>
      </c>
      <c r="E1196" s="8" t="s">
        <v>6192</v>
      </c>
      <c r="F1196" s="8"/>
      <c r="G1196" s="8" t="s">
        <v>31</v>
      </c>
      <c r="H1196" s="8" t="s">
        <v>66</v>
      </c>
      <c r="I1196" s="8" t="s">
        <v>44</v>
      </c>
      <c r="J1196" s="8" t="s">
        <v>453</v>
      </c>
      <c r="K1196" s="10" t="s">
        <v>514</v>
      </c>
      <c r="L1196" s="8" t="s">
        <v>58</v>
      </c>
      <c r="M1196" s="8" t="s">
        <v>35</v>
      </c>
      <c r="N1196" s="11">
        <v>44988.0</v>
      </c>
      <c r="O1196" s="11">
        <v>45122.0</v>
      </c>
      <c r="P1196" s="11">
        <v>45164.0</v>
      </c>
      <c r="Q1196" s="11"/>
      <c r="R1196" s="11"/>
      <c r="S1196" s="12"/>
      <c r="T1196" s="8"/>
      <c r="U1196" s="8" t="s">
        <v>371</v>
      </c>
      <c r="V1196" s="13" t="s">
        <v>38</v>
      </c>
      <c r="W1196" s="13" t="s">
        <v>6193</v>
      </c>
      <c r="X1196" s="12"/>
      <c r="Y1196" s="14"/>
      <c r="Z1196" s="14"/>
    </row>
    <row r="1197">
      <c r="A1197" s="8" t="s">
        <v>6194</v>
      </c>
      <c r="B1197" s="8" t="s">
        <v>6195</v>
      </c>
      <c r="C1197" s="8" t="s">
        <v>25</v>
      </c>
      <c r="D1197" s="8" t="s">
        <v>26</v>
      </c>
      <c r="E1197" s="8" t="s">
        <v>6196</v>
      </c>
      <c r="F1197" s="8">
        <v>5.536567043E9</v>
      </c>
      <c r="G1197" s="8" t="s">
        <v>31</v>
      </c>
      <c r="H1197" s="8" t="s">
        <v>167</v>
      </c>
      <c r="I1197" s="8" t="s">
        <v>127</v>
      </c>
      <c r="J1197" s="8" t="s">
        <v>128</v>
      </c>
      <c r="K1197" s="10" t="s">
        <v>5767</v>
      </c>
      <c r="L1197" s="8" t="s">
        <v>58</v>
      </c>
      <c r="M1197" s="8" t="s">
        <v>35</v>
      </c>
      <c r="N1197" s="11">
        <v>44988.0</v>
      </c>
      <c r="O1197" s="11">
        <v>45124.0</v>
      </c>
      <c r="P1197" s="11">
        <v>45166.0</v>
      </c>
      <c r="Q1197" s="11">
        <v>45124.0</v>
      </c>
      <c r="R1197" s="11">
        <v>45166.0</v>
      </c>
      <c r="S1197" s="12"/>
      <c r="T1197" s="8"/>
      <c r="U1197" s="8" t="s">
        <v>3111</v>
      </c>
      <c r="V1197" s="13" t="s">
        <v>3212</v>
      </c>
      <c r="W1197" s="13" t="s">
        <v>6197</v>
      </c>
      <c r="X1197" s="12"/>
      <c r="Y1197" s="14"/>
      <c r="Z1197" s="14"/>
    </row>
    <row r="1198">
      <c r="A1198" s="8" t="s">
        <v>6198</v>
      </c>
      <c r="B1198" s="8" t="s">
        <v>6199</v>
      </c>
      <c r="C1198" s="8" t="s">
        <v>179</v>
      </c>
      <c r="D1198" s="8" t="s">
        <v>26</v>
      </c>
      <c r="E1198" s="8" t="s">
        <v>6200</v>
      </c>
      <c r="F1198" s="8">
        <v>1.156341894E9</v>
      </c>
      <c r="G1198" s="8" t="s">
        <v>284</v>
      </c>
      <c r="H1198" s="8" t="s">
        <v>691</v>
      </c>
      <c r="I1198" s="8" t="s">
        <v>31</v>
      </c>
      <c r="J1198" s="8" t="s">
        <v>167</v>
      </c>
      <c r="K1198" s="10" t="s">
        <v>5996</v>
      </c>
      <c r="L1198" s="8" t="s">
        <v>58</v>
      </c>
      <c r="M1198" s="8" t="s">
        <v>35</v>
      </c>
      <c r="N1198" s="11">
        <v>44988.0</v>
      </c>
      <c r="O1198" s="11">
        <v>45117.0</v>
      </c>
      <c r="P1198" s="11">
        <v>45159.0</v>
      </c>
      <c r="Q1198" s="11"/>
      <c r="R1198" s="11"/>
      <c r="S1198" s="12"/>
      <c r="T1198" s="8"/>
      <c r="U1198" s="8" t="s">
        <v>130</v>
      </c>
      <c r="V1198" s="13" t="s">
        <v>6201</v>
      </c>
      <c r="W1198" s="13" t="s">
        <v>6202</v>
      </c>
      <c r="X1198" s="12"/>
      <c r="Y1198" s="14"/>
      <c r="Z1198" s="14"/>
    </row>
    <row r="1199">
      <c r="A1199" s="8" t="s">
        <v>6203</v>
      </c>
      <c r="B1199" s="8" t="s">
        <v>6204</v>
      </c>
      <c r="C1199" s="8" t="s">
        <v>25</v>
      </c>
      <c r="D1199" s="8" t="s">
        <v>26</v>
      </c>
      <c r="E1199" s="8" t="s">
        <v>6205</v>
      </c>
      <c r="F1199" s="8">
        <v>5.34660053E9</v>
      </c>
      <c r="G1199" s="8" t="s">
        <v>31</v>
      </c>
      <c r="H1199" s="8" t="s">
        <v>77</v>
      </c>
      <c r="I1199" s="8" t="s">
        <v>44</v>
      </c>
      <c r="J1199" s="8" t="s">
        <v>1993</v>
      </c>
      <c r="K1199" s="10" t="s">
        <v>6206</v>
      </c>
      <c r="L1199" s="8" t="s">
        <v>58</v>
      </c>
      <c r="M1199" s="8" t="s">
        <v>35</v>
      </c>
      <c r="N1199" s="11">
        <v>44988.0</v>
      </c>
      <c r="O1199" s="11">
        <v>45117.0</v>
      </c>
      <c r="P1199" s="11">
        <v>45159.0</v>
      </c>
      <c r="Q1199" s="11">
        <v>45118.0</v>
      </c>
      <c r="R1199" s="11">
        <v>45159.0</v>
      </c>
      <c r="S1199" s="12"/>
      <c r="T1199" s="8"/>
      <c r="U1199" s="8" t="s">
        <v>153</v>
      </c>
      <c r="V1199" s="13" t="s">
        <v>77</v>
      </c>
      <c r="W1199" s="13" t="s">
        <v>6207</v>
      </c>
      <c r="X1199" s="12"/>
      <c r="Y1199" s="14"/>
      <c r="Z1199" s="14"/>
    </row>
    <row r="1200">
      <c r="A1200" s="8" t="s">
        <v>6208</v>
      </c>
      <c r="B1200" s="8" t="s">
        <v>6209</v>
      </c>
      <c r="C1200" s="8" t="s">
        <v>25</v>
      </c>
      <c r="D1200" s="8" t="s">
        <v>26</v>
      </c>
      <c r="E1200" s="8" t="s">
        <v>6210</v>
      </c>
      <c r="F1200" s="8">
        <v>5.332621228E9</v>
      </c>
      <c r="G1200" s="8" t="s">
        <v>31</v>
      </c>
      <c r="H1200" s="8" t="s">
        <v>542</v>
      </c>
      <c r="I1200" s="8" t="s">
        <v>44</v>
      </c>
      <c r="J1200" s="8" t="s">
        <v>1993</v>
      </c>
      <c r="K1200" s="10" t="s">
        <v>6211</v>
      </c>
      <c r="L1200" s="8" t="s">
        <v>58</v>
      </c>
      <c r="M1200" s="8" t="s">
        <v>35</v>
      </c>
      <c r="N1200" s="11">
        <v>44988.0</v>
      </c>
      <c r="O1200" s="11">
        <v>45115.0</v>
      </c>
      <c r="P1200" s="11">
        <v>45157.0</v>
      </c>
      <c r="Q1200" s="11">
        <v>45143.0</v>
      </c>
      <c r="R1200" s="11">
        <v>45184.0</v>
      </c>
      <c r="S1200" s="12"/>
      <c r="T1200" s="8"/>
      <c r="U1200" s="8" t="s">
        <v>371</v>
      </c>
      <c r="V1200" s="13" t="s">
        <v>545</v>
      </c>
      <c r="W1200" s="13" t="s">
        <v>6212</v>
      </c>
      <c r="X1200" s="12"/>
      <c r="Y1200" s="14"/>
      <c r="Z1200" s="14"/>
    </row>
    <row r="1201">
      <c r="A1201" s="8" t="s">
        <v>6213</v>
      </c>
      <c r="B1201" s="8" t="s">
        <v>6214</v>
      </c>
      <c r="C1201" s="8" t="s">
        <v>25</v>
      </c>
      <c r="D1201" s="8" t="s">
        <v>26</v>
      </c>
      <c r="E1201" s="8" t="s">
        <v>6215</v>
      </c>
      <c r="F1201" s="8">
        <v>5.39818116E9</v>
      </c>
      <c r="G1201" s="8" t="s">
        <v>31</v>
      </c>
      <c r="H1201" s="8" t="s">
        <v>542</v>
      </c>
      <c r="I1201" s="8" t="s">
        <v>44</v>
      </c>
      <c r="J1201" s="8" t="s">
        <v>1993</v>
      </c>
      <c r="K1201" s="10" t="s">
        <v>6211</v>
      </c>
      <c r="L1201" s="8" t="s">
        <v>58</v>
      </c>
      <c r="M1201" s="8" t="s">
        <v>35</v>
      </c>
      <c r="N1201" s="11">
        <v>44988.0</v>
      </c>
      <c r="O1201" s="11">
        <v>45115.0</v>
      </c>
      <c r="P1201" s="11">
        <v>45157.0</v>
      </c>
      <c r="Q1201" s="11">
        <v>45143.0</v>
      </c>
      <c r="R1201" s="11">
        <v>45184.0</v>
      </c>
      <c r="S1201" s="12"/>
      <c r="T1201" s="8"/>
      <c r="U1201" s="8" t="s">
        <v>371</v>
      </c>
      <c r="V1201" s="13" t="s">
        <v>545</v>
      </c>
      <c r="W1201" s="13" t="s">
        <v>6216</v>
      </c>
      <c r="X1201" s="12"/>
      <c r="Y1201" s="14"/>
      <c r="Z1201" s="14"/>
    </row>
    <row r="1202">
      <c r="A1202" s="8" t="s">
        <v>6217</v>
      </c>
      <c r="B1202" s="8" t="s">
        <v>5100</v>
      </c>
      <c r="C1202" s="8" t="s">
        <v>179</v>
      </c>
      <c r="D1202" s="8" t="s">
        <v>26</v>
      </c>
      <c r="E1202" s="8" t="s">
        <v>5101</v>
      </c>
      <c r="F1202" s="8">
        <v>5.078551745E9</v>
      </c>
      <c r="G1202" s="8" t="s">
        <v>31</v>
      </c>
      <c r="H1202" s="8" t="s">
        <v>542</v>
      </c>
      <c r="I1202" s="8" t="s">
        <v>44</v>
      </c>
      <c r="J1202" s="8" t="s">
        <v>1993</v>
      </c>
      <c r="K1202" s="10" t="s">
        <v>6176</v>
      </c>
      <c r="L1202" s="8" t="s">
        <v>58</v>
      </c>
      <c r="M1202" s="8" t="s">
        <v>35</v>
      </c>
      <c r="N1202" s="11">
        <v>44988.0</v>
      </c>
      <c r="O1202" s="11">
        <v>45206.0</v>
      </c>
      <c r="P1202" s="11">
        <v>45248.0</v>
      </c>
      <c r="Q1202" s="11"/>
      <c r="R1202" s="11"/>
      <c r="S1202" s="12"/>
      <c r="T1202" s="8"/>
      <c r="U1202" s="8" t="s">
        <v>59</v>
      </c>
      <c r="V1202" s="13" t="s">
        <v>545</v>
      </c>
      <c r="W1202" s="13" t="s">
        <v>5102</v>
      </c>
      <c r="X1202" s="12"/>
      <c r="Y1202" s="14"/>
      <c r="Z1202" s="14"/>
    </row>
    <row r="1203">
      <c r="A1203" s="8" t="s">
        <v>6218</v>
      </c>
      <c r="B1203" s="8" t="s">
        <v>6219</v>
      </c>
      <c r="C1203" s="8" t="s">
        <v>25</v>
      </c>
      <c r="D1203" s="8" t="s">
        <v>26</v>
      </c>
      <c r="E1203" s="8" t="s">
        <v>6220</v>
      </c>
      <c r="F1203" s="8">
        <v>9.5137026E7</v>
      </c>
      <c r="G1203" s="8" t="s">
        <v>54</v>
      </c>
      <c r="H1203" s="8" t="s">
        <v>377</v>
      </c>
      <c r="I1203" s="8" t="s">
        <v>31</v>
      </c>
      <c r="J1203" s="8" t="s">
        <v>102</v>
      </c>
      <c r="K1203" s="10" t="s">
        <v>6221</v>
      </c>
      <c r="L1203" s="8" t="s">
        <v>58</v>
      </c>
      <c r="M1203" s="8" t="s">
        <v>35</v>
      </c>
      <c r="N1203" s="11">
        <v>44989.0</v>
      </c>
      <c r="O1203" s="11">
        <v>45124.0</v>
      </c>
      <c r="P1203" s="11">
        <v>45166.0</v>
      </c>
      <c r="Q1203" s="11">
        <v>45124.0</v>
      </c>
      <c r="R1203" s="11">
        <v>45166.0</v>
      </c>
      <c r="S1203" s="12"/>
      <c r="T1203" s="8"/>
      <c r="U1203" s="8" t="s">
        <v>59</v>
      </c>
      <c r="V1203" s="13" t="s">
        <v>6222</v>
      </c>
      <c r="W1203" s="13" t="s">
        <v>6223</v>
      </c>
      <c r="X1203" s="12"/>
      <c r="Y1203" s="14"/>
      <c r="Z1203" s="14"/>
    </row>
    <row r="1204">
      <c r="A1204" s="8" t="s">
        <v>6224</v>
      </c>
      <c r="B1204" s="8" t="s">
        <v>6225</v>
      </c>
      <c r="C1204" s="8" t="s">
        <v>179</v>
      </c>
      <c r="D1204" s="8" t="s">
        <v>26</v>
      </c>
      <c r="E1204" s="8" t="s">
        <v>6226</v>
      </c>
      <c r="F1204" s="8">
        <v>5.070787542E9</v>
      </c>
      <c r="G1204" s="8" t="s">
        <v>31</v>
      </c>
      <c r="H1204" s="8" t="s">
        <v>542</v>
      </c>
      <c r="I1204" s="8" t="s">
        <v>284</v>
      </c>
      <c r="J1204" s="8" t="s">
        <v>854</v>
      </c>
      <c r="K1204" s="10" t="s">
        <v>6227</v>
      </c>
      <c r="L1204" s="8" t="s">
        <v>47</v>
      </c>
      <c r="M1204" s="8" t="s">
        <v>70</v>
      </c>
      <c r="N1204" s="11">
        <v>44989.0</v>
      </c>
      <c r="O1204" s="11">
        <v>45108.0</v>
      </c>
      <c r="P1204" s="11">
        <v>45297.0</v>
      </c>
      <c r="Q1204" s="11"/>
      <c r="R1204" s="11"/>
      <c r="S1204" s="12"/>
      <c r="T1204" s="8"/>
      <c r="U1204" s="8" t="s">
        <v>6228</v>
      </c>
      <c r="V1204" s="13" t="s">
        <v>6229</v>
      </c>
      <c r="W1204" s="13" t="s">
        <v>6230</v>
      </c>
      <c r="X1204" s="12"/>
      <c r="Y1204" s="14"/>
      <c r="Z1204" s="14"/>
    </row>
    <row r="1205">
      <c r="A1205" s="8" t="s">
        <v>6231</v>
      </c>
      <c r="B1205" s="8" t="s">
        <v>6232</v>
      </c>
      <c r="C1205" s="8" t="s">
        <v>708</v>
      </c>
      <c r="D1205" s="8" t="s">
        <v>26</v>
      </c>
      <c r="E1205" s="8" t="s">
        <v>6233</v>
      </c>
      <c r="F1205" s="8">
        <v>2.05199287E8</v>
      </c>
      <c r="G1205" s="8" t="s">
        <v>2524</v>
      </c>
      <c r="H1205" s="8" t="s">
        <v>6234</v>
      </c>
      <c r="I1205" s="8" t="s">
        <v>31</v>
      </c>
      <c r="J1205" s="8" t="s">
        <v>102</v>
      </c>
      <c r="K1205" s="10" t="s">
        <v>5254</v>
      </c>
      <c r="L1205" s="8" t="s">
        <v>34</v>
      </c>
      <c r="M1205" s="8" t="s">
        <v>70</v>
      </c>
      <c r="N1205" s="11">
        <v>44989.0</v>
      </c>
      <c r="O1205" s="11">
        <v>45032.0</v>
      </c>
      <c r="P1205" s="11">
        <v>45398.0</v>
      </c>
      <c r="Q1205" s="11">
        <v>45097.0</v>
      </c>
      <c r="R1205" s="11">
        <v>45463.0</v>
      </c>
      <c r="S1205" s="12"/>
      <c r="T1205" s="8" t="s">
        <v>446</v>
      </c>
      <c r="U1205" s="8" t="s">
        <v>5255</v>
      </c>
      <c r="V1205" s="13" t="s">
        <v>6235</v>
      </c>
      <c r="W1205" s="13" t="s">
        <v>6236</v>
      </c>
      <c r="X1205" s="12"/>
      <c r="Y1205" s="14"/>
      <c r="Z1205" s="14"/>
    </row>
    <row r="1206">
      <c r="A1206" s="8" t="s">
        <v>6237</v>
      </c>
      <c r="B1206" s="8" t="s">
        <v>6238</v>
      </c>
      <c r="C1206" s="8" t="s">
        <v>179</v>
      </c>
      <c r="D1206" s="8" t="s">
        <v>26</v>
      </c>
      <c r="E1206" s="8" t="s">
        <v>6239</v>
      </c>
      <c r="F1206" s="8">
        <v>1.094996628E9</v>
      </c>
      <c r="G1206" s="8" t="s">
        <v>284</v>
      </c>
      <c r="H1206" s="8" t="s">
        <v>1287</v>
      </c>
      <c r="I1206" s="8" t="s">
        <v>31</v>
      </c>
      <c r="J1206" s="8" t="s">
        <v>32</v>
      </c>
      <c r="K1206" s="10" t="s">
        <v>238</v>
      </c>
      <c r="L1206" s="8" t="s">
        <v>58</v>
      </c>
      <c r="M1206" s="8" t="s">
        <v>35</v>
      </c>
      <c r="N1206" s="11">
        <v>44989.0</v>
      </c>
      <c r="O1206" s="11">
        <v>45081.0</v>
      </c>
      <c r="P1206" s="11">
        <v>45123.0</v>
      </c>
      <c r="Q1206" s="11"/>
      <c r="R1206" s="11"/>
      <c r="S1206" s="12"/>
      <c r="T1206" s="8"/>
      <c r="U1206" s="8" t="s">
        <v>59</v>
      </c>
      <c r="V1206" s="13" t="s">
        <v>5072</v>
      </c>
      <c r="W1206" s="13" t="s">
        <v>6240</v>
      </c>
      <c r="X1206" s="12"/>
      <c r="Y1206" s="14"/>
      <c r="Z1206" s="14"/>
    </row>
    <row r="1207">
      <c r="A1207" s="8" t="s">
        <v>6241</v>
      </c>
      <c r="B1207" s="8" t="s">
        <v>6242</v>
      </c>
      <c r="C1207" s="8" t="s">
        <v>25</v>
      </c>
      <c r="D1207" s="8" t="s">
        <v>26</v>
      </c>
      <c r="E1207" s="8" t="s">
        <v>6243</v>
      </c>
      <c r="F1207" s="8"/>
      <c r="G1207" s="8" t="s">
        <v>315</v>
      </c>
      <c r="H1207" s="8" t="s">
        <v>316</v>
      </c>
      <c r="I1207" s="8" t="s">
        <v>31</v>
      </c>
      <c r="J1207" s="8" t="s">
        <v>542</v>
      </c>
      <c r="K1207" s="10" t="s">
        <v>6128</v>
      </c>
      <c r="L1207" s="8" t="s">
        <v>58</v>
      </c>
      <c r="M1207" s="8" t="s">
        <v>35</v>
      </c>
      <c r="N1207" s="11">
        <v>44989.0</v>
      </c>
      <c r="O1207" s="11">
        <v>45012.0</v>
      </c>
      <c r="P1207" s="11">
        <v>45054.0</v>
      </c>
      <c r="Q1207" s="11">
        <v>45012.0</v>
      </c>
      <c r="R1207" s="11">
        <v>45054.0</v>
      </c>
      <c r="S1207" s="12"/>
      <c r="T1207" s="8"/>
      <c r="U1207" s="8" t="s">
        <v>161</v>
      </c>
      <c r="V1207" s="13" t="s">
        <v>38</v>
      </c>
      <c r="W1207" s="13" t="s">
        <v>6244</v>
      </c>
      <c r="X1207" s="12"/>
      <c r="Y1207" s="14"/>
      <c r="Z1207" s="14"/>
    </row>
    <row r="1208">
      <c r="A1208" s="8" t="s">
        <v>6245</v>
      </c>
      <c r="B1208" s="8" t="s">
        <v>6246</v>
      </c>
      <c r="C1208" s="8" t="s">
        <v>25</v>
      </c>
      <c r="D1208" s="8" t="s">
        <v>26</v>
      </c>
      <c r="E1208" s="8" t="s">
        <v>6247</v>
      </c>
      <c r="F1208" s="8">
        <v>5.417634124E9</v>
      </c>
      <c r="G1208" s="8" t="s">
        <v>31</v>
      </c>
      <c r="H1208" s="8" t="s">
        <v>220</v>
      </c>
      <c r="I1208" s="8" t="s">
        <v>109</v>
      </c>
      <c r="J1208" s="8" t="s">
        <v>1872</v>
      </c>
      <c r="K1208" s="10" t="s">
        <v>6248</v>
      </c>
      <c r="L1208" s="8" t="s">
        <v>58</v>
      </c>
      <c r="M1208" s="8" t="s">
        <v>35</v>
      </c>
      <c r="N1208" s="11">
        <v>44989.0</v>
      </c>
      <c r="O1208" s="11">
        <v>45002.0</v>
      </c>
      <c r="P1208" s="11">
        <v>45044.0</v>
      </c>
      <c r="Q1208" s="11">
        <v>45002.0</v>
      </c>
      <c r="R1208" s="11">
        <v>45044.0</v>
      </c>
      <c r="S1208" s="12"/>
      <c r="T1208" s="8"/>
      <c r="U1208" s="8" t="s">
        <v>185</v>
      </c>
      <c r="V1208" s="13" t="s">
        <v>6249</v>
      </c>
      <c r="W1208" s="13" t="s">
        <v>6250</v>
      </c>
      <c r="X1208" s="12"/>
      <c r="Y1208" s="14"/>
      <c r="Z1208" s="14"/>
    </row>
    <row r="1209">
      <c r="A1209" s="8" t="s">
        <v>6251</v>
      </c>
      <c r="B1209" s="8" t="s">
        <v>6252</v>
      </c>
      <c r="C1209" s="8" t="s">
        <v>64</v>
      </c>
      <c r="D1209" s="8" t="s">
        <v>26</v>
      </c>
      <c r="E1209" s="8" t="s">
        <v>6253</v>
      </c>
      <c r="F1209" s="8">
        <v>1.3122359206E10</v>
      </c>
      <c r="G1209" s="8" t="s">
        <v>31</v>
      </c>
      <c r="H1209" s="8" t="s">
        <v>959</v>
      </c>
      <c r="I1209" s="8" t="s">
        <v>399</v>
      </c>
      <c r="J1209" s="8" t="s">
        <v>2416</v>
      </c>
      <c r="K1209" s="10" t="s">
        <v>6254</v>
      </c>
      <c r="L1209" s="8" t="s">
        <v>58</v>
      </c>
      <c r="M1209" s="8" t="s">
        <v>35</v>
      </c>
      <c r="N1209" s="11">
        <v>44989.0</v>
      </c>
      <c r="O1209" s="11">
        <v>45110.0</v>
      </c>
      <c r="P1209" s="11">
        <v>45152.0</v>
      </c>
      <c r="Q1209" s="11">
        <v>45110.0</v>
      </c>
      <c r="R1209" s="11">
        <v>45152.0</v>
      </c>
      <c r="S1209" s="12"/>
      <c r="T1209" s="8"/>
      <c r="U1209" s="8" t="s">
        <v>59</v>
      </c>
      <c r="V1209" s="13" t="s">
        <v>1069</v>
      </c>
      <c r="W1209" s="13" t="s">
        <v>6255</v>
      </c>
      <c r="X1209" s="12"/>
      <c r="Y1209" s="14"/>
      <c r="Z1209" s="14"/>
    </row>
    <row r="1210">
      <c r="A1210" s="8" t="s">
        <v>6256</v>
      </c>
      <c r="B1210" s="8" t="s">
        <v>6257</v>
      </c>
      <c r="C1210" s="8" t="s">
        <v>64</v>
      </c>
      <c r="D1210" s="8" t="s">
        <v>26</v>
      </c>
      <c r="E1210" s="8" t="s">
        <v>6258</v>
      </c>
      <c r="F1210" s="8"/>
      <c r="G1210" s="8" t="s">
        <v>84</v>
      </c>
      <c r="H1210" s="8" t="s">
        <v>752</v>
      </c>
      <c r="I1210" s="8" t="s">
        <v>31</v>
      </c>
      <c r="J1210" s="8" t="s">
        <v>86</v>
      </c>
      <c r="K1210" s="10" t="s">
        <v>2453</v>
      </c>
      <c r="L1210" s="8" t="s">
        <v>58</v>
      </c>
      <c r="M1210" s="8" t="s">
        <v>35</v>
      </c>
      <c r="N1210" s="11">
        <v>44989.0</v>
      </c>
      <c r="O1210" s="11">
        <v>45090.0</v>
      </c>
      <c r="P1210" s="11">
        <v>45132.0</v>
      </c>
      <c r="Q1210" s="11">
        <v>45096.0</v>
      </c>
      <c r="R1210" s="11">
        <v>45138.0</v>
      </c>
      <c r="S1210" s="12"/>
      <c r="T1210" s="8"/>
      <c r="U1210" s="8" t="s">
        <v>59</v>
      </c>
      <c r="V1210" s="13" t="s">
        <v>38</v>
      </c>
      <c r="W1210" s="13" t="s">
        <v>6259</v>
      </c>
      <c r="X1210" s="12"/>
      <c r="Y1210" s="14"/>
      <c r="Z1210" s="14"/>
    </row>
    <row r="1211">
      <c r="A1211" s="8" t="s">
        <v>6260</v>
      </c>
      <c r="B1211" s="8" t="s">
        <v>6261</v>
      </c>
      <c r="C1211" s="8" t="s">
        <v>179</v>
      </c>
      <c r="D1211" s="8" t="s">
        <v>26</v>
      </c>
      <c r="E1211" s="8" t="s">
        <v>6262</v>
      </c>
      <c r="F1211" s="8">
        <v>3.094457063E9</v>
      </c>
      <c r="G1211" s="8" t="s">
        <v>315</v>
      </c>
      <c r="H1211" s="8" t="s">
        <v>6263</v>
      </c>
      <c r="I1211" s="8" t="s">
        <v>31</v>
      </c>
      <c r="J1211" s="8" t="s">
        <v>438</v>
      </c>
      <c r="K1211" s="10" t="s">
        <v>6001</v>
      </c>
      <c r="L1211" s="8" t="s">
        <v>58</v>
      </c>
      <c r="M1211" s="8" t="s">
        <v>35</v>
      </c>
      <c r="N1211" s="11">
        <v>44990.0</v>
      </c>
      <c r="O1211" s="11">
        <v>45117.0</v>
      </c>
      <c r="P1211" s="11">
        <v>45159.0</v>
      </c>
      <c r="Q1211" s="11"/>
      <c r="R1211" s="11"/>
      <c r="S1211" s="12"/>
      <c r="T1211" s="8"/>
      <c r="U1211" s="8" t="s">
        <v>59</v>
      </c>
      <c r="V1211" s="13" t="s">
        <v>6264</v>
      </c>
      <c r="W1211" s="13" t="s">
        <v>6265</v>
      </c>
      <c r="X1211" s="12"/>
      <c r="Y1211" s="14"/>
      <c r="Z1211" s="14"/>
    </row>
    <row r="1212">
      <c r="A1212" s="8" t="s">
        <v>6266</v>
      </c>
      <c r="B1212" s="8" t="s">
        <v>6267</v>
      </c>
      <c r="C1212" s="8" t="s">
        <v>25</v>
      </c>
      <c r="D1212" s="8" t="s">
        <v>26</v>
      </c>
      <c r="E1212" s="8" t="s">
        <v>6268</v>
      </c>
      <c r="F1212" s="8">
        <v>1.156008336E9</v>
      </c>
      <c r="G1212" s="8" t="s">
        <v>284</v>
      </c>
      <c r="H1212" s="8" t="s">
        <v>793</v>
      </c>
      <c r="I1212" s="8" t="s">
        <v>31</v>
      </c>
      <c r="J1212" s="8" t="s">
        <v>1119</v>
      </c>
      <c r="K1212" s="10" t="s">
        <v>6015</v>
      </c>
      <c r="L1212" s="8" t="s">
        <v>58</v>
      </c>
      <c r="M1212" s="8" t="s">
        <v>35</v>
      </c>
      <c r="N1212" s="11">
        <v>44990.0</v>
      </c>
      <c r="O1212" s="11">
        <v>45128.0</v>
      </c>
      <c r="P1212" s="11">
        <v>45170.0</v>
      </c>
      <c r="Q1212" s="11">
        <v>45135.0</v>
      </c>
      <c r="R1212" s="11">
        <v>45170.0</v>
      </c>
      <c r="S1212" s="12"/>
      <c r="T1212" s="8"/>
      <c r="U1212" s="8" t="s">
        <v>59</v>
      </c>
      <c r="V1212" s="13" t="s">
        <v>793</v>
      </c>
      <c r="W1212" s="13" t="s">
        <v>6269</v>
      </c>
      <c r="X1212" s="12"/>
      <c r="Y1212" s="14"/>
      <c r="Z1212" s="14"/>
    </row>
    <row r="1213">
      <c r="A1213" s="8" t="s">
        <v>6270</v>
      </c>
      <c r="B1213" s="8" t="s">
        <v>6271</v>
      </c>
      <c r="C1213" s="8" t="s">
        <v>64</v>
      </c>
      <c r="D1213" s="8" t="s">
        <v>26</v>
      </c>
      <c r="E1213" s="8" t="s">
        <v>6272</v>
      </c>
      <c r="F1213" s="8">
        <v>1.068263085E9</v>
      </c>
      <c r="G1213" s="8" t="s">
        <v>284</v>
      </c>
      <c r="H1213" s="8" t="s">
        <v>1764</v>
      </c>
      <c r="I1213" s="8" t="s">
        <v>31</v>
      </c>
      <c r="J1213" s="8" t="s">
        <v>1119</v>
      </c>
      <c r="K1213" s="10" t="s">
        <v>6015</v>
      </c>
      <c r="L1213" s="8" t="s">
        <v>58</v>
      </c>
      <c r="M1213" s="8" t="s">
        <v>35</v>
      </c>
      <c r="N1213" s="11">
        <v>44990.0</v>
      </c>
      <c r="O1213" s="11">
        <v>45087.0</v>
      </c>
      <c r="P1213" s="11">
        <v>45129.0</v>
      </c>
      <c r="Q1213" s="11">
        <v>45089.0</v>
      </c>
      <c r="R1213" s="11">
        <v>45129.0</v>
      </c>
      <c r="S1213" s="12"/>
      <c r="T1213" s="8"/>
      <c r="U1213" s="8" t="s">
        <v>59</v>
      </c>
      <c r="V1213" s="13" t="s">
        <v>6273</v>
      </c>
      <c r="W1213" s="13" t="s">
        <v>6274</v>
      </c>
      <c r="X1213" s="12"/>
      <c r="Y1213" s="14"/>
      <c r="Z1213" s="14"/>
    </row>
    <row r="1214">
      <c r="A1214" s="8" t="s">
        <v>6275</v>
      </c>
      <c r="B1214" s="8" t="s">
        <v>6276</v>
      </c>
      <c r="C1214" s="8" t="s">
        <v>179</v>
      </c>
      <c r="D1214" s="8" t="s">
        <v>26</v>
      </c>
      <c r="E1214" s="8" t="s">
        <v>6277</v>
      </c>
      <c r="F1214" s="8">
        <v>3.342263552E9</v>
      </c>
      <c r="G1214" s="8" t="s">
        <v>315</v>
      </c>
      <c r="H1214" s="8" t="s">
        <v>6263</v>
      </c>
      <c r="I1214" s="8" t="s">
        <v>31</v>
      </c>
      <c r="J1214" s="8" t="s">
        <v>438</v>
      </c>
      <c r="K1214" s="10" t="s">
        <v>6001</v>
      </c>
      <c r="L1214" s="8" t="s">
        <v>58</v>
      </c>
      <c r="M1214" s="8" t="s">
        <v>35</v>
      </c>
      <c r="N1214" s="11">
        <v>44990.0</v>
      </c>
      <c r="O1214" s="11">
        <v>45117.0</v>
      </c>
      <c r="P1214" s="11">
        <v>45159.0</v>
      </c>
      <c r="Q1214" s="11"/>
      <c r="R1214" s="11"/>
      <c r="S1214" s="12"/>
      <c r="T1214" s="8"/>
      <c r="U1214" s="8" t="s">
        <v>59</v>
      </c>
      <c r="V1214" s="13" t="s">
        <v>6264</v>
      </c>
      <c r="W1214" s="13" t="s">
        <v>6278</v>
      </c>
      <c r="X1214" s="12"/>
      <c r="Y1214" s="14"/>
      <c r="Z1214" s="14"/>
    </row>
    <row r="1215">
      <c r="A1215" s="8" t="s">
        <v>6279</v>
      </c>
      <c r="B1215" s="8" t="s">
        <v>6280</v>
      </c>
      <c r="C1215" s="8" t="s">
        <v>25</v>
      </c>
      <c r="D1215" s="8" t="s">
        <v>26</v>
      </c>
      <c r="E1215" s="8" t="s">
        <v>6281</v>
      </c>
      <c r="F1215" s="8">
        <v>3.204029739E9</v>
      </c>
      <c r="G1215" s="8" t="s">
        <v>315</v>
      </c>
      <c r="H1215" s="8" t="s">
        <v>1242</v>
      </c>
      <c r="I1215" s="8" t="s">
        <v>31</v>
      </c>
      <c r="J1215" s="8" t="s">
        <v>438</v>
      </c>
      <c r="K1215" s="10" t="s">
        <v>6001</v>
      </c>
      <c r="L1215" s="8" t="s">
        <v>58</v>
      </c>
      <c r="M1215" s="8" t="s">
        <v>35</v>
      </c>
      <c r="N1215" s="11">
        <v>44990.0</v>
      </c>
      <c r="O1215" s="11">
        <v>45117.0</v>
      </c>
      <c r="P1215" s="11">
        <v>45159.0</v>
      </c>
      <c r="Q1215" s="11">
        <v>45118.0</v>
      </c>
      <c r="R1215" s="11">
        <v>45159.0</v>
      </c>
      <c r="S1215" s="12"/>
      <c r="T1215" s="8"/>
      <c r="U1215" s="8" t="s">
        <v>59</v>
      </c>
      <c r="V1215" s="13" t="s">
        <v>6264</v>
      </c>
      <c r="W1215" s="13" t="s">
        <v>6282</v>
      </c>
      <c r="X1215" s="12"/>
      <c r="Y1215" s="14"/>
      <c r="Z1215" s="14"/>
    </row>
    <row r="1216">
      <c r="A1216" s="8" t="s">
        <v>6283</v>
      </c>
      <c r="B1216" s="8" t="s">
        <v>6284</v>
      </c>
      <c r="C1216" s="8" t="s">
        <v>708</v>
      </c>
      <c r="D1216" s="8" t="s">
        <v>26</v>
      </c>
      <c r="E1216" s="8" t="s">
        <v>6285</v>
      </c>
      <c r="F1216" s="8"/>
      <c r="G1216" s="8" t="s">
        <v>407</v>
      </c>
      <c r="H1216" s="8" t="s">
        <v>408</v>
      </c>
      <c r="I1216" s="8" t="s">
        <v>31</v>
      </c>
      <c r="J1216" s="8" t="s">
        <v>77</v>
      </c>
      <c r="K1216" s="10" t="s">
        <v>2869</v>
      </c>
      <c r="L1216" s="8" t="s">
        <v>34</v>
      </c>
      <c r="M1216" s="8" t="s">
        <v>70</v>
      </c>
      <c r="N1216" s="11">
        <v>44990.0</v>
      </c>
      <c r="O1216" s="11">
        <v>44986.0</v>
      </c>
      <c r="P1216" s="11">
        <v>45352.0</v>
      </c>
      <c r="Q1216" s="11">
        <v>45005.0</v>
      </c>
      <c r="R1216" s="11">
        <v>45371.0</v>
      </c>
      <c r="S1216" s="12"/>
      <c r="T1216" s="8" t="s">
        <v>121</v>
      </c>
      <c r="U1216" s="8" t="s">
        <v>2870</v>
      </c>
      <c r="V1216" s="13" t="s">
        <v>38</v>
      </c>
      <c r="W1216" s="13" t="s">
        <v>6286</v>
      </c>
      <c r="X1216" s="12"/>
      <c r="Y1216" s="14"/>
      <c r="Z1216" s="14"/>
    </row>
    <row r="1217">
      <c r="A1217" s="8" t="s">
        <v>6287</v>
      </c>
      <c r="B1217" s="8" t="s">
        <v>6288</v>
      </c>
      <c r="C1217" s="8" t="s">
        <v>25</v>
      </c>
      <c r="D1217" s="8" t="s">
        <v>26</v>
      </c>
      <c r="E1217" s="8" t="s">
        <v>6289</v>
      </c>
      <c r="F1217" s="8"/>
      <c r="G1217" s="8" t="s">
        <v>31</v>
      </c>
      <c r="H1217" s="8" t="s">
        <v>542</v>
      </c>
      <c r="I1217" s="8" t="s">
        <v>54</v>
      </c>
      <c r="J1217" s="8" t="s">
        <v>369</v>
      </c>
      <c r="K1217" s="10" t="s">
        <v>6290</v>
      </c>
      <c r="L1217" s="8" t="s">
        <v>58</v>
      </c>
      <c r="M1217" s="8" t="s">
        <v>35</v>
      </c>
      <c r="N1217" s="11">
        <v>44991.0</v>
      </c>
      <c r="O1217" s="11">
        <v>45108.0</v>
      </c>
      <c r="P1217" s="11">
        <v>45150.0</v>
      </c>
      <c r="Q1217" s="11">
        <v>45108.0</v>
      </c>
      <c r="R1217" s="11">
        <v>45150.0</v>
      </c>
      <c r="S1217" s="12"/>
      <c r="T1217" s="8"/>
      <c r="U1217" s="8" t="s">
        <v>402</v>
      </c>
      <c r="V1217" s="13" t="s">
        <v>38</v>
      </c>
      <c r="W1217" s="13" t="s">
        <v>6291</v>
      </c>
      <c r="X1217" s="12"/>
      <c r="Y1217" s="14"/>
      <c r="Z1217" s="14"/>
    </row>
    <row r="1218">
      <c r="A1218" s="8" t="s">
        <v>6292</v>
      </c>
      <c r="B1218" s="8" t="s">
        <v>6293</v>
      </c>
      <c r="C1218" s="8" t="s">
        <v>25</v>
      </c>
      <c r="D1218" s="8" t="s">
        <v>26</v>
      </c>
      <c r="E1218" s="8" t="s">
        <v>6294</v>
      </c>
      <c r="F1218" s="8">
        <v>5.426175502E9</v>
      </c>
      <c r="G1218" s="8" t="s">
        <v>31</v>
      </c>
      <c r="H1218" s="8" t="s">
        <v>66</v>
      </c>
      <c r="I1218" s="8" t="s">
        <v>54</v>
      </c>
      <c r="J1218" s="8" t="s">
        <v>430</v>
      </c>
      <c r="K1218" s="10" t="s">
        <v>6295</v>
      </c>
      <c r="L1218" s="8" t="s">
        <v>47</v>
      </c>
      <c r="M1218" s="8" t="s">
        <v>35</v>
      </c>
      <c r="N1218" s="11">
        <v>44991.0</v>
      </c>
      <c r="O1218" s="11">
        <v>45108.0</v>
      </c>
      <c r="P1218" s="11">
        <v>45171.0</v>
      </c>
      <c r="Q1218" s="11">
        <v>45107.0</v>
      </c>
      <c r="R1218" s="11">
        <v>45171.0</v>
      </c>
      <c r="S1218" s="12"/>
      <c r="T1218" s="8"/>
      <c r="U1218" s="8" t="s">
        <v>6296</v>
      </c>
      <c r="V1218" s="13" t="s">
        <v>66</v>
      </c>
      <c r="W1218" s="13" t="s">
        <v>6297</v>
      </c>
      <c r="X1218" s="12"/>
      <c r="Y1218" s="14"/>
      <c r="Z1218" s="14"/>
    </row>
    <row r="1219">
      <c r="A1219" s="8" t="s">
        <v>6298</v>
      </c>
      <c r="B1219" s="8" t="s">
        <v>6299</v>
      </c>
      <c r="C1219" s="8" t="s">
        <v>25</v>
      </c>
      <c r="D1219" s="8" t="s">
        <v>26</v>
      </c>
      <c r="E1219" s="8" t="s">
        <v>6300</v>
      </c>
      <c r="F1219" s="8">
        <v>5.445378334E9</v>
      </c>
      <c r="G1219" s="8" t="s">
        <v>31</v>
      </c>
      <c r="H1219" s="8" t="s">
        <v>86</v>
      </c>
      <c r="I1219" s="8" t="s">
        <v>127</v>
      </c>
      <c r="J1219" s="8" t="s">
        <v>3006</v>
      </c>
      <c r="K1219" s="10" t="s">
        <v>6301</v>
      </c>
      <c r="L1219" s="8" t="s">
        <v>58</v>
      </c>
      <c r="M1219" s="8" t="s">
        <v>35</v>
      </c>
      <c r="N1219" s="11">
        <v>44991.0</v>
      </c>
      <c r="O1219" s="11">
        <v>45131.0</v>
      </c>
      <c r="P1219" s="11">
        <v>45173.0</v>
      </c>
      <c r="Q1219" s="11">
        <v>45132.0</v>
      </c>
      <c r="R1219" s="11">
        <v>45173.0</v>
      </c>
      <c r="S1219" s="12"/>
      <c r="T1219" s="8"/>
      <c r="U1219" s="8" t="s">
        <v>88</v>
      </c>
      <c r="V1219" s="13" t="s">
        <v>175</v>
      </c>
      <c r="W1219" s="13" t="s">
        <v>6302</v>
      </c>
      <c r="X1219" s="12"/>
      <c r="Y1219" s="14"/>
      <c r="Z1219" s="14"/>
    </row>
    <row r="1220">
      <c r="A1220" s="8" t="s">
        <v>6303</v>
      </c>
      <c r="B1220" s="8" t="s">
        <v>6304</v>
      </c>
      <c r="C1220" s="8" t="s">
        <v>251</v>
      </c>
      <c r="D1220" s="8" t="s">
        <v>26</v>
      </c>
      <c r="E1220" s="8" t="s">
        <v>6305</v>
      </c>
      <c r="F1220" s="8">
        <v>1.121168878E9</v>
      </c>
      <c r="G1220" s="8" t="s">
        <v>284</v>
      </c>
      <c r="H1220" s="8" t="s">
        <v>2065</v>
      </c>
      <c r="I1220" s="8" t="s">
        <v>31</v>
      </c>
      <c r="J1220" s="8" t="s">
        <v>1119</v>
      </c>
      <c r="K1220" s="10" t="s">
        <v>6015</v>
      </c>
      <c r="L1220" s="8" t="s">
        <v>58</v>
      </c>
      <c r="M1220" s="8" t="s">
        <v>35</v>
      </c>
      <c r="N1220" s="11">
        <v>44991.0</v>
      </c>
      <c r="O1220" s="11">
        <v>45128.0</v>
      </c>
      <c r="P1220" s="11">
        <v>45170.0</v>
      </c>
      <c r="Q1220" s="11"/>
      <c r="R1220" s="11"/>
      <c r="S1220" s="12"/>
      <c r="T1220" s="8"/>
      <c r="U1220" s="8" t="s">
        <v>59</v>
      </c>
      <c r="V1220" s="13" t="s">
        <v>2065</v>
      </c>
      <c r="W1220" s="13" t="s">
        <v>6306</v>
      </c>
      <c r="X1220" s="12"/>
      <c r="Y1220" s="14"/>
      <c r="Z1220" s="14"/>
    </row>
    <row r="1221">
      <c r="A1221" s="8" t="s">
        <v>6307</v>
      </c>
      <c r="B1221" s="8" t="s">
        <v>6308</v>
      </c>
      <c r="C1221" s="8" t="s">
        <v>251</v>
      </c>
      <c r="D1221" s="8" t="s">
        <v>26</v>
      </c>
      <c r="E1221" s="8" t="s">
        <v>6309</v>
      </c>
      <c r="F1221" s="8">
        <v>1.013131871E9</v>
      </c>
      <c r="G1221" s="8" t="s">
        <v>284</v>
      </c>
      <c r="H1221" s="8" t="s">
        <v>2065</v>
      </c>
      <c r="I1221" s="8" t="s">
        <v>31</v>
      </c>
      <c r="J1221" s="8" t="s">
        <v>1119</v>
      </c>
      <c r="K1221" s="10" t="s">
        <v>6015</v>
      </c>
      <c r="L1221" s="8" t="s">
        <v>58</v>
      </c>
      <c r="M1221" s="8" t="s">
        <v>35</v>
      </c>
      <c r="N1221" s="11">
        <v>44991.0</v>
      </c>
      <c r="O1221" s="11">
        <v>45128.0</v>
      </c>
      <c r="P1221" s="11">
        <v>45170.0</v>
      </c>
      <c r="Q1221" s="11"/>
      <c r="R1221" s="11"/>
      <c r="S1221" s="12"/>
      <c r="T1221" s="8"/>
      <c r="U1221" s="8" t="s">
        <v>59</v>
      </c>
      <c r="V1221" s="13" t="s">
        <v>2065</v>
      </c>
      <c r="W1221" s="13" t="s">
        <v>6310</v>
      </c>
      <c r="X1221" s="12"/>
      <c r="Y1221" s="14"/>
      <c r="Z1221" s="14"/>
    </row>
    <row r="1222">
      <c r="A1222" s="8" t="s">
        <v>6311</v>
      </c>
      <c r="B1222" s="8" t="s">
        <v>6312</v>
      </c>
      <c r="C1222" s="8" t="s">
        <v>25</v>
      </c>
      <c r="D1222" s="8" t="s">
        <v>26</v>
      </c>
      <c r="E1222" s="8" t="s">
        <v>6313</v>
      </c>
      <c r="F1222" s="8">
        <v>7.73739697E8</v>
      </c>
      <c r="G1222" s="8" t="s">
        <v>84</v>
      </c>
      <c r="H1222" s="8" t="s">
        <v>6314</v>
      </c>
      <c r="I1222" s="8" t="s">
        <v>31</v>
      </c>
      <c r="J1222" s="8" t="s">
        <v>438</v>
      </c>
      <c r="K1222" s="10" t="s">
        <v>6001</v>
      </c>
      <c r="L1222" s="8" t="s">
        <v>58</v>
      </c>
      <c r="M1222" s="8" t="s">
        <v>35</v>
      </c>
      <c r="N1222" s="11">
        <v>44991.0</v>
      </c>
      <c r="O1222" s="11">
        <v>45117.0</v>
      </c>
      <c r="P1222" s="11">
        <v>45159.0</v>
      </c>
      <c r="Q1222" s="11">
        <v>45118.0</v>
      </c>
      <c r="R1222" s="11">
        <v>45159.0</v>
      </c>
      <c r="S1222" s="12"/>
      <c r="T1222" s="8"/>
      <c r="U1222" s="8" t="s">
        <v>59</v>
      </c>
      <c r="V1222" s="13" t="s">
        <v>6315</v>
      </c>
      <c r="W1222" s="13" t="s">
        <v>6316</v>
      </c>
      <c r="X1222" s="12"/>
      <c r="Y1222" s="14"/>
      <c r="Z1222" s="14"/>
    </row>
    <row r="1223">
      <c r="A1223" s="8" t="s">
        <v>6317</v>
      </c>
      <c r="B1223" s="8" t="s">
        <v>6318</v>
      </c>
      <c r="C1223" s="8" t="s">
        <v>179</v>
      </c>
      <c r="D1223" s="8" t="s">
        <v>26</v>
      </c>
      <c r="E1223" s="8" t="s">
        <v>6319</v>
      </c>
      <c r="F1223" s="8">
        <v>1.01436559E9</v>
      </c>
      <c r="G1223" s="8" t="s">
        <v>284</v>
      </c>
      <c r="H1223" s="8" t="s">
        <v>691</v>
      </c>
      <c r="I1223" s="8" t="s">
        <v>31</v>
      </c>
      <c r="J1223" s="8" t="s">
        <v>438</v>
      </c>
      <c r="K1223" s="10" t="s">
        <v>6001</v>
      </c>
      <c r="L1223" s="8" t="s">
        <v>58</v>
      </c>
      <c r="M1223" s="8" t="s">
        <v>35</v>
      </c>
      <c r="N1223" s="11">
        <v>44991.0</v>
      </c>
      <c r="O1223" s="11">
        <v>45117.0</v>
      </c>
      <c r="P1223" s="11">
        <v>45159.0</v>
      </c>
      <c r="Q1223" s="11"/>
      <c r="R1223" s="11"/>
      <c r="S1223" s="12"/>
      <c r="T1223" s="8"/>
      <c r="U1223" s="8" t="s">
        <v>59</v>
      </c>
      <c r="V1223" s="13" t="s">
        <v>692</v>
      </c>
      <c r="W1223" s="13" t="s">
        <v>6320</v>
      </c>
      <c r="X1223" s="12"/>
      <c r="Y1223" s="14"/>
      <c r="Z1223" s="14"/>
    </row>
    <row r="1224">
      <c r="A1224" s="8" t="s">
        <v>6321</v>
      </c>
      <c r="B1224" s="8" t="s">
        <v>6322</v>
      </c>
      <c r="C1224" s="8" t="s">
        <v>64</v>
      </c>
      <c r="D1224" s="8" t="s">
        <v>26</v>
      </c>
      <c r="E1224" s="8" t="s">
        <v>6323</v>
      </c>
      <c r="F1224" s="9" t="s">
        <v>6324</v>
      </c>
      <c r="G1224" s="8" t="s">
        <v>29</v>
      </c>
      <c r="H1224" s="8" t="s">
        <v>5003</v>
      </c>
      <c r="I1224" s="8" t="s">
        <v>31</v>
      </c>
      <c r="J1224" s="8" t="s">
        <v>77</v>
      </c>
      <c r="K1224" s="10" t="s">
        <v>3945</v>
      </c>
      <c r="L1224" s="8" t="s">
        <v>58</v>
      </c>
      <c r="M1224" s="8" t="s">
        <v>35</v>
      </c>
      <c r="N1224" s="11">
        <v>44991.0</v>
      </c>
      <c r="O1224" s="11">
        <v>45124.0</v>
      </c>
      <c r="P1224" s="11">
        <v>45166.0</v>
      </c>
      <c r="Q1224" s="11">
        <v>45125.0</v>
      </c>
      <c r="R1224" s="11">
        <v>45166.0</v>
      </c>
      <c r="S1224" s="12"/>
      <c r="T1224" s="8"/>
      <c r="U1224" s="8" t="s">
        <v>59</v>
      </c>
      <c r="V1224" s="13" t="s">
        <v>38</v>
      </c>
      <c r="W1224" s="13" t="s">
        <v>6325</v>
      </c>
      <c r="X1224" s="12"/>
      <c r="Y1224" s="14"/>
      <c r="Z1224" s="14"/>
    </row>
    <row r="1225">
      <c r="A1225" s="8" t="s">
        <v>6326</v>
      </c>
      <c r="B1225" s="8" t="s">
        <v>6327</v>
      </c>
      <c r="C1225" s="8" t="s">
        <v>25</v>
      </c>
      <c r="D1225" s="8" t="s">
        <v>26</v>
      </c>
      <c r="E1225" s="8" t="s">
        <v>6328</v>
      </c>
      <c r="F1225" s="8">
        <v>9.93124655E8</v>
      </c>
      <c r="G1225" s="8" t="s">
        <v>1620</v>
      </c>
      <c r="H1225" s="8" t="s">
        <v>1635</v>
      </c>
      <c r="I1225" s="8" t="s">
        <v>31</v>
      </c>
      <c r="J1225" s="8" t="s">
        <v>86</v>
      </c>
      <c r="K1225" s="10" t="s">
        <v>416</v>
      </c>
      <c r="L1225" s="8" t="s">
        <v>58</v>
      </c>
      <c r="M1225" s="8" t="s">
        <v>35</v>
      </c>
      <c r="N1225" s="11">
        <v>44991.0</v>
      </c>
      <c r="O1225" s="11">
        <v>45122.0</v>
      </c>
      <c r="P1225" s="11">
        <v>45164.0</v>
      </c>
      <c r="Q1225" s="11">
        <v>45123.0</v>
      </c>
      <c r="R1225" s="11">
        <v>45164.0</v>
      </c>
      <c r="S1225" s="12"/>
      <c r="T1225" s="8"/>
      <c r="U1225" s="8" t="s">
        <v>59</v>
      </c>
      <c r="V1225" s="13" t="s">
        <v>4256</v>
      </c>
      <c r="W1225" s="13" t="s">
        <v>6329</v>
      </c>
      <c r="X1225" s="12"/>
      <c r="Y1225" s="14"/>
      <c r="Z1225" s="14"/>
    </row>
    <row r="1226">
      <c r="A1226" s="8" t="s">
        <v>6330</v>
      </c>
      <c r="B1226" s="8" t="s">
        <v>6331</v>
      </c>
      <c r="C1226" s="8" t="s">
        <v>25</v>
      </c>
      <c r="D1226" s="8" t="s">
        <v>26</v>
      </c>
      <c r="E1226" s="8" t="s">
        <v>6332</v>
      </c>
      <c r="F1226" s="8"/>
      <c r="G1226" s="8" t="s">
        <v>31</v>
      </c>
      <c r="H1226" s="8" t="s">
        <v>56</v>
      </c>
      <c r="I1226" s="8" t="s">
        <v>127</v>
      </c>
      <c r="J1226" s="8" t="s">
        <v>363</v>
      </c>
      <c r="K1226" s="10" t="s">
        <v>6333</v>
      </c>
      <c r="L1226" s="8" t="s">
        <v>58</v>
      </c>
      <c r="M1226" s="8" t="s">
        <v>35</v>
      </c>
      <c r="N1226" s="11">
        <v>44991.0</v>
      </c>
      <c r="O1226" s="11">
        <v>45096.0</v>
      </c>
      <c r="P1226" s="11">
        <v>45138.0</v>
      </c>
      <c r="Q1226" s="11">
        <v>45097.0</v>
      </c>
      <c r="R1226" s="11">
        <v>45138.0</v>
      </c>
      <c r="S1226" s="12"/>
      <c r="T1226" s="8"/>
      <c r="U1226" s="8" t="s">
        <v>1956</v>
      </c>
      <c r="V1226" s="13" t="s">
        <v>38</v>
      </c>
      <c r="W1226" s="13" t="s">
        <v>6334</v>
      </c>
      <c r="X1226" s="12"/>
      <c r="Y1226" s="14"/>
      <c r="Z1226" s="14"/>
    </row>
    <row r="1227">
      <c r="A1227" s="8" t="s">
        <v>6335</v>
      </c>
      <c r="B1227" s="8" t="s">
        <v>6336</v>
      </c>
      <c r="C1227" s="8" t="s">
        <v>25</v>
      </c>
      <c r="D1227" s="8" t="s">
        <v>26</v>
      </c>
      <c r="E1227" s="8" t="s">
        <v>6337</v>
      </c>
      <c r="F1227" s="8">
        <v>5.347174466E9</v>
      </c>
      <c r="G1227" s="8" t="s">
        <v>31</v>
      </c>
      <c r="H1227" s="8" t="s">
        <v>32</v>
      </c>
      <c r="I1227" s="8" t="s">
        <v>127</v>
      </c>
      <c r="J1227" s="8" t="s">
        <v>128</v>
      </c>
      <c r="K1227" s="10" t="s">
        <v>6338</v>
      </c>
      <c r="L1227" s="8" t="s">
        <v>58</v>
      </c>
      <c r="M1227" s="8" t="s">
        <v>35</v>
      </c>
      <c r="N1227" s="11">
        <v>44991.0</v>
      </c>
      <c r="O1227" s="11">
        <v>45124.0</v>
      </c>
      <c r="P1227" s="11">
        <v>45166.0</v>
      </c>
      <c r="Q1227" s="11">
        <v>45124.0</v>
      </c>
      <c r="R1227" s="11">
        <v>45166.0</v>
      </c>
      <c r="S1227" s="12"/>
      <c r="T1227" s="8"/>
      <c r="U1227" s="8" t="s">
        <v>371</v>
      </c>
      <c r="V1227" s="13" t="s">
        <v>537</v>
      </c>
      <c r="W1227" s="13" t="s">
        <v>6339</v>
      </c>
      <c r="X1227" s="12"/>
      <c r="Y1227" s="14"/>
      <c r="Z1227" s="14"/>
    </row>
    <row r="1228">
      <c r="A1228" s="8" t="s">
        <v>6340</v>
      </c>
      <c r="B1228" s="8" t="s">
        <v>6341</v>
      </c>
      <c r="C1228" s="8" t="s">
        <v>64</v>
      </c>
      <c r="D1228" s="8" t="s">
        <v>26</v>
      </c>
      <c r="E1228" s="8" t="s">
        <v>6342</v>
      </c>
      <c r="F1228" s="8">
        <v>6.58971847E8</v>
      </c>
      <c r="G1228" s="8" t="s">
        <v>84</v>
      </c>
      <c r="H1228" s="8" t="s">
        <v>1127</v>
      </c>
      <c r="I1228" s="8" t="s">
        <v>31</v>
      </c>
      <c r="J1228" s="8" t="s">
        <v>292</v>
      </c>
      <c r="K1228" s="10" t="s">
        <v>5418</v>
      </c>
      <c r="L1228" s="8" t="s">
        <v>58</v>
      </c>
      <c r="M1228" s="8" t="s">
        <v>35</v>
      </c>
      <c r="N1228" s="11">
        <v>44991.0</v>
      </c>
      <c r="O1228" s="11">
        <v>45054.0</v>
      </c>
      <c r="P1228" s="11">
        <v>45096.0</v>
      </c>
      <c r="Q1228" s="11">
        <v>45046.0</v>
      </c>
      <c r="R1228" s="11">
        <v>45096.0</v>
      </c>
      <c r="S1228" s="12"/>
      <c r="T1228" s="8"/>
      <c r="U1228" s="8" t="s">
        <v>88</v>
      </c>
      <c r="V1228" s="13" t="s">
        <v>6343</v>
      </c>
      <c r="W1228" s="13" t="s">
        <v>6344</v>
      </c>
      <c r="X1228" s="12"/>
      <c r="Y1228" s="14"/>
      <c r="Z1228" s="14"/>
    </row>
    <row r="1229">
      <c r="A1229" s="8" t="s">
        <v>6345</v>
      </c>
      <c r="B1229" s="8" t="s">
        <v>6346</v>
      </c>
      <c r="C1229" s="8" t="s">
        <v>179</v>
      </c>
      <c r="D1229" s="8" t="s">
        <v>26</v>
      </c>
      <c r="E1229" s="8" t="s">
        <v>6347</v>
      </c>
      <c r="F1229" s="8">
        <v>5.425561434E9</v>
      </c>
      <c r="G1229" s="8" t="s">
        <v>31</v>
      </c>
      <c r="H1229" s="8" t="s">
        <v>86</v>
      </c>
      <c r="I1229" s="8" t="s">
        <v>399</v>
      </c>
      <c r="J1229" s="8" t="s">
        <v>5570</v>
      </c>
      <c r="K1229" s="10" t="s">
        <v>6254</v>
      </c>
      <c r="L1229" s="8" t="s">
        <v>58</v>
      </c>
      <c r="M1229" s="8" t="s">
        <v>35</v>
      </c>
      <c r="N1229" s="11">
        <v>44991.0</v>
      </c>
      <c r="O1229" s="11">
        <v>45110.0</v>
      </c>
      <c r="P1229" s="11">
        <v>45152.0</v>
      </c>
      <c r="Q1229" s="11"/>
      <c r="R1229" s="11"/>
      <c r="S1229" s="12"/>
      <c r="T1229" s="8"/>
      <c r="U1229" s="8" t="s">
        <v>59</v>
      </c>
      <c r="V1229" s="13" t="s">
        <v>111</v>
      </c>
      <c r="W1229" s="13" t="s">
        <v>6348</v>
      </c>
      <c r="X1229" s="12"/>
      <c r="Y1229" s="14"/>
      <c r="Z1229" s="14"/>
    </row>
    <row r="1230">
      <c r="A1230" s="8" t="s">
        <v>6349</v>
      </c>
      <c r="B1230" s="8" t="s">
        <v>6350</v>
      </c>
      <c r="C1230" s="8" t="s">
        <v>25</v>
      </c>
      <c r="D1230" s="8" t="s">
        <v>26</v>
      </c>
      <c r="E1230" s="8" t="s">
        <v>6351</v>
      </c>
      <c r="F1230" s="8">
        <v>7.910039E7</v>
      </c>
      <c r="G1230" s="8" t="s">
        <v>6352</v>
      </c>
      <c r="H1230" s="8" t="s">
        <v>6353</v>
      </c>
      <c r="I1230" s="8" t="s">
        <v>31</v>
      </c>
      <c r="J1230" s="8" t="s">
        <v>167</v>
      </c>
      <c r="K1230" s="10" t="s">
        <v>5996</v>
      </c>
      <c r="L1230" s="8" t="s">
        <v>58</v>
      </c>
      <c r="M1230" s="8" t="s">
        <v>35</v>
      </c>
      <c r="N1230" s="11">
        <v>44991.0</v>
      </c>
      <c r="O1230" s="11">
        <v>45117.0</v>
      </c>
      <c r="P1230" s="11">
        <v>45159.0</v>
      </c>
      <c r="Q1230" s="11">
        <v>45117.0</v>
      </c>
      <c r="R1230" s="11">
        <v>45159.0</v>
      </c>
      <c r="S1230" s="12"/>
      <c r="T1230" s="8"/>
      <c r="U1230" s="8" t="s">
        <v>130</v>
      </c>
      <c r="V1230" s="13" t="s">
        <v>6354</v>
      </c>
      <c r="W1230" s="13" t="s">
        <v>6355</v>
      </c>
      <c r="X1230" s="12"/>
      <c r="Y1230" s="14"/>
      <c r="Z1230" s="14"/>
    </row>
    <row r="1231">
      <c r="A1231" s="8" t="s">
        <v>6356</v>
      </c>
      <c r="B1231" s="8" t="s">
        <v>6357</v>
      </c>
      <c r="C1231" s="8" t="s">
        <v>25</v>
      </c>
      <c r="D1231" s="8" t="s">
        <v>26</v>
      </c>
      <c r="E1231" s="8" t="s">
        <v>6358</v>
      </c>
      <c r="F1231" s="8"/>
      <c r="G1231" s="8" t="s">
        <v>31</v>
      </c>
      <c r="H1231" s="8" t="s">
        <v>111</v>
      </c>
      <c r="I1231" s="8" t="s">
        <v>44</v>
      </c>
      <c r="J1231" s="8" t="s">
        <v>4170</v>
      </c>
      <c r="K1231" s="10" t="s">
        <v>6359</v>
      </c>
      <c r="L1231" s="8" t="s">
        <v>34</v>
      </c>
      <c r="M1231" s="8" t="s">
        <v>35</v>
      </c>
      <c r="N1231" s="11">
        <v>44991.0</v>
      </c>
      <c r="O1231" s="11">
        <v>45110.0</v>
      </c>
      <c r="P1231" s="11">
        <v>45165.0</v>
      </c>
      <c r="Q1231" s="11"/>
      <c r="R1231" s="11">
        <v>45137.0</v>
      </c>
      <c r="S1231" s="12"/>
      <c r="T1231" s="8" t="s">
        <v>1187</v>
      </c>
      <c r="U1231" s="8" t="s">
        <v>6360</v>
      </c>
      <c r="V1231" s="13" t="s">
        <v>38</v>
      </c>
      <c r="W1231" s="13" t="s">
        <v>6361</v>
      </c>
      <c r="X1231" s="12"/>
      <c r="Y1231" s="14"/>
      <c r="Z1231" s="14"/>
    </row>
    <row r="1232">
      <c r="A1232" s="8" t="s">
        <v>6362</v>
      </c>
      <c r="B1232" s="8" t="s">
        <v>6363</v>
      </c>
      <c r="C1232" s="8" t="s">
        <v>708</v>
      </c>
      <c r="D1232" s="8" t="s">
        <v>26</v>
      </c>
      <c r="E1232" s="8" t="s">
        <v>6364</v>
      </c>
      <c r="F1232" s="8">
        <v>9.9055314E8</v>
      </c>
      <c r="G1232" s="8" t="s">
        <v>307</v>
      </c>
      <c r="H1232" s="8" t="s">
        <v>1118</v>
      </c>
      <c r="I1232" s="8" t="s">
        <v>31</v>
      </c>
      <c r="J1232" s="8" t="s">
        <v>292</v>
      </c>
      <c r="K1232" s="10" t="s">
        <v>1260</v>
      </c>
      <c r="L1232" s="8" t="s">
        <v>47</v>
      </c>
      <c r="M1232" s="8" t="s">
        <v>70</v>
      </c>
      <c r="N1232" s="11">
        <v>44991.0</v>
      </c>
      <c r="O1232" s="11">
        <v>45000.0</v>
      </c>
      <c r="P1232" s="11">
        <v>45366.0</v>
      </c>
      <c r="Q1232" s="11">
        <v>45071.0</v>
      </c>
      <c r="R1232" s="11">
        <v>45436.0</v>
      </c>
      <c r="S1232" s="12"/>
      <c r="T1232" s="8"/>
      <c r="U1232" s="8" t="s">
        <v>1261</v>
      </c>
      <c r="V1232" s="13" t="s">
        <v>6365</v>
      </c>
      <c r="W1232" s="13" t="s">
        <v>6366</v>
      </c>
      <c r="X1232" s="12"/>
      <c r="Y1232" s="14"/>
      <c r="Z1232" s="14"/>
    </row>
    <row r="1233">
      <c r="A1233" s="8" t="s">
        <v>6367</v>
      </c>
      <c r="B1233" s="8" t="s">
        <v>6368</v>
      </c>
      <c r="C1233" s="8" t="s">
        <v>25</v>
      </c>
      <c r="D1233" s="8" t="s">
        <v>26</v>
      </c>
      <c r="E1233" s="8" t="s">
        <v>6369</v>
      </c>
      <c r="F1233" s="8">
        <v>5.511115787E9</v>
      </c>
      <c r="G1233" s="8" t="s">
        <v>31</v>
      </c>
      <c r="H1233" s="8" t="s">
        <v>66</v>
      </c>
      <c r="I1233" s="8" t="s">
        <v>54</v>
      </c>
      <c r="J1233" s="8" t="s">
        <v>430</v>
      </c>
      <c r="K1233" s="10" t="s">
        <v>6053</v>
      </c>
      <c r="L1233" s="8" t="s">
        <v>58</v>
      </c>
      <c r="M1233" s="8" t="s">
        <v>35</v>
      </c>
      <c r="N1233" s="11">
        <v>44992.0</v>
      </c>
      <c r="O1233" s="11">
        <v>45120.0</v>
      </c>
      <c r="P1233" s="11">
        <v>45164.0</v>
      </c>
      <c r="Q1233" s="11">
        <v>45120.0</v>
      </c>
      <c r="R1233" s="11">
        <v>45164.0</v>
      </c>
      <c r="S1233" s="12"/>
      <c r="T1233" s="8"/>
      <c r="U1233" s="8" t="s">
        <v>1038</v>
      </c>
      <c r="V1233" s="13" t="s">
        <v>66</v>
      </c>
      <c r="W1233" s="13" t="s">
        <v>6370</v>
      </c>
      <c r="X1233" s="12"/>
      <c r="Y1233" s="14"/>
      <c r="Z1233" s="14"/>
    </row>
    <row r="1234">
      <c r="A1234" s="8" t="s">
        <v>6371</v>
      </c>
      <c r="B1234" s="8" t="s">
        <v>6372</v>
      </c>
      <c r="C1234" s="8" t="s">
        <v>64</v>
      </c>
      <c r="D1234" s="8" t="s">
        <v>26</v>
      </c>
      <c r="E1234" s="8" t="s">
        <v>6373</v>
      </c>
      <c r="F1234" s="8">
        <v>2.2542147E7</v>
      </c>
      <c r="G1234" s="8" t="s">
        <v>54</v>
      </c>
      <c r="H1234" s="8" t="s">
        <v>76</v>
      </c>
      <c r="I1234" s="8" t="s">
        <v>31</v>
      </c>
      <c r="J1234" s="8" t="s">
        <v>86</v>
      </c>
      <c r="K1234" s="10" t="s">
        <v>5483</v>
      </c>
      <c r="L1234" s="8" t="s">
        <v>58</v>
      </c>
      <c r="M1234" s="8" t="s">
        <v>35</v>
      </c>
      <c r="N1234" s="11">
        <v>44992.0</v>
      </c>
      <c r="O1234" s="11">
        <v>45138.0</v>
      </c>
      <c r="P1234" s="11">
        <v>45180.0</v>
      </c>
      <c r="Q1234" s="11">
        <v>45138.0</v>
      </c>
      <c r="R1234" s="11">
        <v>45180.0</v>
      </c>
      <c r="S1234" s="12"/>
      <c r="T1234" s="8"/>
      <c r="U1234" s="8" t="s">
        <v>59</v>
      </c>
      <c r="V1234" s="13" t="s">
        <v>573</v>
      </c>
      <c r="W1234" s="13" t="s">
        <v>6374</v>
      </c>
      <c r="X1234" s="12"/>
      <c r="Y1234" s="14"/>
      <c r="Z1234" s="14"/>
    </row>
    <row r="1235">
      <c r="A1235" s="8" t="s">
        <v>6375</v>
      </c>
      <c r="B1235" s="8" t="s">
        <v>6376</v>
      </c>
      <c r="C1235" s="8" t="s">
        <v>708</v>
      </c>
      <c r="D1235" s="8" t="s">
        <v>26</v>
      </c>
      <c r="E1235" s="8" t="s">
        <v>6377</v>
      </c>
      <c r="F1235" s="8">
        <v>2.6124631E7</v>
      </c>
      <c r="G1235" s="8" t="s">
        <v>54</v>
      </c>
      <c r="H1235" s="8" t="s">
        <v>430</v>
      </c>
      <c r="I1235" s="8" t="s">
        <v>31</v>
      </c>
      <c r="J1235" s="8" t="s">
        <v>111</v>
      </c>
      <c r="K1235" s="10" t="s">
        <v>4676</v>
      </c>
      <c r="L1235" s="8" t="s">
        <v>47</v>
      </c>
      <c r="M1235" s="8" t="s">
        <v>70</v>
      </c>
      <c r="N1235" s="11">
        <v>44992.0</v>
      </c>
      <c r="O1235" s="11">
        <v>45019.0</v>
      </c>
      <c r="P1235" s="11">
        <v>45385.0</v>
      </c>
      <c r="Q1235" s="11">
        <v>45020.0</v>
      </c>
      <c r="R1235" s="11">
        <v>45386.0</v>
      </c>
      <c r="S1235" s="12"/>
      <c r="T1235" s="8" t="s">
        <v>446</v>
      </c>
      <c r="U1235" s="8" t="s">
        <v>4677</v>
      </c>
      <c r="V1235" s="13" t="s">
        <v>4780</v>
      </c>
      <c r="W1235" s="13" t="s">
        <v>6378</v>
      </c>
      <c r="X1235" s="12"/>
      <c r="Y1235" s="14"/>
      <c r="Z1235" s="14"/>
    </row>
    <row r="1236">
      <c r="A1236" s="8" t="s">
        <v>6379</v>
      </c>
      <c r="B1236" s="8" t="s">
        <v>6380</v>
      </c>
      <c r="C1236" s="8" t="s">
        <v>25</v>
      </c>
      <c r="D1236" s="8" t="s">
        <v>26</v>
      </c>
      <c r="E1236" s="8" t="s">
        <v>6381</v>
      </c>
      <c r="F1236" s="8">
        <v>5.0655192E7</v>
      </c>
      <c r="G1236" s="8" t="s">
        <v>54</v>
      </c>
      <c r="H1236" s="8" t="s">
        <v>135</v>
      </c>
      <c r="I1236" s="8" t="s">
        <v>31</v>
      </c>
      <c r="J1236" s="8" t="s">
        <v>77</v>
      </c>
      <c r="K1236" s="10" t="s">
        <v>5712</v>
      </c>
      <c r="L1236" s="8" t="s">
        <v>58</v>
      </c>
      <c r="M1236" s="8" t="s">
        <v>35</v>
      </c>
      <c r="N1236" s="11">
        <v>44992.0</v>
      </c>
      <c r="O1236" s="11">
        <v>45127.0</v>
      </c>
      <c r="P1236" s="11">
        <v>45169.0</v>
      </c>
      <c r="Q1236" s="11">
        <v>45128.0</v>
      </c>
      <c r="R1236" s="11">
        <v>45169.0</v>
      </c>
      <c r="S1236" s="12"/>
      <c r="T1236" s="8"/>
      <c r="U1236" s="8" t="s">
        <v>59</v>
      </c>
      <c r="V1236" s="13" t="s">
        <v>138</v>
      </c>
      <c r="W1236" s="13" t="s">
        <v>6382</v>
      </c>
      <c r="X1236" s="12"/>
      <c r="Y1236" s="14"/>
      <c r="Z1236" s="14"/>
    </row>
    <row r="1237">
      <c r="A1237" s="8" t="s">
        <v>6383</v>
      </c>
      <c r="B1237" s="8" t="s">
        <v>6384</v>
      </c>
      <c r="C1237" s="8" t="s">
        <v>25</v>
      </c>
      <c r="D1237" s="8" t="s">
        <v>26</v>
      </c>
      <c r="E1237" s="8" t="s">
        <v>6385</v>
      </c>
      <c r="F1237" s="8">
        <v>5.422075002E9</v>
      </c>
      <c r="G1237" s="8" t="s">
        <v>31</v>
      </c>
      <c r="H1237" s="8" t="s">
        <v>542</v>
      </c>
      <c r="I1237" s="8" t="s">
        <v>284</v>
      </c>
      <c r="J1237" s="8" t="s">
        <v>285</v>
      </c>
      <c r="K1237" s="10" t="s">
        <v>3841</v>
      </c>
      <c r="L1237" s="8" t="s">
        <v>58</v>
      </c>
      <c r="M1237" s="8" t="s">
        <v>35</v>
      </c>
      <c r="N1237" s="11">
        <v>44992.0</v>
      </c>
      <c r="O1237" s="11">
        <v>45108.0</v>
      </c>
      <c r="P1237" s="11">
        <v>45150.0</v>
      </c>
      <c r="Q1237" s="11">
        <v>45109.0</v>
      </c>
      <c r="R1237" s="11">
        <v>45150.0</v>
      </c>
      <c r="S1237" s="12"/>
      <c r="T1237" s="8"/>
      <c r="U1237" s="8" t="s">
        <v>1038</v>
      </c>
      <c r="V1237" s="13" t="s">
        <v>545</v>
      </c>
      <c r="W1237" s="13" t="s">
        <v>6386</v>
      </c>
      <c r="X1237" s="12"/>
      <c r="Y1237" s="14"/>
      <c r="Z1237" s="14"/>
    </row>
    <row r="1238">
      <c r="A1238" s="8" t="s">
        <v>6387</v>
      </c>
      <c r="B1238" s="8" t="s">
        <v>6388</v>
      </c>
      <c r="C1238" s="8" t="s">
        <v>25</v>
      </c>
      <c r="D1238" s="8" t="s">
        <v>26</v>
      </c>
      <c r="E1238" s="8" t="s">
        <v>6389</v>
      </c>
      <c r="F1238" s="8"/>
      <c r="G1238" s="8" t="s">
        <v>31</v>
      </c>
      <c r="H1238" s="8" t="s">
        <v>111</v>
      </c>
      <c r="I1238" s="8" t="s">
        <v>6390</v>
      </c>
      <c r="J1238" s="8" t="s">
        <v>6391</v>
      </c>
      <c r="K1238" s="10" t="s">
        <v>6392</v>
      </c>
      <c r="L1238" s="8" t="s">
        <v>58</v>
      </c>
      <c r="M1238" s="8" t="s">
        <v>35</v>
      </c>
      <c r="N1238" s="11">
        <v>44992.0</v>
      </c>
      <c r="O1238" s="11">
        <v>45152.0</v>
      </c>
      <c r="P1238" s="11">
        <v>45194.0</v>
      </c>
      <c r="Q1238" s="11">
        <v>45150.0</v>
      </c>
      <c r="R1238" s="11">
        <v>45194.0</v>
      </c>
      <c r="S1238" s="12"/>
      <c r="T1238" s="8"/>
      <c r="U1238" s="8" t="s">
        <v>59</v>
      </c>
      <c r="V1238" s="13" t="s">
        <v>38</v>
      </c>
      <c r="W1238" s="13" t="s">
        <v>6393</v>
      </c>
      <c r="X1238" s="12"/>
      <c r="Y1238" s="14"/>
      <c r="Z1238" s="14"/>
    </row>
    <row r="1239">
      <c r="A1239" s="8" t="s">
        <v>6394</v>
      </c>
      <c r="B1239" s="8" t="s">
        <v>6395</v>
      </c>
      <c r="C1239" s="8" t="s">
        <v>25</v>
      </c>
      <c r="D1239" s="8" t="s">
        <v>26</v>
      </c>
      <c r="E1239" s="8" t="s">
        <v>6396</v>
      </c>
      <c r="F1239" s="8">
        <v>1.207274891E9</v>
      </c>
      <c r="G1239" s="8" t="s">
        <v>284</v>
      </c>
      <c r="H1239" s="8" t="s">
        <v>854</v>
      </c>
      <c r="I1239" s="8" t="s">
        <v>31</v>
      </c>
      <c r="J1239" s="8" t="s">
        <v>66</v>
      </c>
      <c r="K1239" s="10" t="s">
        <v>6397</v>
      </c>
      <c r="L1239" s="8" t="s">
        <v>58</v>
      </c>
      <c r="M1239" s="8" t="s">
        <v>35</v>
      </c>
      <c r="N1239" s="11">
        <v>44992.0</v>
      </c>
      <c r="O1239" s="11">
        <v>45144.0</v>
      </c>
      <c r="P1239" s="11">
        <v>45186.0</v>
      </c>
      <c r="Q1239" s="11">
        <v>45144.0</v>
      </c>
      <c r="R1239" s="11">
        <v>45186.0</v>
      </c>
      <c r="S1239" s="12"/>
      <c r="T1239" s="8"/>
      <c r="U1239" s="8" t="s">
        <v>88</v>
      </c>
      <c r="V1239" s="13" t="s">
        <v>856</v>
      </c>
      <c r="W1239" s="13" t="s">
        <v>6398</v>
      </c>
      <c r="X1239" s="12"/>
      <c r="Y1239" s="14"/>
      <c r="Z1239" s="14"/>
    </row>
    <row r="1240">
      <c r="A1240" s="8" t="s">
        <v>6399</v>
      </c>
      <c r="B1240" s="8" t="s">
        <v>6400</v>
      </c>
      <c r="C1240" s="8" t="s">
        <v>25</v>
      </c>
      <c r="D1240" s="8" t="s">
        <v>26</v>
      </c>
      <c r="E1240" s="8" t="s">
        <v>6401</v>
      </c>
      <c r="F1240" s="8">
        <v>6.9694519E7</v>
      </c>
      <c r="G1240" s="8" t="s">
        <v>6352</v>
      </c>
      <c r="H1240" s="8" t="s">
        <v>6353</v>
      </c>
      <c r="I1240" s="8" t="s">
        <v>31</v>
      </c>
      <c r="J1240" s="8" t="s">
        <v>167</v>
      </c>
      <c r="K1240" s="10" t="s">
        <v>5996</v>
      </c>
      <c r="L1240" s="8" t="s">
        <v>58</v>
      </c>
      <c r="M1240" s="8" t="s">
        <v>35</v>
      </c>
      <c r="N1240" s="11">
        <v>44992.0</v>
      </c>
      <c r="O1240" s="11">
        <v>45117.0</v>
      </c>
      <c r="P1240" s="11">
        <v>45159.0</v>
      </c>
      <c r="Q1240" s="11">
        <v>45117.0</v>
      </c>
      <c r="R1240" s="11">
        <v>45159.0</v>
      </c>
      <c r="S1240" s="12"/>
      <c r="T1240" s="8"/>
      <c r="U1240" s="8" t="s">
        <v>130</v>
      </c>
      <c r="V1240" s="13" t="s">
        <v>6402</v>
      </c>
      <c r="W1240" s="13" t="s">
        <v>6403</v>
      </c>
      <c r="X1240" s="12"/>
      <c r="Y1240" s="14"/>
      <c r="Z1240" s="14"/>
    </row>
    <row r="1241">
      <c r="A1241" s="8" t="s">
        <v>6404</v>
      </c>
      <c r="B1241" s="8" t="s">
        <v>6405</v>
      </c>
      <c r="C1241" s="8" t="s">
        <v>25</v>
      </c>
      <c r="D1241" s="8" t="s">
        <v>26</v>
      </c>
      <c r="E1241" s="8" t="s">
        <v>6406</v>
      </c>
      <c r="F1241" s="8">
        <v>6.9922394E7</v>
      </c>
      <c r="G1241" s="8" t="s">
        <v>6352</v>
      </c>
      <c r="H1241" s="8" t="s">
        <v>6353</v>
      </c>
      <c r="I1241" s="8" t="s">
        <v>31</v>
      </c>
      <c r="J1241" s="8" t="s">
        <v>167</v>
      </c>
      <c r="K1241" s="10" t="s">
        <v>5996</v>
      </c>
      <c r="L1241" s="8" t="s">
        <v>58</v>
      </c>
      <c r="M1241" s="8" t="s">
        <v>35</v>
      </c>
      <c r="N1241" s="11">
        <v>44992.0</v>
      </c>
      <c r="O1241" s="11">
        <v>45117.0</v>
      </c>
      <c r="P1241" s="11">
        <v>45159.0</v>
      </c>
      <c r="Q1241" s="11">
        <v>45117.0</v>
      </c>
      <c r="R1241" s="11">
        <v>45159.0</v>
      </c>
      <c r="S1241" s="12"/>
      <c r="T1241" s="8"/>
      <c r="U1241" s="8" t="s">
        <v>130</v>
      </c>
      <c r="V1241" s="13" t="s">
        <v>6407</v>
      </c>
      <c r="W1241" s="13" t="s">
        <v>6408</v>
      </c>
      <c r="X1241" s="12"/>
      <c r="Y1241" s="14"/>
      <c r="Z1241" s="14"/>
    </row>
    <row r="1242">
      <c r="A1242" s="8" t="s">
        <v>6409</v>
      </c>
      <c r="B1242" s="8" t="s">
        <v>6410</v>
      </c>
      <c r="C1242" s="8" t="s">
        <v>64</v>
      </c>
      <c r="D1242" s="8" t="s">
        <v>26</v>
      </c>
      <c r="E1242" s="8" t="s">
        <v>6411</v>
      </c>
      <c r="F1242" s="8">
        <v>3.44421346E9</v>
      </c>
      <c r="G1242" s="8" t="s">
        <v>29</v>
      </c>
      <c r="H1242" s="8" t="s">
        <v>5003</v>
      </c>
      <c r="I1242" s="8" t="s">
        <v>31</v>
      </c>
      <c r="J1242" s="8" t="s">
        <v>77</v>
      </c>
      <c r="K1242" s="10" t="s">
        <v>3945</v>
      </c>
      <c r="L1242" s="8" t="s">
        <v>58</v>
      </c>
      <c r="M1242" s="8" t="s">
        <v>35</v>
      </c>
      <c r="N1242" s="11">
        <v>44992.0</v>
      </c>
      <c r="O1242" s="11">
        <v>45124.0</v>
      </c>
      <c r="P1242" s="11">
        <v>45166.0</v>
      </c>
      <c r="Q1242" s="11">
        <v>45125.0</v>
      </c>
      <c r="R1242" s="11">
        <v>45166.0</v>
      </c>
      <c r="S1242" s="12"/>
      <c r="T1242" s="8"/>
      <c r="U1242" s="8" t="s">
        <v>59</v>
      </c>
      <c r="V1242" s="13" t="s">
        <v>38</v>
      </c>
      <c r="W1242" s="13" t="s">
        <v>6412</v>
      </c>
      <c r="X1242" s="12"/>
      <c r="Y1242" s="14"/>
      <c r="Z1242" s="14"/>
    </row>
    <row r="1243">
      <c r="A1243" s="8" t="s">
        <v>6413</v>
      </c>
      <c r="B1243" s="8" t="s">
        <v>6414</v>
      </c>
      <c r="C1243" s="8" t="s">
        <v>64</v>
      </c>
      <c r="D1243" s="8" t="s">
        <v>26</v>
      </c>
      <c r="E1243" s="8" t="s">
        <v>6415</v>
      </c>
      <c r="F1243" s="8">
        <v>4.96822991E8</v>
      </c>
      <c r="G1243" s="8" t="s">
        <v>4016</v>
      </c>
      <c r="H1243" s="8" t="s">
        <v>6416</v>
      </c>
      <c r="I1243" s="8" t="s">
        <v>31</v>
      </c>
      <c r="J1243" s="8" t="s">
        <v>77</v>
      </c>
      <c r="K1243" s="10" t="s">
        <v>152</v>
      </c>
      <c r="L1243" s="8" t="s">
        <v>58</v>
      </c>
      <c r="M1243" s="8" t="s">
        <v>35</v>
      </c>
      <c r="N1243" s="11">
        <v>44992.0</v>
      </c>
      <c r="O1243" s="11">
        <v>45095.0</v>
      </c>
      <c r="P1243" s="11">
        <v>45137.0</v>
      </c>
      <c r="Q1243" s="11">
        <v>45094.0</v>
      </c>
      <c r="R1243" s="11">
        <v>45137.0</v>
      </c>
      <c r="S1243" s="12"/>
      <c r="T1243" s="8"/>
      <c r="U1243" s="8" t="s">
        <v>153</v>
      </c>
      <c r="V1243" s="13" t="s">
        <v>6417</v>
      </c>
      <c r="W1243" s="13" t="s">
        <v>6418</v>
      </c>
      <c r="X1243" s="12"/>
      <c r="Y1243" s="14"/>
      <c r="Z1243" s="14"/>
    </row>
    <row r="1244">
      <c r="A1244" s="8" t="s">
        <v>6419</v>
      </c>
      <c r="B1244" s="8" t="s">
        <v>6420</v>
      </c>
      <c r="C1244" s="8" t="s">
        <v>25</v>
      </c>
      <c r="D1244" s="8" t="s">
        <v>26</v>
      </c>
      <c r="E1244" s="8" t="s">
        <v>6421</v>
      </c>
      <c r="F1244" s="8"/>
      <c r="G1244" s="8" t="s">
        <v>31</v>
      </c>
      <c r="H1244" s="8" t="s">
        <v>542</v>
      </c>
      <c r="I1244" s="8" t="s">
        <v>284</v>
      </c>
      <c r="J1244" s="8" t="s">
        <v>793</v>
      </c>
      <c r="K1244" s="10" t="s">
        <v>5383</v>
      </c>
      <c r="L1244" s="8" t="s">
        <v>58</v>
      </c>
      <c r="M1244" s="8" t="s">
        <v>35</v>
      </c>
      <c r="N1244" s="11">
        <v>44992.0</v>
      </c>
      <c r="O1244" s="11">
        <v>45122.0</v>
      </c>
      <c r="P1244" s="11">
        <v>45164.0</v>
      </c>
      <c r="Q1244" s="11">
        <v>45121.0</v>
      </c>
      <c r="R1244" s="11">
        <v>45165.0</v>
      </c>
      <c r="S1244" s="12"/>
      <c r="T1244" s="8"/>
      <c r="U1244" s="8" t="s">
        <v>59</v>
      </c>
      <c r="V1244" s="13" t="s">
        <v>38</v>
      </c>
      <c r="W1244" s="13" t="s">
        <v>6422</v>
      </c>
      <c r="X1244" s="12"/>
      <c r="Y1244" s="14"/>
      <c r="Z1244" s="14"/>
    </row>
    <row r="1245">
      <c r="A1245" s="8" t="s">
        <v>6423</v>
      </c>
      <c r="B1245" s="8" t="s">
        <v>6424</v>
      </c>
      <c r="C1245" s="8" t="s">
        <v>25</v>
      </c>
      <c r="D1245" s="8" t="s">
        <v>26</v>
      </c>
      <c r="E1245" s="8" t="s">
        <v>6425</v>
      </c>
      <c r="F1245" s="8">
        <v>5.302270805E9</v>
      </c>
      <c r="G1245" s="8" t="s">
        <v>31</v>
      </c>
      <c r="H1245" s="8" t="s">
        <v>86</v>
      </c>
      <c r="I1245" s="8" t="s">
        <v>54</v>
      </c>
      <c r="J1245" s="8" t="s">
        <v>430</v>
      </c>
      <c r="K1245" s="10" t="s">
        <v>6053</v>
      </c>
      <c r="L1245" s="8" t="s">
        <v>58</v>
      </c>
      <c r="M1245" s="8" t="s">
        <v>35</v>
      </c>
      <c r="N1245" s="11">
        <v>44993.0</v>
      </c>
      <c r="O1245" s="11">
        <v>45120.0</v>
      </c>
      <c r="P1245" s="11">
        <v>45164.0</v>
      </c>
      <c r="Q1245" s="11">
        <v>45120.0</v>
      </c>
      <c r="R1245" s="11">
        <v>45164.0</v>
      </c>
      <c r="S1245" s="12"/>
      <c r="T1245" s="8"/>
      <c r="U1245" s="8" t="s">
        <v>1038</v>
      </c>
      <c r="V1245" s="13" t="s">
        <v>175</v>
      </c>
      <c r="W1245" s="13" t="s">
        <v>6426</v>
      </c>
      <c r="X1245" s="12"/>
      <c r="Y1245" s="14"/>
      <c r="Z1245" s="14"/>
    </row>
    <row r="1246">
      <c r="A1246" s="8" t="s">
        <v>6427</v>
      </c>
      <c r="B1246" s="8" t="s">
        <v>6428</v>
      </c>
      <c r="C1246" s="8" t="s">
        <v>179</v>
      </c>
      <c r="D1246" s="8" t="s">
        <v>26</v>
      </c>
      <c r="E1246" s="8" t="s">
        <v>6429</v>
      </c>
      <c r="F1246" s="8">
        <v>2.2909385E7</v>
      </c>
      <c r="G1246" s="8" t="s">
        <v>54</v>
      </c>
      <c r="H1246" s="8" t="s">
        <v>135</v>
      </c>
      <c r="I1246" s="8" t="s">
        <v>31</v>
      </c>
      <c r="J1246" s="8" t="s">
        <v>77</v>
      </c>
      <c r="K1246" s="10" t="s">
        <v>3945</v>
      </c>
      <c r="L1246" s="8" t="s">
        <v>58</v>
      </c>
      <c r="M1246" s="8" t="s">
        <v>35</v>
      </c>
      <c r="N1246" s="11">
        <v>44993.0</v>
      </c>
      <c r="O1246" s="11">
        <v>45082.0</v>
      </c>
      <c r="P1246" s="11">
        <v>45124.0</v>
      </c>
      <c r="Q1246" s="11"/>
      <c r="R1246" s="11"/>
      <c r="S1246" s="12"/>
      <c r="T1246" s="8"/>
      <c r="U1246" s="8" t="s">
        <v>59</v>
      </c>
      <c r="V1246" s="13" t="s">
        <v>6430</v>
      </c>
      <c r="W1246" s="13" t="s">
        <v>6431</v>
      </c>
      <c r="X1246" s="12"/>
      <c r="Y1246" s="14"/>
      <c r="Z1246" s="14"/>
    </row>
    <row r="1247">
      <c r="A1247" s="8" t="s">
        <v>6432</v>
      </c>
      <c r="B1247" s="8" t="s">
        <v>6433</v>
      </c>
      <c r="C1247" s="8" t="s">
        <v>25</v>
      </c>
      <c r="D1247" s="8" t="s">
        <v>26</v>
      </c>
      <c r="E1247" s="8" t="s">
        <v>6434</v>
      </c>
      <c r="F1247" s="8">
        <v>5.8182303E7</v>
      </c>
      <c r="G1247" s="8" t="s">
        <v>54</v>
      </c>
      <c r="H1247" s="8" t="s">
        <v>135</v>
      </c>
      <c r="I1247" s="8" t="s">
        <v>31</v>
      </c>
      <c r="J1247" s="8" t="s">
        <v>77</v>
      </c>
      <c r="K1247" s="10" t="s">
        <v>5712</v>
      </c>
      <c r="L1247" s="8" t="s">
        <v>58</v>
      </c>
      <c r="M1247" s="8" t="s">
        <v>35</v>
      </c>
      <c r="N1247" s="11">
        <v>44993.0</v>
      </c>
      <c r="O1247" s="11">
        <v>45084.0</v>
      </c>
      <c r="P1247" s="11">
        <v>45126.0</v>
      </c>
      <c r="Q1247" s="11">
        <v>45082.0</v>
      </c>
      <c r="R1247" s="11">
        <v>45126.0</v>
      </c>
      <c r="S1247" s="12"/>
      <c r="T1247" s="8"/>
      <c r="U1247" s="8" t="s">
        <v>59</v>
      </c>
      <c r="V1247" s="13" t="s">
        <v>190</v>
      </c>
      <c r="W1247" s="13" t="s">
        <v>6435</v>
      </c>
      <c r="X1247" s="12"/>
      <c r="Y1247" s="14"/>
      <c r="Z1247" s="14"/>
    </row>
    <row r="1248">
      <c r="A1248" s="8" t="s">
        <v>6436</v>
      </c>
      <c r="B1248" s="8" t="s">
        <v>6437</v>
      </c>
      <c r="C1248" s="8" t="s">
        <v>25</v>
      </c>
      <c r="D1248" s="8" t="s">
        <v>26</v>
      </c>
      <c r="E1248" s="8" t="s">
        <v>6438</v>
      </c>
      <c r="F1248" s="8">
        <v>2.7173007E7</v>
      </c>
      <c r="G1248" s="8" t="s">
        <v>54</v>
      </c>
      <c r="H1248" s="8" t="s">
        <v>135</v>
      </c>
      <c r="I1248" s="8" t="s">
        <v>31</v>
      </c>
      <c r="J1248" s="8" t="s">
        <v>77</v>
      </c>
      <c r="K1248" s="10" t="s">
        <v>5712</v>
      </c>
      <c r="L1248" s="8" t="s">
        <v>58</v>
      </c>
      <c r="M1248" s="8" t="s">
        <v>35</v>
      </c>
      <c r="N1248" s="11">
        <v>44993.0</v>
      </c>
      <c r="O1248" s="11">
        <v>45084.0</v>
      </c>
      <c r="P1248" s="11">
        <v>45126.0</v>
      </c>
      <c r="Q1248" s="11">
        <v>45082.0</v>
      </c>
      <c r="R1248" s="11">
        <v>45126.0</v>
      </c>
      <c r="S1248" s="12"/>
      <c r="T1248" s="8"/>
      <c r="U1248" s="8" t="s">
        <v>59</v>
      </c>
      <c r="V1248" s="13" t="s">
        <v>190</v>
      </c>
      <c r="W1248" s="13" t="s">
        <v>6439</v>
      </c>
      <c r="X1248" s="12"/>
      <c r="Y1248" s="14"/>
      <c r="Z1248" s="14"/>
    </row>
    <row r="1249">
      <c r="A1249" s="8" t="s">
        <v>6440</v>
      </c>
      <c r="B1249" s="8" t="s">
        <v>6441</v>
      </c>
      <c r="C1249" s="8" t="s">
        <v>179</v>
      </c>
      <c r="D1249" s="8" t="s">
        <v>26</v>
      </c>
      <c r="E1249" s="8" t="s">
        <v>6442</v>
      </c>
      <c r="F1249" s="8"/>
      <c r="G1249" s="8" t="s">
        <v>54</v>
      </c>
      <c r="H1249" s="8" t="s">
        <v>76</v>
      </c>
      <c r="I1249" s="8" t="s">
        <v>31</v>
      </c>
      <c r="J1249" s="8" t="s">
        <v>86</v>
      </c>
      <c r="K1249" s="10" t="s">
        <v>5483</v>
      </c>
      <c r="L1249" s="8" t="s">
        <v>58</v>
      </c>
      <c r="M1249" s="8" t="s">
        <v>35</v>
      </c>
      <c r="N1249" s="11">
        <v>44993.0</v>
      </c>
      <c r="O1249" s="11">
        <v>45138.0</v>
      </c>
      <c r="P1249" s="11">
        <v>45180.0</v>
      </c>
      <c r="Q1249" s="11"/>
      <c r="R1249" s="11"/>
      <c r="S1249" s="12"/>
      <c r="T1249" s="8"/>
      <c r="U1249" s="8" t="s">
        <v>59</v>
      </c>
      <c r="V1249" s="13" t="s">
        <v>38</v>
      </c>
      <c r="W1249" s="13" t="s">
        <v>6443</v>
      </c>
      <c r="X1249" s="12"/>
      <c r="Y1249" s="14"/>
      <c r="Z1249" s="14"/>
    </row>
    <row r="1250">
      <c r="A1250" s="8" t="s">
        <v>6444</v>
      </c>
      <c r="B1250" s="15" t="s">
        <v>6445</v>
      </c>
      <c r="C1250" s="8" t="s">
        <v>25</v>
      </c>
      <c r="D1250" s="8" t="s">
        <v>26</v>
      </c>
      <c r="E1250" s="8" t="s">
        <v>6446</v>
      </c>
      <c r="F1250" s="8">
        <v>5.2857176E7</v>
      </c>
      <c r="G1250" s="8" t="s">
        <v>54</v>
      </c>
      <c r="H1250" s="8" t="s">
        <v>76</v>
      </c>
      <c r="I1250" s="8" t="s">
        <v>31</v>
      </c>
      <c r="J1250" s="8" t="s">
        <v>77</v>
      </c>
      <c r="K1250" s="10" t="s">
        <v>152</v>
      </c>
      <c r="L1250" s="8" t="s">
        <v>58</v>
      </c>
      <c r="M1250" s="8" t="s">
        <v>35</v>
      </c>
      <c r="N1250" s="11">
        <v>44993.0</v>
      </c>
      <c r="O1250" s="11">
        <v>45095.0</v>
      </c>
      <c r="P1250" s="11">
        <v>45137.0</v>
      </c>
      <c r="Q1250" s="11">
        <v>45093.0</v>
      </c>
      <c r="R1250" s="11">
        <v>45137.0</v>
      </c>
      <c r="S1250" s="12"/>
      <c r="T1250" s="8"/>
      <c r="U1250" s="8" t="s">
        <v>153</v>
      </c>
      <c r="V1250" s="13" t="s">
        <v>491</v>
      </c>
      <c r="W1250" s="13" t="s">
        <v>6447</v>
      </c>
      <c r="X1250" s="12"/>
      <c r="Y1250" s="14"/>
      <c r="Z1250" s="14"/>
    </row>
    <row r="1251">
      <c r="A1251" s="8" t="s">
        <v>6448</v>
      </c>
      <c r="B1251" s="8" t="s">
        <v>6449</v>
      </c>
      <c r="C1251" s="8" t="s">
        <v>179</v>
      </c>
      <c r="D1251" s="8" t="s">
        <v>26</v>
      </c>
      <c r="E1251" s="8" t="s">
        <v>6450</v>
      </c>
      <c r="F1251" s="8">
        <v>5.516507822E9</v>
      </c>
      <c r="G1251" s="8" t="s">
        <v>31</v>
      </c>
      <c r="H1251" s="8" t="s">
        <v>86</v>
      </c>
      <c r="I1251" s="8" t="s">
        <v>284</v>
      </c>
      <c r="J1251" s="8" t="s">
        <v>589</v>
      </c>
      <c r="K1251" s="10" t="s">
        <v>6451</v>
      </c>
      <c r="L1251" s="8" t="s">
        <v>58</v>
      </c>
      <c r="M1251" s="8" t="s">
        <v>35</v>
      </c>
      <c r="N1251" s="11">
        <v>44993.0</v>
      </c>
      <c r="O1251" s="11">
        <v>45153.0</v>
      </c>
      <c r="P1251" s="11">
        <v>45195.0</v>
      </c>
      <c r="Q1251" s="11"/>
      <c r="R1251" s="11"/>
      <c r="S1251" s="12"/>
      <c r="T1251" s="8"/>
      <c r="U1251" s="8" t="s">
        <v>185</v>
      </c>
      <c r="V1251" s="13" t="s">
        <v>175</v>
      </c>
      <c r="W1251" s="13" t="s">
        <v>6452</v>
      </c>
      <c r="X1251" s="12"/>
      <c r="Y1251" s="14"/>
      <c r="Z1251" s="14"/>
    </row>
    <row r="1252">
      <c r="A1252" s="8" t="s">
        <v>6453</v>
      </c>
      <c r="B1252" s="8" t="s">
        <v>6454</v>
      </c>
      <c r="C1252" s="8" t="s">
        <v>25</v>
      </c>
      <c r="D1252" s="8" t="s">
        <v>26</v>
      </c>
      <c r="E1252" s="8" t="s">
        <v>6455</v>
      </c>
      <c r="F1252" s="8">
        <v>5.310838342E9</v>
      </c>
      <c r="G1252" s="8" t="s">
        <v>31</v>
      </c>
      <c r="H1252" s="8" t="s">
        <v>542</v>
      </c>
      <c r="I1252" s="8" t="s">
        <v>399</v>
      </c>
      <c r="J1252" s="8" t="s">
        <v>415</v>
      </c>
      <c r="K1252" s="10" t="s">
        <v>2626</v>
      </c>
      <c r="L1252" s="8" t="s">
        <v>58</v>
      </c>
      <c r="M1252" s="8" t="s">
        <v>35</v>
      </c>
      <c r="N1252" s="11">
        <v>44993.0</v>
      </c>
      <c r="O1252" s="11">
        <v>45115.0</v>
      </c>
      <c r="P1252" s="11">
        <v>45157.0</v>
      </c>
      <c r="Q1252" s="11">
        <v>45115.0</v>
      </c>
      <c r="R1252" s="11">
        <v>45157.0</v>
      </c>
      <c r="S1252" s="12"/>
      <c r="T1252" s="8"/>
      <c r="U1252" s="8" t="s">
        <v>185</v>
      </c>
      <c r="V1252" s="13" t="s">
        <v>545</v>
      </c>
      <c r="W1252" s="13" t="s">
        <v>6456</v>
      </c>
      <c r="X1252" s="12"/>
      <c r="Y1252" s="14"/>
      <c r="Z1252" s="14"/>
    </row>
    <row r="1253">
      <c r="A1253" s="8" t="s">
        <v>6457</v>
      </c>
      <c r="B1253" s="8" t="s">
        <v>6458</v>
      </c>
      <c r="C1253" s="8" t="s">
        <v>64</v>
      </c>
      <c r="D1253" s="8" t="s">
        <v>26</v>
      </c>
      <c r="E1253" s="8" t="s">
        <v>6459</v>
      </c>
      <c r="F1253" s="8">
        <v>7.779820767E9</v>
      </c>
      <c r="G1253" s="8" t="s">
        <v>496</v>
      </c>
      <c r="H1253" s="8" t="s">
        <v>497</v>
      </c>
      <c r="I1253" s="8" t="s">
        <v>31</v>
      </c>
      <c r="J1253" s="8" t="s">
        <v>86</v>
      </c>
      <c r="K1253" s="10" t="s">
        <v>416</v>
      </c>
      <c r="L1253" s="8" t="s">
        <v>58</v>
      </c>
      <c r="M1253" s="8" t="s">
        <v>35</v>
      </c>
      <c r="N1253" s="11">
        <v>44993.0</v>
      </c>
      <c r="O1253" s="11">
        <v>45082.0</v>
      </c>
      <c r="P1253" s="11">
        <v>45124.0</v>
      </c>
      <c r="Q1253" s="11">
        <v>45081.0</v>
      </c>
      <c r="R1253" s="11">
        <v>45124.0</v>
      </c>
      <c r="S1253" s="12"/>
      <c r="T1253" s="8"/>
      <c r="U1253" s="8" t="s">
        <v>59</v>
      </c>
      <c r="V1253" s="13" t="s">
        <v>6460</v>
      </c>
      <c r="W1253" s="13" t="s">
        <v>6461</v>
      </c>
      <c r="X1253" s="12"/>
      <c r="Y1253" s="14"/>
      <c r="Z1253" s="14"/>
    </row>
    <row r="1254">
      <c r="A1254" s="8" t="s">
        <v>6462</v>
      </c>
      <c r="B1254" s="8" t="s">
        <v>6463</v>
      </c>
      <c r="C1254" s="8" t="s">
        <v>25</v>
      </c>
      <c r="D1254" s="8" t="s">
        <v>26</v>
      </c>
      <c r="E1254" s="8" t="s">
        <v>6464</v>
      </c>
      <c r="F1254" s="8">
        <v>5.439407894E9</v>
      </c>
      <c r="G1254" s="8" t="s">
        <v>31</v>
      </c>
      <c r="H1254" s="8" t="s">
        <v>77</v>
      </c>
      <c r="I1254" s="8" t="s">
        <v>399</v>
      </c>
      <c r="J1254" s="8" t="s">
        <v>400</v>
      </c>
      <c r="K1254" s="10" t="s">
        <v>1700</v>
      </c>
      <c r="L1254" s="8" t="s">
        <v>58</v>
      </c>
      <c r="M1254" s="8" t="s">
        <v>35</v>
      </c>
      <c r="N1254" s="11">
        <v>44993.0</v>
      </c>
      <c r="O1254" s="11">
        <v>45139.0</v>
      </c>
      <c r="P1254" s="11">
        <v>45181.0</v>
      </c>
      <c r="Q1254" s="11">
        <v>45140.0</v>
      </c>
      <c r="R1254" s="11">
        <v>45181.0</v>
      </c>
      <c r="S1254" s="12"/>
      <c r="T1254" s="8"/>
      <c r="U1254" s="8" t="s">
        <v>1038</v>
      </c>
      <c r="V1254" s="13" t="s">
        <v>1408</v>
      </c>
      <c r="W1254" s="13" t="s">
        <v>6465</v>
      </c>
      <c r="X1254" s="12"/>
      <c r="Y1254" s="14"/>
      <c r="Z1254" s="14"/>
    </row>
    <row r="1255">
      <c r="A1255" s="8" t="s">
        <v>6466</v>
      </c>
      <c r="B1255" s="8" t="s">
        <v>6467</v>
      </c>
      <c r="C1255" s="8" t="s">
        <v>179</v>
      </c>
      <c r="D1255" s="8" t="s">
        <v>26</v>
      </c>
      <c r="E1255" s="8" t="s">
        <v>6468</v>
      </c>
      <c r="F1255" s="8">
        <v>5.312688502E9</v>
      </c>
      <c r="G1255" s="8" t="s">
        <v>31</v>
      </c>
      <c r="H1255" s="8" t="s">
        <v>66</v>
      </c>
      <c r="I1255" s="8" t="s">
        <v>399</v>
      </c>
      <c r="J1255" s="8" t="s">
        <v>400</v>
      </c>
      <c r="K1255" s="10" t="s">
        <v>1700</v>
      </c>
      <c r="L1255" s="8" t="s">
        <v>58</v>
      </c>
      <c r="M1255" s="8" t="s">
        <v>35</v>
      </c>
      <c r="N1255" s="11">
        <v>44994.0</v>
      </c>
      <c r="O1255" s="11">
        <v>45121.0</v>
      </c>
      <c r="P1255" s="11">
        <v>45163.0</v>
      </c>
      <c r="Q1255" s="11"/>
      <c r="R1255" s="11"/>
      <c r="S1255" s="12"/>
      <c r="T1255" s="8"/>
      <c r="U1255" s="8" t="s">
        <v>1038</v>
      </c>
      <c r="V1255" s="13" t="s">
        <v>5212</v>
      </c>
      <c r="W1255" s="13" t="s">
        <v>6469</v>
      </c>
      <c r="X1255" s="12"/>
      <c r="Y1255" s="14"/>
      <c r="Z1255" s="14"/>
    </row>
    <row r="1256">
      <c r="A1256" s="8" t="s">
        <v>6470</v>
      </c>
      <c r="B1256" s="8" t="s">
        <v>6471</v>
      </c>
      <c r="C1256" s="8" t="s">
        <v>25</v>
      </c>
      <c r="D1256" s="8" t="s">
        <v>26</v>
      </c>
      <c r="E1256" s="8" t="s">
        <v>6472</v>
      </c>
      <c r="F1256" s="8">
        <v>5.061672661E9</v>
      </c>
      <c r="G1256" s="8" t="s">
        <v>31</v>
      </c>
      <c r="H1256" s="8" t="s">
        <v>86</v>
      </c>
      <c r="I1256" s="8" t="s">
        <v>284</v>
      </c>
      <c r="J1256" s="8" t="s">
        <v>589</v>
      </c>
      <c r="K1256" s="10" t="s">
        <v>6146</v>
      </c>
      <c r="L1256" s="8" t="s">
        <v>58</v>
      </c>
      <c r="M1256" s="8" t="s">
        <v>35</v>
      </c>
      <c r="N1256" s="11">
        <v>44994.0</v>
      </c>
      <c r="O1256" s="11">
        <v>45122.0</v>
      </c>
      <c r="P1256" s="11">
        <v>45164.0</v>
      </c>
      <c r="Q1256" s="11">
        <v>45119.0</v>
      </c>
      <c r="R1256" s="11">
        <v>45164.0</v>
      </c>
      <c r="S1256" s="12"/>
      <c r="T1256" s="8"/>
      <c r="U1256" s="8" t="s">
        <v>1038</v>
      </c>
      <c r="V1256" s="13" t="s">
        <v>175</v>
      </c>
      <c r="W1256" s="13" t="s">
        <v>6473</v>
      </c>
      <c r="X1256" s="12"/>
      <c r="Y1256" s="14"/>
      <c r="Z1256" s="14"/>
    </row>
    <row r="1257">
      <c r="A1257" s="8" t="s">
        <v>6474</v>
      </c>
      <c r="B1257" s="8" t="s">
        <v>6475</v>
      </c>
      <c r="C1257" s="8" t="s">
        <v>25</v>
      </c>
      <c r="D1257" s="8" t="s">
        <v>26</v>
      </c>
      <c r="E1257" s="8" t="s">
        <v>6476</v>
      </c>
      <c r="F1257" s="8">
        <v>5.38853884E9</v>
      </c>
      <c r="G1257" s="8" t="s">
        <v>31</v>
      </c>
      <c r="H1257" s="8" t="s">
        <v>86</v>
      </c>
      <c r="I1257" s="8" t="s">
        <v>284</v>
      </c>
      <c r="J1257" s="8" t="s">
        <v>589</v>
      </c>
      <c r="K1257" s="10" t="s">
        <v>6146</v>
      </c>
      <c r="L1257" s="8" t="s">
        <v>58</v>
      </c>
      <c r="M1257" s="8" t="s">
        <v>35</v>
      </c>
      <c r="N1257" s="11">
        <v>44994.0</v>
      </c>
      <c r="O1257" s="11">
        <v>45122.0</v>
      </c>
      <c r="P1257" s="11">
        <v>45164.0</v>
      </c>
      <c r="Q1257" s="11">
        <v>45119.0</v>
      </c>
      <c r="R1257" s="11">
        <v>45164.0</v>
      </c>
      <c r="S1257" s="12"/>
      <c r="T1257" s="8"/>
      <c r="U1257" s="8" t="s">
        <v>1038</v>
      </c>
      <c r="V1257" s="13" t="s">
        <v>175</v>
      </c>
      <c r="W1257" s="13" t="s">
        <v>6477</v>
      </c>
      <c r="X1257" s="12"/>
      <c r="Y1257" s="14"/>
      <c r="Z1257" s="14"/>
    </row>
    <row r="1258">
      <c r="A1258" s="8" t="s">
        <v>6478</v>
      </c>
      <c r="B1258" s="8" t="s">
        <v>6479</v>
      </c>
      <c r="C1258" s="8" t="s">
        <v>25</v>
      </c>
      <c r="D1258" s="8" t="s">
        <v>26</v>
      </c>
      <c r="E1258" s="8" t="s">
        <v>6480</v>
      </c>
      <c r="F1258" s="8" t="s">
        <v>6481</v>
      </c>
      <c r="G1258" s="8" t="s">
        <v>31</v>
      </c>
      <c r="H1258" s="8" t="s">
        <v>220</v>
      </c>
      <c r="I1258" s="8" t="s">
        <v>284</v>
      </c>
      <c r="J1258" s="8" t="s">
        <v>300</v>
      </c>
      <c r="K1258" s="10" t="s">
        <v>6482</v>
      </c>
      <c r="L1258" s="8" t="s">
        <v>58</v>
      </c>
      <c r="M1258" s="8" t="s">
        <v>35</v>
      </c>
      <c r="N1258" s="11">
        <v>44994.0</v>
      </c>
      <c r="O1258" s="11">
        <v>45139.0</v>
      </c>
      <c r="P1258" s="11">
        <v>45181.0</v>
      </c>
      <c r="Q1258" s="11">
        <v>45139.0</v>
      </c>
      <c r="R1258" s="11">
        <v>45181.0</v>
      </c>
      <c r="S1258" s="12"/>
      <c r="T1258" s="8"/>
      <c r="U1258" s="8" t="s">
        <v>1038</v>
      </c>
      <c r="V1258" s="13" t="s">
        <v>220</v>
      </c>
      <c r="W1258" s="13" t="s">
        <v>6483</v>
      </c>
      <c r="X1258" s="12"/>
      <c r="Y1258" s="14"/>
      <c r="Z1258" s="14"/>
    </row>
    <row r="1259">
      <c r="A1259" s="8" t="s">
        <v>6484</v>
      </c>
      <c r="B1259" s="8" t="s">
        <v>6485</v>
      </c>
      <c r="C1259" s="8" t="s">
        <v>179</v>
      </c>
      <c r="D1259" s="8" t="s">
        <v>26</v>
      </c>
      <c r="E1259" s="8" t="s">
        <v>6486</v>
      </c>
      <c r="F1259" s="8">
        <v>5.35323605E9</v>
      </c>
      <c r="G1259" s="8" t="s">
        <v>31</v>
      </c>
      <c r="H1259" s="8" t="s">
        <v>542</v>
      </c>
      <c r="I1259" s="8" t="s">
        <v>399</v>
      </c>
      <c r="J1259" s="8" t="s">
        <v>415</v>
      </c>
      <c r="K1259" s="10" t="s">
        <v>2626</v>
      </c>
      <c r="L1259" s="8" t="s">
        <v>58</v>
      </c>
      <c r="M1259" s="8" t="s">
        <v>35</v>
      </c>
      <c r="N1259" s="11">
        <v>44994.0</v>
      </c>
      <c r="O1259" s="11">
        <v>45185.0</v>
      </c>
      <c r="P1259" s="11">
        <v>45227.0</v>
      </c>
      <c r="Q1259" s="11"/>
      <c r="R1259" s="11"/>
      <c r="S1259" s="12"/>
      <c r="T1259" s="8"/>
      <c r="U1259" s="8" t="s">
        <v>185</v>
      </c>
      <c r="V1259" s="13" t="s">
        <v>545</v>
      </c>
      <c r="W1259" s="13" t="s">
        <v>6487</v>
      </c>
      <c r="X1259" s="12"/>
      <c r="Y1259" s="14"/>
      <c r="Z1259" s="14"/>
    </row>
    <row r="1260">
      <c r="A1260" s="8" t="s">
        <v>6488</v>
      </c>
      <c r="B1260" s="8" t="s">
        <v>6489</v>
      </c>
      <c r="C1260" s="8" t="s">
        <v>179</v>
      </c>
      <c r="D1260" s="8" t="s">
        <v>26</v>
      </c>
      <c r="E1260" s="8" t="s">
        <v>6490</v>
      </c>
      <c r="F1260" s="8"/>
      <c r="G1260" s="8" t="s">
        <v>54</v>
      </c>
      <c r="H1260" s="8" t="s">
        <v>369</v>
      </c>
      <c r="I1260" s="8" t="s">
        <v>31</v>
      </c>
      <c r="J1260" s="8" t="s">
        <v>136</v>
      </c>
      <c r="K1260" s="10" t="s">
        <v>137</v>
      </c>
      <c r="L1260" s="8" t="s">
        <v>58</v>
      </c>
      <c r="M1260" s="8" t="s">
        <v>35</v>
      </c>
      <c r="N1260" s="11">
        <v>44994.0</v>
      </c>
      <c r="O1260" s="11">
        <v>45124.0</v>
      </c>
      <c r="P1260" s="11">
        <v>45166.0</v>
      </c>
      <c r="Q1260" s="11"/>
      <c r="R1260" s="11"/>
      <c r="S1260" s="12"/>
      <c r="T1260" s="8"/>
      <c r="U1260" s="8" t="s">
        <v>88</v>
      </c>
      <c r="V1260" s="13" t="s">
        <v>38</v>
      </c>
      <c r="W1260" s="13" t="s">
        <v>6491</v>
      </c>
      <c r="X1260" s="12"/>
      <c r="Y1260" s="14"/>
      <c r="Z1260" s="14"/>
    </row>
    <row r="1261">
      <c r="A1261" s="8" t="s">
        <v>6492</v>
      </c>
      <c r="B1261" s="8" t="s">
        <v>6493</v>
      </c>
      <c r="C1261" s="8" t="s">
        <v>179</v>
      </c>
      <c r="D1261" s="8" t="s">
        <v>26</v>
      </c>
      <c r="E1261" s="8" t="s">
        <v>6494</v>
      </c>
      <c r="F1261" s="8"/>
      <c r="G1261" s="8" t="s">
        <v>31</v>
      </c>
      <c r="H1261" s="8" t="s">
        <v>542</v>
      </c>
      <c r="I1261" s="8" t="s">
        <v>399</v>
      </c>
      <c r="J1261" s="8" t="s">
        <v>400</v>
      </c>
      <c r="K1261" s="10" t="s">
        <v>1700</v>
      </c>
      <c r="L1261" s="8" t="s">
        <v>58</v>
      </c>
      <c r="M1261" s="8" t="s">
        <v>35</v>
      </c>
      <c r="N1261" s="11">
        <v>44994.0</v>
      </c>
      <c r="O1261" s="11">
        <v>45170.0</v>
      </c>
      <c r="P1261" s="11">
        <v>45212.0</v>
      </c>
      <c r="Q1261" s="11"/>
      <c r="R1261" s="11"/>
      <c r="S1261" s="12"/>
      <c r="T1261" s="8"/>
      <c r="U1261" s="8" t="s">
        <v>1038</v>
      </c>
      <c r="V1261" s="13" t="s">
        <v>38</v>
      </c>
      <c r="W1261" s="13" t="s">
        <v>6495</v>
      </c>
      <c r="X1261" s="12"/>
      <c r="Y1261" s="14"/>
      <c r="Z1261" s="14"/>
    </row>
    <row r="1262">
      <c r="A1262" s="8" t="s">
        <v>6496</v>
      </c>
      <c r="B1262" s="8" t="s">
        <v>6497</v>
      </c>
      <c r="C1262" s="8" t="s">
        <v>25</v>
      </c>
      <c r="D1262" s="8" t="s">
        <v>26</v>
      </c>
      <c r="E1262" s="8" t="s">
        <v>6498</v>
      </c>
      <c r="F1262" s="8">
        <v>5.059702874E9</v>
      </c>
      <c r="G1262" s="8" t="s">
        <v>31</v>
      </c>
      <c r="H1262" s="8" t="s">
        <v>111</v>
      </c>
      <c r="I1262" s="8" t="s">
        <v>54</v>
      </c>
      <c r="J1262" s="8" t="s">
        <v>430</v>
      </c>
      <c r="K1262" s="10" t="s">
        <v>6499</v>
      </c>
      <c r="L1262" s="8" t="s">
        <v>34</v>
      </c>
      <c r="M1262" s="8" t="s">
        <v>35</v>
      </c>
      <c r="N1262" s="11">
        <v>44994.0</v>
      </c>
      <c r="O1262" s="11">
        <v>45031.0</v>
      </c>
      <c r="P1262" s="11">
        <v>45092.0</v>
      </c>
      <c r="Q1262" s="11">
        <v>45033.0</v>
      </c>
      <c r="R1262" s="11">
        <v>45094.0</v>
      </c>
      <c r="S1262" s="12"/>
      <c r="T1262" s="8" t="s">
        <v>205</v>
      </c>
      <c r="U1262" s="8" t="s">
        <v>1062</v>
      </c>
      <c r="V1262" s="13" t="s">
        <v>111</v>
      </c>
      <c r="W1262" s="13" t="s">
        <v>6500</v>
      </c>
      <c r="X1262" s="12"/>
      <c r="Y1262" s="14"/>
      <c r="Z1262" s="14"/>
    </row>
    <row r="1263">
      <c r="A1263" s="8" t="s">
        <v>6501</v>
      </c>
      <c r="B1263" s="8" t="s">
        <v>6502</v>
      </c>
      <c r="C1263" s="8" t="s">
        <v>25</v>
      </c>
      <c r="D1263" s="8" t="s">
        <v>26</v>
      </c>
      <c r="E1263" s="8" t="s">
        <v>6503</v>
      </c>
      <c r="F1263" s="8">
        <v>5.2120961E7</v>
      </c>
      <c r="G1263" s="8" t="s">
        <v>54</v>
      </c>
      <c r="H1263" s="8" t="s">
        <v>135</v>
      </c>
      <c r="I1263" s="8" t="s">
        <v>31</v>
      </c>
      <c r="J1263" s="8" t="s">
        <v>438</v>
      </c>
      <c r="K1263" s="10" t="s">
        <v>6001</v>
      </c>
      <c r="L1263" s="8" t="s">
        <v>58</v>
      </c>
      <c r="M1263" s="8" t="s">
        <v>35</v>
      </c>
      <c r="N1263" s="11">
        <v>44994.0</v>
      </c>
      <c r="O1263" s="11">
        <v>45117.0</v>
      </c>
      <c r="P1263" s="11">
        <v>45159.0</v>
      </c>
      <c r="Q1263" s="11">
        <v>45118.0</v>
      </c>
      <c r="R1263" s="11">
        <v>45159.0</v>
      </c>
      <c r="S1263" s="12"/>
      <c r="T1263" s="8"/>
      <c r="U1263" s="8" t="s">
        <v>59</v>
      </c>
      <c r="V1263" s="13" t="s">
        <v>138</v>
      </c>
      <c r="W1263" s="13" t="s">
        <v>6504</v>
      </c>
      <c r="X1263" s="12"/>
      <c r="Y1263" s="14"/>
      <c r="Z1263" s="14"/>
    </row>
    <row r="1264">
      <c r="A1264" s="8" t="s">
        <v>6505</v>
      </c>
      <c r="B1264" s="8" t="s">
        <v>6506</v>
      </c>
      <c r="C1264" s="8" t="s">
        <v>25</v>
      </c>
      <c r="D1264" s="8" t="s">
        <v>26</v>
      </c>
      <c r="E1264" s="8" t="s">
        <v>6507</v>
      </c>
      <c r="F1264" s="8"/>
      <c r="G1264" s="8" t="s">
        <v>54</v>
      </c>
      <c r="H1264" s="8" t="s">
        <v>135</v>
      </c>
      <c r="I1264" s="8" t="s">
        <v>31</v>
      </c>
      <c r="J1264" s="8" t="s">
        <v>77</v>
      </c>
      <c r="K1264" s="10" t="s">
        <v>1582</v>
      </c>
      <c r="L1264" s="8" t="s">
        <v>58</v>
      </c>
      <c r="M1264" s="8" t="s">
        <v>35</v>
      </c>
      <c r="N1264" s="11">
        <v>44994.0</v>
      </c>
      <c r="O1264" s="11">
        <v>45117.0</v>
      </c>
      <c r="P1264" s="11">
        <v>45159.0</v>
      </c>
      <c r="Q1264" s="11">
        <v>45116.0</v>
      </c>
      <c r="R1264" s="11">
        <v>45159.0</v>
      </c>
      <c r="S1264" s="12"/>
      <c r="T1264" s="8"/>
      <c r="U1264" s="8" t="s">
        <v>59</v>
      </c>
      <c r="V1264" s="13" t="s">
        <v>38</v>
      </c>
      <c r="W1264" s="13" t="s">
        <v>6508</v>
      </c>
      <c r="X1264" s="12"/>
      <c r="Y1264" s="14"/>
      <c r="Z1264" s="14"/>
    </row>
    <row r="1265">
      <c r="A1265" s="8" t="s">
        <v>6509</v>
      </c>
      <c r="B1265" s="8" t="s">
        <v>6510</v>
      </c>
      <c r="C1265" s="8" t="s">
        <v>25</v>
      </c>
      <c r="D1265" s="8" t="s">
        <v>26</v>
      </c>
      <c r="E1265" s="8" t="s">
        <v>6511</v>
      </c>
      <c r="F1265" s="8">
        <v>5.304750912E9</v>
      </c>
      <c r="G1265" s="8" t="s">
        <v>31</v>
      </c>
      <c r="H1265" s="8" t="s">
        <v>111</v>
      </c>
      <c r="I1265" s="8" t="s">
        <v>195</v>
      </c>
      <c r="J1265" s="8" t="s">
        <v>6512</v>
      </c>
      <c r="K1265" s="10" t="s">
        <v>6513</v>
      </c>
      <c r="L1265" s="8" t="s">
        <v>58</v>
      </c>
      <c r="M1265" s="8" t="s">
        <v>35</v>
      </c>
      <c r="N1265" s="11">
        <v>44994.0</v>
      </c>
      <c r="O1265" s="11">
        <v>45122.0</v>
      </c>
      <c r="P1265" s="11">
        <v>45164.0</v>
      </c>
      <c r="Q1265" s="11">
        <v>45123.0</v>
      </c>
      <c r="R1265" s="11">
        <v>45164.0</v>
      </c>
      <c r="S1265" s="12"/>
      <c r="T1265" s="8"/>
      <c r="U1265" s="8" t="s">
        <v>3111</v>
      </c>
      <c r="V1265" s="13" t="s">
        <v>111</v>
      </c>
      <c r="W1265" s="13" t="s">
        <v>6514</v>
      </c>
      <c r="X1265" s="12"/>
      <c r="Y1265" s="14"/>
      <c r="Z1265" s="14"/>
    </row>
    <row r="1266">
      <c r="A1266" s="8" t="s">
        <v>6515</v>
      </c>
      <c r="B1266" s="8" t="s">
        <v>5510</v>
      </c>
      <c r="C1266" s="8" t="s">
        <v>25</v>
      </c>
      <c r="D1266" s="8" t="s">
        <v>26</v>
      </c>
      <c r="E1266" s="8" t="s">
        <v>5511</v>
      </c>
      <c r="F1266" s="8">
        <v>1.01211016E9</v>
      </c>
      <c r="G1266" s="8" t="s">
        <v>284</v>
      </c>
      <c r="H1266" s="8" t="s">
        <v>854</v>
      </c>
      <c r="I1266" s="8" t="s">
        <v>31</v>
      </c>
      <c r="J1266" s="8" t="s">
        <v>1119</v>
      </c>
      <c r="K1266" s="10" t="s">
        <v>6015</v>
      </c>
      <c r="L1266" s="8" t="s">
        <v>58</v>
      </c>
      <c r="M1266" s="8" t="s">
        <v>35</v>
      </c>
      <c r="N1266" s="11">
        <v>44994.0</v>
      </c>
      <c r="O1266" s="11">
        <v>45128.0</v>
      </c>
      <c r="P1266" s="11">
        <v>45170.0</v>
      </c>
      <c r="Q1266" s="11">
        <v>45135.0</v>
      </c>
      <c r="R1266" s="11">
        <v>45177.0</v>
      </c>
      <c r="S1266" s="12"/>
      <c r="T1266" s="8"/>
      <c r="U1266" s="8" t="s">
        <v>59</v>
      </c>
      <c r="V1266" s="13" t="s">
        <v>856</v>
      </c>
      <c r="W1266" s="13" t="s">
        <v>5512</v>
      </c>
      <c r="X1266" s="12"/>
      <c r="Y1266" s="14"/>
      <c r="Z1266" s="14"/>
    </row>
    <row r="1267">
      <c r="A1267" s="8" t="s">
        <v>6516</v>
      </c>
      <c r="B1267" s="8" t="s">
        <v>6517</v>
      </c>
      <c r="C1267" s="8" t="s">
        <v>64</v>
      </c>
      <c r="D1267" s="8" t="s">
        <v>26</v>
      </c>
      <c r="E1267" s="8" t="s">
        <v>6518</v>
      </c>
      <c r="F1267" s="8">
        <v>5.419101734E9</v>
      </c>
      <c r="G1267" s="8" t="s">
        <v>31</v>
      </c>
      <c r="H1267" s="8" t="s">
        <v>167</v>
      </c>
      <c r="I1267" s="8" t="s">
        <v>127</v>
      </c>
      <c r="J1267" s="8" t="s">
        <v>3006</v>
      </c>
      <c r="K1267" s="10" t="s">
        <v>6301</v>
      </c>
      <c r="L1267" s="8" t="s">
        <v>58</v>
      </c>
      <c r="M1267" s="8" t="s">
        <v>35</v>
      </c>
      <c r="N1267" s="11">
        <v>44994.0</v>
      </c>
      <c r="O1267" s="11">
        <v>45131.0</v>
      </c>
      <c r="P1267" s="11">
        <v>45173.0</v>
      </c>
      <c r="Q1267" s="11">
        <v>45132.0</v>
      </c>
      <c r="R1267" s="11">
        <v>45173.0</v>
      </c>
      <c r="S1267" s="12"/>
      <c r="T1267" s="8"/>
      <c r="U1267" s="8" t="s">
        <v>88</v>
      </c>
      <c r="V1267" s="13" t="s">
        <v>167</v>
      </c>
      <c r="W1267" s="13" t="s">
        <v>6519</v>
      </c>
      <c r="X1267" s="12"/>
      <c r="Y1267" s="14"/>
      <c r="Z1267" s="14"/>
    </row>
    <row r="1268">
      <c r="A1268" s="8" t="s">
        <v>6520</v>
      </c>
      <c r="B1268" s="8" t="s">
        <v>6521</v>
      </c>
      <c r="C1268" s="8" t="s">
        <v>179</v>
      </c>
      <c r="D1268" s="8" t="s">
        <v>26</v>
      </c>
      <c r="E1268" s="8" t="s">
        <v>6522</v>
      </c>
      <c r="F1268" s="8">
        <v>2.4412722E7</v>
      </c>
      <c r="G1268" s="8" t="s">
        <v>54</v>
      </c>
      <c r="H1268" s="8" t="s">
        <v>135</v>
      </c>
      <c r="I1268" s="8" t="s">
        <v>31</v>
      </c>
      <c r="J1268" s="8" t="s">
        <v>77</v>
      </c>
      <c r="K1268" s="10" t="s">
        <v>3945</v>
      </c>
      <c r="L1268" s="8" t="s">
        <v>58</v>
      </c>
      <c r="M1268" s="8" t="s">
        <v>35</v>
      </c>
      <c r="N1268" s="11">
        <v>44995.0</v>
      </c>
      <c r="O1268" s="11">
        <v>45166.0</v>
      </c>
      <c r="P1268" s="11">
        <v>45208.0</v>
      </c>
      <c r="Q1268" s="11"/>
      <c r="R1268" s="11"/>
      <c r="S1268" s="12"/>
      <c r="T1268" s="8"/>
      <c r="U1268" s="8" t="s">
        <v>59</v>
      </c>
      <c r="V1268" s="13" t="s">
        <v>6430</v>
      </c>
      <c r="W1268" s="13" t="s">
        <v>6523</v>
      </c>
      <c r="X1268" s="12"/>
      <c r="Y1268" s="14"/>
      <c r="Z1268" s="14"/>
    </row>
    <row r="1269">
      <c r="A1269" s="8" t="s">
        <v>6524</v>
      </c>
      <c r="B1269" s="8" t="s">
        <v>6525</v>
      </c>
      <c r="C1269" s="8" t="s">
        <v>25</v>
      </c>
      <c r="D1269" s="8" t="s">
        <v>26</v>
      </c>
      <c r="E1269" s="8" t="s">
        <v>6526</v>
      </c>
      <c r="F1269" s="8">
        <v>5.312654452E9</v>
      </c>
      <c r="G1269" s="8" t="s">
        <v>31</v>
      </c>
      <c r="H1269" s="8" t="s">
        <v>86</v>
      </c>
      <c r="I1269" s="8" t="s">
        <v>284</v>
      </c>
      <c r="J1269" s="8" t="s">
        <v>1287</v>
      </c>
      <c r="K1269" s="10" t="s">
        <v>6527</v>
      </c>
      <c r="L1269" s="8" t="s">
        <v>47</v>
      </c>
      <c r="M1269" s="8" t="s">
        <v>48</v>
      </c>
      <c r="N1269" s="11">
        <v>44995.0</v>
      </c>
      <c r="O1269" s="11">
        <v>45097.0</v>
      </c>
      <c r="P1269" s="11">
        <v>45197.0</v>
      </c>
      <c r="Q1269" s="11">
        <v>45108.0</v>
      </c>
      <c r="R1269" s="11">
        <v>45194.0</v>
      </c>
      <c r="S1269" s="12"/>
      <c r="T1269" s="8"/>
      <c r="U1269" s="8" t="s">
        <v>6528</v>
      </c>
      <c r="V1269" s="13" t="s">
        <v>175</v>
      </c>
      <c r="W1269" s="13" t="s">
        <v>6529</v>
      </c>
      <c r="X1269" s="12"/>
      <c r="Y1269" s="14"/>
      <c r="Z1269" s="14"/>
    </row>
    <row r="1270">
      <c r="A1270" s="8" t="s">
        <v>6530</v>
      </c>
      <c r="B1270" s="8" t="s">
        <v>6531</v>
      </c>
      <c r="C1270" s="8" t="s">
        <v>179</v>
      </c>
      <c r="D1270" s="8" t="s">
        <v>26</v>
      </c>
      <c r="E1270" s="8" t="s">
        <v>6532</v>
      </c>
      <c r="F1270" s="8">
        <v>5.469725629E9</v>
      </c>
      <c r="G1270" s="8" t="s">
        <v>31</v>
      </c>
      <c r="H1270" s="8" t="s">
        <v>136</v>
      </c>
      <c r="I1270" s="8" t="s">
        <v>44</v>
      </c>
      <c r="J1270" s="8" t="s">
        <v>4170</v>
      </c>
      <c r="K1270" s="10" t="s">
        <v>6359</v>
      </c>
      <c r="L1270" s="8" t="s">
        <v>34</v>
      </c>
      <c r="M1270" s="8" t="s">
        <v>35</v>
      </c>
      <c r="N1270" s="11">
        <v>44995.0</v>
      </c>
      <c r="O1270" s="11">
        <v>45110.0</v>
      </c>
      <c r="P1270" s="11">
        <v>45165.0</v>
      </c>
      <c r="Q1270" s="11"/>
      <c r="R1270" s="11"/>
      <c r="S1270" s="12"/>
      <c r="T1270" s="8" t="s">
        <v>1187</v>
      </c>
      <c r="U1270" s="8" t="s">
        <v>6360</v>
      </c>
      <c r="V1270" s="13" t="s">
        <v>136</v>
      </c>
      <c r="W1270" s="13" t="s">
        <v>6533</v>
      </c>
      <c r="X1270" s="12"/>
      <c r="Y1270" s="14"/>
      <c r="Z1270" s="14"/>
    </row>
    <row r="1271">
      <c r="A1271" s="8" t="s">
        <v>6534</v>
      </c>
      <c r="B1271" s="8" t="s">
        <v>6535</v>
      </c>
      <c r="C1271" s="8" t="s">
        <v>25</v>
      </c>
      <c r="D1271" s="8" t="s">
        <v>26</v>
      </c>
      <c r="E1271" s="8" t="s">
        <v>6536</v>
      </c>
      <c r="F1271" s="8">
        <v>5.412378355E9</v>
      </c>
      <c r="G1271" s="8" t="s">
        <v>31</v>
      </c>
      <c r="H1271" s="8" t="s">
        <v>32</v>
      </c>
      <c r="I1271" s="8" t="s">
        <v>399</v>
      </c>
      <c r="J1271" s="8" t="s">
        <v>1381</v>
      </c>
      <c r="K1271" s="10" t="s">
        <v>6537</v>
      </c>
      <c r="L1271" s="8" t="s">
        <v>58</v>
      </c>
      <c r="M1271" s="8" t="s">
        <v>35</v>
      </c>
      <c r="N1271" s="11">
        <v>44995.0</v>
      </c>
      <c r="O1271" s="11">
        <v>45138.0</v>
      </c>
      <c r="P1271" s="11">
        <v>45180.0</v>
      </c>
      <c r="Q1271" s="11">
        <v>45138.0</v>
      </c>
      <c r="R1271" s="11">
        <v>45180.0</v>
      </c>
      <c r="S1271" s="12"/>
      <c r="T1271" s="8"/>
      <c r="U1271" s="8" t="s">
        <v>1038</v>
      </c>
      <c r="V1271" s="13" t="s">
        <v>537</v>
      </c>
      <c r="W1271" s="13" t="s">
        <v>6538</v>
      </c>
      <c r="X1271" s="12"/>
      <c r="Y1271" s="14"/>
      <c r="Z1271" s="14"/>
    </row>
    <row r="1272">
      <c r="A1272" s="8" t="s">
        <v>6539</v>
      </c>
      <c r="B1272" s="8" t="s">
        <v>6540</v>
      </c>
      <c r="C1272" s="8" t="s">
        <v>25</v>
      </c>
      <c r="D1272" s="8" t="s">
        <v>26</v>
      </c>
      <c r="E1272" s="8" t="s">
        <v>6541</v>
      </c>
      <c r="F1272" s="8" t="s">
        <v>6542</v>
      </c>
      <c r="G1272" s="8" t="s">
        <v>31</v>
      </c>
      <c r="H1272" s="8" t="s">
        <v>220</v>
      </c>
      <c r="I1272" s="8" t="s">
        <v>284</v>
      </c>
      <c r="J1272" s="8" t="s">
        <v>300</v>
      </c>
      <c r="K1272" s="10" t="s">
        <v>6482</v>
      </c>
      <c r="L1272" s="8" t="s">
        <v>58</v>
      </c>
      <c r="M1272" s="8" t="s">
        <v>35</v>
      </c>
      <c r="N1272" s="11">
        <v>44995.0</v>
      </c>
      <c r="O1272" s="11">
        <v>45139.0</v>
      </c>
      <c r="P1272" s="11">
        <v>45181.0</v>
      </c>
      <c r="Q1272" s="11">
        <v>45139.0</v>
      </c>
      <c r="R1272" s="11">
        <v>45181.0</v>
      </c>
      <c r="S1272" s="12"/>
      <c r="T1272" s="8"/>
      <c r="U1272" s="8" t="s">
        <v>1038</v>
      </c>
      <c r="V1272" s="13" t="s">
        <v>220</v>
      </c>
      <c r="W1272" s="13" t="s">
        <v>6543</v>
      </c>
      <c r="X1272" s="12"/>
      <c r="Y1272" s="14"/>
      <c r="Z1272" s="14"/>
    </row>
    <row r="1273">
      <c r="A1273" s="8" t="s">
        <v>6544</v>
      </c>
      <c r="B1273" s="8" t="s">
        <v>6545</v>
      </c>
      <c r="C1273" s="8" t="s">
        <v>25</v>
      </c>
      <c r="D1273" s="8" t="s">
        <v>26</v>
      </c>
      <c r="E1273" s="8" t="s">
        <v>6546</v>
      </c>
      <c r="F1273" s="8">
        <v>5.438241917E9</v>
      </c>
      <c r="G1273" s="8" t="s">
        <v>31</v>
      </c>
      <c r="H1273" s="8" t="s">
        <v>86</v>
      </c>
      <c r="I1273" s="8" t="s">
        <v>284</v>
      </c>
      <c r="J1273" s="8" t="s">
        <v>589</v>
      </c>
      <c r="K1273" s="10" t="s">
        <v>5717</v>
      </c>
      <c r="L1273" s="8" t="s">
        <v>58</v>
      </c>
      <c r="M1273" s="8" t="s">
        <v>35</v>
      </c>
      <c r="N1273" s="11">
        <v>44995.0</v>
      </c>
      <c r="O1273" s="11">
        <v>45108.0</v>
      </c>
      <c r="P1273" s="11">
        <v>45150.0</v>
      </c>
      <c r="Q1273" s="11">
        <v>45107.0</v>
      </c>
      <c r="R1273" s="11">
        <v>45150.0</v>
      </c>
      <c r="S1273" s="12"/>
      <c r="T1273" s="8"/>
      <c r="U1273" s="8" t="s">
        <v>185</v>
      </c>
      <c r="V1273" s="13" t="s">
        <v>175</v>
      </c>
      <c r="W1273" s="13" t="s">
        <v>6547</v>
      </c>
      <c r="X1273" s="12"/>
      <c r="Y1273" s="14"/>
      <c r="Z1273" s="14"/>
    </row>
    <row r="1274">
      <c r="A1274" s="8" t="s">
        <v>6548</v>
      </c>
      <c r="B1274" s="8" t="s">
        <v>6549</v>
      </c>
      <c r="C1274" s="8" t="s">
        <v>179</v>
      </c>
      <c r="D1274" s="8" t="s">
        <v>26</v>
      </c>
      <c r="E1274" s="8" t="s">
        <v>6550</v>
      </c>
      <c r="F1274" s="8">
        <v>5.374614198E9</v>
      </c>
      <c r="G1274" s="8" t="s">
        <v>31</v>
      </c>
      <c r="H1274" s="8" t="s">
        <v>111</v>
      </c>
      <c r="I1274" s="8" t="s">
        <v>284</v>
      </c>
      <c r="J1274" s="8" t="s">
        <v>793</v>
      </c>
      <c r="K1274" s="10" t="s">
        <v>6551</v>
      </c>
      <c r="L1274" s="8" t="s">
        <v>47</v>
      </c>
      <c r="M1274" s="8" t="s">
        <v>35</v>
      </c>
      <c r="N1274" s="11">
        <v>44995.0</v>
      </c>
      <c r="O1274" s="11">
        <v>45078.0</v>
      </c>
      <c r="P1274" s="11">
        <v>45161.0</v>
      </c>
      <c r="Q1274" s="11"/>
      <c r="R1274" s="11"/>
      <c r="S1274" s="12"/>
      <c r="T1274" s="8"/>
      <c r="U1274" s="8" t="s">
        <v>6552</v>
      </c>
      <c r="V1274" s="13" t="s">
        <v>111</v>
      </c>
      <c r="W1274" s="13" t="s">
        <v>6553</v>
      </c>
      <c r="X1274" s="12"/>
      <c r="Y1274" s="14"/>
      <c r="Z1274" s="14"/>
    </row>
    <row r="1275">
      <c r="A1275" s="8" t="s">
        <v>6554</v>
      </c>
      <c r="B1275" s="8" t="s">
        <v>6555</v>
      </c>
      <c r="C1275" s="8" t="s">
        <v>179</v>
      </c>
      <c r="D1275" s="8" t="s">
        <v>26</v>
      </c>
      <c r="E1275" s="8" t="s">
        <v>6556</v>
      </c>
      <c r="F1275" s="8">
        <v>5.078923573E9</v>
      </c>
      <c r="G1275" s="8" t="s">
        <v>31</v>
      </c>
      <c r="H1275" s="8" t="s">
        <v>56</v>
      </c>
      <c r="I1275" s="8" t="s">
        <v>399</v>
      </c>
      <c r="J1275" s="8" t="s">
        <v>4868</v>
      </c>
      <c r="K1275" s="10" t="s">
        <v>6557</v>
      </c>
      <c r="L1275" s="8" t="s">
        <v>58</v>
      </c>
      <c r="M1275" s="8" t="s">
        <v>35</v>
      </c>
      <c r="N1275" s="11">
        <v>44995.0</v>
      </c>
      <c r="O1275" s="11">
        <v>45117.0</v>
      </c>
      <c r="P1275" s="11">
        <v>45159.0</v>
      </c>
      <c r="Q1275" s="11"/>
      <c r="R1275" s="11"/>
      <c r="S1275" s="12"/>
      <c r="T1275" s="8"/>
      <c r="U1275" s="8" t="s">
        <v>339</v>
      </c>
      <c r="V1275" s="13" t="s">
        <v>56</v>
      </c>
      <c r="W1275" s="13" t="s">
        <v>6558</v>
      </c>
      <c r="X1275" s="12"/>
      <c r="Y1275" s="14"/>
      <c r="Z1275" s="14"/>
    </row>
    <row r="1276">
      <c r="A1276" s="8" t="s">
        <v>6559</v>
      </c>
      <c r="B1276" s="8" t="s">
        <v>6560</v>
      </c>
      <c r="C1276" s="8" t="s">
        <v>25</v>
      </c>
      <c r="D1276" s="8" t="s">
        <v>26</v>
      </c>
      <c r="E1276" s="8" t="s">
        <v>6561</v>
      </c>
      <c r="F1276" s="8">
        <v>5.43970019E9</v>
      </c>
      <c r="G1276" s="8" t="s">
        <v>31</v>
      </c>
      <c r="H1276" s="8" t="s">
        <v>102</v>
      </c>
      <c r="I1276" s="8" t="s">
        <v>399</v>
      </c>
      <c r="J1276" s="8" t="s">
        <v>4868</v>
      </c>
      <c r="K1276" s="10" t="s">
        <v>4869</v>
      </c>
      <c r="L1276" s="8" t="s">
        <v>58</v>
      </c>
      <c r="M1276" s="8" t="s">
        <v>35</v>
      </c>
      <c r="N1276" s="11">
        <v>44995.0</v>
      </c>
      <c r="O1276" s="11">
        <v>45159.0</v>
      </c>
      <c r="P1276" s="11">
        <v>45201.0</v>
      </c>
      <c r="Q1276" s="11">
        <v>45159.0</v>
      </c>
      <c r="R1276" s="11">
        <v>45201.0</v>
      </c>
      <c r="S1276" s="12"/>
      <c r="T1276" s="8"/>
      <c r="U1276" s="8" t="s">
        <v>4870</v>
      </c>
      <c r="V1276" s="13" t="s">
        <v>102</v>
      </c>
      <c r="W1276" s="13" t="s">
        <v>6562</v>
      </c>
      <c r="X1276" s="12"/>
      <c r="Y1276" s="14"/>
      <c r="Z1276" s="14"/>
    </row>
    <row r="1277">
      <c r="A1277" s="8" t="s">
        <v>6563</v>
      </c>
      <c r="B1277" s="8" t="s">
        <v>6564</v>
      </c>
      <c r="C1277" s="8" t="s">
        <v>64</v>
      </c>
      <c r="D1277" s="8" t="s">
        <v>26</v>
      </c>
      <c r="E1277" s="8" t="s">
        <v>6565</v>
      </c>
      <c r="F1277" s="8">
        <v>1.148031701E9</v>
      </c>
      <c r="G1277" s="8" t="s">
        <v>284</v>
      </c>
      <c r="H1277" s="8" t="s">
        <v>673</v>
      </c>
      <c r="I1277" s="8" t="s">
        <v>31</v>
      </c>
      <c r="J1277" s="8" t="s">
        <v>542</v>
      </c>
      <c r="K1277" s="10" t="s">
        <v>2360</v>
      </c>
      <c r="L1277" s="8" t="s">
        <v>58</v>
      </c>
      <c r="M1277" s="8" t="s">
        <v>35</v>
      </c>
      <c r="N1277" s="11">
        <v>44996.0</v>
      </c>
      <c r="O1277" s="11">
        <v>45187.0</v>
      </c>
      <c r="P1277" s="11">
        <v>45229.0</v>
      </c>
      <c r="Q1277" s="11">
        <v>45188.0</v>
      </c>
      <c r="R1277" s="11">
        <v>45229.0</v>
      </c>
      <c r="S1277" s="12"/>
      <c r="T1277" s="8"/>
      <c r="U1277" s="8" t="s">
        <v>59</v>
      </c>
      <c r="V1277" s="13" t="s">
        <v>674</v>
      </c>
      <c r="W1277" s="13" t="s">
        <v>6566</v>
      </c>
      <c r="X1277" s="12"/>
      <c r="Y1277" s="14"/>
      <c r="Z1277" s="14"/>
    </row>
    <row r="1278">
      <c r="A1278" s="8" t="s">
        <v>6567</v>
      </c>
      <c r="B1278" s="8" t="s">
        <v>6568</v>
      </c>
      <c r="C1278" s="8" t="s">
        <v>708</v>
      </c>
      <c r="D1278" s="8" t="s">
        <v>26</v>
      </c>
      <c r="E1278" s="8" t="s">
        <v>6569</v>
      </c>
      <c r="F1278" s="8">
        <v>8.1381268385E10</v>
      </c>
      <c r="G1278" s="8" t="s">
        <v>4181</v>
      </c>
      <c r="H1278" s="8" t="s">
        <v>6570</v>
      </c>
      <c r="I1278" s="8" t="s">
        <v>31</v>
      </c>
      <c r="J1278" s="8" t="s">
        <v>111</v>
      </c>
      <c r="K1278" s="10" t="s">
        <v>910</v>
      </c>
      <c r="L1278" s="8" t="s">
        <v>47</v>
      </c>
      <c r="M1278" s="8" t="s">
        <v>70</v>
      </c>
      <c r="N1278" s="11">
        <v>44996.0</v>
      </c>
      <c r="O1278" s="11">
        <v>45082.0</v>
      </c>
      <c r="P1278" s="11">
        <v>45448.0</v>
      </c>
      <c r="Q1278" s="11">
        <v>45096.0</v>
      </c>
      <c r="R1278" s="11">
        <v>45462.0</v>
      </c>
      <c r="S1278" s="12"/>
      <c r="T1278" s="8"/>
      <c r="U1278" s="8" t="s">
        <v>246</v>
      </c>
      <c r="V1278" s="13" t="s">
        <v>6571</v>
      </c>
      <c r="W1278" s="13" t="s">
        <v>6572</v>
      </c>
      <c r="X1278" s="12"/>
      <c r="Y1278" s="14"/>
      <c r="Z1278" s="14"/>
    </row>
    <row r="1279">
      <c r="A1279" s="8" t="s">
        <v>6573</v>
      </c>
      <c r="B1279" s="8" t="s">
        <v>6574</v>
      </c>
      <c r="C1279" s="8" t="s">
        <v>64</v>
      </c>
      <c r="D1279" s="8" t="s">
        <v>26</v>
      </c>
      <c r="E1279" s="8" t="s">
        <v>6575</v>
      </c>
      <c r="F1279" s="8">
        <v>1.221314025E9</v>
      </c>
      <c r="G1279" s="8" t="s">
        <v>284</v>
      </c>
      <c r="H1279" s="8" t="s">
        <v>673</v>
      </c>
      <c r="I1279" s="8" t="s">
        <v>31</v>
      </c>
      <c r="J1279" s="8" t="s">
        <v>32</v>
      </c>
      <c r="K1279" s="10" t="s">
        <v>1095</v>
      </c>
      <c r="L1279" s="8" t="s">
        <v>58</v>
      </c>
      <c r="M1279" s="8" t="s">
        <v>35</v>
      </c>
      <c r="N1279" s="11">
        <v>44996.0</v>
      </c>
      <c r="O1279" s="11">
        <v>45256.0</v>
      </c>
      <c r="P1279" s="11">
        <v>45298.0</v>
      </c>
      <c r="Q1279" s="11">
        <v>45258.0</v>
      </c>
      <c r="R1279" s="11">
        <v>45300.0</v>
      </c>
      <c r="S1279" s="12"/>
      <c r="T1279" s="8"/>
      <c r="U1279" s="8" t="s">
        <v>59</v>
      </c>
      <c r="V1279" s="13" t="s">
        <v>674</v>
      </c>
      <c r="W1279" s="13" t="s">
        <v>6576</v>
      </c>
      <c r="X1279" s="12"/>
      <c r="Y1279" s="14"/>
      <c r="Z1279" s="14"/>
    </row>
    <row r="1280">
      <c r="A1280" s="8" t="s">
        <v>6577</v>
      </c>
      <c r="B1280" s="8" t="s">
        <v>6578</v>
      </c>
      <c r="C1280" s="8" t="s">
        <v>25</v>
      </c>
      <c r="D1280" s="8" t="s">
        <v>26</v>
      </c>
      <c r="E1280" s="8" t="s">
        <v>6579</v>
      </c>
      <c r="F1280" s="8">
        <v>5.077217835E9</v>
      </c>
      <c r="G1280" s="8" t="s">
        <v>31</v>
      </c>
      <c r="H1280" s="8" t="s">
        <v>32</v>
      </c>
      <c r="I1280" s="8" t="s">
        <v>127</v>
      </c>
      <c r="J1280" s="8" t="s">
        <v>128</v>
      </c>
      <c r="K1280" s="10" t="s">
        <v>6580</v>
      </c>
      <c r="L1280" s="8" t="s">
        <v>58</v>
      </c>
      <c r="M1280" s="8" t="s">
        <v>35</v>
      </c>
      <c r="N1280" s="11">
        <v>44996.0</v>
      </c>
      <c r="O1280" s="11">
        <v>45096.0</v>
      </c>
      <c r="P1280" s="11">
        <v>45138.0</v>
      </c>
      <c r="Q1280" s="11">
        <v>45096.0</v>
      </c>
      <c r="R1280" s="11">
        <v>45138.0</v>
      </c>
      <c r="S1280" s="12"/>
      <c r="T1280" s="8"/>
      <c r="U1280" s="8" t="s">
        <v>371</v>
      </c>
      <c r="V1280" s="13" t="s">
        <v>2491</v>
      </c>
      <c r="W1280" s="13" t="s">
        <v>6581</v>
      </c>
      <c r="X1280" s="12"/>
      <c r="Y1280" s="14"/>
      <c r="Z1280" s="14"/>
    </row>
    <row r="1281">
      <c r="A1281" s="8" t="s">
        <v>6582</v>
      </c>
      <c r="B1281" s="8" t="s">
        <v>6583</v>
      </c>
      <c r="C1281" s="8" t="s">
        <v>179</v>
      </c>
      <c r="D1281" s="8" t="s">
        <v>26</v>
      </c>
      <c r="E1281" s="8" t="s">
        <v>6584</v>
      </c>
      <c r="F1281" s="8">
        <v>5.061155409E9</v>
      </c>
      <c r="G1281" s="8" t="s">
        <v>31</v>
      </c>
      <c r="H1281" s="8" t="s">
        <v>102</v>
      </c>
      <c r="I1281" s="8" t="s">
        <v>399</v>
      </c>
      <c r="J1281" s="8" t="s">
        <v>415</v>
      </c>
      <c r="K1281" s="10" t="s">
        <v>1199</v>
      </c>
      <c r="L1281" s="8" t="s">
        <v>58</v>
      </c>
      <c r="M1281" s="8" t="s">
        <v>35</v>
      </c>
      <c r="N1281" s="11">
        <v>44996.0</v>
      </c>
      <c r="O1281" s="11">
        <v>45152.0</v>
      </c>
      <c r="P1281" s="11">
        <v>45194.0</v>
      </c>
      <c r="Q1281" s="11"/>
      <c r="R1281" s="11"/>
      <c r="S1281" s="12"/>
      <c r="T1281" s="8"/>
      <c r="U1281" s="8" t="s">
        <v>1038</v>
      </c>
      <c r="V1281" s="13" t="s">
        <v>102</v>
      </c>
      <c r="W1281" s="13" t="s">
        <v>6585</v>
      </c>
      <c r="X1281" s="12"/>
      <c r="Y1281" s="14"/>
      <c r="Z1281" s="14"/>
    </row>
    <row r="1282">
      <c r="A1282" s="8" t="s">
        <v>6586</v>
      </c>
      <c r="B1282" s="8" t="s">
        <v>6587</v>
      </c>
      <c r="C1282" s="8" t="s">
        <v>64</v>
      </c>
      <c r="D1282" s="8" t="s">
        <v>26</v>
      </c>
      <c r="E1282" s="8" t="s">
        <v>6588</v>
      </c>
      <c r="F1282" s="8">
        <v>1.017454929E9</v>
      </c>
      <c r="G1282" s="8" t="s">
        <v>284</v>
      </c>
      <c r="H1282" s="8" t="s">
        <v>673</v>
      </c>
      <c r="I1282" s="8" t="s">
        <v>31</v>
      </c>
      <c r="J1282" s="8" t="s">
        <v>1119</v>
      </c>
      <c r="K1282" s="10" t="s">
        <v>6015</v>
      </c>
      <c r="L1282" s="8" t="s">
        <v>58</v>
      </c>
      <c r="M1282" s="8" t="s">
        <v>35</v>
      </c>
      <c r="N1282" s="11">
        <v>44996.0</v>
      </c>
      <c r="O1282" s="11">
        <v>45128.0</v>
      </c>
      <c r="P1282" s="11">
        <v>45170.0</v>
      </c>
      <c r="Q1282" s="11">
        <v>45132.0</v>
      </c>
      <c r="R1282" s="11">
        <v>45174.0</v>
      </c>
      <c r="S1282" s="12"/>
      <c r="T1282" s="8"/>
      <c r="U1282" s="8" t="s">
        <v>59</v>
      </c>
      <c r="V1282" s="13" t="s">
        <v>674</v>
      </c>
      <c r="W1282" s="13" t="s">
        <v>6589</v>
      </c>
      <c r="X1282" s="12"/>
      <c r="Y1282" s="14"/>
      <c r="Z1282" s="14"/>
    </row>
    <row r="1283">
      <c r="A1283" s="8" t="s">
        <v>6590</v>
      </c>
      <c r="B1283" s="8" t="s">
        <v>6591</v>
      </c>
      <c r="C1283" s="8" t="s">
        <v>64</v>
      </c>
      <c r="D1283" s="8" t="s">
        <v>26</v>
      </c>
      <c r="E1283" s="8" t="s">
        <v>6592</v>
      </c>
      <c r="F1283" s="8">
        <v>5.319415098E9</v>
      </c>
      <c r="G1283" s="8" t="s">
        <v>31</v>
      </c>
      <c r="H1283" s="8" t="s">
        <v>32</v>
      </c>
      <c r="I1283" s="8" t="s">
        <v>399</v>
      </c>
      <c r="J1283" s="8" t="s">
        <v>3797</v>
      </c>
      <c r="K1283" s="10" t="s">
        <v>6593</v>
      </c>
      <c r="L1283" s="8" t="s">
        <v>58</v>
      </c>
      <c r="M1283" s="8" t="s">
        <v>35</v>
      </c>
      <c r="N1283" s="11">
        <v>44997.0</v>
      </c>
      <c r="O1283" s="11">
        <v>45019.0</v>
      </c>
      <c r="P1283" s="11">
        <v>45061.0</v>
      </c>
      <c r="Q1283" s="11">
        <v>45017.0</v>
      </c>
      <c r="R1283" s="11">
        <v>45061.0</v>
      </c>
      <c r="S1283" s="12"/>
      <c r="T1283" s="8"/>
      <c r="U1283" s="8" t="s">
        <v>153</v>
      </c>
      <c r="V1283" s="13" t="s">
        <v>537</v>
      </c>
      <c r="W1283" s="13" t="s">
        <v>6594</v>
      </c>
      <c r="X1283" s="12"/>
      <c r="Y1283" s="14"/>
      <c r="Z1283" s="14"/>
    </row>
    <row r="1284">
      <c r="A1284" s="8" t="s">
        <v>6595</v>
      </c>
      <c r="B1284" s="8" t="s">
        <v>6596</v>
      </c>
      <c r="C1284" s="8" t="s">
        <v>179</v>
      </c>
      <c r="D1284" s="8" t="s">
        <v>26</v>
      </c>
      <c r="E1284" s="8" t="s">
        <v>6597</v>
      </c>
      <c r="F1284" s="8">
        <v>5.437793624E9</v>
      </c>
      <c r="G1284" s="8" t="s">
        <v>31</v>
      </c>
      <c r="H1284" s="8" t="s">
        <v>77</v>
      </c>
      <c r="I1284" s="8" t="s">
        <v>284</v>
      </c>
      <c r="J1284" s="8" t="s">
        <v>3586</v>
      </c>
      <c r="K1284" s="10" t="s">
        <v>6598</v>
      </c>
      <c r="L1284" s="8" t="s">
        <v>34</v>
      </c>
      <c r="M1284" s="8" t="s">
        <v>48</v>
      </c>
      <c r="N1284" s="11">
        <v>44997.0</v>
      </c>
      <c r="O1284" s="11">
        <v>45108.0</v>
      </c>
      <c r="P1284" s="11">
        <v>45289.0</v>
      </c>
      <c r="Q1284" s="11"/>
      <c r="R1284" s="11"/>
      <c r="S1284" s="12"/>
      <c r="T1284" s="8" t="s">
        <v>205</v>
      </c>
      <c r="U1284" s="8" t="s">
        <v>6599</v>
      </c>
      <c r="V1284" s="13" t="s">
        <v>77</v>
      </c>
      <c r="W1284" s="13" t="s">
        <v>6600</v>
      </c>
      <c r="X1284" s="12"/>
      <c r="Y1284" s="14"/>
      <c r="Z1284" s="14"/>
    </row>
    <row r="1285">
      <c r="A1285" s="8" t="s">
        <v>6601</v>
      </c>
      <c r="B1285" s="8" t="s">
        <v>6602</v>
      </c>
      <c r="C1285" s="8" t="s">
        <v>25</v>
      </c>
      <c r="D1285" s="8" t="s">
        <v>26</v>
      </c>
      <c r="E1285" s="8" t="s">
        <v>6603</v>
      </c>
      <c r="F1285" s="8"/>
      <c r="G1285" s="8" t="s">
        <v>31</v>
      </c>
      <c r="H1285" s="8" t="s">
        <v>32</v>
      </c>
      <c r="I1285" s="8" t="s">
        <v>54</v>
      </c>
      <c r="J1285" s="8" t="s">
        <v>430</v>
      </c>
      <c r="K1285" s="10" t="s">
        <v>6053</v>
      </c>
      <c r="L1285" s="8" t="s">
        <v>58</v>
      </c>
      <c r="M1285" s="8" t="s">
        <v>35</v>
      </c>
      <c r="N1285" s="11">
        <v>44997.0</v>
      </c>
      <c r="O1285" s="11">
        <v>45120.0</v>
      </c>
      <c r="P1285" s="11">
        <v>45164.0</v>
      </c>
      <c r="Q1285" s="11">
        <v>45120.0</v>
      </c>
      <c r="R1285" s="11">
        <v>45164.0</v>
      </c>
      <c r="S1285" s="12"/>
      <c r="T1285" s="8"/>
      <c r="U1285" s="8" t="s">
        <v>1038</v>
      </c>
      <c r="V1285" s="13" t="s">
        <v>38</v>
      </c>
      <c r="W1285" s="13" t="s">
        <v>6604</v>
      </c>
      <c r="X1285" s="12"/>
      <c r="Y1285" s="14"/>
      <c r="Z1285" s="14"/>
    </row>
    <row r="1286">
      <c r="A1286" s="8" t="s">
        <v>6605</v>
      </c>
      <c r="B1286" s="8" t="s">
        <v>6606</v>
      </c>
      <c r="C1286" s="8" t="s">
        <v>25</v>
      </c>
      <c r="D1286" s="8" t="s">
        <v>26</v>
      </c>
      <c r="E1286" s="8" t="s">
        <v>6607</v>
      </c>
      <c r="F1286" s="8"/>
      <c r="G1286" s="8" t="s">
        <v>1620</v>
      </c>
      <c r="H1286" s="8" t="s">
        <v>5244</v>
      </c>
      <c r="I1286" s="8" t="s">
        <v>31</v>
      </c>
      <c r="J1286" s="8" t="s">
        <v>438</v>
      </c>
      <c r="K1286" s="10" t="s">
        <v>6001</v>
      </c>
      <c r="L1286" s="8" t="s">
        <v>58</v>
      </c>
      <c r="M1286" s="8" t="s">
        <v>35</v>
      </c>
      <c r="N1286" s="11">
        <v>44997.0</v>
      </c>
      <c r="O1286" s="11">
        <v>45117.0</v>
      </c>
      <c r="P1286" s="11">
        <v>45159.0</v>
      </c>
      <c r="Q1286" s="11">
        <v>45118.0</v>
      </c>
      <c r="R1286" s="11">
        <v>45159.0</v>
      </c>
      <c r="S1286" s="12"/>
      <c r="T1286" s="8"/>
      <c r="U1286" s="8" t="s">
        <v>59</v>
      </c>
      <c r="V1286" s="13" t="s">
        <v>38</v>
      </c>
      <c r="W1286" s="13" t="s">
        <v>6608</v>
      </c>
      <c r="X1286" s="12"/>
      <c r="Y1286" s="14"/>
      <c r="Z1286" s="14"/>
    </row>
    <row r="1287">
      <c r="A1287" s="8" t="s">
        <v>6609</v>
      </c>
      <c r="B1287" s="8" t="s">
        <v>6610</v>
      </c>
      <c r="C1287" s="8" t="s">
        <v>179</v>
      </c>
      <c r="D1287" s="8" t="s">
        <v>26</v>
      </c>
      <c r="E1287" s="8" t="s">
        <v>6611</v>
      </c>
      <c r="F1287" s="8">
        <v>7.62862387E8</v>
      </c>
      <c r="G1287" s="8" t="s">
        <v>127</v>
      </c>
      <c r="H1287" s="8" t="s">
        <v>128</v>
      </c>
      <c r="I1287" s="8" t="s">
        <v>31</v>
      </c>
      <c r="J1287" s="8" t="s">
        <v>136</v>
      </c>
      <c r="K1287" s="10" t="s">
        <v>137</v>
      </c>
      <c r="L1287" s="8" t="s">
        <v>58</v>
      </c>
      <c r="M1287" s="8" t="s">
        <v>35</v>
      </c>
      <c r="N1287" s="11">
        <v>44997.0</v>
      </c>
      <c r="O1287" s="11">
        <v>45124.0</v>
      </c>
      <c r="P1287" s="11">
        <v>45166.0</v>
      </c>
      <c r="Q1287" s="11"/>
      <c r="R1287" s="11"/>
      <c r="S1287" s="12"/>
      <c r="T1287" s="8"/>
      <c r="U1287" s="8" t="s">
        <v>88</v>
      </c>
      <c r="V1287" s="13" t="s">
        <v>1473</v>
      </c>
      <c r="W1287" s="13" t="s">
        <v>6612</v>
      </c>
      <c r="X1287" s="12"/>
      <c r="Y1287" s="14"/>
      <c r="Z1287" s="14"/>
    </row>
    <row r="1288">
      <c r="A1288" s="8" t="s">
        <v>6613</v>
      </c>
      <c r="B1288" s="8" t="s">
        <v>6614</v>
      </c>
      <c r="C1288" s="8" t="s">
        <v>179</v>
      </c>
      <c r="D1288" s="8" t="s">
        <v>26</v>
      </c>
      <c r="E1288" s="8" t="s">
        <v>6615</v>
      </c>
      <c r="F1288" s="8">
        <v>5.446180736E9</v>
      </c>
      <c r="G1288" s="8" t="s">
        <v>31</v>
      </c>
      <c r="H1288" s="8" t="s">
        <v>86</v>
      </c>
      <c r="I1288" s="8" t="s">
        <v>44</v>
      </c>
      <c r="J1288" s="8" t="s">
        <v>4170</v>
      </c>
      <c r="K1288" s="10" t="s">
        <v>6616</v>
      </c>
      <c r="L1288" s="8" t="s">
        <v>34</v>
      </c>
      <c r="M1288" s="8" t="s">
        <v>35</v>
      </c>
      <c r="N1288" s="11">
        <v>44997.0</v>
      </c>
      <c r="O1288" s="11">
        <v>45110.0</v>
      </c>
      <c r="P1288" s="11">
        <v>45165.0</v>
      </c>
      <c r="Q1288" s="11"/>
      <c r="R1288" s="11"/>
      <c r="S1288" s="12"/>
      <c r="T1288" s="8" t="s">
        <v>1187</v>
      </c>
      <c r="U1288" s="8" t="s">
        <v>6617</v>
      </c>
      <c r="V1288" s="13" t="s">
        <v>175</v>
      </c>
      <c r="W1288" s="13" t="s">
        <v>6618</v>
      </c>
      <c r="X1288" s="12"/>
      <c r="Y1288" s="14"/>
      <c r="Z1288" s="14"/>
    </row>
    <row r="1289">
      <c r="A1289" s="8" t="s">
        <v>6619</v>
      </c>
      <c r="B1289" s="8" t="s">
        <v>6620</v>
      </c>
      <c r="C1289" s="8" t="s">
        <v>25</v>
      </c>
      <c r="D1289" s="8" t="s">
        <v>26</v>
      </c>
      <c r="E1289" s="8" t="s">
        <v>6621</v>
      </c>
      <c r="F1289" s="8">
        <v>9.4266399E7</v>
      </c>
      <c r="G1289" s="8" t="s">
        <v>54</v>
      </c>
      <c r="H1289" s="8" t="s">
        <v>135</v>
      </c>
      <c r="I1289" s="8" t="s">
        <v>31</v>
      </c>
      <c r="J1289" s="8" t="s">
        <v>1119</v>
      </c>
      <c r="K1289" s="10" t="s">
        <v>6015</v>
      </c>
      <c r="L1289" s="8" t="s">
        <v>58</v>
      </c>
      <c r="M1289" s="8" t="s">
        <v>35</v>
      </c>
      <c r="N1289" s="11">
        <v>44998.0</v>
      </c>
      <c r="O1289" s="11">
        <v>45087.0</v>
      </c>
      <c r="P1289" s="11">
        <v>45129.0</v>
      </c>
      <c r="Q1289" s="11">
        <v>45089.0</v>
      </c>
      <c r="R1289" s="11">
        <v>45129.0</v>
      </c>
      <c r="S1289" s="12"/>
      <c r="T1289" s="8"/>
      <c r="U1289" s="8" t="s">
        <v>59</v>
      </c>
      <c r="V1289" s="13" t="s">
        <v>138</v>
      </c>
      <c r="W1289" s="13" t="s">
        <v>6622</v>
      </c>
      <c r="X1289" s="12"/>
      <c r="Y1289" s="14"/>
      <c r="Z1289" s="14"/>
    </row>
    <row r="1290">
      <c r="A1290" s="8" t="s">
        <v>6623</v>
      </c>
      <c r="B1290" s="8" t="s">
        <v>6624</v>
      </c>
      <c r="C1290" s="8" t="s">
        <v>25</v>
      </c>
      <c r="D1290" s="8" t="s">
        <v>26</v>
      </c>
      <c r="E1290" s="8" t="s">
        <v>6625</v>
      </c>
      <c r="F1290" s="8">
        <v>9.3119059E7</v>
      </c>
      <c r="G1290" s="8" t="s">
        <v>54</v>
      </c>
      <c r="H1290" s="8" t="s">
        <v>135</v>
      </c>
      <c r="I1290" s="8" t="s">
        <v>31</v>
      </c>
      <c r="J1290" s="8" t="s">
        <v>77</v>
      </c>
      <c r="K1290" s="10" t="s">
        <v>5635</v>
      </c>
      <c r="L1290" s="8" t="s">
        <v>58</v>
      </c>
      <c r="M1290" s="8" t="s">
        <v>35</v>
      </c>
      <c r="N1290" s="11">
        <v>44998.0</v>
      </c>
      <c r="O1290" s="11">
        <v>45152.0</v>
      </c>
      <c r="P1290" s="11">
        <v>45194.0</v>
      </c>
      <c r="Q1290" s="11">
        <v>45152.0</v>
      </c>
      <c r="R1290" s="11">
        <v>45194.0</v>
      </c>
      <c r="S1290" s="12"/>
      <c r="T1290" s="8"/>
      <c r="U1290" s="8" t="s">
        <v>59</v>
      </c>
      <c r="V1290" s="13" t="s">
        <v>138</v>
      </c>
      <c r="W1290" s="13" t="s">
        <v>6626</v>
      </c>
      <c r="X1290" s="12"/>
      <c r="Y1290" s="14"/>
      <c r="Z1290" s="14"/>
    </row>
    <row r="1291">
      <c r="A1291" s="8" t="s">
        <v>6627</v>
      </c>
      <c r="B1291" s="8" t="s">
        <v>6628</v>
      </c>
      <c r="C1291" s="8" t="s">
        <v>25</v>
      </c>
      <c r="D1291" s="8" t="s">
        <v>26</v>
      </c>
      <c r="E1291" s="8" t="s">
        <v>6629</v>
      </c>
      <c r="F1291" s="8">
        <v>9.8634518E7</v>
      </c>
      <c r="G1291" s="8" t="s">
        <v>54</v>
      </c>
      <c r="H1291" s="8" t="s">
        <v>135</v>
      </c>
      <c r="I1291" s="8" t="s">
        <v>31</v>
      </c>
      <c r="J1291" s="8" t="s">
        <v>77</v>
      </c>
      <c r="K1291" s="10" t="s">
        <v>152</v>
      </c>
      <c r="L1291" s="8" t="s">
        <v>58</v>
      </c>
      <c r="M1291" s="8" t="s">
        <v>35</v>
      </c>
      <c r="N1291" s="11">
        <v>44998.0</v>
      </c>
      <c r="O1291" s="11">
        <v>45137.0</v>
      </c>
      <c r="P1291" s="11">
        <v>45179.0</v>
      </c>
      <c r="Q1291" s="11">
        <v>45137.0</v>
      </c>
      <c r="R1291" s="11">
        <v>45179.0</v>
      </c>
      <c r="S1291" s="12"/>
      <c r="T1291" s="8"/>
      <c r="U1291" s="8" t="s">
        <v>153</v>
      </c>
      <c r="V1291" s="13" t="s">
        <v>138</v>
      </c>
      <c r="W1291" s="13" t="s">
        <v>6630</v>
      </c>
      <c r="X1291" s="12"/>
      <c r="Y1291" s="14"/>
      <c r="Z1291" s="14"/>
    </row>
    <row r="1292">
      <c r="A1292" s="8" t="s">
        <v>6631</v>
      </c>
      <c r="B1292" s="8" t="s">
        <v>6632</v>
      </c>
      <c r="C1292" s="8" t="s">
        <v>179</v>
      </c>
      <c r="D1292" s="8" t="s">
        <v>26</v>
      </c>
      <c r="E1292" s="8" t="s">
        <v>6633</v>
      </c>
      <c r="F1292" s="8">
        <v>2.856336E7</v>
      </c>
      <c r="G1292" s="8" t="s">
        <v>54</v>
      </c>
      <c r="H1292" s="8" t="s">
        <v>135</v>
      </c>
      <c r="I1292" s="8" t="s">
        <v>31</v>
      </c>
      <c r="J1292" s="8" t="s">
        <v>77</v>
      </c>
      <c r="K1292" s="10" t="s">
        <v>3945</v>
      </c>
      <c r="L1292" s="8" t="s">
        <v>58</v>
      </c>
      <c r="M1292" s="8" t="s">
        <v>35</v>
      </c>
      <c r="N1292" s="11">
        <v>44998.0</v>
      </c>
      <c r="O1292" s="11">
        <v>45166.0</v>
      </c>
      <c r="P1292" s="11">
        <v>45208.0</v>
      </c>
      <c r="Q1292" s="11"/>
      <c r="R1292" s="11"/>
      <c r="S1292" s="12"/>
      <c r="T1292" s="8"/>
      <c r="U1292" s="8" t="s">
        <v>59</v>
      </c>
      <c r="V1292" s="13" t="s">
        <v>6430</v>
      </c>
      <c r="W1292" s="13" t="s">
        <v>6634</v>
      </c>
      <c r="X1292" s="12"/>
      <c r="Y1292" s="14"/>
      <c r="Z1292" s="14"/>
    </row>
    <row r="1293">
      <c r="A1293" s="8" t="s">
        <v>6635</v>
      </c>
      <c r="B1293" s="8" t="s">
        <v>6636</v>
      </c>
      <c r="C1293" s="8" t="s">
        <v>25</v>
      </c>
      <c r="D1293" s="8" t="s">
        <v>26</v>
      </c>
      <c r="E1293" s="8" t="s">
        <v>6637</v>
      </c>
      <c r="F1293" s="8"/>
      <c r="G1293" s="8" t="s">
        <v>54</v>
      </c>
      <c r="H1293" s="8" t="s">
        <v>135</v>
      </c>
      <c r="I1293" s="8" t="s">
        <v>31</v>
      </c>
      <c r="J1293" s="8" t="s">
        <v>438</v>
      </c>
      <c r="K1293" s="10" t="s">
        <v>6001</v>
      </c>
      <c r="L1293" s="8" t="s">
        <v>58</v>
      </c>
      <c r="M1293" s="8" t="s">
        <v>35</v>
      </c>
      <c r="N1293" s="11">
        <v>44998.0</v>
      </c>
      <c r="O1293" s="11">
        <v>45117.0</v>
      </c>
      <c r="P1293" s="11">
        <v>45159.0</v>
      </c>
      <c r="Q1293" s="11">
        <v>45118.0</v>
      </c>
      <c r="R1293" s="11">
        <v>45159.0</v>
      </c>
      <c r="S1293" s="12"/>
      <c r="T1293" s="8"/>
      <c r="U1293" s="8" t="s">
        <v>59</v>
      </c>
      <c r="V1293" s="13" t="s">
        <v>38</v>
      </c>
      <c r="W1293" s="13" t="s">
        <v>6638</v>
      </c>
      <c r="X1293" s="12"/>
      <c r="Y1293" s="14"/>
      <c r="Z1293" s="14"/>
    </row>
    <row r="1294">
      <c r="A1294" s="8" t="s">
        <v>6639</v>
      </c>
      <c r="B1294" s="8" t="s">
        <v>6640</v>
      </c>
      <c r="C1294" s="8" t="s">
        <v>708</v>
      </c>
      <c r="D1294" s="8" t="s">
        <v>26</v>
      </c>
      <c r="E1294" s="8" t="s">
        <v>6641</v>
      </c>
      <c r="F1294" s="8">
        <v>8.777291387E9</v>
      </c>
      <c r="G1294" s="8" t="s">
        <v>44</v>
      </c>
      <c r="H1294" s="8" t="s">
        <v>6642</v>
      </c>
      <c r="I1294" s="8" t="s">
        <v>31</v>
      </c>
      <c r="J1294" s="8" t="s">
        <v>77</v>
      </c>
      <c r="K1294" s="10" t="s">
        <v>6643</v>
      </c>
      <c r="L1294" s="8" t="s">
        <v>34</v>
      </c>
      <c r="M1294" s="8" t="s">
        <v>70</v>
      </c>
      <c r="N1294" s="11">
        <v>44998.0</v>
      </c>
      <c r="O1294" s="11">
        <v>45012.0</v>
      </c>
      <c r="P1294" s="11">
        <v>45366.0</v>
      </c>
      <c r="Q1294" s="11">
        <v>45005.0</v>
      </c>
      <c r="R1294" s="11">
        <v>45366.0</v>
      </c>
      <c r="S1294" s="12"/>
      <c r="T1294" s="8" t="s">
        <v>1187</v>
      </c>
      <c r="U1294" s="8" t="s">
        <v>6644</v>
      </c>
      <c r="V1294" s="13" t="s">
        <v>6645</v>
      </c>
      <c r="W1294" s="13" t="s">
        <v>6646</v>
      </c>
      <c r="X1294" s="12"/>
      <c r="Y1294" s="14"/>
      <c r="Z1294" s="14"/>
    </row>
    <row r="1295">
      <c r="A1295" s="8" t="s">
        <v>6647</v>
      </c>
      <c r="B1295" s="8" t="s">
        <v>6648</v>
      </c>
      <c r="C1295" s="8" t="s">
        <v>25</v>
      </c>
      <c r="D1295" s="8" t="s">
        <v>26</v>
      </c>
      <c r="E1295" s="8" t="s">
        <v>6649</v>
      </c>
      <c r="F1295" s="8"/>
      <c r="G1295" s="8" t="s">
        <v>54</v>
      </c>
      <c r="H1295" s="8" t="s">
        <v>369</v>
      </c>
      <c r="I1295" s="8" t="s">
        <v>31</v>
      </c>
      <c r="J1295" s="8" t="s">
        <v>77</v>
      </c>
      <c r="K1295" s="10" t="s">
        <v>152</v>
      </c>
      <c r="L1295" s="8" t="s">
        <v>58</v>
      </c>
      <c r="M1295" s="8" t="s">
        <v>35</v>
      </c>
      <c r="N1295" s="11">
        <v>44998.0</v>
      </c>
      <c r="O1295" s="11">
        <v>45137.0</v>
      </c>
      <c r="P1295" s="11">
        <v>45179.0</v>
      </c>
      <c r="Q1295" s="11">
        <v>45137.0</v>
      </c>
      <c r="R1295" s="11">
        <v>45179.0</v>
      </c>
      <c r="S1295" s="12"/>
      <c r="T1295" s="8"/>
      <c r="U1295" s="8" t="s">
        <v>153</v>
      </c>
      <c r="V1295" s="13" t="s">
        <v>38</v>
      </c>
      <c r="W1295" s="13" t="s">
        <v>6650</v>
      </c>
      <c r="X1295" s="12"/>
      <c r="Y1295" s="14"/>
      <c r="Z1295" s="14"/>
    </row>
    <row r="1296">
      <c r="A1296" s="8" t="s">
        <v>6651</v>
      </c>
      <c r="B1296" s="8" t="s">
        <v>6652</v>
      </c>
      <c r="C1296" s="8" t="s">
        <v>179</v>
      </c>
      <c r="D1296" s="8" t="s">
        <v>26</v>
      </c>
      <c r="E1296" s="8" t="s">
        <v>6653</v>
      </c>
      <c r="F1296" s="8">
        <v>5.317836428E9</v>
      </c>
      <c r="G1296" s="8" t="s">
        <v>31</v>
      </c>
      <c r="H1296" s="8" t="s">
        <v>256</v>
      </c>
      <c r="I1296" s="8" t="s">
        <v>44</v>
      </c>
      <c r="J1296" s="8" t="s">
        <v>1993</v>
      </c>
      <c r="K1296" s="10" t="s">
        <v>6654</v>
      </c>
      <c r="L1296" s="8" t="s">
        <v>58</v>
      </c>
      <c r="M1296" s="8" t="s">
        <v>35</v>
      </c>
      <c r="N1296" s="11">
        <v>44998.0</v>
      </c>
      <c r="O1296" s="11">
        <v>45154.0</v>
      </c>
      <c r="P1296" s="11">
        <v>45196.0</v>
      </c>
      <c r="Q1296" s="11"/>
      <c r="R1296" s="11"/>
      <c r="S1296" s="12"/>
      <c r="T1296" s="8"/>
      <c r="U1296" s="8" t="s">
        <v>632</v>
      </c>
      <c r="V1296" s="13" t="s">
        <v>256</v>
      </c>
      <c r="W1296" s="13" t="s">
        <v>6655</v>
      </c>
      <c r="X1296" s="12"/>
      <c r="Y1296" s="14"/>
      <c r="Z1296" s="14"/>
    </row>
    <row r="1297">
      <c r="A1297" s="8" t="s">
        <v>6656</v>
      </c>
      <c r="B1297" s="8" t="s">
        <v>6657</v>
      </c>
      <c r="C1297" s="8" t="s">
        <v>179</v>
      </c>
      <c r="D1297" s="8" t="s">
        <v>26</v>
      </c>
      <c r="E1297" s="8" t="s">
        <v>6658</v>
      </c>
      <c r="F1297" s="8">
        <v>7.759922619E9</v>
      </c>
      <c r="G1297" s="8" t="s">
        <v>496</v>
      </c>
      <c r="H1297" s="8" t="s">
        <v>497</v>
      </c>
      <c r="I1297" s="8" t="s">
        <v>31</v>
      </c>
      <c r="J1297" s="8" t="s">
        <v>102</v>
      </c>
      <c r="K1297" s="10" t="s">
        <v>6221</v>
      </c>
      <c r="L1297" s="8" t="s">
        <v>58</v>
      </c>
      <c r="M1297" s="8" t="s">
        <v>35</v>
      </c>
      <c r="N1297" s="11">
        <v>44998.0</v>
      </c>
      <c r="O1297" s="11">
        <v>45159.0</v>
      </c>
      <c r="P1297" s="11">
        <v>45201.0</v>
      </c>
      <c r="Q1297" s="11"/>
      <c r="R1297" s="11"/>
      <c r="S1297" s="12"/>
      <c r="T1297" s="8"/>
      <c r="U1297" s="8" t="s">
        <v>59</v>
      </c>
      <c r="V1297" s="13" t="s">
        <v>500</v>
      </c>
      <c r="W1297" s="13" t="s">
        <v>6659</v>
      </c>
      <c r="X1297" s="12"/>
      <c r="Y1297" s="14"/>
      <c r="Z1297" s="14"/>
    </row>
    <row r="1298">
      <c r="A1298" s="8" t="s">
        <v>6660</v>
      </c>
      <c r="B1298" s="8" t="s">
        <v>6661</v>
      </c>
      <c r="C1298" s="8" t="s">
        <v>25</v>
      </c>
      <c r="D1298" s="8" t="s">
        <v>26</v>
      </c>
      <c r="E1298" s="8" t="s">
        <v>6662</v>
      </c>
      <c r="F1298" s="8">
        <v>2.286765E7</v>
      </c>
      <c r="G1298" s="8" t="s">
        <v>54</v>
      </c>
      <c r="H1298" s="8" t="s">
        <v>135</v>
      </c>
      <c r="I1298" s="8" t="s">
        <v>31</v>
      </c>
      <c r="J1298" s="8" t="s">
        <v>32</v>
      </c>
      <c r="K1298" s="10" t="s">
        <v>1451</v>
      </c>
      <c r="L1298" s="8" t="s">
        <v>58</v>
      </c>
      <c r="M1298" s="8" t="s">
        <v>35</v>
      </c>
      <c r="N1298" s="11">
        <v>44998.0</v>
      </c>
      <c r="O1298" s="11">
        <v>45081.0</v>
      </c>
      <c r="P1298" s="11">
        <v>45123.0</v>
      </c>
      <c r="Q1298" s="11">
        <v>45081.0</v>
      </c>
      <c r="R1298" s="11">
        <v>45123.0</v>
      </c>
      <c r="S1298" s="12"/>
      <c r="T1298" s="8"/>
      <c r="U1298" s="8" t="s">
        <v>59</v>
      </c>
      <c r="V1298" s="13" t="s">
        <v>358</v>
      </c>
      <c r="W1298" s="13" t="s">
        <v>6663</v>
      </c>
      <c r="X1298" s="12"/>
      <c r="Y1298" s="14"/>
      <c r="Z1298" s="14"/>
    </row>
    <row r="1299">
      <c r="A1299" s="8" t="s">
        <v>6664</v>
      </c>
      <c r="B1299" s="8" t="s">
        <v>6665</v>
      </c>
      <c r="C1299" s="8" t="s">
        <v>25</v>
      </c>
      <c r="D1299" s="8" t="s">
        <v>26</v>
      </c>
      <c r="E1299" s="8" t="s">
        <v>6666</v>
      </c>
      <c r="F1299" s="8">
        <v>7.473715471E9</v>
      </c>
      <c r="G1299" s="8" t="s">
        <v>496</v>
      </c>
      <c r="H1299" s="8" t="s">
        <v>497</v>
      </c>
      <c r="I1299" s="8" t="s">
        <v>31</v>
      </c>
      <c r="J1299" s="8" t="s">
        <v>32</v>
      </c>
      <c r="K1299" s="10" t="s">
        <v>1451</v>
      </c>
      <c r="L1299" s="8" t="s">
        <v>58</v>
      </c>
      <c r="M1299" s="8" t="s">
        <v>35</v>
      </c>
      <c r="N1299" s="11">
        <v>44998.0</v>
      </c>
      <c r="O1299" s="11">
        <v>45081.0</v>
      </c>
      <c r="P1299" s="11">
        <v>45123.0</v>
      </c>
      <c r="Q1299" s="11">
        <v>45081.0</v>
      </c>
      <c r="R1299" s="11">
        <v>45123.0</v>
      </c>
      <c r="S1299" s="12"/>
      <c r="T1299" s="8"/>
      <c r="U1299" s="8" t="s">
        <v>59</v>
      </c>
      <c r="V1299" s="13" t="s">
        <v>500</v>
      </c>
      <c r="W1299" s="13" t="s">
        <v>6667</v>
      </c>
      <c r="X1299" s="12"/>
      <c r="Y1299" s="14"/>
      <c r="Z1299" s="14"/>
    </row>
    <row r="1300">
      <c r="A1300" s="8" t="s">
        <v>6668</v>
      </c>
      <c r="B1300" s="8" t="s">
        <v>6669</v>
      </c>
      <c r="C1300" s="8" t="s">
        <v>25</v>
      </c>
      <c r="D1300" s="8" t="s">
        <v>26</v>
      </c>
      <c r="E1300" s="8" t="s">
        <v>6670</v>
      </c>
      <c r="F1300" s="8">
        <v>7.47528537E9</v>
      </c>
      <c r="G1300" s="8" t="s">
        <v>496</v>
      </c>
      <c r="H1300" s="8" t="s">
        <v>497</v>
      </c>
      <c r="I1300" s="8" t="s">
        <v>31</v>
      </c>
      <c r="J1300" s="8" t="s">
        <v>32</v>
      </c>
      <c r="K1300" s="10" t="s">
        <v>1451</v>
      </c>
      <c r="L1300" s="8" t="s">
        <v>58</v>
      </c>
      <c r="M1300" s="8" t="s">
        <v>35</v>
      </c>
      <c r="N1300" s="11">
        <v>44998.0</v>
      </c>
      <c r="O1300" s="11">
        <v>45081.0</v>
      </c>
      <c r="P1300" s="11">
        <v>45123.0</v>
      </c>
      <c r="Q1300" s="11">
        <v>45081.0</v>
      </c>
      <c r="R1300" s="11">
        <v>45123.0</v>
      </c>
      <c r="S1300" s="12"/>
      <c r="T1300" s="8"/>
      <c r="U1300" s="8" t="s">
        <v>59</v>
      </c>
      <c r="V1300" s="13" t="s">
        <v>500</v>
      </c>
      <c r="W1300" s="13" t="s">
        <v>6671</v>
      </c>
      <c r="X1300" s="12"/>
      <c r="Y1300" s="14"/>
      <c r="Z1300" s="14"/>
    </row>
    <row r="1301">
      <c r="A1301" s="8" t="s">
        <v>6672</v>
      </c>
      <c r="B1301" s="8" t="s">
        <v>1292</v>
      </c>
      <c r="C1301" s="8" t="s">
        <v>708</v>
      </c>
      <c r="D1301" s="8" t="s">
        <v>26</v>
      </c>
      <c r="E1301" s="8" t="s">
        <v>6673</v>
      </c>
      <c r="F1301" s="8">
        <v>1.021213334E9</v>
      </c>
      <c r="G1301" s="8" t="s">
        <v>284</v>
      </c>
      <c r="H1301" s="8" t="s">
        <v>793</v>
      </c>
      <c r="I1301" s="8" t="s">
        <v>31</v>
      </c>
      <c r="J1301" s="8" t="s">
        <v>111</v>
      </c>
      <c r="K1301" s="10" t="s">
        <v>910</v>
      </c>
      <c r="L1301" s="8" t="s">
        <v>47</v>
      </c>
      <c r="M1301" s="8" t="s">
        <v>70</v>
      </c>
      <c r="N1301" s="11">
        <v>44998.0</v>
      </c>
      <c r="O1301" s="11">
        <v>45145.0</v>
      </c>
      <c r="P1301" s="11">
        <v>45511.0</v>
      </c>
      <c r="Q1301" s="11">
        <v>45146.0</v>
      </c>
      <c r="R1301" s="11">
        <v>45512.0</v>
      </c>
      <c r="S1301" s="12"/>
      <c r="T1301" s="8"/>
      <c r="U1301" s="8" t="s">
        <v>246</v>
      </c>
      <c r="V1301" s="13" t="s">
        <v>793</v>
      </c>
      <c r="W1301" s="13" t="s">
        <v>6674</v>
      </c>
      <c r="X1301" s="12"/>
      <c r="Y1301" s="14"/>
      <c r="Z1301" s="14"/>
    </row>
    <row r="1302">
      <c r="A1302" s="8" t="s">
        <v>6675</v>
      </c>
      <c r="B1302" s="8" t="s">
        <v>6676</v>
      </c>
      <c r="C1302" s="8" t="s">
        <v>179</v>
      </c>
      <c r="D1302" s="8" t="s">
        <v>26</v>
      </c>
      <c r="E1302" s="8" t="s">
        <v>6677</v>
      </c>
      <c r="F1302" s="8"/>
      <c r="G1302" s="8" t="s">
        <v>315</v>
      </c>
      <c r="H1302" s="8" t="s">
        <v>1557</v>
      </c>
      <c r="I1302" s="8" t="s">
        <v>31</v>
      </c>
      <c r="J1302" s="8" t="s">
        <v>32</v>
      </c>
      <c r="K1302" s="10" t="s">
        <v>1095</v>
      </c>
      <c r="L1302" s="8" t="s">
        <v>58</v>
      </c>
      <c r="M1302" s="8" t="s">
        <v>35</v>
      </c>
      <c r="N1302" s="11">
        <v>44998.0</v>
      </c>
      <c r="O1302" s="11">
        <v>45172.0</v>
      </c>
      <c r="P1302" s="11">
        <v>45214.0</v>
      </c>
      <c r="Q1302" s="11"/>
      <c r="R1302" s="11"/>
      <c r="S1302" s="12"/>
      <c r="T1302" s="8"/>
      <c r="U1302" s="8" t="s">
        <v>59</v>
      </c>
      <c r="V1302" s="13" t="s">
        <v>38</v>
      </c>
      <c r="W1302" s="13" t="s">
        <v>6678</v>
      </c>
      <c r="X1302" s="12"/>
      <c r="Y1302" s="14"/>
      <c r="Z1302" s="14"/>
    </row>
    <row r="1303">
      <c r="A1303" s="8" t="s">
        <v>6679</v>
      </c>
      <c r="B1303" s="8" t="s">
        <v>6680</v>
      </c>
      <c r="C1303" s="8" t="s">
        <v>25</v>
      </c>
      <c r="D1303" s="8" t="s">
        <v>26</v>
      </c>
      <c r="E1303" s="8" t="s">
        <v>6681</v>
      </c>
      <c r="F1303" s="8">
        <v>2.857423E7</v>
      </c>
      <c r="G1303" s="8" t="s">
        <v>54</v>
      </c>
      <c r="H1303" s="8" t="s">
        <v>377</v>
      </c>
      <c r="I1303" s="8" t="s">
        <v>31</v>
      </c>
      <c r="J1303" s="8" t="s">
        <v>77</v>
      </c>
      <c r="K1303" s="10" t="s">
        <v>6682</v>
      </c>
      <c r="L1303" s="8" t="s">
        <v>58</v>
      </c>
      <c r="M1303" s="8" t="s">
        <v>35</v>
      </c>
      <c r="N1303" s="11">
        <v>44999.0</v>
      </c>
      <c r="O1303" s="11">
        <v>45089.0</v>
      </c>
      <c r="P1303" s="11">
        <v>45131.0</v>
      </c>
      <c r="Q1303" s="11">
        <v>45089.0</v>
      </c>
      <c r="R1303" s="11">
        <v>45131.0</v>
      </c>
      <c r="S1303" s="12"/>
      <c r="T1303" s="8"/>
      <c r="U1303" s="8" t="s">
        <v>59</v>
      </c>
      <c r="V1303" s="13" t="s">
        <v>1604</v>
      </c>
      <c r="W1303" s="13" t="s">
        <v>6683</v>
      </c>
      <c r="X1303" s="12"/>
      <c r="Y1303" s="14"/>
      <c r="Z1303" s="14"/>
    </row>
    <row r="1304">
      <c r="A1304" s="8" t="s">
        <v>6684</v>
      </c>
      <c r="B1304" s="8" t="s">
        <v>6685</v>
      </c>
      <c r="C1304" s="8" t="s">
        <v>25</v>
      </c>
      <c r="D1304" s="8" t="s">
        <v>26</v>
      </c>
      <c r="E1304" s="8" t="s">
        <v>6686</v>
      </c>
      <c r="F1304" s="8">
        <v>2.0578666E7</v>
      </c>
      <c r="G1304" s="8" t="s">
        <v>54</v>
      </c>
      <c r="H1304" s="8" t="s">
        <v>135</v>
      </c>
      <c r="I1304" s="8" t="s">
        <v>31</v>
      </c>
      <c r="J1304" s="8" t="s">
        <v>1119</v>
      </c>
      <c r="K1304" s="10" t="s">
        <v>6015</v>
      </c>
      <c r="L1304" s="8" t="s">
        <v>58</v>
      </c>
      <c r="M1304" s="8" t="s">
        <v>35</v>
      </c>
      <c r="N1304" s="11">
        <v>44999.0</v>
      </c>
      <c r="O1304" s="11">
        <v>45128.0</v>
      </c>
      <c r="P1304" s="11">
        <v>45170.0</v>
      </c>
      <c r="Q1304" s="11">
        <v>45126.0</v>
      </c>
      <c r="R1304" s="11">
        <v>45170.0</v>
      </c>
      <c r="S1304" s="12"/>
      <c r="T1304" s="8"/>
      <c r="U1304" s="8" t="s">
        <v>59</v>
      </c>
      <c r="V1304" s="13" t="s">
        <v>849</v>
      </c>
      <c r="W1304" s="13" t="s">
        <v>6687</v>
      </c>
      <c r="X1304" s="12"/>
      <c r="Y1304" s="14"/>
      <c r="Z1304" s="14"/>
    </row>
    <row r="1305">
      <c r="A1305" s="8" t="s">
        <v>6688</v>
      </c>
      <c r="B1305" s="8" t="s">
        <v>6689</v>
      </c>
      <c r="C1305" s="8" t="s">
        <v>25</v>
      </c>
      <c r="D1305" s="8" t="s">
        <v>26</v>
      </c>
      <c r="E1305" s="8" t="s">
        <v>6690</v>
      </c>
      <c r="F1305" s="8">
        <v>5.452457494E9</v>
      </c>
      <c r="G1305" s="8" t="s">
        <v>31</v>
      </c>
      <c r="H1305" s="8" t="s">
        <v>77</v>
      </c>
      <c r="I1305" s="8" t="s">
        <v>127</v>
      </c>
      <c r="J1305" s="8" t="s">
        <v>3006</v>
      </c>
      <c r="K1305" s="10" t="s">
        <v>6691</v>
      </c>
      <c r="L1305" s="8" t="s">
        <v>58</v>
      </c>
      <c r="M1305" s="8" t="s">
        <v>35</v>
      </c>
      <c r="N1305" s="11">
        <v>44999.0</v>
      </c>
      <c r="O1305" s="11">
        <v>45103.0</v>
      </c>
      <c r="P1305" s="11">
        <v>45145.0</v>
      </c>
      <c r="Q1305" s="11">
        <v>45103.0</v>
      </c>
      <c r="R1305" s="11">
        <v>45145.0</v>
      </c>
      <c r="S1305" s="12"/>
      <c r="T1305" s="8"/>
      <c r="U1305" s="8" t="s">
        <v>88</v>
      </c>
      <c r="V1305" s="13" t="s">
        <v>77</v>
      </c>
      <c r="W1305" s="13" t="s">
        <v>6692</v>
      </c>
      <c r="X1305" s="12"/>
      <c r="Y1305" s="14"/>
      <c r="Z1305" s="14"/>
    </row>
    <row r="1306">
      <c r="A1306" s="8" t="s">
        <v>6693</v>
      </c>
      <c r="B1306" s="8" t="s">
        <v>6694</v>
      </c>
      <c r="C1306" s="8" t="s">
        <v>25</v>
      </c>
      <c r="D1306" s="8" t="s">
        <v>26</v>
      </c>
      <c r="E1306" s="8" t="s">
        <v>6695</v>
      </c>
      <c r="F1306" s="8"/>
      <c r="G1306" s="8" t="s">
        <v>54</v>
      </c>
      <c r="H1306" s="8" t="s">
        <v>430</v>
      </c>
      <c r="I1306" s="8" t="s">
        <v>31</v>
      </c>
      <c r="J1306" s="8" t="s">
        <v>32</v>
      </c>
      <c r="K1306" s="10" t="s">
        <v>509</v>
      </c>
      <c r="L1306" s="8" t="s">
        <v>58</v>
      </c>
      <c r="M1306" s="8" t="s">
        <v>35</v>
      </c>
      <c r="N1306" s="11">
        <v>44999.0</v>
      </c>
      <c r="O1306" s="11">
        <v>45096.0</v>
      </c>
      <c r="P1306" s="11">
        <v>45138.0</v>
      </c>
      <c r="Q1306" s="11">
        <v>45097.0</v>
      </c>
      <c r="R1306" s="11">
        <v>45139.0</v>
      </c>
      <c r="S1306" s="12"/>
      <c r="T1306" s="8"/>
      <c r="U1306" s="8" t="s">
        <v>153</v>
      </c>
      <c r="V1306" s="13" t="s">
        <v>38</v>
      </c>
      <c r="W1306" s="13" t="s">
        <v>6696</v>
      </c>
      <c r="X1306" s="12"/>
      <c r="Y1306" s="14"/>
      <c r="Z1306" s="14"/>
    </row>
    <row r="1307">
      <c r="A1307" s="8" t="s">
        <v>6697</v>
      </c>
      <c r="B1307" s="8" t="s">
        <v>6698</v>
      </c>
      <c r="C1307" s="8" t="s">
        <v>708</v>
      </c>
      <c r="D1307" s="8" t="s">
        <v>26</v>
      </c>
      <c r="E1307" s="8" t="s">
        <v>6699</v>
      </c>
      <c r="F1307" s="8">
        <v>5.0463944E7</v>
      </c>
      <c r="G1307" s="8" t="s">
        <v>54</v>
      </c>
      <c r="H1307" s="8" t="s">
        <v>76</v>
      </c>
      <c r="I1307" s="8" t="s">
        <v>31</v>
      </c>
      <c r="J1307" s="8" t="s">
        <v>86</v>
      </c>
      <c r="K1307" s="10" t="s">
        <v>2404</v>
      </c>
      <c r="L1307" s="8" t="s">
        <v>34</v>
      </c>
      <c r="M1307" s="8" t="s">
        <v>70</v>
      </c>
      <c r="N1307" s="11">
        <v>44999.0</v>
      </c>
      <c r="O1307" s="11">
        <v>45005.0</v>
      </c>
      <c r="P1307" s="11">
        <v>45548.0</v>
      </c>
      <c r="Q1307" s="11">
        <v>45075.0</v>
      </c>
      <c r="R1307" s="11">
        <v>45625.0</v>
      </c>
      <c r="S1307" s="12"/>
      <c r="T1307" s="8" t="s">
        <v>36</v>
      </c>
      <c r="U1307" s="8" t="s">
        <v>2405</v>
      </c>
      <c r="V1307" s="13" t="s">
        <v>6700</v>
      </c>
      <c r="W1307" s="13" t="s">
        <v>6701</v>
      </c>
      <c r="X1307" s="12"/>
      <c r="Y1307" s="14"/>
      <c r="Z1307" s="14"/>
    </row>
    <row r="1308">
      <c r="A1308" s="8" t="s">
        <v>6702</v>
      </c>
      <c r="B1308" s="8" t="s">
        <v>6703</v>
      </c>
      <c r="C1308" s="8" t="s">
        <v>25</v>
      </c>
      <c r="D1308" s="8" t="s">
        <v>26</v>
      </c>
      <c r="E1308" s="8" t="s">
        <v>6704</v>
      </c>
      <c r="F1308" s="8"/>
      <c r="G1308" s="8" t="s">
        <v>31</v>
      </c>
      <c r="H1308" s="8" t="s">
        <v>77</v>
      </c>
      <c r="I1308" s="8" t="s">
        <v>127</v>
      </c>
      <c r="J1308" s="8" t="s">
        <v>1628</v>
      </c>
      <c r="K1308" s="10" t="s">
        <v>6705</v>
      </c>
      <c r="L1308" s="8" t="s">
        <v>58</v>
      </c>
      <c r="M1308" s="8" t="s">
        <v>35</v>
      </c>
      <c r="N1308" s="11">
        <v>44999.0</v>
      </c>
      <c r="O1308" s="11">
        <v>45103.0</v>
      </c>
      <c r="P1308" s="11">
        <v>45145.0</v>
      </c>
      <c r="Q1308" s="11">
        <v>45103.0</v>
      </c>
      <c r="R1308" s="11">
        <v>45145.0</v>
      </c>
      <c r="S1308" s="12"/>
      <c r="T1308" s="8"/>
      <c r="U1308" s="8" t="s">
        <v>161</v>
      </c>
      <c r="V1308" s="13" t="s">
        <v>38</v>
      </c>
      <c r="W1308" s="13" t="s">
        <v>6706</v>
      </c>
      <c r="X1308" s="12"/>
      <c r="Y1308" s="14"/>
      <c r="Z1308" s="14"/>
    </row>
    <row r="1309">
      <c r="A1309" s="8" t="s">
        <v>6707</v>
      </c>
      <c r="B1309" s="8" t="s">
        <v>6708</v>
      </c>
      <c r="C1309" s="8" t="s">
        <v>179</v>
      </c>
      <c r="D1309" s="8" t="s">
        <v>26</v>
      </c>
      <c r="E1309" s="8" t="s">
        <v>6709</v>
      </c>
      <c r="F1309" s="8">
        <v>5.44259088E9</v>
      </c>
      <c r="G1309" s="8" t="s">
        <v>31</v>
      </c>
      <c r="H1309" s="8" t="s">
        <v>86</v>
      </c>
      <c r="I1309" s="8" t="s">
        <v>284</v>
      </c>
      <c r="J1309" s="8" t="s">
        <v>1287</v>
      </c>
      <c r="K1309" s="10" t="s">
        <v>6710</v>
      </c>
      <c r="L1309" s="8" t="s">
        <v>47</v>
      </c>
      <c r="M1309" s="8" t="s">
        <v>35</v>
      </c>
      <c r="N1309" s="11">
        <v>44999.0</v>
      </c>
      <c r="O1309" s="11">
        <v>45078.0</v>
      </c>
      <c r="P1309" s="11">
        <v>45161.0</v>
      </c>
      <c r="Q1309" s="11"/>
      <c r="R1309" s="11"/>
      <c r="S1309" s="12"/>
      <c r="T1309" s="8"/>
      <c r="U1309" s="8" t="s">
        <v>6528</v>
      </c>
      <c r="V1309" s="13" t="s">
        <v>175</v>
      </c>
      <c r="W1309" s="13" t="s">
        <v>6711</v>
      </c>
      <c r="X1309" s="12"/>
      <c r="Y1309" s="14"/>
      <c r="Z1309" s="14"/>
    </row>
    <row r="1310">
      <c r="A1310" s="8" t="s">
        <v>6712</v>
      </c>
      <c r="B1310" s="8" t="s">
        <v>6713</v>
      </c>
      <c r="C1310" s="8" t="s">
        <v>179</v>
      </c>
      <c r="D1310" s="8" t="s">
        <v>26</v>
      </c>
      <c r="E1310" s="8" t="s">
        <v>6714</v>
      </c>
      <c r="F1310" s="8">
        <v>5.542664573E9</v>
      </c>
      <c r="G1310" s="8" t="s">
        <v>31</v>
      </c>
      <c r="H1310" s="8" t="s">
        <v>66</v>
      </c>
      <c r="I1310" s="8" t="s">
        <v>230</v>
      </c>
      <c r="J1310" s="8" t="s">
        <v>6715</v>
      </c>
      <c r="K1310" s="10" t="s">
        <v>6716</v>
      </c>
      <c r="L1310" s="8" t="s">
        <v>58</v>
      </c>
      <c r="M1310" s="8" t="s">
        <v>35</v>
      </c>
      <c r="N1310" s="11">
        <v>44999.0</v>
      </c>
      <c r="O1310" s="11">
        <v>45109.0</v>
      </c>
      <c r="P1310" s="11">
        <v>45164.0</v>
      </c>
      <c r="Q1310" s="11"/>
      <c r="R1310" s="11"/>
      <c r="S1310" s="12"/>
      <c r="T1310" s="8"/>
      <c r="U1310" s="8" t="s">
        <v>4870</v>
      </c>
      <c r="V1310" s="13" t="s">
        <v>66</v>
      </c>
      <c r="W1310" s="13" t="s">
        <v>6717</v>
      </c>
      <c r="X1310" s="12"/>
      <c r="Y1310" s="14"/>
      <c r="Z1310" s="14"/>
    </row>
    <row r="1311">
      <c r="A1311" s="8" t="s">
        <v>6718</v>
      </c>
      <c r="B1311" s="8" t="s">
        <v>6719</v>
      </c>
      <c r="C1311" s="8" t="s">
        <v>179</v>
      </c>
      <c r="D1311" s="8" t="s">
        <v>26</v>
      </c>
      <c r="E1311" s="8" t="s">
        <v>6720</v>
      </c>
      <c r="F1311" s="8">
        <v>5.376849756E9</v>
      </c>
      <c r="G1311" s="8" t="s">
        <v>31</v>
      </c>
      <c r="H1311" s="8" t="s">
        <v>32</v>
      </c>
      <c r="I1311" s="8" t="s">
        <v>127</v>
      </c>
      <c r="J1311" s="8" t="s">
        <v>3006</v>
      </c>
      <c r="K1311" s="10" t="s">
        <v>6721</v>
      </c>
      <c r="L1311" s="8" t="s">
        <v>58</v>
      </c>
      <c r="M1311" s="8" t="s">
        <v>35</v>
      </c>
      <c r="N1311" s="11">
        <v>44999.0</v>
      </c>
      <c r="O1311" s="11">
        <v>45103.0</v>
      </c>
      <c r="P1311" s="11">
        <v>45145.0</v>
      </c>
      <c r="Q1311" s="11"/>
      <c r="R1311" s="11"/>
      <c r="S1311" s="12"/>
      <c r="T1311" s="8"/>
      <c r="U1311" s="8" t="s">
        <v>88</v>
      </c>
      <c r="V1311" s="13" t="s">
        <v>111</v>
      </c>
      <c r="W1311" s="13" t="s">
        <v>6722</v>
      </c>
      <c r="X1311" s="12"/>
      <c r="Y1311" s="14"/>
      <c r="Z1311" s="14"/>
    </row>
    <row r="1312">
      <c r="A1312" s="8" t="s">
        <v>6723</v>
      </c>
      <c r="B1312" s="8" t="s">
        <v>6724</v>
      </c>
      <c r="C1312" s="8" t="s">
        <v>25</v>
      </c>
      <c r="D1312" s="8" t="s">
        <v>26</v>
      </c>
      <c r="E1312" s="8" t="s">
        <v>6725</v>
      </c>
      <c r="F1312" s="8"/>
      <c r="G1312" s="8" t="s">
        <v>31</v>
      </c>
      <c r="H1312" s="8" t="s">
        <v>167</v>
      </c>
      <c r="I1312" s="8" t="s">
        <v>127</v>
      </c>
      <c r="J1312" s="8" t="s">
        <v>3006</v>
      </c>
      <c r="K1312" s="10" t="s">
        <v>6721</v>
      </c>
      <c r="L1312" s="8" t="s">
        <v>58</v>
      </c>
      <c r="M1312" s="8" t="s">
        <v>35</v>
      </c>
      <c r="N1312" s="11">
        <v>44999.0</v>
      </c>
      <c r="O1312" s="11">
        <v>45103.0</v>
      </c>
      <c r="P1312" s="11">
        <v>45145.0</v>
      </c>
      <c r="Q1312" s="11">
        <v>45104.0</v>
      </c>
      <c r="R1312" s="11">
        <v>45145.0</v>
      </c>
      <c r="S1312" s="12"/>
      <c r="T1312" s="8"/>
      <c r="U1312" s="8" t="s">
        <v>88</v>
      </c>
      <c r="V1312" s="13" t="s">
        <v>38</v>
      </c>
      <c r="W1312" s="13" t="s">
        <v>6726</v>
      </c>
      <c r="X1312" s="12"/>
      <c r="Y1312" s="14"/>
      <c r="Z1312" s="14"/>
    </row>
    <row r="1313">
      <c r="A1313" s="8" t="s">
        <v>6727</v>
      </c>
      <c r="B1313" s="8" t="s">
        <v>6728</v>
      </c>
      <c r="C1313" s="8" t="s">
        <v>64</v>
      </c>
      <c r="D1313" s="8" t="s">
        <v>26</v>
      </c>
      <c r="E1313" s="8" t="s">
        <v>6729</v>
      </c>
      <c r="F1313" s="8">
        <v>1.023585095E9</v>
      </c>
      <c r="G1313" s="8" t="s">
        <v>284</v>
      </c>
      <c r="H1313" s="8" t="s">
        <v>673</v>
      </c>
      <c r="I1313" s="8" t="s">
        <v>31</v>
      </c>
      <c r="J1313" s="8" t="s">
        <v>542</v>
      </c>
      <c r="K1313" s="10" t="s">
        <v>6128</v>
      </c>
      <c r="L1313" s="8" t="s">
        <v>58</v>
      </c>
      <c r="M1313" s="8" t="s">
        <v>35</v>
      </c>
      <c r="N1313" s="11">
        <v>44999.0</v>
      </c>
      <c r="O1313" s="11">
        <v>45061.0</v>
      </c>
      <c r="P1313" s="11">
        <v>45103.0</v>
      </c>
      <c r="Q1313" s="11">
        <v>45066.0</v>
      </c>
      <c r="R1313" s="11">
        <v>45106.0</v>
      </c>
      <c r="S1313" s="12"/>
      <c r="T1313" s="8"/>
      <c r="U1313" s="8" t="s">
        <v>161</v>
      </c>
      <c r="V1313" s="13" t="s">
        <v>674</v>
      </c>
      <c r="W1313" s="13" t="s">
        <v>6730</v>
      </c>
      <c r="X1313" s="12"/>
      <c r="Y1313" s="14"/>
      <c r="Z1313" s="14"/>
    </row>
    <row r="1314">
      <c r="A1314" s="8" t="s">
        <v>6731</v>
      </c>
      <c r="B1314" s="8" t="s">
        <v>6732</v>
      </c>
      <c r="C1314" s="8" t="s">
        <v>25</v>
      </c>
      <c r="D1314" s="8" t="s">
        <v>26</v>
      </c>
      <c r="E1314" s="8" t="s">
        <v>6733</v>
      </c>
      <c r="F1314" s="8">
        <v>5.0094804E7</v>
      </c>
      <c r="G1314" s="8" t="s">
        <v>54</v>
      </c>
      <c r="H1314" s="8" t="s">
        <v>377</v>
      </c>
      <c r="I1314" s="8" t="s">
        <v>31</v>
      </c>
      <c r="J1314" s="8" t="s">
        <v>167</v>
      </c>
      <c r="K1314" s="10" t="s">
        <v>5996</v>
      </c>
      <c r="L1314" s="8" t="s">
        <v>58</v>
      </c>
      <c r="M1314" s="8" t="s">
        <v>35</v>
      </c>
      <c r="N1314" s="11">
        <v>45000.0</v>
      </c>
      <c r="O1314" s="11">
        <v>45117.0</v>
      </c>
      <c r="P1314" s="11">
        <v>45159.0</v>
      </c>
      <c r="Q1314" s="11">
        <v>45117.0</v>
      </c>
      <c r="R1314" s="11">
        <v>45159.0</v>
      </c>
      <c r="S1314" s="12"/>
      <c r="T1314" s="8"/>
      <c r="U1314" s="8" t="s">
        <v>130</v>
      </c>
      <c r="V1314" s="13" t="s">
        <v>1604</v>
      </c>
      <c r="W1314" s="13" t="s">
        <v>6734</v>
      </c>
      <c r="X1314" s="12"/>
      <c r="Y1314" s="14"/>
      <c r="Z1314" s="14"/>
    </row>
    <row r="1315">
      <c r="A1315" s="8" t="s">
        <v>6735</v>
      </c>
      <c r="B1315" s="8" t="s">
        <v>6736</v>
      </c>
      <c r="C1315" s="8" t="s">
        <v>179</v>
      </c>
      <c r="D1315" s="8" t="s">
        <v>26</v>
      </c>
      <c r="E1315" s="8" t="s">
        <v>6737</v>
      </c>
      <c r="F1315" s="8">
        <v>5.2307255E7</v>
      </c>
      <c r="G1315" s="8" t="s">
        <v>54</v>
      </c>
      <c r="H1315" s="8" t="s">
        <v>377</v>
      </c>
      <c r="I1315" s="8" t="s">
        <v>31</v>
      </c>
      <c r="J1315" s="8" t="s">
        <v>77</v>
      </c>
      <c r="K1315" s="10" t="s">
        <v>3945</v>
      </c>
      <c r="L1315" s="8" t="s">
        <v>58</v>
      </c>
      <c r="M1315" s="8" t="s">
        <v>35</v>
      </c>
      <c r="N1315" s="11">
        <v>45000.0</v>
      </c>
      <c r="O1315" s="11">
        <v>45082.0</v>
      </c>
      <c r="P1315" s="11">
        <v>45124.0</v>
      </c>
      <c r="Q1315" s="11"/>
      <c r="R1315" s="11"/>
      <c r="S1315" s="12"/>
      <c r="T1315" s="8"/>
      <c r="U1315" s="8" t="s">
        <v>59</v>
      </c>
      <c r="V1315" s="13" t="s">
        <v>3806</v>
      </c>
      <c r="W1315" s="13" t="s">
        <v>6738</v>
      </c>
      <c r="X1315" s="12"/>
      <c r="Y1315" s="14"/>
      <c r="Z1315" s="14"/>
    </row>
    <row r="1316">
      <c r="A1316" s="8" t="s">
        <v>6739</v>
      </c>
      <c r="B1316" s="8" t="s">
        <v>6740</v>
      </c>
      <c r="C1316" s="8" t="s">
        <v>25</v>
      </c>
      <c r="D1316" s="8" t="s">
        <v>26</v>
      </c>
      <c r="E1316" s="8" t="s">
        <v>6741</v>
      </c>
      <c r="F1316" s="8"/>
      <c r="G1316" s="8" t="s">
        <v>54</v>
      </c>
      <c r="H1316" s="8" t="s">
        <v>430</v>
      </c>
      <c r="I1316" s="8" t="s">
        <v>31</v>
      </c>
      <c r="J1316" s="8" t="s">
        <v>292</v>
      </c>
      <c r="K1316" s="10" t="s">
        <v>6742</v>
      </c>
      <c r="L1316" s="8" t="s">
        <v>58</v>
      </c>
      <c r="M1316" s="8" t="s">
        <v>35</v>
      </c>
      <c r="N1316" s="11">
        <v>45000.0</v>
      </c>
      <c r="O1316" s="11">
        <v>45110.0</v>
      </c>
      <c r="P1316" s="11">
        <v>45152.0</v>
      </c>
      <c r="Q1316" s="11">
        <v>45109.0</v>
      </c>
      <c r="R1316" s="11">
        <v>45152.0</v>
      </c>
      <c r="S1316" s="12"/>
      <c r="T1316" s="8"/>
      <c r="U1316" s="8" t="s">
        <v>88</v>
      </c>
      <c r="V1316" s="13" t="s">
        <v>38</v>
      </c>
      <c r="W1316" s="13" t="s">
        <v>6743</v>
      </c>
      <c r="X1316" s="12"/>
      <c r="Y1316" s="14"/>
      <c r="Z1316" s="14"/>
    </row>
    <row r="1317">
      <c r="A1317" s="8" t="s">
        <v>6744</v>
      </c>
      <c r="B1317" s="8" t="s">
        <v>6745</v>
      </c>
      <c r="C1317" s="8" t="s">
        <v>25</v>
      </c>
      <c r="D1317" s="8" t="s">
        <v>26</v>
      </c>
      <c r="E1317" s="8" t="s">
        <v>6746</v>
      </c>
      <c r="F1317" s="8">
        <v>5.059823979E9</v>
      </c>
      <c r="G1317" s="8" t="s">
        <v>31</v>
      </c>
      <c r="H1317" s="8" t="s">
        <v>542</v>
      </c>
      <c r="I1317" s="8" t="s">
        <v>221</v>
      </c>
      <c r="J1317" s="8" t="s">
        <v>2760</v>
      </c>
      <c r="K1317" s="10" t="s">
        <v>6747</v>
      </c>
      <c r="L1317" s="8" t="s">
        <v>58</v>
      </c>
      <c r="M1317" s="8" t="s">
        <v>35</v>
      </c>
      <c r="N1317" s="11">
        <v>45000.0</v>
      </c>
      <c r="O1317" s="11">
        <v>45108.0</v>
      </c>
      <c r="P1317" s="11">
        <v>45150.0</v>
      </c>
      <c r="Q1317" s="11">
        <v>45110.0</v>
      </c>
      <c r="R1317" s="11">
        <v>45152.0</v>
      </c>
      <c r="S1317" s="12"/>
      <c r="T1317" s="8"/>
      <c r="U1317" s="8" t="s">
        <v>59</v>
      </c>
      <c r="V1317" s="13" t="s">
        <v>545</v>
      </c>
      <c r="W1317" s="13" t="s">
        <v>6748</v>
      </c>
      <c r="X1317" s="12"/>
      <c r="Y1317" s="14"/>
      <c r="Z1317" s="14"/>
    </row>
    <row r="1318">
      <c r="A1318" s="8" t="s">
        <v>6749</v>
      </c>
      <c r="B1318" s="8" t="s">
        <v>6750</v>
      </c>
      <c r="C1318" s="8" t="s">
        <v>25</v>
      </c>
      <c r="D1318" s="8" t="s">
        <v>26</v>
      </c>
      <c r="E1318" s="8" t="s">
        <v>6751</v>
      </c>
      <c r="F1318" s="8">
        <v>9.5517588E7</v>
      </c>
      <c r="G1318" s="8" t="s">
        <v>54</v>
      </c>
      <c r="H1318" s="8" t="s">
        <v>76</v>
      </c>
      <c r="I1318" s="8" t="s">
        <v>31</v>
      </c>
      <c r="J1318" s="8" t="s">
        <v>1119</v>
      </c>
      <c r="K1318" s="10" t="s">
        <v>6015</v>
      </c>
      <c r="L1318" s="8" t="s">
        <v>58</v>
      </c>
      <c r="M1318" s="8" t="s">
        <v>35</v>
      </c>
      <c r="N1318" s="11">
        <v>45000.0</v>
      </c>
      <c r="O1318" s="11">
        <v>45128.0</v>
      </c>
      <c r="P1318" s="11">
        <v>45170.0</v>
      </c>
      <c r="Q1318" s="11">
        <v>45132.0</v>
      </c>
      <c r="R1318" s="11">
        <v>45174.0</v>
      </c>
      <c r="S1318" s="12"/>
      <c r="T1318" s="8"/>
      <c r="U1318" s="8" t="s">
        <v>59</v>
      </c>
      <c r="V1318" s="13" t="s">
        <v>1089</v>
      </c>
      <c r="W1318" s="13" t="s">
        <v>6752</v>
      </c>
      <c r="X1318" s="12"/>
      <c r="Y1318" s="14"/>
      <c r="Z1318" s="14"/>
    </row>
    <row r="1319">
      <c r="A1319" s="8" t="s">
        <v>6753</v>
      </c>
      <c r="B1319" s="8" t="s">
        <v>6754</v>
      </c>
      <c r="C1319" s="8" t="s">
        <v>179</v>
      </c>
      <c r="D1319" s="8" t="s">
        <v>26</v>
      </c>
      <c r="E1319" s="8" t="s">
        <v>6755</v>
      </c>
      <c r="F1319" s="8">
        <v>1.032014376E9</v>
      </c>
      <c r="G1319" s="8" t="s">
        <v>284</v>
      </c>
      <c r="H1319" s="8" t="s">
        <v>854</v>
      </c>
      <c r="I1319" s="8" t="s">
        <v>31</v>
      </c>
      <c r="J1319" s="8" t="s">
        <v>77</v>
      </c>
      <c r="K1319" s="10" t="s">
        <v>5712</v>
      </c>
      <c r="L1319" s="8" t="s">
        <v>58</v>
      </c>
      <c r="M1319" s="8" t="s">
        <v>35</v>
      </c>
      <c r="N1319" s="11">
        <v>45000.0</v>
      </c>
      <c r="O1319" s="11">
        <v>45172.0</v>
      </c>
      <c r="P1319" s="11">
        <v>45214.0</v>
      </c>
      <c r="Q1319" s="11"/>
      <c r="R1319" s="11"/>
      <c r="S1319" s="12"/>
      <c r="T1319" s="8"/>
      <c r="U1319" s="8" t="s">
        <v>59</v>
      </c>
      <c r="V1319" s="13" t="s">
        <v>856</v>
      </c>
      <c r="W1319" s="13" t="s">
        <v>6756</v>
      </c>
      <c r="X1319" s="12"/>
      <c r="Y1319" s="14"/>
      <c r="Z1319" s="14"/>
    </row>
    <row r="1320">
      <c r="A1320" s="8" t="s">
        <v>6757</v>
      </c>
      <c r="B1320" s="8" t="s">
        <v>6758</v>
      </c>
      <c r="C1320" s="8" t="s">
        <v>708</v>
      </c>
      <c r="D1320" s="8" t="s">
        <v>26</v>
      </c>
      <c r="E1320" s="8" t="s">
        <v>6759</v>
      </c>
      <c r="F1320" s="8">
        <v>6.69449907E8</v>
      </c>
      <c r="G1320" s="8" t="s">
        <v>254</v>
      </c>
      <c r="H1320" s="8" t="s">
        <v>255</v>
      </c>
      <c r="I1320" s="8" t="s">
        <v>31</v>
      </c>
      <c r="J1320" s="8" t="s">
        <v>542</v>
      </c>
      <c r="K1320" s="10" t="s">
        <v>6760</v>
      </c>
      <c r="L1320" s="8" t="s">
        <v>47</v>
      </c>
      <c r="M1320" s="8" t="s">
        <v>70</v>
      </c>
      <c r="N1320" s="11">
        <v>45000.0</v>
      </c>
      <c r="O1320" s="11">
        <v>45068.0</v>
      </c>
      <c r="P1320" s="11">
        <v>45429.0</v>
      </c>
      <c r="Q1320" s="11">
        <v>45035.0</v>
      </c>
      <c r="R1320" s="11">
        <v>45429.0</v>
      </c>
      <c r="S1320" s="12"/>
      <c r="T1320" s="8"/>
      <c r="U1320" s="8" t="s">
        <v>246</v>
      </c>
      <c r="V1320" s="13" t="s">
        <v>38</v>
      </c>
      <c r="W1320" s="13" t="s">
        <v>6761</v>
      </c>
      <c r="X1320" s="12"/>
      <c r="Y1320" s="14"/>
      <c r="Z1320" s="14"/>
    </row>
    <row r="1321">
      <c r="A1321" s="8" t="s">
        <v>6762</v>
      </c>
      <c r="B1321" s="8" t="s">
        <v>6763</v>
      </c>
      <c r="C1321" s="8" t="s">
        <v>179</v>
      </c>
      <c r="D1321" s="8" t="s">
        <v>26</v>
      </c>
      <c r="E1321" s="8" t="s">
        <v>6764</v>
      </c>
      <c r="F1321" s="8">
        <v>9.97318012E8</v>
      </c>
      <c r="G1321" s="8" t="s">
        <v>1620</v>
      </c>
      <c r="H1321" s="8" t="s">
        <v>1635</v>
      </c>
      <c r="I1321" s="8" t="s">
        <v>31</v>
      </c>
      <c r="J1321" s="8" t="s">
        <v>86</v>
      </c>
      <c r="K1321" s="10" t="s">
        <v>87</v>
      </c>
      <c r="L1321" s="8" t="s">
        <v>58</v>
      </c>
      <c r="M1321" s="8" t="s">
        <v>35</v>
      </c>
      <c r="N1321" s="11">
        <v>45000.0</v>
      </c>
      <c r="O1321" s="11">
        <v>45058.0</v>
      </c>
      <c r="P1321" s="11">
        <v>45100.0</v>
      </c>
      <c r="Q1321" s="11"/>
      <c r="R1321" s="11"/>
      <c r="S1321" s="12"/>
      <c r="T1321" s="8"/>
      <c r="U1321" s="8" t="s">
        <v>88</v>
      </c>
      <c r="V1321" s="13" t="s">
        <v>4256</v>
      </c>
      <c r="W1321" s="13" t="s">
        <v>6765</v>
      </c>
      <c r="X1321" s="12"/>
      <c r="Y1321" s="14"/>
      <c r="Z1321" s="14"/>
    </row>
    <row r="1322">
      <c r="A1322" s="8" t="s">
        <v>6766</v>
      </c>
      <c r="B1322" s="8" t="s">
        <v>6767</v>
      </c>
      <c r="C1322" s="8" t="s">
        <v>25</v>
      </c>
      <c r="D1322" s="8" t="s">
        <v>26</v>
      </c>
      <c r="E1322" s="8" t="s">
        <v>6768</v>
      </c>
      <c r="F1322" s="8">
        <v>5.414905107E9</v>
      </c>
      <c r="G1322" s="8" t="s">
        <v>31</v>
      </c>
      <c r="H1322" s="8" t="s">
        <v>32</v>
      </c>
      <c r="I1322" s="8" t="s">
        <v>284</v>
      </c>
      <c r="J1322" s="8" t="s">
        <v>793</v>
      </c>
      <c r="K1322" s="10" t="s">
        <v>6769</v>
      </c>
      <c r="L1322" s="8" t="s">
        <v>58</v>
      </c>
      <c r="M1322" s="8" t="s">
        <v>35</v>
      </c>
      <c r="N1322" s="11">
        <v>45000.0</v>
      </c>
      <c r="O1322" s="11">
        <v>45122.0</v>
      </c>
      <c r="P1322" s="11">
        <v>45164.0</v>
      </c>
      <c r="Q1322" s="11"/>
      <c r="R1322" s="11">
        <v>45164.0</v>
      </c>
      <c r="S1322" s="12"/>
      <c r="T1322" s="8"/>
      <c r="U1322" s="8" t="s">
        <v>153</v>
      </c>
      <c r="V1322" s="13" t="s">
        <v>537</v>
      </c>
      <c r="W1322" s="13" t="s">
        <v>6770</v>
      </c>
      <c r="X1322" s="12"/>
      <c r="Y1322" s="14"/>
      <c r="Z1322" s="14"/>
    </row>
    <row r="1323">
      <c r="A1323" s="8" t="s">
        <v>6771</v>
      </c>
      <c r="B1323" s="8" t="s">
        <v>6772</v>
      </c>
      <c r="C1323" s="8" t="s">
        <v>25</v>
      </c>
      <c r="D1323" s="8" t="s">
        <v>26</v>
      </c>
      <c r="E1323" s="8" t="s">
        <v>6773</v>
      </c>
      <c r="F1323" s="8"/>
      <c r="G1323" s="8" t="s">
        <v>54</v>
      </c>
      <c r="H1323" s="8" t="s">
        <v>135</v>
      </c>
      <c r="I1323" s="8" t="s">
        <v>31</v>
      </c>
      <c r="J1323" s="8" t="s">
        <v>1119</v>
      </c>
      <c r="K1323" s="10" t="s">
        <v>3665</v>
      </c>
      <c r="L1323" s="8" t="s">
        <v>58</v>
      </c>
      <c r="M1323" s="8" t="s">
        <v>35</v>
      </c>
      <c r="N1323" s="11">
        <v>45000.0</v>
      </c>
      <c r="O1323" s="11">
        <v>45117.0</v>
      </c>
      <c r="P1323" s="11">
        <v>45159.0</v>
      </c>
      <c r="Q1323" s="11">
        <v>45118.0</v>
      </c>
      <c r="R1323" s="11">
        <v>45159.0</v>
      </c>
      <c r="S1323" s="12"/>
      <c r="T1323" s="8"/>
      <c r="U1323" s="8" t="s">
        <v>59</v>
      </c>
      <c r="V1323" s="13" t="s">
        <v>38</v>
      </c>
      <c r="W1323" s="13" t="s">
        <v>6774</v>
      </c>
      <c r="X1323" s="12"/>
      <c r="Y1323" s="14"/>
      <c r="Z1323" s="14"/>
    </row>
    <row r="1324">
      <c r="A1324" s="8" t="s">
        <v>6775</v>
      </c>
      <c r="B1324" s="8" t="s">
        <v>6776</v>
      </c>
      <c r="C1324" s="8" t="s">
        <v>25</v>
      </c>
      <c r="D1324" s="8" t="s">
        <v>26</v>
      </c>
      <c r="E1324" s="8" t="s">
        <v>6777</v>
      </c>
      <c r="F1324" s="8">
        <v>7.715969596E9</v>
      </c>
      <c r="G1324" s="8" t="s">
        <v>496</v>
      </c>
      <c r="H1324" s="8" t="s">
        <v>2112</v>
      </c>
      <c r="I1324" s="8" t="s">
        <v>31</v>
      </c>
      <c r="J1324" s="8" t="s">
        <v>32</v>
      </c>
      <c r="K1324" s="10" t="s">
        <v>286</v>
      </c>
      <c r="L1324" s="8" t="s">
        <v>58</v>
      </c>
      <c r="M1324" s="8" t="s">
        <v>35</v>
      </c>
      <c r="N1324" s="11">
        <v>45000.0</v>
      </c>
      <c r="O1324" s="11">
        <v>45081.0</v>
      </c>
      <c r="P1324" s="11">
        <v>45123.0</v>
      </c>
      <c r="Q1324" s="11">
        <v>45081.0</v>
      </c>
      <c r="R1324" s="11">
        <v>45123.0</v>
      </c>
      <c r="S1324" s="12"/>
      <c r="T1324" s="8"/>
      <c r="U1324" s="8" t="s">
        <v>59</v>
      </c>
      <c r="V1324" s="13" t="s">
        <v>6778</v>
      </c>
      <c r="W1324" s="13" t="s">
        <v>6779</v>
      </c>
      <c r="X1324" s="12"/>
      <c r="Y1324" s="14"/>
      <c r="Z1324" s="14"/>
    </row>
    <row r="1325">
      <c r="A1325" s="8" t="s">
        <v>6780</v>
      </c>
      <c r="B1325" s="8" t="s">
        <v>6781</v>
      </c>
      <c r="C1325" s="8" t="s">
        <v>25</v>
      </c>
      <c r="D1325" s="8" t="s">
        <v>26</v>
      </c>
      <c r="E1325" s="8" t="s">
        <v>6782</v>
      </c>
      <c r="F1325" s="8">
        <v>5.380433619E9</v>
      </c>
      <c r="G1325" s="8" t="s">
        <v>31</v>
      </c>
      <c r="H1325" s="8" t="s">
        <v>56</v>
      </c>
      <c r="I1325" s="8" t="s">
        <v>3607</v>
      </c>
      <c r="J1325" s="8" t="s">
        <v>6783</v>
      </c>
      <c r="K1325" s="10" t="s">
        <v>6784</v>
      </c>
      <c r="L1325" s="8" t="s">
        <v>58</v>
      </c>
      <c r="M1325" s="8" t="s">
        <v>35</v>
      </c>
      <c r="N1325" s="11">
        <v>45000.0</v>
      </c>
      <c r="O1325" s="11">
        <v>45119.0</v>
      </c>
      <c r="P1325" s="11">
        <v>45161.0</v>
      </c>
      <c r="Q1325" s="11">
        <v>45117.0</v>
      </c>
      <c r="R1325" s="11">
        <v>45161.0</v>
      </c>
      <c r="S1325" s="12"/>
      <c r="T1325" s="8"/>
      <c r="U1325" s="8" t="s">
        <v>59</v>
      </c>
      <c r="V1325" s="13" t="s">
        <v>56</v>
      </c>
      <c r="W1325" s="13" t="s">
        <v>6785</v>
      </c>
      <c r="X1325" s="12"/>
      <c r="Y1325" s="14"/>
      <c r="Z1325" s="14"/>
    </row>
    <row r="1326">
      <c r="A1326" s="8" t="s">
        <v>6786</v>
      </c>
      <c r="B1326" s="8" t="s">
        <v>6787</v>
      </c>
      <c r="C1326" s="8" t="s">
        <v>25</v>
      </c>
      <c r="D1326" s="8" t="s">
        <v>26</v>
      </c>
      <c r="E1326" s="8" t="s">
        <v>6788</v>
      </c>
      <c r="F1326" s="8">
        <v>2.9278927E7</v>
      </c>
      <c r="G1326" s="8" t="s">
        <v>54</v>
      </c>
      <c r="H1326" s="8" t="s">
        <v>76</v>
      </c>
      <c r="I1326" s="8" t="s">
        <v>31</v>
      </c>
      <c r="J1326" s="8" t="s">
        <v>438</v>
      </c>
      <c r="K1326" s="10" t="s">
        <v>6789</v>
      </c>
      <c r="L1326" s="8" t="s">
        <v>58</v>
      </c>
      <c r="M1326" s="8" t="s">
        <v>35</v>
      </c>
      <c r="N1326" s="11">
        <v>45001.0</v>
      </c>
      <c r="O1326" s="11">
        <v>45103.0</v>
      </c>
      <c r="P1326" s="11">
        <v>45145.0</v>
      </c>
      <c r="Q1326" s="11">
        <v>45103.0</v>
      </c>
      <c r="R1326" s="11">
        <v>45145.0</v>
      </c>
      <c r="S1326" s="12"/>
      <c r="T1326" s="8"/>
      <c r="U1326" s="8" t="s">
        <v>632</v>
      </c>
      <c r="V1326" s="13" t="s">
        <v>3496</v>
      </c>
      <c r="W1326" s="13" t="s">
        <v>6790</v>
      </c>
      <c r="X1326" s="12"/>
      <c r="Y1326" s="14"/>
      <c r="Z1326" s="14"/>
    </row>
    <row r="1327">
      <c r="A1327" s="8" t="s">
        <v>6791</v>
      </c>
      <c r="B1327" s="8" t="s">
        <v>6792</v>
      </c>
      <c r="C1327" s="8" t="s">
        <v>179</v>
      </c>
      <c r="D1327" s="8" t="s">
        <v>26</v>
      </c>
      <c r="E1327" s="8" t="s">
        <v>6793</v>
      </c>
      <c r="F1327" s="8">
        <v>5.333855817E9</v>
      </c>
      <c r="G1327" s="8" t="s">
        <v>31</v>
      </c>
      <c r="H1327" s="8" t="s">
        <v>86</v>
      </c>
      <c r="I1327" s="8" t="s">
        <v>44</v>
      </c>
      <c r="J1327" s="8" t="s">
        <v>453</v>
      </c>
      <c r="K1327" s="10" t="s">
        <v>3060</v>
      </c>
      <c r="L1327" s="8" t="s">
        <v>58</v>
      </c>
      <c r="M1327" s="8" t="s">
        <v>35</v>
      </c>
      <c r="N1327" s="11">
        <v>45001.0</v>
      </c>
      <c r="O1327" s="11">
        <v>45122.0</v>
      </c>
      <c r="P1327" s="11">
        <v>45164.0</v>
      </c>
      <c r="Q1327" s="11"/>
      <c r="R1327" s="11"/>
      <c r="S1327" s="12"/>
      <c r="T1327" s="8"/>
      <c r="U1327" s="8" t="s">
        <v>371</v>
      </c>
      <c r="V1327" s="13" t="s">
        <v>175</v>
      </c>
      <c r="W1327" s="13" t="s">
        <v>6794</v>
      </c>
      <c r="X1327" s="12"/>
      <c r="Y1327" s="14"/>
      <c r="Z1327" s="14"/>
    </row>
    <row r="1328">
      <c r="A1328" s="8" t="s">
        <v>6795</v>
      </c>
      <c r="B1328" s="8" t="s">
        <v>6796</v>
      </c>
      <c r="C1328" s="8" t="s">
        <v>25</v>
      </c>
      <c r="D1328" s="8" t="s">
        <v>26</v>
      </c>
      <c r="E1328" s="8" t="s">
        <v>6797</v>
      </c>
      <c r="F1328" s="9" t="s">
        <v>6798</v>
      </c>
      <c r="G1328" s="8" t="s">
        <v>54</v>
      </c>
      <c r="H1328" s="8" t="s">
        <v>430</v>
      </c>
      <c r="I1328" s="8" t="s">
        <v>31</v>
      </c>
      <c r="J1328" s="8" t="s">
        <v>438</v>
      </c>
      <c r="K1328" s="10" t="s">
        <v>6789</v>
      </c>
      <c r="L1328" s="8" t="s">
        <v>58</v>
      </c>
      <c r="M1328" s="8" t="s">
        <v>35</v>
      </c>
      <c r="N1328" s="11">
        <v>45001.0</v>
      </c>
      <c r="O1328" s="11">
        <v>45103.0</v>
      </c>
      <c r="P1328" s="11">
        <v>45145.0</v>
      </c>
      <c r="Q1328" s="11">
        <v>45103.0</v>
      </c>
      <c r="R1328" s="11">
        <v>45145.0</v>
      </c>
      <c r="S1328" s="12"/>
      <c r="T1328" s="8"/>
      <c r="U1328" s="8" t="s">
        <v>632</v>
      </c>
      <c r="V1328" s="13" t="s">
        <v>849</v>
      </c>
      <c r="W1328" s="13" t="s">
        <v>6799</v>
      </c>
      <c r="X1328" s="12"/>
      <c r="Y1328" s="14"/>
      <c r="Z1328" s="14"/>
    </row>
    <row r="1329">
      <c r="A1329" s="8" t="s">
        <v>6800</v>
      </c>
      <c r="B1329" s="8" t="s">
        <v>6801</v>
      </c>
      <c r="C1329" s="8" t="s">
        <v>25</v>
      </c>
      <c r="D1329" s="8" t="s">
        <v>26</v>
      </c>
      <c r="E1329" s="8" t="s">
        <v>6802</v>
      </c>
      <c r="F1329" s="8"/>
      <c r="G1329" s="8" t="s">
        <v>31</v>
      </c>
      <c r="H1329" s="8" t="s">
        <v>102</v>
      </c>
      <c r="I1329" s="8" t="s">
        <v>284</v>
      </c>
      <c r="J1329" s="8" t="s">
        <v>5202</v>
      </c>
      <c r="K1329" s="10" t="s">
        <v>6803</v>
      </c>
      <c r="L1329" s="8" t="s">
        <v>58</v>
      </c>
      <c r="M1329" s="8" t="s">
        <v>35</v>
      </c>
      <c r="N1329" s="11">
        <v>45001.0</v>
      </c>
      <c r="O1329" s="11">
        <v>45109.0</v>
      </c>
      <c r="P1329" s="11">
        <v>45153.0</v>
      </c>
      <c r="Q1329" s="11">
        <v>45113.0</v>
      </c>
      <c r="R1329" s="11">
        <v>45157.0</v>
      </c>
      <c r="S1329" s="12"/>
      <c r="T1329" s="8"/>
      <c r="U1329" s="8" t="s">
        <v>1590</v>
      </c>
      <c r="V1329" s="13" t="s">
        <v>38</v>
      </c>
      <c r="W1329" s="13" t="s">
        <v>6804</v>
      </c>
      <c r="X1329" s="12"/>
      <c r="Y1329" s="14"/>
      <c r="Z1329" s="14"/>
    </row>
    <row r="1330">
      <c r="A1330" s="8" t="s">
        <v>6805</v>
      </c>
      <c r="B1330" s="8" t="s">
        <v>6806</v>
      </c>
      <c r="C1330" s="8" t="s">
        <v>25</v>
      </c>
      <c r="D1330" s="8" t="s">
        <v>26</v>
      </c>
      <c r="E1330" s="8" t="s">
        <v>6807</v>
      </c>
      <c r="F1330" s="8">
        <v>5.2122149E7</v>
      </c>
      <c r="G1330" s="8" t="s">
        <v>54</v>
      </c>
      <c r="H1330" s="8" t="s">
        <v>430</v>
      </c>
      <c r="I1330" s="8" t="s">
        <v>31</v>
      </c>
      <c r="J1330" s="8" t="s">
        <v>77</v>
      </c>
      <c r="K1330" s="10" t="s">
        <v>2555</v>
      </c>
      <c r="L1330" s="8" t="s">
        <v>58</v>
      </c>
      <c r="M1330" s="8" t="s">
        <v>35</v>
      </c>
      <c r="N1330" s="11">
        <v>45001.0</v>
      </c>
      <c r="O1330" s="11">
        <v>45075.0</v>
      </c>
      <c r="P1330" s="11">
        <v>45117.0</v>
      </c>
      <c r="Q1330" s="11">
        <v>45076.0</v>
      </c>
      <c r="R1330" s="11">
        <v>45117.0</v>
      </c>
      <c r="S1330" s="12"/>
      <c r="T1330" s="8"/>
      <c r="U1330" s="8" t="s">
        <v>371</v>
      </c>
      <c r="V1330" s="13" t="s">
        <v>1051</v>
      </c>
      <c r="W1330" s="13" t="s">
        <v>6808</v>
      </c>
      <c r="X1330" s="12"/>
      <c r="Y1330" s="14"/>
      <c r="Z1330" s="14"/>
    </row>
    <row r="1331">
      <c r="A1331" s="8" t="s">
        <v>6809</v>
      </c>
      <c r="B1331" s="8" t="s">
        <v>6810</v>
      </c>
      <c r="C1331" s="8" t="s">
        <v>708</v>
      </c>
      <c r="D1331" s="8" t="s">
        <v>26</v>
      </c>
      <c r="E1331" s="8" t="s">
        <v>6811</v>
      </c>
      <c r="F1331" s="8">
        <v>7.71749151E8</v>
      </c>
      <c r="G1331" s="8" t="s">
        <v>399</v>
      </c>
      <c r="H1331" s="8" t="s">
        <v>415</v>
      </c>
      <c r="I1331" s="8" t="s">
        <v>31</v>
      </c>
      <c r="J1331" s="8" t="s">
        <v>292</v>
      </c>
      <c r="K1331" s="10" t="s">
        <v>6058</v>
      </c>
      <c r="L1331" s="8" t="s">
        <v>47</v>
      </c>
      <c r="M1331" s="8" t="s">
        <v>70</v>
      </c>
      <c r="N1331" s="11">
        <v>45001.0</v>
      </c>
      <c r="O1331" s="11">
        <v>45036.0</v>
      </c>
      <c r="P1331" s="11">
        <v>45402.0</v>
      </c>
      <c r="Q1331" s="11">
        <v>45046.0</v>
      </c>
      <c r="R1331" s="11">
        <v>45413.0</v>
      </c>
      <c r="S1331" s="12"/>
      <c r="T1331" s="8"/>
      <c r="U1331" s="8" t="s">
        <v>6059</v>
      </c>
      <c r="V1331" s="13" t="s">
        <v>417</v>
      </c>
      <c r="W1331" s="13" t="s">
        <v>6812</v>
      </c>
      <c r="X1331" s="12"/>
      <c r="Y1331" s="14"/>
      <c r="Z1331" s="14"/>
    </row>
    <row r="1332">
      <c r="A1332" s="8" t="s">
        <v>6813</v>
      </c>
      <c r="B1332" s="8" t="s">
        <v>6814</v>
      </c>
      <c r="C1332" s="8" t="s">
        <v>25</v>
      </c>
      <c r="D1332" s="8" t="s">
        <v>26</v>
      </c>
      <c r="E1332" s="8" t="s">
        <v>6815</v>
      </c>
      <c r="F1332" s="8">
        <v>5.36211944E9</v>
      </c>
      <c r="G1332" s="8" t="s">
        <v>31</v>
      </c>
      <c r="H1332" s="8" t="s">
        <v>111</v>
      </c>
      <c r="I1332" s="8" t="s">
        <v>127</v>
      </c>
      <c r="J1332" s="8" t="s">
        <v>363</v>
      </c>
      <c r="K1332" s="10" t="s">
        <v>6816</v>
      </c>
      <c r="L1332" s="8" t="s">
        <v>58</v>
      </c>
      <c r="M1332" s="8" t="s">
        <v>35</v>
      </c>
      <c r="N1332" s="11">
        <v>45001.0</v>
      </c>
      <c r="O1332" s="11">
        <v>45096.0</v>
      </c>
      <c r="P1332" s="11">
        <v>45138.0</v>
      </c>
      <c r="Q1332" s="11">
        <v>45097.0</v>
      </c>
      <c r="R1332" s="11">
        <v>45138.0</v>
      </c>
      <c r="S1332" s="12"/>
      <c r="T1332" s="8"/>
      <c r="U1332" s="8" t="s">
        <v>185</v>
      </c>
      <c r="V1332" s="13" t="s">
        <v>111</v>
      </c>
      <c r="W1332" s="13" t="s">
        <v>6817</v>
      </c>
      <c r="X1332" s="12"/>
      <c r="Y1332" s="14"/>
      <c r="Z1332" s="14"/>
    </row>
    <row r="1333">
      <c r="A1333" s="8" t="s">
        <v>6818</v>
      </c>
      <c r="B1333" s="8" t="s">
        <v>6819</v>
      </c>
      <c r="C1333" s="8" t="s">
        <v>25</v>
      </c>
      <c r="D1333" s="8" t="s">
        <v>26</v>
      </c>
      <c r="E1333" s="8" t="s">
        <v>6820</v>
      </c>
      <c r="F1333" s="8"/>
      <c r="G1333" s="8" t="s">
        <v>31</v>
      </c>
      <c r="H1333" s="8" t="s">
        <v>56</v>
      </c>
      <c r="I1333" s="8" t="s">
        <v>827</v>
      </c>
      <c r="J1333" s="8" t="s">
        <v>5811</v>
      </c>
      <c r="K1333" s="10" t="s">
        <v>6821</v>
      </c>
      <c r="L1333" s="8" t="s">
        <v>58</v>
      </c>
      <c r="M1333" s="8" t="s">
        <v>35</v>
      </c>
      <c r="N1333" s="11">
        <v>45001.0</v>
      </c>
      <c r="O1333" s="11">
        <v>45123.0</v>
      </c>
      <c r="P1333" s="11">
        <v>45165.0</v>
      </c>
      <c r="Q1333" s="11"/>
      <c r="R1333" s="11">
        <v>45165.0</v>
      </c>
      <c r="S1333" s="12"/>
      <c r="T1333" s="8"/>
      <c r="U1333" s="8" t="s">
        <v>3111</v>
      </c>
      <c r="V1333" s="13" t="s">
        <v>38</v>
      </c>
      <c r="W1333" s="13" t="s">
        <v>6822</v>
      </c>
      <c r="X1333" s="12"/>
      <c r="Y1333" s="14"/>
      <c r="Z1333" s="14"/>
    </row>
    <row r="1334">
      <c r="A1334" s="8" t="s">
        <v>6823</v>
      </c>
      <c r="B1334" s="8" t="s">
        <v>6824</v>
      </c>
      <c r="C1334" s="8" t="s">
        <v>179</v>
      </c>
      <c r="D1334" s="8" t="s">
        <v>26</v>
      </c>
      <c r="E1334" s="8" t="s">
        <v>6825</v>
      </c>
      <c r="F1334" s="8"/>
      <c r="G1334" s="8" t="s">
        <v>127</v>
      </c>
      <c r="H1334" s="8" t="s">
        <v>128</v>
      </c>
      <c r="I1334" s="8" t="s">
        <v>31</v>
      </c>
      <c r="J1334" s="8" t="s">
        <v>32</v>
      </c>
      <c r="K1334" s="10" t="s">
        <v>509</v>
      </c>
      <c r="L1334" s="8" t="s">
        <v>58</v>
      </c>
      <c r="M1334" s="8" t="s">
        <v>35</v>
      </c>
      <c r="N1334" s="11">
        <v>45001.0</v>
      </c>
      <c r="O1334" s="11">
        <v>45145.0</v>
      </c>
      <c r="P1334" s="11">
        <v>45187.0</v>
      </c>
      <c r="Q1334" s="11"/>
      <c r="R1334" s="11"/>
      <c r="S1334" s="12"/>
      <c r="T1334" s="8"/>
      <c r="U1334" s="8" t="s">
        <v>153</v>
      </c>
      <c r="V1334" s="13" t="s">
        <v>38</v>
      </c>
      <c r="W1334" s="13" t="s">
        <v>6826</v>
      </c>
      <c r="X1334" s="12"/>
      <c r="Y1334" s="14"/>
      <c r="Z1334" s="14"/>
    </row>
    <row r="1335">
      <c r="A1335" s="8" t="s">
        <v>6827</v>
      </c>
      <c r="B1335" s="8" t="s">
        <v>6828</v>
      </c>
      <c r="C1335" s="8" t="s">
        <v>179</v>
      </c>
      <c r="D1335" s="8" t="s">
        <v>26</v>
      </c>
      <c r="E1335" s="8" t="s">
        <v>6829</v>
      </c>
      <c r="F1335" s="8">
        <v>7.60589922E8</v>
      </c>
      <c r="G1335" s="8" t="s">
        <v>127</v>
      </c>
      <c r="H1335" s="8" t="s">
        <v>128</v>
      </c>
      <c r="I1335" s="8" t="s">
        <v>31</v>
      </c>
      <c r="J1335" s="8" t="s">
        <v>32</v>
      </c>
      <c r="K1335" s="10" t="s">
        <v>509</v>
      </c>
      <c r="L1335" s="8" t="s">
        <v>58</v>
      </c>
      <c r="M1335" s="8" t="s">
        <v>35</v>
      </c>
      <c r="N1335" s="11">
        <v>45001.0</v>
      </c>
      <c r="O1335" s="11">
        <v>45145.0</v>
      </c>
      <c r="P1335" s="11">
        <v>45187.0</v>
      </c>
      <c r="Q1335" s="11"/>
      <c r="R1335" s="11"/>
      <c r="S1335" s="12"/>
      <c r="T1335" s="8"/>
      <c r="U1335" s="8" t="s">
        <v>153</v>
      </c>
      <c r="V1335" s="13" t="s">
        <v>1473</v>
      </c>
      <c r="W1335" s="13" t="s">
        <v>6830</v>
      </c>
      <c r="X1335" s="12"/>
      <c r="Y1335" s="14"/>
      <c r="Z1335" s="14"/>
    </row>
    <row r="1336">
      <c r="A1336" s="8" t="s">
        <v>6831</v>
      </c>
      <c r="B1336" s="8" t="s">
        <v>6832</v>
      </c>
      <c r="C1336" s="8" t="s">
        <v>251</v>
      </c>
      <c r="D1336" s="8" t="s">
        <v>26</v>
      </c>
      <c r="E1336" s="8" t="s">
        <v>6833</v>
      </c>
      <c r="F1336" s="8">
        <v>3.332353047E9</v>
      </c>
      <c r="G1336" s="8" t="s">
        <v>315</v>
      </c>
      <c r="H1336" s="8" t="s">
        <v>6834</v>
      </c>
      <c r="I1336" s="8" t="s">
        <v>31</v>
      </c>
      <c r="J1336" s="8" t="s">
        <v>542</v>
      </c>
      <c r="K1336" s="10" t="s">
        <v>662</v>
      </c>
      <c r="L1336" s="8" t="s">
        <v>58</v>
      </c>
      <c r="M1336" s="8" t="s">
        <v>35</v>
      </c>
      <c r="N1336" s="11">
        <v>45001.0</v>
      </c>
      <c r="O1336" s="11">
        <v>45040.0</v>
      </c>
      <c r="P1336" s="11">
        <v>45082.0</v>
      </c>
      <c r="Q1336" s="11"/>
      <c r="R1336" s="11"/>
      <c r="S1336" s="12"/>
      <c r="T1336" s="8"/>
      <c r="U1336" s="8" t="s">
        <v>59</v>
      </c>
      <c r="V1336" s="13" t="s">
        <v>6835</v>
      </c>
      <c r="W1336" s="13" t="s">
        <v>6836</v>
      </c>
      <c r="X1336" s="12"/>
      <c r="Y1336" s="14"/>
      <c r="Z1336" s="14"/>
    </row>
    <row r="1337">
      <c r="A1337" s="8" t="s">
        <v>6837</v>
      </c>
      <c r="B1337" s="8" t="s">
        <v>6838</v>
      </c>
      <c r="C1337" s="8" t="s">
        <v>25</v>
      </c>
      <c r="D1337" s="8" t="s">
        <v>26</v>
      </c>
      <c r="E1337" s="8" t="s">
        <v>6839</v>
      </c>
      <c r="F1337" s="8"/>
      <c r="G1337" s="8" t="s">
        <v>6087</v>
      </c>
      <c r="H1337" s="8" t="s">
        <v>6840</v>
      </c>
      <c r="I1337" s="8" t="s">
        <v>31</v>
      </c>
      <c r="J1337" s="8" t="s">
        <v>77</v>
      </c>
      <c r="K1337" s="10" t="s">
        <v>6841</v>
      </c>
      <c r="L1337" s="8" t="s">
        <v>34</v>
      </c>
      <c r="M1337" s="8" t="s">
        <v>35</v>
      </c>
      <c r="N1337" s="11">
        <v>45001.0</v>
      </c>
      <c r="O1337" s="11">
        <v>45002.0</v>
      </c>
      <c r="P1337" s="11">
        <v>45085.0</v>
      </c>
      <c r="Q1337" s="11">
        <v>45005.0</v>
      </c>
      <c r="R1337" s="11">
        <v>45088.0</v>
      </c>
      <c r="S1337" s="12"/>
      <c r="T1337" s="8" t="s">
        <v>205</v>
      </c>
      <c r="U1337" s="8" t="s">
        <v>6842</v>
      </c>
      <c r="V1337" s="13" t="s">
        <v>6843</v>
      </c>
      <c r="W1337" s="13" t="s">
        <v>6844</v>
      </c>
      <c r="X1337" s="12"/>
      <c r="Y1337" s="14"/>
      <c r="Z1337" s="14"/>
    </row>
    <row r="1338">
      <c r="A1338" s="8" t="s">
        <v>6845</v>
      </c>
      <c r="B1338" s="8" t="s">
        <v>6846</v>
      </c>
      <c r="C1338" s="8" t="s">
        <v>25</v>
      </c>
      <c r="D1338" s="8" t="s">
        <v>26</v>
      </c>
      <c r="E1338" s="8" t="s">
        <v>6847</v>
      </c>
      <c r="F1338" s="8">
        <v>9.777618584E9</v>
      </c>
      <c r="G1338" s="8" t="s">
        <v>6087</v>
      </c>
      <c r="H1338" s="8" t="s">
        <v>6840</v>
      </c>
      <c r="I1338" s="8" t="s">
        <v>31</v>
      </c>
      <c r="J1338" s="8" t="s">
        <v>77</v>
      </c>
      <c r="K1338" s="10" t="s">
        <v>6841</v>
      </c>
      <c r="L1338" s="8" t="s">
        <v>34</v>
      </c>
      <c r="M1338" s="8" t="s">
        <v>35</v>
      </c>
      <c r="N1338" s="11">
        <v>45001.0</v>
      </c>
      <c r="O1338" s="11">
        <v>45002.0</v>
      </c>
      <c r="P1338" s="11">
        <v>45085.0</v>
      </c>
      <c r="Q1338" s="11">
        <v>45005.0</v>
      </c>
      <c r="R1338" s="11">
        <v>45088.0</v>
      </c>
      <c r="S1338" s="12"/>
      <c r="T1338" s="8" t="s">
        <v>205</v>
      </c>
      <c r="U1338" s="8" t="s">
        <v>6842</v>
      </c>
      <c r="V1338" s="13" t="s">
        <v>6843</v>
      </c>
      <c r="W1338" s="13" t="s">
        <v>6848</v>
      </c>
      <c r="X1338" s="12"/>
      <c r="Y1338" s="14"/>
      <c r="Z1338" s="14"/>
    </row>
    <row r="1339">
      <c r="A1339" s="8" t="s">
        <v>6849</v>
      </c>
      <c r="B1339" s="8" t="s">
        <v>6850</v>
      </c>
      <c r="C1339" s="8" t="s">
        <v>179</v>
      </c>
      <c r="D1339" s="8" t="s">
        <v>26</v>
      </c>
      <c r="E1339" s="8" t="s">
        <v>6851</v>
      </c>
      <c r="F1339" s="8">
        <v>9.88028665E8</v>
      </c>
      <c r="G1339" s="8" t="s">
        <v>109</v>
      </c>
      <c r="H1339" s="8" t="s">
        <v>2286</v>
      </c>
      <c r="I1339" s="8" t="s">
        <v>31</v>
      </c>
      <c r="J1339" s="8" t="s">
        <v>86</v>
      </c>
      <c r="K1339" s="10" t="s">
        <v>2453</v>
      </c>
      <c r="L1339" s="8" t="s">
        <v>58</v>
      </c>
      <c r="M1339" s="8" t="s">
        <v>35</v>
      </c>
      <c r="N1339" s="11">
        <v>45001.0</v>
      </c>
      <c r="O1339" s="11">
        <v>45335.0</v>
      </c>
      <c r="P1339" s="11">
        <v>45377.0</v>
      </c>
      <c r="Q1339" s="11"/>
      <c r="R1339" s="11"/>
      <c r="S1339" s="12"/>
      <c r="T1339" s="8"/>
      <c r="U1339" s="8" t="s">
        <v>59</v>
      </c>
      <c r="V1339" s="13" t="s">
        <v>38</v>
      </c>
      <c r="W1339" s="13" t="s">
        <v>6852</v>
      </c>
      <c r="X1339" s="12"/>
      <c r="Y1339" s="14"/>
      <c r="Z1339" s="14"/>
    </row>
    <row r="1340">
      <c r="A1340" s="8" t="s">
        <v>6853</v>
      </c>
      <c r="B1340" s="8" t="s">
        <v>6854</v>
      </c>
      <c r="C1340" s="8" t="s">
        <v>708</v>
      </c>
      <c r="D1340" s="8" t="s">
        <v>26</v>
      </c>
      <c r="E1340" s="8" t="s">
        <v>6855</v>
      </c>
      <c r="F1340" s="8">
        <v>3.165166646E9</v>
      </c>
      <c r="G1340" s="8" t="s">
        <v>315</v>
      </c>
      <c r="H1340" s="8" t="s">
        <v>1557</v>
      </c>
      <c r="I1340" s="8" t="s">
        <v>31</v>
      </c>
      <c r="J1340" s="8" t="s">
        <v>32</v>
      </c>
      <c r="K1340" s="10" t="s">
        <v>716</v>
      </c>
      <c r="L1340" s="8" t="s">
        <v>47</v>
      </c>
      <c r="M1340" s="8" t="s">
        <v>70</v>
      </c>
      <c r="N1340" s="11">
        <v>45001.0</v>
      </c>
      <c r="O1340" s="11">
        <v>44988.0</v>
      </c>
      <c r="P1340" s="11">
        <v>45260.0</v>
      </c>
      <c r="Q1340" s="11">
        <v>45005.0</v>
      </c>
      <c r="R1340" s="11">
        <v>45371.0</v>
      </c>
      <c r="S1340" s="12"/>
      <c r="T1340" s="8"/>
      <c r="U1340" s="8" t="s">
        <v>717</v>
      </c>
      <c r="V1340" s="13" t="s">
        <v>6856</v>
      </c>
      <c r="W1340" s="13" t="s">
        <v>6857</v>
      </c>
      <c r="X1340" s="12"/>
      <c r="Y1340" s="14"/>
      <c r="Z1340" s="14"/>
    </row>
    <row r="1341">
      <c r="A1341" s="8" t="s">
        <v>6858</v>
      </c>
      <c r="B1341" s="8" t="s">
        <v>6859</v>
      </c>
      <c r="C1341" s="8" t="s">
        <v>25</v>
      </c>
      <c r="D1341" s="8" t="s">
        <v>26</v>
      </c>
      <c r="E1341" s="8" t="s">
        <v>6860</v>
      </c>
      <c r="F1341" s="8"/>
      <c r="G1341" s="8" t="s">
        <v>54</v>
      </c>
      <c r="H1341" s="8" t="s">
        <v>237</v>
      </c>
      <c r="I1341" s="8" t="s">
        <v>31</v>
      </c>
      <c r="J1341" s="8" t="s">
        <v>77</v>
      </c>
      <c r="K1341" s="10" t="s">
        <v>6861</v>
      </c>
      <c r="L1341" s="8" t="s">
        <v>47</v>
      </c>
      <c r="M1341" s="8" t="s">
        <v>35</v>
      </c>
      <c r="N1341" s="11">
        <v>45002.0</v>
      </c>
      <c r="O1341" s="11">
        <v>45016.0</v>
      </c>
      <c r="P1341" s="11">
        <v>45099.0</v>
      </c>
      <c r="Q1341" s="11">
        <v>45020.0</v>
      </c>
      <c r="R1341" s="11">
        <v>45104.0</v>
      </c>
      <c r="S1341" s="12"/>
      <c r="T1341" s="8"/>
      <c r="U1341" s="8" t="s">
        <v>6862</v>
      </c>
      <c r="V1341" s="13" t="s">
        <v>38</v>
      </c>
      <c r="W1341" s="13" t="s">
        <v>6863</v>
      </c>
      <c r="X1341" s="12"/>
      <c r="Y1341" s="14"/>
      <c r="Z1341" s="14"/>
    </row>
    <row r="1342">
      <c r="A1342" s="8" t="s">
        <v>6864</v>
      </c>
      <c r="B1342" s="8" t="s">
        <v>6865</v>
      </c>
      <c r="C1342" s="8" t="s">
        <v>25</v>
      </c>
      <c r="D1342" s="8" t="s">
        <v>26</v>
      </c>
      <c r="E1342" s="8" t="s">
        <v>6866</v>
      </c>
      <c r="F1342" s="8">
        <v>5.3212573E7</v>
      </c>
      <c r="G1342" s="8" t="s">
        <v>54</v>
      </c>
      <c r="H1342" s="8" t="s">
        <v>377</v>
      </c>
      <c r="I1342" s="8" t="s">
        <v>31</v>
      </c>
      <c r="J1342" s="8" t="s">
        <v>167</v>
      </c>
      <c r="K1342" s="10" t="s">
        <v>6867</v>
      </c>
      <c r="L1342" s="8" t="s">
        <v>58</v>
      </c>
      <c r="M1342" s="8" t="s">
        <v>35</v>
      </c>
      <c r="N1342" s="11">
        <v>45002.0</v>
      </c>
      <c r="O1342" s="11">
        <v>45124.0</v>
      </c>
      <c r="P1342" s="11">
        <v>45166.0</v>
      </c>
      <c r="Q1342" s="11">
        <v>45123.0</v>
      </c>
      <c r="R1342" s="11">
        <v>45166.0</v>
      </c>
      <c r="S1342" s="12"/>
      <c r="T1342" s="8"/>
      <c r="U1342" s="8" t="s">
        <v>88</v>
      </c>
      <c r="V1342" s="13" t="s">
        <v>6222</v>
      </c>
      <c r="W1342" s="13" t="s">
        <v>6868</v>
      </c>
      <c r="X1342" s="12"/>
      <c r="Y1342" s="14"/>
      <c r="Z1342" s="14"/>
    </row>
    <row r="1343">
      <c r="A1343" s="8" t="s">
        <v>6869</v>
      </c>
      <c r="B1343" s="8" t="s">
        <v>6870</v>
      </c>
      <c r="C1343" s="8" t="s">
        <v>25</v>
      </c>
      <c r="D1343" s="8" t="s">
        <v>26</v>
      </c>
      <c r="E1343" s="8" t="s">
        <v>6871</v>
      </c>
      <c r="F1343" s="8">
        <v>6.38119123E8</v>
      </c>
      <c r="G1343" s="8" t="s">
        <v>221</v>
      </c>
      <c r="H1343" s="8" t="s">
        <v>2760</v>
      </c>
      <c r="I1343" s="8" t="s">
        <v>31</v>
      </c>
      <c r="J1343" s="8" t="s">
        <v>77</v>
      </c>
      <c r="K1343" s="10" t="s">
        <v>5635</v>
      </c>
      <c r="L1343" s="8" t="s">
        <v>58</v>
      </c>
      <c r="M1343" s="8" t="s">
        <v>35</v>
      </c>
      <c r="N1343" s="11">
        <v>45002.0</v>
      </c>
      <c r="O1343" s="11">
        <v>45110.0</v>
      </c>
      <c r="P1343" s="11">
        <v>45152.0</v>
      </c>
      <c r="Q1343" s="11">
        <v>45110.0</v>
      </c>
      <c r="R1343" s="11">
        <v>45152.0</v>
      </c>
      <c r="S1343" s="12"/>
      <c r="T1343" s="8"/>
      <c r="U1343" s="8" t="s">
        <v>59</v>
      </c>
      <c r="V1343" s="13" t="s">
        <v>2761</v>
      </c>
      <c r="W1343" s="13" t="s">
        <v>6872</v>
      </c>
      <c r="X1343" s="12"/>
      <c r="Y1343" s="14"/>
      <c r="Z1343" s="14"/>
    </row>
    <row r="1344">
      <c r="A1344" s="8" t="s">
        <v>6873</v>
      </c>
      <c r="B1344" s="8" t="s">
        <v>6874</v>
      </c>
      <c r="C1344" s="8" t="s">
        <v>25</v>
      </c>
      <c r="D1344" s="8" t="s">
        <v>26</v>
      </c>
      <c r="E1344" s="8" t="s">
        <v>6875</v>
      </c>
      <c r="F1344" s="8">
        <v>5.366236968E9</v>
      </c>
      <c r="G1344" s="8" t="s">
        <v>31</v>
      </c>
      <c r="H1344" s="8" t="s">
        <v>86</v>
      </c>
      <c r="I1344" s="8" t="s">
        <v>284</v>
      </c>
      <c r="J1344" s="8" t="s">
        <v>589</v>
      </c>
      <c r="K1344" s="10" t="s">
        <v>6876</v>
      </c>
      <c r="L1344" s="8" t="s">
        <v>58</v>
      </c>
      <c r="M1344" s="8" t="s">
        <v>35</v>
      </c>
      <c r="N1344" s="11">
        <v>45002.0</v>
      </c>
      <c r="O1344" s="11">
        <v>45153.0</v>
      </c>
      <c r="P1344" s="11">
        <v>45195.0</v>
      </c>
      <c r="Q1344" s="11">
        <v>45154.0</v>
      </c>
      <c r="R1344" s="11">
        <v>45195.0</v>
      </c>
      <c r="S1344" s="12"/>
      <c r="T1344" s="8"/>
      <c r="U1344" s="8" t="s">
        <v>185</v>
      </c>
      <c r="V1344" s="13" t="s">
        <v>175</v>
      </c>
      <c r="W1344" s="13" t="s">
        <v>6877</v>
      </c>
      <c r="X1344" s="12"/>
      <c r="Y1344" s="14"/>
      <c r="Z1344" s="14"/>
    </row>
    <row r="1345">
      <c r="A1345" s="8" t="s">
        <v>6878</v>
      </c>
      <c r="B1345" s="8" t="s">
        <v>6879</v>
      </c>
      <c r="C1345" s="8" t="s">
        <v>251</v>
      </c>
      <c r="D1345" s="8" t="s">
        <v>26</v>
      </c>
      <c r="E1345" s="8" t="s">
        <v>6880</v>
      </c>
      <c r="F1345" s="8">
        <v>4.52016725E8</v>
      </c>
      <c r="G1345" s="8" t="s">
        <v>31</v>
      </c>
      <c r="H1345" s="8" t="s">
        <v>292</v>
      </c>
      <c r="I1345" s="8" t="s">
        <v>284</v>
      </c>
      <c r="J1345" s="8" t="s">
        <v>691</v>
      </c>
      <c r="K1345" s="10" t="s">
        <v>6881</v>
      </c>
      <c r="L1345" s="8" t="s">
        <v>47</v>
      </c>
      <c r="M1345" s="8" t="s">
        <v>70</v>
      </c>
      <c r="N1345" s="11">
        <v>45002.0</v>
      </c>
      <c r="O1345" s="11">
        <v>45111.0</v>
      </c>
      <c r="P1345" s="11">
        <v>45477.0</v>
      </c>
      <c r="Q1345" s="11"/>
      <c r="R1345" s="11"/>
      <c r="S1345" s="12"/>
      <c r="T1345" s="8"/>
      <c r="U1345" s="8" t="s">
        <v>6882</v>
      </c>
      <c r="V1345" s="13" t="s">
        <v>3027</v>
      </c>
      <c r="W1345" s="13" t="s">
        <v>6883</v>
      </c>
      <c r="X1345" s="12"/>
      <c r="Y1345" s="14"/>
      <c r="Z1345" s="14"/>
    </row>
    <row r="1346">
      <c r="A1346" s="8" t="s">
        <v>6884</v>
      </c>
      <c r="B1346" s="8" t="s">
        <v>6885</v>
      </c>
      <c r="C1346" s="8" t="s">
        <v>25</v>
      </c>
      <c r="D1346" s="8" t="s">
        <v>26</v>
      </c>
      <c r="E1346" s="8" t="s">
        <v>6886</v>
      </c>
      <c r="F1346" s="8">
        <v>5.366455464E9</v>
      </c>
      <c r="G1346" s="8" t="s">
        <v>31</v>
      </c>
      <c r="H1346" s="8" t="s">
        <v>111</v>
      </c>
      <c r="I1346" s="8" t="s">
        <v>284</v>
      </c>
      <c r="J1346" s="8" t="s">
        <v>691</v>
      </c>
      <c r="K1346" s="10" t="s">
        <v>6887</v>
      </c>
      <c r="L1346" s="8" t="s">
        <v>47</v>
      </c>
      <c r="M1346" s="8" t="s">
        <v>35</v>
      </c>
      <c r="N1346" s="11">
        <v>45002.0</v>
      </c>
      <c r="O1346" s="11">
        <v>45078.0</v>
      </c>
      <c r="P1346" s="11">
        <v>45161.0</v>
      </c>
      <c r="Q1346" s="11">
        <v>45079.0</v>
      </c>
      <c r="R1346" s="11">
        <v>45169.0</v>
      </c>
      <c r="S1346" s="12"/>
      <c r="T1346" s="8"/>
      <c r="U1346" s="8" t="s">
        <v>6888</v>
      </c>
      <c r="V1346" s="13" t="s">
        <v>111</v>
      </c>
      <c r="W1346" s="13" t="s">
        <v>6889</v>
      </c>
      <c r="X1346" s="12"/>
      <c r="Y1346" s="14"/>
      <c r="Z1346" s="14"/>
    </row>
    <row r="1347">
      <c r="A1347" s="8" t="s">
        <v>6890</v>
      </c>
      <c r="B1347" s="8" t="s">
        <v>6891</v>
      </c>
      <c r="C1347" s="8" t="s">
        <v>25</v>
      </c>
      <c r="D1347" s="8" t="s">
        <v>26</v>
      </c>
      <c r="E1347" s="8" t="s">
        <v>6892</v>
      </c>
      <c r="F1347" s="8"/>
      <c r="G1347" s="8" t="s">
        <v>31</v>
      </c>
      <c r="H1347" s="8" t="s">
        <v>86</v>
      </c>
      <c r="I1347" s="8" t="s">
        <v>127</v>
      </c>
      <c r="J1347" s="8" t="s">
        <v>3006</v>
      </c>
      <c r="K1347" s="10" t="s">
        <v>6691</v>
      </c>
      <c r="L1347" s="8" t="s">
        <v>58</v>
      </c>
      <c r="M1347" s="8" t="s">
        <v>35</v>
      </c>
      <c r="N1347" s="11">
        <v>45002.0</v>
      </c>
      <c r="O1347" s="11">
        <v>45103.0</v>
      </c>
      <c r="P1347" s="11">
        <v>45145.0</v>
      </c>
      <c r="Q1347" s="11">
        <v>45103.0</v>
      </c>
      <c r="R1347" s="11">
        <v>45145.0</v>
      </c>
      <c r="S1347" s="12"/>
      <c r="T1347" s="8"/>
      <c r="U1347" s="8" t="s">
        <v>88</v>
      </c>
      <c r="V1347" s="13" t="s">
        <v>38</v>
      </c>
      <c r="W1347" s="13" t="s">
        <v>6893</v>
      </c>
      <c r="X1347" s="12"/>
      <c r="Y1347" s="14"/>
      <c r="Z1347" s="14"/>
    </row>
    <row r="1348">
      <c r="A1348" s="8" t="s">
        <v>6894</v>
      </c>
      <c r="B1348" s="8" t="s">
        <v>6895</v>
      </c>
      <c r="C1348" s="8" t="s">
        <v>25</v>
      </c>
      <c r="D1348" s="8" t="s">
        <v>26</v>
      </c>
      <c r="E1348" s="8" t="s">
        <v>6896</v>
      </c>
      <c r="F1348" s="9" t="s">
        <v>6897</v>
      </c>
      <c r="G1348" s="8" t="s">
        <v>29</v>
      </c>
      <c r="H1348" s="8" t="s">
        <v>6898</v>
      </c>
      <c r="I1348" s="8" t="s">
        <v>31</v>
      </c>
      <c r="J1348" s="8" t="s">
        <v>77</v>
      </c>
      <c r="K1348" s="10" t="s">
        <v>6682</v>
      </c>
      <c r="L1348" s="8" t="s">
        <v>58</v>
      </c>
      <c r="M1348" s="8" t="s">
        <v>35</v>
      </c>
      <c r="N1348" s="11">
        <v>45002.0</v>
      </c>
      <c r="O1348" s="11">
        <v>45089.0</v>
      </c>
      <c r="P1348" s="11">
        <v>45131.0</v>
      </c>
      <c r="Q1348" s="11">
        <v>45089.0</v>
      </c>
      <c r="R1348" s="11">
        <v>45131.0</v>
      </c>
      <c r="S1348" s="12"/>
      <c r="T1348" s="8"/>
      <c r="U1348" s="8" t="s">
        <v>59</v>
      </c>
      <c r="V1348" s="13" t="s">
        <v>38</v>
      </c>
      <c r="W1348" s="13" t="s">
        <v>6899</v>
      </c>
      <c r="X1348" s="12"/>
      <c r="Y1348" s="14"/>
      <c r="Z1348" s="14"/>
    </row>
    <row r="1349">
      <c r="A1349" s="8" t="s">
        <v>6900</v>
      </c>
      <c r="B1349" s="8" t="s">
        <v>6901</v>
      </c>
      <c r="C1349" s="8" t="s">
        <v>64</v>
      </c>
      <c r="D1349" s="8" t="s">
        <v>26</v>
      </c>
      <c r="E1349" s="8" t="s">
        <v>6902</v>
      </c>
      <c r="F1349" s="8">
        <v>5.050277697E9</v>
      </c>
      <c r="G1349" s="8" t="s">
        <v>31</v>
      </c>
      <c r="H1349" s="8" t="s">
        <v>66</v>
      </c>
      <c r="I1349" s="8" t="s">
        <v>230</v>
      </c>
      <c r="J1349" s="8" t="s">
        <v>6715</v>
      </c>
      <c r="K1349" s="10" t="s">
        <v>6716</v>
      </c>
      <c r="L1349" s="8" t="s">
        <v>58</v>
      </c>
      <c r="M1349" s="8" t="s">
        <v>35</v>
      </c>
      <c r="N1349" s="11">
        <v>45002.0</v>
      </c>
      <c r="O1349" s="11">
        <v>45109.0</v>
      </c>
      <c r="P1349" s="11">
        <v>45164.0</v>
      </c>
      <c r="Q1349" s="11">
        <v>45109.0</v>
      </c>
      <c r="R1349" s="11">
        <v>45164.0</v>
      </c>
      <c r="S1349" s="12"/>
      <c r="T1349" s="8"/>
      <c r="U1349" s="8" t="s">
        <v>4870</v>
      </c>
      <c r="V1349" s="13" t="s">
        <v>66</v>
      </c>
      <c r="W1349" s="13" t="s">
        <v>6903</v>
      </c>
      <c r="X1349" s="12"/>
      <c r="Y1349" s="14"/>
      <c r="Z1349" s="14"/>
    </row>
    <row r="1350">
      <c r="A1350" s="8" t="s">
        <v>6904</v>
      </c>
      <c r="B1350" s="8" t="s">
        <v>6905</v>
      </c>
      <c r="C1350" s="8" t="s">
        <v>25</v>
      </c>
      <c r="D1350" s="8" t="s">
        <v>26</v>
      </c>
      <c r="E1350" s="8" t="s">
        <v>6906</v>
      </c>
      <c r="F1350" s="8"/>
      <c r="G1350" s="8" t="s">
        <v>31</v>
      </c>
      <c r="H1350" s="8" t="s">
        <v>542</v>
      </c>
      <c r="I1350" s="8" t="s">
        <v>284</v>
      </c>
      <c r="J1350" s="8" t="s">
        <v>793</v>
      </c>
      <c r="K1350" s="10" t="s">
        <v>6907</v>
      </c>
      <c r="L1350" s="8" t="s">
        <v>58</v>
      </c>
      <c r="M1350" s="8" t="s">
        <v>35</v>
      </c>
      <c r="N1350" s="11">
        <v>45002.0</v>
      </c>
      <c r="O1350" s="11">
        <v>45108.0</v>
      </c>
      <c r="P1350" s="11">
        <v>45150.0</v>
      </c>
      <c r="Q1350" s="11">
        <v>45108.0</v>
      </c>
      <c r="R1350" s="11">
        <v>45152.0</v>
      </c>
      <c r="S1350" s="12"/>
      <c r="T1350" s="8"/>
      <c r="U1350" s="8" t="s">
        <v>59</v>
      </c>
      <c r="V1350" s="13" t="s">
        <v>38</v>
      </c>
      <c r="W1350" s="13" t="s">
        <v>6908</v>
      </c>
      <c r="X1350" s="12"/>
      <c r="Y1350" s="14"/>
      <c r="Z1350" s="14"/>
    </row>
    <row r="1351">
      <c r="A1351" s="8" t="s">
        <v>6909</v>
      </c>
      <c r="B1351" s="8" t="s">
        <v>6910</v>
      </c>
      <c r="C1351" s="8" t="s">
        <v>25</v>
      </c>
      <c r="D1351" s="8" t="s">
        <v>26</v>
      </c>
      <c r="E1351" s="8" t="s">
        <v>6911</v>
      </c>
      <c r="F1351" s="8"/>
      <c r="G1351" s="8" t="s">
        <v>31</v>
      </c>
      <c r="H1351" s="8" t="s">
        <v>77</v>
      </c>
      <c r="I1351" s="8" t="s">
        <v>230</v>
      </c>
      <c r="J1351" s="8" t="s">
        <v>6715</v>
      </c>
      <c r="K1351" s="10" t="s">
        <v>6716</v>
      </c>
      <c r="L1351" s="8" t="s">
        <v>58</v>
      </c>
      <c r="M1351" s="8" t="s">
        <v>35</v>
      </c>
      <c r="N1351" s="11">
        <v>45002.0</v>
      </c>
      <c r="O1351" s="11">
        <v>45109.0</v>
      </c>
      <c r="P1351" s="11">
        <v>45164.0</v>
      </c>
      <c r="Q1351" s="11">
        <v>45109.0</v>
      </c>
      <c r="R1351" s="11">
        <v>45164.0</v>
      </c>
      <c r="S1351" s="12"/>
      <c r="T1351" s="8"/>
      <c r="U1351" s="8" t="s">
        <v>4870</v>
      </c>
      <c r="V1351" s="13" t="s">
        <v>38</v>
      </c>
      <c r="W1351" s="13" t="s">
        <v>6912</v>
      </c>
      <c r="X1351" s="12"/>
      <c r="Y1351" s="14"/>
      <c r="Z1351" s="14"/>
    </row>
    <row r="1352">
      <c r="A1352" s="8" t="s">
        <v>6913</v>
      </c>
      <c r="B1352" s="8" t="s">
        <v>6914</v>
      </c>
      <c r="C1352" s="8" t="s">
        <v>179</v>
      </c>
      <c r="D1352" s="8" t="s">
        <v>26</v>
      </c>
      <c r="E1352" s="8" t="s">
        <v>6915</v>
      </c>
      <c r="F1352" s="8">
        <v>5.013190707E9</v>
      </c>
      <c r="G1352" s="8" t="s">
        <v>31</v>
      </c>
      <c r="H1352" s="8" t="s">
        <v>102</v>
      </c>
      <c r="I1352" s="8" t="s">
        <v>284</v>
      </c>
      <c r="J1352" s="8" t="s">
        <v>3188</v>
      </c>
      <c r="K1352" s="10" t="s">
        <v>6916</v>
      </c>
      <c r="L1352" s="8" t="s">
        <v>47</v>
      </c>
      <c r="M1352" s="8" t="s">
        <v>70</v>
      </c>
      <c r="N1352" s="11">
        <v>45002.0</v>
      </c>
      <c r="O1352" s="11">
        <v>45200.0</v>
      </c>
      <c r="P1352" s="11">
        <v>45451.0</v>
      </c>
      <c r="Q1352" s="11"/>
      <c r="R1352" s="11"/>
      <c r="S1352" s="12"/>
      <c r="T1352" s="8"/>
      <c r="U1352" s="8" t="s">
        <v>6917</v>
      </c>
      <c r="V1352" s="13" t="s">
        <v>102</v>
      </c>
      <c r="W1352" s="13" t="s">
        <v>6918</v>
      </c>
      <c r="X1352" s="12"/>
      <c r="Y1352" s="14"/>
      <c r="Z1352" s="14"/>
    </row>
    <row r="1353">
      <c r="A1353" s="8" t="s">
        <v>6919</v>
      </c>
      <c r="B1353" s="8" t="s">
        <v>6920</v>
      </c>
      <c r="C1353" s="8" t="s">
        <v>25</v>
      </c>
      <c r="D1353" s="8" t="s">
        <v>26</v>
      </c>
      <c r="E1353" s="8" t="s">
        <v>6921</v>
      </c>
      <c r="F1353" s="8">
        <v>2.8505842E7</v>
      </c>
      <c r="G1353" s="8" t="s">
        <v>54</v>
      </c>
      <c r="H1353" s="8" t="s">
        <v>244</v>
      </c>
      <c r="I1353" s="8" t="s">
        <v>31</v>
      </c>
      <c r="J1353" s="8" t="s">
        <v>77</v>
      </c>
      <c r="K1353" s="10" t="s">
        <v>152</v>
      </c>
      <c r="L1353" s="8" t="s">
        <v>58</v>
      </c>
      <c r="M1353" s="8" t="s">
        <v>35</v>
      </c>
      <c r="N1353" s="11">
        <v>45003.0</v>
      </c>
      <c r="O1353" s="11">
        <v>45137.0</v>
      </c>
      <c r="P1353" s="11">
        <v>45179.0</v>
      </c>
      <c r="Q1353" s="11">
        <v>45136.0</v>
      </c>
      <c r="R1353" s="11">
        <v>45179.0</v>
      </c>
      <c r="S1353" s="12"/>
      <c r="T1353" s="8"/>
      <c r="U1353" s="8" t="s">
        <v>153</v>
      </c>
      <c r="V1353" s="13" t="s">
        <v>6922</v>
      </c>
      <c r="W1353" s="13" t="s">
        <v>6923</v>
      </c>
      <c r="X1353" s="12"/>
      <c r="Y1353" s="14"/>
      <c r="Z1353" s="14"/>
    </row>
    <row r="1354">
      <c r="A1354" s="8" t="s">
        <v>6924</v>
      </c>
      <c r="B1354" s="8" t="s">
        <v>6925</v>
      </c>
      <c r="C1354" s="8" t="s">
        <v>25</v>
      </c>
      <c r="D1354" s="8" t="s">
        <v>26</v>
      </c>
      <c r="E1354" s="8" t="s">
        <v>6926</v>
      </c>
      <c r="F1354" s="8">
        <v>5.312551196E9</v>
      </c>
      <c r="G1354" s="8" t="s">
        <v>31</v>
      </c>
      <c r="H1354" s="8" t="s">
        <v>438</v>
      </c>
      <c r="I1354" s="8" t="s">
        <v>284</v>
      </c>
      <c r="J1354" s="8" t="s">
        <v>285</v>
      </c>
      <c r="K1354" s="10" t="s">
        <v>6927</v>
      </c>
      <c r="L1354" s="8" t="s">
        <v>58</v>
      </c>
      <c r="M1354" s="8" t="s">
        <v>35</v>
      </c>
      <c r="N1354" s="11">
        <v>45003.0</v>
      </c>
      <c r="O1354" s="11">
        <v>45108.0</v>
      </c>
      <c r="P1354" s="11">
        <v>45150.0</v>
      </c>
      <c r="Q1354" s="11">
        <v>45109.0</v>
      </c>
      <c r="R1354" s="11">
        <v>45150.0</v>
      </c>
      <c r="S1354" s="12"/>
      <c r="T1354" s="8"/>
      <c r="U1354" s="8" t="s">
        <v>59</v>
      </c>
      <c r="V1354" s="13" t="s">
        <v>438</v>
      </c>
      <c r="W1354" s="13" t="s">
        <v>6928</v>
      </c>
      <c r="X1354" s="12"/>
      <c r="Y1354" s="14"/>
      <c r="Z1354" s="14"/>
    </row>
    <row r="1355">
      <c r="A1355" s="8" t="s">
        <v>6929</v>
      </c>
      <c r="B1355" s="8" t="s">
        <v>6930</v>
      </c>
      <c r="C1355" s="8" t="s">
        <v>25</v>
      </c>
      <c r="D1355" s="8" t="s">
        <v>26</v>
      </c>
      <c r="E1355" s="8" t="s">
        <v>6931</v>
      </c>
      <c r="F1355" s="8">
        <v>5.379250024E9</v>
      </c>
      <c r="G1355" s="8" t="s">
        <v>31</v>
      </c>
      <c r="H1355" s="8" t="s">
        <v>86</v>
      </c>
      <c r="I1355" s="8" t="s">
        <v>127</v>
      </c>
      <c r="J1355" s="8" t="s">
        <v>3006</v>
      </c>
      <c r="K1355" s="10" t="s">
        <v>6932</v>
      </c>
      <c r="L1355" s="8" t="s">
        <v>58</v>
      </c>
      <c r="M1355" s="8" t="s">
        <v>35</v>
      </c>
      <c r="N1355" s="11">
        <v>45003.0</v>
      </c>
      <c r="O1355" s="11">
        <v>45103.0</v>
      </c>
      <c r="P1355" s="11">
        <v>45145.0</v>
      </c>
      <c r="Q1355" s="11">
        <v>45103.0</v>
      </c>
      <c r="R1355" s="11">
        <v>45145.0</v>
      </c>
      <c r="S1355" s="12"/>
      <c r="T1355" s="8"/>
      <c r="U1355" s="8" t="s">
        <v>88</v>
      </c>
      <c r="V1355" s="13" t="s">
        <v>111</v>
      </c>
      <c r="W1355" s="13" t="s">
        <v>6933</v>
      </c>
      <c r="X1355" s="12"/>
      <c r="Y1355" s="14"/>
      <c r="Z1355" s="14"/>
    </row>
    <row r="1356">
      <c r="A1356" s="8" t="s">
        <v>6934</v>
      </c>
      <c r="B1356" s="8" t="s">
        <v>6935</v>
      </c>
      <c r="C1356" s="8" t="s">
        <v>179</v>
      </c>
      <c r="D1356" s="8" t="s">
        <v>26</v>
      </c>
      <c r="E1356" s="8" t="s">
        <v>6936</v>
      </c>
      <c r="F1356" s="8">
        <v>6.18978343E8</v>
      </c>
      <c r="G1356" s="8" t="s">
        <v>84</v>
      </c>
      <c r="H1356" s="8" t="s">
        <v>1266</v>
      </c>
      <c r="I1356" s="8" t="s">
        <v>31</v>
      </c>
      <c r="J1356" s="8" t="s">
        <v>1119</v>
      </c>
      <c r="K1356" s="10" t="s">
        <v>6015</v>
      </c>
      <c r="L1356" s="8" t="s">
        <v>58</v>
      </c>
      <c r="M1356" s="8" t="s">
        <v>35</v>
      </c>
      <c r="N1356" s="11">
        <v>45003.0</v>
      </c>
      <c r="O1356" s="11">
        <v>45128.0</v>
      </c>
      <c r="P1356" s="11">
        <v>45170.0</v>
      </c>
      <c r="Q1356" s="11"/>
      <c r="R1356" s="11"/>
      <c r="S1356" s="12"/>
      <c r="T1356" s="8"/>
      <c r="U1356" s="8" t="s">
        <v>59</v>
      </c>
      <c r="V1356" s="13" t="s">
        <v>6937</v>
      </c>
      <c r="W1356" s="13" t="s">
        <v>6938</v>
      </c>
      <c r="X1356" s="12"/>
      <c r="Y1356" s="14"/>
      <c r="Z1356" s="14"/>
    </row>
    <row r="1357">
      <c r="A1357" s="8" t="s">
        <v>6939</v>
      </c>
      <c r="B1357" s="8" t="s">
        <v>6940</v>
      </c>
      <c r="C1357" s="8" t="s">
        <v>179</v>
      </c>
      <c r="D1357" s="8" t="s">
        <v>26</v>
      </c>
      <c r="E1357" s="8" t="s">
        <v>6941</v>
      </c>
      <c r="F1357" s="8">
        <v>5.458918704E9</v>
      </c>
      <c r="G1357" s="8" t="s">
        <v>31</v>
      </c>
      <c r="H1357" s="8" t="s">
        <v>56</v>
      </c>
      <c r="I1357" s="8" t="s">
        <v>127</v>
      </c>
      <c r="J1357" s="8" t="s">
        <v>159</v>
      </c>
      <c r="K1357" s="10" t="s">
        <v>6942</v>
      </c>
      <c r="L1357" s="8" t="s">
        <v>58</v>
      </c>
      <c r="M1357" s="8" t="s">
        <v>35</v>
      </c>
      <c r="N1357" s="11">
        <v>45003.0</v>
      </c>
      <c r="O1357" s="11">
        <v>45102.0</v>
      </c>
      <c r="P1357" s="11">
        <v>45144.0</v>
      </c>
      <c r="Q1357" s="11"/>
      <c r="R1357" s="11"/>
      <c r="S1357" s="12"/>
      <c r="T1357" s="8"/>
      <c r="U1357" s="8" t="s">
        <v>161</v>
      </c>
      <c r="V1357" s="13" t="s">
        <v>56</v>
      </c>
      <c r="W1357" s="13" t="s">
        <v>6943</v>
      </c>
      <c r="X1357" s="12"/>
      <c r="Y1357" s="14"/>
      <c r="Z1357" s="14"/>
    </row>
    <row r="1358">
      <c r="A1358" s="8" t="s">
        <v>6944</v>
      </c>
      <c r="B1358" s="8" t="s">
        <v>6945</v>
      </c>
      <c r="C1358" s="8" t="s">
        <v>64</v>
      </c>
      <c r="D1358" s="8" t="s">
        <v>26</v>
      </c>
      <c r="E1358" s="8" t="s">
        <v>6946</v>
      </c>
      <c r="F1358" s="8"/>
      <c r="G1358" s="8" t="s">
        <v>109</v>
      </c>
      <c r="H1358" s="8" t="s">
        <v>2359</v>
      </c>
      <c r="I1358" s="8" t="s">
        <v>31</v>
      </c>
      <c r="J1358" s="8" t="s">
        <v>86</v>
      </c>
      <c r="K1358" s="10" t="s">
        <v>2453</v>
      </c>
      <c r="L1358" s="8" t="s">
        <v>58</v>
      </c>
      <c r="M1358" s="8" t="s">
        <v>35</v>
      </c>
      <c r="N1358" s="11">
        <v>45003.0</v>
      </c>
      <c r="O1358" s="11">
        <v>45271.0</v>
      </c>
      <c r="P1358" s="11">
        <v>45313.0</v>
      </c>
      <c r="Q1358" s="11">
        <v>45272.0</v>
      </c>
      <c r="R1358" s="11">
        <v>45313.0</v>
      </c>
      <c r="S1358" s="12"/>
      <c r="T1358" s="8"/>
      <c r="U1358" s="8" t="s">
        <v>59</v>
      </c>
      <c r="V1358" s="13" t="s">
        <v>38</v>
      </c>
      <c r="W1358" s="13" t="s">
        <v>6947</v>
      </c>
      <c r="X1358" s="12"/>
      <c r="Y1358" s="14"/>
      <c r="Z1358" s="14"/>
    </row>
    <row r="1359">
      <c r="A1359" s="8" t="s">
        <v>6948</v>
      </c>
      <c r="B1359" s="8" t="s">
        <v>6949</v>
      </c>
      <c r="C1359" s="8" t="s">
        <v>25</v>
      </c>
      <c r="D1359" s="8" t="s">
        <v>26</v>
      </c>
      <c r="E1359" s="8" t="s">
        <v>6950</v>
      </c>
      <c r="F1359" s="8">
        <v>5.394846049E9</v>
      </c>
      <c r="G1359" s="8" t="s">
        <v>31</v>
      </c>
      <c r="H1359" s="8" t="s">
        <v>86</v>
      </c>
      <c r="I1359" s="8" t="s">
        <v>399</v>
      </c>
      <c r="J1359" s="8" t="s">
        <v>415</v>
      </c>
      <c r="K1359" s="10" t="s">
        <v>2626</v>
      </c>
      <c r="L1359" s="8" t="s">
        <v>58</v>
      </c>
      <c r="M1359" s="8" t="s">
        <v>35</v>
      </c>
      <c r="N1359" s="11">
        <v>45004.0</v>
      </c>
      <c r="O1359" s="11">
        <v>45122.0</v>
      </c>
      <c r="P1359" s="11">
        <v>45164.0</v>
      </c>
      <c r="Q1359" s="11">
        <v>45128.0</v>
      </c>
      <c r="R1359" s="11">
        <v>45168.0</v>
      </c>
      <c r="S1359" s="12"/>
      <c r="T1359" s="8"/>
      <c r="U1359" s="8" t="s">
        <v>185</v>
      </c>
      <c r="V1359" s="13" t="s">
        <v>175</v>
      </c>
      <c r="W1359" s="13" t="s">
        <v>6951</v>
      </c>
      <c r="X1359" s="12"/>
      <c r="Y1359" s="14"/>
      <c r="Z1359" s="14"/>
    </row>
    <row r="1360">
      <c r="A1360" s="8" t="s">
        <v>6952</v>
      </c>
      <c r="B1360" s="8" t="s">
        <v>6953</v>
      </c>
      <c r="C1360" s="8" t="s">
        <v>25</v>
      </c>
      <c r="D1360" s="8" t="s">
        <v>26</v>
      </c>
      <c r="E1360" s="8" t="s">
        <v>6954</v>
      </c>
      <c r="F1360" s="8">
        <v>7.475437898E9</v>
      </c>
      <c r="G1360" s="8" t="s">
        <v>496</v>
      </c>
      <c r="H1360" s="8" t="s">
        <v>497</v>
      </c>
      <c r="I1360" s="8" t="s">
        <v>31</v>
      </c>
      <c r="J1360" s="8" t="s">
        <v>77</v>
      </c>
      <c r="K1360" s="10" t="s">
        <v>5635</v>
      </c>
      <c r="L1360" s="8" t="s">
        <v>58</v>
      </c>
      <c r="M1360" s="8" t="s">
        <v>35</v>
      </c>
      <c r="N1360" s="11">
        <v>45004.0</v>
      </c>
      <c r="O1360" s="11">
        <v>45110.0</v>
      </c>
      <c r="P1360" s="11">
        <v>45152.0</v>
      </c>
      <c r="Q1360" s="11">
        <v>45107.0</v>
      </c>
      <c r="R1360" s="11">
        <v>45152.0</v>
      </c>
      <c r="S1360" s="12"/>
      <c r="T1360" s="8"/>
      <c r="U1360" s="8" t="s">
        <v>59</v>
      </c>
      <c r="V1360" s="13" t="s">
        <v>6955</v>
      </c>
      <c r="W1360" s="13" t="s">
        <v>6956</v>
      </c>
      <c r="X1360" s="12"/>
      <c r="Y1360" s="14"/>
      <c r="Z1360" s="14"/>
    </row>
    <row r="1361">
      <c r="A1361" s="8" t="s">
        <v>6957</v>
      </c>
      <c r="B1361" s="8" t="s">
        <v>6958</v>
      </c>
      <c r="C1361" s="8" t="s">
        <v>251</v>
      </c>
      <c r="D1361" s="8" t="s">
        <v>26</v>
      </c>
      <c r="E1361" s="8" t="s">
        <v>6959</v>
      </c>
      <c r="F1361" s="8">
        <v>5.382306476E9</v>
      </c>
      <c r="G1361" s="8" t="s">
        <v>254</v>
      </c>
      <c r="H1361" s="8" t="s">
        <v>6960</v>
      </c>
      <c r="I1361" s="8" t="s">
        <v>31</v>
      </c>
      <c r="J1361" s="8" t="s">
        <v>542</v>
      </c>
      <c r="K1361" s="10" t="s">
        <v>1685</v>
      </c>
      <c r="L1361" s="8" t="s">
        <v>34</v>
      </c>
      <c r="M1361" s="8" t="s">
        <v>70</v>
      </c>
      <c r="N1361" s="11">
        <v>45004.0</v>
      </c>
      <c r="O1361" s="11">
        <v>45047.0</v>
      </c>
      <c r="P1361" s="11">
        <v>45412.0</v>
      </c>
      <c r="Q1361" s="11"/>
      <c r="R1361" s="11"/>
      <c r="S1361" s="12"/>
      <c r="T1361" s="8" t="s">
        <v>205</v>
      </c>
      <c r="U1361" s="8" t="s">
        <v>1686</v>
      </c>
      <c r="V1361" s="13" t="s">
        <v>1010</v>
      </c>
      <c r="W1361" s="13" t="s">
        <v>6961</v>
      </c>
      <c r="X1361" s="12"/>
      <c r="Y1361" s="14"/>
      <c r="Z1361" s="14"/>
    </row>
    <row r="1362">
      <c r="A1362" s="8" t="s">
        <v>6962</v>
      </c>
      <c r="B1362" s="8" t="s">
        <v>6963</v>
      </c>
      <c r="C1362" s="8" t="s">
        <v>25</v>
      </c>
      <c r="D1362" s="8" t="s">
        <v>26</v>
      </c>
      <c r="E1362" s="8" t="s">
        <v>6964</v>
      </c>
      <c r="F1362" s="8"/>
      <c r="G1362" s="8" t="s">
        <v>31</v>
      </c>
      <c r="H1362" s="8" t="s">
        <v>56</v>
      </c>
      <c r="I1362" s="8" t="s">
        <v>195</v>
      </c>
      <c r="J1362" s="8" t="s">
        <v>6512</v>
      </c>
      <c r="K1362" s="10" t="s">
        <v>6513</v>
      </c>
      <c r="L1362" s="8" t="s">
        <v>58</v>
      </c>
      <c r="M1362" s="8" t="s">
        <v>35</v>
      </c>
      <c r="N1362" s="11">
        <v>45004.0</v>
      </c>
      <c r="O1362" s="11">
        <v>45101.0</v>
      </c>
      <c r="P1362" s="11">
        <v>45143.0</v>
      </c>
      <c r="Q1362" s="11">
        <v>45103.0</v>
      </c>
      <c r="R1362" s="11">
        <v>45143.0</v>
      </c>
      <c r="S1362" s="12"/>
      <c r="T1362" s="8"/>
      <c r="U1362" s="8" t="s">
        <v>3111</v>
      </c>
      <c r="V1362" s="13" t="s">
        <v>56</v>
      </c>
      <c r="W1362" s="13" t="s">
        <v>6965</v>
      </c>
      <c r="X1362" s="12"/>
      <c r="Y1362" s="14"/>
      <c r="Z1362" s="14"/>
    </row>
    <row r="1363">
      <c r="A1363" s="8" t="s">
        <v>6966</v>
      </c>
      <c r="B1363" s="8" t="s">
        <v>6967</v>
      </c>
      <c r="C1363" s="8" t="s">
        <v>25</v>
      </c>
      <c r="D1363" s="8" t="s">
        <v>26</v>
      </c>
      <c r="E1363" s="8" t="s">
        <v>6968</v>
      </c>
      <c r="F1363" s="8">
        <v>5.35254839E9</v>
      </c>
      <c r="G1363" s="8" t="s">
        <v>31</v>
      </c>
      <c r="H1363" s="8" t="s">
        <v>542</v>
      </c>
      <c r="I1363" s="8" t="s">
        <v>84</v>
      </c>
      <c r="J1363" s="8" t="s">
        <v>85</v>
      </c>
      <c r="K1363" s="10" t="s">
        <v>6969</v>
      </c>
      <c r="L1363" s="8" t="s">
        <v>47</v>
      </c>
      <c r="M1363" s="8" t="s">
        <v>35</v>
      </c>
      <c r="N1363" s="11">
        <v>45005.0</v>
      </c>
      <c r="O1363" s="11">
        <v>45017.0</v>
      </c>
      <c r="P1363" s="11">
        <v>45100.0</v>
      </c>
      <c r="Q1363" s="11">
        <v>45017.0</v>
      </c>
      <c r="R1363" s="11">
        <v>45100.0</v>
      </c>
      <c r="S1363" s="12"/>
      <c r="T1363" s="8"/>
      <c r="U1363" s="8" t="s">
        <v>246</v>
      </c>
      <c r="V1363" s="13" t="s">
        <v>545</v>
      </c>
      <c r="W1363" s="13" t="s">
        <v>6970</v>
      </c>
      <c r="X1363" s="12"/>
      <c r="Y1363" s="14"/>
      <c r="Z1363" s="14"/>
    </row>
    <row r="1364">
      <c r="A1364" s="8" t="s">
        <v>6971</v>
      </c>
      <c r="B1364" s="8" t="s">
        <v>6972</v>
      </c>
      <c r="C1364" s="8" t="s">
        <v>179</v>
      </c>
      <c r="D1364" s="8" t="s">
        <v>26</v>
      </c>
      <c r="E1364" s="8" t="s">
        <v>6973</v>
      </c>
      <c r="F1364" s="8"/>
      <c r="G1364" s="8" t="s">
        <v>31</v>
      </c>
      <c r="H1364" s="8" t="s">
        <v>102</v>
      </c>
      <c r="I1364" s="8" t="s">
        <v>399</v>
      </c>
      <c r="J1364" s="8" t="s">
        <v>415</v>
      </c>
      <c r="K1364" s="10" t="s">
        <v>1199</v>
      </c>
      <c r="L1364" s="8" t="s">
        <v>58</v>
      </c>
      <c r="M1364" s="8" t="s">
        <v>35</v>
      </c>
      <c r="N1364" s="11">
        <v>45005.0</v>
      </c>
      <c r="O1364" s="11">
        <v>45479.0</v>
      </c>
      <c r="P1364" s="11">
        <v>45521.0</v>
      </c>
      <c r="Q1364" s="11"/>
      <c r="R1364" s="11"/>
      <c r="S1364" s="12"/>
      <c r="T1364" s="8"/>
      <c r="U1364" s="8" t="s">
        <v>1038</v>
      </c>
      <c r="V1364" s="13" t="s">
        <v>38</v>
      </c>
      <c r="W1364" s="13" t="s">
        <v>6974</v>
      </c>
      <c r="X1364" s="12"/>
      <c r="Y1364" s="14"/>
      <c r="Z1364" s="14"/>
    </row>
    <row r="1365">
      <c r="A1365" s="8" t="s">
        <v>6975</v>
      </c>
      <c r="B1365" s="8" t="s">
        <v>6976</v>
      </c>
      <c r="C1365" s="8" t="s">
        <v>708</v>
      </c>
      <c r="D1365" s="8" t="s">
        <v>26</v>
      </c>
      <c r="E1365" s="8" t="s">
        <v>6977</v>
      </c>
      <c r="F1365" s="8"/>
      <c r="G1365" s="8" t="s">
        <v>6087</v>
      </c>
      <c r="H1365" s="8" t="s">
        <v>6840</v>
      </c>
      <c r="I1365" s="8" t="s">
        <v>31</v>
      </c>
      <c r="J1365" s="8" t="s">
        <v>438</v>
      </c>
      <c r="K1365" s="10" t="s">
        <v>4534</v>
      </c>
      <c r="L1365" s="8" t="s">
        <v>47</v>
      </c>
      <c r="M1365" s="8" t="s">
        <v>70</v>
      </c>
      <c r="N1365" s="11">
        <v>45005.0</v>
      </c>
      <c r="O1365" s="11">
        <v>45170.0</v>
      </c>
      <c r="P1365" s="11">
        <v>45535.0</v>
      </c>
      <c r="Q1365" s="11">
        <v>45170.0</v>
      </c>
      <c r="R1365" s="11">
        <v>45535.0</v>
      </c>
      <c r="S1365" s="12"/>
      <c r="T1365" s="8"/>
      <c r="U1365" s="8" t="s">
        <v>246</v>
      </c>
      <c r="V1365" s="13" t="s">
        <v>6843</v>
      </c>
      <c r="W1365" s="13" t="s">
        <v>6978</v>
      </c>
      <c r="X1365" s="12"/>
      <c r="Y1365" s="14"/>
      <c r="Z1365" s="14"/>
    </row>
    <row r="1366">
      <c r="A1366" s="8" t="s">
        <v>6979</v>
      </c>
      <c r="B1366" s="8" t="s">
        <v>6980</v>
      </c>
      <c r="C1366" s="8" t="s">
        <v>25</v>
      </c>
      <c r="D1366" s="8" t="s">
        <v>26</v>
      </c>
      <c r="E1366" s="8" t="s">
        <v>6981</v>
      </c>
      <c r="F1366" s="8">
        <v>5.412476303E9</v>
      </c>
      <c r="G1366" s="8" t="s">
        <v>31</v>
      </c>
      <c r="H1366" s="8" t="s">
        <v>86</v>
      </c>
      <c r="I1366" s="8" t="s">
        <v>127</v>
      </c>
      <c r="J1366" s="8" t="s">
        <v>128</v>
      </c>
      <c r="K1366" s="10" t="s">
        <v>6982</v>
      </c>
      <c r="L1366" s="8" t="s">
        <v>58</v>
      </c>
      <c r="M1366" s="8" t="s">
        <v>35</v>
      </c>
      <c r="N1366" s="11">
        <v>45006.0</v>
      </c>
      <c r="O1366" s="11">
        <v>45096.0</v>
      </c>
      <c r="P1366" s="11">
        <v>45138.0</v>
      </c>
      <c r="Q1366" s="11">
        <v>45095.0</v>
      </c>
      <c r="R1366" s="11">
        <v>45138.0</v>
      </c>
      <c r="S1366" s="12"/>
      <c r="T1366" s="8"/>
      <c r="U1366" s="8" t="s">
        <v>161</v>
      </c>
      <c r="V1366" s="13" t="s">
        <v>175</v>
      </c>
      <c r="W1366" s="13" t="s">
        <v>6983</v>
      </c>
      <c r="X1366" s="12"/>
      <c r="Y1366" s="14"/>
      <c r="Z1366" s="14"/>
    </row>
    <row r="1367">
      <c r="A1367" s="8" t="s">
        <v>6984</v>
      </c>
      <c r="B1367" s="8" t="s">
        <v>6985</v>
      </c>
      <c r="C1367" s="8" t="s">
        <v>64</v>
      </c>
      <c r="D1367" s="8" t="s">
        <v>26</v>
      </c>
      <c r="E1367" s="8" t="s">
        <v>6986</v>
      </c>
      <c r="F1367" s="8">
        <v>9.771113E7</v>
      </c>
      <c r="G1367" s="8" t="s">
        <v>54</v>
      </c>
      <c r="H1367" s="8" t="s">
        <v>430</v>
      </c>
      <c r="I1367" s="8" t="s">
        <v>31</v>
      </c>
      <c r="J1367" s="8" t="s">
        <v>32</v>
      </c>
      <c r="K1367" s="10" t="s">
        <v>509</v>
      </c>
      <c r="L1367" s="8" t="s">
        <v>58</v>
      </c>
      <c r="M1367" s="8" t="s">
        <v>35</v>
      </c>
      <c r="N1367" s="11">
        <v>45006.0</v>
      </c>
      <c r="O1367" s="11">
        <v>45096.0</v>
      </c>
      <c r="P1367" s="11">
        <v>45138.0</v>
      </c>
      <c r="Q1367" s="11">
        <v>45097.0</v>
      </c>
      <c r="R1367" s="11">
        <v>45139.0</v>
      </c>
      <c r="S1367" s="12"/>
      <c r="T1367" s="8"/>
      <c r="U1367" s="8" t="s">
        <v>153</v>
      </c>
      <c r="V1367" s="13" t="s">
        <v>849</v>
      </c>
      <c r="W1367" s="13" t="s">
        <v>6987</v>
      </c>
      <c r="X1367" s="12"/>
      <c r="Y1367" s="14"/>
      <c r="Z1367" s="14"/>
    </row>
    <row r="1368">
      <c r="A1368" s="8" t="s">
        <v>6988</v>
      </c>
      <c r="B1368" s="8" t="s">
        <v>6989</v>
      </c>
      <c r="C1368" s="8" t="s">
        <v>179</v>
      </c>
      <c r="D1368" s="8" t="s">
        <v>26</v>
      </c>
      <c r="E1368" s="8" t="s">
        <v>6990</v>
      </c>
      <c r="F1368" s="8"/>
      <c r="G1368" s="8" t="s">
        <v>31</v>
      </c>
      <c r="H1368" s="8" t="s">
        <v>86</v>
      </c>
      <c r="I1368" s="8" t="s">
        <v>284</v>
      </c>
      <c r="J1368" s="8" t="s">
        <v>589</v>
      </c>
      <c r="K1368" s="10" t="s">
        <v>6146</v>
      </c>
      <c r="L1368" s="8" t="s">
        <v>58</v>
      </c>
      <c r="M1368" s="8" t="s">
        <v>35</v>
      </c>
      <c r="N1368" s="11">
        <v>45006.0</v>
      </c>
      <c r="O1368" s="11">
        <v>45122.0</v>
      </c>
      <c r="P1368" s="11">
        <v>45164.0</v>
      </c>
      <c r="Q1368" s="11"/>
      <c r="R1368" s="11"/>
      <c r="S1368" s="12"/>
      <c r="T1368" s="8"/>
      <c r="U1368" s="8" t="s">
        <v>1038</v>
      </c>
      <c r="V1368" s="13" t="s">
        <v>38</v>
      </c>
      <c r="W1368" s="13" t="s">
        <v>6991</v>
      </c>
      <c r="X1368" s="12"/>
      <c r="Y1368" s="14"/>
      <c r="Z1368" s="14"/>
    </row>
    <row r="1369">
      <c r="A1369" s="8" t="s">
        <v>6992</v>
      </c>
      <c r="B1369" s="8" t="s">
        <v>6993</v>
      </c>
      <c r="C1369" s="8" t="s">
        <v>64</v>
      </c>
      <c r="D1369" s="8" t="s">
        <v>26</v>
      </c>
      <c r="E1369" s="8" t="s">
        <v>6994</v>
      </c>
      <c r="F1369" s="8">
        <v>7.46573806E8</v>
      </c>
      <c r="G1369" s="8" t="s">
        <v>127</v>
      </c>
      <c r="H1369" s="8" t="s">
        <v>6099</v>
      </c>
      <c r="I1369" s="8" t="s">
        <v>31</v>
      </c>
      <c r="J1369" s="8" t="s">
        <v>77</v>
      </c>
      <c r="K1369" s="10" t="s">
        <v>1582</v>
      </c>
      <c r="L1369" s="8" t="s">
        <v>58</v>
      </c>
      <c r="M1369" s="8" t="s">
        <v>35</v>
      </c>
      <c r="N1369" s="11">
        <v>45006.0</v>
      </c>
      <c r="O1369" s="11">
        <v>45159.0</v>
      </c>
      <c r="P1369" s="11">
        <v>45201.0</v>
      </c>
      <c r="Q1369" s="11">
        <v>45160.0</v>
      </c>
      <c r="R1369" s="11">
        <v>45201.0</v>
      </c>
      <c r="S1369" s="12"/>
      <c r="T1369" s="8"/>
      <c r="U1369" s="8" t="s">
        <v>59</v>
      </c>
      <c r="V1369" s="13" t="s">
        <v>6995</v>
      </c>
      <c r="W1369" s="13" t="s">
        <v>6996</v>
      </c>
      <c r="X1369" s="12"/>
      <c r="Y1369" s="14"/>
      <c r="Z1369" s="14"/>
    </row>
    <row r="1370">
      <c r="A1370" s="8" t="s">
        <v>6997</v>
      </c>
      <c r="B1370" s="8" t="s">
        <v>6998</v>
      </c>
      <c r="C1370" s="8" t="s">
        <v>64</v>
      </c>
      <c r="D1370" s="8" t="s">
        <v>26</v>
      </c>
      <c r="E1370" s="8" t="s">
        <v>6999</v>
      </c>
      <c r="F1370" s="8">
        <v>7.39417292E8</v>
      </c>
      <c r="G1370" s="8" t="s">
        <v>127</v>
      </c>
      <c r="H1370" s="8" t="s">
        <v>159</v>
      </c>
      <c r="I1370" s="8" t="s">
        <v>31</v>
      </c>
      <c r="J1370" s="8" t="s">
        <v>32</v>
      </c>
      <c r="K1370" s="10" t="s">
        <v>5071</v>
      </c>
      <c r="L1370" s="8" t="s">
        <v>58</v>
      </c>
      <c r="M1370" s="8" t="s">
        <v>35</v>
      </c>
      <c r="N1370" s="11">
        <v>45006.0</v>
      </c>
      <c r="O1370" s="11">
        <v>45166.0</v>
      </c>
      <c r="P1370" s="11">
        <v>45208.0</v>
      </c>
      <c r="Q1370" s="11">
        <v>45167.0</v>
      </c>
      <c r="R1370" s="11">
        <v>45209.0</v>
      </c>
      <c r="S1370" s="12"/>
      <c r="T1370" s="8"/>
      <c r="U1370" s="8" t="s">
        <v>161</v>
      </c>
      <c r="V1370" s="13" t="s">
        <v>159</v>
      </c>
      <c r="W1370" s="13" t="s">
        <v>7000</v>
      </c>
      <c r="X1370" s="12"/>
      <c r="Y1370" s="14"/>
      <c r="Z1370" s="14"/>
    </row>
    <row r="1371">
      <c r="A1371" s="8" t="s">
        <v>7001</v>
      </c>
      <c r="B1371" s="8" t="s">
        <v>7002</v>
      </c>
      <c r="C1371" s="8" t="s">
        <v>179</v>
      </c>
      <c r="D1371" s="8" t="s">
        <v>26</v>
      </c>
      <c r="E1371" s="8" t="s">
        <v>7003</v>
      </c>
      <c r="F1371" s="8">
        <v>5.3504829E9</v>
      </c>
      <c r="G1371" s="8" t="s">
        <v>31</v>
      </c>
      <c r="H1371" s="8" t="s">
        <v>32</v>
      </c>
      <c r="I1371" s="8" t="s">
        <v>284</v>
      </c>
      <c r="J1371" s="8" t="s">
        <v>793</v>
      </c>
      <c r="K1371" s="10" t="s">
        <v>2688</v>
      </c>
      <c r="L1371" s="8" t="s">
        <v>58</v>
      </c>
      <c r="M1371" s="8" t="s">
        <v>35</v>
      </c>
      <c r="N1371" s="11">
        <v>45006.0</v>
      </c>
      <c r="O1371" s="11">
        <v>45139.0</v>
      </c>
      <c r="P1371" s="11">
        <v>45181.0</v>
      </c>
      <c r="Q1371" s="11"/>
      <c r="R1371" s="11"/>
      <c r="S1371" s="12"/>
      <c r="T1371" s="8"/>
      <c r="U1371" s="8" t="s">
        <v>1038</v>
      </c>
      <c r="V1371" s="13" t="s">
        <v>537</v>
      </c>
      <c r="W1371" s="13" t="s">
        <v>7004</v>
      </c>
      <c r="X1371" s="12"/>
      <c r="Y1371" s="14"/>
      <c r="Z1371" s="14"/>
    </row>
    <row r="1372">
      <c r="A1372" s="8" t="s">
        <v>7005</v>
      </c>
      <c r="B1372" s="8" t="s">
        <v>7006</v>
      </c>
      <c r="C1372" s="8" t="s">
        <v>179</v>
      </c>
      <c r="D1372" s="8" t="s">
        <v>26</v>
      </c>
      <c r="E1372" s="8" t="s">
        <v>7007</v>
      </c>
      <c r="F1372" s="8">
        <v>5.330856457E9</v>
      </c>
      <c r="G1372" s="8" t="s">
        <v>31</v>
      </c>
      <c r="H1372" s="8" t="s">
        <v>56</v>
      </c>
      <c r="I1372" s="8" t="s">
        <v>195</v>
      </c>
      <c r="J1372" s="8" t="s">
        <v>6512</v>
      </c>
      <c r="K1372" s="10" t="s">
        <v>6513</v>
      </c>
      <c r="L1372" s="8" t="s">
        <v>58</v>
      </c>
      <c r="M1372" s="8" t="s">
        <v>35</v>
      </c>
      <c r="N1372" s="11">
        <v>45006.0</v>
      </c>
      <c r="O1372" s="11">
        <v>45115.0</v>
      </c>
      <c r="P1372" s="11">
        <v>45157.0</v>
      </c>
      <c r="Q1372" s="11"/>
      <c r="R1372" s="11"/>
      <c r="S1372" s="12"/>
      <c r="T1372" s="8"/>
      <c r="U1372" s="8" t="s">
        <v>3111</v>
      </c>
      <c r="V1372" s="13" t="s">
        <v>56</v>
      </c>
      <c r="W1372" s="13" t="s">
        <v>7008</v>
      </c>
      <c r="X1372" s="12"/>
      <c r="Y1372" s="14"/>
      <c r="Z1372" s="14"/>
    </row>
    <row r="1373">
      <c r="A1373" s="8" t="s">
        <v>7009</v>
      </c>
      <c r="B1373" s="8" t="s">
        <v>7010</v>
      </c>
      <c r="C1373" s="8" t="s">
        <v>25</v>
      </c>
      <c r="D1373" s="8" t="s">
        <v>26</v>
      </c>
      <c r="E1373" s="8" t="s">
        <v>7011</v>
      </c>
      <c r="F1373" s="8"/>
      <c r="G1373" s="8" t="s">
        <v>31</v>
      </c>
      <c r="H1373" s="8" t="s">
        <v>86</v>
      </c>
      <c r="I1373" s="8" t="s">
        <v>127</v>
      </c>
      <c r="J1373" s="8" t="s">
        <v>1628</v>
      </c>
      <c r="K1373" s="10" t="s">
        <v>6705</v>
      </c>
      <c r="L1373" s="8" t="s">
        <v>58</v>
      </c>
      <c r="M1373" s="8" t="s">
        <v>35</v>
      </c>
      <c r="N1373" s="11">
        <v>45006.0</v>
      </c>
      <c r="O1373" s="11">
        <v>45103.0</v>
      </c>
      <c r="P1373" s="11">
        <v>45145.0</v>
      </c>
      <c r="Q1373" s="11">
        <v>45103.0</v>
      </c>
      <c r="R1373" s="11">
        <v>45145.0</v>
      </c>
      <c r="S1373" s="12"/>
      <c r="T1373" s="8"/>
      <c r="U1373" s="8" t="s">
        <v>161</v>
      </c>
      <c r="V1373" s="13" t="s">
        <v>38</v>
      </c>
      <c r="W1373" s="13" t="s">
        <v>7012</v>
      </c>
      <c r="X1373" s="12"/>
      <c r="Y1373" s="14"/>
      <c r="Z1373" s="14"/>
    </row>
    <row r="1374">
      <c r="A1374" s="8" t="s">
        <v>7013</v>
      </c>
      <c r="B1374" s="8" t="s">
        <v>7014</v>
      </c>
      <c r="C1374" s="8" t="s">
        <v>64</v>
      </c>
      <c r="D1374" s="8" t="s">
        <v>26</v>
      </c>
      <c r="E1374" s="8" t="s">
        <v>7015</v>
      </c>
      <c r="F1374" s="8"/>
      <c r="G1374" s="8" t="s">
        <v>6087</v>
      </c>
      <c r="H1374" s="8" t="s">
        <v>6840</v>
      </c>
      <c r="I1374" s="8" t="s">
        <v>31</v>
      </c>
      <c r="J1374" s="8" t="s">
        <v>77</v>
      </c>
      <c r="K1374" s="10" t="s">
        <v>6841</v>
      </c>
      <c r="L1374" s="8" t="s">
        <v>34</v>
      </c>
      <c r="M1374" s="8" t="s">
        <v>35</v>
      </c>
      <c r="N1374" s="11">
        <v>45006.0</v>
      </c>
      <c r="O1374" s="11">
        <v>45002.0</v>
      </c>
      <c r="P1374" s="11">
        <v>45085.0</v>
      </c>
      <c r="Q1374" s="11">
        <v>45021.0</v>
      </c>
      <c r="R1374" s="11">
        <v>45108.0</v>
      </c>
      <c r="S1374" s="12"/>
      <c r="T1374" s="8" t="s">
        <v>205</v>
      </c>
      <c r="U1374" s="8" t="s">
        <v>6842</v>
      </c>
      <c r="V1374" s="13" t="s">
        <v>6843</v>
      </c>
      <c r="W1374" s="13" t="s">
        <v>7016</v>
      </c>
      <c r="X1374" s="12"/>
      <c r="Y1374" s="14"/>
      <c r="Z1374" s="14"/>
    </row>
    <row r="1375">
      <c r="A1375" s="8" t="s">
        <v>7017</v>
      </c>
      <c r="B1375" s="8" t="s">
        <v>7018</v>
      </c>
      <c r="C1375" s="8" t="s">
        <v>179</v>
      </c>
      <c r="D1375" s="8" t="s">
        <v>26</v>
      </c>
      <c r="E1375" s="8" t="s">
        <v>7019</v>
      </c>
      <c r="F1375" s="8">
        <v>7.03699269E8</v>
      </c>
      <c r="G1375" s="8" t="s">
        <v>31</v>
      </c>
      <c r="H1375" s="8" t="s">
        <v>959</v>
      </c>
      <c r="I1375" s="8" t="s">
        <v>44</v>
      </c>
      <c r="J1375" s="8" t="s">
        <v>4170</v>
      </c>
      <c r="K1375" s="10" t="s">
        <v>7020</v>
      </c>
      <c r="L1375" s="8" t="s">
        <v>34</v>
      </c>
      <c r="M1375" s="8" t="s">
        <v>35</v>
      </c>
      <c r="N1375" s="11">
        <v>45006.0</v>
      </c>
      <c r="O1375" s="11">
        <v>45110.0</v>
      </c>
      <c r="P1375" s="11">
        <v>45165.0</v>
      </c>
      <c r="Q1375" s="11"/>
      <c r="R1375" s="11"/>
      <c r="S1375" s="12"/>
      <c r="T1375" s="8" t="s">
        <v>1187</v>
      </c>
      <c r="U1375" s="8" t="s">
        <v>7021</v>
      </c>
      <c r="V1375" s="13" t="s">
        <v>1069</v>
      </c>
      <c r="W1375" s="13" t="s">
        <v>7022</v>
      </c>
      <c r="X1375" s="12"/>
      <c r="Y1375" s="14"/>
      <c r="Z1375" s="14"/>
    </row>
    <row r="1376">
      <c r="A1376" s="8" t="s">
        <v>7023</v>
      </c>
      <c r="B1376" s="8" t="s">
        <v>7024</v>
      </c>
      <c r="C1376" s="8" t="s">
        <v>25</v>
      </c>
      <c r="D1376" s="8" t="s">
        <v>26</v>
      </c>
      <c r="E1376" s="8" t="s">
        <v>7025</v>
      </c>
      <c r="F1376" s="8">
        <v>5.454192049E9</v>
      </c>
      <c r="G1376" s="8" t="s">
        <v>31</v>
      </c>
      <c r="H1376" s="8" t="s">
        <v>1274</v>
      </c>
      <c r="I1376" s="8" t="s">
        <v>284</v>
      </c>
      <c r="J1376" s="8" t="s">
        <v>1422</v>
      </c>
      <c r="K1376" s="10" t="s">
        <v>7026</v>
      </c>
      <c r="L1376" s="8" t="s">
        <v>58</v>
      </c>
      <c r="M1376" s="8" t="s">
        <v>35</v>
      </c>
      <c r="N1376" s="11">
        <v>45007.0</v>
      </c>
      <c r="O1376" s="11">
        <v>45108.0</v>
      </c>
      <c r="P1376" s="11">
        <v>45150.0</v>
      </c>
      <c r="Q1376" s="11">
        <v>45107.0</v>
      </c>
      <c r="R1376" s="11">
        <v>45150.0</v>
      </c>
      <c r="S1376" s="12"/>
      <c r="T1376" s="8"/>
      <c r="U1376" s="8" t="s">
        <v>1038</v>
      </c>
      <c r="V1376" s="13" t="s">
        <v>1274</v>
      </c>
      <c r="W1376" s="13" t="s">
        <v>7027</v>
      </c>
      <c r="X1376" s="12"/>
      <c r="Y1376" s="14"/>
      <c r="Z1376" s="14"/>
    </row>
    <row r="1377">
      <c r="A1377" s="8" t="s">
        <v>7028</v>
      </c>
      <c r="B1377" s="8" t="s">
        <v>7029</v>
      </c>
      <c r="C1377" s="8" t="s">
        <v>25</v>
      </c>
      <c r="D1377" s="8" t="s">
        <v>26</v>
      </c>
      <c r="E1377" s="8" t="s">
        <v>7030</v>
      </c>
      <c r="F1377" s="8" t="s">
        <v>7031</v>
      </c>
      <c r="G1377" s="8" t="s">
        <v>31</v>
      </c>
      <c r="H1377" s="8" t="s">
        <v>220</v>
      </c>
      <c r="I1377" s="8" t="s">
        <v>284</v>
      </c>
      <c r="J1377" s="8" t="s">
        <v>300</v>
      </c>
      <c r="K1377" s="10" t="s">
        <v>7032</v>
      </c>
      <c r="L1377" s="8" t="s">
        <v>58</v>
      </c>
      <c r="M1377" s="8" t="s">
        <v>35</v>
      </c>
      <c r="N1377" s="11">
        <v>45007.0</v>
      </c>
      <c r="O1377" s="11">
        <v>45139.0</v>
      </c>
      <c r="P1377" s="11">
        <v>45181.0</v>
      </c>
      <c r="Q1377" s="11">
        <v>45139.0</v>
      </c>
      <c r="R1377" s="11">
        <v>45181.0</v>
      </c>
      <c r="S1377" s="12"/>
      <c r="T1377" s="8"/>
      <c r="U1377" s="8" t="s">
        <v>153</v>
      </c>
      <c r="V1377" s="13" t="s">
        <v>220</v>
      </c>
      <c r="W1377" s="13" t="s">
        <v>7033</v>
      </c>
      <c r="X1377" s="12"/>
      <c r="Y1377" s="14"/>
      <c r="Z1377" s="14"/>
    </row>
    <row r="1378">
      <c r="A1378" s="8" t="s">
        <v>7034</v>
      </c>
      <c r="B1378" s="8" t="s">
        <v>7035</v>
      </c>
      <c r="C1378" s="8" t="s">
        <v>25</v>
      </c>
      <c r="D1378" s="8" t="s">
        <v>26</v>
      </c>
      <c r="E1378" s="8" t="s">
        <v>7036</v>
      </c>
      <c r="F1378" s="8">
        <v>2.9295325E7</v>
      </c>
      <c r="G1378" s="8" t="s">
        <v>54</v>
      </c>
      <c r="H1378" s="8" t="s">
        <v>377</v>
      </c>
      <c r="I1378" s="8" t="s">
        <v>31</v>
      </c>
      <c r="J1378" s="8" t="s">
        <v>438</v>
      </c>
      <c r="K1378" s="10" t="s">
        <v>6789</v>
      </c>
      <c r="L1378" s="8" t="s">
        <v>58</v>
      </c>
      <c r="M1378" s="8" t="s">
        <v>35</v>
      </c>
      <c r="N1378" s="11">
        <v>45008.0</v>
      </c>
      <c r="O1378" s="11">
        <v>45103.0</v>
      </c>
      <c r="P1378" s="11">
        <v>45145.0</v>
      </c>
      <c r="Q1378" s="11">
        <v>45103.0</v>
      </c>
      <c r="R1378" s="11">
        <v>45145.0</v>
      </c>
      <c r="S1378" s="12"/>
      <c r="T1378" s="8"/>
      <c r="U1378" s="8" t="s">
        <v>632</v>
      </c>
      <c r="V1378" s="13" t="s">
        <v>1604</v>
      </c>
      <c r="W1378" s="13" t="s">
        <v>7037</v>
      </c>
      <c r="X1378" s="12"/>
      <c r="Y1378" s="14"/>
      <c r="Z1378" s="14"/>
    </row>
    <row r="1379">
      <c r="A1379" s="8" t="s">
        <v>7038</v>
      </c>
      <c r="B1379" s="8" t="s">
        <v>7039</v>
      </c>
      <c r="C1379" s="8" t="s">
        <v>25</v>
      </c>
      <c r="D1379" s="8" t="s">
        <v>26</v>
      </c>
      <c r="E1379" s="8" t="s">
        <v>7040</v>
      </c>
      <c r="F1379" s="8">
        <v>5.455029641E9</v>
      </c>
      <c r="G1379" s="8" t="s">
        <v>31</v>
      </c>
      <c r="H1379" s="8" t="s">
        <v>1119</v>
      </c>
      <c r="I1379" s="8" t="s">
        <v>284</v>
      </c>
      <c r="J1379" s="8" t="s">
        <v>854</v>
      </c>
      <c r="K1379" s="10" t="s">
        <v>1037</v>
      </c>
      <c r="L1379" s="8" t="s">
        <v>58</v>
      </c>
      <c r="M1379" s="8" t="s">
        <v>35</v>
      </c>
      <c r="N1379" s="11">
        <v>45008.0</v>
      </c>
      <c r="O1379" s="11">
        <v>45108.0</v>
      </c>
      <c r="P1379" s="11">
        <v>45153.0</v>
      </c>
      <c r="Q1379" s="11">
        <v>45111.0</v>
      </c>
      <c r="R1379" s="11">
        <v>45156.0</v>
      </c>
      <c r="S1379" s="12"/>
      <c r="T1379" s="8"/>
      <c r="U1379" s="8" t="s">
        <v>1038</v>
      </c>
      <c r="V1379" s="13" t="s">
        <v>1119</v>
      </c>
      <c r="W1379" s="13" t="s">
        <v>7041</v>
      </c>
      <c r="X1379" s="12"/>
      <c r="Y1379" s="14"/>
      <c r="Z1379" s="14"/>
    </row>
    <row r="1380">
      <c r="A1380" s="8" t="s">
        <v>7042</v>
      </c>
      <c r="B1380" s="8" t="s">
        <v>7043</v>
      </c>
      <c r="C1380" s="8" t="s">
        <v>25</v>
      </c>
      <c r="D1380" s="8" t="s">
        <v>26</v>
      </c>
      <c r="E1380" s="8" t="s">
        <v>7044</v>
      </c>
      <c r="F1380" s="8"/>
      <c r="G1380" s="8" t="s">
        <v>31</v>
      </c>
      <c r="H1380" s="8" t="s">
        <v>77</v>
      </c>
      <c r="I1380" s="8" t="s">
        <v>284</v>
      </c>
      <c r="J1380" s="8" t="s">
        <v>589</v>
      </c>
      <c r="K1380" s="10" t="s">
        <v>6146</v>
      </c>
      <c r="L1380" s="8" t="s">
        <v>58</v>
      </c>
      <c r="M1380" s="8" t="s">
        <v>35</v>
      </c>
      <c r="N1380" s="11">
        <v>45008.0</v>
      </c>
      <c r="O1380" s="11">
        <v>45122.0</v>
      </c>
      <c r="P1380" s="11">
        <v>45164.0</v>
      </c>
      <c r="Q1380" s="11">
        <v>45122.0</v>
      </c>
      <c r="R1380" s="11">
        <v>45164.0</v>
      </c>
      <c r="S1380" s="12"/>
      <c r="T1380" s="8"/>
      <c r="U1380" s="8" t="s">
        <v>1038</v>
      </c>
      <c r="V1380" s="13" t="s">
        <v>38</v>
      </c>
      <c r="W1380" s="13" t="s">
        <v>7045</v>
      </c>
      <c r="X1380" s="12"/>
      <c r="Y1380" s="14"/>
      <c r="Z1380" s="14"/>
    </row>
    <row r="1381">
      <c r="A1381" s="8" t="s">
        <v>7046</v>
      </c>
      <c r="B1381" s="8" t="s">
        <v>7047</v>
      </c>
      <c r="C1381" s="8" t="s">
        <v>25</v>
      </c>
      <c r="D1381" s="8" t="s">
        <v>26</v>
      </c>
      <c r="E1381" s="8" t="s">
        <v>7048</v>
      </c>
      <c r="F1381" s="8"/>
      <c r="G1381" s="8" t="s">
        <v>31</v>
      </c>
      <c r="H1381" s="8" t="s">
        <v>102</v>
      </c>
      <c r="I1381" s="8" t="s">
        <v>127</v>
      </c>
      <c r="J1381" s="8" t="s">
        <v>1628</v>
      </c>
      <c r="K1381" s="10" t="s">
        <v>7049</v>
      </c>
      <c r="L1381" s="8" t="s">
        <v>58</v>
      </c>
      <c r="M1381" s="8" t="s">
        <v>35</v>
      </c>
      <c r="N1381" s="11">
        <v>45008.0</v>
      </c>
      <c r="O1381" s="11">
        <v>45103.0</v>
      </c>
      <c r="P1381" s="11">
        <v>45145.0</v>
      </c>
      <c r="Q1381" s="11">
        <v>45103.0</v>
      </c>
      <c r="R1381" s="11">
        <v>45145.0</v>
      </c>
      <c r="S1381" s="12"/>
      <c r="T1381" s="8"/>
      <c r="U1381" s="8" t="s">
        <v>59</v>
      </c>
      <c r="V1381" s="13" t="s">
        <v>38</v>
      </c>
      <c r="W1381" s="13" t="s">
        <v>7050</v>
      </c>
      <c r="X1381" s="12"/>
      <c r="Y1381" s="14"/>
      <c r="Z1381" s="14"/>
    </row>
    <row r="1382">
      <c r="A1382" s="8" t="s">
        <v>7051</v>
      </c>
      <c r="B1382" s="8" t="s">
        <v>7052</v>
      </c>
      <c r="C1382" s="8" t="s">
        <v>25</v>
      </c>
      <c r="D1382" s="8" t="s">
        <v>26</v>
      </c>
      <c r="E1382" s="8" t="s">
        <v>7053</v>
      </c>
      <c r="F1382" s="8">
        <v>6.97534565E8</v>
      </c>
      <c r="G1382" s="8" t="s">
        <v>254</v>
      </c>
      <c r="H1382" s="8" t="s">
        <v>291</v>
      </c>
      <c r="I1382" s="8" t="s">
        <v>31</v>
      </c>
      <c r="J1382" s="8" t="s">
        <v>256</v>
      </c>
      <c r="K1382" s="10" t="s">
        <v>7054</v>
      </c>
      <c r="L1382" s="8" t="s">
        <v>47</v>
      </c>
      <c r="M1382" s="8" t="s">
        <v>35</v>
      </c>
      <c r="N1382" s="11">
        <v>45008.0</v>
      </c>
      <c r="O1382" s="11">
        <v>45021.0</v>
      </c>
      <c r="P1382" s="11">
        <v>45104.0</v>
      </c>
      <c r="Q1382" s="11">
        <v>45024.0</v>
      </c>
      <c r="R1382" s="11">
        <v>45116.0</v>
      </c>
      <c r="S1382" s="12"/>
      <c r="T1382" s="8"/>
      <c r="U1382" s="8" t="s">
        <v>246</v>
      </c>
      <c r="V1382" s="13" t="s">
        <v>295</v>
      </c>
      <c r="W1382" s="13" t="s">
        <v>7055</v>
      </c>
      <c r="X1382" s="12"/>
      <c r="Y1382" s="14"/>
      <c r="Z1382" s="14"/>
    </row>
    <row r="1383">
      <c r="A1383" s="8" t="s">
        <v>7056</v>
      </c>
      <c r="B1383" s="8" t="s">
        <v>7057</v>
      </c>
      <c r="C1383" s="8" t="s">
        <v>25</v>
      </c>
      <c r="D1383" s="8" t="s">
        <v>26</v>
      </c>
      <c r="E1383" s="8" t="s">
        <v>7058</v>
      </c>
      <c r="F1383" s="8">
        <v>5.380448749E9</v>
      </c>
      <c r="G1383" s="8" t="s">
        <v>31</v>
      </c>
      <c r="H1383" s="8" t="s">
        <v>86</v>
      </c>
      <c r="I1383" s="8" t="s">
        <v>44</v>
      </c>
      <c r="J1383" s="8" t="s">
        <v>453</v>
      </c>
      <c r="K1383" s="10" t="s">
        <v>3060</v>
      </c>
      <c r="L1383" s="8" t="s">
        <v>58</v>
      </c>
      <c r="M1383" s="8" t="s">
        <v>35</v>
      </c>
      <c r="N1383" s="11">
        <v>45008.0</v>
      </c>
      <c r="O1383" s="11">
        <v>45122.0</v>
      </c>
      <c r="P1383" s="11">
        <v>45164.0</v>
      </c>
      <c r="Q1383" s="11">
        <v>45123.0</v>
      </c>
      <c r="R1383" s="11">
        <v>45164.0</v>
      </c>
      <c r="S1383" s="12"/>
      <c r="T1383" s="8"/>
      <c r="U1383" s="8" t="s">
        <v>371</v>
      </c>
      <c r="V1383" s="13" t="s">
        <v>175</v>
      </c>
      <c r="W1383" s="13" t="s">
        <v>7059</v>
      </c>
      <c r="X1383" s="12"/>
      <c r="Y1383" s="14"/>
      <c r="Z1383" s="14"/>
    </row>
    <row r="1384">
      <c r="A1384" s="8" t="s">
        <v>7060</v>
      </c>
      <c r="B1384" s="8" t="s">
        <v>7061</v>
      </c>
      <c r="C1384" s="8" t="s">
        <v>179</v>
      </c>
      <c r="D1384" s="8" t="s">
        <v>26</v>
      </c>
      <c r="E1384" s="8" t="s">
        <v>7062</v>
      </c>
      <c r="F1384" s="8">
        <v>6.1992755445E10</v>
      </c>
      <c r="G1384" s="8" t="s">
        <v>109</v>
      </c>
      <c r="H1384" s="8" t="s">
        <v>4031</v>
      </c>
      <c r="I1384" s="8" t="s">
        <v>31</v>
      </c>
      <c r="J1384" s="8" t="s">
        <v>542</v>
      </c>
      <c r="K1384" s="10" t="s">
        <v>7063</v>
      </c>
      <c r="L1384" s="8" t="s">
        <v>34</v>
      </c>
      <c r="M1384" s="8" t="s">
        <v>70</v>
      </c>
      <c r="N1384" s="11">
        <v>45008.0</v>
      </c>
      <c r="O1384" s="11">
        <v>45184.0</v>
      </c>
      <c r="P1384" s="11">
        <v>45548.0</v>
      </c>
      <c r="Q1384" s="11"/>
      <c r="R1384" s="11"/>
      <c r="S1384" s="12"/>
      <c r="T1384" s="8" t="s">
        <v>205</v>
      </c>
      <c r="U1384" s="8" t="s">
        <v>7064</v>
      </c>
      <c r="V1384" s="13" t="s">
        <v>38</v>
      </c>
      <c r="W1384" s="13" t="s">
        <v>7065</v>
      </c>
      <c r="X1384" s="12"/>
      <c r="Y1384" s="14"/>
      <c r="Z1384" s="14"/>
    </row>
    <row r="1385">
      <c r="A1385" s="8" t="s">
        <v>7066</v>
      </c>
      <c r="B1385" s="8" t="s">
        <v>7067</v>
      </c>
      <c r="C1385" s="8" t="s">
        <v>25</v>
      </c>
      <c r="D1385" s="8" t="s">
        <v>26</v>
      </c>
      <c r="E1385" s="8" t="s">
        <v>7068</v>
      </c>
      <c r="F1385" s="8"/>
      <c r="G1385" s="8" t="s">
        <v>31</v>
      </c>
      <c r="H1385" s="8" t="s">
        <v>102</v>
      </c>
      <c r="I1385" s="8" t="s">
        <v>127</v>
      </c>
      <c r="J1385" s="8" t="s">
        <v>1628</v>
      </c>
      <c r="K1385" s="10" t="s">
        <v>6705</v>
      </c>
      <c r="L1385" s="8" t="s">
        <v>58</v>
      </c>
      <c r="M1385" s="8" t="s">
        <v>35</v>
      </c>
      <c r="N1385" s="11">
        <v>45008.0</v>
      </c>
      <c r="O1385" s="11">
        <v>45103.0</v>
      </c>
      <c r="P1385" s="11">
        <v>45145.0</v>
      </c>
      <c r="Q1385" s="11">
        <v>45103.0</v>
      </c>
      <c r="R1385" s="11">
        <v>45145.0</v>
      </c>
      <c r="S1385" s="12"/>
      <c r="T1385" s="8"/>
      <c r="U1385" s="8" t="s">
        <v>161</v>
      </c>
      <c r="V1385" s="13" t="s">
        <v>38</v>
      </c>
      <c r="W1385" s="13" t="s">
        <v>7069</v>
      </c>
      <c r="X1385" s="12"/>
      <c r="Y1385" s="14"/>
      <c r="Z1385" s="14"/>
    </row>
    <row r="1386">
      <c r="A1386" s="8" t="s">
        <v>7070</v>
      </c>
      <c r="B1386" s="8" t="s">
        <v>7071</v>
      </c>
      <c r="C1386" s="8" t="s">
        <v>179</v>
      </c>
      <c r="D1386" s="8" t="s">
        <v>26</v>
      </c>
      <c r="E1386" s="8" t="s">
        <v>7072</v>
      </c>
      <c r="F1386" s="8">
        <v>1.090415543E9</v>
      </c>
      <c r="G1386" s="8" t="s">
        <v>284</v>
      </c>
      <c r="H1386" s="8" t="s">
        <v>673</v>
      </c>
      <c r="I1386" s="8" t="s">
        <v>31</v>
      </c>
      <c r="J1386" s="8" t="s">
        <v>32</v>
      </c>
      <c r="K1386" s="10" t="s">
        <v>473</v>
      </c>
      <c r="L1386" s="8" t="s">
        <v>58</v>
      </c>
      <c r="M1386" s="8" t="s">
        <v>35</v>
      </c>
      <c r="N1386" s="11">
        <v>45008.0</v>
      </c>
      <c r="O1386" s="11">
        <v>45088.0</v>
      </c>
      <c r="P1386" s="11">
        <v>45130.0</v>
      </c>
      <c r="Q1386" s="11"/>
      <c r="R1386" s="11"/>
      <c r="S1386" s="12"/>
      <c r="T1386" s="8"/>
      <c r="U1386" s="8" t="s">
        <v>59</v>
      </c>
      <c r="V1386" s="13" t="s">
        <v>674</v>
      </c>
      <c r="W1386" s="13" t="s">
        <v>7073</v>
      </c>
      <c r="X1386" s="12"/>
      <c r="Y1386" s="14"/>
      <c r="Z1386" s="14"/>
    </row>
    <row r="1387">
      <c r="A1387" s="8" t="s">
        <v>7074</v>
      </c>
      <c r="B1387" s="8" t="s">
        <v>7075</v>
      </c>
      <c r="C1387" s="8" t="s">
        <v>25</v>
      </c>
      <c r="D1387" s="8" t="s">
        <v>26</v>
      </c>
      <c r="E1387" s="8" t="s">
        <v>7076</v>
      </c>
      <c r="F1387" s="9" t="s">
        <v>7077</v>
      </c>
      <c r="G1387" s="8" t="s">
        <v>29</v>
      </c>
      <c r="H1387" s="8" t="s">
        <v>6898</v>
      </c>
      <c r="I1387" s="8" t="s">
        <v>31</v>
      </c>
      <c r="J1387" s="8" t="s">
        <v>77</v>
      </c>
      <c r="K1387" s="10" t="s">
        <v>3241</v>
      </c>
      <c r="L1387" s="8" t="s">
        <v>58</v>
      </c>
      <c r="M1387" s="8" t="s">
        <v>35</v>
      </c>
      <c r="N1387" s="11">
        <v>45008.0</v>
      </c>
      <c r="O1387" s="11">
        <v>45040.0</v>
      </c>
      <c r="P1387" s="11">
        <v>45082.0</v>
      </c>
      <c r="Q1387" s="11">
        <v>45040.0</v>
      </c>
      <c r="R1387" s="11">
        <v>45082.0</v>
      </c>
      <c r="S1387" s="12"/>
      <c r="T1387" s="8"/>
      <c r="U1387" s="8" t="s">
        <v>59</v>
      </c>
      <c r="V1387" s="13" t="s">
        <v>38</v>
      </c>
      <c r="W1387" s="13" t="s">
        <v>7078</v>
      </c>
      <c r="X1387" s="12"/>
      <c r="Y1387" s="14"/>
      <c r="Z1387" s="14"/>
    </row>
    <row r="1388">
      <c r="A1388" s="8" t="s">
        <v>7079</v>
      </c>
      <c r="B1388" s="8" t="s">
        <v>7080</v>
      </c>
      <c r="C1388" s="8" t="s">
        <v>708</v>
      </c>
      <c r="D1388" s="8" t="s">
        <v>26</v>
      </c>
      <c r="E1388" s="8" t="s">
        <v>7081</v>
      </c>
      <c r="F1388" s="8">
        <v>6.34860646E8</v>
      </c>
      <c r="G1388" s="8" t="s">
        <v>84</v>
      </c>
      <c r="H1388" s="8" t="s">
        <v>646</v>
      </c>
      <c r="I1388" s="8" t="s">
        <v>31</v>
      </c>
      <c r="J1388" s="8" t="s">
        <v>86</v>
      </c>
      <c r="K1388" s="10" t="s">
        <v>3755</v>
      </c>
      <c r="L1388" s="8" t="s">
        <v>34</v>
      </c>
      <c r="M1388" s="8" t="s">
        <v>70</v>
      </c>
      <c r="N1388" s="11">
        <v>45008.0</v>
      </c>
      <c r="O1388" s="11">
        <v>45026.0</v>
      </c>
      <c r="P1388" s="11">
        <v>45394.0</v>
      </c>
      <c r="Q1388" s="11">
        <v>45075.0</v>
      </c>
      <c r="R1388" s="11">
        <v>45443.0</v>
      </c>
      <c r="S1388" s="12"/>
      <c r="T1388" s="8" t="s">
        <v>36</v>
      </c>
      <c r="U1388" s="8" t="s">
        <v>3756</v>
      </c>
      <c r="V1388" s="13" t="s">
        <v>154</v>
      </c>
      <c r="W1388" s="13" t="s">
        <v>7082</v>
      </c>
      <c r="X1388" s="12"/>
      <c r="Y1388" s="14"/>
      <c r="Z1388" s="14"/>
    </row>
    <row r="1389">
      <c r="A1389" s="8" t="s">
        <v>7083</v>
      </c>
      <c r="B1389" s="8" t="s">
        <v>7084</v>
      </c>
      <c r="C1389" s="8" t="s">
        <v>25</v>
      </c>
      <c r="D1389" s="8" t="s">
        <v>26</v>
      </c>
      <c r="E1389" s="8" t="s">
        <v>7085</v>
      </c>
      <c r="F1389" s="8">
        <v>5.496782001E9</v>
      </c>
      <c r="G1389" s="8" t="s">
        <v>31</v>
      </c>
      <c r="H1389" s="8" t="s">
        <v>102</v>
      </c>
      <c r="I1389" s="8" t="s">
        <v>44</v>
      </c>
      <c r="J1389" s="8" t="s">
        <v>1993</v>
      </c>
      <c r="K1389" s="10" t="s">
        <v>1994</v>
      </c>
      <c r="L1389" s="8" t="s">
        <v>58</v>
      </c>
      <c r="M1389" s="8" t="s">
        <v>35</v>
      </c>
      <c r="N1389" s="11">
        <v>45009.0</v>
      </c>
      <c r="O1389" s="11">
        <v>45115.0</v>
      </c>
      <c r="P1389" s="11">
        <v>45157.0</v>
      </c>
      <c r="Q1389" s="11">
        <v>45122.0</v>
      </c>
      <c r="R1389" s="11">
        <v>45162.0</v>
      </c>
      <c r="S1389" s="12"/>
      <c r="T1389" s="8"/>
      <c r="U1389" s="8" t="s">
        <v>371</v>
      </c>
      <c r="V1389" s="13" t="s">
        <v>102</v>
      </c>
      <c r="W1389" s="13" t="s">
        <v>7086</v>
      </c>
      <c r="X1389" s="12"/>
      <c r="Y1389" s="14"/>
      <c r="Z1389" s="14"/>
    </row>
    <row r="1390">
      <c r="A1390" s="8" t="s">
        <v>7087</v>
      </c>
      <c r="B1390" s="8" t="s">
        <v>7088</v>
      </c>
      <c r="C1390" s="8" t="s">
        <v>708</v>
      </c>
      <c r="D1390" s="8" t="s">
        <v>26</v>
      </c>
      <c r="E1390" s="8" t="s">
        <v>7089</v>
      </c>
      <c r="F1390" s="8"/>
      <c r="G1390" s="8" t="s">
        <v>54</v>
      </c>
      <c r="H1390" s="8" t="s">
        <v>135</v>
      </c>
      <c r="I1390" s="8" t="s">
        <v>31</v>
      </c>
      <c r="J1390" s="8" t="s">
        <v>86</v>
      </c>
      <c r="K1390" s="10" t="s">
        <v>7090</v>
      </c>
      <c r="L1390" s="8" t="s">
        <v>34</v>
      </c>
      <c r="M1390" s="8" t="s">
        <v>70</v>
      </c>
      <c r="N1390" s="11">
        <v>45009.0</v>
      </c>
      <c r="O1390" s="11">
        <v>45047.0</v>
      </c>
      <c r="P1390" s="11">
        <v>45415.0</v>
      </c>
      <c r="Q1390" s="11">
        <v>45118.0</v>
      </c>
      <c r="R1390" s="11">
        <v>45485.0</v>
      </c>
      <c r="S1390" s="12"/>
      <c r="T1390" s="8" t="s">
        <v>224</v>
      </c>
      <c r="U1390" s="8" t="s">
        <v>7091</v>
      </c>
      <c r="V1390" s="13" t="s">
        <v>38</v>
      </c>
      <c r="W1390" s="13" t="s">
        <v>7092</v>
      </c>
      <c r="X1390" s="12"/>
      <c r="Y1390" s="14"/>
      <c r="Z1390" s="14"/>
    </row>
    <row r="1391">
      <c r="A1391" s="8" t="s">
        <v>7093</v>
      </c>
      <c r="B1391" s="8" t="s">
        <v>7094</v>
      </c>
      <c r="C1391" s="8" t="s">
        <v>64</v>
      </c>
      <c r="D1391" s="8" t="s">
        <v>26</v>
      </c>
      <c r="E1391" s="8" t="s">
        <v>7095</v>
      </c>
      <c r="F1391" s="8"/>
      <c r="G1391" s="8" t="s">
        <v>54</v>
      </c>
      <c r="H1391" s="8" t="s">
        <v>244</v>
      </c>
      <c r="I1391" s="8" t="s">
        <v>31</v>
      </c>
      <c r="J1391" s="8" t="s">
        <v>77</v>
      </c>
      <c r="K1391" s="10" t="s">
        <v>152</v>
      </c>
      <c r="L1391" s="8" t="s">
        <v>58</v>
      </c>
      <c r="M1391" s="8" t="s">
        <v>35</v>
      </c>
      <c r="N1391" s="11">
        <v>45009.0</v>
      </c>
      <c r="O1391" s="11">
        <v>45095.0</v>
      </c>
      <c r="P1391" s="11">
        <v>45137.0</v>
      </c>
      <c r="Q1391" s="11">
        <v>45094.0</v>
      </c>
      <c r="R1391" s="11">
        <v>45137.0</v>
      </c>
      <c r="S1391" s="12"/>
      <c r="T1391" s="8"/>
      <c r="U1391" s="8" t="s">
        <v>153</v>
      </c>
      <c r="V1391" s="13" t="s">
        <v>38</v>
      </c>
      <c r="W1391" s="13" t="s">
        <v>7096</v>
      </c>
      <c r="X1391" s="12"/>
      <c r="Y1391" s="14"/>
      <c r="Z1391" s="14"/>
    </row>
    <row r="1392">
      <c r="A1392" s="8" t="s">
        <v>7097</v>
      </c>
      <c r="B1392" s="8" t="s">
        <v>3644</v>
      </c>
      <c r="C1392" s="8" t="s">
        <v>25</v>
      </c>
      <c r="D1392" s="8" t="s">
        <v>26</v>
      </c>
      <c r="E1392" s="8" t="s">
        <v>7098</v>
      </c>
      <c r="F1392" s="8">
        <v>5.443628501E9</v>
      </c>
      <c r="G1392" s="8" t="s">
        <v>31</v>
      </c>
      <c r="H1392" s="8" t="s">
        <v>86</v>
      </c>
      <c r="I1392" s="8" t="s">
        <v>284</v>
      </c>
      <c r="J1392" s="8" t="s">
        <v>589</v>
      </c>
      <c r="K1392" s="10" t="s">
        <v>6146</v>
      </c>
      <c r="L1392" s="8" t="s">
        <v>58</v>
      </c>
      <c r="M1392" s="8" t="s">
        <v>35</v>
      </c>
      <c r="N1392" s="11">
        <v>45009.0</v>
      </c>
      <c r="O1392" s="11">
        <v>45122.0</v>
      </c>
      <c r="P1392" s="11">
        <v>45164.0</v>
      </c>
      <c r="Q1392" s="11">
        <v>45123.0</v>
      </c>
      <c r="R1392" s="11">
        <v>45164.0</v>
      </c>
      <c r="S1392" s="12"/>
      <c r="T1392" s="8"/>
      <c r="U1392" s="8" t="s">
        <v>1038</v>
      </c>
      <c r="V1392" s="13" t="s">
        <v>175</v>
      </c>
      <c r="W1392" s="13" t="s">
        <v>7099</v>
      </c>
      <c r="X1392" s="12"/>
      <c r="Y1392" s="14"/>
      <c r="Z1392" s="14"/>
    </row>
    <row r="1393">
      <c r="A1393" s="8" t="s">
        <v>7100</v>
      </c>
      <c r="B1393" s="8" t="s">
        <v>7101</v>
      </c>
      <c r="C1393" s="8" t="s">
        <v>25</v>
      </c>
      <c r="D1393" s="8" t="s">
        <v>26</v>
      </c>
      <c r="E1393" s="8" t="s">
        <v>7102</v>
      </c>
      <c r="F1393" s="8">
        <v>2.7392699E7</v>
      </c>
      <c r="G1393" s="8" t="s">
        <v>54</v>
      </c>
      <c r="H1393" s="8" t="s">
        <v>377</v>
      </c>
      <c r="I1393" s="8" t="s">
        <v>31</v>
      </c>
      <c r="J1393" s="8" t="s">
        <v>1274</v>
      </c>
      <c r="K1393" s="10" t="s">
        <v>4366</v>
      </c>
      <c r="L1393" s="8" t="s">
        <v>58</v>
      </c>
      <c r="M1393" s="8" t="s">
        <v>35</v>
      </c>
      <c r="N1393" s="11">
        <v>45009.0</v>
      </c>
      <c r="O1393" s="11">
        <v>45096.0</v>
      </c>
      <c r="P1393" s="11">
        <v>45138.0</v>
      </c>
      <c r="Q1393" s="11">
        <v>45095.0</v>
      </c>
      <c r="R1393" s="11">
        <v>45138.0</v>
      </c>
      <c r="S1393" s="12"/>
      <c r="T1393" s="8"/>
      <c r="U1393" s="8" t="s">
        <v>1038</v>
      </c>
      <c r="V1393" s="13" t="s">
        <v>7103</v>
      </c>
      <c r="W1393" s="13" t="s">
        <v>7104</v>
      </c>
      <c r="X1393" s="12"/>
      <c r="Y1393" s="14"/>
      <c r="Z1393" s="14"/>
    </row>
    <row r="1394">
      <c r="A1394" s="8" t="s">
        <v>7105</v>
      </c>
      <c r="B1394" s="8" t="s">
        <v>7106</v>
      </c>
      <c r="C1394" s="8" t="s">
        <v>25</v>
      </c>
      <c r="D1394" s="8" t="s">
        <v>26</v>
      </c>
      <c r="E1394" s="8" t="s">
        <v>7107</v>
      </c>
      <c r="F1394" s="8">
        <v>5.461012026E9</v>
      </c>
      <c r="G1394" s="8" t="s">
        <v>31</v>
      </c>
      <c r="H1394" s="8" t="s">
        <v>86</v>
      </c>
      <c r="I1394" s="8" t="s">
        <v>284</v>
      </c>
      <c r="J1394" s="8" t="s">
        <v>589</v>
      </c>
      <c r="K1394" s="10" t="s">
        <v>7108</v>
      </c>
      <c r="L1394" s="8" t="s">
        <v>58</v>
      </c>
      <c r="M1394" s="8" t="s">
        <v>35</v>
      </c>
      <c r="N1394" s="11">
        <v>45009.0</v>
      </c>
      <c r="O1394" s="11">
        <v>45122.0</v>
      </c>
      <c r="P1394" s="11">
        <v>45164.0</v>
      </c>
      <c r="Q1394" s="11">
        <v>45122.0</v>
      </c>
      <c r="R1394" s="11">
        <v>45164.0</v>
      </c>
      <c r="S1394" s="12"/>
      <c r="T1394" s="8"/>
      <c r="U1394" s="8" t="s">
        <v>59</v>
      </c>
      <c r="V1394" s="13" t="s">
        <v>175</v>
      </c>
      <c r="W1394" s="13" t="s">
        <v>7109</v>
      </c>
      <c r="X1394" s="12"/>
      <c r="Y1394" s="14"/>
      <c r="Z1394" s="14"/>
    </row>
    <row r="1395">
      <c r="A1395" s="8" t="s">
        <v>7110</v>
      </c>
      <c r="B1395" s="8" t="s">
        <v>7111</v>
      </c>
      <c r="C1395" s="8" t="s">
        <v>25</v>
      </c>
      <c r="D1395" s="8" t="s">
        <v>26</v>
      </c>
      <c r="E1395" s="8" t="s">
        <v>7112</v>
      </c>
      <c r="F1395" s="8">
        <v>5.4479986E7</v>
      </c>
      <c r="G1395" s="8" t="s">
        <v>54</v>
      </c>
      <c r="H1395" s="8" t="s">
        <v>430</v>
      </c>
      <c r="I1395" s="8" t="s">
        <v>31</v>
      </c>
      <c r="J1395" s="8" t="s">
        <v>438</v>
      </c>
      <c r="K1395" s="10" t="s">
        <v>7113</v>
      </c>
      <c r="L1395" s="8" t="s">
        <v>58</v>
      </c>
      <c r="M1395" s="8" t="s">
        <v>35</v>
      </c>
      <c r="N1395" s="11">
        <v>45009.0</v>
      </c>
      <c r="O1395" s="11">
        <v>45082.0</v>
      </c>
      <c r="P1395" s="11">
        <v>45124.0</v>
      </c>
      <c r="Q1395" s="11">
        <v>45085.0</v>
      </c>
      <c r="R1395" s="11">
        <v>45127.0</v>
      </c>
      <c r="S1395" s="12"/>
      <c r="T1395" s="8"/>
      <c r="U1395" s="8" t="s">
        <v>339</v>
      </c>
      <c r="V1395" s="13" t="s">
        <v>849</v>
      </c>
      <c r="W1395" s="13" t="s">
        <v>7114</v>
      </c>
      <c r="X1395" s="12"/>
      <c r="Y1395" s="14"/>
      <c r="Z1395" s="14"/>
    </row>
    <row r="1396">
      <c r="A1396" s="8" t="s">
        <v>7115</v>
      </c>
      <c r="B1396" s="8" t="s">
        <v>7116</v>
      </c>
      <c r="C1396" s="8" t="s">
        <v>25</v>
      </c>
      <c r="D1396" s="8" t="s">
        <v>26</v>
      </c>
      <c r="E1396" s="8" t="s">
        <v>7117</v>
      </c>
      <c r="F1396" s="9" t="s">
        <v>7118</v>
      </c>
      <c r="G1396" s="8" t="s">
        <v>31</v>
      </c>
      <c r="H1396" s="8" t="s">
        <v>86</v>
      </c>
      <c r="I1396" s="8" t="s">
        <v>44</v>
      </c>
      <c r="J1396" s="8" t="s">
        <v>1993</v>
      </c>
      <c r="K1396" s="10" t="s">
        <v>7119</v>
      </c>
      <c r="L1396" s="8" t="s">
        <v>58</v>
      </c>
      <c r="M1396" s="8" t="s">
        <v>35</v>
      </c>
      <c r="N1396" s="11">
        <v>45009.0</v>
      </c>
      <c r="O1396" s="11">
        <v>45109.0</v>
      </c>
      <c r="P1396" s="11">
        <v>45151.0</v>
      </c>
      <c r="Q1396" s="11">
        <v>45115.0</v>
      </c>
      <c r="R1396" s="11">
        <v>45155.0</v>
      </c>
      <c r="S1396" s="12"/>
      <c r="T1396" s="8"/>
      <c r="U1396" s="8" t="s">
        <v>3111</v>
      </c>
      <c r="V1396" s="13" t="s">
        <v>175</v>
      </c>
      <c r="W1396" s="13" t="s">
        <v>7120</v>
      </c>
      <c r="X1396" s="12"/>
      <c r="Y1396" s="14"/>
      <c r="Z1396" s="14"/>
    </row>
    <row r="1397">
      <c r="A1397" s="8" t="s">
        <v>7121</v>
      </c>
      <c r="B1397" s="8" t="s">
        <v>7122</v>
      </c>
      <c r="C1397" s="8" t="s">
        <v>25</v>
      </c>
      <c r="D1397" s="8" t="s">
        <v>26</v>
      </c>
      <c r="E1397" s="8" t="s">
        <v>7123</v>
      </c>
      <c r="F1397" s="8"/>
      <c r="G1397" s="8" t="s">
        <v>31</v>
      </c>
      <c r="H1397" s="8" t="s">
        <v>86</v>
      </c>
      <c r="I1397" s="8" t="s">
        <v>44</v>
      </c>
      <c r="J1397" s="8" t="s">
        <v>453</v>
      </c>
      <c r="K1397" s="10" t="s">
        <v>7124</v>
      </c>
      <c r="L1397" s="8" t="s">
        <v>58</v>
      </c>
      <c r="M1397" s="8" t="s">
        <v>35</v>
      </c>
      <c r="N1397" s="11">
        <v>45009.0</v>
      </c>
      <c r="O1397" s="11">
        <v>45122.0</v>
      </c>
      <c r="P1397" s="11">
        <v>45164.0</v>
      </c>
      <c r="Q1397" s="11">
        <v>45121.0</v>
      </c>
      <c r="R1397" s="11">
        <v>45164.0</v>
      </c>
      <c r="S1397" s="12"/>
      <c r="T1397" s="8"/>
      <c r="U1397" s="8" t="s">
        <v>59</v>
      </c>
      <c r="V1397" s="13" t="s">
        <v>38</v>
      </c>
      <c r="W1397" s="13" t="s">
        <v>7125</v>
      </c>
      <c r="X1397" s="12"/>
      <c r="Y1397" s="14"/>
      <c r="Z1397" s="14"/>
    </row>
    <row r="1398">
      <c r="A1398" s="8" t="s">
        <v>7126</v>
      </c>
      <c r="B1398" s="8" t="s">
        <v>7127</v>
      </c>
      <c r="C1398" s="8" t="s">
        <v>25</v>
      </c>
      <c r="D1398" s="8" t="s">
        <v>26</v>
      </c>
      <c r="E1398" s="8" t="s">
        <v>7128</v>
      </c>
      <c r="F1398" s="8" t="s">
        <v>7129</v>
      </c>
      <c r="G1398" s="8" t="s">
        <v>31</v>
      </c>
      <c r="H1398" s="8" t="s">
        <v>438</v>
      </c>
      <c r="I1398" s="8" t="s">
        <v>284</v>
      </c>
      <c r="J1398" s="8" t="s">
        <v>793</v>
      </c>
      <c r="K1398" s="10" t="s">
        <v>2688</v>
      </c>
      <c r="L1398" s="8" t="s">
        <v>58</v>
      </c>
      <c r="M1398" s="8" t="s">
        <v>35</v>
      </c>
      <c r="N1398" s="11">
        <v>45009.0</v>
      </c>
      <c r="O1398" s="11">
        <v>45108.0</v>
      </c>
      <c r="P1398" s="11">
        <v>45150.0</v>
      </c>
      <c r="Q1398" s="11">
        <v>45108.0</v>
      </c>
      <c r="R1398" s="11">
        <v>45153.0</v>
      </c>
      <c r="S1398" s="12"/>
      <c r="T1398" s="8"/>
      <c r="U1398" s="8" t="s">
        <v>1038</v>
      </c>
      <c r="V1398" s="13" t="s">
        <v>7130</v>
      </c>
      <c r="W1398" s="13" t="s">
        <v>7131</v>
      </c>
      <c r="X1398" s="12"/>
      <c r="Y1398" s="14"/>
      <c r="Z1398" s="14"/>
    </row>
    <row r="1399">
      <c r="A1399" s="8" t="s">
        <v>7132</v>
      </c>
      <c r="B1399" s="8" t="s">
        <v>7133</v>
      </c>
      <c r="C1399" s="8" t="s">
        <v>25</v>
      </c>
      <c r="D1399" s="8" t="s">
        <v>26</v>
      </c>
      <c r="E1399" s="8" t="s">
        <v>7134</v>
      </c>
      <c r="F1399" s="8">
        <v>7.54501064E8</v>
      </c>
      <c r="G1399" s="8" t="s">
        <v>127</v>
      </c>
      <c r="H1399" s="8" t="s">
        <v>6099</v>
      </c>
      <c r="I1399" s="8" t="s">
        <v>31</v>
      </c>
      <c r="J1399" s="8" t="s">
        <v>77</v>
      </c>
      <c r="K1399" s="10" t="s">
        <v>1582</v>
      </c>
      <c r="L1399" s="8" t="s">
        <v>58</v>
      </c>
      <c r="M1399" s="8" t="s">
        <v>35</v>
      </c>
      <c r="N1399" s="11">
        <v>45009.0</v>
      </c>
      <c r="O1399" s="11">
        <v>45159.0</v>
      </c>
      <c r="P1399" s="11">
        <v>45201.0</v>
      </c>
      <c r="Q1399" s="11">
        <v>45158.0</v>
      </c>
      <c r="R1399" s="11">
        <v>45201.0</v>
      </c>
      <c r="S1399" s="12"/>
      <c r="T1399" s="8"/>
      <c r="U1399" s="8" t="s">
        <v>59</v>
      </c>
      <c r="V1399" s="13" t="s">
        <v>159</v>
      </c>
      <c r="W1399" s="13" t="s">
        <v>7135</v>
      </c>
      <c r="X1399" s="12"/>
      <c r="Y1399" s="14"/>
      <c r="Z1399" s="14"/>
    </row>
    <row r="1400">
      <c r="A1400" s="8" t="s">
        <v>7136</v>
      </c>
      <c r="B1400" s="8" t="s">
        <v>7137</v>
      </c>
      <c r="C1400" s="8" t="s">
        <v>25</v>
      </c>
      <c r="D1400" s="8" t="s">
        <v>26</v>
      </c>
      <c r="E1400" s="8" t="s">
        <v>7138</v>
      </c>
      <c r="F1400" s="8">
        <v>9.15203527E8</v>
      </c>
      <c r="G1400" s="8" t="s">
        <v>1620</v>
      </c>
      <c r="H1400" s="8" t="s">
        <v>1635</v>
      </c>
      <c r="I1400" s="8" t="s">
        <v>31</v>
      </c>
      <c r="J1400" s="8" t="s">
        <v>86</v>
      </c>
      <c r="K1400" s="10" t="s">
        <v>2453</v>
      </c>
      <c r="L1400" s="8" t="s">
        <v>58</v>
      </c>
      <c r="M1400" s="8" t="s">
        <v>35</v>
      </c>
      <c r="N1400" s="11">
        <v>45009.0</v>
      </c>
      <c r="O1400" s="11">
        <v>45132.0</v>
      </c>
      <c r="P1400" s="11">
        <v>45174.0</v>
      </c>
      <c r="Q1400" s="11">
        <v>45145.0</v>
      </c>
      <c r="R1400" s="11">
        <v>45185.0</v>
      </c>
      <c r="S1400" s="12"/>
      <c r="T1400" s="8"/>
      <c r="U1400" s="8" t="s">
        <v>59</v>
      </c>
      <c r="V1400" s="13" t="s">
        <v>4256</v>
      </c>
      <c r="W1400" s="13" t="s">
        <v>7139</v>
      </c>
      <c r="X1400" s="12"/>
      <c r="Y1400" s="14"/>
      <c r="Z1400" s="14"/>
    </row>
    <row r="1401">
      <c r="A1401" s="8" t="s">
        <v>7140</v>
      </c>
      <c r="B1401" s="8" t="s">
        <v>7141</v>
      </c>
      <c r="C1401" s="8" t="s">
        <v>25</v>
      </c>
      <c r="D1401" s="8" t="s">
        <v>26</v>
      </c>
      <c r="E1401" s="8" t="s">
        <v>7142</v>
      </c>
      <c r="F1401" s="8">
        <v>7.75043103E8</v>
      </c>
      <c r="G1401" s="8" t="s">
        <v>277</v>
      </c>
      <c r="H1401" s="8" t="s">
        <v>697</v>
      </c>
      <c r="I1401" s="8" t="s">
        <v>31</v>
      </c>
      <c r="J1401" s="8" t="s">
        <v>438</v>
      </c>
      <c r="K1401" s="10" t="s">
        <v>6001</v>
      </c>
      <c r="L1401" s="8" t="s">
        <v>58</v>
      </c>
      <c r="M1401" s="8" t="s">
        <v>35</v>
      </c>
      <c r="N1401" s="11">
        <v>45009.0</v>
      </c>
      <c r="O1401" s="11">
        <v>45117.0</v>
      </c>
      <c r="P1401" s="11">
        <v>45159.0</v>
      </c>
      <c r="Q1401" s="11">
        <v>45118.0</v>
      </c>
      <c r="R1401" s="11">
        <v>45159.0</v>
      </c>
      <c r="S1401" s="12"/>
      <c r="T1401" s="8"/>
      <c r="U1401" s="8" t="s">
        <v>59</v>
      </c>
      <c r="V1401" s="13" t="s">
        <v>7143</v>
      </c>
      <c r="W1401" s="13" t="s">
        <v>7144</v>
      </c>
      <c r="X1401" s="12"/>
      <c r="Y1401" s="14"/>
      <c r="Z1401" s="14"/>
    </row>
    <row r="1402">
      <c r="A1402" s="8" t="s">
        <v>7145</v>
      </c>
      <c r="B1402" s="8" t="s">
        <v>7146</v>
      </c>
      <c r="C1402" s="8" t="s">
        <v>25</v>
      </c>
      <c r="D1402" s="8" t="s">
        <v>26</v>
      </c>
      <c r="E1402" s="8" t="s">
        <v>7147</v>
      </c>
      <c r="F1402" s="8">
        <v>5.439629982E9</v>
      </c>
      <c r="G1402" s="8" t="s">
        <v>31</v>
      </c>
      <c r="H1402" s="8" t="s">
        <v>56</v>
      </c>
      <c r="I1402" s="8" t="s">
        <v>127</v>
      </c>
      <c r="J1402" s="8" t="s">
        <v>128</v>
      </c>
      <c r="K1402" s="10" t="s">
        <v>7148</v>
      </c>
      <c r="L1402" s="8" t="s">
        <v>58</v>
      </c>
      <c r="M1402" s="8" t="s">
        <v>35</v>
      </c>
      <c r="N1402" s="11">
        <v>45009.0</v>
      </c>
      <c r="O1402" s="11">
        <v>45096.0</v>
      </c>
      <c r="P1402" s="11">
        <v>45138.0</v>
      </c>
      <c r="Q1402" s="11">
        <v>45096.0</v>
      </c>
      <c r="R1402" s="11">
        <v>45138.0</v>
      </c>
      <c r="S1402" s="12"/>
      <c r="T1402" s="8"/>
      <c r="U1402" s="8" t="s">
        <v>339</v>
      </c>
      <c r="V1402" s="13" t="s">
        <v>56</v>
      </c>
      <c r="W1402" s="13" t="s">
        <v>7149</v>
      </c>
      <c r="X1402" s="12"/>
      <c r="Y1402" s="14"/>
      <c r="Z1402" s="14"/>
    </row>
    <row r="1403">
      <c r="A1403" s="8" t="s">
        <v>7150</v>
      </c>
      <c r="B1403" s="8" t="s">
        <v>7151</v>
      </c>
      <c r="C1403" s="8" t="s">
        <v>25</v>
      </c>
      <c r="D1403" s="8" t="s">
        <v>26</v>
      </c>
      <c r="E1403" s="8" t="s">
        <v>7152</v>
      </c>
      <c r="F1403" s="8">
        <v>3.339992814E9</v>
      </c>
      <c r="G1403" s="8" t="s">
        <v>315</v>
      </c>
      <c r="H1403" s="8" t="s">
        <v>6834</v>
      </c>
      <c r="I1403" s="8" t="s">
        <v>31</v>
      </c>
      <c r="J1403" s="8" t="s">
        <v>32</v>
      </c>
      <c r="K1403" s="10" t="s">
        <v>473</v>
      </c>
      <c r="L1403" s="8" t="s">
        <v>58</v>
      </c>
      <c r="M1403" s="8" t="s">
        <v>35</v>
      </c>
      <c r="N1403" s="11">
        <v>45009.0</v>
      </c>
      <c r="O1403" s="11">
        <v>45088.0</v>
      </c>
      <c r="P1403" s="11">
        <v>45130.0</v>
      </c>
      <c r="Q1403" s="11">
        <v>45089.0</v>
      </c>
      <c r="R1403" s="11">
        <v>45131.0</v>
      </c>
      <c r="S1403" s="12"/>
      <c r="T1403" s="8"/>
      <c r="U1403" s="8" t="s">
        <v>59</v>
      </c>
      <c r="V1403" s="13" t="s">
        <v>6835</v>
      </c>
      <c r="W1403" s="13" t="s">
        <v>7153</v>
      </c>
      <c r="X1403" s="12"/>
      <c r="Y1403" s="14"/>
      <c r="Z1403" s="14"/>
    </row>
    <row r="1404">
      <c r="A1404" s="8" t="s">
        <v>7154</v>
      </c>
      <c r="B1404" s="8" t="s">
        <v>7155</v>
      </c>
      <c r="C1404" s="8" t="s">
        <v>708</v>
      </c>
      <c r="D1404" s="8" t="s">
        <v>26</v>
      </c>
      <c r="E1404" s="8" t="s">
        <v>7156</v>
      </c>
      <c r="F1404" s="8">
        <v>5.41657304E8</v>
      </c>
      <c r="G1404" s="8" t="s">
        <v>254</v>
      </c>
      <c r="H1404" s="8" t="s">
        <v>255</v>
      </c>
      <c r="I1404" s="8" t="s">
        <v>31</v>
      </c>
      <c r="J1404" s="8" t="s">
        <v>86</v>
      </c>
      <c r="K1404" s="10" t="s">
        <v>2404</v>
      </c>
      <c r="L1404" s="8" t="s">
        <v>34</v>
      </c>
      <c r="M1404" s="8" t="s">
        <v>70</v>
      </c>
      <c r="N1404" s="11">
        <v>45010.0</v>
      </c>
      <c r="O1404" s="11">
        <v>45060.0</v>
      </c>
      <c r="P1404" s="11">
        <v>45604.0</v>
      </c>
      <c r="Q1404" s="11">
        <v>45062.0</v>
      </c>
      <c r="R1404" s="11">
        <v>45611.0</v>
      </c>
      <c r="S1404" s="12"/>
      <c r="T1404" s="8" t="s">
        <v>36</v>
      </c>
      <c r="U1404" s="8" t="s">
        <v>2405</v>
      </c>
      <c r="V1404" s="13" t="s">
        <v>258</v>
      </c>
      <c r="W1404" s="13" t="s">
        <v>7157</v>
      </c>
      <c r="X1404" s="12"/>
      <c r="Y1404" s="14"/>
      <c r="Z1404" s="14"/>
    </row>
    <row r="1405">
      <c r="A1405" s="8" t="s">
        <v>7158</v>
      </c>
      <c r="B1405" s="8" t="s">
        <v>7159</v>
      </c>
      <c r="C1405" s="8" t="s">
        <v>25</v>
      </c>
      <c r="D1405" s="8" t="s">
        <v>26</v>
      </c>
      <c r="E1405" s="8" t="s">
        <v>7160</v>
      </c>
      <c r="F1405" s="8">
        <v>5.4592727E7</v>
      </c>
      <c r="G1405" s="8" t="s">
        <v>54</v>
      </c>
      <c r="H1405" s="8" t="s">
        <v>1911</v>
      </c>
      <c r="I1405" s="8" t="s">
        <v>31</v>
      </c>
      <c r="J1405" s="8" t="s">
        <v>292</v>
      </c>
      <c r="K1405" s="10" t="s">
        <v>7161</v>
      </c>
      <c r="L1405" s="8" t="s">
        <v>58</v>
      </c>
      <c r="M1405" s="8" t="s">
        <v>35</v>
      </c>
      <c r="N1405" s="11">
        <v>45010.0</v>
      </c>
      <c r="O1405" s="11">
        <v>45144.0</v>
      </c>
      <c r="P1405" s="11">
        <v>45186.0</v>
      </c>
      <c r="Q1405" s="11">
        <v>45150.0</v>
      </c>
      <c r="R1405" s="11">
        <v>45190.0</v>
      </c>
      <c r="S1405" s="12"/>
      <c r="T1405" s="8"/>
      <c r="U1405" s="8" t="s">
        <v>88</v>
      </c>
      <c r="V1405" s="13" t="s">
        <v>7162</v>
      </c>
      <c r="W1405" s="13" t="s">
        <v>7163</v>
      </c>
      <c r="X1405" s="12"/>
      <c r="Y1405" s="14"/>
      <c r="Z1405" s="14"/>
    </row>
    <row r="1406">
      <c r="A1406" s="8" t="s">
        <v>7164</v>
      </c>
      <c r="B1406" s="8" t="s">
        <v>7165</v>
      </c>
      <c r="C1406" s="8" t="s">
        <v>25</v>
      </c>
      <c r="D1406" s="8" t="s">
        <v>26</v>
      </c>
      <c r="E1406" s="8" t="s">
        <v>7166</v>
      </c>
      <c r="F1406" s="8">
        <v>9.805147715E9</v>
      </c>
      <c r="G1406" s="8" t="s">
        <v>44</v>
      </c>
      <c r="H1406" s="8" t="s">
        <v>7167</v>
      </c>
      <c r="I1406" s="8" t="s">
        <v>31</v>
      </c>
      <c r="J1406" s="8" t="s">
        <v>1274</v>
      </c>
      <c r="K1406" s="10" t="s">
        <v>4366</v>
      </c>
      <c r="L1406" s="8" t="s">
        <v>58</v>
      </c>
      <c r="M1406" s="8" t="s">
        <v>35</v>
      </c>
      <c r="N1406" s="11">
        <v>45010.0</v>
      </c>
      <c r="O1406" s="11">
        <v>45096.0</v>
      </c>
      <c r="P1406" s="11">
        <v>45138.0</v>
      </c>
      <c r="Q1406" s="11">
        <v>45093.0</v>
      </c>
      <c r="R1406" s="11">
        <v>45138.0</v>
      </c>
      <c r="S1406" s="12"/>
      <c r="T1406" s="8"/>
      <c r="U1406" s="8" t="s">
        <v>1038</v>
      </c>
      <c r="V1406" s="13" t="s">
        <v>7168</v>
      </c>
      <c r="W1406" s="13" t="s">
        <v>7169</v>
      </c>
      <c r="X1406" s="12"/>
      <c r="Y1406" s="14"/>
      <c r="Z1406" s="14"/>
    </row>
    <row r="1407">
      <c r="A1407" s="8" t="s">
        <v>7170</v>
      </c>
      <c r="B1407" s="8" t="s">
        <v>7171</v>
      </c>
      <c r="C1407" s="8" t="s">
        <v>64</v>
      </c>
      <c r="D1407" s="8" t="s">
        <v>26</v>
      </c>
      <c r="E1407" s="8" t="s">
        <v>7172</v>
      </c>
      <c r="F1407" s="8">
        <v>9.167609439E9</v>
      </c>
      <c r="G1407" s="8" t="s">
        <v>44</v>
      </c>
      <c r="H1407" s="8" t="s">
        <v>1433</v>
      </c>
      <c r="I1407" s="8" t="s">
        <v>31</v>
      </c>
      <c r="J1407" s="8" t="s">
        <v>102</v>
      </c>
      <c r="K1407" s="10" t="s">
        <v>6221</v>
      </c>
      <c r="L1407" s="8" t="s">
        <v>58</v>
      </c>
      <c r="M1407" s="8" t="s">
        <v>35</v>
      </c>
      <c r="N1407" s="11">
        <v>45010.0</v>
      </c>
      <c r="O1407" s="11">
        <v>45054.0</v>
      </c>
      <c r="P1407" s="11">
        <v>45096.0</v>
      </c>
      <c r="Q1407" s="11">
        <v>45053.0</v>
      </c>
      <c r="R1407" s="11">
        <v>45096.0</v>
      </c>
      <c r="S1407" s="12"/>
      <c r="T1407" s="8"/>
      <c r="U1407" s="8" t="s">
        <v>59</v>
      </c>
      <c r="V1407" s="13" t="s">
        <v>7173</v>
      </c>
      <c r="W1407" s="13" t="s">
        <v>7174</v>
      </c>
      <c r="X1407" s="12"/>
      <c r="Y1407" s="14"/>
      <c r="Z1407" s="14"/>
    </row>
    <row r="1408">
      <c r="A1408" s="8" t="s">
        <v>7175</v>
      </c>
      <c r="B1408" s="8" t="s">
        <v>7176</v>
      </c>
      <c r="C1408" s="8" t="s">
        <v>25</v>
      </c>
      <c r="D1408" s="8" t="s">
        <v>26</v>
      </c>
      <c r="E1408" s="8" t="s">
        <v>7177</v>
      </c>
      <c r="F1408" s="8">
        <v>7.02304442E8</v>
      </c>
      <c r="G1408" s="8" t="s">
        <v>277</v>
      </c>
      <c r="H1408" s="8" t="s">
        <v>278</v>
      </c>
      <c r="I1408" s="8" t="s">
        <v>31</v>
      </c>
      <c r="J1408" s="8" t="s">
        <v>102</v>
      </c>
      <c r="K1408" s="10" t="s">
        <v>6221</v>
      </c>
      <c r="L1408" s="8" t="s">
        <v>58</v>
      </c>
      <c r="M1408" s="8" t="s">
        <v>35</v>
      </c>
      <c r="N1408" s="11">
        <v>45010.0</v>
      </c>
      <c r="O1408" s="11">
        <v>45124.0</v>
      </c>
      <c r="P1408" s="11">
        <v>45166.0</v>
      </c>
      <c r="Q1408" s="11">
        <v>45124.0</v>
      </c>
      <c r="R1408" s="11">
        <v>45166.0</v>
      </c>
      <c r="S1408" s="12"/>
      <c r="T1408" s="8"/>
      <c r="U1408" s="8" t="s">
        <v>59</v>
      </c>
      <c r="V1408" s="13" t="s">
        <v>4429</v>
      </c>
      <c r="W1408" s="13" t="s">
        <v>7178</v>
      </c>
      <c r="X1408" s="12"/>
      <c r="Y1408" s="14"/>
      <c r="Z1408" s="14"/>
    </row>
    <row r="1409">
      <c r="A1409" s="8" t="s">
        <v>7179</v>
      </c>
      <c r="B1409" s="8" t="s">
        <v>7180</v>
      </c>
      <c r="C1409" s="8" t="s">
        <v>25</v>
      </c>
      <c r="D1409" s="8" t="s">
        <v>26</v>
      </c>
      <c r="E1409" s="8" t="s">
        <v>7181</v>
      </c>
      <c r="F1409" s="8">
        <v>5.373013939E9</v>
      </c>
      <c r="G1409" s="8" t="s">
        <v>31</v>
      </c>
      <c r="H1409" s="8" t="s">
        <v>32</v>
      </c>
      <c r="I1409" s="8" t="s">
        <v>29</v>
      </c>
      <c r="J1409" s="8" t="s">
        <v>530</v>
      </c>
      <c r="K1409" s="10" t="s">
        <v>7182</v>
      </c>
      <c r="L1409" s="8" t="s">
        <v>58</v>
      </c>
      <c r="M1409" s="8" t="s">
        <v>35</v>
      </c>
      <c r="N1409" s="11">
        <v>45010.0</v>
      </c>
      <c r="O1409" s="11">
        <v>45028.0</v>
      </c>
      <c r="P1409" s="11">
        <v>45070.0</v>
      </c>
      <c r="Q1409" s="11">
        <v>45028.0</v>
      </c>
      <c r="R1409" s="11">
        <v>45070.0</v>
      </c>
      <c r="S1409" s="12"/>
      <c r="T1409" s="8"/>
      <c r="U1409" s="8" t="s">
        <v>632</v>
      </c>
      <c r="V1409" s="13" t="s">
        <v>2491</v>
      </c>
      <c r="W1409" s="13" t="s">
        <v>7183</v>
      </c>
      <c r="X1409" s="12"/>
      <c r="Y1409" s="14"/>
      <c r="Z1409" s="14"/>
    </row>
    <row r="1410">
      <c r="A1410" s="8" t="s">
        <v>7184</v>
      </c>
      <c r="B1410" s="8" t="s">
        <v>7185</v>
      </c>
      <c r="C1410" s="8" t="s">
        <v>25</v>
      </c>
      <c r="D1410" s="8" t="s">
        <v>26</v>
      </c>
      <c r="E1410" s="8" t="s">
        <v>7186</v>
      </c>
      <c r="F1410" s="8"/>
      <c r="G1410" s="8" t="s">
        <v>127</v>
      </c>
      <c r="H1410" s="8" t="s">
        <v>1771</v>
      </c>
      <c r="I1410" s="8" t="s">
        <v>31</v>
      </c>
      <c r="J1410" s="8" t="s">
        <v>102</v>
      </c>
      <c r="K1410" s="10" t="s">
        <v>6221</v>
      </c>
      <c r="L1410" s="8" t="s">
        <v>58</v>
      </c>
      <c r="M1410" s="8" t="s">
        <v>35</v>
      </c>
      <c r="N1410" s="11">
        <v>45010.0</v>
      </c>
      <c r="O1410" s="11">
        <v>45124.0</v>
      </c>
      <c r="P1410" s="11">
        <v>45166.0</v>
      </c>
      <c r="Q1410" s="11">
        <v>45124.0</v>
      </c>
      <c r="R1410" s="11">
        <v>45166.0</v>
      </c>
      <c r="S1410" s="12"/>
      <c r="T1410" s="8"/>
      <c r="U1410" s="8" t="s">
        <v>59</v>
      </c>
      <c r="V1410" s="13" t="s">
        <v>4561</v>
      </c>
      <c r="W1410" s="13" t="s">
        <v>7187</v>
      </c>
      <c r="X1410" s="12"/>
      <c r="Y1410" s="14"/>
      <c r="Z1410" s="14"/>
    </row>
    <row r="1411">
      <c r="A1411" s="8" t="s">
        <v>7188</v>
      </c>
      <c r="B1411" s="8" t="s">
        <v>7189</v>
      </c>
      <c r="C1411" s="8" t="s">
        <v>179</v>
      </c>
      <c r="D1411" s="8" t="s">
        <v>26</v>
      </c>
      <c r="E1411" s="8" t="s">
        <v>7190</v>
      </c>
      <c r="F1411" s="8">
        <v>5.459722942E9</v>
      </c>
      <c r="G1411" s="8" t="s">
        <v>31</v>
      </c>
      <c r="H1411" s="8" t="s">
        <v>56</v>
      </c>
      <c r="I1411" s="8" t="s">
        <v>5008</v>
      </c>
      <c r="J1411" s="8" t="s">
        <v>5009</v>
      </c>
      <c r="K1411" s="10" t="s">
        <v>7191</v>
      </c>
      <c r="L1411" s="8" t="s">
        <v>34</v>
      </c>
      <c r="M1411" s="8" t="s">
        <v>70</v>
      </c>
      <c r="N1411" s="11">
        <v>45010.0</v>
      </c>
      <c r="O1411" s="11">
        <v>44963.0</v>
      </c>
      <c r="P1411" s="11">
        <v>45327.0</v>
      </c>
      <c r="Q1411" s="11"/>
      <c r="R1411" s="11"/>
      <c r="S1411" s="12"/>
      <c r="T1411" s="8" t="s">
        <v>121</v>
      </c>
      <c r="U1411" s="8" t="s">
        <v>7192</v>
      </c>
      <c r="V1411" s="13" t="s">
        <v>56</v>
      </c>
      <c r="W1411" s="13" t="s">
        <v>7193</v>
      </c>
      <c r="X1411" s="12"/>
      <c r="Y1411" s="14"/>
      <c r="Z1411" s="14"/>
    </row>
    <row r="1412">
      <c r="A1412" s="8" t="s">
        <v>7194</v>
      </c>
      <c r="B1412" s="8" t="s">
        <v>7195</v>
      </c>
      <c r="C1412" s="8" t="s">
        <v>179</v>
      </c>
      <c r="D1412" s="8" t="s">
        <v>26</v>
      </c>
      <c r="E1412" s="8" t="s">
        <v>7196</v>
      </c>
      <c r="F1412" s="8" t="s">
        <v>253</v>
      </c>
      <c r="G1412" s="8" t="s">
        <v>54</v>
      </c>
      <c r="H1412" s="8" t="s">
        <v>430</v>
      </c>
      <c r="I1412" s="8" t="s">
        <v>31</v>
      </c>
      <c r="J1412" s="8" t="s">
        <v>32</v>
      </c>
      <c r="K1412" s="10" t="s">
        <v>1095</v>
      </c>
      <c r="L1412" s="8" t="s">
        <v>58</v>
      </c>
      <c r="M1412" s="8" t="s">
        <v>35</v>
      </c>
      <c r="N1412" s="11">
        <v>45011.0</v>
      </c>
      <c r="O1412" s="11">
        <v>45172.0</v>
      </c>
      <c r="P1412" s="11">
        <v>45214.0</v>
      </c>
      <c r="Q1412" s="11"/>
      <c r="R1412" s="11"/>
      <c r="S1412" s="12"/>
      <c r="T1412" s="8"/>
      <c r="U1412" s="8" t="s">
        <v>59</v>
      </c>
      <c r="V1412" s="13" t="s">
        <v>7197</v>
      </c>
      <c r="W1412" s="13" t="s">
        <v>7198</v>
      </c>
      <c r="X1412" s="12"/>
      <c r="Y1412" s="14"/>
      <c r="Z1412" s="14"/>
    </row>
    <row r="1413">
      <c r="A1413" s="8" t="s">
        <v>7199</v>
      </c>
      <c r="B1413" s="8" t="s">
        <v>7200</v>
      </c>
      <c r="C1413" s="8" t="s">
        <v>25</v>
      </c>
      <c r="D1413" s="8" t="s">
        <v>26</v>
      </c>
      <c r="E1413" s="8" t="s">
        <v>7201</v>
      </c>
      <c r="F1413" s="8">
        <v>9.579906106E9</v>
      </c>
      <c r="G1413" s="8" t="s">
        <v>44</v>
      </c>
      <c r="H1413" s="8" t="s">
        <v>7167</v>
      </c>
      <c r="I1413" s="8" t="s">
        <v>31</v>
      </c>
      <c r="J1413" s="8" t="s">
        <v>1274</v>
      </c>
      <c r="K1413" s="10" t="s">
        <v>4366</v>
      </c>
      <c r="L1413" s="8" t="s">
        <v>58</v>
      </c>
      <c r="M1413" s="8" t="s">
        <v>35</v>
      </c>
      <c r="N1413" s="11">
        <v>45011.0</v>
      </c>
      <c r="O1413" s="11">
        <v>45096.0</v>
      </c>
      <c r="P1413" s="11">
        <v>45138.0</v>
      </c>
      <c r="Q1413" s="11">
        <v>45093.0</v>
      </c>
      <c r="R1413" s="11">
        <v>45138.0</v>
      </c>
      <c r="S1413" s="12"/>
      <c r="T1413" s="8"/>
      <c r="U1413" s="8" t="s">
        <v>1038</v>
      </c>
      <c r="V1413" s="13" t="s">
        <v>7202</v>
      </c>
      <c r="W1413" s="13" t="s">
        <v>7203</v>
      </c>
      <c r="X1413" s="12"/>
      <c r="Y1413" s="14"/>
      <c r="Z1413" s="14"/>
    </row>
    <row r="1414">
      <c r="A1414" s="8" t="s">
        <v>7204</v>
      </c>
      <c r="B1414" s="8" t="s">
        <v>7205</v>
      </c>
      <c r="C1414" s="8" t="s">
        <v>251</v>
      </c>
      <c r="D1414" s="8" t="s">
        <v>26</v>
      </c>
      <c r="E1414" s="8" t="s">
        <v>7206</v>
      </c>
      <c r="F1414" s="8"/>
      <c r="G1414" s="8" t="s">
        <v>315</v>
      </c>
      <c r="H1414" s="8" t="s">
        <v>6834</v>
      </c>
      <c r="I1414" s="8" t="s">
        <v>31</v>
      </c>
      <c r="J1414" s="8" t="s">
        <v>32</v>
      </c>
      <c r="K1414" s="10" t="s">
        <v>509</v>
      </c>
      <c r="L1414" s="8" t="s">
        <v>58</v>
      </c>
      <c r="M1414" s="8" t="s">
        <v>35</v>
      </c>
      <c r="N1414" s="11">
        <v>45011.0</v>
      </c>
      <c r="O1414" s="11">
        <v>45096.0</v>
      </c>
      <c r="P1414" s="11">
        <v>45138.0</v>
      </c>
      <c r="Q1414" s="11"/>
      <c r="R1414" s="11"/>
      <c r="S1414" s="12"/>
      <c r="T1414" s="8"/>
      <c r="U1414" s="8" t="s">
        <v>153</v>
      </c>
      <c r="V1414" s="13" t="s">
        <v>6835</v>
      </c>
      <c r="W1414" s="13" t="s">
        <v>7207</v>
      </c>
      <c r="X1414" s="12"/>
      <c r="Y1414" s="14"/>
      <c r="Z1414" s="14"/>
    </row>
    <row r="1415">
      <c r="A1415" s="8" t="s">
        <v>7208</v>
      </c>
      <c r="B1415" s="8" t="s">
        <v>7209</v>
      </c>
      <c r="C1415" s="8" t="s">
        <v>25</v>
      </c>
      <c r="D1415" s="8" t="s">
        <v>26</v>
      </c>
      <c r="E1415" s="8" t="s">
        <v>7210</v>
      </c>
      <c r="F1415" s="8"/>
      <c r="G1415" s="8" t="s">
        <v>1620</v>
      </c>
      <c r="H1415" s="8" t="s">
        <v>1635</v>
      </c>
      <c r="I1415" s="8" t="s">
        <v>31</v>
      </c>
      <c r="J1415" s="8" t="s">
        <v>86</v>
      </c>
      <c r="K1415" s="10" t="s">
        <v>2453</v>
      </c>
      <c r="L1415" s="8" t="s">
        <v>58</v>
      </c>
      <c r="M1415" s="8" t="s">
        <v>35</v>
      </c>
      <c r="N1415" s="11">
        <v>45011.0</v>
      </c>
      <c r="O1415" s="11">
        <v>45139.0</v>
      </c>
      <c r="P1415" s="11">
        <v>45181.0</v>
      </c>
      <c r="Q1415" s="11">
        <v>45144.0</v>
      </c>
      <c r="R1415" s="11">
        <v>45184.0</v>
      </c>
      <c r="S1415" s="12"/>
      <c r="T1415" s="8"/>
      <c r="U1415" s="8" t="s">
        <v>59</v>
      </c>
      <c r="V1415" s="13" t="s">
        <v>4256</v>
      </c>
      <c r="W1415" s="13" t="s">
        <v>7211</v>
      </c>
      <c r="X1415" s="12"/>
      <c r="Y1415" s="14"/>
      <c r="Z1415" s="14"/>
    </row>
    <row r="1416">
      <c r="A1416" s="8" t="s">
        <v>7212</v>
      </c>
      <c r="B1416" s="8" t="s">
        <v>7213</v>
      </c>
      <c r="C1416" s="8" t="s">
        <v>64</v>
      </c>
      <c r="D1416" s="8" t="s">
        <v>26</v>
      </c>
      <c r="E1416" s="8" t="s">
        <v>7214</v>
      </c>
      <c r="F1416" s="8"/>
      <c r="G1416" s="8" t="s">
        <v>315</v>
      </c>
      <c r="H1416" s="8" t="s">
        <v>6834</v>
      </c>
      <c r="I1416" s="8" t="s">
        <v>31</v>
      </c>
      <c r="J1416" s="8" t="s">
        <v>167</v>
      </c>
      <c r="K1416" s="10" t="s">
        <v>4008</v>
      </c>
      <c r="L1416" s="8" t="s">
        <v>58</v>
      </c>
      <c r="M1416" s="8" t="s">
        <v>35</v>
      </c>
      <c r="N1416" s="11">
        <v>45011.0</v>
      </c>
      <c r="O1416" s="11">
        <v>45075.0</v>
      </c>
      <c r="P1416" s="11">
        <v>45117.0</v>
      </c>
      <c r="Q1416" s="11">
        <v>45074.0</v>
      </c>
      <c r="R1416" s="11">
        <v>45117.0</v>
      </c>
      <c r="S1416" s="12"/>
      <c r="T1416" s="8"/>
      <c r="U1416" s="8" t="s">
        <v>59</v>
      </c>
      <c r="V1416" s="13" t="s">
        <v>38</v>
      </c>
      <c r="W1416" s="13" t="s">
        <v>7215</v>
      </c>
      <c r="X1416" s="12"/>
      <c r="Y1416" s="14"/>
      <c r="Z1416" s="14"/>
    </row>
    <row r="1417">
      <c r="A1417" s="8" t="s">
        <v>7216</v>
      </c>
      <c r="B1417" s="8" t="s">
        <v>7217</v>
      </c>
      <c r="C1417" s="8" t="s">
        <v>64</v>
      </c>
      <c r="D1417" s="8" t="s">
        <v>26</v>
      </c>
      <c r="E1417" s="8" t="s">
        <v>7218</v>
      </c>
      <c r="F1417" s="8">
        <v>6.96153986E8</v>
      </c>
      <c r="G1417" s="8" t="s">
        <v>84</v>
      </c>
      <c r="H1417" s="8" t="s">
        <v>1127</v>
      </c>
      <c r="I1417" s="8" t="s">
        <v>31</v>
      </c>
      <c r="J1417" s="8" t="s">
        <v>86</v>
      </c>
      <c r="K1417" s="10" t="s">
        <v>2453</v>
      </c>
      <c r="L1417" s="8" t="s">
        <v>58</v>
      </c>
      <c r="M1417" s="8" t="s">
        <v>35</v>
      </c>
      <c r="N1417" s="11">
        <v>45012.0</v>
      </c>
      <c r="O1417" s="11">
        <v>45133.0</v>
      </c>
      <c r="P1417" s="11">
        <v>45175.0</v>
      </c>
      <c r="Q1417" s="11">
        <v>45134.0</v>
      </c>
      <c r="R1417" s="11">
        <v>45175.0</v>
      </c>
      <c r="S1417" s="12"/>
      <c r="T1417" s="8"/>
      <c r="U1417" s="8" t="s">
        <v>59</v>
      </c>
      <c r="V1417" s="13" t="s">
        <v>7219</v>
      </c>
      <c r="W1417" s="13" t="s">
        <v>7220</v>
      </c>
      <c r="X1417" s="12"/>
      <c r="Y1417" s="14"/>
      <c r="Z1417" s="14"/>
    </row>
    <row r="1418">
      <c r="A1418" s="8" t="s">
        <v>7221</v>
      </c>
      <c r="B1418" s="8" t="s">
        <v>7222</v>
      </c>
      <c r="C1418" s="8" t="s">
        <v>25</v>
      </c>
      <c r="D1418" s="8" t="s">
        <v>26</v>
      </c>
      <c r="E1418" s="8" t="s">
        <v>7223</v>
      </c>
      <c r="F1418" s="8">
        <v>5.058687086E9</v>
      </c>
      <c r="G1418" s="8" t="s">
        <v>31</v>
      </c>
      <c r="H1418" s="8" t="s">
        <v>86</v>
      </c>
      <c r="I1418" s="8" t="s">
        <v>284</v>
      </c>
      <c r="J1418" s="8" t="s">
        <v>589</v>
      </c>
      <c r="K1418" s="10" t="s">
        <v>6146</v>
      </c>
      <c r="L1418" s="8" t="s">
        <v>58</v>
      </c>
      <c r="M1418" s="8" t="s">
        <v>35</v>
      </c>
      <c r="N1418" s="11">
        <v>45012.0</v>
      </c>
      <c r="O1418" s="11">
        <v>45122.0</v>
      </c>
      <c r="P1418" s="11">
        <v>45164.0</v>
      </c>
      <c r="Q1418" s="11">
        <v>45123.0</v>
      </c>
      <c r="R1418" s="11">
        <v>45164.0</v>
      </c>
      <c r="S1418" s="12"/>
      <c r="T1418" s="8"/>
      <c r="U1418" s="8" t="s">
        <v>1038</v>
      </c>
      <c r="V1418" s="13" t="s">
        <v>175</v>
      </c>
      <c r="W1418" s="13" t="s">
        <v>7224</v>
      </c>
      <c r="X1418" s="12"/>
      <c r="Y1418" s="14"/>
      <c r="Z1418" s="14"/>
    </row>
    <row r="1419">
      <c r="A1419" s="8" t="s">
        <v>7225</v>
      </c>
      <c r="B1419" s="8" t="s">
        <v>7226</v>
      </c>
      <c r="C1419" s="8" t="s">
        <v>25</v>
      </c>
      <c r="D1419" s="8" t="s">
        <v>26</v>
      </c>
      <c r="E1419" s="8" t="s">
        <v>7227</v>
      </c>
      <c r="F1419" s="8">
        <v>5.434779859E9</v>
      </c>
      <c r="G1419" s="8" t="s">
        <v>31</v>
      </c>
      <c r="H1419" s="8" t="s">
        <v>86</v>
      </c>
      <c r="I1419" s="8" t="s">
        <v>284</v>
      </c>
      <c r="J1419" s="8" t="s">
        <v>589</v>
      </c>
      <c r="K1419" s="10" t="s">
        <v>6146</v>
      </c>
      <c r="L1419" s="8" t="s">
        <v>58</v>
      </c>
      <c r="M1419" s="8" t="s">
        <v>35</v>
      </c>
      <c r="N1419" s="11">
        <v>45012.0</v>
      </c>
      <c r="O1419" s="11">
        <v>45122.0</v>
      </c>
      <c r="P1419" s="11">
        <v>45164.0</v>
      </c>
      <c r="Q1419" s="11">
        <v>45123.0</v>
      </c>
      <c r="R1419" s="11">
        <v>45164.0</v>
      </c>
      <c r="S1419" s="12"/>
      <c r="T1419" s="8"/>
      <c r="U1419" s="8" t="s">
        <v>1038</v>
      </c>
      <c r="V1419" s="13" t="s">
        <v>175</v>
      </c>
      <c r="W1419" s="13" t="s">
        <v>7228</v>
      </c>
      <c r="X1419" s="12"/>
      <c r="Y1419" s="14"/>
      <c r="Z1419" s="14"/>
    </row>
    <row r="1420">
      <c r="A1420" s="8" t="s">
        <v>7229</v>
      </c>
      <c r="B1420" s="8" t="s">
        <v>7230</v>
      </c>
      <c r="C1420" s="8" t="s">
        <v>179</v>
      </c>
      <c r="D1420" s="8" t="s">
        <v>26</v>
      </c>
      <c r="E1420" s="8" t="s">
        <v>7231</v>
      </c>
      <c r="F1420" s="8">
        <v>5.455513406E9</v>
      </c>
      <c r="G1420" s="8" t="s">
        <v>31</v>
      </c>
      <c r="H1420" s="8" t="s">
        <v>86</v>
      </c>
      <c r="I1420" s="8" t="s">
        <v>399</v>
      </c>
      <c r="J1420" s="8" t="s">
        <v>415</v>
      </c>
      <c r="K1420" s="10" t="s">
        <v>1199</v>
      </c>
      <c r="L1420" s="8" t="s">
        <v>58</v>
      </c>
      <c r="M1420" s="8" t="s">
        <v>35</v>
      </c>
      <c r="N1420" s="11">
        <v>45012.0</v>
      </c>
      <c r="O1420" s="11">
        <v>45192.0</v>
      </c>
      <c r="P1420" s="11">
        <v>45234.0</v>
      </c>
      <c r="Q1420" s="11"/>
      <c r="R1420" s="11"/>
      <c r="S1420" s="12"/>
      <c r="T1420" s="8"/>
      <c r="U1420" s="8" t="s">
        <v>1038</v>
      </c>
      <c r="V1420" s="13" t="s">
        <v>175</v>
      </c>
      <c r="W1420" s="13" t="s">
        <v>7232</v>
      </c>
      <c r="X1420" s="12"/>
      <c r="Y1420" s="14"/>
      <c r="Z1420" s="14"/>
    </row>
    <row r="1421">
      <c r="A1421" s="8" t="s">
        <v>7233</v>
      </c>
      <c r="B1421" s="8" t="s">
        <v>7234</v>
      </c>
      <c r="C1421" s="8" t="s">
        <v>25</v>
      </c>
      <c r="D1421" s="8" t="s">
        <v>26</v>
      </c>
      <c r="E1421" s="8" t="s">
        <v>7235</v>
      </c>
      <c r="F1421" s="8"/>
      <c r="G1421" s="8" t="s">
        <v>31</v>
      </c>
      <c r="H1421" s="8" t="s">
        <v>77</v>
      </c>
      <c r="I1421" s="8" t="s">
        <v>44</v>
      </c>
      <c r="J1421" s="8" t="s">
        <v>1993</v>
      </c>
      <c r="K1421" s="10" t="s">
        <v>1994</v>
      </c>
      <c r="L1421" s="8" t="s">
        <v>58</v>
      </c>
      <c r="M1421" s="8" t="s">
        <v>35</v>
      </c>
      <c r="N1421" s="11">
        <v>45012.0</v>
      </c>
      <c r="O1421" s="11">
        <v>45143.0</v>
      </c>
      <c r="P1421" s="11">
        <v>45185.0</v>
      </c>
      <c r="Q1421" s="11">
        <v>45143.0</v>
      </c>
      <c r="R1421" s="11">
        <v>45185.0</v>
      </c>
      <c r="S1421" s="12"/>
      <c r="T1421" s="8"/>
      <c r="U1421" s="8" t="s">
        <v>371</v>
      </c>
      <c r="V1421" s="13" t="s">
        <v>38</v>
      </c>
      <c r="W1421" s="13" t="s">
        <v>7236</v>
      </c>
      <c r="X1421" s="12"/>
      <c r="Y1421" s="14"/>
      <c r="Z1421" s="14"/>
    </row>
    <row r="1422">
      <c r="A1422" s="8" t="s">
        <v>7237</v>
      </c>
      <c r="B1422" s="8" t="s">
        <v>7238</v>
      </c>
      <c r="C1422" s="8" t="s">
        <v>179</v>
      </c>
      <c r="D1422" s="8" t="s">
        <v>26</v>
      </c>
      <c r="E1422" s="8" t="s">
        <v>7239</v>
      </c>
      <c r="F1422" s="9" t="s">
        <v>7240</v>
      </c>
      <c r="G1422" s="8" t="s">
        <v>202</v>
      </c>
      <c r="H1422" s="8" t="s">
        <v>7241</v>
      </c>
      <c r="I1422" s="8" t="s">
        <v>31</v>
      </c>
      <c r="J1422" s="8" t="s">
        <v>66</v>
      </c>
      <c r="K1422" s="10" t="s">
        <v>7242</v>
      </c>
      <c r="L1422" s="8" t="s">
        <v>58</v>
      </c>
      <c r="M1422" s="8" t="s">
        <v>35</v>
      </c>
      <c r="N1422" s="11">
        <v>45012.0</v>
      </c>
      <c r="O1422" s="11">
        <v>45130.0</v>
      </c>
      <c r="P1422" s="11">
        <v>45172.0</v>
      </c>
      <c r="Q1422" s="11"/>
      <c r="R1422" s="11"/>
      <c r="S1422" s="12"/>
      <c r="T1422" s="8"/>
      <c r="U1422" s="8" t="s">
        <v>88</v>
      </c>
      <c r="V1422" s="13" t="s">
        <v>7243</v>
      </c>
      <c r="W1422" s="13" t="s">
        <v>7244</v>
      </c>
      <c r="X1422" s="12"/>
      <c r="Y1422" s="14"/>
      <c r="Z1422" s="14"/>
    </row>
    <row r="1423">
      <c r="A1423" s="8" t="s">
        <v>7245</v>
      </c>
      <c r="B1423" s="8" t="s">
        <v>7246</v>
      </c>
      <c r="C1423" s="8" t="s">
        <v>179</v>
      </c>
      <c r="D1423" s="8" t="s">
        <v>26</v>
      </c>
      <c r="E1423" s="8" t="s">
        <v>7247</v>
      </c>
      <c r="F1423" s="8">
        <v>3.063270663E9</v>
      </c>
      <c r="G1423" s="8" t="s">
        <v>315</v>
      </c>
      <c r="H1423" s="8" t="s">
        <v>1833</v>
      </c>
      <c r="I1423" s="8" t="s">
        <v>31</v>
      </c>
      <c r="J1423" s="8" t="s">
        <v>32</v>
      </c>
      <c r="K1423" s="10" t="s">
        <v>5843</v>
      </c>
      <c r="L1423" s="8" t="s">
        <v>58</v>
      </c>
      <c r="M1423" s="8" t="s">
        <v>35</v>
      </c>
      <c r="N1423" s="11">
        <v>45012.0</v>
      </c>
      <c r="O1423" s="11">
        <v>45089.0</v>
      </c>
      <c r="P1423" s="11">
        <v>45131.0</v>
      </c>
      <c r="Q1423" s="11"/>
      <c r="R1423" s="11"/>
      <c r="S1423" s="12"/>
      <c r="T1423" s="8"/>
      <c r="U1423" s="8" t="s">
        <v>161</v>
      </c>
      <c r="V1423" s="13" t="s">
        <v>3501</v>
      </c>
      <c r="W1423" s="13" t="s">
        <v>7248</v>
      </c>
      <c r="X1423" s="12"/>
      <c r="Y1423" s="14"/>
      <c r="Z1423" s="14"/>
    </row>
    <row r="1424">
      <c r="A1424" s="8" t="s">
        <v>7249</v>
      </c>
      <c r="B1424" s="8" t="s">
        <v>7250</v>
      </c>
      <c r="C1424" s="8" t="s">
        <v>1326</v>
      </c>
      <c r="D1424" s="8" t="s">
        <v>26</v>
      </c>
      <c r="E1424" s="8" t="s">
        <v>7251</v>
      </c>
      <c r="F1424" s="8">
        <v>7.478993417E9</v>
      </c>
      <c r="G1424" s="8" t="s">
        <v>496</v>
      </c>
      <c r="H1424" s="8" t="s">
        <v>497</v>
      </c>
      <c r="I1424" s="8" t="s">
        <v>31</v>
      </c>
      <c r="J1424" s="8" t="s">
        <v>220</v>
      </c>
      <c r="K1424" s="10" t="s">
        <v>4303</v>
      </c>
      <c r="L1424" s="8" t="s">
        <v>58</v>
      </c>
      <c r="M1424" s="8" t="s">
        <v>35</v>
      </c>
      <c r="N1424" s="11">
        <v>45012.0</v>
      </c>
      <c r="O1424" s="11">
        <v>45117.0</v>
      </c>
      <c r="P1424" s="11">
        <v>45159.0</v>
      </c>
      <c r="Q1424" s="11">
        <v>45119.0</v>
      </c>
      <c r="R1424" s="11">
        <v>45159.0</v>
      </c>
      <c r="S1424" s="12"/>
      <c r="T1424" s="8"/>
      <c r="U1424" s="8" t="s">
        <v>59</v>
      </c>
      <c r="V1424" s="13" t="s">
        <v>500</v>
      </c>
      <c r="W1424" s="13" t="s">
        <v>7252</v>
      </c>
      <c r="X1424" s="12"/>
      <c r="Y1424" s="14"/>
      <c r="Z1424" s="14"/>
    </row>
    <row r="1425">
      <c r="A1425" s="8" t="s">
        <v>7253</v>
      </c>
      <c r="B1425" s="8" t="s">
        <v>4961</v>
      </c>
      <c r="C1425" s="8" t="s">
        <v>25</v>
      </c>
      <c r="D1425" s="8" t="s">
        <v>26</v>
      </c>
      <c r="E1425" s="8" t="s">
        <v>4962</v>
      </c>
      <c r="F1425" s="8"/>
      <c r="G1425" s="8" t="s">
        <v>31</v>
      </c>
      <c r="H1425" s="8" t="s">
        <v>77</v>
      </c>
      <c r="I1425" s="8" t="s">
        <v>230</v>
      </c>
      <c r="J1425" s="8" t="s">
        <v>231</v>
      </c>
      <c r="K1425" s="10" t="s">
        <v>7254</v>
      </c>
      <c r="L1425" s="8" t="s">
        <v>58</v>
      </c>
      <c r="M1425" s="8" t="s">
        <v>35</v>
      </c>
      <c r="N1425" s="11">
        <v>45012.0</v>
      </c>
      <c r="O1425" s="11">
        <v>45123.0</v>
      </c>
      <c r="P1425" s="11">
        <v>45165.0</v>
      </c>
      <c r="Q1425" s="11">
        <v>45123.0</v>
      </c>
      <c r="R1425" s="11">
        <v>45165.0</v>
      </c>
      <c r="S1425" s="12"/>
      <c r="T1425" s="8"/>
      <c r="U1425" s="8" t="s">
        <v>59</v>
      </c>
      <c r="V1425" s="13" t="s">
        <v>38</v>
      </c>
      <c r="W1425" s="13" t="s">
        <v>4964</v>
      </c>
      <c r="X1425" s="12"/>
      <c r="Y1425" s="14"/>
      <c r="Z1425" s="14"/>
    </row>
    <row r="1426">
      <c r="A1426" s="8" t="s">
        <v>7255</v>
      </c>
      <c r="B1426" s="8" t="s">
        <v>7256</v>
      </c>
      <c r="C1426" s="8" t="s">
        <v>251</v>
      </c>
      <c r="D1426" s="8" t="s">
        <v>26</v>
      </c>
      <c r="E1426" s="8" t="s">
        <v>7257</v>
      </c>
      <c r="F1426" s="8">
        <v>7.087676056E9</v>
      </c>
      <c r="G1426" s="8" t="s">
        <v>496</v>
      </c>
      <c r="H1426" s="8" t="s">
        <v>497</v>
      </c>
      <c r="I1426" s="8" t="s">
        <v>31</v>
      </c>
      <c r="J1426" s="8" t="s">
        <v>102</v>
      </c>
      <c r="K1426" s="10" t="s">
        <v>6221</v>
      </c>
      <c r="L1426" s="8" t="s">
        <v>58</v>
      </c>
      <c r="M1426" s="8" t="s">
        <v>35</v>
      </c>
      <c r="N1426" s="11">
        <v>45012.0</v>
      </c>
      <c r="O1426" s="11">
        <v>45159.0</v>
      </c>
      <c r="P1426" s="11">
        <v>45201.0</v>
      </c>
      <c r="Q1426" s="11"/>
      <c r="R1426" s="11"/>
      <c r="S1426" s="12"/>
      <c r="T1426" s="8"/>
      <c r="U1426" s="8" t="s">
        <v>59</v>
      </c>
      <c r="V1426" s="13" t="s">
        <v>500</v>
      </c>
      <c r="W1426" s="13" t="s">
        <v>7258</v>
      </c>
      <c r="X1426" s="12"/>
      <c r="Y1426" s="14"/>
      <c r="Z1426" s="14"/>
    </row>
    <row r="1427">
      <c r="A1427" s="8" t="s">
        <v>7259</v>
      </c>
      <c r="B1427" s="8" t="s">
        <v>7260</v>
      </c>
      <c r="C1427" s="8" t="s">
        <v>251</v>
      </c>
      <c r="D1427" s="8" t="s">
        <v>26</v>
      </c>
      <c r="E1427" s="8" t="s">
        <v>7261</v>
      </c>
      <c r="F1427" s="8">
        <v>5.312526269E9</v>
      </c>
      <c r="G1427" s="8" t="s">
        <v>109</v>
      </c>
      <c r="H1427" s="8" t="s">
        <v>1503</v>
      </c>
      <c r="I1427" s="8" t="s">
        <v>31</v>
      </c>
      <c r="J1427" s="8" t="s">
        <v>542</v>
      </c>
      <c r="K1427" s="10" t="s">
        <v>3684</v>
      </c>
      <c r="L1427" s="8" t="s">
        <v>34</v>
      </c>
      <c r="M1427" s="8" t="s">
        <v>70</v>
      </c>
      <c r="N1427" s="11">
        <v>45012.0</v>
      </c>
      <c r="O1427" s="11">
        <v>45077.0</v>
      </c>
      <c r="P1427" s="11">
        <v>45442.0</v>
      </c>
      <c r="Q1427" s="11"/>
      <c r="R1427" s="11"/>
      <c r="S1427" s="12"/>
      <c r="T1427" s="8" t="s">
        <v>205</v>
      </c>
      <c r="U1427" s="8" t="s">
        <v>3685</v>
      </c>
      <c r="V1427" s="13" t="s">
        <v>1505</v>
      </c>
      <c r="W1427" s="13" t="s">
        <v>7262</v>
      </c>
      <c r="X1427" s="12"/>
      <c r="Y1427" s="14"/>
      <c r="Z1427" s="14"/>
    </row>
    <row r="1428">
      <c r="A1428" s="8" t="s">
        <v>7263</v>
      </c>
      <c r="B1428" s="8" t="s">
        <v>7264</v>
      </c>
      <c r="C1428" s="8" t="s">
        <v>708</v>
      </c>
      <c r="D1428" s="8" t="s">
        <v>26</v>
      </c>
      <c r="E1428" s="8" t="s">
        <v>7265</v>
      </c>
      <c r="F1428" s="8">
        <v>5.52868151E9</v>
      </c>
      <c r="G1428" s="8" t="s">
        <v>84</v>
      </c>
      <c r="H1428" s="8" t="s">
        <v>646</v>
      </c>
      <c r="I1428" s="8" t="s">
        <v>31</v>
      </c>
      <c r="J1428" s="8" t="s">
        <v>86</v>
      </c>
      <c r="K1428" s="10" t="s">
        <v>2404</v>
      </c>
      <c r="L1428" s="8" t="s">
        <v>34</v>
      </c>
      <c r="M1428" s="8" t="s">
        <v>70</v>
      </c>
      <c r="N1428" s="11">
        <v>45013.0</v>
      </c>
      <c r="O1428" s="11">
        <v>45026.0</v>
      </c>
      <c r="P1428" s="11">
        <v>45569.0</v>
      </c>
      <c r="Q1428" s="11">
        <v>45054.0</v>
      </c>
      <c r="R1428" s="11">
        <v>45604.0</v>
      </c>
      <c r="S1428" s="12"/>
      <c r="T1428" s="8" t="s">
        <v>36</v>
      </c>
      <c r="U1428" s="8" t="s">
        <v>2405</v>
      </c>
      <c r="V1428" s="13" t="s">
        <v>7266</v>
      </c>
      <c r="W1428" s="13" t="s">
        <v>7267</v>
      </c>
      <c r="X1428" s="12"/>
      <c r="Y1428" s="14"/>
      <c r="Z1428" s="14"/>
    </row>
    <row r="1429">
      <c r="A1429" s="8" t="s">
        <v>7268</v>
      </c>
      <c r="B1429" s="8" t="s">
        <v>7269</v>
      </c>
      <c r="C1429" s="8" t="s">
        <v>179</v>
      </c>
      <c r="D1429" s="8" t="s">
        <v>26</v>
      </c>
      <c r="E1429" s="8" t="s">
        <v>7270</v>
      </c>
      <c r="F1429" s="8">
        <v>5.469731535E9</v>
      </c>
      <c r="G1429" s="8" t="s">
        <v>31</v>
      </c>
      <c r="H1429" s="8" t="s">
        <v>167</v>
      </c>
      <c r="I1429" s="8" t="s">
        <v>284</v>
      </c>
      <c r="J1429" s="8" t="s">
        <v>691</v>
      </c>
      <c r="K1429" s="10" t="s">
        <v>7271</v>
      </c>
      <c r="L1429" s="8" t="s">
        <v>58</v>
      </c>
      <c r="M1429" s="8" t="s">
        <v>35</v>
      </c>
      <c r="N1429" s="11">
        <v>45013.0</v>
      </c>
      <c r="O1429" s="11">
        <v>45123.0</v>
      </c>
      <c r="P1429" s="11">
        <v>45167.0</v>
      </c>
      <c r="Q1429" s="11"/>
      <c r="R1429" s="11"/>
      <c r="S1429" s="12"/>
      <c r="T1429" s="8"/>
      <c r="U1429" s="8" t="s">
        <v>339</v>
      </c>
      <c r="V1429" s="13" t="s">
        <v>3212</v>
      </c>
      <c r="W1429" s="13" t="s">
        <v>7272</v>
      </c>
      <c r="X1429" s="12"/>
      <c r="Y1429" s="14"/>
      <c r="Z1429" s="14"/>
    </row>
    <row r="1430">
      <c r="A1430" s="8" t="s">
        <v>7273</v>
      </c>
      <c r="B1430" s="8" t="s">
        <v>7274</v>
      </c>
      <c r="C1430" s="8" t="s">
        <v>25</v>
      </c>
      <c r="D1430" s="8" t="s">
        <v>26</v>
      </c>
      <c r="E1430" s="8" t="s">
        <v>7275</v>
      </c>
      <c r="F1430" s="8">
        <v>5.330885862E9</v>
      </c>
      <c r="G1430" s="8" t="s">
        <v>31</v>
      </c>
      <c r="H1430" s="8" t="s">
        <v>77</v>
      </c>
      <c r="I1430" s="8" t="s">
        <v>29</v>
      </c>
      <c r="J1430" s="8" t="s">
        <v>7276</v>
      </c>
      <c r="K1430" s="10" t="s">
        <v>7277</v>
      </c>
      <c r="L1430" s="8" t="s">
        <v>58</v>
      </c>
      <c r="M1430" s="8" t="s">
        <v>35</v>
      </c>
      <c r="N1430" s="11">
        <v>45013.0</v>
      </c>
      <c r="O1430" s="11">
        <v>45139.0</v>
      </c>
      <c r="P1430" s="11">
        <v>45181.0</v>
      </c>
      <c r="Q1430" s="11">
        <v>45140.0</v>
      </c>
      <c r="R1430" s="11">
        <v>45181.0</v>
      </c>
      <c r="S1430" s="12"/>
      <c r="T1430" s="8"/>
      <c r="U1430" s="8" t="s">
        <v>130</v>
      </c>
      <c r="V1430" s="13" t="s">
        <v>77</v>
      </c>
      <c r="W1430" s="13" t="s">
        <v>7278</v>
      </c>
      <c r="X1430" s="12"/>
      <c r="Y1430" s="14"/>
      <c r="Z1430" s="14"/>
    </row>
    <row r="1431">
      <c r="A1431" s="8" t="s">
        <v>7279</v>
      </c>
      <c r="B1431" s="8" t="s">
        <v>7280</v>
      </c>
      <c r="C1431" s="8" t="s">
        <v>25</v>
      </c>
      <c r="D1431" s="8" t="s">
        <v>26</v>
      </c>
      <c r="E1431" s="8" t="s">
        <v>7281</v>
      </c>
      <c r="F1431" s="8">
        <v>9.2820159E7</v>
      </c>
      <c r="G1431" s="8" t="s">
        <v>54</v>
      </c>
      <c r="H1431" s="8" t="s">
        <v>76</v>
      </c>
      <c r="I1431" s="8" t="s">
        <v>31</v>
      </c>
      <c r="J1431" s="8" t="s">
        <v>86</v>
      </c>
      <c r="K1431" s="10" t="s">
        <v>2453</v>
      </c>
      <c r="L1431" s="8" t="s">
        <v>58</v>
      </c>
      <c r="M1431" s="8" t="s">
        <v>35</v>
      </c>
      <c r="N1431" s="11">
        <v>45013.0</v>
      </c>
      <c r="O1431" s="11">
        <v>45174.0</v>
      </c>
      <c r="P1431" s="11">
        <v>45216.0</v>
      </c>
      <c r="Q1431" s="11">
        <v>45180.0</v>
      </c>
      <c r="R1431" s="11">
        <v>45220.0</v>
      </c>
      <c r="S1431" s="12"/>
      <c r="T1431" s="8"/>
      <c r="U1431" s="8" t="s">
        <v>59</v>
      </c>
      <c r="V1431" s="13" t="s">
        <v>491</v>
      </c>
      <c r="W1431" s="13" t="s">
        <v>7282</v>
      </c>
      <c r="X1431" s="12"/>
      <c r="Y1431" s="14"/>
      <c r="Z1431" s="14"/>
    </row>
    <row r="1432">
      <c r="A1432" s="8" t="s">
        <v>7283</v>
      </c>
      <c r="B1432" s="8" t="s">
        <v>7284</v>
      </c>
      <c r="C1432" s="8" t="s">
        <v>179</v>
      </c>
      <c r="D1432" s="8" t="s">
        <v>26</v>
      </c>
      <c r="E1432" s="8" t="s">
        <v>7285</v>
      </c>
      <c r="F1432" s="8">
        <v>5.072240924E9</v>
      </c>
      <c r="G1432" s="8" t="s">
        <v>31</v>
      </c>
      <c r="H1432" s="8" t="s">
        <v>1119</v>
      </c>
      <c r="I1432" s="8" t="s">
        <v>284</v>
      </c>
      <c r="J1432" s="8" t="s">
        <v>793</v>
      </c>
      <c r="K1432" s="10" t="s">
        <v>7286</v>
      </c>
      <c r="L1432" s="8" t="s">
        <v>47</v>
      </c>
      <c r="M1432" s="8" t="s">
        <v>35</v>
      </c>
      <c r="N1432" s="11">
        <v>45013.0</v>
      </c>
      <c r="O1432" s="11">
        <v>45047.0</v>
      </c>
      <c r="P1432" s="11">
        <v>45130.0</v>
      </c>
      <c r="Q1432" s="11"/>
      <c r="R1432" s="11"/>
      <c r="S1432" s="12"/>
      <c r="T1432" s="8"/>
      <c r="U1432" s="8" t="s">
        <v>7287</v>
      </c>
      <c r="V1432" s="13" t="s">
        <v>7288</v>
      </c>
      <c r="W1432" s="13" t="s">
        <v>7289</v>
      </c>
      <c r="X1432" s="12"/>
      <c r="Y1432" s="14"/>
      <c r="Z1432" s="14"/>
    </row>
    <row r="1433">
      <c r="A1433" s="8" t="s">
        <v>7290</v>
      </c>
      <c r="B1433" s="8" t="s">
        <v>7291</v>
      </c>
      <c r="C1433" s="8" t="s">
        <v>25</v>
      </c>
      <c r="D1433" s="8" t="s">
        <v>26</v>
      </c>
      <c r="E1433" s="8" t="s">
        <v>7292</v>
      </c>
      <c r="F1433" s="8">
        <v>3.362527557E9</v>
      </c>
      <c r="G1433" s="8" t="s">
        <v>315</v>
      </c>
      <c r="H1433" s="8" t="s">
        <v>6834</v>
      </c>
      <c r="I1433" s="8" t="s">
        <v>31</v>
      </c>
      <c r="J1433" s="8" t="s">
        <v>167</v>
      </c>
      <c r="K1433" s="10" t="s">
        <v>4008</v>
      </c>
      <c r="L1433" s="8" t="s">
        <v>58</v>
      </c>
      <c r="M1433" s="8" t="s">
        <v>35</v>
      </c>
      <c r="N1433" s="11">
        <v>45013.0</v>
      </c>
      <c r="O1433" s="11">
        <v>45075.0</v>
      </c>
      <c r="P1433" s="11">
        <v>45117.0</v>
      </c>
      <c r="Q1433" s="11">
        <v>45074.0</v>
      </c>
      <c r="R1433" s="11">
        <v>45117.0</v>
      </c>
      <c r="S1433" s="12"/>
      <c r="T1433" s="8"/>
      <c r="U1433" s="8" t="s">
        <v>59</v>
      </c>
      <c r="V1433" s="13" t="s">
        <v>6835</v>
      </c>
      <c r="W1433" s="13" t="s">
        <v>7293</v>
      </c>
      <c r="X1433" s="12"/>
      <c r="Y1433" s="14"/>
      <c r="Z1433" s="14"/>
    </row>
    <row r="1434">
      <c r="A1434" s="8" t="s">
        <v>7294</v>
      </c>
      <c r="B1434" s="8" t="s">
        <v>7295</v>
      </c>
      <c r="C1434" s="8" t="s">
        <v>64</v>
      </c>
      <c r="D1434" s="8" t="s">
        <v>26</v>
      </c>
      <c r="E1434" s="8" t="s">
        <v>7296</v>
      </c>
      <c r="F1434" s="8">
        <v>7.32608612E8</v>
      </c>
      <c r="G1434" s="8" t="s">
        <v>127</v>
      </c>
      <c r="H1434" s="8" t="s">
        <v>128</v>
      </c>
      <c r="I1434" s="8" t="s">
        <v>31</v>
      </c>
      <c r="J1434" s="8" t="s">
        <v>32</v>
      </c>
      <c r="K1434" s="10" t="s">
        <v>509</v>
      </c>
      <c r="L1434" s="8" t="s">
        <v>58</v>
      </c>
      <c r="M1434" s="8" t="s">
        <v>35</v>
      </c>
      <c r="N1434" s="11">
        <v>45013.0</v>
      </c>
      <c r="O1434" s="11">
        <v>45145.0</v>
      </c>
      <c r="P1434" s="11">
        <v>45187.0</v>
      </c>
      <c r="Q1434" s="11">
        <v>45146.0</v>
      </c>
      <c r="R1434" s="11">
        <v>45188.0</v>
      </c>
      <c r="S1434" s="12"/>
      <c r="T1434" s="8"/>
      <c r="U1434" s="8" t="s">
        <v>153</v>
      </c>
      <c r="V1434" s="13" t="s">
        <v>1473</v>
      </c>
      <c r="W1434" s="13" t="s">
        <v>7297</v>
      </c>
      <c r="X1434" s="12"/>
      <c r="Y1434" s="14"/>
      <c r="Z1434" s="14"/>
    </row>
    <row r="1435">
      <c r="A1435" s="8" t="s">
        <v>7298</v>
      </c>
      <c r="B1435" s="8" t="s">
        <v>7299</v>
      </c>
      <c r="C1435" s="8" t="s">
        <v>251</v>
      </c>
      <c r="D1435" s="8" t="s">
        <v>26</v>
      </c>
      <c r="E1435" s="8" t="s">
        <v>7300</v>
      </c>
      <c r="F1435" s="8">
        <v>3.453500215E9</v>
      </c>
      <c r="G1435" s="8" t="s">
        <v>315</v>
      </c>
      <c r="H1435" s="8" t="s">
        <v>1833</v>
      </c>
      <c r="I1435" s="8" t="s">
        <v>31</v>
      </c>
      <c r="J1435" s="8" t="s">
        <v>32</v>
      </c>
      <c r="K1435" s="10" t="s">
        <v>509</v>
      </c>
      <c r="L1435" s="8" t="s">
        <v>58</v>
      </c>
      <c r="M1435" s="8" t="s">
        <v>35</v>
      </c>
      <c r="N1435" s="11">
        <v>45013.0</v>
      </c>
      <c r="O1435" s="11">
        <v>45096.0</v>
      </c>
      <c r="P1435" s="11">
        <v>45138.0</v>
      </c>
      <c r="Q1435" s="11"/>
      <c r="R1435" s="11"/>
      <c r="S1435" s="12"/>
      <c r="T1435" s="8"/>
      <c r="U1435" s="8" t="s">
        <v>153</v>
      </c>
      <c r="V1435" s="13" t="s">
        <v>1834</v>
      </c>
      <c r="W1435" s="13" t="s">
        <v>7301</v>
      </c>
      <c r="X1435" s="12"/>
      <c r="Y1435" s="14"/>
      <c r="Z1435" s="14"/>
    </row>
    <row r="1436">
      <c r="A1436" s="8" t="s">
        <v>7302</v>
      </c>
      <c r="B1436" s="8" t="s">
        <v>7303</v>
      </c>
      <c r="C1436" s="8" t="s">
        <v>25</v>
      </c>
      <c r="D1436" s="8" t="s">
        <v>26</v>
      </c>
      <c r="E1436" s="8" t="s">
        <v>7304</v>
      </c>
      <c r="F1436" s="8"/>
      <c r="G1436" s="8" t="s">
        <v>31</v>
      </c>
      <c r="H1436" s="8" t="s">
        <v>111</v>
      </c>
      <c r="I1436" s="8" t="s">
        <v>2381</v>
      </c>
      <c r="J1436" s="8" t="s">
        <v>2382</v>
      </c>
      <c r="K1436" s="10" t="s">
        <v>7305</v>
      </c>
      <c r="L1436" s="8" t="s">
        <v>58</v>
      </c>
      <c r="M1436" s="8" t="s">
        <v>35</v>
      </c>
      <c r="N1436" s="11">
        <v>45013.0</v>
      </c>
      <c r="O1436" s="11">
        <v>45082.0</v>
      </c>
      <c r="P1436" s="11">
        <v>45124.0</v>
      </c>
      <c r="Q1436" s="11"/>
      <c r="R1436" s="11">
        <v>45124.0</v>
      </c>
      <c r="S1436" s="12"/>
      <c r="T1436" s="8"/>
      <c r="U1436" s="8" t="s">
        <v>59</v>
      </c>
      <c r="V1436" s="13" t="s">
        <v>38</v>
      </c>
      <c r="W1436" s="13" t="s">
        <v>7306</v>
      </c>
      <c r="X1436" s="12"/>
      <c r="Y1436" s="14"/>
      <c r="Z1436" s="14"/>
    </row>
    <row r="1437">
      <c r="A1437" s="8" t="s">
        <v>7307</v>
      </c>
      <c r="B1437" s="8" t="s">
        <v>7308</v>
      </c>
      <c r="C1437" s="8" t="s">
        <v>708</v>
      </c>
      <c r="D1437" s="8" t="s">
        <v>26</v>
      </c>
      <c r="E1437" s="8" t="s">
        <v>7309</v>
      </c>
      <c r="F1437" s="8">
        <v>7.00118318E8</v>
      </c>
      <c r="G1437" s="8" t="s">
        <v>84</v>
      </c>
      <c r="H1437" s="8" t="s">
        <v>646</v>
      </c>
      <c r="I1437" s="8" t="s">
        <v>31</v>
      </c>
      <c r="J1437" s="8" t="s">
        <v>86</v>
      </c>
      <c r="K1437" s="10" t="s">
        <v>2404</v>
      </c>
      <c r="L1437" s="8" t="s">
        <v>34</v>
      </c>
      <c r="M1437" s="8" t="s">
        <v>70</v>
      </c>
      <c r="N1437" s="11">
        <v>45014.0</v>
      </c>
      <c r="O1437" s="11">
        <v>45060.0</v>
      </c>
      <c r="P1437" s="11">
        <v>45604.0</v>
      </c>
      <c r="Q1437" s="11">
        <v>45082.0</v>
      </c>
      <c r="R1437" s="11">
        <v>45632.0</v>
      </c>
      <c r="S1437" s="12"/>
      <c r="T1437" s="8" t="s">
        <v>36</v>
      </c>
      <c r="U1437" s="8" t="s">
        <v>2405</v>
      </c>
      <c r="V1437" s="13" t="s">
        <v>2585</v>
      </c>
      <c r="W1437" s="13" t="s">
        <v>7310</v>
      </c>
      <c r="X1437" s="12"/>
      <c r="Y1437" s="14"/>
      <c r="Z1437" s="14"/>
    </row>
    <row r="1438">
      <c r="A1438" s="8" t="s">
        <v>7311</v>
      </c>
      <c r="B1438" s="8" t="s">
        <v>7312</v>
      </c>
      <c r="C1438" s="8" t="s">
        <v>25</v>
      </c>
      <c r="D1438" s="8" t="s">
        <v>26</v>
      </c>
      <c r="E1438" s="8" t="s">
        <v>7313</v>
      </c>
      <c r="F1438" s="8">
        <v>5.340312111E9</v>
      </c>
      <c r="G1438" s="8" t="s">
        <v>31</v>
      </c>
      <c r="H1438" s="8" t="s">
        <v>102</v>
      </c>
      <c r="I1438" s="8" t="s">
        <v>127</v>
      </c>
      <c r="J1438" s="8" t="s">
        <v>1628</v>
      </c>
      <c r="K1438" s="10" t="s">
        <v>6705</v>
      </c>
      <c r="L1438" s="8" t="s">
        <v>58</v>
      </c>
      <c r="M1438" s="8" t="s">
        <v>35</v>
      </c>
      <c r="N1438" s="11">
        <v>45014.0</v>
      </c>
      <c r="O1438" s="11">
        <v>45103.0</v>
      </c>
      <c r="P1438" s="11">
        <v>45145.0</v>
      </c>
      <c r="Q1438" s="11">
        <v>45103.0</v>
      </c>
      <c r="R1438" s="11">
        <v>45145.0</v>
      </c>
      <c r="S1438" s="12"/>
      <c r="T1438" s="8"/>
      <c r="U1438" s="8" t="s">
        <v>161</v>
      </c>
      <c r="V1438" s="13" t="s">
        <v>102</v>
      </c>
      <c r="W1438" s="13" t="s">
        <v>7314</v>
      </c>
      <c r="X1438" s="12"/>
      <c r="Y1438" s="14"/>
      <c r="Z1438" s="14"/>
    </row>
    <row r="1439">
      <c r="A1439" s="8" t="s">
        <v>7315</v>
      </c>
      <c r="B1439" s="8" t="s">
        <v>3245</v>
      </c>
      <c r="C1439" s="8" t="s">
        <v>25</v>
      </c>
      <c r="D1439" s="8" t="s">
        <v>26</v>
      </c>
      <c r="E1439" s="8" t="s">
        <v>3246</v>
      </c>
      <c r="F1439" s="8">
        <v>2.7175516E7</v>
      </c>
      <c r="G1439" s="8" t="s">
        <v>54</v>
      </c>
      <c r="H1439" s="8" t="s">
        <v>76</v>
      </c>
      <c r="I1439" s="8" t="s">
        <v>31</v>
      </c>
      <c r="J1439" s="8" t="s">
        <v>32</v>
      </c>
      <c r="K1439" s="10" t="s">
        <v>716</v>
      </c>
      <c r="L1439" s="8" t="s">
        <v>47</v>
      </c>
      <c r="M1439" s="8" t="s">
        <v>70</v>
      </c>
      <c r="N1439" s="11">
        <v>45014.0</v>
      </c>
      <c r="O1439" s="11">
        <v>45046.0</v>
      </c>
      <c r="P1439" s="11">
        <v>45260.0</v>
      </c>
      <c r="Q1439" s="11">
        <v>45015.0</v>
      </c>
      <c r="R1439" s="11">
        <v>45260.0</v>
      </c>
      <c r="S1439" s="12"/>
      <c r="T1439" s="8"/>
      <c r="U1439" s="8" t="s">
        <v>717</v>
      </c>
      <c r="V1439" s="13" t="s">
        <v>491</v>
      </c>
      <c r="W1439" s="13" t="s">
        <v>3249</v>
      </c>
      <c r="X1439" s="12"/>
      <c r="Y1439" s="14"/>
      <c r="Z1439" s="14"/>
    </row>
    <row r="1440">
      <c r="A1440" s="8" t="s">
        <v>7316</v>
      </c>
      <c r="B1440" s="8" t="s">
        <v>7317</v>
      </c>
      <c r="C1440" s="8" t="s">
        <v>179</v>
      </c>
      <c r="D1440" s="8" t="s">
        <v>26</v>
      </c>
      <c r="E1440" s="8" t="s">
        <v>7318</v>
      </c>
      <c r="F1440" s="8">
        <v>3.3818893E7</v>
      </c>
      <c r="G1440" s="8" t="s">
        <v>31</v>
      </c>
      <c r="H1440" s="8" t="s">
        <v>959</v>
      </c>
      <c r="I1440" s="8" t="s">
        <v>44</v>
      </c>
      <c r="J1440" s="8" t="s">
        <v>4170</v>
      </c>
      <c r="K1440" s="10" t="s">
        <v>7319</v>
      </c>
      <c r="L1440" s="8" t="s">
        <v>34</v>
      </c>
      <c r="M1440" s="8" t="s">
        <v>35</v>
      </c>
      <c r="N1440" s="11">
        <v>45014.0</v>
      </c>
      <c r="O1440" s="11">
        <v>45124.0</v>
      </c>
      <c r="P1440" s="11">
        <v>45179.0</v>
      </c>
      <c r="Q1440" s="11"/>
      <c r="R1440" s="11"/>
      <c r="S1440" s="12"/>
      <c r="T1440" s="8" t="s">
        <v>1187</v>
      </c>
      <c r="U1440" s="8" t="s">
        <v>7320</v>
      </c>
      <c r="V1440" s="13" t="s">
        <v>1069</v>
      </c>
      <c r="W1440" s="13" t="s">
        <v>7321</v>
      </c>
      <c r="X1440" s="12"/>
      <c r="Y1440" s="14"/>
      <c r="Z1440" s="14"/>
    </row>
    <row r="1441">
      <c r="A1441" s="8" t="s">
        <v>7322</v>
      </c>
      <c r="B1441" s="8" t="s">
        <v>7323</v>
      </c>
      <c r="C1441" s="8" t="s">
        <v>64</v>
      </c>
      <c r="D1441" s="8" t="s">
        <v>26</v>
      </c>
      <c r="E1441" s="8" t="s">
        <v>7324</v>
      </c>
      <c r="F1441" s="8">
        <v>7.5343241E8</v>
      </c>
      <c r="G1441" s="8" t="s">
        <v>127</v>
      </c>
      <c r="H1441" s="8" t="s">
        <v>159</v>
      </c>
      <c r="I1441" s="8" t="s">
        <v>31</v>
      </c>
      <c r="J1441" s="8" t="s">
        <v>86</v>
      </c>
      <c r="K1441" s="10" t="s">
        <v>7325</v>
      </c>
      <c r="L1441" s="8" t="s">
        <v>58</v>
      </c>
      <c r="M1441" s="8" t="s">
        <v>35</v>
      </c>
      <c r="N1441" s="11">
        <v>45014.0</v>
      </c>
      <c r="O1441" s="11">
        <v>45173.0</v>
      </c>
      <c r="P1441" s="11">
        <v>45215.0</v>
      </c>
      <c r="Q1441" s="11">
        <v>45180.0</v>
      </c>
      <c r="R1441" s="11">
        <v>45220.0</v>
      </c>
      <c r="S1441" s="12"/>
      <c r="T1441" s="8"/>
      <c r="U1441" s="8" t="s">
        <v>59</v>
      </c>
      <c r="V1441" s="13" t="s">
        <v>159</v>
      </c>
      <c r="W1441" s="13" t="s">
        <v>7326</v>
      </c>
      <c r="X1441" s="12"/>
      <c r="Y1441" s="14"/>
      <c r="Z1441" s="14"/>
    </row>
    <row r="1442">
      <c r="A1442" s="8" t="s">
        <v>7327</v>
      </c>
      <c r="B1442" s="8" t="s">
        <v>7328</v>
      </c>
      <c r="C1442" s="8" t="s">
        <v>708</v>
      </c>
      <c r="D1442" s="8" t="s">
        <v>26</v>
      </c>
      <c r="E1442" s="8" t="s">
        <v>7329</v>
      </c>
      <c r="F1442" s="8">
        <v>5.322102827E9</v>
      </c>
      <c r="G1442" s="8" t="s">
        <v>31</v>
      </c>
      <c r="H1442" s="8" t="s">
        <v>86</v>
      </c>
      <c r="I1442" s="8" t="s">
        <v>2524</v>
      </c>
      <c r="J1442" s="8" t="s">
        <v>6234</v>
      </c>
      <c r="K1442" s="10" t="s">
        <v>7330</v>
      </c>
      <c r="L1442" s="8" t="s">
        <v>34</v>
      </c>
      <c r="M1442" s="8" t="s">
        <v>70</v>
      </c>
      <c r="N1442" s="11">
        <v>45014.0</v>
      </c>
      <c r="O1442" s="11">
        <v>45124.0</v>
      </c>
      <c r="P1442" s="11">
        <v>45489.0</v>
      </c>
      <c r="Q1442" s="11">
        <v>45125.0</v>
      </c>
      <c r="R1442" s="11">
        <v>45489.0</v>
      </c>
      <c r="S1442" s="12"/>
      <c r="T1442" s="8" t="s">
        <v>36</v>
      </c>
      <c r="U1442" s="8" t="s">
        <v>7331</v>
      </c>
      <c r="V1442" s="13" t="s">
        <v>38</v>
      </c>
      <c r="W1442" s="13" t="s">
        <v>7332</v>
      </c>
      <c r="X1442" s="12"/>
      <c r="Y1442" s="14"/>
      <c r="Z1442" s="14"/>
    </row>
    <row r="1443">
      <c r="A1443" s="8" t="s">
        <v>7333</v>
      </c>
      <c r="B1443" s="8" t="s">
        <v>7334</v>
      </c>
      <c r="C1443" s="8" t="s">
        <v>25</v>
      </c>
      <c r="D1443" s="8" t="s">
        <v>26</v>
      </c>
      <c r="E1443" s="8" t="s">
        <v>7335</v>
      </c>
      <c r="F1443" s="8">
        <v>2.3634465E7</v>
      </c>
      <c r="G1443" s="8" t="s">
        <v>54</v>
      </c>
      <c r="H1443" s="8" t="s">
        <v>135</v>
      </c>
      <c r="I1443" s="8" t="s">
        <v>31</v>
      </c>
      <c r="J1443" s="8" t="s">
        <v>43</v>
      </c>
      <c r="K1443" s="10" t="s">
        <v>5289</v>
      </c>
      <c r="L1443" s="8" t="s">
        <v>58</v>
      </c>
      <c r="M1443" s="8" t="s">
        <v>35</v>
      </c>
      <c r="N1443" s="11">
        <v>45014.0</v>
      </c>
      <c r="O1443" s="11">
        <v>45029.0</v>
      </c>
      <c r="P1443" s="11">
        <v>45077.0</v>
      </c>
      <c r="Q1443" s="11">
        <v>45033.0</v>
      </c>
      <c r="R1443" s="11">
        <v>45081.0</v>
      </c>
      <c r="S1443" s="12"/>
      <c r="T1443" s="8"/>
      <c r="U1443" s="8" t="s">
        <v>59</v>
      </c>
      <c r="V1443" s="13" t="s">
        <v>358</v>
      </c>
      <c r="W1443" s="13" t="s">
        <v>7336</v>
      </c>
      <c r="X1443" s="12"/>
      <c r="Y1443" s="14"/>
      <c r="Z1443" s="14"/>
    </row>
    <row r="1444">
      <c r="A1444" s="8" t="s">
        <v>7337</v>
      </c>
      <c r="B1444" s="8" t="s">
        <v>7338</v>
      </c>
      <c r="C1444" s="8" t="s">
        <v>25</v>
      </c>
      <c r="D1444" s="8" t="s">
        <v>26</v>
      </c>
      <c r="E1444" s="8" t="s">
        <v>7339</v>
      </c>
      <c r="F1444" s="8">
        <v>6.53121201E8</v>
      </c>
      <c r="G1444" s="8" t="s">
        <v>221</v>
      </c>
      <c r="H1444" s="8" t="s">
        <v>3506</v>
      </c>
      <c r="I1444" s="8" t="s">
        <v>31</v>
      </c>
      <c r="J1444" s="8" t="s">
        <v>167</v>
      </c>
      <c r="K1444" s="10" t="s">
        <v>7340</v>
      </c>
      <c r="L1444" s="8" t="s">
        <v>58</v>
      </c>
      <c r="M1444" s="8" t="s">
        <v>35</v>
      </c>
      <c r="N1444" s="11">
        <v>45014.0</v>
      </c>
      <c r="O1444" s="11">
        <v>45117.0</v>
      </c>
      <c r="P1444" s="11">
        <v>45159.0</v>
      </c>
      <c r="Q1444" s="11">
        <v>45117.0</v>
      </c>
      <c r="R1444" s="11">
        <v>45159.0</v>
      </c>
      <c r="S1444" s="12"/>
      <c r="T1444" s="8"/>
      <c r="U1444" s="8" t="s">
        <v>88</v>
      </c>
      <c r="V1444" s="13" t="s">
        <v>3507</v>
      </c>
      <c r="W1444" s="13" t="s">
        <v>7341</v>
      </c>
      <c r="X1444" s="12"/>
      <c r="Y1444" s="14"/>
      <c r="Z1444" s="14"/>
    </row>
    <row r="1445">
      <c r="A1445" s="8" t="s">
        <v>7342</v>
      </c>
      <c r="B1445" s="8" t="s">
        <v>7343</v>
      </c>
      <c r="C1445" s="8" t="s">
        <v>179</v>
      </c>
      <c r="D1445" s="8" t="s">
        <v>26</v>
      </c>
      <c r="E1445" s="8" t="s">
        <v>7344</v>
      </c>
      <c r="F1445" s="8"/>
      <c r="G1445" s="8" t="s">
        <v>315</v>
      </c>
      <c r="H1445" s="8" t="s">
        <v>1242</v>
      </c>
      <c r="I1445" s="8" t="s">
        <v>31</v>
      </c>
      <c r="J1445" s="8" t="s">
        <v>167</v>
      </c>
      <c r="K1445" s="10" t="s">
        <v>6867</v>
      </c>
      <c r="L1445" s="8" t="s">
        <v>58</v>
      </c>
      <c r="M1445" s="8" t="s">
        <v>35</v>
      </c>
      <c r="N1445" s="11">
        <v>45014.0</v>
      </c>
      <c r="O1445" s="11">
        <v>45124.0</v>
      </c>
      <c r="P1445" s="11">
        <v>45166.0</v>
      </c>
      <c r="Q1445" s="11"/>
      <c r="R1445" s="11"/>
      <c r="S1445" s="12"/>
      <c r="T1445" s="8"/>
      <c r="U1445" s="8" t="s">
        <v>88</v>
      </c>
      <c r="V1445" s="13" t="s">
        <v>38</v>
      </c>
      <c r="W1445" s="13" t="s">
        <v>7345</v>
      </c>
      <c r="X1445" s="12"/>
      <c r="Y1445" s="14"/>
      <c r="Z1445" s="14"/>
    </row>
    <row r="1446">
      <c r="A1446" s="8" t="s">
        <v>7346</v>
      </c>
      <c r="B1446" s="8" t="s">
        <v>7347</v>
      </c>
      <c r="C1446" s="8" t="s">
        <v>64</v>
      </c>
      <c r="D1446" s="8" t="s">
        <v>26</v>
      </c>
      <c r="E1446" s="8" t="s">
        <v>7348</v>
      </c>
      <c r="F1446" s="8">
        <v>7.0835753E8</v>
      </c>
      <c r="G1446" s="8" t="s">
        <v>84</v>
      </c>
      <c r="H1446" s="8" t="s">
        <v>619</v>
      </c>
      <c r="I1446" s="8" t="s">
        <v>31</v>
      </c>
      <c r="J1446" s="8" t="s">
        <v>77</v>
      </c>
      <c r="K1446" s="10" t="s">
        <v>654</v>
      </c>
      <c r="L1446" s="8" t="s">
        <v>58</v>
      </c>
      <c r="M1446" s="8" t="s">
        <v>35</v>
      </c>
      <c r="N1446" s="11">
        <v>45014.0</v>
      </c>
      <c r="O1446" s="11">
        <v>45124.0</v>
      </c>
      <c r="P1446" s="11">
        <v>45166.0</v>
      </c>
      <c r="Q1446" s="11">
        <v>45125.0</v>
      </c>
      <c r="R1446" s="11">
        <v>45166.0</v>
      </c>
      <c r="S1446" s="12"/>
      <c r="T1446" s="8"/>
      <c r="U1446" s="8" t="s">
        <v>371</v>
      </c>
      <c r="V1446" s="13" t="s">
        <v>7349</v>
      </c>
      <c r="W1446" s="13" t="s">
        <v>7350</v>
      </c>
      <c r="X1446" s="12"/>
      <c r="Y1446" s="14"/>
      <c r="Z1446" s="14"/>
    </row>
    <row r="1447">
      <c r="A1447" s="8" t="s">
        <v>7351</v>
      </c>
      <c r="B1447" s="8" t="s">
        <v>7352</v>
      </c>
      <c r="C1447" s="8" t="s">
        <v>179</v>
      </c>
      <c r="D1447" s="8" t="s">
        <v>26</v>
      </c>
      <c r="E1447" s="8" t="s">
        <v>7353</v>
      </c>
      <c r="F1447" s="8">
        <v>1.126388987E9</v>
      </c>
      <c r="G1447" s="8" t="s">
        <v>284</v>
      </c>
      <c r="H1447" s="8" t="s">
        <v>793</v>
      </c>
      <c r="I1447" s="8" t="s">
        <v>31</v>
      </c>
      <c r="J1447" s="8" t="s">
        <v>32</v>
      </c>
      <c r="K1447" s="10" t="s">
        <v>1095</v>
      </c>
      <c r="L1447" s="8" t="s">
        <v>58</v>
      </c>
      <c r="M1447" s="8" t="s">
        <v>35</v>
      </c>
      <c r="N1447" s="11">
        <v>45014.0</v>
      </c>
      <c r="O1447" s="11">
        <v>45214.0</v>
      </c>
      <c r="P1447" s="11">
        <v>45256.0</v>
      </c>
      <c r="Q1447" s="11"/>
      <c r="R1447" s="11"/>
      <c r="S1447" s="12"/>
      <c r="T1447" s="8"/>
      <c r="U1447" s="8" t="s">
        <v>59</v>
      </c>
      <c r="V1447" s="13" t="s">
        <v>793</v>
      </c>
      <c r="W1447" s="13" t="s">
        <v>7354</v>
      </c>
      <c r="X1447" s="12"/>
      <c r="Y1447" s="14"/>
      <c r="Z1447" s="14"/>
    </row>
    <row r="1448">
      <c r="A1448" s="8" t="s">
        <v>7355</v>
      </c>
      <c r="B1448" s="8" t="s">
        <v>7356</v>
      </c>
      <c r="C1448" s="8" t="s">
        <v>25</v>
      </c>
      <c r="D1448" s="8" t="s">
        <v>26</v>
      </c>
      <c r="E1448" s="8" t="s">
        <v>7357</v>
      </c>
      <c r="F1448" s="8">
        <v>5.362123713E9</v>
      </c>
      <c r="G1448" s="8" t="s">
        <v>31</v>
      </c>
      <c r="H1448" s="8" t="s">
        <v>56</v>
      </c>
      <c r="I1448" s="8" t="s">
        <v>127</v>
      </c>
      <c r="J1448" s="8" t="s">
        <v>128</v>
      </c>
      <c r="K1448" s="10" t="s">
        <v>7148</v>
      </c>
      <c r="L1448" s="8" t="s">
        <v>58</v>
      </c>
      <c r="M1448" s="8" t="s">
        <v>35</v>
      </c>
      <c r="N1448" s="11">
        <v>45014.0</v>
      </c>
      <c r="O1448" s="11">
        <v>45096.0</v>
      </c>
      <c r="P1448" s="11">
        <v>45138.0</v>
      </c>
      <c r="Q1448" s="11">
        <v>45096.0</v>
      </c>
      <c r="R1448" s="11">
        <v>45138.0</v>
      </c>
      <c r="S1448" s="12"/>
      <c r="T1448" s="8"/>
      <c r="U1448" s="8" t="s">
        <v>339</v>
      </c>
      <c r="V1448" s="13" t="s">
        <v>56</v>
      </c>
      <c r="W1448" s="13" t="s">
        <v>7358</v>
      </c>
      <c r="X1448" s="12"/>
      <c r="Y1448" s="14"/>
      <c r="Z1448" s="14"/>
    </row>
    <row r="1449">
      <c r="A1449" s="8" t="s">
        <v>7359</v>
      </c>
      <c r="B1449" s="8" t="s">
        <v>7360</v>
      </c>
      <c r="C1449" s="8" t="s">
        <v>179</v>
      </c>
      <c r="D1449" s="8" t="s">
        <v>26</v>
      </c>
      <c r="E1449" s="8" t="s">
        <v>7361</v>
      </c>
      <c r="F1449" s="8">
        <v>8.59314075E9</v>
      </c>
      <c r="G1449" s="8" t="s">
        <v>4719</v>
      </c>
      <c r="H1449" s="8" t="s">
        <v>7362</v>
      </c>
      <c r="I1449" s="8" t="s">
        <v>31</v>
      </c>
      <c r="J1449" s="8" t="s">
        <v>32</v>
      </c>
      <c r="K1449" s="10" t="s">
        <v>7363</v>
      </c>
      <c r="L1449" s="8" t="s">
        <v>47</v>
      </c>
      <c r="M1449" s="8" t="s">
        <v>48</v>
      </c>
      <c r="N1449" s="11">
        <v>45014.0</v>
      </c>
      <c r="O1449" s="11">
        <v>45068.0</v>
      </c>
      <c r="P1449" s="11">
        <v>45159.0</v>
      </c>
      <c r="Q1449" s="11"/>
      <c r="R1449" s="11"/>
      <c r="S1449" s="12"/>
      <c r="T1449" s="8"/>
      <c r="U1449" s="8" t="s">
        <v>7364</v>
      </c>
      <c r="V1449" s="13" t="s">
        <v>7365</v>
      </c>
      <c r="W1449" s="13" t="s">
        <v>7366</v>
      </c>
      <c r="X1449" s="12"/>
      <c r="Y1449" s="14"/>
      <c r="Z1449" s="14"/>
    </row>
    <row r="1450">
      <c r="A1450" s="8" t="s">
        <v>7367</v>
      </c>
      <c r="B1450" s="8" t="s">
        <v>7368</v>
      </c>
      <c r="C1450" s="8" t="s">
        <v>25</v>
      </c>
      <c r="D1450" s="8" t="s">
        <v>26</v>
      </c>
      <c r="E1450" s="8" t="s">
        <v>7369</v>
      </c>
      <c r="F1450" s="8">
        <v>5.075133448E9</v>
      </c>
      <c r="G1450" s="8" t="s">
        <v>31</v>
      </c>
      <c r="H1450" s="8" t="s">
        <v>102</v>
      </c>
      <c r="I1450" s="8" t="s">
        <v>127</v>
      </c>
      <c r="J1450" s="8" t="s">
        <v>159</v>
      </c>
      <c r="K1450" s="10" t="s">
        <v>7370</v>
      </c>
      <c r="L1450" s="8" t="s">
        <v>58</v>
      </c>
      <c r="M1450" s="8" t="s">
        <v>35</v>
      </c>
      <c r="N1450" s="11">
        <v>45015.0</v>
      </c>
      <c r="O1450" s="11">
        <v>45117.0</v>
      </c>
      <c r="P1450" s="11">
        <v>45159.0</v>
      </c>
      <c r="Q1450" s="11">
        <v>45118.0</v>
      </c>
      <c r="R1450" s="11">
        <v>45159.0</v>
      </c>
      <c r="S1450" s="12"/>
      <c r="T1450" s="8"/>
      <c r="U1450" s="8" t="s">
        <v>161</v>
      </c>
      <c r="V1450" s="13" t="s">
        <v>102</v>
      </c>
      <c r="W1450" s="13" t="s">
        <v>7371</v>
      </c>
      <c r="X1450" s="12"/>
      <c r="Y1450" s="14"/>
      <c r="Z1450" s="14"/>
    </row>
    <row r="1451">
      <c r="A1451" s="8" t="s">
        <v>7372</v>
      </c>
      <c r="B1451" s="8" t="s">
        <v>7373</v>
      </c>
      <c r="C1451" s="8" t="s">
        <v>25</v>
      </c>
      <c r="D1451" s="8" t="s">
        <v>26</v>
      </c>
      <c r="E1451" s="8" t="s">
        <v>7374</v>
      </c>
      <c r="F1451" s="8">
        <v>5.8550056E7</v>
      </c>
      <c r="G1451" s="8" t="s">
        <v>54</v>
      </c>
      <c r="H1451" s="8" t="s">
        <v>76</v>
      </c>
      <c r="I1451" s="8" t="s">
        <v>31</v>
      </c>
      <c r="J1451" s="8" t="s">
        <v>1274</v>
      </c>
      <c r="K1451" s="10" t="s">
        <v>4366</v>
      </c>
      <c r="L1451" s="8" t="s">
        <v>58</v>
      </c>
      <c r="M1451" s="8" t="s">
        <v>35</v>
      </c>
      <c r="N1451" s="11">
        <v>45015.0</v>
      </c>
      <c r="O1451" s="11">
        <v>45096.0</v>
      </c>
      <c r="P1451" s="11">
        <v>45138.0</v>
      </c>
      <c r="Q1451" s="11">
        <v>45096.0</v>
      </c>
      <c r="R1451" s="11">
        <v>45138.0</v>
      </c>
      <c r="S1451" s="12"/>
      <c r="T1451" s="8"/>
      <c r="U1451" s="8" t="s">
        <v>1038</v>
      </c>
      <c r="V1451" s="13" t="s">
        <v>7375</v>
      </c>
      <c r="W1451" s="13" t="s">
        <v>7376</v>
      </c>
      <c r="X1451" s="12"/>
      <c r="Y1451" s="14"/>
      <c r="Z1451" s="14"/>
    </row>
    <row r="1452">
      <c r="A1452" s="8" t="s">
        <v>7377</v>
      </c>
      <c r="B1452" s="8" t="s">
        <v>7378</v>
      </c>
      <c r="C1452" s="8" t="s">
        <v>25</v>
      </c>
      <c r="D1452" s="8" t="s">
        <v>26</v>
      </c>
      <c r="E1452" s="8" t="s">
        <v>7379</v>
      </c>
      <c r="F1452" s="8">
        <v>9.2698788E7</v>
      </c>
      <c r="G1452" s="8" t="s">
        <v>54</v>
      </c>
      <c r="H1452" s="8" t="s">
        <v>377</v>
      </c>
      <c r="I1452" s="8" t="s">
        <v>31</v>
      </c>
      <c r="J1452" s="8" t="s">
        <v>167</v>
      </c>
      <c r="K1452" s="10" t="s">
        <v>7380</v>
      </c>
      <c r="L1452" s="8" t="s">
        <v>58</v>
      </c>
      <c r="M1452" s="8" t="s">
        <v>35</v>
      </c>
      <c r="N1452" s="11">
        <v>45015.0</v>
      </c>
      <c r="O1452" s="11">
        <v>45110.0</v>
      </c>
      <c r="P1452" s="11">
        <v>45152.0</v>
      </c>
      <c r="Q1452" s="11">
        <v>45110.0</v>
      </c>
      <c r="R1452" s="11">
        <v>45152.0</v>
      </c>
      <c r="S1452" s="12"/>
      <c r="T1452" s="8"/>
      <c r="U1452" s="8" t="s">
        <v>59</v>
      </c>
      <c r="V1452" s="13" t="s">
        <v>7381</v>
      </c>
      <c r="W1452" s="13" t="s">
        <v>7382</v>
      </c>
      <c r="X1452" s="12"/>
      <c r="Y1452" s="14"/>
      <c r="Z1452" s="14"/>
    </row>
    <row r="1453">
      <c r="A1453" s="8" t="s">
        <v>7383</v>
      </c>
      <c r="B1453" s="8" t="s">
        <v>7384</v>
      </c>
      <c r="C1453" s="8" t="s">
        <v>708</v>
      </c>
      <c r="D1453" s="8" t="s">
        <v>26</v>
      </c>
      <c r="E1453" s="8" t="s">
        <v>7385</v>
      </c>
      <c r="F1453" s="8">
        <v>5.0808572E7</v>
      </c>
      <c r="G1453" s="8" t="s">
        <v>54</v>
      </c>
      <c r="H1453" s="8" t="s">
        <v>244</v>
      </c>
      <c r="I1453" s="8" t="s">
        <v>31</v>
      </c>
      <c r="J1453" s="8" t="s">
        <v>542</v>
      </c>
      <c r="K1453" s="10" t="s">
        <v>7386</v>
      </c>
      <c r="L1453" s="8" t="s">
        <v>34</v>
      </c>
      <c r="M1453" s="8" t="s">
        <v>70</v>
      </c>
      <c r="N1453" s="11">
        <v>45015.0</v>
      </c>
      <c r="O1453" s="11">
        <v>45047.0</v>
      </c>
      <c r="P1453" s="11">
        <v>45408.0</v>
      </c>
      <c r="Q1453" s="11">
        <v>45061.0</v>
      </c>
      <c r="R1453" s="11">
        <v>45422.0</v>
      </c>
      <c r="S1453" s="12"/>
      <c r="T1453" s="8" t="s">
        <v>205</v>
      </c>
      <c r="U1453" s="8" t="s">
        <v>7387</v>
      </c>
      <c r="V1453" s="13" t="s">
        <v>7388</v>
      </c>
      <c r="W1453" s="13" t="s">
        <v>7389</v>
      </c>
      <c r="X1453" s="12"/>
      <c r="Y1453" s="14"/>
      <c r="Z1453" s="14"/>
    </row>
    <row r="1454">
      <c r="A1454" s="8" t="s">
        <v>7390</v>
      </c>
      <c r="B1454" s="8" t="s">
        <v>7391</v>
      </c>
      <c r="C1454" s="8" t="s">
        <v>25</v>
      </c>
      <c r="D1454" s="8" t="s">
        <v>26</v>
      </c>
      <c r="E1454" s="8" t="s">
        <v>7392</v>
      </c>
      <c r="F1454" s="8">
        <v>5.071452698E9</v>
      </c>
      <c r="G1454" s="8" t="s">
        <v>31</v>
      </c>
      <c r="H1454" s="8" t="s">
        <v>86</v>
      </c>
      <c r="I1454" s="8" t="s">
        <v>54</v>
      </c>
      <c r="J1454" s="8" t="s">
        <v>369</v>
      </c>
      <c r="K1454" s="10" t="s">
        <v>7393</v>
      </c>
      <c r="L1454" s="8" t="s">
        <v>58</v>
      </c>
      <c r="M1454" s="8" t="s">
        <v>35</v>
      </c>
      <c r="N1454" s="11">
        <v>45015.0</v>
      </c>
      <c r="O1454" s="11">
        <v>45108.0</v>
      </c>
      <c r="P1454" s="11">
        <v>45150.0</v>
      </c>
      <c r="Q1454" s="11">
        <v>45108.0</v>
      </c>
      <c r="R1454" s="11">
        <v>45150.0</v>
      </c>
      <c r="S1454" s="12"/>
      <c r="T1454" s="8"/>
      <c r="U1454" s="8" t="s">
        <v>185</v>
      </c>
      <c r="V1454" s="13" t="s">
        <v>175</v>
      </c>
      <c r="W1454" s="13" t="s">
        <v>7394</v>
      </c>
      <c r="X1454" s="12"/>
      <c r="Y1454" s="14"/>
      <c r="Z1454" s="14"/>
    </row>
    <row r="1455">
      <c r="A1455" s="8" t="s">
        <v>7395</v>
      </c>
      <c r="B1455" s="8" t="s">
        <v>7396</v>
      </c>
      <c r="C1455" s="8" t="s">
        <v>64</v>
      </c>
      <c r="D1455" s="8" t="s">
        <v>26</v>
      </c>
      <c r="E1455" s="8" t="s">
        <v>7397</v>
      </c>
      <c r="F1455" s="8"/>
      <c r="G1455" s="8" t="s">
        <v>127</v>
      </c>
      <c r="H1455" s="8" t="s">
        <v>159</v>
      </c>
      <c r="I1455" s="8" t="s">
        <v>31</v>
      </c>
      <c r="J1455" s="8" t="s">
        <v>86</v>
      </c>
      <c r="K1455" s="10" t="s">
        <v>7325</v>
      </c>
      <c r="L1455" s="8" t="s">
        <v>58</v>
      </c>
      <c r="M1455" s="8" t="s">
        <v>35</v>
      </c>
      <c r="N1455" s="11">
        <v>45015.0</v>
      </c>
      <c r="O1455" s="11">
        <v>45133.0</v>
      </c>
      <c r="P1455" s="11">
        <v>45175.0</v>
      </c>
      <c r="Q1455" s="11">
        <v>45133.0</v>
      </c>
      <c r="R1455" s="11">
        <v>45175.0</v>
      </c>
      <c r="S1455" s="12"/>
      <c r="T1455" s="8"/>
      <c r="U1455" s="8" t="s">
        <v>59</v>
      </c>
      <c r="V1455" s="13" t="s">
        <v>38</v>
      </c>
      <c r="W1455" s="13" t="s">
        <v>7398</v>
      </c>
      <c r="X1455" s="12"/>
      <c r="Y1455" s="14"/>
      <c r="Z1455" s="14"/>
    </row>
    <row r="1456">
      <c r="A1456" s="8" t="s">
        <v>7399</v>
      </c>
      <c r="B1456" s="8" t="s">
        <v>7400</v>
      </c>
      <c r="C1456" s="8" t="s">
        <v>179</v>
      </c>
      <c r="D1456" s="8" t="s">
        <v>26</v>
      </c>
      <c r="E1456" s="8" t="s">
        <v>7401</v>
      </c>
      <c r="F1456" s="8">
        <v>5.510176188E9</v>
      </c>
      <c r="G1456" s="8" t="s">
        <v>31</v>
      </c>
      <c r="H1456" s="8" t="s">
        <v>32</v>
      </c>
      <c r="I1456" s="8" t="s">
        <v>399</v>
      </c>
      <c r="J1456" s="8" t="s">
        <v>3797</v>
      </c>
      <c r="K1456" s="10" t="s">
        <v>7402</v>
      </c>
      <c r="L1456" s="8" t="s">
        <v>58</v>
      </c>
      <c r="M1456" s="8" t="s">
        <v>35</v>
      </c>
      <c r="N1456" s="11">
        <v>45015.0</v>
      </c>
      <c r="O1456" s="11">
        <v>45208.0</v>
      </c>
      <c r="P1456" s="11">
        <v>45250.0</v>
      </c>
      <c r="Q1456" s="11"/>
      <c r="R1456" s="11"/>
      <c r="S1456" s="12"/>
      <c r="T1456" s="8"/>
      <c r="U1456" s="8" t="s">
        <v>185</v>
      </c>
      <c r="V1456" s="13" t="s">
        <v>4518</v>
      </c>
      <c r="W1456" s="13" t="s">
        <v>7403</v>
      </c>
      <c r="X1456" s="12"/>
      <c r="Y1456" s="14"/>
      <c r="Z1456" s="14"/>
    </row>
    <row r="1457">
      <c r="A1457" s="8" t="s">
        <v>7404</v>
      </c>
      <c r="B1457" s="8" t="s">
        <v>7405</v>
      </c>
      <c r="C1457" s="8" t="s">
        <v>25</v>
      </c>
      <c r="D1457" s="8" t="s">
        <v>26</v>
      </c>
      <c r="E1457" s="8" t="s">
        <v>7406</v>
      </c>
      <c r="F1457" s="8">
        <v>3.343331615E9</v>
      </c>
      <c r="G1457" s="8" t="s">
        <v>315</v>
      </c>
      <c r="H1457" s="8" t="s">
        <v>6834</v>
      </c>
      <c r="I1457" s="8" t="s">
        <v>31</v>
      </c>
      <c r="J1457" s="8" t="s">
        <v>167</v>
      </c>
      <c r="K1457" s="10" t="s">
        <v>4008</v>
      </c>
      <c r="L1457" s="8" t="s">
        <v>58</v>
      </c>
      <c r="M1457" s="8" t="s">
        <v>35</v>
      </c>
      <c r="N1457" s="11">
        <v>45015.0</v>
      </c>
      <c r="O1457" s="11">
        <v>45075.0</v>
      </c>
      <c r="P1457" s="11">
        <v>45117.0</v>
      </c>
      <c r="Q1457" s="11">
        <v>45074.0</v>
      </c>
      <c r="R1457" s="11">
        <v>45117.0</v>
      </c>
      <c r="S1457" s="12"/>
      <c r="T1457" s="8"/>
      <c r="U1457" s="8" t="s">
        <v>59</v>
      </c>
      <c r="V1457" s="13" t="s">
        <v>6835</v>
      </c>
      <c r="W1457" s="13" t="s">
        <v>7407</v>
      </c>
      <c r="X1457" s="12"/>
      <c r="Y1457" s="14"/>
      <c r="Z1457" s="14"/>
    </row>
    <row r="1458">
      <c r="A1458" s="8" t="s">
        <v>7408</v>
      </c>
      <c r="B1458" s="8" t="s">
        <v>7409</v>
      </c>
      <c r="C1458" s="8" t="s">
        <v>179</v>
      </c>
      <c r="D1458" s="8" t="s">
        <v>26</v>
      </c>
      <c r="E1458" s="8" t="s">
        <v>7410</v>
      </c>
      <c r="F1458" s="8">
        <v>5.5378004E9</v>
      </c>
      <c r="G1458" s="8" t="s">
        <v>31</v>
      </c>
      <c r="H1458" s="8" t="s">
        <v>167</v>
      </c>
      <c r="I1458" s="8" t="s">
        <v>118</v>
      </c>
      <c r="J1458" s="8" t="s">
        <v>119</v>
      </c>
      <c r="K1458" s="10" t="s">
        <v>7411</v>
      </c>
      <c r="L1458" s="8" t="s">
        <v>34</v>
      </c>
      <c r="M1458" s="8" t="s">
        <v>35</v>
      </c>
      <c r="N1458" s="11">
        <v>45015.0</v>
      </c>
      <c r="O1458" s="11">
        <v>45093.0</v>
      </c>
      <c r="P1458" s="11">
        <v>45149.0</v>
      </c>
      <c r="Q1458" s="11"/>
      <c r="R1458" s="11"/>
      <c r="S1458" s="12"/>
      <c r="T1458" s="8" t="s">
        <v>121</v>
      </c>
      <c r="U1458" s="8" t="s">
        <v>7412</v>
      </c>
      <c r="V1458" s="13" t="s">
        <v>537</v>
      </c>
      <c r="W1458" s="13" t="s">
        <v>7413</v>
      </c>
      <c r="X1458" s="12"/>
      <c r="Y1458" s="14"/>
      <c r="Z1458" s="14"/>
    </row>
    <row r="1459">
      <c r="A1459" s="8" t="s">
        <v>7414</v>
      </c>
      <c r="B1459" s="8" t="s">
        <v>7415</v>
      </c>
      <c r="C1459" s="8" t="s">
        <v>179</v>
      </c>
      <c r="D1459" s="8" t="s">
        <v>26</v>
      </c>
      <c r="E1459" s="8" t="s">
        <v>7416</v>
      </c>
      <c r="F1459" s="8">
        <v>5.414468847E9</v>
      </c>
      <c r="G1459" s="8" t="s">
        <v>31</v>
      </c>
      <c r="H1459" s="8" t="s">
        <v>1119</v>
      </c>
      <c r="I1459" s="8" t="s">
        <v>399</v>
      </c>
      <c r="J1459" s="8" t="s">
        <v>415</v>
      </c>
      <c r="K1459" s="10" t="s">
        <v>1199</v>
      </c>
      <c r="L1459" s="8" t="s">
        <v>58</v>
      </c>
      <c r="M1459" s="8" t="s">
        <v>35</v>
      </c>
      <c r="N1459" s="11">
        <v>45015.0</v>
      </c>
      <c r="O1459" s="11">
        <v>45116.0</v>
      </c>
      <c r="P1459" s="11">
        <v>45158.0</v>
      </c>
      <c r="Q1459" s="11"/>
      <c r="R1459" s="11"/>
      <c r="S1459" s="12"/>
      <c r="T1459" s="8"/>
      <c r="U1459" s="8" t="s">
        <v>1038</v>
      </c>
      <c r="V1459" s="13" t="s">
        <v>1119</v>
      </c>
      <c r="W1459" s="13" t="s">
        <v>7417</v>
      </c>
      <c r="X1459" s="12"/>
      <c r="Y1459" s="14"/>
      <c r="Z1459" s="14"/>
    </row>
    <row r="1460">
      <c r="A1460" s="8" t="s">
        <v>7418</v>
      </c>
      <c r="B1460" s="8" t="s">
        <v>7419</v>
      </c>
      <c r="C1460" s="8" t="s">
        <v>25</v>
      </c>
      <c r="D1460" s="8" t="s">
        <v>26</v>
      </c>
      <c r="E1460" s="8" t="s">
        <v>7420</v>
      </c>
      <c r="F1460" s="8">
        <v>9.26542073E8</v>
      </c>
      <c r="G1460" s="8" t="s">
        <v>118</v>
      </c>
      <c r="H1460" s="8" t="s">
        <v>1162</v>
      </c>
      <c r="I1460" s="8" t="s">
        <v>31</v>
      </c>
      <c r="J1460" s="8" t="s">
        <v>1119</v>
      </c>
      <c r="K1460" s="10" t="s">
        <v>6015</v>
      </c>
      <c r="L1460" s="8" t="s">
        <v>58</v>
      </c>
      <c r="M1460" s="8" t="s">
        <v>35</v>
      </c>
      <c r="N1460" s="11">
        <v>45015.0</v>
      </c>
      <c r="O1460" s="11">
        <v>45128.0</v>
      </c>
      <c r="P1460" s="11">
        <v>45170.0</v>
      </c>
      <c r="Q1460" s="11">
        <v>45132.0</v>
      </c>
      <c r="R1460" s="11">
        <v>45174.0</v>
      </c>
      <c r="S1460" s="12"/>
      <c r="T1460" s="8"/>
      <c r="U1460" s="8" t="s">
        <v>59</v>
      </c>
      <c r="V1460" s="13" t="s">
        <v>7421</v>
      </c>
      <c r="W1460" s="13" t="s">
        <v>7422</v>
      </c>
      <c r="X1460" s="12"/>
      <c r="Y1460" s="14"/>
      <c r="Z1460" s="14"/>
    </row>
    <row r="1461">
      <c r="A1461" s="8" t="s">
        <v>7423</v>
      </c>
      <c r="B1461" s="8" t="s">
        <v>7424</v>
      </c>
      <c r="C1461" s="8" t="s">
        <v>179</v>
      </c>
      <c r="D1461" s="8" t="s">
        <v>26</v>
      </c>
      <c r="E1461" s="8" t="s">
        <v>7425</v>
      </c>
      <c r="F1461" s="8">
        <v>8.594624703E9</v>
      </c>
      <c r="G1461" s="8" t="s">
        <v>4719</v>
      </c>
      <c r="H1461" s="8" t="s">
        <v>7362</v>
      </c>
      <c r="I1461" s="8" t="s">
        <v>31</v>
      </c>
      <c r="J1461" s="8" t="s">
        <v>32</v>
      </c>
      <c r="K1461" s="10" t="s">
        <v>7363</v>
      </c>
      <c r="L1461" s="8" t="s">
        <v>47</v>
      </c>
      <c r="M1461" s="8" t="s">
        <v>48</v>
      </c>
      <c r="N1461" s="11">
        <v>45015.0</v>
      </c>
      <c r="O1461" s="11">
        <v>45068.0</v>
      </c>
      <c r="P1461" s="11">
        <v>45159.0</v>
      </c>
      <c r="Q1461" s="11"/>
      <c r="R1461" s="11"/>
      <c r="S1461" s="12"/>
      <c r="T1461" s="8"/>
      <c r="U1461" s="8" t="s">
        <v>7364</v>
      </c>
      <c r="V1461" s="13" t="s">
        <v>7426</v>
      </c>
      <c r="W1461" s="13" t="s">
        <v>7427</v>
      </c>
      <c r="X1461" s="12"/>
      <c r="Y1461" s="14"/>
      <c r="Z1461" s="14"/>
    </row>
    <row r="1462">
      <c r="A1462" s="8" t="s">
        <v>7428</v>
      </c>
      <c r="B1462" s="8" t="s">
        <v>7429</v>
      </c>
      <c r="C1462" s="8" t="s">
        <v>25</v>
      </c>
      <c r="D1462" s="8" t="s">
        <v>26</v>
      </c>
      <c r="E1462" s="8" t="s">
        <v>7430</v>
      </c>
      <c r="F1462" s="8">
        <v>5.454325531E9</v>
      </c>
      <c r="G1462" s="8" t="s">
        <v>31</v>
      </c>
      <c r="H1462" s="8" t="s">
        <v>102</v>
      </c>
      <c r="I1462" s="8" t="s">
        <v>127</v>
      </c>
      <c r="J1462" s="8" t="s">
        <v>1771</v>
      </c>
      <c r="K1462" s="10" t="s">
        <v>7431</v>
      </c>
      <c r="L1462" s="8" t="s">
        <v>34</v>
      </c>
      <c r="M1462" s="8" t="s">
        <v>35</v>
      </c>
      <c r="N1462" s="11">
        <v>45015.0</v>
      </c>
      <c r="O1462" s="11">
        <v>45117.0</v>
      </c>
      <c r="P1462" s="11">
        <v>45170.0</v>
      </c>
      <c r="Q1462" s="11">
        <v>45120.0</v>
      </c>
      <c r="R1462" s="11">
        <v>45173.0</v>
      </c>
      <c r="S1462" s="12"/>
      <c r="T1462" s="8" t="s">
        <v>224</v>
      </c>
      <c r="U1462" s="8" t="s">
        <v>7432</v>
      </c>
      <c r="V1462" s="13" t="s">
        <v>102</v>
      </c>
      <c r="W1462" s="13" t="s">
        <v>7433</v>
      </c>
      <c r="X1462" s="12"/>
      <c r="Y1462" s="14"/>
      <c r="Z1462" s="14"/>
    </row>
    <row r="1463">
      <c r="A1463" s="8" t="s">
        <v>7434</v>
      </c>
      <c r="B1463" s="8" t="s">
        <v>7435</v>
      </c>
      <c r="C1463" s="8" t="s">
        <v>179</v>
      </c>
      <c r="D1463" s="8" t="s">
        <v>26</v>
      </c>
      <c r="E1463" s="8" t="s">
        <v>7436</v>
      </c>
      <c r="F1463" s="8">
        <v>9.2554924E7</v>
      </c>
      <c r="G1463" s="8" t="s">
        <v>54</v>
      </c>
      <c r="H1463" s="8" t="s">
        <v>76</v>
      </c>
      <c r="I1463" s="8" t="s">
        <v>31</v>
      </c>
      <c r="J1463" s="8" t="s">
        <v>86</v>
      </c>
      <c r="K1463" s="10" t="s">
        <v>87</v>
      </c>
      <c r="L1463" s="8" t="s">
        <v>58</v>
      </c>
      <c r="M1463" s="8" t="s">
        <v>35</v>
      </c>
      <c r="N1463" s="11">
        <v>45016.0</v>
      </c>
      <c r="O1463" s="11">
        <v>45155.0</v>
      </c>
      <c r="P1463" s="11">
        <v>45197.0</v>
      </c>
      <c r="Q1463" s="11"/>
      <c r="R1463" s="11"/>
      <c r="S1463" s="12"/>
      <c r="T1463" s="8"/>
      <c r="U1463" s="8" t="s">
        <v>88</v>
      </c>
      <c r="V1463" s="13" t="s">
        <v>324</v>
      </c>
      <c r="W1463" s="13" t="s">
        <v>7437</v>
      </c>
      <c r="X1463" s="12"/>
      <c r="Y1463" s="14"/>
      <c r="Z1463" s="14"/>
    </row>
    <row r="1464">
      <c r="A1464" s="8" t="s">
        <v>7438</v>
      </c>
      <c r="B1464" s="8" t="s">
        <v>7439</v>
      </c>
      <c r="C1464" s="8" t="s">
        <v>251</v>
      </c>
      <c r="D1464" s="8" t="s">
        <v>26</v>
      </c>
      <c r="E1464" s="8" t="s">
        <v>7440</v>
      </c>
      <c r="F1464" s="8">
        <v>5.363389299E9</v>
      </c>
      <c r="G1464" s="8" t="s">
        <v>284</v>
      </c>
      <c r="H1464" s="8" t="s">
        <v>691</v>
      </c>
      <c r="I1464" s="8" t="s">
        <v>31</v>
      </c>
      <c r="J1464" s="8" t="s">
        <v>256</v>
      </c>
      <c r="K1464" s="10" t="s">
        <v>7441</v>
      </c>
      <c r="L1464" s="8" t="s">
        <v>34</v>
      </c>
      <c r="M1464" s="8" t="s">
        <v>70</v>
      </c>
      <c r="N1464" s="11">
        <v>45016.0</v>
      </c>
      <c r="O1464" s="11">
        <v>45021.0</v>
      </c>
      <c r="P1464" s="11">
        <v>45387.0</v>
      </c>
      <c r="Q1464" s="11"/>
      <c r="R1464" s="11"/>
      <c r="S1464" s="12"/>
      <c r="T1464" s="8" t="s">
        <v>205</v>
      </c>
      <c r="U1464" s="8" t="s">
        <v>2591</v>
      </c>
      <c r="V1464" s="13" t="s">
        <v>692</v>
      </c>
      <c r="W1464" s="13" t="s">
        <v>7442</v>
      </c>
      <c r="X1464" s="12"/>
      <c r="Y1464" s="14"/>
      <c r="Z1464" s="14"/>
    </row>
    <row r="1465">
      <c r="A1465" s="8" t="s">
        <v>7443</v>
      </c>
      <c r="B1465" s="8" t="s">
        <v>7444</v>
      </c>
      <c r="C1465" s="8" t="s">
        <v>25</v>
      </c>
      <c r="D1465" s="8" t="s">
        <v>26</v>
      </c>
      <c r="E1465" s="8" t="s">
        <v>7445</v>
      </c>
      <c r="F1465" s="8"/>
      <c r="G1465" s="8" t="s">
        <v>31</v>
      </c>
      <c r="H1465" s="8" t="s">
        <v>111</v>
      </c>
      <c r="I1465" s="8" t="s">
        <v>54</v>
      </c>
      <c r="J1465" s="8" t="s">
        <v>244</v>
      </c>
      <c r="K1465" s="10" t="s">
        <v>7446</v>
      </c>
      <c r="L1465" s="8" t="s">
        <v>58</v>
      </c>
      <c r="M1465" s="8" t="s">
        <v>35</v>
      </c>
      <c r="N1465" s="11">
        <v>45016.0</v>
      </c>
      <c r="O1465" s="11">
        <v>45110.0</v>
      </c>
      <c r="P1465" s="11">
        <v>45152.0</v>
      </c>
      <c r="Q1465" s="11">
        <v>45110.0</v>
      </c>
      <c r="R1465" s="11">
        <v>45152.0</v>
      </c>
      <c r="S1465" s="12"/>
      <c r="T1465" s="8"/>
      <c r="U1465" s="8" t="s">
        <v>371</v>
      </c>
      <c r="V1465" s="13" t="s">
        <v>38</v>
      </c>
      <c r="W1465" s="13" t="s">
        <v>7447</v>
      </c>
      <c r="X1465" s="12"/>
      <c r="Y1465" s="14"/>
      <c r="Z1465" s="14"/>
    </row>
    <row r="1466">
      <c r="A1466" s="8" t="s">
        <v>7448</v>
      </c>
      <c r="B1466" s="8" t="s">
        <v>7449</v>
      </c>
      <c r="C1466" s="8" t="s">
        <v>179</v>
      </c>
      <c r="D1466" s="8" t="s">
        <v>26</v>
      </c>
      <c r="E1466" s="8" t="s">
        <v>7450</v>
      </c>
      <c r="F1466" s="9" t="s">
        <v>7451</v>
      </c>
      <c r="G1466" s="8" t="s">
        <v>284</v>
      </c>
      <c r="H1466" s="8" t="s">
        <v>673</v>
      </c>
      <c r="I1466" s="8" t="s">
        <v>31</v>
      </c>
      <c r="J1466" s="8" t="s">
        <v>292</v>
      </c>
      <c r="K1466" s="10" t="s">
        <v>1260</v>
      </c>
      <c r="L1466" s="8" t="s">
        <v>47</v>
      </c>
      <c r="M1466" s="8" t="s">
        <v>70</v>
      </c>
      <c r="N1466" s="11">
        <v>45016.0</v>
      </c>
      <c r="O1466" s="11">
        <v>45171.0</v>
      </c>
      <c r="P1466" s="11">
        <v>45473.0</v>
      </c>
      <c r="Q1466" s="11"/>
      <c r="R1466" s="11"/>
      <c r="S1466" s="12"/>
      <c r="T1466" s="8"/>
      <c r="U1466" s="8" t="s">
        <v>1261</v>
      </c>
      <c r="V1466" s="13" t="s">
        <v>674</v>
      </c>
      <c r="W1466" s="13" t="s">
        <v>7452</v>
      </c>
      <c r="X1466" s="12"/>
      <c r="Y1466" s="14"/>
      <c r="Z1466" s="14"/>
    </row>
    <row r="1467">
      <c r="A1467" s="8" t="s">
        <v>7453</v>
      </c>
      <c r="B1467" s="8" t="s">
        <v>7454</v>
      </c>
      <c r="C1467" s="8" t="s">
        <v>179</v>
      </c>
      <c r="D1467" s="8" t="s">
        <v>26</v>
      </c>
      <c r="E1467" s="8" t="s">
        <v>7455</v>
      </c>
      <c r="F1467" s="8">
        <v>1.006701205E9</v>
      </c>
      <c r="G1467" s="8" t="s">
        <v>284</v>
      </c>
      <c r="H1467" s="8" t="s">
        <v>300</v>
      </c>
      <c r="I1467" s="8" t="s">
        <v>31</v>
      </c>
      <c r="J1467" s="8" t="s">
        <v>32</v>
      </c>
      <c r="K1467" s="10" t="s">
        <v>561</v>
      </c>
      <c r="L1467" s="8" t="s">
        <v>58</v>
      </c>
      <c r="M1467" s="8" t="s">
        <v>35</v>
      </c>
      <c r="N1467" s="11">
        <v>45016.0</v>
      </c>
      <c r="O1467" s="11">
        <v>45172.0</v>
      </c>
      <c r="P1467" s="11">
        <v>45214.0</v>
      </c>
      <c r="Q1467" s="11"/>
      <c r="R1467" s="11"/>
      <c r="S1467" s="12"/>
      <c r="T1467" s="8"/>
      <c r="U1467" s="8" t="s">
        <v>59</v>
      </c>
      <c r="V1467" s="13" t="s">
        <v>796</v>
      </c>
      <c r="W1467" s="13" t="s">
        <v>7456</v>
      </c>
      <c r="X1467" s="12"/>
      <c r="Y1467" s="14"/>
      <c r="Z1467" s="14"/>
    </row>
    <row r="1468">
      <c r="A1468" s="8" t="s">
        <v>7457</v>
      </c>
      <c r="B1468" s="8" t="s">
        <v>7458</v>
      </c>
      <c r="C1468" s="8" t="s">
        <v>64</v>
      </c>
      <c r="D1468" s="8" t="s">
        <v>26</v>
      </c>
      <c r="E1468" s="8" t="s">
        <v>7459</v>
      </c>
      <c r="F1468" s="8"/>
      <c r="G1468" s="8" t="s">
        <v>31</v>
      </c>
      <c r="H1468" s="8" t="s">
        <v>32</v>
      </c>
      <c r="I1468" s="8" t="s">
        <v>54</v>
      </c>
      <c r="J1468" s="8" t="s">
        <v>244</v>
      </c>
      <c r="K1468" s="10" t="s">
        <v>7460</v>
      </c>
      <c r="L1468" s="8" t="s">
        <v>58</v>
      </c>
      <c r="M1468" s="8" t="s">
        <v>35</v>
      </c>
      <c r="N1468" s="11">
        <v>45016.0</v>
      </c>
      <c r="O1468" s="11">
        <v>45139.0</v>
      </c>
      <c r="P1468" s="11">
        <v>45184.0</v>
      </c>
      <c r="Q1468" s="11">
        <v>45138.0</v>
      </c>
      <c r="R1468" s="11">
        <v>45190.0</v>
      </c>
      <c r="S1468" s="12"/>
      <c r="T1468" s="8"/>
      <c r="U1468" s="8" t="s">
        <v>402</v>
      </c>
      <c r="V1468" s="13" t="s">
        <v>38</v>
      </c>
      <c r="W1468" s="13" t="s">
        <v>7461</v>
      </c>
      <c r="X1468" s="12"/>
      <c r="Y1468" s="14"/>
      <c r="Z1468" s="14"/>
    </row>
    <row r="1469">
      <c r="A1469" s="8" t="s">
        <v>7462</v>
      </c>
      <c r="B1469" s="8" t="s">
        <v>7463</v>
      </c>
      <c r="C1469" s="8" t="s">
        <v>179</v>
      </c>
      <c r="D1469" s="8" t="s">
        <v>26</v>
      </c>
      <c r="E1469" s="8" t="s">
        <v>7464</v>
      </c>
      <c r="F1469" s="8"/>
      <c r="G1469" s="8" t="s">
        <v>127</v>
      </c>
      <c r="H1469" s="8" t="s">
        <v>363</v>
      </c>
      <c r="I1469" s="8" t="s">
        <v>31</v>
      </c>
      <c r="J1469" s="8" t="s">
        <v>32</v>
      </c>
      <c r="K1469" s="10" t="s">
        <v>561</v>
      </c>
      <c r="L1469" s="8" t="s">
        <v>58</v>
      </c>
      <c r="M1469" s="8" t="s">
        <v>35</v>
      </c>
      <c r="N1469" s="11">
        <v>45016.0</v>
      </c>
      <c r="O1469" s="11">
        <v>45144.0</v>
      </c>
      <c r="P1469" s="11">
        <v>45186.0</v>
      </c>
      <c r="Q1469" s="11"/>
      <c r="R1469" s="11"/>
      <c r="S1469" s="12"/>
      <c r="T1469" s="8"/>
      <c r="U1469" s="8" t="s">
        <v>59</v>
      </c>
      <c r="V1469" s="13" t="s">
        <v>38</v>
      </c>
      <c r="W1469" s="13" t="s">
        <v>7465</v>
      </c>
      <c r="X1469" s="12"/>
      <c r="Y1469" s="14"/>
      <c r="Z1469" s="14"/>
    </row>
    <row r="1470">
      <c r="A1470" s="8" t="s">
        <v>7466</v>
      </c>
      <c r="B1470" s="8" t="s">
        <v>7467</v>
      </c>
      <c r="C1470" s="8" t="s">
        <v>708</v>
      </c>
      <c r="D1470" s="8" t="s">
        <v>26</v>
      </c>
      <c r="E1470" s="8" t="s">
        <v>7468</v>
      </c>
      <c r="F1470" s="8">
        <v>8.1996302363E10</v>
      </c>
      <c r="G1470" s="8" t="s">
        <v>109</v>
      </c>
      <c r="H1470" s="8" t="s">
        <v>7469</v>
      </c>
      <c r="I1470" s="8" t="s">
        <v>31</v>
      </c>
      <c r="J1470" s="8" t="s">
        <v>77</v>
      </c>
      <c r="K1470" s="10" t="s">
        <v>2910</v>
      </c>
      <c r="L1470" s="8" t="s">
        <v>34</v>
      </c>
      <c r="M1470" s="8" t="s">
        <v>70</v>
      </c>
      <c r="N1470" s="11">
        <v>45016.0</v>
      </c>
      <c r="O1470" s="11">
        <v>45021.0</v>
      </c>
      <c r="P1470" s="11">
        <v>45387.0</v>
      </c>
      <c r="Q1470" s="11">
        <v>45027.0</v>
      </c>
      <c r="R1470" s="11">
        <v>45393.0</v>
      </c>
      <c r="S1470" s="12"/>
      <c r="T1470" s="8" t="s">
        <v>205</v>
      </c>
      <c r="U1470" s="8" t="s">
        <v>2911</v>
      </c>
      <c r="V1470" s="13" t="s">
        <v>7470</v>
      </c>
      <c r="W1470" s="13" t="s">
        <v>7471</v>
      </c>
      <c r="X1470" s="12"/>
      <c r="Y1470" s="14"/>
      <c r="Z1470" s="14"/>
    </row>
    <row r="1471">
      <c r="A1471" s="8" t="s">
        <v>7472</v>
      </c>
      <c r="B1471" s="8" t="s">
        <v>7473</v>
      </c>
      <c r="C1471" s="8" t="s">
        <v>179</v>
      </c>
      <c r="D1471" s="8" t="s">
        <v>26</v>
      </c>
      <c r="E1471" s="8" t="s">
        <v>7474</v>
      </c>
      <c r="F1471" s="8">
        <v>5.384612141E9</v>
      </c>
      <c r="G1471" s="8" t="s">
        <v>31</v>
      </c>
      <c r="H1471" s="8" t="s">
        <v>32</v>
      </c>
      <c r="I1471" s="8" t="s">
        <v>399</v>
      </c>
      <c r="J1471" s="8" t="s">
        <v>3797</v>
      </c>
      <c r="K1471" s="10" t="s">
        <v>7475</v>
      </c>
      <c r="L1471" s="8" t="s">
        <v>58</v>
      </c>
      <c r="M1471" s="8" t="s">
        <v>35</v>
      </c>
      <c r="N1471" s="11">
        <v>45016.0</v>
      </c>
      <c r="O1471" s="11">
        <v>45208.0</v>
      </c>
      <c r="P1471" s="11">
        <v>45250.0</v>
      </c>
      <c r="Q1471" s="11"/>
      <c r="R1471" s="11"/>
      <c r="S1471" s="12"/>
      <c r="T1471" s="8"/>
      <c r="U1471" s="8" t="s">
        <v>4870</v>
      </c>
      <c r="V1471" s="13" t="s">
        <v>537</v>
      </c>
      <c r="W1471" s="13" t="s">
        <v>7476</v>
      </c>
      <c r="X1471" s="12"/>
      <c r="Y1471" s="14"/>
      <c r="Z1471" s="14"/>
    </row>
    <row r="1472">
      <c r="A1472" s="8" t="s">
        <v>7477</v>
      </c>
      <c r="B1472" s="8" t="s">
        <v>7478</v>
      </c>
      <c r="C1472" s="8" t="s">
        <v>25</v>
      </c>
      <c r="D1472" s="8" t="s">
        <v>26</v>
      </c>
      <c r="E1472" s="8" t="s">
        <v>7479</v>
      </c>
      <c r="F1472" s="8">
        <v>5.396831864E9</v>
      </c>
      <c r="G1472" s="8" t="s">
        <v>31</v>
      </c>
      <c r="H1472" s="8" t="s">
        <v>56</v>
      </c>
      <c r="I1472" s="8" t="s">
        <v>399</v>
      </c>
      <c r="J1472" s="8" t="s">
        <v>1381</v>
      </c>
      <c r="K1472" s="10" t="s">
        <v>4261</v>
      </c>
      <c r="L1472" s="8" t="s">
        <v>58</v>
      </c>
      <c r="M1472" s="8" t="s">
        <v>35</v>
      </c>
      <c r="N1472" s="11">
        <v>45016.0</v>
      </c>
      <c r="O1472" s="11">
        <v>45138.0</v>
      </c>
      <c r="P1472" s="11">
        <v>45180.0</v>
      </c>
      <c r="Q1472" s="11">
        <v>45138.0</v>
      </c>
      <c r="R1472" s="11">
        <v>45180.0</v>
      </c>
      <c r="S1472" s="12"/>
      <c r="T1472" s="8"/>
      <c r="U1472" s="8" t="s">
        <v>402</v>
      </c>
      <c r="V1472" s="13" t="s">
        <v>56</v>
      </c>
      <c r="W1472" s="13" t="s">
        <v>7480</v>
      </c>
      <c r="X1472" s="12"/>
      <c r="Y1472" s="14"/>
      <c r="Z1472" s="14"/>
    </row>
    <row r="1473">
      <c r="A1473" s="8" t="s">
        <v>7481</v>
      </c>
      <c r="B1473" s="8" t="s">
        <v>7482</v>
      </c>
      <c r="C1473" s="8" t="s">
        <v>251</v>
      </c>
      <c r="D1473" s="8" t="s">
        <v>26</v>
      </c>
      <c r="E1473" s="8" t="s">
        <v>7483</v>
      </c>
      <c r="F1473" s="8">
        <v>5.462786904E9</v>
      </c>
      <c r="G1473" s="8" t="s">
        <v>31</v>
      </c>
      <c r="H1473" s="8" t="s">
        <v>542</v>
      </c>
      <c r="I1473" s="8" t="s">
        <v>284</v>
      </c>
      <c r="J1473" s="8" t="s">
        <v>3586</v>
      </c>
      <c r="K1473" s="10" t="s">
        <v>7484</v>
      </c>
      <c r="L1473" s="8" t="s">
        <v>58</v>
      </c>
      <c r="M1473" s="8" t="s">
        <v>35</v>
      </c>
      <c r="N1473" s="11">
        <v>45016.0</v>
      </c>
      <c r="O1473" s="11">
        <v>45108.0</v>
      </c>
      <c r="P1473" s="11">
        <v>45150.0</v>
      </c>
      <c r="Q1473" s="11"/>
      <c r="R1473" s="11"/>
      <c r="S1473" s="12"/>
      <c r="T1473" s="8"/>
      <c r="U1473" s="8" t="s">
        <v>1038</v>
      </c>
      <c r="V1473" s="13" t="s">
        <v>545</v>
      </c>
      <c r="W1473" s="13" t="s">
        <v>7485</v>
      </c>
      <c r="X1473" s="12"/>
      <c r="Y1473" s="14"/>
      <c r="Z1473" s="14"/>
    </row>
    <row r="1474">
      <c r="A1474" s="8" t="s">
        <v>7486</v>
      </c>
      <c r="B1474" s="8" t="s">
        <v>7487</v>
      </c>
      <c r="C1474" s="8" t="s">
        <v>179</v>
      </c>
      <c r="D1474" s="8" t="s">
        <v>26</v>
      </c>
      <c r="E1474" s="8" t="s">
        <v>7488</v>
      </c>
      <c r="F1474" s="8">
        <v>3.462806104E9</v>
      </c>
      <c r="G1474" s="8" t="s">
        <v>315</v>
      </c>
      <c r="H1474" s="8" t="s">
        <v>1833</v>
      </c>
      <c r="I1474" s="8" t="s">
        <v>31</v>
      </c>
      <c r="J1474" s="8" t="s">
        <v>32</v>
      </c>
      <c r="K1474" s="10" t="s">
        <v>5071</v>
      </c>
      <c r="L1474" s="8" t="s">
        <v>58</v>
      </c>
      <c r="M1474" s="8" t="s">
        <v>35</v>
      </c>
      <c r="N1474" s="11">
        <v>45016.0</v>
      </c>
      <c r="O1474" s="11">
        <v>45166.0</v>
      </c>
      <c r="P1474" s="11">
        <v>45208.0</v>
      </c>
      <c r="Q1474" s="11"/>
      <c r="R1474" s="11"/>
      <c r="S1474" s="12"/>
      <c r="T1474" s="8"/>
      <c r="U1474" s="8" t="s">
        <v>161</v>
      </c>
      <c r="V1474" s="13" t="s">
        <v>3501</v>
      </c>
      <c r="W1474" s="13" t="s">
        <v>7489</v>
      </c>
      <c r="X1474" s="12"/>
      <c r="Y1474" s="14"/>
      <c r="Z1474" s="14"/>
    </row>
    <row r="1475">
      <c r="A1475" s="8" t="s">
        <v>7490</v>
      </c>
      <c r="B1475" s="8" t="s">
        <v>7491</v>
      </c>
      <c r="C1475" s="8" t="s">
        <v>25</v>
      </c>
      <c r="D1475" s="8" t="s">
        <v>26</v>
      </c>
      <c r="E1475" s="8" t="s">
        <v>7492</v>
      </c>
      <c r="F1475" s="8">
        <v>7.6069241E8</v>
      </c>
      <c r="G1475" s="8" t="s">
        <v>127</v>
      </c>
      <c r="H1475" s="8" t="s">
        <v>6099</v>
      </c>
      <c r="I1475" s="8" t="s">
        <v>31</v>
      </c>
      <c r="J1475" s="8" t="s">
        <v>102</v>
      </c>
      <c r="K1475" s="10" t="s">
        <v>6221</v>
      </c>
      <c r="L1475" s="8" t="s">
        <v>58</v>
      </c>
      <c r="M1475" s="8" t="s">
        <v>35</v>
      </c>
      <c r="N1475" s="11">
        <v>45016.0</v>
      </c>
      <c r="O1475" s="11">
        <v>45159.0</v>
      </c>
      <c r="P1475" s="11">
        <v>45201.0</v>
      </c>
      <c r="Q1475" s="11">
        <v>45161.0</v>
      </c>
      <c r="R1475" s="11">
        <v>45201.0</v>
      </c>
      <c r="S1475" s="12"/>
      <c r="T1475" s="8"/>
      <c r="U1475" s="8" t="s">
        <v>59</v>
      </c>
      <c r="V1475" s="13" t="s">
        <v>6995</v>
      </c>
      <c r="W1475" s="13" t="s">
        <v>7493</v>
      </c>
      <c r="X1475" s="12"/>
      <c r="Y1475" s="14"/>
      <c r="Z1475" s="14"/>
    </row>
    <row r="1476">
      <c r="A1476" s="8" t="s">
        <v>7494</v>
      </c>
      <c r="B1476" s="8" t="s">
        <v>7495</v>
      </c>
      <c r="C1476" s="8" t="s">
        <v>179</v>
      </c>
      <c r="D1476" s="8" t="s">
        <v>26</v>
      </c>
      <c r="E1476" s="8" t="s">
        <v>7496</v>
      </c>
      <c r="F1476" s="8">
        <v>5.530534333E9</v>
      </c>
      <c r="G1476" s="8" t="s">
        <v>31</v>
      </c>
      <c r="H1476" s="8" t="s">
        <v>542</v>
      </c>
      <c r="I1476" s="8" t="s">
        <v>284</v>
      </c>
      <c r="J1476" s="8" t="s">
        <v>3188</v>
      </c>
      <c r="K1476" s="10" t="s">
        <v>5159</v>
      </c>
      <c r="L1476" s="8" t="s">
        <v>58</v>
      </c>
      <c r="M1476" s="8" t="s">
        <v>35</v>
      </c>
      <c r="N1476" s="11">
        <v>45016.0</v>
      </c>
      <c r="O1476" s="11">
        <v>45122.0</v>
      </c>
      <c r="P1476" s="11">
        <v>45164.0</v>
      </c>
      <c r="Q1476" s="11"/>
      <c r="R1476" s="11"/>
      <c r="S1476" s="12"/>
      <c r="T1476" s="8"/>
      <c r="U1476" s="8" t="s">
        <v>153</v>
      </c>
      <c r="V1476" s="13" t="s">
        <v>545</v>
      </c>
      <c r="W1476" s="13" t="s">
        <v>7497</v>
      </c>
      <c r="X1476" s="12"/>
      <c r="Y1476" s="14"/>
      <c r="Z1476" s="14"/>
    </row>
    <row r="1477">
      <c r="A1477" s="8" t="s">
        <v>7498</v>
      </c>
      <c r="B1477" s="8" t="s">
        <v>7499</v>
      </c>
      <c r="C1477" s="8" t="s">
        <v>708</v>
      </c>
      <c r="D1477" s="8" t="s">
        <v>26</v>
      </c>
      <c r="E1477" s="8" t="s">
        <v>7500</v>
      </c>
      <c r="F1477" s="8" t="s">
        <v>7501</v>
      </c>
      <c r="G1477" s="8" t="s">
        <v>109</v>
      </c>
      <c r="H1477" s="8" t="s">
        <v>2359</v>
      </c>
      <c r="I1477" s="8" t="s">
        <v>31</v>
      </c>
      <c r="J1477" s="8" t="s">
        <v>56</v>
      </c>
      <c r="K1477" s="10" t="s">
        <v>1793</v>
      </c>
      <c r="L1477" s="8" t="s">
        <v>47</v>
      </c>
      <c r="M1477" s="8" t="s">
        <v>70</v>
      </c>
      <c r="N1477" s="11">
        <v>45016.0</v>
      </c>
      <c r="O1477" s="11">
        <v>45033.0</v>
      </c>
      <c r="P1477" s="11">
        <v>45394.0</v>
      </c>
      <c r="Q1477" s="11">
        <v>45043.0</v>
      </c>
      <c r="R1477" s="11">
        <v>45404.0</v>
      </c>
      <c r="S1477" s="12"/>
      <c r="T1477" s="8"/>
      <c r="U1477" s="8" t="s">
        <v>1794</v>
      </c>
      <c r="V1477" s="13" t="s">
        <v>2361</v>
      </c>
      <c r="W1477" s="13" t="s">
        <v>7502</v>
      </c>
      <c r="X1477" s="12"/>
      <c r="Y1477" s="14"/>
      <c r="Z1477" s="14"/>
    </row>
    <row r="1478">
      <c r="A1478" s="8" t="s">
        <v>7503</v>
      </c>
      <c r="B1478" s="8" t="s">
        <v>7504</v>
      </c>
      <c r="C1478" s="8" t="s">
        <v>179</v>
      </c>
      <c r="D1478" s="8" t="s">
        <v>26</v>
      </c>
      <c r="E1478" s="8" t="s">
        <v>7505</v>
      </c>
      <c r="F1478" s="8">
        <v>5.052667525E9</v>
      </c>
      <c r="G1478" s="8" t="s">
        <v>31</v>
      </c>
      <c r="H1478" s="8" t="s">
        <v>220</v>
      </c>
      <c r="I1478" s="8" t="s">
        <v>44</v>
      </c>
      <c r="J1478" s="8" t="s">
        <v>741</v>
      </c>
      <c r="K1478" s="10" t="s">
        <v>5525</v>
      </c>
      <c r="L1478" s="8" t="s">
        <v>58</v>
      </c>
      <c r="M1478" s="8" t="s">
        <v>35</v>
      </c>
      <c r="N1478" s="11">
        <v>45017.0</v>
      </c>
      <c r="O1478" s="11">
        <v>45261.0</v>
      </c>
      <c r="P1478" s="11">
        <v>45303.0</v>
      </c>
      <c r="Q1478" s="11"/>
      <c r="R1478" s="11"/>
      <c r="S1478" s="12"/>
      <c r="T1478" s="8"/>
      <c r="U1478" s="8" t="s">
        <v>88</v>
      </c>
      <c r="V1478" s="13" t="s">
        <v>220</v>
      </c>
      <c r="W1478" s="13" t="s">
        <v>7506</v>
      </c>
      <c r="X1478" s="12"/>
      <c r="Y1478" s="14"/>
      <c r="Z1478" s="14"/>
    </row>
    <row r="1479">
      <c r="A1479" s="8" t="s">
        <v>7507</v>
      </c>
      <c r="B1479" s="8" t="s">
        <v>5044</v>
      </c>
      <c r="C1479" s="8" t="s">
        <v>25</v>
      </c>
      <c r="D1479" s="8" t="s">
        <v>26</v>
      </c>
      <c r="E1479" s="8" t="s">
        <v>7508</v>
      </c>
      <c r="F1479" s="8">
        <v>5.548650418E9</v>
      </c>
      <c r="G1479" s="8" t="s">
        <v>31</v>
      </c>
      <c r="H1479" s="8" t="s">
        <v>86</v>
      </c>
      <c r="I1479" s="8" t="s">
        <v>284</v>
      </c>
      <c r="J1479" s="8" t="s">
        <v>589</v>
      </c>
      <c r="K1479" s="10" t="s">
        <v>6146</v>
      </c>
      <c r="L1479" s="8" t="s">
        <v>58</v>
      </c>
      <c r="M1479" s="8" t="s">
        <v>35</v>
      </c>
      <c r="N1479" s="11">
        <v>45017.0</v>
      </c>
      <c r="O1479" s="11">
        <v>45122.0</v>
      </c>
      <c r="P1479" s="11">
        <v>45164.0</v>
      </c>
      <c r="Q1479" s="11">
        <v>45125.0</v>
      </c>
      <c r="R1479" s="11">
        <v>45167.0</v>
      </c>
      <c r="S1479" s="12"/>
      <c r="T1479" s="8"/>
      <c r="U1479" s="8" t="s">
        <v>1038</v>
      </c>
      <c r="V1479" s="13" t="s">
        <v>175</v>
      </c>
      <c r="W1479" s="13" t="s">
        <v>7509</v>
      </c>
      <c r="X1479" s="12"/>
      <c r="Y1479" s="14"/>
      <c r="Z1479" s="14"/>
    </row>
    <row r="1480">
      <c r="A1480" s="8" t="s">
        <v>7510</v>
      </c>
      <c r="B1480" s="8" t="s">
        <v>7511</v>
      </c>
      <c r="C1480" s="8" t="s">
        <v>179</v>
      </c>
      <c r="D1480" s="8" t="s">
        <v>26</v>
      </c>
      <c r="E1480" s="8" t="s">
        <v>7512</v>
      </c>
      <c r="F1480" s="8">
        <v>5.052667525E9</v>
      </c>
      <c r="G1480" s="8" t="s">
        <v>31</v>
      </c>
      <c r="H1480" s="8" t="s">
        <v>220</v>
      </c>
      <c r="I1480" s="8" t="s">
        <v>44</v>
      </c>
      <c r="J1480" s="8" t="s">
        <v>741</v>
      </c>
      <c r="K1480" s="10" t="s">
        <v>5525</v>
      </c>
      <c r="L1480" s="8" t="s">
        <v>58</v>
      </c>
      <c r="M1480" s="8" t="s">
        <v>35</v>
      </c>
      <c r="N1480" s="11">
        <v>45017.0</v>
      </c>
      <c r="O1480" s="11">
        <v>45261.0</v>
      </c>
      <c r="P1480" s="11">
        <v>45303.0</v>
      </c>
      <c r="Q1480" s="11"/>
      <c r="R1480" s="11"/>
      <c r="S1480" s="12"/>
      <c r="T1480" s="8"/>
      <c r="U1480" s="8" t="s">
        <v>88</v>
      </c>
      <c r="V1480" s="13" t="s">
        <v>220</v>
      </c>
      <c r="W1480" s="13" t="s">
        <v>7513</v>
      </c>
      <c r="X1480" s="12"/>
      <c r="Y1480" s="14"/>
      <c r="Z1480" s="14"/>
    </row>
    <row r="1481">
      <c r="A1481" s="8" t="s">
        <v>7514</v>
      </c>
      <c r="B1481" s="8" t="s">
        <v>7515</v>
      </c>
      <c r="C1481" s="8" t="s">
        <v>25</v>
      </c>
      <c r="D1481" s="8" t="s">
        <v>26</v>
      </c>
      <c r="E1481" s="8" t="s">
        <v>7516</v>
      </c>
      <c r="F1481" s="8"/>
      <c r="G1481" s="8" t="s">
        <v>54</v>
      </c>
      <c r="H1481" s="8" t="s">
        <v>135</v>
      </c>
      <c r="I1481" s="8" t="s">
        <v>31</v>
      </c>
      <c r="J1481" s="8" t="s">
        <v>111</v>
      </c>
      <c r="K1481" s="10" t="s">
        <v>468</v>
      </c>
      <c r="L1481" s="8" t="s">
        <v>58</v>
      </c>
      <c r="M1481" s="8" t="s">
        <v>35</v>
      </c>
      <c r="N1481" s="11">
        <v>45017.0</v>
      </c>
      <c r="O1481" s="11">
        <v>45110.0</v>
      </c>
      <c r="P1481" s="11">
        <v>45152.0</v>
      </c>
      <c r="Q1481" s="11">
        <v>45127.0</v>
      </c>
      <c r="R1481" s="11">
        <v>45169.0</v>
      </c>
      <c r="S1481" s="12"/>
      <c r="T1481" s="8"/>
      <c r="U1481" s="8" t="s">
        <v>59</v>
      </c>
      <c r="V1481" s="13" t="s">
        <v>38</v>
      </c>
      <c r="W1481" s="13" t="s">
        <v>7517</v>
      </c>
      <c r="X1481" s="12"/>
      <c r="Y1481" s="14"/>
      <c r="Z1481" s="14"/>
    </row>
    <row r="1482">
      <c r="A1482" s="8" t="s">
        <v>7518</v>
      </c>
      <c r="B1482" s="8" t="s">
        <v>7519</v>
      </c>
      <c r="C1482" s="8" t="s">
        <v>64</v>
      </c>
      <c r="D1482" s="8" t="s">
        <v>26</v>
      </c>
      <c r="E1482" s="8" t="s">
        <v>7520</v>
      </c>
      <c r="F1482" s="8"/>
      <c r="G1482" s="8" t="s">
        <v>127</v>
      </c>
      <c r="H1482" s="8" t="s">
        <v>128</v>
      </c>
      <c r="I1482" s="8" t="s">
        <v>31</v>
      </c>
      <c r="J1482" s="8" t="s">
        <v>32</v>
      </c>
      <c r="K1482" s="10" t="s">
        <v>1451</v>
      </c>
      <c r="L1482" s="8" t="s">
        <v>58</v>
      </c>
      <c r="M1482" s="8" t="s">
        <v>35</v>
      </c>
      <c r="N1482" s="11">
        <v>45017.0</v>
      </c>
      <c r="O1482" s="11">
        <v>45123.0</v>
      </c>
      <c r="P1482" s="11">
        <v>45165.0</v>
      </c>
      <c r="Q1482" s="11">
        <v>45124.0</v>
      </c>
      <c r="R1482" s="11">
        <v>45166.0</v>
      </c>
      <c r="S1482" s="12"/>
      <c r="T1482" s="8"/>
      <c r="U1482" s="8" t="s">
        <v>59</v>
      </c>
      <c r="V1482" s="13" t="s">
        <v>38</v>
      </c>
      <c r="W1482" s="13" t="s">
        <v>7521</v>
      </c>
      <c r="X1482" s="12"/>
      <c r="Y1482" s="14"/>
      <c r="Z1482" s="14"/>
    </row>
    <row r="1483">
      <c r="A1483" s="8" t="s">
        <v>7522</v>
      </c>
      <c r="B1483" s="8" t="s">
        <v>7523</v>
      </c>
      <c r="C1483" s="8" t="s">
        <v>64</v>
      </c>
      <c r="D1483" s="8" t="s">
        <v>26</v>
      </c>
      <c r="E1483" s="8" t="s">
        <v>7524</v>
      </c>
      <c r="F1483" s="8"/>
      <c r="G1483" s="8" t="s">
        <v>127</v>
      </c>
      <c r="H1483" s="8" t="s">
        <v>128</v>
      </c>
      <c r="I1483" s="8" t="s">
        <v>31</v>
      </c>
      <c r="J1483" s="8" t="s">
        <v>32</v>
      </c>
      <c r="K1483" s="10" t="s">
        <v>1451</v>
      </c>
      <c r="L1483" s="8" t="s">
        <v>58</v>
      </c>
      <c r="M1483" s="8" t="s">
        <v>35</v>
      </c>
      <c r="N1483" s="11">
        <v>45017.0</v>
      </c>
      <c r="O1483" s="11">
        <v>45123.0</v>
      </c>
      <c r="P1483" s="11">
        <v>45165.0</v>
      </c>
      <c r="Q1483" s="11">
        <v>45124.0</v>
      </c>
      <c r="R1483" s="11">
        <v>45166.0</v>
      </c>
      <c r="S1483" s="12"/>
      <c r="T1483" s="8"/>
      <c r="U1483" s="8" t="s">
        <v>59</v>
      </c>
      <c r="V1483" s="13" t="s">
        <v>38</v>
      </c>
      <c r="W1483" s="13" t="s">
        <v>7525</v>
      </c>
      <c r="X1483" s="12"/>
      <c r="Y1483" s="14"/>
      <c r="Z1483" s="14"/>
    </row>
    <row r="1484">
      <c r="A1484" s="8" t="s">
        <v>7526</v>
      </c>
      <c r="B1484" s="8" t="s">
        <v>7527</v>
      </c>
      <c r="C1484" s="8" t="s">
        <v>64</v>
      </c>
      <c r="D1484" s="8" t="s">
        <v>26</v>
      </c>
      <c r="E1484" s="8" t="s">
        <v>7528</v>
      </c>
      <c r="F1484" s="8">
        <v>5.62351E7</v>
      </c>
      <c r="G1484" s="8" t="s">
        <v>54</v>
      </c>
      <c r="H1484" s="8" t="s">
        <v>1911</v>
      </c>
      <c r="I1484" s="8" t="s">
        <v>31</v>
      </c>
      <c r="J1484" s="8" t="s">
        <v>167</v>
      </c>
      <c r="K1484" s="10" t="s">
        <v>5996</v>
      </c>
      <c r="L1484" s="8" t="s">
        <v>58</v>
      </c>
      <c r="M1484" s="8" t="s">
        <v>35</v>
      </c>
      <c r="N1484" s="11">
        <v>45017.0</v>
      </c>
      <c r="O1484" s="11">
        <v>45117.0</v>
      </c>
      <c r="P1484" s="11">
        <v>45159.0</v>
      </c>
      <c r="Q1484" s="11">
        <v>45117.0</v>
      </c>
      <c r="R1484" s="11">
        <v>45159.0</v>
      </c>
      <c r="S1484" s="12"/>
      <c r="T1484" s="8"/>
      <c r="U1484" s="8" t="s">
        <v>130</v>
      </c>
      <c r="V1484" s="13" t="s">
        <v>7162</v>
      </c>
      <c r="W1484" s="13" t="s">
        <v>7529</v>
      </c>
      <c r="X1484" s="12"/>
      <c r="Y1484" s="14"/>
      <c r="Z1484" s="14"/>
    </row>
    <row r="1485">
      <c r="A1485" s="8" t="s">
        <v>7530</v>
      </c>
      <c r="B1485" s="8" t="s">
        <v>7531</v>
      </c>
      <c r="C1485" s="8" t="s">
        <v>179</v>
      </c>
      <c r="D1485" s="8" t="s">
        <v>26</v>
      </c>
      <c r="E1485" s="8" t="s">
        <v>7532</v>
      </c>
      <c r="F1485" s="8">
        <v>1.144033114E9</v>
      </c>
      <c r="G1485" s="8" t="s">
        <v>284</v>
      </c>
      <c r="H1485" s="8" t="s">
        <v>300</v>
      </c>
      <c r="I1485" s="8" t="s">
        <v>31</v>
      </c>
      <c r="J1485" s="8" t="s">
        <v>66</v>
      </c>
      <c r="K1485" s="10" t="s">
        <v>5030</v>
      </c>
      <c r="L1485" s="8" t="s">
        <v>58</v>
      </c>
      <c r="M1485" s="8" t="s">
        <v>35</v>
      </c>
      <c r="N1485" s="11">
        <v>45017.0</v>
      </c>
      <c r="O1485" s="11">
        <v>45201.0</v>
      </c>
      <c r="P1485" s="11">
        <v>45243.0</v>
      </c>
      <c r="Q1485" s="11"/>
      <c r="R1485" s="11"/>
      <c r="S1485" s="12"/>
      <c r="T1485" s="8"/>
      <c r="U1485" s="8" t="s">
        <v>88</v>
      </c>
      <c r="V1485" s="13" t="s">
        <v>7533</v>
      </c>
      <c r="W1485" s="13" t="s">
        <v>7534</v>
      </c>
      <c r="X1485" s="12"/>
      <c r="Y1485" s="14"/>
      <c r="Z1485" s="14"/>
    </row>
    <row r="1486">
      <c r="A1486" s="8" t="s">
        <v>7535</v>
      </c>
      <c r="B1486" s="8" t="s">
        <v>7536</v>
      </c>
      <c r="C1486" s="8" t="s">
        <v>179</v>
      </c>
      <c r="D1486" s="8" t="s">
        <v>26</v>
      </c>
      <c r="E1486" s="8" t="s">
        <v>7537</v>
      </c>
      <c r="F1486" s="8">
        <v>5.615481E7</v>
      </c>
      <c r="G1486" s="8" t="s">
        <v>54</v>
      </c>
      <c r="H1486" s="8" t="s">
        <v>1911</v>
      </c>
      <c r="I1486" s="8" t="s">
        <v>31</v>
      </c>
      <c r="J1486" s="8" t="s">
        <v>167</v>
      </c>
      <c r="K1486" s="10" t="s">
        <v>5996</v>
      </c>
      <c r="L1486" s="8" t="s">
        <v>58</v>
      </c>
      <c r="M1486" s="8" t="s">
        <v>35</v>
      </c>
      <c r="N1486" s="11">
        <v>45017.0</v>
      </c>
      <c r="O1486" s="11">
        <v>45117.0</v>
      </c>
      <c r="P1486" s="11">
        <v>45159.0</v>
      </c>
      <c r="Q1486" s="11"/>
      <c r="R1486" s="11"/>
      <c r="S1486" s="12"/>
      <c r="T1486" s="8"/>
      <c r="U1486" s="8" t="s">
        <v>130</v>
      </c>
      <c r="V1486" s="13" t="s">
        <v>7162</v>
      </c>
      <c r="W1486" s="13" t="s">
        <v>7538</v>
      </c>
      <c r="X1486" s="12"/>
      <c r="Y1486" s="14"/>
      <c r="Z1486" s="14"/>
    </row>
    <row r="1487">
      <c r="A1487" s="8" t="s">
        <v>7539</v>
      </c>
      <c r="B1487" s="8" t="s">
        <v>7540</v>
      </c>
      <c r="C1487" s="8" t="s">
        <v>25</v>
      </c>
      <c r="D1487" s="8" t="s">
        <v>26</v>
      </c>
      <c r="E1487" s="8" t="s">
        <v>7541</v>
      </c>
      <c r="F1487" s="8">
        <v>5.522260262E9</v>
      </c>
      <c r="G1487" s="8" t="s">
        <v>31</v>
      </c>
      <c r="H1487" s="8" t="s">
        <v>56</v>
      </c>
      <c r="I1487" s="8" t="s">
        <v>195</v>
      </c>
      <c r="J1487" s="8" t="s">
        <v>6512</v>
      </c>
      <c r="K1487" s="10" t="s">
        <v>6513</v>
      </c>
      <c r="L1487" s="8" t="s">
        <v>58</v>
      </c>
      <c r="M1487" s="8" t="s">
        <v>35</v>
      </c>
      <c r="N1487" s="11">
        <v>45017.0</v>
      </c>
      <c r="O1487" s="11">
        <v>45122.0</v>
      </c>
      <c r="P1487" s="11">
        <v>45164.0</v>
      </c>
      <c r="Q1487" s="11">
        <v>45123.0</v>
      </c>
      <c r="R1487" s="11">
        <v>45164.0</v>
      </c>
      <c r="S1487" s="12"/>
      <c r="T1487" s="8"/>
      <c r="U1487" s="8" t="s">
        <v>3111</v>
      </c>
      <c r="V1487" s="13" t="s">
        <v>56</v>
      </c>
      <c r="W1487" s="13" t="s">
        <v>7542</v>
      </c>
      <c r="X1487" s="12"/>
      <c r="Y1487" s="14"/>
      <c r="Z1487" s="14"/>
    </row>
    <row r="1488">
      <c r="A1488" s="8" t="s">
        <v>7543</v>
      </c>
      <c r="B1488" s="8" t="s">
        <v>7544</v>
      </c>
      <c r="C1488" s="8" t="s">
        <v>25</v>
      </c>
      <c r="D1488" s="8" t="s">
        <v>26</v>
      </c>
      <c r="E1488" s="8" t="s">
        <v>7545</v>
      </c>
      <c r="F1488" s="8">
        <v>5.53261629E9</v>
      </c>
      <c r="G1488" s="8" t="s">
        <v>31</v>
      </c>
      <c r="H1488" s="8" t="s">
        <v>86</v>
      </c>
      <c r="I1488" s="8" t="s">
        <v>284</v>
      </c>
      <c r="J1488" s="8" t="s">
        <v>589</v>
      </c>
      <c r="K1488" s="10" t="s">
        <v>7546</v>
      </c>
      <c r="L1488" s="8" t="s">
        <v>58</v>
      </c>
      <c r="M1488" s="8" t="s">
        <v>35</v>
      </c>
      <c r="N1488" s="11">
        <v>45017.0</v>
      </c>
      <c r="O1488" s="11">
        <v>45153.0</v>
      </c>
      <c r="P1488" s="11">
        <v>45195.0</v>
      </c>
      <c r="Q1488" s="11">
        <v>45154.0</v>
      </c>
      <c r="R1488" s="11">
        <v>45195.0</v>
      </c>
      <c r="S1488" s="12"/>
      <c r="T1488" s="8"/>
      <c r="U1488" s="8" t="s">
        <v>185</v>
      </c>
      <c r="V1488" s="13" t="s">
        <v>111</v>
      </c>
      <c r="W1488" s="13" t="s">
        <v>7547</v>
      </c>
      <c r="X1488" s="12"/>
      <c r="Y1488" s="14"/>
      <c r="Z1488" s="14"/>
    </row>
    <row r="1489">
      <c r="A1489" s="8" t="s">
        <v>7548</v>
      </c>
      <c r="B1489" s="8" t="s">
        <v>7549</v>
      </c>
      <c r="C1489" s="8" t="s">
        <v>25</v>
      </c>
      <c r="D1489" s="8" t="s">
        <v>26</v>
      </c>
      <c r="E1489" s="8" t="s">
        <v>7550</v>
      </c>
      <c r="F1489" s="8"/>
      <c r="G1489" s="8" t="s">
        <v>31</v>
      </c>
      <c r="H1489" s="8" t="s">
        <v>77</v>
      </c>
      <c r="I1489" s="8" t="s">
        <v>284</v>
      </c>
      <c r="J1489" s="8" t="s">
        <v>1422</v>
      </c>
      <c r="K1489" s="10" t="s">
        <v>7551</v>
      </c>
      <c r="L1489" s="8" t="s">
        <v>58</v>
      </c>
      <c r="M1489" s="8" t="s">
        <v>35</v>
      </c>
      <c r="N1489" s="11">
        <v>45017.0</v>
      </c>
      <c r="O1489" s="11">
        <v>45109.0</v>
      </c>
      <c r="P1489" s="11">
        <v>45151.0</v>
      </c>
      <c r="Q1489" s="11">
        <v>45107.0</v>
      </c>
      <c r="R1489" s="11">
        <v>45151.0</v>
      </c>
      <c r="S1489" s="12"/>
      <c r="T1489" s="8"/>
      <c r="U1489" s="8" t="s">
        <v>161</v>
      </c>
      <c r="V1489" s="13" t="s">
        <v>38</v>
      </c>
      <c r="W1489" s="13" t="s">
        <v>7552</v>
      </c>
      <c r="X1489" s="12"/>
      <c r="Y1489" s="14"/>
      <c r="Z1489" s="14"/>
    </row>
    <row r="1490">
      <c r="A1490" s="8" t="s">
        <v>7553</v>
      </c>
      <c r="B1490" s="8" t="s">
        <v>7554</v>
      </c>
      <c r="C1490" s="8" t="s">
        <v>25</v>
      </c>
      <c r="D1490" s="8" t="s">
        <v>26</v>
      </c>
      <c r="E1490" s="8" t="s">
        <v>7555</v>
      </c>
      <c r="F1490" s="8">
        <v>5.301150328E9</v>
      </c>
      <c r="G1490" s="8" t="s">
        <v>31</v>
      </c>
      <c r="H1490" s="8" t="s">
        <v>86</v>
      </c>
      <c r="I1490" s="8" t="s">
        <v>195</v>
      </c>
      <c r="J1490" s="8" t="s">
        <v>6512</v>
      </c>
      <c r="K1490" s="10" t="s">
        <v>6513</v>
      </c>
      <c r="L1490" s="8" t="s">
        <v>58</v>
      </c>
      <c r="M1490" s="8" t="s">
        <v>35</v>
      </c>
      <c r="N1490" s="11">
        <v>45017.0</v>
      </c>
      <c r="O1490" s="11">
        <v>45122.0</v>
      </c>
      <c r="P1490" s="11">
        <v>45164.0</v>
      </c>
      <c r="Q1490" s="11">
        <v>45123.0</v>
      </c>
      <c r="R1490" s="11">
        <v>45164.0</v>
      </c>
      <c r="S1490" s="12"/>
      <c r="T1490" s="8"/>
      <c r="U1490" s="8" t="s">
        <v>3111</v>
      </c>
      <c r="V1490" s="13" t="s">
        <v>175</v>
      </c>
      <c r="W1490" s="13" t="s">
        <v>7556</v>
      </c>
      <c r="X1490" s="12"/>
      <c r="Y1490" s="14"/>
      <c r="Z1490" s="14"/>
    </row>
    <row r="1491">
      <c r="A1491" s="8" t="s">
        <v>7557</v>
      </c>
      <c r="B1491" s="8" t="s">
        <v>7558</v>
      </c>
      <c r="C1491" s="8" t="s">
        <v>179</v>
      </c>
      <c r="D1491" s="8" t="s">
        <v>26</v>
      </c>
      <c r="E1491" s="8" t="s">
        <v>7559</v>
      </c>
      <c r="F1491" s="8">
        <v>5.58148731E8</v>
      </c>
      <c r="G1491" s="8" t="s">
        <v>277</v>
      </c>
      <c r="H1491" s="8" t="s">
        <v>278</v>
      </c>
      <c r="I1491" s="8" t="s">
        <v>31</v>
      </c>
      <c r="J1491" s="8" t="s">
        <v>438</v>
      </c>
      <c r="K1491" s="10" t="s">
        <v>7560</v>
      </c>
      <c r="L1491" s="8" t="s">
        <v>34</v>
      </c>
      <c r="M1491" s="8" t="s">
        <v>35</v>
      </c>
      <c r="N1491" s="11">
        <v>45017.0</v>
      </c>
      <c r="O1491" s="11">
        <v>45139.0</v>
      </c>
      <c r="P1491" s="11">
        <v>45215.0</v>
      </c>
      <c r="Q1491" s="11"/>
      <c r="R1491" s="11"/>
      <c r="S1491" s="12"/>
      <c r="T1491" s="8" t="s">
        <v>121</v>
      </c>
      <c r="U1491" s="8" t="s">
        <v>7561</v>
      </c>
      <c r="V1491" s="13" t="s">
        <v>4429</v>
      </c>
      <c r="W1491" s="13" t="s">
        <v>7562</v>
      </c>
      <c r="X1491" s="12"/>
      <c r="Y1491" s="14"/>
      <c r="Z1491" s="14"/>
    </row>
    <row r="1492">
      <c r="A1492" s="8" t="s">
        <v>7563</v>
      </c>
      <c r="B1492" s="8" t="s">
        <v>7564</v>
      </c>
      <c r="C1492" s="8" t="s">
        <v>25</v>
      </c>
      <c r="D1492" s="8" t="s">
        <v>26</v>
      </c>
      <c r="E1492" s="8" t="s">
        <v>7565</v>
      </c>
      <c r="F1492" s="8"/>
      <c r="G1492" s="8" t="s">
        <v>31</v>
      </c>
      <c r="H1492" s="8" t="s">
        <v>542</v>
      </c>
      <c r="I1492" s="8" t="s">
        <v>195</v>
      </c>
      <c r="J1492" s="8" t="s">
        <v>6512</v>
      </c>
      <c r="K1492" s="10" t="s">
        <v>6513</v>
      </c>
      <c r="L1492" s="8" t="s">
        <v>58</v>
      </c>
      <c r="M1492" s="8" t="s">
        <v>35</v>
      </c>
      <c r="N1492" s="11">
        <v>45017.0</v>
      </c>
      <c r="O1492" s="11">
        <v>45122.0</v>
      </c>
      <c r="P1492" s="11">
        <v>45164.0</v>
      </c>
      <c r="Q1492" s="11">
        <v>45153.0</v>
      </c>
      <c r="R1492" s="11">
        <v>45195.0</v>
      </c>
      <c r="S1492" s="12"/>
      <c r="T1492" s="8"/>
      <c r="U1492" s="8" t="s">
        <v>3111</v>
      </c>
      <c r="V1492" s="13" t="s">
        <v>38</v>
      </c>
      <c r="W1492" s="13" t="s">
        <v>7566</v>
      </c>
      <c r="X1492" s="12"/>
      <c r="Y1492" s="14"/>
      <c r="Z1492" s="14"/>
    </row>
    <row r="1493">
      <c r="A1493" s="8" t="s">
        <v>7567</v>
      </c>
      <c r="B1493" s="8" t="s">
        <v>7568</v>
      </c>
      <c r="C1493" s="8" t="s">
        <v>25</v>
      </c>
      <c r="D1493" s="8" t="s">
        <v>26</v>
      </c>
      <c r="E1493" s="8" t="s">
        <v>7569</v>
      </c>
      <c r="F1493" s="8">
        <v>5.5200236E9</v>
      </c>
      <c r="G1493" s="8" t="s">
        <v>31</v>
      </c>
      <c r="H1493" s="8" t="s">
        <v>542</v>
      </c>
      <c r="I1493" s="8" t="s">
        <v>202</v>
      </c>
      <c r="J1493" s="8" t="s">
        <v>7570</v>
      </c>
      <c r="K1493" s="10" t="s">
        <v>7571</v>
      </c>
      <c r="L1493" s="8" t="s">
        <v>58</v>
      </c>
      <c r="M1493" s="8" t="s">
        <v>35</v>
      </c>
      <c r="N1493" s="11">
        <v>45017.0</v>
      </c>
      <c r="O1493" s="11">
        <v>45122.0</v>
      </c>
      <c r="P1493" s="11">
        <v>45164.0</v>
      </c>
      <c r="Q1493" s="11">
        <v>45122.0</v>
      </c>
      <c r="R1493" s="11">
        <v>45164.0</v>
      </c>
      <c r="S1493" s="12"/>
      <c r="T1493" s="8"/>
      <c r="U1493" s="8" t="s">
        <v>997</v>
      </c>
      <c r="V1493" s="13" t="s">
        <v>545</v>
      </c>
      <c r="W1493" s="13" t="s">
        <v>7572</v>
      </c>
      <c r="X1493" s="12"/>
      <c r="Y1493" s="14"/>
      <c r="Z1493" s="14"/>
    </row>
    <row r="1494">
      <c r="A1494" s="8" t="s">
        <v>7573</v>
      </c>
      <c r="B1494" s="8" t="s">
        <v>7574</v>
      </c>
      <c r="C1494" s="8" t="s">
        <v>25</v>
      </c>
      <c r="D1494" s="8" t="s">
        <v>26</v>
      </c>
      <c r="E1494" s="8" t="s">
        <v>7575</v>
      </c>
      <c r="F1494" s="8">
        <v>5.523010517E9</v>
      </c>
      <c r="G1494" s="8" t="s">
        <v>31</v>
      </c>
      <c r="H1494" s="8" t="s">
        <v>542</v>
      </c>
      <c r="I1494" s="8" t="s">
        <v>202</v>
      </c>
      <c r="J1494" s="8" t="s">
        <v>7570</v>
      </c>
      <c r="K1494" s="10" t="s">
        <v>7571</v>
      </c>
      <c r="L1494" s="8" t="s">
        <v>58</v>
      </c>
      <c r="M1494" s="8" t="s">
        <v>35</v>
      </c>
      <c r="N1494" s="11">
        <v>45017.0</v>
      </c>
      <c r="O1494" s="11">
        <v>45122.0</v>
      </c>
      <c r="P1494" s="11">
        <v>45164.0</v>
      </c>
      <c r="Q1494" s="11">
        <v>45152.0</v>
      </c>
      <c r="R1494" s="11">
        <v>45165.0</v>
      </c>
      <c r="S1494" s="12"/>
      <c r="T1494" s="8"/>
      <c r="U1494" s="8" t="s">
        <v>997</v>
      </c>
      <c r="V1494" s="13" t="s">
        <v>545</v>
      </c>
      <c r="W1494" s="13" t="s">
        <v>7576</v>
      </c>
      <c r="X1494" s="12"/>
      <c r="Y1494" s="14"/>
      <c r="Z1494" s="14"/>
    </row>
    <row r="1495">
      <c r="A1495" s="8" t="s">
        <v>7577</v>
      </c>
      <c r="B1495" s="8" t="s">
        <v>7578</v>
      </c>
      <c r="C1495" s="8" t="s">
        <v>25</v>
      </c>
      <c r="D1495" s="8" t="s">
        <v>26</v>
      </c>
      <c r="E1495" s="8" t="s">
        <v>7579</v>
      </c>
      <c r="F1495" s="8"/>
      <c r="G1495" s="8" t="s">
        <v>31</v>
      </c>
      <c r="H1495" s="8" t="s">
        <v>77</v>
      </c>
      <c r="I1495" s="8" t="s">
        <v>127</v>
      </c>
      <c r="J1495" s="8" t="s">
        <v>159</v>
      </c>
      <c r="K1495" s="10" t="s">
        <v>7580</v>
      </c>
      <c r="L1495" s="8" t="s">
        <v>58</v>
      </c>
      <c r="M1495" s="8" t="s">
        <v>35</v>
      </c>
      <c r="N1495" s="11">
        <v>45018.0</v>
      </c>
      <c r="O1495" s="11">
        <v>45117.0</v>
      </c>
      <c r="P1495" s="11">
        <v>45159.0</v>
      </c>
      <c r="Q1495" s="11">
        <v>45118.0</v>
      </c>
      <c r="R1495" s="11">
        <v>45159.0</v>
      </c>
      <c r="S1495" s="12"/>
      <c r="T1495" s="8"/>
      <c r="U1495" s="8" t="s">
        <v>1956</v>
      </c>
      <c r="V1495" s="13" t="s">
        <v>38</v>
      </c>
      <c r="W1495" s="13" t="s">
        <v>7581</v>
      </c>
      <c r="X1495" s="12"/>
      <c r="Y1495" s="14"/>
      <c r="Z1495" s="14"/>
    </row>
    <row r="1496">
      <c r="A1496" s="8" t="s">
        <v>7582</v>
      </c>
      <c r="B1496" s="8" t="s">
        <v>7583</v>
      </c>
      <c r="C1496" s="8" t="s">
        <v>25</v>
      </c>
      <c r="D1496" s="8" t="s">
        <v>26</v>
      </c>
      <c r="E1496" s="8" t="s">
        <v>7584</v>
      </c>
      <c r="F1496" s="9" t="s">
        <v>7585</v>
      </c>
      <c r="G1496" s="8" t="s">
        <v>54</v>
      </c>
      <c r="H1496" s="8" t="s">
        <v>135</v>
      </c>
      <c r="I1496" s="8" t="s">
        <v>31</v>
      </c>
      <c r="J1496" s="8" t="s">
        <v>86</v>
      </c>
      <c r="K1496" s="10" t="s">
        <v>2453</v>
      </c>
      <c r="L1496" s="8" t="s">
        <v>58</v>
      </c>
      <c r="M1496" s="8" t="s">
        <v>35</v>
      </c>
      <c r="N1496" s="11">
        <v>45019.0</v>
      </c>
      <c r="O1496" s="11">
        <v>45090.0</v>
      </c>
      <c r="P1496" s="11">
        <v>45132.0</v>
      </c>
      <c r="Q1496" s="11">
        <v>45090.0</v>
      </c>
      <c r="R1496" s="11">
        <v>45132.0</v>
      </c>
      <c r="S1496" s="12"/>
      <c r="T1496" s="8"/>
      <c r="U1496" s="8" t="s">
        <v>59</v>
      </c>
      <c r="V1496" s="13" t="s">
        <v>138</v>
      </c>
      <c r="W1496" s="13" t="s">
        <v>7586</v>
      </c>
      <c r="X1496" s="12"/>
      <c r="Y1496" s="14"/>
      <c r="Z1496" s="14"/>
    </row>
    <row r="1497">
      <c r="A1497" s="8" t="s">
        <v>7587</v>
      </c>
      <c r="B1497" s="8" t="s">
        <v>7588</v>
      </c>
      <c r="C1497" s="8" t="s">
        <v>179</v>
      </c>
      <c r="D1497" s="8" t="s">
        <v>26</v>
      </c>
      <c r="E1497" s="8" t="s">
        <v>7589</v>
      </c>
      <c r="F1497" s="8">
        <v>9.2062258E7</v>
      </c>
      <c r="G1497" s="8" t="s">
        <v>54</v>
      </c>
      <c r="H1497" s="8" t="s">
        <v>377</v>
      </c>
      <c r="I1497" s="8" t="s">
        <v>31</v>
      </c>
      <c r="J1497" s="8" t="s">
        <v>167</v>
      </c>
      <c r="K1497" s="10" t="s">
        <v>7380</v>
      </c>
      <c r="L1497" s="8" t="s">
        <v>58</v>
      </c>
      <c r="M1497" s="8" t="s">
        <v>35</v>
      </c>
      <c r="N1497" s="11">
        <v>45019.0</v>
      </c>
      <c r="O1497" s="11">
        <v>45110.0</v>
      </c>
      <c r="P1497" s="11">
        <v>45152.0</v>
      </c>
      <c r="Q1497" s="11"/>
      <c r="R1497" s="11"/>
      <c r="S1497" s="12"/>
      <c r="T1497" s="8"/>
      <c r="U1497" s="8" t="s">
        <v>59</v>
      </c>
      <c r="V1497" s="13" t="s">
        <v>7103</v>
      </c>
      <c r="W1497" s="13" t="s">
        <v>7590</v>
      </c>
      <c r="X1497" s="12"/>
      <c r="Y1497" s="14"/>
      <c r="Z1497" s="14"/>
    </row>
    <row r="1498">
      <c r="A1498" s="8" t="s">
        <v>7591</v>
      </c>
      <c r="B1498" s="8" t="s">
        <v>7592</v>
      </c>
      <c r="C1498" s="8" t="s">
        <v>25</v>
      </c>
      <c r="D1498" s="8" t="s">
        <v>26</v>
      </c>
      <c r="E1498" s="8" t="s">
        <v>7593</v>
      </c>
      <c r="F1498" s="8">
        <v>2.6908825E7</v>
      </c>
      <c r="G1498" s="8" t="s">
        <v>54</v>
      </c>
      <c r="H1498" s="8" t="s">
        <v>430</v>
      </c>
      <c r="I1498" s="8" t="s">
        <v>31</v>
      </c>
      <c r="J1498" s="8" t="s">
        <v>292</v>
      </c>
      <c r="K1498" s="10" t="s">
        <v>7161</v>
      </c>
      <c r="L1498" s="8" t="s">
        <v>58</v>
      </c>
      <c r="M1498" s="8" t="s">
        <v>35</v>
      </c>
      <c r="N1498" s="11">
        <v>45019.0</v>
      </c>
      <c r="O1498" s="11">
        <v>45102.0</v>
      </c>
      <c r="P1498" s="11">
        <v>45144.0</v>
      </c>
      <c r="Q1498" s="11">
        <v>45104.0</v>
      </c>
      <c r="R1498" s="11">
        <v>45144.0</v>
      </c>
      <c r="S1498" s="12"/>
      <c r="T1498" s="8"/>
      <c r="U1498" s="8" t="s">
        <v>88</v>
      </c>
      <c r="V1498" s="13" t="s">
        <v>4780</v>
      </c>
      <c r="W1498" s="13" t="s">
        <v>7594</v>
      </c>
      <c r="X1498" s="12"/>
      <c r="Y1498" s="14"/>
      <c r="Z1498" s="14"/>
    </row>
    <row r="1499">
      <c r="A1499" s="8" t="s">
        <v>7595</v>
      </c>
      <c r="B1499" s="8" t="s">
        <v>7596</v>
      </c>
      <c r="C1499" s="8" t="s">
        <v>64</v>
      </c>
      <c r="D1499" s="8" t="s">
        <v>26</v>
      </c>
      <c r="E1499" s="8" t="s">
        <v>7597</v>
      </c>
      <c r="F1499" s="8">
        <v>1.112334615E9</v>
      </c>
      <c r="G1499" s="8" t="s">
        <v>284</v>
      </c>
      <c r="H1499" s="8" t="s">
        <v>673</v>
      </c>
      <c r="I1499" s="8" t="s">
        <v>31</v>
      </c>
      <c r="J1499" s="8" t="s">
        <v>1119</v>
      </c>
      <c r="K1499" s="10" t="s">
        <v>6015</v>
      </c>
      <c r="L1499" s="8" t="s">
        <v>58</v>
      </c>
      <c r="M1499" s="8" t="s">
        <v>35</v>
      </c>
      <c r="N1499" s="11">
        <v>45019.0</v>
      </c>
      <c r="O1499" s="11">
        <v>45128.0</v>
      </c>
      <c r="P1499" s="11">
        <v>45170.0</v>
      </c>
      <c r="Q1499" s="11">
        <v>45132.0</v>
      </c>
      <c r="R1499" s="11">
        <v>45172.0</v>
      </c>
      <c r="S1499" s="12"/>
      <c r="T1499" s="8"/>
      <c r="U1499" s="8" t="s">
        <v>59</v>
      </c>
      <c r="V1499" s="13" t="s">
        <v>674</v>
      </c>
      <c r="W1499" s="13" t="s">
        <v>7598</v>
      </c>
      <c r="X1499" s="12"/>
      <c r="Y1499" s="14"/>
      <c r="Z1499" s="14"/>
    </row>
    <row r="1500">
      <c r="A1500" s="8" t="s">
        <v>7599</v>
      </c>
      <c r="B1500" s="8" t="s">
        <v>7600</v>
      </c>
      <c r="C1500" s="8" t="s">
        <v>25</v>
      </c>
      <c r="D1500" s="8" t="s">
        <v>26</v>
      </c>
      <c r="E1500" s="8" t="s">
        <v>7601</v>
      </c>
      <c r="F1500" s="8">
        <v>5.437903144E9</v>
      </c>
      <c r="G1500" s="8" t="s">
        <v>31</v>
      </c>
      <c r="H1500" s="8" t="s">
        <v>1274</v>
      </c>
      <c r="I1500" s="8" t="s">
        <v>54</v>
      </c>
      <c r="J1500" s="8" t="s">
        <v>244</v>
      </c>
      <c r="K1500" s="10" t="s">
        <v>7602</v>
      </c>
      <c r="L1500" s="8" t="s">
        <v>34</v>
      </c>
      <c r="M1500" s="8" t="s">
        <v>35</v>
      </c>
      <c r="N1500" s="11">
        <v>45019.0</v>
      </c>
      <c r="O1500" s="11">
        <v>45092.0</v>
      </c>
      <c r="P1500" s="11">
        <v>45153.0</v>
      </c>
      <c r="Q1500" s="11">
        <v>45100.0</v>
      </c>
      <c r="R1500" s="11">
        <v>45161.0</v>
      </c>
      <c r="S1500" s="12"/>
      <c r="T1500" s="8" t="s">
        <v>205</v>
      </c>
      <c r="U1500" s="8" t="s">
        <v>7603</v>
      </c>
      <c r="V1500" s="13" t="s">
        <v>1274</v>
      </c>
      <c r="W1500" s="13" t="s">
        <v>7604</v>
      </c>
      <c r="X1500" s="12"/>
      <c r="Y1500" s="14"/>
      <c r="Z1500" s="14"/>
    </row>
    <row r="1501">
      <c r="A1501" s="8" t="s">
        <v>7605</v>
      </c>
      <c r="B1501" s="8" t="s">
        <v>7606</v>
      </c>
      <c r="C1501" s="8" t="s">
        <v>179</v>
      </c>
      <c r="D1501" s="8" t="s">
        <v>26</v>
      </c>
      <c r="E1501" s="8" t="s">
        <v>7607</v>
      </c>
      <c r="F1501" s="8">
        <v>1.025502332E9</v>
      </c>
      <c r="G1501" s="8" t="s">
        <v>284</v>
      </c>
      <c r="H1501" s="8" t="s">
        <v>1450</v>
      </c>
      <c r="I1501" s="8" t="s">
        <v>31</v>
      </c>
      <c r="J1501" s="8" t="s">
        <v>32</v>
      </c>
      <c r="K1501" s="10" t="s">
        <v>561</v>
      </c>
      <c r="L1501" s="8" t="s">
        <v>58</v>
      </c>
      <c r="M1501" s="8" t="s">
        <v>35</v>
      </c>
      <c r="N1501" s="11">
        <v>45019.0</v>
      </c>
      <c r="O1501" s="11">
        <v>45172.0</v>
      </c>
      <c r="P1501" s="11">
        <v>45214.0</v>
      </c>
      <c r="Q1501" s="11"/>
      <c r="R1501" s="11"/>
      <c r="S1501" s="12"/>
      <c r="T1501" s="8"/>
      <c r="U1501" s="8" t="s">
        <v>59</v>
      </c>
      <c r="V1501" s="13" t="s">
        <v>7608</v>
      </c>
      <c r="W1501" s="13" t="s">
        <v>7609</v>
      </c>
      <c r="X1501" s="12"/>
      <c r="Y1501" s="14"/>
      <c r="Z1501" s="14"/>
    </row>
    <row r="1502">
      <c r="A1502" s="8" t="s">
        <v>7610</v>
      </c>
      <c r="B1502" s="8" t="s">
        <v>7611</v>
      </c>
      <c r="C1502" s="8" t="s">
        <v>25</v>
      </c>
      <c r="D1502" s="8" t="s">
        <v>26</v>
      </c>
      <c r="E1502" s="8" t="s">
        <v>7612</v>
      </c>
      <c r="F1502" s="8"/>
      <c r="G1502" s="8" t="s">
        <v>31</v>
      </c>
      <c r="H1502" s="8" t="s">
        <v>32</v>
      </c>
      <c r="I1502" s="8" t="s">
        <v>44</v>
      </c>
      <c r="J1502" s="8" t="s">
        <v>1993</v>
      </c>
      <c r="K1502" s="10" t="s">
        <v>7613</v>
      </c>
      <c r="L1502" s="8" t="s">
        <v>58</v>
      </c>
      <c r="M1502" s="8" t="s">
        <v>35</v>
      </c>
      <c r="N1502" s="11">
        <v>45019.0</v>
      </c>
      <c r="O1502" s="11">
        <v>45123.0</v>
      </c>
      <c r="P1502" s="11">
        <v>45165.0</v>
      </c>
      <c r="Q1502" s="11">
        <v>45123.0</v>
      </c>
      <c r="R1502" s="11">
        <v>45165.0</v>
      </c>
      <c r="S1502" s="12"/>
      <c r="T1502" s="8"/>
      <c r="U1502" s="8" t="s">
        <v>371</v>
      </c>
      <c r="V1502" s="13" t="s">
        <v>38</v>
      </c>
      <c r="W1502" s="13" t="s">
        <v>7614</v>
      </c>
      <c r="X1502" s="12"/>
      <c r="Y1502" s="14"/>
      <c r="Z1502" s="14"/>
    </row>
    <row r="1503">
      <c r="A1503" s="8" t="s">
        <v>7615</v>
      </c>
      <c r="B1503" s="8" t="s">
        <v>7616</v>
      </c>
      <c r="C1503" s="8" t="s">
        <v>64</v>
      </c>
      <c r="D1503" s="8" t="s">
        <v>26</v>
      </c>
      <c r="E1503" s="8" t="s">
        <v>7617</v>
      </c>
      <c r="F1503" s="8">
        <v>1.228981184E9</v>
      </c>
      <c r="G1503" s="8" t="s">
        <v>284</v>
      </c>
      <c r="H1503" s="8" t="s">
        <v>673</v>
      </c>
      <c r="I1503" s="8" t="s">
        <v>31</v>
      </c>
      <c r="J1503" s="8" t="s">
        <v>1119</v>
      </c>
      <c r="K1503" s="10" t="s">
        <v>6015</v>
      </c>
      <c r="L1503" s="8" t="s">
        <v>58</v>
      </c>
      <c r="M1503" s="8" t="s">
        <v>35</v>
      </c>
      <c r="N1503" s="11">
        <v>45019.0</v>
      </c>
      <c r="O1503" s="11">
        <v>45128.0</v>
      </c>
      <c r="P1503" s="11">
        <v>45170.0</v>
      </c>
      <c r="Q1503" s="11">
        <v>45132.0</v>
      </c>
      <c r="R1503" s="11">
        <v>45174.0</v>
      </c>
      <c r="S1503" s="12"/>
      <c r="T1503" s="8"/>
      <c r="U1503" s="8" t="s">
        <v>59</v>
      </c>
      <c r="V1503" s="13" t="s">
        <v>674</v>
      </c>
      <c r="W1503" s="13" t="s">
        <v>7618</v>
      </c>
      <c r="X1503" s="12"/>
      <c r="Y1503" s="14"/>
      <c r="Z1503" s="14"/>
    </row>
    <row r="1504">
      <c r="A1504" s="8" t="s">
        <v>7619</v>
      </c>
      <c r="B1504" s="8" t="s">
        <v>7620</v>
      </c>
      <c r="C1504" s="8" t="s">
        <v>25</v>
      </c>
      <c r="D1504" s="8" t="s">
        <v>26</v>
      </c>
      <c r="E1504" s="8" t="s">
        <v>7621</v>
      </c>
      <c r="F1504" s="8">
        <v>5.416261723E9</v>
      </c>
      <c r="G1504" s="8" t="s">
        <v>31</v>
      </c>
      <c r="H1504" s="8" t="s">
        <v>86</v>
      </c>
      <c r="I1504" s="8" t="s">
        <v>54</v>
      </c>
      <c r="J1504" s="8" t="s">
        <v>237</v>
      </c>
      <c r="K1504" s="10" t="s">
        <v>7622</v>
      </c>
      <c r="L1504" s="8" t="s">
        <v>58</v>
      </c>
      <c r="M1504" s="8" t="s">
        <v>35</v>
      </c>
      <c r="N1504" s="11">
        <v>45020.0</v>
      </c>
      <c r="O1504" s="11">
        <v>45131.0</v>
      </c>
      <c r="P1504" s="11">
        <v>45173.0</v>
      </c>
      <c r="Q1504" s="11">
        <v>45132.0</v>
      </c>
      <c r="R1504" s="11">
        <v>45173.0</v>
      </c>
      <c r="S1504" s="12"/>
      <c r="T1504" s="8"/>
      <c r="U1504" s="8" t="s">
        <v>59</v>
      </c>
      <c r="V1504" s="13" t="s">
        <v>175</v>
      </c>
      <c r="W1504" s="13" t="s">
        <v>7623</v>
      </c>
      <c r="X1504" s="12"/>
      <c r="Y1504" s="14"/>
      <c r="Z1504" s="14"/>
    </row>
    <row r="1505">
      <c r="A1505" s="8" t="s">
        <v>7624</v>
      </c>
      <c r="B1505" s="8" t="s">
        <v>7625</v>
      </c>
      <c r="C1505" s="8" t="s">
        <v>25</v>
      </c>
      <c r="D1505" s="8" t="s">
        <v>26</v>
      </c>
      <c r="E1505" s="8" t="s">
        <v>7626</v>
      </c>
      <c r="F1505" s="8" t="s">
        <v>7627</v>
      </c>
      <c r="G1505" s="8" t="s">
        <v>31</v>
      </c>
      <c r="H1505" s="8" t="s">
        <v>542</v>
      </c>
      <c r="I1505" s="8" t="s">
        <v>54</v>
      </c>
      <c r="J1505" s="8" t="s">
        <v>244</v>
      </c>
      <c r="K1505" s="10" t="s">
        <v>7460</v>
      </c>
      <c r="L1505" s="8" t="s">
        <v>58</v>
      </c>
      <c r="M1505" s="8" t="s">
        <v>35</v>
      </c>
      <c r="N1505" s="11">
        <v>45020.0</v>
      </c>
      <c r="O1505" s="11">
        <v>45092.0</v>
      </c>
      <c r="P1505" s="11">
        <v>45134.0</v>
      </c>
      <c r="Q1505" s="11">
        <v>45097.0</v>
      </c>
      <c r="R1505" s="11">
        <v>45138.0</v>
      </c>
      <c r="S1505" s="12"/>
      <c r="T1505" s="8"/>
      <c r="U1505" s="8" t="s">
        <v>402</v>
      </c>
      <c r="V1505" s="13" t="s">
        <v>545</v>
      </c>
      <c r="W1505" s="13" t="s">
        <v>7628</v>
      </c>
      <c r="X1505" s="12"/>
      <c r="Y1505" s="14"/>
      <c r="Z1505" s="14"/>
    </row>
    <row r="1506">
      <c r="A1506" s="8" t="s">
        <v>7629</v>
      </c>
      <c r="B1506" s="8" t="s">
        <v>7630</v>
      </c>
      <c r="C1506" s="8" t="s">
        <v>25</v>
      </c>
      <c r="D1506" s="8" t="s">
        <v>26</v>
      </c>
      <c r="E1506" s="8" t="s">
        <v>7631</v>
      </c>
      <c r="F1506" s="8">
        <v>5.0774399E7</v>
      </c>
      <c r="G1506" s="8" t="s">
        <v>54</v>
      </c>
      <c r="H1506" s="8" t="s">
        <v>135</v>
      </c>
      <c r="I1506" s="8" t="s">
        <v>31</v>
      </c>
      <c r="J1506" s="8" t="s">
        <v>136</v>
      </c>
      <c r="K1506" s="10" t="s">
        <v>394</v>
      </c>
      <c r="L1506" s="8" t="s">
        <v>58</v>
      </c>
      <c r="M1506" s="8" t="s">
        <v>35</v>
      </c>
      <c r="N1506" s="11">
        <v>45020.0</v>
      </c>
      <c r="O1506" s="11">
        <v>45103.0</v>
      </c>
      <c r="P1506" s="11">
        <v>45145.0</v>
      </c>
      <c r="Q1506" s="11">
        <v>45111.0</v>
      </c>
      <c r="R1506" s="11">
        <v>45153.0</v>
      </c>
      <c r="S1506" s="12"/>
      <c r="T1506" s="8"/>
      <c r="U1506" s="8" t="s">
        <v>59</v>
      </c>
      <c r="V1506" s="13" t="s">
        <v>358</v>
      </c>
      <c r="W1506" s="13" t="s">
        <v>7632</v>
      </c>
      <c r="X1506" s="12"/>
      <c r="Y1506" s="14"/>
      <c r="Z1506" s="14"/>
    </row>
    <row r="1507">
      <c r="A1507" s="8" t="s">
        <v>7633</v>
      </c>
      <c r="B1507" s="8" t="s">
        <v>7634</v>
      </c>
      <c r="C1507" s="8" t="s">
        <v>708</v>
      </c>
      <c r="D1507" s="8" t="s">
        <v>26</v>
      </c>
      <c r="E1507" s="8" t="s">
        <v>7635</v>
      </c>
      <c r="F1507" s="8">
        <v>9.3379774E7</v>
      </c>
      <c r="G1507" s="8" t="s">
        <v>54</v>
      </c>
      <c r="H1507" s="8" t="s">
        <v>55</v>
      </c>
      <c r="I1507" s="8" t="s">
        <v>31</v>
      </c>
      <c r="J1507" s="8" t="s">
        <v>292</v>
      </c>
      <c r="K1507" s="10" t="s">
        <v>1260</v>
      </c>
      <c r="L1507" s="8" t="s">
        <v>47</v>
      </c>
      <c r="M1507" s="8" t="s">
        <v>70</v>
      </c>
      <c r="N1507" s="11">
        <v>45020.0</v>
      </c>
      <c r="O1507" s="11">
        <v>45156.0</v>
      </c>
      <c r="P1507" s="11">
        <v>45522.0</v>
      </c>
      <c r="Q1507" s="11">
        <v>45176.0</v>
      </c>
      <c r="R1507" s="11">
        <v>45540.0</v>
      </c>
      <c r="S1507" s="12"/>
      <c r="T1507" s="8"/>
      <c r="U1507" s="8" t="s">
        <v>1261</v>
      </c>
      <c r="V1507" s="13" t="s">
        <v>60</v>
      </c>
      <c r="W1507" s="13" t="s">
        <v>7636</v>
      </c>
      <c r="X1507" s="12"/>
      <c r="Y1507" s="14"/>
      <c r="Z1507" s="14"/>
    </row>
    <row r="1508">
      <c r="A1508" s="8" t="s">
        <v>7637</v>
      </c>
      <c r="B1508" s="8" t="s">
        <v>7638</v>
      </c>
      <c r="C1508" s="8" t="s">
        <v>251</v>
      </c>
      <c r="D1508" s="8" t="s">
        <v>26</v>
      </c>
      <c r="E1508" s="8" t="s">
        <v>7639</v>
      </c>
      <c r="F1508" s="8">
        <v>3.00921762E9</v>
      </c>
      <c r="G1508" s="8" t="s">
        <v>315</v>
      </c>
      <c r="H1508" s="8" t="s">
        <v>1833</v>
      </c>
      <c r="I1508" s="8" t="s">
        <v>31</v>
      </c>
      <c r="J1508" s="8" t="s">
        <v>542</v>
      </c>
      <c r="K1508" s="10" t="s">
        <v>1685</v>
      </c>
      <c r="L1508" s="8" t="s">
        <v>34</v>
      </c>
      <c r="M1508" s="8" t="s">
        <v>70</v>
      </c>
      <c r="N1508" s="11">
        <v>45020.0</v>
      </c>
      <c r="O1508" s="11">
        <v>45047.0</v>
      </c>
      <c r="P1508" s="11">
        <v>45412.0</v>
      </c>
      <c r="Q1508" s="11"/>
      <c r="R1508" s="11"/>
      <c r="S1508" s="12"/>
      <c r="T1508" s="8" t="s">
        <v>205</v>
      </c>
      <c r="U1508" s="8" t="s">
        <v>1686</v>
      </c>
      <c r="V1508" s="13" t="s">
        <v>7640</v>
      </c>
      <c r="W1508" s="13" t="s">
        <v>7641</v>
      </c>
      <c r="X1508" s="12"/>
      <c r="Y1508" s="14"/>
      <c r="Z1508" s="14"/>
    </row>
    <row r="1509">
      <c r="A1509" s="8" t="s">
        <v>7642</v>
      </c>
      <c r="B1509" s="8" t="s">
        <v>7643</v>
      </c>
      <c r="C1509" s="8" t="s">
        <v>25</v>
      </c>
      <c r="D1509" s="8" t="s">
        <v>26</v>
      </c>
      <c r="E1509" s="8" t="s">
        <v>7644</v>
      </c>
      <c r="F1509" s="8">
        <v>2.8333887E7</v>
      </c>
      <c r="G1509" s="8" t="s">
        <v>54</v>
      </c>
      <c r="H1509" s="8" t="s">
        <v>430</v>
      </c>
      <c r="I1509" s="8" t="s">
        <v>31</v>
      </c>
      <c r="J1509" s="8" t="s">
        <v>292</v>
      </c>
      <c r="K1509" s="10" t="s">
        <v>6742</v>
      </c>
      <c r="L1509" s="8" t="s">
        <v>58</v>
      </c>
      <c r="M1509" s="8" t="s">
        <v>35</v>
      </c>
      <c r="N1509" s="11">
        <v>45020.0</v>
      </c>
      <c r="O1509" s="11">
        <v>45152.0</v>
      </c>
      <c r="P1509" s="11">
        <v>45194.0</v>
      </c>
      <c r="Q1509" s="11">
        <v>45159.0</v>
      </c>
      <c r="R1509" s="11">
        <v>45199.0</v>
      </c>
      <c r="S1509" s="12"/>
      <c r="T1509" s="8"/>
      <c r="U1509" s="8" t="s">
        <v>88</v>
      </c>
      <c r="V1509" s="13" t="s">
        <v>7645</v>
      </c>
      <c r="W1509" s="13" t="s">
        <v>7646</v>
      </c>
      <c r="X1509" s="12"/>
      <c r="Y1509" s="14"/>
      <c r="Z1509" s="14"/>
    </row>
    <row r="1510">
      <c r="A1510" s="8" t="s">
        <v>7647</v>
      </c>
      <c r="B1510" s="8" t="s">
        <v>7648</v>
      </c>
      <c r="C1510" s="8" t="s">
        <v>179</v>
      </c>
      <c r="D1510" s="8" t="s">
        <v>26</v>
      </c>
      <c r="E1510" s="8" t="s">
        <v>7649</v>
      </c>
      <c r="F1510" s="8">
        <v>5.338042E7</v>
      </c>
      <c r="G1510" s="8" t="s">
        <v>54</v>
      </c>
      <c r="H1510" s="8" t="s">
        <v>135</v>
      </c>
      <c r="I1510" s="8" t="s">
        <v>31</v>
      </c>
      <c r="J1510" s="8" t="s">
        <v>43</v>
      </c>
      <c r="K1510" s="10" t="s">
        <v>837</v>
      </c>
      <c r="L1510" s="8" t="s">
        <v>58</v>
      </c>
      <c r="M1510" s="8" t="s">
        <v>35</v>
      </c>
      <c r="N1510" s="11">
        <v>45020.0</v>
      </c>
      <c r="O1510" s="11">
        <v>45093.0</v>
      </c>
      <c r="P1510" s="11">
        <v>45135.0</v>
      </c>
      <c r="Q1510" s="11"/>
      <c r="R1510" s="11"/>
      <c r="S1510" s="12"/>
      <c r="T1510" s="8"/>
      <c r="U1510" s="8" t="s">
        <v>130</v>
      </c>
      <c r="V1510" s="13" t="s">
        <v>138</v>
      </c>
      <c r="W1510" s="13" t="s">
        <v>7650</v>
      </c>
      <c r="X1510" s="12"/>
      <c r="Y1510" s="14"/>
      <c r="Z1510" s="14"/>
    </row>
    <row r="1511">
      <c r="A1511" s="8" t="s">
        <v>7651</v>
      </c>
      <c r="B1511" s="8" t="s">
        <v>7652</v>
      </c>
      <c r="C1511" s="8" t="s">
        <v>25</v>
      </c>
      <c r="D1511" s="8" t="s">
        <v>26</v>
      </c>
      <c r="E1511" s="8" t="s">
        <v>7653</v>
      </c>
      <c r="F1511" s="8"/>
      <c r="G1511" s="8" t="s">
        <v>31</v>
      </c>
      <c r="H1511" s="8" t="s">
        <v>111</v>
      </c>
      <c r="I1511" s="8" t="s">
        <v>221</v>
      </c>
      <c r="J1511" s="8" t="s">
        <v>2735</v>
      </c>
      <c r="K1511" s="10" t="s">
        <v>7654</v>
      </c>
      <c r="L1511" s="8" t="s">
        <v>58</v>
      </c>
      <c r="M1511" s="8" t="s">
        <v>35</v>
      </c>
      <c r="N1511" s="11">
        <v>45020.0</v>
      </c>
      <c r="O1511" s="11">
        <v>45089.0</v>
      </c>
      <c r="P1511" s="11">
        <v>45131.0</v>
      </c>
      <c r="Q1511" s="11">
        <v>45089.0</v>
      </c>
      <c r="R1511" s="11">
        <v>45131.0</v>
      </c>
      <c r="S1511" s="12"/>
      <c r="T1511" s="8"/>
      <c r="U1511" s="8" t="s">
        <v>371</v>
      </c>
      <c r="V1511" s="13" t="s">
        <v>38</v>
      </c>
      <c r="W1511" s="13" t="s">
        <v>7655</v>
      </c>
      <c r="X1511" s="12"/>
      <c r="Y1511" s="14"/>
      <c r="Z1511" s="14"/>
    </row>
    <row r="1512">
      <c r="A1512" s="8" t="s">
        <v>7656</v>
      </c>
      <c r="B1512" s="8" t="s">
        <v>7657</v>
      </c>
      <c r="C1512" s="8" t="s">
        <v>25</v>
      </c>
      <c r="D1512" s="8" t="s">
        <v>26</v>
      </c>
      <c r="E1512" s="8" t="s">
        <v>7658</v>
      </c>
      <c r="F1512" s="8">
        <v>7.472484939E9</v>
      </c>
      <c r="G1512" s="8" t="s">
        <v>496</v>
      </c>
      <c r="H1512" s="8" t="s">
        <v>497</v>
      </c>
      <c r="I1512" s="8" t="s">
        <v>31</v>
      </c>
      <c r="J1512" s="8" t="s">
        <v>256</v>
      </c>
      <c r="K1512" s="10" t="s">
        <v>4203</v>
      </c>
      <c r="L1512" s="8" t="s">
        <v>58</v>
      </c>
      <c r="M1512" s="8" t="s">
        <v>35</v>
      </c>
      <c r="N1512" s="11">
        <v>45020.0</v>
      </c>
      <c r="O1512" s="11">
        <v>45097.0</v>
      </c>
      <c r="P1512" s="11">
        <v>45139.0</v>
      </c>
      <c r="Q1512" s="11">
        <v>45107.0</v>
      </c>
      <c r="R1512" s="11">
        <v>45149.0</v>
      </c>
      <c r="S1512" s="12"/>
      <c r="T1512" s="8"/>
      <c r="U1512" s="8" t="s">
        <v>59</v>
      </c>
      <c r="V1512" s="13" t="s">
        <v>7659</v>
      </c>
      <c r="W1512" s="13" t="s">
        <v>7660</v>
      </c>
      <c r="X1512" s="12"/>
      <c r="Y1512" s="14"/>
      <c r="Z1512" s="14"/>
    </row>
    <row r="1513">
      <c r="A1513" s="8" t="s">
        <v>7661</v>
      </c>
      <c r="B1513" s="8" t="s">
        <v>7662</v>
      </c>
      <c r="C1513" s="8" t="s">
        <v>64</v>
      </c>
      <c r="D1513" s="8" t="s">
        <v>26</v>
      </c>
      <c r="E1513" s="8" t="s">
        <v>7663</v>
      </c>
      <c r="F1513" s="8">
        <v>9.0312743E7</v>
      </c>
      <c r="G1513" s="8" t="s">
        <v>54</v>
      </c>
      <c r="H1513" s="8" t="s">
        <v>595</v>
      </c>
      <c r="I1513" s="8" t="s">
        <v>31</v>
      </c>
      <c r="J1513" s="8" t="s">
        <v>167</v>
      </c>
      <c r="K1513" s="10" t="s">
        <v>5996</v>
      </c>
      <c r="L1513" s="8" t="s">
        <v>58</v>
      </c>
      <c r="M1513" s="8" t="s">
        <v>35</v>
      </c>
      <c r="N1513" s="11">
        <v>45021.0</v>
      </c>
      <c r="O1513" s="11">
        <v>45117.0</v>
      </c>
      <c r="P1513" s="11">
        <v>45159.0</v>
      </c>
      <c r="Q1513" s="11">
        <v>45117.0</v>
      </c>
      <c r="R1513" s="11">
        <v>45159.0</v>
      </c>
      <c r="S1513" s="12"/>
      <c r="T1513" s="8"/>
      <c r="U1513" s="8" t="s">
        <v>130</v>
      </c>
      <c r="V1513" s="13" t="s">
        <v>7664</v>
      </c>
      <c r="W1513" s="13" t="s">
        <v>7665</v>
      </c>
      <c r="X1513" s="12"/>
      <c r="Y1513" s="14"/>
      <c r="Z1513" s="14"/>
    </row>
    <row r="1514">
      <c r="A1514" s="8" t="s">
        <v>7666</v>
      </c>
      <c r="B1514" s="8" t="s">
        <v>7667</v>
      </c>
      <c r="C1514" s="8" t="s">
        <v>25</v>
      </c>
      <c r="D1514" s="8" t="s">
        <v>26</v>
      </c>
      <c r="E1514" s="8" t="s">
        <v>7668</v>
      </c>
      <c r="F1514" s="8">
        <v>2.4664506E7</v>
      </c>
      <c r="G1514" s="8" t="s">
        <v>54</v>
      </c>
      <c r="H1514" s="8" t="s">
        <v>377</v>
      </c>
      <c r="I1514" s="8" t="s">
        <v>31</v>
      </c>
      <c r="J1514" s="8" t="s">
        <v>167</v>
      </c>
      <c r="K1514" s="10" t="s">
        <v>5996</v>
      </c>
      <c r="L1514" s="8" t="s">
        <v>58</v>
      </c>
      <c r="M1514" s="8" t="s">
        <v>35</v>
      </c>
      <c r="N1514" s="11">
        <v>45021.0</v>
      </c>
      <c r="O1514" s="11">
        <v>45117.0</v>
      </c>
      <c r="P1514" s="11">
        <v>45159.0</v>
      </c>
      <c r="Q1514" s="11">
        <v>45119.0</v>
      </c>
      <c r="R1514" s="11">
        <v>45159.0</v>
      </c>
      <c r="S1514" s="12"/>
      <c r="T1514" s="8"/>
      <c r="U1514" s="8" t="s">
        <v>130</v>
      </c>
      <c r="V1514" s="13" t="s">
        <v>2855</v>
      </c>
      <c r="W1514" s="13" t="s">
        <v>7669</v>
      </c>
      <c r="X1514" s="12"/>
      <c r="Y1514" s="14"/>
      <c r="Z1514" s="14"/>
    </row>
    <row r="1515">
      <c r="A1515" s="8" t="s">
        <v>7670</v>
      </c>
      <c r="B1515" s="8" t="s">
        <v>7671</v>
      </c>
      <c r="C1515" s="8" t="s">
        <v>25</v>
      </c>
      <c r="D1515" s="8" t="s">
        <v>26</v>
      </c>
      <c r="E1515" s="8" t="s">
        <v>7672</v>
      </c>
      <c r="F1515" s="8" t="s">
        <v>7673</v>
      </c>
      <c r="G1515" s="8" t="s">
        <v>31</v>
      </c>
      <c r="H1515" s="8" t="s">
        <v>86</v>
      </c>
      <c r="I1515" s="8" t="s">
        <v>54</v>
      </c>
      <c r="J1515" s="8" t="s">
        <v>237</v>
      </c>
      <c r="K1515" s="10" t="s">
        <v>7622</v>
      </c>
      <c r="L1515" s="8" t="s">
        <v>58</v>
      </c>
      <c r="M1515" s="8" t="s">
        <v>35</v>
      </c>
      <c r="N1515" s="11">
        <v>45021.0</v>
      </c>
      <c r="O1515" s="11">
        <v>45131.0</v>
      </c>
      <c r="P1515" s="11">
        <v>45173.0</v>
      </c>
      <c r="Q1515" s="11">
        <v>45132.0</v>
      </c>
      <c r="R1515" s="11">
        <v>45173.0</v>
      </c>
      <c r="S1515" s="12"/>
      <c r="T1515" s="8"/>
      <c r="U1515" s="8" t="s">
        <v>59</v>
      </c>
      <c r="V1515" s="13" t="s">
        <v>175</v>
      </c>
      <c r="W1515" s="13" t="s">
        <v>7674</v>
      </c>
      <c r="X1515" s="12"/>
      <c r="Y1515" s="14"/>
      <c r="Z1515" s="14"/>
    </row>
    <row r="1516">
      <c r="A1516" s="8" t="s">
        <v>7675</v>
      </c>
      <c r="B1516" s="8" t="s">
        <v>7676</v>
      </c>
      <c r="C1516" s="8" t="s">
        <v>25</v>
      </c>
      <c r="D1516" s="8" t="s">
        <v>26</v>
      </c>
      <c r="E1516" s="8" t="s">
        <v>7677</v>
      </c>
      <c r="F1516" s="8"/>
      <c r="G1516" s="8" t="s">
        <v>31</v>
      </c>
      <c r="H1516" s="8" t="s">
        <v>542</v>
      </c>
      <c r="I1516" s="8" t="s">
        <v>284</v>
      </c>
      <c r="J1516" s="8" t="s">
        <v>589</v>
      </c>
      <c r="K1516" s="10" t="s">
        <v>6146</v>
      </c>
      <c r="L1516" s="8" t="s">
        <v>58</v>
      </c>
      <c r="M1516" s="8" t="s">
        <v>35</v>
      </c>
      <c r="N1516" s="11">
        <v>45021.0</v>
      </c>
      <c r="O1516" s="11">
        <v>45122.0</v>
      </c>
      <c r="P1516" s="11">
        <v>45164.0</v>
      </c>
      <c r="Q1516" s="11">
        <v>45123.0</v>
      </c>
      <c r="R1516" s="11">
        <v>45165.0</v>
      </c>
      <c r="S1516" s="12"/>
      <c r="T1516" s="8"/>
      <c r="U1516" s="8" t="s">
        <v>1038</v>
      </c>
      <c r="V1516" s="13" t="s">
        <v>38</v>
      </c>
      <c r="W1516" s="13" t="s">
        <v>7678</v>
      </c>
      <c r="X1516" s="12"/>
      <c r="Y1516" s="14"/>
      <c r="Z1516" s="14"/>
    </row>
    <row r="1517">
      <c r="A1517" s="8" t="s">
        <v>7679</v>
      </c>
      <c r="B1517" s="8" t="s">
        <v>7680</v>
      </c>
      <c r="C1517" s="8" t="s">
        <v>25</v>
      </c>
      <c r="D1517" s="8" t="s">
        <v>26</v>
      </c>
      <c r="E1517" s="8" t="s">
        <v>7681</v>
      </c>
      <c r="F1517" s="8"/>
      <c r="G1517" s="8" t="s">
        <v>31</v>
      </c>
      <c r="H1517" s="8" t="s">
        <v>43</v>
      </c>
      <c r="I1517" s="8" t="s">
        <v>284</v>
      </c>
      <c r="J1517" s="8" t="s">
        <v>1287</v>
      </c>
      <c r="K1517" s="10" t="s">
        <v>7682</v>
      </c>
      <c r="L1517" s="8" t="s">
        <v>58</v>
      </c>
      <c r="M1517" s="8" t="s">
        <v>35</v>
      </c>
      <c r="N1517" s="11">
        <v>45021.0</v>
      </c>
      <c r="O1517" s="11">
        <v>45122.0</v>
      </c>
      <c r="P1517" s="11">
        <v>45164.0</v>
      </c>
      <c r="Q1517" s="11">
        <v>45119.0</v>
      </c>
      <c r="R1517" s="11">
        <v>45157.0</v>
      </c>
      <c r="S1517" s="12"/>
      <c r="T1517" s="8"/>
      <c r="U1517" s="8" t="s">
        <v>130</v>
      </c>
      <c r="V1517" s="13" t="s">
        <v>7683</v>
      </c>
      <c r="W1517" s="13" t="s">
        <v>7684</v>
      </c>
      <c r="X1517" s="12"/>
      <c r="Y1517" s="14"/>
      <c r="Z1517" s="14"/>
    </row>
    <row r="1518">
      <c r="A1518" s="8" t="s">
        <v>7685</v>
      </c>
      <c r="B1518" s="8" t="s">
        <v>7686</v>
      </c>
      <c r="C1518" s="8" t="s">
        <v>25</v>
      </c>
      <c r="D1518" s="8" t="s">
        <v>26</v>
      </c>
      <c r="E1518" s="8" t="s">
        <v>7687</v>
      </c>
      <c r="F1518" s="8">
        <v>5.541142632E9</v>
      </c>
      <c r="G1518" s="8" t="s">
        <v>31</v>
      </c>
      <c r="H1518" s="8" t="s">
        <v>43</v>
      </c>
      <c r="I1518" s="8" t="s">
        <v>284</v>
      </c>
      <c r="J1518" s="8" t="s">
        <v>1287</v>
      </c>
      <c r="K1518" s="10" t="s">
        <v>7682</v>
      </c>
      <c r="L1518" s="8" t="s">
        <v>58</v>
      </c>
      <c r="M1518" s="8" t="s">
        <v>35</v>
      </c>
      <c r="N1518" s="11">
        <v>45021.0</v>
      </c>
      <c r="O1518" s="11">
        <v>45122.0</v>
      </c>
      <c r="P1518" s="11">
        <v>45164.0</v>
      </c>
      <c r="Q1518" s="11">
        <v>45119.0</v>
      </c>
      <c r="R1518" s="11">
        <v>45157.0</v>
      </c>
      <c r="S1518" s="12"/>
      <c r="T1518" s="8"/>
      <c r="U1518" s="8" t="s">
        <v>130</v>
      </c>
      <c r="V1518" s="13" t="s">
        <v>43</v>
      </c>
      <c r="W1518" s="13" t="s">
        <v>7688</v>
      </c>
      <c r="X1518" s="12"/>
      <c r="Y1518" s="14"/>
      <c r="Z1518" s="14"/>
    </row>
    <row r="1519">
      <c r="A1519" s="8" t="s">
        <v>7689</v>
      </c>
      <c r="B1519" s="8" t="s">
        <v>7690</v>
      </c>
      <c r="C1519" s="8" t="s">
        <v>25</v>
      </c>
      <c r="D1519" s="8" t="s">
        <v>26</v>
      </c>
      <c r="E1519" s="8" t="s">
        <v>7691</v>
      </c>
      <c r="F1519" s="8">
        <v>7.76030222E8</v>
      </c>
      <c r="G1519" s="8" t="s">
        <v>277</v>
      </c>
      <c r="H1519" s="8" t="s">
        <v>697</v>
      </c>
      <c r="I1519" s="8" t="s">
        <v>31</v>
      </c>
      <c r="J1519" s="8" t="s">
        <v>292</v>
      </c>
      <c r="K1519" s="10" t="s">
        <v>7161</v>
      </c>
      <c r="L1519" s="8" t="s">
        <v>58</v>
      </c>
      <c r="M1519" s="8" t="s">
        <v>35</v>
      </c>
      <c r="N1519" s="11">
        <v>45021.0</v>
      </c>
      <c r="O1519" s="11">
        <v>45144.0</v>
      </c>
      <c r="P1519" s="11">
        <v>45186.0</v>
      </c>
      <c r="Q1519" s="11">
        <v>45150.0</v>
      </c>
      <c r="R1519" s="11">
        <v>45190.0</v>
      </c>
      <c r="S1519" s="12"/>
      <c r="T1519" s="8"/>
      <c r="U1519" s="8" t="s">
        <v>88</v>
      </c>
      <c r="V1519" s="13" t="s">
        <v>698</v>
      </c>
      <c r="W1519" s="13" t="s">
        <v>7692</v>
      </c>
      <c r="X1519" s="12"/>
      <c r="Y1519" s="14"/>
      <c r="Z1519" s="14"/>
    </row>
    <row r="1520">
      <c r="A1520" s="8" t="s">
        <v>7693</v>
      </c>
      <c r="B1520" s="8" t="s">
        <v>7694</v>
      </c>
      <c r="C1520" s="8" t="s">
        <v>25</v>
      </c>
      <c r="D1520" s="8" t="s">
        <v>26</v>
      </c>
      <c r="E1520" s="8" t="s">
        <v>7695</v>
      </c>
      <c r="F1520" s="8">
        <v>7.75262676E8</v>
      </c>
      <c r="G1520" s="8" t="s">
        <v>277</v>
      </c>
      <c r="H1520" s="8" t="s">
        <v>697</v>
      </c>
      <c r="I1520" s="8" t="s">
        <v>31</v>
      </c>
      <c r="J1520" s="8" t="s">
        <v>292</v>
      </c>
      <c r="K1520" s="10" t="s">
        <v>7161</v>
      </c>
      <c r="L1520" s="8" t="s">
        <v>58</v>
      </c>
      <c r="M1520" s="8" t="s">
        <v>35</v>
      </c>
      <c r="N1520" s="11">
        <v>45021.0</v>
      </c>
      <c r="O1520" s="11">
        <v>45144.0</v>
      </c>
      <c r="P1520" s="11">
        <v>45186.0</v>
      </c>
      <c r="Q1520" s="11">
        <v>45150.0</v>
      </c>
      <c r="R1520" s="11">
        <v>45190.0</v>
      </c>
      <c r="S1520" s="12"/>
      <c r="T1520" s="8"/>
      <c r="U1520" s="8" t="s">
        <v>88</v>
      </c>
      <c r="V1520" s="13" t="s">
        <v>698</v>
      </c>
      <c r="W1520" s="13" t="s">
        <v>7696</v>
      </c>
      <c r="X1520" s="12"/>
      <c r="Y1520" s="14"/>
      <c r="Z1520" s="14"/>
    </row>
    <row r="1521">
      <c r="A1521" s="8" t="s">
        <v>7697</v>
      </c>
      <c r="B1521" s="8" t="s">
        <v>7698</v>
      </c>
      <c r="C1521" s="8" t="s">
        <v>179</v>
      </c>
      <c r="D1521" s="8" t="s">
        <v>26</v>
      </c>
      <c r="E1521" s="8" t="s">
        <v>7699</v>
      </c>
      <c r="F1521" s="8"/>
      <c r="G1521" s="8" t="s">
        <v>31</v>
      </c>
      <c r="H1521" s="8" t="s">
        <v>86</v>
      </c>
      <c r="I1521" s="8" t="s">
        <v>399</v>
      </c>
      <c r="J1521" s="8" t="s">
        <v>1381</v>
      </c>
      <c r="K1521" s="10" t="s">
        <v>2094</v>
      </c>
      <c r="L1521" s="8" t="s">
        <v>58</v>
      </c>
      <c r="M1521" s="8" t="s">
        <v>35</v>
      </c>
      <c r="N1521" s="11">
        <v>45021.0</v>
      </c>
      <c r="O1521" s="11">
        <v>45187.0</v>
      </c>
      <c r="P1521" s="11">
        <v>45229.0</v>
      </c>
      <c r="Q1521" s="11"/>
      <c r="R1521" s="11"/>
      <c r="S1521" s="12"/>
      <c r="T1521" s="8"/>
      <c r="U1521" s="8" t="s">
        <v>153</v>
      </c>
      <c r="V1521" s="13" t="s">
        <v>38</v>
      </c>
      <c r="W1521" s="13" t="s">
        <v>7700</v>
      </c>
      <c r="X1521" s="12"/>
      <c r="Y1521" s="14"/>
      <c r="Z1521" s="14"/>
    </row>
    <row r="1522">
      <c r="A1522" s="8" t="s">
        <v>7701</v>
      </c>
      <c r="B1522" s="8" t="s">
        <v>7702</v>
      </c>
      <c r="C1522" s="8" t="s">
        <v>1326</v>
      </c>
      <c r="D1522" s="8" t="s">
        <v>26</v>
      </c>
      <c r="E1522" s="8" t="s">
        <v>7703</v>
      </c>
      <c r="F1522" s="8">
        <v>7.072399077E9</v>
      </c>
      <c r="G1522" s="8" t="s">
        <v>496</v>
      </c>
      <c r="H1522" s="8" t="s">
        <v>2112</v>
      </c>
      <c r="I1522" s="8" t="s">
        <v>31</v>
      </c>
      <c r="J1522" s="8" t="s">
        <v>220</v>
      </c>
      <c r="K1522" s="10" t="s">
        <v>2193</v>
      </c>
      <c r="L1522" s="8" t="s">
        <v>58</v>
      </c>
      <c r="M1522" s="8" t="s">
        <v>35</v>
      </c>
      <c r="N1522" s="11">
        <v>45021.0</v>
      </c>
      <c r="O1522" s="11">
        <v>45117.0</v>
      </c>
      <c r="P1522" s="11">
        <v>45159.0</v>
      </c>
      <c r="Q1522" s="11">
        <v>45119.0</v>
      </c>
      <c r="R1522" s="11">
        <v>45159.0</v>
      </c>
      <c r="S1522" s="12"/>
      <c r="T1522" s="8"/>
      <c r="U1522" s="8" t="s">
        <v>59</v>
      </c>
      <c r="V1522" s="13" t="s">
        <v>7704</v>
      </c>
      <c r="W1522" s="13" t="s">
        <v>7705</v>
      </c>
      <c r="X1522" s="12"/>
      <c r="Y1522" s="14"/>
      <c r="Z1522" s="14"/>
    </row>
    <row r="1523">
      <c r="A1523" s="8" t="s">
        <v>7706</v>
      </c>
      <c r="B1523" s="8" t="s">
        <v>7707</v>
      </c>
      <c r="C1523" s="8" t="s">
        <v>25</v>
      </c>
      <c r="D1523" s="8" t="s">
        <v>26</v>
      </c>
      <c r="E1523" s="8" t="s">
        <v>7708</v>
      </c>
      <c r="F1523" s="8">
        <v>9.3528868E7</v>
      </c>
      <c r="G1523" s="8" t="s">
        <v>54</v>
      </c>
      <c r="H1523" s="8" t="s">
        <v>430</v>
      </c>
      <c r="I1523" s="8" t="s">
        <v>31</v>
      </c>
      <c r="J1523" s="8" t="s">
        <v>292</v>
      </c>
      <c r="K1523" s="10" t="s">
        <v>6742</v>
      </c>
      <c r="L1523" s="8" t="s">
        <v>58</v>
      </c>
      <c r="M1523" s="8" t="s">
        <v>35</v>
      </c>
      <c r="N1523" s="11">
        <v>45022.0</v>
      </c>
      <c r="O1523" s="11">
        <v>45152.0</v>
      </c>
      <c r="P1523" s="11">
        <v>45194.0</v>
      </c>
      <c r="Q1523" s="11">
        <v>45156.0</v>
      </c>
      <c r="R1523" s="11">
        <v>45197.0</v>
      </c>
      <c r="S1523" s="12"/>
      <c r="T1523" s="8"/>
      <c r="U1523" s="8" t="s">
        <v>88</v>
      </c>
      <c r="V1523" s="13" t="s">
        <v>4780</v>
      </c>
      <c r="W1523" s="13" t="s">
        <v>7709</v>
      </c>
      <c r="X1523" s="12"/>
      <c r="Y1523" s="14"/>
      <c r="Z1523" s="14"/>
    </row>
    <row r="1524">
      <c r="A1524" s="8" t="s">
        <v>7710</v>
      </c>
      <c r="B1524" s="8" t="s">
        <v>7711</v>
      </c>
      <c r="C1524" s="8" t="s">
        <v>179</v>
      </c>
      <c r="D1524" s="8" t="s">
        <v>26</v>
      </c>
      <c r="E1524" s="8" t="s">
        <v>7712</v>
      </c>
      <c r="F1524" s="8">
        <v>4.6215234E7</v>
      </c>
      <c r="G1524" s="8" t="s">
        <v>54</v>
      </c>
      <c r="H1524" s="8" t="s">
        <v>595</v>
      </c>
      <c r="I1524" s="8" t="s">
        <v>31</v>
      </c>
      <c r="J1524" s="8" t="s">
        <v>167</v>
      </c>
      <c r="K1524" s="10" t="s">
        <v>4008</v>
      </c>
      <c r="L1524" s="8" t="s">
        <v>58</v>
      </c>
      <c r="M1524" s="8" t="s">
        <v>35</v>
      </c>
      <c r="N1524" s="11">
        <v>45022.0</v>
      </c>
      <c r="O1524" s="11">
        <v>45159.0</v>
      </c>
      <c r="P1524" s="11">
        <v>45201.0</v>
      </c>
      <c r="Q1524" s="11"/>
      <c r="R1524" s="11"/>
      <c r="S1524" s="12"/>
      <c r="T1524" s="8"/>
      <c r="U1524" s="8" t="s">
        <v>59</v>
      </c>
      <c r="V1524" s="13" t="s">
        <v>1583</v>
      </c>
      <c r="W1524" s="13" t="s">
        <v>7713</v>
      </c>
      <c r="X1524" s="12"/>
      <c r="Y1524" s="14"/>
      <c r="Z1524" s="14"/>
    </row>
    <row r="1525">
      <c r="A1525" s="8" t="s">
        <v>7714</v>
      </c>
      <c r="B1525" s="8" t="s">
        <v>7715</v>
      </c>
      <c r="C1525" s="8" t="s">
        <v>64</v>
      </c>
      <c r="D1525" s="8" t="s">
        <v>26</v>
      </c>
      <c r="E1525" s="8" t="s">
        <v>7716</v>
      </c>
      <c r="F1525" s="8"/>
      <c r="G1525" s="8" t="s">
        <v>31</v>
      </c>
      <c r="H1525" s="8" t="s">
        <v>66</v>
      </c>
      <c r="I1525" s="8" t="s">
        <v>284</v>
      </c>
      <c r="J1525" s="8" t="s">
        <v>854</v>
      </c>
      <c r="K1525" s="10" t="s">
        <v>7717</v>
      </c>
      <c r="L1525" s="8" t="s">
        <v>47</v>
      </c>
      <c r="M1525" s="8" t="s">
        <v>35</v>
      </c>
      <c r="N1525" s="11">
        <v>45022.0</v>
      </c>
      <c r="O1525" s="11">
        <v>45108.0</v>
      </c>
      <c r="P1525" s="11">
        <v>45191.0</v>
      </c>
      <c r="Q1525" s="11">
        <v>45110.0</v>
      </c>
      <c r="R1525" s="11">
        <v>45191.0</v>
      </c>
      <c r="S1525" s="12"/>
      <c r="T1525" s="8"/>
      <c r="U1525" s="8" t="s">
        <v>246</v>
      </c>
      <c r="V1525" s="13" t="s">
        <v>38</v>
      </c>
      <c r="W1525" s="13" t="s">
        <v>7718</v>
      </c>
      <c r="X1525" s="12"/>
      <c r="Y1525" s="14"/>
      <c r="Z1525" s="14"/>
    </row>
    <row r="1526">
      <c r="A1526" s="8" t="s">
        <v>7719</v>
      </c>
      <c r="B1526" s="8" t="s">
        <v>7720</v>
      </c>
      <c r="C1526" s="8" t="s">
        <v>25</v>
      </c>
      <c r="D1526" s="8" t="s">
        <v>26</v>
      </c>
      <c r="E1526" s="8" t="s">
        <v>7721</v>
      </c>
      <c r="F1526" s="8"/>
      <c r="G1526" s="8" t="s">
        <v>31</v>
      </c>
      <c r="H1526" s="8" t="s">
        <v>32</v>
      </c>
      <c r="I1526" s="8" t="s">
        <v>54</v>
      </c>
      <c r="J1526" s="8" t="s">
        <v>237</v>
      </c>
      <c r="K1526" s="10" t="s">
        <v>7722</v>
      </c>
      <c r="L1526" s="8" t="s">
        <v>58</v>
      </c>
      <c r="M1526" s="8" t="s">
        <v>35</v>
      </c>
      <c r="N1526" s="11">
        <v>45022.0</v>
      </c>
      <c r="O1526" s="11">
        <v>45131.0</v>
      </c>
      <c r="P1526" s="11">
        <v>45173.0</v>
      </c>
      <c r="Q1526" s="11">
        <v>45132.0</v>
      </c>
      <c r="R1526" s="11">
        <v>45173.0</v>
      </c>
      <c r="S1526" s="12"/>
      <c r="T1526" s="8"/>
      <c r="U1526" s="8" t="s">
        <v>59</v>
      </c>
      <c r="V1526" s="13" t="s">
        <v>38</v>
      </c>
      <c r="W1526" s="13" t="s">
        <v>7723</v>
      </c>
      <c r="X1526" s="12"/>
      <c r="Y1526" s="14"/>
      <c r="Z1526" s="14"/>
    </row>
    <row r="1527">
      <c r="A1527" s="8" t="s">
        <v>7724</v>
      </c>
      <c r="B1527" s="8" t="s">
        <v>7725</v>
      </c>
      <c r="C1527" s="8" t="s">
        <v>25</v>
      </c>
      <c r="D1527" s="8" t="s">
        <v>26</v>
      </c>
      <c r="E1527" s="8" t="s">
        <v>7726</v>
      </c>
      <c r="F1527" s="8">
        <v>5.417314371E9</v>
      </c>
      <c r="G1527" s="8" t="s">
        <v>31</v>
      </c>
      <c r="H1527" s="8" t="s">
        <v>86</v>
      </c>
      <c r="I1527" s="8" t="s">
        <v>54</v>
      </c>
      <c r="J1527" s="8" t="s">
        <v>237</v>
      </c>
      <c r="K1527" s="10" t="s">
        <v>7622</v>
      </c>
      <c r="L1527" s="8" t="s">
        <v>58</v>
      </c>
      <c r="M1527" s="8" t="s">
        <v>35</v>
      </c>
      <c r="N1527" s="11">
        <v>45022.0</v>
      </c>
      <c r="O1527" s="11">
        <v>45131.0</v>
      </c>
      <c r="P1527" s="11">
        <v>45173.0</v>
      </c>
      <c r="Q1527" s="11">
        <v>45132.0</v>
      </c>
      <c r="R1527" s="11">
        <v>45173.0</v>
      </c>
      <c r="S1527" s="12"/>
      <c r="T1527" s="8"/>
      <c r="U1527" s="8" t="s">
        <v>59</v>
      </c>
      <c r="V1527" s="13" t="s">
        <v>175</v>
      </c>
      <c r="W1527" s="13" t="s">
        <v>7727</v>
      </c>
      <c r="X1527" s="12"/>
      <c r="Y1527" s="14"/>
      <c r="Z1527" s="14"/>
    </row>
    <row r="1528">
      <c r="A1528" s="8" t="s">
        <v>7728</v>
      </c>
      <c r="B1528" s="8" t="s">
        <v>7729</v>
      </c>
      <c r="C1528" s="8" t="s">
        <v>25</v>
      </c>
      <c r="D1528" s="8" t="s">
        <v>26</v>
      </c>
      <c r="E1528" s="8" t="s">
        <v>7730</v>
      </c>
      <c r="F1528" s="8">
        <v>5.0400684E7</v>
      </c>
      <c r="G1528" s="8" t="s">
        <v>54</v>
      </c>
      <c r="H1528" s="8" t="s">
        <v>595</v>
      </c>
      <c r="I1528" s="8" t="s">
        <v>31</v>
      </c>
      <c r="J1528" s="8" t="s">
        <v>167</v>
      </c>
      <c r="K1528" s="10" t="s">
        <v>4008</v>
      </c>
      <c r="L1528" s="8" t="s">
        <v>58</v>
      </c>
      <c r="M1528" s="8" t="s">
        <v>35</v>
      </c>
      <c r="N1528" s="11">
        <v>45022.0</v>
      </c>
      <c r="O1528" s="11">
        <v>45159.0</v>
      </c>
      <c r="P1528" s="11">
        <v>45201.0</v>
      </c>
      <c r="Q1528" s="11">
        <v>45162.0</v>
      </c>
      <c r="R1528" s="11">
        <v>45202.0</v>
      </c>
      <c r="S1528" s="12"/>
      <c r="T1528" s="8"/>
      <c r="U1528" s="8" t="s">
        <v>59</v>
      </c>
      <c r="V1528" s="13" t="s">
        <v>1583</v>
      </c>
      <c r="W1528" s="13" t="s">
        <v>7731</v>
      </c>
      <c r="X1528" s="12"/>
      <c r="Y1528" s="14"/>
      <c r="Z1528" s="14"/>
    </row>
    <row r="1529">
      <c r="A1529" s="8" t="s">
        <v>7732</v>
      </c>
      <c r="B1529" s="8" t="s">
        <v>7733</v>
      </c>
      <c r="C1529" s="8" t="s">
        <v>64</v>
      </c>
      <c r="D1529" s="8" t="s">
        <v>26</v>
      </c>
      <c r="E1529" s="8" t="s">
        <v>7734</v>
      </c>
      <c r="F1529" s="8"/>
      <c r="G1529" s="8" t="s">
        <v>315</v>
      </c>
      <c r="H1529" s="8" t="s">
        <v>6834</v>
      </c>
      <c r="I1529" s="8" t="s">
        <v>31</v>
      </c>
      <c r="J1529" s="8" t="s">
        <v>292</v>
      </c>
      <c r="K1529" s="10" t="s">
        <v>7161</v>
      </c>
      <c r="L1529" s="8" t="s">
        <v>58</v>
      </c>
      <c r="M1529" s="8" t="s">
        <v>35</v>
      </c>
      <c r="N1529" s="11">
        <v>45022.0</v>
      </c>
      <c r="O1529" s="11">
        <v>45102.0</v>
      </c>
      <c r="P1529" s="11">
        <v>45144.0</v>
      </c>
      <c r="Q1529" s="11">
        <v>45100.0</v>
      </c>
      <c r="R1529" s="11">
        <v>45144.0</v>
      </c>
      <c r="S1529" s="12"/>
      <c r="T1529" s="8"/>
      <c r="U1529" s="8" t="s">
        <v>88</v>
      </c>
      <c r="V1529" s="13" t="s">
        <v>38</v>
      </c>
      <c r="W1529" s="13" t="s">
        <v>7735</v>
      </c>
      <c r="X1529" s="12"/>
      <c r="Y1529" s="14"/>
      <c r="Z1529" s="14"/>
    </row>
    <row r="1530">
      <c r="A1530" s="8" t="s">
        <v>7736</v>
      </c>
      <c r="B1530" s="8" t="s">
        <v>7737</v>
      </c>
      <c r="C1530" s="8" t="s">
        <v>179</v>
      </c>
      <c r="D1530" s="8" t="s">
        <v>26</v>
      </c>
      <c r="E1530" s="8" t="s">
        <v>7738</v>
      </c>
      <c r="F1530" s="8">
        <v>5.56122189E8</v>
      </c>
      <c r="G1530" s="8" t="s">
        <v>277</v>
      </c>
      <c r="H1530" s="8" t="s">
        <v>607</v>
      </c>
      <c r="I1530" s="8" t="s">
        <v>31</v>
      </c>
      <c r="J1530" s="8" t="s">
        <v>66</v>
      </c>
      <c r="K1530" s="10" t="s">
        <v>6397</v>
      </c>
      <c r="L1530" s="8" t="s">
        <v>58</v>
      </c>
      <c r="M1530" s="8" t="s">
        <v>35</v>
      </c>
      <c r="N1530" s="11">
        <v>45022.0</v>
      </c>
      <c r="O1530" s="11">
        <v>45093.0</v>
      </c>
      <c r="P1530" s="11">
        <v>45135.0</v>
      </c>
      <c r="Q1530" s="11"/>
      <c r="R1530" s="11"/>
      <c r="S1530" s="12"/>
      <c r="T1530" s="8"/>
      <c r="U1530" s="8" t="s">
        <v>88</v>
      </c>
      <c r="V1530" s="13" t="s">
        <v>5537</v>
      </c>
      <c r="W1530" s="13" t="s">
        <v>7739</v>
      </c>
      <c r="X1530" s="12"/>
      <c r="Y1530" s="14"/>
      <c r="Z1530" s="14"/>
    </row>
    <row r="1531">
      <c r="A1531" s="8" t="s">
        <v>7740</v>
      </c>
      <c r="B1531" s="8" t="s">
        <v>7741</v>
      </c>
      <c r="C1531" s="8" t="s">
        <v>179</v>
      </c>
      <c r="D1531" s="8" t="s">
        <v>26</v>
      </c>
      <c r="E1531" s="8" t="s">
        <v>7742</v>
      </c>
      <c r="F1531" s="8">
        <v>7.73007087E8</v>
      </c>
      <c r="G1531" s="8" t="s">
        <v>277</v>
      </c>
      <c r="H1531" s="8" t="s">
        <v>697</v>
      </c>
      <c r="I1531" s="8" t="s">
        <v>31</v>
      </c>
      <c r="J1531" s="8" t="s">
        <v>43</v>
      </c>
      <c r="K1531" s="10" t="s">
        <v>837</v>
      </c>
      <c r="L1531" s="8" t="s">
        <v>58</v>
      </c>
      <c r="M1531" s="8" t="s">
        <v>35</v>
      </c>
      <c r="N1531" s="11">
        <v>45022.0</v>
      </c>
      <c r="O1531" s="11">
        <v>45145.0</v>
      </c>
      <c r="P1531" s="11">
        <v>45191.0</v>
      </c>
      <c r="Q1531" s="11"/>
      <c r="R1531" s="11"/>
      <c r="S1531" s="12"/>
      <c r="T1531" s="8"/>
      <c r="U1531" s="8" t="s">
        <v>130</v>
      </c>
      <c r="V1531" s="13" t="s">
        <v>7743</v>
      </c>
      <c r="W1531" s="13" t="s">
        <v>7744</v>
      </c>
      <c r="X1531" s="12"/>
      <c r="Y1531" s="14"/>
      <c r="Z1531" s="14"/>
    </row>
    <row r="1532">
      <c r="A1532" s="8" t="s">
        <v>7745</v>
      </c>
      <c r="B1532" s="8" t="s">
        <v>7746</v>
      </c>
      <c r="C1532" s="8" t="s">
        <v>179</v>
      </c>
      <c r="D1532" s="8" t="s">
        <v>26</v>
      </c>
      <c r="E1532" s="8" t="s">
        <v>7747</v>
      </c>
      <c r="F1532" s="8">
        <v>3.03301117E9</v>
      </c>
      <c r="G1532" s="8" t="s">
        <v>315</v>
      </c>
      <c r="H1532" s="8" t="s">
        <v>6834</v>
      </c>
      <c r="I1532" s="8" t="s">
        <v>31</v>
      </c>
      <c r="J1532" s="8" t="s">
        <v>32</v>
      </c>
      <c r="K1532" s="10" t="s">
        <v>1451</v>
      </c>
      <c r="L1532" s="8" t="s">
        <v>58</v>
      </c>
      <c r="M1532" s="8" t="s">
        <v>35</v>
      </c>
      <c r="N1532" s="11">
        <v>45022.0</v>
      </c>
      <c r="O1532" s="11">
        <v>45123.0</v>
      </c>
      <c r="P1532" s="11">
        <v>45165.0</v>
      </c>
      <c r="Q1532" s="11"/>
      <c r="R1532" s="11"/>
      <c r="S1532" s="12"/>
      <c r="T1532" s="8"/>
      <c r="U1532" s="8" t="s">
        <v>59</v>
      </c>
      <c r="V1532" s="13" t="s">
        <v>6835</v>
      </c>
      <c r="W1532" s="13" t="s">
        <v>7748</v>
      </c>
      <c r="X1532" s="12"/>
      <c r="Y1532" s="14"/>
      <c r="Z1532" s="14"/>
    </row>
    <row r="1533">
      <c r="A1533" s="8" t="s">
        <v>7749</v>
      </c>
      <c r="B1533" s="8" t="s">
        <v>7750</v>
      </c>
      <c r="C1533" s="8" t="s">
        <v>179</v>
      </c>
      <c r="D1533" s="8" t="s">
        <v>26</v>
      </c>
      <c r="E1533" s="8" t="s">
        <v>7751</v>
      </c>
      <c r="F1533" s="8"/>
      <c r="G1533" s="8" t="s">
        <v>84</v>
      </c>
      <c r="H1533" s="8" t="s">
        <v>85</v>
      </c>
      <c r="I1533" s="8" t="s">
        <v>31</v>
      </c>
      <c r="J1533" s="8" t="s">
        <v>32</v>
      </c>
      <c r="K1533" s="10" t="s">
        <v>1813</v>
      </c>
      <c r="L1533" s="8" t="s">
        <v>58</v>
      </c>
      <c r="M1533" s="8" t="s">
        <v>35</v>
      </c>
      <c r="N1533" s="11">
        <v>45022.0</v>
      </c>
      <c r="O1533" s="11">
        <v>45249.0</v>
      </c>
      <c r="P1533" s="11">
        <v>45291.0</v>
      </c>
      <c r="Q1533" s="11"/>
      <c r="R1533" s="11"/>
      <c r="S1533" s="12"/>
      <c r="T1533" s="8"/>
      <c r="U1533" s="8" t="s">
        <v>161</v>
      </c>
      <c r="V1533" s="13" t="s">
        <v>38</v>
      </c>
      <c r="W1533" s="13" t="s">
        <v>7752</v>
      </c>
      <c r="X1533" s="12"/>
      <c r="Y1533" s="14"/>
      <c r="Z1533" s="14"/>
    </row>
    <row r="1534">
      <c r="A1534" s="8" t="s">
        <v>7753</v>
      </c>
      <c r="B1534" s="8" t="s">
        <v>7754</v>
      </c>
      <c r="C1534" s="8" t="s">
        <v>179</v>
      </c>
      <c r="D1534" s="8" t="s">
        <v>26</v>
      </c>
      <c r="E1534" s="8" t="s">
        <v>7755</v>
      </c>
      <c r="F1534" s="8">
        <v>5.31251821E9</v>
      </c>
      <c r="G1534" s="8" t="s">
        <v>31</v>
      </c>
      <c r="H1534" s="8" t="s">
        <v>542</v>
      </c>
      <c r="I1534" s="8" t="s">
        <v>109</v>
      </c>
      <c r="J1534" s="8" t="s">
        <v>875</v>
      </c>
      <c r="K1534" s="10" t="s">
        <v>7756</v>
      </c>
      <c r="L1534" s="8" t="s">
        <v>34</v>
      </c>
      <c r="M1534" s="8" t="s">
        <v>70</v>
      </c>
      <c r="N1534" s="11">
        <v>45022.0</v>
      </c>
      <c r="O1534" s="11">
        <v>45082.0</v>
      </c>
      <c r="P1534" s="11">
        <v>45448.0</v>
      </c>
      <c r="Q1534" s="11"/>
      <c r="R1534" s="11"/>
      <c r="S1534" s="12"/>
      <c r="T1534" s="8" t="s">
        <v>1187</v>
      </c>
      <c r="U1534" s="8" t="s">
        <v>7757</v>
      </c>
      <c r="V1534" s="13" t="s">
        <v>6229</v>
      </c>
      <c r="W1534" s="13" t="s">
        <v>7758</v>
      </c>
      <c r="X1534" s="12"/>
      <c r="Y1534" s="14"/>
      <c r="Z1534" s="14"/>
    </row>
    <row r="1535">
      <c r="A1535" s="8" t="s">
        <v>7759</v>
      </c>
      <c r="B1535" s="8" t="s">
        <v>7760</v>
      </c>
      <c r="C1535" s="8" t="s">
        <v>251</v>
      </c>
      <c r="D1535" s="8" t="s">
        <v>26</v>
      </c>
      <c r="E1535" s="8" t="s">
        <v>7761</v>
      </c>
      <c r="F1535" s="8">
        <v>7.17717818E8</v>
      </c>
      <c r="G1535" s="8" t="s">
        <v>399</v>
      </c>
      <c r="H1535" s="8" t="s">
        <v>415</v>
      </c>
      <c r="I1535" s="8" t="s">
        <v>31</v>
      </c>
      <c r="J1535" s="8" t="s">
        <v>438</v>
      </c>
      <c r="K1535" s="10" t="s">
        <v>4534</v>
      </c>
      <c r="L1535" s="8" t="s">
        <v>47</v>
      </c>
      <c r="M1535" s="8" t="s">
        <v>70</v>
      </c>
      <c r="N1535" s="11">
        <v>45022.0</v>
      </c>
      <c r="O1535" s="11">
        <v>45170.0</v>
      </c>
      <c r="P1535" s="11">
        <v>45535.0</v>
      </c>
      <c r="Q1535" s="11"/>
      <c r="R1535" s="11"/>
      <c r="S1535" s="12"/>
      <c r="T1535" s="8"/>
      <c r="U1535" s="8" t="s">
        <v>246</v>
      </c>
      <c r="V1535" s="13" t="s">
        <v>417</v>
      </c>
      <c r="W1535" s="13" t="s">
        <v>7762</v>
      </c>
      <c r="X1535" s="12"/>
      <c r="Y1535" s="14"/>
      <c r="Z1535" s="14"/>
    </row>
    <row r="1536">
      <c r="A1536" s="8" t="s">
        <v>7763</v>
      </c>
      <c r="B1536" s="8" t="s">
        <v>7764</v>
      </c>
      <c r="C1536" s="8" t="s">
        <v>25</v>
      </c>
      <c r="D1536" s="8" t="s">
        <v>26</v>
      </c>
      <c r="E1536" s="8" t="s">
        <v>7765</v>
      </c>
      <c r="F1536" s="8">
        <v>5.434311954E9</v>
      </c>
      <c r="G1536" s="8" t="s">
        <v>31</v>
      </c>
      <c r="H1536" s="8" t="s">
        <v>111</v>
      </c>
      <c r="I1536" s="8" t="s">
        <v>100</v>
      </c>
      <c r="J1536" s="8" t="s">
        <v>3016</v>
      </c>
      <c r="K1536" s="10" t="s">
        <v>7766</v>
      </c>
      <c r="L1536" s="8" t="s">
        <v>58</v>
      </c>
      <c r="M1536" s="8" t="s">
        <v>35</v>
      </c>
      <c r="N1536" s="11">
        <v>45022.0</v>
      </c>
      <c r="O1536" s="11">
        <v>45033.0</v>
      </c>
      <c r="P1536" s="11">
        <v>45075.0</v>
      </c>
      <c r="Q1536" s="11">
        <v>45034.0</v>
      </c>
      <c r="R1536" s="11">
        <v>45075.0</v>
      </c>
      <c r="S1536" s="12"/>
      <c r="T1536" s="8"/>
      <c r="U1536" s="8" t="s">
        <v>88</v>
      </c>
      <c r="V1536" s="13" t="s">
        <v>111</v>
      </c>
      <c r="W1536" s="13" t="s">
        <v>7767</v>
      </c>
      <c r="X1536" s="12"/>
      <c r="Y1536" s="14"/>
      <c r="Z1536" s="14"/>
    </row>
    <row r="1537">
      <c r="A1537" s="8" t="s">
        <v>7768</v>
      </c>
      <c r="B1537" s="8" t="s">
        <v>7769</v>
      </c>
      <c r="C1537" s="8" t="s">
        <v>179</v>
      </c>
      <c r="D1537" s="8" t="s">
        <v>26</v>
      </c>
      <c r="E1537" s="8" t="s">
        <v>7770</v>
      </c>
      <c r="F1537" s="8">
        <v>5.532505026E9</v>
      </c>
      <c r="G1537" s="8" t="s">
        <v>31</v>
      </c>
      <c r="H1537" s="8" t="s">
        <v>220</v>
      </c>
      <c r="I1537" s="8" t="s">
        <v>284</v>
      </c>
      <c r="J1537" s="8" t="s">
        <v>285</v>
      </c>
      <c r="K1537" s="10" t="s">
        <v>7771</v>
      </c>
      <c r="L1537" s="8" t="s">
        <v>58</v>
      </c>
      <c r="M1537" s="8" t="s">
        <v>35</v>
      </c>
      <c r="N1537" s="11">
        <v>45023.0</v>
      </c>
      <c r="O1537" s="11">
        <v>45108.0</v>
      </c>
      <c r="P1537" s="11">
        <v>45150.0</v>
      </c>
      <c r="Q1537" s="11"/>
      <c r="R1537" s="11"/>
      <c r="S1537" s="12"/>
      <c r="T1537" s="8"/>
      <c r="U1537" s="8" t="s">
        <v>185</v>
      </c>
      <c r="V1537" s="13" t="s">
        <v>220</v>
      </c>
      <c r="W1537" s="13" t="s">
        <v>7772</v>
      </c>
      <c r="X1537" s="12"/>
      <c r="Y1537" s="14"/>
      <c r="Z1537" s="14"/>
    </row>
    <row r="1538">
      <c r="A1538" s="8" t="s">
        <v>7773</v>
      </c>
      <c r="B1538" s="8" t="s">
        <v>7774</v>
      </c>
      <c r="C1538" s="8" t="s">
        <v>25</v>
      </c>
      <c r="D1538" s="8" t="s">
        <v>26</v>
      </c>
      <c r="E1538" s="8" t="s">
        <v>7775</v>
      </c>
      <c r="F1538" s="8">
        <v>5.525501807E9</v>
      </c>
      <c r="G1538" s="8" t="s">
        <v>31</v>
      </c>
      <c r="H1538" s="8" t="s">
        <v>220</v>
      </c>
      <c r="I1538" s="8" t="s">
        <v>284</v>
      </c>
      <c r="J1538" s="8" t="s">
        <v>300</v>
      </c>
      <c r="K1538" s="10" t="s">
        <v>7032</v>
      </c>
      <c r="L1538" s="8" t="s">
        <v>58</v>
      </c>
      <c r="M1538" s="8" t="s">
        <v>35</v>
      </c>
      <c r="N1538" s="11">
        <v>45023.0</v>
      </c>
      <c r="O1538" s="11">
        <v>45139.0</v>
      </c>
      <c r="P1538" s="11">
        <v>45181.0</v>
      </c>
      <c r="Q1538" s="11">
        <v>45139.0</v>
      </c>
      <c r="R1538" s="11">
        <v>45181.0</v>
      </c>
      <c r="S1538" s="12"/>
      <c r="T1538" s="8"/>
      <c r="U1538" s="8" t="s">
        <v>153</v>
      </c>
      <c r="V1538" s="13" t="s">
        <v>220</v>
      </c>
      <c r="W1538" s="13" t="s">
        <v>7776</v>
      </c>
      <c r="X1538" s="12"/>
      <c r="Y1538" s="14"/>
      <c r="Z1538" s="14"/>
    </row>
    <row r="1539">
      <c r="A1539" s="8" t="s">
        <v>7777</v>
      </c>
      <c r="B1539" s="8" t="s">
        <v>7778</v>
      </c>
      <c r="C1539" s="8" t="s">
        <v>25</v>
      </c>
      <c r="D1539" s="8" t="s">
        <v>26</v>
      </c>
      <c r="E1539" s="8" t="s">
        <v>7779</v>
      </c>
      <c r="F1539" s="8" t="s">
        <v>7780</v>
      </c>
      <c r="G1539" s="8" t="s">
        <v>31</v>
      </c>
      <c r="H1539" s="8" t="s">
        <v>220</v>
      </c>
      <c r="I1539" s="8" t="s">
        <v>284</v>
      </c>
      <c r="J1539" s="8" t="s">
        <v>300</v>
      </c>
      <c r="K1539" s="10" t="s">
        <v>7032</v>
      </c>
      <c r="L1539" s="8" t="s">
        <v>58</v>
      </c>
      <c r="M1539" s="8" t="s">
        <v>35</v>
      </c>
      <c r="N1539" s="11">
        <v>45023.0</v>
      </c>
      <c r="O1539" s="11">
        <v>45139.0</v>
      </c>
      <c r="P1539" s="11">
        <v>45181.0</v>
      </c>
      <c r="Q1539" s="11">
        <v>45139.0</v>
      </c>
      <c r="R1539" s="11">
        <v>45181.0</v>
      </c>
      <c r="S1539" s="12"/>
      <c r="T1539" s="8"/>
      <c r="U1539" s="8" t="s">
        <v>153</v>
      </c>
      <c r="V1539" s="13" t="s">
        <v>220</v>
      </c>
      <c r="W1539" s="13" t="s">
        <v>7781</v>
      </c>
      <c r="X1539" s="12"/>
      <c r="Y1539" s="14"/>
      <c r="Z1539" s="14"/>
    </row>
    <row r="1540">
      <c r="A1540" s="8" t="s">
        <v>7782</v>
      </c>
      <c r="B1540" s="8" t="s">
        <v>7783</v>
      </c>
      <c r="C1540" s="8" t="s">
        <v>64</v>
      </c>
      <c r="D1540" s="8" t="s">
        <v>26</v>
      </c>
      <c r="E1540" s="8" t="s">
        <v>7784</v>
      </c>
      <c r="F1540" s="8">
        <v>5.51183687E9</v>
      </c>
      <c r="G1540" s="8" t="s">
        <v>31</v>
      </c>
      <c r="H1540" s="8" t="s">
        <v>86</v>
      </c>
      <c r="I1540" s="8" t="s">
        <v>284</v>
      </c>
      <c r="J1540" s="8" t="s">
        <v>589</v>
      </c>
      <c r="K1540" s="10" t="s">
        <v>7785</v>
      </c>
      <c r="L1540" s="8" t="s">
        <v>58</v>
      </c>
      <c r="M1540" s="8" t="s">
        <v>35</v>
      </c>
      <c r="N1540" s="11">
        <v>45023.0</v>
      </c>
      <c r="O1540" s="11">
        <v>45108.0</v>
      </c>
      <c r="P1540" s="11">
        <v>45150.0</v>
      </c>
      <c r="Q1540" s="11">
        <v>45107.0</v>
      </c>
      <c r="R1540" s="11">
        <v>45150.0</v>
      </c>
      <c r="S1540" s="12"/>
      <c r="T1540" s="8"/>
      <c r="U1540" s="8" t="s">
        <v>185</v>
      </c>
      <c r="V1540" s="13" t="s">
        <v>175</v>
      </c>
      <c r="W1540" s="13" t="s">
        <v>7786</v>
      </c>
      <c r="X1540" s="12"/>
      <c r="Y1540" s="14"/>
      <c r="Z1540" s="14"/>
    </row>
    <row r="1541">
      <c r="A1541" s="8" t="s">
        <v>7787</v>
      </c>
      <c r="B1541" s="8" t="s">
        <v>7788</v>
      </c>
      <c r="C1541" s="8" t="s">
        <v>179</v>
      </c>
      <c r="D1541" s="8" t="s">
        <v>26</v>
      </c>
      <c r="E1541" s="8" t="s">
        <v>7789</v>
      </c>
      <c r="F1541" s="8" t="s">
        <v>7790</v>
      </c>
      <c r="G1541" s="8" t="s">
        <v>31</v>
      </c>
      <c r="H1541" s="8" t="s">
        <v>220</v>
      </c>
      <c r="I1541" s="8" t="s">
        <v>284</v>
      </c>
      <c r="J1541" s="8" t="s">
        <v>300</v>
      </c>
      <c r="K1541" s="10" t="s">
        <v>7032</v>
      </c>
      <c r="L1541" s="8" t="s">
        <v>58</v>
      </c>
      <c r="M1541" s="8" t="s">
        <v>35</v>
      </c>
      <c r="N1541" s="11">
        <v>45023.0</v>
      </c>
      <c r="O1541" s="11">
        <v>45139.0</v>
      </c>
      <c r="P1541" s="11">
        <v>45181.0</v>
      </c>
      <c r="Q1541" s="11"/>
      <c r="R1541" s="11"/>
      <c r="S1541" s="12"/>
      <c r="T1541" s="8"/>
      <c r="U1541" s="8" t="s">
        <v>153</v>
      </c>
      <c r="V1541" s="13" t="s">
        <v>220</v>
      </c>
      <c r="W1541" s="13" t="s">
        <v>7791</v>
      </c>
      <c r="X1541" s="12"/>
      <c r="Y1541" s="14"/>
      <c r="Z1541" s="14"/>
    </row>
    <row r="1542">
      <c r="A1542" s="8" t="s">
        <v>7792</v>
      </c>
      <c r="B1542" s="8" t="s">
        <v>7793</v>
      </c>
      <c r="C1542" s="8" t="s">
        <v>25</v>
      </c>
      <c r="D1542" s="8" t="s">
        <v>26</v>
      </c>
      <c r="E1542" s="8" t="s">
        <v>7794</v>
      </c>
      <c r="F1542" s="8">
        <v>5.378228401E9</v>
      </c>
      <c r="G1542" s="8" t="s">
        <v>31</v>
      </c>
      <c r="H1542" s="8" t="s">
        <v>86</v>
      </c>
      <c r="I1542" s="8" t="s">
        <v>284</v>
      </c>
      <c r="J1542" s="8" t="s">
        <v>589</v>
      </c>
      <c r="K1542" s="10" t="s">
        <v>6146</v>
      </c>
      <c r="L1542" s="8" t="s">
        <v>58</v>
      </c>
      <c r="M1542" s="8" t="s">
        <v>35</v>
      </c>
      <c r="N1542" s="11">
        <v>45023.0</v>
      </c>
      <c r="O1542" s="11">
        <v>45122.0</v>
      </c>
      <c r="P1542" s="11">
        <v>45164.0</v>
      </c>
      <c r="Q1542" s="11">
        <v>45122.0</v>
      </c>
      <c r="R1542" s="11">
        <v>45164.0</v>
      </c>
      <c r="S1542" s="12"/>
      <c r="T1542" s="8"/>
      <c r="U1542" s="8" t="s">
        <v>1038</v>
      </c>
      <c r="V1542" s="13" t="s">
        <v>175</v>
      </c>
      <c r="W1542" s="13" t="s">
        <v>7795</v>
      </c>
      <c r="X1542" s="12"/>
      <c r="Y1542" s="14"/>
      <c r="Z1542" s="14"/>
    </row>
    <row r="1543">
      <c r="A1543" s="8" t="s">
        <v>7796</v>
      </c>
      <c r="B1543" s="8" t="s">
        <v>7797</v>
      </c>
      <c r="C1543" s="8" t="s">
        <v>25</v>
      </c>
      <c r="D1543" s="8" t="s">
        <v>26</v>
      </c>
      <c r="E1543" s="8" t="s">
        <v>7798</v>
      </c>
      <c r="F1543" s="8">
        <v>5.6648439E7</v>
      </c>
      <c r="G1543" s="8" t="s">
        <v>54</v>
      </c>
      <c r="H1543" s="8" t="s">
        <v>430</v>
      </c>
      <c r="I1543" s="8" t="s">
        <v>31</v>
      </c>
      <c r="J1543" s="8" t="s">
        <v>292</v>
      </c>
      <c r="K1543" s="10" t="s">
        <v>6742</v>
      </c>
      <c r="L1543" s="8" t="s">
        <v>58</v>
      </c>
      <c r="M1543" s="8" t="s">
        <v>35</v>
      </c>
      <c r="N1543" s="11">
        <v>45023.0</v>
      </c>
      <c r="O1543" s="11">
        <v>45110.0</v>
      </c>
      <c r="P1543" s="11">
        <v>45152.0</v>
      </c>
      <c r="Q1543" s="11">
        <v>45111.0</v>
      </c>
      <c r="R1543" s="11">
        <v>45152.0</v>
      </c>
      <c r="S1543" s="12"/>
      <c r="T1543" s="8"/>
      <c r="U1543" s="8" t="s">
        <v>88</v>
      </c>
      <c r="V1543" s="13" t="s">
        <v>431</v>
      </c>
      <c r="W1543" s="13" t="s">
        <v>7799</v>
      </c>
      <c r="X1543" s="12"/>
      <c r="Y1543" s="14"/>
      <c r="Z1543" s="14"/>
    </row>
    <row r="1544">
      <c r="A1544" s="8" t="s">
        <v>7800</v>
      </c>
      <c r="B1544" s="8" t="s">
        <v>7801</v>
      </c>
      <c r="C1544" s="8" t="s">
        <v>25</v>
      </c>
      <c r="D1544" s="8" t="s">
        <v>26</v>
      </c>
      <c r="E1544" s="8" t="s">
        <v>7802</v>
      </c>
      <c r="F1544" s="8">
        <v>5.061618735E9</v>
      </c>
      <c r="G1544" s="8" t="s">
        <v>31</v>
      </c>
      <c r="H1544" s="8" t="s">
        <v>86</v>
      </c>
      <c r="I1544" s="8" t="s">
        <v>284</v>
      </c>
      <c r="J1544" s="8" t="s">
        <v>589</v>
      </c>
      <c r="K1544" s="10" t="s">
        <v>6146</v>
      </c>
      <c r="L1544" s="8" t="s">
        <v>58</v>
      </c>
      <c r="M1544" s="8" t="s">
        <v>35</v>
      </c>
      <c r="N1544" s="11">
        <v>45023.0</v>
      </c>
      <c r="O1544" s="11">
        <v>45122.0</v>
      </c>
      <c r="P1544" s="11">
        <v>45164.0</v>
      </c>
      <c r="Q1544" s="11">
        <v>45122.0</v>
      </c>
      <c r="R1544" s="11">
        <v>45164.0</v>
      </c>
      <c r="S1544" s="12"/>
      <c r="T1544" s="8"/>
      <c r="U1544" s="8" t="s">
        <v>1038</v>
      </c>
      <c r="V1544" s="13" t="s">
        <v>175</v>
      </c>
      <c r="W1544" s="13" t="s">
        <v>7803</v>
      </c>
      <c r="X1544" s="12"/>
      <c r="Y1544" s="14"/>
      <c r="Z1544" s="14"/>
    </row>
    <row r="1545">
      <c r="A1545" s="8" t="s">
        <v>7804</v>
      </c>
      <c r="B1545" s="8" t="s">
        <v>7805</v>
      </c>
      <c r="C1545" s="8" t="s">
        <v>25</v>
      </c>
      <c r="D1545" s="8" t="s">
        <v>26</v>
      </c>
      <c r="E1545" s="8" t="s">
        <v>7806</v>
      </c>
      <c r="F1545" s="8" t="s">
        <v>7807</v>
      </c>
      <c r="G1545" s="8" t="s">
        <v>31</v>
      </c>
      <c r="H1545" s="8" t="s">
        <v>111</v>
      </c>
      <c r="I1545" s="8" t="s">
        <v>284</v>
      </c>
      <c r="J1545" s="8" t="s">
        <v>1422</v>
      </c>
      <c r="K1545" s="10" t="s">
        <v>7808</v>
      </c>
      <c r="L1545" s="8" t="s">
        <v>58</v>
      </c>
      <c r="M1545" s="8" t="s">
        <v>35</v>
      </c>
      <c r="N1545" s="11">
        <v>45023.0</v>
      </c>
      <c r="O1545" s="11">
        <v>45109.0</v>
      </c>
      <c r="P1545" s="11">
        <v>45151.0</v>
      </c>
      <c r="Q1545" s="11">
        <v>45107.0</v>
      </c>
      <c r="R1545" s="11">
        <v>45151.0</v>
      </c>
      <c r="S1545" s="12"/>
      <c r="T1545" s="8"/>
      <c r="U1545" s="8" t="s">
        <v>59</v>
      </c>
      <c r="V1545" s="13" t="s">
        <v>102</v>
      </c>
      <c r="W1545" s="13" t="s">
        <v>7809</v>
      </c>
      <c r="X1545" s="12"/>
      <c r="Y1545" s="14"/>
      <c r="Z1545" s="14"/>
    </row>
    <row r="1546">
      <c r="A1546" s="8" t="s">
        <v>7810</v>
      </c>
      <c r="B1546" s="8" t="s">
        <v>7811</v>
      </c>
      <c r="C1546" s="8" t="s">
        <v>179</v>
      </c>
      <c r="D1546" s="8" t="s">
        <v>26</v>
      </c>
      <c r="E1546" s="8" t="s">
        <v>7812</v>
      </c>
      <c r="F1546" s="8">
        <v>1.090751253E9</v>
      </c>
      <c r="G1546" s="8" t="s">
        <v>284</v>
      </c>
      <c r="H1546" s="8" t="s">
        <v>691</v>
      </c>
      <c r="I1546" s="8" t="s">
        <v>31</v>
      </c>
      <c r="J1546" s="8" t="s">
        <v>220</v>
      </c>
      <c r="K1546" s="10" t="s">
        <v>2193</v>
      </c>
      <c r="L1546" s="8" t="s">
        <v>58</v>
      </c>
      <c r="M1546" s="8" t="s">
        <v>35</v>
      </c>
      <c r="N1546" s="11">
        <v>45023.0</v>
      </c>
      <c r="O1546" s="11">
        <v>45145.0</v>
      </c>
      <c r="P1546" s="11">
        <v>45187.0</v>
      </c>
      <c r="Q1546" s="11"/>
      <c r="R1546" s="11"/>
      <c r="S1546" s="12"/>
      <c r="T1546" s="8"/>
      <c r="U1546" s="8" t="s">
        <v>59</v>
      </c>
      <c r="V1546" s="13" t="s">
        <v>692</v>
      </c>
      <c r="W1546" s="13" t="s">
        <v>7813</v>
      </c>
      <c r="X1546" s="12"/>
      <c r="Y1546" s="14"/>
      <c r="Z1546" s="14"/>
    </row>
    <row r="1547">
      <c r="A1547" s="8" t="s">
        <v>7814</v>
      </c>
      <c r="B1547" s="8" t="s">
        <v>7815</v>
      </c>
      <c r="C1547" s="8" t="s">
        <v>25</v>
      </c>
      <c r="D1547" s="8" t="s">
        <v>26</v>
      </c>
      <c r="E1547" s="8" t="s">
        <v>7816</v>
      </c>
      <c r="F1547" s="8"/>
      <c r="G1547" s="8" t="s">
        <v>31</v>
      </c>
      <c r="H1547" s="8" t="s">
        <v>32</v>
      </c>
      <c r="I1547" s="8" t="s">
        <v>127</v>
      </c>
      <c r="J1547" s="8" t="s">
        <v>128</v>
      </c>
      <c r="K1547" s="10" t="s">
        <v>7817</v>
      </c>
      <c r="L1547" s="8" t="s">
        <v>58</v>
      </c>
      <c r="M1547" s="8" t="s">
        <v>35</v>
      </c>
      <c r="N1547" s="11">
        <v>45023.0</v>
      </c>
      <c r="O1547" s="11">
        <v>45096.0</v>
      </c>
      <c r="P1547" s="11">
        <v>45138.0</v>
      </c>
      <c r="Q1547" s="11">
        <v>45095.0</v>
      </c>
      <c r="R1547" s="11">
        <v>45138.0</v>
      </c>
      <c r="S1547" s="12"/>
      <c r="T1547" s="8"/>
      <c r="U1547" s="8" t="s">
        <v>185</v>
      </c>
      <c r="V1547" s="13" t="s">
        <v>38</v>
      </c>
      <c r="W1547" s="13" t="s">
        <v>7818</v>
      </c>
      <c r="X1547" s="12"/>
      <c r="Y1547" s="14"/>
      <c r="Z1547" s="14"/>
    </row>
    <row r="1548">
      <c r="A1548" s="8" t="s">
        <v>7819</v>
      </c>
      <c r="B1548" s="8" t="s">
        <v>7820</v>
      </c>
      <c r="C1548" s="8" t="s">
        <v>64</v>
      </c>
      <c r="D1548" s="8" t="s">
        <v>26</v>
      </c>
      <c r="E1548" s="8" t="s">
        <v>7821</v>
      </c>
      <c r="F1548" s="8">
        <v>5.5820757E8</v>
      </c>
      <c r="G1548" s="8" t="s">
        <v>2330</v>
      </c>
      <c r="H1548" s="8" t="s">
        <v>2331</v>
      </c>
      <c r="I1548" s="8" t="s">
        <v>31</v>
      </c>
      <c r="J1548" s="8" t="s">
        <v>167</v>
      </c>
      <c r="K1548" s="10" t="s">
        <v>6867</v>
      </c>
      <c r="L1548" s="8" t="s">
        <v>58</v>
      </c>
      <c r="M1548" s="8" t="s">
        <v>35</v>
      </c>
      <c r="N1548" s="11">
        <v>45023.0</v>
      </c>
      <c r="O1548" s="11">
        <v>45124.0</v>
      </c>
      <c r="P1548" s="11">
        <v>45166.0</v>
      </c>
      <c r="Q1548" s="11">
        <v>45123.0</v>
      </c>
      <c r="R1548" s="11">
        <v>45166.0</v>
      </c>
      <c r="S1548" s="12"/>
      <c r="T1548" s="8"/>
      <c r="U1548" s="8" t="s">
        <v>88</v>
      </c>
      <c r="V1548" s="13" t="s">
        <v>7822</v>
      </c>
      <c r="W1548" s="13" t="s">
        <v>7823</v>
      </c>
      <c r="X1548" s="12"/>
      <c r="Y1548" s="14"/>
      <c r="Z1548" s="14"/>
    </row>
    <row r="1549">
      <c r="A1549" s="8" t="s">
        <v>7824</v>
      </c>
      <c r="B1549" s="8" t="s">
        <v>7825</v>
      </c>
      <c r="C1549" s="8" t="s">
        <v>25</v>
      </c>
      <c r="D1549" s="8" t="s">
        <v>26</v>
      </c>
      <c r="E1549" s="8" t="s">
        <v>7826</v>
      </c>
      <c r="F1549" s="8">
        <v>5.461023292E9</v>
      </c>
      <c r="G1549" s="8" t="s">
        <v>31</v>
      </c>
      <c r="H1549" s="8" t="s">
        <v>111</v>
      </c>
      <c r="I1549" s="8" t="s">
        <v>127</v>
      </c>
      <c r="J1549" s="8" t="s">
        <v>128</v>
      </c>
      <c r="K1549" s="10" t="s">
        <v>7827</v>
      </c>
      <c r="L1549" s="8" t="s">
        <v>58</v>
      </c>
      <c r="M1549" s="8" t="s">
        <v>35</v>
      </c>
      <c r="N1549" s="11">
        <v>45023.0</v>
      </c>
      <c r="O1549" s="11">
        <v>45124.0</v>
      </c>
      <c r="P1549" s="11">
        <v>45166.0</v>
      </c>
      <c r="Q1549" s="11">
        <v>45124.0</v>
      </c>
      <c r="R1549" s="11">
        <v>45166.0</v>
      </c>
      <c r="S1549" s="12"/>
      <c r="T1549" s="8"/>
      <c r="U1549" s="8" t="s">
        <v>185</v>
      </c>
      <c r="V1549" s="13" t="s">
        <v>77</v>
      </c>
      <c r="W1549" s="13" t="s">
        <v>7828</v>
      </c>
      <c r="X1549" s="12"/>
      <c r="Y1549" s="14"/>
      <c r="Z1549" s="14"/>
    </row>
    <row r="1550">
      <c r="A1550" s="8" t="s">
        <v>7829</v>
      </c>
      <c r="B1550" s="8" t="s">
        <v>7830</v>
      </c>
      <c r="C1550" s="8" t="s">
        <v>25</v>
      </c>
      <c r="D1550" s="8" t="s">
        <v>26</v>
      </c>
      <c r="E1550" s="8" t="s">
        <v>7831</v>
      </c>
      <c r="F1550" s="8"/>
      <c r="G1550" s="8" t="s">
        <v>31</v>
      </c>
      <c r="H1550" s="8" t="s">
        <v>56</v>
      </c>
      <c r="I1550" s="8" t="s">
        <v>127</v>
      </c>
      <c r="J1550" s="8" t="s">
        <v>128</v>
      </c>
      <c r="K1550" s="10" t="s">
        <v>7832</v>
      </c>
      <c r="L1550" s="8" t="s">
        <v>58</v>
      </c>
      <c r="M1550" s="8" t="s">
        <v>35</v>
      </c>
      <c r="N1550" s="11">
        <v>45023.0</v>
      </c>
      <c r="O1550" s="11">
        <v>45096.0</v>
      </c>
      <c r="P1550" s="11">
        <v>45138.0</v>
      </c>
      <c r="Q1550" s="11">
        <v>45096.0</v>
      </c>
      <c r="R1550" s="11">
        <v>45138.0</v>
      </c>
      <c r="S1550" s="12"/>
      <c r="T1550" s="8"/>
      <c r="U1550" s="8" t="s">
        <v>59</v>
      </c>
      <c r="V1550" s="13" t="s">
        <v>38</v>
      </c>
      <c r="W1550" s="13" t="s">
        <v>7833</v>
      </c>
      <c r="X1550" s="12"/>
      <c r="Y1550" s="14"/>
      <c r="Z1550" s="14"/>
    </row>
    <row r="1551">
      <c r="A1551" s="8" t="s">
        <v>7834</v>
      </c>
      <c r="B1551" s="8" t="s">
        <v>7835</v>
      </c>
      <c r="C1551" s="8" t="s">
        <v>708</v>
      </c>
      <c r="D1551" s="8" t="s">
        <v>26</v>
      </c>
      <c r="E1551" s="8" t="s">
        <v>7836</v>
      </c>
      <c r="F1551" s="8">
        <v>1.204512435E9</v>
      </c>
      <c r="G1551" s="8" t="s">
        <v>284</v>
      </c>
      <c r="H1551" s="8" t="s">
        <v>673</v>
      </c>
      <c r="I1551" s="8" t="s">
        <v>31</v>
      </c>
      <c r="J1551" s="8" t="s">
        <v>66</v>
      </c>
      <c r="K1551" s="10" t="s">
        <v>4068</v>
      </c>
      <c r="L1551" s="8" t="s">
        <v>47</v>
      </c>
      <c r="M1551" s="8" t="s">
        <v>70</v>
      </c>
      <c r="N1551" s="11">
        <v>45024.0</v>
      </c>
      <c r="O1551" s="11">
        <v>45078.0</v>
      </c>
      <c r="P1551" s="11">
        <v>45444.0</v>
      </c>
      <c r="Q1551" s="11">
        <v>45090.0</v>
      </c>
      <c r="R1551" s="11">
        <v>45455.0</v>
      </c>
      <c r="S1551" s="12"/>
      <c r="T1551" s="8"/>
      <c r="U1551" s="8" t="s">
        <v>4069</v>
      </c>
      <c r="V1551" s="13" t="s">
        <v>674</v>
      </c>
      <c r="W1551" s="13" t="s">
        <v>7837</v>
      </c>
      <c r="X1551" s="12"/>
      <c r="Y1551" s="14"/>
      <c r="Z1551" s="14"/>
    </row>
    <row r="1552">
      <c r="A1552" s="8" t="s">
        <v>7838</v>
      </c>
      <c r="B1552" s="8" t="s">
        <v>7839</v>
      </c>
      <c r="C1552" s="8" t="s">
        <v>25</v>
      </c>
      <c r="D1552" s="8" t="s">
        <v>26</v>
      </c>
      <c r="E1552" s="8" t="s">
        <v>7840</v>
      </c>
      <c r="F1552" s="8">
        <v>5.373076363E9</v>
      </c>
      <c r="G1552" s="8" t="s">
        <v>31</v>
      </c>
      <c r="H1552" s="8" t="s">
        <v>256</v>
      </c>
      <c r="I1552" s="8" t="s">
        <v>127</v>
      </c>
      <c r="J1552" s="8" t="s">
        <v>3006</v>
      </c>
      <c r="K1552" s="10" t="s">
        <v>7841</v>
      </c>
      <c r="L1552" s="8" t="s">
        <v>58</v>
      </c>
      <c r="M1552" s="8" t="s">
        <v>35</v>
      </c>
      <c r="N1552" s="11">
        <v>45024.0</v>
      </c>
      <c r="O1552" s="11">
        <v>45047.0</v>
      </c>
      <c r="P1552" s="11">
        <v>45089.0</v>
      </c>
      <c r="Q1552" s="11">
        <v>45047.0</v>
      </c>
      <c r="R1552" s="11">
        <v>45089.0</v>
      </c>
      <c r="S1552" s="12"/>
      <c r="T1552" s="8"/>
      <c r="U1552" s="8" t="s">
        <v>1956</v>
      </c>
      <c r="V1552" s="13" t="s">
        <v>256</v>
      </c>
      <c r="W1552" s="13" t="s">
        <v>7842</v>
      </c>
      <c r="X1552" s="12"/>
      <c r="Y1552" s="14"/>
      <c r="Z1552" s="14"/>
    </row>
    <row r="1553">
      <c r="A1553" s="8" t="s">
        <v>7843</v>
      </c>
      <c r="B1553" s="8" t="s">
        <v>7844</v>
      </c>
      <c r="C1553" s="8" t="s">
        <v>708</v>
      </c>
      <c r="D1553" s="8" t="s">
        <v>26</v>
      </c>
      <c r="E1553" s="8" t="s">
        <v>7845</v>
      </c>
      <c r="F1553" s="8">
        <v>9.51214971E9</v>
      </c>
      <c r="G1553" s="8" t="s">
        <v>6087</v>
      </c>
      <c r="H1553" s="8" t="s">
        <v>6840</v>
      </c>
      <c r="I1553" s="8" t="s">
        <v>31</v>
      </c>
      <c r="J1553" s="8" t="s">
        <v>111</v>
      </c>
      <c r="K1553" s="10" t="s">
        <v>910</v>
      </c>
      <c r="L1553" s="8" t="s">
        <v>47</v>
      </c>
      <c r="M1553" s="8" t="s">
        <v>70</v>
      </c>
      <c r="N1553" s="11">
        <v>45024.0</v>
      </c>
      <c r="O1553" s="11">
        <v>45145.0</v>
      </c>
      <c r="P1553" s="11">
        <v>45511.0</v>
      </c>
      <c r="Q1553" s="11">
        <v>45146.0</v>
      </c>
      <c r="R1553" s="11">
        <v>45512.0</v>
      </c>
      <c r="S1553" s="12"/>
      <c r="T1553" s="8"/>
      <c r="U1553" s="8" t="s">
        <v>246</v>
      </c>
      <c r="V1553" s="13" t="s">
        <v>6843</v>
      </c>
      <c r="W1553" s="13" t="s">
        <v>7846</v>
      </c>
      <c r="X1553" s="12"/>
      <c r="Y1553" s="14"/>
      <c r="Z1553" s="14"/>
    </row>
    <row r="1554">
      <c r="A1554" s="8" t="s">
        <v>7847</v>
      </c>
      <c r="B1554" s="8" t="s">
        <v>7848</v>
      </c>
      <c r="C1554" s="8" t="s">
        <v>179</v>
      </c>
      <c r="D1554" s="8" t="s">
        <v>26</v>
      </c>
      <c r="E1554" s="8" t="s">
        <v>7849</v>
      </c>
      <c r="F1554" s="8">
        <v>7.217671164E9</v>
      </c>
      <c r="G1554" s="8" t="s">
        <v>44</v>
      </c>
      <c r="H1554" s="8" t="s">
        <v>990</v>
      </c>
      <c r="I1554" s="8" t="s">
        <v>31</v>
      </c>
      <c r="J1554" s="8" t="s">
        <v>32</v>
      </c>
      <c r="K1554" s="10" t="s">
        <v>7850</v>
      </c>
      <c r="L1554" s="8" t="s">
        <v>58</v>
      </c>
      <c r="M1554" s="8" t="s">
        <v>35</v>
      </c>
      <c r="N1554" s="11">
        <v>45024.0</v>
      </c>
      <c r="O1554" s="11">
        <v>45054.0</v>
      </c>
      <c r="P1554" s="11">
        <v>45096.0</v>
      </c>
      <c r="Q1554" s="11"/>
      <c r="R1554" s="11"/>
      <c r="S1554" s="12"/>
      <c r="T1554" s="8"/>
      <c r="U1554" s="8" t="s">
        <v>161</v>
      </c>
      <c r="V1554" s="13" t="s">
        <v>7851</v>
      </c>
      <c r="W1554" s="13" t="s">
        <v>7852</v>
      </c>
      <c r="X1554" s="12"/>
      <c r="Y1554" s="14"/>
      <c r="Z1554" s="14"/>
    </row>
    <row r="1555">
      <c r="A1555" s="8" t="s">
        <v>7853</v>
      </c>
      <c r="B1555" s="8" t="s">
        <v>7854</v>
      </c>
      <c r="C1555" s="8" t="s">
        <v>251</v>
      </c>
      <c r="D1555" s="8" t="s">
        <v>26</v>
      </c>
      <c r="E1555" s="8" t="s">
        <v>7855</v>
      </c>
      <c r="F1555" s="8"/>
      <c r="G1555" s="8" t="s">
        <v>44</v>
      </c>
      <c r="H1555" s="8" t="s">
        <v>741</v>
      </c>
      <c r="I1555" s="8" t="s">
        <v>31</v>
      </c>
      <c r="J1555" s="8" t="s">
        <v>32</v>
      </c>
      <c r="K1555" s="10" t="s">
        <v>5791</v>
      </c>
      <c r="L1555" s="8" t="s">
        <v>58</v>
      </c>
      <c r="M1555" s="8" t="s">
        <v>35</v>
      </c>
      <c r="N1555" s="11">
        <v>45024.0</v>
      </c>
      <c r="O1555" s="11">
        <v>45046.0</v>
      </c>
      <c r="P1555" s="11">
        <v>45088.0</v>
      </c>
      <c r="Q1555" s="11"/>
      <c r="R1555" s="11"/>
      <c r="S1555" s="12"/>
      <c r="T1555" s="8"/>
      <c r="U1555" s="8" t="s">
        <v>59</v>
      </c>
      <c r="V1555" s="13" t="s">
        <v>7856</v>
      </c>
      <c r="W1555" s="13" t="s">
        <v>7857</v>
      </c>
      <c r="X1555" s="12"/>
      <c r="Y1555" s="14"/>
      <c r="Z1555" s="14"/>
    </row>
    <row r="1556">
      <c r="A1556" s="8" t="s">
        <v>7858</v>
      </c>
      <c r="B1556" s="8" t="s">
        <v>7859</v>
      </c>
      <c r="C1556" s="8" t="s">
        <v>25</v>
      </c>
      <c r="D1556" s="8" t="s">
        <v>26</v>
      </c>
      <c r="E1556" s="8" t="s">
        <v>7860</v>
      </c>
      <c r="F1556" s="8"/>
      <c r="G1556" s="8" t="s">
        <v>31</v>
      </c>
      <c r="H1556" s="8" t="s">
        <v>86</v>
      </c>
      <c r="I1556" s="8" t="s">
        <v>277</v>
      </c>
      <c r="J1556" s="8" t="s">
        <v>278</v>
      </c>
      <c r="K1556" s="10" t="s">
        <v>7861</v>
      </c>
      <c r="L1556" s="8" t="s">
        <v>58</v>
      </c>
      <c r="M1556" s="8" t="s">
        <v>35</v>
      </c>
      <c r="N1556" s="11">
        <v>45024.0</v>
      </c>
      <c r="O1556" s="11">
        <v>45110.0</v>
      </c>
      <c r="P1556" s="11">
        <v>45152.0</v>
      </c>
      <c r="Q1556" s="11">
        <v>45110.0</v>
      </c>
      <c r="R1556" s="11">
        <v>45152.0</v>
      </c>
      <c r="S1556" s="12"/>
      <c r="T1556" s="8"/>
      <c r="U1556" s="8" t="s">
        <v>88</v>
      </c>
      <c r="V1556" s="13" t="s">
        <v>38</v>
      </c>
      <c r="W1556" s="13" t="s">
        <v>7862</v>
      </c>
      <c r="X1556" s="12"/>
      <c r="Y1556" s="14"/>
      <c r="Z1556" s="14"/>
    </row>
    <row r="1557">
      <c r="A1557" s="8" t="s">
        <v>7863</v>
      </c>
      <c r="B1557" s="8" t="s">
        <v>7864</v>
      </c>
      <c r="C1557" s="8" t="s">
        <v>25</v>
      </c>
      <c r="D1557" s="8" t="s">
        <v>26</v>
      </c>
      <c r="E1557" s="8" t="s">
        <v>7865</v>
      </c>
      <c r="F1557" s="8">
        <v>7.02121102E9</v>
      </c>
      <c r="G1557" s="8" t="s">
        <v>496</v>
      </c>
      <c r="H1557" s="8" t="s">
        <v>2112</v>
      </c>
      <c r="I1557" s="8" t="s">
        <v>31</v>
      </c>
      <c r="J1557" s="8" t="s">
        <v>256</v>
      </c>
      <c r="K1557" s="10" t="s">
        <v>2775</v>
      </c>
      <c r="L1557" s="8" t="s">
        <v>58</v>
      </c>
      <c r="M1557" s="8" t="s">
        <v>35</v>
      </c>
      <c r="N1557" s="11">
        <v>45024.0</v>
      </c>
      <c r="O1557" s="11">
        <v>45097.0</v>
      </c>
      <c r="P1557" s="11">
        <v>45139.0</v>
      </c>
      <c r="Q1557" s="11">
        <v>45107.0</v>
      </c>
      <c r="R1557" s="11">
        <v>45149.0</v>
      </c>
      <c r="S1557" s="12"/>
      <c r="T1557" s="8"/>
      <c r="U1557" s="8" t="s">
        <v>59</v>
      </c>
      <c r="V1557" s="13" t="s">
        <v>2776</v>
      </c>
      <c r="W1557" s="13" t="s">
        <v>7866</v>
      </c>
      <c r="X1557" s="12"/>
      <c r="Y1557" s="14"/>
      <c r="Z1557" s="14"/>
    </row>
    <row r="1558">
      <c r="A1558" s="8" t="s">
        <v>7867</v>
      </c>
      <c r="B1558" s="8" t="s">
        <v>7868</v>
      </c>
      <c r="C1558" s="8" t="s">
        <v>25</v>
      </c>
      <c r="D1558" s="8" t="s">
        <v>26</v>
      </c>
      <c r="E1558" s="8" t="s">
        <v>7869</v>
      </c>
      <c r="F1558" s="8">
        <v>7.081835809E9</v>
      </c>
      <c r="G1558" s="8" t="s">
        <v>496</v>
      </c>
      <c r="H1558" s="8" t="s">
        <v>497</v>
      </c>
      <c r="I1558" s="8" t="s">
        <v>31</v>
      </c>
      <c r="J1558" s="8" t="s">
        <v>86</v>
      </c>
      <c r="K1558" s="10" t="s">
        <v>87</v>
      </c>
      <c r="L1558" s="8" t="s">
        <v>58</v>
      </c>
      <c r="M1558" s="8" t="s">
        <v>35</v>
      </c>
      <c r="N1558" s="11">
        <v>45024.0</v>
      </c>
      <c r="O1558" s="11">
        <v>45057.0</v>
      </c>
      <c r="P1558" s="11">
        <v>45099.0</v>
      </c>
      <c r="Q1558" s="11">
        <v>45061.0</v>
      </c>
      <c r="R1558" s="11">
        <v>45103.0</v>
      </c>
      <c r="S1558" s="12"/>
      <c r="T1558" s="8"/>
      <c r="U1558" s="8" t="s">
        <v>88</v>
      </c>
      <c r="V1558" s="13" t="s">
        <v>7659</v>
      </c>
      <c r="W1558" s="13" t="s">
        <v>7870</v>
      </c>
      <c r="X1558" s="12"/>
      <c r="Y1558" s="14"/>
      <c r="Z1558" s="14"/>
    </row>
    <row r="1559">
      <c r="A1559" s="8" t="s">
        <v>7871</v>
      </c>
      <c r="B1559" s="8" t="s">
        <v>7872</v>
      </c>
      <c r="C1559" s="8" t="s">
        <v>25</v>
      </c>
      <c r="D1559" s="8" t="s">
        <v>26</v>
      </c>
      <c r="E1559" s="8" t="s">
        <v>7873</v>
      </c>
      <c r="F1559" s="8">
        <v>5.443434741E9</v>
      </c>
      <c r="G1559" s="8" t="s">
        <v>31</v>
      </c>
      <c r="H1559" s="8" t="s">
        <v>111</v>
      </c>
      <c r="I1559" s="8" t="s">
        <v>284</v>
      </c>
      <c r="J1559" s="8" t="s">
        <v>589</v>
      </c>
      <c r="K1559" s="10" t="s">
        <v>6146</v>
      </c>
      <c r="L1559" s="8" t="s">
        <v>58</v>
      </c>
      <c r="M1559" s="8" t="s">
        <v>35</v>
      </c>
      <c r="N1559" s="11">
        <v>45025.0</v>
      </c>
      <c r="O1559" s="11">
        <v>45122.0</v>
      </c>
      <c r="P1559" s="11">
        <v>45164.0</v>
      </c>
      <c r="Q1559" s="11">
        <v>45125.0</v>
      </c>
      <c r="R1559" s="11">
        <v>45166.0</v>
      </c>
      <c r="S1559" s="12"/>
      <c r="T1559" s="8"/>
      <c r="U1559" s="8" t="s">
        <v>1038</v>
      </c>
      <c r="V1559" s="13" t="s">
        <v>77</v>
      </c>
      <c r="W1559" s="13" t="s">
        <v>7874</v>
      </c>
      <c r="X1559" s="12"/>
      <c r="Y1559" s="14"/>
      <c r="Z1559" s="14"/>
    </row>
    <row r="1560">
      <c r="A1560" s="8" t="s">
        <v>7875</v>
      </c>
      <c r="B1560" s="8" t="s">
        <v>7876</v>
      </c>
      <c r="C1560" s="8" t="s">
        <v>25</v>
      </c>
      <c r="D1560" s="8" t="s">
        <v>26</v>
      </c>
      <c r="E1560" s="8" t="s">
        <v>7877</v>
      </c>
      <c r="F1560" s="8">
        <v>5.321583084E9</v>
      </c>
      <c r="G1560" s="8" t="s">
        <v>31</v>
      </c>
      <c r="H1560" s="8" t="s">
        <v>111</v>
      </c>
      <c r="I1560" s="8" t="s">
        <v>284</v>
      </c>
      <c r="J1560" s="8" t="s">
        <v>285</v>
      </c>
      <c r="K1560" s="10" t="s">
        <v>3841</v>
      </c>
      <c r="L1560" s="8" t="s">
        <v>58</v>
      </c>
      <c r="M1560" s="8" t="s">
        <v>35</v>
      </c>
      <c r="N1560" s="11">
        <v>45025.0</v>
      </c>
      <c r="O1560" s="11">
        <v>45108.0</v>
      </c>
      <c r="P1560" s="11">
        <v>45150.0</v>
      </c>
      <c r="Q1560" s="11">
        <v>45109.0</v>
      </c>
      <c r="R1560" s="11">
        <v>45150.0</v>
      </c>
      <c r="S1560" s="12"/>
      <c r="T1560" s="8"/>
      <c r="U1560" s="8" t="s">
        <v>1038</v>
      </c>
      <c r="V1560" s="13" t="s">
        <v>111</v>
      </c>
      <c r="W1560" s="13" t="s">
        <v>7878</v>
      </c>
      <c r="X1560" s="12"/>
      <c r="Y1560" s="14"/>
      <c r="Z1560" s="14"/>
    </row>
    <row r="1561">
      <c r="A1561" s="8" t="s">
        <v>7879</v>
      </c>
      <c r="B1561" s="8" t="s">
        <v>7880</v>
      </c>
      <c r="C1561" s="8" t="s">
        <v>25</v>
      </c>
      <c r="D1561" s="8" t="s">
        <v>26</v>
      </c>
      <c r="E1561" s="8" t="s">
        <v>7881</v>
      </c>
      <c r="F1561" s="8">
        <v>5.366762397E9</v>
      </c>
      <c r="G1561" s="8" t="s">
        <v>31</v>
      </c>
      <c r="H1561" s="8" t="s">
        <v>256</v>
      </c>
      <c r="I1561" s="8" t="s">
        <v>230</v>
      </c>
      <c r="J1561" s="8" t="s">
        <v>7882</v>
      </c>
      <c r="K1561" s="10" t="s">
        <v>7883</v>
      </c>
      <c r="L1561" s="8" t="s">
        <v>58</v>
      </c>
      <c r="M1561" s="8" t="s">
        <v>35</v>
      </c>
      <c r="N1561" s="11">
        <v>45025.0</v>
      </c>
      <c r="O1561" s="11">
        <v>45054.0</v>
      </c>
      <c r="P1561" s="11">
        <v>45096.0</v>
      </c>
      <c r="Q1561" s="11">
        <v>45063.0</v>
      </c>
      <c r="R1561" s="11">
        <v>45103.0</v>
      </c>
      <c r="S1561" s="12"/>
      <c r="T1561" s="8"/>
      <c r="U1561" s="8" t="s">
        <v>153</v>
      </c>
      <c r="V1561" s="13" t="s">
        <v>256</v>
      </c>
      <c r="W1561" s="13" t="s">
        <v>7884</v>
      </c>
      <c r="X1561" s="12"/>
      <c r="Y1561" s="14"/>
      <c r="Z1561" s="14"/>
    </row>
    <row r="1562">
      <c r="A1562" s="8" t="s">
        <v>7885</v>
      </c>
      <c r="B1562" s="8" t="s">
        <v>7886</v>
      </c>
      <c r="C1562" s="8" t="s">
        <v>179</v>
      </c>
      <c r="D1562" s="8" t="s">
        <v>26</v>
      </c>
      <c r="E1562" s="8" t="s">
        <v>7887</v>
      </c>
      <c r="F1562" s="8"/>
      <c r="G1562" s="8" t="s">
        <v>277</v>
      </c>
      <c r="H1562" s="8" t="s">
        <v>278</v>
      </c>
      <c r="I1562" s="8" t="s">
        <v>31</v>
      </c>
      <c r="J1562" s="8" t="s">
        <v>1119</v>
      </c>
      <c r="K1562" s="10" t="s">
        <v>6015</v>
      </c>
      <c r="L1562" s="8" t="s">
        <v>58</v>
      </c>
      <c r="M1562" s="8" t="s">
        <v>35</v>
      </c>
      <c r="N1562" s="11">
        <v>45025.0</v>
      </c>
      <c r="O1562" s="11">
        <v>45128.0</v>
      </c>
      <c r="P1562" s="11">
        <v>45170.0</v>
      </c>
      <c r="Q1562" s="11"/>
      <c r="R1562" s="11"/>
      <c r="S1562" s="12"/>
      <c r="T1562" s="8"/>
      <c r="U1562" s="8" t="s">
        <v>59</v>
      </c>
      <c r="V1562" s="13" t="s">
        <v>38</v>
      </c>
      <c r="W1562" s="13" t="s">
        <v>7888</v>
      </c>
      <c r="X1562" s="12"/>
      <c r="Y1562" s="14"/>
      <c r="Z1562" s="14"/>
    </row>
    <row r="1563">
      <c r="A1563" s="8" t="s">
        <v>7889</v>
      </c>
      <c r="B1563" s="8" t="s">
        <v>7890</v>
      </c>
      <c r="C1563" s="8" t="s">
        <v>179</v>
      </c>
      <c r="D1563" s="8" t="s">
        <v>26</v>
      </c>
      <c r="E1563" s="8" t="s">
        <v>7891</v>
      </c>
      <c r="F1563" s="8"/>
      <c r="G1563" s="8" t="s">
        <v>277</v>
      </c>
      <c r="H1563" s="8" t="s">
        <v>278</v>
      </c>
      <c r="I1563" s="8" t="s">
        <v>31</v>
      </c>
      <c r="J1563" s="8" t="s">
        <v>1119</v>
      </c>
      <c r="K1563" s="10" t="s">
        <v>6015</v>
      </c>
      <c r="L1563" s="8" t="s">
        <v>58</v>
      </c>
      <c r="M1563" s="8" t="s">
        <v>35</v>
      </c>
      <c r="N1563" s="11">
        <v>45025.0</v>
      </c>
      <c r="O1563" s="11">
        <v>45128.0</v>
      </c>
      <c r="P1563" s="11">
        <v>45170.0</v>
      </c>
      <c r="Q1563" s="11"/>
      <c r="R1563" s="11"/>
      <c r="S1563" s="12"/>
      <c r="T1563" s="8"/>
      <c r="U1563" s="8" t="s">
        <v>59</v>
      </c>
      <c r="V1563" s="13" t="s">
        <v>38</v>
      </c>
      <c r="W1563" s="13" t="s">
        <v>7892</v>
      </c>
      <c r="X1563" s="12"/>
      <c r="Y1563" s="14"/>
      <c r="Z1563" s="14"/>
    </row>
    <row r="1564">
      <c r="A1564" s="8" t="s">
        <v>7893</v>
      </c>
      <c r="B1564" s="8" t="s">
        <v>7894</v>
      </c>
      <c r="C1564" s="8" t="s">
        <v>64</v>
      </c>
      <c r="D1564" s="8" t="s">
        <v>26</v>
      </c>
      <c r="E1564" s="8" t="s">
        <v>7895</v>
      </c>
      <c r="F1564" s="8">
        <v>5.354070345E9</v>
      </c>
      <c r="G1564" s="8" t="s">
        <v>31</v>
      </c>
      <c r="H1564" s="8" t="s">
        <v>167</v>
      </c>
      <c r="I1564" s="8" t="s">
        <v>3607</v>
      </c>
      <c r="J1564" s="8" t="s">
        <v>7896</v>
      </c>
      <c r="K1564" s="10" t="s">
        <v>7897</v>
      </c>
      <c r="L1564" s="8" t="s">
        <v>58</v>
      </c>
      <c r="M1564" s="8" t="s">
        <v>35</v>
      </c>
      <c r="N1564" s="11">
        <v>45025.0</v>
      </c>
      <c r="O1564" s="11">
        <v>45124.0</v>
      </c>
      <c r="P1564" s="11">
        <v>45166.0</v>
      </c>
      <c r="Q1564" s="11">
        <v>45152.0</v>
      </c>
      <c r="R1564" s="11">
        <v>45166.0</v>
      </c>
      <c r="S1564" s="12"/>
      <c r="T1564" s="8"/>
      <c r="U1564" s="8" t="s">
        <v>59</v>
      </c>
      <c r="V1564" s="13" t="s">
        <v>77</v>
      </c>
      <c r="W1564" s="13" t="s">
        <v>7898</v>
      </c>
      <c r="X1564" s="12"/>
      <c r="Y1564" s="14"/>
      <c r="Z1564" s="14"/>
    </row>
    <row r="1565">
      <c r="A1565" s="8" t="s">
        <v>7899</v>
      </c>
      <c r="B1565" s="8" t="s">
        <v>7900</v>
      </c>
      <c r="C1565" s="8" t="s">
        <v>25</v>
      </c>
      <c r="D1565" s="8" t="s">
        <v>26</v>
      </c>
      <c r="E1565" s="8" t="s">
        <v>7901</v>
      </c>
      <c r="F1565" s="8">
        <v>2.613102E7</v>
      </c>
      <c r="G1565" s="8" t="s">
        <v>54</v>
      </c>
      <c r="H1565" s="8" t="s">
        <v>76</v>
      </c>
      <c r="I1565" s="8" t="s">
        <v>31</v>
      </c>
      <c r="J1565" s="8" t="s">
        <v>86</v>
      </c>
      <c r="K1565" s="10" t="s">
        <v>2453</v>
      </c>
      <c r="L1565" s="8" t="s">
        <v>58</v>
      </c>
      <c r="M1565" s="8" t="s">
        <v>35</v>
      </c>
      <c r="N1565" s="11">
        <v>45026.0</v>
      </c>
      <c r="O1565" s="11">
        <v>45090.0</v>
      </c>
      <c r="P1565" s="11">
        <v>45132.0</v>
      </c>
      <c r="Q1565" s="11">
        <v>45090.0</v>
      </c>
      <c r="R1565" s="11">
        <v>45132.0</v>
      </c>
      <c r="S1565" s="12"/>
      <c r="T1565" s="8"/>
      <c r="U1565" s="8" t="s">
        <v>59</v>
      </c>
      <c r="V1565" s="13" t="s">
        <v>491</v>
      </c>
      <c r="W1565" s="13" t="s">
        <v>7902</v>
      </c>
      <c r="X1565" s="12"/>
      <c r="Y1565" s="14"/>
      <c r="Z1565" s="14"/>
    </row>
    <row r="1566">
      <c r="A1566" s="8" t="s">
        <v>7903</v>
      </c>
      <c r="B1566" s="8" t="s">
        <v>7904</v>
      </c>
      <c r="C1566" s="8" t="s">
        <v>64</v>
      </c>
      <c r="D1566" s="8" t="s">
        <v>26</v>
      </c>
      <c r="E1566" s="8" t="s">
        <v>7905</v>
      </c>
      <c r="F1566" s="8">
        <v>1.020932275E9</v>
      </c>
      <c r="G1566" s="8" t="s">
        <v>284</v>
      </c>
      <c r="H1566" s="8" t="s">
        <v>793</v>
      </c>
      <c r="I1566" s="8" t="s">
        <v>31</v>
      </c>
      <c r="J1566" s="8" t="s">
        <v>1119</v>
      </c>
      <c r="K1566" s="10" t="s">
        <v>6015</v>
      </c>
      <c r="L1566" s="8" t="s">
        <v>58</v>
      </c>
      <c r="M1566" s="8" t="s">
        <v>35</v>
      </c>
      <c r="N1566" s="11">
        <v>45026.0</v>
      </c>
      <c r="O1566" s="11">
        <v>45128.0</v>
      </c>
      <c r="P1566" s="11">
        <v>45170.0</v>
      </c>
      <c r="Q1566" s="11">
        <v>45132.0</v>
      </c>
      <c r="R1566" s="11">
        <v>45169.0</v>
      </c>
      <c r="S1566" s="12"/>
      <c r="T1566" s="8"/>
      <c r="U1566" s="8" t="s">
        <v>59</v>
      </c>
      <c r="V1566" s="13" t="s">
        <v>793</v>
      </c>
      <c r="W1566" s="13" t="s">
        <v>7906</v>
      </c>
      <c r="X1566" s="12"/>
      <c r="Y1566" s="14"/>
      <c r="Z1566" s="14"/>
    </row>
    <row r="1567">
      <c r="A1567" s="8" t="s">
        <v>7907</v>
      </c>
      <c r="B1567" s="8" t="s">
        <v>7908</v>
      </c>
      <c r="C1567" s="8" t="s">
        <v>179</v>
      </c>
      <c r="D1567" s="8" t="s">
        <v>26</v>
      </c>
      <c r="E1567" s="8" t="s">
        <v>7909</v>
      </c>
      <c r="F1567" s="8">
        <v>7.009765E8</v>
      </c>
      <c r="G1567" s="8" t="s">
        <v>84</v>
      </c>
      <c r="H1567" s="8" t="s">
        <v>752</v>
      </c>
      <c r="I1567" s="8" t="s">
        <v>31</v>
      </c>
      <c r="J1567" s="8" t="s">
        <v>542</v>
      </c>
      <c r="K1567" s="10" t="s">
        <v>7910</v>
      </c>
      <c r="L1567" s="8" t="s">
        <v>58</v>
      </c>
      <c r="M1567" s="8" t="s">
        <v>35</v>
      </c>
      <c r="N1567" s="11">
        <v>45026.0</v>
      </c>
      <c r="O1567" s="11">
        <v>45131.0</v>
      </c>
      <c r="P1567" s="11">
        <v>45173.0</v>
      </c>
      <c r="Q1567" s="11"/>
      <c r="R1567" s="11"/>
      <c r="S1567" s="12"/>
      <c r="T1567" s="8"/>
      <c r="U1567" s="8" t="s">
        <v>161</v>
      </c>
      <c r="V1567" s="13" t="s">
        <v>3082</v>
      </c>
      <c r="W1567" s="13" t="s">
        <v>7911</v>
      </c>
      <c r="X1567" s="12"/>
      <c r="Y1567" s="14"/>
      <c r="Z1567" s="14"/>
    </row>
    <row r="1568">
      <c r="A1568" s="8" t="s">
        <v>7912</v>
      </c>
      <c r="B1568" s="8" t="s">
        <v>7913</v>
      </c>
      <c r="C1568" s="8" t="s">
        <v>179</v>
      </c>
      <c r="D1568" s="8" t="s">
        <v>26</v>
      </c>
      <c r="E1568" s="8" t="s">
        <v>7914</v>
      </c>
      <c r="F1568" s="8">
        <v>6.22477743E8</v>
      </c>
      <c r="G1568" s="8" t="s">
        <v>84</v>
      </c>
      <c r="H1568" s="8" t="s">
        <v>752</v>
      </c>
      <c r="I1568" s="8" t="s">
        <v>31</v>
      </c>
      <c r="J1568" s="8" t="s">
        <v>542</v>
      </c>
      <c r="K1568" s="10" t="s">
        <v>7910</v>
      </c>
      <c r="L1568" s="8" t="s">
        <v>58</v>
      </c>
      <c r="M1568" s="8" t="s">
        <v>35</v>
      </c>
      <c r="N1568" s="11">
        <v>45026.0</v>
      </c>
      <c r="O1568" s="11">
        <v>45131.0</v>
      </c>
      <c r="P1568" s="11">
        <v>45173.0</v>
      </c>
      <c r="Q1568" s="11"/>
      <c r="R1568" s="11"/>
      <c r="S1568" s="12"/>
      <c r="T1568" s="8"/>
      <c r="U1568" s="8" t="s">
        <v>161</v>
      </c>
      <c r="V1568" s="13" t="s">
        <v>3082</v>
      </c>
      <c r="W1568" s="13" t="s">
        <v>7915</v>
      </c>
      <c r="X1568" s="12"/>
      <c r="Y1568" s="14"/>
      <c r="Z1568" s="14"/>
    </row>
    <row r="1569">
      <c r="A1569" s="8" t="s">
        <v>7916</v>
      </c>
      <c r="B1569" s="8" t="s">
        <v>7917</v>
      </c>
      <c r="C1569" s="8" t="s">
        <v>179</v>
      </c>
      <c r="D1569" s="8" t="s">
        <v>26</v>
      </c>
      <c r="E1569" s="8" t="s">
        <v>7918</v>
      </c>
      <c r="F1569" s="8">
        <v>5.023964277E9</v>
      </c>
      <c r="G1569" s="8" t="s">
        <v>4719</v>
      </c>
      <c r="H1569" s="8" t="s">
        <v>7362</v>
      </c>
      <c r="I1569" s="8" t="s">
        <v>31</v>
      </c>
      <c r="J1569" s="8" t="s">
        <v>32</v>
      </c>
      <c r="K1569" s="10" t="s">
        <v>7919</v>
      </c>
      <c r="L1569" s="8" t="s">
        <v>47</v>
      </c>
      <c r="M1569" s="8" t="s">
        <v>70</v>
      </c>
      <c r="N1569" s="11">
        <v>45026.0</v>
      </c>
      <c r="O1569" s="11">
        <v>45061.0</v>
      </c>
      <c r="P1569" s="11">
        <v>45255.0</v>
      </c>
      <c r="Q1569" s="11"/>
      <c r="R1569" s="11"/>
      <c r="S1569" s="12"/>
      <c r="T1569" s="8"/>
      <c r="U1569" s="8" t="s">
        <v>7364</v>
      </c>
      <c r="V1569" s="13" t="s">
        <v>7426</v>
      </c>
      <c r="W1569" s="13" t="s">
        <v>7920</v>
      </c>
      <c r="X1569" s="12"/>
      <c r="Y1569" s="14"/>
      <c r="Z1569" s="14"/>
    </row>
    <row r="1570">
      <c r="A1570" s="8" t="s">
        <v>7921</v>
      </c>
      <c r="B1570" s="8" t="s">
        <v>7922</v>
      </c>
      <c r="C1570" s="8" t="s">
        <v>25</v>
      </c>
      <c r="D1570" s="8" t="s">
        <v>26</v>
      </c>
      <c r="E1570" s="8" t="s">
        <v>7923</v>
      </c>
      <c r="F1570" s="8"/>
      <c r="G1570" s="8" t="s">
        <v>31</v>
      </c>
      <c r="H1570" s="8" t="s">
        <v>77</v>
      </c>
      <c r="I1570" s="8" t="s">
        <v>44</v>
      </c>
      <c r="J1570" s="8" t="s">
        <v>1993</v>
      </c>
      <c r="K1570" s="10" t="s">
        <v>2982</v>
      </c>
      <c r="L1570" s="8" t="s">
        <v>58</v>
      </c>
      <c r="M1570" s="8" t="s">
        <v>35</v>
      </c>
      <c r="N1570" s="11">
        <v>45026.0</v>
      </c>
      <c r="O1570" s="11">
        <v>45086.0</v>
      </c>
      <c r="P1570" s="11">
        <v>45128.0</v>
      </c>
      <c r="Q1570" s="11">
        <v>45085.0</v>
      </c>
      <c r="R1570" s="11">
        <v>45128.0</v>
      </c>
      <c r="S1570" s="12"/>
      <c r="T1570" s="8"/>
      <c r="U1570" s="8" t="s">
        <v>371</v>
      </c>
      <c r="V1570" s="13" t="s">
        <v>38</v>
      </c>
      <c r="W1570" s="13" t="s">
        <v>7924</v>
      </c>
      <c r="X1570" s="12"/>
      <c r="Y1570" s="14"/>
      <c r="Z1570" s="14"/>
    </row>
    <row r="1571">
      <c r="A1571" s="8" t="s">
        <v>7925</v>
      </c>
      <c r="B1571" s="8" t="s">
        <v>7926</v>
      </c>
      <c r="C1571" s="8" t="s">
        <v>64</v>
      </c>
      <c r="D1571" s="8" t="s">
        <v>26</v>
      </c>
      <c r="E1571" s="8" t="s">
        <v>7927</v>
      </c>
      <c r="F1571" s="8">
        <v>6.23431723E8</v>
      </c>
      <c r="G1571" s="8" t="s">
        <v>5008</v>
      </c>
      <c r="H1571" s="8" t="s">
        <v>7928</v>
      </c>
      <c r="I1571" s="8" t="s">
        <v>31</v>
      </c>
      <c r="J1571" s="8" t="s">
        <v>167</v>
      </c>
      <c r="K1571" s="10" t="s">
        <v>6867</v>
      </c>
      <c r="L1571" s="8" t="s">
        <v>58</v>
      </c>
      <c r="M1571" s="8" t="s">
        <v>35</v>
      </c>
      <c r="N1571" s="11">
        <v>45026.0</v>
      </c>
      <c r="O1571" s="11">
        <v>45124.0</v>
      </c>
      <c r="P1571" s="11">
        <v>45166.0</v>
      </c>
      <c r="Q1571" s="11">
        <v>45123.0</v>
      </c>
      <c r="R1571" s="11">
        <v>45166.0</v>
      </c>
      <c r="S1571" s="12"/>
      <c r="T1571" s="8"/>
      <c r="U1571" s="8" t="s">
        <v>88</v>
      </c>
      <c r="V1571" s="13" t="s">
        <v>7929</v>
      </c>
      <c r="W1571" s="13" t="s">
        <v>7930</v>
      </c>
      <c r="X1571" s="12"/>
      <c r="Y1571" s="14"/>
      <c r="Z1571" s="14"/>
    </row>
    <row r="1572">
      <c r="A1572" s="8" t="s">
        <v>7931</v>
      </c>
      <c r="B1572" s="8" t="s">
        <v>7932</v>
      </c>
      <c r="C1572" s="8" t="s">
        <v>64</v>
      </c>
      <c r="D1572" s="8" t="s">
        <v>26</v>
      </c>
      <c r="E1572" s="8" t="s">
        <v>7933</v>
      </c>
      <c r="F1572" s="8"/>
      <c r="G1572" s="8" t="s">
        <v>127</v>
      </c>
      <c r="H1572" s="8" t="s">
        <v>363</v>
      </c>
      <c r="I1572" s="8" t="s">
        <v>31</v>
      </c>
      <c r="J1572" s="8" t="s">
        <v>86</v>
      </c>
      <c r="K1572" s="10" t="s">
        <v>87</v>
      </c>
      <c r="L1572" s="8" t="s">
        <v>58</v>
      </c>
      <c r="M1572" s="8" t="s">
        <v>35</v>
      </c>
      <c r="N1572" s="11">
        <v>45026.0</v>
      </c>
      <c r="O1572" s="11">
        <v>45155.0</v>
      </c>
      <c r="P1572" s="11">
        <v>45197.0</v>
      </c>
      <c r="Q1572" s="11">
        <v>45156.0</v>
      </c>
      <c r="R1572" s="11">
        <v>45197.0</v>
      </c>
      <c r="S1572" s="12"/>
      <c r="T1572" s="8"/>
      <c r="U1572" s="8" t="s">
        <v>88</v>
      </c>
      <c r="V1572" s="13" t="s">
        <v>38</v>
      </c>
      <c r="W1572" s="13" t="s">
        <v>7934</v>
      </c>
      <c r="X1572" s="12"/>
      <c r="Y1572" s="14"/>
      <c r="Z1572" s="14"/>
    </row>
    <row r="1573">
      <c r="A1573" s="8" t="s">
        <v>7935</v>
      </c>
      <c r="B1573" s="8" t="s">
        <v>7936</v>
      </c>
      <c r="C1573" s="8" t="s">
        <v>64</v>
      </c>
      <c r="D1573" s="8" t="s">
        <v>26</v>
      </c>
      <c r="E1573" s="8" t="s">
        <v>7937</v>
      </c>
      <c r="F1573" s="8"/>
      <c r="G1573" s="8" t="s">
        <v>127</v>
      </c>
      <c r="H1573" s="8" t="s">
        <v>363</v>
      </c>
      <c r="I1573" s="8" t="s">
        <v>31</v>
      </c>
      <c r="J1573" s="8" t="s">
        <v>86</v>
      </c>
      <c r="K1573" s="10" t="s">
        <v>87</v>
      </c>
      <c r="L1573" s="8" t="s">
        <v>58</v>
      </c>
      <c r="M1573" s="8" t="s">
        <v>35</v>
      </c>
      <c r="N1573" s="11">
        <v>45026.0</v>
      </c>
      <c r="O1573" s="11">
        <v>45155.0</v>
      </c>
      <c r="P1573" s="11">
        <v>45197.0</v>
      </c>
      <c r="Q1573" s="11">
        <v>45156.0</v>
      </c>
      <c r="R1573" s="11">
        <v>45197.0</v>
      </c>
      <c r="S1573" s="12"/>
      <c r="T1573" s="8"/>
      <c r="U1573" s="8" t="s">
        <v>88</v>
      </c>
      <c r="V1573" s="13" t="s">
        <v>38</v>
      </c>
      <c r="W1573" s="13" t="s">
        <v>7938</v>
      </c>
      <c r="X1573" s="12"/>
      <c r="Y1573" s="14"/>
      <c r="Z1573" s="14"/>
    </row>
    <row r="1574">
      <c r="A1574" s="8" t="s">
        <v>7939</v>
      </c>
      <c r="B1574" s="8" t="s">
        <v>7940</v>
      </c>
      <c r="C1574" s="8" t="s">
        <v>64</v>
      </c>
      <c r="D1574" s="8" t="s">
        <v>26</v>
      </c>
      <c r="E1574" s="8" t="s">
        <v>7941</v>
      </c>
      <c r="F1574" s="8"/>
      <c r="G1574" s="8" t="s">
        <v>127</v>
      </c>
      <c r="H1574" s="8" t="s">
        <v>363</v>
      </c>
      <c r="I1574" s="8" t="s">
        <v>31</v>
      </c>
      <c r="J1574" s="8" t="s">
        <v>86</v>
      </c>
      <c r="K1574" s="10" t="s">
        <v>87</v>
      </c>
      <c r="L1574" s="8" t="s">
        <v>58</v>
      </c>
      <c r="M1574" s="8" t="s">
        <v>35</v>
      </c>
      <c r="N1574" s="11">
        <v>45026.0</v>
      </c>
      <c r="O1574" s="11">
        <v>45155.0</v>
      </c>
      <c r="P1574" s="11">
        <v>45197.0</v>
      </c>
      <c r="Q1574" s="11">
        <v>45156.0</v>
      </c>
      <c r="R1574" s="11">
        <v>45197.0</v>
      </c>
      <c r="S1574" s="12"/>
      <c r="T1574" s="8"/>
      <c r="U1574" s="8" t="s">
        <v>88</v>
      </c>
      <c r="V1574" s="13" t="s">
        <v>38</v>
      </c>
      <c r="W1574" s="13" t="s">
        <v>7942</v>
      </c>
      <c r="X1574" s="12"/>
      <c r="Y1574" s="14"/>
      <c r="Z1574" s="14"/>
    </row>
    <row r="1575">
      <c r="A1575" s="8" t="s">
        <v>7943</v>
      </c>
      <c r="B1575" s="8" t="s">
        <v>7944</v>
      </c>
      <c r="C1575" s="8" t="s">
        <v>25</v>
      </c>
      <c r="D1575" s="8" t="s">
        <v>26</v>
      </c>
      <c r="E1575" s="8" t="s">
        <v>7945</v>
      </c>
      <c r="F1575" s="8">
        <v>5.050180037E9</v>
      </c>
      <c r="G1575" s="8" t="s">
        <v>31</v>
      </c>
      <c r="H1575" s="8" t="s">
        <v>56</v>
      </c>
      <c r="I1575" s="8" t="s">
        <v>3607</v>
      </c>
      <c r="J1575" s="8" t="s">
        <v>7946</v>
      </c>
      <c r="K1575" s="10" t="s">
        <v>7947</v>
      </c>
      <c r="L1575" s="8" t="s">
        <v>58</v>
      </c>
      <c r="M1575" s="8" t="s">
        <v>35</v>
      </c>
      <c r="N1575" s="11">
        <v>45026.0</v>
      </c>
      <c r="O1575" s="11">
        <v>45110.0</v>
      </c>
      <c r="P1575" s="11">
        <v>45152.0</v>
      </c>
      <c r="Q1575" s="11">
        <v>45152.0</v>
      </c>
      <c r="R1575" s="11">
        <v>45153.0</v>
      </c>
      <c r="S1575" s="12"/>
      <c r="T1575" s="8"/>
      <c r="U1575" s="8" t="s">
        <v>59</v>
      </c>
      <c r="V1575" s="13" t="s">
        <v>56</v>
      </c>
      <c r="W1575" s="13" t="s">
        <v>7948</v>
      </c>
      <c r="X1575" s="12"/>
      <c r="Y1575" s="14"/>
      <c r="Z1575" s="14"/>
    </row>
    <row r="1576">
      <c r="A1576" s="8" t="s">
        <v>7949</v>
      </c>
      <c r="B1576" s="8" t="s">
        <v>7950</v>
      </c>
      <c r="C1576" s="8" t="s">
        <v>25</v>
      </c>
      <c r="D1576" s="8" t="s">
        <v>26</v>
      </c>
      <c r="E1576" s="8" t="s">
        <v>7951</v>
      </c>
      <c r="F1576" s="8">
        <v>5.8155669E7</v>
      </c>
      <c r="G1576" s="8" t="s">
        <v>54</v>
      </c>
      <c r="H1576" s="8" t="s">
        <v>244</v>
      </c>
      <c r="I1576" s="8" t="s">
        <v>31</v>
      </c>
      <c r="J1576" s="8" t="s">
        <v>292</v>
      </c>
      <c r="K1576" s="10" t="s">
        <v>7161</v>
      </c>
      <c r="L1576" s="8" t="s">
        <v>58</v>
      </c>
      <c r="M1576" s="8" t="s">
        <v>35</v>
      </c>
      <c r="N1576" s="11">
        <v>45027.0</v>
      </c>
      <c r="O1576" s="11">
        <v>45102.0</v>
      </c>
      <c r="P1576" s="11">
        <v>45144.0</v>
      </c>
      <c r="Q1576" s="11">
        <v>45104.0</v>
      </c>
      <c r="R1576" s="11">
        <v>45144.0</v>
      </c>
      <c r="S1576" s="12"/>
      <c r="T1576" s="8"/>
      <c r="U1576" s="8" t="s">
        <v>88</v>
      </c>
      <c r="V1576" s="13" t="s">
        <v>7952</v>
      </c>
      <c r="W1576" s="13" t="s">
        <v>7953</v>
      </c>
      <c r="X1576" s="12"/>
      <c r="Y1576" s="14"/>
      <c r="Z1576" s="14"/>
    </row>
    <row r="1577">
      <c r="A1577" s="8" t="s">
        <v>7954</v>
      </c>
      <c r="B1577" s="8" t="s">
        <v>7955</v>
      </c>
      <c r="C1577" s="8" t="s">
        <v>25</v>
      </c>
      <c r="D1577" s="8" t="s">
        <v>26</v>
      </c>
      <c r="E1577" s="8" t="s">
        <v>7956</v>
      </c>
      <c r="F1577" s="8">
        <v>5.325933469E9</v>
      </c>
      <c r="G1577" s="8" t="s">
        <v>31</v>
      </c>
      <c r="H1577" s="8" t="s">
        <v>256</v>
      </c>
      <c r="I1577" s="8" t="s">
        <v>284</v>
      </c>
      <c r="J1577" s="8" t="s">
        <v>285</v>
      </c>
      <c r="K1577" s="10" t="s">
        <v>3841</v>
      </c>
      <c r="L1577" s="8" t="s">
        <v>58</v>
      </c>
      <c r="M1577" s="8" t="s">
        <v>35</v>
      </c>
      <c r="N1577" s="11">
        <v>45027.0</v>
      </c>
      <c r="O1577" s="11">
        <v>45078.0</v>
      </c>
      <c r="P1577" s="11">
        <v>45120.0</v>
      </c>
      <c r="Q1577" s="11">
        <v>45109.0</v>
      </c>
      <c r="R1577" s="11">
        <v>45150.0</v>
      </c>
      <c r="S1577" s="12"/>
      <c r="T1577" s="8"/>
      <c r="U1577" s="8" t="s">
        <v>1038</v>
      </c>
      <c r="V1577" s="13" t="s">
        <v>256</v>
      </c>
      <c r="W1577" s="13" t="s">
        <v>7957</v>
      </c>
      <c r="X1577" s="12"/>
      <c r="Y1577" s="14"/>
      <c r="Z1577" s="14"/>
    </row>
    <row r="1578">
      <c r="A1578" s="8" t="s">
        <v>7958</v>
      </c>
      <c r="B1578" s="8" t="s">
        <v>7959</v>
      </c>
      <c r="C1578" s="8" t="s">
        <v>25</v>
      </c>
      <c r="D1578" s="8" t="s">
        <v>26</v>
      </c>
      <c r="E1578" s="8" t="s">
        <v>7960</v>
      </c>
      <c r="F1578" s="8"/>
      <c r="G1578" s="8" t="s">
        <v>54</v>
      </c>
      <c r="H1578" s="8" t="s">
        <v>55</v>
      </c>
      <c r="I1578" s="8" t="s">
        <v>31</v>
      </c>
      <c r="J1578" s="8" t="s">
        <v>167</v>
      </c>
      <c r="K1578" s="10" t="s">
        <v>7380</v>
      </c>
      <c r="L1578" s="8" t="s">
        <v>58</v>
      </c>
      <c r="M1578" s="8" t="s">
        <v>35</v>
      </c>
      <c r="N1578" s="11">
        <v>45027.0</v>
      </c>
      <c r="O1578" s="11">
        <v>45110.0</v>
      </c>
      <c r="P1578" s="11">
        <v>45152.0</v>
      </c>
      <c r="Q1578" s="11">
        <v>45111.0</v>
      </c>
      <c r="R1578" s="11">
        <v>45152.0</v>
      </c>
      <c r="S1578" s="12"/>
      <c r="T1578" s="8"/>
      <c r="U1578" s="8" t="s">
        <v>59</v>
      </c>
      <c r="V1578" s="13" t="s">
        <v>38</v>
      </c>
      <c r="W1578" s="13" t="s">
        <v>7961</v>
      </c>
      <c r="X1578" s="12"/>
      <c r="Y1578" s="14"/>
      <c r="Z1578" s="14"/>
    </row>
    <row r="1579">
      <c r="A1579" s="8" t="s">
        <v>7962</v>
      </c>
      <c r="B1579" s="8" t="s">
        <v>7963</v>
      </c>
      <c r="C1579" s="8" t="s">
        <v>64</v>
      </c>
      <c r="D1579" s="8" t="s">
        <v>26</v>
      </c>
      <c r="E1579" s="8" t="s">
        <v>7964</v>
      </c>
      <c r="F1579" s="8">
        <v>5.313367694E9</v>
      </c>
      <c r="G1579" s="8" t="s">
        <v>31</v>
      </c>
      <c r="H1579" s="8" t="s">
        <v>77</v>
      </c>
      <c r="I1579" s="8" t="s">
        <v>44</v>
      </c>
      <c r="J1579" s="8" t="s">
        <v>1993</v>
      </c>
      <c r="K1579" s="10" t="s">
        <v>2532</v>
      </c>
      <c r="L1579" s="8" t="s">
        <v>58</v>
      </c>
      <c r="M1579" s="8" t="s">
        <v>35</v>
      </c>
      <c r="N1579" s="11">
        <v>45027.0</v>
      </c>
      <c r="O1579" s="11">
        <v>45109.0</v>
      </c>
      <c r="P1579" s="11">
        <v>45151.0</v>
      </c>
      <c r="Q1579" s="11">
        <v>45115.0</v>
      </c>
      <c r="R1579" s="11">
        <v>45156.0</v>
      </c>
      <c r="S1579" s="12"/>
      <c r="T1579" s="8"/>
      <c r="U1579" s="8" t="s">
        <v>371</v>
      </c>
      <c r="V1579" s="13" t="s">
        <v>77</v>
      </c>
      <c r="W1579" s="13" t="s">
        <v>7965</v>
      </c>
      <c r="X1579" s="12"/>
      <c r="Y1579" s="14"/>
      <c r="Z1579" s="14"/>
    </row>
    <row r="1580">
      <c r="A1580" s="8" t="s">
        <v>7966</v>
      </c>
      <c r="B1580" s="8" t="s">
        <v>7967</v>
      </c>
      <c r="C1580" s="8" t="s">
        <v>179</v>
      </c>
      <c r="D1580" s="8" t="s">
        <v>26</v>
      </c>
      <c r="E1580" s="8" t="s">
        <v>7968</v>
      </c>
      <c r="F1580" s="8"/>
      <c r="G1580" s="8" t="s">
        <v>31</v>
      </c>
      <c r="H1580" s="8" t="s">
        <v>86</v>
      </c>
      <c r="I1580" s="8" t="s">
        <v>44</v>
      </c>
      <c r="J1580" s="8" t="s">
        <v>741</v>
      </c>
      <c r="K1580" s="10" t="s">
        <v>7969</v>
      </c>
      <c r="L1580" s="8" t="s">
        <v>58</v>
      </c>
      <c r="M1580" s="8" t="s">
        <v>35</v>
      </c>
      <c r="N1580" s="11">
        <v>45027.0</v>
      </c>
      <c r="O1580" s="11">
        <v>45158.0</v>
      </c>
      <c r="P1580" s="11">
        <v>45204.0</v>
      </c>
      <c r="Q1580" s="11"/>
      <c r="R1580" s="11"/>
      <c r="S1580" s="12"/>
      <c r="T1580" s="8"/>
      <c r="U1580" s="8" t="s">
        <v>1590</v>
      </c>
      <c r="V1580" s="13" t="s">
        <v>38</v>
      </c>
      <c r="W1580" s="13" t="s">
        <v>7970</v>
      </c>
      <c r="X1580" s="12"/>
      <c r="Y1580" s="14"/>
      <c r="Z1580" s="14"/>
    </row>
    <row r="1581">
      <c r="A1581" s="8" t="s">
        <v>7971</v>
      </c>
      <c r="B1581" s="8" t="s">
        <v>7972</v>
      </c>
      <c r="C1581" s="8" t="s">
        <v>179</v>
      </c>
      <c r="D1581" s="8" t="s">
        <v>26</v>
      </c>
      <c r="E1581" s="8" t="s">
        <v>7973</v>
      </c>
      <c r="F1581" s="8" t="s">
        <v>253</v>
      </c>
      <c r="G1581" s="8" t="s">
        <v>496</v>
      </c>
      <c r="H1581" s="8" t="s">
        <v>2112</v>
      </c>
      <c r="I1581" s="8" t="s">
        <v>31</v>
      </c>
      <c r="J1581" s="8" t="s">
        <v>66</v>
      </c>
      <c r="K1581" s="10" t="s">
        <v>6397</v>
      </c>
      <c r="L1581" s="8" t="s">
        <v>58</v>
      </c>
      <c r="M1581" s="8" t="s">
        <v>35</v>
      </c>
      <c r="N1581" s="11">
        <v>45027.0</v>
      </c>
      <c r="O1581" s="11">
        <v>45100.0</v>
      </c>
      <c r="P1581" s="11">
        <v>45142.0</v>
      </c>
      <c r="Q1581" s="11"/>
      <c r="R1581" s="11"/>
      <c r="S1581" s="12"/>
      <c r="T1581" s="8"/>
      <c r="U1581" s="8" t="s">
        <v>88</v>
      </c>
      <c r="V1581" s="13" t="s">
        <v>7974</v>
      </c>
      <c r="W1581" s="13" t="s">
        <v>7975</v>
      </c>
      <c r="X1581" s="12"/>
      <c r="Y1581" s="14"/>
      <c r="Z1581" s="14"/>
    </row>
    <row r="1582">
      <c r="A1582" s="8" t="s">
        <v>7976</v>
      </c>
      <c r="B1582" s="8" t="s">
        <v>7977</v>
      </c>
      <c r="C1582" s="8" t="s">
        <v>25</v>
      </c>
      <c r="D1582" s="8" t="s">
        <v>26</v>
      </c>
      <c r="E1582" s="8" t="s">
        <v>7978</v>
      </c>
      <c r="F1582" s="8">
        <v>9.11846725E8</v>
      </c>
      <c r="G1582" s="8" t="s">
        <v>118</v>
      </c>
      <c r="H1582" s="8" t="s">
        <v>1162</v>
      </c>
      <c r="I1582" s="8" t="s">
        <v>31</v>
      </c>
      <c r="J1582" s="8" t="s">
        <v>1119</v>
      </c>
      <c r="K1582" s="10" t="s">
        <v>6015</v>
      </c>
      <c r="L1582" s="8" t="s">
        <v>58</v>
      </c>
      <c r="M1582" s="8" t="s">
        <v>35</v>
      </c>
      <c r="N1582" s="11">
        <v>45027.0</v>
      </c>
      <c r="O1582" s="11">
        <v>45128.0</v>
      </c>
      <c r="P1582" s="11">
        <v>45170.0</v>
      </c>
      <c r="Q1582" s="11">
        <v>45125.0</v>
      </c>
      <c r="R1582" s="11">
        <v>45170.0</v>
      </c>
      <c r="S1582" s="12"/>
      <c r="T1582" s="8"/>
      <c r="U1582" s="8" t="s">
        <v>59</v>
      </c>
      <c r="V1582" s="13" t="s">
        <v>7979</v>
      </c>
      <c r="W1582" s="13" t="s">
        <v>7980</v>
      </c>
      <c r="X1582" s="12"/>
      <c r="Y1582" s="14"/>
      <c r="Z1582" s="14"/>
    </row>
    <row r="1583">
      <c r="A1583" s="8" t="s">
        <v>7981</v>
      </c>
      <c r="B1583" s="8" t="s">
        <v>7982</v>
      </c>
      <c r="C1583" s="8" t="s">
        <v>25</v>
      </c>
      <c r="D1583" s="8" t="s">
        <v>26</v>
      </c>
      <c r="E1583" s="8" t="s">
        <v>7983</v>
      </c>
      <c r="F1583" s="8"/>
      <c r="G1583" s="8" t="s">
        <v>277</v>
      </c>
      <c r="H1583" s="8" t="s">
        <v>607</v>
      </c>
      <c r="I1583" s="8" t="s">
        <v>31</v>
      </c>
      <c r="J1583" s="8" t="s">
        <v>1119</v>
      </c>
      <c r="K1583" s="10" t="s">
        <v>3665</v>
      </c>
      <c r="L1583" s="8" t="s">
        <v>58</v>
      </c>
      <c r="M1583" s="8" t="s">
        <v>35</v>
      </c>
      <c r="N1583" s="11">
        <v>45027.0</v>
      </c>
      <c r="O1583" s="11">
        <v>45117.0</v>
      </c>
      <c r="P1583" s="11">
        <v>45159.0</v>
      </c>
      <c r="Q1583" s="11">
        <v>45117.0</v>
      </c>
      <c r="R1583" s="11">
        <v>45159.0</v>
      </c>
      <c r="S1583" s="12"/>
      <c r="T1583" s="8"/>
      <c r="U1583" s="8" t="s">
        <v>59</v>
      </c>
      <c r="V1583" s="13" t="s">
        <v>38</v>
      </c>
      <c r="W1583" s="13" t="s">
        <v>7984</v>
      </c>
      <c r="X1583" s="12"/>
      <c r="Y1583" s="14"/>
      <c r="Z1583" s="14"/>
    </row>
    <row r="1584">
      <c r="A1584" s="8" t="s">
        <v>7985</v>
      </c>
      <c r="B1584" s="8" t="s">
        <v>7986</v>
      </c>
      <c r="C1584" s="8" t="s">
        <v>64</v>
      </c>
      <c r="D1584" s="8" t="s">
        <v>26</v>
      </c>
      <c r="E1584" s="8" t="s">
        <v>7987</v>
      </c>
      <c r="F1584" s="8">
        <v>6.0440556E7</v>
      </c>
      <c r="G1584" s="8" t="s">
        <v>6352</v>
      </c>
      <c r="H1584" s="8" t="s">
        <v>6353</v>
      </c>
      <c r="I1584" s="8" t="s">
        <v>31</v>
      </c>
      <c r="J1584" s="8" t="s">
        <v>167</v>
      </c>
      <c r="K1584" s="10" t="s">
        <v>5996</v>
      </c>
      <c r="L1584" s="8" t="s">
        <v>58</v>
      </c>
      <c r="M1584" s="8" t="s">
        <v>35</v>
      </c>
      <c r="N1584" s="11">
        <v>45027.0</v>
      </c>
      <c r="O1584" s="11">
        <v>45117.0</v>
      </c>
      <c r="P1584" s="11">
        <v>45159.0</v>
      </c>
      <c r="Q1584" s="11">
        <v>45117.0</v>
      </c>
      <c r="R1584" s="11">
        <v>45159.0</v>
      </c>
      <c r="S1584" s="12"/>
      <c r="T1584" s="8"/>
      <c r="U1584" s="8" t="s">
        <v>130</v>
      </c>
      <c r="V1584" s="13" t="s">
        <v>6354</v>
      </c>
      <c r="W1584" s="13" t="s">
        <v>7988</v>
      </c>
      <c r="X1584" s="12"/>
      <c r="Y1584" s="14"/>
      <c r="Z1584" s="14"/>
    </row>
    <row r="1585">
      <c r="A1585" s="8" t="s">
        <v>7989</v>
      </c>
      <c r="B1585" s="8" t="s">
        <v>4810</v>
      </c>
      <c r="C1585" s="8" t="s">
        <v>708</v>
      </c>
      <c r="D1585" s="8" t="s">
        <v>26</v>
      </c>
      <c r="E1585" s="8" t="s">
        <v>4811</v>
      </c>
      <c r="F1585" s="8">
        <v>6.0952364E8</v>
      </c>
      <c r="G1585" s="8" t="s">
        <v>84</v>
      </c>
      <c r="H1585" s="8" t="s">
        <v>1127</v>
      </c>
      <c r="I1585" s="8" t="s">
        <v>31</v>
      </c>
      <c r="J1585" s="8" t="s">
        <v>292</v>
      </c>
      <c r="K1585" s="10" t="s">
        <v>7990</v>
      </c>
      <c r="L1585" s="8" t="s">
        <v>34</v>
      </c>
      <c r="M1585" s="8" t="s">
        <v>70</v>
      </c>
      <c r="N1585" s="11">
        <v>45027.0</v>
      </c>
      <c r="O1585" s="11">
        <v>45031.0</v>
      </c>
      <c r="P1585" s="11">
        <v>45397.0</v>
      </c>
      <c r="Q1585" s="11">
        <v>45040.0</v>
      </c>
      <c r="R1585" s="11">
        <v>45406.0</v>
      </c>
      <c r="S1585" s="12"/>
      <c r="T1585" s="8" t="s">
        <v>205</v>
      </c>
      <c r="U1585" s="8" t="s">
        <v>205</v>
      </c>
      <c r="V1585" s="13" t="s">
        <v>1302</v>
      </c>
      <c r="W1585" s="13" t="s">
        <v>4812</v>
      </c>
      <c r="X1585" s="12"/>
      <c r="Y1585" s="14"/>
      <c r="Z1585" s="14"/>
    </row>
    <row r="1586">
      <c r="A1586" s="8" t="s">
        <v>7991</v>
      </c>
      <c r="B1586" s="8" t="s">
        <v>7992</v>
      </c>
      <c r="C1586" s="8" t="s">
        <v>179</v>
      </c>
      <c r="D1586" s="8" t="s">
        <v>26</v>
      </c>
      <c r="E1586" s="8" t="s">
        <v>7993</v>
      </c>
      <c r="F1586" s="8">
        <v>7.08990518E8</v>
      </c>
      <c r="G1586" s="8" t="s">
        <v>84</v>
      </c>
      <c r="H1586" s="8" t="s">
        <v>85</v>
      </c>
      <c r="I1586" s="8" t="s">
        <v>31</v>
      </c>
      <c r="J1586" s="8" t="s">
        <v>86</v>
      </c>
      <c r="K1586" s="10" t="s">
        <v>416</v>
      </c>
      <c r="L1586" s="8" t="s">
        <v>58</v>
      </c>
      <c r="M1586" s="8" t="s">
        <v>35</v>
      </c>
      <c r="N1586" s="11">
        <v>45028.0</v>
      </c>
      <c r="O1586" s="11">
        <v>45173.0</v>
      </c>
      <c r="P1586" s="11">
        <v>45215.0</v>
      </c>
      <c r="Q1586" s="11"/>
      <c r="R1586" s="11"/>
      <c r="S1586" s="12"/>
      <c r="T1586" s="8"/>
      <c r="U1586" s="8" t="s">
        <v>59</v>
      </c>
      <c r="V1586" s="13" t="s">
        <v>7994</v>
      </c>
      <c r="W1586" s="13" t="s">
        <v>7995</v>
      </c>
      <c r="X1586" s="12"/>
      <c r="Y1586" s="14"/>
      <c r="Z1586" s="14"/>
    </row>
    <row r="1587">
      <c r="A1587" s="8" t="s">
        <v>7996</v>
      </c>
      <c r="B1587" s="8" t="s">
        <v>7997</v>
      </c>
      <c r="C1587" s="8" t="s">
        <v>25</v>
      </c>
      <c r="D1587" s="8" t="s">
        <v>26</v>
      </c>
      <c r="E1587" s="8" t="s">
        <v>7998</v>
      </c>
      <c r="F1587" s="8">
        <v>5.343891038E9</v>
      </c>
      <c r="G1587" s="8" t="s">
        <v>31</v>
      </c>
      <c r="H1587" s="8" t="s">
        <v>77</v>
      </c>
      <c r="I1587" s="8" t="s">
        <v>54</v>
      </c>
      <c r="J1587" s="8" t="s">
        <v>595</v>
      </c>
      <c r="K1587" s="10" t="s">
        <v>7999</v>
      </c>
      <c r="L1587" s="8" t="s">
        <v>34</v>
      </c>
      <c r="M1587" s="8" t="s">
        <v>35</v>
      </c>
      <c r="N1587" s="11">
        <v>45028.0</v>
      </c>
      <c r="O1587" s="11">
        <v>45108.0</v>
      </c>
      <c r="P1587" s="11">
        <v>45169.0</v>
      </c>
      <c r="Q1587" s="11">
        <v>45111.0</v>
      </c>
      <c r="R1587" s="11">
        <v>45172.0</v>
      </c>
      <c r="S1587" s="12"/>
      <c r="T1587" s="8" t="s">
        <v>121</v>
      </c>
      <c r="U1587" s="8" t="s">
        <v>8000</v>
      </c>
      <c r="V1587" s="13" t="s">
        <v>77</v>
      </c>
      <c r="W1587" s="13" t="s">
        <v>8001</v>
      </c>
      <c r="X1587" s="12"/>
      <c r="Y1587" s="14"/>
      <c r="Z1587" s="14"/>
    </row>
    <row r="1588">
      <c r="A1588" s="8" t="s">
        <v>8002</v>
      </c>
      <c r="B1588" s="8" t="s">
        <v>1035</v>
      </c>
      <c r="C1588" s="8" t="s">
        <v>179</v>
      </c>
      <c r="D1588" s="8" t="s">
        <v>26</v>
      </c>
      <c r="E1588" s="8" t="s">
        <v>1036</v>
      </c>
      <c r="F1588" s="8">
        <v>5.316297165E9</v>
      </c>
      <c r="G1588" s="8" t="s">
        <v>31</v>
      </c>
      <c r="H1588" s="8" t="s">
        <v>66</v>
      </c>
      <c r="I1588" s="8" t="s">
        <v>399</v>
      </c>
      <c r="J1588" s="8" t="s">
        <v>400</v>
      </c>
      <c r="K1588" s="10" t="s">
        <v>1700</v>
      </c>
      <c r="L1588" s="8" t="s">
        <v>58</v>
      </c>
      <c r="M1588" s="8" t="s">
        <v>35</v>
      </c>
      <c r="N1588" s="11">
        <v>45028.0</v>
      </c>
      <c r="O1588" s="11">
        <v>45139.0</v>
      </c>
      <c r="P1588" s="11">
        <v>45181.0</v>
      </c>
      <c r="Q1588" s="11"/>
      <c r="R1588" s="11"/>
      <c r="S1588" s="12"/>
      <c r="T1588" s="8"/>
      <c r="U1588" s="8" t="s">
        <v>1038</v>
      </c>
      <c r="V1588" s="13" t="s">
        <v>66</v>
      </c>
      <c r="W1588" s="13" t="s">
        <v>1039</v>
      </c>
      <c r="X1588" s="12"/>
      <c r="Y1588" s="14"/>
      <c r="Z1588" s="14"/>
    </row>
    <row r="1589">
      <c r="A1589" s="8" t="s">
        <v>8003</v>
      </c>
      <c r="B1589" s="8" t="s">
        <v>8004</v>
      </c>
      <c r="C1589" s="8" t="s">
        <v>64</v>
      </c>
      <c r="D1589" s="8" t="s">
        <v>26</v>
      </c>
      <c r="E1589" s="8" t="s">
        <v>8005</v>
      </c>
      <c r="F1589" s="8"/>
      <c r="G1589" s="8" t="s">
        <v>1510</v>
      </c>
      <c r="H1589" s="8" t="s">
        <v>2016</v>
      </c>
      <c r="I1589" s="8" t="s">
        <v>31</v>
      </c>
      <c r="J1589" s="8" t="s">
        <v>102</v>
      </c>
      <c r="K1589" s="10" t="s">
        <v>6221</v>
      </c>
      <c r="L1589" s="8" t="s">
        <v>58</v>
      </c>
      <c r="M1589" s="8" t="s">
        <v>35</v>
      </c>
      <c r="N1589" s="11">
        <v>45028.0</v>
      </c>
      <c r="O1589" s="11">
        <v>45054.0</v>
      </c>
      <c r="P1589" s="11">
        <v>45096.0</v>
      </c>
      <c r="Q1589" s="11">
        <v>45061.0</v>
      </c>
      <c r="R1589" s="11">
        <v>45101.0</v>
      </c>
      <c r="S1589" s="12"/>
      <c r="T1589" s="8"/>
      <c r="U1589" s="8" t="s">
        <v>59</v>
      </c>
      <c r="V1589" s="13" t="s">
        <v>2017</v>
      </c>
      <c r="W1589" s="13" t="s">
        <v>8006</v>
      </c>
      <c r="X1589" s="12"/>
      <c r="Y1589" s="14"/>
      <c r="Z1589" s="14"/>
    </row>
    <row r="1590">
      <c r="A1590" s="8" t="s">
        <v>8007</v>
      </c>
      <c r="B1590" s="8" t="s">
        <v>8008</v>
      </c>
      <c r="C1590" s="8" t="s">
        <v>708</v>
      </c>
      <c r="D1590" s="8" t="s">
        <v>26</v>
      </c>
      <c r="E1590" s="8" t="s">
        <v>8009</v>
      </c>
      <c r="F1590" s="8">
        <v>3.013755194E9</v>
      </c>
      <c r="G1590" s="8" t="s">
        <v>981</v>
      </c>
      <c r="H1590" s="8" t="s">
        <v>982</v>
      </c>
      <c r="I1590" s="8" t="s">
        <v>31</v>
      </c>
      <c r="J1590" s="8" t="s">
        <v>292</v>
      </c>
      <c r="K1590" s="10" t="s">
        <v>8010</v>
      </c>
      <c r="L1590" s="8" t="s">
        <v>34</v>
      </c>
      <c r="M1590" s="8" t="s">
        <v>70</v>
      </c>
      <c r="N1590" s="11">
        <v>45028.0</v>
      </c>
      <c r="O1590" s="11">
        <v>45058.0</v>
      </c>
      <c r="P1590" s="11">
        <v>45424.0</v>
      </c>
      <c r="Q1590" s="11">
        <v>45060.0</v>
      </c>
      <c r="R1590" s="11">
        <v>45424.0</v>
      </c>
      <c r="S1590" s="12"/>
      <c r="T1590" s="8" t="s">
        <v>205</v>
      </c>
      <c r="U1590" s="8" t="s">
        <v>205</v>
      </c>
      <c r="V1590" s="13" t="s">
        <v>8011</v>
      </c>
      <c r="W1590" s="13" t="s">
        <v>8012</v>
      </c>
      <c r="X1590" s="12"/>
      <c r="Y1590" s="14"/>
      <c r="Z1590" s="14"/>
    </row>
    <row r="1591">
      <c r="A1591" s="8" t="s">
        <v>8013</v>
      </c>
      <c r="B1591" s="8" t="s">
        <v>8014</v>
      </c>
      <c r="C1591" s="8" t="s">
        <v>179</v>
      </c>
      <c r="D1591" s="8" t="s">
        <v>26</v>
      </c>
      <c r="E1591" s="8" t="s">
        <v>8015</v>
      </c>
      <c r="F1591" s="8">
        <v>6.62770396E8</v>
      </c>
      <c r="G1591" s="8" t="s">
        <v>84</v>
      </c>
      <c r="H1591" s="8" t="s">
        <v>85</v>
      </c>
      <c r="I1591" s="8" t="s">
        <v>31</v>
      </c>
      <c r="J1591" s="8" t="s">
        <v>542</v>
      </c>
      <c r="K1591" s="10" t="s">
        <v>7910</v>
      </c>
      <c r="L1591" s="8" t="s">
        <v>58</v>
      </c>
      <c r="M1591" s="8" t="s">
        <v>35</v>
      </c>
      <c r="N1591" s="11">
        <v>45028.0</v>
      </c>
      <c r="O1591" s="11">
        <v>45131.0</v>
      </c>
      <c r="P1591" s="11">
        <v>45173.0</v>
      </c>
      <c r="Q1591" s="11"/>
      <c r="R1591" s="11"/>
      <c r="S1591" s="12"/>
      <c r="T1591" s="8"/>
      <c r="U1591" s="8" t="s">
        <v>161</v>
      </c>
      <c r="V1591" s="13" t="s">
        <v>89</v>
      </c>
      <c r="W1591" s="13" t="s">
        <v>8016</v>
      </c>
      <c r="X1591" s="12"/>
      <c r="Y1591" s="14"/>
      <c r="Z1591" s="14"/>
    </row>
    <row r="1592">
      <c r="A1592" s="8" t="s">
        <v>8017</v>
      </c>
      <c r="B1592" s="8" t="s">
        <v>8018</v>
      </c>
      <c r="C1592" s="8" t="s">
        <v>251</v>
      </c>
      <c r="D1592" s="8" t="s">
        <v>26</v>
      </c>
      <c r="E1592" s="8" t="s">
        <v>8019</v>
      </c>
      <c r="F1592" s="8"/>
      <c r="G1592" s="8" t="s">
        <v>31</v>
      </c>
      <c r="H1592" s="8" t="s">
        <v>542</v>
      </c>
      <c r="I1592" s="8" t="s">
        <v>284</v>
      </c>
      <c r="J1592" s="8" t="s">
        <v>285</v>
      </c>
      <c r="K1592" s="10" t="s">
        <v>7771</v>
      </c>
      <c r="L1592" s="8" t="s">
        <v>58</v>
      </c>
      <c r="M1592" s="8" t="s">
        <v>35</v>
      </c>
      <c r="N1592" s="11">
        <v>45028.0</v>
      </c>
      <c r="O1592" s="11">
        <v>45122.0</v>
      </c>
      <c r="P1592" s="11">
        <v>45164.0</v>
      </c>
      <c r="Q1592" s="11"/>
      <c r="R1592" s="11"/>
      <c r="S1592" s="12"/>
      <c r="T1592" s="8"/>
      <c r="U1592" s="8" t="s">
        <v>185</v>
      </c>
      <c r="V1592" s="13" t="s">
        <v>38</v>
      </c>
      <c r="W1592" s="13" t="s">
        <v>8020</v>
      </c>
      <c r="X1592" s="12"/>
      <c r="Y1592" s="14"/>
      <c r="Z1592" s="14"/>
    </row>
    <row r="1593">
      <c r="A1593" s="8" t="s">
        <v>8021</v>
      </c>
      <c r="B1593" s="8" t="s">
        <v>8022</v>
      </c>
      <c r="C1593" s="8" t="s">
        <v>251</v>
      </c>
      <c r="D1593" s="8" t="s">
        <v>26</v>
      </c>
      <c r="E1593" s="8" t="s">
        <v>8023</v>
      </c>
      <c r="F1593" s="8">
        <v>5.54553887E9</v>
      </c>
      <c r="G1593" s="8" t="s">
        <v>31</v>
      </c>
      <c r="H1593" s="8" t="s">
        <v>542</v>
      </c>
      <c r="I1593" s="8" t="s">
        <v>284</v>
      </c>
      <c r="J1593" s="8" t="s">
        <v>285</v>
      </c>
      <c r="K1593" s="10" t="s">
        <v>7771</v>
      </c>
      <c r="L1593" s="8" t="s">
        <v>58</v>
      </c>
      <c r="M1593" s="8" t="s">
        <v>35</v>
      </c>
      <c r="N1593" s="11">
        <v>45028.0</v>
      </c>
      <c r="O1593" s="11">
        <v>45122.0</v>
      </c>
      <c r="P1593" s="11">
        <v>45164.0</v>
      </c>
      <c r="Q1593" s="11"/>
      <c r="R1593" s="11"/>
      <c r="S1593" s="12"/>
      <c r="T1593" s="8"/>
      <c r="U1593" s="8" t="s">
        <v>185</v>
      </c>
      <c r="V1593" s="13" t="s">
        <v>545</v>
      </c>
      <c r="W1593" s="13" t="s">
        <v>8024</v>
      </c>
      <c r="X1593" s="12"/>
      <c r="Y1593" s="14"/>
      <c r="Z1593" s="14"/>
    </row>
    <row r="1594">
      <c r="A1594" s="8" t="s">
        <v>8025</v>
      </c>
      <c r="B1594" s="8" t="s">
        <v>8026</v>
      </c>
      <c r="C1594" s="8" t="s">
        <v>251</v>
      </c>
      <c r="D1594" s="8" t="s">
        <v>26</v>
      </c>
      <c r="E1594" s="8" t="s">
        <v>8027</v>
      </c>
      <c r="F1594" s="8">
        <v>5.456542957E9</v>
      </c>
      <c r="G1594" s="8" t="s">
        <v>31</v>
      </c>
      <c r="H1594" s="8" t="s">
        <v>542</v>
      </c>
      <c r="I1594" s="8" t="s">
        <v>284</v>
      </c>
      <c r="J1594" s="8" t="s">
        <v>285</v>
      </c>
      <c r="K1594" s="10" t="s">
        <v>7771</v>
      </c>
      <c r="L1594" s="8" t="s">
        <v>58</v>
      </c>
      <c r="M1594" s="8" t="s">
        <v>35</v>
      </c>
      <c r="N1594" s="11">
        <v>45028.0</v>
      </c>
      <c r="O1594" s="11">
        <v>45122.0</v>
      </c>
      <c r="P1594" s="11">
        <v>45164.0</v>
      </c>
      <c r="Q1594" s="11"/>
      <c r="R1594" s="11"/>
      <c r="S1594" s="12"/>
      <c r="T1594" s="8"/>
      <c r="U1594" s="8" t="s">
        <v>185</v>
      </c>
      <c r="V1594" s="13" t="s">
        <v>545</v>
      </c>
      <c r="W1594" s="13" t="s">
        <v>8028</v>
      </c>
      <c r="X1594" s="12"/>
      <c r="Y1594" s="14"/>
      <c r="Z1594" s="14"/>
    </row>
    <row r="1595">
      <c r="A1595" s="8" t="s">
        <v>8029</v>
      </c>
      <c r="B1595" s="8" t="s">
        <v>8030</v>
      </c>
      <c r="C1595" s="8" t="s">
        <v>179</v>
      </c>
      <c r="D1595" s="8" t="s">
        <v>26</v>
      </c>
      <c r="E1595" s="8" t="s">
        <v>8031</v>
      </c>
      <c r="F1595" s="8">
        <v>5.35089435E9</v>
      </c>
      <c r="G1595" s="8" t="s">
        <v>31</v>
      </c>
      <c r="H1595" s="8" t="s">
        <v>56</v>
      </c>
      <c r="I1595" s="8" t="s">
        <v>284</v>
      </c>
      <c r="J1595" s="8" t="s">
        <v>1287</v>
      </c>
      <c r="K1595" s="10" t="s">
        <v>8032</v>
      </c>
      <c r="L1595" s="8" t="s">
        <v>58</v>
      </c>
      <c r="M1595" s="8" t="s">
        <v>35</v>
      </c>
      <c r="N1595" s="11">
        <v>45028.0</v>
      </c>
      <c r="O1595" s="11">
        <v>45120.0</v>
      </c>
      <c r="P1595" s="11">
        <v>45162.0</v>
      </c>
      <c r="Q1595" s="11"/>
      <c r="R1595" s="11"/>
      <c r="S1595" s="12"/>
      <c r="T1595" s="8"/>
      <c r="U1595" s="8" t="s">
        <v>153</v>
      </c>
      <c r="V1595" s="13" t="s">
        <v>4518</v>
      </c>
      <c r="W1595" s="13" t="s">
        <v>8033</v>
      </c>
      <c r="X1595" s="12"/>
      <c r="Y1595" s="14"/>
      <c r="Z1595" s="14"/>
    </row>
    <row r="1596">
      <c r="A1596" s="8" t="s">
        <v>8034</v>
      </c>
      <c r="B1596" s="8" t="s">
        <v>8035</v>
      </c>
      <c r="C1596" s="8" t="s">
        <v>179</v>
      </c>
      <c r="D1596" s="8" t="s">
        <v>26</v>
      </c>
      <c r="E1596" s="8" t="s">
        <v>8036</v>
      </c>
      <c r="F1596" s="8">
        <v>6.37607468E8</v>
      </c>
      <c r="G1596" s="8" t="s">
        <v>221</v>
      </c>
      <c r="H1596" s="8" t="s">
        <v>3001</v>
      </c>
      <c r="I1596" s="8" t="s">
        <v>31</v>
      </c>
      <c r="J1596" s="8" t="s">
        <v>86</v>
      </c>
      <c r="K1596" s="10" t="s">
        <v>416</v>
      </c>
      <c r="L1596" s="8" t="s">
        <v>58</v>
      </c>
      <c r="M1596" s="8" t="s">
        <v>35</v>
      </c>
      <c r="N1596" s="11">
        <v>45028.0</v>
      </c>
      <c r="O1596" s="11">
        <v>45162.0</v>
      </c>
      <c r="P1596" s="11">
        <v>45204.0</v>
      </c>
      <c r="Q1596" s="11"/>
      <c r="R1596" s="11"/>
      <c r="S1596" s="12"/>
      <c r="T1596" s="8"/>
      <c r="U1596" s="8" t="s">
        <v>59</v>
      </c>
      <c r="V1596" s="13" t="s">
        <v>8037</v>
      </c>
      <c r="W1596" s="13" t="s">
        <v>8038</v>
      </c>
      <c r="X1596" s="12"/>
      <c r="Y1596" s="14"/>
      <c r="Z1596" s="14"/>
    </row>
    <row r="1597">
      <c r="A1597" s="8" t="s">
        <v>8039</v>
      </c>
      <c r="B1597" s="8" t="s">
        <v>8040</v>
      </c>
      <c r="C1597" s="8" t="s">
        <v>25</v>
      </c>
      <c r="D1597" s="8" t="s">
        <v>26</v>
      </c>
      <c r="E1597" s="8" t="s">
        <v>8041</v>
      </c>
      <c r="F1597" s="8"/>
      <c r="G1597" s="8" t="s">
        <v>1620</v>
      </c>
      <c r="H1597" s="8" t="s">
        <v>8042</v>
      </c>
      <c r="I1597" s="8" t="s">
        <v>31</v>
      </c>
      <c r="J1597" s="8" t="s">
        <v>256</v>
      </c>
      <c r="K1597" s="10" t="s">
        <v>2775</v>
      </c>
      <c r="L1597" s="8" t="s">
        <v>58</v>
      </c>
      <c r="M1597" s="8" t="s">
        <v>35</v>
      </c>
      <c r="N1597" s="11">
        <v>45028.0</v>
      </c>
      <c r="O1597" s="11">
        <v>45097.0</v>
      </c>
      <c r="P1597" s="11">
        <v>45139.0</v>
      </c>
      <c r="Q1597" s="11">
        <v>45097.0</v>
      </c>
      <c r="R1597" s="11">
        <v>45139.0</v>
      </c>
      <c r="S1597" s="12"/>
      <c r="T1597" s="8"/>
      <c r="U1597" s="8" t="s">
        <v>59</v>
      </c>
      <c r="V1597" s="13" t="s">
        <v>38</v>
      </c>
      <c r="W1597" s="13" t="s">
        <v>8043</v>
      </c>
      <c r="X1597" s="12"/>
      <c r="Y1597" s="14"/>
      <c r="Z1597" s="14"/>
    </row>
    <row r="1598">
      <c r="A1598" s="8" t="s">
        <v>8044</v>
      </c>
      <c r="B1598" s="8" t="s">
        <v>8045</v>
      </c>
      <c r="C1598" s="8" t="s">
        <v>25</v>
      </c>
      <c r="D1598" s="8" t="s">
        <v>26</v>
      </c>
      <c r="E1598" s="8" t="s">
        <v>8046</v>
      </c>
      <c r="F1598" s="8">
        <v>6.8091183E7</v>
      </c>
      <c r="G1598" s="8" t="s">
        <v>6352</v>
      </c>
      <c r="H1598" s="8" t="s">
        <v>6353</v>
      </c>
      <c r="I1598" s="8" t="s">
        <v>31</v>
      </c>
      <c r="J1598" s="8" t="s">
        <v>167</v>
      </c>
      <c r="K1598" s="10" t="s">
        <v>5996</v>
      </c>
      <c r="L1598" s="8" t="s">
        <v>58</v>
      </c>
      <c r="M1598" s="8" t="s">
        <v>35</v>
      </c>
      <c r="N1598" s="11">
        <v>45028.0</v>
      </c>
      <c r="O1598" s="11">
        <v>45117.0</v>
      </c>
      <c r="P1598" s="11">
        <v>45159.0</v>
      </c>
      <c r="Q1598" s="11">
        <v>45117.0</v>
      </c>
      <c r="R1598" s="11">
        <v>45159.0</v>
      </c>
      <c r="S1598" s="12"/>
      <c r="T1598" s="8"/>
      <c r="U1598" s="8" t="s">
        <v>130</v>
      </c>
      <c r="V1598" s="13" t="s">
        <v>6354</v>
      </c>
      <c r="W1598" s="13" t="s">
        <v>8047</v>
      </c>
      <c r="X1598" s="12"/>
      <c r="Y1598" s="14"/>
      <c r="Z1598" s="14"/>
    </row>
    <row r="1599">
      <c r="A1599" s="8" t="s">
        <v>8048</v>
      </c>
      <c r="B1599" s="8" t="s">
        <v>8049</v>
      </c>
      <c r="C1599" s="8" t="s">
        <v>179</v>
      </c>
      <c r="D1599" s="8" t="s">
        <v>26</v>
      </c>
      <c r="E1599" s="8" t="s">
        <v>8050</v>
      </c>
      <c r="F1599" s="8">
        <v>9.892763443E9</v>
      </c>
      <c r="G1599" s="8" t="s">
        <v>44</v>
      </c>
      <c r="H1599" s="8" t="s">
        <v>1433</v>
      </c>
      <c r="I1599" s="8" t="s">
        <v>31</v>
      </c>
      <c r="J1599" s="8" t="s">
        <v>102</v>
      </c>
      <c r="K1599" s="10" t="s">
        <v>6221</v>
      </c>
      <c r="L1599" s="8" t="s">
        <v>58</v>
      </c>
      <c r="M1599" s="8" t="s">
        <v>35</v>
      </c>
      <c r="N1599" s="11">
        <v>45028.0</v>
      </c>
      <c r="O1599" s="11">
        <v>45054.0</v>
      </c>
      <c r="P1599" s="11">
        <v>45096.0</v>
      </c>
      <c r="Q1599" s="11"/>
      <c r="R1599" s="11"/>
      <c r="S1599" s="12"/>
      <c r="T1599" s="8"/>
      <c r="U1599" s="8" t="s">
        <v>59</v>
      </c>
      <c r="V1599" s="13" t="s">
        <v>7173</v>
      </c>
      <c r="W1599" s="13" t="s">
        <v>8051</v>
      </c>
      <c r="X1599" s="12"/>
      <c r="Y1599" s="14"/>
      <c r="Z1599" s="14"/>
    </row>
    <row r="1600">
      <c r="A1600" s="8" t="s">
        <v>8052</v>
      </c>
      <c r="B1600" s="8" t="s">
        <v>1192</v>
      </c>
      <c r="C1600" s="8" t="s">
        <v>64</v>
      </c>
      <c r="D1600" s="8" t="s">
        <v>26</v>
      </c>
      <c r="E1600" s="8" t="s">
        <v>1193</v>
      </c>
      <c r="F1600" s="8">
        <v>6.98888917E8</v>
      </c>
      <c r="G1600" s="8" t="s">
        <v>254</v>
      </c>
      <c r="H1600" s="8" t="s">
        <v>758</v>
      </c>
      <c r="I1600" s="8" t="s">
        <v>31</v>
      </c>
      <c r="J1600" s="8" t="s">
        <v>32</v>
      </c>
      <c r="K1600" s="10" t="s">
        <v>8053</v>
      </c>
      <c r="L1600" s="8" t="s">
        <v>34</v>
      </c>
      <c r="M1600" s="8" t="s">
        <v>70</v>
      </c>
      <c r="N1600" s="11">
        <v>45028.0</v>
      </c>
      <c r="O1600" s="11">
        <v>45027.0</v>
      </c>
      <c r="P1600" s="11">
        <v>45261.0</v>
      </c>
      <c r="Q1600" s="11">
        <v>45029.0</v>
      </c>
      <c r="R1600" s="11">
        <v>45279.0</v>
      </c>
      <c r="S1600" s="12"/>
      <c r="T1600" s="8" t="s">
        <v>36</v>
      </c>
      <c r="U1600" s="8" t="s">
        <v>8054</v>
      </c>
      <c r="V1600" s="13" t="s">
        <v>1194</v>
      </c>
      <c r="W1600" s="13" t="s">
        <v>1195</v>
      </c>
      <c r="X1600" s="12"/>
      <c r="Y1600" s="14"/>
      <c r="Z1600" s="14"/>
    </row>
    <row r="1601">
      <c r="A1601" s="8" t="s">
        <v>8055</v>
      </c>
      <c r="B1601" s="8" t="s">
        <v>8056</v>
      </c>
      <c r="C1601" s="8" t="s">
        <v>179</v>
      </c>
      <c r="D1601" s="8" t="s">
        <v>26</v>
      </c>
      <c r="E1601" s="8" t="s">
        <v>8057</v>
      </c>
      <c r="F1601" s="8"/>
      <c r="G1601" s="8" t="s">
        <v>1510</v>
      </c>
      <c r="H1601" s="8" t="s">
        <v>8058</v>
      </c>
      <c r="I1601" s="8" t="s">
        <v>31</v>
      </c>
      <c r="J1601" s="8" t="s">
        <v>167</v>
      </c>
      <c r="K1601" s="10" t="s">
        <v>5996</v>
      </c>
      <c r="L1601" s="8" t="s">
        <v>58</v>
      </c>
      <c r="M1601" s="8" t="s">
        <v>35</v>
      </c>
      <c r="N1601" s="11">
        <v>45028.0</v>
      </c>
      <c r="O1601" s="11">
        <v>45117.0</v>
      </c>
      <c r="P1601" s="11">
        <v>45159.0</v>
      </c>
      <c r="Q1601" s="11"/>
      <c r="R1601" s="11"/>
      <c r="S1601" s="12"/>
      <c r="T1601" s="8"/>
      <c r="U1601" s="8" t="s">
        <v>130</v>
      </c>
      <c r="V1601" s="13" t="s">
        <v>38</v>
      </c>
      <c r="W1601" s="13" t="s">
        <v>8059</v>
      </c>
      <c r="X1601" s="12"/>
      <c r="Y1601" s="14"/>
      <c r="Z1601" s="14"/>
    </row>
    <row r="1602">
      <c r="A1602" s="8" t="s">
        <v>8060</v>
      </c>
      <c r="B1602" s="8" t="s">
        <v>8061</v>
      </c>
      <c r="C1602" s="8" t="s">
        <v>25</v>
      </c>
      <c r="D1602" s="8" t="s">
        <v>26</v>
      </c>
      <c r="E1602" s="8" t="s">
        <v>8062</v>
      </c>
      <c r="F1602" s="8" t="s">
        <v>8063</v>
      </c>
      <c r="G1602" s="8" t="s">
        <v>31</v>
      </c>
      <c r="H1602" s="8" t="s">
        <v>220</v>
      </c>
      <c r="I1602" s="8" t="s">
        <v>54</v>
      </c>
      <c r="J1602" s="8" t="s">
        <v>244</v>
      </c>
      <c r="K1602" s="10" t="s">
        <v>7460</v>
      </c>
      <c r="L1602" s="8" t="s">
        <v>58</v>
      </c>
      <c r="M1602" s="8" t="s">
        <v>35</v>
      </c>
      <c r="N1602" s="11">
        <v>45029.0</v>
      </c>
      <c r="O1602" s="11">
        <v>45139.0</v>
      </c>
      <c r="P1602" s="11">
        <v>45184.0</v>
      </c>
      <c r="Q1602" s="11">
        <v>45138.0</v>
      </c>
      <c r="R1602" s="11">
        <v>45184.0</v>
      </c>
      <c r="S1602" s="12"/>
      <c r="T1602" s="8"/>
      <c r="U1602" s="8" t="s">
        <v>402</v>
      </c>
      <c r="V1602" s="13" t="s">
        <v>220</v>
      </c>
      <c r="W1602" s="13" t="s">
        <v>8064</v>
      </c>
      <c r="X1602" s="12"/>
      <c r="Y1602" s="14"/>
      <c r="Z1602" s="14"/>
    </row>
    <row r="1603">
      <c r="A1603" s="8" t="s">
        <v>8065</v>
      </c>
      <c r="B1603" s="8" t="s">
        <v>8066</v>
      </c>
      <c r="C1603" s="8" t="s">
        <v>25</v>
      </c>
      <c r="D1603" s="8" t="s">
        <v>26</v>
      </c>
      <c r="E1603" s="8" t="s">
        <v>8067</v>
      </c>
      <c r="F1603" s="8">
        <v>3.316650288E9</v>
      </c>
      <c r="G1603" s="8" t="s">
        <v>315</v>
      </c>
      <c r="H1603" s="8" t="s">
        <v>1242</v>
      </c>
      <c r="I1603" s="8" t="s">
        <v>31</v>
      </c>
      <c r="J1603" s="8" t="s">
        <v>167</v>
      </c>
      <c r="K1603" s="10" t="s">
        <v>5849</v>
      </c>
      <c r="L1603" s="8" t="s">
        <v>58</v>
      </c>
      <c r="M1603" s="8" t="s">
        <v>35</v>
      </c>
      <c r="N1603" s="11">
        <v>45029.0</v>
      </c>
      <c r="O1603" s="11">
        <v>45061.0</v>
      </c>
      <c r="P1603" s="11">
        <v>45103.0</v>
      </c>
      <c r="Q1603" s="11">
        <v>45069.0</v>
      </c>
      <c r="R1603" s="11">
        <v>45111.0</v>
      </c>
      <c r="S1603" s="12"/>
      <c r="T1603" s="8"/>
      <c r="U1603" s="8" t="s">
        <v>59</v>
      </c>
      <c r="V1603" s="13" t="s">
        <v>8068</v>
      </c>
      <c r="W1603" s="13" t="s">
        <v>8069</v>
      </c>
      <c r="X1603" s="12"/>
      <c r="Y1603" s="14"/>
      <c r="Z1603" s="14"/>
    </row>
    <row r="1604">
      <c r="A1604" s="8" t="s">
        <v>8070</v>
      </c>
      <c r="B1604" s="8" t="s">
        <v>8071</v>
      </c>
      <c r="C1604" s="8" t="s">
        <v>25</v>
      </c>
      <c r="D1604" s="8" t="s">
        <v>26</v>
      </c>
      <c r="E1604" s="8" t="s">
        <v>8072</v>
      </c>
      <c r="F1604" s="8">
        <v>3.411144482E9</v>
      </c>
      <c r="G1604" s="8" t="s">
        <v>315</v>
      </c>
      <c r="H1604" s="8" t="s">
        <v>1242</v>
      </c>
      <c r="I1604" s="8" t="s">
        <v>31</v>
      </c>
      <c r="J1604" s="8" t="s">
        <v>438</v>
      </c>
      <c r="K1604" s="10" t="s">
        <v>6789</v>
      </c>
      <c r="L1604" s="8" t="s">
        <v>58</v>
      </c>
      <c r="M1604" s="8" t="s">
        <v>35</v>
      </c>
      <c r="N1604" s="11">
        <v>45029.0</v>
      </c>
      <c r="O1604" s="11">
        <v>45103.0</v>
      </c>
      <c r="P1604" s="11">
        <v>45145.0</v>
      </c>
      <c r="Q1604" s="11">
        <v>45109.0</v>
      </c>
      <c r="R1604" s="11">
        <v>45149.0</v>
      </c>
      <c r="S1604" s="12"/>
      <c r="T1604" s="8"/>
      <c r="U1604" s="8" t="s">
        <v>632</v>
      </c>
      <c r="V1604" s="13" t="s">
        <v>8073</v>
      </c>
      <c r="W1604" s="13" t="s">
        <v>8074</v>
      </c>
      <c r="X1604" s="12"/>
      <c r="Y1604" s="14"/>
      <c r="Z1604" s="14"/>
    </row>
    <row r="1605">
      <c r="A1605" s="8" t="s">
        <v>8075</v>
      </c>
      <c r="B1605" s="8" t="s">
        <v>8076</v>
      </c>
      <c r="C1605" s="8" t="s">
        <v>25</v>
      </c>
      <c r="D1605" s="8" t="s">
        <v>26</v>
      </c>
      <c r="E1605" s="8" t="s">
        <v>8077</v>
      </c>
      <c r="F1605" s="8">
        <v>6.86904359E8</v>
      </c>
      <c r="G1605" s="8" t="s">
        <v>1620</v>
      </c>
      <c r="H1605" s="8" t="s">
        <v>4288</v>
      </c>
      <c r="I1605" s="8" t="s">
        <v>31</v>
      </c>
      <c r="J1605" s="8" t="s">
        <v>542</v>
      </c>
      <c r="K1605" s="10" t="s">
        <v>7910</v>
      </c>
      <c r="L1605" s="8" t="s">
        <v>58</v>
      </c>
      <c r="M1605" s="8" t="s">
        <v>35</v>
      </c>
      <c r="N1605" s="11">
        <v>45029.0</v>
      </c>
      <c r="O1605" s="11">
        <v>45089.0</v>
      </c>
      <c r="P1605" s="11">
        <v>45131.0</v>
      </c>
      <c r="Q1605" s="11">
        <v>45089.0</v>
      </c>
      <c r="R1605" s="11">
        <v>45131.0</v>
      </c>
      <c r="S1605" s="12"/>
      <c r="T1605" s="8"/>
      <c r="U1605" s="8" t="s">
        <v>161</v>
      </c>
      <c r="V1605" s="13" t="s">
        <v>5939</v>
      </c>
      <c r="W1605" s="13" t="s">
        <v>8078</v>
      </c>
      <c r="X1605" s="12"/>
      <c r="Y1605" s="14"/>
      <c r="Z1605" s="14"/>
    </row>
    <row r="1606">
      <c r="A1606" s="8" t="s">
        <v>8079</v>
      </c>
      <c r="B1606" s="8" t="s">
        <v>8080</v>
      </c>
      <c r="C1606" s="8" t="s">
        <v>25</v>
      </c>
      <c r="D1606" s="8" t="s">
        <v>26</v>
      </c>
      <c r="E1606" s="8" t="s">
        <v>8081</v>
      </c>
      <c r="F1606" s="8">
        <v>3.323525962E9</v>
      </c>
      <c r="G1606" s="8" t="s">
        <v>315</v>
      </c>
      <c r="H1606" s="8" t="s">
        <v>6834</v>
      </c>
      <c r="I1606" s="8" t="s">
        <v>31</v>
      </c>
      <c r="J1606" s="8" t="s">
        <v>86</v>
      </c>
      <c r="K1606" s="10" t="s">
        <v>87</v>
      </c>
      <c r="L1606" s="8" t="s">
        <v>58</v>
      </c>
      <c r="M1606" s="8" t="s">
        <v>35</v>
      </c>
      <c r="N1606" s="11">
        <v>45029.0</v>
      </c>
      <c r="O1606" s="11">
        <v>45070.0</v>
      </c>
      <c r="P1606" s="11">
        <v>45112.0</v>
      </c>
      <c r="Q1606" s="11">
        <v>45081.0</v>
      </c>
      <c r="R1606" s="11">
        <v>45124.0</v>
      </c>
      <c r="S1606" s="12"/>
      <c r="T1606" s="8"/>
      <c r="U1606" s="8" t="s">
        <v>88</v>
      </c>
      <c r="V1606" s="13" t="s">
        <v>6835</v>
      </c>
      <c r="W1606" s="13" t="s">
        <v>8082</v>
      </c>
      <c r="X1606" s="12"/>
      <c r="Y1606" s="14"/>
      <c r="Z1606" s="14"/>
    </row>
    <row r="1607">
      <c r="A1607" s="8" t="s">
        <v>8083</v>
      </c>
      <c r="B1607" s="8" t="s">
        <v>8084</v>
      </c>
      <c r="C1607" s="8" t="s">
        <v>708</v>
      </c>
      <c r="D1607" s="8" t="s">
        <v>26</v>
      </c>
      <c r="E1607" s="8" t="s">
        <v>8085</v>
      </c>
      <c r="F1607" s="8">
        <v>6.58824448E8</v>
      </c>
      <c r="G1607" s="8" t="s">
        <v>254</v>
      </c>
      <c r="H1607" s="8" t="s">
        <v>758</v>
      </c>
      <c r="I1607" s="8" t="s">
        <v>31</v>
      </c>
      <c r="J1607" s="8" t="s">
        <v>220</v>
      </c>
      <c r="K1607" s="10" t="s">
        <v>2198</v>
      </c>
      <c r="L1607" s="8" t="s">
        <v>47</v>
      </c>
      <c r="M1607" s="8" t="s">
        <v>70</v>
      </c>
      <c r="N1607" s="11">
        <v>45029.0</v>
      </c>
      <c r="O1607" s="11">
        <v>45051.0</v>
      </c>
      <c r="P1607" s="11">
        <v>45417.0</v>
      </c>
      <c r="Q1607" s="11">
        <v>45072.0</v>
      </c>
      <c r="R1607" s="11">
        <v>45438.0</v>
      </c>
      <c r="S1607" s="12"/>
      <c r="T1607" s="8"/>
      <c r="U1607" s="8" t="s">
        <v>2199</v>
      </c>
      <c r="V1607" s="13" t="s">
        <v>1194</v>
      </c>
      <c r="W1607" s="13" t="s">
        <v>8086</v>
      </c>
      <c r="X1607" s="12"/>
      <c r="Y1607" s="14"/>
      <c r="Z1607" s="14"/>
    </row>
    <row r="1608">
      <c r="A1608" s="8" t="s">
        <v>8087</v>
      </c>
      <c r="B1608" s="8" t="s">
        <v>8088</v>
      </c>
      <c r="C1608" s="8" t="s">
        <v>25</v>
      </c>
      <c r="D1608" s="8" t="s">
        <v>26</v>
      </c>
      <c r="E1608" s="8" t="s">
        <v>8089</v>
      </c>
      <c r="F1608" s="8">
        <v>5.456231126E9</v>
      </c>
      <c r="G1608" s="8" t="s">
        <v>31</v>
      </c>
      <c r="H1608" s="8" t="s">
        <v>959</v>
      </c>
      <c r="I1608" s="8" t="s">
        <v>284</v>
      </c>
      <c r="J1608" s="8" t="s">
        <v>3586</v>
      </c>
      <c r="K1608" s="10" t="s">
        <v>8090</v>
      </c>
      <c r="L1608" s="8" t="s">
        <v>58</v>
      </c>
      <c r="M1608" s="8" t="s">
        <v>35</v>
      </c>
      <c r="N1608" s="11">
        <v>45029.0</v>
      </c>
      <c r="O1608" s="11">
        <v>45108.0</v>
      </c>
      <c r="P1608" s="11">
        <v>45150.0</v>
      </c>
      <c r="Q1608" s="11">
        <v>45110.0</v>
      </c>
      <c r="R1608" s="11">
        <v>45152.0</v>
      </c>
      <c r="S1608" s="12"/>
      <c r="T1608" s="8"/>
      <c r="U1608" s="8" t="s">
        <v>59</v>
      </c>
      <c r="V1608" s="13" t="s">
        <v>1069</v>
      </c>
      <c r="W1608" s="13" t="s">
        <v>8091</v>
      </c>
      <c r="X1608" s="12"/>
      <c r="Y1608" s="14"/>
      <c r="Z1608" s="14"/>
    </row>
    <row r="1609">
      <c r="A1609" s="8" t="s">
        <v>8092</v>
      </c>
      <c r="B1609" s="8" t="s">
        <v>8093</v>
      </c>
      <c r="C1609" s="8" t="s">
        <v>25</v>
      </c>
      <c r="D1609" s="8" t="s">
        <v>26</v>
      </c>
      <c r="E1609" s="8" t="s">
        <v>8094</v>
      </c>
      <c r="F1609" s="8"/>
      <c r="G1609" s="8" t="s">
        <v>315</v>
      </c>
      <c r="H1609" s="8" t="s">
        <v>8095</v>
      </c>
      <c r="I1609" s="8" t="s">
        <v>31</v>
      </c>
      <c r="J1609" s="8" t="s">
        <v>1274</v>
      </c>
      <c r="K1609" s="10" t="s">
        <v>1641</v>
      </c>
      <c r="L1609" s="8" t="s">
        <v>58</v>
      </c>
      <c r="M1609" s="8" t="s">
        <v>35</v>
      </c>
      <c r="N1609" s="11">
        <v>45029.0</v>
      </c>
      <c r="O1609" s="11">
        <v>45047.0</v>
      </c>
      <c r="P1609" s="11">
        <v>45089.0</v>
      </c>
      <c r="Q1609" s="11">
        <v>45058.0</v>
      </c>
      <c r="R1609" s="11">
        <v>45099.0</v>
      </c>
      <c r="S1609" s="12"/>
      <c r="T1609" s="8"/>
      <c r="U1609" s="8" t="s">
        <v>185</v>
      </c>
      <c r="V1609" s="13" t="s">
        <v>38</v>
      </c>
      <c r="W1609" s="13" t="s">
        <v>8096</v>
      </c>
      <c r="X1609" s="12"/>
      <c r="Y1609" s="14"/>
      <c r="Z1609" s="14"/>
    </row>
    <row r="1610">
      <c r="A1610" s="8" t="s">
        <v>8097</v>
      </c>
      <c r="B1610" s="8" t="s">
        <v>8098</v>
      </c>
      <c r="C1610" s="8" t="s">
        <v>179</v>
      </c>
      <c r="D1610" s="8" t="s">
        <v>26</v>
      </c>
      <c r="E1610" s="8" t="s">
        <v>8099</v>
      </c>
      <c r="F1610" s="8">
        <v>5.46572264E9</v>
      </c>
      <c r="G1610" s="8" t="s">
        <v>31</v>
      </c>
      <c r="H1610" s="8" t="s">
        <v>32</v>
      </c>
      <c r="I1610" s="8" t="s">
        <v>399</v>
      </c>
      <c r="J1610" s="8" t="s">
        <v>400</v>
      </c>
      <c r="K1610" s="10" t="s">
        <v>1700</v>
      </c>
      <c r="L1610" s="8" t="s">
        <v>58</v>
      </c>
      <c r="M1610" s="8" t="s">
        <v>35</v>
      </c>
      <c r="N1610" s="11">
        <v>45029.0</v>
      </c>
      <c r="O1610" s="11">
        <v>45200.0</v>
      </c>
      <c r="P1610" s="11">
        <v>45242.0</v>
      </c>
      <c r="Q1610" s="11"/>
      <c r="R1610" s="11"/>
      <c r="S1610" s="12"/>
      <c r="T1610" s="8"/>
      <c r="U1610" s="8" t="s">
        <v>1038</v>
      </c>
      <c r="V1610" s="13" t="s">
        <v>537</v>
      </c>
      <c r="W1610" s="13" t="s">
        <v>8100</v>
      </c>
      <c r="X1610" s="12"/>
      <c r="Y1610" s="14"/>
      <c r="Z1610" s="14"/>
    </row>
    <row r="1611">
      <c r="A1611" s="8" t="s">
        <v>8101</v>
      </c>
      <c r="B1611" s="8" t="s">
        <v>8102</v>
      </c>
      <c r="C1611" s="8" t="s">
        <v>179</v>
      </c>
      <c r="D1611" s="8" t="s">
        <v>26</v>
      </c>
      <c r="E1611" s="8" t="s">
        <v>8103</v>
      </c>
      <c r="F1611" s="8">
        <v>1.064944225E9</v>
      </c>
      <c r="G1611" s="8" t="s">
        <v>284</v>
      </c>
      <c r="H1611" s="8" t="s">
        <v>793</v>
      </c>
      <c r="I1611" s="8" t="s">
        <v>31</v>
      </c>
      <c r="J1611" s="8" t="s">
        <v>32</v>
      </c>
      <c r="K1611" s="10" t="s">
        <v>561</v>
      </c>
      <c r="L1611" s="8" t="s">
        <v>58</v>
      </c>
      <c r="M1611" s="8" t="s">
        <v>35</v>
      </c>
      <c r="N1611" s="11">
        <v>45029.0</v>
      </c>
      <c r="O1611" s="11">
        <v>45144.0</v>
      </c>
      <c r="P1611" s="11">
        <v>45186.0</v>
      </c>
      <c r="Q1611" s="11"/>
      <c r="R1611" s="11"/>
      <c r="S1611" s="12"/>
      <c r="T1611" s="8"/>
      <c r="U1611" s="8" t="s">
        <v>59</v>
      </c>
      <c r="V1611" s="13" t="s">
        <v>793</v>
      </c>
      <c r="W1611" s="13" t="s">
        <v>8104</v>
      </c>
      <c r="X1611" s="12"/>
      <c r="Y1611" s="14"/>
      <c r="Z1611" s="14"/>
    </row>
    <row r="1612">
      <c r="A1612" s="8" t="s">
        <v>8105</v>
      </c>
      <c r="B1612" s="8" t="s">
        <v>8106</v>
      </c>
      <c r="C1612" s="8" t="s">
        <v>25</v>
      </c>
      <c r="D1612" s="8" t="s">
        <v>26</v>
      </c>
      <c r="E1612" s="8" t="s">
        <v>8107</v>
      </c>
      <c r="F1612" s="8"/>
      <c r="G1612" s="8" t="s">
        <v>31</v>
      </c>
      <c r="H1612" s="8" t="s">
        <v>86</v>
      </c>
      <c r="I1612" s="8" t="s">
        <v>29</v>
      </c>
      <c r="J1612" s="8" t="s">
        <v>2448</v>
      </c>
      <c r="K1612" s="10" t="s">
        <v>8108</v>
      </c>
      <c r="L1612" s="8" t="s">
        <v>58</v>
      </c>
      <c r="M1612" s="8" t="s">
        <v>35</v>
      </c>
      <c r="N1612" s="11">
        <v>45029.0</v>
      </c>
      <c r="O1612" s="11">
        <v>45159.0</v>
      </c>
      <c r="P1612" s="11">
        <v>45201.0</v>
      </c>
      <c r="Q1612" s="11">
        <v>45159.0</v>
      </c>
      <c r="R1612" s="11">
        <v>45201.0</v>
      </c>
      <c r="S1612" s="12"/>
      <c r="T1612" s="8"/>
      <c r="U1612" s="8" t="s">
        <v>88</v>
      </c>
      <c r="V1612" s="13" t="s">
        <v>38</v>
      </c>
      <c r="W1612" s="13" t="s">
        <v>8109</v>
      </c>
      <c r="X1612" s="12"/>
      <c r="Y1612" s="14"/>
      <c r="Z1612" s="14"/>
    </row>
    <row r="1613">
      <c r="A1613" s="8" t="s">
        <v>8110</v>
      </c>
      <c r="B1613" s="8" t="s">
        <v>8111</v>
      </c>
      <c r="C1613" s="8" t="s">
        <v>64</v>
      </c>
      <c r="D1613" s="8" t="s">
        <v>26</v>
      </c>
      <c r="E1613" s="8" t="s">
        <v>8112</v>
      </c>
      <c r="F1613" s="8">
        <v>3.352272282E9</v>
      </c>
      <c r="G1613" s="8" t="s">
        <v>315</v>
      </c>
      <c r="H1613" s="8" t="s">
        <v>6834</v>
      </c>
      <c r="I1613" s="8" t="s">
        <v>31</v>
      </c>
      <c r="J1613" s="8" t="s">
        <v>86</v>
      </c>
      <c r="K1613" s="10" t="s">
        <v>2453</v>
      </c>
      <c r="L1613" s="8" t="s">
        <v>58</v>
      </c>
      <c r="M1613" s="8" t="s">
        <v>35</v>
      </c>
      <c r="N1613" s="11">
        <v>45029.0</v>
      </c>
      <c r="O1613" s="11">
        <v>45090.0</v>
      </c>
      <c r="P1613" s="11">
        <v>45132.0</v>
      </c>
      <c r="Q1613" s="11">
        <v>45090.0</v>
      </c>
      <c r="R1613" s="11">
        <v>45132.0</v>
      </c>
      <c r="S1613" s="12"/>
      <c r="T1613" s="8"/>
      <c r="U1613" s="8" t="s">
        <v>59</v>
      </c>
      <c r="V1613" s="13" t="s">
        <v>6835</v>
      </c>
      <c r="W1613" s="13" t="s">
        <v>8113</v>
      </c>
      <c r="X1613" s="12"/>
      <c r="Y1613" s="14"/>
      <c r="Z1613" s="14"/>
    </row>
    <row r="1614">
      <c r="A1614" s="8" t="s">
        <v>8114</v>
      </c>
      <c r="B1614" s="8" t="s">
        <v>8115</v>
      </c>
      <c r="C1614" s="8" t="s">
        <v>179</v>
      </c>
      <c r="D1614" s="8" t="s">
        <v>26</v>
      </c>
      <c r="E1614" s="8" t="s">
        <v>8116</v>
      </c>
      <c r="F1614" s="8">
        <v>5.532912178E9</v>
      </c>
      <c r="G1614" s="8" t="s">
        <v>31</v>
      </c>
      <c r="H1614" s="8" t="s">
        <v>56</v>
      </c>
      <c r="I1614" s="8" t="s">
        <v>44</v>
      </c>
      <c r="J1614" s="8" t="s">
        <v>1993</v>
      </c>
      <c r="K1614" s="10" t="s">
        <v>2645</v>
      </c>
      <c r="L1614" s="8" t="s">
        <v>58</v>
      </c>
      <c r="M1614" s="8" t="s">
        <v>35</v>
      </c>
      <c r="N1614" s="11">
        <v>45029.0</v>
      </c>
      <c r="O1614" s="11">
        <v>45296.0</v>
      </c>
      <c r="P1614" s="11">
        <v>45338.0</v>
      </c>
      <c r="Q1614" s="11"/>
      <c r="R1614" s="11"/>
      <c r="S1614" s="12"/>
      <c r="T1614" s="8"/>
      <c r="U1614" s="8" t="s">
        <v>88</v>
      </c>
      <c r="V1614" s="13" t="s">
        <v>56</v>
      </c>
      <c r="W1614" s="13" t="s">
        <v>8117</v>
      </c>
      <c r="X1614" s="12"/>
      <c r="Y1614" s="14"/>
      <c r="Z1614" s="14"/>
    </row>
    <row r="1615">
      <c r="A1615" s="8" t="s">
        <v>8118</v>
      </c>
      <c r="B1615" s="8" t="s">
        <v>8119</v>
      </c>
      <c r="C1615" s="8" t="s">
        <v>179</v>
      </c>
      <c r="D1615" s="8" t="s">
        <v>26</v>
      </c>
      <c r="E1615" s="8" t="s">
        <v>8120</v>
      </c>
      <c r="F1615" s="8">
        <v>5.5684727E7</v>
      </c>
      <c r="G1615" s="8" t="s">
        <v>54</v>
      </c>
      <c r="H1615" s="8" t="s">
        <v>135</v>
      </c>
      <c r="I1615" s="8" t="s">
        <v>31</v>
      </c>
      <c r="J1615" s="8" t="s">
        <v>43</v>
      </c>
      <c r="K1615" s="10" t="s">
        <v>837</v>
      </c>
      <c r="L1615" s="8" t="s">
        <v>58</v>
      </c>
      <c r="M1615" s="8" t="s">
        <v>35</v>
      </c>
      <c r="N1615" s="11">
        <v>45029.0</v>
      </c>
      <c r="O1615" s="11">
        <v>45145.0</v>
      </c>
      <c r="P1615" s="11">
        <v>45191.0</v>
      </c>
      <c r="Q1615" s="11"/>
      <c r="R1615" s="11"/>
      <c r="S1615" s="12"/>
      <c r="T1615" s="8"/>
      <c r="U1615" s="8" t="s">
        <v>130</v>
      </c>
      <c r="V1615" s="13" t="s">
        <v>6430</v>
      </c>
      <c r="W1615" s="13" t="s">
        <v>8121</v>
      </c>
      <c r="X1615" s="12"/>
      <c r="Y1615" s="14"/>
      <c r="Z1615" s="14"/>
    </row>
    <row r="1616">
      <c r="A1616" s="8" t="s">
        <v>8122</v>
      </c>
      <c r="B1616" s="8" t="s">
        <v>8123</v>
      </c>
      <c r="C1616" s="8" t="s">
        <v>25</v>
      </c>
      <c r="D1616" s="8" t="s">
        <v>26</v>
      </c>
      <c r="E1616" s="8" t="s">
        <v>8124</v>
      </c>
      <c r="F1616" s="8" t="s">
        <v>8125</v>
      </c>
      <c r="G1616" s="8" t="s">
        <v>31</v>
      </c>
      <c r="H1616" s="8" t="s">
        <v>66</v>
      </c>
      <c r="I1616" s="8" t="s">
        <v>54</v>
      </c>
      <c r="J1616" s="8" t="s">
        <v>595</v>
      </c>
      <c r="K1616" s="10" t="s">
        <v>8126</v>
      </c>
      <c r="L1616" s="8" t="s">
        <v>58</v>
      </c>
      <c r="M1616" s="8" t="s">
        <v>35</v>
      </c>
      <c r="N1616" s="11">
        <v>45030.0</v>
      </c>
      <c r="O1616" s="11">
        <v>45108.0</v>
      </c>
      <c r="P1616" s="11">
        <v>45150.0</v>
      </c>
      <c r="Q1616" s="11">
        <v>45108.0</v>
      </c>
      <c r="R1616" s="11">
        <v>45150.0</v>
      </c>
      <c r="S1616" s="12"/>
      <c r="T1616" s="8"/>
      <c r="U1616" s="8" t="s">
        <v>59</v>
      </c>
      <c r="V1616" s="13" t="s">
        <v>66</v>
      </c>
      <c r="W1616" s="13" t="s">
        <v>8127</v>
      </c>
      <c r="X1616" s="12"/>
      <c r="Y1616" s="14"/>
      <c r="Z1616" s="14"/>
    </row>
    <row r="1617">
      <c r="A1617" s="8" t="s">
        <v>8128</v>
      </c>
      <c r="B1617" s="8" t="s">
        <v>8129</v>
      </c>
      <c r="C1617" s="8" t="s">
        <v>25</v>
      </c>
      <c r="D1617" s="8" t="s">
        <v>26</v>
      </c>
      <c r="E1617" s="8" t="s">
        <v>8130</v>
      </c>
      <c r="F1617" s="8">
        <v>6.54908522E8</v>
      </c>
      <c r="G1617" s="8" t="s">
        <v>84</v>
      </c>
      <c r="H1617" s="8" t="s">
        <v>752</v>
      </c>
      <c r="I1617" s="8" t="s">
        <v>31</v>
      </c>
      <c r="J1617" s="8" t="s">
        <v>77</v>
      </c>
      <c r="K1617" s="10" t="s">
        <v>1582</v>
      </c>
      <c r="L1617" s="8" t="s">
        <v>58</v>
      </c>
      <c r="M1617" s="8" t="s">
        <v>35</v>
      </c>
      <c r="N1617" s="11">
        <v>45030.0</v>
      </c>
      <c r="O1617" s="11">
        <v>45117.0</v>
      </c>
      <c r="P1617" s="11">
        <v>45159.0</v>
      </c>
      <c r="Q1617" s="11">
        <v>45116.0</v>
      </c>
      <c r="R1617" s="11">
        <v>45159.0</v>
      </c>
      <c r="S1617" s="12"/>
      <c r="T1617" s="8"/>
      <c r="U1617" s="8" t="s">
        <v>59</v>
      </c>
      <c r="V1617" s="13" t="s">
        <v>8131</v>
      </c>
      <c r="W1617" s="13" t="s">
        <v>8132</v>
      </c>
      <c r="X1617" s="12"/>
      <c r="Y1617" s="14"/>
      <c r="Z1617" s="14"/>
    </row>
    <row r="1618">
      <c r="A1618" s="8" t="s">
        <v>8133</v>
      </c>
      <c r="B1618" s="8" t="s">
        <v>8134</v>
      </c>
      <c r="C1618" s="8" t="s">
        <v>25</v>
      </c>
      <c r="D1618" s="8" t="s">
        <v>26</v>
      </c>
      <c r="E1618" s="8" t="s">
        <v>8135</v>
      </c>
      <c r="F1618" s="8"/>
      <c r="G1618" s="8" t="s">
        <v>54</v>
      </c>
      <c r="H1618" s="8" t="s">
        <v>430</v>
      </c>
      <c r="I1618" s="8" t="s">
        <v>31</v>
      </c>
      <c r="J1618" s="8" t="s">
        <v>77</v>
      </c>
      <c r="K1618" s="10" t="s">
        <v>8136</v>
      </c>
      <c r="L1618" s="8" t="s">
        <v>58</v>
      </c>
      <c r="M1618" s="8" t="s">
        <v>35</v>
      </c>
      <c r="N1618" s="11">
        <v>45030.0</v>
      </c>
      <c r="O1618" s="11">
        <v>45139.0</v>
      </c>
      <c r="P1618" s="11">
        <v>45181.0</v>
      </c>
      <c r="Q1618" s="11">
        <v>45138.0</v>
      </c>
      <c r="R1618" s="11">
        <v>45181.0</v>
      </c>
      <c r="S1618" s="12"/>
      <c r="T1618" s="8"/>
      <c r="U1618" s="8" t="s">
        <v>59</v>
      </c>
      <c r="V1618" s="13" t="s">
        <v>38</v>
      </c>
      <c r="W1618" s="13" t="s">
        <v>8137</v>
      </c>
      <c r="X1618" s="12"/>
      <c r="Y1618" s="14"/>
      <c r="Z1618" s="14"/>
    </row>
    <row r="1619">
      <c r="A1619" s="8" t="s">
        <v>8138</v>
      </c>
      <c r="B1619" s="8" t="s">
        <v>8139</v>
      </c>
      <c r="C1619" s="8" t="s">
        <v>25</v>
      </c>
      <c r="D1619" s="8" t="s">
        <v>26</v>
      </c>
      <c r="E1619" s="8" t="s">
        <v>8140</v>
      </c>
      <c r="F1619" s="8"/>
      <c r="G1619" s="8" t="s">
        <v>31</v>
      </c>
      <c r="H1619" s="8" t="s">
        <v>32</v>
      </c>
      <c r="I1619" s="8" t="s">
        <v>284</v>
      </c>
      <c r="J1619" s="8" t="s">
        <v>1422</v>
      </c>
      <c r="K1619" s="10" t="s">
        <v>8141</v>
      </c>
      <c r="L1619" s="8" t="s">
        <v>58</v>
      </c>
      <c r="M1619" s="8" t="s">
        <v>35</v>
      </c>
      <c r="N1619" s="11">
        <v>45030.0</v>
      </c>
      <c r="O1619" s="11">
        <v>45092.0</v>
      </c>
      <c r="P1619" s="11">
        <v>45134.0</v>
      </c>
      <c r="Q1619" s="11">
        <v>45091.0</v>
      </c>
      <c r="R1619" s="11">
        <v>45134.0</v>
      </c>
      <c r="S1619" s="12"/>
      <c r="T1619" s="8"/>
      <c r="U1619" s="8" t="s">
        <v>3111</v>
      </c>
      <c r="V1619" s="13" t="s">
        <v>38</v>
      </c>
      <c r="W1619" s="13" t="s">
        <v>8142</v>
      </c>
      <c r="X1619" s="12"/>
      <c r="Y1619" s="14"/>
      <c r="Z1619" s="14"/>
    </row>
    <row r="1620">
      <c r="A1620" s="8" t="s">
        <v>8143</v>
      </c>
      <c r="B1620" s="8" t="s">
        <v>8144</v>
      </c>
      <c r="C1620" s="8" t="s">
        <v>179</v>
      </c>
      <c r="D1620" s="8" t="s">
        <v>26</v>
      </c>
      <c r="E1620" s="8" t="s">
        <v>8145</v>
      </c>
      <c r="F1620" s="8">
        <v>6.12123355E8</v>
      </c>
      <c r="G1620" s="8" t="s">
        <v>221</v>
      </c>
      <c r="H1620" s="8" t="s">
        <v>3001</v>
      </c>
      <c r="I1620" s="8" t="s">
        <v>31</v>
      </c>
      <c r="J1620" s="8" t="s">
        <v>542</v>
      </c>
      <c r="K1620" s="10" t="s">
        <v>662</v>
      </c>
      <c r="L1620" s="8" t="s">
        <v>58</v>
      </c>
      <c r="M1620" s="8" t="s">
        <v>35</v>
      </c>
      <c r="N1620" s="11">
        <v>45030.0</v>
      </c>
      <c r="O1620" s="11">
        <v>45187.0</v>
      </c>
      <c r="P1620" s="11">
        <v>45229.0</v>
      </c>
      <c r="Q1620" s="11"/>
      <c r="R1620" s="11"/>
      <c r="S1620" s="12"/>
      <c r="T1620" s="8"/>
      <c r="U1620" s="8" t="s">
        <v>59</v>
      </c>
      <c r="V1620" s="13" t="s">
        <v>8146</v>
      </c>
      <c r="W1620" s="13" t="s">
        <v>8147</v>
      </c>
      <c r="X1620" s="12"/>
      <c r="Y1620" s="14"/>
      <c r="Z1620" s="14"/>
    </row>
    <row r="1621">
      <c r="A1621" s="8" t="s">
        <v>8148</v>
      </c>
      <c r="B1621" s="8" t="s">
        <v>8149</v>
      </c>
      <c r="C1621" s="8" t="s">
        <v>25</v>
      </c>
      <c r="D1621" s="8" t="s">
        <v>26</v>
      </c>
      <c r="E1621" s="8" t="s">
        <v>8150</v>
      </c>
      <c r="F1621" s="8">
        <v>7.13402214E8</v>
      </c>
      <c r="G1621" s="8" t="s">
        <v>84</v>
      </c>
      <c r="H1621" s="8" t="s">
        <v>85</v>
      </c>
      <c r="I1621" s="8" t="s">
        <v>31</v>
      </c>
      <c r="J1621" s="8" t="s">
        <v>77</v>
      </c>
      <c r="K1621" s="10" t="s">
        <v>8151</v>
      </c>
      <c r="L1621" s="8" t="s">
        <v>47</v>
      </c>
      <c r="M1621" s="8" t="s">
        <v>35</v>
      </c>
      <c r="N1621" s="11">
        <v>45030.0</v>
      </c>
      <c r="O1621" s="11">
        <v>45041.0</v>
      </c>
      <c r="P1621" s="11">
        <v>45104.0</v>
      </c>
      <c r="Q1621" s="11">
        <v>45055.0</v>
      </c>
      <c r="R1621" s="11">
        <v>45116.0</v>
      </c>
      <c r="S1621" s="12"/>
      <c r="T1621" s="8"/>
      <c r="U1621" s="8" t="s">
        <v>8152</v>
      </c>
      <c r="V1621" s="13" t="s">
        <v>38</v>
      </c>
      <c r="W1621" s="13" t="s">
        <v>8153</v>
      </c>
      <c r="X1621" s="12"/>
      <c r="Y1621" s="14"/>
      <c r="Z1621" s="14"/>
    </row>
    <row r="1622">
      <c r="A1622" s="8" t="s">
        <v>8154</v>
      </c>
      <c r="B1622" s="8" t="s">
        <v>8155</v>
      </c>
      <c r="C1622" s="8" t="s">
        <v>25</v>
      </c>
      <c r="D1622" s="8" t="s">
        <v>26</v>
      </c>
      <c r="E1622" s="8" t="s">
        <v>8156</v>
      </c>
      <c r="F1622" s="8"/>
      <c r="G1622" s="8" t="s">
        <v>54</v>
      </c>
      <c r="H1622" s="8" t="s">
        <v>135</v>
      </c>
      <c r="I1622" s="8" t="s">
        <v>31</v>
      </c>
      <c r="J1622" s="8" t="s">
        <v>270</v>
      </c>
      <c r="K1622" s="10" t="s">
        <v>8157</v>
      </c>
      <c r="L1622" s="8" t="s">
        <v>58</v>
      </c>
      <c r="M1622" s="8" t="s">
        <v>35</v>
      </c>
      <c r="N1622" s="11">
        <v>45030.0</v>
      </c>
      <c r="O1622" s="11">
        <v>45103.0</v>
      </c>
      <c r="P1622" s="11">
        <v>45145.0</v>
      </c>
      <c r="Q1622" s="11">
        <v>45117.0</v>
      </c>
      <c r="R1622" s="11">
        <v>45159.0</v>
      </c>
      <c r="S1622" s="12"/>
      <c r="T1622" s="8"/>
      <c r="U1622" s="8" t="s">
        <v>59</v>
      </c>
      <c r="V1622" s="13" t="s">
        <v>38</v>
      </c>
      <c r="W1622" s="13" t="s">
        <v>8158</v>
      </c>
      <c r="X1622" s="12"/>
      <c r="Y1622" s="14"/>
      <c r="Z1622" s="14"/>
    </row>
    <row r="1623">
      <c r="A1623" s="8" t="s">
        <v>8159</v>
      </c>
      <c r="B1623" s="8" t="s">
        <v>8160</v>
      </c>
      <c r="C1623" s="8" t="s">
        <v>179</v>
      </c>
      <c r="D1623" s="8" t="s">
        <v>26</v>
      </c>
      <c r="E1623" s="8" t="s">
        <v>8161</v>
      </c>
      <c r="F1623" s="8"/>
      <c r="G1623" s="8" t="s">
        <v>54</v>
      </c>
      <c r="H1623" s="8" t="s">
        <v>135</v>
      </c>
      <c r="I1623" s="8" t="s">
        <v>31</v>
      </c>
      <c r="J1623" s="8" t="s">
        <v>1032</v>
      </c>
      <c r="K1623" s="10" t="s">
        <v>8157</v>
      </c>
      <c r="L1623" s="8" t="s">
        <v>58</v>
      </c>
      <c r="M1623" s="8" t="s">
        <v>35</v>
      </c>
      <c r="N1623" s="11">
        <v>45030.0</v>
      </c>
      <c r="O1623" s="11">
        <v>45103.0</v>
      </c>
      <c r="P1623" s="11">
        <v>45145.0</v>
      </c>
      <c r="Q1623" s="11"/>
      <c r="R1623" s="11"/>
      <c r="S1623" s="12"/>
      <c r="T1623" s="8"/>
      <c r="U1623" s="8" t="s">
        <v>59</v>
      </c>
      <c r="V1623" s="13" t="s">
        <v>38</v>
      </c>
      <c r="W1623" s="13" t="s">
        <v>8162</v>
      </c>
      <c r="X1623" s="12"/>
      <c r="Y1623" s="14"/>
      <c r="Z1623" s="14"/>
    </row>
    <row r="1624">
      <c r="A1624" s="8" t="s">
        <v>8163</v>
      </c>
      <c r="B1624" s="8" t="s">
        <v>8164</v>
      </c>
      <c r="C1624" s="8" t="s">
        <v>179</v>
      </c>
      <c r="D1624" s="8" t="s">
        <v>26</v>
      </c>
      <c r="E1624" s="8" t="s">
        <v>8165</v>
      </c>
      <c r="F1624" s="8">
        <v>1.099123638E9</v>
      </c>
      <c r="G1624" s="8" t="s">
        <v>284</v>
      </c>
      <c r="H1624" s="8" t="s">
        <v>1287</v>
      </c>
      <c r="I1624" s="8" t="s">
        <v>31</v>
      </c>
      <c r="J1624" s="8" t="s">
        <v>32</v>
      </c>
      <c r="K1624" s="10" t="s">
        <v>8166</v>
      </c>
      <c r="L1624" s="8" t="s">
        <v>58</v>
      </c>
      <c r="M1624" s="8" t="s">
        <v>35</v>
      </c>
      <c r="N1624" s="11">
        <v>45030.0</v>
      </c>
      <c r="O1624" s="11">
        <v>45145.0</v>
      </c>
      <c r="P1624" s="11">
        <v>45187.0</v>
      </c>
      <c r="Q1624" s="11"/>
      <c r="R1624" s="11"/>
      <c r="S1624" s="12"/>
      <c r="T1624" s="8"/>
      <c r="U1624" s="8" t="s">
        <v>371</v>
      </c>
      <c r="V1624" s="13" t="s">
        <v>1289</v>
      </c>
      <c r="W1624" s="13" t="s">
        <v>8167</v>
      </c>
      <c r="X1624" s="12"/>
      <c r="Y1624" s="14"/>
      <c r="Z1624" s="14"/>
    </row>
    <row r="1625">
      <c r="A1625" s="8" t="s">
        <v>8168</v>
      </c>
      <c r="B1625" s="8" t="s">
        <v>8169</v>
      </c>
      <c r="C1625" s="8" t="s">
        <v>25</v>
      </c>
      <c r="D1625" s="8" t="s">
        <v>26</v>
      </c>
      <c r="E1625" s="8" t="s">
        <v>8170</v>
      </c>
      <c r="F1625" s="8"/>
      <c r="G1625" s="8" t="s">
        <v>31</v>
      </c>
      <c r="H1625" s="8" t="s">
        <v>111</v>
      </c>
      <c r="I1625" s="8" t="s">
        <v>284</v>
      </c>
      <c r="J1625" s="8" t="s">
        <v>589</v>
      </c>
      <c r="K1625" s="10" t="s">
        <v>8171</v>
      </c>
      <c r="L1625" s="8" t="s">
        <v>58</v>
      </c>
      <c r="M1625" s="8" t="s">
        <v>35</v>
      </c>
      <c r="N1625" s="11">
        <v>45030.0</v>
      </c>
      <c r="O1625" s="11">
        <v>45122.0</v>
      </c>
      <c r="P1625" s="11">
        <v>45164.0</v>
      </c>
      <c r="Q1625" s="11">
        <v>45122.0</v>
      </c>
      <c r="R1625" s="11">
        <v>45164.0</v>
      </c>
      <c r="S1625" s="12"/>
      <c r="T1625" s="8"/>
      <c r="U1625" s="8" t="s">
        <v>161</v>
      </c>
      <c r="V1625" s="13" t="s">
        <v>38</v>
      </c>
      <c r="W1625" s="13" t="s">
        <v>8172</v>
      </c>
      <c r="X1625" s="12"/>
      <c r="Y1625" s="14"/>
      <c r="Z1625" s="14"/>
    </row>
    <row r="1626">
      <c r="A1626" s="8" t="s">
        <v>8173</v>
      </c>
      <c r="B1626" s="8" t="s">
        <v>8174</v>
      </c>
      <c r="C1626" s="8" t="s">
        <v>179</v>
      </c>
      <c r="D1626" s="8" t="s">
        <v>26</v>
      </c>
      <c r="E1626" s="8" t="s">
        <v>8175</v>
      </c>
      <c r="F1626" s="8">
        <v>3.4784448E9</v>
      </c>
      <c r="G1626" s="8" t="s">
        <v>29</v>
      </c>
      <c r="H1626" s="8" t="s">
        <v>5003</v>
      </c>
      <c r="I1626" s="8" t="s">
        <v>31</v>
      </c>
      <c r="J1626" s="8" t="s">
        <v>77</v>
      </c>
      <c r="K1626" s="10" t="s">
        <v>8136</v>
      </c>
      <c r="L1626" s="8" t="s">
        <v>58</v>
      </c>
      <c r="M1626" s="8" t="s">
        <v>35</v>
      </c>
      <c r="N1626" s="11">
        <v>45030.0</v>
      </c>
      <c r="O1626" s="11">
        <v>45139.0</v>
      </c>
      <c r="P1626" s="11">
        <v>45181.0</v>
      </c>
      <c r="Q1626" s="11"/>
      <c r="R1626" s="11"/>
      <c r="S1626" s="12"/>
      <c r="T1626" s="8"/>
      <c r="U1626" s="8" t="s">
        <v>59</v>
      </c>
      <c r="V1626" s="13" t="s">
        <v>5895</v>
      </c>
      <c r="W1626" s="13" t="s">
        <v>8176</v>
      </c>
      <c r="X1626" s="12"/>
      <c r="Y1626" s="14"/>
      <c r="Z1626" s="14"/>
    </row>
    <row r="1627">
      <c r="A1627" s="8" t="s">
        <v>8177</v>
      </c>
      <c r="B1627" s="8" t="s">
        <v>8178</v>
      </c>
      <c r="C1627" s="8" t="s">
        <v>179</v>
      </c>
      <c r="D1627" s="8" t="s">
        <v>26</v>
      </c>
      <c r="E1627" s="8" t="s">
        <v>8179</v>
      </c>
      <c r="F1627" s="8"/>
      <c r="G1627" s="8" t="s">
        <v>277</v>
      </c>
      <c r="H1627" s="8" t="s">
        <v>697</v>
      </c>
      <c r="I1627" s="8" t="s">
        <v>31</v>
      </c>
      <c r="J1627" s="8" t="s">
        <v>1119</v>
      </c>
      <c r="K1627" s="10" t="s">
        <v>6015</v>
      </c>
      <c r="L1627" s="8" t="s">
        <v>58</v>
      </c>
      <c r="M1627" s="8" t="s">
        <v>35</v>
      </c>
      <c r="N1627" s="11">
        <v>45030.0</v>
      </c>
      <c r="O1627" s="11">
        <v>45128.0</v>
      </c>
      <c r="P1627" s="11">
        <v>45170.0</v>
      </c>
      <c r="Q1627" s="11"/>
      <c r="R1627" s="11"/>
      <c r="S1627" s="12"/>
      <c r="T1627" s="8"/>
      <c r="U1627" s="8" t="s">
        <v>59</v>
      </c>
      <c r="V1627" s="13" t="s">
        <v>38</v>
      </c>
      <c r="W1627" s="13" t="s">
        <v>8180</v>
      </c>
      <c r="X1627" s="12"/>
      <c r="Y1627" s="14"/>
      <c r="Z1627" s="14"/>
    </row>
    <row r="1628">
      <c r="A1628" s="8" t="s">
        <v>8181</v>
      </c>
      <c r="B1628" s="8" t="s">
        <v>8182</v>
      </c>
      <c r="C1628" s="8" t="s">
        <v>64</v>
      </c>
      <c r="D1628" s="8" t="s">
        <v>26</v>
      </c>
      <c r="E1628" s="8" t="s">
        <v>8183</v>
      </c>
      <c r="F1628" s="8">
        <v>3.045915464E9</v>
      </c>
      <c r="G1628" s="8" t="s">
        <v>315</v>
      </c>
      <c r="H1628" s="8" t="s">
        <v>6834</v>
      </c>
      <c r="I1628" s="8" t="s">
        <v>31</v>
      </c>
      <c r="J1628" s="8" t="s">
        <v>438</v>
      </c>
      <c r="K1628" s="10" t="s">
        <v>6789</v>
      </c>
      <c r="L1628" s="8" t="s">
        <v>58</v>
      </c>
      <c r="M1628" s="8" t="s">
        <v>35</v>
      </c>
      <c r="N1628" s="11">
        <v>45030.0</v>
      </c>
      <c r="O1628" s="11">
        <v>45103.0</v>
      </c>
      <c r="P1628" s="11">
        <v>45145.0</v>
      </c>
      <c r="Q1628" s="11">
        <v>45109.0</v>
      </c>
      <c r="R1628" s="11">
        <v>45150.0</v>
      </c>
      <c r="S1628" s="12"/>
      <c r="T1628" s="8"/>
      <c r="U1628" s="8" t="s">
        <v>632</v>
      </c>
      <c r="V1628" s="13" t="s">
        <v>6835</v>
      </c>
      <c r="W1628" s="13" t="s">
        <v>8184</v>
      </c>
      <c r="X1628" s="12"/>
      <c r="Y1628" s="14"/>
      <c r="Z1628" s="14"/>
    </row>
    <row r="1629">
      <c r="A1629" s="8" t="s">
        <v>8185</v>
      </c>
      <c r="B1629" s="8" t="s">
        <v>8186</v>
      </c>
      <c r="C1629" s="8" t="s">
        <v>251</v>
      </c>
      <c r="D1629" s="8" t="s">
        <v>26</v>
      </c>
      <c r="E1629" s="8" t="s">
        <v>8187</v>
      </c>
      <c r="F1629" s="8">
        <v>7.757295218E9</v>
      </c>
      <c r="G1629" s="8" t="s">
        <v>496</v>
      </c>
      <c r="H1629" s="8" t="s">
        <v>2112</v>
      </c>
      <c r="I1629" s="8" t="s">
        <v>31</v>
      </c>
      <c r="J1629" s="8" t="s">
        <v>102</v>
      </c>
      <c r="K1629" s="10" t="s">
        <v>1113</v>
      </c>
      <c r="L1629" s="8" t="s">
        <v>58</v>
      </c>
      <c r="M1629" s="8" t="s">
        <v>35</v>
      </c>
      <c r="N1629" s="11">
        <v>45030.0</v>
      </c>
      <c r="O1629" s="11">
        <v>45110.0</v>
      </c>
      <c r="P1629" s="11">
        <v>45152.0</v>
      </c>
      <c r="Q1629" s="11"/>
      <c r="R1629" s="11"/>
      <c r="S1629" s="12"/>
      <c r="T1629" s="8"/>
      <c r="U1629" s="8" t="s">
        <v>59</v>
      </c>
      <c r="V1629" s="13" t="s">
        <v>7704</v>
      </c>
      <c r="W1629" s="13" t="s">
        <v>8188</v>
      </c>
      <c r="X1629" s="12"/>
      <c r="Y1629" s="14"/>
      <c r="Z1629" s="14"/>
    </row>
    <row r="1630">
      <c r="A1630" s="8" t="s">
        <v>8189</v>
      </c>
      <c r="B1630" s="8" t="s">
        <v>8190</v>
      </c>
      <c r="C1630" s="8" t="s">
        <v>25</v>
      </c>
      <c r="D1630" s="8" t="s">
        <v>26</v>
      </c>
      <c r="E1630" s="8" t="s">
        <v>8191</v>
      </c>
      <c r="F1630" s="8">
        <v>5.5418486E7</v>
      </c>
      <c r="G1630" s="8" t="s">
        <v>54</v>
      </c>
      <c r="H1630" s="8" t="s">
        <v>377</v>
      </c>
      <c r="I1630" s="8" t="s">
        <v>31</v>
      </c>
      <c r="J1630" s="8" t="s">
        <v>167</v>
      </c>
      <c r="K1630" s="10" t="s">
        <v>5996</v>
      </c>
      <c r="L1630" s="8" t="s">
        <v>58</v>
      </c>
      <c r="M1630" s="8" t="s">
        <v>35</v>
      </c>
      <c r="N1630" s="11">
        <v>45031.0</v>
      </c>
      <c r="O1630" s="11">
        <v>45117.0</v>
      </c>
      <c r="P1630" s="11">
        <v>45159.0</v>
      </c>
      <c r="Q1630" s="11">
        <v>45117.0</v>
      </c>
      <c r="R1630" s="11">
        <v>45159.0</v>
      </c>
      <c r="S1630" s="12"/>
      <c r="T1630" s="8"/>
      <c r="U1630" s="8" t="s">
        <v>130</v>
      </c>
      <c r="V1630" s="13" t="s">
        <v>686</v>
      </c>
      <c r="W1630" s="13" t="s">
        <v>8192</v>
      </c>
      <c r="X1630" s="12"/>
      <c r="Y1630" s="14"/>
      <c r="Z1630" s="14"/>
    </row>
    <row r="1631">
      <c r="A1631" s="8" t="s">
        <v>8193</v>
      </c>
      <c r="B1631" s="8" t="s">
        <v>8194</v>
      </c>
      <c r="C1631" s="8" t="s">
        <v>25</v>
      </c>
      <c r="D1631" s="8" t="s">
        <v>26</v>
      </c>
      <c r="E1631" s="8" t="s">
        <v>8195</v>
      </c>
      <c r="F1631" s="8" t="s">
        <v>8196</v>
      </c>
      <c r="G1631" s="8" t="s">
        <v>31</v>
      </c>
      <c r="H1631" s="8" t="s">
        <v>66</v>
      </c>
      <c r="I1631" s="8" t="s">
        <v>54</v>
      </c>
      <c r="J1631" s="8" t="s">
        <v>135</v>
      </c>
      <c r="K1631" s="10" t="s">
        <v>8197</v>
      </c>
      <c r="L1631" s="8" t="s">
        <v>58</v>
      </c>
      <c r="M1631" s="8" t="s">
        <v>35</v>
      </c>
      <c r="N1631" s="11">
        <v>45031.0</v>
      </c>
      <c r="O1631" s="11">
        <v>45139.0</v>
      </c>
      <c r="P1631" s="11">
        <v>45181.0</v>
      </c>
      <c r="Q1631" s="11">
        <v>45137.0</v>
      </c>
      <c r="R1631" s="11">
        <v>45181.0</v>
      </c>
      <c r="S1631" s="12"/>
      <c r="T1631" s="8"/>
      <c r="U1631" s="8" t="s">
        <v>153</v>
      </c>
      <c r="V1631" s="13" t="s">
        <v>66</v>
      </c>
      <c r="W1631" s="13" t="s">
        <v>8198</v>
      </c>
      <c r="X1631" s="12"/>
      <c r="Y1631" s="14"/>
      <c r="Z1631" s="14"/>
    </row>
    <row r="1632">
      <c r="A1632" s="8" t="s">
        <v>8199</v>
      </c>
      <c r="B1632" s="8" t="s">
        <v>8200</v>
      </c>
      <c r="C1632" s="8" t="s">
        <v>25</v>
      </c>
      <c r="D1632" s="8" t="s">
        <v>26</v>
      </c>
      <c r="E1632" s="8" t="s">
        <v>8201</v>
      </c>
      <c r="F1632" s="8"/>
      <c r="G1632" s="8" t="s">
        <v>54</v>
      </c>
      <c r="H1632" s="8" t="s">
        <v>135</v>
      </c>
      <c r="I1632" s="8" t="s">
        <v>31</v>
      </c>
      <c r="J1632" s="8" t="s">
        <v>270</v>
      </c>
      <c r="K1632" s="10" t="s">
        <v>8157</v>
      </c>
      <c r="L1632" s="8" t="s">
        <v>58</v>
      </c>
      <c r="M1632" s="8" t="s">
        <v>35</v>
      </c>
      <c r="N1632" s="11">
        <v>45031.0</v>
      </c>
      <c r="O1632" s="11">
        <v>45103.0</v>
      </c>
      <c r="P1632" s="11">
        <v>45145.0</v>
      </c>
      <c r="Q1632" s="11">
        <v>45117.0</v>
      </c>
      <c r="R1632" s="11">
        <v>45159.0</v>
      </c>
      <c r="S1632" s="12"/>
      <c r="T1632" s="8"/>
      <c r="U1632" s="8" t="s">
        <v>59</v>
      </c>
      <c r="V1632" s="13" t="s">
        <v>38</v>
      </c>
      <c r="W1632" s="13" t="s">
        <v>8202</v>
      </c>
      <c r="X1632" s="12"/>
      <c r="Y1632" s="14"/>
      <c r="Z1632" s="14"/>
    </row>
    <row r="1633">
      <c r="A1633" s="8" t="s">
        <v>8203</v>
      </c>
      <c r="B1633" s="8" t="s">
        <v>8204</v>
      </c>
      <c r="C1633" s="8" t="s">
        <v>25</v>
      </c>
      <c r="D1633" s="8" t="s">
        <v>26</v>
      </c>
      <c r="E1633" s="8" t="s">
        <v>8205</v>
      </c>
      <c r="F1633" s="8">
        <v>2.8848491E7</v>
      </c>
      <c r="G1633" s="8" t="s">
        <v>54</v>
      </c>
      <c r="H1633" s="8" t="s">
        <v>135</v>
      </c>
      <c r="I1633" s="8" t="s">
        <v>31</v>
      </c>
      <c r="J1633" s="8" t="s">
        <v>270</v>
      </c>
      <c r="K1633" s="10" t="s">
        <v>8157</v>
      </c>
      <c r="L1633" s="8" t="s">
        <v>58</v>
      </c>
      <c r="M1633" s="8" t="s">
        <v>35</v>
      </c>
      <c r="N1633" s="11">
        <v>45031.0</v>
      </c>
      <c r="O1633" s="11">
        <v>45103.0</v>
      </c>
      <c r="P1633" s="11">
        <v>45145.0</v>
      </c>
      <c r="Q1633" s="11">
        <v>45117.0</v>
      </c>
      <c r="R1633" s="11">
        <v>45159.0</v>
      </c>
      <c r="S1633" s="12"/>
      <c r="T1633" s="8"/>
      <c r="U1633" s="8" t="s">
        <v>59</v>
      </c>
      <c r="V1633" s="13" t="s">
        <v>190</v>
      </c>
      <c r="W1633" s="13" t="s">
        <v>8206</v>
      </c>
      <c r="X1633" s="12"/>
      <c r="Y1633" s="14"/>
      <c r="Z1633" s="14"/>
    </row>
    <row r="1634">
      <c r="A1634" s="8" t="s">
        <v>8207</v>
      </c>
      <c r="B1634" s="8" t="s">
        <v>8208</v>
      </c>
      <c r="C1634" s="8" t="s">
        <v>179</v>
      </c>
      <c r="D1634" s="8" t="s">
        <v>26</v>
      </c>
      <c r="E1634" s="8" t="s">
        <v>8209</v>
      </c>
      <c r="F1634" s="8">
        <v>5.549641049E9</v>
      </c>
      <c r="G1634" s="8" t="s">
        <v>31</v>
      </c>
      <c r="H1634" s="8" t="s">
        <v>1119</v>
      </c>
      <c r="I1634" s="8" t="s">
        <v>284</v>
      </c>
      <c r="J1634" s="8" t="s">
        <v>854</v>
      </c>
      <c r="K1634" s="10" t="s">
        <v>8210</v>
      </c>
      <c r="L1634" s="8" t="s">
        <v>58</v>
      </c>
      <c r="M1634" s="8" t="s">
        <v>35</v>
      </c>
      <c r="N1634" s="11">
        <v>45031.0</v>
      </c>
      <c r="O1634" s="11">
        <v>45153.0</v>
      </c>
      <c r="P1634" s="11">
        <v>45197.0</v>
      </c>
      <c r="Q1634" s="11"/>
      <c r="R1634" s="11"/>
      <c r="S1634" s="12"/>
      <c r="T1634" s="8"/>
      <c r="U1634" s="8" t="s">
        <v>161</v>
      </c>
      <c r="V1634" s="13" t="s">
        <v>1119</v>
      </c>
      <c r="W1634" s="13" t="s">
        <v>8211</v>
      </c>
      <c r="X1634" s="12"/>
      <c r="Y1634" s="14"/>
      <c r="Z1634" s="14"/>
    </row>
    <row r="1635">
      <c r="A1635" s="8" t="s">
        <v>8212</v>
      </c>
      <c r="B1635" s="8" t="s">
        <v>8213</v>
      </c>
      <c r="C1635" s="8" t="s">
        <v>25</v>
      </c>
      <c r="D1635" s="8" t="s">
        <v>26</v>
      </c>
      <c r="E1635" s="8" t="s">
        <v>8214</v>
      </c>
      <c r="F1635" s="8">
        <v>5.459322723E9</v>
      </c>
      <c r="G1635" s="8" t="s">
        <v>31</v>
      </c>
      <c r="H1635" s="8" t="s">
        <v>86</v>
      </c>
      <c r="I1635" s="8" t="s">
        <v>284</v>
      </c>
      <c r="J1635" s="8" t="s">
        <v>793</v>
      </c>
      <c r="K1635" s="10" t="s">
        <v>8215</v>
      </c>
      <c r="L1635" s="8" t="s">
        <v>58</v>
      </c>
      <c r="M1635" s="8" t="s">
        <v>35</v>
      </c>
      <c r="N1635" s="11">
        <v>45031.0</v>
      </c>
      <c r="O1635" s="11">
        <v>45122.0</v>
      </c>
      <c r="P1635" s="11">
        <v>45164.0</v>
      </c>
      <c r="Q1635" s="11">
        <v>45120.0</v>
      </c>
      <c r="R1635" s="11">
        <v>45164.0</v>
      </c>
      <c r="S1635" s="12"/>
      <c r="T1635" s="8"/>
      <c r="U1635" s="8" t="s">
        <v>339</v>
      </c>
      <c r="V1635" s="13" t="s">
        <v>175</v>
      </c>
      <c r="W1635" s="13" t="s">
        <v>8216</v>
      </c>
      <c r="X1635" s="12"/>
      <c r="Y1635" s="14"/>
      <c r="Z1635" s="14"/>
    </row>
    <row r="1636">
      <c r="A1636" s="8" t="s">
        <v>8217</v>
      </c>
      <c r="B1636" s="8" t="s">
        <v>8218</v>
      </c>
      <c r="C1636" s="8" t="s">
        <v>25</v>
      </c>
      <c r="D1636" s="8" t="s">
        <v>26</v>
      </c>
      <c r="E1636" s="8" t="s">
        <v>8219</v>
      </c>
      <c r="F1636" s="8">
        <v>5.44233178E9</v>
      </c>
      <c r="G1636" s="8" t="s">
        <v>31</v>
      </c>
      <c r="H1636" s="8" t="s">
        <v>86</v>
      </c>
      <c r="I1636" s="8" t="s">
        <v>127</v>
      </c>
      <c r="J1636" s="8" t="s">
        <v>128</v>
      </c>
      <c r="K1636" s="10" t="s">
        <v>8220</v>
      </c>
      <c r="L1636" s="8" t="s">
        <v>58</v>
      </c>
      <c r="M1636" s="8" t="s">
        <v>35</v>
      </c>
      <c r="N1636" s="11">
        <v>45031.0</v>
      </c>
      <c r="O1636" s="11">
        <v>45096.0</v>
      </c>
      <c r="P1636" s="11">
        <v>45138.0</v>
      </c>
      <c r="Q1636" s="11">
        <v>45095.0</v>
      </c>
      <c r="R1636" s="11">
        <v>45138.0</v>
      </c>
      <c r="S1636" s="12"/>
      <c r="T1636" s="8"/>
      <c r="U1636" s="8" t="s">
        <v>161</v>
      </c>
      <c r="V1636" s="13" t="s">
        <v>175</v>
      </c>
      <c r="W1636" s="13" t="s">
        <v>8221</v>
      </c>
      <c r="X1636" s="12"/>
      <c r="Y1636" s="14"/>
      <c r="Z1636" s="14"/>
    </row>
    <row r="1637">
      <c r="A1637" s="8" t="s">
        <v>8222</v>
      </c>
      <c r="B1637" s="8" t="s">
        <v>8223</v>
      </c>
      <c r="C1637" s="8" t="s">
        <v>25</v>
      </c>
      <c r="D1637" s="8" t="s">
        <v>26</v>
      </c>
      <c r="E1637" s="8" t="s">
        <v>8224</v>
      </c>
      <c r="F1637" s="8">
        <v>5.538228923E9</v>
      </c>
      <c r="G1637" s="8" t="s">
        <v>31</v>
      </c>
      <c r="H1637" s="8" t="s">
        <v>111</v>
      </c>
      <c r="I1637" s="8" t="s">
        <v>284</v>
      </c>
      <c r="J1637" s="8" t="s">
        <v>1450</v>
      </c>
      <c r="K1637" s="10" t="s">
        <v>8225</v>
      </c>
      <c r="L1637" s="8" t="s">
        <v>47</v>
      </c>
      <c r="M1637" s="8" t="s">
        <v>35</v>
      </c>
      <c r="N1637" s="11">
        <v>45031.0</v>
      </c>
      <c r="O1637" s="11">
        <v>45108.0</v>
      </c>
      <c r="P1637" s="11">
        <v>45171.0</v>
      </c>
      <c r="Q1637" s="11">
        <v>45108.0</v>
      </c>
      <c r="R1637" s="11">
        <v>45171.0</v>
      </c>
      <c r="S1637" s="12"/>
      <c r="T1637" s="8"/>
      <c r="U1637" s="8" t="s">
        <v>246</v>
      </c>
      <c r="V1637" s="13" t="s">
        <v>111</v>
      </c>
      <c r="W1637" s="13" t="s">
        <v>8226</v>
      </c>
      <c r="X1637" s="12"/>
      <c r="Y1637" s="14"/>
      <c r="Z1637" s="14"/>
    </row>
    <row r="1638">
      <c r="A1638" s="8" t="s">
        <v>8227</v>
      </c>
      <c r="B1638" s="8" t="s">
        <v>8228</v>
      </c>
      <c r="C1638" s="8" t="s">
        <v>25</v>
      </c>
      <c r="D1638" s="8" t="s">
        <v>26</v>
      </c>
      <c r="E1638" s="8" t="s">
        <v>8229</v>
      </c>
      <c r="F1638" s="8">
        <v>5.05737817E9</v>
      </c>
      <c r="G1638" s="8" t="s">
        <v>31</v>
      </c>
      <c r="H1638" s="8" t="s">
        <v>86</v>
      </c>
      <c r="I1638" s="8" t="s">
        <v>127</v>
      </c>
      <c r="J1638" s="8" t="s">
        <v>159</v>
      </c>
      <c r="K1638" s="10" t="s">
        <v>7580</v>
      </c>
      <c r="L1638" s="8" t="s">
        <v>58</v>
      </c>
      <c r="M1638" s="8" t="s">
        <v>35</v>
      </c>
      <c r="N1638" s="11">
        <v>45031.0</v>
      </c>
      <c r="O1638" s="11">
        <v>45117.0</v>
      </c>
      <c r="P1638" s="11">
        <v>45159.0</v>
      </c>
      <c r="Q1638" s="11">
        <v>45118.0</v>
      </c>
      <c r="R1638" s="11">
        <v>45159.0</v>
      </c>
      <c r="S1638" s="12"/>
      <c r="T1638" s="8"/>
      <c r="U1638" s="8" t="s">
        <v>1956</v>
      </c>
      <c r="V1638" s="13" t="s">
        <v>175</v>
      </c>
      <c r="W1638" s="13" t="s">
        <v>8230</v>
      </c>
      <c r="X1638" s="12"/>
      <c r="Y1638" s="14"/>
      <c r="Z1638" s="14"/>
    </row>
    <row r="1639">
      <c r="A1639" s="8" t="s">
        <v>8231</v>
      </c>
      <c r="B1639" s="8" t="s">
        <v>8232</v>
      </c>
      <c r="C1639" s="8" t="s">
        <v>25</v>
      </c>
      <c r="D1639" s="8" t="s">
        <v>26</v>
      </c>
      <c r="E1639" s="8" t="s">
        <v>8233</v>
      </c>
      <c r="F1639" s="8">
        <v>160998.0</v>
      </c>
      <c r="G1639" s="8" t="s">
        <v>284</v>
      </c>
      <c r="H1639" s="8" t="s">
        <v>5202</v>
      </c>
      <c r="I1639" s="8" t="s">
        <v>31</v>
      </c>
      <c r="J1639" s="8" t="s">
        <v>66</v>
      </c>
      <c r="K1639" s="10" t="s">
        <v>6397</v>
      </c>
      <c r="L1639" s="8" t="s">
        <v>58</v>
      </c>
      <c r="M1639" s="8" t="s">
        <v>35</v>
      </c>
      <c r="N1639" s="11">
        <v>45031.0</v>
      </c>
      <c r="O1639" s="11">
        <v>45114.0</v>
      </c>
      <c r="P1639" s="11">
        <v>45156.0</v>
      </c>
      <c r="Q1639" s="11">
        <v>45118.0</v>
      </c>
      <c r="R1639" s="11">
        <v>45159.0</v>
      </c>
      <c r="S1639" s="12"/>
      <c r="T1639" s="8"/>
      <c r="U1639" s="8" t="s">
        <v>88</v>
      </c>
      <c r="V1639" s="13" t="s">
        <v>5669</v>
      </c>
      <c r="W1639" s="13" t="s">
        <v>8234</v>
      </c>
      <c r="X1639" s="12"/>
      <c r="Y1639" s="14"/>
      <c r="Z1639" s="14"/>
    </row>
    <row r="1640">
      <c r="A1640" s="8" t="s">
        <v>8235</v>
      </c>
      <c r="B1640" s="8" t="s">
        <v>8236</v>
      </c>
      <c r="C1640" s="8" t="s">
        <v>25</v>
      </c>
      <c r="D1640" s="8" t="s">
        <v>26</v>
      </c>
      <c r="E1640" s="8" t="s">
        <v>8237</v>
      </c>
      <c r="F1640" s="8">
        <v>5.464741002E9</v>
      </c>
      <c r="G1640" s="8" t="s">
        <v>31</v>
      </c>
      <c r="H1640" s="8" t="s">
        <v>86</v>
      </c>
      <c r="I1640" s="8" t="s">
        <v>29</v>
      </c>
      <c r="J1640" s="8" t="s">
        <v>2448</v>
      </c>
      <c r="K1640" s="10" t="s">
        <v>8238</v>
      </c>
      <c r="L1640" s="8" t="s">
        <v>58</v>
      </c>
      <c r="M1640" s="8" t="s">
        <v>35</v>
      </c>
      <c r="N1640" s="11">
        <v>45031.0</v>
      </c>
      <c r="O1640" s="11">
        <v>45110.0</v>
      </c>
      <c r="P1640" s="11">
        <v>45152.0</v>
      </c>
      <c r="Q1640" s="11">
        <v>45111.0</v>
      </c>
      <c r="R1640" s="11">
        <v>45152.0</v>
      </c>
      <c r="S1640" s="12"/>
      <c r="T1640" s="8"/>
      <c r="U1640" s="8" t="s">
        <v>130</v>
      </c>
      <c r="V1640" s="13" t="s">
        <v>175</v>
      </c>
      <c r="W1640" s="13" t="s">
        <v>8239</v>
      </c>
      <c r="X1640" s="12"/>
      <c r="Y1640" s="14"/>
      <c r="Z1640" s="14"/>
    </row>
    <row r="1641">
      <c r="A1641" s="8" t="s">
        <v>8240</v>
      </c>
      <c r="B1641" s="8" t="s">
        <v>8241</v>
      </c>
      <c r="C1641" s="8" t="s">
        <v>64</v>
      </c>
      <c r="D1641" s="8" t="s">
        <v>26</v>
      </c>
      <c r="E1641" s="8" t="s">
        <v>8242</v>
      </c>
      <c r="F1641" s="8"/>
      <c r="G1641" s="8" t="s">
        <v>496</v>
      </c>
      <c r="H1641" s="8" t="s">
        <v>497</v>
      </c>
      <c r="I1641" s="8" t="s">
        <v>31</v>
      </c>
      <c r="J1641" s="8" t="s">
        <v>86</v>
      </c>
      <c r="K1641" s="10" t="s">
        <v>416</v>
      </c>
      <c r="L1641" s="8" t="s">
        <v>58</v>
      </c>
      <c r="M1641" s="8" t="s">
        <v>35</v>
      </c>
      <c r="N1641" s="11">
        <v>45031.0</v>
      </c>
      <c r="O1641" s="11">
        <v>45084.0</v>
      </c>
      <c r="P1641" s="11">
        <v>45126.0</v>
      </c>
      <c r="Q1641" s="11">
        <v>45084.0</v>
      </c>
      <c r="R1641" s="11">
        <v>45126.0</v>
      </c>
      <c r="S1641" s="12"/>
      <c r="T1641" s="8"/>
      <c r="U1641" s="8" t="s">
        <v>59</v>
      </c>
      <c r="V1641" s="13" t="s">
        <v>38</v>
      </c>
      <c r="W1641" s="13" t="s">
        <v>8243</v>
      </c>
      <c r="X1641" s="12"/>
      <c r="Y1641" s="14"/>
      <c r="Z1641" s="14"/>
    </row>
    <row r="1642">
      <c r="A1642" s="8" t="s">
        <v>8244</v>
      </c>
      <c r="B1642" s="8" t="s">
        <v>8245</v>
      </c>
      <c r="C1642" s="8" t="s">
        <v>179</v>
      </c>
      <c r="D1642" s="8" t="s">
        <v>26</v>
      </c>
      <c r="E1642" s="8" t="s">
        <v>8246</v>
      </c>
      <c r="F1642" s="8">
        <v>7.6691533E8</v>
      </c>
      <c r="G1642" s="8" t="s">
        <v>84</v>
      </c>
      <c r="H1642" s="8" t="s">
        <v>752</v>
      </c>
      <c r="I1642" s="8" t="s">
        <v>31</v>
      </c>
      <c r="J1642" s="8" t="s">
        <v>86</v>
      </c>
      <c r="K1642" s="10" t="s">
        <v>2453</v>
      </c>
      <c r="L1642" s="8" t="s">
        <v>58</v>
      </c>
      <c r="M1642" s="8" t="s">
        <v>35</v>
      </c>
      <c r="N1642" s="11">
        <v>45031.0</v>
      </c>
      <c r="O1642" s="11">
        <v>45090.0</v>
      </c>
      <c r="P1642" s="11">
        <v>45132.0</v>
      </c>
      <c r="Q1642" s="11"/>
      <c r="R1642" s="11"/>
      <c r="S1642" s="12"/>
      <c r="T1642" s="8"/>
      <c r="U1642" s="8" t="s">
        <v>59</v>
      </c>
      <c r="V1642" s="13" t="s">
        <v>2277</v>
      </c>
      <c r="W1642" s="13" t="s">
        <v>8247</v>
      </c>
      <c r="X1642" s="12"/>
      <c r="Y1642" s="14"/>
      <c r="Z1642" s="14"/>
    </row>
    <row r="1643">
      <c r="A1643" s="8" t="s">
        <v>8248</v>
      </c>
      <c r="B1643" s="8" t="s">
        <v>8249</v>
      </c>
      <c r="C1643" s="8" t="s">
        <v>25</v>
      </c>
      <c r="D1643" s="8" t="s">
        <v>26</v>
      </c>
      <c r="E1643" s="8" t="s">
        <v>8250</v>
      </c>
      <c r="F1643" s="8">
        <v>5.308334355E9</v>
      </c>
      <c r="G1643" s="8" t="s">
        <v>31</v>
      </c>
      <c r="H1643" s="8" t="s">
        <v>86</v>
      </c>
      <c r="I1643" s="8" t="s">
        <v>221</v>
      </c>
      <c r="J1643" s="8" t="s">
        <v>3001</v>
      </c>
      <c r="K1643" s="10" t="s">
        <v>8251</v>
      </c>
      <c r="L1643" s="8" t="s">
        <v>58</v>
      </c>
      <c r="M1643" s="8" t="s">
        <v>35</v>
      </c>
      <c r="N1643" s="11">
        <v>45031.0</v>
      </c>
      <c r="O1643" s="11">
        <v>45117.0</v>
      </c>
      <c r="P1643" s="11">
        <v>45159.0</v>
      </c>
      <c r="Q1643" s="11">
        <v>45119.0</v>
      </c>
      <c r="R1643" s="11">
        <v>45159.0</v>
      </c>
      <c r="S1643" s="12"/>
      <c r="T1643" s="8"/>
      <c r="U1643" s="8" t="s">
        <v>371</v>
      </c>
      <c r="V1643" s="13" t="s">
        <v>175</v>
      </c>
      <c r="W1643" s="13" t="s">
        <v>8252</v>
      </c>
      <c r="X1643" s="12"/>
      <c r="Y1643" s="14"/>
      <c r="Z1643" s="14"/>
    </row>
    <row r="1644">
      <c r="A1644" s="8" t="s">
        <v>8253</v>
      </c>
      <c r="B1644" s="8" t="s">
        <v>8254</v>
      </c>
      <c r="C1644" s="8" t="s">
        <v>179</v>
      </c>
      <c r="D1644" s="8" t="s">
        <v>26</v>
      </c>
      <c r="E1644" s="8" t="s">
        <v>8255</v>
      </c>
      <c r="F1644" s="8">
        <v>1.141461671E9</v>
      </c>
      <c r="G1644" s="8" t="s">
        <v>284</v>
      </c>
      <c r="H1644" s="8" t="s">
        <v>691</v>
      </c>
      <c r="I1644" s="8" t="s">
        <v>31</v>
      </c>
      <c r="J1644" s="8" t="s">
        <v>220</v>
      </c>
      <c r="K1644" s="10" t="s">
        <v>2193</v>
      </c>
      <c r="L1644" s="8" t="s">
        <v>58</v>
      </c>
      <c r="M1644" s="8" t="s">
        <v>35</v>
      </c>
      <c r="N1644" s="11">
        <v>45031.0</v>
      </c>
      <c r="O1644" s="11">
        <v>45145.0</v>
      </c>
      <c r="P1644" s="11">
        <v>45187.0</v>
      </c>
      <c r="Q1644" s="11"/>
      <c r="R1644" s="11"/>
      <c r="S1644" s="12"/>
      <c r="T1644" s="8"/>
      <c r="U1644" s="8" t="s">
        <v>59</v>
      </c>
      <c r="V1644" s="13" t="s">
        <v>6201</v>
      </c>
      <c r="W1644" s="13" t="s">
        <v>8256</v>
      </c>
      <c r="X1644" s="12"/>
      <c r="Y1644" s="14"/>
      <c r="Z1644" s="14"/>
    </row>
    <row r="1645">
      <c r="A1645" s="8" t="s">
        <v>8257</v>
      </c>
      <c r="B1645" s="8" t="s">
        <v>8258</v>
      </c>
      <c r="C1645" s="8" t="s">
        <v>179</v>
      </c>
      <c r="D1645" s="8" t="s">
        <v>26</v>
      </c>
      <c r="E1645" s="8" t="s">
        <v>8259</v>
      </c>
      <c r="F1645" s="8">
        <v>2.2849073E7</v>
      </c>
      <c r="G1645" s="8" t="s">
        <v>54</v>
      </c>
      <c r="H1645" s="8" t="s">
        <v>244</v>
      </c>
      <c r="I1645" s="8" t="s">
        <v>31</v>
      </c>
      <c r="J1645" s="8" t="s">
        <v>77</v>
      </c>
      <c r="K1645" s="10" t="s">
        <v>8136</v>
      </c>
      <c r="L1645" s="8" t="s">
        <v>58</v>
      </c>
      <c r="M1645" s="8" t="s">
        <v>35</v>
      </c>
      <c r="N1645" s="11">
        <v>45032.0</v>
      </c>
      <c r="O1645" s="11">
        <v>45095.0</v>
      </c>
      <c r="P1645" s="11">
        <v>45137.0</v>
      </c>
      <c r="Q1645" s="11"/>
      <c r="R1645" s="11"/>
      <c r="S1645" s="12"/>
      <c r="T1645" s="8"/>
      <c r="U1645" s="8" t="s">
        <v>59</v>
      </c>
      <c r="V1645" s="13" t="s">
        <v>7952</v>
      </c>
      <c r="W1645" s="13" t="s">
        <v>8260</v>
      </c>
      <c r="X1645" s="12"/>
      <c r="Y1645" s="14"/>
      <c r="Z1645" s="14"/>
    </row>
    <row r="1646">
      <c r="A1646" s="8" t="s">
        <v>8261</v>
      </c>
      <c r="B1646" s="8" t="s">
        <v>8262</v>
      </c>
      <c r="C1646" s="8" t="s">
        <v>179</v>
      </c>
      <c r="D1646" s="8" t="s">
        <v>26</v>
      </c>
      <c r="E1646" s="8" t="s">
        <v>8263</v>
      </c>
      <c r="F1646" s="8">
        <v>5.414484461E9</v>
      </c>
      <c r="G1646" s="8" t="s">
        <v>31</v>
      </c>
      <c r="H1646" s="8" t="s">
        <v>86</v>
      </c>
      <c r="I1646" s="8" t="s">
        <v>44</v>
      </c>
      <c r="J1646" s="8" t="s">
        <v>741</v>
      </c>
      <c r="K1646" s="10" t="s">
        <v>8264</v>
      </c>
      <c r="L1646" s="8" t="s">
        <v>58</v>
      </c>
      <c r="M1646" s="8" t="s">
        <v>35</v>
      </c>
      <c r="N1646" s="11">
        <v>45032.0</v>
      </c>
      <c r="O1646" s="11">
        <v>45139.0</v>
      </c>
      <c r="P1646" s="11">
        <v>45183.0</v>
      </c>
      <c r="Q1646" s="11"/>
      <c r="R1646" s="11"/>
      <c r="S1646" s="12"/>
      <c r="T1646" s="8"/>
      <c r="U1646" s="8" t="s">
        <v>1038</v>
      </c>
      <c r="V1646" s="13" t="s">
        <v>175</v>
      </c>
      <c r="W1646" s="13" t="s">
        <v>8265</v>
      </c>
      <c r="X1646" s="12"/>
      <c r="Y1646" s="14"/>
      <c r="Z1646" s="14"/>
    </row>
    <row r="1647">
      <c r="A1647" s="8" t="s">
        <v>8266</v>
      </c>
      <c r="B1647" s="8" t="s">
        <v>8267</v>
      </c>
      <c r="C1647" s="8" t="s">
        <v>179</v>
      </c>
      <c r="D1647" s="8" t="s">
        <v>26</v>
      </c>
      <c r="E1647" s="8" t="s">
        <v>8268</v>
      </c>
      <c r="F1647" s="8"/>
      <c r="G1647" s="8" t="s">
        <v>31</v>
      </c>
      <c r="H1647" s="8" t="s">
        <v>56</v>
      </c>
      <c r="I1647" s="8" t="s">
        <v>44</v>
      </c>
      <c r="J1647" s="8" t="s">
        <v>741</v>
      </c>
      <c r="K1647" s="10" t="s">
        <v>8269</v>
      </c>
      <c r="L1647" s="8" t="s">
        <v>58</v>
      </c>
      <c r="M1647" s="8" t="s">
        <v>35</v>
      </c>
      <c r="N1647" s="11">
        <v>45032.0</v>
      </c>
      <c r="O1647" s="11">
        <v>45109.0</v>
      </c>
      <c r="P1647" s="11">
        <v>45151.0</v>
      </c>
      <c r="Q1647" s="11"/>
      <c r="R1647" s="11"/>
      <c r="S1647" s="12"/>
      <c r="T1647" s="8"/>
      <c r="U1647" s="8" t="s">
        <v>161</v>
      </c>
      <c r="V1647" s="13" t="s">
        <v>38</v>
      </c>
      <c r="W1647" s="13" t="s">
        <v>8270</v>
      </c>
      <c r="X1647" s="12"/>
      <c r="Y1647" s="14"/>
      <c r="Z1647" s="14"/>
    </row>
    <row r="1648">
      <c r="A1648" s="8" t="s">
        <v>8271</v>
      </c>
      <c r="B1648" s="8" t="s">
        <v>8272</v>
      </c>
      <c r="C1648" s="8" t="s">
        <v>251</v>
      </c>
      <c r="D1648" s="8" t="s">
        <v>26</v>
      </c>
      <c r="E1648" s="8" t="s">
        <v>8273</v>
      </c>
      <c r="F1648" s="8">
        <v>3.314610209E9</v>
      </c>
      <c r="G1648" s="8" t="s">
        <v>315</v>
      </c>
      <c r="H1648" s="8" t="s">
        <v>1242</v>
      </c>
      <c r="I1648" s="8" t="s">
        <v>31</v>
      </c>
      <c r="J1648" s="8" t="s">
        <v>102</v>
      </c>
      <c r="K1648" s="10" t="s">
        <v>6221</v>
      </c>
      <c r="L1648" s="8" t="s">
        <v>58</v>
      </c>
      <c r="M1648" s="8" t="s">
        <v>35</v>
      </c>
      <c r="N1648" s="11">
        <v>45032.0</v>
      </c>
      <c r="O1648" s="11">
        <v>45089.0</v>
      </c>
      <c r="P1648" s="11">
        <v>45131.0</v>
      </c>
      <c r="Q1648" s="11"/>
      <c r="R1648" s="11"/>
      <c r="S1648" s="12"/>
      <c r="T1648" s="8"/>
      <c r="U1648" s="8" t="s">
        <v>59</v>
      </c>
      <c r="V1648" s="13" t="s">
        <v>1328</v>
      </c>
      <c r="W1648" s="13" t="s">
        <v>8274</v>
      </c>
      <c r="X1648" s="12"/>
      <c r="Y1648" s="14"/>
      <c r="Z1648" s="14"/>
    </row>
    <row r="1649">
      <c r="A1649" s="8" t="s">
        <v>8275</v>
      </c>
      <c r="B1649" s="8" t="s">
        <v>8276</v>
      </c>
      <c r="C1649" s="8" t="s">
        <v>708</v>
      </c>
      <c r="D1649" s="8" t="s">
        <v>26</v>
      </c>
      <c r="E1649" s="8" t="s">
        <v>8277</v>
      </c>
      <c r="F1649" s="8">
        <v>7.96625829E8</v>
      </c>
      <c r="G1649" s="8" t="s">
        <v>254</v>
      </c>
      <c r="H1649" s="8" t="s">
        <v>422</v>
      </c>
      <c r="I1649" s="8" t="s">
        <v>31</v>
      </c>
      <c r="J1649" s="8" t="s">
        <v>220</v>
      </c>
      <c r="K1649" s="10" t="s">
        <v>8278</v>
      </c>
      <c r="L1649" s="8" t="s">
        <v>34</v>
      </c>
      <c r="M1649" s="8" t="s">
        <v>70</v>
      </c>
      <c r="N1649" s="11">
        <v>45032.0</v>
      </c>
      <c r="O1649" s="11">
        <v>45108.0</v>
      </c>
      <c r="P1649" s="11">
        <v>45474.0</v>
      </c>
      <c r="Q1649" s="11">
        <v>45078.0</v>
      </c>
      <c r="R1649" s="11">
        <v>45474.0</v>
      </c>
      <c r="S1649" s="12"/>
      <c r="T1649" s="8" t="s">
        <v>205</v>
      </c>
      <c r="U1649" s="8" t="s">
        <v>8279</v>
      </c>
      <c r="V1649" s="13" t="s">
        <v>425</v>
      </c>
      <c r="W1649" s="13" t="s">
        <v>8280</v>
      </c>
      <c r="X1649" s="12"/>
      <c r="Y1649" s="14"/>
      <c r="Z1649" s="14"/>
    </row>
    <row r="1650">
      <c r="A1650" s="8" t="s">
        <v>8281</v>
      </c>
      <c r="B1650" s="8" t="s">
        <v>8282</v>
      </c>
      <c r="C1650" s="8" t="s">
        <v>64</v>
      </c>
      <c r="D1650" s="8" t="s">
        <v>26</v>
      </c>
      <c r="E1650" s="8" t="s">
        <v>8283</v>
      </c>
      <c r="F1650" s="8"/>
      <c r="G1650" s="8" t="s">
        <v>127</v>
      </c>
      <c r="H1650" s="8" t="s">
        <v>128</v>
      </c>
      <c r="I1650" s="8" t="s">
        <v>31</v>
      </c>
      <c r="J1650" s="8" t="s">
        <v>77</v>
      </c>
      <c r="K1650" s="10" t="s">
        <v>4188</v>
      </c>
      <c r="L1650" s="8" t="s">
        <v>58</v>
      </c>
      <c r="M1650" s="8" t="s">
        <v>35</v>
      </c>
      <c r="N1650" s="11">
        <v>45032.0</v>
      </c>
      <c r="O1650" s="11">
        <v>45138.0</v>
      </c>
      <c r="P1650" s="11">
        <v>45180.0</v>
      </c>
      <c r="Q1650" s="11">
        <v>45138.0</v>
      </c>
      <c r="R1650" s="11">
        <v>45180.0</v>
      </c>
      <c r="S1650" s="12"/>
      <c r="T1650" s="8"/>
      <c r="U1650" s="8" t="s">
        <v>59</v>
      </c>
      <c r="V1650" s="13" t="s">
        <v>1473</v>
      </c>
      <c r="W1650" s="13" t="s">
        <v>8284</v>
      </c>
      <c r="X1650" s="12"/>
      <c r="Y1650" s="14"/>
      <c r="Z1650" s="14"/>
    </row>
    <row r="1651">
      <c r="A1651" s="8" t="s">
        <v>8285</v>
      </c>
      <c r="B1651" s="8" t="s">
        <v>8286</v>
      </c>
      <c r="C1651" s="8" t="s">
        <v>25</v>
      </c>
      <c r="D1651" s="8" t="s">
        <v>26</v>
      </c>
      <c r="E1651" s="8" t="s">
        <v>8287</v>
      </c>
      <c r="F1651" s="8"/>
      <c r="G1651" s="8" t="s">
        <v>31</v>
      </c>
      <c r="H1651" s="8" t="s">
        <v>256</v>
      </c>
      <c r="I1651" s="8" t="s">
        <v>284</v>
      </c>
      <c r="J1651" s="8" t="s">
        <v>285</v>
      </c>
      <c r="K1651" s="10" t="s">
        <v>3841</v>
      </c>
      <c r="L1651" s="8" t="s">
        <v>58</v>
      </c>
      <c r="M1651" s="8" t="s">
        <v>35</v>
      </c>
      <c r="N1651" s="11">
        <v>45033.0</v>
      </c>
      <c r="O1651" s="11">
        <v>45139.0</v>
      </c>
      <c r="P1651" s="11">
        <v>45181.0</v>
      </c>
      <c r="Q1651" s="11">
        <v>45140.0</v>
      </c>
      <c r="R1651" s="11">
        <v>45181.0</v>
      </c>
      <c r="S1651" s="12"/>
      <c r="T1651" s="8"/>
      <c r="U1651" s="8" t="s">
        <v>1038</v>
      </c>
      <c r="V1651" s="13" t="s">
        <v>256</v>
      </c>
      <c r="W1651" s="13" t="s">
        <v>8288</v>
      </c>
      <c r="X1651" s="12"/>
      <c r="Y1651" s="14"/>
      <c r="Z1651" s="14"/>
    </row>
    <row r="1652">
      <c r="A1652" s="8" t="s">
        <v>8289</v>
      </c>
      <c r="B1652" s="8" t="s">
        <v>8290</v>
      </c>
      <c r="C1652" s="8" t="s">
        <v>708</v>
      </c>
      <c r="D1652" s="8" t="s">
        <v>26</v>
      </c>
      <c r="E1652" s="8" t="s">
        <v>8291</v>
      </c>
      <c r="F1652" s="8">
        <v>8.7988623608E10</v>
      </c>
      <c r="G1652" s="8" t="s">
        <v>109</v>
      </c>
      <c r="H1652" s="8" t="s">
        <v>2286</v>
      </c>
      <c r="I1652" s="8" t="s">
        <v>31</v>
      </c>
      <c r="J1652" s="8" t="s">
        <v>86</v>
      </c>
      <c r="K1652" s="10" t="s">
        <v>2453</v>
      </c>
      <c r="L1652" s="8" t="s">
        <v>58</v>
      </c>
      <c r="M1652" s="8" t="s">
        <v>35</v>
      </c>
      <c r="N1652" s="11">
        <v>45033.0</v>
      </c>
      <c r="O1652" s="11">
        <v>45292.0</v>
      </c>
      <c r="P1652" s="11">
        <v>45334.0</v>
      </c>
      <c r="Q1652" s="11">
        <v>45299.0</v>
      </c>
      <c r="R1652" s="11">
        <v>45340.0</v>
      </c>
      <c r="S1652" s="12"/>
      <c r="T1652" s="8"/>
      <c r="U1652" s="8" t="s">
        <v>59</v>
      </c>
      <c r="V1652" s="13" t="s">
        <v>2287</v>
      </c>
      <c r="W1652" s="13" t="s">
        <v>8292</v>
      </c>
      <c r="X1652" s="12"/>
      <c r="Y1652" s="14"/>
      <c r="Z1652" s="14"/>
    </row>
    <row r="1653">
      <c r="A1653" s="8" t="s">
        <v>8293</v>
      </c>
      <c r="B1653" s="8" t="s">
        <v>8294</v>
      </c>
      <c r="C1653" s="8" t="s">
        <v>64</v>
      </c>
      <c r="D1653" s="8" t="s">
        <v>26</v>
      </c>
      <c r="E1653" s="8" t="s">
        <v>8295</v>
      </c>
      <c r="F1653" s="8">
        <v>5.1150288E7</v>
      </c>
      <c r="G1653" s="8" t="s">
        <v>54</v>
      </c>
      <c r="H1653" s="8" t="s">
        <v>430</v>
      </c>
      <c r="I1653" s="8" t="s">
        <v>31</v>
      </c>
      <c r="J1653" s="8" t="s">
        <v>77</v>
      </c>
      <c r="K1653" s="10" t="s">
        <v>8136</v>
      </c>
      <c r="L1653" s="8" t="s">
        <v>58</v>
      </c>
      <c r="M1653" s="8" t="s">
        <v>35</v>
      </c>
      <c r="N1653" s="11">
        <v>45033.0</v>
      </c>
      <c r="O1653" s="11">
        <v>45095.0</v>
      </c>
      <c r="P1653" s="11">
        <v>45137.0</v>
      </c>
      <c r="Q1653" s="11">
        <v>45095.0</v>
      </c>
      <c r="R1653" s="11">
        <v>45137.0</v>
      </c>
      <c r="S1653" s="12"/>
      <c r="T1653" s="8"/>
      <c r="U1653" s="8" t="s">
        <v>59</v>
      </c>
      <c r="V1653" s="13" t="s">
        <v>4780</v>
      </c>
      <c r="W1653" s="13" t="s">
        <v>8296</v>
      </c>
      <c r="X1653" s="12"/>
      <c r="Y1653" s="14"/>
      <c r="Z1653" s="14"/>
    </row>
    <row r="1654">
      <c r="A1654" s="8" t="s">
        <v>8297</v>
      </c>
      <c r="B1654" s="8" t="s">
        <v>8298</v>
      </c>
      <c r="C1654" s="8" t="s">
        <v>25</v>
      </c>
      <c r="D1654" s="8" t="s">
        <v>26</v>
      </c>
      <c r="E1654" s="8" t="s">
        <v>8299</v>
      </c>
      <c r="F1654" s="8">
        <v>5.35333203E9</v>
      </c>
      <c r="G1654" s="8" t="s">
        <v>31</v>
      </c>
      <c r="H1654" s="8" t="s">
        <v>111</v>
      </c>
      <c r="I1654" s="8" t="s">
        <v>284</v>
      </c>
      <c r="J1654" s="8" t="s">
        <v>1422</v>
      </c>
      <c r="K1654" s="10" t="s">
        <v>7026</v>
      </c>
      <c r="L1654" s="8" t="s">
        <v>58</v>
      </c>
      <c r="M1654" s="8" t="s">
        <v>35</v>
      </c>
      <c r="N1654" s="11">
        <v>45033.0</v>
      </c>
      <c r="O1654" s="11">
        <v>45108.0</v>
      </c>
      <c r="P1654" s="11">
        <v>45150.0</v>
      </c>
      <c r="Q1654" s="11">
        <v>45107.0</v>
      </c>
      <c r="R1654" s="11">
        <v>45150.0</v>
      </c>
      <c r="S1654" s="12"/>
      <c r="T1654" s="8"/>
      <c r="U1654" s="8" t="s">
        <v>1038</v>
      </c>
      <c r="V1654" s="13" t="s">
        <v>111</v>
      </c>
      <c r="W1654" s="13" t="s">
        <v>8300</v>
      </c>
      <c r="X1654" s="12"/>
      <c r="Y1654" s="14"/>
      <c r="Z1654" s="14"/>
    </row>
    <row r="1655">
      <c r="A1655" s="8" t="s">
        <v>8301</v>
      </c>
      <c r="B1655" s="8" t="s">
        <v>8302</v>
      </c>
      <c r="C1655" s="8" t="s">
        <v>708</v>
      </c>
      <c r="D1655" s="8" t="s">
        <v>26</v>
      </c>
      <c r="E1655" s="8" t="s">
        <v>8303</v>
      </c>
      <c r="F1655" s="8">
        <v>6.74967398E8</v>
      </c>
      <c r="G1655" s="8" t="s">
        <v>254</v>
      </c>
      <c r="H1655" s="8" t="s">
        <v>255</v>
      </c>
      <c r="I1655" s="8" t="s">
        <v>31</v>
      </c>
      <c r="J1655" s="8" t="s">
        <v>111</v>
      </c>
      <c r="K1655" s="10" t="s">
        <v>1744</v>
      </c>
      <c r="L1655" s="8" t="s">
        <v>47</v>
      </c>
      <c r="M1655" s="8" t="s">
        <v>70</v>
      </c>
      <c r="N1655" s="11">
        <v>45033.0</v>
      </c>
      <c r="O1655" s="11">
        <v>45153.0</v>
      </c>
      <c r="P1655" s="11">
        <v>45519.0</v>
      </c>
      <c r="Q1655" s="11">
        <v>45160.0</v>
      </c>
      <c r="R1655" s="11">
        <v>45526.0</v>
      </c>
      <c r="S1655" s="12"/>
      <c r="T1655" s="8"/>
      <c r="U1655" s="8" t="s">
        <v>1745</v>
      </c>
      <c r="V1655" s="13" t="s">
        <v>258</v>
      </c>
      <c r="W1655" s="13" t="s">
        <v>8304</v>
      </c>
      <c r="X1655" s="12"/>
      <c r="Y1655" s="14"/>
      <c r="Z1655" s="14"/>
    </row>
    <row r="1656">
      <c r="A1656" s="8" t="s">
        <v>8305</v>
      </c>
      <c r="B1656" s="8" t="s">
        <v>8306</v>
      </c>
      <c r="C1656" s="8" t="s">
        <v>179</v>
      </c>
      <c r="D1656" s="8" t="s">
        <v>26</v>
      </c>
      <c r="E1656" s="8" t="s">
        <v>8307</v>
      </c>
      <c r="F1656" s="8">
        <v>5.413964891E9</v>
      </c>
      <c r="G1656" s="8" t="s">
        <v>31</v>
      </c>
      <c r="H1656" s="8" t="s">
        <v>111</v>
      </c>
      <c r="I1656" s="8" t="s">
        <v>399</v>
      </c>
      <c r="J1656" s="8" t="s">
        <v>5570</v>
      </c>
      <c r="K1656" s="10" t="s">
        <v>8308</v>
      </c>
      <c r="L1656" s="8" t="s">
        <v>58</v>
      </c>
      <c r="M1656" s="8" t="s">
        <v>35</v>
      </c>
      <c r="N1656" s="11">
        <v>45033.0</v>
      </c>
      <c r="O1656" s="11">
        <v>45150.0</v>
      </c>
      <c r="P1656" s="11">
        <v>45192.0</v>
      </c>
      <c r="Q1656" s="11"/>
      <c r="R1656" s="11"/>
      <c r="S1656" s="12"/>
      <c r="T1656" s="8"/>
      <c r="U1656" s="8" t="s">
        <v>402</v>
      </c>
      <c r="V1656" s="13" t="s">
        <v>111</v>
      </c>
      <c r="W1656" s="13" t="s">
        <v>8309</v>
      </c>
      <c r="X1656" s="12"/>
      <c r="Y1656" s="14"/>
      <c r="Z1656" s="14"/>
    </row>
    <row r="1657">
      <c r="A1657" s="8" t="s">
        <v>8310</v>
      </c>
      <c r="B1657" s="8" t="s">
        <v>8311</v>
      </c>
      <c r="C1657" s="8" t="s">
        <v>25</v>
      </c>
      <c r="D1657" s="8" t="s">
        <v>26</v>
      </c>
      <c r="E1657" s="8" t="s">
        <v>8312</v>
      </c>
      <c r="F1657" s="8">
        <v>6.65480205E8</v>
      </c>
      <c r="G1657" s="8" t="s">
        <v>84</v>
      </c>
      <c r="H1657" s="8" t="s">
        <v>752</v>
      </c>
      <c r="I1657" s="8" t="s">
        <v>31</v>
      </c>
      <c r="J1657" s="8" t="s">
        <v>111</v>
      </c>
      <c r="K1657" s="10" t="s">
        <v>323</v>
      </c>
      <c r="L1657" s="8" t="s">
        <v>58</v>
      </c>
      <c r="M1657" s="8" t="s">
        <v>35</v>
      </c>
      <c r="N1657" s="11">
        <v>45033.0</v>
      </c>
      <c r="O1657" s="11">
        <v>45129.0</v>
      </c>
      <c r="P1657" s="11">
        <v>45171.0</v>
      </c>
      <c r="Q1657" s="11">
        <v>45133.0</v>
      </c>
      <c r="R1657" s="11">
        <v>45175.0</v>
      </c>
      <c r="S1657" s="12"/>
      <c r="T1657" s="8"/>
      <c r="U1657" s="8" t="s">
        <v>59</v>
      </c>
      <c r="V1657" s="13" t="s">
        <v>8131</v>
      </c>
      <c r="W1657" s="13" t="s">
        <v>8313</v>
      </c>
      <c r="X1657" s="12"/>
      <c r="Y1657" s="14"/>
      <c r="Z1657" s="14"/>
    </row>
    <row r="1658">
      <c r="A1658" s="8" t="s">
        <v>8314</v>
      </c>
      <c r="B1658" s="8" t="s">
        <v>8315</v>
      </c>
      <c r="C1658" s="8" t="s">
        <v>25</v>
      </c>
      <c r="D1658" s="8" t="s">
        <v>26</v>
      </c>
      <c r="E1658" s="8" t="s">
        <v>8316</v>
      </c>
      <c r="F1658" s="8">
        <v>5.319877052E9</v>
      </c>
      <c r="G1658" s="8" t="s">
        <v>31</v>
      </c>
      <c r="H1658" s="8" t="s">
        <v>77</v>
      </c>
      <c r="I1658" s="8" t="s">
        <v>221</v>
      </c>
      <c r="J1658" s="8" t="s">
        <v>1254</v>
      </c>
      <c r="K1658" s="10" t="s">
        <v>8317</v>
      </c>
      <c r="L1658" s="8" t="s">
        <v>58</v>
      </c>
      <c r="M1658" s="8" t="s">
        <v>35</v>
      </c>
      <c r="N1658" s="11">
        <v>45033.0</v>
      </c>
      <c r="O1658" s="11">
        <v>45089.0</v>
      </c>
      <c r="P1658" s="11">
        <v>45131.0</v>
      </c>
      <c r="Q1658" s="11">
        <v>45089.0</v>
      </c>
      <c r="R1658" s="11">
        <v>45131.0</v>
      </c>
      <c r="S1658" s="12"/>
      <c r="T1658" s="8"/>
      <c r="U1658" s="8" t="s">
        <v>88</v>
      </c>
      <c r="V1658" s="13" t="s">
        <v>292</v>
      </c>
      <c r="W1658" s="13" t="s">
        <v>8318</v>
      </c>
      <c r="X1658" s="12"/>
      <c r="Y1658" s="14"/>
      <c r="Z1658" s="14"/>
    </row>
    <row r="1659">
      <c r="A1659" s="8" t="s">
        <v>8319</v>
      </c>
      <c r="B1659" s="8" t="s">
        <v>8320</v>
      </c>
      <c r="C1659" s="8" t="s">
        <v>708</v>
      </c>
      <c r="D1659" s="8" t="s">
        <v>26</v>
      </c>
      <c r="E1659" s="8" t="s">
        <v>8321</v>
      </c>
      <c r="F1659" s="8"/>
      <c r="G1659" s="8" t="s">
        <v>84</v>
      </c>
      <c r="H1659" s="8" t="s">
        <v>1551</v>
      </c>
      <c r="I1659" s="8" t="s">
        <v>31</v>
      </c>
      <c r="J1659" s="8" t="s">
        <v>86</v>
      </c>
      <c r="K1659" s="10" t="s">
        <v>2404</v>
      </c>
      <c r="L1659" s="8" t="s">
        <v>34</v>
      </c>
      <c r="M1659" s="8" t="s">
        <v>70</v>
      </c>
      <c r="N1659" s="11">
        <v>45033.0</v>
      </c>
      <c r="O1659" s="11">
        <v>45068.0</v>
      </c>
      <c r="P1659" s="11">
        <v>45611.0</v>
      </c>
      <c r="Q1659" s="11">
        <v>45069.0</v>
      </c>
      <c r="R1659" s="11">
        <v>45618.0</v>
      </c>
      <c r="S1659" s="12"/>
      <c r="T1659" s="8" t="s">
        <v>36</v>
      </c>
      <c r="U1659" s="8" t="s">
        <v>2405</v>
      </c>
      <c r="V1659" s="13" t="s">
        <v>38</v>
      </c>
      <c r="W1659" s="13" t="s">
        <v>8322</v>
      </c>
      <c r="X1659" s="12"/>
      <c r="Y1659" s="14"/>
      <c r="Z1659" s="14"/>
    </row>
    <row r="1660">
      <c r="A1660" s="8" t="s">
        <v>8323</v>
      </c>
      <c r="B1660" s="8" t="s">
        <v>8324</v>
      </c>
      <c r="C1660" s="8" t="s">
        <v>25</v>
      </c>
      <c r="D1660" s="8" t="s">
        <v>26</v>
      </c>
      <c r="E1660" s="8" t="s">
        <v>8325</v>
      </c>
      <c r="F1660" s="8">
        <v>5.422506605E9</v>
      </c>
      <c r="G1660" s="8" t="s">
        <v>31</v>
      </c>
      <c r="H1660" s="8" t="s">
        <v>86</v>
      </c>
      <c r="I1660" s="8" t="s">
        <v>284</v>
      </c>
      <c r="J1660" s="8" t="s">
        <v>589</v>
      </c>
      <c r="K1660" s="10" t="s">
        <v>6146</v>
      </c>
      <c r="L1660" s="8" t="s">
        <v>58</v>
      </c>
      <c r="M1660" s="8" t="s">
        <v>35</v>
      </c>
      <c r="N1660" s="11">
        <v>45033.0</v>
      </c>
      <c r="O1660" s="11">
        <v>45122.0</v>
      </c>
      <c r="P1660" s="11">
        <v>45164.0</v>
      </c>
      <c r="Q1660" s="11">
        <v>45123.0</v>
      </c>
      <c r="R1660" s="11">
        <v>45164.0</v>
      </c>
      <c r="S1660" s="12"/>
      <c r="T1660" s="8"/>
      <c r="U1660" s="8" t="s">
        <v>1038</v>
      </c>
      <c r="V1660" s="13" t="s">
        <v>175</v>
      </c>
      <c r="W1660" s="13" t="s">
        <v>8326</v>
      </c>
      <c r="X1660" s="12"/>
      <c r="Y1660" s="14"/>
      <c r="Z1660" s="14"/>
    </row>
    <row r="1661">
      <c r="A1661" s="8" t="s">
        <v>8327</v>
      </c>
      <c r="B1661" s="8" t="s">
        <v>8328</v>
      </c>
      <c r="C1661" s="8" t="s">
        <v>179</v>
      </c>
      <c r="D1661" s="8" t="s">
        <v>26</v>
      </c>
      <c r="E1661" s="8" t="s">
        <v>8329</v>
      </c>
      <c r="F1661" s="8">
        <v>5.00449432E8</v>
      </c>
      <c r="G1661" s="8" t="s">
        <v>1620</v>
      </c>
      <c r="H1661" s="8" t="s">
        <v>1635</v>
      </c>
      <c r="I1661" s="8" t="s">
        <v>31</v>
      </c>
      <c r="J1661" s="8" t="s">
        <v>43</v>
      </c>
      <c r="K1661" s="10" t="s">
        <v>837</v>
      </c>
      <c r="L1661" s="8" t="s">
        <v>58</v>
      </c>
      <c r="M1661" s="8" t="s">
        <v>35</v>
      </c>
      <c r="N1661" s="11">
        <v>45033.0</v>
      </c>
      <c r="O1661" s="11">
        <v>45194.0</v>
      </c>
      <c r="P1661" s="11">
        <v>45240.0</v>
      </c>
      <c r="Q1661" s="11"/>
      <c r="R1661" s="11"/>
      <c r="S1661" s="12"/>
      <c r="T1661" s="8"/>
      <c r="U1661" s="8" t="s">
        <v>130</v>
      </c>
      <c r="V1661" s="13" t="s">
        <v>3656</v>
      </c>
      <c r="W1661" s="13" t="s">
        <v>8330</v>
      </c>
      <c r="X1661" s="12"/>
      <c r="Y1661" s="14"/>
      <c r="Z1661" s="14"/>
    </row>
    <row r="1662">
      <c r="A1662" s="8" t="s">
        <v>8331</v>
      </c>
      <c r="B1662" s="8" t="s">
        <v>8332</v>
      </c>
      <c r="C1662" s="8" t="s">
        <v>179</v>
      </c>
      <c r="D1662" s="8" t="s">
        <v>26</v>
      </c>
      <c r="E1662" s="8" t="s">
        <v>8333</v>
      </c>
      <c r="F1662" s="8"/>
      <c r="G1662" s="8" t="s">
        <v>315</v>
      </c>
      <c r="H1662" s="8" t="s">
        <v>4925</v>
      </c>
      <c r="I1662" s="8" t="s">
        <v>31</v>
      </c>
      <c r="J1662" s="8" t="s">
        <v>32</v>
      </c>
      <c r="K1662" s="10" t="s">
        <v>1451</v>
      </c>
      <c r="L1662" s="8" t="s">
        <v>58</v>
      </c>
      <c r="M1662" s="8" t="s">
        <v>35</v>
      </c>
      <c r="N1662" s="11">
        <v>45033.0</v>
      </c>
      <c r="O1662" s="11">
        <v>45165.0</v>
      </c>
      <c r="P1662" s="11">
        <v>45207.0</v>
      </c>
      <c r="Q1662" s="11"/>
      <c r="R1662" s="11"/>
      <c r="S1662" s="12"/>
      <c r="T1662" s="8"/>
      <c r="U1662" s="8" t="s">
        <v>59</v>
      </c>
      <c r="V1662" s="13" t="s">
        <v>38</v>
      </c>
      <c r="W1662" s="13" t="s">
        <v>8334</v>
      </c>
      <c r="X1662" s="12"/>
      <c r="Y1662" s="14"/>
      <c r="Z1662" s="14"/>
    </row>
    <row r="1663">
      <c r="A1663" s="8" t="s">
        <v>8335</v>
      </c>
      <c r="B1663" s="8" t="s">
        <v>8336</v>
      </c>
      <c r="C1663" s="8" t="s">
        <v>251</v>
      </c>
      <c r="D1663" s="8" t="s">
        <v>26</v>
      </c>
      <c r="E1663" s="8" t="s">
        <v>8337</v>
      </c>
      <c r="F1663" s="8">
        <v>5.350463449E9</v>
      </c>
      <c r="G1663" s="8" t="s">
        <v>31</v>
      </c>
      <c r="H1663" s="8" t="s">
        <v>56</v>
      </c>
      <c r="I1663" s="8" t="s">
        <v>284</v>
      </c>
      <c r="J1663" s="8" t="s">
        <v>793</v>
      </c>
      <c r="K1663" s="10" t="s">
        <v>8338</v>
      </c>
      <c r="L1663" s="8" t="s">
        <v>34</v>
      </c>
      <c r="M1663" s="8" t="s">
        <v>35</v>
      </c>
      <c r="N1663" s="11">
        <v>45033.0</v>
      </c>
      <c r="O1663" s="11">
        <v>45047.0</v>
      </c>
      <c r="P1663" s="11">
        <v>45130.0</v>
      </c>
      <c r="Q1663" s="11"/>
      <c r="R1663" s="11"/>
      <c r="S1663" s="12"/>
      <c r="T1663" s="8" t="s">
        <v>205</v>
      </c>
      <c r="U1663" s="8" t="s">
        <v>8339</v>
      </c>
      <c r="V1663" s="13" t="s">
        <v>111</v>
      </c>
      <c r="W1663" s="13" t="s">
        <v>8340</v>
      </c>
      <c r="X1663" s="12"/>
      <c r="Y1663" s="14"/>
      <c r="Z1663" s="14"/>
    </row>
    <row r="1664">
      <c r="A1664" s="8" t="s">
        <v>8341</v>
      </c>
      <c r="B1664" s="8" t="s">
        <v>8342</v>
      </c>
      <c r="C1664" s="8" t="s">
        <v>179</v>
      </c>
      <c r="D1664" s="8" t="s">
        <v>26</v>
      </c>
      <c r="E1664" s="8" t="s">
        <v>8343</v>
      </c>
      <c r="F1664" s="8">
        <v>5.419400569E9</v>
      </c>
      <c r="G1664" s="8" t="s">
        <v>31</v>
      </c>
      <c r="H1664" s="8" t="s">
        <v>111</v>
      </c>
      <c r="I1664" s="8" t="s">
        <v>8344</v>
      </c>
      <c r="J1664" s="8" t="s">
        <v>8345</v>
      </c>
      <c r="K1664" s="10" t="s">
        <v>8346</v>
      </c>
      <c r="L1664" s="8" t="s">
        <v>58</v>
      </c>
      <c r="M1664" s="8" t="s">
        <v>35</v>
      </c>
      <c r="N1664" s="11">
        <v>45033.0</v>
      </c>
      <c r="O1664" s="11">
        <v>45117.0</v>
      </c>
      <c r="P1664" s="11">
        <v>45159.0</v>
      </c>
      <c r="Q1664" s="11"/>
      <c r="R1664" s="11"/>
      <c r="S1664" s="12"/>
      <c r="T1664" s="8"/>
      <c r="U1664" s="8" t="s">
        <v>1038</v>
      </c>
      <c r="V1664" s="13" t="s">
        <v>111</v>
      </c>
      <c r="W1664" s="13" t="s">
        <v>8347</v>
      </c>
      <c r="X1664" s="12"/>
      <c r="Y1664" s="14"/>
      <c r="Z1664" s="14"/>
    </row>
    <row r="1665">
      <c r="A1665" s="8" t="s">
        <v>8348</v>
      </c>
      <c r="B1665" s="8" t="s">
        <v>8349</v>
      </c>
      <c r="C1665" s="8" t="s">
        <v>25</v>
      </c>
      <c r="D1665" s="8" t="s">
        <v>26</v>
      </c>
      <c r="E1665" s="8" t="s">
        <v>8350</v>
      </c>
      <c r="F1665" s="8">
        <v>5.533320177E9</v>
      </c>
      <c r="G1665" s="8" t="s">
        <v>31</v>
      </c>
      <c r="H1665" s="8" t="s">
        <v>86</v>
      </c>
      <c r="I1665" s="8" t="s">
        <v>407</v>
      </c>
      <c r="J1665" s="8" t="s">
        <v>408</v>
      </c>
      <c r="K1665" s="10" t="s">
        <v>8351</v>
      </c>
      <c r="L1665" s="8" t="s">
        <v>58</v>
      </c>
      <c r="M1665" s="8" t="s">
        <v>35</v>
      </c>
      <c r="N1665" s="11">
        <v>45033.0</v>
      </c>
      <c r="O1665" s="11">
        <v>45128.0</v>
      </c>
      <c r="P1665" s="11">
        <v>45170.0</v>
      </c>
      <c r="Q1665" s="11">
        <v>45128.0</v>
      </c>
      <c r="R1665" s="11">
        <v>45170.0</v>
      </c>
      <c r="S1665" s="12"/>
      <c r="T1665" s="8"/>
      <c r="U1665" s="8" t="s">
        <v>3111</v>
      </c>
      <c r="V1665" s="13" t="s">
        <v>175</v>
      </c>
      <c r="W1665" s="13" t="s">
        <v>8352</v>
      </c>
      <c r="X1665" s="12"/>
      <c r="Y1665" s="14"/>
      <c r="Z1665" s="14"/>
    </row>
    <row r="1666">
      <c r="A1666" s="8" t="s">
        <v>8353</v>
      </c>
      <c r="B1666" s="8" t="s">
        <v>8354</v>
      </c>
      <c r="C1666" s="8" t="s">
        <v>64</v>
      </c>
      <c r="D1666" s="8" t="s">
        <v>26</v>
      </c>
      <c r="E1666" s="8" t="s">
        <v>8355</v>
      </c>
      <c r="F1666" s="8">
        <v>9.491349643E9</v>
      </c>
      <c r="G1666" s="8" t="s">
        <v>8356</v>
      </c>
      <c r="H1666" s="8" t="s">
        <v>8357</v>
      </c>
      <c r="I1666" s="8" t="s">
        <v>31</v>
      </c>
      <c r="J1666" s="8" t="s">
        <v>77</v>
      </c>
      <c r="K1666" s="10" t="s">
        <v>5712</v>
      </c>
      <c r="L1666" s="8" t="s">
        <v>58</v>
      </c>
      <c r="M1666" s="8" t="s">
        <v>35</v>
      </c>
      <c r="N1666" s="11">
        <v>45033.0</v>
      </c>
      <c r="O1666" s="11">
        <v>45215.0</v>
      </c>
      <c r="P1666" s="11">
        <v>45257.0</v>
      </c>
      <c r="Q1666" s="11">
        <v>45217.0</v>
      </c>
      <c r="R1666" s="11">
        <v>45257.0</v>
      </c>
      <c r="S1666" s="12"/>
      <c r="T1666" s="8"/>
      <c r="U1666" s="8" t="s">
        <v>59</v>
      </c>
      <c r="V1666" s="13" t="s">
        <v>38</v>
      </c>
      <c r="W1666" s="13" t="s">
        <v>8358</v>
      </c>
      <c r="X1666" s="12"/>
      <c r="Y1666" s="14"/>
      <c r="Z1666" s="14"/>
    </row>
    <row r="1667">
      <c r="A1667" s="8" t="s">
        <v>8359</v>
      </c>
      <c r="B1667" s="8" t="s">
        <v>8360</v>
      </c>
      <c r="C1667" s="8" t="s">
        <v>25</v>
      </c>
      <c r="D1667" s="8" t="s">
        <v>26</v>
      </c>
      <c r="E1667" s="8" t="s">
        <v>8361</v>
      </c>
      <c r="F1667" s="8">
        <v>5.443806809E9</v>
      </c>
      <c r="G1667" s="8" t="s">
        <v>31</v>
      </c>
      <c r="H1667" s="8" t="s">
        <v>56</v>
      </c>
      <c r="I1667" s="8" t="s">
        <v>221</v>
      </c>
      <c r="J1667" s="8" t="s">
        <v>3985</v>
      </c>
      <c r="K1667" s="10" t="s">
        <v>8362</v>
      </c>
      <c r="L1667" s="8" t="s">
        <v>34</v>
      </c>
      <c r="M1667" s="8" t="s">
        <v>35</v>
      </c>
      <c r="N1667" s="11">
        <v>45033.0</v>
      </c>
      <c r="O1667" s="11">
        <v>45110.0</v>
      </c>
      <c r="P1667" s="11">
        <v>45166.0</v>
      </c>
      <c r="Q1667" s="11">
        <v>45110.0</v>
      </c>
      <c r="R1667" s="11">
        <v>45166.0</v>
      </c>
      <c r="S1667" s="12"/>
      <c r="T1667" s="8" t="s">
        <v>205</v>
      </c>
      <c r="U1667" s="8" t="s">
        <v>8363</v>
      </c>
      <c r="V1667" s="13" t="s">
        <v>56</v>
      </c>
      <c r="W1667" s="13" t="s">
        <v>8364</v>
      </c>
      <c r="X1667" s="12"/>
      <c r="Y1667" s="14"/>
      <c r="Z1667" s="14"/>
    </row>
    <row r="1668">
      <c r="A1668" s="8" t="s">
        <v>8365</v>
      </c>
      <c r="B1668" s="8" t="s">
        <v>8366</v>
      </c>
      <c r="C1668" s="8" t="s">
        <v>179</v>
      </c>
      <c r="D1668" s="8" t="s">
        <v>26</v>
      </c>
      <c r="E1668" s="8" t="s">
        <v>8367</v>
      </c>
      <c r="F1668" s="8">
        <v>5.0278004E7</v>
      </c>
      <c r="G1668" s="8" t="s">
        <v>54</v>
      </c>
      <c r="H1668" s="8" t="s">
        <v>135</v>
      </c>
      <c r="I1668" s="8" t="s">
        <v>31</v>
      </c>
      <c r="J1668" s="8" t="s">
        <v>111</v>
      </c>
      <c r="K1668" s="10" t="s">
        <v>323</v>
      </c>
      <c r="L1668" s="8" t="s">
        <v>58</v>
      </c>
      <c r="M1668" s="8" t="s">
        <v>35</v>
      </c>
      <c r="N1668" s="11">
        <v>45034.0</v>
      </c>
      <c r="O1668" s="11">
        <v>45129.0</v>
      </c>
      <c r="P1668" s="11">
        <v>45171.0</v>
      </c>
      <c r="Q1668" s="11"/>
      <c r="R1668" s="11"/>
      <c r="S1668" s="12"/>
      <c r="T1668" s="8"/>
      <c r="U1668" s="8" t="s">
        <v>59</v>
      </c>
      <c r="V1668" s="13" t="s">
        <v>138</v>
      </c>
      <c r="W1668" s="13" t="s">
        <v>8368</v>
      </c>
      <c r="X1668" s="12"/>
      <c r="Y1668" s="14"/>
      <c r="Z1668" s="14"/>
    </row>
    <row r="1669">
      <c r="A1669" s="8" t="s">
        <v>8369</v>
      </c>
      <c r="B1669" s="8" t="s">
        <v>8370</v>
      </c>
      <c r="C1669" s="8" t="s">
        <v>25</v>
      </c>
      <c r="D1669" s="8" t="s">
        <v>26</v>
      </c>
      <c r="E1669" s="8" t="s">
        <v>8371</v>
      </c>
      <c r="F1669" s="8">
        <v>7.074626176E9</v>
      </c>
      <c r="G1669" s="8" t="s">
        <v>496</v>
      </c>
      <c r="H1669" s="8" t="s">
        <v>497</v>
      </c>
      <c r="I1669" s="8" t="s">
        <v>31</v>
      </c>
      <c r="J1669" s="8" t="s">
        <v>77</v>
      </c>
      <c r="K1669" s="10" t="s">
        <v>2417</v>
      </c>
      <c r="L1669" s="8" t="s">
        <v>58</v>
      </c>
      <c r="M1669" s="8" t="s">
        <v>35</v>
      </c>
      <c r="N1669" s="11">
        <v>45034.0</v>
      </c>
      <c r="O1669" s="11">
        <v>45103.0</v>
      </c>
      <c r="P1669" s="11">
        <v>45145.0</v>
      </c>
      <c r="Q1669" s="11">
        <v>45103.0</v>
      </c>
      <c r="R1669" s="11">
        <v>45145.0</v>
      </c>
      <c r="S1669" s="12"/>
      <c r="T1669" s="8"/>
      <c r="U1669" s="8" t="s">
        <v>59</v>
      </c>
      <c r="V1669" s="13" t="s">
        <v>500</v>
      </c>
      <c r="W1669" s="13" t="s">
        <v>8372</v>
      </c>
      <c r="X1669" s="12"/>
      <c r="Y1669" s="14"/>
      <c r="Z1669" s="14"/>
    </row>
    <row r="1670">
      <c r="A1670" s="8" t="s">
        <v>8373</v>
      </c>
      <c r="B1670" s="8" t="s">
        <v>8374</v>
      </c>
      <c r="C1670" s="8" t="s">
        <v>25</v>
      </c>
      <c r="D1670" s="8" t="s">
        <v>26</v>
      </c>
      <c r="E1670" s="8" t="s">
        <v>8375</v>
      </c>
      <c r="F1670" s="8"/>
      <c r="G1670" s="8" t="s">
        <v>31</v>
      </c>
      <c r="H1670" s="8" t="s">
        <v>86</v>
      </c>
      <c r="I1670" s="8" t="s">
        <v>54</v>
      </c>
      <c r="J1670" s="8" t="s">
        <v>244</v>
      </c>
      <c r="K1670" s="10" t="s">
        <v>7460</v>
      </c>
      <c r="L1670" s="8" t="s">
        <v>58</v>
      </c>
      <c r="M1670" s="8" t="s">
        <v>35</v>
      </c>
      <c r="N1670" s="11">
        <v>45034.0</v>
      </c>
      <c r="O1670" s="11">
        <v>45139.0</v>
      </c>
      <c r="P1670" s="11">
        <v>45184.0</v>
      </c>
      <c r="Q1670" s="11">
        <v>45138.0</v>
      </c>
      <c r="R1670" s="11">
        <v>45184.0</v>
      </c>
      <c r="S1670" s="12"/>
      <c r="T1670" s="8"/>
      <c r="U1670" s="8" t="s">
        <v>402</v>
      </c>
      <c r="V1670" s="13" t="s">
        <v>38</v>
      </c>
      <c r="W1670" s="13" t="s">
        <v>8376</v>
      </c>
      <c r="X1670" s="12"/>
      <c r="Y1670" s="14"/>
      <c r="Z1670" s="14"/>
    </row>
    <row r="1671">
      <c r="A1671" s="8" t="s">
        <v>8377</v>
      </c>
      <c r="B1671" s="8" t="s">
        <v>8378</v>
      </c>
      <c r="C1671" s="8" t="s">
        <v>179</v>
      </c>
      <c r="D1671" s="8" t="s">
        <v>26</v>
      </c>
      <c r="E1671" s="8" t="s">
        <v>8379</v>
      </c>
      <c r="F1671" s="8">
        <v>1.063055523E9</v>
      </c>
      <c r="G1671" s="8" t="s">
        <v>284</v>
      </c>
      <c r="H1671" s="8" t="s">
        <v>1287</v>
      </c>
      <c r="I1671" s="8" t="s">
        <v>31</v>
      </c>
      <c r="J1671" s="8" t="s">
        <v>111</v>
      </c>
      <c r="K1671" s="10" t="s">
        <v>468</v>
      </c>
      <c r="L1671" s="8" t="s">
        <v>58</v>
      </c>
      <c r="M1671" s="8" t="s">
        <v>35</v>
      </c>
      <c r="N1671" s="11">
        <v>45034.0</v>
      </c>
      <c r="O1671" s="11">
        <v>45334.0</v>
      </c>
      <c r="P1671" s="11">
        <v>45376.0</v>
      </c>
      <c r="Q1671" s="11"/>
      <c r="R1671" s="11"/>
      <c r="S1671" s="12"/>
      <c r="T1671" s="8"/>
      <c r="U1671" s="8" t="s">
        <v>59</v>
      </c>
      <c r="V1671" s="13" t="s">
        <v>1289</v>
      </c>
      <c r="W1671" s="13" t="s">
        <v>8380</v>
      </c>
      <c r="X1671" s="12"/>
      <c r="Y1671" s="14"/>
      <c r="Z1671" s="14"/>
    </row>
    <row r="1672">
      <c r="A1672" s="8" t="s">
        <v>8381</v>
      </c>
      <c r="B1672" s="8" t="s">
        <v>8382</v>
      </c>
      <c r="C1672" s="8" t="s">
        <v>25</v>
      </c>
      <c r="D1672" s="8" t="s">
        <v>26</v>
      </c>
      <c r="E1672" s="8" t="s">
        <v>8383</v>
      </c>
      <c r="F1672" s="8">
        <v>5.352726505E9</v>
      </c>
      <c r="G1672" s="8" t="s">
        <v>31</v>
      </c>
      <c r="H1672" s="8" t="s">
        <v>111</v>
      </c>
      <c r="I1672" s="8" t="s">
        <v>284</v>
      </c>
      <c r="J1672" s="8" t="s">
        <v>1422</v>
      </c>
      <c r="K1672" s="10" t="s">
        <v>8141</v>
      </c>
      <c r="L1672" s="8" t="s">
        <v>58</v>
      </c>
      <c r="M1672" s="8" t="s">
        <v>35</v>
      </c>
      <c r="N1672" s="11">
        <v>45034.0</v>
      </c>
      <c r="O1672" s="11">
        <v>45092.0</v>
      </c>
      <c r="P1672" s="11">
        <v>45134.0</v>
      </c>
      <c r="Q1672" s="11">
        <v>45091.0</v>
      </c>
      <c r="R1672" s="11">
        <v>45134.0</v>
      </c>
      <c r="S1672" s="12"/>
      <c r="T1672" s="8"/>
      <c r="U1672" s="8" t="s">
        <v>3111</v>
      </c>
      <c r="V1672" s="13" t="s">
        <v>111</v>
      </c>
      <c r="W1672" s="13" t="s">
        <v>8384</v>
      </c>
      <c r="X1672" s="12"/>
      <c r="Y1672" s="14"/>
      <c r="Z1672" s="14"/>
    </row>
    <row r="1673">
      <c r="A1673" s="8" t="s">
        <v>8385</v>
      </c>
      <c r="B1673" s="8" t="s">
        <v>8386</v>
      </c>
      <c r="C1673" s="8" t="s">
        <v>179</v>
      </c>
      <c r="D1673" s="8" t="s">
        <v>26</v>
      </c>
      <c r="E1673" s="8" t="s">
        <v>8387</v>
      </c>
      <c r="F1673" s="8" t="s">
        <v>253</v>
      </c>
      <c r="G1673" s="8" t="s">
        <v>284</v>
      </c>
      <c r="H1673" s="8" t="s">
        <v>300</v>
      </c>
      <c r="I1673" s="8" t="s">
        <v>31</v>
      </c>
      <c r="J1673" s="8" t="s">
        <v>167</v>
      </c>
      <c r="K1673" s="10" t="s">
        <v>8388</v>
      </c>
      <c r="L1673" s="8" t="s">
        <v>47</v>
      </c>
      <c r="M1673" s="8" t="s">
        <v>70</v>
      </c>
      <c r="N1673" s="11">
        <v>45034.0</v>
      </c>
      <c r="O1673" s="11">
        <v>45139.0</v>
      </c>
      <c r="P1673" s="11">
        <v>45505.0</v>
      </c>
      <c r="Q1673" s="11"/>
      <c r="R1673" s="11"/>
      <c r="S1673" s="12"/>
      <c r="T1673" s="8"/>
      <c r="U1673" s="8" t="s">
        <v>8389</v>
      </c>
      <c r="V1673" s="13" t="s">
        <v>300</v>
      </c>
      <c r="W1673" s="13" t="s">
        <v>8390</v>
      </c>
      <c r="X1673" s="12"/>
      <c r="Y1673" s="14"/>
      <c r="Z1673" s="14"/>
    </row>
    <row r="1674">
      <c r="A1674" s="8" t="s">
        <v>8391</v>
      </c>
      <c r="B1674" s="8" t="s">
        <v>8392</v>
      </c>
      <c r="C1674" s="8" t="s">
        <v>25</v>
      </c>
      <c r="D1674" s="8" t="s">
        <v>26</v>
      </c>
      <c r="E1674" s="8" t="s">
        <v>8393</v>
      </c>
      <c r="F1674" s="8">
        <v>5.359227041E9</v>
      </c>
      <c r="G1674" s="8" t="s">
        <v>31</v>
      </c>
      <c r="H1674" s="8" t="s">
        <v>56</v>
      </c>
      <c r="I1674" s="8" t="s">
        <v>127</v>
      </c>
      <c r="J1674" s="8" t="s">
        <v>128</v>
      </c>
      <c r="K1674" s="10" t="s">
        <v>8394</v>
      </c>
      <c r="L1674" s="8" t="s">
        <v>58</v>
      </c>
      <c r="M1674" s="8" t="s">
        <v>35</v>
      </c>
      <c r="N1674" s="11">
        <v>45034.0</v>
      </c>
      <c r="O1674" s="11">
        <v>45124.0</v>
      </c>
      <c r="P1674" s="11">
        <v>45166.0</v>
      </c>
      <c r="Q1674" s="11">
        <v>45124.0</v>
      </c>
      <c r="R1674" s="11">
        <v>45166.0</v>
      </c>
      <c r="S1674" s="12"/>
      <c r="T1674" s="8"/>
      <c r="U1674" s="8" t="s">
        <v>161</v>
      </c>
      <c r="V1674" s="13" t="s">
        <v>56</v>
      </c>
      <c r="W1674" s="13" t="s">
        <v>8395</v>
      </c>
      <c r="X1674" s="12"/>
      <c r="Y1674" s="14"/>
      <c r="Z1674" s="14"/>
    </row>
    <row r="1675">
      <c r="A1675" s="8" t="s">
        <v>8396</v>
      </c>
      <c r="B1675" s="8" t="s">
        <v>8397</v>
      </c>
      <c r="C1675" s="8" t="s">
        <v>179</v>
      </c>
      <c r="D1675" s="8" t="s">
        <v>26</v>
      </c>
      <c r="E1675" s="8" t="s">
        <v>8398</v>
      </c>
      <c r="F1675" s="8"/>
      <c r="G1675" s="8" t="s">
        <v>31</v>
      </c>
      <c r="H1675" s="8" t="s">
        <v>86</v>
      </c>
      <c r="I1675" s="8" t="s">
        <v>29</v>
      </c>
      <c r="J1675" s="8" t="s">
        <v>2448</v>
      </c>
      <c r="K1675" s="10" t="s">
        <v>8108</v>
      </c>
      <c r="L1675" s="8" t="s">
        <v>58</v>
      </c>
      <c r="M1675" s="8" t="s">
        <v>35</v>
      </c>
      <c r="N1675" s="11">
        <v>45034.0</v>
      </c>
      <c r="O1675" s="11">
        <v>45159.0</v>
      </c>
      <c r="P1675" s="11">
        <v>45201.0</v>
      </c>
      <c r="Q1675" s="11"/>
      <c r="R1675" s="11"/>
      <c r="S1675" s="12"/>
      <c r="T1675" s="8"/>
      <c r="U1675" s="8" t="s">
        <v>88</v>
      </c>
      <c r="V1675" s="13" t="s">
        <v>38</v>
      </c>
      <c r="W1675" s="13" t="s">
        <v>8399</v>
      </c>
      <c r="X1675" s="12"/>
      <c r="Y1675" s="14"/>
      <c r="Z1675" s="14"/>
    </row>
    <row r="1676">
      <c r="A1676" s="8" t="s">
        <v>8400</v>
      </c>
      <c r="B1676" s="8" t="s">
        <v>8401</v>
      </c>
      <c r="C1676" s="8" t="s">
        <v>25</v>
      </c>
      <c r="D1676" s="8" t="s">
        <v>26</v>
      </c>
      <c r="E1676" s="8" t="s">
        <v>8402</v>
      </c>
      <c r="F1676" s="8" t="s">
        <v>8403</v>
      </c>
      <c r="G1676" s="8" t="s">
        <v>54</v>
      </c>
      <c r="H1676" s="8" t="s">
        <v>377</v>
      </c>
      <c r="I1676" s="8" t="s">
        <v>31</v>
      </c>
      <c r="J1676" s="8" t="s">
        <v>167</v>
      </c>
      <c r="K1676" s="10" t="s">
        <v>5996</v>
      </c>
      <c r="L1676" s="8" t="s">
        <v>58</v>
      </c>
      <c r="M1676" s="8" t="s">
        <v>35</v>
      </c>
      <c r="N1676" s="11">
        <v>45035.0</v>
      </c>
      <c r="O1676" s="11">
        <v>45117.0</v>
      </c>
      <c r="P1676" s="11">
        <v>45159.0</v>
      </c>
      <c r="Q1676" s="11">
        <v>45117.0</v>
      </c>
      <c r="R1676" s="11">
        <v>45159.0</v>
      </c>
      <c r="S1676" s="12"/>
      <c r="T1676" s="8"/>
      <c r="U1676" s="8" t="s">
        <v>130</v>
      </c>
      <c r="V1676" s="13" t="s">
        <v>7103</v>
      </c>
      <c r="W1676" s="13" t="s">
        <v>8404</v>
      </c>
      <c r="X1676" s="12"/>
      <c r="Y1676" s="14"/>
      <c r="Z1676" s="14"/>
    </row>
    <row r="1677">
      <c r="A1677" s="8" t="s">
        <v>8405</v>
      </c>
      <c r="B1677" s="8" t="s">
        <v>8406</v>
      </c>
      <c r="C1677" s="8" t="s">
        <v>179</v>
      </c>
      <c r="D1677" s="8" t="s">
        <v>26</v>
      </c>
      <c r="E1677" s="8" t="s">
        <v>8407</v>
      </c>
      <c r="F1677" s="8">
        <v>1.140755087E9</v>
      </c>
      <c r="G1677" s="8" t="s">
        <v>284</v>
      </c>
      <c r="H1677" s="8" t="s">
        <v>854</v>
      </c>
      <c r="I1677" s="8" t="s">
        <v>31</v>
      </c>
      <c r="J1677" s="8" t="s">
        <v>542</v>
      </c>
      <c r="K1677" s="10" t="s">
        <v>2360</v>
      </c>
      <c r="L1677" s="8" t="s">
        <v>58</v>
      </c>
      <c r="M1677" s="8" t="s">
        <v>35</v>
      </c>
      <c r="N1677" s="11">
        <v>45035.0</v>
      </c>
      <c r="O1677" s="11">
        <v>45187.0</v>
      </c>
      <c r="P1677" s="11">
        <v>45229.0</v>
      </c>
      <c r="Q1677" s="11"/>
      <c r="R1677" s="11"/>
      <c r="S1677" s="12"/>
      <c r="T1677" s="8"/>
      <c r="U1677" s="8" t="s">
        <v>59</v>
      </c>
      <c r="V1677" s="13" t="s">
        <v>856</v>
      </c>
      <c r="W1677" s="13" t="s">
        <v>8408</v>
      </c>
      <c r="X1677" s="12"/>
      <c r="Y1677" s="14"/>
      <c r="Z1677" s="14"/>
    </row>
    <row r="1678">
      <c r="A1678" s="8" t="s">
        <v>8409</v>
      </c>
      <c r="B1678" s="8" t="s">
        <v>8410</v>
      </c>
      <c r="C1678" s="8" t="s">
        <v>25</v>
      </c>
      <c r="D1678" s="8" t="s">
        <v>26</v>
      </c>
      <c r="E1678" s="8" t="s">
        <v>8411</v>
      </c>
      <c r="F1678" s="8"/>
      <c r="G1678" s="8" t="s">
        <v>31</v>
      </c>
      <c r="H1678" s="8" t="s">
        <v>542</v>
      </c>
      <c r="I1678" s="8" t="s">
        <v>284</v>
      </c>
      <c r="J1678" s="8" t="s">
        <v>3188</v>
      </c>
      <c r="K1678" s="10" t="s">
        <v>8412</v>
      </c>
      <c r="L1678" s="8" t="s">
        <v>47</v>
      </c>
      <c r="M1678" s="8" t="s">
        <v>35</v>
      </c>
      <c r="N1678" s="11">
        <v>45035.0</v>
      </c>
      <c r="O1678" s="11">
        <v>45095.0</v>
      </c>
      <c r="P1678" s="11">
        <v>45158.0</v>
      </c>
      <c r="Q1678" s="11">
        <v>45094.0</v>
      </c>
      <c r="R1678" s="11">
        <v>45158.0</v>
      </c>
      <c r="S1678" s="12"/>
      <c r="T1678" s="8"/>
      <c r="U1678" s="8" t="s">
        <v>8413</v>
      </c>
      <c r="V1678" s="13" t="s">
        <v>38</v>
      </c>
      <c r="W1678" s="13" t="s">
        <v>8414</v>
      </c>
      <c r="X1678" s="12"/>
      <c r="Y1678" s="14"/>
      <c r="Z1678" s="14"/>
    </row>
    <row r="1679">
      <c r="A1679" s="8" t="s">
        <v>8415</v>
      </c>
      <c r="B1679" s="8" t="s">
        <v>8416</v>
      </c>
      <c r="C1679" s="8" t="s">
        <v>64</v>
      </c>
      <c r="D1679" s="8" t="s">
        <v>26</v>
      </c>
      <c r="E1679" s="8" t="s">
        <v>8417</v>
      </c>
      <c r="F1679" s="8">
        <v>1.3456900115E10</v>
      </c>
      <c r="G1679" s="8" t="s">
        <v>8344</v>
      </c>
      <c r="H1679" s="8" t="s">
        <v>8418</v>
      </c>
      <c r="I1679" s="8" t="s">
        <v>31</v>
      </c>
      <c r="J1679" s="8" t="s">
        <v>77</v>
      </c>
      <c r="K1679" s="10" t="s">
        <v>2417</v>
      </c>
      <c r="L1679" s="8" t="s">
        <v>58</v>
      </c>
      <c r="M1679" s="8" t="s">
        <v>35</v>
      </c>
      <c r="N1679" s="11">
        <v>45035.0</v>
      </c>
      <c r="O1679" s="11">
        <v>45103.0</v>
      </c>
      <c r="P1679" s="11">
        <v>45145.0</v>
      </c>
      <c r="Q1679" s="11">
        <v>45102.0</v>
      </c>
      <c r="R1679" s="11">
        <v>45145.0</v>
      </c>
      <c r="S1679" s="12"/>
      <c r="T1679" s="8"/>
      <c r="U1679" s="8" t="s">
        <v>59</v>
      </c>
      <c r="V1679" s="13" t="s">
        <v>8419</v>
      </c>
      <c r="W1679" s="13" t="s">
        <v>8420</v>
      </c>
      <c r="X1679" s="12"/>
      <c r="Y1679" s="14"/>
      <c r="Z1679" s="14"/>
    </row>
    <row r="1680">
      <c r="A1680" s="8" t="s">
        <v>8421</v>
      </c>
      <c r="B1680" s="8" t="s">
        <v>8422</v>
      </c>
      <c r="C1680" s="8" t="s">
        <v>25</v>
      </c>
      <c r="D1680" s="8" t="s">
        <v>26</v>
      </c>
      <c r="E1680" s="8" t="s">
        <v>8423</v>
      </c>
      <c r="F1680" s="9" t="s">
        <v>8424</v>
      </c>
      <c r="G1680" s="8" t="s">
        <v>31</v>
      </c>
      <c r="H1680" s="8" t="s">
        <v>959</v>
      </c>
      <c r="I1680" s="8" t="s">
        <v>284</v>
      </c>
      <c r="J1680" s="8" t="s">
        <v>589</v>
      </c>
      <c r="K1680" s="10" t="s">
        <v>6146</v>
      </c>
      <c r="L1680" s="8" t="s">
        <v>58</v>
      </c>
      <c r="M1680" s="8" t="s">
        <v>35</v>
      </c>
      <c r="N1680" s="11">
        <v>45035.0</v>
      </c>
      <c r="O1680" s="11">
        <v>45122.0</v>
      </c>
      <c r="P1680" s="11">
        <v>45164.0</v>
      </c>
      <c r="Q1680" s="11">
        <v>45122.0</v>
      </c>
      <c r="R1680" s="11">
        <v>45164.0</v>
      </c>
      <c r="S1680" s="12"/>
      <c r="T1680" s="8"/>
      <c r="U1680" s="8" t="s">
        <v>1038</v>
      </c>
      <c r="V1680" s="13" t="s">
        <v>545</v>
      </c>
      <c r="W1680" s="13" t="s">
        <v>8425</v>
      </c>
      <c r="X1680" s="12"/>
      <c r="Y1680" s="14"/>
      <c r="Z1680" s="14"/>
    </row>
    <row r="1681">
      <c r="A1681" s="8" t="s">
        <v>8426</v>
      </c>
      <c r="B1681" s="8" t="s">
        <v>8427</v>
      </c>
      <c r="C1681" s="8" t="s">
        <v>64</v>
      </c>
      <c r="D1681" s="8" t="s">
        <v>26</v>
      </c>
      <c r="E1681" s="8" t="s">
        <v>8428</v>
      </c>
      <c r="F1681" s="8"/>
      <c r="G1681" s="8" t="s">
        <v>109</v>
      </c>
      <c r="H1681" s="8" t="s">
        <v>1872</v>
      </c>
      <c r="I1681" s="8" t="s">
        <v>31</v>
      </c>
      <c r="J1681" s="8" t="s">
        <v>86</v>
      </c>
      <c r="K1681" s="10" t="s">
        <v>7325</v>
      </c>
      <c r="L1681" s="8" t="s">
        <v>58</v>
      </c>
      <c r="M1681" s="8" t="s">
        <v>35</v>
      </c>
      <c r="N1681" s="11">
        <v>45035.0</v>
      </c>
      <c r="O1681" s="11">
        <v>45091.0</v>
      </c>
      <c r="P1681" s="11">
        <v>45133.0</v>
      </c>
      <c r="Q1681" s="11">
        <v>45096.0</v>
      </c>
      <c r="R1681" s="11">
        <v>45136.0</v>
      </c>
      <c r="S1681" s="12"/>
      <c r="T1681" s="8"/>
      <c r="U1681" s="8" t="s">
        <v>59</v>
      </c>
      <c r="V1681" s="13" t="s">
        <v>38</v>
      </c>
      <c r="W1681" s="13" t="s">
        <v>8429</v>
      </c>
      <c r="X1681" s="12"/>
      <c r="Y1681" s="14"/>
      <c r="Z1681" s="14"/>
    </row>
    <row r="1682">
      <c r="A1682" s="8" t="s">
        <v>8430</v>
      </c>
      <c r="B1682" s="8" t="s">
        <v>8431</v>
      </c>
      <c r="C1682" s="8" t="s">
        <v>25</v>
      </c>
      <c r="D1682" s="8" t="s">
        <v>26</v>
      </c>
      <c r="E1682" s="8" t="s">
        <v>8432</v>
      </c>
      <c r="F1682" s="8"/>
      <c r="G1682" s="8" t="s">
        <v>31</v>
      </c>
      <c r="H1682" s="8" t="s">
        <v>56</v>
      </c>
      <c r="I1682" s="8" t="s">
        <v>54</v>
      </c>
      <c r="J1682" s="8" t="s">
        <v>244</v>
      </c>
      <c r="K1682" s="10" t="s">
        <v>7460</v>
      </c>
      <c r="L1682" s="8" t="s">
        <v>58</v>
      </c>
      <c r="M1682" s="8" t="s">
        <v>35</v>
      </c>
      <c r="N1682" s="11">
        <v>45035.0</v>
      </c>
      <c r="O1682" s="11">
        <v>45139.0</v>
      </c>
      <c r="P1682" s="11">
        <v>45184.0</v>
      </c>
      <c r="Q1682" s="11">
        <v>45138.0</v>
      </c>
      <c r="R1682" s="11">
        <v>45184.0</v>
      </c>
      <c r="S1682" s="12"/>
      <c r="T1682" s="8"/>
      <c r="U1682" s="8" t="s">
        <v>402</v>
      </c>
      <c r="V1682" s="13" t="s">
        <v>38</v>
      </c>
      <c r="W1682" s="13" t="s">
        <v>8433</v>
      </c>
      <c r="X1682" s="12"/>
      <c r="Y1682" s="14"/>
      <c r="Z1682" s="14"/>
    </row>
    <row r="1683">
      <c r="A1683" s="8" t="s">
        <v>8434</v>
      </c>
      <c r="B1683" s="8" t="s">
        <v>8435</v>
      </c>
      <c r="C1683" s="8" t="s">
        <v>179</v>
      </c>
      <c r="D1683" s="8" t="s">
        <v>26</v>
      </c>
      <c r="E1683" s="8" t="s">
        <v>8436</v>
      </c>
      <c r="F1683" s="8">
        <v>7.5561227E8</v>
      </c>
      <c r="G1683" s="8" t="s">
        <v>127</v>
      </c>
      <c r="H1683" s="8" t="s">
        <v>363</v>
      </c>
      <c r="I1683" s="8" t="s">
        <v>31</v>
      </c>
      <c r="J1683" s="8" t="s">
        <v>167</v>
      </c>
      <c r="K1683" s="10" t="s">
        <v>8437</v>
      </c>
      <c r="L1683" s="8" t="s">
        <v>58</v>
      </c>
      <c r="M1683" s="8" t="s">
        <v>35</v>
      </c>
      <c r="N1683" s="11">
        <v>45035.0</v>
      </c>
      <c r="O1683" s="11">
        <v>45124.0</v>
      </c>
      <c r="P1683" s="11">
        <v>45166.0</v>
      </c>
      <c r="Q1683" s="11"/>
      <c r="R1683" s="11"/>
      <c r="S1683" s="12"/>
      <c r="T1683" s="8"/>
      <c r="U1683" s="8" t="s">
        <v>130</v>
      </c>
      <c r="V1683" s="13" t="s">
        <v>4481</v>
      </c>
      <c r="W1683" s="13" t="s">
        <v>8438</v>
      </c>
      <c r="X1683" s="12"/>
      <c r="Y1683" s="14"/>
      <c r="Z1683" s="14"/>
    </row>
    <row r="1684">
      <c r="A1684" s="8" t="s">
        <v>8439</v>
      </c>
      <c r="B1684" s="8" t="s">
        <v>1986</v>
      </c>
      <c r="C1684" s="8" t="s">
        <v>25</v>
      </c>
      <c r="D1684" s="8" t="s">
        <v>26</v>
      </c>
      <c r="E1684" s="8" t="s">
        <v>1987</v>
      </c>
      <c r="F1684" s="8">
        <v>5.059420842E9</v>
      </c>
      <c r="G1684" s="8" t="s">
        <v>31</v>
      </c>
      <c r="H1684" s="8" t="s">
        <v>56</v>
      </c>
      <c r="I1684" s="8" t="s">
        <v>44</v>
      </c>
      <c r="J1684" s="8" t="s">
        <v>741</v>
      </c>
      <c r="K1684" s="10" t="s">
        <v>2675</v>
      </c>
      <c r="L1684" s="8" t="s">
        <v>58</v>
      </c>
      <c r="M1684" s="8" t="s">
        <v>35</v>
      </c>
      <c r="N1684" s="11">
        <v>45035.0</v>
      </c>
      <c r="O1684" s="11">
        <v>45139.0</v>
      </c>
      <c r="P1684" s="11">
        <v>45181.0</v>
      </c>
      <c r="Q1684" s="11">
        <v>45144.0</v>
      </c>
      <c r="R1684" s="11">
        <v>45184.0</v>
      </c>
      <c r="S1684" s="12"/>
      <c r="T1684" s="8"/>
      <c r="U1684" s="8" t="s">
        <v>59</v>
      </c>
      <c r="V1684" s="13" t="s">
        <v>56</v>
      </c>
      <c r="W1684" s="13" t="s">
        <v>1989</v>
      </c>
      <c r="X1684" s="12"/>
      <c r="Y1684" s="14"/>
      <c r="Z1684" s="14"/>
    </row>
    <row r="1685">
      <c r="A1685" s="8" t="s">
        <v>8440</v>
      </c>
      <c r="B1685" s="8" t="s">
        <v>8441</v>
      </c>
      <c r="C1685" s="8" t="s">
        <v>64</v>
      </c>
      <c r="D1685" s="8" t="s">
        <v>26</v>
      </c>
      <c r="E1685" s="8" t="s">
        <v>8442</v>
      </c>
      <c r="F1685" s="8">
        <v>1.020931886E9</v>
      </c>
      <c r="G1685" s="8" t="s">
        <v>284</v>
      </c>
      <c r="H1685" s="8" t="s">
        <v>793</v>
      </c>
      <c r="I1685" s="8" t="s">
        <v>31</v>
      </c>
      <c r="J1685" s="8" t="s">
        <v>1119</v>
      </c>
      <c r="K1685" s="10" t="s">
        <v>6015</v>
      </c>
      <c r="L1685" s="8" t="s">
        <v>58</v>
      </c>
      <c r="M1685" s="8" t="s">
        <v>35</v>
      </c>
      <c r="N1685" s="11">
        <v>45035.0</v>
      </c>
      <c r="O1685" s="11">
        <v>45128.0</v>
      </c>
      <c r="P1685" s="11">
        <v>45170.0</v>
      </c>
      <c r="Q1685" s="11">
        <v>45132.0</v>
      </c>
      <c r="R1685" s="11">
        <v>45169.0</v>
      </c>
      <c r="S1685" s="12"/>
      <c r="T1685" s="8"/>
      <c r="U1685" s="8" t="s">
        <v>59</v>
      </c>
      <c r="V1685" s="13" t="s">
        <v>793</v>
      </c>
      <c r="W1685" s="13" t="s">
        <v>8443</v>
      </c>
      <c r="X1685" s="12"/>
      <c r="Y1685" s="14"/>
      <c r="Z1685" s="14"/>
    </row>
    <row r="1686">
      <c r="A1686" s="8" t="s">
        <v>8444</v>
      </c>
      <c r="B1686" s="8" t="s">
        <v>8445</v>
      </c>
      <c r="C1686" s="8" t="s">
        <v>25</v>
      </c>
      <c r="D1686" s="8" t="s">
        <v>26</v>
      </c>
      <c r="E1686" s="8" t="s">
        <v>8446</v>
      </c>
      <c r="F1686" s="8">
        <v>5.57537666E8</v>
      </c>
      <c r="G1686" s="8" t="s">
        <v>2330</v>
      </c>
      <c r="H1686" s="8" t="s">
        <v>2718</v>
      </c>
      <c r="I1686" s="8" t="s">
        <v>31</v>
      </c>
      <c r="J1686" s="8" t="s">
        <v>438</v>
      </c>
      <c r="K1686" s="10" t="s">
        <v>6789</v>
      </c>
      <c r="L1686" s="8" t="s">
        <v>58</v>
      </c>
      <c r="M1686" s="8" t="s">
        <v>35</v>
      </c>
      <c r="N1686" s="11">
        <v>45035.0</v>
      </c>
      <c r="O1686" s="11">
        <v>45103.0</v>
      </c>
      <c r="P1686" s="11">
        <v>45145.0</v>
      </c>
      <c r="Q1686" s="11">
        <v>45109.0</v>
      </c>
      <c r="R1686" s="11">
        <v>45149.0</v>
      </c>
      <c r="S1686" s="12"/>
      <c r="T1686" s="8"/>
      <c r="U1686" s="8" t="s">
        <v>632</v>
      </c>
      <c r="V1686" s="13" t="s">
        <v>8447</v>
      </c>
      <c r="W1686" s="13" t="s">
        <v>8448</v>
      </c>
      <c r="X1686" s="12"/>
      <c r="Y1686" s="14"/>
      <c r="Z1686" s="14"/>
    </row>
    <row r="1687">
      <c r="A1687" s="8" t="s">
        <v>8449</v>
      </c>
      <c r="B1687" s="8" t="s">
        <v>8450</v>
      </c>
      <c r="C1687" s="8" t="s">
        <v>64</v>
      </c>
      <c r="D1687" s="8" t="s">
        <v>26</v>
      </c>
      <c r="E1687" s="8" t="s">
        <v>8451</v>
      </c>
      <c r="F1687" s="8">
        <v>5.338556623E9</v>
      </c>
      <c r="G1687" s="8" t="s">
        <v>6077</v>
      </c>
      <c r="H1687" s="8" t="s">
        <v>6078</v>
      </c>
      <c r="I1687" s="8" t="s">
        <v>31</v>
      </c>
      <c r="J1687" s="8" t="s">
        <v>292</v>
      </c>
      <c r="K1687" s="10" t="s">
        <v>7161</v>
      </c>
      <c r="L1687" s="8" t="s">
        <v>58</v>
      </c>
      <c r="M1687" s="8" t="s">
        <v>35</v>
      </c>
      <c r="N1687" s="11">
        <v>45035.0</v>
      </c>
      <c r="O1687" s="11">
        <v>45102.0</v>
      </c>
      <c r="P1687" s="11">
        <v>45144.0</v>
      </c>
      <c r="Q1687" s="11">
        <v>45100.0</v>
      </c>
      <c r="R1687" s="11">
        <v>45144.0</v>
      </c>
      <c r="S1687" s="12"/>
      <c r="T1687" s="8"/>
      <c r="U1687" s="8" t="s">
        <v>88</v>
      </c>
      <c r="V1687" s="13" t="s">
        <v>8452</v>
      </c>
      <c r="W1687" s="13" t="s">
        <v>8453</v>
      </c>
      <c r="X1687" s="12"/>
      <c r="Y1687" s="14"/>
      <c r="Z1687" s="14"/>
    </row>
    <row r="1688">
      <c r="A1688" s="8" t="s">
        <v>8454</v>
      </c>
      <c r="B1688" s="8" t="s">
        <v>8455</v>
      </c>
      <c r="C1688" s="8" t="s">
        <v>708</v>
      </c>
      <c r="D1688" s="8" t="s">
        <v>26</v>
      </c>
      <c r="E1688" s="8" t="s">
        <v>8456</v>
      </c>
      <c r="F1688" s="8"/>
      <c r="G1688" s="8" t="s">
        <v>8457</v>
      </c>
      <c r="H1688" s="8" t="s">
        <v>8458</v>
      </c>
      <c r="I1688" s="8" t="s">
        <v>31</v>
      </c>
      <c r="J1688" s="8" t="s">
        <v>292</v>
      </c>
      <c r="K1688" s="10" t="s">
        <v>8459</v>
      </c>
      <c r="L1688" s="8" t="s">
        <v>34</v>
      </c>
      <c r="M1688" s="8" t="s">
        <v>70</v>
      </c>
      <c r="N1688" s="11">
        <v>45035.0</v>
      </c>
      <c r="O1688" s="11">
        <v>45061.0</v>
      </c>
      <c r="P1688" s="11">
        <v>45427.0</v>
      </c>
      <c r="Q1688" s="11">
        <v>45100.0</v>
      </c>
      <c r="R1688" s="11">
        <v>45466.0</v>
      </c>
      <c r="S1688" s="12"/>
      <c r="T1688" s="8" t="s">
        <v>205</v>
      </c>
      <c r="U1688" s="8" t="s">
        <v>8460</v>
      </c>
      <c r="V1688" s="13" t="s">
        <v>38</v>
      </c>
      <c r="W1688" s="13" t="s">
        <v>8461</v>
      </c>
      <c r="X1688" s="12"/>
      <c r="Y1688" s="14"/>
      <c r="Z1688" s="14"/>
    </row>
    <row r="1689">
      <c r="A1689" s="8" t="s">
        <v>8462</v>
      </c>
      <c r="B1689" s="8" t="s">
        <v>8463</v>
      </c>
      <c r="C1689" s="8" t="s">
        <v>179</v>
      </c>
      <c r="D1689" s="8" t="s">
        <v>26</v>
      </c>
      <c r="E1689" s="8" t="s">
        <v>8464</v>
      </c>
      <c r="F1689" s="8">
        <v>2.2060093E7</v>
      </c>
      <c r="G1689" s="8" t="s">
        <v>54</v>
      </c>
      <c r="H1689" s="8" t="s">
        <v>430</v>
      </c>
      <c r="I1689" s="8" t="s">
        <v>31</v>
      </c>
      <c r="J1689" s="8" t="s">
        <v>86</v>
      </c>
      <c r="K1689" s="10" t="s">
        <v>416</v>
      </c>
      <c r="L1689" s="8" t="s">
        <v>58</v>
      </c>
      <c r="M1689" s="8" t="s">
        <v>35</v>
      </c>
      <c r="N1689" s="11">
        <v>45036.0</v>
      </c>
      <c r="O1689" s="11">
        <v>45162.0</v>
      </c>
      <c r="P1689" s="11">
        <v>45204.0</v>
      </c>
      <c r="Q1689" s="11"/>
      <c r="R1689" s="11"/>
      <c r="S1689" s="12"/>
      <c r="T1689" s="8"/>
      <c r="U1689" s="8" t="s">
        <v>59</v>
      </c>
      <c r="V1689" s="13" t="s">
        <v>4780</v>
      </c>
      <c r="W1689" s="13" t="s">
        <v>8465</v>
      </c>
      <c r="X1689" s="12"/>
      <c r="Y1689" s="14"/>
      <c r="Z1689" s="14"/>
    </row>
    <row r="1690">
      <c r="A1690" s="8" t="s">
        <v>8466</v>
      </c>
      <c r="B1690" s="8" t="s">
        <v>8467</v>
      </c>
      <c r="C1690" s="8" t="s">
        <v>179</v>
      </c>
      <c r="D1690" s="8" t="s">
        <v>26</v>
      </c>
      <c r="E1690" s="8" t="s">
        <v>8468</v>
      </c>
      <c r="F1690" s="8">
        <v>2.2866822E7</v>
      </c>
      <c r="G1690" s="8" t="s">
        <v>54</v>
      </c>
      <c r="H1690" s="8" t="s">
        <v>430</v>
      </c>
      <c r="I1690" s="8" t="s">
        <v>31</v>
      </c>
      <c r="J1690" s="8" t="s">
        <v>86</v>
      </c>
      <c r="K1690" s="10" t="s">
        <v>416</v>
      </c>
      <c r="L1690" s="8" t="s">
        <v>58</v>
      </c>
      <c r="M1690" s="8" t="s">
        <v>35</v>
      </c>
      <c r="N1690" s="11">
        <v>45036.0</v>
      </c>
      <c r="O1690" s="11">
        <v>45162.0</v>
      </c>
      <c r="P1690" s="11">
        <v>45204.0</v>
      </c>
      <c r="Q1690" s="11"/>
      <c r="R1690" s="11"/>
      <c r="S1690" s="12"/>
      <c r="T1690" s="8"/>
      <c r="U1690" s="8" t="s">
        <v>59</v>
      </c>
      <c r="V1690" s="13" t="s">
        <v>8469</v>
      </c>
      <c r="W1690" s="13" t="s">
        <v>8470</v>
      </c>
      <c r="X1690" s="12"/>
      <c r="Y1690" s="14"/>
      <c r="Z1690" s="14"/>
    </row>
    <row r="1691">
      <c r="A1691" s="8" t="s">
        <v>8471</v>
      </c>
      <c r="B1691" s="8" t="s">
        <v>8472</v>
      </c>
      <c r="C1691" s="8" t="s">
        <v>64</v>
      </c>
      <c r="D1691" s="8" t="s">
        <v>26</v>
      </c>
      <c r="E1691" s="8" t="s">
        <v>8473</v>
      </c>
      <c r="F1691" s="8">
        <v>2.9582254E7</v>
      </c>
      <c r="G1691" s="8" t="s">
        <v>54</v>
      </c>
      <c r="H1691" s="8" t="s">
        <v>595</v>
      </c>
      <c r="I1691" s="8" t="s">
        <v>31</v>
      </c>
      <c r="J1691" s="8" t="s">
        <v>32</v>
      </c>
      <c r="K1691" s="10" t="s">
        <v>8474</v>
      </c>
      <c r="L1691" s="8" t="s">
        <v>58</v>
      </c>
      <c r="M1691" s="8" t="s">
        <v>35</v>
      </c>
      <c r="N1691" s="11">
        <v>45036.0</v>
      </c>
      <c r="O1691" s="11">
        <v>45138.0</v>
      </c>
      <c r="P1691" s="11">
        <v>45180.0</v>
      </c>
      <c r="Q1691" s="11">
        <v>45138.0</v>
      </c>
      <c r="R1691" s="11">
        <v>45180.0</v>
      </c>
      <c r="S1691" s="12"/>
      <c r="T1691" s="8"/>
      <c r="U1691" s="8" t="s">
        <v>59</v>
      </c>
      <c r="V1691" s="13" t="s">
        <v>8475</v>
      </c>
      <c r="W1691" s="13" t="s">
        <v>8476</v>
      </c>
      <c r="X1691" s="12"/>
      <c r="Y1691" s="14"/>
      <c r="Z1691" s="14"/>
    </row>
    <row r="1692">
      <c r="A1692" s="8" t="s">
        <v>8477</v>
      </c>
      <c r="B1692" s="8" t="s">
        <v>8478</v>
      </c>
      <c r="C1692" s="8" t="s">
        <v>179</v>
      </c>
      <c r="D1692" s="8" t="s">
        <v>26</v>
      </c>
      <c r="E1692" s="8" t="s">
        <v>8479</v>
      </c>
      <c r="F1692" s="8">
        <v>1.159162104E9</v>
      </c>
      <c r="G1692" s="8" t="s">
        <v>284</v>
      </c>
      <c r="H1692" s="8" t="s">
        <v>1287</v>
      </c>
      <c r="I1692" s="8" t="s">
        <v>31</v>
      </c>
      <c r="J1692" s="8" t="s">
        <v>32</v>
      </c>
      <c r="K1692" s="10" t="s">
        <v>8474</v>
      </c>
      <c r="L1692" s="8" t="s">
        <v>58</v>
      </c>
      <c r="M1692" s="8" t="s">
        <v>35</v>
      </c>
      <c r="N1692" s="11">
        <v>45036.0</v>
      </c>
      <c r="O1692" s="11">
        <v>45138.0</v>
      </c>
      <c r="P1692" s="11">
        <v>45180.0</v>
      </c>
      <c r="Q1692" s="11"/>
      <c r="R1692" s="11"/>
      <c r="S1692" s="12"/>
      <c r="T1692" s="8"/>
      <c r="U1692" s="8" t="s">
        <v>59</v>
      </c>
      <c r="V1692" s="13" t="s">
        <v>1289</v>
      </c>
      <c r="W1692" s="13" t="s">
        <v>8480</v>
      </c>
      <c r="X1692" s="12"/>
      <c r="Y1692" s="14"/>
      <c r="Z1692" s="14"/>
    </row>
    <row r="1693">
      <c r="A1693" s="8" t="s">
        <v>8481</v>
      </c>
      <c r="B1693" s="8" t="s">
        <v>8482</v>
      </c>
      <c r="C1693" s="8" t="s">
        <v>25</v>
      </c>
      <c r="D1693" s="8" t="s">
        <v>26</v>
      </c>
      <c r="E1693" s="8" t="s">
        <v>8483</v>
      </c>
      <c r="F1693" s="8">
        <v>5.340686916E9</v>
      </c>
      <c r="G1693" s="8" t="s">
        <v>31</v>
      </c>
      <c r="H1693" s="8" t="s">
        <v>542</v>
      </c>
      <c r="I1693" s="8" t="s">
        <v>54</v>
      </c>
      <c r="J1693" s="8" t="s">
        <v>377</v>
      </c>
      <c r="K1693" s="10" t="s">
        <v>8484</v>
      </c>
      <c r="L1693" s="8" t="s">
        <v>58</v>
      </c>
      <c r="M1693" s="8" t="s">
        <v>35</v>
      </c>
      <c r="N1693" s="11">
        <v>45036.0</v>
      </c>
      <c r="O1693" s="11">
        <v>45110.0</v>
      </c>
      <c r="P1693" s="11">
        <v>45152.0</v>
      </c>
      <c r="Q1693" s="11">
        <v>45110.0</v>
      </c>
      <c r="R1693" s="11">
        <v>45152.0</v>
      </c>
      <c r="S1693" s="12"/>
      <c r="T1693" s="8"/>
      <c r="U1693" s="8" t="s">
        <v>59</v>
      </c>
      <c r="V1693" s="13" t="s">
        <v>545</v>
      </c>
      <c r="W1693" s="13" t="s">
        <v>8485</v>
      </c>
      <c r="X1693" s="12"/>
      <c r="Y1693" s="14"/>
      <c r="Z1693" s="14"/>
    </row>
    <row r="1694">
      <c r="A1694" s="8" t="s">
        <v>8486</v>
      </c>
      <c r="B1694" s="8" t="s">
        <v>8487</v>
      </c>
      <c r="C1694" s="8" t="s">
        <v>25</v>
      </c>
      <c r="D1694" s="8" t="s">
        <v>26</v>
      </c>
      <c r="E1694" s="8" t="s">
        <v>8488</v>
      </c>
      <c r="F1694" s="8">
        <v>5.8227662E7</v>
      </c>
      <c r="G1694" s="8" t="s">
        <v>54</v>
      </c>
      <c r="H1694" s="8" t="s">
        <v>76</v>
      </c>
      <c r="I1694" s="8" t="s">
        <v>31</v>
      </c>
      <c r="J1694" s="8" t="s">
        <v>32</v>
      </c>
      <c r="K1694" s="10" t="s">
        <v>8166</v>
      </c>
      <c r="L1694" s="8" t="s">
        <v>58</v>
      </c>
      <c r="M1694" s="8" t="s">
        <v>35</v>
      </c>
      <c r="N1694" s="11">
        <v>45036.0</v>
      </c>
      <c r="O1694" s="11">
        <v>45145.0</v>
      </c>
      <c r="P1694" s="11">
        <v>45187.0</v>
      </c>
      <c r="Q1694" s="11">
        <v>45146.0</v>
      </c>
      <c r="R1694" s="11">
        <v>45188.0</v>
      </c>
      <c r="S1694" s="12"/>
      <c r="T1694" s="8"/>
      <c r="U1694" s="8" t="s">
        <v>371</v>
      </c>
      <c r="V1694" s="13" t="s">
        <v>324</v>
      </c>
      <c r="W1694" s="13" t="s">
        <v>8489</v>
      </c>
      <c r="X1694" s="12"/>
      <c r="Y1694" s="14"/>
      <c r="Z1694" s="14"/>
    </row>
    <row r="1695">
      <c r="A1695" s="8" t="s">
        <v>8490</v>
      </c>
      <c r="B1695" s="8" t="s">
        <v>8491</v>
      </c>
      <c r="C1695" s="8" t="s">
        <v>64</v>
      </c>
      <c r="D1695" s="8" t="s">
        <v>26</v>
      </c>
      <c r="E1695" s="8" t="s">
        <v>8492</v>
      </c>
      <c r="F1695" s="8">
        <v>5.31409402E9</v>
      </c>
      <c r="G1695" s="8" t="s">
        <v>31</v>
      </c>
      <c r="H1695" s="8" t="s">
        <v>111</v>
      </c>
      <c r="I1695" s="8" t="s">
        <v>399</v>
      </c>
      <c r="J1695" s="8" t="s">
        <v>1381</v>
      </c>
      <c r="K1695" s="10" t="s">
        <v>2094</v>
      </c>
      <c r="L1695" s="8" t="s">
        <v>58</v>
      </c>
      <c r="M1695" s="8" t="s">
        <v>35</v>
      </c>
      <c r="N1695" s="11">
        <v>45036.0</v>
      </c>
      <c r="O1695" s="11">
        <v>45040.0</v>
      </c>
      <c r="P1695" s="11">
        <v>45082.0</v>
      </c>
      <c r="Q1695" s="11">
        <v>45045.0</v>
      </c>
      <c r="R1695" s="11">
        <v>45085.0</v>
      </c>
      <c r="S1695" s="12"/>
      <c r="T1695" s="8"/>
      <c r="U1695" s="8" t="s">
        <v>153</v>
      </c>
      <c r="V1695" s="13" t="s">
        <v>111</v>
      </c>
      <c r="W1695" s="13" t="s">
        <v>8493</v>
      </c>
      <c r="X1695" s="12"/>
      <c r="Y1695" s="14"/>
      <c r="Z1695" s="14"/>
    </row>
    <row r="1696">
      <c r="A1696" s="8" t="s">
        <v>8494</v>
      </c>
      <c r="B1696" s="8" t="s">
        <v>8495</v>
      </c>
      <c r="C1696" s="8" t="s">
        <v>179</v>
      </c>
      <c r="D1696" s="8" t="s">
        <v>26</v>
      </c>
      <c r="E1696" s="8" t="s">
        <v>8496</v>
      </c>
      <c r="F1696" s="8"/>
      <c r="G1696" s="8" t="s">
        <v>31</v>
      </c>
      <c r="H1696" s="8" t="s">
        <v>292</v>
      </c>
      <c r="I1696" s="8" t="s">
        <v>284</v>
      </c>
      <c r="J1696" s="8" t="s">
        <v>589</v>
      </c>
      <c r="K1696" s="10" t="s">
        <v>6146</v>
      </c>
      <c r="L1696" s="8" t="s">
        <v>58</v>
      </c>
      <c r="M1696" s="8" t="s">
        <v>35</v>
      </c>
      <c r="N1696" s="11">
        <v>45036.0</v>
      </c>
      <c r="O1696" s="11">
        <v>45122.0</v>
      </c>
      <c r="P1696" s="11">
        <v>45164.0</v>
      </c>
      <c r="Q1696" s="11"/>
      <c r="R1696" s="11"/>
      <c r="S1696" s="12"/>
      <c r="T1696" s="8"/>
      <c r="U1696" s="8" t="s">
        <v>1038</v>
      </c>
      <c r="V1696" s="13" t="s">
        <v>38</v>
      </c>
      <c r="W1696" s="13" t="s">
        <v>8497</v>
      </c>
      <c r="X1696" s="12"/>
      <c r="Y1696" s="14"/>
      <c r="Z1696" s="14"/>
    </row>
    <row r="1697">
      <c r="A1697" s="8" t="s">
        <v>8498</v>
      </c>
      <c r="B1697" s="8" t="s">
        <v>8499</v>
      </c>
      <c r="C1697" s="8" t="s">
        <v>25</v>
      </c>
      <c r="D1697" s="8" t="s">
        <v>26</v>
      </c>
      <c r="E1697" s="8" t="s">
        <v>8500</v>
      </c>
      <c r="F1697" s="8">
        <v>5.538445394E9</v>
      </c>
      <c r="G1697" s="8" t="s">
        <v>31</v>
      </c>
      <c r="H1697" s="8" t="s">
        <v>86</v>
      </c>
      <c r="I1697" s="8" t="s">
        <v>44</v>
      </c>
      <c r="J1697" s="8" t="s">
        <v>4170</v>
      </c>
      <c r="K1697" s="10" t="s">
        <v>8501</v>
      </c>
      <c r="L1697" s="8" t="s">
        <v>34</v>
      </c>
      <c r="M1697" s="8" t="s">
        <v>35</v>
      </c>
      <c r="N1697" s="11">
        <v>45036.0</v>
      </c>
      <c r="O1697" s="11">
        <v>45089.0</v>
      </c>
      <c r="P1697" s="11">
        <v>45145.0</v>
      </c>
      <c r="Q1697" s="11">
        <v>45090.0</v>
      </c>
      <c r="R1697" s="11">
        <v>45145.0</v>
      </c>
      <c r="S1697" s="12"/>
      <c r="T1697" s="8" t="s">
        <v>224</v>
      </c>
      <c r="U1697" s="8" t="s">
        <v>8502</v>
      </c>
      <c r="V1697" s="13" t="s">
        <v>175</v>
      </c>
      <c r="W1697" s="13" t="s">
        <v>8503</v>
      </c>
      <c r="X1697" s="12"/>
      <c r="Y1697" s="14"/>
      <c r="Z1697" s="14"/>
    </row>
    <row r="1698">
      <c r="A1698" s="8" t="s">
        <v>8504</v>
      </c>
      <c r="B1698" s="8" t="s">
        <v>8505</v>
      </c>
      <c r="C1698" s="8" t="s">
        <v>25</v>
      </c>
      <c r="D1698" s="8" t="s">
        <v>26</v>
      </c>
      <c r="E1698" s="8" t="s">
        <v>8506</v>
      </c>
      <c r="F1698" s="8">
        <v>5.417966377E9</v>
      </c>
      <c r="G1698" s="8" t="s">
        <v>31</v>
      </c>
      <c r="H1698" s="8" t="s">
        <v>111</v>
      </c>
      <c r="I1698" s="8" t="s">
        <v>284</v>
      </c>
      <c r="J1698" s="8" t="s">
        <v>793</v>
      </c>
      <c r="K1698" s="10" t="s">
        <v>8507</v>
      </c>
      <c r="L1698" s="8" t="s">
        <v>58</v>
      </c>
      <c r="M1698" s="8" t="s">
        <v>35</v>
      </c>
      <c r="N1698" s="11">
        <v>45036.0</v>
      </c>
      <c r="O1698" s="11">
        <v>45107.0</v>
      </c>
      <c r="P1698" s="11">
        <v>45149.0</v>
      </c>
      <c r="Q1698" s="11">
        <v>45116.0</v>
      </c>
      <c r="R1698" s="11">
        <v>45157.0</v>
      </c>
      <c r="S1698" s="12"/>
      <c r="T1698" s="8"/>
      <c r="U1698" s="8" t="s">
        <v>59</v>
      </c>
      <c r="V1698" s="13" t="s">
        <v>111</v>
      </c>
      <c r="W1698" s="13" t="s">
        <v>8508</v>
      </c>
      <c r="X1698" s="12"/>
      <c r="Y1698" s="14"/>
      <c r="Z1698" s="14"/>
    </row>
    <row r="1699">
      <c r="A1699" s="8" t="s">
        <v>8509</v>
      </c>
      <c r="B1699" s="8" t="s">
        <v>8510</v>
      </c>
      <c r="C1699" s="8" t="s">
        <v>179</v>
      </c>
      <c r="D1699" s="8" t="s">
        <v>26</v>
      </c>
      <c r="E1699" s="8" t="s">
        <v>8511</v>
      </c>
      <c r="F1699" s="8">
        <v>5.435460309E9</v>
      </c>
      <c r="G1699" s="8" t="s">
        <v>31</v>
      </c>
      <c r="H1699" s="8" t="s">
        <v>86</v>
      </c>
      <c r="I1699" s="8" t="s">
        <v>399</v>
      </c>
      <c r="J1699" s="8" t="s">
        <v>415</v>
      </c>
      <c r="K1699" s="10" t="s">
        <v>8512</v>
      </c>
      <c r="L1699" s="8" t="s">
        <v>58</v>
      </c>
      <c r="M1699" s="8" t="s">
        <v>35</v>
      </c>
      <c r="N1699" s="11">
        <v>45036.0</v>
      </c>
      <c r="O1699" s="11">
        <v>45151.0</v>
      </c>
      <c r="P1699" s="11">
        <v>45193.0</v>
      </c>
      <c r="Q1699" s="11"/>
      <c r="R1699" s="11"/>
      <c r="S1699" s="12"/>
      <c r="T1699" s="8"/>
      <c r="U1699" s="8" t="s">
        <v>339</v>
      </c>
      <c r="V1699" s="13" t="s">
        <v>175</v>
      </c>
      <c r="W1699" s="13" t="s">
        <v>8513</v>
      </c>
      <c r="X1699" s="12"/>
      <c r="Y1699" s="14"/>
      <c r="Z1699" s="14"/>
    </row>
    <row r="1700">
      <c r="A1700" s="8" t="s">
        <v>8514</v>
      </c>
      <c r="B1700" s="8" t="s">
        <v>8515</v>
      </c>
      <c r="C1700" s="8" t="s">
        <v>25</v>
      </c>
      <c r="D1700" s="8" t="s">
        <v>26</v>
      </c>
      <c r="E1700" s="8" t="s">
        <v>8516</v>
      </c>
      <c r="F1700" s="8">
        <v>5.303847861E9</v>
      </c>
      <c r="G1700" s="8" t="s">
        <v>31</v>
      </c>
      <c r="H1700" s="8" t="s">
        <v>1119</v>
      </c>
      <c r="I1700" s="8" t="s">
        <v>284</v>
      </c>
      <c r="J1700" s="8" t="s">
        <v>854</v>
      </c>
      <c r="K1700" s="10" t="s">
        <v>8517</v>
      </c>
      <c r="L1700" s="8" t="s">
        <v>58</v>
      </c>
      <c r="M1700" s="8" t="s">
        <v>35</v>
      </c>
      <c r="N1700" s="11">
        <v>45036.0</v>
      </c>
      <c r="O1700" s="11">
        <v>45127.0</v>
      </c>
      <c r="P1700" s="11">
        <v>45172.0</v>
      </c>
      <c r="Q1700" s="11">
        <v>45127.0</v>
      </c>
      <c r="R1700" s="11">
        <v>45172.0</v>
      </c>
      <c r="S1700" s="12"/>
      <c r="T1700" s="8"/>
      <c r="U1700" s="8" t="s">
        <v>3111</v>
      </c>
      <c r="V1700" s="13" t="s">
        <v>1119</v>
      </c>
      <c r="W1700" s="13" t="s">
        <v>8518</v>
      </c>
      <c r="X1700" s="12"/>
      <c r="Y1700" s="14"/>
      <c r="Z1700" s="14"/>
    </row>
    <row r="1701">
      <c r="A1701" s="8" t="s">
        <v>8519</v>
      </c>
      <c r="B1701" s="8" t="s">
        <v>8520</v>
      </c>
      <c r="C1701" s="8" t="s">
        <v>25</v>
      </c>
      <c r="D1701" s="8" t="s">
        <v>26</v>
      </c>
      <c r="E1701" s="8" t="s">
        <v>8521</v>
      </c>
      <c r="F1701" s="8">
        <v>5.366033449E9</v>
      </c>
      <c r="G1701" s="8" t="s">
        <v>31</v>
      </c>
      <c r="H1701" s="8" t="s">
        <v>32</v>
      </c>
      <c r="I1701" s="8" t="s">
        <v>44</v>
      </c>
      <c r="J1701" s="8" t="s">
        <v>4170</v>
      </c>
      <c r="K1701" s="10" t="s">
        <v>8522</v>
      </c>
      <c r="L1701" s="8" t="s">
        <v>34</v>
      </c>
      <c r="M1701" s="8" t="s">
        <v>35</v>
      </c>
      <c r="N1701" s="11">
        <v>45036.0</v>
      </c>
      <c r="O1701" s="11">
        <v>45047.0</v>
      </c>
      <c r="P1701" s="11">
        <v>45102.0</v>
      </c>
      <c r="Q1701" s="11">
        <v>45051.0</v>
      </c>
      <c r="R1701" s="11">
        <v>45106.0</v>
      </c>
      <c r="S1701" s="12"/>
      <c r="T1701" s="8" t="s">
        <v>1187</v>
      </c>
      <c r="U1701" s="8" t="s">
        <v>8523</v>
      </c>
      <c r="V1701" s="13" t="s">
        <v>537</v>
      </c>
      <c r="W1701" s="13" t="s">
        <v>8524</v>
      </c>
      <c r="X1701" s="12"/>
      <c r="Y1701" s="14"/>
      <c r="Z1701" s="14"/>
    </row>
    <row r="1702">
      <c r="A1702" s="8" t="s">
        <v>8525</v>
      </c>
      <c r="B1702" s="8" t="s">
        <v>8526</v>
      </c>
      <c r="C1702" s="8" t="s">
        <v>708</v>
      </c>
      <c r="D1702" s="8" t="s">
        <v>26</v>
      </c>
      <c r="E1702" s="8" t="s">
        <v>8527</v>
      </c>
      <c r="F1702" s="8">
        <v>5.59148119E8</v>
      </c>
      <c r="G1702" s="8" t="s">
        <v>254</v>
      </c>
      <c r="H1702" s="8" t="s">
        <v>422</v>
      </c>
      <c r="I1702" s="8" t="s">
        <v>31</v>
      </c>
      <c r="J1702" s="8" t="s">
        <v>542</v>
      </c>
      <c r="K1702" s="10" t="s">
        <v>8528</v>
      </c>
      <c r="L1702" s="8" t="s">
        <v>34</v>
      </c>
      <c r="M1702" s="8" t="s">
        <v>70</v>
      </c>
      <c r="N1702" s="11">
        <v>45036.0</v>
      </c>
      <c r="O1702" s="11">
        <v>45054.0</v>
      </c>
      <c r="P1702" s="11">
        <v>45417.0</v>
      </c>
      <c r="Q1702" s="11">
        <v>45075.0</v>
      </c>
      <c r="R1702" s="11">
        <v>45438.0</v>
      </c>
      <c r="S1702" s="12"/>
      <c r="T1702" s="8" t="s">
        <v>205</v>
      </c>
      <c r="U1702" s="8" t="s">
        <v>8529</v>
      </c>
      <c r="V1702" s="13" t="s">
        <v>38</v>
      </c>
      <c r="W1702" s="13" t="s">
        <v>8530</v>
      </c>
      <c r="X1702" s="12"/>
      <c r="Y1702" s="14"/>
      <c r="Z1702" s="14"/>
    </row>
    <row r="1703">
      <c r="A1703" s="8" t="s">
        <v>8531</v>
      </c>
      <c r="B1703" s="8" t="s">
        <v>8532</v>
      </c>
      <c r="C1703" s="8" t="s">
        <v>25</v>
      </c>
      <c r="D1703" s="8" t="s">
        <v>26</v>
      </c>
      <c r="E1703" s="8" t="s">
        <v>8533</v>
      </c>
      <c r="F1703" s="8"/>
      <c r="G1703" s="8" t="s">
        <v>3929</v>
      </c>
      <c r="H1703" s="8" t="s">
        <v>3930</v>
      </c>
      <c r="I1703" s="8" t="s">
        <v>31</v>
      </c>
      <c r="J1703" s="8" t="s">
        <v>256</v>
      </c>
      <c r="K1703" s="10" t="s">
        <v>2775</v>
      </c>
      <c r="L1703" s="8" t="s">
        <v>58</v>
      </c>
      <c r="M1703" s="8" t="s">
        <v>35</v>
      </c>
      <c r="N1703" s="11">
        <v>45036.0</v>
      </c>
      <c r="O1703" s="11">
        <v>45122.0</v>
      </c>
      <c r="P1703" s="11">
        <v>45164.0</v>
      </c>
      <c r="Q1703" s="11">
        <v>45122.0</v>
      </c>
      <c r="R1703" s="11">
        <v>45164.0</v>
      </c>
      <c r="S1703" s="12"/>
      <c r="T1703" s="8"/>
      <c r="U1703" s="8" t="s">
        <v>59</v>
      </c>
      <c r="V1703" s="13" t="s">
        <v>38</v>
      </c>
      <c r="W1703" s="13" t="s">
        <v>8534</v>
      </c>
      <c r="X1703" s="12"/>
      <c r="Y1703" s="14"/>
      <c r="Z1703" s="14"/>
    </row>
    <row r="1704">
      <c r="A1704" s="8" t="s">
        <v>8535</v>
      </c>
      <c r="B1704" s="8" t="s">
        <v>8536</v>
      </c>
      <c r="C1704" s="8" t="s">
        <v>179</v>
      </c>
      <c r="D1704" s="8" t="s">
        <v>26</v>
      </c>
      <c r="E1704" s="8" t="s">
        <v>8537</v>
      </c>
      <c r="F1704" s="8"/>
      <c r="G1704" s="8" t="s">
        <v>31</v>
      </c>
      <c r="H1704" s="8" t="s">
        <v>438</v>
      </c>
      <c r="I1704" s="8" t="s">
        <v>284</v>
      </c>
      <c r="J1704" s="8" t="s">
        <v>793</v>
      </c>
      <c r="K1704" s="10" t="s">
        <v>8215</v>
      </c>
      <c r="L1704" s="8" t="s">
        <v>58</v>
      </c>
      <c r="M1704" s="8" t="s">
        <v>35</v>
      </c>
      <c r="N1704" s="11">
        <v>45037.0</v>
      </c>
      <c r="O1704" s="11">
        <v>45108.0</v>
      </c>
      <c r="P1704" s="11">
        <v>45150.0</v>
      </c>
      <c r="Q1704" s="11"/>
      <c r="R1704" s="11"/>
      <c r="S1704" s="12"/>
      <c r="T1704" s="8"/>
      <c r="U1704" s="8" t="s">
        <v>339</v>
      </c>
      <c r="V1704" s="13" t="s">
        <v>38</v>
      </c>
      <c r="W1704" s="13" t="s">
        <v>8538</v>
      </c>
      <c r="X1704" s="12"/>
      <c r="Y1704" s="14"/>
      <c r="Z1704" s="14"/>
    </row>
    <row r="1705">
      <c r="A1705" s="8" t="s">
        <v>8539</v>
      </c>
      <c r="B1705" s="8" t="s">
        <v>8540</v>
      </c>
      <c r="C1705" s="8" t="s">
        <v>179</v>
      </c>
      <c r="D1705" s="8" t="s">
        <v>26</v>
      </c>
      <c r="E1705" s="8" t="s">
        <v>8541</v>
      </c>
      <c r="F1705" s="8"/>
      <c r="G1705" s="8" t="s">
        <v>31</v>
      </c>
      <c r="H1705" s="8" t="s">
        <v>438</v>
      </c>
      <c r="I1705" s="8" t="s">
        <v>284</v>
      </c>
      <c r="J1705" s="8" t="s">
        <v>793</v>
      </c>
      <c r="K1705" s="10" t="s">
        <v>8542</v>
      </c>
      <c r="L1705" s="8" t="s">
        <v>58</v>
      </c>
      <c r="M1705" s="8" t="s">
        <v>35</v>
      </c>
      <c r="N1705" s="11">
        <v>45037.0</v>
      </c>
      <c r="O1705" s="11">
        <v>45108.0</v>
      </c>
      <c r="P1705" s="11">
        <v>45150.0</v>
      </c>
      <c r="Q1705" s="11"/>
      <c r="R1705" s="11"/>
      <c r="S1705" s="12"/>
      <c r="T1705" s="8"/>
      <c r="U1705" s="8" t="s">
        <v>339</v>
      </c>
      <c r="V1705" s="13" t="s">
        <v>38</v>
      </c>
      <c r="W1705" s="13" t="s">
        <v>8543</v>
      </c>
      <c r="X1705" s="12"/>
      <c r="Y1705" s="14"/>
      <c r="Z1705" s="14"/>
    </row>
    <row r="1706">
      <c r="A1706" s="8" t="s">
        <v>8544</v>
      </c>
      <c r="B1706" s="8" t="s">
        <v>8545</v>
      </c>
      <c r="C1706" s="8" t="s">
        <v>179</v>
      </c>
      <c r="D1706" s="8" t="s">
        <v>26</v>
      </c>
      <c r="E1706" s="8" t="s">
        <v>8546</v>
      </c>
      <c r="F1706" s="8">
        <v>5.31915992E9</v>
      </c>
      <c r="G1706" s="8" t="s">
        <v>31</v>
      </c>
      <c r="H1706" s="8" t="s">
        <v>438</v>
      </c>
      <c r="I1706" s="8" t="s">
        <v>284</v>
      </c>
      <c r="J1706" s="8" t="s">
        <v>793</v>
      </c>
      <c r="K1706" s="10" t="s">
        <v>8547</v>
      </c>
      <c r="L1706" s="8" t="s">
        <v>58</v>
      </c>
      <c r="M1706" s="8" t="s">
        <v>35</v>
      </c>
      <c r="N1706" s="11">
        <v>45037.0</v>
      </c>
      <c r="O1706" s="11">
        <v>45108.0</v>
      </c>
      <c r="P1706" s="11">
        <v>45150.0</v>
      </c>
      <c r="Q1706" s="11"/>
      <c r="R1706" s="11"/>
      <c r="S1706" s="12"/>
      <c r="T1706" s="8"/>
      <c r="U1706" s="8" t="s">
        <v>339</v>
      </c>
      <c r="V1706" s="13" t="s">
        <v>438</v>
      </c>
      <c r="W1706" s="13" t="s">
        <v>8548</v>
      </c>
      <c r="X1706" s="12"/>
      <c r="Y1706" s="14"/>
      <c r="Z1706" s="14"/>
    </row>
    <row r="1707">
      <c r="A1707" s="8" t="s">
        <v>8549</v>
      </c>
      <c r="B1707" s="8" t="s">
        <v>8550</v>
      </c>
      <c r="C1707" s="8" t="s">
        <v>25</v>
      </c>
      <c r="D1707" s="8" t="s">
        <v>26</v>
      </c>
      <c r="E1707" s="8" t="s">
        <v>8551</v>
      </c>
      <c r="F1707" s="8">
        <v>3.335624002E9</v>
      </c>
      <c r="G1707" s="8" t="s">
        <v>315</v>
      </c>
      <c r="H1707" s="8" t="s">
        <v>316</v>
      </c>
      <c r="I1707" s="8" t="s">
        <v>31</v>
      </c>
      <c r="J1707" s="8" t="s">
        <v>270</v>
      </c>
      <c r="K1707" s="10" t="s">
        <v>8157</v>
      </c>
      <c r="L1707" s="8" t="s">
        <v>58</v>
      </c>
      <c r="M1707" s="8" t="s">
        <v>35</v>
      </c>
      <c r="N1707" s="11">
        <v>45037.0</v>
      </c>
      <c r="O1707" s="11">
        <v>45145.0</v>
      </c>
      <c r="P1707" s="11">
        <v>45187.0</v>
      </c>
      <c r="Q1707" s="11"/>
      <c r="R1707" s="11">
        <v>45181.0</v>
      </c>
      <c r="S1707" s="12"/>
      <c r="T1707" s="8"/>
      <c r="U1707" s="8" t="s">
        <v>59</v>
      </c>
      <c r="V1707" s="13" t="s">
        <v>614</v>
      </c>
      <c r="W1707" s="13" t="s">
        <v>8552</v>
      </c>
      <c r="X1707" s="12"/>
      <c r="Y1707" s="14"/>
      <c r="Z1707" s="14"/>
    </row>
    <row r="1708">
      <c r="A1708" s="8" t="s">
        <v>8553</v>
      </c>
      <c r="B1708" s="8" t="s">
        <v>8554</v>
      </c>
      <c r="C1708" s="8" t="s">
        <v>25</v>
      </c>
      <c r="D1708" s="8" t="s">
        <v>26</v>
      </c>
      <c r="E1708" s="8" t="s">
        <v>8555</v>
      </c>
      <c r="F1708" s="8">
        <v>3.33533503E9</v>
      </c>
      <c r="G1708" s="8" t="s">
        <v>315</v>
      </c>
      <c r="H1708" s="8" t="s">
        <v>316</v>
      </c>
      <c r="I1708" s="8" t="s">
        <v>31</v>
      </c>
      <c r="J1708" s="8" t="s">
        <v>270</v>
      </c>
      <c r="K1708" s="10" t="s">
        <v>8157</v>
      </c>
      <c r="L1708" s="8" t="s">
        <v>58</v>
      </c>
      <c r="M1708" s="8" t="s">
        <v>35</v>
      </c>
      <c r="N1708" s="11">
        <v>45037.0</v>
      </c>
      <c r="O1708" s="11">
        <v>45145.0</v>
      </c>
      <c r="P1708" s="11">
        <v>45187.0</v>
      </c>
      <c r="Q1708" s="11"/>
      <c r="R1708" s="11">
        <v>45181.0</v>
      </c>
      <c r="S1708" s="12"/>
      <c r="T1708" s="8"/>
      <c r="U1708" s="8" t="s">
        <v>59</v>
      </c>
      <c r="V1708" s="13" t="s">
        <v>614</v>
      </c>
      <c r="W1708" s="13" t="s">
        <v>8556</v>
      </c>
      <c r="X1708" s="12"/>
      <c r="Y1708" s="14"/>
      <c r="Z1708" s="14"/>
    </row>
    <row r="1709">
      <c r="A1709" s="8" t="s">
        <v>8557</v>
      </c>
      <c r="B1709" s="8" t="s">
        <v>8558</v>
      </c>
      <c r="C1709" s="8" t="s">
        <v>64</v>
      </c>
      <c r="D1709" s="8" t="s">
        <v>26</v>
      </c>
      <c r="E1709" s="8" t="s">
        <v>8559</v>
      </c>
      <c r="F1709" s="8"/>
      <c r="G1709" s="8" t="s">
        <v>109</v>
      </c>
      <c r="H1709" s="8" t="s">
        <v>1872</v>
      </c>
      <c r="I1709" s="8" t="s">
        <v>31</v>
      </c>
      <c r="J1709" s="8" t="s">
        <v>542</v>
      </c>
      <c r="K1709" s="10" t="s">
        <v>2360</v>
      </c>
      <c r="L1709" s="8" t="s">
        <v>58</v>
      </c>
      <c r="M1709" s="8" t="s">
        <v>35</v>
      </c>
      <c r="N1709" s="11">
        <v>45037.0</v>
      </c>
      <c r="O1709" s="11">
        <v>45278.0</v>
      </c>
      <c r="P1709" s="11">
        <v>45320.0</v>
      </c>
      <c r="Q1709" s="11">
        <v>45277.0</v>
      </c>
      <c r="R1709" s="11">
        <v>45320.0</v>
      </c>
      <c r="S1709" s="12"/>
      <c r="T1709" s="8"/>
      <c r="U1709" s="8" t="s">
        <v>59</v>
      </c>
      <c r="V1709" s="13" t="s">
        <v>38</v>
      </c>
      <c r="W1709" s="13" t="s">
        <v>8560</v>
      </c>
      <c r="X1709" s="12"/>
      <c r="Y1709" s="14"/>
      <c r="Z1709" s="14"/>
    </row>
    <row r="1710">
      <c r="A1710" s="8" t="s">
        <v>8561</v>
      </c>
      <c r="B1710" s="8" t="s">
        <v>8562</v>
      </c>
      <c r="C1710" s="8" t="s">
        <v>179</v>
      </c>
      <c r="D1710" s="8" t="s">
        <v>26</v>
      </c>
      <c r="E1710" s="8" t="s">
        <v>8563</v>
      </c>
      <c r="F1710" s="8">
        <v>1.023573783E9</v>
      </c>
      <c r="G1710" s="8" t="s">
        <v>284</v>
      </c>
      <c r="H1710" s="8" t="s">
        <v>793</v>
      </c>
      <c r="I1710" s="8" t="s">
        <v>31</v>
      </c>
      <c r="J1710" s="8" t="s">
        <v>32</v>
      </c>
      <c r="K1710" s="10" t="s">
        <v>1095</v>
      </c>
      <c r="L1710" s="8" t="s">
        <v>58</v>
      </c>
      <c r="M1710" s="8" t="s">
        <v>35</v>
      </c>
      <c r="N1710" s="11">
        <v>45037.0</v>
      </c>
      <c r="O1710" s="11">
        <v>45214.0</v>
      </c>
      <c r="P1710" s="11">
        <v>45256.0</v>
      </c>
      <c r="Q1710" s="11"/>
      <c r="R1710" s="11"/>
      <c r="S1710" s="12"/>
      <c r="T1710" s="8"/>
      <c r="U1710" s="8" t="s">
        <v>59</v>
      </c>
      <c r="V1710" s="13" t="s">
        <v>793</v>
      </c>
      <c r="W1710" s="13" t="s">
        <v>8564</v>
      </c>
      <c r="X1710" s="12"/>
      <c r="Y1710" s="14"/>
      <c r="Z1710" s="14"/>
    </row>
    <row r="1711">
      <c r="A1711" s="8" t="s">
        <v>8565</v>
      </c>
      <c r="B1711" s="8" t="s">
        <v>8566</v>
      </c>
      <c r="C1711" s="8" t="s">
        <v>64</v>
      </c>
      <c r="D1711" s="8" t="s">
        <v>26</v>
      </c>
      <c r="E1711" s="8" t="s">
        <v>8567</v>
      </c>
      <c r="F1711" s="8">
        <v>5.302970217E9</v>
      </c>
      <c r="G1711" s="8" t="s">
        <v>31</v>
      </c>
      <c r="H1711" s="8" t="s">
        <v>102</v>
      </c>
      <c r="I1711" s="8" t="s">
        <v>399</v>
      </c>
      <c r="J1711" s="8" t="s">
        <v>415</v>
      </c>
      <c r="K1711" s="10" t="s">
        <v>1199</v>
      </c>
      <c r="L1711" s="8" t="s">
        <v>58</v>
      </c>
      <c r="M1711" s="8" t="s">
        <v>35</v>
      </c>
      <c r="N1711" s="11">
        <v>45038.0</v>
      </c>
      <c r="O1711" s="11">
        <v>45116.0</v>
      </c>
      <c r="P1711" s="11">
        <v>45158.0</v>
      </c>
      <c r="Q1711" s="11">
        <v>45118.0</v>
      </c>
      <c r="R1711" s="11">
        <v>45158.0</v>
      </c>
      <c r="S1711" s="12"/>
      <c r="T1711" s="8"/>
      <c r="U1711" s="8" t="s">
        <v>1038</v>
      </c>
      <c r="V1711" s="13" t="s">
        <v>102</v>
      </c>
      <c r="W1711" s="13" t="s">
        <v>8568</v>
      </c>
      <c r="X1711" s="12"/>
      <c r="Y1711" s="14"/>
      <c r="Z1711" s="14"/>
    </row>
    <row r="1712">
      <c r="A1712" s="8" t="s">
        <v>8569</v>
      </c>
      <c r="B1712" s="8" t="s">
        <v>8570</v>
      </c>
      <c r="C1712" s="8" t="s">
        <v>25</v>
      </c>
      <c r="D1712" s="8" t="s">
        <v>26</v>
      </c>
      <c r="E1712" s="8" t="s">
        <v>8571</v>
      </c>
      <c r="F1712" s="8">
        <v>5.051207545E9</v>
      </c>
      <c r="G1712" s="8" t="s">
        <v>31</v>
      </c>
      <c r="H1712" s="8" t="s">
        <v>102</v>
      </c>
      <c r="I1712" s="8" t="s">
        <v>127</v>
      </c>
      <c r="J1712" s="8" t="s">
        <v>1628</v>
      </c>
      <c r="K1712" s="10" t="s">
        <v>8572</v>
      </c>
      <c r="L1712" s="8" t="s">
        <v>58</v>
      </c>
      <c r="M1712" s="8" t="s">
        <v>35</v>
      </c>
      <c r="N1712" s="11">
        <v>45038.0</v>
      </c>
      <c r="O1712" s="11">
        <v>45103.0</v>
      </c>
      <c r="P1712" s="11">
        <v>45145.0</v>
      </c>
      <c r="Q1712" s="11">
        <v>45103.0</v>
      </c>
      <c r="R1712" s="11">
        <v>45145.0</v>
      </c>
      <c r="S1712" s="12"/>
      <c r="T1712" s="8"/>
      <c r="U1712" s="8" t="s">
        <v>59</v>
      </c>
      <c r="V1712" s="13" t="s">
        <v>102</v>
      </c>
      <c r="W1712" s="13" t="s">
        <v>8573</v>
      </c>
      <c r="X1712" s="12"/>
      <c r="Y1712" s="14"/>
      <c r="Z1712" s="14"/>
    </row>
    <row r="1713">
      <c r="A1713" s="8" t="s">
        <v>8574</v>
      </c>
      <c r="B1713" s="8" t="s">
        <v>8575</v>
      </c>
      <c r="C1713" s="8" t="s">
        <v>25</v>
      </c>
      <c r="D1713" s="8" t="s">
        <v>26</v>
      </c>
      <c r="E1713" s="8" t="s">
        <v>8576</v>
      </c>
      <c r="F1713" s="8">
        <v>5.370498057E9</v>
      </c>
      <c r="G1713" s="8" t="s">
        <v>31</v>
      </c>
      <c r="H1713" s="8" t="s">
        <v>102</v>
      </c>
      <c r="I1713" s="8" t="s">
        <v>127</v>
      </c>
      <c r="J1713" s="8" t="s">
        <v>1628</v>
      </c>
      <c r="K1713" s="10" t="s">
        <v>8577</v>
      </c>
      <c r="L1713" s="8" t="s">
        <v>58</v>
      </c>
      <c r="M1713" s="8" t="s">
        <v>35</v>
      </c>
      <c r="N1713" s="11">
        <v>45038.0</v>
      </c>
      <c r="O1713" s="11">
        <v>45110.0</v>
      </c>
      <c r="P1713" s="11">
        <v>45152.0</v>
      </c>
      <c r="Q1713" s="11">
        <v>45110.0</v>
      </c>
      <c r="R1713" s="11">
        <v>45152.0</v>
      </c>
      <c r="S1713" s="12"/>
      <c r="T1713" s="8"/>
      <c r="U1713" s="8" t="s">
        <v>153</v>
      </c>
      <c r="V1713" s="13" t="s">
        <v>102</v>
      </c>
      <c r="W1713" s="13" t="s">
        <v>8578</v>
      </c>
      <c r="X1713" s="12"/>
      <c r="Y1713" s="14"/>
      <c r="Z1713" s="14"/>
    </row>
    <row r="1714">
      <c r="A1714" s="8" t="s">
        <v>8579</v>
      </c>
      <c r="B1714" s="8" t="s">
        <v>8580</v>
      </c>
      <c r="C1714" s="8" t="s">
        <v>179</v>
      </c>
      <c r="D1714" s="8" t="s">
        <v>26</v>
      </c>
      <c r="E1714" s="8" t="s">
        <v>8581</v>
      </c>
      <c r="F1714" s="8">
        <v>6.07010962E8</v>
      </c>
      <c r="G1714" s="8" t="s">
        <v>221</v>
      </c>
      <c r="H1714" s="8" t="s">
        <v>222</v>
      </c>
      <c r="I1714" s="8" t="s">
        <v>31</v>
      </c>
      <c r="J1714" s="8" t="s">
        <v>32</v>
      </c>
      <c r="K1714" s="10" t="s">
        <v>8582</v>
      </c>
      <c r="L1714" s="8" t="s">
        <v>58</v>
      </c>
      <c r="M1714" s="8" t="s">
        <v>35</v>
      </c>
      <c r="N1714" s="11">
        <v>45038.0</v>
      </c>
      <c r="O1714" s="11">
        <v>45145.0</v>
      </c>
      <c r="P1714" s="11">
        <v>45187.0</v>
      </c>
      <c r="Q1714" s="11"/>
      <c r="R1714" s="11"/>
      <c r="S1714" s="12"/>
      <c r="T1714" s="8"/>
      <c r="U1714" s="8" t="s">
        <v>371</v>
      </c>
      <c r="V1714" s="13" t="s">
        <v>8583</v>
      </c>
      <c r="W1714" s="13" t="s">
        <v>8584</v>
      </c>
      <c r="X1714" s="12"/>
      <c r="Y1714" s="14"/>
      <c r="Z1714" s="14"/>
    </row>
    <row r="1715">
      <c r="A1715" s="8" t="s">
        <v>8585</v>
      </c>
      <c r="B1715" s="8" t="s">
        <v>8586</v>
      </c>
      <c r="C1715" s="8" t="s">
        <v>25</v>
      </c>
      <c r="D1715" s="8" t="s">
        <v>26</v>
      </c>
      <c r="E1715" s="8" t="s">
        <v>8587</v>
      </c>
      <c r="F1715" s="8">
        <v>5.070509517E9</v>
      </c>
      <c r="G1715" s="8" t="s">
        <v>31</v>
      </c>
      <c r="H1715" s="8" t="s">
        <v>542</v>
      </c>
      <c r="I1715" s="8" t="s">
        <v>399</v>
      </c>
      <c r="J1715" s="8" t="s">
        <v>2416</v>
      </c>
      <c r="K1715" s="10" t="s">
        <v>8588</v>
      </c>
      <c r="L1715" s="8" t="s">
        <v>58</v>
      </c>
      <c r="M1715" s="8" t="s">
        <v>35</v>
      </c>
      <c r="N1715" s="11">
        <v>45038.0</v>
      </c>
      <c r="O1715" s="11">
        <v>45082.0</v>
      </c>
      <c r="P1715" s="11">
        <v>45124.0</v>
      </c>
      <c r="Q1715" s="11">
        <v>45085.0</v>
      </c>
      <c r="R1715" s="11">
        <v>45125.0</v>
      </c>
      <c r="S1715" s="12"/>
      <c r="T1715" s="8"/>
      <c r="U1715" s="8" t="s">
        <v>1038</v>
      </c>
      <c r="V1715" s="13" t="s">
        <v>5961</v>
      </c>
      <c r="W1715" s="13" t="s">
        <v>8589</v>
      </c>
      <c r="X1715" s="12"/>
      <c r="Y1715" s="14"/>
      <c r="Z1715" s="14"/>
    </row>
    <row r="1716">
      <c r="A1716" s="8" t="s">
        <v>8590</v>
      </c>
      <c r="B1716" s="8" t="s">
        <v>8591</v>
      </c>
      <c r="C1716" s="8" t="s">
        <v>179</v>
      </c>
      <c r="D1716" s="8" t="s">
        <v>26</v>
      </c>
      <c r="E1716" s="8" t="s">
        <v>8592</v>
      </c>
      <c r="F1716" s="8" t="s">
        <v>8593</v>
      </c>
      <c r="G1716" s="8" t="s">
        <v>284</v>
      </c>
      <c r="H1716" s="8" t="s">
        <v>1287</v>
      </c>
      <c r="I1716" s="8" t="s">
        <v>31</v>
      </c>
      <c r="J1716" s="8" t="s">
        <v>32</v>
      </c>
      <c r="K1716" s="10" t="s">
        <v>8594</v>
      </c>
      <c r="L1716" s="8" t="s">
        <v>58</v>
      </c>
      <c r="M1716" s="8" t="s">
        <v>35</v>
      </c>
      <c r="N1716" s="11">
        <v>45039.0</v>
      </c>
      <c r="O1716" s="11">
        <v>45130.0</v>
      </c>
      <c r="P1716" s="11">
        <v>45172.0</v>
      </c>
      <c r="Q1716" s="11"/>
      <c r="R1716" s="11"/>
      <c r="S1716" s="12"/>
      <c r="T1716" s="8"/>
      <c r="U1716" s="8" t="s">
        <v>59</v>
      </c>
      <c r="V1716" s="13" t="s">
        <v>1289</v>
      </c>
      <c r="W1716" s="13" t="s">
        <v>8595</v>
      </c>
      <c r="X1716" s="12"/>
      <c r="Y1716" s="14"/>
      <c r="Z1716" s="14"/>
    </row>
    <row r="1717">
      <c r="A1717" s="8" t="s">
        <v>8596</v>
      </c>
      <c r="B1717" s="8" t="s">
        <v>8597</v>
      </c>
      <c r="C1717" s="8" t="s">
        <v>179</v>
      </c>
      <c r="D1717" s="8" t="s">
        <v>26</v>
      </c>
      <c r="E1717" s="8" t="s">
        <v>8598</v>
      </c>
      <c r="F1717" s="8">
        <v>3.3342875E9</v>
      </c>
      <c r="G1717" s="8" t="s">
        <v>315</v>
      </c>
      <c r="H1717" s="8" t="s">
        <v>6263</v>
      </c>
      <c r="I1717" s="8" t="s">
        <v>31</v>
      </c>
      <c r="J1717" s="8" t="s">
        <v>86</v>
      </c>
      <c r="K1717" s="10" t="s">
        <v>87</v>
      </c>
      <c r="L1717" s="8" t="s">
        <v>58</v>
      </c>
      <c r="M1717" s="8" t="s">
        <v>35</v>
      </c>
      <c r="N1717" s="11">
        <v>45039.0</v>
      </c>
      <c r="O1717" s="11">
        <v>45057.0</v>
      </c>
      <c r="P1717" s="11">
        <v>45099.0</v>
      </c>
      <c r="Q1717" s="11"/>
      <c r="R1717" s="11"/>
      <c r="S1717" s="12"/>
      <c r="T1717" s="8"/>
      <c r="U1717" s="8" t="s">
        <v>88</v>
      </c>
      <c r="V1717" s="13" t="s">
        <v>1243</v>
      </c>
      <c r="W1717" s="13" t="s">
        <v>8599</v>
      </c>
      <c r="X1717" s="12"/>
      <c r="Y1717" s="14"/>
      <c r="Z1717" s="14"/>
    </row>
    <row r="1718">
      <c r="A1718" s="8" t="s">
        <v>8600</v>
      </c>
      <c r="B1718" s="8" t="s">
        <v>8601</v>
      </c>
      <c r="C1718" s="8" t="s">
        <v>708</v>
      </c>
      <c r="D1718" s="8" t="s">
        <v>26</v>
      </c>
      <c r="E1718" s="8" t="s">
        <v>8602</v>
      </c>
      <c r="F1718" s="8">
        <v>7.80940043E8</v>
      </c>
      <c r="G1718" s="8" t="s">
        <v>254</v>
      </c>
      <c r="H1718" s="8" t="s">
        <v>255</v>
      </c>
      <c r="I1718" s="8" t="s">
        <v>31</v>
      </c>
      <c r="J1718" s="8" t="s">
        <v>438</v>
      </c>
      <c r="K1718" s="10" t="s">
        <v>4534</v>
      </c>
      <c r="L1718" s="8" t="s">
        <v>47</v>
      </c>
      <c r="M1718" s="8" t="s">
        <v>70</v>
      </c>
      <c r="N1718" s="11">
        <v>45039.0</v>
      </c>
      <c r="O1718" s="11">
        <v>45199.0</v>
      </c>
      <c r="P1718" s="11">
        <v>45564.0</v>
      </c>
      <c r="Q1718" s="11">
        <v>45153.0</v>
      </c>
      <c r="R1718" s="11">
        <v>45564.0</v>
      </c>
      <c r="S1718" s="12"/>
      <c r="T1718" s="8"/>
      <c r="U1718" s="8" t="s">
        <v>246</v>
      </c>
      <c r="V1718" s="13" t="s">
        <v>38</v>
      </c>
      <c r="W1718" s="13" t="s">
        <v>8603</v>
      </c>
      <c r="X1718" s="12"/>
      <c r="Y1718" s="14"/>
      <c r="Z1718" s="14"/>
    </row>
    <row r="1719">
      <c r="A1719" s="8" t="s">
        <v>8604</v>
      </c>
      <c r="B1719" s="8" t="s">
        <v>8605</v>
      </c>
      <c r="C1719" s="8" t="s">
        <v>25</v>
      </c>
      <c r="D1719" s="8" t="s">
        <v>26</v>
      </c>
      <c r="E1719" s="8" t="s">
        <v>8606</v>
      </c>
      <c r="F1719" s="8">
        <v>9.2743194E7</v>
      </c>
      <c r="G1719" s="8" t="s">
        <v>54</v>
      </c>
      <c r="H1719" s="8" t="s">
        <v>430</v>
      </c>
      <c r="I1719" s="8" t="s">
        <v>31</v>
      </c>
      <c r="J1719" s="8" t="s">
        <v>111</v>
      </c>
      <c r="K1719" s="10" t="s">
        <v>345</v>
      </c>
      <c r="L1719" s="8" t="s">
        <v>58</v>
      </c>
      <c r="M1719" s="8" t="s">
        <v>35</v>
      </c>
      <c r="N1719" s="11">
        <v>45040.0</v>
      </c>
      <c r="O1719" s="11">
        <v>45187.0</v>
      </c>
      <c r="P1719" s="11">
        <v>45229.0</v>
      </c>
      <c r="Q1719" s="11">
        <v>45188.0</v>
      </c>
      <c r="R1719" s="11">
        <v>45229.0</v>
      </c>
      <c r="S1719" s="12"/>
      <c r="T1719" s="8"/>
      <c r="U1719" s="8" t="s">
        <v>59</v>
      </c>
      <c r="V1719" s="13" t="s">
        <v>849</v>
      </c>
      <c r="W1719" s="13" t="s">
        <v>8607</v>
      </c>
      <c r="X1719" s="12"/>
      <c r="Y1719" s="14"/>
      <c r="Z1719" s="14"/>
    </row>
    <row r="1720">
      <c r="A1720" s="8" t="s">
        <v>8608</v>
      </c>
      <c r="B1720" s="8" t="s">
        <v>8609</v>
      </c>
      <c r="C1720" s="8" t="s">
        <v>25</v>
      </c>
      <c r="D1720" s="8" t="s">
        <v>26</v>
      </c>
      <c r="E1720" s="8" t="s">
        <v>8610</v>
      </c>
      <c r="F1720" s="8">
        <v>5.3297844E7</v>
      </c>
      <c r="G1720" s="8" t="s">
        <v>54</v>
      </c>
      <c r="H1720" s="8" t="s">
        <v>430</v>
      </c>
      <c r="I1720" s="8" t="s">
        <v>31</v>
      </c>
      <c r="J1720" s="8" t="s">
        <v>32</v>
      </c>
      <c r="K1720" s="10" t="s">
        <v>8582</v>
      </c>
      <c r="L1720" s="8" t="s">
        <v>58</v>
      </c>
      <c r="M1720" s="8" t="s">
        <v>35</v>
      </c>
      <c r="N1720" s="11">
        <v>45040.0</v>
      </c>
      <c r="O1720" s="11">
        <v>45103.0</v>
      </c>
      <c r="P1720" s="11">
        <v>45145.0</v>
      </c>
      <c r="Q1720" s="11">
        <v>45105.0</v>
      </c>
      <c r="R1720" s="11">
        <v>45148.0</v>
      </c>
      <c r="S1720" s="12"/>
      <c r="T1720" s="8"/>
      <c r="U1720" s="8" t="s">
        <v>371</v>
      </c>
      <c r="V1720" s="13" t="s">
        <v>1229</v>
      </c>
      <c r="W1720" s="13" t="s">
        <v>8611</v>
      </c>
      <c r="X1720" s="12"/>
      <c r="Y1720" s="14"/>
      <c r="Z1720" s="14"/>
    </row>
    <row r="1721">
      <c r="A1721" s="8" t="s">
        <v>8612</v>
      </c>
      <c r="B1721" s="8" t="s">
        <v>8613</v>
      </c>
      <c r="C1721" s="8" t="s">
        <v>25</v>
      </c>
      <c r="D1721" s="8" t="s">
        <v>26</v>
      </c>
      <c r="E1721" s="8" t="s">
        <v>8614</v>
      </c>
      <c r="F1721" s="8">
        <v>4.6329929E7</v>
      </c>
      <c r="G1721" s="8" t="s">
        <v>54</v>
      </c>
      <c r="H1721" s="8" t="s">
        <v>430</v>
      </c>
      <c r="I1721" s="8" t="s">
        <v>31</v>
      </c>
      <c r="J1721" s="8" t="s">
        <v>32</v>
      </c>
      <c r="K1721" s="10" t="s">
        <v>8474</v>
      </c>
      <c r="L1721" s="8" t="s">
        <v>58</v>
      </c>
      <c r="M1721" s="8" t="s">
        <v>35</v>
      </c>
      <c r="N1721" s="11">
        <v>45040.0</v>
      </c>
      <c r="O1721" s="11">
        <v>45096.0</v>
      </c>
      <c r="P1721" s="11">
        <v>45138.0</v>
      </c>
      <c r="Q1721" s="11">
        <v>45097.0</v>
      </c>
      <c r="R1721" s="11">
        <v>45139.0</v>
      </c>
      <c r="S1721" s="12"/>
      <c r="T1721" s="8"/>
      <c r="U1721" s="8" t="s">
        <v>59</v>
      </c>
      <c r="V1721" s="13" t="s">
        <v>4780</v>
      </c>
      <c r="W1721" s="13" t="s">
        <v>8615</v>
      </c>
      <c r="X1721" s="12"/>
      <c r="Y1721" s="14"/>
      <c r="Z1721" s="14"/>
    </row>
    <row r="1722">
      <c r="A1722" s="8" t="s">
        <v>8616</v>
      </c>
      <c r="B1722" s="8" t="s">
        <v>8617</v>
      </c>
      <c r="C1722" s="8" t="s">
        <v>64</v>
      </c>
      <c r="D1722" s="8" t="s">
        <v>26</v>
      </c>
      <c r="E1722" s="8" t="s">
        <v>8618</v>
      </c>
      <c r="F1722" s="8">
        <v>5.3268628E7</v>
      </c>
      <c r="G1722" s="8" t="s">
        <v>54</v>
      </c>
      <c r="H1722" s="8" t="s">
        <v>135</v>
      </c>
      <c r="I1722" s="8" t="s">
        <v>31</v>
      </c>
      <c r="J1722" s="8" t="s">
        <v>77</v>
      </c>
      <c r="K1722" s="10" t="s">
        <v>8136</v>
      </c>
      <c r="L1722" s="8" t="s">
        <v>58</v>
      </c>
      <c r="M1722" s="8" t="s">
        <v>35</v>
      </c>
      <c r="N1722" s="11">
        <v>45040.0</v>
      </c>
      <c r="O1722" s="11">
        <v>45139.0</v>
      </c>
      <c r="P1722" s="11">
        <v>45181.0</v>
      </c>
      <c r="Q1722" s="11">
        <v>45139.0</v>
      </c>
      <c r="R1722" s="11">
        <v>45181.0</v>
      </c>
      <c r="S1722" s="12"/>
      <c r="T1722" s="8"/>
      <c r="U1722" s="8" t="s">
        <v>59</v>
      </c>
      <c r="V1722" s="13" t="s">
        <v>346</v>
      </c>
      <c r="W1722" s="13" t="s">
        <v>8619</v>
      </c>
      <c r="X1722" s="12"/>
      <c r="Y1722" s="14"/>
      <c r="Z1722" s="14"/>
    </row>
    <row r="1723">
      <c r="A1723" s="8" t="s">
        <v>8620</v>
      </c>
      <c r="B1723" s="8" t="s">
        <v>8621</v>
      </c>
      <c r="C1723" s="8" t="s">
        <v>179</v>
      </c>
      <c r="D1723" s="8" t="s">
        <v>26</v>
      </c>
      <c r="E1723" s="8" t="s">
        <v>8622</v>
      </c>
      <c r="F1723" s="8">
        <v>1.211788336E9</v>
      </c>
      <c r="G1723" s="8" t="s">
        <v>8623</v>
      </c>
      <c r="H1723" s="8" t="s">
        <v>8624</v>
      </c>
      <c r="I1723" s="8" t="s">
        <v>31</v>
      </c>
      <c r="J1723" s="8" t="s">
        <v>542</v>
      </c>
      <c r="K1723" s="10" t="s">
        <v>2360</v>
      </c>
      <c r="L1723" s="8" t="s">
        <v>58</v>
      </c>
      <c r="M1723" s="8" t="s">
        <v>35</v>
      </c>
      <c r="N1723" s="11">
        <v>45040.0</v>
      </c>
      <c r="O1723" s="11">
        <v>45278.0</v>
      </c>
      <c r="P1723" s="11">
        <v>45320.0</v>
      </c>
      <c r="Q1723" s="11"/>
      <c r="R1723" s="11"/>
      <c r="S1723" s="12"/>
      <c r="T1723" s="8"/>
      <c r="U1723" s="8" t="s">
        <v>59</v>
      </c>
      <c r="V1723" s="13" t="s">
        <v>8625</v>
      </c>
      <c r="W1723" s="13" t="s">
        <v>8626</v>
      </c>
      <c r="X1723" s="12"/>
      <c r="Y1723" s="14"/>
      <c r="Z1723" s="14"/>
    </row>
    <row r="1724">
      <c r="A1724" s="8" t="s">
        <v>8627</v>
      </c>
      <c r="B1724" s="8" t="s">
        <v>8628</v>
      </c>
      <c r="C1724" s="8" t="s">
        <v>25</v>
      </c>
      <c r="D1724" s="8" t="s">
        <v>26</v>
      </c>
      <c r="E1724" s="8" t="s">
        <v>8629</v>
      </c>
      <c r="F1724" s="8"/>
      <c r="G1724" s="8" t="s">
        <v>1620</v>
      </c>
      <c r="H1724" s="8" t="s">
        <v>4288</v>
      </c>
      <c r="I1724" s="8" t="s">
        <v>31</v>
      </c>
      <c r="J1724" s="8" t="s">
        <v>43</v>
      </c>
      <c r="K1724" s="10" t="s">
        <v>837</v>
      </c>
      <c r="L1724" s="8" t="s">
        <v>58</v>
      </c>
      <c r="M1724" s="8" t="s">
        <v>35</v>
      </c>
      <c r="N1724" s="11">
        <v>45040.0</v>
      </c>
      <c r="O1724" s="11">
        <v>45145.0</v>
      </c>
      <c r="P1724" s="11">
        <v>45191.0</v>
      </c>
      <c r="Q1724" s="11">
        <v>45149.0</v>
      </c>
      <c r="R1724" s="11">
        <v>45195.0</v>
      </c>
      <c r="S1724" s="12"/>
      <c r="T1724" s="8"/>
      <c r="U1724" s="8" t="s">
        <v>130</v>
      </c>
      <c r="V1724" s="13" t="s">
        <v>38</v>
      </c>
      <c r="W1724" s="13" t="s">
        <v>8630</v>
      </c>
      <c r="X1724" s="12"/>
      <c r="Y1724" s="14"/>
      <c r="Z1724" s="14"/>
    </row>
    <row r="1725">
      <c r="A1725" s="8" t="s">
        <v>8631</v>
      </c>
      <c r="B1725" s="8" t="s">
        <v>8632</v>
      </c>
      <c r="C1725" s="8" t="s">
        <v>25</v>
      </c>
      <c r="D1725" s="8" t="s">
        <v>26</v>
      </c>
      <c r="E1725" s="8" t="s">
        <v>8633</v>
      </c>
      <c r="F1725" s="8">
        <v>5.863823E7</v>
      </c>
      <c r="G1725" s="8" t="s">
        <v>54</v>
      </c>
      <c r="H1725" s="8" t="s">
        <v>430</v>
      </c>
      <c r="I1725" s="8" t="s">
        <v>31</v>
      </c>
      <c r="J1725" s="8" t="s">
        <v>111</v>
      </c>
      <c r="K1725" s="10" t="s">
        <v>345</v>
      </c>
      <c r="L1725" s="8" t="s">
        <v>58</v>
      </c>
      <c r="M1725" s="8" t="s">
        <v>35</v>
      </c>
      <c r="N1725" s="11">
        <v>45040.0</v>
      </c>
      <c r="O1725" s="11">
        <v>45187.0</v>
      </c>
      <c r="P1725" s="11">
        <v>45229.0</v>
      </c>
      <c r="Q1725" s="11">
        <v>45188.0</v>
      </c>
      <c r="R1725" s="11">
        <v>45229.0</v>
      </c>
      <c r="S1725" s="12"/>
      <c r="T1725" s="8"/>
      <c r="U1725" s="8" t="s">
        <v>59</v>
      </c>
      <c r="V1725" s="13" t="s">
        <v>849</v>
      </c>
      <c r="W1725" s="13" t="s">
        <v>8634</v>
      </c>
      <c r="X1725" s="12"/>
      <c r="Y1725" s="14"/>
      <c r="Z1725" s="14"/>
    </row>
    <row r="1726">
      <c r="A1726" s="8" t="s">
        <v>8635</v>
      </c>
      <c r="B1726" s="8" t="s">
        <v>8636</v>
      </c>
      <c r="C1726" s="8" t="s">
        <v>179</v>
      </c>
      <c r="D1726" s="8" t="s">
        <v>26</v>
      </c>
      <c r="E1726" s="8" t="s">
        <v>8637</v>
      </c>
      <c r="F1726" s="8"/>
      <c r="G1726" s="8" t="s">
        <v>31</v>
      </c>
      <c r="H1726" s="8" t="s">
        <v>86</v>
      </c>
      <c r="I1726" s="8" t="s">
        <v>1400</v>
      </c>
      <c r="J1726" s="8" t="s">
        <v>1401</v>
      </c>
      <c r="K1726" s="10" t="s">
        <v>8638</v>
      </c>
      <c r="L1726" s="8" t="s">
        <v>58</v>
      </c>
      <c r="M1726" s="8" t="s">
        <v>35</v>
      </c>
      <c r="N1726" s="11">
        <v>45040.0</v>
      </c>
      <c r="O1726" s="11">
        <v>45173.0</v>
      </c>
      <c r="P1726" s="11">
        <v>45215.0</v>
      </c>
      <c r="Q1726" s="11"/>
      <c r="R1726" s="11"/>
      <c r="S1726" s="12"/>
      <c r="T1726" s="8"/>
      <c r="U1726" s="8" t="s">
        <v>88</v>
      </c>
      <c r="V1726" s="13" t="s">
        <v>38</v>
      </c>
      <c r="W1726" s="13" t="s">
        <v>8639</v>
      </c>
      <c r="X1726" s="12"/>
      <c r="Y1726" s="14"/>
      <c r="Z1726" s="14"/>
    </row>
    <row r="1727">
      <c r="A1727" s="8" t="s">
        <v>8640</v>
      </c>
      <c r="B1727" s="8" t="s">
        <v>8641</v>
      </c>
      <c r="C1727" s="8" t="s">
        <v>25</v>
      </c>
      <c r="D1727" s="8" t="s">
        <v>26</v>
      </c>
      <c r="E1727" s="8" t="s">
        <v>8642</v>
      </c>
      <c r="F1727" s="8"/>
      <c r="G1727" s="8" t="s">
        <v>54</v>
      </c>
      <c r="H1727" s="8" t="s">
        <v>135</v>
      </c>
      <c r="I1727" s="8" t="s">
        <v>31</v>
      </c>
      <c r="J1727" s="8" t="s">
        <v>438</v>
      </c>
      <c r="K1727" s="10" t="s">
        <v>8643</v>
      </c>
      <c r="L1727" s="8" t="s">
        <v>34</v>
      </c>
      <c r="M1727" s="8" t="s">
        <v>35</v>
      </c>
      <c r="N1727" s="11">
        <v>45040.0</v>
      </c>
      <c r="O1727" s="11">
        <v>45078.0</v>
      </c>
      <c r="P1727" s="11">
        <v>45161.0</v>
      </c>
      <c r="Q1727" s="11">
        <v>45076.0</v>
      </c>
      <c r="R1727" s="11">
        <v>45161.0</v>
      </c>
      <c r="S1727" s="12"/>
      <c r="T1727" s="8" t="s">
        <v>121</v>
      </c>
      <c r="U1727" s="8" t="s">
        <v>8644</v>
      </c>
      <c r="V1727" s="13" t="s">
        <v>38</v>
      </c>
      <c r="W1727" s="13" t="s">
        <v>8645</v>
      </c>
      <c r="X1727" s="12"/>
      <c r="Y1727" s="14"/>
      <c r="Z1727" s="14"/>
    </row>
    <row r="1728">
      <c r="A1728" s="8" t="s">
        <v>8646</v>
      </c>
      <c r="B1728" s="8" t="s">
        <v>8647</v>
      </c>
      <c r="C1728" s="8" t="s">
        <v>25</v>
      </c>
      <c r="D1728" s="8" t="s">
        <v>26</v>
      </c>
      <c r="E1728" s="8" t="s">
        <v>8648</v>
      </c>
      <c r="F1728" s="8">
        <v>3.227354032E9</v>
      </c>
      <c r="G1728" s="8" t="s">
        <v>981</v>
      </c>
      <c r="H1728" s="8" t="s">
        <v>1889</v>
      </c>
      <c r="I1728" s="8" t="s">
        <v>31</v>
      </c>
      <c r="J1728" s="8" t="s">
        <v>438</v>
      </c>
      <c r="K1728" s="10" t="s">
        <v>1382</v>
      </c>
      <c r="L1728" s="8" t="s">
        <v>47</v>
      </c>
      <c r="M1728" s="8" t="s">
        <v>70</v>
      </c>
      <c r="N1728" s="11">
        <v>45040.0</v>
      </c>
      <c r="O1728" s="11">
        <v>45060.0</v>
      </c>
      <c r="P1728" s="11">
        <v>45547.0</v>
      </c>
      <c r="Q1728" s="11">
        <v>45059.0</v>
      </c>
      <c r="R1728" s="11">
        <v>45184.0</v>
      </c>
      <c r="S1728" s="12"/>
      <c r="T1728" s="8"/>
      <c r="U1728" s="8" t="s">
        <v>246</v>
      </c>
      <c r="V1728" s="13" t="s">
        <v>38</v>
      </c>
      <c r="W1728" s="13" t="s">
        <v>8649</v>
      </c>
      <c r="X1728" s="12"/>
      <c r="Y1728" s="14"/>
      <c r="Z1728" s="14"/>
    </row>
    <row r="1729">
      <c r="A1729" s="8" t="s">
        <v>8650</v>
      </c>
      <c r="B1729" s="8" t="s">
        <v>8651</v>
      </c>
      <c r="C1729" s="8" t="s">
        <v>25</v>
      </c>
      <c r="D1729" s="8" t="s">
        <v>26</v>
      </c>
      <c r="E1729" s="8" t="s">
        <v>8652</v>
      </c>
      <c r="F1729" s="8" t="s">
        <v>253</v>
      </c>
      <c r="G1729" s="8" t="s">
        <v>54</v>
      </c>
      <c r="H1729" s="8" t="s">
        <v>430</v>
      </c>
      <c r="I1729" s="8" t="s">
        <v>31</v>
      </c>
      <c r="J1729" s="8" t="s">
        <v>102</v>
      </c>
      <c r="K1729" s="10" t="s">
        <v>6221</v>
      </c>
      <c r="L1729" s="8" t="s">
        <v>58</v>
      </c>
      <c r="M1729" s="8" t="s">
        <v>35</v>
      </c>
      <c r="N1729" s="11">
        <v>45040.0</v>
      </c>
      <c r="O1729" s="11">
        <v>45089.0</v>
      </c>
      <c r="P1729" s="11">
        <v>45131.0</v>
      </c>
      <c r="Q1729" s="11">
        <v>45090.0</v>
      </c>
      <c r="R1729" s="11">
        <v>45131.0</v>
      </c>
      <c r="S1729" s="12"/>
      <c r="T1729" s="8"/>
      <c r="U1729" s="8" t="s">
        <v>59</v>
      </c>
      <c r="V1729" s="13" t="s">
        <v>6160</v>
      </c>
      <c r="W1729" s="13" t="s">
        <v>8653</v>
      </c>
      <c r="X1729" s="12"/>
      <c r="Y1729" s="14"/>
      <c r="Z1729" s="14"/>
    </row>
    <row r="1730">
      <c r="A1730" s="8" t="s">
        <v>8654</v>
      </c>
      <c r="B1730" s="8" t="s">
        <v>8655</v>
      </c>
      <c r="C1730" s="8" t="s">
        <v>25</v>
      </c>
      <c r="D1730" s="8" t="s">
        <v>26</v>
      </c>
      <c r="E1730" s="8" t="s">
        <v>8656</v>
      </c>
      <c r="F1730" s="8">
        <v>5.513870435E9</v>
      </c>
      <c r="G1730" s="8" t="s">
        <v>31</v>
      </c>
      <c r="H1730" s="8" t="s">
        <v>56</v>
      </c>
      <c r="I1730" s="8" t="s">
        <v>127</v>
      </c>
      <c r="J1730" s="8" t="s">
        <v>159</v>
      </c>
      <c r="K1730" s="10" t="s">
        <v>8657</v>
      </c>
      <c r="L1730" s="8" t="s">
        <v>58</v>
      </c>
      <c r="M1730" s="8" t="s">
        <v>35</v>
      </c>
      <c r="N1730" s="11">
        <v>45040.0</v>
      </c>
      <c r="O1730" s="11">
        <v>45101.0</v>
      </c>
      <c r="P1730" s="11">
        <v>45143.0</v>
      </c>
      <c r="Q1730" s="11">
        <v>45103.0</v>
      </c>
      <c r="R1730" s="11">
        <v>45143.0</v>
      </c>
      <c r="S1730" s="12"/>
      <c r="T1730" s="8"/>
      <c r="U1730" s="8" t="s">
        <v>161</v>
      </c>
      <c r="V1730" s="13" t="s">
        <v>56</v>
      </c>
      <c r="W1730" s="13" t="s">
        <v>8658</v>
      </c>
      <c r="X1730" s="12"/>
      <c r="Y1730" s="14"/>
      <c r="Z1730" s="14"/>
    </row>
    <row r="1731">
      <c r="A1731" s="8" t="s">
        <v>8659</v>
      </c>
      <c r="B1731" s="8" t="s">
        <v>8660</v>
      </c>
      <c r="C1731" s="8" t="s">
        <v>64</v>
      </c>
      <c r="D1731" s="8" t="s">
        <v>26</v>
      </c>
      <c r="E1731" s="8" t="s">
        <v>8661</v>
      </c>
      <c r="F1731" s="8">
        <v>5.307854381E9</v>
      </c>
      <c r="G1731" s="8" t="s">
        <v>31</v>
      </c>
      <c r="H1731" s="8" t="s">
        <v>438</v>
      </c>
      <c r="I1731" s="8" t="s">
        <v>1400</v>
      </c>
      <c r="J1731" s="8" t="s">
        <v>1728</v>
      </c>
      <c r="K1731" s="10" t="s">
        <v>3717</v>
      </c>
      <c r="L1731" s="8" t="s">
        <v>58</v>
      </c>
      <c r="M1731" s="8" t="s">
        <v>35</v>
      </c>
      <c r="N1731" s="11">
        <v>45040.0</v>
      </c>
      <c r="O1731" s="11">
        <v>45053.0</v>
      </c>
      <c r="P1731" s="11">
        <v>45095.0</v>
      </c>
      <c r="Q1731" s="11">
        <v>45060.0</v>
      </c>
      <c r="R1731" s="11">
        <v>45102.0</v>
      </c>
      <c r="S1731" s="12"/>
      <c r="T1731" s="8"/>
      <c r="U1731" s="8" t="s">
        <v>88</v>
      </c>
      <c r="V1731" s="13" t="s">
        <v>438</v>
      </c>
      <c r="W1731" s="13" t="s">
        <v>8662</v>
      </c>
      <c r="X1731" s="12"/>
      <c r="Y1731" s="14"/>
      <c r="Z1731" s="14"/>
    </row>
    <row r="1732">
      <c r="A1732" s="8" t="s">
        <v>8663</v>
      </c>
      <c r="B1732" s="8" t="s">
        <v>8664</v>
      </c>
      <c r="C1732" s="8" t="s">
        <v>708</v>
      </c>
      <c r="D1732" s="8" t="s">
        <v>26</v>
      </c>
      <c r="E1732" s="8" t="s">
        <v>8665</v>
      </c>
      <c r="F1732" s="8"/>
      <c r="G1732" s="8" t="s">
        <v>31</v>
      </c>
      <c r="H1732" s="8" t="s">
        <v>542</v>
      </c>
      <c r="I1732" s="8" t="s">
        <v>5008</v>
      </c>
      <c r="J1732" s="8" t="s">
        <v>8666</v>
      </c>
      <c r="K1732" s="10" t="s">
        <v>8667</v>
      </c>
      <c r="L1732" s="8" t="s">
        <v>34</v>
      </c>
      <c r="M1732" s="8" t="s">
        <v>70</v>
      </c>
      <c r="N1732" s="11">
        <v>45040.0</v>
      </c>
      <c r="O1732" s="11">
        <v>45017.0</v>
      </c>
      <c r="P1732" s="11">
        <v>45383.0</v>
      </c>
      <c r="Q1732" s="11">
        <v>45145.0</v>
      </c>
      <c r="R1732" s="11">
        <v>45511.0</v>
      </c>
      <c r="S1732" s="12"/>
      <c r="T1732" s="8" t="s">
        <v>121</v>
      </c>
      <c r="U1732" s="8" t="s">
        <v>8000</v>
      </c>
      <c r="V1732" s="13" t="s">
        <v>38</v>
      </c>
      <c r="W1732" s="13" t="s">
        <v>8668</v>
      </c>
      <c r="X1732" s="12"/>
      <c r="Y1732" s="14"/>
      <c r="Z1732" s="14"/>
    </row>
    <row r="1733">
      <c r="A1733" s="8" t="s">
        <v>8669</v>
      </c>
      <c r="B1733" s="8" t="s">
        <v>8670</v>
      </c>
      <c r="C1733" s="8" t="s">
        <v>179</v>
      </c>
      <c r="D1733" s="8" t="s">
        <v>26</v>
      </c>
      <c r="E1733" s="8" t="s">
        <v>8671</v>
      </c>
      <c r="F1733" s="8">
        <v>9.2497045E7</v>
      </c>
      <c r="G1733" s="8" t="s">
        <v>54</v>
      </c>
      <c r="H1733" s="8" t="s">
        <v>135</v>
      </c>
      <c r="I1733" s="8" t="s">
        <v>31</v>
      </c>
      <c r="J1733" s="8" t="s">
        <v>43</v>
      </c>
      <c r="K1733" s="10" t="s">
        <v>837</v>
      </c>
      <c r="L1733" s="8" t="s">
        <v>58</v>
      </c>
      <c r="M1733" s="8" t="s">
        <v>35</v>
      </c>
      <c r="N1733" s="11">
        <v>45041.0</v>
      </c>
      <c r="O1733" s="11">
        <v>45145.0</v>
      </c>
      <c r="P1733" s="11">
        <v>45191.0</v>
      </c>
      <c r="Q1733" s="11"/>
      <c r="R1733" s="11"/>
      <c r="S1733" s="12"/>
      <c r="T1733" s="8"/>
      <c r="U1733" s="8" t="s">
        <v>130</v>
      </c>
      <c r="V1733" s="13" t="s">
        <v>358</v>
      </c>
      <c r="W1733" s="13" t="s">
        <v>8672</v>
      </c>
      <c r="X1733" s="12"/>
      <c r="Y1733" s="14"/>
      <c r="Z1733" s="14"/>
    </row>
    <row r="1734">
      <c r="A1734" s="8" t="s">
        <v>8673</v>
      </c>
      <c r="B1734" s="8" t="s">
        <v>8674</v>
      </c>
      <c r="C1734" s="8" t="s">
        <v>179</v>
      </c>
      <c r="D1734" s="8" t="s">
        <v>26</v>
      </c>
      <c r="E1734" s="8" t="s">
        <v>8675</v>
      </c>
      <c r="F1734" s="8">
        <v>5.8039143E7</v>
      </c>
      <c r="G1734" s="8" t="s">
        <v>54</v>
      </c>
      <c r="H1734" s="8" t="s">
        <v>135</v>
      </c>
      <c r="I1734" s="8" t="s">
        <v>31</v>
      </c>
      <c r="J1734" s="8" t="s">
        <v>77</v>
      </c>
      <c r="K1734" s="10" t="s">
        <v>2417</v>
      </c>
      <c r="L1734" s="8" t="s">
        <v>58</v>
      </c>
      <c r="M1734" s="8" t="s">
        <v>35</v>
      </c>
      <c r="N1734" s="11">
        <v>45041.0</v>
      </c>
      <c r="O1734" s="11">
        <v>45152.0</v>
      </c>
      <c r="P1734" s="11">
        <v>45194.0</v>
      </c>
      <c r="Q1734" s="11"/>
      <c r="R1734" s="11"/>
      <c r="S1734" s="12"/>
      <c r="T1734" s="8"/>
      <c r="U1734" s="8" t="s">
        <v>59</v>
      </c>
      <c r="V1734" s="13" t="s">
        <v>8676</v>
      </c>
      <c r="W1734" s="13" t="s">
        <v>8677</v>
      </c>
      <c r="X1734" s="12"/>
      <c r="Y1734" s="14"/>
      <c r="Z1734" s="14"/>
    </row>
    <row r="1735">
      <c r="A1735" s="8" t="s">
        <v>8678</v>
      </c>
      <c r="B1735" s="8" t="s">
        <v>8679</v>
      </c>
      <c r="C1735" s="8" t="s">
        <v>64</v>
      </c>
      <c r="D1735" s="8" t="s">
        <v>26</v>
      </c>
      <c r="E1735" s="8" t="s">
        <v>8680</v>
      </c>
      <c r="F1735" s="8"/>
      <c r="G1735" s="8" t="s">
        <v>54</v>
      </c>
      <c r="H1735" s="8" t="s">
        <v>55</v>
      </c>
      <c r="I1735" s="8" t="s">
        <v>31</v>
      </c>
      <c r="J1735" s="8" t="s">
        <v>43</v>
      </c>
      <c r="K1735" s="10" t="s">
        <v>837</v>
      </c>
      <c r="L1735" s="8" t="s">
        <v>58</v>
      </c>
      <c r="M1735" s="8" t="s">
        <v>35</v>
      </c>
      <c r="N1735" s="11">
        <v>45041.0</v>
      </c>
      <c r="O1735" s="11">
        <v>45093.0</v>
      </c>
      <c r="P1735" s="11">
        <v>45135.0</v>
      </c>
      <c r="Q1735" s="11">
        <v>45093.0</v>
      </c>
      <c r="R1735" s="11">
        <v>45135.0</v>
      </c>
      <c r="S1735" s="12"/>
      <c r="T1735" s="8"/>
      <c r="U1735" s="8" t="s">
        <v>130</v>
      </c>
      <c r="V1735" s="13" t="s">
        <v>38</v>
      </c>
      <c r="W1735" s="13" t="s">
        <v>8681</v>
      </c>
      <c r="X1735" s="12"/>
      <c r="Y1735" s="14"/>
      <c r="Z1735" s="14"/>
    </row>
    <row r="1736">
      <c r="A1736" s="8" t="s">
        <v>8682</v>
      </c>
      <c r="B1736" s="8" t="s">
        <v>8683</v>
      </c>
      <c r="C1736" s="8" t="s">
        <v>25</v>
      </c>
      <c r="D1736" s="8" t="s">
        <v>26</v>
      </c>
      <c r="E1736" s="8" t="s">
        <v>8684</v>
      </c>
      <c r="F1736" s="8"/>
      <c r="G1736" s="8" t="s">
        <v>31</v>
      </c>
      <c r="H1736" s="8" t="s">
        <v>542</v>
      </c>
      <c r="I1736" s="8" t="s">
        <v>127</v>
      </c>
      <c r="J1736" s="8" t="s">
        <v>159</v>
      </c>
      <c r="K1736" s="10" t="s">
        <v>8685</v>
      </c>
      <c r="L1736" s="8" t="s">
        <v>58</v>
      </c>
      <c r="M1736" s="8" t="s">
        <v>35</v>
      </c>
      <c r="N1736" s="11">
        <v>45041.0</v>
      </c>
      <c r="O1736" s="11">
        <v>45110.0</v>
      </c>
      <c r="P1736" s="11">
        <v>45152.0</v>
      </c>
      <c r="Q1736" s="11">
        <v>45111.0</v>
      </c>
      <c r="R1736" s="11">
        <v>45152.0</v>
      </c>
      <c r="S1736" s="12"/>
      <c r="T1736" s="8"/>
      <c r="U1736" s="8" t="s">
        <v>161</v>
      </c>
      <c r="V1736" s="13" t="s">
        <v>38</v>
      </c>
      <c r="W1736" s="13" t="s">
        <v>8686</v>
      </c>
      <c r="X1736" s="12"/>
      <c r="Y1736" s="14"/>
      <c r="Z1736" s="14"/>
    </row>
    <row r="1737">
      <c r="A1737" s="8" t="s">
        <v>8687</v>
      </c>
      <c r="B1737" s="8" t="s">
        <v>8688</v>
      </c>
      <c r="C1737" s="8" t="s">
        <v>179</v>
      </c>
      <c r="D1737" s="8" t="s">
        <v>26</v>
      </c>
      <c r="E1737" s="8" t="s">
        <v>8689</v>
      </c>
      <c r="F1737" s="8">
        <v>6.11088069E8</v>
      </c>
      <c r="G1737" s="8" t="s">
        <v>221</v>
      </c>
      <c r="H1737" s="8" t="s">
        <v>3506</v>
      </c>
      <c r="I1737" s="8" t="s">
        <v>31</v>
      </c>
      <c r="J1737" s="8" t="s">
        <v>32</v>
      </c>
      <c r="K1737" s="10" t="s">
        <v>1451</v>
      </c>
      <c r="L1737" s="8" t="s">
        <v>58</v>
      </c>
      <c r="M1737" s="8" t="s">
        <v>35</v>
      </c>
      <c r="N1737" s="11">
        <v>45041.0</v>
      </c>
      <c r="O1737" s="11">
        <v>45165.0</v>
      </c>
      <c r="P1737" s="11">
        <v>45207.0</v>
      </c>
      <c r="Q1737" s="11"/>
      <c r="R1737" s="11"/>
      <c r="S1737" s="12"/>
      <c r="T1737" s="8"/>
      <c r="U1737" s="8" t="s">
        <v>59</v>
      </c>
      <c r="V1737" s="13" t="s">
        <v>3507</v>
      </c>
      <c r="W1737" s="13" t="s">
        <v>8690</v>
      </c>
      <c r="X1737" s="12"/>
      <c r="Y1737" s="14"/>
      <c r="Z1737" s="14"/>
    </row>
    <row r="1738">
      <c r="A1738" s="8" t="s">
        <v>8691</v>
      </c>
      <c r="B1738" s="8" t="s">
        <v>8692</v>
      </c>
      <c r="C1738" s="8" t="s">
        <v>179</v>
      </c>
      <c r="D1738" s="8" t="s">
        <v>26</v>
      </c>
      <c r="E1738" s="8" t="s">
        <v>8693</v>
      </c>
      <c r="F1738" s="8"/>
      <c r="G1738" s="8" t="s">
        <v>221</v>
      </c>
      <c r="H1738" s="8" t="s">
        <v>3001</v>
      </c>
      <c r="I1738" s="8" t="s">
        <v>31</v>
      </c>
      <c r="J1738" s="8" t="s">
        <v>32</v>
      </c>
      <c r="K1738" s="10" t="s">
        <v>8582</v>
      </c>
      <c r="L1738" s="8" t="s">
        <v>58</v>
      </c>
      <c r="M1738" s="8" t="s">
        <v>35</v>
      </c>
      <c r="N1738" s="11">
        <v>45041.0</v>
      </c>
      <c r="O1738" s="11">
        <v>45145.0</v>
      </c>
      <c r="P1738" s="11">
        <v>45187.0</v>
      </c>
      <c r="Q1738" s="11"/>
      <c r="R1738" s="11"/>
      <c r="S1738" s="12"/>
      <c r="T1738" s="8"/>
      <c r="U1738" s="8" t="s">
        <v>371</v>
      </c>
      <c r="V1738" s="13" t="s">
        <v>38</v>
      </c>
      <c r="W1738" s="13" t="s">
        <v>8694</v>
      </c>
      <c r="X1738" s="12"/>
      <c r="Y1738" s="14"/>
      <c r="Z1738" s="14"/>
    </row>
    <row r="1739">
      <c r="A1739" s="8" t="s">
        <v>8695</v>
      </c>
      <c r="B1739" s="8" t="s">
        <v>8696</v>
      </c>
      <c r="C1739" s="8" t="s">
        <v>25</v>
      </c>
      <c r="D1739" s="8" t="s">
        <v>26</v>
      </c>
      <c r="E1739" s="8" t="s">
        <v>8697</v>
      </c>
      <c r="F1739" s="8">
        <v>5.44214221E9</v>
      </c>
      <c r="G1739" s="8" t="s">
        <v>31</v>
      </c>
      <c r="H1739" s="8" t="s">
        <v>86</v>
      </c>
      <c r="I1739" s="8" t="s">
        <v>29</v>
      </c>
      <c r="J1739" s="8" t="s">
        <v>1107</v>
      </c>
      <c r="K1739" s="10" t="s">
        <v>8698</v>
      </c>
      <c r="L1739" s="8" t="s">
        <v>58</v>
      </c>
      <c r="M1739" s="8" t="s">
        <v>35</v>
      </c>
      <c r="N1739" s="11">
        <v>45041.0</v>
      </c>
      <c r="O1739" s="11">
        <v>45089.0</v>
      </c>
      <c r="P1739" s="11">
        <v>45131.0</v>
      </c>
      <c r="Q1739" s="11">
        <v>45088.0</v>
      </c>
      <c r="R1739" s="11">
        <v>45131.0</v>
      </c>
      <c r="S1739" s="12"/>
      <c r="T1739" s="8"/>
      <c r="U1739" s="8" t="s">
        <v>632</v>
      </c>
      <c r="V1739" s="13" t="s">
        <v>175</v>
      </c>
      <c r="W1739" s="13" t="s">
        <v>8699</v>
      </c>
      <c r="X1739" s="12"/>
      <c r="Y1739" s="14"/>
      <c r="Z1739" s="14"/>
    </row>
    <row r="1740">
      <c r="A1740" s="8" t="s">
        <v>8700</v>
      </c>
      <c r="B1740" s="8" t="s">
        <v>8701</v>
      </c>
      <c r="C1740" s="8" t="s">
        <v>25</v>
      </c>
      <c r="D1740" s="8" t="s">
        <v>26</v>
      </c>
      <c r="E1740" s="8" t="s">
        <v>8702</v>
      </c>
      <c r="F1740" s="8">
        <v>5.350242941E9</v>
      </c>
      <c r="G1740" s="8" t="s">
        <v>31</v>
      </c>
      <c r="H1740" s="8" t="s">
        <v>86</v>
      </c>
      <c r="I1740" s="8" t="s">
        <v>221</v>
      </c>
      <c r="J1740" s="8" t="s">
        <v>3001</v>
      </c>
      <c r="K1740" s="10" t="s">
        <v>8703</v>
      </c>
      <c r="L1740" s="8" t="s">
        <v>58</v>
      </c>
      <c r="M1740" s="8" t="s">
        <v>35</v>
      </c>
      <c r="N1740" s="11">
        <v>45041.0</v>
      </c>
      <c r="O1740" s="11">
        <v>45071.0</v>
      </c>
      <c r="P1740" s="11">
        <v>45113.0</v>
      </c>
      <c r="Q1740" s="11">
        <v>45074.0</v>
      </c>
      <c r="R1740" s="11">
        <v>45114.0</v>
      </c>
      <c r="S1740" s="12"/>
      <c r="T1740" s="8"/>
      <c r="U1740" s="8" t="s">
        <v>88</v>
      </c>
      <c r="V1740" s="13" t="s">
        <v>175</v>
      </c>
      <c r="W1740" s="13" t="s">
        <v>8704</v>
      </c>
      <c r="X1740" s="12"/>
      <c r="Y1740" s="14"/>
      <c r="Z1740" s="14"/>
    </row>
    <row r="1741">
      <c r="A1741" s="8" t="s">
        <v>8705</v>
      </c>
      <c r="B1741" s="8" t="s">
        <v>8706</v>
      </c>
      <c r="C1741" s="8" t="s">
        <v>25</v>
      </c>
      <c r="D1741" s="8" t="s">
        <v>26</v>
      </c>
      <c r="E1741" s="8" t="s">
        <v>8707</v>
      </c>
      <c r="F1741" s="8">
        <v>9.36745393E8</v>
      </c>
      <c r="G1741" s="8" t="s">
        <v>118</v>
      </c>
      <c r="H1741" s="8" t="s">
        <v>119</v>
      </c>
      <c r="I1741" s="8" t="s">
        <v>31</v>
      </c>
      <c r="J1741" s="8" t="s">
        <v>86</v>
      </c>
      <c r="K1741" s="10" t="s">
        <v>7325</v>
      </c>
      <c r="L1741" s="8" t="s">
        <v>58</v>
      </c>
      <c r="M1741" s="8" t="s">
        <v>35</v>
      </c>
      <c r="N1741" s="11">
        <v>45041.0</v>
      </c>
      <c r="O1741" s="11">
        <v>45133.0</v>
      </c>
      <c r="P1741" s="11">
        <v>45175.0</v>
      </c>
      <c r="Q1741" s="11">
        <v>45133.0</v>
      </c>
      <c r="R1741" s="11">
        <v>45175.0</v>
      </c>
      <c r="S1741" s="12"/>
      <c r="T1741" s="8"/>
      <c r="U1741" s="8" t="s">
        <v>59</v>
      </c>
      <c r="V1741" s="13" t="s">
        <v>8708</v>
      </c>
      <c r="W1741" s="13" t="s">
        <v>8709</v>
      </c>
      <c r="X1741" s="12"/>
      <c r="Y1741" s="14"/>
      <c r="Z1741" s="14"/>
    </row>
    <row r="1742">
      <c r="A1742" s="8" t="s">
        <v>8710</v>
      </c>
      <c r="B1742" s="8" t="s">
        <v>8711</v>
      </c>
      <c r="C1742" s="8" t="s">
        <v>179</v>
      </c>
      <c r="D1742" s="8" t="s">
        <v>26</v>
      </c>
      <c r="E1742" s="8" t="s">
        <v>8712</v>
      </c>
      <c r="F1742" s="8">
        <v>5.338223225E9</v>
      </c>
      <c r="G1742" s="8" t="s">
        <v>31</v>
      </c>
      <c r="H1742" s="8" t="s">
        <v>959</v>
      </c>
      <c r="I1742" s="8" t="s">
        <v>202</v>
      </c>
      <c r="J1742" s="8" t="s">
        <v>8713</v>
      </c>
      <c r="K1742" s="10" t="s">
        <v>8714</v>
      </c>
      <c r="L1742" s="8" t="s">
        <v>34</v>
      </c>
      <c r="M1742" s="8" t="s">
        <v>70</v>
      </c>
      <c r="N1742" s="11">
        <v>45041.0</v>
      </c>
      <c r="O1742" s="11">
        <v>45108.0</v>
      </c>
      <c r="P1742" s="11">
        <v>45473.0</v>
      </c>
      <c r="Q1742" s="11"/>
      <c r="R1742" s="11"/>
      <c r="S1742" s="12"/>
      <c r="T1742" s="8" t="s">
        <v>224</v>
      </c>
      <c r="U1742" s="8" t="s">
        <v>8715</v>
      </c>
      <c r="V1742" s="13" t="s">
        <v>1069</v>
      </c>
      <c r="W1742" s="13" t="s">
        <v>8716</v>
      </c>
      <c r="X1742" s="12"/>
      <c r="Y1742" s="14"/>
      <c r="Z1742" s="14"/>
    </row>
    <row r="1743">
      <c r="A1743" s="8" t="s">
        <v>8717</v>
      </c>
      <c r="B1743" s="8" t="s">
        <v>8718</v>
      </c>
      <c r="C1743" s="8" t="s">
        <v>25</v>
      </c>
      <c r="D1743" s="8" t="s">
        <v>26</v>
      </c>
      <c r="E1743" s="8" t="s">
        <v>8719</v>
      </c>
      <c r="F1743" s="8"/>
      <c r="G1743" s="8" t="s">
        <v>54</v>
      </c>
      <c r="H1743" s="8" t="s">
        <v>135</v>
      </c>
      <c r="I1743" s="8" t="s">
        <v>31</v>
      </c>
      <c r="J1743" s="8" t="s">
        <v>136</v>
      </c>
      <c r="K1743" s="10" t="s">
        <v>5299</v>
      </c>
      <c r="L1743" s="8" t="s">
        <v>58</v>
      </c>
      <c r="M1743" s="8" t="s">
        <v>35</v>
      </c>
      <c r="N1743" s="11">
        <v>45042.0</v>
      </c>
      <c r="O1743" s="11">
        <v>45082.0</v>
      </c>
      <c r="P1743" s="11">
        <v>45124.0</v>
      </c>
      <c r="Q1743" s="11">
        <v>45084.0</v>
      </c>
      <c r="R1743" s="11">
        <v>45124.0</v>
      </c>
      <c r="S1743" s="12"/>
      <c r="T1743" s="8"/>
      <c r="U1743" s="8" t="s">
        <v>59</v>
      </c>
      <c r="V1743" s="13" t="s">
        <v>138</v>
      </c>
      <c r="W1743" s="13" t="s">
        <v>8720</v>
      </c>
      <c r="X1743" s="12"/>
      <c r="Y1743" s="14"/>
      <c r="Z1743" s="14"/>
    </row>
    <row r="1744">
      <c r="A1744" s="8" t="s">
        <v>8721</v>
      </c>
      <c r="B1744" s="8" t="s">
        <v>8722</v>
      </c>
      <c r="C1744" s="8" t="s">
        <v>179</v>
      </c>
      <c r="D1744" s="8" t="s">
        <v>26</v>
      </c>
      <c r="E1744" s="8" t="s">
        <v>8723</v>
      </c>
      <c r="F1744" s="8">
        <v>1.228778555E9</v>
      </c>
      <c r="G1744" s="8" t="s">
        <v>284</v>
      </c>
      <c r="H1744" s="8" t="s">
        <v>5202</v>
      </c>
      <c r="I1744" s="8" t="s">
        <v>31</v>
      </c>
      <c r="J1744" s="8" t="s">
        <v>292</v>
      </c>
      <c r="K1744" s="10" t="s">
        <v>8724</v>
      </c>
      <c r="L1744" s="8" t="s">
        <v>58</v>
      </c>
      <c r="M1744" s="8" t="s">
        <v>35</v>
      </c>
      <c r="N1744" s="11">
        <v>45042.0</v>
      </c>
      <c r="O1744" s="11">
        <v>45110.0</v>
      </c>
      <c r="P1744" s="11">
        <v>45152.0</v>
      </c>
      <c r="Q1744" s="11"/>
      <c r="R1744" s="11"/>
      <c r="S1744" s="12"/>
      <c r="T1744" s="8"/>
      <c r="U1744" s="8" t="s">
        <v>88</v>
      </c>
      <c r="V1744" s="13" t="s">
        <v>5669</v>
      </c>
      <c r="W1744" s="13" t="s">
        <v>8725</v>
      </c>
      <c r="X1744" s="12"/>
      <c r="Y1744" s="14"/>
      <c r="Z1744" s="14"/>
    </row>
    <row r="1745">
      <c r="A1745" s="8" t="s">
        <v>8726</v>
      </c>
      <c r="B1745" s="8" t="s">
        <v>8727</v>
      </c>
      <c r="C1745" s="8" t="s">
        <v>179</v>
      </c>
      <c r="D1745" s="8" t="s">
        <v>26</v>
      </c>
      <c r="E1745" s="8" t="s">
        <v>8728</v>
      </c>
      <c r="F1745" s="9" t="s">
        <v>8729</v>
      </c>
      <c r="G1745" s="8" t="s">
        <v>284</v>
      </c>
      <c r="H1745" s="8" t="s">
        <v>793</v>
      </c>
      <c r="I1745" s="8" t="s">
        <v>31</v>
      </c>
      <c r="J1745" s="8" t="s">
        <v>136</v>
      </c>
      <c r="K1745" s="10" t="s">
        <v>2354</v>
      </c>
      <c r="L1745" s="8" t="s">
        <v>58</v>
      </c>
      <c r="M1745" s="8" t="s">
        <v>35</v>
      </c>
      <c r="N1745" s="11">
        <v>45042.0</v>
      </c>
      <c r="O1745" s="11">
        <v>45425.0</v>
      </c>
      <c r="P1745" s="11">
        <v>45467.0</v>
      </c>
      <c r="Q1745" s="11"/>
      <c r="R1745" s="11"/>
      <c r="S1745" s="12"/>
      <c r="T1745" s="8"/>
      <c r="U1745" s="8" t="s">
        <v>59</v>
      </c>
      <c r="V1745" s="13" t="s">
        <v>793</v>
      </c>
      <c r="W1745" s="13" t="s">
        <v>8730</v>
      </c>
      <c r="X1745" s="12"/>
      <c r="Y1745" s="14"/>
      <c r="Z1745" s="14"/>
    </row>
    <row r="1746">
      <c r="A1746" s="8" t="s">
        <v>8731</v>
      </c>
      <c r="B1746" s="8" t="s">
        <v>8732</v>
      </c>
      <c r="C1746" s="8" t="s">
        <v>25</v>
      </c>
      <c r="D1746" s="8" t="s">
        <v>26</v>
      </c>
      <c r="E1746" s="8" t="s">
        <v>8733</v>
      </c>
      <c r="F1746" s="8">
        <v>5.524534492E9</v>
      </c>
      <c r="G1746" s="8" t="s">
        <v>31</v>
      </c>
      <c r="H1746" s="8" t="s">
        <v>86</v>
      </c>
      <c r="I1746" s="8" t="s">
        <v>284</v>
      </c>
      <c r="J1746" s="8" t="s">
        <v>589</v>
      </c>
      <c r="K1746" s="10" t="s">
        <v>8734</v>
      </c>
      <c r="L1746" s="8" t="s">
        <v>58</v>
      </c>
      <c r="M1746" s="8" t="s">
        <v>35</v>
      </c>
      <c r="N1746" s="11">
        <v>45042.0</v>
      </c>
      <c r="O1746" s="11">
        <v>45122.0</v>
      </c>
      <c r="P1746" s="11">
        <v>45164.0</v>
      </c>
      <c r="Q1746" s="11">
        <v>45122.0</v>
      </c>
      <c r="R1746" s="11">
        <v>45164.0</v>
      </c>
      <c r="S1746" s="12"/>
      <c r="T1746" s="8"/>
      <c r="U1746" s="8" t="s">
        <v>59</v>
      </c>
      <c r="V1746" s="13" t="s">
        <v>175</v>
      </c>
      <c r="W1746" s="13" t="s">
        <v>8735</v>
      </c>
      <c r="X1746" s="12"/>
      <c r="Y1746" s="14"/>
      <c r="Z1746" s="14"/>
    </row>
    <row r="1747">
      <c r="A1747" s="8" t="s">
        <v>8736</v>
      </c>
      <c r="B1747" s="8" t="s">
        <v>8737</v>
      </c>
      <c r="C1747" s="8" t="s">
        <v>25</v>
      </c>
      <c r="D1747" s="8" t="s">
        <v>26</v>
      </c>
      <c r="E1747" s="8" t="s">
        <v>8738</v>
      </c>
      <c r="F1747" s="8">
        <v>5.45341574E9</v>
      </c>
      <c r="G1747" s="8" t="s">
        <v>31</v>
      </c>
      <c r="H1747" s="8" t="s">
        <v>1274</v>
      </c>
      <c r="I1747" s="8" t="s">
        <v>221</v>
      </c>
      <c r="J1747" s="8" t="s">
        <v>1254</v>
      </c>
      <c r="K1747" s="10" t="s">
        <v>8317</v>
      </c>
      <c r="L1747" s="8" t="s">
        <v>58</v>
      </c>
      <c r="M1747" s="8" t="s">
        <v>35</v>
      </c>
      <c r="N1747" s="11">
        <v>45042.0</v>
      </c>
      <c r="O1747" s="11">
        <v>45089.0</v>
      </c>
      <c r="P1747" s="11">
        <v>45131.0</v>
      </c>
      <c r="Q1747" s="11">
        <v>45098.0</v>
      </c>
      <c r="R1747" s="11">
        <v>45138.0</v>
      </c>
      <c r="S1747" s="12"/>
      <c r="T1747" s="8"/>
      <c r="U1747" s="8" t="s">
        <v>88</v>
      </c>
      <c r="V1747" s="13" t="s">
        <v>1274</v>
      </c>
      <c r="W1747" s="13" t="s">
        <v>8739</v>
      </c>
      <c r="X1747" s="12"/>
      <c r="Y1747" s="14"/>
      <c r="Z1747" s="14"/>
    </row>
    <row r="1748">
      <c r="A1748" s="8" t="s">
        <v>8740</v>
      </c>
      <c r="B1748" s="8" t="s">
        <v>8741</v>
      </c>
      <c r="C1748" s="8" t="s">
        <v>179</v>
      </c>
      <c r="D1748" s="8" t="s">
        <v>26</v>
      </c>
      <c r="E1748" s="8" t="s">
        <v>8742</v>
      </c>
      <c r="F1748" s="8">
        <v>5.338489489E9</v>
      </c>
      <c r="G1748" s="8" t="s">
        <v>31</v>
      </c>
      <c r="H1748" s="8" t="s">
        <v>43</v>
      </c>
      <c r="I1748" s="8" t="s">
        <v>284</v>
      </c>
      <c r="J1748" s="8" t="s">
        <v>793</v>
      </c>
      <c r="K1748" s="10" t="s">
        <v>8743</v>
      </c>
      <c r="L1748" s="8" t="s">
        <v>58</v>
      </c>
      <c r="M1748" s="8" t="s">
        <v>35</v>
      </c>
      <c r="N1748" s="11">
        <v>45042.0</v>
      </c>
      <c r="O1748" s="11">
        <v>45152.0</v>
      </c>
      <c r="P1748" s="11">
        <v>45194.0</v>
      </c>
      <c r="Q1748" s="11"/>
      <c r="R1748" s="11"/>
      <c r="S1748" s="12"/>
      <c r="T1748" s="8"/>
      <c r="U1748" s="8" t="s">
        <v>1590</v>
      </c>
      <c r="V1748" s="13" t="s">
        <v>1069</v>
      </c>
      <c r="W1748" s="13" t="s">
        <v>8744</v>
      </c>
      <c r="X1748" s="12"/>
      <c r="Y1748" s="14"/>
      <c r="Z1748" s="14"/>
    </row>
    <row r="1749">
      <c r="A1749" s="8" t="s">
        <v>8745</v>
      </c>
      <c r="B1749" s="8" t="s">
        <v>8746</v>
      </c>
      <c r="C1749" s="8" t="s">
        <v>179</v>
      </c>
      <c r="D1749" s="8" t="s">
        <v>26</v>
      </c>
      <c r="E1749" s="8" t="s">
        <v>8747</v>
      </c>
      <c r="F1749" s="8"/>
      <c r="G1749" s="8" t="s">
        <v>284</v>
      </c>
      <c r="H1749" s="8" t="s">
        <v>2065</v>
      </c>
      <c r="I1749" s="8" t="s">
        <v>31</v>
      </c>
      <c r="J1749" s="8" t="s">
        <v>438</v>
      </c>
      <c r="K1749" s="10" t="s">
        <v>8748</v>
      </c>
      <c r="L1749" s="8" t="s">
        <v>58</v>
      </c>
      <c r="M1749" s="8" t="s">
        <v>35</v>
      </c>
      <c r="N1749" s="11">
        <v>45042.0</v>
      </c>
      <c r="O1749" s="11">
        <v>45180.0</v>
      </c>
      <c r="P1749" s="11">
        <v>45222.0</v>
      </c>
      <c r="Q1749" s="11"/>
      <c r="R1749" s="11"/>
      <c r="S1749" s="12"/>
      <c r="T1749" s="8"/>
      <c r="U1749" s="8" t="s">
        <v>59</v>
      </c>
      <c r="V1749" s="13" t="s">
        <v>38</v>
      </c>
      <c r="W1749" s="13" t="s">
        <v>8749</v>
      </c>
      <c r="X1749" s="12"/>
      <c r="Y1749" s="14"/>
      <c r="Z1749" s="14"/>
    </row>
    <row r="1750">
      <c r="A1750" s="8" t="s">
        <v>8750</v>
      </c>
      <c r="B1750" s="8" t="s">
        <v>8751</v>
      </c>
      <c r="C1750" s="8" t="s">
        <v>25</v>
      </c>
      <c r="D1750" s="8" t="s">
        <v>26</v>
      </c>
      <c r="E1750" s="8" t="s">
        <v>8752</v>
      </c>
      <c r="F1750" s="8">
        <v>5.53744211E9</v>
      </c>
      <c r="G1750" s="8" t="s">
        <v>31</v>
      </c>
      <c r="H1750" s="8" t="s">
        <v>111</v>
      </c>
      <c r="I1750" s="8" t="s">
        <v>284</v>
      </c>
      <c r="J1750" s="8" t="s">
        <v>793</v>
      </c>
      <c r="K1750" s="10" t="s">
        <v>8753</v>
      </c>
      <c r="L1750" s="8" t="s">
        <v>47</v>
      </c>
      <c r="M1750" s="8" t="s">
        <v>35</v>
      </c>
      <c r="N1750" s="11">
        <v>45042.0</v>
      </c>
      <c r="O1750" s="11">
        <v>45189.0</v>
      </c>
      <c r="P1750" s="11">
        <v>45272.0</v>
      </c>
      <c r="Q1750" s="11">
        <v>45194.0</v>
      </c>
      <c r="R1750" s="11">
        <v>45277.0</v>
      </c>
      <c r="S1750" s="12"/>
      <c r="T1750" s="8"/>
      <c r="U1750" s="8" t="s">
        <v>8754</v>
      </c>
      <c r="V1750" s="13" t="s">
        <v>111</v>
      </c>
      <c r="W1750" s="13" t="s">
        <v>8755</v>
      </c>
      <c r="X1750" s="12"/>
      <c r="Y1750" s="14"/>
      <c r="Z1750" s="14"/>
    </row>
    <row r="1751">
      <c r="A1751" s="8" t="s">
        <v>8756</v>
      </c>
      <c r="B1751" s="8" t="s">
        <v>8757</v>
      </c>
      <c r="C1751" s="8" t="s">
        <v>25</v>
      </c>
      <c r="D1751" s="8" t="s">
        <v>26</v>
      </c>
      <c r="E1751" s="8" t="s">
        <v>8758</v>
      </c>
      <c r="F1751" s="8">
        <v>5.522427941E9</v>
      </c>
      <c r="G1751" s="8" t="s">
        <v>31</v>
      </c>
      <c r="H1751" s="8" t="s">
        <v>56</v>
      </c>
      <c r="I1751" s="8" t="s">
        <v>195</v>
      </c>
      <c r="J1751" s="8" t="s">
        <v>6512</v>
      </c>
      <c r="K1751" s="10" t="s">
        <v>6513</v>
      </c>
      <c r="L1751" s="8" t="s">
        <v>58</v>
      </c>
      <c r="M1751" s="8" t="s">
        <v>35</v>
      </c>
      <c r="N1751" s="11">
        <v>45042.0</v>
      </c>
      <c r="O1751" s="11">
        <v>45101.0</v>
      </c>
      <c r="P1751" s="11">
        <v>45143.0</v>
      </c>
      <c r="Q1751" s="11">
        <v>45103.0</v>
      </c>
      <c r="R1751" s="11">
        <v>45143.0</v>
      </c>
      <c r="S1751" s="12"/>
      <c r="T1751" s="8"/>
      <c r="U1751" s="8" t="s">
        <v>3111</v>
      </c>
      <c r="V1751" s="13" t="s">
        <v>77</v>
      </c>
      <c r="W1751" s="13" t="s">
        <v>8759</v>
      </c>
      <c r="X1751" s="12"/>
      <c r="Y1751" s="14"/>
      <c r="Z1751" s="14"/>
    </row>
    <row r="1752">
      <c r="A1752" s="8" t="s">
        <v>8760</v>
      </c>
      <c r="B1752" s="8" t="s">
        <v>8761</v>
      </c>
      <c r="C1752" s="8" t="s">
        <v>25</v>
      </c>
      <c r="D1752" s="8" t="s">
        <v>26</v>
      </c>
      <c r="E1752" s="8" t="s">
        <v>8762</v>
      </c>
      <c r="F1752" s="8">
        <v>2.744953E7</v>
      </c>
      <c r="G1752" s="8" t="s">
        <v>54</v>
      </c>
      <c r="H1752" s="8" t="s">
        <v>369</v>
      </c>
      <c r="I1752" s="8" t="s">
        <v>31</v>
      </c>
      <c r="J1752" s="8" t="s">
        <v>77</v>
      </c>
      <c r="K1752" s="10" t="s">
        <v>8136</v>
      </c>
      <c r="L1752" s="8" t="s">
        <v>58</v>
      </c>
      <c r="M1752" s="8" t="s">
        <v>35</v>
      </c>
      <c r="N1752" s="11">
        <v>45042.0</v>
      </c>
      <c r="O1752" s="11">
        <v>45139.0</v>
      </c>
      <c r="P1752" s="11">
        <v>45181.0</v>
      </c>
      <c r="Q1752" s="11">
        <v>45139.0</v>
      </c>
      <c r="R1752" s="11">
        <v>45181.0</v>
      </c>
      <c r="S1752" s="12"/>
      <c r="T1752" s="8"/>
      <c r="U1752" s="8" t="s">
        <v>59</v>
      </c>
      <c r="V1752" s="13" t="s">
        <v>1671</v>
      </c>
      <c r="W1752" s="13" t="s">
        <v>8763</v>
      </c>
      <c r="X1752" s="12"/>
      <c r="Y1752" s="14"/>
      <c r="Z1752" s="14"/>
    </row>
    <row r="1753">
      <c r="A1753" s="8" t="s">
        <v>8764</v>
      </c>
      <c r="B1753" s="8" t="s">
        <v>8765</v>
      </c>
      <c r="C1753" s="8" t="s">
        <v>64</v>
      </c>
      <c r="D1753" s="8" t="s">
        <v>26</v>
      </c>
      <c r="E1753" s="8" t="s">
        <v>8766</v>
      </c>
      <c r="F1753" s="8">
        <v>5.511671064E9</v>
      </c>
      <c r="G1753" s="8" t="s">
        <v>31</v>
      </c>
      <c r="H1753" s="8" t="s">
        <v>102</v>
      </c>
      <c r="I1753" s="8" t="s">
        <v>399</v>
      </c>
      <c r="J1753" s="8" t="s">
        <v>4868</v>
      </c>
      <c r="K1753" s="10" t="s">
        <v>8767</v>
      </c>
      <c r="L1753" s="8" t="s">
        <v>58</v>
      </c>
      <c r="M1753" s="8" t="s">
        <v>35</v>
      </c>
      <c r="N1753" s="11">
        <v>45042.0</v>
      </c>
      <c r="O1753" s="11">
        <v>45243.0</v>
      </c>
      <c r="P1753" s="11">
        <v>45285.0</v>
      </c>
      <c r="Q1753" s="11">
        <v>45245.0</v>
      </c>
      <c r="R1753" s="11">
        <v>45285.0</v>
      </c>
      <c r="S1753" s="12"/>
      <c r="T1753" s="8"/>
      <c r="U1753" s="8" t="s">
        <v>371</v>
      </c>
      <c r="V1753" s="13" t="s">
        <v>102</v>
      </c>
      <c r="W1753" s="13" t="s">
        <v>8768</v>
      </c>
      <c r="X1753" s="12"/>
      <c r="Y1753" s="14"/>
      <c r="Z1753" s="14"/>
    </row>
    <row r="1754">
      <c r="A1754" s="8" t="s">
        <v>8769</v>
      </c>
      <c r="B1754" s="8" t="s">
        <v>8770</v>
      </c>
      <c r="C1754" s="8" t="s">
        <v>708</v>
      </c>
      <c r="D1754" s="8" t="s">
        <v>26</v>
      </c>
      <c r="E1754" s="8" t="s">
        <v>8771</v>
      </c>
      <c r="F1754" s="8" t="s">
        <v>8772</v>
      </c>
      <c r="G1754" s="8" t="s">
        <v>54</v>
      </c>
      <c r="H1754" s="8" t="s">
        <v>76</v>
      </c>
      <c r="I1754" s="8" t="s">
        <v>31</v>
      </c>
      <c r="J1754" s="8" t="s">
        <v>292</v>
      </c>
      <c r="K1754" s="10" t="s">
        <v>1260</v>
      </c>
      <c r="L1754" s="8" t="s">
        <v>47</v>
      </c>
      <c r="M1754" s="8" t="s">
        <v>70</v>
      </c>
      <c r="N1754" s="11">
        <v>45042.0</v>
      </c>
      <c r="O1754" s="11">
        <v>45158.0</v>
      </c>
      <c r="P1754" s="11">
        <v>45524.0</v>
      </c>
      <c r="Q1754" s="11">
        <v>45176.0</v>
      </c>
      <c r="R1754" s="11">
        <v>45540.0</v>
      </c>
      <c r="S1754" s="12"/>
      <c r="T1754" s="8"/>
      <c r="U1754" s="8" t="s">
        <v>1261</v>
      </c>
      <c r="V1754" s="13" t="s">
        <v>8773</v>
      </c>
      <c r="W1754" s="13" t="s">
        <v>8774</v>
      </c>
      <c r="X1754" s="12"/>
      <c r="Y1754" s="14"/>
      <c r="Z1754" s="14"/>
    </row>
    <row r="1755">
      <c r="A1755" s="8" t="s">
        <v>8775</v>
      </c>
      <c r="B1755" s="8" t="s">
        <v>8776</v>
      </c>
      <c r="C1755" s="8" t="s">
        <v>179</v>
      </c>
      <c r="D1755" s="8" t="s">
        <v>26</v>
      </c>
      <c r="E1755" s="8" t="s">
        <v>8777</v>
      </c>
      <c r="F1755" s="8">
        <v>3.357707704E9</v>
      </c>
      <c r="G1755" s="8" t="s">
        <v>315</v>
      </c>
      <c r="H1755" s="8" t="s">
        <v>6834</v>
      </c>
      <c r="I1755" s="8" t="s">
        <v>31</v>
      </c>
      <c r="J1755" s="8" t="s">
        <v>32</v>
      </c>
      <c r="K1755" s="10" t="s">
        <v>8166</v>
      </c>
      <c r="L1755" s="8" t="s">
        <v>58</v>
      </c>
      <c r="M1755" s="8" t="s">
        <v>35</v>
      </c>
      <c r="N1755" s="11">
        <v>45042.0</v>
      </c>
      <c r="O1755" s="11">
        <v>45103.0</v>
      </c>
      <c r="P1755" s="11">
        <v>45145.0</v>
      </c>
      <c r="Q1755" s="11"/>
      <c r="R1755" s="11"/>
      <c r="S1755" s="12"/>
      <c r="T1755" s="8"/>
      <c r="U1755" s="8" t="s">
        <v>371</v>
      </c>
      <c r="V1755" s="13" t="s">
        <v>6835</v>
      </c>
      <c r="W1755" s="13" t="s">
        <v>8778</v>
      </c>
      <c r="X1755" s="12"/>
      <c r="Y1755" s="14"/>
      <c r="Z1755" s="14"/>
    </row>
    <row r="1756">
      <c r="A1756" s="8" t="s">
        <v>8779</v>
      </c>
      <c r="B1756" s="8" t="s">
        <v>8780</v>
      </c>
      <c r="C1756" s="8" t="s">
        <v>25</v>
      </c>
      <c r="D1756" s="8" t="s">
        <v>26</v>
      </c>
      <c r="E1756" s="8" t="s">
        <v>8781</v>
      </c>
      <c r="F1756" s="8"/>
      <c r="G1756" s="8" t="s">
        <v>31</v>
      </c>
      <c r="H1756" s="8" t="s">
        <v>56</v>
      </c>
      <c r="I1756" s="8" t="s">
        <v>127</v>
      </c>
      <c r="J1756" s="8" t="s">
        <v>1628</v>
      </c>
      <c r="K1756" s="10" t="s">
        <v>8782</v>
      </c>
      <c r="L1756" s="8" t="s">
        <v>58</v>
      </c>
      <c r="M1756" s="8" t="s">
        <v>35</v>
      </c>
      <c r="N1756" s="11">
        <v>45042.0</v>
      </c>
      <c r="O1756" s="11">
        <v>45047.0</v>
      </c>
      <c r="P1756" s="11">
        <v>45089.0</v>
      </c>
      <c r="Q1756" s="11">
        <v>45053.0</v>
      </c>
      <c r="R1756" s="11">
        <v>45095.0</v>
      </c>
      <c r="S1756" s="12"/>
      <c r="T1756" s="8"/>
      <c r="U1756" s="8" t="s">
        <v>88</v>
      </c>
      <c r="V1756" s="13" t="s">
        <v>38</v>
      </c>
      <c r="W1756" s="13" t="s">
        <v>8783</v>
      </c>
      <c r="X1756" s="12"/>
      <c r="Y1756" s="14"/>
      <c r="Z1756" s="14"/>
    </row>
    <row r="1757">
      <c r="A1757" s="8" t="s">
        <v>8784</v>
      </c>
      <c r="B1757" s="8" t="s">
        <v>8785</v>
      </c>
      <c r="C1757" s="8" t="s">
        <v>179</v>
      </c>
      <c r="D1757" s="8" t="s">
        <v>26</v>
      </c>
      <c r="E1757" s="8" t="s">
        <v>8786</v>
      </c>
      <c r="F1757" s="8">
        <v>2.9540935E7</v>
      </c>
      <c r="G1757" s="8" t="s">
        <v>54</v>
      </c>
      <c r="H1757" s="8" t="s">
        <v>135</v>
      </c>
      <c r="I1757" s="8" t="s">
        <v>31</v>
      </c>
      <c r="J1757" s="8" t="s">
        <v>77</v>
      </c>
      <c r="K1757" s="10" t="s">
        <v>2417</v>
      </c>
      <c r="L1757" s="8" t="s">
        <v>58</v>
      </c>
      <c r="M1757" s="8" t="s">
        <v>35</v>
      </c>
      <c r="N1757" s="11">
        <v>45043.0</v>
      </c>
      <c r="O1757" s="11">
        <v>45152.0</v>
      </c>
      <c r="P1757" s="11">
        <v>45194.0</v>
      </c>
      <c r="Q1757" s="11"/>
      <c r="R1757" s="11"/>
      <c r="S1757" s="12"/>
      <c r="T1757" s="8"/>
      <c r="U1757" s="8" t="s">
        <v>59</v>
      </c>
      <c r="V1757" s="13" t="s">
        <v>8676</v>
      </c>
      <c r="W1757" s="13" t="s">
        <v>8787</v>
      </c>
      <c r="X1757" s="12"/>
      <c r="Y1757" s="14"/>
      <c r="Z1757" s="14"/>
    </row>
    <row r="1758">
      <c r="A1758" s="8" t="s">
        <v>8788</v>
      </c>
      <c r="B1758" s="8" t="s">
        <v>8789</v>
      </c>
      <c r="C1758" s="8" t="s">
        <v>25</v>
      </c>
      <c r="D1758" s="8" t="s">
        <v>26</v>
      </c>
      <c r="E1758" s="8" t="s">
        <v>8790</v>
      </c>
      <c r="F1758" s="8"/>
      <c r="G1758" s="8" t="s">
        <v>54</v>
      </c>
      <c r="H1758" s="8" t="s">
        <v>377</v>
      </c>
      <c r="I1758" s="8" t="s">
        <v>31</v>
      </c>
      <c r="J1758" s="8" t="s">
        <v>32</v>
      </c>
      <c r="K1758" s="10" t="s">
        <v>2470</v>
      </c>
      <c r="L1758" s="8" t="s">
        <v>58</v>
      </c>
      <c r="M1758" s="8" t="s">
        <v>35</v>
      </c>
      <c r="N1758" s="11">
        <v>45043.0</v>
      </c>
      <c r="O1758" s="11">
        <v>45088.0</v>
      </c>
      <c r="P1758" s="11">
        <v>45130.0</v>
      </c>
      <c r="Q1758" s="11">
        <v>45089.0</v>
      </c>
      <c r="R1758" s="11">
        <v>45131.0</v>
      </c>
      <c r="S1758" s="12"/>
      <c r="T1758" s="8"/>
      <c r="U1758" s="8" t="s">
        <v>59</v>
      </c>
      <c r="V1758" s="13" t="s">
        <v>2151</v>
      </c>
      <c r="W1758" s="13" t="s">
        <v>8791</v>
      </c>
      <c r="X1758" s="12"/>
      <c r="Y1758" s="14"/>
      <c r="Z1758" s="14"/>
    </row>
    <row r="1759">
      <c r="A1759" s="8" t="s">
        <v>8792</v>
      </c>
      <c r="B1759" s="8" t="s">
        <v>8793</v>
      </c>
      <c r="C1759" s="8" t="s">
        <v>708</v>
      </c>
      <c r="D1759" s="8" t="s">
        <v>26</v>
      </c>
      <c r="E1759" s="8" t="s">
        <v>8794</v>
      </c>
      <c r="F1759" s="8">
        <v>5.42755313E8</v>
      </c>
      <c r="G1759" s="8" t="s">
        <v>254</v>
      </c>
      <c r="H1759" s="8" t="s">
        <v>255</v>
      </c>
      <c r="I1759" s="8" t="s">
        <v>31</v>
      </c>
      <c r="J1759" s="8" t="s">
        <v>77</v>
      </c>
      <c r="K1759" s="10" t="s">
        <v>8795</v>
      </c>
      <c r="L1759" s="8" t="s">
        <v>47</v>
      </c>
      <c r="M1759" s="8" t="s">
        <v>70</v>
      </c>
      <c r="N1759" s="11">
        <v>45043.0</v>
      </c>
      <c r="O1759" s="11">
        <v>45170.0</v>
      </c>
      <c r="P1759" s="11">
        <v>45535.0</v>
      </c>
      <c r="Q1759" s="11">
        <v>45169.0</v>
      </c>
      <c r="R1759" s="11">
        <v>45538.0</v>
      </c>
      <c r="S1759" s="12"/>
      <c r="T1759" s="8"/>
      <c r="U1759" s="8" t="s">
        <v>8796</v>
      </c>
      <c r="V1759" s="13" t="s">
        <v>258</v>
      </c>
      <c r="W1759" s="13" t="s">
        <v>8797</v>
      </c>
      <c r="X1759" s="12"/>
      <c r="Y1759" s="14"/>
      <c r="Z1759" s="14"/>
    </row>
    <row r="1760">
      <c r="A1760" s="8" t="s">
        <v>8798</v>
      </c>
      <c r="B1760" s="8" t="s">
        <v>8799</v>
      </c>
      <c r="C1760" s="8" t="s">
        <v>179</v>
      </c>
      <c r="D1760" s="8" t="s">
        <v>26</v>
      </c>
      <c r="E1760" s="8" t="s">
        <v>8800</v>
      </c>
      <c r="F1760" s="8">
        <v>1.0227197E9</v>
      </c>
      <c r="G1760" s="8" t="s">
        <v>284</v>
      </c>
      <c r="H1760" s="8" t="s">
        <v>854</v>
      </c>
      <c r="I1760" s="8" t="s">
        <v>31</v>
      </c>
      <c r="J1760" s="8" t="s">
        <v>77</v>
      </c>
      <c r="K1760" s="10" t="s">
        <v>1972</v>
      </c>
      <c r="L1760" s="8" t="s">
        <v>47</v>
      </c>
      <c r="M1760" s="8" t="s">
        <v>70</v>
      </c>
      <c r="N1760" s="11">
        <v>45043.0</v>
      </c>
      <c r="O1760" s="11">
        <v>45158.0</v>
      </c>
      <c r="P1760" s="11">
        <v>45458.0</v>
      </c>
      <c r="Q1760" s="11"/>
      <c r="R1760" s="11"/>
      <c r="S1760" s="12"/>
      <c r="T1760" s="8"/>
      <c r="U1760" s="8" t="s">
        <v>1973</v>
      </c>
      <c r="V1760" s="13" t="s">
        <v>856</v>
      </c>
      <c r="W1760" s="13" t="s">
        <v>8801</v>
      </c>
      <c r="X1760" s="12"/>
      <c r="Y1760" s="14"/>
      <c r="Z1760" s="14"/>
    </row>
    <row r="1761">
      <c r="A1761" s="8" t="s">
        <v>8802</v>
      </c>
      <c r="B1761" s="8" t="s">
        <v>8803</v>
      </c>
      <c r="C1761" s="8" t="s">
        <v>708</v>
      </c>
      <c r="D1761" s="8" t="s">
        <v>26</v>
      </c>
      <c r="E1761" s="8" t="s">
        <v>8804</v>
      </c>
      <c r="F1761" s="8">
        <v>9.217664071E9</v>
      </c>
      <c r="G1761" s="8" t="s">
        <v>6087</v>
      </c>
      <c r="H1761" s="8" t="s">
        <v>6088</v>
      </c>
      <c r="I1761" s="8" t="s">
        <v>31</v>
      </c>
      <c r="J1761" s="8" t="s">
        <v>1119</v>
      </c>
      <c r="K1761" s="10" t="s">
        <v>8805</v>
      </c>
      <c r="L1761" s="8" t="s">
        <v>47</v>
      </c>
      <c r="M1761" s="8" t="s">
        <v>70</v>
      </c>
      <c r="N1761" s="11">
        <v>45043.0</v>
      </c>
      <c r="O1761" s="11">
        <v>45170.0</v>
      </c>
      <c r="P1761" s="11">
        <v>45474.0</v>
      </c>
      <c r="Q1761" s="11">
        <v>45198.0</v>
      </c>
      <c r="R1761" s="11">
        <v>45504.0</v>
      </c>
      <c r="S1761" s="12"/>
      <c r="T1761" s="8"/>
      <c r="U1761" s="8" t="s">
        <v>246</v>
      </c>
      <c r="V1761" s="13" t="s">
        <v>8806</v>
      </c>
      <c r="W1761" s="13" t="s">
        <v>8807</v>
      </c>
      <c r="X1761" s="12"/>
      <c r="Y1761" s="14"/>
      <c r="Z1761" s="14"/>
    </row>
    <row r="1762">
      <c r="A1762" s="8" t="s">
        <v>8808</v>
      </c>
      <c r="B1762" s="8" t="s">
        <v>8809</v>
      </c>
      <c r="C1762" s="8" t="s">
        <v>25</v>
      </c>
      <c r="D1762" s="8" t="s">
        <v>26</v>
      </c>
      <c r="E1762" s="8" t="s">
        <v>8810</v>
      </c>
      <c r="F1762" s="8">
        <v>1.288219664E9</v>
      </c>
      <c r="G1762" s="8" t="s">
        <v>284</v>
      </c>
      <c r="H1762" s="8" t="s">
        <v>5202</v>
      </c>
      <c r="I1762" s="8" t="s">
        <v>31</v>
      </c>
      <c r="J1762" s="8" t="s">
        <v>292</v>
      </c>
      <c r="K1762" s="10" t="s">
        <v>8724</v>
      </c>
      <c r="L1762" s="8" t="s">
        <v>58</v>
      </c>
      <c r="M1762" s="8" t="s">
        <v>35</v>
      </c>
      <c r="N1762" s="11">
        <v>45043.0</v>
      </c>
      <c r="O1762" s="11">
        <v>45110.0</v>
      </c>
      <c r="P1762" s="11">
        <v>45152.0</v>
      </c>
      <c r="Q1762" s="11">
        <v>45112.0</v>
      </c>
      <c r="R1762" s="11">
        <v>45152.0</v>
      </c>
      <c r="S1762" s="12"/>
      <c r="T1762" s="8"/>
      <c r="U1762" s="8" t="s">
        <v>88</v>
      </c>
      <c r="V1762" s="13" t="s">
        <v>5669</v>
      </c>
      <c r="W1762" s="13" t="s">
        <v>8811</v>
      </c>
      <c r="X1762" s="12"/>
      <c r="Y1762" s="14"/>
      <c r="Z1762" s="14"/>
    </row>
    <row r="1763">
      <c r="A1763" s="8" t="s">
        <v>8812</v>
      </c>
      <c r="B1763" s="8" t="s">
        <v>8813</v>
      </c>
      <c r="C1763" s="8" t="s">
        <v>25</v>
      </c>
      <c r="D1763" s="8" t="s">
        <v>26</v>
      </c>
      <c r="E1763" s="8" t="s">
        <v>8814</v>
      </c>
      <c r="F1763" s="8">
        <v>7.09909709E8</v>
      </c>
      <c r="G1763" s="8" t="s">
        <v>277</v>
      </c>
      <c r="H1763" s="8" t="s">
        <v>607</v>
      </c>
      <c r="I1763" s="8" t="s">
        <v>31</v>
      </c>
      <c r="J1763" s="8" t="s">
        <v>32</v>
      </c>
      <c r="K1763" s="10" t="s">
        <v>2470</v>
      </c>
      <c r="L1763" s="8" t="s">
        <v>58</v>
      </c>
      <c r="M1763" s="8" t="s">
        <v>35</v>
      </c>
      <c r="N1763" s="11">
        <v>45043.0</v>
      </c>
      <c r="O1763" s="11">
        <v>45130.0</v>
      </c>
      <c r="P1763" s="11">
        <v>45172.0</v>
      </c>
      <c r="Q1763" s="11">
        <v>45132.0</v>
      </c>
      <c r="R1763" s="11">
        <v>45174.0</v>
      </c>
      <c r="S1763" s="12"/>
      <c r="T1763" s="8"/>
      <c r="U1763" s="8" t="s">
        <v>59</v>
      </c>
      <c r="V1763" s="13" t="s">
        <v>5537</v>
      </c>
      <c r="W1763" s="13" t="s">
        <v>8815</v>
      </c>
      <c r="X1763" s="12"/>
      <c r="Y1763" s="14"/>
      <c r="Z1763" s="14"/>
    </row>
    <row r="1764">
      <c r="A1764" s="8" t="s">
        <v>8816</v>
      </c>
      <c r="B1764" s="8" t="s">
        <v>8817</v>
      </c>
      <c r="C1764" s="8" t="s">
        <v>708</v>
      </c>
      <c r="D1764" s="8" t="s">
        <v>26</v>
      </c>
      <c r="E1764" s="8" t="s">
        <v>8818</v>
      </c>
      <c r="F1764" s="8">
        <v>9.103308167E9</v>
      </c>
      <c r="G1764" s="8" t="s">
        <v>31</v>
      </c>
      <c r="H1764" s="8" t="s">
        <v>1274</v>
      </c>
      <c r="I1764" s="8" t="s">
        <v>44</v>
      </c>
      <c r="J1764" s="8" t="s">
        <v>8819</v>
      </c>
      <c r="K1764" s="10" t="s">
        <v>8820</v>
      </c>
      <c r="L1764" s="8" t="s">
        <v>47</v>
      </c>
      <c r="M1764" s="8" t="s">
        <v>70</v>
      </c>
      <c r="N1764" s="11">
        <v>45043.0</v>
      </c>
      <c r="O1764" s="11">
        <v>45068.0</v>
      </c>
      <c r="P1764" s="11">
        <v>45434.0</v>
      </c>
      <c r="Q1764" s="11">
        <v>45068.0</v>
      </c>
      <c r="R1764" s="11">
        <v>45434.0</v>
      </c>
      <c r="S1764" s="12"/>
      <c r="T1764" s="8"/>
      <c r="U1764" s="8" t="s">
        <v>8821</v>
      </c>
      <c r="V1764" s="13" t="s">
        <v>1274</v>
      </c>
      <c r="W1764" s="13" t="s">
        <v>8822</v>
      </c>
      <c r="X1764" s="12"/>
      <c r="Y1764" s="14"/>
      <c r="Z1764" s="14"/>
    </row>
    <row r="1765">
      <c r="A1765" s="8" t="s">
        <v>8823</v>
      </c>
      <c r="B1765" s="8" t="s">
        <v>8824</v>
      </c>
      <c r="C1765" s="8" t="s">
        <v>708</v>
      </c>
      <c r="D1765" s="8" t="s">
        <v>26</v>
      </c>
      <c r="E1765" s="8" t="s">
        <v>8825</v>
      </c>
      <c r="F1765" s="8">
        <v>1.008389357E9</v>
      </c>
      <c r="G1765" s="8" t="s">
        <v>284</v>
      </c>
      <c r="H1765" s="8" t="s">
        <v>673</v>
      </c>
      <c r="I1765" s="8" t="s">
        <v>31</v>
      </c>
      <c r="J1765" s="8" t="s">
        <v>86</v>
      </c>
      <c r="K1765" s="10" t="s">
        <v>5601</v>
      </c>
      <c r="L1765" s="8" t="s">
        <v>34</v>
      </c>
      <c r="M1765" s="8" t="s">
        <v>70</v>
      </c>
      <c r="N1765" s="11">
        <v>45043.0</v>
      </c>
      <c r="O1765" s="11">
        <v>45096.0</v>
      </c>
      <c r="P1765" s="11">
        <v>45464.0</v>
      </c>
      <c r="Q1765" s="11">
        <v>45146.0</v>
      </c>
      <c r="R1765" s="11">
        <v>45514.0</v>
      </c>
      <c r="S1765" s="12"/>
      <c r="T1765" s="8" t="s">
        <v>36</v>
      </c>
      <c r="U1765" s="8" t="s">
        <v>5602</v>
      </c>
      <c r="V1765" s="13" t="s">
        <v>38</v>
      </c>
      <c r="W1765" s="13" t="s">
        <v>8826</v>
      </c>
      <c r="X1765" s="12"/>
      <c r="Y1765" s="14"/>
      <c r="Z1765" s="14"/>
    </row>
    <row r="1766">
      <c r="A1766" s="8" t="s">
        <v>8827</v>
      </c>
      <c r="B1766" s="8" t="s">
        <v>8828</v>
      </c>
      <c r="C1766" s="8" t="s">
        <v>179</v>
      </c>
      <c r="D1766" s="8" t="s">
        <v>26</v>
      </c>
      <c r="E1766" s="8" t="s">
        <v>8829</v>
      </c>
      <c r="F1766" s="8"/>
      <c r="G1766" s="8" t="s">
        <v>31</v>
      </c>
      <c r="H1766" s="8" t="s">
        <v>56</v>
      </c>
      <c r="I1766" s="8" t="s">
        <v>399</v>
      </c>
      <c r="J1766" s="8" t="s">
        <v>3797</v>
      </c>
      <c r="K1766" s="10" t="s">
        <v>8830</v>
      </c>
      <c r="L1766" s="8" t="s">
        <v>58</v>
      </c>
      <c r="M1766" s="8" t="s">
        <v>35</v>
      </c>
      <c r="N1766" s="11">
        <v>45043.0</v>
      </c>
      <c r="O1766" s="11">
        <v>45124.0</v>
      </c>
      <c r="P1766" s="11">
        <v>45166.0</v>
      </c>
      <c r="Q1766" s="11"/>
      <c r="R1766" s="11"/>
      <c r="S1766" s="12"/>
      <c r="T1766" s="8"/>
      <c r="U1766" s="8" t="s">
        <v>402</v>
      </c>
      <c r="V1766" s="13" t="s">
        <v>38</v>
      </c>
      <c r="W1766" s="13" t="s">
        <v>8831</v>
      </c>
      <c r="X1766" s="12"/>
      <c r="Y1766" s="14"/>
      <c r="Z1766" s="14"/>
    </row>
    <row r="1767">
      <c r="A1767" s="8" t="s">
        <v>8832</v>
      </c>
      <c r="B1767" s="8" t="s">
        <v>8833</v>
      </c>
      <c r="C1767" s="8" t="s">
        <v>25</v>
      </c>
      <c r="D1767" s="8" t="s">
        <v>26</v>
      </c>
      <c r="E1767" s="8" t="s">
        <v>8834</v>
      </c>
      <c r="F1767" s="8">
        <v>5.439434109E9</v>
      </c>
      <c r="G1767" s="8" t="s">
        <v>31</v>
      </c>
      <c r="H1767" s="8" t="s">
        <v>56</v>
      </c>
      <c r="I1767" s="8" t="s">
        <v>54</v>
      </c>
      <c r="J1767" s="8" t="s">
        <v>377</v>
      </c>
      <c r="K1767" s="10" t="s">
        <v>8835</v>
      </c>
      <c r="L1767" s="8" t="s">
        <v>58</v>
      </c>
      <c r="M1767" s="8" t="s">
        <v>35</v>
      </c>
      <c r="N1767" s="11">
        <v>45043.0</v>
      </c>
      <c r="O1767" s="11">
        <v>45110.0</v>
      </c>
      <c r="P1767" s="11">
        <v>45152.0</v>
      </c>
      <c r="Q1767" s="11">
        <v>45110.0</v>
      </c>
      <c r="R1767" s="11">
        <v>45152.0</v>
      </c>
      <c r="S1767" s="12"/>
      <c r="T1767" s="8"/>
      <c r="U1767" s="8" t="s">
        <v>185</v>
      </c>
      <c r="V1767" s="13" t="s">
        <v>56</v>
      </c>
      <c r="W1767" s="13" t="s">
        <v>8836</v>
      </c>
      <c r="X1767" s="12"/>
      <c r="Y1767" s="14"/>
      <c r="Z1767" s="14"/>
    </row>
    <row r="1768">
      <c r="A1768" s="8" t="s">
        <v>8837</v>
      </c>
      <c r="B1768" s="8" t="s">
        <v>8838</v>
      </c>
      <c r="C1768" s="8" t="s">
        <v>64</v>
      </c>
      <c r="D1768" s="8" t="s">
        <v>26</v>
      </c>
      <c r="E1768" s="8" t="s">
        <v>8839</v>
      </c>
      <c r="F1768" s="8">
        <v>5.330910311E9</v>
      </c>
      <c r="G1768" s="8" t="s">
        <v>31</v>
      </c>
      <c r="H1768" s="8" t="s">
        <v>86</v>
      </c>
      <c r="I1768" s="8" t="s">
        <v>8840</v>
      </c>
      <c r="J1768" s="8" t="s">
        <v>8841</v>
      </c>
      <c r="K1768" s="10" t="s">
        <v>8842</v>
      </c>
      <c r="L1768" s="8" t="s">
        <v>58</v>
      </c>
      <c r="M1768" s="8" t="s">
        <v>35</v>
      </c>
      <c r="N1768" s="11">
        <v>45043.0</v>
      </c>
      <c r="O1768" s="11">
        <v>45061.0</v>
      </c>
      <c r="P1768" s="11">
        <v>45103.0</v>
      </c>
      <c r="Q1768" s="11">
        <v>45061.0</v>
      </c>
      <c r="R1768" s="11">
        <v>45103.0</v>
      </c>
      <c r="S1768" s="12"/>
      <c r="T1768" s="8"/>
      <c r="U1768" s="8" t="s">
        <v>88</v>
      </c>
      <c r="V1768" s="13" t="s">
        <v>175</v>
      </c>
      <c r="W1768" s="13" t="s">
        <v>8843</v>
      </c>
      <c r="X1768" s="12"/>
      <c r="Y1768" s="14"/>
      <c r="Z1768" s="14"/>
    </row>
    <row r="1769">
      <c r="A1769" s="8" t="s">
        <v>8844</v>
      </c>
      <c r="B1769" s="8" t="s">
        <v>8845</v>
      </c>
      <c r="C1769" s="8" t="s">
        <v>25</v>
      </c>
      <c r="D1769" s="8" t="s">
        <v>26</v>
      </c>
      <c r="E1769" s="8" t="s">
        <v>8846</v>
      </c>
      <c r="F1769" s="8">
        <v>5.54869924E9</v>
      </c>
      <c r="G1769" s="8" t="s">
        <v>31</v>
      </c>
      <c r="H1769" s="8" t="s">
        <v>292</v>
      </c>
      <c r="I1769" s="8" t="s">
        <v>8840</v>
      </c>
      <c r="J1769" s="8" t="s">
        <v>8847</v>
      </c>
      <c r="K1769" s="10" t="s">
        <v>8848</v>
      </c>
      <c r="L1769" s="8" t="s">
        <v>58</v>
      </c>
      <c r="M1769" s="8" t="s">
        <v>35</v>
      </c>
      <c r="N1769" s="11">
        <v>45043.0</v>
      </c>
      <c r="O1769" s="11">
        <v>45096.0</v>
      </c>
      <c r="P1769" s="11">
        <v>45138.0</v>
      </c>
      <c r="Q1769" s="11">
        <v>45098.0</v>
      </c>
      <c r="R1769" s="11">
        <v>45138.0</v>
      </c>
      <c r="S1769" s="12"/>
      <c r="T1769" s="8"/>
      <c r="U1769" s="8" t="s">
        <v>4870</v>
      </c>
      <c r="V1769" s="13" t="s">
        <v>175</v>
      </c>
      <c r="W1769" s="13" t="s">
        <v>8849</v>
      </c>
      <c r="X1769" s="12"/>
      <c r="Y1769" s="14"/>
      <c r="Z1769" s="14"/>
    </row>
    <row r="1770">
      <c r="A1770" s="8" t="s">
        <v>8850</v>
      </c>
      <c r="B1770" s="8" t="s">
        <v>8851</v>
      </c>
      <c r="C1770" s="8" t="s">
        <v>179</v>
      </c>
      <c r="D1770" s="8" t="s">
        <v>26</v>
      </c>
      <c r="E1770" s="8" t="s">
        <v>8852</v>
      </c>
      <c r="F1770" s="8">
        <v>9.8196934E7</v>
      </c>
      <c r="G1770" s="8" t="s">
        <v>54</v>
      </c>
      <c r="H1770" s="8" t="s">
        <v>377</v>
      </c>
      <c r="I1770" s="8" t="s">
        <v>31</v>
      </c>
      <c r="J1770" s="8" t="s">
        <v>542</v>
      </c>
      <c r="K1770" s="10" t="s">
        <v>8853</v>
      </c>
      <c r="L1770" s="8" t="s">
        <v>47</v>
      </c>
      <c r="M1770" s="8" t="s">
        <v>70</v>
      </c>
      <c r="N1770" s="11">
        <v>45043.0</v>
      </c>
      <c r="O1770" s="11">
        <v>45110.0</v>
      </c>
      <c r="P1770" s="11">
        <v>45474.0</v>
      </c>
      <c r="Q1770" s="11"/>
      <c r="R1770" s="11"/>
      <c r="S1770" s="12"/>
      <c r="T1770" s="8"/>
      <c r="U1770" s="8" t="s">
        <v>246</v>
      </c>
      <c r="V1770" s="13" t="s">
        <v>1604</v>
      </c>
      <c r="W1770" s="13" t="s">
        <v>8854</v>
      </c>
      <c r="X1770" s="12"/>
      <c r="Y1770" s="14"/>
      <c r="Z1770" s="14"/>
    </row>
    <row r="1771">
      <c r="A1771" s="8" t="s">
        <v>8855</v>
      </c>
      <c r="B1771" s="8" t="s">
        <v>8856</v>
      </c>
      <c r="C1771" s="8" t="s">
        <v>179</v>
      </c>
      <c r="D1771" s="8" t="s">
        <v>26</v>
      </c>
      <c r="E1771" s="8" t="s">
        <v>8857</v>
      </c>
      <c r="F1771" s="8">
        <v>5.4224542E7</v>
      </c>
      <c r="G1771" s="8" t="s">
        <v>54</v>
      </c>
      <c r="H1771" s="8" t="s">
        <v>76</v>
      </c>
      <c r="I1771" s="8" t="s">
        <v>31</v>
      </c>
      <c r="J1771" s="8" t="s">
        <v>86</v>
      </c>
      <c r="K1771" s="10" t="s">
        <v>5483</v>
      </c>
      <c r="L1771" s="8" t="s">
        <v>58</v>
      </c>
      <c r="M1771" s="8" t="s">
        <v>35</v>
      </c>
      <c r="N1771" s="11">
        <v>45044.0</v>
      </c>
      <c r="O1771" s="11">
        <v>45181.0</v>
      </c>
      <c r="P1771" s="11">
        <v>45223.0</v>
      </c>
      <c r="Q1771" s="11"/>
      <c r="R1771" s="11"/>
      <c r="S1771" s="12"/>
      <c r="T1771" s="8"/>
      <c r="U1771" s="8" t="s">
        <v>59</v>
      </c>
      <c r="V1771" s="13" t="s">
        <v>324</v>
      </c>
      <c r="W1771" s="13" t="s">
        <v>8858</v>
      </c>
      <c r="X1771" s="12"/>
      <c r="Y1771" s="14"/>
      <c r="Z1771" s="14"/>
    </row>
    <row r="1772">
      <c r="A1772" s="8" t="s">
        <v>8859</v>
      </c>
      <c r="B1772" s="8" t="s">
        <v>8860</v>
      </c>
      <c r="C1772" s="8" t="s">
        <v>179</v>
      </c>
      <c r="D1772" s="8" t="s">
        <v>26</v>
      </c>
      <c r="E1772" s="8" t="s">
        <v>8861</v>
      </c>
      <c r="F1772" s="8">
        <v>5.369907948E9</v>
      </c>
      <c r="G1772" s="8" t="s">
        <v>31</v>
      </c>
      <c r="H1772" s="8" t="s">
        <v>32</v>
      </c>
      <c r="I1772" s="8" t="s">
        <v>109</v>
      </c>
      <c r="J1772" s="8" t="s">
        <v>6047</v>
      </c>
      <c r="K1772" s="10" t="s">
        <v>8862</v>
      </c>
      <c r="L1772" s="8" t="s">
        <v>58</v>
      </c>
      <c r="M1772" s="8" t="s">
        <v>35</v>
      </c>
      <c r="N1772" s="11">
        <v>45044.0</v>
      </c>
      <c r="O1772" s="11">
        <v>45208.0</v>
      </c>
      <c r="P1772" s="11">
        <v>45250.0</v>
      </c>
      <c r="Q1772" s="11"/>
      <c r="R1772" s="11"/>
      <c r="S1772" s="12"/>
      <c r="T1772" s="8"/>
      <c r="U1772" s="8" t="s">
        <v>59</v>
      </c>
      <c r="V1772" s="13" t="s">
        <v>175</v>
      </c>
      <c r="W1772" s="13" t="s">
        <v>8863</v>
      </c>
      <c r="X1772" s="12"/>
      <c r="Y1772" s="14"/>
      <c r="Z1772" s="14"/>
    </row>
    <row r="1773">
      <c r="A1773" s="8" t="s">
        <v>8864</v>
      </c>
      <c r="B1773" s="8" t="s">
        <v>8865</v>
      </c>
      <c r="C1773" s="8" t="s">
        <v>25</v>
      </c>
      <c r="D1773" s="8" t="s">
        <v>26</v>
      </c>
      <c r="E1773" s="8" t="s">
        <v>8866</v>
      </c>
      <c r="F1773" s="8">
        <v>5.8456399E7</v>
      </c>
      <c r="G1773" s="8" t="s">
        <v>54</v>
      </c>
      <c r="H1773" s="8" t="s">
        <v>377</v>
      </c>
      <c r="I1773" s="8" t="s">
        <v>31</v>
      </c>
      <c r="J1773" s="8" t="s">
        <v>43</v>
      </c>
      <c r="K1773" s="10" t="s">
        <v>8867</v>
      </c>
      <c r="L1773" s="8" t="s">
        <v>58</v>
      </c>
      <c r="M1773" s="8" t="s">
        <v>35</v>
      </c>
      <c r="N1773" s="11">
        <v>45044.0</v>
      </c>
      <c r="O1773" s="11">
        <v>45083.0</v>
      </c>
      <c r="P1773" s="11">
        <v>45128.0</v>
      </c>
      <c r="Q1773" s="11">
        <v>45088.0</v>
      </c>
      <c r="R1773" s="11">
        <v>45132.0</v>
      </c>
      <c r="S1773" s="12"/>
      <c r="T1773" s="8"/>
      <c r="U1773" s="8" t="s">
        <v>130</v>
      </c>
      <c r="V1773" s="13" t="s">
        <v>7103</v>
      </c>
      <c r="W1773" s="13" t="s">
        <v>8868</v>
      </c>
      <c r="X1773" s="12"/>
      <c r="Y1773" s="14"/>
      <c r="Z1773" s="14"/>
    </row>
    <row r="1774">
      <c r="A1774" s="8" t="s">
        <v>8869</v>
      </c>
      <c r="B1774" s="8" t="s">
        <v>8870</v>
      </c>
      <c r="C1774" s="8" t="s">
        <v>25</v>
      </c>
      <c r="D1774" s="8" t="s">
        <v>26</v>
      </c>
      <c r="E1774" s="8" t="s">
        <v>8871</v>
      </c>
      <c r="F1774" s="8"/>
      <c r="G1774" s="8" t="s">
        <v>54</v>
      </c>
      <c r="H1774" s="8" t="s">
        <v>377</v>
      </c>
      <c r="I1774" s="8" t="s">
        <v>31</v>
      </c>
      <c r="J1774" s="8" t="s">
        <v>43</v>
      </c>
      <c r="K1774" s="10" t="s">
        <v>8867</v>
      </c>
      <c r="L1774" s="8" t="s">
        <v>58</v>
      </c>
      <c r="M1774" s="8" t="s">
        <v>35</v>
      </c>
      <c r="N1774" s="11">
        <v>45044.0</v>
      </c>
      <c r="O1774" s="11">
        <v>45083.0</v>
      </c>
      <c r="P1774" s="11">
        <v>45128.0</v>
      </c>
      <c r="Q1774" s="11">
        <v>45088.0</v>
      </c>
      <c r="R1774" s="11">
        <v>45132.0</v>
      </c>
      <c r="S1774" s="12"/>
      <c r="T1774" s="8"/>
      <c r="U1774" s="8" t="s">
        <v>130</v>
      </c>
      <c r="V1774" s="13" t="s">
        <v>7103</v>
      </c>
      <c r="W1774" s="13" t="s">
        <v>8872</v>
      </c>
      <c r="X1774" s="12"/>
      <c r="Y1774" s="14"/>
      <c r="Z1774" s="14"/>
    </row>
    <row r="1775">
      <c r="A1775" s="8" t="s">
        <v>8873</v>
      </c>
      <c r="B1775" s="8" t="s">
        <v>4883</v>
      </c>
      <c r="C1775" s="8" t="s">
        <v>251</v>
      </c>
      <c r="D1775" s="8" t="s">
        <v>26</v>
      </c>
      <c r="E1775" s="8" t="s">
        <v>4884</v>
      </c>
      <c r="F1775" s="8">
        <v>5.392350279E9</v>
      </c>
      <c r="G1775" s="8" t="s">
        <v>31</v>
      </c>
      <c r="H1775" s="8" t="s">
        <v>66</v>
      </c>
      <c r="I1775" s="8" t="s">
        <v>284</v>
      </c>
      <c r="J1775" s="8" t="s">
        <v>1359</v>
      </c>
      <c r="K1775" s="10" t="s">
        <v>8874</v>
      </c>
      <c r="L1775" s="8" t="s">
        <v>58</v>
      </c>
      <c r="M1775" s="8" t="s">
        <v>35</v>
      </c>
      <c r="N1775" s="11">
        <v>45044.0</v>
      </c>
      <c r="O1775" s="11">
        <v>45108.0</v>
      </c>
      <c r="P1775" s="11">
        <v>45150.0</v>
      </c>
      <c r="Q1775" s="11"/>
      <c r="R1775" s="11"/>
      <c r="S1775" s="12"/>
      <c r="T1775" s="8"/>
      <c r="U1775" s="8" t="s">
        <v>59</v>
      </c>
      <c r="V1775" s="13" t="s">
        <v>66</v>
      </c>
      <c r="W1775" s="13" t="s">
        <v>4885</v>
      </c>
      <c r="X1775" s="12"/>
      <c r="Y1775" s="14"/>
      <c r="Z1775" s="14"/>
    </row>
    <row r="1776">
      <c r="A1776" s="8" t="s">
        <v>8875</v>
      </c>
      <c r="B1776" s="8" t="s">
        <v>8876</v>
      </c>
      <c r="C1776" s="8" t="s">
        <v>64</v>
      </c>
      <c r="D1776" s="8" t="s">
        <v>26</v>
      </c>
      <c r="E1776" s="8" t="s">
        <v>8877</v>
      </c>
      <c r="F1776" s="8">
        <v>2.0192448E7</v>
      </c>
      <c r="G1776" s="8" t="s">
        <v>54</v>
      </c>
      <c r="H1776" s="8" t="s">
        <v>76</v>
      </c>
      <c r="I1776" s="8" t="s">
        <v>31</v>
      </c>
      <c r="J1776" s="8" t="s">
        <v>32</v>
      </c>
      <c r="K1776" s="10" t="s">
        <v>2470</v>
      </c>
      <c r="L1776" s="8" t="s">
        <v>58</v>
      </c>
      <c r="M1776" s="8" t="s">
        <v>35</v>
      </c>
      <c r="N1776" s="11">
        <v>45044.0</v>
      </c>
      <c r="O1776" s="11">
        <v>45130.0</v>
      </c>
      <c r="P1776" s="11">
        <v>45172.0</v>
      </c>
      <c r="Q1776" s="11">
        <v>45132.0</v>
      </c>
      <c r="R1776" s="11">
        <v>45174.0</v>
      </c>
      <c r="S1776" s="12"/>
      <c r="T1776" s="8"/>
      <c r="U1776" s="8" t="s">
        <v>59</v>
      </c>
      <c r="V1776" s="13" t="s">
        <v>7375</v>
      </c>
      <c r="W1776" s="13" t="s">
        <v>8878</v>
      </c>
      <c r="X1776" s="12"/>
      <c r="Y1776" s="14"/>
      <c r="Z1776" s="14"/>
    </row>
    <row r="1777">
      <c r="A1777" s="8" t="s">
        <v>8879</v>
      </c>
      <c r="B1777" s="8" t="s">
        <v>8880</v>
      </c>
      <c r="C1777" s="8" t="s">
        <v>251</v>
      </c>
      <c r="D1777" s="8" t="s">
        <v>26</v>
      </c>
      <c r="E1777" s="8" t="s">
        <v>8881</v>
      </c>
      <c r="F1777" s="8">
        <v>5.456836483E9</v>
      </c>
      <c r="G1777" s="8" t="s">
        <v>31</v>
      </c>
      <c r="H1777" s="8" t="s">
        <v>56</v>
      </c>
      <c r="I1777" s="8" t="s">
        <v>399</v>
      </c>
      <c r="J1777" s="8" t="s">
        <v>4868</v>
      </c>
      <c r="K1777" s="10" t="s">
        <v>4869</v>
      </c>
      <c r="L1777" s="8" t="s">
        <v>58</v>
      </c>
      <c r="M1777" s="8" t="s">
        <v>35</v>
      </c>
      <c r="N1777" s="11">
        <v>45044.0</v>
      </c>
      <c r="O1777" s="11">
        <v>45110.0</v>
      </c>
      <c r="P1777" s="11">
        <v>45152.0</v>
      </c>
      <c r="Q1777" s="11"/>
      <c r="R1777" s="11"/>
      <c r="S1777" s="12"/>
      <c r="T1777" s="8"/>
      <c r="U1777" s="8" t="s">
        <v>4870</v>
      </c>
      <c r="V1777" s="13" t="s">
        <v>56</v>
      </c>
      <c r="W1777" s="13" t="s">
        <v>8882</v>
      </c>
      <c r="X1777" s="12"/>
      <c r="Y1777" s="14"/>
      <c r="Z1777" s="14"/>
    </row>
    <row r="1778">
      <c r="A1778" s="8" t="s">
        <v>8883</v>
      </c>
      <c r="B1778" s="8" t="s">
        <v>8884</v>
      </c>
      <c r="C1778" s="8" t="s">
        <v>179</v>
      </c>
      <c r="D1778" s="8" t="s">
        <v>26</v>
      </c>
      <c r="E1778" s="8" t="s">
        <v>8885</v>
      </c>
      <c r="F1778" s="8">
        <v>1.225549053E9</v>
      </c>
      <c r="G1778" s="8" t="s">
        <v>284</v>
      </c>
      <c r="H1778" s="8" t="s">
        <v>1450</v>
      </c>
      <c r="I1778" s="8" t="s">
        <v>31</v>
      </c>
      <c r="J1778" s="8" t="s">
        <v>32</v>
      </c>
      <c r="K1778" s="10" t="s">
        <v>2470</v>
      </c>
      <c r="L1778" s="8" t="s">
        <v>58</v>
      </c>
      <c r="M1778" s="8" t="s">
        <v>35</v>
      </c>
      <c r="N1778" s="11">
        <v>45044.0</v>
      </c>
      <c r="O1778" s="11">
        <v>45172.0</v>
      </c>
      <c r="P1778" s="11">
        <v>45214.0</v>
      </c>
      <c r="Q1778" s="11"/>
      <c r="R1778" s="11"/>
      <c r="S1778" s="12"/>
      <c r="T1778" s="8"/>
      <c r="U1778" s="8" t="s">
        <v>59</v>
      </c>
      <c r="V1778" s="13" t="s">
        <v>8886</v>
      </c>
      <c r="W1778" s="13" t="s">
        <v>8887</v>
      </c>
      <c r="X1778" s="12"/>
      <c r="Y1778" s="14"/>
      <c r="Z1778" s="14"/>
    </row>
    <row r="1779">
      <c r="A1779" s="8" t="s">
        <v>8888</v>
      </c>
      <c r="B1779" s="8" t="s">
        <v>8889</v>
      </c>
      <c r="C1779" s="8" t="s">
        <v>179</v>
      </c>
      <c r="D1779" s="8" t="s">
        <v>26</v>
      </c>
      <c r="E1779" s="8" t="s">
        <v>8890</v>
      </c>
      <c r="F1779" s="8">
        <v>1.01972715E9</v>
      </c>
      <c r="G1779" s="8" t="s">
        <v>284</v>
      </c>
      <c r="H1779" s="8" t="s">
        <v>1450</v>
      </c>
      <c r="I1779" s="8" t="s">
        <v>31</v>
      </c>
      <c r="J1779" s="8" t="s">
        <v>32</v>
      </c>
      <c r="K1779" s="10" t="s">
        <v>473</v>
      </c>
      <c r="L1779" s="8" t="s">
        <v>58</v>
      </c>
      <c r="M1779" s="8" t="s">
        <v>35</v>
      </c>
      <c r="N1779" s="11">
        <v>45044.0</v>
      </c>
      <c r="O1779" s="11">
        <v>45173.0</v>
      </c>
      <c r="P1779" s="11">
        <v>45215.0</v>
      </c>
      <c r="Q1779" s="11"/>
      <c r="R1779" s="11"/>
      <c r="S1779" s="12"/>
      <c r="T1779" s="8"/>
      <c r="U1779" s="8" t="s">
        <v>59</v>
      </c>
      <c r="V1779" s="13" t="s">
        <v>38</v>
      </c>
      <c r="W1779" s="13" t="s">
        <v>8891</v>
      </c>
      <c r="X1779" s="12"/>
      <c r="Y1779" s="14"/>
      <c r="Z1779" s="14"/>
    </row>
    <row r="1780">
      <c r="A1780" s="8" t="s">
        <v>8892</v>
      </c>
      <c r="B1780" s="8" t="s">
        <v>8893</v>
      </c>
      <c r="C1780" s="8" t="s">
        <v>179</v>
      </c>
      <c r="D1780" s="8" t="s">
        <v>26</v>
      </c>
      <c r="E1780" s="8" t="s">
        <v>8894</v>
      </c>
      <c r="F1780" s="8">
        <v>6.74654931E8</v>
      </c>
      <c r="G1780" s="8" t="s">
        <v>254</v>
      </c>
      <c r="H1780" s="8" t="s">
        <v>422</v>
      </c>
      <c r="I1780" s="8" t="s">
        <v>31</v>
      </c>
      <c r="J1780" s="8" t="s">
        <v>136</v>
      </c>
      <c r="K1780" s="10" t="s">
        <v>8895</v>
      </c>
      <c r="L1780" s="8" t="s">
        <v>58</v>
      </c>
      <c r="M1780" s="8" t="s">
        <v>35</v>
      </c>
      <c r="N1780" s="11">
        <v>45044.0</v>
      </c>
      <c r="O1780" s="11">
        <v>45215.0</v>
      </c>
      <c r="P1780" s="11">
        <v>45257.0</v>
      </c>
      <c r="Q1780" s="11"/>
      <c r="R1780" s="11"/>
      <c r="S1780" s="12"/>
      <c r="T1780" s="8"/>
      <c r="U1780" s="8" t="s">
        <v>59</v>
      </c>
      <c r="V1780" s="13" t="s">
        <v>425</v>
      </c>
      <c r="W1780" s="13" t="s">
        <v>8896</v>
      </c>
      <c r="X1780" s="12"/>
      <c r="Y1780" s="14"/>
      <c r="Z1780" s="14"/>
    </row>
    <row r="1781">
      <c r="A1781" s="8" t="s">
        <v>8897</v>
      </c>
      <c r="B1781" s="8" t="s">
        <v>8898</v>
      </c>
      <c r="C1781" s="8" t="s">
        <v>708</v>
      </c>
      <c r="D1781" s="8" t="s">
        <v>26</v>
      </c>
      <c r="E1781" s="8" t="s">
        <v>8899</v>
      </c>
      <c r="F1781" s="8"/>
      <c r="G1781" s="8" t="s">
        <v>84</v>
      </c>
      <c r="H1781" s="8" t="s">
        <v>1156</v>
      </c>
      <c r="I1781" s="8" t="s">
        <v>31</v>
      </c>
      <c r="J1781" s="8" t="s">
        <v>438</v>
      </c>
      <c r="K1781" s="10" t="s">
        <v>8900</v>
      </c>
      <c r="L1781" s="8" t="s">
        <v>34</v>
      </c>
      <c r="M1781" s="8" t="s">
        <v>70</v>
      </c>
      <c r="N1781" s="11">
        <v>45044.0</v>
      </c>
      <c r="O1781" s="11">
        <v>45127.0</v>
      </c>
      <c r="P1781" s="11">
        <v>45492.0</v>
      </c>
      <c r="Q1781" s="11">
        <v>45123.0</v>
      </c>
      <c r="R1781" s="11">
        <v>45492.0</v>
      </c>
      <c r="S1781" s="12"/>
      <c r="T1781" s="8" t="s">
        <v>224</v>
      </c>
      <c r="U1781" s="8" t="s">
        <v>1140</v>
      </c>
      <c r="V1781" s="13" t="s">
        <v>38</v>
      </c>
      <c r="W1781" s="13" t="s">
        <v>8901</v>
      </c>
      <c r="X1781" s="12"/>
      <c r="Y1781" s="14"/>
      <c r="Z1781" s="14"/>
    </row>
    <row r="1782">
      <c r="A1782" s="8" t="s">
        <v>8902</v>
      </c>
      <c r="B1782" s="8" t="s">
        <v>8903</v>
      </c>
      <c r="C1782" s="8" t="s">
        <v>179</v>
      </c>
      <c r="D1782" s="8" t="s">
        <v>26</v>
      </c>
      <c r="E1782" s="8" t="s">
        <v>8904</v>
      </c>
      <c r="F1782" s="8">
        <v>5.5246194E8</v>
      </c>
      <c r="G1782" s="8" t="s">
        <v>277</v>
      </c>
      <c r="H1782" s="8" t="s">
        <v>697</v>
      </c>
      <c r="I1782" s="8" t="s">
        <v>31</v>
      </c>
      <c r="J1782" s="8" t="s">
        <v>43</v>
      </c>
      <c r="K1782" s="10" t="s">
        <v>837</v>
      </c>
      <c r="L1782" s="8" t="s">
        <v>58</v>
      </c>
      <c r="M1782" s="8" t="s">
        <v>35</v>
      </c>
      <c r="N1782" s="11">
        <v>45044.0</v>
      </c>
      <c r="O1782" s="11">
        <v>45145.0</v>
      </c>
      <c r="P1782" s="11">
        <v>45191.0</v>
      </c>
      <c r="Q1782" s="11"/>
      <c r="R1782" s="11"/>
      <c r="S1782" s="12"/>
      <c r="T1782" s="8"/>
      <c r="U1782" s="8" t="s">
        <v>130</v>
      </c>
      <c r="V1782" s="13" t="s">
        <v>7743</v>
      </c>
      <c r="W1782" s="13" t="s">
        <v>8905</v>
      </c>
      <c r="X1782" s="12"/>
      <c r="Y1782" s="14"/>
      <c r="Z1782" s="14"/>
    </row>
    <row r="1783">
      <c r="A1783" s="8" t="s">
        <v>8906</v>
      </c>
      <c r="B1783" s="8" t="s">
        <v>8907</v>
      </c>
      <c r="C1783" s="8" t="s">
        <v>179</v>
      </c>
      <c r="D1783" s="8" t="s">
        <v>26</v>
      </c>
      <c r="E1783" s="8" t="s">
        <v>8908</v>
      </c>
      <c r="F1783" s="8"/>
      <c r="G1783" s="8" t="s">
        <v>31</v>
      </c>
      <c r="H1783" s="8" t="s">
        <v>56</v>
      </c>
      <c r="I1783" s="8" t="s">
        <v>44</v>
      </c>
      <c r="J1783" s="8" t="s">
        <v>741</v>
      </c>
      <c r="K1783" s="10" t="s">
        <v>2675</v>
      </c>
      <c r="L1783" s="8" t="s">
        <v>58</v>
      </c>
      <c r="M1783" s="8" t="s">
        <v>35</v>
      </c>
      <c r="N1783" s="11">
        <v>45044.0</v>
      </c>
      <c r="O1783" s="11">
        <v>45108.0</v>
      </c>
      <c r="P1783" s="11">
        <v>45150.0</v>
      </c>
      <c r="Q1783" s="11"/>
      <c r="R1783" s="11"/>
      <c r="S1783" s="12"/>
      <c r="T1783" s="8"/>
      <c r="U1783" s="8" t="s">
        <v>59</v>
      </c>
      <c r="V1783" s="13" t="s">
        <v>38</v>
      </c>
      <c r="W1783" s="13" t="s">
        <v>8909</v>
      </c>
      <c r="X1783" s="12"/>
      <c r="Y1783" s="14"/>
      <c r="Z1783" s="14"/>
    </row>
    <row r="1784">
      <c r="A1784" s="8" t="s">
        <v>8910</v>
      </c>
      <c r="B1784" s="8" t="s">
        <v>8911</v>
      </c>
      <c r="C1784" s="8" t="s">
        <v>179</v>
      </c>
      <c r="D1784" s="8" t="s">
        <v>26</v>
      </c>
      <c r="E1784" s="8" t="s">
        <v>8912</v>
      </c>
      <c r="F1784" s="8">
        <v>1.007229518E9</v>
      </c>
      <c r="G1784" s="8" t="s">
        <v>284</v>
      </c>
      <c r="H1784" s="8" t="s">
        <v>793</v>
      </c>
      <c r="I1784" s="8" t="s">
        <v>31</v>
      </c>
      <c r="J1784" s="8" t="s">
        <v>136</v>
      </c>
      <c r="K1784" s="10" t="s">
        <v>8895</v>
      </c>
      <c r="L1784" s="8" t="s">
        <v>58</v>
      </c>
      <c r="M1784" s="8" t="s">
        <v>35</v>
      </c>
      <c r="N1784" s="11">
        <v>45044.0</v>
      </c>
      <c r="O1784" s="11">
        <v>45215.0</v>
      </c>
      <c r="P1784" s="11">
        <v>45257.0</v>
      </c>
      <c r="Q1784" s="11"/>
      <c r="R1784" s="11"/>
      <c r="S1784" s="12"/>
      <c r="T1784" s="8"/>
      <c r="U1784" s="8" t="s">
        <v>59</v>
      </c>
      <c r="V1784" s="13" t="s">
        <v>38</v>
      </c>
      <c r="W1784" s="13" t="s">
        <v>8913</v>
      </c>
      <c r="X1784" s="12"/>
      <c r="Y1784" s="14"/>
      <c r="Z1784" s="14"/>
    </row>
    <row r="1785">
      <c r="A1785" s="8" t="s">
        <v>8914</v>
      </c>
      <c r="B1785" s="8" t="s">
        <v>8915</v>
      </c>
      <c r="C1785" s="8" t="s">
        <v>179</v>
      </c>
      <c r="D1785" s="8" t="s">
        <v>26</v>
      </c>
      <c r="E1785" s="8" t="s">
        <v>8916</v>
      </c>
      <c r="F1785" s="8">
        <v>6.58923317E8</v>
      </c>
      <c r="G1785" s="8" t="s">
        <v>254</v>
      </c>
      <c r="H1785" s="8" t="s">
        <v>422</v>
      </c>
      <c r="I1785" s="8" t="s">
        <v>31</v>
      </c>
      <c r="J1785" s="8" t="s">
        <v>136</v>
      </c>
      <c r="K1785" s="10" t="s">
        <v>8895</v>
      </c>
      <c r="L1785" s="8" t="s">
        <v>58</v>
      </c>
      <c r="M1785" s="8" t="s">
        <v>35</v>
      </c>
      <c r="N1785" s="11">
        <v>45044.0</v>
      </c>
      <c r="O1785" s="11">
        <v>45215.0</v>
      </c>
      <c r="P1785" s="11">
        <v>45257.0</v>
      </c>
      <c r="Q1785" s="11"/>
      <c r="R1785" s="11"/>
      <c r="S1785" s="12"/>
      <c r="T1785" s="8"/>
      <c r="U1785" s="8" t="s">
        <v>59</v>
      </c>
      <c r="V1785" s="13" t="s">
        <v>38</v>
      </c>
      <c r="W1785" s="13" t="s">
        <v>8917</v>
      </c>
      <c r="X1785" s="12"/>
      <c r="Y1785" s="14"/>
      <c r="Z1785" s="14"/>
    </row>
    <row r="1786">
      <c r="A1786" s="8" t="s">
        <v>8918</v>
      </c>
      <c r="B1786" s="8" t="s">
        <v>8919</v>
      </c>
      <c r="C1786" s="8" t="s">
        <v>25</v>
      </c>
      <c r="D1786" s="8" t="s">
        <v>26</v>
      </c>
      <c r="E1786" s="8" t="s">
        <v>8920</v>
      </c>
      <c r="F1786" s="8">
        <v>5.393230529E9</v>
      </c>
      <c r="G1786" s="8" t="s">
        <v>31</v>
      </c>
      <c r="H1786" s="8" t="s">
        <v>111</v>
      </c>
      <c r="I1786" s="8" t="s">
        <v>221</v>
      </c>
      <c r="J1786" s="8" t="s">
        <v>3506</v>
      </c>
      <c r="K1786" s="10" t="s">
        <v>8921</v>
      </c>
      <c r="L1786" s="8" t="s">
        <v>34</v>
      </c>
      <c r="M1786" s="8" t="s">
        <v>35</v>
      </c>
      <c r="N1786" s="11">
        <v>45044.0</v>
      </c>
      <c r="O1786" s="11">
        <v>45130.0</v>
      </c>
      <c r="P1786" s="11">
        <v>45172.0</v>
      </c>
      <c r="Q1786" s="11">
        <v>45130.0</v>
      </c>
      <c r="R1786" s="11">
        <v>45172.0</v>
      </c>
      <c r="S1786" s="12"/>
      <c r="T1786" s="8" t="s">
        <v>121</v>
      </c>
      <c r="U1786" s="8" t="s">
        <v>8922</v>
      </c>
      <c r="V1786" s="13" t="s">
        <v>111</v>
      </c>
      <c r="W1786" s="13" t="s">
        <v>8923</v>
      </c>
      <c r="X1786" s="12"/>
      <c r="Y1786" s="14"/>
      <c r="Z1786" s="14"/>
    </row>
    <row r="1787">
      <c r="A1787" s="8" t="s">
        <v>8924</v>
      </c>
      <c r="B1787" s="8" t="s">
        <v>8925</v>
      </c>
      <c r="C1787" s="8" t="s">
        <v>708</v>
      </c>
      <c r="D1787" s="8" t="s">
        <v>26</v>
      </c>
      <c r="E1787" s="8" t="s">
        <v>8926</v>
      </c>
      <c r="F1787" s="8">
        <v>7.92833905E8</v>
      </c>
      <c r="G1787" s="8" t="s">
        <v>254</v>
      </c>
      <c r="H1787" s="8" t="s">
        <v>1484</v>
      </c>
      <c r="I1787" s="8" t="s">
        <v>31</v>
      </c>
      <c r="J1787" s="8" t="s">
        <v>77</v>
      </c>
      <c r="K1787" s="10" t="s">
        <v>2010</v>
      </c>
      <c r="L1787" s="8" t="s">
        <v>47</v>
      </c>
      <c r="M1787" s="8" t="s">
        <v>70</v>
      </c>
      <c r="N1787" s="11">
        <v>45045.0</v>
      </c>
      <c r="O1787" s="11">
        <v>45096.0</v>
      </c>
      <c r="P1787" s="11">
        <v>45462.0</v>
      </c>
      <c r="Q1787" s="11">
        <v>45112.0</v>
      </c>
      <c r="R1787" s="11">
        <v>45476.0</v>
      </c>
      <c r="S1787" s="12"/>
      <c r="T1787" s="8"/>
      <c r="U1787" s="8" t="s">
        <v>2011</v>
      </c>
      <c r="V1787" s="13" t="s">
        <v>1487</v>
      </c>
      <c r="W1787" s="13" t="s">
        <v>8927</v>
      </c>
      <c r="X1787" s="12"/>
      <c r="Y1787" s="14"/>
      <c r="Z1787" s="14"/>
    </row>
    <row r="1788">
      <c r="A1788" s="8" t="s">
        <v>8928</v>
      </c>
      <c r="B1788" s="8" t="s">
        <v>8929</v>
      </c>
      <c r="C1788" s="8" t="s">
        <v>64</v>
      </c>
      <c r="D1788" s="8" t="s">
        <v>26</v>
      </c>
      <c r="E1788" s="8" t="s">
        <v>8930</v>
      </c>
      <c r="F1788" s="8"/>
      <c r="G1788" s="8" t="s">
        <v>29</v>
      </c>
      <c r="H1788" s="8" t="s">
        <v>5003</v>
      </c>
      <c r="I1788" s="8" t="s">
        <v>31</v>
      </c>
      <c r="J1788" s="8" t="s">
        <v>77</v>
      </c>
      <c r="K1788" s="10" t="s">
        <v>8136</v>
      </c>
      <c r="L1788" s="8" t="s">
        <v>58</v>
      </c>
      <c r="M1788" s="8" t="s">
        <v>35</v>
      </c>
      <c r="N1788" s="11">
        <v>45045.0</v>
      </c>
      <c r="O1788" s="11">
        <v>45139.0</v>
      </c>
      <c r="P1788" s="11">
        <v>45181.0</v>
      </c>
      <c r="Q1788" s="11">
        <v>45138.0</v>
      </c>
      <c r="R1788" s="11">
        <v>45181.0</v>
      </c>
      <c r="S1788" s="12"/>
      <c r="T1788" s="8"/>
      <c r="U1788" s="8" t="s">
        <v>59</v>
      </c>
      <c r="V1788" s="13" t="s">
        <v>38</v>
      </c>
      <c r="W1788" s="13" t="s">
        <v>8931</v>
      </c>
      <c r="X1788" s="12"/>
      <c r="Y1788" s="14"/>
      <c r="Z1788" s="14"/>
    </row>
    <row r="1789">
      <c r="A1789" s="8" t="s">
        <v>8932</v>
      </c>
      <c r="B1789" s="8" t="s">
        <v>8933</v>
      </c>
      <c r="C1789" s="8" t="s">
        <v>25</v>
      </c>
      <c r="D1789" s="8" t="s">
        <v>26</v>
      </c>
      <c r="E1789" s="8" t="s">
        <v>8934</v>
      </c>
      <c r="F1789" s="8" t="s">
        <v>8935</v>
      </c>
      <c r="G1789" s="8" t="s">
        <v>277</v>
      </c>
      <c r="H1789" s="8" t="s">
        <v>278</v>
      </c>
      <c r="I1789" s="8" t="s">
        <v>31</v>
      </c>
      <c r="J1789" s="8" t="s">
        <v>167</v>
      </c>
      <c r="K1789" s="10" t="s">
        <v>8437</v>
      </c>
      <c r="L1789" s="8" t="s">
        <v>58</v>
      </c>
      <c r="M1789" s="8" t="s">
        <v>35</v>
      </c>
      <c r="N1789" s="11">
        <v>45045.0</v>
      </c>
      <c r="O1789" s="11">
        <v>45124.0</v>
      </c>
      <c r="P1789" s="11">
        <v>45166.0</v>
      </c>
      <c r="Q1789" s="11">
        <v>45124.0</v>
      </c>
      <c r="R1789" s="11">
        <v>45166.0</v>
      </c>
      <c r="S1789" s="12"/>
      <c r="T1789" s="8"/>
      <c r="U1789" s="8" t="s">
        <v>130</v>
      </c>
      <c r="V1789" s="13" t="s">
        <v>8936</v>
      </c>
      <c r="W1789" s="13" t="s">
        <v>8937</v>
      </c>
      <c r="X1789" s="12"/>
      <c r="Y1789" s="14"/>
      <c r="Z1789" s="14"/>
    </row>
    <row r="1790">
      <c r="A1790" s="8" t="s">
        <v>8938</v>
      </c>
      <c r="B1790" s="8" t="s">
        <v>8939</v>
      </c>
      <c r="C1790" s="8" t="s">
        <v>25</v>
      </c>
      <c r="D1790" s="8" t="s">
        <v>26</v>
      </c>
      <c r="E1790" s="8" t="s">
        <v>8940</v>
      </c>
      <c r="F1790" s="8"/>
      <c r="G1790" s="8" t="s">
        <v>1620</v>
      </c>
      <c r="H1790" s="8" t="s">
        <v>3655</v>
      </c>
      <c r="I1790" s="8" t="s">
        <v>31</v>
      </c>
      <c r="J1790" s="8" t="s">
        <v>43</v>
      </c>
      <c r="K1790" s="10" t="s">
        <v>837</v>
      </c>
      <c r="L1790" s="8" t="s">
        <v>58</v>
      </c>
      <c r="M1790" s="8" t="s">
        <v>35</v>
      </c>
      <c r="N1790" s="11">
        <v>45045.0</v>
      </c>
      <c r="O1790" s="11">
        <v>45093.0</v>
      </c>
      <c r="P1790" s="11">
        <v>45135.0</v>
      </c>
      <c r="Q1790" s="11">
        <v>45096.0</v>
      </c>
      <c r="R1790" s="11">
        <v>45138.0</v>
      </c>
      <c r="S1790" s="12"/>
      <c r="T1790" s="8"/>
      <c r="U1790" s="8" t="s">
        <v>130</v>
      </c>
      <c r="V1790" s="13" t="s">
        <v>38</v>
      </c>
      <c r="W1790" s="13" t="s">
        <v>8941</v>
      </c>
      <c r="X1790" s="12"/>
      <c r="Y1790" s="14"/>
      <c r="Z1790" s="14"/>
    </row>
    <row r="1791">
      <c r="A1791" s="8" t="s">
        <v>8942</v>
      </c>
      <c r="B1791" s="8" t="s">
        <v>1264</v>
      </c>
      <c r="C1791" s="8" t="s">
        <v>64</v>
      </c>
      <c r="D1791" s="8" t="s">
        <v>26</v>
      </c>
      <c r="E1791" s="8" t="s">
        <v>1265</v>
      </c>
      <c r="F1791" s="8">
        <v>6.10526383E8</v>
      </c>
      <c r="G1791" s="8" t="s">
        <v>84</v>
      </c>
      <c r="H1791" s="8" t="s">
        <v>1266</v>
      </c>
      <c r="I1791" s="8" t="s">
        <v>31</v>
      </c>
      <c r="J1791" s="8" t="s">
        <v>43</v>
      </c>
      <c r="K1791" s="10" t="s">
        <v>8943</v>
      </c>
      <c r="L1791" s="8" t="s">
        <v>47</v>
      </c>
      <c r="M1791" s="8" t="s">
        <v>48</v>
      </c>
      <c r="N1791" s="11">
        <v>45045.0</v>
      </c>
      <c r="O1791" s="11">
        <v>45057.0</v>
      </c>
      <c r="P1791" s="11">
        <v>45215.0</v>
      </c>
      <c r="Q1791" s="11">
        <v>45045.0</v>
      </c>
      <c r="R1791" s="11">
        <v>45215.0</v>
      </c>
      <c r="S1791" s="12"/>
      <c r="T1791" s="8"/>
      <c r="U1791" s="8" t="s">
        <v>8944</v>
      </c>
      <c r="V1791" s="13" t="s">
        <v>1269</v>
      </c>
      <c r="W1791" s="13" t="s">
        <v>1270</v>
      </c>
      <c r="X1791" s="12"/>
      <c r="Y1791" s="14"/>
      <c r="Z1791" s="14"/>
    </row>
    <row r="1792">
      <c r="A1792" s="8" t="s">
        <v>8945</v>
      </c>
      <c r="B1792" s="8" t="s">
        <v>8946</v>
      </c>
      <c r="C1792" s="8" t="s">
        <v>64</v>
      </c>
      <c r="D1792" s="8" t="s">
        <v>26</v>
      </c>
      <c r="E1792" s="8" t="s">
        <v>8947</v>
      </c>
      <c r="F1792" s="8"/>
      <c r="G1792" s="8" t="s">
        <v>315</v>
      </c>
      <c r="H1792" s="8" t="s">
        <v>6834</v>
      </c>
      <c r="I1792" s="8" t="s">
        <v>31</v>
      </c>
      <c r="J1792" s="8" t="s">
        <v>136</v>
      </c>
      <c r="K1792" s="10" t="s">
        <v>5299</v>
      </c>
      <c r="L1792" s="8" t="s">
        <v>58</v>
      </c>
      <c r="M1792" s="8" t="s">
        <v>35</v>
      </c>
      <c r="N1792" s="11">
        <v>45045.0</v>
      </c>
      <c r="O1792" s="11">
        <v>45082.0</v>
      </c>
      <c r="P1792" s="11">
        <v>45124.0</v>
      </c>
      <c r="Q1792" s="11">
        <v>45105.0</v>
      </c>
      <c r="R1792" s="11">
        <v>45146.0</v>
      </c>
      <c r="S1792" s="12"/>
      <c r="T1792" s="8"/>
      <c r="U1792" s="8" t="s">
        <v>59</v>
      </c>
      <c r="V1792" s="13" t="s">
        <v>38</v>
      </c>
      <c r="W1792" s="13" t="s">
        <v>8948</v>
      </c>
      <c r="X1792" s="12"/>
      <c r="Y1792" s="14"/>
      <c r="Z1792" s="14"/>
    </row>
    <row r="1793">
      <c r="A1793" s="8" t="s">
        <v>8949</v>
      </c>
      <c r="B1793" s="8" t="s">
        <v>8950</v>
      </c>
      <c r="C1793" s="8" t="s">
        <v>708</v>
      </c>
      <c r="D1793" s="8" t="s">
        <v>26</v>
      </c>
      <c r="E1793" s="8" t="s">
        <v>8951</v>
      </c>
      <c r="F1793" s="8">
        <v>7.14618052E8</v>
      </c>
      <c r="G1793" s="8" t="s">
        <v>8952</v>
      </c>
      <c r="H1793" s="8" t="s">
        <v>818</v>
      </c>
      <c r="I1793" s="8" t="s">
        <v>31</v>
      </c>
      <c r="J1793" s="8" t="s">
        <v>542</v>
      </c>
      <c r="K1793" s="10" t="s">
        <v>8953</v>
      </c>
      <c r="L1793" s="8" t="s">
        <v>34</v>
      </c>
      <c r="M1793" s="8" t="s">
        <v>70</v>
      </c>
      <c r="N1793" s="11">
        <v>45045.0</v>
      </c>
      <c r="O1793" s="11">
        <v>45117.0</v>
      </c>
      <c r="P1793" s="11">
        <v>45474.0</v>
      </c>
      <c r="Q1793" s="11">
        <v>45120.0</v>
      </c>
      <c r="R1793" s="11">
        <v>45477.0</v>
      </c>
      <c r="S1793" s="12"/>
      <c r="T1793" s="8" t="s">
        <v>36</v>
      </c>
      <c r="U1793" s="8" t="s">
        <v>8954</v>
      </c>
      <c r="V1793" s="13" t="s">
        <v>446</v>
      </c>
      <c r="W1793" s="13" t="s">
        <v>8955</v>
      </c>
      <c r="X1793" s="12"/>
      <c r="Y1793" s="14"/>
      <c r="Z1793" s="14"/>
    </row>
    <row r="1794">
      <c r="A1794" s="8" t="s">
        <v>8956</v>
      </c>
      <c r="B1794" s="8" t="s">
        <v>8957</v>
      </c>
      <c r="C1794" s="8" t="s">
        <v>708</v>
      </c>
      <c r="D1794" s="8" t="s">
        <v>26</v>
      </c>
      <c r="E1794" s="8" t="s">
        <v>8958</v>
      </c>
      <c r="F1794" s="8">
        <v>6.52148321E8</v>
      </c>
      <c r="G1794" s="8" t="s">
        <v>84</v>
      </c>
      <c r="H1794" s="8" t="s">
        <v>646</v>
      </c>
      <c r="I1794" s="8" t="s">
        <v>31</v>
      </c>
      <c r="J1794" s="8" t="s">
        <v>86</v>
      </c>
      <c r="K1794" s="10" t="s">
        <v>3755</v>
      </c>
      <c r="L1794" s="8" t="s">
        <v>34</v>
      </c>
      <c r="M1794" s="8" t="s">
        <v>70</v>
      </c>
      <c r="N1794" s="11">
        <v>45045.0</v>
      </c>
      <c r="O1794" s="11">
        <v>45026.0</v>
      </c>
      <c r="P1794" s="11">
        <v>45394.0</v>
      </c>
      <c r="Q1794" s="11">
        <v>45084.0</v>
      </c>
      <c r="R1794" s="11">
        <v>45452.0</v>
      </c>
      <c r="S1794" s="12"/>
      <c r="T1794" s="8" t="s">
        <v>36</v>
      </c>
      <c r="U1794" s="8" t="s">
        <v>3756</v>
      </c>
      <c r="V1794" s="13" t="s">
        <v>8959</v>
      </c>
      <c r="W1794" s="13" t="s">
        <v>8960</v>
      </c>
      <c r="X1794" s="12"/>
      <c r="Y1794" s="14"/>
      <c r="Z1794" s="14"/>
    </row>
    <row r="1795">
      <c r="A1795" s="8" t="s">
        <v>8961</v>
      </c>
      <c r="B1795" s="8" t="s">
        <v>8962</v>
      </c>
      <c r="C1795" s="8" t="s">
        <v>25</v>
      </c>
      <c r="D1795" s="8" t="s">
        <v>26</v>
      </c>
      <c r="E1795" s="8" t="s">
        <v>8963</v>
      </c>
      <c r="F1795" s="8">
        <v>5.512811076E9</v>
      </c>
      <c r="G1795" s="8" t="s">
        <v>31</v>
      </c>
      <c r="H1795" s="8" t="s">
        <v>542</v>
      </c>
      <c r="I1795" s="8" t="s">
        <v>284</v>
      </c>
      <c r="J1795" s="8" t="s">
        <v>285</v>
      </c>
      <c r="K1795" s="10" t="s">
        <v>7771</v>
      </c>
      <c r="L1795" s="8" t="s">
        <v>58</v>
      </c>
      <c r="M1795" s="8" t="s">
        <v>35</v>
      </c>
      <c r="N1795" s="11">
        <v>45046.0</v>
      </c>
      <c r="O1795" s="11">
        <v>45108.0</v>
      </c>
      <c r="P1795" s="11">
        <v>45150.0</v>
      </c>
      <c r="Q1795" s="11">
        <v>45121.0</v>
      </c>
      <c r="R1795" s="11">
        <v>45163.0</v>
      </c>
      <c r="S1795" s="12"/>
      <c r="T1795" s="8"/>
      <c r="U1795" s="8" t="s">
        <v>185</v>
      </c>
      <c r="V1795" s="13" t="s">
        <v>545</v>
      </c>
      <c r="W1795" s="13" t="s">
        <v>8964</v>
      </c>
      <c r="X1795" s="12"/>
      <c r="Y1795" s="14"/>
      <c r="Z1795" s="14"/>
    </row>
    <row r="1796">
      <c r="A1796" s="8" t="s">
        <v>8965</v>
      </c>
      <c r="B1796" s="8" t="s">
        <v>8966</v>
      </c>
      <c r="C1796" s="8" t="s">
        <v>25</v>
      </c>
      <c r="D1796" s="8" t="s">
        <v>26</v>
      </c>
      <c r="E1796" s="8" t="s">
        <v>8967</v>
      </c>
      <c r="F1796" s="8">
        <v>5.374145269E9</v>
      </c>
      <c r="G1796" s="8" t="s">
        <v>31</v>
      </c>
      <c r="H1796" s="8" t="s">
        <v>102</v>
      </c>
      <c r="I1796" s="8" t="s">
        <v>127</v>
      </c>
      <c r="J1796" s="8" t="s">
        <v>159</v>
      </c>
      <c r="K1796" s="10" t="s">
        <v>8968</v>
      </c>
      <c r="L1796" s="8" t="s">
        <v>58</v>
      </c>
      <c r="M1796" s="8" t="s">
        <v>35</v>
      </c>
      <c r="N1796" s="11">
        <v>45046.0</v>
      </c>
      <c r="O1796" s="11">
        <v>45103.0</v>
      </c>
      <c r="P1796" s="11">
        <v>45145.0</v>
      </c>
      <c r="Q1796" s="11">
        <v>45103.0</v>
      </c>
      <c r="R1796" s="11">
        <v>45145.0</v>
      </c>
      <c r="S1796" s="12"/>
      <c r="T1796" s="8"/>
      <c r="U1796" s="8" t="s">
        <v>161</v>
      </c>
      <c r="V1796" s="13" t="s">
        <v>102</v>
      </c>
      <c r="W1796" s="13" t="s">
        <v>8969</v>
      </c>
      <c r="X1796" s="12"/>
      <c r="Y1796" s="14"/>
      <c r="Z1796" s="14"/>
    </row>
    <row r="1797">
      <c r="A1797" s="8" t="s">
        <v>8970</v>
      </c>
      <c r="B1797" s="8" t="s">
        <v>8971</v>
      </c>
      <c r="C1797" s="8" t="s">
        <v>25</v>
      </c>
      <c r="D1797" s="8" t="s">
        <v>26</v>
      </c>
      <c r="E1797" s="8" t="s">
        <v>8972</v>
      </c>
      <c r="F1797" s="8"/>
      <c r="G1797" s="8" t="s">
        <v>31</v>
      </c>
      <c r="H1797" s="8" t="s">
        <v>102</v>
      </c>
      <c r="I1797" s="8" t="s">
        <v>127</v>
      </c>
      <c r="J1797" s="8" t="s">
        <v>159</v>
      </c>
      <c r="K1797" s="10" t="s">
        <v>8968</v>
      </c>
      <c r="L1797" s="8" t="s">
        <v>58</v>
      </c>
      <c r="M1797" s="8" t="s">
        <v>35</v>
      </c>
      <c r="N1797" s="11">
        <v>45046.0</v>
      </c>
      <c r="O1797" s="11">
        <v>45103.0</v>
      </c>
      <c r="P1797" s="11">
        <v>45145.0</v>
      </c>
      <c r="Q1797" s="11">
        <v>45103.0</v>
      </c>
      <c r="R1797" s="11">
        <v>45145.0</v>
      </c>
      <c r="S1797" s="12"/>
      <c r="T1797" s="8"/>
      <c r="U1797" s="8" t="s">
        <v>161</v>
      </c>
      <c r="V1797" s="13" t="s">
        <v>102</v>
      </c>
      <c r="W1797" s="13" t="s">
        <v>8973</v>
      </c>
      <c r="X1797" s="12"/>
      <c r="Y1797" s="14"/>
      <c r="Z1797" s="14"/>
    </row>
    <row r="1798">
      <c r="A1798" s="8" t="s">
        <v>8974</v>
      </c>
      <c r="B1798" s="8" t="s">
        <v>8975</v>
      </c>
      <c r="C1798" s="8" t="s">
        <v>25</v>
      </c>
      <c r="D1798" s="8" t="s">
        <v>26</v>
      </c>
      <c r="E1798" s="8" t="s">
        <v>8976</v>
      </c>
      <c r="F1798" s="8"/>
      <c r="G1798" s="8" t="s">
        <v>54</v>
      </c>
      <c r="H1798" s="8" t="s">
        <v>1911</v>
      </c>
      <c r="I1798" s="8" t="s">
        <v>31</v>
      </c>
      <c r="J1798" s="8" t="s">
        <v>136</v>
      </c>
      <c r="K1798" s="10" t="s">
        <v>8977</v>
      </c>
      <c r="L1798" s="8" t="s">
        <v>34</v>
      </c>
      <c r="M1798" s="8" t="s">
        <v>35</v>
      </c>
      <c r="N1798" s="11">
        <v>45046.0</v>
      </c>
      <c r="O1798" s="11">
        <v>45067.0</v>
      </c>
      <c r="P1798" s="11">
        <v>45150.0</v>
      </c>
      <c r="Q1798" s="11">
        <v>45097.0</v>
      </c>
      <c r="R1798" s="11">
        <v>45179.0</v>
      </c>
      <c r="S1798" s="12"/>
      <c r="T1798" s="8" t="s">
        <v>205</v>
      </c>
      <c r="U1798" s="8" t="s">
        <v>8978</v>
      </c>
      <c r="V1798" s="13" t="s">
        <v>38</v>
      </c>
      <c r="W1798" s="13" t="s">
        <v>8979</v>
      </c>
      <c r="X1798" s="12"/>
      <c r="Y1798" s="14"/>
      <c r="Z1798" s="14"/>
    </row>
    <row r="1799">
      <c r="A1799" s="8" t="s">
        <v>8980</v>
      </c>
      <c r="B1799" s="8" t="s">
        <v>8981</v>
      </c>
      <c r="C1799" s="8" t="s">
        <v>179</v>
      </c>
      <c r="D1799" s="8" t="s">
        <v>26</v>
      </c>
      <c r="E1799" s="8" t="s">
        <v>8982</v>
      </c>
      <c r="F1799" s="8">
        <v>5.415426326E9</v>
      </c>
      <c r="G1799" s="8" t="s">
        <v>31</v>
      </c>
      <c r="H1799" s="8" t="s">
        <v>256</v>
      </c>
      <c r="I1799" s="8" t="s">
        <v>284</v>
      </c>
      <c r="J1799" s="8" t="s">
        <v>793</v>
      </c>
      <c r="K1799" s="10" t="s">
        <v>8983</v>
      </c>
      <c r="L1799" s="8" t="s">
        <v>58</v>
      </c>
      <c r="M1799" s="8" t="s">
        <v>35</v>
      </c>
      <c r="N1799" s="11">
        <v>45046.0</v>
      </c>
      <c r="O1799" s="11">
        <v>45139.0</v>
      </c>
      <c r="P1799" s="11">
        <v>45181.0</v>
      </c>
      <c r="Q1799" s="11"/>
      <c r="R1799" s="11"/>
      <c r="S1799" s="12"/>
      <c r="T1799" s="8"/>
      <c r="U1799" s="8" t="s">
        <v>1038</v>
      </c>
      <c r="V1799" s="13" t="s">
        <v>256</v>
      </c>
      <c r="W1799" s="13" t="s">
        <v>8984</v>
      </c>
      <c r="X1799" s="12"/>
      <c r="Y1799" s="14"/>
      <c r="Z1799" s="14"/>
    </row>
    <row r="1800">
      <c r="A1800" s="8" t="s">
        <v>8985</v>
      </c>
      <c r="B1800" s="8" t="s">
        <v>8986</v>
      </c>
      <c r="C1800" s="8" t="s">
        <v>64</v>
      </c>
      <c r="D1800" s="8" t="s">
        <v>26</v>
      </c>
      <c r="E1800" s="8" t="s">
        <v>8987</v>
      </c>
      <c r="F1800" s="8">
        <v>1.222547912E9</v>
      </c>
      <c r="G1800" s="8" t="s">
        <v>284</v>
      </c>
      <c r="H1800" s="8" t="s">
        <v>673</v>
      </c>
      <c r="I1800" s="8" t="s">
        <v>31</v>
      </c>
      <c r="J1800" s="8" t="s">
        <v>32</v>
      </c>
      <c r="K1800" s="10" t="s">
        <v>1813</v>
      </c>
      <c r="L1800" s="8" t="s">
        <v>58</v>
      </c>
      <c r="M1800" s="8" t="s">
        <v>35</v>
      </c>
      <c r="N1800" s="11">
        <v>45046.0</v>
      </c>
      <c r="O1800" s="11">
        <v>45207.0</v>
      </c>
      <c r="P1800" s="11">
        <v>45249.0</v>
      </c>
      <c r="Q1800" s="11">
        <v>45210.0</v>
      </c>
      <c r="R1800" s="11">
        <v>45252.0</v>
      </c>
      <c r="S1800" s="12"/>
      <c r="T1800" s="8"/>
      <c r="U1800" s="8" t="s">
        <v>161</v>
      </c>
      <c r="V1800" s="13" t="s">
        <v>674</v>
      </c>
      <c r="W1800" s="13" t="s">
        <v>8988</v>
      </c>
      <c r="X1800" s="12"/>
      <c r="Y1800" s="14"/>
      <c r="Z1800" s="14"/>
    </row>
    <row r="1801">
      <c r="A1801" s="8" t="s">
        <v>8989</v>
      </c>
      <c r="B1801" s="8" t="s">
        <v>8990</v>
      </c>
      <c r="C1801" s="8" t="s">
        <v>64</v>
      </c>
      <c r="D1801" s="8" t="s">
        <v>26</v>
      </c>
      <c r="E1801" s="8" t="s">
        <v>8991</v>
      </c>
      <c r="F1801" s="8">
        <v>6.79110161E8</v>
      </c>
      <c r="G1801" s="8" t="s">
        <v>1620</v>
      </c>
      <c r="H1801" s="8" t="s">
        <v>1635</v>
      </c>
      <c r="I1801" s="8" t="s">
        <v>31</v>
      </c>
      <c r="J1801" s="8" t="s">
        <v>43</v>
      </c>
      <c r="K1801" s="10" t="s">
        <v>837</v>
      </c>
      <c r="L1801" s="8" t="s">
        <v>58</v>
      </c>
      <c r="M1801" s="8" t="s">
        <v>35</v>
      </c>
      <c r="N1801" s="11">
        <v>45046.0</v>
      </c>
      <c r="O1801" s="11">
        <v>45093.0</v>
      </c>
      <c r="P1801" s="11">
        <v>45135.0</v>
      </c>
      <c r="Q1801" s="11">
        <v>45096.0</v>
      </c>
      <c r="R1801" s="11">
        <v>45138.0</v>
      </c>
      <c r="S1801" s="12"/>
      <c r="T1801" s="8"/>
      <c r="U1801" s="8" t="s">
        <v>130</v>
      </c>
      <c r="V1801" s="13" t="s">
        <v>4256</v>
      </c>
      <c r="W1801" s="13" t="s">
        <v>8992</v>
      </c>
      <c r="X1801" s="12"/>
      <c r="Y1801" s="14"/>
      <c r="Z1801" s="14"/>
    </row>
    <row r="1802">
      <c r="A1802" s="8" t="s">
        <v>8993</v>
      </c>
      <c r="B1802" s="8" t="s">
        <v>8994</v>
      </c>
      <c r="C1802" s="8" t="s">
        <v>25</v>
      </c>
      <c r="D1802" s="8" t="s">
        <v>26</v>
      </c>
      <c r="E1802" s="8" t="s">
        <v>8995</v>
      </c>
      <c r="F1802" s="8">
        <v>5.433746959E9</v>
      </c>
      <c r="G1802" s="8" t="s">
        <v>31</v>
      </c>
      <c r="H1802" s="8" t="s">
        <v>102</v>
      </c>
      <c r="I1802" s="8" t="s">
        <v>127</v>
      </c>
      <c r="J1802" s="8" t="s">
        <v>1628</v>
      </c>
      <c r="K1802" s="10" t="s">
        <v>8577</v>
      </c>
      <c r="L1802" s="8" t="s">
        <v>58</v>
      </c>
      <c r="M1802" s="8" t="s">
        <v>35</v>
      </c>
      <c r="N1802" s="11">
        <v>45046.0</v>
      </c>
      <c r="O1802" s="11">
        <v>45110.0</v>
      </c>
      <c r="P1802" s="11">
        <v>45152.0</v>
      </c>
      <c r="Q1802" s="11">
        <v>45110.0</v>
      </c>
      <c r="R1802" s="11">
        <v>45152.0</v>
      </c>
      <c r="S1802" s="12"/>
      <c r="T1802" s="8"/>
      <c r="U1802" s="8" t="s">
        <v>153</v>
      </c>
      <c r="V1802" s="13" t="s">
        <v>102</v>
      </c>
      <c r="W1802" s="13" t="s">
        <v>8996</v>
      </c>
      <c r="X1802" s="12"/>
      <c r="Y1802" s="14"/>
      <c r="Z1802" s="14"/>
    </row>
    <row r="1803">
      <c r="A1803" s="8" t="s">
        <v>8997</v>
      </c>
      <c r="B1803" s="8" t="s">
        <v>8998</v>
      </c>
      <c r="C1803" s="8" t="s">
        <v>708</v>
      </c>
      <c r="D1803" s="8" t="s">
        <v>26</v>
      </c>
      <c r="E1803" s="8" t="s">
        <v>8999</v>
      </c>
      <c r="F1803" s="8"/>
      <c r="G1803" s="8" t="s">
        <v>660</v>
      </c>
      <c r="H1803" s="8" t="s">
        <v>9000</v>
      </c>
      <c r="I1803" s="8" t="s">
        <v>31</v>
      </c>
      <c r="J1803" s="8" t="s">
        <v>111</v>
      </c>
      <c r="K1803" s="10" t="s">
        <v>9001</v>
      </c>
      <c r="L1803" s="8" t="s">
        <v>34</v>
      </c>
      <c r="M1803" s="8" t="s">
        <v>70</v>
      </c>
      <c r="N1803" s="11">
        <v>45046.0</v>
      </c>
      <c r="O1803" s="11">
        <v>45082.0</v>
      </c>
      <c r="P1803" s="11">
        <v>45448.0</v>
      </c>
      <c r="Q1803" s="11">
        <v>45087.0</v>
      </c>
      <c r="R1803" s="11">
        <v>45453.0</v>
      </c>
      <c r="S1803" s="12"/>
      <c r="T1803" s="8" t="s">
        <v>205</v>
      </c>
      <c r="U1803" s="8" t="s">
        <v>730</v>
      </c>
      <c r="V1803" s="13" t="s">
        <v>38</v>
      </c>
      <c r="W1803" s="13" t="s">
        <v>9002</v>
      </c>
      <c r="X1803" s="12"/>
      <c r="Y1803" s="14"/>
      <c r="Z1803" s="14"/>
    </row>
    <row r="1804">
      <c r="A1804" s="8" t="s">
        <v>9003</v>
      </c>
      <c r="B1804" s="8" t="s">
        <v>9004</v>
      </c>
      <c r="C1804" s="8" t="s">
        <v>25</v>
      </c>
      <c r="D1804" s="8" t="s">
        <v>26</v>
      </c>
      <c r="E1804" s="8" t="s">
        <v>9005</v>
      </c>
      <c r="F1804" s="8">
        <v>9.64993189E8</v>
      </c>
      <c r="G1804" s="8" t="s">
        <v>1620</v>
      </c>
      <c r="H1804" s="8" t="s">
        <v>4288</v>
      </c>
      <c r="I1804" s="8" t="s">
        <v>31</v>
      </c>
      <c r="J1804" s="8" t="s">
        <v>32</v>
      </c>
      <c r="K1804" s="10" t="s">
        <v>2470</v>
      </c>
      <c r="L1804" s="8" t="s">
        <v>58</v>
      </c>
      <c r="M1804" s="8" t="s">
        <v>35</v>
      </c>
      <c r="N1804" s="11">
        <v>45046.0</v>
      </c>
      <c r="O1804" s="11">
        <v>45130.0</v>
      </c>
      <c r="P1804" s="11">
        <v>45172.0</v>
      </c>
      <c r="Q1804" s="11">
        <v>45132.0</v>
      </c>
      <c r="R1804" s="11">
        <v>45174.0</v>
      </c>
      <c r="S1804" s="12"/>
      <c r="T1804" s="8"/>
      <c r="U1804" s="8" t="s">
        <v>59</v>
      </c>
      <c r="V1804" s="13" t="s">
        <v>5939</v>
      </c>
      <c r="W1804" s="13" t="s">
        <v>9006</v>
      </c>
      <c r="X1804" s="12"/>
      <c r="Y1804" s="14"/>
      <c r="Z1804" s="14"/>
    </row>
    <row r="1805">
      <c r="A1805" s="8" t="s">
        <v>9007</v>
      </c>
      <c r="B1805" s="8" t="s">
        <v>9008</v>
      </c>
      <c r="C1805" s="8" t="s">
        <v>25</v>
      </c>
      <c r="D1805" s="8" t="s">
        <v>26</v>
      </c>
      <c r="E1805" s="8" t="s">
        <v>9009</v>
      </c>
      <c r="F1805" s="8">
        <v>9.92557743E8</v>
      </c>
      <c r="G1805" s="8" t="s">
        <v>1620</v>
      </c>
      <c r="H1805" s="8" t="s">
        <v>4288</v>
      </c>
      <c r="I1805" s="8" t="s">
        <v>31</v>
      </c>
      <c r="J1805" s="8" t="s">
        <v>32</v>
      </c>
      <c r="K1805" s="10" t="s">
        <v>8582</v>
      </c>
      <c r="L1805" s="8" t="s">
        <v>58</v>
      </c>
      <c r="M1805" s="8" t="s">
        <v>35</v>
      </c>
      <c r="N1805" s="11">
        <v>45046.0</v>
      </c>
      <c r="O1805" s="11">
        <v>45103.0</v>
      </c>
      <c r="P1805" s="11">
        <v>45145.0</v>
      </c>
      <c r="Q1805" s="11">
        <v>45105.0</v>
      </c>
      <c r="R1805" s="11">
        <v>45148.0</v>
      </c>
      <c r="S1805" s="12"/>
      <c r="T1805" s="8"/>
      <c r="U1805" s="8" t="s">
        <v>371</v>
      </c>
      <c r="V1805" s="13" t="s">
        <v>5939</v>
      </c>
      <c r="W1805" s="13" t="s">
        <v>9010</v>
      </c>
      <c r="X1805" s="12"/>
      <c r="Y1805" s="14"/>
      <c r="Z1805" s="14"/>
    </row>
    <row r="1806">
      <c r="A1806" s="8" t="s">
        <v>9011</v>
      </c>
      <c r="B1806" s="8" t="s">
        <v>9012</v>
      </c>
      <c r="C1806" s="8" t="s">
        <v>25</v>
      </c>
      <c r="D1806" s="8" t="s">
        <v>26</v>
      </c>
      <c r="E1806" s="8" t="s">
        <v>9013</v>
      </c>
      <c r="F1806" s="8">
        <v>7.37566011E8</v>
      </c>
      <c r="G1806" s="8" t="s">
        <v>127</v>
      </c>
      <c r="H1806" s="8" t="s">
        <v>128</v>
      </c>
      <c r="I1806" s="8" t="s">
        <v>31</v>
      </c>
      <c r="J1806" s="8" t="s">
        <v>102</v>
      </c>
      <c r="K1806" s="10" t="s">
        <v>9014</v>
      </c>
      <c r="L1806" s="8" t="s">
        <v>58</v>
      </c>
      <c r="M1806" s="8" t="s">
        <v>35</v>
      </c>
      <c r="N1806" s="11">
        <v>45046.0</v>
      </c>
      <c r="O1806" s="11">
        <v>45152.0</v>
      </c>
      <c r="P1806" s="11">
        <v>45194.0</v>
      </c>
      <c r="Q1806" s="11">
        <v>45155.0</v>
      </c>
      <c r="R1806" s="11">
        <v>45195.0</v>
      </c>
      <c r="S1806" s="12"/>
      <c r="T1806" s="8"/>
      <c r="U1806" s="8" t="s">
        <v>88</v>
      </c>
      <c r="V1806" s="13" t="s">
        <v>4911</v>
      </c>
      <c r="W1806" s="13" t="s">
        <v>9015</v>
      </c>
      <c r="X1806" s="12"/>
      <c r="Y1806" s="14"/>
      <c r="Z1806" s="14"/>
    </row>
    <row r="1807">
      <c r="A1807" s="8" t="s">
        <v>9016</v>
      </c>
      <c r="B1807" s="8" t="s">
        <v>9017</v>
      </c>
      <c r="C1807" s="8" t="s">
        <v>64</v>
      </c>
      <c r="D1807" s="8" t="s">
        <v>26</v>
      </c>
      <c r="E1807" s="8" t="s">
        <v>9018</v>
      </c>
      <c r="F1807" s="8">
        <v>7.37555962E8</v>
      </c>
      <c r="G1807" s="8" t="s">
        <v>127</v>
      </c>
      <c r="H1807" s="8" t="s">
        <v>128</v>
      </c>
      <c r="I1807" s="8" t="s">
        <v>31</v>
      </c>
      <c r="J1807" s="8" t="s">
        <v>102</v>
      </c>
      <c r="K1807" s="10" t="s">
        <v>9014</v>
      </c>
      <c r="L1807" s="8" t="s">
        <v>58</v>
      </c>
      <c r="M1807" s="8" t="s">
        <v>35</v>
      </c>
      <c r="N1807" s="11">
        <v>45046.0</v>
      </c>
      <c r="O1807" s="11">
        <v>45152.0</v>
      </c>
      <c r="P1807" s="11">
        <v>45194.0</v>
      </c>
      <c r="Q1807" s="11">
        <v>45155.0</v>
      </c>
      <c r="R1807" s="11">
        <v>45195.0</v>
      </c>
      <c r="S1807" s="12"/>
      <c r="T1807" s="8"/>
      <c r="U1807" s="8" t="s">
        <v>88</v>
      </c>
      <c r="V1807" s="13" t="s">
        <v>4911</v>
      </c>
      <c r="W1807" s="13" t="s">
        <v>9019</v>
      </c>
      <c r="X1807" s="12"/>
      <c r="Y1807" s="14"/>
      <c r="Z1807" s="14"/>
    </row>
    <row r="1808">
      <c r="A1808" s="8" t="s">
        <v>9020</v>
      </c>
      <c r="B1808" s="8" t="s">
        <v>9021</v>
      </c>
      <c r="C1808" s="8" t="s">
        <v>25</v>
      </c>
      <c r="D1808" s="8" t="s">
        <v>26</v>
      </c>
      <c r="E1808" s="8" t="s">
        <v>9022</v>
      </c>
      <c r="F1808" s="8">
        <v>5.346797734E9</v>
      </c>
      <c r="G1808" s="8" t="s">
        <v>31</v>
      </c>
      <c r="H1808" s="8" t="s">
        <v>542</v>
      </c>
      <c r="I1808" s="8" t="s">
        <v>127</v>
      </c>
      <c r="J1808" s="8" t="s">
        <v>128</v>
      </c>
      <c r="K1808" s="10" t="s">
        <v>9023</v>
      </c>
      <c r="L1808" s="8" t="s">
        <v>58</v>
      </c>
      <c r="M1808" s="8" t="s">
        <v>35</v>
      </c>
      <c r="N1808" s="11">
        <v>45046.0</v>
      </c>
      <c r="O1808" s="11">
        <v>45124.0</v>
      </c>
      <c r="P1808" s="11">
        <v>45166.0</v>
      </c>
      <c r="Q1808" s="11">
        <v>45124.0</v>
      </c>
      <c r="R1808" s="11">
        <v>45166.0</v>
      </c>
      <c r="S1808" s="12"/>
      <c r="T1808" s="8"/>
      <c r="U1808" s="8" t="s">
        <v>185</v>
      </c>
      <c r="V1808" s="13" t="s">
        <v>545</v>
      </c>
      <c r="W1808" s="13" t="s">
        <v>9024</v>
      </c>
      <c r="X1808" s="12"/>
      <c r="Y1808" s="14"/>
      <c r="Z1808" s="14"/>
    </row>
    <row r="1809">
      <c r="A1809" s="8" t="s">
        <v>9025</v>
      </c>
      <c r="B1809" s="8" t="s">
        <v>9026</v>
      </c>
      <c r="C1809" s="8" t="s">
        <v>25</v>
      </c>
      <c r="D1809" s="8" t="s">
        <v>26</v>
      </c>
      <c r="E1809" s="8" t="s">
        <v>9027</v>
      </c>
      <c r="F1809" s="8">
        <v>5.536702091E9</v>
      </c>
      <c r="G1809" s="8" t="s">
        <v>31</v>
      </c>
      <c r="H1809" s="8" t="s">
        <v>542</v>
      </c>
      <c r="I1809" s="8" t="s">
        <v>127</v>
      </c>
      <c r="J1809" s="8" t="s">
        <v>9028</v>
      </c>
      <c r="K1809" s="10" t="s">
        <v>9029</v>
      </c>
      <c r="L1809" s="8" t="s">
        <v>58</v>
      </c>
      <c r="M1809" s="8" t="s">
        <v>35</v>
      </c>
      <c r="N1809" s="11">
        <v>45046.0</v>
      </c>
      <c r="O1809" s="11">
        <v>45103.0</v>
      </c>
      <c r="P1809" s="11">
        <v>45145.0</v>
      </c>
      <c r="Q1809" s="11">
        <v>45103.0</v>
      </c>
      <c r="R1809" s="11">
        <v>45145.0</v>
      </c>
      <c r="S1809" s="12"/>
      <c r="T1809" s="8"/>
      <c r="U1809" s="8" t="s">
        <v>59</v>
      </c>
      <c r="V1809" s="13" t="s">
        <v>545</v>
      </c>
      <c r="W1809" s="13" t="s">
        <v>9030</v>
      </c>
      <c r="X1809" s="12"/>
      <c r="Y1809" s="14"/>
      <c r="Z1809" s="14"/>
    </row>
    <row r="1810">
      <c r="A1810" s="8" t="s">
        <v>9031</v>
      </c>
      <c r="B1810" s="8" t="s">
        <v>1427</v>
      </c>
      <c r="C1810" s="8" t="s">
        <v>179</v>
      </c>
      <c r="D1810" s="8" t="s">
        <v>26</v>
      </c>
      <c r="E1810" s="8" t="s">
        <v>1428</v>
      </c>
      <c r="F1810" s="8">
        <v>1.0997427E9</v>
      </c>
      <c r="G1810" s="8" t="s">
        <v>284</v>
      </c>
      <c r="H1810" s="8" t="s">
        <v>854</v>
      </c>
      <c r="I1810" s="8" t="s">
        <v>31</v>
      </c>
      <c r="J1810" s="8" t="s">
        <v>111</v>
      </c>
      <c r="K1810" s="10" t="s">
        <v>468</v>
      </c>
      <c r="L1810" s="8" t="s">
        <v>58</v>
      </c>
      <c r="M1810" s="8" t="s">
        <v>35</v>
      </c>
      <c r="N1810" s="11">
        <v>45046.0</v>
      </c>
      <c r="O1810" s="11">
        <v>45243.0</v>
      </c>
      <c r="P1810" s="11">
        <v>45285.0</v>
      </c>
      <c r="Q1810" s="11"/>
      <c r="R1810" s="11"/>
      <c r="S1810" s="12"/>
      <c r="T1810" s="8"/>
      <c r="U1810" s="8" t="s">
        <v>59</v>
      </c>
      <c r="V1810" s="13" t="s">
        <v>856</v>
      </c>
      <c r="W1810" s="13" t="s">
        <v>1429</v>
      </c>
      <c r="X1810" s="12"/>
      <c r="Y1810" s="14"/>
      <c r="Z1810" s="14"/>
    </row>
    <row r="1811">
      <c r="A1811" s="8" t="s">
        <v>9032</v>
      </c>
      <c r="B1811" s="8" t="s">
        <v>9033</v>
      </c>
      <c r="C1811" s="8" t="s">
        <v>25</v>
      </c>
      <c r="D1811" s="8" t="s">
        <v>26</v>
      </c>
      <c r="E1811" s="8" t="s">
        <v>9034</v>
      </c>
      <c r="F1811" s="8">
        <v>7.5591758E8</v>
      </c>
      <c r="G1811" s="8" t="s">
        <v>127</v>
      </c>
      <c r="H1811" s="8" t="s">
        <v>6099</v>
      </c>
      <c r="I1811" s="8" t="s">
        <v>31</v>
      </c>
      <c r="J1811" s="8" t="s">
        <v>102</v>
      </c>
      <c r="K1811" s="10" t="s">
        <v>1113</v>
      </c>
      <c r="L1811" s="8" t="s">
        <v>58</v>
      </c>
      <c r="M1811" s="8" t="s">
        <v>35</v>
      </c>
      <c r="N1811" s="11">
        <v>45046.0</v>
      </c>
      <c r="O1811" s="11">
        <v>45110.0</v>
      </c>
      <c r="P1811" s="11">
        <v>45152.0</v>
      </c>
      <c r="Q1811" s="11">
        <v>45124.0</v>
      </c>
      <c r="R1811" s="11">
        <v>45166.0</v>
      </c>
      <c r="S1811" s="12"/>
      <c r="T1811" s="8"/>
      <c r="U1811" s="8" t="s">
        <v>59</v>
      </c>
      <c r="V1811" s="13" t="s">
        <v>9035</v>
      </c>
      <c r="W1811" s="13" t="s">
        <v>9036</v>
      </c>
      <c r="X1811" s="12"/>
      <c r="Y1811" s="14"/>
      <c r="Z1811" s="14"/>
    </row>
    <row r="1812">
      <c r="A1812" s="8" t="s">
        <v>9037</v>
      </c>
      <c r="B1812" s="8" t="s">
        <v>9038</v>
      </c>
      <c r="C1812" s="8" t="s">
        <v>64</v>
      </c>
      <c r="D1812" s="8" t="s">
        <v>26</v>
      </c>
      <c r="E1812" s="8" t="s">
        <v>9039</v>
      </c>
      <c r="F1812" s="8" t="s">
        <v>9040</v>
      </c>
      <c r="G1812" s="8" t="s">
        <v>31</v>
      </c>
      <c r="H1812" s="8" t="s">
        <v>220</v>
      </c>
      <c r="I1812" s="8" t="s">
        <v>284</v>
      </c>
      <c r="J1812" s="8" t="s">
        <v>285</v>
      </c>
      <c r="K1812" s="10" t="s">
        <v>7771</v>
      </c>
      <c r="L1812" s="8" t="s">
        <v>58</v>
      </c>
      <c r="M1812" s="8" t="s">
        <v>35</v>
      </c>
      <c r="N1812" s="11">
        <v>45047.0</v>
      </c>
      <c r="O1812" s="11">
        <v>45139.0</v>
      </c>
      <c r="P1812" s="11">
        <v>45181.0</v>
      </c>
      <c r="Q1812" s="11">
        <v>45140.0</v>
      </c>
      <c r="R1812" s="11">
        <v>45181.0</v>
      </c>
      <c r="S1812" s="12"/>
      <c r="T1812" s="8"/>
      <c r="U1812" s="8" t="s">
        <v>185</v>
      </c>
      <c r="V1812" s="13" t="s">
        <v>220</v>
      </c>
      <c r="W1812" s="13" t="s">
        <v>9041</v>
      </c>
      <c r="X1812" s="12"/>
      <c r="Y1812" s="14"/>
      <c r="Z1812" s="14"/>
    </row>
    <row r="1813">
      <c r="A1813" s="8" t="s">
        <v>9042</v>
      </c>
      <c r="B1813" s="8" t="s">
        <v>9043</v>
      </c>
      <c r="C1813" s="8" t="s">
        <v>179</v>
      </c>
      <c r="D1813" s="8" t="s">
        <v>26</v>
      </c>
      <c r="E1813" s="8" t="s">
        <v>9044</v>
      </c>
      <c r="F1813" s="8">
        <v>5.050479081E9</v>
      </c>
      <c r="G1813" s="8" t="s">
        <v>31</v>
      </c>
      <c r="H1813" s="8" t="s">
        <v>220</v>
      </c>
      <c r="I1813" s="8" t="s">
        <v>284</v>
      </c>
      <c r="J1813" s="8" t="s">
        <v>285</v>
      </c>
      <c r="K1813" s="10" t="s">
        <v>7771</v>
      </c>
      <c r="L1813" s="8" t="s">
        <v>58</v>
      </c>
      <c r="M1813" s="8" t="s">
        <v>35</v>
      </c>
      <c r="N1813" s="11">
        <v>45047.0</v>
      </c>
      <c r="O1813" s="11">
        <v>45139.0</v>
      </c>
      <c r="P1813" s="11">
        <v>45181.0</v>
      </c>
      <c r="Q1813" s="11"/>
      <c r="R1813" s="11"/>
      <c r="S1813" s="12"/>
      <c r="T1813" s="8"/>
      <c r="U1813" s="8" t="s">
        <v>185</v>
      </c>
      <c r="V1813" s="13" t="s">
        <v>220</v>
      </c>
      <c r="W1813" s="13" t="s">
        <v>9045</v>
      </c>
      <c r="X1813" s="12"/>
      <c r="Y1813" s="14"/>
      <c r="Z1813" s="14"/>
    </row>
    <row r="1814">
      <c r="A1814" s="8" t="s">
        <v>9046</v>
      </c>
      <c r="B1814" s="8" t="s">
        <v>9047</v>
      </c>
      <c r="C1814" s="8" t="s">
        <v>179</v>
      </c>
      <c r="D1814" s="8" t="s">
        <v>26</v>
      </c>
      <c r="E1814" s="8" t="s">
        <v>9048</v>
      </c>
      <c r="F1814" s="8">
        <v>1.092669235E9</v>
      </c>
      <c r="G1814" s="8" t="s">
        <v>284</v>
      </c>
      <c r="H1814" s="8" t="s">
        <v>691</v>
      </c>
      <c r="I1814" s="8" t="s">
        <v>31</v>
      </c>
      <c r="J1814" s="8" t="s">
        <v>438</v>
      </c>
      <c r="K1814" s="10" t="s">
        <v>8748</v>
      </c>
      <c r="L1814" s="8" t="s">
        <v>58</v>
      </c>
      <c r="M1814" s="8" t="s">
        <v>35</v>
      </c>
      <c r="N1814" s="11">
        <v>45047.0</v>
      </c>
      <c r="O1814" s="11">
        <v>45180.0</v>
      </c>
      <c r="P1814" s="11">
        <v>45222.0</v>
      </c>
      <c r="Q1814" s="11"/>
      <c r="R1814" s="11"/>
      <c r="S1814" s="12"/>
      <c r="T1814" s="8"/>
      <c r="U1814" s="8" t="s">
        <v>59</v>
      </c>
      <c r="V1814" s="13" t="s">
        <v>692</v>
      </c>
      <c r="W1814" s="13" t="s">
        <v>9049</v>
      </c>
      <c r="X1814" s="12"/>
      <c r="Y1814" s="14"/>
      <c r="Z1814" s="14"/>
    </row>
    <row r="1815">
      <c r="A1815" s="8" t="s">
        <v>9050</v>
      </c>
      <c r="B1815" s="8" t="s">
        <v>9051</v>
      </c>
      <c r="C1815" s="8" t="s">
        <v>179</v>
      </c>
      <c r="D1815" s="8" t="s">
        <v>26</v>
      </c>
      <c r="E1815" s="8" t="s">
        <v>9052</v>
      </c>
      <c r="F1815" s="8" t="s">
        <v>9053</v>
      </c>
      <c r="G1815" s="8" t="s">
        <v>54</v>
      </c>
      <c r="H1815" s="8" t="s">
        <v>377</v>
      </c>
      <c r="I1815" s="8" t="s">
        <v>31</v>
      </c>
      <c r="J1815" s="8" t="s">
        <v>167</v>
      </c>
      <c r="K1815" s="10" t="s">
        <v>8437</v>
      </c>
      <c r="L1815" s="8" t="s">
        <v>58</v>
      </c>
      <c r="M1815" s="8" t="s">
        <v>35</v>
      </c>
      <c r="N1815" s="11">
        <v>45047.0</v>
      </c>
      <c r="O1815" s="11">
        <v>45124.0</v>
      </c>
      <c r="P1815" s="11">
        <v>45166.0</v>
      </c>
      <c r="Q1815" s="11"/>
      <c r="R1815" s="11"/>
      <c r="S1815" s="12"/>
      <c r="T1815" s="8"/>
      <c r="U1815" s="8" t="s">
        <v>130</v>
      </c>
      <c r="V1815" s="13" t="s">
        <v>378</v>
      </c>
      <c r="W1815" s="13" t="s">
        <v>9054</v>
      </c>
      <c r="X1815" s="12"/>
      <c r="Y1815" s="14"/>
      <c r="Z1815" s="14"/>
    </row>
    <row r="1816">
      <c r="A1816" s="8" t="s">
        <v>9055</v>
      </c>
      <c r="B1816" s="8" t="s">
        <v>9056</v>
      </c>
      <c r="C1816" s="8" t="s">
        <v>179</v>
      </c>
      <c r="D1816" s="8" t="s">
        <v>26</v>
      </c>
      <c r="E1816" s="8" t="s">
        <v>9057</v>
      </c>
      <c r="F1816" s="8">
        <v>5.434820185E9</v>
      </c>
      <c r="G1816" s="8" t="s">
        <v>31</v>
      </c>
      <c r="H1816" s="8" t="s">
        <v>256</v>
      </c>
      <c r="I1816" s="8" t="s">
        <v>221</v>
      </c>
      <c r="J1816" s="8" t="s">
        <v>3050</v>
      </c>
      <c r="K1816" s="10" t="s">
        <v>9058</v>
      </c>
      <c r="L1816" s="8" t="s">
        <v>58</v>
      </c>
      <c r="M1816" s="8" t="s">
        <v>35</v>
      </c>
      <c r="N1816" s="11">
        <v>45047.0</v>
      </c>
      <c r="O1816" s="11">
        <v>45096.0</v>
      </c>
      <c r="P1816" s="11">
        <v>45138.0</v>
      </c>
      <c r="Q1816" s="11"/>
      <c r="R1816" s="11"/>
      <c r="S1816" s="12"/>
      <c r="T1816" s="8"/>
      <c r="U1816" s="8" t="s">
        <v>88</v>
      </c>
      <c r="V1816" s="13" t="s">
        <v>256</v>
      </c>
      <c r="W1816" s="13" t="s">
        <v>9059</v>
      </c>
      <c r="X1816" s="12"/>
      <c r="Y1816" s="14"/>
      <c r="Z1816" s="14"/>
    </row>
    <row r="1817">
      <c r="A1817" s="8" t="s">
        <v>9060</v>
      </c>
      <c r="B1817" s="8" t="s">
        <v>9061</v>
      </c>
      <c r="C1817" s="8" t="s">
        <v>179</v>
      </c>
      <c r="D1817" s="8" t="s">
        <v>26</v>
      </c>
      <c r="E1817" s="8" t="s">
        <v>9062</v>
      </c>
      <c r="F1817" s="8"/>
      <c r="G1817" s="8" t="s">
        <v>31</v>
      </c>
      <c r="H1817" s="8" t="s">
        <v>220</v>
      </c>
      <c r="I1817" s="8" t="s">
        <v>44</v>
      </c>
      <c r="J1817" s="8" t="s">
        <v>741</v>
      </c>
      <c r="K1817" s="10" t="s">
        <v>8264</v>
      </c>
      <c r="L1817" s="8" t="s">
        <v>58</v>
      </c>
      <c r="M1817" s="8" t="s">
        <v>35</v>
      </c>
      <c r="N1817" s="11">
        <v>45047.0</v>
      </c>
      <c r="O1817" s="11">
        <v>45261.0</v>
      </c>
      <c r="P1817" s="11">
        <v>45303.0</v>
      </c>
      <c r="Q1817" s="11"/>
      <c r="R1817" s="11"/>
      <c r="S1817" s="12"/>
      <c r="T1817" s="8"/>
      <c r="U1817" s="8" t="s">
        <v>1038</v>
      </c>
      <c r="V1817" s="13" t="s">
        <v>220</v>
      </c>
      <c r="W1817" s="13" t="s">
        <v>9063</v>
      </c>
      <c r="X1817" s="12"/>
      <c r="Y1817" s="14"/>
      <c r="Z1817" s="14"/>
    </row>
    <row r="1818">
      <c r="A1818" s="8" t="s">
        <v>9064</v>
      </c>
      <c r="B1818" s="8" t="s">
        <v>9065</v>
      </c>
      <c r="C1818" s="8" t="s">
        <v>25</v>
      </c>
      <c r="D1818" s="8" t="s">
        <v>26</v>
      </c>
      <c r="E1818" s="8" t="s">
        <v>9066</v>
      </c>
      <c r="F1818" s="8">
        <v>5.07996852E9</v>
      </c>
      <c r="G1818" s="8" t="s">
        <v>31</v>
      </c>
      <c r="H1818" s="8" t="s">
        <v>56</v>
      </c>
      <c r="I1818" s="8" t="s">
        <v>54</v>
      </c>
      <c r="J1818" s="8" t="s">
        <v>430</v>
      </c>
      <c r="K1818" s="10" t="s">
        <v>9067</v>
      </c>
      <c r="L1818" s="8" t="s">
        <v>47</v>
      </c>
      <c r="M1818" s="8" t="s">
        <v>35</v>
      </c>
      <c r="N1818" s="11">
        <v>45047.0</v>
      </c>
      <c r="O1818" s="11">
        <v>45108.0</v>
      </c>
      <c r="P1818" s="11">
        <v>45171.0</v>
      </c>
      <c r="Q1818" s="11">
        <v>45107.0</v>
      </c>
      <c r="R1818" s="11">
        <v>45171.0</v>
      </c>
      <c r="S1818" s="12"/>
      <c r="T1818" s="8"/>
      <c r="U1818" s="8" t="s">
        <v>9068</v>
      </c>
      <c r="V1818" s="13" t="s">
        <v>56</v>
      </c>
      <c r="W1818" s="13" t="s">
        <v>9069</v>
      </c>
      <c r="X1818" s="12"/>
      <c r="Y1818" s="14"/>
      <c r="Z1818" s="14"/>
    </row>
    <row r="1819">
      <c r="A1819" s="8" t="s">
        <v>9070</v>
      </c>
      <c r="B1819" s="8" t="s">
        <v>9071</v>
      </c>
      <c r="C1819" s="8" t="s">
        <v>179</v>
      </c>
      <c r="D1819" s="8" t="s">
        <v>26</v>
      </c>
      <c r="E1819" s="8" t="s">
        <v>9072</v>
      </c>
      <c r="F1819" s="8"/>
      <c r="G1819" s="8" t="s">
        <v>31</v>
      </c>
      <c r="H1819" s="8" t="s">
        <v>86</v>
      </c>
      <c r="I1819" s="8" t="s">
        <v>284</v>
      </c>
      <c r="J1819" s="8" t="s">
        <v>793</v>
      </c>
      <c r="K1819" s="10" t="s">
        <v>2688</v>
      </c>
      <c r="L1819" s="8" t="s">
        <v>58</v>
      </c>
      <c r="M1819" s="8" t="s">
        <v>35</v>
      </c>
      <c r="N1819" s="11">
        <v>45047.0</v>
      </c>
      <c r="O1819" s="11">
        <v>45170.0</v>
      </c>
      <c r="P1819" s="11">
        <v>45212.0</v>
      </c>
      <c r="Q1819" s="11"/>
      <c r="R1819" s="11"/>
      <c r="S1819" s="12"/>
      <c r="T1819" s="8"/>
      <c r="U1819" s="8" t="s">
        <v>1038</v>
      </c>
      <c r="V1819" s="13" t="s">
        <v>38</v>
      </c>
      <c r="W1819" s="13" t="s">
        <v>9073</v>
      </c>
      <c r="X1819" s="12"/>
      <c r="Y1819" s="14"/>
      <c r="Z1819" s="14"/>
    </row>
    <row r="1820">
      <c r="A1820" s="8" t="s">
        <v>9074</v>
      </c>
      <c r="B1820" s="8" t="s">
        <v>9075</v>
      </c>
      <c r="C1820" s="8" t="s">
        <v>25</v>
      </c>
      <c r="D1820" s="8" t="s">
        <v>26</v>
      </c>
      <c r="E1820" s="8" t="s">
        <v>9076</v>
      </c>
      <c r="F1820" s="8"/>
      <c r="G1820" s="8" t="s">
        <v>1620</v>
      </c>
      <c r="H1820" s="8" t="s">
        <v>3655</v>
      </c>
      <c r="I1820" s="8" t="s">
        <v>31</v>
      </c>
      <c r="J1820" s="8" t="s">
        <v>111</v>
      </c>
      <c r="K1820" s="10" t="s">
        <v>9077</v>
      </c>
      <c r="L1820" s="8" t="s">
        <v>47</v>
      </c>
      <c r="M1820" s="8" t="s">
        <v>35</v>
      </c>
      <c r="N1820" s="11">
        <v>45047.0</v>
      </c>
      <c r="O1820" s="11">
        <v>45096.0</v>
      </c>
      <c r="P1820" s="11">
        <v>45165.0</v>
      </c>
      <c r="Q1820" s="11">
        <v>45096.0</v>
      </c>
      <c r="R1820" s="11">
        <v>45165.0</v>
      </c>
      <c r="S1820" s="12"/>
      <c r="T1820" s="8"/>
      <c r="U1820" s="8" t="s">
        <v>246</v>
      </c>
      <c r="V1820" s="13" t="s">
        <v>38</v>
      </c>
      <c r="W1820" s="13" t="s">
        <v>9078</v>
      </c>
      <c r="X1820" s="12"/>
      <c r="Y1820" s="14"/>
      <c r="Z1820" s="14"/>
    </row>
    <row r="1821">
      <c r="A1821" s="8" t="s">
        <v>9079</v>
      </c>
      <c r="B1821" s="8" t="s">
        <v>9080</v>
      </c>
      <c r="C1821" s="8" t="s">
        <v>708</v>
      </c>
      <c r="D1821" s="8" t="s">
        <v>26</v>
      </c>
      <c r="E1821" s="8" t="s">
        <v>9081</v>
      </c>
      <c r="F1821" s="8">
        <v>6.96882457E8</v>
      </c>
      <c r="G1821" s="8" t="s">
        <v>84</v>
      </c>
      <c r="H1821" s="8" t="s">
        <v>752</v>
      </c>
      <c r="I1821" s="8" t="s">
        <v>31</v>
      </c>
      <c r="J1821" s="8" t="s">
        <v>86</v>
      </c>
      <c r="K1821" s="10" t="s">
        <v>5449</v>
      </c>
      <c r="L1821" s="8" t="s">
        <v>34</v>
      </c>
      <c r="M1821" s="8" t="s">
        <v>70</v>
      </c>
      <c r="N1821" s="11">
        <v>45047.0</v>
      </c>
      <c r="O1821" s="11">
        <v>45089.0</v>
      </c>
      <c r="P1821" s="11">
        <v>45611.0</v>
      </c>
      <c r="Q1821" s="11">
        <v>45089.0</v>
      </c>
      <c r="R1821" s="11">
        <v>45611.0</v>
      </c>
      <c r="S1821" s="12"/>
      <c r="T1821" s="8" t="s">
        <v>36</v>
      </c>
      <c r="U1821" s="8" t="s">
        <v>5450</v>
      </c>
      <c r="V1821" s="13" t="s">
        <v>9082</v>
      </c>
      <c r="W1821" s="13" t="s">
        <v>9083</v>
      </c>
      <c r="X1821" s="12"/>
      <c r="Y1821" s="14"/>
      <c r="Z1821" s="14"/>
    </row>
    <row r="1822">
      <c r="A1822" s="8" t="s">
        <v>9084</v>
      </c>
      <c r="B1822" s="8" t="s">
        <v>9085</v>
      </c>
      <c r="C1822" s="8" t="s">
        <v>25</v>
      </c>
      <c r="D1822" s="8" t="s">
        <v>26</v>
      </c>
      <c r="E1822" s="8" t="s">
        <v>9086</v>
      </c>
      <c r="F1822" s="8"/>
      <c r="G1822" s="8" t="s">
        <v>31</v>
      </c>
      <c r="H1822" s="8" t="s">
        <v>32</v>
      </c>
      <c r="I1822" s="8" t="s">
        <v>284</v>
      </c>
      <c r="J1822" s="8" t="s">
        <v>285</v>
      </c>
      <c r="K1822" s="10" t="s">
        <v>9087</v>
      </c>
      <c r="L1822" s="8" t="s">
        <v>58</v>
      </c>
      <c r="M1822" s="8" t="s">
        <v>35</v>
      </c>
      <c r="N1822" s="11">
        <v>45047.0</v>
      </c>
      <c r="O1822" s="11">
        <v>45108.0</v>
      </c>
      <c r="P1822" s="11">
        <v>45150.0</v>
      </c>
      <c r="Q1822" s="11">
        <v>45114.0</v>
      </c>
      <c r="R1822" s="11">
        <v>45156.0</v>
      </c>
      <c r="S1822" s="12"/>
      <c r="T1822" s="8"/>
      <c r="U1822" s="8" t="s">
        <v>59</v>
      </c>
      <c r="V1822" s="13" t="s">
        <v>38</v>
      </c>
      <c r="W1822" s="13" t="s">
        <v>9088</v>
      </c>
      <c r="X1822" s="12"/>
      <c r="Y1822" s="14"/>
      <c r="Z1822" s="14"/>
    </row>
    <row r="1823">
      <c r="A1823" s="8" t="s">
        <v>9089</v>
      </c>
      <c r="B1823" s="8" t="s">
        <v>9090</v>
      </c>
      <c r="C1823" s="8" t="s">
        <v>179</v>
      </c>
      <c r="D1823" s="8" t="s">
        <v>26</v>
      </c>
      <c r="E1823" s="8" t="s">
        <v>9091</v>
      </c>
      <c r="F1823" s="8">
        <v>1.033231996E9</v>
      </c>
      <c r="G1823" s="8" t="s">
        <v>284</v>
      </c>
      <c r="H1823" s="8" t="s">
        <v>691</v>
      </c>
      <c r="I1823" s="8" t="s">
        <v>31</v>
      </c>
      <c r="J1823" s="8" t="s">
        <v>438</v>
      </c>
      <c r="K1823" s="10" t="s">
        <v>6001</v>
      </c>
      <c r="L1823" s="8" t="s">
        <v>58</v>
      </c>
      <c r="M1823" s="8" t="s">
        <v>35</v>
      </c>
      <c r="N1823" s="11">
        <v>45047.0</v>
      </c>
      <c r="O1823" s="11">
        <v>45117.0</v>
      </c>
      <c r="P1823" s="11">
        <v>45159.0</v>
      </c>
      <c r="Q1823" s="11"/>
      <c r="R1823" s="11"/>
      <c r="S1823" s="12"/>
      <c r="T1823" s="8"/>
      <c r="U1823" s="8" t="s">
        <v>59</v>
      </c>
      <c r="V1823" s="13" t="s">
        <v>692</v>
      </c>
      <c r="W1823" s="13" t="s">
        <v>9092</v>
      </c>
      <c r="X1823" s="12"/>
      <c r="Y1823" s="14"/>
      <c r="Z1823" s="14"/>
    </row>
    <row r="1824">
      <c r="A1824" s="8" t="s">
        <v>9093</v>
      </c>
      <c r="B1824" s="8" t="s">
        <v>9094</v>
      </c>
      <c r="C1824" s="8" t="s">
        <v>179</v>
      </c>
      <c r="D1824" s="8" t="s">
        <v>26</v>
      </c>
      <c r="E1824" s="8" t="s">
        <v>9095</v>
      </c>
      <c r="F1824" s="8">
        <v>5.347187163E9</v>
      </c>
      <c r="G1824" s="8" t="s">
        <v>31</v>
      </c>
      <c r="H1824" s="8" t="s">
        <v>86</v>
      </c>
      <c r="I1824" s="8" t="s">
        <v>284</v>
      </c>
      <c r="J1824" s="8" t="s">
        <v>854</v>
      </c>
      <c r="K1824" s="10" t="s">
        <v>9096</v>
      </c>
      <c r="L1824" s="8" t="s">
        <v>58</v>
      </c>
      <c r="M1824" s="8" t="s">
        <v>35</v>
      </c>
      <c r="N1824" s="11">
        <v>45047.0</v>
      </c>
      <c r="O1824" s="11">
        <v>45159.0</v>
      </c>
      <c r="P1824" s="11">
        <v>45204.0</v>
      </c>
      <c r="Q1824" s="11"/>
      <c r="R1824" s="11"/>
      <c r="S1824" s="12"/>
      <c r="T1824" s="8"/>
      <c r="U1824" s="8" t="s">
        <v>59</v>
      </c>
      <c r="V1824" s="13" t="s">
        <v>175</v>
      </c>
      <c r="W1824" s="13" t="s">
        <v>9097</v>
      </c>
      <c r="X1824" s="12"/>
      <c r="Y1824" s="14"/>
      <c r="Z1824" s="14"/>
    </row>
    <row r="1825">
      <c r="A1825" s="8" t="s">
        <v>9098</v>
      </c>
      <c r="B1825" s="8" t="s">
        <v>9099</v>
      </c>
      <c r="C1825" s="8" t="s">
        <v>179</v>
      </c>
      <c r="D1825" s="8" t="s">
        <v>26</v>
      </c>
      <c r="E1825" s="8" t="s">
        <v>9100</v>
      </c>
      <c r="F1825" s="8">
        <v>7.054916703E9</v>
      </c>
      <c r="G1825" s="8" t="s">
        <v>496</v>
      </c>
      <c r="H1825" s="8" t="s">
        <v>497</v>
      </c>
      <c r="I1825" s="8" t="s">
        <v>31</v>
      </c>
      <c r="J1825" s="8" t="s">
        <v>32</v>
      </c>
      <c r="K1825" s="10" t="s">
        <v>2470</v>
      </c>
      <c r="L1825" s="8" t="s">
        <v>58</v>
      </c>
      <c r="M1825" s="8" t="s">
        <v>35</v>
      </c>
      <c r="N1825" s="11">
        <v>45047.0</v>
      </c>
      <c r="O1825" s="11">
        <v>45088.0</v>
      </c>
      <c r="P1825" s="11">
        <v>45130.0</v>
      </c>
      <c r="Q1825" s="11"/>
      <c r="R1825" s="11"/>
      <c r="S1825" s="12"/>
      <c r="T1825" s="8"/>
      <c r="U1825" s="8" t="s">
        <v>59</v>
      </c>
      <c r="V1825" s="13" t="s">
        <v>500</v>
      </c>
      <c r="W1825" s="13" t="s">
        <v>9101</v>
      </c>
      <c r="X1825" s="12"/>
      <c r="Y1825" s="14"/>
      <c r="Z1825" s="14"/>
    </row>
    <row r="1826">
      <c r="A1826" s="8" t="s">
        <v>9102</v>
      </c>
      <c r="B1826" s="8" t="s">
        <v>9103</v>
      </c>
      <c r="C1826" s="8" t="s">
        <v>25</v>
      </c>
      <c r="D1826" s="8" t="s">
        <v>26</v>
      </c>
      <c r="E1826" s="8" t="s">
        <v>9104</v>
      </c>
      <c r="F1826" s="8">
        <v>5.465852129E9</v>
      </c>
      <c r="G1826" s="8" t="s">
        <v>31</v>
      </c>
      <c r="H1826" s="8" t="s">
        <v>56</v>
      </c>
      <c r="I1826" s="8" t="s">
        <v>44</v>
      </c>
      <c r="J1826" s="8" t="s">
        <v>741</v>
      </c>
      <c r="K1826" s="10" t="s">
        <v>9105</v>
      </c>
      <c r="L1826" s="8" t="s">
        <v>58</v>
      </c>
      <c r="M1826" s="8" t="s">
        <v>35</v>
      </c>
      <c r="N1826" s="11">
        <v>45047.0</v>
      </c>
      <c r="O1826" s="11">
        <v>45108.0</v>
      </c>
      <c r="P1826" s="11">
        <v>45152.0</v>
      </c>
      <c r="Q1826" s="11">
        <v>45110.0</v>
      </c>
      <c r="R1826" s="11">
        <v>45152.0</v>
      </c>
      <c r="S1826" s="12"/>
      <c r="T1826" s="8"/>
      <c r="U1826" s="8" t="s">
        <v>339</v>
      </c>
      <c r="V1826" s="13" t="s">
        <v>56</v>
      </c>
      <c r="W1826" s="13" t="s">
        <v>9106</v>
      </c>
      <c r="X1826" s="12"/>
      <c r="Y1826" s="14"/>
      <c r="Z1826" s="14"/>
    </row>
    <row r="1827">
      <c r="A1827" s="8" t="s">
        <v>9107</v>
      </c>
      <c r="B1827" s="8" t="s">
        <v>9108</v>
      </c>
      <c r="C1827" s="8" t="s">
        <v>25</v>
      </c>
      <c r="D1827" s="8" t="s">
        <v>26</v>
      </c>
      <c r="E1827" s="8" t="s">
        <v>9109</v>
      </c>
      <c r="F1827" s="8">
        <v>5.308620326E9</v>
      </c>
      <c r="G1827" s="8" t="s">
        <v>31</v>
      </c>
      <c r="H1827" s="8" t="s">
        <v>86</v>
      </c>
      <c r="I1827" s="8" t="s">
        <v>54</v>
      </c>
      <c r="J1827" s="8" t="s">
        <v>1640</v>
      </c>
      <c r="K1827" s="10" t="s">
        <v>9110</v>
      </c>
      <c r="L1827" s="8" t="s">
        <v>58</v>
      </c>
      <c r="M1827" s="8" t="s">
        <v>35</v>
      </c>
      <c r="N1827" s="11">
        <v>45047.0</v>
      </c>
      <c r="O1827" s="11">
        <v>45122.0</v>
      </c>
      <c r="P1827" s="11">
        <v>45164.0</v>
      </c>
      <c r="Q1827" s="11">
        <v>45127.0</v>
      </c>
      <c r="R1827" s="11">
        <v>45169.0</v>
      </c>
      <c r="S1827" s="12"/>
      <c r="T1827" s="8"/>
      <c r="U1827" s="8" t="s">
        <v>59</v>
      </c>
      <c r="V1827" s="13" t="s">
        <v>175</v>
      </c>
      <c r="W1827" s="13" t="s">
        <v>9111</v>
      </c>
      <c r="X1827" s="12"/>
      <c r="Y1827" s="14"/>
      <c r="Z1827" s="14"/>
    </row>
    <row r="1828">
      <c r="A1828" s="8" t="s">
        <v>9112</v>
      </c>
      <c r="B1828" s="8" t="s">
        <v>9113</v>
      </c>
      <c r="C1828" s="8" t="s">
        <v>64</v>
      </c>
      <c r="D1828" s="8" t="s">
        <v>26</v>
      </c>
      <c r="E1828" s="8" t="s">
        <v>9114</v>
      </c>
      <c r="F1828" s="8">
        <v>7.475738451E9</v>
      </c>
      <c r="G1828" s="8" t="s">
        <v>496</v>
      </c>
      <c r="H1828" s="8" t="s">
        <v>2112</v>
      </c>
      <c r="I1828" s="8" t="s">
        <v>31</v>
      </c>
      <c r="J1828" s="8" t="s">
        <v>86</v>
      </c>
      <c r="K1828" s="10" t="s">
        <v>3621</v>
      </c>
      <c r="L1828" s="8" t="s">
        <v>58</v>
      </c>
      <c r="M1828" s="8" t="s">
        <v>35</v>
      </c>
      <c r="N1828" s="11">
        <v>45047.0</v>
      </c>
      <c r="O1828" s="11">
        <v>45110.0</v>
      </c>
      <c r="P1828" s="11">
        <v>45152.0</v>
      </c>
      <c r="Q1828" s="11">
        <v>45110.0</v>
      </c>
      <c r="R1828" s="11">
        <v>45152.0</v>
      </c>
      <c r="S1828" s="12"/>
      <c r="T1828" s="8"/>
      <c r="U1828" s="8" t="s">
        <v>153</v>
      </c>
      <c r="V1828" s="13" t="s">
        <v>6955</v>
      </c>
      <c r="W1828" s="13" t="s">
        <v>9115</v>
      </c>
      <c r="X1828" s="12"/>
      <c r="Y1828" s="14"/>
      <c r="Z1828" s="14"/>
    </row>
    <row r="1829">
      <c r="A1829" s="8" t="s">
        <v>9116</v>
      </c>
      <c r="B1829" s="8" t="s">
        <v>9117</v>
      </c>
      <c r="C1829" s="8" t="s">
        <v>25</v>
      </c>
      <c r="D1829" s="8" t="s">
        <v>26</v>
      </c>
      <c r="E1829" s="8" t="s">
        <v>9118</v>
      </c>
      <c r="F1829" s="8"/>
      <c r="G1829" s="8" t="s">
        <v>31</v>
      </c>
      <c r="H1829" s="8" t="s">
        <v>86</v>
      </c>
      <c r="I1829" s="8" t="s">
        <v>284</v>
      </c>
      <c r="J1829" s="8" t="s">
        <v>793</v>
      </c>
      <c r="K1829" s="10" t="s">
        <v>6907</v>
      </c>
      <c r="L1829" s="8" t="s">
        <v>58</v>
      </c>
      <c r="M1829" s="8" t="s">
        <v>35</v>
      </c>
      <c r="N1829" s="11">
        <v>45047.0</v>
      </c>
      <c r="O1829" s="11">
        <v>45108.0</v>
      </c>
      <c r="P1829" s="11">
        <v>45150.0</v>
      </c>
      <c r="Q1829" s="11">
        <v>45107.0</v>
      </c>
      <c r="R1829" s="11">
        <v>45151.0</v>
      </c>
      <c r="S1829" s="12"/>
      <c r="T1829" s="8"/>
      <c r="U1829" s="8" t="s">
        <v>59</v>
      </c>
      <c r="V1829" s="13" t="s">
        <v>38</v>
      </c>
      <c r="W1829" s="13" t="s">
        <v>9119</v>
      </c>
      <c r="X1829" s="12"/>
      <c r="Y1829" s="14"/>
      <c r="Z1829" s="14"/>
    </row>
    <row r="1830">
      <c r="A1830" s="8" t="s">
        <v>9120</v>
      </c>
      <c r="B1830" s="8" t="s">
        <v>9121</v>
      </c>
      <c r="C1830" s="8" t="s">
        <v>179</v>
      </c>
      <c r="D1830" s="8" t="s">
        <v>26</v>
      </c>
      <c r="E1830" s="8" t="s">
        <v>9122</v>
      </c>
      <c r="F1830" s="8"/>
      <c r="G1830" s="8" t="s">
        <v>31</v>
      </c>
      <c r="H1830" s="8" t="s">
        <v>77</v>
      </c>
      <c r="I1830" s="8" t="s">
        <v>44</v>
      </c>
      <c r="J1830" s="8" t="s">
        <v>1993</v>
      </c>
      <c r="K1830" s="10" t="s">
        <v>9123</v>
      </c>
      <c r="L1830" s="8" t="s">
        <v>58</v>
      </c>
      <c r="M1830" s="8" t="s">
        <v>35</v>
      </c>
      <c r="N1830" s="11">
        <v>45047.0</v>
      </c>
      <c r="O1830" s="11">
        <v>45115.0</v>
      </c>
      <c r="P1830" s="11">
        <v>45157.0</v>
      </c>
      <c r="Q1830" s="11"/>
      <c r="R1830" s="11"/>
      <c r="S1830" s="12"/>
      <c r="T1830" s="8"/>
      <c r="U1830" s="8" t="s">
        <v>371</v>
      </c>
      <c r="V1830" s="13" t="s">
        <v>38</v>
      </c>
      <c r="W1830" s="13" t="s">
        <v>9124</v>
      </c>
      <c r="X1830" s="12"/>
      <c r="Y1830" s="14"/>
      <c r="Z1830" s="14"/>
    </row>
    <row r="1831">
      <c r="A1831" s="8" t="s">
        <v>9125</v>
      </c>
      <c r="B1831" s="8" t="s">
        <v>9126</v>
      </c>
      <c r="C1831" s="8" t="s">
        <v>179</v>
      </c>
      <c r="D1831" s="8" t="s">
        <v>26</v>
      </c>
      <c r="E1831" s="8" t="s">
        <v>9127</v>
      </c>
      <c r="F1831" s="8">
        <v>1.220710616E9</v>
      </c>
      <c r="G1831" s="8" t="s">
        <v>284</v>
      </c>
      <c r="H1831" s="8" t="s">
        <v>854</v>
      </c>
      <c r="I1831" s="8" t="s">
        <v>31</v>
      </c>
      <c r="J1831" s="8" t="s">
        <v>1032</v>
      </c>
      <c r="K1831" s="10" t="s">
        <v>8157</v>
      </c>
      <c r="L1831" s="8" t="s">
        <v>58</v>
      </c>
      <c r="M1831" s="8" t="s">
        <v>35</v>
      </c>
      <c r="N1831" s="11">
        <v>45048.0</v>
      </c>
      <c r="O1831" s="11">
        <v>45187.0</v>
      </c>
      <c r="P1831" s="11">
        <v>45229.0</v>
      </c>
      <c r="Q1831" s="11"/>
      <c r="R1831" s="11"/>
      <c r="S1831" s="12"/>
      <c r="T1831" s="8"/>
      <c r="U1831" s="8" t="s">
        <v>59</v>
      </c>
      <c r="V1831" s="13" t="s">
        <v>856</v>
      </c>
      <c r="W1831" s="13" t="s">
        <v>9128</v>
      </c>
      <c r="X1831" s="12"/>
      <c r="Y1831" s="14"/>
      <c r="Z1831" s="14"/>
    </row>
    <row r="1832">
      <c r="A1832" s="8" t="s">
        <v>9129</v>
      </c>
      <c r="B1832" s="8" t="s">
        <v>9130</v>
      </c>
      <c r="C1832" s="8" t="s">
        <v>64</v>
      </c>
      <c r="D1832" s="8" t="s">
        <v>26</v>
      </c>
      <c r="E1832" s="8" t="s">
        <v>9131</v>
      </c>
      <c r="F1832" s="8">
        <v>5.2756723E7</v>
      </c>
      <c r="G1832" s="8" t="s">
        <v>54</v>
      </c>
      <c r="H1832" s="8" t="s">
        <v>430</v>
      </c>
      <c r="I1832" s="8" t="s">
        <v>31</v>
      </c>
      <c r="J1832" s="8" t="s">
        <v>102</v>
      </c>
      <c r="K1832" s="10" t="s">
        <v>6221</v>
      </c>
      <c r="L1832" s="8" t="s">
        <v>58</v>
      </c>
      <c r="M1832" s="8" t="s">
        <v>35</v>
      </c>
      <c r="N1832" s="11">
        <v>45048.0</v>
      </c>
      <c r="O1832" s="11">
        <v>45089.0</v>
      </c>
      <c r="P1832" s="11">
        <v>45131.0</v>
      </c>
      <c r="Q1832" s="11">
        <v>45090.0</v>
      </c>
      <c r="R1832" s="11">
        <v>45131.0</v>
      </c>
      <c r="S1832" s="12"/>
      <c r="T1832" s="8"/>
      <c r="U1832" s="8" t="s">
        <v>59</v>
      </c>
      <c r="V1832" s="13" t="s">
        <v>431</v>
      </c>
      <c r="W1832" s="13" t="s">
        <v>9132</v>
      </c>
      <c r="X1832" s="12"/>
      <c r="Y1832" s="14"/>
      <c r="Z1832" s="14"/>
    </row>
    <row r="1833">
      <c r="A1833" s="8" t="s">
        <v>9133</v>
      </c>
      <c r="B1833" s="8" t="s">
        <v>9134</v>
      </c>
      <c r="C1833" s="8" t="s">
        <v>64</v>
      </c>
      <c r="D1833" s="8" t="s">
        <v>26</v>
      </c>
      <c r="E1833" s="8" t="s">
        <v>9135</v>
      </c>
      <c r="F1833" s="8">
        <v>5.356630504E9</v>
      </c>
      <c r="G1833" s="8" t="s">
        <v>31</v>
      </c>
      <c r="H1833" s="8" t="s">
        <v>111</v>
      </c>
      <c r="I1833" s="8" t="s">
        <v>54</v>
      </c>
      <c r="J1833" s="8" t="s">
        <v>430</v>
      </c>
      <c r="K1833" s="10" t="s">
        <v>9136</v>
      </c>
      <c r="L1833" s="8" t="s">
        <v>34</v>
      </c>
      <c r="M1833" s="8" t="s">
        <v>48</v>
      </c>
      <c r="N1833" s="11">
        <v>45048.0</v>
      </c>
      <c r="O1833" s="11">
        <v>45122.0</v>
      </c>
      <c r="P1833" s="11">
        <v>45297.0</v>
      </c>
      <c r="Q1833" s="11">
        <v>45119.0</v>
      </c>
      <c r="R1833" s="11">
        <v>45297.0</v>
      </c>
      <c r="S1833" s="12"/>
      <c r="T1833" s="8" t="s">
        <v>446</v>
      </c>
      <c r="U1833" s="8" t="s">
        <v>9137</v>
      </c>
      <c r="V1833" s="13" t="s">
        <v>111</v>
      </c>
      <c r="W1833" s="13" t="s">
        <v>9138</v>
      </c>
      <c r="X1833" s="12"/>
      <c r="Y1833" s="14"/>
      <c r="Z1833" s="14"/>
    </row>
    <row r="1834">
      <c r="A1834" s="8" t="s">
        <v>9139</v>
      </c>
      <c r="B1834" s="8" t="s">
        <v>9140</v>
      </c>
      <c r="C1834" s="8" t="s">
        <v>25</v>
      </c>
      <c r="D1834" s="8" t="s">
        <v>26</v>
      </c>
      <c r="E1834" s="8" t="s">
        <v>9141</v>
      </c>
      <c r="F1834" s="8">
        <v>5.054185121E9</v>
      </c>
      <c r="G1834" s="8" t="s">
        <v>31</v>
      </c>
      <c r="H1834" s="8" t="s">
        <v>111</v>
      </c>
      <c r="I1834" s="8" t="s">
        <v>44</v>
      </c>
      <c r="J1834" s="8" t="s">
        <v>741</v>
      </c>
      <c r="K1834" s="10" t="s">
        <v>9142</v>
      </c>
      <c r="L1834" s="8" t="s">
        <v>58</v>
      </c>
      <c r="M1834" s="8" t="s">
        <v>35</v>
      </c>
      <c r="N1834" s="11">
        <v>45048.0</v>
      </c>
      <c r="O1834" s="11">
        <v>45170.0</v>
      </c>
      <c r="P1834" s="11">
        <v>45212.0</v>
      </c>
      <c r="Q1834" s="11">
        <v>45173.0</v>
      </c>
      <c r="R1834" s="11">
        <v>45213.0</v>
      </c>
      <c r="S1834" s="12"/>
      <c r="T1834" s="8"/>
      <c r="U1834" s="8" t="s">
        <v>371</v>
      </c>
      <c r="V1834" s="13" t="s">
        <v>111</v>
      </c>
      <c r="W1834" s="13" t="s">
        <v>9143</v>
      </c>
      <c r="X1834" s="12"/>
      <c r="Y1834" s="14"/>
      <c r="Z1834" s="14"/>
    </row>
    <row r="1835">
      <c r="A1835" s="8" t="s">
        <v>9144</v>
      </c>
      <c r="B1835" s="8" t="s">
        <v>9145</v>
      </c>
      <c r="C1835" s="8" t="s">
        <v>25</v>
      </c>
      <c r="D1835" s="8" t="s">
        <v>26</v>
      </c>
      <c r="E1835" s="8" t="s">
        <v>9146</v>
      </c>
      <c r="F1835" s="8">
        <v>5.070443707E9</v>
      </c>
      <c r="G1835" s="8" t="s">
        <v>31</v>
      </c>
      <c r="H1835" s="8" t="s">
        <v>86</v>
      </c>
      <c r="I1835" s="8" t="s">
        <v>127</v>
      </c>
      <c r="J1835" s="8" t="s">
        <v>9028</v>
      </c>
      <c r="K1835" s="10" t="s">
        <v>9029</v>
      </c>
      <c r="L1835" s="8" t="s">
        <v>58</v>
      </c>
      <c r="M1835" s="8" t="s">
        <v>35</v>
      </c>
      <c r="N1835" s="11">
        <v>45048.0</v>
      </c>
      <c r="O1835" s="11">
        <v>45103.0</v>
      </c>
      <c r="P1835" s="11">
        <v>45145.0</v>
      </c>
      <c r="Q1835" s="11">
        <v>45111.0</v>
      </c>
      <c r="R1835" s="11">
        <v>45152.0</v>
      </c>
      <c r="S1835" s="12"/>
      <c r="T1835" s="8"/>
      <c r="U1835" s="8" t="s">
        <v>59</v>
      </c>
      <c r="V1835" s="13" t="s">
        <v>175</v>
      </c>
      <c r="W1835" s="13" t="s">
        <v>9147</v>
      </c>
      <c r="X1835" s="12"/>
      <c r="Y1835" s="14"/>
      <c r="Z1835" s="14"/>
    </row>
    <row r="1836">
      <c r="A1836" s="8" t="s">
        <v>9148</v>
      </c>
      <c r="B1836" s="8" t="s">
        <v>9149</v>
      </c>
      <c r="C1836" s="8" t="s">
        <v>25</v>
      </c>
      <c r="D1836" s="8" t="s">
        <v>26</v>
      </c>
      <c r="E1836" s="8" t="s">
        <v>9150</v>
      </c>
      <c r="F1836" s="8">
        <v>5.366947784E9</v>
      </c>
      <c r="G1836" s="8" t="s">
        <v>31</v>
      </c>
      <c r="H1836" s="8" t="s">
        <v>86</v>
      </c>
      <c r="I1836" s="8" t="s">
        <v>44</v>
      </c>
      <c r="J1836" s="8" t="s">
        <v>1993</v>
      </c>
      <c r="K1836" s="10" t="s">
        <v>7119</v>
      </c>
      <c r="L1836" s="8" t="s">
        <v>58</v>
      </c>
      <c r="M1836" s="8" t="s">
        <v>35</v>
      </c>
      <c r="N1836" s="11">
        <v>45048.0</v>
      </c>
      <c r="O1836" s="11">
        <v>45154.0</v>
      </c>
      <c r="P1836" s="11">
        <v>45196.0</v>
      </c>
      <c r="Q1836" s="11">
        <v>45153.0</v>
      </c>
      <c r="R1836" s="11">
        <v>45196.0</v>
      </c>
      <c r="S1836" s="12"/>
      <c r="T1836" s="8"/>
      <c r="U1836" s="8" t="s">
        <v>3111</v>
      </c>
      <c r="V1836" s="13" t="s">
        <v>175</v>
      </c>
      <c r="W1836" s="13" t="s">
        <v>9151</v>
      </c>
      <c r="X1836" s="12"/>
      <c r="Y1836" s="14"/>
      <c r="Z1836" s="14"/>
    </row>
    <row r="1837">
      <c r="A1837" s="8" t="s">
        <v>9152</v>
      </c>
      <c r="B1837" s="8" t="s">
        <v>9153</v>
      </c>
      <c r="C1837" s="8" t="s">
        <v>179</v>
      </c>
      <c r="D1837" s="8" t="s">
        <v>26</v>
      </c>
      <c r="E1837" s="8" t="s">
        <v>9154</v>
      </c>
      <c r="F1837" s="8">
        <v>5.347703654E9</v>
      </c>
      <c r="G1837" s="8" t="s">
        <v>31</v>
      </c>
      <c r="H1837" s="8" t="s">
        <v>43</v>
      </c>
      <c r="I1837" s="8" t="s">
        <v>284</v>
      </c>
      <c r="J1837" s="8" t="s">
        <v>589</v>
      </c>
      <c r="K1837" s="10" t="s">
        <v>9155</v>
      </c>
      <c r="L1837" s="8" t="s">
        <v>58</v>
      </c>
      <c r="M1837" s="8" t="s">
        <v>35</v>
      </c>
      <c r="N1837" s="11">
        <v>45048.0</v>
      </c>
      <c r="O1837" s="11">
        <v>45139.0</v>
      </c>
      <c r="P1837" s="11">
        <v>45181.0</v>
      </c>
      <c r="Q1837" s="11"/>
      <c r="R1837" s="11"/>
      <c r="S1837" s="12"/>
      <c r="T1837" s="8"/>
      <c r="U1837" s="8" t="s">
        <v>632</v>
      </c>
      <c r="V1837" s="13" t="s">
        <v>43</v>
      </c>
      <c r="W1837" s="13" t="s">
        <v>9156</v>
      </c>
      <c r="X1837" s="12"/>
      <c r="Y1837" s="14"/>
      <c r="Z1837" s="14"/>
    </row>
    <row r="1838">
      <c r="A1838" s="8" t="s">
        <v>9157</v>
      </c>
      <c r="B1838" s="8" t="s">
        <v>4160</v>
      </c>
      <c r="C1838" s="8" t="s">
        <v>179</v>
      </c>
      <c r="D1838" s="8" t="s">
        <v>26</v>
      </c>
      <c r="E1838" s="8" t="s">
        <v>4161</v>
      </c>
      <c r="F1838" s="8">
        <v>8.76620554E9</v>
      </c>
      <c r="G1838" s="8" t="s">
        <v>44</v>
      </c>
      <c r="H1838" s="8" t="s">
        <v>990</v>
      </c>
      <c r="I1838" s="8" t="s">
        <v>31</v>
      </c>
      <c r="J1838" s="8" t="s">
        <v>438</v>
      </c>
      <c r="K1838" s="10" t="s">
        <v>8748</v>
      </c>
      <c r="L1838" s="8" t="s">
        <v>58</v>
      </c>
      <c r="M1838" s="8" t="s">
        <v>35</v>
      </c>
      <c r="N1838" s="11">
        <v>45048.0</v>
      </c>
      <c r="O1838" s="11">
        <v>45180.0</v>
      </c>
      <c r="P1838" s="11">
        <v>45222.0</v>
      </c>
      <c r="Q1838" s="11"/>
      <c r="R1838" s="11"/>
      <c r="S1838" s="12"/>
      <c r="T1838" s="8"/>
      <c r="U1838" s="8" t="s">
        <v>59</v>
      </c>
      <c r="V1838" s="13" t="s">
        <v>2005</v>
      </c>
      <c r="W1838" s="13" t="s">
        <v>4162</v>
      </c>
      <c r="X1838" s="12"/>
      <c r="Y1838" s="14"/>
      <c r="Z1838" s="14"/>
    </row>
    <row r="1839">
      <c r="A1839" s="8" t="s">
        <v>9158</v>
      </c>
      <c r="B1839" s="8" t="s">
        <v>9159</v>
      </c>
      <c r="C1839" s="8" t="s">
        <v>25</v>
      </c>
      <c r="D1839" s="8" t="s">
        <v>26</v>
      </c>
      <c r="E1839" s="8" t="s">
        <v>9160</v>
      </c>
      <c r="F1839" s="8">
        <v>5.422387558E9</v>
      </c>
      <c r="G1839" s="8" t="s">
        <v>31</v>
      </c>
      <c r="H1839" s="8" t="s">
        <v>86</v>
      </c>
      <c r="I1839" s="8" t="s">
        <v>284</v>
      </c>
      <c r="J1839" s="8" t="s">
        <v>285</v>
      </c>
      <c r="K1839" s="10" t="s">
        <v>9161</v>
      </c>
      <c r="L1839" s="8" t="s">
        <v>58</v>
      </c>
      <c r="M1839" s="8" t="s">
        <v>35</v>
      </c>
      <c r="N1839" s="11">
        <v>45048.0</v>
      </c>
      <c r="O1839" s="11">
        <v>45108.0</v>
      </c>
      <c r="P1839" s="11">
        <v>45150.0</v>
      </c>
      <c r="Q1839" s="11">
        <v>45109.0</v>
      </c>
      <c r="R1839" s="11">
        <v>45150.0</v>
      </c>
      <c r="S1839" s="12"/>
      <c r="T1839" s="8"/>
      <c r="U1839" s="8" t="s">
        <v>59</v>
      </c>
      <c r="V1839" s="13" t="s">
        <v>175</v>
      </c>
      <c r="W1839" s="13" t="s">
        <v>9162</v>
      </c>
      <c r="X1839" s="12"/>
      <c r="Y1839" s="14"/>
      <c r="Z1839" s="14"/>
    </row>
    <row r="1840">
      <c r="A1840" s="8" t="s">
        <v>9163</v>
      </c>
      <c r="B1840" s="8" t="s">
        <v>9164</v>
      </c>
      <c r="C1840" s="8" t="s">
        <v>25</v>
      </c>
      <c r="D1840" s="8" t="s">
        <v>26</v>
      </c>
      <c r="E1840" s="8" t="s">
        <v>9165</v>
      </c>
      <c r="F1840" s="8">
        <v>5.061209635E9</v>
      </c>
      <c r="G1840" s="8" t="s">
        <v>31</v>
      </c>
      <c r="H1840" s="8" t="s">
        <v>32</v>
      </c>
      <c r="I1840" s="8" t="s">
        <v>284</v>
      </c>
      <c r="J1840" s="8" t="s">
        <v>793</v>
      </c>
      <c r="K1840" s="10" t="s">
        <v>8983</v>
      </c>
      <c r="L1840" s="8" t="s">
        <v>58</v>
      </c>
      <c r="M1840" s="8" t="s">
        <v>35</v>
      </c>
      <c r="N1840" s="11">
        <v>45048.0</v>
      </c>
      <c r="O1840" s="11">
        <v>45108.0</v>
      </c>
      <c r="P1840" s="11">
        <v>45150.0</v>
      </c>
      <c r="Q1840" s="11">
        <v>45107.0</v>
      </c>
      <c r="R1840" s="11">
        <v>45151.0</v>
      </c>
      <c r="S1840" s="12"/>
      <c r="T1840" s="8"/>
      <c r="U1840" s="8" t="s">
        <v>1038</v>
      </c>
      <c r="V1840" s="13" t="s">
        <v>537</v>
      </c>
      <c r="W1840" s="13" t="s">
        <v>9166</v>
      </c>
      <c r="X1840" s="12"/>
      <c r="Y1840" s="14"/>
      <c r="Z1840" s="14"/>
    </row>
    <row r="1841">
      <c r="A1841" s="8" t="s">
        <v>9167</v>
      </c>
      <c r="B1841" s="8" t="s">
        <v>9168</v>
      </c>
      <c r="C1841" s="8" t="s">
        <v>179</v>
      </c>
      <c r="D1841" s="8" t="s">
        <v>26</v>
      </c>
      <c r="E1841" s="8" t="s">
        <v>9169</v>
      </c>
      <c r="F1841" s="8"/>
      <c r="G1841" s="8" t="s">
        <v>54</v>
      </c>
      <c r="H1841" s="8" t="s">
        <v>76</v>
      </c>
      <c r="I1841" s="8" t="s">
        <v>31</v>
      </c>
      <c r="J1841" s="8" t="s">
        <v>86</v>
      </c>
      <c r="K1841" s="10" t="s">
        <v>3621</v>
      </c>
      <c r="L1841" s="8" t="s">
        <v>58</v>
      </c>
      <c r="M1841" s="8" t="s">
        <v>35</v>
      </c>
      <c r="N1841" s="11">
        <v>45048.0</v>
      </c>
      <c r="O1841" s="11">
        <v>45111.0</v>
      </c>
      <c r="P1841" s="11">
        <v>45153.0</v>
      </c>
      <c r="Q1841" s="11"/>
      <c r="R1841" s="11"/>
      <c r="S1841" s="12"/>
      <c r="T1841" s="8"/>
      <c r="U1841" s="8" t="s">
        <v>153</v>
      </c>
      <c r="V1841" s="13" t="s">
        <v>38</v>
      </c>
      <c r="W1841" s="13" t="s">
        <v>9170</v>
      </c>
      <c r="X1841" s="12"/>
      <c r="Y1841" s="14"/>
      <c r="Z1841" s="14"/>
    </row>
    <row r="1842">
      <c r="A1842" s="8" t="s">
        <v>9171</v>
      </c>
      <c r="B1842" s="8" t="s">
        <v>9172</v>
      </c>
      <c r="C1842" s="8" t="s">
        <v>179</v>
      </c>
      <c r="D1842" s="8" t="s">
        <v>26</v>
      </c>
      <c r="E1842" s="8" t="s">
        <v>9173</v>
      </c>
      <c r="F1842" s="8"/>
      <c r="G1842" s="8" t="s">
        <v>31</v>
      </c>
      <c r="H1842" s="8" t="s">
        <v>438</v>
      </c>
      <c r="I1842" s="8" t="s">
        <v>284</v>
      </c>
      <c r="J1842" s="8" t="s">
        <v>793</v>
      </c>
      <c r="K1842" s="10" t="s">
        <v>9174</v>
      </c>
      <c r="L1842" s="8" t="s">
        <v>58</v>
      </c>
      <c r="M1842" s="8" t="s">
        <v>35</v>
      </c>
      <c r="N1842" s="11">
        <v>45048.0</v>
      </c>
      <c r="O1842" s="11">
        <v>45108.0</v>
      </c>
      <c r="P1842" s="11">
        <v>45153.0</v>
      </c>
      <c r="Q1842" s="11"/>
      <c r="R1842" s="11"/>
      <c r="S1842" s="12"/>
      <c r="T1842" s="8"/>
      <c r="U1842" s="8" t="s">
        <v>339</v>
      </c>
      <c r="V1842" s="13" t="s">
        <v>38</v>
      </c>
      <c r="W1842" s="13" t="s">
        <v>9175</v>
      </c>
      <c r="X1842" s="12"/>
      <c r="Y1842" s="14"/>
      <c r="Z1842" s="14"/>
    </row>
    <row r="1843">
      <c r="A1843" s="8" t="s">
        <v>9176</v>
      </c>
      <c r="B1843" s="8" t="s">
        <v>9177</v>
      </c>
      <c r="C1843" s="8" t="s">
        <v>25</v>
      </c>
      <c r="D1843" s="8" t="s">
        <v>26</v>
      </c>
      <c r="E1843" s="8" t="s">
        <v>9178</v>
      </c>
      <c r="F1843" s="8"/>
      <c r="G1843" s="8" t="s">
        <v>31</v>
      </c>
      <c r="H1843" s="8" t="s">
        <v>77</v>
      </c>
      <c r="I1843" s="8" t="s">
        <v>54</v>
      </c>
      <c r="J1843" s="8" t="s">
        <v>135</v>
      </c>
      <c r="K1843" s="10" t="s">
        <v>9179</v>
      </c>
      <c r="L1843" s="8" t="s">
        <v>58</v>
      </c>
      <c r="M1843" s="8" t="s">
        <v>35</v>
      </c>
      <c r="N1843" s="11">
        <v>45048.0</v>
      </c>
      <c r="O1843" s="11">
        <v>45117.0</v>
      </c>
      <c r="P1843" s="11">
        <v>45159.0</v>
      </c>
      <c r="Q1843" s="11">
        <v>45117.0</v>
      </c>
      <c r="R1843" s="11">
        <v>45159.0</v>
      </c>
      <c r="S1843" s="12"/>
      <c r="T1843" s="8"/>
      <c r="U1843" s="8" t="s">
        <v>371</v>
      </c>
      <c r="V1843" s="13" t="s">
        <v>38</v>
      </c>
      <c r="W1843" s="13" t="s">
        <v>9180</v>
      </c>
      <c r="X1843" s="12"/>
      <c r="Y1843" s="14"/>
      <c r="Z1843" s="14"/>
    </row>
    <row r="1844">
      <c r="A1844" s="8" t="s">
        <v>9181</v>
      </c>
      <c r="B1844" s="8" t="s">
        <v>9182</v>
      </c>
      <c r="C1844" s="8" t="s">
        <v>25</v>
      </c>
      <c r="D1844" s="8" t="s">
        <v>26</v>
      </c>
      <c r="E1844" s="8" t="s">
        <v>9183</v>
      </c>
      <c r="F1844" s="8">
        <v>5.32340028E9</v>
      </c>
      <c r="G1844" s="8" t="s">
        <v>31</v>
      </c>
      <c r="H1844" s="8" t="s">
        <v>542</v>
      </c>
      <c r="I1844" s="8" t="s">
        <v>54</v>
      </c>
      <c r="J1844" s="8" t="s">
        <v>1911</v>
      </c>
      <c r="K1844" s="10" t="s">
        <v>9184</v>
      </c>
      <c r="L1844" s="8" t="s">
        <v>58</v>
      </c>
      <c r="M1844" s="8" t="s">
        <v>35</v>
      </c>
      <c r="N1844" s="11">
        <v>45048.0</v>
      </c>
      <c r="O1844" s="11">
        <v>45131.0</v>
      </c>
      <c r="P1844" s="11">
        <v>45173.0</v>
      </c>
      <c r="Q1844" s="11">
        <v>45131.0</v>
      </c>
      <c r="R1844" s="11">
        <v>45173.0</v>
      </c>
      <c r="S1844" s="12"/>
      <c r="T1844" s="8"/>
      <c r="U1844" s="8" t="s">
        <v>402</v>
      </c>
      <c r="V1844" s="13" t="s">
        <v>545</v>
      </c>
      <c r="W1844" s="13" t="s">
        <v>9185</v>
      </c>
      <c r="X1844" s="12"/>
      <c r="Y1844" s="14"/>
      <c r="Z1844" s="14"/>
    </row>
    <row r="1845">
      <c r="A1845" s="8" t="s">
        <v>9186</v>
      </c>
      <c r="B1845" s="8" t="s">
        <v>9187</v>
      </c>
      <c r="C1845" s="8" t="s">
        <v>25</v>
      </c>
      <c r="D1845" s="8" t="s">
        <v>26</v>
      </c>
      <c r="E1845" s="8" t="s">
        <v>9188</v>
      </c>
      <c r="F1845" s="9" t="s">
        <v>9189</v>
      </c>
      <c r="G1845" s="8" t="s">
        <v>31</v>
      </c>
      <c r="H1845" s="8" t="s">
        <v>86</v>
      </c>
      <c r="I1845" s="8" t="s">
        <v>54</v>
      </c>
      <c r="J1845" s="8" t="s">
        <v>1911</v>
      </c>
      <c r="K1845" s="10" t="s">
        <v>9184</v>
      </c>
      <c r="L1845" s="8" t="s">
        <v>58</v>
      </c>
      <c r="M1845" s="8" t="s">
        <v>35</v>
      </c>
      <c r="N1845" s="11">
        <v>45048.0</v>
      </c>
      <c r="O1845" s="11">
        <v>45131.0</v>
      </c>
      <c r="P1845" s="11">
        <v>45173.0</v>
      </c>
      <c r="Q1845" s="11">
        <v>45131.0</v>
      </c>
      <c r="R1845" s="11">
        <v>45173.0</v>
      </c>
      <c r="S1845" s="12"/>
      <c r="T1845" s="8"/>
      <c r="U1845" s="8" t="s">
        <v>402</v>
      </c>
      <c r="V1845" s="13" t="s">
        <v>175</v>
      </c>
      <c r="W1845" s="13" t="s">
        <v>9190</v>
      </c>
      <c r="X1845" s="12"/>
      <c r="Y1845" s="14"/>
      <c r="Z1845" s="14"/>
    </row>
    <row r="1846">
      <c r="A1846" s="8" t="s">
        <v>9191</v>
      </c>
      <c r="B1846" s="8" t="s">
        <v>9192</v>
      </c>
      <c r="C1846" s="8" t="s">
        <v>25</v>
      </c>
      <c r="D1846" s="8" t="s">
        <v>26</v>
      </c>
      <c r="E1846" s="8" t="s">
        <v>9193</v>
      </c>
      <c r="F1846" s="8">
        <v>1.032449735E9</v>
      </c>
      <c r="G1846" s="8" t="s">
        <v>284</v>
      </c>
      <c r="H1846" s="8" t="s">
        <v>673</v>
      </c>
      <c r="I1846" s="8" t="s">
        <v>31</v>
      </c>
      <c r="J1846" s="8" t="s">
        <v>256</v>
      </c>
      <c r="K1846" s="10" t="s">
        <v>3411</v>
      </c>
      <c r="L1846" s="8" t="s">
        <v>58</v>
      </c>
      <c r="M1846" s="8" t="s">
        <v>35</v>
      </c>
      <c r="N1846" s="11">
        <v>45048.0</v>
      </c>
      <c r="O1846" s="11">
        <v>45122.0</v>
      </c>
      <c r="P1846" s="11">
        <v>45164.0</v>
      </c>
      <c r="Q1846" s="11">
        <v>45124.0</v>
      </c>
      <c r="R1846" s="11">
        <v>45164.0</v>
      </c>
      <c r="S1846" s="12"/>
      <c r="T1846" s="8"/>
      <c r="U1846" s="8" t="s">
        <v>59</v>
      </c>
      <c r="V1846" s="13" t="s">
        <v>674</v>
      </c>
      <c r="W1846" s="13" t="s">
        <v>9194</v>
      </c>
      <c r="X1846" s="12"/>
      <c r="Y1846" s="14"/>
      <c r="Z1846" s="14"/>
    </row>
    <row r="1847">
      <c r="A1847" s="8" t="s">
        <v>9195</v>
      </c>
      <c r="B1847" s="8" t="s">
        <v>9196</v>
      </c>
      <c r="C1847" s="8" t="s">
        <v>25</v>
      </c>
      <c r="D1847" s="8" t="s">
        <v>26</v>
      </c>
      <c r="E1847" s="8" t="s">
        <v>9197</v>
      </c>
      <c r="F1847" s="8">
        <v>5.434088485E9</v>
      </c>
      <c r="G1847" s="8" t="s">
        <v>31</v>
      </c>
      <c r="H1847" s="8" t="s">
        <v>86</v>
      </c>
      <c r="I1847" s="8" t="s">
        <v>127</v>
      </c>
      <c r="J1847" s="8" t="s">
        <v>128</v>
      </c>
      <c r="K1847" s="10" t="s">
        <v>9198</v>
      </c>
      <c r="L1847" s="8" t="s">
        <v>58</v>
      </c>
      <c r="M1847" s="8" t="s">
        <v>35</v>
      </c>
      <c r="N1847" s="11">
        <v>45048.0</v>
      </c>
      <c r="O1847" s="11">
        <v>45124.0</v>
      </c>
      <c r="P1847" s="11">
        <v>45166.0</v>
      </c>
      <c r="Q1847" s="11">
        <v>45124.0</v>
      </c>
      <c r="R1847" s="11">
        <v>45166.0</v>
      </c>
      <c r="S1847" s="12"/>
      <c r="T1847" s="8"/>
      <c r="U1847" s="8" t="s">
        <v>339</v>
      </c>
      <c r="V1847" s="13" t="s">
        <v>175</v>
      </c>
      <c r="W1847" s="13" t="s">
        <v>9199</v>
      </c>
      <c r="X1847" s="12"/>
      <c r="Y1847" s="14"/>
      <c r="Z1847" s="14"/>
    </row>
    <row r="1848">
      <c r="A1848" s="8" t="s">
        <v>9200</v>
      </c>
      <c r="B1848" s="8" t="s">
        <v>9201</v>
      </c>
      <c r="C1848" s="8" t="s">
        <v>25</v>
      </c>
      <c r="D1848" s="8" t="s">
        <v>26</v>
      </c>
      <c r="E1848" s="8" t="s">
        <v>9202</v>
      </c>
      <c r="F1848" s="8">
        <v>5.346874337E9</v>
      </c>
      <c r="G1848" s="8" t="s">
        <v>31</v>
      </c>
      <c r="H1848" s="8" t="s">
        <v>111</v>
      </c>
      <c r="I1848" s="8" t="s">
        <v>284</v>
      </c>
      <c r="J1848" s="8" t="s">
        <v>589</v>
      </c>
      <c r="K1848" s="10" t="s">
        <v>6146</v>
      </c>
      <c r="L1848" s="8" t="s">
        <v>58</v>
      </c>
      <c r="M1848" s="8" t="s">
        <v>35</v>
      </c>
      <c r="N1848" s="11">
        <v>45048.0</v>
      </c>
      <c r="O1848" s="11">
        <v>45122.0</v>
      </c>
      <c r="P1848" s="11">
        <v>45164.0</v>
      </c>
      <c r="Q1848" s="11">
        <v>45125.0</v>
      </c>
      <c r="R1848" s="11">
        <v>45166.0</v>
      </c>
      <c r="S1848" s="12"/>
      <c r="T1848" s="8"/>
      <c r="U1848" s="8" t="s">
        <v>1038</v>
      </c>
      <c r="V1848" s="13" t="s">
        <v>111</v>
      </c>
      <c r="W1848" s="13" t="s">
        <v>9203</v>
      </c>
      <c r="X1848" s="12"/>
      <c r="Y1848" s="14"/>
      <c r="Z1848" s="14"/>
    </row>
    <row r="1849">
      <c r="A1849" s="8" t="s">
        <v>9204</v>
      </c>
      <c r="B1849" s="8" t="s">
        <v>9205</v>
      </c>
      <c r="C1849" s="8" t="s">
        <v>179</v>
      </c>
      <c r="D1849" s="8" t="s">
        <v>26</v>
      </c>
      <c r="E1849" s="8" t="s">
        <v>9206</v>
      </c>
      <c r="F1849" s="8">
        <v>5.515515264E9</v>
      </c>
      <c r="G1849" s="8" t="s">
        <v>31</v>
      </c>
      <c r="H1849" s="8" t="s">
        <v>86</v>
      </c>
      <c r="I1849" s="8" t="s">
        <v>1400</v>
      </c>
      <c r="J1849" s="8" t="s">
        <v>1401</v>
      </c>
      <c r="K1849" s="10" t="s">
        <v>8638</v>
      </c>
      <c r="L1849" s="8" t="s">
        <v>58</v>
      </c>
      <c r="M1849" s="8" t="s">
        <v>35</v>
      </c>
      <c r="N1849" s="11">
        <v>45048.0</v>
      </c>
      <c r="O1849" s="11">
        <v>45173.0</v>
      </c>
      <c r="P1849" s="11">
        <v>45215.0</v>
      </c>
      <c r="Q1849" s="11"/>
      <c r="R1849" s="11"/>
      <c r="S1849" s="12"/>
      <c r="T1849" s="8"/>
      <c r="U1849" s="8" t="s">
        <v>88</v>
      </c>
      <c r="V1849" s="13" t="s">
        <v>175</v>
      </c>
      <c r="W1849" s="13" t="s">
        <v>9207</v>
      </c>
      <c r="X1849" s="12"/>
      <c r="Y1849" s="14"/>
      <c r="Z1849" s="14"/>
    </row>
    <row r="1850">
      <c r="A1850" s="8" t="s">
        <v>9208</v>
      </c>
      <c r="B1850" s="8" t="s">
        <v>9209</v>
      </c>
      <c r="C1850" s="8" t="s">
        <v>25</v>
      </c>
      <c r="D1850" s="8" t="s">
        <v>26</v>
      </c>
      <c r="E1850" s="8" t="s">
        <v>9210</v>
      </c>
      <c r="F1850" s="8"/>
      <c r="G1850" s="8" t="s">
        <v>31</v>
      </c>
      <c r="H1850" s="8" t="s">
        <v>77</v>
      </c>
      <c r="I1850" s="8" t="s">
        <v>127</v>
      </c>
      <c r="J1850" s="8" t="s">
        <v>128</v>
      </c>
      <c r="K1850" s="10" t="s">
        <v>9211</v>
      </c>
      <c r="L1850" s="8" t="s">
        <v>58</v>
      </c>
      <c r="M1850" s="8" t="s">
        <v>35</v>
      </c>
      <c r="N1850" s="11">
        <v>45048.0</v>
      </c>
      <c r="O1850" s="11">
        <v>45131.0</v>
      </c>
      <c r="P1850" s="11">
        <v>45173.0</v>
      </c>
      <c r="Q1850" s="11">
        <v>45131.0</v>
      </c>
      <c r="R1850" s="11">
        <v>45173.0</v>
      </c>
      <c r="S1850" s="12"/>
      <c r="T1850" s="8"/>
      <c r="U1850" s="8" t="s">
        <v>88</v>
      </c>
      <c r="V1850" s="13" t="s">
        <v>38</v>
      </c>
      <c r="W1850" s="13" t="s">
        <v>9212</v>
      </c>
      <c r="X1850" s="12"/>
      <c r="Y1850" s="14"/>
      <c r="Z1850" s="14"/>
    </row>
    <row r="1851">
      <c r="A1851" s="8" t="s">
        <v>9213</v>
      </c>
      <c r="B1851" s="8" t="s">
        <v>9214</v>
      </c>
      <c r="C1851" s="8" t="s">
        <v>25</v>
      </c>
      <c r="D1851" s="8" t="s">
        <v>26</v>
      </c>
      <c r="E1851" s="8" t="s">
        <v>9215</v>
      </c>
      <c r="F1851" s="8"/>
      <c r="G1851" s="8" t="s">
        <v>31</v>
      </c>
      <c r="H1851" s="8" t="s">
        <v>542</v>
      </c>
      <c r="I1851" s="8" t="s">
        <v>221</v>
      </c>
      <c r="J1851" s="8" t="s">
        <v>2735</v>
      </c>
      <c r="K1851" s="10" t="s">
        <v>9216</v>
      </c>
      <c r="L1851" s="8" t="s">
        <v>58</v>
      </c>
      <c r="M1851" s="8" t="s">
        <v>35</v>
      </c>
      <c r="N1851" s="11">
        <v>45048.0</v>
      </c>
      <c r="O1851" s="11">
        <v>45096.0</v>
      </c>
      <c r="P1851" s="11">
        <v>45138.0</v>
      </c>
      <c r="Q1851" s="11">
        <v>45097.0</v>
      </c>
      <c r="R1851" s="11">
        <v>45138.0</v>
      </c>
      <c r="S1851" s="12"/>
      <c r="T1851" s="8"/>
      <c r="U1851" s="8" t="s">
        <v>59</v>
      </c>
      <c r="V1851" s="13" t="s">
        <v>38</v>
      </c>
      <c r="W1851" s="13" t="s">
        <v>9217</v>
      </c>
      <c r="X1851" s="12"/>
      <c r="Y1851" s="14"/>
      <c r="Z1851" s="14"/>
    </row>
    <row r="1852">
      <c r="A1852" s="8" t="s">
        <v>9218</v>
      </c>
      <c r="B1852" s="8" t="s">
        <v>9219</v>
      </c>
      <c r="C1852" s="8" t="s">
        <v>25</v>
      </c>
      <c r="D1852" s="8" t="s">
        <v>26</v>
      </c>
      <c r="E1852" s="8" t="s">
        <v>9220</v>
      </c>
      <c r="F1852" s="8"/>
      <c r="G1852" s="8" t="s">
        <v>31</v>
      </c>
      <c r="H1852" s="8" t="s">
        <v>86</v>
      </c>
      <c r="I1852" s="8" t="s">
        <v>29</v>
      </c>
      <c r="J1852" s="8" t="s">
        <v>2448</v>
      </c>
      <c r="K1852" s="10" t="s">
        <v>9221</v>
      </c>
      <c r="L1852" s="8" t="s">
        <v>58</v>
      </c>
      <c r="M1852" s="8" t="s">
        <v>35</v>
      </c>
      <c r="N1852" s="11">
        <v>45048.0</v>
      </c>
      <c r="O1852" s="11">
        <v>45089.0</v>
      </c>
      <c r="P1852" s="11">
        <v>45131.0</v>
      </c>
      <c r="Q1852" s="11">
        <v>45090.0</v>
      </c>
      <c r="R1852" s="11">
        <v>45131.0</v>
      </c>
      <c r="S1852" s="12"/>
      <c r="T1852" s="8"/>
      <c r="U1852" s="8" t="s">
        <v>185</v>
      </c>
      <c r="V1852" s="13" t="s">
        <v>38</v>
      </c>
      <c r="W1852" s="13" t="s">
        <v>9222</v>
      </c>
      <c r="X1852" s="12"/>
      <c r="Y1852" s="14"/>
      <c r="Z1852" s="14"/>
    </row>
    <row r="1853">
      <c r="A1853" s="8" t="s">
        <v>9223</v>
      </c>
      <c r="B1853" s="8" t="s">
        <v>9224</v>
      </c>
      <c r="C1853" s="8" t="s">
        <v>25</v>
      </c>
      <c r="D1853" s="8" t="s">
        <v>26</v>
      </c>
      <c r="E1853" s="8" t="s">
        <v>9225</v>
      </c>
      <c r="F1853" s="8">
        <v>5.367126264E9</v>
      </c>
      <c r="G1853" s="8" t="s">
        <v>31</v>
      </c>
      <c r="H1853" s="8" t="s">
        <v>292</v>
      </c>
      <c r="I1853" s="8" t="s">
        <v>127</v>
      </c>
      <c r="J1853" s="8" t="s">
        <v>128</v>
      </c>
      <c r="K1853" s="10" t="s">
        <v>9226</v>
      </c>
      <c r="L1853" s="8" t="s">
        <v>58</v>
      </c>
      <c r="M1853" s="8" t="s">
        <v>35</v>
      </c>
      <c r="N1853" s="11">
        <v>45048.0</v>
      </c>
      <c r="O1853" s="11">
        <v>45096.0</v>
      </c>
      <c r="P1853" s="11">
        <v>45138.0</v>
      </c>
      <c r="Q1853" s="11">
        <v>45096.0</v>
      </c>
      <c r="R1853" s="11">
        <v>45138.0</v>
      </c>
      <c r="S1853" s="12"/>
      <c r="T1853" s="8"/>
      <c r="U1853" s="8" t="s">
        <v>88</v>
      </c>
      <c r="V1853" s="13" t="s">
        <v>292</v>
      </c>
      <c r="W1853" s="13" t="s">
        <v>9227</v>
      </c>
      <c r="X1853" s="12"/>
      <c r="Y1853" s="14"/>
      <c r="Z1853" s="14"/>
    </row>
    <row r="1854">
      <c r="A1854" s="8" t="s">
        <v>9228</v>
      </c>
      <c r="B1854" s="8" t="s">
        <v>9229</v>
      </c>
      <c r="C1854" s="8" t="s">
        <v>25</v>
      </c>
      <c r="D1854" s="8" t="s">
        <v>26</v>
      </c>
      <c r="E1854" s="8" t="s">
        <v>9230</v>
      </c>
      <c r="F1854" s="8">
        <v>5.05368235E9</v>
      </c>
      <c r="G1854" s="8" t="s">
        <v>31</v>
      </c>
      <c r="H1854" s="8" t="s">
        <v>56</v>
      </c>
      <c r="I1854" s="8" t="s">
        <v>127</v>
      </c>
      <c r="J1854" s="8" t="s">
        <v>3542</v>
      </c>
      <c r="K1854" s="10" t="s">
        <v>9231</v>
      </c>
      <c r="L1854" s="8" t="s">
        <v>58</v>
      </c>
      <c r="M1854" s="8" t="s">
        <v>35</v>
      </c>
      <c r="N1854" s="11">
        <v>45048.0</v>
      </c>
      <c r="O1854" s="11">
        <v>45131.0</v>
      </c>
      <c r="P1854" s="11">
        <v>45173.0</v>
      </c>
      <c r="Q1854" s="11">
        <v>45133.0</v>
      </c>
      <c r="R1854" s="11">
        <v>45173.0</v>
      </c>
      <c r="S1854" s="12"/>
      <c r="T1854" s="8"/>
      <c r="U1854" s="8" t="s">
        <v>59</v>
      </c>
      <c r="V1854" s="13" t="s">
        <v>56</v>
      </c>
      <c r="W1854" s="13" t="s">
        <v>9232</v>
      </c>
      <c r="X1854" s="12"/>
      <c r="Y1854" s="14"/>
      <c r="Z1854" s="14"/>
    </row>
    <row r="1855">
      <c r="A1855" s="8" t="s">
        <v>9233</v>
      </c>
      <c r="B1855" s="8" t="s">
        <v>9234</v>
      </c>
      <c r="C1855" s="8" t="s">
        <v>179</v>
      </c>
      <c r="D1855" s="8" t="s">
        <v>26</v>
      </c>
      <c r="E1855" s="8" t="s">
        <v>9235</v>
      </c>
      <c r="F1855" s="8">
        <v>5.469538743E9</v>
      </c>
      <c r="G1855" s="8" t="s">
        <v>31</v>
      </c>
      <c r="H1855" s="8" t="s">
        <v>86</v>
      </c>
      <c r="I1855" s="8" t="s">
        <v>284</v>
      </c>
      <c r="J1855" s="8" t="s">
        <v>793</v>
      </c>
      <c r="K1855" s="10" t="s">
        <v>9236</v>
      </c>
      <c r="L1855" s="8" t="s">
        <v>58</v>
      </c>
      <c r="M1855" s="8" t="s">
        <v>35</v>
      </c>
      <c r="N1855" s="11">
        <v>45049.0</v>
      </c>
      <c r="O1855" s="11">
        <v>45122.0</v>
      </c>
      <c r="P1855" s="11">
        <v>45164.0</v>
      </c>
      <c r="Q1855" s="11"/>
      <c r="R1855" s="11"/>
      <c r="S1855" s="12"/>
      <c r="T1855" s="8"/>
      <c r="U1855" s="8" t="s">
        <v>59</v>
      </c>
      <c r="V1855" s="13" t="s">
        <v>175</v>
      </c>
      <c r="W1855" s="13" t="s">
        <v>9237</v>
      </c>
      <c r="X1855" s="12"/>
      <c r="Y1855" s="14"/>
      <c r="Z1855" s="14"/>
    </row>
    <row r="1856">
      <c r="A1856" s="8" t="s">
        <v>9238</v>
      </c>
      <c r="B1856" s="8" t="s">
        <v>9239</v>
      </c>
      <c r="C1856" s="8" t="s">
        <v>179</v>
      </c>
      <c r="D1856" s="8" t="s">
        <v>26</v>
      </c>
      <c r="E1856" s="8" t="s">
        <v>9240</v>
      </c>
      <c r="F1856" s="8">
        <v>1.095719908E9</v>
      </c>
      <c r="G1856" s="8" t="s">
        <v>284</v>
      </c>
      <c r="H1856" s="8" t="s">
        <v>691</v>
      </c>
      <c r="I1856" s="8" t="s">
        <v>44</v>
      </c>
      <c r="J1856" s="8" t="s">
        <v>741</v>
      </c>
      <c r="K1856" s="10" t="s">
        <v>8264</v>
      </c>
      <c r="L1856" s="8" t="s">
        <v>58</v>
      </c>
      <c r="M1856" s="8" t="s">
        <v>35</v>
      </c>
      <c r="N1856" s="11">
        <v>45049.0</v>
      </c>
      <c r="O1856" s="11">
        <v>45170.0</v>
      </c>
      <c r="P1856" s="11">
        <v>45214.0</v>
      </c>
      <c r="Q1856" s="11"/>
      <c r="R1856" s="11"/>
      <c r="S1856" s="12"/>
      <c r="T1856" s="8"/>
      <c r="U1856" s="8" t="s">
        <v>1038</v>
      </c>
      <c r="V1856" s="13" t="s">
        <v>692</v>
      </c>
      <c r="W1856" s="13" t="s">
        <v>9241</v>
      </c>
      <c r="X1856" s="12"/>
      <c r="Y1856" s="14"/>
      <c r="Z1856" s="14"/>
    </row>
    <row r="1857">
      <c r="A1857" s="8" t="s">
        <v>9242</v>
      </c>
      <c r="B1857" s="8" t="s">
        <v>9243</v>
      </c>
      <c r="C1857" s="8" t="s">
        <v>25</v>
      </c>
      <c r="D1857" s="8" t="s">
        <v>26</v>
      </c>
      <c r="E1857" s="8" t="s">
        <v>9244</v>
      </c>
      <c r="F1857" s="8" t="s">
        <v>9245</v>
      </c>
      <c r="G1857" s="8" t="s">
        <v>54</v>
      </c>
      <c r="H1857" s="8" t="s">
        <v>377</v>
      </c>
      <c r="I1857" s="8" t="s">
        <v>31</v>
      </c>
      <c r="J1857" s="8" t="s">
        <v>167</v>
      </c>
      <c r="K1857" s="10" t="s">
        <v>8437</v>
      </c>
      <c r="L1857" s="8" t="s">
        <v>58</v>
      </c>
      <c r="M1857" s="8" t="s">
        <v>35</v>
      </c>
      <c r="N1857" s="11">
        <v>45049.0</v>
      </c>
      <c r="O1857" s="11">
        <v>45124.0</v>
      </c>
      <c r="P1857" s="11">
        <v>45166.0</v>
      </c>
      <c r="Q1857" s="11">
        <v>45125.0</v>
      </c>
      <c r="R1857" s="11">
        <v>45166.0</v>
      </c>
      <c r="S1857" s="12"/>
      <c r="T1857" s="8"/>
      <c r="U1857" s="8" t="s">
        <v>130</v>
      </c>
      <c r="V1857" s="13" t="s">
        <v>2151</v>
      </c>
      <c r="W1857" s="13" t="s">
        <v>9246</v>
      </c>
      <c r="X1857" s="12"/>
      <c r="Y1857" s="14"/>
      <c r="Z1857" s="14"/>
    </row>
    <row r="1858">
      <c r="A1858" s="8" t="s">
        <v>9247</v>
      </c>
      <c r="B1858" s="8" t="s">
        <v>9248</v>
      </c>
      <c r="C1858" s="8" t="s">
        <v>179</v>
      </c>
      <c r="D1858" s="8" t="s">
        <v>26</v>
      </c>
      <c r="E1858" s="8" t="s">
        <v>9249</v>
      </c>
      <c r="F1858" s="8">
        <v>5.376113575E9</v>
      </c>
      <c r="G1858" s="8" t="s">
        <v>31</v>
      </c>
      <c r="H1858" s="8" t="s">
        <v>43</v>
      </c>
      <c r="I1858" s="8" t="s">
        <v>284</v>
      </c>
      <c r="J1858" s="8" t="s">
        <v>589</v>
      </c>
      <c r="K1858" s="10" t="s">
        <v>9250</v>
      </c>
      <c r="L1858" s="8" t="s">
        <v>58</v>
      </c>
      <c r="M1858" s="8" t="s">
        <v>35</v>
      </c>
      <c r="N1858" s="11">
        <v>45049.0</v>
      </c>
      <c r="O1858" s="11">
        <v>45139.0</v>
      </c>
      <c r="P1858" s="11">
        <v>45181.0</v>
      </c>
      <c r="Q1858" s="11"/>
      <c r="R1858" s="11"/>
      <c r="S1858" s="12"/>
      <c r="T1858" s="8"/>
      <c r="U1858" s="8" t="s">
        <v>1590</v>
      </c>
      <c r="V1858" s="13" t="s">
        <v>43</v>
      </c>
      <c r="W1858" s="13" t="s">
        <v>9251</v>
      </c>
      <c r="X1858" s="12"/>
      <c r="Y1858" s="14"/>
      <c r="Z1858" s="14"/>
    </row>
    <row r="1859">
      <c r="A1859" s="8" t="s">
        <v>9252</v>
      </c>
      <c r="B1859" s="8" t="s">
        <v>9253</v>
      </c>
      <c r="C1859" s="8" t="s">
        <v>25</v>
      </c>
      <c r="D1859" s="8" t="s">
        <v>26</v>
      </c>
      <c r="E1859" s="8" t="s">
        <v>9254</v>
      </c>
      <c r="F1859" s="8"/>
      <c r="G1859" s="8" t="s">
        <v>31</v>
      </c>
      <c r="H1859" s="8" t="s">
        <v>86</v>
      </c>
      <c r="I1859" s="8" t="s">
        <v>54</v>
      </c>
      <c r="J1859" s="8" t="s">
        <v>244</v>
      </c>
      <c r="K1859" s="10" t="s">
        <v>7460</v>
      </c>
      <c r="L1859" s="8" t="s">
        <v>58</v>
      </c>
      <c r="M1859" s="8" t="s">
        <v>35</v>
      </c>
      <c r="N1859" s="11">
        <v>45049.0</v>
      </c>
      <c r="O1859" s="11">
        <v>45092.0</v>
      </c>
      <c r="P1859" s="11">
        <v>45134.0</v>
      </c>
      <c r="Q1859" s="11">
        <v>45097.0</v>
      </c>
      <c r="R1859" s="11">
        <v>45138.0</v>
      </c>
      <c r="S1859" s="12"/>
      <c r="T1859" s="8"/>
      <c r="U1859" s="8" t="s">
        <v>402</v>
      </c>
      <c r="V1859" s="13" t="s">
        <v>38</v>
      </c>
      <c r="W1859" s="13" t="s">
        <v>9255</v>
      </c>
      <c r="X1859" s="12"/>
      <c r="Y1859" s="14"/>
      <c r="Z1859" s="14"/>
    </row>
    <row r="1860">
      <c r="A1860" s="8" t="s">
        <v>9256</v>
      </c>
      <c r="B1860" s="8" t="s">
        <v>9257</v>
      </c>
      <c r="C1860" s="8" t="s">
        <v>179</v>
      </c>
      <c r="D1860" s="8" t="s">
        <v>26</v>
      </c>
      <c r="E1860" s="8" t="s">
        <v>9258</v>
      </c>
      <c r="F1860" s="8"/>
      <c r="G1860" s="8" t="s">
        <v>31</v>
      </c>
      <c r="H1860" s="8" t="s">
        <v>1119</v>
      </c>
      <c r="I1860" s="8" t="s">
        <v>284</v>
      </c>
      <c r="J1860" s="8" t="s">
        <v>854</v>
      </c>
      <c r="K1860" s="10" t="s">
        <v>8210</v>
      </c>
      <c r="L1860" s="8" t="s">
        <v>58</v>
      </c>
      <c r="M1860" s="8" t="s">
        <v>35</v>
      </c>
      <c r="N1860" s="11">
        <v>45049.0</v>
      </c>
      <c r="O1860" s="11">
        <v>45153.0</v>
      </c>
      <c r="P1860" s="11">
        <v>45197.0</v>
      </c>
      <c r="Q1860" s="11"/>
      <c r="R1860" s="11"/>
      <c r="S1860" s="12"/>
      <c r="T1860" s="8"/>
      <c r="U1860" s="8" t="s">
        <v>161</v>
      </c>
      <c r="V1860" s="13" t="s">
        <v>38</v>
      </c>
      <c r="W1860" s="13" t="s">
        <v>9259</v>
      </c>
      <c r="X1860" s="12"/>
      <c r="Y1860" s="14"/>
      <c r="Z1860" s="14"/>
    </row>
    <row r="1861">
      <c r="A1861" s="8" t="s">
        <v>9260</v>
      </c>
      <c r="B1861" s="8" t="s">
        <v>9261</v>
      </c>
      <c r="C1861" s="8" t="s">
        <v>64</v>
      </c>
      <c r="D1861" s="8" t="s">
        <v>26</v>
      </c>
      <c r="E1861" s="8" t="s">
        <v>9262</v>
      </c>
      <c r="F1861" s="8">
        <v>5.465948784E9</v>
      </c>
      <c r="G1861" s="8" t="s">
        <v>31</v>
      </c>
      <c r="H1861" s="8" t="s">
        <v>86</v>
      </c>
      <c r="I1861" s="8" t="s">
        <v>284</v>
      </c>
      <c r="J1861" s="8" t="s">
        <v>793</v>
      </c>
      <c r="K1861" s="10" t="s">
        <v>8983</v>
      </c>
      <c r="L1861" s="8" t="s">
        <v>58</v>
      </c>
      <c r="M1861" s="8" t="s">
        <v>35</v>
      </c>
      <c r="N1861" s="11">
        <v>45049.0</v>
      </c>
      <c r="O1861" s="11">
        <v>45108.0</v>
      </c>
      <c r="P1861" s="11">
        <v>45150.0</v>
      </c>
      <c r="Q1861" s="11">
        <v>45109.0</v>
      </c>
      <c r="R1861" s="11">
        <v>45154.0</v>
      </c>
      <c r="S1861" s="12"/>
      <c r="T1861" s="8"/>
      <c r="U1861" s="8" t="s">
        <v>1038</v>
      </c>
      <c r="V1861" s="13" t="s">
        <v>175</v>
      </c>
      <c r="W1861" s="13" t="s">
        <v>9263</v>
      </c>
      <c r="X1861" s="12"/>
      <c r="Y1861" s="14"/>
      <c r="Z1861" s="14"/>
    </row>
    <row r="1862">
      <c r="A1862" s="8" t="s">
        <v>9264</v>
      </c>
      <c r="B1862" s="8" t="s">
        <v>9265</v>
      </c>
      <c r="C1862" s="8" t="s">
        <v>179</v>
      </c>
      <c r="D1862" s="8" t="s">
        <v>26</v>
      </c>
      <c r="E1862" s="8" t="s">
        <v>9266</v>
      </c>
      <c r="F1862" s="8"/>
      <c r="G1862" s="8" t="s">
        <v>31</v>
      </c>
      <c r="H1862" s="8" t="s">
        <v>77</v>
      </c>
      <c r="I1862" s="8" t="s">
        <v>284</v>
      </c>
      <c r="J1862" s="8" t="s">
        <v>793</v>
      </c>
      <c r="K1862" s="10" t="s">
        <v>9267</v>
      </c>
      <c r="L1862" s="8" t="s">
        <v>58</v>
      </c>
      <c r="M1862" s="8" t="s">
        <v>35</v>
      </c>
      <c r="N1862" s="11">
        <v>45049.0</v>
      </c>
      <c r="O1862" s="11">
        <v>45153.0</v>
      </c>
      <c r="P1862" s="11">
        <v>45195.0</v>
      </c>
      <c r="Q1862" s="11"/>
      <c r="R1862" s="11"/>
      <c r="S1862" s="12"/>
      <c r="T1862" s="8"/>
      <c r="U1862" s="8" t="s">
        <v>59</v>
      </c>
      <c r="V1862" s="13" t="s">
        <v>38</v>
      </c>
      <c r="W1862" s="13" t="s">
        <v>9268</v>
      </c>
      <c r="X1862" s="12"/>
      <c r="Y1862" s="14"/>
      <c r="Z1862" s="14"/>
    </row>
    <row r="1863">
      <c r="A1863" s="8" t="s">
        <v>9269</v>
      </c>
      <c r="B1863" s="8" t="s">
        <v>9270</v>
      </c>
      <c r="C1863" s="8" t="s">
        <v>179</v>
      </c>
      <c r="D1863" s="8" t="s">
        <v>26</v>
      </c>
      <c r="E1863" s="8" t="s">
        <v>9271</v>
      </c>
      <c r="F1863" s="8">
        <v>1.551877423E9</v>
      </c>
      <c r="G1863" s="8" t="s">
        <v>284</v>
      </c>
      <c r="H1863" s="8" t="s">
        <v>691</v>
      </c>
      <c r="I1863" s="8" t="s">
        <v>44</v>
      </c>
      <c r="J1863" s="8" t="s">
        <v>741</v>
      </c>
      <c r="K1863" s="10" t="s">
        <v>8264</v>
      </c>
      <c r="L1863" s="8" t="s">
        <v>58</v>
      </c>
      <c r="M1863" s="8" t="s">
        <v>35</v>
      </c>
      <c r="N1863" s="11">
        <v>45049.0</v>
      </c>
      <c r="O1863" s="11">
        <v>45139.0</v>
      </c>
      <c r="P1863" s="11">
        <v>45183.0</v>
      </c>
      <c r="Q1863" s="11"/>
      <c r="R1863" s="11"/>
      <c r="S1863" s="12"/>
      <c r="T1863" s="8"/>
      <c r="U1863" s="8" t="s">
        <v>1038</v>
      </c>
      <c r="V1863" s="13" t="s">
        <v>6201</v>
      </c>
      <c r="W1863" s="13" t="s">
        <v>9272</v>
      </c>
      <c r="X1863" s="12"/>
      <c r="Y1863" s="14"/>
      <c r="Z1863" s="14"/>
    </row>
    <row r="1864">
      <c r="A1864" s="8" t="s">
        <v>9273</v>
      </c>
      <c r="B1864" s="8" t="s">
        <v>9274</v>
      </c>
      <c r="C1864" s="8" t="s">
        <v>25</v>
      </c>
      <c r="D1864" s="8" t="s">
        <v>26</v>
      </c>
      <c r="E1864" s="8" t="s">
        <v>9275</v>
      </c>
      <c r="F1864" s="8">
        <v>5.340153783E9</v>
      </c>
      <c r="G1864" s="8" t="s">
        <v>31</v>
      </c>
      <c r="H1864" s="8" t="s">
        <v>32</v>
      </c>
      <c r="I1864" s="8" t="s">
        <v>284</v>
      </c>
      <c r="J1864" s="8" t="s">
        <v>285</v>
      </c>
      <c r="K1864" s="10" t="s">
        <v>3841</v>
      </c>
      <c r="L1864" s="8" t="s">
        <v>58</v>
      </c>
      <c r="M1864" s="8" t="s">
        <v>35</v>
      </c>
      <c r="N1864" s="11">
        <v>45049.0</v>
      </c>
      <c r="O1864" s="11">
        <v>45139.0</v>
      </c>
      <c r="P1864" s="11">
        <v>45181.0</v>
      </c>
      <c r="Q1864" s="11">
        <v>45140.0</v>
      </c>
      <c r="R1864" s="11">
        <v>45181.0</v>
      </c>
      <c r="S1864" s="12"/>
      <c r="T1864" s="8"/>
      <c r="U1864" s="8" t="s">
        <v>1038</v>
      </c>
      <c r="V1864" s="13" t="s">
        <v>537</v>
      </c>
      <c r="W1864" s="13" t="s">
        <v>9276</v>
      </c>
      <c r="X1864" s="12"/>
      <c r="Y1864" s="14"/>
      <c r="Z1864" s="14"/>
    </row>
    <row r="1865">
      <c r="A1865" s="8" t="s">
        <v>9277</v>
      </c>
      <c r="B1865" s="8" t="s">
        <v>9278</v>
      </c>
      <c r="C1865" s="8" t="s">
        <v>708</v>
      </c>
      <c r="D1865" s="8" t="s">
        <v>26</v>
      </c>
      <c r="E1865" s="8" t="s">
        <v>9279</v>
      </c>
      <c r="F1865" s="8"/>
      <c r="G1865" s="8" t="s">
        <v>54</v>
      </c>
      <c r="H1865" s="8" t="s">
        <v>76</v>
      </c>
      <c r="I1865" s="8" t="s">
        <v>31</v>
      </c>
      <c r="J1865" s="8" t="s">
        <v>77</v>
      </c>
      <c r="K1865" s="10" t="s">
        <v>4895</v>
      </c>
      <c r="L1865" s="8" t="s">
        <v>34</v>
      </c>
      <c r="M1865" s="8" t="s">
        <v>70</v>
      </c>
      <c r="N1865" s="11">
        <v>45049.0</v>
      </c>
      <c r="O1865" s="11">
        <v>45075.0</v>
      </c>
      <c r="P1865" s="11">
        <v>45441.0</v>
      </c>
      <c r="Q1865" s="11">
        <v>45101.0</v>
      </c>
      <c r="R1865" s="11">
        <v>45465.0</v>
      </c>
      <c r="S1865" s="12"/>
      <c r="T1865" s="8" t="s">
        <v>121</v>
      </c>
      <c r="U1865" s="8" t="s">
        <v>4896</v>
      </c>
      <c r="V1865" s="13" t="s">
        <v>324</v>
      </c>
      <c r="W1865" s="13" t="s">
        <v>9280</v>
      </c>
      <c r="X1865" s="12"/>
      <c r="Y1865" s="14"/>
      <c r="Z1865" s="14"/>
    </row>
    <row r="1866">
      <c r="A1866" s="8" t="s">
        <v>9281</v>
      </c>
      <c r="B1866" s="8" t="s">
        <v>9282</v>
      </c>
      <c r="C1866" s="8" t="s">
        <v>25</v>
      </c>
      <c r="D1866" s="8" t="s">
        <v>26</v>
      </c>
      <c r="E1866" s="8" t="s">
        <v>9283</v>
      </c>
      <c r="F1866" s="8"/>
      <c r="G1866" s="8" t="s">
        <v>31</v>
      </c>
      <c r="H1866" s="8" t="s">
        <v>256</v>
      </c>
      <c r="I1866" s="8" t="s">
        <v>284</v>
      </c>
      <c r="J1866" s="8" t="s">
        <v>285</v>
      </c>
      <c r="K1866" s="10" t="s">
        <v>3841</v>
      </c>
      <c r="L1866" s="8" t="s">
        <v>58</v>
      </c>
      <c r="M1866" s="8" t="s">
        <v>35</v>
      </c>
      <c r="N1866" s="11">
        <v>45049.0</v>
      </c>
      <c r="O1866" s="11">
        <v>45139.0</v>
      </c>
      <c r="P1866" s="11">
        <v>45181.0</v>
      </c>
      <c r="Q1866" s="11">
        <v>45140.0</v>
      </c>
      <c r="R1866" s="11">
        <v>45181.0</v>
      </c>
      <c r="S1866" s="12"/>
      <c r="T1866" s="8"/>
      <c r="U1866" s="8" t="s">
        <v>1038</v>
      </c>
      <c r="V1866" s="13" t="s">
        <v>38</v>
      </c>
      <c r="W1866" s="13" t="s">
        <v>9284</v>
      </c>
      <c r="X1866" s="12"/>
      <c r="Y1866" s="14"/>
      <c r="Z1866" s="14"/>
    </row>
    <row r="1867">
      <c r="A1867" s="8" t="s">
        <v>9285</v>
      </c>
      <c r="B1867" s="8" t="s">
        <v>9286</v>
      </c>
      <c r="C1867" s="8" t="s">
        <v>335</v>
      </c>
      <c r="D1867" s="8" t="s">
        <v>26</v>
      </c>
      <c r="E1867" s="8" t="s">
        <v>9287</v>
      </c>
      <c r="F1867" s="8">
        <v>5.043668E7</v>
      </c>
      <c r="G1867" s="8" t="s">
        <v>54</v>
      </c>
      <c r="H1867" s="8" t="s">
        <v>135</v>
      </c>
      <c r="I1867" s="8" t="s">
        <v>31</v>
      </c>
      <c r="J1867" s="8" t="s">
        <v>136</v>
      </c>
      <c r="K1867" s="10" t="s">
        <v>137</v>
      </c>
      <c r="L1867" s="8" t="s">
        <v>58</v>
      </c>
      <c r="M1867" s="8" t="s">
        <v>35</v>
      </c>
      <c r="N1867" s="11">
        <v>45133.0</v>
      </c>
      <c r="O1867" s="11">
        <v>45124.0</v>
      </c>
      <c r="P1867" s="11">
        <v>45166.0</v>
      </c>
      <c r="Q1867" s="11"/>
      <c r="R1867" s="11"/>
      <c r="S1867" s="12"/>
      <c r="T1867" s="8"/>
      <c r="U1867" s="8" t="s">
        <v>88</v>
      </c>
      <c r="V1867" s="13" t="s">
        <v>809</v>
      </c>
      <c r="W1867" s="13" t="s">
        <v>9288</v>
      </c>
      <c r="X1867" s="12"/>
      <c r="Y1867" s="14"/>
      <c r="Z1867" s="14"/>
    </row>
    <row r="1868">
      <c r="A1868" s="8" t="s">
        <v>9289</v>
      </c>
      <c r="B1868" s="8" t="s">
        <v>9290</v>
      </c>
      <c r="C1868" s="8" t="s">
        <v>25</v>
      </c>
      <c r="D1868" s="8" t="s">
        <v>26</v>
      </c>
      <c r="E1868" s="8" t="s">
        <v>9291</v>
      </c>
      <c r="F1868" s="8"/>
      <c r="G1868" s="8" t="s">
        <v>31</v>
      </c>
      <c r="H1868" s="8" t="s">
        <v>77</v>
      </c>
      <c r="I1868" s="8" t="s">
        <v>399</v>
      </c>
      <c r="J1868" s="8" t="s">
        <v>400</v>
      </c>
      <c r="K1868" s="10" t="s">
        <v>1700</v>
      </c>
      <c r="L1868" s="8" t="s">
        <v>58</v>
      </c>
      <c r="M1868" s="8" t="s">
        <v>35</v>
      </c>
      <c r="N1868" s="11">
        <v>45049.0</v>
      </c>
      <c r="O1868" s="11">
        <v>45139.0</v>
      </c>
      <c r="P1868" s="11">
        <v>45181.0</v>
      </c>
      <c r="Q1868" s="11">
        <v>45140.0</v>
      </c>
      <c r="R1868" s="11">
        <v>45181.0</v>
      </c>
      <c r="S1868" s="12"/>
      <c r="T1868" s="8"/>
      <c r="U1868" s="8" t="s">
        <v>1038</v>
      </c>
      <c r="V1868" s="13" t="s">
        <v>38</v>
      </c>
      <c r="W1868" s="13" t="s">
        <v>9292</v>
      </c>
      <c r="X1868" s="12"/>
      <c r="Y1868" s="14"/>
      <c r="Z1868" s="14"/>
    </row>
    <row r="1869">
      <c r="A1869" s="8" t="s">
        <v>9293</v>
      </c>
      <c r="B1869" s="8" t="s">
        <v>9294</v>
      </c>
      <c r="C1869" s="8" t="s">
        <v>25</v>
      </c>
      <c r="D1869" s="8" t="s">
        <v>26</v>
      </c>
      <c r="E1869" s="8" t="s">
        <v>9295</v>
      </c>
      <c r="F1869" s="8">
        <v>5.522127751E9</v>
      </c>
      <c r="G1869" s="8" t="s">
        <v>31</v>
      </c>
      <c r="H1869" s="8" t="s">
        <v>77</v>
      </c>
      <c r="I1869" s="8" t="s">
        <v>284</v>
      </c>
      <c r="J1869" s="8" t="s">
        <v>854</v>
      </c>
      <c r="K1869" s="10" t="s">
        <v>9296</v>
      </c>
      <c r="L1869" s="8" t="s">
        <v>58</v>
      </c>
      <c r="M1869" s="8" t="s">
        <v>35</v>
      </c>
      <c r="N1869" s="11">
        <v>45049.0</v>
      </c>
      <c r="O1869" s="11">
        <v>45122.0</v>
      </c>
      <c r="P1869" s="11">
        <v>45167.0</v>
      </c>
      <c r="Q1869" s="11">
        <v>45122.0</v>
      </c>
      <c r="R1869" s="11">
        <v>45167.0</v>
      </c>
      <c r="S1869" s="12"/>
      <c r="T1869" s="8"/>
      <c r="U1869" s="8" t="s">
        <v>185</v>
      </c>
      <c r="V1869" s="13" t="s">
        <v>77</v>
      </c>
      <c r="W1869" s="13" t="s">
        <v>9297</v>
      </c>
      <c r="X1869" s="12"/>
      <c r="Y1869" s="14"/>
      <c r="Z1869" s="14"/>
    </row>
    <row r="1870">
      <c r="A1870" s="8" t="s">
        <v>9298</v>
      </c>
      <c r="B1870" s="8" t="s">
        <v>9299</v>
      </c>
      <c r="C1870" s="8" t="s">
        <v>25</v>
      </c>
      <c r="D1870" s="8" t="s">
        <v>26</v>
      </c>
      <c r="E1870" s="8" t="s">
        <v>9300</v>
      </c>
      <c r="F1870" s="8"/>
      <c r="G1870" s="8" t="s">
        <v>315</v>
      </c>
      <c r="H1870" s="8" t="s">
        <v>1242</v>
      </c>
      <c r="I1870" s="8" t="s">
        <v>31</v>
      </c>
      <c r="J1870" s="8" t="s">
        <v>438</v>
      </c>
      <c r="K1870" s="10" t="s">
        <v>7113</v>
      </c>
      <c r="L1870" s="8" t="s">
        <v>58</v>
      </c>
      <c r="M1870" s="8" t="s">
        <v>35</v>
      </c>
      <c r="N1870" s="11">
        <v>45049.0</v>
      </c>
      <c r="O1870" s="11">
        <v>45082.0</v>
      </c>
      <c r="P1870" s="11">
        <v>45124.0</v>
      </c>
      <c r="Q1870" s="11">
        <v>45085.0</v>
      </c>
      <c r="R1870" s="11">
        <v>45127.0</v>
      </c>
      <c r="S1870" s="12"/>
      <c r="T1870" s="8"/>
      <c r="U1870" s="8" t="s">
        <v>339</v>
      </c>
      <c r="V1870" s="13" t="s">
        <v>38</v>
      </c>
      <c r="W1870" s="13" t="s">
        <v>9301</v>
      </c>
      <c r="X1870" s="12"/>
      <c r="Y1870" s="14"/>
      <c r="Z1870" s="14"/>
    </row>
    <row r="1871">
      <c r="A1871" s="8" t="s">
        <v>9302</v>
      </c>
      <c r="B1871" s="8" t="s">
        <v>9303</v>
      </c>
      <c r="C1871" s="8" t="s">
        <v>179</v>
      </c>
      <c r="D1871" s="8" t="s">
        <v>26</v>
      </c>
      <c r="E1871" s="8" t="s">
        <v>9304</v>
      </c>
      <c r="F1871" s="8">
        <v>1.017273646E9</v>
      </c>
      <c r="G1871" s="8" t="s">
        <v>284</v>
      </c>
      <c r="H1871" s="8" t="s">
        <v>854</v>
      </c>
      <c r="I1871" s="8" t="s">
        <v>31</v>
      </c>
      <c r="J1871" s="8" t="s">
        <v>56</v>
      </c>
      <c r="K1871" s="10" t="s">
        <v>9305</v>
      </c>
      <c r="L1871" s="8" t="s">
        <v>58</v>
      </c>
      <c r="M1871" s="8" t="s">
        <v>35</v>
      </c>
      <c r="N1871" s="11">
        <v>45049.0</v>
      </c>
      <c r="O1871" s="11">
        <v>45152.0</v>
      </c>
      <c r="P1871" s="11">
        <v>45194.0</v>
      </c>
      <c r="Q1871" s="11"/>
      <c r="R1871" s="11"/>
      <c r="S1871" s="12"/>
      <c r="T1871" s="8"/>
      <c r="U1871" s="8" t="s">
        <v>59</v>
      </c>
      <c r="V1871" s="13" t="s">
        <v>856</v>
      </c>
      <c r="W1871" s="13" t="s">
        <v>9306</v>
      </c>
      <c r="X1871" s="12"/>
      <c r="Y1871" s="14"/>
      <c r="Z1871" s="14"/>
    </row>
    <row r="1872">
      <c r="A1872" s="8" t="s">
        <v>9307</v>
      </c>
      <c r="B1872" s="8" t="s">
        <v>9308</v>
      </c>
      <c r="C1872" s="8" t="s">
        <v>25</v>
      </c>
      <c r="D1872" s="8" t="s">
        <v>26</v>
      </c>
      <c r="E1872" s="8" t="s">
        <v>9309</v>
      </c>
      <c r="F1872" s="8"/>
      <c r="G1872" s="8" t="s">
        <v>31</v>
      </c>
      <c r="H1872" s="8" t="s">
        <v>86</v>
      </c>
      <c r="I1872" s="8" t="s">
        <v>54</v>
      </c>
      <c r="J1872" s="8" t="s">
        <v>1911</v>
      </c>
      <c r="K1872" s="10" t="s">
        <v>9184</v>
      </c>
      <c r="L1872" s="8" t="s">
        <v>58</v>
      </c>
      <c r="M1872" s="8" t="s">
        <v>35</v>
      </c>
      <c r="N1872" s="11">
        <v>45049.0</v>
      </c>
      <c r="O1872" s="11">
        <v>45131.0</v>
      </c>
      <c r="P1872" s="11">
        <v>45173.0</v>
      </c>
      <c r="Q1872" s="11">
        <v>45131.0</v>
      </c>
      <c r="R1872" s="11">
        <v>45173.0</v>
      </c>
      <c r="S1872" s="12"/>
      <c r="T1872" s="8"/>
      <c r="U1872" s="8" t="s">
        <v>402</v>
      </c>
      <c r="V1872" s="13" t="s">
        <v>38</v>
      </c>
      <c r="W1872" s="13" t="s">
        <v>9310</v>
      </c>
      <c r="X1872" s="12"/>
      <c r="Y1872" s="14"/>
      <c r="Z1872" s="14"/>
    </row>
    <row r="1873">
      <c r="A1873" s="8" t="s">
        <v>9311</v>
      </c>
      <c r="B1873" s="8" t="s">
        <v>9312</v>
      </c>
      <c r="C1873" s="8" t="s">
        <v>179</v>
      </c>
      <c r="D1873" s="8" t="s">
        <v>26</v>
      </c>
      <c r="E1873" s="8" t="s">
        <v>9313</v>
      </c>
      <c r="F1873" s="8">
        <v>5.528228975E9</v>
      </c>
      <c r="G1873" s="8" t="s">
        <v>31</v>
      </c>
      <c r="H1873" s="8" t="s">
        <v>86</v>
      </c>
      <c r="I1873" s="8" t="s">
        <v>284</v>
      </c>
      <c r="J1873" s="8" t="s">
        <v>854</v>
      </c>
      <c r="K1873" s="10" t="s">
        <v>9314</v>
      </c>
      <c r="L1873" s="8" t="s">
        <v>58</v>
      </c>
      <c r="M1873" s="8" t="s">
        <v>35</v>
      </c>
      <c r="N1873" s="11">
        <v>45049.0</v>
      </c>
      <c r="O1873" s="11">
        <v>45159.0</v>
      </c>
      <c r="P1873" s="11">
        <v>45203.0</v>
      </c>
      <c r="Q1873" s="11"/>
      <c r="R1873" s="11"/>
      <c r="S1873" s="12"/>
      <c r="T1873" s="8"/>
      <c r="U1873" s="8" t="s">
        <v>59</v>
      </c>
      <c r="V1873" s="13" t="s">
        <v>4798</v>
      </c>
      <c r="W1873" s="13" t="s">
        <v>9315</v>
      </c>
      <c r="X1873" s="12"/>
      <c r="Y1873" s="14"/>
      <c r="Z1873" s="14"/>
    </row>
    <row r="1874">
      <c r="A1874" s="8" t="s">
        <v>9316</v>
      </c>
      <c r="B1874" s="8" t="s">
        <v>9317</v>
      </c>
      <c r="C1874" s="8" t="s">
        <v>25</v>
      </c>
      <c r="D1874" s="8" t="s">
        <v>26</v>
      </c>
      <c r="E1874" s="8" t="s">
        <v>9318</v>
      </c>
      <c r="F1874" s="8"/>
      <c r="G1874" s="8" t="s">
        <v>31</v>
      </c>
      <c r="H1874" s="8" t="s">
        <v>86</v>
      </c>
      <c r="I1874" s="8" t="s">
        <v>54</v>
      </c>
      <c r="J1874" s="8" t="s">
        <v>1911</v>
      </c>
      <c r="K1874" s="10" t="s">
        <v>9184</v>
      </c>
      <c r="L1874" s="8" t="s">
        <v>58</v>
      </c>
      <c r="M1874" s="8" t="s">
        <v>35</v>
      </c>
      <c r="N1874" s="11">
        <v>45049.0</v>
      </c>
      <c r="O1874" s="11">
        <v>45131.0</v>
      </c>
      <c r="P1874" s="11">
        <v>45173.0</v>
      </c>
      <c r="Q1874" s="11">
        <v>45131.0</v>
      </c>
      <c r="R1874" s="11">
        <v>45173.0</v>
      </c>
      <c r="S1874" s="12"/>
      <c r="T1874" s="8"/>
      <c r="U1874" s="8" t="s">
        <v>402</v>
      </c>
      <c r="V1874" s="13" t="s">
        <v>38</v>
      </c>
      <c r="W1874" s="13" t="s">
        <v>9319</v>
      </c>
      <c r="X1874" s="12"/>
      <c r="Y1874" s="14"/>
      <c r="Z1874" s="14"/>
    </row>
    <row r="1875">
      <c r="A1875" s="8" t="s">
        <v>9320</v>
      </c>
      <c r="B1875" s="8" t="s">
        <v>9321</v>
      </c>
      <c r="C1875" s="8" t="s">
        <v>25</v>
      </c>
      <c r="D1875" s="8" t="s">
        <v>26</v>
      </c>
      <c r="E1875" s="8" t="s">
        <v>9322</v>
      </c>
      <c r="F1875" s="8">
        <v>5.519705666E9</v>
      </c>
      <c r="G1875" s="8" t="s">
        <v>31</v>
      </c>
      <c r="H1875" s="8" t="s">
        <v>32</v>
      </c>
      <c r="I1875" s="8" t="s">
        <v>284</v>
      </c>
      <c r="J1875" s="8" t="s">
        <v>589</v>
      </c>
      <c r="K1875" s="10" t="s">
        <v>9323</v>
      </c>
      <c r="L1875" s="8" t="s">
        <v>58</v>
      </c>
      <c r="M1875" s="8" t="s">
        <v>35</v>
      </c>
      <c r="N1875" s="11">
        <v>45049.0</v>
      </c>
      <c r="O1875" s="11">
        <v>45108.0</v>
      </c>
      <c r="P1875" s="11">
        <v>45150.0</v>
      </c>
      <c r="Q1875" s="11">
        <v>45107.0</v>
      </c>
      <c r="R1875" s="11">
        <v>45150.0</v>
      </c>
      <c r="S1875" s="12"/>
      <c r="T1875" s="8"/>
      <c r="U1875" s="8" t="s">
        <v>153</v>
      </c>
      <c r="V1875" s="13" t="s">
        <v>537</v>
      </c>
      <c r="W1875" s="13" t="s">
        <v>9324</v>
      </c>
      <c r="X1875" s="12"/>
      <c r="Y1875" s="14"/>
      <c r="Z1875" s="14"/>
    </row>
    <row r="1876">
      <c r="A1876" s="8" t="s">
        <v>9325</v>
      </c>
      <c r="B1876" s="8" t="s">
        <v>9326</v>
      </c>
      <c r="C1876" s="8" t="s">
        <v>25</v>
      </c>
      <c r="D1876" s="8" t="s">
        <v>26</v>
      </c>
      <c r="E1876" s="8" t="s">
        <v>9327</v>
      </c>
      <c r="F1876" s="8">
        <v>5.312330817E9</v>
      </c>
      <c r="G1876" s="8" t="s">
        <v>31</v>
      </c>
      <c r="H1876" s="8" t="s">
        <v>77</v>
      </c>
      <c r="I1876" s="8" t="s">
        <v>29</v>
      </c>
      <c r="J1876" s="8" t="s">
        <v>2448</v>
      </c>
      <c r="K1876" s="10" t="s">
        <v>9328</v>
      </c>
      <c r="L1876" s="8" t="s">
        <v>58</v>
      </c>
      <c r="M1876" s="8" t="s">
        <v>35</v>
      </c>
      <c r="N1876" s="11">
        <v>45049.0</v>
      </c>
      <c r="O1876" s="11">
        <v>45093.0</v>
      </c>
      <c r="P1876" s="11">
        <v>45135.0</v>
      </c>
      <c r="Q1876" s="11">
        <v>45093.0</v>
      </c>
      <c r="R1876" s="11">
        <v>45135.0</v>
      </c>
      <c r="S1876" s="12"/>
      <c r="T1876" s="8"/>
      <c r="U1876" s="8" t="s">
        <v>185</v>
      </c>
      <c r="V1876" s="13" t="s">
        <v>77</v>
      </c>
      <c r="W1876" s="13" t="s">
        <v>9329</v>
      </c>
      <c r="X1876" s="12"/>
      <c r="Y1876" s="14"/>
      <c r="Z1876" s="14"/>
    </row>
    <row r="1877">
      <c r="A1877" s="8" t="s">
        <v>9330</v>
      </c>
      <c r="B1877" s="8" t="s">
        <v>9331</v>
      </c>
      <c r="C1877" s="8" t="s">
        <v>25</v>
      </c>
      <c r="D1877" s="8" t="s">
        <v>26</v>
      </c>
      <c r="E1877" s="8" t="s">
        <v>9332</v>
      </c>
      <c r="F1877" s="8" t="s">
        <v>9333</v>
      </c>
      <c r="G1877" s="8" t="s">
        <v>31</v>
      </c>
      <c r="H1877" s="8" t="s">
        <v>111</v>
      </c>
      <c r="I1877" s="8" t="s">
        <v>284</v>
      </c>
      <c r="J1877" s="8" t="s">
        <v>3188</v>
      </c>
      <c r="K1877" s="10" t="s">
        <v>9334</v>
      </c>
      <c r="L1877" s="8" t="s">
        <v>47</v>
      </c>
      <c r="M1877" s="8" t="s">
        <v>35</v>
      </c>
      <c r="N1877" s="11">
        <v>45049.0</v>
      </c>
      <c r="O1877" s="11">
        <v>45108.0</v>
      </c>
      <c r="P1877" s="11">
        <v>45191.0</v>
      </c>
      <c r="Q1877" s="11">
        <v>45108.0</v>
      </c>
      <c r="R1877" s="11">
        <v>45191.0</v>
      </c>
      <c r="S1877" s="12"/>
      <c r="T1877" s="8"/>
      <c r="U1877" s="8" t="s">
        <v>8413</v>
      </c>
      <c r="V1877" s="13" t="s">
        <v>111</v>
      </c>
      <c r="W1877" s="13" t="s">
        <v>9335</v>
      </c>
      <c r="X1877" s="12"/>
      <c r="Y1877" s="14"/>
      <c r="Z1877" s="14"/>
    </row>
    <row r="1878">
      <c r="A1878" s="8" t="s">
        <v>9336</v>
      </c>
      <c r="B1878" s="8" t="s">
        <v>9337</v>
      </c>
      <c r="C1878" s="8" t="s">
        <v>25</v>
      </c>
      <c r="D1878" s="8" t="s">
        <v>26</v>
      </c>
      <c r="E1878" s="8" t="s">
        <v>9338</v>
      </c>
      <c r="F1878" s="8">
        <v>5.380687337E9</v>
      </c>
      <c r="G1878" s="8" t="s">
        <v>31</v>
      </c>
      <c r="H1878" s="8" t="s">
        <v>111</v>
      </c>
      <c r="I1878" s="8" t="s">
        <v>284</v>
      </c>
      <c r="J1878" s="8" t="s">
        <v>1287</v>
      </c>
      <c r="K1878" s="10" t="s">
        <v>9339</v>
      </c>
      <c r="L1878" s="8" t="s">
        <v>58</v>
      </c>
      <c r="M1878" s="8" t="s">
        <v>35</v>
      </c>
      <c r="N1878" s="11">
        <v>45049.0</v>
      </c>
      <c r="O1878" s="11">
        <v>45139.0</v>
      </c>
      <c r="P1878" s="11">
        <v>45181.0</v>
      </c>
      <c r="Q1878" s="11">
        <v>45145.0</v>
      </c>
      <c r="R1878" s="11">
        <v>45181.0</v>
      </c>
      <c r="S1878" s="12"/>
      <c r="T1878" s="8"/>
      <c r="U1878" s="8" t="s">
        <v>1038</v>
      </c>
      <c r="V1878" s="13" t="s">
        <v>43</v>
      </c>
      <c r="W1878" s="13" t="s">
        <v>9340</v>
      </c>
      <c r="X1878" s="12"/>
      <c r="Y1878" s="14"/>
      <c r="Z1878" s="14"/>
    </row>
    <row r="1879">
      <c r="A1879" s="8" t="s">
        <v>9341</v>
      </c>
      <c r="B1879" s="8" t="s">
        <v>9342</v>
      </c>
      <c r="C1879" s="8" t="s">
        <v>25</v>
      </c>
      <c r="D1879" s="8" t="s">
        <v>26</v>
      </c>
      <c r="E1879" s="8" t="s">
        <v>9343</v>
      </c>
      <c r="F1879" s="8">
        <v>5.458124243E9</v>
      </c>
      <c r="G1879" s="8" t="s">
        <v>31</v>
      </c>
      <c r="H1879" s="8" t="s">
        <v>56</v>
      </c>
      <c r="I1879" s="8" t="s">
        <v>44</v>
      </c>
      <c r="J1879" s="8" t="s">
        <v>741</v>
      </c>
      <c r="K1879" s="10" t="s">
        <v>9344</v>
      </c>
      <c r="L1879" s="8" t="s">
        <v>58</v>
      </c>
      <c r="M1879" s="8" t="s">
        <v>35</v>
      </c>
      <c r="N1879" s="11">
        <v>45049.0</v>
      </c>
      <c r="O1879" s="11">
        <v>45170.0</v>
      </c>
      <c r="P1879" s="11">
        <v>45212.0</v>
      </c>
      <c r="Q1879" s="11">
        <v>45171.0</v>
      </c>
      <c r="R1879" s="11">
        <v>45212.0</v>
      </c>
      <c r="S1879" s="12"/>
      <c r="T1879" s="8"/>
      <c r="U1879" s="8" t="s">
        <v>59</v>
      </c>
      <c r="V1879" s="13" t="s">
        <v>545</v>
      </c>
      <c r="W1879" s="13" t="s">
        <v>9345</v>
      </c>
      <c r="X1879" s="12"/>
      <c r="Y1879" s="14"/>
      <c r="Z1879" s="14"/>
    </row>
    <row r="1880">
      <c r="A1880" s="8" t="s">
        <v>9346</v>
      </c>
      <c r="B1880" s="8" t="s">
        <v>9347</v>
      </c>
      <c r="C1880" s="8" t="s">
        <v>25</v>
      </c>
      <c r="D1880" s="8" t="s">
        <v>26</v>
      </c>
      <c r="E1880" s="8" t="s">
        <v>9348</v>
      </c>
      <c r="F1880" s="8">
        <v>5.078882787E9</v>
      </c>
      <c r="G1880" s="8" t="s">
        <v>31</v>
      </c>
      <c r="H1880" s="8" t="s">
        <v>111</v>
      </c>
      <c r="I1880" s="8" t="s">
        <v>399</v>
      </c>
      <c r="J1880" s="8" t="s">
        <v>1381</v>
      </c>
      <c r="K1880" s="10" t="s">
        <v>9349</v>
      </c>
      <c r="L1880" s="8" t="s">
        <v>58</v>
      </c>
      <c r="M1880" s="8" t="s">
        <v>35</v>
      </c>
      <c r="N1880" s="11">
        <v>45049.0</v>
      </c>
      <c r="O1880" s="11">
        <v>45102.0</v>
      </c>
      <c r="P1880" s="11">
        <v>45144.0</v>
      </c>
      <c r="Q1880" s="11">
        <v>45108.0</v>
      </c>
      <c r="R1880" s="11">
        <v>45148.0</v>
      </c>
      <c r="S1880" s="12"/>
      <c r="T1880" s="8"/>
      <c r="U1880" s="8" t="s">
        <v>59</v>
      </c>
      <c r="V1880" s="13" t="s">
        <v>175</v>
      </c>
      <c r="W1880" s="13" t="s">
        <v>9350</v>
      </c>
      <c r="X1880" s="12"/>
      <c r="Y1880" s="14"/>
      <c r="Z1880" s="14"/>
    </row>
    <row r="1881">
      <c r="A1881" s="8" t="s">
        <v>9351</v>
      </c>
      <c r="B1881" s="8" t="s">
        <v>9352</v>
      </c>
      <c r="C1881" s="8" t="s">
        <v>25</v>
      </c>
      <c r="D1881" s="8" t="s">
        <v>26</v>
      </c>
      <c r="E1881" s="8" t="s">
        <v>9353</v>
      </c>
      <c r="F1881" s="8">
        <v>9.63812127E8</v>
      </c>
      <c r="G1881" s="8" t="s">
        <v>118</v>
      </c>
      <c r="H1881" s="8" t="s">
        <v>3100</v>
      </c>
      <c r="I1881" s="8" t="s">
        <v>31</v>
      </c>
      <c r="J1881" s="8" t="s">
        <v>220</v>
      </c>
      <c r="K1881" s="10" t="s">
        <v>9354</v>
      </c>
      <c r="L1881" s="8" t="s">
        <v>58</v>
      </c>
      <c r="M1881" s="8" t="s">
        <v>35</v>
      </c>
      <c r="N1881" s="11">
        <v>45049.0</v>
      </c>
      <c r="O1881" s="11">
        <v>45061.0</v>
      </c>
      <c r="P1881" s="11">
        <v>45103.0</v>
      </c>
      <c r="Q1881" s="11">
        <v>45065.0</v>
      </c>
      <c r="R1881" s="11">
        <v>45107.0</v>
      </c>
      <c r="S1881" s="12"/>
      <c r="T1881" s="8"/>
      <c r="U1881" s="8" t="s">
        <v>59</v>
      </c>
      <c r="V1881" s="13" t="s">
        <v>9355</v>
      </c>
      <c r="W1881" s="13" t="s">
        <v>9356</v>
      </c>
      <c r="X1881" s="12"/>
      <c r="Y1881" s="14"/>
      <c r="Z1881" s="14"/>
    </row>
    <row r="1882">
      <c r="A1882" s="8" t="s">
        <v>9357</v>
      </c>
      <c r="B1882" s="8" t="s">
        <v>9358</v>
      </c>
      <c r="C1882" s="8" t="s">
        <v>25</v>
      </c>
      <c r="D1882" s="8" t="s">
        <v>26</v>
      </c>
      <c r="E1882" s="8" t="s">
        <v>9359</v>
      </c>
      <c r="F1882" s="8">
        <v>5.330585094E9</v>
      </c>
      <c r="G1882" s="8" t="s">
        <v>31</v>
      </c>
      <c r="H1882" s="8" t="s">
        <v>56</v>
      </c>
      <c r="I1882" s="8" t="s">
        <v>54</v>
      </c>
      <c r="J1882" s="8" t="s">
        <v>377</v>
      </c>
      <c r="K1882" s="10" t="s">
        <v>8835</v>
      </c>
      <c r="L1882" s="8" t="s">
        <v>58</v>
      </c>
      <c r="M1882" s="8" t="s">
        <v>35</v>
      </c>
      <c r="N1882" s="11">
        <v>45049.0</v>
      </c>
      <c r="O1882" s="11">
        <v>45110.0</v>
      </c>
      <c r="P1882" s="11">
        <v>45152.0</v>
      </c>
      <c r="Q1882" s="11">
        <v>45110.0</v>
      </c>
      <c r="R1882" s="11">
        <v>45152.0</v>
      </c>
      <c r="S1882" s="12"/>
      <c r="T1882" s="8"/>
      <c r="U1882" s="8" t="s">
        <v>185</v>
      </c>
      <c r="V1882" s="13" t="s">
        <v>56</v>
      </c>
      <c r="W1882" s="13" t="s">
        <v>9360</v>
      </c>
      <c r="X1882" s="12"/>
      <c r="Y1882" s="14"/>
      <c r="Z1882" s="14"/>
    </row>
    <row r="1883">
      <c r="A1883" s="8" t="s">
        <v>9361</v>
      </c>
      <c r="B1883" s="8" t="s">
        <v>9362</v>
      </c>
      <c r="C1883" s="8" t="s">
        <v>25</v>
      </c>
      <c r="D1883" s="8" t="s">
        <v>26</v>
      </c>
      <c r="E1883" s="8" t="s">
        <v>9363</v>
      </c>
      <c r="F1883" s="8">
        <v>2.5477452E7</v>
      </c>
      <c r="G1883" s="8" t="s">
        <v>54</v>
      </c>
      <c r="H1883" s="8" t="s">
        <v>377</v>
      </c>
      <c r="I1883" s="8" t="s">
        <v>31</v>
      </c>
      <c r="J1883" s="8" t="s">
        <v>32</v>
      </c>
      <c r="K1883" s="10" t="s">
        <v>8474</v>
      </c>
      <c r="L1883" s="8" t="s">
        <v>58</v>
      </c>
      <c r="M1883" s="8" t="s">
        <v>35</v>
      </c>
      <c r="N1883" s="11">
        <v>45050.0</v>
      </c>
      <c r="O1883" s="11">
        <v>45096.0</v>
      </c>
      <c r="P1883" s="11">
        <v>45138.0</v>
      </c>
      <c r="Q1883" s="11">
        <v>45097.0</v>
      </c>
      <c r="R1883" s="11">
        <v>45139.0</v>
      </c>
      <c r="S1883" s="12"/>
      <c r="T1883" s="8"/>
      <c r="U1883" s="8" t="s">
        <v>59</v>
      </c>
      <c r="V1883" s="13" t="s">
        <v>2151</v>
      </c>
      <c r="W1883" s="13" t="s">
        <v>9364</v>
      </c>
      <c r="X1883" s="12"/>
      <c r="Y1883" s="14"/>
      <c r="Z1883" s="14"/>
    </row>
    <row r="1884">
      <c r="A1884" s="8" t="s">
        <v>9365</v>
      </c>
      <c r="B1884" s="8" t="s">
        <v>9366</v>
      </c>
      <c r="C1884" s="8" t="s">
        <v>179</v>
      </c>
      <c r="D1884" s="8" t="s">
        <v>26</v>
      </c>
      <c r="E1884" s="8" t="s">
        <v>9367</v>
      </c>
      <c r="F1884" s="8">
        <v>5.466632166E9</v>
      </c>
      <c r="G1884" s="8" t="s">
        <v>31</v>
      </c>
      <c r="H1884" s="8" t="s">
        <v>32</v>
      </c>
      <c r="I1884" s="8" t="s">
        <v>284</v>
      </c>
      <c r="J1884" s="8" t="s">
        <v>3188</v>
      </c>
      <c r="K1884" s="10" t="s">
        <v>9368</v>
      </c>
      <c r="L1884" s="8" t="s">
        <v>58</v>
      </c>
      <c r="M1884" s="8" t="s">
        <v>35</v>
      </c>
      <c r="N1884" s="11">
        <v>45050.0</v>
      </c>
      <c r="O1884" s="11">
        <v>45184.0</v>
      </c>
      <c r="P1884" s="11">
        <v>45226.0</v>
      </c>
      <c r="Q1884" s="11"/>
      <c r="R1884" s="11"/>
      <c r="S1884" s="12"/>
      <c r="T1884" s="8"/>
      <c r="U1884" s="8" t="s">
        <v>59</v>
      </c>
      <c r="V1884" s="13" t="s">
        <v>537</v>
      </c>
      <c r="W1884" s="13" t="s">
        <v>9369</v>
      </c>
      <c r="X1884" s="12"/>
      <c r="Y1884" s="14"/>
      <c r="Z1884" s="14"/>
    </row>
    <row r="1885">
      <c r="A1885" s="8" t="s">
        <v>9370</v>
      </c>
      <c r="B1885" s="8" t="s">
        <v>9371</v>
      </c>
      <c r="C1885" s="8" t="s">
        <v>25</v>
      </c>
      <c r="D1885" s="8" t="s">
        <v>26</v>
      </c>
      <c r="E1885" s="8" t="s">
        <v>9372</v>
      </c>
      <c r="F1885" s="8">
        <v>5.465866836E9</v>
      </c>
      <c r="G1885" s="8" t="s">
        <v>31</v>
      </c>
      <c r="H1885" s="8" t="s">
        <v>438</v>
      </c>
      <c r="I1885" s="8" t="s">
        <v>284</v>
      </c>
      <c r="J1885" s="8" t="s">
        <v>589</v>
      </c>
      <c r="K1885" s="10" t="s">
        <v>6146</v>
      </c>
      <c r="L1885" s="8" t="s">
        <v>58</v>
      </c>
      <c r="M1885" s="8" t="s">
        <v>35</v>
      </c>
      <c r="N1885" s="11">
        <v>45050.0</v>
      </c>
      <c r="O1885" s="11">
        <v>45122.0</v>
      </c>
      <c r="P1885" s="11">
        <v>45164.0</v>
      </c>
      <c r="Q1885" s="11">
        <v>45122.0</v>
      </c>
      <c r="R1885" s="11">
        <v>45164.0</v>
      </c>
      <c r="S1885" s="12"/>
      <c r="T1885" s="8"/>
      <c r="U1885" s="8" t="s">
        <v>1038</v>
      </c>
      <c r="V1885" s="13" t="s">
        <v>438</v>
      </c>
      <c r="W1885" s="13" t="s">
        <v>9373</v>
      </c>
      <c r="X1885" s="12"/>
      <c r="Y1885" s="14"/>
      <c r="Z1885" s="14"/>
    </row>
    <row r="1886">
      <c r="A1886" s="8" t="s">
        <v>9374</v>
      </c>
      <c r="B1886" s="8" t="s">
        <v>9375</v>
      </c>
      <c r="C1886" s="8" t="s">
        <v>179</v>
      </c>
      <c r="D1886" s="8" t="s">
        <v>26</v>
      </c>
      <c r="E1886" s="8" t="s">
        <v>9376</v>
      </c>
      <c r="F1886" s="8">
        <v>5.053597711E9</v>
      </c>
      <c r="G1886" s="8" t="s">
        <v>31</v>
      </c>
      <c r="H1886" s="8" t="s">
        <v>220</v>
      </c>
      <c r="I1886" s="8" t="s">
        <v>284</v>
      </c>
      <c r="J1886" s="8" t="s">
        <v>285</v>
      </c>
      <c r="K1886" s="10" t="s">
        <v>7771</v>
      </c>
      <c r="L1886" s="8" t="s">
        <v>58</v>
      </c>
      <c r="M1886" s="8" t="s">
        <v>35</v>
      </c>
      <c r="N1886" s="11">
        <v>45050.0</v>
      </c>
      <c r="O1886" s="11">
        <v>45139.0</v>
      </c>
      <c r="P1886" s="11">
        <v>45181.0</v>
      </c>
      <c r="Q1886" s="11"/>
      <c r="R1886" s="11"/>
      <c r="S1886" s="12"/>
      <c r="T1886" s="8"/>
      <c r="U1886" s="8" t="s">
        <v>185</v>
      </c>
      <c r="V1886" s="13" t="s">
        <v>220</v>
      </c>
      <c r="W1886" s="13" t="s">
        <v>9377</v>
      </c>
      <c r="X1886" s="12"/>
      <c r="Y1886" s="14"/>
      <c r="Z1886" s="14"/>
    </row>
    <row r="1887">
      <c r="A1887" s="8" t="s">
        <v>9378</v>
      </c>
      <c r="B1887" s="8" t="s">
        <v>9379</v>
      </c>
      <c r="C1887" s="8" t="s">
        <v>25</v>
      </c>
      <c r="D1887" s="8" t="s">
        <v>26</v>
      </c>
      <c r="E1887" s="8" t="s">
        <v>9380</v>
      </c>
      <c r="F1887" s="8">
        <v>5.305942838E9</v>
      </c>
      <c r="G1887" s="8" t="s">
        <v>31</v>
      </c>
      <c r="H1887" s="8" t="s">
        <v>438</v>
      </c>
      <c r="I1887" s="8" t="s">
        <v>284</v>
      </c>
      <c r="J1887" s="8" t="s">
        <v>589</v>
      </c>
      <c r="K1887" s="10" t="s">
        <v>6146</v>
      </c>
      <c r="L1887" s="8" t="s">
        <v>58</v>
      </c>
      <c r="M1887" s="8" t="s">
        <v>35</v>
      </c>
      <c r="N1887" s="11">
        <v>45050.0</v>
      </c>
      <c r="O1887" s="11">
        <v>45122.0</v>
      </c>
      <c r="P1887" s="11">
        <v>45164.0</v>
      </c>
      <c r="Q1887" s="11">
        <v>45122.0</v>
      </c>
      <c r="R1887" s="11">
        <v>45164.0</v>
      </c>
      <c r="S1887" s="12"/>
      <c r="T1887" s="8"/>
      <c r="U1887" s="8" t="s">
        <v>1038</v>
      </c>
      <c r="V1887" s="13" t="s">
        <v>438</v>
      </c>
      <c r="W1887" s="13" t="s">
        <v>9381</v>
      </c>
      <c r="X1887" s="12"/>
      <c r="Y1887" s="14"/>
      <c r="Z1887" s="14"/>
    </row>
    <row r="1888">
      <c r="A1888" s="8" t="s">
        <v>9382</v>
      </c>
      <c r="B1888" s="8" t="s">
        <v>9383</v>
      </c>
      <c r="C1888" s="8" t="s">
        <v>25</v>
      </c>
      <c r="D1888" s="8" t="s">
        <v>26</v>
      </c>
      <c r="E1888" s="8" t="s">
        <v>9384</v>
      </c>
      <c r="F1888" s="8">
        <v>5.378648128E9</v>
      </c>
      <c r="G1888" s="8" t="s">
        <v>31</v>
      </c>
      <c r="H1888" s="8" t="s">
        <v>56</v>
      </c>
      <c r="I1888" s="8" t="s">
        <v>277</v>
      </c>
      <c r="J1888" s="8" t="s">
        <v>697</v>
      </c>
      <c r="K1888" s="10" t="s">
        <v>9385</v>
      </c>
      <c r="L1888" s="8" t="s">
        <v>58</v>
      </c>
      <c r="M1888" s="8" t="s">
        <v>35</v>
      </c>
      <c r="N1888" s="11">
        <v>45050.0</v>
      </c>
      <c r="O1888" s="11">
        <v>45112.0</v>
      </c>
      <c r="P1888" s="11">
        <v>45154.0</v>
      </c>
      <c r="Q1888" s="11">
        <v>45114.0</v>
      </c>
      <c r="R1888" s="11">
        <v>45154.0</v>
      </c>
      <c r="S1888" s="12"/>
      <c r="T1888" s="8"/>
      <c r="U1888" s="8" t="s">
        <v>88</v>
      </c>
      <c r="V1888" s="13" t="s">
        <v>56</v>
      </c>
      <c r="W1888" s="13" t="s">
        <v>9386</v>
      </c>
      <c r="X1888" s="12"/>
      <c r="Y1888" s="14"/>
      <c r="Z1888" s="14"/>
    </row>
    <row r="1889">
      <c r="A1889" s="8" t="s">
        <v>9387</v>
      </c>
      <c r="B1889" s="8" t="s">
        <v>9388</v>
      </c>
      <c r="C1889" s="8" t="s">
        <v>25</v>
      </c>
      <c r="D1889" s="8" t="s">
        <v>26</v>
      </c>
      <c r="E1889" s="8" t="s">
        <v>9389</v>
      </c>
      <c r="F1889" s="8">
        <v>5.319187856E9</v>
      </c>
      <c r="G1889" s="8" t="s">
        <v>31</v>
      </c>
      <c r="H1889" s="8" t="s">
        <v>86</v>
      </c>
      <c r="I1889" s="8" t="s">
        <v>277</v>
      </c>
      <c r="J1889" s="8" t="s">
        <v>697</v>
      </c>
      <c r="K1889" s="10" t="s">
        <v>9390</v>
      </c>
      <c r="L1889" s="8" t="s">
        <v>58</v>
      </c>
      <c r="M1889" s="8" t="s">
        <v>35</v>
      </c>
      <c r="N1889" s="11">
        <v>45050.0</v>
      </c>
      <c r="O1889" s="11">
        <v>45102.0</v>
      </c>
      <c r="P1889" s="11">
        <v>45144.0</v>
      </c>
      <c r="Q1889" s="11">
        <v>45103.0</v>
      </c>
      <c r="R1889" s="11">
        <v>45144.0</v>
      </c>
      <c r="S1889" s="12"/>
      <c r="T1889" s="8"/>
      <c r="U1889" s="8" t="s">
        <v>88</v>
      </c>
      <c r="V1889" s="13" t="s">
        <v>175</v>
      </c>
      <c r="W1889" s="13" t="s">
        <v>9391</v>
      </c>
      <c r="X1889" s="12"/>
      <c r="Y1889" s="14"/>
      <c r="Z1889" s="14"/>
    </row>
    <row r="1890">
      <c r="A1890" s="8" t="s">
        <v>9392</v>
      </c>
      <c r="B1890" s="8" t="s">
        <v>9393</v>
      </c>
      <c r="C1890" s="8" t="s">
        <v>179</v>
      </c>
      <c r="D1890" s="8" t="s">
        <v>26</v>
      </c>
      <c r="E1890" s="8" t="s">
        <v>9394</v>
      </c>
      <c r="F1890" s="8"/>
      <c r="G1890" s="8" t="s">
        <v>31</v>
      </c>
      <c r="H1890" s="8" t="s">
        <v>43</v>
      </c>
      <c r="I1890" s="8" t="s">
        <v>284</v>
      </c>
      <c r="J1890" s="8" t="s">
        <v>589</v>
      </c>
      <c r="K1890" s="10" t="s">
        <v>8734</v>
      </c>
      <c r="L1890" s="8" t="s">
        <v>58</v>
      </c>
      <c r="M1890" s="8" t="s">
        <v>35</v>
      </c>
      <c r="N1890" s="11">
        <v>45050.0</v>
      </c>
      <c r="O1890" s="11">
        <v>45139.0</v>
      </c>
      <c r="P1890" s="11">
        <v>45181.0</v>
      </c>
      <c r="Q1890" s="11"/>
      <c r="R1890" s="11"/>
      <c r="S1890" s="12"/>
      <c r="T1890" s="8"/>
      <c r="U1890" s="8" t="s">
        <v>59</v>
      </c>
      <c r="V1890" s="13" t="s">
        <v>38</v>
      </c>
      <c r="W1890" s="13" t="s">
        <v>9395</v>
      </c>
      <c r="X1890" s="12"/>
      <c r="Y1890" s="14"/>
      <c r="Z1890" s="14"/>
    </row>
    <row r="1891">
      <c r="A1891" s="8" t="s">
        <v>9396</v>
      </c>
      <c r="B1891" s="8" t="s">
        <v>9397</v>
      </c>
      <c r="C1891" s="8" t="s">
        <v>25</v>
      </c>
      <c r="D1891" s="8" t="s">
        <v>26</v>
      </c>
      <c r="E1891" s="8" t="s">
        <v>9398</v>
      </c>
      <c r="F1891" s="8">
        <v>5.54588993E9</v>
      </c>
      <c r="G1891" s="8" t="s">
        <v>31</v>
      </c>
      <c r="H1891" s="8" t="s">
        <v>438</v>
      </c>
      <c r="I1891" s="8" t="s">
        <v>127</v>
      </c>
      <c r="J1891" s="8" t="s">
        <v>128</v>
      </c>
      <c r="K1891" s="10" t="s">
        <v>9399</v>
      </c>
      <c r="L1891" s="8" t="s">
        <v>58</v>
      </c>
      <c r="M1891" s="8" t="s">
        <v>35</v>
      </c>
      <c r="N1891" s="11">
        <v>45050.0</v>
      </c>
      <c r="O1891" s="11">
        <v>45096.0</v>
      </c>
      <c r="P1891" s="11">
        <v>45138.0</v>
      </c>
      <c r="Q1891" s="11">
        <v>45096.0</v>
      </c>
      <c r="R1891" s="11">
        <v>45138.0</v>
      </c>
      <c r="S1891" s="12"/>
      <c r="T1891" s="8"/>
      <c r="U1891" s="8" t="s">
        <v>59</v>
      </c>
      <c r="V1891" s="13" t="s">
        <v>438</v>
      </c>
      <c r="W1891" s="13" t="s">
        <v>9400</v>
      </c>
      <c r="X1891" s="12"/>
      <c r="Y1891" s="14"/>
      <c r="Z1891" s="14"/>
    </row>
    <row r="1892">
      <c r="A1892" s="8" t="s">
        <v>9401</v>
      </c>
      <c r="B1892" s="8" t="s">
        <v>9402</v>
      </c>
      <c r="C1892" s="8" t="s">
        <v>25</v>
      </c>
      <c r="D1892" s="8" t="s">
        <v>26</v>
      </c>
      <c r="E1892" s="8" t="s">
        <v>9403</v>
      </c>
      <c r="F1892" s="8"/>
      <c r="G1892" s="8" t="s">
        <v>31</v>
      </c>
      <c r="H1892" s="8" t="s">
        <v>136</v>
      </c>
      <c r="I1892" s="8" t="s">
        <v>284</v>
      </c>
      <c r="J1892" s="8" t="s">
        <v>285</v>
      </c>
      <c r="K1892" s="10" t="s">
        <v>3841</v>
      </c>
      <c r="L1892" s="8" t="s">
        <v>58</v>
      </c>
      <c r="M1892" s="8" t="s">
        <v>35</v>
      </c>
      <c r="N1892" s="11">
        <v>45050.0</v>
      </c>
      <c r="O1892" s="11">
        <v>45139.0</v>
      </c>
      <c r="P1892" s="11">
        <v>45181.0</v>
      </c>
      <c r="Q1892" s="11">
        <v>45140.0</v>
      </c>
      <c r="R1892" s="11">
        <v>45181.0</v>
      </c>
      <c r="S1892" s="12"/>
      <c r="T1892" s="8"/>
      <c r="U1892" s="8" t="s">
        <v>1038</v>
      </c>
      <c r="V1892" s="13" t="s">
        <v>38</v>
      </c>
      <c r="W1892" s="13" t="s">
        <v>9404</v>
      </c>
      <c r="X1892" s="12"/>
      <c r="Y1892" s="14"/>
      <c r="Z1892" s="14"/>
    </row>
    <row r="1893">
      <c r="A1893" s="8" t="s">
        <v>9405</v>
      </c>
      <c r="B1893" s="8" t="s">
        <v>9406</v>
      </c>
      <c r="C1893" s="8" t="s">
        <v>179</v>
      </c>
      <c r="D1893" s="8" t="s">
        <v>26</v>
      </c>
      <c r="E1893" s="8" t="s">
        <v>9407</v>
      </c>
      <c r="F1893" s="8"/>
      <c r="G1893" s="8" t="s">
        <v>31</v>
      </c>
      <c r="H1893" s="8" t="s">
        <v>86</v>
      </c>
      <c r="I1893" s="8" t="s">
        <v>284</v>
      </c>
      <c r="J1893" s="8" t="s">
        <v>285</v>
      </c>
      <c r="K1893" s="10" t="s">
        <v>3841</v>
      </c>
      <c r="L1893" s="8" t="s">
        <v>58</v>
      </c>
      <c r="M1893" s="8" t="s">
        <v>35</v>
      </c>
      <c r="N1893" s="11">
        <v>45050.0</v>
      </c>
      <c r="O1893" s="11">
        <v>45139.0</v>
      </c>
      <c r="P1893" s="11">
        <v>45181.0</v>
      </c>
      <c r="Q1893" s="11"/>
      <c r="R1893" s="11"/>
      <c r="S1893" s="12"/>
      <c r="T1893" s="8"/>
      <c r="U1893" s="8" t="s">
        <v>1038</v>
      </c>
      <c r="V1893" s="13" t="s">
        <v>38</v>
      </c>
      <c r="W1893" s="13" t="s">
        <v>9408</v>
      </c>
      <c r="X1893" s="12"/>
      <c r="Y1893" s="14"/>
      <c r="Z1893" s="14"/>
    </row>
    <row r="1894">
      <c r="A1894" s="8" t="s">
        <v>9409</v>
      </c>
      <c r="B1894" s="8" t="s">
        <v>9410</v>
      </c>
      <c r="C1894" s="8" t="s">
        <v>179</v>
      </c>
      <c r="D1894" s="8" t="s">
        <v>26</v>
      </c>
      <c r="E1894" s="8" t="s">
        <v>9411</v>
      </c>
      <c r="F1894" s="8">
        <v>5.43765999E9</v>
      </c>
      <c r="G1894" s="8" t="s">
        <v>31</v>
      </c>
      <c r="H1894" s="8" t="s">
        <v>438</v>
      </c>
      <c r="I1894" s="8" t="s">
        <v>284</v>
      </c>
      <c r="J1894" s="8" t="s">
        <v>285</v>
      </c>
      <c r="K1894" s="10" t="s">
        <v>3841</v>
      </c>
      <c r="L1894" s="8" t="s">
        <v>58</v>
      </c>
      <c r="M1894" s="8" t="s">
        <v>35</v>
      </c>
      <c r="N1894" s="11">
        <v>45050.0</v>
      </c>
      <c r="O1894" s="11">
        <v>45139.0</v>
      </c>
      <c r="P1894" s="11">
        <v>45181.0</v>
      </c>
      <c r="Q1894" s="11"/>
      <c r="R1894" s="11"/>
      <c r="S1894" s="12"/>
      <c r="T1894" s="8"/>
      <c r="U1894" s="8" t="s">
        <v>1038</v>
      </c>
      <c r="V1894" s="13" t="s">
        <v>438</v>
      </c>
      <c r="W1894" s="13" t="s">
        <v>9412</v>
      </c>
      <c r="X1894" s="12"/>
      <c r="Y1894" s="14"/>
      <c r="Z1894" s="14"/>
    </row>
    <row r="1895">
      <c r="A1895" s="8" t="s">
        <v>9413</v>
      </c>
      <c r="B1895" s="8" t="s">
        <v>9414</v>
      </c>
      <c r="C1895" s="8" t="s">
        <v>179</v>
      </c>
      <c r="D1895" s="8" t="s">
        <v>26</v>
      </c>
      <c r="E1895" s="8" t="s">
        <v>9415</v>
      </c>
      <c r="F1895" s="8"/>
      <c r="G1895" s="8" t="s">
        <v>31</v>
      </c>
      <c r="H1895" s="8" t="s">
        <v>56</v>
      </c>
      <c r="I1895" s="8" t="s">
        <v>44</v>
      </c>
      <c r="J1895" s="8" t="s">
        <v>741</v>
      </c>
      <c r="K1895" s="10" t="s">
        <v>9416</v>
      </c>
      <c r="L1895" s="8" t="s">
        <v>58</v>
      </c>
      <c r="M1895" s="8" t="s">
        <v>35</v>
      </c>
      <c r="N1895" s="11">
        <v>45050.0</v>
      </c>
      <c r="O1895" s="11">
        <v>45115.0</v>
      </c>
      <c r="P1895" s="11">
        <v>45157.0</v>
      </c>
      <c r="Q1895" s="11"/>
      <c r="R1895" s="11"/>
      <c r="S1895" s="12"/>
      <c r="T1895" s="8"/>
      <c r="U1895" s="8" t="s">
        <v>402</v>
      </c>
      <c r="V1895" s="13" t="s">
        <v>38</v>
      </c>
      <c r="W1895" s="13" t="s">
        <v>9417</v>
      </c>
      <c r="X1895" s="12"/>
      <c r="Y1895" s="14"/>
      <c r="Z1895" s="14"/>
    </row>
    <row r="1896">
      <c r="A1896" s="8" t="s">
        <v>9418</v>
      </c>
      <c r="B1896" s="8" t="s">
        <v>9419</v>
      </c>
      <c r="C1896" s="8" t="s">
        <v>25</v>
      </c>
      <c r="D1896" s="8" t="s">
        <v>26</v>
      </c>
      <c r="E1896" s="8" t="s">
        <v>9420</v>
      </c>
      <c r="F1896" s="8">
        <v>5.333409782E9</v>
      </c>
      <c r="G1896" s="8" t="s">
        <v>31</v>
      </c>
      <c r="H1896" s="8" t="s">
        <v>86</v>
      </c>
      <c r="I1896" s="8" t="s">
        <v>54</v>
      </c>
      <c r="J1896" s="8" t="s">
        <v>430</v>
      </c>
      <c r="K1896" s="10" t="s">
        <v>9421</v>
      </c>
      <c r="L1896" s="8" t="s">
        <v>58</v>
      </c>
      <c r="M1896" s="8" t="s">
        <v>35</v>
      </c>
      <c r="N1896" s="11">
        <v>45050.0</v>
      </c>
      <c r="O1896" s="11">
        <v>45170.0</v>
      </c>
      <c r="P1896" s="11">
        <v>45212.0</v>
      </c>
      <c r="Q1896" s="11">
        <v>45173.0</v>
      </c>
      <c r="R1896" s="11">
        <v>45213.0</v>
      </c>
      <c r="S1896" s="12"/>
      <c r="T1896" s="8"/>
      <c r="U1896" s="8" t="s">
        <v>59</v>
      </c>
      <c r="V1896" s="13" t="s">
        <v>545</v>
      </c>
      <c r="W1896" s="13" t="s">
        <v>9422</v>
      </c>
      <c r="X1896" s="12"/>
      <c r="Y1896" s="14"/>
      <c r="Z1896" s="14"/>
    </row>
    <row r="1897">
      <c r="A1897" s="8" t="s">
        <v>9423</v>
      </c>
      <c r="B1897" s="8" t="s">
        <v>9424</v>
      </c>
      <c r="C1897" s="8" t="s">
        <v>25</v>
      </c>
      <c r="D1897" s="8" t="s">
        <v>26</v>
      </c>
      <c r="E1897" s="8" t="s">
        <v>9425</v>
      </c>
      <c r="F1897" s="8">
        <v>5.338550203E9</v>
      </c>
      <c r="G1897" s="8" t="s">
        <v>31</v>
      </c>
      <c r="H1897" s="8" t="s">
        <v>56</v>
      </c>
      <c r="I1897" s="8" t="s">
        <v>44</v>
      </c>
      <c r="J1897" s="8" t="s">
        <v>1993</v>
      </c>
      <c r="K1897" s="10" t="s">
        <v>9426</v>
      </c>
      <c r="L1897" s="8" t="s">
        <v>58</v>
      </c>
      <c r="M1897" s="8" t="s">
        <v>35</v>
      </c>
      <c r="N1897" s="11">
        <v>45050.0</v>
      </c>
      <c r="O1897" s="11">
        <v>45171.0</v>
      </c>
      <c r="P1897" s="11">
        <v>45213.0</v>
      </c>
      <c r="Q1897" s="11">
        <v>45172.0</v>
      </c>
      <c r="R1897" s="11">
        <v>45214.0</v>
      </c>
      <c r="S1897" s="12"/>
      <c r="T1897" s="8"/>
      <c r="U1897" s="8" t="s">
        <v>88</v>
      </c>
      <c r="V1897" s="13" t="s">
        <v>56</v>
      </c>
      <c r="W1897" s="13" t="s">
        <v>9427</v>
      </c>
      <c r="X1897" s="12"/>
      <c r="Y1897" s="14"/>
      <c r="Z1897" s="14"/>
    </row>
    <row r="1898">
      <c r="A1898" s="8" t="s">
        <v>9428</v>
      </c>
      <c r="B1898" s="8" t="s">
        <v>9429</v>
      </c>
      <c r="C1898" s="8" t="s">
        <v>25</v>
      </c>
      <c r="D1898" s="8" t="s">
        <v>26</v>
      </c>
      <c r="E1898" s="8" t="s">
        <v>9430</v>
      </c>
      <c r="F1898" s="8">
        <v>5.331693212E9</v>
      </c>
      <c r="G1898" s="8" t="s">
        <v>31</v>
      </c>
      <c r="H1898" s="8" t="s">
        <v>56</v>
      </c>
      <c r="I1898" s="8" t="s">
        <v>195</v>
      </c>
      <c r="J1898" s="8" t="s">
        <v>6512</v>
      </c>
      <c r="K1898" s="10" t="s">
        <v>6513</v>
      </c>
      <c r="L1898" s="8" t="s">
        <v>58</v>
      </c>
      <c r="M1898" s="8" t="s">
        <v>35</v>
      </c>
      <c r="N1898" s="11">
        <v>45050.0</v>
      </c>
      <c r="O1898" s="11">
        <v>45108.0</v>
      </c>
      <c r="P1898" s="11">
        <v>45150.0</v>
      </c>
      <c r="Q1898" s="11">
        <v>45108.0</v>
      </c>
      <c r="R1898" s="11">
        <v>45150.0</v>
      </c>
      <c r="S1898" s="12"/>
      <c r="T1898" s="8"/>
      <c r="U1898" s="8" t="s">
        <v>3111</v>
      </c>
      <c r="V1898" s="13" t="s">
        <v>56</v>
      </c>
      <c r="W1898" s="13" t="s">
        <v>9431</v>
      </c>
      <c r="X1898" s="12"/>
      <c r="Y1898" s="14"/>
      <c r="Z1898" s="14"/>
    </row>
    <row r="1899">
      <c r="A1899" s="8" t="s">
        <v>9432</v>
      </c>
      <c r="B1899" s="8" t="s">
        <v>9433</v>
      </c>
      <c r="C1899" s="8" t="s">
        <v>25</v>
      </c>
      <c r="D1899" s="8" t="s">
        <v>26</v>
      </c>
      <c r="E1899" s="8" t="s">
        <v>9434</v>
      </c>
      <c r="F1899" s="8">
        <v>7.072861245E9</v>
      </c>
      <c r="G1899" s="8" t="s">
        <v>496</v>
      </c>
      <c r="H1899" s="8" t="s">
        <v>497</v>
      </c>
      <c r="I1899" s="8" t="s">
        <v>31</v>
      </c>
      <c r="J1899" s="8" t="s">
        <v>32</v>
      </c>
      <c r="K1899" s="10" t="s">
        <v>8474</v>
      </c>
      <c r="L1899" s="8" t="s">
        <v>58</v>
      </c>
      <c r="M1899" s="8" t="s">
        <v>35</v>
      </c>
      <c r="N1899" s="11">
        <v>45050.0</v>
      </c>
      <c r="O1899" s="11">
        <v>45096.0</v>
      </c>
      <c r="P1899" s="11">
        <v>45138.0</v>
      </c>
      <c r="Q1899" s="11">
        <v>45098.0</v>
      </c>
      <c r="R1899" s="11">
        <v>45140.0</v>
      </c>
      <c r="S1899" s="12"/>
      <c r="T1899" s="8"/>
      <c r="U1899" s="8" t="s">
        <v>59</v>
      </c>
      <c r="V1899" s="13" t="s">
        <v>500</v>
      </c>
      <c r="W1899" s="13" t="s">
        <v>9435</v>
      </c>
      <c r="X1899" s="12"/>
      <c r="Y1899" s="14"/>
      <c r="Z1899" s="14"/>
    </row>
    <row r="1900">
      <c r="A1900" s="8" t="s">
        <v>9436</v>
      </c>
      <c r="B1900" s="8" t="s">
        <v>9437</v>
      </c>
      <c r="C1900" s="8" t="s">
        <v>179</v>
      </c>
      <c r="D1900" s="8" t="s">
        <v>26</v>
      </c>
      <c r="E1900" s="8" t="s">
        <v>9438</v>
      </c>
      <c r="F1900" s="8"/>
      <c r="G1900" s="8" t="s">
        <v>54</v>
      </c>
      <c r="H1900" s="8" t="s">
        <v>135</v>
      </c>
      <c r="I1900" s="8" t="s">
        <v>31</v>
      </c>
      <c r="J1900" s="8" t="s">
        <v>43</v>
      </c>
      <c r="K1900" s="10" t="s">
        <v>837</v>
      </c>
      <c r="L1900" s="8" t="s">
        <v>58</v>
      </c>
      <c r="M1900" s="8" t="s">
        <v>35</v>
      </c>
      <c r="N1900" s="11">
        <v>45050.0</v>
      </c>
      <c r="O1900" s="11">
        <v>45145.0</v>
      </c>
      <c r="P1900" s="11">
        <v>45191.0</v>
      </c>
      <c r="Q1900" s="11"/>
      <c r="R1900" s="11"/>
      <c r="S1900" s="12"/>
      <c r="T1900" s="8"/>
      <c r="U1900" s="8" t="s">
        <v>130</v>
      </c>
      <c r="V1900" s="13" t="s">
        <v>38</v>
      </c>
      <c r="W1900" s="13" t="s">
        <v>9439</v>
      </c>
      <c r="X1900" s="12"/>
      <c r="Y1900" s="14"/>
      <c r="Z1900" s="14"/>
    </row>
    <row r="1901">
      <c r="A1901" s="8" t="s">
        <v>9440</v>
      </c>
      <c r="B1901" s="8" t="s">
        <v>9441</v>
      </c>
      <c r="C1901" s="8" t="s">
        <v>25</v>
      </c>
      <c r="D1901" s="8" t="s">
        <v>26</v>
      </c>
      <c r="E1901" s="8" t="s">
        <v>9442</v>
      </c>
      <c r="F1901" s="8">
        <v>5.558875002E9</v>
      </c>
      <c r="G1901" s="8" t="s">
        <v>31</v>
      </c>
      <c r="H1901" s="8" t="s">
        <v>111</v>
      </c>
      <c r="I1901" s="8" t="s">
        <v>284</v>
      </c>
      <c r="J1901" s="8" t="s">
        <v>285</v>
      </c>
      <c r="K1901" s="10" t="s">
        <v>3841</v>
      </c>
      <c r="L1901" s="8" t="s">
        <v>58</v>
      </c>
      <c r="M1901" s="8" t="s">
        <v>35</v>
      </c>
      <c r="N1901" s="11">
        <v>45050.0</v>
      </c>
      <c r="O1901" s="11">
        <v>45139.0</v>
      </c>
      <c r="P1901" s="11">
        <v>45181.0</v>
      </c>
      <c r="Q1901" s="11">
        <v>45140.0</v>
      </c>
      <c r="R1901" s="11">
        <v>45181.0</v>
      </c>
      <c r="S1901" s="12"/>
      <c r="T1901" s="8"/>
      <c r="U1901" s="8" t="s">
        <v>1038</v>
      </c>
      <c r="V1901" s="13" t="s">
        <v>111</v>
      </c>
      <c r="W1901" s="13" t="s">
        <v>9443</v>
      </c>
      <c r="X1901" s="12"/>
      <c r="Y1901" s="14"/>
      <c r="Z1901" s="14"/>
    </row>
    <row r="1902">
      <c r="A1902" s="8" t="s">
        <v>9444</v>
      </c>
      <c r="B1902" s="8" t="s">
        <v>9445</v>
      </c>
      <c r="C1902" s="8" t="s">
        <v>25</v>
      </c>
      <c r="D1902" s="8" t="s">
        <v>26</v>
      </c>
      <c r="E1902" s="8" t="s">
        <v>9446</v>
      </c>
      <c r="F1902" s="8">
        <v>5.077387452E9</v>
      </c>
      <c r="G1902" s="8" t="s">
        <v>31</v>
      </c>
      <c r="H1902" s="8" t="s">
        <v>86</v>
      </c>
      <c r="I1902" s="8" t="s">
        <v>54</v>
      </c>
      <c r="J1902" s="8" t="s">
        <v>237</v>
      </c>
      <c r="K1902" s="10" t="s">
        <v>7722</v>
      </c>
      <c r="L1902" s="8" t="s">
        <v>58</v>
      </c>
      <c r="M1902" s="8" t="s">
        <v>35</v>
      </c>
      <c r="N1902" s="11">
        <v>45050.0</v>
      </c>
      <c r="O1902" s="11">
        <v>45131.0</v>
      </c>
      <c r="P1902" s="11">
        <v>45173.0</v>
      </c>
      <c r="Q1902" s="11">
        <v>45136.0</v>
      </c>
      <c r="R1902" s="11">
        <v>45176.0</v>
      </c>
      <c r="S1902" s="12"/>
      <c r="T1902" s="8"/>
      <c r="U1902" s="8" t="s">
        <v>59</v>
      </c>
      <c r="V1902" s="13" t="s">
        <v>175</v>
      </c>
      <c r="W1902" s="13" t="s">
        <v>9447</v>
      </c>
      <c r="X1902" s="12"/>
      <c r="Y1902" s="14"/>
      <c r="Z1902" s="14"/>
    </row>
    <row r="1903">
      <c r="A1903" s="8" t="s">
        <v>9448</v>
      </c>
      <c r="B1903" s="8" t="s">
        <v>9449</v>
      </c>
      <c r="C1903" s="8" t="s">
        <v>25</v>
      </c>
      <c r="D1903" s="8" t="s">
        <v>26</v>
      </c>
      <c r="E1903" s="8" t="s">
        <v>9450</v>
      </c>
      <c r="F1903" s="8">
        <v>5.301869208E9</v>
      </c>
      <c r="G1903" s="8" t="s">
        <v>31</v>
      </c>
      <c r="H1903" s="8" t="s">
        <v>77</v>
      </c>
      <c r="I1903" s="8" t="s">
        <v>44</v>
      </c>
      <c r="J1903" s="8" t="s">
        <v>1993</v>
      </c>
      <c r="K1903" s="10" t="s">
        <v>2532</v>
      </c>
      <c r="L1903" s="8" t="s">
        <v>58</v>
      </c>
      <c r="M1903" s="8" t="s">
        <v>35</v>
      </c>
      <c r="N1903" s="11">
        <v>45050.0</v>
      </c>
      <c r="O1903" s="11">
        <v>45157.0</v>
      </c>
      <c r="P1903" s="11">
        <v>45199.0</v>
      </c>
      <c r="Q1903" s="11">
        <v>45158.0</v>
      </c>
      <c r="R1903" s="11">
        <v>45199.0</v>
      </c>
      <c r="S1903" s="12"/>
      <c r="T1903" s="8"/>
      <c r="U1903" s="8" t="s">
        <v>371</v>
      </c>
      <c r="V1903" s="13" t="s">
        <v>77</v>
      </c>
      <c r="W1903" s="13" t="s">
        <v>9451</v>
      </c>
      <c r="X1903" s="12"/>
      <c r="Y1903" s="14"/>
      <c r="Z1903" s="14"/>
    </row>
    <row r="1904">
      <c r="A1904" s="8" t="s">
        <v>9452</v>
      </c>
      <c r="B1904" s="8" t="s">
        <v>6555</v>
      </c>
      <c r="C1904" s="8" t="s">
        <v>25</v>
      </c>
      <c r="D1904" s="8" t="s">
        <v>26</v>
      </c>
      <c r="E1904" s="8" t="s">
        <v>6556</v>
      </c>
      <c r="F1904" s="8">
        <v>5.078923573E9</v>
      </c>
      <c r="G1904" s="8" t="s">
        <v>31</v>
      </c>
      <c r="H1904" s="8" t="s">
        <v>56</v>
      </c>
      <c r="I1904" s="8" t="s">
        <v>399</v>
      </c>
      <c r="J1904" s="8" t="s">
        <v>4868</v>
      </c>
      <c r="K1904" s="10" t="s">
        <v>5960</v>
      </c>
      <c r="L1904" s="8" t="s">
        <v>58</v>
      </c>
      <c r="M1904" s="8" t="s">
        <v>35</v>
      </c>
      <c r="N1904" s="11">
        <v>45050.0</v>
      </c>
      <c r="O1904" s="11">
        <v>45110.0</v>
      </c>
      <c r="P1904" s="11">
        <v>45152.0</v>
      </c>
      <c r="Q1904" s="11">
        <v>45133.0</v>
      </c>
      <c r="R1904" s="11">
        <v>45175.0</v>
      </c>
      <c r="S1904" s="12"/>
      <c r="T1904" s="8"/>
      <c r="U1904" s="8" t="s">
        <v>402</v>
      </c>
      <c r="V1904" s="13" t="s">
        <v>56</v>
      </c>
      <c r="W1904" s="13" t="s">
        <v>6558</v>
      </c>
      <c r="X1904" s="12"/>
      <c r="Y1904" s="14"/>
      <c r="Z1904" s="14"/>
    </row>
    <row r="1905">
      <c r="A1905" s="8" t="s">
        <v>9453</v>
      </c>
      <c r="B1905" s="8" t="s">
        <v>9454</v>
      </c>
      <c r="C1905" s="8" t="s">
        <v>179</v>
      </c>
      <c r="D1905" s="8" t="s">
        <v>26</v>
      </c>
      <c r="E1905" s="8" t="s">
        <v>9455</v>
      </c>
      <c r="F1905" s="8">
        <v>5.453364495E9</v>
      </c>
      <c r="G1905" s="8" t="s">
        <v>31</v>
      </c>
      <c r="H1905" s="8" t="s">
        <v>111</v>
      </c>
      <c r="I1905" s="8" t="s">
        <v>284</v>
      </c>
      <c r="J1905" s="8" t="s">
        <v>1422</v>
      </c>
      <c r="K1905" s="10" t="s">
        <v>9456</v>
      </c>
      <c r="L1905" s="8" t="s">
        <v>58</v>
      </c>
      <c r="M1905" s="8" t="s">
        <v>35</v>
      </c>
      <c r="N1905" s="11">
        <v>45050.0</v>
      </c>
      <c r="O1905" s="11">
        <v>45108.0</v>
      </c>
      <c r="P1905" s="11">
        <v>45150.0</v>
      </c>
      <c r="Q1905" s="11"/>
      <c r="R1905" s="11"/>
      <c r="S1905" s="12"/>
      <c r="T1905" s="8"/>
      <c r="U1905" s="8" t="s">
        <v>153</v>
      </c>
      <c r="V1905" s="13" t="s">
        <v>111</v>
      </c>
      <c r="W1905" s="13" t="s">
        <v>9457</v>
      </c>
      <c r="X1905" s="12"/>
      <c r="Y1905" s="14"/>
      <c r="Z1905" s="14"/>
    </row>
    <row r="1906">
      <c r="A1906" s="8" t="s">
        <v>9458</v>
      </c>
      <c r="B1906" s="8" t="s">
        <v>9459</v>
      </c>
      <c r="C1906" s="8" t="s">
        <v>64</v>
      </c>
      <c r="D1906" s="8" t="s">
        <v>26</v>
      </c>
      <c r="E1906" s="8" t="s">
        <v>9460</v>
      </c>
      <c r="F1906" s="8">
        <v>7.073914172E9</v>
      </c>
      <c r="G1906" s="8" t="s">
        <v>496</v>
      </c>
      <c r="H1906" s="8" t="s">
        <v>497</v>
      </c>
      <c r="I1906" s="8" t="s">
        <v>31</v>
      </c>
      <c r="J1906" s="8" t="s">
        <v>32</v>
      </c>
      <c r="K1906" s="10" t="s">
        <v>716</v>
      </c>
      <c r="L1906" s="8" t="s">
        <v>47</v>
      </c>
      <c r="M1906" s="8" t="s">
        <v>70</v>
      </c>
      <c r="N1906" s="11">
        <v>45050.0</v>
      </c>
      <c r="O1906" s="11">
        <v>45046.0</v>
      </c>
      <c r="P1906" s="11">
        <v>45235.0</v>
      </c>
      <c r="Q1906" s="11">
        <v>45076.0</v>
      </c>
      <c r="R1906" s="11">
        <v>45265.0</v>
      </c>
      <c r="S1906" s="12"/>
      <c r="T1906" s="8"/>
      <c r="U1906" s="8" t="s">
        <v>717</v>
      </c>
      <c r="V1906" s="13" t="s">
        <v>500</v>
      </c>
      <c r="W1906" s="13" t="s">
        <v>9461</v>
      </c>
      <c r="X1906" s="12"/>
      <c r="Y1906" s="14"/>
      <c r="Z1906" s="14"/>
    </row>
    <row r="1907">
      <c r="A1907" s="8" t="s">
        <v>9462</v>
      </c>
      <c r="B1907" s="8" t="s">
        <v>9463</v>
      </c>
      <c r="C1907" s="8" t="s">
        <v>25</v>
      </c>
      <c r="D1907" s="8" t="s">
        <v>26</v>
      </c>
      <c r="E1907" s="8" t="s">
        <v>9464</v>
      </c>
      <c r="F1907" s="8">
        <v>5.304233161E9</v>
      </c>
      <c r="G1907" s="8" t="s">
        <v>31</v>
      </c>
      <c r="H1907" s="8" t="s">
        <v>959</v>
      </c>
      <c r="I1907" s="8" t="s">
        <v>127</v>
      </c>
      <c r="J1907" s="8" t="s">
        <v>128</v>
      </c>
      <c r="K1907" s="10" t="s">
        <v>9465</v>
      </c>
      <c r="L1907" s="8" t="s">
        <v>58</v>
      </c>
      <c r="M1907" s="8" t="s">
        <v>35</v>
      </c>
      <c r="N1907" s="11">
        <v>45050.0</v>
      </c>
      <c r="O1907" s="11">
        <v>45110.0</v>
      </c>
      <c r="P1907" s="11">
        <v>45152.0</v>
      </c>
      <c r="Q1907" s="11">
        <v>45110.0</v>
      </c>
      <c r="R1907" s="11">
        <v>45152.0</v>
      </c>
      <c r="S1907" s="12"/>
      <c r="T1907" s="8"/>
      <c r="U1907" s="8" t="s">
        <v>185</v>
      </c>
      <c r="V1907" s="13" t="s">
        <v>1069</v>
      </c>
      <c r="W1907" s="13" t="s">
        <v>9466</v>
      </c>
      <c r="X1907" s="12"/>
      <c r="Y1907" s="14"/>
      <c r="Z1907" s="14"/>
    </row>
    <row r="1908">
      <c r="A1908" s="8" t="s">
        <v>9467</v>
      </c>
      <c r="B1908" s="8" t="s">
        <v>9468</v>
      </c>
      <c r="C1908" s="8" t="s">
        <v>179</v>
      </c>
      <c r="D1908" s="8" t="s">
        <v>26</v>
      </c>
      <c r="E1908" s="8" t="s">
        <v>9469</v>
      </c>
      <c r="F1908" s="8">
        <v>5.0589936E7</v>
      </c>
      <c r="G1908" s="8" t="s">
        <v>54</v>
      </c>
      <c r="H1908" s="8" t="s">
        <v>377</v>
      </c>
      <c r="I1908" s="8" t="s">
        <v>31</v>
      </c>
      <c r="J1908" s="8" t="s">
        <v>32</v>
      </c>
      <c r="K1908" s="10" t="s">
        <v>8474</v>
      </c>
      <c r="L1908" s="8" t="s">
        <v>58</v>
      </c>
      <c r="M1908" s="8" t="s">
        <v>35</v>
      </c>
      <c r="N1908" s="11">
        <v>45051.0</v>
      </c>
      <c r="O1908" s="11">
        <v>45096.0</v>
      </c>
      <c r="P1908" s="11">
        <v>45138.0</v>
      </c>
      <c r="Q1908" s="11"/>
      <c r="R1908" s="11"/>
      <c r="S1908" s="12"/>
      <c r="T1908" s="8"/>
      <c r="U1908" s="8" t="s">
        <v>59</v>
      </c>
      <c r="V1908" s="13" t="s">
        <v>2243</v>
      </c>
      <c r="W1908" s="13" t="s">
        <v>9470</v>
      </c>
      <c r="X1908" s="12"/>
      <c r="Y1908" s="14"/>
      <c r="Z1908" s="14"/>
    </row>
    <row r="1909">
      <c r="A1909" s="8" t="s">
        <v>9471</v>
      </c>
      <c r="B1909" s="8" t="s">
        <v>9472</v>
      </c>
      <c r="C1909" s="8" t="s">
        <v>179</v>
      </c>
      <c r="D1909" s="8" t="s">
        <v>26</v>
      </c>
      <c r="E1909" s="8" t="s">
        <v>9473</v>
      </c>
      <c r="F1909" s="8">
        <v>2.4927108E7</v>
      </c>
      <c r="G1909" s="8" t="s">
        <v>54</v>
      </c>
      <c r="H1909" s="8" t="s">
        <v>595</v>
      </c>
      <c r="I1909" s="8" t="s">
        <v>31</v>
      </c>
      <c r="J1909" s="8" t="s">
        <v>32</v>
      </c>
      <c r="K1909" s="10" t="s">
        <v>8166</v>
      </c>
      <c r="L1909" s="8" t="s">
        <v>58</v>
      </c>
      <c r="M1909" s="8" t="s">
        <v>35</v>
      </c>
      <c r="N1909" s="11">
        <v>45051.0</v>
      </c>
      <c r="O1909" s="11">
        <v>45187.0</v>
      </c>
      <c r="P1909" s="11">
        <v>45229.0</v>
      </c>
      <c r="Q1909" s="11"/>
      <c r="R1909" s="11"/>
      <c r="S1909" s="12"/>
      <c r="T1909" s="8"/>
      <c r="U1909" s="8" t="s">
        <v>371</v>
      </c>
      <c r="V1909" s="13" t="s">
        <v>9474</v>
      </c>
      <c r="W1909" s="13" t="s">
        <v>9475</v>
      </c>
      <c r="X1909" s="12"/>
      <c r="Y1909" s="14"/>
      <c r="Z1909" s="14"/>
    </row>
    <row r="1910">
      <c r="A1910" s="8" t="s">
        <v>9476</v>
      </c>
      <c r="B1910" s="8" t="s">
        <v>9477</v>
      </c>
      <c r="C1910" s="8" t="s">
        <v>25</v>
      </c>
      <c r="D1910" s="8" t="s">
        <v>26</v>
      </c>
      <c r="E1910" s="8" t="s">
        <v>9478</v>
      </c>
      <c r="F1910" s="8">
        <v>5.076754011E9</v>
      </c>
      <c r="G1910" s="8" t="s">
        <v>31</v>
      </c>
      <c r="H1910" s="8" t="s">
        <v>32</v>
      </c>
      <c r="I1910" s="8" t="s">
        <v>284</v>
      </c>
      <c r="J1910" s="8" t="s">
        <v>1287</v>
      </c>
      <c r="K1910" s="10" t="s">
        <v>9479</v>
      </c>
      <c r="L1910" s="8" t="s">
        <v>58</v>
      </c>
      <c r="M1910" s="8" t="s">
        <v>35</v>
      </c>
      <c r="N1910" s="11">
        <v>45051.0</v>
      </c>
      <c r="O1910" s="11">
        <v>45144.0</v>
      </c>
      <c r="P1910" s="11">
        <v>45186.0</v>
      </c>
      <c r="Q1910" s="11">
        <v>45145.0</v>
      </c>
      <c r="R1910" s="11">
        <v>45187.0</v>
      </c>
      <c r="S1910" s="12"/>
      <c r="T1910" s="8"/>
      <c r="U1910" s="8" t="s">
        <v>59</v>
      </c>
      <c r="V1910" s="13" t="s">
        <v>537</v>
      </c>
      <c r="W1910" s="13" t="s">
        <v>9480</v>
      </c>
      <c r="X1910" s="12"/>
      <c r="Y1910" s="14"/>
      <c r="Z1910" s="14"/>
    </row>
    <row r="1911">
      <c r="A1911" s="8" t="s">
        <v>9481</v>
      </c>
      <c r="B1911" s="8" t="s">
        <v>9482</v>
      </c>
      <c r="C1911" s="8" t="s">
        <v>25</v>
      </c>
      <c r="D1911" s="8" t="s">
        <v>26</v>
      </c>
      <c r="E1911" s="8" t="s">
        <v>9483</v>
      </c>
      <c r="F1911" s="8">
        <v>5.465659972E9</v>
      </c>
      <c r="G1911" s="8" t="s">
        <v>31</v>
      </c>
      <c r="H1911" s="8" t="s">
        <v>167</v>
      </c>
      <c r="I1911" s="8" t="s">
        <v>284</v>
      </c>
      <c r="J1911" s="8" t="s">
        <v>691</v>
      </c>
      <c r="K1911" s="10" t="s">
        <v>9484</v>
      </c>
      <c r="L1911" s="8" t="s">
        <v>58</v>
      </c>
      <c r="M1911" s="8" t="s">
        <v>35</v>
      </c>
      <c r="N1911" s="11">
        <v>45051.0</v>
      </c>
      <c r="O1911" s="11">
        <v>45127.0</v>
      </c>
      <c r="P1911" s="11">
        <v>45169.0</v>
      </c>
      <c r="Q1911" s="11"/>
      <c r="R1911" s="11">
        <v>45169.0</v>
      </c>
      <c r="S1911" s="12"/>
      <c r="T1911" s="8"/>
      <c r="U1911" s="8" t="s">
        <v>59</v>
      </c>
      <c r="V1911" s="13" t="s">
        <v>167</v>
      </c>
      <c r="W1911" s="13" t="s">
        <v>9485</v>
      </c>
      <c r="X1911" s="12"/>
      <c r="Y1911" s="14"/>
      <c r="Z1911" s="14"/>
    </row>
    <row r="1912">
      <c r="A1912" s="8" t="s">
        <v>9486</v>
      </c>
      <c r="B1912" s="8" t="s">
        <v>9487</v>
      </c>
      <c r="C1912" s="8" t="s">
        <v>25</v>
      </c>
      <c r="D1912" s="8" t="s">
        <v>26</v>
      </c>
      <c r="E1912" s="8" t="s">
        <v>9488</v>
      </c>
      <c r="F1912" s="8">
        <v>5.3274155E7</v>
      </c>
      <c r="G1912" s="8" t="s">
        <v>54</v>
      </c>
      <c r="H1912" s="8" t="s">
        <v>135</v>
      </c>
      <c r="I1912" s="8" t="s">
        <v>31</v>
      </c>
      <c r="J1912" s="8" t="s">
        <v>43</v>
      </c>
      <c r="K1912" s="10" t="s">
        <v>9489</v>
      </c>
      <c r="L1912" s="8" t="s">
        <v>58</v>
      </c>
      <c r="M1912" s="8" t="s">
        <v>35</v>
      </c>
      <c r="N1912" s="11">
        <v>45051.0</v>
      </c>
      <c r="O1912" s="11">
        <v>45110.0</v>
      </c>
      <c r="P1912" s="11">
        <v>45156.0</v>
      </c>
      <c r="Q1912" s="11">
        <v>45110.0</v>
      </c>
      <c r="R1912" s="11">
        <v>45156.0</v>
      </c>
      <c r="S1912" s="12"/>
      <c r="T1912" s="8"/>
      <c r="U1912" s="8" t="s">
        <v>59</v>
      </c>
      <c r="V1912" s="13" t="s">
        <v>138</v>
      </c>
      <c r="W1912" s="13" t="s">
        <v>9490</v>
      </c>
      <c r="X1912" s="12"/>
      <c r="Y1912" s="14"/>
      <c r="Z1912" s="14"/>
    </row>
    <row r="1913">
      <c r="A1913" s="8" t="s">
        <v>9491</v>
      </c>
      <c r="B1913" s="8" t="s">
        <v>9492</v>
      </c>
      <c r="C1913" s="8" t="s">
        <v>25</v>
      </c>
      <c r="D1913" s="8" t="s">
        <v>26</v>
      </c>
      <c r="E1913" s="8" t="s">
        <v>9493</v>
      </c>
      <c r="F1913" s="8"/>
      <c r="G1913" s="8" t="s">
        <v>31</v>
      </c>
      <c r="H1913" s="8" t="s">
        <v>86</v>
      </c>
      <c r="I1913" s="8" t="s">
        <v>277</v>
      </c>
      <c r="J1913" s="8" t="s">
        <v>697</v>
      </c>
      <c r="K1913" s="10" t="s">
        <v>9494</v>
      </c>
      <c r="L1913" s="8" t="s">
        <v>58</v>
      </c>
      <c r="M1913" s="8" t="s">
        <v>35</v>
      </c>
      <c r="N1913" s="11">
        <v>45051.0</v>
      </c>
      <c r="O1913" s="11">
        <v>45109.0</v>
      </c>
      <c r="P1913" s="11">
        <v>45151.0</v>
      </c>
      <c r="Q1913" s="11">
        <v>45111.0</v>
      </c>
      <c r="R1913" s="11">
        <v>45151.0</v>
      </c>
      <c r="S1913" s="12"/>
      <c r="T1913" s="8"/>
      <c r="U1913" s="8" t="s">
        <v>59</v>
      </c>
      <c r="V1913" s="13" t="s">
        <v>38</v>
      </c>
      <c r="W1913" s="13" t="s">
        <v>9495</v>
      </c>
      <c r="X1913" s="12"/>
      <c r="Y1913" s="14"/>
      <c r="Z1913" s="14"/>
    </row>
    <row r="1914">
      <c r="A1914" s="8" t="s">
        <v>9496</v>
      </c>
      <c r="B1914" s="8" t="s">
        <v>9497</v>
      </c>
      <c r="C1914" s="8" t="s">
        <v>25</v>
      </c>
      <c r="D1914" s="8" t="s">
        <v>26</v>
      </c>
      <c r="E1914" s="8" t="s">
        <v>9498</v>
      </c>
      <c r="F1914" s="8">
        <v>5.317930098E9</v>
      </c>
      <c r="G1914" s="8" t="s">
        <v>31</v>
      </c>
      <c r="H1914" s="8" t="s">
        <v>86</v>
      </c>
      <c r="I1914" s="8" t="s">
        <v>277</v>
      </c>
      <c r="J1914" s="8" t="s">
        <v>278</v>
      </c>
      <c r="K1914" s="10" t="s">
        <v>7861</v>
      </c>
      <c r="L1914" s="8" t="s">
        <v>58</v>
      </c>
      <c r="M1914" s="8" t="s">
        <v>35</v>
      </c>
      <c r="N1914" s="11">
        <v>45051.0</v>
      </c>
      <c r="O1914" s="11">
        <v>45110.0</v>
      </c>
      <c r="P1914" s="11">
        <v>45152.0</v>
      </c>
      <c r="Q1914" s="11">
        <v>45110.0</v>
      </c>
      <c r="R1914" s="11">
        <v>45152.0</v>
      </c>
      <c r="S1914" s="12"/>
      <c r="T1914" s="8"/>
      <c r="U1914" s="8" t="s">
        <v>88</v>
      </c>
      <c r="V1914" s="13" t="s">
        <v>175</v>
      </c>
      <c r="W1914" s="13" t="s">
        <v>9499</v>
      </c>
      <c r="X1914" s="12"/>
      <c r="Y1914" s="14"/>
      <c r="Z1914" s="14"/>
    </row>
    <row r="1915">
      <c r="A1915" s="8" t="s">
        <v>9500</v>
      </c>
      <c r="B1915" s="8" t="s">
        <v>9501</v>
      </c>
      <c r="C1915" s="8" t="s">
        <v>179</v>
      </c>
      <c r="D1915" s="8" t="s">
        <v>26</v>
      </c>
      <c r="E1915" s="8" t="s">
        <v>9502</v>
      </c>
      <c r="F1915" s="8">
        <v>5.413204059E9</v>
      </c>
      <c r="G1915" s="8" t="s">
        <v>31</v>
      </c>
      <c r="H1915" s="8" t="s">
        <v>86</v>
      </c>
      <c r="I1915" s="8" t="s">
        <v>54</v>
      </c>
      <c r="J1915" s="8" t="s">
        <v>430</v>
      </c>
      <c r="K1915" s="10" t="s">
        <v>9503</v>
      </c>
      <c r="L1915" s="8" t="s">
        <v>58</v>
      </c>
      <c r="M1915" s="8" t="s">
        <v>35</v>
      </c>
      <c r="N1915" s="11">
        <v>45051.0</v>
      </c>
      <c r="O1915" s="11">
        <v>45170.0</v>
      </c>
      <c r="P1915" s="11">
        <v>45214.0</v>
      </c>
      <c r="Q1915" s="11"/>
      <c r="R1915" s="11"/>
      <c r="S1915" s="12"/>
      <c r="T1915" s="8"/>
      <c r="U1915" s="8" t="s">
        <v>59</v>
      </c>
      <c r="V1915" s="13" t="s">
        <v>6229</v>
      </c>
      <c r="W1915" s="13" t="s">
        <v>9504</v>
      </c>
      <c r="X1915" s="12"/>
      <c r="Y1915" s="14"/>
      <c r="Z1915" s="14"/>
    </row>
    <row r="1916">
      <c r="A1916" s="8" t="s">
        <v>9505</v>
      </c>
      <c r="B1916" s="8" t="s">
        <v>9506</v>
      </c>
      <c r="C1916" s="8" t="s">
        <v>179</v>
      </c>
      <c r="D1916" s="8" t="s">
        <v>26</v>
      </c>
      <c r="E1916" s="8" t="s">
        <v>9507</v>
      </c>
      <c r="F1916" s="8">
        <v>5.334015659E9</v>
      </c>
      <c r="G1916" s="8" t="s">
        <v>31</v>
      </c>
      <c r="H1916" s="8" t="s">
        <v>136</v>
      </c>
      <c r="I1916" s="8" t="s">
        <v>284</v>
      </c>
      <c r="J1916" s="8" t="s">
        <v>1422</v>
      </c>
      <c r="K1916" s="10" t="s">
        <v>7026</v>
      </c>
      <c r="L1916" s="8" t="s">
        <v>58</v>
      </c>
      <c r="M1916" s="8" t="s">
        <v>35</v>
      </c>
      <c r="N1916" s="11">
        <v>45051.0</v>
      </c>
      <c r="O1916" s="11">
        <v>45306.0</v>
      </c>
      <c r="P1916" s="11">
        <v>45348.0</v>
      </c>
      <c r="Q1916" s="11"/>
      <c r="R1916" s="11"/>
      <c r="S1916" s="12"/>
      <c r="T1916" s="8"/>
      <c r="U1916" s="8" t="s">
        <v>1038</v>
      </c>
      <c r="V1916" s="13" t="s">
        <v>136</v>
      </c>
      <c r="W1916" s="13" t="s">
        <v>9508</v>
      </c>
      <c r="X1916" s="12"/>
      <c r="Y1916" s="14"/>
      <c r="Z1916" s="14"/>
    </row>
    <row r="1917">
      <c r="A1917" s="8" t="s">
        <v>9509</v>
      </c>
      <c r="B1917" s="8" t="s">
        <v>9510</v>
      </c>
      <c r="C1917" s="8" t="s">
        <v>25</v>
      </c>
      <c r="D1917" s="8" t="s">
        <v>26</v>
      </c>
      <c r="E1917" s="8" t="s">
        <v>9511</v>
      </c>
      <c r="F1917" s="8"/>
      <c r="G1917" s="8" t="s">
        <v>31</v>
      </c>
      <c r="H1917" s="8" t="s">
        <v>32</v>
      </c>
      <c r="I1917" s="8" t="s">
        <v>284</v>
      </c>
      <c r="J1917" s="8" t="s">
        <v>1287</v>
      </c>
      <c r="K1917" s="10" t="s">
        <v>9479</v>
      </c>
      <c r="L1917" s="8" t="s">
        <v>58</v>
      </c>
      <c r="M1917" s="8" t="s">
        <v>35</v>
      </c>
      <c r="N1917" s="11">
        <v>45051.0</v>
      </c>
      <c r="O1917" s="11">
        <v>45108.0</v>
      </c>
      <c r="P1917" s="11">
        <v>45150.0</v>
      </c>
      <c r="Q1917" s="11">
        <v>45121.0</v>
      </c>
      <c r="R1917" s="11">
        <v>45150.0</v>
      </c>
      <c r="S1917" s="12"/>
      <c r="T1917" s="8"/>
      <c r="U1917" s="8" t="s">
        <v>59</v>
      </c>
      <c r="V1917" s="13" t="s">
        <v>38</v>
      </c>
      <c r="W1917" s="13" t="s">
        <v>9512</v>
      </c>
      <c r="X1917" s="12"/>
      <c r="Y1917" s="14"/>
      <c r="Z1917" s="14"/>
    </row>
    <row r="1918">
      <c r="A1918" s="8" t="s">
        <v>9513</v>
      </c>
      <c r="B1918" s="8" t="s">
        <v>9514</v>
      </c>
      <c r="C1918" s="8" t="s">
        <v>25</v>
      </c>
      <c r="D1918" s="8" t="s">
        <v>26</v>
      </c>
      <c r="E1918" s="8" t="s">
        <v>9515</v>
      </c>
      <c r="F1918" s="8"/>
      <c r="G1918" s="8" t="s">
        <v>31</v>
      </c>
      <c r="H1918" s="8" t="s">
        <v>77</v>
      </c>
      <c r="I1918" s="8" t="s">
        <v>399</v>
      </c>
      <c r="J1918" s="8" t="s">
        <v>400</v>
      </c>
      <c r="K1918" s="10" t="s">
        <v>1700</v>
      </c>
      <c r="L1918" s="8" t="s">
        <v>58</v>
      </c>
      <c r="M1918" s="8" t="s">
        <v>35</v>
      </c>
      <c r="N1918" s="11">
        <v>45051.0</v>
      </c>
      <c r="O1918" s="11">
        <v>45139.0</v>
      </c>
      <c r="P1918" s="11">
        <v>45181.0</v>
      </c>
      <c r="Q1918" s="11">
        <v>45140.0</v>
      </c>
      <c r="R1918" s="11">
        <v>45181.0</v>
      </c>
      <c r="S1918" s="12"/>
      <c r="T1918" s="8"/>
      <c r="U1918" s="8" t="s">
        <v>1038</v>
      </c>
      <c r="V1918" s="13" t="s">
        <v>38</v>
      </c>
      <c r="W1918" s="13" t="s">
        <v>9516</v>
      </c>
      <c r="X1918" s="12"/>
      <c r="Y1918" s="14"/>
      <c r="Z1918" s="14"/>
    </row>
    <row r="1919">
      <c r="A1919" s="8" t="s">
        <v>9517</v>
      </c>
      <c r="B1919" s="8" t="s">
        <v>9518</v>
      </c>
      <c r="C1919" s="8" t="s">
        <v>25</v>
      </c>
      <c r="D1919" s="8" t="s">
        <v>26</v>
      </c>
      <c r="E1919" s="8" t="s">
        <v>9519</v>
      </c>
      <c r="F1919" s="8">
        <v>5.418464484E9</v>
      </c>
      <c r="G1919" s="8" t="s">
        <v>31</v>
      </c>
      <c r="H1919" s="8" t="s">
        <v>1274</v>
      </c>
      <c r="I1919" s="8" t="s">
        <v>127</v>
      </c>
      <c r="J1919" s="8" t="s">
        <v>2182</v>
      </c>
      <c r="K1919" s="10" t="s">
        <v>9520</v>
      </c>
      <c r="L1919" s="8" t="s">
        <v>58</v>
      </c>
      <c r="M1919" s="8" t="s">
        <v>35</v>
      </c>
      <c r="N1919" s="11">
        <v>45051.0</v>
      </c>
      <c r="O1919" s="11">
        <v>45075.0</v>
      </c>
      <c r="P1919" s="11">
        <v>45117.0</v>
      </c>
      <c r="Q1919" s="11">
        <v>45078.0</v>
      </c>
      <c r="R1919" s="11">
        <v>45120.0</v>
      </c>
      <c r="S1919" s="12"/>
      <c r="T1919" s="8"/>
      <c r="U1919" s="8" t="s">
        <v>59</v>
      </c>
      <c r="V1919" s="13" t="s">
        <v>1274</v>
      </c>
      <c r="W1919" s="13" t="s">
        <v>9521</v>
      </c>
      <c r="X1919" s="12"/>
      <c r="Y1919" s="14"/>
      <c r="Z1919" s="14"/>
    </row>
    <row r="1920">
      <c r="A1920" s="8" t="s">
        <v>9522</v>
      </c>
      <c r="B1920" s="8" t="s">
        <v>9523</v>
      </c>
      <c r="C1920" s="8" t="s">
        <v>179</v>
      </c>
      <c r="D1920" s="8" t="s">
        <v>26</v>
      </c>
      <c r="E1920" s="8" t="s">
        <v>9524</v>
      </c>
      <c r="F1920" s="8"/>
      <c r="G1920" s="8" t="s">
        <v>31</v>
      </c>
      <c r="H1920" s="8" t="s">
        <v>56</v>
      </c>
      <c r="I1920" s="8" t="s">
        <v>284</v>
      </c>
      <c r="J1920" s="8" t="s">
        <v>285</v>
      </c>
      <c r="K1920" s="10" t="s">
        <v>7771</v>
      </c>
      <c r="L1920" s="8" t="s">
        <v>58</v>
      </c>
      <c r="M1920" s="8" t="s">
        <v>35</v>
      </c>
      <c r="N1920" s="11">
        <v>45051.0</v>
      </c>
      <c r="O1920" s="11">
        <v>45108.0</v>
      </c>
      <c r="P1920" s="11">
        <v>45150.0</v>
      </c>
      <c r="Q1920" s="11"/>
      <c r="R1920" s="11"/>
      <c r="S1920" s="12"/>
      <c r="T1920" s="8"/>
      <c r="U1920" s="8" t="s">
        <v>185</v>
      </c>
      <c r="V1920" s="13" t="s">
        <v>38</v>
      </c>
      <c r="W1920" s="13" t="s">
        <v>9525</v>
      </c>
      <c r="X1920" s="12"/>
      <c r="Y1920" s="14"/>
      <c r="Z1920" s="14"/>
    </row>
    <row r="1921">
      <c r="A1921" s="8" t="s">
        <v>9526</v>
      </c>
      <c r="B1921" s="8" t="s">
        <v>9527</v>
      </c>
      <c r="C1921" s="8" t="s">
        <v>179</v>
      </c>
      <c r="D1921" s="8" t="s">
        <v>26</v>
      </c>
      <c r="E1921" s="8" t="s">
        <v>9528</v>
      </c>
      <c r="F1921" s="8">
        <v>5.530040145E9</v>
      </c>
      <c r="G1921" s="8" t="s">
        <v>31</v>
      </c>
      <c r="H1921" s="8" t="s">
        <v>32</v>
      </c>
      <c r="I1921" s="8" t="s">
        <v>284</v>
      </c>
      <c r="J1921" s="8" t="s">
        <v>285</v>
      </c>
      <c r="K1921" s="10" t="s">
        <v>7771</v>
      </c>
      <c r="L1921" s="8" t="s">
        <v>58</v>
      </c>
      <c r="M1921" s="8" t="s">
        <v>35</v>
      </c>
      <c r="N1921" s="11">
        <v>45051.0</v>
      </c>
      <c r="O1921" s="11">
        <v>45108.0</v>
      </c>
      <c r="P1921" s="11">
        <v>45150.0</v>
      </c>
      <c r="Q1921" s="11"/>
      <c r="R1921" s="11"/>
      <c r="S1921" s="12"/>
      <c r="T1921" s="8"/>
      <c r="U1921" s="8" t="s">
        <v>185</v>
      </c>
      <c r="V1921" s="13" t="s">
        <v>175</v>
      </c>
      <c r="W1921" s="13" t="s">
        <v>9529</v>
      </c>
      <c r="X1921" s="12"/>
      <c r="Y1921" s="14"/>
      <c r="Z1921" s="14"/>
    </row>
    <row r="1922">
      <c r="A1922" s="8" t="s">
        <v>9530</v>
      </c>
      <c r="B1922" s="8" t="s">
        <v>9531</v>
      </c>
      <c r="C1922" s="8" t="s">
        <v>25</v>
      </c>
      <c r="D1922" s="8" t="s">
        <v>26</v>
      </c>
      <c r="E1922" s="8" t="s">
        <v>9532</v>
      </c>
      <c r="F1922" s="8">
        <v>5.313832791E9</v>
      </c>
      <c r="G1922" s="8" t="s">
        <v>31</v>
      </c>
      <c r="H1922" s="8" t="s">
        <v>86</v>
      </c>
      <c r="I1922" s="8" t="s">
        <v>29</v>
      </c>
      <c r="J1922" s="8" t="s">
        <v>1107</v>
      </c>
      <c r="K1922" s="10" t="s">
        <v>8698</v>
      </c>
      <c r="L1922" s="8" t="s">
        <v>58</v>
      </c>
      <c r="M1922" s="8" t="s">
        <v>35</v>
      </c>
      <c r="N1922" s="11">
        <v>45051.0</v>
      </c>
      <c r="O1922" s="11">
        <v>45138.0</v>
      </c>
      <c r="P1922" s="11">
        <v>45180.0</v>
      </c>
      <c r="Q1922" s="11">
        <v>45147.0</v>
      </c>
      <c r="R1922" s="11">
        <v>45189.0</v>
      </c>
      <c r="S1922" s="12"/>
      <c r="T1922" s="8"/>
      <c r="U1922" s="8" t="s">
        <v>632</v>
      </c>
      <c r="V1922" s="13" t="s">
        <v>111</v>
      </c>
      <c r="W1922" s="13" t="s">
        <v>9533</v>
      </c>
      <c r="X1922" s="12"/>
      <c r="Y1922" s="14"/>
      <c r="Z1922" s="14"/>
    </row>
    <row r="1923">
      <c r="A1923" s="8" t="s">
        <v>9534</v>
      </c>
      <c r="B1923" s="8" t="s">
        <v>9535</v>
      </c>
      <c r="C1923" s="8" t="s">
        <v>25</v>
      </c>
      <c r="D1923" s="8" t="s">
        <v>26</v>
      </c>
      <c r="E1923" s="8" t="s">
        <v>9536</v>
      </c>
      <c r="F1923" s="8"/>
      <c r="G1923" s="8" t="s">
        <v>31</v>
      </c>
      <c r="H1923" s="8" t="s">
        <v>86</v>
      </c>
      <c r="I1923" s="8" t="s">
        <v>44</v>
      </c>
      <c r="J1923" s="8" t="s">
        <v>1993</v>
      </c>
      <c r="K1923" s="10" t="s">
        <v>3846</v>
      </c>
      <c r="L1923" s="8" t="s">
        <v>58</v>
      </c>
      <c r="M1923" s="8" t="s">
        <v>35</v>
      </c>
      <c r="N1923" s="11">
        <v>45052.0</v>
      </c>
      <c r="O1923" s="11">
        <v>45115.0</v>
      </c>
      <c r="P1923" s="11">
        <v>45157.0</v>
      </c>
      <c r="Q1923" s="11">
        <v>45115.0</v>
      </c>
      <c r="R1923" s="11">
        <v>45157.0</v>
      </c>
      <c r="S1923" s="12"/>
      <c r="T1923" s="8"/>
      <c r="U1923" s="8" t="s">
        <v>1038</v>
      </c>
      <c r="V1923" s="13" t="s">
        <v>38</v>
      </c>
      <c r="W1923" s="13" t="s">
        <v>9537</v>
      </c>
      <c r="X1923" s="12"/>
      <c r="Y1923" s="14"/>
      <c r="Z1923" s="14"/>
    </row>
    <row r="1924">
      <c r="A1924" s="8" t="s">
        <v>9538</v>
      </c>
      <c r="B1924" s="8" t="s">
        <v>9539</v>
      </c>
      <c r="C1924" s="8" t="s">
        <v>25</v>
      </c>
      <c r="D1924" s="8" t="s">
        <v>26</v>
      </c>
      <c r="E1924" s="8" t="s">
        <v>9540</v>
      </c>
      <c r="F1924" s="8">
        <v>5.366447943E9</v>
      </c>
      <c r="G1924" s="8" t="s">
        <v>31</v>
      </c>
      <c r="H1924" s="8" t="s">
        <v>542</v>
      </c>
      <c r="I1924" s="8" t="s">
        <v>127</v>
      </c>
      <c r="J1924" s="8" t="s">
        <v>159</v>
      </c>
      <c r="K1924" s="10" t="s">
        <v>9541</v>
      </c>
      <c r="L1924" s="8" t="s">
        <v>58</v>
      </c>
      <c r="M1924" s="8" t="s">
        <v>35</v>
      </c>
      <c r="N1924" s="11">
        <v>45052.0</v>
      </c>
      <c r="O1924" s="11">
        <v>45103.0</v>
      </c>
      <c r="P1924" s="11">
        <v>45145.0</v>
      </c>
      <c r="Q1924" s="11">
        <v>45103.0</v>
      </c>
      <c r="R1924" s="11">
        <v>45145.0</v>
      </c>
      <c r="S1924" s="12"/>
      <c r="T1924" s="8"/>
      <c r="U1924" s="8" t="s">
        <v>161</v>
      </c>
      <c r="V1924" s="13" t="s">
        <v>545</v>
      </c>
      <c r="W1924" s="13" t="s">
        <v>9542</v>
      </c>
      <c r="X1924" s="12"/>
      <c r="Y1924" s="14"/>
      <c r="Z1924" s="14"/>
    </row>
    <row r="1925">
      <c r="A1925" s="8" t="s">
        <v>9543</v>
      </c>
      <c r="B1925" s="8" t="s">
        <v>9544</v>
      </c>
      <c r="C1925" s="8" t="s">
        <v>64</v>
      </c>
      <c r="D1925" s="8" t="s">
        <v>26</v>
      </c>
      <c r="E1925" s="8" t="s">
        <v>9545</v>
      </c>
      <c r="F1925" s="8">
        <v>5.3004176E7</v>
      </c>
      <c r="G1925" s="8" t="s">
        <v>54</v>
      </c>
      <c r="H1925" s="8" t="s">
        <v>244</v>
      </c>
      <c r="I1925" s="8" t="s">
        <v>31</v>
      </c>
      <c r="J1925" s="8" t="s">
        <v>56</v>
      </c>
      <c r="K1925" s="10" t="s">
        <v>9305</v>
      </c>
      <c r="L1925" s="8" t="s">
        <v>58</v>
      </c>
      <c r="M1925" s="8" t="s">
        <v>35</v>
      </c>
      <c r="N1925" s="11">
        <v>45052.0</v>
      </c>
      <c r="O1925" s="11">
        <v>45152.0</v>
      </c>
      <c r="P1925" s="11">
        <v>45194.0</v>
      </c>
      <c r="Q1925" s="11">
        <v>45155.0</v>
      </c>
      <c r="R1925" s="11">
        <v>45195.0</v>
      </c>
      <c r="S1925" s="12"/>
      <c r="T1925" s="8"/>
      <c r="U1925" s="8" t="s">
        <v>59</v>
      </c>
      <c r="V1925" s="13" t="s">
        <v>7388</v>
      </c>
      <c r="W1925" s="13" t="s">
        <v>9546</v>
      </c>
      <c r="X1925" s="12"/>
      <c r="Y1925" s="14"/>
      <c r="Z1925" s="14"/>
    </row>
    <row r="1926">
      <c r="A1926" s="8" t="s">
        <v>9547</v>
      </c>
      <c r="B1926" s="8" t="s">
        <v>9548</v>
      </c>
      <c r="C1926" s="8" t="s">
        <v>25</v>
      </c>
      <c r="D1926" s="8" t="s">
        <v>26</v>
      </c>
      <c r="E1926" s="8" t="s">
        <v>9549</v>
      </c>
      <c r="F1926" s="8">
        <v>5.413967937E9</v>
      </c>
      <c r="G1926" s="8" t="s">
        <v>31</v>
      </c>
      <c r="H1926" s="8" t="s">
        <v>86</v>
      </c>
      <c r="I1926" s="8" t="s">
        <v>284</v>
      </c>
      <c r="J1926" s="8" t="s">
        <v>854</v>
      </c>
      <c r="K1926" s="10" t="s">
        <v>8210</v>
      </c>
      <c r="L1926" s="8" t="s">
        <v>58</v>
      </c>
      <c r="M1926" s="8" t="s">
        <v>35</v>
      </c>
      <c r="N1926" s="11">
        <v>45052.0</v>
      </c>
      <c r="O1926" s="11">
        <v>45153.0</v>
      </c>
      <c r="P1926" s="11">
        <v>45197.0</v>
      </c>
      <c r="Q1926" s="11">
        <v>45154.0</v>
      </c>
      <c r="R1926" s="11">
        <v>45199.0</v>
      </c>
      <c r="S1926" s="12"/>
      <c r="T1926" s="8"/>
      <c r="U1926" s="8" t="s">
        <v>161</v>
      </c>
      <c r="V1926" s="13" t="s">
        <v>175</v>
      </c>
      <c r="W1926" s="13" t="s">
        <v>9550</v>
      </c>
      <c r="X1926" s="12"/>
      <c r="Y1926" s="14"/>
      <c r="Z1926" s="14"/>
    </row>
    <row r="1927">
      <c r="A1927" s="8" t="s">
        <v>9551</v>
      </c>
      <c r="B1927" s="8" t="s">
        <v>9552</v>
      </c>
      <c r="C1927" s="8" t="s">
        <v>25</v>
      </c>
      <c r="D1927" s="8" t="s">
        <v>26</v>
      </c>
      <c r="E1927" s="8" t="s">
        <v>9553</v>
      </c>
      <c r="F1927" s="8">
        <v>9.2711122E7</v>
      </c>
      <c r="G1927" s="8" t="s">
        <v>54</v>
      </c>
      <c r="H1927" s="8" t="s">
        <v>377</v>
      </c>
      <c r="I1927" s="8" t="s">
        <v>31</v>
      </c>
      <c r="J1927" s="8" t="s">
        <v>167</v>
      </c>
      <c r="K1927" s="10" t="s">
        <v>8437</v>
      </c>
      <c r="L1927" s="8" t="s">
        <v>58</v>
      </c>
      <c r="M1927" s="8" t="s">
        <v>35</v>
      </c>
      <c r="N1927" s="11">
        <v>45052.0</v>
      </c>
      <c r="O1927" s="11">
        <v>45124.0</v>
      </c>
      <c r="P1927" s="11">
        <v>45166.0</v>
      </c>
      <c r="Q1927" s="11">
        <v>45124.0</v>
      </c>
      <c r="R1927" s="11">
        <v>45166.0</v>
      </c>
      <c r="S1927" s="12"/>
      <c r="T1927" s="8"/>
      <c r="U1927" s="8" t="s">
        <v>130</v>
      </c>
      <c r="V1927" s="13" t="s">
        <v>6222</v>
      </c>
      <c r="W1927" s="13" t="s">
        <v>9554</v>
      </c>
      <c r="X1927" s="12"/>
      <c r="Y1927" s="14"/>
      <c r="Z1927" s="14"/>
    </row>
    <row r="1928">
      <c r="A1928" s="8" t="s">
        <v>9555</v>
      </c>
      <c r="B1928" s="8" t="s">
        <v>9556</v>
      </c>
      <c r="C1928" s="8" t="s">
        <v>25</v>
      </c>
      <c r="D1928" s="8" t="s">
        <v>26</v>
      </c>
      <c r="E1928" s="8" t="s">
        <v>9557</v>
      </c>
      <c r="F1928" s="9" t="s">
        <v>9558</v>
      </c>
      <c r="G1928" s="8" t="s">
        <v>31</v>
      </c>
      <c r="H1928" s="8" t="s">
        <v>32</v>
      </c>
      <c r="I1928" s="8" t="s">
        <v>54</v>
      </c>
      <c r="J1928" s="8" t="s">
        <v>237</v>
      </c>
      <c r="K1928" s="10" t="s">
        <v>9559</v>
      </c>
      <c r="L1928" s="8" t="s">
        <v>58</v>
      </c>
      <c r="M1928" s="8" t="s">
        <v>35</v>
      </c>
      <c r="N1928" s="11">
        <v>45052.0</v>
      </c>
      <c r="O1928" s="11">
        <v>45113.0</v>
      </c>
      <c r="P1928" s="11">
        <v>45155.0</v>
      </c>
      <c r="Q1928" s="11">
        <v>45113.0</v>
      </c>
      <c r="R1928" s="11">
        <v>45155.0</v>
      </c>
      <c r="S1928" s="12"/>
      <c r="T1928" s="8"/>
      <c r="U1928" s="8" t="s">
        <v>402</v>
      </c>
      <c r="V1928" s="13" t="s">
        <v>537</v>
      </c>
      <c r="W1928" s="13" t="s">
        <v>9560</v>
      </c>
      <c r="X1928" s="12"/>
      <c r="Y1928" s="14"/>
      <c r="Z1928" s="14"/>
    </row>
    <row r="1929">
      <c r="A1929" s="8" t="s">
        <v>9561</v>
      </c>
      <c r="B1929" s="8" t="s">
        <v>9562</v>
      </c>
      <c r="C1929" s="8" t="s">
        <v>25</v>
      </c>
      <c r="D1929" s="8" t="s">
        <v>26</v>
      </c>
      <c r="E1929" s="8" t="s">
        <v>9563</v>
      </c>
      <c r="F1929" s="8"/>
      <c r="G1929" s="8" t="s">
        <v>31</v>
      </c>
      <c r="H1929" s="8" t="s">
        <v>86</v>
      </c>
      <c r="I1929" s="8" t="s">
        <v>54</v>
      </c>
      <c r="J1929" s="8" t="s">
        <v>76</v>
      </c>
      <c r="K1929" s="10" t="s">
        <v>9564</v>
      </c>
      <c r="L1929" s="8" t="s">
        <v>58</v>
      </c>
      <c r="M1929" s="8" t="s">
        <v>35</v>
      </c>
      <c r="N1929" s="11">
        <v>45052.0</v>
      </c>
      <c r="O1929" s="11">
        <v>45110.0</v>
      </c>
      <c r="P1929" s="11">
        <v>45152.0</v>
      </c>
      <c r="Q1929" s="11">
        <v>45111.0</v>
      </c>
      <c r="R1929" s="11">
        <v>45152.0</v>
      </c>
      <c r="S1929" s="12"/>
      <c r="T1929" s="8"/>
      <c r="U1929" s="8" t="s">
        <v>59</v>
      </c>
      <c r="V1929" s="13" t="s">
        <v>175</v>
      </c>
      <c r="W1929" s="13" t="s">
        <v>9565</v>
      </c>
      <c r="X1929" s="12"/>
      <c r="Y1929" s="14"/>
      <c r="Z1929" s="14"/>
    </row>
    <row r="1930">
      <c r="A1930" s="8" t="s">
        <v>9566</v>
      </c>
      <c r="B1930" s="8" t="s">
        <v>9567</v>
      </c>
      <c r="C1930" s="8" t="s">
        <v>25</v>
      </c>
      <c r="D1930" s="8" t="s">
        <v>26</v>
      </c>
      <c r="E1930" s="8" t="s">
        <v>9568</v>
      </c>
      <c r="F1930" s="8"/>
      <c r="G1930" s="8" t="s">
        <v>31</v>
      </c>
      <c r="H1930" s="8" t="s">
        <v>86</v>
      </c>
      <c r="I1930" s="8" t="s">
        <v>44</v>
      </c>
      <c r="J1930" s="8" t="s">
        <v>1993</v>
      </c>
      <c r="K1930" s="10" t="s">
        <v>3846</v>
      </c>
      <c r="L1930" s="8" t="s">
        <v>58</v>
      </c>
      <c r="M1930" s="8" t="s">
        <v>35</v>
      </c>
      <c r="N1930" s="11">
        <v>45052.0</v>
      </c>
      <c r="O1930" s="11">
        <v>45115.0</v>
      </c>
      <c r="P1930" s="11">
        <v>45157.0</v>
      </c>
      <c r="Q1930" s="11">
        <v>45115.0</v>
      </c>
      <c r="R1930" s="11">
        <v>45157.0</v>
      </c>
      <c r="S1930" s="12"/>
      <c r="T1930" s="8"/>
      <c r="U1930" s="8" t="s">
        <v>1038</v>
      </c>
      <c r="V1930" s="13" t="s">
        <v>38</v>
      </c>
      <c r="W1930" s="13" t="s">
        <v>9569</v>
      </c>
      <c r="X1930" s="12"/>
      <c r="Y1930" s="14"/>
      <c r="Z1930" s="14"/>
    </row>
    <row r="1931">
      <c r="A1931" s="8" t="s">
        <v>9570</v>
      </c>
      <c r="B1931" s="8" t="s">
        <v>9571</v>
      </c>
      <c r="C1931" s="8" t="s">
        <v>25</v>
      </c>
      <c r="D1931" s="8" t="s">
        <v>26</v>
      </c>
      <c r="E1931" s="8" t="s">
        <v>9572</v>
      </c>
      <c r="F1931" s="8"/>
      <c r="G1931" s="8" t="s">
        <v>31</v>
      </c>
      <c r="H1931" s="8" t="s">
        <v>86</v>
      </c>
      <c r="I1931" s="8" t="s">
        <v>284</v>
      </c>
      <c r="J1931" s="8" t="s">
        <v>589</v>
      </c>
      <c r="K1931" s="10" t="s">
        <v>9573</v>
      </c>
      <c r="L1931" s="8" t="s">
        <v>58</v>
      </c>
      <c r="M1931" s="8" t="s">
        <v>35</v>
      </c>
      <c r="N1931" s="11">
        <v>45052.0</v>
      </c>
      <c r="O1931" s="11">
        <v>45152.0</v>
      </c>
      <c r="P1931" s="11">
        <v>45194.0</v>
      </c>
      <c r="Q1931" s="11">
        <v>45153.0</v>
      </c>
      <c r="R1931" s="11">
        <v>45194.0</v>
      </c>
      <c r="S1931" s="12"/>
      <c r="T1931" s="8"/>
      <c r="U1931" s="8" t="s">
        <v>161</v>
      </c>
      <c r="V1931" s="13" t="s">
        <v>38</v>
      </c>
      <c r="W1931" s="13" t="s">
        <v>9574</v>
      </c>
      <c r="X1931" s="12"/>
      <c r="Y1931" s="14"/>
      <c r="Z1931" s="14"/>
    </row>
    <row r="1932">
      <c r="A1932" s="8" t="s">
        <v>9575</v>
      </c>
      <c r="B1932" s="8" t="s">
        <v>9576</v>
      </c>
      <c r="C1932" s="8" t="s">
        <v>25</v>
      </c>
      <c r="D1932" s="8" t="s">
        <v>26</v>
      </c>
      <c r="E1932" s="8" t="s">
        <v>9577</v>
      </c>
      <c r="F1932" s="8">
        <v>5.396129666E9</v>
      </c>
      <c r="G1932" s="8" t="s">
        <v>31</v>
      </c>
      <c r="H1932" s="8" t="s">
        <v>86</v>
      </c>
      <c r="I1932" s="8" t="s">
        <v>221</v>
      </c>
      <c r="J1932" s="8" t="s">
        <v>3506</v>
      </c>
      <c r="K1932" s="10" t="s">
        <v>9578</v>
      </c>
      <c r="L1932" s="8" t="s">
        <v>58</v>
      </c>
      <c r="M1932" s="8" t="s">
        <v>35</v>
      </c>
      <c r="N1932" s="11">
        <v>45052.0</v>
      </c>
      <c r="O1932" s="11">
        <v>45089.0</v>
      </c>
      <c r="P1932" s="11">
        <v>45131.0</v>
      </c>
      <c r="Q1932" s="11">
        <v>45090.0</v>
      </c>
      <c r="R1932" s="11">
        <v>45131.0</v>
      </c>
      <c r="S1932" s="12"/>
      <c r="T1932" s="8"/>
      <c r="U1932" s="8" t="s">
        <v>371</v>
      </c>
      <c r="V1932" s="13" t="s">
        <v>111</v>
      </c>
      <c r="W1932" s="13" t="s">
        <v>9579</v>
      </c>
      <c r="X1932" s="12"/>
      <c r="Y1932" s="14"/>
      <c r="Z1932" s="14"/>
    </row>
    <row r="1933">
      <c r="A1933" s="8" t="s">
        <v>9580</v>
      </c>
      <c r="B1933" s="8" t="s">
        <v>9581</v>
      </c>
      <c r="C1933" s="8" t="s">
        <v>25</v>
      </c>
      <c r="D1933" s="8" t="s">
        <v>26</v>
      </c>
      <c r="E1933" s="8" t="s">
        <v>9582</v>
      </c>
      <c r="F1933" s="8">
        <v>5.556225065E9</v>
      </c>
      <c r="G1933" s="8" t="s">
        <v>31</v>
      </c>
      <c r="H1933" s="8" t="s">
        <v>86</v>
      </c>
      <c r="I1933" s="8" t="s">
        <v>221</v>
      </c>
      <c r="J1933" s="8" t="s">
        <v>3506</v>
      </c>
      <c r="K1933" s="10" t="s">
        <v>9578</v>
      </c>
      <c r="L1933" s="8" t="s">
        <v>58</v>
      </c>
      <c r="M1933" s="8" t="s">
        <v>35</v>
      </c>
      <c r="N1933" s="11">
        <v>45052.0</v>
      </c>
      <c r="O1933" s="11">
        <v>45089.0</v>
      </c>
      <c r="P1933" s="11">
        <v>45131.0</v>
      </c>
      <c r="Q1933" s="11">
        <v>45090.0</v>
      </c>
      <c r="R1933" s="11">
        <v>45131.0</v>
      </c>
      <c r="S1933" s="12"/>
      <c r="T1933" s="8"/>
      <c r="U1933" s="8" t="s">
        <v>371</v>
      </c>
      <c r="V1933" s="13" t="s">
        <v>111</v>
      </c>
      <c r="W1933" s="13" t="s">
        <v>9583</v>
      </c>
      <c r="X1933" s="12"/>
      <c r="Y1933" s="14"/>
      <c r="Z1933" s="14"/>
    </row>
    <row r="1934">
      <c r="A1934" s="8" t="s">
        <v>9584</v>
      </c>
      <c r="B1934" s="8" t="s">
        <v>9585</v>
      </c>
      <c r="C1934" s="8" t="s">
        <v>708</v>
      </c>
      <c r="D1934" s="8" t="s">
        <v>26</v>
      </c>
      <c r="E1934" s="8" t="s">
        <v>9586</v>
      </c>
      <c r="F1934" s="8">
        <v>5.53218374E8</v>
      </c>
      <c r="G1934" s="8" t="s">
        <v>254</v>
      </c>
      <c r="H1934" s="8" t="s">
        <v>255</v>
      </c>
      <c r="I1934" s="8" t="s">
        <v>31</v>
      </c>
      <c r="J1934" s="8" t="s">
        <v>438</v>
      </c>
      <c r="K1934" s="10" t="s">
        <v>9587</v>
      </c>
      <c r="L1934" s="8" t="s">
        <v>47</v>
      </c>
      <c r="M1934" s="8" t="s">
        <v>70</v>
      </c>
      <c r="N1934" s="11">
        <v>45052.0</v>
      </c>
      <c r="O1934" s="11">
        <v>45061.0</v>
      </c>
      <c r="P1934" s="11">
        <v>45414.0</v>
      </c>
      <c r="Q1934" s="11">
        <v>45059.0</v>
      </c>
      <c r="R1934" s="11">
        <v>45414.0</v>
      </c>
      <c r="S1934" s="12"/>
      <c r="T1934" s="8"/>
      <c r="U1934" s="8" t="s">
        <v>9588</v>
      </c>
      <c r="V1934" s="13" t="s">
        <v>38</v>
      </c>
      <c r="W1934" s="13" t="s">
        <v>9589</v>
      </c>
      <c r="X1934" s="12"/>
      <c r="Y1934" s="14"/>
      <c r="Z1934" s="14"/>
    </row>
    <row r="1935">
      <c r="A1935" s="8" t="s">
        <v>9590</v>
      </c>
      <c r="B1935" s="8" t="s">
        <v>9591</v>
      </c>
      <c r="C1935" s="8" t="s">
        <v>25</v>
      </c>
      <c r="D1935" s="8" t="s">
        <v>26</v>
      </c>
      <c r="E1935" s="8" t="s">
        <v>9592</v>
      </c>
      <c r="F1935" s="8"/>
      <c r="G1935" s="8" t="s">
        <v>31</v>
      </c>
      <c r="H1935" s="8" t="s">
        <v>56</v>
      </c>
      <c r="I1935" s="8" t="s">
        <v>54</v>
      </c>
      <c r="J1935" s="8" t="s">
        <v>244</v>
      </c>
      <c r="K1935" s="10" t="s">
        <v>7460</v>
      </c>
      <c r="L1935" s="8" t="s">
        <v>58</v>
      </c>
      <c r="M1935" s="8" t="s">
        <v>35</v>
      </c>
      <c r="N1935" s="11">
        <v>45052.0</v>
      </c>
      <c r="O1935" s="11">
        <v>45092.0</v>
      </c>
      <c r="P1935" s="11">
        <v>45134.0</v>
      </c>
      <c r="Q1935" s="11">
        <v>45100.0</v>
      </c>
      <c r="R1935" s="11">
        <v>45142.0</v>
      </c>
      <c r="S1935" s="12"/>
      <c r="T1935" s="8"/>
      <c r="U1935" s="8" t="s">
        <v>402</v>
      </c>
      <c r="V1935" s="13" t="s">
        <v>38</v>
      </c>
      <c r="W1935" s="13" t="s">
        <v>9593</v>
      </c>
      <c r="X1935" s="12"/>
      <c r="Y1935" s="14"/>
      <c r="Z1935" s="14"/>
    </row>
    <row r="1936">
      <c r="A1936" s="8" t="s">
        <v>9594</v>
      </c>
      <c r="B1936" s="8" t="s">
        <v>9595</v>
      </c>
      <c r="C1936" s="8" t="s">
        <v>64</v>
      </c>
      <c r="D1936" s="8" t="s">
        <v>26</v>
      </c>
      <c r="E1936" s="8" t="s">
        <v>9596</v>
      </c>
      <c r="F1936" s="8">
        <v>5.391076886E9</v>
      </c>
      <c r="G1936" s="8" t="s">
        <v>31</v>
      </c>
      <c r="H1936" s="8" t="s">
        <v>959</v>
      </c>
      <c r="I1936" s="8" t="s">
        <v>284</v>
      </c>
      <c r="J1936" s="8" t="s">
        <v>1777</v>
      </c>
      <c r="K1936" s="10" t="s">
        <v>9597</v>
      </c>
      <c r="L1936" s="8" t="s">
        <v>58</v>
      </c>
      <c r="M1936" s="8" t="s">
        <v>35</v>
      </c>
      <c r="N1936" s="11">
        <v>45052.0</v>
      </c>
      <c r="O1936" s="11">
        <v>45122.0</v>
      </c>
      <c r="P1936" s="11">
        <v>45164.0</v>
      </c>
      <c r="Q1936" s="11">
        <v>45126.0</v>
      </c>
      <c r="R1936" s="11">
        <v>45166.0</v>
      </c>
      <c r="S1936" s="12"/>
      <c r="T1936" s="8"/>
      <c r="U1936" s="8" t="s">
        <v>1038</v>
      </c>
      <c r="V1936" s="13" t="s">
        <v>1069</v>
      </c>
      <c r="W1936" s="13" t="s">
        <v>9598</v>
      </c>
      <c r="X1936" s="12"/>
      <c r="Y1936" s="14"/>
      <c r="Z1936" s="14"/>
    </row>
    <row r="1937">
      <c r="A1937" s="8" t="s">
        <v>9599</v>
      </c>
      <c r="B1937" s="8" t="s">
        <v>9600</v>
      </c>
      <c r="C1937" s="8" t="s">
        <v>25</v>
      </c>
      <c r="D1937" s="8" t="s">
        <v>26</v>
      </c>
      <c r="E1937" s="8" t="s">
        <v>9601</v>
      </c>
      <c r="F1937" s="8"/>
      <c r="G1937" s="8" t="s">
        <v>31</v>
      </c>
      <c r="H1937" s="8" t="s">
        <v>111</v>
      </c>
      <c r="I1937" s="8" t="s">
        <v>127</v>
      </c>
      <c r="J1937" s="8" t="s">
        <v>128</v>
      </c>
      <c r="K1937" s="10" t="s">
        <v>9602</v>
      </c>
      <c r="L1937" s="8" t="s">
        <v>58</v>
      </c>
      <c r="M1937" s="8" t="s">
        <v>35</v>
      </c>
      <c r="N1937" s="11">
        <v>45052.0</v>
      </c>
      <c r="O1937" s="11">
        <v>45103.0</v>
      </c>
      <c r="P1937" s="11">
        <v>45145.0</v>
      </c>
      <c r="Q1937" s="11">
        <v>45103.0</v>
      </c>
      <c r="R1937" s="11">
        <v>45145.0</v>
      </c>
      <c r="S1937" s="12"/>
      <c r="T1937" s="8"/>
      <c r="U1937" s="8" t="s">
        <v>59</v>
      </c>
      <c r="V1937" s="13" t="s">
        <v>38</v>
      </c>
      <c r="W1937" s="13" t="s">
        <v>9603</v>
      </c>
      <c r="X1937" s="12"/>
      <c r="Y1937" s="14"/>
      <c r="Z1937" s="14"/>
    </row>
    <row r="1938">
      <c r="A1938" s="8" t="s">
        <v>9604</v>
      </c>
      <c r="B1938" s="8" t="s">
        <v>9605</v>
      </c>
      <c r="C1938" s="8" t="s">
        <v>25</v>
      </c>
      <c r="D1938" s="8" t="s">
        <v>26</v>
      </c>
      <c r="E1938" s="8" t="s">
        <v>9606</v>
      </c>
      <c r="F1938" s="8"/>
      <c r="G1938" s="8" t="s">
        <v>44</v>
      </c>
      <c r="H1938" s="8" t="s">
        <v>990</v>
      </c>
      <c r="I1938" s="8" t="s">
        <v>31</v>
      </c>
      <c r="J1938" s="8" t="s">
        <v>111</v>
      </c>
      <c r="K1938" s="10" t="s">
        <v>468</v>
      </c>
      <c r="L1938" s="8" t="s">
        <v>58</v>
      </c>
      <c r="M1938" s="8" t="s">
        <v>35</v>
      </c>
      <c r="N1938" s="11">
        <v>45052.0</v>
      </c>
      <c r="O1938" s="11">
        <v>45082.0</v>
      </c>
      <c r="P1938" s="11">
        <v>45124.0</v>
      </c>
      <c r="Q1938" s="11">
        <v>45082.0</v>
      </c>
      <c r="R1938" s="11">
        <v>45124.0</v>
      </c>
      <c r="S1938" s="12"/>
      <c r="T1938" s="8"/>
      <c r="U1938" s="8" t="s">
        <v>59</v>
      </c>
      <c r="V1938" s="13" t="s">
        <v>38</v>
      </c>
      <c r="W1938" s="13" t="s">
        <v>9607</v>
      </c>
      <c r="X1938" s="12"/>
      <c r="Y1938" s="14"/>
      <c r="Z1938" s="14"/>
    </row>
    <row r="1939">
      <c r="A1939" s="8" t="s">
        <v>9608</v>
      </c>
      <c r="B1939" s="8" t="s">
        <v>9609</v>
      </c>
      <c r="C1939" s="8" t="s">
        <v>708</v>
      </c>
      <c r="D1939" s="8" t="s">
        <v>26</v>
      </c>
      <c r="E1939" s="8" t="s">
        <v>9610</v>
      </c>
      <c r="F1939" s="8">
        <v>2.2457893E7</v>
      </c>
      <c r="G1939" s="8" t="s">
        <v>54</v>
      </c>
      <c r="H1939" s="8" t="s">
        <v>430</v>
      </c>
      <c r="I1939" s="8" t="s">
        <v>31</v>
      </c>
      <c r="J1939" s="8" t="s">
        <v>56</v>
      </c>
      <c r="K1939" s="10" t="s">
        <v>9611</v>
      </c>
      <c r="L1939" s="8" t="s">
        <v>34</v>
      </c>
      <c r="M1939" s="8" t="s">
        <v>70</v>
      </c>
      <c r="N1939" s="11">
        <v>45052.0</v>
      </c>
      <c r="O1939" s="11">
        <v>45076.0</v>
      </c>
      <c r="P1939" s="11">
        <v>45436.0</v>
      </c>
      <c r="Q1939" s="11">
        <v>45121.0</v>
      </c>
      <c r="R1939" s="11">
        <v>45483.0</v>
      </c>
      <c r="S1939" s="12"/>
      <c r="T1939" s="8" t="s">
        <v>121</v>
      </c>
      <c r="U1939" s="8" t="s">
        <v>9612</v>
      </c>
      <c r="V1939" s="13" t="s">
        <v>1174</v>
      </c>
      <c r="W1939" s="13" t="s">
        <v>9613</v>
      </c>
      <c r="X1939" s="12"/>
      <c r="Y1939" s="14"/>
      <c r="Z1939" s="14"/>
    </row>
    <row r="1940">
      <c r="A1940" s="8" t="s">
        <v>9614</v>
      </c>
      <c r="B1940" s="8" t="s">
        <v>9615</v>
      </c>
      <c r="C1940" s="8" t="s">
        <v>25</v>
      </c>
      <c r="D1940" s="8" t="s">
        <v>26</v>
      </c>
      <c r="E1940" s="8" t="s">
        <v>9616</v>
      </c>
      <c r="F1940" s="8">
        <v>5.05818622E9</v>
      </c>
      <c r="G1940" s="8" t="s">
        <v>31</v>
      </c>
      <c r="H1940" s="8" t="s">
        <v>56</v>
      </c>
      <c r="I1940" s="8" t="s">
        <v>195</v>
      </c>
      <c r="J1940" s="8" t="s">
        <v>9617</v>
      </c>
      <c r="K1940" s="10" t="s">
        <v>9618</v>
      </c>
      <c r="L1940" s="8" t="s">
        <v>58</v>
      </c>
      <c r="M1940" s="8" t="s">
        <v>35</v>
      </c>
      <c r="N1940" s="11">
        <v>45052.0</v>
      </c>
      <c r="O1940" s="11">
        <v>45103.0</v>
      </c>
      <c r="P1940" s="11">
        <v>45145.0</v>
      </c>
      <c r="Q1940" s="11">
        <v>45103.0</v>
      </c>
      <c r="R1940" s="11">
        <v>45145.0</v>
      </c>
      <c r="S1940" s="12"/>
      <c r="T1940" s="8"/>
      <c r="U1940" s="8" t="s">
        <v>59</v>
      </c>
      <c r="V1940" s="13" t="s">
        <v>56</v>
      </c>
      <c r="W1940" s="13" t="s">
        <v>9619</v>
      </c>
      <c r="X1940" s="12"/>
      <c r="Y1940" s="14"/>
      <c r="Z1940" s="14"/>
    </row>
    <row r="1941">
      <c r="A1941" s="8" t="s">
        <v>9620</v>
      </c>
      <c r="B1941" s="8" t="s">
        <v>9621</v>
      </c>
      <c r="C1941" s="8" t="s">
        <v>25</v>
      </c>
      <c r="D1941" s="8" t="s">
        <v>26</v>
      </c>
      <c r="E1941" s="8" t="s">
        <v>9622</v>
      </c>
      <c r="F1941" s="8" t="s">
        <v>9623</v>
      </c>
      <c r="G1941" s="8" t="s">
        <v>31</v>
      </c>
      <c r="H1941" s="8" t="s">
        <v>56</v>
      </c>
      <c r="I1941" s="8" t="s">
        <v>127</v>
      </c>
      <c r="J1941" s="8" t="s">
        <v>128</v>
      </c>
      <c r="K1941" s="10" t="s">
        <v>9624</v>
      </c>
      <c r="L1941" s="8" t="s">
        <v>58</v>
      </c>
      <c r="M1941" s="8" t="s">
        <v>35</v>
      </c>
      <c r="N1941" s="11">
        <v>45052.0</v>
      </c>
      <c r="O1941" s="11">
        <v>45096.0</v>
      </c>
      <c r="P1941" s="11">
        <v>45138.0</v>
      </c>
      <c r="Q1941" s="11">
        <v>45095.0</v>
      </c>
      <c r="R1941" s="11">
        <v>45138.0</v>
      </c>
      <c r="S1941" s="12"/>
      <c r="T1941" s="8"/>
      <c r="U1941" s="8" t="s">
        <v>3111</v>
      </c>
      <c r="V1941" s="13" t="s">
        <v>56</v>
      </c>
      <c r="W1941" s="13" t="s">
        <v>9625</v>
      </c>
      <c r="X1941" s="12"/>
      <c r="Y1941" s="14"/>
      <c r="Z1941" s="14"/>
    </row>
    <row r="1942">
      <c r="A1942" s="8" t="s">
        <v>9626</v>
      </c>
      <c r="B1942" s="8" t="s">
        <v>9627</v>
      </c>
      <c r="C1942" s="8" t="s">
        <v>179</v>
      </c>
      <c r="D1942" s="8" t="s">
        <v>26</v>
      </c>
      <c r="E1942" s="8" t="s">
        <v>9628</v>
      </c>
      <c r="F1942" s="8" t="s">
        <v>9629</v>
      </c>
      <c r="G1942" s="8" t="s">
        <v>31</v>
      </c>
      <c r="H1942" s="8" t="s">
        <v>220</v>
      </c>
      <c r="I1942" s="8" t="s">
        <v>284</v>
      </c>
      <c r="J1942" s="8" t="s">
        <v>285</v>
      </c>
      <c r="K1942" s="10" t="s">
        <v>9630</v>
      </c>
      <c r="L1942" s="8" t="s">
        <v>58</v>
      </c>
      <c r="M1942" s="8" t="s">
        <v>35</v>
      </c>
      <c r="N1942" s="11">
        <v>45053.0</v>
      </c>
      <c r="O1942" s="11">
        <v>45108.0</v>
      </c>
      <c r="P1942" s="11">
        <v>45150.0</v>
      </c>
      <c r="Q1942" s="11"/>
      <c r="R1942" s="11"/>
      <c r="S1942" s="12"/>
      <c r="T1942" s="8"/>
      <c r="U1942" s="8" t="s">
        <v>59</v>
      </c>
      <c r="V1942" s="13" t="s">
        <v>220</v>
      </c>
      <c r="W1942" s="13" t="s">
        <v>9631</v>
      </c>
      <c r="X1942" s="12"/>
      <c r="Y1942" s="14"/>
      <c r="Z1942" s="14"/>
    </row>
    <row r="1943">
      <c r="A1943" s="8" t="s">
        <v>9632</v>
      </c>
      <c r="B1943" s="8" t="s">
        <v>9633</v>
      </c>
      <c r="C1943" s="8" t="s">
        <v>25</v>
      </c>
      <c r="D1943" s="8" t="s">
        <v>26</v>
      </c>
      <c r="E1943" s="8" t="s">
        <v>9634</v>
      </c>
      <c r="F1943" s="8" t="s">
        <v>9635</v>
      </c>
      <c r="G1943" s="8" t="s">
        <v>31</v>
      </c>
      <c r="H1943" s="8" t="s">
        <v>220</v>
      </c>
      <c r="I1943" s="8" t="s">
        <v>284</v>
      </c>
      <c r="J1943" s="8" t="s">
        <v>300</v>
      </c>
      <c r="K1943" s="10" t="s">
        <v>9636</v>
      </c>
      <c r="L1943" s="8" t="s">
        <v>58</v>
      </c>
      <c r="M1943" s="8" t="s">
        <v>35</v>
      </c>
      <c r="N1943" s="11">
        <v>45053.0</v>
      </c>
      <c r="O1943" s="11">
        <v>45139.0</v>
      </c>
      <c r="P1943" s="11">
        <v>45181.0</v>
      </c>
      <c r="Q1943" s="11">
        <v>45139.0</v>
      </c>
      <c r="R1943" s="11">
        <v>45181.0</v>
      </c>
      <c r="S1943" s="12"/>
      <c r="T1943" s="8"/>
      <c r="U1943" s="8" t="s">
        <v>153</v>
      </c>
      <c r="V1943" s="13" t="s">
        <v>220</v>
      </c>
      <c r="W1943" s="13" t="s">
        <v>9637</v>
      </c>
      <c r="X1943" s="12"/>
      <c r="Y1943" s="14"/>
      <c r="Z1943" s="14"/>
    </row>
    <row r="1944">
      <c r="A1944" s="8" t="s">
        <v>9638</v>
      </c>
      <c r="B1944" s="8" t="s">
        <v>9639</v>
      </c>
      <c r="C1944" s="8" t="s">
        <v>25</v>
      </c>
      <c r="D1944" s="8" t="s">
        <v>26</v>
      </c>
      <c r="E1944" s="8" t="s">
        <v>9640</v>
      </c>
      <c r="F1944" s="8">
        <v>5.538073022E9</v>
      </c>
      <c r="G1944" s="8" t="s">
        <v>31</v>
      </c>
      <c r="H1944" s="8" t="s">
        <v>542</v>
      </c>
      <c r="I1944" s="8" t="s">
        <v>284</v>
      </c>
      <c r="J1944" s="8" t="s">
        <v>793</v>
      </c>
      <c r="K1944" s="10" t="s">
        <v>6907</v>
      </c>
      <c r="L1944" s="8" t="s">
        <v>58</v>
      </c>
      <c r="M1944" s="8" t="s">
        <v>35</v>
      </c>
      <c r="N1944" s="11">
        <v>45053.0</v>
      </c>
      <c r="O1944" s="11">
        <v>45132.0</v>
      </c>
      <c r="P1944" s="11">
        <v>45174.0</v>
      </c>
      <c r="Q1944" s="11">
        <v>45130.0</v>
      </c>
      <c r="R1944" s="11">
        <v>45174.0</v>
      </c>
      <c r="S1944" s="12"/>
      <c r="T1944" s="8"/>
      <c r="U1944" s="8" t="s">
        <v>59</v>
      </c>
      <c r="V1944" s="13" t="s">
        <v>545</v>
      </c>
      <c r="W1944" s="13" t="s">
        <v>9641</v>
      </c>
      <c r="X1944" s="12"/>
      <c r="Y1944" s="14"/>
      <c r="Z1944" s="14"/>
    </row>
    <row r="1945">
      <c r="A1945" s="8" t="s">
        <v>9642</v>
      </c>
      <c r="B1945" s="8" t="s">
        <v>9643</v>
      </c>
      <c r="C1945" s="8" t="s">
        <v>25</v>
      </c>
      <c r="D1945" s="8" t="s">
        <v>26</v>
      </c>
      <c r="E1945" s="8" t="s">
        <v>9644</v>
      </c>
      <c r="F1945" s="8"/>
      <c r="G1945" s="8" t="s">
        <v>31</v>
      </c>
      <c r="H1945" s="8" t="s">
        <v>542</v>
      </c>
      <c r="I1945" s="8" t="s">
        <v>284</v>
      </c>
      <c r="J1945" s="8" t="s">
        <v>793</v>
      </c>
      <c r="K1945" s="10" t="s">
        <v>9645</v>
      </c>
      <c r="L1945" s="8" t="s">
        <v>58</v>
      </c>
      <c r="M1945" s="8" t="s">
        <v>35</v>
      </c>
      <c r="N1945" s="11">
        <v>45053.0</v>
      </c>
      <c r="O1945" s="11">
        <v>45132.0</v>
      </c>
      <c r="P1945" s="11">
        <v>45174.0</v>
      </c>
      <c r="Q1945" s="11">
        <v>45130.0</v>
      </c>
      <c r="R1945" s="11">
        <v>45174.0</v>
      </c>
      <c r="S1945" s="12"/>
      <c r="T1945" s="8"/>
      <c r="U1945" s="8" t="s">
        <v>59</v>
      </c>
      <c r="V1945" s="13" t="s">
        <v>38</v>
      </c>
      <c r="W1945" s="13" t="s">
        <v>9646</v>
      </c>
      <c r="X1945" s="12"/>
      <c r="Y1945" s="14"/>
      <c r="Z1945" s="14"/>
    </row>
    <row r="1946">
      <c r="A1946" s="8" t="s">
        <v>9647</v>
      </c>
      <c r="B1946" s="8" t="s">
        <v>9648</v>
      </c>
      <c r="C1946" s="8" t="s">
        <v>25</v>
      </c>
      <c r="D1946" s="8" t="s">
        <v>26</v>
      </c>
      <c r="E1946" s="8" t="s">
        <v>9649</v>
      </c>
      <c r="F1946" s="8">
        <v>5.426398912E9</v>
      </c>
      <c r="G1946" s="8" t="s">
        <v>31</v>
      </c>
      <c r="H1946" s="8" t="s">
        <v>56</v>
      </c>
      <c r="I1946" s="8" t="s">
        <v>127</v>
      </c>
      <c r="J1946" s="8" t="s">
        <v>159</v>
      </c>
      <c r="K1946" s="10" t="s">
        <v>9650</v>
      </c>
      <c r="L1946" s="8" t="s">
        <v>58</v>
      </c>
      <c r="M1946" s="8" t="s">
        <v>35</v>
      </c>
      <c r="N1946" s="11">
        <v>45053.0</v>
      </c>
      <c r="O1946" s="11">
        <v>45103.0</v>
      </c>
      <c r="P1946" s="11">
        <v>45145.0</v>
      </c>
      <c r="Q1946" s="11">
        <v>45103.0</v>
      </c>
      <c r="R1946" s="11">
        <v>45145.0</v>
      </c>
      <c r="S1946" s="12"/>
      <c r="T1946" s="8"/>
      <c r="U1946" s="8" t="s">
        <v>1956</v>
      </c>
      <c r="V1946" s="13" t="s">
        <v>111</v>
      </c>
      <c r="W1946" s="13" t="s">
        <v>9651</v>
      </c>
      <c r="X1946" s="12"/>
      <c r="Y1946" s="14"/>
      <c r="Z1946" s="14"/>
    </row>
    <row r="1947">
      <c r="A1947" s="8" t="s">
        <v>9652</v>
      </c>
      <c r="B1947" s="8" t="s">
        <v>9653</v>
      </c>
      <c r="C1947" s="8" t="s">
        <v>25</v>
      </c>
      <c r="D1947" s="8" t="s">
        <v>26</v>
      </c>
      <c r="E1947" s="8" t="s">
        <v>9654</v>
      </c>
      <c r="F1947" s="8">
        <v>5.334941508E9</v>
      </c>
      <c r="G1947" s="8" t="s">
        <v>31</v>
      </c>
      <c r="H1947" s="8" t="s">
        <v>56</v>
      </c>
      <c r="I1947" s="8" t="s">
        <v>127</v>
      </c>
      <c r="J1947" s="8" t="s">
        <v>159</v>
      </c>
      <c r="K1947" s="10" t="s">
        <v>9655</v>
      </c>
      <c r="L1947" s="8" t="s">
        <v>58</v>
      </c>
      <c r="M1947" s="8" t="s">
        <v>35</v>
      </c>
      <c r="N1947" s="11">
        <v>45053.0</v>
      </c>
      <c r="O1947" s="11">
        <v>45103.0</v>
      </c>
      <c r="P1947" s="11">
        <v>45145.0</v>
      </c>
      <c r="Q1947" s="11">
        <v>45103.0</v>
      </c>
      <c r="R1947" s="11">
        <v>45145.0</v>
      </c>
      <c r="S1947" s="12"/>
      <c r="T1947" s="8"/>
      <c r="U1947" s="8" t="s">
        <v>3111</v>
      </c>
      <c r="V1947" s="13" t="s">
        <v>56</v>
      </c>
      <c r="W1947" s="13" t="s">
        <v>9656</v>
      </c>
      <c r="X1947" s="12"/>
      <c r="Y1947" s="14"/>
      <c r="Z1947" s="14"/>
    </row>
    <row r="1948">
      <c r="A1948" s="8" t="s">
        <v>9657</v>
      </c>
      <c r="B1948" s="8" t="s">
        <v>9658</v>
      </c>
      <c r="C1948" s="8" t="s">
        <v>25</v>
      </c>
      <c r="D1948" s="8" t="s">
        <v>26</v>
      </c>
      <c r="E1948" s="8" t="s">
        <v>9659</v>
      </c>
      <c r="F1948" s="8">
        <v>5.379227523E9</v>
      </c>
      <c r="G1948" s="8" t="s">
        <v>31</v>
      </c>
      <c r="H1948" s="8" t="s">
        <v>1274</v>
      </c>
      <c r="I1948" s="8" t="s">
        <v>284</v>
      </c>
      <c r="J1948" s="8" t="s">
        <v>589</v>
      </c>
      <c r="K1948" s="10" t="s">
        <v>9660</v>
      </c>
      <c r="L1948" s="8" t="s">
        <v>58</v>
      </c>
      <c r="M1948" s="8" t="s">
        <v>35</v>
      </c>
      <c r="N1948" s="11">
        <v>45053.0</v>
      </c>
      <c r="O1948" s="11">
        <v>45107.0</v>
      </c>
      <c r="P1948" s="11">
        <v>45149.0</v>
      </c>
      <c r="Q1948" s="11">
        <v>45107.0</v>
      </c>
      <c r="R1948" s="11">
        <v>45149.0</v>
      </c>
      <c r="S1948" s="12"/>
      <c r="T1948" s="8"/>
      <c r="U1948" s="8" t="s">
        <v>371</v>
      </c>
      <c r="V1948" s="13" t="s">
        <v>1274</v>
      </c>
      <c r="W1948" s="13" t="s">
        <v>9661</v>
      </c>
      <c r="X1948" s="12"/>
      <c r="Y1948" s="14"/>
      <c r="Z1948" s="14"/>
    </row>
    <row r="1949">
      <c r="A1949" s="8" t="s">
        <v>9662</v>
      </c>
      <c r="B1949" s="8" t="s">
        <v>9663</v>
      </c>
      <c r="C1949" s="8" t="s">
        <v>179</v>
      </c>
      <c r="D1949" s="8" t="s">
        <v>26</v>
      </c>
      <c r="E1949" s="8" t="s">
        <v>9664</v>
      </c>
      <c r="F1949" s="8"/>
      <c r="G1949" s="8" t="s">
        <v>31</v>
      </c>
      <c r="H1949" s="8" t="s">
        <v>86</v>
      </c>
      <c r="I1949" s="8" t="s">
        <v>284</v>
      </c>
      <c r="J1949" s="8" t="s">
        <v>589</v>
      </c>
      <c r="K1949" s="10" t="s">
        <v>9660</v>
      </c>
      <c r="L1949" s="8" t="s">
        <v>58</v>
      </c>
      <c r="M1949" s="8" t="s">
        <v>35</v>
      </c>
      <c r="N1949" s="11">
        <v>45053.0</v>
      </c>
      <c r="O1949" s="11">
        <v>45152.0</v>
      </c>
      <c r="P1949" s="11">
        <v>45194.0</v>
      </c>
      <c r="Q1949" s="11"/>
      <c r="R1949" s="11"/>
      <c r="S1949" s="12"/>
      <c r="T1949" s="8"/>
      <c r="U1949" s="8" t="s">
        <v>371</v>
      </c>
      <c r="V1949" s="13" t="s">
        <v>38</v>
      </c>
      <c r="W1949" s="13" t="s">
        <v>9665</v>
      </c>
      <c r="X1949" s="12"/>
      <c r="Y1949" s="14"/>
      <c r="Z1949" s="14"/>
    </row>
    <row r="1950">
      <c r="A1950" s="8" t="s">
        <v>9666</v>
      </c>
      <c r="B1950" s="8" t="s">
        <v>9667</v>
      </c>
      <c r="C1950" s="8" t="s">
        <v>25</v>
      </c>
      <c r="D1950" s="8" t="s">
        <v>26</v>
      </c>
      <c r="E1950" s="8" t="s">
        <v>9668</v>
      </c>
      <c r="F1950" s="8">
        <v>5.344108027E9</v>
      </c>
      <c r="G1950" s="8" t="s">
        <v>31</v>
      </c>
      <c r="H1950" s="8" t="s">
        <v>86</v>
      </c>
      <c r="I1950" s="8" t="s">
        <v>284</v>
      </c>
      <c r="J1950" s="8" t="s">
        <v>793</v>
      </c>
      <c r="K1950" s="10" t="s">
        <v>9669</v>
      </c>
      <c r="L1950" s="8" t="s">
        <v>58</v>
      </c>
      <c r="M1950" s="8" t="s">
        <v>35</v>
      </c>
      <c r="N1950" s="11">
        <v>45053.0</v>
      </c>
      <c r="O1950" s="11">
        <v>45122.0</v>
      </c>
      <c r="P1950" s="11">
        <v>45164.0</v>
      </c>
      <c r="Q1950" s="11">
        <v>45122.0</v>
      </c>
      <c r="R1950" s="11">
        <v>45164.0</v>
      </c>
      <c r="S1950" s="12"/>
      <c r="T1950" s="8"/>
      <c r="U1950" s="8" t="s">
        <v>59</v>
      </c>
      <c r="V1950" s="13" t="s">
        <v>175</v>
      </c>
      <c r="W1950" s="13" t="s">
        <v>9670</v>
      </c>
      <c r="X1950" s="12"/>
      <c r="Y1950" s="14"/>
      <c r="Z1950" s="14"/>
    </row>
    <row r="1951">
      <c r="A1951" s="8" t="s">
        <v>9671</v>
      </c>
      <c r="B1951" s="8" t="s">
        <v>9672</v>
      </c>
      <c r="C1951" s="8" t="s">
        <v>179</v>
      </c>
      <c r="D1951" s="8" t="s">
        <v>26</v>
      </c>
      <c r="E1951" s="8" t="s">
        <v>9673</v>
      </c>
      <c r="F1951" s="8">
        <v>5.418984372E9</v>
      </c>
      <c r="G1951" s="8" t="s">
        <v>31</v>
      </c>
      <c r="H1951" s="8" t="s">
        <v>86</v>
      </c>
      <c r="I1951" s="8" t="s">
        <v>284</v>
      </c>
      <c r="J1951" s="8" t="s">
        <v>793</v>
      </c>
      <c r="K1951" s="10" t="s">
        <v>9267</v>
      </c>
      <c r="L1951" s="8" t="s">
        <v>58</v>
      </c>
      <c r="M1951" s="8" t="s">
        <v>35</v>
      </c>
      <c r="N1951" s="11">
        <v>45053.0</v>
      </c>
      <c r="O1951" s="11">
        <v>45108.0</v>
      </c>
      <c r="P1951" s="11">
        <v>45150.0</v>
      </c>
      <c r="Q1951" s="11"/>
      <c r="R1951" s="11"/>
      <c r="S1951" s="12"/>
      <c r="T1951" s="8"/>
      <c r="U1951" s="8" t="s">
        <v>59</v>
      </c>
      <c r="V1951" s="13" t="s">
        <v>4798</v>
      </c>
      <c r="W1951" s="13" t="s">
        <v>9674</v>
      </c>
      <c r="X1951" s="12"/>
      <c r="Y1951" s="14"/>
      <c r="Z1951" s="14"/>
    </row>
    <row r="1952">
      <c r="A1952" s="8" t="s">
        <v>9675</v>
      </c>
      <c r="B1952" s="8" t="s">
        <v>9676</v>
      </c>
      <c r="C1952" s="8" t="s">
        <v>179</v>
      </c>
      <c r="D1952" s="8" t="s">
        <v>26</v>
      </c>
      <c r="E1952" s="8" t="s">
        <v>9677</v>
      </c>
      <c r="F1952" s="8">
        <v>5.525022281E9</v>
      </c>
      <c r="G1952" s="8" t="s">
        <v>31</v>
      </c>
      <c r="H1952" s="8" t="s">
        <v>542</v>
      </c>
      <c r="I1952" s="8" t="s">
        <v>284</v>
      </c>
      <c r="J1952" s="8" t="s">
        <v>793</v>
      </c>
      <c r="K1952" s="10" t="s">
        <v>9678</v>
      </c>
      <c r="L1952" s="8" t="s">
        <v>58</v>
      </c>
      <c r="M1952" s="8" t="s">
        <v>35</v>
      </c>
      <c r="N1952" s="11">
        <v>45053.0</v>
      </c>
      <c r="O1952" s="11">
        <v>45107.0</v>
      </c>
      <c r="P1952" s="11">
        <v>45149.0</v>
      </c>
      <c r="Q1952" s="11"/>
      <c r="R1952" s="11"/>
      <c r="S1952" s="12"/>
      <c r="T1952" s="8"/>
      <c r="U1952" s="8" t="s">
        <v>153</v>
      </c>
      <c r="V1952" s="13" t="s">
        <v>545</v>
      </c>
      <c r="W1952" s="13" t="s">
        <v>9679</v>
      </c>
      <c r="X1952" s="12"/>
      <c r="Y1952" s="14"/>
      <c r="Z1952" s="14"/>
    </row>
    <row r="1953">
      <c r="A1953" s="8" t="s">
        <v>9680</v>
      </c>
      <c r="B1953" s="8" t="s">
        <v>9681</v>
      </c>
      <c r="C1953" s="8" t="s">
        <v>64</v>
      </c>
      <c r="D1953" s="8" t="s">
        <v>26</v>
      </c>
      <c r="E1953" s="8" t="s">
        <v>9682</v>
      </c>
      <c r="F1953" s="8">
        <v>5.308632602E9</v>
      </c>
      <c r="G1953" s="8" t="s">
        <v>31</v>
      </c>
      <c r="H1953" s="8" t="s">
        <v>56</v>
      </c>
      <c r="I1953" s="8" t="s">
        <v>54</v>
      </c>
      <c r="J1953" s="8" t="s">
        <v>1640</v>
      </c>
      <c r="K1953" s="10" t="s">
        <v>9683</v>
      </c>
      <c r="L1953" s="8" t="s">
        <v>58</v>
      </c>
      <c r="M1953" s="8" t="s">
        <v>35</v>
      </c>
      <c r="N1953" s="11">
        <v>45053.0</v>
      </c>
      <c r="O1953" s="11">
        <v>45122.0</v>
      </c>
      <c r="P1953" s="11">
        <v>45164.0</v>
      </c>
      <c r="Q1953" s="11">
        <v>45127.0</v>
      </c>
      <c r="R1953" s="11">
        <v>45169.0</v>
      </c>
      <c r="S1953" s="12"/>
      <c r="T1953" s="8"/>
      <c r="U1953" s="8" t="s">
        <v>59</v>
      </c>
      <c r="V1953" s="13" t="s">
        <v>56</v>
      </c>
      <c r="W1953" s="13" t="s">
        <v>9684</v>
      </c>
      <c r="X1953" s="12"/>
      <c r="Y1953" s="14"/>
      <c r="Z1953" s="14"/>
    </row>
    <row r="1954">
      <c r="A1954" s="8" t="s">
        <v>9685</v>
      </c>
      <c r="B1954" s="8" t="s">
        <v>9686</v>
      </c>
      <c r="C1954" s="8" t="s">
        <v>25</v>
      </c>
      <c r="D1954" s="8" t="s">
        <v>26</v>
      </c>
      <c r="E1954" s="8" t="s">
        <v>9687</v>
      </c>
      <c r="F1954" s="8">
        <v>3.077611179E9</v>
      </c>
      <c r="G1954" s="8" t="s">
        <v>315</v>
      </c>
      <c r="H1954" s="8" t="s">
        <v>1242</v>
      </c>
      <c r="I1954" s="8" t="s">
        <v>31</v>
      </c>
      <c r="J1954" s="8" t="s">
        <v>43</v>
      </c>
      <c r="K1954" s="10" t="s">
        <v>9489</v>
      </c>
      <c r="L1954" s="8" t="s">
        <v>58</v>
      </c>
      <c r="M1954" s="8" t="s">
        <v>35</v>
      </c>
      <c r="N1954" s="11">
        <v>45053.0</v>
      </c>
      <c r="O1954" s="11">
        <v>45110.0</v>
      </c>
      <c r="P1954" s="11">
        <v>45156.0</v>
      </c>
      <c r="Q1954" s="11">
        <v>45110.0</v>
      </c>
      <c r="R1954" s="11">
        <v>45156.0</v>
      </c>
      <c r="S1954" s="12"/>
      <c r="T1954" s="8"/>
      <c r="U1954" s="8" t="s">
        <v>59</v>
      </c>
      <c r="V1954" s="13" t="s">
        <v>9688</v>
      </c>
      <c r="W1954" s="13" t="s">
        <v>9689</v>
      </c>
      <c r="X1954" s="12"/>
      <c r="Y1954" s="14"/>
      <c r="Z1954" s="14"/>
    </row>
    <row r="1955">
      <c r="A1955" s="8" t="s">
        <v>9690</v>
      </c>
      <c r="B1955" s="8" t="s">
        <v>9691</v>
      </c>
      <c r="C1955" s="8" t="s">
        <v>179</v>
      </c>
      <c r="D1955" s="8" t="s">
        <v>26</v>
      </c>
      <c r="E1955" s="8" t="s">
        <v>9692</v>
      </c>
      <c r="F1955" s="8">
        <v>5.370600361E9</v>
      </c>
      <c r="G1955" s="8" t="s">
        <v>31</v>
      </c>
      <c r="H1955" s="8" t="s">
        <v>86</v>
      </c>
      <c r="I1955" s="8" t="s">
        <v>6352</v>
      </c>
      <c r="J1955" s="8" t="s">
        <v>6353</v>
      </c>
      <c r="K1955" s="10" t="s">
        <v>9693</v>
      </c>
      <c r="L1955" s="8" t="s">
        <v>58</v>
      </c>
      <c r="M1955" s="8" t="s">
        <v>35</v>
      </c>
      <c r="N1955" s="11">
        <v>45053.0</v>
      </c>
      <c r="O1955" s="11">
        <v>45089.0</v>
      </c>
      <c r="P1955" s="11">
        <v>45131.0</v>
      </c>
      <c r="Q1955" s="11"/>
      <c r="R1955" s="11"/>
      <c r="S1955" s="12"/>
      <c r="T1955" s="8"/>
      <c r="U1955" s="8" t="s">
        <v>1038</v>
      </c>
      <c r="V1955" s="13" t="s">
        <v>111</v>
      </c>
      <c r="W1955" s="13" t="s">
        <v>9694</v>
      </c>
      <c r="X1955" s="12"/>
      <c r="Y1955" s="14"/>
      <c r="Z1955" s="14"/>
    </row>
    <row r="1956">
      <c r="A1956" s="8" t="s">
        <v>9695</v>
      </c>
      <c r="B1956" s="8" t="s">
        <v>9696</v>
      </c>
      <c r="C1956" s="8" t="s">
        <v>25</v>
      </c>
      <c r="D1956" s="8" t="s">
        <v>26</v>
      </c>
      <c r="E1956" s="8" t="s">
        <v>9697</v>
      </c>
      <c r="F1956" s="8"/>
      <c r="G1956" s="8" t="s">
        <v>1620</v>
      </c>
      <c r="H1956" s="8" t="s">
        <v>4288</v>
      </c>
      <c r="I1956" s="8" t="s">
        <v>31</v>
      </c>
      <c r="J1956" s="8" t="s">
        <v>102</v>
      </c>
      <c r="K1956" s="10" t="s">
        <v>9014</v>
      </c>
      <c r="L1956" s="8" t="s">
        <v>58</v>
      </c>
      <c r="M1956" s="8" t="s">
        <v>35</v>
      </c>
      <c r="N1956" s="11">
        <v>45053.0</v>
      </c>
      <c r="O1956" s="11">
        <v>45110.0</v>
      </c>
      <c r="P1956" s="11">
        <v>45152.0</v>
      </c>
      <c r="Q1956" s="11">
        <v>45110.0</v>
      </c>
      <c r="R1956" s="11">
        <v>45152.0</v>
      </c>
      <c r="S1956" s="12"/>
      <c r="T1956" s="8"/>
      <c r="U1956" s="8" t="s">
        <v>88</v>
      </c>
      <c r="V1956" s="13" t="s">
        <v>38</v>
      </c>
      <c r="W1956" s="13" t="s">
        <v>9698</v>
      </c>
      <c r="X1956" s="12"/>
      <c r="Y1956" s="14"/>
      <c r="Z1956" s="14"/>
    </row>
    <row r="1957">
      <c r="A1957" s="8" t="s">
        <v>9699</v>
      </c>
      <c r="B1957" s="8" t="s">
        <v>9700</v>
      </c>
      <c r="C1957" s="8" t="s">
        <v>25</v>
      </c>
      <c r="D1957" s="8" t="s">
        <v>26</v>
      </c>
      <c r="E1957" s="8" t="s">
        <v>9701</v>
      </c>
      <c r="F1957" s="8"/>
      <c r="G1957" s="8" t="s">
        <v>315</v>
      </c>
      <c r="H1957" s="8" t="s">
        <v>1242</v>
      </c>
      <c r="I1957" s="8" t="s">
        <v>31</v>
      </c>
      <c r="J1957" s="8" t="s">
        <v>43</v>
      </c>
      <c r="K1957" s="10" t="s">
        <v>9489</v>
      </c>
      <c r="L1957" s="8" t="s">
        <v>58</v>
      </c>
      <c r="M1957" s="8" t="s">
        <v>35</v>
      </c>
      <c r="N1957" s="11">
        <v>45053.0</v>
      </c>
      <c r="O1957" s="11">
        <v>45110.0</v>
      </c>
      <c r="P1957" s="11">
        <v>45156.0</v>
      </c>
      <c r="Q1957" s="11">
        <v>45110.0</v>
      </c>
      <c r="R1957" s="11">
        <v>45156.0</v>
      </c>
      <c r="S1957" s="12"/>
      <c r="T1957" s="8"/>
      <c r="U1957" s="8" t="s">
        <v>59</v>
      </c>
      <c r="V1957" s="13" t="s">
        <v>38</v>
      </c>
      <c r="W1957" s="13" t="s">
        <v>9702</v>
      </c>
      <c r="X1957" s="12"/>
      <c r="Y1957" s="14"/>
      <c r="Z1957" s="14"/>
    </row>
    <row r="1958">
      <c r="A1958" s="8" t="s">
        <v>9703</v>
      </c>
      <c r="B1958" s="8" t="s">
        <v>9704</v>
      </c>
      <c r="C1958" s="8" t="s">
        <v>25</v>
      </c>
      <c r="D1958" s="8" t="s">
        <v>26</v>
      </c>
      <c r="E1958" s="8" t="s">
        <v>9705</v>
      </c>
      <c r="F1958" s="8">
        <v>5.543089853E9</v>
      </c>
      <c r="G1958" s="8" t="s">
        <v>31</v>
      </c>
      <c r="H1958" s="8" t="s">
        <v>32</v>
      </c>
      <c r="I1958" s="8" t="s">
        <v>8840</v>
      </c>
      <c r="J1958" s="8" t="s">
        <v>8841</v>
      </c>
      <c r="K1958" s="10" t="s">
        <v>8842</v>
      </c>
      <c r="L1958" s="8" t="s">
        <v>58</v>
      </c>
      <c r="M1958" s="8" t="s">
        <v>35</v>
      </c>
      <c r="N1958" s="11">
        <v>45053.0</v>
      </c>
      <c r="O1958" s="11">
        <v>45061.0</v>
      </c>
      <c r="P1958" s="11">
        <v>45103.0</v>
      </c>
      <c r="Q1958" s="11">
        <v>45063.0</v>
      </c>
      <c r="R1958" s="11">
        <v>45103.0</v>
      </c>
      <c r="S1958" s="12"/>
      <c r="T1958" s="8"/>
      <c r="U1958" s="8" t="s">
        <v>88</v>
      </c>
      <c r="V1958" s="13" t="s">
        <v>537</v>
      </c>
      <c r="W1958" s="13" t="s">
        <v>9706</v>
      </c>
      <c r="X1958" s="12"/>
      <c r="Y1958" s="14"/>
      <c r="Z1958" s="14"/>
    </row>
    <row r="1959">
      <c r="A1959" s="8" t="s">
        <v>9707</v>
      </c>
      <c r="B1959" s="8" t="s">
        <v>9708</v>
      </c>
      <c r="C1959" s="8" t="s">
        <v>25</v>
      </c>
      <c r="D1959" s="8" t="s">
        <v>26</v>
      </c>
      <c r="E1959" s="8" t="s">
        <v>9709</v>
      </c>
      <c r="F1959" s="8">
        <v>5.555946241E9</v>
      </c>
      <c r="G1959" s="8" t="s">
        <v>31</v>
      </c>
      <c r="H1959" s="8" t="s">
        <v>56</v>
      </c>
      <c r="I1959" s="8" t="s">
        <v>127</v>
      </c>
      <c r="J1959" s="8" t="s">
        <v>128</v>
      </c>
      <c r="K1959" s="10" t="s">
        <v>9710</v>
      </c>
      <c r="L1959" s="8" t="s">
        <v>58</v>
      </c>
      <c r="M1959" s="8" t="s">
        <v>35</v>
      </c>
      <c r="N1959" s="11">
        <v>45053.0</v>
      </c>
      <c r="O1959" s="11">
        <v>45096.0</v>
      </c>
      <c r="P1959" s="11">
        <v>45138.0</v>
      </c>
      <c r="Q1959" s="11">
        <v>45096.0</v>
      </c>
      <c r="R1959" s="11">
        <v>45138.0</v>
      </c>
      <c r="S1959" s="12"/>
      <c r="T1959" s="8"/>
      <c r="U1959" s="8" t="s">
        <v>339</v>
      </c>
      <c r="V1959" s="13" t="s">
        <v>56</v>
      </c>
      <c r="W1959" s="13" t="s">
        <v>9711</v>
      </c>
      <c r="X1959" s="12"/>
      <c r="Y1959" s="14"/>
      <c r="Z1959" s="14"/>
    </row>
    <row r="1960">
      <c r="A1960" s="8" t="s">
        <v>9712</v>
      </c>
      <c r="B1960" s="8" t="s">
        <v>9713</v>
      </c>
      <c r="C1960" s="8" t="s">
        <v>25</v>
      </c>
      <c r="D1960" s="8" t="s">
        <v>26</v>
      </c>
      <c r="E1960" s="8" t="s">
        <v>9714</v>
      </c>
      <c r="F1960" s="8">
        <v>5.012160815E9</v>
      </c>
      <c r="G1960" s="8" t="s">
        <v>31</v>
      </c>
      <c r="H1960" s="8" t="s">
        <v>1274</v>
      </c>
      <c r="I1960" s="8" t="s">
        <v>127</v>
      </c>
      <c r="J1960" s="8" t="s">
        <v>128</v>
      </c>
      <c r="K1960" s="10" t="s">
        <v>9715</v>
      </c>
      <c r="L1960" s="8" t="s">
        <v>58</v>
      </c>
      <c r="M1960" s="8" t="s">
        <v>35</v>
      </c>
      <c r="N1960" s="11">
        <v>45053.0</v>
      </c>
      <c r="O1960" s="11">
        <v>45124.0</v>
      </c>
      <c r="P1960" s="11">
        <v>45166.0</v>
      </c>
      <c r="Q1960" s="11">
        <v>45124.0</v>
      </c>
      <c r="R1960" s="11">
        <v>45166.0</v>
      </c>
      <c r="S1960" s="12"/>
      <c r="T1960" s="8"/>
      <c r="U1960" s="8" t="s">
        <v>59</v>
      </c>
      <c r="V1960" s="13" t="s">
        <v>1274</v>
      </c>
      <c r="W1960" s="13" t="s">
        <v>9716</v>
      </c>
      <c r="X1960" s="12"/>
      <c r="Y1960" s="14"/>
      <c r="Z1960" s="14"/>
    </row>
    <row r="1961">
      <c r="A1961" s="8" t="s">
        <v>9717</v>
      </c>
      <c r="B1961" s="8" t="s">
        <v>9718</v>
      </c>
      <c r="C1961" s="8" t="s">
        <v>25</v>
      </c>
      <c r="D1961" s="8" t="s">
        <v>26</v>
      </c>
      <c r="E1961" s="8" t="s">
        <v>9719</v>
      </c>
      <c r="F1961" s="8"/>
      <c r="G1961" s="8" t="s">
        <v>1620</v>
      </c>
      <c r="H1961" s="8" t="s">
        <v>4288</v>
      </c>
      <c r="I1961" s="8" t="s">
        <v>31</v>
      </c>
      <c r="J1961" s="8" t="s">
        <v>136</v>
      </c>
      <c r="K1961" s="10" t="s">
        <v>2354</v>
      </c>
      <c r="L1961" s="8" t="s">
        <v>58</v>
      </c>
      <c r="M1961" s="8" t="s">
        <v>35</v>
      </c>
      <c r="N1961" s="11">
        <v>45053.0</v>
      </c>
      <c r="O1961" s="11">
        <v>45131.0</v>
      </c>
      <c r="P1961" s="11">
        <v>45173.0</v>
      </c>
      <c r="Q1961" s="11">
        <v>45139.0</v>
      </c>
      <c r="R1961" s="11">
        <v>45179.0</v>
      </c>
      <c r="S1961" s="12"/>
      <c r="T1961" s="8"/>
      <c r="U1961" s="8" t="s">
        <v>59</v>
      </c>
      <c r="V1961" s="13" t="s">
        <v>38</v>
      </c>
      <c r="W1961" s="13" t="s">
        <v>9720</v>
      </c>
      <c r="X1961" s="12"/>
      <c r="Y1961" s="14"/>
      <c r="Z1961" s="14"/>
    </row>
    <row r="1962">
      <c r="A1962" s="8" t="s">
        <v>9721</v>
      </c>
      <c r="B1962" s="8" t="s">
        <v>9722</v>
      </c>
      <c r="C1962" s="8" t="s">
        <v>25</v>
      </c>
      <c r="D1962" s="8" t="s">
        <v>26</v>
      </c>
      <c r="E1962" s="8" t="s">
        <v>9723</v>
      </c>
      <c r="F1962" s="8"/>
      <c r="G1962" s="8" t="s">
        <v>31</v>
      </c>
      <c r="H1962" s="8" t="s">
        <v>86</v>
      </c>
      <c r="I1962" s="8" t="s">
        <v>44</v>
      </c>
      <c r="J1962" s="8" t="s">
        <v>4170</v>
      </c>
      <c r="K1962" s="10" t="s">
        <v>8501</v>
      </c>
      <c r="L1962" s="8" t="s">
        <v>34</v>
      </c>
      <c r="M1962" s="8" t="s">
        <v>35</v>
      </c>
      <c r="N1962" s="11">
        <v>45053.0</v>
      </c>
      <c r="O1962" s="11">
        <v>45089.0</v>
      </c>
      <c r="P1962" s="11">
        <v>45145.0</v>
      </c>
      <c r="Q1962" s="11"/>
      <c r="R1962" s="11">
        <v>45137.0</v>
      </c>
      <c r="S1962" s="12"/>
      <c r="T1962" s="8" t="s">
        <v>224</v>
      </c>
      <c r="U1962" s="8" t="s">
        <v>8502</v>
      </c>
      <c r="V1962" s="13" t="s">
        <v>38</v>
      </c>
      <c r="W1962" s="13" t="s">
        <v>9724</v>
      </c>
      <c r="X1962" s="12"/>
      <c r="Y1962" s="14"/>
      <c r="Z1962" s="14"/>
    </row>
    <row r="1963">
      <c r="A1963" s="8" t="s">
        <v>9725</v>
      </c>
      <c r="B1963" s="8" t="s">
        <v>9726</v>
      </c>
      <c r="C1963" s="8" t="s">
        <v>25</v>
      </c>
      <c r="D1963" s="8" t="s">
        <v>26</v>
      </c>
      <c r="E1963" s="8" t="s">
        <v>9727</v>
      </c>
      <c r="F1963" s="8">
        <v>5.55055667E8</v>
      </c>
      <c r="G1963" s="8" t="s">
        <v>307</v>
      </c>
      <c r="H1963" s="8" t="s">
        <v>308</v>
      </c>
      <c r="I1963" s="8" t="s">
        <v>31</v>
      </c>
      <c r="J1963" s="8" t="s">
        <v>292</v>
      </c>
      <c r="K1963" s="10" t="s">
        <v>8724</v>
      </c>
      <c r="L1963" s="8" t="s">
        <v>58</v>
      </c>
      <c r="M1963" s="8" t="s">
        <v>35</v>
      </c>
      <c r="N1963" s="11">
        <v>45053.0</v>
      </c>
      <c r="O1963" s="11">
        <v>45110.0</v>
      </c>
      <c r="P1963" s="11">
        <v>45152.0</v>
      </c>
      <c r="Q1963" s="11">
        <v>45109.0</v>
      </c>
      <c r="R1963" s="11">
        <v>45152.0</v>
      </c>
      <c r="S1963" s="12"/>
      <c r="T1963" s="8"/>
      <c r="U1963" s="8" t="s">
        <v>88</v>
      </c>
      <c r="V1963" s="13" t="s">
        <v>9728</v>
      </c>
      <c r="W1963" s="13" t="s">
        <v>9729</v>
      </c>
      <c r="X1963" s="12"/>
      <c r="Y1963" s="14"/>
      <c r="Z1963" s="14"/>
    </row>
    <row r="1964">
      <c r="A1964" s="8" t="s">
        <v>9730</v>
      </c>
      <c r="B1964" s="8" t="s">
        <v>9731</v>
      </c>
      <c r="C1964" s="8" t="s">
        <v>179</v>
      </c>
      <c r="D1964" s="8" t="s">
        <v>26</v>
      </c>
      <c r="E1964" s="8" t="s">
        <v>9732</v>
      </c>
      <c r="F1964" s="8">
        <v>5.061816726E9</v>
      </c>
      <c r="G1964" s="8" t="s">
        <v>31</v>
      </c>
      <c r="H1964" s="8" t="s">
        <v>111</v>
      </c>
      <c r="I1964" s="8" t="s">
        <v>8344</v>
      </c>
      <c r="J1964" s="8" t="s">
        <v>8345</v>
      </c>
      <c r="K1964" s="10" t="s">
        <v>8346</v>
      </c>
      <c r="L1964" s="8" t="s">
        <v>58</v>
      </c>
      <c r="M1964" s="8" t="s">
        <v>35</v>
      </c>
      <c r="N1964" s="11">
        <v>45053.0</v>
      </c>
      <c r="O1964" s="11">
        <v>45117.0</v>
      </c>
      <c r="P1964" s="11">
        <v>45159.0</v>
      </c>
      <c r="Q1964" s="11"/>
      <c r="R1964" s="11"/>
      <c r="S1964" s="12"/>
      <c r="T1964" s="8"/>
      <c r="U1964" s="8" t="s">
        <v>1038</v>
      </c>
      <c r="V1964" s="13" t="s">
        <v>111</v>
      </c>
      <c r="W1964" s="13" t="s">
        <v>9733</v>
      </c>
      <c r="X1964" s="12"/>
      <c r="Y1964" s="14"/>
      <c r="Z1964" s="14"/>
    </row>
    <row r="1965">
      <c r="A1965" s="8" t="s">
        <v>9734</v>
      </c>
      <c r="B1965" s="8" t="s">
        <v>9735</v>
      </c>
      <c r="C1965" s="8" t="s">
        <v>25</v>
      </c>
      <c r="D1965" s="8" t="s">
        <v>26</v>
      </c>
      <c r="E1965" s="8" t="s">
        <v>9736</v>
      </c>
      <c r="F1965" s="8"/>
      <c r="G1965" s="8" t="s">
        <v>31</v>
      </c>
      <c r="H1965" s="8" t="s">
        <v>542</v>
      </c>
      <c r="I1965" s="8" t="s">
        <v>407</v>
      </c>
      <c r="J1965" s="8" t="s">
        <v>408</v>
      </c>
      <c r="K1965" s="10" t="s">
        <v>8351</v>
      </c>
      <c r="L1965" s="8" t="s">
        <v>58</v>
      </c>
      <c r="M1965" s="8" t="s">
        <v>35</v>
      </c>
      <c r="N1965" s="11">
        <v>45053.0</v>
      </c>
      <c r="O1965" s="11">
        <v>45128.0</v>
      </c>
      <c r="P1965" s="11">
        <v>45170.0</v>
      </c>
      <c r="Q1965" s="11">
        <v>45128.0</v>
      </c>
      <c r="R1965" s="11">
        <v>45170.0</v>
      </c>
      <c r="S1965" s="12"/>
      <c r="T1965" s="8"/>
      <c r="U1965" s="8" t="s">
        <v>3111</v>
      </c>
      <c r="V1965" s="13" t="s">
        <v>38</v>
      </c>
      <c r="W1965" s="13" t="s">
        <v>9737</v>
      </c>
      <c r="X1965" s="12"/>
      <c r="Y1965" s="14"/>
      <c r="Z1965" s="14"/>
    </row>
    <row r="1966">
      <c r="A1966" s="8" t="s">
        <v>9738</v>
      </c>
      <c r="B1966" s="8" t="s">
        <v>9739</v>
      </c>
      <c r="C1966" s="8" t="s">
        <v>179</v>
      </c>
      <c r="D1966" s="8" t="s">
        <v>26</v>
      </c>
      <c r="E1966" s="8" t="s">
        <v>9740</v>
      </c>
      <c r="F1966" s="8"/>
      <c r="G1966" s="8" t="s">
        <v>31</v>
      </c>
      <c r="H1966" s="8" t="s">
        <v>542</v>
      </c>
      <c r="I1966" s="8" t="s">
        <v>202</v>
      </c>
      <c r="J1966" s="8" t="s">
        <v>7570</v>
      </c>
      <c r="K1966" s="10" t="s">
        <v>7571</v>
      </c>
      <c r="L1966" s="8" t="s">
        <v>58</v>
      </c>
      <c r="M1966" s="8" t="s">
        <v>35</v>
      </c>
      <c r="N1966" s="11">
        <v>45053.0</v>
      </c>
      <c r="O1966" s="11">
        <v>45207.0</v>
      </c>
      <c r="P1966" s="11">
        <v>45249.0</v>
      </c>
      <c r="Q1966" s="11"/>
      <c r="R1966" s="11"/>
      <c r="S1966" s="12"/>
      <c r="T1966" s="8"/>
      <c r="U1966" s="8" t="s">
        <v>997</v>
      </c>
      <c r="V1966" s="13" t="s">
        <v>38</v>
      </c>
      <c r="W1966" s="13" t="s">
        <v>9741</v>
      </c>
      <c r="X1966" s="12"/>
      <c r="Y1966" s="14"/>
      <c r="Z1966" s="14"/>
    </row>
    <row r="1967">
      <c r="A1967" s="8" t="s">
        <v>9742</v>
      </c>
      <c r="B1967" s="8" t="s">
        <v>9743</v>
      </c>
      <c r="C1967" s="8" t="s">
        <v>25</v>
      </c>
      <c r="D1967" s="8" t="s">
        <v>26</v>
      </c>
      <c r="E1967" s="8" t="s">
        <v>9744</v>
      </c>
      <c r="F1967" s="8">
        <v>3.361994779E9</v>
      </c>
      <c r="G1967" s="8" t="s">
        <v>315</v>
      </c>
      <c r="H1967" s="8" t="s">
        <v>1242</v>
      </c>
      <c r="I1967" s="8" t="s">
        <v>31</v>
      </c>
      <c r="J1967" s="8" t="s">
        <v>438</v>
      </c>
      <c r="K1967" s="10" t="s">
        <v>7113</v>
      </c>
      <c r="L1967" s="8" t="s">
        <v>58</v>
      </c>
      <c r="M1967" s="8" t="s">
        <v>35</v>
      </c>
      <c r="N1967" s="11">
        <v>45054.0</v>
      </c>
      <c r="O1967" s="11">
        <v>45082.0</v>
      </c>
      <c r="P1967" s="11">
        <v>45124.0</v>
      </c>
      <c r="Q1967" s="11">
        <v>45085.0</v>
      </c>
      <c r="R1967" s="11">
        <v>45127.0</v>
      </c>
      <c r="S1967" s="12"/>
      <c r="T1967" s="8"/>
      <c r="U1967" s="8" t="s">
        <v>339</v>
      </c>
      <c r="V1967" s="13" t="s">
        <v>8073</v>
      </c>
      <c r="W1967" s="13" t="s">
        <v>9745</v>
      </c>
      <c r="X1967" s="12"/>
      <c r="Y1967" s="14"/>
      <c r="Z1967" s="14"/>
    </row>
    <row r="1968">
      <c r="A1968" s="8" t="s">
        <v>9746</v>
      </c>
      <c r="B1968" s="8" t="s">
        <v>9747</v>
      </c>
      <c r="C1968" s="8" t="s">
        <v>708</v>
      </c>
      <c r="D1968" s="8" t="s">
        <v>26</v>
      </c>
      <c r="E1968" s="8" t="s">
        <v>9748</v>
      </c>
      <c r="F1968" s="8">
        <v>2.04475E7</v>
      </c>
      <c r="G1968" s="8" t="s">
        <v>54</v>
      </c>
      <c r="H1968" s="8" t="s">
        <v>76</v>
      </c>
      <c r="I1968" s="8" t="s">
        <v>31</v>
      </c>
      <c r="J1968" s="8" t="s">
        <v>77</v>
      </c>
      <c r="K1968" s="10" t="s">
        <v>9749</v>
      </c>
      <c r="L1968" s="8" t="s">
        <v>47</v>
      </c>
      <c r="M1968" s="8" t="s">
        <v>70</v>
      </c>
      <c r="N1968" s="11">
        <v>45054.0</v>
      </c>
      <c r="O1968" s="11">
        <v>45076.0</v>
      </c>
      <c r="P1968" s="11">
        <v>45442.0</v>
      </c>
      <c r="Q1968" s="11">
        <v>45068.0</v>
      </c>
      <c r="R1968" s="11">
        <v>45442.0</v>
      </c>
      <c r="S1968" s="12"/>
      <c r="T1968" s="8"/>
      <c r="U1968" s="8" t="s">
        <v>9750</v>
      </c>
      <c r="V1968" s="13" t="s">
        <v>9751</v>
      </c>
      <c r="W1968" s="13" t="s">
        <v>9752</v>
      </c>
      <c r="X1968" s="12"/>
      <c r="Y1968" s="14"/>
      <c r="Z1968" s="14"/>
    </row>
    <row r="1969">
      <c r="A1969" s="8" t="s">
        <v>9753</v>
      </c>
      <c r="B1969" s="8" t="s">
        <v>9754</v>
      </c>
      <c r="C1969" s="8" t="s">
        <v>25</v>
      </c>
      <c r="D1969" s="8" t="s">
        <v>26</v>
      </c>
      <c r="E1969" s="8" t="s">
        <v>9755</v>
      </c>
      <c r="F1969" s="8">
        <v>2.3148518E7</v>
      </c>
      <c r="G1969" s="8" t="s">
        <v>54</v>
      </c>
      <c r="H1969" s="8" t="s">
        <v>430</v>
      </c>
      <c r="I1969" s="8" t="s">
        <v>31</v>
      </c>
      <c r="J1969" s="8" t="s">
        <v>56</v>
      </c>
      <c r="K1969" s="10" t="s">
        <v>9756</v>
      </c>
      <c r="L1969" s="8" t="s">
        <v>58</v>
      </c>
      <c r="M1969" s="8" t="s">
        <v>35</v>
      </c>
      <c r="N1969" s="11">
        <v>45054.0</v>
      </c>
      <c r="O1969" s="11">
        <v>45110.0</v>
      </c>
      <c r="P1969" s="11">
        <v>45152.0</v>
      </c>
      <c r="Q1969" s="11">
        <v>45111.0</v>
      </c>
      <c r="R1969" s="11">
        <v>45152.0</v>
      </c>
      <c r="S1969" s="12"/>
      <c r="T1969" s="8"/>
      <c r="U1969" s="8" t="s">
        <v>59</v>
      </c>
      <c r="V1969" s="13" t="s">
        <v>1051</v>
      </c>
      <c r="W1969" s="13" t="s">
        <v>9757</v>
      </c>
      <c r="X1969" s="12"/>
      <c r="Y1969" s="14"/>
      <c r="Z1969" s="14"/>
    </row>
    <row r="1970">
      <c r="A1970" s="8" t="s">
        <v>9758</v>
      </c>
      <c r="B1970" s="8" t="s">
        <v>9759</v>
      </c>
      <c r="C1970" s="8" t="s">
        <v>25</v>
      </c>
      <c r="D1970" s="8" t="s">
        <v>26</v>
      </c>
      <c r="E1970" s="8" t="s">
        <v>9760</v>
      </c>
      <c r="F1970" s="8">
        <v>1.7861081097E10</v>
      </c>
      <c r="G1970" s="8" t="s">
        <v>8344</v>
      </c>
      <c r="H1970" s="8" t="s">
        <v>9761</v>
      </c>
      <c r="I1970" s="8" t="s">
        <v>31</v>
      </c>
      <c r="J1970" s="8" t="s">
        <v>136</v>
      </c>
      <c r="K1970" s="10" t="s">
        <v>137</v>
      </c>
      <c r="L1970" s="8" t="s">
        <v>58</v>
      </c>
      <c r="M1970" s="8" t="s">
        <v>35</v>
      </c>
      <c r="N1970" s="11">
        <v>45054.0</v>
      </c>
      <c r="O1970" s="11">
        <v>45124.0</v>
      </c>
      <c r="P1970" s="11">
        <v>45166.0</v>
      </c>
      <c r="Q1970" s="11">
        <v>45126.0</v>
      </c>
      <c r="R1970" s="11">
        <v>45166.0</v>
      </c>
      <c r="S1970" s="12"/>
      <c r="T1970" s="8"/>
      <c r="U1970" s="8" t="s">
        <v>88</v>
      </c>
      <c r="V1970" s="13" t="s">
        <v>9762</v>
      </c>
      <c r="W1970" s="13" t="s">
        <v>9763</v>
      </c>
      <c r="X1970" s="12"/>
      <c r="Y1970" s="14"/>
      <c r="Z1970" s="14"/>
    </row>
    <row r="1971">
      <c r="A1971" s="8" t="s">
        <v>9764</v>
      </c>
      <c r="B1971" s="8" t="s">
        <v>9765</v>
      </c>
      <c r="C1971" s="8" t="s">
        <v>25</v>
      </c>
      <c r="D1971" s="8" t="s">
        <v>26</v>
      </c>
      <c r="E1971" s="8" t="s">
        <v>9766</v>
      </c>
      <c r="F1971" s="8"/>
      <c r="G1971" s="8" t="s">
        <v>466</v>
      </c>
      <c r="H1971" s="8" t="s">
        <v>9767</v>
      </c>
      <c r="I1971" s="8" t="s">
        <v>31</v>
      </c>
      <c r="J1971" s="8" t="s">
        <v>542</v>
      </c>
      <c r="K1971" s="10" t="s">
        <v>7910</v>
      </c>
      <c r="L1971" s="8" t="s">
        <v>58</v>
      </c>
      <c r="M1971" s="8" t="s">
        <v>35</v>
      </c>
      <c r="N1971" s="11">
        <v>45054.0</v>
      </c>
      <c r="O1971" s="11">
        <v>45089.0</v>
      </c>
      <c r="P1971" s="11">
        <v>45131.0</v>
      </c>
      <c r="Q1971" s="11">
        <v>45091.0</v>
      </c>
      <c r="R1971" s="11">
        <v>45131.0</v>
      </c>
      <c r="S1971" s="12"/>
      <c r="T1971" s="8"/>
      <c r="U1971" s="8" t="s">
        <v>161</v>
      </c>
      <c r="V1971" s="13" t="s">
        <v>38</v>
      </c>
      <c r="W1971" s="13" t="s">
        <v>9768</v>
      </c>
      <c r="X1971" s="12"/>
      <c r="Y1971" s="14"/>
      <c r="Z1971" s="14"/>
    </row>
    <row r="1972">
      <c r="A1972" s="8" t="s">
        <v>9769</v>
      </c>
      <c r="B1972" s="8" t="s">
        <v>9770</v>
      </c>
      <c r="C1972" s="8" t="s">
        <v>179</v>
      </c>
      <c r="D1972" s="8" t="s">
        <v>26</v>
      </c>
      <c r="E1972" s="8" t="s">
        <v>9771</v>
      </c>
      <c r="F1972" s="8">
        <v>9.3894402E7</v>
      </c>
      <c r="G1972" s="8" t="s">
        <v>54</v>
      </c>
      <c r="H1972" s="8" t="s">
        <v>237</v>
      </c>
      <c r="I1972" s="8" t="s">
        <v>31</v>
      </c>
      <c r="J1972" s="8" t="s">
        <v>32</v>
      </c>
      <c r="K1972" s="10" t="s">
        <v>473</v>
      </c>
      <c r="L1972" s="8" t="s">
        <v>58</v>
      </c>
      <c r="M1972" s="8" t="s">
        <v>35</v>
      </c>
      <c r="N1972" s="11">
        <v>45054.0</v>
      </c>
      <c r="O1972" s="11">
        <v>45173.0</v>
      </c>
      <c r="P1972" s="11">
        <v>45215.0</v>
      </c>
      <c r="Q1972" s="11"/>
      <c r="R1972" s="11"/>
      <c r="S1972" s="12"/>
      <c r="T1972" s="8"/>
      <c r="U1972" s="8" t="s">
        <v>59</v>
      </c>
      <c r="V1972" s="13" t="s">
        <v>1788</v>
      </c>
      <c r="W1972" s="13" t="s">
        <v>9772</v>
      </c>
      <c r="X1972" s="12"/>
      <c r="Y1972" s="14"/>
      <c r="Z1972" s="14"/>
    </row>
    <row r="1973">
      <c r="A1973" s="8" t="s">
        <v>9773</v>
      </c>
      <c r="B1973" s="8" t="s">
        <v>9774</v>
      </c>
      <c r="C1973" s="8" t="s">
        <v>25</v>
      </c>
      <c r="D1973" s="8" t="s">
        <v>26</v>
      </c>
      <c r="E1973" s="8" t="s">
        <v>9775</v>
      </c>
      <c r="F1973" s="8"/>
      <c r="G1973" s="8" t="s">
        <v>54</v>
      </c>
      <c r="H1973" s="8" t="s">
        <v>135</v>
      </c>
      <c r="I1973" s="8" t="s">
        <v>31</v>
      </c>
      <c r="J1973" s="8" t="s">
        <v>438</v>
      </c>
      <c r="K1973" s="10" t="s">
        <v>8748</v>
      </c>
      <c r="L1973" s="8" t="s">
        <v>58</v>
      </c>
      <c r="M1973" s="8" t="s">
        <v>35</v>
      </c>
      <c r="N1973" s="11">
        <v>45054.0</v>
      </c>
      <c r="O1973" s="11">
        <v>45180.0</v>
      </c>
      <c r="P1973" s="11">
        <v>45222.0</v>
      </c>
      <c r="Q1973" s="11">
        <v>45188.0</v>
      </c>
      <c r="R1973" s="11">
        <v>45228.0</v>
      </c>
      <c r="S1973" s="12"/>
      <c r="T1973" s="8"/>
      <c r="U1973" s="8" t="s">
        <v>59</v>
      </c>
      <c r="V1973" s="13" t="s">
        <v>38</v>
      </c>
      <c r="W1973" s="13" t="s">
        <v>9776</v>
      </c>
      <c r="X1973" s="12"/>
      <c r="Y1973" s="14"/>
      <c r="Z1973" s="14"/>
    </row>
    <row r="1974">
      <c r="A1974" s="8" t="s">
        <v>9777</v>
      </c>
      <c r="B1974" s="8" t="s">
        <v>9778</v>
      </c>
      <c r="C1974" s="8" t="s">
        <v>708</v>
      </c>
      <c r="D1974" s="8" t="s">
        <v>26</v>
      </c>
      <c r="E1974" s="8" t="s">
        <v>9779</v>
      </c>
      <c r="F1974" s="8">
        <v>6.11213698E8</v>
      </c>
      <c r="G1974" s="8" t="s">
        <v>84</v>
      </c>
      <c r="H1974" s="8" t="s">
        <v>619</v>
      </c>
      <c r="I1974" s="8" t="s">
        <v>31</v>
      </c>
      <c r="J1974" s="8" t="s">
        <v>292</v>
      </c>
      <c r="K1974" s="10" t="s">
        <v>489</v>
      </c>
      <c r="L1974" s="8" t="s">
        <v>47</v>
      </c>
      <c r="M1974" s="8" t="s">
        <v>70</v>
      </c>
      <c r="N1974" s="11">
        <v>45054.0</v>
      </c>
      <c r="O1974" s="11">
        <v>45170.0</v>
      </c>
      <c r="P1974" s="11">
        <v>45536.0</v>
      </c>
      <c r="Q1974" s="11">
        <v>45176.0</v>
      </c>
      <c r="R1974" s="11">
        <v>45540.0</v>
      </c>
      <c r="S1974" s="12"/>
      <c r="T1974" s="8"/>
      <c r="U1974" s="8" t="s">
        <v>490</v>
      </c>
      <c r="V1974" s="13" t="s">
        <v>9780</v>
      </c>
      <c r="W1974" s="13" t="s">
        <v>9781</v>
      </c>
      <c r="X1974" s="12"/>
      <c r="Y1974" s="14"/>
      <c r="Z1974" s="14"/>
    </row>
    <row r="1975">
      <c r="A1975" s="8" t="s">
        <v>9782</v>
      </c>
      <c r="B1975" s="8" t="s">
        <v>9783</v>
      </c>
      <c r="C1975" s="8" t="s">
        <v>251</v>
      </c>
      <c r="D1975" s="8" t="s">
        <v>26</v>
      </c>
      <c r="E1975" s="8" t="s">
        <v>9784</v>
      </c>
      <c r="F1975" s="8">
        <v>1.11805092E9</v>
      </c>
      <c r="G1975" s="8" t="s">
        <v>284</v>
      </c>
      <c r="H1975" s="8" t="s">
        <v>2065</v>
      </c>
      <c r="I1975" s="8" t="s">
        <v>31</v>
      </c>
      <c r="J1975" s="8" t="s">
        <v>1119</v>
      </c>
      <c r="K1975" s="10" t="s">
        <v>9785</v>
      </c>
      <c r="L1975" s="8" t="s">
        <v>34</v>
      </c>
      <c r="M1975" s="8" t="s">
        <v>48</v>
      </c>
      <c r="N1975" s="11">
        <v>45054.0</v>
      </c>
      <c r="O1975" s="11">
        <v>45097.0</v>
      </c>
      <c r="P1975" s="11">
        <v>45250.0</v>
      </c>
      <c r="Q1975" s="11"/>
      <c r="R1975" s="11"/>
      <c r="S1975" s="12"/>
      <c r="T1975" s="8" t="s">
        <v>205</v>
      </c>
      <c r="U1975" s="8" t="s">
        <v>9786</v>
      </c>
      <c r="V1975" s="13" t="s">
        <v>2065</v>
      </c>
      <c r="W1975" s="13" t="s">
        <v>9787</v>
      </c>
      <c r="X1975" s="12"/>
      <c r="Y1975" s="14"/>
      <c r="Z1975" s="14"/>
    </row>
    <row r="1976">
      <c r="A1976" s="8" t="s">
        <v>9788</v>
      </c>
      <c r="B1976" s="8" t="s">
        <v>9789</v>
      </c>
      <c r="C1976" s="8" t="s">
        <v>25</v>
      </c>
      <c r="D1976" s="8" t="s">
        <v>26</v>
      </c>
      <c r="E1976" s="8" t="s">
        <v>9790</v>
      </c>
      <c r="F1976" s="8">
        <v>5.422435154E9</v>
      </c>
      <c r="G1976" s="8" t="s">
        <v>31</v>
      </c>
      <c r="H1976" s="8" t="s">
        <v>542</v>
      </c>
      <c r="I1976" s="8" t="s">
        <v>127</v>
      </c>
      <c r="J1976" s="8" t="s">
        <v>128</v>
      </c>
      <c r="K1976" s="10" t="s">
        <v>9791</v>
      </c>
      <c r="L1976" s="8" t="s">
        <v>58</v>
      </c>
      <c r="M1976" s="8" t="s">
        <v>35</v>
      </c>
      <c r="N1976" s="11">
        <v>45054.0</v>
      </c>
      <c r="O1976" s="11">
        <v>45096.0</v>
      </c>
      <c r="P1976" s="11">
        <v>45138.0</v>
      </c>
      <c r="Q1976" s="11">
        <v>45096.0</v>
      </c>
      <c r="R1976" s="11">
        <v>45138.0</v>
      </c>
      <c r="S1976" s="12"/>
      <c r="T1976" s="8"/>
      <c r="U1976" s="8" t="s">
        <v>185</v>
      </c>
      <c r="V1976" s="13" t="s">
        <v>175</v>
      </c>
      <c r="W1976" s="13" t="s">
        <v>9792</v>
      </c>
      <c r="X1976" s="12"/>
      <c r="Y1976" s="14"/>
      <c r="Z1976" s="14"/>
    </row>
    <row r="1977">
      <c r="A1977" s="8" t="s">
        <v>9793</v>
      </c>
      <c r="B1977" s="8" t="s">
        <v>9794</v>
      </c>
      <c r="C1977" s="8" t="s">
        <v>25</v>
      </c>
      <c r="D1977" s="8" t="s">
        <v>26</v>
      </c>
      <c r="E1977" s="8" t="s">
        <v>9795</v>
      </c>
      <c r="F1977" s="8">
        <v>3.333375667E9</v>
      </c>
      <c r="G1977" s="8" t="s">
        <v>315</v>
      </c>
      <c r="H1977" s="8" t="s">
        <v>316</v>
      </c>
      <c r="I1977" s="8" t="s">
        <v>31</v>
      </c>
      <c r="J1977" s="8" t="s">
        <v>43</v>
      </c>
      <c r="K1977" s="10" t="s">
        <v>8867</v>
      </c>
      <c r="L1977" s="8" t="s">
        <v>58</v>
      </c>
      <c r="M1977" s="8" t="s">
        <v>35</v>
      </c>
      <c r="N1977" s="11">
        <v>45054.0</v>
      </c>
      <c r="O1977" s="11">
        <v>45145.0</v>
      </c>
      <c r="P1977" s="11">
        <v>45191.0</v>
      </c>
      <c r="Q1977" s="11">
        <v>45162.0</v>
      </c>
      <c r="R1977" s="11">
        <v>45208.0</v>
      </c>
      <c r="S1977" s="12"/>
      <c r="T1977" s="8"/>
      <c r="U1977" s="8" t="s">
        <v>130</v>
      </c>
      <c r="V1977" s="13" t="s">
        <v>614</v>
      </c>
      <c r="W1977" s="13" t="s">
        <v>9796</v>
      </c>
      <c r="X1977" s="12"/>
      <c r="Y1977" s="14"/>
      <c r="Z1977" s="14"/>
    </row>
    <row r="1978">
      <c r="A1978" s="8" t="s">
        <v>9797</v>
      </c>
      <c r="B1978" s="8" t="s">
        <v>9798</v>
      </c>
      <c r="C1978" s="8" t="s">
        <v>251</v>
      </c>
      <c r="D1978" s="8" t="s">
        <v>26</v>
      </c>
      <c r="E1978" s="8" t="s">
        <v>9799</v>
      </c>
      <c r="F1978" s="8">
        <v>5.079293108E9</v>
      </c>
      <c r="G1978" s="8" t="s">
        <v>31</v>
      </c>
      <c r="H1978" s="8" t="s">
        <v>56</v>
      </c>
      <c r="I1978" s="8" t="s">
        <v>29</v>
      </c>
      <c r="J1978" s="8" t="s">
        <v>2448</v>
      </c>
      <c r="K1978" s="10" t="s">
        <v>9221</v>
      </c>
      <c r="L1978" s="8" t="s">
        <v>58</v>
      </c>
      <c r="M1978" s="8" t="s">
        <v>35</v>
      </c>
      <c r="N1978" s="11">
        <v>45054.0</v>
      </c>
      <c r="O1978" s="11">
        <v>45089.0</v>
      </c>
      <c r="P1978" s="11">
        <v>45131.0</v>
      </c>
      <c r="Q1978" s="11"/>
      <c r="R1978" s="11"/>
      <c r="S1978" s="12"/>
      <c r="T1978" s="8"/>
      <c r="U1978" s="8" t="s">
        <v>185</v>
      </c>
      <c r="V1978" s="13" t="s">
        <v>56</v>
      </c>
      <c r="W1978" s="13" t="s">
        <v>9800</v>
      </c>
      <c r="X1978" s="12"/>
      <c r="Y1978" s="14"/>
      <c r="Z1978" s="14"/>
    </row>
    <row r="1979">
      <c r="A1979" s="8" t="s">
        <v>9801</v>
      </c>
      <c r="B1979" s="8" t="s">
        <v>9802</v>
      </c>
      <c r="C1979" s="8" t="s">
        <v>25</v>
      </c>
      <c r="D1979" s="8" t="s">
        <v>26</v>
      </c>
      <c r="E1979" s="8" t="s">
        <v>9803</v>
      </c>
      <c r="F1979" s="8">
        <v>5.459229222E9</v>
      </c>
      <c r="G1979" s="8" t="s">
        <v>31</v>
      </c>
      <c r="H1979" s="8" t="s">
        <v>32</v>
      </c>
      <c r="I1979" s="8" t="s">
        <v>118</v>
      </c>
      <c r="J1979" s="8" t="s">
        <v>119</v>
      </c>
      <c r="K1979" s="10" t="s">
        <v>9804</v>
      </c>
      <c r="L1979" s="8" t="s">
        <v>34</v>
      </c>
      <c r="M1979" s="8" t="s">
        <v>35</v>
      </c>
      <c r="N1979" s="11">
        <v>45054.0</v>
      </c>
      <c r="O1979" s="11">
        <v>45177.0</v>
      </c>
      <c r="P1979" s="11">
        <v>45233.0</v>
      </c>
      <c r="Q1979" s="11">
        <v>45177.0</v>
      </c>
      <c r="R1979" s="11">
        <v>45233.0</v>
      </c>
      <c r="S1979" s="12"/>
      <c r="T1979" s="8" t="s">
        <v>224</v>
      </c>
      <c r="U1979" s="8" t="s">
        <v>9805</v>
      </c>
      <c r="V1979" s="13" t="s">
        <v>537</v>
      </c>
      <c r="W1979" s="13" t="s">
        <v>9806</v>
      </c>
      <c r="X1979" s="12"/>
      <c r="Y1979" s="14"/>
      <c r="Z1979" s="14"/>
    </row>
    <row r="1980">
      <c r="A1980" s="8" t="s">
        <v>9807</v>
      </c>
      <c r="B1980" s="8" t="s">
        <v>9808</v>
      </c>
      <c r="C1980" s="8" t="s">
        <v>25</v>
      </c>
      <c r="D1980" s="8" t="s">
        <v>26</v>
      </c>
      <c r="E1980" s="8" t="s">
        <v>9809</v>
      </c>
      <c r="F1980" s="8">
        <v>1.7650817445E10</v>
      </c>
      <c r="G1980" s="8" t="s">
        <v>202</v>
      </c>
      <c r="H1980" s="8" t="s">
        <v>2668</v>
      </c>
      <c r="I1980" s="8" t="s">
        <v>31</v>
      </c>
      <c r="J1980" s="8" t="s">
        <v>86</v>
      </c>
      <c r="K1980" s="10" t="s">
        <v>3621</v>
      </c>
      <c r="L1980" s="8" t="s">
        <v>58</v>
      </c>
      <c r="M1980" s="8" t="s">
        <v>35</v>
      </c>
      <c r="N1980" s="11">
        <v>45054.0</v>
      </c>
      <c r="O1980" s="11">
        <v>45110.0</v>
      </c>
      <c r="P1980" s="11">
        <v>45152.0</v>
      </c>
      <c r="Q1980" s="11">
        <v>45110.0</v>
      </c>
      <c r="R1980" s="11">
        <v>45152.0</v>
      </c>
      <c r="S1980" s="12"/>
      <c r="T1980" s="8"/>
      <c r="U1980" s="8" t="s">
        <v>153</v>
      </c>
      <c r="V1980" s="13" t="s">
        <v>9810</v>
      </c>
      <c r="W1980" s="13" t="s">
        <v>9811</v>
      </c>
      <c r="X1980" s="12"/>
      <c r="Y1980" s="14"/>
      <c r="Z1980" s="14"/>
    </row>
    <row r="1981">
      <c r="A1981" s="8" t="s">
        <v>9812</v>
      </c>
      <c r="B1981" s="8" t="s">
        <v>9813</v>
      </c>
      <c r="C1981" s="8" t="s">
        <v>179</v>
      </c>
      <c r="D1981" s="8" t="s">
        <v>26</v>
      </c>
      <c r="E1981" s="8" t="s">
        <v>9814</v>
      </c>
      <c r="F1981" s="8">
        <v>7.01139881E8</v>
      </c>
      <c r="G1981" s="8" t="s">
        <v>818</v>
      </c>
      <c r="H1981" s="8" t="s">
        <v>971</v>
      </c>
      <c r="I1981" s="8" t="s">
        <v>31</v>
      </c>
      <c r="J1981" s="8" t="s">
        <v>542</v>
      </c>
      <c r="K1981" s="10" t="s">
        <v>8953</v>
      </c>
      <c r="L1981" s="8" t="s">
        <v>34</v>
      </c>
      <c r="M1981" s="8" t="s">
        <v>70</v>
      </c>
      <c r="N1981" s="11">
        <v>45054.0</v>
      </c>
      <c r="O1981" s="11">
        <v>45078.0</v>
      </c>
      <c r="P1981" s="11">
        <v>45435.0</v>
      </c>
      <c r="Q1981" s="11"/>
      <c r="R1981" s="11"/>
      <c r="S1981" s="12"/>
      <c r="T1981" s="8" t="s">
        <v>36</v>
      </c>
      <c r="U1981" s="8" t="s">
        <v>8954</v>
      </c>
      <c r="V1981" s="13" t="s">
        <v>972</v>
      </c>
      <c r="W1981" s="13" t="s">
        <v>9815</v>
      </c>
      <c r="X1981" s="12"/>
      <c r="Y1981" s="14"/>
      <c r="Z1981" s="14"/>
    </row>
    <row r="1982">
      <c r="A1982" s="8" t="s">
        <v>9816</v>
      </c>
      <c r="B1982" s="8" t="s">
        <v>9817</v>
      </c>
      <c r="C1982" s="8" t="s">
        <v>25</v>
      </c>
      <c r="D1982" s="8" t="s">
        <v>26</v>
      </c>
      <c r="E1982" s="8" t="s">
        <v>9818</v>
      </c>
      <c r="F1982" s="8"/>
      <c r="G1982" s="8" t="s">
        <v>31</v>
      </c>
      <c r="H1982" s="8" t="s">
        <v>292</v>
      </c>
      <c r="I1982" s="8" t="s">
        <v>221</v>
      </c>
      <c r="J1982" s="8" t="s">
        <v>3506</v>
      </c>
      <c r="K1982" s="10" t="s">
        <v>9819</v>
      </c>
      <c r="L1982" s="8" t="s">
        <v>34</v>
      </c>
      <c r="M1982" s="8" t="s">
        <v>35</v>
      </c>
      <c r="N1982" s="11">
        <v>45054.0</v>
      </c>
      <c r="O1982" s="11">
        <v>45130.0</v>
      </c>
      <c r="P1982" s="11">
        <v>45172.0</v>
      </c>
      <c r="Q1982" s="11">
        <v>45130.0</v>
      </c>
      <c r="R1982" s="11">
        <v>45172.0</v>
      </c>
      <c r="S1982" s="12"/>
      <c r="T1982" s="8" t="s">
        <v>224</v>
      </c>
      <c r="U1982" s="8" t="s">
        <v>9820</v>
      </c>
      <c r="V1982" s="13" t="s">
        <v>38</v>
      </c>
      <c r="W1982" s="13" t="s">
        <v>9821</v>
      </c>
      <c r="X1982" s="12"/>
      <c r="Y1982" s="14"/>
      <c r="Z1982" s="14"/>
    </row>
    <row r="1983">
      <c r="A1983" s="8" t="s">
        <v>9822</v>
      </c>
      <c r="B1983" s="8" t="s">
        <v>9823</v>
      </c>
      <c r="C1983" s="8" t="s">
        <v>708</v>
      </c>
      <c r="D1983" s="8" t="s">
        <v>26</v>
      </c>
      <c r="E1983" s="8" t="s">
        <v>9824</v>
      </c>
      <c r="F1983" s="8">
        <v>5.55438216E8</v>
      </c>
      <c r="G1983" s="8" t="s">
        <v>254</v>
      </c>
      <c r="H1983" s="8" t="s">
        <v>255</v>
      </c>
      <c r="I1983" s="8" t="s">
        <v>31</v>
      </c>
      <c r="J1983" s="8" t="s">
        <v>56</v>
      </c>
      <c r="K1983" s="10" t="s">
        <v>2787</v>
      </c>
      <c r="L1983" s="8" t="s">
        <v>47</v>
      </c>
      <c r="M1983" s="8" t="s">
        <v>70</v>
      </c>
      <c r="N1983" s="11">
        <v>45055.0</v>
      </c>
      <c r="O1983" s="11">
        <v>45110.0</v>
      </c>
      <c r="P1983" s="11">
        <v>45471.0</v>
      </c>
      <c r="Q1983" s="11">
        <v>45114.0</v>
      </c>
      <c r="R1983" s="11">
        <v>45474.0</v>
      </c>
      <c r="S1983" s="12"/>
      <c r="T1983" s="8"/>
      <c r="U1983" s="8" t="s">
        <v>2788</v>
      </c>
      <c r="V1983" s="13" t="s">
        <v>258</v>
      </c>
      <c r="W1983" s="13" t="s">
        <v>9825</v>
      </c>
      <c r="X1983" s="12"/>
      <c r="Y1983" s="14"/>
      <c r="Z1983" s="14"/>
    </row>
    <row r="1984">
      <c r="A1984" s="8" t="s">
        <v>9826</v>
      </c>
      <c r="B1984" s="8" t="s">
        <v>9827</v>
      </c>
      <c r="C1984" s="8" t="s">
        <v>179</v>
      </c>
      <c r="D1984" s="8" t="s">
        <v>26</v>
      </c>
      <c r="E1984" s="8" t="s">
        <v>9828</v>
      </c>
      <c r="F1984" s="8">
        <v>2.7319041E7</v>
      </c>
      <c r="G1984" s="8" t="s">
        <v>54</v>
      </c>
      <c r="H1984" s="8" t="s">
        <v>430</v>
      </c>
      <c r="I1984" s="8" t="s">
        <v>31</v>
      </c>
      <c r="J1984" s="8" t="s">
        <v>438</v>
      </c>
      <c r="K1984" s="10" t="s">
        <v>7113</v>
      </c>
      <c r="L1984" s="8" t="s">
        <v>58</v>
      </c>
      <c r="M1984" s="8" t="s">
        <v>35</v>
      </c>
      <c r="N1984" s="11">
        <v>45055.0</v>
      </c>
      <c r="O1984" s="11">
        <v>45082.0</v>
      </c>
      <c r="P1984" s="11">
        <v>45124.0</v>
      </c>
      <c r="Q1984" s="11"/>
      <c r="R1984" s="11"/>
      <c r="S1984" s="12"/>
      <c r="T1984" s="8"/>
      <c r="U1984" s="8" t="s">
        <v>339</v>
      </c>
      <c r="V1984" s="13" t="s">
        <v>1715</v>
      </c>
      <c r="W1984" s="13" t="s">
        <v>9829</v>
      </c>
      <c r="X1984" s="12"/>
      <c r="Y1984" s="14"/>
      <c r="Z1984" s="14"/>
    </row>
    <row r="1985">
      <c r="A1985" s="8" t="s">
        <v>9830</v>
      </c>
      <c r="B1985" s="8" t="s">
        <v>9831</v>
      </c>
      <c r="C1985" s="8" t="s">
        <v>708</v>
      </c>
      <c r="D1985" s="8" t="s">
        <v>26</v>
      </c>
      <c r="E1985" s="8" t="s">
        <v>9832</v>
      </c>
      <c r="F1985" s="8">
        <v>1.013646419E9</v>
      </c>
      <c r="G1985" s="8" t="s">
        <v>284</v>
      </c>
      <c r="H1985" s="8" t="s">
        <v>673</v>
      </c>
      <c r="I1985" s="8" t="s">
        <v>31</v>
      </c>
      <c r="J1985" s="8" t="s">
        <v>56</v>
      </c>
      <c r="K1985" s="10" t="s">
        <v>2787</v>
      </c>
      <c r="L1985" s="8" t="s">
        <v>47</v>
      </c>
      <c r="M1985" s="8" t="s">
        <v>70</v>
      </c>
      <c r="N1985" s="11">
        <v>45055.0</v>
      </c>
      <c r="O1985" s="11">
        <v>45110.0</v>
      </c>
      <c r="P1985" s="11">
        <v>45471.0</v>
      </c>
      <c r="Q1985" s="11">
        <v>45135.0</v>
      </c>
      <c r="R1985" s="11">
        <v>45495.0</v>
      </c>
      <c r="S1985" s="12"/>
      <c r="T1985" s="8"/>
      <c r="U1985" s="8" t="s">
        <v>2788</v>
      </c>
      <c r="V1985" s="13" t="s">
        <v>674</v>
      </c>
      <c r="W1985" s="13" t="s">
        <v>9833</v>
      </c>
      <c r="X1985" s="12"/>
      <c r="Y1985" s="14"/>
      <c r="Z1985" s="14"/>
    </row>
    <row r="1986">
      <c r="A1986" s="8" t="s">
        <v>9834</v>
      </c>
      <c r="B1986" s="8" t="s">
        <v>9835</v>
      </c>
      <c r="C1986" s="8" t="s">
        <v>25</v>
      </c>
      <c r="D1986" s="8" t="s">
        <v>26</v>
      </c>
      <c r="E1986" s="8" t="s">
        <v>9836</v>
      </c>
      <c r="F1986" s="8"/>
      <c r="G1986" s="8" t="s">
        <v>31</v>
      </c>
      <c r="H1986" s="8" t="s">
        <v>77</v>
      </c>
      <c r="I1986" s="8" t="s">
        <v>44</v>
      </c>
      <c r="J1986" s="8" t="s">
        <v>1993</v>
      </c>
      <c r="K1986" s="10" t="s">
        <v>1994</v>
      </c>
      <c r="L1986" s="8" t="s">
        <v>58</v>
      </c>
      <c r="M1986" s="8" t="s">
        <v>35</v>
      </c>
      <c r="N1986" s="11">
        <v>45055.0</v>
      </c>
      <c r="O1986" s="11">
        <v>45143.0</v>
      </c>
      <c r="P1986" s="11">
        <v>45185.0</v>
      </c>
      <c r="Q1986" s="11">
        <v>45143.0</v>
      </c>
      <c r="R1986" s="11">
        <v>45185.0</v>
      </c>
      <c r="S1986" s="12"/>
      <c r="T1986" s="8"/>
      <c r="U1986" s="8" t="s">
        <v>371</v>
      </c>
      <c r="V1986" s="13" t="s">
        <v>38</v>
      </c>
      <c r="W1986" s="13" t="s">
        <v>9837</v>
      </c>
      <c r="X1986" s="12"/>
      <c r="Y1986" s="14"/>
      <c r="Z1986" s="14"/>
    </row>
    <row r="1987">
      <c r="A1987" s="8" t="s">
        <v>9838</v>
      </c>
      <c r="B1987" s="8" t="s">
        <v>9839</v>
      </c>
      <c r="C1987" s="8" t="s">
        <v>179</v>
      </c>
      <c r="D1987" s="8" t="s">
        <v>26</v>
      </c>
      <c r="E1987" s="8" t="s">
        <v>9840</v>
      </c>
      <c r="F1987" s="8">
        <v>5.396063735E9</v>
      </c>
      <c r="G1987" s="8" t="s">
        <v>31</v>
      </c>
      <c r="H1987" s="8" t="s">
        <v>111</v>
      </c>
      <c r="I1987" s="8" t="s">
        <v>284</v>
      </c>
      <c r="J1987" s="8" t="s">
        <v>285</v>
      </c>
      <c r="K1987" s="10" t="s">
        <v>3841</v>
      </c>
      <c r="L1987" s="8" t="s">
        <v>58</v>
      </c>
      <c r="M1987" s="8" t="s">
        <v>35</v>
      </c>
      <c r="N1987" s="11">
        <v>45055.0</v>
      </c>
      <c r="O1987" s="11">
        <v>45139.0</v>
      </c>
      <c r="P1987" s="11">
        <v>45181.0</v>
      </c>
      <c r="Q1987" s="11"/>
      <c r="R1987" s="11"/>
      <c r="S1987" s="12"/>
      <c r="T1987" s="8"/>
      <c r="U1987" s="8" t="s">
        <v>1038</v>
      </c>
      <c r="V1987" s="13" t="s">
        <v>3138</v>
      </c>
      <c r="W1987" s="13" t="s">
        <v>9841</v>
      </c>
      <c r="X1987" s="12"/>
      <c r="Y1987" s="14"/>
      <c r="Z1987" s="14"/>
    </row>
    <row r="1988">
      <c r="A1988" s="8" t="s">
        <v>9842</v>
      </c>
      <c r="B1988" s="8" t="s">
        <v>9843</v>
      </c>
      <c r="C1988" s="8" t="s">
        <v>179</v>
      </c>
      <c r="D1988" s="8" t="s">
        <v>26</v>
      </c>
      <c r="E1988" s="8" t="s">
        <v>9844</v>
      </c>
      <c r="F1988" s="8">
        <v>5.383735623E9</v>
      </c>
      <c r="G1988" s="8" t="s">
        <v>31</v>
      </c>
      <c r="H1988" s="8" t="s">
        <v>256</v>
      </c>
      <c r="I1988" s="8" t="s">
        <v>284</v>
      </c>
      <c r="J1988" s="8" t="s">
        <v>285</v>
      </c>
      <c r="K1988" s="10" t="s">
        <v>3841</v>
      </c>
      <c r="L1988" s="8" t="s">
        <v>58</v>
      </c>
      <c r="M1988" s="8" t="s">
        <v>35</v>
      </c>
      <c r="N1988" s="11">
        <v>45055.0</v>
      </c>
      <c r="O1988" s="11">
        <v>45139.0</v>
      </c>
      <c r="P1988" s="11">
        <v>45181.0</v>
      </c>
      <c r="Q1988" s="11"/>
      <c r="R1988" s="11"/>
      <c r="S1988" s="12"/>
      <c r="T1988" s="8"/>
      <c r="U1988" s="8" t="s">
        <v>1038</v>
      </c>
      <c r="V1988" s="13" t="s">
        <v>3138</v>
      </c>
      <c r="W1988" s="13" t="s">
        <v>9845</v>
      </c>
      <c r="X1988" s="12"/>
      <c r="Y1988" s="14"/>
      <c r="Z1988" s="14"/>
    </row>
    <row r="1989">
      <c r="A1989" s="8" t="s">
        <v>9846</v>
      </c>
      <c r="B1989" s="8" t="s">
        <v>9847</v>
      </c>
      <c r="C1989" s="8" t="s">
        <v>708</v>
      </c>
      <c r="D1989" s="8" t="s">
        <v>26</v>
      </c>
      <c r="E1989" s="8" t="s">
        <v>9848</v>
      </c>
      <c r="F1989" s="8"/>
      <c r="G1989" s="8" t="s">
        <v>254</v>
      </c>
      <c r="H1989" s="8" t="s">
        <v>255</v>
      </c>
      <c r="I1989" s="8" t="s">
        <v>31</v>
      </c>
      <c r="J1989" s="8" t="s">
        <v>77</v>
      </c>
      <c r="K1989" s="10" t="s">
        <v>2476</v>
      </c>
      <c r="L1989" s="8" t="s">
        <v>47</v>
      </c>
      <c r="M1989" s="8" t="s">
        <v>70</v>
      </c>
      <c r="N1989" s="11">
        <v>45055.0</v>
      </c>
      <c r="O1989" s="11">
        <v>45200.0</v>
      </c>
      <c r="P1989" s="11">
        <v>45453.0</v>
      </c>
      <c r="Q1989" s="11">
        <v>45201.0</v>
      </c>
      <c r="R1989" s="11">
        <v>45454.0</v>
      </c>
      <c r="S1989" s="12"/>
      <c r="T1989" s="8"/>
      <c r="U1989" s="8" t="s">
        <v>2477</v>
      </c>
      <c r="V1989" s="13" t="s">
        <v>38</v>
      </c>
      <c r="W1989" s="13" t="s">
        <v>9849</v>
      </c>
      <c r="X1989" s="12"/>
      <c r="Y1989" s="14"/>
      <c r="Z1989" s="14"/>
    </row>
    <row r="1990">
      <c r="A1990" s="8" t="s">
        <v>9850</v>
      </c>
      <c r="B1990" s="8" t="s">
        <v>9851</v>
      </c>
      <c r="C1990" s="8" t="s">
        <v>179</v>
      </c>
      <c r="D1990" s="8" t="s">
        <v>26</v>
      </c>
      <c r="E1990" s="8" t="s">
        <v>9852</v>
      </c>
      <c r="F1990" s="9" t="s">
        <v>9853</v>
      </c>
      <c r="G1990" s="8" t="s">
        <v>31</v>
      </c>
      <c r="H1990" s="8" t="s">
        <v>32</v>
      </c>
      <c r="I1990" s="8" t="s">
        <v>127</v>
      </c>
      <c r="J1990" s="8" t="s">
        <v>128</v>
      </c>
      <c r="K1990" s="10" t="s">
        <v>9854</v>
      </c>
      <c r="L1990" s="8" t="s">
        <v>58</v>
      </c>
      <c r="M1990" s="8" t="s">
        <v>35</v>
      </c>
      <c r="N1990" s="11">
        <v>45055.0</v>
      </c>
      <c r="O1990" s="11">
        <v>45096.0</v>
      </c>
      <c r="P1990" s="11">
        <v>45138.0</v>
      </c>
      <c r="Q1990" s="11"/>
      <c r="R1990" s="11"/>
      <c r="S1990" s="12"/>
      <c r="T1990" s="8"/>
      <c r="U1990" s="8" t="s">
        <v>88</v>
      </c>
      <c r="V1990" s="13" t="s">
        <v>537</v>
      </c>
      <c r="W1990" s="13" t="s">
        <v>9855</v>
      </c>
      <c r="X1990" s="12"/>
      <c r="Y1990" s="14"/>
      <c r="Z1990" s="14"/>
    </row>
    <row r="1991">
      <c r="A1991" s="8" t="s">
        <v>9856</v>
      </c>
      <c r="B1991" s="8" t="s">
        <v>9857</v>
      </c>
      <c r="C1991" s="8" t="s">
        <v>25</v>
      </c>
      <c r="D1991" s="8" t="s">
        <v>26</v>
      </c>
      <c r="E1991" s="8" t="s">
        <v>9858</v>
      </c>
      <c r="F1991" s="8">
        <v>9.64589398E8</v>
      </c>
      <c r="G1991" s="8" t="s">
        <v>1620</v>
      </c>
      <c r="H1991" s="8" t="s">
        <v>4288</v>
      </c>
      <c r="I1991" s="8" t="s">
        <v>31</v>
      </c>
      <c r="J1991" s="8" t="s">
        <v>102</v>
      </c>
      <c r="K1991" s="10" t="s">
        <v>9014</v>
      </c>
      <c r="L1991" s="8" t="s">
        <v>58</v>
      </c>
      <c r="M1991" s="8" t="s">
        <v>35</v>
      </c>
      <c r="N1991" s="11">
        <v>45055.0</v>
      </c>
      <c r="O1991" s="11">
        <v>45110.0</v>
      </c>
      <c r="P1991" s="11">
        <v>45152.0</v>
      </c>
      <c r="Q1991" s="11">
        <v>45110.0</v>
      </c>
      <c r="R1991" s="11">
        <v>45152.0</v>
      </c>
      <c r="S1991" s="12"/>
      <c r="T1991" s="8"/>
      <c r="U1991" s="8" t="s">
        <v>88</v>
      </c>
      <c r="V1991" s="13" t="s">
        <v>5939</v>
      </c>
      <c r="W1991" s="13" t="s">
        <v>9859</v>
      </c>
      <c r="X1991" s="12"/>
      <c r="Y1991" s="14"/>
      <c r="Z1991" s="14"/>
    </row>
    <row r="1992">
      <c r="A1992" s="8" t="s">
        <v>9860</v>
      </c>
      <c r="B1992" s="8" t="s">
        <v>9861</v>
      </c>
      <c r="C1992" s="8" t="s">
        <v>179</v>
      </c>
      <c r="D1992" s="8" t="s">
        <v>26</v>
      </c>
      <c r="E1992" s="8" t="s">
        <v>9862</v>
      </c>
      <c r="F1992" s="8"/>
      <c r="G1992" s="8" t="s">
        <v>315</v>
      </c>
      <c r="H1992" s="8" t="s">
        <v>6263</v>
      </c>
      <c r="I1992" s="8" t="s">
        <v>31</v>
      </c>
      <c r="J1992" s="8" t="s">
        <v>43</v>
      </c>
      <c r="K1992" s="10" t="s">
        <v>9489</v>
      </c>
      <c r="L1992" s="8" t="s">
        <v>58</v>
      </c>
      <c r="M1992" s="8" t="s">
        <v>35</v>
      </c>
      <c r="N1992" s="11">
        <v>45055.0</v>
      </c>
      <c r="O1992" s="11">
        <v>45110.0</v>
      </c>
      <c r="P1992" s="11">
        <v>45156.0</v>
      </c>
      <c r="Q1992" s="11"/>
      <c r="R1992" s="11"/>
      <c r="S1992" s="12"/>
      <c r="T1992" s="8"/>
      <c r="U1992" s="8" t="s">
        <v>59</v>
      </c>
      <c r="V1992" s="13" t="s">
        <v>38</v>
      </c>
      <c r="W1992" s="13" t="s">
        <v>9863</v>
      </c>
      <c r="X1992" s="12"/>
      <c r="Y1992" s="14"/>
      <c r="Z1992" s="14"/>
    </row>
    <row r="1993">
      <c r="A1993" s="8" t="s">
        <v>9864</v>
      </c>
      <c r="B1993" s="8" t="s">
        <v>9865</v>
      </c>
      <c r="C1993" s="8" t="s">
        <v>25</v>
      </c>
      <c r="D1993" s="8" t="s">
        <v>26</v>
      </c>
      <c r="E1993" s="8" t="s">
        <v>9866</v>
      </c>
      <c r="F1993" s="8"/>
      <c r="G1993" s="8" t="s">
        <v>29</v>
      </c>
      <c r="H1993" s="8" t="s">
        <v>9867</v>
      </c>
      <c r="I1993" s="8" t="s">
        <v>31</v>
      </c>
      <c r="J1993" s="8" t="s">
        <v>111</v>
      </c>
      <c r="K1993" s="10" t="s">
        <v>468</v>
      </c>
      <c r="L1993" s="8" t="s">
        <v>58</v>
      </c>
      <c r="M1993" s="8" t="s">
        <v>35</v>
      </c>
      <c r="N1993" s="11">
        <v>45055.0</v>
      </c>
      <c r="O1993" s="11">
        <v>45082.0</v>
      </c>
      <c r="P1993" s="11">
        <v>45124.0</v>
      </c>
      <c r="Q1993" s="11">
        <v>45082.0</v>
      </c>
      <c r="R1993" s="11">
        <v>45124.0</v>
      </c>
      <c r="S1993" s="12"/>
      <c r="T1993" s="8"/>
      <c r="U1993" s="8" t="s">
        <v>59</v>
      </c>
      <c r="V1993" s="13" t="s">
        <v>38</v>
      </c>
      <c r="W1993" s="13" t="s">
        <v>9868</v>
      </c>
      <c r="X1993" s="12"/>
      <c r="Y1993" s="14"/>
      <c r="Z1993" s="14"/>
    </row>
    <row r="1994">
      <c r="A1994" s="8" t="s">
        <v>9869</v>
      </c>
      <c r="B1994" s="8" t="s">
        <v>9870</v>
      </c>
      <c r="C1994" s="8" t="s">
        <v>25</v>
      </c>
      <c r="D1994" s="8" t="s">
        <v>26</v>
      </c>
      <c r="E1994" s="8" t="s">
        <v>9871</v>
      </c>
      <c r="F1994" s="8">
        <v>7.08380647E9</v>
      </c>
      <c r="G1994" s="8" t="s">
        <v>496</v>
      </c>
      <c r="H1994" s="8" t="s">
        <v>497</v>
      </c>
      <c r="I1994" s="8" t="s">
        <v>31</v>
      </c>
      <c r="J1994" s="8" t="s">
        <v>32</v>
      </c>
      <c r="K1994" s="10" t="s">
        <v>2470</v>
      </c>
      <c r="L1994" s="8" t="s">
        <v>58</v>
      </c>
      <c r="M1994" s="8" t="s">
        <v>35</v>
      </c>
      <c r="N1994" s="11">
        <v>45055.0</v>
      </c>
      <c r="O1994" s="11">
        <v>45088.0</v>
      </c>
      <c r="P1994" s="11">
        <v>45130.0</v>
      </c>
      <c r="Q1994" s="11">
        <v>45089.0</v>
      </c>
      <c r="R1994" s="11">
        <v>45131.0</v>
      </c>
      <c r="S1994" s="12"/>
      <c r="T1994" s="8"/>
      <c r="U1994" s="8" t="s">
        <v>59</v>
      </c>
      <c r="V1994" s="13" t="s">
        <v>500</v>
      </c>
      <c r="W1994" s="13" t="s">
        <v>9872</v>
      </c>
      <c r="X1994" s="12"/>
      <c r="Y1994" s="14"/>
      <c r="Z1994" s="14"/>
    </row>
    <row r="1995">
      <c r="A1995" s="8" t="s">
        <v>9873</v>
      </c>
      <c r="B1995" s="8" t="s">
        <v>9874</v>
      </c>
      <c r="C1995" s="8" t="s">
        <v>179</v>
      </c>
      <c r="D1995" s="8" t="s">
        <v>26</v>
      </c>
      <c r="E1995" s="8" t="s">
        <v>9875</v>
      </c>
      <c r="F1995" s="8">
        <v>6.2070757E7</v>
      </c>
      <c r="G1995" s="8" t="s">
        <v>407</v>
      </c>
      <c r="H1995" s="8" t="s">
        <v>408</v>
      </c>
      <c r="I1995" s="8" t="s">
        <v>31</v>
      </c>
      <c r="J1995" s="8" t="s">
        <v>542</v>
      </c>
      <c r="K1995" s="10" t="s">
        <v>662</v>
      </c>
      <c r="L1995" s="8" t="s">
        <v>58</v>
      </c>
      <c r="M1995" s="8" t="s">
        <v>35</v>
      </c>
      <c r="N1995" s="11">
        <v>45055.0</v>
      </c>
      <c r="O1995" s="11">
        <v>45236.0</v>
      </c>
      <c r="P1995" s="11">
        <v>45278.0</v>
      </c>
      <c r="Q1995" s="11"/>
      <c r="R1995" s="11"/>
      <c r="S1995" s="12"/>
      <c r="T1995" s="8"/>
      <c r="U1995" s="8" t="s">
        <v>59</v>
      </c>
      <c r="V1995" s="13" t="s">
        <v>410</v>
      </c>
      <c r="W1995" s="13" t="s">
        <v>9876</v>
      </c>
      <c r="X1995" s="12"/>
      <c r="Y1995" s="14"/>
      <c r="Z1995" s="14"/>
    </row>
    <row r="1996">
      <c r="A1996" s="8" t="s">
        <v>9877</v>
      </c>
      <c r="B1996" s="8" t="s">
        <v>9878</v>
      </c>
      <c r="C1996" s="8" t="s">
        <v>179</v>
      </c>
      <c r="D1996" s="8" t="s">
        <v>26</v>
      </c>
      <c r="E1996" s="8" t="s">
        <v>9879</v>
      </c>
      <c r="F1996" s="8">
        <v>3.162257771E9</v>
      </c>
      <c r="G1996" s="8" t="s">
        <v>315</v>
      </c>
      <c r="H1996" s="8" t="s">
        <v>1557</v>
      </c>
      <c r="I1996" s="8" t="s">
        <v>31</v>
      </c>
      <c r="J1996" s="8" t="s">
        <v>256</v>
      </c>
      <c r="K1996" s="10" t="s">
        <v>9880</v>
      </c>
      <c r="L1996" s="8" t="s">
        <v>58</v>
      </c>
      <c r="M1996" s="8" t="s">
        <v>35</v>
      </c>
      <c r="N1996" s="11">
        <v>45055.0</v>
      </c>
      <c r="O1996" s="11">
        <v>45122.0</v>
      </c>
      <c r="P1996" s="11">
        <v>45164.0</v>
      </c>
      <c r="Q1996" s="11"/>
      <c r="R1996" s="11"/>
      <c r="S1996" s="12"/>
      <c r="T1996" s="8"/>
      <c r="U1996" s="8" t="s">
        <v>161</v>
      </c>
      <c r="V1996" s="13" t="s">
        <v>5986</v>
      </c>
      <c r="W1996" s="13" t="s">
        <v>9881</v>
      </c>
      <c r="X1996" s="12"/>
      <c r="Y1996" s="14"/>
      <c r="Z1996" s="14"/>
    </row>
    <row r="1997">
      <c r="A1997" s="8" t="s">
        <v>9882</v>
      </c>
      <c r="B1997" s="8" t="s">
        <v>9883</v>
      </c>
      <c r="C1997" s="8" t="s">
        <v>708</v>
      </c>
      <c r="D1997" s="8" t="s">
        <v>26</v>
      </c>
      <c r="E1997" s="8" t="s">
        <v>9884</v>
      </c>
      <c r="F1997" s="8">
        <v>9.951137995E9</v>
      </c>
      <c r="G1997" s="8" t="s">
        <v>6087</v>
      </c>
      <c r="H1997" s="8" t="s">
        <v>6840</v>
      </c>
      <c r="I1997" s="8" t="s">
        <v>31</v>
      </c>
      <c r="J1997" s="8" t="s">
        <v>542</v>
      </c>
      <c r="K1997" s="10" t="s">
        <v>8953</v>
      </c>
      <c r="L1997" s="8" t="s">
        <v>34</v>
      </c>
      <c r="M1997" s="8" t="s">
        <v>70</v>
      </c>
      <c r="N1997" s="11">
        <v>45055.0</v>
      </c>
      <c r="O1997" s="11">
        <v>45139.0</v>
      </c>
      <c r="P1997" s="11">
        <v>45504.0</v>
      </c>
      <c r="Q1997" s="11">
        <v>45138.0</v>
      </c>
      <c r="R1997" s="11">
        <v>45504.0</v>
      </c>
      <c r="S1997" s="12"/>
      <c r="T1997" s="8" t="s">
        <v>36</v>
      </c>
      <c r="U1997" s="8" t="s">
        <v>8954</v>
      </c>
      <c r="V1997" s="13" t="s">
        <v>6843</v>
      </c>
      <c r="W1997" s="13" t="s">
        <v>9885</v>
      </c>
      <c r="X1997" s="12"/>
      <c r="Y1997" s="14"/>
      <c r="Z1997" s="14"/>
    </row>
    <row r="1998">
      <c r="A1998" s="8" t="s">
        <v>9886</v>
      </c>
      <c r="B1998" s="8" t="s">
        <v>9887</v>
      </c>
      <c r="C1998" s="8" t="s">
        <v>708</v>
      </c>
      <c r="D1998" s="8" t="s">
        <v>26</v>
      </c>
      <c r="E1998" s="8" t="s">
        <v>9888</v>
      </c>
      <c r="F1998" s="8">
        <v>6.21161972E8</v>
      </c>
      <c r="G1998" s="8" t="s">
        <v>84</v>
      </c>
      <c r="H1998" s="8" t="s">
        <v>85</v>
      </c>
      <c r="I1998" s="8" t="s">
        <v>31</v>
      </c>
      <c r="J1998" s="8" t="s">
        <v>292</v>
      </c>
      <c r="K1998" s="10" t="s">
        <v>9889</v>
      </c>
      <c r="L1998" s="8" t="s">
        <v>34</v>
      </c>
      <c r="M1998" s="8" t="s">
        <v>70</v>
      </c>
      <c r="N1998" s="11">
        <v>45055.0</v>
      </c>
      <c r="O1998" s="11">
        <v>45071.0</v>
      </c>
      <c r="P1998" s="11">
        <v>45437.0</v>
      </c>
      <c r="Q1998" s="11">
        <v>45092.0</v>
      </c>
      <c r="R1998" s="11">
        <v>45456.0</v>
      </c>
      <c r="S1998" s="12"/>
      <c r="T1998" s="8" t="s">
        <v>205</v>
      </c>
      <c r="U1998" s="8" t="s">
        <v>205</v>
      </c>
      <c r="V1998" s="13" t="s">
        <v>1063</v>
      </c>
      <c r="W1998" s="13" t="s">
        <v>9890</v>
      </c>
      <c r="X1998" s="12"/>
      <c r="Y1998" s="14"/>
      <c r="Z1998" s="14"/>
    </row>
    <row r="1999">
      <c r="A1999" s="8" t="s">
        <v>9891</v>
      </c>
      <c r="B1999" s="8" t="s">
        <v>9892</v>
      </c>
      <c r="C1999" s="8" t="s">
        <v>25</v>
      </c>
      <c r="D1999" s="8" t="s">
        <v>26</v>
      </c>
      <c r="E1999" s="8" t="s">
        <v>9893</v>
      </c>
      <c r="F1999" s="8"/>
      <c r="G1999" s="8" t="s">
        <v>54</v>
      </c>
      <c r="H1999" s="8" t="s">
        <v>135</v>
      </c>
      <c r="I1999" s="8" t="s">
        <v>31</v>
      </c>
      <c r="J1999" s="8" t="s">
        <v>136</v>
      </c>
      <c r="K1999" s="10" t="s">
        <v>2354</v>
      </c>
      <c r="L1999" s="8" t="s">
        <v>58</v>
      </c>
      <c r="M1999" s="8" t="s">
        <v>35</v>
      </c>
      <c r="N1999" s="11">
        <v>45056.0</v>
      </c>
      <c r="O1999" s="11">
        <v>45089.0</v>
      </c>
      <c r="P1999" s="11">
        <v>45131.0</v>
      </c>
      <c r="Q1999" s="11">
        <v>45090.0</v>
      </c>
      <c r="R1999" s="11">
        <v>45131.0</v>
      </c>
      <c r="S1999" s="12"/>
      <c r="T1999" s="8"/>
      <c r="U1999" s="8" t="s">
        <v>59</v>
      </c>
      <c r="V1999" s="13" t="s">
        <v>38</v>
      </c>
      <c r="W1999" s="13" t="s">
        <v>9894</v>
      </c>
      <c r="X1999" s="12"/>
      <c r="Y1999" s="14"/>
      <c r="Z1999" s="14"/>
    </row>
    <row r="2000">
      <c r="A2000" s="8" t="s">
        <v>9895</v>
      </c>
      <c r="B2000" s="8" t="s">
        <v>9896</v>
      </c>
      <c r="C2000" s="8" t="s">
        <v>25</v>
      </c>
      <c r="D2000" s="8" t="s">
        <v>26</v>
      </c>
      <c r="E2000" s="8" t="s">
        <v>9897</v>
      </c>
      <c r="F2000" s="8">
        <v>9.035493E7</v>
      </c>
      <c r="G2000" s="8" t="s">
        <v>54</v>
      </c>
      <c r="H2000" s="8" t="s">
        <v>135</v>
      </c>
      <c r="I2000" s="8" t="s">
        <v>31</v>
      </c>
      <c r="J2000" s="8" t="s">
        <v>136</v>
      </c>
      <c r="K2000" s="10" t="s">
        <v>2354</v>
      </c>
      <c r="L2000" s="8" t="s">
        <v>58</v>
      </c>
      <c r="M2000" s="8" t="s">
        <v>35</v>
      </c>
      <c r="N2000" s="11">
        <v>45056.0</v>
      </c>
      <c r="O2000" s="11">
        <v>45089.0</v>
      </c>
      <c r="P2000" s="11">
        <v>45131.0</v>
      </c>
      <c r="Q2000" s="11">
        <v>45090.0</v>
      </c>
      <c r="R2000" s="11">
        <v>45131.0</v>
      </c>
      <c r="S2000" s="12"/>
      <c r="T2000" s="8"/>
      <c r="U2000" s="8" t="s">
        <v>59</v>
      </c>
      <c r="V2000" s="13" t="s">
        <v>2693</v>
      </c>
      <c r="W2000" s="13" t="s">
        <v>9898</v>
      </c>
      <c r="X2000" s="12"/>
      <c r="Y2000" s="14"/>
      <c r="Z2000" s="14"/>
    </row>
    <row r="2001">
      <c r="A2001" s="8" t="s">
        <v>9899</v>
      </c>
      <c r="B2001" s="8" t="s">
        <v>9900</v>
      </c>
      <c r="C2001" s="8" t="s">
        <v>179</v>
      </c>
      <c r="D2001" s="8" t="s">
        <v>26</v>
      </c>
      <c r="E2001" s="8" t="s">
        <v>9901</v>
      </c>
      <c r="F2001" s="8"/>
      <c r="G2001" s="8" t="s">
        <v>54</v>
      </c>
      <c r="H2001" s="8" t="s">
        <v>430</v>
      </c>
      <c r="I2001" s="8" t="s">
        <v>31</v>
      </c>
      <c r="J2001" s="8" t="s">
        <v>56</v>
      </c>
      <c r="K2001" s="10" t="s">
        <v>9756</v>
      </c>
      <c r="L2001" s="8" t="s">
        <v>58</v>
      </c>
      <c r="M2001" s="8" t="s">
        <v>35</v>
      </c>
      <c r="N2001" s="11">
        <v>45056.0</v>
      </c>
      <c r="O2001" s="11">
        <v>45110.0</v>
      </c>
      <c r="P2001" s="11">
        <v>45152.0</v>
      </c>
      <c r="Q2001" s="11"/>
      <c r="R2001" s="11"/>
      <c r="S2001" s="12"/>
      <c r="T2001" s="8"/>
      <c r="U2001" s="8" t="s">
        <v>59</v>
      </c>
      <c r="V2001" s="13" t="s">
        <v>38</v>
      </c>
      <c r="W2001" s="13" t="s">
        <v>9902</v>
      </c>
      <c r="X2001" s="12"/>
      <c r="Y2001" s="14"/>
      <c r="Z2001" s="14"/>
    </row>
    <row r="2002">
      <c r="A2002" s="8" t="s">
        <v>9903</v>
      </c>
      <c r="B2002" s="8" t="s">
        <v>9904</v>
      </c>
      <c r="C2002" s="8" t="s">
        <v>25</v>
      </c>
      <c r="D2002" s="8" t="s">
        <v>26</v>
      </c>
      <c r="E2002" s="8" t="s">
        <v>9905</v>
      </c>
      <c r="F2002" s="8">
        <v>5.52316312E9</v>
      </c>
      <c r="G2002" s="8" t="s">
        <v>31</v>
      </c>
      <c r="H2002" s="8" t="s">
        <v>77</v>
      </c>
      <c r="I2002" s="8" t="s">
        <v>221</v>
      </c>
      <c r="J2002" s="8" t="s">
        <v>3985</v>
      </c>
      <c r="K2002" s="10" t="s">
        <v>9906</v>
      </c>
      <c r="L2002" s="8" t="s">
        <v>58</v>
      </c>
      <c r="M2002" s="8" t="s">
        <v>35</v>
      </c>
      <c r="N2002" s="11">
        <v>45056.0</v>
      </c>
      <c r="O2002" s="11">
        <v>45089.0</v>
      </c>
      <c r="P2002" s="11">
        <v>45131.0</v>
      </c>
      <c r="Q2002" s="11">
        <v>45090.0</v>
      </c>
      <c r="R2002" s="11">
        <v>45131.0</v>
      </c>
      <c r="S2002" s="12"/>
      <c r="T2002" s="8"/>
      <c r="U2002" s="8" t="s">
        <v>371</v>
      </c>
      <c r="V2002" s="13" t="s">
        <v>77</v>
      </c>
      <c r="W2002" s="13" t="s">
        <v>9907</v>
      </c>
      <c r="X2002" s="12"/>
      <c r="Y2002" s="14"/>
      <c r="Z2002" s="14"/>
    </row>
    <row r="2003">
      <c r="A2003" s="8" t="s">
        <v>9908</v>
      </c>
      <c r="B2003" s="8" t="s">
        <v>9909</v>
      </c>
      <c r="C2003" s="8" t="s">
        <v>251</v>
      </c>
      <c r="D2003" s="8" t="s">
        <v>26</v>
      </c>
      <c r="E2003" s="8" t="s">
        <v>9910</v>
      </c>
      <c r="F2003" s="8">
        <v>5.343877429E9</v>
      </c>
      <c r="G2003" s="8" t="s">
        <v>31</v>
      </c>
      <c r="H2003" s="8" t="s">
        <v>102</v>
      </c>
      <c r="I2003" s="8" t="s">
        <v>284</v>
      </c>
      <c r="J2003" s="8" t="s">
        <v>5202</v>
      </c>
      <c r="K2003" s="10" t="s">
        <v>9911</v>
      </c>
      <c r="L2003" s="8" t="s">
        <v>58</v>
      </c>
      <c r="M2003" s="8" t="s">
        <v>35</v>
      </c>
      <c r="N2003" s="11">
        <v>45056.0</v>
      </c>
      <c r="O2003" s="11">
        <v>45108.0</v>
      </c>
      <c r="P2003" s="11">
        <v>45153.0</v>
      </c>
      <c r="Q2003" s="11"/>
      <c r="R2003" s="11"/>
      <c r="S2003" s="12"/>
      <c r="T2003" s="8"/>
      <c r="U2003" s="8" t="s">
        <v>59</v>
      </c>
      <c r="V2003" s="13" t="s">
        <v>102</v>
      </c>
      <c r="W2003" s="13" t="s">
        <v>9912</v>
      </c>
      <c r="X2003" s="12"/>
      <c r="Y2003" s="14"/>
      <c r="Z2003" s="14"/>
    </row>
    <row r="2004">
      <c r="A2004" s="8" t="s">
        <v>9913</v>
      </c>
      <c r="B2004" s="8" t="s">
        <v>9914</v>
      </c>
      <c r="C2004" s="8" t="s">
        <v>25</v>
      </c>
      <c r="D2004" s="8" t="s">
        <v>26</v>
      </c>
      <c r="E2004" s="8" t="s">
        <v>9915</v>
      </c>
      <c r="F2004" s="8">
        <v>5.070541075E9</v>
      </c>
      <c r="G2004" s="8" t="s">
        <v>31</v>
      </c>
      <c r="H2004" s="8" t="s">
        <v>542</v>
      </c>
      <c r="I2004" s="8" t="s">
        <v>127</v>
      </c>
      <c r="J2004" s="8" t="s">
        <v>9028</v>
      </c>
      <c r="K2004" s="10" t="s">
        <v>9916</v>
      </c>
      <c r="L2004" s="8" t="s">
        <v>58</v>
      </c>
      <c r="M2004" s="8" t="s">
        <v>35</v>
      </c>
      <c r="N2004" s="11">
        <v>45056.0</v>
      </c>
      <c r="O2004" s="11">
        <v>45103.0</v>
      </c>
      <c r="P2004" s="11">
        <v>45145.0</v>
      </c>
      <c r="Q2004" s="11">
        <v>45103.0</v>
      </c>
      <c r="R2004" s="11">
        <v>45145.0</v>
      </c>
      <c r="S2004" s="12"/>
      <c r="T2004" s="8"/>
      <c r="U2004" s="8" t="s">
        <v>59</v>
      </c>
      <c r="V2004" s="13" t="s">
        <v>545</v>
      </c>
      <c r="W2004" s="13" t="s">
        <v>9917</v>
      </c>
      <c r="X2004" s="12"/>
      <c r="Y2004" s="14"/>
      <c r="Z2004" s="14"/>
    </row>
    <row r="2005">
      <c r="A2005" s="8" t="s">
        <v>9918</v>
      </c>
      <c r="B2005" s="8" t="s">
        <v>3882</v>
      </c>
      <c r="C2005" s="8" t="s">
        <v>708</v>
      </c>
      <c r="D2005" s="8" t="s">
        <v>26</v>
      </c>
      <c r="E2005" s="8" t="s">
        <v>3883</v>
      </c>
      <c r="F2005" s="8">
        <v>5.2060799E7</v>
      </c>
      <c r="G2005" s="8" t="s">
        <v>54</v>
      </c>
      <c r="H2005" s="8" t="s">
        <v>377</v>
      </c>
      <c r="I2005" s="8" t="s">
        <v>31</v>
      </c>
      <c r="J2005" s="8" t="s">
        <v>167</v>
      </c>
      <c r="K2005" s="10" t="s">
        <v>9919</v>
      </c>
      <c r="L2005" s="8" t="s">
        <v>47</v>
      </c>
      <c r="M2005" s="8" t="s">
        <v>70</v>
      </c>
      <c r="N2005" s="11">
        <v>45057.0</v>
      </c>
      <c r="O2005" s="11">
        <v>45076.0</v>
      </c>
      <c r="P2005" s="11">
        <v>45442.0</v>
      </c>
      <c r="Q2005" s="11">
        <v>45075.0</v>
      </c>
      <c r="R2005" s="11">
        <v>45442.0</v>
      </c>
      <c r="S2005" s="12"/>
      <c r="T2005" s="8"/>
      <c r="U2005" s="8" t="s">
        <v>246</v>
      </c>
      <c r="V2005" s="13" t="s">
        <v>1604</v>
      </c>
      <c r="W2005" s="13" t="s">
        <v>3886</v>
      </c>
      <c r="X2005" s="12"/>
      <c r="Y2005" s="14"/>
      <c r="Z2005" s="14"/>
    </row>
    <row r="2006">
      <c r="A2006" s="8" t="s">
        <v>9920</v>
      </c>
      <c r="B2006" s="8" t="s">
        <v>9921</v>
      </c>
      <c r="C2006" s="8" t="s">
        <v>25</v>
      </c>
      <c r="D2006" s="8" t="s">
        <v>26</v>
      </c>
      <c r="E2006" s="8" t="s">
        <v>9922</v>
      </c>
      <c r="F2006" s="8">
        <v>2.9185569E7</v>
      </c>
      <c r="G2006" s="8" t="s">
        <v>54</v>
      </c>
      <c r="H2006" s="8" t="s">
        <v>244</v>
      </c>
      <c r="I2006" s="8" t="s">
        <v>31</v>
      </c>
      <c r="J2006" s="8" t="s">
        <v>56</v>
      </c>
      <c r="K2006" s="10" t="s">
        <v>9756</v>
      </c>
      <c r="L2006" s="8" t="s">
        <v>58</v>
      </c>
      <c r="M2006" s="8" t="s">
        <v>35</v>
      </c>
      <c r="N2006" s="11">
        <v>45057.0</v>
      </c>
      <c r="O2006" s="11">
        <v>45110.0</v>
      </c>
      <c r="P2006" s="11">
        <v>45152.0</v>
      </c>
      <c r="Q2006" s="11">
        <v>45111.0</v>
      </c>
      <c r="R2006" s="11">
        <v>45152.0</v>
      </c>
      <c r="S2006" s="12"/>
      <c r="T2006" s="8"/>
      <c r="U2006" s="8" t="s">
        <v>59</v>
      </c>
      <c r="V2006" s="13" t="s">
        <v>9923</v>
      </c>
      <c r="W2006" s="13" t="s">
        <v>9924</v>
      </c>
      <c r="X2006" s="12"/>
      <c r="Y2006" s="14"/>
      <c r="Z2006" s="14"/>
    </row>
    <row r="2007">
      <c r="A2007" s="8" t="s">
        <v>9925</v>
      </c>
      <c r="B2007" s="8" t="s">
        <v>9926</v>
      </c>
      <c r="C2007" s="8" t="s">
        <v>25</v>
      </c>
      <c r="D2007" s="8" t="s">
        <v>26</v>
      </c>
      <c r="E2007" s="8" t="s">
        <v>9927</v>
      </c>
      <c r="F2007" s="8">
        <v>5.261691E7</v>
      </c>
      <c r="G2007" s="8" t="s">
        <v>54</v>
      </c>
      <c r="H2007" s="8" t="s">
        <v>76</v>
      </c>
      <c r="I2007" s="8" t="s">
        <v>31</v>
      </c>
      <c r="J2007" s="8" t="s">
        <v>86</v>
      </c>
      <c r="K2007" s="10" t="s">
        <v>416</v>
      </c>
      <c r="L2007" s="8" t="s">
        <v>58</v>
      </c>
      <c r="M2007" s="8" t="s">
        <v>35</v>
      </c>
      <c r="N2007" s="11">
        <v>45057.0</v>
      </c>
      <c r="O2007" s="11">
        <v>45162.0</v>
      </c>
      <c r="P2007" s="11">
        <v>45204.0</v>
      </c>
      <c r="Q2007" s="11">
        <v>45163.0</v>
      </c>
      <c r="R2007" s="11">
        <v>45204.0</v>
      </c>
      <c r="S2007" s="12"/>
      <c r="T2007" s="8"/>
      <c r="U2007" s="8" t="s">
        <v>59</v>
      </c>
      <c r="V2007" s="13" t="s">
        <v>573</v>
      </c>
      <c r="W2007" s="13" t="s">
        <v>9928</v>
      </c>
      <c r="X2007" s="12"/>
      <c r="Y2007" s="14"/>
      <c r="Z2007" s="14"/>
    </row>
    <row r="2008">
      <c r="A2008" s="8" t="s">
        <v>9929</v>
      </c>
      <c r="B2008" s="8" t="s">
        <v>9930</v>
      </c>
      <c r="C2008" s="8" t="s">
        <v>179</v>
      </c>
      <c r="D2008" s="8" t="s">
        <v>26</v>
      </c>
      <c r="E2008" s="8" t="s">
        <v>9931</v>
      </c>
      <c r="F2008" s="8">
        <v>5.052085025E9</v>
      </c>
      <c r="G2008" s="8" t="s">
        <v>31</v>
      </c>
      <c r="H2008" s="8" t="s">
        <v>66</v>
      </c>
      <c r="I2008" s="8" t="s">
        <v>284</v>
      </c>
      <c r="J2008" s="8" t="s">
        <v>793</v>
      </c>
      <c r="K2008" s="10" t="s">
        <v>2688</v>
      </c>
      <c r="L2008" s="8" t="s">
        <v>58</v>
      </c>
      <c r="M2008" s="8" t="s">
        <v>35</v>
      </c>
      <c r="N2008" s="11">
        <v>45057.0</v>
      </c>
      <c r="O2008" s="11">
        <v>45108.0</v>
      </c>
      <c r="P2008" s="11">
        <v>45150.0</v>
      </c>
      <c r="Q2008" s="11"/>
      <c r="R2008" s="11"/>
      <c r="S2008" s="12"/>
      <c r="T2008" s="8"/>
      <c r="U2008" s="8" t="s">
        <v>1038</v>
      </c>
      <c r="V2008" s="13" t="s">
        <v>66</v>
      </c>
      <c r="W2008" s="13" t="s">
        <v>9932</v>
      </c>
      <c r="X2008" s="12"/>
      <c r="Y2008" s="14"/>
      <c r="Z2008" s="14"/>
    </row>
    <row r="2009">
      <c r="A2009" s="8" t="s">
        <v>9933</v>
      </c>
      <c r="B2009" s="8" t="s">
        <v>9934</v>
      </c>
      <c r="C2009" s="8" t="s">
        <v>25</v>
      </c>
      <c r="D2009" s="8" t="s">
        <v>26</v>
      </c>
      <c r="E2009" s="8" t="s">
        <v>9935</v>
      </c>
      <c r="F2009" s="8"/>
      <c r="G2009" s="8" t="s">
        <v>54</v>
      </c>
      <c r="H2009" s="8" t="s">
        <v>135</v>
      </c>
      <c r="I2009" s="8" t="s">
        <v>31</v>
      </c>
      <c r="J2009" s="8" t="s">
        <v>102</v>
      </c>
      <c r="K2009" s="10" t="s">
        <v>9014</v>
      </c>
      <c r="L2009" s="8" t="s">
        <v>58</v>
      </c>
      <c r="M2009" s="8" t="s">
        <v>35</v>
      </c>
      <c r="N2009" s="11">
        <v>45057.0</v>
      </c>
      <c r="O2009" s="11">
        <v>45110.0</v>
      </c>
      <c r="P2009" s="11">
        <v>45152.0</v>
      </c>
      <c r="Q2009" s="11">
        <v>45110.0</v>
      </c>
      <c r="R2009" s="11">
        <v>45152.0</v>
      </c>
      <c r="S2009" s="12"/>
      <c r="T2009" s="8"/>
      <c r="U2009" s="8" t="s">
        <v>88</v>
      </c>
      <c r="V2009" s="13" t="s">
        <v>38</v>
      </c>
      <c r="W2009" s="13" t="s">
        <v>9936</v>
      </c>
      <c r="X2009" s="12"/>
      <c r="Y2009" s="14"/>
      <c r="Z2009" s="14"/>
    </row>
    <row r="2010">
      <c r="A2010" s="8" t="s">
        <v>9937</v>
      </c>
      <c r="B2010" s="8" t="s">
        <v>9938</v>
      </c>
      <c r="C2010" s="8" t="s">
        <v>708</v>
      </c>
      <c r="D2010" s="8" t="s">
        <v>26</v>
      </c>
      <c r="E2010" s="8" t="s">
        <v>9939</v>
      </c>
      <c r="F2010" s="8">
        <v>6.56742017E8</v>
      </c>
      <c r="G2010" s="8" t="s">
        <v>254</v>
      </c>
      <c r="H2010" s="8" t="s">
        <v>1484</v>
      </c>
      <c r="I2010" s="8" t="s">
        <v>31</v>
      </c>
      <c r="J2010" s="8" t="s">
        <v>542</v>
      </c>
      <c r="K2010" s="10" t="s">
        <v>9940</v>
      </c>
      <c r="L2010" s="8" t="s">
        <v>47</v>
      </c>
      <c r="M2010" s="8" t="s">
        <v>70</v>
      </c>
      <c r="N2010" s="11">
        <v>45057.0</v>
      </c>
      <c r="O2010" s="11">
        <v>45152.0</v>
      </c>
      <c r="P2010" s="11">
        <v>45473.0</v>
      </c>
      <c r="Q2010" s="11">
        <v>45153.0</v>
      </c>
      <c r="R2010" s="11">
        <v>45518.0</v>
      </c>
      <c r="S2010" s="12"/>
      <c r="T2010" s="8"/>
      <c r="U2010" s="8" t="s">
        <v>9941</v>
      </c>
      <c r="V2010" s="13" t="s">
        <v>1487</v>
      </c>
      <c r="W2010" s="13" t="s">
        <v>9942</v>
      </c>
      <c r="X2010" s="12"/>
      <c r="Y2010" s="14"/>
      <c r="Z2010" s="14"/>
    </row>
    <row r="2011">
      <c r="A2011" s="8" t="s">
        <v>9943</v>
      </c>
      <c r="B2011" s="8" t="s">
        <v>9944</v>
      </c>
      <c r="C2011" s="8" t="s">
        <v>25</v>
      </c>
      <c r="D2011" s="8" t="s">
        <v>26</v>
      </c>
      <c r="E2011" s="8" t="s">
        <v>9945</v>
      </c>
      <c r="F2011" s="8">
        <v>9.49965562E8</v>
      </c>
      <c r="G2011" s="8" t="s">
        <v>9946</v>
      </c>
      <c r="H2011" s="8" t="s">
        <v>9947</v>
      </c>
      <c r="I2011" s="8" t="s">
        <v>31</v>
      </c>
      <c r="J2011" s="8" t="s">
        <v>542</v>
      </c>
      <c r="K2011" s="10" t="s">
        <v>7910</v>
      </c>
      <c r="L2011" s="8" t="s">
        <v>58</v>
      </c>
      <c r="M2011" s="8" t="s">
        <v>35</v>
      </c>
      <c r="N2011" s="11">
        <v>45057.0</v>
      </c>
      <c r="O2011" s="11">
        <v>45089.0</v>
      </c>
      <c r="P2011" s="11">
        <v>45131.0</v>
      </c>
      <c r="Q2011" s="11">
        <v>45089.0</v>
      </c>
      <c r="R2011" s="11">
        <v>45131.0</v>
      </c>
      <c r="S2011" s="12"/>
      <c r="T2011" s="8"/>
      <c r="U2011" s="8" t="s">
        <v>161</v>
      </c>
      <c r="V2011" s="13" t="s">
        <v>9947</v>
      </c>
      <c r="W2011" s="13" t="s">
        <v>9948</v>
      </c>
      <c r="X2011" s="12"/>
      <c r="Y2011" s="14"/>
      <c r="Z2011" s="14"/>
    </row>
    <row r="2012">
      <c r="A2012" s="8" t="s">
        <v>9949</v>
      </c>
      <c r="B2012" s="8" t="s">
        <v>9950</v>
      </c>
      <c r="C2012" s="8" t="s">
        <v>179</v>
      </c>
      <c r="D2012" s="8" t="s">
        <v>26</v>
      </c>
      <c r="E2012" s="8" t="s">
        <v>9951</v>
      </c>
      <c r="F2012" s="8" t="s">
        <v>9952</v>
      </c>
      <c r="G2012" s="8" t="s">
        <v>31</v>
      </c>
      <c r="H2012" s="8" t="s">
        <v>77</v>
      </c>
      <c r="I2012" s="8" t="s">
        <v>284</v>
      </c>
      <c r="J2012" s="8" t="s">
        <v>854</v>
      </c>
      <c r="K2012" s="10" t="s">
        <v>8210</v>
      </c>
      <c r="L2012" s="8" t="s">
        <v>58</v>
      </c>
      <c r="M2012" s="8" t="s">
        <v>35</v>
      </c>
      <c r="N2012" s="11">
        <v>45057.0</v>
      </c>
      <c r="O2012" s="11">
        <v>45122.0</v>
      </c>
      <c r="P2012" s="11">
        <v>45166.0</v>
      </c>
      <c r="Q2012" s="11"/>
      <c r="R2012" s="11"/>
      <c r="S2012" s="12"/>
      <c r="T2012" s="8"/>
      <c r="U2012" s="8" t="s">
        <v>161</v>
      </c>
      <c r="V2012" s="13" t="s">
        <v>77</v>
      </c>
      <c r="W2012" s="13" t="s">
        <v>9953</v>
      </c>
      <c r="X2012" s="12"/>
      <c r="Y2012" s="14"/>
      <c r="Z2012" s="14"/>
    </row>
    <row r="2013">
      <c r="A2013" s="8" t="s">
        <v>9954</v>
      </c>
      <c r="B2013" s="8" t="s">
        <v>9955</v>
      </c>
      <c r="C2013" s="8" t="s">
        <v>179</v>
      </c>
      <c r="D2013" s="8" t="s">
        <v>26</v>
      </c>
      <c r="E2013" s="8" t="s">
        <v>9956</v>
      </c>
      <c r="F2013" s="8">
        <v>5.302514543E9</v>
      </c>
      <c r="G2013" s="8" t="s">
        <v>31</v>
      </c>
      <c r="H2013" s="8" t="s">
        <v>292</v>
      </c>
      <c r="I2013" s="8" t="s">
        <v>399</v>
      </c>
      <c r="J2013" s="8" t="s">
        <v>400</v>
      </c>
      <c r="K2013" s="10" t="s">
        <v>1700</v>
      </c>
      <c r="L2013" s="8" t="s">
        <v>58</v>
      </c>
      <c r="M2013" s="8" t="s">
        <v>35</v>
      </c>
      <c r="N2013" s="11">
        <v>45057.0</v>
      </c>
      <c r="O2013" s="11">
        <v>45261.0</v>
      </c>
      <c r="P2013" s="11">
        <v>45303.0</v>
      </c>
      <c r="Q2013" s="11"/>
      <c r="R2013" s="11"/>
      <c r="S2013" s="12"/>
      <c r="T2013" s="8"/>
      <c r="U2013" s="8" t="s">
        <v>1038</v>
      </c>
      <c r="V2013" s="13" t="s">
        <v>292</v>
      </c>
      <c r="W2013" s="13" t="s">
        <v>9957</v>
      </c>
      <c r="X2013" s="12"/>
      <c r="Y2013" s="14"/>
      <c r="Z2013" s="14"/>
    </row>
    <row r="2014">
      <c r="A2014" s="8" t="s">
        <v>9958</v>
      </c>
      <c r="B2014" s="8" t="s">
        <v>9959</v>
      </c>
      <c r="C2014" s="8" t="s">
        <v>25</v>
      </c>
      <c r="D2014" s="8" t="s">
        <v>26</v>
      </c>
      <c r="E2014" s="8" t="s">
        <v>9960</v>
      </c>
      <c r="F2014" s="8"/>
      <c r="G2014" s="8" t="s">
        <v>31</v>
      </c>
      <c r="H2014" s="8" t="s">
        <v>102</v>
      </c>
      <c r="I2014" s="8" t="s">
        <v>127</v>
      </c>
      <c r="J2014" s="8" t="s">
        <v>159</v>
      </c>
      <c r="K2014" s="10" t="s">
        <v>9961</v>
      </c>
      <c r="L2014" s="8" t="s">
        <v>58</v>
      </c>
      <c r="M2014" s="8" t="s">
        <v>35</v>
      </c>
      <c r="N2014" s="11">
        <v>45057.0</v>
      </c>
      <c r="O2014" s="11">
        <v>45103.0</v>
      </c>
      <c r="P2014" s="11">
        <v>45145.0</v>
      </c>
      <c r="Q2014" s="11">
        <v>45103.0</v>
      </c>
      <c r="R2014" s="11">
        <v>45145.0</v>
      </c>
      <c r="S2014" s="12"/>
      <c r="T2014" s="8"/>
      <c r="U2014" s="8" t="s">
        <v>185</v>
      </c>
      <c r="V2014" s="13" t="s">
        <v>38</v>
      </c>
      <c r="W2014" s="13" t="s">
        <v>9962</v>
      </c>
      <c r="X2014" s="12"/>
      <c r="Y2014" s="14"/>
      <c r="Z2014" s="14"/>
    </row>
    <row r="2015">
      <c r="A2015" s="8" t="s">
        <v>9963</v>
      </c>
      <c r="B2015" s="8" t="s">
        <v>9964</v>
      </c>
      <c r="C2015" s="8" t="s">
        <v>179</v>
      </c>
      <c r="D2015" s="8" t="s">
        <v>26</v>
      </c>
      <c r="E2015" s="8" t="s">
        <v>9965</v>
      </c>
      <c r="F2015" s="8">
        <v>3.367699724E9</v>
      </c>
      <c r="G2015" s="8" t="s">
        <v>315</v>
      </c>
      <c r="H2015" s="8" t="s">
        <v>6263</v>
      </c>
      <c r="I2015" s="8" t="s">
        <v>31</v>
      </c>
      <c r="J2015" s="8" t="s">
        <v>136</v>
      </c>
      <c r="K2015" s="10" t="s">
        <v>2354</v>
      </c>
      <c r="L2015" s="8" t="s">
        <v>58</v>
      </c>
      <c r="M2015" s="8" t="s">
        <v>35</v>
      </c>
      <c r="N2015" s="11">
        <v>45057.0</v>
      </c>
      <c r="O2015" s="11">
        <v>45131.0</v>
      </c>
      <c r="P2015" s="11">
        <v>45173.0</v>
      </c>
      <c r="Q2015" s="11"/>
      <c r="R2015" s="11"/>
      <c r="S2015" s="12"/>
      <c r="T2015" s="8"/>
      <c r="U2015" s="8" t="s">
        <v>59</v>
      </c>
      <c r="V2015" s="13" t="s">
        <v>38</v>
      </c>
      <c r="W2015" s="13" t="s">
        <v>9966</v>
      </c>
      <c r="X2015" s="12"/>
      <c r="Y2015" s="14"/>
      <c r="Z2015" s="14"/>
    </row>
    <row r="2016">
      <c r="A2016" s="8" t="s">
        <v>9967</v>
      </c>
      <c r="B2016" s="8" t="s">
        <v>9968</v>
      </c>
      <c r="C2016" s="8" t="s">
        <v>179</v>
      </c>
      <c r="D2016" s="8" t="s">
        <v>26</v>
      </c>
      <c r="E2016" s="8" t="s">
        <v>9969</v>
      </c>
      <c r="F2016" s="8">
        <v>5.22013682E8</v>
      </c>
      <c r="G2016" s="8" t="s">
        <v>315</v>
      </c>
      <c r="H2016" s="8" t="s">
        <v>6263</v>
      </c>
      <c r="I2016" s="8" t="s">
        <v>31</v>
      </c>
      <c r="J2016" s="8" t="s">
        <v>136</v>
      </c>
      <c r="K2016" s="10" t="s">
        <v>2354</v>
      </c>
      <c r="L2016" s="8" t="s">
        <v>58</v>
      </c>
      <c r="M2016" s="8" t="s">
        <v>35</v>
      </c>
      <c r="N2016" s="11">
        <v>45057.0</v>
      </c>
      <c r="O2016" s="11">
        <v>45131.0</v>
      </c>
      <c r="P2016" s="11">
        <v>45173.0</v>
      </c>
      <c r="Q2016" s="11"/>
      <c r="R2016" s="11"/>
      <c r="S2016" s="12"/>
      <c r="T2016" s="8"/>
      <c r="U2016" s="8" t="s">
        <v>59</v>
      </c>
      <c r="V2016" s="13" t="s">
        <v>9970</v>
      </c>
      <c r="W2016" s="13" t="s">
        <v>9971</v>
      </c>
      <c r="X2016" s="12"/>
      <c r="Y2016" s="14"/>
      <c r="Z2016" s="14"/>
    </row>
    <row r="2017">
      <c r="A2017" s="8" t="s">
        <v>9972</v>
      </c>
      <c r="B2017" s="8" t="s">
        <v>9973</v>
      </c>
      <c r="C2017" s="8" t="s">
        <v>25</v>
      </c>
      <c r="D2017" s="8" t="s">
        <v>26</v>
      </c>
      <c r="E2017" s="8" t="s">
        <v>9974</v>
      </c>
      <c r="F2017" s="8">
        <v>5.051553329E9</v>
      </c>
      <c r="G2017" s="8" t="s">
        <v>31</v>
      </c>
      <c r="H2017" s="8" t="s">
        <v>32</v>
      </c>
      <c r="I2017" s="8" t="s">
        <v>1400</v>
      </c>
      <c r="J2017" s="8" t="s">
        <v>9975</v>
      </c>
      <c r="K2017" s="10" t="s">
        <v>9976</v>
      </c>
      <c r="L2017" s="8" t="s">
        <v>58</v>
      </c>
      <c r="M2017" s="8" t="s">
        <v>35</v>
      </c>
      <c r="N2017" s="11">
        <v>45057.0</v>
      </c>
      <c r="O2017" s="11">
        <v>45173.0</v>
      </c>
      <c r="P2017" s="11">
        <v>45215.0</v>
      </c>
      <c r="Q2017" s="11">
        <v>45173.0</v>
      </c>
      <c r="R2017" s="11">
        <v>45215.0</v>
      </c>
      <c r="S2017" s="12"/>
      <c r="T2017" s="8"/>
      <c r="U2017" s="8" t="s">
        <v>88</v>
      </c>
      <c r="V2017" s="13" t="s">
        <v>537</v>
      </c>
      <c r="W2017" s="13" t="s">
        <v>9977</v>
      </c>
      <c r="X2017" s="12"/>
      <c r="Y2017" s="14"/>
      <c r="Z2017" s="14"/>
    </row>
    <row r="2018">
      <c r="A2018" s="8" t="s">
        <v>9978</v>
      </c>
      <c r="B2018" s="8" t="s">
        <v>9979</v>
      </c>
      <c r="C2018" s="8" t="s">
        <v>708</v>
      </c>
      <c r="D2018" s="8" t="s">
        <v>26</v>
      </c>
      <c r="E2018" s="8" t="s">
        <v>9980</v>
      </c>
      <c r="F2018" s="8"/>
      <c r="G2018" s="8" t="s">
        <v>315</v>
      </c>
      <c r="H2018" s="8" t="s">
        <v>316</v>
      </c>
      <c r="I2018" s="8" t="s">
        <v>31</v>
      </c>
      <c r="J2018" s="8" t="s">
        <v>542</v>
      </c>
      <c r="K2018" s="10" t="s">
        <v>8953</v>
      </c>
      <c r="L2018" s="8" t="s">
        <v>34</v>
      </c>
      <c r="M2018" s="8" t="s">
        <v>70</v>
      </c>
      <c r="N2018" s="11">
        <v>45057.0</v>
      </c>
      <c r="O2018" s="11">
        <v>45139.0</v>
      </c>
      <c r="P2018" s="11">
        <v>45504.0</v>
      </c>
      <c r="Q2018" s="11">
        <v>45170.0</v>
      </c>
      <c r="R2018" s="11">
        <v>45535.0</v>
      </c>
      <c r="S2018" s="12"/>
      <c r="T2018" s="8" t="s">
        <v>36</v>
      </c>
      <c r="U2018" s="8" t="s">
        <v>8954</v>
      </c>
      <c r="V2018" s="13" t="s">
        <v>38</v>
      </c>
      <c r="W2018" s="13" t="s">
        <v>9981</v>
      </c>
      <c r="X2018" s="12"/>
      <c r="Y2018" s="14"/>
      <c r="Z2018" s="14"/>
    </row>
    <row r="2019">
      <c r="A2019" s="8" t="s">
        <v>9982</v>
      </c>
      <c r="B2019" s="8" t="s">
        <v>9983</v>
      </c>
      <c r="C2019" s="8" t="s">
        <v>25</v>
      </c>
      <c r="D2019" s="8" t="s">
        <v>26</v>
      </c>
      <c r="E2019" s="8" t="s">
        <v>9984</v>
      </c>
      <c r="F2019" s="8"/>
      <c r="G2019" s="8" t="s">
        <v>31</v>
      </c>
      <c r="H2019" s="8" t="s">
        <v>56</v>
      </c>
      <c r="I2019" s="8" t="s">
        <v>8840</v>
      </c>
      <c r="J2019" s="8" t="s">
        <v>8841</v>
      </c>
      <c r="K2019" s="10" t="s">
        <v>8842</v>
      </c>
      <c r="L2019" s="8" t="s">
        <v>58</v>
      </c>
      <c r="M2019" s="8" t="s">
        <v>35</v>
      </c>
      <c r="N2019" s="11">
        <v>45057.0</v>
      </c>
      <c r="O2019" s="11">
        <v>45061.0</v>
      </c>
      <c r="P2019" s="11">
        <v>45103.0</v>
      </c>
      <c r="Q2019" s="11">
        <v>45063.0</v>
      </c>
      <c r="R2019" s="11">
        <v>45103.0</v>
      </c>
      <c r="S2019" s="12"/>
      <c r="T2019" s="8"/>
      <c r="U2019" s="8" t="s">
        <v>88</v>
      </c>
      <c r="V2019" s="13" t="s">
        <v>38</v>
      </c>
      <c r="W2019" s="13" t="s">
        <v>9985</v>
      </c>
      <c r="X2019" s="12"/>
      <c r="Y2019" s="14"/>
      <c r="Z2019" s="14"/>
    </row>
    <row r="2020">
      <c r="A2020" s="8" t="s">
        <v>9986</v>
      </c>
      <c r="B2020" s="8" t="s">
        <v>9987</v>
      </c>
      <c r="C2020" s="8" t="s">
        <v>708</v>
      </c>
      <c r="D2020" s="8" t="s">
        <v>26</v>
      </c>
      <c r="E2020" s="8" t="s">
        <v>9988</v>
      </c>
      <c r="F2020" s="8">
        <v>2.0276504E7</v>
      </c>
      <c r="G2020" s="8" t="s">
        <v>54</v>
      </c>
      <c r="H2020" s="8" t="s">
        <v>76</v>
      </c>
      <c r="I2020" s="8" t="s">
        <v>31</v>
      </c>
      <c r="J2020" s="8" t="s">
        <v>111</v>
      </c>
      <c r="K2020" s="10" t="s">
        <v>910</v>
      </c>
      <c r="L2020" s="8" t="s">
        <v>47</v>
      </c>
      <c r="M2020" s="8" t="s">
        <v>70</v>
      </c>
      <c r="N2020" s="11">
        <v>45058.0</v>
      </c>
      <c r="O2020" s="11">
        <v>45145.0</v>
      </c>
      <c r="P2020" s="11">
        <v>45511.0</v>
      </c>
      <c r="Q2020" s="11">
        <v>45166.0</v>
      </c>
      <c r="R2020" s="11">
        <v>45532.0</v>
      </c>
      <c r="S2020" s="12"/>
      <c r="T2020" s="8"/>
      <c r="U2020" s="8" t="s">
        <v>246</v>
      </c>
      <c r="V2020" s="13" t="s">
        <v>491</v>
      </c>
      <c r="W2020" s="13" t="s">
        <v>9989</v>
      </c>
      <c r="X2020" s="12"/>
      <c r="Y2020" s="14"/>
      <c r="Z2020" s="14"/>
    </row>
    <row r="2021">
      <c r="A2021" s="8" t="s">
        <v>9990</v>
      </c>
      <c r="B2021" s="8" t="s">
        <v>9991</v>
      </c>
      <c r="C2021" s="8" t="s">
        <v>179</v>
      </c>
      <c r="D2021" s="8" t="s">
        <v>26</v>
      </c>
      <c r="E2021" s="8" t="s">
        <v>9992</v>
      </c>
      <c r="F2021" s="8">
        <v>1.026175273E9</v>
      </c>
      <c r="G2021" s="8" t="s">
        <v>284</v>
      </c>
      <c r="H2021" s="8" t="s">
        <v>673</v>
      </c>
      <c r="I2021" s="8" t="s">
        <v>31</v>
      </c>
      <c r="J2021" s="8" t="s">
        <v>542</v>
      </c>
      <c r="K2021" s="10" t="s">
        <v>8953</v>
      </c>
      <c r="L2021" s="8" t="s">
        <v>34</v>
      </c>
      <c r="M2021" s="8" t="s">
        <v>70</v>
      </c>
      <c r="N2021" s="11">
        <v>45058.0</v>
      </c>
      <c r="O2021" s="11">
        <v>45139.0</v>
      </c>
      <c r="P2021" s="11">
        <v>45504.0</v>
      </c>
      <c r="Q2021" s="11"/>
      <c r="R2021" s="11"/>
      <c r="S2021" s="12"/>
      <c r="T2021" s="8" t="s">
        <v>36</v>
      </c>
      <c r="U2021" s="8" t="s">
        <v>8954</v>
      </c>
      <c r="V2021" s="13" t="s">
        <v>674</v>
      </c>
      <c r="W2021" s="13" t="s">
        <v>9993</v>
      </c>
      <c r="X2021" s="12"/>
      <c r="Y2021" s="14"/>
      <c r="Z2021" s="14"/>
    </row>
    <row r="2022">
      <c r="A2022" s="8" t="s">
        <v>9994</v>
      </c>
      <c r="B2022" s="8" t="s">
        <v>9995</v>
      </c>
      <c r="C2022" s="8" t="s">
        <v>25</v>
      </c>
      <c r="D2022" s="8" t="s">
        <v>26</v>
      </c>
      <c r="E2022" s="8" t="s">
        <v>9996</v>
      </c>
      <c r="F2022" s="8"/>
      <c r="G2022" s="8" t="s">
        <v>54</v>
      </c>
      <c r="H2022" s="8" t="s">
        <v>135</v>
      </c>
      <c r="I2022" s="8" t="s">
        <v>31</v>
      </c>
      <c r="J2022" s="8" t="s">
        <v>438</v>
      </c>
      <c r="K2022" s="10" t="s">
        <v>9997</v>
      </c>
      <c r="L2022" s="8" t="s">
        <v>58</v>
      </c>
      <c r="M2022" s="8" t="s">
        <v>35</v>
      </c>
      <c r="N2022" s="11">
        <v>45058.0</v>
      </c>
      <c r="O2022" s="11">
        <v>45110.0</v>
      </c>
      <c r="P2022" s="11">
        <v>45152.0</v>
      </c>
      <c r="Q2022" s="11">
        <v>45110.0</v>
      </c>
      <c r="R2022" s="11">
        <v>45152.0</v>
      </c>
      <c r="S2022" s="12"/>
      <c r="T2022" s="8"/>
      <c r="U2022" s="8" t="s">
        <v>59</v>
      </c>
      <c r="V2022" s="13" t="s">
        <v>38</v>
      </c>
      <c r="W2022" s="13" t="s">
        <v>9998</v>
      </c>
      <c r="X2022" s="12"/>
      <c r="Y2022" s="14"/>
      <c r="Z2022" s="14"/>
    </row>
    <row r="2023">
      <c r="A2023" s="8" t="s">
        <v>9999</v>
      </c>
      <c r="B2023" s="8" t="s">
        <v>10000</v>
      </c>
      <c r="C2023" s="8" t="s">
        <v>25</v>
      </c>
      <c r="D2023" s="8" t="s">
        <v>26</v>
      </c>
      <c r="E2023" s="8" t="s">
        <v>10001</v>
      </c>
      <c r="F2023" s="8">
        <v>9.2174296E7</v>
      </c>
      <c r="G2023" s="8" t="s">
        <v>54</v>
      </c>
      <c r="H2023" s="8" t="s">
        <v>135</v>
      </c>
      <c r="I2023" s="8" t="s">
        <v>31</v>
      </c>
      <c r="J2023" s="8" t="s">
        <v>43</v>
      </c>
      <c r="K2023" s="10" t="s">
        <v>10002</v>
      </c>
      <c r="L2023" s="8" t="s">
        <v>58</v>
      </c>
      <c r="M2023" s="8" t="s">
        <v>35</v>
      </c>
      <c r="N2023" s="11">
        <v>45058.0</v>
      </c>
      <c r="O2023" s="11">
        <v>45110.0</v>
      </c>
      <c r="P2023" s="11">
        <v>45156.0</v>
      </c>
      <c r="Q2023" s="11">
        <v>45110.0</v>
      </c>
      <c r="R2023" s="11">
        <v>45156.0</v>
      </c>
      <c r="S2023" s="12"/>
      <c r="T2023" s="8"/>
      <c r="U2023" s="8" t="s">
        <v>59</v>
      </c>
      <c r="V2023" s="13" t="s">
        <v>190</v>
      </c>
      <c r="W2023" s="13" t="s">
        <v>10003</v>
      </c>
      <c r="X2023" s="12"/>
      <c r="Y2023" s="14"/>
      <c r="Z2023" s="14"/>
    </row>
    <row r="2024">
      <c r="A2024" s="8" t="s">
        <v>10004</v>
      </c>
      <c r="B2024" s="8" t="s">
        <v>10005</v>
      </c>
      <c r="C2024" s="8" t="s">
        <v>708</v>
      </c>
      <c r="D2024" s="8" t="s">
        <v>26</v>
      </c>
      <c r="E2024" s="8" t="s">
        <v>10006</v>
      </c>
      <c r="F2024" s="8"/>
      <c r="G2024" s="8" t="s">
        <v>6087</v>
      </c>
      <c r="H2024" s="8" t="s">
        <v>6840</v>
      </c>
      <c r="I2024" s="8" t="s">
        <v>31</v>
      </c>
      <c r="J2024" s="8" t="s">
        <v>111</v>
      </c>
      <c r="K2024" s="10" t="s">
        <v>10007</v>
      </c>
      <c r="L2024" s="8" t="s">
        <v>34</v>
      </c>
      <c r="M2024" s="8" t="s">
        <v>70</v>
      </c>
      <c r="N2024" s="11">
        <v>45058.0</v>
      </c>
      <c r="O2024" s="11">
        <v>45068.0</v>
      </c>
      <c r="P2024" s="11">
        <v>45431.0</v>
      </c>
      <c r="Q2024" s="11">
        <v>45069.0</v>
      </c>
      <c r="R2024" s="11">
        <v>45431.0</v>
      </c>
      <c r="S2024" s="12"/>
      <c r="T2024" s="8" t="s">
        <v>205</v>
      </c>
      <c r="U2024" s="8" t="s">
        <v>10008</v>
      </c>
      <c r="V2024" s="13" t="s">
        <v>38</v>
      </c>
      <c r="W2024" s="13" t="s">
        <v>10009</v>
      </c>
      <c r="X2024" s="12"/>
      <c r="Y2024" s="14"/>
      <c r="Z2024" s="14"/>
    </row>
    <row r="2025">
      <c r="A2025" s="8" t="s">
        <v>10010</v>
      </c>
      <c r="B2025" s="8" t="s">
        <v>10011</v>
      </c>
      <c r="C2025" s="8" t="s">
        <v>25</v>
      </c>
      <c r="D2025" s="8" t="s">
        <v>26</v>
      </c>
      <c r="E2025" s="8" t="s">
        <v>10012</v>
      </c>
      <c r="F2025" s="8"/>
      <c r="G2025" s="8" t="s">
        <v>31</v>
      </c>
      <c r="H2025" s="8" t="s">
        <v>256</v>
      </c>
      <c r="I2025" s="8" t="s">
        <v>284</v>
      </c>
      <c r="J2025" s="8" t="s">
        <v>285</v>
      </c>
      <c r="K2025" s="10" t="s">
        <v>10013</v>
      </c>
      <c r="L2025" s="8" t="s">
        <v>58</v>
      </c>
      <c r="M2025" s="8" t="s">
        <v>35</v>
      </c>
      <c r="N2025" s="11">
        <v>45058.0</v>
      </c>
      <c r="O2025" s="11">
        <v>45108.0</v>
      </c>
      <c r="P2025" s="11">
        <v>45150.0</v>
      </c>
      <c r="Q2025" s="11">
        <v>45109.0</v>
      </c>
      <c r="R2025" s="11">
        <v>45150.0</v>
      </c>
      <c r="S2025" s="12"/>
      <c r="T2025" s="8"/>
      <c r="U2025" s="8" t="s">
        <v>161</v>
      </c>
      <c r="V2025" s="13" t="s">
        <v>38</v>
      </c>
      <c r="W2025" s="13" t="s">
        <v>10014</v>
      </c>
      <c r="X2025" s="12"/>
      <c r="Y2025" s="14"/>
      <c r="Z2025" s="14"/>
    </row>
    <row r="2026">
      <c r="A2026" s="8" t="s">
        <v>10015</v>
      </c>
      <c r="B2026" s="8" t="s">
        <v>10016</v>
      </c>
      <c r="C2026" s="8" t="s">
        <v>64</v>
      </c>
      <c r="D2026" s="8" t="s">
        <v>26</v>
      </c>
      <c r="E2026" s="8" t="s">
        <v>10017</v>
      </c>
      <c r="F2026" s="8"/>
      <c r="G2026" s="8" t="s">
        <v>54</v>
      </c>
      <c r="H2026" s="8" t="s">
        <v>76</v>
      </c>
      <c r="I2026" s="8" t="s">
        <v>31</v>
      </c>
      <c r="J2026" s="8" t="s">
        <v>77</v>
      </c>
      <c r="K2026" s="10" t="s">
        <v>5635</v>
      </c>
      <c r="L2026" s="8" t="s">
        <v>58</v>
      </c>
      <c r="M2026" s="8" t="s">
        <v>35</v>
      </c>
      <c r="N2026" s="11">
        <v>45058.0</v>
      </c>
      <c r="O2026" s="11">
        <v>45152.0</v>
      </c>
      <c r="P2026" s="11">
        <v>45194.0</v>
      </c>
      <c r="Q2026" s="11">
        <v>45153.0</v>
      </c>
      <c r="R2026" s="11">
        <v>45194.0</v>
      </c>
      <c r="S2026" s="12"/>
      <c r="T2026" s="8"/>
      <c r="U2026" s="8" t="s">
        <v>59</v>
      </c>
      <c r="V2026" s="13" t="s">
        <v>38</v>
      </c>
      <c r="W2026" s="13" t="s">
        <v>10018</v>
      </c>
      <c r="X2026" s="12"/>
      <c r="Y2026" s="14"/>
      <c r="Z2026" s="14"/>
    </row>
    <row r="2027">
      <c r="A2027" s="8" t="s">
        <v>10019</v>
      </c>
      <c r="B2027" s="8" t="s">
        <v>10020</v>
      </c>
      <c r="C2027" s="8" t="s">
        <v>25</v>
      </c>
      <c r="D2027" s="8" t="s">
        <v>26</v>
      </c>
      <c r="E2027" s="8" t="s">
        <v>10021</v>
      </c>
      <c r="F2027" s="8">
        <v>1.02555322E9</v>
      </c>
      <c r="G2027" s="8" t="s">
        <v>284</v>
      </c>
      <c r="H2027" s="8" t="s">
        <v>5202</v>
      </c>
      <c r="I2027" s="8" t="s">
        <v>31</v>
      </c>
      <c r="J2027" s="8" t="s">
        <v>438</v>
      </c>
      <c r="K2027" s="10" t="s">
        <v>9997</v>
      </c>
      <c r="L2027" s="8" t="s">
        <v>58</v>
      </c>
      <c r="M2027" s="8" t="s">
        <v>35</v>
      </c>
      <c r="N2027" s="11">
        <v>45058.0</v>
      </c>
      <c r="O2027" s="11">
        <v>45110.0</v>
      </c>
      <c r="P2027" s="11">
        <v>45152.0</v>
      </c>
      <c r="Q2027" s="11">
        <v>45111.0</v>
      </c>
      <c r="R2027" s="11">
        <v>45152.0</v>
      </c>
      <c r="S2027" s="12"/>
      <c r="T2027" s="8"/>
      <c r="U2027" s="8" t="s">
        <v>59</v>
      </c>
      <c r="V2027" s="13" t="s">
        <v>5669</v>
      </c>
      <c r="W2027" s="13" t="s">
        <v>10022</v>
      </c>
      <c r="X2027" s="12"/>
      <c r="Y2027" s="14"/>
      <c r="Z2027" s="14"/>
    </row>
    <row r="2028">
      <c r="A2028" s="8" t="s">
        <v>10023</v>
      </c>
      <c r="B2028" s="8" t="s">
        <v>10024</v>
      </c>
      <c r="C2028" s="8" t="s">
        <v>179</v>
      </c>
      <c r="D2028" s="8" t="s">
        <v>26</v>
      </c>
      <c r="E2028" s="8" t="s">
        <v>10025</v>
      </c>
      <c r="F2028" s="8">
        <v>1.067484169E9</v>
      </c>
      <c r="G2028" s="8" t="s">
        <v>284</v>
      </c>
      <c r="H2028" s="8" t="s">
        <v>1450</v>
      </c>
      <c r="I2028" s="8" t="s">
        <v>31</v>
      </c>
      <c r="J2028" s="8" t="s">
        <v>438</v>
      </c>
      <c r="K2028" s="10" t="s">
        <v>6001</v>
      </c>
      <c r="L2028" s="8" t="s">
        <v>58</v>
      </c>
      <c r="M2028" s="8" t="s">
        <v>35</v>
      </c>
      <c r="N2028" s="11">
        <v>45058.0</v>
      </c>
      <c r="O2028" s="11">
        <v>45117.0</v>
      </c>
      <c r="P2028" s="11">
        <v>45159.0</v>
      </c>
      <c r="Q2028" s="11"/>
      <c r="R2028" s="11"/>
      <c r="S2028" s="12"/>
      <c r="T2028" s="8"/>
      <c r="U2028" s="8" t="s">
        <v>59</v>
      </c>
      <c r="V2028" s="13" t="s">
        <v>10026</v>
      </c>
      <c r="W2028" s="13" t="s">
        <v>10027</v>
      </c>
      <c r="X2028" s="12"/>
      <c r="Y2028" s="14"/>
      <c r="Z2028" s="14"/>
    </row>
    <row r="2029">
      <c r="A2029" s="8" t="s">
        <v>10028</v>
      </c>
      <c r="B2029" s="8" t="s">
        <v>10029</v>
      </c>
      <c r="C2029" s="8" t="s">
        <v>25</v>
      </c>
      <c r="D2029" s="8" t="s">
        <v>26</v>
      </c>
      <c r="E2029" s="8" t="s">
        <v>10030</v>
      </c>
      <c r="F2029" s="8">
        <v>5.3661755E7</v>
      </c>
      <c r="G2029" s="8" t="s">
        <v>54</v>
      </c>
      <c r="H2029" s="8" t="s">
        <v>430</v>
      </c>
      <c r="I2029" s="8" t="s">
        <v>31</v>
      </c>
      <c r="J2029" s="8" t="s">
        <v>438</v>
      </c>
      <c r="K2029" s="10" t="s">
        <v>9997</v>
      </c>
      <c r="L2029" s="8" t="s">
        <v>58</v>
      </c>
      <c r="M2029" s="8" t="s">
        <v>35</v>
      </c>
      <c r="N2029" s="11">
        <v>45058.0</v>
      </c>
      <c r="O2029" s="11">
        <v>45110.0</v>
      </c>
      <c r="P2029" s="11">
        <v>45152.0</v>
      </c>
      <c r="Q2029" s="11">
        <v>45109.0</v>
      </c>
      <c r="R2029" s="11">
        <v>45152.0</v>
      </c>
      <c r="S2029" s="12"/>
      <c r="T2029" s="8"/>
      <c r="U2029" s="8" t="s">
        <v>59</v>
      </c>
      <c r="V2029" s="13" t="s">
        <v>1715</v>
      </c>
      <c r="W2029" s="13" t="s">
        <v>10031</v>
      </c>
      <c r="X2029" s="12"/>
      <c r="Y2029" s="14"/>
      <c r="Z2029" s="14"/>
    </row>
    <row r="2030">
      <c r="A2030" s="8" t="s">
        <v>10032</v>
      </c>
      <c r="B2030" s="8" t="s">
        <v>10033</v>
      </c>
      <c r="C2030" s="8" t="s">
        <v>179</v>
      </c>
      <c r="D2030" s="8" t="s">
        <v>26</v>
      </c>
      <c r="E2030" s="8" t="s">
        <v>10034</v>
      </c>
      <c r="F2030" s="8">
        <v>5.81549845E8</v>
      </c>
      <c r="G2030" s="8" t="s">
        <v>10035</v>
      </c>
      <c r="H2030" s="8" t="s">
        <v>10036</v>
      </c>
      <c r="I2030" s="8" t="s">
        <v>31</v>
      </c>
      <c r="J2030" s="8" t="s">
        <v>86</v>
      </c>
      <c r="K2030" s="10" t="s">
        <v>416</v>
      </c>
      <c r="L2030" s="8" t="s">
        <v>58</v>
      </c>
      <c r="M2030" s="8" t="s">
        <v>35</v>
      </c>
      <c r="N2030" s="11">
        <v>45058.0</v>
      </c>
      <c r="O2030" s="11">
        <v>45084.0</v>
      </c>
      <c r="P2030" s="11">
        <v>45126.0</v>
      </c>
      <c r="Q2030" s="11"/>
      <c r="R2030" s="11"/>
      <c r="S2030" s="12"/>
      <c r="T2030" s="8"/>
      <c r="U2030" s="8" t="s">
        <v>59</v>
      </c>
      <c r="V2030" s="13" t="s">
        <v>10037</v>
      </c>
      <c r="W2030" s="13" t="s">
        <v>10038</v>
      </c>
      <c r="X2030" s="12"/>
      <c r="Y2030" s="14"/>
      <c r="Z2030" s="14"/>
    </row>
    <row r="2031">
      <c r="A2031" s="8" t="s">
        <v>10039</v>
      </c>
      <c r="B2031" s="8" t="s">
        <v>10040</v>
      </c>
      <c r="C2031" s="8" t="s">
        <v>179</v>
      </c>
      <c r="D2031" s="8" t="s">
        <v>26</v>
      </c>
      <c r="E2031" s="8" t="s">
        <v>10041</v>
      </c>
      <c r="F2031" s="8">
        <v>5.62620492E8</v>
      </c>
      <c r="G2031" s="8" t="s">
        <v>10035</v>
      </c>
      <c r="H2031" s="8" t="s">
        <v>10036</v>
      </c>
      <c r="I2031" s="8" t="s">
        <v>31</v>
      </c>
      <c r="J2031" s="8" t="s">
        <v>86</v>
      </c>
      <c r="K2031" s="10" t="s">
        <v>2453</v>
      </c>
      <c r="L2031" s="8" t="s">
        <v>58</v>
      </c>
      <c r="M2031" s="8" t="s">
        <v>35</v>
      </c>
      <c r="N2031" s="11">
        <v>45058.0</v>
      </c>
      <c r="O2031" s="11">
        <v>45090.0</v>
      </c>
      <c r="P2031" s="11">
        <v>45132.0</v>
      </c>
      <c r="Q2031" s="11"/>
      <c r="R2031" s="11"/>
      <c r="S2031" s="12"/>
      <c r="T2031" s="8"/>
      <c r="U2031" s="8" t="s">
        <v>59</v>
      </c>
      <c r="V2031" s="13" t="s">
        <v>10037</v>
      </c>
      <c r="W2031" s="13" t="s">
        <v>10042</v>
      </c>
      <c r="X2031" s="12"/>
      <c r="Y2031" s="14"/>
      <c r="Z2031" s="14"/>
    </row>
    <row r="2032">
      <c r="A2032" s="8" t="s">
        <v>10043</v>
      </c>
      <c r="B2032" s="8" t="s">
        <v>10044</v>
      </c>
      <c r="C2032" s="8" t="s">
        <v>25</v>
      </c>
      <c r="D2032" s="8" t="s">
        <v>26</v>
      </c>
      <c r="E2032" s="8" t="s">
        <v>10045</v>
      </c>
      <c r="F2032" s="8"/>
      <c r="G2032" s="8" t="s">
        <v>31</v>
      </c>
      <c r="H2032" s="8" t="s">
        <v>77</v>
      </c>
      <c r="I2032" s="8" t="s">
        <v>9946</v>
      </c>
      <c r="J2032" s="8" t="s">
        <v>10046</v>
      </c>
      <c r="K2032" s="10" t="s">
        <v>10047</v>
      </c>
      <c r="L2032" s="8" t="s">
        <v>58</v>
      </c>
      <c r="M2032" s="8" t="s">
        <v>35</v>
      </c>
      <c r="N2032" s="11">
        <v>45058.0</v>
      </c>
      <c r="O2032" s="11">
        <v>45105.0</v>
      </c>
      <c r="P2032" s="11">
        <v>45147.0</v>
      </c>
      <c r="Q2032" s="11">
        <v>45103.0</v>
      </c>
      <c r="R2032" s="11">
        <v>45147.0</v>
      </c>
      <c r="S2032" s="12"/>
      <c r="T2032" s="8"/>
      <c r="U2032" s="8" t="s">
        <v>59</v>
      </c>
      <c r="V2032" s="13" t="s">
        <v>38</v>
      </c>
      <c r="W2032" s="13" t="s">
        <v>10048</v>
      </c>
      <c r="X2032" s="12"/>
      <c r="Y2032" s="14"/>
      <c r="Z2032" s="14"/>
    </row>
    <row r="2033">
      <c r="A2033" s="8" t="s">
        <v>10049</v>
      </c>
      <c r="B2033" s="8" t="s">
        <v>10050</v>
      </c>
      <c r="C2033" s="8" t="s">
        <v>25</v>
      </c>
      <c r="D2033" s="8" t="s">
        <v>26</v>
      </c>
      <c r="E2033" s="8" t="s">
        <v>10051</v>
      </c>
      <c r="F2033" s="8" t="s">
        <v>10052</v>
      </c>
      <c r="G2033" s="8" t="s">
        <v>31</v>
      </c>
      <c r="H2033" s="8" t="s">
        <v>542</v>
      </c>
      <c r="I2033" s="8" t="s">
        <v>54</v>
      </c>
      <c r="J2033" s="8" t="s">
        <v>1640</v>
      </c>
      <c r="K2033" s="10" t="s">
        <v>10053</v>
      </c>
      <c r="L2033" s="8" t="s">
        <v>34</v>
      </c>
      <c r="M2033" s="8" t="s">
        <v>35</v>
      </c>
      <c r="N2033" s="11">
        <v>45059.0</v>
      </c>
      <c r="O2033" s="11">
        <v>45122.0</v>
      </c>
      <c r="P2033" s="11">
        <v>45169.0</v>
      </c>
      <c r="Q2033" s="11">
        <v>45123.0</v>
      </c>
      <c r="R2033" s="11">
        <v>45171.0</v>
      </c>
      <c r="S2033" s="12"/>
      <c r="T2033" s="8" t="s">
        <v>1187</v>
      </c>
      <c r="U2033" s="8" t="s">
        <v>10054</v>
      </c>
      <c r="V2033" s="13" t="s">
        <v>545</v>
      </c>
      <c r="W2033" s="13" t="s">
        <v>10055</v>
      </c>
      <c r="X2033" s="12"/>
      <c r="Y2033" s="14"/>
      <c r="Z2033" s="14"/>
    </row>
    <row r="2034">
      <c r="A2034" s="8" t="s">
        <v>10056</v>
      </c>
      <c r="B2034" s="8" t="s">
        <v>10057</v>
      </c>
      <c r="C2034" s="8" t="s">
        <v>179</v>
      </c>
      <c r="D2034" s="8" t="s">
        <v>26</v>
      </c>
      <c r="E2034" s="8" t="s">
        <v>10058</v>
      </c>
      <c r="F2034" s="8">
        <v>5.36290458E9</v>
      </c>
      <c r="G2034" s="8" t="s">
        <v>31</v>
      </c>
      <c r="H2034" s="8" t="s">
        <v>43</v>
      </c>
      <c r="I2034" s="8" t="s">
        <v>202</v>
      </c>
      <c r="J2034" s="8" t="s">
        <v>7570</v>
      </c>
      <c r="K2034" s="10" t="s">
        <v>7571</v>
      </c>
      <c r="L2034" s="8" t="s">
        <v>58</v>
      </c>
      <c r="M2034" s="8" t="s">
        <v>35</v>
      </c>
      <c r="N2034" s="11">
        <v>45059.0</v>
      </c>
      <c r="O2034" s="11">
        <v>45207.0</v>
      </c>
      <c r="P2034" s="11">
        <v>45249.0</v>
      </c>
      <c r="Q2034" s="11"/>
      <c r="R2034" s="11"/>
      <c r="S2034" s="12"/>
      <c r="T2034" s="8"/>
      <c r="U2034" s="8" t="s">
        <v>997</v>
      </c>
      <c r="V2034" s="13" t="s">
        <v>43</v>
      </c>
      <c r="W2034" s="13" t="s">
        <v>10059</v>
      </c>
      <c r="X2034" s="12"/>
      <c r="Y2034" s="14"/>
      <c r="Z2034" s="14"/>
    </row>
    <row r="2035">
      <c r="A2035" s="8" t="s">
        <v>10060</v>
      </c>
      <c r="B2035" s="8" t="s">
        <v>10061</v>
      </c>
      <c r="C2035" s="8" t="s">
        <v>25</v>
      </c>
      <c r="D2035" s="8" t="s">
        <v>26</v>
      </c>
      <c r="E2035" s="8" t="s">
        <v>10062</v>
      </c>
      <c r="F2035" s="8" t="s">
        <v>10063</v>
      </c>
      <c r="G2035" s="8" t="s">
        <v>31</v>
      </c>
      <c r="H2035" s="8" t="s">
        <v>959</v>
      </c>
      <c r="I2035" s="8" t="s">
        <v>6352</v>
      </c>
      <c r="J2035" s="8" t="s">
        <v>6353</v>
      </c>
      <c r="K2035" s="10" t="s">
        <v>9693</v>
      </c>
      <c r="L2035" s="8" t="s">
        <v>58</v>
      </c>
      <c r="M2035" s="8" t="s">
        <v>35</v>
      </c>
      <c r="N2035" s="11">
        <v>45059.0</v>
      </c>
      <c r="O2035" s="11">
        <v>45124.0</v>
      </c>
      <c r="P2035" s="11">
        <v>45166.0</v>
      </c>
      <c r="Q2035" s="11">
        <v>45123.0</v>
      </c>
      <c r="R2035" s="11">
        <v>45166.0</v>
      </c>
      <c r="S2035" s="12"/>
      <c r="T2035" s="8"/>
      <c r="U2035" s="8" t="s">
        <v>1038</v>
      </c>
      <c r="V2035" s="13" t="s">
        <v>1069</v>
      </c>
      <c r="W2035" s="13" t="s">
        <v>10064</v>
      </c>
      <c r="X2035" s="12"/>
      <c r="Y2035" s="14"/>
      <c r="Z2035" s="14"/>
    </row>
    <row r="2036">
      <c r="A2036" s="8" t="s">
        <v>10065</v>
      </c>
      <c r="B2036" s="8" t="s">
        <v>10066</v>
      </c>
      <c r="C2036" s="8" t="s">
        <v>64</v>
      </c>
      <c r="D2036" s="8" t="s">
        <v>26</v>
      </c>
      <c r="E2036" s="8" t="s">
        <v>10067</v>
      </c>
      <c r="F2036" s="9" t="s">
        <v>10068</v>
      </c>
      <c r="G2036" s="8" t="s">
        <v>29</v>
      </c>
      <c r="H2036" s="8" t="s">
        <v>6898</v>
      </c>
      <c r="I2036" s="8" t="s">
        <v>31</v>
      </c>
      <c r="J2036" s="8" t="s">
        <v>136</v>
      </c>
      <c r="K2036" s="10" t="s">
        <v>137</v>
      </c>
      <c r="L2036" s="8" t="s">
        <v>58</v>
      </c>
      <c r="M2036" s="8" t="s">
        <v>35</v>
      </c>
      <c r="N2036" s="11">
        <v>45059.0</v>
      </c>
      <c r="O2036" s="11">
        <v>45124.0</v>
      </c>
      <c r="P2036" s="11">
        <v>45166.0</v>
      </c>
      <c r="Q2036" s="11">
        <v>45125.0</v>
      </c>
      <c r="R2036" s="11">
        <v>45167.0</v>
      </c>
      <c r="S2036" s="12"/>
      <c r="T2036" s="8"/>
      <c r="U2036" s="8" t="s">
        <v>88</v>
      </c>
      <c r="V2036" s="13" t="s">
        <v>38</v>
      </c>
      <c r="W2036" s="13" t="s">
        <v>10069</v>
      </c>
      <c r="X2036" s="12"/>
      <c r="Y2036" s="14"/>
      <c r="Z2036" s="14"/>
    </row>
    <row r="2037">
      <c r="A2037" s="8" t="s">
        <v>10070</v>
      </c>
      <c r="B2037" s="8" t="s">
        <v>10071</v>
      </c>
      <c r="C2037" s="8" t="s">
        <v>179</v>
      </c>
      <c r="D2037" s="8" t="s">
        <v>26</v>
      </c>
      <c r="E2037" s="8" t="s">
        <v>10072</v>
      </c>
      <c r="F2037" s="8">
        <v>5.510872265E9</v>
      </c>
      <c r="G2037" s="8" t="s">
        <v>31</v>
      </c>
      <c r="H2037" s="8" t="s">
        <v>167</v>
      </c>
      <c r="I2037" s="8" t="s">
        <v>230</v>
      </c>
      <c r="J2037" s="8" t="s">
        <v>10073</v>
      </c>
      <c r="K2037" s="10" t="s">
        <v>10074</v>
      </c>
      <c r="L2037" s="8" t="s">
        <v>58</v>
      </c>
      <c r="M2037" s="8" t="s">
        <v>35</v>
      </c>
      <c r="N2037" s="11">
        <v>45059.0</v>
      </c>
      <c r="O2037" s="11">
        <v>45117.0</v>
      </c>
      <c r="P2037" s="11">
        <v>45159.0</v>
      </c>
      <c r="Q2037" s="11"/>
      <c r="R2037" s="11"/>
      <c r="S2037" s="12"/>
      <c r="T2037" s="8"/>
      <c r="U2037" s="8" t="s">
        <v>59</v>
      </c>
      <c r="V2037" s="13" t="s">
        <v>167</v>
      </c>
      <c r="W2037" s="13" t="s">
        <v>10075</v>
      </c>
      <c r="X2037" s="12"/>
      <c r="Y2037" s="14"/>
      <c r="Z2037" s="14"/>
    </row>
    <row r="2038">
      <c r="A2038" s="8" t="s">
        <v>10076</v>
      </c>
      <c r="B2038" s="8" t="s">
        <v>10077</v>
      </c>
      <c r="C2038" s="8" t="s">
        <v>25</v>
      </c>
      <c r="D2038" s="8" t="s">
        <v>26</v>
      </c>
      <c r="E2038" s="8" t="s">
        <v>10078</v>
      </c>
      <c r="F2038" s="8">
        <v>5.520759413E9</v>
      </c>
      <c r="G2038" s="8" t="s">
        <v>31</v>
      </c>
      <c r="H2038" s="8" t="s">
        <v>102</v>
      </c>
      <c r="I2038" s="8" t="s">
        <v>127</v>
      </c>
      <c r="J2038" s="8" t="s">
        <v>128</v>
      </c>
      <c r="K2038" s="10" t="s">
        <v>7832</v>
      </c>
      <c r="L2038" s="8" t="s">
        <v>58</v>
      </c>
      <c r="M2038" s="8" t="s">
        <v>35</v>
      </c>
      <c r="N2038" s="11">
        <v>45060.0</v>
      </c>
      <c r="O2038" s="11">
        <v>45096.0</v>
      </c>
      <c r="P2038" s="11">
        <v>45138.0</v>
      </c>
      <c r="Q2038" s="11">
        <v>45095.0</v>
      </c>
      <c r="R2038" s="11">
        <v>45138.0</v>
      </c>
      <c r="S2038" s="12"/>
      <c r="T2038" s="8"/>
      <c r="U2038" s="8" t="s">
        <v>59</v>
      </c>
      <c r="V2038" s="13" t="s">
        <v>102</v>
      </c>
      <c r="W2038" s="13" t="s">
        <v>10079</v>
      </c>
      <c r="X2038" s="12"/>
      <c r="Y2038" s="14"/>
      <c r="Z2038" s="14"/>
    </row>
    <row r="2039">
      <c r="A2039" s="8" t="s">
        <v>10080</v>
      </c>
      <c r="B2039" s="8" t="s">
        <v>10081</v>
      </c>
      <c r="C2039" s="8" t="s">
        <v>25</v>
      </c>
      <c r="D2039" s="8" t="s">
        <v>26</v>
      </c>
      <c r="E2039" s="8" t="s">
        <v>10082</v>
      </c>
      <c r="F2039" s="8">
        <v>5.37417446E9</v>
      </c>
      <c r="G2039" s="8" t="s">
        <v>31</v>
      </c>
      <c r="H2039" s="8" t="s">
        <v>167</v>
      </c>
      <c r="I2039" s="8" t="s">
        <v>127</v>
      </c>
      <c r="J2039" s="8" t="s">
        <v>128</v>
      </c>
      <c r="K2039" s="10" t="s">
        <v>10083</v>
      </c>
      <c r="L2039" s="8" t="s">
        <v>58</v>
      </c>
      <c r="M2039" s="8" t="s">
        <v>35</v>
      </c>
      <c r="N2039" s="11">
        <v>45060.0</v>
      </c>
      <c r="O2039" s="11">
        <v>45083.0</v>
      </c>
      <c r="P2039" s="11">
        <v>45125.0</v>
      </c>
      <c r="Q2039" s="11">
        <v>45083.0</v>
      </c>
      <c r="R2039" s="11">
        <v>45125.0</v>
      </c>
      <c r="S2039" s="12"/>
      <c r="T2039" s="8"/>
      <c r="U2039" s="8" t="s">
        <v>161</v>
      </c>
      <c r="V2039" s="13" t="s">
        <v>167</v>
      </c>
      <c r="W2039" s="13" t="s">
        <v>10084</v>
      </c>
      <c r="X2039" s="12"/>
      <c r="Y2039" s="14"/>
      <c r="Z2039" s="14"/>
    </row>
    <row r="2040">
      <c r="A2040" s="8" t="s">
        <v>10085</v>
      </c>
      <c r="B2040" s="8" t="s">
        <v>10086</v>
      </c>
      <c r="C2040" s="8" t="s">
        <v>179</v>
      </c>
      <c r="D2040" s="8" t="s">
        <v>26</v>
      </c>
      <c r="E2040" s="8" t="s">
        <v>10087</v>
      </c>
      <c r="F2040" s="8">
        <v>3.024733534E9</v>
      </c>
      <c r="G2040" s="8" t="s">
        <v>315</v>
      </c>
      <c r="H2040" s="8" t="s">
        <v>316</v>
      </c>
      <c r="I2040" s="8" t="s">
        <v>31</v>
      </c>
      <c r="J2040" s="8" t="s">
        <v>32</v>
      </c>
      <c r="K2040" s="10" t="s">
        <v>5071</v>
      </c>
      <c r="L2040" s="8" t="s">
        <v>58</v>
      </c>
      <c r="M2040" s="8" t="s">
        <v>35</v>
      </c>
      <c r="N2040" s="11">
        <v>45060.0</v>
      </c>
      <c r="O2040" s="11">
        <v>45068.0</v>
      </c>
      <c r="P2040" s="11">
        <v>45110.0</v>
      </c>
      <c r="Q2040" s="11"/>
      <c r="R2040" s="11"/>
      <c r="S2040" s="12"/>
      <c r="T2040" s="8"/>
      <c r="U2040" s="8" t="s">
        <v>161</v>
      </c>
      <c r="V2040" s="13" t="s">
        <v>38</v>
      </c>
      <c r="W2040" s="13" t="s">
        <v>10088</v>
      </c>
      <c r="X2040" s="12"/>
      <c r="Y2040" s="14"/>
      <c r="Z2040" s="14"/>
    </row>
    <row r="2041">
      <c r="A2041" s="8" t="s">
        <v>10089</v>
      </c>
      <c r="B2041" s="8" t="s">
        <v>10090</v>
      </c>
      <c r="C2041" s="8" t="s">
        <v>179</v>
      </c>
      <c r="D2041" s="8" t="s">
        <v>26</v>
      </c>
      <c r="E2041" s="8" t="s">
        <v>10091</v>
      </c>
      <c r="F2041" s="8"/>
      <c r="G2041" s="8" t="s">
        <v>315</v>
      </c>
      <c r="H2041" s="8" t="s">
        <v>1242</v>
      </c>
      <c r="I2041" s="8" t="s">
        <v>31</v>
      </c>
      <c r="J2041" s="8" t="s">
        <v>43</v>
      </c>
      <c r="K2041" s="10" t="s">
        <v>8867</v>
      </c>
      <c r="L2041" s="8" t="s">
        <v>58</v>
      </c>
      <c r="M2041" s="8" t="s">
        <v>35</v>
      </c>
      <c r="N2041" s="11">
        <v>45060.0</v>
      </c>
      <c r="O2041" s="11">
        <v>45194.0</v>
      </c>
      <c r="P2041" s="11">
        <v>45240.0</v>
      </c>
      <c r="Q2041" s="11"/>
      <c r="R2041" s="11"/>
      <c r="S2041" s="12"/>
      <c r="T2041" s="8"/>
      <c r="U2041" s="8" t="s">
        <v>130</v>
      </c>
      <c r="V2041" s="13" t="s">
        <v>38</v>
      </c>
      <c r="W2041" s="13" t="s">
        <v>10092</v>
      </c>
      <c r="X2041" s="12"/>
      <c r="Y2041" s="14"/>
      <c r="Z2041" s="14"/>
    </row>
    <row r="2042">
      <c r="A2042" s="8" t="s">
        <v>10093</v>
      </c>
      <c r="B2042" s="8" t="s">
        <v>10094</v>
      </c>
      <c r="C2042" s="8" t="s">
        <v>179</v>
      </c>
      <c r="D2042" s="8" t="s">
        <v>26</v>
      </c>
      <c r="E2042" s="8" t="s">
        <v>10095</v>
      </c>
      <c r="F2042" s="8">
        <v>7.054868633E9</v>
      </c>
      <c r="G2042" s="8" t="s">
        <v>496</v>
      </c>
      <c r="H2042" s="8" t="s">
        <v>497</v>
      </c>
      <c r="I2042" s="8" t="s">
        <v>31</v>
      </c>
      <c r="J2042" s="8" t="s">
        <v>32</v>
      </c>
      <c r="K2042" s="10" t="s">
        <v>1451</v>
      </c>
      <c r="L2042" s="8" t="s">
        <v>58</v>
      </c>
      <c r="M2042" s="8" t="s">
        <v>35</v>
      </c>
      <c r="N2042" s="11">
        <v>45060.0</v>
      </c>
      <c r="O2042" s="11">
        <v>45165.0</v>
      </c>
      <c r="P2042" s="11">
        <v>45207.0</v>
      </c>
      <c r="Q2042" s="11"/>
      <c r="R2042" s="11"/>
      <c r="S2042" s="12"/>
      <c r="T2042" s="8"/>
      <c r="U2042" s="8" t="s">
        <v>59</v>
      </c>
      <c r="V2042" s="13" t="s">
        <v>6955</v>
      </c>
      <c r="W2042" s="13" t="s">
        <v>10096</v>
      </c>
      <c r="X2042" s="12"/>
      <c r="Y2042" s="14"/>
      <c r="Z2042" s="14"/>
    </row>
    <row r="2043">
      <c r="A2043" s="8" t="s">
        <v>10097</v>
      </c>
      <c r="B2043" s="8" t="s">
        <v>10098</v>
      </c>
      <c r="C2043" s="8" t="s">
        <v>179</v>
      </c>
      <c r="D2043" s="8" t="s">
        <v>26</v>
      </c>
      <c r="E2043" s="8" t="s">
        <v>10099</v>
      </c>
      <c r="F2043" s="8" t="s">
        <v>10100</v>
      </c>
      <c r="G2043" s="8" t="s">
        <v>31</v>
      </c>
      <c r="H2043" s="8" t="s">
        <v>220</v>
      </c>
      <c r="I2043" s="8" t="s">
        <v>399</v>
      </c>
      <c r="J2043" s="8" t="s">
        <v>1381</v>
      </c>
      <c r="K2043" s="10" t="s">
        <v>10101</v>
      </c>
      <c r="L2043" s="8" t="s">
        <v>47</v>
      </c>
      <c r="M2043" s="8" t="s">
        <v>48</v>
      </c>
      <c r="N2043" s="11">
        <v>45061.0</v>
      </c>
      <c r="O2043" s="11">
        <v>45173.0</v>
      </c>
      <c r="P2043" s="11">
        <v>45327.0</v>
      </c>
      <c r="Q2043" s="11"/>
      <c r="R2043" s="11"/>
      <c r="S2043" s="12"/>
      <c r="T2043" s="8"/>
      <c r="U2043" s="8" t="s">
        <v>246</v>
      </c>
      <c r="V2043" s="13" t="s">
        <v>220</v>
      </c>
      <c r="W2043" s="13" t="s">
        <v>10102</v>
      </c>
      <c r="X2043" s="12"/>
      <c r="Y2043" s="14"/>
      <c r="Z2043" s="14"/>
    </row>
    <row r="2044">
      <c r="A2044" s="8" t="s">
        <v>10103</v>
      </c>
      <c r="B2044" s="8" t="s">
        <v>10104</v>
      </c>
      <c r="C2044" s="8" t="s">
        <v>25</v>
      </c>
      <c r="D2044" s="8" t="s">
        <v>26</v>
      </c>
      <c r="E2044" s="8" t="s">
        <v>10105</v>
      </c>
      <c r="F2044" s="8">
        <v>7.474326355E9</v>
      </c>
      <c r="G2044" s="8" t="s">
        <v>496</v>
      </c>
      <c r="H2044" s="8" t="s">
        <v>497</v>
      </c>
      <c r="I2044" s="8" t="s">
        <v>31</v>
      </c>
      <c r="J2044" s="8" t="s">
        <v>292</v>
      </c>
      <c r="K2044" s="10" t="s">
        <v>10106</v>
      </c>
      <c r="L2044" s="8" t="s">
        <v>58</v>
      </c>
      <c r="M2044" s="8" t="s">
        <v>35</v>
      </c>
      <c r="N2044" s="11">
        <v>45061.0</v>
      </c>
      <c r="O2044" s="11">
        <v>45117.0</v>
      </c>
      <c r="P2044" s="11">
        <v>45159.0</v>
      </c>
      <c r="Q2044" s="11">
        <v>45116.0</v>
      </c>
      <c r="R2044" s="11">
        <v>45159.0</v>
      </c>
      <c r="S2044" s="12"/>
      <c r="T2044" s="8"/>
      <c r="U2044" s="8" t="s">
        <v>88</v>
      </c>
      <c r="V2044" s="13" t="s">
        <v>500</v>
      </c>
      <c r="W2044" s="13" t="s">
        <v>10107</v>
      </c>
      <c r="X2044" s="12"/>
      <c r="Y2044" s="14"/>
      <c r="Z2044" s="14"/>
    </row>
    <row r="2045">
      <c r="A2045" s="8" t="s">
        <v>10108</v>
      </c>
      <c r="B2045" s="8" t="s">
        <v>10109</v>
      </c>
      <c r="C2045" s="8" t="s">
        <v>179</v>
      </c>
      <c r="D2045" s="8" t="s">
        <v>26</v>
      </c>
      <c r="E2045" s="8" t="s">
        <v>10110</v>
      </c>
      <c r="F2045" s="9" t="s">
        <v>10111</v>
      </c>
      <c r="G2045" s="8" t="s">
        <v>29</v>
      </c>
      <c r="H2045" s="8" t="s">
        <v>6898</v>
      </c>
      <c r="I2045" s="8" t="s">
        <v>31</v>
      </c>
      <c r="J2045" s="8" t="s">
        <v>77</v>
      </c>
      <c r="K2045" s="10" t="s">
        <v>6682</v>
      </c>
      <c r="L2045" s="8" t="s">
        <v>58</v>
      </c>
      <c r="M2045" s="8" t="s">
        <v>35</v>
      </c>
      <c r="N2045" s="11">
        <v>45061.0</v>
      </c>
      <c r="O2045" s="11">
        <v>45153.0</v>
      </c>
      <c r="P2045" s="11">
        <v>45195.0</v>
      </c>
      <c r="Q2045" s="11"/>
      <c r="R2045" s="11"/>
      <c r="S2045" s="12"/>
      <c r="T2045" s="8"/>
      <c r="U2045" s="8" t="s">
        <v>59</v>
      </c>
      <c r="V2045" s="13" t="s">
        <v>38</v>
      </c>
      <c r="W2045" s="13" t="s">
        <v>10112</v>
      </c>
      <c r="X2045" s="12"/>
      <c r="Y2045" s="14"/>
      <c r="Z2045" s="14"/>
    </row>
    <row r="2046">
      <c r="A2046" s="8" t="s">
        <v>10113</v>
      </c>
      <c r="B2046" s="8" t="s">
        <v>10114</v>
      </c>
      <c r="C2046" s="8" t="s">
        <v>179</v>
      </c>
      <c r="D2046" s="8" t="s">
        <v>26</v>
      </c>
      <c r="E2046" s="8" t="s">
        <v>10115</v>
      </c>
      <c r="F2046" s="8">
        <v>6.28366858E8</v>
      </c>
      <c r="G2046" s="8" t="s">
        <v>221</v>
      </c>
      <c r="H2046" s="8" t="s">
        <v>3506</v>
      </c>
      <c r="I2046" s="8" t="s">
        <v>31</v>
      </c>
      <c r="J2046" s="8" t="s">
        <v>77</v>
      </c>
      <c r="K2046" s="10" t="s">
        <v>152</v>
      </c>
      <c r="L2046" s="8" t="s">
        <v>58</v>
      </c>
      <c r="M2046" s="8" t="s">
        <v>35</v>
      </c>
      <c r="N2046" s="11">
        <v>45061.0</v>
      </c>
      <c r="O2046" s="11">
        <v>45180.0</v>
      </c>
      <c r="P2046" s="11">
        <v>45222.0</v>
      </c>
      <c r="Q2046" s="11"/>
      <c r="R2046" s="11"/>
      <c r="S2046" s="12"/>
      <c r="T2046" s="8"/>
      <c r="U2046" s="8" t="s">
        <v>153</v>
      </c>
      <c r="V2046" s="13" t="s">
        <v>3507</v>
      </c>
      <c r="W2046" s="13" t="s">
        <v>10116</v>
      </c>
      <c r="X2046" s="12"/>
      <c r="Y2046" s="14"/>
      <c r="Z2046" s="14"/>
    </row>
    <row r="2047">
      <c r="A2047" s="8" t="s">
        <v>10117</v>
      </c>
      <c r="B2047" s="8" t="s">
        <v>10118</v>
      </c>
      <c r="C2047" s="8" t="s">
        <v>25</v>
      </c>
      <c r="D2047" s="8" t="s">
        <v>26</v>
      </c>
      <c r="E2047" s="8" t="s">
        <v>10119</v>
      </c>
      <c r="F2047" s="8">
        <v>5.374937725E9</v>
      </c>
      <c r="G2047" s="8" t="s">
        <v>31</v>
      </c>
      <c r="H2047" s="8" t="s">
        <v>56</v>
      </c>
      <c r="I2047" s="8" t="s">
        <v>284</v>
      </c>
      <c r="J2047" s="8" t="s">
        <v>1777</v>
      </c>
      <c r="K2047" s="10" t="s">
        <v>9597</v>
      </c>
      <c r="L2047" s="8" t="s">
        <v>58</v>
      </c>
      <c r="M2047" s="8" t="s">
        <v>35</v>
      </c>
      <c r="N2047" s="11">
        <v>45061.0</v>
      </c>
      <c r="O2047" s="11">
        <v>45122.0</v>
      </c>
      <c r="P2047" s="11">
        <v>45164.0</v>
      </c>
      <c r="Q2047" s="11">
        <v>45122.0</v>
      </c>
      <c r="R2047" s="11">
        <v>45164.0</v>
      </c>
      <c r="S2047" s="12"/>
      <c r="T2047" s="8"/>
      <c r="U2047" s="8" t="s">
        <v>1038</v>
      </c>
      <c r="V2047" s="13" t="s">
        <v>102</v>
      </c>
      <c r="W2047" s="13" t="s">
        <v>10120</v>
      </c>
      <c r="X2047" s="12"/>
      <c r="Y2047" s="14"/>
      <c r="Z2047" s="14"/>
    </row>
    <row r="2048">
      <c r="A2048" s="8" t="s">
        <v>10121</v>
      </c>
      <c r="B2048" s="8" t="s">
        <v>10122</v>
      </c>
      <c r="C2048" s="8" t="s">
        <v>179</v>
      </c>
      <c r="D2048" s="8" t="s">
        <v>26</v>
      </c>
      <c r="E2048" s="8" t="s">
        <v>10123</v>
      </c>
      <c r="F2048" s="8">
        <v>1.098936935E9</v>
      </c>
      <c r="G2048" s="8" t="s">
        <v>284</v>
      </c>
      <c r="H2048" s="8" t="s">
        <v>1777</v>
      </c>
      <c r="I2048" s="8" t="s">
        <v>31</v>
      </c>
      <c r="J2048" s="8" t="s">
        <v>43</v>
      </c>
      <c r="K2048" s="10" t="s">
        <v>5289</v>
      </c>
      <c r="L2048" s="8" t="s">
        <v>58</v>
      </c>
      <c r="M2048" s="8" t="s">
        <v>35</v>
      </c>
      <c r="N2048" s="11">
        <v>45061.0</v>
      </c>
      <c r="O2048" s="11">
        <v>45180.0</v>
      </c>
      <c r="P2048" s="11">
        <v>45226.0</v>
      </c>
      <c r="Q2048" s="11"/>
      <c r="R2048" s="11"/>
      <c r="S2048" s="12"/>
      <c r="T2048" s="8"/>
      <c r="U2048" s="8" t="s">
        <v>59</v>
      </c>
      <c r="V2048" s="13" t="s">
        <v>2168</v>
      </c>
      <c r="W2048" s="13" t="s">
        <v>10124</v>
      </c>
      <c r="X2048" s="12"/>
      <c r="Y2048" s="14"/>
      <c r="Z2048" s="14"/>
    </row>
    <row r="2049">
      <c r="A2049" s="8" t="s">
        <v>10125</v>
      </c>
      <c r="B2049" s="8" t="s">
        <v>10126</v>
      </c>
      <c r="C2049" s="8" t="s">
        <v>179</v>
      </c>
      <c r="D2049" s="8" t="s">
        <v>26</v>
      </c>
      <c r="E2049" s="8" t="s">
        <v>10127</v>
      </c>
      <c r="F2049" s="8"/>
      <c r="G2049" s="8" t="s">
        <v>284</v>
      </c>
      <c r="H2049" s="8" t="s">
        <v>1450</v>
      </c>
      <c r="I2049" s="8" t="s">
        <v>31</v>
      </c>
      <c r="J2049" s="8" t="s">
        <v>32</v>
      </c>
      <c r="K2049" s="10" t="s">
        <v>1813</v>
      </c>
      <c r="L2049" s="8" t="s">
        <v>58</v>
      </c>
      <c r="M2049" s="8" t="s">
        <v>35</v>
      </c>
      <c r="N2049" s="11">
        <v>45061.0</v>
      </c>
      <c r="O2049" s="11">
        <v>45207.0</v>
      </c>
      <c r="P2049" s="11">
        <v>45249.0</v>
      </c>
      <c r="Q2049" s="11"/>
      <c r="R2049" s="11"/>
      <c r="S2049" s="12"/>
      <c r="T2049" s="8"/>
      <c r="U2049" s="8" t="s">
        <v>161</v>
      </c>
      <c r="V2049" s="13" t="s">
        <v>38</v>
      </c>
      <c r="W2049" s="13" t="s">
        <v>10128</v>
      </c>
      <c r="X2049" s="12"/>
      <c r="Y2049" s="14"/>
      <c r="Z2049" s="14"/>
    </row>
    <row r="2050">
      <c r="A2050" s="8" t="s">
        <v>10129</v>
      </c>
      <c r="B2050" s="8" t="s">
        <v>10130</v>
      </c>
      <c r="C2050" s="8" t="s">
        <v>179</v>
      </c>
      <c r="D2050" s="8" t="s">
        <v>26</v>
      </c>
      <c r="E2050" s="8" t="s">
        <v>10131</v>
      </c>
      <c r="F2050" s="8">
        <v>5.304647961E9</v>
      </c>
      <c r="G2050" s="8" t="s">
        <v>31</v>
      </c>
      <c r="H2050" s="8" t="s">
        <v>56</v>
      </c>
      <c r="I2050" s="8" t="s">
        <v>6352</v>
      </c>
      <c r="J2050" s="8" t="s">
        <v>6353</v>
      </c>
      <c r="K2050" s="10" t="s">
        <v>9693</v>
      </c>
      <c r="L2050" s="8" t="s">
        <v>58</v>
      </c>
      <c r="M2050" s="8" t="s">
        <v>35</v>
      </c>
      <c r="N2050" s="11">
        <v>45061.0</v>
      </c>
      <c r="O2050" s="11">
        <v>45124.0</v>
      </c>
      <c r="P2050" s="11">
        <v>45166.0</v>
      </c>
      <c r="Q2050" s="11"/>
      <c r="R2050" s="11"/>
      <c r="S2050" s="12"/>
      <c r="T2050" s="8"/>
      <c r="U2050" s="8" t="s">
        <v>1038</v>
      </c>
      <c r="V2050" s="13" t="s">
        <v>10132</v>
      </c>
      <c r="W2050" s="13" t="s">
        <v>10133</v>
      </c>
      <c r="X2050" s="12"/>
      <c r="Y2050" s="14"/>
      <c r="Z2050" s="14"/>
    </row>
    <row r="2051">
      <c r="A2051" s="8" t="s">
        <v>10134</v>
      </c>
      <c r="B2051" s="8" t="s">
        <v>10135</v>
      </c>
      <c r="C2051" s="8" t="s">
        <v>708</v>
      </c>
      <c r="D2051" s="8" t="s">
        <v>26</v>
      </c>
      <c r="E2051" s="8" t="s">
        <v>10136</v>
      </c>
      <c r="F2051" s="8">
        <v>5.08000213E8</v>
      </c>
      <c r="G2051" s="8" t="s">
        <v>277</v>
      </c>
      <c r="H2051" s="8" t="s">
        <v>278</v>
      </c>
      <c r="I2051" s="8" t="s">
        <v>31</v>
      </c>
      <c r="J2051" s="8" t="s">
        <v>292</v>
      </c>
      <c r="K2051" s="10" t="s">
        <v>10137</v>
      </c>
      <c r="L2051" s="8" t="s">
        <v>34</v>
      </c>
      <c r="M2051" s="8" t="s">
        <v>70</v>
      </c>
      <c r="N2051" s="11">
        <v>45061.0</v>
      </c>
      <c r="O2051" s="11">
        <v>45087.0</v>
      </c>
      <c r="P2051" s="11">
        <v>45453.0</v>
      </c>
      <c r="Q2051" s="11">
        <v>45093.0</v>
      </c>
      <c r="R2051" s="11">
        <v>45459.0</v>
      </c>
      <c r="S2051" s="12"/>
      <c r="T2051" s="8" t="s">
        <v>205</v>
      </c>
      <c r="U2051" s="8" t="s">
        <v>205</v>
      </c>
      <c r="V2051" s="13" t="s">
        <v>38</v>
      </c>
      <c r="W2051" s="13" t="s">
        <v>10138</v>
      </c>
      <c r="X2051" s="12"/>
      <c r="Y2051" s="14"/>
      <c r="Z2051" s="14"/>
    </row>
    <row r="2052">
      <c r="A2052" s="8" t="s">
        <v>10139</v>
      </c>
      <c r="B2052" s="8" t="s">
        <v>10140</v>
      </c>
      <c r="C2052" s="8" t="s">
        <v>179</v>
      </c>
      <c r="D2052" s="8" t="s">
        <v>26</v>
      </c>
      <c r="E2052" s="8" t="s">
        <v>10141</v>
      </c>
      <c r="F2052" s="8">
        <v>6.98726562E8</v>
      </c>
      <c r="G2052" s="8" t="s">
        <v>254</v>
      </c>
      <c r="H2052" s="8" t="s">
        <v>1484</v>
      </c>
      <c r="I2052" s="8" t="s">
        <v>31</v>
      </c>
      <c r="J2052" s="8" t="s">
        <v>86</v>
      </c>
      <c r="K2052" s="10" t="s">
        <v>2404</v>
      </c>
      <c r="L2052" s="8" t="s">
        <v>34</v>
      </c>
      <c r="M2052" s="8" t="s">
        <v>70</v>
      </c>
      <c r="N2052" s="11">
        <v>45062.0</v>
      </c>
      <c r="O2052" s="11">
        <v>45103.0</v>
      </c>
      <c r="P2052" s="11">
        <v>45632.0</v>
      </c>
      <c r="Q2052" s="11"/>
      <c r="R2052" s="11"/>
      <c r="S2052" s="12"/>
      <c r="T2052" s="8" t="s">
        <v>36</v>
      </c>
      <c r="U2052" s="8" t="s">
        <v>2405</v>
      </c>
      <c r="V2052" s="13" t="s">
        <v>1487</v>
      </c>
      <c r="W2052" s="13" t="s">
        <v>10142</v>
      </c>
      <c r="X2052" s="12"/>
      <c r="Y2052" s="14"/>
      <c r="Z2052" s="14"/>
    </row>
    <row r="2053">
      <c r="A2053" s="8" t="s">
        <v>10143</v>
      </c>
      <c r="B2053" s="8" t="s">
        <v>10144</v>
      </c>
      <c r="C2053" s="8" t="s">
        <v>179</v>
      </c>
      <c r="D2053" s="8" t="s">
        <v>26</v>
      </c>
      <c r="E2053" s="8" t="s">
        <v>10145</v>
      </c>
      <c r="F2053" s="8">
        <v>5.309674709E9</v>
      </c>
      <c r="G2053" s="8" t="s">
        <v>31</v>
      </c>
      <c r="H2053" s="8" t="s">
        <v>542</v>
      </c>
      <c r="I2053" s="8" t="s">
        <v>6352</v>
      </c>
      <c r="J2053" s="8" t="s">
        <v>6353</v>
      </c>
      <c r="K2053" s="10" t="s">
        <v>9693</v>
      </c>
      <c r="L2053" s="8" t="s">
        <v>58</v>
      </c>
      <c r="M2053" s="8" t="s">
        <v>35</v>
      </c>
      <c r="N2053" s="11">
        <v>45062.0</v>
      </c>
      <c r="O2053" s="11">
        <v>45124.0</v>
      </c>
      <c r="P2053" s="11">
        <v>45166.0</v>
      </c>
      <c r="Q2053" s="11"/>
      <c r="R2053" s="11"/>
      <c r="S2053" s="12"/>
      <c r="T2053" s="8"/>
      <c r="U2053" s="8" t="s">
        <v>1038</v>
      </c>
      <c r="V2053" s="13" t="s">
        <v>545</v>
      </c>
      <c r="W2053" s="13" t="s">
        <v>10146</v>
      </c>
      <c r="X2053" s="12"/>
      <c r="Y2053" s="14"/>
      <c r="Z2053" s="14"/>
    </row>
    <row r="2054">
      <c r="A2054" s="8" t="s">
        <v>10147</v>
      </c>
      <c r="B2054" s="8" t="s">
        <v>10148</v>
      </c>
      <c r="C2054" s="8" t="s">
        <v>25</v>
      </c>
      <c r="D2054" s="8" t="s">
        <v>26</v>
      </c>
      <c r="E2054" s="8" t="s">
        <v>10149</v>
      </c>
      <c r="F2054" s="8">
        <v>7.56815758E8</v>
      </c>
      <c r="G2054" s="8" t="s">
        <v>127</v>
      </c>
      <c r="H2054" s="8" t="s">
        <v>159</v>
      </c>
      <c r="I2054" s="8" t="s">
        <v>31</v>
      </c>
      <c r="J2054" s="8" t="s">
        <v>167</v>
      </c>
      <c r="K2054" s="10" t="s">
        <v>8437</v>
      </c>
      <c r="L2054" s="8" t="s">
        <v>58</v>
      </c>
      <c r="M2054" s="8" t="s">
        <v>35</v>
      </c>
      <c r="N2054" s="11">
        <v>45062.0</v>
      </c>
      <c r="O2054" s="11">
        <v>45124.0</v>
      </c>
      <c r="P2054" s="11">
        <v>45166.0</v>
      </c>
      <c r="Q2054" s="11">
        <v>45123.0</v>
      </c>
      <c r="R2054" s="11">
        <v>45166.0</v>
      </c>
      <c r="S2054" s="12"/>
      <c r="T2054" s="8"/>
      <c r="U2054" s="8" t="s">
        <v>130</v>
      </c>
      <c r="V2054" s="13" t="s">
        <v>159</v>
      </c>
      <c r="W2054" s="13" t="s">
        <v>10150</v>
      </c>
      <c r="X2054" s="12"/>
      <c r="Y2054" s="14"/>
      <c r="Z2054" s="14"/>
    </row>
    <row r="2055">
      <c r="A2055" s="8" t="s">
        <v>10151</v>
      </c>
      <c r="B2055" s="8" t="s">
        <v>10152</v>
      </c>
      <c r="C2055" s="8" t="s">
        <v>64</v>
      </c>
      <c r="D2055" s="8" t="s">
        <v>26</v>
      </c>
      <c r="E2055" s="8" t="s">
        <v>10153</v>
      </c>
      <c r="F2055" s="8">
        <v>1.3365421507E10</v>
      </c>
      <c r="G2055" s="8" t="s">
        <v>8344</v>
      </c>
      <c r="H2055" s="8" t="s">
        <v>10154</v>
      </c>
      <c r="I2055" s="8" t="s">
        <v>31</v>
      </c>
      <c r="J2055" s="8" t="s">
        <v>77</v>
      </c>
      <c r="K2055" s="10" t="s">
        <v>2537</v>
      </c>
      <c r="L2055" s="8" t="s">
        <v>58</v>
      </c>
      <c r="M2055" s="8" t="s">
        <v>35</v>
      </c>
      <c r="N2055" s="11">
        <v>45062.0</v>
      </c>
      <c r="O2055" s="11">
        <v>45120.0</v>
      </c>
      <c r="P2055" s="11">
        <v>45162.0</v>
      </c>
      <c r="Q2055" s="11">
        <v>45121.0</v>
      </c>
      <c r="R2055" s="11">
        <v>45162.0</v>
      </c>
      <c r="S2055" s="12"/>
      <c r="T2055" s="8"/>
      <c r="U2055" s="8" t="s">
        <v>88</v>
      </c>
      <c r="V2055" s="13" t="s">
        <v>10155</v>
      </c>
      <c r="W2055" s="13" t="s">
        <v>10156</v>
      </c>
      <c r="X2055" s="12"/>
      <c r="Y2055" s="14"/>
      <c r="Z2055" s="14"/>
    </row>
    <row r="2056">
      <c r="A2056" s="8" t="s">
        <v>10157</v>
      </c>
      <c r="B2056" s="8" t="s">
        <v>10158</v>
      </c>
      <c r="C2056" s="8" t="s">
        <v>25</v>
      </c>
      <c r="D2056" s="8" t="s">
        <v>26</v>
      </c>
      <c r="E2056" s="8" t="s">
        <v>10159</v>
      </c>
      <c r="F2056" s="8">
        <v>7.35388236E8</v>
      </c>
      <c r="G2056" s="8" t="s">
        <v>127</v>
      </c>
      <c r="H2056" s="8" t="s">
        <v>159</v>
      </c>
      <c r="I2056" s="8" t="s">
        <v>31</v>
      </c>
      <c r="J2056" s="8" t="s">
        <v>86</v>
      </c>
      <c r="K2056" s="10" t="s">
        <v>3621</v>
      </c>
      <c r="L2056" s="8" t="s">
        <v>58</v>
      </c>
      <c r="M2056" s="8" t="s">
        <v>35</v>
      </c>
      <c r="N2056" s="11">
        <v>45062.0</v>
      </c>
      <c r="O2056" s="11">
        <v>45110.0</v>
      </c>
      <c r="P2056" s="11">
        <v>45152.0</v>
      </c>
      <c r="Q2056" s="11">
        <v>45110.0</v>
      </c>
      <c r="R2056" s="11">
        <v>45152.0</v>
      </c>
      <c r="S2056" s="12"/>
      <c r="T2056" s="8"/>
      <c r="U2056" s="8" t="s">
        <v>153</v>
      </c>
      <c r="V2056" s="13" t="s">
        <v>159</v>
      </c>
      <c r="W2056" s="13" t="s">
        <v>10160</v>
      </c>
      <c r="X2056" s="12"/>
      <c r="Y2056" s="14"/>
      <c r="Z2056" s="14"/>
    </row>
    <row r="2057">
      <c r="A2057" s="8" t="s">
        <v>10161</v>
      </c>
      <c r="B2057" s="8" t="s">
        <v>10162</v>
      </c>
      <c r="C2057" s="8" t="s">
        <v>25</v>
      </c>
      <c r="D2057" s="8" t="s">
        <v>26</v>
      </c>
      <c r="E2057" s="8" t="s">
        <v>10163</v>
      </c>
      <c r="F2057" s="8">
        <v>5.325025154E9</v>
      </c>
      <c r="G2057" s="8" t="s">
        <v>31</v>
      </c>
      <c r="H2057" s="8" t="s">
        <v>292</v>
      </c>
      <c r="I2057" s="8" t="s">
        <v>284</v>
      </c>
      <c r="J2057" s="8" t="s">
        <v>1777</v>
      </c>
      <c r="K2057" s="10" t="s">
        <v>9597</v>
      </c>
      <c r="L2057" s="8" t="s">
        <v>58</v>
      </c>
      <c r="M2057" s="8" t="s">
        <v>35</v>
      </c>
      <c r="N2057" s="11">
        <v>45062.0</v>
      </c>
      <c r="O2057" s="11">
        <v>45122.0</v>
      </c>
      <c r="P2057" s="11">
        <v>45164.0</v>
      </c>
      <c r="Q2057" s="11">
        <v>45122.0</v>
      </c>
      <c r="R2057" s="11">
        <v>45164.0</v>
      </c>
      <c r="S2057" s="12"/>
      <c r="T2057" s="8"/>
      <c r="U2057" s="8" t="s">
        <v>1038</v>
      </c>
      <c r="V2057" s="13" t="s">
        <v>292</v>
      </c>
      <c r="W2057" s="13" t="s">
        <v>10164</v>
      </c>
      <c r="X2057" s="12"/>
      <c r="Y2057" s="14"/>
      <c r="Z2057" s="14"/>
    </row>
    <row r="2058">
      <c r="A2058" s="8" t="s">
        <v>10165</v>
      </c>
      <c r="B2058" s="8" t="s">
        <v>10166</v>
      </c>
      <c r="C2058" s="8" t="s">
        <v>25</v>
      </c>
      <c r="D2058" s="8" t="s">
        <v>26</v>
      </c>
      <c r="E2058" s="8" t="s">
        <v>10167</v>
      </c>
      <c r="F2058" s="8">
        <v>1.092973175E9</v>
      </c>
      <c r="G2058" s="8" t="s">
        <v>284</v>
      </c>
      <c r="H2058" s="8" t="s">
        <v>625</v>
      </c>
      <c r="I2058" s="8" t="s">
        <v>31</v>
      </c>
      <c r="J2058" s="8" t="s">
        <v>292</v>
      </c>
      <c r="K2058" s="10" t="s">
        <v>10106</v>
      </c>
      <c r="L2058" s="8" t="s">
        <v>58</v>
      </c>
      <c r="M2058" s="8" t="s">
        <v>35</v>
      </c>
      <c r="N2058" s="11">
        <v>45062.0</v>
      </c>
      <c r="O2058" s="11">
        <v>45117.0</v>
      </c>
      <c r="P2058" s="11">
        <v>45159.0</v>
      </c>
      <c r="Q2058" s="11">
        <v>45118.0</v>
      </c>
      <c r="R2058" s="11">
        <v>45159.0</v>
      </c>
      <c r="S2058" s="12"/>
      <c r="T2058" s="8"/>
      <c r="U2058" s="8" t="s">
        <v>88</v>
      </c>
      <c r="V2058" s="13" t="s">
        <v>626</v>
      </c>
      <c r="W2058" s="13" t="s">
        <v>10168</v>
      </c>
      <c r="X2058" s="12"/>
      <c r="Y2058" s="14"/>
      <c r="Z2058" s="14"/>
    </row>
    <row r="2059">
      <c r="A2059" s="8" t="s">
        <v>10169</v>
      </c>
      <c r="B2059" s="8" t="s">
        <v>10170</v>
      </c>
      <c r="C2059" s="8" t="s">
        <v>25</v>
      </c>
      <c r="D2059" s="8" t="s">
        <v>26</v>
      </c>
      <c r="E2059" s="8" t="s">
        <v>10171</v>
      </c>
      <c r="F2059" s="8"/>
      <c r="G2059" s="8" t="s">
        <v>54</v>
      </c>
      <c r="H2059" s="8" t="s">
        <v>135</v>
      </c>
      <c r="I2059" s="8" t="s">
        <v>31</v>
      </c>
      <c r="J2059" s="8" t="s">
        <v>1119</v>
      </c>
      <c r="K2059" s="10" t="s">
        <v>6015</v>
      </c>
      <c r="L2059" s="8" t="s">
        <v>58</v>
      </c>
      <c r="M2059" s="8" t="s">
        <v>35</v>
      </c>
      <c r="N2059" s="11">
        <v>45062.0</v>
      </c>
      <c r="O2059" s="11">
        <v>45128.0</v>
      </c>
      <c r="P2059" s="11">
        <v>45170.0</v>
      </c>
      <c r="Q2059" s="11">
        <v>45132.0</v>
      </c>
      <c r="R2059" s="11">
        <v>45174.0</v>
      </c>
      <c r="S2059" s="12"/>
      <c r="T2059" s="8"/>
      <c r="U2059" s="8" t="s">
        <v>59</v>
      </c>
      <c r="V2059" s="13" t="s">
        <v>38</v>
      </c>
      <c r="W2059" s="13" t="s">
        <v>10172</v>
      </c>
      <c r="X2059" s="12"/>
      <c r="Y2059" s="14"/>
      <c r="Z2059" s="14"/>
    </row>
    <row r="2060">
      <c r="A2060" s="8" t="s">
        <v>10173</v>
      </c>
      <c r="B2060" s="8" t="s">
        <v>10174</v>
      </c>
      <c r="C2060" s="8" t="s">
        <v>25</v>
      </c>
      <c r="D2060" s="8" t="s">
        <v>26</v>
      </c>
      <c r="E2060" s="8" t="s">
        <v>10175</v>
      </c>
      <c r="F2060" s="8">
        <v>5.442855521E9</v>
      </c>
      <c r="G2060" s="8" t="s">
        <v>31</v>
      </c>
      <c r="H2060" s="8" t="s">
        <v>542</v>
      </c>
      <c r="I2060" s="8" t="s">
        <v>284</v>
      </c>
      <c r="J2060" s="8" t="s">
        <v>854</v>
      </c>
      <c r="K2060" s="10" t="s">
        <v>9314</v>
      </c>
      <c r="L2060" s="8" t="s">
        <v>58</v>
      </c>
      <c r="M2060" s="8" t="s">
        <v>35</v>
      </c>
      <c r="N2060" s="11">
        <v>45062.0</v>
      </c>
      <c r="O2060" s="11">
        <v>45108.0</v>
      </c>
      <c r="P2060" s="11">
        <v>45152.0</v>
      </c>
      <c r="Q2060" s="11">
        <v>45112.0</v>
      </c>
      <c r="R2060" s="11">
        <v>45156.0</v>
      </c>
      <c r="S2060" s="12"/>
      <c r="T2060" s="8"/>
      <c r="U2060" s="8" t="s">
        <v>59</v>
      </c>
      <c r="V2060" s="13" t="s">
        <v>545</v>
      </c>
      <c r="W2060" s="13" t="s">
        <v>10176</v>
      </c>
      <c r="X2060" s="12"/>
      <c r="Y2060" s="14"/>
      <c r="Z2060" s="14"/>
    </row>
    <row r="2061">
      <c r="A2061" s="8" t="s">
        <v>10177</v>
      </c>
      <c r="B2061" s="8" t="s">
        <v>3702</v>
      </c>
      <c r="C2061" s="8" t="s">
        <v>64</v>
      </c>
      <c r="D2061" s="8" t="s">
        <v>26</v>
      </c>
      <c r="E2061" s="8" t="s">
        <v>10178</v>
      </c>
      <c r="F2061" s="8"/>
      <c r="G2061" s="8" t="s">
        <v>284</v>
      </c>
      <c r="H2061" s="8" t="s">
        <v>1422</v>
      </c>
      <c r="I2061" s="8" t="s">
        <v>31</v>
      </c>
      <c r="J2061" s="8" t="s">
        <v>43</v>
      </c>
      <c r="K2061" s="10" t="s">
        <v>9489</v>
      </c>
      <c r="L2061" s="8" t="s">
        <v>58</v>
      </c>
      <c r="M2061" s="8" t="s">
        <v>35</v>
      </c>
      <c r="N2061" s="11">
        <v>45062.0</v>
      </c>
      <c r="O2061" s="11">
        <v>45110.0</v>
      </c>
      <c r="P2061" s="11">
        <v>45156.0</v>
      </c>
      <c r="Q2061" s="11">
        <v>45119.0</v>
      </c>
      <c r="R2061" s="11">
        <v>45165.0</v>
      </c>
      <c r="S2061" s="12"/>
      <c r="T2061" s="8"/>
      <c r="U2061" s="8" t="s">
        <v>59</v>
      </c>
      <c r="V2061" s="13" t="s">
        <v>38</v>
      </c>
      <c r="W2061" s="13" t="s">
        <v>10179</v>
      </c>
      <c r="X2061" s="12"/>
      <c r="Y2061" s="14"/>
      <c r="Z2061" s="14"/>
    </row>
    <row r="2062">
      <c r="A2062" s="8" t="s">
        <v>10180</v>
      </c>
      <c r="B2062" s="8" t="s">
        <v>10181</v>
      </c>
      <c r="C2062" s="8" t="s">
        <v>25</v>
      </c>
      <c r="D2062" s="8" t="s">
        <v>26</v>
      </c>
      <c r="E2062" s="8" t="s">
        <v>10182</v>
      </c>
      <c r="F2062" s="8">
        <v>5.391070222E9</v>
      </c>
      <c r="G2062" s="8" t="s">
        <v>31</v>
      </c>
      <c r="H2062" s="8" t="s">
        <v>959</v>
      </c>
      <c r="I2062" s="8" t="s">
        <v>54</v>
      </c>
      <c r="J2062" s="8" t="s">
        <v>244</v>
      </c>
      <c r="K2062" s="10" t="s">
        <v>10183</v>
      </c>
      <c r="L2062" s="8" t="s">
        <v>34</v>
      </c>
      <c r="M2062" s="8" t="s">
        <v>35</v>
      </c>
      <c r="N2062" s="11">
        <v>45062.0</v>
      </c>
      <c r="O2062" s="11">
        <v>45108.0</v>
      </c>
      <c r="P2062" s="11">
        <v>45191.0</v>
      </c>
      <c r="Q2062" s="11">
        <v>45110.0</v>
      </c>
      <c r="R2062" s="11">
        <v>45191.0</v>
      </c>
      <c r="S2062" s="12"/>
      <c r="T2062" s="8" t="s">
        <v>1187</v>
      </c>
      <c r="U2062" s="8" t="s">
        <v>10184</v>
      </c>
      <c r="V2062" s="13" t="s">
        <v>1069</v>
      </c>
      <c r="W2062" s="13" t="s">
        <v>10185</v>
      </c>
      <c r="X2062" s="12"/>
      <c r="Y2062" s="14"/>
      <c r="Z2062" s="14"/>
    </row>
    <row r="2063">
      <c r="A2063" s="8" t="s">
        <v>10186</v>
      </c>
      <c r="B2063" s="8" t="s">
        <v>10187</v>
      </c>
      <c r="C2063" s="8" t="s">
        <v>25</v>
      </c>
      <c r="D2063" s="8" t="s">
        <v>26</v>
      </c>
      <c r="E2063" s="8" t="s">
        <v>10188</v>
      </c>
      <c r="F2063" s="8">
        <v>6.28809987E8</v>
      </c>
      <c r="G2063" s="8" t="s">
        <v>84</v>
      </c>
      <c r="H2063" s="8" t="s">
        <v>619</v>
      </c>
      <c r="I2063" s="8" t="s">
        <v>31</v>
      </c>
      <c r="J2063" s="8" t="s">
        <v>292</v>
      </c>
      <c r="K2063" s="10" t="s">
        <v>7161</v>
      </c>
      <c r="L2063" s="8" t="s">
        <v>58</v>
      </c>
      <c r="M2063" s="8" t="s">
        <v>35</v>
      </c>
      <c r="N2063" s="11">
        <v>45062.0</v>
      </c>
      <c r="O2063" s="11">
        <v>45144.0</v>
      </c>
      <c r="P2063" s="11">
        <v>45186.0</v>
      </c>
      <c r="Q2063" s="11">
        <v>45150.0</v>
      </c>
      <c r="R2063" s="11">
        <v>45190.0</v>
      </c>
      <c r="S2063" s="12"/>
      <c r="T2063" s="8"/>
      <c r="U2063" s="8" t="s">
        <v>88</v>
      </c>
      <c r="V2063" s="13" t="s">
        <v>7349</v>
      </c>
      <c r="W2063" s="13" t="s">
        <v>10189</v>
      </c>
      <c r="X2063" s="12"/>
      <c r="Y2063" s="14"/>
      <c r="Z2063" s="14"/>
    </row>
    <row r="2064">
      <c r="A2064" s="8" t="s">
        <v>10190</v>
      </c>
      <c r="B2064" s="8" t="s">
        <v>10191</v>
      </c>
      <c r="C2064" s="8" t="s">
        <v>25</v>
      </c>
      <c r="D2064" s="8" t="s">
        <v>26</v>
      </c>
      <c r="E2064" s="8" t="s">
        <v>10192</v>
      </c>
      <c r="F2064" s="8">
        <v>6.35151854E8</v>
      </c>
      <c r="G2064" s="8" t="s">
        <v>1620</v>
      </c>
      <c r="H2064" s="8" t="s">
        <v>3655</v>
      </c>
      <c r="I2064" s="8" t="s">
        <v>31</v>
      </c>
      <c r="J2064" s="8" t="s">
        <v>86</v>
      </c>
      <c r="K2064" s="10" t="s">
        <v>2453</v>
      </c>
      <c r="L2064" s="8" t="s">
        <v>58</v>
      </c>
      <c r="M2064" s="8" t="s">
        <v>35</v>
      </c>
      <c r="N2064" s="11">
        <v>45062.0</v>
      </c>
      <c r="O2064" s="11">
        <v>45090.0</v>
      </c>
      <c r="P2064" s="11">
        <v>45132.0</v>
      </c>
      <c r="Q2064" s="11">
        <v>45090.0</v>
      </c>
      <c r="R2064" s="11">
        <v>45132.0</v>
      </c>
      <c r="S2064" s="12"/>
      <c r="T2064" s="8"/>
      <c r="U2064" s="8" t="s">
        <v>59</v>
      </c>
      <c r="V2064" s="13" t="s">
        <v>3656</v>
      </c>
      <c r="W2064" s="13" t="s">
        <v>10193</v>
      </c>
      <c r="X2064" s="12"/>
      <c r="Y2064" s="14"/>
      <c r="Z2064" s="14"/>
    </row>
    <row r="2065">
      <c r="A2065" s="8" t="s">
        <v>10194</v>
      </c>
      <c r="B2065" s="8" t="s">
        <v>10195</v>
      </c>
      <c r="C2065" s="8" t="s">
        <v>25</v>
      </c>
      <c r="D2065" s="8" t="s">
        <v>26</v>
      </c>
      <c r="E2065" s="8" t="s">
        <v>10196</v>
      </c>
      <c r="F2065" s="8">
        <v>9.10493826E8</v>
      </c>
      <c r="G2065" s="8" t="s">
        <v>118</v>
      </c>
      <c r="H2065" s="8" t="s">
        <v>119</v>
      </c>
      <c r="I2065" s="8" t="s">
        <v>31</v>
      </c>
      <c r="J2065" s="8" t="s">
        <v>86</v>
      </c>
      <c r="K2065" s="10" t="s">
        <v>416</v>
      </c>
      <c r="L2065" s="8" t="s">
        <v>58</v>
      </c>
      <c r="M2065" s="8" t="s">
        <v>35</v>
      </c>
      <c r="N2065" s="11">
        <v>45062.0</v>
      </c>
      <c r="O2065" s="11">
        <v>45162.0</v>
      </c>
      <c r="P2065" s="11">
        <v>45204.0</v>
      </c>
      <c r="Q2065" s="11">
        <v>45163.0</v>
      </c>
      <c r="R2065" s="11">
        <v>45204.0</v>
      </c>
      <c r="S2065" s="12"/>
      <c r="T2065" s="8"/>
      <c r="U2065" s="8" t="s">
        <v>59</v>
      </c>
      <c r="V2065" s="13" t="s">
        <v>10197</v>
      </c>
      <c r="W2065" s="13" t="s">
        <v>10198</v>
      </c>
      <c r="X2065" s="12"/>
      <c r="Y2065" s="14"/>
      <c r="Z2065" s="14"/>
    </row>
    <row r="2066">
      <c r="A2066" s="8" t="s">
        <v>10199</v>
      </c>
      <c r="B2066" s="8" t="s">
        <v>10200</v>
      </c>
      <c r="C2066" s="8" t="s">
        <v>64</v>
      </c>
      <c r="D2066" s="8" t="s">
        <v>26</v>
      </c>
      <c r="E2066" s="8" t="s">
        <v>10201</v>
      </c>
      <c r="F2066" s="8" t="s">
        <v>10202</v>
      </c>
      <c r="G2066" s="8" t="s">
        <v>54</v>
      </c>
      <c r="H2066" s="8" t="s">
        <v>135</v>
      </c>
      <c r="I2066" s="8" t="s">
        <v>31</v>
      </c>
      <c r="J2066" s="8" t="s">
        <v>1119</v>
      </c>
      <c r="K2066" s="10" t="s">
        <v>6015</v>
      </c>
      <c r="L2066" s="8" t="s">
        <v>58</v>
      </c>
      <c r="M2066" s="8" t="s">
        <v>35</v>
      </c>
      <c r="N2066" s="11">
        <v>45062.0</v>
      </c>
      <c r="O2066" s="11">
        <v>45128.0</v>
      </c>
      <c r="P2066" s="11">
        <v>45170.0</v>
      </c>
      <c r="Q2066" s="11">
        <v>45133.0</v>
      </c>
      <c r="R2066" s="11">
        <v>45175.0</v>
      </c>
      <c r="S2066" s="12"/>
      <c r="T2066" s="8"/>
      <c r="U2066" s="8" t="s">
        <v>59</v>
      </c>
      <c r="V2066" s="13" t="s">
        <v>358</v>
      </c>
      <c r="W2066" s="13" t="s">
        <v>10203</v>
      </c>
      <c r="X2066" s="12"/>
      <c r="Y2066" s="14"/>
      <c r="Z2066" s="14"/>
    </row>
    <row r="2067">
      <c r="A2067" s="8" t="s">
        <v>10204</v>
      </c>
      <c r="B2067" s="8" t="s">
        <v>10205</v>
      </c>
      <c r="C2067" s="8" t="s">
        <v>25</v>
      </c>
      <c r="D2067" s="8" t="s">
        <v>26</v>
      </c>
      <c r="E2067" s="8" t="s">
        <v>10206</v>
      </c>
      <c r="F2067" s="8">
        <v>9.3757152E7</v>
      </c>
      <c r="G2067" s="8" t="s">
        <v>54</v>
      </c>
      <c r="H2067" s="8" t="s">
        <v>55</v>
      </c>
      <c r="I2067" s="8" t="s">
        <v>31</v>
      </c>
      <c r="J2067" s="8" t="s">
        <v>77</v>
      </c>
      <c r="K2067" s="10" t="s">
        <v>2555</v>
      </c>
      <c r="L2067" s="8" t="s">
        <v>58</v>
      </c>
      <c r="M2067" s="8" t="s">
        <v>35</v>
      </c>
      <c r="N2067" s="11">
        <v>45063.0</v>
      </c>
      <c r="O2067" s="11">
        <v>45117.0</v>
      </c>
      <c r="P2067" s="11">
        <v>45159.0</v>
      </c>
      <c r="Q2067" s="11">
        <v>45116.0</v>
      </c>
      <c r="R2067" s="11">
        <v>45159.0</v>
      </c>
      <c r="S2067" s="12"/>
      <c r="T2067" s="8"/>
      <c r="U2067" s="8" t="s">
        <v>371</v>
      </c>
      <c r="V2067" s="13" t="s">
        <v>10207</v>
      </c>
      <c r="W2067" s="13" t="s">
        <v>10208</v>
      </c>
      <c r="X2067" s="12"/>
      <c r="Y2067" s="14"/>
      <c r="Z2067" s="14"/>
    </row>
    <row r="2068">
      <c r="A2068" s="8" t="s">
        <v>10209</v>
      </c>
      <c r="B2068" s="8" t="s">
        <v>10210</v>
      </c>
      <c r="C2068" s="8" t="s">
        <v>25</v>
      </c>
      <c r="D2068" s="8" t="s">
        <v>26</v>
      </c>
      <c r="E2068" s="8" t="s">
        <v>10211</v>
      </c>
      <c r="F2068" s="8">
        <v>9.5147928E7</v>
      </c>
      <c r="G2068" s="8" t="s">
        <v>54</v>
      </c>
      <c r="H2068" s="8" t="s">
        <v>135</v>
      </c>
      <c r="I2068" s="8" t="s">
        <v>31</v>
      </c>
      <c r="J2068" s="8" t="s">
        <v>542</v>
      </c>
      <c r="K2068" s="10" t="s">
        <v>10212</v>
      </c>
      <c r="L2068" s="8" t="s">
        <v>58</v>
      </c>
      <c r="M2068" s="8" t="s">
        <v>35</v>
      </c>
      <c r="N2068" s="11">
        <v>45063.0</v>
      </c>
      <c r="O2068" s="11">
        <v>45110.0</v>
      </c>
      <c r="P2068" s="11">
        <v>45152.0</v>
      </c>
      <c r="Q2068" s="11">
        <v>45111.0</v>
      </c>
      <c r="R2068" s="11">
        <v>45152.0</v>
      </c>
      <c r="S2068" s="12"/>
      <c r="T2068" s="8"/>
      <c r="U2068" s="8" t="s">
        <v>59</v>
      </c>
      <c r="V2068" s="13" t="s">
        <v>138</v>
      </c>
      <c r="W2068" s="13" t="s">
        <v>10213</v>
      </c>
      <c r="X2068" s="12"/>
      <c r="Y2068" s="14"/>
      <c r="Z2068" s="14"/>
    </row>
    <row r="2069">
      <c r="A2069" s="8" t="s">
        <v>10214</v>
      </c>
      <c r="B2069" s="8" t="s">
        <v>10215</v>
      </c>
      <c r="C2069" s="8" t="s">
        <v>25</v>
      </c>
      <c r="D2069" s="8" t="s">
        <v>26</v>
      </c>
      <c r="E2069" s="8" t="s">
        <v>10216</v>
      </c>
      <c r="F2069" s="8"/>
      <c r="G2069" s="8" t="s">
        <v>31</v>
      </c>
      <c r="H2069" s="8" t="s">
        <v>77</v>
      </c>
      <c r="I2069" s="8" t="s">
        <v>44</v>
      </c>
      <c r="J2069" s="8" t="s">
        <v>881</v>
      </c>
      <c r="K2069" s="10" t="s">
        <v>10217</v>
      </c>
      <c r="L2069" s="8" t="s">
        <v>58</v>
      </c>
      <c r="M2069" s="8" t="s">
        <v>35</v>
      </c>
      <c r="N2069" s="11">
        <v>45063.0</v>
      </c>
      <c r="O2069" s="11">
        <v>45139.0</v>
      </c>
      <c r="P2069" s="11">
        <v>45181.0</v>
      </c>
      <c r="Q2069" s="11">
        <v>45139.0</v>
      </c>
      <c r="R2069" s="11">
        <v>45181.0</v>
      </c>
      <c r="S2069" s="12"/>
      <c r="T2069" s="8"/>
      <c r="U2069" s="8" t="s">
        <v>371</v>
      </c>
      <c r="V2069" s="13" t="s">
        <v>38</v>
      </c>
      <c r="W2069" s="13" t="s">
        <v>10218</v>
      </c>
      <c r="X2069" s="12"/>
      <c r="Y2069" s="14"/>
      <c r="Z2069" s="14"/>
    </row>
    <row r="2070">
      <c r="A2070" s="8" t="s">
        <v>10219</v>
      </c>
      <c r="B2070" s="8" t="s">
        <v>10220</v>
      </c>
      <c r="C2070" s="8" t="s">
        <v>179</v>
      </c>
      <c r="D2070" s="8" t="s">
        <v>26</v>
      </c>
      <c r="E2070" s="8" t="s">
        <v>10221</v>
      </c>
      <c r="F2070" s="8">
        <v>5.367129156E9</v>
      </c>
      <c r="G2070" s="8" t="s">
        <v>31</v>
      </c>
      <c r="H2070" s="8" t="s">
        <v>86</v>
      </c>
      <c r="I2070" s="8" t="s">
        <v>284</v>
      </c>
      <c r="J2070" s="8" t="s">
        <v>854</v>
      </c>
      <c r="K2070" s="10" t="s">
        <v>10222</v>
      </c>
      <c r="L2070" s="8" t="s">
        <v>47</v>
      </c>
      <c r="M2070" s="8" t="s">
        <v>35</v>
      </c>
      <c r="N2070" s="11">
        <v>45063.0</v>
      </c>
      <c r="O2070" s="11">
        <v>45087.0</v>
      </c>
      <c r="P2070" s="11">
        <v>45170.0</v>
      </c>
      <c r="Q2070" s="11"/>
      <c r="R2070" s="11"/>
      <c r="S2070" s="12"/>
      <c r="T2070" s="8"/>
      <c r="U2070" s="8" t="s">
        <v>10223</v>
      </c>
      <c r="V2070" s="13" t="s">
        <v>175</v>
      </c>
      <c r="W2070" s="13" t="s">
        <v>10224</v>
      </c>
      <c r="X2070" s="12"/>
      <c r="Y2070" s="14"/>
      <c r="Z2070" s="14"/>
    </row>
    <row r="2071">
      <c r="A2071" s="8" t="s">
        <v>10225</v>
      </c>
      <c r="B2071" s="8" t="s">
        <v>10226</v>
      </c>
      <c r="C2071" s="8" t="s">
        <v>25</v>
      </c>
      <c r="D2071" s="8" t="s">
        <v>26</v>
      </c>
      <c r="E2071" s="8" t="s">
        <v>10227</v>
      </c>
      <c r="F2071" s="8">
        <v>5.300832996E9</v>
      </c>
      <c r="G2071" s="8" t="s">
        <v>31</v>
      </c>
      <c r="H2071" s="8" t="s">
        <v>77</v>
      </c>
      <c r="I2071" s="8" t="s">
        <v>44</v>
      </c>
      <c r="J2071" s="8" t="s">
        <v>881</v>
      </c>
      <c r="K2071" s="10" t="s">
        <v>10217</v>
      </c>
      <c r="L2071" s="8" t="s">
        <v>58</v>
      </c>
      <c r="M2071" s="8" t="s">
        <v>35</v>
      </c>
      <c r="N2071" s="11">
        <v>45063.0</v>
      </c>
      <c r="O2071" s="11">
        <v>45139.0</v>
      </c>
      <c r="P2071" s="11">
        <v>45181.0</v>
      </c>
      <c r="Q2071" s="11">
        <v>45139.0</v>
      </c>
      <c r="R2071" s="11">
        <v>45181.0</v>
      </c>
      <c r="S2071" s="12"/>
      <c r="T2071" s="8"/>
      <c r="U2071" s="8" t="s">
        <v>371</v>
      </c>
      <c r="V2071" s="13" t="s">
        <v>77</v>
      </c>
      <c r="W2071" s="13" t="s">
        <v>10228</v>
      </c>
      <c r="X2071" s="12"/>
      <c r="Y2071" s="14"/>
      <c r="Z2071" s="14"/>
    </row>
    <row r="2072">
      <c r="A2072" s="8" t="s">
        <v>10229</v>
      </c>
      <c r="B2072" s="8" t="s">
        <v>10230</v>
      </c>
      <c r="C2072" s="8" t="s">
        <v>179</v>
      </c>
      <c r="D2072" s="8" t="s">
        <v>26</v>
      </c>
      <c r="E2072" s="8" t="s">
        <v>10231</v>
      </c>
      <c r="F2072" s="8">
        <v>5.1644063E7</v>
      </c>
      <c r="G2072" s="8" t="s">
        <v>54</v>
      </c>
      <c r="H2072" s="8" t="s">
        <v>135</v>
      </c>
      <c r="I2072" s="8" t="s">
        <v>31</v>
      </c>
      <c r="J2072" s="8" t="s">
        <v>43</v>
      </c>
      <c r="K2072" s="10" t="s">
        <v>10232</v>
      </c>
      <c r="L2072" s="8" t="s">
        <v>58</v>
      </c>
      <c r="M2072" s="8" t="s">
        <v>35</v>
      </c>
      <c r="N2072" s="11">
        <v>45063.0</v>
      </c>
      <c r="O2072" s="11">
        <v>45131.0</v>
      </c>
      <c r="P2072" s="11">
        <v>45177.0</v>
      </c>
      <c r="Q2072" s="11"/>
      <c r="R2072" s="11"/>
      <c r="S2072" s="12"/>
      <c r="T2072" s="8"/>
      <c r="U2072" s="8" t="s">
        <v>130</v>
      </c>
      <c r="V2072" s="13" t="s">
        <v>190</v>
      </c>
      <c r="W2072" s="13" t="s">
        <v>10233</v>
      </c>
      <c r="X2072" s="12"/>
      <c r="Y2072" s="14"/>
      <c r="Z2072" s="14"/>
    </row>
    <row r="2073">
      <c r="A2073" s="8" t="s">
        <v>10234</v>
      </c>
      <c r="B2073" s="8" t="s">
        <v>10235</v>
      </c>
      <c r="C2073" s="8" t="s">
        <v>25</v>
      </c>
      <c r="D2073" s="8" t="s">
        <v>26</v>
      </c>
      <c r="E2073" s="8" t="s">
        <v>10236</v>
      </c>
      <c r="F2073" s="8">
        <v>5.3863637E9</v>
      </c>
      <c r="G2073" s="8" t="s">
        <v>31</v>
      </c>
      <c r="H2073" s="8" t="s">
        <v>86</v>
      </c>
      <c r="I2073" s="8" t="s">
        <v>284</v>
      </c>
      <c r="J2073" s="8" t="s">
        <v>589</v>
      </c>
      <c r="K2073" s="10" t="s">
        <v>9155</v>
      </c>
      <c r="L2073" s="8" t="s">
        <v>58</v>
      </c>
      <c r="M2073" s="8" t="s">
        <v>35</v>
      </c>
      <c r="N2073" s="11">
        <v>45063.0</v>
      </c>
      <c r="O2073" s="11">
        <v>45092.0</v>
      </c>
      <c r="P2073" s="11">
        <v>45134.0</v>
      </c>
      <c r="Q2073" s="11">
        <v>45093.0</v>
      </c>
      <c r="R2073" s="11">
        <v>45134.0</v>
      </c>
      <c r="S2073" s="12"/>
      <c r="T2073" s="8"/>
      <c r="U2073" s="8" t="s">
        <v>632</v>
      </c>
      <c r="V2073" s="13" t="s">
        <v>175</v>
      </c>
      <c r="W2073" s="13" t="s">
        <v>10237</v>
      </c>
      <c r="X2073" s="12"/>
      <c r="Y2073" s="14"/>
      <c r="Z2073" s="14"/>
    </row>
    <row r="2074">
      <c r="A2074" s="8" t="s">
        <v>10238</v>
      </c>
      <c r="B2074" s="8" t="s">
        <v>10239</v>
      </c>
      <c r="C2074" s="8" t="s">
        <v>25</v>
      </c>
      <c r="D2074" s="8" t="s">
        <v>26</v>
      </c>
      <c r="E2074" s="8" t="s">
        <v>10240</v>
      </c>
      <c r="F2074" s="8">
        <v>5.466275754E9</v>
      </c>
      <c r="G2074" s="8" t="s">
        <v>31</v>
      </c>
      <c r="H2074" s="8" t="s">
        <v>86</v>
      </c>
      <c r="I2074" s="8" t="s">
        <v>284</v>
      </c>
      <c r="J2074" s="8" t="s">
        <v>589</v>
      </c>
      <c r="K2074" s="10" t="s">
        <v>10241</v>
      </c>
      <c r="L2074" s="8" t="s">
        <v>58</v>
      </c>
      <c r="M2074" s="8" t="s">
        <v>35</v>
      </c>
      <c r="N2074" s="11">
        <v>45063.0</v>
      </c>
      <c r="O2074" s="11">
        <v>45107.0</v>
      </c>
      <c r="P2074" s="11">
        <v>45149.0</v>
      </c>
      <c r="Q2074" s="11">
        <v>45107.0</v>
      </c>
      <c r="R2074" s="11">
        <v>45149.0</v>
      </c>
      <c r="S2074" s="12"/>
      <c r="T2074" s="8"/>
      <c r="U2074" s="8" t="s">
        <v>161</v>
      </c>
      <c r="V2074" s="13" t="s">
        <v>175</v>
      </c>
      <c r="W2074" s="13" t="s">
        <v>10242</v>
      </c>
      <c r="X2074" s="12"/>
      <c r="Y2074" s="14"/>
      <c r="Z2074" s="14"/>
    </row>
    <row r="2075">
      <c r="A2075" s="8" t="s">
        <v>10243</v>
      </c>
      <c r="B2075" s="8" t="s">
        <v>10244</v>
      </c>
      <c r="C2075" s="8" t="s">
        <v>25</v>
      </c>
      <c r="D2075" s="8" t="s">
        <v>26</v>
      </c>
      <c r="E2075" s="8" t="s">
        <v>10245</v>
      </c>
      <c r="F2075" s="8">
        <v>6.28442393E8</v>
      </c>
      <c r="G2075" s="8" t="s">
        <v>221</v>
      </c>
      <c r="H2075" s="8" t="s">
        <v>1812</v>
      </c>
      <c r="I2075" s="8" t="s">
        <v>31</v>
      </c>
      <c r="J2075" s="8" t="s">
        <v>292</v>
      </c>
      <c r="K2075" s="10" t="s">
        <v>10106</v>
      </c>
      <c r="L2075" s="8" t="s">
        <v>58</v>
      </c>
      <c r="M2075" s="8" t="s">
        <v>35</v>
      </c>
      <c r="N2075" s="11">
        <v>45063.0</v>
      </c>
      <c r="O2075" s="11">
        <v>45117.0</v>
      </c>
      <c r="P2075" s="11">
        <v>45159.0</v>
      </c>
      <c r="Q2075" s="11">
        <v>45118.0</v>
      </c>
      <c r="R2075" s="11">
        <v>45159.0</v>
      </c>
      <c r="S2075" s="12"/>
      <c r="T2075" s="8"/>
      <c r="U2075" s="8" t="s">
        <v>88</v>
      </c>
      <c r="V2075" s="13" t="s">
        <v>2060</v>
      </c>
      <c r="W2075" s="13" t="s">
        <v>10246</v>
      </c>
      <c r="X2075" s="12"/>
      <c r="Y2075" s="14"/>
      <c r="Z2075" s="14"/>
    </row>
    <row r="2076">
      <c r="A2076" s="8" t="s">
        <v>10247</v>
      </c>
      <c r="B2076" s="8" t="s">
        <v>10248</v>
      </c>
      <c r="C2076" s="8" t="s">
        <v>25</v>
      </c>
      <c r="D2076" s="8" t="s">
        <v>26</v>
      </c>
      <c r="E2076" s="8" t="s">
        <v>10249</v>
      </c>
      <c r="F2076" s="8">
        <v>5.36813398E9</v>
      </c>
      <c r="G2076" s="8" t="s">
        <v>31</v>
      </c>
      <c r="H2076" s="8" t="s">
        <v>77</v>
      </c>
      <c r="I2076" s="8" t="s">
        <v>44</v>
      </c>
      <c r="J2076" s="8" t="s">
        <v>1993</v>
      </c>
      <c r="K2076" s="10" t="s">
        <v>10250</v>
      </c>
      <c r="L2076" s="8" t="s">
        <v>58</v>
      </c>
      <c r="M2076" s="8" t="s">
        <v>35</v>
      </c>
      <c r="N2076" s="11">
        <v>45063.0</v>
      </c>
      <c r="O2076" s="11">
        <v>45109.0</v>
      </c>
      <c r="P2076" s="11">
        <v>45151.0</v>
      </c>
      <c r="Q2076" s="11">
        <v>45110.0</v>
      </c>
      <c r="R2076" s="11">
        <v>45151.0</v>
      </c>
      <c r="S2076" s="12"/>
      <c r="T2076" s="8"/>
      <c r="U2076" s="8" t="s">
        <v>371</v>
      </c>
      <c r="V2076" s="13" t="s">
        <v>77</v>
      </c>
      <c r="W2076" s="13" t="s">
        <v>10251</v>
      </c>
      <c r="X2076" s="12"/>
      <c r="Y2076" s="14"/>
      <c r="Z2076" s="14"/>
    </row>
    <row r="2077">
      <c r="A2077" s="8" t="s">
        <v>10252</v>
      </c>
      <c r="B2077" s="8" t="s">
        <v>10253</v>
      </c>
      <c r="C2077" s="8" t="s">
        <v>25</v>
      </c>
      <c r="D2077" s="8" t="s">
        <v>26</v>
      </c>
      <c r="E2077" s="8" t="s">
        <v>10254</v>
      </c>
      <c r="F2077" s="9" t="s">
        <v>10255</v>
      </c>
      <c r="G2077" s="8" t="s">
        <v>127</v>
      </c>
      <c r="H2077" s="8" t="s">
        <v>6099</v>
      </c>
      <c r="I2077" s="8" t="s">
        <v>31</v>
      </c>
      <c r="J2077" s="8" t="s">
        <v>292</v>
      </c>
      <c r="K2077" s="10" t="s">
        <v>10106</v>
      </c>
      <c r="L2077" s="8" t="s">
        <v>58</v>
      </c>
      <c r="M2077" s="8" t="s">
        <v>35</v>
      </c>
      <c r="N2077" s="11">
        <v>45063.0</v>
      </c>
      <c r="O2077" s="11">
        <v>45117.0</v>
      </c>
      <c r="P2077" s="11">
        <v>45159.0</v>
      </c>
      <c r="Q2077" s="11">
        <v>45118.0</v>
      </c>
      <c r="R2077" s="11">
        <v>45159.0</v>
      </c>
      <c r="S2077" s="12"/>
      <c r="T2077" s="8"/>
      <c r="U2077" s="8" t="s">
        <v>88</v>
      </c>
      <c r="V2077" s="13" t="s">
        <v>6995</v>
      </c>
      <c r="W2077" s="13" t="s">
        <v>10256</v>
      </c>
      <c r="X2077" s="12"/>
      <c r="Y2077" s="14"/>
      <c r="Z2077" s="14"/>
    </row>
    <row r="2078">
      <c r="A2078" s="8" t="s">
        <v>10257</v>
      </c>
      <c r="B2078" s="8" t="s">
        <v>10258</v>
      </c>
      <c r="C2078" s="8" t="s">
        <v>179</v>
      </c>
      <c r="D2078" s="8" t="s">
        <v>26</v>
      </c>
      <c r="E2078" s="8" t="s">
        <v>10259</v>
      </c>
      <c r="F2078" s="8">
        <v>7.20336723E8</v>
      </c>
      <c r="G2078" s="8" t="s">
        <v>127</v>
      </c>
      <c r="H2078" s="8" t="s">
        <v>6099</v>
      </c>
      <c r="I2078" s="8" t="s">
        <v>31</v>
      </c>
      <c r="J2078" s="8" t="s">
        <v>292</v>
      </c>
      <c r="K2078" s="10" t="s">
        <v>10106</v>
      </c>
      <c r="L2078" s="8" t="s">
        <v>58</v>
      </c>
      <c r="M2078" s="8" t="s">
        <v>35</v>
      </c>
      <c r="N2078" s="11">
        <v>45063.0</v>
      </c>
      <c r="O2078" s="11">
        <v>45117.0</v>
      </c>
      <c r="P2078" s="11">
        <v>45159.0</v>
      </c>
      <c r="Q2078" s="11"/>
      <c r="R2078" s="11"/>
      <c r="S2078" s="12"/>
      <c r="T2078" s="8"/>
      <c r="U2078" s="8" t="s">
        <v>88</v>
      </c>
      <c r="V2078" s="13" t="s">
        <v>6995</v>
      </c>
      <c r="W2078" s="13" t="s">
        <v>10260</v>
      </c>
      <c r="X2078" s="12"/>
      <c r="Y2078" s="14"/>
      <c r="Z2078" s="14"/>
    </row>
    <row r="2079">
      <c r="A2079" s="8" t="s">
        <v>10261</v>
      </c>
      <c r="B2079" s="8" t="s">
        <v>10262</v>
      </c>
      <c r="C2079" s="8" t="s">
        <v>25</v>
      </c>
      <c r="D2079" s="8" t="s">
        <v>26</v>
      </c>
      <c r="E2079" s="8" t="s">
        <v>10263</v>
      </c>
      <c r="F2079" s="8"/>
      <c r="G2079" s="8" t="s">
        <v>496</v>
      </c>
      <c r="H2079" s="8" t="s">
        <v>497</v>
      </c>
      <c r="I2079" s="8" t="s">
        <v>31</v>
      </c>
      <c r="J2079" s="8" t="s">
        <v>1274</v>
      </c>
      <c r="K2079" s="10" t="s">
        <v>4366</v>
      </c>
      <c r="L2079" s="8" t="s">
        <v>58</v>
      </c>
      <c r="M2079" s="8" t="s">
        <v>35</v>
      </c>
      <c r="N2079" s="11">
        <v>45063.0</v>
      </c>
      <c r="O2079" s="11">
        <v>45096.0</v>
      </c>
      <c r="P2079" s="11">
        <v>45138.0</v>
      </c>
      <c r="Q2079" s="11">
        <v>45095.0</v>
      </c>
      <c r="R2079" s="11">
        <v>45138.0</v>
      </c>
      <c r="S2079" s="12"/>
      <c r="T2079" s="8"/>
      <c r="U2079" s="8" t="s">
        <v>1038</v>
      </c>
      <c r="V2079" s="13" t="s">
        <v>38</v>
      </c>
      <c r="W2079" s="13" t="s">
        <v>10264</v>
      </c>
      <c r="X2079" s="12"/>
      <c r="Y2079" s="14"/>
      <c r="Z2079" s="14"/>
    </row>
    <row r="2080">
      <c r="A2080" s="8" t="s">
        <v>10265</v>
      </c>
      <c r="B2080" s="8" t="s">
        <v>10266</v>
      </c>
      <c r="C2080" s="8" t="s">
        <v>251</v>
      </c>
      <c r="D2080" s="8" t="s">
        <v>26</v>
      </c>
      <c r="E2080" s="8" t="s">
        <v>10267</v>
      </c>
      <c r="F2080" s="8">
        <v>5.056267884E9</v>
      </c>
      <c r="G2080" s="8" t="s">
        <v>31</v>
      </c>
      <c r="H2080" s="8" t="s">
        <v>56</v>
      </c>
      <c r="I2080" s="8" t="s">
        <v>127</v>
      </c>
      <c r="J2080" s="8" t="s">
        <v>128</v>
      </c>
      <c r="K2080" s="10" t="s">
        <v>10268</v>
      </c>
      <c r="L2080" s="8" t="s">
        <v>58</v>
      </c>
      <c r="M2080" s="8" t="s">
        <v>35</v>
      </c>
      <c r="N2080" s="11">
        <v>45063.0</v>
      </c>
      <c r="O2080" s="11">
        <v>45096.0</v>
      </c>
      <c r="P2080" s="11">
        <v>45138.0</v>
      </c>
      <c r="Q2080" s="11"/>
      <c r="R2080" s="11"/>
      <c r="S2080" s="12"/>
      <c r="T2080" s="8"/>
      <c r="U2080" s="8" t="s">
        <v>185</v>
      </c>
      <c r="V2080" s="13" t="s">
        <v>56</v>
      </c>
      <c r="W2080" s="13" t="s">
        <v>10269</v>
      </c>
      <c r="X2080" s="12"/>
      <c r="Y2080" s="14"/>
      <c r="Z2080" s="14"/>
    </row>
    <row r="2081">
      <c r="A2081" s="8" t="s">
        <v>10270</v>
      </c>
      <c r="B2081" s="8" t="s">
        <v>10271</v>
      </c>
      <c r="C2081" s="8" t="s">
        <v>64</v>
      </c>
      <c r="D2081" s="8" t="s">
        <v>26</v>
      </c>
      <c r="E2081" s="8" t="s">
        <v>10272</v>
      </c>
      <c r="F2081" s="8">
        <v>7.69016341E8</v>
      </c>
      <c r="G2081" s="8" t="s">
        <v>127</v>
      </c>
      <c r="H2081" s="8" t="s">
        <v>128</v>
      </c>
      <c r="I2081" s="8" t="s">
        <v>31</v>
      </c>
      <c r="J2081" s="8" t="s">
        <v>32</v>
      </c>
      <c r="K2081" s="10" t="s">
        <v>8594</v>
      </c>
      <c r="L2081" s="8" t="s">
        <v>58</v>
      </c>
      <c r="M2081" s="8" t="s">
        <v>35</v>
      </c>
      <c r="N2081" s="11">
        <v>45063.0</v>
      </c>
      <c r="O2081" s="11">
        <v>45130.0</v>
      </c>
      <c r="P2081" s="11">
        <v>45172.0</v>
      </c>
      <c r="Q2081" s="11">
        <v>45132.0</v>
      </c>
      <c r="R2081" s="11">
        <v>45174.0</v>
      </c>
      <c r="S2081" s="12"/>
      <c r="T2081" s="8"/>
      <c r="U2081" s="8" t="s">
        <v>59</v>
      </c>
      <c r="V2081" s="13" t="s">
        <v>1473</v>
      </c>
      <c r="W2081" s="13" t="s">
        <v>10273</v>
      </c>
      <c r="X2081" s="12"/>
      <c r="Y2081" s="14"/>
      <c r="Z2081" s="14"/>
    </row>
    <row r="2082">
      <c r="A2082" s="8" t="s">
        <v>10274</v>
      </c>
      <c r="B2082" s="8" t="s">
        <v>10275</v>
      </c>
      <c r="C2082" s="8" t="s">
        <v>179</v>
      </c>
      <c r="D2082" s="8" t="s">
        <v>26</v>
      </c>
      <c r="E2082" s="8" t="s">
        <v>10276</v>
      </c>
      <c r="F2082" s="8"/>
      <c r="G2082" s="8" t="s">
        <v>31</v>
      </c>
      <c r="H2082" s="8" t="s">
        <v>43</v>
      </c>
      <c r="I2082" s="8" t="s">
        <v>202</v>
      </c>
      <c r="J2082" s="8" t="s">
        <v>7570</v>
      </c>
      <c r="K2082" s="10" t="s">
        <v>7571</v>
      </c>
      <c r="L2082" s="8" t="s">
        <v>58</v>
      </c>
      <c r="M2082" s="8" t="s">
        <v>35</v>
      </c>
      <c r="N2082" s="11">
        <v>45063.0</v>
      </c>
      <c r="O2082" s="11">
        <v>45207.0</v>
      </c>
      <c r="P2082" s="11">
        <v>45249.0</v>
      </c>
      <c r="Q2082" s="11"/>
      <c r="R2082" s="11"/>
      <c r="S2082" s="12"/>
      <c r="T2082" s="8"/>
      <c r="U2082" s="8" t="s">
        <v>997</v>
      </c>
      <c r="V2082" s="13" t="s">
        <v>38</v>
      </c>
      <c r="W2082" s="13" t="s">
        <v>10277</v>
      </c>
      <c r="X2082" s="12"/>
      <c r="Y2082" s="14"/>
      <c r="Z2082" s="14"/>
    </row>
    <row r="2083">
      <c r="A2083" s="8" t="s">
        <v>10278</v>
      </c>
      <c r="B2083" s="8" t="s">
        <v>10279</v>
      </c>
      <c r="C2083" s="8" t="s">
        <v>179</v>
      </c>
      <c r="D2083" s="8" t="s">
        <v>26</v>
      </c>
      <c r="E2083" s="8" t="s">
        <v>10280</v>
      </c>
      <c r="F2083" s="8">
        <v>7.75532304E8</v>
      </c>
      <c r="G2083" s="8" t="s">
        <v>127</v>
      </c>
      <c r="H2083" s="8" t="s">
        <v>128</v>
      </c>
      <c r="I2083" s="8" t="s">
        <v>31</v>
      </c>
      <c r="J2083" s="8" t="s">
        <v>136</v>
      </c>
      <c r="K2083" s="10" t="s">
        <v>5299</v>
      </c>
      <c r="L2083" s="8" t="s">
        <v>58</v>
      </c>
      <c r="M2083" s="8" t="s">
        <v>35</v>
      </c>
      <c r="N2083" s="11">
        <v>45063.0</v>
      </c>
      <c r="O2083" s="11">
        <v>45201.0</v>
      </c>
      <c r="P2083" s="11">
        <v>45243.0</v>
      </c>
      <c r="Q2083" s="11"/>
      <c r="R2083" s="11"/>
      <c r="S2083" s="12"/>
      <c r="T2083" s="8"/>
      <c r="U2083" s="8" t="s">
        <v>59</v>
      </c>
      <c r="V2083" s="13" t="s">
        <v>1473</v>
      </c>
      <c r="W2083" s="13" t="s">
        <v>10281</v>
      </c>
      <c r="X2083" s="12"/>
      <c r="Y2083" s="14"/>
      <c r="Z2083" s="14"/>
    </row>
    <row r="2084">
      <c r="A2084" s="8" t="s">
        <v>10282</v>
      </c>
      <c r="B2084" s="8" t="s">
        <v>10283</v>
      </c>
      <c r="C2084" s="8" t="s">
        <v>179</v>
      </c>
      <c r="D2084" s="8" t="s">
        <v>26</v>
      </c>
      <c r="E2084" s="8" t="s">
        <v>10284</v>
      </c>
      <c r="F2084" s="8">
        <v>9.59515911E8</v>
      </c>
      <c r="G2084" s="8" t="s">
        <v>660</v>
      </c>
      <c r="H2084" s="8" t="s">
        <v>661</v>
      </c>
      <c r="I2084" s="8" t="s">
        <v>31</v>
      </c>
      <c r="J2084" s="8" t="s">
        <v>542</v>
      </c>
      <c r="K2084" s="10" t="s">
        <v>8953</v>
      </c>
      <c r="L2084" s="8" t="s">
        <v>34</v>
      </c>
      <c r="M2084" s="8" t="s">
        <v>70</v>
      </c>
      <c r="N2084" s="11">
        <v>45063.0</v>
      </c>
      <c r="O2084" s="11">
        <v>45078.0</v>
      </c>
      <c r="P2084" s="11">
        <v>45435.0</v>
      </c>
      <c r="Q2084" s="11"/>
      <c r="R2084" s="11"/>
      <c r="S2084" s="12"/>
      <c r="T2084" s="8" t="s">
        <v>36</v>
      </c>
      <c r="U2084" s="8" t="s">
        <v>8954</v>
      </c>
      <c r="V2084" s="13" t="s">
        <v>38</v>
      </c>
      <c r="W2084" s="13" t="s">
        <v>10285</v>
      </c>
      <c r="X2084" s="12"/>
      <c r="Y2084" s="14"/>
      <c r="Z2084" s="14"/>
    </row>
    <row r="2085">
      <c r="A2085" s="8" t="s">
        <v>10286</v>
      </c>
      <c r="B2085" s="8" t="s">
        <v>10287</v>
      </c>
      <c r="C2085" s="8" t="s">
        <v>708</v>
      </c>
      <c r="D2085" s="8" t="s">
        <v>26</v>
      </c>
      <c r="E2085" s="8" t="s">
        <v>10288</v>
      </c>
      <c r="F2085" s="8"/>
      <c r="G2085" s="8" t="s">
        <v>31</v>
      </c>
      <c r="H2085" s="8" t="s">
        <v>56</v>
      </c>
      <c r="I2085" s="8" t="s">
        <v>202</v>
      </c>
      <c r="J2085" s="8" t="s">
        <v>203</v>
      </c>
      <c r="K2085" s="10" t="s">
        <v>10289</v>
      </c>
      <c r="L2085" s="8" t="s">
        <v>34</v>
      </c>
      <c r="M2085" s="8" t="s">
        <v>70</v>
      </c>
      <c r="N2085" s="11">
        <v>45063.0</v>
      </c>
      <c r="O2085" s="11">
        <v>45061.0</v>
      </c>
      <c r="P2085" s="11">
        <v>45394.0</v>
      </c>
      <c r="Q2085" s="11">
        <v>45177.0</v>
      </c>
      <c r="R2085" s="11">
        <v>45540.0</v>
      </c>
      <c r="S2085" s="12"/>
      <c r="T2085" s="8" t="s">
        <v>446</v>
      </c>
      <c r="U2085" s="8" t="s">
        <v>10290</v>
      </c>
      <c r="V2085" s="13" t="s">
        <v>56</v>
      </c>
      <c r="W2085" s="13" t="s">
        <v>10291</v>
      </c>
      <c r="X2085" s="12"/>
      <c r="Y2085" s="14"/>
      <c r="Z2085" s="14"/>
    </row>
    <row r="2086">
      <c r="A2086" s="8" t="s">
        <v>10292</v>
      </c>
      <c r="B2086" s="8" t="s">
        <v>10293</v>
      </c>
      <c r="C2086" s="8" t="s">
        <v>25</v>
      </c>
      <c r="D2086" s="8" t="s">
        <v>26</v>
      </c>
      <c r="E2086" s="8" t="s">
        <v>10294</v>
      </c>
      <c r="F2086" s="8">
        <v>5.437846128E9</v>
      </c>
      <c r="G2086" s="8" t="s">
        <v>31</v>
      </c>
      <c r="H2086" s="8" t="s">
        <v>77</v>
      </c>
      <c r="I2086" s="8" t="s">
        <v>127</v>
      </c>
      <c r="J2086" s="8" t="s">
        <v>128</v>
      </c>
      <c r="K2086" s="10" t="s">
        <v>10295</v>
      </c>
      <c r="L2086" s="8" t="s">
        <v>58</v>
      </c>
      <c r="M2086" s="8" t="s">
        <v>35</v>
      </c>
      <c r="N2086" s="11">
        <v>45064.0</v>
      </c>
      <c r="O2086" s="11">
        <v>45096.0</v>
      </c>
      <c r="P2086" s="11">
        <v>45138.0</v>
      </c>
      <c r="Q2086" s="11">
        <v>45102.0</v>
      </c>
      <c r="R2086" s="11">
        <v>45142.0</v>
      </c>
      <c r="S2086" s="12"/>
      <c r="T2086" s="8"/>
      <c r="U2086" s="8" t="s">
        <v>59</v>
      </c>
      <c r="V2086" s="13" t="s">
        <v>77</v>
      </c>
      <c r="W2086" s="13" t="s">
        <v>10296</v>
      </c>
      <c r="X2086" s="12"/>
      <c r="Y2086" s="14"/>
      <c r="Z2086" s="14"/>
    </row>
    <row r="2087">
      <c r="A2087" s="8" t="s">
        <v>10297</v>
      </c>
      <c r="B2087" s="8" t="s">
        <v>10298</v>
      </c>
      <c r="C2087" s="8" t="s">
        <v>179</v>
      </c>
      <c r="D2087" s="8" t="s">
        <v>26</v>
      </c>
      <c r="E2087" s="8" t="s">
        <v>10299</v>
      </c>
      <c r="F2087" s="8"/>
      <c r="G2087" s="8" t="s">
        <v>31</v>
      </c>
      <c r="H2087" s="8" t="s">
        <v>32</v>
      </c>
      <c r="I2087" s="8" t="s">
        <v>127</v>
      </c>
      <c r="J2087" s="8" t="s">
        <v>1771</v>
      </c>
      <c r="K2087" s="10" t="s">
        <v>10300</v>
      </c>
      <c r="L2087" s="8" t="s">
        <v>34</v>
      </c>
      <c r="M2087" s="8" t="s">
        <v>48</v>
      </c>
      <c r="N2087" s="11">
        <v>45064.0</v>
      </c>
      <c r="O2087" s="11">
        <v>45117.0</v>
      </c>
      <c r="P2087" s="11">
        <v>45268.0</v>
      </c>
      <c r="Q2087" s="11"/>
      <c r="R2087" s="11"/>
      <c r="S2087" s="12"/>
      <c r="T2087" s="8" t="s">
        <v>1187</v>
      </c>
      <c r="U2087" s="8" t="s">
        <v>10301</v>
      </c>
      <c r="V2087" s="13" t="s">
        <v>38</v>
      </c>
      <c r="W2087" s="13" t="s">
        <v>10302</v>
      </c>
      <c r="X2087" s="12"/>
      <c r="Y2087" s="14"/>
      <c r="Z2087" s="14"/>
    </row>
    <row r="2088">
      <c r="A2088" s="8" t="s">
        <v>10303</v>
      </c>
      <c r="B2088" s="8" t="s">
        <v>10304</v>
      </c>
      <c r="C2088" s="8" t="s">
        <v>25</v>
      </c>
      <c r="D2088" s="8" t="s">
        <v>26</v>
      </c>
      <c r="E2088" s="8" t="s">
        <v>10305</v>
      </c>
      <c r="F2088" s="8"/>
      <c r="G2088" s="8" t="s">
        <v>31</v>
      </c>
      <c r="H2088" s="8" t="s">
        <v>86</v>
      </c>
      <c r="I2088" s="8" t="s">
        <v>44</v>
      </c>
      <c r="J2088" s="8" t="s">
        <v>1993</v>
      </c>
      <c r="K2088" s="10" t="s">
        <v>10306</v>
      </c>
      <c r="L2088" s="8" t="s">
        <v>34</v>
      </c>
      <c r="M2088" s="8" t="s">
        <v>48</v>
      </c>
      <c r="N2088" s="11">
        <v>45064.0</v>
      </c>
      <c r="O2088" s="11">
        <v>45146.0</v>
      </c>
      <c r="P2088" s="11">
        <v>45299.0</v>
      </c>
      <c r="Q2088" s="11">
        <v>45155.0</v>
      </c>
      <c r="R2088" s="11">
        <v>45308.0</v>
      </c>
      <c r="S2088" s="12"/>
      <c r="T2088" s="8" t="s">
        <v>121</v>
      </c>
      <c r="U2088" s="8" t="s">
        <v>10307</v>
      </c>
      <c r="V2088" s="13" t="s">
        <v>175</v>
      </c>
      <c r="W2088" s="13" t="s">
        <v>10308</v>
      </c>
      <c r="X2088" s="12"/>
      <c r="Y2088" s="14"/>
      <c r="Z2088" s="14"/>
    </row>
    <row r="2089">
      <c r="A2089" s="8" t="s">
        <v>10309</v>
      </c>
      <c r="B2089" s="8" t="s">
        <v>10310</v>
      </c>
      <c r="C2089" s="8" t="s">
        <v>179</v>
      </c>
      <c r="D2089" s="8" t="s">
        <v>26</v>
      </c>
      <c r="E2089" s="8" t="s">
        <v>10311</v>
      </c>
      <c r="F2089" s="8">
        <v>6.943534941E9</v>
      </c>
      <c r="G2089" s="8" t="s">
        <v>143</v>
      </c>
      <c r="H2089" s="8" t="s">
        <v>3967</v>
      </c>
      <c r="I2089" s="8" t="s">
        <v>31</v>
      </c>
      <c r="J2089" s="8" t="s">
        <v>77</v>
      </c>
      <c r="K2089" s="10" t="s">
        <v>152</v>
      </c>
      <c r="L2089" s="8" t="s">
        <v>58</v>
      </c>
      <c r="M2089" s="8" t="s">
        <v>35</v>
      </c>
      <c r="N2089" s="11">
        <v>45064.0</v>
      </c>
      <c r="O2089" s="11">
        <v>45180.0</v>
      </c>
      <c r="P2089" s="11">
        <v>45222.0</v>
      </c>
      <c r="Q2089" s="11"/>
      <c r="R2089" s="11"/>
      <c r="S2089" s="12"/>
      <c r="T2089" s="8"/>
      <c r="U2089" s="8" t="s">
        <v>153</v>
      </c>
      <c r="V2089" s="13" t="s">
        <v>10312</v>
      </c>
      <c r="W2089" s="13" t="s">
        <v>10313</v>
      </c>
      <c r="X2089" s="12"/>
      <c r="Y2089" s="14"/>
      <c r="Z2089" s="14"/>
    </row>
    <row r="2090">
      <c r="A2090" s="8" t="s">
        <v>10314</v>
      </c>
      <c r="B2090" s="8" t="s">
        <v>10315</v>
      </c>
      <c r="C2090" s="8" t="s">
        <v>25</v>
      </c>
      <c r="D2090" s="8" t="s">
        <v>26</v>
      </c>
      <c r="E2090" s="8" t="s">
        <v>10316</v>
      </c>
      <c r="F2090" s="8">
        <v>6.94318616E8</v>
      </c>
      <c r="G2090" s="8" t="s">
        <v>84</v>
      </c>
      <c r="H2090" s="8" t="s">
        <v>10317</v>
      </c>
      <c r="I2090" s="8" t="s">
        <v>31</v>
      </c>
      <c r="J2090" s="8" t="s">
        <v>66</v>
      </c>
      <c r="K2090" s="10" t="s">
        <v>10318</v>
      </c>
      <c r="L2090" s="8" t="s">
        <v>58</v>
      </c>
      <c r="M2090" s="8" t="s">
        <v>35</v>
      </c>
      <c r="N2090" s="11">
        <v>45064.0</v>
      </c>
      <c r="O2090" s="11">
        <v>45117.0</v>
      </c>
      <c r="P2090" s="11">
        <v>45159.0</v>
      </c>
      <c r="Q2090" s="11">
        <v>45118.0</v>
      </c>
      <c r="R2090" s="11">
        <v>45159.0</v>
      </c>
      <c r="S2090" s="12"/>
      <c r="T2090" s="8"/>
      <c r="U2090" s="8" t="s">
        <v>88</v>
      </c>
      <c r="V2090" s="13" t="s">
        <v>10319</v>
      </c>
      <c r="W2090" s="13" t="s">
        <v>10320</v>
      </c>
      <c r="X2090" s="12"/>
      <c r="Y2090" s="14"/>
      <c r="Z2090" s="14"/>
    </row>
    <row r="2091">
      <c r="A2091" s="8" t="s">
        <v>10321</v>
      </c>
      <c r="B2091" s="8" t="s">
        <v>10322</v>
      </c>
      <c r="C2091" s="8" t="s">
        <v>25</v>
      </c>
      <c r="D2091" s="8" t="s">
        <v>26</v>
      </c>
      <c r="E2091" s="8" t="s">
        <v>10323</v>
      </c>
      <c r="F2091" s="8">
        <v>6.31803464E8</v>
      </c>
      <c r="G2091" s="8" t="s">
        <v>84</v>
      </c>
      <c r="H2091" s="8" t="s">
        <v>10317</v>
      </c>
      <c r="I2091" s="8" t="s">
        <v>31</v>
      </c>
      <c r="J2091" s="8" t="s">
        <v>66</v>
      </c>
      <c r="K2091" s="10" t="s">
        <v>10318</v>
      </c>
      <c r="L2091" s="8" t="s">
        <v>58</v>
      </c>
      <c r="M2091" s="8" t="s">
        <v>35</v>
      </c>
      <c r="N2091" s="11">
        <v>45064.0</v>
      </c>
      <c r="O2091" s="11">
        <v>45117.0</v>
      </c>
      <c r="P2091" s="11">
        <v>45159.0</v>
      </c>
      <c r="Q2091" s="11">
        <v>45118.0</v>
      </c>
      <c r="R2091" s="11">
        <v>45159.0</v>
      </c>
      <c r="S2091" s="12"/>
      <c r="T2091" s="8"/>
      <c r="U2091" s="8" t="s">
        <v>88</v>
      </c>
      <c r="V2091" s="13" t="s">
        <v>10319</v>
      </c>
      <c r="W2091" s="13" t="s">
        <v>10324</v>
      </c>
      <c r="X2091" s="12"/>
      <c r="Y2091" s="14"/>
      <c r="Z2091" s="14"/>
    </row>
    <row r="2092">
      <c r="A2092" s="8" t="s">
        <v>10325</v>
      </c>
      <c r="B2092" s="8" t="s">
        <v>10326</v>
      </c>
      <c r="C2092" s="8" t="s">
        <v>179</v>
      </c>
      <c r="D2092" s="8" t="s">
        <v>26</v>
      </c>
      <c r="E2092" s="8" t="s">
        <v>10327</v>
      </c>
      <c r="F2092" s="8">
        <v>2.3602869E7</v>
      </c>
      <c r="G2092" s="8" t="s">
        <v>54</v>
      </c>
      <c r="H2092" s="8" t="s">
        <v>135</v>
      </c>
      <c r="I2092" s="8" t="s">
        <v>31</v>
      </c>
      <c r="J2092" s="8" t="s">
        <v>43</v>
      </c>
      <c r="K2092" s="10" t="s">
        <v>10328</v>
      </c>
      <c r="L2092" s="8" t="s">
        <v>58</v>
      </c>
      <c r="M2092" s="8" t="s">
        <v>35</v>
      </c>
      <c r="N2092" s="11">
        <v>45064.0</v>
      </c>
      <c r="O2092" s="11">
        <v>45145.0</v>
      </c>
      <c r="P2092" s="11">
        <v>45191.0</v>
      </c>
      <c r="Q2092" s="11"/>
      <c r="R2092" s="11"/>
      <c r="S2092" s="12"/>
      <c r="T2092" s="8"/>
      <c r="U2092" s="8" t="s">
        <v>59</v>
      </c>
      <c r="V2092" s="13" t="s">
        <v>10329</v>
      </c>
      <c r="W2092" s="13" t="s">
        <v>10330</v>
      </c>
      <c r="X2092" s="12"/>
      <c r="Y2092" s="14"/>
      <c r="Z2092" s="14"/>
    </row>
    <row r="2093">
      <c r="A2093" s="8" t="s">
        <v>10331</v>
      </c>
      <c r="B2093" s="8" t="s">
        <v>10332</v>
      </c>
      <c r="C2093" s="8" t="s">
        <v>25</v>
      </c>
      <c r="D2093" s="8" t="s">
        <v>26</v>
      </c>
      <c r="E2093" s="8" t="s">
        <v>10333</v>
      </c>
      <c r="F2093" s="8">
        <v>6.39847172E8</v>
      </c>
      <c r="G2093" s="8" t="s">
        <v>1620</v>
      </c>
      <c r="H2093" s="8" t="s">
        <v>3655</v>
      </c>
      <c r="I2093" s="8" t="s">
        <v>31</v>
      </c>
      <c r="J2093" s="8" t="s">
        <v>86</v>
      </c>
      <c r="K2093" s="10" t="s">
        <v>3621</v>
      </c>
      <c r="L2093" s="8" t="s">
        <v>58</v>
      </c>
      <c r="M2093" s="8" t="s">
        <v>35</v>
      </c>
      <c r="N2093" s="11">
        <v>45064.0</v>
      </c>
      <c r="O2093" s="11">
        <v>45110.0</v>
      </c>
      <c r="P2093" s="11">
        <v>45152.0</v>
      </c>
      <c r="Q2093" s="11">
        <v>45117.0</v>
      </c>
      <c r="R2093" s="11">
        <v>45159.0</v>
      </c>
      <c r="S2093" s="12"/>
      <c r="T2093" s="8"/>
      <c r="U2093" s="8" t="s">
        <v>153</v>
      </c>
      <c r="V2093" s="13" t="s">
        <v>3656</v>
      </c>
      <c r="W2093" s="13" t="s">
        <v>10334</v>
      </c>
      <c r="X2093" s="12"/>
      <c r="Y2093" s="14"/>
      <c r="Z2093" s="14"/>
    </row>
    <row r="2094">
      <c r="A2094" s="8" t="s">
        <v>10335</v>
      </c>
      <c r="B2094" s="8" t="s">
        <v>10336</v>
      </c>
      <c r="C2094" s="8" t="s">
        <v>64</v>
      </c>
      <c r="D2094" s="8" t="s">
        <v>26</v>
      </c>
      <c r="E2094" s="8" t="s">
        <v>10337</v>
      </c>
      <c r="F2094" s="8"/>
      <c r="G2094" s="8" t="s">
        <v>84</v>
      </c>
      <c r="H2094" s="8" t="s">
        <v>1156</v>
      </c>
      <c r="I2094" s="8" t="s">
        <v>31</v>
      </c>
      <c r="J2094" s="8" t="s">
        <v>86</v>
      </c>
      <c r="K2094" s="10" t="s">
        <v>416</v>
      </c>
      <c r="L2094" s="8" t="s">
        <v>58</v>
      </c>
      <c r="M2094" s="8" t="s">
        <v>35</v>
      </c>
      <c r="N2094" s="11">
        <v>45064.0</v>
      </c>
      <c r="O2094" s="11">
        <v>45084.0</v>
      </c>
      <c r="P2094" s="11">
        <v>45126.0</v>
      </c>
      <c r="Q2094" s="11">
        <v>45084.0</v>
      </c>
      <c r="R2094" s="11">
        <v>45126.0</v>
      </c>
      <c r="S2094" s="12"/>
      <c r="T2094" s="8"/>
      <c r="U2094" s="8" t="s">
        <v>59</v>
      </c>
      <c r="V2094" s="13" t="s">
        <v>38</v>
      </c>
      <c r="W2094" s="13" t="s">
        <v>10338</v>
      </c>
      <c r="X2094" s="12"/>
      <c r="Y2094" s="14"/>
      <c r="Z2094" s="14"/>
    </row>
    <row r="2095">
      <c r="A2095" s="8" t="s">
        <v>10339</v>
      </c>
      <c r="B2095" s="8" t="s">
        <v>10340</v>
      </c>
      <c r="C2095" s="8" t="s">
        <v>25</v>
      </c>
      <c r="D2095" s="8" t="s">
        <v>26</v>
      </c>
      <c r="E2095" s="8" t="s">
        <v>10341</v>
      </c>
      <c r="F2095" s="8">
        <v>5.437214692E9</v>
      </c>
      <c r="G2095" s="8" t="s">
        <v>31</v>
      </c>
      <c r="H2095" s="8" t="s">
        <v>32</v>
      </c>
      <c r="I2095" s="8" t="s">
        <v>1400</v>
      </c>
      <c r="J2095" s="8" t="s">
        <v>9975</v>
      </c>
      <c r="K2095" s="10" t="s">
        <v>9976</v>
      </c>
      <c r="L2095" s="8" t="s">
        <v>58</v>
      </c>
      <c r="M2095" s="8" t="s">
        <v>35</v>
      </c>
      <c r="N2095" s="11">
        <v>45064.0</v>
      </c>
      <c r="O2095" s="11">
        <v>45173.0</v>
      </c>
      <c r="P2095" s="11">
        <v>45215.0</v>
      </c>
      <c r="Q2095" s="11">
        <v>45173.0</v>
      </c>
      <c r="R2095" s="11">
        <v>45215.0</v>
      </c>
      <c r="S2095" s="12"/>
      <c r="T2095" s="8"/>
      <c r="U2095" s="8" t="s">
        <v>88</v>
      </c>
      <c r="V2095" s="13" t="s">
        <v>537</v>
      </c>
      <c r="W2095" s="13" t="s">
        <v>10342</v>
      </c>
      <c r="X2095" s="12"/>
      <c r="Y2095" s="14"/>
      <c r="Z2095" s="14"/>
    </row>
    <row r="2096">
      <c r="A2096" s="8" t="s">
        <v>10343</v>
      </c>
      <c r="B2096" s="8" t="s">
        <v>10344</v>
      </c>
      <c r="C2096" s="8" t="s">
        <v>64</v>
      </c>
      <c r="D2096" s="8" t="s">
        <v>26</v>
      </c>
      <c r="E2096" s="8" t="s">
        <v>10345</v>
      </c>
      <c r="F2096" s="8"/>
      <c r="G2096" s="8" t="s">
        <v>54</v>
      </c>
      <c r="H2096" s="8" t="s">
        <v>55</v>
      </c>
      <c r="I2096" s="8" t="s">
        <v>31</v>
      </c>
      <c r="J2096" s="8" t="s">
        <v>77</v>
      </c>
      <c r="K2096" s="10" t="s">
        <v>2417</v>
      </c>
      <c r="L2096" s="8" t="s">
        <v>58</v>
      </c>
      <c r="M2096" s="8" t="s">
        <v>35</v>
      </c>
      <c r="N2096" s="11">
        <v>45065.0</v>
      </c>
      <c r="O2096" s="11">
        <v>45194.0</v>
      </c>
      <c r="P2096" s="11">
        <v>45236.0</v>
      </c>
      <c r="Q2096" s="11">
        <v>45194.0</v>
      </c>
      <c r="R2096" s="11">
        <v>45236.0</v>
      </c>
      <c r="S2096" s="12"/>
      <c r="T2096" s="8"/>
      <c r="U2096" s="8" t="s">
        <v>59</v>
      </c>
      <c r="V2096" s="13" t="s">
        <v>38</v>
      </c>
      <c r="W2096" s="13" t="s">
        <v>10346</v>
      </c>
      <c r="X2096" s="12"/>
      <c r="Y2096" s="14"/>
      <c r="Z2096" s="14"/>
    </row>
    <row r="2097">
      <c r="A2097" s="8" t="s">
        <v>10347</v>
      </c>
      <c r="B2097" s="8" t="s">
        <v>10348</v>
      </c>
      <c r="C2097" s="8" t="s">
        <v>25</v>
      </c>
      <c r="D2097" s="8" t="s">
        <v>26</v>
      </c>
      <c r="E2097" s="8" t="s">
        <v>10349</v>
      </c>
      <c r="F2097" s="8">
        <v>5.467430409E9</v>
      </c>
      <c r="G2097" s="8" t="s">
        <v>31</v>
      </c>
      <c r="H2097" s="8" t="s">
        <v>77</v>
      </c>
      <c r="I2097" s="8" t="s">
        <v>284</v>
      </c>
      <c r="J2097" s="8" t="s">
        <v>1359</v>
      </c>
      <c r="K2097" s="10" t="s">
        <v>10350</v>
      </c>
      <c r="L2097" s="8" t="s">
        <v>58</v>
      </c>
      <c r="M2097" s="8" t="s">
        <v>35</v>
      </c>
      <c r="N2097" s="11">
        <v>45065.0</v>
      </c>
      <c r="O2097" s="11">
        <v>45131.0</v>
      </c>
      <c r="P2097" s="11">
        <v>45173.0</v>
      </c>
      <c r="Q2097" s="11">
        <v>45130.0</v>
      </c>
      <c r="R2097" s="11">
        <v>45173.0</v>
      </c>
      <c r="S2097" s="12"/>
      <c r="T2097" s="8"/>
      <c r="U2097" s="8" t="s">
        <v>59</v>
      </c>
      <c r="V2097" s="13" t="s">
        <v>545</v>
      </c>
      <c r="W2097" s="13" t="s">
        <v>10351</v>
      </c>
      <c r="X2097" s="12"/>
      <c r="Y2097" s="14"/>
      <c r="Z2097" s="14"/>
    </row>
    <row r="2098">
      <c r="A2098" s="8" t="s">
        <v>10352</v>
      </c>
      <c r="B2098" s="8" t="s">
        <v>10353</v>
      </c>
      <c r="C2098" s="8" t="s">
        <v>64</v>
      </c>
      <c r="D2098" s="8" t="s">
        <v>26</v>
      </c>
      <c r="E2098" s="8" t="s">
        <v>10354</v>
      </c>
      <c r="F2098" s="8">
        <v>2.9034967E7</v>
      </c>
      <c r="G2098" s="8" t="s">
        <v>54</v>
      </c>
      <c r="H2098" s="8" t="s">
        <v>135</v>
      </c>
      <c r="I2098" s="8" t="s">
        <v>31</v>
      </c>
      <c r="J2098" s="8" t="s">
        <v>86</v>
      </c>
      <c r="K2098" s="10" t="s">
        <v>3755</v>
      </c>
      <c r="L2098" s="8" t="s">
        <v>34</v>
      </c>
      <c r="M2098" s="8" t="s">
        <v>70</v>
      </c>
      <c r="N2098" s="11">
        <v>45065.0</v>
      </c>
      <c r="O2098" s="11">
        <v>45096.0</v>
      </c>
      <c r="P2098" s="11">
        <v>45289.0</v>
      </c>
      <c r="Q2098" s="11">
        <v>45102.0</v>
      </c>
      <c r="R2098" s="11">
        <v>45293.0</v>
      </c>
      <c r="S2098" s="12"/>
      <c r="T2098" s="8" t="s">
        <v>36</v>
      </c>
      <c r="U2098" s="8" t="s">
        <v>3756</v>
      </c>
      <c r="V2098" s="13" t="s">
        <v>138</v>
      </c>
      <c r="W2098" s="13" t="s">
        <v>10355</v>
      </c>
      <c r="X2098" s="12"/>
      <c r="Y2098" s="14"/>
      <c r="Z2098" s="14"/>
    </row>
    <row r="2099">
      <c r="A2099" s="8" t="s">
        <v>10356</v>
      </c>
      <c r="B2099" s="8" t="s">
        <v>10357</v>
      </c>
      <c r="C2099" s="8" t="s">
        <v>25</v>
      </c>
      <c r="D2099" s="8" t="s">
        <v>26</v>
      </c>
      <c r="E2099" s="8" t="s">
        <v>10358</v>
      </c>
      <c r="F2099" s="8"/>
      <c r="G2099" s="8" t="s">
        <v>29</v>
      </c>
      <c r="H2099" s="8" t="s">
        <v>5711</v>
      </c>
      <c r="I2099" s="8" t="s">
        <v>31</v>
      </c>
      <c r="J2099" s="8" t="s">
        <v>542</v>
      </c>
      <c r="K2099" s="10" t="s">
        <v>10212</v>
      </c>
      <c r="L2099" s="8" t="s">
        <v>58</v>
      </c>
      <c r="M2099" s="8" t="s">
        <v>35</v>
      </c>
      <c r="N2099" s="11">
        <v>45065.0</v>
      </c>
      <c r="O2099" s="11">
        <v>45131.0</v>
      </c>
      <c r="P2099" s="11">
        <v>45173.0</v>
      </c>
      <c r="Q2099" s="11">
        <v>45133.0</v>
      </c>
      <c r="R2099" s="11">
        <v>45173.0</v>
      </c>
      <c r="S2099" s="12"/>
      <c r="T2099" s="8"/>
      <c r="U2099" s="8" t="s">
        <v>59</v>
      </c>
      <c r="V2099" s="13" t="s">
        <v>38</v>
      </c>
      <c r="W2099" s="13" t="s">
        <v>10359</v>
      </c>
      <c r="X2099" s="12"/>
      <c r="Y2099" s="14"/>
      <c r="Z2099" s="14"/>
    </row>
    <row r="2100">
      <c r="A2100" s="8" t="s">
        <v>10360</v>
      </c>
      <c r="B2100" s="8" t="s">
        <v>10361</v>
      </c>
      <c r="C2100" s="8" t="s">
        <v>64</v>
      </c>
      <c r="D2100" s="8" t="s">
        <v>26</v>
      </c>
      <c r="E2100" s="8" t="s">
        <v>10362</v>
      </c>
      <c r="F2100" s="8"/>
      <c r="G2100" s="8" t="s">
        <v>118</v>
      </c>
      <c r="H2100" s="8" t="s">
        <v>119</v>
      </c>
      <c r="I2100" s="8" t="s">
        <v>31</v>
      </c>
      <c r="J2100" s="8" t="s">
        <v>32</v>
      </c>
      <c r="K2100" s="10" t="s">
        <v>8474</v>
      </c>
      <c r="L2100" s="8" t="s">
        <v>58</v>
      </c>
      <c r="M2100" s="8" t="s">
        <v>35</v>
      </c>
      <c r="N2100" s="11">
        <v>45065.0</v>
      </c>
      <c r="O2100" s="11">
        <v>45138.0</v>
      </c>
      <c r="P2100" s="11">
        <v>45180.0</v>
      </c>
      <c r="Q2100" s="11">
        <v>45138.0</v>
      </c>
      <c r="R2100" s="11">
        <v>45180.0</v>
      </c>
      <c r="S2100" s="12"/>
      <c r="T2100" s="8"/>
      <c r="U2100" s="8" t="s">
        <v>59</v>
      </c>
      <c r="V2100" s="13" t="s">
        <v>38</v>
      </c>
      <c r="W2100" s="13" t="s">
        <v>10363</v>
      </c>
      <c r="X2100" s="12"/>
      <c r="Y2100" s="14"/>
      <c r="Z2100" s="14"/>
    </row>
    <row r="2101">
      <c r="A2101" s="8" t="s">
        <v>10364</v>
      </c>
      <c r="B2101" s="8" t="s">
        <v>10365</v>
      </c>
      <c r="C2101" s="8" t="s">
        <v>25</v>
      </c>
      <c r="D2101" s="8" t="s">
        <v>26</v>
      </c>
      <c r="E2101" s="8" t="s">
        <v>10366</v>
      </c>
      <c r="F2101" s="8">
        <v>6.50320539E8</v>
      </c>
      <c r="G2101" s="8" t="s">
        <v>84</v>
      </c>
      <c r="H2101" s="8" t="s">
        <v>1234</v>
      </c>
      <c r="I2101" s="8" t="s">
        <v>31</v>
      </c>
      <c r="J2101" s="8" t="s">
        <v>542</v>
      </c>
      <c r="K2101" s="10" t="s">
        <v>10212</v>
      </c>
      <c r="L2101" s="8" t="s">
        <v>58</v>
      </c>
      <c r="M2101" s="8" t="s">
        <v>35</v>
      </c>
      <c r="N2101" s="11">
        <v>45065.0</v>
      </c>
      <c r="O2101" s="11">
        <v>45110.0</v>
      </c>
      <c r="P2101" s="11">
        <v>45152.0</v>
      </c>
      <c r="Q2101" s="11">
        <v>45111.0</v>
      </c>
      <c r="R2101" s="11">
        <v>45152.0</v>
      </c>
      <c r="S2101" s="12"/>
      <c r="T2101" s="8"/>
      <c r="U2101" s="8" t="s">
        <v>59</v>
      </c>
      <c r="V2101" s="13" t="s">
        <v>2592</v>
      </c>
      <c r="W2101" s="13" t="s">
        <v>10367</v>
      </c>
      <c r="X2101" s="12"/>
      <c r="Y2101" s="14"/>
      <c r="Z2101" s="14"/>
    </row>
    <row r="2102">
      <c r="A2102" s="8" t="s">
        <v>10368</v>
      </c>
      <c r="B2102" s="8" t="s">
        <v>10369</v>
      </c>
      <c r="C2102" s="8" t="s">
        <v>25</v>
      </c>
      <c r="D2102" s="8" t="s">
        <v>26</v>
      </c>
      <c r="E2102" s="8" t="s">
        <v>10370</v>
      </c>
      <c r="F2102" s="8">
        <v>5.510245696E9</v>
      </c>
      <c r="G2102" s="8" t="s">
        <v>31</v>
      </c>
      <c r="H2102" s="8" t="s">
        <v>77</v>
      </c>
      <c r="I2102" s="8" t="s">
        <v>284</v>
      </c>
      <c r="J2102" s="8" t="s">
        <v>1359</v>
      </c>
      <c r="K2102" s="10" t="s">
        <v>10371</v>
      </c>
      <c r="L2102" s="8" t="s">
        <v>58</v>
      </c>
      <c r="M2102" s="8" t="s">
        <v>35</v>
      </c>
      <c r="N2102" s="11">
        <v>45065.0</v>
      </c>
      <c r="O2102" s="11">
        <v>45131.0</v>
      </c>
      <c r="P2102" s="11">
        <v>45173.0</v>
      </c>
      <c r="Q2102" s="11">
        <v>45130.0</v>
      </c>
      <c r="R2102" s="11">
        <v>45173.0</v>
      </c>
      <c r="S2102" s="12"/>
      <c r="T2102" s="8"/>
      <c r="U2102" s="8" t="s">
        <v>59</v>
      </c>
      <c r="V2102" s="13" t="s">
        <v>111</v>
      </c>
      <c r="W2102" s="13" t="s">
        <v>10372</v>
      </c>
      <c r="X2102" s="12"/>
      <c r="Y2102" s="14"/>
      <c r="Z2102" s="14"/>
    </row>
    <row r="2103">
      <c r="A2103" s="8" t="s">
        <v>10373</v>
      </c>
      <c r="B2103" s="8" t="s">
        <v>10374</v>
      </c>
      <c r="C2103" s="8" t="s">
        <v>25</v>
      </c>
      <c r="D2103" s="8" t="s">
        <v>26</v>
      </c>
      <c r="E2103" s="8" t="s">
        <v>10375</v>
      </c>
      <c r="F2103" s="8"/>
      <c r="G2103" s="8" t="s">
        <v>31</v>
      </c>
      <c r="H2103" s="8" t="s">
        <v>56</v>
      </c>
      <c r="I2103" s="8" t="s">
        <v>195</v>
      </c>
      <c r="J2103" s="8" t="s">
        <v>6512</v>
      </c>
      <c r="K2103" s="10" t="s">
        <v>6513</v>
      </c>
      <c r="L2103" s="8" t="s">
        <v>58</v>
      </c>
      <c r="M2103" s="8" t="s">
        <v>35</v>
      </c>
      <c r="N2103" s="11">
        <v>45065.0</v>
      </c>
      <c r="O2103" s="11">
        <v>45108.0</v>
      </c>
      <c r="P2103" s="11">
        <v>45150.0</v>
      </c>
      <c r="Q2103" s="11">
        <v>45108.0</v>
      </c>
      <c r="R2103" s="11">
        <v>45150.0</v>
      </c>
      <c r="S2103" s="12"/>
      <c r="T2103" s="8"/>
      <c r="U2103" s="8" t="s">
        <v>3111</v>
      </c>
      <c r="V2103" s="13" t="s">
        <v>56</v>
      </c>
      <c r="W2103" s="13" t="s">
        <v>10376</v>
      </c>
      <c r="X2103" s="12"/>
      <c r="Y2103" s="14"/>
      <c r="Z2103" s="14"/>
    </row>
    <row r="2104">
      <c r="A2104" s="8" t="s">
        <v>10377</v>
      </c>
      <c r="B2104" s="8" t="s">
        <v>10378</v>
      </c>
      <c r="C2104" s="8" t="s">
        <v>64</v>
      </c>
      <c r="D2104" s="8" t="s">
        <v>26</v>
      </c>
      <c r="E2104" s="8" t="s">
        <v>10379</v>
      </c>
      <c r="F2104" s="8">
        <v>2.7729906E7</v>
      </c>
      <c r="G2104" s="8" t="s">
        <v>54</v>
      </c>
      <c r="H2104" s="8" t="s">
        <v>1911</v>
      </c>
      <c r="I2104" s="8" t="s">
        <v>31</v>
      </c>
      <c r="J2104" s="8" t="s">
        <v>32</v>
      </c>
      <c r="K2104" s="10" t="s">
        <v>5071</v>
      </c>
      <c r="L2104" s="8" t="s">
        <v>58</v>
      </c>
      <c r="M2104" s="8" t="s">
        <v>35</v>
      </c>
      <c r="N2104" s="11">
        <v>45065.0</v>
      </c>
      <c r="O2104" s="11">
        <v>45068.0</v>
      </c>
      <c r="P2104" s="11">
        <v>45110.0</v>
      </c>
      <c r="Q2104" s="11">
        <v>45070.0</v>
      </c>
      <c r="R2104" s="11">
        <v>45112.0</v>
      </c>
      <c r="S2104" s="12"/>
      <c r="T2104" s="8"/>
      <c r="U2104" s="8" t="s">
        <v>161</v>
      </c>
      <c r="V2104" s="13" t="s">
        <v>7162</v>
      </c>
      <c r="W2104" s="13" t="s">
        <v>10380</v>
      </c>
      <c r="X2104" s="12"/>
      <c r="Y2104" s="14"/>
      <c r="Z2104" s="14"/>
    </row>
    <row r="2105">
      <c r="A2105" s="8" t="s">
        <v>10381</v>
      </c>
      <c r="B2105" s="8" t="s">
        <v>10382</v>
      </c>
      <c r="C2105" s="8" t="s">
        <v>179</v>
      </c>
      <c r="D2105" s="8" t="s">
        <v>26</v>
      </c>
      <c r="E2105" s="8" t="s">
        <v>10383</v>
      </c>
      <c r="F2105" s="8">
        <v>5.315848199E9</v>
      </c>
      <c r="G2105" s="8" t="s">
        <v>31</v>
      </c>
      <c r="H2105" s="8" t="s">
        <v>167</v>
      </c>
      <c r="I2105" s="8" t="s">
        <v>127</v>
      </c>
      <c r="J2105" s="8" t="s">
        <v>128</v>
      </c>
      <c r="K2105" s="10" t="s">
        <v>10384</v>
      </c>
      <c r="L2105" s="8" t="s">
        <v>58</v>
      </c>
      <c r="M2105" s="8" t="s">
        <v>35</v>
      </c>
      <c r="N2105" s="11">
        <v>45065.0</v>
      </c>
      <c r="O2105" s="11">
        <v>45096.0</v>
      </c>
      <c r="P2105" s="11">
        <v>45138.0</v>
      </c>
      <c r="Q2105" s="11"/>
      <c r="R2105" s="11"/>
      <c r="S2105" s="12"/>
      <c r="T2105" s="8"/>
      <c r="U2105" s="8" t="s">
        <v>371</v>
      </c>
      <c r="V2105" s="13" t="s">
        <v>167</v>
      </c>
      <c r="W2105" s="13" t="s">
        <v>10385</v>
      </c>
      <c r="X2105" s="12"/>
      <c r="Y2105" s="14"/>
      <c r="Z2105" s="14"/>
    </row>
    <row r="2106">
      <c r="A2106" s="8" t="s">
        <v>10386</v>
      </c>
      <c r="B2106" s="8" t="s">
        <v>10387</v>
      </c>
      <c r="C2106" s="8" t="s">
        <v>25</v>
      </c>
      <c r="D2106" s="8" t="s">
        <v>26</v>
      </c>
      <c r="E2106" s="8" t="s">
        <v>10388</v>
      </c>
      <c r="F2106" s="8">
        <v>5.358321949E9</v>
      </c>
      <c r="G2106" s="8" t="s">
        <v>31</v>
      </c>
      <c r="H2106" s="8" t="s">
        <v>111</v>
      </c>
      <c r="I2106" s="8" t="s">
        <v>221</v>
      </c>
      <c r="J2106" s="8" t="s">
        <v>3506</v>
      </c>
      <c r="K2106" s="10" t="s">
        <v>10389</v>
      </c>
      <c r="L2106" s="8" t="s">
        <v>58</v>
      </c>
      <c r="M2106" s="8" t="s">
        <v>35</v>
      </c>
      <c r="N2106" s="11">
        <v>45065.0</v>
      </c>
      <c r="O2106" s="11">
        <v>45130.0</v>
      </c>
      <c r="P2106" s="11">
        <v>45172.0</v>
      </c>
      <c r="Q2106" s="11">
        <v>45130.0</v>
      </c>
      <c r="R2106" s="11">
        <v>45172.0</v>
      </c>
      <c r="S2106" s="12"/>
      <c r="T2106" s="8"/>
      <c r="U2106" s="8" t="s">
        <v>59</v>
      </c>
      <c r="V2106" s="13" t="s">
        <v>111</v>
      </c>
      <c r="W2106" s="13" t="s">
        <v>10390</v>
      </c>
      <c r="X2106" s="12"/>
      <c r="Y2106" s="14"/>
      <c r="Z2106" s="14"/>
    </row>
    <row r="2107">
      <c r="A2107" s="8" t="s">
        <v>10391</v>
      </c>
      <c r="B2107" s="8" t="s">
        <v>10392</v>
      </c>
      <c r="C2107" s="8" t="s">
        <v>25</v>
      </c>
      <c r="D2107" s="8" t="s">
        <v>26</v>
      </c>
      <c r="E2107" s="8" t="s">
        <v>10393</v>
      </c>
      <c r="F2107" s="8"/>
      <c r="G2107" s="8" t="s">
        <v>277</v>
      </c>
      <c r="H2107" s="8" t="s">
        <v>278</v>
      </c>
      <c r="I2107" s="8" t="s">
        <v>31</v>
      </c>
      <c r="J2107" s="8" t="s">
        <v>220</v>
      </c>
      <c r="K2107" s="10" t="s">
        <v>2193</v>
      </c>
      <c r="L2107" s="8" t="s">
        <v>58</v>
      </c>
      <c r="M2107" s="8" t="s">
        <v>35</v>
      </c>
      <c r="N2107" s="11">
        <v>45066.0</v>
      </c>
      <c r="O2107" s="11">
        <v>45243.0</v>
      </c>
      <c r="P2107" s="11">
        <v>45285.0</v>
      </c>
      <c r="Q2107" s="11">
        <v>45244.0</v>
      </c>
      <c r="R2107" s="11">
        <v>45285.0</v>
      </c>
      <c r="S2107" s="12"/>
      <c r="T2107" s="8"/>
      <c r="U2107" s="8" t="s">
        <v>59</v>
      </c>
      <c r="V2107" s="13" t="s">
        <v>38</v>
      </c>
      <c r="W2107" s="13" t="s">
        <v>10394</v>
      </c>
      <c r="X2107" s="12"/>
      <c r="Y2107" s="14"/>
      <c r="Z2107" s="14"/>
    </row>
    <row r="2108">
      <c r="A2108" s="8" t="s">
        <v>10395</v>
      </c>
      <c r="B2108" s="8" t="s">
        <v>10396</v>
      </c>
      <c r="C2108" s="8" t="s">
        <v>179</v>
      </c>
      <c r="D2108" s="8" t="s">
        <v>26</v>
      </c>
      <c r="E2108" s="8" t="s">
        <v>10397</v>
      </c>
      <c r="F2108" s="8">
        <v>1.142573334E9</v>
      </c>
      <c r="G2108" s="8" t="s">
        <v>284</v>
      </c>
      <c r="H2108" s="8" t="s">
        <v>589</v>
      </c>
      <c r="I2108" s="8" t="s">
        <v>31</v>
      </c>
      <c r="J2108" s="8" t="s">
        <v>43</v>
      </c>
      <c r="K2108" s="10" t="s">
        <v>10232</v>
      </c>
      <c r="L2108" s="8" t="s">
        <v>58</v>
      </c>
      <c r="M2108" s="8" t="s">
        <v>35</v>
      </c>
      <c r="N2108" s="11">
        <v>45066.0</v>
      </c>
      <c r="O2108" s="11">
        <v>45082.0</v>
      </c>
      <c r="P2108" s="11">
        <v>45128.0</v>
      </c>
      <c r="Q2108" s="11"/>
      <c r="R2108" s="11"/>
      <c r="S2108" s="12"/>
      <c r="T2108" s="8"/>
      <c r="U2108" s="8" t="s">
        <v>130</v>
      </c>
      <c r="V2108" s="13" t="s">
        <v>589</v>
      </c>
      <c r="W2108" s="13" t="s">
        <v>10398</v>
      </c>
      <c r="X2108" s="12"/>
      <c r="Y2108" s="14"/>
      <c r="Z2108" s="14"/>
    </row>
    <row r="2109">
      <c r="A2109" s="8" t="s">
        <v>10399</v>
      </c>
      <c r="B2109" s="8" t="s">
        <v>10400</v>
      </c>
      <c r="C2109" s="8" t="s">
        <v>25</v>
      </c>
      <c r="D2109" s="8" t="s">
        <v>26</v>
      </c>
      <c r="E2109" s="8" t="s">
        <v>10401</v>
      </c>
      <c r="F2109" s="8">
        <v>9.9628468E7</v>
      </c>
      <c r="G2109" s="8" t="s">
        <v>54</v>
      </c>
      <c r="H2109" s="8" t="s">
        <v>369</v>
      </c>
      <c r="I2109" s="8" t="s">
        <v>31</v>
      </c>
      <c r="J2109" s="8" t="s">
        <v>43</v>
      </c>
      <c r="K2109" s="10" t="s">
        <v>9489</v>
      </c>
      <c r="L2109" s="8" t="s">
        <v>58</v>
      </c>
      <c r="M2109" s="8" t="s">
        <v>35</v>
      </c>
      <c r="N2109" s="11">
        <v>45066.0</v>
      </c>
      <c r="O2109" s="11">
        <v>45110.0</v>
      </c>
      <c r="P2109" s="11">
        <v>45156.0</v>
      </c>
      <c r="Q2109" s="11">
        <v>45110.0</v>
      </c>
      <c r="R2109" s="11">
        <v>45156.0</v>
      </c>
      <c r="S2109" s="12"/>
      <c r="T2109" s="8"/>
      <c r="U2109" s="8" t="s">
        <v>59</v>
      </c>
      <c r="V2109" s="13" t="s">
        <v>1671</v>
      </c>
      <c r="W2109" s="13" t="s">
        <v>10402</v>
      </c>
      <c r="X2109" s="12"/>
      <c r="Y2109" s="14"/>
      <c r="Z2109" s="14"/>
    </row>
    <row r="2110">
      <c r="A2110" s="8" t="s">
        <v>10403</v>
      </c>
      <c r="B2110" s="8" t="s">
        <v>10404</v>
      </c>
      <c r="C2110" s="8" t="s">
        <v>25</v>
      </c>
      <c r="D2110" s="8" t="s">
        <v>26</v>
      </c>
      <c r="E2110" s="8" t="s">
        <v>10405</v>
      </c>
      <c r="F2110" s="8">
        <v>3.004530789E9</v>
      </c>
      <c r="G2110" s="8" t="s">
        <v>315</v>
      </c>
      <c r="H2110" s="8" t="s">
        <v>316</v>
      </c>
      <c r="I2110" s="8" t="s">
        <v>31</v>
      </c>
      <c r="J2110" s="8" t="s">
        <v>136</v>
      </c>
      <c r="K2110" s="10" t="s">
        <v>137</v>
      </c>
      <c r="L2110" s="8" t="s">
        <v>58</v>
      </c>
      <c r="M2110" s="8" t="s">
        <v>35</v>
      </c>
      <c r="N2110" s="11">
        <v>45066.0</v>
      </c>
      <c r="O2110" s="11">
        <v>45124.0</v>
      </c>
      <c r="P2110" s="11">
        <v>45166.0</v>
      </c>
      <c r="Q2110" s="11">
        <v>45126.0</v>
      </c>
      <c r="R2110" s="11">
        <v>45166.0</v>
      </c>
      <c r="S2110" s="12"/>
      <c r="T2110" s="8"/>
      <c r="U2110" s="8" t="s">
        <v>88</v>
      </c>
      <c r="V2110" s="13" t="s">
        <v>614</v>
      </c>
      <c r="W2110" s="13" t="s">
        <v>10406</v>
      </c>
      <c r="X2110" s="12"/>
      <c r="Y2110" s="14"/>
      <c r="Z2110" s="14"/>
    </row>
    <row r="2111">
      <c r="A2111" s="8" t="s">
        <v>10407</v>
      </c>
      <c r="B2111" s="8" t="s">
        <v>10408</v>
      </c>
      <c r="C2111" s="8" t="s">
        <v>25</v>
      </c>
      <c r="D2111" s="8" t="s">
        <v>26</v>
      </c>
      <c r="E2111" s="8" t="s">
        <v>10409</v>
      </c>
      <c r="F2111" s="8">
        <v>5.536508977E9</v>
      </c>
      <c r="G2111" s="8" t="s">
        <v>31</v>
      </c>
      <c r="H2111" s="8" t="s">
        <v>86</v>
      </c>
      <c r="I2111" s="8" t="s">
        <v>399</v>
      </c>
      <c r="J2111" s="8" t="s">
        <v>1381</v>
      </c>
      <c r="K2111" s="10" t="s">
        <v>9349</v>
      </c>
      <c r="L2111" s="8" t="s">
        <v>58</v>
      </c>
      <c r="M2111" s="8" t="s">
        <v>35</v>
      </c>
      <c r="N2111" s="11">
        <v>45066.0</v>
      </c>
      <c r="O2111" s="11">
        <v>45102.0</v>
      </c>
      <c r="P2111" s="11">
        <v>45144.0</v>
      </c>
      <c r="Q2111" s="11">
        <v>45108.0</v>
      </c>
      <c r="R2111" s="11">
        <v>45148.0</v>
      </c>
      <c r="S2111" s="12"/>
      <c r="T2111" s="8"/>
      <c r="U2111" s="8" t="s">
        <v>59</v>
      </c>
      <c r="V2111" s="13" t="s">
        <v>175</v>
      </c>
      <c r="W2111" s="13" t="s">
        <v>10410</v>
      </c>
      <c r="X2111" s="12"/>
      <c r="Y2111" s="14"/>
      <c r="Z2111" s="14"/>
    </row>
    <row r="2112">
      <c r="A2112" s="8" t="s">
        <v>10411</v>
      </c>
      <c r="B2112" s="8" t="s">
        <v>10412</v>
      </c>
      <c r="C2112" s="8" t="s">
        <v>64</v>
      </c>
      <c r="D2112" s="8" t="s">
        <v>26</v>
      </c>
      <c r="E2112" s="8" t="s">
        <v>10413</v>
      </c>
      <c r="F2112" s="8"/>
      <c r="G2112" s="8" t="s">
        <v>127</v>
      </c>
      <c r="H2112" s="8" t="s">
        <v>1771</v>
      </c>
      <c r="I2112" s="8" t="s">
        <v>31</v>
      </c>
      <c r="J2112" s="8" t="s">
        <v>542</v>
      </c>
      <c r="K2112" s="10" t="s">
        <v>10212</v>
      </c>
      <c r="L2112" s="8" t="s">
        <v>58</v>
      </c>
      <c r="M2112" s="8" t="s">
        <v>35</v>
      </c>
      <c r="N2112" s="11">
        <v>45066.0</v>
      </c>
      <c r="O2112" s="11">
        <v>45131.0</v>
      </c>
      <c r="P2112" s="11">
        <v>45173.0</v>
      </c>
      <c r="Q2112" s="11">
        <v>45133.0</v>
      </c>
      <c r="R2112" s="11">
        <v>45173.0</v>
      </c>
      <c r="S2112" s="12"/>
      <c r="T2112" s="8"/>
      <c r="U2112" s="8" t="s">
        <v>59</v>
      </c>
      <c r="V2112" s="13" t="s">
        <v>38</v>
      </c>
      <c r="W2112" s="13" t="s">
        <v>10414</v>
      </c>
      <c r="X2112" s="12"/>
      <c r="Y2112" s="14"/>
      <c r="Z2112" s="14"/>
    </row>
    <row r="2113">
      <c r="A2113" s="8" t="s">
        <v>10415</v>
      </c>
      <c r="B2113" s="8" t="s">
        <v>10416</v>
      </c>
      <c r="C2113" s="8" t="s">
        <v>179</v>
      </c>
      <c r="D2113" s="8" t="s">
        <v>26</v>
      </c>
      <c r="E2113" s="8" t="s">
        <v>10417</v>
      </c>
      <c r="F2113" s="8">
        <v>1.100820018E9</v>
      </c>
      <c r="G2113" s="8" t="s">
        <v>284</v>
      </c>
      <c r="H2113" s="8" t="s">
        <v>625</v>
      </c>
      <c r="I2113" s="8" t="s">
        <v>31</v>
      </c>
      <c r="J2113" s="8" t="s">
        <v>438</v>
      </c>
      <c r="K2113" s="10" t="s">
        <v>10418</v>
      </c>
      <c r="L2113" s="8" t="s">
        <v>58</v>
      </c>
      <c r="M2113" s="8" t="s">
        <v>35</v>
      </c>
      <c r="N2113" s="11">
        <v>45066.0</v>
      </c>
      <c r="O2113" s="11">
        <v>45152.0</v>
      </c>
      <c r="P2113" s="11">
        <v>45194.0</v>
      </c>
      <c r="Q2113" s="11"/>
      <c r="R2113" s="11"/>
      <c r="S2113" s="12"/>
      <c r="T2113" s="8"/>
      <c r="U2113" s="8" t="s">
        <v>1038</v>
      </c>
      <c r="V2113" s="13" t="s">
        <v>626</v>
      </c>
      <c r="W2113" s="13" t="s">
        <v>10419</v>
      </c>
      <c r="X2113" s="12"/>
      <c r="Y2113" s="14"/>
      <c r="Z2113" s="14"/>
    </row>
    <row r="2114">
      <c r="A2114" s="8" t="s">
        <v>10420</v>
      </c>
      <c r="B2114" s="8" t="s">
        <v>10421</v>
      </c>
      <c r="C2114" s="8" t="s">
        <v>179</v>
      </c>
      <c r="D2114" s="8" t="s">
        <v>26</v>
      </c>
      <c r="E2114" s="8" t="s">
        <v>10422</v>
      </c>
      <c r="F2114" s="8">
        <v>5.352748105E9</v>
      </c>
      <c r="G2114" s="8" t="s">
        <v>31</v>
      </c>
      <c r="H2114" s="8" t="s">
        <v>86</v>
      </c>
      <c r="I2114" s="8" t="s">
        <v>399</v>
      </c>
      <c r="J2114" s="8" t="s">
        <v>5570</v>
      </c>
      <c r="K2114" s="10" t="s">
        <v>10423</v>
      </c>
      <c r="L2114" s="8" t="s">
        <v>58</v>
      </c>
      <c r="M2114" s="8" t="s">
        <v>35</v>
      </c>
      <c r="N2114" s="11">
        <v>45066.0</v>
      </c>
      <c r="O2114" s="11">
        <v>45110.0</v>
      </c>
      <c r="P2114" s="11">
        <v>45152.0</v>
      </c>
      <c r="Q2114" s="11"/>
      <c r="R2114" s="11"/>
      <c r="S2114" s="12"/>
      <c r="T2114" s="8"/>
      <c r="U2114" s="8" t="s">
        <v>59</v>
      </c>
      <c r="V2114" s="13" t="s">
        <v>175</v>
      </c>
      <c r="W2114" s="13" t="s">
        <v>10424</v>
      </c>
      <c r="X2114" s="12"/>
      <c r="Y2114" s="14"/>
      <c r="Z2114" s="14"/>
    </row>
    <row r="2115">
      <c r="A2115" s="8" t="s">
        <v>10425</v>
      </c>
      <c r="B2115" s="8" t="s">
        <v>10426</v>
      </c>
      <c r="C2115" s="8" t="s">
        <v>179</v>
      </c>
      <c r="D2115" s="8" t="s">
        <v>26</v>
      </c>
      <c r="E2115" s="8" t="s">
        <v>10427</v>
      </c>
      <c r="F2115" s="8"/>
      <c r="G2115" s="8" t="s">
        <v>284</v>
      </c>
      <c r="H2115" s="8" t="s">
        <v>691</v>
      </c>
      <c r="I2115" s="8" t="s">
        <v>31</v>
      </c>
      <c r="J2115" s="8" t="s">
        <v>43</v>
      </c>
      <c r="K2115" s="10" t="s">
        <v>10002</v>
      </c>
      <c r="L2115" s="8" t="s">
        <v>58</v>
      </c>
      <c r="M2115" s="8" t="s">
        <v>35</v>
      </c>
      <c r="N2115" s="11">
        <v>45066.0</v>
      </c>
      <c r="O2115" s="11">
        <v>45110.0</v>
      </c>
      <c r="P2115" s="11">
        <v>45156.0</v>
      </c>
      <c r="Q2115" s="11"/>
      <c r="R2115" s="11"/>
      <c r="S2115" s="12"/>
      <c r="T2115" s="8"/>
      <c r="U2115" s="8" t="s">
        <v>59</v>
      </c>
      <c r="V2115" s="13" t="s">
        <v>38</v>
      </c>
      <c r="W2115" s="13" t="s">
        <v>10428</v>
      </c>
      <c r="X2115" s="12"/>
      <c r="Y2115" s="14"/>
      <c r="Z2115" s="14"/>
    </row>
    <row r="2116">
      <c r="A2116" s="8" t="s">
        <v>10429</v>
      </c>
      <c r="B2116" s="8" t="s">
        <v>9964</v>
      </c>
      <c r="C2116" s="8" t="s">
        <v>708</v>
      </c>
      <c r="D2116" s="8" t="s">
        <v>26</v>
      </c>
      <c r="E2116" s="8" t="s">
        <v>10430</v>
      </c>
      <c r="F2116" s="8">
        <v>3.367699724E9</v>
      </c>
      <c r="G2116" s="8" t="s">
        <v>315</v>
      </c>
      <c r="H2116" s="8" t="s">
        <v>1242</v>
      </c>
      <c r="I2116" s="8" t="s">
        <v>31</v>
      </c>
      <c r="J2116" s="8" t="s">
        <v>542</v>
      </c>
      <c r="K2116" s="10" t="s">
        <v>8953</v>
      </c>
      <c r="L2116" s="8" t="s">
        <v>34</v>
      </c>
      <c r="M2116" s="8" t="s">
        <v>70</v>
      </c>
      <c r="N2116" s="11">
        <v>45067.0</v>
      </c>
      <c r="O2116" s="11">
        <v>45153.0</v>
      </c>
      <c r="P2116" s="11">
        <v>45517.0</v>
      </c>
      <c r="Q2116" s="11">
        <v>45171.0</v>
      </c>
      <c r="R2116" s="11">
        <v>45535.0</v>
      </c>
      <c r="S2116" s="12"/>
      <c r="T2116" s="8" t="s">
        <v>36</v>
      </c>
      <c r="U2116" s="8" t="s">
        <v>8954</v>
      </c>
      <c r="V2116" s="13" t="s">
        <v>9970</v>
      </c>
      <c r="W2116" s="13" t="s">
        <v>10431</v>
      </c>
      <c r="X2116" s="12"/>
      <c r="Y2116" s="14"/>
      <c r="Z2116" s="14"/>
    </row>
    <row r="2117">
      <c r="A2117" s="8" t="s">
        <v>10432</v>
      </c>
      <c r="B2117" s="8" t="s">
        <v>10433</v>
      </c>
      <c r="C2117" s="8" t="s">
        <v>708</v>
      </c>
      <c r="D2117" s="8" t="s">
        <v>26</v>
      </c>
      <c r="E2117" s="8" t="s">
        <v>10434</v>
      </c>
      <c r="F2117" s="8">
        <v>5.1710333E7</v>
      </c>
      <c r="G2117" s="8" t="s">
        <v>54</v>
      </c>
      <c r="H2117" s="8" t="s">
        <v>1911</v>
      </c>
      <c r="I2117" s="8" t="s">
        <v>31</v>
      </c>
      <c r="J2117" s="8" t="s">
        <v>438</v>
      </c>
      <c r="K2117" s="10" t="s">
        <v>10435</v>
      </c>
      <c r="L2117" s="8" t="s">
        <v>34</v>
      </c>
      <c r="M2117" s="8" t="s">
        <v>70</v>
      </c>
      <c r="N2117" s="11">
        <v>45067.0</v>
      </c>
      <c r="O2117" s="11">
        <v>45085.0</v>
      </c>
      <c r="P2117" s="11">
        <v>45450.0</v>
      </c>
      <c r="Q2117" s="11">
        <v>45085.0</v>
      </c>
      <c r="R2117" s="11">
        <v>45450.0</v>
      </c>
      <c r="S2117" s="12"/>
      <c r="T2117" s="8" t="s">
        <v>121</v>
      </c>
      <c r="U2117" s="8" t="s">
        <v>10436</v>
      </c>
      <c r="V2117" s="13" t="s">
        <v>1912</v>
      </c>
      <c r="W2117" s="13" t="s">
        <v>10437</v>
      </c>
      <c r="X2117" s="12"/>
      <c r="Y2117" s="14"/>
      <c r="Z2117" s="14"/>
    </row>
    <row r="2118">
      <c r="A2118" s="8" t="s">
        <v>10438</v>
      </c>
      <c r="B2118" s="8" t="s">
        <v>10439</v>
      </c>
      <c r="C2118" s="8" t="s">
        <v>179</v>
      </c>
      <c r="D2118" s="8" t="s">
        <v>26</v>
      </c>
      <c r="E2118" s="8" t="s">
        <v>10440</v>
      </c>
      <c r="F2118" s="8">
        <v>5.550792937E9</v>
      </c>
      <c r="G2118" s="8" t="s">
        <v>31</v>
      </c>
      <c r="H2118" s="8" t="s">
        <v>86</v>
      </c>
      <c r="I2118" s="8" t="s">
        <v>284</v>
      </c>
      <c r="J2118" s="8" t="s">
        <v>793</v>
      </c>
      <c r="K2118" s="10" t="s">
        <v>2688</v>
      </c>
      <c r="L2118" s="8" t="s">
        <v>58</v>
      </c>
      <c r="M2118" s="8" t="s">
        <v>35</v>
      </c>
      <c r="N2118" s="11">
        <v>45067.0</v>
      </c>
      <c r="O2118" s="11">
        <v>45170.0</v>
      </c>
      <c r="P2118" s="11">
        <v>45212.0</v>
      </c>
      <c r="Q2118" s="11"/>
      <c r="R2118" s="11"/>
      <c r="S2118" s="12"/>
      <c r="T2118" s="8"/>
      <c r="U2118" s="8" t="s">
        <v>1038</v>
      </c>
      <c r="V2118" s="13" t="s">
        <v>175</v>
      </c>
      <c r="W2118" s="13" t="s">
        <v>10441</v>
      </c>
      <c r="X2118" s="12"/>
      <c r="Y2118" s="14"/>
      <c r="Z2118" s="14"/>
    </row>
    <row r="2119">
      <c r="A2119" s="8" t="s">
        <v>10442</v>
      </c>
      <c r="B2119" s="8" t="s">
        <v>10443</v>
      </c>
      <c r="C2119" s="8" t="s">
        <v>708</v>
      </c>
      <c r="D2119" s="8" t="s">
        <v>26</v>
      </c>
      <c r="E2119" s="8" t="s">
        <v>10444</v>
      </c>
      <c r="F2119" s="8">
        <v>1.153755097E9</v>
      </c>
      <c r="G2119" s="8" t="s">
        <v>284</v>
      </c>
      <c r="H2119" s="8" t="s">
        <v>673</v>
      </c>
      <c r="I2119" s="8" t="s">
        <v>31</v>
      </c>
      <c r="J2119" s="8" t="s">
        <v>292</v>
      </c>
      <c r="K2119" s="10" t="s">
        <v>1260</v>
      </c>
      <c r="L2119" s="8" t="s">
        <v>47</v>
      </c>
      <c r="M2119" s="8" t="s">
        <v>70</v>
      </c>
      <c r="N2119" s="11">
        <v>45067.0</v>
      </c>
      <c r="O2119" s="11">
        <v>45156.0</v>
      </c>
      <c r="P2119" s="11">
        <v>45345.0</v>
      </c>
      <c r="Q2119" s="11">
        <v>45160.0</v>
      </c>
      <c r="R2119" s="11">
        <v>45347.0</v>
      </c>
      <c r="S2119" s="12"/>
      <c r="T2119" s="8"/>
      <c r="U2119" s="8" t="s">
        <v>1261</v>
      </c>
      <c r="V2119" s="13" t="s">
        <v>38</v>
      </c>
      <c r="W2119" s="13" t="s">
        <v>10445</v>
      </c>
      <c r="X2119" s="12"/>
      <c r="Y2119" s="14"/>
      <c r="Z2119" s="14"/>
    </row>
    <row r="2120">
      <c r="A2120" s="8" t="s">
        <v>10446</v>
      </c>
      <c r="B2120" s="8" t="s">
        <v>10447</v>
      </c>
      <c r="C2120" s="8" t="s">
        <v>179</v>
      </c>
      <c r="D2120" s="8" t="s">
        <v>26</v>
      </c>
      <c r="E2120" s="8" t="s">
        <v>10448</v>
      </c>
      <c r="F2120" s="8">
        <v>5.6748871E7</v>
      </c>
      <c r="G2120" s="8" t="s">
        <v>54</v>
      </c>
      <c r="H2120" s="8" t="s">
        <v>369</v>
      </c>
      <c r="I2120" s="8" t="s">
        <v>31</v>
      </c>
      <c r="J2120" s="8" t="s">
        <v>43</v>
      </c>
      <c r="K2120" s="10" t="s">
        <v>9489</v>
      </c>
      <c r="L2120" s="8" t="s">
        <v>58</v>
      </c>
      <c r="M2120" s="8" t="s">
        <v>35</v>
      </c>
      <c r="N2120" s="11">
        <v>45067.0</v>
      </c>
      <c r="O2120" s="11">
        <v>45110.0</v>
      </c>
      <c r="P2120" s="11">
        <v>45156.0</v>
      </c>
      <c r="Q2120" s="11"/>
      <c r="R2120" s="11"/>
      <c r="S2120" s="12"/>
      <c r="T2120" s="8"/>
      <c r="U2120" s="8" t="s">
        <v>59</v>
      </c>
      <c r="V2120" s="13" t="s">
        <v>1671</v>
      </c>
      <c r="W2120" s="13" t="s">
        <v>10449</v>
      </c>
      <c r="X2120" s="12"/>
      <c r="Y2120" s="14"/>
      <c r="Z2120" s="14"/>
    </row>
    <row r="2121">
      <c r="A2121" s="8" t="s">
        <v>10450</v>
      </c>
      <c r="B2121" s="8" t="s">
        <v>10451</v>
      </c>
      <c r="C2121" s="8" t="s">
        <v>25</v>
      </c>
      <c r="D2121" s="8" t="s">
        <v>26</v>
      </c>
      <c r="E2121" s="8" t="s">
        <v>10452</v>
      </c>
      <c r="F2121" s="8"/>
      <c r="G2121" s="8" t="s">
        <v>31</v>
      </c>
      <c r="H2121" s="8" t="s">
        <v>167</v>
      </c>
      <c r="I2121" s="8" t="s">
        <v>284</v>
      </c>
      <c r="J2121" s="8" t="s">
        <v>589</v>
      </c>
      <c r="K2121" s="10" t="s">
        <v>10453</v>
      </c>
      <c r="L2121" s="8" t="s">
        <v>58</v>
      </c>
      <c r="M2121" s="8" t="s">
        <v>35</v>
      </c>
      <c r="N2121" s="11">
        <v>45067.0</v>
      </c>
      <c r="O2121" s="11">
        <v>45117.0</v>
      </c>
      <c r="P2121" s="11">
        <v>45159.0</v>
      </c>
      <c r="Q2121" s="11">
        <v>45118.0</v>
      </c>
      <c r="R2121" s="11">
        <v>45159.0</v>
      </c>
      <c r="S2121" s="12"/>
      <c r="T2121" s="8"/>
      <c r="U2121" s="8" t="s">
        <v>402</v>
      </c>
      <c r="V2121" s="13" t="s">
        <v>38</v>
      </c>
      <c r="W2121" s="13" t="s">
        <v>10454</v>
      </c>
      <c r="X2121" s="12"/>
      <c r="Y2121" s="14"/>
      <c r="Z2121" s="14"/>
    </row>
    <row r="2122">
      <c r="A2122" s="8" t="s">
        <v>10455</v>
      </c>
      <c r="B2122" s="8" t="s">
        <v>10456</v>
      </c>
      <c r="C2122" s="8" t="s">
        <v>64</v>
      </c>
      <c r="D2122" s="8" t="s">
        <v>26</v>
      </c>
      <c r="E2122" s="8" t="s">
        <v>10457</v>
      </c>
      <c r="F2122" s="8">
        <v>7.28947204E8</v>
      </c>
      <c r="G2122" s="8" t="s">
        <v>127</v>
      </c>
      <c r="H2122" s="8" t="s">
        <v>128</v>
      </c>
      <c r="I2122" s="8" t="s">
        <v>31</v>
      </c>
      <c r="J2122" s="8" t="s">
        <v>32</v>
      </c>
      <c r="K2122" s="10" t="s">
        <v>8474</v>
      </c>
      <c r="L2122" s="8" t="s">
        <v>58</v>
      </c>
      <c r="M2122" s="8" t="s">
        <v>35</v>
      </c>
      <c r="N2122" s="11">
        <v>45067.0</v>
      </c>
      <c r="O2122" s="11">
        <v>45138.0</v>
      </c>
      <c r="P2122" s="11">
        <v>45180.0</v>
      </c>
      <c r="Q2122" s="11">
        <v>45138.0</v>
      </c>
      <c r="R2122" s="11">
        <v>45180.0</v>
      </c>
      <c r="S2122" s="12"/>
      <c r="T2122" s="8"/>
      <c r="U2122" s="8" t="s">
        <v>59</v>
      </c>
      <c r="V2122" s="13" t="s">
        <v>1473</v>
      </c>
      <c r="W2122" s="13" t="s">
        <v>10458</v>
      </c>
      <c r="X2122" s="12"/>
      <c r="Y2122" s="14"/>
      <c r="Z2122" s="14"/>
    </row>
    <row r="2123">
      <c r="A2123" s="8" t="s">
        <v>10459</v>
      </c>
      <c r="B2123" s="8" t="s">
        <v>3295</v>
      </c>
      <c r="C2123" s="8" t="s">
        <v>179</v>
      </c>
      <c r="D2123" s="8" t="s">
        <v>26</v>
      </c>
      <c r="E2123" s="8" t="s">
        <v>10460</v>
      </c>
      <c r="F2123" s="8"/>
      <c r="G2123" s="8" t="s">
        <v>44</v>
      </c>
      <c r="H2123" s="8" t="s">
        <v>1588</v>
      </c>
      <c r="I2123" s="8" t="s">
        <v>31</v>
      </c>
      <c r="J2123" s="8" t="s">
        <v>43</v>
      </c>
      <c r="K2123" s="10" t="s">
        <v>10328</v>
      </c>
      <c r="L2123" s="8" t="s">
        <v>58</v>
      </c>
      <c r="M2123" s="8" t="s">
        <v>35</v>
      </c>
      <c r="N2123" s="11">
        <v>45067.0</v>
      </c>
      <c r="O2123" s="11">
        <v>45145.0</v>
      </c>
      <c r="P2123" s="11">
        <v>45191.0</v>
      </c>
      <c r="Q2123" s="11"/>
      <c r="R2123" s="11"/>
      <c r="S2123" s="12"/>
      <c r="T2123" s="8"/>
      <c r="U2123" s="8" t="s">
        <v>59</v>
      </c>
      <c r="V2123" s="13" t="s">
        <v>1588</v>
      </c>
      <c r="W2123" s="13" t="s">
        <v>10461</v>
      </c>
      <c r="X2123" s="12"/>
      <c r="Y2123" s="14"/>
      <c r="Z2123" s="14"/>
    </row>
    <row r="2124">
      <c r="A2124" s="8" t="s">
        <v>10462</v>
      </c>
      <c r="B2124" s="8" t="s">
        <v>10463</v>
      </c>
      <c r="C2124" s="8" t="s">
        <v>25</v>
      </c>
      <c r="D2124" s="8" t="s">
        <v>26</v>
      </c>
      <c r="E2124" s="8" t="s">
        <v>10464</v>
      </c>
      <c r="F2124" s="8">
        <v>5.37761704E9</v>
      </c>
      <c r="G2124" s="8" t="s">
        <v>31</v>
      </c>
      <c r="H2124" s="8" t="s">
        <v>102</v>
      </c>
      <c r="I2124" s="8" t="s">
        <v>284</v>
      </c>
      <c r="J2124" s="8" t="s">
        <v>1777</v>
      </c>
      <c r="K2124" s="10" t="s">
        <v>10465</v>
      </c>
      <c r="L2124" s="8" t="s">
        <v>58</v>
      </c>
      <c r="M2124" s="8" t="s">
        <v>35</v>
      </c>
      <c r="N2124" s="11">
        <v>45067.0</v>
      </c>
      <c r="O2124" s="11">
        <v>45122.0</v>
      </c>
      <c r="P2124" s="11">
        <v>45164.0</v>
      </c>
      <c r="Q2124" s="11">
        <v>45122.0</v>
      </c>
      <c r="R2124" s="11">
        <v>45164.0</v>
      </c>
      <c r="S2124" s="12"/>
      <c r="T2124" s="8"/>
      <c r="U2124" s="8" t="s">
        <v>153</v>
      </c>
      <c r="V2124" s="13" t="s">
        <v>102</v>
      </c>
      <c r="W2124" s="13" t="s">
        <v>10466</v>
      </c>
      <c r="X2124" s="12"/>
      <c r="Y2124" s="14"/>
      <c r="Z2124" s="14"/>
    </row>
    <row r="2125">
      <c r="A2125" s="8" t="s">
        <v>10467</v>
      </c>
      <c r="B2125" s="8" t="s">
        <v>4976</v>
      </c>
      <c r="C2125" s="8" t="s">
        <v>179</v>
      </c>
      <c r="D2125" s="8" t="s">
        <v>26</v>
      </c>
      <c r="E2125" s="8" t="s">
        <v>10468</v>
      </c>
      <c r="F2125" s="8">
        <v>5.313602061E9</v>
      </c>
      <c r="G2125" s="8" t="s">
        <v>31</v>
      </c>
      <c r="H2125" s="8" t="s">
        <v>86</v>
      </c>
      <c r="I2125" s="8" t="s">
        <v>127</v>
      </c>
      <c r="J2125" s="8" t="s">
        <v>128</v>
      </c>
      <c r="K2125" s="10" t="s">
        <v>10469</v>
      </c>
      <c r="L2125" s="8" t="s">
        <v>58</v>
      </c>
      <c r="M2125" s="8" t="s">
        <v>35</v>
      </c>
      <c r="N2125" s="11">
        <v>45068.0</v>
      </c>
      <c r="O2125" s="11">
        <v>45096.0</v>
      </c>
      <c r="P2125" s="11">
        <v>45138.0</v>
      </c>
      <c r="Q2125" s="11"/>
      <c r="R2125" s="11"/>
      <c r="S2125" s="12"/>
      <c r="T2125" s="8"/>
      <c r="U2125" s="8" t="s">
        <v>185</v>
      </c>
      <c r="V2125" s="13" t="s">
        <v>175</v>
      </c>
      <c r="W2125" s="13" t="s">
        <v>10470</v>
      </c>
      <c r="X2125" s="12"/>
      <c r="Y2125" s="14"/>
      <c r="Z2125" s="14"/>
    </row>
    <row r="2126">
      <c r="A2126" s="8" t="s">
        <v>10471</v>
      </c>
      <c r="B2126" s="8" t="s">
        <v>10472</v>
      </c>
      <c r="C2126" s="8" t="s">
        <v>708</v>
      </c>
      <c r="D2126" s="8" t="s">
        <v>26</v>
      </c>
      <c r="E2126" s="8" t="s">
        <v>10473</v>
      </c>
      <c r="F2126" s="8">
        <v>5.50138988E8</v>
      </c>
      <c r="G2126" s="8" t="s">
        <v>254</v>
      </c>
      <c r="H2126" s="8" t="s">
        <v>422</v>
      </c>
      <c r="I2126" s="8" t="s">
        <v>31</v>
      </c>
      <c r="J2126" s="8" t="s">
        <v>43</v>
      </c>
      <c r="K2126" s="10" t="s">
        <v>4255</v>
      </c>
      <c r="L2126" s="8" t="s">
        <v>47</v>
      </c>
      <c r="M2126" s="8" t="s">
        <v>70</v>
      </c>
      <c r="N2126" s="11">
        <v>45068.0</v>
      </c>
      <c r="O2126" s="11">
        <v>45173.0</v>
      </c>
      <c r="P2126" s="11">
        <v>45471.0</v>
      </c>
      <c r="Q2126" s="11">
        <v>45173.0</v>
      </c>
      <c r="R2126" s="11">
        <v>45471.0</v>
      </c>
      <c r="S2126" s="12"/>
      <c r="T2126" s="8"/>
      <c r="U2126" s="8" t="s">
        <v>246</v>
      </c>
      <c r="V2126" s="13" t="s">
        <v>425</v>
      </c>
      <c r="W2126" s="13" t="s">
        <v>10474</v>
      </c>
      <c r="X2126" s="12"/>
      <c r="Y2126" s="14"/>
      <c r="Z2126" s="14"/>
    </row>
    <row r="2127">
      <c r="A2127" s="8" t="s">
        <v>10475</v>
      </c>
      <c r="B2127" s="8" t="s">
        <v>10476</v>
      </c>
      <c r="C2127" s="8" t="s">
        <v>64</v>
      </c>
      <c r="D2127" s="8" t="s">
        <v>26</v>
      </c>
      <c r="E2127" s="8" t="s">
        <v>10477</v>
      </c>
      <c r="F2127" s="8">
        <v>1.011976742E9</v>
      </c>
      <c r="G2127" s="8" t="s">
        <v>284</v>
      </c>
      <c r="H2127" s="8" t="s">
        <v>3188</v>
      </c>
      <c r="I2127" s="8" t="s">
        <v>31</v>
      </c>
      <c r="J2127" s="8" t="s">
        <v>542</v>
      </c>
      <c r="K2127" s="10" t="s">
        <v>10478</v>
      </c>
      <c r="L2127" s="8" t="s">
        <v>58</v>
      </c>
      <c r="M2127" s="8" t="s">
        <v>35</v>
      </c>
      <c r="N2127" s="11">
        <v>45068.0</v>
      </c>
      <c r="O2127" s="11">
        <v>45159.0</v>
      </c>
      <c r="P2127" s="11">
        <v>45201.0</v>
      </c>
      <c r="Q2127" s="11">
        <v>45166.0</v>
      </c>
      <c r="R2127" s="11">
        <v>45208.0</v>
      </c>
      <c r="S2127" s="12"/>
      <c r="T2127" s="8"/>
      <c r="U2127" s="8" t="s">
        <v>161</v>
      </c>
      <c r="V2127" s="13" t="s">
        <v>3188</v>
      </c>
      <c r="W2127" s="13" t="s">
        <v>10479</v>
      </c>
      <c r="X2127" s="12"/>
      <c r="Y2127" s="14"/>
      <c r="Z2127" s="14"/>
    </row>
    <row r="2128">
      <c r="A2128" s="8" t="s">
        <v>10480</v>
      </c>
      <c r="B2128" s="8" t="s">
        <v>10481</v>
      </c>
      <c r="C2128" s="8" t="s">
        <v>335</v>
      </c>
      <c r="D2128" s="8" t="s">
        <v>26</v>
      </c>
      <c r="E2128" s="8" t="s">
        <v>10482</v>
      </c>
      <c r="F2128" s="8">
        <v>5.533430583E9</v>
      </c>
      <c r="G2128" s="8" t="s">
        <v>31</v>
      </c>
      <c r="H2128" s="8" t="s">
        <v>43</v>
      </c>
      <c r="I2128" s="8" t="s">
        <v>2381</v>
      </c>
      <c r="J2128" s="8" t="s">
        <v>3076</v>
      </c>
      <c r="K2128" s="10" t="s">
        <v>10483</v>
      </c>
      <c r="L2128" s="8" t="s">
        <v>58</v>
      </c>
      <c r="M2128" s="8" t="s">
        <v>35</v>
      </c>
      <c r="N2128" s="11">
        <v>45119.0</v>
      </c>
      <c r="O2128" s="11">
        <v>45122.0</v>
      </c>
      <c r="P2128" s="11">
        <v>45169.0</v>
      </c>
      <c r="Q2128" s="11"/>
      <c r="R2128" s="11"/>
      <c r="S2128" s="12"/>
      <c r="T2128" s="8"/>
      <c r="U2128" s="8" t="s">
        <v>59</v>
      </c>
      <c r="V2128" s="13" t="s">
        <v>43</v>
      </c>
      <c r="W2128" s="13" t="s">
        <v>10484</v>
      </c>
      <c r="X2128" s="12"/>
      <c r="Y2128" s="14"/>
      <c r="Z2128" s="14"/>
    </row>
    <row r="2129">
      <c r="A2129" s="8" t="s">
        <v>10485</v>
      </c>
      <c r="B2129" s="8" t="s">
        <v>5403</v>
      </c>
      <c r="C2129" s="8" t="s">
        <v>251</v>
      </c>
      <c r="D2129" s="8" t="s">
        <v>26</v>
      </c>
      <c r="E2129" s="8" t="s">
        <v>5404</v>
      </c>
      <c r="F2129" s="8">
        <v>9.50398726E8</v>
      </c>
      <c r="G2129" s="8" t="s">
        <v>1620</v>
      </c>
      <c r="H2129" s="8" t="s">
        <v>1635</v>
      </c>
      <c r="I2129" s="8" t="s">
        <v>31</v>
      </c>
      <c r="J2129" s="8" t="s">
        <v>542</v>
      </c>
      <c r="K2129" s="10" t="s">
        <v>10212</v>
      </c>
      <c r="L2129" s="8" t="s">
        <v>58</v>
      </c>
      <c r="M2129" s="8" t="s">
        <v>35</v>
      </c>
      <c r="N2129" s="11">
        <v>45068.0</v>
      </c>
      <c r="O2129" s="11">
        <v>45110.0</v>
      </c>
      <c r="P2129" s="11">
        <v>45152.0</v>
      </c>
      <c r="Q2129" s="11"/>
      <c r="R2129" s="11"/>
      <c r="S2129" s="12"/>
      <c r="T2129" s="8"/>
      <c r="U2129" s="8" t="s">
        <v>59</v>
      </c>
      <c r="V2129" s="13" t="s">
        <v>5405</v>
      </c>
      <c r="W2129" s="13" t="s">
        <v>5406</v>
      </c>
      <c r="X2129" s="12"/>
      <c r="Y2129" s="14"/>
      <c r="Z2129" s="14"/>
    </row>
    <row r="2130">
      <c r="A2130" s="8" t="s">
        <v>10486</v>
      </c>
      <c r="B2130" s="8" t="s">
        <v>10487</v>
      </c>
      <c r="C2130" s="8" t="s">
        <v>25</v>
      </c>
      <c r="D2130" s="8" t="s">
        <v>26</v>
      </c>
      <c r="E2130" s="8" t="s">
        <v>10488</v>
      </c>
      <c r="F2130" s="8">
        <v>7.776664E8</v>
      </c>
      <c r="G2130" s="8" t="s">
        <v>84</v>
      </c>
      <c r="H2130" s="8" t="s">
        <v>619</v>
      </c>
      <c r="I2130" s="8" t="s">
        <v>31</v>
      </c>
      <c r="J2130" s="8" t="s">
        <v>77</v>
      </c>
      <c r="K2130" s="10" t="s">
        <v>2537</v>
      </c>
      <c r="L2130" s="8" t="s">
        <v>58</v>
      </c>
      <c r="M2130" s="8" t="s">
        <v>35</v>
      </c>
      <c r="N2130" s="11">
        <v>45068.0</v>
      </c>
      <c r="O2130" s="11">
        <v>45159.0</v>
      </c>
      <c r="P2130" s="11">
        <v>45201.0</v>
      </c>
      <c r="Q2130" s="11">
        <v>45158.0</v>
      </c>
      <c r="R2130" s="11">
        <v>45201.0</v>
      </c>
      <c r="S2130" s="12"/>
      <c r="T2130" s="8"/>
      <c r="U2130" s="8" t="s">
        <v>88</v>
      </c>
      <c r="V2130" s="13" t="s">
        <v>9780</v>
      </c>
      <c r="W2130" s="13" t="s">
        <v>10489</v>
      </c>
      <c r="X2130" s="12"/>
      <c r="Y2130" s="14"/>
      <c r="Z2130" s="14"/>
    </row>
    <row r="2131">
      <c r="A2131" s="8" t="s">
        <v>10490</v>
      </c>
      <c r="B2131" s="8" t="s">
        <v>10491</v>
      </c>
      <c r="C2131" s="8" t="s">
        <v>25</v>
      </c>
      <c r="D2131" s="8" t="s">
        <v>26</v>
      </c>
      <c r="E2131" s="8" t="s">
        <v>10492</v>
      </c>
      <c r="F2131" s="8"/>
      <c r="G2131" s="8" t="s">
        <v>54</v>
      </c>
      <c r="H2131" s="8" t="s">
        <v>430</v>
      </c>
      <c r="I2131" s="8" t="s">
        <v>31</v>
      </c>
      <c r="J2131" s="8" t="s">
        <v>438</v>
      </c>
      <c r="K2131" s="10" t="s">
        <v>10418</v>
      </c>
      <c r="L2131" s="8" t="s">
        <v>58</v>
      </c>
      <c r="M2131" s="8" t="s">
        <v>35</v>
      </c>
      <c r="N2131" s="11">
        <v>45068.0</v>
      </c>
      <c r="O2131" s="11">
        <v>45152.0</v>
      </c>
      <c r="P2131" s="11">
        <v>45194.0</v>
      </c>
      <c r="Q2131" s="11">
        <v>45153.0</v>
      </c>
      <c r="R2131" s="11">
        <v>45194.0</v>
      </c>
      <c r="S2131" s="12"/>
      <c r="T2131" s="8"/>
      <c r="U2131" s="8" t="s">
        <v>1038</v>
      </c>
      <c r="V2131" s="13" t="s">
        <v>38</v>
      </c>
      <c r="W2131" s="13" t="s">
        <v>10493</v>
      </c>
      <c r="X2131" s="12"/>
      <c r="Y2131" s="14"/>
      <c r="Z2131" s="14"/>
    </row>
    <row r="2132">
      <c r="A2132" s="8" t="s">
        <v>10494</v>
      </c>
      <c r="B2132" s="8" t="s">
        <v>10495</v>
      </c>
      <c r="C2132" s="8" t="s">
        <v>251</v>
      </c>
      <c r="D2132" s="8" t="s">
        <v>26</v>
      </c>
      <c r="E2132" s="8" t="s">
        <v>10496</v>
      </c>
      <c r="F2132" s="8">
        <v>1.066000146E9</v>
      </c>
      <c r="G2132" s="8" t="s">
        <v>284</v>
      </c>
      <c r="H2132" s="8" t="s">
        <v>854</v>
      </c>
      <c r="I2132" s="8" t="s">
        <v>31</v>
      </c>
      <c r="J2132" s="8" t="s">
        <v>438</v>
      </c>
      <c r="K2132" s="10" t="s">
        <v>10418</v>
      </c>
      <c r="L2132" s="8" t="s">
        <v>58</v>
      </c>
      <c r="M2132" s="8" t="s">
        <v>35</v>
      </c>
      <c r="N2132" s="11">
        <v>45068.0</v>
      </c>
      <c r="O2132" s="11">
        <v>45152.0</v>
      </c>
      <c r="P2132" s="11">
        <v>45194.0</v>
      </c>
      <c r="Q2132" s="11"/>
      <c r="R2132" s="11"/>
      <c r="S2132" s="12"/>
      <c r="T2132" s="8"/>
      <c r="U2132" s="8" t="s">
        <v>1038</v>
      </c>
      <c r="V2132" s="13" t="s">
        <v>856</v>
      </c>
      <c r="W2132" s="13" t="s">
        <v>10497</v>
      </c>
      <c r="X2132" s="12"/>
      <c r="Y2132" s="14"/>
      <c r="Z2132" s="14"/>
    </row>
    <row r="2133">
      <c r="A2133" s="8" t="s">
        <v>10498</v>
      </c>
      <c r="B2133" s="8" t="s">
        <v>10499</v>
      </c>
      <c r="C2133" s="8" t="s">
        <v>179</v>
      </c>
      <c r="D2133" s="8" t="s">
        <v>26</v>
      </c>
      <c r="E2133" s="8" t="s">
        <v>10500</v>
      </c>
      <c r="F2133" s="8">
        <v>3.36271242E9</v>
      </c>
      <c r="G2133" s="8" t="s">
        <v>315</v>
      </c>
      <c r="H2133" s="8" t="s">
        <v>1833</v>
      </c>
      <c r="I2133" s="8" t="s">
        <v>31</v>
      </c>
      <c r="J2133" s="8" t="s">
        <v>542</v>
      </c>
      <c r="K2133" s="10" t="s">
        <v>8953</v>
      </c>
      <c r="L2133" s="8" t="s">
        <v>34</v>
      </c>
      <c r="M2133" s="8" t="s">
        <v>70</v>
      </c>
      <c r="N2133" s="11">
        <v>45068.0</v>
      </c>
      <c r="O2133" s="11">
        <v>45079.0</v>
      </c>
      <c r="P2133" s="11">
        <v>45443.0</v>
      </c>
      <c r="Q2133" s="11"/>
      <c r="R2133" s="11"/>
      <c r="S2133" s="12"/>
      <c r="T2133" s="8" t="s">
        <v>36</v>
      </c>
      <c r="U2133" s="8" t="s">
        <v>8954</v>
      </c>
      <c r="V2133" s="13" t="s">
        <v>2314</v>
      </c>
      <c r="W2133" s="13" t="s">
        <v>10501</v>
      </c>
      <c r="X2133" s="12"/>
      <c r="Y2133" s="14"/>
      <c r="Z2133" s="14"/>
    </row>
    <row r="2134">
      <c r="A2134" s="8" t="s">
        <v>10502</v>
      </c>
      <c r="B2134" s="8" t="s">
        <v>10503</v>
      </c>
      <c r="C2134" s="8" t="s">
        <v>25</v>
      </c>
      <c r="D2134" s="8" t="s">
        <v>26</v>
      </c>
      <c r="E2134" s="8" t="s">
        <v>10504</v>
      </c>
      <c r="F2134" s="8">
        <v>1.069293061E9</v>
      </c>
      <c r="G2134" s="8" t="s">
        <v>284</v>
      </c>
      <c r="H2134" s="8" t="s">
        <v>589</v>
      </c>
      <c r="I2134" s="8" t="s">
        <v>31</v>
      </c>
      <c r="J2134" s="8" t="s">
        <v>43</v>
      </c>
      <c r="K2134" s="10" t="s">
        <v>9489</v>
      </c>
      <c r="L2134" s="8" t="s">
        <v>58</v>
      </c>
      <c r="M2134" s="8" t="s">
        <v>35</v>
      </c>
      <c r="N2134" s="11">
        <v>45068.0</v>
      </c>
      <c r="O2134" s="11">
        <v>45110.0</v>
      </c>
      <c r="P2134" s="11">
        <v>45156.0</v>
      </c>
      <c r="Q2134" s="11">
        <v>45128.0</v>
      </c>
      <c r="R2134" s="11">
        <v>45168.0</v>
      </c>
      <c r="S2134" s="12"/>
      <c r="T2134" s="8"/>
      <c r="U2134" s="8" t="s">
        <v>59</v>
      </c>
      <c r="V2134" s="13" t="s">
        <v>10505</v>
      </c>
      <c r="W2134" s="13" t="s">
        <v>10506</v>
      </c>
      <c r="X2134" s="12"/>
      <c r="Y2134" s="14"/>
      <c r="Z2134" s="14"/>
    </row>
    <row r="2135">
      <c r="A2135" s="8" t="s">
        <v>10507</v>
      </c>
      <c r="B2135" s="8" t="s">
        <v>10508</v>
      </c>
      <c r="C2135" s="8" t="s">
        <v>708</v>
      </c>
      <c r="D2135" s="8" t="s">
        <v>26</v>
      </c>
      <c r="E2135" s="8" t="s">
        <v>10509</v>
      </c>
      <c r="F2135" s="8">
        <v>9.065823395E9</v>
      </c>
      <c r="G2135" s="8" t="s">
        <v>8356</v>
      </c>
      <c r="H2135" s="8" t="s">
        <v>10510</v>
      </c>
      <c r="I2135" s="8" t="s">
        <v>31</v>
      </c>
      <c r="J2135" s="8" t="s">
        <v>111</v>
      </c>
      <c r="K2135" s="10" t="s">
        <v>10511</v>
      </c>
      <c r="L2135" s="8" t="s">
        <v>47</v>
      </c>
      <c r="M2135" s="8" t="s">
        <v>70</v>
      </c>
      <c r="N2135" s="11">
        <v>45068.0</v>
      </c>
      <c r="O2135" s="11">
        <v>45152.0</v>
      </c>
      <c r="P2135" s="11">
        <v>45520.0</v>
      </c>
      <c r="Q2135" s="11">
        <v>45153.0</v>
      </c>
      <c r="R2135" s="11">
        <v>45521.0</v>
      </c>
      <c r="S2135" s="12"/>
      <c r="T2135" s="8"/>
      <c r="U2135" s="8" t="s">
        <v>10512</v>
      </c>
      <c r="V2135" s="13" t="s">
        <v>10510</v>
      </c>
      <c r="W2135" s="13" t="s">
        <v>10513</v>
      </c>
      <c r="X2135" s="12"/>
      <c r="Y2135" s="14"/>
      <c r="Z2135" s="14"/>
    </row>
    <row r="2136">
      <c r="A2136" s="8" t="s">
        <v>10514</v>
      </c>
      <c r="B2136" s="8" t="s">
        <v>10515</v>
      </c>
      <c r="C2136" s="8" t="s">
        <v>25</v>
      </c>
      <c r="D2136" s="8" t="s">
        <v>26</v>
      </c>
      <c r="E2136" s="8" t="s">
        <v>10516</v>
      </c>
      <c r="F2136" s="8">
        <v>5.1436336E7</v>
      </c>
      <c r="G2136" s="8" t="s">
        <v>54</v>
      </c>
      <c r="H2136" s="8" t="s">
        <v>430</v>
      </c>
      <c r="I2136" s="8" t="s">
        <v>31</v>
      </c>
      <c r="J2136" s="8" t="s">
        <v>438</v>
      </c>
      <c r="K2136" s="10" t="s">
        <v>10418</v>
      </c>
      <c r="L2136" s="8" t="s">
        <v>58</v>
      </c>
      <c r="M2136" s="8" t="s">
        <v>35</v>
      </c>
      <c r="N2136" s="11">
        <v>45068.0</v>
      </c>
      <c r="O2136" s="11">
        <v>45152.0</v>
      </c>
      <c r="P2136" s="11">
        <v>45194.0</v>
      </c>
      <c r="Q2136" s="11">
        <v>45153.0</v>
      </c>
      <c r="R2136" s="11">
        <v>45194.0</v>
      </c>
      <c r="S2136" s="12"/>
      <c r="T2136" s="8"/>
      <c r="U2136" s="8" t="s">
        <v>1038</v>
      </c>
      <c r="V2136" s="13" t="s">
        <v>4780</v>
      </c>
      <c r="W2136" s="13" t="s">
        <v>10517</v>
      </c>
      <c r="X2136" s="12"/>
      <c r="Y2136" s="14"/>
      <c r="Z2136" s="14"/>
    </row>
    <row r="2137">
      <c r="A2137" s="8" t="s">
        <v>10518</v>
      </c>
      <c r="B2137" s="8" t="s">
        <v>10519</v>
      </c>
      <c r="C2137" s="8" t="s">
        <v>25</v>
      </c>
      <c r="D2137" s="8" t="s">
        <v>26</v>
      </c>
      <c r="E2137" s="8" t="s">
        <v>10520</v>
      </c>
      <c r="F2137" s="8">
        <v>1.069995161E9</v>
      </c>
      <c r="G2137" s="8" t="s">
        <v>284</v>
      </c>
      <c r="H2137" s="8" t="s">
        <v>673</v>
      </c>
      <c r="I2137" s="8" t="s">
        <v>31</v>
      </c>
      <c r="J2137" s="8" t="s">
        <v>136</v>
      </c>
      <c r="K2137" s="10" t="s">
        <v>5299</v>
      </c>
      <c r="L2137" s="8" t="s">
        <v>58</v>
      </c>
      <c r="M2137" s="8" t="s">
        <v>35</v>
      </c>
      <c r="N2137" s="11">
        <v>45068.0</v>
      </c>
      <c r="O2137" s="11">
        <v>45159.0</v>
      </c>
      <c r="P2137" s="11">
        <v>45201.0</v>
      </c>
      <c r="Q2137" s="11">
        <v>45167.0</v>
      </c>
      <c r="R2137" s="11">
        <v>45207.0</v>
      </c>
      <c r="S2137" s="12"/>
      <c r="T2137" s="8"/>
      <c r="U2137" s="8" t="s">
        <v>59</v>
      </c>
      <c r="V2137" s="13" t="s">
        <v>38</v>
      </c>
      <c r="W2137" s="13" t="s">
        <v>10521</v>
      </c>
      <c r="X2137" s="12"/>
      <c r="Y2137" s="14"/>
      <c r="Z2137" s="14"/>
    </row>
    <row r="2138">
      <c r="A2138" s="8" t="s">
        <v>10522</v>
      </c>
      <c r="B2138" s="8" t="s">
        <v>10523</v>
      </c>
      <c r="C2138" s="8" t="s">
        <v>25</v>
      </c>
      <c r="D2138" s="8" t="s">
        <v>26</v>
      </c>
      <c r="E2138" s="8" t="s">
        <v>10524</v>
      </c>
      <c r="F2138" s="8">
        <v>5.6749337E7</v>
      </c>
      <c r="G2138" s="8" t="s">
        <v>54</v>
      </c>
      <c r="H2138" s="8" t="s">
        <v>430</v>
      </c>
      <c r="I2138" s="8" t="s">
        <v>31</v>
      </c>
      <c r="J2138" s="8" t="s">
        <v>438</v>
      </c>
      <c r="K2138" s="10" t="s">
        <v>8748</v>
      </c>
      <c r="L2138" s="8" t="s">
        <v>58</v>
      </c>
      <c r="M2138" s="8" t="s">
        <v>35</v>
      </c>
      <c r="N2138" s="11">
        <v>45068.0</v>
      </c>
      <c r="O2138" s="11">
        <v>45180.0</v>
      </c>
      <c r="P2138" s="11">
        <v>45222.0</v>
      </c>
      <c r="Q2138" s="11">
        <v>45188.0</v>
      </c>
      <c r="R2138" s="11">
        <v>45228.0</v>
      </c>
      <c r="S2138" s="12"/>
      <c r="T2138" s="8"/>
      <c r="U2138" s="8" t="s">
        <v>59</v>
      </c>
      <c r="V2138" s="13" t="s">
        <v>4780</v>
      </c>
      <c r="W2138" s="13" t="s">
        <v>10525</v>
      </c>
      <c r="X2138" s="12"/>
      <c r="Y2138" s="14"/>
      <c r="Z2138" s="14"/>
    </row>
    <row r="2139">
      <c r="A2139" s="8" t="s">
        <v>10526</v>
      </c>
      <c r="B2139" s="8" t="s">
        <v>10527</v>
      </c>
      <c r="C2139" s="8" t="s">
        <v>25</v>
      </c>
      <c r="D2139" s="8" t="s">
        <v>26</v>
      </c>
      <c r="E2139" s="8" t="s">
        <v>10528</v>
      </c>
      <c r="F2139" s="8">
        <v>5.070965204E9</v>
      </c>
      <c r="G2139" s="8" t="s">
        <v>31</v>
      </c>
      <c r="H2139" s="8" t="s">
        <v>32</v>
      </c>
      <c r="I2139" s="8" t="s">
        <v>127</v>
      </c>
      <c r="J2139" s="8" t="s">
        <v>128</v>
      </c>
      <c r="K2139" s="10" t="s">
        <v>10529</v>
      </c>
      <c r="L2139" s="8" t="s">
        <v>58</v>
      </c>
      <c r="M2139" s="8" t="s">
        <v>35</v>
      </c>
      <c r="N2139" s="11">
        <v>45068.0</v>
      </c>
      <c r="O2139" s="11">
        <v>45096.0</v>
      </c>
      <c r="P2139" s="11">
        <v>45138.0</v>
      </c>
      <c r="Q2139" s="11">
        <v>45096.0</v>
      </c>
      <c r="R2139" s="11">
        <v>45138.0</v>
      </c>
      <c r="S2139" s="12"/>
      <c r="T2139" s="8"/>
      <c r="U2139" s="8" t="s">
        <v>161</v>
      </c>
      <c r="V2139" s="13" t="s">
        <v>537</v>
      </c>
      <c r="W2139" s="13" t="s">
        <v>10530</v>
      </c>
      <c r="X2139" s="12"/>
      <c r="Y2139" s="14"/>
      <c r="Z2139" s="14"/>
    </row>
    <row r="2140">
      <c r="A2140" s="8" t="s">
        <v>10531</v>
      </c>
      <c r="B2140" s="8" t="s">
        <v>10532</v>
      </c>
      <c r="C2140" s="8" t="s">
        <v>25</v>
      </c>
      <c r="D2140" s="8" t="s">
        <v>26</v>
      </c>
      <c r="E2140" s="8" t="s">
        <v>10533</v>
      </c>
      <c r="F2140" s="8">
        <v>5.53409881E9</v>
      </c>
      <c r="G2140" s="8" t="s">
        <v>31</v>
      </c>
      <c r="H2140" s="8" t="s">
        <v>56</v>
      </c>
      <c r="I2140" s="8" t="s">
        <v>127</v>
      </c>
      <c r="J2140" s="8" t="s">
        <v>159</v>
      </c>
      <c r="K2140" s="10" t="s">
        <v>10534</v>
      </c>
      <c r="L2140" s="8" t="s">
        <v>58</v>
      </c>
      <c r="M2140" s="8" t="s">
        <v>35</v>
      </c>
      <c r="N2140" s="11">
        <v>45068.0</v>
      </c>
      <c r="O2140" s="11">
        <v>45110.0</v>
      </c>
      <c r="P2140" s="11">
        <v>45152.0</v>
      </c>
      <c r="Q2140" s="11">
        <v>45114.0</v>
      </c>
      <c r="R2140" s="11">
        <v>45154.0</v>
      </c>
      <c r="S2140" s="12"/>
      <c r="T2140" s="8"/>
      <c r="U2140" s="8" t="s">
        <v>161</v>
      </c>
      <c r="V2140" s="13" t="s">
        <v>56</v>
      </c>
      <c r="W2140" s="13" t="s">
        <v>10535</v>
      </c>
      <c r="X2140" s="12"/>
      <c r="Y2140" s="14"/>
      <c r="Z2140" s="14"/>
    </row>
    <row r="2141">
      <c r="A2141" s="8" t="s">
        <v>10536</v>
      </c>
      <c r="B2141" s="8" t="s">
        <v>10537</v>
      </c>
      <c r="C2141" s="8" t="s">
        <v>25</v>
      </c>
      <c r="D2141" s="8" t="s">
        <v>26</v>
      </c>
      <c r="E2141" s="8" t="s">
        <v>10538</v>
      </c>
      <c r="F2141" s="8"/>
      <c r="G2141" s="8" t="s">
        <v>31</v>
      </c>
      <c r="H2141" s="8" t="s">
        <v>56</v>
      </c>
      <c r="I2141" s="8" t="s">
        <v>8840</v>
      </c>
      <c r="J2141" s="8" t="s">
        <v>8847</v>
      </c>
      <c r="K2141" s="10" t="s">
        <v>8848</v>
      </c>
      <c r="L2141" s="8" t="s">
        <v>58</v>
      </c>
      <c r="M2141" s="8" t="s">
        <v>35</v>
      </c>
      <c r="N2141" s="11">
        <v>45068.0</v>
      </c>
      <c r="O2141" s="11">
        <v>45096.0</v>
      </c>
      <c r="P2141" s="11">
        <v>45138.0</v>
      </c>
      <c r="Q2141" s="11">
        <v>45098.0</v>
      </c>
      <c r="R2141" s="11">
        <v>45138.0</v>
      </c>
      <c r="S2141" s="12"/>
      <c r="T2141" s="8"/>
      <c r="U2141" s="8" t="s">
        <v>4870</v>
      </c>
      <c r="V2141" s="13" t="s">
        <v>56</v>
      </c>
      <c r="W2141" s="13" t="s">
        <v>10539</v>
      </c>
      <c r="X2141" s="12"/>
      <c r="Y2141" s="14"/>
      <c r="Z2141" s="14"/>
    </row>
    <row r="2142">
      <c r="A2142" s="8" t="s">
        <v>10540</v>
      </c>
      <c r="B2142" s="8" t="s">
        <v>10541</v>
      </c>
      <c r="C2142" s="8" t="s">
        <v>25</v>
      </c>
      <c r="D2142" s="8" t="s">
        <v>26</v>
      </c>
      <c r="E2142" s="8" t="s">
        <v>10542</v>
      </c>
      <c r="F2142" s="8"/>
      <c r="G2142" s="8" t="s">
        <v>31</v>
      </c>
      <c r="H2142" s="8" t="s">
        <v>56</v>
      </c>
      <c r="I2142" s="8" t="s">
        <v>127</v>
      </c>
      <c r="J2142" s="8" t="s">
        <v>128</v>
      </c>
      <c r="K2142" s="10" t="s">
        <v>10543</v>
      </c>
      <c r="L2142" s="8" t="s">
        <v>58</v>
      </c>
      <c r="M2142" s="8" t="s">
        <v>35</v>
      </c>
      <c r="N2142" s="11">
        <v>45068.0</v>
      </c>
      <c r="O2142" s="11">
        <v>45089.0</v>
      </c>
      <c r="P2142" s="11">
        <v>45131.0</v>
      </c>
      <c r="Q2142" s="11">
        <v>45090.0</v>
      </c>
      <c r="R2142" s="11">
        <v>45131.0</v>
      </c>
      <c r="S2142" s="12"/>
      <c r="T2142" s="8"/>
      <c r="U2142" s="8" t="s">
        <v>185</v>
      </c>
      <c r="V2142" s="13" t="s">
        <v>38</v>
      </c>
      <c r="W2142" s="13" t="s">
        <v>10544</v>
      </c>
      <c r="X2142" s="12"/>
      <c r="Y2142" s="14"/>
      <c r="Z2142" s="14"/>
    </row>
    <row r="2143">
      <c r="A2143" s="8" t="s">
        <v>10545</v>
      </c>
      <c r="B2143" s="8" t="s">
        <v>10546</v>
      </c>
      <c r="C2143" s="8" t="s">
        <v>25</v>
      </c>
      <c r="D2143" s="8" t="s">
        <v>26</v>
      </c>
      <c r="E2143" s="8" t="s">
        <v>10547</v>
      </c>
      <c r="F2143" s="8">
        <v>5.8408904E7</v>
      </c>
      <c r="G2143" s="8" t="s">
        <v>54</v>
      </c>
      <c r="H2143" s="8" t="s">
        <v>377</v>
      </c>
      <c r="I2143" s="8" t="s">
        <v>31</v>
      </c>
      <c r="J2143" s="8" t="s">
        <v>43</v>
      </c>
      <c r="K2143" s="10" t="s">
        <v>9489</v>
      </c>
      <c r="L2143" s="8" t="s">
        <v>58</v>
      </c>
      <c r="M2143" s="8" t="s">
        <v>35</v>
      </c>
      <c r="N2143" s="11">
        <v>45069.0</v>
      </c>
      <c r="O2143" s="11">
        <v>45110.0</v>
      </c>
      <c r="P2143" s="11">
        <v>45156.0</v>
      </c>
      <c r="Q2143" s="11">
        <v>45110.0</v>
      </c>
      <c r="R2143" s="11">
        <v>45156.0</v>
      </c>
      <c r="S2143" s="12"/>
      <c r="T2143" s="8"/>
      <c r="U2143" s="8" t="s">
        <v>59</v>
      </c>
      <c r="V2143" s="13" t="s">
        <v>1604</v>
      </c>
      <c r="W2143" s="13" t="s">
        <v>10548</v>
      </c>
      <c r="X2143" s="12"/>
      <c r="Y2143" s="14"/>
      <c r="Z2143" s="14"/>
    </row>
    <row r="2144">
      <c r="A2144" s="8" t="s">
        <v>10549</v>
      </c>
      <c r="B2144" s="8" t="s">
        <v>10550</v>
      </c>
      <c r="C2144" s="8" t="s">
        <v>179</v>
      </c>
      <c r="D2144" s="8" t="s">
        <v>26</v>
      </c>
      <c r="E2144" s="8" t="s">
        <v>10551</v>
      </c>
      <c r="F2144" s="8">
        <v>1.015164413E9</v>
      </c>
      <c r="G2144" s="8" t="s">
        <v>284</v>
      </c>
      <c r="H2144" s="8" t="s">
        <v>2065</v>
      </c>
      <c r="I2144" s="8" t="s">
        <v>31</v>
      </c>
      <c r="J2144" s="8" t="s">
        <v>43</v>
      </c>
      <c r="K2144" s="10" t="s">
        <v>10002</v>
      </c>
      <c r="L2144" s="8" t="s">
        <v>58</v>
      </c>
      <c r="M2144" s="8" t="s">
        <v>35</v>
      </c>
      <c r="N2144" s="11">
        <v>45069.0</v>
      </c>
      <c r="O2144" s="11">
        <v>45159.0</v>
      </c>
      <c r="P2144" s="11">
        <v>45205.0</v>
      </c>
      <c r="Q2144" s="11"/>
      <c r="R2144" s="11"/>
      <c r="S2144" s="12"/>
      <c r="T2144" s="8"/>
      <c r="U2144" s="8" t="s">
        <v>59</v>
      </c>
      <c r="V2144" s="13" t="s">
        <v>2065</v>
      </c>
      <c r="W2144" s="13" t="s">
        <v>10552</v>
      </c>
      <c r="X2144" s="12"/>
      <c r="Y2144" s="14"/>
      <c r="Z2144" s="14"/>
    </row>
    <row r="2145">
      <c r="A2145" s="8" t="s">
        <v>10553</v>
      </c>
      <c r="B2145" s="8" t="s">
        <v>10554</v>
      </c>
      <c r="C2145" s="8" t="s">
        <v>179</v>
      </c>
      <c r="D2145" s="8" t="s">
        <v>26</v>
      </c>
      <c r="E2145" s="8" t="s">
        <v>10555</v>
      </c>
      <c r="F2145" s="8"/>
      <c r="G2145" s="8" t="s">
        <v>284</v>
      </c>
      <c r="H2145" s="8" t="s">
        <v>2065</v>
      </c>
      <c r="I2145" s="8" t="s">
        <v>31</v>
      </c>
      <c r="J2145" s="8" t="s">
        <v>43</v>
      </c>
      <c r="K2145" s="10" t="s">
        <v>10002</v>
      </c>
      <c r="L2145" s="8" t="s">
        <v>58</v>
      </c>
      <c r="M2145" s="8" t="s">
        <v>35</v>
      </c>
      <c r="N2145" s="11">
        <v>45069.0</v>
      </c>
      <c r="O2145" s="11">
        <v>45159.0</v>
      </c>
      <c r="P2145" s="11">
        <v>45205.0</v>
      </c>
      <c r="Q2145" s="11"/>
      <c r="R2145" s="11"/>
      <c r="S2145" s="12"/>
      <c r="T2145" s="8"/>
      <c r="U2145" s="8" t="s">
        <v>59</v>
      </c>
      <c r="V2145" s="13" t="s">
        <v>38</v>
      </c>
      <c r="W2145" s="13" t="s">
        <v>10556</v>
      </c>
      <c r="X2145" s="12"/>
      <c r="Y2145" s="14"/>
      <c r="Z2145" s="14"/>
    </row>
    <row r="2146">
      <c r="A2146" s="8" t="s">
        <v>10557</v>
      </c>
      <c r="B2146" s="8" t="s">
        <v>10558</v>
      </c>
      <c r="C2146" s="8" t="s">
        <v>64</v>
      </c>
      <c r="D2146" s="8" t="s">
        <v>26</v>
      </c>
      <c r="E2146" s="8" t="s">
        <v>10559</v>
      </c>
      <c r="F2146" s="8">
        <v>9.2653213E7</v>
      </c>
      <c r="G2146" s="8" t="s">
        <v>54</v>
      </c>
      <c r="H2146" s="8" t="s">
        <v>55</v>
      </c>
      <c r="I2146" s="8" t="s">
        <v>31</v>
      </c>
      <c r="J2146" s="8" t="s">
        <v>111</v>
      </c>
      <c r="K2146" s="10" t="s">
        <v>2864</v>
      </c>
      <c r="L2146" s="8" t="s">
        <v>34</v>
      </c>
      <c r="M2146" s="8" t="s">
        <v>35</v>
      </c>
      <c r="N2146" s="11">
        <v>45069.0</v>
      </c>
      <c r="O2146" s="11">
        <v>45082.0</v>
      </c>
      <c r="P2146" s="11">
        <v>45143.0</v>
      </c>
      <c r="Q2146" s="11">
        <v>45085.0</v>
      </c>
      <c r="R2146" s="11">
        <v>45156.0</v>
      </c>
      <c r="S2146" s="12"/>
      <c r="T2146" s="8" t="s">
        <v>121</v>
      </c>
      <c r="U2146" s="8" t="s">
        <v>122</v>
      </c>
      <c r="V2146" s="13" t="s">
        <v>2871</v>
      </c>
      <c r="W2146" s="13" t="s">
        <v>10560</v>
      </c>
      <c r="X2146" s="12"/>
      <c r="Y2146" s="14"/>
      <c r="Z2146" s="14"/>
    </row>
    <row r="2147">
      <c r="A2147" s="8" t="s">
        <v>10561</v>
      </c>
      <c r="B2147" s="8" t="s">
        <v>4783</v>
      </c>
      <c r="C2147" s="8" t="s">
        <v>335</v>
      </c>
      <c r="D2147" s="8" t="s">
        <v>26</v>
      </c>
      <c r="E2147" s="8" t="s">
        <v>10562</v>
      </c>
      <c r="F2147" s="8">
        <v>5.535706835E9</v>
      </c>
      <c r="G2147" s="8" t="s">
        <v>31</v>
      </c>
      <c r="H2147" s="8" t="s">
        <v>292</v>
      </c>
      <c r="I2147" s="8" t="s">
        <v>284</v>
      </c>
      <c r="J2147" s="8" t="s">
        <v>691</v>
      </c>
      <c r="K2147" s="10" t="s">
        <v>10563</v>
      </c>
      <c r="L2147" s="8" t="s">
        <v>47</v>
      </c>
      <c r="M2147" s="8" t="s">
        <v>48</v>
      </c>
      <c r="N2147" s="11">
        <v>45138.0</v>
      </c>
      <c r="O2147" s="11">
        <v>45108.0</v>
      </c>
      <c r="P2147" s="11">
        <v>45289.0</v>
      </c>
      <c r="Q2147" s="11"/>
      <c r="R2147" s="11"/>
      <c r="S2147" s="12"/>
      <c r="T2147" s="8"/>
      <c r="U2147" s="8" t="s">
        <v>246</v>
      </c>
      <c r="V2147" s="13" t="s">
        <v>292</v>
      </c>
      <c r="W2147" s="13" t="s">
        <v>10564</v>
      </c>
      <c r="X2147" s="12"/>
      <c r="Y2147" s="14"/>
      <c r="Z2147" s="14"/>
    </row>
    <row r="2148">
      <c r="A2148" s="8" t="s">
        <v>10565</v>
      </c>
      <c r="B2148" s="8" t="s">
        <v>10566</v>
      </c>
      <c r="C2148" s="8" t="s">
        <v>179</v>
      </c>
      <c r="D2148" s="8" t="s">
        <v>26</v>
      </c>
      <c r="E2148" s="8" t="s">
        <v>10567</v>
      </c>
      <c r="F2148" s="8">
        <v>1.151773375E9</v>
      </c>
      <c r="G2148" s="8" t="s">
        <v>284</v>
      </c>
      <c r="H2148" s="8" t="s">
        <v>1450</v>
      </c>
      <c r="I2148" s="8" t="s">
        <v>31</v>
      </c>
      <c r="J2148" s="8" t="s">
        <v>438</v>
      </c>
      <c r="K2148" s="10" t="s">
        <v>10418</v>
      </c>
      <c r="L2148" s="8" t="s">
        <v>58</v>
      </c>
      <c r="M2148" s="8" t="s">
        <v>35</v>
      </c>
      <c r="N2148" s="11">
        <v>45069.0</v>
      </c>
      <c r="O2148" s="11">
        <v>45152.0</v>
      </c>
      <c r="P2148" s="11">
        <v>45194.0</v>
      </c>
      <c r="Q2148" s="11"/>
      <c r="R2148" s="11"/>
      <c r="S2148" s="12"/>
      <c r="T2148" s="8"/>
      <c r="U2148" s="8" t="s">
        <v>1038</v>
      </c>
      <c r="V2148" s="13" t="s">
        <v>38</v>
      </c>
      <c r="W2148" s="13" t="s">
        <v>10568</v>
      </c>
      <c r="X2148" s="12"/>
      <c r="Y2148" s="14"/>
      <c r="Z2148" s="14"/>
    </row>
    <row r="2149">
      <c r="A2149" s="8" t="s">
        <v>10569</v>
      </c>
      <c r="B2149" s="8" t="s">
        <v>10570</v>
      </c>
      <c r="C2149" s="8" t="s">
        <v>25</v>
      </c>
      <c r="D2149" s="8" t="s">
        <v>26</v>
      </c>
      <c r="E2149" s="8" t="s">
        <v>10571</v>
      </c>
      <c r="F2149" s="8"/>
      <c r="G2149" s="8" t="s">
        <v>127</v>
      </c>
      <c r="H2149" s="8" t="s">
        <v>159</v>
      </c>
      <c r="I2149" s="8" t="s">
        <v>31</v>
      </c>
      <c r="J2149" s="8" t="s">
        <v>77</v>
      </c>
      <c r="K2149" s="10" t="s">
        <v>2537</v>
      </c>
      <c r="L2149" s="8" t="s">
        <v>58</v>
      </c>
      <c r="M2149" s="8" t="s">
        <v>35</v>
      </c>
      <c r="N2149" s="11">
        <v>45069.0</v>
      </c>
      <c r="O2149" s="11">
        <v>45159.0</v>
      </c>
      <c r="P2149" s="11">
        <v>45201.0</v>
      </c>
      <c r="Q2149" s="11">
        <v>45158.0</v>
      </c>
      <c r="R2149" s="11">
        <v>45201.0</v>
      </c>
      <c r="S2149" s="12"/>
      <c r="T2149" s="8"/>
      <c r="U2149" s="8" t="s">
        <v>88</v>
      </c>
      <c r="V2149" s="13" t="s">
        <v>38</v>
      </c>
      <c r="W2149" s="13" t="s">
        <v>10572</v>
      </c>
      <c r="X2149" s="12"/>
      <c r="Y2149" s="14"/>
      <c r="Z2149" s="14"/>
    </row>
    <row r="2150">
      <c r="A2150" s="8" t="s">
        <v>10573</v>
      </c>
      <c r="B2150" s="8" t="s">
        <v>10574</v>
      </c>
      <c r="C2150" s="8" t="s">
        <v>25</v>
      </c>
      <c r="D2150" s="8" t="s">
        <v>26</v>
      </c>
      <c r="E2150" s="8" t="s">
        <v>10575</v>
      </c>
      <c r="F2150" s="8">
        <v>7.41082154E8</v>
      </c>
      <c r="G2150" s="8" t="s">
        <v>127</v>
      </c>
      <c r="H2150" s="8" t="s">
        <v>159</v>
      </c>
      <c r="I2150" s="8" t="s">
        <v>31</v>
      </c>
      <c r="J2150" s="8" t="s">
        <v>77</v>
      </c>
      <c r="K2150" s="10" t="s">
        <v>2537</v>
      </c>
      <c r="L2150" s="8" t="s">
        <v>58</v>
      </c>
      <c r="M2150" s="8" t="s">
        <v>35</v>
      </c>
      <c r="N2150" s="11">
        <v>45069.0</v>
      </c>
      <c r="O2150" s="11">
        <v>45159.0</v>
      </c>
      <c r="P2150" s="11">
        <v>45201.0</v>
      </c>
      <c r="Q2150" s="11">
        <v>45158.0</v>
      </c>
      <c r="R2150" s="11">
        <v>45201.0</v>
      </c>
      <c r="S2150" s="12"/>
      <c r="T2150" s="8"/>
      <c r="U2150" s="8" t="s">
        <v>88</v>
      </c>
      <c r="V2150" s="13" t="s">
        <v>159</v>
      </c>
      <c r="W2150" s="13" t="s">
        <v>10576</v>
      </c>
      <c r="X2150" s="12"/>
      <c r="Y2150" s="14"/>
      <c r="Z2150" s="14"/>
    </row>
    <row r="2151">
      <c r="A2151" s="8" t="s">
        <v>10577</v>
      </c>
      <c r="B2151" s="8" t="s">
        <v>10578</v>
      </c>
      <c r="C2151" s="8" t="s">
        <v>179</v>
      </c>
      <c r="D2151" s="8" t="s">
        <v>26</v>
      </c>
      <c r="E2151" s="8" t="s">
        <v>10579</v>
      </c>
      <c r="F2151" s="8">
        <v>2.01158707795E11</v>
      </c>
      <c r="G2151" s="8" t="s">
        <v>284</v>
      </c>
      <c r="H2151" s="8" t="s">
        <v>2065</v>
      </c>
      <c r="I2151" s="8" t="s">
        <v>31</v>
      </c>
      <c r="J2151" s="8" t="s">
        <v>136</v>
      </c>
      <c r="K2151" s="10" t="s">
        <v>2354</v>
      </c>
      <c r="L2151" s="8" t="s">
        <v>58</v>
      </c>
      <c r="M2151" s="8" t="s">
        <v>35</v>
      </c>
      <c r="N2151" s="11">
        <v>45069.0</v>
      </c>
      <c r="O2151" s="11">
        <v>45509.0</v>
      </c>
      <c r="P2151" s="11">
        <v>45551.0</v>
      </c>
      <c r="Q2151" s="11"/>
      <c r="R2151" s="11"/>
      <c r="S2151" s="12"/>
      <c r="T2151" s="8"/>
      <c r="U2151" s="8" t="s">
        <v>59</v>
      </c>
      <c r="V2151" s="13" t="s">
        <v>38</v>
      </c>
      <c r="W2151" s="13" t="s">
        <v>10580</v>
      </c>
      <c r="X2151" s="12"/>
      <c r="Y2151" s="14"/>
      <c r="Z2151" s="14"/>
    </row>
    <row r="2152">
      <c r="A2152" s="8" t="s">
        <v>10581</v>
      </c>
      <c r="B2152" s="8" t="s">
        <v>10582</v>
      </c>
      <c r="C2152" s="8" t="s">
        <v>708</v>
      </c>
      <c r="D2152" s="8" t="s">
        <v>26</v>
      </c>
      <c r="E2152" s="8" t="s">
        <v>10583</v>
      </c>
      <c r="F2152" s="8">
        <v>8.849845272E9</v>
      </c>
      <c r="G2152" s="8" t="s">
        <v>44</v>
      </c>
      <c r="H2152" s="8" t="s">
        <v>2348</v>
      </c>
      <c r="I2152" s="8" t="s">
        <v>31</v>
      </c>
      <c r="J2152" s="8" t="s">
        <v>77</v>
      </c>
      <c r="K2152" s="10" t="s">
        <v>10584</v>
      </c>
      <c r="L2152" s="8" t="s">
        <v>47</v>
      </c>
      <c r="M2152" s="8" t="s">
        <v>70</v>
      </c>
      <c r="N2152" s="11">
        <v>45069.0</v>
      </c>
      <c r="O2152" s="11">
        <v>45170.0</v>
      </c>
      <c r="P2152" s="11">
        <v>45534.0</v>
      </c>
      <c r="Q2152" s="11">
        <v>45169.0</v>
      </c>
      <c r="R2152" s="11">
        <v>45534.0</v>
      </c>
      <c r="S2152" s="12"/>
      <c r="T2152" s="8"/>
      <c r="U2152" s="8" t="s">
        <v>10585</v>
      </c>
      <c r="V2152" s="13" t="s">
        <v>10586</v>
      </c>
      <c r="W2152" s="13" t="s">
        <v>10587</v>
      </c>
      <c r="X2152" s="12"/>
      <c r="Y2152" s="14"/>
      <c r="Z2152" s="14"/>
    </row>
    <row r="2153">
      <c r="A2153" s="8" t="s">
        <v>10588</v>
      </c>
      <c r="B2153" s="8" t="s">
        <v>10589</v>
      </c>
      <c r="C2153" s="8" t="s">
        <v>179</v>
      </c>
      <c r="D2153" s="8" t="s">
        <v>26</v>
      </c>
      <c r="E2153" s="8" t="s">
        <v>10590</v>
      </c>
      <c r="F2153" s="8">
        <v>1.5502554E9</v>
      </c>
      <c r="G2153" s="8" t="s">
        <v>284</v>
      </c>
      <c r="H2153" s="8" t="s">
        <v>2065</v>
      </c>
      <c r="I2153" s="8" t="s">
        <v>31</v>
      </c>
      <c r="J2153" s="8" t="s">
        <v>136</v>
      </c>
      <c r="K2153" s="10" t="s">
        <v>2354</v>
      </c>
      <c r="L2153" s="8" t="s">
        <v>58</v>
      </c>
      <c r="M2153" s="8" t="s">
        <v>35</v>
      </c>
      <c r="N2153" s="11">
        <v>45069.0</v>
      </c>
      <c r="O2153" s="11">
        <v>45509.0</v>
      </c>
      <c r="P2153" s="11">
        <v>45551.0</v>
      </c>
      <c r="Q2153" s="11"/>
      <c r="R2153" s="11"/>
      <c r="S2153" s="12"/>
      <c r="T2153" s="8"/>
      <c r="U2153" s="8" t="s">
        <v>59</v>
      </c>
      <c r="V2153" s="13" t="s">
        <v>5762</v>
      </c>
      <c r="W2153" s="13" t="s">
        <v>10591</v>
      </c>
      <c r="X2153" s="12"/>
      <c r="Y2153" s="14"/>
      <c r="Z2153" s="14"/>
    </row>
    <row r="2154">
      <c r="A2154" s="8" t="s">
        <v>10592</v>
      </c>
      <c r="B2154" s="8" t="s">
        <v>10593</v>
      </c>
      <c r="C2154" s="8" t="s">
        <v>25</v>
      </c>
      <c r="D2154" s="8" t="s">
        <v>26</v>
      </c>
      <c r="E2154" s="8" t="s">
        <v>10594</v>
      </c>
      <c r="F2154" s="8">
        <v>9.7400716E7</v>
      </c>
      <c r="G2154" s="8" t="s">
        <v>54</v>
      </c>
      <c r="H2154" s="8" t="s">
        <v>135</v>
      </c>
      <c r="I2154" s="8" t="s">
        <v>31</v>
      </c>
      <c r="J2154" s="8" t="s">
        <v>542</v>
      </c>
      <c r="K2154" s="10" t="s">
        <v>10478</v>
      </c>
      <c r="L2154" s="8" t="s">
        <v>58</v>
      </c>
      <c r="M2154" s="8" t="s">
        <v>35</v>
      </c>
      <c r="N2154" s="11">
        <v>45069.0</v>
      </c>
      <c r="O2154" s="11">
        <v>45110.0</v>
      </c>
      <c r="P2154" s="11">
        <v>45152.0</v>
      </c>
      <c r="Q2154" s="11">
        <v>45111.0</v>
      </c>
      <c r="R2154" s="11">
        <v>45152.0</v>
      </c>
      <c r="S2154" s="12"/>
      <c r="T2154" s="8"/>
      <c r="U2154" s="8" t="s">
        <v>161</v>
      </c>
      <c r="V2154" s="13" t="s">
        <v>346</v>
      </c>
      <c r="W2154" s="13" t="s">
        <v>10595</v>
      </c>
      <c r="X2154" s="12"/>
      <c r="Y2154" s="14"/>
      <c r="Z2154" s="14"/>
    </row>
    <row r="2155">
      <c r="A2155" s="8" t="s">
        <v>10596</v>
      </c>
      <c r="B2155" s="8" t="s">
        <v>10597</v>
      </c>
      <c r="C2155" s="8" t="s">
        <v>708</v>
      </c>
      <c r="D2155" s="8" t="s">
        <v>26</v>
      </c>
      <c r="E2155" s="8" t="s">
        <v>10598</v>
      </c>
      <c r="F2155" s="8">
        <v>9.4835122E7</v>
      </c>
      <c r="G2155" s="8" t="s">
        <v>54</v>
      </c>
      <c r="H2155" s="8" t="s">
        <v>244</v>
      </c>
      <c r="I2155" s="8" t="s">
        <v>31</v>
      </c>
      <c r="J2155" s="8" t="s">
        <v>542</v>
      </c>
      <c r="K2155" s="10" t="s">
        <v>10599</v>
      </c>
      <c r="L2155" s="8" t="s">
        <v>47</v>
      </c>
      <c r="M2155" s="8" t="s">
        <v>70</v>
      </c>
      <c r="N2155" s="11">
        <v>45069.0</v>
      </c>
      <c r="O2155" s="11">
        <v>45082.0</v>
      </c>
      <c r="P2155" s="11">
        <v>45444.0</v>
      </c>
      <c r="Q2155" s="11">
        <v>45083.0</v>
      </c>
      <c r="R2155" s="11">
        <v>45445.0</v>
      </c>
      <c r="S2155" s="12"/>
      <c r="T2155" s="8"/>
      <c r="U2155" s="8" t="s">
        <v>246</v>
      </c>
      <c r="V2155" s="13" t="s">
        <v>247</v>
      </c>
      <c r="W2155" s="13" t="s">
        <v>10600</v>
      </c>
      <c r="X2155" s="12"/>
      <c r="Y2155" s="14"/>
      <c r="Z2155" s="14"/>
    </row>
    <row r="2156">
      <c r="A2156" s="8" t="s">
        <v>10601</v>
      </c>
      <c r="B2156" s="8" t="s">
        <v>10602</v>
      </c>
      <c r="C2156" s="8" t="s">
        <v>179</v>
      </c>
      <c r="D2156" s="8" t="s">
        <v>26</v>
      </c>
      <c r="E2156" s="8" t="s">
        <v>10603</v>
      </c>
      <c r="F2156" s="8">
        <v>5.458512766E9</v>
      </c>
      <c r="G2156" s="8" t="s">
        <v>31</v>
      </c>
      <c r="H2156" s="8" t="s">
        <v>111</v>
      </c>
      <c r="I2156" s="8" t="s">
        <v>109</v>
      </c>
      <c r="J2156" s="8" t="s">
        <v>1921</v>
      </c>
      <c r="K2156" s="10" t="s">
        <v>10604</v>
      </c>
      <c r="L2156" s="8" t="s">
        <v>34</v>
      </c>
      <c r="M2156" s="8" t="s">
        <v>35</v>
      </c>
      <c r="N2156" s="11">
        <v>45069.0</v>
      </c>
      <c r="O2156" s="11">
        <v>45110.0</v>
      </c>
      <c r="P2156" s="11">
        <v>45166.0</v>
      </c>
      <c r="Q2156" s="11"/>
      <c r="R2156" s="11"/>
      <c r="S2156" s="12"/>
      <c r="T2156" s="8" t="s">
        <v>205</v>
      </c>
      <c r="U2156" s="8" t="s">
        <v>10605</v>
      </c>
      <c r="V2156" s="13" t="s">
        <v>111</v>
      </c>
      <c r="W2156" s="13" t="s">
        <v>10606</v>
      </c>
      <c r="X2156" s="12"/>
      <c r="Y2156" s="14"/>
      <c r="Z2156" s="14"/>
    </row>
    <row r="2157">
      <c r="A2157" s="8" t="s">
        <v>10607</v>
      </c>
      <c r="B2157" s="8" t="s">
        <v>10608</v>
      </c>
      <c r="C2157" s="8" t="s">
        <v>25</v>
      </c>
      <c r="D2157" s="8" t="s">
        <v>26</v>
      </c>
      <c r="E2157" s="8" t="s">
        <v>10609</v>
      </c>
      <c r="F2157" s="8"/>
      <c r="G2157" s="8" t="s">
        <v>496</v>
      </c>
      <c r="H2157" s="8" t="s">
        <v>2112</v>
      </c>
      <c r="I2157" s="8" t="s">
        <v>31</v>
      </c>
      <c r="J2157" s="8" t="s">
        <v>77</v>
      </c>
      <c r="K2157" s="10" t="s">
        <v>94</v>
      </c>
      <c r="L2157" s="8" t="s">
        <v>58</v>
      </c>
      <c r="M2157" s="8" t="s">
        <v>35</v>
      </c>
      <c r="N2157" s="11">
        <v>45069.0</v>
      </c>
      <c r="O2157" s="11">
        <v>45110.0</v>
      </c>
      <c r="P2157" s="11">
        <v>45152.0</v>
      </c>
      <c r="Q2157" s="11">
        <v>45110.0</v>
      </c>
      <c r="R2157" s="11">
        <v>45152.0</v>
      </c>
      <c r="S2157" s="12"/>
      <c r="T2157" s="8"/>
      <c r="U2157" s="8" t="s">
        <v>59</v>
      </c>
      <c r="V2157" s="13" t="s">
        <v>38</v>
      </c>
      <c r="W2157" s="13" t="s">
        <v>10610</v>
      </c>
      <c r="X2157" s="12"/>
      <c r="Y2157" s="14"/>
      <c r="Z2157" s="14"/>
    </row>
    <row r="2158">
      <c r="A2158" s="8" t="s">
        <v>10611</v>
      </c>
      <c r="B2158" s="8" t="s">
        <v>10612</v>
      </c>
      <c r="C2158" s="8" t="s">
        <v>64</v>
      </c>
      <c r="D2158" s="8" t="s">
        <v>26</v>
      </c>
      <c r="E2158" s="8" t="s">
        <v>10613</v>
      </c>
      <c r="F2158" s="8">
        <v>1.067889135E9</v>
      </c>
      <c r="G2158" s="8" t="s">
        <v>284</v>
      </c>
      <c r="H2158" s="8" t="s">
        <v>673</v>
      </c>
      <c r="I2158" s="8" t="s">
        <v>31</v>
      </c>
      <c r="J2158" s="8" t="s">
        <v>32</v>
      </c>
      <c r="K2158" s="10" t="s">
        <v>1095</v>
      </c>
      <c r="L2158" s="8" t="s">
        <v>58</v>
      </c>
      <c r="M2158" s="8" t="s">
        <v>35</v>
      </c>
      <c r="N2158" s="11">
        <v>45069.0</v>
      </c>
      <c r="O2158" s="11">
        <v>45256.0</v>
      </c>
      <c r="P2158" s="11">
        <v>45298.0</v>
      </c>
      <c r="Q2158" s="11">
        <v>45258.0</v>
      </c>
      <c r="R2158" s="11">
        <v>45300.0</v>
      </c>
      <c r="S2158" s="12"/>
      <c r="T2158" s="8"/>
      <c r="U2158" s="8" t="s">
        <v>59</v>
      </c>
      <c r="V2158" s="13" t="s">
        <v>674</v>
      </c>
      <c r="W2158" s="13" t="s">
        <v>10614</v>
      </c>
      <c r="X2158" s="12"/>
      <c r="Y2158" s="14"/>
      <c r="Z2158" s="14"/>
    </row>
    <row r="2159">
      <c r="A2159" s="8" t="s">
        <v>10615</v>
      </c>
      <c r="B2159" s="8" t="s">
        <v>10616</v>
      </c>
      <c r="C2159" s="8" t="s">
        <v>25</v>
      </c>
      <c r="D2159" s="8" t="s">
        <v>26</v>
      </c>
      <c r="E2159" s="8" t="s">
        <v>10617</v>
      </c>
      <c r="F2159" s="8">
        <v>7.51899856E8</v>
      </c>
      <c r="G2159" s="8" t="s">
        <v>127</v>
      </c>
      <c r="H2159" s="8" t="s">
        <v>363</v>
      </c>
      <c r="I2159" s="8" t="s">
        <v>31</v>
      </c>
      <c r="J2159" s="8" t="s">
        <v>167</v>
      </c>
      <c r="K2159" s="10" t="s">
        <v>10618</v>
      </c>
      <c r="L2159" s="8" t="s">
        <v>58</v>
      </c>
      <c r="M2159" s="8" t="s">
        <v>35</v>
      </c>
      <c r="N2159" s="11">
        <v>45069.0</v>
      </c>
      <c r="O2159" s="11">
        <v>45152.0</v>
      </c>
      <c r="P2159" s="11">
        <v>45194.0</v>
      </c>
      <c r="Q2159" s="11">
        <v>45153.0</v>
      </c>
      <c r="R2159" s="11">
        <v>45194.0</v>
      </c>
      <c r="S2159" s="12"/>
      <c r="T2159" s="8"/>
      <c r="U2159" s="8" t="s">
        <v>88</v>
      </c>
      <c r="V2159" s="13" t="s">
        <v>4481</v>
      </c>
      <c r="W2159" s="13" t="s">
        <v>10619</v>
      </c>
      <c r="X2159" s="12"/>
      <c r="Y2159" s="14"/>
      <c r="Z2159" s="14"/>
    </row>
    <row r="2160">
      <c r="A2160" s="8" t="s">
        <v>10620</v>
      </c>
      <c r="B2160" s="8" t="s">
        <v>10621</v>
      </c>
      <c r="C2160" s="8" t="s">
        <v>25</v>
      </c>
      <c r="D2160" s="8" t="s">
        <v>26</v>
      </c>
      <c r="E2160" s="8" t="s">
        <v>10622</v>
      </c>
      <c r="F2160" s="8"/>
      <c r="G2160" s="8" t="s">
        <v>127</v>
      </c>
      <c r="H2160" s="8" t="s">
        <v>363</v>
      </c>
      <c r="I2160" s="8" t="s">
        <v>31</v>
      </c>
      <c r="J2160" s="8" t="s">
        <v>86</v>
      </c>
      <c r="K2160" s="10" t="s">
        <v>3621</v>
      </c>
      <c r="L2160" s="8" t="s">
        <v>58</v>
      </c>
      <c r="M2160" s="8" t="s">
        <v>35</v>
      </c>
      <c r="N2160" s="11">
        <v>45069.0</v>
      </c>
      <c r="O2160" s="11">
        <v>45110.0</v>
      </c>
      <c r="P2160" s="11">
        <v>45152.0</v>
      </c>
      <c r="Q2160" s="11">
        <v>45110.0</v>
      </c>
      <c r="R2160" s="11">
        <v>45152.0</v>
      </c>
      <c r="S2160" s="12"/>
      <c r="T2160" s="8"/>
      <c r="U2160" s="8" t="s">
        <v>153</v>
      </c>
      <c r="V2160" s="13" t="s">
        <v>38</v>
      </c>
      <c r="W2160" s="13" t="s">
        <v>10623</v>
      </c>
      <c r="X2160" s="12"/>
      <c r="Y2160" s="14"/>
      <c r="Z2160" s="14"/>
    </row>
    <row r="2161">
      <c r="A2161" s="8" t="s">
        <v>10624</v>
      </c>
      <c r="B2161" s="8" t="s">
        <v>3983</v>
      </c>
      <c r="C2161" s="8" t="s">
        <v>25</v>
      </c>
      <c r="D2161" s="8" t="s">
        <v>26</v>
      </c>
      <c r="E2161" s="8" t="s">
        <v>3984</v>
      </c>
      <c r="F2161" s="8">
        <v>5.419730209E9</v>
      </c>
      <c r="G2161" s="8" t="s">
        <v>31</v>
      </c>
      <c r="H2161" s="8" t="s">
        <v>102</v>
      </c>
      <c r="I2161" s="8" t="s">
        <v>127</v>
      </c>
      <c r="J2161" s="8" t="s">
        <v>6099</v>
      </c>
      <c r="K2161" s="10" t="s">
        <v>10625</v>
      </c>
      <c r="L2161" s="8" t="s">
        <v>34</v>
      </c>
      <c r="M2161" s="8" t="s">
        <v>35</v>
      </c>
      <c r="N2161" s="11">
        <v>45069.0</v>
      </c>
      <c r="O2161" s="11">
        <v>45110.0</v>
      </c>
      <c r="P2161" s="11">
        <v>45166.0</v>
      </c>
      <c r="Q2161" s="11">
        <v>45110.0</v>
      </c>
      <c r="R2161" s="11">
        <v>45166.0</v>
      </c>
      <c r="S2161" s="12"/>
      <c r="T2161" s="8" t="s">
        <v>205</v>
      </c>
      <c r="U2161" s="8" t="s">
        <v>10626</v>
      </c>
      <c r="V2161" s="13" t="s">
        <v>102</v>
      </c>
      <c r="W2161" s="13" t="s">
        <v>3987</v>
      </c>
      <c r="X2161" s="12"/>
      <c r="Y2161" s="14"/>
      <c r="Z2161" s="14"/>
    </row>
    <row r="2162">
      <c r="A2162" s="8" t="s">
        <v>10627</v>
      </c>
      <c r="B2162" s="8" t="s">
        <v>10628</v>
      </c>
      <c r="C2162" s="8" t="s">
        <v>179</v>
      </c>
      <c r="D2162" s="8" t="s">
        <v>26</v>
      </c>
      <c r="E2162" s="8" t="s">
        <v>10629</v>
      </c>
      <c r="F2162" s="8"/>
      <c r="G2162" s="8" t="s">
        <v>109</v>
      </c>
      <c r="H2162" s="8" t="s">
        <v>2286</v>
      </c>
      <c r="I2162" s="8" t="s">
        <v>31</v>
      </c>
      <c r="J2162" s="8" t="s">
        <v>86</v>
      </c>
      <c r="K2162" s="10" t="s">
        <v>2453</v>
      </c>
      <c r="L2162" s="8" t="s">
        <v>58</v>
      </c>
      <c r="M2162" s="8" t="s">
        <v>35</v>
      </c>
      <c r="N2162" s="11">
        <v>45069.0</v>
      </c>
      <c r="O2162" s="11">
        <v>45271.0</v>
      </c>
      <c r="P2162" s="11">
        <v>45313.0</v>
      </c>
      <c r="Q2162" s="11"/>
      <c r="R2162" s="11"/>
      <c r="S2162" s="12"/>
      <c r="T2162" s="8"/>
      <c r="U2162" s="8" t="s">
        <v>59</v>
      </c>
      <c r="V2162" s="13" t="s">
        <v>38</v>
      </c>
      <c r="W2162" s="13" t="s">
        <v>10630</v>
      </c>
      <c r="X2162" s="12"/>
      <c r="Y2162" s="14"/>
      <c r="Z2162" s="14"/>
    </row>
    <row r="2163">
      <c r="A2163" s="8" t="s">
        <v>10631</v>
      </c>
      <c r="B2163" s="8" t="s">
        <v>10632</v>
      </c>
      <c r="C2163" s="8" t="s">
        <v>708</v>
      </c>
      <c r="D2163" s="8" t="s">
        <v>26</v>
      </c>
      <c r="E2163" s="8" t="s">
        <v>10633</v>
      </c>
      <c r="F2163" s="8">
        <v>3.017369693E9</v>
      </c>
      <c r="G2163" s="8" t="s">
        <v>981</v>
      </c>
      <c r="H2163" s="8" t="s">
        <v>10634</v>
      </c>
      <c r="I2163" s="8" t="s">
        <v>31</v>
      </c>
      <c r="J2163" s="8" t="s">
        <v>43</v>
      </c>
      <c r="K2163" s="10" t="s">
        <v>10635</v>
      </c>
      <c r="L2163" s="8" t="s">
        <v>34</v>
      </c>
      <c r="M2163" s="8" t="s">
        <v>70</v>
      </c>
      <c r="N2163" s="11">
        <v>45069.0</v>
      </c>
      <c r="O2163" s="11">
        <v>45057.0</v>
      </c>
      <c r="P2163" s="11">
        <v>45425.0</v>
      </c>
      <c r="Q2163" s="11">
        <v>45120.0</v>
      </c>
      <c r="R2163" s="11">
        <v>45488.0</v>
      </c>
      <c r="S2163" s="12"/>
      <c r="T2163" s="8" t="s">
        <v>205</v>
      </c>
      <c r="U2163" s="8" t="s">
        <v>10636</v>
      </c>
      <c r="V2163" s="13" t="s">
        <v>38</v>
      </c>
      <c r="W2163" s="13" t="s">
        <v>10637</v>
      </c>
      <c r="X2163" s="12"/>
      <c r="Y2163" s="14"/>
      <c r="Z2163" s="14"/>
    </row>
    <row r="2164">
      <c r="A2164" s="8" t="s">
        <v>10638</v>
      </c>
      <c r="B2164" s="8" t="s">
        <v>10639</v>
      </c>
      <c r="C2164" s="8" t="s">
        <v>25</v>
      </c>
      <c r="D2164" s="8" t="s">
        <v>26</v>
      </c>
      <c r="E2164" s="8" t="s">
        <v>10640</v>
      </c>
      <c r="F2164" s="8"/>
      <c r="G2164" s="8" t="s">
        <v>31</v>
      </c>
      <c r="H2164" s="8" t="s">
        <v>56</v>
      </c>
      <c r="I2164" s="8" t="s">
        <v>284</v>
      </c>
      <c r="J2164" s="8" t="s">
        <v>1450</v>
      </c>
      <c r="K2164" s="10" t="s">
        <v>10641</v>
      </c>
      <c r="L2164" s="8" t="s">
        <v>58</v>
      </c>
      <c r="M2164" s="8" t="s">
        <v>35</v>
      </c>
      <c r="N2164" s="11">
        <v>45069.0</v>
      </c>
      <c r="O2164" s="11">
        <v>45108.0</v>
      </c>
      <c r="P2164" s="11">
        <v>45150.0</v>
      </c>
      <c r="Q2164" s="11">
        <v>45116.0</v>
      </c>
      <c r="R2164" s="11">
        <v>45158.0</v>
      </c>
      <c r="S2164" s="12"/>
      <c r="T2164" s="8"/>
      <c r="U2164" s="8" t="s">
        <v>153</v>
      </c>
      <c r="V2164" s="13" t="s">
        <v>38</v>
      </c>
      <c r="W2164" s="13" t="s">
        <v>10642</v>
      </c>
      <c r="X2164" s="12"/>
      <c r="Y2164" s="14"/>
      <c r="Z2164" s="14"/>
    </row>
    <row r="2165">
      <c r="A2165" s="8" t="s">
        <v>10643</v>
      </c>
      <c r="B2165" s="8" t="s">
        <v>10644</v>
      </c>
      <c r="C2165" s="8" t="s">
        <v>25</v>
      </c>
      <c r="D2165" s="8" t="s">
        <v>26</v>
      </c>
      <c r="E2165" s="8" t="s">
        <v>10645</v>
      </c>
      <c r="F2165" s="8">
        <v>5.45674591E9</v>
      </c>
      <c r="G2165" s="8" t="s">
        <v>31</v>
      </c>
      <c r="H2165" s="8" t="s">
        <v>56</v>
      </c>
      <c r="I2165" s="8" t="s">
        <v>127</v>
      </c>
      <c r="J2165" s="8" t="s">
        <v>128</v>
      </c>
      <c r="K2165" s="10" t="s">
        <v>10543</v>
      </c>
      <c r="L2165" s="8" t="s">
        <v>58</v>
      </c>
      <c r="M2165" s="8" t="s">
        <v>35</v>
      </c>
      <c r="N2165" s="11">
        <v>45069.0</v>
      </c>
      <c r="O2165" s="11">
        <v>45089.0</v>
      </c>
      <c r="P2165" s="11">
        <v>45131.0</v>
      </c>
      <c r="Q2165" s="11">
        <v>45090.0</v>
      </c>
      <c r="R2165" s="11">
        <v>45131.0</v>
      </c>
      <c r="S2165" s="12"/>
      <c r="T2165" s="8"/>
      <c r="U2165" s="8" t="s">
        <v>185</v>
      </c>
      <c r="V2165" s="13" t="s">
        <v>292</v>
      </c>
      <c r="W2165" s="13" t="s">
        <v>10646</v>
      </c>
      <c r="X2165" s="12"/>
      <c r="Y2165" s="14"/>
      <c r="Z2165" s="14"/>
    </row>
    <row r="2166">
      <c r="A2166" s="8" t="s">
        <v>10647</v>
      </c>
      <c r="B2166" s="8" t="s">
        <v>10648</v>
      </c>
      <c r="C2166" s="8" t="s">
        <v>25</v>
      </c>
      <c r="D2166" s="8" t="s">
        <v>26</v>
      </c>
      <c r="E2166" s="8" t="s">
        <v>10649</v>
      </c>
      <c r="F2166" s="8">
        <v>5.5141127E7</v>
      </c>
      <c r="G2166" s="8" t="s">
        <v>54</v>
      </c>
      <c r="H2166" s="8" t="s">
        <v>377</v>
      </c>
      <c r="I2166" s="8" t="s">
        <v>31</v>
      </c>
      <c r="J2166" s="8" t="s">
        <v>102</v>
      </c>
      <c r="K2166" s="10" t="s">
        <v>1113</v>
      </c>
      <c r="L2166" s="8" t="s">
        <v>58</v>
      </c>
      <c r="M2166" s="8" t="s">
        <v>35</v>
      </c>
      <c r="N2166" s="11">
        <v>45070.0</v>
      </c>
      <c r="O2166" s="11">
        <v>45110.0</v>
      </c>
      <c r="P2166" s="11">
        <v>45152.0</v>
      </c>
      <c r="Q2166" s="11">
        <v>45110.0</v>
      </c>
      <c r="R2166" s="11">
        <v>45152.0</v>
      </c>
      <c r="S2166" s="12"/>
      <c r="T2166" s="8"/>
      <c r="U2166" s="8" t="s">
        <v>59</v>
      </c>
      <c r="V2166" s="13" t="s">
        <v>1604</v>
      </c>
      <c r="W2166" s="13" t="s">
        <v>10650</v>
      </c>
      <c r="X2166" s="12"/>
      <c r="Y2166" s="14"/>
      <c r="Z2166" s="14"/>
    </row>
    <row r="2167">
      <c r="A2167" s="8" t="s">
        <v>10651</v>
      </c>
      <c r="B2167" s="8" t="s">
        <v>10652</v>
      </c>
      <c r="C2167" s="8" t="s">
        <v>25</v>
      </c>
      <c r="D2167" s="8" t="s">
        <v>26</v>
      </c>
      <c r="E2167" s="8" t="s">
        <v>10653</v>
      </c>
      <c r="F2167" s="8">
        <v>5.4282333E7</v>
      </c>
      <c r="G2167" s="8" t="s">
        <v>54</v>
      </c>
      <c r="H2167" s="8" t="s">
        <v>595</v>
      </c>
      <c r="I2167" s="8" t="s">
        <v>31</v>
      </c>
      <c r="J2167" s="8" t="s">
        <v>167</v>
      </c>
      <c r="K2167" s="10" t="s">
        <v>5849</v>
      </c>
      <c r="L2167" s="8" t="s">
        <v>58</v>
      </c>
      <c r="M2167" s="8" t="s">
        <v>35</v>
      </c>
      <c r="N2167" s="11">
        <v>45070.0</v>
      </c>
      <c r="O2167" s="11">
        <v>45124.0</v>
      </c>
      <c r="P2167" s="11">
        <v>45166.0</v>
      </c>
      <c r="Q2167" s="11">
        <v>45124.0</v>
      </c>
      <c r="R2167" s="11">
        <v>45166.0</v>
      </c>
      <c r="S2167" s="12"/>
      <c r="T2167" s="8"/>
      <c r="U2167" s="8" t="s">
        <v>59</v>
      </c>
      <c r="V2167" s="13" t="s">
        <v>4352</v>
      </c>
      <c r="W2167" s="13" t="s">
        <v>10654</v>
      </c>
      <c r="X2167" s="12"/>
      <c r="Y2167" s="14"/>
      <c r="Z2167" s="14"/>
    </row>
    <row r="2168">
      <c r="A2168" s="8" t="s">
        <v>10655</v>
      </c>
      <c r="B2168" s="8" t="s">
        <v>10656</v>
      </c>
      <c r="C2168" s="8" t="s">
        <v>25</v>
      </c>
      <c r="D2168" s="8" t="s">
        <v>26</v>
      </c>
      <c r="E2168" s="8" t="s">
        <v>10657</v>
      </c>
      <c r="F2168" s="8">
        <v>5.434699796E9</v>
      </c>
      <c r="G2168" s="8" t="s">
        <v>31</v>
      </c>
      <c r="H2168" s="8" t="s">
        <v>167</v>
      </c>
      <c r="I2168" s="8" t="s">
        <v>284</v>
      </c>
      <c r="J2168" s="8" t="s">
        <v>793</v>
      </c>
      <c r="K2168" s="10" t="s">
        <v>2688</v>
      </c>
      <c r="L2168" s="8" t="s">
        <v>58</v>
      </c>
      <c r="M2168" s="8" t="s">
        <v>35</v>
      </c>
      <c r="N2168" s="11">
        <v>45070.0</v>
      </c>
      <c r="O2168" s="11">
        <v>45108.0</v>
      </c>
      <c r="P2168" s="11">
        <v>45150.0</v>
      </c>
      <c r="Q2168" s="11">
        <v>45108.0</v>
      </c>
      <c r="R2168" s="11">
        <v>45151.0</v>
      </c>
      <c r="S2168" s="12"/>
      <c r="T2168" s="8"/>
      <c r="U2168" s="8" t="s">
        <v>1038</v>
      </c>
      <c r="V2168" s="13" t="s">
        <v>3212</v>
      </c>
      <c r="W2168" s="13" t="s">
        <v>10658</v>
      </c>
      <c r="X2168" s="12"/>
      <c r="Y2168" s="14"/>
      <c r="Z2168" s="14"/>
    </row>
    <row r="2169">
      <c r="A2169" s="8" t="s">
        <v>10659</v>
      </c>
      <c r="B2169" s="8" t="s">
        <v>10660</v>
      </c>
      <c r="C2169" s="8" t="s">
        <v>25</v>
      </c>
      <c r="D2169" s="8" t="s">
        <v>26</v>
      </c>
      <c r="E2169" s="8" t="s">
        <v>10661</v>
      </c>
      <c r="F2169" s="8">
        <v>7.08258703E8</v>
      </c>
      <c r="G2169" s="8" t="s">
        <v>277</v>
      </c>
      <c r="H2169" s="8" t="s">
        <v>278</v>
      </c>
      <c r="I2169" s="8" t="s">
        <v>31</v>
      </c>
      <c r="J2169" s="8" t="s">
        <v>542</v>
      </c>
      <c r="K2169" s="10" t="s">
        <v>10478</v>
      </c>
      <c r="L2169" s="8" t="s">
        <v>58</v>
      </c>
      <c r="M2169" s="8" t="s">
        <v>35</v>
      </c>
      <c r="N2169" s="11">
        <v>45070.0</v>
      </c>
      <c r="O2169" s="11">
        <v>45110.0</v>
      </c>
      <c r="P2169" s="11">
        <v>45152.0</v>
      </c>
      <c r="Q2169" s="11">
        <v>45111.0</v>
      </c>
      <c r="R2169" s="11">
        <v>45152.0</v>
      </c>
      <c r="S2169" s="12"/>
      <c r="T2169" s="8"/>
      <c r="U2169" s="8" t="s">
        <v>161</v>
      </c>
      <c r="V2169" s="13" t="s">
        <v>4429</v>
      </c>
      <c r="W2169" s="13" t="s">
        <v>10662</v>
      </c>
      <c r="X2169" s="12"/>
      <c r="Y2169" s="14"/>
      <c r="Z2169" s="14"/>
    </row>
    <row r="2170">
      <c r="A2170" s="8" t="s">
        <v>10663</v>
      </c>
      <c r="B2170" s="8" t="s">
        <v>10664</v>
      </c>
      <c r="C2170" s="8" t="s">
        <v>25</v>
      </c>
      <c r="D2170" s="8" t="s">
        <v>26</v>
      </c>
      <c r="E2170" s="8" t="s">
        <v>10665</v>
      </c>
      <c r="F2170" s="8">
        <v>5.340516023E9</v>
      </c>
      <c r="G2170" s="8" t="s">
        <v>31</v>
      </c>
      <c r="H2170" s="8" t="s">
        <v>542</v>
      </c>
      <c r="I2170" s="8" t="s">
        <v>127</v>
      </c>
      <c r="J2170" s="8" t="s">
        <v>159</v>
      </c>
      <c r="K2170" s="10" t="s">
        <v>10666</v>
      </c>
      <c r="L2170" s="8" t="s">
        <v>58</v>
      </c>
      <c r="M2170" s="8" t="s">
        <v>35</v>
      </c>
      <c r="N2170" s="11">
        <v>45070.0</v>
      </c>
      <c r="O2170" s="11">
        <v>45103.0</v>
      </c>
      <c r="P2170" s="11">
        <v>45145.0</v>
      </c>
      <c r="Q2170" s="11">
        <v>45103.0</v>
      </c>
      <c r="R2170" s="11">
        <v>45145.0</v>
      </c>
      <c r="S2170" s="12"/>
      <c r="T2170" s="8"/>
      <c r="U2170" s="8" t="s">
        <v>161</v>
      </c>
      <c r="V2170" s="13" t="s">
        <v>545</v>
      </c>
      <c r="W2170" s="13" t="s">
        <v>10667</v>
      </c>
      <c r="X2170" s="12"/>
      <c r="Y2170" s="14"/>
      <c r="Z2170" s="14"/>
    </row>
    <row r="2171">
      <c r="A2171" s="8" t="s">
        <v>10668</v>
      </c>
      <c r="B2171" s="8" t="s">
        <v>10669</v>
      </c>
      <c r="C2171" s="8" t="s">
        <v>25</v>
      </c>
      <c r="D2171" s="8" t="s">
        <v>26</v>
      </c>
      <c r="E2171" s="8" t="s">
        <v>10670</v>
      </c>
      <c r="F2171" s="8">
        <v>5.340225607E9</v>
      </c>
      <c r="G2171" s="8" t="s">
        <v>31</v>
      </c>
      <c r="H2171" s="8" t="s">
        <v>43</v>
      </c>
      <c r="I2171" s="8" t="s">
        <v>277</v>
      </c>
      <c r="J2171" s="8" t="s">
        <v>278</v>
      </c>
      <c r="K2171" s="10" t="s">
        <v>10671</v>
      </c>
      <c r="L2171" s="8" t="s">
        <v>58</v>
      </c>
      <c r="M2171" s="8" t="s">
        <v>35</v>
      </c>
      <c r="N2171" s="11">
        <v>45070.0</v>
      </c>
      <c r="O2171" s="11">
        <v>45145.0</v>
      </c>
      <c r="P2171" s="11">
        <v>45187.0</v>
      </c>
      <c r="Q2171" s="11"/>
      <c r="R2171" s="11">
        <v>45187.0</v>
      </c>
      <c r="S2171" s="12"/>
      <c r="T2171" s="8"/>
      <c r="U2171" s="8" t="s">
        <v>632</v>
      </c>
      <c r="V2171" s="13" t="s">
        <v>43</v>
      </c>
      <c r="W2171" s="13" t="s">
        <v>10672</v>
      </c>
      <c r="X2171" s="12"/>
      <c r="Y2171" s="14"/>
      <c r="Z2171" s="14"/>
    </row>
    <row r="2172">
      <c r="A2172" s="8" t="s">
        <v>10673</v>
      </c>
      <c r="B2172" s="8" t="s">
        <v>10674</v>
      </c>
      <c r="C2172" s="8" t="s">
        <v>25</v>
      </c>
      <c r="D2172" s="8" t="s">
        <v>26</v>
      </c>
      <c r="E2172" s="8" t="s">
        <v>10675</v>
      </c>
      <c r="F2172" s="8">
        <v>5.377318055E9</v>
      </c>
      <c r="G2172" s="8" t="s">
        <v>31</v>
      </c>
      <c r="H2172" s="8" t="s">
        <v>102</v>
      </c>
      <c r="I2172" s="8" t="s">
        <v>127</v>
      </c>
      <c r="J2172" s="8" t="s">
        <v>159</v>
      </c>
      <c r="K2172" s="10" t="s">
        <v>10676</v>
      </c>
      <c r="L2172" s="8" t="s">
        <v>58</v>
      </c>
      <c r="M2172" s="8" t="s">
        <v>35</v>
      </c>
      <c r="N2172" s="11">
        <v>45070.0</v>
      </c>
      <c r="O2172" s="11">
        <v>45180.0</v>
      </c>
      <c r="P2172" s="11">
        <v>45222.0</v>
      </c>
      <c r="Q2172" s="11">
        <v>45180.0</v>
      </c>
      <c r="R2172" s="11">
        <v>45222.0</v>
      </c>
      <c r="S2172" s="12"/>
      <c r="T2172" s="8"/>
      <c r="U2172" s="8" t="s">
        <v>59</v>
      </c>
      <c r="V2172" s="13" t="s">
        <v>102</v>
      </c>
      <c r="W2172" s="13" t="s">
        <v>10677</v>
      </c>
      <c r="X2172" s="12"/>
      <c r="Y2172" s="14"/>
      <c r="Z2172" s="14"/>
    </row>
    <row r="2173">
      <c r="A2173" s="8" t="s">
        <v>10678</v>
      </c>
      <c r="B2173" s="8" t="s">
        <v>10679</v>
      </c>
      <c r="C2173" s="8" t="s">
        <v>25</v>
      </c>
      <c r="D2173" s="8" t="s">
        <v>26</v>
      </c>
      <c r="E2173" s="8" t="s">
        <v>10680</v>
      </c>
      <c r="F2173" s="8">
        <v>5.386470921E9</v>
      </c>
      <c r="G2173" s="8" t="s">
        <v>31</v>
      </c>
      <c r="H2173" s="8" t="s">
        <v>56</v>
      </c>
      <c r="I2173" s="8" t="s">
        <v>8840</v>
      </c>
      <c r="J2173" s="8" t="s">
        <v>8847</v>
      </c>
      <c r="K2173" s="10" t="s">
        <v>8848</v>
      </c>
      <c r="L2173" s="8" t="s">
        <v>58</v>
      </c>
      <c r="M2173" s="8" t="s">
        <v>35</v>
      </c>
      <c r="N2173" s="11">
        <v>45070.0</v>
      </c>
      <c r="O2173" s="11">
        <v>45096.0</v>
      </c>
      <c r="P2173" s="11">
        <v>45138.0</v>
      </c>
      <c r="Q2173" s="11">
        <v>45098.0</v>
      </c>
      <c r="R2173" s="11">
        <v>45138.0</v>
      </c>
      <c r="S2173" s="12"/>
      <c r="T2173" s="8"/>
      <c r="U2173" s="8" t="s">
        <v>4870</v>
      </c>
      <c r="V2173" s="13" t="s">
        <v>56</v>
      </c>
      <c r="W2173" s="13" t="s">
        <v>10681</v>
      </c>
      <c r="X2173" s="12"/>
      <c r="Y2173" s="14"/>
      <c r="Z2173" s="14"/>
    </row>
    <row r="2174">
      <c r="A2174" s="8" t="s">
        <v>10682</v>
      </c>
      <c r="B2174" s="8" t="s">
        <v>10683</v>
      </c>
      <c r="C2174" s="8" t="s">
        <v>25</v>
      </c>
      <c r="D2174" s="8" t="s">
        <v>26</v>
      </c>
      <c r="E2174" s="8" t="s">
        <v>10684</v>
      </c>
      <c r="F2174" s="8">
        <v>5.433827262E9</v>
      </c>
      <c r="G2174" s="8" t="s">
        <v>31</v>
      </c>
      <c r="H2174" s="8" t="s">
        <v>56</v>
      </c>
      <c r="I2174" s="8" t="s">
        <v>1400</v>
      </c>
      <c r="J2174" s="8" t="s">
        <v>9975</v>
      </c>
      <c r="K2174" s="10" t="s">
        <v>9976</v>
      </c>
      <c r="L2174" s="8" t="s">
        <v>58</v>
      </c>
      <c r="M2174" s="8" t="s">
        <v>35</v>
      </c>
      <c r="N2174" s="11">
        <v>45070.0</v>
      </c>
      <c r="O2174" s="11">
        <v>45173.0</v>
      </c>
      <c r="P2174" s="11">
        <v>45215.0</v>
      </c>
      <c r="Q2174" s="11">
        <v>45173.0</v>
      </c>
      <c r="R2174" s="11">
        <v>45215.0</v>
      </c>
      <c r="S2174" s="12"/>
      <c r="T2174" s="8"/>
      <c r="U2174" s="8" t="s">
        <v>88</v>
      </c>
      <c r="V2174" s="13" t="s">
        <v>56</v>
      </c>
      <c r="W2174" s="13" t="s">
        <v>10685</v>
      </c>
      <c r="X2174" s="12"/>
      <c r="Y2174" s="14"/>
      <c r="Z2174" s="14"/>
    </row>
    <row r="2175">
      <c r="A2175" s="8" t="s">
        <v>10686</v>
      </c>
      <c r="B2175" s="8" t="s">
        <v>10687</v>
      </c>
      <c r="C2175" s="8" t="s">
        <v>179</v>
      </c>
      <c r="D2175" s="8" t="s">
        <v>26</v>
      </c>
      <c r="E2175" s="8" t="s">
        <v>10688</v>
      </c>
      <c r="F2175" s="8">
        <v>1.155431818E9</v>
      </c>
      <c r="G2175" s="8" t="s">
        <v>284</v>
      </c>
      <c r="H2175" s="8" t="s">
        <v>3769</v>
      </c>
      <c r="I2175" s="8" t="s">
        <v>31</v>
      </c>
      <c r="J2175" s="8" t="s">
        <v>256</v>
      </c>
      <c r="K2175" s="10" t="s">
        <v>10689</v>
      </c>
      <c r="L2175" s="8" t="s">
        <v>58</v>
      </c>
      <c r="M2175" s="8" t="s">
        <v>35</v>
      </c>
      <c r="N2175" s="11">
        <v>45071.0</v>
      </c>
      <c r="O2175" s="11">
        <v>45110.0</v>
      </c>
      <c r="P2175" s="11">
        <v>45152.0</v>
      </c>
      <c r="Q2175" s="11"/>
      <c r="R2175" s="11"/>
      <c r="S2175" s="12"/>
      <c r="T2175" s="8"/>
      <c r="U2175" s="8" t="s">
        <v>59</v>
      </c>
      <c r="V2175" s="13" t="s">
        <v>10690</v>
      </c>
      <c r="W2175" s="13" t="s">
        <v>10691</v>
      </c>
      <c r="X2175" s="12"/>
      <c r="Y2175" s="14"/>
      <c r="Z2175" s="14"/>
    </row>
    <row r="2176">
      <c r="A2176" s="8" t="s">
        <v>10692</v>
      </c>
      <c r="B2176" s="8" t="s">
        <v>10693</v>
      </c>
      <c r="C2176" s="8" t="s">
        <v>708</v>
      </c>
      <c r="D2176" s="8" t="s">
        <v>26</v>
      </c>
      <c r="E2176" s="8" t="s">
        <v>10694</v>
      </c>
      <c r="F2176" s="8"/>
      <c r="G2176" s="8" t="s">
        <v>54</v>
      </c>
      <c r="H2176" s="8" t="s">
        <v>430</v>
      </c>
      <c r="I2176" s="8" t="s">
        <v>31</v>
      </c>
      <c r="J2176" s="8" t="s">
        <v>292</v>
      </c>
      <c r="K2176" s="10" t="s">
        <v>10695</v>
      </c>
      <c r="L2176" s="8" t="s">
        <v>34</v>
      </c>
      <c r="M2176" s="8" t="s">
        <v>70</v>
      </c>
      <c r="N2176" s="11">
        <v>45071.0</v>
      </c>
      <c r="O2176" s="11">
        <v>45122.0</v>
      </c>
      <c r="P2176" s="11">
        <v>45488.0</v>
      </c>
      <c r="Q2176" s="11">
        <v>45125.0</v>
      </c>
      <c r="R2176" s="11">
        <v>45491.0</v>
      </c>
      <c r="S2176" s="12"/>
      <c r="T2176" s="8" t="s">
        <v>205</v>
      </c>
      <c r="U2176" s="8" t="s">
        <v>10696</v>
      </c>
      <c r="V2176" s="13" t="s">
        <v>10697</v>
      </c>
      <c r="W2176" s="13" t="s">
        <v>10698</v>
      </c>
      <c r="X2176" s="12"/>
      <c r="Y2176" s="14"/>
      <c r="Z2176" s="14"/>
    </row>
    <row r="2177">
      <c r="A2177" s="8" t="s">
        <v>10699</v>
      </c>
      <c r="B2177" s="8" t="s">
        <v>10700</v>
      </c>
      <c r="C2177" s="8" t="s">
        <v>25</v>
      </c>
      <c r="D2177" s="8" t="s">
        <v>26</v>
      </c>
      <c r="E2177" s="8" t="s">
        <v>10701</v>
      </c>
      <c r="F2177" s="8">
        <v>9.9942451E7</v>
      </c>
      <c r="G2177" s="8" t="s">
        <v>54</v>
      </c>
      <c r="H2177" s="8" t="s">
        <v>76</v>
      </c>
      <c r="I2177" s="8" t="s">
        <v>31</v>
      </c>
      <c r="J2177" s="8" t="s">
        <v>86</v>
      </c>
      <c r="K2177" s="10" t="s">
        <v>416</v>
      </c>
      <c r="L2177" s="8" t="s">
        <v>58</v>
      </c>
      <c r="M2177" s="8" t="s">
        <v>35</v>
      </c>
      <c r="N2177" s="11">
        <v>45071.0</v>
      </c>
      <c r="O2177" s="11">
        <v>45084.0</v>
      </c>
      <c r="P2177" s="11">
        <v>45126.0</v>
      </c>
      <c r="Q2177" s="11">
        <v>45095.0</v>
      </c>
      <c r="R2177" s="11">
        <v>45137.0</v>
      </c>
      <c r="S2177" s="12"/>
      <c r="T2177" s="8"/>
      <c r="U2177" s="8" t="s">
        <v>59</v>
      </c>
      <c r="V2177" s="13" t="s">
        <v>573</v>
      </c>
      <c r="W2177" s="13" t="s">
        <v>10702</v>
      </c>
      <c r="X2177" s="12"/>
      <c r="Y2177" s="14"/>
      <c r="Z2177" s="14"/>
    </row>
    <row r="2178">
      <c r="A2178" s="8" t="s">
        <v>10703</v>
      </c>
      <c r="B2178" s="8" t="s">
        <v>10704</v>
      </c>
      <c r="C2178" s="8" t="s">
        <v>179</v>
      </c>
      <c r="D2178" s="8" t="s">
        <v>26</v>
      </c>
      <c r="E2178" s="8" t="s">
        <v>10705</v>
      </c>
      <c r="F2178" s="8"/>
      <c r="G2178" s="8" t="s">
        <v>54</v>
      </c>
      <c r="H2178" s="8" t="s">
        <v>430</v>
      </c>
      <c r="I2178" s="8" t="s">
        <v>31</v>
      </c>
      <c r="J2178" s="8" t="s">
        <v>77</v>
      </c>
      <c r="K2178" s="10" t="s">
        <v>2537</v>
      </c>
      <c r="L2178" s="8" t="s">
        <v>58</v>
      </c>
      <c r="M2178" s="8" t="s">
        <v>35</v>
      </c>
      <c r="N2178" s="11">
        <v>45071.0</v>
      </c>
      <c r="O2178" s="11">
        <v>45159.0</v>
      </c>
      <c r="P2178" s="11">
        <v>45201.0</v>
      </c>
      <c r="Q2178" s="11"/>
      <c r="R2178" s="11"/>
      <c r="S2178" s="12"/>
      <c r="T2178" s="8"/>
      <c r="U2178" s="8" t="s">
        <v>88</v>
      </c>
      <c r="V2178" s="13" t="s">
        <v>38</v>
      </c>
      <c r="W2178" s="13" t="s">
        <v>10706</v>
      </c>
      <c r="X2178" s="12"/>
      <c r="Y2178" s="14"/>
      <c r="Z2178" s="14"/>
    </row>
    <row r="2179">
      <c r="A2179" s="8" t="s">
        <v>10707</v>
      </c>
      <c r="B2179" s="8" t="s">
        <v>10708</v>
      </c>
      <c r="C2179" s="8" t="s">
        <v>251</v>
      </c>
      <c r="D2179" s="8" t="s">
        <v>26</v>
      </c>
      <c r="E2179" s="8" t="s">
        <v>10709</v>
      </c>
      <c r="F2179" s="8">
        <v>5.526543606E9</v>
      </c>
      <c r="G2179" s="8" t="s">
        <v>31</v>
      </c>
      <c r="H2179" s="8" t="s">
        <v>56</v>
      </c>
      <c r="I2179" s="8" t="s">
        <v>221</v>
      </c>
      <c r="J2179" s="8" t="s">
        <v>3506</v>
      </c>
      <c r="K2179" s="10" t="s">
        <v>10710</v>
      </c>
      <c r="L2179" s="8" t="s">
        <v>34</v>
      </c>
      <c r="M2179" s="8" t="s">
        <v>35</v>
      </c>
      <c r="N2179" s="11">
        <v>45071.0</v>
      </c>
      <c r="O2179" s="11">
        <v>45131.0</v>
      </c>
      <c r="P2179" s="11">
        <v>45173.0</v>
      </c>
      <c r="Q2179" s="11"/>
      <c r="R2179" s="11"/>
      <c r="S2179" s="12"/>
      <c r="T2179" s="8" t="s">
        <v>205</v>
      </c>
      <c r="U2179" s="8" t="s">
        <v>205</v>
      </c>
      <c r="V2179" s="13" t="s">
        <v>56</v>
      </c>
      <c r="W2179" s="13" t="s">
        <v>10711</v>
      </c>
      <c r="X2179" s="12"/>
      <c r="Y2179" s="14"/>
      <c r="Z2179" s="14"/>
    </row>
    <row r="2180">
      <c r="A2180" s="8" t="s">
        <v>10712</v>
      </c>
      <c r="B2180" s="8" t="s">
        <v>10713</v>
      </c>
      <c r="C2180" s="8" t="s">
        <v>708</v>
      </c>
      <c r="D2180" s="8" t="s">
        <v>26</v>
      </c>
      <c r="E2180" s="8" t="s">
        <v>10714</v>
      </c>
      <c r="F2180" s="8">
        <v>1.112249461E9</v>
      </c>
      <c r="G2180" s="8" t="s">
        <v>284</v>
      </c>
      <c r="H2180" s="8" t="s">
        <v>2065</v>
      </c>
      <c r="I2180" s="8" t="s">
        <v>31</v>
      </c>
      <c r="J2180" s="8" t="s">
        <v>1119</v>
      </c>
      <c r="K2180" s="10" t="s">
        <v>10715</v>
      </c>
      <c r="L2180" s="8" t="s">
        <v>47</v>
      </c>
      <c r="M2180" s="8" t="s">
        <v>70</v>
      </c>
      <c r="N2180" s="11">
        <v>45071.0</v>
      </c>
      <c r="O2180" s="11">
        <v>45166.0</v>
      </c>
      <c r="P2180" s="11">
        <v>45463.0</v>
      </c>
      <c r="Q2180" s="11">
        <v>45190.0</v>
      </c>
      <c r="R2180" s="11">
        <v>45488.0</v>
      </c>
      <c r="S2180" s="12"/>
      <c r="T2180" s="8"/>
      <c r="U2180" s="8" t="s">
        <v>246</v>
      </c>
      <c r="V2180" s="13" t="s">
        <v>2065</v>
      </c>
      <c r="W2180" s="13" t="s">
        <v>10716</v>
      </c>
      <c r="X2180" s="12"/>
      <c r="Y2180" s="14"/>
      <c r="Z2180" s="14"/>
    </row>
    <row r="2181">
      <c r="A2181" s="8" t="s">
        <v>10717</v>
      </c>
      <c r="B2181" s="8" t="s">
        <v>10718</v>
      </c>
      <c r="C2181" s="8" t="s">
        <v>25</v>
      </c>
      <c r="D2181" s="8" t="s">
        <v>26</v>
      </c>
      <c r="E2181" s="8" t="s">
        <v>10719</v>
      </c>
      <c r="F2181" s="8">
        <v>5.16088111E8</v>
      </c>
      <c r="G2181" s="8" t="s">
        <v>277</v>
      </c>
      <c r="H2181" s="8" t="s">
        <v>607</v>
      </c>
      <c r="I2181" s="8" t="s">
        <v>31</v>
      </c>
      <c r="J2181" s="8" t="s">
        <v>542</v>
      </c>
      <c r="K2181" s="10" t="s">
        <v>10212</v>
      </c>
      <c r="L2181" s="8" t="s">
        <v>58</v>
      </c>
      <c r="M2181" s="8" t="s">
        <v>35</v>
      </c>
      <c r="N2181" s="11">
        <v>45071.0</v>
      </c>
      <c r="O2181" s="11">
        <v>45110.0</v>
      </c>
      <c r="P2181" s="11">
        <v>45152.0</v>
      </c>
      <c r="Q2181" s="11">
        <v>45111.0</v>
      </c>
      <c r="R2181" s="11">
        <v>45152.0</v>
      </c>
      <c r="S2181" s="12"/>
      <c r="T2181" s="8"/>
      <c r="U2181" s="8" t="s">
        <v>59</v>
      </c>
      <c r="V2181" s="13" t="s">
        <v>5537</v>
      </c>
      <c r="W2181" s="13" t="s">
        <v>10720</v>
      </c>
      <c r="X2181" s="12"/>
      <c r="Y2181" s="14"/>
      <c r="Z2181" s="14"/>
    </row>
    <row r="2182">
      <c r="A2182" s="8" t="s">
        <v>10721</v>
      </c>
      <c r="B2182" s="8" t="s">
        <v>10722</v>
      </c>
      <c r="C2182" s="8" t="s">
        <v>179</v>
      </c>
      <c r="D2182" s="8" t="s">
        <v>26</v>
      </c>
      <c r="E2182" s="8" t="s">
        <v>10723</v>
      </c>
      <c r="F2182" s="8">
        <v>7.473622476E9</v>
      </c>
      <c r="G2182" s="8" t="s">
        <v>496</v>
      </c>
      <c r="H2182" s="8" t="s">
        <v>497</v>
      </c>
      <c r="I2182" s="8" t="s">
        <v>31</v>
      </c>
      <c r="J2182" s="8" t="s">
        <v>542</v>
      </c>
      <c r="K2182" s="10" t="s">
        <v>10212</v>
      </c>
      <c r="L2182" s="8" t="s">
        <v>58</v>
      </c>
      <c r="M2182" s="8" t="s">
        <v>35</v>
      </c>
      <c r="N2182" s="11">
        <v>45071.0</v>
      </c>
      <c r="O2182" s="11">
        <v>45131.0</v>
      </c>
      <c r="P2182" s="11">
        <v>45173.0</v>
      </c>
      <c r="Q2182" s="11"/>
      <c r="R2182" s="11"/>
      <c r="S2182" s="12"/>
      <c r="T2182" s="8"/>
      <c r="U2182" s="8" t="s">
        <v>59</v>
      </c>
      <c r="V2182" s="13" t="s">
        <v>500</v>
      </c>
      <c r="W2182" s="13" t="s">
        <v>10724</v>
      </c>
      <c r="X2182" s="12"/>
      <c r="Y2182" s="14"/>
      <c r="Z2182" s="14"/>
    </row>
    <row r="2183">
      <c r="A2183" s="8" t="s">
        <v>10725</v>
      </c>
      <c r="B2183" s="8" t="s">
        <v>10726</v>
      </c>
      <c r="C2183" s="8" t="s">
        <v>25</v>
      </c>
      <c r="D2183" s="8" t="s">
        <v>26</v>
      </c>
      <c r="E2183" s="8" t="s">
        <v>10727</v>
      </c>
      <c r="F2183" s="8">
        <v>7.473878903E9</v>
      </c>
      <c r="G2183" s="8" t="s">
        <v>496</v>
      </c>
      <c r="H2183" s="8" t="s">
        <v>497</v>
      </c>
      <c r="I2183" s="8" t="s">
        <v>31</v>
      </c>
      <c r="J2183" s="8" t="s">
        <v>542</v>
      </c>
      <c r="K2183" s="10" t="s">
        <v>10212</v>
      </c>
      <c r="L2183" s="8" t="s">
        <v>58</v>
      </c>
      <c r="M2183" s="8" t="s">
        <v>35</v>
      </c>
      <c r="N2183" s="11">
        <v>45071.0</v>
      </c>
      <c r="O2183" s="11">
        <v>45110.0</v>
      </c>
      <c r="P2183" s="11">
        <v>45152.0</v>
      </c>
      <c r="Q2183" s="11">
        <v>45111.0</v>
      </c>
      <c r="R2183" s="11">
        <v>45152.0</v>
      </c>
      <c r="S2183" s="12"/>
      <c r="T2183" s="8"/>
      <c r="U2183" s="8" t="s">
        <v>59</v>
      </c>
      <c r="V2183" s="13" t="s">
        <v>500</v>
      </c>
      <c r="W2183" s="13" t="s">
        <v>10728</v>
      </c>
      <c r="X2183" s="12"/>
      <c r="Y2183" s="14"/>
      <c r="Z2183" s="14"/>
    </row>
    <row r="2184">
      <c r="A2184" s="8" t="s">
        <v>10729</v>
      </c>
      <c r="B2184" s="8" t="s">
        <v>10730</v>
      </c>
      <c r="C2184" s="8" t="s">
        <v>708</v>
      </c>
      <c r="D2184" s="8" t="s">
        <v>26</v>
      </c>
      <c r="E2184" s="8" t="s">
        <v>10731</v>
      </c>
      <c r="F2184" s="9" t="s">
        <v>10732</v>
      </c>
      <c r="G2184" s="8" t="s">
        <v>254</v>
      </c>
      <c r="H2184" s="8" t="s">
        <v>1007</v>
      </c>
      <c r="I2184" s="8" t="s">
        <v>31</v>
      </c>
      <c r="J2184" s="8" t="s">
        <v>43</v>
      </c>
      <c r="K2184" s="10" t="s">
        <v>10733</v>
      </c>
      <c r="L2184" s="8" t="s">
        <v>47</v>
      </c>
      <c r="M2184" s="8" t="s">
        <v>70</v>
      </c>
      <c r="N2184" s="11">
        <v>45071.0</v>
      </c>
      <c r="O2184" s="11">
        <v>45158.0</v>
      </c>
      <c r="P2184" s="11">
        <v>45524.0</v>
      </c>
      <c r="Q2184" s="11">
        <v>45159.0</v>
      </c>
      <c r="R2184" s="11">
        <v>45525.0</v>
      </c>
      <c r="S2184" s="12"/>
      <c r="T2184" s="8"/>
      <c r="U2184" s="8" t="s">
        <v>246</v>
      </c>
      <c r="V2184" s="13" t="s">
        <v>1249</v>
      </c>
      <c r="W2184" s="13" t="s">
        <v>10734</v>
      </c>
      <c r="X2184" s="12"/>
      <c r="Y2184" s="14"/>
      <c r="Z2184" s="14"/>
    </row>
    <row r="2185">
      <c r="A2185" s="8" t="s">
        <v>10735</v>
      </c>
      <c r="B2185" s="8" t="s">
        <v>10736</v>
      </c>
      <c r="C2185" s="8" t="s">
        <v>25</v>
      </c>
      <c r="D2185" s="8" t="s">
        <v>26</v>
      </c>
      <c r="E2185" s="8" t="s">
        <v>10737</v>
      </c>
      <c r="F2185" s="8"/>
      <c r="G2185" s="8" t="s">
        <v>1620</v>
      </c>
      <c r="H2185" s="8" t="s">
        <v>4288</v>
      </c>
      <c r="I2185" s="8" t="s">
        <v>31</v>
      </c>
      <c r="J2185" s="8" t="s">
        <v>32</v>
      </c>
      <c r="K2185" s="10" t="s">
        <v>7850</v>
      </c>
      <c r="L2185" s="8" t="s">
        <v>58</v>
      </c>
      <c r="M2185" s="8" t="s">
        <v>35</v>
      </c>
      <c r="N2185" s="11">
        <v>45071.0</v>
      </c>
      <c r="O2185" s="11">
        <v>45187.0</v>
      </c>
      <c r="P2185" s="11">
        <v>45229.0</v>
      </c>
      <c r="Q2185" s="11">
        <v>45191.0</v>
      </c>
      <c r="R2185" s="11">
        <v>45233.0</v>
      </c>
      <c r="S2185" s="12"/>
      <c r="T2185" s="8"/>
      <c r="U2185" s="8" t="s">
        <v>161</v>
      </c>
      <c r="V2185" s="13" t="s">
        <v>38</v>
      </c>
      <c r="W2185" s="13" t="s">
        <v>10738</v>
      </c>
      <c r="X2185" s="12"/>
      <c r="Y2185" s="14"/>
      <c r="Z2185" s="14"/>
    </row>
    <row r="2186">
      <c r="A2186" s="8" t="s">
        <v>10739</v>
      </c>
      <c r="B2186" s="8" t="s">
        <v>10740</v>
      </c>
      <c r="C2186" s="8" t="s">
        <v>64</v>
      </c>
      <c r="D2186" s="8" t="s">
        <v>26</v>
      </c>
      <c r="E2186" s="8" t="s">
        <v>10741</v>
      </c>
      <c r="F2186" s="8">
        <v>6.00124405E8</v>
      </c>
      <c r="G2186" s="8" t="s">
        <v>221</v>
      </c>
      <c r="H2186" s="8" t="s">
        <v>3001</v>
      </c>
      <c r="I2186" s="8" t="s">
        <v>31</v>
      </c>
      <c r="J2186" s="8" t="s">
        <v>270</v>
      </c>
      <c r="K2186" s="10" t="s">
        <v>8157</v>
      </c>
      <c r="L2186" s="8" t="s">
        <v>58</v>
      </c>
      <c r="M2186" s="8" t="s">
        <v>35</v>
      </c>
      <c r="N2186" s="11">
        <v>45071.0</v>
      </c>
      <c r="O2186" s="11">
        <v>45110.0</v>
      </c>
      <c r="P2186" s="11">
        <v>45152.0</v>
      </c>
      <c r="Q2186" s="11">
        <v>45117.0</v>
      </c>
      <c r="R2186" s="11">
        <v>45159.0</v>
      </c>
      <c r="S2186" s="12"/>
      <c r="T2186" s="8"/>
      <c r="U2186" s="8" t="s">
        <v>59</v>
      </c>
      <c r="V2186" s="13" t="s">
        <v>8146</v>
      </c>
      <c r="W2186" s="13" t="s">
        <v>10742</v>
      </c>
      <c r="X2186" s="12"/>
      <c r="Y2186" s="14"/>
      <c r="Z2186" s="14"/>
    </row>
    <row r="2187">
      <c r="A2187" s="8" t="s">
        <v>10743</v>
      </c>
      <c r="B2187" s="8" t="s">
        <v>10744</v>
      </c>
      <c r="C2187" s="8" t="s">
        <v>64</v>
      </c>
      <c r="D2187" s="8" t="s">
        <v>26</v>
      </c>
      <c r="E2187" s="8" t="s">
        <v>10745</v>
      </c>
      <c r="F2187" s="8">
        <v>5.46734155E9</v>
      </c>
      <c r="G2187" s="8" t="s">
        <v>31</v>
      </c>
      <c r="H2187" s="8" t="s">
        <v>167</v>
      </c>
      <c r="I2187" s="8" t="s">
        <v>127</v>
      </c>
      <c r="J2187" s="8" t="s">
        <v>363</v>
      </c>
      <c r="K2187" s="10" t="s">
        <v>10746</v>
      </c>
      <c r="L2187" s="8" t="s">
        <v>58</v>
      </c>
      <c r="M2187" s="8" t="s">
        <v>35</v>
      </c>
      <c r="N2187" s="11">
        <v>45071.0</v>
      </c>
      <c r="O2187" s="11">
        <v>45115.0</v>
      </c>
      <c r="P2187" s="11">
        <v>45157.0</v>
      </c>
      <c r="Q2187" s="11">
        <v>45115.0</v>
      </c>
      <c r="R2187" s="11">
        <v>45157.0</v>
      </c>
      <c r="S2187" s="12"/>
      <c r="T2187" s="8"/>
      <c r="U2187" s="8" t="s">
        <v>161</v>
      </c>
      <c r="V2187" s="13" t="s">
        <v>167</v>
      </c>
      <c r="W2187" s="13" t="s">
        <v>10747</v>
      </c>
      <c r="X2187" s="12"/>
      <c r="Y2187" s="14"/>
      <c r="Z2187" s="14"/>
    </row>
    <row r="2188">
      <c r="A2188" s="8" t="s">
        <v>10748</v>
      </c>
      <c r="B2188" s="8" t="s">
        <v>10749</v>
      </c>
      <c r="C2188" s="8" t="s">
        <v>25</v>
      </c>
      <c r="D2188" s="8" t="s">
        <v>26</v>
      </c>
      <c r="E2188" s="8" t="s">
        <v>10750</v>
      </c>
      <c r="F2188" s="8"/>
      <c r="G2188" s="8" t="s">
        <v>54</v>
      </c>
      <c r="H2188" s="8" t="s">
        <v>595</v>
      </c>
      <c r="I2188" s="8" t="s">
        <v>31</v>
      </c>
      <c r="J2188" s="8" t="s">
        <v>77</v>
      </c>
      <c r="K2188" s="10" t="s">
        <v>2537</v>
      </c>
      <c r="L2188" s="8" t="s">
        <v>58</v>
      </c>
      <c r="M2188" s="8" t="s">
        <v>35</v>
      </c>
      <c r="N2188" s="11">
        <v>45072.0</v>
      </c>
      <c r="O2188" s="11">
        <v>45159.0</v>
      </c>
      <c r="P2188" s="11">
        <v>45201.0</v>
      </c>
      <c r="Q2188" s="11">
        <v>45158.0</v>
      </c>
      <c r="R2188" s="11">
        <v>45201.0</v>
      </c>
      <c r="S2188" s="12"/>
      <c r="T2188" s="8"/>
      <c r="U2188" s="8" t="s">
        <v>88</v>
      </c>
      <c r="V2188" s="13" t="s">
        <v>38</v>
      </c>
      <c r="W2188" s="13" t="s">
        <v>10751</v>
      </c>
      <c r="X2188" s="12"/>
      <c r="Y2188" s="14"/>
      <c r="Z2188" s="14"/>
    </row>
    <row r="2189">
      <c r="A2189" s="8" t="s">
        <v>10752</v>
      </c>
      <c r="B2189" s="8" t="s">
        <v>10753</v>
      </c>
      <c r="C2189" s="8" t="s">
        <v>25</v>
      </c>
      <c r="D2189" s="8" t="s">
        <v>26</v>
      </c>
      <c r="E2189" s="8" t="s">
        <v>10754</v>
      </c>
      <c r="F2189" s="8">
        <v>5.4135617E7</v>
      </c>
      <c r="G2189" s="8" t="s">
        <v>54</v>
      </c>
      <c r="H2189" s="8" t="s">
        <v>595</v>
      </c>
      <c r="I2189" s="8" t="s">
        <v>31</v>
      </c>
      <c r="J2189" s="8" t="s">
        <v>77</v>
      </c>
      <c r="K2189" s="10" t="s">
        <v>2537</v>
      </c>
      <c r="L2189" s="8" t="s">
        <v>58</v>
      </c>
      <c r="M2189" s="8" t="s">
        <v>35</v>
      </c>
      <c r="N2189" s="11">
        <v>45072.0</v>
      </c>
      <c r="O2189" s="11">
        <v>45152.0</v>
      </c>
      <c r="P2189" s="11">
        <v>45194.0</v>
      </c>
      <c r="Q2189" s="11">
        <v>45152.0</v>
      </c>
      <c r="R2189" s="11">
        <v>45194.0</v>
      </c>
      <c r="S2189" s="12"/>
      <c r="T2189" s="8"/>
      <c r="U2189" s="8" t="s">
        <v>88</v>
      </c>
      <c r="V2189" s="13" t="s">
        <v>2961</v>
      </c>
      <c r="W2189" s="13" t="s">
        <v>10755</v>
      </c>
      <c r="X2189" s="12"/>
      <c r="Y2189" s="14"/>
      <c r="Z2189" s="14"/>
    </row>
    <row r="2190">
      <c r="A2190" s="8" t="s">
        <v>10756</v>
      </c>
      <c r="B2190" s="8" t="s">
        <v>10757</v>
      </c>
      <c r="C2190" s="8" t="s">
        <v>25</v>
      </c>
      <c r="D2190" s="8" t="s">
        <v>26</v>
      </c>
      <c r="E2190" s="8" t="s">
        <v>10758</v>
      </c>
      <c r="F2190" s="8">
        <v>9.3923132E7</v>
      </c>
      <c r="G2190" s="8" t="s">
        <v>54</v>
      </c>
      <c r="H2190" s="8" t="s">
        <v>76</v>
      </c>
      <c r="I2190" s="8" t="s">
        <v>31</v>
      </c>
      <c r="J2190" s="8" t="s">
        <v>77</v>
      </c>
      <c r="K2190" s="10" t="s">
        <v>2417</v>
      </c>
      <c r="L2190" s="8" t="s">
        <v>58</v>
      </c>
      <c r="M2190" s="8" t="s">
        <v>35</v>
      </c>
      <c r="N2190" s="11">
        <v>45072.0</v>
      </c>
      <c r="O2190" s="11">
        <v>45194.0</v>
      </c>
      <c r="P2190" s="11">
        <v>45236.0</v>
      </c>
      <c r="Q2190" s="11">
        <v>45194.0</v>
      </c>
      <c r="R2190" s="11">
        <v>45236.0</v>
      </c>
      <c r="S2190" s="12"/>
      <c r="T2190" s="8"/>
      <c r="U2190" s="8" t="s">
        <v>59</v>
      </c>
      <c r="V2190" s="13" t="s">
        <v>491</v>
      </c>
      <c r="W2190" s="13" t="s">
        <v>10759</v>
      </c>
      <c r="X2190" s="12"/>
      <c r="Y2190" s="14"/>
      <c r="Z2190" s="14"/>
    </row>
    <row r="2191">
      <c r="A2191" s="8" t="s">
        <v>10760</v>
      </c>
      <c r="B2191" s="8" t="s">
        <v>10761</v>
      </c>
      <c r="C2191" s="8" t="s">
        <v>25</v>
      </c>
      <c r="D2191" s="8" t="s">
        <v>26</v>
      </c>
      <c r="E2191" s="8" t="s">
        <v>10762</v>
      </c>
      <c r="F2191" s="8">
        <v>5.1784887E7</v>
      </c>
      <c r="G2191" s="8" t="s">
        <v>54</v>
      </c>
      <c r="H2191" s="8" t="s">
        <v>76</v>
      </c>
      <c r="I2191" s="8" t="s">
        <v>31</v>
      </c>
      <c r="J2191" s="8" t="s">
        <v>77</v>
      </c>
      <c r="K2191" s="10" t="s">
        <v>5712</v>
      </c>
      <c r="L2191" s="8" t="s">
        <v>58</v>
      </c>
      <c r="M2191" s="8" t="s">
        <v>35</v>
      </c>
      <c r="N2191" s="11">
        <v>45072.0</v>
      </c>
      <c r="O2191" s="11">
        <v>45172.0</v>
      </c>
      <c r="P2191" s="11">
        <v>45214.0</v>
      </c>
      <c r="Q2191" s="11">
        <v>45173.0</v>
      </c>
      <c r="R2191" s="11">
        <v>45214.0</v>
      </c>
      <c r="S2191" s="12"/>
      <c r="T2191" s="8"/>
      <c r="U2191" s="8" t="s">
        <v>59</v>
      </c>
      <c r="V2191" s="13" t="s">
        <v>491</v>
      </c>
      <c r="W2191" s="13" t="s">
        <v>10763</v>
      </c>
      <c r="X2191" s="12"/>
      <c r="Y2191" s="14"/>
      <c r="Z2191" s="14"/>
    </row>
    <row r="2192">
      <c r="A2192" s="8" t="s">
        <v>10764</v>
      </c>
      <c r="B2192" s="8" t="s">
        <v>10765</v>
      </c>
      <c r="C2192" s="8" t="s">
        <v>25</v>
      </c>
      <c r="D2192" s="8" t="s">
        <v>26</v>
      </c>
      <c r="E2192" s="8" t="s">
        <v>10766</v>
      </c>
      <c r="F2192" s="8">
        <v>5.337298287E9</v>
      </c>
      <c r="G2192" s="8" t="s">
        <v>31</v>
      </c>
      <c r="H2192" s="8" t="s">
        <v>167</v>
      </c>
      <c r="I2192" s="8" t="s">
        <v>284</v>
      </c>
      <c r="J2192" s="8" t="s">
        <v>2065</v>
      </c>
      <c r="K2192" s="10" t="s">
        <v>10767</v>
      </c>
      <c r="L2192" s="8" t="s">
        <v>58</v>
      </c>
      <c r="M2192" s="8" t="s">
        <v>35</v>
      </c>
      <c r="N2192" s="11">
        <v>45072.0</v>
      </c>
      <c r="O2192" s="11">
        <v>45122.0</v>
      </c>
      <c r="P2192" s="11">
        <v>45164.0</v>
      </c>
      <c r="Q2192" s="11">
        <v>45121.0</v>
      </c>
      <c r="R2192" s="11">
        <v>45164.0</v>
      </c>
      <c r="S2192" s="12"/>
      <c r="T2192" s="8"/>
      <c r="U2192" s="8" t="s">
        <v>371</v>
      </c>
      <c r="V2192" s="13" t="s">
        <v>167</v>
      </c>
      <c r="W2192" s="13" t="s">
        <v>10768</v>
      </c>
      <c r="X2192" s="12"/>
      <c r="Y2192" s="14"/>
      <c r="Z2192" s="14"/>
    </row>
    <row r="2193">
      <c r="A2193" s="8" t="s">
        <v>10769</v>
      </c>
      <c r="B2193" s="8" t="s">
        <v>10770</v>
      </c>
      <c r="C2193" s="8" t="s">
        <v>179</v>
      </c>
      <c r="D2193" s="8" t="s">
        <v>26</v>
      </c>
      <c r="E2193" s="8" t="s">
        <v>10771</v>
      </c>
      <c r="F2193" s="8">
        <v>5.529198484E9</v>
      </c>
      <c r="G2193" s="8" t="s">
        <v>31</v>
      </c>
      <c r="H2193" s="8" t="s">
        <v>167</v>
      </c>
      <c r="I2193" s="8" t="s">
        <v>284</v>
      </c>
      <c r="J2193" s="8" t="s">
        <v>3188</v>
      </c>
      <c r="K2193" s="10" t="s">
        <v>10772</v>
      </c>
      <c r="L2193" s="8" t="s">
        <v>58</v>
      </c>
      <c r="M2193" s="8" t="s">
        <v>35</v>
      </c>
      <c r="N2193" s="11">
        <v>45072.0</v>
      </c>
      <c r="O2193" s="11">
        <v>45097.0</v>
      </c>
      <c r="P2193" s="11">
        <v>45139.0</v>
      </c>
      <c r="Q2193" s="11"/>
      <c r="R2193" s="11"/>
      <c r="S2193" s="12"/>
      <c r="T2193" s="8"/>
      <c r="U2193" s="8" t="s">
        <v>1038</v>
      </c>
      <c r="V2193" s="13" t="s">
        <v>438</v>
      </c>
      <c r="W2193" s="13" t="s">
        <v>10773</v>
      </c>
      <c r="X2193" s="12"/>
      <c r="Y2193" s="14"/>
      <c r="Z2193" s="14"/>
    </row>
    <row r="2194">
      <c r="A2194" s="8" t="s">
        <v>10774</v>
      </c>
      <c r="B2194" s="8" t="s">
        <v>10775</v>
      </c>
      <c r="C2194" s="8" t="s">
        <v>25</v>
      </c>
      <c r="D2194" s="8" t="s">
        <v>26</v>
      </c>
      <c r="E2194" s="8" t="s">
        <v>10776</v>
      </c>
      <c r="F2194" s="8">
        <v>5.353074643E9</v>
      </c>
      <c r="G2194" s="8" t="s">
        <v>31</v>
      </c>
      <c r="H2194" s="8" t="s">
        <v>167</v>
      </c>
      <c r="I2194" s="8" t="s">
        <v>284</v>
      </c>
      <c r="J2194" s="8" t="s">
        <v>793</v>
      </c>
      <c r="K2194" s="10" t="s">
        <v>8983</v>
      </c>
      <c r="L2194" s="8" t="s">
        <v>58</v>
      </c>
      <c r="M2194" s="8" t="s">
        <v>35</v>
      </c>
      <c r="N2194" s="11">
        <v>45072.0</v>
      </c>
      <c r="O2194" s="11">
        <v>45108.0</v>
      </c>
      <c r="P2194" s="11">
        <v>45150.0</v>
      </c>
      <c r="Q2194" s="11">
        <v>45108.0</v>
      </c>
      <c r="R2194" s="11">
        <v>45151.0</v>
      </c>
      <c r="S2194" s="12"/>
      <c r="T2194" s="8"/>
      <c r="U2194" s="8" t="s">
        <v>1038</v>
      </c>
      <c r="V2194" s="13" t="s">
        <v>3212</v>
      </c>
      <c r="W2194" s="13" t="s">
        <v>10777</v>
      </c>
      <c r="X2194" s="12"/>
      <c r="Y2194" s="14"/>
      <c r="Z2194" s="14"/>
    </row>
    <row r="2195">
      <c r="A2195" s="8" t="s">
        <v>10778</v>
      </c>
      <c r="B2195" s="8" t="s">
        <v>10779</v>
      </c>
      <c r="C2195" s="8" t="s">
        <v>179</v>
      </c>
      <c r="D2195" s="8" t="s">
        <v>26</v>
      </c>
      <c r="E2195" s="8" t="s">
        <v>10780</v>
      </c>
      <c r="F2195" s="8">
        <v>1.277440814E9</v>
      </c>
      <c r="G2195" s="8" t="s">
        <v>284</v>
      </c>
      <c r="H2195" s="8" t="s">
        <v>1287</v>
      </c>
      <c r="I2195" s="8" t="s">
        <v>31</v>
      </c>
      <c r="J2195" s="8" t="s">
        <v>32</v>
      </c>
      <c r="K2195" s="10" t="s">
        <v>10781</v>
      </c>
      <c r="L2195" s="8" t="s">
        <v>58</v>
      </c>
      <c r="M2195" s="8" t="s">
        <v>35</v>
      </c>
      <c r="N2195" s="11">
        <v>45072.0</v>
      </c>
      <c r="O2195" s="11">
        <v>45110.0</v>
      </c>
      <c r="P2195" s="11">
        <v>45152.0</v>
      </c>
      <c r="Q2195" s="11"/>
      <c r="R2195" s="11"/>
      <c r="S2195" s="12"/>
      <c r="T2195" s="8"/>
      <c r="U2195" s="8" t="s">
        <v>161</v>
      </c>
      <c r="V2195" s="13" t="s">
        <v>5072</v>
      </c>
      <c r="W2195" s="13" t="s">
        <v>10782</v>
      </c>
      <c r="X2195" s="12"/>
      <c r="Y2195" s="14"/>
      <c r="Z2195" s="14"/>
    </row>
    <row r="2196">
      <c r="A2196" s="8" t="s">
        <v>10783</v>
      </c>
      <c r="B2196" s="8" t="s">
        <v>10784</v>
      </c>
      <c r="C2196" s="8" t="s">
        <v>25</v>
      </c>
      <c r="D2196" s="8" t="s">
        <v>26</v>
      </c>
      <c r="E2196" s="8" t="s">
        <v>10785</v>
      </c>
      <c r="F2196" s="8">
        <v>5.05757112E8</v>
      </c>
      <c r="G2196" s="8" t="s">
        <v>277</v>
      </c>
      <c r="H2196" s="8" t="s">
        <v>278</v>
      </c>
      <c r="I2196" s="8" t="s">
        <v>31</v>
      </c>
      <c r="J2196" s="8" t="s">
        <v>542</v>
      </c>
      <c r="K2196" s="10" t="s">
        <v>10212</v>
      </c>
      <c r="L2196" s="8" t="s">
        <v>58</v>
      </c>
      <c r="M2196" s="8" t="s">
        <v>35</v>
      </c>
      <c r="N2196" s="11">
        <v>45072.0</v>
      </c>
      <c r="O2196" s="11">
        <v>45131.0</v>
      </c>
      <c r="P2196" s="11">
        <v>45173.0</v>
      </c>
      <c r="Q2196" s="11">
        <v>45133.0</v>
      </c>
      <c r="R2196" s="11">
        <v>45173.0</v>
      </c>
      <c r="S2196" s="12"/>
      <c r="T2196" s="8"/>
      <c r="U2196" s="8" t="s">
        <v>59</v>
      </c>
      <c r="V2196" s="13" t="s">
        <v>10786</v>
      </c>
      <c r="W2196" s="13" t="s">
        <v>10787</v>
      </c>
      <c r="X2196" s="12"/>
      <c r="Y2196" s="14"/>
      <c r="Z2196" s="14"/>
    </row>
    <row r="2197">
      <c r="A2197" s="8" t="s">
        <v>10788</v>
      </c>
      <c r="B2197" s="8" t="s">
        <v>10789</v>
      </c>
      <c r="C2197" s="8" t="s">
        <v>179</v>
      </c>
      <c r="D2197" s="8" t="s">
        <v>26</v>
      </c>
      <c r="E2197" s="8" t="s">
        <v>10790</v>
      </c>
      <c r="F2197" s="8">
        <v>1.004406754E9</v>
      </c>
      <c r="G2197" s="8" t="s">
        <v>284</v>
      </c>
      <c r="H2197" s="8" t="s">
        <v>1287</v>
      </c>
      <c r="I2197" s="8" t="s">
        <v>31</v>
      </c>
      <c r="J2197" s="8" t="s">
        <v>32</v>
      </c>
      <c r="K2197" s="10" t="s">
        <v>10781</v>
      </c>
      <c r="L2197" s="8" t="s">
        <v>58</v>
      </c>
      <c r="M2197" s="8" t="s">
        <v>35</v>
      </c>
      <c r="N2197" s="11">
        <v>45072.0</v>
      </c>
      <c r="O2197" s="11">
        <v>45110.0</v>
      </c>
      <c r="P2197" s="11">
        <v>45152.0</v>
      </c>
      <c r="Q2197" s="11"/>
      <c r="R2197" s="11"/>
      <c r="S2197" s="12"/>
      <c r="T2197" s="8"/>
      <c r="U2197" s="8" t="s">
        <v>161</v>
      </c>
      <c r="V2197" s="13" t="s">
        <v>1289</v>
      </c>
      <c r="W2197" s="13" t="s">
        <v>10791</v>
      </c>
      <c r="X2197" s="12"/>
      <c r="Y2197" s="14"/>
      <c r="Z2197" s="14"/>
    </row>
    <row r="2198">
      <c r="A2198" s="8" t="s">
        <v>10792</v>
      </c>
      <c r="B2198" s="8" t="s">
        <v>10793</v>
      </c>
      <c r="C2198" s="8" t="s">
        <v>25</v>
      </c>
      <c r="D2198" s="8" t="s">
        <v>26</v>
      </c>
      <c r="E2198" s="8" t="s">
        <v>10794</v>
      </c>
      <c r="F2198" s="8">
        <v>9.89271727E8</v>
      </c>
      <c r="G2198" s="8" t="s">
        <v>1620</v>
      </c>
      <c r="H2198" s="8" t="s">
        <v>10795</v>
      </c>
      <c r="I2198" s="8" t="s">
        <v>31</v>
      </c>
      <c r="J2198" s="8" t="s">
        <v>43</v>
      </c>
      <c r="K2198" s="10" t="s">
        <v>10002</v>
      </c>
      <c r="L2198" s="8" t="s">
        <v>58</v>
      </c>
      <c r="M2198" s="8" t="s">
        <v>35</v>
      </c>
      <c r="N2198" s="11">
        <v>45072.0</v>
      </c>
      <c r="O2198" s="11">
        <v>45110.0</v>
      </c>
      <c r="P2198" s="11">
        <v>45156.0</v>
      </c>
      <c r="Q2198" s="11">
        <v>45110.0</v>
      </c>
      <c r="R2198" s="11">
        <v>45156.0</v>
      </c>
      <c r="S2198" s="12"/>
      <c r="T2198" s="8"/>
      <c r="U2198" s="8" t="s">
        <v>59</v>
      </c>
      <c r="V2198" s="13" t="s">
        <v>10796</v>
      </c>
      <c r="W2198" s="13" t="s">
        <v>10797</v>
      </c>
      <c r="X2198" s="12"/>
      <c r="Y2198" s="14"/>
      <c r="Z2198" s="14"/>
    </row>
    <row r="2199">
      <c r="A2199" s="8" t="s">
        <v>10798</v>
      </c>
      <c r="B2199" s="8" t="s">
        <v>10799</v>
      </c>
      <c r="C2199" s="8" t="s">
        <v>25</v>
      </c>
      <c r="D2199" s="8" t="s">
        <v>26</v>
      </c>
      <c r="E2199" s="8" t="s">
        <v>10800</v>
      </c>
      <c r="F2199" s="8"/>
      <c r="G2199" s="8" t="s">
        <v>31</v>
      </c>
      <c r="H2199" s="8" t="s">
        <v>56</v>
      </c>
      <c r="I2199" s="8" t="s">
        <v>127</v>
      </c>
      <c r="J2199" s="8" t="s">
        <v>1628</v>
      </c>
      <c r="K2199" s="10" t="s">
        <v>10801</v>
      </c>
      <c r="L2199" s="8" t="s">
        <v>58</v>
      </c>
      <c r="M2199" s="8" t="s">
        <v>35</v>
      </c>
      <c r="N2199" s="11">
        <v>45072.0</v>
      </c>
      <c r="O2199" s="11">
        <v>45103.0</v>
      </c>
      <c r="P2199" s="11">
        <v>45145.0</v>
      </c>
      <c r="Q2199" s="11">
        <v>45103.0</v>
      </c>
      <c r="R2199" s="11">
        <v>45145.0</v>
      </c>
      <c r="S2199" s="12"/>
      <c r="T2199" s="8"/>
      <c r="U2199" s="8" t="s">
        <v>1956</v>
      </c>
      <c r="V2199" s="13" t="s">
        <v>38</v>
      </c>
      <c r="W2199" s="13" t="s">
        <v>10802</v>
      </c>
      <c r="X2199" s="12"/>
      <c r="Y2199" s="14"/>
      <c r="Z2199" s="14"/>
    </row>
    <row r="2200">
      <c r="A2200" s="8" t="s">
        <v>10803</v>
      </c>
      <c r="B2200" s="8" t="s">
        <v>10804</v>
      </c>
      <c r="C2200" s="8" t="s">
        <v>179</v>
      </c>
      <c r="D2200" s="8" t="s">
        <v>26</v>
      </c>
      <c r="E2200" s="8" t="s">
        <v>10805</v>
      </c>
      <c r="F2200" s="8">
        <v>7.52557689E8</v>
      </c>
      <c r="G2200" s="8" t="s">
        <v>127</v>
      </c>
      <c r="H2200" s="8" t="s">
        <v>363</v>
      </c>
      <c r="I2200" s="8" t="s">
        <v>31</v>
      </c>
      <c r="J2200" s="8" t="s">
        <v>167</v>
      </c>
      <c r="K2200" s="10" t="s">
        <v>10618</v>
      </c>
      <c r="L2200" s="8" t="s">
        <v>58</v>
      </c>
      <c r="M2200" s="8" t="s">
        <v>35</v>
      </c>
      <c r="N2200" s="11">
        <v>45072.0</v>
      </c>
      <c r="O2200" s="11">
        <v>45152.0</v>
      </c>
      <c r="P2200" s="11">
        <v>45194.0</v>
      </c>
      <c r="Q2200" s="11"/>
      <c r="R2200" s="11"/>
      <c r="S2200" s="12"/>
      <c r="T2200" s="8"/>
      <c r="U2200" s="8" t="s">
        <v>88</v>
      </c>
      <c r="V2200" s="13" t="s">
        <v>4481</v>
      </c>
      <c r="W2200" s="13" t="s">
        <v>10806</v>
      </c>
      <c r="X2200" s="12"/>
      <c r="Y2200" s="14"/>
      <c r="Z2200" s="14"/>
    </row>
    <row r="2201">
      <c r="A2201" s="8" t="s">
        <v>10807</v>
      </c>
      <c r="B2201" s="8" t="s">
        <v>10808</v>
      </c>
      <c r="C2201" s="8" t="s">
        <v>25</v>
      </c>
      <c r="D2201" s="8" t="s">
        <v>26</v>
      </c>
      <c r="E2201" s="8" t="s">
        <v>10809</v>
      </c>
      <c r="F2201" s="8"/>
      <c r="G2201" s="8" t="s">
        <v>8344</v>
      </c>
      <c r="H2201" s="8" t="s">
        <v>8418</v>
      </c>
      <c r="I2201" s="8" t="s">
        <v>31</v>
      </c>
      <c r="J2201" s="8" t="s">
        <v>167</v>
      </c>
      <c r="K2201" s="10" t="s">
        <v>10810</v>
      </c>
      <c r="L2201" s="8" t="s">
        <v>58</v>
      </c>
      <c r="M2201" s="8" t="s">
        <v>35</v>
      </c>
      <c r="N2201" s="11">
        <v>45072.0</v>
      </c>
      <c r="O2201" s="11">
        <v>45110.0</v>
      </c>
      <c r="P2201" s="11">
        <v>45152.0</v>
      </c>
      <c r="Q2201" s="11">
        <v>45110.0</v>
      </c>
      <c r="R2201" s="11">
        <v>45152.0</v>
      </c>
      <c r="S2201" s="12"/>
      <c r="T2201" s="8"/>
      <c r="U2201" s="8" t="s">
        <v>59</v>
      </c>
      <c r="V2201" s="13" t="s">
        <v>38</v>
      </c>
      <c r="W2201" s="13" t="s">
        <v>10811</v>
      </c>
      <c r="X2201" s="12"/>
      <c r="Y2201" s="14"/>
      <c r="Z2201" s="14"/>
    </row>
    <row r="2202">
      <c r="A2202" s="8" t="s">
        <v>10812</v>
      </c>
      <c r="B2202" s="8" t="s">
        <v>10813</v>
      </c>
      <c r="C2202" s="8" t="s">
        <v>64</v>
      </c>
      <c r="D2202" s="8" t="s">
        <v>26</v>
      </c>
      <c r="E2202" s="8" t="s">
        <v>10814</v>
      </c>
      <c r="F2202" s="8">
        <v>1.765779784E10</v>
      </c>
      <c r="G2202" s="8" t="s">
        <v>202</v>
      </c>
      <c r="H2202" s="8" t="s">
        <v>337</v>
      </c>
      <c r="I2202" s="8" t="s">
        <v>31</v>
      </c>
      <c r="J2202" s="8" t="s">
        <v>167</v>
      </c>
      <c r="K2202" s="10" t="s">
        <v>7380</v>
      </c>
      <c r="L2202" s="8" t="s">
        <v>58</v>
      </c>
      <c r="M2202" s="8" t="s">
        <v>35</v>
      </c>
      <c r="N2202" s="11">
        <v>45072.0</v>
      </c>
      <c r="O2202" s="11">
        <v>45110.0</v>
      </c>
      <c r="P2202" s="11">
        <v>45152.0</v>
      </c>
      <c r="Q2202" s="11">
        <v>45110.0</v>
      </c>
      <c r="R2202" s="11">
        <v>45152.0</v>
      </c>
      <c r="S2202" s="12"/>
      <c r="T2202" s="8"/>
      <c r="U2202" s="8" t="s">
        <v>59</v>
      </c>
      <c r="V2202" s="13" t="s">
        <v>340</v>
      </c>
      <c r="W2202" s="13" t="s">
        <v>10815</v>
      </c>
      <c r="X2202" s="12"/>
      <c r="Y2202" s="14"/>
      <c r="Z2202" s="14"/>
    </row>
    <row r="2203">
      <c r="A2203" s="8" t="s">
        <v>10816</v>
      </c>
      <c r="B2203" s="8" t="s">
        <v>10817</v>
      </c>
      <c r="C2203" s="8" t="s">
        <v>64</v>
      </c>
      <c r="D2203" s="8" t="s">
        <v>26</v>
      </c>
      <c r="E2203" s="8" t="s">
        <v>10818</v>
      </c>
      <c r="F2203" s="8"/>
      <c r="G2203" s="8" t="s">
        <v>1620</v>
      </c>
      <c r="H2203" s="8" t="s">
        <v>10795</v>
      </c>
      <c r="I2203" s="8" t="s">
        <v>31</v>
      </c>
      <c r="J2203" s="8" t="s">
        <v>32</v>
      </c>
      <c r="K2203" s="10" t="s">
        <v>7850</v>
      </c>
      <c r="L2203" s="8" t="s">
        <v>58</v>
      </c>
      <c r="M2203" s="8" t="s">
        <v>35</v>
      </c>
      <c r="N2203" s="11">
        <v>45072.0</v>
      </c>
      <c r="O2203" s="11">
        <v>45187.0</v>
      </c>
      <c r="P2203" s="11">
        <v>45229.0</v>
      </c>
      <c r="Q2203" s="11">
        <v>45191.0</v>
      </c>
      <c r="R2203" s="11">
        <v>45233.0</v>
      </c>
      <c r="S2203" s="12"/>
      <c r="T2203" s="8"/>
      <c r="U2203" s="8" t="s">
        <v>161</v>
      </c>
      <c r="V2203" s="13" t="s">
        <v>38</v>
      </c>
      <c r="W2203" s="13" t="s">
        <v>10819</v>
      </c>
      <c r="X2203" s="12"/>
      <c r="Y2203" s="14"/>
      <c r="Z2203" s="14"/>
    </row>
    <row r="2204">
      <c r="A2204" s="8" t="s">
        <v>10820</v>
      </c>
      <c r="B2204" s="8" t="s">
        <v>10821</v>
      </c>
      <c r="C2204" s="8" t="s">
        <v>251</v>
      </c>
      <c r="D2204" s="8" t="s">
        <v>26</v>
      </c>
      <c r="E2204" s="8" t="s">
        <v>10822</v>
      </c>
      <c r="F2204" s="8">
        <v>5.301709492E9</v>
      </c>
      <c r="G2204" s="8" t="s">
        <v>31</v>
      </c>
      <c r="H2204" s="8" t="s">
        <v>959</v>
      </c>
      <c r="I2204" s="8" t="s">
        <v>6352</v>
      </c>
      <c r="J2204" s="8" t="s">
        <v>6353</v>
      </c>
      <c r="K2204" s="10" t="s">
        <v>9693</v>
      </c>
      <c r="L2204" s="8" t="s">
        <v>58</v>
      </c>
      <c r="M2204" s="8" t="s">
        <v>35</v>
      </c>
      <c r="N2204" s="11">
        <v>45072.0</v>
      </c>
      <c r="O2204" s="11">
        <v>45159.0</v>
      </c>
      <c r="P2204" s="11">
        <v>45201.0</v>
      </c>
      <c r="Q2204" s="11"/>
      <c r="R2204" s="11"/>
      <c r="S2204" s="12"/>
      <c r="T2204" s="8"/>
      <c r="U2204" s="8" t="s">
        <v>1038</v>
      </c>
      <c r="V2204" s="13" t="s">
        <v>1069</v>
      </c>
      <c r="W2204" s="13" t="s">
        <v>10823</v>
      </c>
      <c r="X2204" s="12"/>
      <c r="Y2204" s="14"/>
      <c r="Z2204" s="14"/>
    </row>
    <row r="2205">
      <c r="A2205" s="8" t="s">
        <v>10824</v>
      </c>
      <c r="B2205" s="8" t="s">
        <v>10825</v>
      </c>
      <c r="C2205" s="8" t="s">
        <v>179</v>
      </c>
      <c r="D2205" s="8" t="s">
        <v>26</v>
      </c>
      <c r="E2205" s="8" t="s">
        <v>10826</v>
      </c>
      <c r="F2205" s="8">
        <v>3.154808433E9</v>
      </c>
      <c r="G2205" s="8" t="s">
        <v>315</v>
      </c>
      <c r="H2205" s="8" t="s">
        <v>6263</v>
      </c>
      <c r="I2205" s="8" t="s">
        <v>31</v>
      </c>
      <c r="J2205" s="8" t="s">
        <v>43</v>
      </c>
      <c r="K2205" s="10" t="s">
        <v>9489</v>
      </c>
      <c r="L2205" s="8" t="s">
        <v>58</v>
      </c>
      <c r="M2205" s="8" t="s">
        <v>35</v>
      </c>
      <c r="N2205" s="11">
        <v>45073.0</v>
      </c>
      <c r="O2205" s="11">
        <v>45110.0</v>
      </c>
      <c r="P2205" s="11">
        <v>45156.0</v>
      </c>
      <c r="Q2205" s="11"/>
      <c r="R2205" s="11"/>
      <c r="S2205" s="12"/>
      <c r="T2205" s="8"/>
      <c r="U2205" s="8" t="s">
        <v>59</v>
      </c>
      <c r="V2205" s="13" t="s">
        <v>8073</v>
      </c>
      <c r="W2205" s="13" t="s">
        <v>10827</v>
      </c>
      <c r="X2205" s="12"/>
      <c r="Y2205" s="14"/>
      <c r="Z2205" s="14"/>
    </row>
    <row r="2206">
      <c r="A2206" s="8" t="s">
        <v>10828</v>
      </c>
      <c r="B2206" s="8" t="s">
        <v>10829</v>
      </c>
      <c r="C2206" s="8" t="s">
        <v>179</v>
      </c>
      <c r="D2206" s="8" t="s">
        <v>26</v>
      </c>
      <c r="E2206" s="8" t="s">
        <v>10830</v>
      </c>
      <c r="F2206" s="8">
        <v>3.204107E9</v>
      </c>
      <c r="G2206" s="8" t="s">
        <v>315</v>
      </c>
      <c r="H2206" s="8" t="s">
        <v>6263</v>
      </c>
      <c r="I2206" s="8" t="s">
        <v>31</v>
      </c>
      <c r="J2206" s="8" t="s">
        <v>43</v>
      </c>
      <c r="K2206" s="10" t="s">
        <v>10328</v>
      </c>
      <c r="L2206" s="8" t="s">
        <v>58</v>
      </c>
      <c r="M2206" s="8" t="s">
        <v>35</v>
      </c>
      <c r="N2206" s="11">
        <v>45073.0</v>
      </c>
      <c r="O2206" s="11">
        <v>45096.0</v>
      </c>
      <c r="P2206" s="11">
        <v>45142.0</v>
      </c>
      <c r="Q2206" s="11"/>
      <c r="R2206" s="11"/>
      <c r="S2206" s="12"/>
      <c r="T2206" s="8"/>
      <c r="U2206" s="8" t="s">
        <v>59</v>
      </c>
      <c r="V2206" s="13" t="s">
        <v>1243</v>
      </c>
      <c r="W2206" s="13" t="s">
        <v>10831</v>
      </c>
      <c r="X2206" s="12"/>
      <c r="Y2206" s="14"/>
      <c r="Z2206" s="14"/>
    </row>
    <row r="2207">
      <c r="A2207" s="8" t="s">
        <v>10832</v>
      </c>
      <c r="B2207" s="8" t="s">
        <v>10833</v>
      </c>
      <c r="C2207" s="8" t="s">
        <v>25</v>
      </c>
      <c r="D2207" s="8" t="s">
        <v>26</v>
      </c>
      <c r="E2207" s="8" t="s">
        <v>10834</v>
      </c>
      <c r="F2207" s="8"/>
      <c r="G2207" s="8" t="s">
        <v>127</v>
      </c>
      <c r="H2207" s="8" t="s">
        <v>128</v>
      </c>
      <c r="I2207" s="8" t="s">
        <v>31</v>
      </c>
      <c r="J2207" s="8" t="s">
        <v>77</v>
      </c>
      <c r="K2207" s="10" t="s">
        <v>2537</v>
      </c>
      <c r="L2207" s="8" t="s">
        <v>58</v>
      </c>
      <c r="M2207" s="8" t="s">
        <v>35</v>
      </c>
      <c r="N2207" s="11">
        <v>45073.0</v>
      </c>
      <c r="O2207" s="11">
        <v>45127.0</v>
      </c>
      <c r="P2207" s="11">
        <v>45169.0</v>
      </c>
      <c r="Q2207" s="11">
        <v>45127.0</v>
      </c>
      <c r="R2207" s="11">
        <v>45169.0</v>
      </c>
      <c r="S2207" s="12"/>
      <c r="T2207" s="8"/>
      <c r="U2207" s="8" t="s">
        <v>88</v>
      </c>
      <c r="V2207" s="13" t="s">
        <v>38</v>
      </c>
      <c r="W2207" s="13" t="s">
        <v>10835</v>
      </c>
      <c r="X2207" s="12"/>
      <c r="Y2207" s="14"/>
      <c r="Z2207" s="14"/>
    </row>
    <row r="2208">
      <c r="A2208" s="8" t="s">
        <v>10836</v>
      </c>
      <c r="B2208" s="8" t="s">
        <v>10837</v>
      </c>
      <c r="C2208" s="8" t="s">
        <v>25</v>
      </c>
      <c r="D2208" s="8" t="s">
        <v>26</v>
      </c>
      <c r="E2208" s="8" t="s">
        <v>10838</v>
      </c>
      <c r="F2208" s="8"/>
      <c r="G2208" s="8" t="s">
        <v>127</v>
      </c>
      <c r="H2208" s="8" t="s">
        <v>128</v>
      </c>
      <c r="I2208" s="8" t="s">
        <v>31</v>
      </c>
      <c r="J2208" s="8" t="s">
        <v>77</v>
      </c>
      <c r="K2208" s="10" t="s">
        <v>2537</v>
      </c>
      <c r="L2208" s="8" t="s">
        <v>58</v>
      </c>
      <c r="M2208" s="8" t="s">
        <v>35</v>
      </c>
      <c r="N2208" s="11">
        <v>45073.0</v>
      </c>
      <c r="O2208" s="11">
        <v>45127.0</v>
      </c>
      <c r="P2208" s="11">
        <v>45169.0</v>
      </c>
      <c r="Q2208" s="11">
        <v>45127.0</v>
      </c>
      <c r="R2208" s="11">
        <v>45169.0</v>
      </c>
      <c r="S2208" s="12"/>
      <c r="T2208" s="8"/>
      <c r="U2208" s="8" t="s">
        <v>88</v>
      </c>
      <c r="V2208" s="13" t="s">
        <v>38</v>
      </c>
      <c r="W2208" s="13" t="s">
        <v>10839</v>
      </c>
      <c r="X2208" s="12"/>
      <c r="Y2208" s="14"/>
      <c r="Z2208" s="14"/>
    </row>
    <row r="2209">
      <c r="A2209" s="8" t="s">
        <v>10840</v>
      </c>
      <c r="B2209" s="8" t="s">
        <v>5317</v>
      </c>
      <c r="C2209" s="8" t="s">
        <v>179</v>
      </c>
      <c r="D2209" s="8" t="s">
        <v>26</v>
      </c>
      <c r="E2209" s="8" t="s">
        <v>5318</v>
      </c>
      <c r="F2209" s="8"/>
      <c r="G2209" s="8" t="s">
        <v>31</v>
      </c>
      <c r="H2209" s="8" t="s">
        <v>86</v>
      </c>
      <c r="I2209" s="8" t="s">
        <v>284</v>
      </c>
      <c r="J2209" s="8" t="s">
        <v>589</v>
      </c>
      <c r="K2209" s="10" t="s">
        <v>10841</v>
      </c>
      <c r="L2209" s="8" t="s">
        <v>58</v>
      </c>
      <c r="M2209" s="8" t="s">
        <v>35</v>
      </c>
      <c r="N2209" s="11">
        <v>45073.0</v>
      </c>
      <c r="O2209" s="11">
        <v>45302.0</v>
      </c>
      <c r="P2209" s="11">
        <v>45344.0</v>
      </c>
      <c r="Q2209" s="11"/>
      <c r="R2209" s="11"/>
      <c r="S2209" s="12"/>
      <c r="T2209" s="8"/>
      <c r="U2209" s="8" t="s">
        <v>1038</v>
      </c>
      <c r="V2209" s="13" t="s">
        <v>38</v>
      </c>
      <c r="W2209" s="13" t="s">
        <v>5319</v>
      </c>
      <c r="X2209" s="12"/>
      <c r="Y2209" s="14"/>
      <c r="Z2209" s="14"/>
    </row>
    <row r="2210">
      <c r="A2210" s="8" t="s">
        <v>10842</v>
      </c>
      <c r="B2210" s="8" t="s">
        <v>10843</v>
      </c>
      <c r="C2210" s="8" t="s">
        <v>25</v>
      </c>
      <c r="D2210" s="8" t="s">
        <v>26</v>
      </c>
      <c r="E2210" s="8" t="s">
        <v>10844</v>
      </c>
      <c r="F2210" s="8"/>
      <c r="G2210" s="8" t="s">
        <v>31</v>
      </c>
      <c r="H2210" s="8" t="s">
        <v>111</v>
      </c>
      <c r="I2210" s="8" t="s">
        <v>284</v>
      </c>
      <c r="J2210" s="8" t="s">
        <v>854</v>
      </c>
      <c r="K2210" s="10" t="s">
        <v>10845</v>
      </c>
      <c r="L2210" s="8" t="s">
        <v>58</v>
      </c>
      <c r="M2210" s="8" t="s">
        <v>35</v>
      </c>
      <c r="N2210" s="11">
        <v>45073.0</v>
      </c>
      <c r="O2210" s="11">
        <v>45108.0</v>
      </c>
      <c r="P2210" s="11">
        <v>45153.0</v>
      </c>
      <c r="Q2210" s="11">
        <v>45112.0</v>
      </c>
      <c r="R2210" s="11">
        <v>45157.0</v>
      </c>
      <c r="S2210" s="12"/>
      <c r="T2210" s="8"/>
      <c r="U2210" s="8" t="s">
        <v>59</v>
      </c>
      <c r="V2210" s="13" t="s">
        <v>38</v>
      </c>
      <c r="W2210" s="13" t="s">
        <v>10846</v>
      </c>
      <c r="X2210" s="12"/>
      <c r="Y2210" s="14"/>
      <c r="Z2210" s="14"/>
    </row>
    <row r="2211">
      <c r="A2211" s="8" t="s">
        <v>10847</v>
      </c>
      <c r="B2211" s="8" t="s">
        <v>10848</v>
      </c>
      <c r="C2211" s="8" t="s">
        <v>179</v>
      </c>
      <c r="D2211" s="8" t="s">
        <v>26</v>
      </c>
      <c r="E2211" s="8" t="s">
        <v>10849</v>
      </c>
      <c r="F2211" s="8">
        <v>5.056913191E9</v>
      </c>
      <c r="G2211" s="8" t="s">
        <v>31</v>
      </c>
      <c r="H2211" s="8" t="s">
        <v>111</v>
      </c>
      <c r="I2211" s="8" t="s">
        <v>284</v>
      </c>
      <c r="J2211" s="8" t="s">
        <v>1422</v>
      </c>
      <c r="K2211" s="10" t="s">
        <v>7026</v>
      </c>
      <c r="L2211" s="8" t="s">
        <v>58</v>
      </c>
      <c r="M2211" s="8" t="s">
        <v>35</v>
      </c>
      <c r="N2211" s="11">
        <v>45073.0</v>
      </c>
      <c r="O2211" s="11">
        <v>45108.0</v>
      </c>
      <c r="P2211" s="11">
        <v>45150.0</v>
      </c>
      <c r="Q2211" s="11"/>
      <c r="R2211" s="11"/>
      <c r="S2211" s="12"/>
      <c r="T2211" s="8"/>
      <c r="U2211" s="8" t="s">
        <v>1038</v>
      </c>
      <c r="V2211" s="13" t="s">
        <v>111</v>
      </c>
      <c r="W2211" s="13" t="s">
        <v>10850</v>
      </c>
      <c r="X2211" s="12"/>
      <c r="Y2211" s="14"/>
      <c r="Z2211" s="14"/>
    </row>
    <row r="2212">
      <c r="A2212" s="8" t="s">
        <v>10851</v>
      </c>
      <c r="B2212" s="8" t="s">
        <v>10852</v>
      </c>
      <c r="C2212" s="8" t="s">
        <v>25</v>
      </c>
      <c r="D2212" s="8" t="s">
        <v>26</v>
      </c>
      <c r="E2212" s="8" t="s">
        <v>10853</v>
      </c>
      <c r="F2212" s="8">
        <v>1.151168161E9</v>
      </c>
      <c r="G2212" s="8" t="s">
        <v>284</v>
      </c>
      <c r="H2212" s="8" t="s">
        <v>2065</v>
      </c>
      <c r="I2212" s="8" t="s">
        <v>31</v>
      </c>
      <c r="J2212" s="8" t="s">
        <v>220</v>
      </c>
      <c r="K2212" s="10" t="s">
        <v>2193</v>
      </c>
      <c r="L2212" s="8" t="s">
        <v>58</v>
      </c>
      <c r="M2212" s="8" t="s">
        <v>35</v>
      </c>
      <c r="N2212" s="11">
        <v>45073.0</v>
      </c>
      <c r="O2212" s="11">
        <v>45243.0</v>
      </c>
      <c r="P2212" s="11">
        <v>45285.0</v>
      </c>
      <c r="Q2212" s="11">
        <v>45244.0</v>
      </c>
      <c r="R2212" s="11">
        <v>45285.0</v>
      </c>
      <c r="S2212" s="12"/>
      <c r="T2212" s="8"/>
      <c r="U2212" s="8" t="s">
        <v>59</v>
      </c>
      <c r="V2212" s="13" t="s">
        <v>2065</v>
      </c>
      <c r="W2212" s="13" t="s">
        <v>10854</v>
      </c>
      <c r="X2212" s="12"/>
      <c r="Y2212" s="14"/>
      <c r="Z2212" s="14"/>
    </row>
    <row r="2213">
      <c r="A2213" s="8" t="s">
        <v>10855</v>
      </c>
      <c r="B2213" s="8" t="s">
        <v>10856</v>
      </c>
      <c r="C2213" s="8" t="s">
        <v>708</v>
      </c>
      <c r="D2213" s="8" t="s">
        <v>26</v>
      </c>
      <c r="E2213" s="8" t="s">
        <v>10857</v>
      </c>
      <c r="F2213" s="8">
        <v>6.76523938E8</v>
      </c>
      <c r="G2213" s="8" t="s">
        <v>84</v>
      </c>
      <c r="H2213" s="8" t="s">
        <v>1127</v>
      </c>
      <c r="I2213" s="8" t="s">
        <v>31</v>
      </c>
      <c r="J2213" s="8" t="s">
        <v>256</v>
      </c>
      <c r="K2213" s="10" t="s">
        <v>5443</v>
      </c>
      <c r="L2213" s="8" t="s">
        <v>34</v>
      </c>
      <c r="M2213" s="8" t="s">
        <v>70</v>
      </c>
      <c r="N2213" s="11">
        <v>45074.0</v>
      </c>
      <c r="O2213" s="11">
        <v>45108.0</v>
      </c>
      <c r="P2213" s="11">
        <v>45473.0</v>
      </c>
      <c r="Q2213" s="11">
        <v>45109.0</v>
      </c>
      <c r="R2213" s="11">
        <v>45475.0</v>
      </c>
      <c r="S2213" s="12"/>
      <c r="T2213" s="8" t="s">
        <v>205</v>
      </c>
      <c r="U2213" s="8" t="s">
        <v>205</v>
      </c>
      <c r="V2213" s="13" t="s">
        <v>1302</v>
      </c>
      <c r="W2213" s="13" t="s">
        <v>10858</v>
      </c>
      <c r="X2213" s="12"/>
      <c r="Y2213" s="14"/>
      <c r="Z2213" s="14"/>
    </row>
    <row r="2214">
      <c r="A2214" s="8" t="s">
        <v>10859</v>
      </c>
      <c r="B2214" s="8" t="s">
        <v>10860</v>
      </c>
      <c r="C2214" s="8" t="s">
        <v>64</v>
      </c>
      <c r="D2214" s="8" t="s">
        <v>26</v>
      </c>
      <c r="E2214" s="8" t="s">
        <v>10861</v>
      </c>
      <c r="F2214" s="8"/>
      <c r="G2214" s="8" t="s">
        <v>496</v>
      </c>
      <c r="H2214" s="8" t="s">
        <v>2112</v>
      </c>
      <c r="I2214" s="8" t="s">
        <v>31</v>
      </c>
      <c r="J2214" s="8" t="s">
        <v>86</v>
      </c>
      <c r="K2214" s="10" t="s">
        <v>7325</v>
      </c>
      <c r="L2214" s="8" t="s">
        <v>58</v>
      </c>
      <c r="M2214" s="8" t="s">
        <v>35</v>
      </c>
      <c r="N2214" s="11">
        <v>45074.0</v>
      </c>
      <c r="O2214" s="11">
        <v>45091.0</v>
      </c>
      <c r="P2214" s="11">
        <v>45133.0</v>
      </c>
      <c r="Q2214" s="11">
        <v>45096.0</v>
      </c>
      <c r="R2214" s="11">
        <v>45136.0</v>
      </c>
      <c r="S2214" s="12"/>
      <c r="T2214" s="8"/>
      <c r="U2214" s="8" t="s">
        <v>59</v>
      </c>
      <c r="V2214" s="13" t="s">
        <v>2112</v>
      </c>
      <c r="W2214" s="13" t="s">
        <v>10862</v>
      </c>
      <c r="X2214" s="12"/>
      <c r="Y2214" s="14"/>
      <c r="Z2214" s="14"/>
    </row>
    <row r="2215">
      <c r="A2215" s="8" t="s">
        <v>10863</v>
      </c>
      <c r="B2215" s="8" t="s">
        <v>10864</v>
      </c>
      <c r="C2215" s="8" t="s">
        <v>708</v>
      </c>
      <c r="D2215" s="8" t="s">
        <v>26</v>
      </c>
      <c r="E2215" s="8" t="s">
        <v>10865</v>
      </c>
      <c r="F2215" s="8">
        <v>5.62048235E8</v>
      </c>
      <c r="G2215" s="8" t="s">
        <v>254</v>
      </c>
      <c r="H2215" s="8" t="s">
        <v>255</v>
      </c>
      <c r="I2215" s="8" t="s">
        <v>31</v>
      </c>
      <c r="J2215" s="8" t="s">
        <v>542</v>
      </c>
      <c r="K2215" s="10" t="s">
        <v>8953</v>
      </c>
      <c r="L2215" s="8" t="s">
        <v>34</v>
      </c>
      <c r="M2215" s="8" t="s">
        <v>70</v>
      </c>
      <c r="N2215" s="11">
        <v>45074.0</v>
      </c>
      <c r="O2215" s="11">
        <v>45081.0</v>
      </c>
      <c r="P2215" s="11">
        <v>45443.0</v>
      </c>
      <c r="Q2215" s="11">
        <v>45083.0</v>
      </c>
      <c r="R2215" s="11">
        <v>45445.0</v>
      </c>
      <c r="S2215" s="12"/>
      <c r="T2215" s="8" t="s">
        <v>36</v>
      </c>
      <c r="U2215" s="8" t="s">
        <v>8954</v>
      </c>
      <c r="V2215" s="13" t="s">
        <v>38</v>
      </c>
      <c r="W2215" s="13" t="s">
        <v>10866</v>
      </c>
      <c r="X2215" s="12"/>
      <c r="Y2215" s="14"/>
      <c r="Z2215" s="14"/>
    </row>
    <row r="2216">
      <c r="A2216" s="8" t="s">
        <v>10867</v>
      </c>
      <c r="B2216" s="8" t="s">
        <v>10868</v>
      </c>
      <c r="C2216" s="8" t="s">
        <v>64</v>
      </c>
      <c r="D2216" s="8" t="s">
        <v>26</v>
      </c>
      <c r="E2216" s="8" t="s">
        <v>10869</v>
      </c>
      <c r="F2216" s="8">
        <v>3.17081501E9</v>
      </c>
      <c r="G2216" s="8" t="s">
        <v>315</v>
      </c>
      <c r="H2216" s="8" t="s">
        <v>6834</v>
      </c>
      <c r="I2216" s="8" t="s">
        <v>31</v>
      </c>
      <c r="J2216" s="8" t="s">
        <v>1119</v>
      </c>
      <c r="K2216" s="10" t="s">
        <v>6015</v>
      </c>
      <c r="L2216" s="8" t="s">
        <v>58</v>
      </c>
      <c r="M2216" s="8" t="s">
        <v>35</v>
      </c>
      <c r="N2216" s="11">
        <v>45074.0</v>
      </c>
      <c r="O2216" s="11">
        <v>45128.0</v>
      </c>
      <c r="P2216" s="11">
        <v>45170.0</v>
      </c>
      <c r="Q2216" s="11">
        <v>45132.0</v>
      </c>
      <c r="R2216" s="11">
        <v>45174.0</v>
      </c>
      <c r="S2216" s="12"/>
      <c r="T2216" s="8"/>
      <c r="U2216" s="8" t="s">
        <v>59</v>
      </c>
      <c r="V2216" s="13" t="s">
        <v>6835</v>
      </c>
      <c r="W2216" s="13" t="s">
        <v>10870</v>
      </c>
      <c r="X2216" s="12"/>
      <c r="Y2216" s="14"/>
      <c r="Z2216" s="14"/>
    </row>
    <row r="2217">
      <c r="A2217" s="8" t="s">
        <v>10871</v>
      </c>
      <c r="B2217" s="8" t="s">
        <v>10872</v>
      </c>
      <c r="C2217" s="8" t="s">
        <v>25</v>
      </c>
      <c r="D2217" s="8" t="s">
        <v>26</v>
      </c>
      <c r="E2217" s="8" t="s">
        <v>10873</v>
      </c>
      <c r="F2217" s="8">
        <v>7.769218124E9</v>
      </c>
      <c r="G2217" s="8" t="s">
        <v>496</v>
      </c>
      <c r="H2217" s="8" t="s">
        <v>2112</v>
      </c>
      <c r="I2217" s="8" t="s">
        <v>31</v>
      </c>
      <c r="J2217" s="8" t="s">
        <v>1119</v>
      </c>
      <c r="K2217" s="10" t="s">
        <v>6015</v>
      </c>
      <c r="L2217" s="8" t="s">
        <v>58</v>
      </c>
      <c r="M2217" s="8" t="s">
        <v>35</v>
      </c>
      <c r="N2217" s="11">
        <v>45074.0</v>
      </c>
      <c r="O2217" s="11">
        <v>45087.0</v>
      </c>
      <c r="P2217" s="11">
        <v>45129.0</v>
      </c>
      <c r="Q2217" s="11">
        <v>45104.0</v>
      </c>
      <c r="R2217" s="11">
        <v>45146.0</v>
      </c>
      <c r="S2217" s="12"/>
      <c r="T2217" s="8"/>
      <c r="U2217" s="8" t="s">
        <v>59</v>
      </c>
      <c r="V2217" s="13" t="s">
        <v>2112</v>
      </c>
      <c r="W2217" s="13" t="s">
        <v>10874</v>
      </c>
      <c r="X2217" s="12"/>
      <c r="Y2217" s="14"/>
      <c r="Z2217" s="14"/>
    </row>
    <row r="2218">
      <c r="A2218" s="8" t="s">
        <v>10875</v>
      </c>
      <c r="B2218" s="8" t="s">
        <v>10876</v>
      </c>
      <c r="C2218" s="8" t="s">
        <v>25</v>
      </c>
      <c r="D2218" s="8" t="s">
        <v>26</v>
      </c>
      <c r="E2218" s="8" t="s">
        <v>10877</v>
      </c>
      <c r="F2218" s="8">
        <v>7.769218123E9</v>
      </c>
      <c r="G2218" s="8" t="s">
        <v>496</v>
      </c>
      <c r="H2218" s="8" t="s">
        <v>2112</v>
      </c>
      <c r="I2218" s="8" t="s">
        <v>31</v>
      </c>
      <c r="J2218" s="8" t="s">
        <v>1119</v>
      </c>
      <c r="K2218" s="10" t="s">
        <v>6015</v>
      </c>
      <c r="L2218" s="8" t="s">
        <v>58</v>
      </c>
      <c r="M2218" s="8" t="s">
        <v>35</v>
      </c>
      <c r="N2218" s="11">
        <v>45074.0</v>
      </c>
      <c r="O2218" s="11">
        <v>45087.0</v>
      </c>
      <c r="P2218" s="11">
        <v>45129.0</v>
      </c>
      <c r="Q2218" s="11">
        <v>45104.0</v>
      </c>
      <c r="R2218" s="11">
        <v>45146.0</v>
      </c>
      <c r="S2218" s="12"/>
      <c r="T2218" s="8"/>
      <c r="U2218" s="8" t="s">
        <v>59</v>
      </c>
      <c r="V2218" s="13" t="s">
        <v>2112</v>
      </c>
      <c r="W2218" s="13" t="s">
        <v>10878</v>
      </c>
      <c r="X2218" s="12"/>
      <c r="Y2218" s="14"/>
      <c r="Z2218" s="14"/>
    </row>
    <row r="2219">
      <c r="A2219" s="8" t="s">
        <v>10879</v>
      </c>
      <c r="B2219" s="8" t="s">
        <v>10880</v>
      </c>
      <c r="C2219" s="8" t="s">
        <v>179</v>
      </c>
      <c r="D2219" s="8" t="s">
        <v>26</v>
      </c>
      <c r="E2219" s="8" t="s">
        <v>10881</v>
      </c>
      <c r="F2219" s="8">
        <v>5.41935957E9</v>
      </c>
      <c r="G2219" s="8" t="s">
        <v>31</v>
      </c>
      <c r="H2219" s="8" t="s">
        <v>542</v>
      </c>
      <c r="I2219" s="8" t="s">
        <v>29</v>
      </c>
      <c r="J2219" s="8" t="s">
        <v>2448</v>
      </c>
      <c r="K2219" s="10" t="s">
        <v>10882</v>
      </c>
      <c r="L2219" s="8" t="s">
        <v>58</v>
      </c>
      <c r="M2219" s="8" t="s">
        <v>35</v>
      </c>
      <c r="N2219" s="11">
        <v>45074.0</v>
      </c>
      <c r="O2219" s="11">
        <v>45313.0</v>
      </c>
      <c r="P2219" s="11">
        <v>45355.0</v>
      </c>
      <c r="Q2219" s="11"/>
      <c r="R2219" s="11"/>
      <c r="S2219" s="12"/>
      <c r="T2219" s="8"/>
      <c r="U2219" s="8" t="s">
        <v>130</v>
      </c>
      <c r="V2219" s="13" t="s">
        <v>56</v>
      </c>
      <c r="W2219" s="13" t="s">
        <v>10883</v>
      </c>
      <c r="X2219" s="12"/>
      <c r="Y2219" s="14"/>
      <c r="Z2219" s="14"/>
    </row>
    <row r="2220">
      <c r="A2220" s="8" t="s">
        <v>10884</v>
      </c>
      <c r="B2220" s="8" t="s">
        <v>10885</v>
      </c>
      <c r="C2220" s="8" t="s">
        <v>179</v>
      </c>
      <c r="D2220" s="8" t="s">
        <v>26</v>
      </c>
      <c r="E2220" s="8" t="s">
        <v>10886</v>
      </c>
      <c r="F2220" s="8">
        <v>5.415426326E9</v>
      </c>
      <c r="G2220" s="8" t="s">
        <v>31</v>
      </c>
      <c r="H2220" s="8" t="s">
        <v>86</v>
      </c>
      <c r="I2220" s="8" t="s">
        <v>284</v>
      </c>
      <c r="J2220" s="8" t="s">
        <v>793</v>
      </c>
      <c r="K2220" s="10" t="s">
        <v>8983</v>
      </c>
      <c r="L2220" s="8" t="s">
        <v>58</v>
      </c>
      <c r="M2220" s="8" t="s">
        <v>35</v>
      </c>
      <c r="N2220" s="11">
        <v>45075.0</v>
      </c>
      <c r="O2220" s="11">
        <v>45139.0</v>
      </c>
      <c r="P2220" s="11">
        <v>45181.0</v>
      </c>
      <c r="Q2220" s="11"/>
      <c r="R2220" s="11"/>
      <c r="S2220" s="12"/>
      <c r="T2220" s="8"/>
      <c r="U2220" s="8" t="s">
        <v>1038</v>
      </c>
      <c r="V2220" s="13" t="s">
        <v>175</v>
      </c>
      <c r="W2220" s="13" t="s">
        <v>10887</v>
      </c>
      <c r="X2220" s="12"/>
      <c r="Y2220" s="14"/>
      <c r="Z2220" s="14"/>
    </row>
    <row r="2221">
      <c r="A2221" s="8" t="s">
        <v>10888</v>
      </c>
      <c r="B2221" s="8" t="s">
        <v>10889</v>
      </c>
      <c r="C2221" s="8" t="s">
        <v>179</v>
      </c>
      <c r="D2221" s="8" t="s">
        <v>26</v>
      </c>
      <c r="E2221" s="8" t="s">
        <v>10890</v>
      </c>
      <c r="F2221" s="8">
        <v>3.4984447503E10</v>
      </c>
      <c r="G2221" s="8" t="s">
        <v>109</v>
      </c>
      <c r="H2221" s="8" t="s">
        <v>1872</v>
      </c>
      <c r="I2221" s="8" t="s">
        <v>31</v>
      </c>
      <c r="J2221" s="8" t="s">
        <v>86</v>
      </c>
      <c r="K2221" s="10" t="s">
        <v>2453</v>
      </c>
      <c r="L2221" s="8" t="s">
        <v>58</v>
      </c>
      <c r="M2221" s="8" t="s">
        <v>35</v>
      </c>
      <c r="N2221" s="11">
        <v>45075.0</v>
      </c>
      <c r="O2221" s="11">
        <v>45216.0</v>
      </c>
      <c r="P2221" s="11">
        <v>45258.0</v>
      </c>
      <c r="Q2221" s="11"/>
      <c r="R2221" s="11"/>
      <c r="S2221" s="12"/>
      <c r="T2221" s="8"/>
      <c r="U2221" s="8" t="s">
        <v>59</v>
      </c>
      <c r="V2221" s="13" t="s">
        <v>2124</v>
      </c>
      <c r="W2221" s="13" t="s">
        <v>10891</v>
      </c>
      <c r="X2221" s="12"/>
      <c r="Y2221" s="14"/>
      <c r="Z2221" s="14"/>
    </row>
    <row r="2222">
      <c r="A2222" s="8" t="s">
        <v>10892</v>
      </c>
      <c r="B2222" s="8" t="s">
        <v>10893</v>
      </c>
      <c r="C2222" s="8" t="s">
        <v>708</v>
      </c>
      <c r="D2222" s="8" t="s">
        <v>26</v>
      </c>
      <c r="E2222" s="8" t="s">
        <v>10894</v>
      </c>
      <c r="F2222" s="8">
        <v>1.551212127E9</v>
      </c>
      <c r="G2222" s="8" t="s">
        <v>284</v>
      </c>
      <c r="H2222" s="8" t="s">
        <v>10895</v>
      </c>
      <c r="I2222" s="8" t="s">
        <v>31</v>
      </c>
      <c r="J2222" s="8" t="s">
        <v>43</v>
      </c>
      <c r="K2222" s="10" t="s">
        <v>10896</v>
      </c>
      <c r="L2222" s="8" t="s">
        <v>47</v>
      </c>
      <c r="M2222" s="8" t="s">
        <v>70</v>
      </c>
      <c r="N2222" s="11">
        <v>45075.0</v>
      </c>
      <c r="O2222" s="11">
        <v>45153.0</v>
      </c>
      <c r="P2222" s="11">
        <v>45474.0</v>
      </c>
      <c r="Q2222" s="11">
        <v>45183.0</v>
      </c>
      <c r="R2222" s="11">
        <v>45504.0</v>
      </c>
      <c r="S2222" s="12"/>
      <c r="T2222" s="8"/>
      <c r="U2222" s="8" t="s">
        <v>10897</v>
      </c>
      <c r="V2222" s="13" t="s">
        <v>38</v>
      </c>
      <c r="W2222" s="13" t="s">
        <v>10898</v>
      </c>
      <c r="X2222" s="12"/>
      <c r="Y2222" s="14"/>
      <c r="Z2222" s="14"/>
    </row>
    <row r="2223">
      <c r="A2223" s="8" t="s">
        <v>10899</v>
      </c>
      <c r="B2223" s="8" t="s">
        <v>10900</v>
      </c>
      <c r="C2223" s="8" t="s">
        <v>708</v>
      </c>
      <c r="D2223" s="8" t="s">
        <v>26</v>
      </c>
      <c r="E2223" s="8" t="s">
        <v>10901</v>
      </c>
      <c r="F2223" s="8">
        <v>5.005878E7</v>
      </c>
      <c r="G2223" s="8" t="s">
        <v>54</v>
      </c>
      <c r="H2223" s="8" t="s">
        <v>135</v>
      </c>
      <c r="I2223" s="8" t="s">
        <v>31</v>
      </c>
      <c r="J2223" s="8" t="s">
        <v>43</v>
      </c>
      <c r="K2223" s="10" t="s">
        <v>10896</v>
      </c>
      <c r="L2223" s="8" t="s">
        <v>47</v>
      </c>
      <c r="M2223" s="8" t="s">
        <v>70</v>
      </c>
      <c r="N2223" s="11">
        <v>45075.0</v>
      </c>
      <c r="O2223" s="11">
        <v>45153.0</v>
      </c>
      <c r="P2223" s="11">
        <v>45474.0</v>
      </c>
      <c r="Q2223" s="11">
        <v>45177.0</v>
      </c>
      <c r="R2223" s="11">
        <v>45497.0</v>
      </c>
      <c r="S2223" s="12"/>
      <c r="T2223" s="8"/>
      <c r="U2223" s="8" t="s">
        <v>10897</v>
      </c>
      <c r="V2223" s="13" t="s">
        <v>10902</v>
      </c>
      <c r="W2223" s="13" t="s">
        <v>10903</v>
      </c>
      <c r="X2223" s="12"/>
      <c r="Y2223" s="14"/>
      <c r="Z2223" s="14"/>
    </row>
    <row r="2224">
      <c r="A2224" s="8" t="s">
        <v>10904</v>
      </c>
      <c r="B2224" s="8" t="s">
        <v>10905</v>
      </c>
      <c r="C2224" s="8" t="s">
        <v>708</v>
      </c>
      <c r="D2224" s="8" t="s">
        <v>26</v>
      </c>
      <c r="E2224" s="8" t="s">
        <v>10906</v>
      </c>
      <c r="F2224" s="8">
        <v>5.59696448E8</v>
      </c>
      <c r="G2224" s="8" t="s">
        <v>277</v>
      </c>
      <c r="H2224" s="8" t="s">
        <v>607</v>
      </c>
      <c r="I2224" s="8" t="s">
        <v>31</v>
      </c>
      <c r="J2224" s="8" t="s">
        <v>111</v>
      </c>
      <c r="K2224" s="10" t="s">
        <v>910</v>
      </c>
      <c r="L2224" s="8" t="s">
        <v>47</v>
      </c>
      <c r="M2224" s="8" t="s">
        <v>70</v>
      </c>
      <c r="N2224" s="11">
        <v>45075.0</v>
      </c>
      <c r="O2224" s="11">
        <v>45145.0</v>
      </c>
      <c r="P2224" s="11">
        <v>45511.0</v>
      </c>
      <c r="Q2224" s="11">
        <v>45146.0</v>
      </c>
      <c r="R2224" s="11">
        <v>45512.0</v>
      </c>
      <c r="S2224" s="12"/>
      <c r="T2224" s="8"/>
      <c r="U2224" s="8" t="s">
        <v>246</v>
      </c>
      <c r="V2224" s="13" t="s">
        <v>609</v>
      </c>
      <c r="W2224" s="13" t="s">
        <v>10907</v>
      </c>
      <c r="X2224" s="12"/>
      <c r="Y2224" s="14"/>
      <c r="Z2224" s="14"/>
    </row>
    <row r="2225">
      <c r="A2225" s="8" t="s">
        <v>10908</v>
      </c>
      <c r="B2225" s="8" t="s">
        <v>10909</v>
      </c>
      <c r="C2225" s="8" t="s">
        <v>179</v>
      </c>
      <c r="D2225" s="8" t="s">
        <v>26</v>
      </c>
      <c r="E2225" s="8" t="s">
        <v>10910</v>
      </c>
      <c r="F2225" s="8">
        <v>5.323042643E9</v>
      </c>
      <c r="G2225" s="8" t="s">
        <v>31</v>
      </c>
      <c r="H2225" s="8" t="s">
        <v>1119</v>
      </c>
      <c r="I2225" s="8" t="s">
        <v>44</v>
      </c>
      <c r="J2225" s="8" t="s">
        <v>1993</v>
      </c>
      <c r="K2225" s="10" t="s">
        <v>2299</v>
      </c>
      <c r="L2225" s="8" t="s">
        <v>58</v>
      </c>
      <c r="M2225" s="8" t="s">
        <v>35</v>
      </c>
      <c r="N2225" s="11">
        <v>45075.0</v>
      </c>
      <c r="O2225" s="11">
        <v>45158.0</v>
      </c>
      <c r="P2225" s="11">
        <v>45200.0</v>
      </c>
      <c r="Q2225" s="11"/>
      <c r="R2225" s="11"/>
      <c r="S2225" s="12"/>
      <c r="T2225" s="8"/>
      <c r="U2225" s="8" t="s">
        <v>371</v>
      </c>
      <c r="V2225" s="13" t="s">
        <v>10911</v>
      </c>
      <c r="W2225" s="13" t="s">
        <v>10912</v>
      </c>
      <c r="X2225" s="12"/>
      <c r="Y2225" s="14"/>
      <c r="Z2225" s="14"/>
    </row>
    <row r="2226">
      <c r="A2226" s="8" t="s">
        <v>10913</v>
      </c>
      <c r="B2226" s="8" t="s">
        <v>10914</v>
      </c>
      <c r="C2226" s="8" t="s">
        <v>179</v>
      </c>
      <c r="D2226" s="8" t="s">
        <v>26</v>
      </c>
      <c r="E2226" s="8" t="s">
        <v>10915</v>
      </c>
      <c r="F2226" s="8">
        <v>5.318150835E9</v>
      </c>
      <c r="G2226" s="8" t="s">
        <v>31</v>
      </c>
      <c r="H2226" s="8" t="s">
        <v>542</v>
      </c>
      <c r="I2226" s="8" t="s">
        <v>284</v>
      </c>
      <c r="J2226" s="8" t="s">
        <v>300</v>
      </c>
      <c r="K2226" s="10" t="s">
        <v>10916</v>
      </c>
      <c r="L2226" s="8" t="s">
        <v>58</v>
      </c>
      <c r="M2226" s="8" t="s">
        <v>35</v>
      </c>
      <c r="N2226" s="11">
        <v>45075.0</v>
      </c>
      <c r="O2226" s="11">
        <v>45261.0</v>
      </c>
      <c r="P2226" s="11">
        <v>45303.0</v>
      </c>
      <c r="Q2226" s="11"/>
      <c r="R2226" s="11"/>
      <c r="S2226" s="12"/>
      <c r="T2226" s="8"/>
      <c r="U2226" s="8" t="s">
        <v>59</v>
      </c>
      <c r="V2226" s="13" t="s">
        <v>545</v>
      </c>
      <c r="W2226" s="13" t="s">
        <v>10917</v>
      </c>
      <c r="X2226" s="12"/>
      <c r="Y2226" s="14"/>
      <c r="Z2226" s="14"/>
    </row>
    <row r="2227">
      <c r="A2227" s="8" t="s">
        <v>10918</v>
      </c>
      <c r="B2227" s="8" t="s">
        <v>10919</v>
      </c>
      <c r="C2227" s="8" t="s">
        <v>25</v>
      </c>
      <c r="D2227" s="8" t="s">
        <v>26</v>
      </c>
      <c r="E2227" s="8" t="s">
        <v>10920</v>
      </c>
      <c r="F2227" s="8">
        <v>5.382566809E9</v>
      </c>
      <c r="G2227" s="8" t="s">
        <v>31</v>
      </c>
      <c r="H2227" s="8" t="s">
        <v>542</v>
      </c>
      <c r="I2227" s="8" t="s">
        <v>221</v>
      </c>
      <c r="J2227" s="8" t="s">
        <v>2760</v>
      </c>
      <c r="K2227" s="10" t="s">
        <v>10921</v>
      </c>
      <c r="L2227" s="8" t="s">
        <v>58</v>
      </c>
      <c r="M2227" s="8" t="s">
        <v>35</v>
      </c>
      <c r="N2227" s="11">
        <v>45075.0</v>
      </c>
      <c r="O2227" s="11">
        <v>45089.0</v>
      </c>
      <c r="P2227" s="11">
        <v>45131.0</v>
      </c>
      <c r="Q2227" s="11">
        <v>45098.0</v>
      </c>
      <c r="R2227" s="11">
        <v>45140.0</v>
      </c>
      <c r="S2227" s="12"/>
      <c r="T2227" s="8"/>
      <c r="U2227" s="8" t="s">
        <v>88</v>
      </c>
      <c r="V2227" s="13" t="s">
        <v>545</v>
      </c>
      <c r="W2227" s="13" t="s">
        <v>10922</v>
      </c>
      <c r="X2227" s="12"/>
      <c r="Y2227" s="14"/>
      <c r="Z2227" s="14"/>
    </row>
    <row r="2228">
      <c r="A2228" s="8" t="s">
        <v>10923</v>
      </c>
      <c r="B2228" s="8" t="s">
        <v>10924</v>
      </c>
      <c r="C2228" s="8" t="s">
        <v>25</v>
      </c>
      <c r="D2228" s="8" t="s">
        <v>26</v>
      </c>
      <c r="E2228" s="8" t="s">
        <v>10925</v>
      </c>
      <c r="F2228" s="8">
        <v>5.53025381E9</v>
      </c>
      <c r="G2228" s="8" t="s">
        <v>31</v>
      </c>
      <c r="H2228" s="8" t="s">
        <v>111</v>
      </c>
      <c r="I2228" s="8" t="s">
        <v>284</v>
      </c>
      <c r="J2228" s="8" t="s">
        <v>1422</v>
      </c>
      <c r="K2228" s="10" t="s">
        <v>3594</v>
      </c>
      <c r="L2228" s="8" t="s">
        <v>58</v>
      </c>
      <c r="M2228" s="8" t="s">
        <v>35</v>
      </c>
      <c r="N2228" s="11">
        <v>45075.0</v>
      </c>
      <c r="O2228" s="11">
        <v>45095.0</v>
      </c>
      <c r="P2228" s="11">
        <v>45137.0</v>
      </c>
      <c r="Q2228" s="11">
        <v>45099.0</v>
      </c>
      <c r="R2228" s="11">
        <v>45141.0</v>
      </c>
      <c r="S2228" s="12"/>
      <c r="T2228" s="8"/>
      <c r="U2228" s="8" t="s">
        <v>153</v>
      </c>
      <c r="V2228" s="13" t="s">
        <v>111</v>
      </c>
      <c r="W2228" s="13" t="s">
        <v>10926</v>
      </c>
      <c r="X2228" s="12"/>
      <c r="Y2228" s="14"/>
      <c r="Z2228" s="14"/>
    </row>
    <row r="2229">
      <c r="A2229" s="8" t="s">
        <v>10927</v>
      </c>
      <c r="B2229" s="8" t="s">
        <v>10928</v>
      </c>
      <c r="C2229" s="8" t="s">
        <v>64</v>
      </c>
      <c r="D2229" s="8" t="s">
        <v>26</v>
      </c>
      <c r="E2229" s="8" t="s">
        <v>10929</v>
      </c>
      <c r="F2229" s="8">
        <v>5.345662109E9</v>
      </c>
      <c r="G2229" s="8" t="s">
        <v>31</v>
      </c>
      <c r="H2229" s="8" t="s">
        <v>56</v>
      </c>
      <c r="I2229" s="8" t="s">
        <v>399</v>
      </c>
      <c r="J2229" s="8" t="s">
        <v>4868</v>
      </c>
      <c r="K2229" s="10" t="s">
        <v>4869</v>
      </c>
      <c r="L2229" s="8" t="s">
        <v>58</v>
      </c>
      <c r="M2229" s="8" t="s">
        <v>35</v>
      </c>
      <c r="N2229" s="11">
        <v>45075.0</v>
      </c>
      <c r="O2229" s="11">
        <v>45159.0</v>
      </c>
      <c r="P2229" s="11">
        <v>45201.0</v>
      </c>
      <c r="Q2229" s="11">
        <v>45159.0</v>
      </c>
      <c r="R2229" s="11">
        <v>45201.0</v>
      </c>
      <c r="S2229" s="12"/>
      <c r="T2229" s="8"/>
      <c r="U2229" s="8" t="s">
        <v>4870</v>
      </c>
      <c r="V2229" s="13" t="s">
        <v>56</v>
      </c>
      <c r="W2229" s="13" t="s">
        <v>10930</v>
      </c>
      <c r="X2229" s="12"/>
      <c r="Y2229" s="14"/>
      <c r="Z2229" s="14"/>
    </row>
    <row r="2230">
      <c r="A2230" s="8" t="s">
        <v>10931</v>
      </c>
      <c r="B2230" s="8" t="s">
        <v>10932</v>
      </c>
      <c r="C2230" s="8" t="s">
        <v>179</v>
      </c>
      <c r="D2230" s="8" t="s">
        <v>26</v>
      </c>
      <c r="E2230" s="8" t="s">
        <v>10933</v>
      </c>
      <c r="F2230" s="8">
        <v>6.96499198E8</v>
      </c>
      <c r="G2230" s="8" t="s">
        <v>254</v>
      </c>
      <c r="H2230" s="8" t="s">
        <v>1007</v>
      </c>
      <c r="I2230" s="8" t="s">
        <v>31</v>
      </c>
      <c r="J2230" s="8" t="s">
        <v>1119</v>
      </c>
      <c r="K2230" s="10" t="s">
        <v>6015</v>
      </c>
      <c r="L2230" s="8" t="s">
        <v>58</v>
      </c>
      <c r="M2230" s="8" t="s">
        <v>35</v>
      </c>
      <c r="N2230" s="11">
        <v>45075.0</v>
      </c>
      <c r="O2230" s="11">
        <v>45128.0</v>
      </c>
      <c r="P2230" s="11">
        <v>45170.0</v>
      </c>
      <c r="Q2230" s="11"/>
      <c r="R2230" s="11"/>
      <c r="S2230" s="12"/>
      <c r="T2230" s="8"/>
      <c r="U2230" s="8" t="s">
        <v>59</v>
      </c>
      <c r="V2230" s="13" t="s">
        <v>1249</v>
      </c>
      <c r="W2230" s="13" t="s">
        <v>10934</v>
      </c>
      <c r="X2230" s="12"/>
      <c r="Y2230" s="14"/>
      <c r="Z2230" s="14"/>
    </row>
    <row r="2231">
      <c r="A2231" s="8" t="s">
        <v>10935</v>
      </c>
      <c r="B2231" s="8" t="s">
        <v>1443</v>
      </c>
      <c r="C2231" s="8" t="s">
        <v>64</v>
      </c>
      <c r="D2231" s="8" t="s">
        <v>26</v>
      </c>
      <c r="E2231" s="8" t="s">
        <v>1444</v>
      </c>
      <c r="F2231" s="8">
        <v>5.322191395E9</v>
      </c>
      <c r="G2231" s="8" t="s">
        <v>31</v>
      </c>
      <c r="H2231" s="8" t="s">
        <v>111</v>
      </c>
      <c r="I2231" s="8" t="s">
        <v>29</v>
      </c>
      <c r="J2231" s="8" t="s">
        <v>1107</v>
      </c>
      <c r="K2231" s="10" t="s">
        <v>8698</v>
      </c>
      <c r="L2231" s="8" t="s">
        <v>58</v>
      </c>
      <c r="M2231" s="8" t="s">
        <v>35</v>
      </c>
      <c r="N2231" s="11">
        <v>45075.0</v>
      </c>
      <c r="O2231" s="11">
        <v>45089.0</v>
      </c>
      <c r="P2231" s="11">
        <v>45131.0</v>
      </c>
      <c r="Q2231" s="11">
        <v>45091.0</v>
      </c>
      <c r="R2231" s="11">
        <v>45132.0</v>
      </c>
      <c r="S2231" s="12"/>
      <c r="T2231" s="8"/>
      <c r="U2231" s="8" t="s">
        <v>632</v>
      </c>
      <c r="V2231" s="13" t="s">
        <v>111</v>
      </c>
      <c r="W2231" s="13" t="s">
        <v>1446</v>
      </c>
      <c r="X2231" s="12"/>
      <c r="Y2231" s="14"/>
      <c r="Z2231" s="14"/>
    </row>
    <row r="2232">
      <c r="A2232" s="8" t="s">
        <v>10936</v>
      </c>
      <c r="B2232" s="8" t="s">
        <v>10937</v>
      </c>
      <c r="C2232" s="8" t="s">
        <v>708</v>
      </c>
      <c r="D2232" s="8" t="s">
        <v>26</v>
      </c>
      <c r="E2232" s="8" t="s">
        <v>10938</v>
      </c>
      <c r="F2232" s="8">
        <v>5.332246E7</v>
      </c>
      <c r="G2232" s="8" t="s">
        <v>54</v>
      </c>
      <c r="H2232" s="8" t="s">
        <v>377</v>
      </c>
      <c r="I2232" s="8" t="s">
        <v>31</v>
      </c>
      <c r="J2232" s="8" t="s">
        <v>32</v>
      </c>
      <c r="K2232" s="10" t="s">
        <v>10939</v>
      </c>
      <c r="L2232" s="8" t="s">
        <v>34</v>
      </c>
      <c r="M2232" s="8" t="s">
        <v>70</v>
      </c>
      <c r="N2232" s="11">
        <v>45075.0</v>
      </c>
      <c r="O2232" s="11">
        <v>45082.0</v>
      </c>
      <c r="P2232" s="11">
        <v>45446.0</v>
      </c>
      <c r="Q2232" s="11">
        <v>45157.0</v>
      </c>
      <c r="R2232" s="11">
        <v>45524.0</v>
      </c>
      <c r="S2232" s="12"/>
      <c r="T2232" s="8" t="s">
        <v>121</v>
      </c>
      <c r="U2232" s="8" t="s">
        <v>7603</v>
      </c>
      <c r="V2232" s="13" t="s">
        <v>2218</v>
      </c>
      <c r="W2232" s="13" t="s">
        <v>10940</v>
      </c>
      <c r="X2232" s="12"/>
      <c r="Y2232" s="14"/>
      <c r="Z2232" s="14"/>
    </row>
    <row r="2233">
      <c r="A2233" s="8" t="s">
        <v>10941</v>
      </c>
      <c r="B2233" s="8" t="s">
        <v>10942</v>
      </c>
      <c r="C2233" s="8" t="s">
        <v>179</v>
      </c>
      <c r="D2233" s="8" t="s">
        <v>26</v>
      </c>
      <c r="E2233" s="8" t="s">
        <v>10943</v>
      </c>
      <c r="F2233" s="8"/>
      <c r="G2233" s="8" t="s">
        <v>31</v>
      </c>
      <c r="H2233" s="8" t="s">
        <v>43</v>
      </c>
      <c r="I2233" s="8" t="s">
        <v>284</v>
      </c>
      <c r="J2233" s="8" t="s">
        <v>1287</v>
      </c>
      <c r="K2233" s="10" t="s">
        <v>9479</v>
      </c>
      <c r="L2233" s="8" t="s">
        <v>58</v>
      </c>
      <c r="M2233" s="8" t="s">
        <v>35</v>
      </c>
      <c r="N2233" s="11">
        <v>45076.0</v>
      </c>
      <c r="O2233" s="11">
        <v>45112.0</v>
      </c>
      <c r="P2233" s="11">
        <v>45154.0</v>
      </c>
      <c r="Q2233" s="11"/>
      <c r="R2233" s="11"/>
      <c r="S2233" s="12"/>
      <c r="T2233" s="8"/>
      <c r="U2233" s="8" t="s">
        <v>59</v>
      </c>
      <c r="V2233" s="13" t="s">
        <v>43</v>
      </c>
      <c r="W2233" s="13" t="s">
        <v>10944</v>
      </c>
      <c r="X2233" s="12"/>
      <c r="Y2233" s="14"/>
      <c r="Z2233" s="14"/>
    </row>
    <row r="2234">
      <c r="A2234" s="8" t="s">
        <v>10945</v>
      </c>
      <c r="B2234" s="8" t="s">
        <v>10946</v>
      </c>
      <c r="C2234" s="8" t="s">
        <v>25</v>
      </c>
      <c r="D2234" s="8" t="s">
        <v>26</v>
      </c>
      <c r="E2234" s="8" t="s">
        <v>10947</v>
      </c>
      <c r="F2234" s="8">
        <v>5.416446153E9</v>
      </c>
      <c r="G2234" s="8" t="s">
        <v>31</v>
      </c>
      <c r="H2234" s="8" t="s">
        <v>77</v>
      </c>
      <c r="I2234" s="8" t="s">
        <v>127</v>
      </c>
      <c r="J2234" s="8" t="s">
        <v>128</v>
      </c>
      <c r="K2234" s="10" t="s">
        <v>10948</v>
      </c>
      <c r="L2234" s="8" t="s">
        <v>58</v>
      </c>
      <c r="M2234" s="8" t="s">
        <v>35</v>
      </c>
      <c r="N2234" s="11">
        <v>45076.0</v>
      </c>
      <c r="O2234" s="11">
        <v>45124.0</v>
      </c>
      <c r="P2234" s="11">
        <v>45166.0</v>
      </c>
      <c r="Q2234" s="11">
        <v>45124.0</v>
      </c>
      <c r="R2234" s="11">
        <v>45166.0</v>
      </c>
      <c r="S2234" s="12"/>
      <c r="T2234" s="8"/>
      <c r="U2234" s="8" t="s">
        <v>161</v>
      </c>
      <c r="V2234" s="13" t="s">
        <v>77</v>
      </c>
      <c r="W2234" s="13" t="s">
        <v>10949</v>
      </c>
      <c r="X2234" s="12"/>
      <c r="Y2234" s="14"/>
      <c r="Z2234" s="14"/>
    </row>
    <row r="2235">
      <c r="A2235" s="8" t="s">
        <v>10950</v>
      </c>
      <c r="B2235" s="8" t="s">
        <v>10951</v>
      </c>
      <c r="C2235" s="8" t="s">
        <v>179</v>
      </c>
      <c r="D2235" s="8" t="s">
        <v>26</v>
      </c>
      <c r="E2235" s="8" t="s">
        <v>10952</v>
      </c>
      <c r="F2235" s="8" t="s">
        <v>10953</v>
      </c>
      <c r="G2235" s="8" t="s">
        <v>54</v>
      </c>
      <c r="H2235" s="8" t="s">
        <v>430</v>
      </c>
      <c r="I2235" s="8" t="s">
        <v>31</v>
      </c>
      <c r="J2235" s="8" t="s">
        <v>542</v>
      </c>
      <c r="K2235" s="10" t="s">
        <v>10212</v>
      </c>
      <c r="L2235" s="8" t="s">
        <v>58</v>
      </c>
      <c r="M2235" s="8" t="s">
        <v>35</v>
      </c>
      <c r="N2235" s="11">
        <v>45076.0</v>
      </c>
      <c r="O2235" s="11">
        <v>45131.0</v>
      </c>
      <c r="P2235" s="11">
        <v>45173.0</v>
      </c>
      <c r="Q2235" s="11"/>
      <c r="R2235" s="11"/>
      <c r="S2235" s="12"/>
      <c r="T2235" s="8"/>
      <c r="U2235" s="8" t="s">
        <v>59</v>
      </c>
      <c r="V2235" s="13" t="s">
        <v>4780</v>
      </c>
      <c r="W2235" s="13" t="s">
        <v>10954</v>
      </c>
      <c r="X2235" s="12"/>
      <c r="Y2235" s="14"/>
      <c r="Z2235" s="14"/>
    </row>
    <row r="2236">
      <c r="A2236" s="8" t="s">
        <v>10955</v>
      </c>
      <c r="B2236" s="8" t="s">
        <v>10956</v>
      </c>
      <c r="C2236" s="8" t="s">
        <v>179</v>
      </c>
      <c r="D2236" s="8" t="s">
        <v>26</v>
      </c>
      <c r="E2236" s="8" t="s">
        <v>10957</v>
      </c>
      <c r="F2236" s="8">
        <v>3.518446474E9</v>
      </c>
      <c r="G2236" s="8" t="s">
        <v>29</v>
      </c>
      <c r="H2236" s="8" t="s">
        <v>9867</v>
      </c>
      <c r="I2236" s="8" t="s">
        <v>31</v>
      </c>
      <c r="J2236" s="8" t="s">
        <v>43</v>
      </c>
      <c r="K2236" s="10" t="s">
        <v>10002</v>
      </c>
      <c r="L2236" s="8" t="s">
        <v>58</v>
      </c>
      <c r="M2236" s="8" t="s">
        <v>35</v>
      </c>
      <c r="N2236" s="11">
        <v>45076.0</v>
      </c>
      <c r="O2236" s="11">
        <v>45110.0</v>
      </c>
      <c r="P2236" s="11">
        <v>45156.0</v>
      </c>
      <c r="Q2236" s="11"/>
      <c r="R2236" s="11"/>
      <c r="S2236" s="12"/>
      <c r="T2236" s="8"/>
      <c r="U2236" s="8" t="s">
        <v>59</v>
      </c>
      <c r="V2236" s="13" t="s">
        <v>30</v>
      </c>
      <c r="W2236" s="13" t="s">
        <v>10958</v>
      </c>
      <c r="X2236" s="12"/>
      <c r="Y2236" s="14"/>
      <c r="Z2236" s="14"/>
    </row>
    <row r="2237">
      <c r="A2237" s="8" t="s">
        <v>10959</v>
      </c>
      <c r="B2237" s="8" t="s">
        <v>10960</v>
      </c>
      <c r="C2237" s="8" t="s">
        <v>25</v>
      </c>
      <c r="D2237" s="8" t="s">
        <v>26</v>
      </c>
      <c r="E2237" s="8" t="s">
        <v>10961</v>
      </c>
      <c r="F2237" s="8">
        <v>9.70015409E8</v>
      </c>
      <c r="G2237" s="8" t="s">
        <v>1620</v>
      </c>
      <c r="H2237" s="8" t="s">
        <v>4288</v>
      </c>
      <c r="I2237" s="8" t="s">
        <v>31</v>
      </c>
      <c r="J2237" s="8" t="s">
        <v>32</v>
      </c>
      <c r="K2237" s="10" t="s">
        <v>8166</v>
      </c>
      <c r="L2237" s="8" t="s">
        <v>58</v>
      </c>
      <c r="M2237" s="8" t="s">
        <v>35</v>
      </c>
      <c r="N2237" s="11">
        <v>45076.0</v>
      </c>
      <c r="O2237" s="11">
        <v>45103.0</v>
      </c>
      <c r="P2237" s="11">
        <v>45145.0</v>
      </c>
      <c r="Q2237" s="11">
        <v>45101.0</v>
      </c>
      <c r="R2237" s="11">
        <v>45145.0</v>
      </c>
      <c r="S2237" s="12"/>
      <c r="T2237" s="8"/>
      <c r="U2237" s="8" t="s">
        <v>371</v>
      </c>
      <c r="V2237" s="13" t="s">
        <v>5939</v>
      </c>
      <c r="W2237" s="13" t="s">
        <v>10962</v>
      </c>
      <c r="X2237" s="12"/>
      <c r="Y2237" s="14"/>
      <c r="Z2237" s="14"/>
    </row>
    <row r="2238">
      <c r="A2238" s="8" t="s">
        <v>10963</v>
      </c>
      <c r="B2238" s="8" t="s">
        <v>10964</v>
      </c>
      <c r="C2238" s="8" t="s">
        <v>179</v>
      </c>
      <c r="D2238" s="8" t="s">
        <v>26</v>
      </c>
      <c r="E2238" s="8" t="s">
        <v>10965</v>
      </c>
      <c r="F2238" s="8">
        <v>2.7998559289E10</v>
      </c>
      <c r="G2238" s="8" t="s">
        <v>109</v>
      </c>
      <c r="H2238" s="8" t="s">
        <v>10966</v>
      </c>
      <c r="I2238" s="8" t="s">
        <v>31</v>
      </c>
      <c r="J2238" s="8" t="s">
        <v>136</v>
      </c>
      <c r="K2238" s="10" t="s">
        <v>2354</v>
      </c>
      <c r="L2238" s="8" t="s">
        <v>58</v>
      </c>
      <c r="M2238" s="8" t="s">
        <v>35</v>
      </c>
      <c r="N2238" s="11">
        <v>45076.0</v>
      </c>
      <c r="O2238" s="11">
        <v>45467.0</v>
      </c>
      <c r="P2238" s="11">
        <v>45509.0</v>
      </c>
      <c r="Q2238" s="11"/>
      <c r="R2238" s="11"/>
      <c r="S2238" s="12"/>
      <c r="T2238" s="8"/>
      <c r="U2238" s="8" t="s">
        <v>59</v>
      </c>
      <c r="V2238" s="13" t="s">
        <v>10967</v>
      </c>
      <c r="W2238" s="13" t="s">
        <v>10968</v>
      </c>
      <c r="X2238" s="12"/>
      <c r="Y2238" s="14"/>
      <c r="Z2238" s="14"/>
    </row>
    <row r="2239">
      <c r="A2239" s="8" t="s">
        <v>10969</v>
      </c>
      <c r="B2239" s="8" t="s">
        <v>10970</v>
      </c>
      <c r="C2239" s="8" t="s">
        <v>708</v>
      </c>
      <c r="D2239" s="8" t="s">
        <v>26</v>
      </c>
      <c r="E2239" s="8" t="s">
        <v>10971</v>
      </c>
      <c r="F2239" s="8">
        <v>3.227746467E9</v>
      </c>
      <c r="G2239" s="8" t="s">
        <v>981</v>
      </c>
      <c r="H2239" s="8" t="s">
        <v>3122</v>
      </c>
      <c r="I2239" s="8" t="s">
        <v>31</v>
      </c>
      <c r="J2239" s="8" t="s">
        <v>292</v>
      </c>
      <c r="K2239" s="10" t="s">
        <v>1260</v>
      </c>
      <c r="L2239" s="8" t="s">
        <v>47</v>
      </c>
      <c r="M2239" s="8" t="s">
        <v>70</v>
      </c>
      <c r="N2239" s="11">
        <v>45076.0</v>
      </c>
      <c r="O2239" s="11">
        <v>45171.0</v>
      </c>
      <c r="P2239" s="11">
        <v>45473.0</v>
      </c>
      <c r="Q2239" s="11">
        <v>45176.0</v>
      </c>
      <c r="R2239" s="11">
        <v>45476.0</v>
      </c>
      <c r="S2239" s="12"/>
      <c r="T2239" s="8"/>
      <c r="U2239" s="8" t="s">
        <v>1261</v>
      </c>
      <c r="V2239" s="13" t="s">
        <v>10972</v>
      </c>
      <c r="W2239" s="13" t="s">
        <v>10973</v>
      </c>
      <c r="X2239" s="12"/>
      <c r="Y2239" s="14"/>
      <c r="Z2239" s="14"/>
    </row>
    <row r="2240">
      <c r="A2240" s="8" t="s">
        <v>10974</v>
      </c>
      <c r="B2240" s="8" t="s">
        <v>10975</v>
      </c>
      <c r="C2240" s="8" t="s">
        <v>179</v>
      </c>
      <c r="D2240" s="8" t="s">
        <v>26</v>
      </c>
      <c r="E2240" s="8" t="s">
        <v>10976</v>
      </c>
      <c r="F2240" s="8"/>
      <c r="G2240" s="8" t="s">
        <v>31</v>
      </c>
      <c r="H2240" s="8" t="s">
        <v>56</v>
      </c>
      <c r="I2240" s="8" t="s">
        <v>54</v>
      </c>
      <c r="J2240" s="8" t="s">
        <v>1911</v>
      </c>
      <c r="K2240" s="10" t="s">
        <v>9184</v>
      </c>
      <c r="L2240" s="8" t="s">
        <v>58</v>
      </c>
      <c r="M2240" s="8" t="s">
        <v>35</v>
      </c>
      <c r="N2240" s="11">
        <v>45076.0</v>
      </c>
      <c r="O2240" s="11">
        <v>45131.0</v>
      </c>
      <c r="P2240" s="11">
        <v>45173.0</v>
      </c>
      <c r="Q2240" s="11"/>
      <c r="R2240" s="11"/>
      <c r="S2240" s="12"/>
      <c r="T2240" s="8"/>
      <c r="U2240" s="8" t="s">
        <v>402</v>
      </c>
      <c r="V2240" s="13" t="s">
        <v>38</v>
      </c>
      <c r="W2240" s="13" t="s">
        <v>10977</v>
      </c>
      <c r="X2240" s="12"/>
      <c r="Y2240" s="14"/>
      <c r="Z2240" s="14"/>
    </row>
    <row r="2241">
      <c r="A2241" s="8" t="s">
        <v>10978</v>
      </c>
      <c r="B2241" s="8" t="s">
        <v>10979</v>
      </c>
      <c r="C2241" s="8" t="s">
        <v>25</v>
      </c>
      <c r="D2241" s="8" t="s">
        <v>26</v>
      </c>
      <c r="E2241" s="8" t="s">
        <v>10980</v>
      </c>
      <c r="F2241" s="8">
        <v>5.0428563E7</v>
      </c>
      <c r="G2241" s="8" t="s">
        <v>54</v>
      </c>
      <c r="H2241" s="8" t="s">
        <v>135</v>
      </c>
      <c r="I2241" s="8" t="s">
        <v>31</v>
      </c>
      <c r="J2241" s="8" t="s">
        <v>77</v>
      </c>
      <c r="K2241" s="10" t="s">
        <v>94</v>
      </c>
      <c r="L2241" s="8" t="s">
        <v>58</v>
      </c>
      <c r="M2241" s="8" t="s">
        <v>35</v>
      </c>
      <c r="N2241" s="11">
        <v>45077.0</v>
      </c>
      <c r="O2241" s="11">
        <v>45110.0</v>
      </c>
      <c r="P2241" s="11">
        <v>45152.0</v>
      </c>
      <c r="Q2241" s="11">
        <v>45110.0</v>
      </c>
      <c r="R2241" s="11">
        <v>45152.0</v>
      </c>
      <c r="S2241" s="12"/>
      <c r="T2241" s="8"/>
      <c r="U2241" s="8" t="s">
        <v>59</v>
      </c>
      <c r="V2241" s="13" t="s">
        <v>352</v>
      </c>
      <c r="W2241" s="13" t="s">
        <v>10981</v>
      </c>
      <c r="X2241" s="12"/>
      <c r="Y2241" s="14"/>
      <c r="Z2241" s="14"/>
    </row>
    <row r="2242">
      <c r="A2242" s="8" t="s">
        <v>10982</v>
      </c>
      <c r="B2242" s="8" t="s">
        <v>10983</v>
      </c>
      <c r="C2242" s="8" t="s">
        <v>25</v>
      </c>
      <c r="D2242" s="8" t="s">
        <v>26</v>
      </c>
      <c r="E2242" s="8" t="s">
        <v>10984</v>
      </c>
      <c r="F2242" s="8">
        <v>5.428377571E9</v>
      </c>
      <c r="G2242" s="8" t="s">
        <v>31</v>
      </c>
      <c r="H2242" s="8" t="s">
        <v>292</v>
      </c>
      <c r="I2242" s="8" t="s">
        <v>284</v>
      </c>
      <c r="J2242" s="8" t="s">
        <v>793</v>
      </c>
      <c r="K2242" s="10" t="s">
        <v>10985</v>
      </c>
      <c r="L2242" s="8" t="s">
        <v>47</v>
      </c>
      <c r="M2242" s="8" t="s">
        <v>35</v>
      </c>
      <c r="N2242" s="11">
        <v>45077.0</v>
      </c>
      <c r="O2242" s="11">
        <v>45108.0</v>
      </c>
      <c r="P2242" s="11">
        <v>45191.0</v>
      </c>
      <c r="Q2242" s="11">
        <v>45109.0</v>
      </c>
      <c r="R2242" s="11">
        <v>45192.0</v>
      </c>
      <c r="S2242" s="12"/>
      <c r="T2242" s="8"/>
      <c r="U2242" s="8" t="s">
        <v>10986</v>
      </c>
      <c r="V2242" s="13" t="s">
        <v>3027</v>
      </c>
      <c r="W2242" s="13" t="s">
        <v>10987</v>
      </c>
      <c r="X2242" s="12"/>
      <c r="Y2242" s="14"/>
      <c r="Z2242" s="14"/>
    </row>
    <row r="2243">
      <c r="A2243" s="8" t="s">
        <v>10988</v>
      </c>
      <c r="B2243" s="8" t="s">
        <v>10989</v>
      </c>
      <c r="C2243" s="8" t="s">
        <v>64</v>
      </c>
      <c r="D2243" s="8" t="s">
        <v>26</v>
      </c>
      <c r="E2243" s="8" t="s">
        <v>10990</v>
      </c>
      <c r="F2243" s="8"/>
      <c r="G2243" s="8" t="s">
        <v>31</v>
      </c>
      <c r="H2243" s="8" t="s">
        <v>66</v>
      </c>
      <c r="I2243" s="8" t="s">
        <v>127</v>
      </c>
      <c r="J2243" s="8" t="s">
        <v>128</v>
      </c>
      <c r="K2243" s="10" t="s">
        <v>9854</v>
      </c>
      <c r="L2243" s="8" t="s">
        <v>58</v>
      </c>
      <c r="M2243" s="8" t="s">
        <v>35</v>
      </c>
      <c r="N2243" s="11">
        <v>45077.0</v>
      </c>
      <c r="O2243" s="11">
        <v>45096.0</v>
      </c>
      <c r="P2243" s="11">
        <v>45138.0</v>
      </c>
      <c r="Q2243" s="11">
        <v>45096.0</v>
      </c>
      <c r="R2243" s="11">
        <v>45138.0</v>
      </c>
      <c r="S2243" s="12"/>
      <c r="T2243" s="8"/>
      <c r="U2243" s="8" t="s">
        <v>88</v>
      </c>
      <c r="V2243" s="13" t="s">
        <v>38</v>
      </c>
      <c r="W2243" s="13" t="s">
        <v>10991</v>
      </c>
      <c r="X2243" s="12"/>
      <c r="Y2243" s="14"/>
      <c r="Z2243" s="14"/>
    </row>
    <row r="2244">
      <c r="A2244" s="8" t="s">
        <v>10992</v>
      </c>
      <c r="B2244" s="8" t="s">
        <v>10993</v>
      </c>
      <c r="C2244" s="8" t="s">
        <v>179</v>
      </c>
      <c r="D2244" s="8" t="s">
        <v>26</v>
      </c>
      <c r="E2244" s="8" t="s">
        <v>10994</v>
      </c>
      <c r="F2244" s="8"/>
      <c r="G2244" s="8" t="s">
        <v>254</v>
      </c>
      <c r="H2244" s="8" t="s">
        <v>422</v>
      </c>
      <c r="I2244" s="8" t="s">
        <v>31</v>
      </c>
      <c r="J2244" s="8" t="s">
        <v>56</v>
      </c>
      <c r="K2244" s="10" t="s">
        <v>9756</v>
      </c>
      <c r="L2244" s="8" t="s">
        <v>58</v>
      </c>
      <c r="M2244" s="8" t="s">
        <v>35</v>
      </c>
      <c r="N2244" s="11">
        <v>45077.0</v>
      </c>
      <c r="O2244" s="11">
        <v>45110.0</v>
      </c>
      <c r="P2244" s="11">
        <v>45152.0</v>
      </c>
      <c r="Q2244" s="11"/>
      <c r="R2244" s="11"/>
      <c r="S2244" s="12"/>
      <c r="T2244" s="8"/>
      <c r="U2244" s="8" t="s">
        <v>59</v>
      </c>
      <c r="V2244" s="13" t="s">
        <v>38</v>
      </c>
      <c r="W2244" s="13" t="s">
        <v>10995</v>
      </c>
      <c r="X2244" s="12"/>
      <c r="Y2244" s="14"/>
      <c r="Z2244" s="14"/>
    </row>
    <row r="2245">
      <c r="A2245" s="8" t="s">
        <v>10996</v>
      </c>
      <c r="B2245" s="8" t="s">
        <v>10997</v>
      </c>
      <c r="C2245" s="8" t="s">
        <v>179</v>
      </c>
      <c r="D2245" s="8" t="s">
        <v>26</v>
      </c>
      <c r="E2245" s="8" t="s">
        <v>10998</v>
      </c>
      <c r="F2245" s="8"/>
      <c r="G2245" s="8" t="s">
        <v>118</v>
      </c>
      <c r="H2245" s="8" t="s">
        <v>119</v>
      </c>
      <c r="I2245" s="8" t="s">
        <v>31</v>
      </c>
      <c r="J2245" s="8" t="s">
        <v>86</v>
      </c>
      <c r="K2245" s="10" t="s">
        <v>3621</v>
      </c>
      <c r="L2245" s="8" t="s">
        <v>58</v>
      </c>
      <c r="M2245" s="8" t="s">
        <v>35</v>
      </c>
      <c r="N2245" s="11">
        <v>45077.0</v>
      </c>
      <c r="O2245" s="11">
        <v>45110.0</v>
      </c>
      <c r="P2245" s="11">
        <v>45152.0</v>
      </c>
      <c r="Q2245" s="11"/>
      <c r="R2245" s="11"/>
      <c r="S2245" s="12"/>
      <c r="T2245" s="8"/>
      <c r="U2245" s="8" t="s">
        <v>153</v>
      </c>
      <c r="V2245" s="13" t="s">
        <v>38</v>
      </c>
      <c r="W2245" s="13" t="s">
        <v>10999</v>
      </c>
      <c r="X2245" s="12"/>
      <c r="Y2245" s="14"/>
      <c r="Z2245" s="14"/>
    </row>
    <row r="2246">
      <c r="A2246" s="8" t="s">
        <v>11000</v>
      </c>
      <c r="B2246" s="8" t="s">
        <v>11001</v>
      </c>
      <c r="C2246" s="8" t="s">
        <v>708</v>
      </c>
      <c r="D2246" s="8" t="s">
        <v>26</v>
      </c>
      <c r="E2246" s="8" t="s">
        <v>11002</v>
      </c>
      <c r="F2246" s="8">
        <v>6.33466418E8</v>
      </c>
      <c r="G2246" s="8" t="s">
        <v>84</v>
      </c>
      <c r="H2246" s="8" t="s">
        <v>752</v>
      </c>
      <c r="I2246" s="8" t="s">
        <v>31</v>
      </c>
      <c r="J2246" s="8" t="s">
        <v>292</v>
      </c>
      <c r="K2246" s="10" t="s">
        <v>11003</v>
      </c>
      <c r="L2246" s="8" t="s">
        <v>34</v>
      </c>
      <c r="M2246" s="8" t="s">
        <v>70</v>
      </c>
      <c r="N2246" s="11">
        <v>45077.0</v>
      </c>
      <c r="O2246" s="11">
        <v>45117.0</v>
      </c>
      <c r="P2246" s="11">
        <v>45483.0</v>
      </c>
      <c r="Q2246" s="11">
        <v>45125.0</v>
      </c>
      <c r="R2246" s="11">
        <v>45491.0</v>
      </c>
      <c r="S2246" s="12"/>
      <c r="T2246" s="8" t="s">
        <v>1187</v>
      </c>
      <c r="U2246" s="8" t="s">
        <v>11004</v>
      </c>
      <c r="V2246" s="13" t="s">
        <v>11005</v>
      </c>
      <c r="W2246" s="13" t="s">
        <v>11006</v>
      </c>
      <c r="X2246" s="12"/>
      <c r="Y2246" s="14"/>
      <c r="Z2246" s="14"/>
    </row>
    <row r="2247">
      <c r="A2247" s="8" t="s">
        <v>11007</v>
      </c>
      <c r="B2247" s="8" t="s">
        <v>11008</v>
      </c>
      <c r="C2247" s="8" t="s">
        <v>708</v>
      </c>
      <c r="D2247" s="8" t="s">
        <v>26</v>
      </c>
      <c r="E2247" s="8" t="s">
        <v>11009</v>
      </c>
      <c r="F2247" s="8">
        <v>6.12241201E8</v>
      </c>
      <c r="G2247" s="8" t="s">
        <v>84</v>
      </c>
      <c r="H2247" s="8" t="s">
        <v>85</v>
      </c>
      <c r="I2247" s="8" t="s">
        <v>31</v>
      </c>
      <c r="J2247" s="8" t="s">
        <v>86</v>
      </c>
      <c r="K2247" s="10" t="s">
        <v>2706</v>
      </c>
      <c r="L2247" s="8" t="s">
        <v>47</v>
      </c>
      <c r="M2247" s="8" t="s">
        <v>70</v>
      </c>
      <c r="N2247" s="11">
        <v>45077.0</v>
      </c>
      <c r="O2247" s="11">
        <v>45152.0</v>
      </c>
      <c r="P2247" s="11">
        <v>45515.0</v>
      </c>
      <c r="Q2247" s="11">
        <v>45152.0</v>
      </c>
      <c r="R2247" s="11">
        <v>45515.0</v>
      </c>
      <c r="S2247" s="12"/>
      <c r="T2247" s="8"/>
      <c r="U2247" s="8" t="s">
        <v>2707</v>
      </c>
      <c r="V2247" s="13" t="s">
        <v>1063</v>
      </c>
      <c r="W2247" s="13" t="s">
        <v>11010</v>
      </c>
      <c r="X2247" s="12"/>
      <c r="Y2247" s="14"/>
      <c r="Z2247" s="14"/>
    </row>
    <row r="2248">
      <c r="A2248" s="8" t="s">
        <v>11011</v>
      </c>
      <c r="B2248" s="8" t="s">
        <v>11012</v>
      </c>
      <c r="C2248" s="8" t="s">
        <v>179</v>
      </c>
      <c r="D2248" s="8" t="s">
        <v>26</v>
      </c>
      <c r="E2248" s="8" t="s">
        <v>11013</v>
      </c>
      <c r="F2248" s="8"/>
      <c r="G2248" s="8" t="s">
        <v>31</v>
      </c>
      <c r="H2248" s="8" t="s">
        <v>438</v>
      </c>
      <c r="I2248" s="8" t="s">
        <v>6352</v>
      </c>
      <c r="J2248" s="8" t="s">
        <v>6353</v>
      </c>
      <c r="K2248" s="10" t="s">
        <v>9693</v>
      </c>
      <c r="L2248" s="8" t="s">
        <v>58</v>
      </c>
      <c r="M2248" s="8" t="s">
        <v>35</v>
      </c>
      <c r="N2248" s="11">
        <v>45077.0</v>
      </c>
      <c r="O2248" s="11">
        <v>45124.0</v>
      </c>
      <c r="P2248" s="11">
        <v>45166.0</v>
      </c>
      <c r="Q2248" s="11"/>
      <c r="R2248" s="11"/>
      <c r="S2248" s="12"/>
      <c r="T2248" s="8"/>
      <c r="U2248" s="8" t="s">
        <v>1038</v>
      </c>
      <c r="V2248" s="13" t="s">
        <v>38</v>
      </c>
      <c r="W2248" s="13" t="s">
        <v>11014</v>
      </c>
      <c r="X2248" s="12"/>
      <c r="Y2248" s="14"/>
      <c r="Z2248" s="14"/>
    </row>
    <row r="2249">
      <c r="A2249" s="8" t="s">
        <v>11015</v>
      </c>
      <c r="B2249" s="8" t="s">
        <v>11016</v>
      </c>
      <c r="C2249" s="8" t="s">
        <v>25</v>
      </c>
      <c r="D2249" s="8" t="s">
        <v>26</v>
      </c>
      <c r="E2249" s="8" t="s">
        <v>11017</v>
      </c>
      <c r="F2249" s="8"/>
      <c r="G2249" s="8" t="s">
        <v>127</v>
      </c>
      <c r="H2249" s="8" t="s">
        <v>128</v>
      </c>
      <c r="I2249" s="8" t="s">
        <v>31</v>
      </c>
      <c r="J2249" s="8" t="s">
        <v>167</v>
      </c>
      <c r="K2249" s="10" t="s">
        <v>8437</v>
      </c>
      <c r="L2249" s="8" t="s">
        <v>58</v>
      </c>
      <c r="M2249" s="8" t="s">
        <v>35</v>
      </c>
      <c r="N2249" s="11">
        <v>45077.0</v>
      </c>
      <c r="O2249" s="11">
        <v>45124.0</v>
      </c>
      <c r="P2249" s="11">
        <v>45166.0</v>
      </c>
      <c r="Q2249" s="11">
        <v>45124.0</v>
      </c>
      <c r="R2249" s="11">
        <v>45166.0</v>
      </c>
      <c r="S2249" s="12"/>
      <c r="T2249" s="8"/>
      <c r="U2249" s="8" t="s">
        <v>130</v>
      </c>
      <c r="V2249" s="13" t="s">
        <v>38</v>
      </c>
      <c r="W2249" s="13" t="s">
        <v>11018</v>
      </c>
      <c r="X2249" s="12"/>
      <c r="Y2249" s="14"/>
      <c r="Z2249" s="14"/>
    </row>
    <row r="2250">
      <c r="A2250" s="8" t="s">
        <v>11019</v>
      </c>
      <c r="B2250" s="8" t="s">
        <v>11020</v>
      </c>
      <c r="C2250" s="8" t="s">
        <v>64</v>
      </c>
      <c r="D2250" s="8" t="s">
        <v>26</v>
      </c>
      <c r="E2250" s="8" t="s">
        <v>11021</v>
      </c>
      <c r="F2250" s="8">
        <v>1.050506413E9</v>
      </c>
      <c r="G2250" s="8" t="s">
        <v>284</v>
      </c>
      <c r="H2250" s="8" t="s">
        <v>2065</v>
      </c>
      <c r="I2250" s="8" t="s">
        <v>31</v>
      </c>
      <c r="J2250" s="8" t="s">
        <v>136</v>
      </c>
      <c r="K2250" s="10" t="s">
        <v>2354</v>
      </c>
      <c r="L2250" s="8" t="s">
        <v>58</v>
      </c>
      <c r="M2250" s="8" t="s">
        <v>35</v>
      </c>
      <c r="N2250" s="11">
        <v>45077.0</v>
      </c>
      <c r="O2250" s="11">
        <v>45257.0</v>
      </c>
      <c r="P2250" s="11">
        <v>45299.0</v>
      </c>
      <c r="Q2250" s="11">
        <v>45258.0</v>
      </c>
      <c r="R2250" s="11">
        <v>45299.0</v>
      </c>
      <c r="S2250" s="12"/>
      <c r="T2250" s="8"/>
      <c r="U2250" s="8" t="s">
        <v>59</v>
      </c>
      <c r="V2250" s="13" t="s">
        <v>2065</v>
      </c>
      <c r="W2250" s="13" t="s">
        <v>11022</v>
      </c>
      <c r="X2250" s="12"/>
      <c r="Y2250" s="14"/>
      <c r="Z2250" s="14"/>
    </row>
    <row r="2251">
      <c r="A2251" s="8" t="s">
        <v>11023</v>
      </c>
      <c r="B2251" s="8" t="s">
        <v>11024</v>
      </c>
      <c r="C2251" s="8" t="s">
        <v>25</v>
      </c>
      <c r="D2251" s="8" t="s">
        <v>26</v>
      </c>
      <c r="E2251" s="8" t="s">
        <v>11025</v>
      </c>
      <c r="F2251" s="8">
        <v>5.446322002E9</v>
      </c>
      <c r="G2251" s="8" t="s">
        <v>31</v>
      </c>
      <c r="H2251" s="8" t="s">
        <v>292</v>
      </c>
      <c r="I2251" s="8" t="s">
        <v>143</v>
      </c>
      <c r="J2251" s="8" t="s">
        <v>11026</v>
      </c>
      <c r="K2251" s="10" t="s">
        <v>11027</v>
      </c>
      <c r="L2251" s="8" t="s">
        <v>58</v>
      </c>
      <c r="M2251" s="8" t="s">
        <v>35</v>
      </c>
      <c r="N2251" s="11">
        <v>45077.0</v>
      </c>
      <c r="O2251" s="11">
        <v>45087.0</v>
      </c>
      <c r="P2251" s="11">
        <v>45129.0</v>
      </c>
      <c r="Q2251" s="11"/>
      <c r="R2251" s="11">
        <v>45129.0</v>
      </c>
      <c r="S2251" s="12"/>
      <c r="T2251" s="8"/>
      <c r="U2251" s="8" t="s">
        <v>59</v>
      </c>
      <c r="V2251" s="13" t="s">
        <v>11028</v>
      </c>
      <c r="W2251" s="13" t="s">
        <v>11029</v>
      </c>
      <c r="X2251" s="12"/>
      <c r="Y2251" s="14"/>
      <c r="Z2251" s="14"/>
    </row>
    <row r="2252">
      <c r="A2252" s="8" t="s">
        <v>11030</v>
      </c>
      <c r="B2252" s="8" t="s">
        <v>11031</v>
      </c>
      <c r="C2252" s="8" t="s">
        <v>179</v>
      </c>
      <c r="D2252" s="8" t="s">
        <v>26</v>
      </c>
      <c r="E2252" s="8" t="s">
        <v>11032</v>
      </c>
      <c r="F2252" s="8"/>
      <c r="G2252" s="8" t="s">
        <v>31</v>
      </c>
      <c r="H2252" s="8" t="s">
        <v>56</v>
      </c>
      <c r="I2252" s="8" t="s">
        <v>8344</v>
      </c>
      <c r="J2252" s="8" t="s">
        <v>8345</v>
      </c>
      <c r="K2252" s="10" t="s">
        <v>8346</v>
      </c>
      <c r="L2252" s="8" t="s">
        <v>58</v>
      </c>
      <c r="M2252" s="8" t="s">
        <v>35</v>
      </c>
      <c r="N2252" s="11">
        <v>45077.0</v>
      </c>
      <c r="O2252" s="11">
        <v>45117.0</v>
      </c>
      <c r="P2252" s="11">
        <v>45159.0</v>
      </c>
      <c r="Q2252" s="11"/>
      <c r="R2252" s="11"/>
      <c r="S2252" s="12"/>
      <c r="T2252" s="8"/>
      <c r="U2252" s="8" t="s">
        <v>1038</v>
      </c>
      <c r="V2252" s="13" t="s">
        <v>38</v>
      </c>
      <c r="W2252" s="13" t="s">
        <v>11033</v>
      </c>
      <c r="X2252" s="12"/>
      <c r="Y2252" s="14"/>
      <c r="Z2252" s="14"/>
    </row>
    <row r="2253">
      <c r="A2253" s="8" t="s">
        <v>11034</v>
      </c>
      <c r="B2253" s="8" t="s">
        <v>11035</v>
      </c>
      <c r="C2253" s="8" t="s">
        <v>179</v>
      </c>
      <c r="D2253" s="8" t="s">
        <v>26</v>
      </c>
      <c r="E2253" s="8" t="s">
        <v>11036</v>
      </c>
      <c r="F2253" s="8">
        <v>5.385719964E9</v>
      </c>
      <c r="G2253" s="8" t="s">
        <v>31</v>
      </c>
      <c r="H2253" s="8" t="s">
        <v>56</v>
      </c>
      <c r="I2253" s="8" t="s">
        <v>54</v>
      </c>
      <c r="J2253" s="8" t="s">
        <v>1911</v>
      </c>
      <c r="K2253" s="10" t="s">
        <v>9184</v>
      </c>
      <c r="L2253" s="8" t="s">
        <v>58</v>
      </c>
      <c r="M2253" s="8" t="s">
        <v>35</v>
      </c>
      <c r="N2253" s="11">
        <v>45077.0</v>
      </c>
      <c r="O2253" s="11">
        <v>45131.0</v>
      </c>
      <c r="P2253" s="11">
        <v>45173.0</v>
      </c>
      <c r="Q2253" s="11"/>
      <c r="R2253" s="11"/>
      <c r="S2253" s="12"/>
      <c r="T2253" s="8"/>
      <c r="U2253" s="8" t="s">
        <v>402</v>
      </c>
      <c r="V2253" s="13" t="s">
        <v>56</v>
      </c>
      <c r="W2253" s="13" t="s">
        <v>11037</v>
      </c>
      <c r="X2253" s="12"/>
      <c r="Y2253" s="14"/>
      <c r="Z2253" s="14"/>
    </row>
    <row r="2254">
      <c r="A2254" s="8" t="s">
        <v>11038</v>
      </c>
      <c r="B2254" s="8" t="s">
        <v>11039</v>
      </c>
      <c r="C2254" s="8" t="s">
        <v>25</v>
      </c>
      <c r="D2254" s="8" t="s">
        <v>26</v>
      </c>
      <c r="E2254" s="8" t="s">
        <v>11040</v>
      </c>
      <c r="F2254" s="8"/>
      <c r="G2254" s="8" t="s">
        <v>54</v>
      </c>
      <c r="H2254" s="8" t="s">
        <v>377</v>
      </c>
      <c r="I2254" s="8" t="s">
        <v>31</v>
      </c>
      <c r="J2254" s="8" t="s">
        <v>43</v>
      </c>
      <c r="K2254" s="10" t="s">
        <v>10002</v>
      </c>
      <c r="L2254" s="8" t="s">
        <v>58</v>
      </c>
      <c r="M2254" s="8" t="s">
        <v>35</v>
      </c>
      <c r="N2254" s="11">
        <v>45078.0</v>
      </c>
      <c r="O2254" s="11">
        <v>45110.0</v>
      </c>
      <c r="P2254" s="11">
        <v>45156.0</v>
      </c>
      <c r="Q2254" s="11">
        <v>45110.0</v>
      </c>
      <c r="R2254" s="11">
        <v>45156.0</v>
      </c>
      <c r="S2254" s="12"/>
      <c r="T2254" s="8"/>
      <c r="U2254" s="8" t="s">
        <v>59</v>
      </c>
      <c r="V2254" s="13" t="s">
        <v>378</v>
      </c>
      <c r="W2254" s="13" t="s">
        <v>11041</v>
      </c>
      <c r="X2254" s="12"/>
      <c r="Y2254" s="14"/>
      <c r="Z2254" s="14"/>
    </row>
    <row r="2255">
      <c r="A2255" s="8" t="s">
        <v>11042</v>
      </c>
      <c r="B2255" s="8" t="s">
        <v>11043</v>
      </c>
      <c r="C2255" s="8" t="s">
        <v>25</v>
      </c>
      <c r="D2255" s="8" t="s">
        <v>26</v>
      </c>
      <c r="E2255" s="8" t="s">
        <v>11044</v>
      </c>
      <c r="F2255" s="8">
        <v>5.378710141E9</v>
      </c>
      <c r="G2255" s="8" t="s">
        <v>31</v>
      </c>
      <c r="H2255" s="8" t="s">
        <v>77</v>
      </c>
      <c r="I2255" s="8" t="s">
        <v>44</v>
      </c>
      <c r="J2255" s="8" t="s">
        <v>1993</v>
      </c>
      <c r="K2255" s="10" t="s">
        <v>11045</v>
      </c>
      <c r="L2255" s="8" t="s">
        <v>58</v>
      </c>
      <c r="M2255" s="8" t="s">
        <v>35</v>
      </c>
      <c r="N2255" s="11">
        <v>45078.0</v>
      </c>
      <c r="O2255" s="11">
        <v>45109.0</v>
      </c>
      <c r="P2255" s="11">
        <v>45151.0</v>
      </c>
      <c r="Q2255" s="11">
        <v>45108.0</v>
      </c>
      <c r="R2255" s="11">
        <v>45151.0</v>
      </c>
      <c r="S2255" s="12"/>
      <c r="T2255" s="8"/>
      <c r="U2255" s="8" t="s">
        <v>371</v>
      </c>
      <c r="V2255" s="13" t="s">
        <v>77</v>
      </c>
      <c r="W2255" s="13" t="s">
        <v>11046</v>
      </c>
      <c r="X2255" s="12"/>
      <c r="Y2255" s="14"/>
      <c r="Z2255" s="14"/>
    </row>
    <row r="2256">
      <c r="A2256" s="8" t="s">
        <v>11047</v>
      </c>
      <c r="B2256" s="8" t="s">
        <v>11048</v>
      </c>
      <c r="C2256" s="8" t="s">
        <v>64</v>
      </c>
      <c r="D2256" s="8" t="s">
        <v>26</v>
      </c>
      <c r="E2256" s="8" t="s">
        <v>11049</v>
      </c>
      <c r="F2256" s="8">
        <v>5.357862662E9</v>
      </c>
      <c r="G2256" s="8" t="s">
        <v>31</v>
      </c>
      <c r="H2256" s="8" t="s">
        <v>56</v>
      </c>
      <c r="I2256" s="8" t="s">
        <v>399</v>
      </c>
      <c r="J2256" s="8" t="s">
        <v>4868</v>
      </c>
      <c r="K2256" s="10" t="s">
        <v>4869</v>
      </c>
      <c r="L2256" s="8" t="s">
        <v>58</v>
      </c>
      <c r="M2256" s="8" t="s">
        <v>35</v>
      </c>
      <c r="N2256" s="11">
        <v>45078.0</v>
      </c>
      <c r="O2256" s="11">
        <v>45145.0</v>
      </c>
      <c r="P2256" s="11">
        <v>45187.0</v>
      </c>
      <c r="Q2256" s="11">
        <v>45151.0</v>
      </c>
      <c r="R2256" s="11">
        <v>45191.0</v>
      </c>
      <c r="S2256" s="12"/>
      <c r="T2256" s="8"/>
      <c r="U2256" s="8" t="s">
        <v>4870</v>
      </c>
      <c r="V2256" s="13" t="s">
        <v>56</v>
      </c>
      <c r="W2256" s="13" t="s">
        <v>11050</v>
      </c>
      <c r="X2256" s="12"/>
      <c r="Y2256" s="14"/>
      <c r="Z2256" s="14"/>
    </row>
    <row r="2257">
      <c r="A2257" s="8" t="s">
        <v>11051</v>
      </c>
      <c r="B2257" s="8" t="s">
        <v>11052</v>
      </c>
      <c r="C2257" s="8" t="s">
        <v>25</v>
      </c>
      <c r="D2257" s="8" t="s">
        <v>26</v>
      </c>
      <c r="E2257" s="8" t="s">
        <v>11053</v>
      </c>
      <c r="F2257" s="8">
        <v>5.458270178E9</v>
      </c>
      <c r="G2257" s="8" t="s">
        <v>31</v>
      </c>
      <c r="H2257" s="8" t="s">
        <v>77</v>
      </c>
      <c r="I2257" s="8" t="s">
        <v>284</v>
      </c>
      <c r="J2257" s="8" t="s">
        <v>1359</v>
      </c>
      <c r="K2257" s="10" t="s">
        <v>8874</v>
      </c>
      <c r="L2257" s="8" t="s">
        <v>58</v>
      </c>
      <c r="M2257" s="8" t="s">
        <v>35</v>
      </c>
      <c r="N2257" s="11">
        <v>45078.0</v>
      </c>
      <c r="O2257" s="11">
        <v>45139.0</v>
      </c>
      <c r="P2257" s="11">
        <v>45181.0</v>
      </c>
      <c r="Q2257" s="11">
        <v>45148.0</v>
      </c>
      <c r="R2257" s="11">
        <v>45190.0</v>
      </c>
      <c r="S2257" s="12"/>
      <c r="T2257" s="8"/>
      <c r="U2257" s="8" t="s">
        <v>59</v>
      </c>
      <c r="V2257" s="13" t="s">
        <v>77</v>
      </c>
      <c r="W2257" s="13" t="s">
        <v>11054</v>
      </c>
      <c r="X2257" s="12"/>
      <c r="Y2257" s="14"/>
      <c r="Z2257" s="14"/>
    </row>
    <row r="2258">
      <c r="A2258" s="8" t="s">
        <v>11055</v>
      </c>
      <c r="B2258" s="8" t="s">
        <v>11056</v>
      </c>
      <c r="C2258" s="8" t="s">
        <v>25</v>
      </c>
      <c r="D2258" s="8" t="s">
        <v>26</v>
      </c>
      <c r="E2258" s="8" t="s">
        <v>11057</v>
      </c>
      <c r="F2258" s="8"/>
      <c r="G2258" s="8" t="s">
        <v>31</v>
      </c>
      <c r="H2258" s="8" t="s">
        <v>32</v>
      </c>
      <c r="I2258" s="8" t="s">
        <v>127</v>
      </c>
      <c r="J2258" s="8" t="s">
        <v>128</v>
      </c>
      <c r="K2258" s="10" t="s">
        <v>11058</v>
      </c>
      <c r="L2258" s="8" t="s">
        <v>58</v>
      </c>
      <c r="M2258" s="8" t="s">
        <v>35</v>
      </c>
      <c r="N2258" s="11">
        <v>45078.0</v>
      </c>
      <c r="O2258" s="11">
        <v>45096.0</v>
      </c>
      <c r="P2258" s="11">
        <v>45138.0</v>
      </c>
      <c r="Q2258" s="11">
        <v>45099.0</v>
      </c>
      <c r="R2258" s="11">
        <v>45139.0</v>
      </c>
      <c r="S2258" s="12"/>
      <c r="T2258" s="8"/>
      <c r="U2258" s="8" t="s">
        <v>59</v>
      </c>
      <c r="V2258" s="13" t="s">
        <v>38</v>
      </c>
      <c r="W2258" s="13" t="s">
        <v>11059</v>
      </c>
      <c r="X2258" s="12"/>
      <c r="Y2258" s="14"/>
      <c r="Z2258" s="14"/>
    </row>
    <row r="2259">
      <c r="A2259" s="8" t="s">
        <v>11060</v>
      </c>
      <c r="B2259" s="8" t="s">
        <v>11061</v>
      </c>
      <c r="C2259" s="8" t="s">
        <v>25</v>
      </c>
      <c r="D2259" s="8" t="s">
        <v>26</v>
      </c>
      <c r="E2259" s="8" t="s">
        <v>11062</v>
      </c>
      <c r="F2259" s="8">
        <v>5.391311604E9</v>
      </c>
      <c r="G2259" s="8" t="s">
        <v>31</v>
      </c>
      <c r="H2259" s="8" t="s">
        <v>959</v>
      </c>
      <c r="I2259" s="8" t="s">
        <v>127</v>
      </c>
      <c r="J2259" s="8" t="s">
        <v>159</v>
      </c>
      <c r="K2259" s="10" t="s">
        <v>11063</v>
      </c>
      <c r="L2259" s="8" t="s">
        <v>58</v>
      </c>
      <c r="M2259" s="8" t="s">
        <v>35</v>
      </c>
      <c r="N2259" s="11">
        <v>45078.0</v>
      </c>
      <c r="O2259" s="11">
        <v>45131.0</v>
      </c>
      <c r="P2259" s="11">
        <v>45173.0</v>
      </c>
      <c r="Q2259" s="11"/>
      <c r="R2259" s="11">
        <v>45173.0</v>
      </c>
      <c r="S2259" s="12"/>
      <c r="T2259" s="8"/>
      <c r="U2259" s="8" t="s">
        <v>59</v>
      </c>
      <c r="V2259" s="13" t="s">
        <v>1069</v>
      </c>
      <c r="W2259" s="13" t="s">
        <v>11064</v>
      </c>
      <c r="X2259" s="12"/>
      <c r="Y2259" s="14"/>
      <c r="Z2259" s="14"/>
    </row>
    <row r="2260">
      <c r="A2260" s="8" t="s">
        <v>11065</v>
      </c>
      <c r="B2260" s="8" t="s">
        <v>11066</v>
      </c>
      <c r="C2260" s="8" t="s">
        <v>25</v>
      </c>
      <c r="D2260" s="8" t="s">
        <v>26</v>
      </c>
      <c r="E2260" s="8" t="s">
        <v>11067</v>
      </c>
      <c r="F2260" s="8">
        <v>5.314506025E9</v>
      </c>
      <c r="G2260" s="8" t="s">
        <v>31</v>
      </c>
      <c r="H2260" s="8" t="s">
        <v>77</v>
      </c>
      <c r="I2260" s="8" t="s">
        <v>127</v>
      </c>
      <c r="J2260" s="8" t="s">
        <v>128</v>
      </c>
      <c r="K2260" s="10" t="s">
        <v>11068</v>
      </c>
      <c r="L2260" s="8" t="s">
        <v>58</v>
      </c>
      <c r="M2260" s="8" t="s">
        <v>35</v>
      </c>
      <c r="N2260" s="11">
        <v>45078.0</v>
      </c>
      <c r="O2260" s="11">
        <v>45096.0</v>
      </c>
      <c r="P2260" s="11">
        <v>45138.0</v>
      </c>
      <c r="Q2260" s="11">
        <v>45096.0</v>
      </c>
      <c r="R2260" s="11">
        <v>45138.0</v>
      </c>
      <c r="S2260" s="12"/>
      <c r="T2260" s="8"/>
      <c r="U2260" s="8" t="s">
        <v>161</v>
      </c>
      <c r="V2260" s="13" t="s">
        <v>77</v>
      </c>
      <c r="W2260" s="13" t="s">
        <v>11069</v>
      </c>
      <c r="X2260" s="12"/>
      <c r="Y2260" s="14"/>
      <c r="Z2260" s="14"/>
    </row>
    <row r="2261">
      <c r="A2261" s="8" t="s">
        <v>11070</v>
      </c>
      <c r="B2261" s="8" t="s">
        <v>11071</v>
      </c>
      <c r="C2261" s="8" t="s">
        <v>25</v>
      </c>
      <c r="D2261" s="8" t="s">
        <v>26</v>
      </c>
      <c r="E2261" s="8" t="s">
        <v>11072</v>
      </c>
      <c r="F2261" s="8">
        <v>5.074201432E9</v>
      </c>
      <c r="G2261" s="8" t="s">
        <v>31</v>
      </c>
      <c r="H2261" s="8" t="s">
        <v>77</v>
      </c>
      <c r="I2261" s="8" t="s">
        <v>54</v>
      </c>
      <c r="J2261" s="8" t="s">
        <v>135</v>
      </c>
      <c r="K2261" s="10" t="s">
        <v>11073</v>
      </c>
      <c r="L2261" s="8" t="s">
        <v>58</v>
      </c>
      <c r="M2261" s="8" t="s">
        <v>35</v>
      </c>
      <c r="N2261" s="11">
        <v>45078.0</v>
      </c>
      <c r="O2261" s="11">
        <v>45139.0</v>
      </c>
      <c r="P2261" s="11">
        <v>45181.0</v>
      </c>
      <c r="Q2261" s="11">
        <v>45137.0</v>
      </c>
      <c r="R2261" s="11">
        <v>45181.0</v>
      </c>
      <c r="S2261" s="12"/>
      <c r="T2261" s="8"/>
      <c r="U2261" s="8" t="s">
        <v>1956</v>
      </c>
      <c r="V2261" s="13" t="s">
        <v>77</v>
      </c>
      <c r="W2261" s="13" t="s">
        <v>11074</v>
      </c>
      <c r="X2261" s="12"/>
      <c r="Y2261" s="14"/>
      <c r="Z2261" s="14"/>
    </row>
    <row r="2262">
      <c r="A2262" s="8" t="s">
        <v>11075</v>
      </c>
      <c r="B2262" s="8" t="s">
        <v>11076</v>
      </c>
      <c r="C2262" s="8" t="s">
        <v>25</v>
      </c>
      <c r="D2262" s="8" t="s">
        <v>26</v>
      </c>
      <c r="E2262" s="8" t="s">
        <v>11077</v>
      </c>
      <c r="F2262" s="8">
        <v>5.318189608E9</v>
      </c>
      <c r="G2262" s="8" t="s">
        <v>31</v>
      </c>
      <c r="H2262" s="8" t="s">
        <v>86</v>
      </c>
      <c r="I2262" s="8" t="s">
        <v>127</v>
      </c>
      <c r="J2262" s="8" t="s">
        <v>128</v>
      </c>
      <c r="K2262" s="10" t="s">
        <v>11078</v>
      </c>
      <c r="L2262" s="8" t="s">
        <v>58</v>
      </c>
      <c r="M2262" s="8" t="s">
        <v>35</v>
      </c>
      <c r="N2262" s="11">
        <v>45078.0</v>
      </c>
      <c r="O2262" s="11">
        <v>45096.0</v>
      </c>
      <c r="P2262" s="11">
        <v>45138.0</v>
      </c>
      <c r="Q2262" s="11">
        <v>45096.0</v>
      </c>
      <c r="R2262" s="11">
        <v>45138.0</v>
      </c>
      <c r="S2262" s="12"/>
      <c r="T2262" s="8"/>
      <c r="U2262" s="8" t="s">
        <v>161</v>
      </c>
      <c r="V2262" s="13" t="s">
        <v>175</v>
      </c>
      <c r="W2262" s="13" t="s">
        <v>11079</v>
      </c>
      <c r="X2262" s="12"/>
      <c r="Y2262" s="14"/>
      <c r="Z2262" s="14"/>
    </row>
    <row r="2263">
      <c r="A2263" s="8" t="s">
        <v>11080</v>
      </c>
      <c r="B2263" s="8" t="s">
        <v>11081</v>
      </c>
      <c r="C2263" s="8" t="s">
        <v>25</v>
      </c>
      <c r="D2263" s="8" t="s">
        <v>26</v>
      </c>
      <c r="E2263" s="8" t="s">
        <v>11082</v>
      </c>
      <c r="F2263" s="8">
        <v>5.068556651E9</v>
      </c>
      <c r="G2263" s="8" t="s">
        <v>31</v>
      </c>
      <c r="H2263" s="8" t="s">
        <v>77</v>
      </c>
      <c r="I2263" s="8" t="s">
        <v>44</v>
      </c>
      <c r="J2263" s="8" t="s">
        <v>1993</v>
      </c>
      <c r="K2263" s="10" t="s">
        <v>11045</v>
      </c>
      <c r="L2263" s="8" t="s">
        <v>58</v>
      </c>
      <c r="M2263" s="8" t="s">
        <v>35</v>
      </c>
      <c r="N2263" s="11">
        <v>45078.0</v>
      </c>
      <c r="O2263" s="11">
        <v>45109.0</v>
      </c>
      <c r="P2263" s="11">
        <v>45151.0</v>
      </c>
      <c r="Q2263" s="11">
        <v>45108.0</v>
      </c>
      <c r="R2263" s="11">
        <v>45151.0</v>
      </c>
      <c r="S2263" s="12"/>
      <c r="T2263" s="8"/>
      <c r="U2263" s="8" t="s">
        <v>371</v>
      </c>
      <c r="V2263" s="13" t="s">
        <v>77</v>
      </c>
      <c r="W2263" s="13" t="s">
        <v>11083</v>
      </c>
      <c r="X2263" s="12"/>
      <c r="Y2263" s="14"/>
      <c r="Z2263" s="14"/>
    </row>
    <row r="2264">
      <c r="A2264" s="8" t="s">
        <v>11084</v>
      </c>
      <c r="B2264" s="8" t="s">
        <v>11085</v>
      </c>
      <c r="C2264" s="8" t="s">
        <v>179</v>
      </c>
      <c r="D2264" s="8" t="s">
        <v>26</v>
      </c>
      <c r="E2264" s="8" t="s">
        <v>11086</v>
      </c>
      <c r="F2264" s="8">
        <v>5.437836072E9</v>
      </c>
      <c r="G2264" s="8" t="s">
        <v>31</v>
      </c>
      <c r="H2264" s="8" t="s">
        <v>220</v>
      </c>
      <c r="I2264" s="8" t="s">
        <v>195</v>
      </c>
      <c r="J2264" s="8" t="s">
        <v>9617</v>
      </c>
      <c r="K2264" s="10" t="s">
        <v>11087</v>
      </c>
      <c r="L2264" s="8" t="s">
        <v>58</v>
      </c>
      <c r="M2264" s="8" t="s">
        <v>35</v>
      </c>
      <c r="N2264" s="11">
        <v>45078.0</v>
      </c>
      <c r="O2264" s="11">
        <v>45131.0</v>
      </c>
      <c r="P2264" s="11">
        <v>45173.0</v>
      </c>
      <c r="Q2264" s="11"/>
      <c r="R2264" s="11"/>
      <c r="S2264" s="12"/>
      <c r="T2264" s="8"/>
      <c r="U2264" s="8" t="s">
        <v>59</v>
      </c>
      <c r="V2264" s="13" t="s">
        <v>220</v>
      </c>
      <c r="W2264" s="13" t="s">
        <v>11088</v>
      </c>
      <c r="X2264" s="12"/>
      <c r="Y2264" s="14"/>
      <c r="Z2264" s="14"/>
    </row>
    <row r="2265">
      <c r="A2265" s="8" t="s">
        <v>11089</v>
      </c>
      <c r="B2265" s="8" t="s">
        <v>11090</v>
      </c>
      <c r="C2265" s="8" t="s">
        <v>179</v>
      </c>
      <c r="D2265" s="8" t="s">
        <v>26</v>
      </c>
      <c r="E2265" s="8" t="s">
        <v>11091</v>
      </c>
      <c r="F2265" s="8">
        <v>5.362358652E9</v>
      </c>
      <c r="G2265" s="8" t="s">
        <v>31</v>
      </c>
      <c r="H2265" s="8" t="s">
        <v>86</v>
      </c>
      <c r="I2265" s="8" t="s">
        <v>6352</v>
      </c>
      <c r="J2265" s="8" t="s">
        <v>6353</v>
      </c>
      <c r="K2265" s="10" t="s">
        <v>9693</v>
      </c>
      <c r="L2265" s="8" t="s">
        <v>58</v>
      </c>
      <c r="M2265" s="8" t="s">
        <v>35</v>
      </c>
      <c r="N2265" s="11">
        <v>45078.0</v>
      </c>
      <c r="O2265" s="11">
        <v>45159.0</v>
      </c>
      <c r="P2265" s="11">
        <v>45201.0</v>
      </c>
      <c r="Q2265" s="11"/>
      <c r="R2265" s="11"/>
      <c r="S2265" s="12"/>
      <c r="T2265" s="8"/>
      <c r="U2265" s="8" t="s">
        <v>1038</v>
      </c>
      <c r="V2265" s="13" t="s">
        <v>175</v>
      </c>
      <c r="W2265" s="13" t="s">
        <v>11092</v>
      </c>
      <c r="X2265" s="12"/>
      <c r="Y2265" s="14"/>
      <c r="Z2265" s="14"/>
    </row>
    <row r="2266">
      <c r="A2266" s="8" t="s">
        <v>11093</v>
      </c>
      <c r="B2266" s="8" t="s">
        <v>11094</v>
      </c>
      <c r="C2266" s="8" t="s">
        <v>25</v>
      </c>
      <c r="D2266" s="8" t="s">
        <v>26</v>
      </c>
      <c r="E2266" s="8" t="s">
        <v>11095</v>
      </c>
      <c r="F2266" s="8">
        <v>5.337201137E9</v>
      </c>
      <c r="G2266" s="8" t="s">
        <v>31</v>
      </c>
      <c r="H2266" s="8" t="s">
        <v>111</v>
      </c>
      <c r="I2266" s="8" t="s">
        <v>221</v>
      </c>
      <c r="J2266" s="8" t="s">
        <v>3001</v>
      </c>
      <c r="K2266" s="10" t="s">
        <v>8703</v>
      </c>
      <c r="L2266" s="8" t="s">
        <v>58</v>
      </c>
      <c r="M2266" s="8" t="s">
        <v>35</v>
      </c>
      <c r="N2266" s="11">
        <v>45078.0</v>
      </c>
      <c r="O2266" s="11">
        <v>45081.0</v>
      </c>
      <c r="P2266" s="11">
        <v>45123.0</v>
      </c>
      <c r="Q2266" s="11">
        <v>45111.0</v>
      </c>
      <c r="R2266" s="11">
        <v>45123.0</v>
      </c>
      <c r="S2266" s="12"/>
      <c r="T2266" s="8"/>
      <c r="U2266" s="8" t="s">
        <v>88</v>
      </c>
      <c r="V2266" s="13" t="s">
        <v>111</v>
      </c>
      <c r="W2266" s="13" t="s">
        <v>11096</v>
      </c>
      <c r="X2266" s="12"/>
      <c r="Y2266" s="14"/>
      <c r="Z2266" s="14"/>
    </row>
    <row r="2267">
      <c r="A2267" s="8" t="s">
        <v>11097</v>
      </c>
      <c r="B2267" s="8" t="s">
        <v>11098</v>
      </c>
      <c r="C2267" s="8" t="s">
        <v>64</v>
      </c>
      <c r="D2267" s="8" t="s">
        <v>26</v>
      </c>
      <c r="E2267" s="8" t="s">
        <v>11099</v>
      </c>
      <c r="F2267" s="8"/>
      <c r="G2267" s="8" t="s">
        <v>31</v>
      </c>
      <c r="H2267" s="8" t="s">
        <v>167</v>
      </c>
      <c r="I2267" s="8" t="s">
        <v>127</v>
      </c>
      <c r="J2267" s="8" t="s">
        <v>363</v>
      </c>
      <c r="K2267" s="10" t="s">
        <v>10746</v>
      </c>
      <c r="L2267" s="8" t="s">
        <v>58</v>
      </c>
      <c r="M2267" s="8" t="s">
        <v>35</v>
      </c>
      <c r="N2267" s="11">
        <v>45078.0</v>
      </c>
      <c r="O2267" s="11">
        <v>45115.0</v>
      </c>
      <c r="P2267" s="11">
        <v>45157.0</v>
      </c>
      <c r="Q2267" s="11">
        <v>45116.0</v>
      </c>
      <c r="R2267" s="11">
        <v>45157.0</v>
      </c>
      <c r="S2267" s="12"/>
      <c r="T2267" s="8"/>
      <c r="U2267" s="8" t="s">
        <v>161</v>
      </c>
      <c r="V2267" s="13" t="s">
        <v>38</v>
      </c>
      <c r="W2267" s="13" t="s">
        <v>11100</v>
      </c>
      <c r="X2267" s="12"/>
      <c r="Y2267" s="14"/>
      <c r="Z2267" s="14"/>
    </row>
    <row r="2268">
      <c r="A2268" s="8" t="s">
        <v>11101</v>
      </c>
      <c r="B2268" s="8" t="s">
        <v>11102</v>
      </c>
      <c r="C2268" s="8" t="s">
        <v>251</v>
      </c>
      <c r="D2268" s="8" t="s">
        <v>26</v>
      </c>
      <c r="E2268" s="8" t="s">
        <v>11103</v>
      </c>
      <c r="F2268" s="8">
        <v>5.355971725E9</v>
      </c>
      <c r="G2268" s="8" t="s">
        <v>31</v>
      </c>
      <c r="H2268" s="8" t="s">
        <v>111</v>
      </c>
      <c r="I2268" s="8" t="s">
        <v>44</v>
      </c>
      <c r="J2268" s="8" t="s">
        <v>3093</v>
      </c>
      <c r="K2268" s="10" t="s">
        <v>11104</v>
      </c>
      <c r="L2268" s="8" t="s">
        <v>58</v>
      </c>
      <c r="M2268" s="8" t="s">
        <v>35</v>
      </c>
      <c r="N2268" s="11">
        <v>45078.0</v>
      </c>
      <c r="O2268" s="11">
        <v>45170.0</v>
      </c>
      <c r="P2268" s="11">
        <v>45214.0</v>
      </c>
      <c r="Q2268" s="11"/>
      <c r="R2268" s="11"/>
      <c r="S2268" s="12"/>
      <c r="T2268" s="8"/>
      <c r="U2268" s="8" t="s">
        <v>371</v>
      </c>
      <c r="V2268" s="13" t="s">
        <v>77</v>
      </c>
      <c r="W2268" s="13" t="s">
        <v>11105</v>
      </c>
      <c r="X2268" s="12"/>
      <c r="Y2268" s="14"/>
      <c r="Z2268" s="14"/>
    </row>
    <row r="2269">
      <c r="A2269" s="8" t="s">
        <v>11106</v>
      </c>
      <c r="B2269" s="8" t="s">
        <v>5291</v>
      </c>
      <c r="C2269" s="8" t="s">
        <v>179</v>
      </c>
      <c r="D2269" s="8" t="s">
        <v>26</v>
      </c>
      <c r="E2269" s="8" t="s">
        <v>11107</v>
      </c>
      <c r="F2269" s="8">
        <v>2.7106629E7</v>
      </c>
      <c r="G2269" s="8" t="s">
        <v>54</v>
      </c>
      <c r="H2269" s="8" t="s">
        <v>135</v>
      </c>
      <c r="I2269" s="8" t="s">
        <v>31</v>
      </c>
      <c r="J2269" s="8" t="s">
        <v>86</v>
      </c>
      <c r="K2269" s="10" t="s">
        <v>5293</v>
      </c>
      <c r="L2269" s="8" t="s">
        <v>34</v>
      </c>
      <c r="M2269" s="8" t="s">
        <v>35</v>
      </c>
      <c r="N2269" s="11">
        <v>45078.0</v>
      </c>
      <c r="O2269" s="11">
        <v>45117.0</v>
      </c>
      <c r="P2269" s="11">
        <v>45200.0</v>
      </c>
      <c r="Q2269" s="11"/>
      <c r="R2269" s="11"/>
      <c r="S2269" s="12"/>
      <c r="T2269" s="8" t="s">
        <v>121</v>
      </c>
      <c r="U2269" s="8" t="s">
        <v>5294</v>
      </c>
      <c r="V2269" s="13" t="s">
        <v>138</v>
      </c>
      <c r="W2269" s="13" t="s">
        <v>11108</v>
      </c>
      <c r="X2269" s="12"/>
      <c r="Y2269" s="14"/>
      <c r="Z2269" s="14"/>
    </row>
    <row r="2270">
      <c r="A2270" s="8" t="s">
        <v>11109</v>
      </c>
      <c r="B2270" s="8" t="s">
        <v>11110</v>
      </c>
      <c r="C2270" s="8" t="s">
        <v>25</v>
      </c>
      <c r="D2270" s="8" t="s">
        <v>26</v>
      </c>
      <c r="E2270" s="8" t="s">
        <v>11111</v>
      </c>
      <c r="F2270" s="8">
        <v>7.778507636E9</v>
      </c>
      <c r="G2270" s="8" t="s">
        <v>496</v>
      </c>
      <c r="H2270" s="8" t="s">
        <v>2112</v>
      </c>
      <c r="I2270" s="8" t="s">
        <v>31</v>
      </c>
      <c r="J2270" s="8" t="s">
        <v>167</v>
      </c>
      <c r="K2270" s="10" t="s">
        <v>5849</v>
      </c>
      <c r="L2270" s="8" t="s">
        <v>58</v>
      </c>
      <c r="M2270" s="8" t="s">
        <v>35</v>
      </c>
      <c r="N2270" s="11">
        <v>45078.0</v>
      </c>
      <c r="O2270" s="11">
        <v>45124.0</v>
      </c>
      <c r="P2270" s="11">
        <v>45166.0</v>
      </c>
      <c r="Q2270" s="11">
        <v>45119.0</v>
      </c>
      <c r="R2270" s="11">
        <v>45166.0</v>
      </c>
      <c r="S2270" s="12"/>
      <c r="T2270" s="8"/>
      <c r="U2270" s="8" t="s">
        <v>59</v>
      </c>
      <c r="V2270" s="13" t="s">
        <v>2776</v>
      </c>
      <c r="W2270" s="13" t="s">
        <v>11112</v>
      </c>
      <c r="X2270" s="12"/>
      <c r="Y2270" s="14"/>
      <c r="Z2270" s="14"/>
    </row>
    <row r="2271">
      <c r="A2271" s="8" t="s">
        <v>11113</v>
      </c>
      <c r="B2271" s="8" t="s">
        <v>11114</v>
      </c>
      <c r="C2271" s="8" t="s">
        <v>251</v>
      </c>
      <c r="D2271" s="8" t="s">
        <v>26</v>
      </c>
      <c r="E2271" s="8" t="s">
        <v>11115</v>
      </c>
      <c r="F2271" s="8">
        <v>5.320570872E9</v>
      </c>
      <c r="G2271" s="8" t="s">
        <v>31</v>
      </c>
      <c r="H2271" s="8" t="s">
        <v>56</v>
      </c>
      <c r="I2271" s="8" t="s">
        <v>221</v>
      </c>
      <c r="J2271" s="8" t="s">
        <v>222</v>
      </c>
      <c r="K2271" s="10" t="s">
        <v>11116</v>
      </c>
      <c r="L2271" s="8" t="s">
        <v>58</v>
      </c>
      <c r="M2271" s="8" t="s">
        <v>35</v>
      </c>
      <c r="N2271" s="11">
        <v>45078.0</v>
      </c>
      <c r="O2271" s="11">
        <v>45091.0</v>
      </c>
      <c r="P2271" s="11">
        <v>45133.0</v>
      </c>
      <c r="Q2271" s="11"/>
      <c r="R2271" s="11"/>
      <c r="S2271" s="12"/>
      <c r="T2271" s="8"/>
      <c r="U2271" s="8" t="s">
        <v>88</v>
      </c>
      <c r="V2271" s="13" t="s">
        <v>56</v>
      </c>
      <c r="W2271" s="13" t="s">
        <v>11117</v>
      </c>
      <c r="X2271" s="12"/>
      <c r="Y2271" s="14"/>
      <c r="Z2271" s="14"/>
    </row>
    <row r="2272">
      <c r="A2272" s="8" t="s">
        <v>11118</v>
      </c>
      <c r="B2272" s="8" t="s">
        <v>11119</v>
      </c>
      <c r="C2272" s="8" t="s">
        <v>25</v>
      </c>
      <c r="D2272" s="8" t="s">
        <v>26</v>
      </c>
      <c r="E2272" s="8" t="s">
        <v>11120</v>
      </c>
      <c r="F2272" s="8">
        <v>5.336870422E9</v>
      </c>
      <c r="G2272" s="8" t="s">
        <v>31</v>
      </c>
      <c r="H2272" s="8" t="s">
        <v>56</v>
      </c>
      <c r="I2272" s="8" t="s">
        <v>127</v>
      </c>
      <c r="J2272" s="8" t="s">
        <v>9028</v>
      </c>
      <c r="K2272" s="10" t="s">
        <v>11121</v>
      </c>
      <c r="L2272" s="8" t="s">
        <v>58</v>
      </c>
      <c r="M2272" s="8" t="s">
        <v>35</v>
      </c>
      <c r="N2272" s="11">
        <v>45078.0</v>
      </c>
      <c r="O2272" s="11">
        <v>45103.0</v>
      </c>
      <c r="P2272" s="11">
        <v>45145.0</v>
      </c>
      <c r="Q2272" s="11">
        <v>45103.0</v>
      </c>
      <c r="R2272" s="11">
        <v>45145.0</v>
      </c>
      <c r="S2272" s="12"/>
      <c r="T2272" s="8"/>
      <c r="U2272" s="8" t="s">
        <v>59</v>
      </c>
      <c r="V2272" s="13" t="s">
        <v>56</v>
      </c>
      <c r="W2272" s="13" t="s">
        <v>11122</v>
      </c>
      <c r="X2272" s="12"/>
      <c r="Y2272" s="14"/>
      <c r="Z2272" s="14"/>
    </row>
    <row r="2273">
      <c r="A2273" s="8" t="s">
        <v>11123</v>
      </c>
      <c r="B2273" s="8" t="s">
        <v>11124</v>
      </c>
      <c r="C2273" s="8" t="s">
        <v>64</v>
      </c>
      <c r="D2273" s="8" t="s">
        <v>26</v>
      </c>
      <c r="E2273" s="8" t="s">
        <v>11125</v>
      </c>
      <c r="F2273" s="8">
        <v>1.121412476E9</v>
      </c>
      <c r="G2273" s="8" t="s">
        <v>284</v>
      </c>
      <c r="H2273" s="8" t="s">
        <v>1450</v>
      </c>
      <c r="I2273" s="8" t="s">
        <v>31</v>
      </c>
      <c r="J2273" s="8" t="s">
        <v>256</v>
      </c>
      <c r="K2273" s="10" t="s">
        <v>4203</v>
      </c>
      <c r="L2273" s="8" t="s">
        <v>58</v>
      </c>
      <c r="M2273" s="8" t="s">
        <v>35</v>
      </c>
      <c r="N2273" s="11">
        <v>45079.0</v>
      </c>
      <c r="O2273" s="11">
        <v>45140.0</v>
      </c>
      <c r="P2273" s="11">
        <v>45182.0</v>
      </c>
      <c r="Q2273" s="11">
        <v>45140.0</v>
      </c>
      <c r="R2273" s="11">
        <v>45182.0</v>
      </c>
      <c r="S2273" s="12"/>
      <c r="T2273" s="8"/>
      <c r="U2273" s="8" t="s">
        <v>59</v>
      </c>
      <c r="V2273" s="13" t="s">
        <v>7608</v>
      </c>
      <c r="W2273" s="13" t="s">
        <v>11126</v>
      </c>
      <c r="X2273" s="12"/>
      <c r="Y2273" s="14"/>
      <c r="Z2273" s="14"/>
    </row>
    <row r="2274">
      <c r="A2274" s="8" t="s">
        <v>11127</v>
      </c>
      <c r="B2274" s="8" t="s">
        <v>11128</v>
      </c>
      <c r="C2274" s="8" t="s">
        <v>25</v>
      </c>
      <c r="D2274" s="8" t="s">
        <v>26</v>
      </c>
      <c r="E2274" s="8" t="s">
        <v>11129</v>
      </c>
      <c r="F2274" s="8">
        <v>5.0853589E7</v>
      </c>
      <c r="G2274" s="8" t="s">
        <v>54</v>
      </c>
      <c r="H2274" s="8" t="s">
        <v>377</v>
      </c>
      <c r="I2274" s="8" t="s">
        <v>31</v>
      </c>
      <c r="J2274" s="8" t="s">
        <v>43</v>
      </c>
      <c r="K2274" s="10" t="s">
        <v>10002</v>
      </c>
      <c r="L2274" s="8" t="s">
        <v>58</v>
      </c>
      <c r="M2274" s="8" t="s">
        <v>35</v>
      </c>
      <c r="N2274" s="11">
        <v>45079.0</v>
      </c>
      <c r="O2274" s="11">
        <v>45159.0</v>
      </c>
      <c r="P2274" s="11">
        <v>45205.0</v>
      </c>
      <c r="Q2274" s="11">
        <v>45171.0</v>
      </c>
      <c r="R2274" s="11">
        <v>45218.0</v>
      </c>
      <c r="S2274" s="12"/>
      <c r="T2274" s="8"/>
      <c r="U2274" s="8" t="s">
        <v>59</v>
      </c>
      <c r="V2274" s="13" t="s">
        <v>1604</v>
      </c>
      <c r="W2274" s="13" t="s">
        <v>11130</v>
      </c>
      <c r="X2274" s="12"/>
      <c r="Y2274" s="14"/>
      <c r="Z2274" s="14"/>
    </row>
    <row r="2275">
      <c r="A2275" s="8" t="s">
        <v>11131</v>
      </c>
      <c r="B2275" s="8" t="s">
        <v>11132</v>
      </c>
      <c r="C2275" s="8" t="s">
        <v>25</v>
      </c>
      <c r="D2275" s="8" t="s">
        <v>26</v>
      </c>
      <c r="E2275" s="8" t="s">
        <v>11133</v>
      </c>
      <c r="F2275" s="8">
        <v>2.9160486E7</v>
      </c>
      <c r="G2275" s="8" t="s">
        <v>54</v>
      </c>
      <c r="H2275" s="8" t="s">
        <v>135</v>
      </c>
      <c r="I2275" s="8" t="s">
        <v>31</v>
      </c>
      <c r="J2275" s="8" t="s">
        <v>43</v>
      </c>
      <c r="K2275" s="10" t="s">
        <v>10232</v>
      </c>
      <c r="L2275" s="8" t="s">
        <v>58</v>
      </c>
      <c r="M2275" s="8" t="s">
        <v>35</v>
      </c>
      <c r="N2275" s="11">
        <v>45079.0</v>
      </c>
      <c r="O2275" s="11">
        <v>45092.0</v>
      </c>
      <c r="P2275" s="11">
        <v>45138.0</v>
      </c>
      <c r="Q2275" s="11">
        <v>45090.0</v>
      </c>
      <c r="R2275" s="11">
        <v>45138.0</v>
      </c>
      <c r="S2275" s="12"/>
      <c r="T2275" s="8"/>
      <c r="U2275" s="8" t="s">
        <v>130</v>
      </c>
      <c r="V2275" s="13" t="s">
        <v>352</v>
      </c>
      <c r="W2275" s="13" t="s">
        <v>11134</v>
      </c>
      <c r="X2275" s="12"/>
      <c r="Y2275" s="14"/>
      <c r="Z2275" s="14"/>
    </row>
    <row r="2276">
      <c r="A2276" s="8" t="s">
        <v>11135</v>
      </c>
      <c r="B2276" s="8" t="s">
        <v>11136</v>
      </c>
      <c r="C2276" s="8" t="s">
        <v>179</v>
      </c>
      <c r="D2276" s="8" t="s">
        <v>26</v>
      </c>
      <c r="E2276" s="8" t="s">
        <v>11137</v>
      </c>
      <c r="F2276" s="8">
        <v>5.303079676E9</v>
      </c>
      <c r="G2276" s="8" t="s">
        <v>31</v>
      </c>
      <c r="H2276" s="8" t="s">
        <v>43</v>
      </c>
      <c r="I2276" s="8" t="s">
        <v>284</v>
      </c>
      <c r="J2276" s="8" t="s">
        <v>1287</v>
      </c>
      <c r="K2276" s="10" t="s">
        <v>9479</v>
      </c>
      <c r="L2276" s="8" t="s">
        <v>58</v>
      </c>
      <c r="M2276" s="8" t="s">
        <v>35</v>
      </c>
      <c r="N2276" s="11">
        <v>45079.0</v>
      </c>
      <c r="O2276" s="11">
        <v>45112.0</v>
      </c>
      <c r="P2276" s="11">
        <v>45154.0</v>
      </c>
      <c r="Q2276" s="11"/>
      <c r="R2276" s="11"/>
      <c r="S2276" s="12"/>
      <c r="T2276" s="8"/>
      <c r="U2276" s="8" t="s">
        <v>59</v>
      </c>
      <c r="V2276" s="13" t="s">
        <v>43</v>
      </c>
      <c r="W2276" s="13" t="s">
        <v>11138</v>
      </c>
      <c r="X2276" s="12"/>
      <c r="Y2276" s="14"/>
      <c r="Z2276" s="14"/>
    </row>
    <row r="2277">
      <c r="A2277" s="8" t="s">
        <v>11139</v>
      </c>
      <c r="B2277" s="8" t="s">
        <v>11140</v>
      </c>
      <c r="C2277" s="8" t="s">
        <v>251</v>
      </c>
      <c r="D2277" s="8" t="s">
        <v>26</v>
      </c>
      <c r="E2277" s="8" t="s">
        <v>11141</v>
      </c>
      <c r="F2277" s="8">
        <v>6.983721387E9</v>
      </c>
      <c r="G2277" s="8" t="s">
        <v>143</v>
      </c>
      <c r="H2277" s="8" t="s">
        <v>11026</v>
      </c>
      <c r="I2277" s="8" t="s">
        <v>31</v>
      </c>
      <c r="J2277" s="8" t="s">
        <v>43</v>
      </c>
      <c r="K2277" s="10" t="s">
        <v>8867</v>
      </c>
      <c r="L2277" s="8" t="s">
        <v>58</v>
      </c>
      <c r="M2277" s="8" t="s">
        <v>35</v>
      </c>
      <c r="N2277" s="11">
        <v>45079.0</v>
      </c>
      <c r="O2277" s="11">
        <v>45194.0</v>
      </c>
      <c r="P2277" s="11">
        <v>45240.0</v>
      </c>
      <c r="Q2277" s="11"/>
      <c r="R2277" s="11"/>
      <c r="S2277" s="12"/>
      <c r="T2277" s="8"/>
      <c r="U2277" s="8" t="s">
        <v>130</v>
      </c>
      <c r="V2277" s="13" t="s">
        <v>38</v>
      </c>
      <c r="W2277" s="13" t="s">
        <v>11142</v>
      </c>
      <c r="X2277" s="12"/>
      <c r="Y2277" s="14"/>
      <c r="Z2277" s="14"/>
    </row>
    <row r="2278">
      <c r="A2278" s="8" t="s">
        <v>11143</v>
      </c>
      <c r="B2278" s="8" t="s">
        <v>11144</v>
      </c>
      <c r="C2278" s="8" t="s">
        <v>64</v>
      </c>
      <c r="D2278" s="8" t="s">
        <v>26</v>
      </c>
      <c r="E2278" s="8" t="s">
        <v>11145</v>
      </c>
      <c r="F2278" s="8">
        <v>6.2518143E7</v>
      </c>
      <c r="G2278" s="8" t="s">
        <v>407</v>
      </c>
      <c r="H2278" s="8" t="s">
        <v>408</v>
      </c>
      <c r="I2278" s="8" t="s">
        <v>31</v>
      </c>
      <c r="J2278" s="8" t="s">
        <v>111</v>
      </c>
      <c r="K2278" s="10" t="s">
        <v>345</v>
      </c>
      <c r="L2278" s="8" t="s">
        <v>58</v>
      </c>
      <c r="M2278" s="8" t="s">
        <v>35</v>
      </c>
      <c r="N2278" s="11">
        <v>45079.0</v>
      </c>
      <c r="O2278" s="11">
        <v>45187.0</v>
      </c>
      <c r="P2278" s="11">
        <v>45229.0</v>
      </c>
      <c r="Q2278" s="11">
        <v>45188.0</v>
      </c>
      <c r="R2278" s="11">
        <v>45229.0</v>
      </c>
      <c r="S2278" s="12"/>
      <c r="T2278" s="8"/>
      <c r="U2278" s="8" t="s">
        <v>59</v>
      </c>
      <c r="V2278" s="13" t="s">
        <v>410</v>
      </c>
      <c r="W2278" s="13" t="s">
        <v>11146</v>
      </c>
      <c r="X2278" s="12"/>
      <c r="Y2278" s="14"/>
      <c r="Z2278" s="14"/>
    </row>
    <row r="2279">
      <c r="A2279" s="8" t="s">
        <v>11147</v>
      </c>
      <c r="B2279" s="8" t="s">
        <v>11148</v>
      </c>
      <c r="C2279" s="8" t="s">
        <v>179</v>
      </c>
      <c r="D2279" s="8" t="s">
        <v>26</v>
      </c>
      <c r="E2279" s="8" t="s">
        <v>11149</v>
      </c>
      <c r="F2279" s="8">
        <v>5.319167313E9</v>
      </c>
      <c r="G2279" s="8" t="s">
        <v>31</v>
      </c>
      <c r="H2279" s="8" t="s">
        <v>86</v>
      </c>
      <c r="I2279" s="8" t="s">
        <v>6352</v>
      </c>
      <c r="J2279" s="8" t="s">
        <v>6353</v>
      </c>
      <c r="K2279" s="10" t="s">
        <v>9693</v>
      </c>
      <c r="L2279" s="8" t="s">
        <v>58</v>
      </c>
      <c r="M2279" s="8" t="s">
        <v>35</v>
      </c>
      <c r="N2279" s="11">
        <v>45079.0</v>
      </c>
      <c r="O2279" s="11">
        <v>45159.0</v>
      </c>
      <c r="P2279" s="11">
        <v>45201.0</v>
      </c>
      <c r="Q2279" s="11"/>
      <c r="R2279" s="11"/>
      <c r="S2279" s="12"/>
      <c r="T2279" s="8"/>
      <c r="U2279" s="8" t="s">
        <v>1038</v>
      </c>
      <c r="V2279" s="13" t="s">
        <v>175</v>
      </c>
      <c r="W2279" s="13" t="s">
        <v>11150</v>
      </c>
      <c r="X2279" s="12"/>
      <c r="Y2279" s="14"/>
      <c r="Z2279" s="14"/>
    </row>
    <row r="2280">
      <c r="A2280" s="8" t="s">
        <v>11151</v>
      </c>
      <c r="B2280" s="8" t="s">
        <v>11152</v>
      </c>
      <c r="C2280" s="8" t="s">
        <v>25</v>
      </c>
      <c r="D2280" s="8" t="s">
        <v>26</v>
      </c>
      <c r="E2280" s="8" t="s">
        <v>11153</v>
      </c>
      <c r="F2280" s="8"/>
      <c r="G2280" s="8" t="s">
        <v>31</v>
      </c>
      <c r="H2280" s="8" t="s">
        <v>56</v>
      </c>
      <c r="I2280" s="8" t="s">
        <v>44</v>
      </c>
      <c r="J2280" s="8" t="s">
        <v>1993</v>
      </c>
      <c r="K2280" s="10" t="s">
        <v>6206</v>
      </c>
      <c r="L2280" s="8" t="s">
        <v>58</v>
      </c>
      <c r="M2280" s="8" t="s">
        <v>35</v>
      </c>
      <c r="N2280" s="11">
        <v>45079.0</v>
      </c>
      <c r="O2280" s="11">
        <v>45108.0</v>
      </c>
      <c r="P2280" s="11">
        <v>45150.0</v>
      </c>
      <c r="Q2280" s="11">
        <v>45108.0</v>
      </c>
      <c r="R2280" s="11">
        <v>45150.0</v>
      </c>
      <c r="S2280" s="12"/>
      <c r="T2280" s="8"/>
      <c r="U2280" s="8" t="s">
        <v>153</v>
      </c>
      <c r="V2280" s="13" t="s">
        <v>38</v>
      </c>
      <c r="W2280" s="13" t="s">
        <v>11154</v>
      </c>
      <c r="X2280" s="12"/>
      <c r="Y2280" s="14"/>
      <c r="Z2280" s="14"/>
    </row>
    <row r="2281">
      <c r="A2281" s="8" t="s">
        <v>11155</v>
      </c>
      <c r="B2281" s="8" t="s">
        <v>11156</v>
      </c>
      <c r="C2281" s="8" t="s">
        <v>251</v>
      </c>
      <c r="D2281" s="8" t="s">
        <v>26</v>
      </c>
      <c r="E2281" s="8" t="s">
        <v>11157</v>
      </c>
      <c r="F2281" s="8">
        <v>5.416587313E9</v>
      </c>
      <c r="G2281" s="8" t="s">
        <v>31</v>
      </c>
      <c r="H2281" s="8" t="s">
        <v>56</v>
      </c>
      <c r="I2281" s="8" t="s">
        <v>143</v>
      </c>
      <c r="J2281" s="8" t="s">
        <v>1478</v>
      </c>
      <c r="K2281" s="10" t="s">
        <v>5772</v>
      </c>
      <c r="L2281" s="8" t="s">
        <v>58</v>
      </c>
      <c r="M2281" s="8" t="s">
        <v>35</v>
      </c>
      <c r="N2281" s="11">
        <v>45079.0</v>
      </c>
      <c r="O2281" s="11">
        <v>45103.0</v>
      </c>
      <c r="P2281" s="11">
        <v>45145.0</v>
      </c>
      <c r="Q2281" s="11"/>
      <c r="R2281" s="11"/>
      <c r="S2281" s="12"/>
      <c r="T2281" s="8"/>
      <c r="U2281" s="8" t="s">
        <v>59</v>
      </c>
      <c r="V2281" s="13" t="s">
        <v>56</v>
      </c>
      <c r="W2281" s="13" t="s">
        <v>11158</v>
      </c>
      <c r="X2281" s="12"/>
      <c r="Y2281" s="14"/>
      <c r="Z2281" s="14"/>
    </row>
    <row r="2282">
      <c r="A2282" s="8" t="s">
        <v>11159</v>
      </c>
      <c r="B2282" s="8" t="s">
        <v>11160</v>
      </c>
      <c r="C2282" s="8" t="s">
        <v>708</v>
      </c>
      <c r="D2282" s="8" t="s">
        <v>26</v>
      </c>
      <c r="E2282" s="8" t="s">
        <v>11161</v>
      </c>
      <c r="F2282" s="8"/>
      <c r="G2282" s="8" t="s">
        <v>84</v>
      </c>
      <c r="H2282" s="8" t="s">
        <v>10317</v>
      </c>
      <c r="I2282" s="8" t="s">
        <v>31</v>
      </c>
      <c r="J2282" s="8" t="s">
        <v>56</v>
      </c>
      <c r="K2282" s="10" t="s">
        <v>9611</v>
      </c>
      <c r="L2282" s="8" t="s">
        <v>34</v>
      </c>
      <c r="M2282" s="8" t="s">
        <v>70</v>
      </c>
      <c r="N2282" s="11">
        <v>45079.0</v>
      </c>
      <c r="O2282" s="11">
        <v>45076.0</v>
      </c>
      <c r="P2282" s="11">
        <v>45436.0</v>
      </c>
      <c r="Q2282" s="11">
        <v>45109.0</v>
      </c>
      <c r="R2282" s="11">
        <v>45501.0</v>
      </c>
      <c r="S2282" s="12"/>
      <c r="T2282" s="8" t="s">
        <v>121</v>
      </c>
      <c r="U2282" s="8" t="s">
        <v>9612</v>
      </c>
      <c r="V2282" s="13" t="s">
        <v>38</v>
      </c>
      <c r="W2282" s="13" t="s">
        <v>11162</v>
      </c>
      <c r="X2282" s="12"/>
      <c r="Y2282" s="14"/>
      <c r="Z2282" s="14"/>
    </row>
    <row r="2283">
      <c r="A2283" s="8" t="s">
        <v>11163</v>
      </c>
      <c r="B2283" s="8" t="s">
        <v>11164</v>
      </c>
      <c r="C2283" s="8" t="s">
        <v>179</v>
      </c>
      <c r="D2283" s="8" t="s">
        <v>26</v>
      </c>
      <c r="E2283" s="8" t="s">
        <v>11165</v>
      </c>
      <c r="F2283" s="8">
        <v>5.8151641E7</v>
      </c>
      <c r="G2283" s="8" t="s">
        <v>54</v>
      </c>
      <c r="H2283" s="8" t="s">
        <v>377</v>
      </c>
      <c r="I2283" s="8" t="s">
        <v>31</v>
      </c>
      <c r="J2283" s="8" t="s">
        <v>43</v>
      </c>
      <c r="K2283" s="10" t="s">
        <v>11166</v>
      </c>
      <c r="L2283" s="8" t="s">
        <v>58</v>
      </c>
      <c r="M2283" s="8" t="s">
        <v>35</v>
      </c>
      <c r="N2283" s="11">
        <v>45080.0</v>
      </c>
      <c r="O2283" s="11">
        <v>45138.0</v>
      </c>
      <c r="P2283" s="11">
        <v>45184.0</v>
      </c>
      <c r="Q2283" s="11"/>
      <c r="R2283" s="11"/>
      <c r="S2283" s="12"/>
      <c r="T2283" s="8"/>
      <c r="U2283" s="8" t="s">
        <v>59</v>
      </c>
      <c r="V2283" s="13" t="s">
        <v>1604</v>
      </c>
      <c r="W2283" s="13" t="s">
        <v>11167</v>
      </c>
      <c r="X2283" s="12"/>
      <c r="Y2283" s="14"/>
      <c r="Z2283" s="14"/>
    </row>
    <row r="2284">
      <c r="A2284" s="8" t="s">
        <v>11168</v>
      </c>
      <c r="B2284" s="8" t="s">
        <v>11169</v>
      </c>
      <c r="C2284" s="8" t="s">
        <v>179</v>
      </c>
      <c r="D2284" s="8" t="s">
        <v>26</v>
      </c>
      <c r="E2284" s="8" t="s">
        <v>11170</v>
      </c>
      <c r="F2284" s="8">
        <v>9.3098489E7</v>
      </c>
      <c r="G2284" s="8" t="s">
        <v>54</v>
      </c>
      <c r="H2284" s="8" t="s">
        <v>377</v>
      </c>
      <c r="I2284" s="8" t="s">
        <v>31</v>
      </c>
      <c r="J2284" s="8" t="s">
        <v>167</v>
      </c>
      <c r="K2284" s="10" t="s">
        <v>10810</v>
      </c>
      <c r="L2284" s="8" t="s">
        <v>58</v>
      </c>
      <c r="M2284" s="8" t="s">
        <v>35</v>
      </c>
      <c r="N2284" s="11">
        <v>45080.0</v>
      </c>
      <c r="O2284" s="11">
        <v>45110.0</v>
      </c>
      <c r="P2284" s="11">
        <v>45152.0</v>
      </c>
      <c r="Q2284" s="11"/>
      <c r="R2284" s="11"/>
      <c r="S2284" s="12"/>
      <c r="T2284" s="8"/>
      <c r="U2284" s="8" t="s">
        <v>59</v>
      </c>
      <c r="V2284" s="13" t="s">
        <v>1604</v>
      </c>
      <c r="W2284" s="13" t="s">
        <v>11171</v>
      </c>
      <c r="X2284" s="12"/>
      <c r="Y2284" s="14"/>
      <c r="Z2284" s="14"/>
    </row>
    <row r="2285">
      <c r="A2285" s="8" t="s">
        <v>11172</v>
      </c>
      <c r="B2285" s="8" t="s">
        <v>11173</v>
      </c>
      <c r="C2285" s="8" t="s">
        <v>25</v>
      </c>
      <c r="D2285" s="8" t="s">
        <v>26</v>
      </c>
      <c r="E2285" s="8" t="s">
        <v>11174</v>
      </c>
      <c r="F2285" s="8"/>
      <c r="G2285" s="8" t="s">
        <v>54</v>
      </c>
      <c r="H2285" s="8" t="s">
        <v>76</v>
      </c>
      <c r="I2285" s="8" t="s">
        <v>31</v>
      </c>
      <c r="J2285" s="8" t="s">
        <v>86</v>
      </c>
      <c r="K2285" s="10" t="s">
        <v>87</v>
      </c>
      <c r="L2285" s="8" t="s">
        <v>58</v>
      </c>
      <c r="M2285" s="8" t="s">
        <v>35</v>
      </c>
      <c r="N2285" s="11">
        <v>45080.0</v>
      </c>
      <c r="O2285" s="11">
        <v>45097.0</v>
      </c>
      <c r="P2285" s="11">
        <v>45139.0</v>
      </c>
      <c r="Q2285" s="11">
        <v>45104.0</v>
      </c>
      <c r="R2285" s="11">
        <v>45144.0</v>
      </c>
      <c r="S2285" s="12"/>
      <c r="T2285" s="8"/>
      <c r="U2285" s="8" t="s">
        <v>88</v>
      </c>
      <c r="V2285" s="13" t="s">
        <v>38</v>
      </c>
      <c r="W2285" s="13" t="s">
        <v>11175</v>
      </c>
      <c r="X2285" s="12"/>
      <c r="Y2285" s="14"/>
      <c r="Z2285" s="14"/>
    </row>
    <row r="2286">
      <c r="A2286" s="8" t="s">
        <v>11176</v>
      </c>
      <c r="B2286" s="8" t="s">
        <v>11177</v>
      </c>
      <c r="C2286" s="8" t="s">
        <v>25</v>
      </c>
      <c r="D2286" s="8" t="s">
        <v>26</v>
      </c>
      <c r="E2286" s="8" t="s">
        <v>11178</v>
      </c>
      <c r="F2286" s="8">
        <v>5.532221727E9</v>
      </c>
      <c r="G2286" s="8" t="s">
        <v>31</v>
      </c>
      <c r="H2286" s="8" t="s">
        <v>56</v>
      </c>
      <c r="I2286" s="8" t="s">
        <v>127</v>
      </c>
      <c r="J2286" s="8" t="s">
        <v>128</v>
      </c>
      <c r="K2286" s="10" t="s">
        <v>11179</v>
      </c>
      <c r="L2286" s="8" t="s">
        <v>58</v>
      </c>
      <c r="M2286" s="8" t="s">
        <v>35</v>
      </c>
      <c r="N2286" s="11">
        <v>45080.0</v>
      </c>
      <c r="O2286" s="11">
        <v>45096.0</v>
      </c>
      <c r="P2286" s="11">
        <v>45138.0</v>
      </c>
      <c r="Q2286" s="11">
        <v>45096.0</v>
      </c>
      <c r="R2286" s="11">
        <v>45138.0</v>
      </c>
      <c r="S2286" s="12"/>
      <c r="T2286" s="8"/>
      <c r="U2286" s="8" t="s">
        <v>185</v>
      </c>
      <c r="V2286" s="13" t="s">
        <v>56</v>
      </c>
      <c r="W2286" s="13" t="s">
        <v>11180</v>
      </c>
      <c r="X2286" s="12"/>
      <c r="Y2286" s="14"/>
      <c r="Z2286" s="14"/>
    </row>
    <row r="2287">
      <c r="A2287" s="8" t="s">
        <v>11181</v>
      </c>
      <c r="B2287" s="8" t="s">
        <v>11182</v>
      </c>
      <c r="C2287" s="8" t="s">
        <v>25</v>
      </c>
      <c r="D2287" s="8" t="s">
        <v>26</v>
      </c>
      <c r="E2287" s="8" t="s">
        <v>11183</v>
      </c>
      <c r="F2287" s="8">
        <v>5.428121937E9</v>
      </c>
      <c r="G2287" s="8" t="s">
        <v>31</v>
      </c>
      <c r="H2287" s="8" t="s">
        <v>86</v>
      </c>
      <c r="I2287" s="8" t="s">
        <v>54</v>
      </c>
      <c r="J2287" s="8" t="s">
        <v>237</v>
      </c>
      <c r="K2287" s="10" t="s">
        <v>11184</v>
      </c>
      <c r="L2287" s="8" t="s">
        <v>58</v>
      </c>
      <c r="M2287" s="8" t="s">
        <v>35</v>
      </c>
      <c r="N2287" s="11">
        <v>45080.0</v>
      </c>
      <c r="O2287" s="11">
        <v>45190.0</v>
      </c>
      <c r="P2287" s="11">
        <v>45232.0</v>
      </c>
      <c r="Q2287" s="11">
        <v>45189.0</v>
      </c>
      <c r="R2287" s="11">
        <v>45232.0</v>
      </c>
      <c r="S2287" s="12"/>
      <c r="T2287" s="8"/>
      <c r="U2287" s="8" t="s">
        <v>161</v>
      </c>
      <c r="V2287" s="13" t="s">
        <v>175</v>
      </c>
      <c r="W2287" s="13" t="s">
        <v>11185</v>
      </c>
      <c r="X2287" s="12"/>
      <c r="Y2287" s="14"/>
      <c r="Z2287" s="14"/>
    </row>
    <row r="2288">
      <c r="A2288" s="8" t="s">
        <v>11186</v>
      </c>
      <c r="B2288" s="8" t="s">
        <v>11187</v>
      </c>
      <c r="C2288" s="8" t="s">
        <v>25</v>
      </c>
      <c r="D2288" s="8" t="s">
        <v>26</v>
      </c>
      <c r="E2288" s="8" t="s">
        <v>11188</v>
      </c>
      <c r="F2288" s="8">
        <v>5.076330826E9</v>
      </c>
      <c r="G2288" s="8" t="s">
        <v>31</v>
      </c>
      <c r="H2288" s="8" t="s">
        <v>438</v>
      </c>
      <c r="I2288" s="8" t="s">
        <v>127</v>
      </c>
      <c r="J2288" s="8" t="s">
        <v>128</v>
      </c>
      <c r="K2288" s="10" t="s">
        <v>9715</v>
      </c>
      <c r="L2288" s="8" t="s">
        <v>58</v>
      </c>
      <c r="M2288" s="8" t="s">
        <v>35</v>
      </c>
      <c r="N2288" s="11">
        <v>45080.0</v>
      </c>
      <c r="O2288" s="11">
        <v>45096.0</v>
      </c>
      <c r="P2288" s="11">
        <v>45138.0</v>
      </c>
      <c r="Q2288" s="11">
        <v>45099.0</v>
      </c>
      <c r="R2288" s="11">
        <v>45139.0</v>
      </c>
      <c r="S2288" s="12"/>
      <c r="T2288" s="8"/>
      <c r="U2288" s="8" t="s">
        <v>59</v>
      </c>
      <c r="V2288" s="13" t="s">
        <v>438</v>
      </c>
      <c r="W2288" s="13" t="s">
        <v>11189</v>
      </c>
      <c r="X2288" s="12"/>
      <c r="Y2288" s="14"/>
      <c r="Z2288" s="14"/>
    </row>
    <row r="2289">
      <c r="A2289" s="8" t="s">
        <v>11190</v>
      </c>
      <c r="B2289" s="8" t="s">
        <v>11191</v>
      </c>
      <c r="C2289" s="8" t="s">
        <v>179</v>
      </c>
      <c r="D2289" s="8" t="s">
        <v>26</v>
      </c>
      <c r="E2289" s="8" t="s">
        <v>11192</v>
      </c>
      <c r="F2289" s="8">
        <v>5.337892003E9</v>
      </c>
      <c r="G2289" s="8" t="s">
        <v>31</v>
      </c>
      <c r="H2289" s="8" t="s">
        <v>86</v>
      </c>
      <c r="I2289" s="8" t="s">
        <v>399</v>
      </c>
      <c r="J2289" s="8" t="s">
        <v>4868</v>
      </c>
      <c r="K2289" s="10" t="s">
        <v>11193</v>
      </c>
      <c r="L2289" s="8" t="s">
        <v>58</v>
      </c>
      <c r="M2289" s="8" t="s">
        <v>35</v>
      </c>
      <c r="N2289" s="11">
        <v>45080.0</v>
      </c>
      <c r="O2289" s="11">
        <v>45108.0</v>
      </c>
      <c r="P2289" s="11">
        <v>45150.0</v>
      </c>
      <c r="Q2289" s="11"/>
      <c r="R2289" s="11"/>
      <c r="S2289" s="12"/>
      <c r="T2289" s="8"/>
      <c r="U2289" s="8" t="s">
        <v>59</v>
      </c>
      <c r="V2289" s="13" t="s">
        <v>175</v>
      </c>
      <c r="W2289" s="13" t="s">
        <v>11194</v>
      </c>
      <c r="X2289" s="12"/>
      <c r="Y2289" s="14"/>
      <c r="Z2289" s="14"/>
    </row>
    <row r="2290">
      <c r="A2290" s="8" t="s">
        <v>11195</v>
      </c>
      <c r="B2290" s="8" t="s">
        <v>11196</v>
      </c>
      <c r="C2290" s="8" t="s">
        <v>25</v>
      </c>
      <c r="D2290" s="8" t="s">
        <v>26</v>
      </c>
      <c r="E2290" s="8" t="s">
        <v>11197</v>
      </c>
      <c r="F2290" s="8">
        <v>9.399947E7</v>
      </c>
      <c r="G2290" s="8" t="s">
        <v>54</v>
      </c>
      <c r="H2290" s="8" t="s">
        <v>135</v>
      </c>
      <c r="I2290" s="8" t="s">
        <v>31</v>
      </c>
      <c r="J2290" s="8" t="s">
        <v>77</v>
      </c>
      <c r="K2290" s="10" t="s">
        <v>11198</v>
      </c>
      <c r="L2290" s="8" t="s">
        <v>58</v>
      </c>
      <c r="M2290" s="8" t="s">
        <v>35</v>
      </c>
      <c r="N2290" s="11">
        <v>45080.0</v>
      </c>
      <c r="O2290" s="11">
        <v>45110.0</v>
      </c>
      <c r="P2290" s="11">
        <v>45152.0</v>
      </c>
      <c r="Q2290" s="11">
        <v>45110.0</v>
      </c>
      <c r="R2290" s="11">
        <v>45152.0</v>
      </c>
      <c r="S2290" s="12"/>
      <c r="T2290" s="8"/>
      <c r="U2290" s="8" t="s">
        <v>339</v>
      </c>
      <c r="V2290" s="13" t="s">
        <v>190</v>
      </c>
      <c r="W2290" s="13" t="s">
        <v>11199</v>
      </c>
      <c r="X2290" s="12"/>
      <c r="Y2290" s="14"/>
      <c r="Z2290" s="14"/>
    </row>
    <row r="2291">
      <c r="A2291" s="8" t="s">
        <v>11200</v>
      </c>
      <c r="B2291" s="8" t="s">
        <v>11201</v>
      </c>
      <c r="C2291" s="8" t="s">
        <v>708</v>
      </c>
      <c r="D2291" s="8" t="s">
        <v>26</v>
      </c>
      <c r="E2291" s="8" t="s">
        <v>11202</v>
      </c>
      <c r="F2291" s="8">
        <v>2.66520955E8</v>
      </c>
      <c r="G2291" s="8" t="s">
        <v>915</v>
      </c>
      <c r="H2291" s="8" t="s">
        <v>11203</v>
      </c>
      <c r="I2291" s="8" t="s">
        <v>31</v>
      </c>
      <c r="J2291" s="8" t="s">
        <v>77</v>
      </c>
      <c r="K2291" s="10" t="s">
        <v>11204</v>
      </c>
      <c r="L2291" s="8" t="s">
        <v>47</v>
      </c>
      <c r="M2291" s="8" t="s">
        <v>70</v>
      </c>
      <c r="N2291" s="11">
        <v>45080.0</v>
      </c>
      <c r="O2291" s="11">
        <v>45194.0</v>
      </c>
      <c r="P2291" s="11">
        <v>45444.0</v>
      </c>
      <c r="Q2291" s="11">
        <v>45251.0</v>
      </c>
      <c r="R2291" s="11">
        <v>45500.0</v>
      </c>
      <c r="S2291" s="12"/>
      <c r="T2291" s="8"/>
      <c r="U2291" s="8" t="s">
        <v>11205</v>
      </c>
      <c r="V2291" s="13" t="s">
        <v>11206</v>
      </c>
      <c r="W2291" s="13" t="s">
        <v>11207</v>
      </c>
      <c r="X2291" s="12"/>
      <c r="Y2291" s="14"/>
      <c r="Z2291" s="14"/>
    </row>
    <row r="2292">
      <c r="A2292" s="8" t="s">
        <v>11208</v>
      </c>
      <c r="B2292" s="8" t="s">
        <v>2339</v>
      </c>
      <c r="C2292" s="8" t="s">
        <v>179</v>
      </c>
      <c r="D2292" s="8" t="s">
        <v>26</v>
      </c>
      <c r="E2292" s="8" t="s">
        <v>2340</v>
      </c>
      <c r="F2292" s="8">
        <v>5.376035843E9</v>
      </c>
      <c r="G2292" s="8" t="s">
        <v>315</v>
      </c>
      <c r="H2292" s="8" t="s">
        <v>1833</v>
      </c>
      <c r="I2292" s="8" t="s">
        <v>31</v>
      </c>
      <c r="J2292" s="8" t="s">
        <v>86</v>
      </c>
      <c r="K2292" s="10" t="s">
        <v>11209</v>
      </c>
      <c r="L2292" s="8" t="s">
        <v>34</v>
      </c>
      <c r="M2292" s="8" t="s">
        <v>35</v>
      </c>
      <c r="N2292" s="11">
        <v>45080.0</v>
      </c>
      <c r="O2292" s="11">
        <v>45117.0</v>
      </c>
      <c r="P2292" s="11">
        <v>45200.0</v>
      </c>
      <c r="Q2292" s="11"/>
      <c r="R2292" s="11"/>
      <c r="S2292" s="12"/>
      <c r="T2292" s="8" t="s">
        <v>121</v>
      </c>
      <c r="U2292" s="8" t="s">
        <v>11210</v>
      </c>
      <c r="V2292" s="13" t="s">
        <v>2343</v>
      </c>
      <c r="W2292" s="13" t="s">
        <v>2344</v>
      </c>
      <c r="X2292" s="12"/>
      <c r="Y2292" s="14"/>
      <c r="Z2292" s="14"/>
    </row>
    <row r="2293">
      <c r="A2293" s="8" t="s">
        <v>11211</v>
      </c>
      <c r="B2293" s="8" t="s">
        <v>11212</v>
      </c>
      <c r="C2293" s="8" t="s">
        <v>251</v>
      </c>
      <c r="D2293" s="8" t="s">
        <v>26</v>
      </c>
      <c r="E2293" s="8" t="s">
        <v>11213</v>
      </c>
      <c r="F2293" s="8">
        <v>5.530542832E9</v>
      </c>
      <c r="G2293" s="8" t="s">
        <v>31</v>
      </c>
      <c r="H2293" s="8" t="s">
        <v>56</v>
      </c>
      <c r="I2293" s="8" t="s">
        <v>284</v>
      </c>
      <c r="J2293" s="8" t="s">
        <v>2065</v>
      </c>
      <c r="K2293" s="10" t="s">
        <v>11214</v>
      </c>
      <c r="L2293" s="8" t="s">
        <v>58</v>
      </c>
      <c r="M2293" s="8" t="s">
        <v>35</v>
      </c>
      <c r="N2293" s="11">
        <v>45080.0</v>
      </c>
      <c r="O2293" s="11">
        <v>45107.0</v>
      </c>
      <c r="P2293" s="11">
        <v>45149.0</v>
      </c>
      <c r="Q2293" s="11"/>
      <c r="R2293" s="11"/>
      <c r="S2293" s="12"/>
      <c r="T2293" s="8"/>
      <c r="U2293" s="8" t="s">
        <v>59</v>
      </c>
      <c r="V2293" s="13" t="s">
        <v>56</v>
      </c>
      <c r="W2293" s="13" t="s">
        <v>11215</v>
      </c>
      <c r="X2293" s="12"/>
      <c r="Y2293" s="14"/>
      <c r="Z2293" s="14"/>
    </row>
    <row r="2294">
      <c r="A2294" s="8" t="s">
        <v>11216</v>
      </c>
      <c r="B2294" s="8" t="s">
        <v>11217</v>
      </c>
      <c r="C2294" s="8" t="s">
        <v>179</v>
      </c>
      <c r="D2294" s="8" t="s">
        <v>26</v>
      </c>
      <c r="E2294" s="8" t="s">
        <v>11218</v>
      </c>
      <c r="F2294" s="8">
        <v>1.018524421E9</v>
      </c>
      <c r="G2294" s="8" t="s">
        <v>284</v>
      </c>
      <c r="H2294" s="8" t="s">
        <v>673</v>
      </c>
      <c r="I2294" s="8" t="s">
        <v>31</v>
      </c>
      <c r="J2294" s="8" t="s">
        <v>136</v>
      </c>
      <c r="K2294" s="10" t="s">
        <v>8895</v>
      </c>
      <c r="L2294" s="8" t="s">
        <v>58</v>
      </c>
      <c r="M2294" s="8" t="s">
        <v>35</v>
      </c>
      <c r="N2294" s="11">
        <v>45080.0</v>
      </c>
      <c r="O2294" s="11">
        <v>45173.0</v>
      </c>
      <c r="P2294" s="11">
        <v>45215.0</v>
      </c>
      <c r="Q2294" s="11"/>
      <c r="R2294" s="11"/>
      <c r="S2294" s="12"/>
      <c r="T2294" s="8"/>
      <c r="U2294" s="8" t="s">
        <v>59</v>
      </c>
      <c r="V2294" s="13" t="s">
        <v>674</v>
      </c>
      <c r="W2294" s="13" t="s">
        <v>11219</v>
      </c>
      <c r="X2294" s="12"/>
      <c r="Y2294" s="14"/>
      <c r="Z2294" s="14"/>
    </row>
    <row r="2295">
      <c r="A2295" s="8" t="s">
        <v>11220</v>
      </c>
      <c r="B2295" s="8" t="s">
        <v>11221</v>
      </c>
      <c r="C2295" s="8" t="s">
        <v>25</v>
      </c>
      <c r="D2295" s="8" t="s">
        <v>26</v>
      </c>
      <c r="E2295" s="8" t="s">
        <v>11222</v>
      </c>
      <c r="F2295" s="8">
        <v>5.347338154E9</v>
      </c>
      <c r="G2295" s="8" t="s">
        <v>31</v>
      </c>
      <c r="H2295" s="8" t="s">
        <v>56</v>
      </c>
      <c r="I2295" s="8" t="s">
        <v>202</v>
      </c>
      <c r="J2295" s="8" t="s">
        <v>7570</v>
      </c>
      <c r="K2295" s="10" t="s">
        <v>7571</v>
      </c>
      <c r="L2295" s="8" t="s">
        <v>58</v>
      </c>
      <c r="M2295" s="8" t="s">
        <v>35</v>
      </c>
      <c r="N2295" s="11">
        <v>45080.0</v>
      </c>
      <c r="O2295" s="11">
        <v>45207.0</v>
      </c>
      <c r="P2295" s="11">
        <v>45249.0</v>
      </c>
      <c r="Q2295" s="11">
        <v>45208.0</v>
      </c>
      <c r="R2295" s="11">
        <v>45249.0</v>
      </c>
      <c r="S2295" s="12"/>
      <c r="T2295" s="8"/>
      <c r="U2295" s="8" t="s">
        <v>997</v>
      </c>
      <c r="V2295" s="13" t="s">
        <v>56</v>
      </c>
      <c r="W2295" s="13" t="s">
        <v>11223</v>
      </c>
      <c r="X2295" s="12"/>
      <c r="Y2295" s="14"/>
      <c r="Z2295" s="14"/>
    </row>
    <row r="2296">
      <c r="A2296" s="8" t="s">
        <v>11224</v>
      </c>
      <c r="B2296" s="8" t="s">
        <v>11225</v>
      </c>
      <c r="C2296" s="8" t="s">
        <v>25</v>
      </c>
      <c r="D2296" s="8" t="s">
        <v>26</v>
      </c>
      <c r="E2296" s="8" t="s">
        <v>11226</v>
      </c>
      <c r="F2296" s="8"/>
      <c r="G2296" s="8" t="s">
        <v>31</v>
      </c>
      <c r="H2296" s="8" t="s">
        <v>77</v>
      </c>
      <c r="I2296" s="8" t="s">
        <v>407</v>
      </c>
      <c r="J2296" s="8" t="s">
        <v>11227</v>
      </c>
      <c r="K2296" s="10" t="s">
        <v>11228</v>
      </c>
      <c r="L2296" s="8" t="s">
        <v>58</v>
      </c>
      <c r="M2296" s="8" t="s">
        <v>35</v>
      </c>
      <c r="N2296" s="11">
        <v>45080.0</v>
      </c>
      <c r="O2296" s="11">
        <v>45121.0</v>
      </c>
      <c r="P2296" s="11">
        <v>45163.0</v>
      </c>
      <c r="Q2296" s="11">
        <v>45128.0</v>
      </c>
      <c r="R2296" s="11">
        <v>45170.0</v>
      </c>
      <c r="S2296" s="12"/>
      <c r="T2296" s="8"/>
      <c r="U2296" s="8" t="s">
        <v>3111</v>
      </c>
      <c r="V2296" s="13" t="s">
        <v>38</v>
      </c>
      <c r="W2296" s="13" t="s">
        <v>11229</v>
      </c>
      <c r="X2296" s="12"/>
      <c r="Y2296" s="14"/>
      <c r="Z2296" s="14"/>
    </row>
    <row r="2297">
      <c r="A2297" s="8" t="s">
        <v>11230</v>
      </c>
      <c r="B2297" s="8" t="s">
        <v>5852</v>
      </c>
      <c r="C2297" s="8" t="s">
        <v>25</v>
      </c>
      <c r="D2297" s="8" t="s">
        <v>26</v>
      </c>
      <c r="E2297" s="8" t="s">
        <v>5853</v>
      </c>
      <c r="F2297" s="9" t="s">
        <v>5854</v>
      </c>
      <c r="G2297" s="8" t="s">
        <v>31</v>
      </c>
      <c r="H2297" s="8" t="s">
        <v>167</v>
      </c>
      <c r="I2297" s="8" t="s">
        <v>44</v>
      </c>
      <c r="J2297" s="8" t="s">
        <v>2348</v>
      </c>
      <c r="K2297" s="10" t="s">
        <v>11231</v>
      </c>
      <c r="L2297" s="8" t="s">
        <v>58</v>
      </c>
      <c r="M2297" s="8" t="s">
        <v>35</v>
      </c>
      <c r="N2297" s="11">
        <v>45081.0</v>
      </c>
      <c r="O2297" s="11">
        <v>45122.0</v>
      </c>
      <c r="P2297" s="11">
        <v>45167.0</v>
      </c>
      <c r="Q2297" s="11">
        <v>45125.0</v>
      </c>
      <c r="R2297" s="11">
        <v>45170.0</v>
      </c>
      <c r="S2297" s="12"/>
      <c r="T2297" s="8"/>
      <c r="U2297" s="8" t="s">
        <v>632</v>
      </c>
      <c r="V2297" s="13" t="s">
        <v>167</v>
      </c>
      <c r="W2297" s="13" t="s">
        <v>5855</v>
      </c>
      <c r="X2297" s="12"/>
      <c r="Y2297" s="14"/>
      <c r="Z2297" s="14"/>
    </row>
    <row r="2298">
      <c r="A2298" s="8" t="s">
        <v>11232</v>
      </c>
      <c r="B2298" s="8" t="s">
        <v>11233</v>
      </c>
      <c r="C2298" s="8" t="s">
        <v>25</v>
      </c>
      <c r="D2298" s="8" t="s">
        <v>26</v>
      </c>
      <c r="E2298" s="8" t="s">
        <v>11234</v>
      </c>
      <c r="F2298" s="8"/>
      <c r="G2298" s="8" t="s">
        <v>54</v>
      </c>
      <c r="H2298" s="8" t="s">
        <v>1911</v>
      </c>
      <c r="I2298" s="8" t="s">
        <v>31</v>
      </c>
      <c r="J2298" s="8" t="s">
        <v>136</v>
      </c>
      <c r="K2298" s="10" t="s">
        <v>11235</v>
      </c>
      <c r="L2298" s="8" t="s">
        <v>34</v>
      </c>
      <c r="M2298" s="8" t="s">
        <v>35</v>
      </c>
      <c r="N2298" s="11">
        <v>45081.0</v>
      </c>
      <c r="O2298" s="11">
        <v>45096.0</v>
      </c>
      <c r="P2298" s="11">
        <v>45179.0</v>
      </c>
      <c r="Q2298" s="11">
        <v>45097.0</v>
      </c>
      <c r="R2298" s="11">
        <v>45179.0</v>
      </c>
      <c r="S2298" s="12"/>
      <c r="T2298" s="8" t="s">
        <v>205</v>
      </c>
      <c r="U2298" s="8" t="s">
        <v>11236</v>
      </c>
      <c r="V2298" s="13" t="s">
        <v>38</v>
      </c>
      <c r="W2298" s="13" t="s">
        <v>11237</v>
      </c>
      <c r="X2298" s="12"/>
      <c r="Y2298" s="14"/>
      <c r="Z2298" s="14"/>
    </row>
    <row r="2299">
      <c r="A2299" s="8" t="s">
        <v>11238</v>
      </c>
      <c r="B2299" s="8" t="s">
        <v>11239</v>
      </c>
      <c r="C2299" s="8" t="s">
        <v>25</v>
      </c>
      <c r="D2299" s="8" t="s">
        <v>26</v>
      </c>
      <c r="E2299" s="8" t="s">
        <v>11240</v>
      </c>
      <c r="F2299" s="8">
        <v>5.445088557E9</v>
      </c>
      <c r="G2299" s="8" t="s">
        <v>31</v>
      </c>
      <c r="H2299" s="8" t="s">
        <v>167</v>
      </c>
      <c r="I2299" s="8" t="s">
        <v>127</v>
      </c>
      <c r="J2299" s="8" t="s">
        <v>128</v>
      </c>
      <c r="K2299" s="10" t="s">
        <v>11241</v>
      </c>
      <c r="L2299" s="8" t="s">
        <v>58</v>
      </c>
      <c r="M2299" s="8" t="s">
        <v>35</v>
      </c>
      <c r="N2299" s="11">
        <v>45081.0</v>
      </c>
      <c r="O2299" s="11">
        <v>45110.0</v>
      </c>
      <c r="P2299" s="11">
        <v>45152.0</v>
      </c>
      <c r="Q2299" s="11">
        <v>45111.0</v>
      </c>
      <c r="R2299" s="11">
        <v>45152.0</v>
      </c>
      <c r="S2299" s="12"/>
      <c r="T2299" s="8"/>
      <c r="U2299" s="8" t="s">
        <v>59</v>
      </c>
      <c r="V2299" s="13" t="s">
        <v>4798</v>
      </c>
      <c r="W2299" s="13" t="s">
        <v>11242</v>
      </c>
      <c r="X2299" s="12"/>
      <c r="Y2299" s="14"/>
      <c r="Z2299" s="14"/>
    </row>
    <row r="2300">
      <c r="A2300" s="8" t="s">
        <v>11243</v>
      </c>
      <c r="B2300" s="8" t="s">
        <v>11244</v>
      </c>
      <c r="C2300" s="8" t="s">
        <v>25</v>
      </c>
      <c r="D2300" s="8" t="s">
        <v>26</v>
      </c>
      <c r="E2300" s="8" t="s">
        <v>11245</v>
      </c>
      <c r="F2300" s="8"/>
      <c r="G2300" s="8" t="s">
        <v>31</v>
      </c>
      <c r="H2300" s="8" t="s">
        <v>86</v>
      </c>
      <c r="I2300" s="8" t="s">
        <v>127</v>
      </c>
      <c r="J2300" s="8" t="s">
        <v>128</v>
      </c>
      <c r="K2300" s="10" t="s">
        <v>11246</v>
      </c>
      <c r="L2300" s="8" t="s">
        <v>58</v>
      </c>
      <c r="M2300" s="8" t="s">
        <v>35</v>
      </c>
      <c r="N2300" s="11">
        <v>45081.0</v>
      </c>
      <c r="O2300" s="11">
        <v>45096.0</v>
      </c>
      <c r="P2300" s="11">
        <v>45138.0</v>
      </c>
      <c r="Q2300" s="11">
        <v>45096.0</v>
      </c>
      <c r="R2300" s="11">
        <v>45138.0</v>
      </c>
      <c r="S2300" s="12"/>
      <c r="T2300" s="8"/>
      <c r="U2300" s="8" t="s">
        <v>185</v>
      </c>
      <c r="V2300" s="13" t="s">
        <v>38</v>
      </c>
      <c r="W2300" s="13" t="s">
        <v>11247</v>
      </c>
      <c r="X2300" s="12"/>
      <c r="Y2300" s="14"/>
      <c r="Z2300" s="14"/>
    </row>
    <row r="2301">
      <c r="A2301" s="8" t="s">
        <v>11248</v>
      </c>
      <c r="B2301" s="8" t="s">
        <v>11249</v>
      </c>
      <c r="C2301" s="8" t="s">
        <v>179</v>
      </c>
      <c r="D2301" s="8" t="s">
        <v>26</v>
      </c>
      <c r="E2301" s="8" t="s">
        <v>11250</v>
      </c>
      <c r="F2301" s="8">
        <v>7.751093556E9</v>
      </c>
      <c r="G2301" s="8" t="s">
        <v>496</v>
      </c>
      <c r="H2301" s="8" t="s">
        <v>2112</v>
      </c>
      <c r="I2301" s="8" t="s">
        <v>31</v>
      </c>
      <c r="J2301" s="8" t="s">
        <v>86</v>
      </c>
      <c r="K2301" s="10" t="s">
        <v>87</v>
      </c>
      <c r="L2301" s="8" t="s">
        <v>58</v>
      </c>
      <c r="M2301" s="8" t="s">
        <v>35</v>
      </c>
      <c r="N2301" s="11">
        <v>45081.0</v>
      </c>
      <c r="O2301" s="11">
        <v>45097.0</v>
      </c>
      <c r="P2301" s="11">
        <v>45139.0</v>
      </c>
      <c r="Q2301" s="11"/>
      <c r="R2301" s="11"/>
      <c r="S2301" s="12"/>
      <c r="T2301" s="8"/>
      <c r="U2301" s="8" t="s">
        <v>88</v>
      </c>
      <c r="V2301" s="13" t="s">
        <v>2112</v>
      </c>
      <c r="W2301" s="13" t="s">
        <v>11251</v>
      </c>
      <c r="X2301" s="12"/>
      <c r="Y2301" s="14"/>
      <c r="Z2301" s="14"/>
    </row>
    <row r="2302">
      <c r="A2302" s="8" t="s">
        <v>11252</v>
      </c>
      <c r="B2302" s="8" t="s">
        <v>11253</v>
      </c>
      <c r="C2302" s="8" t="s">
        <v>64</v>
      </c>
      <c r="D2302" s="8" t="s">
        <v>26</v>
      </c>
      <c r="E2302" s="8" t="s">
        <v>11254</v>
      </c>
      <c r="F2302" s="8"/>
      <c r="G2302" s="8" t="s">
        <v>31</v>
      </c>
      <c r="H2302" s="8" t="s">
        <v>86</v>
      </c>
      <c r="I2302" s="8" t="s">
        <v>195</v>
      </c>
      <c r="J2302" s="8" t="s">
        <v>6512</v>
      </c>
      <c r="K2302" s="10" t="s">
        <v>6513</v>
      </c>
      <c r="L2302" s="8" t="s">
        <v>58</v>
      </c>
      <c r="M2302" s="8" t="s">
        <v>35</v>
      </c>
      <c r="N2302" s="11">
        <v>45081.0</v>
      </c>
      <c r="O2302" s="11">
        <v>45094.0</v>
      </c>
      <c r="P2302" s="11">
        <v>45136.0</v>
      </c>
      <c r="Q2302" s="11">
        <v>45094.0</v>
      </c>
      <c r="R2302" s="11">
        <v>45136.0</v>
      </c>
      <c r="S2302" s="12"/>
      <c r="T2302" s="8"/>
      <c r="U2302" s="8" t="s">
        <v>3111</v>
      </c>
      <c r="V2302" s="13" t="s">
        <v>38</v>
      </c>
      <c r="W2302" s="13" t="s">
        <v>11255</v>
      </c>
      <c r="X2302" s="12"/>
      <c r="Y2302" s="14"/>
      <c r="Z2302" s="14"/>
    </row>
    <row r="2303">
      <c r="A2303" s="8" t="s">
        <v>11256</v>
      </c>
      <c r="B2303" s="8" t="s">
        <v>11257</v>
      </c>
      <c r="C2303" s="8" t="s">
        <v>25</v>
      </c>
      <c r="D2303" s="8" t="s">
        <v>26</v>
      </c>
      <c r="E2303" s="8" t="s">
        <v>11258</v>
      </c>
      <c r="F2303" s="8"/>
      <c r="G2303" s="8" t="s">
        <v>31</v>
      </c>
      <c r="H2303" s="8" t="s">
        <v>56</v>
      </c>
      <c r="I2303" s="8" t="s">
        <v>399</v>
      </c>
      <c r="J2303" s="8" t="s">
        <v>3797</v>
      </c>
      <c r="K2303" s="10" t="s">
        <v>7475</v>
      </c>
      <c r="L2303" s="8" t="s">
        <v>58</v>
      </c>
      <c r="M2303" s="8" t="s">
        <v>35</v>
      </c>
      <c r="N2303" s="11">
        <v>45081.0</v>
      </c>
      <c r="O2303" s="11">
        <v>45124.0</v>
      </c>
      <c r="P2303" s="11">
        <v>45166.0</v>
      </c>
      <c r="Q2303" s="11">
        <v>45123.0</v>
      </c>
      <c r="R2303" s="11">
        <v>45166.0</v>
      </c>
      <c r="S2303" s="12"/>
      <c r="T2303" s="8"/>
      <c r="U2303" s="8" t="s">
        <v>4870</v>
      </c>
      <c r="V2303" s="13" t="s">
        <v>38</v>
      </c>
      <c r="W2303" s="13" t="s">
        <v>11259</v>
      </c>
      <c r="X2303" s="12"/>
      <c r="Y2303" s="14"/>
      <c r="Z2303" s="14"/>
    </row>
    <row r="2304">
      <c r="A2304" s="8" t="s">
        <v>11260</v>
      </c>
      <c r="B2304" s="8" t="s">
        <v>11261</v>
      </c>
      <c r="C2304" s="8" t="s">
        <v>25</v>
      </c>
      <c r="D2304" s="8" t="s">
        <v>26</v>
      </c>
      <c r="E2304" s="8" t="s">
        <v>11262</v>
      </c>
      <c r="F2304" s="8"/>
      <c r="G2304" s="8" t="s">
        <v>54</v>
      </c>
      <c r="H2304" s="8" t="s">
        <v>135</v>
      </c>
      <c r="I2304" s="8" t="s">
        <v>31</v>
      </c>
      <c r="J2304" s="8" t="s">
        <v>167</v>
      </c>
      <c r="K2304" s="10" t="s">
        <v>8437</v>
      </c>
      <c r="L2304" s="8" t="s">
        <v>58</v>
      </c>
      <c r="M2304" s="8" t="s">
        <v>35</v>
      </c>
      <c r="N2304" s="11">
        <v>45082.0</v>
      </c>
      <c r="O2304" s="11">
        <v>45124.0</v>
      </c>
      <c r="P2304" s="11">
        <v>45166.0</v>
      </c>
      <c r="Q2304" s="11">
        <v>45127.0</v>
      </c>
      <c r="R2304" s="11">
        <v>45167.0</v>
      </c>
      <c r="S2304" s="12"/>
      <c r="T2304" s="8"/>
      <c r="U2304" s="8" t="s">
        <v>130</v>
      </c>
      <c r="V2304" s="13" t="s">
        <v>38</v>
      </c>
      <c r="W2304" s="13" t="s">
        <v>11263</v>
      </c>
      <c r="X2304" s="12"/>
      <c r="Y2304" s="14"/>
      <c r="Z2304" s="14"/>
    </row>
    <row r="2305">
      <c r="A2305" s="8" t="s">
        <v>11264</v>
      </c>
      <c r="B2305" s="8" t="s">
        <v>11265</v>
      </c>
      <c r="C2305" s="8" t="s">
        <v>25</v>
      </c>
      <c r="D2305" s="8" t="s">
        <v>26</v>
      </c>
      <c r="E2305" s="8" t="s">
        <v>11266</v>
      </c>
      <c r="F2305" s="8"/>
      <c r="G2305" s="8" t="s">
        <v>496</v>
      </c>
      <c r="H2305" s="8" t="s">
        <v>497</v>
      </c>
      <c r="I2305" s="8" t="s">
        <v>31</v>
      </c>
      <c r="J2305" s="8" t="s">
        <v>111</v>
      </c>
      <c r="K2305" s="10" t="s">
        <v>468</v>
      </c>
      <c r="L2305" s="8" t="s">
        <v>58</v>
      </c>
      <c r="M2305" s="8" t="s">
        <v>35</v>
      </c>
      <c r="N2305" s="11">
        <v>45082.0</v>
      </c>
      <c r="O2305" s="11">
        <v>45110.0</v>
      </c>
      <c r="P2305" s="11">
        <v>45152.0</v>
      </c>
      <c r="Q2305" s="11">
        <v>45127.0</v>
      </c>
      <c r="R2305" s="11">
        <v>45169.0</v>
      </c>
      <c r="S2305" s="12"/>
      <c r="T2305" s="8"/>
      <c r="U2305" s="8" t="s">
        <v>59</v>
      </c>
      <c r="V2305" s="13" t="s">
        <v>38</v>
      </c>
      <c r="W2305" s="13" t="s">
        <v>11267</v>
      </c>
      <c r="X2305" s="12"/>
      <c r="Y2305" s="14"/>
      <c r="Z2305" s="14"/>
    </row>
    <row r="2306">
      <c r="A2306" s="8" t="s">
        <v>11268</v>
      </c>
      <c r="B2306" s="8" t="s">
        <v>11269</v>
      </c>
      <c r="C2306" s="8" t="s">
        <v>64</v>
      </c>
      <c r="D2306" s="8" t="s">
        <v>26</v>
      </c>
      <c r="E2306" s="8" t="s">
        <v>11270</v>
      </c>
      <c r="F2306" s="8">
        <v>5.397325138E9</v>
      </c>
      <c r="G2306" s="8" t="s">
        <v>31</v>
      </c>
      <c r="H2306" s="8" t="s">
        <v>66</v>
      </c>
      <c r="I2306" s="8" t="s">
        <v>284</v>
      </c>
      <c r="J2306" s="8" t="s">
        <v>854</v>
      </c>
      <c r="K2306" s="10" t="s">
        <v>11271</v>
      </c>
      <c r="L2306" s="8" t="s">
        <v>58</v>
      </c>
      <c r="M2306" s="8" t="s">
        <v>35</v>
      </c>
      <c r="N2306" s="11">
        <v>45082.0</v>
      </c>
      <c r="O2306" s="11">
        <v>45158.0</v>
      </c>
      <c r="P2306" s="11">
        <v>45203.0</v>
      </c>
      <c r="Q2306" s="11">
        <v>45158.0</v>
      </c>
      <c r="R2306" s="11">
        <v>45203.0</v>
      </c>
      <c r="S2306" s="12"/>
      <c r="T2306" s="8"/>
      <c r="U2306" s="8" t="s">
        <v>339</v>
      </c>
      <c r="V2306" s="13" t="s">
        <v>66</v>
      </c>
      <c r="W2306" s="13" t="s">
        <v>11272</v>
      </c>
      <c r="X2306" s="12"/>
      <c r="Y2306" s="14"/>
      <c r="Z2306" s="14"/>
    </row>
    <row r="2307">
      <c r="A2307" s="8" t="s">
        <v>11273</v>
      </c>
      <c r="B2307" s="8" t="s">
        <v>11274</v>
      </c>
      <c r="C2307" s="8" t="s">
        <v>64</v>
      </c>
      <c r="D2307" s="8" t="s">
        <v>26</v>
      </c>
      <c r="E2307" s="8" t="s">
        <v>11275</v>
      </c>
      <c r="F2307" s="8">
        <v>5.15984289E8</v>
      </c>
      <c r="G2307" s="8" t="s">
        <v>31</v>
      </c>
      <c r="H2307" s="8" t="s">
        <v>86</v>
      </c>
      <c r="I2307" s="8" t="s">
        <v>284</v>
      </c>
      <c r="J2307" s="8" t="s">
        <v>589</v>
      </c>
      <c r="K2307" s="10" t="s">
        <v>9155</v>
      </c>
      <c r="L2307" s="8" t="s">
        <v>58</v>
      </c>
      <c r="M2307" s="8" t="s">
        <v>35</v>
      </c>
      <c r="N2307" s="11">
        <v>45082.0</v>
      </c>
      <c r="O2307" s="11">
        <v>45116.0</v>
      </c>
      <c r="P2307" s="11">
        <v>45158.0</v>
      </c>
      <c r="Q2307" s="11">
        <v>45118.0</v>
      </c>
      <c r="R2307" s="11">
        <v>45158.0</v>
      </c>
      <c r="S2307" s="12"/>
      <c r="T2307" s="8"/>
      <c r="U2307" s="8" t="s">
        <v>632</v>
      </c>
      <c r="V2307" s="13" t="s">
        <v>175</v>
      </c>
      <c r="W2307" s="13" t="s">
        <v>11276</v>
      </c>
      <c r="X2307" s="12"/>
      <c r="Y2307" s="14"/>
      <c r="Z2307" s="14"/>
    </row>
    <row r="2308">
      <c r="A2308" s="8" t="s">
        <v>11277</v>
      </c>
      <c r="B2308" s="8" t="s">
        <v>8828</v>
      </c>
      <c r="C2308" s="8" t="s">
        <v>25</v>
      </c>
      <c r="D2308" s="8" t="s">
        <v>26</v>
      </c>
      <c r="E2308" s="8" t="s">
        <v>8829</v>
      </c>
      <c r="F2308" s="8"/>
      <c r="G2308" s="8" t="s">
        <v>31</v>
      </c>
      <c r="H2308" s="8" t="s">
        <v>56</v>
      </c>
      <c r="I2308" s="8" t="s">
        <v>399</v>
      </c>
      <c r="J2308" s="8" t="s">
        <v>3797</v>
      </c>
      <c r="K2308" s="10" t="s">
        <v>11278</v>
      </c>
      <c r="L2308" s="8" t="s">
        <v>58</v>
      </c>
      <c r="M2308" s="8" t="s">
        <v>35</v>
      </c>
      <c r="N2308" s="11">
        <v>45082.0</v>
      </c>
      <c r="O2308" s="11">
        <v>45124.0</v>
      </c>
      <c r="P2308" s="11">
        <v>45166.0</v>
      </c>
      <c r="Q2308" s="11">
        <v>45123.0</v>
      </c>
      <c r="R2308" s="11">
        <v>45166.0</v>
      </c>
      <c r="S2308" s="12"/>
      <c r="T2308" s="8"/>
      <c r="U2308" s="8" t="s">
        <v>339</v>
      </c>
      <c r="V2308" s="13" t="s">
        <v>38</v>
      </c>
      <c r="W2308" s="13" t="s">
        <v>8831</v>
      </c>
      <c r="X2308" s="12"/>
      <c r="Y2308" s="14"/>
      <c r="Z2308" s="14"/>
    </row>
    <row r="2309">
      <c r="A2309" s="8" t="s">
        <v>11279</v>
      </c>
      <c r="B2309" s="8" t="s">
        <v>11280</v>
      </c>
      <c r="C2309" s="8" t="s">
        <v>708</v>
      </c>
      <c r="D2309" s="8" t="s">
        <v>26</v>
      </c>
      <c r="E2309" s="8" t="s">
        <v>11281</v>
      </c>
      <c r="F2309" s="8">
        <v>5.397775326E9</v>
      </c>
      <c r="G2309" s="8" t="s">
        <v>84</v>
      </c>
      <c r="H2309" s="8" t="s">
        <v>646</v>
      </c>
      <c r="I2309" s="8" t="s">
        <v>31</v>
      </c>
      <c r="J2309" s="8" t="s">
        <v>542</v>
      </c>
      <c r="K2309" s="10" t="s">
        <v>3684</v>
      </c>
      <c r="L2309" s="8" t="s">
        <v>34</v>
      </c>
      <c r="M2309" s="8" t="s">
        <v>70</v>
      </c>
      <c r="N2309" s="11">
        <v>45082.0</v>
      </c>
      <c r="O2309" s="11">
        <v>45105.0</v>
      </c>
      <c r="P2309" s="11">
        <v>45461.0</v>
      </c>
      <c r="Q2309" s="11">
        <v>45123.0</v>
      </c>
      <c r="R2309" s="11">
        <v>45488.0</v>
      </c>
      <c r="S2309" s="12"/>
      <c r="T2309" s="8" t="s">
        <v>205</v>
      </c>
      <c r="U2309" s="8" t="s">
        <v>3685</v>
      </c>
      <c r="V2309" s="13" t="s">
        <v>11282</v>
      </c>
      <c r="W2309" s="13" t="s">
        <v>11283</v>
      </c>
      <c r="X2309" s="12"/>
      <c r="Y2309" s="14"/>
      <c r="Z2309" s="14"/>
    </row>
    <row r="2310">
      <c r="A2310" s="8" t="s">
        <v>11284</v>
      </c>
      <c r="B2310" s="8" t="s">
        <v>11285</v>
      </c>
      <c r="C2310" s="8" t="s">
        <v>179</v>
      </c>
      <c r="D2310" s="8" t="s">
        <v>26</v>
      </c>
      <c r="E2310" s="8" t="s">
        <v>11286</v>
      </c>
      <c r="F2310" s="8">
        <v>1.066336886E9</v>
      </c>
      <c r="G2310" s="8" t="s">
        <v>284</v>
      </c>
      <c r="H2310" s="8" t="s">
        <v>854</v>
      </c>
      <c r="I2310" s="8" t="s">
        <v>31</v>
      </c>
      <c r="J2310" s="8" t="s">
        <v>102</v>
      </c>
      <c r="K2310" s="10" t="s">
        <v>5254</v>
      </c>
      <c r="L2310" s="8" t="s">
        <v>34</v>
      </c>
      <c r="M2310" s="8" t="s">
        <v>70</v>
      </c>
      <c r="N2310" s="11">
        <v>45082.0</v>
      </c>
      <c r="O2310" s="11">
        <v>45139.0</v>
      </c>
      <c r="P2310" s="11">
        <v>45505.0</v>
      </c>
      <c r="Q2310" s="11"/>
      <c r="R2310" s="11"/>
      <c r="S2310" s="12"/>
      <c r="T2310" s="8" t="s">
        <v>446</v>
      </c>
      <c r="U2310" s="8" t="s">
        <v>5255</v>
      </c>
      <c r="V2310" s="13" t="s">
        <v>856</v>
      </c>
      <c r="W2310" s="13" t="s">
        <v>11287</v>
      </c>
      <c r="X2310" s="12"/>
      <c r="Y2310" s="14"/>
      <c r="Z2310" s="14"/>
    </row>
    <row r="2311">
      <c r="A2311" s="8" t="s">
        <v>11288</v>
      </c>
      <c r="B2311" s="8" t="s">
        <v>11289</v>
      </c>
      <c r="C2311" s="8" t="s">
        <v>25</v>
      </c>
      <c r="D2311" s="8" t="s">
        <v>26</v>
      </c>
      <c r="E2311" s="8" t="s">
        <v>11290</v>
      </c>
      <c r="F2311" s="8"/>
      <c r="G2311" s="8" t="s">
        <v>31</v>
      </c>
      <c r="H2311" s="8" t="s">
        <v>111</v>
      </c>
      <c r="I2311" s="8" t="s">
        <v>284</v>
      </c>
      <c r="J2311" s="8" t="s">
        <v>1450</v>
      </c>
      <c r="K2311" s="10" t="s">
        <v>11291</v>
      </c>
      <c r="L2311" s="8" t="s">
        <v>58</v>
      </c>
      <c r="M2311" s="8" t="s">
        <v>35</v>
      </c>
      <c r="N2311" s="11">
        <v>45082.0</v>
      </c>
      <c r="O2311" s="11">
        <v>45121.0</v>
      </c>
      <c r="P2311" s="11">
        <v>45163.0</v>
      </c>
      <c r="Q2311" s="11">
        <v>45122.0</v>
      </c>
      <c r="R2311" s="11">
        <v>45163.0</v>
      </c>
      <c r="S2311" s="12"/>
      <c r="T2311" s="8"/>
      <c r="U2311" s="8" t="s">
        <v>1038</v>
      </c>
      <c r="V2311" s="13" t="s">
        <v>38</v>
      </c>
      <c r="W2311" s="13" t="s">
        <v>11292</v>
      </c>
      <c r="X2311" s="12"/>
      <c r="Y2311" s="14"/>
      <c r="Z2311" s="14"/>
    </row>
    <row r="2312">
      <c r="A2312" s="8" t="s">
        <v>11293</v>
      </c>
      <c r="B2312" s="8" t="s">
        <v>11294</v>
      </c>
      <c r="C2312" s="8" t="s">
        <v>179</v>
      </c>
      <c r="D2312" s="8" t="s">
        <v>26</v>
      </c>
      <c r="E2312" s="8" t="s">
        <v>11295</v>
      </c>
      <c r="F2312" s="8">
        <v>9.70163118E8</v>
      </c>
      <c r="G2312" s="8" t="s">
        <v>1620</v>
      </c>
      <c r="H2312" s="8" t="s">
        <v>3655</v>
      </c>
      <c r="I2312" s="8" t="s">
        <v>31</v>
      </c>
      <c r="J2312" s="8" t="s">
        <v>167</v>
      </c>
      <c r="K2312" s="10" t="s">
        <v>7380</v>
      </c>
      <c r="L2312" s="8" t="s">
        <v>58</v>
      </c>
      <c r="M2312" s="8" t="s">
        <v>35</v>
      </c>
      <c r="N2312" s="11">
        <v>45082.0</v>
      </c>
      <c r="O2312" s="11">
        <v>45110.0</v>
      </c>
      <c r="P2312" s="11">
        <v>45152.0</v>
      </c>
      <c r="Q2312" s="11"/>
      <c r="R2312" s="11"/>
      <c r="S2312" s="12"/>
      <c r="T2312" s="8"/>
      <c r="U2312" s="8" t="s">
        <v>59</v>
      </c>
      <c r="V2312" s="13" t="s">
        <v>3656</v>
      </c>
      <c r="W2312" s="13" t="s">
        <v>11296</v>
      </c>
      <c r="X2312" s="12"/>
      <c r="Y2312" s="14"/>
      <c r="Z2312" s="14"/>
    </row>
    <row r="2313">
      <c r="A2313" s="8" t="s">
        <v>11297</v>
      </c>
      <c r="B2313" s="8" t="s">
        <v>11298</v>
      </c>
      <c r="C2313" s="8" t="s">
        <v>25</v>
      </c>
      <c r="D2313" s="8" t="s">
        <v>26</v>
      </c>
      <c r="E2313" s="8" t="s">
        <v>11299</v>
      </c>
      <c r="F2313" s="8">
        <v>5.51106876E9</v>
      </c>
      <c r="G2313" s="8" t="s">
        <v>31</v>
      </c>
      <c r="H2313" s="8" t="s">
        <v>86</v>
      </c>
      <c r="I2313" s="8" t="s">
        <v>284</v>
      </c>
      <c r="J2313" s="8" t="s">
        <v>3188</v>
      </c>
      <c r="K2313" s="10" t="s">
        <v>11300</v>
      </c>
      <c r="L2313" s="8" t="s">
        <v>34</v>
      </c>
      <c r="M2313" s="8" t="s">
        <v>35</v>
      </c>
      <c r="N2313" s="11">
        <v>45082.0</v>
      </c>
      <c r="O2313" s="11">
        <v>45093.0</v>
      </c>
      <c r="P2313" s="11">
        <v>45169.0</v>
      </c>
      <c r="Q2313" s="11">
        <v>45093.0</v>
      </c>
      <c r="R2313" s="11">
        <v>45169.0</v>
      </c>
      <c r="S2313" s="12"/>
      <c r="T2313" s="8" t="s">
        <v>205</v>
      </c>
      <c r="U2313" s="8" t="s">
        <v>11301</v>
      </c>
      <c r="V2313" s="13" t="s">
        <v>175</v>
      </c>
      <c r="W2313" s="13" t="s">
        <v>11302</v>
      </c>
      <c r="X2313" s="12"/>
      <c r="Y2313" s="14"/>
      <c r="Z2313" s="14"/>
    </row>
    <row r="2314">
      <c r="A2314" s="8" t="s">
        <v>11303</v>
      </c>
      <c r="B2314" s="8" t="s">
        <v>11304</v>
      </c>
      <c r="C2314" s="8" t="s">
        <v>25</v>
      </c>
      <c r="D2314" s="8" t="s">
        <v>26</v>
      </c>
      <c r="E2314" s="8" t="s">
        <v>11305</v>
      </c>
      <c r="F2314" s="8">
        <v>5.432864331E9</v>
      </c>
      <c r="G2314" s="8" t="s">
        <v>31</v>
      </c>
      <c r="H2314" s="8" t="s">
        <v>111</v>
      </c>
      <c r="I2314" s="8" t="s">
        <v>127</v>
      </c>
      <c r="J2314" s="8" t="s">
        <v>159</v>
      </c>
      <c r="K2314" s="10" t="s">
        <v>11306</v>
      </c>
      <c r="L2314" s="8" t="s">
        <v>58</v>
      </c>
      <c r="M2314" s="8" t="s">
        <v>35</v>
      </c>
      <c r="N2314" s="11">
        <v>45082.0</v>
      </c>
      <c r="O2314" s="11">
        <v>45103.0</v>
      </c>
      <c r="P2314" s="11">
        <v>45145.0</v>
      </c>
      <c r="Q2314" s="11">
        <v>45103.0</v>
      </c>
      <c r="R2314" s="11">
        <v>45145.0</v>
      </c>
      <c r="S2314" s="12"/>
      <c r="T2314" s="8"/>
      <c r="U2314" s="8" t="s">
        <v>88</v>
      </c>
      <c r="V2314" s="13" t="s">
        <v>111</v>
      </c>
      <c r="W2314" s="13" t="s">
        <v>11307</v>
      </c>
      <c r="X2314" s="12"/>
      <c r="Y2314" s="14"/>
      <c r="Z2314" s="14"/>
    </row>
    <row r="2315">
      <c r="A2315" s="8" t="s">
        <v>11308</v>
      </c>
      <c r="B2315" s="8" t="s">
        <v>11309</v>
      </c>
      <c r="C2315" s="8" t="s">
        <v>25</v>
      </c>
      <c r="D2315" s="8" t="s">
        <v>26</v>
      </c>
      <c r="E2315" s="8" t="s">
        <v>11310</v>
      </c>
      <c r="F2315" s="8">
        <v>5.078802793E9</v>
      </c>
      <c r="G2315" s="8" t="s">
        <v>31</v>
      </c>
      <c r="H2315" s="8" t="s">
        <v>32</v>
      </c>
      <c r="I2315" s="8" t="s">
        <v>127</v>
      </c>
      <c r="J2315" s="8" t="s">
        <v>128</v>
      </c>
      <c r="K2315" s="10" t="s">
        <v>11311</v>
      </c>
      <c r="L2315" s="8" t="s">
        <v>58</v>
      </c>
      <c r="M2315" s="8" t="s">
        <v>35</v>
      </c>
      <c r="N2315" s="11">
        <v>45082.0</v>
      </c>
      <c r="O2315" s="11">
        <v>45096.0</v>
      </c>
      <c r="P2315" s="11">
        <v>45138.0</v>
      </c>
      <c r="Q2315" s="11">
        <v>45096.0</v>
      </c>
      <c r="R2315" s="11">
        <v>45138.0</v>
      </c>
      <c r="S2315" s="12"/>
      <c r="T2315" s="8"/>
      <c r="U2315" s="8" t="s">
        <v>161</v>
      </c>
      <c r="V2315" s="13" t="s">
        <v>537</v>
      </c>
      <c r="W2315" s="13" t="s">
        <v>11312</v>
      </c>
      <c r="X2315" s="12"/>
      <c r="Y2315" s="14"/>
      <c r="Z2315" s="14"/>
    </row>
    <row r="2316">
      <c r="A2316" s="8" t="s">
        <v>11313</v>
      </c>
      <c r="B2316" s="8" t="s">
        <v>11314</v>
      </c>
      <c r="C2316" s="8" t="s">
        <v>25</v>
      </c>
      <c r="D2316" s="8" t="s">
        <v>26</v>
      </c>
      <c r="E2316" s="8" t="s">
        <v>11315</v>
      </c>
      <c r="F2316" s="8">
        <v>5.076664807E9</v>
      </c>
      <c r="G2316" s="8" t="s">
        <v>31</v>
      </c>
      <c r="H2316" s="8" t="s">
        <v>32</v>
      </c>
      <c r="I2316" s="8" t="s">
        <v>127</v>
      </c>
      <c r="J2316" s="8" t="s">
        <v>128</v>
      </c>
      <c r="K2316" s="10" t="s">
        <v>11316</v>
      </c>
      <c r="L2316" s="8" t="s">
        <v>58</v>
      </c>
      <c r="M2316" s="8" t="s">
        <v>35</v>
      </c>
      <c r="N2316" s="11">
        <v>45082.0</v>
      </c>
      <c r="O2316" s="11">
        <v>45096.0</v>
      </c>
      <c r="P2316" s="11">
        <v>45138.0</v>
      </c>
      <c r="Q2316" s="11">
        <v>45096.0</v>
      </c>
      <c r="R2316" s="11">
        <v>45138.0</v>
      </c>
      <c r="S2316" s="12"/>
      <c r="T2316" s="8"/>
      <c r="U2316" s="8" t="s">
        <v>161</v>
      </c>
      <c r="V2316" s="13" t="s">
        <v>537</v>
      </c>
      <c r="W2316" s="13" t="s">
        <v>11317</v>
      </c>
      <c r="X2316" s="12"/>
      <c r="Y2316" s="14"/>
      <c r="Z2316" s="14"/>
    </row>
    <row r="2317">
      <c r="A2317" s="8" t="s">
        <v>11318</v>
      </c>
      <c r="B2317" s="8" t="s">
        <v>11319</v>
      </c>
      <c r="C2317" s="8" t="s">
        <v>708</v>
      </c>
      <c r="D2317" s="8" t="s">
        <v>26</v>
      </c>
      <c r="E2317" s="8" t="s">
        <v>11320</v>
      </c>
      <c r="F2317" s="8">
        <v>1.003207134E9</v>
      </c>
      <c r="G2317" s="8" t="s">
        <v>284</v>
      </c>
      <c r="H2317" s="8" t="s">
        <v>300</v>
      </c>
      <c r="I2317" s="8" t="s">
        <v>31</v>
      </c>
      <c r="J2317" s="8" t="s">
        <v>167</v>
      </c>
      <c r="K2317" s="10" t="s">
        <v>8388</v>
      </c>
      <c r="L2317" s="8" t="s">
        <v>47</v>
      </c>
      <c r="M2317" s="8" t="s">
        <v>70</v>
      </c>
      <c r="N2317" s="11">
        <v>45082.0</v>
      </c>
      <c r="O2317" s="11">
        <v>45141.0</v>
      </c>
      <c r="P2317" s="11">
        <v>45507.0</v>
      </c>
      <c r="Q2317" s="11">
        <v>45152.0</v>
      </c>
      <c r="R2317" s="11">
        <v>45518.0</v>
      </c>
      <c r="S2317" s="12"/>
      <c r="T2317" s="8"/>
      <c r="U2317" s="8" t="s">
        <v>8389</v>
      </c>
      <c r="V2317" s="13" t="s">
        <v>300</v>
      </c>
      <c r="W2317" s="13" t="s">
        <v>11321</v>
      </c>
      <c r="X2317" s="12"/>
      <c r="Y2317" s="14"/>
      <c r="Z2317" s="14"/>
    </row>
    <row r="2318">
      <c r="A2318" s="8" t="s">
        <v>11322</v>
      </c>
      <c r="B2318" s="8" t="s">
        <v>11323</v>
      </c>
      <c r="C2318" s="8" t="s">
        <v>179</v>
      </c>
      <c r="D2318" s="8" t="s">
        <v>26</v>
      </c>
      <c r="E2318" s="8" t="s">
        <v>11324</v>
      </c>
      <c r="F2318" s="8">
        <v>5.436389248E9</v>
      </c>
      <c r="G2318" s="8" t="s">
        <v>31</v>
      </c>
      <c r="H2318" s="8" t="s">
        <v>32</v>
      </c>
      <c r="I2318" s="8" t="s">
        <v>127</v>
      </c>
      <c r="J2318" s="8" t="s">
        <v>128</v>
      </c>
      <c r="K2318" s="10" t="s">
        <v>11325</v>
      </c>
      <c r="L2318" s="8" t="s">
        <v>58</v>
      </c>
      <c r="M2318" s="8" t="s">
        <v>35</v>
      </c>
      <c r="N2318" s="11">
        <v>45082.0</v>
      </c>
      <c r="O2318" s="11">
        <v>45110.0</v>
      </c>
      <c r="P2318" s="11">
        <v>45152.0</v>
      </c>
      <c r="Q2318" s="11"/>
      <c r="R2318" s="11"/>
      <c r="S2318" s="12"/>
      <c r="T2318" s="8"/>
      <c r="U2318" s="8" t="s">
        <v>161</v>
      </c>
      <c r="V2318" s="13" t="s">
        <v>537</v>
      </c>
      <c r="W2318" s="13" t="s">
        <v>11326</v>
      </c>
      <c r="X2318" s="12"/>
      <c r="Y2318" s="14"/>
      <c r="Z2318" s="14"/>
    </row>
    <row r="2319">
      <c r="A2319" s="8" t="s">
        <v>11327</v>
      </c>
      <c r="B2319" s="8" t="s">
        <v>11328</v>
      </c>
      <c r="C2319" s="8" t="s">
        <v>25</v>
      </c>
      <c r="D2319" s="8" t="s">
        <v>26</v>
      </c>
      <c r="E2319" s="8" t="s">
        <v>11329</v>
      </c>
      <c r="F2319" s="8"/>
      <c r="G2319" s="8" t="s">
        <v>31</v>
      </c>
      <c r="H2319" s="8" t="s">
        <v>542</v>
      </c>
      <c r="I2319" s="8" t="s">
        <v>221</v>
      </c>
      <c r="J2319" s="8" t="s">
        <v>222</v>
      </c>
      <c r="K2319" s="10" t="s">
        <v>11116</v>
      </c>
      <c r="L2319" s="8" t="s">
        <v>58</v>
      </c>
      <c r="M2319" s="8" t="s">
        <v>35</v>
      </c>
      <c r="N2319" s="11">
        <v>45082.0</v>
      </c>
      <c r="O2319" s="11">
        <v>45091.0</v>
      </c>
      <c r="P2319" s="11">
        <v>45133.0</v>
      </c>
      <c r="Q2319" s="11">
        <v>45098.0</v>
      </c>
      <c r="R2319" s="11">
        <v>45140.0</v>
      </c>
      <c r="S2319" s="12"/>
      <c r="T2319" s="8"/>
      <c r="U2319" s="8" t="s">
        <v>88</v>
      </c>
      <c r="V2319" s="13" t="s">
        <v>38</v>
      </c>
      <c r="W2319" s="13" t="s">
        <v>11330</v>
      </c>
      <c r="X2319" s="12"/>
      <c r="Y2319" s="14"/>
      <c r="Z2319" s="14"/>
    </row>
    <row r="2320">
      <c r="A2320" s="8" t="s">
        <v>11331</v>
      </c>
      <c r="B2320" s="8" t="s">
        <v>11332</v>
      </c>
      <c r="C2320" s="8" t="s">
        <v>708</v>
      </c>
      <c r="D2320" s="8" t="s">
        <v>26</v>
      </c>
      <c r="E2320" s="8" t="s">
        <v>11333</v>
      </c>
      <c r="F2320" s="8">
        <v>1.011388007E9</v>
      </c>
      <c r="G2320" s="8" t="s">
        <v>284</v>
      </c>
      <c r="H2320" s="8" t="s">
        <v>673</v>
      </c>
      <c r="I2320" s="8" t="s">
        <v>31</v>
      </c>
      <c r="J2320" s="8" t="s">
        <v>542</v>
      </c>
      <c r="K2320" s="10" t="s">
        <v>8953</v>
      </c>
      <c r="L2320" s="8" t="s">
        <v>34</v>
      </c>
      <c r="M2320" s="8" t="s">
        <v>70</v>
      </c>
      <c r="N2320" s="11">
        <v>45083.0</v>
      </c>
      <c r="O2320" s="11">
        <v>45139.0</v>
      </c>
      <c r="P2320" s="11">
        <v>45504.0</v>
      </c>
      <c r="Q2320" s="11">
        <v>45138.0</v>
      </c>
      <c r="R2320" s="11">
        <v>45504.0</v>
      </c>
      <c r="S2320" s="12"/>
      <c r="T2320" s="8" t="s">
        <v>36</v>
      </c>
      <c r="U2320" s="8" t="s">
        <v>8954</v>
      </c>
      <c r="V2320" s="13" t="s">
        <v>674</v>
      </c>
      <c r="W2320" s="13" t="s">
        <v>11334</v>
      </c>
      <c r="X2320" s="12"/>
      <c r="Y2320" s="14"/>
      <c r="Z2320" s="14"/>
    </row>
    <row r="2321">
      <c r="A2321" s="8" t="s">
        <v>11335</v>
      </c>
      <c r="B2321" s="8" t="s">
        <v>11336</v>
      </c>
      <c r="C2321" s="8" t="s">
        <v>25</v>
      </c>
      <c r="D2321" s="8" t="s">
        <v>26</v>
      </c>
      <c r="E2321" s="8" t="s">
        <v>11337</v>
      </c>
      <c r="F2321" s="8">
        <v>2.2913783E7</v>
      </c>
      <c r="G2321" s="8" t="s">
        <v>54</v>
      </c>
      <c r="H2321" s="8" t="s">
        <v>244</v>
      </c>
      <c r="I2321" s="8" t="s">
        <v>31</v>
      </c>
      <c r="J2321" s="8" t="s">
        <v>1274</v>
      </c>
      <c r="K2321" s="10" t="s">
        <v>4366</v>
      </c>
      <c r="L2321" s="8" t="s">
        <v>58</v>
      </c>
      <c r="M2321" s="8" t="s">
        <v>35</v>
      </c>
      <c r="N2321" s="11">
        <v>45083.0</v>
      </c>
      <c r="O2321" s="11">
        <v>45096.0</v>
      </c>
      <c r="P2321" s="11">
        <v>45138.0</v>
      </c>
      <c r="Q2321" s="11">
        <v>45097.0</v>
      </c>
      <c r="R2321" s="11">
        <v>45138.0</v>
      </c>
      <c r="S2321" s="12"/>
      <c r="T2321" s="8"/>
      <c r="U2321" s="8" t="s">
        <v>1038</v>
      </c>
      <c r="V2321" s="13" t="s">
        <v>11338</v>
      </c>
      <c r="W2321" s="13" t="s">
        <v>11339</v>
      </c>
      <c r="X2321" s="12"/>
      <c r="Y2321" s="14"/>
      <c r="Z2321" s="14"/>
    </row>
    <row r="2322">
      <c r="A2322" s="8" t="s">
        <v>11340</v>
      </c>
      <c r="B2322" s="8" t="s">
        <v>11341</v>
      </c>
      <c r="C2322" s="8" t="s">
        <v>25</v>
      </c>
      <c r="D2322" s="8" t="s">
        <v>26</v>
      </c>
      <c r="E2322" s="8" t="s">
        <v>11342</v>
      </c>
      <c r="F2322" s="8">
        <v>3.009230886E9</v>
      </c>
      <c r="G2322" s="8" t="s">
        <v>315</v>
      </c>
      <c r="H2322" s="8" t="s">
        <v>1557</v>
      </c>
      <c r="I2322" s="8" t="s">
        <v>31</v>
      </c>
      <c r="J2322" s="8" t="s">
        <v>256</v>
      </c>
      <c r="K2322" s="10" t="s">
        <v>10689</v>
      </c>
      <c r="L2322" s="8" t="s">
        <v>58</v>
      </c>
      <c r="M2322" s="8" t="s">
        <v>35</v>
      </c>
      <c r="N2322" s="11">
        <v>45083.0</v>
      </c>
      <c r="O2322" s="11">
        <v>45110.0</v>
      </c>
      <c r="P2322" s="11">
        <v>45152.0</v>
      </c>
      <c r="Q2322" s="11">
        <v>45109.0</v>
      </c>
      <c r="R2322" s="11">
        <v>45152.0</v>
      </c>
      <c r="S2322" s="12"/>
      <c r="T2322" s="8"/>
      <c r="U2322" s="8" t="s">
        <v>59</v>
      </c>
      <c r="V2322" s="13" t="s">
        <v>5986</v>
      </c>
      <c r="W2322" s="13" t="s">
        <v>11343</v>
      </c>
      <c r="X2322" s="12"/>
      <c r="Y2322" s="14"/>
      <c r="Z2322" s="14"/>
    </row>
    <row r="2323">
      <c r="A2323" s="8" t="s">
        <v>11344</v>
      </c>
      <c r="B2323" s="8" t="s">
        <v>11345</v>
      </c>
      <c r="C2323" s="8" t="s">
        <v>25</v>
      </c>
      <c r="D2323" s="8" t="s">
        <v>26</v>
      </c>
      <c r="E2323" s="8" t="s">
        <v>11346</v>
      </c>
      <c r="F2323" s="8">
        <v>1.014400526E9</v>
      </c>
      <c r="G2323" s="8" t="s">
        <v>284</v>
      </c>
      <c r="H2323" s="8" t="s">
        <v>793</v>
      </c>
      <c r="I2323" s="8" t="s">
        <v>31</v>
      </c>
      <c r="J2323" s="8" t="s">
        <v>43</v>
      </c>
      <c r="K2323" s="10" t="s">
        <v>11166</v>
      </c>
      <c r="L2323" s="8" t="s">
        <v>58</v>
      </c>
      <c r="M2323" s="8" t="s">
        <v>35</v>
      </c>
      <c r="N2323" s="11">
        <v>45083.0</v>
      </c>
      <c r="O2323" s="11">
        <v>45131.0</v>
      </c>
      <c r="P2323" s="11">
        <v>45177.0</v>
      </c>
      <c r="Q2323" s="11">
        <v>45145.0</v>
      </c>
      <c r="R2323" s="11">
        <v>45191.0</v>
      </c>
      <c r="S2323" s="12"/>
      <c r="T2323" s="8"/>
      <c r="U2323" s="8" t="s">
        <v>59</v>
      </c>
      <c r="V2323" s="13" t="s">
        <v>793</v>
      </c>
      <c r="W2323" s="13" t="s">
        <v>11347</v>
      </c>
      <c r="X2323" s="12"/>
      <c r="Y2323" s="14"/>
      <c r="Z2323" s="14"/>
    </row>
    <row r="2324">
      <c r="A2324" s="8" t="s">
        <v>11348</v>
      </c>
      <c r="B2324" s="8" t="s">
        <v>11349</v>
      </c>
      <c r="C2324" s="8" t="s">
        <v>25</v>
      </c>
      <c r="D2324" s="8" t="s">
        <v>26</v>
      </c>
      <c r="E2324" s="8" t="s">
        <v>11350</v>
      </c>
      <c r="F2324" s="8"/>
      <c r="G2324" s="8" t="s">
        <v>31</v>
      </c>
      <c r="H2324" s="8" t="s">
        <v>86</v>
      </c>
      <c r="I2324" s="8" t="s">
        <v>6352</v>
      </c>
      <c r="J2324" s="8" t="s">
        <v>6353</v>
      </c>
      <c r="K2324" s="10" t="s">
        <v>9693</v>
      </c>
      <c r="L2324" s="8" t="s">
        <v>58</v>
      </c>
      <c r="M2324" s="8" t="s">
        <v>35</v>
      </c>
      <c r="N2324" s="11">
        <v>45083.0</v>
      </c>
      <c r="O2324" s="11">
        <v>45124.0</v>
      </c>
      <c r="P2324" s="11">
        <v>45166.0</v>
      </c>
      <c r="Q2324" s="11">
        <v>45132.0</v>
      </c>
      <c r="R2324" s="11">
        <v>45173.0</v>
      </c>
      <c r="S2324" s="12"/>
      <c r="T2324" s="8"/>
      <c r="U2324" s="8" t="s">
        <v>1038</v>
      </c>
      <c r="V2324" s="13" t="s">
        <v>38</v>
      </c>
      <c r="W2324" s="13" t="s">
        <v>11351</v>
      </c>
      <c r="X2324" s="12"/>
      <c r="Y2324" s="14"/>
      <c r="Z2324" s="14"/>
    </row>
    <row r="2325">
      <c r="A2325" s="8" t="s">
        <v>11352</v>
      </c>
      <c r="B2325" s="8" t="s">
        <v>11353</v>
      </c>
      <c r="C2325" s="8" t="s">
        <v>25</v>
      </c>
      <c r="D2325" s="8" t="s">
        <v>26</v>
      </c>
      <c r="E2325" s="8" t="s">
        <v>11354</v>
      </c>
      <c r="F2325" s="8"/>
      <c r="G2325" s="8" t="s">
        <v>31</v>
      </c>
      <c r="H2325" s="8" t="s">
        <v>111</v>
      </c>
      <c r="I2325" s="8" t="s">
        <v>44</v>
      </c>
      <c r="J2325" s="8" t="s">
        <v>8819</v>
      </c>
      <c r="K2325" s="10" t="s">
        <v>11355</v>
      </c>
      <c r="L2325" s="8" t="s">
        <v>34</v>
      </c>
      <c r="M2325" s="8" t="s">
        <v>35</v>
      </c>
      <c r="N2325" s="11">
        <v>45083.0</v>
      </c>
      <c r="O2325" s="11">
        <v>45116.0</v>
      </c>
      <c r="P2325" s="11">
        <v>45171.0</v>
      </c>
      <c r="Q2325" s="11"/>
      <c r="R2325" s="11">
        <v>45171.0</v>
      </c>
      <c r="S2325" s="12"/>
      <c r="T2325" s="8" t="s">
        <v>1187</v>
      </c>
      <c r="U2325" s="8" t="s">
        <v>11356</v>
      </c>
      <c r="V2325" s="13" t="s">
        <v>111</v>
      </c>
      <c r="W2325" s="13" t="s">
        <v>11357</v>
      </c>
      <c r="X2325" s="12"/>
      <c r="Y2325" s="14"/>
      <c r="Z2325" s="14"/>
    </row>
    <row r="2326">
      <c r="A2326" s="8" t="s">
        <v>11358</v>
      </c>
      <c r="B2326" s="8" t="s">
        <v>11359</v>
      </c>
      <c r="C2326" s="8" t="s">
        <v>64</v>
      </c>
      <c r="D2326" s="8" t="s">
        <v>26</v>
      </c>
      <c r="E2326" s="8" t="s">
        <v>11360</v>
      </c>
      <c r="F2326" s="8">
        <v>1.064878976E9</v>
      </c>
      <c r="G2326" s="8" t="s">
        <v>284</v>
      </c>
      <c r="H2326" s="8" t="s">
        <v>854</v>
      </c>
      <c r="I2326" s="8" t="s">
        <v>31</v>
      </c>
      <c r="J2326" s="8" t="s">
        <v>43</v>
      </c>
      <c r="K2326" s="10" t="s">
        <v>10232</v>
      </c>
      <c r="L2326" s="8" t="s">
        <v>58</v>
      </c>
      <c r="M2326" s="8" t="s">
        <v>35</v>
      </c>
      <c r="N2326" s="11">
        <v>45083.0</v>
      </c>
      <c r="O2326" s="11">
        <v>45180.0</v>
      </c>
      <c r="P2326" s="11">
        <v>45226.0</v>
      </c>
      <c r="Q2326" s="11">
        <v>45182.0</v>
      </c>
      <c r="R2326" s="11">
        <v>45228.0</v>
      </c>
      <c r="S2326" s="12"/>
      <c r="T2326" s="8"/>
      <c r="U2326" s="8" t="s">
        <v>130</v>
      </c>
      <c r="V2326" s="13" t="s">
        <v>856</v>
      </c>
      <c r="W2326" s="13" t="s">
        <v>11361</v>
      </c>
      <c r="X2326" s="12"/>
      <c r="Y2326" s="14"/>
      <c r="Z2326" s="14"/>
    </row>
    <row r="2327">
      <c r="A2327" s="8" t="s">
        <v>11362</v>
      </c>
      <c r="B2327" s="8" t="s">
        <v>11363</v>
      </c>
      <c r="C2327" s="8" t="s">
        <v>251</v>
      </c>
      <c r="D2327" s="8" t="s">
        <v>26</v>
      </c>
      <c r="E2327" s="8" t="s">
        <v>11364</v>
      </c>
      <c r="F2327" s="8"/>
      <c r="G2327" s="8" t="s">
        <v>284</v>
      </c>
      <c r="H2327" s="8" t="s">
        <v>854</v>
      </c>
      <c r="I2327" s="8" t="s">
        <v>31</v>
      </c>
      <c r="J2327" s="8" t="s">
        <v>43</v>
      </c>
      <c r="K2327" s="10" t="s">
        <v>10232</v>
      </c>
      <c r="L2327" s="8" t="s">
        <v>58</v>
      </c>
      <c r="M2327" s="8" t="s">
        <v>35</v>
      </c>
      <c r="N2327" s="11">
        <v>45083.0</v>
      </c>
      <c r="O2327" s="11">
        <v>45180.0</v>
      </c>
      <c r="P2327" s="11">
        <v>45226.0</v>
      </c>
      <c r="Q2327" s="11"/>
      <c r="R2327" s="11"/>
      <c r="S2327" s="12"/>
      <c r="T2327" s="8"/>
      <c r="U2327" s="8" t="s">
        <v>130</v>
      </c>
      <c r="V2327" s="13" t="s">
        <v>38</v>
      </c>
      <c r="W2327" s="13" t="s">
        <v>11365</v>
      </c>
      <c r="X2327" s="12"/>
      <c r="Y2327" s="14"/>
      <c r="Z2327" s="14"/>
    </row>
    <row r="2328">
      <c r="A2328" s="8" t="s">
        <v>11366</v>
      </c>
      <c r="B2328" s="8" t="s">
        <v>11367</v>
      </c>
      <c r="C2328" s="8" t="s">
        <v>708</v>
      </c>
      <c r="D2328" s="8" t="s">
        <v>26</v>
      </c>
      <c r="E2328" s="8" t="s">
        <v>11368</v>
      </c>
      <c r="F2328" s="8"/>
      <c r="G2328" s="8" t="s">
        <v>221</v>
      </c>
      <c r="H2328" s="8" t="s">
        <v>2735</v>
      </c>
      <c r="I2328" s="8" t="s">
        <v>31</v>
      </c>
      <c r="J2328" s="8" t="s">
        <v>102</v>
      </c>
      <c r="K2328" s="10" t="s">
        <v>6221</v>
      </c>
      <c r="L2328" s="8" t="s">
        <v>58</v>
      </c>
      <c r="M2328" s="8" t="s">
        <v>35</v>
      </c>
      <c r="N2328" s="11">
        <v>45083.0</v>
      </c>
      <c r="O2328" s="11">
        <v>45201.0</v>
      </c>
      <c r="P2328" s="11">
        <v>45243.0</v>
      </c>
      <c r="Q2328" s="11">
        <v>45204.0</v>
      </c>
      <c r="R2328" s="11">
        <v>45244.0</v>
      </c>
      <c r="S2328" s="12"/>
      <c r="T2328" s="8"/>
      <c r="U2328" s="8" t="s">
        <v>59</v>
      </c>
      <c r="V2328" s="13" t="s">
        <v>38</v>
      </c>
      <c r="W2328" s="13" t="s">
        <v>11369</v>
      </c>
      <c r="X2328" s="12"/>
      <c r="Y2328" s="14"/>
      <c r="Z2328" s="14"/>
    </row>
    <row r="2329">
      <c r="A2329" s="8" t="s">
        <v>11370</v>
      </c>
      <c r="B2329" s="8" t="s">
        <v>11371</v>
      </c>
      <c r="C2329" s="8" t="s">
        <v>25</v>
      </c>
      <c r="D2329" s="8" t="s">
        <v>26</v>
      </c>
      <c r="E2329" s="8" t="s">
        <v>11372</v>
      </c>
      <c r="F2329" s="8">
        <v>3.350120515E9</v>
      </c>
      <c r="G2329" s="8" t="s">
        <v>315</v>
      </c>
      <c r="H2329" s="8" t="s">
        <v>1557</v>
      </c>
      <c r="I2329" s="8" t="s">
        <v>31</v>
      </c>
      <c r="J2329" s="8" t="s">
        <v>256</v>
      </c>
      <c r="K2329" s="10" t="s">
        <v>10689</v>
      </c>
      <c r="L2329" s="8" t="s">
        <v>58</v>
      </c>
      <c r="M2329" s="8" t="s">
        <v>35</v>
      </c>
      <c r="N2329" s="11">
        <v>45083.0</v>
      </c>
      <c r="O2329" s="11">
        <v>45110.0</v>
      </c>
      <c r="P2329" s="11">
        <v>45152.0</v>
      </c>
      <c r="Q2329" s="11">
        <v>45125.0</v>
      </c>
      <c r="R2329" s="11">
        <v>45166.0</v>
      </c>
      <c r="S2329" s="12"/>
      <c r="T2329" s="8"/>
      <c r="U2329" s="8" t="s">
        <v>59</v>
      </c>
      <c r="V2329" s="13" t="s">
        <v>5986</v>
      </c>
      <c r="W2329" s="13" t="s">
        <v>11373</v>
      </c>
      <c r="X2329" s="12"/>
      <c r="Y2329" s="14"/>
      <c r="Z2329" s="14"/>
    </row>
    <row r="2330">
      <c r="A2330" s="8" t="s">
        <v>11374</v>
      </c>
      <c r="B2330" s="8" t="s">
        <v>11375</v>
      </c>
      <c r="C2330" s="8" t="s">
        <v>25</v>
      </c>
      <c r="D2330" s="8" t="s">
        <v>26</v>
      </c>
      <c r="E2330" s="8" t="s">
        <v>11376</v>
      </c>
      <c r="F2330" s="8"/>
      <c r="G2330" s="8" t="s">
        <v>31</v>
      </c>
      <c r="H2330" s="8" t="s">
        <v>111</v>
      </c>
      <c r="I2330" s="8" t="s">
        <v>44</v>
      </c>
      <c r="J2330" s="8" t="s">
        <v>2054</v>
      </c>
      <c r="K2330" s="10" t="s">
        <v>11377</v>
      </c>
      <c r="L2330" s="8" t="s">
        <v>58</v>
      </c>
      <c r="M2330" s="8" t="s">
        <v>35</v>
      </c>
      <c r="N2330" s="11">
        <v>45083.0</v>
      </c>
      <c r="O2330" s="11">
        <v>45092.0</v>
      </c>
      <c r="P2330" s="11">
        <v>45134.0</v>
      </c>
      <c r="Q2330" s="11">
        <v>45093.0</v>
      </c>
      <c r="R2330" s="11">
        <v>45134.0</v>
      </c>
      <c r="S2330" s="12"/>
      <c r="T2330" s="8"/>
      <c r="U2330" s="8" t="s">
        <v>59</v>
      </c>
      <c r="V2330" s="13" t="s">
        <v>38</v>
      </c>
      <c r="W2330" s="13" t="s">
        <v>11378</v>
      </c>
      <c r="X2330" s="12"/>
      <c r="Y2330" s="14"/>
      <c r="Z2330" s="14"/>
    </row>
    <row r="2331">
      <c r="A2331" s="8" t="s">
        <v>11379</v>
      </c>
      <c r="B2331" s="8" t="s">
        <v>11380</v>
      </c>
      <c r="C2331" s="8" t="s">
        <v>179</v>
      </c>
      <c r="D2331" s="8" t="s">
        <v>26</v>
      </c>
      <c r="E2331" s="8" t="s">
        <v>11381</v>
      </c>
      <c r="F2331" s="8"/>
      <c r="G2331" s="8" t="s">
        <v>31</v>
      </c>
      <c r="H2331" s="8" t="s">
        <v>32</v>
      </c>
      <c r="I2331" s="8" t="s">
        <v>1400</v>
      </c>
      <c r="J2331" s="8" t="s">
        <v>11382</v>
      </c>
      <c r="K2331" s="10" t="s">
        <v>11383</v>
      </c>
      <c r="L2331" s="8" t="s">
        <v>58</v>
      </c>
      <c r="M2331" s="8" t="s">
        <v>35</v>
      </c>
      <c r="N2331" s="11">
        <v>45083.0</v>
      </c>
      <c r="O2331" s="11">
        <v>45173.0</v>
      </c>
      <c r="P2331" s="11">
        <v>45215.0</v>
      </c>
      <c r="Q2331" s="11"/>
      <c r="R2331" s="11"/>
      <c r="S2331" s="12"/>
      <c r="T2331" s="8"/>
      <c r="U2331" s="8" t="s">
        <v>88</v>
      </c>
      <c r="V2331" s="13" t="s">
        <v>38</v>
      </c>
      <c r="W2331" s="13" t="s">
        <v>11384</v>
      </c>
      <c r="X2331" s="12"/>
      <c r="Y2331" s="14"/>
      <c r="Z2331" s="14"/>
    </row>
    <row r="2332">
      <c r="A2332" s="8" t="s">
        <v>11385</v>
      </c>
      <c r="B2332" s="8" t="s">
        <v>11386</v>
      </c>
      <c r="C2332" s="8" t="s">
        <v>708</v>
      </c>
      <c r="D2332" s="8" t="s">
        <v>26</v>
      </c>
      <c r="E2332" s="8" t="s">
        <v>11387</v>
      </c>
      <c r="F2332" s="8"/>
      <c r="G2332" s="8" t="s">
        <v>254</v>
      </c>
      <c r="H2332" s="8" t="s">
        <v>1484</v>
      </c>
      <c r="I2332" s="8" t="s">
        <v>31</v>
      </c>
      <c r="J2332" s="8" t="s">
        <v>43</v>
      </c>
      <c r="K2332" s="10" t="s">
        <v>4255</v>
      </c>
      <c r="L2332" s="8" t="s">
        <v>47</v>
      </c>
      <c r="M2332" s="8" t="s">
        <v>70</v>
      </c>
      <c r="N2332" s="11">
        <v>45083.0</v>
      </c>
      <c r="O2332" s="11">
        <v>45173.0</v>
      </c>
      <c r="P2332" s="11">
        <v>45471.0</v>
      </c>
      <c r="Q2332" s="11">
        <v>45177.0</v>
      </c>
      <c r="R2332" s="11">
        <v>45477.0</v>
      </c>
      <c r="S2332" s="12"/>
      <c r="T2332" s="8"/>
      <c r="U2332" s="8" t="s">
        <v>246</v>
      </c>
      <c r="V2332" s="13" t="s">
        <v>38</v>
      </c>
      <c r="W2332" s="13" t="s">
        <v>11388</v>
      </c>
      <c r="X2332" s="12"/>
      <c r="Y2332" s="14"/>
      <c r="Z2332" s="14"/>
    </row>
    <row r="2333">
      <c r="A2333" s="8" t="s">
        <v>11389</v>
      </c>
      <c r="B2333" s="8" t="s">
        <v>11390</v>
      </c>
      <c r="C2333" s="8" t="s">
        <v>25</v>
      </c>
      <c r="D2333" s="8" t="s">
        <v>26</v>
      </c>
      <c r="E2333" s="8" t="s">
        <v>11391</v>
      </c>
      <c r="F2333" s="8">
        <v>5.076843005E9</v>
      </c>
      <c r="G2333" s="8" t="s">
        <v>31</v>
      </c>
      <c r="H2333" s="8" t="s">
        <v>32</v>
      </c>
      <c r="I2333" s="8" t="s">
        <v>195</v>
      </c>
      <c r="J2333" s="8" t="s">
        <v>6512</v>
      </c>
      <c r="K2333" s="10" t="s">
        <v>11392</v>
      </c>
      <c r="L2333" s="8" t="s">
        <v>58</v>
      </c>
      <c r="M2333" s="8" t="s">
        <v>35</v>
      </c>
      <c r="N2333" s="11">
        <v>45083.0</v>
      </c>
      <c r="O2333" s="11">
        <v>45088.0</v>
      </c>
      <c r="P2333" s="11">
        <v>45130.0</v>
      </c>
      <c r="Q2333" s="11">
        <v>45092.0</v>
      </c>
      <c r="R2333" s="11">
        <v>45134.0</v>
      </c>
      <c r="S2333" s="12"/>
      <c r="T2333" s="8"/>
      <c r="U2333" s="8" t="s">
        <v>3111</v>
      </c>
      <c r="V2333" s="13" t="s">
        <v>537</v>
      </c>
      <c r="W2333" s="13" t="s">
        <v>11393</v>
      </c>
      <c r="X2333" s="12"/>
      <c r="Y2333" s="14"/>
      <c r="Z2333" s="14"/>
    </row>
    <row r="2334">
      <c r="A2334" s="8" t="s">
        <v>11394</v>
      </c>
      <c r="B2334" s="8" t="s">
        <v>11395</v>
      </c>
      <c r="C2334" s="8" t="s">
        <v>25</v>
      </c>
      <c r="D2334" s="8" t="s">
        <v>26</v>
      </c>
      <c r="E2334" s="8" t="s">
        <v>11396</v>
      </c>
      <c r="F2334" s="8">
        <v>3.039039551E9</v>
      </c>
      <c r="G2334" s="8" t="s">
        <v>315</v>
      </c>
      <c r="H2334" s="8" t="s">
        <v>1242</v>
      </c>
      <c r="I2334" s="8" t="s">
        <v>31</v>
      </c>
      <c r="J2334" s="8" t="s">
        <v>256</v>
      </c>
      <c r="K2334" s="10" t="s">
        <v>10689</v>
      </c>
      <c r="L2334" s="8" t="s">
        <v>58</v>
      </c>
      <c r="M2334" s="8" t="s">
        <v>35</v>
      </c>
      <c r="N2334" s="11">
        <v>45084.0</v>
      </c>
      <c r="O2334" s="11">
        <v>45110.0</v>
      </c>
      <c r="P2334" s="11">
        <v>45152.0</v>
      </c>
      <c r="Q2334" s="11">
        <v>45108.0</v>
      </c>
      <c r="R2334" s="11">
        <v>45152.0</v>
      </c>
      <c r="S2334" s="12"/>
      <c r="T2334" s="8"/>
      <c r="U2334" s="8" t="s">
        <v>59</v>
      </c>
      <c r="V2334" s="13" t="s">
        <v>11397</v>
      </c>
      <c r="W2334" s="13" t="s">
        <v>11398</v>
      </c>
      <c r="X2334" s="12"/>
      <c r="Y2334" s="14"/>
      <c r="Z2334" s="14"/>
    </row>
    <row r="2335">
      <c r="A2335" s="8" t="s">
        <v>11399</v>
      </c>
      <c r="B2335" s="8" t="s">
        <v>11400</v>
      </c>
      <c r="C2335" s="8" t="s">
        <v>25</v>
      </c>
      <c r="D2335" s="8" t="s">
        <v>26</v>
      </c>
      <c r="E2335" s="8" t="s">
        <v>11401</v>
      </c>
      <c r="F2335" s="8"/>
      <c r="G2335" s="8" t="s">
        <v>54</v>
      </c>
      <c r="H2335" s="8" t="s">
        <v>135</v>
      </c>
      <c r="I2335" s="8" t="s">
        <v>31</v>
      </c>
      <c r="J2335" s="8" t="s">
        <v>77</v>
      </c>
      <c r="K2335" s="10" t="s">
        <v>8136</v>
      </c>
      <c r="L2335" s="8" t="s">
        <v>58</v>
      </c>
      <c r="M2335" s="8" t="s">
        <v>35</v>
      </c>
      <c r="N2335" s="11">
        <v>45084.0</v>
      </c>
      <c r="O2335" s="11">
        <v>45095.0</v>
      </c>
      <c r="P2335" s="11">
        <v>45137.0</v>
      </c>
      <c r="Q2335" s="11">
        <v>45103.0</v>
      </c>
      <c r="R2335" s="11">
        <v>45145.0</v>
      </c>
      <c r="S2335" s="12"/>
      <c r="T2335" s="8"/>
      <c r="U2335" s="8" t="s">
        <v>59</v>
      </c>
      <c r="V2335" s="13" t="s">
        <v>38</v>
      </c>
      <c r="W2335" s="13" t="s">
        <v>11402</v>
      </c>
      <c r="X2335" s="12"/>
      <c r="Y2335" s="14"/>
      <c r="Z2335" s="14"/>
    </row>
    <row r="2336">
      <c r="A2336" s="8" t="s">
        <v>11403</v>
      </c>
      <c r="B2336" s="8" t="s">
        <v>11404</v>
      </c>
      <c r="C2336" s="8" t="s">
        <v>335</v>
      </c>
      <c r="D2336" s="8" t="s">
        <v>26</v>
      </c>
      <c r="E2336" s="8" t="s">
        <v>11405</v>
      </c>
      <c r="F2336" s="8">
        <v>1.22928323E9</v>
      </c>
      <c r="G2336" s="8" t="s">
        <v>284</v>
      </c>
      <c r="H2336" s="8" t="s">
        <v>300</v>
      </c>
      <c r="I2336" s="8" t="s">
        <v>31</v>
      </c>
      <c r="J2336" s="8" t="s">
        <v>43</v>
      </c>
      <c r="K2336" s="10" t="s">
        <v>11166</v>
      </c>
      <c r="L2336" s="8" t="s">
        <v>58</v>
      </c>
      <c r="M2336" s="8" t="s">
        <v>35</v>
      </c>
      <c r="N2336" s="11">
        <v>45138.0</v>
      </c>
      <c r="O2336" s="11">
        <v>45131.0</v>
      </c>
      <c r="P2336" s="11">
        <v>45177.0</v>
      </c>
      <c r="Q2336" s="11"/>
      <c r="R2336" s="11"/>
      <c r="S2336" s="12"/>
      <c r="T2336" s="8"/>
      <c r="U2336" s="8" t="s">
        <v>59</v>
      </c>
      <c r="V2336" s="13" t="s">
        <v>300</v>
      </c>
      <c r="W2336" s="13" t="s">
        <v>11406</v>
      </c>
      <c r="X2336" s="12"/>
      <c r="Y2336" s="14"/>
      <c r="Z2336" s="14"/>
    </row>
    <row r="2337">
      <c r="A2337" s="8" t="s">
        <v>11407</v>
      </c>
      <c r="B2337" s="8" t="s">
        <v>11408</v>
      </c>
      <c r="C2337" s="8" t="s">
        <v>25</v>
      </c>
      <c r="D2337" s="8" t="s">
        <v>26</v>
      </c>
      <c r="E2337" s="8" t="s">
        <v>11409</v>
      </c>
      <c r="F2337" s="8">
        <v>1.285270883E9</v>
      </c>
      <c r="G2337" s="8" t="s">
        <v>284</v>
      </c>
      <c r="H2337" s="8" t="s">
        <v>793</v>
      </c>
      <c r="I2337" s="8" t="s">
        <v>31</v>
      </c>
      <c r="J2337" s="8" t="s">
        <v>43</v>
      </c>
      <c r="K2337" s="10" t="s">
        <v>11166</v>
      </c>
      <c r="L2337" s="8" t="s">
        <v>58</v>
      </c>
      <c r="M2337" s="8" t="s">
        <v>35</v>
      </c>
      <c r="N2337" s="11">
        <v>45084.0</v>
      </c>
      <c r="O2337" s="11">
        <v>45131.0</v>
      </c>
      <c r="P2337" s="11">
        <v>45177.0</v>
      </c>
      <c r="Q2337" s="11">
        <v>45147.0</v>
      </c>
      <c r="R2337" s="11">
        <v>45193.0</v>
      </c>
      <c r="S2337" s="12"/>
      <c r="T2337" s="8"/>
      <c r="U2337" s="8" t="s">
        <v>59</v>
      </c>
      <c r="V2337" s="13" t="s">
        <v>793</v>
      </c>
      <c r="W2337" s="13" t="s">
        <v>11410</v>
      </c>
      <c r="X2337" s="12"/>
      <c r="Y2337" s="14"/>
      <c r="Z2337" s="14"/>
    </row>
    <row r="2338">
      <c r="A2338" s="8" t="s">
        <v>11411</v>
      </c>
      <c r="B2338" s="8" t="s">
        <v>11412</v>
      </c>
      <c r="C2338" s="8" t="s">
        <v>179</v>
      </c>
      <c r="D2338" s="8" t="s">
        <v>26</v>
      </c>
      <c r="E2338" s="8" t="s">
        <v>11413</v>
      </c>
      <c r="F2338" s="8">
        <v>1.09220376E9</v>
      </c>
      <c r="G2338" s="8" t="s">
        <v>284</v>
      </c>
      <c r="H2338" s="8" t="s">
        <v>691</v>
      </c>
      <c r="I2338" s="8" t="s">
        <v>31</v>
      </c>
      <c r="J2338" s="8" t="s">
        <v>220</v>
      </c>
      <c r="K2338" s="10" t="s">
        <v>11414</v>
      </c>
      <c r="L2338" s="8" t="s">
        <v>47</v>
      </c>
      <c r="M2338" s="8" t="s">
        <v>70</v>
      </c>
      <c r="N2338" s="11">
        <v>45084.0</v>
      </c>
      <c r="O2338" s="11">
        <v>45139.0</v>
      </c>
      <c r="P2338" s="11">
        <v>45505.0</v>
      </c>
      <c r="Q2338" s="11"/>
      <c r="R2338" s="11"/>
      <c r="S2338" s="12"/>
      <c r="T2338" s="8"/>
      <c r="U2338" s="8" t="s">
        <v>246</v>
      </c>
      <c r="V2338" s="13" t="s">
        <v>692</v>
      </c>
      <c r="W2338" s="13" t="s">
        <v>11415</v>
      </c>
      <c r="X2338" s="12"/>
      <c r="Y2338" s="14"/>
      <c r="Z2338" s="14"/>
    </row>
    <row r="2339">
      <c r="A2339" s="8" t="s">
        <v>11416</v>
      </c>
      <c r="B2339" s="8" t="s">
        <v>11417</v>
      </c>
      <c r="C2339" s="8" t="s">
        <v>179</v>
      </c>
      <c r="D2339" s="8" t="s">
        <v>26</v>
      </c>
      <c r="E2339" s="8" t="s">
        <v>11418</v>
      </c>
      <c r="F2339" s="8">
        <v>1.122573322E9</v>
      </c>
      <c r="G2339" s="8" t="s">
        <v>284</v>
      </c>
      <c r="H2339" s="8" t="s">
        <v>793</v>
      </c>
      <c r="I2339" s="8" t="s">
        <v>31</v>
      </c>
      <c r="J2339" s="8" t="s">
        <v>32</v>
      </c>
      <c r="K2339" s="10" t="s">
        <v>561</v>
      </c>
      <c r="L2339" s="8" t="s">
        <v>58</v>
      </c>
      <c r="M2339" s="8" t="s">
        <v>35</v>
      </c>
      <c r="N2339" s="11">
        <v>45084.0</v>
      </c>
      <c r="O2339" s="11">
        <v>45172.0</v>
      </c>
      <c r="P2339" s="11">
        <v>45214.0</v>
      </c>
      <c r="Q2339" s="11"/>
      <c r="R2339" s="11"/>
      <c r="S2339" s="12"/>
      <c r="T2339" s="8"/>
      <c r="U2339" s="8" t="s">
        <v>59</v>
      </c>
      <c r="V2339" s="13" t="s">
        <v>11419</v>
      </c>
      <c r="W2339" s="13" t="s">
        <v>11420</v>
      </c>
      <c r="X2339" s="12"/>
      <c r="Y2339" s="14"/>
      <c r="Z2339" s="14"/>
    </row>
    <row r="2340">
      <c r="A2340" s="8" t="s">
        <v>11421</v>
      </c>
      <c r="B2340" s="8" t="s">
        <v>11422</v>
      </c>
      <c r="C2340" s="8" t="s">
        <v>179</v>
      </c>
      <c r="D2340" s="8" t="s">
        <v>26</v>
      </c>
      <c r="E2340" s="8" t="s">
        <v>11423</v>
      </c>
      <c r="F2340" s="8"/>
      <c r="G2340" s="8" t="s">
        <v>6087</v>
      </c>
      <c r="H2340" s="8" t="s">
        <v>6088</v>
      </c>
      <c r="I2340" s="8" t="s">
        <v>31</v>
      </c>
      <c r="J2340" s="8" t="s">
        <v>77</v>
      </c>
      <c r="K2340" s="10" t="s">
        <v>820</v>
      </c>
      <c r="L2340" s="8" t="s">
        <v>47</v>
      </c>
      <c r="M2340" s="8" t="s">
        <v>70</v>
      </c>
      <c r="N2340" s="11">
        <v>45084.0</v>
      </c>
      <c r="O2340" s="11">
        <v>45173.0</v>
      </c>
      <c r="P2340" s="11">
        <v>45515.0</v>
      </c>
      <c r="Q2340" s="11"/>
      <c r="R2340" s="11"/>
      <c r="S2340" s="12"/>
      <c r="T2340" s="8"/>
      <c r="U2340" s="8" t="s">
        <v>821</v>
      </c>
      <c r="V2340" s="13" t="s">
        <v>38</v>
      </c>
      <c r="W2340" s="13" t="s">
        <v>11424</v>
      </c>
      <c r="X2340" s="12"/>
      <c r="Y2340" s="14"/>
      <c r="Z2340" s="14"/>
    </row>
    <row r="2341">
      <c r="A2341" s="8" t="s">
        <v>11425</v>
      </c>
      <c r="B2341" s="8" t="s">
        <v>11426</v>
      </c>
      <c r="C2341" s="8" t="s">
        <v>25</v>
      </c>
      <c r="D2341" s="8" t="s">
        <v>26</v>
      </c>
      <c r="E2341" s="8" t="s">
        <v>11427</v>
      </c>
      <c r="F2341" s="8">
        <v>5.321308502E9</v>
      </c>
      <c r="G2341" s="8" t="s">
        <v>31</v>
      </c>
      <c r="H2341" s="8" t="s">
        <v>86</v>
      </c>
      <c r="I2341" s="8" t="s">
        <v>284</v>
      </c>
      <c r="J2341" s="8" t="s">
        <v>793</v>
      </c>
      <c r="K2341" s="10" t="s">
        <v>11428</v>
      </c>
      <c r="L2341" s="8" t="s">
        <v>58</v>
      </c>
      <c r="M2341" s="8" t="s">
        <v>35</v>
      </c>
      <c r="N2341" s="11">
        <v>45084.0</v>
      </c>
      <c r="O2341" s="11">
        <v>45124.0</v>
      </c>
      <c r="P2341" s="11">
        <v>45166.0</v>
      </c>
      <c r="Q2341" s="11">
        <v>45124.0</v>
      </c>
      <c r="R2341" s="11">
        <v>45168.0</v>
      </c>
      <c r="S2341" s="12"/>
      <c r="T2341" s="8"/>
      <c r="U2341" s="8" t="s">
        <v>371</v>
      </c>
      <c r="V2341" s="13" t="s">
        <v>175</v>
      </c>
      <c r="W2341" s="13" t="s">
        <v>11429</v>
      </c>
      <c r="X2341" s="12"/>
      <c r="Y2341" s="14"/>
      <c r="Z2341" s="14"/>
    </row>
    <row r="2342">
      <c r="A2342" s="8" t="s">
        <v>11430</v>
      </c>
      <c r="B2342" s="8" t="s">
        <v>11431</v>
      </c>
      <c r="C2342" s="8" t="s">
        <v>25</v>
      </c>
      <c r="D2342" s="8" t="s">
        <v>26</v>
      </c>
      <c r="E2342" s="8" t="s">
        <v>11432</v>
      </c>
      <c r="F2342" s="8">
        <v>5.531976142E9</v>
      </c>
      <c r="G2342" s="8" t="s">
        <v>31</v>
      </c>
      <c r="H2342" s="8" t="s">
        <v>542</v>
      </c>
      <c r="I2342" s="8" t="s">
        <v>54</v>
      </c>
      <c r="J2342" s="8" t="s">
        <v>1911</v>
      </c>
      <c r="K2342" s="10" t="s">
        <v>9184</v>
      </c>
      <c r="L2342" s="8" t="s">
        <v>58</v>
      </c>
      <c r="M2342" s="8" t="s">
        <v>35</v>
      </c>
      <c r="N2342" s="11">
        <v>45084.0</v>
      </c>
      <c r="O2342" s="11">
        <v>45131.0</v>
      </c>
      <c r="P2342" s="11">
        <v>45173.0</v>
      </c>
      <c r="Q2342" s="11">
        <v>45131.0</v>
      </c>
      <c r="R2342" s="11">
        <v>45173.0</v>
      </c>
      <c r="S2342" s="12"/>
      <c r="T2342" s="8"/>
      <c r="U2342" s="8" t="s">
        <v>402</v>
      </c>
      <c r="V2342" s="13" t="s">
        <v>545</v>
      </c>
      <c r="W2342" s="13" t="s">
        <v>11433</v>
      </c>
      <c r="X2342" s="12"/>
      <c r="Y2342" s="14"/>
      <c r="Z2342" s="14"/>
    </row>
    <row r="2343">
      <c r="A2343" s="8" t="s">
        <v>11434</v>
      </c>
      <c r="B2343" s="8" t="s">
        <v>11435</v>
      </c>
      <c r="C2343" s="8" t="s">
        <v>25</v>
      </c>
      <c r="D2343" s="8" t="s">
        <v>26</v>
      </c>
      <c r="E2343" s="8" t="s">
        <v>11436</v>
      </c>
      <c r="F2343" s="8"/>
      <c r="G2343" s="8" t="s">
        <v>8344</v>
      </c>
      <c r="H2343" s="8" t="s">
        <v>11437</v>
      </c>
      <c r="I2343" s="8" t="s">
        <v>31</v>
      </c>
      <c r="J2343" s="8" t="s">
        <v>77</v>
      </c>
      <c r="K2343" s="10" t="s">
        <v>94</v>
      </c>
      <c r="L2343" s="8" t="s">
        <v>58</v>
      </c>
      <c r="M2343" s="8" t="s">
        <v>35</v>
      </c>
      <c r="N2343" s="11">
        <v>45084.0</v>
      </c>
      <c r="O2343" s="11">
        <v>45110.0</v>
      </c>
      <c r="P2343" s="11">
        <v>45152.0</v>
      </c>
      <c r="Q2343" s="11">
        <v>45110.0</v>
      </c>
      <c r="R2343" s="11">
        <v>45152.0</v>
      </c>
      <c r="S2343" s="12"/>
      <c r="T2343" s="8"/>
      <c r="U2343" s="8" t="s">
        <v>59</v>
      </c>
      <c r="V2343" s="13" t="s">
        <v>38</v>
      </c>
      <c r="W2343" s="13" t="s">
        <v>11438</v>
      </c>
      <c r="X2343" s="12"/>
      <c r="Y2343" s="14"/>
      <c r="Z2343" s="14"/>
    </row>
    <row r="2344">
      <c r="A2344" s="8" t="s">
        <v>11439</v>
      </c>
      <c r="B2344" s="8" t="s">
        <v>11440</v>
      </c>
      <c r="C2344" s="8" t="s">
        <v>708</v>
      </c>
      <c r="D2344" s="8" t="s">
        <v>26</v>
      </c>
      <c r="E2344" s="8" t="s">
        <v>11441</v>
      </c>
      <c r="F2344" s="8"/>
      <c r="G2344" s="8" t="s">
        <v>29</v>
      </c>
      <c r="H2344" s="8" t="s">
        <v>5003</v>
      </c>
      <c r="I2344" s="8" t="s">
        <v>31</v>
      </c>
      <c r="J2344" s="8" t="s">
        <v>66</v>
      </c>
      <c r="K2344" s="10" t="s">
        <v>11442</v>
      </c>
      <c r="L2344" s="8" t="s">
        <v>47</v>
      </c>
      <c r="M2344" s="8" t="s">
        <v>70</v>
      </c>
      <c r="N2344" s="11">
        <v>45084.0</v>
      </c>
      <c r="O2344" s="11">
        <v>45170.0</v>
      </c>
      <c r="P2344" s="11">
        <v>45536.0</v>
      </c>
      <c r="Q2344" s="11">
        <v>45182.0</v>
      </c>
      <c r="R2344" s="11">
        <v>45546.0</v>
      </c>
      <c r="S2344" s="12"/>
      <c r="T2344" s="8"/>
      <c r="U2344" s="8" t="s">
        <v>11443</v>
      </c>
      <c r="V2344" s="13" t="s">
        <v>38</v>
      </c>
      <c r="W2344" s="13" t="s">
        <v>11444</v>
      </c>
      <c r="X2344" s="12"/>
      <c r="Y2344" s="14"/>
      <c r="Z2344" s="14"/>
    </row>
    <row r="2345">
      <c r="A2345" s="8" t="s">
        <v>11445</v>
      </c>
      <c r="B2345" s="8" t="s">
        <v>11446</v>
      </c>
      <c r="C2345" s="8" t="s">
        <v>708</v>
      </c>
      <c r="D2345" s="8" t="s">
        <v>26</v>
      </c>
      <c r="E2345" s="8" t="s">
        <v>11447</v>
      </c>
      <c r="F2345" s="8">
        <v>5.557527068E9</v>
      </c>
      <c r="G2345" s="8" t="s">
        <v>31</v>
      </c>
      <c r="H2345" s="8" t="s">
        <v>77</v>
      </c>
      <c r="I2345" s="8" t="s">
        <v>67</v>
      </c>
      <c r="J2345" s="8" t="s">
        <v>11448</v>
      </c>
      <c r="K2345" s="10" t="s">
        <v>11449</v>
      </c>
      <c r="L2345" s="8" t="s">
        <v>47</v>
      </c>
      <c r="M2345" s="8" t="s">
        <v>70</v>
      </c>
      <c r="N2345" s="11">
        <v>45084.0</v>
      </c>
      <c r="O2345" s="11">
        <v>45170.0</v>
      </c>
      <c r="P2345" s="11">
        <v>45444.0</v>
      </c>
      <c r="Q2345" s="11">
        <v>45176.0</v>
      </c>
      <c r="R2345" s="11">
        <v>45448.0</v>
      </c>
      <c r="S2345" s="12"/>
      <c r="T2345" s="8"/>
      <c r="U2345" s="8" t="s">
        <v>11450</v>
      </c>
      <c r="V2345" s="13" t="s">
        <v>77</v>
      </c>
      <c r="W2345" s="13" t="s">
        <v>11451</v>
      </c>
      <c r="X2345" s="12"/>
      <c r="Y2345" s="14"/>
      <c r="Z2345" s="14"/>
    </row>
    <row r="2346">
      <c r="A2346" s="8" t="s">
        <v>11452</v>
      </c>
      <c r="B2346" s="8" t="s">
        <v>11453</v>
      </c>
      <c r="C2346" s="8" t="s">
        <v>179</v>
      </c>
      <c r="D2346" s="8" t="s">
        <v>26</v>
      </c>
      <c r="E2346" s="8" t="s">
        <v>11454</v>
      </c>
      <c r="F2346" s="8">
        <v>1.7615082928E10</v>
      </c>
      <c r="G2346" s="8" t="s">
        <v>31</v>
      </c>
      <c r="H2346" s="8" t="s">
        <v>86</v>
      </c>
      <c r="I2346" s="8" t="s">
        <v>202</v>
      </c>
      <c r="J2346" s="8" t="s">
        <v>3890</v>
      </c>
      <c r="K2346" s="10" t="s">
        <v>11455</v>
      </c>
      <c r="L2346" s="8" t="s">
        <v>34</v>
      </c>
      <c r="M2346" s="8" t="s">
        <v>70</v>
      </c>
      <c r="N2346" s="11">
        <v>45085.0</v>
      </c>
      <c r="O2346" s="11">
        <v>45170.0</v>
      </c>
      <c r="P2346" s="11">
        <v>45535.0</v>
      </c>
      <c r="Q2346" s="11"/>
      <c r="R2346" s="11"/>
      <c r="S2346" s="12"/>
      <c r="T2346" s="8" t="s">
        <v>224</v>
      </c>
      <c r="U2346" s="8" t="s">
        <v>11456</v>
      </c>
      <c r="V2346" s="13" t="s">
        <v>175</v>
      </c>
      <c r="W2346" s="13" t="s">
        <v>11457</v>
      </c>
      <c r="X2346" s="12"/>
      <c r="Y2346" s="14"/>
      <c r="Z2346" s="14"/>
    </row>
    <row r="2347">
      <c r="A2347" s="8" t="s">
        <v>11458</v>
      </c>
      <c r="B2347" s="8" t="s">
        <v>11459</v>
      </c>
      <c r="C2347" s="8" t="s">
        <v>179</v>
      </c>
      <c r="D2347" s="8" t="s">
        <v>26</v>
      </c>
      <c r="E2347" s="8" t="s">
        <v>11460</v>
      </c>
      <c r="F2347" s="8">
        <v>9.5049479E7</v>
      </c>
      <c r="G2347" s="8" t="s">
        <v>54</v>
      </c>
      <c r="H2347" s="8" t="s">
        <v>244</v>
      </c>
      <c r="I2347" s="8" t="s">
        <v>31</v>
      </c>
      <c r="J2347" s="8" t="s">
        <v>1274</v>
      </c>
      <c r="K2347" s="10" t="s">
        <v>11461</v>
      </c>
      <c r="L2347" s="8" t="s">
        <v>58</v>
      </c>
      <c r="M2347" s="8" t="s">
        <v>35</v>
      </c>
      <c r="N2347" s="11">
        <v>45085.0</v>
      </c>
      <c r="O2347" s="11">
        <v>45236.0</v>
      </c>
      <c r="P2347" s="11">
        <v>45278.0</v>
      </c>
      <c r="Q2347" s="11"/>
      <c r="R2347" s="11"/>
      <c r="S2347" s="12"/>
      <c r="T2347" s="8"/>
      <c r="U2347" s="8" t="s">
        <v>339</v>
      </c>
      <c r="V2347" s="13" t="s">
        <v>11338</v>
      </c>
      <c r="W2347" s="13" t="s">
        <v>11462</v>
      </c>
      <c r="X2347" s="12"/>
      <c r="Y2347" s="14"/>
      <c r="Z2347" s="14"/>
    </row>
    <row r="2348">
      <c r="A2348" s="8" t="s">
        <v>11463</v>
      </c>
      <c r="B2348" s="8" t="s">
        <v>11464</v>
      </c>
      <c r="C2348" s="8" t="s">
        <v>179</v>
      </c>
      <c r="D2348" s="8" t="s">
        <v>26</v>
      </c>
      <c r="E2348" s="8" t="s">
        <v>11465</v>
      </c>
      <c r="F2348" s="8">
        <v>5.529331559E9</v>
      </c>
      <c r="G2348" s="8" t="s">
        <v>31</v>
      </c>
      <c r="H2348" s="8" t="s">
        <v>77</v>
      </c>
      <c r="I2348" s="8" t="s">
        <v>44</v>
      </c>
      <c r="J2348" s="8" t="s">
        <v>741</v>
      </c>
      <c r="K2348" s="10" t="s">
        <v>2675</v>
      </c>
      <c r="L2348" s="8" t="s">
        <v>58</v>
      </c>
      <c r="M2348" s="8" t="s">
        <v>35</v>
      </c>
      <c r="N2348" s="11">
        <v>45085.0</v>
      </c>
      <c r="O2348" s="11">
        <v>45099.0</v>
      </c>
      <c r="P2348" s="11">
        <v>45141.0</v>
      </c>
      <c r="Q2348" s="11"/>
      <c r="R2348" s="11"/>
      <c r="S2348" s="12"/>
      <c r="T2348" s="8"/>
      <c r="U2348" s="8" t="s">
        <v>59</v>
      </c>
      <c r="V2348" s="13" t="s">
        <v>77</v>
      </c>
      <c r="W2348" s="13" t="s">
        <v>11466</v>
      </c>
      <c r="X2348" s="12"/>
      <c r="Y2348" s="14"/>
      <c r="Z2348" s="14"/>
    </row>
    <row r="2349">
      <c r="A2349" s="8" t="s">
        <v>11467</v>
      </c>
      <c r="B2349" s="8" t="s">
        <v>11468</v>
      </c>
      <c r="C2349" s="8" t="s">
        <v>25</v>
      </c>
      <c r="D2349" s="8" t="s">
        <v>26</v>
      </c>
      <c r="E2349" s="8" t="s">
        <v>11469</v>
      </c>
      <c r="F2349" s="8"/>
      <c r="G2349" s="8" t="s">
        <v>54</v>
      </c>
      <c r="H2349" s="8" t="s">
        <v>135</v>
      </c>
      <c r="I2349" s="8" t="s">
        <v>31</v>
      </c>
      <c r="J2349" s="8" t="s">
        <v>77</v>
      </c>
      <c r="K2349" s="10" t="s">
        <v>11198</v>
      </c>
      <c r="L2349" s="8" t="s">
        <v>58</v>
      </c>
      <c r="M2349" s="8" t="s">
        <v>35</v>
      </c>
      <c r="N2349" s="11">
        <v>45085.0</v>
      </c>
      <c r="O2349" s="11">
        <v>45110.0</v>
      </c>
      <c r="P2349" s="11">
        <v>45152.0</v>
      </c>
      <c r="Q2349" s="11">
        <v>45110.0</v>
      </c>
      <c r="R2349" s="11">
        <v>45152.0</v>
      </c>
      <c r="S2349" s="12"/>
      <c r="T2349" s="8"/>
      <c r="U2349" s="8" t="s">
        <v>339</v>
      </c>
      <c r="V2349" s="13" t="s">
        <v>38</v>
      </c>
      <c r="W2349" s="13" t="s">
        <v>11470</v>
      </c>
      <c r="X2349" s="12"/>
      <c r="Y2349" s="14"/>
      <c r="Z2349" s="14"/>
    </row>
    <row r="2350">
      <c r="A2350" s="8" t="s">
        <v>11471</v>
      </c>
      <c r="B2350" s="8" t="s">
        <v>7839</v>
      </c>
      <c r="C2350" s="8" t="s">
        <v>25</v>
      </c>
      <c r="D2350" s="8" t="s">
        <v>26</v>
      </c>
      <c r="E2350" s="8" t="s">
        <v>11472</v>
      </c>
      <c r="F2350" s="8">
        <v>5.373076363E9</v>
      </c>
      <c r="G2350" s="8" t="s">
        <v>31</v>
      </c>
      <c r="H2350" s="8" t="s">
        <v>256</v>
      </c>
      <c r="I2350" s="8" t="s">
        <v>127</v>
      </c>
      <c r="J2350" s="8" t="s">
        <v>3006</v>
      </c>
      <c r="K2350" s="10" t="s">
        <v>11473</v>
      </c>
      <c r="L2350" s="8" t="s">
        <v>58</v>
      </c>
      <c r="M2350" s="8" t="s">
        <v>35</v>
      </c>
      <c r="N2350" s="11">
        <v>45085.0</v>
      </c>
      <c r="O2350" s="11">
        <v>45131.0</v>
      </c>
      <c r="P2350" s="11">
        <v>45173.0</v>
      </c>
      <c r="Q2350" s="11">
        <v>45134.0</v>
      </c>
      <c r="R2350" s="11">
        <v>45175.0</v>
      </c>
      <c r="S2350" s="12"/>
      <c r="T2350" s="8"/>
      <c r="U2350" s="8" t="s">
        <v>88</v>
      </c>
      <c r="V2350" s="13" t="s">
        <v>256</v>
      </c>
      <c r="W2350" s="13" t="s">
        <v>11474</v>
      </c>
      <c r="X2350" s="12"/>
      <c r="Y2350" s="14"/>
      <c r="Z2350" s="14"/>
    </row>
    <row r="2351">
      <c r="A2351" s="8" t="s">
        <v>11475</v>
      </c>
      <c r="B2351" s="8" t="s">
        <v>2595</v>
      </c>
      <c r="C2351" s="8" t="s">
        <v>708</v>
      </c>
      <c r="D2351" s="8" t="s">
        <v>26</v>
      </c>
      <c r="E2351" s="8" t="s">
        <v>2596</v>
      </c>
      <c r="F2351" s="8"/>
      <c r="G2351" s="8" t="s">
        <v>54</v>
      </c>
      <c r="H2351" s="8" t="s">
        <v>377</v>
      </c>
      <c r="I2351" s="8" t="s">
        <v>31</v>
      </c>
      <c r="J2351" s="8" t="s">
        <v>542</v>
      </c>
      <c r="K2351" s="10" t="s">
        <v>11476</v>
      </c>
      <c r="L2351" s="8" t="s">
        <v>47</v>
      </c>
      <c r="M2351" s="8" t="s">
        <v>70</v>
      </c>
      <c r="N2351" s="11">
        <v>45085.0</v>
      </c>
      <c r="O2351" s="11">
        <v>45145.0</v>
      </c>
      <c r="P2351" s="11">
        <v>45473.0</v>
      </c>
      <c r="Q2351" s="11">
        <v>45170.0</v>
      </c>
      <c r="R2351" s="11">
        <v>45535.0</v>
      </c>
      <c r="S2351" s="12"/>
      <c r="T2351" s="8"/>
      <c r="U2351" s="8" t="s">
        <v>11477</v>
      </c>
      <c r="V2351" s="13" t="s">
        <v>38</v>
      </c>
      <c r="W2351" s="13" t="s">
        <v>2599</v>
      </c>
      <c r="X2351" s="12"/>
      <c r="Y2351" s="14"/>
      <c r="Z2351" s="14"/>
    </row>
    <row r="2352">
      <c r="A2352" s="8" t="s">
        <v>11478</v>
      </c>
      <c r="B2352" s="8" t="s">
        <v>11479</v>
      </c>
      <c r="C2352" s="8" t="s">
        <v>64</v>
      </c>
      <c r="D2352" s="8" t="s">
        <v>26</v>
      </c>
      <c r="E2352" s="8" t="s">
        <v>11480</v>
      </c>
      <c r="F2352" s="8">
        <v>9.5937809E7</v>
      </c>
      <c r="G2352" s="8" t="s">
        <v>54</v>
      </c>
      <c r="H2352" s="8" t="s">
        <v>55</v>
      </c>
      <c r="I2352" s="8" t="s">
        <v>31</v>
      </c>
      <c r="J2352" s="8" t="s">
        <v>292</v>
      </c>
      <c r="K2352" s="10" t="s">
        <v>11481</v>
      </c>
      <c r="L2352" s="8" t="s">
        <v>58</v>
      </c>
      <c r="M2352" s="8" t="s">
        <v>35</v>
      </c>
      <c r="N2352" s="11">
        <v>45085.0</v>
      </c>
      <c r="O2352" s="11">
        <v>45187.0</v>
      </c>
      <c r="P2352" s="11">
        <v>45229.0</v>
      </c>
      <c r="Q2352" s="11">
        <v>45194.0</v>
      </c>
      <c r="R2352" s="11">
        <v>45236.0</v>
      </c>
      <c r="S2352" s="12"/>
      <c r="T2352" s="8"/>
      <c r="U2352" s="8" t="s">
        <v>88</v>
      </c>
      <c r="V2352" s="13" t="s">
        <v>2871</v>
      </c>
      <c r="W2352" s="13" t="s">
        <v>11482</v>
      </c>
      <c r="X2352" s="12"/>
      <c r="Y2352" s="14"/>
      <c r="Z2352" s="14"/>
    </row>
    <row r="2353">
      <c r="A2353" s="8" t="s">
        <v>11483</v>
      </c>
      <c r="B2353" s="8" t="s">
        <v>11484</v>
      </c>
      <c r="C2353" s="8" t="s">
        <v>64</v>
      </c>
      <c r="D2353" s="8" t="s">
        <v>26</v>
      </c>
      <c r="E2353" s="8" t="s">
        <v>11485</v>
      </c>
      <c r="F2353" s="8">
        <v>2.8239763E7</v>
      </c>
      <c r="G2353" s="8" t="s">
        <v>54</v>
      </c>
      <c r="H2353" s="8" t="s">
        <v>1640</v>
      </c>
      <c r="I2353" s="8" t="s">
        <v>31</v>
      </c>
      <c r="J2353" s="8" t="s">
        <v>86</v>
      </c>
      <c r="K2353" s="10" t="s">
        <v>3755</v>
      </c>
      <c r="L2353" s="8" t="s">
        <v>34</v>
      </c>
      <c r="M2353" s="8" t="s">
        <v>70</v>
      </c>
      <c r="N2353" s="11">
        <v>45085.0</v>
      </c>
      <c r="O2353" s="11">
        <v>45124.0</v>
      </c>
      <c r="P2353" s="11">
        <v>45317.0</v>
      </c>
      <c r="Q2353" s="11">
        <v>45107.0</v>
      </c>
      <c r="R2353" s="11">
        <v>45317.0</v>
      </c>
      <c r="S2353" s="12"/>
      <c r="T2353" s="8" t="s">
        <v>36</v>
      </c>
      <c r="U2353" s="8" t="s">
        <v>3756</v>
      </c>
      <c r="V2353" s="13" t="s">
        <v>1659</v>
      </c>
      <c r="W2353" s="13" t="s">
        <v>11486</v>
      </c>
      <c r="X2353" s="12"/>
      <c r="Y2353" s="14"/>
      <c r="Z2353" s="14"/>
    </row>
    <row r="2354">
      <c r="A2354" s="8" t="s">
        <v>11487</v>
      </c>
      <c r="B2354" s="8" t="s">
        <v>11488</v>
      </c>
      <c r="C2354" s="8" t="s">
        <v>25</v>
      </c>
      <c r="D2354" s="8" t="s">
        <v>26</v>
      </c>
      <c r="E2354" s="8" t="s">
        <v>11489</v>
      </c>
      <c r="F2354" s="8">
        <v>5.537313235E9</v>
      </c>
      <c r="G2354" s="8" t="s">
        <v>31</v>
      </c>
      <c r="H2354" s="8" t="s">
        <v>220</v>
      </c>
      <c r="I2354" s="8" t="s">
        <v>54</v>
      </c>
      <c r="J2354" s="8" t="s">
        <v>244</v>
      </c>
      <c r="K2354" s="10" t="s">
        <v>7446</v>
      </c>
      <c r="L2354" s="8" t="s">
        <v>58</v>
      </c>
      <c r="M2354" s="8" t="s">
        <v>35</v>
      </c>
      <c r="N2354" s="11">
        <v>45085.0</v>
      </c>
      <c r="O2354" s="11">
        <v>45110.0</v>
      </c>
      <c r="P2354" s="11">
        <v>45152.0</v>
      </c>
      <c r="Q2354" s="11">
        <v>45110.0</v>
      </c>
      <c r="R2354" s="11">
        <v>45152.0</v>
      </c>
      <c r="S2354" s="12"/>
      <c r="T2354" s="8"/>
      <c r="U2354" s="8" t="s">
        <v>371</v>
      </c>
      <c r="V2354" s="13" t="s">
        <v>220</v>
      </c>
      <c r="W2354" s="13" t="s">
        <v>11490</v>
      </c>
      <c r="X2354" s="12"/>
      <c r="Y2354" s="14"/>
      <c r="Z2354" s="14"/>
    </row>
    <row r="2355">
      <c r="A2355" s="8" t="s">
        <v>11491</v>
      </c>
      <c r="B2355" s="8" t="s">
        <v>11492</v>
      </c>
      <c r="C2355" s="8" t="s">
        <v>335</v>
      </c>
      <c r="D2355" s="8" t="s">
        <v>26</v>
      </c>
      <c r="E2355" s="8" t="s">
        <v>11493</v>
      </c>
      <c r="F2355" s="8"/>
      <c r="G2355" s="8" t="s">
        <v>54</v>
      </c>
      <c r="H2355" s="8" t="s">
        <v>430</v>
      </c>
      <c r="I2355" s="8" t="s">
        <v>31</v>
      </c>
      <c r="J2355" s="8" t="s">
        <v>111</v>
      </c>
      <c r="K2355" s="10" t="s">
        <v>11494</v>
      </c>
      <c r="L2355" s="8" t="s">
        <v>47</v>
      </c>
      <c r="M2355" s="8" t="s">
        <v>70</v>
      </c>
      <c r="N2355" s="11">
        <v>45115.0</v>
      </c>
      <c r="O2355" s="11">
        <v>45117.0</v>
      </c>
      <c r="P2355" s="11">
        <v>45480.0</v>
      </c>
      <c r="Q2355" s="11"/>
      <c r="R2355" s="11"/>
      <c r="S2355" s="12"/>
      <c r="T2355" s="8"/>
      <c r="U2355" s="8" t="s">
        <v>795</v>
      </c>
      <c r="V2355" s="13" t="s">
        <v>38</v>
      </c>
      <c r="W2355" s="13" t="s">
        <v>11495</v>
      </c>
      <c r="X2355" s="12"/>
      <c r="Y2355" s="14"/>
      <c r="Z2355" s="14"/>
    </row>
    <row r="2356">
      <c r="A2356" s="8" t="s">
        <v>11496</v>
      </c>
      <c r="B2356" s="8" t="s">
        <v>11497</v>
      </c>
      <c r="C2356" s="8" t="s">
        <v>708</v>
      </c>
      <c r="D2356" s="8" t="s">
        <v>26</v>
      </c>
      <c r="E2356" s="8" t="s">
        <v>11498</v>
      </c>
      <c r="F2356" s="8">
        <v>1.009560379E9</v>
      </c>
      <c r="G2356" s="8" t="s">
        <v>284</v>
      </c>
      <c r="H2356" s="8" t="s">
        <v>854</v>
      </c>
      <c r="I2356" s="8" t="s">
        <v>31</v>
      </c>
      <c r="J2356" s="8" t="s">
        <v>111</v>
      </c>
      <c r="K2356" s="10" t="s">
        <v>11499</v>
      </c>
      <c r="L2356" s="8" t="s">
        <v>47</v>
      </c>
      <c r="M2356" s="8" t="s">
        <v>70</v>
      </c>
      <c r="N2356" s="11">
        <v>45085.0</v>
      </c>
      <c r="O2356" s="11">
        <v>45145.0</v>
      </c>
      <c r="P2356" s="11">
        <v>45507.0</v>
      </c>
      <c r="Q2356" s="11">
        <v>45146.0</v>
      </c>
      <c r="R2356" s="11">
        <v>45508.0</v>
      </c>
      <c r="S2356" s="12"/>
      <c r="T2356" s="8"/>
      <c r="U2356" s="8" t="s">
        <v>246</v>
      </c>
      <c r="V2356" s="13" t="s">
        <v>856</v>
      </c>
      <c r="W2356" s="13" t="s">
        <v>11500</v>
      </c>
      <c r="X2356" s="12"/>
      <c r="Y2356" s="14"/>
      <c r="Z2356" s="14"/>
    </row>
    <row r="2357">
      <c r="A2357" s="8" t="s">
        <v>11501</v>
      </c>
      <c r="B2357" s="8" t="s">
        <v>11502</v>
      </c>
      <c r="C2357" s="8" t="s">
        <v>25</v>
      </c>
      <c r="D2357" s="8" t="s">
        <v>26</v>
      </c>
      <c r="E2357" s="8" t="s">
        <v>11503</v>
      </c>
      <c r="F2357" s="8"/>
      <c r="G2357" s="8" t="s">
        <v>31</v>
      </c>
      <c r="H2357" s="8" t="s">
        <v>43</v>
      </c>
      <c r="I2357" s="8" t="s">
        <v>127</v>
      </c>
      <c r="J2357" s="8" t="s">
        <v>1628</v>
      </c>
      <c r="K2357" s="10" t="s">
        <v>8572</v>
      </c>
      <c r="L2357" s="8" t="s">
        <v>58</v>
      </c>
      <c r="M2357" s="8" t="s">
        <v>35</v>
      </c>
      <c r="N2357" s="11">
        <v>45085.0</v>
      </c>
      <c r="O2357" s="11">
        <v>45103.0</v>
      </c>
      <c r="P2357" s="11">
        <v>45145.0</v>
      </c>
      <c r="Q2357" s="11">
        <v>45103.0</v>
      </c>
      <c r="R2357" s="11">
        <v>45145.0</v>
      </c>
      <c r="S2357" s="12"/>
      <c r="T2357" s="8"/>
      <c r="U2357" s="8" t="s">
        <v>59</v>
      </c>
      <c r="V2357" s="13" t="s">
        <v>43</v>
      </c>
      <c r="W2357" s="13" t="s">
        <v>11504</v>
      </c>
      <c r="X2357" s="12"/>
      <c r="Y2357" s="14"/>
      <c r="Z2357" s="14"/>
    </row>
    <row r="2358">
      <c r="A2358" s="8" t="s">
        <v>11505</v>
      </c>
      <c r="B2358" s="8" t="s">
        <v>11506</v>
      </c>
      <c r="C2358" s="8" t="s">
        <v>25</v>
      </c>
      <c r="D2358" s="8" t="s">
        <v>26</v>
      </c>
      <c r="E2358" s="8" t="s">
        <v>11507</v>
      </c>
      <c r="F2358" s="8">
        <v>5.436732982E9</v>
      </c>
      <c r="G2358" s="8" t="s">
        <v>31</v>
      </c>
      <c r="H2358" s="8" t="s">
        <v>542</v>
      </c>
      <c r="I2358" s="8" t="s">
        <v>221</v>
      </c>
      <c r="J2358" s="8" t="s">
        <v>222</v>
      </c>
      <c r="K2358" s="10" t="s">
        <v>11116</v>
      </c>
      <c r="L2358" s="8" t="s">
        <v>58</v>
      </c>
      <c r="M2358" s="8" t="s">
        <v>35</v>
      </c>
      <c r="N2358" s="11">
        <v>45085.0</v>
      </c>
      <c r="O2358" s="11">
        <v>45091.0</v>
      </c>
      <c r="P2358" s="11">
        <v>45133.0</v>
      </c>
      <c r="Q2358" s="11">
        <v>45098.0</v>
      </c>
      <c r="R2358" s="11">
        <v>45140.0</v>
      </c>
      <c r="S2358" s="12"/>
      <c r="T2358" s="8"/>
      <c r="U2358" s="8" t="s">
        <v>88</v>
      </c>
      <c r="V2358" s="13" t="s">
        <v>545</v>
      </c>
      <c r="W2358" s="13" t="s">
        <v>11508</v>
      </c>
      <c r="X2358" s="12"/>
      <c r="Y2358" s="14"/>
      <c r="Z2358" s="14"/>
    </row>
    <row r="2359">
      <c r="A2359" s="8" t="s">
        <v>11509</v>
      </c>
      <c r="B2359" s="8" t="s">
        <v>11510</v>
      </c>
      <c r="C2359" s="8" t="s">
        <v>179</v>
      </c>
      <c r="D2359" s="8" t="s">
        <v>26</v>
      </c>
      <c r="E2359" s="8" t="s">
        <v>11511</v>
      </c>
      <c r="F2359" s="8"/>
      <c r="G2359" s="8" t="s">
        <v>84</v>
      </c>
      <c r="H2359" s="8" t="s">
        <v>646</v>
      </c>
      <c r="I2359" s="8" t="s">
        <v>31</v>
      </c>
      <c r="J2359" s="8" t="s">
        <v>111</v>
      </c>
      <c r="K2359" s="10" t="s">
        <v>11494</v>
      </c>
      <c r="L2359" s="8" t="s">
        <v>47</v>
      </c>
      <c r="M2359" s="8" t="s">
        <v>70</v>
      </c>
      <c r="N2359" s="11">
        <v>45085.0</v>
      </c>
      <c r="O2359" s="11">
        <v>45166.0</v>
      </c>
      <c r="P2359" s="11">
        <v>45534.0</v>
      </c>
      <c r="Q2359" s="11"/>
      <c r="R2359" s="11"/>
      <c r="S2359" s="12"/>
      <c r="T2359" s="8"/>
      <c r="U2359" s="8" t="s">
        <v>795</v>
      </c>
      <c r="V2359" s="13" t="s">
        <v>38</v>
      </c>
      <c r="W2359" s="13" t="s">
        <v>11512</v>
      </c>
      <c r="X2359" s="12"/>
      <c r="Y2359" s="14"/>
      <c r="Z2359" s="14"/>
    </row>
    <row r="2360">
      <c r="A2360" s="8" t="s">
        <v>11513</v>
      </c>
      <c r="B2360" s="8" t="s">
        <v>11514</v>
      </c>
      <c r="C2360" s="8" t="s">
        <v>25</v>
      </c>
      <c r="D2360" s="8" t="s">
        <v>26</v>
      </c>
      <c r="E2360" s="8" t="s">
        <v>11515</v>
      </c>
      <c r="F2360" s="8">
        <v>7.087304113E9</v>
      </c>
      <c r="G2360" s="8" t="s">
        <v>496</v>
      </c>
      <c r="H2360" s="8" t="s">
        <v>2112</v>
      </c>
      <c r="I2360" s="8" t="s">
        <v>31</v>
      </c>
      <c r="J2360" s="8" t="s">
        <v>167</v>
      </c>
      <c r="K2360" s="10" t="s">
        <v>5849</v>
      </c>
      <c r="L2360" s="8" t="s">
        <v>58</v>
      </c>
      <c r="M2360" s="8" t="s">
        <v>35</v>
      </c>
      <c r="N2360" s="11">
        <v>45085.0</v>
      </c>
      <c r="O2360" s="11">
        <v>45124.0</v>
      </c>
      <c r="P2360" s="11">
        <v>45166.0</v>
      </c>
      <c r="Q2360" s="11">
        <v>45124.0</v>
      </c>
      <c r="R2360" s="11">
        <v>45166.0</v>
      </c>
      <c r="S2360" s="12"/>
      <c r="T2360" s="8"/>
      <c r="U2360" s="8" t="s">
        <v>59</v>
      </c>
      <c r="V2360" s="13" t="s">
        <v>2776</v>
      </c>
      <c r="W2360" s="13" t="s">
        <v>11516</v>
      </c>
      <c r="X2360" s="12"/>
      <c r="Y2360" s="14"/>
      <c r="Z2360" s="14"/>
    </row>
    <row r="2361">
      <c r="A2361" s="8" t="s">
        <v>11517</v>
      </c>
      <c r="B2361" s="8" t="s">
        <v>11518</v>
      </c>
      <c r="C2361" s="8" t="s">
        <v>25</v>
      </c>
      <c r="D2361" s="8" t="s">
        <v>26</v>
      </c>
      <c r="E2361" s="8" t="s">
        <v>11519</v>
      </c>
      <c r="F2361" s="8"/>
      <c r="G2361" s="8" t="s">
        <v>54</v>
      </c>
      <c r="H2361" s="8" t="s">
        <v>244</v>
      </c>
      <c r="I2361" s="8" t="s">
        <v>31</v>
      </c>
      <c r="J2361" s="8" t="s">
        <v>438</v>
      </c>
      <c r="K2361" s="10" t="s">
        <v>11520</v>
      </c>
      <c r="L2361" s="8" t="s">
        <v>34</v>
      </c>
      <c r="M2361" s="8" t="s">
        <v>35</v>
      </c>
      <c r="N2361" s="11">
        <v>45086.0</v>
      </c>
      <c r="O2361" s="11">
        <v>45108.0</v>
      </c>
      <c r="P2361" s="11">
        <v>45191.0</v>
      </c>
      <c r="Q2361" s="11">
        <v>45123.0</v>
      </c>
      <c r="R2361" s="11">
        <v>45222.0</v>
      </c>
      <c r="S2361" s="12"/>
      <c r="T2361" s="8" t="s">
        <v>205</v>
      </c>
      <c r="U2361" s="8" t="s">
        <v>11521</v>
      </c>
      <c r="V2361" s="13" t="s">
        <v>38</v>
      </c>
      <c r="W2361" s="13" t="s">
        <v>11522</v>
      </c>
      <c r="X2361" s="12"/>
      <c r="Y2361" s="14"/>
      <c r="Z2361" s="14"/>
    </row>
    <row r="2362">
      <c r="A2362" s="8" t="s">
        <v>11523</v>
      </c>
      <c r="B2362" s="8" t="s">
        <v>11524</v>
      </c>
      <c r="C2362" s="8" t="s">
        <v>708</v>
      </c>
      <c r="D2362" s="8" t="s">
        <v>26</v>
      </c>
      <c r="E2362" s="8" t="s">
        <v>11525</v>
      </c>
      <c r="F2362" s="8">
        <v>2.880897E7</v>
      </c>
      <c r="G2362" s="8" t="s">
        <v>54</v>
      </c>
      <c r="H2362" s="8" t="s">
        <v>595</v>
      </c>
      <c r="I2362" s="8" t="s">
        <v>31</v>
      </c>
      <c r="J2362" s="8" t="s">
        <v>111</v>
      </c>
      <c r="K2362" s="10" t="s">
        <v>11526</v>
      </c>
      <c r="L2362" s="8" t="s">
        <v>34</v>
      </c>
      <c r="M2362" s="8" t="s">
        <v>70</v>
      </c>
      <c r="N2362" s="11">
        <v>45086.0</v>
      </c>
      <c r="O2362" s="11">
        <v>45117.0</v>
      </c>
      <c r="P2362" s="11">
        <v>45480.0</v>
      </c>
      <c r="Q2362" s="11">
        <v>45152.0</v>
      </c>
      <c r="R2362" s="11">
        <v>45516.0</v>
      </c>
      <c r="S2362" s="12"/>
      <c r="T2362" s="8" t="s">
        <v>205</v>
      </c>
      <c r="U2362" s="8" t="s">
        <v>10008</v>
      </c>
      <c r="V2362" s="13" t="s">
        <v>1583</v>
      </c>
      <c r="W2362" s="13" t="s">
        <v>11527</v>
      </c>
      <c r="X2362" s="12"/>
      <c r="Y2362" s="14"/>
      <c r="Z2362" s="14"/>
    </row>
    <row r="2363">
      <c r="A2363" s="8" t="s">
        <v>11528</v>
      </c>
      <c r="B2363" s="8" t="s">
        <v>11529</v>
      </c>
      <c r="C2363" s="8" t="s">
        <v>179</v>
      </c>
      <c r="D2363" s="8" t="s">
        <v>26</v>
      </c>
      <c r="E2363" s="8" t="s">
        <v>11530</v>
      </c>
      <c r="F2363" s="8">
        <v>9.928971E7</v>
      </c>
      <c r="G2363" s="8" t="s">
        <v>54</v>
      </c>
      <c r="H2363" s="8" t="s">
        <v>244</v>
      </c>
      <c r="I2363" s="8" t="s">
        <v>31</v>
      </c>
      <c r="J2363" s="8" t="s">
        <v>256</v>
      </c>
      <c r="K2363" s="10" t="s">
        <v>11531</v>
      </c>
      <c r="L2363" s="8" t="s">
        <v>47</v>
      </c>
      <c r="M2363" s="8" t="s">
        <v>70</v>
      </c>
      <c r="N2363" s="11">
        <v>45086.0</v>
      </c>
      <c r="O2363" s="11">
        <v>45108.0</v>
      </c>
      <c r="P2363" s="11">
        <v>45473.0</v>
      </c>
      <c r="Q2363" s="11"/>
      <c r="R2363" s="11"/>
      <c r="S2363" s="12"/>
      <c r="T2363" s="8"/>
      <c r="U2363" s="8" t="s">
        <v>246</v>
      </c>
      <c r="V2363" s="13" t="s">
        <v>247</v>
      </c>
      <c r="W2363" s="13" t="s">
        <v>11532</v>
      </c>
      <c r="X2363" s="12"/>
      <c r="Y2363" s="14"/>
      <c r="Z2363" s="14"/>
    </row>
    <row r="2364">
      <c r="A2364" s="8" t="s">
        <v>11533</v>
      </c>
      <c r="B2364" s="8" t="s">
        <v>11534</v>
      </c>
      <c r="C2364" s="8" t="s">
        <v>25</v>
      </c>
      <c r="D2364" s="8" t="s">
        <v>26</v>
      </c>
      <c r="E2364" s="8" t="s">
        <v>11535</v>
      </c>
      <c r="F2364" s="8">
        <v>5.83328E7</v>
      </c>
      <c r="G2364" s="8" t="s">
        <v>54</v>
      </c>
      <c r="H2364" s="8" t="s">
        <v>135</v>
      </c>
      <c r="I2364" s="8" t="s">
        <v>31</v>
      </c>
      <c r="J2364" s="8" t="s">
        <v>77</v>
      </c>
      <c r="K2364" s="10" t="s">
        <v>8136</v>
      </c>
      <c r="L2364" s="8" t="s">
        <v>58</v>
      </c>
      <c r="M2364" s="8" t="s">
        <v>35</v>
      </c>
      <c r="N2364" s="11">
        <v>45086.0</v>
      </c>
      <c r="O2364" s="11">
        <v>45095.0</v>
      </c>
      <c r="P2364" s="11">
        <v>45137.0</v>
      </c>
      <c r="Q2364" s="11">
        <v>45094.0</v>
      </c>
      <c r="R2364" s="11">
        <v>45137.0</v>
      </c>
      <c r="S2364" s="12"/>
      <c r="T2364" s="8"/>
      <c r="U2364" s="8" t="s">
        <v>59</v>
      </c>
      <c r="V2364" s="13" t="s">
        <v>190</v>
      </c>
      <c r="W2364" s="13" t="s">
        <v>11536</v>
      </c>
      <c r="X2364" s="12"/>
      <c r="Y2364" s="14"/>
      <c r="Z2364" s="14"/>
    </row>
    <row r="2365">
      <c r="A2365" s="8" t="s">
        <v>11537</v>
      </c>
      <c r="B2365" s="8" t="s">
        <v>11538</v>
      </c>
      <c r="C2365" s="8" t="s">
        <v>179</v>
      </c>
      <c r="D2365" s="8" t="s">
        <v>26</v>
      </c>
      <c r="E2365" s="8" t="s">
        <v>11539</v>
      </c>
      <c r="F2365" s="8">
        <v>5.389718726E9</v>
      </c>
      <c r="G2365" s="8" t="s">
        <v>31</v>
      </c>
      <c r="H2365" s="8" t="s">
        <v>220</v>
      </c>
      <c r="I2365" s="8" t="s">
        <v>284</v>
      </c>
      <c r="J2365" s="8" t="s">
        <v>300</v>
      </c>
      <c r="K2365" s="10" t="s">
        <v>11540</v>
      </c>
      <c r="L2365" s="8" t="s">
        <v>58</v>
      </c>
      <c r="M2365" s="8" t="s">
        <v>35</v>
      </c>
      <c r="N2365" s="11">
        <v>45086.0</v>
      </c>
      <c r="O2365" s="11">
        <v>45170.0</v>
      </c>
      <c r="P2365" s="11">
        <v>45212.0</v>
      </c>
      <c r="Q2365" s="11"/>
      <c r="R2365" s="11"/>
      <c r="S2365" s="12"/>
      <c r="T2365" s="8"/>
      <c r="U2365" s="8" t="s">
        <v>59</v>
      </c>
      <c r="V2365" s="13" t="s">
        <v>220</v>
      </c>
      <c r="W2365" s="13" t="s">
        <v>11541</v>
      </c>
      <c r="X2365" s="12"/>
      <c r="Y2365" s="14"/>
      <c r="Z2365" s="14"/>
    </row>
    <row r="2366">
      <c r="A2366" s="8" t="s">
        <v>11542</v>
      </c>
      <c r="B2366" s="8" t="s">
        <v>11543</v>
      </c>
      <c r="C2366" s="8" t="s">
        <v>64</v>
      </c>
      <c r="D2366" s="8" t="s">
        <v>26</v>
      </c>
      <c r="E2366" s="8" t="s">
        <v>11544</v>
      </c>
      <c r="F2366" s="8"/>
      <c r="G2366" s="8" t="s">
        <v>84</v>
      </c>
      <c r="H2366" s="8" t="s">
        <v>85</v>
      </c>
      <c r="I2366" s="8" t="s">
        <v>31</v>
      </c>
      <c r="J2366" s="8" t="s">
        <v>56</v>
      </c>
      <c r="K2366" s="10" t="s">
        <v>11545</v>
      </c>
      <c r="L2366" s="8" t="s">
        <v>58</v>
      </c>
      <c r="M2366" s="8" t="s">
        <v>35</v>
      </c>
      <c r="N2366" s="11">
        <v>45086.0</v>
      </c>
      <c r="O2366" s="11">
        <v>45124.0</v>
      </c>
      <c r="P2366" s="11">
        <v>45166.0</v>
      </c>
      <c r="Q2366" s="11">
        <v>45128.0</v>
      </c>
      <c r="R2366" s="11">
        <v>45168.0</v>
      </c>
      <c r="S2366" s="12"/>
      <c r="T2366" s="8"/>
      <c r="U2366" s="8" t="s">
        <v>59</v>
      </c>
      <c r="V2366" s="13" t="s">
        <v>38</v>
      </c>
      <c r="W2366" s="13" t="s">
        <v>11546</v>
      </c>
      <c r="X2366" s="12"/>
      <c r="Y2366" s="14"/>
      <c r="Z2366" s="14"/>
    </row>
    <row r="2367">
      <c r="A2367" s="8" t="s">
        <v>11547</v>
      </c>
      <c r="B2367" s="8" t="s">
        <v>11548</v>
      </c>
      <c r="C2367" s="8" t="s">
        <v>179</v>
      </c>
      <c r="D2367" s="8" t="s">
        <v>26</v>
      </c>
      <c r="E2367" s="8" t="s">
        <v>11549</v>
      </c>
      <c r="F2367" s="8">
        <v>5.4000187E7</v>
      </c>
      <c r="G2367" s="8" t="s">
        <v>54</v>
      </c>
      <c r="H2367" s="8" t="s">
        <v>76</v>
      </c>
      <c r="I2367" s="8" t="s">
        <v>31</v>
      </c>
      <c r="J2367" s="8" t="s">
        <v>86</v>
      </c>
      <c r="K2367" s="10" t="s">
        <v>3755</v>
      </c>
      <c r="L2367" s="8" t="s">
        <v>34</v>
      </c>
      <c r="M2367" s="8" t="s">
        <v>70</v>
      </c>
      <c r="N2367" s="11">
        <v>45086.0</v>
      </c>
      <c r="O2367" s="11">
        <v>45103.0</v>
      </c>
      <c r="P2367" s="11">
        <v>45296.0</v>
      </c>
      <c r="Q2367" s="11"/>
      <c r="R2367" s="11"/>
      <c r="S2367" s="12"/>
      <c r="T2367" s="8" t="s">
        <v>36</v>
      </c>
      <c r="U2367" s="8" t="s">
        <v>3756</v>
      </c>
      <c r="V2367" s="13" t="s">
        <v>491</v>
      </c>
      <c r="W2367" s="13" t="s">
        <v>11550</v>
      </c>
      <c r="X2367" s="12"/>
      <c r="Y2367" s="14"/>
      <c r="Z2367" s="14"/>
    </row>
    <row r="2368">
      <c r="A2368" s="8" t="s">
        <v>11551</v>
      </c>
      <c r="B2368" s="8" t="s">
        <v>11552</v>
      </c>
      <c r="C2368" s="8" t="s">
        <v>179</v>
      </c>
      <c r="D2368" s="8" t="s">
        <v>26</v>
      </c>
      <c r="E2368" s="8" t="s">
        <v>11553</v>
      </c>
      <c r="F2368" s="8">
        <v>6.56018294E8</v>
      </c>
      <c r="G2368" s="8" t="s">
        <v>254</v>
      </c>
      <c r="H2368" s="8" t="s">
        <v>1484</v>
      </c>
      <c r="I2368" s="8" t="s">
        <v>31</v>
      </c>
      <c r="J2368" s="8" t="s">
        <v>292</v>
      </c>
      <c r="K2368" s="10" t="s">
        <v>11554</v>
      </c>
      <c r="L2368" s="8" t="s">
        <v>58</v>
      </c>
      <c r="M2368" s="8" t="s">
        <v>35</v>
      </c>
      <c r="N2368" s="11">
        <v>45086.0</v>
      </c>
      <c r="O2368" s="11">
        <v>45124.0</v>
      </c>
      <c r="P2368" s="11">
        <v>45166.0</v>
      </c>
      <c r="Q2368" s="11"/>
      <c r="R2368" s="11"/>
      <c r="S2368" s="12"/>
      <c r="T2368" s="8"/>
      <c r="U2368" s="8" t="s">
        <v>88</v>
      </c>
      <c r="V2368" s="13" t="s">
        <v>258</v>
      </c>
      <c r="W2368" s="13" t="s">
        <v>11555</v>
      </c>
      <c r="X2368" s="12"/>
      <c r="Y2368" s="14"/>
      <c r="Z2368" s="14"/>
    </row>
    <row r="2369">
      <c r="A2369" s="8" t="s">
        <v>11556</v>
      </c>
      <c r="B2369" s="8" t="s">
        <v>11557</v>
      </c>
      <c r="C2369" s="8" t="s">
        <v>25</v>
      </c>
      <c r="D2369" s="8" t="s">
        <v>26</v>
      </c>
      <c r="E2369" s="8" t="s">
        <v>11558</v>
      </c>
      <c r="F2369" s="8">
        <v>6.76070857E8</v>
      </c>
      <c r="G2369" s="8" t="s">
        <v>254</v>
      </c>
      <c r="H2369" s="8" t="s">
        <v>758</v>
      </c>
      <c r="I2369" s="8" t="s">
        <v>31</v>
      </c>
      <c r="J2369" s="8" t="s">
        <v>256</v>
      </c>
      <c r="K2369" s="10" t="s">
        <v>10689</v>
      </c>
      <c r="L2369" s="8" t="s">
        <v>58</v>
      </c>
      <c r="M2369" s="8" t="s">
        <v>35</v>
      </c>
      <c r="N2369" s="11">
        <v>45086.0</v>
      </c>
      <c r="O2369" s="11">
        <v>45110.0</v>
      </c>
      <c r="P2369" s="11">
        <v>45152.0</v>
      </c>
      <c r="Q2369" s="11">
        <v>45111.0</v>
      </c>
      <c r="R2369" s="11">
        <v>45152.0</v>
      </c>
      <c r="S2369" s="12"/>
      <c r="T2369" s="8"/>
      <c r="U2369" s="8" t="s">
        <v>59</v>
      </c>
      <c r="V2369" s="13" t="s">
        <v>295</v>
      </c>
      <c r="W2369" s="13" t="s">
        <v>11559</v>
      </c>
      <c r="X2369" s="12"/>
      <c r="Y2369" s="14"/>
      <c r="Z2369" s="14"/>
    </row>
    <row r="2370">
      <c r="A2370" s="8" t="s">
        <v>11560</v>
      </c>
      <c r="B2370" s="8" t="s">
        <v>11561</v>
      </c>
      <c r="C2370" s="8" t="s">
        <v>64</v>
      </c>
      <c r="D2370" s="8" t="s">
        <v>26</v>
      </c>
      <c r="E2370" s="8" t="s">
        <v>11562</v>
      </c>
      <c r="F2370" s="8">
        <v>6.91303022E8</v>
      </c>
      <c r="G2370" s="8" t="s">
        <v>221</v>
      </c>
      <c r="H2370" s="8" t="s">
        <v>2735</v>
      </c>
      <c r="I2370" s="8" t="s">
        <v>31</v>
      </c>
      <c r="J2370" s="8" t="s">
        <v>102</v>
      </c>
      <c r="K2370" s="10" t="s">
        <v>6221</v>
      </c>
      <c r="L2370" s="8" t="s">
        <v>58</v>
      </c>
      <c r="M2370" s="8" t="s">
        <v>35</v>
      </c>
      <c r="N2370" s="11">
        <v>45086.0</v>
      </c>
      <c r="O2370" s="11">
        <v>45201.0</v>
      </c>
      <c r="P2370" s="11">
        <v>45243.0</v>
      </c>
      <c r="Q2370" s="11">
        <v>45204.0</v>
      </c>
      <c r="R2370" s="11">
        <v>45244.0</v>
      </c>
      <c r="S2370" s="12"/>
      <c r="T2370" s="8"/>
      <c r="U2370" s="8" t="s">
        <v>59</v>
      </c>
      <c r="V2370" s="13" t="s">
        <v>2737</v>
      </c>
      <c r="W2370" s="13" t="s">
        <v>11563</v>
      </c>
      <c r="X2370" s="12"/>
      <c r="Y2370" s="14"/>
      <c r="Z2370" s="14"/>
    </row>
    <row r="2371">
      <c r="A2371" s="8" t="s">
        <v>11564</v>
      </c>
      <c r="B2371" s="8" t="s">
        <v>11565</v>
      </c>
      <c r="C2371" s="8" t="s">
        <v>179</v>
      </c>
      <c r="D2371" s="8" t="s">
        <v>26</v>
      </c>
      <c r="E2371" s="8" t="s">
        <v>11566</v>
      </c>
      <c r="F2371" s="8">
        <v>5.4932281E8</v>
      </c>
      <c r="G2371" s="8" t="s">
        <v>915</v>
      </c>
      <c r="H2371" s="8" t="s">
        <v>11203</v>
      </c>
      <c r="I2371" s="8" t="s">
        <v>31</v>
      </c>
      <c r="J2371" s="8" t="s">
        <v>256</v>
      </c>
      <c r="K2371" s="10" t="s">
        <v>11567</v>
      </c>
      <c r="L2371" s="8" t="s">
        <v>47</v>
      </c>
      <c r="M2371" s="8" t="s">
        <v>70</v>
      </c>
      <c r="N2371" s="11">
        <v>45086.0</v>
      </c>
      <c r="O2371" s="11">
        <v>45107.0</v>
      </c>
      <c r="P2371" s="11">
        <v>45472.0</v>
      </c>
      <c r="Q2371" s="11"/>
      <c r="R2371" s="11"/>
      <c r="S2371" s="12"/>
      <c r="T2371" s="8"/>
      <c r="U2371" s="8" t="s">
        <v>11568</v>
      </c>
      <c r="V2371" s="13" t="s">
        <v>11569</v>
      </c>
      <c r="W2371" s="13" t="s">
        <v>11570</v>
      </c>
      <c r="X2371" s="12"/>
      <c r="Y2371" s="14"/>
      <c r="Z2371" s="14"/>
    </row>
    <row r="2372">
      <c r="A2372" s="8" t="s">
        <v>11571</v>
      </c>
      <c r="B2372" s="8" t="s">
        <v>11572</v>
      </c>
      <c r="C2372" s="8" t="s">
        <v>25</v>
      </c>
      <c r="D2372" s="8" t="s">
        <v>26</v>
      </c>
      <c r="E2372" s="8" t="s">
        <v>11573</v>
      </c>
      <c r="F2372" s="8"/>
      <c r="G2372" s="8" t="s">
        <v>31</v>
      </c>
      <c r="H2372" s="8" t="s">
        <v>43</v>
      </c>
      <c r="I2372" s="8" t="s">
        <v>284</v>
      </c>
      <c r="J2372" s="8" t="s">
        <v>1287</v>
      </c>
      <c r="K2372" s="10" t="s">
        <v>7682</v>
      </c>
      <c r="L2372" s="8" t="s">
        <v>58</v>
      </c>
      <c r="M2372" s="8" t="s">
        <v>35</v>
      </c>
      <c r="N2372" s="11">
        <v>45087.0</v>
      </c>
      <c r="O2372" s="11">
        <v>45108.0</v>
      </c>
      <c r="P2372" s="11">
        <v>45150.0</v>
      </c>
      <c r="Q2372" s="11">
        <v>45121.0</v>
      </c>
      <c r="R2372" s="11">
        <v>45163.0</v>
      </c>
      <c r="S2372" s="12"/>
      <c r="T2372" s="8"/>
      <c r="U2372" s="8" t="s">
        <v>130</v>
      </c>
      <c r="V2372" s="13" t="s">
        <v>38</v>
      </c>
      <c r="W2372" s="13" t="s">
        <v>11574</v>
      </c>
      <c r="X2372" s="12"/>
      <c r="Y2372" s="14"/>
      <c r="Z2372" s="14"/>
    </row>
    <row r="2373">
      <c r="A2373" s="8" t="s">
        <v>11575</v>
      </c>
      <c r="B2373" s="8" t="s">
        <v>11576</v>
      </c>
      <c r="C2373" s="8" t="s">
        <v>25</v>
      </c>
      <c r="D2373" s="8" t="s">
        <v>26</v>
      </c>
      <c r="E2373" s="8" t="s">
        <v>11577</v>
      </c>
      <c r="F2373" s="8">
        <v>5.1215695E8</v>
      </c>
      <c r="G2373" s="8" t="s">
        <v>277</v>
      </c>
      <c r="H2373" s="8" t="s">
        <v>607</v>
      </c>
      <c r="I2373" s="8" t="s">
        <v>31</v>
      </c>
      <c r="J2373" s="8" t="s">
        <v>167</v>
      </c>
      <c r="K2373" s="10" t="s">
        <v>10810</v>
      </c>
      <c r="L2373" s="8" t="s">
        <v>58</v>
      </c>
      <c r="M2373" s="8" t="s">
        <v>35</v>
      </c>
      <c r="N2373" s="11">
        <v>45087.0</v>
      </c>
      <c r="O2373" s="11">
        <v>45110.0</v>
      </c>
      <c r="P2373" s="11">
        <v>45152.0</v>
      </c>
      <c r="Q2373" s="11">
        <v>45110.0</v>
      </c>
      <c r="R2373" s="11">
        <v>45152.0</v>
      </c>
      <c r="S2373" s="12"/>
      <c r="T2373" s="8"/>
      <c r="U2373" s="8" t="s">
        <v>59</v>
      </c>
      <c r="V2373" s="13" t="s">
        <v>11578</v>
      </c>
      <c r="W2373" s="13" t="s">
        <v>11579</v>
      </c>
      <c r="X2373" s="12"/>
      <c r="Y2373" s="14"/>
      <c r="Z2373" s="14"/>
    </row>
    <row r="2374">
      <c r="A2374" s="8" t="s">
        <v>11580</v>
      </c>
      <c r="B2374" s="8" t="s">
        <v>9312</v>
      </c>
      <c r="C2374" s="8" t="s">
        <v>25</v>
      </c>
      <c r="D2374" s="8" t="s">
        <v>26</v>
      </c>
      <c r="E2374" s="8" t="s">
        <v>11581</v>
      </c>
      <c r="F2374" s="8">
        <v>5.528228975E9</v>
      </c>
      <c r="G2374" s="8" t="s">
        <v>31</v>
      </c>
      <c r="H2374" s="8" t="s">
        <v>86</v>
      </c>
      <c r="I2374" s="8" t="s">
        <v>284</v>
      </c>
      <c r="J2374" s="8" t="s">
        <v>1422</v>
      </c>
      <c r="K2374" s="10" t="s">
        <v>8141</v>
      </c>
      <c r="L2374" s="8" t="s">
        <v>58</v>
      </c>
      <c r="M2374" s="8" t="s">
        <v>35</v>
      </c>
      <c r="N2374" s="11">
        <v>45087.0</v>
      </c>
      <c r="O2374" s="11">
        <v>45092.0</v>
      </c>
      <c r="P2374" s="11">
        <v>45134.0</v>
      </c>
      <c r="Q2374" s="11">
        <v>45093.0</v>
      </c>
      <c r="R2374" s="11">
        <v>45135.0</v>
      </c>
      <c r="S2374" s="12"/>
      <c r="T2374" s="8"/>
      <c r="U2374" s="8" t="s">
        <v>3111</v>
      </c>
      <c r="V2374" s="13" t="s">
        <v>175</v>
      </c>
      <c r="W2374" s="13" t="s">
        <v>11582</v>
      </c>
      <c r="X2374" s="12"/>
      <c r="Y2374" s="14"/>
      <c r="Z2374" s="14"/>
    </row>
    <row r="2375">
      <c r="A2375" s="8" t="s">
        <v>11583</v>
      </c>
      <c r="B2375" s="8" t="s">
        <v>11584</v>
      </c>
      <c r="C2375" s="8" t="s">
        <v>251</v>
      </c>
      <c r="D2375" s="8" t="s">
        <v>26</v>
      </c>
      <c r="E2375" s="8" t="s">
        <v>11585</v>
      </c>
      <c r="F2375" s="8">
        <v>5.41571876E8</v>
      </c>
      <c r="G2375" s="8" t="s">
        <v>254</v>
      </c>
      <c r="H2375" s="8" t="s">
        <v>758</v>
      </c>
      <c r="I2375" s="8" t="s">
        <v>31</v>
      </c>
      <c r="J2375" s="8" t="s">
        <v>292</v>
      </c>
      <c r="K2375" s="10" t="s">
        <v>11586</v>
      </c>
      <c r="L2375" s="8" t="s">
        <v>58</v>
      </c>
      <c r="M2375" s="8" t="s">
        <v>35</v>
      </c>
      <c r="N2375" s="11">
        <v>45087.0</v>
      </c>
      <c r="O2375" s="11">
        <v>45110.0</v>
      </c>
      <c r="P2375" s="11">
        <v>45152.0</v>
      </c>
      <c r="Q2375" s="11"/>
      <c r="R2375" s="11"/>
      <c r="S2375" s="12"/>
      <c r="T2375" s="8"/>
      <c r="U2375" s="8" t="s">
        <v>88</v>
      </c>
      <c r="V2375" s="13" t="s">
        <v>1194</v>
      </c>
      <c r="W2375" s="13" t="s">
        <v>11587</v>
      </c>
      <c r="X2375" s="12"/>
      <c r="Y2375" s="14"/>
      <c r="Z2375" s="14"/>
    </row>
    <row r="2376">
      <c r="A2376" s="8" t="s">
        <v>11588</v>
      </c>
      <c r="B2376" s="8" t="s">
        <v>11589</v>
      </c>
      <c r="C2376" s="8" t="s">
        <v>179</v>
      </c>
      <c r="D2376" s="8" t="s">
        <v>26</v>
      </c>
      <c r="E2376" s="8" t="s">
        <v>11590</v>
      </c>
      <c r="F2376" s="8">
        <v>3.05100198E9</v>
      </c>
      <c r="G2376" s="8" t="s">
        <v>315</v>
      </c>
      <c r="H2376" s="8" t="s">
        <v>1833</v>
      </c>
      <c r="I2376" s="8" t="s">
        <v>31</v>
      </c>
      <c r="J2376" s="8" t="s">
        <v>292</v>
      </c>
      <c r="K2376" s="10" t="s">
        <v>11554</v>
      </c>
      <c r="L2376" s="8" t="s">
        <v>58</v>
      </c>
      <c r="M2376" s="8" t="s">
        <v>35</v>
      </c>
      <c r="N2376" s="11">
        <v>45087.0</v>
      </c>
      <c r="O2376" s="11">
        <v>45124.0</v>
      </c>
      <c r="P2376" s="11">
        <v>45166.0</v>
      </c>
      <c r="Q2376" s="11"/>
      <c r="R2376" s="11"/>
      <c r="S2376" s="12"/>
      <c r="T2376" s="8"/>
      <c r="U2376" s="8" t="s">
        <v>88</v>
      </c>
      <c r="V2376" s="13" t="s">
        <v>11591</v>
      </c>
      <c r="W2376" s="13" t="s">
        <v>11592</v>
      </c>
      <c r="X2376" s="12"/>
      <c r="Y2376" s="14"/>
      <c r="Z2376" s="14"/>
    </row>
    <row r="2377">
      <c r="A2377" s="8" t="s">
        <v>11593</v>
      </c>
      <c r="B2377" s="8" t="s">
        <v>11594</v>
      </c>
      <c r="C2377" s="8" t="s">
        <v>25</v>
      </c>
      <c r="D2377" s="8" t="s">
        <v>26</v>
      </c>
      <c r="E2377" s="8" t="s">
        <v>11595</v>
      </c>
      <c r="F2377" s="8"/>
      <c r="G2377" s="8" t="s">
        <v>31</v>
      </c>
      <c r="H2377" s="8" t="s">
        <v>1119</v>
      </c>
      <c r="I2377" s="8" t="s">
        <v>221</v>
      </c>
      <c r="J2377" s="8" t="s">
        <v>2735</v>
      </c>
      <c r="K2377" s="10" t="s">
        <v>11596</v>
      </c>
      <c r="L2377" s="8" t="s">
        <v>34</v>
      </c>
      <c r="M2377" s="8" t="s">
        <v>35</v>
      </c>
      <c r="N2377" s="11">
        <v>45087.0</v>
      </c>
      <c r="O2377" s="11">
        <v>45131.0</v>
      </c>
      <c r="P2377" s="11">
        <v>45180.0</v>
      </c>
      <c r="Q2377" s="11">
        <v>45131.0</v>
      </c>
      <c r="R2377" s="11">
        <v>45187.0</v>
      </c>
      <c r="S2377" s="12"/>
      <c r="T2377" s="8" t="s">
        <v>224</v>
      </c>
      <c r="U2377" s="8" t="s">
        <v>11597</v>
      </c>
      <c r="V2377" s="13" t="s">
        <v>38</v>
      </c>
      <c r="W2377" s="13" t="s">
        <v>11598</v>
      </c>
      <c r="X2377" s="12"/>
      <c r="Y2377" s="14"/>
      <c r="Z2377" s="14"/>
    </row>
    <row r="2378">
      <c r="A2378" s="8" t="s">
        <v>11599</v>
      </c>
      <c r="B2378" s="8" t="s">
        <v>11600</v>
      </c>
      <c r="C2378" s="8" t="s">
        <v>708</v>
      </c>
      <c r="D2378" s="8" t="s">
        <v>26</v>
      </c>
      <c r="E2378" s="8" t="s">
        <v>11601</v>
      </c>
      <c r="F2378" s="8">
        <v>1.141898585E9</v>
      </c>
      <c r="G2378" s="8" t="s">
        <v>284</v>
      </c>
      <c r="H2378" s="8" t="s">
        <v>691</v>
      </c>
      <c r="I2378" s="8" t="s">
        <v>31</v>
      </c>
      <c r="J2378" s="8" t="s">
        <v>111</v>
      </c>
      <c r="K2378" s="10" t="s">
        <v>4676</v>
      </c>
      <c r="L2378" s="8" t="s">
        <v>47</v>
      </c>
      <c r="M2378" s="8" t="s">
        <v>70</v>
      </c>
      <c r="N2378" s="11">
        <v>45087.0</v>
      </c>
      <c r="O2378" s="11">
        <v>45082.0</v>
      </c>
      <c r="P2378" s="11">
        <v>45448.0</v>
      </c>
      <c r="Q2378" s="11">
        <v>45092.0</v>
      </c>
      <c r="R2378" s="11">
        <v>45458.0</v>
      </c>
      <c r="S2378" s="12"/>
      <c r="T2378" s="8" t="s">
        <v>446</v>
      </c>
      <c r="U2378" s="8" t="s">
        <v>4677</v>
      </c>
      <c r="V2378" s="13" t="s">
        <v>626</v>
      </c>
      <c r="W2378" s="13" t="s">
        <v>11602</v>
      </c>
      <c r="X2378" s="12"/>
      <c r="Y2378" s="14"/>
      <c r="Z2378" s="14"/>
    </row>
    <row r="2379">
      <c r="A2379" s="8" t="s">
        <v>11603</v>
      </c>
      <c r="B2379" s="8" t="s">
        <v>9950</v>
      </c>
      <c r="C2379" s="8" t="s">
        <v>251</v>
      </c>
      <c r="D2379" s="8" t="s">
        <v>26</v>
      </c>
      <c r="E2379" s="8" t="s">
        <v>11604</v>
      </c>
      <c r="F2379" s="8">
        <v>5.539248086E9</v>
      </c>
      <c r="G2379" s="8" t="s">
        <v>31</v>
      </c>
      <c r="H2379" s="8" t="s">
        <v>77</v>
      </c>
      <c r="I2379" s="8" t="s">
        <v>284</v>
      </c>
      <c r="J2379" s="8" t="s">
        <v>854</v>
      </c>
      <c r="K2379" s="10" t="s">
        <v>8210</v>
      </c>
      <c r="L2379" s="8" t="s">
        <v>58</v>
      </c>
      <c r="M2379" s="8" t="s">
        <v>35</v>
      </c>
      <c r="N2379" s="11">
        <v>45088.0</v>
      </c>
      <c r="O2379" s="11">
        <v>45132.0</v>
      </c>
      <c r="P2379" s="11">
        <v>45176.0</v>
      </c>
      <c r="Q2379" s="11"/>
      <c r="R2379" s="11"/>
      <c r="S2379" s="12"/>
      <c r="T2379" s="8"/>
      <c r="U2379" s="8" t="s">
        <v>161</v>
      </c>
      <c r="V2379" s="13" t="s">
        <v>77</v>
      </c>
      <c r="W2379" s="13" t="s">
        <v>11605</v>
      </c>
      <c r="X2379" s="12"/>
      <c r="Y2379" s="14"/>
      <c r="Z2379" s="14"/>
    </row>
    <row r="2380">
      <c r="A2380" s="8" t="s">
        <v>11606</v>
      </c>
      <c r="B2380" s="8" t="s">
        <v>11607</v>
      </c>
      <c r="C2380" s="8" t="s">
        <v>708</v>
      </c>
      <c r="D2380" s="8" t="s">
        <v>26</v>
      </c>
      <c r="E2380" s="8" t="s">
        <v>11608</v>
      </c>
      <c r="F2380" s="8">
        <v>9.6296329E7</v>
      </c>
      <c r="G2380" s="8" t="s">
        <v>54</v>
      </c>
      <c r="H2380" s="8" t="s">
        <v>377</v>
      </c>
      <c r="I2380" s="8" t="s">
        <v>31</v>
      </c>
      <c r="J2380" s="8" t="s">
        <v>86</v>
      </c>
      <c r="K2380" s="10" t="s">
        <v>11609</v>
      </c>
      <c r="L2380" s="8" t="s">
        <v>34</v>
      </c>
      <c r="M2380" s="8" t="s">
        <v>70</v>
      </c>
      <c r="N2380" s="11">
        <v>45088.0</v>
      </c>
      <c r="O2380" s="11">
        <v>45124.0</v>
      </c>
      <c r="P2380" s="11">
        <v>45492.0</v>
      </c>
      <c r="Q2380" s="11">
        <v>45188.0</v>
      </c>
      <c r="R2380" s="11">
        <v>45555.0</v>
      </c>
      <c r="S2380" s="12"/>
      <c r="T2380" s="8" t="s">
        <v>1187</v>
      </c>
      <c r="U2380" s="8" t="s">
        <v>11610</v>
      </c>
      <c r="V2380" s="13" t="s">
        <v>378</v>
      </c>
      <c r="W2380" s="13" t="s">
        <v>11611</v>
      </c>
      <c r="X2380" s="12"/>
      <c r="Y2380" s="14"/>
      <c r="Z2380" s="14"/>
    </row>
    <row r="2381">
      <c r="A2381" s="8" t="s">
        <v>11612</v>
      </c>
      <c r="B2381" s="8" t="s">
        <v>11613</v>
      </c>
      <c r="C2381" s="8" t="s">
        <v>25</v>
      </c>
      <c r="D2381" s="8" t="s">
        <v>26</v>
      </c>
      <c r="E2381" s="8" t="s">
        <v>11614</v>
      </c>
      <c r="F2381" s="8">
        <v>5.338629877E9</v>
      </c>
      <c r="G2381" s="8" t="s">
        <v>31</v>
      </c>
      <c r="H2381" s="8" t="s">
        <v>959</v>
      </c>
      <c r="I2381" s="8" t="s">
        <v>195</v>
      </c>
      <c r="J2381" s="8" t="s">
        <v>6512</v>
      </c>
      <c r="K2381" s="10" t="s">
        <v>11392</v>
      </c>
      <c r="L2381" s="8" t="s">
        <v>58</v>
      </c>
      <c r="M2381" s="8" t="s">
        <v>35</v>
      </c>
      <c r="N2381" s="11">
        <v>45088.0</v>
      </c>
      <c r="O2381" s="11">
        <v>45088.0</v>
      </c>
      <c r="P2381" s="11">
        <v>45130.0</v>
      </c>
      <c r="Q2381" s="11">
        <v>45092.0</v>
      </c>
      <c r="R2381" s="11">
        <v>45134.0</v>
      </c>
      <c r="S2381" s="12"/>
      <c r="T2381" s="8"/>
      <c r="U2381" s="8" t="s">
        <v>3111</v>
      </c>
      <c r="V2381" s="13" t="s">
        <v>1069</v>
      </c>
      <c r="W2381" s="13" t="s">
        <v>11615</v>
      </c>
      <c r="X2381" s="12"/>
      <c r="Y2381" s="14"/>
      <c r="Z2381" s="14"/>
    </row>
    <row r="2382">
      <c r="A2382" s="8" t="s">
        <v>11616</v>
      </c>
      <c r="B2382" s="8" t="s">
        <v>11617</v>
      </c>
      <c r="C2382" s="8" t="s">
        <v>179</v>
      </c>
      <c r="D2382" s="8" t="s">
        <v>26</v>
      </c>
      <c r="E2382" s="8" t="s">
        <v>11618</v>
      </c>
      <c r="F2382" s="8"/>
      <c r="G2382" s="8" t="s">
        <v>915</v>
      </c>
      <c r="H2382" s="8" t="s">
        <v>11203</v>
      </c>
      <c r="I2382" s="8" t="s">
        <v>31</v>
      </c>
      <c r="J2382" s="8" t="s">
        <v>438</v>
      </c>
      <c r="K2382" s="10" t="s">
        <v>6789</v>
      </c>
      <c r="L2382" s="8" t="s">
        <v>58</v>
      </c>
      <c r="M2382" s="8" t="s">
        <v>35</v>
      </c>
      <c r="N2382" s="11">
        <v>45088.0</v>
      </c>
      <c r="O2382" s="11">
        <v>45103.0</v>
      </c>
      <c r="P2382" s="11">
        <v>45145.0</v>
      </c>
      <c r="Q2382" s="11"/>
      <c r="R2382" s="11"/>
      <c r="S2382" s="12"/>
      <c r="T2382" s="8"/>
      <c r="U2382" s="8" t="s">
        <v>632</v>
      </c>
      <c r="V2382" s="13" t="s">
        <v>11569</v>
      </c>
      <c r="W2382" s="13" t="s">
        <v>11619</v>
      </c>
      <c r="X2382" s="12"/>
      <c r="Y2382" s="14"/>
      <c r="Z2382" s="14"/>
    </row>
    <row r="2383">
      <c r="A2383" s="8" t="s">
        <v>11620</v>
      </c>
      <c r="B2383" s="8" t="s">
        <v>11621</v>
      </c>
      <c r="C2383" s="8" t="s">
        <v>25</v>
      </c>
      <c r="D2383" s="8" t="s">
        <v>26</v>
      </c>
      <c r="E2383" s="8" t="s">
        <v>11622</v>
      </c>
      <c r="F2383" s="8">
        <v>5.435908941E9</v>
      </c>
      <c r="G2383" s="8" t="s">
        <v>31</v>
      </c>
      <c r="H2383" s="8" t="s">
        <v>542</v>
      </c>
      <c r="I2383" s="8" t="s">
        <v>127</v>
      </c>
      <c r="J2383" s="8" t="s">
        <v>363</v>
      </c>
      <c r="K2383" s="10" t="s">
        <v>11623</v>
      </c>
      <c r="L2383" s="8" t="s">
        <v>58</v>
      </c>
      <c r="M2383" s="8" t="s">
        <v>35</v>
      </c>
      <c r="N2383" s="11">
        <v>45088.0</v>
      </c>
      <c r="O2383" s="11">
        <v>45139.0</v>
      </c>
      <c r="P2383" s="11">
        <v>45181.0</v>
      </c>
      <c r="Q2383" s="11">
        <v>45140.0</v>
      </c>
      <c r="R2383" s="11">
        <v>45181.0</v>
      </c>
      <c r="S2383" s="12"/>
      <c r="T2383" s="8"/>
      <c r="U2383" s="8" t="s">
        <v>185</v>
      </c>
      <c r="V2383" s="13" t="s">
        <v>545</v>
      </c>
      <c r="W2383" s="13" t="s">
        <v>11624</v>
      </c>
      <c r="X2383" s="12"/>
      <c r="Y2383" s="14"/>
      <c r="Z2383" s="14"/>
    </row>
    <row r="2384">
      <c r="A2384" s="8" t="s">
        <v>11625</v>
      </c>
      <c r="B2384" s="8" t="s">
        <v>9303</v>
      </c>
      <c r="C2384" s="8" t="s">
        <v>64</v>
      </c>
      <c r="D2384" s="8" t="s">
        <v>26</v>
      </c>
      <c r="E2384" s="8" t="s">
        <v>9304</v>
      </c>
      <c r="F2384" s="8">
        <v>1.017273646E9</v>
      </c>
      <c r="G2384" s="8" t="s">
        <v>284</v>
      </c>
      <c r="H2384" s="8" t="s">
        <v>854</v>
      </c>
      <c r="I2384" s="8" t="s">
        <v>31</v>
      </c>
      <c r="J2384" s="8" t="s">
        <v>438</v>
      </c>
      <c r="K2384" s="10" t="s">
        <v>10418</v>
      </c>
      <c r="L2384" s="8" t="s">
        <v>58</v>
      </c>
      <c r="M2384" s="8" t="s">
        <v>35</v>
      </c>
      <c r="N2384" s="11">
        <v>45088.0</v>
      </c>
      <c r="O2384" s="11">
        <v>45152.0</v>
      </c>
      <c r="P2384" s="11">
        <v>45194.0</v>
      </c>
      <c r="Q2384" s="11">
        <v>45188.0</v>
      </c>
      <c r="R2384" s="11">
        <v>45228.0</v>
      </c>
      <c r="S2384" s="12"/>
      <c r="T2384" s="8"/>
      <c r="U2384" s="8" t="s">
        <v>1038</v>
      </c>
      <c r="V2384" s="13" t="s">
        <v>856</v>
      </c>
      <c r="W2384" s="13" t="s">
        <v>9306</v>
      </c>
      <c r="X2384" s="12"/>
      <c r="Y2384" s="14"/>
      <c r="Z2384" s="14"/>
    </row>
    <row r="2385">
      <c r="A2385" s="8" t="s">
        <v>11626</v>
      </c>
      <c r="B2385" s="8" t="s">
        <v>11627</v>
      </c>
      <c r="C2385" s="8" t="s">
        <v>25</v>
      </c>
      <c r="D2385" s="8" t="s">
        <v>26</v>
      </c>
      <c r="E2385" s="8" t="s">
        <v>11628</v>
      </c>
      <c r="F2385" s="8"/>
      <c r="G2385" s="8" t="s">
        <v>9946</v>
      </c>
      <c r="H2385" s="8" t="s">
        <v>10046</v>
      </c>
      <c r="I2385" s="8" t="s">
        <v>31</v>
      </c>
      <c r="J2385" s="8" t="s">
        <v>86</v>
      </c>
      <c r="K2385" s="10" t="s">
        <v>87</v>
      </c>
      <c r="L2385" s="8" t="s">
        <v>58</v>
      </c>
      <c r="M2385" s="8" t="s">
        <v>35</v>
      </c>
      <c r="N2385" s="11">
        <v>45088.0</v>
      </c>
      <c r="O2385" s="11">
        <v>45097.0</v>
      </c>
      <c r="P2385" s="11">
        <v>45139.0</v>
      </c>
      <c r="Q2385" s="11">
        <v>45104.0</v>
      </c>
      <c r="R2385" s="11">
        <v>45144.0</v>
      </c>
      <c r="S2385" s="12"/>
      <c r="T2385" s="8"/>
      <c r="U2385" s="8" t="s">
        <v>88</v>
      </c>
      <c r="V2385" s="13" t="s">
        <v>10046</v>
      </c>
      <c r="W2385" s="13" t="s">
        <v>11629</v>
      </c>
      <c r="X2385" s="12"/>
      <c r="Y2385" s="14"/>
      <c r="Z2385" s="14"/>
    </row>
    <row r="2386">
      <c r="A2386" s="8" t="s">
        <v>11630</v>
      </c>
      <c r="B2386" s="8" t="s">
        <v>11631</v>
      </c>
      <c r="C2386" s="8" t="s">
        <v>64</v>
      </c>
      <c r="D2386" s="8" t="s">
        <v>26</v>
      </c>
      <c r="E2386" s="8" t="s">
        <v>11632</v>
      </c>
      <c r="F2386" s="8">
        <v>7.55375006E8</v>
      </c>
      <c r="G2386" s="8" t="s">
        <v>127</v>
      </c>
      <c r="H2386" s="8" t="s">
        <v>159</v>
      </c>
      <c r="I2386" s="8" t="s">
        <v>31</v>
      </c>
      <c r="J2386" s="8" t="s">
        <v>86</v>
      </c>
      <c r="K2386" s="10" t="s">
        <v>2453</v>
      </c>
      <c r="L2386" s="8" t="s">
        <v>58</v>
      </c>
      <c r="M2386" s="8" t="s">
        <v>35</v>
      </c>
      <c r="N2386" s="11">
        <v>45088.0</v>
      </c>
      <c r="O2386" s="11">
        <v>45174.0</v>
      </c>
      <c r="P2386" s="11">
        <v>45216.0</v>
      </c>
      <c r="Q2386" s="11">
        <v>45180.0</v>
      </c>
      <c r="R2386" s="11">
        <v>45220.0</v>
      </c>
      <c r="S2386" s="12"/>
      <c r="T2386" s="8"/>
      <c r="U2386" s="8" t="s">
        <v>59</v>
      </c>
      <c r="V2386" s="13" t="s">
        <v>159</v>
      </c>
      <c r="W2386" s="13" t="s">
        <v>11633</v>
      </c>
      <c r="X2386" s="12"/>
      <c r="Y2386" s="14"/>
      <c r="Z2386" s="14"/>
    </row>
    <row r="2387">
      <c r="A2387" s="8" t="s">
        <v>11634</v>
      </c>
      <c r="B2387" s="8" t="s">
        <v>11635</v>
      </c>
      <c r="C2387" s="8" t="s">
        <v>251</v>
      </c>
      <c r="D2387" s="8" t="s">
        <v>26</v>
      </c>
      <c r="E2387" s="8" t="s">
        <v>11636</v>
      </c>
      <c r="F2387" s="8">
        <v>6.68213094E8</v>
      </c>
      <c r="G2387" s="8" t="s">
        <v>254</v>
      </c>
      <c r="H2387" s="8" t="s">
        <v>6960</v>
      </c>
      <c r="I2387" s="8" t="s">
        <v>31</v>
      </c>
      <c r="J2387" s="8" t="s">
        <v>43</v>
      </c>
      <c r="K2387" s="10" t="s">
        <v>10896</v>
      </c>
      <c r="L2387" s="8" t="s">
        <v>47</v>
      </c>
      <c r="M2387" s="8" t="s">
        <v>70</v>
      </c>
      <c r="N2387" s="11">
        <v>45088.0</v>
      </c>
      <c r="O2387" s="11">
        <v>45153.0</v>
      </c>
      <c r="P2387" s="11">
        <v>45474.0</v>
      </c>
      <c r="Q2387" s="11"/>
      <c r="R2387" s="11"/>
      <c r="S2387" s="12"/>
      <c r="T2387" s="8"/>
      <c r="U2387" s="8" t="s">
        <v>10897</v>
      </c>
      <c r="V2387" s="13" t="s">
        <v>1010</v>
      </c>
      <c r="W2387" s="13" t="s">
        <v>11637</v>
      </c>
      <c r="X2387" s="12"/>
      <c r="Y2387" s="14"/>
      <c r="Z2387" s="14"/>
    </row>
    <row r="2388">
      <c r="A2388" s="8" t="s">
        <v>11638</v>
      </c>
      <c r="B2388" s="8" t="s">
        <v>11639</v>
      </c>
      <c r="C2388" s="8" t="s">
        <v>179</v>
      </c>
      <c r="D2388" s="8" t="s">
        <v>26</v>
      </c>
      <c r="E2388" s="8" t="s">
        <v>11640</v>
      </c>
      <c r="F2388" s="8">
        <v>8.2335641448E10</v>
      </c>
      <c r="G2388" s="8" t="s">
        <v>4181</v>
      </c>
      <c r="H2388" s="8" t="s">
        <v>11641</v>
      </c>
      <c r="I2388" s="8" t="s">
        <v>31</v>
      </c>
      <c r="J2388" s="8" t="s">
        <v>77</v>
      </c>
      <c r="K2388" s="10" t="s">
        <v>1049</v>
      </c>
      <c r="L2388" s="8" t="s">
        <v>47</v>
      </c>
      <c r="M2388" s="8" t="s">
        <v>70</v>
      </c>
      <c r="N2388" s="11">
        <v>45088.0</v>
      </c>
      <c r="O2388" s="11">
        <v>45166.0</v>
      </c>
      <c r="P2388" s="11">
        <v>45473.0</v>
      </c>
      <c r="Q2388" s="11"/>
      <c r="R2388" s="11"/>
      <c r="S2388" s="12"/>
      <c r="T2388" s="8"/>
      <c r="U2388" s="8" t="s">
        <v>1050</v>
      </c>
      <c r="V2388" s="13" t="s">
        <v>11642</v>
      </c>
      <c r="W2388" s="13" t="s">
        <v>11643</v>
      </c>
      <c r="X2388" s="12"/>
      <c r="Y2388" s="14"/>
      <c r="Z2388" s="14"/>
    </row>
    <row r="2389">
      <c r="A2389" s="8" t="s">
        <v>11644</v>
      </c>
      <c r="B2389" s="8" t="s">
        <v>11645</v>
      </c>
      <c r="C2389" s="8" t="s">
        <v>708</v>
      </c>
      <c r="D2389" s="8" t="s">
        <v>26</v>
      </c>
      <c r="E2389" s="8" t="s">
        <v>11646</v>
      </c>
      <c r="F2389" s="8">
        <v>9.78455E8</v>
      </c>
      <c r="G2389" s="8" t="s">
        <v>1620</v>
      </c>
      <c r="H2389" s="8" t="s">
        <v>4288</v>
      </c>
      <c r="I2389" s="8" t="s">
        <v>31</v>
      </c>
      <c r="J2389" s="8" t="s">
        <v>111</v>
      </c>
      <c r="K2389" s="10" t="s">
        <v>910</v>
      </c>
      <c r="L2389" s="8" t="s">
        <v>47</v>
      </c>
      <c r="M2389" s="8" t="s">
        <v>70</v>
      </c>
      <c r="N2389" s="11">
        <v>45088.0</v>
      </c>
      <c r="O2389" s="11">
        <v>45152.0</v>
      </c>
      <c r="P2389" s="11">
        <v>45473.0</v>
      </c>
      <c r="Q2389" s="11">
        <v>45153.0</v>
      </c>
      <c r="R2389" s="11">
        <v>45478.0</v>
      </c>
      <c r="S2389" s="12"/>
      <c r="T2389" s="8"/>
      <c r="U2389" s="8" t="s">
        <v>246</v>
      </c>
      <c r="V2389" s="13" t="s">
        <v>5939</v>
      </c>
      <c r="W2389" s="13" t="s">
        <v>11647</v>
      </c>
      <c r="X2389" s="12"/>
      <c r="Y2389" s="14"/>
      <c r="Z2389" s="14"/>
    </row>
    <row r="2390">
      <c r="A2390" s="8" t="s">
        <v>11648</v>
      </c>
      <c r="B2390" s="8" t="s">
        <v>11649</v>
      </c>
      <c r="C2390" s="8" t="s">
        <v>25</v>
      </c>
      <c r="D2390" s="8" t="s">
        <v>26</v>
      </c>
      <c r="E2390" s="8" t="s">
        <v>11650</v>
      </c>
      <c r="F2390" s="8">
        <v>5.522580907E9</v>
      </c>
      <c r="G2390" s="8" t="s">
        <v>31</v>
      </c>
      <c r="H2390" s="8" t="s">
        <v>86</v>
      </c>
      <c r="I2390" s="8" t="s">
        <v>284</v>
      </c>
      <c r="J2390" s="8" t="s">
        <v>3188</v>
      </c>
      <c r="K2390" s="10" t="s">
        <v>11300</v>
      </c>
      <c r="L2390" s="8" t="s">
        <v>34</v>
      </c>
      <c r="M2390" s="8" t="s">
        <v>35</v>
      </c>
      <c r="N2390" s="11">
        <v>45089.0</v>
      </c>
      <c r="O2390" s="11">
        <v>45129.0</v>
      </c>
      <c r="P2390" s="11">
        <v>45174.0</v>
      </c>
      <c r="Q2390" s="11">
        <v>45129.0</v>
      </c>
      <c r="R2390" s="11">
        <v>45174.0</v>
      </c>
      <c r="S2390" s="12"/>
      <c r="T2390" s="8" t="s">
        <v>205</v>
      </c>
      <c r="U2390" s="8" t="s">
        <v>11301</v>
      </c>
      <c r="V2390" s="13" t="s">
        <v>175</v>
      </c>
      <c r="W2390" s="13" t="s">
        <v>11651</v>
      </c>
      <c r="X2390" s="12"/>
      <c r="Y2390" s="14"/>
      <c r="Z2390" s="14"/>
    </row>
    <row r="2391">
      <c r="A2391" s="8" t="s">
        <v>11652</v>
      </c>
      <c r="B2391" s="8" t="s">
        <v>11653</v>
      </c>
      <c r="C2391" s="8" t="s">
        <v>708</v>
      </c>
      <c r="D2391" s="8" t="s">
        <v>26</v>
      </c>
      <c r="E2391" s="8" t="s">
        <v>11654</v>
      </c>
      <c r="F2391" s="8">
        <v>6.21150606E8</v>
      </c>
      <c r="G2391" s="8" t="s">
        <v>84</v>
      </c>
      <c r="H2391" s="8" t="s">
        <v>1280</v>
      </c>
      <c r="I2391" s="8" t="s">
        <v>31</v>
      </c>
      <c r="J2391" s="8" t="s">
        <v>86</v>
      </c>
      <c r="K2391" s="10" t="s">
        <v>2404</v>
      </c>
      <c r="L2391" s="8" t="s">
        <v>34</v>
      </c>
      <c r="M2391" s="8" t="s">
        <v>70</v>
      </c>
      <c r="N2391" s="11">
        <v>45089.0</v>
      </c>
      <c r="O2391" s="11">
        <v>45145.0</v>
      </c>
      <c r="P2391" s="11">
        <v>45660.0</v>
      </c>
      <c r="Q2391" s="11">
        <v>45145.0</v>
      </c>
      <c r="R2391" s="11">
        <v>45660.0</v>
      </c>
      <c r="S2391" s="12"/>
      <c r="T2391" s="8" t="s">
        <v>36</v>
      </c>
      <c r="U2391" s="8" t="s">
        <v>2405</v>
      </c>
      <c r="V2391" s="13" t="s">
        <v>11655</v>
      </c>
      <c r="W2391" s="13" t="s">
        <v>11656</v>
      </c>
      <c r="X2391" s="12"/>
      <c r="Y2391" s="14"/>
      <c r="Z2391" s="14"/>
    </row>
    <row r="2392">
      <c r="A2392" s="8" t="s">
        <v>11657</v>
      </c>
      <c r="B2392" s="8" t="s">
        <v>11658</v>
      </c>
      <c r="C2392" s="8" t="s">
        <v>25</v>
      </c>
      <c r="D2392" s="8" t="s">
        <v>26</v>
      </c>
      <c r="E2392" s="8" t="s">
        <v>11659</v>
      </c>
      <c r="F2392" s="8"/>
      <c r="G2392" s="8" t="s">
        <v>284</v>
      </c>
      <c r="H2392" s="8" t="s">
        <v>5202</v>
      </c>
      <c r="I2392" s="8" t="s">
        <v>31</v>
      </c>
      <c r="J2392" s="8" t="s">
        <v>292</v>
      </c>
      <c r="K2392" s="10" t="s">
        <v>11660</v>
      </c>
      <c r="L2392" s="8" t="s">
        <v>58</v>
      </c>
      <c r="M2392" s="8" t="s">
        <v>35</v>
      </c>
      <c r="N2392" s="11">
        <v>45089.0</v>
      </c>
      <c r="O2392" s="11">
        <v>45152.0</v>
      </c>
      <c r="P2392" s="11">
        <v>45194.0</v>
      </c>
      <c r="Q2392" s="11">
        <v>45159.0</v>
      </c>
      <c r="R2392" s="11">
        <v>45199.0</v>
      </c>
      <c r="S2392" s="12"/>
      <c r="T2392" s="8"/>
      <c r="U2392" s="8" t="s">
        <v>88</v>
      </c>
      <c r="V2392" s="13" t="s">
        <v>38</v>
      </c>
      <c r="W2392" s="13" t="s">
        <v>11661</v>
      </c>
      <c r="X2392" s="12"/>
      <c r="Y2392" s="14"/>
      <c r="Z2392" s="14"/>
    </row>
    <row r="2393">
      <c r="A2393" s="8" t="s">
        <v>11662</v>
      </c>
      <c r="B2393" s="8" t="s">
        <v>11663</v>
      </c>
      <c r="C2393" s="8" t="s">
        <v>64</v>
      </c>
      <c r="D2393" s="8" t="s">
        <v>26</v>
      </c>
      <c r="E2393" s="8" t="s">
        <v>11664</v>
      </c>
      <c r="F2393" s="8">
        <v>6.5175207E7</v>
      </c>
      <c r="G2393" s="8" t="s">
        <v>407</v>
      </c>
      <c r="H2393" s="8" t="s">
        <v>11665</v>
      </c>
      <c r="I2393" s="8" t="s">
        <v>31</v>
      </c>
      <c r="J2393" s="8" t="s">
        <v>542</v>
      </c>
      <c r="K2393" s="10" t="s">
        <v>11666</v>
      </c>
      <c r="L2393" s="8" t="s">
        <v>58</v>
      </c>
      <c r="M2393" s="8" t="s">
        <v>35</v>
      </c>
      <c r="N2393" s="11">
        <v>45089.0</v>
      </c>
      <c r="O2393" s="11">
        <v>45117.0</v>
      </c>
      <c r="P2393" s="11">
        <v>45159.0</v>
      </c>
      <c r="Q2393" s="11">
        <v>45116.0</v>
      </c>
      <c r="R2393" s="11">
        <v>45159.0</v>
      </c>
      <c r="S2393" s="12"/>
      <c r="T2393" s="8"/>
      <c r="U2393" s="8" t="s">
        <v>161</v>
      </c>
      <c r="V2393" s="13" t="s">
        <v>11667</v>
      </c>
      <c r="W2393" s="13" t="s">
        <v>11668</v>
      </c>
      <c r="X2393" s="12"/>
      <c r="Y2393" s="14"/>
      <c r="Z2393" s="14"/>
    </row>
    <row r="2394">
      <c r="A2394" s="8" t="s">
        <v>11669</v>
      </c>
      <c r="B2394" s="8" t="s">
        <v>11670</v>
      </c>
      <c r="C2394" s="8" t="s">
        <v>25</v>
      </c>
      <c r="D2394" s="8" t="s">
        <v>26</v>
      </c>
      <c r="E2394" s="8" t="s">
        <v>11671</v>
      </c>
      <c r="F2394" s="8">
        <v>9.5218627E7</v>
      </c>
      <c r="G2394" s="8" t="s">
        <v>54</v>
      </c>
      <c r="H2394" s="8" t="s">
        <v>430</v>
      </c>
      <c r="I2394" s="8" t="s">
        <v>31</v>
      </c>
      <c r="J2394" s="8" t="s">
        <v>292</v>
      </c>
      <c r="K2394" s="10" t="s">
        <v>11586</v>
      </c>
      <c r="L2394" s="8" t="s">
        <v>58</v>
      </c>
      <c r="M2394" s="8" t="s">
        <v>35</v>
      </c>
      <c r="N2394" s="11">
        <v>45089.0</v>
      </c>
      <c r="O2394" s="11">
        <v>45110.0</v>
      </c>
      <c r="P2394" s="11">
        <v>45152.0</v>
      </c>
      <c r="Q2394" s="11">
        <v>45109.0</v>
      </c>
      <c r="R2394" s="11">
        <v>45152.0</v>
      </c>
      <c r="S2394" s="12"/>
      <c r="T2394" s="8"/>
      <c r="U2394" s="8" t="s">
        <v>88</v>
      </c>
      <c r="V2394" s="13" t="s">
        <v>1715</v>
      </c>
      <c r="W2394" s="13" t="s">
        <v>11672</v>
      </c>
      <c r="X2394" s="12"/>
      <c r="Y2394" s="14"/>
      <c r="Z2394" s="14"/>
    </row>
    <row r="2395">
      <c r="A2395" s="8" t="s">
        <v>11673</v>
      </c>
      <c r="B2395" s="8" t="s">
        <v>11674</v>
      </c>
      <c r="C2395" s="8" t="s">
        <v>25</v>
      </c>
      <c r="D2395" s="8" t="s">
        <v>26</v>
      </c>
      <c r="E2395" s="8" t="s">
        <v>11675</v>
      </c>
      <c r="F2395" s="8">
        <v>5.2517646E7</v>
      </c>
      <c r="G2395" s="8" t="s">
        <v>54</v>
      </c>
      <c r="H2395" s="8" t="s">
        <v>135</v>
      </c>
      <c r="I2395" s="8" t="s">
        <v>31</v>
      </c>
      <c r="J2395" s="8" t="s">
        <v>292</v>
      </c>
      <c r="K2395" s="10" t="s">
        <v>11660</v>
      </c>
      <c r="L2395" s="8" t="s">
        <v>58</v>
      </c>
      <c r="M2395" s="8" t="s">
        <v>35</v>
      </c>
      <c r="N2395" s="11">
        <v>45089.0</v>
      </c>
      <c r="O2395" s="11">
        <v>45110.0</v>
      </c>
      <c r="P2395" s="11">
        <v>45152.0</v>
      </c>
      <c r="Q2395" s="11">
        <v>45109.0</v>
      </c>
      <c r="R2395" s="11">
        <v>45152.0</v>
      </c>
      <c r="S2395" s="12"/>
      <c r="T2395" s="8"/>
      <c r="U2395" s="8" t="s">
        <v>88</v>
      </c>
      <c r="V2395" s="13" t="s">
        <v>11676</v>
      </c>
      <c r="W2395" s="13" t="s">
        <v>11677</v>
      </c>
      <c r="X2395" s="12"/>
      <c r="Y2395" s="14"/>
      <c r="Z2395" s="14"/>
    </row>
    <row r="2396">
      <c r="A2396" s="8" t="s">
        <v>11678</v>
      </c>
      <c r="B2396" s="8" t="s">
        <v>11679</v>
      </c>
      <c r="C2396" s="8" t="s">
        <v>25</v>
      </c>
      <c r="D2396" s="8" t="s">
        <v>26</v>
      </c>
      <c r="E2396" s="8" t="s">
        <v>11680</v>
      </c>
      <c r="F2396" s="8"/>
      <c r="G2396" s="8" t="s">
        <v>127</v>
      </c>
      <c r="H2396" s="8" t="s">
        <v>6099</v>
      </c>
      <c r="I2396" s="8" t="s">
        <v>31</v>
      </c>
      <c r="J2396" s="8" t="s">
        <v>77</v>
      </c>
      <c r="K2396" s="10" t="s">
        <v>6682</v>
      </c>
      <c r="L2396" s="8" t="s">
        <v>58</v>
      </c>
      <c r="M2396" s="8" t="s">
        <v>35</v>
      </c>
      <c r="N2396" s="11">
        <v>45089.0</v>
      </c>
      <c r="O2396" s="11">
        <v>45153.0</v>
      </c>
      <c r="P2396" s="11">
        <v>45195.0</v>
      </c>
      <c r="Q2396" s="11">
        <v>45153.0</v>
      </c>
      <c r="R2396" s="11">
        <v>45195.0</v>
      </c>
      <c r="S2396" s="12"/>
      <c r="T2396" s="8"/>
      <c r="U2396" s="8" t="s">
        <v>59</v>
      </c>
      <c r="V2396" s="13" t="s">
        <v>38</v>
      </c>
      <c r="W2396" s="13" t="s">
        <v>11681</v>
      </c>
      <c r="X2396" s="12"/>
      <c r="Y2396" s="14"/>
      <c r="Z2396" s="14"/>
    </row>
    <row r="2397">
      <c r="A2397" s="8" t="s">
        <v>11682</v>
      </c>
      <c r="B2397" s="8" t="s">
        <v>11683</v>
      </c>
      <c r="C2397" s="8" t="s">
        <v>25</v>
      </c>
      <c r="D2397" s="8" t="s">
        <v>26</v>
      </c>
      <c r="E2397" s="8" t="s">
        <v>11684</v>
      </c>
      <c r="F2397" s="8">
        <v>7.051264249E9</v>
      </c>
      <c r="G2397" s="8" t="s">
        <v>496</v>
      </c>
      <c r="H2397" s="8" t="s">
        <v>497</v>
      </c>
      <c r="I2397" s="8" t="s">
        <v>31</v>
      </c>
      <c r="J2397" s="8" t="s">
        <v>167</v>
      </c>
      <c r="K2397" s="10" t="s">
        <v>10810</v>
      </c>
      <c r="L2397" s="8" t="s">
        <v>58</v>
      </c>
      <c r="M2397" s="8" t="s">
        <v>35</v>
      </c>
      <c r="N2397" s="11">
        <v>45089.0</v>
      </c>
      <c r="O2397" s="11">
        <v>45110.0</v>
      </c>
      <c r="P2397" s="11">
        <v>45152.0</v>
      </c>
      <c r="Q2397" s="11">
        <v>45110.0</v>
      </c>
      <c r="R2397" s="11">
        <v>45152.0</v>
      </c>
      <c r="S2397" s="12"/>
      <c r="T2397" s="8"/>
      <c r="U2397" s="8" t="s">
        <v>59</v>
      </c>
      <c r="V2397" s="13" t="s">
        <v>500</v>
      </c>
      <c r="W2397" s="13" t="s">
        <v>11685</v>
      </c>
      <c r="X2397" s="12"/>
      <c r="Y2397" s="14"/>
      <c r="Z2397" s="14"/>
    </row>
    <row r="2398">
      <c r="A2398" s="8" t="s">
        <v>11686</v>
      </c>
      <c r="B2398" s="8" t="s">
        <v>11687</v>
      </c>
      <c r="C2398" s="8" t="s">
        <v>64</v>
      </c>
      <c r="D2398" s="8" t="s">
        <v>26</v>
      </c>
      <c r="E2398" s="8" t="s">
        <v>11688</v>
      </c>
      <c r="F2398" s="8">
        <v>3.302746047E9</v>
      </c>
      <c r="G2398" s="8" t="s">
        <v>315</v>
      </c>
      <c r="H2398" s="8" t="s">
        <v>1833</v>
      </c>
      <c r="I2398" s="8" t="s">
        <v>31</v>
      </c>
      <c r="J2398" s="8" t="s">
        <v>56</v>
      </c>
      <c r="K2398" s="10" t="s">
        <v>11689</v>
      </c>
      <c r="L2398" s="8" t="s">
        <v>58</v>
      </c>
      <c r="M2398" s="8" t="s">
        <v>35</v>
      </c>
      <c r="N2398" s="11">
        <v>45089.0</v>
      </c>
      <c r="O2398" s="11">
        <v>45124.0</v>
      </c>
      <c r="P2398" s="11">
        <v>45166.0</v>
      </c>
      <c r="Q2398" s="11">
        <v>45128.0</v>
      </c>
      <c r="R2398" s="11">
        <v>45168.0</v>
      </c>
      <c r="S2398" s="12"/>
      <c r="T2398" s="8"/>
      <c r="U2398" s="8" t="s">
        <v>59</v>
      </c>
      <c r="V2398" s="13" t="s">
        <v>3501</v>
      </c>
      <c r="W2398" s="13" t="s">
        <v>11690</v>
      </c>
      <c r="X2398" s="12"/>
      <c r="Y2398" s="14"/>
      <c r="Z2398" s="14"/>
    </row>
    <row r="2399">
      <c r="A2399" s="8" t="s">
        <v>11691</v>
      </c>
      <c r="B2399" s="8" t="s">
        <v>9454</v>
      </c>
      <c r="C2399" s="8" t="s">
        <v>251</v>
      </c>
      <c r="D2399" s="8" t="s">
        <v>26</v>
      </c>
      <c r="E2399" s="8" t="s">
        <v>11692</v>
      </c>
      <c r="F2399" s="8">
        <v>5.453364495E9</v>
      </c>
      <c r="G2399" s="8" t="s">
        <v>31</v>
      </c>
      <c r="H2399" s="8" t="s">
        <v>111</v>
      </c>
      <c r="I2399" s="8" t="s">
        <v>284</v>
      </c>
      <c r="J2399" s="8" t="s">
        <v>793</v>
      </c>
      <c r="K2399" s="10" t="s">
        <v>9678</v>
      </c>
      <c r="L2399" s="8" t="s">
        <v>58</v>
      </c>
      <c r="M2399" s="8" t="s">
        <v>35</v>
      </c>
      <c r="N2399" s="11">
        <v>45089.0</v>
      </c>
      <c r="O2399" s="11">
        <v>45108.0</v>
      </c>
      <c r="P2399" s="11">
        <v>45150.0</v>
      </c>
      <c r="Q2399" s="11"/>
      <c r="R2399" s="11"/>
      <c r="S2399" s="12"/>
      <c r="T2399" s="8"/>
      <c r="U2399" s="8" t="s">
        <v>153</v>
      </c>
      <c r="V2399" s="13" t="s">
        <v>111</v>
      </c>
      <c r="W2399" s="13" t="s">
        <v>11693</v>
      </c>
      <c r="X2399" s="12"/>
      <c r="Y2399" s="14"/>
      <c r="Z2399" s="14"/>
    </row>
    <row r="2400">
      <c r="A2400" s="8" t="s">
        <v>11694</v>
      </c>
      <c r="B2400" s="8" t="s">
        <v>11695</v>
      </c>
      <c r="C2400" s="8" t="s">
        <v>179</v>
      </c>
      <c r="D2400" s="8" t="s">
        <v>26</v>
      </c>
      <c r="E2400" s="8" t="s">
        <v>11696</v>
      </c>
      <c r="F2400" s="8">
        <v>1.111228218E9</v>
      </c>
      <c r="G2400" s="8" t="s">
        <v>284</v>
      </c>
      <c r="H2400" s="8" t="s">
        <v>560</v>
      </c>
      <c r="I2400" s="8" t="s">
        <v>31</v>
      </c>
      <c r="J2400" s="8" t="s">
        <v>136</v>
      </c>
      <c r="K2400" s="10" t="s">
        <v>8895</v>
      </c>
      <c r="L2400" s="8" t="s">
        <v>58</v>
      </c>
      <c r="M2400" s="8" t="s">
        <v>35</v>
      </c>
      <c r="N2400" s="11">
        <v>45089.0</v>
      </c>
      <c r="O2400" s="11">
        <v>45215.0</v>
      </c>
      <c r="P2400" s="11">
        <v>45257.0</v>
      </c>
      <c r="Q2400" s="11"/>
      <c r="R2400" s="11"/>
      <c r="S2400" s="12"/>
      <c r="T2400" s="8"/>
      <c r="U2400" s="8" t="s">
        <v>59</v>
      </c>
      <c r="V2400" s="13" t="s">
        <v>567</v>
      </c>
      <c r="W2400" s="13" t="s">
        <v>11697</v>
      </c>
      <c r="X2400" s="12"/>
      <c r="Y2400" s="14"/>
      <c r="Z2400" s="14"/>
    </row>
    <row r="2401">
      <c r="A2401" s="8" t="s">
        <v>11698</v>
      </c>
      <c r="B2401" s="8" t="s">
        <v>11699</v>
      </c>
      <c r="C2401" s="8" t="s">
        <v>708</v>
      </c>
      <c r="D2401" s="8" t="s">
        <v>26</v>
      </c>
      <c r="E2401" s="8" t="s">
        <v>11700</v>
      </c>
      <c r="F2401" s="8">
        <v>5.60785994E8</v>
      </c>
      <c r="G2401" s="8" t="s">
        <v>254</v>
      </c>
      <c r="H2401" s="8" t="s">
        <v>255</v>
      </c>
      <c r="I2401" s="8" t="s">
        <v>31</v>
      </c>
      <c r="J2401" s="8" t="s">
        <v>292</v>
      </c>
      <c r="K2401" s="10" t="s">
        <v>489</v>
      </c>
      <c r="L2401" s="8" t="s">
        <v>47</v>
      </c>
      <c r="M2401" s="8" t="s">
        <v>70</v>
      </c>
      <c r="N2401" s="11">
        <v>45089.0</v>
      </c>
      <c r="O2401" s="11">
        <v>45141.0</v>
      </c>
      <c r="P2401" s="11">
        <v>45507.0</v>
      </c>
      <c r="Q2401" s="11">
        <v>45156.0</v>
      </c>
      <c r="R2401" s="11">
        <v>45522.0</v>
      </c>
      <c r="S2401" s="12"/>
      <c r="T2401" s="8"/>
      <c r="U2401" s="8" t="s">
        <v>490</v>
      </c>
      <c r="V2401" s="13" t="s">
        <v>38</v>
      </c>
      <c r="W2401" s="13" t="s">
        <v>11701</v>
      </c>
      <c r="X2401" s="12"/>
      <c r="Y2401" s="14"/>
      <c r="Z2401" s="14"/>
    </row>
    <row r="2402">
      <c r="A2402" s="8" t="s">
        <v>11702</v>
      </c>
      <c r="B2402" s="8" t="s">
        <v>11703</v>
      </c>
      <c r="C2402" s="8" t="s">
        <v>25</v>
      </c>
      <c r="D2402" s="8" t="s">
        <v>26</v>
      </c>
      <c r="E2402" s="8" t="s">
        <v>11704</v>
      </c>
      <c r="F2402" s="8">
        <v>5.340318959E9</v>
      </c>
      <c r="G2402" s="8" t="s">
        <v>31</v>
      </c>
      <c r="H2402" s="8" t="s">
        <v>111</v>
      </c>
      <c r="I2402" s="8" t="s">
        <v>127</v>
      </c>
      <c r="J2402" s="8" t="s">
        <v>128</v>
      </c>
      <c r="K2402" s="10" t="s">
        <v>11705</v>
      </c>
      <c r="L2402" s="8" t="s">
        <v>58</v>
      </c>
      <c r="M2402" s="8" t="s">
        <v>35</v>
      </c>
      <c r="N2402" s="11">
        <v>45089.0</v>
      </c>
      <c r="O2402" s="11">
        <v>45187.0</v>
      </c>
      <c r="P2402" s="11">
        <v>45229.0</v>
      </c>
      <c r="Q2402" s="11">
        <v>45191.0</v>
      </c>
      <c r="R2402" s="11">
        <v>45232.0</v>
      </c>
      <c r="S2402" s="12"/>
      <c r="T2402" s="8"/>
      <c r="U2402" s="8" t="s">
        <v>185</v>
      </c>
      <c r="V2402" s="13" t="s">
        <v>545</v>
      </c>
      <c r="W2402" s="13" t="s">
        <v>11706</v>
      </c>
      <c r="X2402" s="12"/>
      <c r="Y2402" s="14"/>
      <c r="Z2402" s="14"/>
    </row>
    <row r="2403">
      <c r="A2403" s="8" t="s">
        <v>11707</v>
      </c>
      <c r="B2403" s="8" t="s">
        <v>11708</v>
      </c>
      <c r="C2403" s="8" t="s">
        <v>64</v>
      </c>
      <c r="D2403" s="8" t="s">
        <v>26</v>
      </c>
      <c r="E2403" s="8" t="s">
        <v>11709</v>
      </c>
      <c r="F2403" s="8">
        <v>5.0724736E7</v>
      </c>
      <c r="G2403" s="8" t="s">
        <v>54</v>
      </c>
      <c r="H2403" s="8" t="s">
        <v>55</v>
      </c>
      <c r="I2403" s="8" t="s">
        <v>31</v>
      </c>
      <c r="J2403" s="8" t="s">
        <v>292</v>
      </c>
      <c r="K2403" s="10" t="s">
        <v>11710</v>
      </c>
      <c r="L2403" s="8" t="s">
        <v>58</v>
      </c>
      <c r="M2403" s="8" t="s">
        <v>35</v>
      </c>
      <c r="N2403" s="11">
        <v>45090.0</v>
      </c>
      <c r="O2403" s="11">
        <v>45110.0</v>
      </c>
      <c r="P2403" s="11">
        <v>45152.0</v>
      </c>
      <c r="Q2403" s="11">
        <v>45109.0</v>
      </c>
      <c r="R2403" s="11">
        <v>45152.0</v>
      </c>
      <c r="S2403" s="12"/>
      <c r="T2403" s="8"/>
      <c r="U2403" s="8" t="s">
        <v>88</v>
      </c>
      <c r="V2403" s="13" t="s">
        <v>38</v>
      </c>
      <c r="W2403" s="13" t="s">
        <v>11711</v>
      </c>
      <c r="X2403" s="12"/>
      <c r="Y2403" s="14"/>
      <c r="Z2403" s="14"/>
    </row>
    <row r="2404">
      <c r="A2404" s="8" t="s">
        <v>11712</v>
      </c>
      <c r="B2404" s="8" t="s">
        <v>11713</v>
      </c>
      <c r="C2404" s="8" t="s">
        <v>25</v>
      </c>
      <c r="D2404" s="8" t="s">
        <v>26</v>
      </c>
      <c r="E2404" s="8" t="s">
        <v>11714</v>
      </c>
      <c r="F2404" s="8">
        <v>5.059722819E9</v>
      </c>
      <c r="G2404" s="8" t="s">
        <v>31</v>
      </c>
      <c r="H2404" s="8" t="s">
        <v>77</v>
      </c>
      <c r="I2404" s="8" t="s">
        <v>284</v>
      </c>
      <c r="J2404" s="8" t="s">
        <v>3188</v>
      </c>
      <c r="K2404" s="10" t="s">
        <v>11300</v>
      </c>
      <c r="L2404" s="8" t="s">
        <v>34</v>
      </c>
      <c r="M2404" s="8" t="s">
        <v>35</v>
      </c>
      <c r="N2404" s="11">
        <v>45090.0</v>
      </c>
      <c r="O2404" s="11">
        <v>45139.0</v>
      </c>
      <c r="P2404" s="11">
        <v>45199.0</v>
      </c>
      <c r="Q2404" s="11">
        <v>45138.0</v>
      </c>
      <c r="R2404" s="11">
        <v>45199.0</v>
      </c>
      <c r="S2404" s="12"/>
      <c r="T2404" s="8" t="s">
        <v>205</v>
      </c>
      <c r="U2404" s="8" t="s">
        <v>11301</v>
      </c>
      <c r="V2404" s="13" t="s">
        <v>77</v>
      </c>
      <c r="W2404" s="13" t="s">
        <v>11715</v>
      </c>
      <c r="X2404" s="12"/>
      <c r="Y2404" s="14"/>
      <c r="Z2404" s="14"/>
    </row>
    <row r="2405">
      <c r="A2405" s="8" t="s">
        <v>11716</v>
      </c>
      <c r="B2405" s="8" t="s">
        <v>11717</v>
      </c>
      <c r="C2405" s="8" t="s">
        <v>179</v>
      </c>
      <c r="D2405" s="8" t="s">
        <v>26</v>
      </c>
      <c r="E2405" s="8" t="s">
        <v>11718</v>
      </c>
      <c r="F2405" s="8">
        <v>1.013497742E9</v>
      </c>
      <c r="G2405" s="8" t="s">
        <v>284</v>
      </c>
      <c r="H2405" s="8" t="s">
        <v>854</v>
      </c>
      <c r="I2405" s="8" t="s">
        <v>31</v>
      </c>
      <c r="J2405" s="8" t="s">
        <v>292</v>
      </c>
      <c r="K2405" s="10" t="s">
        <v>11481</v>
      </c>
      <c r="L2405" s="8" t="s">
        <v>58</v>
      </c>
      <c r="M2405" s="8" t="s">
        <v>35</v>
      </c>
      <c r="N2405" s="11">
        <v>45090.0</v>
      </c>
      <c r="O2405" s="11">
        <v>45187.0</v>
      </c>
      <c r="P2405" s="11">
        <v>45229.0</v>
      </c>
      <c r="Q2405" s="11"/>
      <c r="R2405" s="11"/>
      <c r="S2405" s="12"/>
      <c r="T2405" s="8"/>
      <c r="U2405" s="8" t="s">
        <v>88</v>
      </c>
      <c r="V2405" s="13" t="s">
        <v>11719</v>
      </c>
      <c r="W2405" s="13" t="s">
        <v>11720</v>
      </c>
      <c r="X2405" s="12"/>
      <c r="Y2405" s="14"/>
      <c r="Z2405" s="14"/>
    </row>
    <row r="2406">
      <c r="A2406" s="8" t="s">
        <v>11721</v>
      </c>
      <c r="B2406" s="8" t="s">
        <v>11722</v>
      </c>
      <c r="C2406" s="8" t="s">
        <v>25</v>
      </c>
      <c r="D2406" s="8" t="s">
        <v>26</v>
      </c>
      <c r="E2406" s="8" t="s">
        <v>11723</v>
      </c>
      <c r="F2406" s="8">
        <v>6.05858573E8</v>
      </c>
      <c r="G2406" s="8" t="s">
        <v>221</v>
      </c>
      <c r="H2406" s="8" t="s">
        <v>3506</v>
      </c>
      <c r="I2406" s="8" t="s">
        <v>31</v>
      </c>
      <c r="J2406" s="8" t="s">
        <v>77</v>
      </c>
      <c r="K2406" s="10" t="s">
        <v>11198</v>
      </c>
      <c r="L2406" s="8" t="s">
        <v>58</v>
      </c>
      <c r="M2406" s="8" t="s">
        <v>35</v>
      </c>
      <c r="N2406" s="11">
        <v>45090.0</v>
      </c>
      <c r="O2406" s="11">
        <v>45110.0</v>
      </c>
      <c r="P2406" s="11">
        <v>45152.0</v>
      </c>
      <c r="Q2406" s="11">
        <v>45110.0</v>
      </c>
      <c r="R2406" s="11">
        <v>45152.0</v>
      </c>
      <c r="S2406" s="12"/>
      <c r="T2406" s="8"/>
      <c r="U2406" s="8" t="s">
        <v>339</v>
      </c>
      <c r="V2406" s="13" t="s">
        <v>3507</v>
      </c>
      <c r="W2406" s="13" t="s">
        <v>11724</v>
      </c>
      <c r="X2406" s="12"/>
      <c r="Y2406" s="14"/>
      <c r="Z2406" s="14"/>
    </row>
    <row r="2407">
      <c r="A2407" s="8" t="s">
        <v>11725</v>
      </c>
      <c r="B2407" s="8" t="s">
        <v>11726</v>
      </c>
      <c r="C2407" s="8" t="s">
        <v>179</v>
      </c>
      <c r="D2407" s="8" t="s">
        <v>26</v>
      </c>
      <c r="E2407" s="8" t="s">
        <v>11727</v>
      </c>
      <c r="F2407" s="8">
        <v>3.327921782E9</v>
      </c>
      <c r="G2407" s="8" t="s">
        <v>315</v>
      </c>
      <c r="H2407" s="8" t="s">
        <v>1833</v>
      </c>
      <c r="I2407" s="8" t="s">
        <v>31</v>
      </c>
      <c r="J2407" s="8" t="s">
        <v>86</v>
      </c>
      <c r="K2407" s="10" t="s">
        <v>2404</v>
      </c>
      <c r="L2407" s="8" t="s">
        <v>34</v>
      </c>
      <c r="M2407" s="8" t="s">
        <v>70</v>
      </c>
      <c r="N2407" s="11">
        <v>45090.0</v>
      </c>
      <c r="O2407" s="11">
        <v>45138.0</v>
      </c>
      <c r="P2407" s="11">
        <v>45660.0</v>
      </c>
      <c r="Q2407" s="11"/>
      <c r="R2407" s="11"/>
      <c r="S2407" s="12"/>
      <c r="T2407" s="8" t="s">
        <v>36</v>
      </c>
      <c r="U2407" s="8" t="s">
        <v>2405</v>
      </c>
      <c r="V2407" s="13" t="s">
        <v>2314</v>
      </c>
      <c r="W2407" s="13" t="s">
        <v>11728</v>
      </c>
      <c r="X2407" s="12"/>
      <c r="Y2407" s="14"/>
      <c r="Z2407" s="14"/>
    </row>
    <row r="2408">
      <c r="A2408" s="8" t="s">
        <v>11729</v>
      </c>
      <c r="B2408" s="8" t="s">
        <v>11730</v>
      </c>
      <c r="C2408" s="8" t="s">
        <v>179</v>
      </c>
      <c r="D2408" s="8" t="s">
        <v>26</v>
      </c>
      <c r="E2408" s="8" t="s">
        <v>11731</v>
      </c>
      <c r="F2408" s="8">
        <v>1.116663641E9</v>
      </c>
      <c r="G2408" s="8" t="s">
        <v>284</v>
      </c>
      <c r="H2408" s="8" t="s">
        <v>854</v>
      </c>
      <c r="I2408" s="8" t="s">
        <v>31</v>
      </c>
      <c r="J2408" s="8" t="s">
        <v>438</v>
      </c>
      <c r="K2408" s="10" t="s">
        <v>10418</v>
      </c>
      <c r="L2408" s="8" t="s">
        <v>58</v>
      </c>
      <c r="M2408" s="8" t="s">
        <v>35</v>
      </c>
      <c r="N2408" s="11">
        <v>45090.0</v>
      </c>
      <c r="O2408" s="11">
        <v>45152.0</v>
      </c>
      <c r="P2408" s="11">
        <v>45194.0</v>
      </c>
      <c r="Q2408" s="11"/>
      <c r="R2408" s="11"/>
      <c r="S2408" s="12"/>
      <c r="T2408" s="8"/>
      <c r="U2408" s="8" t="s">
        <v>1038</v>
      </c>
      <c r="V2408" s="13" t="s">
        <v>856</v>
      </c>
      <c r="W2408" s="13" t="s">
        <v>11732</v>
      </c>
      <c r="X2408" s="12"/>
      <c r="Y2408" s="14"/>
      <c r="Z2408" s="14"/>
    </row>
    <row r="2409">
      <c r="A2409" s="8" t="s">
        <v>11733</v>
      </c>
      <c r="B2409" s="8" t="s">
        <v>11734</v>
      </c>
      <c r="C2409" s="8" t="s">
        <v>25</v>
      </c>
      <c r="D2409" s="8" t="s">
        <v>26</v>
      </c>
      <c r="E2409" s="8" t="s">
        <v>11735</v>
      </c>
      <c r="F2409" s="8"/>
      <c r="G2409" s="8" t="s">
        <v>31</v>
      </c>
      <c r="H2409" s="8" t="s">
        <v>43</v>
      </c>
      <c r="I2409" s="8" t="s">
        <v>127</v>
      </c>
      <c r="J2409" s="8" t="s">
        <v>1628</v>
      </c>
      <c r="K2409" s="10" t="s">
        <v>11736</v>
      </c>
      <c r="L2409" s="8" t="s">
        <v>58</v>
      </c>
      <c r="M2409" s="8" t="s">
        <v>35</v>
      </c>
      <c r="N2409" s="11">
        <v>45090.0</v>
      </c>
      <c r="O2409" s="11">
        <v>45110.0</v>
      </c>
      <c r="P2409" s="11">
        <v>45152.0</v>
      </c>
      <c r="Q2409" s="11">
        <v>45110.0</v>
      </c>
      <c r="R2409" s="11">
        <v>45152.0</v>
      </c>
      <c r="S2409" s="12"/>
      <c r="T2409" s="8"/>
      <c r="U2409" s="8" t="s">
        <v>161</v>
      </c>
      <c r="V2409" s="13" t="s">
        <v>38</v>
      </c>
      <c r="W2409" s="13" t="s">
        <v>11737</v>
      </c>
      <c r="X2409" s="12"/>
      <c r="Y2409" s="14"/>
      <c r="Z2409" s="14"/>
    </row>
    <row r="2410">
      <c r="A2410" s="8" t="s">
        <v>11738</v>
      </c>
      <c r="B2410" s="8" t="s">
        <v>11739</v>
      </c>
      <c r="C2410" s="8" t="s">
        <v>25</v>
      </c>
      <c r="D2410" s="8" t="s">
        <v>26</v>
      </c>
      <c r="E2410" s="8" t="s">
        <v>11740</v>
      </c>
      <c r="F2410" s="8">
        <v>1.015163893E9</v>
      </c>
      <c r="G2410" s="8" t="s">
        <v>284</v>
      </c>
      <c r="H2410" s="8" t="s">
        <v>854</v>
      </c>
      <c r="I2410" s="8" t="s">
        <v>31</v>
      </c>
      <c r="J2410" s="8" t="s">
        <v>136</v>
      </c>
      <c r="K2410" s="10" t="s">
        <v>137</v>
      </c>
      <c r="L2410" s="8" t="s">
        <v>58</v>
      </c>
      <c r="M2410" s="8" t="s">
        <v>35</v>
      </c>
      <c r="N2410" s="11">
        <v>45090.0</v>
      </c>
      <c r="O2410" s="11">
        <v>45124.0</v>
      </c>
      <c r="P2410" s="11">
        <v>45166.0</v>
      </c>
      <c r="Q2410" s="11">
        <v>45126.0</v>
      </c>
      <c r="R2410" s="11">
        <v>45166.0</v>
      </c>
      <c r="S2410" s="12"/>
      <c r="T2410" s="8"/>
      <c r="U2410" s="8" t="s">
        <v>88</v>
      </c>
      <c r="V2410" s="13" t="s">
        <v>856</v>
      </c>
      <c r="W2410" s="13" t="s">
        <v>11741</v>
      </c>
      <c r="X2410" s="12"/>
      <c r="Y2410" s="14"/>
      <c r="Z2410" s="14"/>
    </row>
    <row r="2411">
      <c r="A2411" s="8" t="s">
        <v>11742</v>
      </c>
      <c r="B2411" s="8" t="s">
        <v>11743</v>
      </c>
      <c r="C2411" s="8" t="s">
        <v>179</v>
      </c>
      <c r="D2411" s="8" t="s">
        <v>26</v>
      </c>
      <c r="E2411" s="8" t="s">
        <v>11744</v>
      </c>
      <c r="F2411" s="8">
        <v>3.351775885E9</v>
      </c>
      <c r="G2411" s="8" t="s">
        <v>315</v>
      </c>
      <c r="H2411" s="8" t="s">
        <v>11745</v>
      </c>
      <c r="I2411" s="8" t="s">
        <v>31</v>
      </c>
      <c r="J2411" s="8" t="s">
        <v>542</v>
      </c>
      <c r="K2411" s="10" t="s">
        <v>6760</v>
      </c>
      <c r="L2411" s="8" t="s">
        <v>47</v>
      </c>
      <c r="M2411" s="8" t="s">
        <v>70</v>
      </c>
      <c r="N2411" s="11">
        <v>45090.0</v>
      </c>
      <c r="O2411" s="11">
        <v>45117.0</v>
      </c>
      <c r="P2411" s="11">
        <v>45478.0</v>
      </c>
      <c r="Q2411" s="11"/>
      <c r="R2411" s="11"/>
      <c r="S2411" s="12"/>
      <c r="T2411" s="8"/>
      <c r="U2411" s="8" t="s">
        <v>246</v>
      </c>
      <c r="V2411" s="13" t="s">
        <v>11746</v>
      </c>
      <c r="W2411" s="13" t="s">
        <v>11747</v>
      </c>
      <c r="X2411" s="12"/>
      <c r="Y2411" s="14"/>
      <c r="Z2411" s="14"/>
    </row>
    <row r="2412">
      <c r="A2412" s="8" t="s">
        <v>11748</v>
      </c>
      <c r="B2412" s="8" t="s">
        <v>11749</v>
      </c>
      <c r="C2412" s="8" t="s">
        <v>179</v>
      </c>
      <c r="D2412" s="8" t="s">
        <v>26</v>
      </c>
      <c r="E2412" s="8" t="s">
        <v>11750</v>
      </c>
      <c r="F2412" s="8">
        <v>1.282806822E9</v>
      </c>
      <c r="G2412" s="8" t="s">
        <v>284</v>
      </c>
      <c r="H2412" s="8" t="s">
        <v>793</v>
      </c>
      <c r="I2412" s="8" t="s">
        <v>31</v>
      </c>
      <c r="J2412" s="8" t="s">
        <v>438</v>
      </c>
      <c r="K2412" s="10" t="s">
        <v>6789</v>
      </c>
      <c r="L2412" s="8" t="s">
        <v>58</v>
      </c>
      <c r="M2412" s="8" t="s">
        <v>35</v>
      </c>
      <c r="N2412" s="11">
        <v>45090.0</v>
      </c>
      <c r="O2412" s="11">
        <v>45103.0</v>
      </c>
      <c r="P2412" s="11">
        <v>45145.0</v>
      </c>
      <c r="Q2412" s="11"/>
      <c r="R2412" s="11"/>
      <c r="S2412" s="12"/>
      <c r="T2412" s="8"/>
      <c r="U2412" s="8" t="s">
        <v>632</v>
      </c>
      <c r="V2412" s="13" t="s">
        <v>793</v>
      </c>
      <c r="W2412" s="13" t="s">
        <v>11751</v>
      </c>
      <c r="X2412" s="12"/>
      <c r="Y2412" s="14"/>
      <c r="Z2412" s="14"/>
    </row>
    <row r="2413">
      <c r="A2413" s="8" t="s">
        <v>11752</v>
      </c>
      <c r="B2413" s="8" t="s">
        <v>11753</v>
      </c>
      <c r="C2413" s="8" t="s">
        <v>25</v>
      </c>
      <c r="D2413" s="8" t="s">
        <v>26</v>
      </c>
      <c r="E2413" s="8" t="s">
        <v>11754</v>
      </c>
      <c r="F2413" s="8">
        <v>5.1991537E7</v>
      </c>
      <c r="G2413" s="8" t="s">
        <v>54</v>
      </c>
      <c r="H2413" s="8" t="s">
        <v>377</v>
      </c>
      <c r="I2413" s="8" t="s">
        <v>31</v>
      </c>
      <c r="J2413" s="8" t="s">
        <v>77</v>
      </c>
      <c r="K2413" s="10" t="s">
        <v>8136</v>
      </c>
      <c r="L2413" s="8" t="s">
        <v>58</v>
      </c>
      <c r="M2413" s="8" t="s">
        <v>35</v>
      </c>
      <c r="N2413" s="11">
        <v>45091.0</v>
      </c>
      <c r="O2413" s="11">
        <v>45095.0</v>
      </c>
      <c r="P2413" s="11">
        <v>45137.0</v>
      </c>
      <c r="Q2413" s="11">
        <v>45102.0</v>
      </c>
      <c r="R2413" s="11">
        <v>45144.0</v>
      </c>
      <c r="S2413" s="12"/>
      <c r="T2413" s="8"/>
      <c r="U2413" s="8" t="s">
        <v>59</v>
      </c>
      <c r="V2413" s="13" t="s">
        <v>2243</v>
      </c>
      <c r="W2413" s="13" t="s">
        <v>11755</v>
      </c>
      <c r="X2413" s="12"/>
      <c r="Y2413" s="14"/>
      <c r="Z2413" s="14"/>
    </row>
    <row r="2414">
      <c r="A2414" s="8" t="s">
        <v>11756</v>
      </c>
      <c r="B2414" s="8" t="s">
        <v>11757</v>
      </c>
      <c r="C2414" s="8" t="s">
        <v>25</v>
      </c>
      <c r="D2414" s="8" t="s">
        <v>26</v>
      </c>
      <c r="E2414" s="8" t="s">
        <v>11758</v>
      </c>
      <c r="F2414" s="8"/>
      <c r="G2414" s="8" t="s">
        <v>54</v>
      </c>
      <c r="H2414" s="8" t="s">
        <v>377</v>
      </c>
      <c r="I2414" s="8" t="s">
        <v>31</v>
      </c>
      <c r="J2414" s="8" t="s">
        <v>77</v>
      </c>
      <c r="K2414" s="10" t="s">
        <v>8136</v>
      </c>
      <c r="L2414" s="8" t="s">
        <v>58</v>
      </c>
      <c r="M2414" s="8" t="s">
        <v>35</v>
      </c>
      <c r="N2414" s="11">
        <v>45091.0</v>
      </c>
      <c r="O2414" s="11">
        <v>45101.0</v>
      </c>
      <c r="P2414" s="11">
        <v>45143.0</v>
      </c>
      <c r="Q2414" s="11">
        <v>45102.0</v>
      </c>
      <c r="R2414" s="11">
        <v>45143.0</v>
      </c>
      <c r="S2414" s="12"/>
      <c r="T2414" s="8"/>
      <c r="U2414" s="8" t="s">
        <v>59</v>
      </c>
      <c r="V2414" s="13" t="s">
        <v>2243</v>
      </c>
      <c r="W2414" s="13" t="s">
        <v>11759</v>
      </c>
      <c r="X2414" s="12"/>
      <c r="Y2414" s="14"/>
      <c r="Z2414" s="14"/>
    </row>
    <row r="2415">
      <c r="A2415" s="8" t="s">
        <v>11760</v>
      </c>
      <c r="B2415" s="8" t="s">
        <v>11761</v>
      </c>
      <c r="C2415" s="8" t="s">
        <v>25</v>
      </c>
      <c r="D2415" s="8" t="s">
        <v>26</v>
      </c>
      <c r="E2415" s="8" t="s">
        <v>11762</v>
      </c>
      <c r="F2415" s="8">
        <v>5.0043163E7</v>
      </c>
      <c r="G2415" s="8" t="s">
        <v>54</v>
      </c>
      <c r="H2415" s="8" t="s">
        <v>377</v>
      </c>
      <c r="I2415" s="8" t="s">
        <v>31</v>
      </c>
      <c r="J2415" s="8" t="s">
        <v>77</v>
      </c>
      <c r="K2415" s="10" t="s">
        <v>2537</v>
      </c>
      <c r="L2415" s="8" t="s">
        <v>58</v>
      </c>
      <c r="M2415" s="8" t="s">
        <v>35</v>
      </c>
      <c r="N2415" s="11">
        <v>45091.0</v>
      </c>
      <c r="O2415" s="11">
        <v>45117.0</v>
      </c>
      <c r="P2415" s="11">
        <v>45159.0</v>
      </c>
      <c r="Q2415" s="11">
        <v>45117.0</v>
      </c>
      <c r="R2415" s="11">
        <v>45159.0</v>
      </c>
      <c r="S2415" s="12"/>
      <c r="T2415" s="8"/>
      <c r="U2415" s="8" t="s">
        <v>88</v>
      </c>
      <c r="V2415" s="13" t="s">
        <v>2855</v>
      </c>
      <c r="W2415" s="13" t="s">
        <v>11763</v>
      </c>
      <c r="X2415" s="12"/>
      <c r="Y2415" s="14"/>
      <c r="Z2415" s="14"/>
    </row>
    <row r="2416">
      <c r="A2416" s="8" t="s">
        <v>11764</v>
      </c>
      <c r="B2416" s="8" t="s">
        <v>3286</v>
      </c>
      <c r="C2416" s="8" t="s">
        <v>25</v>
      </c>
      <c r="D2416" s="8" t="s">
        <v>26</v>
      </c>
      <c r="E2416" s="8" t="s">
        <v>11765</v>
      </c>
      <c r="F2416" s="8">
        <v>5.439603453E9</v>
      </c>
      <c r="G2416" s="8" t="s">
        <v>31</v>
      </c>
      <c r="H2416" s="8" t="s">
        <v>77</v>
      </c>
      <c r="I2416" s="8" t="s">
        <v>284</v>
      </c>
      <c r="J2416" s="8" t="s">
        <v>793</v>
      </c>
      <c r="K2416" s="10" t="s">
        <v>2688</v>
      </c>
      <c r="L2416" s="8" t="s">
        <v>58</v>
      </c>
      <c r="M2416" s="8" t="s">
        <v>35</v>
      </c>
      <c r="N2416" s="11">
        <v>45091.0</v>
      </c>
      <c r="O2416" s="11">
        <v>45108.0</v>
      </c>
      <c r="P2416" s="11">
        <v>45150.0</v>
      </c>
      <c r="Q2416" s="11">
        <v>45107.0</v>
      </c>
      <c r="R2416" s="11">
        <v>45151.0</v>
      </c>
      <c r="S2416" s="12"/>
      <c r="T2416" s="8"/>
      <c r="U2416" s="8" t="s">
        <v>1038</v>
      </c>
      <c r="V2416" s="13" t="s">
        <v>77</v>
      </c>
      <c r="W2416" s="13" t="s">
        <v>11766</v>
      </c>
      <c r="X2416" s="12"/>
      <c r="Y2416" s="14"/>
      <c r="Z2416" s="14"/>
    </row>
    <row r="2417">
      <c r="A2417" s="8" t="s">
        <v>11767</v>
      </c>
      <c r="B2417" s="8" t="s">
        <v>11768</v>
      </c>
      <c r="C2417" s="8" t="s">
        <v>25</v>
      </c>
      <c r="D2417" s="8" t="s">
        <v>26</v>
      </c>
      <c r="E2417" s="8" t="s">
        <v>11769</v>
      </c>
      <c r="F2417" s="8">
        <v>5.305445916E9</v>
      </c>
      <c r="G2417" s="8" t="s">
        <v>31</v>
      </c>
      <c r="H2417" s="8" t="s">
        <v>77</v>
      </c>
      <c r="I2417" s="8" t="s">
        <v>284</v>
      </c>
      <c r="J2417" s="8" t="s">
        <v>793</v>
      </c>
      <c r="K2417" s="10" t="s">
        <v>2688</v>
      </c>
      <c r="L2417" s="8" t="s">
        <v>58</v>
      </c>
      <c r="M2417" s="8" t="s">
        <v>35</v>
      </c>
      <c r="N2417" s="11">
        <v>45091.0</v>
      </c>
      <c r="O2417" s="11">
        <v>45108.0</v>
      </c>
      <c r="P2417" s="11">
        <v>45150.0</v>
      </c>
      <c r="Q2417" s="11">
        <v>45107.0</v>
      </c>
      <c r="R2417" s="11">
        <v>45151.0</v>
      </c>
      <c r="S2417" s="12"/>
      <c r="T2417" s="8"/>
      <c r="U2417" s="8" t="s">
        <v>1038</v>
      </c>
      <c r="V2417" s="13" t="s">
        <v>77</v>
      </c>
      <c r="W2417" s="13" t="s">
        <v>11770</v>
      </c>
      <c r="X2417" s="12"/>
      <c r="Y2417" s="14"/>
      <c r="Z2417" s="14"/>
    </row>
    <row r="2418">
      <c r="A2418" s="8" t="s">
        <v>11771</v>
      </c>
      <c r="B2418" s="8" t="s">
        <v>11772</v>
      </c>
      <c r="C2418" s="8" t="s">
        <v>251</v>
      </c>
      <c r="D2418" s="8" t="s">
        <v>26</v>
      </c>
      <c r="E2418" s="8" t="s">
        <v>11773</v>
      </c>
      <c r="F2418" s="8">
        <v>5.312056398E9</v>
      </c>
      <c r="G2418" s="8" t="s">
        <v>31</v>
      </c>
      <c r="H2418" s="8" t="s">
        <v>32</v>
      </c>
      <c r="I2418" s="8" t="s">
        <v>284</v>
      </c>
      <c r="J2418" s="8" t="s">
        <v>3188</v>
      </c>
      <c r="K2418" s="10" t="s">
        <v>11774</v>
      </c>
      <c r="L2418" s="8" t="s">
        <v>47</v>
      </c>
      <c r="M2418" s="8" t="s">
        <v>48</v>
      </c>
      <c r="N2418" s="11">
        <v>45091.0</v>
      </c>
      <c r="O2418" s="11">
        <v>45105.0</v>
      </c>
      <c r="P2418" s="11">
        <v>45196.0</v>
      </c>
      <c r="Q2418" s="11"/>
      <c r="R2418" s="11"/>
      <c r="S2418" s="12"/>
      <c r="T2418" s="8"/>
      <c r="U2418" s="8" t="s">
        <v>8413</v>
      </c>
      <c r="V2418" s="13" t="s">
        <v>537</v>
      </c>
      <c r="W2418" s="13" t="s">
        <v>11775</v>
      </c>
      <c r="X2418" s="12"/>
      <c r="Y2418" s="14"/>
      <c r="Z2418" s="14"/>
    </row>
    <row r="2419">
      <c r="A2419" s="8" t="s">
        <v>11776</v>
      </c>
      <c r="B2419" s="8" t="s">
        <v>6284</v>
      </c>
      <c r="C2419" s="8" t="s">
        <v>708</v>
      </c>
      <c r="D2419" s="8" t="s">
        <v>26</v>
      </c>
      <c r="E2419" s="8" t="s">
        <v>11777</v>
      </c>
      <c r="F2419" s="8"/>
      <c r="G2419" s="8" t="s">
        <v>407</v>
      </c>
      <c r="H2419" s="8" t="s">
        <v>408</v>
      </c>
      <c r="I2419" s="8" t="s">
        <v>31</v>
      </c>
      <c r="J2419" s="8" t="s">
        <v>77</v>
      </c>
      <c r="K2419" s="10" t="s">
        <v>1179</v>
      </c>
      <c r="L2419" s="8" t="s">
        <v>47</v>
      </c>
      <c r="M2419" s="8" t="s">
        <v>70</v>
      </c>
      <c r="N2419" s="11">
        <v>45091.0</v>
      </c>
      <c r="O2419" s="11">
        <v>45103.0</v>
      </c>
      <c r="P2419" s="11">
        <v>45352.0</v>
      </c>
      <c r="Q2419" s="11">
        <v>45141.0</v>
      </c>
      <c r="R2419" s="11">
        <v>45388.0</v>
      </c>
      <c r="S2419" s="12"/>
      <c r="T2419" s="8"/>
      <c r="U2419" s="8" t="s">
        <v>1180</v>
      </c>
      <c r="V2419" s="13" t="s">
        <v>410</v>
      </c>
      <c r="W2419" s="13" t="s">
        <v>11778</v>
      </c>
      <c r="X2419" s="12"/>
      <c r="Y2419" s="14"/>
      <c r="Z2419" s="14"/>
    </row>
    <row r="2420">
      <c r="A2420" s="8" t="s">
        <v>11779</v>
      </c>
      <c r="B2420" s="8" t="s">
        <v>11780</v>
      </c>
      <c r="C2420" s="8" t="s">
        <v>708</v>
      </c>
      <c r="D2420" s="8" t="s">
        <v>26</v>
      </c>
      <c r="E2420" s="8" t="s">
        <v>11781</v>
      </c>
      <c r="F2420" s="8">
        <v>9.64919242E8</v>
      </c>
      <c r="G2420" s="8" t="s">
        <v>1620</v>
      </c>
      <c r="H2420" s="8" t="s">
        <v>1635</v>
      </c>
      <c r="I2420" s="8" t="s">
        <v>31</v>
      </c>
      <c r="J2420" s="8" t="s">
        <v>86</v>
      </c>
      <c r="K2420" s="10" t="s">
        <v>11782</v>
      </c>
      <c r="L2420" s="8" t="s">
        <v>34</v>
      </c>
      <c r="M2420" s="8" t="s">
        <v>70</v>
      </c>
      <c r="N2420" s="11">
        <v>45091.0</v>
      </c>
      <c r="O2420" s="11">
        <v>45124.0</v>
      </c>
      <c r="P2420" s="11">
        <v>45492.0</v>
      </c>
      <c r="Q2420" s="11">
        <v>45145.0</v>
      </c>
      <c r="R2420" s="11">
        <v>45513.0</v>
      </c>
      <c r="S2420" s="12"/>
      <c r="T2420" s="8" t="s">
        <v>36</v>
      </c>
      <c r="U2420" s="8" t="s">
        <v>11783</v>
      </c>
      <c r="V2420" s="13" t="s">
        <v>11784</v>
      </c>
      <c r="W2420" s="13" t="s">
        <v>11785</v>
      </c>
      <c r="X2420" s="12"/>
      <c r="Y2420" s="14"/>
      <c r="Z2420" s="14"/>
    </row>
    <row r="2421">
      <c r="A2421" s="8" t="s">
        <v>11786</v>
      </c>
      <c r="B2421" s="8" t="s">
        <v>11787</v>
      </c>
      <c r="C2421" s="8" t="s">
        <v>179</v>
      </c>
      <c r="D2421" s="8" t="s">
        <v>26</v>
      </c>
      <c r="E2421" s="8" t="s">
        <v>11788</v>
      </c>
      <c r="F2421" s="8">
        <v>5.55805163E8</v>
      </c>
      <c r="G2421" s="8" t="s">
        <v>277</v>
      </c>
      <c r="H2421" s="8" t="s">
        <v>697</v>
      </c>
      <c r="I2421" s="8" t="s">
        <v>31</v>
      </c>
      <c r="J2421" s="8" t="s">
        <v>43</v>
      </c>
      <c r="K2421" s="10" t="s">
        <v>11789</v>
      </c>
      <c r="L2421" s="8" t="s">
        <v>58</v>
      </c>
      <c r="M2421" s="8" t="s">
        <v>35</v>
      </c>
      <c r="N2421" s="11">
        <v>45091.0</v>
      </c>
      <c r="O2421" s="11">
        <v>45131.0</v>
      </c>
      <c r="P2421" s="11">
        <v>45177.0</v>
      </c>
      <c r="Q2421" s="11"/>
      <c r="R2421" s="11"/>
      <c r="S2421" s="12"/>
      <c r="T2421" s="8"/>
      <c r="U2421" s="8" t="s">
        <v>59</v>
      </c>
      <c r="V2421" s="13" t="s">
        <v>5077</v>
      </c>
      <c r="W2421" s="13" t="s">
        <v>11790</v>
      </c>
      <c r="X2421" s="12"/>
      <c r="Y2421" s="14"/>
      <c r="Z2421" s="14"/>
    </row>
    <row r="2422">
      <c r="A2422" s="8" t="s">
        <v>11791</v>
      </c>
      <c r="B2422" s="8" t="s">
        <v>11792</v>
      </c>
      <c r="C2422" s="8" t="s">
        <v>179</v>
      </c>
      <c r="D2422" s="8" t="s">
        <v>26</v>
      </c>
      <c r="E2422" s="8" t="s">
        <v>11793</v>
      </c>
      <c r="F2422" s="8">
        <v>1.016775818E9</v>
      </c>
      <c r="G2422" s="8" t="s">
        <v>284</v>
      </c>
      <c r="H2422" s="8" t="s">
        <v>854</v>
      </c>
      <c r="I2422" s="8" t="s">
        <v>31</v>
      </c>
      <c r="J2422" s="8" t="s">
        <v>77</v>
      </c>
      <c r="K2422" s="10" t="s">
        <v>2537</v>
      </c>
      <c r="L2422" s="8" t="s">
        <v>58</v>
      </c>
      <c r="M2422" s="8" t="s">
        <v>35</v>
      </c>
      <c r="N2422" s="11">
        <v>45091.0</v>
      </c>
      <c r="O2422" s="11">
        <v>45152.0</v>
      </c>
      <c r="P2422" s="11">
        <v>45194.0</v>
      </c>
      <c r="Q2422" s="11"/>
      <c r="R2422" s="11"/>
      <c r="S2422" s="12"/>
      <c r="T2422" s="8"/>
      <c r="U2422" s="8" t="s">
        <v>88</v>
      </c>
      <c r="V2422" s="13" t="s">
        <v>856</v>
      </c>
      <c r="W2422" s="13" t="s">
        <v>11794</v>
      </c>
      <c r="X2422" s="12"/>
      <c r="Y2422" s="14"/>
      <c r="Z2422" s="14"/>
    </row>
    <row r="2423">
      <c r="A2423" s="8" t="s">
        <v>11795</v>
      </c>
      <c r="B2423" s="8" t="s">
        <v>11796</v>
      </c>
      <c r="C2423" s="8" t="s">
        <v>179</v>
      </c>
      <c r="D2423" s="8" t="s">
        <v>26</v>
      </c>
      <c r="E2423" s="8" t="s">
        <v>11797</v>
      </c>
      <c r="F2423" s="8"/>
      <c r="G2423" s="8" t="s">
        <v>277</v>
      </c>
      <c r="H2423" s="8" t="s">
        <v>697</v>
      </c>
      <c r="I2423" s="8" t="s">
        <v>31</v>
      </c>
      <c r="J2423" s="8" t="s">
        <v>43</v>
      </c>
      <c r="K2423" s="10" t="s">
        <v>11789</v>
      </c>
      <c r="L2423" s="8" t="s">
        <v>58</v>
      </c>
      <c r="M2423" s="8" t="s">
        <v>35</v>
      </c>
      <c r="N2423" s="11">
        <v>45091.0</v>
      </c>
      <c r="O2423" s="11">
        <v>45131.0</v>
      </c>
      <c r="P2423" s="11">
        <v>45177.0</v>
      </c>
      <c r="Q2423" s="11"/>
      <c r="R2423" s="11"/>
      <c r="S2423" s="12"/>
      <c r="T2423" s="8"/>
      <c r="U2423" s="8" t="s">
        <v>59</v>
      </c>
      <c r="V2423" s="13" t="s">
        <v>38</v>
      </c>
      <c r="W2423" s="13" t="s">
        <v>11798</v>
      </c>
      <c r="X2423" s="12"/>
      <c r="Y2423" s="14"/>
      <c r="Z2423" s="14"/>
    </row>
    <row r="2424">
      <c r="A2424" s="8" t="s">
        <v>11799</v>
      </c>
      <c r="B2424" s="8" t="s">
        <v>11800</v>
      </c>
      <c r="C2424" s="8" t="s">
        <v>708</v>
      </c>
      <c r="D2424" s="8" t="s">
        <v>26</v>
      </c>
      <c r="E2424" s="8" t="s">
        <v>11801</v>
      </c>
      <c r="F2424" s="8"/>
      <c r="G2424" s="8" t="s">
        <v>54</v>
      </c>
      <c r="H2424" s="8" t="s">
        <v>135</v>
      </c>
      <c r="I2424" s="8" t="s">
        <v>31</v>
      </c>
      <c r="J2424" s="8" t="s">
        <v>43</v>
      </c>
      <c r="K2424" s="10" t="s">
        <v>4255</v>
      </c>
      <c r="L2424" s="8" t="s">
        <v>47</v>
      </c>
      <c r="M2424" s="8" t="s">
        <v>70</v>
      </c>
      <c r="N2424" s="11">
        <v>45091.0</v>
      </c>
      <c r="O2424" s="11">
        <v>45173.0</v>
      </c>
      <c r="P2424" s="11">
        <v>45471.0</v>
      </c>
      <c r="Q2424" s="11">
        <v>45173.0</v>
      </c>
      <c r="R2424" s="11">
        <v>45471.0</v>
      </c>
      <c r="S2424" s="12"/>
      <c r="T2424" s="8"/>
      <c r="U2424" s="8" t="s">
        <v>246</v>
      </c>
      <c r="V2424" s="13" t="s">
        <v>38</v>
      </c>
      <c r="W2424" s="13" t="s">
        <v>11802</v>
      </c>
      <c r="X2424" s="12"/>
      <c r="Y2424" s="14"/>
      <c r="Z2424" s="14"/>
    </row>
    <row r="2425">
      <c r="A2425" s="8" t="s">
        <v>11803</v>
      </c>
      <c r="B2425" s="8" t="s">
        <v>11804</v>
      </c>
      <c r="C2425" s="8" t="s">
        <v>64</v>
      </c>
      <c r="D2425" s="8" t="s">
        <v>26</v>
      </c>
      <c r="E2425" s="8" t="s">
        <v>11805</v>
      </c>
      <c r="F2425" s="8"/>
      <c r="G2425" s="8" t="s">
        <v>84</v>
      </c>
      <c r="H2425" s="8" t="s">
        <v>85</v>
      </c>
      <c r="I2425" s="8" t="s">
        <v>31</v>
      </c>
      <c r="J2425" s="8" t="s">
        <v>542</v>
      </c>
      <c r="K2425" s="10" t="s">
        <v>2360</v>
      </c>
      <c r="L2425" s="8" t="s">
        <v>58</v>
      </c>
      <c r="M2425" s="8" t="s">
        <v>35</v>
      </c>
      <c r="N2425" s="11">
        <v>45091.0</v>
      </c>
      <c r="O2425" s="11">
        <v>45236.0</v>
      </c>
      <c r="P2425" s="11">
        <v>45278.0</v>
      </c>
      <c r="Q2425" s="11">
        <v>45247.0</v>
      </c>
      <c r="R2425" s="11">
        <v>45287.0</v>
      </c>
      <c r="S2425" s="12"/>
      <c r="T2425" s="8"/>
      <c r="U2425" s="8" t="s">
        <v>59</v>
      </c>
      <c r="V2425" s="13" t="s">
        <v>5502</v>
      </c>
      <c r="W2425" s="13" t="s">
        <v>11806</v>
      </c>
      <c r="X2425" s="12"/>
      <c r="Y2425" s="14"/>
      <c r="Z2425" s="14"/>
    </row>
    <row r="2426">
      <c r="A2426" s="8" t="s">
        <v>11807</v>
      </c>
      <c r="B2426" s="8" t="s">
        <v>11808</v>
      </c>
      <c r="C2426" s="8" t="s">
        <v>25</v>
      </c>
      <c r="D2426" s="8" t="s">
        <v>26</v>
      </c>
      <c r="E2426" s="8" t="s">
        <v>11809</v>
      </c>
      <c r="F2426" s="8">
        <v>5.936230983E9</v>
      </c>
      <c r="G2426" s="8" t="s">
        <v>31</v>
      </c>
      <c r="H2426" s="8" t="s">
        <v>167</v>
      </c>
      <c r="I2426" s="8" t="s">
        <v>109</v>
      </c>
      <c r="J2426" s="8" t="s">
        <v>110</v>
      </c>
      <c r="K2426" s="10" t="s">
        <v>11810</v>
      </c>
      <c r="L2426" s="8" t="s">
        <v>58</v>
      </c>
      <c r="M2426" s="8" t="s">
        <v>35</v>
      </c>
      <c r="N2426" s="11">
        <v>45091.0</v>
      </c>
      <c r="O2426" s="11">
        <v>45117.0</v>
      </c>
      <c r="P2426" s="11">
        <v>45159.0</v>
      </c>
      <c r="Q2426" s="11">
        <v>45119.0</v>
      </c>
      <c r="R2426" s="11">
        <v>45159.0</v>
      </c>
      <c r="S2426" s="12"/>
      <c r="T2426" s="8"/>
      <c r="U2426" s="8" t="s">
        <v>1590</v>
      </c>
      <c r="V2426" s="13" t="s">
        <v>167</v>
      </c>
      <c r="W2426" s="13" t="s">
        <v>11811</v>
      </c>
      <c r="X2426" s="12"/>
      <c r="Y2426" s="14"/>
      <c r="Z2426" s="14"/>
    </row>
    <row r="2427">
      <c r="A2427" s="8" t="s">
        <v>11812</v>
      </c>
      <c r="B2427" s="8" t="s">
        <v>11813</v>
      </c>
      <c r="C2427" s="8" t="s">
        <v>25</v>
      </c>
      <c r="D2427" s="8" t="s">
        <v>26</v>
      </c>
      <c r="E2427" s="8" t="s">
        <v>11814</v>
      </c>
      <c r="F2427" s="8">
        <v>5.524230983E9</v>
      </c>
      <c r="G2427" s="8" t="s">
        <v>31</v>
      </c>
      <c r="H2427" s="8" t="s">
        <v>167</v>
      </c>
      <c r="I2427" s="8" t="s">
        <v>109</v>
      </c>
      <c r="J2427" s="8" t="s">
        <v>110</v>
      </c>
      <c r="K2427" s="10" t="s">
        <v>11815</v>
      </c>
      <c r="L2427" s="8" t="s">
        <v>58</v>
      </c>
      <c r="M2427" s="8" t="s">
        <v>35</v>
      </c>
      <c r="N2427" s="11">
        <v>45091.0</v>
      </c>
      <c r="O2427" s="11">
        <v>45117.0</v>
      </c>
      <c r="P2427" s="11">
        <v>45159.0</v>
      </c>
      <c r="Q2427" s="11">
        <v>45119.0</v>
      </c>
      <c r="R2427" s="11">
        <v>45159.0</v>
      </c>
      <c r="S2427" s="12"/>
      <c r="T2427" s="8"/>
      <c r="U2427" s="8" t="s">
        <v>88</v>
      </c>
      <c r="V2427" s="13" t="s">
        <v>167</v>
      </c>
      <c r="W2427" s="13" t="s">
        <v>11816</v>
      </c>
      <c r="X2427" s="12"/>
      <c r="Y2427" s="14"/>
      <c r="Z2427" s="14"/>
    </row>
    <row r="2428">
      <c r="A2428" s="8" t="s">
        <v>11817</v>
      </c>
      <c r="B2428" s="8" t="s">
        <v>11818</v>
      </c>
      <c r="C2428" s="8" t="s">
        <v>64</v>
      </c>
      <c r="D2428" s="8" t="s">
        <v>26</v>
      </c>
      <c r="E2428" s="8" t="s">
        <v>11819</v>
      </c>
      <c r="F2428" s="8">
        <v>4.25318951E9</v>
      </c>
      <c r="G2428" s="8" t="s">
        <v>4719</v>
      </c>
      <c r="H2428" s="8" t="s">
        <v>4720</v>
      </c>
      <c r="I2428" s="8" t="s">
        <v>31</v>
      </c>
      <c r="J2428" s="8" t="s">
        <v>77</v>
      </c>
      <c r="K2428" s="10" t="s">
        <v>152</v>
      </c>
      <c r="L2428" s="8" t="s">
        <v>58</v>
      </c>
      <c r="M2428" s="8" t="s">
        <v>35</v>
      </c>
      <c r="N2428" s="11">
        <v>45091.0</v>
      </c>
      <c r="O2428" s="11">
        <v>45180.0</v>
      </c>
      <c r="P2428" s="11">
        <v>45222.0</v>
      </c>
      <c r="Q2428" s="11">
        <v>45180.0</v>
      </c>
      <c r="R2428" s="11">
        <v>45222.0</v>
      </c>
      <c r="S2428" s="12"/>
      <c r="T2428" s="8"/>
      <c r="U2428" s="8" t="s">
        <v>153</v>
      </c>
      <c r="V2428" s="13" t="s">
        <v>11820</v>
      </c>
      <c r="W2428" s="13" t="s">
        <v>11821</v>
      </c>
      <c r="X2428" s="12"/>
      <c r="Y2428" s="14"/>
      <c r="Z2428" s="14"/>
    </row>
    <row r="2429">
      <c r="A2429" s="8" t="s">
        <v>11822</v>
      </c>
      <c r="B2429" s="8" t="s">
        <v>11823</v>
      </c>
      <c r="C2429" s="8" t="s">
        <v>708</v>
      </c>
      <c r="D2429" s="8" t="s">
        <v>26</v>
      </c>
      <c r="E2429" s="8" t="s">
        <v>11824</v>
      </c>
      <c r="F2429" s="8">
        <v>1.110039672E9</v>
      </c>
      <c r="G2429" s="8" t="s">
        <v>284</v>
      </c>
      <c r="H2429" s="8" t="s">
        <v>673</v>
      </c>
      <c r="I2429" s="8" t="s">
        <v>31</v>
      </c>
      <c r="J2429" s="8" t="s">
        <v>542</v>
      </c>
      <c r="K2429" s="10" t="s">
        <v>8953</v>
      </c>
      <c r="L2429" s="8" t="s">
        <v>34</v>
      </c>
      <c r="M2429" s="8" t="s">
        <v>70</v>
      </c>
      <c r="N2429" s="11">
        <v>45092.0</v>
      </c>
      <c r="O2429" s="11">
        <v>45139.0</v>
      </c>
      <c r="P2429" s="11">
        <v>45504.0</v>
      </c>
      <c r="Q2429" s="11">
        <v>45138.0</v>
      </c>
      <c r="R2429" s="11">
        <v>45504.0</v>
      </c>
      <c r="S2429" s="12"/>
      <c r="T2429" s="8" t="s">
        <v>36</v>
      </c>
      <c r="U2429" s="8" t="s">
        <v>8954</v>
      </c>
      <c r="V2429" s="13" t="s">
        <v>674</v>
      </c>
      <c r="W2429" s="13" t="s">
        <v>11825</v>
      </c>
      <c r="X2429" s="12"/>
      <c r="Y2429" s="14"/>
      <c r="Z2429" s="14"/>
    </row>
    <row r="2430">
      <c r="A2430" s="8" t="s">
        <v>11826</v>
      </c>
      <c r="B2430" s="8" t="s">
        <v>11827</v>
      </c>
      <c r="C2430" s="8" t="s">
        <v>25</v>
      </c>
      <c r="D2430" s="8" t="s">
        <v>26</v>
      </c>
      <c r="E2430" s="8" t="s">
        <v>11828</v>
      </c>
      <c r="F2430" s="8">
        <v>5.584996E7</v>
      </c>
      <c r="G2430" s="8" t="s">
        <v>54</v>
      </c>
      <c r="H2430" s="8" t="s">
        <v>244</v>
      </c>
      <c r="I2430" s="8" t="s">
        <v>31</v>
      </c>
      <c r="J2430" s="8" t="s">
        <v>56</v>
      </c>
      <c r="K2430" s="10" t="s">
        <v>11689</v>
      </c>
      <c r="L2430" s="8" t="s">
        <v>58</v>
      </c>
      <c r="M2430" s="8" t="s">
        <v>35</v>
      </c>
      <c r="N2430" s="11">
        <v>45092.0</v>
      </c>
      <c r="O2430" s="11">
        <v>45124.0</v>
      </c>
      <c r="P2430" s="11">
        <v>45166.0</v>
      </c>
      <c r="Q2430" s="11">
        <v>45128.0</v>
      </c>
      <c r="R2430" s="11">
        <v>45168.0</v>
      </c>
      <c r="S2430" s="12"/>
      <c r="T2430" s="8"/>
      <c r="U2430" s="8" t="s">
        <v>59</v>
      </c>
      <c r="V2430" s="13" t="s">
        <v>6922</v>
      </c>
      <c r="W2430" s="13" t="s">
        <v>11829</v>
      </c>
      <c r="X2430" s="12"/>
      <c r="Y2430" s="14"/>
      <c r="Z2430" s="14"/>
    </row>
    <row r="2431">
      <c r="A2431" s="8" t="s">
        <v>11830</v>
      </c>
      <c r="B2431" s="8" t="s">
        <v>11831</v>
      </c>
      <c r="C2431" s="8" t="s">
        <v>179</v>
      </c>
      <c r="D2431" s="8" t="s">
        <v>26</v>
      </c>
      <c r="E2431" s="8" t="s">
        <v>11832</v>
      </c>
      <c r="F2431" s="8">
        <v>3.40675978E9</v>
      </c>
      <c r="G2431" s="8" t="s">
        <v>315</v>
      </c>
      <c r="H2431" s="8" t="s">
        <v>1242</v>
      </c>
      <c r="I2431" s="8" t="s">
        <v>31</v>
      </c>
      <c r="J2431" s="8" t="s">
        <v>256</v>
      </c>
      <c r="K2431" s="10" t="s">
        <v>10689</v>
      </c>
      <c r="L2431" s="8" t="s">
        <v>58</v>
      </c>
      <c r="M2431" s="8" t="s">
        <v>35</v>
      </c>
      <c r="N2431" s="11">
        <v>45092.0</v>
      </c>
      <c r="O2431" s="11">
        <v>45124.0</v>
      </c>
      <c r="P2431" s="11">
        <v>45166.0</v>
      </c>
      <c r="Q2431" s="11"/>
      <c r="R2431" s="11"/>
      <c r="S2431" s="12"/>
      <c r="T2431" s="8"/>
      <c r="U2431" s="8" t="s">
        <v>59</v>
      </c>
      <c r="V2431" s="13" t="s">
        <v>5227</v>
      </c>
      <c r="W2431" s="13" t="s">
        <v>11833</v>
      </c>
      <c r="X2431" s="12"/>
      <c r="Y2431" s="14"/>
      <c r="Z2431" s="14"/>
    </row>
    <row r="2432">
      <c r="A2432" s="8" t="s">
        <v>11834</v>
      </c>
      <c r="B2432" s="8" t="s">
        <v>11835</v>
      </c>
      <c r="C2432" s="8" t="s">
        <v>25</v>
      </c>
      <c r="D2432" s="8" t="s">
        <v>26</v>
      </c>
      <c r="E2432" s="8" t="s">
        <v>11836</v>
      </c>
      <c r="F2432" s="8">
        <v>5.412930608E9</v>
      </c>
      <c r="G2432" s="8" t="s">
        <v>31</v>
      </c>
      <c r="H2432" s="8" t="s">
        <v>292</v>
      </c>
      <c r="I2432" s="8" t="s">
        <v>127</v>
      </c>
      <c r="J2432" s="8" t="s">
        <v>128</v>
      </c>
      <c r="K2432" s="10" t="s">
        <v>11837</v>
      </c>
      <c r="L2432" s="8" t="s">
        <v>58</v>
      </c>
      <c r="M2432" s="8" t="s">
        <v>35</v>
      </c>
      <c r="N2432" s="11">
        <v>45092.0</v>
      </c>
      <c r="O2432" s="11">
        <v>45096.0</v>
      </c>
      <c r="P2432" s="11">
        <v>45138.0</v>
      </c>
      <c r="Q2432" s="11">
        <v>45096.0</v>
      </c>
      <c r="R2432" s="11">
        <v>45138.0</v>
      </c>
      <c r="S2432" s="12"/>
      <c r="T2432" s="8"/>
      <c r="U2432" s="8" t="s">
        <v>185</v>
      </c>
      <c r="V2432" s="13" t="s">
        <v>292</v>
      </c>
      <c r="W2432" s="13" t="s">
        <v>11838</v>
      </c>
      <c r="X2432" s="12"/>
      <c r="Y2432" s="14"/>
      <c r="Z2432" s="14"/>
    </row>
    <row r="2433">
      <c r="A2433" s="8" t="s">
        <v>11839</v>
      </c>
      <c r="B2433" s="8" t="s">
        <v>11840</v>
      </c>
      <c r="C2433" s="8" t="s">
        <v>25</v>
      </c>
      <c r="D2433" s="8" t="s">
        <v>26</v>
      </c>
      <c r="E2433" s="8" t="s">
        <v>11841</v>
      </c>
      <c r="F2433" s="8">
        <v>7.478367199E9</v>
      </c>
      <c r="G2433" s="8" t="s">
        <v>496</v>
      </c>
      <c r="H2433" s="8" t="s">
        <v>2112</v>
      </c>
      <c r="I2433" s="8" t="s">
        <v>31</v>
      </c>
      <c r="J2433" s="8" t="s">
        <v>77</v>
      </c>
      <c r="K2433" s="10" t="s">
        <v>6682</v>
      </c>
      <c r="L2433" s="8" t="s">
        <v>58</v>
      </c>
      <c r="M2433" s="8" t="s">
        <v>35</v>
      </c>
      <c r="N2433" s="11">
        <v>45092.0</v>
      </c>
      <c r="O2433" s="11">
        <v>45105.0</v>
      </c>
      <c r="P2433" s="11">
        <v>45147.0</v>
      </c>
      <c r="Q2433" s="11">
        <v>45103.0</v>
      </c>
      <c r="R2433" s="11">
        <v>45147.0</v>
      </c>
      <c r="S2433" s="12"/>
      <c r="T2433" s="8"/>
      <c r="U2433" s="8" t="s">
        <v>59</v>
      </c>
      <c r="V2433" s="13" t="s">
        <v>7974</v>
      </c>
      <c r="W2433" s="13" t="s">
        <v>11842</v>
      </c>
      <c r="X2433" s="12"/>
      <c r="Y2433" s="14"/>
      <c r="Z2433" s="14"/>
    </row>
    <row r="2434">
      <c r="A2434" s="8" t="s">
        <v>11843</v>
      </c>
      <c r="B2434" s="8" t="s">
        <v>11844</v>
      </c>
      <c r="C2434" s="8" t="s">
        <v>25</v>
      </c>
      <c r="D2434" s="8" t="s">
        <v>26</v>
      </c>
      <c r="E2434" s="8" t="s">
        <v>11845</v>
      </c>
      <c r="F2434" s="8">
        <v>5.369429656E9</v>
      </c>
      <c r="G2434" s="8" t="s">
        <v>31</v>
      </c>
      <c r="H2434" s="8" t="s">
        <v>256</v>
      </c>
      <c r="I2434" s="8" t="s">
        <v>284</v>
      </c>
      <c r="J2434" s="8" t="s">
        <v>1422</v>
      </c>
      <c r="K2434" s="10" t="s">
        <v>7026</v>
      </c>
      <c r="L2434" s="8" t="s">
        <v>58</v>
      </c>
      <c r="M2434" s="8" t="s">
        <v>35</v>
      </c>
      <c r="N2434" s="11">
        <v>45092.0</v>
      </c>
      <c r="O2434" s="11">
        <v>45093.0</v>
      </c>
      <c r="P2434" s="11">
        <v>45135.0</v>
      </c>
      <c r="Q2434" s="11">
        <v>45097.0</v>
      </c>
      <c r="R2434" s="11">
        <v>45137.0</v>
      </c>
      <c r="S2434" s="12"/>
      <c r="T2434" s="8"/>
      <c r="U2434" s="8" t="s">
        <v>1038</v>
      </c>
      <c r="V2434" s="13" t="s">
        <v>256</v>
      </c>
      <c r="W2434" s="13" t="s">
        <v>11846</v>
      </c>
      <c r="X2434" s="12"/>
      <c r="Y2434" s="14"/>
      <c r="Z2434" s="14"/>
    </row>
    <row r="2435">
      <c r="A2435" s="8" t="s">
        <v>11847</v>
      </c>
      <c r="B2435" s="8" t="s">
        <v>11848</v>
      </c>
      <c r="C2435" s="8" t="s">
        <v>25</v>
      </c>
      <c r="D2435" s="8" t="s">
        <v>26</v>
      </c>
      <c r="E2435" s="8" t="s">
        <v>11849</v>
      </c>
      <c r="F2435" s="8">
        <v>3.217980656E9</v>
      </c>
      <c r="G2435" s="8" t="s">
        <v>315</v>
      </c>
      <c r="H2435" s="8" t="s">
        <v>1242</v>
      </c>
      <c r="I2435" s="8" t="s">
        <v>31</v>
      </c>
      <c r="J2435" s="8" t="s">
        <v>43</v>
      </c>
      <c r="K2435" s="10" t="s">
        <v>11789</v>
      </c>
      <c r="L2435" s="8" t="s">
        <v>58</v>
      </c>
      <c r="M2435" s="8" t="s">
        <v>35</v>
      </c>
      <c r="N2435" s="11">
        <v>45092.0</v>
      </c>
      <c r="O2435" s="11">
        <v>45131.0</v>
      </c>
      <c r="P2435" s="11">
        <v>45177.0</v>
      </c>
      <c r="Q2435" s="11">
        <v>45131.0</v>
      </c>
      <c r="R2435" s="11">
        <v>45177.0</v>
      </c>
      <c r="S2435" s="12"/>
      <c r="T2435" s="8"/>
      <c r="U2435" s="8" t="s">
        <v>59</v>
      </c>
      <c r="V2435" s="13" t="s">
        <v>1243</v>
      </c>
      <c r="W2435" s="13" t="s">
        <v>11850</v>
      </c>
      <c r="X2435" s="12"/>
      <c r="Y2435" s="14"/>
      <c r="Z2435" s="14"/>
    </row>
    <row r="2436">
      <c r="A2436" s="8" t="s">
        <v>11851</v>
      </c>
      <c r="B2436" s="8" t="s">
        <v>11852</v>
      </c>
      <c r="C2436" s="8" t="s">
        <v>64</v>
      </c>
      <c r="D2436" s="8" t="s">
        <v>26</v>
      </c>
      <c r="E2436" s="8" t="s">
        <v>11853</v>
      </c>
      <c r="F2436" s="8">
        <v>7.0122304E9</v>
      </c>
      <c r="G2436" s="8" t="s">
        <v>496</v>
      </c>
      <c r="H2436" s="8" t="s">
        <v>497</v>
      </c>
      <c r="I2436" s="8" t="s">
        <v>31</v>
      </c>
      <c r="J2436" s="8" t="s">
        <v>438</v>
      </c>
      <c r="K2436" s="10" t="s">
        <v>11854</v>
      </c>
      <c r="L2436" s="8" t="s">
        <v>58</v>
      </c>
      <c r="M2436" s="8" t="s">
        <v>35</v>
      </c>
      <c r="N2436" s="11">
        <v>45092.0</v>
      </c>
      <c r="O2436" s="11">
        <v>45117.0</v>
      </c>
      <c r="P2436" s="11">
        <v>45159.0</v>
      </c>
      <c r="Q2436" s="11">
        <v>45118.0</v>
      </c>
      <c r="R2436" s="11">
        <v>45159.0</v>
      </c>
      <c r="S2436" s="12"/>
      <c r="T2436" s="8"/>
      <c r="U2436" s="8" t="s">
        <v>130</v>
      </c>
      <c r="V2436" s="13" t="s">
        <v>500</v>
      </c>
      <c r="W2436" s="13" t="s">
        <v>11855</v>
      </c>
      <c r="X2436" s="12"/>
      <c r="Y2436" s="14"/>
      <c r="Z2436" s="14"/>
    </row>
    <row r="2437">
      <c r="A2437" s="8" t="s">
        <v>11856</v>
      </c>
      <c r="B2437" s="8" t="s">
        <v>11857</v>
      </c>
      <c r="C2437" s="8" t="s">
        <v>25</v>
      </c>
      <c r="D2437" s="8" t="s">
        <v>26</v>
      </c>
      <c r="E2437" s="8" t="s">
        <v>11858</v>
      </c>
      <c r="F2437" s="8">
        <v>5.533615343E9</v>
      </c>
      <c r="G2437" s="8" t="s">
        <v>31</v>
      </c>
      <c r="H2437" s="8" t="s">
        <v>86</v>
      </c>
      <c r="I2437" s="8" t="s">
        <v>284</v>
      </c>
      <c r="J2437" s="8" t="s">
        <v>793</v>
      </c>
      <c r="K2437" s="10" t="s">
        <v>11859</v>
      </c>
      <c r="L2437" s="8" t="s">
        <v>58</v>
      </c>
      <c r="M2437" s="8" t="s">
        <v>35</v>
      </c>
      <c r="N2437" s="11">
        <v>45092.0</v>
      </c>
      <c r="O2437" s="11">
        <v>45124.0</v>
      </c>
      <c r="P2437" s="11">
        <v>45166.0</v>
      </c>
      <c r="Q2437" s="11">
        <v>45124.0</v>
      </c>
      <c r="R2437" s="11">
        <v>45168.0</v>
      </c>
      <c r="S2437" s="12"/>
      <c r="T2437" s="8"/>
      <c r="U2437" s="8" t="s">
        <v>153</v>
      </c>
      <c r="V2437" s="13" t="s">
        <v>545</v>
      </c>
      <c r="W2437" s="13" t="s">
        <v>11860</v>
      </c>
      <c r="X2437" s="12"/>
      <c r="Y2437" s="14"/>
      <c r="Z2437" s="14"/>
    </row>
    <row r="2438">
      <c r="A2438" s="8" t="s">
        <v>11861</v>
      </c>
      <c r="B2438" s="8" t="s">
        <v>11862</v>
      </c>
      <c r="C2438" s="8" t="s">
        <v>25</v>
      </c>
      <c r="D2438" s="8" t="s">
        <v>26</v>
      </c>
      <c r="E2438" s="8" t="s">
        <v>11863</v>
      </c>
      <c r="F2438" s="8"/>
      <c r="G2438" s="8" t="s">
        <v>3607</v>
      </c>
      <c r="H2438" s="8" t="s">
        <v>11864</v>
      </c>
      <c r="I2438" s="8" t="s">
        <v>31</v>
      </c>
      <c r="J2438" s="8" t="s">
        <v>56</v>
      </c>
      <c r="K2438" s="10" t="s">
        <v>9305</v>
      </c>
      <c r="L2438" s="8" t="s">
        <v>58</v>
      </c>
      <c r="M2438" s="8" t="s">
        <v>35</v>
      </c>
      <c r="N2438" s="11">
        <v>45092.0</v>
      </c>
      <c r="O2438" s="11">
        <v>45110.0</v>
      </c>
      <c r="P2438" s="11">
        <v>45152.0</v>
      </c>
      <c r="Q2438" s="11">
        <v>45111.0</v>
      </c>
      <c r="R2438" s="11">
        <v>45152.0</v>
      </c>
      <c r="S2438" s="12"/>
      <c r="T2438" s="8"/>
      <c r="U2438" s="8" t="s">
        <v>59</v>
      </c>
      <c r="V2438" s="13" t="s">
        <v>38</v>
      </c>
      <c r="W2438" s="13" t="s">
        <v>11865</v>
      </c>
      <c r="X2438" s="12"/>
      <c r="Y2438" s="14"/>
      <c r="Z2438" s="14"/>
    </row>
    <row r="2439">
      <c r="A2439" s="8" t="s">
        <v>11866</v>
      </c>
      <c r="B2439" s="8" t="s">
        <v>11867</v>
      </c>
      <c r="C2439" s="8" t="s">
        <v>64</v>
      </c>
      <c r="D2439" s="8" t="s">
        <v>26</v>
      </c>
      <c r="E2439" s="8" t="s">
        <v>11868</v>
      </c>
      <c r="F2439" s="8">
        <v>5.4361004E7</v>
      </c>
      <c r="G2439" s="8" t="s">
        <v>54</v>
      </c>
      <c r="H2439" s="8" t="s">
        <v>237</v>
      </c>
      <c r="I2439" s="8" t="s">
        <v>31</v>
      </c>
      <c r="J2439" s="8" t="s">
        <v>292</v>
      </c>
      <c r="K2439" s="10" t="s">
        <v>11710</v>
      </c>
      <c r="L2439" s="8" t="s">
        <v>58</v>
      </c>
      <c r="M2439" s="8" t="s">
        <v>35</v>
      </c>
      <c r="N2439" s="11">
        <v>45092.0</v>
      </c>
      <c r="O2439" s="11">
        <v>45110.0</v>
      </c>
      <c r="P2439" s="11">
        <v>45152.0</v>
      </c>
      <c r="Q2439" s="11">
        <v>45109.0</v>
      </c>
      <c r="R2439" s="11">
        <v>45152.0</v>
      </c>
      <c r="S2439" s="12"/>
      <c r="T2439" s="8"/>
      <c r="U2439" s="8" t="s">
        <v>88</v>
      </c>
      <c r="V2439" s="13" t="s">
        <v>1788</v>
      </c>
      <c r="W2439" s="13" t="s">
        <v>11869</v>
      </c>
      <c r="X2439" s="12"/>
      <c r="Y2439" s="14"/>
      <c r="Z2439" s="14"/>
    </row>
    <row r="2440">
      <c r="A2440" s="8" t="s">
        <v>11870</v>
      </c>
      <c r="B2440" s="8" t="s">
        <v>11871</v>
      </c>
      <c r="C2440" s="8" t="s">
        <v>708</v>
      </c>
      <c r="D2440" s="8" t="s">
        <v>26</v>
      </c>
      <c r="E2440" s="8" t="s">
        <v>11872</v>
      </c>
      <c r="F2440" s="8">
        <v>7.9903366E8</v>
      </c>
      <c r="G2440" s="8" t="s">
        <v>254</v>
      </c>
      <c r="H2440" s="8" t="s">
        <v>1007</v>
      </c>
      <c r="I2440" s="8" t="s">
        <v>31</v>
      </c>
      <c r="J2440" s="8" t="s">
        <v>256</v>
      </c>
      <c r="K2440" s="10" t="s">
        <v>5327</v>
      </c>
      <c r="L2440" s="8" t="s">
        <v>47</v>
      </c>
      <c r="M2440" s="8" t="s">
        <v>70</v>
      </c>
      <c r="N2440" s="11">
        <v>45092.0</v>
      </c>
      <c r="O2440" s="11">
        <v>45139.0</v>
      </c>
      <c r="P2440" s="11">
        <v>45443.0</v>
      </c>
      <c r="Q2440" s="11">
        <v>45139.0</v>
      </c>
      <c r="R2440" s="11">
        <v>45443.0</v>
      </c>
      <c r="S2440" s="12"/>
      <c r="T2440" s="8"/>
      <c r="U2440" s="8" t="s">
        <v>246</v>
      </c>
      <c r="V2440" s="13" t="s">
        <v>1010</v>
      </c>
      <c r="W2440" s="13" t="s">
        <v>11873</v>
      </c>
      <c r="X2440" s="12"/>
      <c r="Y2440" s="14"/>
      <c r="Z2440" s="14"/>
    </row>
    <row r="2441">
      <c r="A2441" s="8" t="s">
        <v>11874</v>
      </c>
      <c r="B2441" s="8" t="s">
        <v>11875</v>
      </c>
      <c r="C2441" s="8" t="s">
        <v>179</v>
      </c>
      <c r="D2441" s="8" t="s">
        <v>26</v>
      </c>
      <c r="E2441" s="8" t="s">
        <v>11876</v>
      </c>
      <c r="F2441" s="8">
        <v>3.323320732E9</v>
      </c>
      <c r="G2441" s="8" t="s">
        <v>315</v>
      </c>
      <c r="H2441" s="8" t="s">
        <v>1833</v>
      </c>
      <c r="I2441" s="8" t="s">
        <v>31</v>
      </c>
      <c r="J2441" s="8" t="s">
        <v>438</v>
      </c>
      <c r="K2441" s="10" t="s">
        <v>10418</v>
      </c>
      <c r="L2441" s="8" t="s">
        <v>58</v>
      </c>
      <c r="M2441" s="8" t="s">
        <v>35</v>
      </c>
      <c r="N2441" s="11">
        <v>45092.0</v>
      </c>
      <c r="O2441" s="11">
        <v>45152.0</v>
      </c>
      <c r="P2441" s="11">
        <v>45194.0</v>
      </c>
      <c r="Q2441" s="11"/>
      <c r="R2441" s="11"/>
      <c r="S2441" s="12"/>
      <c r="T2441" s="8"/>
      <c r="U2441" s="8" t="s">
        <v>1038</v>
      </c>
      <c r="V2441" s="13" t="s">
        <v>11591</v>
      </c>
      <c r="W2441" s="13" t="s">
        <v>11877</v>
      </c>
      <c r="X2441" s="12"/>
      <c r="Y2441" s="14"/>
      <c r="Z2441" s="14"/>
    </row>
    <row r="2442">
      <c r="A2442" s="8" t="s">
        <v>11878</v>
      </c>
      <c r="B2442" s="8" t="s">
        <v>11879</v>
      </c>
      <c r="C2442" s="8" t="s">
        <v>25</v>
      </c>
      <c r="D2442" s="8" t="s">
        <v>26</v>
      </c>
      <c r="E2442" s="8" t="s">
        <v>11880</v>
      </c>
      <c r="F2442" s="8">
        <v>5.524552132E9</v>
      </c>
      <c r="G2442" s="8" t="s">
        <v>31</v>
      </c>
      <c r="H2442" s="8" t="s">
        <v>542</v>
      </c>
      <c r="I2442" s="8" t="s">
        <v>284</v>
      </c>
      <c r="J2442" s="8" t="s">
        <v>1422</v>
      </c>
      <c r="K2442" s="10" t="s">
        <v>3594</v>
      </c>
      <c r="L2442" s="8" t="s">
        <v>58</v>
      </c>
      <c r="M2442" s="8" t="s">
        <v>35</v>
      </c>
      <c r="N2442" s="11">
        <v>45093.0</v>
      </c>
      <c r="O2442" s="11">
        <v>45107.0</v>
      </c>
      <c r="P2442" s="11">
        <v>45149.0</v>
      </c>
      <c r="Q2442" s="11">
        <v>45105.0</v>
      </c>
      <c r="R2442" s="11">
        <v>45149.0</v>
      </c>
      <c r="S2442" s="12"/>
      <c r="T2442" s="8"/>
      <c r="U2442" s="8" t="s">
        <v>153</v>
      </c>
      <c r="V2442" s="13" t="s">
        <v>545</v>
      </c>
      <c r="W2442" s="13" t="s">
        <v>11881</v>
      </c>
      <c r="X2442" s="12"/>
      <c r="Y2442" s="14"/>
      <c r="Z2442" s="14"/>
    </row>
    <row r="2443">
      <c r="A2443" s="8" t="s">
        <v>11882</v>
      </c>
      <c r="B2443" s="8" t="s">
        <v>11883</v>
      </c>
      <c r="C2443" s="8" t="s">
        <v>179</v>
      </c>
      <c r="D2443" s="8" t="s">
        <v>26</v>
      </c>
      <c r="E2443" s="8" t="s">
        <v>11884</v>
      </c>
      <c r="F2443" s="8">
        <v>5.4924353E7</v>
      </c>
      <c r="G2443" s="8" t="s">
        <v>54</v>
      </c>
      <c r="H2443" s="8" t="s">
        <v>135</v>
      </c>
      <c r="I2443" s="8" t="s">
        <v>31</v>
      </c>
      <c r="J2443" s="8" t="s">
        <v>542</v>
      </c>
      <c r="K2443" s="10" t="s">
        <v>1333</v>
      </c>
      <c r="L2443" s="8" t="s">
        <v>47</v>
      </c>
      <c r="M2443" s="8" t="s">
        <v>70</v>
      </c>
      <c r="N2443" s="11">
        <v>45093.0</v>
      </c>
      <c r="O2443" s="11">
        <v>45153.0</v>
      </c>
      <c r="P2443" s="11">
        <v>45518.0</v>
      </c>
      <c r="Q2443" s="11"/>
      <c r="R2443" s="11"/>
      <c r="S2443" s="12"/>
      <c r="T2443" s="8" t="s">
        <v>121</v>
      </c>
      <c r="U2443" s="8" t="s">
        <v>1334</v>
      </c>
      <c r="V2443" s="13" t="s">
        <v>358</v>
      </c>
      <c r="W2443" s="13" t="s">
        <v>11885</v>
      </c>
      <c r="X2443" s="12"/>
      <c r="Y2443" s="14"/>
      <c r="Z2443" s="14"/>
    </row>
    <row r="2444">
      <c r="A2444" s="8" t="s">
        <v>11886</v>
      </c>
      <c r="B2444" s="8" t="s">
        <v>11887</v>
      </c>
      <c r="C2444" s="8" t="s">
        <v>25</v>
      </c>
      <c r="D2444" s="8" t="s">
        <v>26</v>
      </c>
      <c r="E2444" s="8" t="s">
        <v>11888</v>
      </c>
      <c r="F2444" s="8">
        <v>5.5007134E7</v>
      </c>
      <c r="G2444" s="8" t="s">
        <v>54</v>
      </c>
      <c r="H2444" s="8" t="s">
        <v>55</v>
      </c>
      <c r="I2444" s="8" t="s">
        <v>31</v>
      </c>
      <c r="J2444" s="8" t="s">
        <v>292</v>
      </c>
      <c r="K2444" s="10" t="s">
        <v>11660</v>
      </c>
      <c r="L2444" s="8" t="s">
        <v>58</v>
      </c>
      <c r="M2444" s="8" t="s">
        <v>35</v>
      </c>
      <c r="N2444" s="11">
        <v>45093.0</v>
      </c>
      <c r="O2444" s="11">
        <v>45110.0</v>
      </c>
      <c r="P2444" s="11">
        <v>45152.0</v>
      </c>
      <c r="Q2444" s="11">
        <v>45109.0</v>
      </c>
      <c r="R2444" s="11">
        <v>45152.0</v>
      </c>
      <c r="S2444" s="12"/>
      <c r="T2444" s="8"/>
      <c r="U2444" s="8" t="s">
        <v>88</v>
      </c>
      <c r="V2444" s="13" t="s">
        <v>10207</v>
      </c>
      <c r="W2444" s="13" t="s">
        <v>11889</v>
      </c>
      <c r="X2444" s="12"/>
      <c r="Y2444" s="14"/>
      <c r="Z2444" s="14"/>
    </row>
    <row r="2445">
      <c r="A2445" s="8" t="s">
        <v>11890</v>
      </c>
      <c r="B2445" s="8" t="s">
        <v>11891</v>
      </c>
      <c r="C2445" s="8" t="s">
        <v>251</v>
      </c>
      <c r="D2445" s="8" t="s">
        <v>26</v>
      </c>
      <c r="E2445" s="8" t="s">
        <v>11892</v>
      </c>
      <c r="F2445" s="8">
        <v>1.112300295E9</v>
      </c>
      <c r="G2445" s="8" t="s">
        <v>284</v>
      </c>
      <c r="H2445" s="8" t="s">
        <v>2065</v>
      </c>
      <c r="I2445" s="8" t="s">
        <v>31</v>
      </c>
      <c r="J2445" s="8" t="s">
        <v>56</v>
      </c>
      <c r="K2445" s="10" t="s">
        <v>11893</v>
      </c>
      <c r="L2445" s="8" t="s">
        <v>47</v>
      </c>
      <c r="M2445" s="8" t="s">
        <v>70</v>
      </c>
      <c r="N2445" s="11">
        <v>45093.0</v>
      </c>
      <c r="O2445" s="11">
        <v>45152.0</v>
      </c>
      <c r="P2445" s="11">
        <v>45513.0</v>
      </c>
      <c r="Q2445" s="11"/>
      <c r="R2445" s="11"/>
      <c r="S2445" s="12"/>
      <c r="T2445" s="8"/>
      <c r="U2445" s="8" t="s">
        <v>11894</v>
      </c>
      <c r="V2445" s="13" t="s">
        <v>2065</v>
      </c>
      <c r="W2445" s="13" t="s">
        <v>11895</v>
      </c>
      <c r="X2445" s="12"/>
      <c r="Y2445" s="14"/>
      <c r="Z2445" s="14"/>
    </row>
    <row r="2446">
      <c r="A2446" s="8" t="s">
        <v>11896</v>
      </c>
      <c r="B2446" s="8" t="s">
        <v>11897</v>
      </c>
      <c r="C2446" s="8" t="s">
        <v>25</v>
      </c>
      <c r="D2446" s="8" t="s">
        <v>26</v>
      </c>
      <c r="E2446" s="8" t="s">
        <v>11898</v>
      </c>
      <c r="F2446" s="8">
        <v>5.03919114E8</v>
      </c>
      <c r="G2446" s="8" t="s">
        <v>277</v>
      </c>
      <c r="H2446" s="8" t="s">
        <v>278</v>
      </c>
      <c r="I2446" s="8" t="s">
        <v>31</v>
      </c>
      <c r="J2446" s="8" t="s">
        <v>542</v>
      </c>
      <c r="K2446" s="10" t="s">
        <v>6128</v>
      </c>
      <c r="L2446" s="8" t="s">
        <v>58</v>
      </c>
      <c r="M2446" s="8" t="s">
        <v>35</v>
      </c>
      <c r="N2446" s="11">
        <v>45093.0</v>
      </c>
      <c r="O2446" s="11">
        <v>45117.0</v>
      </c>
      <c r="P2446" s="11">
        <v>45159.0</v>
      </c>
      <c r="Q2446" s="11">
        <v>45116.0</v>
      </c>
      <c r="R2446" s="11">
        <v>45159.0</v>
      </c>
      <c r="S2446" s="12"/>
      <c r="T2446" s="8"/>
      <c r="U2446" s="8" t="s">
        <v>161</v>
      </c>
      <c r="V2446" s="13" t="s">
        <v>4429</v>
      </c>
      <c r="W2446" s="13" t="s">
        <v>11899</v>
      </c>
      <c r="X2446" s="12"/>
      <c r="Y2446" s="14"/>
      <c r="Z2446" s="14"/>
    </row>
    <row r="2447">
      <c r="A2447" s="8" t="s">
        <v>11900</v>
      </c>
      <c r="B2447" s="8" t="s">
        <v>11901</v>
      </c>
      <c r="C2447" s="8" t="s">
        <v>25</v>
      </c>
      <c r="D2447" s="8" t="s">
        <v>26</v>
      </c>
      <c r="E2447" s="8" t="s">
        <v>11902</v>
      </c>
      <c r="F2447" s="8">
        <v>5.316731512E9</v>
      </c>
      <c r="G2447" s="8" t="s">
        <v>31</v>
      </c>
      <c r="H2447" s="8" t="s">
        <v>32</v>
      </c>
      <c r="I2447" s="8" t="s">
        <v>127</v>
      </c>
      <c r="J2447" s="8" t="s">
        <v>363</v>
      </c>
      <c r="K2447" s="10" t="s">
        <v>11623</v>
      </c>
      <c r="L2447" s="8" t="s">
        <v>58</v>
      </c>
      <c r="M2447" s="8" t="s">
        <v>35</v>
      </c>
      <c r="N2447" s="11">
        <v>45093.0</v>
      </c>
      <c r="O2447" s="11">
        <v>45139.0</v>
      </c>
      <c r="P2447" s="11">
        <v>45181.0</v>
      </c>
      <c r="Q2447" s="11">
        <v>45146.0</v>
      </c>
      <c r="R2447" s="11">
        <v>45188.0</v>
      </c>
      <c r="S2447" s="12"/>
      <c r="T2447" s="8"/>
      <c r="U2447" s="8" t="s">
        <v>185</v>
      </c>
      <c r="V2447" s="13" t="s">
        <v>537</v>
      </c>
      <c r="W2447" s="13" t="s">
        <v>11903</v>
      </c>
      <c r="X2447" s="12"/>
      <c r="Y2447" s="14"/>
      <c r="Z2447" s="14"/>
    </row>
    <row r="2448">
      <c r="A2448" s="8" t="s">
        <v>11904</v>
      </c>
      <c r="B2448" s="8" t="s">
        <v>11905</v>
      </c>
      <c r="C2448" s="8" t="s">
        <v>708</v>
      </c>
      <c r="D2448" s="8" t="s">
        <v>26</v>
      </c>
      <c r="E2448" s="8" t="s">
        <v>11906</v>
      </c>
      <c r="F2448" s="8">
        <v>2.7320354E7</v>
      </c>
      <c r="G2448" s="8" t="s">
        <v>54</v>
      </c>
      <c r="H2448" s="8" t="s">
        <v>244</v>
      </c>
      <c r="I2448" s="8" t="s">
        <v>31</v>
      </c>
      <c r="J2448" s="8" t="s">
        <v>292</v>
      </c>
      <c r="K2448" s="10" t="s">
        <v>11907</v>
      </c>
      <c r="L2448" s="8" t="s">
        <v>47</v>
      </c>
      <c r="M2448" s="8" t="s">
        <v>70</v>
      </c>
      <c r="N2448" s="11">
        <v>45093.0</v>
      </c>
      <c r="O2448" s="11">
        <v>45168.0</v>
      </c>
      <c r="P2448" s="11">
        <v>45534.0</v>
      </c>
      <c r="Q2448" s="11">
        <v>45176.0</v>
      </c>
      <c r="R2448" s="11">
        <v>45540.0</v>
      </c>
      <c r="S2448" s="12"/>
      <c r="T2448" s="8"/>
      <c r="U2448" s="8" t="s">
        <v>246</v>
      </c>
      <c r="V2448" s="13" t="s">
        <v>247</v>
      </c>
      <c r="W2448" s="13" t="s">
        <v>11908</v>
      </c>
      <c r="X2448" s="12"/>
      <c r="Y2448" s="14"/>
      <c r="Z2448" s="14"/>
    </row>
    <row r="2449">
      <c r="A2449" s="8" t="s">
        <v>11909</v>
      </c>
      <c r="B2449" s="8" t="s">
        <v>11910</v>
      </c>
      <c r="C2449" s="8" t="s">
        <v>179</v>
      </c>
      <c r="D2449" s="8" t="s">
        <v>26</v>
      </c>
      <c r="E2449" s="8" t="s">
        <v>11911</v>
      </c>
      <c r="F2449" s="8">
        <v>5.462747518E9</v>
      </c>
      <c r="G2449" s="8" t="s">
        <v>31</v>
      </c>
      <c r="H2449" s="8" t="s">
        <v>256</v>
      </c>
      <c r="I2449" s="8" t="s">
        <v>54</v>
      </c>
      <c r="J2449" s="8" t="s">
        <v>369</v>
      </c>
      <c r="K2449" s="10" t="s">
        <v>11912</v>
      </c>
      <c r="L2449" s="8" t="s">
        <v>47</v>
      </c>
      <c r="M2449" s="8" t="s">
        <v>35</v>
      </c>
      <c r="N2449" s="11">
        <v>45093.0</v>
      </c>
      <c r="O2449" s="11">
        <v>45124.0</v>
      </c>
      <c r="P2449" s="11">
        <v>45187.0</v>
      </c>
      <c r="Q2449" s="11"/>
      <c r="R2449" s="11"/>
      <c r="S2449" s="12"/>
      <c r="T2449" s="8"/>
      <c r="U2449" s="8" t="s">
        <v>11913</v>
      </c>
      <c r="V2449" s="13" t="s">
        <v>7683</v>
      </c>
      <c r="W2449" s="13" t="s">
        <v>11914</v>
      </c>
      <c r="X2449" s="12"/>
      <c r="Y2449" s="14"/>
      <c r="Z2449" s="14"/>
    </row>
    <row r="2450">
      <c r="A2450" s="8" t="s">
        <v>11915</v>
      </c>
      <c r="B2450" s="8" t="s">
        <v>11916</v>
      </c>
      <c r="C2450" s="8" t="s">
        <v>179</v>
      </c>
      <c r="D2450" s="8" t="s">
        <v>26</v>
      </c>
      <c r="E2450" s="8" t="s">
        <v>11917</v>
      </c>
      <c r="F2450" s="8">
        <v>1.008294648E9</v>
      </c>
      <c r="G2450" s="8" t="s">
        <v>284</v>
      </c>
      <c r="H2450" s="8" t="s">
        <v>1359</v>
      </c>
      <c r="I2450" s="8" t="s">
        <v>31</v>
      </c>
      <c r="J2450" s="8" t="s">
        <v>56</v>
      </c>
      <c r="K2450" s="10" t="s">
        <v>11918</v>
      </c>
      <c r="L2450" s="8" t="s">
        <v>58</v>
      </c>
      <c r="M2450" s="8" t="s">
        <v>35</v>
      </c>
      <c r="N2450" s="11">
        <v>45093.0</v>
      </c>
      <c r="O2450" s="11">
        <v>45159.0</v>
      </c>
      <c r="P2450" s="11">
        <v>45201.0</v>
      </c>
      <c r="Q2450" s="11"/>
      <c r="R2450" s="11"/>
      <c r="S2450" s="12"/>
      <c r="T2450" s="8"/>
      <c r="U2450" s="8" t="s">
        <v>59</v>
      </c>
      <c r="V2450" s="13" t="s">
        <v>1359</v>
      </c>
      <c r="W2450" s="13" t="s">
        <v>11919</v>
      </c>
      <c r="X2450" s="12"/>
      <c r="Y2450" s="14"/>
      <c r="Z2450" s="14"/>
    </row>
    <row r="2451">
      <c r="A2451" s="8" t="s">
        <v>11920</v>
      </c>
      <c r="B2451" s="8" t="s">
        <v>11921</v>
      </c>
      <c r="C2451" s="8" t="s">
        <v>25</v>
      </c>
      <c r="D2451" s="8" t="s">
        <v>26</v>
      </c>
      <c r="E2451" s="8" t="s">
        <v>11922</v>
      </c>
      <c r="F2451" s="8">
        <v>5.425836981E9</v>
      </c>
      <c r="G2451" s="8" t="s">
        <v>31</v>
      </c>
      <c r="H2451" s="8" t="s">
        <v>56</v>
      </c>
      <c r="I2451" s="8" t="s">
        <v>127</v>
      </c>
      <c r="J2451" s="8" t="s">
        <v>159</v>
      </c>
      <c r="K2451" s="10" t="s">
        <v>9541</v>
      </c>
      <c r="L2451" s="8" t="s">
        <v>58</v>
      </c>
      <c r="M2451" s="8" t="s">
        <v>35</v>
      </c>
      <c r="N2451" s="11">
        <v>45093.0</v>
      </c>
      <c r="O2451" s="11">
        <v>45103.0</v>
      </c>
      <c r="P2451" s="11">
        <v>45145.0</v>
      </c>
      <c r="Q2451" s="11">
        <v>45103.0</v>
      </c>
      <c r="R2451" s="11">
        <v>45145.0</v>
      </c>
      <c r="S2451" s="12"/>
      <c r="T2451" s="8"/>
      <c r="U2451" s="8" t="s">
        <v>161</v>
      </c>
      <c r="V2451" s="13" t="s">
        <v>56</v>
      </c>
      <c r="W2451" s="13" t="s">
        <v>11923</v>
      </c>
      <c r="X2451" s="12"/>
      <c r="Y2451" s="14"/>
      <c r="Z2451" s="14"/>
    </row>
    <row r="2452">
      <c r="A2452" s="8" t="s">
        <v>11924</v>
      </c>
      <c r="B2452" s="8" t="s">
        <v>11925</v>
      </c>
      <c r="C2452" s="8" t="s">
        <v>25</v>
      </c>
      <c r="D2452" s="8" t="s">
        <v>26</v>
      </c>
      <c r="E2452" s="8" t="s">
        <v>11926</v>
      </c>
      <c r="F2452" s="8">
        <v>7.71770344E8</v>
      </c>
      <c r="G2452" s="8" t="s">
        <v>127</v>
      </c>
      <c r="H2452" s="8" t="s">
        <v>3542</v>
      </c>
      <c r="I2452" s="8" t="s">
        <v>31</v>
      </c>
      <c r="J2452" s="8" t="s">
        <v>77</v>
      </c>
      <c r="K2452" s="10" t="s">
        <v>6682</v>
      </c>
      <c r="L2452" s="8" t="s">
        <v>58</v>
      </c>
      <c r="M2452" s="8" t="s">
        <v>35</v>
      </c>
      <c r="N2452" s="11">
        <v>45093.0</v>
      </c>
      <c r="O2452" s="11">
        <v>45153.0</v>
      </c>
      <c r="P2452" s="11">
        <v>45195.0</v>
      </c>
      <c r="Q2452" s="11">
        <v>45153.0</v>
      </c>
      <c r="R2452" s="11">
        <v>45195.0</v>
      </c>
      <c r="S2452" s="12"/>
      <c r="T2452" s="8"/>
      <c r="U2452" s="8" t="s">
        <v>59</v>
      </c>
      <c r="V2452" s="13" t="s">
        <v>1473</v>
      </c>
      <c r="W2452" s="13" t="s">
        <v>11927</v>
      </c>
      <c r="X2452" s="12"/>
      <c r="Y2452" s="14"/>
      <c r="Z2452" s="14"/>
    </row>
    <row r="2453">
      <c r="A2453" s="8" t="s">
        <v>11928</v>
      </c>
      <c r="B2453" s="8" t="s">
        <v>11929</v>
      </c>
      <c r="C2453" s="8" t="s">
        <v>179</v>
      </c>
      <c r="D2453" s="8" t="s">
        <v>26</v>
      </c>
      <c r="E2453" s="8" t="s">
        <v>11930</v>
      </c>
      <c r="F2453" s="8">
        <v>5.422473073E9</v>
      </c>
      <c r="G2453" s="8" t="s">
        <v>31</v>
      </c>
      <c r="H2453" s="8" t="s">
        <v>56</v>
      </c>
      <c r="I2453" s="8" t="s">
        <v>44</v>
      </c>
      <c r="J2453" s="8" t="s">
        <v>741</v>
      </c>
      <c r="K2453" s="10" t="s">
        <v>2675</v>
      </c>
      <c r="L2453" s="8" t="s">
        <v>58</v>
      </c>
      <c r="M2453" s="8" t="s">
        <v>35</v>
      </c>
      <c r="N2453" s="11">
        <v>45093.0</v>
      </c>
      <c r="O2453" s="11">
        <v>45108.0</v>
      </c>
      <c r="P2453" s="11">
        <v>45150.0</v>
      </c>
      <c r="Q2453" s="11"/>
      <c r="R2453" s="11"/>
      <c r="S2453" s="12"/>
      <c r="T2453" s="8"/>
      <c r="U2453" s="8" t="s">
        <v>59</v>
      </c>
      <c r="V2453" s="13" t="s">
        <v>56</v>
      </c>
      <c r="W2453" s="13" t="s">
        <v>11931</v>
      </c>
      <c r="X2453" s="12"/>
      <c r="Y2453" s="14"/>
      <c r="Z2453" s="14"/>
    </row>
    <row r="2454">
      <c r="A2454" s="8" t="s">
        <v>11932</v>
      </c>
      <c r="B2454" s="8" t="s">
        <v>11933</v>
      </c>
      <c r="C2454" s="8" t="s">
        <v>708</v>
      </c>
      <c r="D2454" s="8" t="s">
        <v>26</v>
      </c>
      <c r="E2454" s="8" t="s">
        <v>11934</v>
      </c>
      <c r="F2454" s="8"/>
      <c r="G2454" s="8" t="s">
        <v>54</v>
      </c>
      <c r="H2454" s="8" t="s">
        <v>135</v>
      </c>
      <c r="I2454" s="8" t="s">
        <v>31</v>
      </c>
      <c r="J2454" s="8" t="s">
        <v>43</v>
      </c>
      <c r="K2454" s="10" t="s">
        <v>10733</v>
      </c>
      <c r="L2454" s="8" t="s">
        <v>47</v>
      </c>
      <c r="M2454" s="8" t="s">
        <v>70</v>
      </c>
      <c r="N2454" s="11">
        <v>45093.0</v>
      </c>
      <c r="O2454" s="11">
        <v>45158.0</v>
      </c>
      <c r="P2454" s="11">
        <v>45524.0</v>
      </c>
      <c r="Q2454" s="11">
        <v>45159.0</v>
      </c>
      <c r="R2454" s="11">
        <v>45525.0</v>
      </c>
      <c r="S2454" s="12"/>
      <c r="T2454" s="8"/>
      <c r="U2454" s="8" t="s">
        <v>246</v>
      </c>
      <c r="V2454" s="13" t="s">
        <v>38</v>
      </c>
      <c r="W2454" s="13" t="s">
        <v>11935</v>
      </c>
      <c r="X2454" s="12"/>
      <c r="Y2454" s="14"/>
      <c r="Z2454" s="14"/>
    </row>
    <row r="2455">
      <c r="A2455" s="8" t="s">
        <v>11936</v>
      </c>
      <c r="B2455" s="8" t="s">
        <v>11937</v>
      </c>
      <c r="C2455" s="8" t="s">
        <v>708</v>
      </c>
      <c r="D2455" s="8" t="s">
        <v>26</v>
      </c>
      <c r="E2455" s="8" t="s">
        <v>11938</v>
      </c>
      <c r="F2455" s="8">
        <v>7.77598702E8</v>
      </c>
      <c r="G2455" s="8" t="s">
        <v>84</v>
      </c>
      <c r="H2455" s="8" t="s">
        <v>619</v>
      </c>
      <c r="I2455" s="8" t="s">
        <v>31</v>
      </c>
      <c r="J2455" s="8" t="s">
        <v>43</v>
      </c>
      <c r="K2455" s="10" t="s">
        <v>11939</v>
      </c>
      <c r="L2455" s="8" t="s">
        <v>47</v>
      </c>
      <c r="M2455" s="8" t="s">
        <v>70</v>
      </c>
      <c r="N2455" s="11">
        <v>45093.0</v>
      </c>
      <c r="O2455" s="11">
        <v>45170.0</v>
      </c>
      <c r="P2455" s="11">
        <v>45474.0</v>
      </c>
      <c r="Q2455" s="11">
        <v>45175.0</v>
      </c>
      <c r="R2455" s="11">
        <v>45479.0</v>
      </c>
      <c r="S2455" s="12"/>
      <c r="T2455" s="8"/>
      <c r="U2455" s="8" t="s">
        <v>246</v>
      </c>
      <c r="V2455" s="13" t="s">
        <v>9780</v>
      </c>
      <c r="W2455" s="13" t="s">
        <v>11940</v>
      </c>
      <c r="X2455" s="12"/>
      <c r="Y2455" s="14"/>
      <c r="Z2455" s="14"/>
    </row>
    <row r="2456">
      <c r="A2456" s="8" t="s">
        <v>11941</v>
      </c>
      <c r="B2456" s="8" t="s">
        <v>11942</v>
      </c>
      <c r="C2456" s="8" t="s">
        <v>25</v>
      </c>
      <c r="D2456" s="8" t="s">
        <v>26</v>
      </c>
      <c r="E2456" s="8" t="s">
        <v>11943</v>
      </c>
      <c r="F2456" s="8">
        <v>5.374614198E9</v>
      </c>
      <c r="G2456" s="8" t="s">
        <v>31</v>
      </c>
      <c r="H2456" s="8" t="s">
        <v>111</v>
      </c>
      <c r="I2456" s="8" t="s">
        <v>284</v>
      </c>
      <c r="J2456" s="8" t="s">
        <v>793</v>
      </c>
      <c r="K2456" s="10" t="s">
        <v>11944</v>
      </c>
      <c r="L2456" s="8" t="s">
        <v>47</v>
      </c>
      <c r="M2456" s="8" t="s">
        <v>35</v>
      </c>
      <c r="N2456" s="11">
        <v>45094.0</v>
      </c>
      <c r="O2456" s="11">
        <v>45103.0</v>
      </c>
      <c r="P2456" s="11">
        <v>45166.0</v>
      </c>
      <c r="Q2456" s="11">
        <v>45094.0</v>
      </c>
      <c r="R2456" s="11">
        <v>45166.0</v>
      </c>
      <c r="S2456" s="12"/>
      <c r="T2456" s="8"/>
      <c r="U2456" s="8" t="s">
        <v>11945</v>
      </c>
      <c r="V2456" s="13" t="s">
        <v>111</v>
      </c>
      <c r="W2456" s="13" t="s">
        <v>11946</v>
      </c>
      <c r="X2456" s="12"/>
      <c r="Y2456" s="14"/>
      <c r="Z2456" s="14"/>
    </row>
    <row r="2457">
      <c r="A2457" s="8" t="s">
        <v>11947</v>
      </c>
      <c r="B2457" s="8" t="s">
        <v>11948</v>
      </c>
      <c r="C2457" s="8" t="s">
        <v>25</v>
      </c>
      <c r="D2457" s="8" t="s">
        <v>26</v>
      </c>
      <c r="E2457" s="8" t="s">
        <v>11949</v>
      </c>
      <c r="F2457" s="8"/>
      <c r="G2457" s="8" t="s">
        <v>31</v>
      </c>
      <c r="H2457" s="8" t="s">
        <v>86</v>
      </c>
      <c r="I2457" s="8" t="s">
        <v>44</v>
      </c>
      <c r="J2457" s="8" t="s">
        <v>741</v>
      </c>
      <c r="K2457" s="10" t="s">
        <v>2675</v>
      </c>
      <c r="L2457" s="8" t="s">
        <v>58</v>
      </c>
      <c r="M2457" s="8" t="s">
        <v>35</v>
      </c>
      <c r="N2457" s="11">
        <v>45094.0</v>
      </c>
      <c r="O2457" s="11">
        <v>45108.0</v>
      </c>
      <c r="P2457" s="11">
        <v>45150.0</v>
      </c>
      <c r="Q2457" s="11">
        <v>45116.0</v>
      </c>
      <c r="R2457" s="11">
        <v>45158.0</v>
      </c>
      <c r="S2457" s="12"/>
      <c r="T2457" s="8"/>
      <c r="U2457" s="8" t="s">
        <v>59</v>
      </c>
      <c r="V2457" s="13" t="s">
        <v>175</v>
      </c>
      <c r="W2457" s="13" t="s">
        <v>11950</v>
      </c>
      <c r="X2457" s="12"/>
      <c r="Y2457" s="14"/>
      <c r="Z2457" s="14"/>
    </row>
    <row r="2458">
      <c r="A2458" s="8" t="s">
        <v>11951</v>
      </c>
      <c r="B2458" s="8" t="s">
        <v>11952</v>
      </c>
      <c r="C2458" s="8" t="s">
        <v>179</v>
      </c>
      <c r="D2458" s="8" t="s">
        <v>26</v>
      </c>
      <c r="E2458" s="8" t="s">
        <v>11953</v>
      </c>
      <c r="F2458" s="8">
        <v>1.012723062E9</v>
      </c>
      <c r="G2458" s="8" t="s">
        <v>284</v>
      </c>
      <c r="H2458" s="8" t="s">
        <v>1450</v>
      </c>
      <c r="I2458" s="8" t="s">
        <v>31</v>
      </c>
      <c r="J2458" s="8" t="s">
        <v>256</v>
      </c>
      <c r="K2458" s="10" t="s">
        <v>10689</v>
      </c>
      <c r="L2458" s="8" t="s">
        <v>58</v>
      </c>
      <c r="M2458" s="8" t="s">
        <v>35</v>
      </c>
      <c r="N2458" s="11">
        <v>45094.0</v>
      </c>
      <c r="O2458" s="11">
        <v>45124.0</v>
      </c>
      <c r="P2458" s="11">
        <v>45166.0</v>
      </c>
      <c r="Q2458" s="11"/>
      <c r="R2458" s="11"/>
      <c r="S2458" s="12"/>
      <c r="T2458" s="8"/>
      <c r="U2458" s="8" t="s">
        <v>59</v>
      </c>
      <c r="V2458" s="13" t="s">
        <v>7608</v>
      </c>
      <c r="W2458" s="13" t="s">
        <v>11954</v>
      </c>
      <c r="X2458" s="12"/>
      <c r="Y2458" s="14"/>
      <c r="Z2458" s="14"/>
    </row>
    <row r="2459">
      <c r="A2459" s="8" t="s">
        <v>11955</v>
      </c>
      <c r="B2459" s="8" t="s">
        <v>11956</v>
      </c>
      <c r="C2459" s="8" t="s">
        <v>179</v>
      </c>
      <c r="D2459" s="8" t="s">
        <v>26</v>
      </c>
      <c r="E2459" s="8" t="s">
        <v>11957</v>
      </c>
      <c r="F2459" s="8"/>
      <c r="G2459" s="8" t="s">
        <v>54</v>
      </c>
      <c r="H2459" s="8" t="s">
        <v>377</v>
      </c>
      <c r="I2459" s="8" t="s">
        <v>31</v>
      </c>
      <c r="J2459" s="8" t="s">
        <v>86</v>
      </c>
      <c r="K2459" s="10" t="s">
        <v>3755</v>
      </c>
      <c r="L2459" s="8" t="s">
        <v>34</v>
      </c>
      <c r="M2459" s="8" t="s">
        <v>70</v>
      </c>
      <c r="N2459" s="11">
        <v>45094.0</v>
      </c>
      <c r="O2459" s="11">
        <v>45117.0</v>
      </c>
      <c r="P2459" s="11">
        <v>45310.0</v>
      </c>
      <c r="Q2459" s="11"/>
      <c r="R2459" s="11"/>
      <c r="S2459" s="12"/>
      <c r="T2459" s="8" t="s">
        <v>36</v>
      </c>
      <c r="U2459" s="8" t="s">
        <v>3756</v>
      </c>
      <c r="V2459" s="13" t="s">
        <v>38</v>
      </c>
      <c r="W2459" s="13" t="s">
        <v>11958</v>
      </c>
      <c r="X2459" s="12"/>
      <c r="Y2459" s="14"/>
      <c r="Z2459" s="14"/>
    </row>
    <row r="2460">
      <c r="A2460" s="8" t="s">
        <v>11959</v>
      </c>
      <c r="B2460" s="8" t="s">
        <v>11960</v>
      </c>
      <c r="C2460" s="8" t="s">
        <v>25</v>
      </c>
      <c r="D2460" s="8" t="s">
        <v>26</v>
      </c>
      <c r="E2460" s="8" t="s">
        <v>11961</v>
      </c>
      <c r="F2460" s="8">
        <v>7.756253055E9</v>
      </c>
      <c r="G2460" s="8" t="s">
        <v>496</v>
      </c>
      <c r="H2460" s="8" t="s">
        <v>497</v>
      </c>
      <c r="I2460" s="8" t="s">
        <v>31</v>
      </c>
      <c r="J2460" s="8" t="s">
        <v>220</v>
      </c>
      <c r="K2460" s="10" t="s">
        <v>2193</v>
      </c>
      <c r="L2460" s="8" t="s">
        <v>58</v>
      </c>
      <c r="M2460" s="8" t="s">
        <v>35</v>
      </c>
      <c r="N2460" s="11">
        <v>45094.0</v>
      </c>
      <c r="O2460" s="11">
        <v>45088.0</v>
      </c>
      <c r="P2460" s="11">
        <v>45130.0</v>
      </c>
      <c r="Q2460" s="11">
        <v>45094.0</v>
      </c>
      <c r="R2460" s="11">
        <v>45136.0</v>
      </c>
      <c r="S2460" s="12"/>
      <c r="T2460" s="8"/>
      <c r="U2460" s="8" t="s">
        <v>59</v>
      </c>
      <c r="V2460" s="13" t="s">
        <v>6955</v>
      </c>
      <c r="W2460" s="13" t="s">
        <v>11962</v>
      </c>
      <c r="X2460" s="12"/>
      <c r="Y2460" s="14"/>
      <c r="Z2460" s="14"/>
    </row>
    <row r="2461">
      <c r="A2461" s="8" t="s">
        <v>11963</v>
      </c>
      <c r="B2461" s="8" t="s">
        <v>4127</v>
      </c>
      <c r="C2461" s="8" t="s">
        <v>25</v>
      </c>
      <c r="D2461" s="8" t="s">
        <v>26</v>
      </c>
      <c r="E2461" s="8" t="s">
        <v>11964</v>
      </c>
      <c r="F2461" s="8">
        <v>5.521761592E9</v>
      </c>
      <c r="G2461" s="8" t="s">
        <v>31</v>
      </c>
      <c r="H2461" s="8" t="s">
        <v>77</v>
      </c>
      <c r="I2461" s="8" t="s">
        <v>44</v>
      </c>
      <c r="J2461" s="8" t="s">
        <v>1993</v>
      </c>
      <c r="K2461" s="10" t="s">
        <v>11965</v>
      </c>
      <c r="L2461" s="8" t="s">
        <v>58</v>
      </c>
      <c r="M2461" s="8" t="s">
        <v>35</v>
      </c>
      <c r="N2461" s="11">
        <v>45095.0</v>
      </c>
      <c r="O2461" s="11">
        <v>45115.0</v>
      </c>
      <c r="P2461" s="11">
        <v>45157.0</v>
      </c>
      <c r="Q2461" s="11">
        <v>45115.0</v>
      </c>
      <c r="R2461" s="11">
        <v>45157.0</v>
      </c>
      <c r="S2461" s="12"/>
      <c r="T2461" s="8"/>
      <c r="U2461" s="8" t="s">
        <v>371</v>
      </c>
      <c r="V2461" s="13" t="s">
        <v>77</v>
      </c>
      <c r="W2461" s="13" t="s">
        <v>11966</v>
      </c>
      <c r="X2461" s="12"/>
      <c r="Y2461" s="14"/>
      <c r="Z2461" s="14"/>
    </row>
    <row r="2462">
      <c r="A2462" s="8" t="s">
        <v>11967</v>
      </c>
      <c r="B2462" s="8" t="s">
        <v>11968</v>
      </c>
      <c r="C2462" s="8" t="s">
        <v>25</v>
      </c>
      <c r="D2462" s="8" t="s">
        <v>26</v>
      </c>
      <c r="E2462" s="8" t="s">
        <v>11969</v>
      </c>
      <c r="F2462" s="8">
        <v>5.384183838E9</v>
      </c>
      <c r="G2462" s="8" t="s">
        <v>31</v>
      </c>
      <c r="H2462" s="8" t="s">
        <v>86</v>
      </c>
      <c r="I2462" s="8" t="s">
        <v>284</v>
      </c>
      <c r="J2462" s="8" t="s">
        <v>854</v>
      </c>
      <c r="K2462" s="10" t="s">
        <v>11970</v>
      </c>
      <c r="L2462" s="8" t="s">
        <v>58</v>
      </c>
      <c r="M2462" s="8" t="s">
        <v>35</v>
      </c>
      <c r="N2462" s="11">
        <v>45095.0</v>
      </c>
      <c r="O2462" s="11">
        <v>45158.0</v>
      </c>
      <c r="P2462" s="11">
        <v>45202.0</v>
      </c>
      <c r="Q2462" s="11"/>
      <c r="R2462" s="11">
        <v>45200.0</v>
      </c>
      <c r="S2462" s="12"/>
      <c r="T2462" s="8"/>
      <c r="U2462" s="8" t="s">
        <v>59</v>
      </c>
      <c r="V2462" s="13" t="s">
        <v>175</v>
      </c>
      <c r="W2462" s="13" t="s">
        <v>11971</v>
      </c>
      <c r="X2462" s="12"/>
      <c r="Y2462" s="14"/>
      <c r="Z2462" s="14"/>
    </row>
    <row r="2463">
      <c r="A2463" s="8" t="s">
        <v>11972</v>
      </c>
      <c r="B2463" s="8" t="s">
        <v>11973</v>
      </c>
      <c r="C2463" s="8" t="s">
        <v>64</v>
      </c>
      <c r="D2463" s="8" t="s">
        <v>26</v>
      </c>
      <c r="E2463" s="8" t="s">
        <v>11974</v>
      </c>
      <c r="F2463" s="8">
        <v>1.009085828E9</v>
      </c>
      <c r="G2463" s="8" t="s">
        <v>284</v>
      </c>
      <c r="H2463" s="8" t="s">
        <v>1764</v>
      </c>
      <c r="I2463" s="8" t="s">
        <v>31</v>
      </c>
      <c r="J2463" s="8" t="s">
        <v>56</v>
      </c>
      <c r="K2463" s="10" t="s">
        <v>11545</v>
      </c>
      <c r="L2463" s="8" t="s">
        <v>58</v>
      </c>
      <c r="M2463" s="8" t="s">
        <v>35</v>
      </c>
      <c r="N2463" s="11">
        <v>45095.0</v>
      </c>
      <c r="O2463" s="11">
        <v>45124.0</v>
      </c>
      <c r="P2463" s="11">
        <v>45166.0</v>
      </c>
      <c r="Q2463" s="11">
        <v>45147.0</v>
      </c>
      <c r="R2463" s="11">
        <v>45187.0</v>
      </c>
      <c r="S2463" s="12"/>
      <c r="T2463" s="8"/>
      <c r="U2463" s="8" t="s">
        <v>59</v>
      </c>
      <c r="V2463" s="13" t="s">
        <v>1766</v>
      </c>
      <c r="W2463" s="13" t="s">
        <v>11975</v>
      </c>
      <c r="X2463" s="12"/>
      <c r="Y2463" s="14"/>
      <c r="Z2463" s="14"/>
    </row>
    <row r="2464">
      <c r="A2464" s="8" t="s">
        <v>11976</v>
      </c>
      <c r="B2464" s="8" t="s">
        <v>11977</v>
      </c>
      <c r="C2464" s="8" t="s">
        <v>25</v>
      </c>
      <c r="D2464" s="8" t="s">
        <v>26</v>
      </c>
      <c r="E2464" s="8" t="s">
        <v>11978</v>
      </c>
      <c r="F2464" s="8">
        <v>1.275600449E9</v>
      </c>
      <c r="G2464" s="8" t="s">
        <v>284</v>
      </c>
      <c r="H2464" s="8" t="s">
        <v>1764</v>
      </c>
      <c r="I2464" s="8" t="s">
        <v>31</v>
      </c>
      <c r="J2464" s="8" t="s">
        <v>56</v>
      </c>
      <c r="K2464" s="10" t="s">
        <v>11979</v>
      </c>
      <c r="L2464" s="8" t="s">
        <v>58</v>
      </c>
      <c r="M2464" s="8" t="s">
        <v>35</v>
      </c>
      <c r="N2464" s="11">
        <v>45095.0</v>
      </c>
      <c r="O2464" s="11">
        <v>45124.0</v>
      </c>
      <c r="P2464" s="11">
        <v>45166.0</v>
      </c>
      <c r="Q2464" s="11">
        <v>45147.0</v>
      </c>
      <c r="R2464" s="11">
        <v>45187.0</v>
      </c>
      <c r="S2464" s="12"/>
      <c r="T2464" s="8"/>
      <c r="U2464" s="8" t="s">
        <v>161</v>
      </c>
      <c r="V2464" s="13" t="s">
        <v>1766</v>
      </c>
      <c r="W2464" s="13" t="s">
        <v>11980</v>
      </c>
      <c r="X2464" s="12"/>
      <c r="Y2464" s="14"/>
      <c r="Z2464" s="14"/>
    </row>
    <row r="2465">
      <c r="A2465" s="8" t="s">
        <v>11981</v>
      </c>
      <c r="B2465" s="8" t="s">
        <v>11982</v>
      </c>
      <c r="C2465" s="8" t="s">
        <v>708</v>
      </c>
      <c r="D2465" s="8" t="s">
        <v>26</v>
      </c>
      <c r="E2465" s="8" t="s">
        <v>11983</v>
      </c>
      <c r="F2465" s="8">
        <v>9.211558366E9</v>
      </c>
      <c r="G2465" s="8" t="s">
        <v>6087</v>
      </c>
      <c r="H2465" s="8" t="s">
        <v>6088</v>
      </c>
      <c r="I2465" s="8" t="s">
        <v>31</v>
      </c>
      <c r="J2465" s="8" t="s">
        <v>66</v>
      </c>
      <c r="K2465" s="10" t="s">
        <v>4774</v>
      </c>
      <c r="L2465" s="8" t="s">
        <v>47</v>
      </c>
      <c r="M2465" s="8" t="s">
        <v>48</v>
      </c>
      <c r="N2465" s="11">
        <v>45095.0</v>
      </c>
      <c r="O2465" s="11">
        <v>45189.0</v>
      </c>
      <c r="P2465" s="11">
        <v>45370.0</v>
      </c>
      <c r="Q2465" s="11">
        <v>45182.0</v>
      </c>
      <c r="R2465" s="11">
        <v>45375.0</v>
      </c>
      <c r="S2465" s="12"/>
      <c r="T2465" s="8"/>
      <c r="U2465" s="8" t="s">
        <v>4775</v>
      </c>
      <c r="V2465" s="13" t="s">
        <v>8806</v>
      </c>
      <c r="W2465" s="13" t="s">
        <v>11984</v>
      </c>
      <c r="X2465" s="12"/>
      <c r="Y2465" s="14"/>
      <c r="Z2465" s="14"/>
    </row>
    <row r="2466">
      <c r="A2466" s="8" t="s">
        <v>11985</v>
      </c>
      <c r="B2466" s="8" t="s">
        <v>11986</v>
      </c>
      <c r="C2466" s="8" t="s">
        <v>179</v>
      </c>
      <c r="D2466" s="8" t="s">
        <v>26</v>
      </c>
      <c r="E2466" s="8" t="s">
        <v>11987</v>
      </c>
      <c r="F2466" s="8">
        <v>9.9147091E9</v>
      </c>
      <c r="G2466" s="8" t="s">
        <v>44</v>
      </c>
      <c r="H2466" s="8" t="s">
        <v>3811</v>
      </c>
      <c r="I2466" s="8" t="s">
        <v>31</v>
      </c>
      <c r="J2466" s="8" t="s">
        <v>256</v>
      </c>
      <c r="K2466" s="10" t="s">
        <v>10689</v>
      </c>
      <c r="L2466" s="8" t="s">
        <v>58</v>
      </c>
      <c r="M2466" s="8" t="s">
        <v>35</v>
      </c>
      <c r="N2466" s="11">
        <v>45095.0</v>
      </c>
      <c r="O2466" s="11">
        <v>45110.0</v>
      </c>
      <c r="P2466" s="11">
        <v>45152.0</v>
      </c>
      <c r="Q2466" s="11"/>
      <c r="R2466" s="11"/>
      <c r="S2466" s="12"/>
      <c r="T2466" s="8"/>
      <c r="U2466" s="8" t="s">
        <v>59</v>
      </c>
      <c r="V2466" s="13" t="s">
        <v>3811</v>
      </c>
      <c r="W2466" s="13" t="s">
        <v>11988</v>
      </c>
      <c r="X2466" s="12"/>
      <c r="Y2466" s="14"/>
      <c r="Z2466" s="14"/>
    </row>
    <row r="2467">
      <c r="A2467" s="8" t="s">
        <v>11989</v>
      </c>
      <c r="B2467" s="8" t="s">
        <v>11990</v>
      </c>
      <c r="C2467" s="8" t="s">
        <v>25</v>
      </c>
      <c r="D2467" s="8" t="s">
        <v>26</v>
      </c>
      <c r="E2467" s="8" t="s">
        <v>11991</v>
      </c>
      <c r="F2467" s="8">
        <v>3.519442117E9</v>
      </c>
      <c r="G2467" s="8" t="s">
        <v>29</v>
      </c>
      <c r="H2467" s="8" t="s">
        <v>5711</v>
      </c>
      <c r="I2467" s="8" t="s">
        <v>31</v>
      </c>
      <c r="J2467" s="8" t="s">
        <v>77</v>
      </c>
      <c r="K2467" s="10" t="s">
        <v>152</v>
      </c>
      <c r="L2467" s="8" t="s">
        <v>58</v>
      </c>
      <c r="M2467" s="8" t="s">
        <v>35</v>
      </c>
      <c r="N2467" s="11">
        <v>45095.0</v>
      </c>
      <c r="O2467" s="11">
        <v>45179.0</v>
      </c>
      <c r="P2467" s="11">
        <v>45221.0</v>
      </c>
      <c r="Q2467" s="11">
        <v>45179.0</v>
      </c>
      <c r="R2467" s="11">
        <v>45221.0</v>
      </c>
      <c r="S2467" s="12"/>
      <c r="T2467" s="8"/>
      <c r="U2467" s="8" t="s">
        <v>153</v>
      </c>
      <c r="V2467" s="13" t="s">
        <v>38</v>
      </c>
      <c r="W2467" s="13" t="s">
        <v>11992</v>
      </c>
      <c r="X2467" s="12"/>
      <c r="Y2467" s="14"/>
      <c r="Z2467" s="14"/>
    </row>
    <row r="2468">
      <c r="A2468" s="8" t="s">
        <v>11993</v>
      </c>
      <c r="B2468" s="8" t="s">
        <v>11994</v>
      </c>
      <c r="C2468" s="8" t="s">
        <v>25</v>
      </c>
      <c r="D2468" s="8" t="s">
        <v>26</v>
      </c>
      <c r="E2468" s="8" t="s">
        <v>11995</v>
      </c>
      <c r="F2468" s="8"/>
      <c r="G2468" s="8" t="s">
        <v>31</v>
      </c>
      <c r="H2468" s="8" t="s">
        <v>438</v>
      </c>
      <c r="I2468" s="8" t="s">
        <v>284</v>
      </c>
      <c r="J2468" s="8" t="s">
        <v>285</v>
      </c>
      <c r="K2468" s="10" t="s">
        <v>3841</v>
      </c>
      <c r="L2468" s="8" t="s">
        <v>58</v>
      </c>
      <c r="M2468" s="8" t="s">
        <v>35</v>
      </c>
      <c r="N2468" s="11">
        <v>45095.0</v>
      </c>
      <c r="O2468" s="11">
        <v>45108.0</v>
      </c>
      <c r="P2468" s="11">
        <v>45150.0</v>
      </c>
      <c r="Q2468" s="11">
        <v>45109.0</v>
      </c>
      <c r="R2468" s="11">
        <v>45150.0</v>
      </c>
      <c r="S2468" s="12"/>
      <c r="T2468" s="8"/>
      <c r="U2468" s="8" t="s">
        <v>1038</v>
      </c>
      <c r="V2468" s="13" t="s">
        <v>38</v>
      </c>
      <c r="W2468" s="13" t="s">
        <v>11996</v>
      </c>
      <c r="X2468" s="12"/>
      <c r="Y2468" s="14"/>
      <c r="Z2468" s="14"/>
    </row>
    <row r="2469">
      <c r="A2469" s="8" t="s">
        <v>11997</v>
      </c>
      <c r="B2469" s="8" t="s">
        <v>11998</v>
      </c>
      <c r="C2469" s="8" t="s">
        <v>179</v>
      </c>
      <c r="D2469" s="8" t="s">
        <v>26</v>
      </c>
      <c r="E2469" s="8" t="s">
        <v>11999</v>
      </c>
      <c r="F2469" s="8">
        <v>1.009473883E9</v>
      </c>
      <c r="G2469" s="8" t="s">
        <v>284</v>
      </c>
      <c r="H2469" s="8" t="s">
        <v>1764</v>
      </c>
      <c r="I2469" s="8" t="s">
        <v>31</v>
      </c>
      <c r="J2469" s="8" t="s">
        <v>56</v>
      </c>
      <c r="K2469" s="10" t="s">
        <v>11918</v>
      </c>
      <c r="L2469" s="8" t="s">
        <v>58</v>
      </c>
      <c r="M2469" s="8" t="s">
        <v>35</v>
      </c>
      <c r="N2469" s="11">
        <v>45095.0</v>
      </c>
      <c r="O2469" s="11">
        <v>45159.0</v>
      </c>
      <c r="P2469" s="11">
        <v>45201.0</v>
      </c>
      <c r="Q2469" s="11"/>
      <c r="R2469" s="11"/>
      <c r="S2469" s="12"/>
      <c r="T2469" s="8"/>
      <c r="U2469" s="8" t="s">
        <v>59</v>
      </c>
      <c r="V2469" s="13" t="s">
        <v>1766</v>
      </c>
      <c r="W2469" s="13" t="s">
        <v>12000</v>
      </c>
      <c r="X2469" s="12"/>
      <c r="Y2469" s="14"/>
      <c r="Z2469" s="14"/>
    </row>
    <row r="2470">
      <c r="A2470" s="8" t="s">
        <v>12001</v>
      </c>
      <c r="B2470" s="8" t="s">
        <v>12002</v>
      </c>
      <c r="C2470" s="8" t="s">
        <v>179</v>
      </c>
      <c r="D2470" s="8" t="s">
        <v>26</v>
      </c>
      <c r="E2470" s="8" t="s">
        <v>12003</v>
      </c>
      <c r="F2470" s="8"/>
      <c r="G2470" s="8" t="s">
        <v>1620</v>
      </c>
      <c r="H2470" s="8" t="s">
        <v>12004</v>
      </c>
      <c r="I2470" s="8" t="s">
        <v>31</v>
      </c>
      <c r="J2470" s="8" t="s">
        <v>32</v>
      </c>
      <c r="K2470" s="10" t="s">
        <v>10781</v>
      </c>
      <c r="L2470" s="8" t="s">
        <v>58</v>
      </c>
      <c r="M2470" s="8" t="s">
        <v>35</v>
      </c>
      <c r="N2470" s="11">
        <v>45095.0</v>
      </c>
      <c r="O2470" s="11">
        <v>45152.0</v>
      </c>
      <c r="P2470" s="11">
        <v>45194.0</v>
      </c>
      <c r="Q2470" s="11"/>
      <c r="R2470" s="11"/>
      <c r="S2470" s="12"/>
      <c r="T2470" s="8"/>
      <c r="U2470" s="8" t="s">
        <v>161</v>
      </c>
      <c r="V2470" s="13" t="s">
        <v>38</v>
      </c>
      <c r="W2470" s="13" t="s">
        <v>12005</v>
      </c>
      <c r="X2470" s="12"/>
      <c r="Y2470" s="14"/>
      <c r="Z2470" s="14"/>
    </row>
    <row r="2471">
      <c r="A2471" s="8" t="s">
        <v>12006</v>
      </c>
      <c r="B2471" s="8" t="s">
        <v>12007</v>
      </c>
      <c r="C2471" s="8" t="s">
        <v>25</v>
      </c>
      <c r="D2471" s="8" t="s">
        <v>26</v>
      </c>
      <c r="E2471" s="8" t="s">
        <v>12008</v>
      </c>
      <c r="F2471" s="8">
        <v>5.511646428E9</v>
      </c>
      <c r="G2471" s="8" t="s">
        <v>31</v>
      </c>
      <c r="H2471" s="8" t="s">
        <v>111</v>
      </c>
      <c r="I2471" s="8" t="s">
        <v>127</v>
      </c>
      <c r="J2471" s="8" t="s">
        <v>159</v>
      </c>
      <c r="K2471" s="10" t="s">
        <v>12009</v>
      </c>
      <c r="L2471" s="8" t="s">
        <v>34</v>
      </c>
      <c r="M2471" s="8" t="s">
        <v>35</v>
      </c>
      <c r="N2471" s="11">
        <v>45095.0</v>
      </c>
      <c r="O2471" s="11">
        <v>45117.0</v>
      </c>
      <c r="P2471" s="11">
        <v>45170.0</v>
      </c>
      <c r="Q2471" s="11">
        <v>45117.0</v>
      </c>
      <c r="R2471" s="11">
        <v>45170.0</v>
      </c>
      <c r="S2471" s="12"/>
      <c r="T2471" s="8" t="s">
        <v>224</v>
      </c>
      <c r="U2471" s="8" t="s">
        <v>12010</v>
      </c>
      <c r="V2471" s="13" t="s">
        <v>111</v>
      </c>
      <c r="W2471" s="13" t="s">
        <v>12011</v>
      </c>
      <c r="X2471" s="12"/>
      <c r="Y2471" s="14"/>
      <c r="Z2471" s="14"/>
    </row>
    <row r="2472">
      <c r="A2472" s="8" t="s">
        <v>12012</v>
      </c>
      <c r="B2472" s="8" t="s">
        <v>12013</v>
      </c>
      <c r="C2472" s="8" t="s">
        <v>64</v>
      </c>
      <c r="D2472" s="8" t="s">
        <v>26</v>
      </c>
      <c r="E2472" s="8" t="s">
        <v>12014</v>
      </c>
      <c r="F2472" s="8">
        <v>3.335428333E9</v>
      </c>
      <c r="G2472" s="8" t="s">
        <v>315</v>
      </c>
      <c r="H2472" s="8" t="s">
        <v>12015</v>
      </c>
      <c r="I2472" s="8" t="s">
        <v>31</v>
      </c>
      <c r="J2472" s="8" t="s">
        <v>438</v>
      </c>
      <c r="K2472" s="10" t="s">
        <v>10418</v>
      </c>
      <c r="L2472" s="8" t="s">
        <v>58</v>
      </c>
      <c r="M2472" s="8" t="s">
        <v>35</v>
      </c>
      <c r="N2472" s="11">
        <v>45095.0</v>
      </c>
      <c r="O2472" s="11">
        <v>45152.0</v>
      </c>
      <c r="P2472" s="11">
        <v>45194.0</v>
      </c>
      <c r="Q2472" s="11">
        <v>45153.0</v>
      </c>
      <c r="R2472" s="11">
        <v>45194.0</v>
      </c>
      <c r="S2472" s="12"/>
      <c r="T2472" s="8"/>
      <c r="U2472" s="8" t="s">
        <v>1038</v>
      </c>
      <c r="V2472" s="13" t="s">
        <v>12016</v>
      </c>
      <c r="W2472" s="13" t="s">
        <v>12017</v>
      </c>
      <c r="X2472" s="12"/>
      <c r="Y2472" s="14"/>
      <c r="Z2472" s="14"/>
    </row>
    <row r="2473">
      <c r="A2473" s="8" t="s">
        <v>12018</v>
      </c>
      <c r="B2473" s="8" t="s">
        <v>12019</v>
      </c>
      <c r="C2473" s="8" t="s">
        <v>25</v>
      </c>
      <c r="D2473" s="8" t="s">
        <v>26</v>
      </c>
      <c r="E2473" s="8" t="s">
        <v>12020</v>
      </c>
      <c r="F2473" s="8">
        <v>4.6323711E7</v>
      </c>
      <c r="G2473" s="8" t="s">
        <v>54</v>
      </c>
      <c r="H2473" s="8" t="s">
        <v>595</v>
      </c>
      <c r="I2473" s="8" t="s">
        <v>31</v>
      </c>
      <c r="J2473" s="8" t="s">
        <v>77</v>
      </c>
      <c r="K2473" s="10" t="s">
        <v>4188</v>
      </c>
      <c r="L2473" s="8" t="s">
        <v>58</v>
      </c>
      <c r="M2473" s="8" t="s">
        <v>35</v>
      </c>
      <c r="N2473" s="11">
        <v>45096.0</v>
      </c>
      <c r="O2473" s="11">
        <v>45110.0</v>
      </c>
      <c r="P2473" s="11">
        <v>45152.0</v>
      </c>
      <c r="Q2473" s="11">
        <v>45110.0</v>
      </c>
      <c r="R2473" s="11">
        <v>45152.0</v>
      </c>
      <c r="S2473" s="12"/>
      <c r="T2473" s="8"/>
      <c r="U2473" s="8" t="s">
        <v>59</v>
      </c>
      <c r="V2473" s="13" t="s">
        <v>2961</v>
      </c>
      <c r="W2473" s="13" t="s">
        <v>12021</v>
      </c>
      <c r="X2473" s="12"/>
      <c r="Y2473" s="14"/>
      <c r="Z2473" s="14"/>
    </row>
    <row r="2474">
      <c r="A2474" s="8" t="s">
        <v>12022</v>
      </c>
      <c r="B2474" s="8" t="s">
        <v>12023</v>
      </c>
      <c r="C2474" s="8" t="s">
        <v>25</v>
      </c>
      <c r="D2474" s="8" t="s">
        <v>26</v>
      </c>
      <c r="E2474" s="8" t="s">
        <v>12024</v>
      </c>
      <c r="F2474" s="8">
        <v>5.4615948E7</v>
      </c>
      <c r="G2474" s="8" t="s">
        <v>54</v>
      </c>
      <c r="H2474" s="8" t="s">
        <v>430</v>
      </c>
      <c r="I2474" s="8" t="s">
        <v>31</v>
      </c>
      <c r="J2474" s="8" t="s">
        <v>111</v>
      </c>
      <c r="K2474" s="10" t="s">
        <v>12025</v>
      </c>
      <c r="L2474" s="8" t="s">
        <v>58</v>
      </c>
      <c r="M2474" s="8" t="s">
        <v>35</v>
      </c>
      <c r="N2474" s="11">
        <v>45096.0</v>
      </c>
      <c r="O2474" s="11">
        <v>45107.0</v>
      </c>
      <c r="P2474" s="11">
        <v>45156.0</v>
      </c>
      <c r="Q2474" s="11">
        <v>45113.0</v>
      </c>
      <c r="R2474" s="11">
        <v>45162.0</v>
      </c>
      <c r="S2474" s="12"/>
      <c r="T2474" s="8"/>
      <c r="U2474" s="8" t="s">
        <v>3111</v>
      </c>
      <c r="V2474" s="13" t="s">
        <v>1229</v>
      </c>
      <c r="W2474" s="13" t="s">
        <v>12026</v>
      </c>
      <c r="X2474" s="12"/>
      <c r="Y2474" s="14"/>
      <c r="Z2474" s="14"/>
    </row>
    <row r="2475">
      <c r="A2475" s="8" t="s">
        <v>12027</v>
      </c>
      <c r="B2475" s="8" t="s">
        <v>12028</v>
      </c>
      <c r="C2475" s="8" t="s">
        <v>25</v>
      </c>
      <c r="D2475" s="8" t="s">
        <v>26</v>
      </c>
      <c r="E2475" s="8" t="s">
        <v>12029</v>
      </c>
      <c r="F2475" s="8">
        <v>9.0102922E7</v>
      </c>
      <c r="G2475" s="8" t="s">
        <v>54</v>
      </c>
      <c r="H2475" s="8" t="s">
        <v>430</v>
      </c>
      <c r="I2475" s="8" t="s">
        <v>31</v>
      </c>
      <c r="J2475" s="8" t="s">
        <v>292</v>
      </c>
      <c r="K2475" s="10" t="s">
        <v>8724</v>
      </c>
      <c r="L2475" s="8" t="s">
        <v>58</v>
      </c>
      <c r="M2475" s="8" t="s">
        <v>35</v>
      </c>
      <c r="N2475" s="11">
        <v>45096.0</v>
      </c>
      <c r="O2475" s="11">
        <v>45110.0</v>
      </c>
      <c r="P2475" s="11">
        <v>45152.0</v>
      </c>
      <c r="Q2475" s="11">
        <v>45109.0</v>
      </c>
      <c r="R2475" s="11">
        <v>45152.0</v>
      </c>
      <c r="S2475" s="12"/>
      <c r="T2475" s="8"/>
      <c r="U2475" s="8" t="s">
        <v>88</v>
      </c>
      <c r="V2475" s="13" t="s">
        <v>1715</v>
      </c>
      <c r="W2475" s="13" t="s">
        <v>12030</v>
      </c>
      <c r="X2475" s="12"/>
      <c r="Y2475" s="14"/>
      <c r="Z2475" s="14"/>
    </row>
    <row r="2476">
      <c r="A2476" s="8" t="s">
        <v>12031</v>
      </c>
      <c r="B2476" s="8" t="s">
        <v>10086</v>
      </c>
      <c r="C2476" s="8" t="s">
        <v>179</v>
      </c>
      <c r="D2476" s="8" t="s">
        <v>26</v>
      </c>
      <c r="E2476" s="8" t="s">
        <v>12032</v>
      </c>
      <c r="F2476" s="8">
        <v>3.024733534E9</v>
      </c>
      <c r="G2476" s="8" t="s">
        <v>315</v>
      </c>
      <c r="H2476" s="8" t="s">
        <v>316</v>
      </c>
      <c r="I2476" s="8" t="s">
        <v>31</v>
      </c>
      <c r="J2476" s="8" t="s">
        <v>56</v>
      </c>
      <c r="K2476" s="10" t="s">
        <v>9756</v>
      </c>
      <c r="L2476" s="8" t="s">
        <v>58</v>
      </c>
      <c r="M2476" s="8" t="s">
        <v>35</v>
      </c>
      <c r="N2476" s="11">
        <v>45096.0</v>
      </c>
      <c r="O2476" s="11">
        <v>45110.0</v>
      </c>
      <c r="P2476" s="11">
        <v>45152.0</v>
      </c>
      <c r="Q2476" s="11"/>
      <c r="R2476" s="11"/>
      <c r="S2476" s="12"/>
      <c r="T2476" s="8"/>
      <c r="U2476" s="8" t="s">
        <v>59</v>
      </c>
      <c r="V2476" s="13" t="s">
        <v>38</v>
      </c>
      <c r="W2476" s="13" t="s">
        <v>12033</v>
      </c>
      <c r="X2476" s="12"/>
      <c r="Y2476" s="14"/>
      <c r="Z2476" s="14"/>
    </row>
    <row r="2477">
      <c r="A2477" s="8" t="s">
        <v>12034</v>
      </c>
      <c r="B2477" s="8" t="s">
        <v>3694</v>
      </c>
      <c r="C2477" s="8" t="s">
        <v>708</v>
      </c>
      <c r="D2477" s="8" t="s">
        <v>26</v>
      </c>
      <c r="E2477" s="8" t="s">
        <v>3695</v>
      </c>
      <c r="F2477" s="8">
        <v>6.12033791E8</v>
      </c>
      <c r="G2477" s="8" t="s">
        <v>221</v>
      </c>
      <c r="H2477" s="8" t="s">
        <v>3506</v>
      </c>
      <c r="I2477" s="8" t="s">
        <v>31</v>
      </c>
      <c r="J2477" s="8" t="s">
        <v>111</v>
      </c>
      <c r="K2477" s="10" t="s">
        <v>910</v>
      </c>
      <c r="L2477" s="8" t="s">
        <v>47</v>
      </c>
      <c r="M2477" s="8" t="s">
        <v>70</v>
      </c>
      <c r="N2477" s="11">
        <v>45096.0</v>
      </c>
      <c r="O2477" s="11">
        <v>45153.0</v>
      </c>
      <c r="P2477" s="11">
        <v>45473.0</v>
      </c>
      <c r="Q2477" s="11">
        <v>45153.0</v>
      </c>
      <c r="R2477" s="11">
        <v>45473.0</v>
      </c>
      <c r="S2477" s="12"/>
      <c r="T2477" s="8"/>
      <c r="U2477" s="8" t="s">
        <v>246</v>
      </c>
      <c r="V2477" s="13" t="s">
        <v>3507</v>
      </c>
      <c r="W2477" s="13" t="s">
        <v>3696</v>
      </c>
      <c r="X2477" s="12"/>
      <c r="Y2477" s="14"/>
      <c r="Z2477" s="14"/>
    </row>
    <row r="2478">
      <c r="A2478" s="8" t="s">
        <v>12035</v>
      </c>
      <c r="B2478" s="8" t="s">
        <v>12036</v>
      </c>
      <c r="C2478" s="8" t="s">
        <v>25</v>
      </c>
      <c r="D2478" s="8" t="s">
        <v>26</v>
      </c>
      <c r="E2478" s="8" t="s">
        <v>12037</v>
      </c>
      <c r="F2478" s="8">
        <v>5.456020827E9</v>
      </c>
      <c r="G2478" s="8" t="s">
        <v>31</v>
      </c>
      <c r="H2478" s="8" t="s">
        <v>77</v>
      </c>
      <c r="I2478" s="8" t="s">
        <v>44</v>
      </c>
      <c r="J2478" s="8" t="s">
        <v>1993</v>
      </c>
      <c r="K2478" s="10" t="s">
        <v>2501</v>
      </c>
      <c r="L2478" s="8" t="s">
        <v>58</v>
      </c>
      <c r="M2478" s="8" t="s">
        <v>35</v>
      </c>
      <c r="N2478" s="11">
        <v>45096.0</v>
      </c>
      <c r="O2478" s="11">
        <v>45108.0</v>
      </c>
      <c r="P2478" s="11">
        <v>45150.0</v>
      </c>
      <c r="Q2478" s="11">
        <v>45108.0</v>
      </c>
      <c r="R2478" s="11">
        <v>45150.0</v>
      </c>
      <c r="S2478" s="12"/>
      <c r="T2478" s="8"/>
      <c r="U2478" s="8" t="s">
        <v>1038</v>
      </c>
      <c r="V2478" s="13" t="s">
        <v>292</v>
      </c>
      <c r="W2478" s="13" t="s">
        <v>12038</v>
      </c>
      <c r="X2478" s="12"/>
      <c r="Y2478" s="14"/>
      <c r="Z2478" s="14"/>
    </row>
    <row r="2479">
      <c r="A2479" s="8" t="s">
        <v>12039</v>
      </c>
      <c r="B2479" s="8" t="s">
        <v>4818</v>
      </c>
      <c r="C2479" s="8" t="s">
        <v>179</v>
      </c>
      <c r="D2479" s="8" t="s">
        <v>26</v>
      </c>
      <c r="E2479" s="8" t="s">
        <v>12040</v>
      </c>
      <c r="F2479" s="8">
        <v>1.093169849E9</v>
      </c>
      <c r="G2479" s="8" t="s">
        <v>284</v>
      </c>
      <c r="H2479" s="8" t="s">
        <v>854</v>
      </c>
      <c r="I2479" s="8" t="s">
        <v>31</v>
      </c>
      <c r="J2479" s="8" t="s">
        <v>56</v>
      </c>
      <c r="K2479" s="10" t="s">
        <v>11979</v>
      </c>
      <c r="L2479" s="8" t="s">
        <v>58</v>
      </c>
      <c r="M2479" s="8" t="s">
        <v>35</v>
      </c>
      <c r="N2479" s="11">
        <v>45096.0</v>
      </c>
      <c r="O2479" s="11">
        <v>45166.0</v>
      </c>
      <c r="P2479" s="11">
        <v>45208.0</v>
      </c>
      <c r="Q2479" s="11"/>
      <c r="R2479" s="11"/>
      <c r="S2479" s="12"/>
      <c r="T2479" s="8"/>
      <c r="U2479" s="8" t="s">
        <v>161</v>
      </c>
      <c r="V2479" s="13" t="s">
        <v>856</v>
      </c>
      <c r="W2479" s="13" t="s">
        <v>12041</v>
      </c>
      <c r="X2479" s="12"/>
      <c r="Y2479" s="14"/>
      <c r="Z2479" s="14"/>
    </row>
    <row r="2480">
      <c r="A2480" s="8" t="s">
        <v>12042</v>
      </c>
      <c r="B2480" s="8" t="s">
        <v>12043</v>
      </c>
      <c r="C2480" s="8" t="s">
        <v>25</v>
      </c>
      <c r="D2480" s="8" t="s">
        <v>26</v>
      </c>
      <c r="E2480" s="8" t="s">
        <v>12044</v>
      </c>
      <c r="F2480" s="8">
        <v>5.506061E7</v>
      </c>
      <c r="G2480" s="8" t="s">
        <v>54</v>
      </c>
      <c r="H2480" s="8" t="s">
        <v>595</v>
      </c>
      <c r="I2480" s="8" t="s">
        <v>31</v>
      </c>
      <c r="J2480" s="8" t="s">
        <v>167</v>
      </c>
      <c r="K2480" s="10" t="s">
        <v>10810</v>
      </c>
      <c r="L2480" s="8" t="s">
        <v>58</v>
      </c>
      <c r="M2480" s="8" t="s">
        <v>35</v>
      </c>
      <c r="N2480" s="11">
        <v>45096.0</v>
      </c>
      <c r="O2480" s="11">
        <v>45110.0</v>
      </c>
      <c r="P2480" s="11">
        <v>45152.0</v>
      </c>
      <c r="Q2480" s="11">
        <v>45110.0</v>
      </c>
      <c r="R2480" s="11">
        <v>45152.0</v>
      </c>
      <c r="S2480" s="12"/>
      <c r="T2480" s="8"/>
      <c r="U2480" s="8" t="s">
        <v>59</v>
      </c>
      <c r="V2480" s="13" t="s">
        <v>2961</v>
      </c>
      <c r="W2480" s="13" t="s">
        <v>12045</v>
      </c>
      <c r="X2480" s="12"/>
      <c r="Y2480" s="14"/>
      <c r="Z2480" s="14"/>
    </row>
    <row r="2481">
      <c r="A2481" s="8" t="s">
        <v>12046</v>
      </c>
      <c r="B2481" s="8" t="s">
        <v>12047</v>
      </c>
      <c r="C2481" s="8" t="s">
        <v>25</v>
      </c>
      <c r="D2481" s="8" t="s">
        <v>26</v>
      </c>
      <c r="E2481" s="8" t="s">
        <v>12048</v>
      </c>
      <c r="F2481" s="8">
        <v>6.4706512E8</v>
      </c>
      <c r="G2481" s="8" t="s">
        <v>5008</v>
      </c>
      <c r="H2481" s="8" t="s">
        <v>12049</v>
      </c>
      <c r="I2481" s="8" t="s">
        <v>31</v>
      </c>
      <c r="J2481" s="8" t="s">
        <v>56</v>
      </c>
      <c r="K2481" s="10" t="s">
        <v>11689</v>
      </c>
      <c r="L2481" s="8" t="s">
        <v>58</v>
      </c>
      <c r="M2481" s="8" t="s">
        <v>35</v>
      </c>
      <c r="N2481" s="11">
        <v>45096.0</v>
      </c>
      <c r="O2481" s="11">
        <v>45124.0</v>
      </c>
      <c r="P2481" s="11">
        <v>45166.0</v>
      </c>
      <c r="Q2481" s="11">
        <v>45128.0</v>
      </c>
      <c r="R2481" s="11">
        <v>45168.0</v>
      </c>
      <c r="S2481" s="12"/>
      <c r="T2481" s="8"/>
      <c r="U2481" s="8" t="s">
        <v>59</v>
      </c>
      <c r="V2481" s="13" t="s">
        <v>12050</v>
      </c>
      <c r="W2481" s="13" t="s">
        <v>12051</v>
      </c>
      <c r="X2481" s="12"/>
      <c r="Y2481" s="14"/>
      <c r="Z2481" s="14"/>
    </row>
    <row r="2482">
      <c r="A2482" s="8" t="s">
        <v>12052</v>
      </c>
      <c r="B2482" s="8" t="s">
        <v>12053</v>
      </c>
      <c r="C2482" s="8" t="s">
        <v>64</v>
      </c>
      <c r="D2482" s="8" t="s">
        <v>26</v>
      </c>
      <c r="E2482" s="8" t="s">
        <v>12054</v>
      </c>
      <c r="F2482" s="8">
        <v>5.338580459E9</v>
      </c>
      <c r="G2482" s="8" t="s">
        <v>31</v>
      </c>
      <c r="H2482" s="8" t="s">
        <v>959</v>
      </c>
      <c r="I2482" s="8" t="s">
        <v>284</v>
      </c>
      <c r="J2482" s="8" t="s">
        <v>691</v>
      </c>
      <c r="K2482" s="10" t="s">
        <v>12055</v>
      </c>
      <c r="L2482" s="8" t="s">
        <v>58</v>
      </c>
      <c r="M2482" s="8" t="s">
        <v>35</v>
      </c>
      <c r="N2482" s="11">
        <v>45096.0</v>
      </c>
      <c r="O2482" s="11">
        <v>45153.0</v>
      </c>
      <c r="P2482" s="11">
        <v>45199.0</v>
      </c>
      <c r="Q2482" s="11">
        <v>45153.0</v>
      </c>
      <c r="R2482" s="11">
        <v>45199.0</v>
      </c>
      <c r="S2482" s="12"/>
      <c r="T2482" s="8"/>
      <c r="U2482" s="8" t="s">
        <v>4870</v>
      </c>
      <c r="V2482" s="13" t="s">
        <v>1069</v>
      </c>
      <c r="W2482" s="13" t="s">
        <v>12056</v>
      </c>
      <c r="X2482" s="12"/>
      <c r="Y2482" s="14"/>
      <c r="Z2482" s="14"/>
    </row>
    <row r="2483">
      <c r="A2483" s="8" t="s">
        <v>12057</v>
      </c>
      <c r="B2483" s="8" t="s">
        <v>12058</v>
      </c>
      <c r="C2483" s="8" t="s">
        <v>25</v>
      </c>
      <c r="D2483" s="8" t="s">
        <v>26</v>
      </c>
      <c r="E2483" s="8" t="s">
        <v>12059</v>
      </c>
      <c r="F2483" s="8"/>
      <c r="G2483" s="8" t="s">
        <v>31</v>
      </c>
      <c r="H2483" s="8" t="s">
        <v>542</v>
      </c>
      <c r="I2483" s="8" t="s">
        <v>399</v>
      </c>
      <c r="J2483" s="8" t="s">
        <v>3797</v>
      </c>
      <c r="K2483" s="10" t="s">
        <v>11278</v>
      </c>
      <c r="L2483" s="8" t="s">
        <v>58</v>
      </c>
      <c r="M2483" s="8" t="s">
        <v>35</v>
      </c>
      <c r="N2483" s="11">
        <v>45096.0</v>
      </c>
      <c r="O2483" s="11">
        <v>45166.0</v>
      </c>
      <c r="P2483" s="11">
        <v>45208.0</v>
      </c>
      <c r="Q2483" s="11">
        <v>45166.0</v>
      </c>
      <c r="R2483" s="11">
        <v>45208.0</v>
      </c>
      <c r="S2483" s="12"/>
      <c r="T2483" s="8"/>
      <c r="U2483" s="8" t="s">
        <v>339</v>
      </c>
      <c r="V2483" s="13" t="s">
        <v>38</v>
      </c>
      <c r="W2483" s="13" t="s">
        <v>12060</v>
      </c>
      <c r="X2483" s="12"/>
      <c r="Y2483" s="14"/>
      <c r="Z2483" s="14"/>
    </row>
    <row r="2484">
      <c r="A2484" s="8" t="s">
        <v>12061</v>
      </c>
      <c r="B2484" s="8" t="s">
        <v>12062</v>
      </c>
      <c r="C2484" s="8" t="s">
        <v>25</v>
      </c>
      <c r="D2484" s="8" t="s">
        <v>26</v>
      </c>
      <c r="E2484" s="8" t="s">
        <v>12063</v>
      </c>
      <c r="F2484" s="8">
        <v>5.462424567E9</v>
      </c>
      <c r="G2484" s="8" t="s">
        <v>31</v>
      </c>
      <c r="H2484" s="8" t="s">
        <v>86</v>
      </c>
      <c r="I2484" s="8" t="s">
        <v>84</v>
      </c>
      <c r="J2484" s="8" t="s">
        <v>85</v>
      </c>
      <c r="K2484" s="10" t="s">
        <v>12064</v>
      </c>
      <c r="L2484" s="8" t="s">
        <v>58</v>
      </c>
      <c r="M2484" s="8" t="s">
        <v>35</v>
      </c>
      <c r="N2484" s="11">
        <v>45096.0</v>
      </c>
      <c r="O2484" s="11">
        <v>45114.0</v>
      </c>
      <c r="P2484" s="11">
        <v>45156.0</v>
      </c>
      <c r="Q2484" s="11">
        <v>45112.0</v>
      </c>
      <c r="R2484" s="11">
        <v>45156.0</v>
      </c>
      <c r="S2484" s="12"/>
      <c r="T2484" s="8"/>
      <c r="U2484" s="8" t="s">
        <v>59</v>
      </c>
      <c r="V2484" s="13" t="s">
        <v>175</v>
      </c>
      <c r="W2484" s="13" t="s">
        <v>12065</v>
      </c>
      <c r="X2484" s="12"/>
      <c r="Y2484" s="14"/>
      <c r="Z2484" s="14"/>
    </row>
    <row r="2485">
      <c r="A2485" s="8" t="s">
        <v>12066</v>
      </c>
      <c r="B2485" s="8" t="s">
        <v>12067</v>
      </c>
      <c r="C2485" s="8" t="s">
        <v>64</v>
      </c>
      <c r="D2485" s="8" t="s">
        <v>26</v>
      </c>
      <c r="E2485" s="8" t="s">
        <v>12068</v>
      </c>
      <c r="F2485" s="8">
        <v>3.14584422E9</v>
      </c>
      <c r="G2485" s="8" t="s">
        <v>315</v>
      </c>
      <c r="H2485" s="8" t="s">
        <v>12015</v>
      </c>
      <c r="I2485" s="8" t="s">
        <v>31</v>
      </c>
      <c r="J2485" s="8" t="s">
        <v>438</v>
      </c>
      <c r="K2485" s="10" t="s">
        <v>10418</v>
      </c>
      <c r="L2485" s="8" t="s">
        <v>58</v>
      </c>
      <c r="M2485" s="8" t="s">
        <v>35</v>
      </c>
      <c r="N2485" s="11">
        <v>45096.0</v>
      </c>
      <c r="O2485" s="11">
        <v>45152.0</v>
      </c>
      <c r="P2485" s="11">
        <v>45194.0</v>
      </c>
      <c r="Q2485" s="11">
        <v>45153.0</v>
      </c>
      <c r="R2485" s="11">
        <v>45194.0</v>
      </c>
      <c r="S2485" s="12"/>
      <c r="T2485" s="8"/>
      <c r="U2485" s="8" t="s">
        <v>1038</v>
      </c>
      <c r="V2485" s="13" t="s">
        <v>12016</v>
      </c>
      <c r="W2485" s="13" t="s">
        <v>12069</v>
      </c>
      <c r="X2485" s="12"/>
      <c r="Y2485" s="14"/>
      <c r="Z2485" s="14"/>
    </row>
    <row r="2486">
      <c r="A2486" s="8" t="s">
        <v>12070</v>
      </c>
      <c r="B2486" s="8" t="s">
        <v>12071</v>
      </c>
      <c r="C2486" s="8" t="s">
        <v>179</v>
      </c>
      <c r="D2486" s="8" t="s">
        <v>26</v>
      </c>
      <c r="E2486" s="8" t="s">
        <v>12072</v>
      </c>
      <c r="F2486" s="8">
        <v>7.99274717E8</v>
      </c>
      <c r="G2486" s="8" t="s">
        <v>254</v>
      </c>
      <c r="H2486" s="8" t="s">
        <v>422</v>
      </c>
      <c r="I2486" s="8" t="s">
        <v>31</v>
      </c>
      <c r="J2486" s="8" t="s">
        <v>256</v>
      </c>
      <c r="K2486" s="10" t="s">
        <v>11531</v>
      </c>
      <c r="L2486" s="8" t="s">
        <v>47</v>
      </c>
      <c r="M2486" s="8" t="s">
        <v>70</v>
      </c>
      <c r="N2486" s="11">
        <v>45096.0</v>
      </c>
      <c r="O2486" s="11">
        <v>45108.0</v>
      </c>
      <c r="P2486" s="11">
        <v>45473.0</v>
      </c>
      <c r="Q2486" s="11"/>
      <c r="R2486" s="11"/>
      <c r="S2486" s="12"/>
      <c r="T2486" s="8"/>
      <c r="U2486" s="8" t="s">
        <v>246</v>
      </c>
      <c r="V2486" s="13" t="s">
        <v>38</v>
      </c>
      <c r="W2486" s="13" t="s">
        <v>12073</v>
      </c>
      <c r="X2486" s="12"/>
      <c r="Y2486" s="14"/>
      <c r="Z2486" s="14"/>
    </row>
    <row r="2487">
      <c r="A2487" s="8" t="s">
        <v>12074</v>
      </c>
      <c r="B2487" s="8" t="s">
        <v>12075</v>
      </c>
      <c r="C2487" s="8" t="s">
        <v>25</v>
      </c>
      <c r="D2487" s="8" t="s">
        <v>26</v>
      </c>
      <c r="E2487" s="8" t="s">
        <v>12076</v>
      </c>
      <c r="F2487" s="9" t="s">
        <v>12077</v>
      </c>
      <c r="G2487" s="8" t="s">
        <v>5008</v>
      </c>
      <c r="H2487" s="8" t="s">
        <v>12078</v>
      </c>
      <c r="I2487" s="8" t="s">
        <v>31</v>
      </c>
      <c r="J2487" s="8" t="s">
        <v>77</v>
      </c>
      <c r="K2487" s="10" t="s">
        <v>3879</v>
      </c>
      <c r="L2487" s="8" t="s">
        <v>58</v>
      </c>
      <c r="M2487" s="8" t="s">
        <v>35</v>
      </c>
      <c r="N2487" s="11">
        <v>45096.0</v>
      </c>
      <c r="O2487" s="11">
        <v>45201.0</v>
      </c>
      <c r="P2487" s="11">
        <v>45243.0</v>
      </c>
      <c r="Q2487" s="11">
        <v>45202.0</v>
      </c>
      <c r="R2487" s="11">
        <v>45243.0</v>
      </c>
      <c r="S2487" s="12"/>
      <c r="T2487" s="8"/>
      <c r="U2487" s="8" t="s">
        <v>59</v>
      </c>
      <c r="V2487" s="13" t="s">
        <v>12079</v>
      </c>
      <c r="W2487" s="13" t="s">
        <v>12080</v>
      </c>
      <c r="X2487" s="12"/>
      <c r="Y2487" s="14"/>
      <c r="Z2487" s="14"/>
    </row>
    <row r="2488">
      <c r="A2488" s="8" t="s">
        <v>12081</v>
      </c>
      <c r="B2488" s="8" t="s">
        <v>12082</v>
      </c>
      <c r="C2488" s="8" t="s">
        <v>25</v>
      </c>
      <c r="D2488" s="8" t="s">
        <v>26</v>
      </c>
      <c r="E2488" s="8" t="s">
        <v>12083</v>
      </c>
      <c r="F2488" s="8"/>
      <c r="G2488" s="8" t="s">
        <v>54</v>
      </c>
      <c r="H2488" s="8" t="s">
        <v>430</v>
      </c>
      <c r="I2488" s="8" t="s">
        <v>31</v>
      </c>
      <c r="J2488" s="8" t="s">
        <v>542</v>
      </c>
      <c r="K2488" s="10" t="s">
        <v>3383</v>
      </c>
      <c r="L2488" s="8" t="s">
        <v>58</v>
      </c>
      <c r="M2488" s="8" t="s">
        <v>35</v>
      </c>
      <c r="N2488" s="11">
        <v>45097.0</v>
      </c>
      <c r="O2488" s="11">
        <v>45110.0</v>
      </c>
      <c r="P2488" s="11">
        <v>45152.0</v>
      </c>
      <c r="Q2488" s="11">
        <v>45111.0</v>
      </c>
      <c r="R2488" s="11">
        <v>45152.0</v>
      </c>
      <c r="S2488" s="12"/>
      <c r="T2488" s="8"/>
      <c r="U2488" s="8" t="s">
        <v>59</v>
      </c>
      <c r="V2488" s="13" t="s">
        <v>38</v>
      </c>
      <c r="W2488" s="13" t="s">
        <v>12084</v>
      </c>
      <c r="X2488" s="12"/>
      <c r="Y2488" s="14"/>
      <c r="Z2488" s="14"/>
    </row>
    <row r="2489">
      <c r="A2489" s="8" t="s">
        <v>12085</v>
      </c>
      <c r="B2489" s="8" t="s">
        <v>12086</v>
      </c>
      <c r="C2489" s="8" t="s">
        <v>64</v>
      </c>
      <c r="D2489" s="8" t="s">
        <v>26</v>
      </c>
      <c r="E2489" s="8" t="s">
        <v>12087</v>
      </c>
      <c r="F2489" s="8">
        <v>6.03001324E8</v>
      </c>
      <c r="G2489" s="8" t="s">
        <v>407</v>
      </c>
      <c r="H2489" s="8" t="s">
        <v>408</v>
      </c>
      <c r="I2489" s="8" t="s">
        <v>31</v>
      </c>
      <c r="J2489" s="8" t="s">
        <v>542</v>
      </c>
      <c r="K2489" s="10" t="s">
        <v>6128</v>
      </c>
      <c r="L2489" s="8" t="s">
        <v>58</v>
      </c>
      <c r="M2489" s="8" t="s">
        <v>35</v>
      </c>
      <c r="N2489" s="11">
        <v>45097.0</v>
      </c>
      <c r="O2489" s="11">
        <v>45117.0</v>
      </c>
      <c r="P2489" s="11">
        <v>45159.0</v>
      </c>
      <c r="Q2489" s="11">
        <v>45116.0</v>
      </c>
      <c r="R2489" s="11">
        <v>45159.0</v>
      </c>
      <c r="S2489" s="12"/>
      <c r="T2489" s="8"/>
      <c r="U2489" s="8" t="s">
        <v>161</v>
      </c>
      <c r="V2489" s="13" t="s">
        <v>410</v>
      </c>
      <c r="W2489" s="13" t="s">
        <v>12088</v>
      </c>
      <c r="X2489" s="12"/>
      <c r="Y2489" s="14"/>
      <c r="Z2489" s="14"/>
    </row>
    <row r="2490">
      <c r="A2490" s="8" t="s">
        <v>12089</v>
      </c>
      <c r="B2490" s="8" t="s">
        <v>12090</v>
      </c>
      <c r="C2490" s="8" t="s">
        <v>25</v>
      </c>
      <c r="D2490" s="8" t="s">
        <v>26</v>
      </c>
      <c r="E2490" s="8" t="s">
        <v>12091</v>
      </c>
      <c r="F2490" s="8">
        <v>5.439371983E9</v>
      </c>
      <c r="G2490" s="8" t="s">
        <v>31</v>
      </c>
      <c r="H2490" s="8" t="s">
        <v>86</v>
      </c>
      <c r="I2490" s="8" t="s">
        <v>284</v>
      </c>
      <c r="J2490" s="8" t="s">
        <v>589</v>
      </c>
      <c r="K2490" s="10" t="s">
        <v>9155</v>
      </c>
      <c r="L2490" s="8" t="s">
        <v>58</v>
      </c>
      <c r="M2490" s="8" t="s">
        <v>35</v>
      </c>
      <c r="N2490" s="11">
        <v>45097.0</v>
      </c>
      <c r="O2490" s="11">
        <v>45116.0</v>
      </c>
      <c r="P2490" s="11">
        <v>45158.0</v>
      </c>
      <c r="Q2490" s="11">
        <v>45118.0</v>
      </c>
      <c r="R2490" s="11">
        <v>45158.0</v>
      </c>
      <c r="S2490" s="12"/>
      <c r="T2490" s="8"/>
      <c r="U2490" s="8" t="s">
        <v>632</v>
      </c>
      <c r="V2490" s="13" t="s">
        <v>175</v>
      </c>
      <c r="W2490" s="13" t="s">
        <v>12092</v>
      </c>
      <c r="X2490" s="12"/>
      <c r="Y2490" s="14"/>
      <c r="Z2490" s="14"/>
    </row>
    <row r="2491">
      <c r="A2491" s="8" t="s">
        <v>12093</v>
      </c>
      <c r="B2491" s="8" t="s">
        <v>12094</v>
      </c>
      <c r="C2491" s="8" t="s">
        <v>708</v>
      </c>
      <c r="D2491" s="8" t="s">
        <v>26</v>
      </c>
      <c r="E2491" s="8" t="s">
        <v>12095</v>
      </c>
      <c r="F2491" s="8"/>
      <c r="G2491" s="8" t="s">
        <v>54</v>
      </c>
      <c r="H2491" s="8" t="s">
        <v>55</v>
      </c>
      <c r="I2491" s="8" t="s">
        <v>31</v>
      </c>
      <c r="J2491" s="8" t="s">
        <v>542</v>
      </c>
      <c r="K2491" s="10" t="s">
        <v>5473</v>
      </c>
      <c r="L2491" s="8" t="s">
        <v>47</v>
      </c>
      <c r="M2491" s="8" t="s">
        <v>70</v>
      </c>
      <c r="N2491" s="11">
        <v>45097.0</v>
      </c>
      <c r="O2491" s="11">
        <v>45153.0</v>
      </c>
      <c r="P2491" s="11">
        <v>45513.0</v>
      </c>
      <c r="Q2491" s="11">
        <v>45158.0</v>
      </c>
      <c r="R2491" s="11">
        <v>45523.0</v>
      </c>
      <c r="S2491" s="12"/>
      <c r="T2491" s="8" t="s">
        <v>121</v>
      </c>
      <c r="U2491" s="8" t="s">
        <v>5474</v>
      </c>
      <c r="V2491" s="13" t="s">
        <v>38</v>
      </c>
      <c r="W2491" s="13" t="s">
        <v>12096</v>
      </c>
      <c r="X2491" s="12"/>
      <c r="Y2491" s="14"/>
      <c r="Z2491" s="14"/>
    </row>
    <row r="2492">
      <c r="A2492" s="8" t="s">
        <v>12097</v>
      </c>
      <c r="B2492" s="8" t="s">
        <v>12098</v>
      </c>
      <c r="C2492" s="8" t="s">
        <v>251</v>
      </c>
      <c r="D2492" s="8" t="s">
        <v>26</v>
      </c>
      <c r="E2492" s="8" t="s">
        <v>12099</v>
      </c>
      <c r="F2492" s="8"/>
      <c r="G2492" s="8" t="s">
        <v>284</v>
      </c>
      <c r="H2492" s="8" t="s">
        <v>589</v>
      </c>
      <c r="I2492" s="8" t="s">
        <v>31</v>
      </c>
      <c r="J2492" s="8" t="s">
        <v>438</v>
      </c>
      <c r="K2492" s="10" t="s">
        <v>12100</v>
      </c>
      <c r="L2492" s="8" t="s">
        <v>47</v>
      </c>
      <c r="M2492" s="8" t="s">
        <v>70</v>
      </c>
      <c r="N2492" s="11">
        <v>45097.0</v>
      </c>
      <c r="O2492" s="11">
        <v>45153.0</v>
      </c>
      <c r="P2492" s="11">
        <v>45517.0</v>
      </c>
      <c r="Q2492" s="11"/>
      <c r="R2492" s="11"/>
      <c r="S2492" s="12"/>
      <c r="T2492" s="8"/>
      <c r="U2492" s="8" t="s">
        <v>12101</v>
      </c>
      <c r="V2492" s="13" t="s">
        <v>38</v>
      </c>
      <c r="W2492" s="13" t="s">
        <v>12102</v>
      </c>
      <c r="X2492" s="12"/>
      <c r="Y2492" s="14"/>
      <c r="Z2492" s="14"/>
    </row>
    <row r="2493">
      <c r="A2493" s="8" t="s">
        <v>12103</v>
      </c>
      <c r="B2493" s="8" t="s">
        <v>12104</v>
      </c>
      <c r="C2493" s="8" t="s">
        <v>25</v>
      </c>
      <c r="D2493" s="8" t="s">
        <v>26</v>
      </c>
      <c r="E2493" s="8" t="s">
        <v>12105</v>
      </c>
      <c r="F2493" s="8"/>
      <c r="G2493" s="8" t="s">
        <v>31</v>
      </c>
      <c r="H2493" s="8" t="s">
        <v>438</v>
      </c>
      <c r="I2493" s="8" t="s">
        <v>284</v>
      </c>
      <c r="J2493" s="8" t="s">
        <v>285</v>
      </c>
      <c r="K2493" s="10" t="s">
        <v>3841</v>
      </c>
      <c r="L2493" s="8" t="s">
        <v>58</v>
      </c>
      <c r="M2493" s="8" t="s">
        <v>35</v>
      </c>
      <c r="N2493" s="11">
        <v>45097.0</v>
      </c>
      <c r="O2493" s="11">
        <v>45139.0</v>
      </c>
      <c r="P2493" s="11">
        <v>45181.0</v>
      </c>
      <c r="Q2493" s="11">
        <v>45140.0</v>
      </c>
      <c r="R2493" s="11">
        <v>45181.0</v>
      </c>
      <c r="S2493" s="12"/>
      <c r="T2493" s="8"/>
      <c r="U2493" s="8" t="s">
        <v>1038</v>
      </c>
      <c r="V2493" s="13" t="s">
        <v>38</v>
      </c>
      <c r="W2493" s="13" t="s">
        <v>12106</v>
      </c>
      <c r="X2493" s="12"/>
      <c r="Y2493" s="14"/>
      <c r="Z2493" s="14"/>
    </row>
    <row r="2494">
      <c r="A2494" s="8" t="s">
        <v>12107</v>
      </c>
      <c r="B2494" s="8" t="s">
        <v>5080</v>
      </c>
      <c r="C2494" s="8" t="s">
        <v>25</v>
      </c>
      <c r="D2494" s="8" t="s">
        <v>26</v>
      </c>
      <c r="E2494" s="8" t="s">
        <v>12108</v>
      </c>
      <c r="F2494" s="8">
        <v>5.060345234E9</v>
      </c>
      <c r="G2494" s="8" t="s">
        <v>31</v>
      </c>
      <c r="H2494" s="8" t="s">
        <v>77</v>
      </c>
      <c r="I2494" s="8" t="s">
        <v>44</v>
      </c>
      <c r="J2494" s="8" t="s">
        <v>1993</v>
      </c>
      <c r="K2494" s="10" t="s">
        <v>2299</v>
      </c>
      <c r="L2494" s="8" t="s">
        <v>58</v>
      </c>
      <c r="M2494" s="8" t="s">
        <v>35</v>
      </c>
      <c r="N2494" s="11">
        <v>45097.0</v>
      </c>
      <c r="O2494" s="11">
        <v>45114.0</v>
      </c>
      <c r="P2494" s="11">
        <v>45156.0</v>
      </c>
      <c r="Q2494" s="11">
        <v>45115.0</v>
      </c>
      <c r="R2494" s="11">
        <v>45156.0</v>
      </c>
      <c r="S2494" s="12"/>
      <c r="T2494" s="8"/>
      <c r="U2494" s="8" t="s">
        <v>371</v>
      </c>
      <c r="V2494" s="13" t="s">
        <v>77</v>
      </c>
      <c r="W2494" s="13" t="s">
        <v>12109</v>
      </c>
      <c r="X2494" s="12"/>
      <c r="Y2494" s="14"/>
      <c r="Z2494" s="14"/>
    </row>
    <row r="2495">
      <c r="A2495" s="8" t="s">
        <v>12110</v>
      </c>
      <c r="B2495" s="8" t="s">
        <v>12111</v>
      </c>
      <c r="C2495" s="8" t="s">
        <v>25</v>
      </c>
      <c r="D2495" s="8" t="s">
        <v>26</v>
      </c>
      <c r="E2495" s="8" t="s">
        <v>12112</v>
      </c>
      <c r="F2495" s="8">
        <v>2.1525339E7</v>
      </c>
      <c r="G2495" s="8" t="s">
        <v>54</v>
      </c>
      <c r="H2495" s="8" t="s">
        <v>430</v>
      </c>
      <c r="I2495" s="8" t="s">
        <v>31</v>
      </c>
      <c r="J2495" s="8" t="s">
        <v>256</v>
      </c>
      <c r="K2495" s="10" t="s">
        <v>3411</v>
      </c>
      <c r="L2495" s="8" t="s">
        <v>58</v>
      </c>
      <c r="M2495" s="8" t="s">
        <v>35</v>
      </c>
      <c r="N2495" s="11">
        <v>45097.0</v>
      </c>
      <c r="O2495" s="11">
        <v>45141.0</v>
      </c>
      <c r="P2495" s="11">
        <v>45183.0</v>
      </c>
      <c r="Q2495" s="11">
        <v>45147.0</v>
      </c>
      <c r="R2495" s="11">
        <v>45188.0</v>
      </c>
      <c r="S2495" s="12"/>
      <c r="T2495" s="8"/>
      <c r="U2495" s="8" t="s">
        <v>59</v>
      </c>
      <c r="V2495" s="13" t="s">
        <v>4780</v>
      </c>
      <c r="W2495" s="13" t="s">
        <v>12113</v>
      </c>
      <c r="X2495" s="12"/>
      <c r="Y2495" s="14"/>
      <c r="Z2495" s="14"/>
    </row>
    <row r="2496">
      <c r="A2496" s="8" t="s">
        <v>12114</v>
      </c>
      <c r="B2496" s="8" t="s">
        <v>12115</v>
      </c>
      <c r="C2496" s="8" t="s">
        <v>64</v>
      </c>
      <c r="D2496" s="8" t="s">
        <v>26</v>
      </c>
      <c r="E2496" s="8" t="s">
        <v>12116</v>
      </c>
      <c r="F2496" s="8">
        <v>5.387268275E9</v>
      </c>
      <c r="G2496" s="8" t="s">
        <v>31</v>
      </c>
      <c r="H2496" s="8" t="s">
        <v>438</v>
      </c>
      <c r="I2496" s="8" t="s">
        <v>284</v>
      </c>
      <c r="J2496" s="8" t="s">
        <v>285</v>
      </c>
      <c r="K2496" s="10" t="s">
        <v>3841</v>
      </c>
      <c r="L2496" s="8" t="s">
        <v>58</v>
      </c>
      <c r="M2496" s="8" t="s">
        <v>35</v>
      </c>
      <c r="N2496" s="11">
        <v>45097.0</v>
      </c>
      <c r="O2496" s="11">
        <v>45108.0</v>
      </c>
      <c r="P2496" s="11">
        <v>45150.0</v>
      </c>
      <c r="Q2496" s="11">
        <v>45123.0</v>
      </c>
      <c r="R2496" s="11">
        <v>45163.0</v>
      </c>
      <c r="S2496" s="12"/>
      <c r="T2496" s="8"/>
      <c r="U2496" s="8" t="s">
        <v>1038</v>
      </c>
      <c r="V2496" s="13" t="s">
        <v>438</v>
      </c>
      <c r="W2496" s="13" t="s">
        <v>12117</v>
      </c>
      <c r="X2496" s="12"/>
      <c r="Y2496" s="14"/>
      <c r="Z2496" s="14"/>
    </row>
    <row r="2497">
      <c r="A2497" s="8" t="s">
        <v>12118</v>
      </c>
      <c r="B2497" s="8" t="s">
        <v>12119</v>
      </c>
      <c r="C2497" s="8" t="s">
        <v>64</v>
      </c>
      <c r="D2497" s="8" t="s">
        <v>26</v>
      </c>
      <c r="E2497" s="8" t="s">
        <v>12120</v>
      </c>
      <c r="F2497" s="8">
        <v>7.95959753E8</v>
      </c>
      <c r="G2497" s="8" t="s">
        <v>254</v>
      </c>
      <c r="H2497" s="8" t="s">
        <v>1484</v>
      </c>
      <c r="I2497" s="8" t="s">
        <v>31</v>
      </c>
      <c r="J2497" s="8" t="s">
        <v>292</v>
      </c>
      <c r="K2497" s="10" t="s">
        <v>11710</v>
      </c>
      <c r="L2497" s="8" t="s">
        <v>58</v>
      </c>
      <c r="M2497" s="8" t="s">
        <v>35</v>
      </c>
      <c r="N2497" s="11">
        <v>45097.0</v>
      </c>
      <c r="O2497" s="11">
        <v>45110.0</v>
      </c>
      <c r="P2497" s="11">
        <v>45152.0</v>
      </c>
      <c r="Q2497" s="11">
        <v>45121.0</v>
      </c>
      <c r="R2497" s="11">
        <v>45163.0</v>
      </c>
      <c r="S2497" s="12"/>
      <c r="T2497" s="8"/>
      <c r="U2497" s="8" t="s">
        <v>88</v>
      </c>
      <c r="V2497" s="13" t="s">
        <v>1487</v>
      </c>
      <c r="W2497" s="13" t="s">
        <v>12121</v>
      </c>
      <c r="X2497" s="12"/>
      <c r="Y2497" s="14"/>
      <c r="Z2497" s="14"/>
    </row>
    <row r="2498">
      <c r="A2498" s="8" t="s">
        <v>12122</v>
      </c>
      <c r="B2498" s="8" t="s">
        <v>12123</v>
      </c>
      <c r="C2498" s="8" t="s">
        <v>179</v>
      </c>
      <c r="D2498" s="8" t="s">
        <v>26</v>
      </c>
      <c r="E2498" s="8" t="s">
        <v>12124</v>
      </c>
      <c r="F2498" s="8">
        <v>5.31025046E9</v>
      </c>
      <c r="G2498" s="8" t="s">
        <v>31</v>
      </c>
      <c r="H2498" s="8" t="s">
        <v>32</v>
      </c>
      <c r="I2498" s="8" t="s">
        <v>29</v>
      </c>
      <c r="J2498" s="8" t="s">
        <v>2448</v>
      </c>
      <c r="K2498" s="10" t="s">
        <v>10882</v>
      </c>
      <c r="L2498" s="8" t="s">
        <v>58</v>
      </c>
      <c r="M2498" s="8" t="s">
        <v>35</v>
      </c>
      <c r="N2498" s="11">
        <v>45097.0</v>
      </c>
      <c r="O2498" s="11">
        <v>45159.0</v>
      </c>
      <c r="P2498" s="11">
        <v>45201.0</v>
      </c>
      <c r="Q2498" s="11"/>
      <c r="R2498" s="11"/>
      <c r="S2498" s="12"/>
      <c r="T2498" s="8"/>
      <c r="U2498" s="8" t="s">
        <v>130</v>
      </c>
      <c r="V2498" s="13" t="s">
        <v>537</v>
      </c>
      <c r="W2498" s="13" t="s">
        <v>12125</v>
      </c>
      <c r="X2498" s="12"/>
      <c r="Y2498" s="14"/>
      <c r="Z2498" s="14"/>
    </row>
    <row r="2499">
      <c r="A2499" s="8" t="s">
        <v>12126</v>
      </c>
      <c r="B2499" s="8" t="s">
        <v>12127</v>
      </c>
      <c r="C2499" s="8" t="s">
        <v>25</v>
      </c>
      <c r="D2499" s="8" t="s">
        <v>26</v>
      </c>
      <c r="E2499" s="8" t="s">
        <v>12128</v>
      </c>
      <c r="F2499" s="8">
        <v>5.461350733E9</v>
      </c>
      <c r="G2499" s="8" t="s">
        <v>31</v>
      </c>
      <c r="H2499" s="8" t="s">
        <v>256</v>
      </c>
      <c r="I2499" s="8" t="s">
        <v>127</v>
      </c>
      <c r="J2499" s="8" t="s">
        <v>363</v>
      </c>
      <c r="K2499" s="10" t="s">
        <v>11623</v>
      </c>
      <c r="L2499" s="8" t="s">
        <v>58</v>
      </c>
      <c r="M2499" s="8" t="s">
        <v>35</v>
      </c>
      <c r="N2499" s="11">
        <v>45097.0</v>
      </c>
      <c r="O2499" s="11">
        <v>45139.0</v>
      </c>
      <c r="P2499" s="11">
        <v>45181.0</v>
      </c>
      <c r="Q2499" s="11">
        <v>45139.0</v>
      </c>
      <c r="R2499" s="11">
        <v>45181.0</v>
      </c>
      <c r="S2499" s="12"/>
      <c r="T2499" s="8"/>
      <c r="U2499" s="8" t="s">
        <v>185</v>
      </c>
      <c r="V2499" s="13" t="s">
        <v>256</v>
      </c>
      <c r="W2499" s="13" t="s">
        <v>12129</v>
      </c>
      <c r="X2499" s="12"/>
      <c r="Y2499" s="14"/>
      <c r="Z2499" s="14"/>
    </row>
    <row r="2500">
      <c r="A2500" s="8" t="s">
        <v>12130</v>
      </c>
      <c r="B2500" s="8" t="s">
        <v>12131</v>
      </c>
      <c r="C2500" s="8" t="s">
        <v>179</v>
      </c>
      <c r="D2500" s="8" t="s">
        <v>26</v>
      </c>
      <c r="E2500" s="8" t="s">
        <v>12132</v>
      </c>
      <c r="F2500" s="8">
        <v>7.74980864E8</v>
      </c>
      <c r="G2500" s="8" t="s">
        <v>399</v>
      </c>
      <c r="H2500" s="8" t="s">
        <v>3797</v>
      </c>
      <c r="I2500" s="8" t="s">
        <v>31</v>
      </c>
      <c r="J2500" s="8" t="s">
        <v>43</v>
      </c>
      <c r="K2500" s="10" t="s">
        <v>10896</v>
      </c>
      <c r="L2500" s="8" t="s">
        <v>47</v>
      </c>
      <c r="M2500" s="8" t="s">
        <v>70</v>
      </c>
      <c r="N2500" s="11">
        <v>45097.0</v>
      </c>
      <c r="O2500" s="11">
        <v>45153.0</v>
      </c>
      <c r="P2500" s="11">
        <v>45474.0</v>
      </c>
      <c r="Q2500" s="11"/>
      <c r="R2500" s="11"/>
      <c r="S2500" s="12"/>
      <c r="T2500" s="8"/>
      <c r="U2500" s="8" t="s">
        <v>10897</v>
      </c>
      <c r="V2500" s="13" t="s">
        <v>3799</v>
      </c>
      <c r="W2500" s="13" t="s">
        <v>12133</v>
      </c>
      <c r="X2500" s="12"/>
      <c r="Y2500" s="14"/>
      <c r="Z2500" s="14"/>
    </row>
    <row r="2501">
      <c r="A2501" s="8" t="s">
        <v>12134</v>
      </c>
      <c r="B2501" s="8" t="s">
        <v>12135</v>
      </c>
      <c r="C2501" s="8" t="s">
        <v>251</v>
      </c>
      <c r="D2501" s="8" t="s">
        <v>26</v>
      </c>
      <c r="E2501" s="8" t="s">
        <v>12136</v>
      </c>
      <c r="F2501" s="8">
        <v>1.008308275E9</v>
      </c>
      <c r="G2501" s="8" t="s">
        <v>284</v>
      </c>
      <c r="H2501" s="8" t="s">
        <v>673</v>
      </c>
      <c r="I2501" s="8" t="s">
        <v>31</v>
      </c>
      <c r="J2501" s="8" t="s">
        <v>77</v>
      </c>
      <c r="K2501" s="10" t="s">
        <v>12137</v>
      </c>
      <c r="L2501" s="8" t="s">
        <v>47</v>
      </c>
      <c r="M2501" s="8" t="s">
        <v>70</v>
      </c>
      <c r="N2501" s="11">
        <v>45098.0</v>
      </c>
      <c r="O2501" s="11">
        <v>45173.0</v>
      </c>
      <c r="P2501" s="11">
        <v>45471.0</v>
      </c>
      <c r="Q2501" s="11"/>
      <c r="R2501" s="11"/>
      <c r="S2501" s="12"/>
      <c r="T2501" s="8"/>
      <c r="U2501" s="8" t="s">
        <v>12138</v>
      </c>
      <c r="V2501" s="13" t="s">
        <v>38</v>
      </c>
      <c r="W2501" s="13" t="s">
        <v>12139</v>
      </c>
      <c r="X2501" s="12"/>
      <c r="Y2501" s="14"/>
      <c r="Z2501" s="14"/>
    </row>
    <row r="2502">
      <c r="A2502" s="8" t="s">
        <v>12140</v>
      </c>
      <c r="B2502" s="8" t="s">
        <v>7746</v>
      </c>
      <c r="C2502" s="8" t="s">
        <v>179</v>
      </c>
      <c r="D2502" s="8" t="s">
        <v>26</v>
      </c>
      <c r="E2502" s="8" t="s">
        <v>7747</v>
      </c>
      <c r="F2502" s="8">
        <v>3.03301117E9</v>
      </c>
      <c r="G2502" s="8" t="s">
        <v>315</v>
      </c>
      <c r="H2502" s="8" t="s">
        <v>6834</v>
      </c>
      <c r="I2502" s="8" t="s">
        <v>31</v>
      </c>
      <c r="J2502" s="8" t="s">
        <v>256</v>
      </c>
      <c r="K2502" s="10" t="s">
        <v>10689</v>
      </c>
      <c r="L2502" s="8" t="s">
        <v>58</v>
      </c>
      <c r="M2502" s="8" t="s">
        <v>35</v>
      </c>
      <c r="N2502" s="11">
        <v>45098.0</v>
      </c>
      <c r="O2502" s="11">
        <v>45124.0</v>
      </c>
      <c r="P2502" s="11">
        <v>45166.0</v>
      </c>
      <c r="Q2502" s="11"/>
      <c r="R2502" s="11"/>
      <c r="S2502" s="12"/>
      <c r="T2502" s="8"/>
      <c r="U2502" s="8" t="s">
        <v>59</v>
      </c>
      <c r="V2502" s="13" t="s">
        <v>6835</v>
      </c>
      <c r="W2502" s="13" t="s">
        <v>7748</v>
      </c>
      <c r="X2502" s="12"/>
      <c r="Y2502" s="14"/>
      <c r="Z2502" s="14"/>
    </row>
    <row r="2503">
      <c r="A2503" s="8" t="s">
        <v>12141</v>
      </c>
      <c r="B2503" s="8" t="s">
        <v>12142</v>
      </c>
      <c r="C2503" s="8" t="s">
        <v>179</v>
      </c>
      <c r="D2503" s="8" t="s">
        <v>26</v>
      </c>
      <c r="E2503" s="8" t="s">
        <v>12143</v>
      </c>
      <c r="F2503" s="8">
        <v>7.92694784E8</v>
      </c>
      <c r="G2503" s="8" t="s">
        <v>254</v>
      </c>
      <c r="H2503" s="8" t="s">
        <v>422</v>
      </c>
      <c r="I2503" s="8" t="s">
        <v>31</v>
      </c>
      <c r="J2503" s="8" t="s">
        <v>56</v>
      </c>
      <c r="K2503" s="10" t="s">
        <v>9756</v>
      </c>
      <c r="L2503" s="8" t="s">
        <v>58</v>
      </c>
      <c r="M2503" s="8" t="s">
        <v>35</v>
      </c>
      <c r="N2503" s="11">
        <v>45098.0</v>
      </c>
      <c r="O2503" s="11">
        <v>45110.0</v>
      </c>
      <c r="P2503" s="11">
        <v>45152.0</v>
      </c>
      <c r="Q2503" s="11"/>
      <c r="R2503" s="11"/>
      <c r="S2503" s="12"/>
      <c r="T2503" s="8"/>
      <c r="U2503" s="8" t="s">
        <v>59</v>
      </c>
      <c r="V2503" s="13" t="s">
        <v>425</v>
      </c>
      <c r="W2503" s="13" t="s">
        <v>12144</v>
      </c>
      <c r="X2503" s="12"/>
      <c r="Y2503" s="14"/>
      <c r="Z2503" s="14"/>
    </row>
    <row r="2504">
      <c r="A2504" s="8" t="s">
        <v>12145</v>
      </c>
      <c r="B2504" s="8" t="s">
        <v>12146</v>
      </c>
      <c r="C2504" s="8" t="s">
        <v>25</v>
      </c>
      <c r="D2504" s="8" t="s">
        <v>26</v>
      </c>
      <c r="E2504" s="8" t="s">
        <v>12147</v>
      </c>
      <c r="F2504" s="8">
        <v>5.353089943E9</v>
      </c>
      <c r="G2504" s="8" t="s">
        <v>31</v>
      </c>
      <c r="H2504" s="8" t="s">
        <v>270</v>
      </c>
      <c r="I2504" s="8" t="s">
        <v>54</v>
      </c>
      <c r="J2504" s="8" t="s">
        <v>430</v>
      </c>
      <c r="K2504" s="10" t="s">
        <v>6053</v>
      </c>
      <c r="L2504" s="8" t="s">
        <v>58</v>
      </c>
      <c r="M2504" s="8" t="s">
        <v>35</v>
      </c>
      <c r="N2504" s="11">
        <v>45098.0</v>
      </c>
      <c r="O2504" s="11">
        <v>45120.0</v>
      </c>
      <c r="P2504" s="11">
        <v>45164.0</v>
      </c>
      <c r="Q2504" s="11">
        <v>45120.0</v>
      </c>
      <c r="R2504" s="11">
        <v>45164.0</v>
      </c>
      <c r="S2504" s="12"/>
      <c r="T2504" s="8"/>
      <c r="U2504" s="8" t="s">
        <v>1038</v>
      </c>
      <c r="V2504" s="13" t="s">
        <v>1032</v>
      </c>
      <c r="W2504" s="13" t="s">
        <v>12148</v>
      </c>
      <c r="X2504" s="12"/>
      <c r="Y2504" s="14"/>
      <c r="Z2504" s="14"/>
    </row>
    <row r="2505">
      <c r="A2505" s="8" t="s">
        <v>12149</v>
      </c>
      <c r="B2505" s="8" t="s">
        <v>9414</v>
      </c>
      <c r="C2505" s="8" t="s">
        <v>25</v>
      </c>
      <c r="D2505" s="8" t="s">
        <v>26</v>
      </c>
      <c r="E2505" s="8" t="s">
        <v>9415</v>
      </c>
      <c r="F2505" s="8"/>
      <c r="G2505" s="8" t="s">
        <v>31</v>
      </c>
      <c r="H2505" s="8" t="s">
        <v>56</v>
      </c>
      <c r="I2505" s="8" t="s">
        <v>44</v>
      </c>
      <c r="J2505" s="8" t="s">
        <v>1993</v>
      </c>
      <c r="K2505" s="10" t="s">
        <v>2982</v>
      </c>
      <c r="L2505" s="8" t="s">
        <v>58</v>
      </c>
      <c r="M2505" s="8" t="s">
        <v>35</v>
      </c>
      <c r="N2505" s="11">
        <v>45098.0</v>
      </c>
      <c r="O2505" s="11">
        <v>45157.0</v>
      </c>
      <c r="P2505" s="11">
        <v>45199.0</v>
      </c>
      <c r="Q2505" s="11">
        <v>45158.0</v>
      </c>
      <c r="R2505" s="11">
        <v>45199.0</v>
      </c>
      <c r="S2505" s="12"/>
      <c r="T2505" s="8"/>
      <c r="U2505" s="8" t="s">
        <v>371</v>
      </c>
      <c r="V2505" s="13" t="s">
        <v>38</v>
      </c>
      <c r="W2505" s="13" t="s">
        <v>9417</v>
      </c>
      <c r="X2505" s="12"/>
      <c r="Y2505" s="14"/>
      <c r="Z2505" s="14"/>
    </row>
    <row r="2506">
      <c r="A2506" s="8" t="s">
        <v>12150</v>
      </c>
      <c r="B2506" s="8" t="s">
        <v>12151</v>
      </c>
      <c r="C2506" s="8" t="s">
        <v>25</v>
      </c>
      <c r="D2506" s="8" t="s">
        <v>26</v>
      </c>
      <c r="E2506" s="8" t="s">
        <v>12152</v>
      </c>
      <c r="F2506" s="8">
        <v>6.98061193E9</v>
      </c>
      <c r="G2506" s="8" t="s">
        <v>143</v>
      </c>
      <c r="H2506" s="8" t="s">
        <v>12153</v>
      </c>
      <c r="I2506" s="8" t="s">
        <v>31</v>
      </c>
      <c r="J2506" s="8" t="s">
        <v>32</v>
      </c>
      <c r="K2506" s="10" t="s">
        <v>10781</v>
      </c>
      <c r="L2506" s="8" t="s">
        <v>58</v>
      </c>
      <c r="M2506" s="8" t="s">
        <v>35</v>
      </c>
      <c r="N2506" s="11">
        <v>45098.0</v>
      </c>
      <c r="O2506" s="11">
        <v>45194.0</v>
      </c>
      <c r="P2506" s="11">
        <v>45236.0</v>
      </c>
      <c r="Q2506" s="11">
        <v>45196.0</v>
      </c>
      <c r="R2506" s="11">
        <v>45238.0</v>
      </c>
      <c r="S2506" s="12"/>
      <c r="T2506" s="8"/>
      <c r="U2506" s="8" t="s">
        <v>161</v>
      </c>
      <c r="V2506" s="13" t="s">
        <v>38</v>
      </c>
      <c r="W2506" s="13" t="s">
        <v>12154</v>
      </c>
      <c r="X2506" s="12"/>
      <c r="Y2506" s="14"/>
      <c r="Z2506" s="14"/>
    </row>
    <row r="2507">
      <c r="A2507" s="8" t="s">
        <v>12155</v>
      </c>
      <c r="B2507" s="8" t="s">
        <v>12156</v>
      </c>
      <c r="C2507" s="8" t="s">
        <v>64</v>
      </c>
      <c r="D2507" s="8" t="s">
        <v>26</v>
      </c>
      <c r="E2507" s="8" t="s">
        <v>12157</v>
      </c>
      <c r="F2507" s="8">
        <v>5.13332104E8</v>
      </c>
      <c r="G2507" s="8" t="s">
        <v>277</v>
      </c>
      <c r="H2507" s="8" t="s">
        <v>607</v>
      </c>
      <c r="I2507" s="8" t="s">
        <v>31</v>
      </c>
      <c r="J2507" s="8" t="s">
        <v>32</v>
      </c>
      <c r="K2507" s="10" t="s">
        <v>8474</v>
      </c>
      <c r="L2507" s="8" t="s">
        <v>58</v>
      </c>
      <c r="M2507" s="8" t="s">
        <v>35</v>
      </c>
      <c r="N2507" s="11">
        <v>45098.0</v>
      </c>
      <c r="O2507" s="11">
        <v>45138.0</v>
      </c>
      <c r="P2507" s="11">
        <v>45180.0</v>
      </c>
      <c r="Q2507" s="11">
        <v>45138.0</v>
      </c>
      <c r="R2507" s="11">
        <v>45180.0</v>
      </c>
      <c r="S2507" s="12"/>
      <c r="T2507" s="8"/>
      <c r="U2507" s="8" t="s">
        <v>59</v>
      </c>
      <c r="V2507" s="13" t="s">
        <v>5537</v>
      </c>
      <c r="W2507" s="13" t="s">
        <v>12158</v>
      </c>
      <c r="X2507" s="12"/>
      <c r="Y2507" s="14"/>
      <c r="Z2507" s="14"/>
    </row>
    <row r="2508">
      <c r="A2508" s="8" t="s">
        <v>12159</v>
      </c>
      <c r="B2508" s="8" t="s">
        <v>12160</v>
      </c>
      <c r="C2508" s="8" t="s">
        <v>25</v>
      </c>
      <c r="D2508" s="8" t="s">
        <v>26</v>
      </c>
      <c r="E2508" s="8" t="s">
        <v>12161</v>
      </c>
      <c r="F2508" s="8"/>
      <c r="G2508" s="8" t="s">
        <v>277</v>
      </c>
      <c r="H2508" s="8" t="s">
        <v>607</v>
      </c>
      <c r="I2508" s="8" t="s">
        <v>31</v>
      </c>
      <c r="J2508" s="8" t="s">
        <v>167</v>
      </c>
      <c r="K2508" s="10" t="s">
        <v>5849</v>
      </c>
      <c r="L2508" s="8" t="s">
        <v>58</v>
      </c>
      <c r="M2508" s="8" t="s">
        <v>35</v>
      </c>
      <c r="N2508" s="11">
        <v>45098.0</v>
      </c>
      <c r="O2508" s="11">
        <v>45124.0</v>
      </c>
      <c r="P2508" s="11">
        <v>45166.0</v>
      </c>
      <c r="Q2508" s="11">
        <v>45124.0</v>
      </c>
      <c r="R2508" s="11">
        <v>45166.0</v>
      </c>
      <c r="S2508" s="12"/>
      <c r="T2508" s="8"/>
      <c r="U2508" s="8" t="s">
        <v>59</v>
      </c>
      <c r="V2508" s="13" t="s">
        <v>38</v>
      </c>
      <c r="W2508" s="13" t="s">
        <v>12162</v>
      </c>
      <c r="X2508" s="12"/>
      <c r="Y2508" s="14"/>
      <c r="Z2508" s="14"/>
    </row>
    <row r="2509">
      <c r="A2509" s="8" t="s">
        <v>12163</v>
      </c>
      <c r="B2509" s="8" t="s">
        <v>12164</v>
      </c>
      <c r="C2509" s="8" t="s">
        <v>179</v>
      </c>
      <c r="D2509" s="8" t="s">
        <v>26</v>
      </c>
      <c r="E2509" s="8" t="s">
        <v>12165</v>
      </c>
      <c r="F2509" s="8">
        <v>5.456977095E9</v>
      </c>
      <c r="G2509" s="8" t="s">
        <v>31</v>
      </c>
      <c r="H2509" s="8" t="s">
        <v>292</v>
      </c>
      <c r="I2509" s="8" t="s">
        <v>399</v>
      </c>
      <c r="J2509" s="8" t="s">
        <v>1381</v>
      </c>
      <c r="K2509" s="10" t="s">
        <v>4261</v>
      </c>
      <c r="L2509" s="8" t="s">
        <v>58</v>
      </c>
      <c r="M2509" s="8" t="s">
        <v>35</v>
      </c>
      <c r="N2509" s="11">
        <v>45098.0</v>
      </c>
      <c r="O2509" s="11">
        <v>45138.0</v>
      </c>
      <c r="P2509" s="11">
        <v>45180.0</v>
      </c>
      <c r="Q2509" s="11"/>
      <c r="R2509" s="11"/>
      <c r="S2509" s="12"/>
      <c r="T2509" s="8"/>
      <c r="U2509" s="8" t="s">
        <v>402</v>
      </c>
      <c r="V2509" s="13" t="s">
        <v>292</v>
      </c>
      <c r="W2509" s="13" t="s">
        <v>12166</v>
      </c>
      <c r="X2509" s="12"/>
      <c r="Y2509" s="14"/>
      <c r="Z2509" s="14"/>
    </row>
    <row r="2510">
      <c r="A2510" s="8" t="s">
        <v>12167</v>
      </c>
      <c r="B2510" s="8" t="s">
        <v>12168</v>
      </c>
      <c r="C2510" s="8" t="s">
        <v>25</v>
      </c>
      <c r="D2510" s="8" t="s">
        <v>26</v>
      </c>
      <c r="E2510" s="8" t="s">
        <v>12169</v>
      </c>
      <c r="F2510" s="8">
        <v>5.061033763E9</v>
      </c>
      <c r="G2510" s="8" t="s">
        <v>31</v>
      </c>
      <c r="H2510" s="8" t="s">
        <v>111</v>
      </c>
      <c r="I2510" s="8" t="s">
        <v>127</v>
      </c>
      <c r="J2510" s="8" t="s">
        <v>3542</v>
      </c>
      <c r="K2510" s="10" t="s">
        <v>5468</v>
      </c>
      <c r="L2510" s="8" t="s">
        <v>58</v>
      </c>
      <c r="M2510" s="8" t="s">
        <v>35</v>
      </c>
      <c r="N2510" s="11">
        <v>45098.0</v>
      </c>
      <c r="O2510" s="11">
        <v>45096.0</v>
      </c>
      <c r="P2510" s="11">
        <v>45149.0</v>
      </c>
      <c r="Q2510" s="11">
        <v>45103.0</v>
      </c>
      <c r="R2510" s="11">
        <v>45156.0</v>
      </c>
      <c r="S2510" s="12"/>
      <c r="T2510" s="8"/>
      <c r="U2510" s="8" t="s">
        <v>59</v>
      </c>
      <c r="V2510" s="13" t="s">
        <v>136</v>
      </c>
      <c r="W2510" s="13" t="s">
        <v>12170</v>
      </c>
      <c r="X2510" s="12"/>
      <c r="Y2510" s="14"/>
      <c r="Z2510" s="14"/>
    </row>
    <row r="2511">
      <c r="A2511" s="8" t="s">
        <v>12171</v>
      </c>
      <c r="B2511" s="8" t="s">
        <v>12172</v>
      </c>
      <c r="C2511" s="8" t="s">
        <v>25</v>
      </c>
      <c r="D2511" s="8" t="s">
        <v>26</v>
      </c>
      <c r="E2511" s="8" t="s">
        <v>12173</v>
      </c>
      <c r="F2511" s="8"/>
      <c r="G2511" s="8" t="s">
        <v>31</v>
      </c>
      <c r="H2511" s="8" t="s">
        <v>56</v>
      </c>
      <c r="I2511" s="8" t="s">
        <v>29</v>
      </c>
      <c r="J2511" s="8" t="s">
        <v>2448</v>
      </c>
      <c r="K2511" s="10" t="s">
        <v>12174</v>
      </c>
      <c r="L2511" s="8" t="s">
        <v>58</v>
      </c>
      <c r="M2511" s="8" t="s">
        <v>35</v>
      </c>
      <c r="N2511" s="11">
        <v>45098.0</v>
      </c>
      <c r="O2511" s="11">
        <v>45096.0</v>
      </c>
      <c r="P2511" s="11">
        <v>45138.0</v>
      </c>
      <c r="Q2511" s="11">
        <v>45103.0</v>
      </c>
      <c r="R2511" s="11">
        <v>45145.0</v>
      </c>
      <c r="S2511" s="12"/>
      <c r="T2511" s="8"/>
      <c r="U2511" s="8" t="s">
        <v>59</v>
      </c>
      <c r="V2511" s="13" t="s">
        <v>38</v>
      </c>
      <c r="W2511" s="13" t="s">
        <v>12175</v>
      </c>
      <c r="X2511" s="12"/>
      <c r="Y2511" s="14"/>
      <c r="Z2511" s="14"/>
    </row>
    <row r="2512">
      <c r="A2512" s="8" t="s">
        <v>12176</v>
      </c>
      <c r="B2512" s="8" t="s">
        <v>12177</v>
      </c>
      <c r="C2512" s="8" t="s">
        <v>25</v>
      </c>
      <c r="D2512" s="8" t="s">
        <v>26</v>
      </c>
      <c r="E2512" s="8" t="s">
        <v>12178</v>
      </c>
      <c r="F2512" s="8"/>
      <c r="G2512" s="8" t="s">
        <v>31</v>
      </c>
      <c r="H2512" s="8" t="s">
        <v>56</v>
      </c>
      <c r="I2512" s="8" t="s">
        <v>54</v>
      </c>
      <c r="J2512" s="8" t="s">
        <v>377</v>
      </c>
      <c r="K2512" s="10" t="s">
        <v>12179</v>
      </c>
      <c r="L2512" s="8" t="s">
        <v>47</v>
      </c>
      <c r="M2512" s="8" t="s">
        <v>35</v>
      </c>
      <c r="N2512" s="11">
        <v>45098.0</v>
      </c>
      <c r="O2512" s="11">
        <v>45110.0</v>
      </c>
      <c r="P2512" s="11">
        <v>45173.0</v>
      </c>
      <c r="Q2512" s="11">
        <v>45116.0</v>
      </c>
      <c r="R2512" s="11">
        <v>45180.0</v>
      </c>
      <c r="S2512" s="12"/>
      <c r="T2512" s="8"/>
      <c r="U2512" s="8" t="s">
        <v>12180</v>
      </c>
      <c r="V2512" s="13" t="s">
        <v>38</v>
      </c>
      <c r="W2512" s="13" t="s">
        <v>12181</v>
      </c>
      <c r="X2512" s="12"/>
      <c r="Y2512" s="14"/>
      <c r="Z2512" s="14"/>
    </row>
    <row r="2513">
      <c r="A2513" s="8" t="s">
        <v>12182</v>
      </c>
      <c r="B2513" s="8" t="s">
        <v>12183</v>
      </c>
      <c r="C2513" s="8" t="s">
        <v>25</v>
      </c>
      <c r="D2513" s="8" t="s">
        <v>26</v>
      </c>
      <c r="E2513" s="8" t="s">
        <v>12184</v>
      </c>
      <c r="F2513" s="8">
        <v>5.300158187E9</v>
      </c>
      <c r="G2513" s="8" t="s">
        <v>31</v>
      </c>
      <c r="H2513" s="8" t="s">
        <v>86</v>
      </c>
      <c r="I2513" s="8" t="s">
        <v>202</v>
      </c>
      <c r="J2513" s="8" t="s">
        <v>7570</v>
      </c>
      <c r="K2513" s="10" t="s">
        <v>7571</v>
      </c>
      <c r="L2513" s="8" t="s">
        <v>58</v>
      </c>
      <c r="M2513" s="8" t="s">
        <v>35</v>
      </c>
      <c r="N2513" s="11">
        <v>45098.0</v>
      </c>
      <c r="O2513" s="11">
        <v>45122.0</v>
      </c>
      <c r="P2513" s="11">
        <v>45164.0</v>
      </c>
      <c r="Q2513" s="11">
        <v>45122.0</v>
      </c>
      <c r="R2513" s="11">
        <v>45164.0</v>
      </c>
      <c r="S2513" s="12"/>
      <c r="T2513" s="8"/>
      <c r="U2513" s="8" t="s">
        <v>997</v>
      </c>
      <c r="V2513" s="13" t="s">
        <v>175</v>
      </c>
      <c r="W2513" s="13" t="s">
        <v>12185</v>
      </c>
      <c r="X2513" s="12"/>
      <c r="Y2513" s="14"/>
      <c r="Z2513" s="14"/>
    </row>
    <row r="2514">
      <c r="A2514" s="8" t="s">
        <v>12186</v>
      </c>
      <c r="B2514" s="8" t="s">
        <v>12187</v>
      </c>
      <c r="C2514" s="8" t="s">
        <v>25</v>
      </c>
      <c r="D2514" s="8" t="s">
        <v>26</v>
      </c>
      <c r="E2514" s="8" t="s">
        <v>12188</v>
      </c>
      <c r="F2514" s="8">
        <v>5.8011188E7</v>
      </c>
      <c r="G2514" s="8" t="s">
        <v>54</v>
      </c>
      <c r="H2514" s="8" t="s">
        <v>595</v>
      </c>
      <c r="I2514" s="8" t="s">
        <v>31</v>
      </c>
      <c r="J2514" s="8" t="s">
        <v>167</v>
      </c>
      <c r="K2514" s="10" t="s">
        <v>5996</v>
      </c>
      <c r="L2514" s="8" t="s">
        <v>58</v>
      </c>
      <c r="M2514" s="8" t="s">
        <v>35</v>
      </c>
      <c r="N2514" s="11">
        <v>45099.0</v>
      </c>
      <c r="O2514" s="11">
        <v>45117.0</v>
      </c>
      <c r="P2514" s="11">
        <v>45159.0</v>
      </c>
      <c r="Q2514" s="11">
        <v>45119.0</v>
      </c>
      <c r="R2514" s="11">
        <v>45159.0</v>
      </c>
      <c r="S2514" s="12"/>
      <c r="T2514" s="8"/>
      <c r="U2514" s="8" t="s">
        <v>130</v>
      </c>
      <c r="V2514" s="13" t="s">
        <v>2961</v>
      </c>
      <c r="W2514" s="13" t="s">
        <v>12189</v>
      </c>
      <c r="X2514" s="12"/>
      <c r="Y2514" s="14"/>
      <c r="Z2514" s="14"/>
    </row>
    <row r="2515">
      <c r="A2515" s="8" t="s">
        <v>12190</v>
      </c>
      <c r="B2515" s="8" t="s">
        <v>7746</v>
      </c>
      <c r="C2515" s="8" t="s">
        <v>64</v>
      </c>
      <c r="D2515" s="8" t="s">
        <v>26</v>
      </c>
      <c r="E2515" s="8" t="s">
        <v>7747</v>
      </c>
      <c r="F2515" s="8">
        <v>3.03301117E9</v>
      </c>
      <c r="G2515" s="8" t="s">
        <v>315</v>
      </c>
      <c r="H2515" s="8" t="s">
        <v>6834</v>
      </c>
      <c r="I2515" s="8" t="s">
        <v>31</v>
      </c>
      <c r="J2515" s="8" t="s">
        <v>438</v>
      </c>
      <c r="K2515" s="10" t="s">
        <v>11854</v>
      </c>
      <c r="L2515" s="8" t="s">
        <v>58</v>
      </c>
      <c r="M2515" s="8" t="s">
        <v>35</v>
      </c>
      <c r="N2515" s="11">
        <v>45099.0</v>
      </c>
      <c r="O2515" s="11">
        <v>45117.0</v>
      </c>
      <c r="P2515" s="11">
        <v>45159.0</v>
      </c>
      <c r="Q2515" s="11">
        <v>45126.0</v>
      </c>
      <c r="R2515" s="11">
        <v>45168.0</v>
      </c>
      <c r="S2515" s="12"/>
      <c r="T2515" s="8"/>
      <c r="U2515" s="8" t="s">
        <v>130</v>
      </c>
      <c r="V2515" s="13" t="s">
        <v>6835</v>
      </c>
      <c r="W2515" s="13" t="s">
        <v>7748</v>
      </c>
      <c r="X2515" s="12"/>
      <c r="Y2515" s="14"/>
      <c r="Z2515" s="14"/>
    </row>
    <row r="2516">
      <c r="A2516" s="8" t="s">
        <v>12191</v>
      </c>
      <c r="B2516" s="8" t="s">
        <v>12192</v>
      </c>
      <c r="C2516" s="8" t="s">
        <v>64</v>
      </c>
      <c r="D2516" s="8" t="s">
        <v>26</v>
      </c>
      <c r="E2516" s="8" t="s">
        <v>12193</v>
      </c>
      <c r="F2516" s="8">
        <v>2.3433923E7</v>
      </c>
      <c r="G2516" s="8" t="s">
        <v>54</v>
      </c>
      <c r="H2516" s="8" t="s">
        <v>595</v>
      </c>
      <c r="I2516" s="8" t="s">
        <v>31</v>
      </c>
      <c r="J2516" s="8" t="s">
        <v>167</v>
      </c>
      <c r="K2516" s="10" t="s">
        <v>5849</v>
      </c>
      <c r="L2516" s="8" t="s">
        <v>58</v>
      </c>
      <c r="M2516" s="8" t="s">
        <v>35</v>
      </c>
      <c r="N2516" s="11">
        <v>45099.0</v>
      </c>
      <c r="O2516" s="11">
        <v>45124.0</v>
      </c>
      <c r="P2516" s="11">
        <v>45166.0</v>
      </c>
      <c r="Q2516" s="11">
        <v>45127.0</v>
      </c>
      <c r="R2516" s="11">
        <v>45167.0</v>
      </c>
      <c r="S2516" s="12"/>
      <c r="T2516" s="8"/>
      <c r="U2516" s="8" t="s">
        <v>59</v>
      </c>
      <c r="V2516" s="13" t="s">
        <v>2961</v>
      </c>
      <c r="W2516" s="13" t="s">
        <v>12194</v>
      </c>
      <c r="X2516" s="12"/>
      <c r="Y2516" s="14"/>
      <c r="Z2516" s="14"/>
    </row>
    <row r="2517">
      <c r="A2517" s="8" t="s">
        <v>12195</v>
      </c>
      <c r="B2517" s="8" t="s">
        <v>12196</v>
      </c>
      <c r="C2517" s="8" t="s">
        <v>25</v>
      </c>
      <c r="D2517" s="8" t="s">
        <v>26</v>
      </c>
      <c r="E2517" s="8" t="s">
        <v>12197</v>
      </c>
      <c r="F2517" s="8">
        <v>9.5339402E7</v>
      </c>
      <c r="G2517" s="8" t="s">
        <v>54</v>
      </c>
      <c r="H2517" s="8" t="s">
        <v>595</v>
      </c>
      <c r="I2517" s="8" t="s">
        <v>31</v>
      </c>
      <c r="J2517" s="8" t="s">
        <v>167</v>
      </c>
      <c r="K2517" s="10" t="s">
        <v>4008</v>
      </c>
      <c r="L2517" s="8" t="s">
        <v>58</v>
      </c>
      <c r="M2517" s="8" t="s">
        <v>35</v>
      </c>
      <c r="N2517" s="11">
        <v>45099.0</v>
      </c>
      <c r="O2517" s="11">
        <v>45117.0</v>
      </c>
      <c r="P2517" s="11">
        <v>45159.0</v>
      </c>
      <c r="Q2517" s="11">
        <v>45119.0</v>
      </c>
      <c r="R2517" s="11">
        <v>45159.0</v>
      </c>
      <c r="S2517" s="12"/>
      <c r="T2517" s="8"/>
      <c r="U2517" s="8" t="s">
        <v>59</v>
      </c>
      <c r="V2517" s="13" t="s">
        <v>2961</v>
      </c>
      <c r="W2517" s="13" t="s">
        <v>12198</v>
      </c>
      <c r="X2517" s="12"/>
      <c r="Y2517" s="14"/>
      <c r="Z2517" s="14"/>
    </row>
    <row r="2518">
      <c r="A2518" s="8" t="s">
        <v>12199</v>
      </c>
      <c r="B2518" s="8" t="s">
        <v>12200</v>
      </c>
      <c r="C2518" s="8" t="s">
        <v>179</v>
      </c>
      <c r="D2518" s="8" t="s">
        <v>26</v>
      </c>
      <c r="E2518" s="8" t="s">
        <v>12201</v>
      </c>
      <c r="F2518" s="8">
        <v>2.3622554E7</v>
      </c>
      <c r="G2518" s="8" t="s">
        <v>54</v>
      </c>
      <c r="H2518" s="8" t="s">
        <v>430</v>
      </c>
      <c r="I2518" s="8" t="s">
        <v>31</v>
      </c>
      <c r="J2518" s="8" t="s">
        <v>256</v>
      </c>
      <c r="K2518" s="10" t="s">
        <v>12202</v>
      </c>
      <c r="L2518" s="8" t="s">
        <v>58</v>
      </c>
      <c r="M2518" s="8" t="s">
        <v>35</v>
      </c>
      <c r="N2518" s="11">
        <v>45099.0</v>
      </c>
      <c r="O2518" s="11">
        <v>45145.0</v>
      </c>
      <c r="P2518" s="11">
        <v>45187.0</v>
      </c>
      <c r="Q2518" s="11"/>
      <c r="R2518" s="11"/>
      <c r="S2518" s="12"/>
      <c r="T2518" s="8"/>
      <c r="U2518" s="8" t="s">
        <v>59</v>
      </c>
      <c r="V2518" s="13" t="s">
        <v>4780</v>
      </c>
      <c r="W2518" s="13" t="s">
        <v>12203</v>
      </c>
      <c r="X2518" s="12"/>
      <c r="Y2518" s="14"/>
      <c r="Z2518" s="14"/>
    </row>
    <row r="2519">
      <c r="A2519" s="8" t="s">
        <v>12204</v>
      </c>
      <c r="B2519" s="8" t="s">
        <v>3682</v>
      </c>
      <c r="C2519" s="8" t="s">
        <v>708</v>
      </c>
      <c r="D2519" s="8" t="s">
        <v>26</v>
      </c>
      <c r="E2519" s="8" t="s">
        <v>3683</v>
      </c>
      <c r="F2519" s="8"/>
      <c r="G2519" s="8" t="s">
        <v>284</v>
      </c>
      <c r="H2519" s="8" t="s">
        <v>1450</v>
      </c>
      <c r="I2519" s="8" t="s">
        <v>31</v>
      </c>
      <c r="J2519" s="8" t="s">
        <v>542</v>
      </c>
      <c r="K2519" s="10" t="s">
        <v>12205</v>
      </c>
      <c r="L2519" s="8" t="s">
        <v>34</v>
      </c>
      <c r="M2519" s="8" t="s">
        <v>70</v>
      </c>
      <c r="N2519" s="11">
        <v>45100.0</v>
      </c>
      <c r="O2519" s="11">
        <v>45117.0</v>
      </c>
      <c r="P2519" s="11">
        <v>45471.0</v>
      </c>
      <c r="Q2519" s="11">
        <v>45118.0</v>
      </c>
      <c r="R2519" s="11">
        <v>45473.0</v>
      </c>
      <c r="S2519" s="12"/>
      <c r="T2519" s="8" t="s">
        <v>36</v>
      </c>
      <c r="U2519" s="8" t="s">
        <v>12206</v>
      </c>
      <c r="V2519" s="13" t="s">
        <v>38</v>
      </c>
      <c r="W2519" s="13" t="s">
        <v>3686</v>
      </c>
      <c r="X2519" s="12"/>
      <c r="Y2519" s="14"/>
      <c r="Z2519" s="14"/>
    </row>
    <row r="2520">
      <c r="A2520" s="8" t="s">
        <v>12207</v>
      </c>
      <c r="B2520" s="8" t="s">
        <v>12208</v>
      </c>
      <c r="C2520" s="8" t="s">
        <v>25</v>
      </c>
      <c r="D2520" s="8" t="s">
        <v>26</v>
      </c>
      <c r="E2520" s="8" t="s">
        <v>12209</v>
      </c>
      <c r="F2520" s="8"/>
      <c r="G2520" s="8" t="s">
        <v>54</v>
      </c>
      <c r="H2520" s="8" t="s">
        <v>595</v>
      </c>
      <c r="I2520" s="8" t="s">
        <v>31</v>
      </c>
      <c r="J2520" s="8" t="s">
        <v>1274</v>
      </c>
      <c r="K2520" s="10" t="s">
        <v>1641</v>
      </c>
      <c r="L2520" s="8" t="s">
        <v>58</v>
      </c>
      <c r="M2520" s="8" t="s">
        <v>35</v>
      </c>
      <c r="N2520" s="11">
        <v>45100.0</v>
      </c>
      <c r="O2520" s="11">
        <v>45145.0</v>
      </c>
      <c r="P2520" s="11">
        <v>45187.0</v>
      </c>
      <c r="Q2520" s="11">
        <v>45143.0</v>
      </c>
      <c r="R2520" s="11">
        <v>45187.0</v>
      </c>
      <c r="S2520" s="12"/>
      <c r="T2520" s="8"/>
      <c r="U2520" s="8" t="s">
        <v>185</v>
      </c>
      <c r="V2520" s="13" t="s">
        <v>38</v>
      </c>
      <c r="W2520" s="13" t="s">
        <v>12210</v>
      </c>
      <c r="X2520" s="12"/>
      <c r="Y2520" s="14"/>
      <c r="Z2520" s="14"/>
    </row>
    <row r="2521">
      <c r="A2521" s="8" t="s">
        <v>12211</v>
      </c>
      <c r="B2521" s="8" t="s">
        <v>12212</v>
      </c>
      <c r="C2521" s="8" t="s">
        <v>25</v>
      </c>
      <c r="D2521" s="8" t="s">
        <v>26</v>
      </c>
      <c r="E2521" s="8" t="s">
        <v>12213</v>
      </c>
      <c r="F2521" s="8">
        <v>5.0331902E7</v>
      </c>
      <c r="G2521" s="8" t="s">
        <v>54</v>
      </c>
      <c r="H2521" s="8" t="s">
        <v>595</v>
      </c>
      <c r="I2521" s="8" t="s">
        <v>31</v>
      </c>
      <c r="J2521" s="8" t="s">
        <v>167</v>
      </c>
      <c r="K2521" s="10" t="s">
        <v>10618</v>
      </c>
      <c r="L2521" s="8" t="s">
        <v>58</v>
      </c>
      <c r="M2521" s="8" t="s">
        <v>35</v>
      </c>
      <c r="N2521" s="11">
        <v>45100.0</v>
      </c>
      <c r="O2521" s="11">
        <v>45152.0</v>
      </c>
      <c r="P2521" s="11">
        <v>45194.0</v>
      </c>
      <c r="Q2521" s="11">
        <v>45153.0</v>
      </c>
      <c r="R2521" s="11">
        <v>45194.0</v>
      </c>
      <c r="S2521" s="12"/>
      <c r="T2521" s="8"/>
      <c r="U2521" s="8" t="s">
        <v>88</v>
      </c>
      <c r="V2521" s="13" t="s">
        <v>12214</v>
      </c>
      <c r="W2521" s="13" t="s">
        <v>12215</v>
      </c>
      <c r="X2521" s="12"/>
      <c r="Y2521" s="14"/>
      <c r="Z2521" s="14"/>
    </row>
    <row r="2522">
      <c r="A2522" s="8" t="s">
        <v>12216</v>
      </c>
      <c r="B2522" s="8" t="s">
        <v>12217</v>
      </c>
      <c r="C2522" s="8" t="s">
        <v>25</v>
      </c>
      <c r="D2522" s="8" t="s">
        <v>26</v>
      </c>
      <c r="E2522" s="8" t="s">
        <v>12218</v>
      </c>
      <c r="F2522" s="8">
        <v>5.061080248E9</v>
      </c>
      <c r="G2522" s="8" t="s">
        <v>31</v>
      </c>
      <c r="H2522" s="8" t="s">
        <v>256</v>
      </c>
      <c r="I2522" s="8" t="s">
        <v>284</v>
      </c>
      <c r="J2522" s="8" t="s">
        <v>1450</v>
      </c>
      <c r="K2522" s="10" t="s">
        <v>5282</v>
      </c>
      <c r="L2522" s="8" t="s">
        <v>47</v>
      </c>
      <c r="M2522" s="8" t="s">
        <v>35</v>
      </c>
      <c r="N2522" s="11">
        <v>45100.0</v>
      </c>
      <c r="O2522" s="11">
        <v>45117.0</v>
      </c>
      <c r="P2522" s="11">
        <v>45180.0</v>
      </c>
      <c r="Q2522" s="11">
        <v>45117.0</v>
      </c>
      <c r="R2522" s="11">
        <v>45180.0</v>
      </c>
      <c r="S2522" s="12"/>
      <c r="T2522" s="8"/>
      <c r="U2522" s="8" t="s">
        <v>246</v>
      </c>
      <c r="V2522" s="13" t="s">
        <v>256</v>
      </c>
      <c r="W2522" s="13" t="s">
        <v>12219</v>
      </c>
      <c r="X2522" s="12"/>
      <c r="Y2522" s="14"/>
      <c r="Z2522" s="14"/>
    </row>
    <row r="2523">
      <c r="A2523" s="8" t="s">
        <v>12220</v>
      </c>
      <c r="B2523" s="8" t="s">
        <v>12221</v>
      </c>
      <c r="C2523" s="8" t="s">
        <v>708</v>
      </c>
      <c r="D2523" s="8" t="s">
        <v>26</v>
      </c>
      <c r="E2523" s="8" t="s">
        <v>12222</v>
      </c>
      <c r="F2523" s="8"/>
      <c r="G2523" s="8" t="s">
        <v>109</v>
      </c>
      <c r="H2523" s="8" t="s">
        <v>3851</v>
      </c>
      <c r="I2523" s="8" t="s">
        <v>31</v>
      </c>
      <c r="J2523" s="8" t="s">
        <v>77</v>
      </c>
      <c r="K2523" s="10" t="s">
        <v>1049</v>
      </c>
      <c r="L2523" s="8" t="s">
        <v>47</v>
      </c>
      <c r="M2523" s="8" t="s">
        <v>70</v>
      </c>
      <c r="N2523" s="11">
        <v>45100.0</v>
      </c>
      <c r="O2523" s="11">
        <v>45166.0</v>
      </c>
      <c r="P2523" s="11">
        <v>45473.0</v>
      </c>
      <c r="Q2523" s="11">
        <v>45169.0</v>
      </c>
      <c r="R2523" s="11">
        <v>45478.0</v>
      </c>
      <c r="S2523" s="12"/>
      <c r="T2523" s="8"/>
      <c r="U2523" s="8" t="s">
        <v>1050</v>
      </c>
      <c r="V2523" s="13" t="s">
        <v>38</v>
      </c>
      <c r="W2523" s="13" t="s">
        <v>12223</v>
      </c>
      <c r="X2523" s="12"/>
      <c r="Y2523" s="14"/>
      <c r="Z2523" s="14"/>
    </row>
    <row r="2524">
      <c r="A2524" s="8" t="s">
        <v>12224</v>
      </c>
      <c r="B2524" s="8" t="s">
        <v>12225</v>
      </c>
      <c r="C2524" s="8" t="s">
        <v>25</v>
      </c>
      <c r="D2524" s="8" t="s">
        <v>26</v>
      </c>
      <c r="E2524" s="8" t="s">
        <v>12226</v>
      </c>
      <c r="F2524" s="8">
        <v>3.337467371E9</v>
      </c>
      <c r="G2524" s="8" t="s">
        <v>315</v>
      </c>
      <c r="H2524" s="8" t="s">
        <v>1242</v>
      </c>
      <c r="I2524" s="8" t="s">
        <v>31</v>
      </c>
      <c r="J2524" s="8" t="s">
        <v>43</v>
      </c>
      <c r="K2524" s="10" t="s">
        <v>11166</v>
      </c>
      <c r="L2524" s="8" t="s">
        <v>58</v>
      </c>
      <c r="M2524" s="8" t="s">
        <v>35</v>
      </c>
      <c r="N2524" s="11">
        <v>45100.0</v>
      </c>
      <c r="O2524" s="11">
        <v>45138.0</v>
      </c>
      <c r="P2524" s="11">
        <v>45184.0</v>
      </c>
      <c r="Q2524" s="11">
        <v>45138.0</v>
      </c>
      <c r="R2524" s="11">
        <v>45184.0</v>
      </c>
      <c r="S2524" s="12"/>
      <c r="T2524" s="8"/>
      <c r="U2524" s="8" t="s">
        <v>59</v>
      </c>
      <c r="V2524" s="13" t="s">
        <v>9970</v>
      </c>
      <c r="W2524" s="13" t="s">
        <v>12227</v>
      </c>
      <c r="X2524" s="12"/>
      <c r="Y2524" s="14"/>
      <c r="Z2524" s="14"/>
    </row>
    <row r="2525">
      <c r="A2525" s="8" t="s">
        <v>12228</v>
      </c>
      <c r="B2525" s="8" t="s">
        <v>12229</v>
      </c>
      <c r="C2525" s="8" t="s">
        <v>708</v>
      </c>
      <c r="D2525" s="8" t="s">
        <v>26</v>
      </c>
      <c r="E2525" s="8" t="s">
        <v>12230</v>
      </c>
      <c r="F2525" s="8">
        <v>6.58327997E8</v>
      </c>
      <c r="G2525" s="8" t="s">
        <v>254</v>
      </c>
      <c r="H2525" s="8" t="s">
        <v>422</v>
      </c>
      <c r="I2525" s="8" t="s">
        <v>31</v>
      </c>
      <c r="J2525" s="8" t="s">
        <v>292</v>
      </c>
      <c r="K2525" s="10" t="s">
        <v>1260</v>
      </c>
      <c r="L2525" s="8" t="s">
        <v>47</v>
      </c>
      <c r="M2525" s="8" t="s">
        <v>70</v>
      </c>
      <c r="N2525" s="11">
        <v>45100.0</v>
      </c>
      <c r="O2525" s="11">
        <v>45158.0</v>
      </c>
      <c r="P2525" s="11">
        <v>45524.0</v>
      </c>
      <c r="Q2525" s="11">
        <v>45160.0</v>
      </c>
      <c r="R2525" s="11">
        <v>45524.0</v>
      </c>
      <c r="S2525" s="12"/>
      <c r="T2525" s="8"/>
      <c r="U2525" s="8" t="s">
        <v>1261</v>
      </c>
      <c r="V2525" s="13" t="s">
        <v>425</v>
      </c>
      <c r="W2525" s="13" t="s">
        <v>12231</v>
      </c>
      <c r="X2525" s="12"/>
      <c r="Y2525" s="14"/>
      <c r="Z2525" s="14"/>
    </row>
    <row r="2526">
      <c r="A2526" s="8" t="s">
        <v>12232</v>
      </c>
      <c r="B2526" s="8" t="s">
        <v>12233</v>
      </c>
      <c r="C2526" s="8" t="s">
        <v>25</v>
      </c>
      <c r="D2526" s="8" t="s">
        <v>26</v>
      </c>
      <c r="E2526" s="8" t="s">
        <v>12234</v>
      </c>
      <c r="F2526" s="8"/>
      <c r="G2526" s="8" t="s">
        <v>31</v>
      </c>
      <c r="H2526" s="8" t="s">
        <v>43</v>
      </c>
      <c r="I2526" s="8" t="s">
        <v>127</v>
      </c>
      <c r="J2526" s="8" t="s">
        <v>3006</v>
      </c>
      <c r="K2526" s="10" t="s">
        <v>12235</v>
      </c>
      <c r="L2526" s="8" t="s">
        <v>58</v>
      </c>
      <c r="M2526" s="8" t="s">
        <v>35</v>
      </c>
      <c r="N2526" s="11">
        <v>45100.0</v>
      </c>
      <c r="O2526" s="11">
        <v>45131.0</v>
      </c>
      <c r="P2526" s="11">
        <v>45173.0</v>
      </c>
      <c r="Q2526" s="11">
        <v>45132.0</v>
      </c>
      <c r="R2526" s="11">
        <v>45173.0</v>
      </c>
      <c r="S2526" s="12"/>
      <c r="T2526" s="8"/>
      <c r="U2526" s="8" t="s">
        <v>161</v>
      </c>
      <c r="V2526" s="13" t="s">
        <v>38</v>
      </c>
      <c r="W2526" s="13" t="s">
        <v>12236</v>
      </c>
      <c r="X2526" s="12"/>
      <c r="Y2526" s="14"/>
      <c r="Z2526" s="14"/>
    </row>
    <row r="2527">
      <c r="A2527" s="8" t="s">
        <v>12237</v>
      </c>
      <c r="B2527" s="8" t="s">
        <v>4484</v>
      </c>
      <c r="C2527" s="8" t="s">
        <v>25</v>
      </c>
      <c r="D2527" s="8" t="s">
        <v>26</v>
      </c>
      <c r="E2527" s="8" t="s">
        <v>4485</v>
      </c>
      <c r="F2527" s="8">
        <v>7.475181157E9</v>
      </c>
      <c r="G2527" s="8" t="s">
        <v>496</v>
      </c>
      <c r="H2527" s="8" t="s">
        <v>2112</v>
      </c>
      <c r="I2527" s="8" t="s">
        <v>31</v>
      </c>
      <c r="J2527" s="8" t="s">
        <v>167</v>
      </c>
      <c r="K2527" s="10" t="s">
        <v>5849</v>
      </c>
      <c r="L2527" s="8" t="s">
        <v>58</v>
      </c>
      <c r="M2527" s="8" t="s">
        <v>35</v>
      </c>
      <c r="N2527" s="11">
        <v>45100.0</v>
      </c>
      <c r="O2527" s="11">
        <v>45173.0</v>
      </c>
      <c r="P2527" s="11">
        <v>45215.0</v>
      </c>
      <c r="Q2527" s="11">
        <v>45176.0</v>
      </c>
      <c r="R2527" s="11">
        <v>45216.0</v>
      </c>
      <c r="S2527" s="12"/>
      <c r="T2527" s="8"/>
      <c r="U2527" s="8" t="s">
        <v>59</v>
      </c>
      <c r="V2527" s="13" t="s">
        <v>2112</v>
      </c>
      <c r="W2527" s="13" t="s">
        <v>4486</v>
      </c>
      <c r="X2527" s="12"/>
      <c r="Y2527" s="14"/>
      <c r="Z2527" s="14"/>
    </row>
    <row r="2528">
      <c r="A2528" s="8" t="s">
        <v>12238</v>
      </c>
      <c r="B2528" s="8" t="s">
        <v>12239</v>
      </c>
      <c r="C2528" s="8" t="s">
        <v>335</v>
      </c>
      <c r="D2528" s="8" t="s">
        <v>26</v>
      </c>
      <c r="E2528" s="8" t="s">
        <v>12240</v>
      </c>
      <c r="F2528" s="8">
        <v>9.15625089E8</v>
      </c>
      <c r="G2528" s="8" t="s">
        <v>660</v>
      </c>
      <c r="H2528" s="8" t="s">
        <v>9000</v>
      </c>
      <c r="I2528" s="8" t="s">
        <v>31</v>
      </c>
      <c r="J2528" s="8" t="s">
        <v>43</v>
      </c>
      <c r="K2528" s="10" t="s">
        <v>983</v>
      </c>
      <c r="L2528" s="8" t="s">
        <v>34</v>
      </c>
      <c r="M2528" s="8" t="s">
        <v>70</v>
      </c>
      <c r="N2528" s="11">
        <v>45139.0</v>
      </c>
      <c r="O2528" s="11">
        <v>45122.0</v>
      </c>
      <c r="P2528" s="11">
        <v>45459.0</v>
      </c>
      <c r="Q2528" s="11"/>
      <c r="R2528" s="11"/>
      <c r="S2528" s="12"/>
      <c r="T2528" s="8" t="s">
        <v>121</v>
      </c>
      <c r="U2528" s="8" t="s">
        <v>12241</v>
      </c>
      <c r="V2528" s="13" t="s">
        <v>12242</v>
      </c>
      <c r="W2528" s="13" t="s">
        <v>12243</v>
      </c>
      <c r="X2528" s="12"/>
      <c r="Y2528" s="14"/>
      <c r="Z2528" s="14"/>
    </row>
    <row r="2529">
      <c r="A2529" s="8" t="s">
        <v>12244</v>
      </c>
      <c r="B2529" s="8" t="s">
        <v>8776</v>
      </c>
      <c r="C2529" s="8" t="s">
        <v>64</v>
      </c>
      <c r="D2529" s="8" t="s">
        <v>26</v>
      </c>
      <c r="E2529" s="8" t="s">
        <v>12245</v>
      </c>
      <c r="F2529" s="8">
        <v>3.357707704E9</v>
      </c>
      <c r="G2529" s="8" t="s">
        <v>315</v>
      </c>
      <c r="H2529" s="8" t="s">
        <v>6834</v>
      </c>
      <c r="I2529" s="8" t="s">
        <v>31</v>
      </c>
      <c r="J2529" s="8" t="s">
        <v>438</v>
      </c>
      <c r="K2529" s="10" t="s">
        <v>9997</v>
      </c>
      <c r="L2529" s="8" t="s">
        <v>58</v>
      </c>
      <c r="M2529" s="8" t="s">
        <v>35</v>
      </c>
      <c r="N2529" s="11">
        <v>45101.0</v>
      </c>
      <c r="O2529" s="11">
        <v>45110.0</v>
      </c>
      <c r="P2529" s="11">
        <v>45152.0</v>
      </c>
      <c r="Q2529" s="11">
        <v>45109.0</v>
      </c>
      <c r="R2529" s="11">
        <v>45152.0</v>
      </c>
      <c r="S2529" s="12"/>
      <c r="T2529" s="8"/>
      <c r="U2529" s="8" t="s">
        <v>59</v>
      </c>
      <c r="V2529" s="13" t="s">
        <v>6835</v>
      </c>
      <c r="W2529" s="13" t="s">
        <v>12246</v>
      </c>
      <c r="X2529" s="12"/>
      <c r="Y2529" s="14"/>
      <c r="Z2529" s="14"/>
    </row>
    <row r="2530">
      <c r="A2530" s="8" t="s">
        <v>12247</v>
      </c>
      <c r="B2530" s="8" t="s">
        <v>12248</v>
      </c>
      <c r="C2530" s="8" t="s">
        <v>708</v>
      </c>
      <c r="D2530" s="8" t="s">
        <v>26</v>
      </c>
      <c r="E2530" s="8" t="s">
        <v>12249</v>
      </c>
      <c r="F2530" s="8">
        <v>6.90092905E8</v>
      </c>
      <c r="G2530" s="8" t="s">
        <v>84</v>
      </c>
      <c r="H2530" s="8" t="s">
        <v>752</v>
      </c>
      <c r="I2530" s="8" t="s">
        <v>31</v>
      </c>
      <c r="J2530" s="8" t="s">
        <v>542</v>
      </c>
      <c r="K2530" s="10" t="s">
        <v>12205</v>
      </c>
      <c r="L2530" s="8" t="s">
        <v>34</v>
      </c>
      <c r="M2530" s="8" t="s">
        <v>70</v>
      </c>
      <c r="N2530" s="11">
        <v>45101.0</v>
      </c>
      <c r="O2530" s="11">
        <v>45117.0</v>
      </c>
      <c r="P2530" s="11">
        <v>45471.0</v>
      </c>
      <c r="Q2530" s="11">
        <v>45122.0</v>
      </c>
      <c r="R2530" s="11">
        <v>45487.0</v>
      </c>
      <c r="S2530" s="12"/>
      <c r="T2530" s="8" t="s">
        <v>36</v>
      </c>
      <c r="U2530" s="8" t="s">
        <v>12206</v>
      </c>
      <c r="V2530" s="13" t="s">
        <v>12250</v>
      </c>
      <c r="W2530" s="13" t="s">
        <v>12251</v>
      </c>
      <c r="X2530" s="12"/>
      <c r="Y2530" s="14"/>
      <c r="Z2530" s="14"/>
    </row>
    <row r="2531">
      <c r="A2531" s="8" t="s">
        <v>12252</v>
      </c>
      <c r="B2531" s="8" t="s">
        <v>11492</v>
      </c>
      <c r="C2531" s="8" t="s">
        <v>708</v>
      </c>
      <c r="D2531" s="8" t="s">
        <v>26</v>
      </c>
      <c r="E2531" s="8" t="s">
        <v>11493</v>
      </c>
      <c r="F2531" s="8"/>
      <c r="G2531" s="8" t="s">
        <v>54</v>
      </c>
      <c r="H2531" s="8" t="s">
        <v>430</v>
      </c>
      <c r="I2531" s="8" t="s">
        <v>31</v>
      </c>
      <c r="J2531" s="8" t="s">
        <v>111</v>
      </c>
      <c r="K2531" s="10" t="s">
        <v>1744</v>
      </c>
      <c r="L2531" s="8" t="s">
        <v>47</v>
      </c>
      <c r="M2531" s="8" t="s">
        <v>70</v>
      </c>
      <c r="N2531" s="11">
        <v>45101.0</v>
      </c>
      <c r="O2531" s="11">
        <v>45173.0</v>
      </c>
      <c r="P2531" s="11">
        <v>45536.0</v>
      </c>
      <c r="Q2531" s="11">
        <v>45174.0</v>
      </c>
      <c r="R2531" s="11">
        <v>45537.0</v>
      </c>
      <c r="S2531" s="12"/>
      <c r="T2531" s="8"/>
      <c r="U2531" s="8" t="s">
        <v>1745</v>
      </c>
      <c r="V2531" s="13" t="s">
        <v>38</v>
      </c>
      <c r="W2531" s="13" t="s">
        <v>11495</v>
      </c>
      <c r="X2531" s="12"/>
      <c r="Y2531" s="14"/>
      <c r="Z2531" s="14"/>
    </row>
    <row r="2532">
      <c r="A2532" s="8" t="s">
        <v>12253</v>
      </c>
      <c r="B2532" s="8" t="s">
        <v>12254</v>
      </c>
      <c r="C2532" s="8" t="s">
        <v>25</v>
      </c>
      <c r="D2532" s="8" t="s">
        <v>26</v>
      </c>
      <c r="E2532" s="8" t="s">
        <v>12255</v>
      </c>
      <c r="F2532" s="8"/>
      <c r="G2532" s="8" t="s">
        <v>315</v>
      </c>
      <c r="H2532" s="8" t="s">
        <v>1242</v>
      </c>
      <c r="I2532" s="8" t="s">
        <v>31</v>
      </c>
      <c r="J2532" s="8" t="s">
        <v>256</v>
      </c>
      <c r="K2532" s="10" t="s">
        <v>4203</v>
      </c>
      <c r="L2532" s="8" t="s">
        <v>58</v>
      </c>
      <c r="M2532" s="8" t="s">
        <v>35</v>
      </c>
      <c r="N2532" s="11">
        <v>45101.0</v>
      </c>
      <c r="O2532" s="11">
        <v>45140.0</v>
      </c>
      <c r="P2532" s="11">
        <v>45182.0</v>
      </c>
      <c r="Q2532" s="11">
        <v>45138.0</v>
      </c>
      <c r="R2532" s="11">
        <v>45182.0</v>
      </c>
      <c r="S2532" s="12"/>
      <c r="T2532" s="8"/>
      <c r="U2532" s="8" t="s">
        <v>59</v>
      </c>
      <c r="V2532" s="13" t="s">
        <v>38</v>
      </c>
      <c r="W2532" s="13" t="s">
        <v>12256</v>
      </c>
      <c r="X2532" s="12"/>
      <c r="Y2532" s="14"/>
      <c r="Z2532" s="14"/>
    </row>
    <row r="2533">
      <c r="A2533" s="8" t="s">
        <v>12257</v>
      </c>
      <c r="B2533" s="8" t="s">
        <v>12258</v>
      </c>
      <c r="C2533" s="8" t="s">
        <v>251</v>
      </c>
      <c r="D2533" s="8" t="s">
        <v>26</v>
      </c>
      <c r="E2533" s="8" t="s">
        <v>12259</v>
      </c>
      <c r="F2533" s="8">
        <v>5.315133117E9</v>
      </c>
      <c r="G2533" s="8" t="s">
        <v>54</v>
      </c>
      <c r="H2533" s="8" t="s">
        <v>244</v>
      </c>
      <c r="I2533" s="8" t="s">
        <v>31</v>
      </c>
      <c r="J2533" s="8" t="s">
        <v>66</v>
      </c>
      <c r="K2533" s="10" t="s">
        <v>12260</v>
      </c>
      <c r="L2533" s="8" t="s">
        <v>47</v>
      </c>
      <c r="M2533" s="8" t="s">
        <v>70</v>
      </c>
      <c r="N2533" s="11">
        <v>45101.0</v>
      </c>
      <c r="O2533" s="11">
        <v>45112.0</v>
      </c>
      <c r="P2533" s="11">
        <v>45477.0</v>
      </c>
      <c r="Q2533" s="11"/>
      <c r="R2533" s="11"/>
      <c r="S2533" s="12"/>
      <c r="T2533" s="8"/>
      <c r="U2533" s="8" t="s">
        <v>246</v>
      </c>
      <c r="V2533" s="13" t="s">
        <v>247</v>
      </c>
      <c r="W2533" s="13" t="s">
        <v>12261</v>
      </c>
      <c r="X2533" s="12"/>
      <c r="Y2533" s="14"/>
      <c r="Z2533" s="14"/>
    </row>
    <row r="2534">
      <c r="A2534" s="8" t="s">
        <v>12262</v>
      </c>
      <c r="B2534" s="8" t="s">
        <v>12263</v>
      </c>
      <c r="C2534" s="8" t="s">
        <v>179</v>
      </c>
      <c r="D2534" s="8" t="s">
        <v>26</v>
      </c>
      <c r="E2534" s="8" t="s">
        <v>12264</v>
      </c>
      <c r="F2534" s="8">
        <v>1.201511347E9</v>
      </c>
      <c r="G2534" s="8" t="s">
        <v>284</v>
      </c>
      <c r="H2534" s="8" t="s">
        <v>673</v>
      </c>
      <c r="I2534" s="8" t="s">
        <v>31</v>
      </c>
      <c r="J2534" s="8" t="s">
        <v>56</v>
      </c>
      <c r="K2534" s="10" t="s">
        <v>11979</v>
      </c>
      <c r="L2534" s="8" t="s">
        <v>58</v>
      </c>
      <c r="M2534" s="8" t="s">
        <v>35</v>
      </c>
      <c r="N2534" s="11">
        <v>45101.0</v>
      </c>
      <c r="O2534" s="11">
        <v>45334.0</v>
      </c>
      <c r="P2534" s="11">
        <v>45376.0</v>
      </c>
      <c r="Q2534" s="11"/>
      <c r="R2534" s="11"/>
      <c r="S2534" s="12"/>
      <c r="T2534" s="8"/>
      <c r="U2534" s="8" t="s">
        <v>161</v>
      </c>
      <c r="V2534" s="13" t="s">
        <v>674</v>
      </c>
      <c r="W2534" s="13" t="s">
        <v>12265</v>
      </c>
      <c r="X2534" s="12"/>
      <c r="Y2534" s="14"/>
      <c r="Z2534" s="14"/>
    </row>
    <row r="2535">
      <c r="A2535" s="8" t="s">
        <v>12266</v>
      </c>
      <c r="B2535" s="8" t="s">
        <v>12267</v>
      </c>
      <c r="C2535" s="8" t="s">
        <v>25</v>
      </c>
      <c r="D2535" s="8" t="s">
        <v>26</v>
      </c>
      <c r="E2535" s="8" t="s">
        <v>12268</v>
      </c>
      <c r="F2535" s="8"/>
      <c r="G2535" s="8" t="s">
        <v>31</v>
      </c>
      <c r="H2535" s="8" t="s">
        <v>111</v>
      </c>
      <c r="I2535" s="8" t="s">
        <v>284</v>
      </c>
      <c r="J2535" s="8" t="s">
        <v>1422</v>
      </c>
      <c r="K2535" s="10" t="s">
        <v>12269</v>
      </c>
      <c r="L2535" s="8" t="s">
        <v>58</v>
      </c>
      <c r="M2535" s="8" t="s">
        <v>35</v>
      </c>
      <c r="N2535" s="11">
        <v>45101.0</v>
      </c>
      <c r="O2535" s="11">
        <v>45139.0</v>
      </c>
      <c r="P2535" s="11">
        <v>45181.0</v>
      </c>
      <c r="Q2535" s="11">
        <v>45138.0</v>
      </c>
      <c r="R2535" s="11">
        <v>45181.0</v>
      </c>
      <c r="S2535" s="12"/>
      <c r="T2535" s="8"/>
      <c r="U2535" s="8" t="s">
        <v>3111</v>
      </c>
      <c r="V2535" s="13" t="s">
        <v>38</v>
      </c>
      <c r="W2535" s="13" t="s">
        <v>12270</v>
      </c>
      <c r="X2535" s="12"/>
      <c r="Y2535" s="14"/>
      <c r="Z2535" s="14"/>
    </row>
    <row r="2536">
      <c r="A2536" s="8" t="s">
        <v>12271</v>
      </c>
      <c r="B2536" s="8" t="s">
        <v>12272</v>
      </c>
      <c r="C2536" s="8" t="s">
        <v>179</v>
      </c>
      <c r="D2536" s="8" t="s">
        <v>26</v>
      </c>
      <c r="E2536" s="8" t="s">
        <v>12273</v>
      </c>
      <c r="F2536" s="8">
        <v>1.006529006E9</v>
      </c>
      <c r="G2536" s="8" t="s">
        <v>284</v>
      </c>
      <c r="H2536" s="8" t="s">
        <v>673</v>
      </c>
      <c r="I2536" s="8" t="s">
        <v>31</v>
      </c>
      <c r="J2536" s="8" t="s">
        <v>56</v>
      </c>
      <c r="K2536" s="10" t="s">
        <v>12274</v>
      </c>
      <c r="L2536" s="8" t="s">
        <v>58</v>
      </c>
      <c r="M2536" s="8" t="s">
        <v>35</v>
      </c>
      <c r="N2536" s="11">
        <v>45101.0</v>
      </c>
      <c r="O2536" s="11">
        <v>45180.0</v>
      </c>
      <c r="P2536" s="11">
        <v>45222.0</v>
      </c>
      <c r="Q2536" s="11"/>
      <c r="R2536" s="11"/>
      <c r="S2536" s="12"/>
      <c r="T2536" s="8"/>
      <c r="U2536" s="8" t="s">
        <v>161</v>
      </c>
      <c r="V2536" s="13" t="s">
        <v>674</v>
      </c>
      <c r="W2536" s="13" t="s">
        <v>12275</v>
      </c>
      <c r="X2536" s="12"/>
      <c r="Y2536" s="14"/>
      <c r="Z2536" s="14"/>
    </row>
    <row r="2537">
      <c r="A2537" s="8" t="s">
        <v>12276</v>
      </c>
      <c r="B2537" s="8" t="s">
        <v>12277</v>
      </c>
      <c r="C2537" s="8" t="s">
        <v>179</v>
      </c>
      <c r="D2537" s="8" t="s">
        <v>26</v>
      </c>
      <c r="E2537" s="8" t="s">
        <v>12278</v>
      </c>
      <c r="F2537" s="8">
        <v>5.415102604E9</v>
      </c>
      <c r="G2537" s="8" t="s">
        <v>31</v>
      </c>
      <c r="H2537" s="8" t="s">
        <v>56</v>
      </c>
      <c r="I2537" s="8" t="s">
        <v>399</v>
      </c>
      <c r="J2537" s="8" t="s">
        <v>1381</v>
      </c>
      <c r="K2537" s="10" t="s">
        <v>4261</v>
      </c>
      <c r="L2537" s="8" t="s">
        <v>58</v>
      </c>
      <c r="M2537" s="8" t="s">
        <v>35</v>
      </c>
      <c r="N2537" s="11">
        <v>45101.0</v>
      </c>
      <c r="O2537" s="11">
        <v>45138.0</v>
      </c>
      <c r="P2537" s="11">
        <v>45180.0</v>
      </c>
      <c r="Q2537" s="11"/>
      <c r="R2537" s="11"/>
      <c r="S2537" s="12"/>
      <c r="T2537" s="8"/>
      <c r="U2537" s="8" t="s">
        <v>402</v>
      </c>
      <c r="V2537" s="13" t="s">
        <v>56</v>
      </c>
      <c r="W2537" s="13" t="s">
        <v>12279</v>
      </c>
      <c r="X2537" s="12"/>
      <c r="Y2537" s="14"/>
      <c r="Z2537" s="14"/>
    </row>
    <row r="2538">
      <c r="A2538" s="8" t="s">
        <v>12280</v>
      </c>
      <c r="B2538" s="8" t="s">
        <v>12281</v>
      </c>
      <c r="C2538" s="8" t="s">
        <v>251</v>
      </c>
      <c r="D2538" s="8" t="s">
        <v>26</v>
      </c>
      <c r="E2538" s="8" t="s">
        <v>12282</v>
      </c>
      <c r="F2538" s="8">
        <v>5.320150897E9</v>
      </c>
      <c r="G2538" s="8" t="s">
        <v>31</v>
      </c>
      <c r="H2538" s="8" t="s">
        <v>56</v>
      </c>
      <c r="I2538" s="8" t="s">
        <v>399</v>
      </c>
      <c r="J2538" s="8" t="s">
        <v>1381</v>
      </c>
      <c r="K2538" s="10" t="s">
        <v>4261</v>
      </c>
      <c r="L2538" s="8" t="s">
        <v>58</v>
      </c>
      <c r="M2538" s="8" t="s">
        <v>35</v>
      </c>
      <c r="N2538" s="11">
        <v>45101.0</v>
      </c>
      <c r="O2538" s="11">
        <v>45138.0</v>
      </c>
      <c r="P2538" s="11">
        <v>45180.0</v>
      </c>
      <c r="Q2538" s="11"/>
      <c r="R2538" s="11"/>
      <c r="S2538" s="12"/>
      <c r="T2538" s="8"/>
      <c r="U2538" s="8" t="s">
        <v>402</v>
      </c>
      <c r="V2538" s="13" t="s">
        <v>56</v>
      </c>
      <c r="W2538" s="13" t="s">
        <v>12283</v>
      </c>
      <c r="X2538" s="12"/>
      <c r="Y2538" s="14"/>
      <c r="Z2538" s="14"/>
    </row>
    <row r="2539">
      <c r="A2539" s="8" t="s">
        <v>12284</v>
      </c>
      <c r="B2539" s="8" t="s">
        <v>12285</v>
      </c>
      <c r="C2539" s="8" t="s">
        <v>251</v>
      </c>
      <c r="D2539" s="8" t="s">
        <v>26</v>
      </c>
      <c r="E2539" s="8" t="s">
        <v>12286</v>
      </c>
      <c r="F2539" s="8">
        <v>5.320150896E9</v>
      </c>
      <c r="G2539" s="8" t="s">
        <v>31</v>
      </c>
      <c r="H2539" s="8" t="s">
        <v>56</v>
      </c>
      <c r="I2539" s="8" t="s">
        <v>399</v>
      </c>
      <c r="J2539" s="8" t="s">
        <v>1381</v>
      </c>
      <c r="K2539" s="10" t="s">
        <v>4261</v>
      </c>
      <c r="L2539" s="8" t="s">
        <v>58</v>
      </c>
      <c r="M2539" s="8" t="s">
        <v>35</v>
      </c>
      <c r="N2539" s="11">
        <v>45101.0</v>
      </c>
      <c r="O2539" s="11">
        <v>45138.0</v>
      </c>
      <c r="P2539" s="11">
        <v>45180.0</v>
      </c>
      <c r="Q2539" s="11"/>
      <c r="R2539" s="11"/>
      <c r="S2539" s="12"/>
      <c r="T2539" s="8"/>
      <c r="U2539" s="8" t="s">
        <v>402</v>
      </c>
      <c r="V2539" s="13" t="s">
        <v>56</v>
      </c>
      <c r="W2539" s="13" t="s">
        <v>12287</v>
      </c>
      <c r="X2539" s="12"/>
      <c r="Y2539" s="14"/>
      <c r="Z2539" s="14"/>
    </row>
    <row r="2540">
      <c r="A2540" s="8" t="s">
        <v>12288</v>
      </c>
      <c r="B2540" s="8" t="s">
        <v>12289</v>
      </c>
      <c r="C2540" s="8" t="s">
        <v>25</v>
      </c>
      <c r="D2540" s="8" t="s">
        <v>26</v>
      </c>
      <c r="E2540" s="8" t="s">
        <v>12290</v>
      </c>
      <c r="F2540" s="8">
        <v>5.3017296E7</v>
      </c>
      <c r="G2540" s="8" t="s">
        <v>54</v>
      </c>
      <c r="H2540" s="8" t="s">
        <v>377</v>
      </c>
      <c r="I2540" s="8" t="s">
        <v>31</v>
      </c>
      <c r="J2540" s="8" t="s">
        <v>77</v>
      </c>
      <c r="K2540" s="10" t="s">
        <v>2417</v>
      </c>
      <c r="L2540" s="8" t="s">
        <v>58</v>
      </c>
      <c r="M2540" s="8" t="s">
        <v>35</v>
      </c>
      <c r="N2540" s="11">
        <v>45102.0</v>
      </c>
      <c r="O2540" s="11">
        <v>45152.0</v>
      </c>
      <c r="P2540" s="11">
        <v>45194.0</v>
      </c>
      <c r="Q2540" s="11">
        <v>45152.0</v>
      </c>
      <c r="R2540" s="11">
        <v>45194.0</v>
      </c>
      <c r="S2540" s="12"/>
      <c r="T2540" s="8"/>
      <c r="U2540" s="8" t="s">
        <v>59</v>
      </c>
      <c r="V2540" s="13" t="s">
        <v>2855</v>
      </c>
      <c r="W2540" s="13" t="s">
        <v>12291</v>
      </c>
      <c r="X2540" s="12"/>
      <c r="Y2540" s="14"/>
      <c r="Z2540" s="14"/>
    </row>
    <row r="2541">
      <c r="A2541" s="8" t="s">
        <v>12292</v>
      </c>
      <c r="B2541" s="8" t="s">
        <v>1348</v>
      </c>
      <c r="C2541" s="8" t="s">
        <v>335</v>
      </c>
      <c r="D2541" s="8" t="s">
        <v>26</v>
      </c>
      <c r="E2541" s="8" t="s">
        <v>1349</v>
      </c>
      <c r="F2541" s="8">
        <v>5.42067871E8</v>
      </c>
      <c r="G2541" s="8" t="s">
        <v>254</v>
      </c>
      <c r="H2541" s="8" t="s">
        <v>422</v>
      </c>
      <c r="I2541" s="8" t="s">
        <v>31</v>
      </c>
      <c r="J2541" s="8" t="s">
        <v>43</v>
      </c>
      <c r="K2541" s="10" t="s">
        <v>11939</v>
      </c>
      <c r="L2541" s="8" t="s">
        <v>47</v>
      </c>
      <c r="M2541" s="8" t="s">
        <v>70</v>
      </c>
      <c r="N2541" s="11">
        <v>45139.0</v>
      </c>
      <c r="O2541" s="11">
        <v>45170.0</v>
      </c>
      <c r="P2541" s="11">
        <v>45474.0</v>
      </c>
      <c r="Q2541" s="11"/>
      <c r="R2541" s="11"/>
      <c r="S2541" s="12"/>
      <c r="T2541" s="8"/>
      <c r="U2541" s="8" t="s">
        <v>12293</v>
      </c>
      <c r="V2541" s="13" t="s">
        <v>425</v>
      </c>
      <c r="W2541" s="13" t="s">
        <v>1350</v>
      </c>
      <c r="X2541" s="12"/>
      <c r="Y2541" s="14"/>
      <c r="Z2541" s="14"/>
    </row>
    <row r="2542">
      <c r="A2542" s="8" t="s">
        <v>12294</v>
      </c>
      <c r="B2542" s="8" t="s">
        <v>12295</v>
      </c>
      <c r="C2542" s="8" t="s">
        <v>64</v>
      </c>
      <c r="D2542" s="8" t="s">
        <v>26</v>
      </c>
      <c r="E2542" s="8" t="s">
        <v>12296</v>
      </c>
      <c r="F2542" s="8">
        <v>7.779734115E9</v>
      </c>
      <c r="G2542" s="8" t="s">
        <v>496</v>
      </c>
      <c r="H2542" s="8" t="s">
        <v>497</v>
      </c>
      <c r="I2542" s="8" t="s">
        <v>31</v>
      </c>
      <c r="J2542" s="8" t="s">
        <v>292</v>
      </c>
      <c r="K2542" s="10" t="s">
        <v>11586</v>
      </c>
      <c r="L2542" s="8" t="s">
        <v>58</v>
      </c>
      <c r="M2542" s="8" t="s">
        <v>35</v>
      </c>
      <c r="N2542" s="11">
        <v>45102.0</v>
      </c>
      <c r="O2542" s="11">
        <v>45110.0</v>
      </c>
      <c r="P2542" s="11">
        <v>45152.0</v>
      </c>
      <c r="Q2542" s="11">
        <v>45109.0</v>
      </c>
      <c r="R2542" s="11">
        <v>45152.0</v>
      </c>
      <c r="S2542" s="12"/>
      <c r="T2542" s="8"/>
      <c r="U2542" s="8" t="s">
        <v>88</v>
      </c>
      <c r="V2542" s="13" t="s">
        <v>6955</v>
      </c>
      <c r="W2542" s="13" t="s">
        <v>12297</v>
      </c>
      <c r="X2542" s="12"/>
      <c r="Y2542" s="14"/>
      <c r="Z2542" s="14"/>
    </row>
    <row r="2543">
      <c r="A2543" s="8" t="s">
        <v>12298</v>
      </c>
      <c r="B2543" s="8" t="s">
        <v>12299</v>
      </c>
      <c r="C2543" s="8" t="s">
        <v>708</v>
      </c>
      <c r="D2543" s="8" t="s">
        <v>26</v>
      </c>
      <c r="E2543" s="8" t="s">
        <v>12300</v>
      </c>
      <c r="F2543" s="8">
        <v>5.0021643E7</v>
      </c>
      <c r="G2543" s="8" t="s">
        <v>54</v>
      </c>
      <c r="H2543" s="8" t="s">
        <v>377</v>
      </c>
      <c r="I2543" s="8" t="s">
        <v>31</v>
      </c>
      <c r="J2543" s="8" t="s">
        <v>77</v>
      </c>
      <c r="K2543" s="10" t="s">
        <v>1972</v>
      </c>
      <c r="L2543" s="8" t="s">
        <v>47</v>
      </c>
      <c r="M2543" s="8" t="s">
        <v>70</v>
      </c>
      <c r="N2543" s="11">
        <v>45103.0</v>
      </c>
      <c r="O2543" s="11">
        <v>45166.0</v>
      </c>
      <c r="P2543" s="11">
        <v>45458.0</v>
      </c>
      <c r="Q2543" s="11">
        <v>45169.0</v>
      </c>
      <c r="R2543" s="11">
        <v>45464.0</v>
      </c>
      <c r="S2543" s="12"/>
      <c r="T2543" s="8"/>
      <c r="U2543" s="8" t="s">
        <v>1973</v>
      </c>
      <c r="V2543" s="13" t="s">
        <v>1604</v>
      </c>
      <c r="W2543" s="13" t="s">
        <v>12301</v>
      </c>
      <c r="X2543" s="12"/>
      <c r="Y2543" s="14"/>
      <c r="Z2543" s="14"/>
    </row>
    <row r="2544">
      <c r="A2544" s="8" t="s">
        <v>12302</v>
      </c>
      <c r="B2544" s="8" t="s">
        <v>12303</v>
      </c>
      <c r="C2544" s="8" t="s">
        <v>25</v>
      </c>
      <c r="D2544" s="8" t="s">
        <v>26</v>
      </c>
      <c r="E2544" s="8" t="s">
        <v>12304</v>
      </c>
      <c r="F2544" s="8"/>
      <c r="G2544" s="8" t="s">
        <v>54</v>
      </c>
      <c r="H2544" s="8" t="s">
        <v>377</v>
      </c>
      <c r="I2544" s="8" t="s">
        <v>31</v>
      </c>
      <c r="J2544" s="8" t="s">
        <v>77</v>
      </c>
      <c r="K2544" s="10" t="s">
        <v>94</v>
      </c>
      <c r="L2544" s="8" t="s">
        <v>58</v>
      </c>
      <c r="M2544" s="8" t="s">
        <v>35</v>
      </c>
      <c r="N2544" s="11">
        <v>45103.0</v>
      </c>
      <c r="O2544" s="11">
        <v>45110.0</v>
      </c>
      <c r="P2544" s="11">
        <v>45152.0</v>
      </c>
      <c r="Q2544" s="11">
        <v>45103.0</v>
      </c>
      <c r="R2544" s="11">
        <v>45152.0</v>
      </c>
      <c r="S2544" s="12"/>
      <c r="T2544" s="8"/>
      <c r="U2544" s="8" t="s">
        <v>59</v>
      </c>
      <c r="V2544" s="13" t="s">
        <v>2855</v>
      </c>
      <c r="W2544" s="13" t="s">
        <v>12305</v>
      </c>
      <c r="X2544" s="12"/>
      <c r="Y2544" s="14"/>
      <c r="Z2544" s="14"/>
    </row>
    <row r="2545">
      <c r="A2545" s="8" t="s">
        <v>12306</v>
      </c>
      <c r="B2545" s="8" t="s">
        <v>12307</v>
      </c>
      <c r="C2545" s="8" t="s">
        <v>708</v>
      </c>
      <c r="D2545" s="8" t="s">
        <v>26</v>
      </c>
      <c r="E2545" s="8" t="s">
        <v>12308</v>
      </c>
      <c r="F2545" s="8">
        <v>5.35898E7</v>
      </c>
      <c r="G2545" s="8" t="s">
        <v>54</v>
      </c>
      <c r="H2545" s="8" t="s">
        <v>377</v>
      </c>
      <c r="I2545" s="8" t="s">
        <v>31</v>
      </c>
      <c r="J2545" s="8" t="s">
        <v>77</v>
      </c>
      <c r="K2545" s="10" t="s">
        <v>1179</v>
      </c>
      <c r="L2545" s="8" t="s">
        <v>47</v>
      </c>
      <c r="M2545" s="8" t="s">
        <v>70</v>
      </c>
      <c r="N2545" s="11">
        <v>45103.0</v>
      </c>
      <c r="O2545" s="11">
        <v>45170.0</v>
      </c>
      <c r="P2545" s="11">
        <v>45445.0</v>
      </c>
      <c r="Q2545" s="11">
        <v>45246.0</v>
      </c>
      <c r="R2545" s="11">
        <v>45521.0</v>
      </c>
      <c r="S2545" s="12"/>
      <c r="T2545" s="8"/>
      <c r="U2545" s="8" t="s">
        <v>1180</v>
      </c>
      <c r="V2545" s="13" t="s">
        <v>1604</v>
      </c>
      <c r="W2545" s="13" t="s">
        <v>12309</v>
      </c>
      <c r="X2545" s="12"/>
      <c r="Y2545" s="14"/>
      <c r="Z2545" s="14"/>
    </row>
    <row r="2546">
      <c r="A2546" s="8" t="s">
        <v>12310</v>
      </c>
      <c r="B2546" s="8" t="s">
        <v>12311</v>
      </c>
      <c r="C2546" s="8" t="s">
        <v>179</v>
      </c>
      <c r="D2546" s="8" t="s">
        <v>26</v>
      </c>
      <c r="E2546" s="8" t="s">
        <v>12312</v>
      </c>
      <c r="F2546" s="9" t="s">
        <v>12313</v>
      </c>
      <c r="G2546" s="8" t="s">
        <v>84</v>
      </c>
      <c r="H2546" s="8" t="s">
        <v>1551</v>
      </c>
      <c r="I2546" s="8" t="s">
        <v>31</v>
      </c>
      <c r="J2546" s="8" t="s">
        <v>292</v>
      </c>
      <c r="K2546" s="10" t="s">
        <v>11481</v>
      </c>
      <c r="L2546" s="8" t="s">
        <v>58</v>
      </c>
      <c r="M2546" s="8" t="s">
        <v>35</v>
      </c>
      <c r="N2546" s="11">
        <v>45103.0</v>
      </c>
      <c r="O2546" s="11">
        <v>45250.0</v>
      </c>
      <c r="P2546" s="11">
        <v>45292.0</v>
      </c>
      <c r="Q2546" s="11"/>
      <c r="R2546" s="11"/>
      <c r="S2546" s="12"/>
      <c r="T2546" s="8"/>
      <c r="U2546" s="8" t="s">
        <v>88</v>
      </c>
      <c r="V2546" s="13" t="s">
        <v>1974</v>
      </c>
      <c r="W2546" s="13" t="s">
        <v>12314</v>
      </c>
      <c r="X2546" s="12"/>
      <c r="Y2546" s="14"/>
      <c r="Z2546" s="14"/>
    </row>
    <row r="2547">
      <c r="A2547" s="8" t="s">
        <v>12315</v>
      </c>
      <c r="B2547" s="8" t="s">
        <v>12316</v>
      </c>
      <c r="C2547" s="8" t="s">
        <v>708</v>
      </c>
      <c r="D2547" s="8" t="s">
        <v>26</v>
      </c>
      <c r="E2547" s="8" t="s">
        <v>12317</v>
      </c>
      <c r="F2547" s="8">
        <v>7.9528596E8</v>
      </c>
      <c r="G2547" s="8" t="s">
        <v>254</v>
      </c>
      <c r="H2547" s="8" t="s">
        <v>1007</v>
      </c>
      <c r="I2547" s="8" t="s">
        <v>31</v>
      </c>
      <c r="J2547" s="8" t="s">
        <v>542</v>
      </c>
      <c r="K2547" s="10" t="s">
        <v>8953</v>
      </c>
      <c r="L2547" s="8" t="s">
        <v>34</v>
      </c>
      <c r="M2547" s="8" t="s">
        <v>70</v>
      </c>
      <c r="N2547" s="11">
        <v>45103.0</v>
      </c>
      <c r="O2547" s="11">
        <v>45166.0</v>
      </c>
      <c r="P2547" s="11">
        <v>45520.0</v>
      </c>
      <c r="Q2547" s="11">
        <v>45170.0</v>
      </c>
      <c r="R2547" s="11">
        <v>45524.0</v>
      </c>
      <c r="S2547" s="12"/>
      <c r="T2547" s="8" t="s">
        <v>36</v>
      </c>
      <c r="U2547" s="8" t="s">
        <v>8954</v>
      </c>
      <c r="V2547" s="13" t="s">
        <v>1249</v>
      </c>
      <c r="W2547" s="13" t="s">
        <v>12318</v>
      </c>
      <c r="X2547" s="12"/>
      <c r="Y2547" s="14"/>
      <c r="Z2547" s="14"/>
    </row>
    <row r="2548">
      <c r="A2548" s="8" t="s">
        <v>12319</v>
      </c>
      <c r="B2548" s="8" t="s">
        <v>12320</v>
      </c>
      <c r="C2548" s="8" t="s">
        <v>708</v>
      </c>
      <c r="D2548" s="8" t="s">
        <v>26</v>
      </c>
      <c r="E2548" s="8" t="s">
        <v>12321</v>
      </c>
      <c r="F2548" s="8">
        <v>5.3556599E7</v>
      </c>
      <c r="G2548" s="8" t="s">
        <v>54</v>
      </c>
      <c r="H2548" s="8" t="s">
        <v>76</v>
      </c>
      <c r="I2548" s="8" t="s">
        <v>31</v>
      </c>
      <c r="J2548" s="8" t="s">
        <v>77</v>
      </c>
      <c r="K2548" s="10" t="s">
        <v>12322</v>
      </c>
      <c r="L2548" s="8" t="s">
        <v>47</v>
      </c>
      <c r="M2548" s="8" t="s">
        <v>70</v>
      </c>
      <c r="N2548" s="11">
        <v>45103.0</v>
      </c>
      <c r="O2548" s="11">
        <v>45173.0</v>
      </c>
      <c r="P2548" s="11">
        <v>45471.0</v>
      </c>
      <c r="Q2548" s="11">
        <v>45169.0</v>
      </c>
      <c r="R2548" s="11">
        <v>45471.0</v>
      </c>
      <c r="S2548" s="12"/>
      <c r="T2548" s="8"/>
      <c r="U2548" s="8" t="s">
        <v>9750</v>
      </c>
      <c r="V2548" s="13" t="s">
        <v>573</v>
      </c>
      <c r="W2548" s="13" t="s">
        <v>12323</v>
      </c>
      <c r="X2548" s="12"/>
      <c r="Y2548" s="14"/>
      <c r="Z2548" s="14"/>
    </row>
    <row r="2549">
      <c r="A2549" s="8" t="s">
        <v>12324</v>
      </c>
      <c r="B2549" s="8" t="s">
        <v>12325</v>
      </c>
      <c r="C2549" s="8" t="s">
        <v>179</v>
      </c>
      <c r="D2549" s="8" t="s">
        <v>26</v>
      </c>
      <c r="E2549" s="8" t="s">
        <v>12326</v>
      </c>
      <c r="F2549" s="8">
        <v>5.456222421E9</v>
      </c>
      <c r="G2549" s="8" t="s">
        <v>31</v>
      </c>
      <c r="H2549" s="8" t="s">
        <v>111</v>
      </c>
      <c r="I2549" s="8" t="s">
        <v>284</v>
      </c>
      <c r="J2549" s="8" t="s">
        <v>854</v>
      </c>
      <c r="K2549" s="10" t="s">
        <v>12327</v>
      </c>
      <c r="L2549" s="8" t="s">
        <v>58</v>
      </c>
      <c r="M2549" s="8" t="s">
        <v>35</v>
      </c>
      <c r="N2549" s="11">
        <v>45103.0</v>
      </c>
      <c r="O2549" s="11">
        <v>45108.0</v>
      </c>
      <c r="P2549" s="11">
        <v>45153.0</v>
      </c>
      <c r="Q2549" s="11"/>
      <c r="R2549" s="11"/>
      <c r="S2549" s="12"/>
      <c r="T2549" s="8"/>
      <c r="U2549" s="8" t="s">
        <v>153</v>
      </c>
      <c r="V2549" s="13" t="s">
        <v>77</v>
      </c>
      <c r="W2549" s="13" t="s">
        <v>12328</v>
      </c>
      <c r="X2549" s="12"/>
      <c r="Y2549" s="14"/>
      <c r="Z2549" s="14"/>
    </row>
    <row r="2550">
      <c r="A2550" s="8" t="s">
        <v>12329</v>
      </c>
      <c r="B2550" s="8" t="s">
        <v>12330</v>
      </c>
      <c r="C2550" s="8" t="s">
        <v>25</v>
      </c>
      <c r="D2550" s="8" t="s">
        <v>26</v>
      </c>
      <c r="E2550" s="8" t="s">
        <v>12331</v>
      </c>
      <c r="F2550" s="8">
        <v>5.348865522E9</v>
      </c>
      <c r="G2550" s="8" t="s">
        <v>31</v>
      </c>
      <c r="H2550" s="8" t="s">
        <v>270</v>
      </c>
      <c r="I2550" s="8" t="s">
        <v>284</v>
      </c>
      <c r="J2550" s="8" t="s">
        <v>793</v>
      </c>
      <c r="K2550" s="10" t="s">
        <v>8983</v>
      </c>
      <c r="L2550" s="8" t="s">
        <v>58</v>
      </c>
      <c r="M2550" s="8" t="s">
        <v>35</v>
      </c>
      <c r="N2550" s="11">
        <v>45103.0</v>
      </c>
      <c r="O2550" s="11">
        <v>45108.0</v>
      </c>
      <c r="P2550" s="11">
        <v>45150.0</v>
      </c>
      <c r="Q2550" s="11">
        <v>45109.0</v>
      </c>
      <c r="R2550" s="11">
        <v>45151.0</v>
      </c>
      <c r="S2550" s="12"/>
      <c r="T2550" s="8"/>
      <c r="U2550" s="8" t="s">
        <v>1038</v>
      </c>
      <c r="V2550" s="13" t="s">
        <v>1032</v>
      </c>
      <c r="W2550" s="13" t="s">
        <v>12332</v>
      </c>
      <c r="X2550" s="12"/>
      <c r="Y2550" s="14"/>
      <c r="Z2550" s="14"/>
    </row>
    <row r="2551">
      <c r="A2551" s="8" t="s">
        <v>12333</v>
      </c>
      <c r="B2551" s="8" t="s">
        <v>12334</v>
      </c>
      <c r="C2551" s="8" t="s">
        <v>708</v>
      </c>
      <c r="D2551" s="8" t="s">
        <v>26</v>
      </c>
      <c r="E2551" s="8" t="s">
        <v>12335</v>
      </c>
      <c r="F2551" s="8">
        <v>2.8606181E7</v>
      </c>
      <c r="G2551" s="8" t="s">
        <v>54</v>
      </c>
      <c r="H2551" s="8" t="s">
        <v>135</v>
      </c>
      <c r="I2551" s="8" t="s">
        <v>31</v>
      </c>
      <c r="J2551" s="8" t="s">
        <v>66</v>
      </c>
      <c r="K2551" s="10" t="s">
        <v>4901</v>
      </c>
      <c r="L2551" s="8" t="s">
        <v>47</v>
      </c>
      <c r="M2551" s="8" t="s">
        <v>70</v>
      </c>
      <c r="N2551" s="11">
        <v>45103.0</v>
      </c>
      <c r="O2551" s="11">
        <v>45139.0</v>
      </c>
      <c r="P2551" s="11">
        <v>45505.0</v>
      </c>
      <c r="Q2551" s="11">
        <v>45182.0</v>
      </c>
      <c r="R2551" s="11">
        <v>45546.0</v>
      </c>
      <c r="S2551" s="12"/>
      <c r="T2551" s="8"/>
      <c r="U2551" s="8" t="s">
        <v>4902</v>
      </c>
      <c r="V2551" s="13" t="s">
        <v>138</v>
      </c>
      <c r="W2551" s="13" t="s">
        <v>12336</v>
      </c>
      <c r="X2551" s="12"/>
      <c r="Y2551" s="14"/>
      <c r="Z2551" s="14"/>
    </row>
    <row r="2552">
      <c r="A2552" s="8" t="s">
        <v>12337</v>
      </c>
      <c r="B2552" s="8" t="s">
        <v>12338</v>
      </c>
      <c r="C2552" s="8" t="s">
        <v>708</v>
      </c>
      <c r="D2552" s="8" t="s">
        <v>26</v>
      </c>
      <c r="E2552" s="8" t="s">
        <v>12339</v>
      </c>
      <c r="F2552" s="8"/>
      <c r="G2552" s="8" t="s">
        <v>54</v>
      </c>
      <c r="H2552" s="8" t="s">
        <v>135</v>
      </c>
      <c r="I2552" s="8" t="s">
        <v>31</v>
      </c>
      <c r="J2552" s="8" t="s">
        <v>56</v>
      </c>
      <c r="K2552" s="10" t="s">
        <v>12340</v>
      </c>
      <c r="L2552" s="8" t="s">
        <v>34</v>
      </c>
      <c r="M2552" s="8" t="s">
        <v>70</v>
      </c>
      <c r="N2552" s="11">
        <v>45103.0</v>
      </c>
      <c r="O2552" s="11">
        <v>45107.0</v>
      </c>
      <c r="P2552" s="11">
        <v>45471.0</v>
      </c>
      <c r="Q2552" s="11">
        <v>45141.0</v>
      </c>
      <c r="R2552" s="11">
        <v>45503.0</v>
      </c>
      <c r="S2552" s="12"/>
      <c r="T2552" s="8" t="s">
        <v>205</v>
      </c>
      <c r="U2552" s="8" t="s">
        <v>12341</v>
      </c>
      <c r="V2552" s="13" t="s">
        <v>38</v>
      </c>
      <c r="W2552" s="13" t="s">
        <v>12342</v>
      </c>
      <c r="X2552" s="12"/>
      <c r="Y2552" s="14"/>
      <c r="Z2552" s="14"/>
    </row>
    <row r="2553">
      <c r="A2553" s="8" t="s">
        <v>12343</v>
      </c>
      <c r="B2553" s="8" t="s">
        <v>12344</v>
      </c>
      <c r="C2553" s="8" t="s">
        <v>708</v>
      </c>
      <c r="D2553" s="8" t="s">
        <v>26</v>
      </c>
      <c r="E2553" s="8" t="s">
        <v>12345</v>
      </c>
      <c r="F2553" s="8">
        <v>5.2818651E7</v>
      </c>
      <c r="G2553" s="8" t="s">
        <v>54</v>
      </c>
      <c r="H2553" s="8" t="s">
        <v>55</v>
      </c>
      <c r="I2553" s="8" t="s">
        <v>31</v>
      </c>
      <c r="J2553" s="8" t="s">
        <v>86</v>
      </c>
      <c r="K2553" s="10" t="s">
        <v>2706</v>
      </c>
      <c r="L2553" s="8" t="s">
        <v>47</v>
      </c>
      <c r="M2553" s="8" t="s">
        <v>70</v>
      </c>
      <c r="N2553" s="11">
        <v>45104.0</v>
      </c>
      <c r="O2553" s="11">
        <v>45152.0</v>
      </c>
      <c r="P2553" s="11">
        <v>45522.0</v>
      </c>
      <c r="Q2553" s="11">
        <v>45152.0</v>
      </c>
      <c r="R2553" s="11">
        <v>45522.0</v>
      </c>
      <c r="S2553" s="12"/>
      <c r="T2553" s="8"/>
      <c r="U2553" s="8" t="s">
        <v>2707</v>
      </c>
      <c r="V2553" s="13" t="s">
        <v>60</v>
      </c>
      <c r="W2553" s="13" t="s">
        <v>12346</v>
      </c>
      <c r="X2553" s="12"/>
      <c r="Y2553" s="14"/>
      <c r="Z2553" s="14"/>
    </row>
    <row r="2554">
      <c r="A2554" s="8" t="s">
        <v>12347</v>
      </c>
      <c r="B2554" s="8" t="s">
        <v>12348</v>
      </c>
      <c r="C2554" s="8" t="s">
        <v>179</v>
      </c>
      <c r="D2554" s="8" t="s">
        <v>26</v>
      </c>
      <c r="E2554" s="8" t="s">
        <v>12349</v>
      </c>
      <c r="F2554" s="8">
        <v>5.380224718E9</v>
      </c>
      <c r="G2554" s="8" t="s">
        <v>31</v>
      </c>
      <c r="H2554" s="8" t="s">
        <v>292</v>
      </c>
      <c r="I2554" s="8" t="s">
        <v>44</v>
      </c>
      <c r="J2554" s="8" t="s">
        <v>741</v>
      </c>
      <c r="K2554" s="10" t="s">
        <v>8264</v>
      </c>
      <c r="L2554" s="8" t="s">
        <v>58</v>
      </c>
      <c r="M2554" s="8" t="s">
        <v>35</v>
      </c>
      <c r="N2554" s="11">
        <v>45104.0</v>
      </c>
      <c r="O2554" s="11">
        <v>45184.0</v>
      </c>
      <c r="P2554" s="11">
        <v>45226.0</v>
      </c>
      <c r="Q2554" s="11"/>
      <c r="R2554" s="11"/>
      <c r="S2554" s="12"/>
      <c r="T2554" s="8"/>
      <c r="U2554" s="8" t="s">
        <v>1038</v>
      </c>
      <c r="V2554" s="13" t="s">
        <v>292</v>
      </c>
      <c r="W2554" s="13" t="s">
        <v>12350</v>
      </c>
      <c r="X2554" s="12"/>
      <c r="Y2554" s="14"/>
      <c r="Z2554" s="14"/>
    </row>
    <row r="2555">
      <c r="A2555" s="8" t="s">
        <v>12351</v>
      </c>
      <c r="B2555" s="8" t="s">
        <v>12352</v>
      </c>
      <c r="C2555" s="8" t="s">
        <v>25</v>
      </c>
      <c r="D2555" s="8" t="s">
        <v>26</v>
      </c>
      <c r="E2555" s="8" t="s">
        <v>12353</v>
      </c>
      <c r="F2555" s="8">
        <v>6.66790499E8</v>
      </c>
      <c r="G2555" s="8" t="s">
        <v>254</v>
      </c>
      <c r="H2555" s="8" t="s">
        <v>1007</v>
      </c>
      <c r="I2555" s="8" t="s">
        <v>31</v>
      </c>
      <c r="J2555" s="8" t="s">
        <v>86</v>
      </c>
      <c r="K2555" s="10" t="s">
        <v>5483</v>
      </c>
      <c r="L2555" s="8" t="s">
        <v>58</v>
      </c>
      <c r="M2555" s="8" t="s">
        <v>35</v>
      </c>
      <c r="N2555" s="11">
        <v>45104.0</v>
      </c>
      <c r="O2555" s="11">
        <v>45145.0</v>
      </c>
      <c r="P2555" s="11">
        <v>45187.0</v>
      </c>
      <c r="Q2555" s="11">
        <v>45152.0</v>
      </c>
      <c r="R2555" s="11">
        <v>45192.0</v>
      </c>
      <c r="S2555" s="12"/>
      <c r="T2555" s="8"/>
      <c r="U2555" s="8" t="s">
        <v>59</v>
      </c>
      <c r="V2555" s="13" t="s">
        <v>1249</v>
      </c>
      <c r="W2555" s="13" t="s">
        <v>12354</v>
      </c>
      <c r="X2555" s="12"/>
      <c r="Y2555" s="14"/>
      <c r="Z2555" s="14"/>
    </row>
    <row r="2556">
      <c r="A2556" s="8" t="s">
        <v>12355</v>
      </c>
      <c r="B2556" s="8" t="s">
        <v>12356</v>
      </c>
      <c r="C2556" s="8" t="s">
        <v>179</v>
      </c>
      <c r="D2556" s="8" t="s">
        <v>26</v>
      </c>
      <c r="E2556" s="8" t="s">
        <v>12357</v>
      </c>
      <c r="F2556" s="8">
        <v>5.426195345E9</v>
      </c>
      <c r="G2556" s="8" t="s">
        <v>31</v>
      </c>
      <c r="H2556" s="8" t="s">
        <v>86</v>
      </c>
      <c r="I2556" s="8" t="s">
        <v>109</v>
      </c>
      <c r="J2556" s="8" t="s">
        <v>6047</v>
      </c>
      <c r="K2556" s="10" t="s">
        <v>12358</v>
      </c>
      <c r="L2556" s="8" t="s">
        <v>58</v>
      </c>
      <c r="M2556" s="8" t="s">
        <v>35</v>
      </c>
      <c r="N2556" s="11">
        <v>45104.0</v>
      </c>
      <c r="O2556" s="11">
        <v>45180.0</v>
      </c>
      <c r="P2556" s="11">
        <v>45222.0</v>
      </c>
      <c r="Q2556" s="11"/>
      <c r="R2556" s="11"/>
      <c r="S2556" s="12"/>
      <c r="T2556" s="8"/>
      <c r="U2556" s="8" t="s">
        <v>59</v>
      </c>
      <c r="V2556" s="13" t="s">
        <v>175</v>
      </c>
      <c r="W2556" s="13" t="s">
        <v>12359</v>
      </c>
      <c r="X2556" s="12"/>
      <c r="Y2556" s="14"/>
      <c r="Z2556" s="14"/>
    </row>
    <row r="2557">
      <c r="A2557" s="8" t="s">
        <v>12360</v>
      </c>
      <c r="B2557" s="8" t="s">
        <v>12361</v>
      </c>
      <c r="C2557" s="8" t="s">
        <v>25</v>
      </c>
      <c r="D2557" s="8" t="s">
        <v>26</v>
      </c>
      <c r="E2557" s="8" t="s">
        <v>12362</v>
      </c>
      <c r="F2557" s="8">
        <v>5.309453954E9</v>
      </c>
      <c r="G2557" s="8" t="s">
        <v>31</v>
      </c>
      <c r="H2557" s="8" t="s">
        <v>167</v>
      </c>
      <c r="I2557" s="8" t="s">
        <v>127</v>
      </c>
      <c r="J2557" s="8" t="s">
        <v>363</v>
      </c>
      <c r="K2557" s="10" t="s">
        <v>11623</v>
      </c>
      <c r="L2557" s="8" t="s">
        <v>58</v>
      </c>
      <c r="M2557" s="8" t="s">
        <v>35</v>
      </c>
      <c r="N2557" s="11">
        <v>45104.0</v>
      </c>
      <c r="O2557" s="11">
        <v>45139.0</v>
      </c>
      <c r="P2557" s="11">
        <v>45181.0</v>
      </c>
      <c r="Q2557" s="11">
        <v>45138.0</v>
      </c>
      <c r="R2557" s="11">
        <v>45181.0</v>
      </c>
      <c r="S2557" s="12"/>
      <c r="T2557" s="8"/>
      <c r="U2557" s="8" t="s">
        <v>185</v>
      </c>
      <c r="V2557" s="13" t="s">
        <v>167</v>
      </c>
      <c r="W2557" s="13" t="s">
        <v>12363</v>
      </c>
      <c r="X2557" s="12"/>
      <c r="Y2557" s="14"/>
      <c r="Z2557" s="14"/>
    </row>
    <row r="2558">
      <c r="A2558" s="8" t="s">
        <v>12364</v>
      </c>
      <c r="B2558" s="8" t="s">
        <v>12365</v>
      </c>
      <c r="C2558" s="8" t="s">
        <v>25</v>
      </c>
      <c r="D2558" s="8" t="s">
        <v>26</v>
      </c>
      <c r="E2558" s="8" t="s">
        <v>12366</v>
      </c>
      <c r="F2558" s="8"/>
      <c r="G2558" s="8" t="s">
        <v>31</v>
      </c>
      <c r="H2558" s="8" t="s">
        <v>56</v>
      </c>
      <c r="I2558" s="8" t="s">
        <v>284</v>
      </c>
      <c r="J2558" s="8" t="s">
        <v>589</v>
      </c>
      <c r="K2558" s="10" t="s">
        <v>12367</v>
      </c>
      <c r="L2558" s="8" t="s">
        <v>34</v>
      </c>
      <c r="M2558" s="8" t="s">
        <v>35</v>
      </c>
      <c r="N2558" s="11">
        <v>45104.0</v>
      </c>
      <c r="O2558" s="11">
        <v>45127.0</v>
      </c>
      <c r="P2558" s="11">
        <v>45210.0</v>
      </c>
      <c r="Q2558" s="11">
        <v>45127.0</v>
      </c>
      <c r="R2558" s="11">
        <v>45218.0</v>
      </c>
      <c r="S2558" s="12"/>
      <c r="T2558" s="8" t="s">
        <v>121</v>
      </c>
      <c r="U2558" s="8" t="s">
        <v>1062</v>
      </c>
      <c r="V2558" s="13" t="s">
        <v>38</v>
      </c>
      <c r="W2558" s="13" t="s">
        <v>12368</v>
      </c>
      <c r="X2558" s="12"/>
      <c r="Y2558" s="14"/>
      <c r="Z2558" s="14"/>
    </row>
    <row r="2559">
      <c r="A2559" s="8" t="s">
        <v>12369</v>
      </c>
      <c r="B2559" s="8" t="s">
        <v>12370</v>
      </c>
      <c r="C2559" s="8" t="s">
        <v>179</v>
      </c>
      <c r="D2559" s="8" t="s">
        <v>26</v>
      </c>
      <c r="E2559" s="8" t="s">
        <v>12371</v>
      </c>
      <c r="F2559" s="8">
        <v>6.75286183E8</v>
      </c>
      <c r="G2559" s="8" t="s">
        <v>254</v>
      </c>
      <c r="H2559" s="8" t="s">
        <v>1007</v>
      </c>
      <c r="I2559" s="8" t="s">
        <v>31</v>
      </c>
      <c r="J2559" s="8" t="s">
        <v>77</v>
      </c>
      <c r="K2559" s="10" t="s">
        <v>2555</v>
      </c>
      <c r="L2559" s="8" t="s">
        <v>58</v>
      </c>
      <c r="M2559" s="8" t="s">
        <v>35</v>
      </c>
      <c r="N2559" s="11">
        <v>45104.0</v>
      </c>
      <c r="O2559" s="11">
        <v>45145.0</v>
      </c>
      <c r="P2559" s="11">
        <v>45187.0</v>
      </c>
      <c r="Q2559" s="11"/>
      <c r="R2559" s="11"/>
      <c r="S2559" s="12"/>
      <c r="T2559" s="8"/>
      <c r="U2559" s="8" t="s">
        <v>371</v>
      </c>
      <c r="V2559" s="13" t="s">
        <v>1249</v>
      </c>
      <c r="W2559" s="13" t="s">
        <v>12372</v>
      </c>
      <c r="X2559" s="12"/>
      <c r="Y2559" s="14"/>
      <c r="Z2559" s="14"/>
    </row>
    <row r="2560">
      <c r="A2560" s="8" t="s">
        <v>12373</v>
      </c>
      <c r="B2560" s="8" t="s">
        <v>12374</v>
      </c>
      <c r="C2560" s="8" t="s">
        <v>708</v>
      </c>
      <c r="D2560" s="8" t="s">
        <v>26</v>
      </c>
      <c r="E2560" s="8" t="s">
        <v>12375</v>
      </c>
      <c r="F2560" s="8">
        <v>9.71468819E8</v>
      </c>
      <c r="G2560" s="8" t="s">
        <v>660</v>
      </c>
      <c r="H2560" s="8" t="s">
        <v>12376</v>
      </c>
      <c r="I2560" s="8" t="s">
        <v>31</v>
      </c>
      <c r="J2560" s="8" t="s">
        <v>86</v>
      </c>
      <c r="K2560" s="10" t="s">
        <v>5449</v>
      </c>
      <c r="L2560" s="8" t="s">
        <v>34</v>
      </c>
      <c r="M2560" s="8" t="s">
        <v>70</v>
      </c>
      <c r="N2560" s="11">
        <v>45104.0</v>
      </c>
      <c r="O2560" s="11">
        <v>45159.0</v>
      </c>
      <c r="P2560" s="11">
        <v>45660.0</v>
      </c>
      <c r="Q2560" s="11">
        <v>45180.0</v>
      </c>
      <c r="R2560" s="11">
        <v>45681.0</v>
      </c>
      <c r="S2560" s="12"/>
      <c r="T2560" s="8" t="s">
        <v>36</v>
      </c>
      <c r="U2560" s="8" t="s">
        <v>5450</v>
      </c>
      <c r="V2560" s="13" t="s">
        <v>38</v>
      </c>
      <c r="W2560" s="13" t="s">
        <v>12377</v>
      </c>
      <c r="X2560" s="12"/>
      <c r="Y2560" s="14"/>
      <c r="Z2560" s="14"/>
    </row>
    <row r="2561">
      <c r="A2561" s="8" t="s">
        <v>12378</v>
      </c>
      <c r="B2561" s="8" t="s">
        <v>12379</v>
      </c>
      <c r="C2561" s="8" t="s">
        <v>25</v>
      </c>
      <c r="D2561" s="8" t="s">
        <v>26</v>
      </c>
      <c r="E2561" s="8" t="s">
        <v>12380</v>
      </c>
      <c r="F2561" s="8">
        <v>5.302067795E9</v>
      </c>
      <c r="G2561" s="8" t="s">
        <v>31</v>
      </c>
      <c r="H2561" s="8" t="s">
        <v>102</v>
      </c>
      <c r="I2561" s="8" t="s">
        <v>284</v>
      </c>
      <c r="J2561" s="8" t="s">
        <v>589</v>
      </c>
      <c r="K2561" s="10" t="s">
        <v>12381</v>
      </c>
      <c r="L2561" s="8" t="s">
        <v>58</v>
      </c>
      <c r="M2561" s="8" t="s">
        <v>35</v>
      </c>
      <c r="N2561" s="11">
        <v>45104.0</v>
      </c>
      <c r="O2561" s="11">
        <v>45152.0</v>
      </c>
      <c r="P2561" s="11">
        <v>45194.0</v>
      </c>
      <c r="Q2561" s="11">
        <v>45153.0</v>
      </c>
      <c r="R2561" s="11">
        <v>45194.0</v>
      </c>
      <c r="S2561" s="12"/>
      <c r="T2561" s="8"/>
      <c r="U2561" s="8" t="s">
        <v>632</v>
      </c>
      <c r="V2561" s="13" t="s">
        <v>102</v>
      </c>
      <c r="W2561" s="13" t="s">
        <v>12382</v>
      </c>
      <c r="X2561" s="12"/>
      <c r="Y2561" s="14"/>
      <c r="Z2561" s="14"/>
    </row>
    <row r="2562">
      <c r="A2562" s="8" t="s">
        <v>12383</v>
      </c>
      <c r="B2562" s="8" t="s">
        <v>12384</v>
      </c>
      <c r="C2562" s="8" t="s">
        <v>25</v>
      </c>
      <c r="D2562" s="8" t="s">
        <v>26</v>
      </c>
      <c r="E2562" s="8" t="s">
        <v>12385</v>
      </c>
      <c r="F2562" s="8">
        <v>7.71966453E8</v>
      </c>
      <c r="G2562" s="8" t="s">
        <v>84</v>
      </c>
      <c r="H2562" s="8" t="s">
        <v>646</v>
      </c>
      <c r="I2562" s="8" t="s">
        <v>31</v>
      </c>
      <c r="J2562" s="8" t="s">
        <v>292</v>
      </c>
      <c r="K2562" s="10" t="s">
        <v>11660</v>
      </c>
      <c r="L2562" s="8" t="s">
        <v>58</v>
      </c>
      <c r="M2562" s="8" t="s">
        <v>35</v>
      </c>
      <c r="N2562" s="11">
        <v>45104.0</v>
      </c>
      <c r="O2562" s="11">
        <v>45152.0</v>
      </c>
      <c r="P2562" s="11">
        <v>45194.0</v>
      </c>
      <c r="Q2562" s="11">
        <v>45159.0</v>
      </c>
      <c r="R2562" s="11">
        <v>45199.0</v>
      </c>
      <c r="S2562" s="12"/>
      <c r="T2562" s="8"/>
      <c r="U2562" s="8" t="s">
        <v>88</v>
      </c>
      <c r="V2562" s="13" t="s">
        <v>12386</v>
      </c>
      <c r="W2562" s="13" t="s">
        <v>12387</v>
      </c>
      <c r="X2562" s="12"/>
      <c r="Y2562" s="14"/>
      <c r="Z2562" s="14"/>
    </row>
    <row r="2563">
      <c r="A2563" s="8" t="s">
        <v>12388</v>
      </c>
      <c r="B2563" s="8" t="s">
        <v>3839</v>
      </c>
      <c r="C2563" s="8" t="s">
        <v>25</v>
      </c>
      <c r="D2563" s="8" t="s">
        <v>26</v>
      </c>
      <c r="E2563" s="8" t="s">
        <v>12389</v>
      </c>
      <c r="F2563" s="8"/>
      <c r="G2563" s="8" t="s">
        <v>31</v>
      </c>
      <c r="H2563" s="8" t="s">
        <v>542</v>
      </c>
      <c r="I2563" s="8" t="s">
        <v>284</v>
      </c>
      <c r="J2563" s="8" t="s">
        <v>285</v>
      </c>
      <c r="K2563" s="10" t="s">
        <v>3841</v>
      </c>
      <c r="L2563" s="8" t="s">
        <v>58</v>
      </c>
      <c r="M2563" s="8" t="s">
        <v>35</v>
      </c>
      <c r="N2563" s="11">
        <v>45105.0</v>
      </c>
      <c r="O2563" s="11">
        <v>45108.0</v>
      </c>
      <c r="P2563" s="11">
        <v>45150.0</v>
      </c>
      <c r="Q2563" s="11">
        <v>45109.0</v>
      </c>
      <c r="R2563" s="11">
        <v>45150.0</v>
      </c>
      <c r="S2563" s="12"/>
      <c r="T2563" s="8"/>
      <c r="U2563" s="8" t="s">
        <v>1038</v>
      </c>
      <c r="V2563" s="13" t="s">
        <v>38</v>
      </c>
      <c r="W2563" s="13" t="s">
        <v>12390</v>
      </c>
      <c r="X2563" s="12"/>
      <c r="Y2563" s="14"/>
      <c r="Z2563" s="14"/>
    </row>
    <row r="2564">
      <c r="A2564" s="8" t="s">
        <v>12391</v>
      </c>
      <c r="B2564" s="8" t="s">
        <v>10956</v>
      </c>
      <c r="C2564" s="8" t="s">
        <v>25</v>
      </c>
      <c r="D2564" s="8" t="s">
        <v>26</v>
      </c>
      <c r="E2564" s="8" t="s">
        <v>10957</v>
      </c>
      <c r="F2564" s="8">
        <v>3.518446474E9</v>
      </c>
      <c r="G2564" s="8" t="s">
        <v>29</v>
      </c>
      <c r="H2564" s="8" t="s">
        <v>9867</v>
      </c>
      <c r="I2564" s="8" t="s">
        <v>31</v>
      </c>
      <c r="J2564" s="8" t="s">
        <v>43</v>
      </c>
      <c r="K2564" s="10" t="s">
        <v>10328</v>
      </c>
      <c r="L2564" s="8" t="s">
        <v>58</v>
      </c>
      <c r="M2564" s="8" t="s">
        <v>35</v>
      </c>
      <c r="N2564" s="11">
        <v>45105.0</v>
      </c>
      <c r="O2564" s="11">
        <v>45117.0</v>
      </c>
      <c r="P2564" s="11">
        <v>45159.0</v>
      </c>
      <c r="Q2564" s="11">
        <v>45112.0</v>
      </c>
      <c r="R2564" s="11">
        <v>45159.0</v>
      </c>
      <c r="S2564" s="12"/>
      <c r="T2564" s="8"/>
      <c r="U2564" s="8" t="s">
        <v>59</v>
      </c>
      <c r="V2564" s="13" t="s">
        <v>12392</v>
      </c>
      <c r="W2564" s="13" t="s">
        <v>10958</v>
      </c>
      <c r="X2564" s="12"/>
      <c r="Y2564" s="14"/>
      <c r="Z2564" s="14"/>
    </row>
    <row r="2565">
      <c r="A2565" s="8" t="s">
        <v>12393</v>
      </c>
      <c r="B2565" s="8" t="s">
        <v>11249</v>
      </c>
      <c r="C2565" s="8" t="s">
        <v>64</v>
      </c>
      <c r="D2565" s="8" t="s">
        <v>26</v>
      </c>
      <c r="E2565" s="8" t="s">
        <v>12394</v>
      </c>
      <c r="F2565" s="8">
        <v>7.751093556E9</v>
      </c>
      <c r="G2565" s="8" t="s">
        <v>496</v>
      </c>
      <c r="H2565" s="8" t="s">
        <v>2112</v>
      </c>
      <c r="I2565" s="8" t="s">
        <v>31</v>
      </c>
      <c r="J2565" s="8" t="s">
        <v>56</v>
      </c>
      <c r="K2565" s="10" t="s">
        <v>9756</v>
      </c>
      <c r="L2565" s="8" t="s">
        <v>58</v>
      </c>
      <c r="M2565" s="8" t="s">
        <v>35</v>
      </c>
      <c r="N2565" s="11">
        <v>45105.0</v>
      </c>
      <c r="O2565" s="11">
        <v>45110.0</v>
      </c>
      <c r="P2565" s="11">
        <v>45152.0</v>
      </c>
      <c r="Q2565" s="11">
        <v>45111.0</v>
      </c>
      <c r="R2565" s="11">
        <v>45152.0</v>
      </c>
      <c r="S2565" s="12"/>
      <c r="T2565" s="8"/>
      <c r="U2565" s="8" t="s">
        <v>59</v>
      </c>
      <c r="V2565" s="13" t="s">
        <v>2112</v>
      </c>
      <c r="W2565" s="13" t="s">
        <v>12395</v>
      </c>
      <c r="X2565" s="12"/>
      <c r="Y2565" s="14"/>
      <c r="Z2565" s="14"/>
    </row>
    <row r="2566">
      <c r="A2566" s="8" t="s">
        <v>12396</v>
      </c>
      <c r="B2566" s="8" t="s">
        <v>12397</v>
      </c>
      <c r="C2566" s="8" t="s">
        <v>179</v>
      </c>
      <c r="D2566" s="8" t="s">
        <v>26</v>
      </c>
      <c r="E2566" s="8" t="s">
        <v>12398</v>
      </c>
      <c r="F2566" s="8">
        <v>9.80252581E8</v>
      </c>
      <c r="G2566" s="8" t="s">
        <v>1620</v>
      </c>
      <c r="H2566" s="8" t="s">
        <v>10795</v>
      </c>
      <c r="I2566" s="8" t="s">
        <v>31</v>
      </c>
      <c r="J2566" s="8" t="s">
        <v>292</v>
      </c>
      <c r="K2566" s="10" t="s">
        <v>12399</v>
      </c>
      <c r="L2566" s="8" t="s">
        <v>58</v>
      </c>
      <c r="M2566" s="8" t="s">
        <v>35</v>
      </c>
      <c r="N2566" s="11">
        <v>45105.0</v>
      </c>
      <c r="O2566" s="11">
        <v>45201.0</v>
      </c>
      <c r="P2566" s="11">
        <v>45243.0</v>
      </c>
      <c r="Q2566" s="11"/>
      <c r="R2566" s="11"/>
      <c r="S2566" s="12"/>
      <c r="T2566" s="8"/>
      <c r="U2566" s="8" t="s">
        <v>88</v>
      </c>
      <c r="V2566" s="13" t="s">
        <v>12400</v>
      </c>
      <c r="W2566" s="13" t="s">
        <v>12401</v>
      </c>
      <c r="X2566" s="12"/>
      <c r="Y2566" s="14"/>
      <c r="Z2566" s="14"/>
    </row>
    <row r="2567">
      <c r="A2567" s="8" t="s">
        <v>12402</v>
      </c>
      <c r="B2567" s="8" t="s">
        <v>12403</v>
      </c>
      <c r="C2567" s="8" t="s">
        <v>708</v>
      </c>
      <c r="D2567" s="8" t="s">
        <v>26</v>
      </c>
      <c r="E2567" s="8" t="s">
        <v>12404</v>
      </c>
      <c r="F2567" s="9" t="s">
        <v>12405</v>
      </c>
      <c r="G2567" s="8" t="s">
        <v>109</v>
      </c>
      <c r="H2567" s="8" t="s">
        <v>12406</v>
      </c>
      <c r="I2567" s="8" t="s">
        <v>31</v>
      </c>
      <c r="J2567" s="8" t="s">
        <v>32</v>
      </c>
      <c r="K2567" s="10" t="s">
        <v>12407</v>
      </c>
      <c r="L2567" s="8" t="s">
        <v>34</v>
      </c>
      <c r="M2567" s="8" t="s">
        <v>70</v>
      </c>
      <c r="N2567" s="11">
        <v>45105.0</v>
      </c>
      <c r="O2567" s="11">
        <v>45138.0</v>
      </c>
      <c r="P2567" s="11">
        <v>45503.0</v>
      </c>
      <c r="Q2567" s="11">
        <v>45139.0</v>
      </c>
      <c r="R2567" s="11">
        <v>45505.0</v>
      </c>
      <c r="S2567" s="12"/>
      <c r="T2567" s="8" t="s">
        <v>1187</v>
      </c>
      <c r="U2567" s="8" t="s">
        <v>12408</v>
      </c>
      <c r="V2567" s="13" t="s">
        <v>12409</v>
      </c>
      <c r="W2567" s="13" t="s">
        <v>12410</v>
      </c>
      <c r="X2567" s="12"/>
      <c r="Y2567" s="14"/>
      <c r="Z2567" s="14"/>
    </row>
    <row r="2568">
      <c r="A2568" s="8" t="s">
        <v>12411</v>
      </c>
      <c r="B2568" s="8" t="s">
        <v>12412</v>
      </c>
      <c r="C2568" s="8" t="s">
        <v>708</v>
      </c>
      <c r="D2568" s="8" t="s">
        <v>26</v>
      </c>
      <c r="E2568" s="8" t="s">
        <v>12413</v>
      </c>
      <c r="F2568" s="8">
        <v>6.75855129E8</v>
      </c>
      <c r="G2568" s="8" t="s">
        <v>254</v>
      </c>
      <c r="H2568" s="8" t="s">
        <v>6960</v>
      </c>
      <c r="I2568" s="8" t="s">
        <v>31</v>
      </c>
      <c r="J2568" s="8" t="s">
        <v>438</v>
      </c>
      <c r="K2568" s="10" t="s">
        <v>1339</v>
      </c>
      <c r="L2568" s="8" t="s">
        <v>47</v>
      </c>
      <c r="M2568" s="8" t="s">
        <v>70</v>
      </c>
      <c r="N2568" s="11">
        <v>45105.0</v>
      </c>
      <c r="O2568" s="11">
        <v>45153.0</v>
      </c>
      <c r="P2568" s="11">
        <v>45518.0</v>
      </c>
      <c r="Q2568" s="11">
        <v>45153.0</v>
      </c>
      <c r="R2568" s="11">
        <v>45518.0</v>
      </c>
      <c r="S2568" s="12"/>
      <c r="T2568" s="8"/>
      <c r="U2568" s="8" t="s">
        <v>1340</v>
      </c>
      <c r="V2568" s="13" t="s">
        <v>1487</v>
      </c>
      <c r="W2568" s="13" t="s">
        <v>12414</v>
      </c>
      <c r="X2568" s="12"/>
      <c r="Y2568" s="14"/>
      <c r="Z2568" s="14"/>
    </row>
    <row r="2569">
      <c r="A2569" s="8" t="s">
        <v>12415</v>
      </c>
      <c r="B2569" s="8" t="s">
        <v>12416</v>
      </c>
      <c r="C2569" s="8" t="s">
        <v>179</v>
      </c>
      <c r="D2569" s="8" t="s">
        <v>26</v>
      </c>
      <c r="E2569" s="8" t="s">
        <v>12417</v>
      </c>
      <c r="F2569" s="8">
        <v>1.22474521E9</v>
      </c>
      <c r="G2569" s="8" t="s">
        <v>284</v>
      </c>
      <c r="H2569" s="8" t="s">
        <v>793</v>
      </c>
      <c r="I2569" s="8" t="s">
        <v>31</v>
      </c>
      <c r="J2569" s="8" t="s">
        <v>542</v>
      </c>
      <c r="K2569" s="10" t="s">
        <v>11666</v>
      </c>
      <c r="L2569" s="8" t="s">
        <v>58</v>
      </c>
      <c r="M2569" s="8" t="s">
        <v>35</v>
      </c>
      <c r="N2569" s="11">
        <v>45105.0</v>
      </c>
      <c r="O2569" s="11">
        <v>45159.0</v>
      </c>
      <c r="P2569" s="11">
        <v>45201.0</v>
      </c>
      <c r="Q2569" s="11"/>
      <c r="R2569" s="11"/>
      <c r="S2569" s="12"/>
      <c r="T2569" s="8"/>
      <c r="U2569" s="8" t="s">
        <v>161</v>
      </c>
      <c r="V2569" s="13" t="s">
        <v>793</v>
      </c>
      <c r="W2569" s="13" t="s">
        <v>12418</v>
      </c>
      <c r="X2569" s="12"/>
      <c r="Y2569" s="14"/>
      <c r="Z2569" s="14"/>
    </row>
    <row r="2570">
      <c r="A2570" s="8" t="s">
        <v>12419</v>
      </c>
      <c r="B2570" s="8" t="s">
        <v>12420</v>
      </c>
      <c r="C2570" s="8" t="s">
        <v>179</v>
      </c>
      <c r="D2570" s="8" t="s">
        <v>26</v>
      </c>
      <c r="E2570" s="8" t="s">
        <v>12421</v>
      </c>
      <c r="F2570" s="8">
        <v>5.04266466E8</v>
      </c>
      <c r="G2570" s="8" t="s">
        <v>1620</v>
      </c>
      <c r="H2570" s="8" t="s">
        <v>1635</v>
      </c>
      <c r="I2570" s="8" t="s">
        <v>31</v>
      </c>
      <c r="J2570" s="8" t="s">
        <v>43</v>
      </c>
      <c r="K2570" s="10" t="s">
        <v>8867</v>
      </c>
      <c r="L2570" s="8" t="s">
        <v>58</v>
      </c>
      <c r="M2570" s="8" t="s">
        <v>35</v>
      </c>
      <c r="N2570" s="11">
        <v>45105.0</v>
      </c>
      <c r="O2570" s="11">
        <v>45145.0</v>
      </c>
      <c r="P2570" s="11">
        <v>45191.0</v>
      </c>
      <c r="Q2570" s="11"/>
      <c r="R2570" s="11"/>
      <c r="S2570" s="12"/>
      <c r="T2570" s="8"/>
      <c r="U2570" s="8" t="s">
        <v>130</v>
      </c>
      <c r="V2570" s="13" t="s">
        <v>3656</v>
      </c>
      <c r="W2570" s="13" t="s">
        <v>12422</v>
      </c>
      <c r="X2570" s="12"/>
      <c r="Y2570" s="14"/>
      <c r="Z2570" s="14"/>
    </row>
    <row r="2571">
      <c r="A2571" s="8" t="s">
        <v>12423</v>
      </c>
      <c r="B2571" s="8" t="s">
        <v>12424</v>
      </c>
      <c r="C2571" s="8" t="s">
        <v>25</v>
      </c>
      <c r="D2571" s="8" t="s">
        <v>26</v>
      </c>
      <c r="E2571" s="8" t="s">
        <v>12425</v>
      </c>
      <c r="F2571" s="8">
        <v>5.455729828E9</v>
      </c>
      <c r="G2571" s="8" t="s">
        <v>31</v>
      </c>
      <c r="H2571" s="8" t="s">
        <v>56</v>
      </c>
      <c r="I2571" s="8" t="s">
        <v>29</v>
      </c>
      <c r="J2571" s="8" t="s">
        <v>7276</v>
      </c>
      <c r="K2571" s="10" t="s">
        <v>12426</v>
      </c>
      <c r="L2571" s="8" t="s">
        <v>58</v>
      </c>
      <c r="M2571" s="8" t="s">
        <v>35</v>
      </c>
      <c r="N2571" s="11">
        <v>45105.0</v>
      </c>
      <c r="O2571" s="11">
        <v>45207.0</v>
      </c>
      <c r="P2571" s="11">
        <v>45249.0</v>
      </c>
      <c r="Q2571" s="11">
        <v>45208.0</v>
      </c>
      <c r="R2571" s="11">
        <v>45249.0</v>
      </c>
      <c r="S2571" s="12"/>
      <c r="T2571" s="8"/>
      <c r="U2571" s="8" t="s">
        <v>88</v>
      </c>
      <c r="V2571" s="13" t="s">
        <v>56</v>
      </c>
      <c r="W2571" s="13" t="s">
        <v>12427</v>
      </c>
      <c r="X2571" s="12"/>
      <c r="Y2571" s="14"/>
      <c r="Z2571" s="14"/>
    </row>
    <row r="2572">
      <c r="A2572" s="8" t="s">
        <v>12428</v>
      </c>
      <c r="B2572" s="8" t="s">
        <v>12429</v>
      </c>
      <c r="C2572" s="8" t="s">
        <v>708</v>
      </c>
      <c r="D2572" s="8" t="s">
        <v>26</v>
      </c>
      <c r="E2572" s="8" t="s">
        <v>12430</v>
      </c>
      <c r="F2572" s="8"/>
      <c r="G2572" s="8" t="s">
        <v>12431</v>
      </c>
      <c r="H2572" s="8" t="s">
        <v>12432</v>
      </c>
      <c r="I2572" s="8" t="s">
        <v>31</v>
      </c>
      <c r="J2572" s="8" t="s">
        <v>220</v>
      </c>
      <c r="K2572" s="10" t="s">
        <v>12433</v>
      </c>
      <c r="L2572" s="8" t="s">
        <v>34</v>
      </c>
      <c r="M2572" s="8" t="s">
        <v>70</v>
      </c>
      <c r="N2572" s="11">
        <v>45106.0</v>
      </c>
      <c r="O2572" s="11">
        <v>45139.0</v>
      </c>
      <c r="P2572" s="11">
        <v>45505.0</v>
      </c>
      <c r="Q2572" s="11">
        <v>45159.0</v>
      </c>
      <c r="R2572" s="11">
        <v>45525.0</v>
      </c>
      <c r="S2572" s="12"/>
      <c r="T2572" s="8" t="s">
        <v>205</v>
      </c>
      <c r="U2572" s="8" t="s">
        <v>12434</v>
      </c>
      <c r="V2572" s="13" t="s">
        <v>38</v>
      </c>
      <c r="W2572" s="13" t="s">
        <v>12435</v>
      </c>
      <c r="X2572" s="12"/>
      <c r="Y2572" s="14"/>
      <c r="Z2572" s="14"/>
    </row>
    <row r="2573">
      <c r="A2573" s="8" t="s">
        <v>12436</v>
      </c>
      <c r="B2573" s="8" t="s">
        <v>12437</v>
      </c>
      <c r="C2573" s="8" t="s">
        <v>25</v>
      </c>
      <c r="D2573" s="8" t="s">
        <v>26</v>
      </c>
      <c r="E2573" s="8" t="s">
        <v>12438</v>
      </c>
      <c r="F2573" s="8">
        <v>2.6355466E7</v>
      </c>
      <c r="G2573" s="8" t="s">
        <v>54</v>
      </c>
      <c r="H2573" s="8" t="s">
        <v>76</v>
      </c>
      <c r="I2573" s="8" t="s">
        <v>31</v>
      </c>
      <c r="J2573" s="8" t="s">
        <v>438</v>
      </c>
      <c r="K2573" s="10" t="s">
        <v>11854</v>
      </c>
      <c r="L2573" s="8" t="s">
        <v>58</v>
      </c>
      <c r="M2573" s="8" t="s">
        <v>35</v>
      </c>
      <c r="N2573" s="11">
        <v>45106.0</v>
      </c>
      <c r="O2573" s="11">
        <v>45117.0</v>
      </c>
      <c r="P2573" s="11">
        <v>45159.0</v>
      </c>
      <c r="Q2573" s="11">
        <v>45118.0</v>
      </c>
      <c r="R2573" s="11">
        <v>45159.0</v>
      </c>
      <c r="S2573" s="12"/>
      <c r="T2573" s="8"/>
      <c r="U2573" s="8" t="s">
        <v>130</v>
      </c>
      <c r="V2573" s="13" t="s">
        <v>491</v>
      </c>
      <c r="W2573" s="13" t="s">
        <v>12439</v>
      </c>
      <c r="X2573" s="12"/>
      <c r="Y2573" s="14"/>
      <c r="Z2573" s="14"/>
    </row>
    <row r="2574">
      <c r="A2574" s="8" t="s">
        <v>12440</v>
      </c>
      <c r="B2574" s="8" t="s">
        <v>12441</v>
      </c>
      <c r="C2574" s="8" t="s">
        <v>179</v>
      </c>
      <c r="D2574" s="8" t="s">
        <v>26</v>
      </c>
      <c r="E2574" s="8" t="s">
        <v>12442</v>
      </c>
      <c r="F2574" s="8"/>
      <c r="G2574" s="8" t="s">
        <v>127</v>
      </c>
      <c r="H2574" s="8" t="s">
        <v>1771</v>
      </c>
      <c r="I2574" s="8" t="s">
        <v>31</v>
      </c>
      <c r="J2574" s="8" t="s">
        <v>32</v>
      </c>
      <c r="K2574" s="10" t="s">
        <v>10781</v>
      </c>
      <c r="L2574" s="8" t="s">
        <v>58</v>
      </c>
      <c r="M2574" s="8" t="s">
        <v>35</v>
      </c>
      <c r="N2574" s="11">
        <v>45106.0</v>
      </c>
      <c r="O2574" s="11">
        <v>45194.0</v>
      </c>
      <c r="P2574" s="11">
        <v>45236.0</v>
      </c>
      <c r="Q2574" s="11"/>
      <c r="R2574" s="11"/>
      <c r="S2574" s="12"/>
      <c r="T2574" s="8"/>
      <c r="U2574" s="8" t="s">
        <v>161</v>
      </c>
      <c r="V2574" s="13" t="s">
        <v>38</v>
      </c>
      <c r="W2574" s="13" t="s">
        <v>12443</v>
      </c>
      <c r="X2574" s="12"/>
      <c r="Y2574" s="14"/>
      <c r="Z2574" s="14"/>
    </row>
    <row r="2575">
      <c r="A2575" s="8" t="s">
        <v>12444</v>
      </c>
      <c r="B2575" s="8" t="s">
        <v>12445</v>
      </c>
      <c r="C2575" s="8" t="s">
        <v>179</v>
      </c>
      <c r="D2575" s="8" t="s">
        <v>26</v>
      </c>
      <c r="E2575" s="8" t="s">
        <v>12446</v>
      </c>
      <c r="F2575" s="8">
        <v>1.281458507E9</v>
      </c>
      <c r="G2575" s="8" t="s">
        <v>284</v>
      </c>
      <c r="H2575" s="8" t="s">
        <v>673</v>
      </c>
      <c r="I2575" s="8" t="s">
        <v>31</v>
      </c>
      <c r="J2575" s="8" t="s">
        <v>56</v>
      </c>
      <c r="K2575" s="10" t="s">
        <v>12447</v>
      </c>
      <c r="L2575" s="8" t="s">
        <v>58</v>
      </c>
      <c r="M2575" s="8" t="s">
        <v>35</v>
      </c>
      <c r="N2575" s="11">
        <v>45106.0</v>
      </c>
      <c r="O2575" s="11">
        <v>45376.0</v>
      </c>
      <c r="P2575" s="11">
        <v>45418.0</v>
      </c>
      <c r="Q2575" s="11"/>
      <c r="R2575" s="11"/>
      <c r="S2575" s="12"/>
      <c r="T2575" s="8"/>
      <c r="U2575" s="8" t="s">
        <v>185</v>
      </c>
      <c r="V2575" s="13" t="s">
        <v>674</v>
      </c>
      <c r="W2575" s="13" t="s">
        <v>12448</v>
      </c>
      <c r="X2575" s="12"/>
      <c r="Y2575" s="14"/>
      <c r="Z2575" s="14"/>
    </row>
    <row r="2576">
      <c r="A2576" s="8" t="s">
        <v>12449</v>
      </c>
      <c r="B2576" s="8" t="s">
        <v>12450</v>
      </c>
      <c r="C2576" s="8" t="s">
        <v>25</v>
      </c>
      <c r="D2576" s="8" t="s">
        <v>26</v>
      </c>
      <c r="E2576" s="8" t="s">
        <v>12451</v>
      </c>
      <c r="F2576" s="8">
        <v>5.383379915E9</v>
      </c>
      <c r="G2576" s="8" t="s">
        <v>31</v>
      </c>
      <c r="H2576" s="8" t="s">
        <v>86</v>
      </c>
      <c r="I2576" s="8" t="s">
        <v>29</v>
      </c>
      <c r="J2576" s="8" t="s">
        <v>7276</v>
      </c>
      <c r="K2576" s="10" t="s">
        <v>12426</v>
      </c>
      <c r="L2576" s="8" t="s">
        <v>58</v>
      </c>
      <c r="M2576" s="8" t="s">
        <v>35</v>
      </c>
      <c r="N2576" s="11">
        <v>45106.0</v>
      </c>
      <c r="O2576" s="11">
        <v>45207.0</v>
      </c>
      <c r="P2576" s="11">
        <v>45249.0</v>
      </c>
      <c r="Q2576" s="11">
        <v>45207.0</v>
      </c>
      <c r="R2576" s="11">
        <v>45249.0</v>
      </c>
      <c r="S2576" s="12"/>
      <c r="T2576" s="8"/>
      <c r="U2576" s="8" t="s">
        <v>88</v>
      </c>
      <c r="V2576" s="13" t="s">
        <v>175</v>
      </c>
      <c r="W2576" s="13" t="s">
        <v>12452</v>
      </c>
      <c r="X2576" s="12"/>
      <c r="Y2576" s="14"/>
      <c r="Z2576" s="14"/>
    </row>
    <row r="2577">
      <c r="A2577" s="8" t="s">
        <v>12453</v>
      </c>
      <c r="B2577" s="8" t="s">
        <v>12454</v>
      </c>
      <c r="C2577" s="8" t="s">
        <v>25</v>
      </c>
      <c r="D2577" s="8" t="s">
        <v>26</v>
      </c>
      <c r="E2577" s="8" t="s">
        <v>12455</v>
      </c>
      <c r="F2577" s="8"/>
      <c r="G2577" s="8" t="s">
        <v>54</v>
      </c>
      <c r="H2577" s="8" t="s">
        <v>135</v>
      </c>
      <c r="I2577" s="8" t="s">
        <v>31</v>
      </c>
      <c r="J2577" s="8" t="s">
        <v>136</v>
      </c>
      <c r="K2577" s="10" t="s">
        <v>137</v>
      </c>
      <c r="L2577" s="8" t="s">
        <v>58</v>
      </c>
      <c r="M2577" s="8" t="s">
        <v>35</v>
      </c>
      <c r="N2577" s="11">
        <v>45107.0</v>
      </c>
      <c r="O2577" s="11">
        <v>45124.0</v>
      </c>
      <c r="P2577" s="11">
        <v>45166.0</v>
      </c>
      <c r="Q2577" s="11">
        <v>45126.0</v>
      </c>
      <c r="R2577" s="11">
        <v>45166.0</v>
      </c>
      <c r="S2577" s="12"/>
      <c r="T2577" s="8"/>
      <c r="U2577" s="8" t="s">
        <v>88</v>
      </c>
      <c r="V2577" s="13" t="s">
        <v>190</v>
      </c>
      <c r="W2577" s="13" t="s">
        <v>12456</v>
      </c>
      <c r="X2577" s="12"/>
      <c r="Y2577" s="14"/>
      <c r="Z2577" s="14"/>
    </row>
    <row r="2578">
      <c r="A2578" s="8" t="s">
        <v>12457</v>
      </c>
      <c r="B2578" s="8" t="s">
        <v>12458</v>
      </c>
      <c r="C2578" s="8" t="s">
        <v>25</v>
      </c>
      <c r="D2578" s="8" t="s">
        <v>26</v>
      </c>
      <c r="E2578" s="8" t="s">
        <v>12459</v>
      </c>
      <c r="F2578" s="8">
        <v>2.9209451E7</v>
      </c>
      <c r="G2578" s="8" t="s">
        <v>54</v>
      </c>
      <c r="H2578" s="8" t="s">
        <v>55</v>
      </c>
      <c r="I2578" s="8" t="s">
        <v>31</v>
      </c>
      <c r="J2578" s="8" t="s">
        <v>77</v>
      </c>
      <c r="K2578" s="10" t="s">
        <v>2417</v>
      </c>
      <c r="L2578" s="8" t="s">
        <v>58</v>
      </c>
      <c r="M2578" s="8" t="s">
        <v>35</v>
      </c>
      <c r="N2578" s="11">
        <v>45107.0</v>
      </c>
      <c r="O2578" s="11">
        <v>45152.0</v>
      </c>
      <c r="P2578" s="11">
        <v>45194.0</v>
      </c>
      <c r="Q2578" s="11">
        <v>45152.0</v>
      </c>
      <c r="R2578" s="11">
        <v>45194.0</v>
      </c>
      <c r="S2578" s="12"/>
      <c r="T2578" s="8"/>
      <c r="U2578" s="8" t="s">
        <v>59</v>
      </c>
      <c r="V2578" s="13" t="s">
        <v>60</v>
      </c>
      <c r="W2578" s="13" t="s">
        <v>12460</v>
      </c>
      <c r="X2578" s="12"/>
      <c r="Y2578" s="14"/>
      <c r="Z2578" s="14"/>
    </row>
    <row r="2579">
      <c r="A2579" s="8" t="s">
        <v>12461</v>
      </c>
      <c r="B2579" s="8" t="s">
        <v>10220</v>
      </c>
      <c r="C2579" s="8" t="s">
        <v>25</v>
      </c>
      <c r="D2579" s="8" t="s">
        <v>26</v>
      </c>
      <c r="E2579" s="8" t="s">
        <v>10221</v>
      </c>
      <c r="F2579" s="8">
        <v>5.367129156E9</v>
      </c>
      <c r="G2579" s="8" t="s">
        <v>31</v>
      </c>
      <c r="H2579" s="8" t="s">
        <v>86</v>
      </c>
      <c r="I2579" s="8" t="s">
        <v>284</v>
      </c>
      <c r="J2579" s="8" t="s">
        <v>793</v>
      </c>
      <c r="K2579" s="10" t="s">
        <v>12462</v>
      </c>
      <c r="L2579" s="8" t="s">
        <v>58</v>
      </c>
      <c r="M2579" s="8" t="s">
        <v>35</v>
      </c>
      <c r="N2579" s="11">
        <v>45107.0</v>
      </c>
      <c r="O2579" s="11">
        <v>45108.0</v>
      </c>
      <c r="P2579" s="11">
        <v>45150.0</v>
      </c>
      <c r="Q2579" s="11">
        <v>45109.0</v>
      </c>
      <c r="R2579" s="11">
        <v>45151.0</v>
      </c>
      <c r="S2579" s="12"/>
      <c r="T2579" s="8"/>
      <c r="U2579" s="8" t="s">
        <v>59</v>
      </c>
      <c r="V2579" s="13" t="s">
        <v>175</v>
      </c>
      <c r="W2579" s="13" t="s">
        <v>10224</v>
      </c>
      <c r="X2579" s="12"/>
      <c r="Y2579" s="14"/>
      <c r="Z2579" s="14"/>
    </row>
    <row r="2580">
      <c r="A2580" s="8" t="s">
        <v>12463</v>
      </c>
      <c r="B2580" s="8" t="s">
        <v>4099</v>
      </c>
      <c r="C2580" s="8" t="s">
        <v>25</v>
      </c>
      <c r="D2580" s="8" t="s">
        <v>26</v>
      </c>
      <c r="E2580" s="8" t="s">
        <v>12464</v>
      </c>
      <c r="F2580" s="8"/>
      <c r="G2580" s="8" t="s">
        <v>31</v>
      </c>
      <c r="H2580" s="8" t="s">
        <v>542</v>
      </c>
      <c r="I2580" s="8" t="s">
        <v>284</v>
      </c>
      <c r="J2580" s="8" t="s">
        <v>285</v>
      </c>
      <c r="K2580" s="10" t="s">
        <v>3841</v>
      </c>
      <c r="L2580" s="8" t="s">
        <v>58</v>
      </c>
      <c r="M2580" s="8" t="s">
        <v>35</v>
      </c>
      <c r="N2580" s="11">
        <v>45107.0</v>
      </c>
      <c r="O2580" s="11">
        <v>45108.0</v>
      </c>
      <c r="P2580" s="11">
        <v>45150.0</v>
      </c>
      <c r="Q2580" s="11">
        <v>45123.0</v>
      </c>
      <c r="R2580" s="11">
        <v>45164.0</v>
      </c>
      <c r="S2580" s="12"/>
      <c r="T2580" s="8"/>
      <c r="U2580" s="8" t="s">
        <v>1038</v>
      </c>
      <c r="V2580" s="13" t="s">
        <v>545</v>
      </c>
      <c r="W2580" s="13" t="s">
        <v>12465</v>
      </c>
      <c r="X2580" s="12"/>
      <c r="Y2580" s="14"/>
      <c r="Z2580" s="14"/>
    </row>
    <row r="2581">
      <c r="A2581" s="8" t="s">
        <v>12466</v>
      </c>
      <c r="B2581" s="8" t="s">
        <v>12467</v>
      </c>
      <c r="C2581" s="8" t="s">
        <v>25</v>
      </c>
      <c r="D2581" s="8" t="s">
        <v>26</v>
      </c>
      <c r="E2581" s="8" t="s">
        <v>12468</v>
      </c>
      <c r="F2581" s="8">
        <v>7.81654037E8</v>
      </c>
      <c r="G2581" s="8" t="s">
        <v>254</v>
      </c>
      <c r="H2581" s="8" t="s">
        <v>255</v>
      </c>
      <c r="I2581" s="8" t="s">
        <v>31</v>
      </c>
      <c r="J2581" s="8" t="s">
        <v>43</v>
      </c>
      <c r="K2581" s="10" t="s">
        <v>10328</v>
      </c>
      <c r="L2581" s="8" t="s">
        <v>58</v>
      </c>
      <c r="M2581" s="8" t="s">
        <v>35</v>
      </c>
      <c r="N2581" s="11">
        <v>45107.0</v>
      </c>
      <c r="O2581" s="11">
        <v>45117.0</v>
      </c>
      <c r="P2581" s="11">
        <v>45159.0</v>
      </c>
      <c r="Q2581" s="11">
        <v>45112.0</v>
      </c>
      <c r="R2581" s="11">
        <v>45159.0</v>
      </c>
      <c r="S2581" s="12"/>
      <c r="T2581" s="8"/>
      <c r="U2581" s="8" t="s">
        <v>59</v>
      </c>
      <c r="V2581" s="13" t="s">
        <v>258</v>
      </c>
      <c r="W2581" s="13" t="s">
        <v>12469</v>
      </c>
      <c r="X2581" s="12"/>
      <c r="Y2581" s="14"/>
      <c r="Z2581" s="14"/>
    </row>
    <row r="2582">
      <c r="A2582" s="8" t="s">
        <v>12470</v>
      </c>
      <c r="B2582" s="8" t="s">
        <v>12471</v>
      </c>
      <c r="C2582" s="8" t="s">
        <v>25</v>
      </c>
      <c r="D2582" s="8" t="s">
        <v>26</v>
      </c>
      <c r="E2582" s="8" t="s">
        <v>12472</v>
      </c>
      <c r="F2582" s="8">
        <v>5.3700824E7</v>
      </c>
      <c r="G2582" s="8" t="s">
        <v>54</v>
      </c>
      <c r="H2582" s="8" t="s">
        <v>430</v>
      </c>
      <c r="I2582" s="8" t="s">
        <v>31</v>
      </c>
      <c r="J2582" s="8" t="s">
        <v>56</v>
      </c>
      <c r="K2582" s="10" t="s">
        <v>11979</v>
      </c>
      <c r="L2582" s="8" t="s">
        <v>58</v>
      </c>
      <c r="M2582" s="8" t="s">
        <v>35</v>
      </c>
      <c r="N2582" s="11">
        <v>45107.0</v>
      </c>
      <c r="O2582" s="11">
        <v>45124.0</v>
      </c>
      <c r="P2582" s="11">
        <v>45166.0</v>
      </c>
      <c r="Q2582" s="11">
        <v>45170.0</v>
      </c>
      <c r="R2582" s="11">
        <v>45210.0</v>
      </c>
      <c r="S2582" s="12"/>
      <c r="T2582" s="8"/>
      <c r="U2582" s="8" t="s">
        <v>161</v>
      </c>
      <c r="V2582" s="13" t="s">
        <v>4780</v>
      </c>
      <c r="W2582" s="13" t="s">
        <v>12473</v>
      </c>
      <c r="X2582" s="12"/>
      <c r="Y2582" s="14"/>
      <c r="Z2582" s="14"/>
    </row>
    <row r="2583">
      <c r="A2583" s="8" t="s">
        <v>12474</v>
      </c>
      <c r="B2583" s="8" t="s">
        <v>12475</v>
      </c>
      <c r="C2583" s="8" t="s">
        <v>25</v>
      </c>
      <c r="D2583" s="8" t="s">
        <v>26</v>
      </c>
      <c r="E2583" s="8" t="s">
        <v>12476</v>
      </c>
      <c r="F2583" s="8">
        <v>9.12222914E8</v>
      </c>
      <c r="G2583" s="8" t="s">
        <v>118</v>
      </c>
      <c r="H2583" s="8" t="s">
        <v>3100</v>
      </c>
      <c r="I2583" s="8" t="s">
        <v>31</v>
      </c>
      <c r="J2583" s="8" t="s">
        <v>167</v>
      </c>
      <c r="K2583" s="10" t="s">
        <v>10618</v>
      </c>
      <c r="L2583" s="8" t="s">
        <v>58</v>
      </c>
      <c r="M2583" s="8" t="s">
        <v>35</v>
      </c>
      <c r="N2583" s="11">
        <v>45107.0</v>
      </c>
      <c r="O2583" s="11">
        <v>45152.0</v>
      </c>
      <c r="P2583" s="11">
        <v>45194.0</v>
      </c>
      <c r="Q2583" s="11">
        <v>45153.0</v>
      </c>
      <c r="R2583" s="11">
        <v>45194.0</v>
      </c>
      <c r="S2583" s="12"/>
      <c r="T2583" s="8"/>
      <c r="U2583" s="8" t="s">
        <v>88</v>
      </c>
      <c r="V2583" s="13" t="s">
        <v>12477</v>
      </c>
      <c r="W2583" s="13" t="s">
        <v>12478</v>
      </c>
      <c r="X2583" s="12"/>
      <c r="Y2583" s="14"/>
      <c r="Z2583" s="14"/>
    </row>
    <row r="2584">
      <c r="A2584" s="8" t="s">
        <v>12479</v>
      </c>
      <c r="B2584" s="8" t="s">
        <v>12480</v>
      </c>
      <c r="C2584" s="8" t="s">
        <v>708</v>
      </c>
      <c r="D2584" s="8" t="s">
        <v>26</v>
      </c>
      <c r="E2584" s="8" t="s">
        <v>12481</v>
      </c>
      <c r="F2584" s="8">
        <v>9.279270232E9</v>
      </c>
      <c r="G2584" s="8" t="s">
        <v>6087</v>
      </c>
      <c r="H2584" s="8" t="s">
        <v>12482</v>
      </c>
      <c r="I2584" s="8" t="s">
        <v>31</v>
      </c>
      <c r="J2584" s="8" t="s">
        <v>292</v>
      </c>
      <c r="K2584" s="10" t="s">
        <v>1260</v>
      </c>
      <c r="L2584" s="8" t="s">
        <v>47</v>
      </c>
      <c r="M2584" s="8" t="s">
        <v>70</v>
      </c>
      <c r="N2584" s="11">
        <v>45107.0</v>
      </c>
      <c r="O2584" s="11">
        <v>45174.0</v>
      </c>
      <c r="P2584" s="11">
        <v>45540.0</v>
      </c>
      <c r="Q2584" s="11">
        <v>45176.0</v>
      </c>
      <c r="R2584" s="11">
        <v>45540.0</v>
      </c>
      <c r="S2584" s="12"/>
      <c r="T2584" s="8"/>
      <c r="U2584" s="8" t="s">
        <v>1261</v>
      </c>
      <c r="V2584" s="13" t="s">
        <v>446</v>
      </c>
      <c r="W2584" s="13" t="s">
        <v>12483</v>
      </c>
      <c r="X2584" s="12"/>
      <c r="Y2584" s="14"/>
      <c r="Z2584" s="14"/>
    </row>
    <row r="2585">
      <c r="A2585" s="8" t="s">
        <v>12484</v>
      </c>
      <c r="B2585" s="8" t="s">
        <v>12485</v>
      </c>
      <c r="C2585" s="8" t="s">
        <v>708</v>
      </c>
      <c r="D2585" s="8" t="s">
        <v>26</v>
      </c>
      <c r="E2585" s="8" t="s">
        <v>12486</v>
      </c>
      <c r="F2585" s="8">
        <v>6.62716791E8</v>
      </c>
      <c r="G2585" s="8" t="s">
        <v>254</v>
      </c>
      <c r="H2585" s="8" t="s">
        <v>422</v>
      </c>
      <c r="I2585" s="8" t="s">
        <v>31</v>
      </c>
      <c r="J2585" s="8" t="s">
        <v>256</v>
      </c>
      <c r="K2585" s="10" t="s">
        <v>5327</v>
      </c>
      <c r="L2585" s="8" t="s">
        <v>47</v>
      </c>
      <c r="M2585" s="8" t="s">
        <v>70</v>
      </c>
      <c r="N2585" s="11">
        <v>45107.0</v>
      </c>
      <c r="O2585" s="11">
        <v>45139.0</v>
      </c>
      <c r="P2585" s="11">
        <v>45443.0</v>
      </c>
      <c r="Q2585" s="11">
        <v>45169.0</v>
      </c>
      <c r="R2585" s="11">
        <v>45473.0</v>
      </c>
      <c r="S2585" s="12"/>
      <c r="T2585" s="8"/>
      <c r="U2585" s="8" t="s">
        <v>246</v>
      </c>
      <c r="V2585" s="13" t="s">
        <v>425</v>
      </c>
      <c r="W2585" s="13" t="s">
        <v>12487</v>
      </c>
      <c r="X2585" s="12"/>
      <c r="Y2585" s="14"/>
      <c r="Z2585" s="14"/>
    </row>
    <row r="2586">
      <c r="A2586" s="8" t="s">
        <v>12488</v>
      </c>
      <c r="B2586" s="8" t="s">
        <v>12489</v>
      </c>
      <c r="C2586" s="8" t="s">
        <v>25</v>
      </c>
      <c r="D2586" s="8" t="s">
        <v>26</v>
      </c>
      <c r="E2586" s="8" t="s">
        <v>12490</v>
      </c>
      <c r="F2586" s="8"/>
      <c r="G2586" s="8" t="s">
        <v>12491</v>
      </c>
      <c r="H2586" s="8" t="s">
        <v>12492</v>
      </c>
      <c r="I2586" s="8" t="s">
        <v>31</v>
      </c>
      <c r="J2586" s="8" t="s">
        <v>77</v>
      </c>
      <c r="K2586" s="10" t="s">
        <v>2537</v>
      </c>
      <c r="L2586" s="8" t="s">
        <v>58</v>
      </c>
      <c r="M2586" s="8" t="s">
        <v>35</v>
      </c>
      <c r="N2586" s="11">
        <v>45107.0</v>
      </c>
      <c r="O2586" s="11">
        <v>45152.0</v>
      </c>
      <c r="P2586" s="11">
        <v>45194.0</v>
      </c>
      <c r="Q2586" s="11">
        <v>45152.0</v>
      </c>
      <c r="R2586" s="11">
        <v>45194.0</v>
      </c>
      <c r="S2586" s="12"/>
      <c r="T2586" s="8"/>
      <c r="U2586" s="8" t="s">
        <v>88</v>
      </c>
      <c r="V2586" s="13" t="s">
        <v>38</v>
      </c>
      <c r="W2586" s="13" t="s">
        <v>12493</v>
      </c>
      <c r="X2586" s="12"/>
      <c r="Y2586" s="14"/>
      <c r="Z2586" s="14"/>
    </row>
    <row r="2587">
      <c r="A2587" s="8" t="s">
        <v>12494</v>
      </c>
      <c r="B2587" s="8" t="s">
        <v>9265</v>
      </c>
      <c r="C2587" s="8" t="s">
        <v>25</v>
      </c>
      <c r="D2587" s="8" t="s">
        <v>26</v>
      </c>
      <c r="E2587" s="8" t="s">
        <v>9266</v>
      </c>
      <c r="F2587" s="8"/>
      <c r="G2587" s="8" t="s">
        <v>31</v>
      </c>
      <c r="H2587" s="8" t="s">
        <v>77</v>
      </c>
      <c r="I2587" s="8" t="s">
        <v>284</v>
      </c>
      <c r="J2587" s="8" t="s">
        <v>793</v>
      </c>
      <c r="K2587" s="10" t="s">
        <v>12495</v>
      </c>
      <c r="L2587" s="8" t="s">
        <v>58</v>
      </c>
      <c r="M2587" s="8" t="s">
        <v>35</v>
      </c>
      <c r="N2587" s="11">
        <v>45108.0</v>
      </c>
      <c r="O2587" s="11">
        <v>45153.0</v>
      </c>
      <c r="P2587" s="11">
        <v>45195.0</v>
      </c>
      <c r="Q2587" s="11">
        <v>45152.0</v>
      </c>
      <c r="R2587" s="11">
        <v>45196.0</v>
      </c>
      <c r="S2587" s="12"/>
      <c r="T2587" s="8"/>
      <c r="U2587" s="8" t="s">
        <v>59</v>
      </c>
      <c r="V2587" s="13" t="s">
        <v>38</v>
      </c>
      <c r="W2587" s="13" t="s">
        <v>9268</v>
      </c>
      <c r="X2587" s="12"/>
      <c r="Y2587" s="14"/>
      <c r="Z2587" s="14"/>
    </row>
    <row r="2588">
      <c r="A2588" s="8" t="s">
        <v>12496</v>
      </c>
      <c r="B2588" s="8" t="s">
        <v>12497</v>
      </c>
      <c r="C2588" s="8" t="s">
        <v>179</v>
      </c>
      <c r="D2588" s="8" t="s">
        <v>26</v>
      </c>
      <c r="E2588" s="8" t="s">
        <v>12498</v>
      </c>
      <c r="F2588" s="8">
        <v>1.223040553E9</v>
      </c>
      <c r="G2588" s="8" t="s">
        <v>284</v>
      </c>
      <c r="H2588" s="8" t="s">
        <v>673</v>
      </c>
      <c r="I2588" s="8" t="s">
        <v>31</v>
      </c>
      <c r="J2588" s="8" t="s">
        <v>256</v>
      </c>
      <c r="K2588" s="10" t="s">
        <v>12499</v>
      </c>
      <c r="L2588" s="8" t="s">
        <v>47</v>
      </c>
      <c r="M2588" s="8" t="s">
        <v>70</v>
      </c>
      <c r="N2588" s="11">
        <v>45108.0</v>
      </c>
      <c r="O2588" s="11">
        <v>45139.0</v>
      </c>
      <c r="P2588" s="11">
        <v>45504.0</v>
      </c>
      <c r="Q2588" s="11"/>
      <c r="R2588" s="11"/>
      <c r="S2588" s="12"/>
      <c r="T2588" s="8"/>
      <c r="U2588" s="8" t="s">
        <v>11568</v>
      </c>
      <c r="V2588" s="13" t="s">
        <v>674</v>
      </c>
      <c r="W2588" s="13" t="s">
        <v>12500</v>
      </c>
      <c r="X2588" s="12"/>
      <c r="Y2588" s="14"/>
      <c r="Z2588" s="14"/>
    </row>
    <row r="2589">
      <c r="A2589" s="8" t="s">
        <v>12501</v>
      </c>
      <c r="B2589" s="8" t="s">
        <v>12502</v>
      </c>
      <c r="C2589" s="8" t="s">
        <v>64</v>
      </c>
      <c r="D2589" s="8" t="s">
        <v>26</v>
      </c>
      <c r="E2589" s="8" t="s">
        <v>12503</v>
      </c>
      <c r="F2589" s="8">
        <v>6.22392547E8</v>
      </c>
      <c r="G2589" s="8" t="s">
        <v>100</v>
      </c>
      <c r="H2589" s="8" t="s">
        <v>3016</v>
      </c>
      <c r="I2589" s="8" t="s">
        <v>31</v>
      </c>
      <c r="J2589" s="8" t="s">
        <v>43</v>
      </c>
      <c r="K2589" s="10" t="s">
        <v>12504</v>
      </c>
      <c r="L2589" s="8" t="s">
        <v>58</v>
      </c>
      <c r="M2589" s="8" t="s">
        <v>35</v>
      </c>
      <c r="N2589" s="11">
        <v>45108.0</v>
      </c>
      <c r="O2589" s="11">
        <v>45187.0</v>
      </c>
      <c r="P2589" s="11">
        <v>45229.0</v>
      </c>
      <c r="Q2589" s="11">
        <v>45188.0</v>
      </c>
      <c r="R2589" s="11">
        <v>45229.0</v>
      </c>
      <c r="S2589" s="12"/>
      <c r="T2589" s="8"/>
      <c r="U2589" s="8" t="s">
        <v>59</v>
      </c>
      <c r="V2589" s="13" t="s">
        <v>12505</v>
      </c>
      <c r="W2589" s="13" t="s">
        <v>12506</v>
      </c>
      <c r="X2589" s="12"/>
      <c r="Y2589" s="14"/>
      <c r="Z2589" s="14"/>
    </row>
    <row r="2590">
      <c r="A2590" s="8" t="s">
        <v>12507</v>
      </c>
      <c r="B2590" s="8" t="s">
        <v>12508</v>
      </c>
      <c r="C2590" s="8" t="s">
        <v>25</v>
      </c>
      <c r="D2590" s="8" t="s">
        <v>26</v>
      </c>
      <c r="E2590" s="8" t="s">
        <v>12509</v>
      </c>
      <c r="F2590" s="8">
        <v>5.424777559E9</v>
      </c>
      <c r="G2590" s="8" t="s">
        <v>31</v>
      </c>
      <c r="H2590" s="8" t="s">
        <v>77</v>
      </c>
      <c r="I2590" s="8" t="s">
        <v>54</v>
      </c>
      <c r="J2590" s="8" t="s">
        <v>135</v>
      </c>
      <c r="K2590" s="10" t="s">
        <v>12510</v>
      </c>
      <c r="L2590" s="8" t="s">
        <v>58</v>
      </c>
      <c r="M2590" s="8" t="s">
        <v>35</v>
      </c>
      <c r="N2590" s="11">
        <v>45108.0</v>
      </c>
      <c r="O2590" s="11">
        <v>45117.0</v>
      </c>
      <c r="P2590" s="11">
        <v>45159.0</v>
      </c>
      <c r="Q2590" s="11">
        <v>45117.0</v>
      </c>
      <c r="R2590" s="11">
        <v>45159.0</v>
      </c>
      <c r="S2590" s="12"/>
      <c r="T2590" s="8"/>
      <c r="U2590" s="8" t="s">
        <v>59</v>
      </c>
      <c r="V2590" s="13" t="s">
        <v>6229</v>
      </c>
      <c r="W2590" s="13" t="s">
        <v>12511</v>
      </c>
      <c r="X2590" s="12"/>
      <c r="Y2590" s="14"/>
      <c r="Z2590" s="14"/>
    </row>
    <row r="2591">
      <c r="A2591" s="8" t="s">
        <v>12512</v>
      </c>
      <c r="B2591" s="8" t="s">
        <v>12513</v>
      </c>
      <c r="C2591" s="8" t="s">
        <v>179</v>
      </c>
      <c r="D2591" s="8" t="s">
        <v>26</v>
      </c>
      <c r="E2591" s="8" t="s">
        <v>12514</v>
      </c>
      <c r="F2591" s="8">
        <v>7.47203399E8</v>
      </c>
      <c r="G2591" s="8" t="s">
        <v>722</v>
      </c>
      <c r="H2591" s="8" t="s">
        <v>12515</v>
      </c>
      <c r="I2591" s="8" t="s">
        <v>31</v>
      </c>
      <c r="J2591" s="8" t="s">
        <v>43</v>
      </c>
      <c r="K2591" s="10" t="s">
        <v>10896</v>
      </c>
      <c r="L2591" s="8" t="s">
        <v>47</v>
      </c>
      <c r="M2591" s="8" t="s">
        <v>70</v>
      </c>
      <c r="N2591" s="11">
        <v>45108.0</v>
      </c>
      <c r="O2591" s="11">
        <v>45153.0</v>
      </c>
      <c r="P2591" s="11">
        <v>45474.0</v>
      </c>
      <c r="Q2591" s="11"/>
      <c r="R2591" s="11"/>
      <c r="S2591" s="12"/>
      <c r="T2591" s="8"/>
      <c r="U2591" s="8" t="s">
        <v>10897</v>
      </c>
      <c r="V2591" s="13" t="s">
        <v>12516</v>
      </c>
      <c r="W2591" s="13" t="s">
        <v>12517</v>
      </c>
      <c r="X2591" s="12"/>
      <c r="Y2591" s="14"/>
      <c r="Z2591" s="14"/>
    </row>
    <row r="2592">
      <c r="A2592" s="8" t="s">
        <v>12518</v>
      </c>
      <c r="B2592" s="8" t="s">
        <v>12519</v>
      </c>
      <c r="C2592" s="8" t="s">
        <v>251</v>
      </c>
      <c r="D2592" s="8" t="s">
        <v>26</v>
      </c>
      <c r="E2592" s="8" t="s">
        <v>12520</v>
      </c>
      <c r="F2592" s="8">
        <v>1.065318018E9</v>
      </c>
      <c r="G2592" s="8" t="s">
        <v>284</v>
      </c>
      <c r="H2592" s="8" t="s">
        <v>285</v>
      </c>
      <c r="I2592" s="8" t="s">
        <v>31</v>
      </c>
      <c r="J2592" s="8" t="s">
        <v>32</v>
      </c>
      <c r="K2592" s="10" t="s">
        <v>10781</v>
      </c>
      <c r="L2592" s="8" t="s">
        <v>58</v>
      </c>
      <c r="M2592" s="8" t="s">
        <v>35</v>
      </c>
      <c r="N2592" s="11">
        <v>45108.0</v>
      </c>
      <c r="O2592" s="11">
        <v>45152.0</v>
      </c>
      <c r="P2592" s="11">
        <v>45194.0</v>
      </c>
      <c r="Q2592" s="11"/>
      <c r="R2592" s="11"/>
      <c r="S2592" s="12"/>
      <c r="T2592" s="8"/>
      <c r="U2592" s="8" t="s">
        <v>161</v>
      </c>
      <c r="V2592" s="13" t="s">
        <v>12521</v>
      </c>
      <c r="W2592" s="13" t="s">
        <v>12522</v>
      </c>
      <c r="X2592" s="12"/>
      <c r="Y2592" s="14"/>
      <c r="Z2592" s="14"/>
    </row>
    <row r="2593">
      <c r="A2593" s="8" t="s">
        <v>12523</v>
      </c>
      <c r="B2593" s="8" t="s">
        <v>12524</v>
      </c>
      <c r="C2593" s="8" t="s">
        <v>708</v>
      </c>
      <c r="D2593" s="8" t="s">
        <v>26</v>
      </c>
      <c r="E2593" s="8" t="s">
        <v>12525</v>
      </c>
      <c r="F2593" s="8">
        <v>5.3258029E7</v>
      </c>
      <c r="G2593" s="8" t="s">
        <v>54</v>
      </c>
      <c r="H2593" s="8" t="s">
        <v>244</v>
      </c>
      <c r="I2593" s="8" t="s">
        <v>31</v>
      </c>
      <c r="J2593" s="8" t="s">
        <v>256</v>
      </c>
      <c r="K2593" s="10" t="s">
        <v>12499</v>
      </c>
      <c r="L2593" s="8" t="s">
        <v>47</v>
      </c>
      <c r="M2593" s="8" t="s">
        <v>70</v>
      </c>
      <c r="N2593" s="11">
        <v>45108.0</v>
      </c>
      <c r="O2593" s="11">
        <v>45139.0</v>
      </c>
      <c r="P2593" s="11">
        <v>45504.0</v>
      </c>
      <c r="Q2593" s="11">
        <v>45127.0</v>
      </c>
      <c r="R2593" s="11">
        <v>45504.0</v>
      </c>
      <c r="S2593" s="12"/>
      <c r="T2593" s="8"/>
      <c r="U2593" s="8" t="s">
        <v>11568</v>
      </c>
      <c r="V2593" s="13" t="s">
        <v>247</v>
      </c>
      <c r="W2593" s="13" t="s">
        <v>12526</v>
      </c>
      <c r="X2593" s="12"/>
      <c r="Y2593" s="14"/>
      <c r="Z2593" s="14"/>
    </row>
    <row r="2594">
      <c r="A2594" s="8" t="s">
        <v>12527</v>
      </c>
      <c r="B2594" s="8" t="s">
        <v>12528</v>
      </c>
      <c r="C2594" s="8" t="s">
        <v>25</v>
      </c>
      <c r="D2594" s="8" t="s">
        <v>26</v>
      </c>
      <c r="E2594" s="8" t="s">
        <v>12529</v>
      </c>
      <c r="F2594" s="8"/>
      <c r="G2594" s="8" t="s">
        <v>118</v>
      </c>
      <c r="H2594" s="8" t="s">
        <v>3100</v>
      </c>
      <c r="I2594" s="8" t="s">
        <v>31</v>
      </c>
      <c r="J2594" s="8" t="s">
        <v>56</v>
      </c>
      <c r="K2594" s="10" t="s">
        <v>11918</v>
      </c>
      <c r="L2594" s="8" t="s">
        <v>58</v>
      </c>
      <c r="M2594" s="8" t="s">
        <v>35</v>
      </c>
      <c r="N2594" s="11">
        <v>45108.0</v>
      </c>
      <c r="O2594" s="11">
        <v>45120.0</v>
      </c>
      <c r="P2594" s="11">
        <v>45162.0</v>
      </c>
      <c r="Q2594" s="11">
        <v>45120.0</v>
      </c>
      <c r="R2594" s="11">
        <v>45162.0</v>
      </c>
      <c r="S2594" s="12"/>
      <c r="T2594" s="8"/>
      <c r="U2594" s="8" t="s">
        <v>59</v>
      </c>
      <c r="V2594" s="13" t="s">
        <v>12477</v>
      </c>
      <c r="W2594" s="13" t="s">
        <v>12530</v>
      </c>
      <c r="X2594" s="12"/>
      <c r="Y2594" s="14"/>
      <c r="Z2594" s="14"/>
    </row>
    <row r="2595">
      <c r="A2595" s="8" t="s">
        <v>12531</v>
      </c>
      <c r="B2595" s="8" t="s">
        <v>12532</v>
      </c>
      <c r="C2595" s="8" t="s">
        <v>179</v>
      </c>
      <c r="D2595" s="8" t="s">
        <v>26</v>
      </c>
      <c r="E2595" s="8" t="s">
        <v>12533</v>
      </c>
      <c r="F2595" s="8">
        <v>5.453831928E9</v>
      </c>
      <c r="G2595" s="8" t="s">
        <v>31</v>
      </c>
      <c r="H2595" s="8" t="s">
        <v>542</v>
      </c>
      <c r="I2595" s="8" t="s">
        <v>127</v>
      </c>
      <c r="J2595" s="8" t="s">
        <v>363</v>
      </c>
      <c r="K2595" s="10" t="s">
        <v>12534</v>
      </c>
      <c r="L2595" s="8" t="s">
        <v>58</v>
      </c>
      <c r="M2595" s="8" t="s">
        <v>35</v>
      </c>
      <c r="N2595" s="11">
        <v>45108.0</v>
      </c>
      <c r="O2595" s="11">
        <v>45122.0</v>
      </c>
      <c r="P2595" s="11">
        <v>45164.0</v>
      </c>
      <c r="Q2595" s="11"/>
      <c r="R2595" s="11"/>
      <c r="S2595" s="12"/>
      <c r="T2595" s="8"/>
      <c r="U2595" s="8" t="s">
        <v>185</v>
      </c>
      <c r="V2595" s="13" t="s">
        <v>545</v>
      </c>
      <c r="W2595" s="13" t="s">
        <v>12535</v>
      </c>
      <c r="X2595" s="12"/>
      <c r="Y2595" s="14"/>
      <c r="Z2595" s="14"/>
    </row>
    <row r="2596">
      <c r="A2596" s="8" t="s">
        <v>12536</v>
      </c>
      <c r="B2596" s="8" t="s">
        <v>12537</v>
      </c>
      <c r="C2596" s="8" t="s">
        <v>25</v>
      </c>
      <c r="D2596" s="8" t="s">
        <v>26</v>
      </c>
      <c r="E2596" s="8" t="s">
        <v>12538</v>
      </c>
      <c r="F2596" s="8">
        <v>5.344236945E9</v>
      </c>
      <c r="G2596" s="8" t="s">
        <v>31</v>
      </c>
      <c r="H2596" s="8" t="s">
        <v>77</v>
      </c>
      <c r="I2596" s="8" t="s">
        <v>44</v>
      </c>
      <c r="J2596" s="8" t="s">
        <v>1993</v>
      </c>
      <c r="K2596" s="10" t="s">
        <v>2501</v>
      </c>
      <c r="L2596" s="8" t="s">
        <v>58</v>
      </c>
      <c r="M2596" s="8" t="s">
        <v>35</v>
      </c>
      <c r="N2596" s="11">
        <v>45108.0</v>
      </c>
      <c r="O2596" s="11">
        <v>45171.0</v>
      </c>
      <c r="P2596" s="11">
        <v>45213.0</v>
      </c>
      <c r="Q2596" s="11">
        <v>45172.0</v>
      </c>
      <c r="R2596" s="11">
        <v>45213.0</v>
      </c>
      <c r="S2596" s="12"/>
      <c r="T2596" s="8"/>
      <c r="U2596" s="8" t="s">
        <v>1038</v>
      </c>
      <c r="V2596" s="13" t="s">
        <v>77</v>
      </c>
      <c r="W2596" s="13" t="s">
        <v>12539</v>
      </c>
      <c r="X2596" s="12"/>
      <c r="Y2596" s="14"/>
      <c r="Z2596" s="14"/>
    </row>
    <row r="2597">
      <c r="A2597" s="8" t="s">
        <v>12540</v>
      </c>
      <c r="B2597" s="8" t="s">
        <v>12541</v>
      </c>
      <c r="C2597" s="8" t="s">
        <v>25</v>
      </c>
      <c r="D2597" s="8" t="s">
        <v>26</v>
      </c>
      <c r="E2597" s="8" t="s">
        <v>12542</v>
      </c>
      <c r="F2597" s="8">
        <v>5.374587104E9</v>
      </c>
      <c r="G2597" s="8" t="s">
        <v>31</v>
      </c>
      <c r="H2597" s="8" t="s">
        <v>77</v>
      </c>
      <c r="I2597" s="8" t="s">
        <v>44</v>
      </c>
      <c r="J2597" s="8" t="s">
        <v>1993</v>
      </c>
      <c r="K2597" s="10" t="s">
        <v>2501</v>
      </c>
      <c r="L2597" s="8" t="s">
        <v>58</v>
      </c>
      <c r="M2597" s="8" t="s">
        <v>35</v>
      </c>
      <c r="N2597" s="11">
        <v>45108.0</v>
      </c>
      <c r="O2597" s="11">
        <v>45171.0</v>
      </c>
      <c r="P2597" s="11">
        <v>45213.0</v>
      </c>
      <c r="Q2597" s="11">
        <v>45172.0</v>
      </c>
      <c r="R2597" s="11">
        <v>45213.0</v>
      </c>
      <c r="S2597" s="12"/>
      <c r="T2597" s="8"/>
      <c r="U2597" s="8" t="s">
        <v>1038</v>
      </c>
      <c r="V2597" s="13" t="s">
        <v>77</v>
      </c>
      <c r="W2597" s="13" t="s">
        <v>12543</v>
      </c>
      <c r="X2597" s="12"/>
      <c r="Y2597" s="14"/>
      <c r="Z2597" s="14"/>
    </row>
    <row r="2598">
      <c r="A2598" s="8" t="s">
        <v>12544</v>
      </c>
      <c r="B2598" s="8" t="s">
        <v>12545</v>
      </c>
      <c r="C2598" s="8" t="s">
        <v>25</v>
      </c>
      <c r="D2598" s="8" t="s">
        <v>26</v>
      </c>
      <c r="E2598" s="8" t="s">
        <v>12546</v>
      </c>
      <c r="F2598" s="8">
        <v>5.522383665E9</v>
      </c>
      <c r="G2598" s="8" t="s">
        <v>31</v>
      </c>
      <c r="H2598" s="8" t="s">
        <v>77</v>
      </c>
      <c r="I2598" s="8" t="s">
        <v>44</v>
      </c>
      <c r="J2598" s="8" t="s">
        <v>1993</v>
      </c>
      <c r="K2598" s="10" t="s">
        <v>2501</v>
      </c>
      <c r="L2598" s="8" t="s">
        <v>58</v>
      </c>
      <c r="M2598" s="8" t="s">
        <v>35</v>
      </c>
      <c r="N2598" s="11">
        <v>45108.0</v>
      </c>
      <c r="O2598" s="11">
        <v>45171.0</v>
      </c>
      <c r="P2598" s="11">
        <v>45213.0</v>
      </c>
      <c r="Q2598" s="11">
        <v>45172.0</v>
      </c>
      <c r="R2598" s="11">
        <v>45213.0</v>
      </c>
      <c r="S2598" s="12"/>
      <c r="T2598" s="8"/>
      <c r="U2598" s="8" t="s">
        <v>1038</v>
      </c>
      <c r="V2598" s="13" t="s">
        <v>77</v>
      </c>
      <c r="W2598" s="13" t="s">
        <v>12547</v>
      </c>
      <c r="X2598" s="12"/>
      <c r="Y2598" s="14"/>
      <c r="Z2598" s="14"/>
    </row>
    <row r="2599">
      <c r="A2599" s="8" t="s">
        <v>12548</v>
      </c>
      <c r="B2599" s="8" t="s">
        <v>12549</v>
      </c>
      <c r="C2599" s="8" t="s">
        <v>25</v>
      </c>
      <c r="D2599" s="8" t="s">
        <v>26</v>
      </c>
      <c r="E2599" s="8" t="s">
        <v>12550</v>
      </c>
      <c r="F2599" s="8">
        <v>3.453579536E9</v>
      </c>
      <c r="G2599" s="8" t="s">
        <v>29</v>
      </c>
      <c r="H2599" s="8" t="s">
        <v>5003</v>
      </c>
      <c r="I2599" s="8" t="s">
        <v>31</v>
      </c>
      <c r="J2599" s="8" t="s">
        <v>77</v>
      </c>
      <c r="K2599" s="10" t="s">
        <v>2537</v>
      </c>
      <c r="L2599" s="8" t="s">
        <v>58</v>
      </c>
      <c r="M2599" s="8" t="s">
        <v>35</v>
      </c>
      <c r="N2599" s="11">
        <v>45108.0</v>
      </c>
      <c r="O2599" s="11">
        <v>45145.0</v>
      </c>
      <c r="P2599" s="11">
        <v>45187.0</v>
      </c>
      <c r="Q2599" s="11">
        <v>45144.0</v>
      </c>
      <c r="R2599" s="11">
        <v>45187.0</v>
      </c>
      <c r="S2599" s="12"/>
      <c r="T2599" s="8"/>
      <c r="U2599" s="8" t="s">
        <v>88</v>
      </c>
      <c r="V2599" s="13" t="s">
        <v>38</v>
      </c>
      <c r="W2599" s="13" t="s">
        <v>12551</v>
      </c>
      <c r="X2599" s="12"/>
      <c r="Y2599" s="14"/>
      <c r="Z2599" s="14"/>
    </row>
    <row r="2600">
      <c r="A2600" s="8" t="s">
        <v>12552</v>
      </c>
      <c r="B2600" s="8" t="s">
        <v>4022</v>
      </c>
      <c r="C2600" s="8" t="s">
        <v>25</v>
      </c>
      <c r="D2600" s="8" t="s">
        <v>26</v>
      </c>
      <c r="E2600" s="8" t="s">
        <v>4023</v>
      </c>
      <c r="F2600" s="8">
        <v>5.52905601E9</v>
      </c>
      <c r="G2600" s="8" t="s">
        <v>466</v>
      </c>
      <c r="H2600" s="8" t="s">
        <v>4024</v>
      </c>
      <c r="I2600" s="8" t="s">
        <v>31</v>
      </c>
      <c r="J2600" s="8" t="s">
        <v>86</v>
      </c>
      <c r="K2600" s="10" t="s">
        <v>3621</v>
      </c>
      <c r="L2600" s="8" t="s">
        <v>58</v>
      </c>
      <c r="M2600" s="8" t="s">
        <v>35</v>
      </c>
      <c r="N2600" s="11">
        <v>45108.0</v>
      </c>
      <c r="O2600" s="11">
        <v>45110.0</v>
      </c>
      <c r="P2600" s="11">
        <v>45152.0</v>
      </c>
      <c r="Q2600" s="11">
        <v>45110.0</v>
      </c>
      <c r="R2600" s="11">
        <v>45152.0</v>
      </c>
      <c r="S2600" s="12"/>
      <c r="T2600" s="8"/>
      <c r="U2600" s="8" t="s">
        <v>153</v>
      </c>
      <c r="V2600" s="13" t="s">
        <v>4026</v>
      </c>
      <c r="W2600" s="13" t="s">
        <v>4027</v>
      </c>
      <c r="X2600" s="12"/>
      <c r="Y2600" s="14"/>
      <c r="Z2600" s="14"/>
    </row>
    <row r="2601">
      <c r="A2601" s="8" t="s">
        <v>12553</v>
      </c>
      <c r="B2601" s="8" t="s">
        <v>12554</v>
      </c>
      <c r="C2601" s="8" t="s">
        <v>25</v>
      </c>
      <c r="D2601" s="8" t="s">
        <v>26</v>
      </c>
      <c r="E2601" s="8" t="s">
        <v>12555</v>
      </c>
      <c r="F2601" s="8">
        <v>5.35045157E9</v>
      </c>
      <c r="G2601" s="8" t="s">
        <v>31</v>
      </c>
      <c r="H2601" s="8" t="s">
        <v>77</v>
      </c>
      <c r="I2601" s="8" t="s">
        <v>44</v>
      </c>
      <c r="J2601" s="8" t="s">
        <v>1993</v>
      </c>
      <c r="K2601" s="10" t="s">
        <v>6206</v>
      </c>
      <c r="L2601" s="8" t="s">
        <v>58</v>
      </c>
      <c r="M2601" s="8" t="s">
        <v>35</v>
      </c>
      <c r="N2601" s="11">
        <v>45109.0</v>
      </c>
      <c r="O2601" s="11">
        <v>45150.0</v>
      </c>
      <c r="P2601" s="11">
        <v>45192.0</v>
      </c>
      <c r="Q2601" s="11">
        <v>45153.0</v>
      </c>
      <c r="R2601" s="11">
        <v>45193.0</v>
      </c>
      <c r="S2601" s="12"/>
      <c r="T2601" s="8"/>
      <c r="U2601" s="8" t="s">
        <v>153</v>
      </c>
      <c r="V2601" s="13" t="s">
        <v>77</v>
      </c>
      <c r="W2601" s="13" t="s">
        <v>12556</v>
      </c>
      <c r="X2601" s="12"/>
      <c r="Y2601" s="14"/>
      <c r="Z2601" s="14"/>
    </row>
    <row r="2602">
      <c r="A2602" s="8" t="s">
        <v>12557</v>
      </c>
      <c r="B2602" s="8" t="s">
        <v>12558</v>
      </c>
      <c r="C2602" s="8" t="s">
        <v>25</v>
      </c>
      <c r="D2602" s="8" t="s">
        <v>26</v>
      </c>
      <c r="E2602" s="8" t="s">
        <v>12559</v>
      </c>
      <c r="F2602" s="8">
        <v>5.393643455E9</v>
      </c>
      <c r="G2602" s="8" t="s">
        <v>31</v>
      </c>
      <c r="H2602" s="8" t="s">
        <v>542</v>
      </c>
      <c r="I2602" s="8" t="s">
        <v>54</v>
      </c>
      <c r="J2602" s="8" t="s">
        <v>430</v>
      </c>
      <c r="K2602" s="10" t="s">
        <v>6053</v>
      </c>
      <c r="L2602" s="8" t="s">
        <v>58</v>
      </c>
      <c r="M2602" s="8" t="s">
        <v>35</v>
      </c>
      <c r="N2602" s="11">
        <v>45109.0</v>
      </c>
      <c r="O2602" s="11">
        <v>45120.0</v>
      </c>
      <c r="P2602" s="11">
        <v>45164.0</v>
      </c>
      <c r="Q2602" s="11">
        <v>45120.0</v>
      </c>
      <c r="R2602" s="11">
        <v>45164.0</v>
      </c>
      <c r="S2602" s="12"/>
      <c r="T2602" s="8"/>
      <c r="U2602" s="8" t="s">
        <v>1038</v>
      </c>
      <c r="V2602" s="13" t="s">
        <v>545</v>
      </c>
      <c r="W2602" s="13" t="s">
        <v>12560</v>
      </c>
      <c r="X2602" s="12"/>
      <c r="Y2602" s="14"/>
      <c r="Z2602" s="14"/>
    </row>
    <row r="2603">
      <c r="A2603" s="8" t="s">
        <v>12561</v>
      </c>
      <c r="B2603" s="8" t="s">
        <v>12562</v>
      </c>
      <c r="C2603" s="8" t="s">
        <v>25</v>
      </c>
      <c r="D2603" s="8" t="s">
        <v>26</v>
      </c>
      <c r="E2603" s="8" t="s">
        <v>12563</v>
      </c>
      <c r="F2603" s="8">
        <v>3.224568699E9</v>
      </c>
      <c r="G2603" s="8" t="s">
        <v>315</v>
      </c>
      <c r="H2603" s="8" t="s">
        <v>1242</v>
      </c>
      <c r="I2603" s="8" t="s">
        <v>31</v>
      </c>
      <c r="J2603" s="8" t="s">
        <v>438</v>
      </c>
      <c r="K2603" s="10" t="s">
        <v>10418</v>
      </c>
      <c r="L2603" s="8" t="s">
        <v>58</v>
      </c>
      <c r="M2603" s="8" t="s">
        <v>35</v>
      </c>
      <c r="N2603" s="11">
        <v>45109.0</v>
      </c>
      <c r="O2603" s="11">
        <v>45152.0</v>
      </c>
      <c r="P2603" s="11">
        <v>45194.0</v>
      </c>
      <c r="Q2603" s="11">
        <v>45153.0</v>
      </c>
      <c r="R2603" s="11">
        <v>45194.0</v>
      </c>
      <c r="S2603" s="12"/>
      <c r="T2603" s="8"/>
      <c r="U2603" s="8" t="s">
        <v>1038</v>
      </c>
      <c r="V2603" s="13" t="s">
        <v>38</v>
      </c>
      <c r="W2603" s="13" t="s">
        <v>12564</v>
      </c>
      <c r="X2603" s="12"/>
      <c r="Y2603" s="14"/>
      <c r="Z2603" s="14"/>
    </row>
    <row r="2604">
      <c r="A2604" s="8" t="s">
        <v>12565</v>
      </c>
      <c r="B2604" s="8" t="s">
        <v>1143</v>
      </c>
      <c r="C2604" s="8" t="s">
        <v>25</v>
      </c>
      <c r="D2604" s="8" t="s">
        <v>26</v>
      </c>
      <c r="E2604" s="8" t="s">
        <v>12566</v>
      </c>
      <c r="F2604" s="8">
        <v>5.078495671E9</v>
      </c>
      <c r="G2604" s="8" t="s">
        <v>84</v>
      </c>
      <c r="H2604" s="8" t="s">
        <v>646</v>
      </c>
      <c r="I2604" s="8" t="s">
        <v>31</v>
      </c>
      <c r="J2604" s="8" t="s">
        <v>256</v>
      </c>
      <c r="K2604" s="10" t="s">
        <v>12567</v>
      </c>
      <c r="L2604" s="8" t="s">
        <v>34</v>
      </c>
      <c r="M2604" s="8" t="s">
        <v>70</v>
      </c>
      <c r="N2604" s="11">
        <v>45109.0</v>
      </c>
      <c r="O2604" s="11">
        <v>45101.0</v>
      </c>
      <c r="P2604" s="11">
        <v>45290.0</v>
      </c>
      <c r="Q2604" s="11">
        <v>45110.0</v>
      </c>
      <c r="R2604" s="11">
        <v>45299.0</v>
      </c>
      <c r="S2604" s="12"/>
      <c r="T2604" s="8" t="s">
        <v>205</v>
      </c>
      <c r="U2604" s="8" t="s">
        <v>205</v>
      </c>
      <c r="V2604" s="13" t="s">
        <v>1146</v>
      </c>
      <c r="W2604" s="13" t="s">
        <v>12568</v>
      </c>
      <c r="X2604" s="12"/>
      <c r="Y2604" s="14"/>
      <c r="Z2604" s="14"/>
    </row>
    <row r="2605">
      <c r="A2605" s="8" t="s">
        <v>12569</v>
      </c>
      <c r="B2605" s="8" t="s">
        <v>12570</v>
      </c>
      <c r="C2605" s="8" t="s">
        <v>25</v>
      </c>
      <c r="D2605" s="8" t="s">
        <v>26</v>
      </c>
      <c r="E2605" s="8" t="s">
        <v>12571</v>
      </c>
      <c r="F2605" s="8">
        <v>5.54076782E8</v>
      </c>
      <c r="G2605" s="8" t="s">
        <v>254</v>
      </c>
      <c r="H2605" s="8" t="s">
        <v>255</v>
      </c>
      <c r="I2605" s="8" t="s">
        <v>31</v>
      </c>
      <c r="J2605" s="8" t="s">
        <v>292</v>
      </c>
      <c r="K2605" s="10" t="s">
        <v>12399</v>
      </c>
      <c r="L2605" s="8" t="s">
        <v>58</v>
      </c>
      <c r="M2605" s="8" t="s">
        <v>35</v>
      </c>
      <c r="N2605" s="11">
        <v>45109.0</v>
      </c>
      <c r="O2605" s="11">
        <v>45201.0</v>
      </c>
      <c r="P2605" s="11">
        <v>45243.0</v>
      </c>
      <c r="Q2605" s="11">
        <v>45201.0</v>
      </c>
      <c r="R2605" s="11">
        <v>45243.0</v>
      </c>
      <c r="S2605" s="12"/>
      <c r="T2605" s="8"/>
      <c r="U2605" s="8" t="s">
        <v>88</v>
      </c>
      <c r="V2605" s="13" t="s">
        <v>258</v>
      </c>
      <c r="W2605" s="13" t="s">
        <v>12572</v>
      </c>
      <c r="X2605" s="12"/>
      <c r="Y2605" s="14"/>
      <c r="Z2605" s="14"/>
    </row>
    <row r="2606">
      <c r="A2606" s="8" t="s">
        <v>12573</v>
      </c>
      <c r="B2606" s="8" t="s">
        <v>12574</v>
      </c>
      <c r="C2606" s="8" t="s">
        <v>179</v>
      </c>
      <c r="D2606" s="8" t="s">
        <v>26</v>
      </c>
      <c r="E2606" s="8" t="s">
        <v>12575</v>
      </c>
      <c r="F2606" s="8">
        <v>5.338619336E9</v>
      </c>
      <c r="G2606" s="8" t="s">
        <v>31</v>
      </c>
      <c r="H2606" s="8" t="s">
        <v>959</v>
      </c>
      <c r="I2606" s="8" t="s">
        <v>8344</v>
      </c>
      <c r="J2606" s="8" t="s">
        <v>8418</v>
      </c>
      <c r="K2606" s="10" t="s">
        <v>12576</v>
      </c>
      <c r="L2606" s="8" t="s">
        <v>58</v>
      </c>
      <c r="M2606" s="8" t="s">
        <v>35</v>
      </c>
      <c r="N2606" s="11">
        <v>45110.0</v>
      </c>
      <c r="O2606" s="11">
        <v>45115.0</v>
      </c>
      <c r="P2606" s="11">
        <v>45157.0</v>
      </c>
      <c r="Q2606" s="11"/>
      <c r="R2606" s="11"/>
      <c r="S2606" s="12"/>
      <c r="T2606" s="8"/>
      <c r="U2606" s="8" t="s">
        <v>59</v>
      </c>
      <c r="V2606" s="13" t="s">
        <v>102</v>
      </c>
      <c r="W2606" s="13" t="s">
        <v>12577</v>
      </c>
      <c r="X2606" s="12"/>
      <c r="Y2606" s="14"/>
      <c r="Z2606" s="14"/>
    </row>
    <row r="2607">
      <c r="A2607" s="8" t="s">
        <v>12578</v>
      </c>
      <c r="B2607" s="8" t="s">
        <v>12579</v>
      </c>
      <c r="C2607" s="8" t="s">
        <v>25</v>
      </c>
      <c r="D2607" s="8" t="s">
        <v>26</v>
      </c>
      <c r="E2607" s="8" t="s">
        <v>12580</v>
      </c>
      <c r="F2607" s="8">
        <v>9.3237033E7</v>
      </c>
      <c r="G2607" s="8" t="s">
        <v>54</v>
      </c>
      <c r="H2607" s="8" t="s">
        <v>430</v>
      </c>
      <c r="I2607" s="8" t="s">
        <v>31</v>
      </c>
      <c r="J2607" s="8" t="s">
        <v>56</v>
      </c>
      <c r="K2607" s="10" t="s">
        <v>11918</v>
      </c>
      <c r="L2607" s="8" t="s">
        <v>58</v>
      </c>
      <c r="M2607" s="8" t="s">
        <v>35</v>
      </c>
      <c r="N2607" s="11">
        <v>45110.0</v>
      </c>
      <c r="O2607" s="11">
        <v>45120.0</v>
      </c>
      <c r="P2607" s="11">
        <v>45162.0</v>
      </c>
      <c r="Q2607" s="11">
        <v>45120.0</v>
      </c>
      <c r="R2607" s="11">
        <v>45162.0</v>
      </c>
      <c r="S2607" s="12"/>
      <c r="T2607" s="8"/>
      <c r="U2607" s="8" t="s">
        <v>59</v>
      </c>
      <c r="V2607" s="13" t="s">
        <v>849</v>
      </c>
      <c r="W2607" s="13" t="s">
        <v>12581</v>
      </c>
      <c r="X2607" s="12"/>
      <c r="Y2607" s="14"/>
      <c r="Z2607" s="14"/>
    </row>
    <row r="2608">
      <c r="A2608" s="8" t="s">
        <v>12582</v>
      </c>
      <c r="B2608" s="8" t="s">
        <v>12583</v>
      </c>
      <c r="C2608" s="8" t="s">
        <v>64</v>
      </c>
      <c r="D2608" s="8" t="s">
        <v>26</v>
      </c>
      <c r="E2608" s="8" t="s">
        <v>12584</v>
      </c>
      <c r="F2608" s="8">
        <v>6.90552557E8</v>
      </c>
      <c r="G2608" s="8" t="s">
        <v>84</v>
      </c>
      <c r="H2608" s="8" t="s">
        <v>85</v>
      </c>
      <c r="I2608" s="8" t="s">
        <v>31</v>
      </c>
      <c r="J2608" s="8" t="s">
        <v>542</v>
      </c>
      <c r="K2608" s="10" t="s">
        <v>11666</v>
      </c>
      <c r="L2608" s="8" t="s">
        <v>58</v>
      </c>
      <c r="M2608" s="8" t="s">
        <v>35</v>
      </c>
      <c r="N2608" s="11">
        <v>45110.0</v>
      </c>
      <c r="O2608" s="11">
        <v>45117.0</v>
      </c>
      <c r="P2608" s="11">
        <v>45159.0</v>
      </c>
      <c r="Q2608" s="11">
        <v>45120.0</v>
      </c>
      <c r="R2608" s="11">
        <v>45160.0</v>
      </c>
      <c r="S2608" s="12"/>
      <c r="T2608" s="8"/>
      <c r="U2608" s="8" t="s">
        <v>161</v>
      </c>
      <c r="V2608" s="13" t="s">
        <v>5502</v>
      </c>
      <c r="W2608" s="13" t="s">
        <v>12585</v>
      </c>
      <c r="X2608" s="12"/>
      <c r="Y2608" s="14"/>
      <c r="Z2608" s="14"/>
    </row>
    <row r="2609">
      <c r="A2609" s="8" t="s">
        <v>12586</v>
      </c>
      <c r="B2609" s="8" t="s">
        <v>12587</v>
      </c>
      <c r="C2609" s="8" t="s">
        <v>179</v>
      </c>
      <c r="D2609" s="8" t="s">
        <v>26</v>
      </c>
      <c r="E2609" s="8" t="s">
        <v>12588</v>
      </c>
      <c r="F2609" s="8">
        <v>5.4034703E7</v>
      </c>
      <c r="G2609" s="8" t="s">
        <v>54</v>
      </c>
      <c r="H2609" s="8" t="s">
        <v>430</v>
      </c>
      <c r="I2609" s="8" t="s">
        <v>31</v>
      </c>
      <c r="J2609" s="8" t="s">
        <v>77</v>
      </c>
      <c r="K2609" s="10" t="s">
        <v>2537</v>
      </c>
      <c r="L2609" s="8" t="s">
        <v>58</v>
      </c>
      <c r="M2609" s="8" t="s">
        <v>35</v>
      </c>
      <c r="N2609" s="11">
        <v>45110.0</v>
      </c>
      <c r="O2609" s="11">
        <v>45117.0</v>
      </c>
      <c r="P2609" s="11">
        <v>45159.0</v>
      </c>
      <c r="Q2609" s="11"/>
      <c r="R2609" s="11"/>
      <c r="S2609" s="12"/>
      <c r="T2609" s="8"/>
      <c r="U2609" s="8" t="s">
        <v>88</v>
      </c>
      <c r="V2609" s="13" t="s">
        <v>12589</v>
      </c>
      <c r="W2609" s="13" t="s">
        <v>12590</v>
      </c>
      <c r="X2609" s="12"/>
      <c r="Y2609" s="14"/>
      <c r="Z2609" s="14"/>
    </row>
    <row r="2610">
      <c r="A2610" s="8" t="s">
        <v>12591</v>
      </c>
      <c r="B2610" s="8" t="s">
        <v>12592</v>
      </c>
      <c r="C2610" s="8" t="s">
        <v>179</v>
      </c>
      <c r="D2610" s="8" t="s">
        <v>26</v>
      </c>
      <c r="E2610" s="8" t="s">
        <v>12593</v>
      </c>
      <c r="F2610" s="8"/>
      <c r="G2610" s="8" t="s">
        <v>315</v>
      </c>
      <c r="H2610" s="8" t="s">
        <v>1242</v>
      </c>
      <c r="I2610" s="8" t="s">
        <v>31</v>
      </c>
      <c r="J2610" s="8" t="s">
        <v>56</v>
      </c>
      <c r="K2610" s="10" t="s">
        <v>12447</v>
      </c>
      <c r="L2610" s="8" t="s">
        <v>58</v>
      </c>
      <c r="M2610" s="8" t="s">
        <v>35</v>
      </c>
      <c r="N2610" s="11">
        <v>45110.0</v>
      </c>
      <c r="O2610" s="11">
        <v>45376.0</v>
      </c>
      <c r="P2610" s="11">
        <v>45418.0</v>
      </c>
      <c r="Q2610" s="11"/>
      <c r="R2610" s="11"/>
      <c r="S2610" s="12"/>
      <c r="T2610" s="8"/>
      <c r="U2610" s="8" t="s">
        <v>185</v>
      </c>
      <c r="V2610" s="13" t="s">
        <v>1243</v>
      </c>
      <c r="W2610" s="13" t="s">
        <v>12594</v>
      </c>
      <c r="X2610" s="12"/>
      <c r="Y2610" s="14"/>
      <c r="Z2610" s="14"/>
    </row>
    <row r="2611">
      <c r="A2611" s="8" t="s">
        <v>12595</v>
      </c>
      <c r="B2611" s="8" t="s">
        <v>12596</v>
      </c>
      <c r="C2611" s="8" t="s">
        <v>25</v>
      </c>
      <c r="D2611" s="8" t="s">
        <v>26</v>
      </c>
      <c r="E2611" s="8" t="s">
        <v>12597</v>
      </c>
      <c r="F2611" s="8">
        <v>5.012560184E9</v>
      </c>
      <c r="G2611" s="8" t="s">
        <v>31</v>
      </c>
      <c r="H2611" s="8" t="s">
        <v>1274</v>
      </c>
      <c r="I2611" s="8" t="s">
        <v>54</v>
      </c>
      <c r="J2611" s="8" t="s">
        <v>1640</v>
      </c>
      <c r="K2611" s="10" t="s">
        <v>12598</v>
      </c>
      <c r="L2611" s="8" t="s">
        <v>47</v>
      </c>
      <c r="M2611" s="8" t="s">
        <v>35</v>
      </c>
      <c r="N2611" s="11">
        <v>45110.0</v>
      </c>
      <c r="O2611" s="11">
        <v>45119.0</v>
      </c>
      <c r="P2611" s="11">
        <v>45182.0</v>
      </c>
      <c r="Q2611" s="11">
        <v>45123.0</v>
      </c>
      <c r="R2611" s="11">
        <v>45188.0</v>
      </c>
      <c r="S2611" s="12"/>
      <c r="T2611" s="8"/>
      <c r="U2611" s="8" t="s">
        <v>10223</v>
      </c>
      <c r="V2611" s="13" t="s">
        <v>1274</v>
      </c>
      <c r="W2611" s="13" t="s">
        <v>12599</v>
      </c>
      <c r="X2611" s="12"/>
      <c r="Y2611" s="14"/>
      <c r="Z2611" s="14"/>
    </row>
    <row r="2612">
      <c r="A2612" s="8" t="s">
        <v>12600</v>
      </c>
      <c r="B2612" s="8" t="s">
        <v>12601</v>
      </c>
      <c r="C2612" s="8" t="s">
        <v>25</v>
      </c>
      <c r="D2612" s="8" t="s">
        <v>26</v>
      </c>
      <c r="E2612" s="8" t="s">
        <v>12602</v>
      </c>
      <c r="F2612" s="8">
        <v>6.58879689E8</v>
      </c>
      <c r="G2612" s="8" t="s">
        <v>84</v>
      </c>
      <c r="H2612" s="8" t="s">
        <v>1127</v>
      </c>
      <c r="I2612" s="8" t="s">
        <v>31</v>
      </c>
      <c r="J2612" s="8" t="s">
        <v>1274</v>
      </c>
      <c r="K2612" s="10" t="s">
        <v>1641</v>
      </c>
      <c r="L2612" s="8" t="s">
        <v>58</v>
      </c>
      <c r="M2612" s="8" t="s">
        <v>35</v>
      </c>
      <c r="N2612" s="11">
        <v>45110.0</v>
      </c>
      <c r="O2612" s="11">
        <v>45145.0</v>
      </c>
      <c r="P2612" s="11">
        <v>45187.0</v>
      </c>
      <c r="Q2612" s="11">
        <v>45145.0</v>
      </c>
      <c r="R2612" s="11">
        <v>45187.0</v>
      </c>
      <c r="S2612" s="12"/>
      <c r="T2612" s="8"/>
      <c r="U2612" s="8" t="s">
        <v>185</v>
      </c>
      <c r="V2612" s="13" t="s">
        <v>1130</v>
      </c>
      <c r="W2612" s="13" t="s">
        <v>12603</v>
      </c>
      <c r="X2612" s="12"/>
      <c r="Y2612" s="14"/>
      <c r="Z2612" s="14"/>
    </row>
    <row r="2613">
      <c r="A2613" s="8" t="s">
        <v>12604</v>
      </c>
      <c r="B2613" s="8" t="s">
        <v>12605</v>
      </c>
      <c r="C2613" s="8" t="s">
        <v>708</v>
      </c>
      <c r="D2613" s="8" t="s">
        <v>26</v>
      </c>
      <c r="E2613" s="8" t="s">
        <v>12606</v>
      </c>
      <c r="F2613" s="8">
        <v>6.183747E7</v>
      </c>
      <c r="G2613" s="8" t="s">
        <v>407</v>
      </c>
      <c r="H2613" s="8" t="s">
        <v>12607</v>
      </c>
      <c r="I2613" s="8" t="s">
        <v>31</v>
      </c>
      <c r="J2613" s="8" t="s">
        <v>111</v>
      </c>
      <c r="K2613" s="10" t="s">
        <v>910</v>
      </c>
      <c r="L2613" s="8" t="s">
        <v>47</v>
      </c>
      <c r="M2613" s="8" t="s">
        <v>70</v>
      </c>
      <c r="N2613" s="11">
        <v>45111.0</v>
      </c>
      <c r="O2613" s="11">
        <v>45139.0</v>
      </c>
      <c r="P2613" s="11">
        <v>45506.0</v>
      </c>
      <c r="Q2613" s="11">
        <v>45146.0</v>
      </c>
      <c r="R2613" s="11">
        <v>45513.0</v>
      </c>
      <c r="S2613" s="12"/>
      <c r="T2613" s="8"/>
      <c r="U2613" s="8" t="s">
        <v>246</v>
      </c>
      <c r="V2613" s="13" t="s">
        <v>38</v>
      </c>
      <c r="W2613" s="13" t="s">
        <v>12608</v>
      </c>
      <c r="X2613" s="12"/>
      <c r="Y2613" s="14"/>
      <c r="Z2613" s="14"/>
    </row>
    <row r="2614">
      <c r="A2614" s="8" t="s">
        <v>12609</v>
      </c>
      <c r="B2614" s="8" t="s">
        <v>12610</v>
      </c>
      <c r="C2614" s="8" t="s">
        <v>708</v>
      </c>
      <c r="D2614" s="8" t="s">
        <v>26</v>
      </c>
      <c r="E2614" s="8" t="s">
        <v>12611</v>
      </c>
      <c r="F2614" s="8">
        <v>2.2550075E7</v>
      </c>
      <c r="G2614" s="8" t="s">
        <v>54</v>
      </c>
      <c r="H2614" s="8" t="s">
        <v>595</v>
      </c>
      <c r="I2614" s="8" t="s">
        <v>31</v>
      </c>
      <c r="J2614" s="8" t="s">
        <v>111</v>
      </c>
      <c r="K2614" s="10" t="s">
        <v>12612</v>
      </c>
      <c r="L2614" s="8" t="s">
        <v>47</v>
      </c>
      <c r="M2614" s="8" t="s">
        <v>70</v>
      </c>
      <c r="N2614" s="11">
        <v>45111.0</v>
      </c>
      <c r="O2614" s="11">
        <v>45124.0</v>
      </c>
      <c r="P2614" s="11">
        <v>45490.0</v>
      </c>
      <c r="Q2614" s="11">
        <v>45126.0</v>
      </c>
      <c r="R2614" s="11">
        <v>45492.0</v>
      </c>
      <c r="S2614" s="12"/>
      <c r="T2614" s="8"/>
      <c r="U2614" s="8" t="s">
        <v>795</v>
      </c>
      <c r="V2614" s="13" t="s">
        <v>38</v>
      </c>
      <c r="W2614" s="13" t="s">
        <v>12613</v>
      </c>
      <c r="X2614" s="12"/>
      <c r="Y2614" s="14"/>
      <c r="Z2614" s="14"/>
    </row>
    <row r="2615">
      <c r="A2615" s="8" t="s">
        <v>12614</v>
      </c>
      <c r="B2615" s="8" t="s">
        <v>12615</v>
      </c>
      <c r="C2615" s="8" t="s">
        <v>25</v>
      </c>
      <c r="D2615" s="8" t="s">
        <v>26</v>
      </c>
      <c r="E2615" s="8" t="s">
        <v>12616</v>
      </c>
      <c r="F2615" s="8"/>
      <c r="G2615" s="8" t="s">
        <v>277</v>
      </c>
      <c r="H2615" s="8" t="s">
        <v>278</v>
      </c>
      <c r="I2615" s="8" t="s">
        <v>31</v>
      </c>
      <c r="J2615" s="8" t="s">
        <v>167</v>
      </c>
      <c r="K2615" s="10" t="s">
        <v>4008</v>
      </c>
      <c r="L2615" s="8" t="s">
        <v>58</v>
      </c>
      <c r="M2615" s="8" t="s">
        <v>35</v>
      </c>
      <c r="N2615" s="11">
        <v>45111.0</v>
      </c>
      <c r="O2615" s="11">
        <v>45124.0</v>
      </c>
      <c r="P2615" s="11">
        <v>45166.0</v>
      </c>
      <c r="Q2615" s="11">
        <v>45124.0</v>
      </c>
      <c r="R2615" s="11">
        <v>45166.0</v>
      </c>
      <c r="S2615" s="12"/>
      <c r="T2615" s="8"/>
      <c r="U2615" s="8" t="s">
        <v>59</v>
      </c>
      <c r="V2615" s="13" t="s">
        <v>38</v>
      </c>
      <c r="W2615" s="13" t="s">
        <v>12617</v>
      </c>
      <c r="X2615" s="12"/>
      <c r="Y2615" s="14"/>
      <c r="Z2615" s="14"/>
    </row>
    <row r="2616">
      <c r="A2616" s="8" t="s">
        <v>12618</v>
      </c>
      <c r="B2616" s="8" t="s">
        <v>12619</v>
      </c>
      <c r="C2616" s="8" t="s">
        <v>179</v>
      </c>
      <c r="D2616" s="8" t="s">
        <v>26</v>
      </c>
      <c r="E2616" s="8" t="s">
        <v>12620</v>
      </c>
      <c r="F2616" s="8">
        <v>5.309781452E9</v>
      </c>
      <c r="G2616" s="8" t="s">
        <v>31</v>
      </c>
      <c r="H2616" s="8" t="s">
        <v>542</v>
      </c>
      <c r="I2616" s="8" t="s">
        <v>284</v>
      </c>
      <c r="J2616" s="8" t="s">
        <v>300</v>
      </c>
      <c r="K2616" s="10" t="s">
        <v>10916</v>
      </c>
      <c r="L2616" s="8" t="s">
        <v>58</v>
      </c>
      <c r="M2616" s="8" t="s">
        <v>35</v>
      </c>
      <c r="N2616" s="11">
        <v>45111.0</v>
      </c>
      <c r="O2616" s="11">
        <v>45261.0</v>
      </c>
      <c r="P2616" s="11">
        <v>45303.0</v>
      </c>
      <c r="Q2616" s="11"/>
      <c r="R2616" s="11"/>
      <c r="S2616" s="12"/>
      <c r="T2616" s="8"/>
      <c r="U2616" s="8" t="s">
        <v>59</v>
      </c>
      <c r="V2616" s="13" t="s">
        <v>545</v>
      </c>
      <c r="W2616" s="13" t="s">
        <v>12621</v>
      </c>
      <c r="X2616" s="12"/>
      <c r="Y2616" s="14"/>
      <c r="Z2616" s="14"/>
    </row>
    <row r="2617">
      <c r="A2617" s="8" t="s">
        <v>12622</v>
      </c>
      <c r="B2617" s="8" t="s">
        <v>12623</v>
      </c>
      <c r="C2617" s="8" t="s">
        <v>708</v>
      </c>
      <c r="D2617" s="8" t="s">
        <v>26</v>
      </c>
      <c r="E2617" s="8" t="s">
        <v>12624</v>
      </c>
      <c r="F2617" s="8"/>
      <c r="G2617" s="8" t="s">
        <v>399</v>
      </c>
      <c r="H2617" s="8" t="s">
        <v>1381</v>
      </c>
      <c r="I2617" s="8" t="s">
        <v>31</v>
      </c>
      <c r="J2617" s="8" t="s">
        <v>256</v>
      </c>
      <c r="K2617" s="10" t="s">
        <v>5327</v>
      </c>
      <c r="L2617" s="8" t="s">
        <v>47</v>
      </c>
      <c r="M2617" s="8" t="s">
        <v>70</v>
      </c>
      <c r="N2617" s="11">
        <v>45111.0</v>
      </c>
      <c r="O2617" s="11">
        <v>45139.0</v>
      </c>
      <c r="P2617" s="11">
        <v>45443.0</v>
      </c>
      <c r="Q2617" s="11">
        <v>45161.0</v>
      </c>
      <c r="R2617" s="11">
        <v>45465.0</v>
      </c>
      <c r="S2617" s="12"/>
      <c r="T2617" s="8"/>
      <c r="U2617" s="8" t="s">
        <v>246</v>
      </c>
      <c r="V2617" s="13" t="s">
        <v>38</v>
      </c>
      <c r="W2617" s="13" t="s">
        <v>12625</v>
      </c>
      <c r="X2617" s="12"/>
      <c r="Y2617" s="14"/>
      <c r="Z2617" s="14"/>
    </row>
    <row r="2618">
      <c r="A2618" s="8" t="s">
        <v>12626</v>
      </c>
      <c r="B2618" s="8" t="s">
        <v>12627</v>
      </c>
      <c r="C2618" s="8" t="s">
        <v>179</v>
      </c>
      <c r="D2618" s="8" t="s">
        <v>26</v>
      </c>
      <c r="E2618" s="8" t="s">
        <v>12628</v>
      </c>
      <c r="F2618" s="8">
        <v>1.008441041E9</v>
      </c>
      <c r="G2618" s="8" t="s">
        <v>284</v>
      </c>
      <c r="H2618" s="8" t="s">
        <v>300</v>
      </c>
      <c r="I2618" s="8" t="s">
        <v>31</v>
      </c>
      <c r="J2618" s="8" t="s">
        <v>292</v>
      </c>
      <c r="K2618" s="10" t="s">
        <v>6742</v>
      </c>
      <c r="L2618" s="8" t="s">
        <v>58</v>
      </c>
      <c r="M2618" s="8" t="s">
        <v>35</v>
      </c>
      <c r="N2618" s="11">
        <v>45111.0</v>
      </c>
      <c r="O2618" s="11">
        <v>45194.0</v>
      </c>
      <c r="P2618" s="11">
        <v>45236.0</v>
      </c>
      <c r="Q2618" s="11"/>
      <c r="R2618" s="11"/>
      <c r="S2618" s="12"/>
      <c r="T2618" s="8"/>
      <c r="U2618" s="8" t="s">
        <v>88</v>
      </c>
      <c r="V2618" s="13" t="s">
        <v>300</v>
      </c>
      <c r="W2618" s="13" t="s">
        <v>12629</v>
      </c>
      <c r="X2618" s="12"/>
      <c r="Y2618" s="14"/>
      <c r="Z2618" s="14"/>
    </row>
    <row r="2619">
      <c r="A2619" s="8" t="s">
        <v>12630</v>
      </c>
      <c r="B2619" s="8" t="s">
        <v>12631</v>
      </c>
      <c r="C2619" s="8" t="s">
        <v>25</v>
      </c>
      <c r="D2619" s="8" t="s">
        <v>26</v>
      </c>
      <c r="E2619" s="8" t="s">
        <v>12632</v>
      </c>
      <c r="F2619" s="8">
        <v>5.6079561E7</v>
      </c>
      <c r="G2619" s="8" t="s">
        <v>54</v>
      </c>
      <c r="H2619" s="8" t="s">
        <v>55</v>
      </c>
      <c r="I2619" s="8" t="s">
        <v>31</v>
      </c>
      <c r="J2619" s="8" t="s">
        <v>77</v>
      </c>
      <c r="K2619" s="10" t="s">
        <v>1582</v>
      </c>
      <c r="L2619" s="8" t="s">
        <v>58</v>
      </c>
      <c r="M2619" s="8" t="s">
        <v>35</v>
      </c>
      <c r="N2619" s="11">
        <v>45111.0</v>
      </c>
      <c r="O2619" s="11">
        <v>45125.0</v>
      </c>
      <c r="P2619" s="11">
        <v>45167.0</v>
      </c>
      <c r="Q2619" s="11">
        <v>45117.0</v>
      </c>
      <c r="R2619" s="11">
        <v>45167.0</v>
      </c>
      <c r="S2619" s="12"/>
      <c r="T2619" s="8"/>
      <c r="U2619" s="8" t="s">
        <v>59</v>
      </c>
      <c r="V2619" s="13" t="s">
        <v>584</v>
      </c>
      <c r="W2619" s="13" t="s">
        <v>12633</v>
      </c>
      <c r="X2619" s="12"/>
      <c r="Y2619" s="14"/>
      <c r="Z2619" s="14"/>
    </row>
    <row r="2620">
      <c r="A2620" s="8" t="s">
        <v>12634</v>
      </c>
      <c r="B2620" s="8" t="s">
        <v>12635</v>
      </c>
      <c r="C2620" s="8" t="s">
        <v>179</v>
      </c>
      <c r="D2620" s="8" t="s">
        <v>26</v>
      </c>
      <c r="E2620" s="8" t="s">
        <v>12636</v>
      </c>
      <c r="F2620" s="8">
        <v>5.56621964E8</v>
      </c>
      <c r="G2620" s="8" t="s">
        <v>254</v>
      </c>
      <c r="H2620" s="8" t="s">
        <v>255</v>
      </c>
      <c r="I2620" s="8" t="s">
        <v>31</v>
      </c>
      <c r="J2620" s="8" t="s">
        <v>542</v>
      </c>
      <c r="K2620" s="10" t="s">
        <v>8953</v>
      </c>
      <c r="L2620" s="8" t="s">
        <v>34</v>
      </c>
      <c r="M2620" s="8" t="s">
        <v>70</v>
      </c>
      <c r="N2620" s="11">
        <v>45111.0</v>
      </c>
      <c r="O2620" s="11">
        <v>45153.0</v>
      </c>
      <c r="P2620" s="11">
        <v>45513.0</v>
      </c>
      <c r="Q2620" s="11"/>
      <c r="R2620" s="11"/>
      <c r="S2620" s="12"/>
      <c r="T2620" s="8" t="s">
        <v>36</v>
      </c>
      <c r="U2620" s="8" t="s">
        <v>8954</v>
      </c>
      <c r="V2620" s="13" t="s">
        <v>258</v>
      </c>
      <c r="W2620" s="13" t="s">
        <v>12637</v>
      </c>
      <c r="X2620" s="12"/>
      <c r="Y2620" s="14"/>
      <c r="Z2620" s="14"/>
    </row>
    <row r="2621">
      <c r="A2621" s="8" t="s">
        <v>12638</v>
      </c>
      <c r="B2621" s="8" t="s">
        <v>12639</v>
      </c>
      <c r="C2621" s="8" t="s">
        <v>708</v>
      </c>
      <c r="D2621" s="8" t="s">
        <v>26</v>
      </c>
      <c r="E2621" s="8" t="s">
        <v>12640</v>
      </c>
      <c r="F2621" s="8">
        <v>6.29257387E8</v>
      </c>
      <c r="G2621" s="8" t="s">
        <v>84</v>
      </c>
      <c r="H2621" s="8" t="s">
        <v>646</v>
      </c>
      <c r="I2621" s="8" t="s">
        <v>31</v>
      </c>
      <c r="J2621" s="8" t="s">
        <v>220</v>
      </c>
      <c r="K2621" s="10" t="s">
        <v>12641</v>
      </c>
      <c r="L2621" s="8" t="s">
        <v>34</v>
      </c>
      <c r="M2621" s="8" t="s">
        <v>70</v>
      </c>
      <c r="N2621" s="11">
        <v>45111.0</v>
      </c>
      <c r="O2621" s="11">
        <v>45153.0</v>
      </c>
      <c r="P2621" s="11">
        <v>45519.0</v>
      </c>
      <c r="Q2621" s="11">
        <v>45164.0</v>
      </c>
      <c r="R2621" s="11">
        <v>45530.0</v>
      </c>
      <c r="S2621" s="12"/>
      <c r="T2621" s="8" t="s">
        <v>205</v>
      </c>
      <c r="U2621" s="8" t="s">
        <v>12642</v>
      </c>
      <c r="V2621" s="13" t="s">
        <v>12643</v>
      </c>
      <c r="W2621" s="13" t="s">
        <v>12644</v>
      </c>
      <c r="X2621" s="12"/>
      <c r="Y2621" s="14"/>
      <c r="Z2621" s="14"/>
    </row>
    <row r="2622">
      <c r="A2622" s="8" t="s">
        <v>12645</v>
      </c>
      <c r="B2622" s="8" t="s">
        <v>12646</v>
      </c>
      <c r="C2622" s="8" t="s">
        <v>179</v>
      </c>
      <c r="D2622" s="8" t="s">
        <v>26</v>
      </c>
      <c r="E2622" s="8" t="s">
        <v>12647</v>
      </c>
      <c r="F2622" s="8">
        <v>9.813139797E9</v>
      </c>
      <c r="G2622" s="8" t="s">
        <v>12648</v>
      </c>
      <c r="H2622" s="8" t="s">
        <v>12649</v>
      </c>
      <c r="I2622" s="8" t="s">
        <v>31</v>
      </c>
      <c r="J2622" s="8" t="s">
        <v>438</v>
      </c>
      <c r="K2622" s="10" t="s">
        <v>10418</v>
      </c>
      <c r="L2622" s="8" t="s">
        <v>58</v>
      </c>
      <c r="M2622" s="8" t="s">
        <v>35</v>
      </c>
      <c r="N2622" s="11">
        <v>45112.0</v>
      </c>
      <c r="O2622" s="11">
        <v>45152.0</v>
      </c>
      <c r="P2622" s="11">
        <v>45194.0</v>
      </c>
      <c r="Q2622" s="11"/>
      <c r="R2622" s="11"/>
      <c r="S2622" s="12"/>
      <c r="T2622" s="8"/>
      <c r="U2622" s="8" t="s">
        <v>1038</v>
      </c>
      <c r="V2622" s="13" t="s">
        <v>12650</v>
      </c>
      <c r="W2622" s="13" t="s">
        <v>12651</v>
      </c>
      <c r="X2622" s="12"/>
      <c r="Y2622" s="14"/>
      <c r="Z2622" s="14"/>
    </row>
    <row r="2623">
      <c r="A2623" s="8" t="s">
        <v>12652</v>
      </c>
      <c r="B2623" s="8" t="s">
        <v>12653</v>
      </c>
      <c r="C2623" s="8" t="s">
        <v>708</v>
      </c>
      <c r="D2623" s="8" t="s">
        <v>26</v>
      </c>
      <c r="E2623" s="8" t="s">
        <v>12654</v>
      </c>
      <c r="F2623" s="8">
        <v>1.014408983E9</v>
      </c>
      <c r="G2623" s="8" t="s">
        <v>284</v>
      </c>
      <c r="H2623" s="8" t="s">
        <v>1287</v>
      </c>
      <c r="I2623" s="8" t="s">
        <v>31</v>
      </c>
      <c r="J2623" s="8" t="s">
        <v>542</v>
      </c>
      <c r="K2623" s="10" t="s">
        <v>12205</v>
      </c>
      <c r="L2623" s="8" t="s">
        <v>34</v>
      </c>
      <c r="M2623" s="8" t="s">
        <v>70</v>
      </c>
      <c r="N2623" s="11">
        <v>45112.0</v>
      </c>
      <c r="O2623" s="11">
        <v>45138.0</v>
      </c>
      <c r="P2623" s="11">
        <v>45492.0</v>
      </c>
      <c r="Q2623" s="11">
        <v>45138.0</v>
      </c>
      <c r="R2623" s="11">
        <v>45504.0</v>
      </c>
      <c r="S2623" s="12"/>
      <c r="T2623" s="8" t="s">
        <v>36</v>
      </c>
      <c r="U2623" s="8" t="s">
        <v>12206</v>
      </c>
      <c r="V2623" s="13" t="s">
        <v>1289</v>
      </c>
      <c r="W2623" s="13" t="s">
        <v>12655</v>
      </c>
      <c r="X2623" s="12"/>
      <c r="Y2623" s="14"/>
      <c r="Z2623" s="14"/>
    </row>
    <row r="2624">
      <c r="A2624" s="8" t="s">
        <v>12656</v>
      </c>
      <c r="B2624" s="8" t="s">
        <v>12657</v>
      </c>
      <c r="C2624" s="8" t="s">
        <v>708</v>
      </c>
      <c r="D2624" s="8" t="s">
        <v>26</v>
      </c>
      <c r="E2624" s="8" t="s">
        <v>12658</v>
      </c>
      <c r="F2624" s="8">
        <v>1.147531469E9</v>
      </c>
      <c r="G2624" s="8" t="s">
        <v>284</v>
      </c>
      <c r="H2624" s="8" t="s">
        <v>793</v>
      </c>
      <c r="I2624" s="8" t="s">
        <v>31</v>
      </c>
      <c r="J2624" s="8" t="s">
        <v>220</v>
      </c>
      <c r="K2624" s="10" t="s">
        <v>11414</v>
      </c>
      <c r="L2624" s="8" t="s">
        <v>47</v>
      </c>
      <c r="M2624" s="8" t="s">
        <v>70</v>
      </c>
      <c r="N2624" s="11">
        <v>45112.0</v>
      </c>
      <c r="O2624" s="11">
        <v>45139.0</v>
      </c>
      <c r="P2624" s="11">
        <v>45505.0</v>
      </c>
      <c r="Q2624" s="11">
        <v>45171.0</v>
      </c>
      <c r="R2624" s="11">
        <v>45537.0</v>
      </c>
      <c r="S2624" s="12"/>
      <c r="T2624" s="8"/>
      <c r="U2624" s="8" t="s">
        <v>246</v>
      </c>
      <c r="V2624" s="13" t="s">
        <v>793</v>
      </c>
      <c r="W2624" s="13" t="s">
        <v>12659</v>
      </c>
      <c r="X2624" s="12"/>
      <c r="Y2624" s="14"/>
      <c r="Z2624" s="14"/>
    </row>
    <row r="2625">
      <c r="A2625" s="8" t="s">
        <v>12660</v>
      </c>
      <c r="B2625" s="8" t="s">
        <v>12661</v>
      </c>
      <c r="C2625" s="8" t="s">
        <v>25</v>
      </c>
      <c r="D2625" s="8" t="s">
        <v>26</v>
      </c>
      <c r="E2625" s="8" t="s">
        <v>12662</v>
      </c>
      <c r="F2625" s="8" t="s">
        <v>12663</v>
      </c>
      <c r="G2625" s="8" t="s">
        <v>315</v>
      </c>
      <c r="H2625" s="8" t="s">
        <v>1242</v>
      </c>
      <c r="I2625" s="8" t="s">
        <v>31</v>
      </c>
      <c r="J2625" s="8" t="s">
        <v>256</v>
      </c>
      <c r="K2625" s="10" t="s">
        <v>12664</v>
      </c>
      <c r="L2625" s="8" t="s">
        <v>58</v>
      </c>
      <c r="M2625" s="8" t="s">
        <v>35</v>
      </c>
      <c r="N2625" s="11">
        <v>45112.0</v>
      </c>
      <c r="O2625" s="11">
        <v>45127.0</v>
      </c>
      <c r="P2625" s="11">
        <v>45169.0</v>
      </c>
      <c r="Q2625" s="11">
        <v>45134.0</v>
      </c>
      <c r="R2625" s="11">
        <v>45175.0</v>
      </c>
      <c r="S2625" s="12"/>
      <c r="T2625" s="8"/>
      <c r="U2625" s="8" t="s">
        <v>59</v>
      </c>
      <c r="V2625" s="13" t="s">
        <v>6264</v>
      </c>
      <c r="W2625" s="13" t="s">
        <v>12665</v>
      </c>
      <c r="X2625" s="12"/>
      <c r="Y2625" s="14"/>
      <c r="Z2625" s="14"/>
    </row>
    <row r="2626">
      <c r="A2626" s="8" t="s">
        <v>12666</v>
      </c>
      <c r="B2626" s="8" t="s">
        <v>2704</v>
      </c>
      <c r="C2626" s="8" t="s">
        <v>179</v>
      </c>
      <c r="D2626" s="8" t="s">
        <v>26</v>
      </c>
      <c r="E2626" s="8" t="s">
        <v>12667</v>
      </c>
      <c r="F2626" s="8">
        <v>5.518352852E9</v>
      </c>
      <c r="G2626" s="8" t="s">
        <v>254</v>
      </c>
      <c r="H2626" s="8" t="s">
        <v>255</v>
      </c>
      <c r="I2626" s="8" t="s">
        <v>31</v>
      </c>
      <c r="J2626" s="8" t="s">
        <v>86</v>
      </c>
      <c r="K2626" s="10" t="s">
        <v>2706</v>
      </c>
      <c r="L2626" s="8" t="s">
        <v>47</v>
      </c>
      <c r="M2626" s="8" t="s">
        <v>70</v>
      </c>
      <c r="N2626" s="11">
        <v>45112.0</v>
      </c>
      <c r="O2626" s="11">
        <v>45125.0</v>
      </c>
      <c r="P2626" s="11">
        <v>45485.0</v>
      </c>
      <c r="Q2626" s="11"/>
      <c r="R2626" s="11"/>
      <c r="S2626" s="12"/>
      <c r="T2626" s="8"/>
      <c r="U2626" s="8" t="s">
        <v>2707</v>
      </c>
      <c r="V2626" s="13" t="s">
        <v>258</v>
      </c>
      <c r="W2626" s="13" t="s">
        <v>12668</v>
      </c>
      <c r="X2626" s="12"/>
      <c r="Y2626" s="14"/>
      <c r="Z2626" s="14"/>
    </row>
    <row r="2627">
      <c r="A2627" s="8" t="s">
        <v>12669</v>
      </c>
      <c r="B2627" s="8" t="s">
        <v>12670</v>
      </c>
      <c r="C2627" s="8" t="s">
        <v>708</v>
      </c>
      <c r="D2627" s="8" t="s">
        <v>26</v>
      </c>
      <c r="E2627" s="8" t="s">
        <v>12671</v>
      </c>
      <c r="F2627" s="8">
        <v>5.436746008E9</v>
      </c>
      <c r="G2627" s="8" t="s">
        <v>31</v>
      </c>
      <c r="H2627" s="8" t="s">
        <v>56</v>
      </c>
      <c r="I2627" s="8" t="s">
        <v>981</v>
      </c>
      <c r="J2627" s="8" t="s">
        <v>12672</v>
      </c>
      <c r="K2627" s="10" t="s">
        <v>12673</v>
      </c>
      <c r="L2627" s="8" t="s">
        <v>47</v>
      </c>
      <c r="M2627" s="8" t="s">
        <v>70</v>
      </c>
      <c r="N2627" s="11">
        <v>45112.0</v>
      </c>
      <c r="O2627" s="11">
        <v>45140.0</v>
      </c>
      <c r="P2627" s="11">
        <v>45445.0</v>
      </c>
      <c r="Q2627" s="11">
        <v>45150.0</v>
      </c>
      <c r="R2627" s="11">
        <v>45457.0</v>
      </c>
      <c r="S2627" s="12"/>
      <c r="T2627" s="8"/>
      <c r="U2627" s="8" t="s">
        <v>12674</v>
      </c>
      <c r="V2627" s="13" t="s">
        <v>56</v>
      </c>
      <c r="W2627" s="13" t="s">
        <v>12675</v>
      </c>
      <c r="X2627" s="12"/>
      <c r="Y2627" s="14"/>
      <c r="Z2627" s="14"/>
    </row>
    <row r="2628">
      <c r="A2628" s="8" t="s">
        <v>12676</v>
      </c>
      <c r="B2628" s="8" t="s">
        <v>7299</v>
      </c>
      <c r="C2628" s="8" t="s">
        <v>25</v>
      </c>
      <c r="D2628" s="8" t="s">
        <v>26</v>
      </c>
      <c r="E2628" s="8" t="s">
        <v>7300</v>
      </c>
      <c r="F2628" s="8">
        <v>3.453500215E9</v>
      </c>
      <c r="G2628" s="8" t="s">
        <v>315</v>
      </c>
      <c r="H2628" s="8" t="s">
        <v>1833</v>
      </c>
      <c r="I2628" s="8" t="s">
        <v>31</v>
      </c>
      <c r="J2628" s="8" t="s">
        <v>256</v>
      </c>
      <c r="K2628" s="10" t="s">
        <v>10689</v>
      </c>
      <c r="L2628" s="8" t="s">
        <v>58</v>
      </c>
      <c r="M2628" s="8" t="s">
        <v>35</v>
      </c>
      <c r="N2628" s="11">
        <v>45113.0</v>
      </c>
      <c r="O2628" s="11">
        <v>45124.0</v>
      </c>
      <c r="P2628" s="11">
        <v>45166.0</v>
      </c>
      <c r="Q2628" s="11">
        <v>45117.0</v>
      </c>
      <c r="R2628" s="11">
        <v>45166.0</v>
      </c>
      <c r="S2628" s="12"/>
      <c r="T2628" s="8"/>
      <c r="U2628" s="8" t="s">
        <v>59</v>
      </c>
      <c r="V2628" s="13" t="s">
        <v>1834</v>
      </c>
      <c r="W2628" s="13" t="s">
        <v>7301</v>
      </c>
      <c r="X2628" s="12"/>
      <c r="Y2628" s="14"/>
      <c r="Z2628" s="14"/>
    </row>
    <row r="2629">
      <c r="A2629" s="8" t="s">
        <v>12677</v>
      </c>
      <c r="B2629" s="8" t="s">
        <v>5916</v>
      </c>
      <c r="C2629" s="8" t="s">
        <v>25</v>
      </c>
      <c r="D2629" s="8" t="s">
        <v>26</v>
      </c>
      <c r="E2629" s="8" t="s">
        <v>5917</v>
      </c>
      <c r="F2629" s="8"/>
      <c r="G2629" s="8" t="s">
        <v>315</v>
      </c>
      <c r="H2629" s="8" t="s">
        <v>1833</v>
      </c>
      <c r="I2629" s="8" t="s">
        <v>31</v>
      </c>
      <c r="J2629" s="8" t="s">
        <v>256</v>
      </c>
      <c r="K2629" s="10" t="s">
        <v>10689</v>
      </c>
      <c r="L2629" s="8" t="s">
        <v>58</v>
      </c>
      <c r="M2629" s="8" t="s">
        <v>35</v>
      </c>
      <c r="N2629" s="11">
        <v>45113.0</v>
      </c>
      <c r="O2629" s="11">
        <v>45124.0</v>
      </c>
      <c r="P2629" s="11">
        <v>45166.0</v>
      </c>
      <c r="Q2629" s="11">
        <v>45117.0</v>
      </c>
      <c r="R2629" s="11">
        <v>45166.0</v>
      </c>
      <c r="S2629" s="12"/>
      <c r="T2629" s="8"/>
      <c r="U2629" s="8" t="s">
        <v>59</v>
      </c>
      <c r="V2629" s="13" t="s">
        <v>38</v>
      </c>
      <c r="W2629" s="13" t="s">
        <v>5918</v>
      </c>
      <c r="X2629" s="12"/>
      <c r="Y2629" s="14"/>
      <c r="Z2629" s="14"/>
    </row>
    <row r="2630">
      <c r="A2630" s="8" t="s">
        <v>12678</v>
      </c>
      <c r="B2630" s="8" t="s">
        <v>12679</v>
      </c>
      <c r="C2630" s="8" t="s">
        <v>708</v>
      </c>
      <c r="D2630" s="8" t="s">
        <v>26</v>
      </c>
      <c r="E2630" s="8" t="s">
        <v>12680</v>
      </c>
      <c r="F2630" s="8">
        <v>5.57945463E8</v>
      </c>
      <c r="G2630" s="8" t="s">
        <v>254</v>
      </c>
      <c r="H2630" s="8" t="s">
        <v>255</v>
      </c>
      <c r="I2630" s="8" t="s">
        <v>31</v>
      </c>
      <c r="J2630" s="8" t="s">
        <v>86</v>
      </c>
      <c r="K2630" s="10" t="s">
        <v>2404</v>
      </c>
      <c r="L2630" s="8" t="s">
        <v>34</v>
      </c>
      <c r="M2630" s="8" t="s">
        <v>70</v>
      </c>
      <c r="N2630" s="11">
        <v>45113.0</v>
      </c>
      <c r="O2630" s="11">
        <v>45159.0</v>
      </c>
      <c r="P2630" s="11">
        <v>45660.0</v>
      </c>
      <c r="Q2630" s="11">
        <v>45173.0</v>
      </c>
      <c r="R2630" s="11">
        <v>45674.0</v>
      </c>
      <c r="S2630" s="12"/>
      <c r="T2630" s="8" t="s">
        <v>36</v>
      </c>
      <c r="U2630" s="8" t="s">
        <v>2405</v>
      </c>
      <c r="V2630" s="13" t="s">
        <v>258</v>
      </c>
      <c r="W2630" s="13" t="s">
        <v>12681</v>
      </c>
      <c r="X2630" s="12"/>
      <c r="Y2630" s="14"/>
      <c r="Z2630" s="14"/>
    </row>
    <row r="2631">
      <c r="A2631" s="8" t="s">
        <v>12682</v>
      </c>
      <c r="B2631" s="8" t="s">
        <v>12683</v>
      </c>
      <c r="C2631" s="8" t="s">
        <v>179</v>
      </c>
      <c r="D2631" s="8" t="s">
        <v>26</v>
      </c>
      <c r="E2631" s="8" t="s">
        <v>12684</v>
      </c>
      <c r="F2631" s="8">
        <v>9.087543101E9</v>
      </c>
      <c r="G2631" s="8" t="s">
        <v>44</v>
      </c>
      <c r="H2631" s="8" t="s">
        <v>1185</v>
      </c>
      <c r="I2631" s="8" t="s">
        <v>31</v>
      </c>
      <c r="J2631" s="8" t="s">
        <v>56</v>
      </c>
      <c r="K2631" s="10" t="s">
        <v>12274</v>
      </c>
      <c r="L2631" s="8" t="s">
        <v>58</v>
      </c>
      <c r="M2631" s="8" t="s">
        <v>35</v>
      </c>
      <c r="N2631" s="11">
        <v>45113.0</v>
      </c>
      <c r="O2631" s="11">
        <v>45180.0</v>
      </c>
      <c r="P2631" s="11">
        <v>45222.0</v>
      </c>
      <c r="Q2631" s="11"/>
      <c r="R2631" s="11"/>
      <c r="S2631" s="12"/>
      <c r="T2631" s="8"/>
      <c r="U2631" s="8" t="s">
        <v>161</v>
      </c>
      <c r="V2631" s="13" t="s">
        <v>38</v>
      </c>
      <c r="W2631" s="13" t="s">
        <v>12685</v>
      </c>
      <c r="X2631" s="12"/>
      <c r="Y2631" s="14"/>
      <c r="Z2631" s="14"/>
    </row>
    <row r="2632">
      <c r="A2632" s="8" t="s">
        <v>12686</v>
      </c>
      <c r="B2632" s="8" t="s">
        <v>12687</v>
      </c>
      <c r="C2632" s="8" t="s">
        <v>708</v>
      </c>
      <c r="D2632" s="8" t="s">
        <v>26</v>
      </c>
      <c r="E2632" s="8" t="s">
        <v>12688</v>
      </c>
      <c r="F2632" s="8">
        <v>9.7099997E7</v>
      </c>
      <c r="G2632" s="8" t="s">
        <v>54</v>
      </c>
      <c r="H2632" s="8" t="s">
        <v>55</v>
      </c>
      <c r="I2632" s="8" t="s">
        <v>31</v>
      </c>
      <c r="J2632" s="8" t="s">
        <v>256</v>
      </c>
      <c r="K2632" s="10" t="s">
        <v>12689</v>
      </c>
      <c r="L2632" s="8" t="s">
        <v>47</v>
      </c>
      <c r="M2632" s="8" t="s">
        <v>70</v>
      </c>
      <c r="N2632" s="11">
        <v>45113.0</v>
      </c>
      <c r="O2632" s="11">
        <v>45153.0</v>
      </c>
      <c r="P2632" s="11">
        <v>45473.0</v>
      </c>
      <c r="Q2632" s="11">
        <v>45154.0</v>
      </c>
      <c r="R2632" s="11">
        <v>45473.0</v>
      </c>
      <c r="S2632" s="12"/>
      <c r="T2632" s="8"/>
      <c r="U2632" s="8" t="s">
        <v>246</v>
      </c>
      <c r="V2632" s="13" t="s">
        <v>60</v>
      </c>
      <c r="W2632" s="13" t="s">
        <v>12690</v>
      </c>
      <c r="X2632" s="12"/>
      <c r="Y2632" s="14"/>
      <c r="Z2632" s="14"/>
    </row>
    <row r="2633">
      <c r="A2633" s="8" t="s">
        <v>12691</v>
      </c>
      <c r="B2633" s="8" t="s">
        <v>12692</v>
      </c>
      <c r="C2633" s="8" t="s">
        <v>25</v>
      </c>
      <c r="D2633" s="8" t="s">
        <v>26</v>
      </c>
      <c r="E2633" s="8" t="s">
        <v>12693</v>
      </c>
      <c r="F2633" s="8"/>
      <c r="G2633" s="8" t="s">
        <v>31</v>
      </c>
      <c r="H2633" s="8" t="s">
        <v>542</v>
      </c>
      <c r="I2633" s="8" t="s">
        <v>202</v>
      </c>
      <c r="J2633" s="8" t="s">
        <v>7570</v>
      </c>
      <c r="K2633" s="10" t="s">
        <v>7571</v>
      </c>
      <c r="L2633" s="8" t="s">
        <v>58</v>
      </c>
      <c r="M2633" s="8" t="s">
        <v>35</v>
      </c>
      <c r="N2633" s="11">
        <v>45113.0</v>
      </c>
      <c r="O2633" s="11">
        <v>45122.0</v>
      </c>
      <c r="P2633" s="11">
        <v>45164.0</v>
      </c>
      <c r="Q2633" s="11">
        <v>45122.0</v>
      </c>
      <c r="R2633" s="11">
        <v>45164.0</v>
      </c>
      <c r="S2633" s="12"/>
      <c r="T2633" s="8"/>
      <c r="U2633" s="8" t="s">
        <v>997</v>
      </c>
      <c r="V2633" s="13" t="s">
        <v>38</v>
      </c>
      <c r="W2633" s="13" t="s">
        <v>12694</v>
      </c>
      <c r="X2633" s="12"/>
      <c r="Y2633" s="14"/>
      <c r="Z2633" s="14"/>
    </row>
    <row r="2634">
      <c r="A2634" s="8" t="s">
        <v>12695</v>
      </c>
      <c r="B2634" s="8" t="s">
        <v>3146</v>
      </c>
      <c r="C2634" s="8" t="s">
        <v>25</v>
      </c>
      <c r="D2634" s="8" t="s">
        <v>26</v>
      </c>
      <c r="E2634" s="8" t="s">
        <v>3147</v>
      </c>
      <c r="F2634" s="8">
        <v>5.4116857E7</v>
      </c>
      <c r="G2634" s="8" t="s">
        <v>54</v>
      </c>
      <c r="H2634" s="8" t="s">
        <v>595</v>
      </c>
      <c r="I2634" s="8" t="s">
        <v>31</v>
      </c>
      <c r="J2634" s="8" t="s">
        <v>77</v>
      </c>
      <c r="K2634" s="10" t="s">
        <v>94</v>
      </c>
      <c r="L2634" s="8" t="s">
        <v>58</v>
      </c>
      <c r="M2634" s="8" t="s">
        <v>35</v>
      </c>
      <c r="N2634" s="11">
        <v>45113.0</v>
      </c>
      <c r="O2634" s="11">
        <v>45124.0</v>
      </c>
      <c r="P2634" s="11">
        <v>45166.0</v>
      </c>
      <c r="Q2634" s="11">
        <v>45113.0</v>
      </c>
      <c r="R2634" s="11">
        <v>45166.0</v>
      </c>
      <c r="S2634" s="12"/>
      <c r="T2634" s="8"/>
      <c r="U2634" s="8" t="s">
        <v>59</v>
      </c>
      <c r="V2634" s="13" t="s">
        <v>38</v>
      </c>
      <c r="W2634" s="13" t="s">
        <v>3148</v>
      </c>
      <c r="X2634" s="12"/>
      <c r="Y2634" s="14"/>
      <c r="Z2634" s="14"/>
    </row>
    <row r="2635">
      <c r="A2635" s="8" t="s">
        <v>12696</v>
      </c>
      <c r="B2635" s="8" t="s">
        <v>12697</v>
      </c>
      <c r="C2635" s="8" t="s">
        <v>64</v>
      </c>
      <c r="D2635" s="8" t="s">
        <v>26</v>
      </c>
      <c r="E2635" s="8" t="s">
        <v>12698</v>
      </c>
      <c r="F2635" s="8"/>
      <c r="G2635" s="8" t="s">
        <v>12491</v>
      </c>
      <c r="H2635" s="8" t="s">
        <v>12699</v>
      </c>
      <c r="I2635" s="8" t="s">
        <v>31</v>
      </c>
      <c r="J2635" s="8" t="s">
        <v>167</v>
      </c>
      <c r="K2635" s="10" t="s">
        <v>10618</v>
      </c>
      <c r="L2635" s="8" t="s">
        <v>58</v>
      </c>
      <c r="M2635" s="8" t="s">
        <v>35</v>
      </c>
      <c r="N2635" s="11">
        <v>45113.0</v>
      </c>
      <c r="O2635" s="11">
        <v>45152.0</v>
      </c>
      <c r="P2635" s="11">
        <v>45194.0</v>
      </c>
      <c r="Q2635" s="11">
        <v>45153.0</v>
      </c>
      <c r="R2635" s="11">
        <v>45194.0</v>
      </c>
      <c r="S2635" s="12"/>
      <c r="T2635" s="8"/>
      <c r="U2635" s="8" t="s">
        <v>88</v>
      </c>
      <c r="V2635" s="13" t="s">
        <v>38</v>
      </c>
      <c r="W2635" s="13" t="s">
        <v>12700</v>
      </c>
      <c r="X2635" s="12"/>
      <c r="Y2635" s="14"/>
      <c r="Z2635" s="14"/>
    </row>
    <row r="2636">
      <c r="A2636" s="8" t="s">
        <v>12701</v>
      </c>
      <c r="B2636" s="8" t="s">
        <v>12702</v>
      </c>
      <c r="C2636" s="8" t="s">
        <v>708</v>
      </c>
      <c r="D2636" s="8" t="s">
        <v>26</v>
      </c>
      <c r="E2636" s="8" t="s">
        <v>12703</v>
      </c>
      <c r="F2636" s="8"/>
      <c r="G2636" s="8" t="s">
        <v>254</v>
      </c>
      <c r="H2636" s="8" t="s">
        <v>422</v>
      </c>
      <c r="I2636" s="8" t="s">
        <v>31</v>
      </c>
      <c r="J2636" s="8" t="s">
        <v>542</v>
      </c>
      <c r="K2636" s="10" t="s">
        <v>3684</v>
      </c>
      <c r="L2636" s="8" t="s">
        <v>34</v>
      </c>
      <c r="M2636" s="8" t="s">
        <v>70</v>
      </c>
      <c r="N2636" s="11">
        <v>45113.0</v>
      </c>
      <c r="O2636" s="11">
        <v>45137.0</v>
      </c>
      <c r="P2636" s="11">
        <v>45495.0</v>
      </c>
      <c r="Q2636" s="11">
        <v>45153.0</v>
      </c>
      <c r="R2636" s="11">
        <v>45518.0</v>
      </c>
      <c r="S2636" s="12"/>
      <c r="T2636" s="8" t="s">
        <v>205</v>
      </c>
      <c r="U2636" s="8" t="s">
        <v>3685</v>
      </c>
      <c r="V2636" s="13" t="s">
        <v>38</v>
      </c>
      <c r="W2636" s="13" t="s">
        <v>12704</v>
      </c>
      <c r="X2636" s="12"/>
      <c r="Y2636" s="14"/>
      <c r="Z2636" s="14"/>
    </row>
    <row r="2637">
      <c r="A2637" s="8" t="s">
        <v>12705</v>
      </c>
      <c r="B2637" s="8" t="s">
        <v>12706</v>
      </c>
      <c r="C2637" s="8" t="s">
        <v>708</v>
      </c>
      <c r="D2637" s="8" t="s">
        <v>26</v>
      </c>
      <c r="E2637" s="8" t="s">
        <v>12707</v>
      </c>
      <c r="F2637" s="8">
        <v>5.4765054E7</v>
      </c>
      <c r="G2637" s="8" t="s">
        <v>54</v>
      </c>
      <c r="H2637" s="8" t="s">
        <v>377</v>
      </c>
      <c r="I2637" s="8" t="s">
        <v>31</v>
      </c>
      <c r="J2637" s="8" t="s">
        <v>292</v>
      </c>
      <c r="K2637" s="10" t="s">
        <v>12708</v>
      </c>
      <c r="L2637" s="8" t="s">
        <v>47</v>
      </c>
      <c r="M2637" s="8" t="s">
        <v>70</v>
      </c>
      <c r="N2637" s="11">
        <v>45113.0</v>
      </c>
      <c r="O2637" s="11">
        <v>45160.0</v>
      </c>
      <c r="P2637" s="11">
        <v>45522.0</v>
      </c>
      <c r="Q2637" s="11">
        <v>45181.0</v>
      </c>
      <c r="R2637" s="11">
        <v>45543.0</v>
      </c>
      <c r="S2637" s="12"/>
      <c r="T2637" s="8"/>
      <c r="U2637" s="8" t="s">
        <v>12709</v>
      </c>
      <c r="V2637" s="13" t="s">
        <v>1604</v>
      </c>
      <c r="W2637" s="13" t="s">
        <v>12710</v>
      </c>
      <c r="X2637" s="12"/>
      <c r="Y2637" s="14"/>
      <c r="Z2637" s="14"/>
    </row>
    <row r="2638">
      <c r="A2638" s="8" t="s">
        <v>12711</v>
      </c>
      <c r="B2638" s="8" t="s">
        <v>12712</v>
      </c>
      <c r="C2638" s="8" t="s">
        <v>708</v>
      </c>
      <c r="D2638" s="8" t="s">
        <v>26</v>
      </c>
      <c r="E2638" s="8" t="s">
        <v>12713</v>
      </c>
      <c r="F2638" s="8">
        <v>1.6996089625E10</v>
      </c>
      <c r="G2638" s="8" t="s">
        <v>109</v>
      </c>
      <c r="H2638" s="8" t="s">
        <v>2232</v>
      </c>
      <c r="I2638" s="8" t="s">
        <v>31</v>
      </c>
      <c r="J2638" s="8" t="s">
        <v>220</v>
      </c>
      <c r="K2638" s="10" t="s">
        <v>12714</v>
      </c>
      <c r="L2638" s="8" t="s">
        <v>34</v>
      </c>
      <c r="M2638" s="8" t="s">
        <v>70</v>
      </c>
      <c r="N2638" s="11">
        <v>45113.0</v>
      </c>
      <c r="O2638" s="11">
        <v>45139.0</v>
      </c>
      <c r="P2638" s="11">
        <v>45505.0</v>
      </c>
      <c r="Q2638" s="11">
        <v>45188.0</v>
      </c>
      <c r="R2638" s="11">
        <v>45554.0</v>
      </c>
      <c r="S2638" s="12"/>
      <c r="T2638" s="8" t="s">
        <v>121</v>
      </c>
      <c r="U2638" s="8" t="s">
        <v>12715</v>
      </c>
      <c r="V2638" s="13" t="s">
        <v>12716</v>
      </c>
      <c r="W2638" s="13" t="s">
        <v>12717</v>
      </c>
      <c r="X2638" s="12"/>
      <c r="Y2638" s="14"/>
      <c r="Z2638" s="14"/>
    </row>
    <row r="2639">
      <c r="A2639" s="8" t="s">
        <v>12718</v>
      </c>
      <c r="B2639" s="8" t="s">
        <v>12719</v>
      </c>
      <c r="C2639" s="8" t="s">
        <v>25</v>
      </c>
      <c r="D2639" s="8" t="s">
        <v>26</v>
      </c>
      <c r="E2639" s="8" t="s">
        <v>12720</v>
      </c>
      <c r="F2639" s="8">
        <v>5.2986688E7</v>
      </c>
      <c r="G2639" s="8" t="s">
        <v>54</v>
      </c>
      <c r="H2639" s="8" t="s">
        <v>135</v>
      </c>
      <c r="I2639" s="8" t="s">
        <v>31</v>
      </c>
      <c r="J2639" s="8" t="s">
        <v>438</v>
      </c>
      <c r="K2639" s="10" t="s">
        <v>11854</v>
      </c>
      <c r="L2639" s="8" t="s">
        <v>58</v>
      </c>
      <c r="M2639" s="8" t="s">
        <v>35</v>
      </c>
      <c r="N2639" s="11">
        <v>45114.0</v>
      </c>
      <c r="O2639" s="11">
        <v>45127.0</v>
      </c>
      <c r="P2639" s="11">
        <v>45169.0</v>
      </c>
      <c r="Q2639" s="11">
        <v>45122.0</v>
      </c>
      <c r="R2639" s="11">
        <v>45169.0</v>
      </c>
      <c r="S2639" s="12"/>
      <c r="T2639" s="8"/>
      <c r="U2639" s="8" t="s">
        <v>130</v>
      </c>
      <c r="V2639" s="13" t="s">
        <v>190</v>
      </c>
      <c r="W2639" s="13" t="s">
        <v>12721</v>
      </c>
      <c r="X2639" s="12"/>
      <c r="Y2639" s="14"/>
      <c r="Z2639" s="14"/>
    </row>
    <row r="2640">
      <c r="A2640" s="8" t="s">
        <v>12722</v>
      </c>
      <c r="B2640" s="8" t="s">
        <v>12723</v>
      </c>
      <c r="C2640" s="8" t="s">
        <v>708</v>
      </c>
      <c r="D2640" s="8" t="s">
        <v>26</v>
      </c>
      <c r="E2640" s="8" t="s">
        <v>12724</v>
      </c>
      <c r="F2640" s="8">
        <v>7.60450035E8</v>
      </c>
      <c r="G2640" s="8" t="s">
        <v>399</v>
      </c>
      <c r="H2640" s="8" t="s">
        <v>1381</v>
      </c>
      <c r="I2640" s="8" t="s">
        <v>31</v>
      </c>
      <c r="J2640" s="8" t="s">
        <v>77</v>
      </c>
      <c r="K2640" s="10" t="s">
        <v>1972</v>
      </c>
      <c r="L2640" s="8" t="s">
        <v>47</v>
      </c>
      <c r="M2640" s="8" t="s">
        <v>70</v>
      </c>
      <c r="N2640" s="11">
        <v>45114.0</v>
      </c>
      <c r="O2640" s="11">
        <v>45180.0</v>
      </c>
      <c r="P2640" s="11">
        <v>45547.0</v>
      </c>
      <c r="Q2640" s="11">
        <v>45179.0</v>
      </c>
      <c r="R2640" s="11">
        <v>45547.0</v>
      </c>
      <c r="S2640" s="12"/>
      <c r="T2640" s="8"/>
      <c r="U2640" s="8" t="s">
        <v>1973</v>
      </c>
      <c r="V2640" s="13" t="s">
        <v>1383</v>
      </c>
      <c r="W2640" s="13" t="s">
        <v>12725</v>
      </c>
      <c r="X2640" s="12"/>
      <c r="Y2640" s="14"/>
      <c r="Z2640" s="14"/>
    </row>
    <row r="2641">
      <c r="A2641" s="8" t="s">
        <v>12726</v>
      </c>
      <c r="B2641" s="8" t="s">
        <v>12727</v>
      </c>
      <c r="C2641" s="8" t="s">
        <v>64</v>
      </c>
      <c r="D2641" s="8" t="s">
        <v>26</v>
      </c>
      <c r="E2641" s="8" t="s">
        <v>12728</v>
      </c>
      <c r="F2641" s="8">
        <v>5.061519675E9</v>
      </c>
      <c r="G2641" s="8" t="s">
        <v>31</v>
      </c>
      <c r="H2641" s="8" t="s">
        <v>220</v>
      </c>
      <c r="I2641" s="8" t="s">
        <v>284</v>
      </c>
      <c r="J2641" s="8" t="s">
        <v>793</v>
      </c>
      <c r="K2641" s="10" t="s">
        <v>8547</v>
      </c>
      <c r="L2641" s="8" t="s">
        <v>58</v>
      </c>
      <c r="M2641" s="8" t="s">
        <v>35</v>
      </c>
      <c r="N2641" s="11">
        <v>45114.0</v>
      </c>
      <c r="O2641" s="11">
        <v>45139.0</v>
      </c>
      <c r="P2641" s="11">
        <v>45181.0</v>
      </c>
      <c r="Q2641" s="11">
        <v>45141.0</v>
      </c>
      <c r="R2641" s="11">
        <v>45181.0</v>
      </c>
      <c r="S2641" s="12"/>
      <c r="T2641" s="8"/>
      <c r="U2641" s="8" t="s">
        <v>339</v>
      </c>
      <c r="V2641" s="13" t="s">
        <v>220</v>
      </c>
      <c r="W2641" s="13" t="s">
        <v>12729</v>
      </c>
      <c r="X2641" s="12"/>
      <c r="Y2641" s="14"/>
      <c r="Z2641" s="14"/>
    </row>
    <row r="2642">
      <c r="A2642" s="8" t="s">
        <v>12730</v>
      </c>
      <c r="B2642" s="8" t="s">
        <v>12731</v>
      </c>
      <c r="C2642" s="8" t="s">
        <v>179</v>
      </c>
      <c r="D2642" s="8" t="s">
        <v>26</v>
      </c>
      <c r="E2642" s="8" t="s">
        <v>12732</v>
      </c>
      <c r="F2642" s="8">
        <v>5.550957639E9</v>
      </c>
      <c r="G2642" s="8" t="s">
        <v>31</v>
      </c>
      <c r="H2642" s="8" t="s">
        <v>43</v>
      </c>
      <c r="I2642" s="8" t="s">
        <v>127</v>
      </c>
      <c r="J2642" s="8" t="s">
        <v>363</v>
      </c>
      <c r="K2642" s="10" t="s">
        <v>12733</v>
      </c>
      <c r="L2642" s="8" t="s">
        <v>58</v>
      </c>
      <c r="M2642" s="8" t="s">
        <v>35</v>
      </c>
      <c r="N2642" s="11">
        <v>45114.0</v>
      </c>
      <c r="O2642" s="11">
        <v>45122.0</v>
      </c>
      <c r="P2642" s="11">
        <v>45164.0</v>
      </c>
      <c r="Q2642" s="11"/>
      <c r="R2642" s="11"/>
      <c r="S2642" s="12"/>
      <c r="T2642" s="8"/>
      <c r="U2642" s="8" t="s">
        <v>1590</v>
      </c>
      <c r="V2642" s="13" t="s">
        <v>43</v>
      </c>
      <c r="W2642" s="13" t="s">
        <v>12734</v>
      </c>
      <c r="X2642" s="12"/>
      <c r="Y2642" s="14"/>
      <c r="Z2642" s="14"/>
    </row>
    <row r="2643">
      <c r="A2643" s="8" t="s">
        <v>12735</v>
      </c>
      <c r="B2643" s="8" t="s">
        <v>4909</v>
      </c>
      <c r="C2643" s="8" t="s">
        <v>25</v>
      </c>
      <c r="D2643" s="8" t="s">
        <v>26</v>
      </c>
      <c r="E2643" s="8" t="s">
        <v>12736</v>
      </c>
      <c r="F2643" s="8">
        <v>7.71676033E8</v>
      </c>
      <c r="G2643" s="8" t="s">
        <v>127</v>
      </c>
      <c r="H2643" s="8" t="s">
        <v>128</v>
      </c>
      <c r="I2643" s="8" t="s">
        <v>31</v>
      </c>
      <c r="J2643" s="8" t="s">
        <v>77</v>
      </c>
      <c r="K2643" s="10" t="s">
        <v>4188</v>
      </c>
      <c r="L2643" s="8" t="s">
        <v>58</v>
      </c>
      <c r="M2643" s="8" t="s">
        <v>35</v>
      </c>
      <c r="N2643" s="11">
        <v>45114.0</v>
      </c>
      <c r="O2643" s="11">
        <v>45138.0</v>
      </c>
      <c r="P2643" s="11">
        <v>45180.0</v>
      </c>
      <c r="Q2643" s="11">
        <v>45138.0</v>
      </c>
      <c r="R2643" s="11">
        <v>45180.0</v>
      </c>
      <c r="S2643" s="12"/>
      <c r="T2643" s="8"/>
      <c r="U2643" s="8" t="s">
        <v>59</v>
      </c>
      <c r="V2643" s="13" t="s">
        <v>4911</v>
      </c>
      <c r="W2643" s="13" t="s">
        <v>12737</v>
      </c>
      <c r="X2643" s="12"/>
      <c r="Y2643" s="14"/>
      <c r="Z2643" s="14"/>
    </row>
    <row r="2644">
      <c r="A2644" s="8" t="s">
        <v>12738</v>
      </c>
      <c r="B2644" s="8" t="s">
        <v>12739</v>
      </c>
      <c r="C2644" s="8" t="s">
        <v>25</v>
      </c>
      <c r="D2644" s="8" t="s">
        <v>26</v>
      </c>
      <c r="E2644" s="8" t="s">
        <v>12740</v>
      </c>
      <c r="F2644" s="8">
        <v>6.21761542E8</v>
      </c>
      <c r="G2644" s="8" t="s">
        <v>118</v>
      </c>
      <c r="H2644" s="8" t="s">
        <v>1162</v>
      </c>
      <c r="I2644" s="8" t="s">
        <v>31</v>
      </c>
      <c r="J2644" s="8" t="s">
        <v>56</v>
      </c>
      <c r="K2644" s="10" t="s">
        <v>11979</v>
      </c>
      <c r="L2644" s="8" t="s">
        <v>58</v>
      </c>
      <c r="M2644" s="8" t="s">
        <v>35</v>
      </c>
      <c r="N2644" s="11">
        <v>45115.0</v>
      </c>
      <c r="O2644" s="11">
        <v>45208.0</v>
      </c>
      <c r="P2644" s="11">
        <v>45250.0</v>
      </c>
      <c r="Q2644" s="11">
        <v>45211.0</v>
      </c>
      <c r="R2644" s="11">
        <v>45253.0</v>
      </c>
      <c r="S2644" s="12"/>
      <c r="T2644" s="8"/>
      <c r="U2644" s="8" t="s">
        <v>161</v>
      </c>
      <c r="V2644" s="13" t="s">
        <v>7421</v>
      </c>
      <c r="W2644" s="13" t="s">
        <v>12741</v>
      </c>
      <c r="X2644" s="12"/>
      <c r="Y2644" s="14"/>
      <c r="Z2644" s="14"/>
    </row>
    <row r="2645">
      <c r="A2645" s="8" t="s">
        <v>12742</v>
      </c>
      <c r="B2645" s="8" t="s">
        <v>12587</v>
      </c>
      <c r="C2645" s="8" t="s">
        <v>179</v>
      </c>
      <c r="D2645" s="8" t="s">
        <v>26</v>
      </c>
      <c r="E2645" s="8" t="s">
        <v>12743</v>
      </c>
      <c r="F2645" s="8">
        <v>5.4034703E7</v>
      </c>
      <c r="G2645" s="8" t="s">
        <v>54</v>
      </c>
      <c r="H2645" s="8" t="s">
        <v>430</v>
      </c>
      <c r="I2645" s="8" t="s">
        <v>31</v>
      </c>
      <c r="J2645" s="8" t="s">
        <v>77</v>
      </c>
      <c r="K2645" s="10" t="s">
        <v>2537</v>
      </c>
      <c r="L2645" s="8" t="s">
        <v>58</v>
      </c>
      <c r="M2645" s="8" t="s">
        <v>35</v>
      </c>
      <c r="N2645" s="11">
        <v>45115.0</v>
      </c>
      <c r="O2645" s="11">
        <v>45145.0</v>
      </c>
      <c r="P2645" s="11">
        <v>45187.0</v>
      </c>
      <c r="Q2645" s="11"/>
      <c r="R2645" s="11"/>
      <c r="S2645" s="12"/>
      <c r="T2645" s="8"/>
      <c r="U2645" s="8" t="s">
        <v>88</v>
      </c>
      <c r="V2645" s="13" t="s">
        <v>12589</v>
      </c>
      <c r="W2645" s="13" t="s">
        <v>12744</v>
      </c>
      <c r="X2645" s="12"/>
      <c r="Y2645" s="14"/>
      <c r="Z2645" s="14"/>
    </row>
    <row r="2646">
      <c r="A2646" s="8" t="s">
        <v>12745</v>
      </c>
      <c r="B2646" s="8" t="s">
        <v>12746</v>
      </c>
      <c r="C2646" s="8" t="s">
        <v>335</v>
      </c>
      <c r="D2646" s="8" t="s">
        <v>26</v>
      </c>
      <c r="E2646" s="8" t="s">
        <v>12747</v>
      </c>
      <c r="F2646" s="8">
        <v>1.033552008E9</v>
      </c>
      <c r="G2646" s="8" t="s">
        <v>284</v>
      </c>
      <c r="H2646" s="8" t="s">
        <v>854</v>
      </c>
      <c r="I2646" s="8" t="s">
        <v>31</v>
      </c>
      <c r="J2646" s="8" t="s">
        <v>136</v>
      </c>
      <c r="K2646" s="10" t="s">
        <v>8895</v>
      </c>
      <c r="L2646" s="8" t="s">
        <v>58</v>
      </c>
      <c r="M2646" s="8" t="s">
        <v>35</v>
      </c>
      <c r="N2646" s="11">
        <v>45133.0</v>
      </c>
      <c r="O2646" s="11">
        <v>45141.0</v>
      </c>
      <c r="P2646" s="11">
        <v>45183.0</v>
      </c>
      <c r="Q2646" s="11"/>
      <c r="R2646" s="11"/>
      <c r="S2646" s="12"/>
      <c r="T2646" s="8"/>
      <c r="U2646" s="8" t="s">
        <v>59</v>
      </c>
      <c r="V2646" s="13" t="s">
        <v>38</v>
      </c>
      <c r="W2646" s="13" t="s">
        <v>12748</v>
      </c>
      <c r="X2646" s="12"/>
      <c r="Y2646" s="14"/>
      <c r="Z2646" s="14"/>
    </row>
    <row r="2647">
      <c r="A2647" s="8" t="s">
        <v>12749</v>
      </c>
      <c r="B2647" s="8" t="s">
        <v>12750</v>
      </c>
      <c r="C2647" s="8" t="s">
        <v>25</v>
      </c>
      <c r="D2647" s="8" t="s">
        <v>26</v>
      </c>
      <c r="E2647" s="8" t="s">
        <v>12751</v>
      </c>
      <c r="F2647" s="8"/>
      <c r="G2647" s="8" t="s">
        <v>8344</v>
      </c>
      <c r="H2647" s="8" t="s">
        <v>12752</v>
      </c>
      <c r="I2647" s="8" t="s">
        <v>31</v>
      </c>
      <c r="J2647" s="8" t="s">
        <v>167</v>
      </c>
      <c r="K2647" s="10" t="s">
        <v>6867</v>
      </c>
      <c r="L2647" s="8" t="s">
        <v>58</v>
      </c>
      <c r="M2647" s="8" t="s">
        <v>35</v>
      </c>
      <c r="N2647" s="11">
        <v>45116.0</v>
      </c>
      <c r="O2647" s="11">
        <v>45124.0</v>
      </c>
      <c r="P2647" s="11">
        <v>45166.0</v>
      </c>
      <c r="Q2647" s="11">
        <v>45124.0</v>
      </c>
      <c r="R2647" s="11">
        <v>45166.0</v>
      </c>
      <c r="S2647" s="12"/>
      <c r="T2647" s="8"/>
      <c r="U2647" s="8" t="s">
        <v>88</v>
      </c>
      <c r="V2647" s="13" t="s">
        <v>38</v>
      </c>
      <c r="W2647" s="13" t="s">
        <v>12753</v>
      </c>
      <c r="X2647" s="12"/>
      <c r="Y2647" s="14"/>
      <c r="Z2647" s="14"/>
    </row>
    <row r="2648">
      <c r="A2648" s="8" t="s">
        <v>12754</v>
      </c>
      <c r="B2648" s="8" t="s">
        <v>12755</v>
      </c>
      <c r="C2648" s="8" t="s">
        <v>179</v>
      </c>
      <c r="D2648" s="8" t="s">
        <v>26</v>
      </c>
      <c r="E2648" s="8" t="s">
        <v>12756</v>
      </c>
      <c r="F2648" s="8">
        <v>3.1266584584E10</v>
      </c>
      <c r="G2648" s="8" t="s">
        <v>315</v>
      </c>
      <c r="H2648" s="8" t="s">
        <v>11745</v>
      </c>
      <c r="I2648" s="8" t="s">
        <v>31</v>
      </c>
      <c r="J2648" s="8" t="s">
        <v>542</v>
      </c>
      <c r="K2648" s="10" t="s">
        <v>6760</v>
      </c>
      <c r="L2648" s="8" t="s">
        <v>47</v>
      </c>
      <c r="M2648" s="8" t="s">
        <v>70</v>
      </c>
      <c r="N2648" s="11">
        <v>45116.0</v>
      </c>
      <c r="O2648" s="11">
        <v>45117.0</v>
      </c>
      <c r="P2648" s="11">
        <v>45478.0</v>
      </c>
      <c r="Q2648" s="11"/>
      <c r="R2648" s="11"/>
      <c r="S2648" s="12"/>
      <c r="T2648" s="8"/>
      <c r="U2648" s="8" t="s">
        <v>246</v>
      </c>
      <c r="V2648" s="13" t="s">
        <v>12757</v>
      </c>
      <c r="W2648" s="13" t="s">
        <v>12758</v>
      </c>
      <c r="X2648" s="12"/>
      <c r="Y2648" s="14"/>
      <c r="Z2648" s="14"/>
    </row>
    <row r="2649">
      <c r="A2649" s="8" t="s">
        <v>12759</v>
      </c>
      <c r="B2649" s="8" t="s">
        <v>12760</v>
      </c>
      <c r="C2649" s="8" t="s">
        <v>179</v>
      </c>
      <c r="D2649" s="8" t="s">
        <v>26</v>
      </c>
      <c r="E2649" s="8" t="s">
        <v>12761</v>
      </c>
      <c r="F2649" s="8">
        <v>5.436765011E9</v>
      </c>
      <c r="G2649" s="8" t="s">
        <v>31</v>
      </c>
      <c r="H2649" s="8" t="s">
        <v>32</v>
      </c>
      <c r="I2649" s="8" t="s">
        <v>284</v>
      </c>
      <c r="J2649" s="8" t="s">
        <v>285</v>
      </c>
      <c r="K2649" s="10" t="s">
        <v>3841</v>
      </c>
      <c r="L2649" s="8" t="s">
        <v>58</v>
      </c>
      <c r="M2649" s="8" t="s">
        <v>35</v>
      </c>
      <c r="N2649" s="11">
        <v>45116.0</v>
      </c>
      <c r="O2649" s="11">
        <v>45261.0</v>
      </c>
      <c r="P2649" s="11">
        <v>45303.0</v>
      </c>
      <c r="Q2649" s="11"/>
      <c r="R2649" s="11"/>
      <c r="S2649" s="12"/>
      <c r="T2649" s="8"/>
      <c r="U2649" s="8" t="s">
        <v>1038</v>
      </c>
      <c r="V2649" s="13" t="s">
        <v>537</v>
      </c>
      <c r="W2649" s="13" t="s">
        <v>12762</v>
      </c>
      <c r="X2649" s="12"/>
      <c r="Y2649" s="14"/>
      <c r="Z2649" s="14"/>
    </row>
    <row r="2650">
      <c r="A2650" s="8" t="s">
        <v>12763</v>
      </c>
      <c r="B2650" s="8" t="s">
        <v>12764</v>
      </c>
      <c r="C2650" s="8" t="s">
        <v>179</v>
      </c>
      <c r="D2650" s="8" t="s">
        <v>26</v>
      </c>
      <c r="E2650" s="8" t="s">
        <v>12765</v>
      </c>
      <c r="F2650" s="8">
        <v>1.146485778E9</v>
      </c>
      <c r="G2650" s="8" t="s">
        <v>284</v>
      </c>
      <c r="H2650" s="8" t="s">
        <v>1287</v>
      </c>
      <c r="I2650" s="8" t="s">
        <v>31</v>
      </c>
      <c r="J2650" s="8" t="s">
        <v>56</v>
      </c>
      <c r="K2650" s="10" t="s">
        <v>12274</v>
      </c>
      <c r="L2650" s="8" t="s">
        <v>58</v>
      </c>
      <c r="M2650" s="8" t="s">
        <v>35</v>
      </c>
      <c r="N2650" s="11">
        <v>45117.0</v>
      </c>
      <c r="O2650" s="11">
        <v>45180.0</v>
      </c>
      <c r="P2650" s="11">
        <v>45222.0</v>
      </c>
      <c r="Q2650" s="11"/>
      <c r="R2650" s="11"/>
      <c r="S2650" s="12"/>
      <c r="T2650" s="8"/>
      <c r="U2650" s="8" t="s">
        <v>161</v>
      </c>
      <c r="V2650" s="13" t="s">
        <v>5072</v>
      </c>
      <c r="W2650" s="13" t="s">
        <v>12766</v>
      </c>
      <c r="X2650" s="12"/>
      <c r="Y2650" s="14"/>
      <c r="Z2650" s="14"/>
    </row>
    <row r="2651">
      <c r="A2651" s="8" t="s">
        <v>12767</v>
      </c>
      <c r="B2651" s="8" t="s">
        <v>12768</v>
      </c>
      <c r="C2651" s="8" t="s">
        <v>25</v>
      </c>
      <c r="D2651" s="8" t="s">
        <v>26</v>
      </c>
      <c r="E2651" s="8" t="s">
        <v>12769</v>
      </c>
      <c r="F2651" s="8"/>
      <c r="G2651" s="8" t="s">
        <v>12491</v>
      </c>
      <c r="H2651" s="8" t="s">
        <v>12770</v>
      </c>
      <c r="I2651" s="8" t="s">
        <v>31</v>
      </c>
      <c r="J2651" s="8" t="s">
        <v>77</v>
      </c>
      <c r="K2651" s="10" t="s">
        <v>2537</v>
      </c>
      <c r="L2651" s="8" t="s">
        <v>58</v>
      </c>
      <c r="M2651" s="8" t="s">
        <v>35</v>
      </c>
      <c r="N2651" s="11">
        <v>45117.0</v>
      </c>
      <c r="O2651" s="11">
        <v>45152.0</v>
      </c>
      <c r="P2651" s="11">
        <v>45194.0</v>
      </c>
      <c r="Q2651" s="11">
        <v>45152.0</v>
      </c>
      <c r="R2651" s="11">
        <v>45194.0</v>
      </c>
      <c r="S2651" s="12"/>
      <c r="T2651" s="8"/>
      <c r="U2651" s="8" t="s">
        <v>88</v>
      </c>
      <c r="V2651" s="13" t="s">
        <v>12771</v>
      </c>
      <c r="W2651" s="13" t="s">
        <v>12772</v>
      </c>
      <c r="X2651" s="12"/>
      <c r="Y2651" s="14"/>
      <c r="Z2651" s="14"/>
    </row>
    <row r="2652">
      <c r="A2652" s="8" t="s">
        <v>12773</v>
      </c>
      <c r="B2652" s="8" t="s">
        <v>7487</v>
      </c>
      <c r="C2652" s="8" t="s">
        <v>179</v>
      </c>
      <c r="D2652" s="8" t="s">
        <v>26</v>
      </c>
      <c r="E2652" s="8" t="s">
        <v>7488</v>
      </c>
      <c r="F2652" s="8">
        <v>3.462806104E9</v>
      </c>
      <c r="G2652" s="8" t="s">
        <v>315</v>
      </c>
      <c r="H2652" s="8" t="s">
        <v>1833</v>
      </c>
      <c r="I2652" s="8" t="s">
        <v>31</v>
      </c>
      <c r="J2652" s="8" t="s">
        <v>56</v>
      </c>
      <c r="K2652" s="10" t="s">
        <v>11979</v>
      </c>
      <c r="L2652" s="8" t="s">
        <v>58</v>
      </c>
      <c r="M2652" s="8" t="s">
        <v>35</v>
      </c>
      <c r="N2652" s="11">
        <v>45117.0</v>
      </c>
      <c r="O2652" s="11">
        <v>45166.0</v>
      </c>
      <c r="P2652" s="11">
        <v>45208.0</v>
      </c>
      <c r="Q2652" s="11"/>
      <c r="R2652" s="11"/>
      <c r="S2652" s="12"/>
      <c r="T2652" s="8"/>
      <c r="U2652" s="8" t="s">
        <v>161</v>
      </c>
      <c r="V2652" s="13" t="s">
        <v>3501</v>
      </c>
      <c r="W2652" s="13" t="s">
        <v>7489</v>
      </c>
      <c r="X2652" s="12"/>
      <c r="Y2652" s="14"/>
      <c r="Z2652" s="14"/>
    </row>
    <row r="2653">
      <c r="A2653" s="8" t="s">
        <v>12774</v>
      </c>
      <c r="B2653" s="8" t="s">
        <v>12775</v>
      </c>
      <c r="C2653" s="8" t="s">
        <v>708</v>
      </c>
      <c r="D2653" s="8" t="s">
        <v>26</v>
      </c>
      <c r="E2653" s="8" t="s">
        <v>12776</v>
      </c>
      <c r="F2653" s="8">
        <v>2.75466742E8</v>
      </c>
      <c r="G2653" s="8" t="s">
        <v>915</v>
      </c>
      <c r="H2653" s="8" t="s">
        <v>4058</v>
      </c>
      <c r="I2653" s="8" t="s">
        <v>31</v>
      </c>
      <c r="J2653" s="8" t="s">
        <v>77</v>
      </c>
      <c r="K2653" s="10" t="s">
        <v>12777</v>
      </c>
      <c r="L2653" s="8" t="s">
        <v>47</v>
      </c>
      <c r="M2653" s="8" t="s">
        <v>70</v>
      </c>
      <c r="N2653" s="11">
        <v>45117.0</v>
      </c>
      <c r="O2653" s="11">
        <v>45170.0</v>
      </c>
      <c r="P2653" s="11">
        <v>45459.0</v>
      </c>
      <c r="Q2653" s="11">
        <v>45251.0</v>
      </c>
      <c r="R2653" s="11">
        <v>45542.0</v>
      </c>
      <c r="S2653" s="12"/>
      <c r="T2653" s="8"/>
      <c r="U2653" s="8" t="s">
        <v>12778</v>
      </c>
      <c r="V2653" s="13" t="s">
        <v>12779</v>
      </c>
      <c r="W2653" s="13" t="s">
        <v>12780</v>
      </c>
      <c r="X2653" s="12"/>
      <c r="Y2653" s="14"/>
      <c r="Z2653" s="14"/>
    </row>
    <row r="2654">
      <c r="A2654" s="8" t="s">
        <v>12781</v>
      </c>
      <c r="B2654" s="8" t="s">
        <v>12782</v>
      </c>
      <c r="C2654" s="8" t="s">
        <v>25</v>
      </c>
      <c r="D2654" s="8" t="s">
        <v>26</v>
      </c>
      <c r="E2654" s="8" t="s">
        <v>12783</v>
      </c>
      <c r="F2654" s="8">
        <v>9.022450908E9</v>
      </c>
      <c r="G2654" s="8" t="s">
        <v>12491</v>
      </c>
      <c r="H2654" s="8" t="s">
        <v>12784</v>
      </c>
      <c r="I2654" s="8" t="s">
        <v>31</v>
      </c>
      <c r="J2654" s="8" t="s">
        <v>77</v>
      </c>
      <c r="K2654" s="10" t="s">
        <v>1582</v>
      </c>
      <c r="L2654" s="8" t="s">
        <v>58</v>
      </c>
      <c r="M2654" s="8" t="s">
        <v>35</v>
      </c>
      <c r="N2654" s="11">
        <v>45117.0</v>
      </c>
      <c r="O2654" s="11">
        <v>45152.0</v>
      </c>
      <c r="P2654" s="11">
        <v>45194.0</v>
      </c>
      <c r="Q2654" s="11">
        <v>45152.0</v>
      </c>
      <c r="R2654" s="11">
        <v>45194.0</v>
      </c>
      <c r="S2654" s="12"/>
      <c r="T2654" s="8"/>
      <c r="U2654" s="8" t="s">
        <v>59</v>
      </c>
      <c r="V2654" s="13" t="s">
        <v>12785</v>
      </c>
      <c r="W2654" s="13" t="s">
        <v>12786</v>
      </c>
      <c r="X2654" s="12"/>
      <c r="Y2654" s="14"/>
      <c r="Z2654" s="14"/>
    </row>
    <row r="2655">
      <c r="A2655" s="8" t="s">
        <v>12787</v>
      </c>
      <c r="B2655" s="8" t="s">
        <v>12788</v>
      </c>
      <c r="C2655" s="8" t="s">
        <v>179</v>
      </c>
      <c r="D2655" s="8" t="s">
        <v>26</v>
      </c>
      <c r="E2655" s="8" t="s">
        <v>12789</v>
      </c>
      <c r="F2655" s="8">
        <v>2.9556757E7</v>
      </c>
      <c r="G2655" s="8" t="s">
        <v>54</v>
      </c>
      <c r="H2655" s="8" t="s">
        <v>55</v>
      </c>
      <c r="I2655" s="8" t="s">
        <v>31</v>
      </c>
      <c r="J2655" s="8" t="s">
        <v>542</v>
      </c>
      <c r="K2655" s="10" t="s">
        <v>11666</v>
      </c>
      <c r="L2655" s="8" t="s">
        <v>58</v>
      </c>
      <c r="M2655" s="8" t="s">
        <v>35</v>
      </c>
      <c r="N2655" s="11">
        <v>45117.0</v>
      </c>
      <c r="O2655" s="11">
        <v>45159.0</v>
      </c>
      <c r="P2655" s="11">
        <v>45201.0</v>
      </c>
      <c r="Q2655" s="11"/>
      <c r="R2655" s="11"/>
      <c r="S2655" s="12"/>
      <c r="T2655" s="8"/>
      <c r="U2655" s="8" t="s">
        <v>161</v>
      </c>
      <c r="V2655" s="13" t="s">
        <v>12790</v>
      </c>
      <c r="W2655" s="13" t="s">
        <v>12791</v>
      </c>
      <c r="X2655" s="12"/>
      <c r="Y2655" s="14"/>
      <c r="Z2655" s="14"/>
    </row>
    <row r="2656">
      <c r="A2656" s="8" t="s">
        <v>12792</v>
      </c>
      <c r="B2656" s="8" t="s">
        <v>12793</v>
      </c>
      <c r="C2656" s="8" t="s">
        <v>251</v>
      </c>
      <c r="D2656" s="8" t="s">
        <v>26</v>
      </c>
      <c r="E2656" s="8" t="s">
        <v>12794</v>
      </c>
      <c r="F2656" s="8">
        <v>6.72433742E8</v>
      </c>
      <c r="G2656" s="8" t="s">
        <v>84</v>
      </c>
      <c r="H2656" s="8" t="s">
        <v>646</v>
      </c>
      <c r="I2656" s="8" t="s">
        <v>31</v>
      </c>
      <c r="J2656" s="8" t="s">
        <v>542</v>
      </c>
      <c r="K2656" s="10" t="s">
        <v>10212</v>
      </c>
      <c r="L2656" s="8" t="s">
        <v>58</v>
      </c>
      <c r="M2656" s="8" t="s">
        <v>35</v>
      </c>
      <c r="N2656" s="11">
        <v>45117.0</v>
      </c>
      <c r="O2656" s="11">
        <v>45130.0</v>
      </c>
      <c r="P2656" s="11">
        <v>45172.0</v>
      </c>
      <c r="Q2656" s="11"/>
      <c r="R2656" s="11"/>
      <c r="S2656" s="12"/>
      <c r="T2656" s="8"/>
      <c r="U2656" s="8" t="s">
        <v>59</v>
      </c>
      <c r="V2656" s="13" t="s">
        <v>1457</v>
      </c>
      <c r="W2656" s="13" t="s">
        <v>12795</v>
      </c>
      <c r="X2656" s="12"/>
      <c r="Y2656" s="14"/>
      <c r="Z2656" s="14"/>
    </row>
    <row r="2657">
      <c r="A2657" s="8" t="s">
        <v>12796</v>
      </c>
      <c r="B2657" s="8" t="s">
        <v>5028</v>
      </c>
      <c r="C2657" s="8" t="s">
        <v>25</v>
      </c>
      <c r="D2657" s="8" t="s">
        <v>26</v>
      </c>
      <c r="E2657" s="8" t="s">
        <v>5029</v>
      </c>
      <c r="F2657" s="8">
        <v>9.765731171E9</v>
      </c>
      <c r="G2657" s="8" t="s">
        <v>44</v>
      </c>
      <c r="H2657" s="8" t="s">
        <v>2054</v>
      </c>
      <c r="I2657" s="8" t="s">
        <v>31</v>
      </c>
      <c r="J2657" s="8" t="s">
        <v>438</v>
      </c>
      <c r="K2657" s="10" t="s">
        <v>11854</v>
      </c>
      <c r="L2657" s="8" t="s">
        <v>58</v>
      </c>
      <c r="M2657" s="8" t="s">
        <v>35</v>
      </c>
      <c r="N2657" s="11">
        <v>45118.0</v>
      </c>
      <c r="O2657" s="11">
        <v>45127.0</v>
      </c>
      <c r="P2657" s="11">
        <v>45169.0</v>
      </c>
      <c r="Q2657" s="11">
        <v>45126.0</v>
      </c>
      <c r="R2657" s="11">
        <v>45169.0</v>
      </c>
      <c r="S2657" s="12"/>
      <c r="T2657" s="8"/>
      <c r="U2657" s="8" t="s">
        <v>130</v>
      </c>
      <c r="V2657" s="13" t="s">
        <v>5031</v>
      </c>
      <c r="W2657" s="13" t="s">
        <v>5032</v>
      </c>
      <c r="X2657" s="12"/>
      <c r="Y2657" s="14"/>
      <c r="Z2657" s="14"/>
    </row>
    <row r="2658">
      <c r="A2658" s="8" t="s">
        <v>12797</v>
      </c>
      <c r="B2658" s="8" t="s">
        <v>12798</v>
      </c>
      <c r="C2658" s="8" t="s">
        <v>708</v>
      </c>
      <c r="D2658" s="8" t="s">
        <v>26</v>
      </c>
      <c r="E2658" s="8" t="s">
        <v>12799</v>
      </c>
      <c r="F2658" s="8"/>
      <c r="G2658" s="8" t="s">
        <v>981</v>
      </c>
      <c r="H2658" s="8" t="s">
        <v>982</v>
      </c>
      <c r="I2658" s="8" t="s">
        <v>31</v>
      </c>
      <c r="J2658" s="8" t="s">
        <v>77</v>
      </c>
      <c r="K2658" s="10" t="s">
        <v>2910</v>
      </c>
      <c r="L2658" s="8" t="s">
        <v>34</v>
      </c>
      <c r="M2658" s="8" t="s">
        <v>70</v>
      </c>
      <c r="N2658" s="11">
        <v>45118.0</v>
      </c>
      <c r="O2658" s="11">
        <v>45180.0</v>
      </c>
      <c r="P2658" s="11">
        <v>45546.0</v>
      </c>
      <c r="Q2658" s="11">
        <v>45189.0</v>
      </c>
      <c r="R2658" s="11">
        <v>45555.0</v>
      </c>
      <c r="S2658" s="12"/>
      <c r="T2658" s="8" t="s">
        <v>205</v>
      </c>
      <c r="U2658" s="8" t="s">
        <v>2911</v>
      </c>
      <c r="V2658" s="13" t="s">
        <v>38</v>
      </c>
      <c r="W2658" s="13" t="s">
        <v>12800</v>
      </c>
      <c r="X2658" s="12"/>
      <c r="Y2658" s="14"/>
      <c r="Z2658" s="14"/>
    </row>
    <row r="2659">
      <c r="A2659" s="8" t="s">
        <v>12801</v>
      </c>
      <c r="B2659" s="8" t="s">
        <v>12802</v>
      </c>
      <c r="C2659" s="8" t="s">
        <v>251</v>
      </c>
      <c r="D2659" s="8" t="s">
        <v>26</v>
      </c>
      <c r="E2659" s="8" t="s">
        <v>12803</v>
      </c>
      <c r="F2659" s="8">
        <v>5.055518649E9</v>
      </c>
      <c r="G2659" s="8" t="s">
        <v>31</v>
      </c>
      <c r="H2659" s="8" t="s">
        <v>56</v>
      </c>
      <c r="I2659" s="8" t="s">
        <v>143</v>
      </c>
      <c r="J2659" s="8" t="s">
        <v>11026</v>
      </c>
      <c r="K2659" s="10" t="s">
        <v>12804</v>
      </c>
      <c r="L2659" s="8" t="s">
        <v>58</v>
      </c>
      <c r="M2659" s="8" t="s">
        <v>35</v>
      </c>
      <c r="N2659" s="11">
        <v>45118.0</v>
      </c>
      <c r="O2659" s="11">
        <v>45122.0</v>
      </c>
      <c r="P2659" s="11">
        <v>45164.0</v>
      </c>
      <c r="Q2659" s="11"/>
      <c r="R2659" s="11"/>
      <c r="S2659" s="12"/>
      <c r="T2659" s="8"/>
      <c r="U2659" s="8" t="s">
        <v>339</v>
      </c>
      <c r="V2659" s="13" t="s">
        <v>56</v>
      </c>
      <c r="W2659" s="13" t="s">
        <v>12805</v>
      </c>
      <c r="X2659" s="12"/>
      <c r="Y2659" s="14"/>
      <c r="Z2659" s="14"/>
    </row>
    <row r="2660">
      <c r="A2660" s="8" t="s">
        <v>12806</v>
      </c>
      <c r="B2660" s="8" t="s">
        <v>8789</v>
      </c>
      <c r="C2660" s="8" t="s">
        <v>25</v>
      </c>
      <c r="D2660" s="8" t="s">
        <v>26</v>
      </c>
      <c r="E2660" s="8" t="s">
        <v>12807</v>
      </c>
      <c r="F2660" s="8"/>
      <c r="G2660" s="8" t="s">
        <v>54</v>
      </c>
      <c r="H2660" s="8" t="s">
        <v>377</v>
      </c>
      <c r="I2660" s="8" t="s">
        <v>31</v>
      </c>
      <c r="J2660" s="8" t="s">
        <v>77</v>
      </c>
      <c r="K2660" s="10" t="s">
        <v>654</v>
      </c>
      <c r="L2660" s="8" t="s">
        <v>58</v>
      </c>
      <c r="M2660" s="8" t="s">
        <v>35</v>
      </c>
      <c r="N2660" s="11">
        <v>45118.0</v>
      </c>
      <c r="O2660" s="11">
        <v>45124.0</v>
      </c>
      <c r="P2660" s="11">
        <v>45166.0</v>
      </c>
      <c r="Q2660" s="11">
        <v>45118.0</v>
      </c>
      <c r="R2660" s="11">
        <v>45166.0</v>
      </c>
      <c r="S2660" s="12"/>
      <c r="T2660" s="8"/>
      <c r="U2660" s="8" t="s">
        <v>371</v>
      </c>
      <c r="V2660" s="13" t="s">
        <v>2151</v>
      </c>
      <c r="W2660" s="13" t="s">
        <v>12808</v>
      </c>
      <c r="X2660" s="12"/>
      <c r="Y2660" s="14"/>
      <c r="Z2660" s="14"/>
    </row>
    <row r="2661">
      <c r="A2661" s="8" t="s">
        <v>12809</v>
      </c>
      <c r="B2661" s="8" t="s">
        <v>12810</v>
      </c>
      <c r="C2661" s="8" t="s">
        <v>179</v>
      </c>
      <c r="D2661" s="8" t="s">
        <v>26</v>
      </c>
      <c r="E2661" s="8" t="s">
        <v>12811</v>
      </c>
      <c r="F2661" s="8">
        <v>5.487061E7</v>
      </c>
      <c r="G2661" s="8" t="s">
        <v>54</v>
      </c>
      <c r="H2661" s="8" t="s">
        <v>377</v>
      </c>
      <c r="I2661" s="8" t="s">
        <v>31</v>
      </c>
      <c r="J2661" s="8" t="s">
        <v>77</v>
      </c>
      <c r="K2661" s="10" t="s">
        <v>2951</v>
      </c>
      <c r="L2661" s="8" t="s">
        <v>47</v>
      </c>
      <c r="M2661" s="8" t="s">
        <v>70</v>
      </c>
      <c r="N2661" s="11">
        <v>45118.0</v>
      </c>
      <c r="O2661" s="11">
        <v>45148.0</v>
      </c>
      <c r="P2661" s="11">
        <v>45337.0</v>
      </c>
      <c r="Q2661" s="11"/>
      <c r="R2661" s="11"/>
      <c r="S2661" s="12"/>
      <c r="T2661" s="8"/>
      <c r="U2661" s="8" t="s">
        <v>2952</v>
      </c>
      <c r="V2661" s="13" t="s">
        <v>1604</v>
      </c>
      <c r="W2661" s="13" t="s">
        <v>12812</v>
      </c>
      <c r="X2661" s="12"/>
      <c r="Y2661" s="14"/>
      <c r="Z2661" s="14"/>
    </row>
    <row r="2662">
      <c r="A2662" s="8" t="s">
        <v>12813</v>
      </c>
      <c r="B2662" s="8" t="s">
        <v>12814</v>
      </c>
      <c r="C2662" s="8" t="s">
        <v>251</v>
      </c>
      <c r="D2662" s="8" t="s">
        <v>26</v>
      </c>
      <c r="E2662" s="8" t="s">
        <v>12815</v>
      </c>
      <c r="F2662" s="8">
        <v>7.49416811E8</v>
      </c>
      <c r="G2662" s="8" t="s">
        <v>127</v>
      </c>
      <c r="H2662" s="8" t="s">
        <v>159</v>
      </c>
      <c r="I2662" s="8" t="s">
        <v>31</v>
      </c>
      <c r="J2662" s="8" t="s">
        <v>438</v>
      </c>
      <c r="K2662" s="10" t="s">
        <v>11854</v>
      </c>
      <c r="L2662" s="8" t="s">
        <v>58</v>
      </c>
      <c r="M2662" s="8" t="s">
        <v>35</v>
      </c>
      <c r="N2662" s="11">
        <v>45118.0</v>
      </c>
      <c r="O2662" s="11">
        <v>45127.0</v>
      </c>
      <c r="P2662" s="11">
        <v>45169.0</v>
      </c>
      <c r="Q2662" s="11"/>
      <c r="R2662" s="11"/>
      <c r="S2662" s="12"/>
      <c r="T2662" s="8"/>
      <c r="U2662" s="8" t="s">
        <v>130</v>
      </c>
      <c r="V2662" s="13" t="s">
        <v>159</v>
      </c>
      <c r="W2662" s="13" t="s">
        <v>12816</v>
      </c>
      <c r="X2662" s="12"/>
      <c r="Y2662" s="14"/>
      <c r="Z2662" s="14"/>
    </row>
    <row r="2663">
      <c r="A2663" s="8" t="s">
        <v>12817</v>
      </c>
      <c r="B2663" s="8" t="s">
        <v>12818</v>
      </c>
      <c r="C2663" s="8" t="s">
        <v>708</v>
      </c>
      <c r="D2663" s="8" t="s">
        <v>26</v>
      </c>
      <c r="E2663" s="8" t="s">
        <v>12819</v>
      </c>
      <c r="F2663" s="8">
        <v>5.649106E7</v>
      </c>
      <c r="G2663" s="8" t="s">
        <v>54</v>
      </c>
      <c r="H2663" s="8" t="s">
        <v>377</v>
      </c>
      <c r="I2663" s="8" t="s">
        <v>31</v>
      </c>
      <c r="J2663" s="8" t="s">
        <v>43</v>
      </c>
      <c r="K2663" s="10" t="s">
        <v>10733</v>
      </c>
      <c r="L2663" s="8" t="s">
        <v>47</v>
      </c>
      <c r="M2663" s="8" t="s">
        <v>70</v>
      </c>
      <c r="N2663" s="11">
        <v>45118.0</v>
      </c>
      <c r="O2663" s="11">
        <v>45158.0</v>
      </c>
      <c r="P2663" s="11">
        <v>45524.0</v>
      </c>
      <c r="Q2663" s="11">
        <v>45159.0</v>
      </c>
      <c r="R2663" s="11">
        <v>45525.0</v>
      </c>
      <c r="S2663" s="12"/>
      <c r="T2663" s="8"/>
      <c r="U2663" s="8" t="s">
        <v>246</v>
      </c>
      <c r="V2663" s="13" t="s">
        <v>1604</v>
      </c>
      <c r="W2663" s="13" t="s">
        <v>12820</v>
      </c>
      <c r="X2663" s="12"/>
      <c r="Y2663" s="14"/>
      <c r="Z2663" s="14"/>
    </row>
    <row r="2664">
      <c r="A2664" s="8" t="s">
        <v>12821</v>
      </c>
      <c r="B2664" s="8" t="s">
        <v>12822</v>
      </c>
      <c r="C2664" s="8" t="s">
        <v>708</v>
      </c>
      <c r="D2664" s="8" t="s">
        <v>26</v>
      </c>
      <c r="E2664" s="8" t="s">
        <v>12823</v>
      </c>
      <c r="F2664" s="8">
        <v>7.81396547E8</v>
      </c>
      <c r="G2664" s="8" t="s">
        <v>254</v>
      </c>
      <c r="H2664" s="8" t="s">
        <v>255</v>
      </c>
      <c r="I2664" s="8" t="s">
        <v>31</v>
      </c>
      <c r="J2664" s="8" t="s">
        <v>86</v>
      </c>
      <c r="K2664" s="10" t="s">
        <v>2404</v>
      </c>
      <c r="L2664" s="8" t="s">
        <v>34</v>
      </c>
      <c r="M2664" s="8" t="s">
        <v>70</v>
      </c>
      <c r="N2664" s="11">
        <v>45118.0</v>
      </c>
      <c r="O2664" s="11">
        <v>45180.0</v>
      </c>
      <c r="P2664" s="11">
        <v>45688.0</v>
      </c>
      <c r="Q2664" s="11">
        <v>45180.0</v>
      </c>
      <c r="R2664" s="11">
        <v>45688.0</v>
      </c>
      <c r="S2664" s="12"/>
      <c r="T2664" s="8" t="s">
        <v>36</v>
      </c>
      <c r="U2664" s="8" t="s">
        <v>2405</v>
      </c>
      <c r="V2664" s="13" t="s">
        <v>258</v>
      </c>
      <c r="W2664" s="13" t="s">
        <v>12824</v>
      </c>
      <c r="X2664" s="12"/>
      <c r="Y2664" s="14"/>
      <c r="Z2664" s="14"/>
    </row>
    <row r="2665">
      <c r="A2665" s="8" t="s">
        <v>12825</v>
      </c>
      <c r="B2665" s="8" t="s">
        <v>12826</v>
      </c>
      <c r="C2665" s="8" t="s">
        <v>25</v>
      </c>
      <c r="D2665" s="8" t="s">
        <v>26</v>
      </c>
      <c r="E2665" s="8" t="s">
        <v>12827</v>
      </c>
      <c r="F2665" s="8">
        <v>5.54428426E9</v>
      </c>
      <c r="G2665" s="8" t="s">
        <v>31</v>
      </c>
      <c r="H2665" s="8" t="s">
        <v>542</v>
      </c>
      <c r="I2665" s="8" t="s">
        <v>127</v>
      </c>
      <c r="J2665" s="8" t="s">
        <v>363</v>
      </c>
      <c r="K2665" s="10" t="s">
        <v>12534</v>
      </c>
      <c r="L2665" s="8" t="s">
        <v>58</v>
      </c>
      <c r="M2665" s="8" t="s">
        <v>35</v>
      </c>
      <c r="N2665" s="11">
        <v>45118.0</v>
      </c>
      <c r="O2665" s="11">
        <v>45122.0</v>
      </c>
      <c r="P2665" s="11">
        <v>45164.0</v>
      </c>
      <c r="Q2665" s="11">
        <v>45122.0</v>
      </c>
      <c r="R2665" s="11">
        <v>45164.0</v>
      </c>
      <c r="S2665" s="12"/>
      <c r="T2665" s="8"/>
      <c r="U2665" s="8" t="s">
        <v>185</v>
      </c>
      <c r="V2665" s="13" t="s">
        <v>545</v>
      </c>
      <c r="W2665" s="13" t="s">
        <v>12828</v>
      </c>
      <c r="X2665" s="12"/>
      <c r="Y2665" s="14"/>
      <c r="Z2665" s="14"/>
    </row>
    <row r="2666">
      <c r="A2666" s="8" t="s">
        <v>12829</v>
      </c>
      <c r="B2666" s="8" t="s">
        <v>12830</v>
      </c>
      <c r="C2666" s="8" t="s">
        <v>25</v>
      </c>
      <c r="D2666" s="8" t="s">
        <v>26</v>
      </c>
      <c r="E2666" s="8" t="s">
        <v>12831</v>
      </c>
      <c r="F2666" s="8">
        <v>5.518396779E9</v>
      </c>
      <c r="G2666" s="8" t="s">
        <v>31</v>
      </c>
      <c r="H2666" s="8" t="s">
        <v>292</v>
      </c>
      <c r="I2666" s="8" t="s">
        <v>284</v>
      </c>
      <c r="J2666" s="8" t="s">
        <v>854</v>
      </c>
      <c r="K2666" s="10" t="s">
        <v>12832</v>
      </c>
      <c r="L2666" s="8" t="s">
        <v>58</v>
      </c>
      <c r="M2666" s="8" t="s">
        <v>35</v>
      </c>
      <c r="N2666" s="11">
        <v>45118.0</v>
      </c>
      <c r="O2666" s="11">
        <v>45139.0</v>
      </c>
      <c r="P2666" s="11">
        <v>45181.0</v>
      </c>
      <c r="Q2666" s="11">
        <v>45140.0</v>
      </c>
      <c r="R2666" s="11">
        <v>45181.0</v>
      </c>
      <c r="S2666" s="12"/>
      <c r="T2666" s="8"/>
      <c r="U2666" s="8" t="s">
        <v>185</v>
      </c>
      <c r="V2666" s="13" t="s">
        <v>292</v>
      </c>
      <c r="W2666" s="13" t="s">
        <v>12833</v>
      </c>
      <c r="X2666" s="12"/>
      <c r="Y2666" s="14"/>
      <c r="Z2666" s="14"/>
    </row>
    <row r="2667">
      <c r="A2667" s="8" t="s">
        <v>12834</v>
      </c>
      <c r="B2667" s="8" t="s">
        <v>12746</v>
      </c>
      <c r="C2667" s="8" t="s">
        <v>179</v>
      </c>
      <c r="D2667" s="8" t="s">
        <v>26</v>
      </c>
      <c r="E2667" s="8" t="s">
        <v>12747</v>
      </c>
      <c r="F2667" s="8">
        <v>1.033552008E9</v>
      </c>
      <c r="G2667" s="8" t="s">
        <v>284</v>
      </c>
      <c r="H2667" s="8" t="s">
        <v>854</v>
      </c>
      <c r="I2667" s="8" t="s">
        <v>31</v>
      </c>
      <c r="J2667" s="8" t="s">
        <v>292</v>
      </c>
      <c r="K2667" s="10" t="s">
        <v>12835</v>
      </c>
      <c r="L2667" s="8" t="s">
        <v>58</v>
      </c>
      <c r="M2667" s="8" t="s">
        <v>35</v>
      </c>
      <c r="N2667" s="11">
        <v>45118.0</v>
      </c>
      <c r="O2667" s="11">
        <v>45152.0</v>
      </c>
      <c r="P2667" s="11">
        <v>45194.0</v>
      </c>
      <c r="Q2667" s="11"/>
      <c r="R2667" s="11"/>
      <c r="S2667" s="12"/>
      <c r="T2667" s="8"/>
      <c r="U2667" s="8" t="s">
        <v>88</v>
      </c>
      <c r="V2667" s="13" t="s">
        <v>38</v>
      </c>
      <c r="W2667" s="13" t="s">
        <v>12748</v>
      </c>
      <c r="X2667" s="12"/>
      <c r="Y2667" s="14"/>
      <c r="Z2667" s="14"/>
    </row>
    <row r="2668">
      <c r="A2668" s="8" t="s">
        <v>12836</v>
      </c>
      <c r="B2668" s="8" t="s">
        <v>12837</v>
      </c>
      <c r="C2668" s="8" t="s">
        <v>25</v>
      </c>
      <c r="D2668" s="8" t="s">
        <v>26</v>
      </c>
      <c r="E2668" s="8" t="s">
        <v>12838</v>
      </c>
      <c r="F2668" s="8">
        <v>1.735201354E9</v>
      </c>
      <c r="G2668" s="8" t="s">
        <v>202</v>
      </c>
      <c r="H2668" s="8" t="s">
        <v>12839</v>
      </c>
      <c r="I2668" s="8" t="s">
        <v>31</v>
      </c>
      <c r="J2668" s="8" t="s">
        <v>77</v>
      </c>
      <c r="K2668" s="10" t="s">
        <v>1582</v>
      </c>
      <c r="L2668" s="8" t="s">
        <v>58</v>
      </c>
      <c r="M2668" s="8" t="s">
        <v>35</v>
      </c>
      <c r="N2668" s="11">
        <v>45118.0</v>
      </c>
      <c r="O2668" s="11">
        <v>45125.0</v>
      </c>
      <c r="P2668" s="11">
        <v>45167.0</v>
      </c>
      <c r="Q2668" s="11">
        <v>45124.0</v>
      </c>
      <c r="R2668" s="11">
        <v>45167.0</v>
      </c>
      <c r="S2668" s="12"/>
      <c r="T2668" s="8"/>
      <c r="U2668" s="8" t="s">
        <v>59</v>
      </c>
      <c r="V2668" s="13" t="s">
        <v>12840</v>
      </c>
      <c r="W2668" s="13" t="s">
        <v>12841</v>
      </c>
      <c r="X2668" s="12"/>
      <c r="Y2668" s="14"/>
      <c r="Z2668" s="14"/>
    </row>
    <row r="2669">
      <c r="A2669" s="8" t="s">
        <v>12842</v>
      </c>
      <c r="B2669" s="8" t="s">
        <v>12843</v>
      </c>
      <c r="C2669" s="8" t="s">
        <v>179</v>
      </c>
      <c r="D2669" s="8" t="s">
        <v>26</v>
      </c>
      <c r="E2669" s="8" t="s">
        <v>12844</v>
      </c>
      <c r="F2669" s="8">
        <v>9.6912118E7</v>
      </c>
      <c r="G2669" s="8" t="s">
        <v>54</v>
      </c>
      <c r="H2669" s="8" t="s">
        <v>377</v>
      </c>
      <c r="I2669" s="8" t="s">
        <v>31</v>
      </c>
      <c r="J2669" s="8" t="s">
        <v>292</v>
      </c>
      <c r="K2669" s="10" t="s">
        <v>12845</v>
      </c>
      <c r="L2669" s="8" t="s">
        <v>47</v>
      </c>
      <c r="M2669" s="8" t="s">
        <v>70</v>
      </c>
      <c r="N2669" s="11">
        <v>45118.0</v>
      </c>
      <c r="O2669" s="11">
        <v>45139.0</v>
      </c>
      <c r="P2669" s="11">
        <v>45505.0</v>
      </c>
      <c r="Q2669" s="11"/>
      <c r="R2669" s="11"/>
      <c r="S2669" s="12"/>
      <c r="T2669" s="8"/>
      <c r="U2669" s="8" t="s">
        <v>12846</v>
      </c>
      <c r="V2669" s="13" t="s">
        <v>2855</v>
      </c>
      <c r="W2669" s="13" t="s">
        <v>12847</v>
      </c>
      <c r="X2669" s="12"/>
      <c r="Y2669" s="14"/>
      <c r="Z2669" s="14"/>
    </row>
    <row r="2670">
      <c r="A2670" s="8" t="s">
        <v>12848</v>
      </c>
      <c r="B2670" s="8" t="s">
        <v>12849</v>
      </c>
      <c r="C2670" s="8" t="s">
        <v>25</v>
      </c>
      <c r="D2670" s="8" t="s">
        <v>26</v>
      </c>
      <c r="E2670" s="8" t="s">
        <v>12850</v>
      </c>
      <c r="F2670" s="8">
        <v>5.360559139E9</v>
      </c>
      <c r="G2670" s="8" t="s">
        <v>31</v>
      </c>
      <c r="H2670" s="8" t="s">
        <v>77</v>
      </c>
      <c r="I2670" s="8" t="s">
        <v>127</v>
      </c>
      <c r="J2670" s="8" t="s">
        <v>128</v>
      </c>
      <c r="K2670" s="10" t="s">
        <v>11068</v>
      </c>
      <c r="L2670" s="8" t="s">
        <v>58</v>
      </c>
      <c r="M2670" s="8" t="s">
        <v>35</v>
      </c>
      <c r="N2670" s="11">
        <v>45118.0</v>
      </c>
      <c r="O2670" s="11">
        <v>45124.0</v>
      </c>
      <c r="P2670" s="11">
        <v>45166.0</v>
      </c>
      <c r="Q2670" s="11">
        <v>45125.0</v>
      </c>
      <c r="R2670" s="11">
        <v>45166.0</v>
      </c>
      <c r="S2670" s="12"/>
      <c r="T2670" s="8"/>
      <c r="U2670" s="8" t="s">
        <v>161</v>
      </c>
      <c r="V2670" s="13" t="s">
        <v>12851</v>
      </c>
      <c r="W2670" s="13" t="s">
        <v>12852</v>
      </c>
      <c r="X2670" s="12"/>
      <c r="Y2670" s="14"/>
      <c r="Z2670" s="14"/>
    </row>
    <row r="2671">
      <c r="A2671" s="8" t="s">
        <v>12853</v>
      </c>
      <c r="B2671" s="8" t="s">
        <v>12854</v>
      </c>
      <c r="C2671" s="8" t="s">
        <v>25</v>
      </c>
      <c r="D2671" s="8" t="s">
        <v>26</v>
      </c>
      <c r="E2671" s="8" t="s">
        <v>12855</v>
      </c>
      <c r="F2671" s="8"/>
      <c r="G2671" s="8" t="s">
        <v>54</v>
      </c>
      <c r="H2671" s="8" t="s">
        <v>595</v>
      </c>
      <c r="I2671" s="8" t="s">
        <v>31</v>
      </c>
      <c r="J2671" s="8" t="s">
        <v>167</v>
      </c>
      <c r="K2671" s="10" t="s">
        <v>8437</v>
      </c>
      <c r="L2671" s="8" t="s">
        <v>58</v>
      </c>
      <c r="M2671" s="8" t="s">
        <v>35</v>
      </c>
      <c r="N2671" s="11">
        <v>45118.0</v>
      </c>
      <c r="O2671" s="11">
        <v>45124.0</v>
      </c>
      <c r="P2671" s="11">
        <v>45166.0</v>
      </c>
      <c r="Q2671" s="11">
        <v>45124.0</v>
      </c>
      <c r="R2671" s="11">
        <v>45166.0</v>
      </c>
      <c r="S2671" s="12"/>
      <c r="T2671" s="8"/>
      <c r="U2671" s="8" t="s">
        <v>130</v>
      </c>
      <c r="V2671" s="13" t="s">
        <v>38</v>
      </c>
      <c r="W2671" s="13" t="s">
        <v>12856</v>
      </c>
      <c r="X2671" s="12"/>
      <c r="Y2671" s="14"/>
      <c r="Z2671" s="14"/>
    </row>
    <row r="2672">
      <c r="A2672" s="8" t="s">
        <v>12857</v>
      </c>
      <c r="B2672" s="8" t="s">
        <v>12858</v>
      </c>
      <c r="C2672" s="8" t="s">
        <v>179</v>
      </c>
      <c r="D2672" s="8" t="s">
        <v>26</v>
      </c>
      <c r="E2672" s="8" t="s">
        <v>12859</v>
      </c>
      <c r="F2672" s="8">
        <v>6.40179292E8</v>
      </c>
      <c r="G2672" s="8" t="s">
        <v>84</v>
      </c>
      <c r="H2672" s="8" t="s">
        <v>752</v>
      </c>
      <c r="I2672" s="8" t="s">
        <v>31</v>
      </c>
      <c r="J2672" s="8" t="s">
        <v>56</v>
      </c>
      <c r="K2672" s="10" t="s">
        <v>12447</v>
      </c>
      <c r="L2672" s="8" t="s">
        <v>58</v>
      </c>
      <c r="M2672" s="8" t="s">
        <v>35</v>
      </c>
      <c r="N2672" s="11">
        <v>45119.0</v>
      </c>
      <c r="O2672" s="11">
        <v>45418.0</v>
      </c>
      <c r="P2672" s="11">
        <v>45460.0</v>
      </c>
      <c r="Q2672" s="11"/>
      <c r="R2672" s="11"/>
      <c r="S2672" s="12"/>
      <c r="T2672" s="8"/>
      <c r="U2672" s="8" t="s">
        <v>185</v>
      </c>
      <c r="V2672" s="13" t="s">
        <v>753</v>
      </c>
      <c r="W2672" s="13" t="s">
        <v>12860</v>
      </c>
      <c r="X2672" s="12"/>
      <c r="Y2672" s="14"/>
      <c r="Z2672" s="14"/>
    </row>
    <row r="2673">
      <c r="A2673" s="8" t="s">
        <v>12861</v>
      </c>
      <c r="B2673" s="8" t="s">
        <v>7061</v>
      </c>
      <c r="C2673" s="8" t="s">
        <v>251</v>
      </c>
      <c r="D2673" s="8" t="s">
        <v>26</v>
      </c>
      <c r="E2673" s="8" t="s">
        <v>7062</v>
      </c>
      <c r="F2673" s="8">
        <v>6.1992755445E10</v>
      </c>
      <c r="G2673" s="8" t="s">
        <v>109</v>
      </c>
      <c r="H2673" s="8" t="s">
        <v>4031</v>
      </c>
      <c r="I2673" s="8" t="s">
        <v>31</v>
      </c>
      <c r="J2673" s="8" t="s">
        <v>542</v>
      </c>
      <c r="K2673" s="10" t="s">
        <v>12862</v>
      </c>
      <c r="L2673" s="8" t="s">
        <v>34</v>
      </c>
      <c r="M2673" s="8" t="s">
        <v>70</v>
      </c>
      <c r="N2673" s="11">
        <v>45119.0</v>
      </c>
      <c r="O2673" s="11">
        <v>45132.0</v>
      </c>
      <c r="P2673" s="11">
        <v>45488.0</v>
      </c>
      <c r="Q2673" s="11"/>
      <c r="R2673" s="11"/>
      <c r="S2673" s="12"/>
      <c r="T2673" s="8" t="s">
        <v>205</v>
      </c>
      <c r="U2673" s="8" t="s">
        <v>12863</v>
      </c>
      <c r="V2673" s="13" t="s">
        <v>38</v>
      </c>
      <c r="W2673" s="13" t="s">
        <v>7065</v>
      </c>
      <c r="X2673" s="12"/>
      <c r="Y2673" s="14"/>
      <c r="Z2673" s="14"/>
    </row>
    <row r="2674">
      <c r="A2674" s="8" t="s">
        <v>12864</v>
      </c>
      <c r="B2674" s="8" t="s">
        <v>12865</v>
      </c>
      <c r="C2674" s="8" t="s">
        <v>179</v>
      </c>
      <c r="D2674" s="8" t="s">
        <v>26</v>
      </c>
      <c r="E2674" s="8" t="s">
        <v>12866</v>
      </c>
      <c r="F2674" s="8">
        <v>5.549299209E9</v>
      </c>
      <c r="G2674" s="8" t="s">
        <v>31</v>
      </c>
      <c r="H2674" s="8" t="s">
        <v>292</v>
      </c>
      <c r="I2674" s="8" t="s">
        <v>1400</v>
      </c>
      <c r="J2674" s="8" t="s">
        <v>1401</v>
      </c>
      <c r="K2674" s="10" t="s">
        <v>8638</v>
      </c>
      <c r="L2674" s="8" t="s">
        <v>58</v>
      </c>
      <c r="M2674" s="8" t="s">
        <v>35</v>
      </c>
      <c r="N2674" s="11">
        <v>45119.0</v>
      </c>
      <c r="O2674" s="11">
        <v>45173.0</v>
      </c>
      <c r="P2674" s="11">
        <v>45215.0</v>
      </c>
      <c r="Q2674" s="11"/>
      <c r="R2674" s="11"/>
      <c r="S2674" s="12"/>
      <c r="T2674" s="8"/>
      <c r="U2674" s="8" t="s">
        <v>88</v>
      </c>
      <c r="V2674" s="13" t="s">
        <v>3027</v>
      </c>
      <c r="W2674" s="13" t="s">
        <v>12867</v>
      </c>
      <c r="X2674" s="12"/>
      <c r="Y2674" s="14"/>
      <c r="Z2674" s="14"/>
    </row>
    <row r="2675">
      <c r="A2675" s="8" t="s">
        <v>12868</v>
      </c>
      <c r="B2675" s="8" t="s">
        <v>12869</v>
      </c>
      <c r="C2675" s="8" t="s">
        <v>25</v>
      </c>
      <c r="D2675" s="8" t="s">
        <v>26</v>
      </c>
      <c r="E2675" s="8" t="s">
        <v>12870</v>
      </c>
      <c r="F2675" s="8">
        <v>1.143337027E9</v>
      </c>
      <c r="G2675" s="8" t="s">
        <v>284</v>
      </c>
      <c r="H2675" s="8" t="s">
        <v>854</v>
      </c>
      <c r="I2675" s="8" t="s">
        <v>31</v>
      </c>
      <c r="J2675" s="8" t="s">
        <v>136</v>
      </c>
      <c r="K2675" s="10" t="s">
        <v>8895</v>
      </c>
      <c r="L2675" s="8" t="s">
        <v>58</v>
      </c>
      <c r="M2675" s="8" t="s">
        <v>35</v>
      </c>
      <c r="N2675" s="11">
        <v>45119.0</v>
      </c>
      <c r="O2675" s="11">
        <v>45141.0</v>
      </c>
      <c r="P2675" s="11">
        <v>45183.0</v>
      </c>
      <c r="Q2675" s="11">
        <v>45154.0</v>
      </c>
      <c r="R2675" s="11">
        <v>45196.0</v>
      </c>
      <c r="S2675" s="12"/>
      <c r="T2675" s="8"/>
      <c r="U2675" s="8" t="s">
        <v>59</v>
      </c>
      <c r="V2675" s="13" t="s">
        <v>856</v>
      </c>
      <c r="W2675" s="13" t="s">
        <v>12871</v>
      </c>
      <c r="X2675" s="12"/>
      <c r="Y2675" s="14"/>
      <c r="Z2675" s="14"/>
    </row>
    <row r="2676">
      <c r="A2676" s="8" t="s">
        <v>12872</v>
      </c>
      <c r="B2676" s="8" t="s">
        <v>12873</v>
      </c>
      <c r="C2676" s="8" t="s">
        <v>179</v>
      </c>
      <c r="D2676" s="8" t="s">
        <v>26</v>
      </c>
      <c r="E2676" s="8" t="s">
        <v>12874</v>
      </c>
      <c r="F2676" s="8">
        <v>5.434563365E9</v>
      </c>
      <c r="G2676" s="8" t="s">
        <v>31</v>
      </c>
      <c r="H2676" s="8" t="s">
        <v>1032</v>
      </c>
      <c r="I2676" s="8" t="s">
        <v>284</v>
      </c>
      <c r="J2676" s="8" t="s">
        <v>5202</v>
      </c>
      <c r="K2676" s="10" t="s">
        <v>12875</v>
      </c>
      <c r="L2676" s="8" t="s">
        <v>58</v>
      </c>
      <c r="M2676" s="8" t="s">
        <v>35</v>
      </c>
      <c r="N2676" s="11">
        <v>45119.0</v>
      </c>
      <c r="O2676" s="11">
        <v>45263.0</v>
      </c>
      <c r="P2676" s="11">
        <v>45307.0</v>
      </c>
      <c r="Q2676" s="11"/>
      <c r="R2676" s="11"/>
      <c r="S2676" s="12"/>
      <c r="T2676" s="8"/>
      <c r="U2676" s="8" t="s">
        <v>1038</v>
      </c>
      <c r="V2676" s="13" t="s">
        <v>1032</v>
      </c>
      <c r="W2676" s="13" t="s">
        <v>12876</v>
      </c>
      <c r="X2676" s="12"/>
      <c r="Y2676" s="14"/>
      <c r="Z2676" s="14"/>
    </row>
    <row r="2677">
      <c r="A2677" s="8" t="s">
        <v>12877</v>
      </c>
      <c r="B2677" s="8" t="s">
        <v>12878</v>
      </c>
      <c r="C2677" s="8" t="s">
        <v>179</v>
      </c>
      <c r="D2677" s="8" t="s">
        <v>26</v>
      </c>
      <c r="E2677" s="8" t="s">
        <v>12879</v>
      </c>
      <c r="F2677" s="8">
        <v>2.4167712E7</v>
      </c>
      <c r="G2677" s="8" t="s">
        <v>54</v>
      </c>
      <c r="H2677" s="8" t="s">
        <v>135</v>
      </c>
      <c r="I2677" s="8" t="s">
        <v>31</v>
      </c>
      <c r="J2677" s="8" t="s">
        <v>77</v>
      </c>
      <c r="K2677" s="10" t="s">
        <v>1235</v>
      </c>
      <c r="L2677" s="8" t="s">
        <v>47</v>
      </c>
      <c r="M2677" s="8" t="s">
        <v>70</v>
      </c>
      <c r="N2677" s="11">
        <v>45119.0</v>
      </c>
      <c r="O2677" s="11">
        <v>45166.0</v>
      </c>
      <c r="P2677" s="11">
        <v>45531.0</v>
      </c>
      <c r="Q2677" s="11"/>
      <c r="R2677" s="11"/>
      <c r="S2677" s="12"/>
      <c r="T2677" s="8"/>
      <c r="U2677" s="8" t="s">
        <v>1236</v>
      </c>
      <c r="V2677" s="13" t="s">
        <v>849</v>
      </c>
      <c r="W2677" s="13" t="s">
        <v>12880</v>
      </c>
      <c r="X2677" s="12"/>
      <c r="Y2677" s="14"/>
      <c r="Z2677" s="14"/>
    </row>
    <row r="2678">
      <c r="A2678" s="8" t="s">
        <v>12881</v>
      </c>
      <c r="B2678" s="8" t="s">
        <v>12882</v>
      </c>
      <c r="C2678" s="8" t="s">
        <v>25</v>
      </c>
      <c r="D2678" s="8" t="s">
        <v>26</v>
      </c>
      <c r="E2678" s="8" t="s">
        <v>12883</v>
      </c>
      <c r="F2678" s="8"/>
      <c r="G2678" s="8" t="s">
        <v>12491</v>
      </c>
      <c r="H2678" s="8" t="s">
        <v>12884</v>
      </c>
      <c r="I2678" s="8" t="s">
        <v>31</v>
      </c>
      <c r="J2678" s="8" t="s">
        <v>77</v>
      </c>
      <c r="K2678" s="10" t="s">
        <v>2537</v>
      </c>
      <c r="L2678" s="8" t="s">
        <v>58</v>
      </c>
      <c r="M2678" s="8" t="s">
        <v>35</v>
      </c>
      <c r="N2678" s="11">
        <v>45119.0</v>
      </c>
      <c r="O2678" s="11">
        <v>45159.0</v>
      </c>
      <c r="P2678" s="11">
        <v>45201.0</v>
      </c>
      <c r="Q2678" s="11">
        <v>45156.0</v>
      </c>
      <c r="R2678" s="11">
        <v>45201.0</v>
      </c>
      <c r="S2678" s="12"/>
      <c r="T2678" s="8"/>
      <c r="U2678" s="8" t="s">
        <v>88</v>
      </c>
      <c r="V2678" s="13" t="s">
        <v>38</v>
      </c>
      <c r="W2678" s="13" t="s">
        <v>12885</v>
      </c>
      <c r="X2678" s="12"/>
      <c r="Y2678" s="14"/>
      <c r="Z2678" s="14"/>
    </row>
    <row r="2679">
      <c r="A2679" s="8" t="s">
        <v>12886</v>
      </c>
      <c r="B2679" s="8" t="s">
        <v>2847</v>
      </c>
      <c r="C2679" s="8" t="s">
        <v>251</v>
      </c>
      <c r="D2679" s="8" t="s">
        <v>26</v>
      </c>
      <c r="E2679" s="8" t="s">
        <v>12887</v>
      </c>
      <c r="F2679" s="8">
        <v>2.1434334E7</v>
      </c>
      <c r="G2679" s="8" t="s">
        <v>54</v>
      </c>
      <c r="H2679" s="8" t="s">
        <v>377</v>
      </c>
      <c r="I2679" s="8" t="s">
        <v>31</v>
      </c>
      <c r="J2679" s="8" t="s">
        <v>77</v>
      </c>
      <c r="K2679" s="10" t="s">
        <v>2597</v>
      </c>
      <c r="L2679" s="8" t="s">
        <v>47</v>
      </c>
      <c r="M2679" s="8" t="s">
        <v>70</v>
      </c>
      <c r="N2679" s="11">
        <v>45119.0</v>
      </c>
      <c r="O2679" s="11">
        <v>45173.0</v>
      </c>
      <c r="P2679" s="11">
        <v>45447.0</v>
      </c>
      <c r="Q2679" s="11"/>
      <c r="R2679" s="11"/>
      <c r="S2679" s="12"/>
      <c r="T2679" s="8"/>
      <c r="U2679" s="8" t="s">
        <v>2598</v>
      </c>
      <c r="V2679" s="13" t="s">
        <v>1604</v>
      </c>
      <c r="W2679" s="13" t="s">
        <v>12888</v>
      </c>
      <c r="X2679" s="12"/>
      <c r="Y2679" s="14"/>
      <c r="Z2679" s="14"/>
    </row>
    <row r="2680">
      <c r="A2680" s="8" t="s">
        <v>12889</v>
      </c>
      <c r="B2680" s="8" t="s">
        <v>12890</v>
      </c>
      <c r="C2680" s="8" t="s">
        <v>179</v>
      </c>
      <c r="D2680" s="8" t="s">
        <v>26</v>
      </c>
      <c r="E2680" s="8" t="s">
        <v>12891</v>
      </c>
      <c r="F2680" s="8">
        <v>5.412938949E9</v>
      </c>
      <c r="G2680" s="8" t="s">
        <v>31</v>
      </c>
      <c r="H2680" s="8" t="s">
        <v>86</v>
      </c>
      <c r="I2680" s="8" t="s">
        <v>284</v>
      </c>
      <c r="J2680" s="8" t="s">
        <v>854</v>
      </c>
      <c r="K2680" s="10" t="s">
        <v>12892</v>
      </c>
      <c r="L2680" s="8" t="s">
        <v>58</v>
      </c>
      <c r="M2680" s="8" t="s">
        <v>35</v>
      </c>
      <c r="N2680" s="11">
        <v>45119.0</v>
      </c>
      <c r="O2680" s="11">
        <v>45166.0</v>
      </c>
      <c r="P2680" s="11">
        <v>45208.0</v>
      </c>
      <c r="Q2680" s="11"/>
      <c r="R2680" s="11">
        <v>45207.0</v>
      </c>
      <c r="S2680" s="12"/>
      <c r="T2680" s="8"/>
      <c r="U2680" s="8" t="s">
        <v>371</v>
      </c>
      <c r="V2680" s="13" t="s">
        <v>175</v>
      </c>
      <c r="W2680" s="13" t="s">
        <v>12893</v>
      </c>
      <c r="X2680" s="12"/>
      <c r="Y2680" s="14"/>
      <c r="Z2680" s="14"/>
    </row>
    <row r="2681">
      <c r="A2681" s="8" t="s">
        <v>12894</v>
      </c>
      <c r="B2681" s="8" t="s">
        <v>12895</v>
      </c>
      <c r="C2681" s="8" t="s">
        <v>708</v>
      </c>
      <c r="D2681" s="8" t="s">
        <v>26</v>
      </c>
      <c r="E2681" s="8" t="s">
        <v>12896</v>
      </c>
      <c r="F2681" s="8">
        <v>9.202706E7</v>
      </c>
      <c r="G2681" s="8" t="s">
        <v>54</v>
      </c>
      <c r="H2681" s="8" t="s">
        <v>377</v>
      </c>
      <c r="I2681" s="8" t="s">
        <v>31</v>
      </c>
      <c r="J2681" s="8" t="s">
        <v>77</v>
      </c>
      <c r="K2681" s="10" t="s">
        <v>8795</v>
      </c>
      <c r="L2681" s="8" t="s">
        <v>47</v>
      </c>
      <c r="M2681" s="8" t="s">
        <v>70</v>
      </c>
      <c r="N2681" s="11">
        <v>45119.0</v>
      </c>
      <c r="O2681" s="11">
        <v>45170.0</v>
      </c>
      <c r="P2681" s="11">
        <v>45535.0</v>
      </c>
      <c r="Q2681" s="11">
        <v>45169.0</v>
      </c>
      <c r="R2681" s="11">
        <v>45538.0</v>
      </c>
      <c r="S2681" s="12"/>
      <c r="T2681" s="8"/>
      <c r="U2681" s="8" t="s">
        <v>8796</v>
      </c>
      <c r="V2681" s="13" t="s">
        <v>1604</v>
      </c>
      <c r="W2681" s="13" t="s">
        <v>12897</v>
      </c>
      <c r="X2681" s="12"/>
      <c r="Y2681" s="14"/>
      <c r="Z2681" s="14"/>
    </row>
    <row r="2682">
      <c r="A2682" s="8" t="s">
        <v>12898</v>
      </c>
      <c r="B2682" s="8" t="s">
        <v>12899</v>
      </c>
      <c r="C2682" s="8" t="s">
        <v>708</v>
      </c>
      <c r="D2682" s="8" t="s">
        <v>26</v>
      </c>
      <c r="E2682" s="8" t="s">
        <v>12900</v>
      </c>
      <c r="F2682" s="8">
        <v>5.8996356E7</v>
      </c>
      <c r="G2682" s="8" t="s">
        <v>54</v>
      </c>
      <c r="H2682" s="8" t="s">
        <v>377</v>
      </c>
      <c r="I2682" s="8" t="s">
        <v>31</v>
      </c>
      <c r="J2682" s="8" t="s">
        <v>77</v>
      </c>
      <c r="K2682" s="10" t="s">
        <v>12901</v>
      </c>
      <c r="L2682" s="8" t="s">
        <v>47</v>
      </c>
      <c r="M2682" s="8" t="s">
        <v>70</v>
      </c>
      <c r="N2682" s="11">
        <v>45119.0</v>
      </c>
      <c r="O2682" s="11">
        <v>45200.0</v>
      </c>
      <c r="P2682" s="11">
        <v>45442.0</v>
      </c>
      <c r="Q2682" s="11">
        <v>45244.0</v>
      </c>
      <c r="R2682" s="11">
        <v>45484.0</v>
      </c>
      <c r="S2682" s="12"/>
      <c r="T2682" s="8"/>
      <c r="U2682" s="8" t="s">
        <v>5839</v>
      </c>
      <c r="V2682" s="13" t="s">
        <v>1604</v>
      </c>
      <c r="W2682" s="13" t="s">
        <v>12902</v>
      </c>
      <c r="X2682" s="12"/>
      <c r="Y2682" s="14"/>
      <c r="Z2682" s="14"/>
    </row>
    <row r="2683">
      <c r="A2683" s="8" t="s">
        <v>12903</v>
      </c>
      <c r="B2683" s="8" t="s">
        <v>12904</v>
      </c>
      <c r="C2683" s="8" t="s">
        <v>708</v>
      </c>
      <c r="D2683" s="8" t="s">
        <v>26</v>
      </c>
      <c r="E2683" s="8" t="s">
        <v>12905</v>
      </c>
      <c r="F2683" s="8"/>
      <c r="G2683" s="8" t="s">
        <v>254</v>
      </c>
      <c r="H2683" s="8" t="s">
        <v>1484</v>
      </c>
      <c r="I2683" s="8" t="s">
        <v>31</v>
      </c>
      <c r="J2683" s="8" t="s">
        <v>292</v>
      </c>
      <c r="K2683" s="10" t="s">
        <v>12906</v>
      </c>
      <c r="L2683" s="8" t="s">
        <v>47</v>
      </c>
      <c r="M2683" s="8" t="s">
        <v>70</v>
      </c>
      <c r="N2683" s="11">
        <v>45119.0</v>
      </c>
      <c r="O2683" s="11">
        <v>45158.0</v>
      </c>
      <c r="P2683" s="11">
        <v>45519.0</v>
      </c>
      <c r="Q2683" s="11">
        <v>45160.0</v>
      </c>
      <c r="R2683" s="11">
        <v>45519.0</v>
      </c>
      <c r="S2683" s="12"/>
      <c r="T2683" s="8"/>
      <c r="U2683" s="8" t="s">
        <v>1794</v>
      </c>
      <c r="V2683" s="13" t="s">
        <v>38</v>
      </c>
      <c r="W2683" s="13" t="s">
        <v>12907</v>
      </c>
      <c r="X2683" s="12"/>
      <c r="Y2683" s="14"/>
      <c r="Z2683" s="14"/>
    </row>
    <row r="2684">
      <c r="A2684" s="8" t="s">
        <v>12908</v>
      </c>
      <c r="B2684" s="8" t="s">
        <v>12909</v>
      </c>
      <c r="C2684" s="8" t="s">
        <v>25</v>
      </c>
      <c r="D2684" s="8" t="s">
        <v>26</v>
      </c>
      <c r="E2684" s="8" t="s">
        <v>12910</v>
      </c>
      <c r="F2684" s="8">
        <v>1.030038165E9</v>
      </c>
      <c r="G2684" s="8" t="s">
        <v>284</v>
      </c>
      <c r="H2684" s="8" t="s">
        <v>854</v>
      </c>
      <c r="I2684" s="8" t="s">
        <v>31</v>
      </c>
      <c r="J2684" s="8" t="s">
        <v>136</v>
      </c>
      <c r="K2684" s="10" t="s">
        <v>8895</v>
      </c>
      <c r="L2684" s="8" t="s">
        <v>58</v>
      </c>
      <c r="M2684" s="8" t="s">
        <v>35</v>
      </c>
      <c r="N2684" s="11">
        <v>45119.0</v>
      </c>
      <c r="O2684" s="11">
        <v>45141.0</v>
      </c>
      <c r="P2684" s="11">
        <v>45183.0</v>
      </c>
      <c r="Q2684" s="11">
        <v>45154.0</v>
      </c>
      <c r="R2684" s="11">
        <v>45196.0</v>
      </c>
      <c r="S2684" s="12"/>
      <c r="T2684" s="8"/>
      <c r="U2684" s="8" t="s">
        <v>59</v>
      </c>
      <c r="V2684" s="13" t="s">
        <v>856</v>
      </c>
      <c r="W2684" s="13" t="s">
        <v>12911</v>
      </c>
      <c r="X2684" s="12"/>
      <c r="Y2684" s="14"/>
      <c r="Z2684" s="14"/>
    </row>
    <row r="2685">
      <c r="A2685" s="8" t="s">
        <v>12912</v>
      </c>
      <c r="B2685" s="8" t="s">
        <v>12913</v>
      </c>
      <c r="C2685" s="8" t="s">
        <v>64</v>
      </c>
      <c r="D2685" s="8" t="s">
        <v>26</v>
      </c>
      <c r="E2685" s="8" t="s">
        <v>12914</v>
      </c>
      <c r="F2685" s="8">
        <v>5.459413505E9</v>
      </c>
      <c r="G2685" s="8" t="s">
        <v>31</v>
      </c>
      <c r="H2685" s="8" t="s">
        <v>220</v>
      </c>
      <c r="I2685" s="8" t="s">
        <v>67</v>
      </c>
      <c r="J2685" s="8" t="s">
        <v>11448</v>
      </c>
      <c r="K2685" s="10" t="s">
        <v>12915</v>
      </c>
      <c r="L2685" s="8" t="s">
        <v>47</v>
      </c>
      <c r="M2685" s="8" t="s">
        <v>35</v>
      </c>
      <c r="N2685" s="11">
        <v>45120.0</v>
      </c>
      <c r="O2685" s="11">
        <v>45148.0</v>
      </c>
      <c r="P2685" s="11">
        <v>45231.0</v>
      </c>
      <c r="Q2685" s="11">
        <v>45164.0</v>
      </c>
      <c r="R2685" s="11">
        <v>45254.0</v>
      </c>
      <c r="S2685" s="12"/>
      <c r="T2685" s="8"/>
      <c r="U2685" s="8" t="s">
        <v>12916</v>
      </c>
      <c r="V2685" s="13" t="s">
        <v>3569</v>
      </c>
      <c r="W2685" s="13" t="s">
        <v>12917</v>
      </c>
      <c r="X2685" s="12"/>
      <c r="Y2685" s="14"/>
      <c r="Z2685" s="14"/>
    </row>
    <row r="2686">
      <c r="A2686" s="8" t="s">
        <v>12918</v>
      </c>
      <c r="B2686" s="8" t="s">
        <v>12919</v>
      </c>
      <c r="C2686" s="8" t="s">
        <v>64</v>
      </c>
      <c r="D2686" s="8" t="s">
        <v>26</v>
      </c>
      <c r="E2686" s="8" t="s">
        <v>12920</v>
      </c>
      <c r="F2686" s="8">
        <v>5.459413556E9</v>
      </c>
      <c r="G2686" s="8" t="s">
        <v>31</v>
      </c>
      <c r="H2686" s="8" t="s">
        <v>220</v>
      </c>
      <c r="I2686" s="8" t="s">
        <v>67</v>
      </c>
      <c r="J2686" s="8" t="s">
        <v>11448</v>
      </c>
      <c r="K2686" s="10" t="s">
        <v>12915</v>
      </c>
      <c r="L2686" s="8" t="s">
        <v>47</v>
      </c>
      <c r="M2686" s="8" t="s">
        <v>35</v>
      </c>
      <c r="N2686" s="11">
        <v>45120.0</v>
      </c>
      <c r="O2686" s="11">
        <v>45148.0</v>
      </c>
      <c r="P2686" s="11">
        <v>45231.0</v>
      </c>
      <c r="Q2686" s="11">
        <v>45164.0</v>
      </c>
      <c r="R2686" s="11">
        <v>45254.0</v>
      </c>
      <c r="S2686" s="12"/>
      <c r="T2686" s="8"/>
      <c r="U2686" s="8" t="s">
        <v>12916</v>
      </c>
      <c r="V2686" s="13" t="s">
        <v>3569</v>
      </c>
      <c r="W2686" s="13" t="s">
        <v>12921</v>
      </c>
      <c r="X2686" s="12"/>
      <c r="Y2686" s="14"/>
      <c r="Z2686" s="14"/>
    </row>
    <row r="2687">
      <c r="A2687" s="8" t="s">
        <v>12922</v>
      </c>
      <c r="B2687" s="8" t="s">
        <v>12923</v>
      </c>
      <c r="C2687" s="8" t="s">
        <v>251</v>
      </c>
      <c r="D2687" s="8" t="s">
        <v>26</v>
      </c>
      <c r="E2687" s="8" t="s">
        <v>12924</v>
      </c>
      <c r="F2687" s="8">
        <v>5.070608226E9</v>
      </c>
      <c r="G2687" s="8" t="s">
        <v>31</v>
      </c>
      <c r="H2687" s="8" t="s">
        <v>86</v>
      </c>
      <c r="I2687" s="8" t="s">
        <v>1400</v>
      </c>
      <c r="J2687" s="8" t="s">
        <v>11382</v>
      </c>
      <c r="K2687" s="10" t="s">
        <v>11383</v>
      </c>
      <c r="L2687" s="8" t="s">
        <v>58</v>
      </c>
      <c r="M2687" s="8" t="s">
        <v>35</v>
      </c>
      <c r="N2687" s="11">
        <v>45120.0</v>
      </c>
      <c r="O2687" s="11">
        <v>45173.0</v>
      </c>
      <c r="P2687" s="11">
        <v>45215.0</v>
      </c>
      <c r="Q2687" s="11"/>
      <c r="R2687" s="11"/>
      <c r="S2687" s="12"/>
      <c r="T2687" s="8"/>
      <c r="U2687" s="8" t="s">
        <v>88</v>
      </c>
      <c r="V2687" s="13" t="s">
        <v>175</v>
      </c>
      <c r="W2687" s="13" t="s">
        <v>12925</v>
      </c>
      <c r="X2687" s="12"/>
      <c r="Y2687" s="14"/>
      <c r="Z2687" s="14"/>
    </row>
    <row r="2688">
      <c r="A2688" s="8" t="s">
        <v>12926</v>
      </c>
      <c r="B2688" s="8" t="s">
        <v>12927</v>
      </c>
      <c r="C2688" s="8" t="s">
        <v>179</v>
      </c>
      <c r="D2688" s="8" t="s">
        <v>26</v>
      </c>
      <c r="E2688" s="8" t="s">
        <v>12928</v>
      </c>
      <c r="F2688" s="8">
        <v>1.060757585E9</v>
      </c>
      <c r="G2688" s="8" t="s">
        <v>284</v>
      </c>
      <c r="H2688" s="8" t="s">
        <v>673</v>
      </c>
      <c r="I2688" s="8" t="s">
        <v>31</v>
      </c>
      <c r="J2688" s="8" t="s">
        <v>542</v>
      </c>
      <c r="K2688" s="10" t="s">
        <v>8953</v>
      </c>
      <c r="L2688" s="8" t="s">
        <v>34</v>
      </c>
      <c r="M2688" s="8" t="s">
        <v>70</v>
      </c>
      <c r="N2688" s="11">
        <v>45120.0</v>
      </c>
      <c r="O2688" s="11">
        <v>45153.0</v>
      </c>
      <c r="P2688" s="11">
        <v>45517.0</v>
      </c>
      <c r="Q2688" s="11"/>
      <c r="R2688" s="11"/>
      <c r="S2688" s="12"/>
      <c r="T2688" s="8" t="s">
        <v>36</v>
      </c>
      <c r="U2688" s="8" t="s">
        <v>8954</v>
      </c>
      <c r="V2688" s="13" t="s">
        <v>38</v>
      </c>
      <c r="W2688" s="13" t="s">
        <v>12929</v>
      </c>
      <c r="X2688" s="12"/>
      <c r="Y2688" s="14"/>
      <c r="Z2688" s="14"/>
    </row>
    <row r="2689">
      <c r="A2689" s="8" t="s">
        <v>12930</v>
      </c>
      <c r="B2689" s="8" t="s">
        <v>12931</v>
      </c>
      <c r="C2689" s="8" t="s">
        <v>179</v>
      </c>
      <c r="D2689" s="8" t="s">
        <v>26</v>
      </c>
      <c r="E2689" s="8" t="s">
        <v>12932</v>
      </c>
      <c r="F2689" s="8">
        <v>6.82629902E8</v>
      </c>
      <c r="G2689" s="8" t="s">
        <v>84</v>
      </c>
      <c r="H2689" s="8" t="s">
        <v>1234</v>
      </c>
      <c r="I2689" s="8" t="s">
        <v>31</v>
      </c>
      <c r="J2689" s="8" t="s">
        <v>542</v>
      </c>
      <c r="K2689" s="10" t="s">
        <v>8953</v>
      </c>
      <c r="L2689" s="8" t="s">
        <v>34</v>
      </c>
      <c r="M2689" s="8" t="s">
        <v>70</v>
      </c>
      <c r="N2689" s="11">
        <v>45120.0</v>
      </c>
      <c r="O2689" s="11">
        <v>45153.0</v>
      </c>
      <c r="P2689" s="11">
        <v>45517.0</v>
      </c>
      <c r="Q2689" s="11"/>
      <c r="R2689" s="11"/>
      <c r="S2689" s="12"/>
      <c r="T2689" s="8" t="s">
        <v>36</v>
      </c>
      <c r="U2689" s="8" t="s">
        <v>8954</v>
      </c>
      <c r="V2689" s="13" t="s">
        <v>1237</v>
      </c>
      <c r="W2689" s="13" t="s">
        <v>12933</v>
      </c>
      <c r="X2689" s="12"/>
      <c r="Y2689" s="14"/>
      <c r="Z2689" s="14"/>
    </row>
    <row r="2690">
      <c r="A2690" s="8" t="s">
        <v>12934</v>
      </c>
      <c r="B2690" s="8" t="s">
        <v>12935</v>
      </c>
      <c r="C2690" s="8" t="s">
        <v>64</v>
      </c>
      <c r="D2690" s="8" t="s">
        <v>26</v>
      </c>
      <c r="E2690" s="8" t="s">
        <v>12936</v>
      </c>
      <c r="F2690" s="8">
        <v>5.401405E7</v>
      </c>
      <c r="G2690" s="8" t="s">
        <v>54</v>
      </c>
      <c r="H2690" s="8" t="s">
        <v>595</v>
      </c>
      <c r="I2690" s="8" t="s">
        <v>31</v>
      </c>
      <c r="J2690" s="8" t="s">
        <v>167</v>
      </c>
      <c r="K2690" s="10" t="s">
        <v>8437</v>
      </c>
      <c r="L2690" s="8" t="s">
        <v>58</v>
      </c>
      <c r="M2690" s="8" t="s">
        <v>35</v>
      </c>
      <c r="N2690" s="11">
        <v>45120.0</v>
      </c>
      <c r="O2690" s="11">
        <v>45124.0</v>
      </c>
      <c r="P2690" s="11">
        <v>45166.0</v>
      </c>
      <c r="Q2690" s="11">
        <v>45124.0</v>
      </c>
      <c r="R2690" s="11">
        <v>45166.0</v>
      </c>
      <c r="S2690" s="12"/>
      <c r="T2690" s="8"/>
      <c r="U2690" s="8" t="s">
        <v>130</v>
      </c>
      <c r="V2690" s="13" t="s">
        <v>9474</v>
      </c>
      <c r="W2690" s="13" t="s">
        <v>12937</v>
      </c>
      <c r="X2690" s="12"/>
      <c r="Y2690" s="14"/>
      <c r="Z2690" s="14"/>
    </row>
    <row r="2691">
      <c r="A2691" s="8" t="s">
        <v>12938</v>
      </c>
      <c r="B2691" s="8" t="s">
        <v>12939</v>
      </c>
      <c r="C2691" s="8" t="s">
        <v>25</v>
      </c>
      <c r="D2691" s="8" t="s">
        <v>26</v>
      </c>
      <c r="E2691" s="8" t="s">
        <v>12940</v>
      </c>
      <c r="F2691" s="8">
        <v>7.00994069E8</v>
      </c>
      <c r="G2691" s="8" t="s">
        <v>307</v>
      </c>
      <c r="H2691" s="8" t="s">
        <v>308</v>
      </c>
      <c r="I2691" s="8" t="s">
        <v>31</v>
      </c>
      <c r="J2691" s="8" t="s">
        <v>136</v>
      </c>
      <c r="K2691" s="10" t="s">
        <v>137</v>
      </c>
      <c r="L2691" s="8" t="s">
        <v>58</v>
      </c>
      <c r="M2691" s="8" t="s">
        <v>35</v>
      </c>
      <c r="N2691" s="11">
        <v>45120.0</v>
      </c>
      <c r="O2691" s="11">
        <v>45124.0</v>
      </c>
      <c r="P2691" s="11">
        <v>45166.0</v>
      </c>
      <c r="Q2691" s="11">
        <v>45126.0</v>
      </c>
      <c r="R2691" s="11">
        <v>45166.0</v>
      </c>
      <c r="S2691" s="12"/>
      <c r="T2691" s="8"/>
      <c r="U2691" s="8" t="s">
        <v>88</v>
      </c>
      <c r="V2691" s="13" t="s">
        <v>9728</v>
      </c>
      <c r="W2691" s="13" t="s">
        <v>12941</v>
      </c>
      <c r="X2691" s="12"/>
      <c r="Y2691" s="14"/>
      <c r="Z2691" s="14"/>
    </row>
    <row r="2692">
      <c r="A2692" s="8" t="s">
        <v>12942</v>
      </c>
      <c r="B2692" s="8" t="s">
        <v>12943</v>
      </c>
      <c r="C2692" s="8" t="s">
        <v>179</v>
      </c>
      <c r="D2692" s="8" t="s">
        <v>26</v>
      </c>
      <c r="E2692" s="8" t="s">
        <v>12944</v>
      </c>
      <c r="F2692" s="8">
        <v>1.114292043E9</v>
      </c>
      <c r="G2692" s="8" t="s">
        <v>284</v>
      </c>
      <c r="H2692" s="8" t="s">
        <v>854</v>
      </c>
      <c r="I2692" s="8" t="s">
        <v>31</v>
      </c>
      <c r="J2692" s="8" t="s">
        <v>542</v>
      </c>
      <c r="K2692" s="10" t="s">
        <v>8953</v>
      </c>
      <c r="L2692" s="8" t="s">
        <v>34</v>
      </c>
      <c r="M2692" s="8" t="s">
        <v>70</v>
      </c>
      <c r="N2692" s="11">
        <v>45120.0</v>
      </c>
      <c r="O2692" s="11">
        <v>45139.0</v>
      </c>
      <c r="P2692" s="11">
        <v>45504.0</v>
      </c>
      <c r="Q2692" s="11"/>
      <c r="R2692" s="11"/>
      <c r="S2692" s="12"/>
      <c r="T2692" s="8" t="s">
        <v>36</v>
      </c>
      <c r="U2692" s="8" t="s">
        <v>8954</v>
      </c>
      <c r="V2692" s="13" t="s">
        <v>856</v>
      </c>
      <c r="W2692" s="13" t="s">
        <v>12945</v>
      </c>
      <c r="X2692" s="12"/>
      <c r="Y2692" s="14"/>
      <c r="Z2692" s="14"/>
    </row>
    <row r="2693">
      <c r="A2693" s="8" t="s">
        <v>12946</v>
      </c>
      <c r="B2693" s="8" t="s">
        <v>12947</v>
      </c>
      <c r="C2693" s="8" t="s">
        <v>25</v>
      </c>
      <c r="D2693" s="8" t="s">
        <v>26</v>
      </c>
      <c r="E2693" s="8" t="s">
        <v>12948</v>
      </c>
      <c r="F2693" s="8">
        <v>5.53754756E9</v>
      </c>
      <c r="G2693" s="8" t="s">
        <v>31</v>
      </c>
      <c r="H2693" s="8" t="s">
        <v>111</v>
      </c>
      <c r="I2693" s="8" t="s">
        <v>54</v>
      </c>
      <c r="J2693" s="8" t="s">
        <v>135</v>
      </c>
      <c r="K2693" s="10" t="s">
        <v>12949</v>
      </c>
      <c r="L2693" s="8" t="s">
        <v>58</v>
      </c>
      <c r="M2693" s="8" t="s">
        <v>35</v>
      </c>
      <c r="N2693" s="11">
        <v>45120.0</v>
      </c>
      <c r="O2693" s="11">
        <v>45139.0</v>
      </c>
      <c r="P2693" s="11">
        <v>45181.0</v>
      </c>
      <c r="Q2693" s="11">
        <v>45137.0</v>
      </c>
      <c r="R2693" s="11">
        <v>45181.0</v>
      </c>
      <c r="S2693" s="12"/>
      <c r="T2693" s="8"/>
      <c r="U2693" s="8" t="s">
        <v>59</v>
      </c>
      <c r="V2693" s="13" t="s">
        <v>111</v>
      </c>
      <c r="W2693" s="13" t="s">
        <v>12950</v>
      </c>
      <c r="X2693" s="12"/>
      <c r="Y2693" s="14"/>
      <c r="Z2693" s="14"/>
    </row>
    <row r="2694">
      <c r="A2694" s="8" t="s">
        <v>12951</v>
      </c>
      <c r="B2694" s="8" t="s">
        <v>12952</v>
      </c>
      <c r="C2694" s="8" t="s">
        <v>179</v>
      </c>
      <c r="D2694" s="8" t="s">
        <v>26</v>
      </c>
      <c r="E2694" s="8" t="s">
        <v>12953</v>
      </c>
      <c r="F2694" s="8">
        <v>1.225968632E9</v>
      </c>
      <c r="G2694" s="8" t="s">
        <v>284</v>
      </c>
      <c r="H2694" s="8" t="s">
        <v>793</v>
      </c>
      <c r="I2694" s="8" t="s">
        <v>31</v>
      </c>
      <c r="J2694" s="8" t="s">
        <v>542</v>
      </c>
      <c r="K2694" s="10" t="s">
        <v>12954</v>
      </c>
      <c r="L2694" s="8" t="s">
        <v>58</v>
      </c>
      <c r="M2694" s="8" t="s">
        <v>35</v>
      </c>
      <c r="N2694" s="11">
        <v>45120.0</v>
      </c>
      <c r="O2694" s="11">
        <v>45229.0</v>
      </c>
      <c r="P2694" s="11">
        <v>45271.0</v>
      </c>
      <c r="Q2694" s="11"/>
      <c r="R2694" s="11"/>
      <c r="S2694" s="12"/>
      <c r="T2694" s="8"/>
      <c r="U2694" s="8" t="s">
        <v>161</v>
      </c>
      <c r="V2694" s="13" t="s">
        <v>12955</v>
      </c>
      <c r="W2694" s="13" t="s">
        <v>12956</v>
      </c>
      <c r="X2694" s="12"/>
      <c r="Y2694" s="14"/>
      <c r="Z2694" s="14"/>
    </row>
    <row r="2695">
      <c r="A2695" s="8" t="s">
        <v>12957</v>
      </c>
      <c r="B2695" s="8" t="s">
        <v>12958</v>
      </c>
      <c r="C2695" s="8" t="s">
        <v>25</v>
      </c>
      <c r="D2695" s="8" t="s">
        <v>26</v>
      </c>
      <c r="E2695" s="8" t="s">
        <v>12959</v>
      </c>
      <c r="F2695" s="8">
        <v>7.753396404E9</v>
      </c>
      <c r="G2695" s="8" t="s">
        <v>496</v>
      </c>
      <c r="H2695" s="8" t="s">
        <v>497</v>
      </c>
      <c r="I2695" s="8" t="s">
        <v>31</v>
      </c>
      <c r="J2695" s="8" t="s">
        <v>256</v>
      </c>
      <c r="K2695" s="10" t="s">
        <v>12960</v>
      </c>
      <c r="L2695" s="8" t="s">
        <v>58</v>
      </c>
      <c r="M2695" s="8" t="s">
        <v>35</v>
      </c>
      <c r="N2695" s="11">
        <v>45120.0</v>
      </c>
      <c r="O2695" s="11">
        <v>45131.0</v>
      </c>
      <c r="P2695" s="11">
        <v>45173.0</v>
      </c>
      <c r="Q2695" s="11">
        <v>45127.0</v>
      </c>
      <c r="R2695" s="11">
        <v>45173.0</v>
      </c>
      <c r="S2695" s="12"/>
      <c r="T2695" s="8"/>
      <c r="U2695" s="8" t="s">
        <v>59</v>
      </c>
      <c r="V2695" s="13" t="s">
        <v>500</v>
      </c>
      <c r="W2695" s="13" t="s">
        <v>12961</v>
      </c>
      <c r="X2695" s="12"/>
      <c r="Y2695" s="14"/>
      <c r="Z2695" s="14"/>
    </row>
    <row r="2696">
      <c r="A2696" s="8" t="s">
        <v>12962</v>
      </c>
      <c r="B2696" s="8" t="s">
        <v>12963</v>
      </c>
      <c r="C2696" s="8" t="s">
        <v>708</v>
      </c>
      <c r="D2696" s="8" t="s">
        <v>26</v>
      </c>
      <c r="E2696" s="8" t="s">
        <v>12964</v>
      </c>
      <c r="F2696" s="8"/>
      <c r="G2696" s="8" t="s">
        <v>12965</v>
      </c>
      <c r="H2696" s="8" t="s">
        <v>12966</v>
      </c>
      <c r="I2696" s="8" t="s">
        <v>31</v>
      </c>
      <c r="J2696" s="8" t="s">
        <v>77</v>
      </c>
      <c r="K2696" s="10" t="s">
        <v>12967</v>
      </c>
      <c r="L2696" s="8" t="s">
        <v>47</v>
      </c>
      <c r="M2696" s="8" t="s">
        <v>70</v>
      </c>
      <c r="N2696" s="11">
        <v>45121.0</v>
      </c>
      <c r="O2696" s="11">
        <v>45166.0</v>
      </c>
      <c r="P2696" s="11">
        <v>45531.0</v>
      </c>
      <c r="Q2696" s="11">
        <v>45189.0</v>
      </c>
      <c r="R2696" s="11">
        <v>45554.0</v>
      </c>
      <c r="S2696" s="12"/>
      <c r="T2696" s="8"/>
      <c r="U2696" s="8" t="s">
        <v>12968</v>
      </c>
      <c r="V2696" s="13" t="s">
        <v>38</v>
      </c>
      <c r="W2696" s="13" t="s">
        <v>12969</v>
      </c>
      <c r="X2696" s="12"/>
      <c r="Y2696" s="14"/>
      <c r="Z2696" s="14"/>
    </row>
    <row r="2697">
      <c r="A2697" s="8" t="s">
        <v>12970</v>
      </c>
      <c r="B2697" s="8" t="s">
        <v>12971</v>
      </c>
      <c r="C2697" s="8" t="s">
        <v>25</v>
      </c>
      <c r="D2697" s="8" t="s">
        <v>26</v>
      </c>
      <c r="E2697" s="8" t="s">
        <v>12972</v>
      </c>
      <c r="F2697" s="8">
        <v>5.5063271E7</v>
      </c>
      <c r="G2697" s="8" t="s">
        <v>54</v>
      </c>
      <c r="H2697" s="8" t="s">
        <v>430</v>
      </c>
      <c r="I2697" s="8" t="s">
        <v>31</v>
      </c>
      <c r="J2697" s="8" t="s">
        <v>292</v>
      </c>
      <c r="K2697" s="10" t="s">
        <v>12973</v>
      </c>
      <c r="L2697" s="8" t="s">
        <v>58</v>
      </c>
      <c r="M2697" s="8" t="s">
        <v>35</v>
      </c>
      <c r="N2697" s="11">
        <v>45121.0</v>
      </c>
      <c r="O2697" s="11">
        <v>45152.0</v>
      </c>
      <c r="P2697" s="11">
        <v>45194.0</v>
      </c>
      <c r="Q2697" s="11">
        <v>45150.0</v>
      </c>
      <c r="R2697" s="11">
        <v>45195.0</v>
      </c>
      <c r="S2697" s="12"/>
      <c r="T2697" s="8"/>
      <c r="U2697" s="8" t="s">
        <v>88</v>
      </c>
      <c r="V2697" s="13" t="s">
        <v>12974</v>
      </c>
      <c r="W2697" s="13" t="s">
        <v>12975</v>
      </c>
      <c r="X2697" s="12"/>
      <c r="Y2697" s="14"/>
      <c r="Z2697" s="14"/>
    </row>
    <row r="2698">
      <c r="A2698" s="8" t="s">
        <v>12976</v>
      </c>
      <c r="B2698" s="8" t="s">
        <v>12977</v>
      </c>
      <c r="C2698" s="8" t="s">
        <v>25</v>
      </c>
      <c r="D2698" s="8" t="s">
        <v>26</v>
      </c>
      <c r="E2698" s="8" t="s">
        <v>12978</v>
      </c>
      <c r="F2698" s="8">
        <v>5.378716626E9</v>
      </c>
      <c r="G2698" s="8" t="s">
        <v>31</v>
      </c>
      <c r="H2698" s="8" t="s">
        <v>86</v>
      </c>
      <c r="I2698" s="8" t="s">
        <v>399</v>
      </c>
      <c r="J2698" s="8" t="s">
        <v>2416</v>
      </c>
      <c r="K2698" s="10" t="s">
        <v>12979</v>
      </c>
      <c r="L2698" s="8" t="s">
        <v>34</v>
      </c>
      <c r="M2698" s="8" t="s">
        <v>35</v>
      </c>
      <c r="N2698" s="11">
        <v>45121.0</v>
      </c>
      <c r="O2698" s="11">
        <v>45135.0</v>
      </c>
      <c r="P2698" s="11">
        <v>45218.0</v>
      </c>
      <c r="Q2698" s="11">
        <v>45136.0</v>
      </c>
      <c r="R2698" s="11">
        <v>45218.0</v>
      </c>
      <c r="S2698" s="12"/>
      <c r="T2698" s="8" t="s">
        <v>205</v>
      </c>
      <c r="U2698" s="8" t="s">
        <v>12980</v>
      </c>
      <c r="V2698" s="13" t="s">
        <v>175</v>
      </c>
      <c r="W2698" s="13" t="s">
        <v>12981</v>
      </c>
      <c r="X2698" s="12"/>
      <c r="Y2698" s="14"/>
      <c r="Z2698" s="14"/>
    </row>
    <row r="2699">
      <c r="A2699" s="8" t="s">
        <v>12982</v>
      </c>
      <c r="B2699" s="8" t="s">
        <v>12983</v>
      </c>
      <c r="C2699" s="8" t="s">
        <v>25</v>
      </c>
      <c r="D2699" s="8" t="s">
        <v>26</v>
      </c>
      <c r="E2699" s="8" t="s">
        <v>12984</v>
      </c>
      <c r="F2699" s="8">
        <v>1.3808827372E10</v>
      </c>
      <c r="G2699" s="8" t="s">
        <v>8344</v>
      </c>
      <c r="H2699" s="8" t="s">
        <v>12985</v>
      </c>
      <c r="I2699" s="8" t="s">
        <v>31</v>
      </c>
      <c r="J2699" s="8" t="s">
        <v>256</v>
      </c>
      <c r="K2699" s="10" t="s">
        <v>12960</v>
      </c>
      <c r="L2699" s="8" t="s">
        <v>58</v>
      </c>
      <c r="M2699" s="8" t="s">
        <v>35</v>
      </c>
      <c r="N2699" s="11">
        <v>45121.0</v>
      </c>
      <c r="O2699" s="11">
        <v>45139.0</v>
      </c>
      <c r="P2699" s="11">
        <v>45181.0</v>
      </c>
      <c r="Q2699" s="11">
        <v>45141.0</v>
      </c>
      <c r="R2699" s="11">
        <v>45183.0</v>
      </c>
      <c r="S2699" s="12"/>
      <c r="T2699" s="8"/>
      <c r="U2699" s="8" t="s">
        <v>59</v>
      </c>
      <c r="V2699" s="13" t="s">
        <v>12986</v>
      </c>
      <c r="W2699" s="13" t="s">
        <v>12987</v>
      </c>
      <c r="X2699" s="12"/>
      <c r="Y2699" s="14"/>
      <c r="Z2699" s="14"/>
    </row>
    <row r="2700">
      <c r="A2700" s="8" t="s">
        <v>12988</v>
      </c>
      <c r="B2700" s="8" t="s">
        <v>12989</v>
      </c>
      <c r="C2700" s="8" t="s">
        <v>708</v>
      </c>
      <c r="D2700" s="8" t="s">
        <v>26</v>
      </c>
      <c r="E2700" s="8" t="s">
        <v>12990</v>
      </c>
      <c r="F2700" s="8">
        <v>2.5543058E7</v>
      </c>
      <c r="G2700" s="8" t="s">
        <v>54</v>
      </c>
      <c r="H2700" s="8" t="s">
        <v>55</v>
      </c>
      <c r="I2700" s="8" t="s">
        <v>31</v>
      </c>
      <c r="J2700" s="8" t="s">
        <v>256</v>
      </c>
      <c r="K2700" s="10" t="s">
        <v>12991</v>
      </c>
      <c r="L2700" s="8" t="s">
        <v>47</v>
      </c>
      <c r="M2700" s="8" t="s">
        <v>70</v>
      </c>
      <c r="N2700" s="11">
        <v>45121.0</v>
      </c>
      <c r="O2700" s="11">
        <v>45139.0</v>
      </c>
      <c r="P2700" s="11">
        <v>45504.0</v>
      </c>
      <c r="Q2700" s="11">
        <v>45161.0</v>
      </c>
      <c r="R2700" s="11">
        <v>45526.0</v>
      </c>
      <c r="S2700" s="12"/>
      <c r="T2700" s="8"/>
      <c r="U2700" s="8" t="s">
        <v>1295</v>
      </c>
      <c r="V2700" s="13" t="s">
        <v>60</v>
      </c>
      <c r="W2700" s="13" t="s">
        <v>12992</v>
      </c>
      <c r="X2700" s="12"/>
      <c r="Y2700" s="14"/>
      <c r="Z2700" s="14"/>
    </row>
    <row r="2701">
      <c r="A2701" s="8" t="s">
        <v>12993</v>
      </c>
      <c r="B2701" s="8" t="s">
        <v>12994</v>
      </c>
      <c r="C2701" s="8" t="s">
        <v>179</v>
      </c>
      <c r="D2701" s="8" t="s">
        <v>26</v>
      </c>
      <c r="E2701" s="8" t="s">
        <v>12995</v>
      </c>
      <c r="F2701" s="8">
        <v>7.95909318E8</v>
      </c>
      <c r="G2701" s="8" t="s">
        <v>254</v>
      </c>
      <c r="H2701" s="8" t="s">
        <v>1007</v>
      </c>
      <c r="I2701" s="8" t="s">
        <v>31</v>
      </c>
      <c r="J2701" s="8" t="s">
        <v>66</v>
      </c>
      <c r="K2701" s="10" t="s">
        <v>11442</v>
      </c>
      <c r="L2701" s="8" t="s">
        <v>47</v>
      </c>
      <c r="M2701" s="8" t="s">
        <v>70</v>
      </c>
      <c r="N2701" s="11">
        <v>45121.0</v>
      </c>
      <c r="O2701" s="11">
        <v>45170.0</v>
      </c>
      <c r="P2701" s="11">
        <v>45536.0</v>
      </c>
      <c r="Q2701" s="11"/>
      <c r="R2701" s="11"/>
      <c r="S2701" s="12"/>
      <c r="T2701" s="8"/>
      <c r="U2701" s="8" t="s">
        <v>11443</v>
      </c>
      <c r="V2701" s="13" t="s">
        <v>1249</v>
      </c>
      <c r="W2701" s="13" t="s">
        <v>12996</v>
      </c>
      <c r="X2701" s="12"/>
      <c r="Y2701" s="14"/>
      <c r="Z2701" s="14"/>
    </row>
    <row r="2702">
      <c r="A2702" s="8" t="s">
        <v>12997</v>
      </c>
      <c r="B2702" s="8" t="s">
        <v>12998</v>
      </c>
      <c r="C2702" s="8" t="s">
        <v>25</v>
      </c>
      <c r="D2702" s="8" t="s">
        <v>26</v>
      </c>
      <c r="E2702" s="8" t="s">
        <v>12999</v>
      </c>
      <c r="F2702" s="8"/>
      <c r="G2702" s="8" t="s">
        <v>31</v>
      </c>
      <c r="H2702" s="8" t="s">
        <v>32</v>
      </c>
      <c r="I2702" s="8" t="s">
        <v>127</v>
      </c>
      <c r="J2702" s="8" t="s">
        <v>128</v>
      </c>
      <c r="K2702" s="10" t="s">
        <v>13000</v>
      </c>
      <c r="L2702" s="8" t="s">
        <v>34</v>
      </c>
      <c r="M2702" s="8" t="s">
        <v>35</v>
      </c>
      <c r="N2702" s="11">
        <v>45121.0</v>
      </c>
      <c r="O2702" s="11">
        <v>45201.0</v>
      </c>
      <c r="P2702" s="11">
        <v>45243.0</v>
      </c>
      <c r="Q2702" s="11">
        <v>45244.0</v>
      </c>
      <c r="R2702" s="11">
        <v>45286.0</v>
      </c>
      <c r="S2702" s="12"/>
      <c r="T2702" s="8" t="s">
        <v>205</v>
      </c>
      <c r="U2702" s="8" t="s">
        <v>13001</v>
      </c>
      <c r="V2702" s="13" t="s">
        <v>38</v>
      </c>
      <c r="W2702" s="13" t="s">
        <v>13002</v>
      </c>
      <c r="X2702" s="12"/>
      <c r="Y2702" s="14"/>
      <c r="Z2702" s="14"/>
    </row>
    <row r="2703">
      <c r="A2703" s="8" t="s">
        <v>13003</v>
      </c>
      <c r="B2703" s="8" t="s">
        <v>13004</v>
      </c>
      <c r="C2703" s="8" t="s">
        <v>179</v>
      </c>
      <c r="D2703" s="8" t="s">
        <v>26</v>
      </c>
      <c r="E2703" s="8" t="s">
        <v>13005</v>
      </c>
      <c r="F2703" s="8">
        <v>6.716464E7</v>
      </c>
      <c r="G2703" s="8" t="s">
        <v>3929</v>
      </c>
      <c r="H2703" s="8" t="s">
        <v>13006</v>
      </c>
      <c r="I2703" s="8" t="s">
        <v>31</v>
      </c>
      <c r="J2703" s="8" t="s">
        <v>43</v>
      </c>
      <c r="K2703" s="10" t="s">
        <v>10232</v>
      </c>
      <c r="L2703" s="8" t="s">
        <v>58</v>
      </c>
      <c r="M2703" s="8" t="s">
        <v>35</v>
      </c>
      <c r="N2703" s="11">
        <v>45121.0</v>
      </c>
      <c r="O2703" s="11">
        <v>45131.0</v>
      </c>
      <c r="P2703" s="11">
        <v>45177.0</v>
      </c>
      <c r="Q2703" s="11"/>
      <c r="R2703" s="11"/>
      <c r="S2703" s="12"/>
      <c r="T2703" s="8"/>
      <c r="U2703" s="8" t="s">
        <v>130</v>
      </c>
      <c r="V2703" s="13" t="s">
        <v>13007</v>
      </c>
      <c r="W2703" s="13" t="s">
        <v>13008</v>
      </c>
      <c r="X2703" s="12"/>
      <c r="Y2703" s="14"/>
      <c r="Z2703" s="14"/>
    </row>
    <row r="2704">
      <c r="A2704" s="8" t="s">
        <v>13009</v>
      </c>
      <c r="B2704" s="8" t="s">
        <v>13010</v>
      </c>
      <c r="C2704" s="8" t="s">
        <v>25</v>
      </c>
      <c r="D2704" s="8" t="s">
        <v>26</v>
      </c>
      <c r="E2704" s="8" t="s">
        <v>13011</v>
      </c>
      <c r="F2704" s="8">
        <v>8.46804443E9</v>
      </c>
      <c r="G2704" s="8" t="s">
        <v>44</v>
      </c>
      <c r="H2704" s="8" t="s">
        <v>3093</v>
      </c>
      <c r="I2704" s="8" t="s">
        <v>31</v>
      </c>
      <c r="J2704" s="8" t="s">
        <v>292</v>
      </c>
      <c r="K2704" s="10" t="s">
        <v>12835</v>
      </c>
      <c r="L2704" s="8" t="s">
        <v>58</v>
      </c>
      <c r="M2704" s="8" t="s">
        <v>35</v>
      </c>
      <c r="N2704" s="11">
        <v>45121.0</v>
      </c>
      <c r="O2704" s="11">
        <v>45152.0</v>
      </c>
      <c r="P2704" s="11">
        <v>45194.0</v>
      </c>
      <c r="Q2704" s="11">
        <v>45156.0</v>
      </c>
      <c r="R2704" s="11">
        <v>45198.0</v>
      </c>
      <c r="S2704" s="12"/>
      <c r="T2704" s="8"/>
      <c r="U2704" s="8" t="s">
        <v>88</v>
      </c>
      <c r="V2704" s="13" t="s">
        <v>13012</v>
      </c>
      <c r="W2704" s="13" t="s">
        <v>13013</v>
      </c>
      <c r="X2704" s="12"/>
      <c r="Y2704" s="14"/>
      <c r="Z2704" s="14"/>
    </row>
    <row r="2705">
      <c r="A2705" s="8" t="s">
        <v>13014</v>
      </c>
      <c r="B2705" s="8" t="s">
        <v>13015</v>
      </c>
      <c r="C2705" s="8" t="s">
        <v>64</v>
      </c>
      <c r="D2705" s="8" t="s">
        <v>26</v>
      </c>
      <c r="E2705" s="8" t="s">
        <v>13016</v>
      </c>
      <c r="F2705" s="8">
        <v>5.307358603E9</v>
      </c>
      <c r="G2705" s="8" t="s">
        <v>31</v>
      </c>
      <c r="H2705" s="8" t="s">
        <v>66</v>
      </c>
      <c r="I2705" s="8" t="s">
        <v>284</v>
      </c>
      <c r="J2705" s="8" t="s">
        <v>793</v>
      </c>
      <c r="K2705" s="10" t="s">
        <v>13017</v>
      </c>
      <c r="L2705" s="8" t="s">
        <v>47</v>
      </c>
      <c r="M2705" s="8" t="s">
        <v>35</v>
      </c>
      <c r="N2705" s="11">
        <v>45121.0</v>
      </c>
      <c r="O2705" s="11">
        <v>45122.0</v>
      </c>
      <c r="P2705" s="11">
        <v>45185.0</v>
      </c>
      <c r="Q2705" s="11">
        <v>45137.0</v>
      </c>
      <c r="R2705" s="11">
        <v>45198.0</v>
      </c>
      <c r="S2705" s="12"/>
      <c r="T2705" s="8"/>
      <c r="U2705" s="8" t="s">
        <v>4091</v>
      </c>
      <c r="V2705" s="13" t="s">
        <v>66</v>
      </c>
      <c r="W2705" s="13" t="s">
        <v>13018</v>
      </c>
      <c r="X2705" s="12"/>
      <c r="Y2705" s="14"/>
      <c r="Z2705" s="14"/>
    </row>
    <row r="2706">
      <c r="A2706" s="8" t="s">
        <v>13019</v>
      </c>
      <c r="B2706" s="8" t="s">
        <v>13020</v>
      </c>
      <c r="C2706" s="8" t="s">
        <v>179</v>
      </c>
      <c r="D2706" s="8" t="s">
        <v>26</v>
      </c>
      <c r="E2706" s="8" t="s">
        <v>13021</v>
      </c>
      <c r="F2706" s="8">
        <v>5.49295131E8</v>
      </c>
      <c r="G2706" s="8" t="s">
        <v>254</v>
      </c>
      <c r="H2706" s="8" t="s">
        <v>3087</v>
      </c>
      <c r="I2706" s="8" t="s">
        <v>31</v>
      </c>
      <c r="J2706" s="8" t="s">
        <v>56</v>
      </c>
      <c r="K2706" s="10" t="s">
        <v>11979</v>
      </c>
      <c r="L2706" s="8" t="s">
        <v>58</v>
      </c>
      <c r="M2706" s="8" t="s">
        <v>35</v>
      </c>
      <c r="N2706" s="11">
        <v>45121.0</v>
      </c>
      <c r="O2706" s="11">
        <v>45208.0</v>
      </c>
      <c r="P2706" s="11">
        <v>45250.0</v>
      </c>
      <c r="Q2706" s="11"/>
      <c r="R2706" s="11"/>
      <c r="S2706" s="12"/>
      <c r="T2706" s="8"/>
      <c r="U2706" s="8" t="s">
        <v>161</v>
      </c>
      <c r="V2706" s="13" t="s">
        <v>3088</v>
      </c>
      <c r="W2706" s="13" t="s">
        <v>13022</v>
      </c>
      <c r="X2706" s="12"/>
      <c r="Y2706" s="14"/>
      <c r="Z2706" s="14"/>
    </row>
    <row r="2707">
      <c r="A2707" s="8" t="s">
        <v>13023</v>
      </c>
      <c r="B2707" s="8" t="s">
        <v>13024</v>
      </c>
      <c r="C2707" s="8" t="s">
        <v>25</v>
      </c>
      <c r="D2707" s="8" t="s">
        <v>26</v>
      </c>
      <c r="E2707" s="8" t="s">
        <v>13025</v>
      </c>
      <c r="F2707" s="8"/>
      <c r="G2707" s="8" t="s">
        <v>31</v>
      </c>
      <c r="H2707" s="8" t="s">
        <v>32</v>
      </c>
      <c r="I2707" s="8" t="s">
        <v>44</v>
      </c>
      <c r="J2707" s="8" t="s">
        <v>1993</v>
      </c>
      <c r="K2707" s="10" t="s">
        <v>13026</v>
      </c>
      <c r="L2707" s="8" t="s">
        <v>58</v>
      </c>
      <c r="M2707" s="8" t="s">
        <v>35</v>
      </c>
      <c r="N2707" s="11">
        <v>45121.0</v>
      </c>
      <c r="O2707" s="11">
        <v>45171.0</v>
      </c>
      <c r="P2707" s="11">
        <v>45213.0</v>
      </c>
      <c r="Q2707" s="11">
        <v>45172.0</v>
      </c>
      <c r="R2707" s="11">
        <v>45213.0</v>
      </c>
      <c r="S2707" s="12"/>
      <c r="T2707" s="8"/>
      <c r="U2707" s="8" t="s">
        <v>59</v>
      </c>
      <c r="V2707" s="13" t="s">
        <v>38</v>
      </c>
      <c r="W2707" s="13" t="s">
        <v>13027</v>
      </c>
      <c r="X2707" s="12"/>
      <c r="Y2707" s="14"/>
      <c r="Z2707" s="14"/>
    </row>
    <row r="2708">
      <c r="A2708" s="8" t="s">
        <v>13028</v>
      </c>
      <c r="B2708" s="8" t="s">
        <v>13029</v>
      </c>
      <c r="C2708" s="8" t="s">
        <v>25</v>
      </c>
      <c r="D2708" s="8" t="s">
        <v>26</v>
      </c>
      <c r="E2708" s="8" t="s">
        <v>13030</v>
      </c>
      <c r="F2708" s="8">
        <v>5.523149979E9</v>
      </c>
      <c r="G2708" s="8" t="s">
        <v>31</v>
      </c>
      <c r="H2708" s="8" t="s">
        <v>111</v>
      </c>
      <c r="I2708" s="8" t="s">
        <v>284</v>
      </c>
      <c r="J2708" s="8" t="s">
        <v>1287</v>
      </c>
      <c r="K2708" s="10" t="s">
        <v>13031</v>
      </c>
      <c r="L2708" s="8" t="s">
        <v>47</v>
      </c>
      <c r="M2708" s="8" t="s">
        <v>35</v>
      </c>
      <c r="N2708" s="11">
        <v>45121.0</v>
      </c>
      <c r="O2708" s="11">
        <v>45132.0</v>
      </c>
      <c r="P2708" s="11">
        <v>45211.0</v>
      </c>
      <c r="Q2708" s="11">
        <v>45140.0</v>
      </c>
      <c r="R2708" s="11">
        <v>45204.0</v>
      </c>
      <c r="S2708" s="12"/>
      <c r="T2708" s="8"/>
      <c r="U2708" s="8" t="s">
        <v>13032</v>
      </c>
      <c r="V2708" s="13" t="s">
        <v>545</v>
      </c>
      <c r="W2708" s="13" t="s">
        <v>13033</v>
      </c>
      <c r="X2708" s="12"/>
      <c r="Y2708" s="14"/>
      <c r="Z2708" s="14"/>
    </row>
    <row r="2709">
      <c r="A2709" s="8" t="s">
        <v>13034</v>
      </c>
      <c r="B2709" s="8" t="s">
        <v>13035</v>
      </c>
      <c r="C2709" s="8" t="s">
        <v>179</v>
      </c>
      <c r="D2709" s="8" t="s">
        <v>26</v>
      </c>
      <c r="E2709" s="8" t="s">
        <v>13036</v>
      </c>
      <c r="F2709" s="8"/>
      <c r="G2709" s="8" t="s">
        <v>54</v>
      </c>
      <c r="H2709" s="8" t="s">
        <v>55</v>
      </c>
      <c r="I2709" s="8" t="s">
        <v>31</v>
      </c>
      <c r="J2709" s="8" t="s">
        <v>111</v>
      </c>
      <c r="K2709" s="10" t="s">
        <v>323</v>
      </c>
      <c r="L2709" s="8" t="s">
        <v>58</v>
      </c>
      <c r="M2709" s="8" t="s">
        <v>35</v>
      </c>
      <c r="N2709" s="11">
        <v>45121.0</v>
      </c>
      <c r="O2709" s="11">
        <v>45129.0</v>
      </c>
      <c r="P2709" s="11">
        <v>45171.0</v>
      </c>
      <c r="Q2709" s="11"/>
      <c r="R2709" s="11"/>
      <c r="S2709" s="12"/>
      <c r="T2709" s="8"/>
      <c r="U2709" s="8" t="s">
        <v>59</v>
      </c>
      <c r="V2709" s="13" t="s">
        <v>38</v>
      </c>
      <c r="W2709" s="13" t="s">
        <v>13037</v>
      </c>
      <c r="X2709" s="12"/>
      <c r="Y2709" s="14"/>
      <c r="Z2709" s="14"/>
    </row>
    <row r="2710">
      <c r="A2710" s="8" t="s">
        <v>13038</v>
      </c>
      <c r="B2710" s="8" t="s">
        <v>13039</v>
      </c>
      <c r="C2710" s="8" t="s">
        <v>179</v>
      </c>
      <c r="D2710" s="8" t="s">
        <v>26</v>
      </c>
      <c r="E2710" s="8" t="s">
        <v>13040</v>
      </c>
      <c r="F2710" s="8" t="s">
        <v>253</v>
      </c>
      <c r="G2710" s="8" t="s">
        <v>254</v>
      </c>
      <c r="H2710" s="8" t="s">
        <v>422</v>
      </c>
      <c r="I2710" s="8" t="s">
        <v>31</v>
      </c>
      <c r="J2710" s="8" t="s">
        <v>256</v>
      </c>
      <c r="K2710" s="10" t="s">
        <v>11531</v>
      </c>
      <c r="L2710" s="8" t="s">
        <v>47</v>
      </c>
      <c r="M2710" s="8" t="s">
        <v>70</v>
      </c>
      <c r="N2710" s="11">
        <v>45122.0</v>
      </c>
      <c r="O2710" s="11">
        <v>45143.0</v>
      </c>
      <c r="P2710" s="11">
        <v>45508.0</v>
      </c>
      <c r="Q2710" s="11"/>
      <c r="R2710" s="11"/>
      <c r="S2710" s="12"/>
      <c r="T2710" s="8"/>
      <c r="U2710" s="8" t="s">
        <v>246</v>
      </c>
      <c r="V2710" s="13" t="s">
        <v>425</v>
      </c>
      <c r="W2710" s="13" t="s">
        <v>13041</v>
      </c>
      <c r="X2710" s="12"/>
      <c r="Y2710" s="14"/>
      <c r="Z2710" s="14"/>
    </row>
    <row r="2711">
      <c r="A2711" s="8" t="s">
        <v>13042</v>
      </c>
      <c r="B2711" s="8" t="s">
        <v>13043</v>
      </c>
      <c r="C2711" s="8" t="s">
        <v>179</v>
      </c>
      <c r="D2711" s="8" t="s">
        <v>26</v>
      </c>
      <c r="E2711" s="8" t="s">
        <v>13044</v>
      </c>
      <c r="F2711" s="8">
        <v>5.41019855E8</v>
      </c>
      <c r="G2711" s="8" t="s">
        <v>254</v>
      </c>
      <c r="H2711" s="8" t="s">
        <v>422</v>
      </c>
      <c r="I2711" s="8" t="s">
        <v>31</v>
      </c>
      <c r="J2711" s="8" t="s">
        <v>542</v>
      </c>
      <c r="K2711" s="10" t="s">
        <v>5473</v>
      </c>
      <c r="L2711" s="8" t="s">
        <v>47</v>
      </c>
      <c r="M2711" s="8" t="s">
        <v>70</v>
      </c>
      <c r="N2711" s="11">
        <v>45122.0</v>
      </c>
      <c r="O2711" s="11">
        <v>45153.0</v>
      </c>
      <c r="P2711" s="11">
        <v>45513.0</v>
      </c>
      <c r="Q2711" s="11"/>
      <c r="R2711" s="11"/>
      <c r="S2711" s="12"/>
      <c r="T2711" s="8" t="s">
        <v>121</v>
      </c>
      <c r="U2711" s="8" t="s">
        <v>5474</v>
      </c>
      <c r="V2711" s="13" t="s">
        <v>425</v>
      </c>
      <c r="W2711" s="13" t="s">
        <v>13045</v>
      </c>
      <c r="X2711" s="12"/>
      <c r="Y2711" s="14"/>
      <c r="Z2711" s="14"/>
    </row>
    <row r="2712">
      <c r="A2712" s="8" t="s">
        <v>13046</v>
      </c>
      <c r="B2712" s="8" t="s">
        <v>13047</v>
      </c>
      <c r="C2712" s="8" t="s">
        <v>25</v>
      </c>
      <c r="D2712" s="8" t="s">
        <v>26</v>
      </c>
      <c r="E2712" s="8" t="s">
        <v>13048</v>
      </c>
      <c r="F2712" s="8">
        <v>1.202293211E9</v>
      </c>
      <c r="G2712" s="8" t="s">
        <v>31</v>
      </c>
      <c r="H2712" s="8" t="s">
        <v>256</v>
      </c>
      <c r="I2712" s="8" t="s">
        <v>284</v>
      </c>
      <c r="J2712" s="8" t="s">
        <v>1764</v>
      </c>
      <c r="K2712" s="10" t="s">
        <v>13049</v>
      </c>
      <c r="L2712" s="8" t="s">
        <v>34</v>
      </c>
      <c r="M2712" s="8" t="s">
        <v>35</v>
      </c>
      <c r="N2712" s="11">
        <v>45122.0</v>
      </c>
      <c r="O2712" s="11">
        <v>45214.0</v>
      </c>
      <c r="P2712" s="11">
        <v>45297.0</v>
      </c>
      <c r="Q2712" s="11">
        <v>45212.0</v>
      </c>
      <c r="R2712" s="11">
        <v>45306.0</v>
      </c>
      <c r="S2712" s="12"/>
      <c r="T2712" s="8" t="s">
        <v>330</v>
      </c>
      <c r="U2712" s="8" t="s">
        <v>13050</v>
      </c>
      <c r="V2712" s="13" t="s">
        <v>256</v>
      </c>
      <c r="W2712" s="13" t="s">
        <v>13051</v>
      </c>
      <c r="X2712" s="12"/>
      <c r="Y2712" s="14"/>
      <c r="Z2712" s="14"/>
    </row>
    <row r="2713">
      <c r="A2713" s="8" t="s">
        <v>13052</v>
      </c>
      <c r="B2713" s="8" t="s">
        <v>13053</v>
      </c>
      <c r="C2713" s="8" t="s">
        <v>25</v>
      </c>
      <c r="D2713" s="8" t="s">
        <v>26</v>
      </c>
      <c r="E2713" s="8" t="s">
        <v>13054</v>
      </c>
      <c r="F2713" s="8">
        <v>5.447267248E9</v>
      </c>
      <c r="G2713" s="8" t="s">
        <v>31</v>
      </c>
      <c r="H2713" s="8" t="s">
        <v>542</v>
      </c>
      <c r="I2713" s="8" t="s">
        <v>127</v>
      </c>
      <c r="J2713" s="8" t="s">
        <v>128</v>
      </c>
      <c r="K2713" s="10" t="s">
        <v>11068</v>
      </c>
      <c r="L2713" s="8" t="s">
        <v>58</v>
      </c>
      <c r="M2713" s="8" t="s">
        <v>35</v>
      </c>
      <c r="N2713" s="11">
        <v>45122.0</v>
      </c>
      <c r="O2713" s="11">
        <v>45124.0</v>
      </c>
      <c r="P2713" s="11">
        <v>45166.0</v>
      </c>
      <c r="Q2713" s="11">
        <v>45124.0</v>
      </c>
      <c r="R2713" s="11">
        <v>45166.0</v>
      </c>
      <c r="S2713" s="12"/>
      <c r="T2713" s="8"/>
      <c r="U2713" s="8" t="s">
        <v>161</v>
      </c>
      <c r="V2713" s="13" t="s">
        <v>111</v>
      </c>
      <c r="W2713" s="13" t="s">
        <v>13055</v>
      </c>
      <c r="X2713" s="12"/>
      <c r="Y2713" s="14"/>
      <c r="Z2713" s="14"/>
    </row>
    <row r="2714">
      <c r="A2714" s="8" t="s">
        <v>13056</v>
      </c>
      <c r="B2714" s="8" t="s">
        <v>13057</v>
      </c>
      <c r="C2714" s="8" t="s">
        <v>25</v>
      </c>
      <c r="D2714" s="8" t="s">
        <v>26</v>
      </c>
      <c r="E2714" s="8" t="s">
        <v>13058</v>
      </c>
      <c r="F2714" s="8">
        <v>5.319358844E9</v>
      </c>
      <c r="G2714" s="8" t="s">
        <v>31</v>
      </c>
      <c r="H2714" s="8" t="s">
        <v>111</v>
      </c>
      <c r="I2714" s="8" t="s">
        <v>399</v>
      </c>
      <c r="J2714" s="8" t="s">
        <v>400</v>
      </c>
      <c r="K2714" s="10" t="s">
        <v>13059</v>
      </c>
      <c r="L2714" s="8" t="s">
        <v>58</v>
      </c>
      <c r="M2714" s="8" t="s">
        <v>35</v>
      </c>
      <c r="N2714" s="11">
        <v>45122.0</v>
      </c>
      <c r="O2714" s="11">
        <v>45144.0</v>
      </c>
      <c r="P2714" s="11">
        <v>45186.0</v>
      </c>
      <c r="Q2714" s="11">
        <v>45200.0</v>
      </c>
      <c r="R2714" s="11">
        <v>45242.0</v>
      </c>
      <c r="S2714" s="12"/>
      <c r="T2714" s="8"/>
      <c r="U2714" s="8" t="s">
        <v>185</v>
      </c>
      <c r="V2714" s="13" t="s">
        <v>111</v>
      </c>
      <c r="W2714" s="13" t="s">
        <v>13060</v>
      </c>
      <c r="X2714" s="12"/>
      <c r="Y2714" s="14"/>
      <c r="Z2714" s="14"/>
    </row>
    <row r="2715">
      <c r="A2715" s="8" t="s">
        <v>13061</v>
      </c>
      <c r="B2715" s="8" t="s">
        <v>13062</v>
      </c>
      <c r="C2715" s="8" t="s">
        <v>708</v>
      </c>
      <c r="D2715" s="8" t="s">
        <v>26</v>
      </c>
      <c r="E2715" s="8" t="s">
        <v>13063</v>
      </c>
      <c r="F2715" s="8">
        <v>6.98520907E8</v>
      </c>
      <c r="G2715" s="8" t="s">
        <v>254</v>
      </c>
      <c r="H2715" s="8" t="s">
        <v>422</v>
      </c>
      <c r="I2715" s="8" t="s">
        <v>31</v>
      </c>
      <c r="J2715" s="8" t="s">
        <v>542</v>
      </c>
      <c r="K2715" s="10" t="s">
        <v>1315</v>
      </c>
      <c r="L2715" s="8" t="s">
        <v>47</v>
      </c>
      <c r="M2715" s="8" t="s">
        <v>70</v>
      </c>
      <c r="N2715" s="11">
        <v>45122.0</v>
      </c>
      <c r="O2715" s="11">
        <v>45159.0</v>
      </c>
      <c r="P2715" s="11">
        <v>45516.0</v>
      </c>
      <c r="Q2715" s="11">
        <v>45153.0</v>
      </c>
      <c r="R2715" s="11">
        <v>45523.0</v>
      </c>
      <c r="S2715" s="12"/>
      <c r="T2715" s="8" t="s">
        <v>121</v>
      </c>
      <c r="U2715" s="8" t="s">
        <v>1316</v>
      </c>
      <c r="V2715" s="13" t="s">
        <v>38</v>
      </c>
      <c r="W2715" s="13" t="s">
        <v>13064</v>
      </c>
      <c r="X2715" s="12"/>
      <c r="Y2715" s="14"/>
      <c r="Z2715" s="14"/>
    </row>
    <row r="2716">
      <c r="A2716" s="8" t="s">
        <v>13065</v>
      </c>
      <c r="B2716" s="8" t="s">
        <v>13066</v>
      </c>
      <c r="C2716" s="8" t="s">
        <v>25</v>
      </c>
      <c r="D2716" s="8" t="s">
        <v>26</v>
      </c>
      <c r="E2716" s="8" t="s">
        <v>13067</v>
      </c>
      <c r="F2716" s="8"/>
      <c r="G2716" s="8" t="s">
        <v>54</v>
      </c>
      <c r="H2716" s="8" t="s">
        <v>377</v>
      </c>
      <c r="I2716" s="8" t="s">
        <v>31</v>
      </c>
      <c r="J2716" s="8" t="s">
        <v>66</v>
      </c>
      <c r="K2716" s="10" t="s">
        <v>13068</v>
      </c>
      <c r="L2716" s="8" t="s">
        <v>34</v>
      </c>
      <c r="M2716" s="8" t="s">
        <v>35</v>
      </c>
      <c r="N2716" s="11">
        <v>45122.0</v>
      </c>
      <c r="O2716" s="11">
        <v>45214.0</v>
      </c>
      <c r="P2716" s="11">
        <v>45297.0</v>
      </c>
      <c r="Q2716" s="11">
        <v>45229.0</v>
      </c>
      <c r="R2716" s="11">
        <v>45312.0</v>
      </c>
      <c r="S2716" s="12"/>
      <c r="T2716" s="8" t="s">
        <v>205</v>
      </c>
      <c r="U2716" s="8" t="s">
        <v>13069</v>
      </c>
      <c r="V2716" s="13" t="s">
        <v>38</v>
      </c>
      <c r="W2716" s="13" t="s">
        <v>13070</v>
      </c>
      <c r="X2716" s="12"/>
      <c r="Y2716" s="14"/>
      <c r="Z2716" s="14"/>
    </row>
    <row r="2717">
      <c r="A2717" s="8" t="s">
        <v>13071</v>
      </c>
      <c r="B2717" s="8" t="s">
        <v>13072</v>
      </c>
      <c r="C2717" s="8" t="s">
        <v>64</v>
      </c>
      <c r="D2717" s="8" t="s">
        <v>26</v>
      </c>
      <c r="E2717" s="8" t="s">
        <v>13073</v>
      </c>
      <c r="F2717" s="8"/>
      <c r="G2717" s="8" t="s">
        <v>44</v>
      </c>
      <c r="H2717" s="8" t="s">
        <v>6642</v>
      </c>
      <c r="I2717" s="8" t="s">
        <v>31</v>
      </c>
      <c r="J2717" s="8" t="s">
        <v>438</v>
      </c>
      <c r="K2717" s="10" t="s">
        <v>10418</v>
      </c>
      <c r="L2717" s="8" t="s">
        <v>58</v>
      </c>
      <c r="M2717" s="8" t="s">
        <v>35</v>
      </c>
      <c r="N2717" s="11">
        <v>45122.0</v>
      </c>
      <c r="O2717" s="11">
        <v>45152.0</v>
      </c>
      <c r="P2717" s="11">
        <v>45194.0</v>
      </c>
      <c r="Q2717" s="11">
        <v>45153.0</v>
      </c>
      <c r="R2717" s="11">
        <v>45194.0</v>
      </c>
      <c r="S2717" s="12"/>
      <c r="T2717" s="8"/>
      <c r="U2717" s="8" t="s">
        <v>1038</v>
      </c>
      <c r="V2717" s="13" t="s">
        <v>38</v>
      </c>
      <c r="W2717" s="13" t="s">
        <v>13074</v>
      </c>
      <c r="X2717" s="12"/>
      <c r="Y2717" s="14"/>
      <c r="Z2717" s="14"/>
    </row>
    <row r="2718">
      <c r="A2718" s="8" t="s">
        <v>13075</v>
      </c>
      <c r="B2718" s="8" t="s">
        <v>13076</v>
      </c>
      <c r="C2718" s="8" t="s">
        <v>25</v>
      </c>
      <c r="D2718" s="8" t="s">
        <v>26</v>
      </c>
      <c r="E2718" s="8" t="s">
        <v>13077</v>
      </c>
      <c r="F2718" s="8">
        <v>5.523010527E9</v>
      </c>
      <c r="G2718" s="8" t="s">
        <v>31</v>
      </c>
      <c r="H2718" s="8" t="s">
        <v>542</v>
      </c>
      <c r="I2718" s="8" t="s">
        <v>230</v>
      </c>
      <c r="J2718" s="8" t="s">
        <v>231</v>
      </c>
      <c r="K2718" s="10" t="s">
        <v>7254</v>
      </c>
      <c r="L2718" s="8" t="s">
        <v>58</v>
      </c>
      <c r="M2718" s="8" t="s">
        <v>35</v>
      </c>
      <c r="N2718" s="11">
        <v>45123.0</v>
      </c>
      <c r="O2718" s="11">
        <v>45136.0</v>
      </c>
      <c r="P2718" s="11">
        <v>45178.0</v>
      </c>
      <c r="Q2718" s="11">
        <v>45124.0</v>
      </c>
      <c r="R2718" s="11">
        <v>45178.0</v>
      </c>
      <c r="S2718" s="12"/>
      <c r="T2718" s="8"/>
      <c r="U2718" s="8" t="s">
        <v>59</v>
      </c>
      <c r="V2718" s="13" t="s">
        <v>545</v>
      </c>
      <c r="W2718" s="13" t="s">
        <v>13078</v>
      </c>
      <c r="X2718" s="12"/>
      <c r="Y2718" s="14"/>
      <c r="Z2718" s="14"/>
    </row>
    <row r="2719">
      <c r="A2719" s="8" t="s">
        <v>13079</v>
      </c>
      <c r="B2719" s="8" t="s">
        <v>13080</v>
      </c>
      <c r="C2719" s="8" t="s">
        <v>25</v>
      </c>
      <c r="D2719" s="8" t="s">
        <v>26</v>
      </c>
      <c r="E2719" s="8" t="s">
        <v>13081</v>
      </c>
      <c r="F2719" s="8"/>
      <c r="G2719" s="8" t="s">
        <v>31</v>
      </c>
      <c r="H2719" s="8" t="s">
        <v>111</v>
      </c>
      <c r="I2719" s="8" t="s">
        <v>54</v>
      </c>
      <c r="J2719" s="8" t="s">
        <v>595</v>
      </c>
      <c r="K2719" s="10" t="s">
        <v>6068</v>
      </c>
      <c r="L2719" s="8" t="s">
        <v>58</v>
      </c>
      <c r="M2719" s="8" t="s">
        <v>35</v>
      </c>
      <c r="N2719" s="11">
        <v>45123.0</v>
      </c>
      <c r="O2719" s="11">
        <v>45139.0</v>
      </c>
      <c r="P2719" s="11">
        <v>45184.0</v>
      </c>
      <c r="Q2719" s="11">
        <v>45139.0</v>
      </c>
      <c r="R2719" s="11">
        <v>45184.0</v>
      </c>
      <c r="S2719" s="12"/>
      <c r="T2719" s="8"/>
      <c r="U2719" s="8" t="s">
        <v>59</v>
      </c>
      <c r="V2719" s="13" t="s">
        <v>38</v>
      </c>
      <c r="W2719" s="13" t="s">
        <v>13082</v>
      </c>
      <c r="X2719" s="12"/>
      <c r="Y2719" s="14"/>
      <c r="Z2719" s="14"/>
    </row>
    <row r="2720">
      <c r="A2720" s="8" t="s">
        <v>13083</v>
      </c>
      <c r="B2720" s="8" t="s">
        <v>13084</v>
      </c>
      <c r="C2720" s="8" t="s">
        <v>25</v>
      </c>
      <c r="D2720" s="8" t="s">
        <v>26</v>
      </c>
      <c r="E2720" s="8" t="s">
        <v>13085</v>
      </c>
      <c r="F2720" s="8">
        <v>1.009384532E9</v>
      </c>
      <c r="G2720" s="8" t="s">
        <v>284</v>
      </c>
      <c r="H2720" s="8" t="s">
        <v>673</v>
      </c>
      <c r="I2720" s="8" t="s">
        <v>31</v>
      </c>
      <c r="J2720" s="8" t="s">
        <v>111</v>
      </c>
      <c r="K2720" s="10" t="s">
        <v>468</v>
      </c>
      <c r="L2720" s="8" t="s">
        <v>58</v>
      </c>
      <c r="M2720" s="8" t="s">
        <v>35</v>
      </c>
      <c r="N2720" s="11">
        <v>45123.0</v>
      </c>
      <c r="O2720" s="11">
        <v>45201.0</v>
      </c>
      <c r="P2720" s="11">
        <v>45243.0</v>
      </c>
      <c r="Q2720" s="11">
        <v>45203.0</v>
      </c>
      <c r="R2720" s="11">
        <v>45243.0</v>
      </c>
      <c r="S2720" s="12"/>
      <c r="T2720" s="8"/>
      <c r="U2720" s="8" t="s">
        <v>59</v>
      </c>
      <c r="V2720" s="13" t="s">
        <v>674</v>
      </c>
      <c r="W2720" s="13" t="s">
        <v>13086</v>
      </c>
      <c r="X2720" s="12"/>
      <c r="Y2720" s="14"/>
      <c r="Z2720" s="14"/>
    </row>
    <row r="2721">
      <c r="A2721" s="8" t="s">
        <v>13087</v>
      </c>
      <c r="B2721" s="8" t="s">
        <v>13088</v>
      </c>
      <c r="C2721" s="8" t="s">
        <v>25</v>
      </c>
      <c r="D2721" s="8" t="s">
        <v>26</v>
      </c>
      <c r="E2721" s="8" t="s">
        <v>13089</v>
      </c>
      <c r="F2721" s="8">
        <v>6.55417538E8</v>
      </c>
      <c r="G2721" s="8" t="s">
        <v>254</v>
      </c>
      <c r="H2721" s="8" t="s">
        <v>758</v>
      </c>
      <c r="I2721" s="8" t="s">
        <v>31</v>
      </c>
      <c r="J2721" s="8" t="s">
        <v>292</v>
      </c>
      <c r="K2721" s="10" t="s">
        <v>12399</v>
      </c>
      <c r="L2721" s="8" t="s">
        <v>58</v>
      </c>
      <c r="M2721" s="8" t="s">
        <v>35</v>
      </c>
      <c r="N2721" s="11">
        <v>45124.0</v>
      </c>
      <c r="O2721" s="11">
        <v>45264.0</v>
      </c>
      <c r="P2721" s="11">
        <v>45306.0</v>
      </c>
      <c r="Q2721" s="11">
        <v>45265.0</v>
      </c>
      <c r="R2721" s="11">
        <v>45306.0</v>
      </c>
      <c r="S2721" s="12"/>
      <c r="T2721" s="8"/>
      <c r="U2721" s="8" t="s">
        <v>88</v>
      </c>
      <c r="V2721" s="13" t="s">
        <v>295</v>
      </c>
      <c r="W2721" s="13" t="s">
        <v>13090</v>
      </c>
      <c r="X2721" s="12"/>
      <c r="Y2721" s="14"/>
      <c r="Z2721" s="14"/>
    </row>
    <row r="2722">
      <c r="A2722" s="8" t="s">
        <v>13091</v>
      </c>
      <c r="B2722" s="8" t="s">
        <v>13092</v>
      </c>
      <c r="C2722" s="8" t="s">
        <v>708</v>
      </c>
      <c r="D2722" s="8" t="s">
        <v>26</v>
      </c>
      <c r="E2722" s="8" t="s">
        <v>13093</v>
      </c>
      <c r="F2722" s="8">
        <v>7.077289718E9</v>
      </c>
      <c r="G2722" s="8" t="s">
        <v>496</v>
      </c>
      <c r="H2722" s="8" t="s">
        <v>497</v>
      </c>
      <c r="I2722" s="8" t="s">
        <v>31</v>
      </c>
      <c r="J2722" s="8" t="s">
        <v>542</v>
      </c>
      <c r="K2722" s="10" t="s">
        <v>847</v>
      </c>
      <c r="L2722" s="8" t="s">
        <v>47</v>
      </c>
      <c r="M2722" s="8" t="s">
        <v>70</v>
      </c>
      <c r="N2722" s="11">
        <v>45124.0</v>
      </c>
      <c r="O2722" s="11">
        <v>45159.0</v>
      </c>
      <c r="P2722" s="11">
        <v>45516.0</v>
      </c>
      <c r="Q2722" s="11">
        <v>45153.0</v>
      </c>
      <c r="R2722" s="11">
        <v>45523.0</v>
      </c>
      <c r="S2722" s="12"/>
      <c r="T2722" s="8" t="s">
        <v>121</v>
      </c>
      <c r="U2722" s="8" t="s">
        <v>848</v>
      </c>
      <c r="V2722" s="13" t="s">
        <v>500</v>
      </c>
      <c r="W2722" s="13" t="s">
        <v>13094</v>
      </c>
      <c r="X2722" s="12"/>
      <c r="Y2722" s="14"/>
      <c r="Z2722" s="14"/>
    </row>
    <row r="2723">
      <c r="A2723" s="8" t="s">
        <v>13095</v>
      </c>
      <c r="B2723" s="8" t="s">
        <v>9930</v>
      </c>
      <c r="C2723" s="8" t="s">
        <v>179</v>
      </c>
      <c r="D2723" s="8" t="s">
        <v>26</v>
      </c>
      <c r="E2723" s="8" t="s">
        <v>13096</v>
      </c>
      <c r="F2723" s="8">
        <v>5.052085025E9</v>
      </c>
      <c r="G2723" s="8" t="s">
        <v>31</v>
      </c>
      <c r="H2723" s="8" t="s">
        <v>66</v>
      </c>
      <c r="I2723" s="8" t="s">
        <v>284</v>
      </c>
      <c r="J2723" s="8" t="s">
        <v>793</v>
      </c>
      <c r="K2723" s="10" t="s">
        <v>2688</v>
      </c>
      <c r="L2723" s="8" t="s">
        <v>58</v>
      </c>
      <c r="M2723" s="8" t="s">
        <v>35</v>
      </c>
      <c r="N2723" s="11">
        <v>45124.0</v>
      </c>
      <c r="O2723" s="11">
        <v>45170.0</v>
      </c>
      <c r="P2723" s="11">
        <v>45212.0</v>
      </c>
      <c r="Q2723" s="11"/>
      <c r="R2723" s="11"/>
      <c r="S2723" s="12"/>
      <c r="T2723" s="8"/>
      <c r="U2723" s="8" t="s">
        <v>1038</v>
      </c>
      <c r="V2723" s="13" t="s">
        <v>111</v>
      </c>
      <c r="W2723" s="13" t="s">
        <v>13097</v>
      </c>
      <c r="X2723" s="12"/>
      <c r="Y2723" s="14"/>
      <c r="Z2723" s="14"/>
    </row>
    <row r="2724">
      <c r="A2724" s="8" t="s">
        <v>13098</v>
      </c>
      <c r="B2724" s="8" t="s">
        <v>13099</v>
      </c>
      <c r="C2724" s="8" t="s">
        <v>25</v>
      </c>
      <c r="D2724" s="8" t="s">
        <v>26</v>
      </c>
      <c r="E2724" s="8" t="s">
        <v>13100</v>
      </c>
      <c r="F2724" s="8">
        <v>5.417267375E9</v>
      </c>
      <c r="G2724" s="8" t="s">
        <v>31</v>
      </c>
      <c r="H2724" s="8" t="s">
        <v>111</v>
      </c>
      <c r="I2724" s="8" t="s">
        <v>2330</v>
      </c>
      <c r="J2724" s="8" t="s">
        <v>2718</v>
      </c>
      <c r="K2724" s="10" t="s">
        <v>13101</v>
      </c>
      <c r="L2724" s="8" t="s">
        <v>58</v>
      </c>
      <c r="M2724" s="8" t="s">
        <v>35</v>
      </c>
      <c r="N2724" s="11">
        <v>45124.0</v>
      </c>
      <c r="O2724" s="11">
        <v>45133.0</v>
      </c>
      <c r="P2724" s="11">
        <v>45175.0</v>
      </c>
      <c r="Q2724" s="11">
        <v>45165.0</v>
      </c>
      <c r="R2724" s="11">
        <v>45175.0</v>
      </c>
      <c r="S2724" s="12"/>
      <c r="T2724" s="8"/>
      <c r="U2724" s="8" t="s">
        <v>59</v>
      </c>
      <c r="V2724" s="13" t="s">
        <v>66</v>
      </c>
      <c r="W2724" s="13" t="s">
        <v>13102</v>
      </c>
      <c r="X2724" s="12"/>
      <c r="Y2724" s="14"/>
      <c r="Z2724" s="14"/>
    </row>
    <row r="2725">
      <c r="A2725" s="8" t="s">
        <v>13103</v>
      </c>
      <c r="B2725" s="8" t="s">
        <v>13104</v>
      </c>
      <c r="C2725" s="8" t="s">
        <v>251</v>
      </c>
      <c r="D2725" s="8" t="s">
        <v>26</v>
      </c>
      <c r="E2725" s="8" t="s">
        <v>13105</v>
      </c>
      <c r="F2725" s="8">
        <v>7.720295733E9</v>
      </c>
      <c r="G2725" s="8" t="s">
        <v>2680</v>
      </c>
      <c r="H2725" s="8" t="s">
        <v>13106</v>
      </c>
      <c r="I2725" s="8" t="s">
        <v>31</v>
      </c>
      <c r="J2725" s="8" t="s">
        <v>111</v>
      </c>
      <c r="K2725" s="10" t="s">
        <v>468</v>
      </c>
      <c r="L2725" s="8" t="s">
        <v>58</v>
      </c>
      <c r="M2725" s="8" t="s">
        <v>35</v>
      </c>
      <c r="N2725" s="11">
        <v>45124.0</v>
      </c>
      <c r="O2725" s="11">
        <v>45201.0</v>
      </c>
      <c r="P2725" s="11">
        <v>45243.0</v>
      </c>
      <c r="Q2725" s="11"/>
      <c r="R2725" s="11"/>
      <c r="S2725" s="12"/>
      <c r="T2725" s="8"/>
      <c r="U2725" s="8" t="s">
        <v>59</v>
      </c>
      <c r="V2725" s="13" t="s">
        <v>13107</v>
      </c>
      <c r="W2725" s="13" t="s">
        <v>13108</v>
      </c>
      <c r="X2725" s="12"/>
      <c r="Y2725" s="14"/>
      <c r="Z2725" s="14"/>
    </row>
    <row r="2726">
      <c r="A2726" s="8" t="s">
        <v>13109</v>
      </c>
      <c r="B2726" s="8" t="s">
        <v>13110</v>
      </c>
      <c r="C2726" s="8" t="s">
        <v>708</v>
      </c>
      <c r="D2726" s="8" t="s">
        <v>26</v>
      </c>
      <c r="E2726" s="8" t="s">
        <v>13111</v>
      </c>
      <c r="F2726" s="8">
        <v>6.63512191E8</v>
      </c>
      <c r="G2726" s="8" t="s">
        <v>84</v>
      </c>
      <c r="H2726" s="8" t="s">
        <v>1234</v>
      </c>
      <c r="I2726" s="8" t="s">
        <v>31</v>
      </c>
      <c r="J2726" s="8" t="s">
        <v>438</v>
      </c>
      <c r="K2726" s="10" t="s">
        <v>13112</v>
      </c>
      <c r="L2726" s="8" t="s">
        <v>34</v>
      </c>
      <c r="M2726" s="8" t="s">
        <v>70</v>
      </c>
      <c r="N2726" s="11">
        <v>45124.0</v>
      </c>
      <c r="O2726" s="11">
        <v>45187.0</v>
      </c>
      <c r="P2726" s="11">
        <v>45552.0</v>
      </c>
      <c r="Q2726" s="11">
        <v>45184.0</v>
      </c>
      <c r="R2726" s="11">
        <v>45552.0</v>
      </c>
      <c r="S2726" s="12"/>
      <c r="T2726" s="8" t="s">
        <v>121</v>
      </c>
      <c r="U2726" s="8" t="s">
        <v>13113</v>
      </c>
      <c r="V2726" s="13" t="s">
        <v>13114</v>
      </c>
      <c r="W2726" s="13" t="s">
        <v>13115</v>
      </c>
      <c r="X2726" s="12"/>
      <c r="Y2726" s="14"/>
      <c r="Z2726" s="14"/>
    </row>
    <row r="2727">
      <c r="A2727" s="8" t="s">
        <v>13116</v>
      </c>
      <c r="B2727" s="8" t="s">
        <v>13117</v>
      </c>
      <c r="C2727" s="8" t="s">
        <v>708</v>
      </c>
      <c r="D2727" s="8" t="s">
        <v>26</v>
      </c>
      <c r="E2727" s="8" t="s">
        <v>13118</v>
      </c>
      <c r="F2727" s="8">
        <v>9.049064571E9</v>
      </c>
      <c r="G2727" s="8" t="s">
        <v>254</v>
      </c>
      <c r="H2727" s="8" t="s">
        <v>422</v>
      </c>
      <c r="I2727" s="8" t="s">
        <v>31</v>
      </c>
      <c r="J2727" s="8" t="s">
        <v>32</v>
      </c>
      <c r="K2727" s="10" t="s">
        <v>3798</v>
      </c>
      <c r="L2727" s="8" t="s">
        <v>47</v>
      </c>
      <c r="M2727" s="8" t="s">
        <v>70</v>
      </c>
      <c r="N2727" s="11">
        <v>45124.0</v>
      </c>
      <c r="O2727" s="11">
        <v>45138.0</v>
      </c>
      <c r="P2727" s="11">
        <v>45503.0</v>
      </c>
      <c r="Q2727" s="11">
        <v>45184.0</v>
      </c>
      <c r="R2727" s="11">
        <v>45564.0</v>
      </c>
      <c r="S2727" s="12"/>
      <c r="T2727" s="8"/>
      <c r="U2727" s="8" t="s">
        <v>3248</v>
      </c>
      <c r="V2727" s="13" t="s">
        <v>425</v>
      </c>
      <c r="W2727" s="13" t="s">
        <v>13119</v>
      </c>
      <c r="X2727" s="12"/>
      <c r="Y2727" s="14"/>
      <c r="Z2727" s="14"/>
    </row>
    <row r="2728">
      <c r="A2728" s="8" t="s">
        <v>13120</v>
      </c>
      <c r="B2728" s="8" t="s">
        <v>13121</v>
      </c>
      <c r="C2728" s="8" t="s">
        <v>64</v>
      </c>
      <c r="D2728" s="8" t="s">
        <v>26</v>
      </c>
      <c r="E2728" s="8" t="s">
        <v>13122</v>
      </c>
      <c r="F2728" s="8">
        <v>6.44690198E8</v>
      </c>
      <c r="G2728" s="8" t="s">
        <v>84</v>
      </c>
      <c r="H2728" s="8" t="s">
        <v>646</v>
      </c>
      <c r="I2728" s="8" t="s">
        <v>31</v>
      </c>
      <c r="J2728" s="8" t="s">
        <v>32</v>
      </c>
      <c r="K2728" s="10" t="s">
        <v>13123</v>
      </c>
      <c r="L2728" s="8" t="s">
        <v>58</v>
      </c>
      <c r="M2728" s="8" t="s">
        <v>35</v>
      </c>
      <c r="N2728" s="11">
        <v>45124.0</v>
      </c>
      <c r="O2728" s="11">
        <v>45140.0</v>
      </c>
      <c r="P2728" s="11">
        <v>45182.0</v>
      </c>
      <c r="Q2728" s="11">
        <v>45160.0</v>
      </c>
      <c r="R2728" s="11">
        <v>45202.0</v>
      </c>
      <c r="S2728" s="12"/>
      <c r="T2728" s="8"/>
      <c r="U2728" s="8" t="s">
        <v>161</v>
      </c>
      <c r="V2728" s="13" t="s">
        <v>13124</v>
      </c>
      <c r="W2728" s="13" t="s">
        <v>13125</v>
      </c>
      <c r="X2728" s="12"/>
      <c r="Y2728" s="14"/>
      <c r="Z2728" s="14"/>
    </row>
    <row r="2729">
      <c r="A2729" s="8" t="s">
        <v>13126</v>
      </c>
      <c r="B2729" s="8" t="s">
        <v>13127</v>
      </c>
      <c r="C2729" s="8" t="s">
        <v>64</v>
      </c>
      <c r="D2729" s="8" t="s">
        <v>26</v>
      </c>
      <c r="E2729" s="8" t="s">
        <v>13128</v>
      </c>
      <c r="F2729" s="8">
        <v>5.546824E8</v>
      </c>
      <c r="G2729" s="8" t="s">
        <v>254</v>
      </c>
      <c r="H2729" s="8" t="s">
        <v>1007</v>
      </c>
      <c r="I2729" s="8" t="s">
        <v>31</v>
      </c>
      <c r="J2729" s="8" t="s">
        <v>32</v>
      </c>
      <c r="K2729" s="10" t="s">
        <v>13129</v>
      </c>
      <c r="L2729" s="8" t="s">
        <v>58</v>
      </c>
      <c r="M2729" s="8" t="s">
        <v>35</v>
      </c>
      <c r="N2729" s="11">
        <v>45124.0</v>
      </c>
      <c r="O2729" s="11">
        <v>45158.0</v>
      </c>
      <c r="P2729" s="11">
        <v>45200.0</v>
      </c>
      <c r="Q2729" s="11">
        <v>45160.0</v>
      </c>
      <c r="R2729" s="11">
        <v>45202.0</v>
      </c>
      <c r="S2729" s="12"/>
      <c r="T2729" s="8"/>
      <c r="U2729" s="8" t="s">
        <v>161</v>
      </c>
      <c r="V2729" s="13" t="s">
        <v>1249</v>
      </c>
      <c r="W2729" s="13" t="s">
        <v>13130</v>
      </c>
      <c r="X2729" s="12"/>
      <c r="Y2729" s="14"/>
      <c r="Z2729" s="14"/>
    </row>
    <row r="2730">
      <c r="A2730" s="8" t="s">
        <v>13131</v>
      </c>
      <c r="B2730" s="8" t="s">
        <v>13132</v>
      </c>
      <c r="C2730" s="8" t="s">
        <v>179</v>
      </c>
      <c r="D2730" s="8" t="s">
        <v>26</v>
      </c>
      <c r="E2730" s="8" t="s">
        <v>13133</v>
      </c>
      <c r="F2730" s="8">
        <v>1.002358395E9</v>
      </c>
      <c r="G2730" s="8" t="s">
        <v>284</v>
      </c>
      <c r="H2730" s="8" t="s">
        <v>673</v>
      </c>
      <c r="I2730" s="8" t="s">
        <v>31</v>
      </c>
      <c r="J2730" s="8" t="s">
        <v>32</v>
      </c>
      <c r="K2730" s="10" t="s">
        <v>2470</v>
      </c>
      <c r="L2730" s="8" t="s">
        <v>58</v>
      </c>
      <c r="M2730" s="8" t="s">
        <v>35</v>
      </c>
      <c r="N2730" s="11">
        <v>45124.0</v>
      </c>
      <c r="O2730" s="11">
        <v>45172.0</v>
      </c>
      <c r="P2730" s="11">
        <v>45214.0</v>
      </c>
      <c r="Q2730" s="11"/>
      <c r="R2730" s="11"/>
      <c r="S2730" s="12"/>
      <c r="T2730" s="8"/>
      <c r="U2730" s="8" t="s">
        <v>59</v>
      </c>
      <c r="V2730" s="13" t="s">
        <v>674</v>
      </c>
      <c r="W2730" s="13" t="s">
        <v>13134</v>
      </c>
      <c r="X2730" s="12"/>
      <c r="Y2730" s="14"/>
      <c r="Z2730" s="14"/>
    </row>
    <row r="2731">
      <c r="A2731" s="8" t="s">
        <v>13135</v>
      </c>
      <c r="B2731" s="8" t="s">
        <v>13136</v>
      </c>
      <c r="C2731" s="8" t="s">
        <v>25</v>
      </c>
      <c r="D2731" s="8" t="s">
        <v>26</v>
      </c>
      <c r="E2731" s="8" t="s">
        <v>13137</v>
      </c>
      <c r="F2731" s="8"/>
      <c r="G2731" s="8" t="s">
        <v>31</v>
      </c>
      <c r="H2731" s="8" t="s">
        <v>959</v>
      </c>
      <c r="I2731" s="8" t="s">
        <v>6352</v>
      </c>
      <c r="J2731" s="8" t="s">
        <v>6353</v>
      </c>
      <c r="K2731" s="10" t="s">
        <v>9693</v>
      </c>
      <c r="L2731" s="8" t="s">
        <v>58</v>
      </c>
      <c r="M2731" s="8" t="s">
        <v>35</v>
      </c>
      <c r="N2731" s="11">
        <v>45124.0</v>
      </c>
      <c r="O2731" s="11">
        <v>45124.0</v>
      </c>
      <c r="P2731" s="11">
        <v>45166.0</v>
      </c>
      <c r="Q2731" s="11">
        <v>45124.0</v>
      </c>
      <c r="R2731" s="11">
        <v>45166.0</v>
      </c>
      <c r="S2731" s="12"/>
      <c r="T2731" s="8"/>
      <c r="U2731" s="8" t="s">
        <v>1038</v>
      </c>
      <c r="V2731" s="13" t="s">
        <v>1069</v>
      </c>
      <c r="W2731" s="13" t="s">
        <v>13138</v>
      </c>
      <c r="X2731" s="12"/>
      <c r="Y2731" s="14"/>
      <c r="Z2731" s="14"/>
    </row>
    <row r="2732">
      <c r="A2732" s="8" t="s">
        <v>13139</v>
      </c>
      <c r="B2732" s="8" t="s">
        <v>13140</v>
      </c>
      <c r="C2732" s="8" t="s">
        <v>25</v>
      </c>
      <c r="D2732" s="8" t="s">
        <v>26</v>
      </c>
      <c r="E2732" s="8" t="s">
        <v>13141</v>
      </c>
      <c r="F2732" s="8">
        <v>5.375805007E9</v>
      </c>
      <c r="G2732" s="8" t="s">
        <v>31</v>
      </c>
      <c r="H2732" s="8" t="s">
        <v>56</v>
      </c>
      <c r="I2732" s="8" t="s">
        <v>6352</v>
      </c>
      <c r="J2732" s="8" t="s">
        <v>6353</v>
      </c>
      <c r="K2732" s="10" t="s">
        <v>9693</v>
      </c>
      <c r="L2732" s="8" t="s">
        <v>58</v>
      </c>
      <c r="M2732" s="8" t="s">
        <v>35</v>
      </c>
      <c r="N2732" s="11">
        <v>45124.0</v>
      </c>
      <c r="O2732" s="11">
        <v>45124.0</v>
      </c>
      <c r="P2732" s="11">
        <v>45166.0</v>
      </c>
      <c r="Q2732" s="11">
        <v>45124.0</v>
      </c>
      <c r="R2732" s="11">
        <v>45166.0</v>
      </c>
      <c r="S2732" s="12"/>
      <c r="T2732" s="8"/>
      <c r="U2732" s="8" t="s">
        <v>1038</v>
      </c>
      <c r="V2732" s="13" t="s">
        <v>56</v>
      </c>
      <c r="W2732" s="13" t="s">
        <v>13142</v>
      </c>
      <c r="X2732" s="12"/>
      <c r="Y2732" s="14"/>
      <c r="Z2732" s="14"/>
    </row>
    <row r="2733">
      <c r="A2733" s="8" t="s">
        <v>13143</v>
      </c>
      <c r="B2733" s="8" t="s">
        <v>13144</v>
      </c>
      <c r="C2733" s="8" t="s">
        <v>708</v>
      </c>
      <c r="D2733" s="8" t="s">
        <v>26</v>
      </c>
      <c r="E2733" s="8" t="s">
        <v>13145</v>
      </c>
      <c r="F2733" s="8">
        <v>5.375426976E9</v>
      </c>
      <c r="G2733" s="8" t="s">
        <v>54</v>
      </c>
      <c r="H2733" s="8" t="s">
        <v>135</v>
      </c>
      <c r="I2733" s="8" t="s">
        <v>31</v>
      </c>
      <c r="J2733" s="8" t="s">
        <v>292</v>
      </c>
      <c r="K2733" s="10" t="s">
        <v>13146</v>
      </c>
      <c r="L2733" s="8" t="s">
        <v>47</v>
      </c>
      <c r="M2733" s="8" t="s">
        <v>70</v>
      </c>
      <c r="N2733" s="11">
        <v>45124.0</v>
      </c>
      <c r="O2733" s="11">
        <v>45170.0</v>
      </c>
      <c r="P2733" s="11">
        <v>45473.0</v>
      </c>
      <c r="Q2733" s="11">
        <v>45181.0</v>
      </c>
      <c r="R2733" s="11">
        <v>45484.0</v>
      </c>
      <c r="S2733" s="12"/>
      <c r="T2733" s="8"/>
      <c r="U2733" s="8" t="s">
        <v>246</v>
      </c>
      <c r="V2733" s="13" t="s">
        <v>2693</v>
      </c>
      <c r="W2733" s="13" t="s">
        <v>13147</v>
      </c>
      <c r="X2733" s="12"/>
      <c r="Y2733" s="14"/>
      <c r="Z2733" s="14"/>
    </row>
    <row r="2734">
      <c r="A2734" s="8" t="s">
        <v>13148</v>
      </c>
      <c r="B2734" s="8" t="s">
        <v>13149</v>
      </c>
      <c r="C2734" s="8" t="s">
        <v>64</v>
      </c>
      <c r="D2734" s="8" t="s">
        <v>26</v>
      </c>
      <c r="E2734" s="8" t="s">
        <v>13150</v>
      </c>
      <c r="F2734" s="8">
        <v>1.27234038E9</v>
      </c>
      <c r="G2734" s="8" t="s">
        <v>284</v>
      </c>
      <c r="H2734" s="8" t="s">
        <v>673</v>
      </c>
      <c r="I2734" s="8" t="s">
        <v>31</v>
      </c>
      <c r="J2734" s="8" t="s">
        <v>56</v>
      </c>
      <c r="K2734" s="10" t="s">
        <v>11979</v>
      </c>
      <c r="L2734" s="8" t="s">
        <v>58</v>
      </c>
      <c r="M2734" s="8" t="s">
        <v>35</v>
      </c>
      <c r="N2734" s="11">
        <v>45125.0</v>
      </c>
      <c r="O2734" s="11">
        <v>45166.0</v>
      </c>
      <c r="P2734" s="11">
        <v>45208.0</v>
      </c>
      <c r="Q2734" s="11">
        <v>45170.0</v>
      </c>
      <c r="R2734" s="11">
        <v>45210.0</v>
      </c>
      <c r="S2734" s="12"/>
      <c r="T2734" s="8"/>
      <c r="U2734" s="8" t="s">
        <v>161</v>
      </c>
      <c r="V2734" s="13" t="s">
        <v>674</v>
      </c>
      <c r="W2734" s="13" t="s">
        <v>13151</v>
      </c>
      <c r="X2734" s="12"/>
      <c r="Y2734" s="14"/>
      <c r="Z2734" s="14"/>
    </row>
    <row r="2735">
      <c r="A2735" s="8" t="s">
        <v>13152</v>
      </c>
      <c r="B2735" s="8" t="s">
        <v>7638</v>
      </c>
      <c r="C2735" s="8" t="s">
        <v>708</v>
      </c>
      <c r="D2735" s="8" t="s">
        <v>26</v>
      </c>
      <c r="E2735" s="8" t="s">
        <v>7639</v>
      </c>
      <c r="F2735" s="8">
        <v>3.00921762E9</v>
      </c>
      <c r="G2735" s="8" t="s">
        <v>315</v>
      </c>
      <c r="H2735" s="8" t="s">
        <v>1833</v>
      </c>
      <c r="I2735" s="8" t="s">
        <v>31</v>
      </c>
      <c r="J2735" s="8" t="s">
        <v>542</v>
      </c>
      <c r="K2735" s="10" t="s">
        <v>12205</v>
      </c>
      <c r="L2735" s="8" t="s">
        <v>34</v>
      </c>
      <c r="M2735" s="8" t="s">
        <v>70</v>
      </c>
      <c r="N2735" s="11">
        <v>45125.0</v>
      </c>
      <c r="O2735" s="11">
        <v>45117.0</v>
      </c>
      <c r="P2735" s="11">
        <v>45471.0</v>
      </c>
      <c r="Q2735" s="11">
        <v>45125.0</v>
      </c>
      <c r="R2735" s="11">
        <v>45481.0</v>
      </c>
      <c r="S2735" s="12"/>
      <c r="T2735" s="8" t="s">
        <v>36</v>
      </c>
      <c r="U2735" s="8" t="s">
        <v>12206</v>
      </c>
      <c r="V2735" s="13" t="s">
        <v>7640</v>
      </c>
      <c r="W2735" s="13" t="s">
        <v>7641</v>
      </c>
      <c r="X2735" s="12"/>
      <c r="Y2735" s="14"/>
      <c r="Z2735" s="14"/>
    </row>
    <row r="2736">
      <c r="A2736" s="8" t="s">
        <v>13153</v>
      </c>
      <c r="B2736" s="8" t="s">
        <v>13154</v>
      </c>
      <c r="C2736" s="8" t="s">
        <v>708</v>
      </c>
      <c r="D2736" s="8" t="s">
        <v>26</v>
      </c>
      <c r="E2736" s="8" t="s">
        <v>13155</v>
      </c>
      <c r="F2736" s="8">
        <v>2.1654968E7</v>
      </c>
      <c r="G2736" s="8" t="s">
        <v>54</v>
      </c>
      <c r="H2736" s="8" t="s">
        <v>430</v>
      </c>
      <c r="I2736" s="8" t="s">
        <v>31</v>
      </c>
      <c r="J2736" s="8" t="s">
        <v>56</v>
      </c>
      <c r="K2736" s="10" t="s">
        <v>11893</v>
      </c>
      <c r="L2736" s="8" t="s">
        <v>47</v>
      </c>
      <c r="M2736" s="8" t="s">
        <v>70</v>
      </c>
      <c r="N2736" s="11">
        <v>45125.0</v>
      </c>
      <c r="O2736" s="11">
        <v>45187.0</v>
      </c>
      <c r="P2736" s="11">
        <v>45548.0</v>
      </c>
      <c r="Q2736" s="11">
        <v>45192.0</v>
      </c>
      <c r="R2736" s="11">
        <v>45551.0</v>
      </c>
      <c r="S2736" s="12"/>
      <c r="T2736" s="8"/>
      <c r="U2736" s="8" t="s">
        <v>11894</v>
      </c>
      <c r="V2736" s="13" t="s">
        <v>38</v>
      </c>
      <c r="W2736" s="13" t="s">
        <v>13156</v>
      </c>
      <c r="X2736" s="12"/>
      <c r="Y2736" s="14"/>
      <c r="Z2736" s="14"/>
    </row>
    <row r="2737">
      <c r="A2737" s="8" t="s">
        <v>13157</v>
      </c>
      <c r="B2737" s="8" t="s">
        <v>13158</v>
      </c>
      <c r="C2737" s="8" t="s">
        <v>708</v>
      </c>
      <c r="D2737" s="8" t="s">
        <v>26</v>
      </c>
      <c r="E2737" s="8" t="s">
        <v>13159</v>
      </c>
      <c r="F2737" s="8">
        <v>9.3533231E7</v>
      </c>
      <c r="G2737" s="8" t="s">
        <v>54</v>
      </c>
      <c r="H2737" s="8" t="s">
        <v>430</v>
      </c>
      <c r="I2737" s="8" t="s">
        <v>31</v>
      </c>
      <c r="J2737" s="8" t="s">
        <v>56</v>
      </c>
      <c r="K2737" s="10" t="s">
        <v>11893</v>
      </c>
      <c r="L2737" s="8" t="s">
        <v>47</v>
      </c>
      <c r="M2737" s="8" t="s">
        <v>70</v>
      </c>
      <c r="N2737" s="11">
        <v>45125.0</v>
      </c>
      <c r="O2737" s="11">
        <v>45187.0</v>
      </c>
      <c r="P2737" s="11">
        <v>45548.0</v>
      </c>
      <c r="Q2737" s="11">
        <v>45192.0</v>
      </c>
      <c r="R2737" s="11">
        <v>45551.0</v>
      </c>
      <c r="S2737" s="12"/>
      <c r="T2737" s="8"/>
      <c r="U2737" s="8" t="s">
        <v>11894</v>
      </c>
      <c r="V2737" s="13" t="s">
        <v>849</v>
      </c>
      <c r="W2737" s="13" t="s">
        <v>13160</v>
      </c>
      <c r="X2737" s="12"/>
      <c r="Y2737" s="14"/>
      <c r="Z2737" s="14"/>
    </row>
    <row r="2738">
      <c r="A2738" s="8" t="s">
        <v>13161</v>
      </c>
      <c r="B2738" s="8" t="s">
        <v>13162</v>
      </c>
      <c r="C2738" s="8" t="s">
        <v>25</v>
      </c>
      <c r="D2738" s="8" t="s">
        <v>26</v>
      </c>
      <c r="E2738" s="8" t="s">
        <v>13163</v>
      </c>
      <c r="F2738" s="8">
        <v>5.534051711E9</v>
      </c>
      <c r="G2738" s="8" t="s">
        <v>31</v>
      </c>
      <c r="H2738" s="8" t="s">
        <v>32</v>
      </c>
      <c r="I2738" s="8" t="s">
        <v>127</v>
      </c>
      <c r="J2738" s="8" t="s">
        <v>9028</v>
      </c>
      <c r="K2738" s="10" t="s">
        <v>13164</v>
      </c>
      <c r="L2738" s="8" t="s">
        <v>58</v>
      </c>
      <c r="M2738" s="8" t="s">
        <v>35</v>
      </c>
      <c r="N2738" s="11">
        <v>45125.0</v>
      </c>
      <c r="O2738" s="11">
        <v>45201.0</v>
      </c>
      <c r="P2738" s="11">
        <v>45243.0</v>
      </c>
      <c r="Q2738" s="11">
        <v>45201.0</v>
      </c>
      <c r="R2738" s="11">
        <v>45243.0</v>
      </c>
      <c r="S2738" s="12"/>
      <c r="T2738" s="8"/>
      <c r="U2738" s="8" t="s">
        <v>1956</v>
      </c>
      <c r="V2738" s="13" t="s">
        <v>537</v>
      </c>
      <c r="W2738" s="13" t="s">
        <v>13165</v>
      </c>
      <c r="X2738" s="12"/>
      <c r="Y2738" s="14"/>
      <c r="Z2738" s="14"/>
    </row>
    <row r="2739">
      <c r="A2739" s="8" t="s">
        <v>13166</v>
      </c>
      <c r="B2739" s="8" t="s">
        <v>13167</v>
      </c>
      <c r="C2739" s="8" t="s">
        <v>708</v>
      </c>
      <c r="D2739" s="8" t="s">
        <v>26</v>
      </c>
      <c r="E2739" s="8" t="s">
        <v>13168</v>
      </c>
      <c r="F2739" s="8">
        <v>5.3595654E7</v>
      </c>
      <c r="G2739" s="8" t="s">
        <v>54</v>
      </c>
      <c r="H2739" s="8" t="s">
        <v>595</v>
      </c>
      <c r="I2739" s="8" t="s">
        <v>31</v>
      </c>
      <c r="J2739" s="8" t="s">
        <v>438</v>
      </c>
      <c r="K2739" s="10" t="s">
        <v>13169</v>
      </c>
      <c r="L2739" s="8" t="s">
        <v>34</v>
      </c>
      <c r="M2739" s="8" t="s">
        <v>70</v>
      </c>
      <c r="N2739" s="11">
        <v>45125.0</v>
      </c>
      <c r="O2739" s="11">
        <v>45187.0</v>
      </c>
      <c r="P2739" s="11">
        <v>45551.0</v>
      </c>
      <c r="Q2739" s="11">
        <v>45184.0</v>
      </c>
      <c r="R2739" s="11">
        <v>45551.0</v>
      </c>
      <c r="S2739" s="12"/>
      <c r="T2739" s="8" t="s">
        <v>1187</v>
      </c>
      <c r="U2739" s="8" t="s">
        <v>12408</v>
      </c>
      <c r="V2739" s="13" t="s">
        <v>2961</v>
      </c>
      <c r="W2739" s="13" t="s">
        <v>13170</v>
      </c>
      <c r="X2739" s="12"/>
      <c r="Y2739" s="14"/>
      <c r="Z2739" s="14"/>
    </row>
    <row r="2740">
      <c r="A2740" s="8" t="s">
        <v>13171</v>
      </c>
      <c r="B2740" s="8" t="s">
        <v>13172</v>
      </c>
      <c r="C2740" s="8" t="s">
        <v>179</v>
      </c>
      <c r="D2740" s="8" t="s">
        <v>26</v>
      </c>
      <c r="E2740" s="8" t="s">
        <v>13173</v>
      </c>
      <c r="F2740" s="8">
        <v>5.32686128E9</v>
      </c>
      <c r="G2740" s="8" t="s">
        <v>31</v>
      </c>
      <c r="H2740" s="8" t="s">
        <v>56</v>
      </c>
      <c r="I2740" s="8" t="s">
        <v>230</v>
      </c>
      <c r="J2740" s="8" t="s">
        <v>13174</v>
      </c>
      <c r="K2740" s="10" t="s">
        <v>13175</v>
      </c>
      <c r="L2740" s="8" t="s">
        <v>58</v>
      </c>
      <c r="M2740" s="8" t="s">
        <v>35</v>
      </c>
      <c r="N2740" s="11">
        <v>45125.0</v>
      </c>
      <c r="O2740" s="11">
        <v>45187.0</v>
      </c>
      <c r="P2740" s="11">
        <v>45229.0</v>
      </c>
      <c r="Q2740" s="11"/>
      <c r="R2740" s="11"/>
      <c r="S2740" s="12"/>
      <c r="T2740" s="8"/>
      <c r="U2740" s="8" t="s">
        <v>59</v>
      </c>
      <c r="V2740" s="13" t="s">
        <v>56</v>
      </c>
      <c r="W2740" s="13" t="s">
        <v>13176</v>
      </c>
      <c r="X2740" s="12"/>
      <c r="Y2740" s="14"/>
      <c r="Z2740" s="14"/>
    </row>
    <row r="2741">
      <c r="A2741" s="8" t="s">
        <v>13177</v>
      </c>
      <c r="B2741" s="8" t="s">
        <v>8178</v>
      </c>
      <c r="C2741" s="8" t="s">
        <v>25</v>
      </c>
      <c r="D2741" s="8" t="s">
        <v>26</v>
      </c>
      <c r="E2741" s="8" t="s">
        <v>8179</v>
      </c>
      <c r="F2741" s="8"/>
      <c r="G2741" s="8" t="s">
        <v>277</v>
      </c>
      <c r="H2741" s="8" t="s">
        <v>697</v>
      </c>
      <c r="I2741" s="8" t="s">
        <v>31</v>
      </c>
      <c r="J2741" s="8" t="s">
        <v>438</v>
      </c>
      <c r="K2741" s="10" t="s">
        <v>11854</v>
      </c>
      <c r="L2741" s="8" t="s">
        <v>58</v>
      </c>
      <c r="M2741" s="8" t="s">
        <v>35</v>
      </c>
      <c r="N2741" s="11">
        <v>45125.0</v>
      </c>
      <c r="O2741" s="11">
        <v>45127.0</v>
      </c>
      <c r="P2741" s="11">
        <v>45169.0</v>
      </c>
      <c r="Q2741" s="11">
        <v>45128.0</v>
      </c>
      <c r="R2741" s="11">
        <v>45169.0</v>
      </c>
      <c r="S2741" s="12"/>
      <c r="T2741" s="8"/>
      <c r="U2741" s="8" t="s">
        <v>130</v>
      </c>
      <c r="V2741" s="13" t="s">
        <v>38</v>
      </c>
      <c r="W2741" s="13" t="s">
        <v>8180</v>
      </c>
      <c r="X2741" s="12"/>
      <c r="Y2741" s="14"/>
      <c r="Z2741" s="14"/>
    </row>
    <row r="2742">
      <c r="A2742" s="8" t="s">
        <v>13178</v>
      </c>
      <c r="B2742" s="8" t="s">
        <v>7886</v>
      </c>
      <c r="C2742" s="8" t="s">
        <v>25</v>
      </c>
      <c r="D2742" s="8" t="s">
        <v>26</v>
      </c>
      <c r="E2742" s="8" t="s">
        <v>7887</v>
      </c>
      <c r="F2742" s="8"/>
      <c r="G2742" s="8" t="s">
        <v>277</v>
      </c>
      <c r="H2742" s="8" t="s">
        <v>278</v>
      </c>
      <c r="I2742" s="8" t="s">
        <v>31</v>
      </c>
      <c r="J2742" s="8" t="s">
        <v>438</v>
      </c>
      <c r="K2742" s="10" t="s">
        <v>11854</v>
      </c>
      <c r="L2742" s="8" t="s">
        <v>58</v>
      </c>
      <c r="M2742" s="8" t="s">
        <v>35</v>
      </c>
      <c r="N2742" s="11">
        <v>45125.0</v>
      </c>
      <c r="O2742" s="11">
        <v>45127.0</v>
      </c>
      <c r="P2742" s="11">
        <v>45169.0</v>
      </c>
      <c r="Q2742" s="11">
        <v>45128.0</v>
      </c>
      <c r="R2742" s="11">
        <v>45169.0</v>
      </c>
      <c r="S2742" s="12"/>
      <c r="T2742" s="8"/>
      <c r="U2742" s="8" t="s">
        <v>130</v>
      </c>
      <c r="V2742" s="13" t="s">
        <v>38</v>
      </c>
      <c r="W2742" s="13" t="s">
        <v>7888</v>
      </c>
      <c r="X2742" s="12"/>
      <c r="Y2742" s="14"/>
      <c r="Z2742" s="14"/>
    </row>
    <row r="2743">
      <c r="A2743" s="8" t="s">
        <v>13179</v>
      </c>
      <c r="B2743" s="8" t="s">
        <v>7890</v>
      </c>
      <c r="C2743" s="8" t="s">
        <v>25</v>
      </c>
      <c r="D2743" s="8" t="s">
        <v>26</v>
      </c>
      <c r="E2743" s="8" t="s">
        <v>7891</v>
      </c>
      <c r="F2743" s="8"/>
      <c r="G2743" s="8" t="s">
        <v>277</v>
      </c>
      <c r="H2743" s="8" t="s">
        <v>278</v>
      </c>
      <c r="I2743" s="8" t="s">
        <v>31</v>
      </c>
      <c r="J2743" s="8" t="s">
        <v>438</v>
      </c>
      <c r="K2743" s="10" t="s">
        <v>11854</v>
      </c>
      <c r="L2743" s="8" t="s">
        <v>58</v>
      </c>
      <c r="M2743" s="8" t="s">
        <v>35</v>
      </c>
      <c r="N2743" s="11">
        <v>45125.0</v>
      </c>
      <c r="O2743" s="11">
        <v>45127.0</v>
      </c>
      <c r="P2743" s="11">
        <v>45169.0</v>
      </c>
      <c r="Q2743" s="11">
        <v>45128.0</v>
      </c>
      <c r="R2743" s="11">
        <v>45169.0</v>
      </c>
      <c r="S2743" s="12"/>
      <c r="T2743" s="8"/>
      <c r="U2743" s="8" t="s">
        <v>130</v>
      </c>
      <c r="V2743" s="13" t="s">
        <v>38</v>
      </c>
      <c r="W2743" s="13" t="s">
        <v>7892</v>
      </c>
      <c r="X2743" s="12"/>
      <c r="Y2743" s="14"/>
      <c r="Z2743" s="14"/>
    </row>
    <row r="2744">
      <c r="A2744" s="8" t="s">
        <v>13180</v>
      </c>
      <c r="B2744" s="8" t="s">
        <v>4264</v>
      </c>
      <c r="C2744" s="8" t="s">
        <v>179</v>
      </c>
      <c r="D2744" s="8" t="s">
        <v>26</v>
      </c>
      <c r="E2744" s="8" t="s">
        <v>4265</v>
      </c>
      <c r="F2744" s="8">
        <v>5.422267997E9</v>
      </c>
      <c r="G2744" s="8" t="s">
        <v>31</v>
      </c>
      <c r="H2744" s="8" t="s">
        <v>56</v>
      </c>
      <c r="I2744" s="8" t="s">
        <v>202</v>
      </c>
      <c r="J2744" s="8" t="s">
        <v>3890</v>
      </c>
      <c r="K2744" s="10" t="s">
        <v>13181</v>
      </c>
      <c r="L2744" s="8" t="s">
        <v>58</v>
      </c>
      <c r="M2744" s="8" t="s">
        <v>35</v>
      </c>
      <c r="N2744" s="11">
        <v>45125.0</v>
      </c>
      <c r="O2744" s="11">
        <v>45152.0</v>
      </c>
      <c r="P2744" s="11">
        <v>45198.0</v>
      </c>
      <c r="Q2744" s="11"/>
      <c r="R2744" s="11"/>
      <c r="S2744" s="12"/>
      <c r="T2744" s="8"/>
      <c r="U2744" s="8" t="s">
        <v>88</v>
      </c>
      <c r="V2744" s="13" t="s">
        <v>56</v>
      </c>
      <c r="W2744" s="13" t="s">
        <v>4267</v>
      </c>
      <c r="X2744" s="12"/>
      <c r="Y2744" s="14"/>
      <c r="Z2744" s="14"/>
    </row>
    <row r="2745">
      <c r="A2745" s="8" t="s">
        <v>13182</v>
      </c>
      <c r="B2745" s="8" t="s">
        <v>13183</v>
      </c>
      <c r="C2745" s="8" t="s">
        <v>25</v>
      </c>
      <c r="D2745" s="8" t="s">
        <v>26</v>
      </c>
      <c r="E2745" s="8" t="s">
        <v>13184</v>
      </c>
      <c r="F2745" s="8"/>
      <c r="G2745" s="8" t="s">
        <v>277</v>
      </c>
      <c r="H2745" s="8" t="s">
        <v>278</v>
      </c>
      <c r="I2745" s="8" t="s">
        <v>31</v>
      </c>
      <c r="J2745" s="8" t="s">
        <v>77</v>
      </c>
      <c r="K2745" s="10" t="s">
        <v>8136</v>
      </c>
      <c r="L2745" s="8" t="s">
        <v>58</v>
      </c>
      <c r="M2745" s="8" t="s">
        <v>35</v>
      </c>
      <c r="N2745" s="11">
        <v>45125.0</v>
      </c>
      <c r="O2745" s="11">
        <v>45152.0</v>
      </c>
      <c r="P2745" s="11">
        <v>45194.0</v>
      </c>
      <c r="Q2745" s="11">
        <v>45152.0</v>
      </c>
      <c r="R2745" s="11">
        <v>45194.0</v>
      </c>
      <c r="S2745" s="12"/>
      <c r="T2745" s="8"/>
      <c r="U2745" s="8" t="s">
        <v>59</v>
      </c>
      <c r="V2745" s="13" t="s">
        <v>38</v>
      </c>
      <c r="W2745" s="13" t="s">
        <v>13185</v>
      </c>
      <c r="X2745" s="12"/>
      <c r="Y2745" s="14"/>
      <c r="Z2745" s="14"/>
    </row>
    <row r="2746">
      <c r="A2746" s="8" t="s">
        <v>13186</v>
      </c>
      <c r="B2746" s="8" t="s">
        <v>13187</v>
      </c>
      <c r="C2746" s="8" t="s">
        <v>64</v>
      </c>
      <c r="D2746" s="8" t="s">
        <v>26</v>
      </c>
      <c r="E2746" s="8" t="s">
        <v>13188</v>
      </c>
      <c r="F2746" s="8"/>
      <c r="G2746" s="8" t="s">
        <v>29</v>
      </c>
      <c r="H2746" s="8" t="s">
        <v>1107</v>
      </c>
      <c r="I2746" s="8" t="s">
        <v>31</v>
      </c>
      <c r="J2746" s="8" t="s">
        <v>43</v>
      </c>
      <c r="K2746" s="10" t="s">
        <v>12504</v>
      </c>
      <c r="L2746" s="8" t="s">
        <v>58</v>
      </c>
      <c r="M2746" s="8" t="s">
        <v>35</v>
      </c>
      <c r="N2746" s="11">
        <v>45126.0</v>
      </c>
      <c r="O2746" s="11">
        <v>45264.0</v>
      </c>
      <c r="P2746" s="11">
        <v>45310.0</v>
      </c>
      <c r="Q2746" s="11">
        <v>45266.0</v>
      </c>
      <c r="R2746" s="11">
        <v>45312.0</v>
      </c>
      <c r="S2746" s="12"/>
      <c r="T2746" s="8"/>
      <c r="U2746" s="8" t="s">
        <v>59</v>
      </c>
      <c r="V2746" s="13" t="s">
        <v>38</v>
      </c>
      <c r="W2746" s="13" t="s">
        <v>13189</v>
      </c>
      <c r="X2746" s="12"/>
      <c r="Y2746" s="14"/>
      <c r="Z2746" s="14"/>
    </row>
    <row r="2747">
      <c r="A2747" s="8" t="s">
        <v>13190</v>
      </c>
      <c r="B2747" s="8" t="s">
        <v>13191</v>
      </c>
      <c r="C2747" s="8" t="s">
        <v>708</v>
      </c>
      <c r="D2747" s="8" t="s">
        <v>26</v>
      </c>
      <c r="E2747" s="8" t="s">
        <v>13192</v>
      </c>
      <c r="F2747" s="8">
        <v>1.019077944E9</v>
      </c>
      <c r="G2747" s="8" t="s">
        <v>284</v>
      </c>
      <c r="H2747" s="8" t="s">
        <v>5202</v>
      </c>
      <c r="I2747" s="8" t="s">
        <v>31</v>
      </c>
      <c r="J2747" s="8" t="s">
        <v>43</v>
      </c>
      <c r="K2747" s="10" t="s">
        <v>4255</v>
      </c>
      <c r="L2747" s="8" t="s">
        <v>47</v>
      </c>
      <c r="M2747" s="8" t="s">
        <v>70</v>
      </c>
      <c r="N2747" s="11">
        <v>45126.0</v>
      </c>
      <c r="O2747" s="11">
        <v>45170.0</v>
      </c>
      <c r="P2747" s="11">
        <v>45474.0</v>
      </c>
      <c r="Q2747" s="11">
        <v>45173.0</v>
      </c>
      <c r="R2747" s="11">
        <v>45477.0</v>
      </c>
      <c r="S2747" s="12"/>
      <c r="T2747" s="8"/>
      <c r="U2747" s="8" t="s">
        <v>246</v>
      </c>
      <c r="V2747" s="13" t="s">
        <v>5669</v>
      </c>
      <c r="W2747" s="13" t="s">
        <v>13193</v>
      </c>
      <c r="X2747" s="12"/>
      <c r="Y2747" s="14"/>
      <c r="Z2747" s="14"/>
    </row>
    <row r="2748">
      <c r="A2748" s="8" t="s">
        <v>13194</v>
      </c>
      <c r="B2748" s="8" t="s">
        <v>13195</v>
      </c>
      <c r="C2748" s="8" t="s">
        <v>708</v>
      </c>
      <c r="D2748" s="8" t="s">
        <v>26</v>
      </c>
      <c r="E2748" s="8" t="s">
        <v>13196</v>
      </c>
      <c r="F2748" s="8">
        <v>5.344291667E9</v>
      </c>
      <c r="G2748" s="8" t="s">
        <v>284</v>
      </c>
      <c r="H2748" s="8" t="s">
        <v>793</v>
      </c>
      <c r="I2748" s="8" t="s">
        <v>31</v>
      </c>
      <c r="J2748" s="8" t="s">
        <v>256</v>
      </c>
      <c r="K2748" s="10" t="s">
        <v>794</v>
      </c>
      <c r="L2748" s="8" t="s">
        <v>47</v>
      </c>
      <c r="M2748" s="8" t="s">
        <v>70</v>
      </c>
      <c r="N2748" s="11">
        <v>45126.0</v>
      </c>
      <c r="O2748" s="11">
        <v>45138.0</v>
      </c>
      <c r="P2748" s="11">
        <v>45503.0</v>
      </c>
      <c r="Q2748" s="11">
        <v>45154.0</v>
      </c>
      <c r="R2748" s="11">
        <v>45518.0</v>
      </c>
      <c r="S2748" s="12"/>
      <c r="T2748" s="8"/>
      <c r="U2748" s="8" t="s">
        <v>795</v>
      </c>
      <c r="V2748" s="13" t="s">
        <v>793</v>
      </c>
      <c r="W2748" s="13" t="s">
        <v>13197</v>
      </c>
      <c r="X2748" s="12"/>
      <c r="Y2748" s="14"/>
      <c r="Z2748" s="14"/>
    </row>
    <row r="2749">
      <c r="A2749" s="8" t="s">
        <v>13198</v>
      </c>
      <c r="B2749" s="8" t="s">
        <v>10602</v>
      </c>
      <c r="C2749" s="8" t="s">
        <v>179</v>
      </c>
      <c r="D2749" s="8" t="s">
        <v>26</v>
      </c>
      <c r="E2749" s="8" t="s">
        <v>13199</v>
      </c>
      <c r="F2749" s="8"/>
      <c r="G2749" s="8" t="s">
        <v>31</v>
      </c>
      <c r="H2749" s="8" t="s">
        <v>111</v>
      </c>
      <c r="I2749" s="8" t="s">
        <v>109</v>
      </c>
      <c r="J2749" s="8" t="s">
        <v>1921</v>
      </c>
      <c r="K2749" s="10" t="s">
        <v>10604</v>
      </c>
      <c r="L2749" s="8" t="s">
        <v>34</v>
      </c>
      <c r="M2749" s="8" t="s">
        <v>35</v>
      </c>
      <c r="N2749" s="11">
        <v>45126.0</v>
      </c>
      <c r="O2749" s="11">
        <v>45243.0</v>
      </c>
      <c r="P2749" s="11">
        <v>45299.0</v>
      </c>
      <c r="Q2749" s="11"/>
      <c r="R2749" s="11"/>
      <c r="S2749" s="12"/>
      <c r="T2749" s="8" t="s">
        <v>205</v>
      </c>
      <c r="U2749" s="8" t="s">
        <v>10605</v>
      </c>
      <c r="V2749" s="13" t="s">
        <v>38</v>
      </c>
      <c r="W2749" s="13" t="s">
        <v>13200</v>
      </c>
      <c r="X2749" s="12"/>
      <c r="Y2749" s="14"/>
      <c r="Z2749" s="14"/>
    </row>
    <row r="2750">
      <c r="A2750" s="8" t="s">
        <v>13201</v>
      </c>
      <c r="B2750" s="8" t="s">
        <v>13202</v>
      </c>
      <c r="C2750" s="8" t="s">
        <v>25</v>
      </c>
      <c r="D2750" s="8" t="s">
        <v>26</v>
      </c>
      <c r="E2750" s="8" t="s">
        <v>13203</v>
      </c>
      <c r="F2750" s="8"/>
      <c r="G2750" s="8" t="s">
        <v>31</v>
      </c>
      <c r="H2750" s="8" t="s">
        <v>86</v>
      </c>
      <c r="I2750" s="8" t="s">
        <v>6352</v>
      </c>
      <c r="J2750" s="8" t="s">
        <v>6353</v>
      </c>
      <c r="K2750" s="10" t="s">
        <v>9693</v>
      </c>
      <c r="L2750" s="8" t="s">
        <v>58</v>
      </c>
      <c r="M2750" s="8" t="s">
        <v>35</v>
      </c>
      <c r="N2750" s="11">
        <v>45127.0</v>
      </c>
      <c r="O2750" s="11">
        <v>45159.0</v>
      </c>
      <c r="P2750" s="11">
        <v>45201.0</v>
      </c>
      <c r="Q2750" s="11">
        <v>45160.0</v>
      </c>
      <c r="R2750" s="11">
        <v>45201.0</v>
      </c>
      <c r="S2750" s="12"/>
      <c r="T2750" s="8"/>
      <c r="U2750" s="8" t="s">
        <v>1038</v>
      </c>
      <c r="V2750" s="13" t="s">
        <v>38</v>
      </c>
      <c r="W2750" s="13" t="s">
        <v>13204</v>
      </c>
      <c r="X2750" s="12"/>
      <c r="Y2750" s="14"/>
      <c r="Z2750" s="14"/>
    </row>
    <row r="2751">
      <c r="A2751" s="8" t="s">
        <v>13205</v>
      </c>
      <c r="B2751" s="8" t="s">
        <v>13206</v>
      </c>
      <c r="C2751" s="8" t="s">
        <v>25</v>
      </c>
      <c r="D2751" s="8" t="s">
        <v>26</v>
      </c>
      <c r="E2751" s="8" t="s">
        <v>13207</v>
      </c>
      <c r="F2751" s="8"/>
      <c r="G2751" s="8" t="s">
        <v>31</v>
      </c>
      <c r="H2751" s="8" t="s">
        <v>86</v>
      </c>
      <c r="I2751" s="8" t="s">
        <v>6352</v>
      </c>
      <c r="J2751" s="8" t="s">
        <v>6353</v>
      </c>
      <c r="K2751" s="10" t="s">
        <v>9693</v>
      </c>
      <c r="L2751" s="8" t="s">
        <v>58</v>
      </c>
      <c r="M2751" s="8" t="s">
        <v>35</v>
      </c>
      <c r="N2751" s="11">
        <v>45127.0</v>
      </c>
      <c r="O2751" s="11">
        <v>45159.0</v>
      </c>
      <c r="P2751" s="11">
        <v>45201.0</v>
      </c>
      <c r="Q2751" s="11">
        <v>45160.0</v>
      </c>
      <c r="R2751" s="11">
        <v>45201.0</v>
      </c>
      <c r="S2751" s="12"/>
      <c r="T2751" s="8"/>
      <c r="U2751" s="8" t="s">
        <v>1038</v>
      </c>
      <c r="V2751" s="13" t="s">
        <v>38</v>
      </c>
      <c r="W2751" s="13" t="s">
        <v>13208</v>
      </c>
      <c r="X2751" s="12"/>
      <c r="Y2751" s="14"/>
      <c r="Z2751" s="14"/>
    </row>
    <row r="2752">
      <c r="A2752" s="8" t="s">
        <v>13209</v>
      </c>
      <c r="B2752" s="8" t="s">
        <v>13210</v>
      </c>
      <c r="C2752" s="8" t="s">
        <v>708</v>
      </c>
      <c r="D2752" s="8" t="s">
        <v>26</v>
      </c>
      <c r="E2752" s="8" t="s">
        <v>13211</v>
      </c>
      <c r="F2752" s="8">
        <v>6.75854136E8</v>
      </c>
      <c r="G2752" s="8" t="s">
        <v>1216</v>
      </c>
      <c r="H2752" s="8" t="s">
        <v>13212</v>
      </c>
      <c r="I2752" s="8" t="s">
        <v>31</v>
      </c>
      <c r="J2752" s="8" t="s">
        <v>111</v>
      </c>
      <c r="K2752" s="10" t="s">
        <v>910</v>
      </c>
      <c r="L2752" s="8" t="s">
        <v>47</v>
      </c>
      <c r="M2752" s="8" t="s">
        <v>70</v>
      </c>
      <c r="N2752" s="11">
        <v>45127.0</v>
      </c>
      <c r="O2752" s="11">
        <v>45153.0</v>
      </c>
      <c r="P2752" s="11">
        <v>45458.0</v>
      </c>
      <c r="Q2752" s="11">
        <v>45153.0</v>
      </c>
      <c r="R2752" s="11">
        <v>45458.0</v>
      </c>
      <c r="S2752" s="12"/>
      <c r="T2752" s="8"/>
      <c r="U2752" s="8" t="s">
        <v>246</v>
      </c>
      <c r="V2752" s="13" t="s">
        <v>13213</v>
      </c>
      <c r="W2752" s="13" t="s">
        <v>13214</v>
      </c>
      <c r="X2752" s="12"/>
      <c r="Y2752" s="14"/>
      <c r="Z2752" s="14"/>
    </row>
    <row r="2753">
      <c r="A2753" s="8" t="s">
        <v>13215</v>
      </c>
      <c r="B2753" s="8" t="s">
        <v>13216</v>
      </c>
      <c r="C2753" s="8" t="s">
        <v>179</v>
      </c>
      <c r="D2753" s="8" t="s">
        <v>26</v>
      </c>
      <c r="E2753" s="8" t="s">
        <v>13217</v>
      </c>
      <c r="F2753" s="8">
        <v>5.050992199E9</v>
      </c>
      <c r="G2753" s="8" t="s">
        <v>31</v>
      </c>
      <c r="H2753" s="8" t="s">
        <v>167</v>
      </c>
      <c r="I2753" s="8" t="s">
        <v>29</v>
      </c>
      <c r="J2753" s="8" t="s">
        <v>2448</v>
      </c>
      <c r="K2753" s="10" t="s">
        <v>13218</v>
      </c>
      <c r="L2753" s="8" t="s">
        <v>58</v>
      </c>
      <c r="M2753" s="8" t="s">
        <v>35</v>
      </c>
      <c r="N2753" s="11">
        <v>45127.0</v>
      </c>
      <c r="O2753" s="11">
        <v>45127.0</v>
      </c>
      <c r="P2753" s="11">
        <v>45169.0</v>
      </c>
      <c r="Q2753" s="11"/>
      <c r="R2753" s="11"/>
      <c r="S2753" s="12"/>
      <c r="T2753" s="8"/>
      <c r="U2753" s="8" t="s">
        <v>130</v>
      </c>
      <c r="V2753" s="13" t="s">
        <v>167</v>
      </c>
      <c r="W2753" s="13" t="s">
        <v>13219</v>
      </c>
      <c r="X2753" s="12"/>
      <c r="Y2753" s="14"/>
      <c r="Z2753" s="14"/>
    </row>
    <row r="2754">
      <c r="A2754" s="8" t="s">
        <v>13220</v>
      </c>
      <c r="B2754" s="8" t="s">
        <v>13221</v>
      </c>
      <c r="C2754" s="8" t="s">
        <v>25</v>
      </c>
      <c r="D2754" s="8" t="s">
        <v>26</v>
      </c>
      <c r="E2754" s="8" t="s">
        <v>13222</v>
      </c>
      <c r="F2754" s="8">
        <v>5.411854064E9</v>
      </c>
      <c r="G2754" s="8" t="s">
        <v>31</v>
      </c>
      <c r="H2754" s="8" t="s">
        <v>86</v>
      </c>
      <c r="I2754" s="8" t="s">
        <v>284</v>
      </c>
      <c r="J2754" s="8" t="s">
        <v>854</v>
      </c>
      <c r="K2754" s="10" t="s">
        <v>13223</v>
      </c>
      <c r="L2754" s="8" t="s">
        <v>58</v>
      </c>
      <c r="M2754" s="8" t="s">
        <v>35</v>
      </c>
      <c r="N2754" s="11">
        <v>45127.0</v>
      </c>
      <c r="O2754" s="11">
        <v>45159.0</v>
      </c>
      <c r="P2754" s="11">
        <v>45201.0</v>
      </c>
      <c r="Q2754" s="11">
        <v>45163.0</v>
      </c>
      <c r="R2754" s="11">
        <v>45203.0</v>
      </c>
      <c r="S2754" s="12"/>
      <c r="T2754" s="8"/>
      <c r="U2754" s="8" t="s">
        <v>88</v>
      </c>
      <c r="V2754" s="13" t="s">
        <v>175</v>
      </c>
      <c r="W2754" s="13" t="s">
        <v>13224</v>
      </c>
      <c r="X2754" s="12"/>
      <c r="Y2754" s="14"/>
      <c r="Z2754" s="14"/>
    </row>
    <row r="2755">
      <c r="A2755" s="8" t="s">
        <v>13225</v>
      </c>
      <c r="B2755" s="8" t="s">
        <v>13226</v>
      </c>
      <c r="C2755" s="8" t="s">
        <v>25</v>
      </c>
      <c r="D2755" s="8" t="s">
        <v>26</v>
      </c>
      <c r="E2755" s="8" t="s">
        <v>13227</v>
      </c>
      <c r="F2755" s="8">
        <v>7.073968635E9</v>
      </c>
      <c r="G2755" s="8" t="s">
        <v>496</v>
      </c>
      <c r="H2755" s="8" t="s">
        <v>497</v>
      </c>
      <c r="I2755" s="8" t="s">
        <v>31</v>
      </c>
      <c r="J2755" s="8" t="s">
        <v>542</v>
      </c>
      <c r="K2755" s="10" t="s">
        <v>10212</v>
      </c>
      <c r="L2755" s="8" t="s">
        <v>58</v>
      </c>
      <c r="M2755" s="8" t="s">
        <v>35</v>
      </c>
      <c r="N2755" s="11">
        <v>45127.0</v>
      </c>
      <c r="O2755" s="11">
        <v>45141.0</v>
      </c>
      <c r="P2755" s="11">
        <v>45183.0</v>
      </c>
      <c r="Q2755" s="11">
        <v>45134.0</v>
      </c>
      <c r="R2755" s="11">
        <v>45183.0</v>
      </c>
      <c r="S2755" s="12"/>
      <c r="T2755" s="8"/>
      <c r="U2755" s="8" t="s">
        <v>59</v>
      </c>
      <c r="V2755" s="13" t="s">
        <v>500</v>
      </c>
      <c r="W2755" s="13" t="s">
        <v>13228</v>
      </c>
      <c r="X2755" s="12"/>
      <c r="Y2755" s="14"/>
      <c r="Z2755" s="14"/>
    </row>
    <row r="2756">
      <c r="A2756" s="8" t="s">
        <v>13229</v>
      </c>
      <c r="B2756" s="8" t="s">
        <v>13230</v>
      </c>
      <c r="C2756" s="8" t="s">
        <v>25</v>
      </c>
      <c r="D2756" s="8" t="s">
        <v>26</v>
      </c>
      <c r="E2756" s="8" t="s">
        <v>13231</v>
      </c>
      <c r="F2756" s="8">
        <v>7.472875408E9</v>
      </c>
      <c r="G2756" s="8" t="s">
        <v>496</v>
      </c>
      <c r="H2756" s="8" t="s">
        <v>497</v>
      </c>
      <c r="I2756" s="8" t="s">
        <v>31</v>
      </c>
      <c r="J2756" s="8" t="s">
        <v>542</v>
      </c>
      <c r="K2756" s="10" t="s">
        <v>10212</v>
      </c>
      <c r="L2756" s="8" t="s">
        <v>58</v>
      </c>
      <c r="M2756" s="8" t="s">
        <v>35</v>
      </c>
      <c r="N2756" s="11">
        <v>45127.0</v>
      </c>
      <c r="O2756" s="11">
        <v>45141.0</v>
      </c>
      <c r="P2756" s="11">
        <v>45183.0</v>
      </c>
      <c r="Q2756" s="11">
        <v>45134.0</v>
      </c>
      <c r="R2756" s="11">
        <v>45183.0</v>
      </c>
      <c r="S2756" s="12"/>
      <c r="T2756" s="8"/>
      <c r="U2756" s="8" t="s">
        <v>59</v>
      </c>
      <c r="V2756" s="13" t="s">
        <v>500</v>
      </c>
      <c r="W2756" s="13" t="s">
        <v>13232</v>
      </c>
      <c r="X2756" s="12"/>
      <c r="Y2756" s="14"/>
      <c r="Z2756" s="14"/>
    </row>
    <row r="2757">
      <c r="A2757" s="8" t="s">
        <v>13233</v>
      </c>
      <c r="B2757" s="8" t="s">
        <v>13234</v>
      </c>
      <c r="C2757" s="8" t="s">
        <v>179</v>
      </c>
      <c r="D2757" s="8" t="s">
        <v>26</v>
      </c>
      <c r="E2757" s="8" t="s">
        <v>13235</v>
      </c>
      <c r="F2757" s="8">
        <v>1.279492074E9</v>
      </c>
      <c r="G2757" s="8" t="s">
        <v>284</v>
      </c>
      <c r="H2757" s="8" t="s">
        <v>673</v>
      </c>
      <c r="I2757" s="8" t="s">
        <v>31</v>
      </c>
      <c r="J2757" s="8" t="s">
        <v>292</v>
      </c>
      <c r="K2757" s="10" t="s">
        <v>12973</v>
      </c>
      <c r="L2757" s="8" t="s">
        <v>58</v>
      </c>
      <c r="M2757" s="8" t="s">
        <v>35</v>
      </c>
      <c r="N2757" s="11">
        <v>45127.0</v>
      </c>
      <c r="O2757" s="11">
        <v>45152.0</v>
      </c>
      <c r="P2757" s="11">
        <v>45194.0</v>
      </c>
      <c r="Q2757" s="11"/>
      <c r="R2757" s="11"/>
      <c r="S2757" s="12"/>
      <c r="T2757" s="8"/>
      <c r="U2757" s="8" t="s">
        <v>88</v>
      </c>
      <c r="V2757" s="13" t="s">
        <v>674</v>
      </c>
      <c r="W2757" s="13" t="s">
        <v>13236</v>
      </c>
      <c r="X2757" s="12"/>
      <c r="Y2757" s="14"/>
      <c r="Z2757" s="14"/>
    </row>
    <row r="2758">
      <c r="A2758" s="8" t="s">
        <v>13237</v>
      </c>
      <c r="B2758" s="8" t="s">
        <v>13238</v>
      </c>
      <c r="C2758" s="8" t="s">
        <v>25</v>
      </c>
      <c r="D2758" s="8" t="s">
        <v>26</v>
      </c>
      <c r="E2758" s="8" t="s">
        <v>13239</v>
      </c>
      <c r="F2758" s="8">
        <v>5.1919305E7</v>
      </c>
      <c r="G2758" s="8" t="s">
        <v>54</v>
      </c>
      <c r="H2758" s="8" t="s">
        <v>244</v>
      </c>
      <c r="I2758" s="8" t="s">
        <v>31</v>
      </c>
      <c r="J2758" s="8" t="s">
        <v>1274</v>
      </c>
      <c r="K2758" s="10" t="s">
        <v>1641</v>
      </c>
      <c r="L2758" s="8" t="s">
        <v>58</v>
      </c>
      <c r="M2758" s="8" t="s">
        <v>35</v>
      </c>
      <c r="N2758" s="11">
        <v>45127.0</v>
      </c>
      <c r="O2758" s="11">
        <v>45145.0</v>
      </c>
      <c r="P2758" s="11">
        <v>45187.0</v>
      </c>
      <c r="Q2758" s="11">
        <v>45145.0</v>
      </c>
      <c r="R2758" s="11">
        <v>45187.0</v>
      </c>
      <c r="S2758" s="12"/>
      <c r="T2758" s="8"/>
      <c r="U2758" s="8" t="s">
        <v>185</v>
      </c>
      <c r="V2758" s="13" t="s">
        <v>13240</v>
      </c>
      <c r="W2758" s="13" t="s">
        <v>13241</v>
      </c>
      <c r="X2758" s="12"/>
      <c r="Y2758" s="14"/>
      <c r="Z2758" s="14"/>
    </row>
    <row r="2759">
      <c r="A2759" s="8" t="s">
        <v>13242</v>
      </c>
      <c r="B2759" s="8" t="s">
        <v>13243</v>
      </c>
      <c r="C2759" s="8" t="s">
        <v>179</v>
      </c>
      <c r="D2759" s="8" t="s">
        <v>26</v>
      </c>
      <c r="E2759" s="8" t="s">
        <v>13244</v>
      </c>
      <c r="F2759" s="8">
        <v>5.0703602E7</v>
      </c>
      <c r="G2759" s="8" t="s">
        <v>54</v>
      </c>
      <c r="H2759" s="8" t="s">
        <v>377</v>
      </c>
      <c r="I2759" s="8" t="s">
        <v>31</v>
      </c>
      <c r="J2759" s="8" t="s">
        <v>102</v>
      </c>
      <c r="K2759" s="10" t="s">
        <v>13245</v>
      </c>
      <c r="L2759" s="8" t="s">
        <v>34</v>
      </c>
      <c r="M2759" s="8" t="s">
        <v>70</v>
      </c>
      <c r="N2759" s="11">
        <v>45127.0</v>
      </c>
      <c r="O2759" s="11">
        <v>45170.0</v>
      </c>
      <c r="P2759" s="11">
        <v>45536.0</v>
      </c>
      <c r="Q2759" s="11"/>
      <c r="R2759" s="11"/>
      <c r="S2759" s="12"/>
      <c r="T2759" s="8" t="s">
        <v>121</v>
      </c>
      <c r="U2759" s="8" t="s">
        <v>13246</v>
      </c>
      <c r="V2759" s="13" t="s">
        <v>13247</v>
      </c>
      <c r="W2759" s="13" t="s">
        <v>13248</v>
      </c>
      <c r="X2759" s="12"/>
      <c r="Y2759" s="14"/>
      <c r="Z2759" s="14"/>
    </row>
    <row r="2760">
      <c r="A2760" s="8" t="s">
        <v>13249</v>
      </c>
      <c r="B2760" s="8" t="s">
        <v>13250</v>
      </c>
      <c r="C2760" s="8" t="s">
        <v>25</v>
      </c>
      <c r="D2760" s="8" t="s">
        <v>26</v>
      </c>
      <c r="E2760" s="8" t="s">
        <v>13251</v>
      </c>
      <c r="F2760" s="8"/>
      <c r="G2760" s="8" t="s">
        <v>31</v>
      </c>
      <c r="H2760" s="8" t="s">
        <v>86</v>
      </c>
      <c r="I2760" s="8" t="s">
        <v>230</v>
      </c>
      <c r="J2760" s="8" t="s">
        <v>543</v>
      </c>
      <c r="K2760" s="10" t="s">
        <v>13252</v>
      </c>
      <c r="L2760" s="8" t="s">
        <v>58</v>
      </c>
      <c r="M2760" s="8" t="s">
        <v>35</v>
      </c>
      <c r="N2760" s="11">
        <v>45127.0</v>
      </c>
      <c r="O2760" s="11">
        <v>45186.0</v>
      </c>
      <c r="P2760" s="11">
        <v>45228.0</v>
      </c>
      <c r="Q2760" s="11">
        <v>45187.0</v>
      </c>
      <c r="R2760" s="11">
        <v>45228.0</v>
      </c>
      <c r="S2760" s="12"/>
      <c r="T2760" s="8"/>
      <c r="U2760" s="8" t="s">
        <v>185</v>
      </c>
      <c r="V2760" s="13" t="s">
        <v>38</v>
      </c>
      <c r="W2760" s="13" t="s">
        <v>13253</v>
      </c>
      <c r="X2760" s="12"/>
      <c r="Y2760" s="14"/>
      <c r="Z2760" s="14"/>
    </row>
    <row r="2761">
      <c r="A2761" s="8" t="s">
        <v>13254</v>
      </c>
      <c r="B2761" s="8" t="s">
        <v>13255</v>
      </c>
      <c r="C2761" s="8" t="s">
        <v>179</v>
      </c>
      <c r="D2761" s="8" t="s">
        <v>26</v>
      </c>
      <c r="E2761" s="8" t="s">
        <v>13256</v>
      </c>
      <c r="F2761" s="8"/>
      <c r="G2761" s="8" t="s">
        <v>44</v>
      </c>
      <c r="H2761" s="8" t="s">
        <v>741</v>
      </c>
      <c r="I2761" s="8" t="s">
        <v>31</v>
      </c>
      <c r="J2761" s="8" t="s">
        <v>86</v>
      </c>
      <c r="K2761" s="10" t="s">
        <v>2453</v>
      </c>
      <c r="L2761" s="8" t="s">
        <v>58</v>
      </c>
      <c r="M2761" s="8" t="s">
        <v>35</v>
      </c>
      <c r="N2761" s="11">
        <v>45127.0</v>
      </c>
      <c r="O2761" s="11">
        <v>45444.0</v>
      </c>
      <c r="P2761" s="11">
        <v>45486.0</v>
      </c>
      <c r="Q2761" s="11"/>
      <c r="R2761" s="11"/>
      <c r="S2761" s="12"/>
      <c r="T2761" s="8"/>
      <c r="U2761" s="8" t="s">
        <v>59</v>
      </c>
      <c r="V2761" s="13" t="s">
        <v>38</v>
      </c>
      <c r="W2761" s="13" t="s">
        <v>13257</v>
      </c>
      <c r="X2761" s="12"/>
      <c r="Y2761" s="14"/>
      <c r="Z2761" s="14"/>
    </row>
    <row r="2762">
      <c r="A2762" s="8" t="s">
        <v>13258</v>
      </c>
      <c r="B2762" s="8" t="s">
        <v>13259</v>
      </c>
      <c r="C2762" s="8" t="s">
        <v>179</v>
      </c>
      <c r="D2762" s="8" t="s">
        <v>26</v>
      </c>
      <c r="E2762" s="8" t="s">
        <v>13260</v>
      </c>
      <c r="F2762" s="8"/>
      <c r="G2762" s="8" t="s">
        <v>8356</v>
      </c>
      <c r="H2762" s="8" t="s">
        <v>13261</v>
      </c>
      <c r="I2762" s="8" t="s">
        <v>31</v>
      </c>
      <c r="J2762" s="8" t="s">
        <v>56</v>
      </c>
      <c r="K2762" s="10" t="s">
        <v>12447</v>
      </c>
      <c r="L2762" s="8" t="s">
        <v>58</v>
      </c>
      <c r="M2762" s="8" t="s">
        <v>35</v>
      </c>
      <c r="N2762" s="11">
        <v>45128.0</v>
      </c>
      <c r="O2762" s="11">
        <v>45418.0</v>
      </c>
      <c r="P2762" s="11">
        <v>45460.0</v>
      </c>
      <c r="Q2762" s="11"/>
      <c r="R2762" s="11"/>
      <c r="S2762" s="12"/>
      <c r="T2762" s="8"/>
      <c r="U2762" s="8" t="s">
        <v>185</v>
      </c>
      <c r="V2762" s="13" t="s">
        <v>38</v>
      </c>
      <c r="W2762" s="13" t="s">
        <v>13262</v>
      </c>
      <c r="X2762" s="12"/>
      <c r="Y2762" s="14"/>
      <c r="Z2762" s="14"/>
    </row>
    <row r="2763">
      <c r="A2763" s="8" t="s">
        <v>13263</v>
      </c>
      <c r="B2763" s="8" t="s">
        <v>13264</v>
      </c>
      <c r="C2763" s="8" t="s">
        <v>179</v>
      </c>
      <c r="D2763" s="8" t="s">
        <v>26</v>
      </c>
      <c r="E2763" s="8" t="s">
        <v>13265</v>
      </c>
      <c r="F2763" s="8">
        <v>5.063574351E9</v>
      </c>
      <c r="G2763" s="8" t="s">
        <v>31</v>
      </c>
      <c r="H2763" s="8" t="s">
        <v>438</v>
      </c>
      <c r="I2763" s="8" t="s">
        <v>284</v>
      </c>
      <c r="J2763" s="8" t="s">
        <v>285</v>
      </c>
      <c r="K2763" s="10" t="s">
        <v>3841</v>
      </c>
      <c r="L2763" s="8" t="s">
        <v>58</v>
      </c>
      <c r="M2763" s="8" t="s">
        <v>35</v>
      </c>
      <c r="N2763" s="11">
        <v>45128.0</v>
      </c>
      <c r="O2763" s="11">
        <v>45261.0</v>
      </c>
      <c r="P2763" s="11">
        <v>45303.0</v>
      </c>
      <c r="Q2763" s="11"/>
      <c r="R2763" s="11"/>
      <c r="S2763" s="12"/>
      <c r="T2763" s="8"/>
      <c r="U2763" s="8" t="s">
        <v>1038</v>
      </c>
      <c r="V2763" s="13" t="s">
        <v>438</v>
      </c>
      <c r="W2763" s="13" t="s">
        <v>13266</v>
      </c>
      <c r="X2763" s="12"/>
      <c r="Y2763" s="14"/>
      <c r="Z2763" s="14"/>
    </row>
    <row r="2764">
      <c r="A2764" s="8" t="s">
        <v>13267</v>
      </c>
      <c r="B2764" s="8" t="s">
        <v>13268</v>
      </c>
      <c r="C2764" s="8" t="s">
        <v>25</v>
      </c>
      <c r="D2764" s="8" t="s">
        <v>26</v>
      </c>
      <c r="E2764" s="8" t="s">
        <v>13269</v>
      </c>
      <c r="F2764" s="8">
        <v>3.515070412E9</v>
      </c>
      <c r="G2764" s="8" t="s">
        <v>29</v>
      </c>
      <c r="H2764" s="8" t="s">
        <v>9867</v>
      </c>
      <c r="I2764" s="8" t="s">
        <v>31</v>
      </c>
      <c r="J2764" s="8" t="s">
        <v>77</v>
      </c>
      <c r="K2764" s="10" t="s">
        <v>2537</v>
      </c>
      <c r="L2764" s="8" t="s">
        <v>58</v>
      </c>
      <c r="M2764" s="8" t="s">
        <v>35</v>
      </c>
      <c r="N2764" s="11">
        <v>45128.0</v>
      </c>
      <c r="O2764" s="11">
        <v>45145.0</v>
      </c>
      <c r="P2764" s="11">
        <v>45187.0</v>
      </c>
      <c r="Q2764" s="11">
        <v>45144.0</v>
      </c>
      <c r="R2764" s="11">
        <v>45187.0</v>
      </c>
      <c r="S2764" s="12"/>
      <c r="T2764" s="8"/>
      <c r="U2764" s="8" t="s">
        <v>88</v>
      </c>
      <c r="V2764" s="13" t="s">
        <v>38</v>
      </c>
      <c r="W2764" s="13" t="s">
        <v>13270</v>
      </c>
      <c r="X2764" s="12"/>
      <c r="Y2764" s="14"/>
      <c r="Z2764" s="14"/>
    </row>
    <row r="2765">
      <c r="A2765" s="8" t="s">
        <v>13271</v>
      </c>
      <c r="B2765" s="8" t="s">
        <v>5210</v>
      </c>
      <c r="C2765" s="8" t="s">
        <v>25</v>
      </c>
      <c r="D2765" s="8" t="s">
        <v>26</v>
      </c>
      <c r="E2765" s="8" t="s">
        <v>5211</v>
      </c>
      <c r="F2765" s="8">
        <v>5.3752081E9</v>
      </c>
      <c r="G2765" s="8" t="s">
        <v>31</v>
      </c>
      <c r="H2765" s="8" t="s">
        <v>66</v>
      </c>
      <c r="I2765" s="8" t="s">
        <v>284</v>
      </c>
      <c r="J2765" s="8" t="s">
        <v>793</v>
      </c>
      <c r="K2765" s="10" t="s">
        <v>2688</v>
      </c>
      <c r="L2765" s="8" t="s">
        <v>58</v>
      </c>
      <c r="M2765" s="8" t="s">
        <v>35</v>
      </c>
      <c r="N2765" s="11">
        <v>45128.0</v>
      </c>
      <c r="O2765" s="11">
        <v>45139.0</v>
      </c>
      <c r="P2765" s="11">
        <v>45181.0</v>
      </c>
      <c r="Q2765" s="11">
        <v>45153.0</v>
      </c>
      <c r="R2765" s="11">
        <v>45200.0</v>
      </c>
      <c r="S2765" s="12"/>
      <c r="T2765" s="8"/>
      <c r="U2765" s="8" t="s">
        <v>1038</v>
      </c>
      <c r="V2765" s="13" t="s">
        <v>5212</v>
      </c>
      <c r="W2765" s="13" t="s">
        <v>5213</v>
      </c>
      <c r="X2765" s="12"/>
      <c r="Y2765" s="14"/>
      <c r="Z2765" s="14"/>
    </row>
    <row r="2766">
      <c r="A2766" s="8" t="s">
        <v>13272</v>
      </c>
      <c r="B2766" s="8" t="s">
        <v>13273</v>
      </c>
      <c r="C2766" s="8" t="s">
        <v>179</v>
      </c>
      <c r="D2766" s="8" t="s">
        <v>26</v>
      </c>
      <c r="E2766" s="8" t="s">
        <v>13274</v>
      </c>
      <c r="F2766" s="8">
        <v>2.1441027E7</v>
      </c>
      <c r="G2766" s="8" t="s">
        <v>54</v>
      </c>
      <c r="H2766" s="8" t="s">
        <v>595</v>
      </c>
      <c r="I2766" s="8" t="s">
        <v>31</v>
      </c>
      <c r="J2766" s="8" t="s">
        <v>167</v>
      </c>
      <c r="K2766" s="10" t="s">
        <v>10618</v>
      </c>
      <c r="L2766" s="8" t="s">
        <v>58</v>
      </c>
      <c r="M2766" s="8" t="s">
        <v>35</v>
      </c>
      <c r="N2766" s="11">
        <v>45128.0</v>
      </c>
      <c r="O2766" s="11">
        <v>45152.0</v>
      </c>
      <c r="P2766" s="11">
        <v>45194.0</v>
      </c>
      <c r="Q2766" s="11"/>
      <c r="R2766" s="11"/>
      <c r="S2766" s="12"/>
      <c r="T2766" s="8"/>
      <c r="U2766" s="8" t="s">
        <v>88</v>
      </c>
      <c r="V2766" s="13" t="s">
        <v>2961</v>
      </c>
      <c r="W2766" s="13" t="s">
        <v>13275</v>
      </c>
      <c r="X2766" s="12"/>
      <c r="Y2766" s="14"/>
      <c r="Z2766" s="14"/>
    </row>
    <row r="2767">
      <c r="A2767" s="8" t="s">
        <v>13276</v>
      </c>
      <c r="B2767" s="8" t="s">
        <v>13277</v>
      </c>
      <c r="C2767" s="8" t="s">
        <v>179</v>
      </c>
      <c r="D2767" s="8" t="s">
        <v>26</v>
      </c>
      <c r="E2767" s="8" t="s">
        <v>13278</v>
      </c>
      <c r="F2767" s="8">
        <v>1.28254275E9</v>
      </c>
      <c r="G2767" s="8" t="s">
        <v>284</v>
      </c>
      <c r="H2767" s="8" t="s">
        <v>673</v>
      </c>
      <c r="I2767" s="8" t="s">
        <v>31</v>
      </c>
      <c r="J2767" s="8" t="s">
        <v>542</v>
      </c>
      <c r="K2767" s="10" t="s">
        <v>8953</v>
      </c>
      <c r="L2767" s="8" t="s">
        <v>34</v>
      </c>
      <c r="M2767" s="8" t="s">
        <v>70</v>
      </c>
      <c r="N2767" s="11">
        <v>45128.0</v>
      </c>
      <c r="O2767" s="11">
        <v>45184.0</v>
      </c>
      <c r="P2767" s="11">
        <v>45548.0</v>
      </c>
      <c r="Q2767" s="11"/>
      <c r="R2767" s="11"/>
      <c r="S2767" s="12"/>
      <c r="T2767" s="8" t="s">
        <v>36</v>
      </c>
      <c r="U2767" s="8" t="s">
        <v>8954</v>
      </c>
      <c r="V2767" s="13" t="s">
        <v>674</v>
      </c>
      <c r="W2767" s="13" t="s">
        <v>13279</v>
      </c>
      <c r="X2767" s="12"/>
      <c r="Y2767" s="14"/>
      <c r="Z2767" s="14"/>
    </row>
    <row r="2768">
      <c r="A2768" s="8" t="s">
        <v>13280</v>
      </c>
      <c r="B2768" s="8" t="s">
        <v>13281</v>
      </c>
      <c r="C2768" s="8" t="s">
        <v>708</v>
      </c>
      <c r="D2768" s="8" t="s">
        <v>26</v>
      </c>
      <c r="E2768" s="8" t="s">
        <v>13282</v>
      </c>
      <c r="F2768" s="8">
        <v>1.220527299E9</v>
      </c>
      <c r="G2768" s="8" t="s">
        <v>284</v>
      </c>
      <c r="H2768" s="8" t="s">
        <v>673</v>
      </c>
      <c r="I2768" s="8" t="s">
        <v>31</v>
      </c>
      <c r="J2768" s="8" t="s">
        <v>542</v>
      </c>
      <c r="K2768" s="10" t="s">
        <v>8953</v>
      </c>
      <c r="L2768" s="8" t="s">
        <v>34</v>
      </c>
      <c r="M2768" s="8" t="s">
        <v>70</v>
      </c>
      <c r="N2768" s="11">
        <v>45128.0</v>
      </c>
      <c r="O2768" s="11">
        <v>45184.0</v>
      </c>
      <c r="P2768" s="11">
        <v>45548.0</v>
      </c>
      <c r="Q2768" s="11">
        <v>45215.0</v>
      </c>
      <c r="R2768" s="11">
        <v>45579.0</v>
      </c>
      <c r="S2768" s="12"/>
      <c r="T2768" s="8" t="s">
        <v>36</v>
      </c>
      <c r="U2768" s="8" t="s">
        <v>8954</v>
      </c>
      <c r="V2768" s="13" t="s">
        <v>674</v>
      </c>
      <c r="W2768" s="13" t="s">
        <v>13283</v>
      </c>
      <c r="X2768" s="12"/>
      <c r="Y2768" s="14"/>
      <c r="Z2768" s="14"/>
    </row>
    <row r="2769">
      <c r="A2769" s="8" t="s">
        <v>13284</v>
      </c>
      <c r="B2769" s="8" t="s">
        <v>13285</v>
      </c>
      <c r="C2769" s="8" t="s">
        <v>708</v>
      </c>
      <c r="D2769" s="8" t="s">
        <v>26</v>
      </c>
      <c r="E2769" s="8" t="s">
        <v>13286</v>
      </c>
      <c r="F2769" s="8">
        <v>2.1101174E7</v>
      </c>
      <c r="G2769" s="8" t="s">
        <v>54</v>
      </c>
      <c r="H2769" s="8" t="s">
        <v>244</v>
      </c>
      <c r="I2769" s="8" t="s">
        <v>31</v>
      </c>
      <c r="J2769" s="8" t="s">
        <v>111</v>
      </c>
      <c r="K2769" s="10" t="s">
        <v>1744</v>
      </c>
      <c r="L2769" s="8" t="s">
        <v>47</v>
      </c>
      <c r="M2769" s="8" t="s">
        <v>70</v>
      </c>
      <c r="N2769" s="11">
        <v>45129.0</v>
      </c>
      <c r="O2769" s="11">
        <v>45166.0</v>
      </c>
      <c r="P2769" s="11">
        <v>45527.0</v>
      </c>
      <c r="Q2769" s="11">
        <v>45166.0</v>
      </c>
      <c r="R2769" s="11">
        <v>45527.0</v>
      </c>
      <c r="S2769" s="12"/>
      <c r="T2769" s="8"/>
      <c r="U2769" s="8" t="s">
        <v>1745</v>
      </c>
      <c r="V2769" s="13" t="s">
        <v>7952</v>
      </c>
      <c r="W2769" s="13" t="s">
        <v>13287</v>
      </c>
      <c r="X2769" s="12"/>
      <c r="Y2769" s="14"/>
      <c r="Z2769" s="14"/>
    </row>
    <row r="2770">
      <c r="A2770" s="8" t="s">
        <v>13288</v>
      </c>
      <c r="B2770" s="8" t="s">
        <v>13289</v>
      </c>
      <c r="C2770" s="8" t="s">
        <v>708</v>
      </c>
      <c r="D2770" s="8" t="s">
        <v>26</v>
      </c>
      <c r="E2770" s="8" t="s">
        <v>13290</v>
      </c>
      <c r="F2770" s="8">
        <v>2.8414168E7</v>
      </c>
      <c r="G2770" s="8" t="s">
        <v>54</v>
      </c>
      <c r="H2770" s="8" t="s">
        <v>237</v>
      </c>
      <c r="I2770" s="8" t="s">
        <v>31</v>
      </c>
      <c r="J2770" s="8" t="s">
        <v>542</v>
      </c>
      <c r="K2770" s="10" t="s">
        <v>13291</v>
      </c>
      <c r="L2770" s="8" t="s">
        <v>34</v>
      </c>
      <c r="M2770" s="8" t="s">
        <v>70</v>
      </c>
      <c r="N2770" s="11">
        <v>45129.0</v>
      </c>
      <c r="O2770" s="11">
        <v>45169.0</v>
      </c>
      <c r="P2770" s="11">
        <v>45517.0</v>
      </c>
      <c r="Q2770" s="11">
        <v>45153.0</v>
      </c>
      <c r="R2770" s="11">
        <v>45517.0</v>
      </c>
      <c r="S2770" s="12"/>
      <c r="T2770" s="8" t="s">
        <v>36</v>
      </c>
      <c r="U2770" s="8" t="s">
        <v>13292</v>
      </c>
      <c r="V2770" s="13" t="s">
        <v>384</v>
      </c>
      <c r="W2770" s="13" t="s">
        <v>13293</v>
      </c>
      <c r="X2770" s="12"/>
      <c r="Y2770" s="14"/>
      <c r="Z2770" s="14"/>
    </row>
    <row r="2771">
      <c r="A2771" s="8" t="s">
        <v>13294</v>
      </c>
      <c r="B2771" s="8" t="s">
        <v>13295</v>
      </c>
      <c r="C2771" s="8" t="s">
        <v>251</v>
      </c>
      <c r="D2771" s="8" t="s">
        <v>26</v>
      </c>
      <c r="E2771" s="8" t="s">
        <v>13296</v>
      </c>
      <c r="F2771" s="8">
        <v>1.114051197E9</v>
      </c>
      <c r="G2771" s="8" t="s">
        <v>284</v>
      </c>
      <c r="H2771" s="8" t="s">
        <v>625</v>
      </c>
      <c r="I2771" s="8" t="s">
        <v>31</v>
      </c>
      <c r="J2771" s="8" t="s">
        <v>111</v>
      </c>
      <c r="K2771" s="10" t="s">
        <v>11494</v>
      </c>
      <c r="L2771" s="8" t="s">
        <v>47</v>
      </c>
      <c r="M2771" s="8" t="s">
        <v>70</v>
      </c>
      <c r="N2771" s="11">
        <v>45129.0</v>
      </c>
      <c r="O2771" s="11">
        <v>45159.0</v>
      </c>
      <c r="P2771" s="11">
        <v>45527.0</v>
      </c>
      <c r="Q2771" s="11"/>
      <c r="R2771" s="11"/>
      <c r="S2771" s="12"/>
      <c r="T2771" s="8"/>
      <c r="U2771" s="8" t="s">
        <v>795</v>
      </c>
      <c r="V2771" s="13" t="s">
        <v>626</v>
      </c>
      <c r="W2771" s="13" t="s">
        <v>13297</v>
      </c>
      <c r="X2771" s="12"/>
      <c r="Y2771" s="14"/>
      <c r="Z2771" s="14"/>
    </row>
    <row r="2772">
      <c r="A2772" s="8" t="s">
        <v>13298</v>
      </c>
      <c r="B2772" s="8" t="s">
        <v>13299</v>
      </c>
      <c r="C2772" s="8" t="s">
        <v>708</v>
      </c>
      <c r="D2772" s="8" t="s">
        <v>26</v>
      </c>
      <c r="E2772" s="8" t="s">
        <v>13300</v>
      </c>
      <c r="F2772" s="8">
        <v>6.69165205E8</v>
      </c>
      <c r="G2772" s="8" t="s">
        <v>254</v>
      </c>
      <c r="H2772" s="8" t="s">
        <v>3087</v>
      </c>
      <c r="I2772" s="8" t="s">
        <v>31</v>
      </c>
      <c r="J2772" s="8" t="s">
        <v>77</v>
      </c>
      <c r="K2772" s="10" t="s">
        <v>2410</v>
      </c>
      <c r="L2772" s="8" t="s">
        <v>47</v>
      </c>
      <c r="M2772" s="8" t="s">
        <v>70</v>
      </c>
      <c r="N2772" s="11">
        <v>45130.0</v>
      </c>
      <c r="O2772" s="11">
        <v>45173.0</v>
      </c>
      <c r="P2772" s="11">
        <v>45464.0</v>
      </c>
      <c r="Q2772" s="11">
        <v>45179.0</v>
      </c>
      <c r="R2772" s="11">
        <v>45471.0</v>
      </c>
      <c r="S2772" s="12"/>
      <c r="T2772" s="8"/>
      <c r="U2772" s="8" t="s">
        <v>2411</v>
      </c>
      <c r="V2772" s="13" t="s">
        <v>3088</v>
      </c>
      <c r="W2772" s="13" t="s">
        <v>13301</v>
      </c>
      <c r="X2772" s="12"/>
      <c r="Y2772" s="14"/>
      <c r="Z2772" s="14"/>
    </row>
    <row r="2773">
      <c r="A2773" s="8" t="s">
        <v>13302</v>
      </c>
      <c r="B2773" s="8" t="s">
        <v>13303</v>
      </c>
      <c r="C2773" s="8" t="s">
        <v>251</v>
      </c>
      <c r="D2773" s="8" t="s">
        <v>26</v>
      </c>
      <c r="E2773" s="8" t="s">
        <v>13304</v>
      </c>
      <c r="F2773" s="8">
        <v>3.02867001E9</v>
      </c>
      <c r="G2773" s="8" t="s">
        <v>315</v>
      </c>
      <c r="H2773" s="8" t="s">
        <v>11745</v>
      </c>
      <c r="I2773" s="8" t="s">
        <v>31</v>
      </c>
      <c r="J2773" s="8" t="s">
        <v>256</v>
      </c>
      <c r="K2773" s="10" t="s">
        <v>2570</v>
      </c>
      <c r="L2773" s="8" t="s">
        <v>58</v>
      </c>
      <c r="M2773" s="8" t="s">
        <v>35</v>
      </c>
      <c r="N2773" s="11">
        <v>45130.0</v>
      </c>
      <c r="O2773" s="11">
        <v>45153.0</v>
      </c>
      <c r="P2773" s="11">
        <v>45195.0</v>
      </c>
      <c r="Q2773" s="11"/>
      <c r="R2773" s="11"/>
      <c r="S2773" s="12"/>
      <c r="T2773" s="8"/>
      <c r="U2773" s="8" t="s">
        <v>59</v>
      </c>
      <c r="V2773" s="13" t="s">
        <v>12757</v>
      </c>
      <c r="W2773" s="13" t="s">
        <v>13305</v>
      </c>
      <c r="X2773" s="12"/>
      <c r="Y2773" s="14"/>
      <c r="Z2773" s="14"/>
    </row>
    <row r="2774">
      <c r="A2774" s="8" t="s">
        <v>13306</v>
      </c>
      <c r="B2774" s="8" t="s">
        <v>13307</v>
      </c>
      <c r="C2774" s="8" t="s">
        <v>708</v>
      </c>
      <c r="D2774" s="8" t="s">
        <v>26</v>
      </c>
      <c r="E2774" s="8" t="s">
        <v>13308</v>
      </c>
      <c r="F2774" s="8">
        <v>5.54016577E9</v>
      </c>
      <c r="G2774" s="8" t="s">
        <v>54</v>
      </c>
      <c r="H2774" s="8" t="s">
        <v>135</v>
      </c>
      <c r="I2774" s="8" t="s">
        <v>31</v>
      </c>
      <c r="J2774" s="8" t="s">
        <v>438</v>
      </c>
      <c r="K2774" s="10" t="s">
        <v>13309</v>
      </c>
      <c r="L2774" s="8" t="s">
        <v>47</v>
      </c>
      <c r="M2774" s="8" t="s">
        <v>70</v>
      </c>
      <c r="N2774" s="11">
        <v>45130.0</v>
      </c>
      <c r="O2774" s="11">
        <v>45170.0</v>
      </c>
      <c r="P2774" s="11">
        <v>45458.0</v>
      </c>
      <c r="Q2774" s="11">
        <v>45170.0</v>
      </c>
      <c r="R2774" s="11">
        <v>45458.0</v>
      </c>
      <c r="S2774" s="12"/>
      <c r="T2774" s="8"/>
      <c r="U2774" s="8" t="s">
        <v>13310</v>
      </c>
      <c r="V2774" s="13" t="s">
        <v>358</v>
      </c>
      <c r="W2774" s="13" t="s">
        <v>13311</v>
      </c>
      <c r="X2774" s="12"/>
      <c r="Y2774" s="14"/>
      <c r="Z2774" s="14"/>
    </row>
    <row r="2775">
      <c r="A2775" s="8" t="s">
        <v>13312</v>
      </c>
      <c r="B2775" s="8" t="s">
        <v>13313</v>
      </c>
      <c r="C2775" s="8" t="s">
        <v>25</v>
      </c>
      <c r="D2775" s="8" t="s">
        <v>26</v>
      </c>
      <c r="E2775" s="8" t="s">
        <v>13314</v>
      </c>
      <c r="F2775" s="8">
        <v>5.6063542E7</v>
      </c>
      <c r="G2775" s="8" t="s">
        <v>54</v>
      </c>
      <c r="H2775" s="8" t="s">
        <v>76</v>
      </c>
      <c r="I2775" s="8" t="s">
        <v>31</v>
      </c>
      <c r="J2775" s="8" t="s">
        <v>77</v>
      </c>
      <c r="K2775" s="10" t="s">
        <v>2537</v>
      </c>
      <c r="L2775" s="8" t="s">
        <v>58</v>
      </c>
      <c r="M2775" s="8" t="s">
        <v>35</v>
      </c>
      <c r="N2775" s="11">
        <v>45130.0</v>
      </c>
      <c r="O2775" s="11">
        <v>45145.0</v>
      </c>
      <c r="P2775" s="11">
        <v>45187.0</v>
      </c>
      <c r="Q2775" s="11">
        <v>45145.0</v>
      </c>
      <c r="R2775" s="11">
        <v>45187.0</v>
      </c>
      <c r="S2775" s="12"/>
      <c r="T2775" s="8"/>
      <c r="U2775" s="8" t="s">
        <v>88</v>
      </c>
      <c r="V2775" s="13" t="s">
        <v>324</v>
      </c>
      <c r="W2775" s="13" t="s">
        <v>13315</v>
      </c>
      <c r="X2775" s="12"/>
      <c r="Y2775" s="14"/>
      <c r="Z2775" s="14"/>
    </row>
    <row r="2776">
      <c r="A2776" s="8" t="s">
        <v>13316</v>
      </c>
      <c r="B2776" s="8" t="s">
        <v>13317</v>
      </c>
      <c r="C2776" s="8" t="s">
        <v>179</v>
      </c>
      <c r="D2776" s="8" t="s">
        <v>26</v>
      </c>
      <c r="E2776" s="8" t="s">
        <v>13318</v>
      </c>
      <c r="F2776" s="8"/>
      <c r="G2776" s="8" t="s">
        <v>2381</v>
      </c>
      <c r="H2776" s="8" t="s">
        <v>2382</v>
      </c>
      <c r="I2776" s="8" t="s">
        <v>31</v>
      </c>
      <c r="J2776" s="8" t="s">
        <v>111</v>
      </c>
      <c r="K2776" s="10" t="s">
        <v>468</v>
      </c>
      <c r="L2776" s="8" t="s">
        <v>58</v>
      </c>
      <c r="M2776" s="8" t="s">
        <v>35</v>
      </c>
      <c r="N2776" s="11">
        <v>45130.0</v>
      </c>
      <c r="O2776" s="11">
        <v>45243.0</v>
      </c>
      <c r="P2776" s="11">
        <v>45285.0</v>
      </c>
      <c r="Q2776" s="11"/>
      <c r="R2776" s="11"/>
      <c r="S2776" s="12"/>
      <c r="T2776" s="8"/>
      <c r="U2776" s="8" t="s">
        <v>59</v>
      </c>
      <c r="V2776" s="13" t="s">
        <v>38</v>
      </c>
      <c r="W2776" s="13" t="s">
        <v>13319</v>
      </c>
      <c r="X2776" s="12"/>
      <c r="Y2776" s="14"/>
      <c r="Z2776" s="14"/>
    </row>
    <row r="2777">
      <c r="A2777" s="8" t="s">
        <v>13320</v>
      </c>
      <c r="B2777" s="8" t="s">
        <v>13321</v>
      </c>
      <c r="C2777" s="8" t="s">
        <v>179</v>
      </c>
      <c r="D2777" s="8" t="s">
        <v>26</v>
      </c>
      <c r="E2777" s="8" t="s">
        <v>13322</v>
      </c>
      <c r="F2777" s="8">
        <v>1.002675819E9</v>
      </c>
      <c r="G2777" s="8" t="s">
        <v>284</v>
      </c>
      <c r="H2777" s="8" t="s">
        <v>1422</v>
      </c>
      <c r="I2777" s="8" t="s">
        <v>31</v>
      </c>
      <c r="J2777" s="8" t="s">
        <v>542</v>
      </c>
      <c r="K2777" s="10" t="s">
        <v>5473</v>
      </c>
      <c r="L2777" s="8" t="s">
        <v>47</v>
      </c>
      <c r="M2777" s="8" t="s">
        <v>70</v>
      </c>
      <c r="N2777" s="11">
        <v>45131.0</v>
      </c>
      <c r="O2777" s="11">
        <v>45153.0</v>
      </c>
      <c r="P2777" s="11">
        <v>45504.0</v>
      </c>
      <c r="Q2777" s="11"/>
      <c r="R2777" s="11"/>
      <c r="S2777" s="12"/>
      <c r="T2777" s="8" t="s">
        <v>121</v>
      </c>
      <c r="U2777" s="8" t="s">
        <v>5474</v>
      </c>
      <c r="V2777" s="13" t="s">
        <v>1424</v>
      </c>
      <c r="W2777" s="13" t="s">
        <v>13323</v>
      </c>
      <c r="X2777" s="12"/>
      <c r="Y2777" s="14"/>
      <c r="Z2777" s="14"/>
    </row>
    <row r="2778">
      <c r="A2778" s="8" t="s">
        <v>13324</v>
      </c>
      <c r="B2778" s="8" t="s">
        <v>8030</v>
      </c>
      <c r="C2778" s="8" t="s">
        <v>179</v>
      </c>
      <c r="D2778" s="8" t="s">
        <v>26</v>
      </c>
      <c r="E2778" s="8" t="s">
        <v>8031</v>
      </c>
      <c r="F2778" s="8">
        <v>5.35089435E9</v>
      </c>
      <c r="G2778" s="8" t="s">
        <v>31</v>
      </c>
      <c r="H2778" s="8" t="s">
        <v>56</v>
      </c>
      <c r="I2778" s="8" t="s">
        <v>284</v>
      </c>
      <c r="J2778" s="8" t="s">
        <v>589</v>
      </c>
      <c r="K2778" s="10" t="s">
        <v>13325</v>
      </c>
      <c r="L2778" s="8" t="s">
        <v>58</v>
      </c>
      <c r="M2778" s="8" t="s">
        <v>35</v>
      </c>
      <c r="N2778" s="11">
        <v>45131.0</v>
      </c>
      <c r="O2778" s="11">
        <v>45148.0</v>
      </c>
      <c r="P2778" s="11">
        <v>45190.0</v>
      </c>
      <c r="Q2778" s="11"/>
      <c r="R2778" s="11">
        <v>45175.0</v>
      </c>
      <c r="S2778" s="12"/>
      <c r="T2778" s="8"/>
      <c r="U2778" s="8" t="s">
        <v>153</v>
      </c>
      <c r="V2778" s="13" t="s">
        <v>4518</v>
      </c>
      <c r="W2778" s="13" t="s">
        <v>8033</v>
      </c>
      <c r="X2778" s="12"/>
      <c r="Y2778" s="14"/>
      <c r="Z2778" s="14"/>
    </row>
    <row r="2779">
      <c r="A2779" s="8" t="s">
        <v>13326</v>
      </c>
      <c r="B2779" s="8" t="s">
        <v>13327</v>
      </c>
      <c r="C2779" s="8" t="s">
        <v>25</v>
      </c>
      <c r="D2779" s="8" t="s">
        <v>26</v>
      </c>
      <c r="E2779" s="8" t="s">
        <v>13328</v>
      </c>
      <c r="F2779" s="8">
        <v>5.41571876E8</v>
      </c>
      <c r="G2779" s="8" t="s">
        <v>254</v>
      </c>
      <c r="H2779" s="8" t="s">
        <v>758</v>
      </c>
      <c r="I2779" s="8" t="s">
        <v>31</v>
      </c>
      <c r="J2779" s="8" t="s">
        <v>292</v>
      </c>
      <c r="K2779" s="10" t="s">
        <v>10106</v>
      </c>
      <c r="L2779" s="8" t="s">
        <v>58</v>
      </c>
      <c r="M2779" s="8" t="s">
        <v>35</v>
      </c>
      <c r="N2779" s="11">
        <v>45131.0</v>
      </c>
      <c r="O2779" s="11">
        <v>45131.0</v>
      </c>
      <c r="P2779" s="11">
        <v>45173.0</v>
      </c>
      <c r="Q2779" s="11">
        <v>45139.0</v>
      </c>
      <c r="R2779" s="11">
        <v>45179.0</v>
      </c>
      <c r="S2779" s="12"/>
      <c r="T2779" s="8"/>
      <c r="U2779" s="8" t="s">
        <v>88</v>
      </c>
      <c r="V2779" s="13" t="s">
        <v>1194</v>
      </c>
      <c r="W2779" s="13" t="s">
        <v>13329</v>
      </c>
      <c r="X2779" s="12"/>
      <c r="Y2779" s="14"/>
      <c r="Z2779" s="14"/>
    </row>
    <row r="2780">
      <c r="A2780" s="8" t="s">
        <v>13330</v>
      </c>
      <c r="B2780" s="8" t="s">
        <v>13331</v>
      </c>
      <c r="C2780" s="8" t="s">
        <v>25</v>
      </c>
      <c r="D2780" s="8" t="s">
        <v>26</v>
      </c>
      <c r="E2780" s="8" t="s">
        <v>13332</v>
      </c>
      <c r="F2780" s="8">
        <v>5.49572183E8</v>
      </c>
      <c r="G2780" s="8" t="s">
        <v>254</v>
      </c>
      <c r="H2780" s="8" t="s">
        <v>758</v>
      </c>
      <c r="I2780" s="8" t="s">
        <v>31</v>
      </c>
      <c r="J2780" s="8" t="s">
        <v>542</v>
      </c>
      <c r="K2780" s="10" t="s">
        <v>11666</v>
      </c>
      <c r="L2780" s="8" t="s">
        <v>58</v>
      </c>
      <c r="M2780" s="8" t="s">
        <v>35</v>
      </c>
      <c r="N2780" s="11">
        <v>45131.0</v>
      </c>
      <c r="O2780" s="11">
        <v>45201.0</v>
      </c>
      <c r="P2780" s="11">
        <v>45243.0</v>
      </c>
      <c r="Q2780" s="11">
        <v>45214.0</v>
      </c>
      <c r="R2780" s="11">
        <v>45257.0</v>
      </c>
      <c r="S2780" s="12"/>
      <c r="T2780" s="8"/>
      <c r="U2780" s="8" t="s">
        <v>161</v>
      </c>
      <c r="V2780" s="13" t="s">
        <v>295</v>
      </c>
      <c r="W2780" s="13" t="s">
        <v>13333</v>
      </c>
      <c r="X2780" s="12"/>
      <c r="Y2780" s="14"/>
      <c r="Z2780" s="14"/>
    </row>
    <row r="2781">
      <c r="A2781" s="8" t="s">
        <v>13334</v>
      </c>
      <c r="B2781" s="8" t="s">
        <v>13335</v>
      </c>
      <c r="C2781" s="8" t="s">
        <v>64</v>
      </c>
      <c r="D2781" s="8" t="s">
        <v>26</v>
      </c>
      <c r="E2781" s="8" t="s">
        <v>13336</v>
      </c>
      <c r="F2781" s="8">
        <v>5.358565366E9</v>
      </c>
      <c r="G2781" s="8" t="s">
        <v>31</v>
      </c>
      <c r="H2781" s="8" t="s">
        <v>56</v>
      </c>
      <c r="I2781" s="8" t="s">
        <v>399</v>
      </c>
      <c r="J2781" s="8" t="s">
        <v>4868</v>
      </c>
      <c r="K2781" s="10" t="s">
        <v>4869</v>
      </c>
      <c r="L2781" s="8" t="s">
        <v>58</v>
      </c>
      <c r="M2781" s="8" t="s">
        <v>35</v>
      </c>
      <c r="N2781" s="11">
        <v>45131.0</v>
      </c>
      <c r="O2781" s="11">
        <v>45145.0</v>
      </c>
      <c r="P2781" s="11">
        <v>45187.0</v>
      </c>
      <c r="Q2781" s="11">
        <v>45151.0</v>
      </c>
      <c r="R2781" s="11">
        <v>45191.0</v>
      </c>
      <c r="S2781" s="12"/>
      <c r="T2781" s="8"/>
      <c r="U2781" s="8" t="s">
        <v>4870</v>
      </c>
      <c r="V2781" s="13" t="s">
        <v>56</v>
      </c>
      <c r="W2781" s="13" t="s">
        <v>13337</v>
      </c>
      <c r="X2781" s="12"/>
      <c r="Y2781" s="14"/>
      <c r="Z2781" s="14"/>
    </row>
    <row r="2782">
      <c r="A2782" s="8" t="s">
        <v>13338</v>
      </c>
      <c r="B2782" s="8" t="s">
        <v>5291</v>
      </c>
      <c r="C2782" s="8" t="s">
        <v>25</v>
      </c>
      <c r="D2782" s="8" t="s">
        <v>26</v>
      </c>
      <c r="E2782" s="8" t="s">
        <v>5292</v>
      </c>
      <c r="F2782" s="8">
        <v>2.7106629E7</v>
      </c>
      <c r="G2782" s="8" t="s">
        <v>54</v>
      </c>
      <c r="H2782" s="8" t="s">
        <v>135</v>
      </c>
      <c r="I2782" s="8" t="s">
        <v>31</v>
      </c>
      <c r="J2782" s="8" t="s">
        <v>86</v>
      </c>
      <c r="K2782" s="10" t="s">
        <v>578</v>
      </c>
      <c r="L2782" s="8" t="s">
        <v>58</v>
      </c>
      <c r="M2782" s="8" t="s">
        <v>35</v>
      </c>
      <c r="N2782" s="11">
        <v>45131.0</v>
      </c>
      <c r="O2782" s="11">
        <v>45152.0</v>
      </c>
      <c r="P2782" s="11">
        <v>45194.0</v>
      </c>
      <c r="Q2782" s="11">
        <v>45156.0</v>
      </c>
      <c r="R2782" s="11">
        <v>45198.0</v>
      </c>
      <c r="S2782" s="12"/>
      <c r="T2782" s="8"/>
      <c r="U2782" s="8" t="s">
        <v>59</v>
      </c>
      <c r="V2782" s="13" t="s">
        <v>138</v>
      </c>
      <c r="W2782" s="13" t="s">
        <v>5295</v>
      </c>
      <c r="X2782" s="12"/>
      <c r="Y2782" s="14"/>
      <c r="Z2782" s="14"/>
    </row>
    <row r="2783">
      <c r="A2783" s="8" t="s">
        <v>13339</v>
      </c>
      <c r="B2783" s="8" t="s">
        <v>13340</v>
      </c>
      <c r="C2783" s="8" t="s">
        <v>64</v>
      </c>
      <c r="D2783" s="8" t="s">
        <v>26</v>
      </c>
      <c r="E2783" s="8" t="s">
        <v>13341</v>
      </c>
      <c r="F2783" s="8">
        <v>5.416047784E9</v>
      </c>
      <c r="G2783" s="8" t="s">
        <v>31</v>
      </c>
      <c r="H2783" s="8" t="s">
        <v>111</v>
      </c>
      <c r="I2783" s="8" t="s">
        <v>399</v>
      </c>
      <c r="J2783" s="8" t="s">
        <v>4868</v>
      </c>
      <c r="K2783" s="10" t="s">
        <v>13342</v>
      </c>
      <c r="L2783" s="8" t="s">
        <v>58</v>
      </c>
      <c r="M2783" s="8" t="s">
        <v>35</v>
      </c>
      <c r="N2783" s="11">
        <v>45131.0</v>
      </c>
      <c r="O2783" s="11">
        <v>45139.0</v>
      </c>
      <c r="P2783" s="11">
        <v>45181.0</v>
      </c>
      <c r="Q2783" s="11">
        <v>45142.0</v>
      </c>
      <c r="R2783" s="11">
        <v>45182.0</v>
      </c>
      <c r="S2783" s="12"/>
      <c r="T2783" s="8"/>
      <c r="U2783" s="8" t="s">
        <v>59</v>
      </c>
      <c r="V2783" s="13" t="s">
        <v>111</v>
      </c>
      <c r="W2783" s="13" t="s">
        <v>13343</v>
      </c>
      <c r="X2783" s="12"/>
      <c r="Y2783" s="14"/>
      <c r="Z2783" s="14"/>
    </row>
    <row r="2784">
      <c r="A2784" s="8" t="s">
        <v>13344</v>
      </c>
      <c r="B2784" s="8" t="s">
        <v>13345</v>
      </c>
      <c r="C2784" s="8" t="s">
        <v>25</v>
      </c>
      <c r="D2784" s="8" t="s">
        <v>26</v>
      </c>
      <c r="E2784" s="8" t="s">
        <v>13346</v>
      </c>
      <c r="F2784" s="8">
        <v>5.41978296E8</v>
      </c>
      <c r="G2784" s="8" t="s">
        <v>254</v>
      </c>
      <c r="H2784" s="8" t="s">
        <v>255</v>
      </c>
      <c r="I2784" s="8" t="s">
        <v>31</v>
      </c>
      <c r="J2784" s="8" t="s">
        <v>77</v>
      </c>
      <c r="K2784" s="10" t="s">
        <v>2537</v>
      </c>
      <c r="L2784" s="8" t="s">
        <v>58</v>
      </c>
      <c r="M2784" s="8" t="s">
        <v>35</v>
      </c>
      <c r="N2784" s="11">
        <v>45131.0</v>
      </c>
      <c r="O2784" s="11">
        <v>45159.0</v>
      </c>
      <c r="P2784" s="11">
        <v>45201.0</v>
      </c>
      <c r="Q2784" s="11">
        <v>45169.0</v>
      </c>
      <c r="R2784" s="11">
        <v>45211.0</v>
      </c>
      <c r="S2784" s="12"/>
      <c r="T2784" s="8"/>
      <c r="U2784" s="8" t="s">
        <v>88</v>
      </c>
      <c r="V2784" s="13" t="s">
        <v>258</v>
      </c>
      <c r="W2784" s="13" t="s">
        <v>13347</v>
      </c>
      <c r="X2784" s="12"/>
      <c r="Y2784" s="14"/>
      <c r="Z2784" s="14"/>
    </row>
    <row r="2785">
      <c r="A2785" s="8" t="s">
        <v>13348</v>
      </c>
      <c r="B2785" s="8" t="s">
        <v>13349</v>
      </c>
      <c r="C2785" s="8" t="s">
        <v>179</v>
      </c>
      <c r="D2785" s="8" t="s">
        <v>26</v>
      </c>
      <c r="E2785" s="8" t="s">
        <v>13350</v>
      </c>
      <c r="F2785" s="8">
        <v>5.4320106E9</v>
      </c>
      <c r="G2785" s="8" t="s">
        <v>31</v>
      </c>
      <c r="H2785" s="8" t="s">
        <v>56</v>
      </c>
      <c r="I2785" s="8" t="s">
        <v>54</v>
      </c>
      <c r="J2785" s="8" t="s">
        <v>135</v>
      </c>
      <c r="K2785" s="10" t="s">
        <v>13351</v>
      </c>
      <c r="L2785" s="8" t="s">
        <v>58</v>
      </c>
      <c r="M2785" s="8" t="s">
        <v>35</v>
      </c>
      <c r="N2785" s="11">
        <v>45131.0</v>
      </c>
      <c r="O2785" s="11">
        <v>45139.0</v>
      </c>
      <c r="P2785" s="11">
        <v>45181.0</v>
      </c>
      <c r="Q2785" s="11"/>
      <c r="R2785" s="11"/>
      <c r="S2785" s="12"/>
      <c r="T2785" s="8"/>
      <c r="U2785" s="8" t="s">
        <v>4870</v>
      </c>
      <c r="V2785" s="13" t="s">
        <v>56</v>
      </c>
      <c r="W2785" s="13" t="s">
        <v>13352</v>
      </c>
      <c r="X2785" s="12"/>
      <c r="Y2785" s="14"/>
      <c r="Z2785" s="14"/>
    </row>
    <row r="2786">
      <c r="A2786" s="8" t="s">
        <v>13353</v>
      </c>
      <c r="B2786" s="8" t="s">
        <v>13354</v>
      </c>
      <c r="C2786" s="8" t="s">
        <v>251</v>
      </c>
      <c r="D2786" s="8" t="s">
        <v>26</v>
      </c>
      <c r="E2786" s="8" t="s">
        <v>13355</v>
      </c>
      <c r="F2786" s="8">
        <v>1.022225582E9</v>
      </c>
      <c r="G2786" s="8" t="s">
        <v>284</v>
      </c>
      <c r="H2786" s="8" t="s">
        <v>5202</v>
      </c>
      <c r="I2786" s="8" t="s">
        <v>31</v>
      </c>
      <c r="J2786" s="8" t="s">
        <v>111</v>
      </c>
      <c r="K2786" s="10" t="s">
        <v>13356</v>
      </c>
      <c r="L2786" s="8" t="s">
        <v>47</v>
      </c>
      <c r="M2786" s="8" t="s">
        <v>70</v>
      </c>
      <c r="N2786" s="11">
        <v>45131.0</v>
      </c>
      <c r="O2786" s="11">
        <v>45159.0</v>
      </c>
      <c r="P2786" s="11">
        <v>45520.0</v>
      </c>
      <c r="Q2786" s="11"/>
      <c r="R2786" s="11"/>
      <c r="S2786" s="12"/>
      <c r="T2786" s="8"/>
      <c r="U2786" s="8" t="s">
        <v>246</v>
      </c>
      <c r="V2786" s="13" t="s">
        <v>5669</v>
      </c>
      <c r="W2786" s="13" t="s">
        <v>13357</v>
      </c>
      <c r="X2786" s="12"/>
      <c r="Y2786" s="14"/>
      <c r="Z2786" s="14"/>
    </row>
    <row r="2787">
      <c r="A2787" s="8" t="s">
        <v>13358</v>
      </c>
      <c r="B2787" s="8" t="s">
        <v>13359</v>
      </c>
      <c r="C2787" s="8" t="s">
        <v>25</v>
      </c>
      <c r="D2787" s="8" t="s">
        <v>26</v>
      </c>
      <c r="E2787" s="8" t="s">
        <v>13360</v>
      </c>
      <c r="F2787" s="8"/>
      <c r="G2787" s="8" t="s">
        <v>31</v>
      </c>
      <c r="H2787" s="8" t="s">
        <v>56</v>
      </c>
      <c r="I2787" s="8" t="s">
        <v>399</v>
      </c>
      <c r="J2787" s="8" t="s">
        <v>2416</v>
      </c>
      <c r="K2787" s="10" t="s">
        <v>8308</v>
      </c>
      <c r="L2787" s="8" t="s">
        <v>58</v>
      </c>
      <c r="M2787" s="8" t="s">
        <v>35</v>
      </c>
      <c r="N2787" s="11">
        <v>45131.0</v>
      </c>
      <c r="O2787" s="11">
        <v>45172.0</v>
      </c>
      <c r="P2787" s="11">
        <v>45214.0</v>
      </c>
      <c r="Q2787" s="11">
        <v>45175.0</v>
      </c>
      <c r="R2787" s="11">
        <v>45215.0</v>
      </c>
      <c r="S2787" s="12"/>
      <c r="T2787" s="8"/>
      <c r="U2787" s="8" t="s">
        <v>402</v>
      </c>
      <c r="V2787" s="13" t="s">
        <v>38</v>
      </c>
      <c r="W2787" s="13" t="s">
        <v>13361</v>
      </c>
      <c r="X2787" s="12"/>
      <c r="Y2787" s="14"/>
      <c r="Z2787" s="14"/>
    </row>
    <row r="2788">
      <c r="A2788" s="8" t="s">
        <v>13362</v>
      </c>
      <c r="B2788" s="8" t="s">
        <v>13363</v>
      </c>
      <c r="C2788" s="8" t="s">
        <v>179</v>
      </c>
      <c r="D2788" s="8" t="s">
        <v>26</v>
      </c>
      <c r="E2788" s="8" t="s">
        <v>13364</v>
      </c>
      <c r="F2788" s="8">
        <v>1.029617021E9</v>
      </c>
      <c r="G2788" s="8" t="s">
        <v>284</v>
      </c>
      <c r="H2788" s="8" t="s">
        <v>1422</v>
      </c>
      <c r="I2788" s="8" t="s">
        <v>31</v>
      </c>
      <c r="J2788" s="8" t="s">
        <v>1274</v>
      </c>
      <c r="K2788" s="10" t="s">
        <v>11461</v>
      </c>
      <c r="L2788" s="8" t="s">
        <v>58</v>
      </c>
      <c r="M2788" s="8" t="s">
        <v>35</v>
      </c>
      <c r="N2788" s="11">
        <v>45131.0</v>
      </c>
      <c r="O2788" s="11">
        <v>45236.0</v>
      </c>
      <c r="P2788" s="11">
        <v>45278.0</v>
      </c>
      <c r="Q2788" s="11"/>
      <c r="R2788" s="11"/>
      <c r="S2788" s="12"/>
      <c r="T2788" s="8"/>
      <c r="U2788" s="8" t="s">
        <v>339</v>
      </c>
      <c r="V2788" s="13" t="s">
        <v>1424</v>
      </c>
      <c r="W2788" s="13" t="s">
        <v>13365</v>
      </c>
      <c r="X2788" s="12"/>
      <c r="Y2788" s="14"/>
      <c r="Z2788" s="14"/>
    </row>
    <row r="2789">
      <c r="A2789" s="8" t="s">
        <v>13366</v>
      </c>
      <c r="B2789" s="8" t="s">
        <v>13367</v>
      </c>
      <c r="C2789" s="8" t="s">
        <v>708</v>
      </c>
      <c r="D2789" s="8" t="s">
        <v>26</v>
      </c>
      <c r="E2789" s="8" t="s">
        <v>13368</v>
      </c>
      <c r="F2789" s="8">
        <v>2.0437404E7</v>
      </c>
      <c r="G2789" s="8" t="s">
        <v>54</v>
      </c>
      <c r="H2789" s="8" t="s">
        <v>76</v>
      </c>
      <c r="I2789" s="8" t="s">
        <v>31</v>
      </c>
      <c r="J2789" s="8" t="s">
        <v>77</v>
      </c>
      <c r="K2789" s="10" t="s">
        <v>13369</v>
      </c>
      <c r="L2789" s="8" t="s">
        <v>47</v>
      </c>
      <c r="M2789" s="8" t="s">
        <v>70</v>
      </c>
      <c r="N2789" s="11">
        <v>45131.0</v>
      </c>
      <c r="O2789" s="11">
        <v>45173.0</v>
      </c>
      <c r="P2789" s="11">
        <v>45447.0</v>
      </c>
      <c r="Q2789" s="11">
        <v>45179.0</v>
      </c>
      <c r="R2789" s="11">
        <v>45451.0</v>
      </c>
      <c r="S2789" s="12"/>
      <c r="T2789" s="8"/>
      <c r="U2789" s="8" t="s">
        <v>13370</v>
      </c>
      <c r="V2789" s="13" t="s">
        <v>491</v>
      </c>
      <c r="W2789" s="13" t="s">
        <v>13371</v>
      </c>
      <c r="X2789" s="12"/>
      <c r="Y2789" s="14"/>
      <c r="Z2789" s="14"/>
    </row>
    <row r="2790">
      <c r="A2790" s="8" t="s">
        <v>13372</v>
      </c>
      <c r="B2790" s="8" t="s">
        <v>10722</v>
      </c>
      <c r="C2790" s="8" t="s">
        <v>25</v>
      </c>
      <c r="D2790" s="8" t="s">
        <v>26</v>
      </c>
      <c r="E2790" s="8" t="s">
        <v>13373</v>
      </c>
      <c r="F2790" s="8">
        <v>7.473622476E9</v>
      </c>
      <c r="G2790" s="8" t="s">
        <v>496</v>
      </c>
      <c r="H2790" s="8" t="s">
        <v>497</v>
      </c>
      <c r="I2790" s="8" t="s">
        <v>31</v>
      </c>
      <c r="J2790" s="8" t="s">
        <v>256</v>
      </c>
      <c r="K2790" s="10" t="s">
        <v>4203</v>
      </c>
      <c r="L2790" s="8" t="s">
        <v>58</v>
      </c>
      <c r="M2790" s="8" t="s">
        <v>35</v>
      </c>
      <c r="N2790" s="11">
        <v>45132.0</v>
      </c>
      <c r="O2790" s="11">
        <v>45140.0</v>
      </c>
      <c r="P2790" s="11">
        <v>45182.0</v>
      </c>
      <c r="Q2790" s="11">
        <v>45138.0</v>
      </c>
      <c r="R2790" s="11">
        <v>45182.0</v>
      </c>
      <c r="S2790" s="12"/>
      <c r="T2790" s="8"/>
      <c r="U2790" s="8" t="s">
        <v>59</v>
      </c>
      <c r="V2790" s="13" t="s">
        <v>500</v>
      </c>
      <c r="W2790" s="13" t="s">
        <v>13374</v>
      </c>
      <c r="X2790" s="12"/>
      <c r="Y2790" s="14"/>
      <c r="Z2790" s="14"/>
    </row>
    <row r="2791">
      <c r="A2791" s="8" t="s">
        <v>13375</v>
      </c>
      <c r="B2791" s="8" t="s">
        <v>13376</v>
      </c>
      <c r="C2791" s="8" t="s">
        <v>179</v>
      </c>
      <c r="D2791" s="8" t="s">
        <v>26</v>
      </c>
      <c r="E2791" s="8" t="s">
        <v>13377</v>
      </c>
      <c r="F2791" s="8">
        <v>5.5679681E8</v>
      </c>
      <c r="G2791" s="8" t="s">
        <v>254</v>
      </c>
      <c r="H2791" s="8" t="s">
        <v>1484</v>
      </c>
      <c r="I2791" s="8" t="s">
        <v>31</v>
      </c>
      <c r="J2791" s="8" t="s">
        <v>136</v>
      </c>
      <c r="K2791" s="10" t="s">
        <v>8895</v>
      </c>
      <c r="L2791" s="8" t="s">
        <v>58</v>
      </c>
      <c r="M2791" s="8" t="s">
        <v>35</v>
      </c>
      <c r="N2791" s="11">
        <v>45132.0</v>
      </c>
      <c r="O2791" s="11">
        <v>45173.0</v>
      </c>
      <c r="P2791" s="11">
        <v>45215.0</v>
      </c>
      <c r="Q2791" s="11"/>
      <c r="R2791" s="11"/>
      <c r="S2791" s="12"/>
      <c r="T2791" s="8"/>
      <c r="U2791" s="8" t="s">
        <v>59</v>
      </c>
      <c r="V2791" s="13" t="s">
        <v>1487</v>
      </c>
      <c r="W2791" s="13" t="s">
        <v>13378</v>
      </c>
      <c r="X2791" s="12"/>
      <c r="Y2791" s="14"/>
      <c r="Z2791" s="14"/>
    </row>
    <row r="2792">
      <c r="A2792" s="8" t="s">
        <v>13379</v>
      </c>
      <c r="B2792" s="8" t="s">
        <v>816</v>
      </c>
      <c r="C2792" s="8" t="s">
        <v>179</v>
      </c>
      <c r="D2792" s="8" t="s">
        <v>26</v>
      </c>
      <c r="E2792" s="8" t="s">
        <v>817</v>
      </c>
      <c r="F2792" s="8">
        <v>5.346069981E9</v>
      </c>
      <c r="G2792" s="8" t="s">
        <v>818</v>
      </c>
      <c r="H2792" s="8" t="s">
        <v>819</v>
      </c>
      <c r="I2792" s="8" t="s">
        <v>31</v>
      </c>
      <c r="J2792" s="8" t="s">
        <v>292</v>
      </c>
      <c r="K2792" s="10" t="s">
        <v>5761</v>
      </c>
      <c r="L2792" s="8" t="s">
        <v>47</v>
      </c>
      <c r="M2792" s="8" t="s">
        <v>70</v>
      </c>
      <c r="N2792" s="11">
        <v>45132.0</v>
      </c>
      <c r="O2792" s="11">
        <v>45174.0</v>
      </c>
      <c r="P2792" s="11">
        <v>45540.0</v>
      </c>
      <c r="Q2792" s="11"/>
      <c r="R2792" s="11"/>
      <c r="S2792" s="12"/>
      <c r="T2792" s="8"/>
      <c r="U2792" s="8" t="s">
        <v>5424</v>
      </c>
      <c r="V2792" s="13" t="s">
        <v>822</v>
      </c>
      <c r="W2792" s="13" t="s">
        <v>823</v>
      </c>
      <c r="X2792" s="12"/>
      <c r="Y2792" s="14"/>
      <c r="Z2792" s="14"/>
    </row>
    <row r="2793">
      <c r="A2793" s="8" t="s">
        <v>13380</v>
      </c>
      <c r="B2793" s="8" t="s">
        <v>13381</v>
      </c>
      <c r="C2793" s="8" t="s">
        <v>25</v>
      </c>
      <c r="D2793" s="8" t="s">
        <v>26</v>
      </c>
      <c r="E2793" s="8" t="s">
        <v>13382</v>
      </c>
      <c r="F2793" s="8">
        <v>5.424180883E9</v>
      </c>
      <c r="G2793" s="8" t="s">
        <v>31</v>
      </c>
      <c r="H2793" s="8" t="s">
        <v>32</v>
      </c>
      <c r="I2793" s="8" t="s">
        <v>284</v>
      </c>
      <c r="J2793" s="8" t="s">
        <v>1764</v>
      </c>
      <c r="K2793" s="10" t="s">
        <v>13383</v>
      </c>
      <c r="L2793" s="8" t="s">
        <v>34</v>
      </c>
      <c r="M2793" s="8" t="s">
        <v>35</v>
      </c>
      <c r="N2793" s="11">
        <v>45132.0</v>
      </c>
      <c r="O2793" s="11">
        <v>45146.0</v>
      </c>
      <c r="P2793" s="11">
        <v>45229.0</v>
      </c>
      <c r="Q2793" s="11">
        <v>45148.0</v>
      </c>
      <c r="R2793" s="11">
        <v>45229.0</v>
      </c>
      <c r="S2793" s="12"/>
      <c r="T2793" s="8" t="s">
        <v>121</v>
      </c>
      <c r="U2793" s="8" t="s">
        <v>13384</v>
      </c>
      <c r="V2793" s="13" t="s">
        <v>4518</v>
      </c>
      <c r="W2793" s="13" t="s">
        <v>13385</v>
      </c>
      <c r="X2793" s="12"/>
      <c r="Y2793" s="14"/>
      <c r="Z2793" s="14"/>
    </row>
    <row r="2794">
      <c r="A2794" s="8" t="s">
        <v>13386</v>
      </c>
      <c r="B2794" s="8" t="s">
        <v>13387</v>
      </c>
      <c r="C2794" s="8" t="s">
        <v>251</v>
      </c>
      <c r="D2794" s="8" t="s">
        <v>26</v>
      </c>
      <c r="E2794" s="8" t="s">
        <v>13388</v>
      </c>
      <c r="F2794" s="8">
        <v>8.975672158E9</v>
      </c>
      <c r="G2794" s="8" t="s">
        <v>44</v>
      </c>
      <c r="H2794" s="8" t="s">
        <v>2054</v>
      </c>
      <c r="I2794" s="8" t="s">
        <v>31</v>
      </c>
      <c r="J2794" s="8" t="s">
        <v>438</v>
      </c>
      <c r="K2794" s="10" t="s">
        <v>13389</v>
      </c>
      <c r="L2794" s="8" t="s">
        <v>58</v>
      </c>
      <c r="M2794" s="8" t="s">
        <v>35</v>
      </c>
      <c r="N2794" s="11">
        <v>45132.0</v>
      </c>
      <c r="O2794" s="11">
        <v>45173.0</v>
      </c>
      <c r="P2794" s="11">
        <v>45215.0</v>
      </c>
      <c r="Q2794" s="11"/>
      <c r="R2794" s="11"/>
      <c r="S2794" s="12"/>
      <c r="T2794" s="8"/>
      <c r="U2794" s="8" t="s">
        <v>59</v>
      </c>
      <c r="V2794" s="13" t="s">
        <v>2054</v>
      </c>
      <c r="W2794" s="13" t="s">
        <v>13390</v>
      </c>
      <c r="X2794" s="12"/>
      <c r="Y2794" s="14"/>
      <c r="Z2794" s="14"/>
    </row>
    <row r="2795">
      <c r="A2795" s="8" t="s">
        <v>13391</v>
      </c>
      <c r="B2795" s="8" t="s">
        <v>13392</v>
      </c>
      <c r="C2795" s="8" t="s">
        <v>708</v>
      </c>
      <c r="D2795" s="8" t="s">
        <v>26</v>
      </c>
      <c r="E2795" s="8" t="s">
        <v>13393</v>
      </c>
      <c r="F2795" s="8">
        <v>9.291912054E9</v>
      </c>
      <c r="G2795" s="8" t="s">
        <v>6087</v>
      </c>
      <c r="H2795" s="8" t="s">
        <v>13394</v>
      </c>
      <c r="I2795" s="8" t="s">
        <v>31</v>
      </c>
      <c r="J2795" s="8" t="s">
        <v>220</v>
      </c>
      <c r="K2795" s="10" t="s">
        <v>13395</v>
      </c>
      <c r="L2795" s="8" t="s">
        <v>34</v>
      </c>
      <c r="M2795" s="8" t="s">
        <v>70</v>
      </c>
      <c r="N2795" s="11">
        <v>45132.0</v>
      </c>
      <c r="O2795" s="11">
        <v>45138.0</v>
      </c>
      <c r="P2795" s="11">
        <v>45504.0</v>
      </c>
      <c r="Q2795" s="11">
        <v>45159.0</v>
      </c>
      <c r="R2795" s="11">
        <v>45525.0</v>
      </c>
      <c r="S2795" s="12"/>
      <c r="T2795" s="8" t="s">
        <v>205</v>
      </c>
      <c r="U2795" s="8" t="s">
        <v>13396</v>
      </c>
      <c r="V2795" s="13" t="s">
        <v>13394</v>
      </c>
      <c r="W2795" s="13" t="s">
        <v>13397</v>
      </c>
      <c r="X2795" s="12"/>
      <c r="Y2795" s="14"/>
      <c r="Z2795" s="14"/>
    </row>
    <row r="2796">
      <c r="A2796" s="8" t="s">
        <v>13398</v>
      </c>
      <c r="B2796" s="8" t="s">
        <v>8276</v>
      </c>
      <c r="C2796" s="8" t="s">
        <v>708</v>
      </c>
      <c r="D2796" s="8" t="s">
        <v>26</v>
      </c>
      <c r="E2796" s="8" t="s">
        <v>8277</v>
      </c>
      <c r="F2796" s="8">
        <v>7.96625829E8</v>
      </c>
      <c r="G2796" s="8" t="s">
        <v>254</v>
      </c>
      <c r="H2796" s="8" t="s">
        <v>422</v>
      </c>
      <c r="I2796" s="8" t="s">
        <v>31</v>
      </c>
      <c r="J2796" s="8" t="s">
        <v>220</v>
      </c>
      <c r="K2796" s="10" t="s">
        <v>13399</v>
      </c>
      <c r="L2796" s="8" t="s">
        <v>34</v>
      </c>
      <c r="M2796" s="8" t="s">
        <v>70</v>
      </c>
      <c r="N2796" s="11">
        <v>45132.0</v>
      </c>
      <c r="O2796" s="11">
        <v>45140.0</v>
      </c>
      <c r="P2796" s="11">
        <v>45506.0</v>
      </c>
      <c r="Q2796" s="11">
        <v>45135.0</v>
      </c>
      <c r="R2796" s="11">
        <v>45506.0</v>
      </c>
      <c r="S2796" s="12"/>
      <c r="T2796" s="8" t="s">
        <v>205</v>
      </c>
      <c r="U2796" s="8" t="s">
        <v>4153</v>
      </c>
      <c r="V2796" s="13" t="s">
        <v>425</v>
      </c>
      <c r="W2796" s="13" t="s">
        <v>8280</v>
      </c>
      <c r="X2796" s="12"/>
      <c r="Y2796" s="14"/>
      <c r="Z2796" s="14"/>
    </row>
    <row r="2797">
      <c r="A2797" s="8" t="s">
        <v>13400</v>
      </c>
      <c r="B2797" s="8" t="s">
        <v>2949</v>
      </c>
      <c r="C2797" s="8" t="s">
        <v>708</v>
      </c>
      <c r="D2797" s="8" t="s">
        <v>26</v>
      </c>
      <c r="E2797" s="8" t="s">
        <v>2950</v>
      </c>
      <c r="F2797" s="8">
        <v>2.3525948E7</v>
      </c>
      <c r="G2797" s="8" t="s">
        <v>54</v>
      </c>
      <c r="H2797" s="8" t="s">
        <v>55</v>
      </c>
      <c r="I2797" s="8" t="s">
        <v>31</v>
      </c>
      <c r="J2797" s="8" t="s">
        <v>77</v>
      </c>
      <c r="K2797" s="10" t="s">
        <v>2849</v>
      </c>
      <c r="L2797" s="8" t="s">
        <v>47</v>
      </c>
      <c r="M2797" s="8" t="s">
        <v>70</v>
      </c>
      <c r="N2797" s="11">
        <v>45133.0</v>
      </c>
      <c r="O2797" s="11">
        <v>45180.0</v>
      </c>
      <c r="P2797" s="11">
        <v>45459.0</v>
      </c>
      <c r="Q2797" s="11">
        <v>45179.0</v>
      </c>
      <c r="R2797" s="11">
        <v>45464.0</v>
      </c>
      <c r="S2797" s="12"/>
      <c r="T2797" s="8"/>
      <c r="U2797" s="8" t="s">
        <v>2850</v>
      </c>
      <c r="V2797" s="13" t="s">
        <v>60</v>
      </c>
      <c r="W2797" s="13" t="s">
        <v>2953</v>
      </c>
      <c r="X2797" s="12"/>
      <c r="Y2797" s="14"/>
      <c r="Z2797" s="14"/>
    </row>
    <row r="2798">
      <c r="A2798" s="8" t="s">
        <v>13401</v>
      </c>
      <c r="B2798" s="8" t="s">
        <v>13402</v>
      </c>
      <c r="C2798" s="8" t="s">
        <v>25</v>
      </c>
      <c r="D2798" s="8" t="s">
        <v>26</v>
      </c>
      <c r="E2798" s="8" t="s">
        <v>13403</v>
      </c>
      <c r="F2798" s="8">
        <v>5.334951966E9</v>
      </c>
      <c r="G2798" s="8" t="s">
        <v>31</v>
      </c>
      <c r="H2798" s="8" t="s">
        <v>56</v>
      </c>
      <c r="I2798" s="8" t="s">
        <v>9946</v>
      </c>
      <c r="J2798" s="8" t="s">
        <v>13404</v>
      </c>
      <c r="K2798" s="10" t="s">
        <v>13405</v>
      </c>
      <c r="L2798" s="8" t="s">
        <v>58</v>
      </c>
      <c r="M2798" s="8" t="s">
        <v>35</v>
      </c>
      <c r="N2798" s="11">
        <v>45133.0</v>
      </c>
      <c r="O2798" s="11">
        <v>45146.0</v>
      </c>
      <c r="P2798" s="11">
        <v>45188.0</v>
      </c>
      <c r="Q2798" s="11">
        <v>45143.0</v>
      </c>
      <c r="R2798" s="11">
        <v>45188.0</v>
      </c>
      <c r="S2798" s="12"/>
      <c r="T2798" s="8"/>
      <c r="U2798" s="8" t="s">
        <v>59</v>
      </c>
      <c r="V2798" s="13" t="s">
        <v>56</v>
      </c>
      <c r="W2798" s="13" t="s">
        <v>13406</v>
      </c>
      <c r="X2798" s="12"/>
      <c r="Y2798" s="14"/>
      <c r="Z2798" s="14"/>
    </row>
    <row r="2799">
      <c r="A2799" s="8" t="s">
        <v>13407</v>
      </c>
      <c r="B2799" s="8" t="s">
        <v>13408</v>
      </c>
      <c r="C2799" s="8" t="s">
        <v>179</v>
      </c>
      <c r="D2799" s="8" t="s">
        <v>26</v>
      </c>
      <c r="E2799" s="8" t="s">
        <v>13409</v>
      </c>
      <c r="F2799" s="8">
        <v>1.157649293E9</v>
      </c>
      <c r="G2799" s="8" t="s">
        <v>284</v>
      </c>
      <c r="H2799" s="8" t="s">
        <v>3769</v>
      </c>
      <c r="I2799" s="8" t="s">
        <v>31</v>
      </c>
      <c r="J2799" s="8" t="s">
        <v>220</v>
      </c>
      <c r="K2799" s="10" t="s">
        <v>11414</v>
      </c>
      <c r="L2799" s="8" t="s">
        <v>47</v>
      </c>
      <c r="M2799" s="8" t="s">
        <v>70</v>
      </c>
      <c r="N2799" s="11">
        <v>45133.0</v>
      </c>
      <c r="O2799" s="11">
        <v>45148.0</v>
      </c>
      <c r="P2799" s="11">
        <v>45514.0</v>
      </c>
      <c r="Q2799" s="11"/>
      <c r="R2799" s="11"/>
      <c r="S2799" s="12"/>
      <c r="T2799" s="8"/>
      <c r="U2799" s="8" t="s">
        <v>246</v>
      </c>
      <c r="V2799" s="13" t="s">
        <v>13410</v>
      </c>
      <c r="W2799" s="13" t="s">
        <v>13411</v>
      </c>
      <c r="X2799" s="12"/>
      <c r="Y2799" s="14"/>
      <c r="Z2799" s="14"/>
    </row>
    <row r="2800">
      <c r="A2800" s="8" t="s">
        <v>13412</v>
      </c>
      <c r="B2800" s="8" t="s">
        <v>13413</v>
      </c>
      <c r="C2800" s="8" t="s">
        <v>708</v>
      </c>
      <c r="D2800" s="8" t="s">
        <v>26</v>
      </c>
      <c r="E2800" s="8" t="s">
        <v>13414</v>
      </c>
      <c r="F2800" s="8">
        <v>5.4186672E7</v>
      </c>
      <c r="G2800" s="8" t="s">
        <v>54</v>
      </c>
      <c r="H2800" s="8" t="s">
        <v>55</v>
      </c>
      <c r="I2800" s="8" t="s">
        <v>31</v>
      </c>
      <c r="J2800" s="8" t="s">
        <v>292</v>
      </c>
      <c r="K2800" s="10" t="s">
        <v>13415</v>
      </c>
      <c r="L2800" s="8" t="s">
        <v>47</v>
      </c>
      <c r="M2800" s="8" t="s">
        <v>70</v>
      </c>
      <c r="N2800" s="11">
        <v>45133.0</v>
      </c>
      <c r="O2800" s="11">
        <v>45174.0</v>
      </c>
      <c r="P2800" s="11">
        <v>45540.0</v>
      </c>
      <c r="Q2800" s="11">
        <v>45188.0</v>
      </c>
      <c r="R2800" s="11">
        <v>45552.0</v>
      </c>
      <c r="S2800" s="12"/>
      <c r="T2800" s="8"/>
      <c r="U2800" s="8" t="s">
        <v>12101</v>
      </c>
      <c r="V2800" s="13" t="s">
        <v>211</v>
      </c>
      <c r="W2800" s="13" t="s">
        <v>13416</v>
      </c>
      <c r="X2800" s="12"/>
      <c r="Y2800" s="14"/>
      <c r="Z2800" s="14"/>
    </row>
    <row r="2801">
      <c r="A2801" s="8" t="s">
        <v>13417</v>
      </c>
      <c r="B2801" s="8" t="s">
        <v>13418</v>
      </c>
      <c r="C2801" s="8" t="s">
        <v>25</v>
      </c>
      <c r="D2801" s="8" t="s">
        <v>26</v>
      </c>
      <c r="E2801" s="8" t="s">
        <v>13419</v>
      </c>
      <c r="F2801" s="8">
        <v>5.2755313E7</v>
      </c>
      <c r="G2801" s="8" t="s">
        <v>54</v>
      </c>
      <c r="H2801" s="8" t="s">
        <v>377</v>
      </c>
      <c r="I2801" s="8" t="s">
        <v>31</v>
      </c>
      <c r="J2801" s="8" t="s">
        <v>542</v>
      </c>
      <c r="K2801" s="10" t="s">
        <v>10478</v>
      </c>
      <c r="L2801" s="8" t="s">
        <v>58</v>
      </c>
      <c r="M2801" s="8" t="s">
        <v>35</v>
      </c>
      <c r="N2801" s="11">
        <v>45133.0</v>
      </c>
      <c r="O2801" s="11">
        <v>45159.0</v>
      </c>
      <c r="P2801" s="11">
        <v>45201.0</v>
      </c>
      <c r="Q2801" s="11">
        <v>45161.0</v>
      </c>
      <c r="R2801" s="11">
        <v>45201.0</v>
      </c>
      <c r="S2801" s="12"/>
      <c r="T2801" s="8"/>
      <c r="U2801" s="8" t="s">
        <v>161</v>
      </c>
      <c r="V2801" s="13" t="s">
        <v>2855</v>
      </c>
      <c r="W2801" s="13" t="s">
        <v>13420</v>
      </c>
      <c r="X2801" s="12"/>
      <c r="Y2801" s="14"/>
      <c r="Z2801" s="14"/>
    </row>
    <row r="2802">
      <c r="A2802" s="8" t="s">
        <v>13421</v>
      </c>
      <c r="B2802" s="8" t="s">
        <v>13422</v>
      </c>
      <c r="C2802" s="8" t="s">
        <v>64</v>
      </c>
      <c r="D2802" s="8" t="s">
        <v>26</v>
      </c>
      <c r="E2802" s="8" t="s">
        <v>13423</v>
      </c>
      <c r="F2802" s="8">
        <v>9.73173488E8</v>
      </c>
      <c r="G2802" s="8" t="s">
        <v>1620</v>
      </c>
      <c r="H2802" s="8" t="s">
        <v>3655</v>
      </c>
      <c r="I2802" s="8" t="s">
        <v>31</v>
      </c>
      <c r="J2802" s="8" t="s">
        <v>43</v>
      </c>
      <c r="K2802" s="10" t="s">
        <v>8867</v>
      </c>
      <c r="L2802" s="8" t="s">
        <v>58</v>
      </c>
      <c r="M2802" s="8" t="s">
        <v>35</v>
      </c>
      <c r="N2802" s="11">
        <v>45133.0</v>
      </c>
      <c r="O2802" s="11">
        <v>45194.0</v>
      </c>
      <c r="P2802" s="11">
        <v>45240.0</v>
      </c>
      <c r="Q2802" s="11">
        <v>45196.0</v>
      </c>
      <c r="R2802" s="11">
        <v>45242.0</v>
      </c>
      <c r="S2802" s="12"/>
      <c r="T2802" s="8"/>
      <c r="U2802" s="8" t="s">
        <v>130</v>
      </c>
      <c r="V2802" s="13" t="s">
        <v>3656</v>
      </c>
      <c r="W2802" s="13" t="s">
        <v>13424</v>
      </c>
      <c r="X2802" s="12"/>
      <c r="Y2802" s="14"/>
      <c r="Z2802" s="14"/>
    </row>
    <row r="2803">
      <c r="A2803" s="8" t="s">
        <v>13425</v>
      </c>
      <c r="B2803" s="8" t="s">
        <v>13426</v>
      </c>
      <c r="C2803" s="8" t="s">
        <v>25</v>
      </c>
      <c r="D2803" s="8" t="s">
        <v>26</v>
      </c>
      <c r="E2803" s="8" t="s">
        <v>13427</v>
      </c>
      <c r="F2803" s="8">
        <v>2.539017E7</v>
      </c>
      <c r="G2803" s="8" t="s">
        <v>54</v>
      </c>
      <c r="H2803" s="8" t="s">
        <v>76</v>
      </c>
      <c r="I2803" s="8" t="s">
        <v>31</v>
      </c>
      <c r="J2803" s="8" t="s">
        <v>77</v>
      </c>
      <c r="K2803" s="10" t="s">
        <v>2537</v>
      </c>
      <c r="L2803" s="8" t="s">
        <v>58</v>
      </c>
      <c r="M2803" s="8" t="s">
        <v>35</v>
      </c>
      <c r="N2803" s="11">
        <v>45133.0</v>
      </c>
      <c r="O2803" s="11">
        <v>45145.0</v>
      </c>
      <c r="P2803" s="11">
        <v>45187.0</v>
      </c>
      <c r="Q2803" s="11">
        <v>45144.0</v>
      </c>
      <c r="R2803" s="11">
        <v>45187.0</v>
      </c>
      <c r="S2803" s="12"/>
      <c r="T2803" s="8"/>
      <c r="U2803" s="8" t="s">
        <v>88</v>
      </c>
      <c r="V2803" s="13" t="s">
        <v>324</v>
      </c>
      <c r="W2803" s="13" t="s">
        <v>13428</v>
      </c>
      <c r="X2803" s="12"/>
      <c r="Y2803" s="14"/>
      <c r="Z2803" s="14"/>
    </row>
    <row r="2804">
      <c r="A2804" s="8" t="s">
        <v>13429</v>
      </c>
      <c r="B2804" s="8" t="s">
        <v>13430</v>
      </c>
      <c r="C2804" s="8" t="s">
        <v>179</v>
      </c>
      <c r="D2804" s="8" t="s">
        <v>26</v>
      </c>
      <c r="E2804" s="8" t="s">
        <v>13431</v>
      </c>
      <c r="F2804" s="8">
        <v>6.99468188E8</v>
      </c>
      <c r="G2804" s="8" t="s">
        <v>254</v>
      </c>
      <c r="H2804" s="8" t="s">
        <v>255</v>
      </c>
      <c r="I2804" s="8" t="s">
        <v>31</v>
      </c>
      <c r="J2804" s="8" t="s">
        <v>292</v>
      </c>
      <c r="K2804" s="10" t="s">
        <v>13432</v>
      </c>
      <c r="L2804" s="8" t="s">
        <v>47</v>
      </c>
      <c r="M2804" s="8" t="s">
        <v>70</v>
      </c>
      <c r="N2804" s="11">
        <v>45133.0</v>
      </c>
      <c r="O2804" s="11">
        <v>45173.0</v>
      </c>
      <c r="P2804" s="11">
        <v>45463.0</v>
      </c>
      <c r="Q2804" s="11"/>
      <c r="R2804" s="11"/>
      <c r="S2804" s="12"/>
      <c r="T2804" s="8"/>
      <c r="U2804" s="8" t="s">
        <v>246</v>
      </c>
      <c r="V2804" s="13" t="s">
        <v>425</v>
      </c>
      <c r="W2804" s="13" t="s">
        <v>13433</v>
      </c>
      <c r="X2804" s="12"/>
      <c r="Y2804" s="14"/>
      <c r="Z2804" s="14"/>
    </row>
    <row r="2805">
      <c r="A2805" s="8" t="s">
        <v>13434</v>
      </c>
      <c r="B2805" s="8" t="s">
        <v>13435</v>
      </c>
      <c r="C2805" s="8" t="s">
        <v>179</v>
      </c>
      <c r="D2805" s="8" t="s">
        <v>26</v>
      </c>
      <c r="E2805" s="8" t="s">
        <v>13436</v>
      </c>
      <c r="F2805" s="8">
        <v>3.165475087E9</v>
      </c>
      <c r="G2805" s="8" t="s">
        <v>315</v>
      </c>
      <c r="H2805" s="8" t="s">
        <v>316</v>
      </c>
      <c r="I2805" s="8" t="s">
        <v>31</v>
      </c>
      <c r="J2805" s="8" t="s">
        <v>56</v>
      </c>
      <c r="K2805" s="10" t="s">
        <v>12274</v>
      </c>
      <c r="L2805" s="8" t="s">
        <v>58</v>
      </c>
      <c r="M2805" s="8" t="s">
        <v>35</v>
      </c>
      <c r="N2805" s="11">
        <v>45134.0</v>
      </c>
      <c r="O2805" s="11">
        <v>45180.0</v>
      </c>
      <c r="P2805" s="11">
        <v>45222.0</v>
      </c>
      <c r="Q2805" s="11"/>
      <c r="R2805" s="11"/>
      <c r="S2805" s="12"/>
      <c r="T2805" s="8"/>
      <c r="U2805" s="8" t="s">
        <v>161</v>
      </c>
      <c r="V2805" s="13" t="s">
        <v>13437</v>
      </c>
      <c r="W2805" s="13" t="s">
        <v>13438</v>
      </c>
      <c r="X2805" s="12"/>
      <c r="Y2805" s="14"/>
      <c r="Z2805" s="14"/>
    </row>
    <row r="2806">
      <c r="A2806" s="8" t="s">
        <v>13439</v>
      </c>
      <c r="B2806" s="8" t="s">
        <v>13440</v>
      </c>
      <c r="C2806" s="8" t="s">
        <v>708</v>
      </c>
      <c r="D2806" s="8" t="s">
        <v>26</v>
      </c>
      <c r="E2806" s="8" t="s">
        <v>13441</v>
      </c>
      <c r="F2806" s="8">
        <v>2.1747745E7</v>
      </c>
      <c r="G2806" s="8" t="s">
        <v>54</v>
      </c>
      <c r="H2806" s="8" t="s">
        <v>244</v>
      </c>
      <c r="I2806" s="8" t="s">
        <v>31</v>
      </c>
      <c r="J2806" s="8" t="s">
        <v>256</v>
      </c>
      <c r="K2806" s="10" t="s">
        <v>13442</v>
      </c>
      <c r="L2806" s="8" t="s">
        <v>34</v>
      </c>
      <c r="M2806" s="8" t="s">
        <v>70</v>
      </c>
      <c r="N2806" s="11">
        <v>45134.0</v>
      </c>
      <c r="O2806" s="11">
        <v>45153.0</v>
      </c>
      <c r="P2806" s="11">
        <v>45518.0</v>
      </c>
      <c r="Q2806" s="11">
        <v>45154.0</v>
      </c>
      <c r="R2806" s="11">
        <v>45518.0</v>
      </c>
      <c r="S2806" s="12"/>
      <c r="T2806" s="8" t="s">
        <v>205</v>
      </c>
      <c r="U2806" s="8" t="s">
        <v>205</v>
      </c>
      <c r="V2806" s="13" t="s">
        <v>13443</v>
      </c>
      <c r="W2806" s="13" t="s">
        <v>13444</v>
      </c>
      <c r="X2806" s="12"/>
      <c r="Y2806" s="14"/>
      <c r="Z2806" s="14"/>
    </row>
    <row r="2807">
      <c r="A2807" s="8" t="s">
        <v>13445</v>
      </c>
      <c r="B2807" s="8" t="s">
        <v>13446</v>
      </c>
      <c r="C2807" s="8" t="s">
        <v>179</v>
      </c>
      <c r="D2807" s="8" t="s">
        <v>26</v>
      </c>
      <c r="E2807" s="8" t="s">
        <v>13447</v>
      </c>
      <c r="F2807" s="8">
        <v>1.22078876E9</v>
      </c>
      <c r="G2807" s="8" t="s">
        <v>284</v>
      </c>
      <c r="H2807" s="8" t="s">
        <v>1287</v>
      </c>
      <c r="I2807" s="8" t="s">
        <v>31</v>
      </c>
      <c r="J2807" s="8" t="s">
        <v>256</v>
      </c>
      <c r="K2807" s="10" t="s">
        <v>12664</v>
      </c>
      <c r="L2807" s="8" t="s">
        <v>58</v>
      </c>
      <c r="M2807" s="8" t="s">
        <v>35</v>
      </c>
      <c r="N2807" s="11">
        <v>45134.0</v>
      </c>
      <c r="O2807" s="11">
        <v>45141.0</v>
      </c>
      <c r="P2807" s="11">
        <v>45183.0</v>
      </c>
      <c r="Q2807" s="11"/>
      <c r="R2807" s="11"/>
      <c r="S2807" s="12"/>
      <c r="T2807" s="8"/>
      <c r="U2807" s="8" t="s">
        <v>59</v>
      </c>
      <c r="V2807" s="13" t="s">
        <v>5072</v>
      </c>
      <c r="W2807" s="13" t="s">
        <v>13448</v>
      </c>
      <c r="X2807" s="12"/>
      <c r="Y2807" s="14"/>
      <c r="Z2807" s="14"/>
    </row>
    <row r="2808">
      <c r="A2808" s="8" t="s">
        <v>13449</v>
      </c>
      <c r="B2808" s="8" t="s">
        <v>13450</v>
      </c>
      <c r="C2808" s="8" t="s">
        <v>708</v>
      </c>
      <c r="D2808" s="8" t="s">
        <v>26</v>
      </c>
      <c r="E2808" s="8" t="s">
        <v>13451</v>
      </c>
      <c r="F2808" s="8">
        <v>9.4842035E7</v>
      </c>
      <c r="G2808" s="8" t="s">
        <v>54</v>
      </c>
      <c r="H2808" s="8" t="s">
        <v>76</v>
      </c>
      <c r="I2808" s="8" t="s">
        <v>31</v>
      </c>
      <c r="J2808" s="8" t="s">
        <v>256</v>
      </c>
      <c r="K2808" s="10" t="s">
        <v>5327</v>
      </c>
      <c r="L2808" s="8" t="s">
        <v>47</v>
      </c>
      <c r="M2808" s="8" t="s">
        <v>70</v>
      </c>
      <c r="N2808" s="11">
        <v>45134.0</v>
      </c>
      <c r="O2808" s="11">
        <v>45139.0</v>
      </c>
      <c r="P2808" s="11">
        <v>45443.0</v>
      </c>
      <c r="Q2808" s="11">
        <v>45154.0</v>
      </c>
      <c r="R2808" s="11">
        <v>45456.0</v>
      </c>
      <c r="S2808" s="12"/>
      <c r="T2808" s="8"/>
      <c r="U2808" s="8" t="s">
        <v>246</v>
      </c>
      <c r="V2808" s="13" t="s">
        <v>491</v>
      </c>
      <c r="W2808" s="13" t="s">
        <v>13452</v>
      </c>
      <c r="X2808" s="12"/>
      <c r="Y2808" s="14"/>
      <c r="Z2808" s="14"/>
    </row>
    <row r="2809">
      <c r="A2809" s="8" t="s">
        <v>13453</v>
      </c>
      <c r="B2809" s="8" t="s">
        <v>13454</v>
      </c>
      <c r="C2809" s="8" t="s">
        <v>708</v>
      </c>
      <c r="D2809" s="8" t="s">
        <v>26</v>
      </c>
      <c r="E2809" s="8" t="s">
        <v>13455</v>
      </c>
      <c r="F2809" s="8">
        <v>6.74266177E8</v>
      </c>
      <c r="G2809" s="8" t="s">
        <v>254</v>
      </c>
      <c r="H2809" s="8" t="s">
        <v>422</v>
      </c>
      <c r="I2809" s="8" t="s">
        <v>31</v>
      </c>
      <c r="J2809" s="8" t="s">
        <v>77</v>
      </c>
      <c r="K2809" s="10" t="s">
        <v>13456</v>
      </c>
      <c r="L2809" s="8" t="s">
        <v>34</v>
      </c>
      <c r="M2809" s="8" t="s">
        <v>70</v>
      </c>
      <c r="N2809" s="11">
        <v>45134.0</v>
      </c>
      <c r="O2809" s="11">
        <v>45199.0</v>
      </c>
      <c r="P2809" s="11">
        <v>45565.0</v>
      </c>
      <c r="Q2809" s="11">
        <v>45201.0</v>
      </c>
      <c r="R2809" s="11">
        <v>45567.0</v>
      </c>
      <c r="S2809" s="12"/>
      <c r="T2809" s="8" t="s">
        <v>446</v>
      </c>
      <c r="U2809" s="8" t="s">
        <v>13457</v>
      </c>
      <c r="V2809" s="13" t="s">
        <v>425</v>
      </c>
      <c r="W2809" s="13" t="s">
        <v>13458</v>
      </c>
      <c r="X2809" s="12"/>
      <c r="Y2809" s="14"/>
      <c r="Z2809" s="14"/>
    </row>
    <row r="2810">
      <c r="A2810" s="8" t="s">
        <v>13459</v>
      </c>
      <c r="B2810" s="8" t="s">
        <v>13460</v>
      </c>
      <c r="C2810" s="8" t="s">
        <v>251</v>
      </c>
      <c r="D2810" s="8" t="s">
        <v>26</v>
      </c>
      <c r="E2810" s="8" t="s">
        <v>13461</v>
      </c>
      <c r="F2810" s="8"/>
      <c r="G2810" s="8" t="s">
        <v>31</v>
      </c>
      <c r="H2810" s="8" t="s">
        <v>292</v>
      </c>
      <c r="I2810" s="8" t="s">
        <v>284</v>
      </c>
      <c r="J2810" s="8" t="s">
        <v>854</v>
      </c>
      <c r="K2810" s="10" t="s">
        <v>13462</v>
      </c>
      <c r="L2810" s="8" t="s">
        <v>58</v>
      </c>
      <c r="M2810" s="8" t="s">
        <v>35</v>
      </c>
      <c r="N2810" s="11">
        <v>45134.0</v>
      </c>
      <c r="O2810" s="11">
        <v>45139.0</v>
      </c>
      <c r="P2810" s="11">
        <v>45183.0</v>
      </c>
      <c r="Q2810" s="11"/>
      <c r="R2810" s="11"/>
      <c r="S2810" s="12"/>
      <c r="T2810" s="8"/>
      <c r="U2810" s="8" t="s">
        <v>1038</v>
      </c>
      <c r="V2810" s="13" t="s">
        <v>38</v>
      </c>
      <c r="W2810" s="13" t="s">
        <v>13463</v>
      </c>
      <c r="X2810" s="12"/>
      <c r="Y2810" s="14"/>
      <c r="Z2810" s="14"/>
    </row>
    <row r="2811">
      <c r="A2811" s="8" t="s">
        <v>13464</v>
      </c>
      <c r="B2811" s="8" t="s">
        <v>13465</v>
      </c>
      <c r="C2811" s="8" t="s">
        <v>251</v>
      </c>
      <c r="D2811" s="8" t="s">
        <v>26</v>
      </c>
      <c r="E2811" s="8" t="s">
        <v>13466</v>
      </c>
      <c r="F2811" s="8">
        <v>5.340381008E9</v>
      </c>
      <c r="G2811" s="8" t="s">
        <v>31</v>
      </c>
      <c r="H2811" s="8" t="s">
        <v>292</v>
      </c>
      <c r="I2811" s="8" t="s">
        <v>284</v>
      </c>
      <c r="J2811" s="8" t="s">
        <v>854</v>
      </c>
      <c r="K2811" s="10" t="s">
        <v>13462</v>
      </c>
      <c r="L2811" s="8" t="s">
        <v>58</v>
      </c>
      <c r="M2811" s="8" t="s">
        <v>35</v>
      </c>
      <c r="N2811" s="11">
        <v>45134.0</v>
      </c>
      <c r="O2811" s="11">
        <v>45139.0</v>
      </c>
      <c r="P2811" s="11">
        <v>45183.0</v>
      </c>
      <c r="Q2811" s="11"/>
      <c r="R2811" s="11"/>
      <c r="S2811" s="12"/>
      <c r="T2811" s="8"/>
      <c r="U2811" s="8" t="s">
        <v>1038</v>
      </c>
      <c r="V2811" s="13" t="s">
        <v>292</v>
      </c>
      <c r="W2811" s="13" t="s">
        <v>13467</v>
      </c>
      <c r="X2811" s="12"/>
      <c r="Y2811" s="14"/>
      <c r="Z2811" s="14"/>
    </row>
    <row r="2812">
      <c r="A2812" s="8" t="s">
        <v>13468</v>
      </c>
      <c r="B2812" s="8" t="s">
        <v>13469</v>
      </c>
      <c r="C2812" s="8" t="s">
        <v>251</v>
      </c>
      <c r="D2812" s="8" t="s">
        <v>26</v>
      </c>
      <c r="E2812" s="8" t="s">
        <v>13470</v>
      </c>
      <c r="F2812" s="8">
        <v>1.060888464E9</v>
      </c>
      <c r="G2812" s="8" t="s">
        <v>284</v>
      </c>
      <c r="H2812" s="8" t="s">
        <v>854</v>
      </c>
      <c r="I2812" s="8" t="s">
        <v>31</v>
      </c>
      <c r="J2812" s="8" t="s">
        <v>292</v>
      </c>
      <c r="K2812" s="10" t="s">
        <v>12835</v>
      </c>
      <c r="L2812" s="8" t="s">
        <v>58</v>
      </c>
      <c r="M2812" s="8" t="s">
        <v>35</v>
      </c>
      <c r="N2812" s="11">
        <v>45135.0</v>
      </c>
      <c r="O2812" s="11">
        <v>45152.0</v>
      </c>
      <c r="P2812" s="11">
        <v>45194.0</v>
      </c>
      <c r="Q2812" s="11"/>
      <c r="R2812" s="11"/>
      <c r="S2812" s="12"/>
      <c r="T2812" s="8"/>
      <c r="U2812" s="8" t="s">
        <v>88</v>
      </c>
      <c r="V2812" s="13" t="s">
        <v>856</v>
      </c>
      <c r="W2812" s="13" t="s">
        <v>13471</v>
      </c>
      <c r="X2812" s="12"/>
      <c r="Y2812" s="14"/>
      <c r="Z2812" s="14"/>
    </row>
    <row r="2813">
      <c r="A2813" s="8" t="s">
        <v>13472</v>
      </c>
      <c r="B2813" s="8" t="s">
        <v>13473</v>
      </c>
      <c r="C2813" s="8" t="s">
        <v>25</v>
      </c>
      <c r="D2813" s="8" t="s">
        <v>26</v>
      </c>
      <c r="E2813" s="8" t="s">
        <v>13474</v>
      </c>
      <c r="F2813" s="8">
        <v>5.536963549E9</v>
      </c>
      <c r="G2813" s="8" t="s">
        <v>31</v>
      </c>
      <c r="H2813" s="8" t="s">
        <v>32</v>
      </c>
      <c r="I2813" s="8" t="s">
        <v>284</v>
      </c>
      <c r="J2813" s="8" t="s">
        <v>854</v>
      </c>
      <c r="K2813" s="10" t="s">
        <v>8210</v>
      </c>
      <c r="L2813" s="8" t="s">
        <v>58</v>
      </c>
      <c r="M2813" s="8" t="s">
        <v>35</v>
      </c>
      <c r="N2813" s="11">
        <v>45135.0</v>
      </c>
      <c r="O2813" s="11">
        <v>45170.0</v>
      </c>
      <c r="P2813" s="11">
        <v>45215.0</v>
      </c>
      <c r="Q2813" s="11">
        <v>45170.0</v>
      </c>
      <c r="R2813" s="11">
        <v>45215.0</v>
      </c>
      <c r="S2813" s="12"/>
      <c r="T2813" s="8"/>
      <c r="U2813" s="8" t="s">
        <v>161</v>
      </c>
      <c r="V2813" s="13" t="s">
        <v>4518</v>
      </c>
      <c r="W2813" s="13" t="s">
        <v>13475</v>
      </c>
      <c r="X2813" s="12"/>
      <c r="Y2813" s="14"/>
      <c r="Z2813" s="14"/>
    </row>
    <row r="2814">
      <c r="A2814" s="8" t="s">
        <v>13476</v>
      </c>
      <c r="B2814" s="8" t="s">
        <v>13477</v>
      </c>
      <c r="C2814" s="8" t="s">
        <v>25</v>
      </c>
      <c r="D2814" s="8" t="s">
        <v>26</v>
      </c>
      <c r="E2814" s="8" t="s">
        <v>13478</v>
      </c>
      <c r="F2814" s="8">
        <v>5.510793591E9</v>
      </c>
      <c r="G2814" s="8" t="s">
        <v>31</v>
      </c>
      <c r="H2814" s="8" t="s">
        <v>32</v>
      </c>
      <c r="I2814" s="8" t="s">
        <v>284</v>
      </c>
      <c r="J2814" s="8" t="s">
        <v>854</v>
      </c>
      <c r="K2814" s="10" t="s">
        <v>8210</v>
      </c>
      <c r="L2814" s="8" t="s">
        <v>58</v>
      </c>
      <c r="M2814" s="8" t="s">
        <v>35</v>
      </c>
      <c r="N2814" s="11">
        <v>45135.0</v>
      </c>
      <c r="O2814" s="11">
        <v>45170.0</v>
      </c>
      <c r="P2814" s="11">
        <v>45215.0</v>
      </c>
      <c r="Q2814" s="11">
        <v>45170.0</v>
      </c>
      <c r="R2814" s="11">
        <v>45215.0</v>
      </c>
      <c r="S2814" s="12"/>
      <c r="T2814" s="8"/>
      <c r="U2814" s="8" t="s">
        <v>161</v>
      </c>
      <c r="V2814" s="13" t="s">
        <v>4518</v>
      </c>
      <c r="W2814" s="13" t="s">
        <v>13479</v>
      </c>
      <c r="X2814" s="12"/>
      <c r="Y2814" s="14"/>
      <c r="Z2814" s="14"/>
    </row>
    <row r="2815">
      <c r="A2815" s="8" t="s">
        <v>13480</v>
      </c>
      <c r="B2815" s="8" t="s">
        <v>13481</v>
      </c>
      <c r="C2815" s="8" t="s">
        <v>708</v>
      </c>
      <c r="D2815" s="8" t="s">
        <v>26</v>
      </c>
      <c r="E2815" s="8" t="s">
        <v>13482</v>
      </c>
      <c r="F2815" s="8">
        <v>5.4489395E7</v>
      </c>
      <c r="G2815" s="8" t="s">
        <v>54</v>
      </c>
      <c r="H2815" s="8" t="s">
        <v>377</v>
      </c>
      <c r="I2815" s="8" t="s">
        <v>31</v>
      </c>
      <c r="J2815" s="8" t="s">
        <v>77</v>
      </c>
      <c r="K2815" s="10" t="s">
        <v>2951</v>
      </c>
      <c r="L2815" s="8" t="s">
        <v>47</v>
      </c>
      <c r="M2815" s="8" t="s">
        <v>70</v>
      </c>
      <c r="N2815" s="11">
        <v>45135.0</v>
      </c>
      <c r="O2815" s="11">
        <v>45148.0</v>
      </c>
      <c r="P2815" s="11">
        <v>45513.0</v>
      </c>
      <c r="Q2815" s="11">
        <v>45144.0</v>
      </c>
      <c r="R2815" s="11">
        <v>45513.0</v>
      </c>
      <c r="S2815" s="12"/>
      <c r="T2815" s="8"/>
      <c r="U2815" s="8" t="s">
        <v>2952</v>
      </c>
      <c r="V2815" s="13" t="s">
        <v>1604</v>
      </c>
      <c r="W2815" s="13" t="s">
        <v>13483</v>
      </c>
      <c r="X2815" s="12"/>
      <c r="Y2815" s="14"/>
      <c r="Z2815" s="14"/>
    </row>
    <row r="2816">
      <c r="A2816" s="8" t="s">
        <v>13484</v>
      </c>
      <c r="B2816" s="8" t="s">
        <v>13485</v>
      </c>
      <c r="C2816" s="8" t="s">
        <v>25</v>
      </c>
      <c r="D2816" s="8" t="s">
        <v>26</v>
      </c>
      <c r="E2816" s="8" t="s">
        <v>13486</v>
      </c>
      <c r="F2816" s="8">
        <v>5.447851403E9</v>
      </c>
      <c r="G2816" s="8" t="s">
        <v>31</v>
      </c>
      <c r="H2816" s="8" t="s">
        <v>86</v>
      </c>
      <c r="I2816" s="8" t="s">
        <v>29</v>
      </c>
      <c r="J2816" s="8" t="s">
        <v>7276</v>
      </c>
      <c r="K2816" s="10" t="s">
        <v>13487</v>
      </c>
      <c r="L2816" s="8" t="s">
        <v>58</v>
      </c>
      <c r="M2816" s="8" t="s">
        <v>35</v>
      </c>
      <c r="N2816" s="11">
        <v>45135.0</v>
      </c>
      <c r="O2816" s="11">
        <v>45155.0</v>
      </c>
      <c r="P2816" s="11">
        <v>45197.0</v>
      </c>
      <c r="Q2816" s="11">
        <v>45155.0</v>
      </c>
      <c r="R2816" s="11">
        <v>45197.0</v>
      </c>
      <c r="S2816" s="12"/>
      <c r="T2816" s="8"/>
      <c r="U2816" s="8" t="s">
        <v>130</v>
      </c>
      <c r="V2816" s="13" t="s">
        <v>111</v>
      </c>
      <c r="W2816" s="13" t="s">
        <v>13488</v>
      </c>
      <c r="X2816" s="12"/>
      <c r="Y2816" s="14"/>
      <c r="Z2816" s="14"/>
    </row>
    <row r="2817">
      <c r="A2817" s="8" t="s">
        <v>13489</v>
      </c>
      <c r="B2817" s="8" t="s">
        <v>13490</v>
      </c>
      <c r="C2817" s="8" t="s">
        <v>25</v>
      </c>
      <c r="D2817" s="8" t="s">
        <v>26</v>
      </c>
      <c r="E2817" s="8" t="s">
        <v>13491</v>
      </c>
      <c r="F2817" s="8">
        <v>5.0180847E7</v>
      </c>
      <c r="G2817" s="8" t="s">
        <v>54</v>
      </c>
      <c r="H2817" s="8" t="s">
        <v>430</v>
      </c>
      <c r="I2817" s="8" t="s">
        <v>31</v>
      </c>
      <c r="J2817" s="8" t="s">
        <v>43</v>
      </c>
      <c r="K2817" s="10" t="s">
        <v>8867</v>
      </c>
      <c r="L2817" s="8" t="s">
        <v>58</v>
      </c>
      <c r="M2817" s="8" t="s">
        <v>35</v>
      </c>
      <c r="N2817" s="11">
        <v>45135.0</v>
      </c>
      <c r="O2817" s="11">
        <v>45145.0</v>
      </c>
      <c r="P2817" s="11">
        <v>45191.0</v>
      </c>
      <c r="Q2817" s="11">
        <v>45147.0</v>
      </c>
      <c r="R2817" s="11">
        <v>45193.0</v>
      </c>
      <c r="S2817" s="12"/>
      <c r="T2817" s="8"/>
      <c r="U2817" s="8" t="s">
        <v>130</v>
      </c>
      <c r="V2817" s="13" t="s">
        <v>849</v>
      </c>
      <c r="W2817" s="13" t="s">
        <v>13492</v>
      </c>
      <c r="X2817" s="12"/>
      <c r="Y2817" s="14"/>
      <c r="Z2817" s="14"/>
    </row>
    <row r="2818">
      <c r="A2818" s="8" t="s">
        <v>13493</v>
      </c>
      <c r="B2818" s="8" t="s">
        <v>13494</v>
      </c>
      <c r="C2818" s="8" t="s">
        <v>708</v>
      </c>
      <c r="D2818" s="8" t="s">
        <v>26</v>
      </c>
      <c r="E2818" s="8" t="s">
        <v>13495</v>
      </c>
      <c r="F2818" s="8">
        <v>5.545989613E9</v>
      </c>
      <c r="G2818" s="8" t="s">
        <v>4181</v>
      </c>
      <c r="H2818" s="8" t="s">
        <v>13496</v>
      </c>
      <c r="I2818" s="8" t="s">
        <v>31</v>
      </c>
      <c r="J2818" s="8" t="s">
        <v>438</v>
      </c>
      <c r="K2818" s="10" t="s">
        <v>13497</v>
      </c>
      <c r="L2818" s="8" t="s">
        <v>47</v>
      </c>
      <c r="M2818" s="8" t="s">
        <v>70</v>
      </c>
      <c r="N2818" s="11">
        <v>45136.0</v>
      </c>
      <c r="O2818" s="11">
        <v>45173.0</v>
      </c>
      <c r="P2818" s="11">
        <v>45537.0</v>
      </c>
      <c r="Q2818" s="11">
        <v>45170.0</v>
      </c>
      <c r="R2818" s="11">
        <v>45537.0</v>
      </c>
      <c r="S2818" s="12"/>
      <c r="T2818" s="8"/>
      <c r="U2818" s="8" t="s">
        <v>1794</v>
      </c>
      <c r="V2818" s="13" t="s">
        <v>13498</v>
      </c>
      <c r="W2818" s="13" t="s">
        <v>13499</v>
      </c>
      <c r="X2818" s="12"/>
      <c r="Y2818" s="14"/>
      <c r="Z2818" s="14"/>
    </row>
    <row r="2819">
      <c r="A2819" s="8" t="s">
        <v>13500</v>
      </c>
      <c r="B2819" s="8" t="s">
        <v>13501</v>
      </c>
      <c r="C2819" s="8" t="s">
        <v>25</v>
      </c>
      <c r="D2819" s="8" t="s">
        <v>26</v>
      </c>
      <c r="E2819" s="8" t="s">
        <v>13502</v>
      </c>
      <c r="F2819" s="8">
        <v>2.987854E7</v>
      </c>
      <c r="G2819" s="8" t="s">
        <v>54</v>
      </c>
      <c r="H2819" s="8" t="s">
        <v>135</v>
      </c>
      <c r="I2819" s="8" t="s">
        <v>31</v>
      </c>
      <c r="J2819" s="8" t="s">
        <v>111</v>
      </c>
      <c r="K2819" s="10" t="s">
        <v>323</v>
      </c>
      <c r="L2819" s="8" t="s">
        <v>58</v>
      </c>
      <c r="M2819" s="8" t="s">
        <v>35</v>
      </c>
      <c r="N2819" s="11">
        <v>45136.0</v>
      </c>
      <c r="O2819" s="11">
        <v>45138.0</v>
      </c>
      <c r="P2819" s="11">
        <v>45180.0</v>
      </c>
      <c r="Q2819" s="11">
        <v>45141.0</v>
      </c>
      <c r="R2819" s="11">
        <v>45184.0</v>
      </c>
      <c r="S2819" s="12"/>
      <c r="T2819" s="8"/>
      <c r="U2819" s="8" t="s">
        <v>59</v>
      </c>
      <c r="V2819" s="13" t="s">
        <v>138</v>
      </c>
      <c r="W2819" s="13" t="s">
        <v>13503</v>
      </c>
      <c r="X2819" s="12"/>
      <c r="Y2819" s="14"/>
      <c r="Z2819" s="14"/>
    </row>
    <row r="2820">
      <c r="A2820" s="8" t="s">
        <v>13504</v>
      </c>
      <c r="B2820" s="8" t="s">
        <v>13505</v>
      </c>
      <c r="C2820" s="8" t="s">
        <v>708</v>
      </c>
      <c r="D2820" s="8" t="s">
        <v>26</v>
      </c>
      <c r="E2820" s="8" t="s">
        <v>13506</v>
      </c>
      <c r="F2820" s="8">
        <v>1.227031815E9</v>
      </c>
      <c r="G2820" s="8" t="s">
        <v>284</v>
      </c>
      <c r="H2820" s="8" t="s">
        <v>673</v>
      </c>
      <c r="I2820" s="8" t="s">
        <v>31</v>
      </c>
      <c r="J2820" s="8" t="s">
        <v>542</v>
      </c>
      <c r="K2820" s="10" t="s">
        <v>8953</v>
      </c>
      <c r="L2820" s="8" t="s">
        <v>34</v>
      </c>
      <c r="M2820" s="8" t="s">
        <v>70</v>
      </c>
      <c r="N2820" s="11">
        <v>45136.0</v>
      </c>
      <c r="O2820" s="11">
        <v>45184.0</v>
      </c>
      <c r="P2820" s="11">
        <v>45548.0</v>
      </c>
      <c r="Q2820" s="11">
        <v>45213.0</v>
      </c>
      <c r="R2820" s="11">
        <v>45577.0</v>
      </c>
      <c r="S2820" s="12"/>
      <c r="T2820" s="8" t="s">
        <v>36</v>
      </c>
      <c r="U2820" s="8" t="s">
        <v>8954</v>
      </c>
      <c r="V2820" s="13" t="s">
        <v>674</v>
      </c>
      <c r="W2820" s="13" t="s">
        <v>13507</v>
      </c>
      <c r="X2820" s="12"/>
      <c r="Y2820" s="14"/>
      <c r="Z2820" s="14"/>
    </row>
    <row r="2821">
      <c r="A2821" s="8" t="s">
        <v>13508</v>
      </c>
      <c r="B2821" s="8" t="s">
        <v>13509</v>
      </c>
      <c r="C2821" s="8" t="s">
        <v>708</v>
      </c>
      <c r="D2821" s="8" t="s">
        <v>26</v>
      </c>
      <c r="E2821" s="8" t="s">
        <v>13510</v>
      </c>
      <c r="F2821" s="8">
        <v>1.0070495E9</v>
      </c>
      <c r="G2821" s="8" t="s">
        <v>284</v>
      </c>
      <c r="H2821" s="8" t="s">
        <v>1422</v>
      </c>
      <c r="I2821" s="8" t="s">
        <v>31</v>
      </c>
      <c r="J2821" s="8" t="s">
        <v>136</v>
      </c>
      <c r="K2821" s="10" t="s">
        <v>13511</v>
      </c>
      <c r="L2821" s="8" t="s">
        <v>47</v>
      </c>
      <c r="M2821" s="8" t="s">
        <v>48</v>
      </c>
      <c r="N2821" s="11">
        <v>45136.0</v>
      </c>
      <c r="O2821" s="11">
        <v>45201.0</v>
      </c>
      <c r="P2821" s="11">
        <v>45382.0</v>
      </c>
      <c r="Q2821" s="11">
        <v>45204.0</v>
      </c>
      <c r="R2821" s="11">
        <v>45383.0</v>
      </c>
      <c r="S2821" s="12"/>
      <c r="T2821" s="8"/>
      <c r="U2821" s="8" t="s">
        <v>1463</v>
      </c>
      <c r="V2821" s="13" t="s">
        <v>38</v>
      </c>
      <c r="W2821" s="13" t="s">
        <v>13512</v>
      </c>
      <c r="X2821" s="12"/>
      <c r="Y2821" s="14"/>
      <c r="Z2821" s="14"/>
    </row>
    <row r="2822">
      <c r="A2822" s="8" t="s">
        <v>13513</v>
      </c>
      <c r="B2822" s="8" t="s">
        <v>13514</v>
      </c>
      <c r="C2822" s="8" t="s">
        <v>25</v>
      </c>
      <c r="D2822" s="8" t="s">
        <v>26</v>
      </c>
      <c r="E2822" s="8" t="s">
        <v>13515</v>
      </c>
      <c r="F2822" s="8">
        <v>5.318941842E9</v>
      </c>
      <c r="G2822" s="8" t="s">
        <v>31</v>
      </c>
      <c r="H2822" s="8" t="s">
        <v>86</v>
      </c>
      <c r="I2822" s="8" t="s">
        <v>284</v>
      </c>
      <c r="J2822" s="8" t="s">
        <v>3188</v>
      </c>
      <c r="K2822" s="10" t="s">
        <v>11300</v>
      </c>
      <c r="L2822" s="8" t="s">
        <v>34</v>
      </c>
      <c r="M2822" s="8" t="s">
        <v>35</v>
      </c>
      <c r="N2822" s="11">
        <v>45136.0</v>
      </c>
      <c r="O2822" s="11">
        <v>45147.0</v>
      </c>
      <c r="P2822" s="11">
        <v>45189.0</v>
      </c>
      <c r="Q2822" s="11">
        <v>45145.0</v>
      </c>
      <c r="R2822" s="11">
        <v>45189.0</v>
      </c>
      <c r="S2822" s="12"/>
      <c r="T2822" s="8" t="s">
        <v>205</v>
      </c>
      <c r="U2822" s="8" t="s">
        <v>11301</v>
      </c>
      <c r="V2822" s="13" t="s">
        <v>175</v>
      </c>
      <c r="W2822" s="13" t="s">
        <v>13516</v>
      </c>
      <c r="X2822" s="12"/>
      <c r="Y2822" s="14"/>
      <c r="Z2822" s="14"/>
    </row>
    <row r="2823">
      <c r="A2823" s="8" t="s">
        <v>13517</v>
      </c>
      <c r="B2823" s="8" t="s">
        <v>13518</v>
      </c>
      <c r="C2823" s="8" t="s">
        <v>64</v>
      </c>
      <c r="D2823" s="8" t="s">
        <v>26</v>
      </c>
      <c r="E2823" s="8" t="s">
        <v>13519</v>
      </c>
      <c r="F2823" s="8">
        <v>3.22130743E9</v>
      </c>
      <c r="G2823" s="8" t="s">
        <v>315</v>
      </c>
      <c r="H2823" s="8" t="s">
        <v>1557</v>
      </c>
      <c r="I2823" s="8" t="s">
        <v>31</v>
      </c>
      <c r="J2823" s="8" t="s">
        <v>56</v>
      </c>
      <c r="K2823" s="10" t="s">
        <v>11979</v>
      </c>
      <c r="L2823" s="8" t="s">
        <v>58</v>
      </c>
      <c r="M2823" s="8" t="s">
        <v>35</v>
      </c>
      <c r="N2823" s="11">
        <v>45137.0</v>
      </c>
      <c r="O2823" s="11">
        <v>45166.0</v>
      </c>
      <c r="P2823" s="11">
        <v>45208.0</v>
      </c>
      <c r="Q2823" s="11">
        <v>45170.0</v>
      </c>
      <c r="R2823" s="11">
        <v>45210.0</v>
      </c>
      <c r="S2823" s="12"/>
      <c r="T2823" s="8"/>
      <c r="U2823" s="8" t="s">
        <v>161</v>
      </c>
      <c r="V2823" s="13" t="s">
        <v>13520</v>
      </c>
      <c r="W2823" s="13" t="s">
        <v>13521</v>
      </c>
      <c r="X2823" s="12"/>
      <c r="Y2823" s="14"/>
      <c r="Z2823" s="14"/>
    </row>
    <row r="2824">
      <c r="A2824" s="8" t="s">
        <v>13522</v>
      </c>
      <c r="B2824" s="8" t="s">
        <v>13523</v>
      </c>
      <c r="C2824" s="8" t="s">
        <v>708</v>
      </c>
      <c r="D2824" s="8" t="s">
        <v>26</v>
      </c>
      <c r="E2824" s="8" t="s">
        <v>13524</v>
      </c>
      <c r="F2824" s="8"/>
      <c r="G2824" s="8" t="s">
        <v>254</v>
      </c>
      <c r="H2824" s="8" t="s">
        <v>3087</v>
      </c>
      <c r="I2824" s="8" t="s">
        <v>31</v>
      </c>
      <c r="J2824" s="8" t="s">
        <v>77</v>
      </c>
      <c r="K2824" s="10" t="s">
        <v>1853</v>
      </c>
      <c r="L2824" s="8" t="s">
        <v>47</v>
      </c>
      <c r="M2824" s="8" t="s">
        <v>70</v>
      </c>
      <c r="N2824" s="11">
        <v>45137.0</v>
      </c>
      <c r="O2824" s="11">
        <v>45173.0</v>
      </c>
      <c r="P2824" s="11">
        <v>45471.0</v>
      </c>
      <c r="Q2824" s="11">
        <v>45179.0</v>
      </c>
      <c r="R2824" s="11">
        <v>45478.0</v>
      </c>
      <c r="S2824" s="12"/>
      <c r="T2824" s="8"/>
      <c r="U2824" s="8" t="s">
        <v>1854</v>
      </c>
      <c r="V2824" s="13" t="s">
        <v>38</v>
      </c>
      <c r="W2824" s="13" t="s">
        <v>13525</v>
      </c>
      <c r="X2824" s="12"/>
      <c r="Y2824" s="14"/>
      <c r="Z2824" s="14"/>
    </row>
    <row r="2825">
      <c r="A2825" s="8" t="s">
        <v>13526</v>
      </c>
      <c r="B2825" s="8" t="s">
        <v>13527</v>
      </c>
      <c r="C2825" s="8" t="s">
        <v>179</v>
      </c>
      <c r="D2825" s="8" t="s">
        <v>26</v>
      </c>
      <c r="E2825" s="8" t="s">
        <v>13528</v>
      </c>
      <c r="F2825" s="8">
        <v>1.121343379E9</v>
      </c>
      <c r="G2825" s="8" t="s">
        <v>284</v>
      </c>
      <c r="H2825" s="8" t="s">
        <v>854</v>
      </c>
      <c r="I2825" s="8" t="s">
        <v>31</v>
      </c>
      <c r="J2825" s="8" t="s">
        <v>136</v>
      </c>
      <c r="K2825" s="10" t="s">
        <v>2354</v>
      </c>
      <c r="L2825" s="8" t="s">
        <v>58</v>
      </c>
      <c r="M2825" s="8" t="s">
        <v>35</v>
      </c>
      <c r="N2825" s="11">
        <v>45137.0</v>
      </c>
      <c r="O2825" s="11">
        <v>45341.0</v>
      </c>
      <c r="P2825" s="11">
        <v>45383.0</v>
      </c>
      <c r="Q2825" s="11"/>
      <c r="R2825" s="11"/>
      <c r="S2825" s="12"/>
      <c r="T2825" s="8"/>
      <c r="U2825" s="8" t="s">
        <v>59</v>
      </c>
      <c r="V2825" s="13" t="s">
        <v>856</v>
      </c>
      <c r="W2825" s="13" t="s">
        <v>13529</v>
      </c>
      <c r="X2825" s="12"/>
      <c r="Y2825" s="14"/>
      <c r="Z2825" s="14"/>
    </row>
    <row r="2826">
      <c r="A2826" s="8" t="s">
        <v>13530</v>
      </c>
      <c r="B2826" s="8" t="s">
        <v>13531</v>
      </c>
      <c r="C2826" s="8" t="s">
        <v>179</v>
      </c>
      <c r="D2826" s="8" t="s">
        <v>26</v>
      </c>
      <c r="E2826" s="8" t="s">
        <v>13532</v>
      </c>
      <c r="F2826" s="8"/>
      <c r="G2826" s="8" t="s">
        <v>31</v>
      </c>
      <c r="H2826" s="8" t="s">
        <v>292</v>
      </c>
      <c r="I2826" s="8" t="s">
        <v>284</v>
      </c>
      <c r="J2826" s="8" t="s">
        <v>300</v>
      </c>
      <c r="K2826" s="10" t="s">
        <v>6041</v>
      </c>
      <c r="L2826" s="8" t="s">
        <v>34</v>
      </c>
      <c r="M2826" s="8" t="s">
        <v>35</v>
      </c>
      <c r="N2826" s="11">
        <v>45137.0</v>
      </c>
      <c r="O2826" s="11">
        <v>45200.0</v>
      </c>
      <c r="P2826" s="11">
        <v>45283.0</v>
      </c>
      <c r="Q2826" s="11"/>
      <c r="R2826" s="11"/>
      <c r="S2826" s="12"/>
      <c r="T2826" s="8" t="s">
        <v>36</v>
      </c>
      <c r="U2826" s="8" t="s">
        <v>6042</v>
      </c>
      <c r="V2826" s="13" t="s">
        <v>38</v>
      </c>
      <c r="W2826" s="13" t="s">
        <v>13533</v>
      </c>
      <c r="X2826" s="12"/>
      <c r="Y2826" s="14"/>
      <c r="Z2826" s="14"/>
    </row>
    <row r="2827">
      <c r="A2827" s="8" t="s">
        <v>13534</v>
      </c>
      <c r="B2827" s="8" t="s">
        <v>13535</v>
      </c>
      <c r="C2827" s="8" t="s">
        <v>708</v>
      </c>
      <c r="D2827" s="8" t="s">
        <v>26</v>
      </c>
      <c r="E2827" s="8" t="s">
        <v>13536</v>
      </c>
      <c r="F2827" s="8">
        <v>5.521324E8</v>
      </c>
      <c r="G2827" s="8" t="s">
        <v>254</v>
      </c>
      <c r="H2827" s="8" t="s">
        <v>422</v>
      </c>
      <c r="I2827" s="8" t="s">
        <v>31</v>
      </c>
      <c r="J2827" s="8" t="s">
        <v>77</v>
      </c>
      <c r="K2827" s="10" t="s">
        <v>1972</v>
      </c>
      <c r="L2827" s="8" t="s">
        <v>47</v>
      </c>
      <c r="M2827" s="8" t="s">
        <v>70</v>
      </c>
      <c r="N2827" s="11">
        <v>45137.0</v>
      </c>
      <c r="O2827" s="11">
        <v>45166.0</v>
      </c>
      <c r="P2827" s="11">
        <v>45458.0</v>
      </c>
      <c r="Q2827" s="11">
        <v>45169.0</v>
      </c>
      <c r="R2827" s="11">
        <v>45460.0</v>
      </c>
      <c r="S2827" s="12"/>
      <c r="T2827" s="8"/>
      <c r="U2827" s="8" t="s">
        <v>1973</v>
      </c>
      <c r="V2827" s="13" t="s">
        <v>425</v>
      </c>
      <c r="W2827" s="13" t="s">
        <v>13537</v>
      </c>
      <c r="X2827" s="12"/>
      <c r="Y2827" s="14"/>
      <c r="Z2827" s="14"/>
    </row>
    <row r="2828">
      <c r="A2828" s="8" t="s">
        <v>13538</v>
      </c>
      <c r="B2828" s="8" t="s">
        <v>13349</v>
      </c>
      <c r="C2828" s="8" t="s">
        <v>64</v>
      </c>
      <c r="D2828" s="8" t="s">
        <v>26</v>
      </c>
      <c r="E2828" s="8" t="s">
        <v>13350</v>
      </c>
      <c r="F2828" s="8">
        <v>5.4320106E9</v>
      </c>
      <c r="G2828" s="8" t="s">
        <v>31</v>
      </c>
      <c r="H2828" s="8" t="s">
        <v>56</v>
      </c>
      <c r="I2828" s="8" t="s">
        <v>54</v>
      </c>
      <c r="J2828" s="8" t="s">
        <v>135</v>
      </c>
      <c r="K2828" s="10" t="s">
        <v>13539</v>
      </c>
      <c r="L2828" s="8" t="s">
        <v>58</v>
      </c>
      <c r="M2828" s="8" t="s">
        <v>35</v>
      </c>
      <c r="N2828" s="11">
        <v>45137.0</v>
      </c>
      <c r="O2828" s="11">
        <v>45150.0</v>
      </c>
      <c r="P2828" s="11">
        <v>45192.0</v>
      </c>
      <c r="Q2828" s="11">
        <v>45144.0</v>
      </c>
      <c r="R2828" s="11">
        <v>45192.0</v>
      </c>
      <c r="S2828" s="12"/>
      <c r="T2828" s="8"/>
      <c r="U2828" s="8" t="s">
        <v>1590</v>
      </c>
      <c r="V2828" s="13" t="s">
        <v>56</v>
      </c>
      <c r="W2828" s="13" t="s">
        <v>13352</v>
      </c>
      <c r="X2828" s="12"/>
      <c r="Y2828" s="14"/>
      <c r="Z2828" s="14"/>
    </row>
    <row r="2829">
      <c r="A2829" s="8" t="s">
        <v>13540</v>
      </c>
      <c r="B2829" s="8" t="s">
        <v>13541</v>
      </c>
      <c r="C2829" s="8" t="s">
        <v>25</v>
      </c>
      <c r="D2829" s="8" t="s">
        <v>26</v>
      </c>
      <c r="E2829" s="8" t="s">
        <v>13542</v>
      </c>
      <c r="F2829" s="8">
        <v>5.522817185E9</v>
      </c>
      <c r="G2829" s="8" t="s">
        <v>31</v>
      </c>
      <c r="H2829" s="8" t="s">
        <v>56</v>
      </c>
      <c r="I2829" s="8" t="s">
        <v>284</v>
      </c>
      <c r="J2829" s="8" t="s">
        <v>854</v>
      </c>
      <c r="K2829" s="10" t="s">
        <v>12832</v>
      </c>
      <c r="L2829" s="8" t="s">
        <v>58</v>
      </c>
      <c r="M2829" s="8" t="s">
        <v>35</v>
      </c>
      <c r="N2829" s="11">
        <v>45138.0</v>
      </c>
      <c r="O2829" s="11">
        <v>45153.0</v>
      </c>
      <c r="P2829" s="11">
        <v>45195.0</v>
      </c>
      <c r="Q2829" s="11">
        <v>45154.0</v>
      </c>
      <c r="R2829" s="11">
        <v>45196.0</v>
      </c>
      <c r="S2829" s="12"/>
      <c r="T2829" s="8"/>
      <c r="U2829" s="8" t="s">
        <v>185</v>
      </c>
      <c r="V2829" s="13" t="s">
        <v>56</v>
      </c>
      <c r="W2829" s="13" t="s">
        <v>13543</v>
      </c>
      <c r="X2829" s="12"/>
      <c r="Y2829" s="14"/>
      <c r="Z2829" s="14"/>
    </row>
    <row r="2830">
      <c r="A2830" s="8" t="s">
        <v>13544</v>
      </c>
      <c r="B2830" s="8" t="s">
        <v>13545</v>
      </c>
      <c r="C2830" s="8" t="s">
        <v>251</v>
      </c>
      <c r="D2830" s="8" t="s">
        <v>26</v>
      </c>
      <c r="E2830" s="8" t="s">
        <v>13546</v>
      </c>
      <c r="F2830" s="8">
        <v>5.524682437E9</v>
      </c>
      <c r="G2830" s="8" t="s">
        <v>31</v>
      </c>
      <c r="H2830" s="8" t="s">
        <v>292</v>
      </c>
      <c r="I2830" s="8" t="s">
        <v>284</v>
      </c>
      <c r="J2830" s="8" t="s">
        <v>854</v>
      </c>
      <c r="K2830" s="10" t="s">
        <v>13462</v>
      </c>
      <c r="L2830" s="8" t="s">
        <v>58</v>
      </c>
      <c r="M2830" s="8" t="s">
        <v>35</v>
      </c>
      <c r="N2830" s="11">
        <v>45138.0</v>
      </c>
      <c r="O2830" s="11">
        <v>45153.0</v>
      </c>
      <c r="P2830" s="11">
        <v>45197.0</v>
      </c>
      <c r="Q2830" s="11"/>
      <c r="R2830" s="11"/>
      <c r="S2830" s="12"/>
      <c r="T2830" s="8"/>
      <c r="U2830" s="8" t="s">
        <v>1038</v>
      </c>
      <c r="V2830" s="13" t="s">
        <v>292</v>
      </c>
      <c r="W2830" s="13" t="s">
        <v>13547</v>
      </c>
      <c r="X2830" s="12"/>
      <c r="Y2830" s="14"/>
      <c r="Z2830" s="14"/>
    </row>
    <row r="2831">
      <c r="A2831" s="8" t="s">
        <v>13548</v>
      </c>
      <c r="B2831" s="8" t="s">
        <v>13549</v>
      </c>
      <c r="C2831" s="8" t="s">
        <v>251</v>
      </c>
      <c r="D2831" s="8" t="s">
        <v>26</v>
      </c>
      <c r="E2831" s="8" t="s">
        <v>13550</v>
      </c>
      <c r="F2831" s="8">
        <v>6.1999197592E10</v>
      </c>
      <c r="G2831" s="8" t="s">
        <v>109</v>
      </c>
      <c r="H2831" s="8" t="s">
        <v>4031</v>
      </c>
      <c r="I2831" s="8" t="s">
        <v>31</v>
      </c>
      <c r="J2831" s="8" t="s">
        <v>77</v>
      </c>
      <c r="K2831" s="10" t="s">
        <v>601</v>
      </c>
      <c r="L2831" s="8" t="s">
        <v>47</v>
      </c>
      <c r="M2831" s="8" t="s">
        <v>70</v>
      </c>
      <c r="N2831" s="11">
        <v>45138.0</v>
      </c>
      <c r="O2831" s="11">
        <v>45173.0</v>
      </c>
      <c r="P2831" s="11">
        <v>45429.0</v>
      </c>
      <c r="Q2831" s="11"/>
      <c r="R2831" s="11"/>
      <c r="S2831" s="12"/>
      <c r="T2831" s="8"/>
      <c r="U2831" s="8" t="s">
        <v>602</v>
      </c>
      <c r="V2831" s="13" t="s">
        <v>4032</v>
      </c>
      <c r="W2831" s="13" t="s">
        <v>13551</v>
      </c>
      <c r="X2831" s="12"/>
      <c r="Y2831" s="14"/>
      <c r="Z2831" s="14"/>
    </row>
    <row r="2832">
      <c r="A2832" s="8" t="s">
        <v>13552</v>
      </c>
      <c r="B2832" s="8" t="s">
        <v>13553</v>
      </c>
      <c r="C2832" s="8" t="s">
        <v>25</v>
      </c>
      <c r="D2832" s="8" t="s">
        <v>26</v>
      </c>
      <c r="E2832" s="8" t="s">
        <v>13554</v>
      </c>
      <c r="F2832" s="8">
        <v>5.535701291E9</v>
      </c>
      <c r="G2832" s="8" t="s">
        <v>31</v>
      </c>
      <c r="H2832" s="8" t="s">
        <v>1119</v>
      </c>
      <c r="I2832" s="8" t="s">
        <v>221</v>
      </c>
      <c r="J2832" s="8" t="s">
        <v>2735</v>
      </c>
      <c r="K2832" s="10" t="s">
        <v>13555</v>
      </c>
      <c r="L2832" s="8" t="s">
        <v>34</v>
      </c>
      <c r="M2832" s="8" t="s">
        <v>35</v>
      </c>
      <c r="N2832" s="11">
        <v>45138.0</v>
      </c>
      <c r="O2832" s="11">
        <v>45152.0</v>
      </c>
      <c r="P2832" s="11">
        <v>45208.0</v>
      </c>
      <c r="Q2832" s="11">
        <v>45190.0</v>
      </c>
      <c r="R2832" s="11">
        <v>45246.0</v>
      </c>
      <c r="S2832" s="12"/>
      <c r="T2832" s="8" t="s">
        <v>205</v>
      </c>
      <c r="U2832" s="8" t="s">
        <v>13556</v>
      </c>
      <c r="V2832" s="13" t="s">
        <v>1119</v>
      </c>
      <c r="W2832" s="13" t="s">
        <v>13557</v>
      </c>
      <c r="X2832" s="12"/>
      <c r="Y2832" s="14"/>
      <c r="Z2832" s="14"/>
    </row>
    <row r="2833">
      <c r="A2833" s="8" t="s">
        <v>13558</v>
      </c>
      <c r="B2833" s="8" t="s">
        <v>13559</v>
      </c>
      <c r="C2833" s="8" t="s">
        <v>179</v>
      </c>
      <c r="D2833" s="8" t="s">
        <v>26</v>
      </c>
      <c r="E2833" s="8" t="s">
        <v>13560</v>
      </c>
      <c r="F2833" s="8"/>
      <c r="G2833" s="8" t="s">
        <v>31</v>
      </c>
      <c r="H2833" s="8" t="s">
        <v>86</v>
      </c>
      <c r="I2833" s="8" t="s">
        <v>284</v>
      </c>
      <c r="J2833" s="8" t="s">
        <v>854</v>
      </c>
      <c r="K2833" s="10" t="s">
        <v>8517</v>
      </c>
      <c r="L2833" s="8" t="s">
        <v>58</v>
      </c>
      <c r="M2833" s="8" t="s">
        <v>35</v>
      </c>
      <c r="N2833" s="11">
        <v>45139.0</v>
      </c>
      <c r="O2833" s="11">
        <v>45488.0</v>
      </c>
      <c r="P2833" s="11">
        <v>45530.0</v>
      </c>
      <c r="Q2833" s="11"/>
      <c r="R2833" s="11"/>
      <c r="S2833" s="12"/>
      <c r="T2833" s="8"/>
      <c r="U2833" s="8" t="s">
        <v>3111</v>
      </c>
      <c r="V2833" s="13" t="s">
        <v>38</v>
      </c>
      <c r="W2833" s="13" t="s">
        <v>13561</v>
      </c>
      <c r="X2833" s="12"/>
      <c r="Y2833" s="14"/>
      <c r="Z2833" s="14"/>
    </row>
    <row r="2834">
      <c r="A2834" s="8" t="s">
        <v>13562</v>
      </c>
      <c r="B2834" s="8" t="s">
        <v>13563</v>
      </c>
      <c r="C2834" s="8" t="s">
        <v>708</v>
      </c>
      <c r="D2834" s="8" t="s">
        <v>26</v>
      </c>
      <c r="E2834" s="8" t="s">
        <v>13564</v>
      </c>
      <c r="F2834" s="8">
        <v>6.19149794E8</v>
      </c>
      <c r="G2834" s="8" t="s">
        <v>84</v>
      </c>
      <c r="H2834" s="8" t="s">
        <v>1234</v>
      </c>
      <c r="I2834" s="8" t="s">
        <v>31</v>
      </c>
      <c r="J2834" s="8" t="s">
        <v>77</v>
      </c>
      <c r="K2834" s="10" t="s">
        <v>1235</v>
      </c>
      <c r="L2834" s="8" t="s">
        <v>47</v>
      </c>
      <c r="M2834" s="8" t="s">
        <v>70</v>
      </c>
      <c r="N2834" s="11">
        <v>45139.0</v>
      </c>
      <c r="O2834" s="11">
        <v>45170.0</v>
      </c>
      <c r="P2834" s="11">
        <v>45535.0</v>
      </c>
      <c r="Q2834" s="11">
        <v>45179.0</v>
      </c>
      <c r="R2834" s="11">
        <v>45545.0</v>
      </c>
      <c r="S2834" s="12"/>
      <c r="T2834" s="8"/>
      <c r="U2834" s="8" t="s">
        <v>1236</v>
      </c>
      <c r="V2834" s="13" t="s">
        <v>1237</v>
      </c>
      <c r="W2834" s="13" t="s">
        <v>13565</v>
      </c>
      <c r="X2834" s="12"/>
      <c r="Y2834" s="14"/>
      <c r="Z2834" s="14"/>
    </row>
    <row r="2835">
      <c r="A2835" s="8" t="s">
        <v>13566</v>
      </c>
      <c r="B2835" s="8" t="s">
        <v>13567</v>
      </c>
      <c r="C2835" s="8" t="s">
        <v>179</v>
      </c>
      <c r="D2835" s="8" t="s">
        <v>26</v>
      </c>
      <c r="E2835" s="8" t="s">
        <v>13568</v>
      </c>
      <c r="F2835" s="8">
        <v>5.051111124E9</v>
      </c>
      <c r="G2835" s="8" t="s">
        <v>31</v>
      </c>
      <c r="H2835" s="8" t="s">
        <v>77</v>
      </c>
      <c r="I2835" s="8" t="s">
        <v>127</v>
      </c>
      <c r="J2835" s="8" t="s">
        <v>2182</v>
      </c>
      <c r="K2835" s="10" t="s">
        <v>13569</v>
      </c>
      <c r="L2835" s="8" t="s">
        <v>58</v>
      </c>
      <c r="M2835" s="8" t="s">
        <v>35</v>
      </c>
      <c r="N2835" s="11">
        <v>45139.0</v>
      </c>
      <c r="O2835" s="11">
        <v>45299.0</v>
      </c>
      <c r="P2835" s="11">
        <v>45341.0</v>
      </c>
      <c r="Q2835" s="11"/>
      <c r="R2835" s="11"/>
      <c r="S2835" s="12"/>
      <c r="T2835" s="8"/>
      <c r="U2835" s="8" t="s">
        <v>1956</v>
      </c>
      <c r="V2835" s="13" t="s">
        <v>77</v>
      </c>
      <c r="W2835" s="13" t="s">
        <v>13570</v>
      </c>
      <c r="X2835" s="12"/>
      <c r="Y2835" s="14"/>
      <c r="Z2835" s="14"/>
    </row>
    <row r="2836">
      <c r="A2836" s="8" t="s">
        <v>13571</v>
      </c>
      <c r="B2836" s="8" t="s">
        <v>13572</v>
      </c>
      <c r="C2836" s="8" t="s">
        <v>25</v>
      </c>
      <c r="D2836" s="8" t="s">
        <v>26</v>
      </c>
      <c r="E2836" s="8" t="s">
        <v>13573</v>
      </c>
      <c r="F2836" s="8">
        <v>5.42407107E9</v>
      </c>
      <c r="G2836" s="8" t="s">
        <v>31</v>
      </c>
      <c r="H2836" s="8" t="s">
        <v>56</v>
      </c>
      <c r="I2836" s="8" t="s">
        <v>284</v>
      </c>
      <c r="J2836" s="8" t="s">
        <v>793</v>
      </c>
      <c r="K2836" s="10" t="s">
        <v>8338</v>
      </c>
      <c r="L2836" s="8" t="s">
        <v>34</v>
      </c>
      <c r="M2836" s="8" t="s">
        <v>35</v>
      </c>
      <c r="N2836" s="11">
        <v>45139.0</v>
      </c>
      <c r="O2836" s="11">
        <v>45127.0</v>
      </c>
      <c r="P2836" s="11">
        <v>45210.0</v>
      </c>
      <c r="Q2836" s="11">
        <v>45139.0</v>
      </c>
      <c r="R2836" s="11">
        <v>45223.0</v>
      </c>
      <c r="S2836" s="12"/>
      <c r="T2836" s="8" t="s">
        <v>205</v>
      </c>
      <c r="U2836" s="8" t="s">
        <v>8339</v>
      </c>
      <c r="V2836" s="13" t="s">
        <v>102</v>
      </c>
      <c r="W2836" s="13" t="s">
        <v>13574</v>
      </c>
      <c r="X2836" s="12"/>
      <c r="Y2836" s="14"/>
      <c r="Z2836" s="14"/>
    </row>
    <row r="2837">
      <c r="A2837" s="8" t="s">
        <v>13575</v>
      </c>
      <c r="B2837" s="8" t="s">
        <v>13576</v>
      </c>
      <c r="C2837" s="8" t="s">
        <v>708</v>
      </c>
      <c r="D2837" s="8" t="s">
        <v>26</v>
      </c>
      <c r="E2837" s="8" t="s">
        <v>13577</v>
      </c>
      <c r="F2837" s="8">
        <v>1.276495495E9</v>
      </c>
      <c r="G2837" s="8" t="s">
        <v>284</v>
      </c>
      <c r="H2837" s="8" t="s">
        <v>300</v>
      </c>
      <c r="I2837" s="8" t="s">
        <v>31</v>
      </c>
      <c r="J2837" s="8" t="s">
        <v>542</v>
      </c>
      <c r="K2837" s="10" t="s">
        <v>8853</v>
      </c>
      <c r="L2837" s="8" t="s">
        <v>47</v>
      </c>
      <c r="M2837" s="8" t="s">
        <v>70</v>
      </c>
      <c r="N2837" s="11">
        <v>45139.0</v>
      </c>
      <c r="O2837" s="11">
        <v>45153.0</v>
      </c>
      <c r="P2837" s="11">
        <v>45513.0</v>
      </c>
      <c r="Q2837" s="11">
        <v>45181.0</v>
      </c>
      <c r="R2837" s="11">
        <v>45540.0</v>
      </c>
      <c r="S2837" s="12"/>
      <c r="T2837" s="8"/>
      <c r="U2837" s="8" t="s">
        <v>246</v>
      </c>
      <c r="V2837" s="13" t="s">
        <v>300</v>
      </c>
      <c r="W2837" s="13" t="s">
        <v>13578</v>
      </c>
      <c r="X2837" s="12"/>
      <c r="Y2837" s="14"/>
      <c r="Z2837" s="14"/>
    </row>
    <row r="2838">
      <c r="A2838" s="8" t="s">
        <v>13579</v>
      </c>
      <c r="B2838" s="8" t="s">
        <v>13580</v>
      </c>
      <c r="C2838" s="8" t="s">
        <v>708</v>
      </c>
      <c r="D2838" s="8" t="s">
        <v>26</v>
      </c>
      <c r="E2838" s="8" t="s">
        <v>13581</v>
      </c>
      <c r="F2838" s="8">
        <v>7.81879732E8</v>
      </c>
      <c r="G2838" s="8" t="s">
        <v>254</v>
      </c>
      <c r="H2838" s="8" t="s">
        <v>255</v>
      </c>
      <c r="I2838" s="8" t="s">
        <v>31</v>
      </c>
      <c r="J2838" s="8" t="s">
        <v>438</v>
      </c>
      <c r="K2838" s="10" t="s">
        <v>10435</v>
      </c>
      <c r="L2838" s="8" t="s">
        <v>34</v>
      </c>
      <c r="M2838" s="8" t="s">
        <v>70</v>
      </c>
      <c r="N2838" s="11">
        <v>45139.0</v>
      </c>
      <c r="O2838" s="11">
        <v>45170.0</v>
      </c>
      <c r="P2838" s="11">
        <v>45535.0</v>
      </c>
      <c r="Q2838" s="11">
        <v>45170.0</v>
      </c>
      <c r="R2838" s="11">
        <v>45535.0</v>
      </c>
      <c r="S2838" s="12"/>
      <c r="T2838" s="8" t="s">
        <v>121</v>
      </c>
      <c r="U2838" s="8" t="s">
        <v>10436</v>
      </c>
      <c r="V2838" s="13" t="s">
        <v>38</v>
      </c>
      <c r="W2838" s="13" t="s">
        <v>13582</v>
      </c>
      <c r="X2838" s="12"/>
      <c r="Y2838" s="14"/>
      <c r="Z2838" s="14"/>
    </row>
    <row r="2839">
      <c r="A2839" s="8" t="s">
        <v>13583</v>
      </c>
      <c r="B2839" s="8" t="s">
        <v>4905</v>
      </c>
      <c r="C2839" s="8" t="s">
        <v>708</v>
      </c>
      <c r="D2839" s="8" t="s">
        <v>26</v>
      </c>
      <c r="E2839" s="8" t="s">
        <v>13584</v>
      </c>
      <c r="F2839" s="8">
        <v>2.1601362E7</v>
      </c>
      <c r="G2839" s="8" t="s">
        <v>54</v>
      </c>
      <c r="H2839" s="8" t="s">
        <v>430</v>
      </c>
      <c r="I2839" s="8" t="s">
        <v>31</v>
      </c>
      <c r="J2839" s="8" t="s">
        <v>86</v>
      </c>
      <c r="K2839" s="10" t="s">
        <v>3755</v>
      </c>
      <c r="L2839" s="8" t="s">
        <v>34</v>
      </c>
      <c r="M2839" s="8" t="s">
        <v>70</v>
      </c>
      <c r="N2839" s="11">
        <v>45139.0</v>
      </c>
      <c r="O2839" s="11">
        <v>45147.0</v>
      </c>
      <c r="P2839" s="11">
        <v>45336.0</v>
      </c>
      <c r="Q2839" s="11">
        <v>45188.0</v>
      </c>
      <c r="R2839" s="11">
        <v>45376.0</v>
      </c>
      <c r="S2839" s="12"/>
      <c r="T2839" s="8" t="s">
        <v>36</v>
      </c>
      <c r="U2839" s="8" t="s">
        <v>3756</v>
      </c>
      <c r="V2839" s="13" t="s">
        <v>1229</v>
      </c>
      <c r="W2839" s="13" t="s">
        <v>13585</v>
      </c>
      <c r="X2839" s="12"/>
      <c r="Y2839" s="14"/>
      <c r="Z2839" s="14"/>
    </row>
    <row r="2840">
      <c r="A2840" s="8" t="s">
        <v>13586</v>
      </c>
      <c r="B2840" s="8" t="s">
        <v>13587</v>
      </c>
      <c r="C2840" s="8" t="s">
        <v>25</v>
      </c>
      <c r="D2840" s="8" t="s">
        <v>26</v>
      </c>
      <c r="E2840" s="8" t="s">
        <v>13588</v>
      </c>
      <c r="F2840" s="8">
        <v>5.464766322E9</v>
      </c>
      <c r="G2840" s="8" t="s">
        <v>31</v>
      </c>
      <c r="H2840" s="8" t="s">
        <v>77</v>
      </c>
      <c r="I2840" s="8" t="s">
        <v>277</v>
      </c>
      <c r="J2840" s="8" t="s">
        <v>697</v>
      </c>
      <c r="K2840" s="10" t="s">
        <v>13589</v>
      </c>
      <c r="L2840" s="8" t="s">
        <v>58</v>
      </c>
      <c r="M2840" s="8" t="s">
        <v>35</v>
      </c>
      <c r="N2840" s="11">
        <v>45139.0</v>
      </c>
      <c r="O2840" s="11">
        <v>45158.0</v>
      </c>
      <c r="P2840" s="11">
        <v>45200.0</v>
      </c>
      <c r="Q2840" s="11">
        <v>45159.0</v>
      </c>
      <c r="R2840" s="11">
        <v>45200.0</v>
      </c>
      <c r="S2840" s="12"/>
      <c r="T2840" s="8"/>
      <c r="U2840" s="8" t="s">
        <v>59</v>
      </c>
      <c r="V2840" s="13" t="s">
        <v>77</v>
      </c>
      <c r="W2840" s="13" t="s">
        <v>13590</v>
      </c>
      <c r="X2840" s="12"/>
      <c r="Y2840" s="14"/>
      <c r="Z2840" s="14"/>
    </row>
    <row r="2841">
      <c r="A2841" s="8" t="s">
        <v>13591</v>
      </c>
      <c r="B2841" s="8" t="s">
        <v>13592</v>
      </c>
      <c r="C2841" s="8" t="s">
        <v>708</v>
      </c>
      <c r="D2841" s="8" t="s">
        <v>26</v>
      </c>
      <c r="E2841" s="8" t="s">
        <v>13593</v>
      </c>
      <c r="F2841" s="8">
        <v>2.1999356E7</v>
      </c>
      <c r="G2841" s="8" t="s">
        <v>54</v>
      </c>
      <c r="H2841" s="8" t="s">
        <v>76</v>
      </c>
      <c r="I2841" s="8" t="s">
        <v>31</v>
      </c>
      <c r="J2841" s="8" t="s">
        <v>77</v>
      </c>
      <c r="K2841" s="10" t="s">
        <v>13594</v>
      </c>
      <c r="L2841" s="8" t="s">
        <v>47</v>
      </c>
      <c r="M2841" s="8" t="s">
        <v>70</v>
      </c>
      <c r="N2841" s="11">
        <v>45139.0</v>
      </c>
      <c r="O2841" s="11">
        <v>45170.0</v>
      </c>
      <c r="P2841" s="11">
        <v>45473.0</v>
      </c>
      <c r="Q2841" s="11">
        <v>45179.0</v>
      </c>
      <c r="R2841" s="11">
        <v>45483.0</v>
      </c>
      <c r="S2841" s="12"/>
      <c r="T2841" s="8"/>
      <c r="U2841" s="8" t="s">
        <v>13595</v>
      </c>
      <c r="V2841" s="13" t="s">
        <v>491</v>
      </c>
      <c r="W2841" s="13" t="s">
        <v>13596</v>
      </c>
      <c r="X2841" s="12"/>
      <c r="Y2841" s="14"/>
      <c r="Z2841" s="14"/>
    </row>
    <row r="2842">
      <c r="A2842" s="8" t="s">
        <v>13597</v>
      </c>
      <c r="B2842" s="8" t="s">
        <v>13598</v>
      </c>
      <c r="C2842" s="8" t="s">
        <v>179</v>
      </c>
      <c r="D2842" s="8" t="s">
        <v>26</v>
      </c>
      <c r="E2842" s="8" t="s">
        <v>13599</v>
      </c>
      <c r="F2842" s="8">
        <v>7.57345658E8</v>
      </c>
      <c r="G2842" s="8" t="s">
        <v>127</v>
      </c>
      <c r="H2842" s="8" t="s">
        <v>1771</v>
      </c>
      <c r="I2842" s="8" t="s">
        <v>31</v>
      </c>
      <c r="J2842" s="8" t="s">
        <v>136</v>
      </c>
      <c r="K2842" s="10" t="s">
        <v>8895</v>
      </c>
      <c r="L2842" s="8" t="s">
        <v>58</v>
      </c>
      <c r="M2842" s="8" t="s">
        <v>35</v>
      </c>
      <c r="N2842" s="11">
        <v>45139.0</v>
      </c>
      <c r="O2842" s="11">
        <v>45173.0</v>
      </c>
      <c r="P2842" s="11">
        <v>45215.0</v>
      </c>
      <c r="Q2842" s="11"/>
      <c r="R2842" s="11"/>
      <c r="S2842" s="12"/>
      <c r="T2842" s="8"/>
      <c r="U2842" s="8" t="s">
        <v>59</v>
      </c>
      <c r="V2842" s="13" t="s">
        <v>4561</v>
      </c>
      <c r="W2842" s="13" t="s">
        <v>13600</v>
      </c>
      <c r="X2842" s="12"/>
      <c r="Y2842" s="14"/>
      <c r="Z2842" s="14"/>
    </row>
    <row r="2843">
      <c r="A2843" s="8" t="s">
        <v>13601</v>
      </c>
      <c r="B2843" s="8" t="s">
        <v>13602</v>
      </c>
      <c r="C2843" s="8" t="s">
        <v>25</v>
      </c>
      <c r="D2843" s="8" t="s">
        <v>26</v>
      </c>
      <c r="E2843" s="8" t="s">
        <v>13603</v>
      </c>
      <c r="F2843" s="8">
        <v>5.321793518E9</v>
      </c>
      <c r="G2843" s="8" t="s">
        <v>31</v>
      </c>
      <c r="H2843" s="8" t="s">
        <v>86</v>
      </c>
      <c r="I2843" s="8" t="s">
        <v>29</v>
      </c>
      <c r="J2843" s="8" t="s">
        <v>2448</v>
      </c>
      <c r="K2843" s="10" t="s">
        <v>13604</v>
      </c>
      <c r="L2843" s="8" t="s">
        <v>58</v>
      </c>
      <c r="M2843" s="8" t="s">
        <v>35</v>
      </c>
      <c r="N2843" s="11">
        <v>45025.0</v>
      </c>
      <c r="O2843" s="11">
        <v>45082.0</v>
      </c>
      <c r="P2843" s="11">
        <v>45124.0</v>
      </c>
      <c r="Q2843" s="11"/>
      <c r="R2843" s="11">
        <v>45124.0</v>
      </c>
      <c r="S2843" s="12"/>
      <c r="T2843" s="8"/>
      <c r="U2843" s="8" t="s">
        <v>130</v>
      </c>
      <c r="V2843" s="13" t="s">
        <v>175</v>
      </c>
      <c r="W2843" s="13" t="s">
        <v>13605</v>
      </c>
      <c r="X2843" s="12"/>
      <c r="Y2843" s="14"/>
      <c r="Z2843" s="14"/>
    </row>
    <row r="2844">
      <c r="A2844" s="8" t="s">
        <v>13606</v>
      </c>
      <c r="B2844" s="8" t="s">
        <v>13607</v>
      </c>
      <c r="C2844" s="8" t="s">
        <v>708</v>
      </c>
      <c r="D2844" s="8" t="s">
        <v>26</v>
      </c>
      <c r="E2844" s="8" t="s">
        <v>13608</v>
      </c>
      <c r="F2844" s="8"/>
      <c r="G2844" s="8" t="s">
        <v>54</v>
      </c>
      <c r="H2844" s="8" t="s">
        <v>377</v>
      </c>
      <c r="I2844" s="8" t="s">
        <v>31</v>
      </c>
      <c r="J2844" s="8" t="s">
        <v>542</v>
      </c>
      <c r="K2844" s="10" t="s">
        <v>5473</v>
      </c>
      <c r="L2844" s="8" t="s">
        <v>47</v>
      </c>
      <c r="M2844" s="8" t="s">
        <v>70</v>
      </c>
      <c r="N2844" s="11">
        <v>45140.0</v>
      </c>
      <c r="O2844" s="11">
        <v>45159.0</v>
      </c>
      <c r="P2844" s="11">
        <v>45520.0</v>
      </c>
      <c r="Q2844" s="11">
        <v>45158.0</v>
      </c>
      <c r="R2844" s="11">
        <v>45523.0</v>
      </c>
      <c r="S2844" s="12"/>
      <c r="T2844" s="8" t="s">
        <v>121</v>
      </c>
      <c r="U2844" s="8" t="s">
        <v>5474</v>
      </c>
      <c r="V2844" s="13" t="s">
        <v>38</v>
      </c>
      <c r="W2844" s="13" t="s">
        <v>13609</v>
      </c>
      <c r="X2844" s="12"/>
      <c r="Y2844" s="14"/>
      <c r="Z2844" s="14"/>
    </row>
    <row r="2845">
      <c r="A2845" s="8" t="s">
        <v>13610</v>
      </c>
      <c r="B2845" s="8" t="s">
        <v>13611</v>
      </c>
      <c r="C2845" s="8" t="s">
        <v>179</v>
      </c>
      <c r="D2845" s="8" t="s">
        <v>26</v>
      </c>
      <c r="E2845" s="8" t="s">
        <v>13612</v>
      </c>
      <c r="F2845" s="8">
        <v>7.01739751E8</v>
      </c>
      <c r="G2845" s="8" t="s">
        <v>84</v>
      </c>
      <c r="H2845" s="8" t="s">
        <v>1234</v>
      </c>
      <c r="I2845" s="8" t="s">
        <v>31</v>
      </c>
      <c r="J2845" s="8" t="s">
        <v>32</v>
      </c>
      <c r="K2845" s="10" t="s">
        <v>13613</v>
      </c>
      <c r="L2845" s="8" t="s">
        <v>47</v>
      </c>
      <c r="M2845" s="8" t="s">
        <v>70</v>
      </c>
      <c r="N2845" s="11">
        <v>45140.0</v>
      </c>
      <c r="O2845" s="11">
        <v>45169.0</v>
      </c>
      <c r="P2845" s="11">
        <v>45473.0</v>
      </c>
      <c r="Q2845" s="11"/>
      <c r="R2845" s="11"/>
      <c r="S2845" s="12"/>
      <c r="T2845" s="8"/>
      <c r="U2845" s="8" t="s">
        <v>1794</v>
      </c>
      <c r="V2845" s="13" t="s">
        <v>1237</v>
      </c>
      <c r="W2845" s="13" t="s">
        <v>13614</v>
      </c>
      <c r="X2845" s="12"/>
      <c r="Y2845" s="14"/>
      <c r="Z2845" s="14"/>
    </row>
    <row r="2846">
      <c r="A2846" s="8" t="s">
        <v>13615</v>
      </c>
      <c r="B2846" s="8" t="s">
        <v>13616</v>
      </c>
      <c r="C2846" s="8" t="s">
        <v>179</v>
      </c>
      <c r="D2846" s="8" t="s">
        <v>26</v>
      </c>
      <c r="E2846" s="8" t="s">
        <v>13617</v>
      </c>
      <c r="F2846" s="8">
        <v>6.99421316E8</v>
      </c>
      <c r="G2846" s="8" t="s">
        <v>3627</v>
      </c>
      <c r="H2846" s="8" t="s">
        <v>13618</v>
      </c>
      <c r="I2846" s="8" t="s">
        <v>31</v>
      </c>
      <c r="J2846" s="8" t="s">
        <v>66</v>
      </c>
      <c r="K2846" s="10" t="s">
        <v>5030</v>
      </c>
      <c r="L2846" s="8" t="s">
        <v>58</v>
      </c>
      <c r="M2846" s="8" t="s">
        <v>35</v>
      </c>
      <c r="N2846" s="11">
        <v>45141.0</v>
      </c>
      <c r="O2846" s="11">
        <v>45180.0</v>
      </c>
      <c r="P2846" s="11">
        <v>45222.0</v>
      </c>
      <c r="Q2846" s="11"/>
      <c r="R2846" s="11"/>
      <c r="S2846" s="12"/>
      <c r="T2846" s="8"/>
      <c r="U2846" s="8" t="s">
        <v>88</v>
      </c>
      <c r="V2846" s="13" t="s">
        <v>13619</v>
      </c>
      <c r="W2846" s="13" t="s">
        <v>13620</v>
      </c>
      <c r="X2846" s="12"/>
      <c r="Y2846" s="14"/>
      <c r="Z2846" s="14"/>
    </row>
    <row r="2847">
      <c r="A2847" s="8" t="s">
        <v>13621</v>
      </c>
      <c r="B2847" s="8" t="s">
        <v>13622</v>
      </c>
      <c r="C2847" s="8" t="s">
        <v>179</v>
      </c>
      <c r="D2847" s="8" t="s">
        <v>26</v>
      </c>
      <c r="E2847" s="8" t="s">
        <v>13623</v>
      </c>
      <c r="F2847" s="8">
        <v>2.0401276E7</v>
      </c>
      <c r="G2847" s="8" t="s">
        <v>54</v>
      </c>
      <c r="H2847" s="8" t="s">
        <v>135</v>
      </c>
      <c r="I2847" s="8" t="s">
        <v>31</v>
      </c>
      <c r="J2847" s="8" t="s">
        <v>102</v>
      </c>
      <c r="K2847" s="10" t="s">
        <v>13624</v>
      </c>
      <c r="L2847" s="8" t="s">
        <v>34</v>
      </c>
      <c r="M2847" s="8" t="s">
        <v>70</v>
      </c>
      <c r="N2847" s="11">
        <v>45141.0</v>
      </c>
      <c r="O2847" s="11">
        <v>45170.0</v>
      </c>
      <c r="P2847" s="11">
        <v>45536.0</v>
      </c>
      <c r="Q2847" s="11"/>
      <c r="R2847" s="11"/>
      <c r="S2847" s="12"/>
      <c r="T2847" s="8" t="s">
        <v>205</v>
      </c>
      <c r="U2847" s="8" t="s">
        <v>5137</v>
      </c>
      <c r="V2847" s="13" t="s">
        <v>38</v>
      </c>
      <c r="W2847" s="13" t="s">
        <v>13625</v>
      </c>
      <c r="X2847" s="12"/>
      <c r="Y2847" s="14"/>
      <c r="Z2847" s="14"/>
    </row>
    <row r="2848">
      <c r="A2848" s="8" t="s">
        <v>13626</v>
      </c>
      <c r="B2848" s="8" t="s">
        <v>13627</v>
      </c>
      <c r="C2848" s="8" t="s">
        <v>708</v>
      </c>
      <c r="D2848" s="8" t="s">
        <v>26</v>
      </c>
      <c r="E2848" s="8" t="s">
        <v>13628</v>
      </c>
      <c r="F2848" s="8">
        <v>5.2483905E7</v>
      </c>
      <c r="G2848" s="8" t="s">
        <v>54</v>
      </c>
      <c r="H2848" s="8" t="s">
        <v>135</v>
      </c>
      <c r="I2848" s="8" t="s">
        <v>31</v>
      </c>
      <c r="J2848" s="8" t="s">
        <v>86</v>
      </c>
      <c r="K2848" s="10" t="s">
        <v>13629</v>
      </c>
      <c r="L2848" s="8" t="s">
        <v>47</v>
      </c>
      <c r="M2848" s="8" t="s">
        <v>70</v>
      </c>
      <c r="N2848" s="11">
        <v>45141.0</v>
      </c>
      <c r="O2848" s="11">
        <v>45173.0</v>
      </c>
      <c r="P2848" s="11">
        <v>45513.0</v>
      </c>
      <c r="Q2848" s="11">
        <v>45175.0</v>
      </c>
      <c r="R2848" s="11">
        <v>45513.0</v>
      </c>
      <c r="S2848" s="12"/>
      <c r="T2848" s="8"/>
      <c r="U2848" s="8" t="s">
        <v>1389</v>
      </c>
      <c r="V2848" s="13" t="s">
        <v>10329</v>
      </c>
      <c r="W2848" s="13" t="s">
        <v>13630</v>
      </c>
      <c r="X2848" s="12"/>
      <c r="Y2848" s="14"/>
      <c r="Z2848" s="14"/>
    </row>
    <row r="2849">
      <c r="A2849" s="8" t="s">
        <v>13631</v>
      </c>
      <c r="B2849" s="8" t="s">
        <v>13632</v>
      </c>
      <c r="C2849" s="8" t="s">
        <v>25</v>
      </c>
      <c r="D2849" s="8" t="s">
        <v>26</v>
      </c>
      <c r="E2849" s="8" t="s">
        <v>13633</v>
      </c>
      <c r="F2849" s="8">
        <v>2.2668053E7</v>
      </c>
      <c r="G2849" s="8" t="s">
        <v>54</v>
      </c>
      <c r="H2849" s="8" t="s">
        <v>244</v>
      </c>
      <c r="I2849" s="8" t="s">
        <v>31</v>
      </c>
      <c r="J2849" s="8" t="s">
        <v>43</v>
      </c>
      <c r="K2849" s="10" t="s">
        <v>10328</v>
      </c>
      <c r="L2849" s="8" t="s">
        <v>58</v>
      </c>
      <c r="M2849" s="8" t="s">
        <v>35</v>
      </c>
      <c r="N2849" s="11">
        <v>45141.0</v>
      </c>
      <c r="O2849" s="11">
        <v>45145.0</v>
      </c>
      <c r="P2849" s="11">
        <v>45191.0</v>
      </c>
      <c r="Q2849" s="11">
        <v>45149.0</v>
      </c>
      <c r="R2849" s="11">
        <v>45195.0</v>
      </c>
      <c r="S2849" s="12"/>
      <c r="T2849" s="8"/>
      <c r="U2849" s="8" t="s">
        <v>59</v>
      </c>
      <c r="V2849" s="13" t="s">
        <v>247</v>
      </c>
      <c r="W2849" s="13" t="s">
        <v>13634</v>
      </c>
      <c r="X2849" s="12"/>
      <c r="Y2849" s="14"/>
      <c r="Z2849" s="14"/>
    </row>
    <row r="2850">
      <c r="A2850" s="8" t="s">
        <v>13635</v>
      </c>
      <c r="B2850" s="8" t="s">
        <v>13636</v>
      </c>
      <c r="C2850" s="8" t="s">
        <v>179</v>
      </c>
      <c r="D2850" s="8" t="s">
        <v>26</v>
      </c>
      <c r="E2850" s="8" t="s">
        <v>13637</v>
      </c>
      <c r="F2850" s="8">
        <v>5.304421017E9</v>
      </c>
      <c r="G2850" s="8" t="s">
        <v>31</v>
      </c>
      <c r="H2850" s="8" t="s">
        <v>43</v>
      </c>
      <c r="I2850" s="8" t="s">
        <v>284</v>
      </c>
      <c r="J2850" s="8" t="s">
        <v>2065</v>
      </c>
      <c r="K2850" s="10" t="s">
        <v>13638</v>
      </c>
      <c r="L2850" s="8" t="s">
        <v>58</v>
      </c>
      <c r="M2850" s="8" t="s">
        <v>35</v>
      </c>
      <c r="N2850" s="11">
        <v>45141.0</v>
      </c>
      <c r="O2850" s="11">
        <v>45323.0</v>
      </c>
      <c r="P2850" s="11">
        <v>45365.0</v>
      </c>
      <c r="Q2850" s="11"/>
      <c r="R2850" s="11"/>
      <c r="S2850" s="12"/>
      <c r="T2850" s="8"/>
      <c r="U2850" s="8" t="s">
        <v>88</v>
      </c>
      <c r="V2850" s="13" t="s">
        <v>43</v>
      </c>
      <c r="W2850" s="13" t="s">
        <v>13639</v>
      </c>
      <c r="X2850" s="12"/>
      <c r="Y2850" s="14"/>
      <c r="Z2850" s="14"/>
    </row>
    <row r="2851">
      <c r="A2851" s="8" t="s">
        <v>13640</v>
      </c>
      <c r="B2851" s="8" t="s">
        <v>13641</v>
      </c>
      <c r="C2851" s="8" t="s">
        <v>251</v>
      </c>
      <c r="D2851" s="8" t="s">
        <v>26</v>
      </c>
      <c r="E2851" s="8" t="s">
        <v>13642</v>
      </c>
      <c r="F2851" s="8"/>
      <c r="G2851" s="8" t="s">
        <v>254</v>
      </c>
      <c r="H2851" s="8" t="s">
        <v>3087</v>
      </c>
      <c r="I2851" s="8" t="s">
        <v>31</v>
      </c>
      <c r="J2851" s="8" t="s">
        <v>32</v>
      </c>
      <c r="K2851" s="10" t="s">
        <v>3798</v>
      </c>
      <c r="L2851" s="8" t="s">
        <v>47</v>
      </c>
      <c r="M2851" s="8" t="s">
        <v>70</v>
      </c>
      <c r="N2851" s="11">
        <v>45141.0</v>
      </c>
      <c r="O2851" s="11">
        <v>45199.0</v>
      </c>
      <c r="P2851" s="11">
        <v>45564.0</v>
      </c>
      <c r="Q2851" s="11"/>
      <c r="R2851" s="11"/>
      <c r="S2851" s="12"/>
      <c r="T2851" s="8"/>
      <c r="U2851" s="8" t="s">
        <v>3248</v>
      </c>
      <c r="V2851" s="13" t="s">
        <v>38</v>
      </c>
      <c r="W2851" s="13" t="s">
        <v>13643</v>
      </c>
      <c r="X2851" s="12"/>
      <c r="Y2851" s="14"/>
      <c r="Z2851" s="14"/>
    </row>
    <row r="2852">
      <c r="A2852" s="8" t="s">
        <v>13644</v>
      </c>
      <c r="B2852" s="8" t="s">
        <v>12731</v>
      </c>
      <c r="C2852" s="8" t="s">
        <v>25</v>
      </c>
      <c r="D2852" s="8" t="s">
        <v>26</v>
      </c>
      <c r="E2852" s="8" t="s">
        <v>12732</v>
      </c>
      <c r="F2852" s="8">
        <v>5.550957639E9</v>
      </c>
      <c r="G2852" s="8" t="s">
        <v>31</v>
      </c>
      <c r="H2852" s="8" t="s">
        <v>43</v>
      </c>
      <c r="I2852" s="8" t="s">
        <v>6352</v>
      </c>
      <c r="J2852" s="8" t="s">
        <v>6353</v>
      </c>
      <c r="K2852" s="10" t="s">
        <v>9693</v>
      </c>
      <c r="L2852" s="8" t="s">
        <v>58</v>
      </c>
      <c r="M2852" s="8" t="s">
        <v>35</v>
      </c>
      <c r="N2852" s="11">
        <v>45141.0</v>
      </c>
      <c r="O2852" s="11">
        <v>45159.0</v>
      </c>
      <c r="P2852" s="11">
        <v>45201.0</v>
      </c>
      <c r="Q2852" s="11">
        <v>45160.0</v>
      </c>
      <c r="R2852" s="11">
        <v>45201.0</v>
      </c>
      <c r="S2852" s="12"/>
      <c r="T2852" s="8"/>
      <c r="U2852" s="8" t="s">
        <v>1038</v>
      </c>
      <c r="V2852" s="13" t="s">
        <v>43</v>
      </c>
      <c r="W2852" s="13" t="s">
        <v>12734</v>
      </c>
      <c r="X2852" s="12"/>
      <c r="Y2852" s="14"/>
      <c r="Z2852" s="14"/>
    </row>
    <row r="2853">
      <c r="A2853" s="8" t="s">
        <v>13645</v>
      </c>
      <c r="B2853" s="8" t="s">
        <v>13646</v>
      </c>
      <c r="C2853" s="8" t="s">
        <v>179</v>
      </c>
      <c r="D2853" s="8" t="s">
        <v>26</v>
      </c>
      <c r="E2853" s="8" t="s">
        <v>13647</v>
      </c>
      <c r="F2853" s="8">
        <v>5.364684274E9</v>
      </c>
      <c r="G2853" s="8" t="s">
        <v>31</v>
      </c>
      <c r="H2853" s="8" t="s">
        <v>542</v>
      </c>
      <c r="I2853" s="8" t="s">
        <v>29</v>
      </c>
      <c r="J2853" s="8" t="s">
        <v>2448</v>
      </c>
      <c r="K2853" s="10" t="s">
        <v>13648</v>
      </c>
      <c r="L2853" s="8" t="s">
        <v>58</v>
      </c>
      <c r="M2853" s="8" t="s">
        <v>35</v>
      </c>
      <c r="N2853" s="11">
        <v>45141.0</v>
      </c>
      <c r="O2853" s="11">
        <v>45233.0</v>
      </c>
      <c r="P2853" s="11">
        <v>45275.0</v>
      </c>
      <c r="Q2853" s="11"/>
      <c r="R2853" s="11"/>
      <c r="S2853" s="12"/>
      <c r="T2853" s="8"/>
      <c r="U2853" s="8" t="s">
        <v>130</v>
      </c>
      <c r="V2853" s="13" t="s">
        <v>545</v>
      </c>
      <c r="W2853" s="13" t="s">
        <v>13649</v>
      </c>
      <c r="X2853" s="12"/>
      <c r="Y2853" s="14"/>
      <c r="Z2853" s="14"/>
    </row>
    <row r="2854">
      <c r="A2854" s="8" t="s">
        <v>13650</v>
      </c>
      <c r="B2854" s="8" t="s">
        <v>13651</v>
      </c>
      <c r="C2854" s="8" t="s">
        <v>179</v>
      </c>
      <c r="D2854" s="8" t="s">
        <v>26</v>
      </c>
      <c r="E2854" s="8" t="s">
        <v>13652</v>
      </c>
      <c r="F2854" s="8">
        <v>5.377785909E9</v>
      </c>
      <c r="G2854" s="8" t="s">
        <v>31</v>
      </c>
      <c r="H2854" s="8" t="s">
        <v>542</v>
      </c>
      <c r="I2854" s="8" t="s">
        <v>284</v>
      </c>
      <c r="J2854" s="8" t="s">
        <v>854</v>
      </c>
      <c r="K2854" s="10" t="s">
        <v>8517</v>
      </c>
      <c r="L2854" s="8" t="s">
        <v>58</v>
      </c>
      <c r="M2854" s="8" t="s">
        <v>35</v>
      </c>
      <c r="N2854" s="11">
        <v>45142.0</v>
      </c>
      <c r="O2854" s="11">
        <v>45488.0</v>
      </c>
      <c r="P2854" s="11">
        <v>45530.0</v>
      </c>
      <c r="Q2854" s="11"/>
      <c r="R2854" s="11"/>
      <c r="S2854" s="12"/>
      <c r="T2854" s="8"/>
      <c r="U2854" s="8" t="s">
        <v>3111</v>
      </c>
      <c r="V2854" s="13" t="s">
        <v>545</v>
      </c>
      <c r="W2854" s="13" t="s">
        <v>13653</v>
      </c>
      <c r="X2854" s="12"/>
      <c r="Y2854" s="14"/>
      <c r="Z2854" s="14"/>
    </row>
    <row r="2855">
      <c r="A2855" s="8" t="s">
        <v>13654</v>
      </c>
      <c r="B2855" s="8" t="s">
        <v>13655</v>
      </c>
      <c r="C2855" s="8" t="s">
        <v>179</v>
      </c>
      <c r="D2855" s="8" t="s">
        <v>26</v>
      </c>
      <c r="E2855" s="8" t="s">
        <v>13656</v>
      </c>
      <c r="F2855" s="8">
        <v>5.426757298E9</v>
      </c>
      <c r="G2855" s="8" t="s">
        <v>31</v>
      </c>
      <c r="H2855" s="8" t="s">
        <v>542</v>
      </c>
      <c r="I2855" s="8" t="s">
        <v>284</v>
      </c>
      <c r="J2855" s="8" t="s">
        <v>854</v>
      </c>
      <c r="K2855" s="10" t="s">
        <v>8517</v>
      </c>
      <c r="L2855" s="8" t="s">
        <v>58</v>
      </c>
      <c r="M2855" s="8" t="s">
        <v>35</v>
      </c>
      <c r="N2855" s="11">
        <v>45142.0</v>
      </c>
      <c r="O2855" s="11">
        <v>45488.0</v>
      </c>
      <c r="P2855" s="11">
        <v>45530.0</v>
      </c>
      <c r="Q2855" s="11"/>
      <c r="R2855" s="11"/>
      <c r="S2855" s="12"/>
      <c r="T2855" s="8"/>
      <c r="U2855" s="8" t="s">
        <v>3111</v>
      </c>
      <c r="V2855" s="13" t="s">
        <v>545</v>
      </c>
      <c r="W2855" s="13" t="s">
        <v>13657</v>
      </c>
      <c r="X2855" s="12"/>
      <c r="Y2855" s="14"/>
      <c r="Z2855" s="14"/>
    </row>
    <row r="2856">
      <c r="A2856" s="8" t="s">
        <v>13658</v>
      </c>
      <c r="B2856" s="8" t="s">
        <v>13659</v>
      </c>
      <c r="C2856" s="8" t="s">
        <v>25</v>
      </c>
      <c r="D2856" s="8" t="s">
        <v>26</v>
      </c>
      <c r="E2856" s="8" t="s">
        <v>13660</v>
      </c>
      <c r="F2856" s="8">
        <v>5.433234382E9</v>
      </c>
      <c r="G2856" s="8" t="s">
        <v>31</v>
      </c>
      <c r="H2856" s="8" t="s">
        <v>542</v>
      </c>
      <c r="I2856" s="8" t="s">
        <v>54</v>
      </c>
      <c r="J2856" s="8" t="s">
        <v>55</v>
      </c>
      <c r="K2856" s="10" t="s">
        <v>13661</v>
      </c>
      <c r="L2856" s="8" t="s">
        <v>58</v>
      </c>
      <c r="M2856" s="8" t="s">
        <v>35</v>
      </c>
      <c r="N2856" s="11">
        <v>45142.0</v>
      </c>
      <c r="O2856" s="11">
        <v>45152.0</v>
      </c>
      <c r="P2856" s="11">
        <v>45194.0</v>
      </c>
      <c r="Q2856" s="11">
        <v>45153.0</v>
      </c>
      <c r="R2856" s="11">
        <v>45194.0</v>
      </c>
      <c r="S2856" s="12"/>
      <c r="T2856" s="8"/>
      <c r="U2856" s="8" t="s">
        <v>1038</v>
      </c>
      <c r="V2856" s="13" t="s">
        <v>13662</v>
      </c>
      <c r="W2856" s="13" t="s">
        <v>13663</v>
      </c>
      <c r="X2856" s="12"/>
      <c r="Y2856" s="14"/>
      <c r="Z2856" s="14"/>
    </row>
    <row r="2857">
      <c r="A2857" s="8" t="s">
        <v>13664</v>
      </c>
      <c r="B2857" s="8" t="s">
        <v>13665</v>
      </c>
      <c r="C2857" s="8" t="s">
        <v>179</v>
      </c>
      <c r="D2857" s="8" t="s">
        <v>26</v>
      </c>
      <c r="E2857" s="8" t="s">
        <v>13666</v>
      </c>
      <c r="F2857" s="8">
        <v>6.91744625E8</v>
      </c>
      <c r="G2857" s="8" t="s">
        <v>3627</v>
      </c>
      <c r="H2857" s="8" t="s">
        <v>13618</v>
      </c>
      <c r="I2857" s="8" t="s">
        <v>31</v>
      </c>
      <c r="J2857" s="8" t="s">
        <v>66</v>
      </c>
      <c r="K2857" s="10" t="s">
        <v>5030</v>
      </c>
      <c r="L2857" s="8" t="s">
        <v>58</v>
      </c>
      <c r="M2857" s="8" t="s">
        <v>35</v>
      </c>
      <c r="N2857" s="11">
        <v>45142.0</v>
      </c>
      <c r="O2857" s="11">
        <v>45180.0</v>
      </c>
      <c r="P2857" s="11">
        <v>45222.0</v>
      </c>
      <c r="Q2857" s="11"/>
      <c r="R2857" s="11"/>
      <c r="S2857" s="12"/>
      <c r="T2857" s="8"/>
      <c r="U2857" s="8" t="s">
        <v>88</v>
      </c>
      <c r="V2857" s="13" t="s">
        <v>13619</v>
      </c>
      <c r="W2857" s="13" t="s">
        <v>13667</v>
      </c>
      <c r="X2857" s="12"/>
      <c r="Y2857" s="14"/>
      <c r="Z2857" s="14"/>
    </row>
    <row r="2858">
      <c r="A2858" s="8" t="s">
        <v>13668</v>
      </c>
      <c r="B2858" s="8" t="s">
        <v>13669</v>
      </c>
      <c r="C2858" s="8" t="s">
        <v>708</v>
      </c>
      <c r="D2858" s="8" t="s">
        <v>26</v>
      </c>
      <c r="E2858" s="8" t="s">
        <v>13670</v>
      </c>
      <c r="F2858" s="8">
        <v>6.53478333E8</v>
      </c>
      <c r="G2858" s="8" t="s">
        <v>84</v>
      </c>
      <c r="H2858" s="8" t="s">
        <v>646</v>
      </c>
      <c r="I2858" s="8" t="s">
        <v>31</v>
      </c>
      <c r="J2858" s="8" t="s">
        <v>256</v>
      </c>
      <c r="K2858" s="10" t="s">
        <v>13671</v>
      </c>
      <c r="L2858" s="8" t="s">
        <v>34</v>
      </c>
      <c r="M2858" s="8" t="s">
        <v>70</v>
      </c>
      <c r="N2858" s="11">
        <v>45142.0</v>
      </c>
      <c r="O2858" s="11">
        <v>45170.0</v>
      </c>
      <c r="P2858" s="11">
        <v>45535.0</v>
      </c>
      <c r="Q2858" s="11">
        <v>45191.0</v>
      </c>
      <c r="R2858" s="11">
        <v>45556.0</v>
      </c>
      <c r="S2858" s="12"/>
      <c r="T2858" s="8" t="s">
        <v>205</v>
      </c>
      <c r="U2858" s="8" t="s">
        <v>3805</v>
      </c>
      <c r="V2858" s="13" t="s">
        <v>13672</v>
      </c>
      <c r="W2858" s="13" t="s">
        <v>13673</v>
      </c>
      <c r="X2858" s="12"/>
      <c r="Y2858" s="14"/>
      <c r="Z2858" s="14"/>
    </row>
    <row r="2859">
      <c r="A2859" s="8" t="s">
        <v>13674</v>
      </c>
      <c r="B2859" s="8" t="s">
        <v>13675</v>
      </c>
      <c r="C2859" s="8" t="s">
        <v>25</v>
      </c>
      <c r="D2859" s="8" t="s">
        <v>26</v>
      </c>
      <c r="E2859" s="8" t="s">
        <v>13676</v>
      </c>
      <c r="F2859" s="8">
        <v>5.423948128E9</v>
      </c>
      <c r="G2859" s="8" t="s">
        <v>31</v>
      </c>
      <c r="H2859" s="8" t="s">
        <v>86</v>
      </c>
      <c r="I2859" s="8" t="s">
        <v>284</v>
      </c>
      <c r="J2859" s="8" t="s">
        <v>1287</v>
      </c>
      <c r="K2859" s="10" t="s">
        <v>13677</v>
      </c>
      <c r="L2859" s="8" t="s">
        <v>47</v>
      </c>
      <c r="M2859" s="8" t="s">
        <v>35</v>
      </c>
      <c r="N2859" s="11">
        <v>45142.0</v>
      </c>
      <c r="O2859" s="11">
        <v>45170.0</v>
      </c>
      <c r="P2859" s="11">
        <v>45253.0</v>
      </c>
      <c r="Q2859" s="11">
        <v>45180.0</v>
      </c>
      <c r="R2859" s="11">
        <v>45268.0</v>
      </c>
      <c r="S2859" s="12"/>
      <c r="T2859" s="8"/>
      <c r="U2859" s="8" t="s">
        <v>246</v>
      </c>
      <c r="V2859" s="13" t="s">
        <v>175</v>
      </c>
      <c r="W2859" s="13" t="s">
        <v>13678</v>
      </c>
      <c r="X2859" s="12"/>
      <c r="Y2859" s="14"/>
      <c r="Z2859" s="14"/>
    </row>
    <row r="2860">
      <c r="A2860" s="8" t="s">
        <v>13679</v>
      </c>
      <c r="B2860" s="8" t="s">
        <v>13680</v>
      </c>
      <c r="C2860" s="8" t="s">
        <v>179</v>
      </c>
      <c r="D2860" s="8" t="s">
        <v>26</v>
      </c>
      <c r="E2860" s="8" t="s">
        <v>13681</v>
      </c>
      <c r="F2860" s="8">
        <v>8.1565444E8</v>
      </c>
      <c r="G2860" s="8" t="s">
        <v>1845</v>
      </c>
      <c r="H2860" s="8" t="s">
        <v>13682</v>
      </c>
      <c r="I2860" s="8" t="s">
        <v>31</v>
      </c>
      <c r="J2860" s="8" t="s">
        <v>43</v>
      </c>
      <c r="K2860" s="10" t="s">
        <v>13683</v>
      </c>
      <c r="L2860" s="8" t="s">
        <v>47</v>
      </c>
      <c r="M2860" s="8" t="s">
        <v>70</v>
      </c>
      <c r="N2860" s="11">
        <v>45143.0</v>
      </c>
      <c r="O2860" s="11">
        <v>45187.0</v>
      </c>
      <c r="P2860" s="11">
        <v>45467.0</v>
      </c>
      <c r="Q2860" s="11"/>
      <c r="R2860" s="11"/>
      <c r="S2860" s="12"/>
      <c r="T2860" s="8"/>
      <c r="U2860" s="8" t="s">
        <v>13684</v>
      </c>
      <c r="V2860" s="13" t="s">
        <v>13682</v>
      </c>
      <c r="W2860" s="13" t="s">
        <v>13685</v>
      </c>
      <c r="X2860" s="12"/>
      <c r="Y2860" s="14"/>
      <c r="Z2860" s="14"/>
    </row>
    <row r="2861">
      <c r="A2861" s="8" t="s">
        <v>13686</v>
      </c>
      <c r="B2861" s="8" t="s">
        <v>10326</v>
      </c>
      <c r="C2861" s="8" t="s">
        <v>64</v>
      </c>
      <c r="D2861" s="8" t="s">
        <v>26</v>
      </c>
      <c r="E2861" s="8" t="s">
        <v>10327</v>
      </c>
      <c r="F2861" s="8">
        <v>2.3602869E7</v>
      </c>
      <c r="G2861" s="8" t="s">
        <v>54</v>
      </c>
      <c r="H2861" s="8" t="s">
        <v>135</v>
      </c>
      <c r="I2861" s="8" t="s">
        <v>31</v>
      </c>
      <c r="J2861" s="8" t="s">
        <v>86</v>
      </c>
      <c r="K2861" s="10" t="s">
        <v>578</v>
      </c>
      <c r="L2861" s="8" t="s">
        <v>58</v>
      </c>
      <c r="M2861" s="8" t="s">
        <v>35</v>
      </c>
      <c r="N2861" s="11">
        <v>45143.0</v>
      </c>
      <c r="O2861" s="11">
        <v>45152.0</v>
      </c>
      <c r="P2861" s="11">
        <v>45194.0</v>
      </c>
      <c r="Q2861" s="11">
        <v>45152.0</v>
      </c>
      <c r="R2861" s="11">
        <v>45194.0</v>
      </c>
      <c r="S2861" s="12"/>
      <c r="T2861" s="8"/>
      <c r="U2861" s="8" t="s">
        <v>59</v>
      </c>
      <c r="V2861" s="13" t="s">
        <v>10329</v>
      </c>
      <c r="W2861" s="13" t="s">
        <v>10330</v>
      </c>
      <c r="X2861" s="12"/>
      <c r="Y2861" s="14"/>
      <c r="Z2861" s="14"/>
    </row>
    <row r="2862">
      <c r="A2862" s="8" t="s">
        <v>13687</v>
      </c>
      <c r="B2862" s="8" t="s">
        <v>13688</v>
      </c>
      <c r="C2862" s="8" t="s">
        <v>179</v>
      </c>
      <c r="D2862" s="8" t="s">
        <v>26</v>
      </c>
      <c r="E2862" s="8" t="s">
        <v>13689</v>
      </c>
      <c r="F2862" s="8">
        <v>9.978285555E9</v>
      </c>
      <c r="G2862" s="8" t="s">
        <v>44</v>
      </c>
      <c r="H2862" s="8" t="s">
        <v>741</v>
      </c>
      <c r="I2862" s="8" t="s">
        <v>31</v>
      </c>
      <c r="J2862" s="8" t="s">
        <v>86</v>
      </c>
      <c r="K2862" s="10" t="s">
        <v>2453</v>
      </c>
      <c r="L2862" s="8" t="s">
        <v>58</v>
      </c>
      <c r="M2862" s="8" t="s">
        <v>35</v>
      </c>
      <c r="N2862" s="11">
        <v>45143.0</v>
      </c>
      <c r="O2862" s="11">
        <v>45397.0</v>
      </c>
      <c r="P2862" s="11">
        <v>45439.0</v>
      </c>
      <c r="Q2862" s="11"/>
      <c r="R2862" s="11"/>
      <c r="S2862" s="12"/>
      <c r="T2862" s="8"/>
      <c r="U2862" s="8" t="s">
        <v>59</v>
      </c>
      <c r="V2862" s="13" t="s">
        <v>741</v>
      </c>
      <c r="W2862" s="13" t="s">
        <v>13690</v>
      </c>
      <c r="X2862" s="12"/>
      <c r="Y2862" s="14"/>
      <c r="Z2862" s="14"/>
    </row>
    <row r="2863">
      <c r="A2863" s="8" t="s">
        <v>13691</v>
      </c>
      <c r="B2863" s="8" t="s">
        <v>2297</v>
      </c>
      <c r="C2863" s="8" t="s">
        <v>25</v>
      </c>
      <c r="D2863" s="8" t="s">
        <v>26</v>
      </c>
      <c r="E2863" s="8" t="s">
        <v>2298</v>
      </c>
      <c r="F2863" s="8">
        <v>5.315409716E9</v>
      </c>
      <c r="G2863" s="8" t="s">
        <v>31</v>
      </c>
      <c r="H2863" s="8" t="s">
        <v>77</v>
      </c>
      <c r="I2863" s="8" t="s">
        <v>54</v>
      </c>
      <c r="J2863" s="8" t="s">
        <v>595</v>
      </c>
      <c r="K2863" s="10" t="s">
        <v>13692</v>
      </c>
      <c r="L2863" s="8" t="s">
        <v>58</v>
      </c>
      <c r="M2863" s="8" t="s">
        <v>35</v>
      </c>
      <c r="N2863" s="11">
        <v>45143.0</v>
      </c>
      <c r="O2863" s="11">
        <v>45170.0</v>
      </c>
      <c r="P2863" s="11">
        <v>45214.0</v>
      </c>
      <c r="Q2863" s="11">
        <v>45171.0</v>
      </c>
      <c r="R2863" s="11">
        <v>45214.0</v>
      </c>
      <c r="S2863" s="12"/>
      <c r="T2863" s="8"/>
      <c r="U2863" s="8" t="s">
        <v>161</v>
      </c>
      <c r="V2863" s="13" t="s">
        <v>77</v>
      </c>
      <c r="W2863" s="13" t="s">
        <v>2300</v>
      </c>
      <c r="X2863" s="12"/>
      <c r="Y2863" s="14"/>
      <c r="Z2863" s="14"/>
    </row>
    <row r="2864">
      <c r="A2864" s="8" t="s">
        <v>13693</v>
      </c>
      <c r="B2864" s="8" t="s">
        <v>13694</v>
      </c>
      <c r="C2864" s="8" t="s">
        <v>708</v>
      </c>
      <c r="D2864" s="8" t="s">
        <v>26</v>
      </c>
      <c r="E2864" s="8" t="s">
        <v>13695</v>
      </c>
      <c r="F2864" s="8">
        <v>5.53088947E8</v>
      </c>
      <c r="G2864" s="8" t="s">
        <v>254</v>
      </c>
      <c r="H2864" s="8" t="s">
        <v>1007</v>
      </c>
      <c r="I2864" s="8" t="s">
        <v>31</v>
      </c>
      <c r="J2864" s="8" t="s">
        <v>542</v>
      </c>
      <c r="K2864" s="10" t="s">
        <v>5473</v>
      </c>
      <c r="L2864" s="8" t="s">
        <v>47</v>
      </c>
      <c r="M2864" s="8" t="s">
        <v>70</v>
      </c>
      <c r="N2864" s="11">
        <v>45143.0</v>
      </c>
      <c r="O2864" s="11">
        <v>45169.0</v>
      </c>
      <c r="P2864" s="11">
        <v>45523.0</v>
      </c>
      <c r="Q2864" s="11">
        <v>45158.0</v>
      </c>
      <c r="R2864" s="11">
        <v>45523.0</v>
      </c>
      <c r="S2864" s="12"/>
      <c r="T2864" s="8" t="s">
        <v>121</v>
      </c>
      <c r="U2864" s="8" t="s">
        <v>5474</v>
      </c>
      <c r="V2864" s="13" t="s">
        <v>1249</v>
      </c>
      <c r="W2864" s="13" t="s">
        <v>13696</v>
      </c>
      <c r="X2864" s="12"/>
      <c r="Y2864" s="14"/>
      <c r="Z2864" s="14"/>
    </row>
    <row r="2865">
      <c r="A2865" s="8" t="s">
        <v>13697</v>
      </c>
      <c r="B2865" s="8" t="s">
        <v>13698</v>
      </c>
      <c r="C2865" s="8" t="s">
        <v>25</v>
      </c>
      <c r="D2865" s="8" t="s">
        <v>26</v>
      </c>
      <c r="E2865" s="8" t="s">
        <v>13699</v>
      </c>
      <c r="F2865" s="8">
        <v>7.45089334E8</v>
      </c>
      <c r="G2865" s="8" t="s">
        <v>31</v>
      </c>
      <c r="H2865" s="8" t="s">
        <v>86</v>
      </c>
      <c r="I2865" s="8" t="s">
        <v>284</v>
      </c>
      <c r="J2865" s="8" t="s">
        <v>1422</v>
      </c>
      <c r="K2865" s="10" t="s">
        <v>13700</v>
      </c>
      <c r="L2865" s="8" t="s">
        <v>34</v>
      </c>
      <c r="M2865" s="8" t="s">
        <v>35</v>
      </c>
      <c r="N2865" s="11">
        <v>45143.0</v>
      </c>
      <c r="O2865" s="11">
        <v>45187.0</v>
      </c>
      <c r="P2865" s="11">
        <v>45265.0</v>
      </c>
      <c r="Q2865" s="11">
        <v>45186.0</v>
      </c>
      <c r="R2865" s="11">
        <v>45265.0</v>
      </c>
      <c r="S2865" s="12"/>
      <c r="T2865" s="8" t="s">
        <v>121</v>
      </c>
      <c r="U2865" s="8" t="s">
        <v>13701</v>
      </c>
      <c r="V2865" s="13" t="s">
        <v>175</v>
      </c>
      <c r="W2865" s="13" t="s">
        <v>13702</v>
      </c>
      <c r="X2865" s="12"/>
      <c r="Y2865" s="14"/>
      <c r="Z2865" s="14"/>
    </row>
    <row r="2866">
      <c r="A2866" s="8" t="s">
        <v>13703</v>
      </c>
      <c r="B2866" s="8" t="s">
        <v>13704</v>
      </c>
      <c r="C2866" s="8" t="s">
        <v>25</v>
      </c>
      <c r="D2866" s="8" t="s">
        <v>26</v>
      </c>
      <c r="E2866" s="8" t="s">
        <v>13705</v>
      </c>
      <c r="F2866" s="8">
        <v>6.83128968E8</v>
      </c>
      <c r="G2866" s="8" t="s">
        <v>1620</v>
      </c>
      <c r="H2866" s="8" t="s">
        <v>5244</v>
      </c>
      <c r="I2866" s="8" t="s">
        <v>31</v>
      </c>
      <c r="J2866" s="8" t="s">
        <v>43</v>
      </c>
      <c r="K2866" s="10" t="s">
        <v>13706</v>
      </c>
      <c r="L2866" s="8" t="s">
        <v>58</v>
      </c>
      <c r="M2866" s="8" t="s">
        <v>35</v>
      </c>
      <c r="N2866" s="11">
        <v>45143.0</v>
      </c>
      <c r="O2866" s="11">
        <v>45180.0</v>
      </c>
      <c r="P2866" s="11">
        <v>45222.0</v>
      </c>
      <c r="Q2866" s="11">
        <v>45180.0</v>
      </c>
      <c r="R2866" s="11">
        <v>45222.0</v>
      </c>
      <c r="S2866" s="12"/>
      <c r="T2866" s="8"/>
      <c r="U2866" s="8" t="s">
        <v>632</v>
      </c>
      <c r="V2866" s="13" t="s">
        <v>5913</v>
      </c>
      <c r="W2866" s="13" t="s">
        <v>13707</v>
      </c>
      <c r="X2866" s="12"/>
      <c r="Y2866" s="14"/>
      <c r="Z2866" s="14"/>
    </row>
    <row r="2867">
      <c r="A2867" s="8" t="s">
        <v>13708</v>
      </c>
      <c r="B2867" s="8" t="s">
        <v>13709</v>
      </c>
      <c r="C2867" s="8" t="s">
        <v>708</v>
      </c>
      <c r="D2867" s="8" t="s">
        <v>26</v>
      </c>
      <c r="E2867" s="8" t="s">
        <v>13710</v>
      </c>
      <c r="F2867" s="8">
        <v>3.247188E9</v>
      </c>
      <c r="G2867" s="8" t="s">
        <v>315</v>
      </c>
      <c r="H2867" s="8" t="s">
        <v>11745</v>
      </c>
      <c r="I2867" s="8" t="s">
        <v>31</v>
      </c>
      <c r="J2867" s="8" t="s">
        <v>542</v>
      </c>
      <c r="K2867" s="10" t="s">
        <v>5473</v>
      </c>
      <c r="L2867" s="8" t="s">
        <v>47</v>
      </c>
      <c r="M2867" s="8" t="s">
        <v>70</v>
      </c>
      <c r="N2867" s="11">
        <v>45144.0</v>
      </c>
      <c r="O2867" s="11">
        <v>45169.0</v>
      </c>
      <c r="P2867" s="11">
        <v>45523.0</v>
      </c>
      <c r="Q2867" s="11">
        <v>45181.0</v>
      </c>
      <c r="R2867" s="11">
        <v>45535.0</v>
      </c>
      <c r="S2867" s="12"/>
      <c r="T2867" s="8" t="s">
        <v>121</v>
      </c>
      <c r="U2867" s="8" t="s">
        <v>5474</v>
      </c>
      <c r="V2867" s="13" t="s">
        <v>12757</v>
      </c>
      <c r="W2867" s="13" t="s">
        <v>13711</v>
      </c>
      <c r="X2867" s="12"/>
      <c r="Y2867" s="14"/>
      <c r="Z2867" s="14"/>
    </row>
    <row r="2868">
      <c r="A2868" s="8" t="s">
        <v>13712</v>
      </c>
      <c r="B2868" s="8" t="s">
        <v>13713</v>
      </c>
      <c r="C2868" s="8" t="s">
        <v>179</v>
      </c>
      <c r="D2868" s="8" t="s">
        <v>26</v>
      </c>
      <c r="E2868" s="8" t="s">
        <v>13714</v>
      </c>
      <c r="F2868" s="8">
        <v>5.53501582E9</v>
      </c>
      <c r="G2868" s="8" t="s">
        <v>31</v>
      </c>
      <c r="H2868" s="8" t="s">
        <v>86</v>
      </c>
      <c r="I2868" s="8" t="s">
        <v>8840</v>
      </c>
      <c r="J2868" s="8" t="s">
        <v>13715</v>
      </c>
      <c r="K2868" s="10" t="s">
        <v>13716</v>
      </c>
      <c r="L2868" s="8" t="s">
        <v>58</v>
      </c>
      <c r="M2868" s="8" t="s">
        <v>35</v>
      </c>
      <c r="N2868" s="11">
        <v>45144.0</v>
      </c>
      <c r="O2868" s="11">
        <v>45306.0</v>
      </c>
      <c r="P2868" s="11">
        <v>45348.0</v>
      </c>
      <c r="Q2868" s="11"/>
      <c r="R2868" s="11"/>
      <c r="S2868" s="12"/>
      <c r="T2868" s="8"/>
      <c r="U2868" s="8" t="s">
        <v>88</v>
      </c>
      <c r="V2868" s="13" t="s">
        <v>175</v>
      </c>
      <c r="W2868" s="13" t="s">
        <v>13717</v>
      </c>
      <c r="X2868" s="12"/>
      <c r="Y2868" s="14"/>
      <c r="Z2868" s="14"/>
    </row>
    <row r="2869">
      <c r="A2869" s="8" t="s">
        <v>13718</v>
      </c>
      <c r="B2869" s="8" t="s">
        <v>13719</v>
      </c>
      <c r="C2869" s="8" t="s">
        <v>25</v>
      </c>
      <c r="D2869" s="8" t="s">
        <v>26</v>
      </c>
      <c r="E2869" s="8" t="s">
        <v>13720</v>
      </c>
      <c r="F2869" s="8">
        <v>5.070516718E9</v>
      </c>
      <c r="G2869" s="8" t="s">
        <v>31</v>
      </c>
      <c r="H2869" s="8" t="s">
        <v>86</v>
      </c>
      <c r="I2869" s="8" t="s">
        <v>221</v>
      </c>
      <c r="J2869" s="8" t="s">
        <v>2735</v>
      </c>
      <c r="K2869" s="10" t="s">
        <v>13721</v>
      </c>
      <c r="L2869" s="8" t="s">
        <v>34</v>
      </c>
      <c r="M2869" s="8" t="s">
        <v>35</v>
      </c>
      <c r="N2869" s="11">
        <v>45144.0</v>
      </c>
      <c r="O2869" s="11">
        <v>45152.0</v>
      </c>
      <c r="P2869" s="11">
        <v>45194.0</v>
      </c>
      <c r="Q2869" s="11">
        <v>45150.0</v>
      </c>
      <c r="R2869" s="11">
        <v>45196.0</v>
      </c>
      <c r="S2869" s="12"/>
      <c r="T2869" s="8" t="s">
        <v>224</v>
      </c>
      <c r="U2869" s="8" t="s">
        <v>13722</v>
      </c>
      <c r="V2869" s="13" t="s">
        <v>175</v>
      </c>
      <c r="W2869" s="13" t="s">
        <v>13723</v>
      </c>
      <c r="X2869" s="12"/>
      <c r="Y2869" s="14"/>
      <c r="Z2869" s="14"/>
    </row>
    <row r="2870">
      <c r="A2870" s="8" t="s">
        <v>13724</v>
      </c>
      <c r="B2870" s="8" t="s">
        <v>13725</v>
      </c>
      <c r="C2870" s="8" t="s">
        <v>708</v>
      </c>
      <c r="D2870" s="8" t="s">
        <v>26</v>
      </c>
      <c r="E2870" s="8" t="s">
        <v>13726</v>
      </c>
      <c r="F2870" s="8">
        <v>2.1620162E7</v>
      </c>
      <c r="G2870" s="8" t="s">
        <v>54</v>
      </c>
      <c r="H2870" s="8" t="s">
        <v>377</v>
      </c>
      <c r="I2870" s="8" t="s">
        <v>31</v>
      </c>
      <c r="J2870" s="8" t="s">
        <v>256</v>
      </c>
      <c r="K2870" s="10" t="s">
        <v>13727</v>
      </c>
      <c r="L2870" s="8" t="s">
        <v>47</v>
      </c>
      <c r="M2870" s="8" t="s">
        <v>70</v>
      </c>
      <c r="N2870" s="11">
        <v>45144.0</v>
      </c>
      <c r="O2870" s="11">
        <v>45153.0</v>
      </c>
      <c r="P2870" s="11">
        <v>45518.0</v>
      </c>
      <c r="Q2870" s="11">
        <v>45154.0</v>
      </c>
      <c r="R2870" s="11">
        <v>45518.0</v>
      </c>
      <c r="S2870" s="12"/>
      <c r="T2870" s="8"/>
      <c r="U2870" s="8" t="s">
        <v>246</v>
      </c>
      <c r="V2870" s="13" t="s">
        <v>1604</v>
      </c>
      <c r="W2870" s="13" t="s">
        <v>13728</v>
      </c>
      <c r="X2870" s="12"/>
      <c r="Y2870" s="14"/>
      <c r="Z2870" s="14"/>
    </row>
    <row r="2871">
      <c r="A2871" s="8" t="s">
        <v>13729</v>
      </c>
      <c r="B2871" s="8" t="s">
        <v>7741</v>
      </c>
      <c r="C2871" s="8" t="s">
        <v>64</v>
      </c>
      <c r="D2871" s="8" t="s">
        <v>26</v>
      </c>
      <c r="E2871" s="8" t="s">
        <v>7742</v>
      </c>
      <c r="F2871" s="8">
        <v>7.73007087E8</v>
      </c>
      <c r="G2871" s="8" t="s">
        <v>277</v>
      </c>
      <c r="H2871" s="8" t="s">
        <v>697</v>
      </c>
      <c r="I2871" s="8" t="s">
        <v>31</v>
      </c>
      <c r="J2871" s="8" t="s">
        <v>43</v>
      </c>
      <c r="K2871" s="10" t="s">
        <v>10232</v>
      </c>
      <c r="L2871" s="8" t="s">
        <v>58</v>
      </c>
      <c r="M2871" s="8" t="s">
        <v>35</v>
      </c>
      <c r="N2871" s="11">
        <v>45145.0</v>
      </c>
      <c r="O2871" s="11">
        <v>45153.0</v>
      </c>
      <c r="P2871" s="11">
        <v>45195.0</v>
      </c>
      <c r="Q2871" s="11">
        <v>45145.0</v>
      </c>
      <c r="R2871" s="11">
        <v>45195.0</v>
      </c>
      <c r="S2871" s="12"/>
      <c r="T2871" s="8"/>
      <c r="U2871" s="8" t="s">
        <v>130</v>
      </c>
      <c r="V2871" s="13" t="s">
        <v>7743</v>
      </c>
      <c r="W2871" s="13" t="s">
        <v>7744</v>
      </c>
      <c r="X2871" s="12"/>
      <c r="Y2871" s="14"/>
      <c r="Z2871" s="14"/>
    </row>
    <row r="2872">
      <c r="A2872" s="8" t="s">
        <v>13730</v>
      </c>
      <c r="B2872" s="8" t="s">
        <v>8903</v>
      </c>
      <c r="C2872" s="8" t="s">
        <v>64</v>
      </c>
      <c r="D2872" s="8" t="s">
        <v>26</v>
      </c>
      <c r="E2872" s="8" t="s">
        <v>8904</v>
      </c>
      <c r="F2872" s="8">
        <v>5.5246194E8</v>
      </c>
      <c r="G2872" s="8" t="s">
        <v>277</v>
      </c>
      <c r="H2872" s="8" t="s">
        <v>697</v>
      </c>
      <c r="I2872" s="8" t="s">
        <v>31</v>
      </c>
      <c r="J2872" s="8" t="s">
        <v>43</v>
      </c>
      <c r="K2872" s="10" t="s">
        <v>10232</v>
      </c>
      <c r="L2872" s="8" t="s">
        <v>58</v>
      </c>
      <c r="M2872" s="8" t="s">
        <v>35</v>
      </c>
      <c r="N2872" s="11">
        <v>45145.0</v>
      </c>
      <c r="O2872" s="11">
        <v>45153.0</v>
      </c>
      <c r="P2872" s="11">
        <v>45195.0</v>
      </c>
      <c r="Q2872" s="11">
        <v>45145.0</v>
      </c>
      <c r="R2872" s="11">
        <v>45195.0</v>
      </c>
      <c r="S2872" s="12"/>
      <c r="T2872" s="8"/>
      <c r="U2872" s="8" t="s">
        <v>130</v>
      </c>
      <c r="V2872" s="13" t="s">
        <v>7743</v>
      </c>
      <c r="W2872" s="13" t="s">
        <v>8905</v>
      </c>
      <c r="X2872" s="12"/>
      <c r="Y2872" s="14"/>
      <c r="Z2872" s="14"/>
    </row>
    <row r="2873">
      <c r="A2873" s="8" t="s">
        <v>13731</v>
      </c>
      <c r="B2873" s="8" t="s">
        <v>816</v>
      </c>
      <c r="C2873" s="8" t="s">
        <v>708</v>
      </c>
      <c r="D2873" s="8" t="s">
        <v>26</v>
      </c>
      <c r="E2873" s="8" t="s">
        <v>817</v>
      </c>
      <c r="F2873" s="8">
        <v>5.346069981E9</v>
      </c>
      <c r="G2873" s="8" t="s">
        <v>818</v>
      </c>
      <c r="H2873" s="8" t="s">
        <v>819</v>
      </c>
      <c r="I2873" s="8" t="s">
        <v>31</v>
      </c>
      <c r="J2873" s="8" t="s">
        <v>77</v>
      </c>
      <c r="K2873" s="10" t="s">
        <v>13732</v>
      </c>
      <c r="L2873" s="8" t="s">
        <v>47</v>
      </c>
      <c r="M2873" s="8" t="s">
        <v>70</v>
      </c>
      <c r="N2873" s="11">
        <v>45145.0</v>
      </c>
      <c r="O2873" s="11">
        <v>45180.0</v>
      </c>
      <c r="P2873" s="11">
        <v>45457.0</v>
      </c>
      <c r="Q2873" s="11">
        <v>45251.0</v>
      </c>
      <c r="R2873" s="11">
        <v>45529.0</v>
      </c>
      <c r="S2873" s="12"/>
      <c r="T2873" s="8"/>
      <c r="U2873" s="8" t="s">
        <v>13733</v>
      </c>
      <c r="V2873" s="13" t="s">
        <v>822</v>
      </c>
      <c r="W2873" s="13" t="s">
        <v>823</v>
      </c>
      <c r="X2873" s="12"/>
      <c r="Y2873" s="14"/>
      <c r="Z2873" s="14"/>
    </row>
    <row r="2874">
      <c r="A2874" s="8" t="s">
        <v>13734</v>
      </c>
      <c r="B2874" s="8" t="s">
        <v>13735</v>
      </c>
      <c r="C2874" s="8" t="s">
        <v>25</v>
      </c>
      <c r="D2874" s="8" t="s">
        <v>26</v>
      </c>
      <c r="E2874" s="8" t="s">
        <v>13736</v>
      </c>
      <c r="F2874" s="8">
        <v>5.326477354E9</v>
      </c>
      <c r="G2874" s="8" t="s">
        <v>31</v>
      </c>
      <c r="H2874" s="8" t="s">
        <v>86</v>
      </c>
      <c r="I2874" s="8" t="s">
        <v>6352</v>
      </c>
      <c r="J2874" s="8" t="s">
        <v>6353</v>
      </c>
      <c r="K2874" s="10" t="s">
        <v>9693</v>
      </c>
      <c r="L2874" s="8" t="s">
        <v>58</v>
      </c>
      <c r="M2874" s="8" t="s">
        <v>35</v>
      </c>
      <c r="N2874" s="11">
        <v>45145.0</v>
      </c>
      <c r="O2874" s="11">
        <v>45159.0</v>
      </c>
      <c r="P2874" s="11">
        <v>45201.0</v>
      </c>
      <c r="Q2874" s="11">
        <v>45160.0</v>
      </c>
      <c r="R2874" s="11">
        <v>45201.0</v>
      </c>
      <c r="S2874" s="12"/>
      <c r="T2874" s="8"/>
      <c r="U2874" s="8" t="s">
        <v>1038</v>
      </c>
      <c r="V2874" s="13" t="s">
        <v>175</v>
      </c>
      <c r="W2874" s="13" t="s">
        <v>13737</v>
      </c>
      <c r="X2874" s="12"/>
      <c r="Y2874" s="14"/>
      <c r="Z2874" s="14"/>
    </row>
    <row r="2875">
      <c r="A2875" s="8" t="s">
        <v>13738</v>
      </c>
      <c r="B2875" s="8" t="s">
        <v>13739</v>
      </c>
      <c r="C2875" s="8" t="s">
        <v>25</v>
      </c>
      <c r="D2875" s="8" t="s">
        <v>26</v>
      </c>
      <c r="E2875" s="8" t="s">
        <v>13740</v>
      </c>
      <c r="F2875" s="8">
        <v>7.0072174E8</v>
      </c>
      <c r="G2875" s="8" t="s">
        <v>307</v>
      </c>
      <c r="H2875" s="8" t="s">
        <v>308</v>
      </c>
      <c r="I2875" s="8" t="s">
        <v>31</v>
      </c>
      <c r="J2875" s="8" t="s">
        <v>256</v>
      </c>
      <c r="K2875" s="10" t="s">
        <v>9880</v>
      </c>
      <c r="L2875" s="8" t="s">
        <v>58</v>
      </c>
      <c r="M2875" s="8" t="s">
        <v>35</v>
      </c>
      <c r="N2875" s="11">
        <v>45145.0</v>
      </c>
      <c r="O2875" s="11">
        <v>45193.0</v>
      </c>
      <c r="P2875" s="11">
        <v>45235.0</v>
      </c>
      <c r="Q2875" s="11">
        <v>45192.0</v>
      </c>
      <c r="R2875" s="11">
        <v>45235.0</v>
      </c>
      <c r="S2875" s="12"/>
      <c r="T2875" s="8"/>
      <c r="U2875" s="8" t="s">
        <v>161</v>
      </c>
      <c r="V2875" s="13" t="s">
        <v>13741</v>
      </c>
      <c r="W2875" s="13" t="s">
        <v>13742</v>
      </c>
      <c r="X2875" s="12"/>
      <c r="Y2875" s="14"/>
      <c r="Z2875" s="14"/>
    </row>
    <row r="2876">
      <c r="A2876" s="8" t="s">
        <v>13743</v>
      </c>
      <c r="B2876" s="8" t="s">
        <v>13744</v>
      </c>
      <c r="C2876" s="8" t="s">
        <v>25</v>
      </c>
      <c r="D2876" s="8" t="s">
        <v>26</v>
      </c>
      <c r="E2876" s="8" t="s">
        <v>13745</v>
      </c>
      <c r="F2876" s="8"/>
      <c r="G2876" s="8" t="s">
        <v>31</v>
      </c>
      <c r="H2876" s="8" t="s">
        <v>43</v>
      </c>
      <c r="I2876" s="8" t="s">
        <v>284</v>
      </c>
      <c r="J2876" s="8" t="s">
        <v>1450</v>
      </c>
      <c r="K2876" s="10" t="s">
        <v>11291</v>
      </c>
      <c r="L2876" s="8" t="s">
        <v>58</v>
      </c>
      <c r="M2876" s="8" t="s">
        <v>35</v>
      </c>
      <c r="N2876" s="11">
        <v>45145.0</v>
      </c>
      <c r="O2876" s="11">
        <v>45184.0</v>
      </c>
      <c r="P2876" s="11">
        <v>45226.0</v>
      </c>
      <c r="Q2876" s="11">
        <v>45183.0</v>
      </c>
      <c r="R2876" s="11">
        <v>45226.0</v>
      </c>
      <c r="S2876" s="12"/>
      <c r="T2876" s="8"/>
      <c r="U2876" s="8" t="s">
        <v>1038</v>
      </c>
      <c r="V2876" s="13" t="s">
        <v>38</v>
      </c>
      <c r="W2876" s="13" t="s">
        <v>13746</v>
      </c>
      <c r="X2876" s="12"/>
      <c r="Y2876" s="14"/>
      <c r="Z2876" s="14"/>
    </row>
    <row r="2877">
      <c r="A2877" s="8" t="s">
        <v>13747</v>
      </c>
      <c r="B2877" s="8" t="s">
        <v>13748</v>
      </c>
      <c r="C2877" s="8" t="s">
        <v>179</v>
      </c>
      <c r="D2877" s="8" t="s">
        <v>26</v>
      </c>
      <c r="E2877" s="8" t="s">
        <v>13749</v>
      </c>
      <c r="F2877" s="8">
        <v>7.83816928E8</v>
      </c>
      <c r="G2877" s="8" t="s">
        <v>254</v>
      </c>
      <c r="H2877" s="8" t="s">
        <v>255</v>
      </c>
      <c r="I2877" s="8" t="s">
        <v>31</v>
      </c>
      <c r="J2877" s="8" t="s">
        <v>86</v>
      </c>
      <c r="K2877" s="10" t="s">
        <v>2404</v>
      </c>
      <c r="L2877" s="8" t="s">
        <v>34</v>
      </c>
      <c r="M2877" s="8" t="s">
        <v>70</v>
      </c>
      <c r="N2877" s="11">
        <v>45145.0</v>
      </c>
      <c r="O2877" s="11">
        <v>45257.0</v>
      </c>
      <c r="P2877" s="11">
        <v>45758.0</v>
      </c>
      <c r="Q2877" s="11"/>
      <c r="R2877" s="11"/>
      <c r="S2877" s="12"/>
      <c r="T2877" s="8" t="s">
        <v>36</v>
      </c>
      <c r="U2877" s="8" t="s">
        <v>2405</v>
      </c>
      <c r="V2877" s="13" t="s">
        <v>258</v>
      </c>
      <c r="W2877" s="13" t="s">
        <v>13750</v>
      </c>
      <c r="X2877" s="12"/>
      <c r="Y2877" s="14"/>
      <c r="Z2877" s="14"/>
    </row>
    <row r="2878">
      <c r="A2878" s="8" t="s">
        <v>13751</v>
      </c>
      <c r="B2878" s="8" t="s">
        <v>13752</v>
      </c>
      <c r="C2878" s="8" t="s">
        <v>708</v>
      </c>
      <c r="D2878" s="8" t="s">
        <v>26</v>
      </c>
      <c r="E2878" s="8" t="s">
        <v>13753</v>
      </c>
      <c r="F2878" s="8">
        <v>7.9155477904E10</v>
      </c>
      <c r="G2878" s="8" t="s">
        <v>6087</v>
      </c>
      <c r="H2878" s="8" t="s">
        <v>13754</v>
      </c>
      <c r="I2878" s="8" t="s">
        <v>31</v>
      </c>
      <c r="J2878" s="8" t="s">
        <v>77</v>
      </c>
      <c r="K2878" s="10" t="s">
        <v>1179</v>
      </c>
      <c r="L2878" s="8" t="s">
        <v>47</v>
      </c>
      <c r="M2878" s="8" t="s">
        <v>70</v>
      </c>
      <c r="N2878" s="11">
        <v>45145.0</v>
      </c>
      <c r="O2878" s="11">
        <v>45170.0</v>
      </c>
      <c r="P2878" s="11">
        <v>45474.0</v>
      </c>
      <c r="Q2878" s="11">
        <v>45179.0</v>
      </c>
      <c r="R2878" s="11">
        <v>45483.0</v>
      </c>
      <c r="S2878" s="12"/>
      <c r="T2878" s="8"/>
      <c r="U2878" s="8" t="s">
        <v>1180</v>
      </c>
      <c r="V2878" s="13" t="s">
        <v>13755</v>
      </c>
      <c r="W2878" s="13" t="s">
        <v>13756</v>
      </c>
      <c r="X2878" s="12"/>
      <c r="Y2878" s="14"/>
      <c r="Z2878" s="14"/>
    </row>
    <row r="2879">
      <c r="A2879" s="8" t="s">
        <v>13757</v>
      </c>
      <c r="B2879" s="8" t="s">
        <v>13758</v>
      </c>
      <c r="C2879" s="8" t="s">
        <v>25</v>
      </c>
      <c r="D2879" s="8" t="s">
        <v>26</v>
      </c>
      <c r="E2879" s="8" t="s">
        <v>13759</v>
      </c>
      <c r="F2879" s="8">
        <v>9.85061332E8</v>
      </c>
      <c r="G2879" s="8" t="s">
        <v>1620</v>
      </c>
      <c r="H2879" s="8" t="s">
        <v>1621</v>
      </c>
      <c r="I2879" s="8" t="s">
        <v>31</v>
      </c>
      <c r="J2879" s="8" t="s">
        <v>43</v>
      </c>
      <c r="K2879" s="10" t="s">
        <v>13706</v>
      </c>
      <c r="L2879" s="8" t="s">
        <v>58</v>
      </c>
      <c r="M2879" s="8" t="s">
        <v>35</v>
      </c>
      <c r="N2879" s="11">
        <v>45145.0</v>
      </c>
      <c r="O2879" s="11">
        <v>45180.0</v>
      </c>
      <c r="P2879" s="11">
        <v>45222.0</v>
      </c>
      <c r="Q2879" s="11">
        <v>45180.0</v>
      </c>
      <c r="R2879" s="11">
        <v>45222.0</v>
      </c>
      <c r="S2879" s="12"/>
      <c r="T2879" s="8"/>
      <c r="U2879" s="8" t="s">
        <v>632</v>
      </c>
      <c r="V2879" s="13" t="s">
        <v>13760</v>
      </c>
      <c r="W2879" s="13" t="s">
        <v>13761</v>
      </c>
      <c r="X2879" s="12"/>
      <c r="Y2879" s="14"/>
      <c r="Z2879" s="14"/>
    </row>
    <row r="2880">
      <c r="A2880" s="8" t="s">
        <v>13762</v>
      </c>
      <c r="B2880" s="8" t="s">
        <v>11285</v>
      </c>
      <c r="C2880" s="8" t="s">
        <v>179</v>
      </c>
      <c r="D2880" s="8" t="s">
        <v>26</v>
      </c>
      <c r="E2880" s="8" t="s">
        <v>13763</v>
      </c>
      <c r="F2880" s="8"/>
      <c r="G2880" s="8" t="s">
        <v>284</v>
      </c>
      <c r="H2880" s="8" t="s">
        <v>854</v>
      </c>
      <c r="I2880" s="8" t="s">
        <v>31</v>
      </c>
      <c r="J2880" s="8" t="s">
        <v>102</v>
      </c>
      <c r="K2880" s="10" t="s">
        <v>5254</v>
      </c>
      <c r="L2880" s="8" t="s">
        <v>34</v>
      </c>
      <c r="M2880" s="8" t="s">
        <v>70</v>
      </c>
      <c r="N2880" s="11">
        <v>45145.0</v>
      </c>
      <c r="O2880" s="11">
        <v>45231.0</v>
      </c>
      <c r="P2880" s="11">
        <v>45597.0</v>
      </c>
      <c r="Q2880" s="11"/>
      <c r="R2880" s="11"/>
      <c r="S2880" s="12"/>
      <c r="T2880" s="8" t="s">
        <v>446</v>
      </c>
      <c r="U2880" s="8" t="s">
        <v>5255</v>
      </c>
      <c r="V2880" s="13" t="s">
        <v>38</v>
      </c>
      <c r="W2880" s="13" t="s">
        <v>13764</v>
      </c>
      <c r="X2880" s="12"/>
      <c r="Y2880" s="14"/>
      <c r="Z2880" s="14"/>
    </row>
    <row r="2881">
      <c r="A2881" s="8" t="s">
        <v>13765</v>
      </c>
      <c r="B2881" s="8" t="s">
        <v>13766</v>
      </c>
      <c r="C2881" s="8" t="s">
        <v>64</v>
      </c>
      <c r="D2881" s="8" t="s">
        <v>26</v>
      </c>
      <c r="E2881" s="8" t="s">
        <v>13767</v>
      </c>
      <c r="F2881" s="8">
        <v>1.060478337E9</v>
      </c>
      <c r="G2881" s="8" t="s">
        <v>284</v>
      </c>
      <c r="H2881" s="8" t="s">
        <v>854</v>
      </c>
      <c r="I2881" s="8" t="s">
        <v>31</v>
      </c>
      <c r="J2881" s="8" t="s">
        <v>77</v>
      </c>
      <c r="K2881" s="10" t="s">
        <v>3241</v>
      </c>
      <c r="L2881" s="8" t="s">
        <v>58</v>
      </c>
      <c r="M2881" s="8" t="s">
        <v>35</v>
      </c>
      <c r="N2881" s="11">
        <v>45145.0</v>
      </c>
      <c r="O2881" s="11">
        <v>45214.0</v>
      </c>
      <c r="P2881" s="11">
        <v>45256.0</v>
      </c>
      <c r="Q2881" s="11">
        <v>45225.0</v>
      </c>
      <c r="R2881" s="11">
        <v>45267.0</v>
      </c>
      <c r="S2881" s="12"/>
      <c r="T2881" s="8"/>
      <c r="U2881" s="8" t="s">
        <v>59</v>
      </c>
      <c r="V2881" s="13" t="s">
        <v>856</v>
      </c>
      <c r="W2881" s="13" t="s">
        <v>13768</v>
      </c>
      <c r="X2881" s="12"/>
      <c r="Y2881" s="14"/>
      <c r="Z2881" s="14"/>
    </row>
    <row r="2882">
      <c r="A2882" s="8" t="s">
        <v>13769</v>
      </c>
      <c r="B2882" s="8" t="s">
        <v>10086</v>
      </c>
      <c r="C2882" s="8" t="s">
        <v>25</v>
      </c>
      <c r="D2882" s="8" t="s">
        <v>26</v>
      </c>
      <c r="E2882" s="8" t="s">
        <v>10087</v>
      </c>
      <c r="F2882" s="8">
        <v>3.024733534E9</v>
      </c>
      <c r="G2882" s="8" t="s">
        <v>315</v>
      </c>
      <c r="H2882" s="8" t="s">
        <v>316</v>
      </c>
      <c r="I2882" s="8" t="s">
        <v>31</v>
      </c>
      <c r="J2882" s="8" t="s">
        <v>56</v>
      </c>
      <c r="K2882" s="10" t="s">
        <v>9305</v>
      </c>
      <c r="L2882" s="8" t="s">
        <v>58</v>
      </c>
      <c r="M2882" s="8" t="s">
        <v>35</v>
      </c>
      <c r="N2882" s="11">
        <v>45145.0</v>
      </c>
      <c r="O2882" s="11">
        <v>45153.0</v>
      </c>
      <c r="P2882" s="11">
        <v>45195.0</v>
      </c>
      <c r="Q2882" s="11">
        <v>45177.0</v>
      </c>
      <c r="R2882" s="11">
        <v>45217.0</v>
      </c>
      <c r="S2882" s="12"/>
      <c r="T2882" s="8"/>
      <c r="U2882" s="8" t="s">
        <v>59</v>
      </c>
      <c r="V2882" s="13" t="s">
        <v>38</v>
      </c>
      <c r="W2882" s="13" t="s">
        <v>10088</v>
      </c>
      <c r="X2882" s="12"/>
      <c r="Y2882" s="14"/>
      <c r="Z2882" s="14"/>
    </row>
    <row r="2883">
      <c r="A2883" s="8" t="s">
        <v>13770</v>
      </c>
      <c r="B2883" s="8" t="s">
        <v>13771</v>
      </c>
      <c r="C2883" s="8" t="s">
        <v>25</v>
      </c>
      <c r="D2883" s="8" t="s">
        <v>26</v>
      </c>
      <c r="E2883" s="8" t="s">
        <v>13772</v>
      </c>
      <c r="F2883" s="8"/>
      <c r="G2883" s="8" t="s">
        <v>315</v>
      </c>
      <c r="H2883" s="8" t="s">
        <v>1242</v>
      </c>
      <c r="I2883" s="8" t="s">
        <v>31</v>
      </c>
      <c r="J2883" s="8" t="s">
        <v>86</v>
      </c>
      <c r="K2883" s="10" t="s">
        <v>578</v>
      </c>
      <c r="L2883" s="8" t="s">
        <v>58</v>
      </c>
      <c r="M2883" s="8" t="s">
        <v>35</v>
      </c>
      <c r="N2883" s="11">
        <v>45145.0</v>
      </c>
      <c r="O2883" s="11">
        <v>45194.0</v>
      </c>
      <c r="P2883" s="11">
        <v>45236.0</v>
      </c>
      <c r="Q2883" s="11">
        <v>45194.0</v>
      </c>
      <c r="R2883" s="11">
        <v>45236.0</v>
      </c>
      <c r="S2883" s="12"/>
      <c r="T2883" s="8"/>
      <c r="U2883" s="8" t="s">
        <v>59</v>
      </c>
      <c r="V2883" s="13" t="s">
        <v>38</v>
      </c>
      <c r="W2883" s="13" t="s">
        <v>13773</v>
      </c>
      <c r="X2883" s="12"/>
      <c r="Y2883" s="14"/>
      <c r="Z2883" s="14"/>
    </row>
    <row r="2884">
      <c r="A2884" s="8" t="s">
        <v>13774</v>
      </c>
      <c r="B2884" s="8" t="s">
        <v>13775</v>
      </c>
      <c r="C2884" s="8" t="s">
        <v>64</v>
      </c>
      <c r="D2884" s="8" t="s">
        <v>26</v>
      </c>
      <c r="E2884" s="8" t="s">
        <v>13776</v>
      </c>
      <c r="F2884" s="8">
        <v>1.148838496E9</v>
      </c>
      <c r="G2884" s="8" t="s">
        <v>284</v>
      </c>
      <c r="H2884" s="8" t="s">
        <v>854</v>
      </c>
      <c r="I2884" s="8" t="s">
        <v>31</v>
      </c>
      <c r="J2884" s="8" t="s">
        <v>77</v>
      </c>
      <c r="K2884" s="10" t="s">
        <v>3241</v>
      </c>
      <c r="L2884" s="8" t="s">
        <v>58</v>
      </c>
      <c r="M2884" s="8" t="s">
        <v>35</v>
      </c>
      <c r="N2884" s="11">
        <v>45146.0</v>
      </c>
      <c r="O2884" s="11">
        <v>45214.0</v>
      </c>
      <c r="P2884" s="11">
        <v>45256.0</v>
      </c>
      <c r="Q2884" s="11">
        <v>45225.0</v>
      </c>
      <c r="R2884" s="11">
        <v>45267.0</v>
      </c>
      <c r="S2884" s="12"/>
      <c r="T2884" s="8"/>
      <c r="U2884" s="8" t="s">
        <v>59</v>
      </c>
      <c r="V2884" s="13" t="s">
        <v>856</v>
      </c>
      <c r="W2884" s="13" t="s">
        <v>13777</v>
      </c>
      <c r="X2884" s="12"/>
      <c r="Y2884" s="14"/>
      <c r="Z2884" s="14"/>
    </row>
    <row r="2885">
      <c r="A2885" s="8" t="s">
        <v>13778</v>
      </c>
      <c r="B2885" s="8" t="s">
        <v>13779</v>
      </c>
      <c r="C2885" s="8" t="s">
        <v>25</v>
      </c>
      <c r="D2885" s="8" t="s">
        <v>26</v>
      </c>
      <c r="E2885" s="8" t="s">
        <v>13780</v>
      </c>
      <c r="F2885" s="8">
        <v>7.82661282E8</v>
      </c>
      <c r="G2885" s="8" t="s">
        <v>254</v>
      </c>
      <c r="H2885" s="8" t="s">
        <v>3087</v>
      </c>
      <c r="I2885" s="8" t="s">
        <v>31</v>
      </c>
      <c r="J2885" s="8" t="s">
        <v>56</v>
      </c>
      <c r="K2885" s="10" t="s">
        <v>11979</v>
      </c>
      <c r="L2885" s="8" t="s">
        <v>58</v>
      </c>
      <c r="M2885" s="8" t="s">
        <v>35</v>
      </c>
      <c r="N2885" s="11">
        <v>45146.0</v>
      </c>
      <c r="O2885" s="11">
        <v>45166.0</v>
      </c>
      <c r="P2885" s="11">
        <v>45208.0</v>
      </c>
      <c r="Q2885" s="11">
        <v>45170.0</v>
      </c>
      <c r="R2885" s="11">
        <v>45210.0</v>
      </c>
      <c r="S2885" s="12"/>
      <c r="T2885" s="8"/>
      <c r="U2885" s="8" t="s">
        <v>161</v>
      </c>
      <c r="V2885" s="13" t="s">
        <v>3088</v>
      </c>
      <c r="W2885" s="13" t="s">
        <v>13781</v>
      </c>
      <c r="X2885" s="12"/>
      <c r="Y2885" s="14"/>
      <c r="Z2885" s="14"/>
    </row>
    <row r="2886">
      <c r="A2886" s="8" t="s">
        <v>13782</v>
      </c>
      <c r="B2886" s="8" t="s">
        <v>149</v>
      </c>
      <c r="C2886" s="8" t="s">
        <v>708</v>
      </c>
      <c r="D2886" s="8" t="s">
        <v>26</v>
      </c>
      <c r="E2886" s="8" t="s">
        <v>13783</v>
      </c>
      <c r="F2886" s="8">
        <v>6.75192624E8</v>
      </c>
      <c r="G2886" s="8" t="s">
        <v>84</v>
      </c>
      <c r="H2886" s="8" t="s">
        <v>646</v>
      </c>
      <c r="I2886" s="8" t="s">
        <v>31</v>
      </c>
      <c r="J2886" s="8" t="s">
        <v>86</v>
      </c>
      <c r="K2886" s="10" t="s">
        <v>2706</v>
      </c>
      <c r="L2886" s="8" t="s">
        <v>47</v>
      </c>
      <c r="M2886" s="8" t="s">
        <v>70</v>
      </c>
      <c r="N2886" s="11">
        <v>45146.0</v>
      </c>
      <c r="O2886" s="11">
        <v>45158.0</v>
      </c>
      <c r="P2886" s="11">
        <v>45485.0</v>
      </c>
      <c r="Q2886" s="11">
        <v>45180.0</v>
      </c>
      <c r="R2886" s="11">
        <v>45507.0</v>
      </c>
      <c r="S2886" s="12"/>
      <c r="T2886" s="8"/>
      <c r="U2886" s="8" t="s">
        <v>2707</v>
      </c>
      <c r="V2886" s="13" t="s">
        <v>154</v>
      </c>
      <c r="W2886" s="13" t="s">
        <v>13784</v>
      </c>
      <c r="X2886" s="12"/>
      <c r="Y2886" s="14"/>
      <c r="Z2886" s="14"/>
    </row>
    <row r="2887">
      <c r="A2887" s="8" t="s">
        <v>13785</v>
      </c>
      <c r="B2887" s="8" t="s">
        <v>13786</v>
      </c>
      <c r="C2887" s="8" t="s">
        <v>708</v>
      </c>
      <c r="D2887" s="8" t="s">
        <v>26</v>
      </c>
      <c r="E2887" s="8" t="s">
        <v>13787</v>
      </c>
      <c r="F2887" s="8">
        <v>5.8647386E7</v>
      </c>
      <c r="G2887" s="8" t="s">
        <v>54</v>
      </c>
      <c r="H2887" s="8" t="s">
        <v>377</v>
      </c>
      <c r="I2887" s="8" t="s">
        <v>31</v>
      </c>
      <c r="J2887" s="8" t="s">
        <v>77</v>
      </c>
      <c r="K2887" s="10" t="s">
        <v>2036</v>
      </c>
      <c r="L2887" s="8" t="s">
        <v>47</v>
      </c>
      <c r="M2887" s="8" t="s">
        <v>70</v>
      </c>
      <c r="N2887" s="11">
        <v>45146.0</v>
      </c>
      <c r="O2887" s="11">
        <v>45200.0</v>
      </c>
      <c r="P2887" s="11">
        <v>45444.0</v>
      </c>
      <c r="Q2887" s="11">
        <v>45201.0</v>
      </c>
      <c r="R2887" s="11">
        <v>45445.0</v>
      </c>
      <c r="S2887" s="12"/>
      <c r="T2887" s="8"/>
      <c r="U2887" s="8" t="s">
        <v>2037</v>
      </c>
      <c r="V2887" s="13" t="s">
        <v>1604</v>
      </c>
      <c r="W2887" s="13" t="s">
        <v>13788</v>
      </c>
      <c r="X2887" s="12"/>
      <c r="Y2887" s="14"/>
      <c r="Z2887" s="14"/>
    </row>
    <row r="2888">
      <c r="A2888" s="8" t="s">
        <v>13789</v>
      </c>
      <c r="B2888" s="8" t="s">
        <v>13790</v>
      </c>
      <c r="C2888" s="8" t="s">
        <v>708</v>
      </c>
      <c r="D2888" s="8" t="s">
        <v>26</v>
      </c>
      <c r="E2888" s="8" t="s">
        <v>13791</v>
      </c>
      <c r="F2888" s="8">
        <v>9.036426E7</v>
      </c>
      <c r="G2888" s="8" t="s">
        <v>54</v>
      </c>
      <c r="H2888" s="8" t="s">
        <v>430</v>
      </c>
      <c r="I2888" s="8" t="s">
        <v>31</v>
      </c>
      <c r="J2888" s="8" t="s">
        <v>77</v>
      </c>
      <c r="K2888" s="10" t="s">
        <v>13792</v>
      </c>
      <c r="L2888" s="8" t="s">
        <v>47</v>
      </c>
      <c r="M2888" s="8" t="s">
        <v>70</v>
      </c>
      <c r="N2888" s="11">
        <v>45146.0</v>
      </c>
      <c r="O2888" s="11">
        <v>45173.0</v>
      </c>
      <c r="P2888" s="11">
        <v>45471.0</v>
      </c>
      <c r="Q2888" s="11">
        <v>45184.0</v>
      </c>
      <c r="R2888" s="11">
        <v>45490.0</v>
      </c>
      <c r="S2888" s="12"/>
      <c r="T2888" s="8"/>
      <c r="U2888" s="8" t="s">
        <v>13793</v>
      </c>
      <c r="V2888" s="13" t="s">
        <v>13794</v>
      </c>
      <c r="W2888" s="13" t="s">
        <v>13795</v>
      </c>
      <c r="X2888" s="12"/>
      <c r="Y2888" s="14"/>
      <c r="Z2888" s="14"/>
    </row>
    <row r="2889">
      <c r="A2889" s="8" t="s">
        <v>13796</v>
      </c>
      <c r="B2889" s="8" t="s">
        <v>13797</v>
      </c>
      <c r="C2889" s="8" t="s">
        <v>708</v>
      </c>
      <c r="D2889" s="8" t="s">
        <v>26</v>
      </c>
      <c r="E2889" s="8" t="s">
        <v>13798</v>
      </c>
      <c r="F2889" s="8">
        <v>5.6088052E7</v>
      </c>
      <c r="G2889" s="8" t="s">
        <v>54</v>
      </c>
      <c r="H2889" s="8" t="s">
        <v>244</v>
      </c>
      <c r="I2889" s="8" t="s">
        <v>31</v>
      </c>
      <c r="J2889" s="8" t="s">
        <v>256</v>
      </c>
      <c r="K2889" s="10" t="s">
        <v>11567</v>
      </c>
      <c r="L2889" s="8" t="s">
        <v>47</v>
      </c>
      <c r="M2889" s="8" t="s">
        <v>70</v>
      </c>
      <c r="N2889" s="11">
        <v>45146.0</v>
      </c>
      <c r="O2889" s="11">
        <v>45148.0</v>
      </c>
      <c r="P2889" s="11">
        <v>45513.0</v>
      </c>
      <c r="Q2889" s="11">
        <v>45154.0</v>
      </c>
      <c r="R2889" s="11">
        <v>45517.0</v>
      </c>
      <c r="S2889" s="12"/>
      <c r="T2889" s="8"/>
      <c r="U2889" s="8" t="s">
        <v>11568</v>
      </c>
      <c r="V2889" s="13" t="s">
        <v>247</v>
      </c>
      <c r="W2889" s="13" t="s">
        <v>13799</v>
      </c>
      <c r="X2889" s="12"/>
      <c r="Y2889" s="14"/>
      <c r="Z2889" s="14"/>
    </row>
    <row r="2890">
      <c r="A2890" s="8" t="s">
        <v>13800</v>
      </c>
      <c r="B2890" s="8" t="s">
        <v>13801</v>
      </c>
      <c r="C2890" s="8" t="s">
        <v>708</v>
      </c>
      <c r="D2890" s="8" t="s">
        <v>26</v>
      </c>
      <c r="E2890" s="8" t="s">
        <v>13802</v>
      </c>
      <c r="F2890" s="8">
        <v>9.3570476E7</v>
      </c>
      <c r="G2890" s="8" t="s">
        <v>54</v>
      </c>
      <c r="H2890" s="8" t="s">
        <v>244</v>
      </c>
      <c r="I2890" s="8" t="s">
        <v>31</v>
      </c>
      <c r="J2890" s="8" t="s">
        <v>256</v>
      </c>
      <c r="K2890" s="10" t="s">
        <v>11567</v>
      </c>
      <c r="L2890" s="8" t="s">
        <v>47</v>
      </c>
      <c r="M2890" s="8" t="s">
        <v>70</v>
      </c>
      <c r="N2890" s="11">
        <v>45146.0</v>
      </c>
      <c r="O2890" s="11">
        <v>45148.0</v>
      </c>
      <c r="P2890" s="11">
        <v>45513.0</v>
      </c>
      <c r="Q2890" s="11">
        <v>45154.0</v>
      </c>
      <c r="R2890" s="11">
        <v>45517.0</v>
      </c>
      <c r="S2890" s="12"/>
      <c r="T2890" s="8"/>
      <c r="U2890" s="8" t="s">
        <v>11568</v>
      </c>
      <c r="V2890" s="13" t="s">
        <v>247</v>
      </c>
      <c r="W2890" s="13" t="s">
        <v>13803</v>
      </c>
      <c r="X2890" s="12"/>
      <c r="Y2890" s="14"/>
      <c r="Z2890" s="14"/>
    </row>
    <row r="2891">
      <c r="A2891" s="8" t="s">
        <v>13804</v>
      </c>
      <c r="B2891" s="8" t="s">
        <v>2154</v>
      </c>
      <c r="C2891" s="8" t="s">
        <v>708</v>
      </c>
      <c r="D2891" s="8" t="s">
        <v>26</v>
      </c>
      <c r="E2891" s="8" t="s">
        <v>2155</v>
      </c>
      <c r="F2891" s="8">
        <v>2.8695175E7</v>
      </c>
      <c r="G2891" s="8" t="s">
        <v>54</v>
      </c>
      <c r="H2891" s="8" t="s">
        <v>1640</v>
      </c>
      <c r="I2891" s="8" t="s">
        <v>31</v>
      </c>
      <c r="J2891" s="8" t="s">
        <v>32</v>
      </c>
      <c r="K2891" s="10" t="s">
        <v>13805</v>
      </c>
      <c r="L2891" s="8" t="s">
        <v>47</v>
      </c>
      <c r="M2891" s="8" t="s">
        <v>70</v>
      </c>
      <c r="N2891" s="11">
        <v>45147.0</v>
      </c>
      <c r="O2891" s="11">
        <v>45199.0</v>
      </c>
      <c r="P2891" s="11">
        <v>45564.0</v>
      </c>
      <c r="Q2891" s="11">
        <v>45188.0</v>
      </c>
      <c r="R2891" s="11">
        <v>45564.0</v>
      </c>
      <c r="S2891" s="12"/>
      <c r="T2891" s="8"/>
      <c r="U2891" s="8" t="s">
        <v>1794</v>
      </c>
      <c r="V2891" s="13" t="s">
        <v>1659</v>
      </c>
      <c r="W2891" s="13" t="s">
        <v>2158</v>
      </c>
      <c r="X2891" s="12"/>
      <c r="Y2891" s="14"/>
      <c r="Z2891" s="14"/>
    </row>
    <row r="2892">
      <c r="A2892" s="8" t="s">
        <v>13806</v>
      </c>
      <c r="B2892" s="8" t="s">
        <v>13807</v>
      </c>
      <c r="C2892" s="8" t="s">
        <v>179</v>
      </c>
      <c r="D2892" s="8" t="s">
        <v>26</v>
      </c>
      <c r="E2892" s="8" t="s">
        <v>13808</v>
      </c>
      <c r="F2892" s="8" t="s">
        <v>253</v>
      </c>
      <c r="G2892" s="8" t="s">
        <v>31</v>
      </c>
      <c r="H2892" s="8" t="s">
        <v>102</v>
      </c>
      <c r="I2892" s="8" t="s">
        <v>127</v>
      </c>
      <c r="J2892" s="8" t="s">
        <v>128</v>
      </c>
      <c r="K2892" s="10" t="s">
        <v>13809</v>
      </c>
      <c r="L2892" s="8" t="s">
        <v>58</v>
      </c>
      <c r="M2892" s="8" t="s">
        <v>35</v>
      </c>
      <c r="N2892" s="11">
        <v>45147.0</v>
      </c>
      <c r="O2892" s="11">
        <v>45180.0</v>
      </c>
      <c r="P2892" s="11">
        <v>45222.0</v>
      </c>
      <c r="Q2892" s="11"/>
      <c r="R2892" s="11"/>
      <c r="S2892" s="12"/>
      <c r="T2892" s="8"/>
      <c r="U2892" s="8" t="s">
        <v>59</v>
      </c>
      <c r="V2892" s="13" t="s">
        <v>102</v>
      </c>
      <c r="W2892" s="13" t="s">
        <v>13810</v>
      </c>
      <c r="X2892" s="12"/>
      <c r="Y2892" s="14"/>
      <c r="Z2892" s="14"/>
    </row>
    <row r="2893">
      <c r="A2893" s="8" t="s">
        <v>13811</v>
      </c>
      <c r="B2893" s="8" t="s">
        <v>11589</v>
      </c>
      <c r="C2893" s="8" t="s">
        <v>64</v>
      </c>
      <c r="D2893" s="8" t="s">
        <v>26</v>
      </c>
      <c r="E2893" s="8" t="s">
        <v>11590</v>
      </c>
      <c r="F2893" s="8">
        <v>3.05100198E9</v>
      </c>
      <c r="G2893" s="8" t="s">
        <v>315</v>
      </c>
      <c r="H2893" s="8" t="s">
        <v>1833</v>
      </c>
      <c r="I2893" s="8" t="s">
        <v>31</v>
      </c>
      <c r="J2893" s="8" t="s">
        <v>56</v>
      </c>
      <c r="K2893" s="10" t="s">
        <v>12274</v>
      </c>
      <c r="L2893" s="8" t="s">
        <v>58</v>
      </c>
      <c r="M2893" s="8" t="s">
        <v>35</v>
      </c>
      <c r="N2893" s="11">
        <v>45147.0</v>
      </c>
      <c r="O2893" s="11">
        <v>45180.0</v>
      </c>
      <c r="P2893" s="11">
        <v>45222.0</v>
      </c>
      <c r="Q2893" s="11">
        <v>45191.0</v>
      </c>
      <c r="R2893" s="11">
        <v>45231.0</v>
      </c>
      <c r="S2893" s="12"/>
      <c r="T2893" s="8"/>
      <c r="U2893" s="8" t="s">
        <v>161</v>
      </c>
      <c r="V2893" s="13" t="s">
        <v>11591</v>
      </c>
      <c r="W2893" s="13" t="s">
        <v>11592</v>
      </c>
      <c r="X2893" s="12"/>
      <c r="Y2893" s="14"/>
      <c r="Z2893" s="14"/>
    </row>
    <row r="2894">
      <c r="A2894" s="8" t="s">
        <v>13812</v>
      </c>
      <c r="B2894" s="8" t="s">
        <v>13813</v>
      </c>
      <c r="C2894" s="8" t="s">
        <v>708</v>
      </c>
      <c r="D2894" s="8" t="s">
        <v>26</v>
      </c>
      <c r="E2894" s="8" t="s">
        <v>13814</v>
      </c>
      <c r="F2894" s="8">
        <v>9.6995135E7</v>
      </c>
      <c r="G2894" s="8" t="s">
        <v>54</v>
      </c>
      <c r="H2894" s="8" t="s">
        <v>377</v>
      </c>
      <c r="I2894" s="8" t="s">
        <v>31</v>
      </c>
      <c r="J2894" s="8" t="s">
        <v>77</v>
      </c>
      <c r="K2894" s="10" t="s">
        <v>11204</v>
      </c>
      <c r="L2894" s="8" t="s">
        <v>47</v>
      </c>
      <c r="M2894" s="8" t="s">
        <v>70</v>
      </c>
      <c r="N2894" s="11">
        <v>45148.0</v>
      </c>
      <c r="O2894" s="11">
        <v>45194.0</v>
      </c>
      <c r="P2894" s="11">
        <v>45444.0</v>
      </c>
      <c r="Q2894" s="11">
        <v>45196.0</v>
      </c>
      <c r="R2894" s="11">
        <v>45444.0</v>
      </c>
      <c r="S2894" s="12"/>
      <c r="T2894" s="8"/>
      <c r="U2894" s="8" t="s">
        <v>11205</v>
      </c>
      <c r="V2894" s="13" t="s">
        <v>1604</v>
      </c>
      <c r="W2894" s="13" t="s">
        <v>13815</v>
      </c>
      <c r="X2894" s="12"/>
      <c r="Y2894" s="14"/>
      <c r="Z2894" s="14"/>
    </row>
    <row r="2895">
      <c r="A2895" s="8" t="s">
        <v>13816</v>
      </c>
      <c r="B2895" s="8" t="s">
        <v>13817</v>
      </c>
      <c r="C2895" s="8" t="s">
        <v>64</v>
      </c>
      <c r="D2895" s="8" t="s">
        <v>26</v>
      </c>
      <c r="E2895" s="8" t="s">
        <v>13818</v>
      </c>
      <c r="F2895" s="8">
        <v>3.03087405E9</v>
      </c>
      <c r="G2895" s="8" t="s">
        <v>315</v>
      </c>
      <c r="H2895" s="8" t="s">
        <v>11745</v>
      </c>
      <c r="I2895" s="8" t="s">
        <v>31</v>
      </c>
      <c r="J2895" s="8" t="s">
        <v>256</v>
      </c>
      <c r="K2895" s="10" t="s">
        <v>2570</v>
      </c>
      <c r="L2895" s="8" t="s">
        <v>58</v>
      </c>
      <c r="M2895" s="8" t="s">
        <v>35</v>
      </c>
      <c r="N2895" s="11">
        <v>45148.0</v>
      </c>
      <c r="O2895" s="11">
        <v>45153.0</v>
      </c>
      <c r="P2895" s="11">
        <v>45195.0</v>
      </c>
      <c r="Q2895" s="11">
        <v>45185.0</v>
      </c>
      <c r="R2895" s="11">
        <v>45226.0</v>
      </c>
      <c r="S2895" s="12"/>
      <c r="T2895" s="8"/>
      <c r="U2895" s="8" t="s">
        <v>59</v>
      </c>
      <c r="V2895" s="13" t="s">
        <v>12757</v>
      </c>
      <c r="W2895" s="13" t="s">
        <v>13819</v>
      </c>
      <c r="X2895" s="12"/>
      <c r="Y2895" s="14"/>
      <c r="Z2895" s="14"/>
    </row>
    <row r="2896">
      <c r="A2896" s="8" t="s">
        <v>13820</v>
      </c>
      <c r="B2896" s="8" t="s">
        <v>13821</v>
      </c>
      <c r="C2896" s="8" t="s">
        <v>708</v>
      </c>
      <c r="D2896" s="8" t="s">
        <v>26</v>
      </c>
      <c r="E2896" s="8" t="s">
        <v>13822</v>
      </c>
      <c r="F2896" s="8">
        <v>5.3747342E7</v>
      </c>
      <c r="G2896" s="8" t="s">
        <v>54</v>
      </c>
      <c r="H2896" s="8" t="s">
        <v>377</v>
      </c>
      <c r="I2896" s="8" t="s">
        <v>31</v>
      </c>
      <c r="J2896" s="8" t="s">
        <v>77</v>
      </c>
      <c r="K2896" s="10" t="s">
        <v>1179</v>
      </c>
      <c r="L2896" s="8" t="s">
        <v>47</v>
      </c>
      <c r="M2896" s="8" t="s">
        <v>70</v>
      </c>
      <c r="N2896" s="11">
        <v>45148.0</v>
      </c>
      <c r="O2896" s="11">
        <v>45170.0</v>
      </c>
      <c r="P2896" s="11">
        <v>45473.0</v>
      </c>
      <c r="Q2896" s="11">
        <v>45179.0</v>
      </c>
      <c r="R2896" s="11">
        <v>45483.0</v>
      </c>
      <c r="S2896" s="12"/>
      <c r="T2896" s="8"/>
      <c r="U2896" s="8" t="s">
        <v>1180</v>
      </c>
      <c r="V2896" s="13" t="s">
        <v>38</v>
      </c>
      <c r="W2896" s="13" t="s">
        <v>13823</v>
      </c>
      <c r="X2896" s="12"/>
      <c r="Y2896" s="14"/>
      <c r="Z2896" s="14"/>
    </row>
    <row r="2897">
      <c r="A2897" s="8" t="s">
        <v>13824</v>
      </c>
      <c r="B2897" s="8" t="s">
        <v>13825</v>
      </c>
      <c r="C2897" s="8" t="s">
        <v>25</v>
      </c>
      <c r="D2897" s="8" t="s">
        <v>26</v>
      </c>
      <c r="E2897" s="8" t="s">
        <v>13826</v>
      </c>
      <c r="F2897" s="8">
        <v>5.070804441E9</v>
      </c>
      <c r="G2897" s="8" t="s">
        <v>31</v>
      </c>
      <c r="H2897" s="8" t="s">
        <v>56</v>
      </c>
      <c r="I2897" s="8" t="s">
        <v>29</v>
      </c>
      <c r="J2897" s="8" t="s">
        <v>2448</v>
      </c>
      <c r="K2897" s="10" t="s">
        <v>13648</v>
      </c>
      <c r="L2897" s="8" t="s">
        <v>58</v>
      </c>
      <c r="M2897" s="8" t="s">
        <v>35</v>
      </c>
      <c r="N2897" s="11">
        <v>45148.0</v>
      </c>
      <c r="O2897" s="11">
        <v>45233.0</v>
      </c>
      <c r="P2897" s="11">
        <v>45275.0</v>
      </c>
      <c r="Q2897" s="11">
        <v>45233.0</v>
      </c>
      <c r="R2897" s="11">
        <v>45275.0</v>
      </c>
      <c r="S2897" s="12"/>
      <c r="T2897" s="8"/>
      <c r="U2897" s="8" t="s">
        <v>130</v>
      </c>
      <c r="V2897" s="13" t="s">
        <v>56</v>
      </c>
      <c r="W2897" s="13" t="s">
        <v>13827</v>
      </c>
      <c r="X2897" s="12"/>
      <c r="Y2897" s="14"/>
      <c r="Z2897" s="14"/>
    </row>
    <row r="2898">
      <c r="A2898" s="8" t="s">
        <v>13828</v>
      </c>
      <c r="B2898" s="8" t="s">
        <v>13829</v>
      </c>
      <c r="C2898" s="8" t="s">
        <v>708</v>
      </c>
      <c r="D2898" s="8" t="s">
        <v>26</v>
      </c>
      <c r="E2898" s="8" t="s">
        <v>13830</v>
      </c>
      <c r="F2898" s="8">
        <v>8.879540962E9</v>
      </c>
      <c r="G2898" s="8" t="s">
        <v>44</v>
      </c>
      <c r="H2898" s="8" t="s">
        <v>13831</v>
      </c>
      <c r="I2898" s="8" t="s">
        <v>31</v>
      </c>
      <c r="J2898" s="8" t="s">
        <v>32</v>
      </c>
      <c r="K2898" s="10" t="s">
        <v>13832</v>
      </c>
      <c r="L2898" s="8" t="s">
        <v>47</v>
      </c>
      <c r="M2898" s="8" t="s">
        <v>70</v>
      </c>
      <c r="N2898" s="11">
        <v>45148.0</v>
      </c>
      <c r="O2898" s="11">
        <v>45138.0</v>
      </c>
      <c r="P2898" s="11">
        <v>45503.0</v>
      </c>
      <c r="Q2898" s="11">
        <v>45258.0</v>
      </c>
      <c r="R2898" s="11">
        <v>45623.0</v>
      </c>
      <c r="S2898" s="12"/>
      <c r="T2898" s="8"/>
      <c r="U2898" s="8" t="s">
        <v>246</v>
      </c>
      <c r="V2898" s="13" t="s">
        <v>13833</v>
      </c>
      <c r="W2898" s="13" t="s">
        <v>13834</v>
      </c>
      <c r="X2898" s="12"/>
      <c r="Y2898" s="14"/>
      <c r="Z2898" s="14"/>
    </row>
    <row r="2899">
      <c r="A2899" s="8" t="s">
        <v>13835</v>
      </c>
      <c r="B2899" s="8" t="s">
        <v>12788</v>
      </c>
      <c r="C2899" s="8" t="s">
        <v>25</v>
      </c>
      <c r="D2899" s="8" t="s">
        <v>26</v>
      </c>
      <c r="E2899" s="8" t="s">
        <v>13836</v>
      </c>
      <c r="F2899" s="8"/>
      <c r="G2899" s="8" t="s">
        <v>54</v>
      </c>
      <c r="H2899" s="8" t="s">
        <v>55</v>
      </c>
      <c r="I2899" s="8" t="s">
        <v>31</v>
      </c>
      <c r="J2899" s="8" t="s">
        <v>167</v>
      </c>
      <c r="K2899" s="10" t="s">
        <v>10618</v>
      </c>
      <c r="L2899" s="8" t="s">
        <v>58</v>
      </c>
      <c r="M2899" s="8" t="s">
        <v>35</v>
      </c>
      <c r="N2899" s="11">
        <v>45148.0</v>
      </c>
      <c r="O2899" s="11">
        <v>45152.0</v>
      </c>
      <c r="P2899" s="11">
        <v>45194.0</v>
      </c>
      <c r="Q2899" s="11">
        <v>45153.0</v>
      </c>
      <c r="R2899" s="11">
        <v>45194.0</v>
      </c>
      <c r="S2899" s="12"/>
      <c r="T2899" s="8"/>
      <c r="U2899" s="8" t="s">
        <v>88</v>
      </c>
      <c r="V2899" s="13" t="s">
        <v>38</v>
      </c>
      <c r="W2899" s="13" t="s">
        <v>13837</v>
      </c>
      <c r="X2899" s="12"/>
      <c r="Y2899" s="14"/>
      <c r="Z2899" s="14"/>
    </row>
    <row r="2900">
      <c r="A2900" s="8" t="s">
        <v>13838</v>
      </c>
      <c r="B2900" s="8" t="s">
        <v>13839</v>
      </c>
      <c r="C2900" s="8" t="s">
        <v>708</v>
      </c>
      <c r="D2900" s="8" t="s">
        <v>26</v>
      </c>
      <c r="E2900" s="8" t="s">
        <v>13840</v>
      </c>
      <c r="F2900" s="8">
        <v>9.2007935E8</v>
      </c>
      <c r="G2900" s="8" t="s">
        <v>660</v>
      </c>
      <c r="H2900" s="8" t="s">
        <v>9000</v>
      </c>
      <c r="I2900" s="8" t="s">
        <v>31</v>
      </c>
      <c r="J2900" s="8" t="s">
        <v>43</v>
      </c>
      <c r="K2900" s="10" t="s">
        <v>983</v>
      </c>
      <c r="L2900" s="8" t="s">
        <v>34</v>
      </c>
      <c r="M2900" s="8" t="s">
        <v>70</v>
      </c>
      <c r="N2900" s="11">
        <v>45149.0</v>
      </c>
      <c r="O2900" s="11">
        <v>45159.0</v>
      </c>
      <c r="P2900" s="11">
        <v>45524.0</v>
      </c>
      <c r="Q2900" s="11">
        <v>45159.0</v>
      </c>
      <c r="R2900" s="11">
        <v>45524.0</v>
      </c>
      <c r="S2900" s="12"/>
      <c r="T2900" s="8" t="s">
        <v>121</v>
      </c>
      <c r="U2900" s="8" t="s">
        <v>984</v>
      </c>
      <c r="V2900" s="13" t="s">
        <v>12242</v>
      </c>
      <c r="W2900" s="13" t="s">
        <v>13841</v>
      </c>
      <c r="X2900" s="12"/>
      <c r="Y2900" s="14"/>
      <c r="Z2900" s="14"/>
    </row>
    <row r="2901">
      <c r="A2901" s="8" t="s">
        <v>13842</v>
      </c>
      <c r="B2901" s="8" t="s">
        <v>13843</v>
      </c>
      <c r="C2901" s="8" t="s">
        <v>179</v>
      </c>
      <c r="D2901" s="8" t="s">
        <v>26</v>
      </c>
      <c r="E2901" s="8" t="s">
        <v>13844</v>
      </c>
      <c r="F2901" s="8"/>
      <c r="G2901" s="8" t="s">
        <v>31</v>
      </c>
      <c r="H2901" s="8" t="s">
        <v>86</v>
      </c>
      <c r="I2901" s="8" t="s">
        <v>29</v>
      </c>
      <c r="J2901" s="8" t="s">
        <v>2448</v>
      </c>
      <c r="K2901" s="10" t="s">
        <v>10882</v>
      </c>
      <c r="L2901" s="8" t="s">
        <v>58</v>
      </c>
      <c r="M2901" s="8" t="s">
        <v>35</v>
      </c>
      <c r="N2901" s="11">
        <v>45149.0</v>
      </c>
      <c r="O2901" s="11">
        <v>45356.0</v>
      </c>
      <c r="P2901" s="11">
        <v>45398.0</v>
      </c>
      <c r="Q2901" s="11"/>
      <c r="R2901" s="11"/>
      <c r="S2901" s="12"/>
      <c r="T2901" s="8"/>
      <c r="U2901" s="8" t="s">
        <v>130</v>
      </c>
      <c r="V2901" s="13" t="s">
        <v>38</v>
      </c>
      <c r="W2901" s="13" t="s">
        <v>13845</v>
      </c>
      <c r="X2901" s="12"/>
      <c r="Y2901" s="14"/>
      <c r="Z2901" s="14"/>
    </row>
    <row r="2902">
      <c r="A2902" s="8" t="s">
        <v>13846</v>
      </c>
      <c r="B2902" s="8" t="s">
        <v>13847</v>
      </c>
      <c r="C2902" s="8" t="s">
        <v>64</v>
      </c>
      <c r="D2902" s="8" t="s">
        <v>26</v>
      </c>
      <c r="E2902" s="8" t="s">
        <v>13848</v>
      </c>
      <c r="F2902" s="8">
        <v>2.2214729E7</v>
      </c>
      <c r="G2902" s="8" t="s">
        <v>54</v>
      </c>
      <c r="H2902" s="8" t="s">
        <v>76</v>
      </c>
      <c r="I2902" s="8" t="s">
        <v>31</v>
      </c>
      <c r="J2902" s="8" t="s">
        <v>56</v>
      </c>
      <c r="K2902" s="10" t="s">
        <v>9305</v>
      </c>
      <c r="L2902" s="8" t="s">
        <v>58</v>
      </c>
      <c r="M2902" s="8" t="s">
        <v>35</v>
      </c>
      <c r="N2902" s="11">
        <v>45149.0</v>
      </c>
      <c r="O2902" s="11">
        <v>45153.0</v>
      </c>
      <c r="P2902" s="11">
        <v>45195.0</v>
      </c>
      <c r="Q2902" s="11">
        <v>45155.0</v>
      </c>
      <c r="R2902" s="11">
        <v>45195.0</v>
      </c>
      <c r="S2902" s="12"/>
      <c r="T2902" s="8"/>
      <c r="U2902" s="8" t="s">
        <v>59</v>
      </c>
      <c r="V2902" s="13" t="s">
        <v>3496</v>
      </c>
      <c r="W2902" s="13" t="s">
        <v>13849</v>
      </c>
      <c r="X2902" s="12"/>
      <c r="Y2902" s="14"/>
      <c r="Z2902" s="14"/>
    </row>
    <row r="2903">
      <c r="A2903" s="8" t="s">
        <v>13850</v>
      </c>
      <c r="B2903" s="8" t="s">
        <v>13851</v>
      </c>
      <c r="C2903" s="8" t="s">
        <v>25</v>
      </c>
      <c r="D2903" s="8" t="s">
        <v>26</v>
      </c>
      <c r="E2903" s="8" t="s">
        <v>13852</v>
      </c>
      <c r="F2903" s="8">
        <v>5.071667509E9</v>
      </c>
      <c r="G2903" s="8" t="s">
        <v>31</v>
      </c>
      <c r="H2903" s="8" t="s">
        <v>32</v>
      </c>
      <c r="I2903" s="8" t="s">
        <v>127</v>
      </c>
      <c r="J2903" s="8" t="s">
        <v>9028</v>
      </c>
      <c r="K2903" s="10" t="s">
        <v>13164</v>
      </c>
      <c r="L2903" s="8" t="s">
        <v>58</v>
      </c>
      <c r="M2903" s="8" t="s">
        <v>35</v>
      </c>
      <c r="N2903" s="11">
        <v>45149.0</v>
      </c>
      <c r="O2903" s="11">
        <v>45201.0</v>
      </c>
      <c r="P2903" s="11">
        <v>45243.0</v>
      </c>
      <c r="Q2903" s="11">
        <v>45201.0</v>
      </c>
      <c r="R2903" s="11">
        <v>45243.0</v>
      </c>
      <c r="S2903" s="12"/>
      <c r="T2903" s="8"/>
      <c r="U2903" s="8" t="s">
        <v>1956</v>
      </c>
      <c r="V2903" s="13" t="s">
        <v>537</v>
      </c>
      <c r="W2903" s="13" t="s">
        <v>13853</v>
      </c>
      <c r="X2903" s="12"/>
      <c r="Y2903" s="14"/>
      <c r="Z2903" s="14"/>
    </row>
    <row r="2904">
      <c r="A2904" s="8" t="s">
        <v>13854</v>
      </c>
      <c r="B2904" s="8" t="s">
        <v>13855</v>
      </c>
      <c r="C2904" s="8" t="s">
        <v>179</v>
      </c>
      <c r="D2904" s="8" t="s">
        <v>26</v>
      </c>
      <c r="E2904" s="8" t="s">
        <v>13856</v>
      </c>
      <c r="F2904" s="8">
        <v>9.34304876E8</v>
      </c>
      <c r="G2904" s="8" t="s">
        <v>118</v>
      </c>
      <c r="H2904" s="8" t="s">
        <v>13857</v>
      </c>
      <c r="I2904" s="8" t="s">
        <v>31</v>
      </c>
      <c r="J2904" s="8" t="s">
        <v>77</v>
      </c>
      <c r="K2904" s="10" t="s">
        <v>1582</v>
      </c>
      <c r="L2904" s="8" t="s">
        <v>58</v>
      </c>
      <c r="M2904" s="8" t="s">
        <v>35</v>
      </c>
      <c r="N2904" s="11">
        <v>45149.0</v>
      </c>
      <c r="O2904" s="11">
        <v>45215.0</v>
      </c>
      <c r="P2904" s="11">
        <v>45257.0</v>
      </c>
      <c r="Q2904" s="11"/>
      <c r="R2904" s="11"/>
      <c r="S2904" s="12"/>
      <c r="T2904" s="8"/>
      <c r="U2904" s="8" t="s">
        <v>59</v>
      </c>
      <c r="V2904" s="13" t="s">
        <v>13858</v>
      </c>
      <c r="W2904" s="13" t="s">
        <v>13859</v>
      </c>
      <c r="X2904" s="12"/>
      <c r="Y2904" s="14"/>
      <c r="Z2904" s="14"/>
    </row>
    <row r="2905">
      <c r="A2905" s="8" t="s">
        <v>13860</v>
      </c>
      <c r="B2905" s="8" t="s">
        <v>13861</v>
      </c>
      <c r="C2905" s="8" t="s">
        <v>179</v>
      </c>
      <c r="D2905" s="8" t="s">
        <v>26</v>
      </c>
      <c r="E2905" s="8" t="s">
        <v>13862</v>
      </c>
      <c r="F2905" s="8">
        <v>5.42783423E9</v>
      </c>
      <c r="G2905" s="8" t="s">
        <v>31</v>
      </c>
      <c r="H2905" s="8" t="s">
        <v>136</v>
      </c>
      <c r="I2905" s="8" t="s">
        <v>284</v>
      </c>
      <c r="J2905" s="8" t="s">
        <v>285</v>
      </c>
      <c r="K2905" s="10" t="s">
        <v>10013</v>
      </c>
      <c r="L2905" s="8" t="s">
        <v>58</v>
      </c>
      <c r="M2905" s="8" t="s">
        <v>35</v>
      </c>
      <c r="N2905" s="11">
        <v>45149.0</v>
      </c>
      <c r="O2905" s="11">
        <v>45474.0</v>
      </c>
      <c r="P2905" s="11">
        <v>45516.0</v>
      </c>
      <c r="Q2905" s="11"/>
      <c r="R2905" s="11"/>
      <c r="S2905" s="12"/>
      <c r="T2905" s="8"/>
      <c r="U2905" s="8" t="s">
        <v>161</v>
      </c>
      <c r="V2905" s="13" t="s">
        <v>136</v>
      </c>
      <c r="W2905" s="13" t="s">
        <v>13863</v>
      </c>
      <c r="X2905" s="12"/>
      <c r="Y2905" s="14"/>
      <c r="Z2905" s="14"/>
    </row>
    <row r="2906">
      <c r="A2906" s="8" t="s">
        <v>13864</v>
      </c>
      <c r="B2906" s="8" t="s">
        <v>13865</v>
      </c>
      <c r="C2906" s="8" t="s">
        <v>64</v>
      </c>
      <c r="D2906" s="8" t="s">
        <v>26</v>
      </c>
      <c r="E2906" s="8" t="s">
        <v>13866</v>
      </c>
      <c r="F2906" s="8"/>
      <c r="G2906" s="8" t="s">
        <v>1620</v>
      </c>
      <c r="H2906" s="8" t="s">
        <v>1621</v>
      </c>
      <c r="I2906" s="8" t="s">
        <v>31</v>
      </c>
      <c r="J2906" s="8" t="s">
        <v>56</v>
      </c>
      <c r="K2906" s="10" t="s">
        <v>13867</v>
      </c>
      <c r="L2906" s="8" t="s">
        <v>47</v>
      </c>
      <c r="M2906" s="8" t="s">
        <v>35</v>
      </c>
      <c r="N2906" s="11">
        <v>45149.0</v>
      </c>
      <c r="O2906" s="11">
        <v>45170.0</v>
      </c>
      <c r="P2906" s="11">
        <v>45233.0</v>
      </c>
      <c r="Q2906" s="11">
        <v>45175.0</v>
      </c>
      <c r="R2906" s="11">
        <v>45236.0</v>
      </c>
      <c r="S2906" s="12"/>
      <c r="T2906" s="8"/>
      <c r="U2906" s="8" t="s">
        <v>795</v>
      </c>
      <c r="V2906" s="13" t="s">
        <v>38</v>
      </c>
      <c r="W2906" s="13" t="s">
        <v>13868</v>
      </c>
      <c r="X2906" s="12"/>
      <c r="Y2906" s="14"/>
      <c r="Z2906" s="14"/>
    </row>
    <row r="2907">
      <c r="A2907" s="8" t="s">
        <v>13869</v>
      </c>
      <c r="B2907" s="8" t="s">
        <v>13870</v>
      </c>
      <c r="C2907" s="8" t="s">
        <v>179</v>
      </c>
      <c r="D2907" s="8" t="s">
        <v>26</v>
      </c>
      <c r="E2907" s="8" t="s">
        <v>13871</v>
      </c>
      <c r="F2907" s="8">
        <v>5.346375009E9</v>
      </c>
      <c r="G2907" s="8" t="s">
        <v>31</v>
      </c>
      <c r="H2907" s="8" t="s">
        <v>77</v>
      </c>
      <c r="I2907" s="8" t="s">
        <v>3929</v>
      </c>
      <c r="J2907" s="8" t="s">
        <v>13006</v>
      </c>
      <c r="K2907" s="10" t="s">
        <v>13872</v>
      </c>
      <c r="L2907" s="8" t="s">
        <v>47</v>
      </c>
      <c r="M2907" s="8" t="s">
        <v>70</v>
      </c>
      <c r="N2907" s="11">
        <v>45150.0</v>
      </c>
      <c r="O2907" s="11">
        <v>45173.0</v>
      </c>
      <c r="P2907" s="11">
        <v>45541.0</v>
      </c>
      <c r="Q2907" s="11"/>
      <c r="R2907" s="11"/>
      <c r="S2907" s="12"/>
      <c r="T2907" s="8"/>
      <c r="U2907" s="8" t="s">
        <v>13873</v>
      </c>
      <c r="V2907" s="13" t="s">
        <v>77</v>
      </c>
      <c r="W2907" s="13" t="s">
        <v>13874</v>
      </c>
      <c r="X2907" s="12"/>
      <c r="Y2907" s="14"/>
      <c r="Z2907" s="14"/>
    </row>
    <row r="2908">
      <c r="A2908" s="8" t="s">
        <v>13875</v>
      </c>
      <c r="B2908" s="8" t="s">
        <v>548</v>
      </c>
      <c r="C2908" s="8" t="s">
        <v>708</v>
      </c>
      <c r="D2908" s="8" t="s">
        <v>26</v>
      </c>
      <c r="E2908" s="8" t="s">
        <v>549</v>
      </c>
      <c r="F2908" s="8">
        <v>6.74600128E8</v>
      </c>
      <c r="G2908" s="8" t="s">
        <v>254</v>
      </c>
      <c r="H2908" s="8" t="s">
        <v>255</v>
      </c>
      <c r="I2908" s="8" t="s">
        <v>31</v>
      </c>
      <c r="J2908" s="8" t="s">
        <v>292</v>
      </c>
      <c r="K2908" s="10" t="s">
        <v>13876</v>
      </c>
      <c r="L2908" s="8" t="s">
        <v>34</v>
      </c>
      <c r="M2908" s="8" t="s">
        <v>70</v>
      </c>
      <c r="N2908" s="11">
        <v>45150.0</v>
      </c>
      <c r="O2908" s="11">
        <v>45179.0</v>
      </c>
      <c r="P2908" s="11">
        <v>45545.0</v>
      </c>
      <c r="Q2908" s="11">
        <v>45176.0</v>
      </c>
      <c r="R2908" s="11">
        <v>45545.0</v>
      </c>
      <c r="S2908" s="12"/>
      <c r="T2908" s="8" t="s">
        <v>205</v>
      </c>
      <c r="U2908" s="8" t="s">
        <v>1301</v>
      </c>
      <c r="V2908" s="13" t="s">
        <v>38</v>
      </c>
      <c r="W2908" s="13" t="s">
        <v>552</v>
      </c>
      <c r="X2908" s="12"/>
      <c r="Y2908" s="14"/>
      <c r="Z2908" s="14"/>
    </row>
    <row r="2909">
      <c r="A2909" s="8" t="s">
        <v>13877</v>
      </c>
      <c r="B2909" s="8" t="s">
        <v>13878</v>
      </c>
      <c r="C2909" s="8" t="s">
        <v>708</v>
      </c>
      <c r="D2909" s="8" t="s">
        <v>26</v>
      </c>
      <c r="E2909" s="8" t="s">
        <v>13879</v>
      </c>
      <c r="F2909" s="8">
        <v>5.441717096E9</v>
      </c>
      <c r="G2909" s="8" t="s">
        <v>54</v>
      </c>
      <c r="H2909" s="8" t="s">
        <v>1640</v>
      </c>
      <c r="I2909" s="8" t="s">
        <v>31</v>
      </c>
      <c r="J2909" s="8" t="s">
        <v>292</v>
      </c>
      <c r="K2909" s="10" t="s">
        <v>1260</v>
      </c>
      <c r="L2909" s="8" t="s">
        <v>47</v>
      </c>
      <c r="M2909" s="8" t="s">
        <v>70</v>
      </c>
      <c r="N2909" s="11">
        <v>45150.0</v>
      </c>
      <c r="O2909" s="11">
        <v>45174.0</v>
      </c>
      <c r="P2909" s="11">
        <v>45540.0</v>
      </c>
      <c r="Q2909" s="11">
        <v>45176.0</v>
      </c>
      <c r="R2909" s="11">
        <v>45540.0</v>
      </c>
      <c r="S2909" s="12"/>
      <c r="T2909" s="8"/>
      <c r="U2909" s="8" t="s">
        <v>1261</v>
      </c>
      <c r="V2909" s="13" t="s">
        <v>5061</v>
      </c>
      <c r="W2909" s="13" t="s">
        <v>13880</v>
      </c>
      <c r="X2909" s="12"/>
      <c r="Y2909" s="14"/>
      <c r="Z2909" s="14"/>
    </row>
    <row r="2910">
      <c r="A2910" s="8" t="s">
        <v>13881</v>
      </c>
      <c r="B2910" s="8" t="s">
        <v>6583</v>
      </c>
      <c r="C2910" s="8" t="s">
        <v>25</v>
      </c>
      <c r="D2910" s="8" t="s">
        <v>26</v>
      </c>
      <c r="E2910" s="8" t="s">
        <v>6584</v>
      </c>
      <c r="F2910" s="8">
        <v>5.061155409E9</v>
      </c>
      <c r="G2910" s="8" t="s">
        <v>31</v>
      </c>
      <c r="H2910" s="8" t="s">
        <v>102</v>
      </c>
      <c r="I2910" s="8" t="s">
        <v>399</v>
      </c>
      <c r="J2910" s="8" t="s">
        <v>1381</v>
      </c>
      <c r="K2910" s="10" t="s">
        <v>6537</v>
      </c>
      <c r="L2910" s="8" t="s">
        <v>58</v>
      </c>
      <c r="M2910" s="8" t="s">
        <v>35</v>
      </c>
      <c r="N2910" s="11">
        <v>45151.0</v>
      </c>
      <c r="O2910" s="11">
        <v>45157.0</v>
      </c>
      <c r="P2910" s="11">
        <v>45199.0</v>
      </c>
      <c r="Q2910" s="11">
        <v>45174.0</v>
      </c>
      <c r="R2910" s="11">
        <v>45214.0</v>
      </c>
      <c r="S2910" s="12"/>
      <c r="T2910" s="8"/>
      <c r="U2910" s="8" t="s">
        <v>1038</v>
      </c>
      <c r="V2910" s="13" t="s">
        <v>102</v>
      </c>
      <c r="W2910" s="13" t="s">
        <v>6585</v>
      </c>
      <c r="X2910" s="12"/>
      <c r="Y2910" s="14"/>
      <c r="Z2910" s="14"/>
    </row>
    <row r="2911">
      <c r="A2911" s="8" t="s">
        <v>13882</v>
      </c>
      <c r="B2911" s="8" t="s">
        <v>13883</v>
      </c>
      <c r="C2911" s="8" t="s">
        <v>708</v>
      </c>
      <c r="D2911" s="8" t="s">
        <v>26</v>
      </c>
      <c r="E2911" s="8" t="s">
        <v>13884</v>
      </c>
      <c r="F2911" s="8">
        <v>5.41415629E8</v>
      </c>
      <c r="G2911" s="8" t="s">
        <v>254</v>
      </c>
      <c r="H2911" s="8" t="s">
        <v>3087</v>
      </c>
      <c r="I2911" s="8" t="s">
        <v>31</v>
      </c>
      <c r="J2911" s="8" t="s">
        <v>43</v>
      </c>
      <c r="K2911" s="10" t="s">
        <v>11939</v>
      </c>
      <c r="L2911" s="8" t="s">
        <v>47</v>
      </c>
      <c r="M2911" s="8" t="s">
        <v>70</v>
      </c>
      <c r="N2911" s="11">
        <v>45151.0</v>
      </c>
      <c r="O2911" s="11">
        <v>45173.0</v>
      </c>
      <c r="P2911" s="11">
        <v>45471.0</v>
      </c>
      <c r="Q2911" s="11">
        <v>45194.0</v>
      </c>
      <c r="R2911" s="11">
        <v>45492.0</v>
      </c>
      <c r="S2911" s="12"/>
      <c r="T2911" s="8"/>
      <c r="U2911" s="8" t="s">
        <v>246</v>
      </c>
      <c r="V2911" s="13" t="s">
        <v>3088</v>
      </c>
      <c r="W2911" s="13" t="s">
        <v>13885</v>
      </c>
      <c r="X2911" s="12"/>
      <c r="Y2911" s="14"/>
      <c r="Z2911" s="14"/>
    </row>
    <row r="2912">
      <c r="A2912" s="8" t="s">
        <v>13886</v>
      </c>
      <c r="B2912" s="8" t="s">
        <v>13887</v>
      </c>
      <c r="C2912" s="8" t="s">
        <v>708</v>
      </c>
      <c r="D2912" s="8" t="s">
        <v>26</v>
      </c>
      <c r="E2912" s="8" t="s">
        <v>13888</v>
      </c>
      <c r="F2912" s="8">
        <v>5.332963367E9</v>
      </c>
      <c r="G2912" s="8" t="s">
        <v>31</v>
      </c>
      <c r="H2912" s="8" t="s">
        <v>86</v>
      </c>
      <c r="I2912" s="8" t="s">
        <v>8840</v>
      </c>
      <c r="J2912" s="8" t="s">
        <v>13715</v>
      </c>
      <c r="K2912" s="10" t="s">
        <v>13716</v>
      </c>
      <c r="L2912" s="8" t="s">
        <v>58</v>
      </c>
      <c r="M2912" s="8" t="s">
        <v>35</v>
      </c>
      <c r="N2912" s="11">
        <v>45151.0</v>
      </c>
      <c r="O2912" s="11">
        <v>45306.0</v>
      </c>
      <c r="P2912" s="11">
        <v>45348.0</v>
      </c>
      <c r="Q2912" s="11">
        <v>45306.0</v>
      </c>
      <c r="R2912" s="11">
        <v>45348.0</v>
      </c>
      <c r="S2912" s="12"/>
      <c r="T2912" s="8"/>
      <c r="U2912" s="8" t="s">
        <v>88</v>
      </c>
      <c r="V2912" s="13" t="s">
        <v>175</v>
      </c>
      <c r="W2912" s="13" t="s">
        <v>13889</v>
      </c>
      <c r="X2912" s="12"/>
      <c r="Y2912" s="14"/>
      <c r="Z2912" s="14"/>
    </row>
    <row r="2913">
      <c r="A2913" s="8" t="s">
        <v>13890</v>
      </c>
      <c r="B2913" s="8" t="s">
        <v>13891</v>
      </c>
      <c r="C2913" s="8" t="s">
        <v>708</v>
      </c>
      <c r="D2913" s="8" t="s">
        <v>26</v>
      </c>
      <c r="E2913" s="8" t="s">
        <v>13892</v>
      </c>
      <c r="F2913" s="8">
        <v>2.2190036E7</v>
      </c>
      <c r="G2913" s="8" t="s">
        <v>54</v>
      </c>
      <c r="H2913" s="8" t="s">
        <v>76</v>
      </c>
      <c r="I2913" s="8" t="s">
        <v>31</v>
      </c>
      <c r="J2913" s="8" t="s">
        <v>256</v>
      </c>
      <c r="K2913" s="10" t="s">
        <v>11531</v>
      </c>
      <c r="L2913" s="8" t="s">
        <v>47</v>
      </c>
      <c r="M2913" s="8" t="s">
        <v>70</v>
      </c>
      <c r="N2913" s="11">
        <v>45151.0</v>
      </c>
      <c r="O2913" s="11">
        <v>45164.0</v>
      </c>
      <c r="P2913" s="11">
        <v>45529.0</v>
      </c>
      <c r="Q2913" s="11">
        <v>45161.0</v>
      </c>
      <c r="R2913" s="11">
        <v>45529.0</v>
      </c>
      <c r="S2913" s="12"/>
      <c r="T2913" s="8"/>
      <c r="U2913" s="8" t="s">
        <v>246</v>
      </c>
      <c r="V2913" s="13" t="s">
        <v>491</v>
      </c>
      <c r="W2913" s="13" t="s">
        <v>13893</v>
      </c>
      <c r="X2913" s="12"/>
      <c r="Y2913" s="14"/>
      <c r="Z2913" s="14"/>
    </row>
    <row r="2914">
      <c r="A2914" s="8" t="s">
        <v>13894</v>
      </c>
      <c r="B2914" s="8" t="s">
        <v>13895</v>
      </c>
      <c r="C2914" s="8" t="s">
        <v>179</v>
      </c>
      <c r="D2914" s="8" t="s">
        <v>26</v>
      </c>
      <c r="E2914" s="8" t="s">
        <v>13896</v>
      </c>
      <c r="F2914" s="8">
        <v>5.8969347E7</v>
      </c>
      <c r="G2914" s="8" t="s">
        <v>54</v>
      </c>
      <c r="H2914" s="8" t="s">
        <v>377</v>
      </c>
      <c r="I2914" s="8" t="s">
        <v>31</v>
      </c>
      <c r="J2914" s="8" t="s">
        <v>167</v>
      </c>
      <c r="K2914" s="10" t="s">
        <v>10618</v>
      </c>
      <c r="L2914" s="8" t="s">
        <v>58</v>
      </c>
      <c r="M2914" s="8" t="s">
        <v>35</v>
      </c>
      <c r="N2914" s="11">
        <v>45151.0</v>
      </c>
      <c r="O2914" s="11">
        <v>45152.0</v>
      </c>
      <c r="P2914" s="11">
        <v>45194.0</v>
      </c>
      <c r="Q2914" s="11"/>
      <c r="R2914" s="11"/>
      <c r="S2914" s="12"/>
      <c r="T2914" s="8"/>
      <c r="U2914" s="8" t="s">
        <v>88</v>
      </c>
      <c r="V2914" s="13" t="s">
        <v>7381</v>
      </c>
      <c r="W2914" s="13" t="s">
        <v>13897</v>
      </c>
      <c r="X2914" s="12"/>
      <c r="Y2914" s="14"/>
      <c r="Z2914" s="14"/>
    </row>
    <row r="2915">
      <c r="A2915" s="8" t="s">
        <v>13898</v>
      </c>
      <c r="B2915" s="8" t="s">
        <v>13899</v>
      </c>
      <c r="C2915" s="8" t="s">
        <v>25</v>
      </c>
      <c r="D2915" s="8" t="s">
        <v>26</v>
      </c>
      <c r="E2915" s="8" t="s">
        <v>13900</v>
      </c>
      <c r="F2915" s="8">
        <v>5.4135051E9</v>
      </c>
      <c r="G2915" s="8" t="s">
        <v>31</v>
      </c>
      <c r="H2915" s="8" t="s">
        <v>86</v>
      </c>
      <c r="I2915" s="8" t="s">
        <v>143</v>
      </c>
      <c r="J2915" s="8" t="s">
        <v>11026</v>
      </c>
      <c r="K2915" s="10" t="s">
        <v>12804</v>
      </c>
      <c r="L2915" s="8" t="s">
        <v>58</v>
      </c>
      <c r="M2915" s="8" t="s">
        <v>35</v>
      </c>
      <c r="N2915" s="11">
        <v>45152.0</v>
      </c>
      <c r="O2915" s="11">
        <v>45170.0</v>
      </c>
      <c r="P2915" s="11">
        <v>45212.0</v>
      </c>
      <c r="Q2915" s="11">
        <v>45169.0</v>
      </c>
      <c r="R2915" s="11">
        <v>45212.0</v>
      </c>
      <c r="S2915" s="12"/>
      <c r="T2915" s="8"/>
      <c r="U2915" s="8" t="s">
        <v>339</v>
      </c>
      <c r="V2915" s="13" t="s">
        <v>175</v>
      </c>
      <c r="W2915" s="13" t="s">
        <v>13901</v>
      </c>
      <c r="X2915" s="12"/>
      <c r="Y2915" s="14"/>
      <c r="Z2915" s="14"/>
    </row>
    <row r="2916">
      <c r="A2916" s="8" t="s">
        <v>13902</v>
      </c>
      <c r="B2916" s="8" t="s">
        <v>13903</v>
      </c>
      <c r="C2916" s="8" t="s">
        <v>179</v>
      </c>
      <c r="D2916" s="8" t="s">
        <v>26</v>
      </c>
      <c r="E2916" s="8" t="s">
        <v>13904</v>
      </c>
      <c r="F2916" s="8">
        <v>5.446782618E9</v>
      </c>
      <c r="G2916" s="8" t="s">
        <v>31</v>
      </c>
      <c r="H2916" s="8" t="s">
        <v>86</v>
      </c>
      <c r="I2916" s="8" t="s">
        <v>284</v>
      </c>
      <c r="J2916" s="8" t="s">
        <v>793</v>
      </c>
      <c r="K2916" s="10" t="s">
        <v>13905</v>
      </c>
      <c r="L2916" s="8" t="s">
        <v>58</v>
      </c>
      <c r="M2916" s="8" t="s">
        <v>35</v>
      </c>
      <c r="N2916" s="11">
        <v>45152.0</v>
      </c>
      <c r="O2916" s="11">
        <v>45488.0</v>
      </c>
      <c r="P2916" s="11">
        <v>45530.0</v>
      </c>
      <c r="Q2916" s="11"/>
      <c r="R2916" s="11"/>
      <c r="S2916" s="12"/>
      <c r="T2916" s="8"/>
      <c r="U2916" s="8" t="s">
        <v>339</v>
      </c>
      <c r="V2916" s="13" t="s">
        <v>545</v>
      </c>
      <c r="W2916" s="13" t="s">
        <v>13906</v>
      </c>
      <c r="X2916" s="12"/>
      <c r="Y2916" s="14"/>
      <c r="Z2916" s="14"/>
    </row>
    <row r="2917">
      <c r="A2917" s="8" t="s">
        <v>13907</v>
      </c>
      <c r="B2917" s="8" t="s">
        <v>13908</v>
      </c>
      <c r="C2917" s="8" t="s">
        <v>25</v>
      </c>
      <c r="D2917" s="8" t="s">
        <v>26</v>
      </c>
      <c r="E2917" s="8" t="s">
        <v>13909</v>
      </c>
      <c r="F2917" s="8">
        <v>2.9642771E7</v>
      </c>
      <c r="G2917" s="8" t="s">
        <v>54</v>
      </c>
      <c r="H2917" s="8" t="s">
        <v>430</v>
      </c>
      <c r="I2917" s="8" t="s">
        <v>31</v>
      </c>
      <c r="J2917" s="8" t="s">
        <v>292</v>
      </c>
      <c r="K2917" s="10" t="s">
        <v>12973</v>
      </c>
      <c r="L2917" s="8" t="s">
        <v>58</v>
      </c>
      <c r="M2917" s="8" t="s">
        <v>35</v>
      </c>
      <c r="N2917" s="11">
        <v>45152.0</v>
      </c>
      <c r="O2917" s="11">
        <v>45152.0</v>
      </c>
      <c r="P2917" s="11">
        <v>45194.0</v>
      </c>
      <c r="Q2917" s="11">
        <v>45156.0</v>
      </c>
      <c r="R2917" s="11">
        <v>45199.0</v>
      </c>
      <c r="S2917" s="12"/>
      <c r="T2917" s="8"/>
      <c r="U2917" s="8" t="s">
        <v>88</v>
      </c>
      <c r="V2917" s="13" t="s">
        <v>4780</v>
      </c>
      <c r="W2917" s="13" t="s">
        <v>13910</v>
      </c>
      <c r="X2917" s="12"/>
      <c r="Y2917" s="14"/>
      <c r="Z2917" s="14"/>
    </row>
    <row r="2918">
      <c r="A2918" s="8" t="s">
        <v>13911</v>
      </c>
      <c r="B2918" s="8" t="s">
        <v>13912</v>
      </c>
      <c r="C2918" s="8" t="s">
        <v>179</v>
      </c>
      <c r="D2918" s="8" t="s">
        <v>26</v>
      </c>
      <c r="E2918" s="8" t="s">
        <v>13913</v>
      </c>
      <c r="F2918" s="8">
        <v>1.091127E9</v>
      </c>
      <c r="G2918" s="8" t="s">
        <v>284</v>
      </c>
      <c r="H2918" s="8" t="s">
        <v>1287</v>
      </c>
      <c r="I2918" s="8" t="s">
        <v>31</v>
      </c>
      <c r="J2918" s="8" t="s">
        <v>32</v>
      </c>
      <c r="K2918" s="10" t="s">
        <v>13914</v>
      </c>
      <c r="L2918" s="8" t="s">
        <v>58</v>
      </c>
      <c r="M2918" s="8" t="s">
        <v>35</v>
      </c>
      <c r="N2918" s="11">
        <v>45152.0</v>
      </c>
      <c r="O2918" s="11">
        <v>45159.0</v>
      </c>
      <c r="P2918" s="11">
        <v>45201.0</v>
      </c>
      <c r="Q2918" s="11"/>
      <c r="R2918" s="11"/>
      <c r="S2918" s="12"/>
      <c r="T2918" s="8"/>
      <c r="U2918" s="8" t="s">
        <v>161</v>
      </c>
      <c r="V2918" s="13" t="s">
        <v>5072</v>
      </c>
      <c r="W2918" s="13" t="s">
        <v>13915</v>
      </c>
      <c r="X2918" s="12"/>
      <c r="Y2918" s="14"/>
      <c r="Z2918" s="14"/>
    </row>
    <row r="2919">
      <c r="A2919" s="8" t="s">
        <v>13916</v>
      </c>
      <c r="B2919" s="8" t="s">
        <v>13917</v>
      </c>
      <c r="C2919" s="8" t="s">
        <v>179</v>
      </c>
      <c r="D2919" s="8" t="s">
        <v>26</v>
      </c>
      <c r="E2919" s="8" t="s">
        <v>13918</v>
      </c>
      <c r="F2919" s="8">
        <v>1.094996628E9</v>
      </c>
      <c r="G2919" s="8" t="s">
        <v>284</v>
      </c>
      <c r="H2919" s="8" t="s">
        <v>1287</v>
      </c>
      <c r="I2919" s="8" t="s">
        <v>31</v>
      </c>
      <c r="J2919" s="8" t="s">
        <v>32</v>
      </c>
      <c r="K2919" s="10" t="s">
        <v>13914</v>
      </c>
      <c r="L2919" s="8" t="s">
        <v>58</v>
      </c>
      <c r="M2919" s="8" t="s">
        <v>35</v>
      </c>
      <c r="N2919" s="11">
        <v>45152.0</v>
      </c>
      <c r="O2919" s="11">
        <v>45159.0</v>
      </c>
      <c r="P2919" s="11">
        <v>45201.0</v>
      </c>
      <c r="Q2919" s="11"/>
      <c r="R2919" s="11"/>
      <c r="S2919" s="12"/>
      <c r="T2919" s="8"/>
      <c r="U2919" s="8" t="s">
        <v>161</v>
      </c>
      <c r="V2919" s="13" t="s">
        <v>5072</v>
      </c>
      <c r="W2919" s="13" t="s">
        <v>13919</v>
      </c>
      <c r="X2919" s="12"/>
      <c r="Y2919" s="14"/>
      <c r="Z2919" s="14"/>
    </row>
    <row r="2920">
      <c r="A2920" s="8" t="s">
        <v>13920</v>
      </c>
      <c r="B2920" s="8" t="s">
        <v>13921</v>
      </c>
      <c r="C2920" s="8" t="s">
        <v>179</v>
      </c>
      <c r="D2920" s="8" t="s">
        <v>26</v>
      </c>
      <c r="E2920" s="8" t="s">
        <v>13922</v>
      </c>
      <c r="F2920" s="8"/>
      <c r="G2920" s="8" t="s">
        <v>54</v>
      </c>
      <c r="H2920" s="8" t="s">
        <v>430</v>
      </c>
      <c r="I2920" s="8" t="s">
        <v>31</v>
      </c>
      <c r="J2920" s="8" t="s">
        <v>43</v>
      </c>
      <c r="K2920" s="10" t="s">
        <v>837</v>
      </c>
      <c r="L2920" s="8" t="s">
        <v>58</v>
      </c>
      <c r="M2920" s="8" t="s">
        <v>35</v>
      </c>
      <c r="N2920" s="11">
        <v>45152.0</v>
      </c>
      <c r="O2920" s="11">
        <v>45194.0</v>
      </c>
      <c r="P2920" s="11">
        <v>45240.0</v>
      </c>
      <c r="Q2920" s="11"/>
      <c r="R2920" s="11"/>
      <c r="S2920" s="12"/>
      <c r="T2920" s="8"/>
      <c r="U2920" s="8" t="s">
        <v>130</v>
      </c>
      <c r="V2920" s="13" t="s">
        <v>38</v>
      </c>
      <c r="W2920" s="13" t="s">
        <v>13923</v>
      </c>
      <c r="X2920" s="12"/>
      <c r="Y2920" s="14"/>
      <c r="Z2920" s="14"/>
    </row>
    <row r="2921">
      <c r="A2921" s="8" t="s">
        <v>13924</v>
      </c>
      <c r="B2921" s="8" t="s">
        <v>13925</v>
      </c>
      <c r="C2921" s="8" t="s">
        <v>179</v>
      </c>
      <c r="D2921" s="8" t="s">
        <v>26</v>
      </c>
      <c r="E2921" s="8" t="s">
        <v>13926</v>
      </c>
      <c r="F2921" s="8">
        <v>2.9899854E7</v>
      </c>
      <c r="G2921" s="8" t="s">
        <v>54</v>
      </c>
      <c r="H2921" s="8" t="s">
        <v>135</v>
      </c>
      <c r="I2921" s="8" t="s">
        <v>31</v>
      </c>
      <c r="J2921" s="8" t="s">
        <v>77</v>
      </c>
      <c r="K2921" s="10" t="s">
        <v>4188</v>
      </c>
      <c r="L2921" s="8" t="s">
        <v>58</v>
      </c>
      <c r="M2921" s="8" t="s">
        <v>35</v>
      </c>
      <c r="N2921" s="11">
        <v>45152.0</v>
      </c>
      <c r="O2921" s="11">
        <v>45458.0</v>
      </c>
      <c r="P2921" s="11">
        <v>45500.0</v>
      </c>
      <c r="Q2921" s="11"/>
      <c r="R2921" s="11"/>
      <c r="S2921" s="12"/>
      <c r="T2921" s="8"/>
      <c r="U2921" s="8" t="s">
        <v>59</v>
      </c>
      <c r="V2921" s="13" t="s">
        <v>190</v>
      </c>
      <c r="W2921" s="13" t="s">
        <v>13927</v>
      </c>
      <c r="X2921" s="12"/>
      <c r="Y2921" s="14"/>
      <c r="Z2921" s="14"/>
    </row>
    <row r="2922">
      <c r="A2922" s="8" t="s">
        <v>13928</v>
      </c>
      <c r="B2922" s="8" t="s">
        <v>13929</v>
      </c>
      <c r="C2922" s="8" t="s">
        <v>708</v>
      </c>
      <c r="D2922" s="8" t="s">
        <v>26</v>
      </c>
      <c r="E2922" s="8" t="s">
        <v>13930</v>
      </c>
      <c r="F2922" s="8">
        <v>5.383736826E9</v>
      </c>
      <c r="G2922" s="8" t="s">
        <v>31</v>
      </c>
      <c r="H2922" s="8" t="s">
        <v>292</v>
      </c>
      <c r="I2922" s="8" t="s">
        <v>202</v>
      </c>
      <c r="J2922" s="8" t="s">
        <v>13931</v>
      </c>
      <c r="K2922" s="10" t="s">
        <v>13932</v>
      </c>
      <c r="L2922" s="8" t="s">
        <v>34</v>
      </c>
      <c r="M2922" s="8" t="s">
        <v>70</v>
      </c>
      <c r="N2922" s="11">
        <v>45152.0</v>
      </c>
      <c r="O2922" s="11">
        <v>45170.0</v>
      </c>
      <c r="P2922" s="11">
        <v>45535.0</v>
      </c>
      <c r="Q2922" s="11">
        <v>45314.0</v>
      </c>
      <c r="R2922" s="11">
        <v>45678.0</v>
      </c>
      <c r="S2922" s="12"/>
      <c r="T2922" s="8" t="s">
        <v>36</v>
      </c>
      <c r="U2922" s="8" t="s">
        <v>13933</v>
      </c>
      <c r="V2922" s="13" t="s">
        <v>292</v>
      </c>
      <c r="W2922" s="13" t="s">
        <v>13934</v>
      </c>
      <c r="X2922" s="12"/>
      <c r="Y2922" s="14"/>
      <c r="Z2922" s="14"/>
    </row>
    <row r="2923">
      <c r="A2923" s="8" t="s">
        <v>13935</v>
      </c>
      <c r="B2923" s="8" t="s">
        <v>13936</v>
      </c>
      <c r="C2923" s="8" t="s">
        <v>179</v>
      </c>
      <c r="D2923" s="8" t="s">
        <v>26</v>
      </c>
      <c r="E2923" s="8" t="s">
        <v>13937</v>
      </c>
      <c r="F2923" s="8">
        <v>8.319188078E9</v>
      </c>
      <c r="G2923" s="8" t="s">
        <v>44</v>
      </c>
      <c r="H2923" s="8" t="s">
        <v>2054</v>
      </c>
      <c r="I2923" s="8" t="s">
        <v>31</v>
      </c>
      <c r="J2923" s="8" t="s">
        <v>56</v>
      </c>
      <c r="K2923" s="10" t="s">
        <v>12274</v>
      </c>
      <c r="L2923" s="8" t="s">
        <v>58</v>
      </c>
      <c r="M2923" s="8" t="s">
        <v>35</v>
      </c>
      <c r="N2923" s="11">
        <v>45152.0</v>
      </c>
      <c r="O2923" s="11">
        <v>45264.0</v>
      </c>
      <c r="P2923" s="11">
        <v>45306.0</v>
      </c>
      <c r="Q2923" s="11"/>
      <c r="R2923" s="11"/>
      <c r="S2923" s="12"/>
      <c r="T2923" s="8"/>
      <c r="U2923" s="8" t="s">
        <v>161</v>
      </c>
      <c r="V2923" s="13" t="s">
        <v>13938</v>
      </c>
      <c r="W2923" s="13" t="s">
        <v>13939</v>
      </c>
      <c r="X2923" s="12"/>
      <c r="Y2923" s="14"/>
      <c r="Z2923" s="14"/>
    </row>
    <row r="2924">
      <c r="A2924" s="8" t="s">
        <v>13940</v>
      </c>
      <c r="B2924" s="8" t="s">
        <v>13941</v>
      </c>
      <c r="C2924" s="8" t="s">
        <v>179</v>
      </c>
      <c r="D2924" s="8" t="s">
        <v>26</v>
      </c>
      <c r="E2924" s="8" t="s">
        <v>13942</v>
      </c>
      <c r="F2924" s="8">
        <v>5.374684995E9</v>
      </c>
      <c r="G2924" s="8" t="s">
        <v>31</v>
      </c>
      <c r="H2924" s="8" t="s">
        <v>86</v>
      </c>
      <c r="I2924" s="8" t="s">
        <v>284</v>
      </c>
      <c r="J2924" s="8" t="s">
        <v>589</v>
      </c>
      <c r="K2924" s="10" t="s">
        <v>10841</v>
      </c>
      <c r="L2924" s="8" t="s">
        <v>58</v>
      </c>
      <c r="M2924" s="8" t="s">
        <v>35</v>
      </c>
      <c r="N2924" s="11">
        <v>45152.0</v>
      </c>
      <c r="O2924" s="11">
        <v>45302.0</v>
      </c>
      <c r="P2924" s="11">
        <v>45344.0</v>
      </c>
      <c r="Q2924" s="11"/>
      <c r="R2924" s="11"/>
      <c r="S2924" s="12"/>
      <c r="T2924" s="8"/>
      <c r="U2924" s="8" t="s">
        <v>1038</v>
      </c>
      <c r="V2924" s="13" t="s">
        <v>175</v>
      </c>
      <c r="W2924" s="13" t="s">
        <v>13943</v>
      </c>
      <c r="X2924" s="12"/>
      <c r="Y2924" s="14"/>
      <c r="Z2924" s="14"/>
    </row>
    <row r="2925">
      <c r="A2925" s="8" t="s">
        <v>13944</v>
      </c>
      <c r="B2925" s="8" t="s">
        <v>13945</v>
      </c>
      <c r="C2925" s="8" t="s">
        <v>64</v>
      </c>
      <c r="D2925" s="8" t="s">
        <v>26</v>
      </c>
      <c r="E2925" s="8" t="s">
        <v>13946</v>
      </c>
      <c r="F2925" s="8">
        <v>6.74612342E8</v>
      </c>
      <c r="G2925" s="8" t="s">
        <v>1620</v>
      </c>
      <c r="H2925" s="8" t="s">
        <v>3655</v>
      </c>
      <c r="I2925" s="8" t="s">
        <v>31</v>
      </c>
      <c r="J2925" s="8" t="s">
        <v>86</v>
      </c>
      <c r="K2925" s="10" t="s">
        <v>416</v>
      </c>
      <c r="L2925" s="8" t="s">
        <v>58</v>
      </c>
      <c r="M2925" s="8" t="s">
        <v>35</v>
      </c>
      <c r="N2925" s="11">
        <v>45152.0</v>
      </c>
      <c r="O2925" s="11">
        <v>45198.0</v>
      </c>
      <c r="P2925" s="11">
        <v>45240.0</v>
      </c>
      <c r="Q2925" s="11">
        <v>45198.0</v>
      </c>
      <c r="R2925" s="11">
        <v>45240.0</v>
      </c>
      <c r="S2925" s="12"/>
      <c r="T2925" s="8"/>
      <c r="U2925" s="8" t="s">
        <v>59</v>
      </c>
      <c r="V2925" s="13" t="s">
        <v>3656</v>
      </c>
      <c r="W2925" s="13" t="s">
        <v>13947</v>
      </c>
      <c r="X2925" s="12"/>
      <c r="Y2925" s="14"/>
      <c r="Z2925" s="14"/>
    </row>
    <row r="2926">
      <c r="A2926" s="8" t="s">
        <v>13948</v>
      </c>
      <c r="B2926" s="8" t="s">
        <v>13949</v>
      </c>
      <c r="C2926" s="8" t="s">
        <v>64</v>
      </c>
      <c r="D2926" s="8" t="s">
        <v>26</v>
      </c>
      <c r="E2926" s="8" t="s">
        <v>13950</v>
      </c>
      <c r="F2926" s="8"/>
      <c r="G2926" s="8" t="s">
        <v>44</v>
      </c>
      <c r="H2926" s="8" t="s">
        <v>13951</v>
      </c>
      <c r="I2926" s="8" t="s">
        <v>31</v>
      </c>
      <c r="J2926" s="8" t="s">
        <v>292</v>
      </c>
      <c r="K2926" s="10" t="s">
        <v>11481</v>
      </c>
      <c r="L2926" s="8" t="s">
        <v>58</v>
      </c>
      <c r="M2926" s="8" t="s">
        <v>35</v>
      </c>
      <c r="N2926" s="11">
        <v>45152.0</v>
      </c>
      <c r="O2926" s="11">
        <v>45250.0</v>
      </c>
      <c r="P2926" s="11">
        <v>45292.0</v>
      </c>
      <c r="Q2926" s="11">
        <v>45250.0</v>
      </c>
      <c r="R2926" s="11">
        <v>45292.0</v>
      </c>
      <c r="S2926" s="12"/>
      <c r="T2926" s="8"/>
      <c r="U2926" s="8" t="s">
        <v>88</v>
      </c>
      <c r="V2926" s="13" t="s">
        <v>38</v>
      </c>
      <c r="W2926" s="13" t="s">
        <v>13952</v>
      </c>
      <c r="X2926" s="12"/>
      <c r="Y2926" s="14"/>
      <c r="Z2926" s="14"/>
    </row>
    <row r="2927">
      <c r="A2927" s="8" t="s">
        <v>13953</v>
      </c>
      <c r="B2927" s="8" t="s">
        <v>13954</v>
      </c>
      <c r="C2927" s="8" t="s">
        <v>251</v>
      </c>
      <c r="D2927" s="8" t="s">
        <v>26</v>
      </c>
      <c r="E2927" s="8" t="s">
        <v>13955</v>
      </c>
      <c r="F2927" s="8">
        <v>8.383908098E9</v>
      </c>
      <c r="G2927" s="8" t="s">
        <v>44</v>
      </c>
      <c r="H2927" s="8" t="s">
        <v>2054</v>
      </c>
      <c r="I2927" s="8" t="s">
        <v>31</v>
      </c>
      <c r="J2927" s="8" t="s">
        <v>438</v>
      </c>
      <c r="K2927" s="10" t="s">
        <v>13389</v>
      </c>
      <c r="L2927" s="8" t="s">
        <v>58</v>
      </c>
      <c r="M2927" s="8" t="s">
        <v>35</v>
      </c>
      <c r="N2927" s="11">
        <v>45152.0</v>
      </c>
      <c r="O2927" s="11">
        <v>45173.0</v>
      </c>
      <c r="P2927" s="11">
        <v>45215.0</v>
      </c>
      <c r="Q2927" s="11"/>
      <c r="R2927" s="11"/>
      <c r="S2927" s="12"/>
      <c r="T2927" s="8"/>
      <c r="U2927" s="8" t="s">
        <v>59</v>
      </c>
      <c r="V2927" s="13" t="s">
        <v>13938</v>
      </c>
      <c r="W2927" s="13" t="s">
        <v>13956</v>
      </c>
      <c r="X2927" s="12"/>
      <c r="Y2927" s="14"/>
      <c r="Z2927" s="14"/>
    </row>
    <row r="2928">
      <c r="A2928" s="8" t="s">
        <v>13957</v>
      </c>
      <c r="B2928" s="8" t="s">
        <v>13958</v>
      </c>
      <c r="C2928" s="8" t="s">
        <v>25</v>
      </c>
      <c r="D2928" s="8" t="s">
        <v>26</v>
      </c>
      <c r="E2928" s="8" t="s">
        <v>13959</v>
      </c>
      <c r="F2928" s="8">
        <v>6.98191642E8</v>
      </c>
      <c r="G2928" s="8" t="s">
        <v>254</v>
      </c>
      <c r="H2928" s="8" t="s">
        <v>1007</v>
      </c>
      <c r="I2928" s="8" t="s">
        <v>31</v>
      </c>
      <c r="J2928" s="8" t="s">
        <v>292</v>
      </c>
      <c r="K2928" s="10" t="s">
        <v>6742</v>
      </c>
      <c r="L2928" s="8" t="s">
        <v>58</v>
      </c>
      <c r="M2928" s="8" t="s">
        <v>35</v>
      </c>
      <c r="N2928" s="11">
        <v>45153.0</v>
      </c>
      <c r="O2928" s="11">
        <v>45194.0</v>
      </c>
      <c r="P2928" s="11">
        <v>45236.0</v>
      </c>
      <c r="Q2928" s="11">
        <v>45193.0</v>
      </c>
      <c r="R2928" s="11">
        <v>45236.0</v>
      </c>
      <c r="S2928" s="12"/>
      <c r="T2928" s="8"/>
      <c r="U2928" s="8" t="s">
        <v>88</v>
      </c>
      <c r="V2928" s="13" t="s">
        <v>1010</v>
      </c>
      <c r="W2928" s="13" t="s">
        <v>13960</v>
      </c>
      <c r="X2928" s="12"/>
      <c r="Y2928" s="14"/>
      <c r="Z2928" s="14"/>
    </row>
    <row r="2929">
      <c r="A2929" s="8" t="s">
        <v>13961</v>
      </c>
      <c r="B2929" s="8" t="s">
        <v>13962</v>
      </c>
      <c r="C2929" s="8" t="s">
        <v>25</v>
      </c>
      <c r="D2929" s="8" t="s">
        <v>26</v>
      </c>
      <c r="E2929" s="8" t="s">
        <v>13963</v>
      </c>
      <c r="F2929" s="8">
        <v>5.0757254E7</v>
      </c>
      <c r="G2929" s="8" t="s">
        <v>54</v>
      </c>
      <c r="H2929" s="8" t="s">
        <v>430</v>
      </c>
      <c r="I2929" s="8" t="s">
        <v>31</v>
      </c>
      <c r="J2929" s="8" t="s">
        <v>56</v>
      </c>
      <c r="K2929" s="10" t="s">
        <v>11979</v>
      </c>
      <c r="L2929" s="8" t="s">
        <v>58</v>
      </c>
      <c r="M2929" s="8" t="s">
        <v>35</v>
      </c>
      <c r="N2929" s="11">
        <v>45153.0</v>
      </c>
      <c r="O2929" s="11">
        <v>45166.0</v>
      </c>
      <c r="P2929" s="11">
        <v>45208.0</v>
      </c>
      <c r="Q2929" s="11">
        <v>45170.0</v>
      </c>
      <c r="R2929" s="11">
        <v>45210.0</v>
      </c>
      <c r="S2929" s="12"/>
      <c r="T2929" s="8"/>
      <c r="U2929" s="8" t="s">
        <v>161</v>
      </c>
      <c r="V2929" s="13" t="s">
        <v>6160</v>
      </c>
      <c r="W2929" s="13" t="s">
        <v>13964</v>
      </c>
      <c r="X2929" s="12"/>
      <c r="Y2929" s="14"/>
      <c r="Z2929" s="14"/>
    </row>
    <row r="2930">
      <c r="A2930" s="8" t="s">
        <v>13965</v>
      </c>
      <c r="B2930" s="8" t="s">
        <v>13966</v>
      </c>
      <c r="C2930" s="8" t="s">
        <v>179</v>
      </c>
      <c r="D2930" s="8" t="s">
        <v>26</v>
      </c>
      <c r="E2930" s="8" t="s">
        <v>13967</v>
      </c>
      <c r="F2930" s="8">
        <v>2.885469E7</v>
      </c>
      <c r="G2930" s="8" t="s">
        <v>54</v>
      </c>
      <c r="H2930" s="8" t="s">
        <v>55</v>
      </c>
      <c r="I2930" s="8" t="s">
        <v>31</v>
      </c>
      <c r="J2930" s="8" t="s">
        <v>77</v>
      </c>
      <c r="K2930" s="10" t="s">
        <v>5635</v>
      </c>
      <c r="L2930" s="8" t="s">
        <v>58</v>
      </c>
      <c r="M2930" s="8" t="s">
        <v>35</v>
      </c>
      <c r="N2930" s="11">
        <v>45153.0</v>
      </c>
      <c r="O2930" s="11">
        <v>45180.0</v>
      </c>
      <c r="P2930" s="11">
        <v>45222.0</v>
      </c>
      <c r="Q2930" s="11"/>
      <c r="R2930" s="11"/>
      <c r="S2930" s="12"/>
      <c r="T2930" s="8"/>
      <c r="U2930" s="8" t="s">
        <v>59</v>
      </c>
      <c r="V2930" s="13" t="s">
        <v>60</v>
      </c>
      <c r="W2930" s="13" t="s">
        <v>13968</v>
      </c>
      <c r="X2930" s="12"/>
      <c r="Y2930" s="14"/>
      <c r="Z2930" s="14"/>
    </row>
    <row r="2931">
      <c r="A2931" s="8" t="s">
        <v>13969</v>
      </c>
      <c r="B2931" s="8" t="s">
        <v>13970</v>
      </c>
      <c r="C2931" s="8" t="s">
        <v>179</v>
      </c>
      <c r="D2931" s="8" t="s">
        <v>26</v>
      </c>
      <c r="E2931" s="8" t="s">
        <v>13971</v>
      </c>
      <c r="F2931" s="8">
        <v>5.41817333E8</v>
      </c>
      <c r="G2931" s="8" t="s">
        <v>254</v>
      </c>
      <c r="H2931" s="8" t="s">
        <v>1007</v>
      </c>
      <c r="I2931" s="8" t="s">
        <v>31</v>
      </c>
      <c r="J2931" s="8" t="s">
        <v>256</v>
      </c>
      <c r="K2931" s="10" t="s">
        <v>13972</v>
      </c>
      <c r="L2931" s="8" t="s">
        <v>47</v>
      </c>
      <c r="M2931" s="8" t="s">
        <v>70</v>
      </c>
      <c r="N2931" s="11">
        <v>45153.0</v>
      </c>
      <c r="O2931" s="11">
        <v>45148.0</v>
      </c>
      <c r="P2931" s="11">
        <v>45513.0</v>
      </c>
      <c r="Q2931" s="11"/>
      <c r="R2931" s="11"/>
      <c r="S2931" s="12"/>
      <c r="T2931" s="8"/>
      <c r="U2931" s="8" t="s">
        <v>13973</v>
      </c>
      <c r="V2931" s="13" t="s">
        <v>1010</v>
      </c>
      <c r="W2931" s="13" t="s">
        <v>13974</v>
      </c>
      <c r="X2931" s="12"/>
      <c r="Y2931" s="14"/>
      <c r="Z2931" s="14"/>
    </row>
    <row r="2932">
      <c r="A2932" s="8" t="s">
        <v>13975</v>
      </c>
      <c r="B2932" s="8" t="s">
        <v>13976</v>
      </c>
      <c r="C2932" s="8" t="s">
        <v>179</v>
      </c>
      <c r="D2932" s="8" t="s">
        <v>26</v>
      </c>
      <c r="E2932" s="8" t="s">
        <v>13977</v>
      </c>
      <c r="F2932" s="8"/>
      <c r="G2932" s="8" t="s">
        <v>31</v>
      </c>
      <c r="H2932" s="8" t="s">
        <v>86</v>
      </c>
      <c r="I2932" s="8" t="s">
        <v>284</v>
      </c>
      <c r="J2932" s="8" t="s">
        <v>589</v>
      </c>
      <c r="K2932" s="10" t="s">
        <v>2766</v>
      </c>
      <c r="L2932" s="8" t="s">
        <v>58</v>
      </c>
      <c r="M2932" s="8" t="s">
        <v>35</v>
      </c>
      <c r="N2932" s="11">
        <v>45154.0</v>
      </c>
      <c r="O2932" s="11">
        <v>45498.0</v>
      </c>
      <c r="P2932" s="11">
        <v>45540.0</v>
      </c>
      <c r="Q2932" s="11"/>
      <c r="R2932" s="11"/>
      <c r="S2932" s="12"/>
      <c r="T2932" s="8"/>
      <c r="U2932" s="8" t="s">
        <v>632</v>
      </c>
      <c r="V2932" s="13" t="s">
        <v>38</v>
      </c>
      <c r="W2932" s="13" t="s">
        <v>13978</v>
      </c>
      <c r="X2932" s="12"/>
      <c r="Y2932" s="14"/>
      <c r="Z2932" s="14"/>
    </row>
    <row r="2933">
      <c r="A2933" s="8" t="s">
        <v>13979</v>
      </c>
      <c r="B2933" s="8" t="s">
        <v>13980</v>
      </c>
      <c r="C2933" s="8" t="s">
        <v>25</v>
      </c>
      <c r="D2933" s="8" t="s">
        <v>26</v>
      </c>
      <c r="E2933" s="8" t="s">
        <v>13981</v>
      </c>
      <c r="F2933" s="8">
        <v>5.304770617E9</v>
      </c>
      <c r="G2933" s="8" t="s">
        <v>31</v>
      </c>
      <c r="H2933" s="8" t="s">
        <v>86</v>
      </c>
      <c r="I2933" s="8" t="s">
        <v>29</v>
      </c>
      <c r="J2933" s="8" t="s">
        <v>2448</v>
      </c>
      <c r="K2933" s="10" t="s">
        <v>10882</v>
      </c>
      <c r="L2933" s="8" t="s">
        <v>58</v>
      </c>
      <c r="M2933" s="8" t="s">
        <v>35</v>
      </c>
      <c r="N2933" s="11">
        <v>45154.0</v>
      </c>
      <c r="O2933" s="11">
        <v>45159.0</v>
      </c>
      <c r="P2933" s="11">
        <v>45201.0</v>
      </c>
      <c r="Q2933" s="11">
        <v>45159.0</v>
      </c>
      <c r="R2933" s="11">
        <v>45201.0</v>
      </c>
      <c r="S2933" s="12"/>
      <c r="T2933" s="8"/>
      <c r="U2933" s="8" t="s">
        <v>130</v>
      </c>
      <c r="V2933" s="13" t="s">
        <v>175</v>
      </c>
      <c r="W2933" s="13" t="s">
        <v>13982</v>
      </c>
      <c r="X2933" s="12"/>
      <c r="Y2933" s="14"/>
      <c r="Z2933" s="14"/>
    </row>
    <row r="2934">
      <c r="A2934" s="8" t="s">
        <v>13983</v>
      </c>
      <c r="B2934" s="8" t="s">
        <v>13984</v>
      </c>
      <c r="C2934" s="8" t="s">
        <v>708</v>
      </c>
      <c r="D2934" s="8" t="s">
        <v>26</v>
      </c>
      <c r="E2934" s="8" t="s">
        <v>13985</v>
      </c>
      <c r="F2934" s="8" t="s">
        <v>253</v>
      </c>
      <c r="G2934" s="8" t="s">
        <v>254</v>
      </c>
      <c r="H2934" s="8" t="s">
        <v>1007</v>
      </c>
      <c r="I2934" s="8" t="s">
        <v>31</v>
      </c>
      <c r="J2934" s="8" t="s">
        <v>77</v>
      </c>
      <c r="K2934" s="10" t="s">
        <v>1972</v>
      </c>
      <c r="L2934" s="8" t="s">
        <v>47</v>
      </c>
      <c r="M2934" s="8" t="s">
        <v>70</v>
      </c>
      <c r="N2934" s="11">
        <v>45154.0</v>
      </c>
      <c r="O2934" s="11">
        <v>45166.0</v>
      </c>
      <c r="P2934" s="11">
        <v>45458.0</v>
      </c>
      <c r="Q2934" s="11">
        <v>45196.0</v>
      </c>
      <c r="R2934" s="11">
        <v>45486.0</v>
      </c>
      <c r="S2934" s="12"/>
      <c r="T2934" s="8"/>
      <c r="U2934" s="8" t="s">
        <v>1973</v>
      </c>
      <c r="V2934" s="13" t="s">
        <v>1249</v>
      </c>
      <c r="W2934" s="13" t="s">
        <v>13986</v>
      </c>
      <c r="X2934" s="12"/>
      <c r="Y2934" s="14"/>
      <c r="Z2934" s="14"/>
    </row>
    <row r="2935">
      <c r="A2935" s="8" t="s">
        <v>13987</v>
      </c>
      <c r="B2935" s="8" t="s">
        <v>13988</v>
      </c>
      <c r="C2935" s="8" t="s">
        <v>179</v>
      </c>
      <c r="D2935" s="8" t="s">
        <v>26</v>
      </c>
      <c r="E2935" s="8" t="s">
        <v>13989</v>
      </c>
      <c r="F2935" s="8"/>
      <c r="G2935" s="8" t="s">
        <v>54</v>
      </c>
      <c r="H2935" s="8" t="s">
        <v>430</v>
      </c>
      <c r="I2935" s="8" t="s">
        <v>31</v>
      </c>
      <c r="J2935" s="8" t="s">
        <v>77</v>
      </c>
      <c r="K2935" s="10" t="s">
        <v>4188</v>
      </c>
      <c r="L2935" s="8" t="s">
        <v>58</v>
      </c>
      <c r="M2935" s="8" t="s">
        <v>35</v>
      </c>
      <c r="N2935" s="11">
        <v>45154.0</v>
      </c>
      <c r="O2935" s="11">
        <v>45458.0</v>
      </c>
      <c r="P2935" s="11">
        <v>45500.0</v>
      </c>
      <c r="Q2935" s="11"/>
      <c r="R2935" s="11"/>
      <c r="S2935" s="12"/>
      <c r="T2935" s="8"/>
      <c r="U2935" s="8" t="s">
        <v>59</v>
      </c>
      <c r="V2935" s="13" t="s">
        <v>38</v>
      </c>
      <c r="W2935" s="13" t="s">
        <v>13990</v>
      </c>
      <c r="X2935" s="12"/>
      <c r="Y2935" s="14"/>
      <c r="Z2935" s="14"/>
    </row>
    <row r="2936">
      <c r="A2936" s="8" t="s">
        <v>13991</v>
      </c>
      <c r="B2936" s="8" t="s">
        <v>13992</v>
      </c>
      <c r="C2936" s="8" t="s">
        <v>708</v>
      </c>
      <c r="D2936" s="8" t="s">
        <v>26</v>
      </c>
      <c r="E2936" s="8" t="s">
        <v>13993</v>
      </c>
      <c r="F2936" s="8">
        <v>6.98255318E8</v>
      </c>
      <c r="G2936" s="8" t="s">
        <v>254</v>
      </c>
      <c r="H2936" s="8" t="s">
        <v>255</v>
      </c>
      <c r="I2936" s="8" t="s">
        <v>31</v>
      </c>
      <c r="J2936" s="8" t="s">
        <v>86</v>
      </c>
      <c r="K2936" s="10" t="s">
        <v>2404</v>
      </c>
      <c r="L2936" s="8" t="s">
        <v>34</v>
      </c>
      <c r="M2936" s="8" t="s">
        <v>70</v>
      </c>
      <c r="N2936" s="11">
        <v>45154.0</v>
      </c>
      <c r="O2936" s="11">
        <v>45215.0</v>
      </c>
      <c r="P2936" s="11">
        <v>45716.0</v>
      </c>
      <c r="Q2936" s="11">
        <v>45219.0</v>
      </c>
      <c r="R2936" s="11">
        <v>45720.0</v>
      </c>
      <c r="S2936" s="12"/>
      <c r="T2936" s="8" t="s">
        <v>36</v>
      </c>
      <c r="U2936" s="8" t="s">
        <v>2405</v>
      </c>
      <c r="V2936" s="13" t="s">
        <v>258</v>
      </c>
      <c r="W2936" s="13" t="s">
        <v>13994</v>
      </c>
      <c r="X2936" s="12"/>
      <c r="Y2936" s="14"/>
      <c r="Z2936" s="14"/>
    </row>
    <row r="2937">
      <c r="A2937" s="8" t="s">
        <v>13995</v>
      </c>
      <c r="B2937" s="8" t="s">
        <v>13996</v>
      </c>
      <c r="C2937" s="8" t="s">
        <v>708</v>
      </c>
      <c r="D2937" s="8" t="s">
        <v>26</v>
      </c>
      <c r="E2937" s="8" t="s">
        <v>13997</v>
      </c>
      <c r="F2937" s="8">
        <v>6.10131714E8</v>
      </c>
      <c r="G2937" s="8" t="s">
        <v>84</v>
      </c>
      <c r="H2937" s="8" t="s">
        <v>1551</v>
      </c>
      <c r="I2937" s="8" t="s">
        <v>31</v>
      </c>
      <c r="J2937" s="8" t="s">
        <v>86</v>
      </c>
      <c r="K2937" s="10" t="s">
        <v>5449</v>
      </c>
      <c r="L2937" s="8" t="s">
        <v>34</v>
      </c>
      <c r="M2937" s="8" t="s">
        <v>70</v>
      </c>
      <c r="N2937" s="11">
        <v>45154.0</v>
      </c>
      <c r="O2937" s="11">
        <v>45173.0</v>
      </c>
      <c r="P2937" s="11">
        <v>45674.0</v>
      </c>
      <c r="Q2937" s="11">
        <v>45232.0</v>
      </c>
      <c r="R2937" s="11">
        <v>45733.0</v>
      </c>
      <c r="S2937" s="12"/>
      <c r="T2937" s="8" t="s">
        <v>36</v>
      </c>
      <c r="U2937" s="8" t="s">
        <v>5450</v>
      </c>
      <c r="V2937" s="13" t="s">
        <v>1974</v>
      </c>
      <c r="W2937" s="13" t="s">
        <v>13998</v>
      </c>
      <c r="X2937" s="12"/>
      <c r="Y2937" s="14"/>
      <c r="Z2937" s="14"/>
    </row>
    <row r="2938">
      <c r="A2938" s="8" t="s">
        <v>13999</v>
      </c>
      <c r="B2938" s="8" t="s">
        <v>1183</v>
      </c>
      <c r="C2938" s="8" t="s">
        <v>708</v>
      </c>
      <c r="D2938" s="8" t="s">
        <v>26</v>
      </c>
      <c r="E2938" s="8" t="s">
        <v>14000</v>
      </c>
      <c r="F2938" s="8">
        <v>9.791077279E9</v>
      </c>
      <c r="G2938" s="8" t="s">
        <v>44</v>
      </c>
      <c r="H2938" s="8" t="s">
        <v>1185</v>
      </c>
      <c r="I2938" s="8" t="s">
        <v>31</v>
      </c>
      <c r="J2938" s="8" t="s">
        <v>77</v>
      </c>
      <c r="K2938" s="10" t="s">
        <v>2910</v>
      </c>
      <c r="L2938" s="8" t="s">
        <v>34</v>
      </c>
      <c r="M2938" s="8" t="s">
        <v>70</v>
      </c>
      <c r="N2938" s="11">
        <v>45154.0</v>
      </c>
      <c r="O2938" s="11">
        <v>45204.0</v>
      </c>
      <c r="P2938" s="11">
        <v>45570.0</v>
      </c>
      <c r="Q2938" s="11">
        <v>45234.0</v>
      </c>
      <c r="R2938" s="11">
        <v>45598.0</v>
      </c>
      <c r="S2938" s="12"/>
      <c r="T2938" s="8" t="s">
        <v>205</v>
      </c>
      <c r="U2938" s="8" t="s">
        <v>2911</v>
      </c>
      <c r="V2938" s="13" t="s">
        <v>14001</v>
      </c>
      <c r="W2938" s="13" t="s">
        <v>14002</v>
      </c>
      <c r="X2938" s="12"/>
      <c r="Y2938" s="14"/>
      <c r="Z2938" s="14"/>
    </row>
    <row r="2939">
      <c r="A2939" s="8" t="s">
        <v>14003</v>
      </c>
      <c r="B2939" s="8" t="s">
        <v>14004</v>
      </c>
      <c r="C2939" s="8" t="s">
        <v>25</v>
      </c>
      <c r="D2939" s="8" t="s">
        <v>26</v>
      </c>
      <c r="E2939" s="8" t="s">
        <v>14005</v>
      </c>
      <c r="F2939" s="8">
        <v>1.550562889E9</v>
      </c>
      <c r="G2939" s="8" t="s">
        <v>284</v>
      </c>
      <c r="H2939" s="8" t="s">
        <v>673</v>
      </c>
      <c r="I2939" s="8" t="s">
        <v>31</v>
      </c>
      <c r="J2939" s="8" t="s">
        <v>56</v>
      </c>
      <c r="K2939" s="10" t="s">
        <v>12274</v>
      </c>
      <c r="L2939" s="8" t="s">
        <v>58</v>
      </c>
      <c r="M2939" s="8" t="s">
        <v>35</v>
      </c>
      <c r="N2939" s="11">
        <v>45154.0</v>
      </c>
      <c r="O2939" s="11">
        <v>45264.0</v>
      </c>
      <c r="P2939" s="11">
        <v>45306.0</v>
      </c>
      <c r="Q2939" s="11">
        <v>45266.0</v>
      </c>
      <c r="R2939" s="11">
        <v>45306.0</v>
      </c>
      <c r="S2939" s="12"/>
      <c r="T2939" s="8"/>
      <c r="U2939" s="8" t="s">
        <v>161</v>
      </c>
      <c r="V2939" s="13" t="s">
        <v>14006</v>
      </c>
      <c r="W2939" s="13" t="s">
        <v>14007</v>
      </c>
      <c r="X2939" s="12"/>
      <c r="Y2939" s="14"/>
      <c r="Z2939" s="14"/>
    </row>
    <row r="2940">
      <c r="A2940" s="8" t="s">
        <v>14008</v>
      </c>
      <c r="B2940" s="8" t="s">
        <v>14009</v>
      </c>
      <c r="C2940" s="8" t="s">
        <v>25</v>
      </c>
      <c r="D2940" s="8" t="s">
        <v>26</v>
      </c>
      <c r="E2940" s="8" t="s">
        <v>14010</v>
      </c>
      <c r="F2940" s="8">
        <v>5.74802454E8</v>
      </c>
      <c r="G2940" s="8" t="s">
        <v>2330</v>
      </c>
      <c r="H2940" s="8" t="s">
        <v>2718</v>
      </c>
      <c r="I2940" s="8" t="s">
        <v>31</v>
      </c>
      <c r="J2940" s="8" t="s">
        <v>56</v>
      </c>
      <c r="K2940" s="10" t="s">
        <v>11918</v>
      </c>
      <c r="L2940" s="8" t="s">
        <v>58</v>
      </c>
      <c r="M2940" s="8" t="s">
        <v>35</v>
      </c>
      <c r="N2940" s="11">
        <v>45154.0</v>
      </c>
      <c r="O2940" s="11">
        <v>45159.0</v>
      </c>
      <c r="P2940" s="11">
        <v>45201.0</v>
      </c>
      <c r="Q2940" s="11">
        <v>45170.0</v>
      </c>
      <c r="R2940" s="11">
        <v>45210.0</v>
      </c>
      <c r="S2940" s="12"/>
      <c r="T2940" s="8"/>
      <c r="U2940" s="8" t="s">
        <v>59</v>
      </c>
      <c r="V2940" s="13" t="s">
        <v>8447</v>
      </c>
      <c r="W2940" s="13" t="s">
        <v>14011</v>
      </c>
      <c r="X2940" s="12"/>
      <c r="Y2940" s="14"/>
      <c r="Z2940" s="14"/>
    </row>
    <row r="2941">
      <c r="A2941" s="8" t="s">
        <v>14012</v>
      </c>
      <c r="B2941" s="8" t="s">
        <v>7487</v>
      </c>
      <c r="C2941" s="8" t="s">
        <v>179</v>
      </c>
      <c r="D2941" s="8" t="s">
        <v>26</v>
      </c>
      <c r="E2941" s="8" t="s">
        <v>14013</v>
      </c>
      <c r="F2941" s="8"/>
      <c r="G2941" s="8" t="s">
        <v>315</v>
      </c>
      <c r="H2941" s="8" t="s">
        <v>1833</v>
      </c>
      <c r="I2941" s="8" t="s">
        <v>31</v>
      </c>
      <c r="J2941" s="8" t="s">
        <v>56</v>
      </c>
      <c r="K2941" s="10" t="s">
        <v>11979</v>
      </c>
      <c r="L2941" s="8" t="s">
        <v>58</v>
      </c>
      <c r="M2941" s="8" t="s">
        <v>35</v>
      </c>
      <c r="N2941" s="11">
        <v>45155.0</v>
      </c>
      <c r="O2941" s="11">
        <v>45334.0</v>
      </c>
      <c r="P2941" s="11">
        <v>45376.0</v>
      </c>
      <c r="Q2941" s="11"/>
      <c r="R2941" s="11"/>
      <c r="S2941" s="12"/>
      <c r="T2941" s="8"/>
      <c r="U2941" s="8" t="s">
        <v>161</v>
      </c>
      <c r="V2941" s="13" t="s">
        <v>38</v>
      </c>
      <c r="W2941" s="13" t="s">
        <v>14014</v>
      </c>
      <c r="X2941" s="12"/>
      <c r="Y2941" s="14"/>
      <c r="Z2941" s="14"/>
    </row>
    <row r="2942">
      <c r="A2942" s="8" t="s">
        <v>14015</v>
      </c>
      <c r="B2942" s="8" t="s">
        <v>381</v>
      </c>
      <c r="C2942" s="8" t="s">
        <v>708</v>
      </c>
      <c r="D2942" s="8" t="s">
        <v>26</v>
      </c>
      <c r="E2942" s="8" t="s">
        <v>382</v>
      </c>
      <c r="F2942" s="8">
        <v>5.8017552E7</v>
      </c>
      <c r="G2942" s="8" t="s">
        <v>54</v>
      </c>
      <c r="H2942" s="8" t="s">
        <v>237</v>
      </c>
      <c r="I2942" s="8" t="s">
        <v>31</v>
      </c>
      <c r="J2942" s="8" t="s">
        <v>32</v>
      </c>
      <c r="K2942" s="10" t="s">
        <v>869</v>
      </c>
      <c r="L2942" s="8" t="s">
        <v>34</v>
      </c>
      <c r="M2942" s="8" t="s">
        <v>70</v>
      </c>
      <c r="N2942" s="11">
        <v>45155.0</v>
      </c>
      <c r="O2942" s="11">
        <v>45199.0</v>
      </c>
      <c r="P2942" s="11">
        <v>45564.0</v>
      </c>
      <c r="Q2942" s="11">
        <v>45199.0</v>
      </c>
      <c r="R2942" s="11">
        <v>45564.0</v>
      </c>
      <c r="S2942" s="12"/>
      <c r="T2942" s="8" t="s">
        <v>36</v>
      </c>
      <c r="U2942" s="8" t="s">
        <v>870</v>
      </c>
      <c r="V2942" s="13" t="s">
        <v>384</v>
      </c>
      <c r="W2942" s="13" t="s">
        <v>385</v>
      </c>
      <c r="X2942" s="12"/>
      <c r="Y2942" s="14"/>
      <c r="Z2942" s="14"/>
    </row>
    <row r="2943">
      <c r="A2943" s="8" t="s">
        <v>14016</v>
      </c>
      <c r="B2943" s="8" t="s">
        <v>14017</v>
      </c>
      <c r="C2943" s="8" t="s">
        <v>708</v>
      </c>
      <c r="D2943" s="8" t="s">
        <v>26</v>
      </c>
      <c r="E2943" s="8" t="s">
        <v>14018</v>
      </c>
      <c r="F2943" s="8">
        <v>1.914339897E9</v>
      </c>
      <c r="G2943" s="8" t="s">
        <v>8457</v>
      </c>
      <c r="H2943" s="8" t="s">
        <v>8458</v>
      </c>
      <c r="I2943" s="8" t="s">
        <v>31</v>
      </c>
      <c r="J2943" s="8" t="s">
        <v>77</v>
      </c>
      <c r="K2943" s="10" t="s">
        <v>2597</v>
      </c>
      <c r="L2943" s="8" t="s">
        <v>47</v>
      </c>
      <c r="M2943" s="8" t="s">
        <v>70</v>
      </c>
      <c r="N2943" s="11">
        <v>45155.0</v>
      </c>
      <c r="O2943" s="11">
        <v>45178.0</v>
      </c>
      <c r="P2943" s="11">
        <v>45444.0</v>
      </c>
      <c r="Q2943" s="11">
        <v>45251.0</v>
      </c>
      <c r="R2943" s="11">
        <v>45515.0</v>
      </c>
      <c r="S2943" s="12"/>
      <c r="T2943" s="8"/>
      <c r="U2943" s="8" t="s">
        <v>2598</v>
      </c>
      <c r="V2943" s="13" t="s">
        <v>14019</v>
      </c>
      <c r="W2943" s="13" t="s">
        <v>14020</v>
      </c>
      <c r="X2943" s="12"/>
      <c r="Y2943" s="14"/>
      <c r="Z2943" s="14"/>
    </row>
    <row r="2944">
      <c r="A2944" s="8" t="s">
        <v>14021</v>
      </c>
      <c r="B2944" s="8" t="s">
        <v>14022</v>
      </c>
      <c r="C2944" s="8" t="s">
        <v>25</v>
      </c>
      <c r="D2944" s="8" t="s">
        <v>26</v>
      </c>
      <c r="E2944" s="8" t="s">
        <v>14023</v>
      </c>
      <c r="F2944" s="8">
        <v>5.452152507E9</v>
      </c>
      <c r="G2944" s="8" t="s">
        <v>31</v>
      </c>
      <c r="H2944" s="8" t="s">
        <v>43</v>
      </c>
      <c r="I2944" s="8" t="s">
        <v>44</v>
      </c>
      <c r="J2944" s="8" t="s">
        <v>7167</v>
      </c>
      <c r="K2944" s="10" t="s">
        <v>14024</v>
      </c>
      <c r="L2944" s="8" t="s">
        <v>34</v>
      </c>
      <c r="M2944" s="8" t="s">
        <v>35</v>
      </c>
      <c r="N2944" s="11">
        <v>45155.0</v>
      </c>
      <c r="O2944" s="11">
        <v>45141.0</v>
      </c>
      <c r="P2944" s="11">
        <v>45183.0</v>
      </c>
      <c r="Q2944" s="11">
        <v>45184.0</v>
      </c>
      <c r="R2944" s="11">
        <v>45226.0</v>
      </c>
      <c r="S2944" s="12"/>
      <c r="T2944" s="8" t="s">
        <v>1187</v>
      </c>
      <c r="U2944" s="8" t="s">
        <v>14025</v>
      </c>
      <c r="V2944" s="13" t="s">
        <v>43</v>
      </c>
      <c r="W2944" s="13" t="s">
        <v>14026</v>
      </c>
      <c r="X2944" s="12"/>
      <c r="Y2944" s="14"/>
      <c r="Z2944" s="14"/>
    </row>
    <row r="2945">
      <c r="A2945" s="8" t="s">
        <v>14027</v>
      </c>
      <c r="B2945" s="8" t="s">
        <v>14028</v>
      </c>
      <c r="C2945" s="8" t="s">
        <v>25</v>
      </c>
      <c r="D2945" s="8" t="s">
        <v>26</v>
      </c>
      <c r="E2945" s="8" t="s">
        <v>14029</v>
      </c>
      <c r="F2945" s="8">
        <v>1.006701205E9</v>
      </c>
      <c r="G2945" s="8" t="s">
        <v>284</v>
      </c>
      <c r="H2945" s="8" t="s">
        <v>300</v>
      </c>
      <c r="I2945" s="8" t="s">
        <v>31</v>
      </c>
      <c r="J2945" s="8" t="s">
        <v>292</v>
      </c>
      <c r="K2945" s="10" t="s">
        <v>12835</v>
      </c>
      <c r="L2945" s="8" t="s">
        <v>58</v>
      </c>
      <c r="M2945" s="8" t="s">
        <v>35</v>
      </c>
      <c r="N2945" s="11">
        <v>45155.0</v>
      </c>
      <c r="O2945" s="11">
        <v>45194.0</v>
      </c>
      <c r="P2945" s="11">
        <v>45236.0</v>
      </c>
      <c r="Q2945" s="11">
        <v>45195.0</v>
      </c>
      <c r="R2945" s="11">
        <v>45236.0</v>
      </c>
      <c r="S2945" s="12"/>
      <c r="T2945" s="8"/>
      <c r="U2945" s="8" t="s">
        <v>88</v>
      </c>
      <c r="V2945" s="13" t="s">
        <v>796</v>
      </c>
      <c r="W2945" s="13" t="s">
        <v>14030</v>
      </c>
      <c r="X2945" s="12"/>
      <c r="Y2945" s="14"/>
      <c r="Z2945" s="14"/>
    </row>
    <row r="2946">
      <c r="A2946" s="8" t="s">
        <v>14031</v>
      </c>
      <c r="B2946" s="8" t="s">
        <v>14032</v>
      </c>
      <c r="C2946" s="8" t="s">
        <v>179</v>
      </c>
      <c r="D2946" s="8" t="s">
        <v>26</v>
      </c>
      <c r="E2946" s="8" t="s">
        <v>14033</v>
      </c>
      <c r="F2946" s="8">
        <v>5.013545722E9</v>
      </c>
      <c r="G2946" s="8" t="s">
        <v>31</v>
      </c>
      <c r="H2946" s="8" t="s">
        <v>542</v>
      </c>
      <c r="I2946" s="8" t="s">
        <v>29</v>
      </c>
      <c r="J2946" s="8" t="s">
        <v>2448</v>
      </c>
      <c r="K2946" s="10" t="s">
        <v>10882</v>
      </c>
      <c r="L2946" s="8" t="s">
        <v>58</v>
      </c>
      <c r="M2946" s="8" t="s">
        <v>35</v>
      </c>
      <c r="N2946" s="11">
        <v>45155.0</v>
      </c>
      <c r="O2946" s="11">
        <v>45356.0</v>
      </c>
      <c r="P2946" s="11">
        <v>45398.0</v>
      </c>
      <c r="Q2946" s="11"/>
      <c r="R2946" s="11"/>
      <c r="S2946" s="12"/>
      <c r="T2946" s="8"/>
      <c r="U2946" s="8" t="s">
        <v>130</v>
      </c>
      <c r="V2946" s="13" t="s">
        <v>545</v>
      </c>
      <c r="W2946" s="13" t="s">
        <v>14034</v>
      </c>
      <c r="X2946" s="12"/>
      <c r="Y2946" s="14"/>
      <c r="Z2946" s="14"/>
    </row>
    <row r="2947">
      <c r="A2947" s="8" t="s">
        <v>14035</v>
      </c>
      <c r="B2947" s="8" t="s">
        <v>14036</v>
      </c>
      <c r="C2947" s="8" t="s">
        <v>179</v>
      </c>
      <c r="D2947" s="8" t="s">
        <v>26</v>
      </c>
      <c r="E2947" s="8" t="s">
        <v>14037</v>
      </c>
      <c r="F2947" s="8">
        <v>1.00843501E9</v>
      </c>
      <c r="G2947" s="8" t="s">
        <v>284</v>
      </c>
      <c r="H2947" s="8" t="s">
        <v>793</v>
      </c>
      <c r="I2947" s="8" t="s">
        <v>31</v>
      </c>
      <c r="J2947" s="8" t="s">
        <v>32</v>
      </c>
      <c r="K2947" s="10" t="s">
        <v>14038</v>
      </c>
      <c r="L2947" s="8" t="s">
        <v>58</v>
      </c>
      <c r="M2947" s="8" t="s">
        <v>35</v>
      </c>
      <c r="N2947" s="11">
        <v>45155.0</v>
      </c>
      <c r="O2947" s="11">
        <v>45165.0</v>
      </c>
      <c r="P2947" s="11">
        <v>45207.0</v>
      </c>
      <c r="Q2947" s="11"/>
      <c r="R2947" s="11"/>
      <c r="S2947" s="12"/>
      <c r="T2947" s="8"/>
      <c r="U2947" s="8" t="s">
        <v>161</v>
      </c>
      <c r="V2947" s="13" t="s">
        <v>793</v>
      </c>
      <c r="W2947" s="13" t="s">
        <v>14039</v>
      </c>
      <c r="X2947" s="12"/>
      <c r="Y2947" s="14"/>
      <c r="Z2947" s="14"/>
    </row>
    <row r="2948">
      <c r="A2948" s="8" t="s">
        <v>14040</v>
      </c>
      <c r="B2948" s="8" t="s">
        <v>14041</v>
      </c>
      <c r="C2948" s="8" t="s">
        <v>179</v>
      </c>
      <c r="D2948" s="8" t="s">
        <v>26</v>
      </c>
      <c r="E2948" s="8" t="s">
        <v>14042</v>
      </c>
      <c r="F2948" s="8">
        <v>5.438238959E9</v>
      </c>
      <c r="G2948" s="8" t="s">
        <v>31</v>
      </c>
      <c r="H2948" s="8" t="s">
        <v>32</v>
      </c>
      <c r="I2948" s="8" t="s">
        <v>109</v>
      </c>
      <c r="J2948" s="8" t="s">
        <v>875</v>
      </c>
      <c r="K2948" s="10" t="s">
        <v>14043</v>
      </c>
      <c r="L2948" s="8" t="s">
        <v>34</v>
      </c>
      <c r="M2948" s="8" t="s">
        <v>70</v>
      </c>
      <c r="N2948" s="11">
        <v>45155.0</v>
      </c>
      <c r="O2948" s="11">
        <v>45180.0</v>
      </c>
      <c r="P2948" s="11">
        <v>45546.0</v>
      </c>
      <c r="Q2948" s="11"/>
      <c r="R2948" s="11"/>
      <c r="S2948" s="12"/>
      <c r="T2948" s="8" t="s">
        <v>1187</v>
      </c>
      <c r="U2948" s="8" t="s">
        <v>14044</v>
      </c>
      <c r="V2948" s="13" t="s">
        <v>38</v>
      </c>
      <c r="W2948" s="13" t="s">
        <v>14045</v>
      </c>
      <c r="X2948" s="12"/>
      <c r="Y2948" s="14"/>
      <c r="Z2948" s="14"/>
    </row>
    <row r="2949">
      <c r="A2949" s="8" t="s">
        <v>14046</v>
      </c>
      <c r="B2949" s="8" t="s">
        <v>14047</v>
      </c>
      <c r="C2949" s="8" t="s">
        <v>25</v>
      </c>
      <c r="D2949" s="8" t="s">
        <v>26</v>
      </c>
      <c r="E2949" s="8" t="s">
        <v>14048</v>
      </c>
      <c r="F2949" s="8">
        <v>5.426436973E9</v>
      </c>
      <c r="G2949" s="8" t="s">
        <v>31</v>
      </c>
      <c r="H2949" s="8" t="s">
        <v>102</v>
      </c>
      <c r="I2949" s="8" t="s">
        <v>29</v>
      </c>
      <c r="J2949" s="8" t="s">
        <v>2269</v>
      </c>
      <c r="K2949" s="10" t="s">
        <v>14049</v>
      </c>
      <c r="L2949" s="8" t="s">
        <v>58</v>
      </c>
      <c r="M2949" s="8" t="s">
        <v>35</v>
      </c>
      <c r="N2949" s="11">
        <v>45155.0</v>
      </c>
      <c r="O2949" s="11">
        <v>45187.0</v>
      </c>
      <c r="P2949" s="11">
        <v>45229.0</v>
      </c>
      <c r="Q2949" s="11"/>
      <c r="R2949" s="11">
        <v>45229.0</v>
      </c>
      <c r="S2949" s="12"/>
      <c r="T2949" s="8"/>
      <c r="U2949" s="8" t="s">
        <v>632</v>
      </c>
      <c r="V2949" s="13" t="s">
        <v>102</v>
      </c>
      <c r="W2949" s="13" t="s">
        <v>14050</v>
      </c>
      <c r="X2949" s="12"/>
      <c r="Y2949" s="14"/>
      <c r="Z2949" s="14"/>
    </row>
    <row r="2950">
      <c r="A2950" s="8" t="s">
        <v>14051</v>
      </c>
      <c r="B2950" s="8" t="s">
        <v>14052</v>
      </c>
      <c r="C2950" s="8" t="s">
        <v>179</v>
      </c>
      <c r="D2950" s="8" t="s">
        <v>26</v>
      </c>
      <c r="E2950" s="8" t="s">
        <v>14053</v>
      </c>
      <c r="F2950" s="8">
        <v>7.97157825E8</v>
      </c>
      <c r="G2950" s="8" t="s">
        <v>1074</v>
      </c>
      <c r="H2950" s="8" t="s">
        <v>1075</v>
      </c>
      <c r="I2950" s="8" t="s">
        <v>31</v>
      </c>
      <c r="J2950" s="8" t="s">
        <v>32</v>
      </c>
      <c r="K2950" s="10" t="s">
        <v>13914</v>
      </c>
      <c r="L2950" s="8" t="s">
        <v>58</v>
      </c>
      <c r="M2950" s="8" t="s">
        <v>35</v>
      </c>
      <c r="N2950" s="11">
        <v>45156.0</v>
      </c>
      <c r="O2950" s="11">
        <v>45159.0</v>
      </c>
      <c r="P2950" s="11">
        <v>45201.0</v>
      </c>
      <c r="Q2950" s="11"/>
      <c r="R2950" s="11"/>
      <c r="S2950" s="12"/>
      <c r="T2950" s="8"/>
      <c r="U2950" s="8" t="s">
        <v>161</v>
      </c>
      <c r="V2950" s="13" t="s">
        <v>14054</v>
      </c>
      <c r="W2950" s="13" t="s">
        <v>14055</v>
      </c>
      <c r="X2950" s="12"/>
      <c r="Y2950" s="14"/>
      <c r="Z2950" s="14"/>
    </row>
    <row r="2951">
      <c r="A2951" s="8" t="s">
        <v>14056</v>
      </c>
      <c r="B2951" s="8" t="s">
        <v>14057</v>
      </c>
      <c r="C2951" s="8" t="s">
        <v>179</v>
      </c>
      <c r="D2951" s="8" t="s">
        <v>26</v>
      </c>
      <c r="E2951" s="8" t="s">
        <v>14058</v>
      </c>
      <c r="F2951" s="8">
        <v>5.551073416E9</v>
      </c>
      <c r="G2951" s="8" t="s">
        <v>31</v>
      </c>
      <c r="H2951" s="8" t="s">
        <v>111</v>
      </c>
      <c r="I2951" s="8" t="s">
        <v>284</v>
      </c>
      <c r="J2951" s="8" t="s">
        <v>1359</v>
      </c>
      <c r="K2951" s="10" t="s">
        <v>14059</v>
      </c>
      <c r="L2951" s="8" t="s">
        <v>58</v>
      </c>
      <c r="M2951" s="8" t="s">
        <v>35</v>
      </c>
      <c r="N2951" s="11">
        <v>45156.0</v>
      </c>
      <c r="O2951" s="11">
        <v>45250.0</v>
      </c>
      <c r="P2951" s="11">
        <v>45292.0</v>
      </c>
      <c r="Q2951" s="11"/>
      <c r="R2951" s="11"/>
      <c r="S2951" s="12"/>
      <c r="T2951" s="8"/>
      <c r="U2951" s="8" t="s">
        <v>1038</v>
      </c>
      <c r="V2951" s="13" t="s">
        <v>111</v>
      </c>
      <c r="W2951" s="13" t="s">
        <v>14060</v>
      </c>
      <c r="X2951" s="12"/>
      <c r="Y2951" s="14"/>
      <c r="Z2951" s="14"/>
    </row>
    <row r="2952">
      <c r="A2952" s="8" t="s">
        <v>14061</v>
      </c>
      <c r="B2952" s="8" t="s">
        <v>14062</v>
      </c>
      <c r="C2952" s="8" t="s">
        <v>25</v>
      </c>
      <c r="D2952" s="8" t="s">
        <v>26</v>
      </c>
      <c r="E2952" s="8" t="s">
        <v>14063</v>
      </c>
      <c r="F2952" s="8"/>
      <c r="G2952" s="8" t="s">
        <v>1620</v>
      </c>
      <c r="H2952" s="8" t="s">
        <v>3655</v>
      </c>
      <c r="I2952" s="8" t="s">
        <v>31</v>
      </c>
      <c r="J2952" s="8" t="s">
        <v>43</v>
      </c>
      <c r="K2952" s="10" t="s">
        <v>13706</v>
      </c>
      <c r="L2952" s="8" t="s">
        <v>58</v>
      </c>
      <c r="M2952" s="8" t="s">
        <v>35</v>
      </c>
      <c r="N2952" s="11">
        <v>45156.0</v>
      </c>
      <c r="O2952" s="11">
        <v>45180.0</v>
      </c>
      <c r="P2952" s="11">
        <v>45222.0</v>
      </c>
      <c r="Q2952" s="11">
        <v>45180.0</v>
      </c>
      <c r="R2952" s="11">
        <v>45222.0</v>
      </c>
      <c r="S2952" s="12"/>
      <c r="T2952" s="8"/>
      <c r="U2952" s="8" t="s">
        <v>632</v>
      </c>
      <c r="V2952" s="13" t="s">
        <v>38</v>
      </c>
      <c r="W2952" s="13" t="s">
        <v>14064</v>
      </c>
      <c r="X2952" s="12"/>
      <c r="Y2952" s="14"/>
      <c r="Z2952" s="14"/>
    </row>
    <row r="2953">
      <c r="A2953" s="8" t="s">
        <v>14065</v>
      </c>
      <c r="B2953" s="8" t="s">
        <v>14066</v>
      </c>
      <c r="C2953" s="8" t="s">
        <v>708</v>
      </c>
      <c r="D2953" s="8" t="s">
        <v>26</v>
      </c>
      <c r="E2953" s="8" t="s">
        <v>14067</v>
      </c>
      <c r="F2953" s="8">
        <v>2.9573606E7</v>
      </c>
      <c r="G2953" s="8" t="s">
        <v>54</v>
      </c>
      <c r="H2953" s="8" t="s">
        <v>76</v>
      </c>
      <c r="I2953" s="8" t="s">
        <v>31</v>
      </c>
      <c r="J2953" s="8" t="s">
        <v>77</v>
      </c>
      <c r="K2953" s="10" t="s">
        <v>14068</v>
      </c>
      <c r="L2953" s="8" t="s">
        <v>47</v>
      </c>
      <c r="M2953" s="8" t="s">
        <v>70</v>
      </c>
      <c r="N2953" s="11">
        <v>45156.0</v>
      </c>
      <c r="O2953" s="11">
        <v>45170.0</v>
      </c>
      <c r="P2953" s="11">
        <v>45374.0</v>
      </c>
      <c r="Q2953" s="11">
        <v>45179.0</v>
      </c>
      <c r="R2953" s="11">
        <v>45466.0</v>
      </c>
      <c r="S2953" s="12"/>
      <c r="T2953" s="8"/>
      <c r="U2953" s="8" t="s">
        <v>14069</v>
      </c>
      <c r="V2953" s="13" t="s">
        <v>491</v>
      </c>
      <c r="W2953" s="13" t="s">
        <v>14070</v>
      </c>
      <c r="X2953" s="12"/>
      <c r="Y2953" s="14"/>
      <c r="Z2953" s="14"/>
    </row>
    <row r="2954">
      <c r="A2954" s="8" t="s">
        <v>14071</v>
      </c>
      <c r="B2954" s="8" t="s">
        <v>14072</v>
      </c>
      <c r="C2954" s="8" t="s">
        <v>708</v>
      </c>
      <c r="D2954" s="8" t="s">
        <v>26</v>
      </c>
      <c r="E2954" s="8" t="s">
        <v>14073</v>
      </c>
      <c r="F2954" s="8">
        <v>5.4051532E7</v>
      </c>
      <c r="G2954" s="8" t="s">
        <v>54</v>
      </c>
      <c r="H2954" s="8" t="s">
        <v>237</v>
      </c>
      <c r="I2954" s="8" t="s">
        <v>31</v>
      </c>
      <c r="J2954" s="8" t="s">
        <v>77</v>
      </c>
      <c r="K2954" s="10" t="s">
        <v>820</v>
      </c>
      <c r="L2954" s="8" t="s">
        <v>47</v>
      </c>
      <c r="M2954" s="8" t="s">
        <v>70</v>
      </c>
      <c r="N2954" s="11">
        <v>45156.0</v>
      </c>
      <c r="O2954" s="11">
        <v>45173.0</v>
      </c>
      <c r="P2954" s="11">
        <v>45457.0</v>
      </c>
      <c r="Q2954" s="11">
        <v>45179.0</v>
      </c>
      <c r="R2954" s="11">
        <v>45464.0</v>
      </c>
      <c r="S2954" s="12"/>
      <c r="T2954" s="8"/>
      <c r="U2954" s="8" t="s">
        <v>821</v>
      </c>
      <c r="V2954" s="13" t="s">
        <v>1788</v>
      </c>
      <c r="W2954" s="13" t="s">
        <v>14074</v>
      </c>
      <c r="X2954" s="12"/>
      <c r="Y2954" s="14"/>
      <c r="Z2954" s="14"/>
    </row>
    <row r="2955">
      <c r="A2955" s="8" t="s">
        <v>14075</v>
      </c>
      <c r="B2955" s="8" t="s">
        <v>14076</v>
      </c>
      <c r="C2955" s="8" t="s">
        <v>179</v>
      </c>
      <c r="D2955" s="8" t="s">
        <v>26</v>
      </c>
      <c r="E2955" s="8" t="s">
        <v>14077</v>
      </c>
      <c r="F2955" s="8">
        <v>6.89481036E8</v>
      </c>
      <c r="G2955" s="8" t="s">
        <v>84</v>
      </c>
      <c r="H2955" s="8" t="s">
        <v>1234</v>
      </c>
      <c r="I2955" s="8" t="s">
        <v>31</v>
      </c>
      <c r="J2955" s="8" t="s">
        <v>111</v>
      </c>
      <c r="K2955" s="10" t="s">
        <v>13356</v>
      </c>
      <c r="L2955" s="8" t="s">
        <v>47</v>
      </c>
      <c r="M2955" s="8" t="s">
        <v>70</v>
      </c>
      <c r="N2955" s="11">
        <v>45157.0</v>
      </c>
      <c r="O2955" s="11">
        <v>45173.0</v>
      </c>
      <c r="P2955" s="11">
        <v>45536.0</v>
      </c>
      <c r="Q2955" s="11"/>
      <c r="R2955" s="11"/>
      <c r="S2955" s="12"/>
      <c r="T2955" s="8"/>
      <c r="U2955" s="8" t="s">
        <v>246</v>
      </c>
      <c r="V2955" s="13" t="s">
        <v>13114</v>
      </c>
      <c r="W2955" s="13" t="s">
        <v>14078</v>
      </c>
      <c r="X2955" s="12"/>
      <c r="Y2955" s="14"/>
      <c r="Z2955" s="14"/>
    </row>
    <row r="2956">
      <c r="A2956" s="8" t="s">
        <v>14079</v>
      </c>
      <c r="B2956" s="8" t="s">
        <v>14080</v>
      </c>
      <c r="C2956" s="8" t="s">
        <v>179</v>
      </c>
      <c r="D2956" s="8" t="s">
        <v>26</v>
      </c>
      <c r="E2956" s="8" t="s">
        <v>14081</v>
      </c>
      <c r="F2956" s="8">
        <v>1.029002655E9</v>
      </c>
      <c r="G2956" s="8" t="s">
        <v>284</v>
      </c>
      <c r="H2956" s="8" t="s">
        <v>625</v>
      </c>
      <c r="I2956" s="8" t="s">
        <v>31</v>
      </c>
      <c r="J2956" s="8" t="s">
        <v>292</v>
      </c>
      <c r="K2956" s="10" t="s">
        <v>11481</v>
      </c>
      <c r="L2956" s="8" t="s">
        <v>58</v>
      </c>
      <c r="M2956" s="8" t="s">
        <v>35</v>
      </c>
      <c r="N2956" s="11">
        <v>45157.0</v>
      </c>
      <c r="O2956" s="11">
        <v>45414.0</v>
      </c>
      <c r="P2956" s="11">
        <v>45456.0</v>
      </c>
      <c r="Q2956" s="11"/>
      <c r="R2956" s="11"/>
      <c r="S2956" s="12"/>
      <c r="T2956" s="8"/>
      <c r="U2956" s="8" t="s">
        <v>88</v>
      </c>
      <c r="V2956" s="13" t="s">
        <v>626</v>
      </c>
      <c r="W2956" s="13" t="s">
        <v>14082</v>
      </c>
      <c r="X2956" s="12"/>
      <c r="Y2956" s="14"/>
      <c r="Z2956" s="14"/>
    </row>
    <row r="2957">
      <c r="A2957" s="8" t="s">
        <v>14083</v>
      </c>
      <c r="B2957" s="8" t="s">
        <v>14084</v>
      </c>
      <c r="C2957" s="8" t="s">
        <v>64</v>
      </c>
      <c r="D2957" s="8" t="s">
        <v>26</v>
      </c>
      <c r="E2957" s="8" t="s">
        <v>14085</v>
      </c>
      <c r="F2957" s="8">
        <v>9.7663646E7</v>
      </c>
      <c r="G2957" s="8" t="s">
        <v>54</v>
      </c>
      <c r="H2957" s="8" t="s">
        <v>135</v>
      </c>
      <c r="I2957" s="8" t="s">
        <v>31</v>
      </c>
      <c r="J2957" s="8" t="s">
        <v>292</v>
      </c>
      <c r="K2957" s="10" t="s">
        <v>12835</v>
      </c>
      <c r="L2957" s="8" t="s">
        <v>58</v>
      </c>
      <c r="M2957" s="8" t="s">
        <v>35</v>
      </c>
      <c r="N2957" s="11">
        <v>45157.0</v>
      </c>
      <c r="O2957" s="11">
        <v>45236.0</v>
      </c>
      <c r="P2957" s="11">
        <v>45278.0</v>
      </c>
      <c r="Q2957" s="11">
        <v>45236.0</v>
      </c>
      <c r="R2957" s="11">
        <v>45278.0</v>
      </c>
      <c r="S2957" s="12"/>
      <c r="T2957" s="8"/>
      <c r="U2957" s="8" t="s">
        <v>88</v>
      </c>
      <c r="V2957" s="13" t="s">
        <v>138</v>
      </c>
      <c r="W2957" s="13" t="s">
        <v>14086</v>
      </c>
      <c r="X2957" s="12"/>
      <c r="Y2957" s="14"/>
      <c r="Z2957" s="14"/>
    </row>
    <row r="2958">
      <c r="A2958" s="8" t="s">
        <v>14087</v>
      </c>
      <c r="B2958" s="8" t="s">
        <v>14088</v>
      </c>
      <c r="C2958" s="8" t="s">
        <v>708</v>
      </c>
      <c r="D2958" s="8" t="s">
        <v>26</v>
      </c>
      <c r="E2958" s="8" t="s">
        <v>14089</v>
      </c>
      <c r="F2958" s="8">
        <v>1.205256414E9</v>
      </c>
      <c r="G2958" s="8" t="s">
        <v>284</v>
      </c>
      <c r="H2958" s="8" t="s">
        <v>673</v>
      </c>
      <c r="I2958" s="8" t="s">
        <v>31</v>
      </c>
      <c r="J2958" s="8" t="s">
        <v>542</v>
      </c>
      <c r="K2958" s="10" t="s">
        <v>8953</v>
      </c>
      <c r="L2958" s="8" t="s">
        <v>34</v>
      </c>
      <c r="M2958" s="8" t="s">
        <v>70</v>
      </c>
      <c r="N2958" s="11">
        <v>45158.0</v>
      </c>
      <c r="O2958" s="11">
        <v>45194.0</v>
      </c>
      <c r="P2958" s="11">
        <v>45551.0</v>
      </c>
      <c r="Q2958" s="11">
        <v>45224.0</v>
      </c>
      <c r="R2958" s="11">
        <v>45587.0</v>
      </c>
      <c r="S2958" s="12"/>
      <c r="T2958" s="8" t="s">
        <v>36</v>
      </c>
      <c r="U2958" s="8" t="s">
        <v>8954</v>
      </c>
      <c r="V2958" s="13" t="s">
        <v>674</v>
      </c>
      <c r="W2958" s="13" t="s">
        <v>14090</v>
      </c>
      <c r="X2958" s="12"/>
      <c r="Y2958" s="14"/>
      <c r="Z2958" s="14"/>
    </row>
    <row r="2959">
      <c r="A2959" s="8" t="s">
        <v>14091</v>
      </c>
      <c r="B2959" s="8" t="s">
        <v>3210</v>
      </c>
      <c r="C2959" s="8" t="s">
        <v>708</v>
      </c>
      <c r="D2959" s="8" t="s">
        <v>26</v>
      </c>
      <c r="E2959" s="8" t="s">
        <v>14092</v>
      </c>
      <c r="F2959" s="8">
        <v>5.459040736E9</v>
      </c>
      <c r="G2959" s="8" t="s">
        <v>31</v>
      </c>
      <c r="H2959" s="8" t="s">
        <v>77</v>
      </c>
      <c r="I2959" s="8" t="s">
        <v>127</v>
      </c>
      <c r="J2959" s="8" t="s">
        <v>2182</v>
      </c>
      <c r="K2959" s="10" t="s">
        <v>13569</v>
      </c>
      <c r="L2959" s="8" t="s">
        <v>58</v>
      </c>
      <c r="M2959" s="8" t="s">
        <v>35</v>
      </c>
      <c r="N2959" s="11">
        <v>45159.0</v>
      </c>
      <c r="O2959" s="11">
        <v>45299.0</v>
      </c>
      <c r="P2959" s="11">
        <v>45341.0</v>
      </c>
      <c r="Q2959" s="11">
        <v>45298.0</v>
      </c>
      <c r="R2959" s="11">
        <v>45341.0</v>
      </c>
      <c r="S2959" s="12"/>
      <c r="T2959" s="8"/>
      <c r="U2959" s="8" t="s">
        <v>1956</v>
      </c>
      <c r="V2959" s="13" t="s">
        <v>3212</v>
      </c>
      <c r="W2959" s="13" t="s">
        <v>14093</v>
      </c>
      <c r="X2959" s="12"/>
      <c r="Y2959" s="14"/>
      <c r="Z2959" s="14"/>
    </row>
    <row r="2960">
      <c r="A2960" s="8" t="s">
        <v>14094</v>
      </c>
      <c r="B2960" s="8" t="s">
        <v>14095</v>
      </c>
      <c r="C2960" s="8" t="s">
        <v>179</v>
      </c>
      <c r="D2960" s="8" t="s">
        <v>26</v>
      </c>
      <c r="E2960" s="8" t="s">
        <v>14096</v>
      </c>
      <c r="F2960" s="8">
        <v>5.388567916E9</v>
      </c>
      <c r="G2960" s="8" t="s">
        <v>31</v>
      </c>
      <c r="H2960" s="8" t="s">
        <v>292</v>
      </c>
      <c r="I2960" s="8" t="s">
        <v>10035</v>
      </c>
      <c r="J2960" s="8" t="s">
        <v>14097</v>
      </c>
      <c r="K2960" s="10" t="s">
        <v>14098</v>
      </c>
      <c r="L2960" s="8" t="s">
        <v>34</v>
      </c>
      <c r="M2960" s="8" t="s">
        <v>70</v>
      </c>
      <c r="N2960" s="11">
        <v>45159.0</v>
      </c>
      <c r="O2960" s="11">
        <v>45139.0</v>
      </c>
      <c r="P2960" s="11">
        <v>45504.0</v>
      </c>
      <c r="Q2960" s="11"/>
      <c r="R2960" s="11"/>
      <c r="S2960" s="12"/>
      <c r="T2960" s="8" t="s">
        <v>36</v>
      </c>
      <c r="U2960" s="8" t="s">
        <v>14099</v>
      </c>
      <c r="V2960" s="13" t="s">
        <v>292</v>
      </c>
      <c r="W2960" s="13" t="s">
        <v>14100</v>
      </c>
      <c r="X2960" s="12"/>
      <c r="Y2960" s="14"/>
      <c r="Z2960" s="14"/>
    </row>
    <row r="2961">
      <c r="A2961" s="8" t="s">
        <v>14101</v>
      </c>
      <c r="B2961" s="8" t="s">
        <v>14102</v>
      </c>
      <c r="C2961" s="8" t="s">
        <v>708</v>
      </c>
      <c r="D2961" s="8" t="s">
        <v>26</v>
      </c>
      <c r="E2961" s="8" t="s">
        <v>14103</v>
      </c>
      <c r="F2961" s="8">
        <v>9.8247039E7</v>
      </c>
      <c r="G2961" s="8" t="s">
        <v>54</v>
      </c>
      <c r="H2961" s="8" t="s">
        <v>244</v>
      </c>
      <c r="I2961" s="8" t="s">
        <v>31</v>
      </c>
      <c r="J2961" s="8" t="s">
        <v>77</v>
      </c>
      <c r="K2961" s="10" t="s">
        <v>1049</v>
      </c>
      <c r="L2961" s="8" t="s">
        <v>47</v>
      </c>
      <c r="M2961" s="8" t="s">
        <v>70</v>
      </c>
      <c r="N2961" s="11">
        <v>45159.0</v>
      </c>
      <c r="O2961" s="11">
        <v>45187.0</v>
      </c>
      <c r="P2961" s="11">
        <v>45474.0</v>
      </c>
      <c r="Q2961" s="11">
        <v>45189.0</v>
      </c>
      <c r="R2961" s="11">
        <v>45476.0</v>
      </c>
      <c r="S2961" s="12"/>
      <c r="T2961" s="8"/>
      <c r="U2961" s="8" t="s">
        <v>1050</v>
      </c>
      <c r="V2961" s="13" t="s">
        <v>247</v>
      </c>
      <c r="W2961" s="13" t="s">
        <v>14104</v>
      </c>
      <c r="X2961" s="12"/>
      <c r="Y2961" s="14"/>
      <c r="Z2961" s="14"/>
    </row>
    <row r="2962">
      <c r="A2962" s="8" t="s">
        <v>14105</v>
      </c>
      <c r="B2962" s="8" t="s">
        <v>13531</v>
      </c>
      <c r="C2962" s="8" t="s">
        <v>708</v>
      </c>
      <c r="D2962" s="8" t="s">
        <v>26</v>
      </c>
      <c r="E2962" s="8" t="s">
        <v>14106</v>
      </c>
      <c r="F2962" s="8"/>
      <c r="G2962" s="8" t="s">
        <v>31</v>
      </c>
      <c r="H2962" s="8" t="s">
        <v>292</v>
      </c>
      <c r="I2962" s="8" t="s">
        <v>284</v>
      </c>
      <c r="J2962" s="8" t="s">
        <v>300</v>
      </c>
      <c r="K2962" s="10" t="s">
        <v>6041</v>
      </c>
      <c r="L2962" s="8" t="s">
        <v>34</v>
      </c>
      <c r="M2962" s="8" t="s">
        <v>35</v>
      </c>
      <c r="N2962" s="11">
        <v>45160.0</v>
      </c>
      <c r="O2962" s="11">
        <v>45245.0</v>
      </c>
      <c r="P2962" s="11">
        <v>45328.0</v>
      </c>
      <c r="Q2962" s="11">
        <v>45247.0</v>
      </c>
      <c r="R2962" s="11">
        <v>45328.0</v>
      </c>
      <c r="S2962" s="12"/>
      <c r="T2962" s="8" t="s">
        <v>36</v>
      </c>
      <c r="U2962" s="8" t="s">
        <v>6042</v>
      </c>
      <c r="V2962" s="13" t="s">
        <v>38</v>
      </c>
      <c r="W2962" s="13" t="s">
        <v>14107</v>
      </c>
      <c r="X2962" s="12"/>
      <c r="Y2962" s="14"/>
      <c r="Z2962" s="14"/>
    </row>
    <row r="2963">
      <c r="A2963" s="8" t="s">
        <v>14108</v>
      </c>
      <c r="B2963" s="8" t="s">
        <v>14109</v>
      </c>
      <c r="C2963" s="8" t="s">
        <v>708</v>
      </c>
      <c r="D2963" s="8" t="s">
        <v>26</v>
      </c>
      <c r="E2963" s="8" t="s">
        <v>14110</v>
      </c>
      <c r="F2963" s="8">
        <v>5.4710198E7</v>
      </c>
      <c r="G2963" s="8" t="s">
        <v>54</v>
      </c>
      <c r="H2963" s="8" t="s">
        <v>237</v>
      </c>
      <c r="I2963" s="8" t="s">
        <v>31</v>
      </c>
      <c r="J2963" s="8" t="s">
        <v>77</v>
      </c>
      <c r="K2963" s="10" t="s">
        <v>14111</v>
      </c>
      <c r="L2963" s="8" t="s">
        <v>47</v>
      </c>
      <c r="M2963" s="8" t="s">
        <v>70</v>
      </c>
      <c r="N2963" s="11">
        <v>45160.0</v>
      </c>
      <c r="O2963" s="11">
        <v>45170.0</v>
      </c>
      <c r="P2963" s="11">
        <v>45457.0</v>
      </c>
      <c r="Q2963" s="11">
        <v>45179.0</v>
      </c>
      <c r="R2963" s="11">
        <v>45467.0</v>
      </c>
      <c r="S2963" s="12"/>
      <c r="T2963" s="8"/>
      <c r="U2963" s="8" t="s">
        <v>14112</v>
      </c>
      <c r="V2963" s="13" t="s">
        <v>1788</v>
      </c>
      <c r="W2963" s="13" t="s">
        <v>14113</v>
      </c>
      <c r="X2963" s="12"/>
      <c r="Y2963" s="14"/>
      <c r="Z2963" s="14"/>
    </row>
    <row r="2964">
      <c r="A2964" s="8" t="s">
        <v>14114</v>
      </c>
      <c r="B2964" s="8" t="s">
        <v>14115</v>
      </c>
      <c r="C2964" s="8" t="s">
        <v>708</v>
      </c>
      <c r="D2964" s="8" t="s">
        <v>26</v>
      </c>
      <c r="E2964" s="8" t="s">
        <v>14116</v>
      </c>
      <c r="F2964" s="8"/>
      <c r="G2964" s="8" t="s">
        <v>54</v>
      </c>
      <c r="H2964" s="8" t="s">
        <v>377</v>
      </c>
      <c r="I2964" s="8" t="s">
        <v>31</v>
      </c>
      <c r="J2964" s="8" t="s">
        <v>77</v>
      </c>
      <c r="K2964" s="10" t="s">
        <v>1179</v>
      </c>
      <c r="L2964" s="8" t="s">
        <v>47</v>
      </c>
      <c r="M2964" s="8" t="s">
        <v>70</v>
      </c>
      <c r="N2964" s="11">
        <v>45160.0</v>
      </c>
      <c r="O2964" s="11">
        <v>45170.0</v>
      </c>
      <c r="P2964" s="11">
        <v>45473.0</v>
      </c>
      <c r="Q2964" s="11">
        <v>45179.0</v>
      </c>
      <c r="R2964" s="11">
        <v>45483.0</v>
      </c>
      <c r="S2964" s="12"/>
      <c r="T2964" s="8"/>
      <c r="U2964" s="8" t="s">
        <v>1180</v>
      </c>
      <c r="V2964" s="13" t="s">
        <v>1604</v>
      </c>
      <c r="W2964" s="13" t="s">
        <v>14117</v>
      </c>
      <c r="X2964" s="12"/>
      <c r="Y2964" s="14"/>
      <c r="Z2964" s="14"/>
    </row>
    <row r="2965">
      <c r="A2965" s="8" t="s">
        <v>14118</v>
      </c>
      <c r="B2965" s="8" t="s">
        <v>14119</v>
      </c>
      <c r="C2965" s="8" t="s">
        <v>708</v>
      </c>
      <c r="D2965" s="8" t="s">
        <v>26</v>
      </c>
      <c r="E2965" s="8" t="s">
        <v>14120</v>
      </c>
      <c r="F2965" s="8">
        <v>6.56366047E8</v>
      </c>
      <c r="G2965" s="8" t="s">
        <v>254</v>
      </c>
      <c r="H2965" s="8" t="s">
        <v>1484</v>
      </c>
      <c r="I2965" s="8" t="s">
        <v>31</v>
      </c>
      <c r="J2965" s="8" t="s">
        <v>77</v>
      </c>
      <c r="K2965" s="10" t="s">
        <v>13456</v>
      </c>
      <c r="L2965" s="8" t="s">
        <v>34</v>
      </c>
      <c r="M2965" s="8" t="s">
        <v>70</v>
      </c>
      <c r="N2965" s="11">
        <v>45160.0</v>
      </c>
      <c r="O2965" s="11">
        <v>45199.0</v>
      </c>
      <c r="P2965" s="11">
        <v>45565.0</v>
      </c>
      <c r="Q2965" s="11">
        <v>45201.0</v>
      </c>
      <c r="R2965" s="11">
        <v>45567.0</v>
      </c>
      <c r="S2965" s="12"/>
      <c r="T2965" s="8" t="s">
        <v>446</v>
      </c>
      <c r="U2965" s="8" t="s">
        <v>13457</v>
      </c>
      <c r="V2965" s="13" t="s">
        <v>1487</v>
      </c>
      <c r="W2965" s="13" t="s">
        <v>14121</v>
      </c>
      <c r="X2965" s="12"/>
      <c r="Y2965" s="14"/>
      <c r="Z2965" s="14"/>
    </row>
    <row r="2966">
      <c r="A2966" s="8" t="s">
        <v>14122</v>
      </c>
      <c r="B2966" s="8" t="s">
        <v>14123</v>
      </c>
      <c r="C2966" s="8" t="s">
        <v>25</v>
      </c>
      <c r="D2966" s="8" t="s">
        <v>26</v>
      </c>
      <c r="E2966" s="8" t="s">
        <v>14124</v>
      </c>
      <c r="F2966" s="8">
        <v>6.985701563E9</v>
      </c>
      <c r="G2966" s="8" t="s">
        <v>143</v>
      </c>
      <c r="H2966" s="8" t="s">
        <v>4212</v>
      </c>
      <c r="I2966" s="8" t="s">
        <v>31</v>
      </c>
      <c r="J2966" s="8" t="s">
        <v>292</v>
      </c>
      <c r="K2966" s="10" t="s">
        <v>12835</v>
      </c>
      <c r="L2966" s="8" t="s">
        <v>58</v>
      </c>
      <c r="M2966" s="8" t="s">
        <v>35</v>
      </c>
      <c r="N2966" s="11">
        <v>45160.0</v>
      </c>
      <c r="O2966" s="11">
        <v>45194.0</v>
      </c>
      <c r="P2966" s="11">
        <v>45236.0</v>
      </c>
      <c r="Q2966" s="11">
        <v>45193.0</v>
      </c>
      <c r="R2966" s="11">
        <v>45236.0</v>
      </c>
      <c r="S2966" s="12"/>
      <c r="T2966" s="8"/>
      <c r="U2966" s="8" t="s">
        <v>88</v>
      </c>
      <c r="V2966" s="13" t="s">
        <v>14125</v>
      </c>
      <c r="W2966" s="13" t="s">
        <v>14126</v>
      </c>
      <c r="X2966" s="12"/>
      <c r="Y2966" s="14"/>
      <c r="Z2966" s="14"/>
    </row>
    <row r="2967">
      <c r="A2967" s="8" t="s">
        <v>14127</v>
      </c>
      <c r="B2967" s="8" t="s">
        <v>14128</v>
      </c>
      <c r="C2967" s="8" t="s">
        <v>179</v>
      </c>
      <c r="D2967" s="8" t="s">
        <v>26</v>
      </c>
      <c r="E2967" s="8" t="s">
        <v>14129</v>
      </c>
      <c r="F2967" s="8">
        <v>6.43910532E8</v>
      </c>
      <c r="G2967" s="8" t="s">
        <v>84</v>
      </c>
      <c r="H2967" s="8" t="s">
        <v>85</v>
      </c>
      <c r="I2967" s="8" t="s">
        <v>31</v>
      </c>
      <c r="J2967" s="8" t="s">
        <v>56</v>
      </c>
      <c r="K2967" s="10" t="s">
        <v>12274</v>
      </c>
      <c r="L2967" s="8" t="s">
        <v>58</v>
      </c>
      <c r="M2967" s="8" t="s">
        <v>35</v>
      </c>
      <c r="N2967" s="11">
        <v>45160.0</v>
      </c>
      <c r="O2967" s="11">
        <v>45180.0</v>
      </c>
      <c r="P2967" s="11">
        <v>45222.0</v>
      </c>
      <c r="Q2967" s="11"/>
      <c r="R2967" s="11"/>
      <c r="S2967" s="12"/>
      <c r="T2967" s="8"/>
      <c r="U2967" s="8" t="s">
        <v>161</v>
      </c>
      <c r="V2967" s="13" t="s">
        <v>5502</v>
      </c>
      <c r="W2967" s="13" t="s">
        <v>14130</v>
      </c>
      <c r="X2967" s="12"/>
      <c r="Y2967" s="14"/>
      <c r="Z2967" s="14"/>
    </row>
    <row r="2968">
      <c r="A2968" s="8" t="s">
        <v>14131</v>
      </c>
      <c r="B2968" s="8" t="s">
        <v>14132</v>
      </c>
      <c r="C2968" s="8" t="s">
        <v>179</v>
      </c>
      <c r="D2968" s="8" t="s">
        <v>26</v>
      </c>
      <c r="E2968" s="8" t="s">
        <v>14133</v>
      </c>
      <c r="F2968" s="8">
        <v>2.0582819E7</v>
      </c>
      <c r="G2968" s="8" t="s">
        <v>54</v>
      </c>
      <c r="H2968" s="8" t="s">
        <v>135</v>
      </c>
      <c r="I2968" s="8" t="s">
        <v>31</v>
      </c>
      <c r="J2968" s="8" t="s">
        <v>77</v>
      </c>
      <c r="K2968" s="10" t="s">
        <v>4188</v>
      </c>
      <c r="L2968" s="8" t="s">
        <v>58</v>
      </c>
      <c r="M2968" s="8" t="s">
        <v>35</v>
      </c>
      <c r="N2968" s="11">
        <v>45160.0</v>
      </c>
      <c r="O2968" s="11">
        <v>45458.0</v>
      </c>
      <c r="P2968" s="11">
        <v>45500.0</v>
      </c>
      <c r="Q2968" s="11"/>
      <c r="R2968" s="11"/>
      <c r="S2968" s="12"/>
      <c r="T2968" s="8"/>
      <c r="U2968" s="8" t="s">
        <v>59</v>
      </c>
      <c r="V2968" s="13" t="s">
        <v>14134</v>
      </c>
      <c r="W2968" s="13" t="s">
        <v>14135</v>
      </c>
      <c r="X2968" s="12"/>
      <c r="Y2968" s="14"/>
      <c r="Z2968" s="14"/>
    </row>
    <row r="2969">
      <c r="A2969" s="8" t="s">
        <v>14136</v>
      </c>
      <c r="B2969" s="8" t="s">
        <v>14137</v>
      </c>
      <c r="C2969" s="8" t="s">
        <v>179</v>
      </c>
      <c r="D2969" s="8" t="s">
        <v>26</v>
      </c>
      <c r="E2969" s="8" t="s">
        <v>14138</v>
      </c>
      <c r="F2969" s="8"/>
      <c r="G2969" s="8" t="s">
        <v>1620</v>
      </c>
      <c r="H2969" s="8" t="s">
        <v>1635</v>
      </c>
      <c r="I2969" s="8" t="s">
        <v>31</v>
      </c>
      <c r="J2969" s="8" t="s">
        <v>167</v>
      </c>
      <c r="K2969" s="10" t="s">
        <v>5996</v>
      </c>
      <c r="L2969" s="8" t="s">
        <v>58</v>
      </c>
      <c r="M2969" s="8" t="s">
        <v>35</v>
      </c>
      <c r="N2969" s="11">
        <v>45160.0</v>
      </c>
      <c r="O2969" s="11">
        <v>45488.0</v>
      </c>
      <c r="P2969" s="11">
        <v>45530.0</v>
      </c>
      <c r="Q2969" s="11"/>
      <c r="R2969" s="11"/>
      <c r="S2969" s="12"/>
      <c r="T2969" s="8"/>
      <c r="U2969" s="8" t="s">
        <v>130</v>
      </c>
      <c r="V2969" s="13" t="s">
        <v>38</v>
      </c>
      <c r="W2969" s="13" t="s">
        <v>14139</v>
      </c>
      <c r="X2969" s="12"/>
      <c r="Y2969" s="14"/>
      <c r="Z2969" s="14"/>
    </row>
    <row r="2970">
      <c r="A2970" s="8" t="s">
        <v>14140</v>
      </c>
      <c r="B2970" s="8" t="s">
        <v>1543</v>
      </c>
      <c r="C2970" s="8" t="s">
        <v>708</v>
      </c>
      <c r="D2970" s="8" t="s">
        <v>26</v>
      </c>
      <c r="E2970" s="8" t="s">
        <v>14141</v>
      </c>
      <c r="F2970" s="8">
        <v>5.010727756E9</v>
      </c>
      <c r="G2970" s="8" t="s">
        <v>254</v>
      </c>
      <c r="H2970" s="8" t="s">
        <v>1007</v>
      </c>
      <c r="I2970" s="8" t="s">
        <v>31</v>
      </c>
      <c r="J2970" s="8" t="s">
        <v>292</v>
      </c>
      <c r="K2970" s="10" t="s">
        <v>2936</v>
      </c>
      <c r="L2970" s="8" t="s">
        <v>47</v>
      </c>
      <c r="M2970" s="8" t="s">
        <v>70</v>
      </c>
      <c r="N2970" s="11">
        <v>45160.0</v>
      </c>
      <c r="O2970" s="11">
        <v>45184.0</v>
      </c>
      <c r="P2970" s="11">
        <v>45550.0</v>
      </c>
      <c r="Q2970" s="11">
        <v>45188.0</v>
      </c>
      <c r="R2970" s="11">
        <v>45552.0</v>
      </c>
      <c r="S2970" s="12"/>
      <c r="T2970" s="8"/>
      <c r="U2970" s="8" t="s">
        <v>2937</v>
      </c>
      <c r="V2970" s="13" t="s">
        <v>1249</v>
      </c>
      <c r="W2970" s="13" t="s">
        <v>14142</v>
      </c>
      <c r="X2970" s="12"/>
      <c r="Y2970" s="14"/>
      <c r="Z2970" s="14"/>
    </row>
    <row r="2971">
      <c r="A2971" s="8" t="s">
        <v>14143</v>
      </c>
      <c r="B2971" s="8" t="s">
        <v>14144</v>
      </c>
      <c r="C2971" s="8" t="s">
        <v>179</v>
      </c>
      <c r="D2971" s="8" t="s">
        <v>26</v>
      </c>
      <c r="E2971" s="8" t="s">
        <v>14145</v>
      </c>
      <c r="F2971" s="8">
        <v>6.95118727E8</v>
      </c>
      <c r="G2971" s="8" t="s">
        <v>84</v>
      </c>
      <c r="H2971" s="8" t="s">
        <v>151</v>
      </c>
      <c r="I2971" s="8" t="s">
        <v>31</v>
      </c>
      <c r="J2971" s="8" t="s">
        <v>102</v>
      </c>
      <c r="K2971" s="10" t="s">
        <v>1113</v>
      </c>
      <c r="L2971" s="8" t="s">
        <v>58</v>
      </c>
      <c r="M2971" s="8" t="s">
        <v>35</v>
      </c>
      <c r="N2971" s="11">
        <v>45161.0</v>
      </c>
      <c r="O2971" s="11">
        <v>45208.0</v>
      </c>
      <c r="P2971" s="11">
        <v>45250.0</v>
      </c>
      <c r="Q2971" s="11"/>
      <c r="R2971" s="11"/>
      <c r="S2971" s="12"/>
      <c r="T2971" s="8"/>
      <c r="U2971" s="8" t="s">
        <v>59</v>
      </c>
      <c r="V2971" s="13" t="s">
        <v>38</v>
      </c>
      <c r="W2971" s="13" t="s">
        <v>14146</v>
      </c>
      <c r="X2971" s="12"/>
      <c r="Y2971" s="14"/>
      <c r="Z2971" s="14"/>
    </row>
    <row r="2972">
      <c r="A2972" s="8" t="s">
        <v>14147</v>
      </c>
      <c r="B2972" s="8" t="s">
        <v>14148</v>
      </c>
      <c r="C2972" s="8" t="s">
        <v>179</v>
      </c>
      <c r="D2972" s="8" t="s">
        <v>26</v>
      </c>
      <c r="E2972" s="8" t="s">
        <v>14149</v>
      </c>
      <c r="F2972" s="8"/>
      <c r="G2972" s="8" t="s">
        <v>254</v>
      </c>
      <c r="H2972" s="8" t="s">
        <v>1007</v>
      </c>
      <c r="I2972" s="8" t="s">
        <v>31</v>
      </c>
      <c r="J2972" s="8" t="s">
        <v>256</v>
      </c>
      <c r="K2972" s="10" t="s">
        <v>14150</v>
      </c>
      <c r="L2972" s="8" t="s">
        <v>47</v>
      </c>
      <c r="M2972" s="8" t="s">
        <v>70</v>
      </c>
      <c r="N2972" s="11">
        <v>45161.0</v>
      </c>
      <c r="O2972" s="11">
        <v>45170.0</v>
      </c>
      <c r="P2972" s="11">
        <v>45535.0</v>
      </c>
      <c r="Q2972" s="11"/>
      <c r="R2972" s="11"/>
      <c r="S2972" s="12"/>
      <c r="T2972" s="8"/>
      <c r="U2972" s="8" t="s">
        <v>246</v>
      </c>
      <c r="V2972" s="13" t="s">
        <v>38</v>
      </c>
      <c r="W2972" s="13" t="s">
        <v>14151</v>
      </c>
      <c r="X2972" s="12"/>
      <c r="Y2972" s="14"/>
      <c r="Z2972" s="14"/>
    </row>
    <row r="2973">
      <c r="A2973" s="8" t="s">
        <v>14152</v>
      </c>
      <c r="B2973" s="8" t="s">
        <v>14153</v>
      </c>
      <c r="C2973" s="8" t="s">
        <v>25</v>
      </c>
      <c r="D2973" s="8" t="s">
        <v>26</v>
      </c>
      <c r="E2973" s="8" t="s">
        <v>14154</v>
      </c>
      <c r="F2973" s="8">
        <v>3.343012082E9</v>
      </c>
      <c r="G2973" s="8" t="s">
        <v>29</v>
      </c>
      <c r="H2973" s="8" t="s">
        <v>9867</v>
      </c>
      <c r="I2973" s="8" t="s">
        <v>31</v>
      </c>
      <c r="J2973" s="8" t="s">
        <v>111</v>
      </c>
      <c r="K2973" s="10" t="s">
        <v>345</v>
      </c>
      <c r="L2973" s="8" t="s">
        <v>58</v>
      </c>
      <c r="M2973" s="8" t="s">
        <v>35</v>
      </c>
      <c r="N2973" s="11">
        <v>45161.0</v>
      </c>
      <c r="O2973" s="11">
        <v>45187.0</v>
      </c>
      <c r="P2973" s="11">
        <v>45229.0</v>
      </c>
      <c r="Q2973" s="11">
        <v>45188.0</v>
      </c>
      <c r="R2973" s="11">
        <v>45229.0</v>
      </c>
      <c r="S2973" s="12"/>
      <c r="T2973" s="8"/>
      <c r="U2973" s="8" t="s">
        <v>59</v>
      </c>
      <c r="V2973" s="13" t="s">
        <v>38</v>
      </c>
      <c r="W2973" s="13" t="s">
        <v>14155</v>
      </c>
      <c r="X2973" s="12"/>
      <c r="Y2973" s="14"/>
      <c r="Z2973" s="14"/>
    </row>
    <row r="2974">
      <c r="A2974" s="8" t="s">
        <v>14156</v>
      </c>
      <c r="B2974" s="8" t="s">
        <v>9672</v>
      </c>
      <c r="C2974" s="8" t="s">
        <v>179</v>
      </c>
      <c r="D2974" s="8" t="s">
        <v>26</v>
      </c>
      <c r="E2974" s="8" t="s">
        <v>9673</v>
      </c>
      <c r="F2974" s="8">
        <v>5.388870459E9</v>
      </c>
      <c r="G2974" s="8" t="s">
        <v>31</v>
      </c>
      <c r="H2974" s="8" t="s">
        <v>86</v>
      </c>
      <c r="I2974" s="8" t="s">
        <v>127</v>
      </c>
      <c r="J2974" s="8" t="s">
        <v>128</v>
      </c>
      <c r="K2974" s="10" t="s">
        <v>14157</v>
      </c>
      <c r="L2974" s="8" t="s">
        <v>58</v>
      </c>
      <c r="M2974" s="8" t="s">
        <v>35</v>
      </c>
      <c r="N2974" s="11">
        <v>45161.0</v>
      </c>
      <c r="O2974" s="11">
        <v>45208.0</v>
      </c>
      <c r="P2974" s="11">
        <v>45250.0</v>
      </c>
      <c r="Q2974" s="11"/>
      <c r="R2974" s="11"/>
      <c r="S2974" s="12"/>
      <c r="T2974" s="8"/>
      <c r="U2974" s="8" t="s">
        <v>185</v>
      </c>
      <c r="V2974" s="13" t="s">
        <v>4798</v>
      </c>
      <c r="W2974" s="13" t="s">
        <v>9674</v>
      </c>
      <c r="X2974" s="12"/>
      <c r="Y2974" s="14"/>
      <c r="Z2974" s="14"/>
    </row>
    <row r="2975">
      <c r="A2975" s="8" t="s">
        <v>14158</v>
      </c>
      <c r="B2975" s="8" t="s">
        <v>14159</v>
      </c>
      <c r="C2975" s="8" t="s">
        <v>25</v>
      </c>
      <c r="D2975" s="8" t="s">
        <v>26</v>
      </c>
      <c r="E2975" s="8" t="s">
        <v>14160</v>
      </c>
      <c r="F2975" s="8"/>
      <c r="G2975" s="8" t="s">
        <v>284</v>
      </c>
      <c r="H2975" s="8" t="s">
        <v>300</v>
      </c>
      <c r="I2975" s="8" t="s">
        <v>31</v>
      </c>
      <c r="J2975" s="8" t="s">
        <v>292</v>
      </c>
      <c r="K2975" s="10" t="s">
        <v>12973</v>
      </c>
      <c r="L2975" s="8" t="s">
        <v>58</v>
      </c>
      <c r="M2975" s="8" t="s">
        <v>35</v>
      </c>
      <c r="N2975" s="11">
        <v>45161.0</v>
      </c>
      <c r="O2975" s="11">
        <v>45194.0</v>
      </c>
      <c r="P2975" s="11">
        <v>45236.0</v>
      </c>
      <c r="Q2975" s="11">
        <v>45205.0</v>
      </c>
      <c r="R2975" s="11">
        <v>45247.0</v>
      </c>
      <c r="S2975" s="12"/>
      <c r="T2975" s="8"/>
      <c r="U2975" s="8" t="s">
        <v>88</v>
      </c>
      <c r="V2975" s="13" t="s">
        <v>300</v>
      </c>
      <c r="W2975" s="13" t="s">
        <v>14161</v>
      </c>
      <c r="X2975" s="12"/>
      <c r="Y2975" s="14"/>
      <c r="Z2975" s="14"/>
    </row>
    <row r="2976">
      <c r="A2976" s="8" t="s">
        <v>14162</v>
      </c>
      <c r="B2976" s="8" t="s">
        <v>14163</v>
      </c>
      <c r="C2976" s="8" t="s">
        <v>708</v>
      </c>
      <c r="D2976" s="8" t="s">
        <v>26</v>
      </c>
      <c r="E2976" s="8" t="s">
        <v>14164</v>
      </c>
      <c r="F2976" s="8">
        <v>2.7331213E7</v>
      </c>
      <c r="G2976" s="8" t="s">
        <v>54</v>
      </c>
      <c r="H2976" s="8" t="s">
        <v>377</v>
      </c>
      <c r="I2976" s="8" t="s">
        <v>31</v>
      </c>
      <c r="J2976" s="8" t="s">
        <v>77</v>
      </c>
      <c r="K2976" s="10" t="s">
        <v>2951</v>
      </c>
      <c r="L2976" s="8" t="s">
        <v>47</v>
      </c>
      <c r="M2976" s="8" t="s">
        <v>70</v>
      </c>
      <c r="N2976" s="11">
        <v>45162.0</v>
      </c>
      <c r="O2976" s="11">
        <v>45180.0</v>
      </c>
      <c r="P2976" s="11">
        <v>45546.0</v>
      </c>
      <c r="Q2976" s="11">
        <v>45179.0</v>
      </c>
      <c r="R2976" s="11">
        <v>45546.0</v>
      </c>
      <c r="S2976" s="12"/>
      <c r="T2976" s="8"/>
      <c r="U2976" s="8" t="s">
        <v>2952</v>
      </c>
      <c r="V2976" s="13" t="s">
        <v>1604</v>
      </c>
      <c r="W2976" s="13" t="s">
        <v>14165</v>
      </c>
      <c r="X2976" s="12"/>
      <c r="Y2976" s="14"/>
      <c r="Z2976" s="14"/>
    </row>
    <row r="2977">
      <c r="A2977" s="8" t="s">
        <v>14166</v>
      </c>
      <c r="B2977" s="8" t="s">
        <v>14167</v>
      </c>
      <c r="C2977" s="8" t="s">
        <v>708</v>
      </c>
      <c r="D2977" s="8" t="s">
        <v>26</v>
      </c>
      <c r="E2977" s="8" t="s">
        <v>14168</v>
      </c>
      <c r="F2977" s="8">
        <v>5.5756255E7</v>
      </c>
      <c r="G2977" s="8" t="s">
        <v>54</v>
      </c>
      <c r="H2977" s="8" t="s">
        <v>377</v>
      </c>
      <c r="I2977" s="8" t="s">
        <v>31</v>
      </c>
      <c r="J2977" s="8" t="s">
        <v>77</v>
      </c>
      <c r="K2977" s="10" t="s">
        <v>2951</v>
      </c>
      <c r="L2977" s="8" t="s">
        <v>47</v>
      </c>
      <c r="M2977" s="8" t="s">
        <v>70</v>
      </c>
      <c r="N2977" s="11">
        <v>45162.0</v>
      </c>
      <c r="O2977" s="11">
        <v>45180.0</v>
      </c>
      <c r="P2977" s="11">
        <v>45546.0</v>
      </c>
      <c r="Q2977" s="11">
        <v>45179.0</v>
      </c>
      <c r="R2977" s="11">
        <v>45546.0</v>
      </c>
      <c r="S2977" s="12"/>
      <c r="T2977" s="8"/>
      <c r="U2977" s="8" t="s">
        <v>2952</v>
      </c>
      <c r="V2977" s="13" t="s">
        <v>1604</v>
      </c>
      <c r="W2977" s="13" t="s">
        <v>14169</v>
      </c>
      <c r="X2977" s="12"/>
      <c r="Y2977" s="14"/>
      <c r="Z2977" s="14"/>
    </row>
    <row r="2978">
      <c r="A2978" s="8" t="s">
        <v>14170</v>
      </c>
      <c r="B2978" s="8" t="s">
        <v>14171</v>
      </c>
      <c r="C2978" s="8" t="s">
        <v>708</v>
      </c>
      <c r="D2978" s="8" t="s">
        <v>26</v>
      </c>
      <c r="E2978" s="8" t="s">
        <v>14172</v>
      </c>
      <c r="F2978" s="8">
        <v>1.15153232E9</v>
      </c>
      <c r="G2978" s="8" t="s">
        <v>284</v>
      </c>
      <c r="H2978" s="8" t="s">
        <v>854</v>
      </c>
      <c r="I2978" s="8" t="s">
        <v>31</v>
      </c>
      <c r="J2978" s="8" t="s">
        <v>136</v>
      </c>
      <c r="K2978" s="10" t="s">
        <v>13511</v>
      </c>
      <c r="L2978" s="8" t="s">
        <v>47</v>
      </c>
      <c r="M2978" s="8" t="s">
        <v>48</v>
      </c>
      <c r="N2978" s="11">
        <v>45162.0</v>
      </c>
      <c r="O2978" s="11">
        <v>45187.0</v>
      </c>
      <c r="P2978" s="11">
        <v>45368.0</v>
      </c>
      <c r="Q2978" s="11">
        <v>45207.0</v>
      </c>
      <c r="R2978" s="11">
        <v>45389.0</v>
      </c>
      <c r="S2978" s="12"/>
      <c r="T2978" s="8"/>
      <c r="U2978" s="8" t="s">
        <v>1463</v>
      </c>
      <c r="V2978" s="13" t="s">
        <v>856</v>
      </c>
      <c r="W2978" s="13" t="s">
        <v>14173</v>
      </c>
      <c r="X2978" s="12"/>
      <c r="Y2978" s="14"/>
      <c r="Z2978" s="14"/>
    </row>
    <row r="2979">
      <c r="A2979" s="8" t="s">
        <v>14174</v>
      </c>
      <c r="B2979" s="8" t="s">
        <v>14175</v>
      </c>
      <c r="C2979" s="8" t="s">
        <v>708</v>
      </c>
      <c r="D2979" s="8" t="s">
        <v>26</v>
      </c>
      <c r="E2979" s="8" t="s">
        <v>14176</v>
      </c>
      <c r="F2979" s="8">
        <v>5.4102752E7</v>
      </c>
      <c r="G2979" s="8" t="s">
        <v>54</v>
      </c>
      <c r="H2979" s="8" t="s">
        <v>377</v>
      </c>
      <c r="I2979" s="8" t="s">
        <v>31</v>
      </c>
      <c r="J2979" s="8" t="s">
        <v>43</v>
      </c>
      <c r="K2979" s="10" t="s">
        <v>14177</v>
      </c>
      <c r="L2979" s="8" t="s">
        <v>47</v>
      </c>
      <c r="M2979" s="8" t="s">
        <v>70</v>
      </c>
      <c r="N2979" s="11">
        <v>45162.0</v>
      </c>
      <c r="O2979" s="11">
        <v>45176.0</v>
      </c>
      <c r="P2979" s="11">
        <v>45541.0</v>
      </c>
      <c r="Q2979" s="11">
        <v>45177.0</v>
      </c>
      <c r="R2979" s="11">
        <v>45542.0</v>
      </c>
      <c r="S2979" s="12"/>
      <c r="T2979" s="8"/>
      <c r="U2979" s="8" t="s">
        <v>246</v>
      </c>
      <c r="V2979" s="13" t="s">
        <v>1604</v>
      </c>
      <c r="W2979" s="13" t="s">
        <v>14178</v>
      </c>
      <c r="X2979" s="12"/>
      <c r="Y2979" s="14"/>
      <c r="Z2979" s="14"/>
    </row>
    <row r="2980">
      <c r="A2980" s="8" t="s">
        <v>14179</v>
      </c>
      <c r="B2980" s="8" t="s">
        <v>14180</v>
      </c>
      <c r="C2980" s="8" t="s">
        <v>708</v>
      </c>
      <c r="D2980" s="8" t="s">
        <v>26</v>
      </c>
      <c r="E2980" s="8" t="s">
        <v>14181</v>
      </c>
      <c r="F2980" s="8">
        <v>9.9322336E7</v>
      </c>
      <c r="G2980" s="8" t="s">
        <v>54</v>
      </c>
      <c r="H2980" s="8" t="s">
        <v>244</v>
      </c>
      <c r="I2980" s="8" t="s">
        <v>31</v>
      </c>
      <c r="J2980" s="8" t="s">
        <v>256</v>
      </c>
      <c r="K2980" s="10" t="s">
        <v>12499</v>
      </c>
      <c r="L2980" s="8" t="s">
        <v>47</v>
      </c>
      <c r="M2980" s="8" t="s">
        <v>70</v>
      </c>
      <c r="N2980" s="11">
        <v>45162.0</v>
      </c>
      <c r="O2980" s="11">
        <v>45154.0</v>
      </c>
      <c r="P2980" s="11">
        <v>45519.0</v>
      </c>
      <c r="Q2980" s="11">
        <v>45169.0</v>
      </c>
      <c r="R2980" s="11">
        <v>45534.0</v>
      </c>
      <c r="S2980" s="12"/>
      <c r="T2980" s="8"/>
      <c r="U2980" s="8" t="s">
        <v>11568</v>
      </c>
      <c r="V2980" s="13" t="s">
        <v>247</v>
      </c>
      <c r="W2980" s="13" t="s">
        <v>14182</v>
      </c>
      <c r="X2980" s="12"/>
      <c r="Y2980" s="14"/>
      <c r="Z2980" s="14"/>
    </row>
    <row r="2981">
      <c r="A2981" s="8" t="s">
        <v>14183</v>
      </c>
      <c r="B2981" s="8" t="s">
        <v>14184</v>
      </c>
      <c r="C2981" s="8" t="s">
        <v>64</v>
      </c>
      <c r="D2981" s="8" t="s">
        <v>26</v>
      </c>
      <c r="E2981" s="8" t="s">
        <v>14185</v>
      </c>
      <c r="F2981" s="8">
        <v>5.057929616E9</v>
      </c>
      <c r="G2981" s="8" t="s">
        <v>31</v>
      </c>
      <c r="H2981" s="8" t="s">
        <v>111</v>
      </c>
      <c r="I2981" s="8" t="s">
        <v>127</v>
      </c>
      <c r="J2981" s="8" t="s">
        <v>128</v>
      </c>
      <c r="K2981" s="10" t="s">
        <v>14186</v>
      </c>
      <c r="L2981" s="8" t="s">
        <v>58</v>
      </c>
      <c r="M2981" s="8" t="s">
        <v>35</v>
      </c>
      <c r="N2981" s="11">
        <v>45163.0</v>
      </c>
      <c r="O2981" s="11">
        <v>45166.0</v>
      </c>
      <c r="P2981" s="11">
        <v>45208.0</v>
      </c>
      <c r="Q2981" s="11">
        <v>45166.0</v>
      </c>
      <c r="R2981" s="11">
        <v>45208.0</v>
      </c>
      <c r="S2981" s="12"/>
      <c r="T2981" s="8"/>
      <c r="U2981" s="8" t="s">
        <v>59</v>
      </c>
      <c r="V2981" s="13" t="s">
        <v>111</v>
      </c>
      <c r="W2981" s="13" t="s">
        <v>14187</v>
      </c>
      <c r="X2981" s="12"/>
      <c r="Y2981" s="14"/>
      <c r="Z2981" s="14"/>
    </row>
    <row r="2982">
      <c r="A2982" s="8" t="s">
        <v>14188</v>
      </c>
      <c r="B2982" s="8" t="s">
        <v>14189</v>
      </c>
      <c r="C2982" s="8" t="s">
        <v>64</v>
      </c>
      <c r="D2982" s="8" t="s">
        <v>26</v>
      </c>
      <c r="E2982" s="8" t="s">
        <v>14190</v>
      </c>
      <c r="F2982" s="8">
        <v>6.89133749E8</v>
      </c>
      <c r="G2982" s="8" t="s">
        <v>84</v>
      </c>
      <c r="H2982" s="8" t="s">
        <v>1234</v>
      </c>
      <c r="I2982" s="8" t="s">
        <v>31</v>
      </c>
      <c r="J2982" s="8" t="s">
        <v>56</v>
      </c>
      <c r="K2982" s="10" t="s">
        <v>12274</v>
      </c>
      <c r="L2982" s="8" t="s">
        <v>58</v>
      </c>
      <c r="M2982" s="8" t="s">
        <v>35</v>
      </c>
      <c r="N2982" s="11">
        <v>45163.0</v>
      </c>
      <c r="O2982" s="11">
        <v>45222.0</v>
      </c>
      <c r="P2982" s="11">
        <v>45264.0</v>
      </c>
      <c r="Q2982" s="11">
        <v>45225.0</v>
      </c>
      <c r="R2982" s="11">
        <v>45265.0</v>
      </c>
      <c r="S2982" s="12"/>
      <c r="T2982" s="8"/>
      <c r="U2982" s="8" t="s">
        <v>161</v>
      </c>
      <c r="V2982" s="13" t="s">
        <v>14191</v>
      </c>
      <c r="W2982" s="13" t="s">
        <v>14192</v>
      </c>
      <c r="X2982" s="12"/>
      <c r="Y2982" s="14"/>
      <c r="Z2982" s="14"/>
    </row>
    <row r="2983">
      <c r="A2983" s="8" t="s">
        <v>14193</v>
      </c>
      <c r="B2983" s="8" t="s">
        <v>14194</v>
      </c>
      <c r="C2983" s="8" t="s">
        <v>179</v>
      </c>
      <c r="D2983" s="8" t="s">
        <v>26</v>
      </c>
      <c r="E2983" s="8" t="s">
        <v>14195</v>
      </c>
      <c r="F2983" s="8"/>
      <c r="G2983" s="8" t="s">
        <v>284</v>
      </c>
      <c r="H2983" s="8" t="s">
        <v>1777</v>
      </c>
      <c r="I2983" s="8" t="s">
        <v>31</v>
      </c>
      <c r="J2983" s="8" t="s">
        <v>136</v>
      </c>
      <c r="K2983" s="10" t="s">
        <v>2354</v>
      </c>
      <c r="L2983" s="8" t="s">
        <v>58</v>
      </c>
      <c r="M2983" s="8" t="s">
        <v>35</v>
      </c>
      <c r="N2983" s="11">
        <v>45163.0</v>
      </c>
      <c r="O2983" s="11">
        <v>45551.0</v>
      </c>
      <c r="P2983" s="11">
        <v>45593.0</v>
      </c>
      <c r="Q2983" s="11"/>
      <c r="R2983" s="11"/>
      <c r="S2983" s="12"/>
      <c r="T2983" s="8"/>
      <c r="U2983" s="8" t="s">
        <v>59</v>
      </c>
      <c r="V2983" s="13" t="s">
        <v>38</v>
      </c>
      <c r="W2983" s="13" t="s">
        <v>14196</v>
      </c>
      <c r="X2983" s="12"/>
      <c r="Y2983" s="14"/>
      <c r="Z2983" s="14"/>
    </row>
    <row r="2984">
      <c r="A2984" s="8" t="s">
        <v>14197</v>
      </c>
      <c r="B2984" s="8" t="s">
        <v>14198</v>
      </c>
      <c r="C2984" s="8" t="s">
        <v>708</v>
      </c>
      <c r="D2984" s="8" t="s">
        <v>26</v>
      </c>
      <c r="E2984" s="8" t="s">
        <v>14199</v>
      </c>
      <c r="F2984" s="8">
        <v>7.078522852E9</v>
      </c>
      <c r="G2984" s="8" t="s">
        <v>496</v>
      </c>
      <c r="H2984" s="8" t="s">
        <v>497</v>
      </c>
      <c r="I2984" s="8" t="s">
        <v>31</v>
      </c>
      <c r="J2984" s="8" t="s">
        <v>438</v>
      </c>
      <c r="K2984" s="10" t="s">
        <v>5174</v>
      </c>
      <c r="L2984" s="8" t="s">
        <v>47</v>
      </c>
      <c r="M2984" s="8" t="s">
        <v>70</v>
      </c>
      <c r="N2984" s="11">
        <v>45164.0</v>
      </c>
      <c r="O2984" s="11">
        <v>45179.0</v>
      </c>
      <c r="P2984" s="11">
        <v>45544.0</v>
      </c>
      <c r="Q2984" s="11">
        <v>45184.0</v>
      </c>
      <c r="R2984" s="11">
        <v>45549.0</v>
      </c>
      <c r="S2984" s="12"/>
      <c r="T2984" s="8"/>
      <c r="U2984" s="8" t="s">
        <v>5175</v>
      </c>
      <c r="V2984" s="13" t="s">
        <v>6955</v>
      </c>
      <c r="W2984" s="13" t="s">
        <v>14200</v>
      </c>
      <c r="X2984" s="12"/>
      <c r="Y2984" s="14"/>
      <c r="Z2984" s="14"/>
    </row>
    <row r="2985">
      <c r="A2985" s="8" t="s">
        <v>14201</v>
      </c>
      <c r="B2985" s="8" t="s">
        <v>14202</v>
      </c>
      <c r="C2985" s="8" t="s">
        <v>64</v>
      </c>
      <c r="D2985" s="8" t="s">
        <v>26</v>
      </c>
      <c r="E2985" s="8" t="s">
        <v>14203</v>
      </c>
      <c r="F2985" s="8">
        <v>1.124698184E9</v>
      </c>
      <c r="G2985" s="8" t="s">
        <v>284</v>
      </c>
      <c r="H2985" s="8" t="s">
        <v>1764</v>
      </c>
      <c r="I2985" s="8" t="s">
        <v>31</v>
      </c>
      <c r="J2985" s="8" t="s">
        <v>56</v>
      </c>
      <c r="K2985" s="10" t="s">
        <v>9305</v>
      </c>
      <c r="L2985" s="8" t="s">
        <v>58</v>
      </c>
      <c r="M2985" s="8" t="s">
        <v>35</v>
      </c>
      <c r="N2985" s="11">
        <v>45164.0</v>
      </c>
      <c r="O2985" s="11">
        <v>45194.0</v>
      </c>
      <c r="P2985" s="11">
        <v>45236.0</v>
      </c>
      <c r="Q2985" s="11">
        <v>45198.0</v>
      </c>
      <c r="R2985" s="11">
        <v>45240.0</v>
      </c>
      <c r="S2985" s="12"/>
      <c r="T2985" s="8"/>
      <c r="U2985" s="8" t="s">
        <v>59</v>
      </c>
      <c r="V2985" s="13" t="s">
        <v>6273</v>
      </c>
      <c r="W2985" s="13" t="s">
        <v>14204</v>
      </c>
      <c r="X2985" s="12"/>
      <c r="Y2985" s="14"/>
      <c r="Z2985" s="14"/>
    </row>
    <row r="2986">
      <c r="A2986" s="8" t="s">
        <v>14205</v>
      </c>
      <c r="B2986" s="8" t="s">
        <v>14206</v>
      </c>
      <c r="C2986" s="8" t="s">
        <v>25</v>
      </c>
      <c r="D2986" s="8" t="s">
        <v>26</v>
      </c>
      <c r="E2986" s="8" t="s">
        <v>14207</v>
      </c>
      <c r="F2986" s="8"/>
      <c r="G2986" s="8" t="s">
        <v>31</v>
      </c>
      <c r="H2986" s="8" t="s">
        <v>43</v>
      </c>
      <c r="I2986" s="8" t="s">
        <v>67</v>
      </c>
      <c r="J2986" s="8" t="s">
        <v>11448</v>
      </c>
      <c r="K2986" s="10" t="s">
        <v>14208</v>
      </c>
      <c r="L2986" s="8" t="s">
        <v>47</v>
      </c>
      <c r="M2986" s="8" t="s">
        <v>35</v>
      </c>
      <c r="N2986" s="11">
        <v>45164.0</v>
      </c>
      <c r="O2986" s="11">
        <v>45197.0</v>
      </c>
      <c r="P2986" s="11">
        <v>45280.0</v>
      </c>
      <c r="Q2986" s="11">
        <v>45193.0</v>
      </c>
      <c r="R2986" s="11">
        <v>45288.0</v>
      </c>
      <c r="S2986" s="12"/>
      <c r="T2986" s="8"/>
      <c r="U2986" s="8" t="s">
        <v>246</v>
      </c>
      <c r="V2986" s="13" t="s">
        <v>38</v>
      </c>
      <c r="W2986" s="13" t="s">
        <v>14209</v>
      </c>
      <c r="X2986" s="12"/>
      <c r="Y2986" s="14"/>
      <c r="Z2986" s="14"/>
    </row>
    <row r="2987">
      <c r="A2987" s="8" t="s">
        <v>14210</v>
      </c>
      <c r="B2987" s="8" t="s">
        <v>14211</v>
      </c>
      <c r="C2987" s="8" t="s">
        <v>708</v>
      </c>
      <c r="D2987" s="8" t="s">
        <v>26</v>
      </c>
      <c r="E2987" s="8" t="s">
        <v>14212</v>
      </c>
      <c r="F2987" s="8">
        <v>1.003456073E9</v>
      </c>
      <c r="G2987" s="8" t="s">
        <v>284</v>
      </c>
      <c r="H2987" s="8" t="s">
        <v>1287</v>
      </c>
      <c r="I2987" s="8" t="s">
        <v>31</v>
      </c>
      <c r="J2987" s="8" t="s">
        <v>542</v>
      </c>
      <c r="K2987" s="10" t="s">
        <v>8953</v>
      </c>
      <c r="L2987" s="8" t="s">
        <v>34</v>
      </c>
      <c r="M2987" s="8" t="s">
        <v>70</v>
      </c>
      <c r="N2987" s="11">
        <v>45164.0</v>
      </c>
      <c r="O2987" s="11">
        <v>45194.0</v>
      </c>
      <c r="P2987" s="11">
        <v>45551.0</v>
      </c>
      <c r="Q2987" s="11">
        <v>45211.0</v>
      </c>
      <c r="R2987" s="11">
        <v>45569.0</v>
      </c>
      <c r="S2987" s="12"/>
      <c r="T2987" s="8" t="s">
        <v>36</v>
      </c>
      <c r="U2987" s="8" t="s">
        <v>8954</v>
      </c>
      <c r="V2987" s="13" t="s">
        <v>1289</v>
      </c>
      <c r="W2987" s="13" t="s">
        <v>14213</v>
      </c>
      <c r="X2987" s="12"/>
      <c r="Y2987" s="14"/>
      <c r="Z2987" s="14"/>
    </row>
    <row r="2988">
      <c r="A2988" s="8" t="s">
        <v>14214</v>
      </c>
      <c r="B2988" s="8" t="s">
        <v>14215</v>
      </c>
      <c r="C2988" s="8" t="s">
        <v>179</v>
      </c>
      <c r="D2988" s="8" t="s">
        <v>26</v>
      </c>
      <c r="E2988" s="8" t="s">
        <v>14216</v>
      </c>
      <c r="F2988" s="8">
        <v>5.052667525E9</v>
      </c>
      <c r="G2988" s="8" t="s">
        <v>31</v>
      </c>
      <c r="H2988" s="8" t="s">
        <v>220</v>
      </c>
      <c r="I2988" s="8" t="s">
        <v>284</v>
      </c>
      <c r="J2988" s="8" t="s">
        <v>285</v>
      </c>
      <c r="K2988" s="10" t="s">
        <v>7771</v>
      </c>
      <c r="L2988" s="8" t="s">
        <v>58</v>
      </c>
      <c r="M2988" s="8" t="s">
        <v>35</v>
      </c>
      <c r="N2988" s="11">
        <v>45164.0</v>
      </c>
      <c r="O2988" s="11">
        <v>46054.0</v>
      </c>
      <c r="P2988" s="11">
        <v>46096.0</v>
      </c>
      <c r="Q2988" s="11"/>
      <c r="R2988" s="11"/>
      <c r="S2988" s="12"/>
      <c r="T2988" s="8"/>
      <c r="U2988" s="8" t="s">
        <v>185</v>
      </c>
      <c r="V2988" s="13" t="s">
        <v>220</v>
      </c>
      <c r="W2988" s="13" t="s">
        <v>14217</v>
      </c>
      <c r="X2988" s="12"/>
      <c r="Y2988" s="14"/>
      <c r="Z2988" s="14"/>
    </row>
    <row r="2989">
      <c r="A2989" s="8" t="s">
        <v>14218</v>
      </c>
      <c r="B2989" s="8" t="s">
        <v>14219</v>
      </c>
      <c r="C2989" s="8" t="s">
        <v>64</v>
      </c>
      <c r="D2989" s="8" t="s">
        <v>26</v>
      </c>
      <c r="E2989" s="8" t="s">
        <v>14220</v>
      </c>
      <c r="F2989" s="8">
        <v>1.11827298E9</v>
      </c>
      <c r="G2989" s="8" t="s">
        <v>284</v>
      </c>
      <c r="H2989" s="8" t="s">
        <v>793</v>
      </c>
      <c r="I2989" s="8" t="s">
        <v>31</v>
      </c>
      <c r="J2989" s="8" t="s">
        <v>256</v>
      </c>
      <c r="K2989" s="10" t="s">
        <v>10689</v>
      </c>
      <c r="L2989" s="8" t="s">
        <v>58</v>
      </c>
      <c r="M2989" s="8" t="s">
        <v>35</v>
      </c>
      <c r="N2989" s="11">
        <v>45164.0</v>
      </c>
      <c r="O2989" s="11">
        <v>45208.0</v>
      </c>
      <c r="P2989" s="11">
        <v>45250.0</v>
      </c>
      <c r="Q2989" s="11">
        <v>45232.0</v>
      </c>
      <c r="R2989" s="11">
        <v>45257.0</v>
      </c>
      <c r="S2989" s="12"/>
      <c r="T2989" s="8"/>
      <c r="U2989" s="8" t="s">
        <v>59</v>
      </c>
      <c r="V2989" s="13" t="s">
        <v>793</v>
      </c>
      <c r="W2989" s="13" t="s">
        <v>14221</v>
      </c>
      <c r="X2989" s="12"/>
      <c r="Y2989" s="14"/>
      <c r="Z2989" s="14"/>
    </row>
    <row r="2990">
      <c r="A2990" s="8" t="s">
        <v>14222</v>
      </c>
      <c r="B2990" s="8" t="s">
        <v>14223</v>
      </c>
      <c r="C2990" s="8" t="s">
        <v>179</v>
      </c>
      <c r="D2990" s="8" t="s">
        <v>26</v>
      </c>
      <c r="E2990" s="8" t="s">
        <v>14224</v>
      </c>
      <c r="F2990" s="8"/>
      <c r="G2990" s="8" t="s">
        <v>44</v>
      </c>
      <c r="H2990" s="8" t="s">
        <v>1321</v>
      </c>
      <c r="I2990" s="8" t="s">
        <v>31</v>
      </c>
      <c r="J2990" s="8" t="s">
        <v>86</v>
      </c>
      <c r="K2990" s="10" t="s">
        <v>2453</v>
      </c>
      <c r="L2990" s="8" t="s">
        <v>58</v>
      </c>
      <c r="M2990" s="8" t="s">
        <v>35</v>
      </c>
      <c r="N2990" s="11">
        <v>45165.0</v>
      </c>
      <c r="O2990" s="11">
        <v>45263.0</v>
      </c>
      <c r="P2990" s="11">
        <v>45305.0</v>
      </c>
      <c r="Q2990" s="11"/>
      <c r="R2990" s="11"/>
      <c r="S2990" s="12"/>
      <c r="T2990" s="8"/>
      <c r="U2990" s="8" t="s">
        <v>59</v>
      </c>
      <c r="V2990" s="13" t="s">
        <v>38</v>
      </c>
      <c r="W2990" s="13" t="s">
        <v>14225</v>
      </c>
      <c r="X2990" s="12"/>
      <c r="Y2990" s="14"/>
      <c r="Z2990" s="14"/>
    </row>
    <row r="2991">
      <c r="A2991" s="8" t="s">
        <v>14226</v>
      </c>
      <c r="B2991" s="8" t="s">
        <v>14227</v>
      </c>
      <c r="C2991" s="8" t="s">
        <v>64</v>
      </c>
      <c r="D2991" s="8" t="s">
        <v>26</v>
      </c>
      <c r="E2991" s="8" t="s">
        <v>14228</v>
      </c>
      <c r="F2991" s="8">
        <v>7.739882194E9</v>
      </c>
      <c r="G2991" s="8" t="s">
        <v>44</v>
      </c>
      <c r="H2991" s="8" t="s">
        <v>1321</v>
      </c>
      <c r="I2991" s="8" t="s">
        <v>31</v>
      </c>
      <c r="J2991" s="8" t="s">
        <v>86</v>
      </c>
      <c r="K2991" s="10" t="s">
        <v>2453</v>
      </c>
      <c r="L2991" s="8" t="s">
        <v>58</v>
      </c>
      <c r="M2991" s="8" t="s">
        <v>35</v>
      </c>
      <c r="N2991" s="11">
        <v>45165.0</v>
      </c>
      <c r="O2991" s="11">
        <v>45263.0</v>
      </c>
      <c r="P2991" s="11">
        <v>45305.0</v>
      </c>
      <c r="Q2991" s="11">
        <v>45278.0</v>
      </c>
      <c r="R2991" s="11">
        <v>45318.0</v>
      </c>
      <c r="S2991" s="12"/>
      <c r="T2991" s="8"/>
      <c r="U2991" s="8" t="s">
        <v>59</v>
      </c>
      <c r="V2991" s="13" t="s">
        <v>14229</v>
      </c>
      <c r="W2991" s="13" t="s">
        <v>14230</v>
      </c>
      <c r="X2991" s="12"/>
      <c r="Y2991" s="14"/>
      <c r="Z2991" s="14"/>
    </row>
    <row r="2992">
      <c r="A2992" s="8" t="s">
        <v>14231</v>
      </c>
      <c r="B2992" s="8" t="s">
        <v>14232</v>
      </c>
      <c r="C2992" s="8" t="s">
        <v>708</v>
      </c>
      <c r="D2992" s="8" t="s">
        <v>26</v>
      </c>
      <c r="E2992" s="8" t="s">
        <v>14233</v>
      </c>
      <c r="F2992" s="8">
        <v>6.77340611E8</v>
      </c>
      <c r="G2992" s="8" t="s">
        <v>221</v>
      </c>
      <c r="H2992" s="8" t="s">
        <v>3001</v>
      </c>
      <c r="I2992" s="8" t="s">
        <v>31</v>
      </c>
      <c r="J2992" s="8" t="s">
        <v>43</v>
      </c>
      <c r="K2992" s="10" t="s">
        <v>14234</v>
      </c>
      <c r="L2992" s="8" t="s">
        <v>47</v>
      </c>
      <c r="M2992" s="8" t="s">
        <v>48</v>
      </c>
      <c r="N2992" s="11">
        <v>45165.0</v>
      </c>
      <c r="O2992" s="11">
        <v>45173.0</v>
      </c>
      <c r="P2992" s="11">
        <v>45351.0</v>
      </c>
      <c r="Q2992" s="11">
        <v>45173.0</v>
      </c>
      <c r="R2992" s="11">
        <v>45351.0</v>
      </c>
      <c r="S2992" s="12"/>
      <c r="T2992" s="8"/>
      <c r="U2992" s="8" t="s">
        <v>14235</v>
      </c>
      <c r="V2992" s="13" t="s">
        <v>8037</v>
      </c>
      <c r="W2992" s="13" t="s">
        <v>14236</v>
      </c>
      <c r="X2992" s="12"/>
      <c r="Y2992" s="14"/>
      <c r="Z2992" s="14"/>
    </row>
    <row r="2993">
      <c r="A2993" s="8" t="s">
        <v>14237</v>
      </c>
      <c r="B2993" s="8" t="s">
        <v>14238</v>
      </c>
      <c r="C2993" s="8" t="s">
        <v>179</v>
      </c>
      <c r="D2993" s="8" t="s">
        <v>26</v>
      </c>
      <c r="E2993" s="8" t="s">
        <v>14239</v>
      </c>
      <c r="F2993" s="8">
        <v>5.052667525E9</v>
      </c>
      <c r="G2993" s="8" t="s">
        <v>31</v>
      </c>
      <c r="H2993" s="8" t="s">
        <v>220</v>
      </c>
      <c r="I2993" s="8" t="s">
        <v>284</v>
      </c>
      <c r="J2993" s="8" t="s">
        <v>300</v>
      </c>
      <c r="K2993" s="10" t="s">
        <v>14240</v>
      </c>
      <c r="L2993" s="8" t="s">
        <v>58</v>
      </c>
      <c r="M2993" s="8" t="s">
        <v>35</v>
      </c>
      <c r="N2993" s="11">
        <v>45165.0</v>
      </c>
      <c r="O2993" s="11">
        <v>45474.0</v>
      </c>
      <c r="P2993" s="11">
        <v>45516.0</v>
      </c>
      <c r="Q2993" s="11"/>
      <c r="R2993" s="11"/>
      <c r="S2993" s="12"/>
      <c r="T2993" s="8"/>
      <c r="U2993" s="8" t="s">
        <v>59</v>
      </c>
      <c r="V2993" s="13" t="s">
        <v>220</v>
      </c>
      <c r="W2993" s="13" t="s">
        <v>14241</v>
      </c>
      <c r="X2993" s="12"/>
      <c r="Y2993" s="14"/>
      <c r="Z2993" s="14"/>
    </row>
    <row r="2994">
      <c r="A2994" s="8" t="s">
        <v>14242</v>
      </c>
      <c r="B2994" s="8" t="s">
        <v>14243</v>
      </c>
      <c r="C2994" s="8" t="s">
        <v>179</v>
      </c>
      <c r="D2994" s="8" t="s">
        <v>26</v>
      </c>
      <c r="E2994" s="8" t="s">
        <v>14244</v>
      </c>
      <c r="F2994" s="8">
        <v>1.025619407E9</v>
      </c>
      <c r="G2994" s="8" t="s">
        <v>284</v>
      </c>
      <c r="H2994" s="8" t="s">
        <v>2065</v>
      </c>
      <c r="I2994" s="8" t="s">
        <v>31</v>
      </c>
      <c r="J2994" s="8" t="s">
        <v>43</v>
      </c>
      <c r="K2994" s="10" t="s">
        <v>5289</v>
      </c>
      <c r="L2994" s="8" t="s">
        <v>58</v>
      </c>
      <c r="M2994" s="8" t="s">
        <v>35</v>
      </c>
      <c r="N2994" s="11">
        <v>45165.0</v>
      </c>
      <c r="O2994" s="11">
        <v>45236.0</v>
      </c>
      <c r="P2994" s="11">
        <v>45282.0</v>
      </c>
      <c r="Q2994" s="11"/>
      <c r="R2994" s="11"/>
      <c r="S2994" s="12"/>
      <c r="T2994" s="8"/>
      <c r="U2994" s="8" t="s">
        <v>59</v>
      </c>
      <c r="V2994" s="13" t="s">
        <v>2065</v>
      </c>
      <c r="W2994" s="13" t="s">
        <v>14245</v>
      </c>
      <c r="X2994" s="12"/>
      <c r="Y2994" s="14"/>
      <c r="Z2994" s="14"/>
    </row>
    <row r="2995">
      <c r="A2995" s="8" t="s">
        <v>14246</v>
      </c>
      <c r="B2995" s="8" t="s">
        <v>14247</v>
      </c>
      <c r="C2995" s="8" t="s">
        <v>179</v>
      </c>
      <c r="D2995" s="8" t="s">
        <v>26</v>
      </c>
      <c r="E2995" s="8" t="s">
        <v>14248</v>
      </c>
      <c r="F2995" s="8">
        <v>9.23005035425E11</v>
      </c>
      <c r="G2995" s="8" t="s">
        <v>315</v>
      </c>
      <c r="H2995" s="8" t="s">
        <v>316</v>
      </c>
      <c r="I2995" s="8" t="s">
        <v>31</v>
      </c>
      <c r="J2995" s="8" t="s">
        <v>56</v>
      </c>
      <c r="K2995" s="10" t="s">
        <v>11979</v>
      </c>
      <c r="L2995" s="8" t="s">
        <v>58</v>
      </c>
      <c r="M2995" s="8" t="s">
        <v>35</v>
      </c>
      <c r="N2995" s="11">
        <v>45166.0</v>
      </c>
      <c r="O2995" s="11">
        <v>45292.0</v>
      </c>
      <c r="P2995" s="11">
        <v>45334.0</v>
      </c>
      <c r="Q2995" s="11"/>
      <c r="R2995" s="11"/>
      <c r="S2995" s="12"/>
      <c r="T2995" s="8"/>
      <c r="U2995" s="8" t="s">
        <v>161</v>
      </c>
      <c r="V2995" s="13" t="s">
        <v>38</v>
      </c>
      <c r="W2995" s="13" t="s">
        <v>14249</v>
      </c>
      <c r="X2995" s="12"/>
      <c r="Y2995" s="14"/>
      <c r="Z2995" s="14"/>
    </row>
    <row r="2996">
      <c r="A2996" s="8" t="s">
        <v>14250</v>
      </c>
      <c r="B2996" s="8" t="s">
        <v>14251</v>
      </c>
      <c r="C2996" s="8" t="s">
        <v>179</v>
      </c>
      <c r="D2996" s="8" t="s">
        <v>26</v>
      </c>
      <c r="E2996" s="8" t="s">
        <v>14252</v>
      </c>
      <c r="F2996" s="8">
        <v>1.127144901E9</v>
      </c>
      <c r="G2996" s="8" t="s">
        <v>284</v>
      </c>
      <c r="H2996" s="8" t="s">
        <v>300</v>
      </c>
      <c r="I2996" s="8" t="s">
        <v>31</v>
      </c>
      <c r="J2996" s="8" t="s">
        <v>292</v>
      </c>
      <c r="K2996" s="10" t="s">
        <v>12835</v>
      </c>
      <c r="L2996" s="8" t="s">
        <v>58</v>
      </c>
      <c r="M2996" s="8" t="s">
        <v>35</v>
      </c>
      <c r="N2996" s="11">
        <v>45166.0</v>
      </c>
      <c r="O2996" s="11">
        <v>45327.0</v>
      </c>
      <c r="P2996" s="11">
        <v>45369.0</v>
      </c>
      <c r="Q2996" s="11"/>
      <c r="R2996" s="11"/>
      <c r="S2996" s="12"/>
      <c r="T2996" s="8"/>
      <c r="U2996" s="8" t="s">
        <v>88</v>
      </c>
      <c r="V2996" s="13" t="s">
        <v>7533</v>
      </c>
      <c r="W2996" s="13" t="s">
        <v>14253</v>
      </c>
      <c r="X2996" s="12"/>
      <c r="Y2996" s="14"/>
      <c r="Z2996" s="14"/>
    </row>
    <row r="2997">
      <c r="A2997" s="8" t="s">
        <v>14254</v>
      </c>
      <c r="B2997" s="8" t="s">
        <v>14255</v>
      </c>
      <c r="C2997" s="8" t="s">
        <v>179</v>
      </c>
      <c r="D2997" s="8" t="s">
        <v>26</v>
      </c>
      <c r="E2997" s="8" t="s">
        <v>14256</v>
      </c>
      <c r="F2997" s="8">
        <v>1.098060475E9</v>
      </c>
      <c r="G2997" s="8" t="s">
        <v>284</v>
      </c>
      <c r="H2997" s="8" t="s">
        <v>300</v>
      </c>
      <c r="I2997" s="8" t="s">
        <v>31</v>
      </c>
      <c r="J2997" s="8" t="s">
        <v>292</v>
      </c>
      <c r="K2997" s="10" t="s">
        <v>11481</v>
      </c>
      <c r="L2997" s="8" t="s">
        <v>58</v>
      </c>
      <c r="M2997" s="8" t="s">
        <v>35</v>
      </c>
      <c r="N2997" s="11">
        <v>45166.0</v>
      </c>
      <c r="O2997" s="11">
        <v>45327.0</v>
      </c>
      <c r="P2997" s="11">
        <v>45369.0</v>
      </c>
      <c r="Q2997" s="11"/>
      <c r="R2997" s="11"/>
      <c r="S2997" s="12"/>
      <c r="T2997" s="8"/>
      <c r="U2997" s="8" t="s">
        <v>88</v>
      </c>
      <c r="V2997" s="13" t="s">
        <v>300</v>
      </c>
      <c r="W2997" s="13" t="s">
        <v>14257</v>
      </c>
      <c r="X2997" s="12"/>
      <c r="Y2997" s="14"/>
      <c r="Z2997" s="14"/>
    </row>
    <row r="2998">
      <c r="A2998" s="8" t="s">
        <v>14258</v>
      </c>
      <c r="B2998" s="8" t="s">
        <v>14259</v>
      </c>
      <c r="C2998" s="8" t="s">
        <v>179</v>
      </c>
      <c r="D2998" s="8" t="s">
        <v>26</v>
      </c>
      <c r="E2998" s="8" t="s">
        <v>14260</v>
      </c>
      <c r="F2998" s="8">
        <v>5.462635952E9</v>
      </c>
      <c r="G2998" s="8" t="s">
        <v>31</v>
      </c>
      <c r="H2998" s="8" t="s">
        <v>32</v>
      </c>
      <c r="I2998" s="8" t="s">
        <v>127</v>
      </c>
      <c r="J2998" s="8" t="s">
        <v>1771</v>
      </c>
      <c r="K2998" s="10" t="s">
        <v>10300</v>
      </c>
      <c r="L2998" s="8" t="s">
        <v>34</v>
      </c>
      <c r="M2998" s="8" t="s">
        <v>48</v>
      </c>
      <c r="N2998" s="11">
        <v>45166.0</v>
      </c>
      <c r="O2998" s="11">
        <v>45306.0</v>
      </c>
      <c r="P2998" s="11">
        <v>45457.0</v>
      </c>
      <c r="Q2998" s="11"/>
      <c r="R2998" s="11"/>
      <c r="S2998" s="12"/>
      <c r="T2998" s="8" t="s">
        <v>1187</v>
      </c>
      <c r="U2998" s="8" t="s">
        <v>10301</v>
      </c>
      <c r="V2998" s="13" t="s">
        <v>537</v>
      </c>
      <c r="W2998" s="13" t="s">
        <v>14261</v>
      </c>
      <c r="X2998" s="12"/>
      <c r="Y2998" s="14"/>
      <c r="Z2998" s="14"/>
    </row>
    <row r="2999">
      <c r="A2999" s="8" t="s">
        <v>14262</v>
      </c>
      <c r="B2999" s="8" t="s">
        <v>14263</v>
      </c>
      <c r="C2999" s="8" t="s">
        <v>708</v>
      </c>
      <c r="D2999" s="8" t="s">
        <v>26</v>
      </c>
      <c r="E2999" s="8" t="s">
        <v>14264</v>
      </c>
      <c r="F2999" s="8">
        <v>9.876004909E9</v>
      </c>
      <c r="G2999" s="8" t="s">
        <v>6087</v>
      </c>
      <c r="H2999" s="8" t="s">
        <v>14265</v>
      </c>
      <c r="I2999" s="8" t="s">
        <v>31</v>
      </c>
      <c r="J2999" s="8" t="s">
        <v>32</v>
      </c>
      <c r="K2999" s="10" t="s">
        <v>716</v>
      </c>
      <c r="L2999" s="8" t="s">
        <v>47</v>
      </c>
      <c r="M2999" s="8" t="s">
        <v>70</v>
      </c>
      <c r="N2999" s="11">
        <v>45166.0</v>
      </c>
      <c r="O2999" s="11">
        <v>45199.0</v>
      </c>
      <c r="P2999" s="11">
        <v>45564.0</v>
      </c>
      <c r="Q2999" s="11">
        <v>45196.0</v>
      </c>
      <c r="R2999" s="11">
        <v>45564.0</v>
      </c>
      <c r="S2999" s="12"/>
      <c r="T2999" s="8"/>
      <c r="U2999" s="8" t="s">
        <v>717</v>
      </c>
      <c r="V2999" s="13" t="s">
        <v>14266</v>
      </c>
      <c r="W2999" s="13" t="s">
        <v>14267</v>
      </c>
      <c r="X2999" s="12"/>
      <c r="Y2999" s="14"/>
      <c r="Z2999" s="14"/>
    </row>
    <row r="3000">
      <c r="A3000" s="8" t="s">
        <v>14268</v>
      </c>
      <c r="B3000" s="8" t="s">
        <v>14269</v>
      </c>
      <c r="C3000" s="8" t="s">
        <v>179</v>
      </c>
      <c r="D3000" s="8" t="s">
        <v>26</v>
      </c>
      <c r="E3000" s="8" t="s">
        <v>14270</v>
      </c>
      <c r="F3000" s="8">
        <v>1.099091444E9</v>
      </c>
      <c r="G3000" s="8" t="s">
        <v>284</v>
      </c>
      <c r="H3000" s="8" t="s">
        <v>625</v>
      </c>
      <c r="I3000" s="8" t="s">
        <v>31</v>
      </c>
      <c r="J3000" s="8" t="s">
        <v>292</v>
      </c>
      <c r="K3000" s="10" t="s">
        <v>2070</v>
      </c>
      <c r="L3000" s="8" t="s">
        <v>58</v>
      </c>
      <c r="M3000" s="8" t="s">
        <v>35</v>
      </c>
      <c r="N3000" s="11">
        <v>45167.0</v>
      </c>
      <c r="O3000" s="11">
        <v>45341.0</v>
      </c>
      <c r="P3000" s="11">
        <v>45383.0</v>
      </c>
      <c r="Q3000" s="11"/>
      <c r="R3000" s="11"/>
      <c r="S3000" s="12"/>
      <c r="T3000" s="8"/>
      <c r="U3000" s="8" t="s">
        <v>88</v>
      </c>
      <c r="V3000" s="13" t="s">
        <v>14271</v>
      </c>
      <c r="W3000" s="13" t="s">
        <v>14272</v>
      </c>
      <c r="X3000" s="12"/>
      <c r="Y3000" s="14"/>
      <c r="Z3000" s="14"/>
    </row>
    <row r="3001">
      <c r="A3001" s="8" t="s">
        <v>14273</v>
      </c>
      <c r="B3001" s="8" t="s">
        <v>14274</v>
      </c>
      <c r="C3001" s="8" t="s">
        <v>708</v>
      </c>
      <c r="D3001" s="8" t="s">
        <v>26</v>
      </c>
      <c r="E3001" s="8" t="s">
        <v>14275</v>
      </c>
      <c r="F3001" s="8">
        <v>6.66510373E8</v>
      </c>
      <c r="G3001" s="8" t="s">
        <v>1620</v>
      </c>
      <c r="H3001" s="8" t="s">
        <v>12004</v>
      </c>
      <c r="I3001" s="8" t="s">
        <v>31</v>
      </c>
      <c r="J3001" s="8" t="s">
        <v>43</v>
      </c>
      <c r="K3001" s="10" t="s">
        <v>837</v>
      </c>
      <c r="L3001" s="8" t="s">
        <v>58</v>
      </c>
      <c r="M3001" s="8" t="s">
        <v>35</v>
      </c>
      <c r="N3001" s="11">
        <v>45167.0</v>
      </c>
      <c r="O3001" s="11">
        <v>45299.0</v>
      </c>
      <c r="P3001" s="11">
        <v>45341.0</v>
      </c>
      <c r="Q3001" s="11">
        <v>45300.0</v>
      </c>
      <c r="R3001" s="11">
        <v>45341.0</v>
      </c>
      <c r="S3001" s="12"/>
      <c r="T3001" s="8"/>
      <c r="U3001" s="8" t="s">
        <v>130</v>
      </c>
      <c r="V3001" s="13" t="s">
        <v>14276</v>
      </c>
      <c r="W3001" s="13" t="s">
        <v>14277</v>
      </c>
      <c r="X3001" s="12"/>
      <c r="Y3001" s="14"/>
      <c r="Z3001" s="14"/>
    </row>
    <row r="3002">
      <c r="A3002" s="8" t="s">
        <v>14278</v>
      </c>
      <c r="B3002" s="8" t="s">
        <v>14279</v>
      </c>
      <c r="C3002" s="8" t="s">
        <v>179</v>
      </c>
      <c r="D3002" s="8" t="s">
        <v>26</v>
      </c>
      <c r="E3002" s="8" t="s">
        <v>14280</v>
      </c>
      <c r="F3002" s="8">
        <v>3.009101273E9</v>
      </c>
      <c r="G3002" s="8" t="s">
        <v>315</v>
      </c>
      <c r="H3002" s="8" t="s">
        <v>316</v>
      </c>
      <c r="I3002" s="8" t="s">
        <v>31</v>
      </c>
      <c r="J3002" s="8" t="s">
        <v>56</v>
      </c>
      <c r="K3002" s="10" t="s">
        <v>12274</v>
      </c>
      <c r="L3002" s="8" t="s">
        <v>58</v>
      </c>
      <c r="M3002" s="8" t="s">
        <v>35</v>
      </c>
      <c r="N3002" s="11">
        <v>45167.0</v>
      </c>
      <c r="O3002" s="11">
        <v>45264.0</v>
      </c>
      <c r="P3002" s="11">
        <v>45306.0</v>
      </c>
      <c r="Q3002" s="11"/>
      <c r="R3002" s="11"/>
      <c r="S3002" s="12"/>
      <c r="T3002" s="8"/>
      <c r="U3002" s="8" t="s">
        <v>161</v>
      </c>
      <c r="V3002" s="13" t="s">
        <v>38</v>
      </c>
      <c r="W3002" s="13" t="s">
        <v>14281</v>
      </c>
      <c r="X3002" s="12"/>
      <c r="Y3002" s="14"/>
      <c r="Z3002" s="14"/>
    </row>
    <row r="3003">
      <c r="A3003" s="8" t="s">
        <v>14282</v>
      </c>
      <c r="B3003" s="8" t="s">
        <v>14283</v>
      </c>
      <c r="C3003" s="8" t="s">
        <v>64</v>
      </c>
      <c r="D3003" s="8" t="s">
        <v>26</v>
      </c>
      <c r="E3003" s="8" t="s">
        <v>14284</v>
      </c>
      <c r="F3003" s="8">
        <v>6.3522029E7</v>
      </c>
      <c r="G3003" s="8" t="s">
        <v>221</v>
      </c>
      <c r="H3003" s="8" t="s">
        <v>222</v>
      </c>
      <c r="I3003" s="8" t="s">
        <v>31</v>
      </c>
      <c r="J3003" s="8" t="s">
        <v>32</v>
      </c>
      <c r="K3003" s="10" t="s">
        <v>14285</v>
      </c>
      <c r="L3003" s="8" t="s">
        <v>58</v>
      </c>
      <c r="M3003" s="8" t="s">
        <v>35</v>
      </c>
      <c r="N3003" s="11">
        <v>45168.0</v>
      </c>
      <c r="O3003" s="11">
        <v>45214.0</v>
      </c>
      <c r="P3003" s="11">
        <v>45256.0</v>
      </c>
      <c r="Q3003" s="11">
        <v>45226.0</v>
      </c>
      <c r="R3003" s="11">
        <v>45268.0</v>
      </c>
      <c r="S3003" s="12"/>
      <c r="T3003" s="8"/>
      <c r="U3003" s="8" t="s">
        <v>161</v>
      </c>
      <c r="V3003" s="13" t="s">
        <v>14286</v>
      </c>
      <c r="W3003" s="13" t="s">
        <v>14287</v>
      </c>
      <c r="X3003" s="12"/>
      <c r="Y3003" s="14"/>
      <c r="Z3003" s="14"/>
    </row>
    <row r="3004">
      <c r="A3004" s="8" t="s">
        <v>14288</v>
      </c>
      <c r="B3004" s="8" t="s">
        <v>14289</v>
      </c>
      <c r="C3004" s="8" t="s">
        <v>708</v>
      </c>
      <c r="D3004" s="8" t="s">
        <v>26</v>
      </c>
      <c r="E3004" s="8" t="s">
        <v>14290</v>
      </c>
      <c r="F3004" s="8">
        <v>5.4621986E7</v>
      </c>
      <c r="G3004" s="8" t="s">
        <v>54</v>
      </c>
      <c r="H3004" s="8" t="s">
        <v>76</v>
      </c>
      <c r="I3004" s="8" t="s">
        <v>31</v>
      </c>
      <c r="J3004" s="8" t="s">
        <v>292</v>
      </c>
      <c r="K3004" s="10" t="s">
        <v>5761</v>
      </c>
      <c r="L3004" s="8" t="s">
        <v>47</v>
      </c>
      <c r="M3004" s="8" t="s">
        <v>70</v>
      </c>
      <c r="N3004" s="11">
        <v>45168.0</v>
      </c>
      <c r="O3004" s="11">
        <v>45275.0</v>
      </c>
      <c r="P3004" s="11">
        <v>45555.0</v>
      </c>
      <c r="Q3004" s="11">
        <v>45272.0</v>
      </c>
      <c r="R3004" s="11">
        <v>45555.0</v>
      </c>
      <c r="S3004" s="12"/>
      <c r="T3004" s="8"/>
      <c r="U3004" s="8" t="s">
        <v>5424</v>
      </c>
      <c r="V3004" s="13" t="s">
        <v>491</v>
      </c>
      <c r="W3004" s="13" t="s">
        <v>14291</v>
      </c>
      <c r="X3004" s="12"/>
      <c r="Y3004" s="14"/>
      <c r="Z3004" s="14"/>
    </row>
    <row r="3005">
      <c r="A3005" s="8" t="s">
        <v>14292</v>
      </c>
      <c r="B3005" s="8" t="s">
        <v>14293</v>
      </c>
      <c r="C3005" s="8" t="s">
        <v>708</v>
      </c>
      <c r="D3005" s="8" t="s">
        <v>26</v>
      </c>
      <c r="E3005" s="8" t="s">
        <v>14294</v>
      </c>
      <c r="F3005" s="8">
        <v>2.4583027E7</v>
      </c>
      <c r="G3005" s="8" t="s">
        <v>54</v>
      </c>
      <c r="H3005" s="8" t="s">
        <v>430</v>
      </c>
      <c r="I3005" s="8" t="s">
        <v>31</v>
      </c>
      <c r="J3005" s="8" t="s">
        <v>77</v>
      </c>
      <c r="K3005" s="10" t="s">
        <v>14295</v>
      </c>
      <c r="L3005" s="8" t="s">
        <v>47</v>
      </c>
      <c r="M3005" s="8" t="s">
        <v>70</v>
      </c>
      <c r="N3005" s="11">
        <v>45168.0</v>
      </c>
      <c r="O3005" s="11">
        <v>45181.0</v>
      </c>
      <c r="P3005" s="11">
        <v>45514.0</v>
      </c>
      <c r="Q3005" s="11">
        <v>45189.0</v>
      </c>
      <c r="R3005" s="11">
        <v>45522.0</v>
      </c>
      <c r="S3005" s="12"/>
      <c r="T3005" s="8"/>
      <c r="U3005" s="8" t="s">
        <v>14296</v>
      </c>
      <c r="V3005" s="13" t="s">
        <v>4780</v>
      </c>
      <c r="W3005" s="13" t="s">
        <v>14297</v>
      </c>
      <c r="X3005" s="12"/>
      <c r="Y3005" s="14"/>
      <c r="Z3005" s="14"/>
    </row>
    <row r="3006">
      <c r="A3006" s="8" t="s">
        <v>14298</v>
      </c>
      <c r="B3006" s="8" t="s">
        <v>14299</v>
      </c>
      <c r="C3006" s="8" t="s">
        <v>179</v>
      </c>
      <c r="D3006" s="8" t="s">
        <v>26</v>
      </c>
      <c r="E3006" s="8" t="s">
        <v>14300</v>
      </c>
      <c r="F3006" s="8"/>
      <c r="G3006" s="8" t="s">
        <v>109</v>
      </c>
      <c r="H3006" s="8" t="s">
        <v>2286</v>
      </c>
      <c r="I3006" s="8" t="s">
        <v>31</v>
      </c>
      <c r="J3006" s="8" t="s">
        <v>77</v>
      </c>
      <c r="K3006" s="10" t="s">
        <v>4188</v>
      </c>
      <c r="L3006" s="8" t="s">
        <v>58</v>
      </c>
      <c r="M3006" s="8" t="s">
        <v>35</v>
      </c>
      <c r="N3006" s="11">
        <v>45168.0</v>
      </c>
      <c r="O3006" s="11">
        <v>45458.0</v>
      </c>
      <c r="P3006" s="11">
        <v>45500.0</v>
      </c>
      <c r="Q3006" s="11"/>
      <c r="R3006" s="11"/>
      <c r="S3006" s="12"/>
      <c r="T3006" s="8"/>
      <c r="U3006" s="8" t="s">
        <v>59</v>
      </c>
      <c r="V3006" s="13" t="s">
        <v>2287</v>
      </c>
      <c r="W3006" s="13" t="s">
        <v>14301</v>
      </c>
      <c r="X3006" s="12"/>
      <c r="Y3006" s="14"/>
      <c r="Z3006" s="14"/>
    </row>
    <row r="3007">
      <c r="A3007" s="8" t="s">
        <v>14302</v>
      </c>
      <c r="B3007" s="8" t="s">
        <v>14303</v>
      </c>
      <c r="C3007" s="8" t="s">
        <v>179</v>
      </c>
      <c r="D3007" s="8" t="s">
        <v>26</v>
      </c>
      <c r="E3007" s="8" t="s">
        <v>14304</v>
      </c>
      <c r="F3007" s="8">
        <v>9.030680006E9</v>
      </c>
      <c r="G3007" s="8" t="s">
        <v>14305</v>
      </c>
      <c r="H3007" s="8" t="s">
        <v>14306</v>
      </c>
      <c r="I3007" s="8" t="s">
        <v>31</v>
      </c>
      <c r="J3007" s="8" t="s">
        <v>167</v>
      </c>
      <c r="K3007" s="10" t="s">
        <v>5996</v>
      </c>
      <c r="L3007" s="8" t="s">
        <v>58</v>
      </c>
      <c r="M3007" s="8" t="s">
        <v>35</v>
      </c>
      <c r="N3007" s="11">
        <v>45168.0</v>
      </c>
      <c r="O3007" s="11">
        <v>45488.0</v>
      </c>
      <c r="P3007" s="11">
        <v>45530.0</v>
      </c>
      <c r="Q3007" s="11"/>
      <c r="R3007" s="11"/>
      <c r="S3007" s="12"/>
      <c r="T3007" s="8"/>
      <c r="U3007" s="8" t="s">
        <v>130</v>
      </c>
      <c r="V3007" s="13" t="s">
        <v>14019</v>
      </c>
      <c r="W3007" s="13" t="s">
        <v>14307</v>
      </c>
      <c r="X3007" s="12"/>
      <c r="Y3007" s="14"/>
      <c r="Z3007" s="14"/>
    </row>
    <row r="3008">
      <c r="A3008" s="8" t="s">
        <v>14308</v>
      </c>
      <c r="B3008" s="8" t="s">
        <v>14309</v>
      </c>
      <c r="C3008" s="8" t="s">
        <v>25</v>
      </c>
      <c r="D3008" s="8" t="s">
        <v>26</v>
      </c>
      <c r="E3008" s="8" t="s">
        <v>14310</v>
      </c>
      <c r="F3008" s="8"/>
      <c r="G3008" s="8" t="s">
        <v>54</v>
      </c>
      <c r="H3008" s="8" t="s">
        <v>76</v>
      </c>
      <c r="I3008" s="8" t="s">
        <v>31</v>
      </c>
      <c r="J3008" s="8" t="s">
        <v>77</v>
      </c>
      <c r="K3008" s="10" t="s">
        <v>14311</v>
      </c>
      <c r="L3008" s="8" t="s">
        <v>58</v>
      </c>
      <c r="M3008" s="8" t="s">
        <v>35</v>
      </c>
      <c r="N3008" s="11">
        <v>45168.0</v>
      </c>
      <c r="O3008" s="11">
        <v>45178.0</v>
      </c>
      <c r="P3008" s="11">
        <v>45220.0</v>
      </c>
      <c r="Q3008" s="11">
        <v>45180.0</v>
      </c>
      <c r="R3008" s="11">
        <v>45220.0</v>
      </c>
      <c r="S3008" s="12"/>
      <c r="T3008" s="8"/>
      <c r="U3008" s="8" t="s">
        <v>59</v>
      </c>
      <c r="V3008" s="13" t="s">
        <v>38</v>
      </c>
      <c r="W3008" s="13" t="s">
        <v>14312</v>
      </c>
      <c r="X3008" s="12"/>
      <c r="Y3008" s="14"/>
      <c r="Z3008" s="14"/>
    </row>
    <row r="3009">
      <c r="A3009" s="8" t="s">
        <v>14313</v>
      </c>
      <c r="B3009" s="8" t="s">
        <v>14314</v>
      </c>
      <c r="C3009" s="8" t="s">
        <v>179</v>
      </c>
      <c r="D3009" s="8" t="s">
        <v>26</v>
      </c>
      <c r="E3009" s="8" t="s">
        <v>14315</v>
      </c>
      <c r="F3009" s="8">
        <v>7.08593001E8</v>
      </c>
      <c r="G3009" s="8" t="s">
        <v>277</v>
      </c>
      <c r="H3009" s="8" t="s">
        <v>697</v>
      </c>
      <c r="I3009" s="8" t="s">
        <v>31</v>
      </c>
      <c r="J3009" s="8" t="s">
        <v>77</v>
      </c>
      <c r="K3009" s="10" t="s">
        <v>14316</v>
      </c>
      <c r="L3009" s="8" t="s">
        <v>47</v>
      </c>
      <c r="M3009" s="8" t="s">
        <v>70</v>
      </c>
      <c r="N3009" s="11">
        <v>45169.0</v>
      </c>
      <c r="O3009" s="11">
        <v>45181.0</v>
      </c>
      <c r="P3009" s="11">
        <v>45453.0</v>
      </c>
      <c r="Q3009" s="11"/>
      <c r="R3009" s="11"/>
      <c r="S3009" s="12"/>
      <c r="T3009" s="8"/>
      <c r="U3009" s="8" t="s">
        <v>14317</v>
      </c>
      <c r="V3009" s="13" t="s">
        <v>7743</v>
      </c>
      <c r="W3009" s="13" t="s">
        <v>14318</v>
      </c>
      <c r="X3009" s="12"/>
      <c r="Y3009" s="14"/>
      <c r="Z3009" s="14"/>
    </row>
    <row r="3010">
      <c r="A3010" s="8" t="s">
        <v>14319</v>
      </c>
      <c r="B3010" s="8" t="s">
        <v>14320</v>
      </c>
      <c r="C3010" s="8" t="s">
        <v>179</v>
      </c>
      <c r="D3010" s="8" t="s">
        <v>26</v>
      </c>
      <c r="E3010" s="8" t="s">
        <v>14321</v>
      </c>
      <c r="F3010" s="8"/>
      <c r="G3010" s="8" t="s">
        <v>84</v>
      </c>
      <c r="H3010" s="8" t="s">
        <v>85</v>
      </c>
      <c r="I3010" s="8" t="s">
        <v>31</v>
      </c>
      <c r="J3010" s="8" t="s">
        <v>86</v>
      </c>
      <c r="K3010" s="10" t="s">
        <v>5601</v>
      </c>
      <c r="L3010" s="8" t="s">
        <v>34</v>
      </c>
      <c r="M3010" s="8" t="s">
        <v>70</v>
      </c>
      <c r="N3010" s="11">
        <v>45169.0</v>
      </c>
      <c r="O3010" s="11">
        <v>45180.0</v>
      </c>
      <c r="P3010" s="11">
        <v>45548.0</v>
      </c>
      <c r="Q3010" s="11"/>
      <c r="R3010" s="11"/>
      <c r="S3010" s="12"/>
      <c r="T3010" s="8" t="s">
        <v>36</v>
      </c>
      <c r="U3010" s="8" t="s">
        <v>5602</v>
      </c>
      <c r="V3010" s="13" t="s">
        <v>38</v>
      </c>
      <c r="W3010" s="13" t="s">
        <v>14322</v>
      </c>
      <c r="X3010" s="12"/>
      <c r="Y3010" s="14"/>
      <c r="Z3010" s="14"/>
    </row>
    <row r="3011">
      <c r="A3011" s="8" t="s">
        <v>14323</v>
      </c>
      <c r="B3011" s="8" t="s">
        <v>1555</v>
      </c>
      <c r="C3011" s="8" t="s">
        <v>179</v>
      </c>
      <c r="D3011" s="8" t="s">
        <v>26</v>
      </c>
      <c r="E3011" s="8" t="s">
        <v>1556</v>
      </c>
      <c r="F3011" s="8">
        <v>5.06515821E9</v>
      </c>
      <c r="G3011" s="8" t="s">
        <v>315</v>
      </c>
      <c r="H3011" s="8" t="s">
        <v>1557</v>
      </c>
      <c r="I3011" s="8" t="s">
        <v>31</v>
      </c>
      <c r="J3011" s="8" t="s">
        <v>32</v>
      </c>
      <c r="K3011" s="10" t="s">
        <v>14324</v>
      </c>
      <c r="L3011" s="8" t="s">
        <v>47</v>
      </c>
      <c r="M3011" s="8" t="s">
        <v>48</v>
      </c>
      <c r="N3011" s="11">
        <v>45169.0</v>
      </c>
      <c r="O3011" s="11">
        <v>45184.0</v>
      </c>
      <c r="P3011" s="11">
        <v>45365.0</v>
      </c>
      <c r="Q3011" s="11"/>
      <c r="R3011" s="11"/>
      <c r="S3011" s="12"/>
      <c r="T3011" s="8"/>
      <c r="U3011" s="8" t="s">
        <v>1794</v>
      </c>
      <c r="V3011" s="13" t="s">
        <v>1558</v>
      </c>
      <c r="W3011" s="13" t="s">
        <v>1559</v>
      </c>
      <c r="X3011" s="12"/>
      <c r="Y3011" s="14"/>
      <c r="Z3011" s="14"/>
    </row>
    <row r="3012">
      <c r="A3012" s="8" t="s">
        <v>14325</v>
      </c>
      <c r="B3012" s="8" t="s">
        <v>14326</v>
      </c>
      <c r="C3012" s="8" t="s">
        <v>25</v>
      </c>
      <c r="D3012" s="8" t="s">
        <v>26</v>
      </c>
      <c r="E3012" s="8" t="s">
        <v>14327</v>
      </c>
      <c r="F3012" s="8"/>
      <c r="G3012" s="8" t="s">
        <v>54</v>
      </c>
      <c r="H3012" s="8" t="s">
        <v>135</v>
      </c>
      <c r="I3012" s="8" t="s">
        <v>31</v>
      </c>
      <c r="J3012" s="8" t="s">
        <v>292</v>
      </c>
      <c r="K3012" s="10" t="s">
        <v>12835</v>
      </c>
      <c r="L3012" s="8" t="s">
        <v>58</v>
      </c>
      <c r="M3012" s="8" t="s">
        <v>35</v>
      </c>
      <c r="N3012" s="11">
        <v>45169.0</v>
      </c>
      <c r="O3012" s="11">
        <v>45194.0</v>
      </c>
      <c r="P3012" s="11">
        <v>45236.0</v>
      </c>
      <c r="Q3012" s="11">
        <v>45194.0</v>
      </c>
      <c r="R3012" s="11">
        <v>45236.0</v>
      </c>
      <c r="S3012" s="12"/>
      <c r="T3012" s="8"/>
      <c r="U3012" s="8" t="s">
        <v>88</v>
      </c>
      <c r="V3012" s="13" t="s">
        <v>38</v>
      </c>
      <c r="W3012" s="13" t="s">
        <v>14328</v>
      </c>
      <c r="X3012" s="12"/>
      <c r="Y3012" s="14"/>
      <c r="Z3012" s="14"/>
    </row>
    <row r="3013">
      <c r="A3013" s="8" t="s">
        <v>14329</v>
      </c>
      <c r="B3013" s="8" t="s">
        <v>14330</v>
      </c>
      <c r="C3013" s="8" t="s">
        <v>708</v>
      </c>
      <c r="D3013" s="8" t="s">
        <v>26</v>
      </c>
      <c r="E3013" s="8" t="s">
        <v>14331</v>
      </c>
      <c r="F3013" s="8">
        <v>1.022692895E9</v>
      </c>
      <c r="G3013" s="8" t="s">
        <v>284</v>
      </c>
      <c r="H3013" s="8" t="s">
        <v>854</v>
      </c>
      <c r="I3013" s="8" t="s">
        <v>31</v>
      </c>
      <c r="J3013" s="8" t="s">
        <v>542</v>
      </c>
      <c r="K3013" s="10" t="s">
        <v>8953</v>
      </c>
      <c r="L3013" s="8" t="s">
        <v>34</v>
      </c>
      <c r="M3013" s="8" t="s">
        <v>70</v>
      </c>
      <c r="N3013" s="11">
        <v>45169.0</v>
      </c>
      <c r="O3013" s="11">
        <v>45169.0</v>
      </c>
      <c r="P3013" s="11">
        <v>45523.0</v>
      </c>
      <c r="Q3013" s="11">
        <v>45171.0</v>
      </c>
      <c r="R3013" s="11">
        <v>45532.0</v>
      </c>
      <c r="S3013" s="12"/>
      <c r="T3013" s="8" t="s">
        <v>36</v>
      </c>
      <c r="U3013" s="8" t="s">
        <v>8954</v>
      </c>
      <c r="V3013" s="13" t="s">
        <v>856</v>
      </c>
      <c r="W3013" s="13" t="s">
        <v>14332</v>
      </c>
      <c r="X3013" s="12"/>
      <c r="Y3013" s="14"/>
      <c r="Z3013" s="14"/>
    </row>
    <row r="3014">
      <c r="A3014" s="8" t="s">
        <v>14333</v>
      </c>
      <c r="B3014" s="8" t="s">
        <v>14334</v>
      </c>
      <c r="C3014" s="8" t="s">
        <v>179</v>
      </c>
      <c r="D3014" s="8" t="s">
        <v>26</v>
      </c>
      <c r="E3014" s="8" t="s">
        <v>14335</v>
      </c>
      <c r="F3014" s="8">
        <v>9.3437393E7</v>
      </c>
      <c r="G3014" s="8" t="s">
        <v>54</v>
      </c>
      <c r="H3014" s="8" t="s">
        <v>244</v>
      </c>
      <c r="I3014" s="8" t="s">
        <v>31</v>
      </c>
      <c r="J3014" s="8" t="s">
        <v>1274</v>
      </c>
      <c r="K3014" s="10" t="s">
        <v>14336</v>
      </c>
      <c r="L3014" s="8" t="s">
        <v>58</v>
      </c>
      <c r="M3014" s="8" t="s">
        <v>35</v>
      </c>
      <c r="N3014" s="11">
        <v>45169.0</v>
      </c>
      <c r="O3014" s="11">
        <v>45495.0</v>
      </c>
      <c r="P3014" s="11">
        <v>45537.0</v>
      </c>
      <c r="Q3014" s="11"/>
      <c r="R3014" s="11"/>
      <c r="S3014" s="12"/>
      <c r="T3014" s="8"/>
      <c r="U3014" s="8" t="s">
        <v>1038</v>
      </c>
      <c r="V3014" s="13" t="s">
        <v>13443</v>
      </c>
      <c r="W3014" s="13" t="s">
        <v>14337</v>
      </c>
      <c r="X3014" s="12"/>
      <c r="Y3014" s="14"/>
      <c r="Z3014" s="14"/>
    </row>
    <row r="3015">
      <c r="A3015" s="8" t="s">
        <v>14338</v>
      </c>
      <c r="B3015" s="8" t="s">
        <v>14339</v>
      </c>
      <c r="C3015" s="8" t="s">
        <v>179</v>
      </c>
      <c r="D3015" s="8" t="s">
        <v>26</v>
      </c>
      <c r="E3015" s="8" t="s">
        <v>14340</v>
      </c>
      <c r="F3015" s="8">
        <v>2.2406064E7</v>
      </c>
      <c r="G3015" s="8" t="s">
        <v>54</v>
      </c>
      <c r="H3015" s="8" t="s">
        <v>244</v>
      </c>
      <c r="I3015" s="8" t="s">
        <v>31</v>
      </c>
      <c r="J3015" s="8" t="s">
        <v>1274</v>
      </c>
      <c r="K3015" s="10" t="s">
        <v>14336</v>
      </c>
      <c r="L3015" s="8" t="s">
        <v>58</v>
      </c>
      <c r="M3015" s="8" t="s">
        <v>35</v>
      </c>
      <c r="N3015" s="11">
        <v>45169.0</v>
      </c>
      <c r="O3015" s="11">
        <v>45495.0</v>
      </c>
      <c r="P3015" s="11">
        <v>45537.0</v>
      </c>
      <c r="Q3015" s="11"/>
      <c r="R3015" s="11"/>
      <c r="S3015" s="12"/>
      <c r="T3015" s="8"/>
      <c r="U3015" s="8" t="s">
        <v>1038</v>
      </c>
      <c r="V3015" s="13" t="s">
        <v>13443</v>
      </c>
      <c r="W3015" s="13" t="s">
        <v>14341</v>
      </c>
      <c r="X3015" s="12"/>
      <c r="Y3015" s="14"/>
      <c r="Z3015" s="14"/>
    </row>
    <row r="3016">
      <c r="A3016" s="8" t="s">
        <v>14342</v>
      </c>
      <c r="B3016" s="8" t="s">
        <v>10094</v>
      </c>
      <c r="C3016" s="8" t="s">
        <v>25</v>
      </c>
      <c r="D3016" s="8" t="s">
        <v>26</v>
      </c>
      <c r="E3016" s="8" t="s">
        <v>10095</v>
      </c>
      <c r="F3016" s="8">
        <v>7.054868633E9</v>
      </c>
      <c r="G3016" s="8" t="s">
        <v>496</v>
      </c>
      <c r="H3016" s="8" t="s">
        <v>497</v>
      </c>
      <c r="I3016" s="8" t="s">
        <v>31</v>
      </c>
      <c r="J3016" s="8" t="s">
        <v>77</v>
      </c>
      <c r="K3016" s="10" t="s">
        <v>14311</v>
      </c>
      <c r="L3016" s="8" t="s">
        <v>58</v>
      </c>
      <c r="M3016" s="8" t="s">
        <v>35</v>
      </c>
      <c r="N3016" s="11">
        <v>45169.0</v>
      </c>
      <c r="O3016" s="11">
        <v>45178.0</v>
      </c>
      <c r="P3016" s="11">
        <v>45220.0</v>
      </c>
      <c r="Q3016" s="11">
        <v>45178.0</v>
      </c>
      <c r="R3016" s="11">
        <v>45220.0</v>
      </c>
      <c r="S3016" s="12"/>
      <c r="T3016" s="8"/>
      <c r="U3016" s="8" t="s">
        <v>59</v>
      </c>
      <c r="V3016" s="13" t="s">
        <v>6955</v>
      </c>
      <c r="W3016" s="13" t="s">
        <v>10096</v>
      </c>
      <c r="X3016" s="12"/>
      <c r="Y3016" s="14"/>
      <c r="Z3016" s="14"/>
    </row>
    <row r="3017">
      <c r="A3017" s="8" t="s">
        <v>14343</v>
      </c>
      <c r="B3017" s="8" t="s">
        <v>14344</v>
      </c>
      <c r="C3017" s="8" t="s">
        <v>179</v>
      </c>
      <c r="D3017" s="8" t="s">
        <v>26</v>
      </c>
      <c r="E3017" s="8" t="s">
        <v>14345</v>
      </c>
      <c r="F3017" s="8">
        <v>7.61900038E8</v>
      </c>
      <c r="G3017" s="8" t="s">
        <v>399</v>
      </c>
      <c r="H3017" s="8" t="s">
        <v>1381</v>
      </c>
      <c r="I3017" s="8" t="s">
        <v>31</v>
      </c>
      <c r="J3017" s="8" t="s">
        <v>542</v>
      </c>
      <c r="K3017" s="10" t="s">
        <v>12954</v>
      </c>
      <c r="L3017" s="8" t="s">
        <v>58</v>
      </c>
      <c r="M3017" s="8" t="s">
        <v>35</v>
      </c>
      <c r="N3017" s="11">
        <v>45169.0</v>
      </c>
      <c r="O3017" s="11">
        <v>45383.0</v>
      </c>
      <c r="P3017" s="11">
        <v>45425.0</v>
      </c>
      <c r="Q3017" s="11"/>
      <c r="R3017" s="11"/>
      <c r="S3017" s="12"/>
      <c r="T3017" s="8"/>
      <c r="U3017" s="8" t="s">
        <v>161</v>
      </c>
      <c r="V3017" s="13" t="s">
        <v>14346</v>
      </c>
      <c r="W3017" s="13" t="s">
        <v>14347</v>
      </c>
      <c r="X3017" s="12"/>
      <c r="Y3017" s="14"/>
      <c r="Z3017" s="14"/>
    </row>
    <row r="3018">
      <c r="A3018" s="8" t="s">
        <v>14348</v>
      </c>
      <c r="B3018" s="8" t="s">
        <v>14349</v>
      </c>
      <c r="C3018" s="8" t="s">
        <v>708</v>
      </c>
      <c r="D3018" s="8" t="s">
        <v>26</v>
      </c>
      <c r="E3018" s="8" t="s">
        <v>14350</v>
      </c>
      <c r="F3018" s="8">
        <v>6.97472628E8</v>
      </c>
      <c r="G3018" s="8" t="s">
        <v>84</v>
      </c>
      <c r="H3018" s="8" t="s">
        <v>1234</v>
      </c>
      <c r="I3018" s="8" t="s">
        <v>31</v>
      </c>
      <c r="J3018" s="8" t="s">
        <v>77</v>
      </c>
      <c r="K3018" s="10" t="s">
        <v>14351</v>
      </c>
      <c r="L3018" s="8" t="s">
        <v>34</v>
      </c>
      <c r="M3018" s="8" t="s">
        <v>48</v>
      </c>
      <c r="N3018" s="11">
        <v>45169.0</v>
      </c>
      <c r="O3018" s="11">
        <v>45209.0</v>
      </c>
      <c r="P3018" s="11">
        <v>45361.0</v>
      </c>
      <c r="Q3018" s="11">
        <v>45245.0</v>
      </c>
      <c r="R3018" s="11">
        <v>45397.0</v>
      </c>
      <c r="S3018" s="12"/>
      <c r="T3018" s="8" t="s">
        <v>446</v>
      </c>
      <c r="U3018" s="8" t="s">
        <v>14352</v>
      </c>
      <c r="V3018" s="13" t="s">
        <v>13114</v>
      </c>
      <c r="W3018" s="13" t="s">
        <v>14353</v>
      </c>
      <c r="X3018" s="12"/>
      <c r="Y3018" s="14"/>
      <c r="Z3018" s="14"/>
    </row>
    <row r="3019">
      <c r="A3019" s="8" t="s">
        <v>14354</v>
      </c>
      <c r="B3019" s="8" t="s">
        <v>14355</v>
      </c>
      <c r="C3019" s="8" t="s">
        <v>708</v>
      </c>
      <c r="D3019" s="8" t="s">
        <v>26</v>
      </c>
      <c r="E3019" s="8" t="s">
        <v>14356</v>
      </c>
      <c r="F3019" s="8">
        <v>6.96420023E8</v>
      </c>
      <c r="G3019" s="8" t="s">
        <v>254</v>
      </c>
      <c r="H3019" s="8" t="s">
        <v>1007</v>
      </c>
      <c r="I3019" s="8" t="s">
        <v>31</v>
      </c>
      <c r="J3019" s="8" t="s">
        <v>77</v>
      </c>
      <c r="K3019" s="10" t="s">
        <v>1972</v>
      </c>
      <c r="L3019" s="8" t="s">
        <v>47</v>
      </c>
      <c r="M3019" s="8" t="s">
        <v>70</v>
      </c>
      <c r="N3019" s="11">
        <v>45169.0</v>
      </c>
      <c r="O3019" s="11">
        <v>45187.0</v>
      </c>
      <c r="P3019" s="11">
        <v>45457.0</v>
      </c>
      <c r="Q3019" s="11">
        <v>45189.0</v>
      </c>
      <c r="R3019" s="11">
        <v>45459.0</v>
      </c>
      <c r="S3019" s="12"/>
      <c r="T3019" s="8"/>
      <c r="U3019" s="8" t="s">
        <v>1973</v>
      </c>
      <c r="V3019" s="13" t="s">
        <v>1249</v>
      </c>
      <c r="W3019" s="13" t="s">
        <v>14357</v>
      </c>
      <c r="X3019" s="12"/>
      <c r="Y3019" s="14"/>
      <c r="Z3019" s="14"/>
    </row>
    <row r="3020">
      <c r="A3020" s="8" t="s">
        <v>14358</v>
      </c>
      <c r="B3020" s="8" t="s">
        <v>14359</v>
      </c>
      <c r="C3020" s="8" t="s">
        <v>179</v>
      </c>
      <c r="D3020" s="8" t="s">
        <v>26</v>
      </c>
      <c r="E3020" s="8" t="s">
        <v>14360</v>
      </c>
      <c r="F3020" s="8">
        <v>5.528507536E9</v>
      </c>
      <c r="G3020" s="8" t="s">
        <v>31</v>
      </c>
      <c r="H3020" s="8" t="s">
        <v>542</v>
      </c>
      <c r="I3020" s="8" t="s">
        <v>284</v>
      </c>
      <c r="J3020" s="8" t="s">
        <v>589</v>
      </c>
      <c r="K3020" s="10" t="s">
        <v>14361</v>
      </c>
      <c r="L3020" s="8" t="s">
        <v>58</v>
      </c>
      <c r="M3020" s="8" t="s">
        <v>35</v>
      </c>
      <c r="N3020" s="11">
        <v>45170.0</v>
      </c>
      <c r="O3020" s="11">
        <v>45305.0</v>
      </c>
      <c r="P3020" s="11">
        <v>45347.0</v>
      </c>
      <c r="Q3020" s="11"/>
      <c r="R3020" s="11"/>
      <c r="S3020" s="12"/>
      <c r="T3020" s="8"/>
      <c r="U3020" s="8" t="s">
        <v>59</v>
      </c>
      <c r="V3020" s="13" t="s">
        <v>545</v>
      </c>
      <c r="W3020" s="13" t="s">
        <v>14362</v>
      </c>
      <c r="X3020" s="12"/>
      <c r="Y3020" s="14"/>
      <c r="Z3020" s="14"/>
    </row>
    <row r="3021">
      <c r="A3021" s="8" t="s">
        <v>14363</v>
      </c>
      <c r="B3021" s="8" t="s">
        <v>14364</v>
      </c>
      <c r="C3021" s="8" t="s">
        <v>179</v>
      </c>
      <c r="D3021" s="8" t="s">
        <v>26</v>
      </c>
      <c r="E3021" s="8" t="s">
        <v>14365</v>
      </c>
      <c r="F3021" s="8">
        <v>1.007961466E9</v>
      </c>
      <c r="G3021" s="8" t="s">
        <v>284</v>
      </c>
      <c r="H3021" s="8" t="s">
        <v>854</v>
      </c>
      <c r="I3021" s="8" t="s">
        <v>31</v>
      </c>
      <c r="J3021" s="8" t="s">
        <v>136</v>
      </c>
      <c r="K3021" s="10" t="s">
        <v>5299</v>
      </c>
      <c r="L3021" s="8" t="s">
        <v>58</v>
      </c>
      <c r="M3021" s="8" t="s">
        <v>35</v>
      </c>
      <c r="N3021" s="11">
        <v>45170.0</v>
      </c>
      <c r="O3021" s="11">
        <v>45201.0</v>
      </c>
      <c r="P3021" s="11">
        <v>45243.0</v>
      </c>
      <c r="Q3021" s="11"/>
      <c r="R3021" s="11"/>
      <c r="S3021" s="12"/>
      <c r="T3021" s="8"/>
      <c r="U3021" s="8" t="s">
        <v>59</v>
      </c>
      <c r="V3021" s="13" t="s">
        <v>856</v>
      </c>
      <c r="W3021" s="13" t="s">
        <v>14366</v>
      </c>
      <c r="X3021" s="12"/>
      <c r="Y3021" s="14"/>
      <c r="Z3021" s="14"/>
    </row>
    <row r="3022">
      <c r="A3022" s="8" t="s">
        <v>14367</v>
      </c>
      <c r="B3022" s="8" t="s">
        <v>14368</v>
      </c>
      <c r="C3022" s="8" t="s">
        <v>708</v>
      </c>
      <c r="D3022" s="8" t="s">
        <v>26</v>
      </c>
      <c r="E3022" s="8" t="s">
        <v>14369</v>
      </c>
      <c r="F3022" s="8">
        <v>6.49178787E8</v>
      </c>
      <c r="G3022" s="8" t="s">
        <v>1845</v>
      </c>
      <c r="H3022" s="8" t="s">
        <v>14370</v>
      </c>
      <c r="I3022" s="8" t="s">
        <v>31</v>
      </c>
      <c r="J3022" s="8" t="s">
        <v>102</v>
      </c>
      <c r="K3022" s="10" t="s">
        <v>5254</v>
      </c>
      <c r="L3022" s="8" t="s">
        <v>34</v>
      </c>
      <c r="M3022" s="8" t="s">
        <v>70</v>
      </c>
      <c r="N3022" s="11">
        <v>45170.0</v>
      </c>
      <c r="O3022" s="11">
        <v>45187.0</v>
      </c>
      <c r="P3022" s="11">
        <v>45553.0</v>
      </c>
      <c r="Q3022" s="11">
        <v>45245.0</v>
      </c>
      <c r="R3022" s="11">
        <v>45609.0</v>
      </c>
      <c r="S3022" s="12"/>
      <c r="T3022" s="8" t="s">
        <v>446</v>
      </c>
      <c r="U3022" s="8" t="s">
        <v>5255</v>
      </c>
      <c r="V3022" s="13" t="s">
        <v>38</v>
      </c>
      <c r="W3022" s="13" t="s">
        <v>14371</v>
      </c>
      <c r="X3022" s="12"/>
      <c r="Y3022" s="14"/>
      <c r="Z3022" s="14"/>
    </row>
    <row r="3023">
      <c r="A3023" s="8" t="s">
        <v>14372</v>
      </c>
      <c r="B3023" s="8" t="s">
        <v>14373</v>
      </c>
      <c r="C3023" s="8" t="s">
        <v>179</v>
      </c>
      <c r="D3023" s="8" t="s">
        <v>26</v>
      </c>
      <c r="E3023" s="8" t="s">
        <v>14374</v>
      </c>
      <c r="F3023" s="8">
        <v>1.062231433E9</v>
      </c>
      <c r="G3023" s="8" t="s">
        <v>284</v>
      </c>
      <c r="H3023" s="8" t="s">
        <v>1287</v>
      </c>
      <c r="I3023" s="8" t="s">
        <v>31</v>
      </c>
      <c r="J3023" s="8" t="s">
        <v>32</v>
      </c>
      <c r="K3023" s="10" t="s">
        <v>14375</v>
      </c>
      <c r="L3023" s="8" t="s">
        <v>58</v>
      </c>
      <c r="M3023" s="8" t="s">
        <v>35</v>
      </c>
      <c r="N3023" s="11">
        <v>45170.0</v>
      </c>
      <c r="O3023" s="11">
        <v>45403.0</v>
      </c>
      <c r="P3023" s="11">
        <v>45445.0</v>
      </c>
      <c r="Q3023" s="11"/>
      <c r="R3023" s="11"/>
      <c r="S3023" s="12"/>
      <c r="T3023" s="8"/>
      <c r="U3023" s="8" t="s">
        <v>161</v>
      </c>
      <c r="V3023" s="13" t="s">
        <v>5072</v>
      </c>
      <c r="W3023" s="13" t="s">
        <v>14376</v>
      </c>
      <c r="X3023" s="12"/>
      <c r="Y3023" s="14"/>
      <c r="Z3023" s="14"/>
    </row>
    <row r="3024">
      <c r="A3024" s="8" t="s">
        <v>14377</v>
      </c>
      <c r="B3024" s="8" t="s">
        <v>14378</v>
      </c>
      <c r="C3024" s="8" t="s">
        <v>179</v>
      </c>
      <c r="D3024" s="8" t="s">
        <v>26</v>
      </c>
      <c r="E3024" s="8" t="s">
        <v>14379</v>
      </c>
      <c r="F3024" s="8">
        <v>1.099792054E9</v>
      </c>
      <c r="G3024" s="8" t="s">
        <v>284</v>
      </c>
      <c r="H3024" s="8" t="s">
        <v>1287</v>
      </c>
      <c r="I3024" s="8" t="s">
        <v>31</v>
      </c>
      <c r="J3024" s="8" t="s">
        <v>1274</v>
      </c>
      <c r="K3024" s="10" t="s">
        <v>11461</v>
      </c>
      <c r="L3024" s="8" t="s">
        <v>58</v>
      </c>
      <c r="M3024" s="8" t="s">
        <v>35</v>
      </c>
      <c r="N3024" s="11">
        <v>45170.0</v>
      </c>
      <c r="O3024" s="11">
        <v>45236.0</v>
      </c>
      <c r="P3024" s="11">
        <v>45278.0</v>
      </c>
      <c r="Q3024" s="11"/>
      <c r="R3024" s="11"/>
      <c r="S3024" s="12"/>
      <c r="T3024" s="8"/>
      <c r="U3024" s="8" t="s">
        <v>339</v>
      </c>
      <c r="V3024" s="13" t="s">
        <v>5072</v>
      </c>
      <c r="W3024" s="13" t="s">
        <v>14380</v>
      </c>
      <c r="X3024" s="12"/>
      <c r="Y3024" s="14"/>
      <c r="Z3024" s="14"/>
    </row>
    <row r="3025">
      <c r="A3025" s="8" t="s">
        <v>14381</v>
      </c>
      <c r="B3025" s="8" t="s">
        <v>14382</v>
      </c>
      <c r="C3025" s="8" t="s">
        <v>179</v>
      </c>
      <c r="D3025" s="8" t="s">
        <v>26</v>
      </c>
      <c r="E3025" s="8" t="s">
        <v>14383</v>
      </c>
      <c r="F3025" s="8">
        <v>5.362055732E9</v>
      </c>
      <c r="G3025" s="8" t="s">
        <v>31</v>
      </c>
      <c r="H3025" s="8" t="s">
        <v>32</v>
      </c>
      <c r="I3025" s="8" t="s">
        <v>284</v>
      </c>
      <c r="J3025" s="8" t="s">
        <v>793</v>
      </c>
      <c r="K3025" s="10" t="s">
        <v>14384</v>
      </c>
      <c r="L3025" s="8" t="s">
        <v>58</v>
      </c>
      <c r="M3025" s="8" t="s">
        <v>35</v>
      </c>
      <c r="N3025" s="11">
        <v>45170.0</v>
      </c>
      <c r="O3025" s="11">
        <v>45327.0</v>
      </c>
      <c r="P3025" s="11">
        <v>45369.0</v>
      </c>
      <c r="Q3025" s="11"/>
      <c r="R3025" s="11"/>
      <c r="S3025" s="12"/>
      <c r="T3025" s="8"/>
      <c r="U3025" s="8" t="s">
        <v>59</v>
      </c>
      <c r="V3025" s="13" t="s">
        <v>537</v>
      </c>
      <c r="W3025" s="13" t="s">
        <v>14385</v>
      </c>
      <c r="X3025" s="12"/>
      <c r="Y3025" s="14"/>
      <c r="Z3025" s="14"/>
    </row>
    <row r="3026">
      <c r="A3026" s="8" t="s">
        <v>14386</v>
      </c>
      <c r="B3026" s="8" t="s">
        <v>14387</v>
      </c>
      <c r="C3026" s="8" t="s">
        <v>179</v>
      </c>
      <c r="D3026" s="8" t="s">
        <v>26</v>
      </c>
      <c r="E3026" s="8" t="s">
        <v>14388</v>
      </c>
      <c r="F3026" s="8">
        <v>5.324079636E9</v>
      </c>
      <c r="G3026" s="8" t="s">
        <v>31</v>
      </c>
      <c r="H3026" s="8" t="s">
        <v>32</v>
      </c>
      <c r="I3026" s="8" t="s">
        <v>284</v>
      </c>
      <c r="J3026" s="8" t="s">
        <v>793</v>
      </c>
      <c r="K3026" s="10" t="s">
        <v>14384</v>
      </c>
      <c r="L3026" s="8" t="s">
        <v>58</v>
      </c>
      <c r="M3026" s="8" t="s">
        <v>35</v>
      </c>
      <c r="N3026" s="11">
        <v>45170.0</v>
      </c>
      <c r="O3026" s="11">
        <v>45327.0</v>
      </c>
      <c r="P3026" s="11">
        <v>45369.0</v>
      </c>
      <c r="Q3026" s="11"/>
      <c r="R3026" s="11"/>
      <c r="S3026" s="12"/>
      <c r="T3026" s="8"/>
      <c r="U3026" s="8" t="s">
        <v>59</v>
      </c>
      <c r="V3026" s="13" t="s">
        <v>537</v>
      </c>
      <c r="W3026" s="13" t="s">
        <v>14389</v>
      </c>
      <c r="X3026" s="12"/>
      <c r="Y3026" s="14"/>
      <c r="Z3026" s="14"/>
    </row>
    <row r="3027">
      <c r="A3027" s="8" t="s">
        <v>14390</v>
      </c>
      <c r="B3027" s="8" t="s">
        <v>14391</v>
      </c>
      <c r="C3027" s="8" t="s">
        <v>708</v>
      </c>
      <c r="D3027" s="8" t="s">
        <v>26</v>
      </c>
      <c r="E3027" s="8" t="s">
        <v>14392</v>
      </c>
      <c r="F3027" s="8">
        <v>5.5486697E7</v>
      </c>
      <c r="G3027" s="8" t="s">
        <v>54</v>
      </c>
      <c r="H3027" s="8" t="s">
        <v>244</v>
      </c>
      <c r="I3027" s="8" t="s">
        <v>31</v>
      </c>
      <c r="J3027" s="8" t="s">
        <v>256</v>
      </c>
      <c r="K3027" s="10" t="s">
        <v>13972</v>
      </c>
      <c r="L3027" s="8" t="s">
        <v>47</v>
      </c>
      <c r="M3027" s="8" t="s">
        <v>70</v>
      </c>
      <c r="N3027" s="11">
        <v>45171.0</v>
      </c>
      <c r="O3027" s="11">
        <v>45183.0</v>
      </c>
      <c r="P3027" s="11">
        <v>45548.0</v>
      </c>
      <c r="Q3027" s="11">
        <v>45176.0</v>
      </c>
      <c r="R3027" s="11">
        <v>45548.0</v>
      </c>
      <c r="S3027" s="12"/>
      <c r="T3027" s="8"/>
      <c r="U3027" s="8" t="s">
        <v>13973</v>
      </c>
      <c r="V3027" s="13" t="s">
        <v>247</v>
      </c>
      <c r="W3027" s="13" t="s">
        <v>14393</v>
      </c>
      <c r="X3027" s="12"/>
      <c r="Y3027" s="14"/>
      <c r="Z3027" s="14"/>
    </row>
    <row r="3028">
      <c r="A3028" s="8" t="s">
        <v>14394</v>
      </c>
      <c r="B3028" s="8" t="s">
        <v>5421</v>
      </c>
      <c r="C3028" s="8" t="s">
        <v>708</v>
      </c>
      <c r="D3028" s="8" t="s">
        <v>26</v>
      </c>
      <c r="E3028" s="8" t="s">
        <v>5422</v>
      </c>
      <c r="F3028" s="8">
        <v>5.52705418E8</v>
      </c>
      <c r="G3028" s="8" t="s">
        <v>254</v>
      </c>
      <c r="H3028" s="8" t="s">
        <v>291</v>
      </c>
      <c r="I3028" s="8" t="s">
        <v>31</v>
      </c>
      <c r="J3028" s="8" t="s">
        <v>542</v>
      </c>
      <c r="K3028" s="10" t="s">
        <v>5473</v>
      </c>
      <c r="L3028" s="8" t="s">
        <v>47</v>
      </c>
      <c r="M3028" s="8" t="s">
        <v>70</v>
      </c>
      <c r="N3028" s="11">
        <v>45171.0</v>
      </c>
      <c r="O3028" s="11">
        <v>45180.0</v>
      </c>
      <c r="P3028" s="11">
        <v>45509.0</v>
      </c>
      <c r="Q3028" s="11">
        <v>45179.0</v>
      </c>
      <c r="R3028" s="11">
        <v>45535.0</v>
      </c>
      <c r="S3028" s="12"/>
      <c r="T3028" s="8" t="s">
        <v>121</v>
      </c>
      <c r="U3028" s="8" t="s">
        <v>5474</v>
      </c>
      <c r="V3028" s="13" t="s">
        <v>295</v>
      </c>
      <c r="W3028" s="13" t="s">
        <v>5425</v>
      </c>
      <c r="X3028" s="12"/>
      <c r="Y3028" s="14"/>
      <c r="Z3028" s="14"/>
    </row>
    <row r="3029">
      <c r="A3029" s="8" t="s">
        <v>14395</v>
      </c>
      <c r="B3029" s="8" t="s">
        <v>14396</v>
      </c>
      <c r="C3029" s="8" t="s">
        <v>179</v>
      </c>
      <c r="D3029" s="8" t="s">
        <v>26</v>
      </c>
      <c r="E3029" s="8" t="s">
        <v>14397</v>
      </c>
      <c r="F3029" s="8">
        <v>5.4364175E9</v>
      </c>
      <c r="G3029" s="8" t="s">
        <v>31</v>
      </c>
      <c r="H3029" s="8" t="s">
        <v>32</v>
      </c>
      <c r="I3029" s="8" t="s">
        <v>44</v>
      </c>
      <c r="J3029" s="8" t="s">
        <v>741</v>
      </c>
      <c r="K3029" s="10" t="s">
        <v>2675</v>
      </c>
      <c r="L3029" s="8" t="s">
        <v>58</v>
      </c>
      <c r="M3029" s="8" t="s">
        <v>35</v>
      </c>
      <c r="N3029" s="11">
        <v>45172.0</v>
      </c>
      <c r="O3029" s="11">
        <v>45293.0</v>
      </c>
      <c r="P3029" s="11">
        <v>45335.0</v>
      </c>
      <c r="Q3029" s="11"/>
      <c r="R3029" s="11"/>
      <c r="S3029" s="12"/>
      <c r="T3029" s="8"/>
      <c r="U3029" s="8" t="s">
        <v>59</v>
      </c>
      <c r="V3029" s="13" t="s">
        <v>4518</v>
      </c>
      <c r="W3029" s="13" t="s">
        <v>14398</v>
      </c>
      <c r="X3029" s="12"/>
      <c r="Y3029" s="14"/>
      <c r="Z3029" s="14"/>
    </row>
    <row r="3030">
      <c r="A3030" s="8" t="s">
        <v>14399</v>
      </c>
      <c r="B3030" s="8" t="s">
        <v>14400</v>
      </c>
      <c r="C3030" s="8" t="s">
        <v>25</v>
      </c>
      <c r="D3030" s="8" t="s">
        <v>26</v>
      </c>
      <c r="E3030" s="8" t="s">
        <v>14401</v>
      </c>
      <c r="F3030" s="8"/>
      <c r="G3030" s="8" t="s">
        <v>230</v>
      </c>
      <c r="H3030" s="8" t="s">
        <v>10073</v>
      </c>
      <c r="I3030" s="8" t="s">
        <v>31</v>
      </c>
      <c r="J3030" s="8" t="s">
        <v>77</v>
      </c>
      <c r="K3030" s="10" t="s">
        <v>1281</v>
      </c>
      <c r="L3030" s="8" t="s">
        <v>58</v>
      </c>
      <c r="M3030" s="8" t="s">
        <v>35</v>
      </c>
      <c r="N3030" s="11">
        <v>45172.0</v>
      </c>
      <c r="O3030" s="11">
        <v>45173.0</v>
      </c>
      <c r="P3030" s="11">
        <v>45215.0</v>
      </c>
      <c r="Q3030" s="11">
        <v>45173.0</v>
      </c>
      <c r="R3030" s="11">
        <v>45215.0</v>
      </c>
      <c r="S3030" s="12"/>
      <c r="T3030" s="8"/>
      <c r="U3030" s="8" t="s">
        <v>59</v>
      </c>
      <c r="V3030" s="13" t="s">
        <v>38</v>
      </c>
      <c r="W3030" s="13" t="s">
        <v>14402</v>
      </c>
      <c r="X3030" s="12"/>
      <c r="Y3030" s="14"/>
      <c r="Z3030" s="14"/>
    </row>
    <row r="3031">
      <c r="A3031" s="8" t="s">
        <v>14403</v>
      </c>
      <c r="B3031" s="8" t="s">
        <v>14404</v>
      </c>
      <c r="C3031" s="8" t="s">
        <v>25</v>
      </c>
      <c r="D3031" s="8" t="s">
        <v>26</v>
      </c>
      <c r="E3031" s="8" t="s">
        <v>14405</v>
      </c>
      <c r="F3031" s="8">
        <v>5.18112147E8</v>
      </c>
      <c r="G3031" s="8" t="s">
        <v>230</v>
      </c>
      <c r="H3031" s="8" t="s">
        <v>10073</v>
      </c>
      <c r="I3031" s="8" t="s">
        <v>31</v>
      </c>
      <c r="J3031" s="8" t="s">
        <v>77</v>
      </c>
      <c r="K3031" s="10" t="s">
        <v>1281</v>
      </c>
      <c r="L3031" s="8" t="s">
        <v>58</v>
      </c>
      <c r="M3031" s="8" t="s">
        <v>35</v>
      </c>
      <c r="N3031" s="11">
        <v>45172.0</v>
      </c>
      <c r="O3031" s="11">
        <v>45173.0</v>
      </c>
      <c r="P3031" s="11">
        <v>45215.0</v>
      </c>
      <c r="Q3031" s="11">
        <v>45173.0</v>
      </c>
      <c r="R3031" s="11">
        <v>45215.0</v>
      </c>
      <c r="S3031" s="12"/>
      <c r="T3031" s="8"/>
      <c r="U3031" s="8" t="s">
        <v>59</v>
      </c>
      <c r="V3031" s="13" t="s">
        <v>14406</v>
      </c>
      <c r="W3031" s="13" t="s">
        <v>14407</v>
      </c>
      <c r="X3031" s="12"/>
      <c r="Y3031" s="14"/>
      <c r="Z3031" s="14"/>
    </row>
    <row r="3032">
      <c r="A3032" s="8" t="s">
        <v>14408</v>
      </c>
      <c r="B3032" s="8" t="s">
        <v>14409</v>
      </c>
      <c r="C3032" s="8" t="s">
        <v>708</v>
      </c>
      <c r="D3032" s="8" t="s">
        <v>26</v>
      </c>
      <c r="E3032" s="8" t="s">
        <v>14410</v>
      </c>
      <c r="F3032" s="8">
        <v>9.90465355E8</v>
      </c>
      <c r="G3032" s="8" t="s">
        <v>1620</v>
      </c>
      <c r="H3032" s="8" t="s">
        <v>1621</v>
      </c>
      <c r="I3032" s="8" t="s">
        <v>31</v>
      </c>
      <c r="J3032" s="8" t="s">
        <v>43</v>
      </c>
      <c r="K3032" s="10" t="s">
        <v>12504</v>
      </c>
      <c r="L3032" s="8" t="s">
        <v>58</v>
      </c>
      <c r="M3032" s="8" t="s">
        <v>35</v>
      </c>
      <c r="N3032" s="11">
        <v>45172.0</v>
      </c>
      <c r="O3032" s="11">
        <v>45313.0</v>
      </c>
      <c r="P3032" s="11">
        <v>45359.0</v>
      </c>
      <c r="Q3032" s="11">
        <v>45310.0</v>
      </c>
      <c r="R3032" s="11">
        <v>45359.0</v>
      </c>
      <c r="S3032" s="12"/>
      <c r="T3032" s="8"/>
      <c r="U3032" s="8" t="s">
        <v>59</v>
      </c>
      <c r="V3032" s="13" t="s">
        <v>1623</v>
      </c>
      <c r="W3032" s="13" t="s">
        <v>14411</v>
      </c>
      <c r="X3032" s="12"/>
      <c r="Y3032" s="14"/>
      <c r="Z3032" s="14"/>
    </row>
    <row r="3033">
      <c r="A3033" s="8" t="s">
        <v>14412</v>
      </c>
      <c r="B3033" s="8" t="s">
        <v>14413</v>
      </c>
      <c r="C3033" s="8" t="s">
        <v>179</v>
      </c>
      <c r="D3033" s="8" t="s">
        <v>26</v>
      </c>
      <c r="E3033" s="8" t="s">
        <v>14414</v>
      </c>
      <c r="F3033" s="8">
        <v>9.67373317E8</v>
      </c>
      <c r="G3033" s="8" t="s">
        <v>1620</v>
      </c>
      <c r="H3033" s="8" t="s">
        <v>1621</v>
      </c>
      <c r="I3033" s="8" t="s">
        <v>31</v>
      </c>
      <c r="J3033" s="8" t="s">
        <v>43</v>
      </c>
      <c r="K3033" s="10" t="s">
        <v>12504</v>
      </c>
      <c r="L3033" s="8" t="s">
        <v>58</v>
      </c>
      <c r="M3033" s="8" t="s">
        <v>35</v>
      </c>
      <c r="N3033" s="11">
        <v>45172.0</v>
      </c>
      <c r="O3033" s="11">
        <v>45313.0</v>
      </c>
      <c r="P3033" s="11">
        <v>45359.0</v>
      </c>
      <c r="Q3033" s="11"/>
      <c r="R3033" s="11"/>
      <c r="S3033" s="12"/>
      <c r="T3033" s="8"/>
      <c r="U3033" s="8" t="s">
        <v>59</v>
      </c>
      <c r="V3033" s="13" t="s">
        <v>13760</v>
      </c>
      <c r="W3033" s="13" t="s">
        <v>14415</v>
      </c>
      <c r="X3033" s="12"/>
      <c r="Y3033" s="14"/>
      <c r="Z3033" s="14"/>
    </row>
    <row r="3034">
      <c r="A3034" s="8" t="s">
        <v>14416</v>
      </c>
      <c r="B3034" s="8" t="s">
        <v>14417</v>
      </c>
      <c r="C3034" s="8" t="s">
        <v>25</v>
      </c>
      <c r="D3034" s="8" t="s">
        <v>26</v>
      </c>
      <c r="E3034" s="8" t="s">
        <v>14418</v>
      </c>
      <c r="F3034" s="8">
        <v>6.97249093E8</v>
      </c>
      <c r="G3034" s="8" t="s">
        <v>254</v>
      </c>
      <c r="H3034" s="8" t="s">
        <v>3087</v>
      </c>
      <c r="I3034" s="8" t="s">
        <v>31</v>
      </c>
      <c r="J3034" s="8" t="s">
        <v>56</v>
      </c>
      <c r="K3034" s="10" t="s">
        <v>11979</v>
      </c>
      <c r="L3034" s="8" t="s">
        <v>58</v>
      </c>
      <c r="M3034" s="8" t="s">
        <v>35</v>
      </c>
      <c r="N3034" s="11">
        <v>45172.0</v>
      </c>
      <c r="O3034" s="11">
        <v>45208.0</v>
      </c>
      <c r="P3034" s="11">
        <v>45250.0</v>
      </c>
      <c r="Q3034" s="11">
        <v>45211.0</v>
      </c>
      <c r="R3034" s="11">
        <v>45253.0</v>
      </c>
      <c r="S3034" s="12"/>
      <c r="T3034" s="8"/>
      <c r="U3034" s="8" t="s">
        <v>161</v>
      </c>
      <c r="V3034" s="13" t="s">
        <v>425</v>
      </c>
      <c r="W3034" s="13" t="s">
        <v>14419</v>
      </c>
      <c r="X3034" s="12"/>
      <c r="Y3034" s="14"/>
      <c r="Z3034" s="14"/>
    </row>
    <row r="3035">
      <c r="A3035" s="8" t="s">
        <v>14420</v>
      </c>
      <c r="B3035" s="8" t="s">
        <v>14421</v>
      </c>
      <c r="C3035" s="8" t="s">
        <v>179</v>
      </c>
      <c r="D3035" s="8" t="s">
        <v>26</v>
      </c>
      <c r="E3035" s="8" t="s">
        <v>14422</v>
      </c>
      <c r="F3035" s="8">
        <v>1.122871114E9</v>
      </c>
      <c r="G3035" s="8" t="s">
        <v>284</v>
      </c>
      <c r="H3035" s="8" t="s">
        <v>1287</v>
      </c>
      <c r="I3035" s="8" t="s">
        <v>31</v>
      </c>
      <c r="J3035" s="8" t="s">
        <v>32</v>
      </c>
      <c r="K3035" s="10" t="s">
        <v>14375</v>
      </c>
      <c r="L3035" s="8" t="s">
        <v>58</v>
      </c>
      <c r="M3035" s="8" t="s">
        <v>35</v>
      </c>
      <c r="N3035" s="11">
        <v>45172.0</v>
      </c>
      <c r="O3035" s="11">
        <v>45403.0</v>
      </c>
      <c r="P3035" s="11">
        <v>45445.0</v>
      </c>
      <c r="Q3035" s="11"/>
      <c r="R3035" s="11"/>
      <c r="S3035" s="12"/>
      <c r="T3035" s="8"/>
      <c r="U3035" s="8" t="s">
        <v>161</v>
      </c>
      <c r="V3035" s="13" t="s">
        <v>5072</v>
      </c>
      <c r="W3035" s="13" t="s">
        <v>14423</v>
      </c>
      <c r="X3035" s="12"/>
      <c r="Y3035" s="14"/>
      <c r="Z3035" s="14"/>
    </row>
    <row r="3036">
      <c r="A3036" s="8" t="s">
        <v>14424</v>
      </c>
      <c r="B3036" s="8" t="s">
        <v>14425</v>
      </c>
      <c r="C3036" s="8" t="s">
        <v>708</v>
      </c>
      <c r="D3036" s="8" t="s">
        <v>26</v>
      </c>
      <c r="E3036" s="8" t="s">
        <v>14426</v>
      </c>
      <c r="F3036" s="8">
        <v>9.59034252E8</v>
      </c>
      <c r="G3036" s="8" t="s">
        <v>1620</v>
      </c>
      <c r="H3036" s="8" t="s">
        <v>1621</v>
      </c>
      <c r="I3036" s="8" t="s">
        <v>31</v>
      </c>
      <c r="J3036" s="8" t="s">
        <v>43</v>
      </c>
      <c r="K3036" s="10" t="s">
        <v>12504</v>
      </c>
      <c r="L3036" s="8" t="s">
        <v>58</v>
      </c>
      <c r="M3036" s="8" t="s">
        <v>35</v>
      </c>
      <c r="N3036" s="11">
        <v>45172.0</v>
      </c>
      <c r="O3036" s="11">
        <v>45313.0</v>
      </c>
      <c r="P3036" s="11">
        <v>45359.0</v>
      </c>
      <c r="Q3036" s="11">
        <v>45310.0</v>
      </c>
      <c r="R3036" s="11">
        <v>45359.0</v>
      </c>
      <c r="S3036" s="12"/>
      <c r="T3036" s="8"/>
      <c r="U3036" s="8" t="s">
        <v>59</v>
      </c>
      <c r="V3036" s="13" t="s">
        <v>13760</v>
      </c>
      <c r="W3036" s="13" t="s">
        <v>14427</v>
      </c>
      <c r="X3036" s="12"/>
      <c r="Y3036" s="14"/>
      <c r="Z3036" s="14"/>
    </row>
    <row r="3037">
      <c r="A3037" s="8" t="s">
        <v>14428</v>
      </c>
      <c r="B3037" s="8" t="s">
        <v>14429</v>
      </c>
      <c r="C3037" s="8" t="s">
        <v>25</v>
      </c>
      <c r="D3037" s="8" t="s">
        <v>26</v>
      </c>
      <c r="E3037" s="8" t="s">
        <v>14430</v>
      </c>
      <c r="F3037" s="8"/>
      <c r="G3037" s="8" t="s">
        <v>31</v>
      </c>
      <c r="H3037" s="8" t="s">
        <v>43</v>
      </c>
      <c r="I3037" s="8" t="s">
        <v>230</v>
      </c>
      <c r="J3037" s="8" t="s">
        <v>13174</v>
      </c>
      <c r="K3037" s="10" t="s">
        <v>14431</v>
      </c>
      <c r="L3037" s="8" t="s">
        <v>58</v>
      </c>
      <c r="M3037" s="8" t="s">
        <v>35</v>
      </c>
      <c r="N3037" s="11">
        <v>45173.0</v>
      </c>
      <c r="O3037" s="11">
        <v>45186.0</v>
      </c>
      <c r="P3037" s="11">
        <v>45228.0</v>
      </c>
      <c r="Q3037" s="11">
        <v>45217.0</v>
      </c>
      <c r="R3037" s="11">
        <v>45259.0</v>
      </c>
      <c r="S3037" s="12"/>
      <c r="T3037" s="8"/>
      <c r="U3037" s="8" t="s">
        <v>59</v>
      </c>
      <c r="V3037" s="13" t="s">
        <v>77</v>
      </c>
      <c r="W3037" s="13" t="s">
        <v>14432</v>
      </c>
      <c r="X3037" s="12"/>
      <c r="Y3037" s="14"/>
      <c r="Z3037" s="14"/>
    </row>
    <row r="3038">
      <c r="A3038" s="8" t="s">
        <v>14433</v>
      </c>
      <c r="B3038" s="8" t="s">
        <v>14434</v>
      </c>
      <c r="C3038" s="8" t="s">
        <v>179</v>
      </c>
      <c r="D3038" s="8" t="s">
        <v>26</v>
      </c>
      <c r="E3038" s="8" t="s">
        <v>14435</v>
      </c>
      <c r="F3038" s="8">
        <v>5.2517896E7</v>
      </c>
      <c r="G3038" s="8" t="s">
        <v>54</v>
      </c>
      <c r="H3038" s="8" t="s">
        <v>377</v>
      </c>
      <c r="I3038" s="8" t="s">
        <v>31</v>
      </c>
      <c r="J3038" s="8" t="s">
        <v>77</v>
      </c>
      <c r="K3038" s="10" t="s">
        <v>4188</v>
      </c>
      <c r="L3038" s="8" t="s">
        <v>58</v>
      </c>
      <c r="M3038" s="8" t="s">
        <v>35</v>
      </c>
      <c r="N3038" s="11">
        <v>45173.0</v>
      </c>
      <c r="O3038" s="11">
        <v>45458.0</v>
      </c>
      <c r="P3038" s="11">
        <v>45500.0</v>
      </c>
      <c r="Q3038" s="11"/>
      <c r="R3038" s="11"/>
      <c r="S3038" s="12"/>
      <c r="T3038" s="8"/>
      <c r="U3038" s="8" t="s">
        <v>59</v>
      </c>
      <c r="V3038" s="13" t="s">
        <v>686</v>
      </c>
      <c r="W3038" s="13" t="s">
        <v>14436</v>
      </c>
      <c r="X3038" s="12"/>
      <c r="Y3038" s="14"/>
      <c r="Z3038" s="14"/>
    </row>
    <row r="3039">
      <c r="A3039" s="8" t="s">
        <v>14437</v>
      </c>
      <c r="B3039" s="8" t="s">
        <v>14438</v>
      </c>
      <c r="C3039" s="8" t="s">
        <v>708</v>
      </c>
      <c r="D3039" s="8" t="s">
        <v>26</v>
      </c>
      <c r="E3039" s="8" t="s">
        <v>14439</v>
      </c>
      <c r="F3039" s="8"/>
      <c r="G3039" s="8" t="s">
        <v>277</v>
      </c>
      <c r="H3039" s="8" t="s">
        <v>607</v>
      </c>
      <c r="I3039" s="8" t="s">
        <v>31</v>
      </c>
      <c r="J3039" s="8" t="s">
        <v>66</v>
      </c>
      <c r="K3039" s="10" t="s">
        <v>4901</v>
      </c>
      <c r="L3039" s="8" t="s">
        <v>47</v>
      </c>
      <c r="M3039" s="8" t="s">
        <v>70</v>
      </c>
      <c r="N3039" s="11">
        <v>45173.0</v>
      </c>
      <c r="O3039" s="11">
        <v>45180.0</v>
      </c>
      <c r="P3039" s="11">
        <v>45536.0</v>
      </c>
      <c r="Q3039" s="11">
        <v>45182.0</v>
      </c>
      <c r="R3039" s="11">
        <v>45536.0</v>
      </c>
      <c r="S3039" s="12"/>
      <c r="T3039" s="8"/>
      <c r="U3039" s="8" t="s">
        <v>4902</v>
      </c>
      <c r="V3039" s="13" t="s">
        <v>38</v>
      </c>
      <c r="W3039" s="13" t="s">
        <v>14440</v>
      </c>
      <c r="X3039" s="12"/>
      <c r="Y3039" s="14"/>
      <c r="Z3039" s="14"/>
    </row>
    <row r="3040">
      <c r="A3040" s="8" t="s">
        <v>14441</v>
      </c>
      <c r="B3040" s="8" t="s">
        <v>14442</v>
      </c>
      <c r="C3040" s="8" t="s">
        <v>179</v>
      </c>
      <c r="D3040" s="8" t="s">
        <v>26</v>
      </c>
      <c r="E3040" s="8" t="s">
        <v>14443</v>
      </c>
      <c r="F3040" s="8">
        <v>1.224540902E9</v>
      </c>
      <c r="G3040" s="8" t="s">
        <v>284</v>
      </c>
      <c r="H3040" s="8" t="s">
        <v>673</v>
      </c>
      <c r="I3040" s="8" t="s">
        <v>31</v>
      </c>
      <c r="J3040" s="8" t="s">
        <v>542</v>
      </c>
      <c r="K3040" s="10" t="s">
        <v>662</v>
      </c>
      <c r="L3040" s="8" t="s">
        <v>58</v>
      </c>
      <c r="M3040" s="8" t="s">
        <v>35</v>
      </c>
      <c r="N3040" s="11">
        <v>45173.0</v>
      </c>
      <c r="O3040" s="11">
        <v>45235.0</v>
      </c>
      <c r="P3040" s="11">
        <v>45277.0</v>
      </c>
      <c r="Q3040" s="11"/>
      <c r="R3040" s="11"/>
      <c r="S3040" s="12"/>
      <c r="T3040" s="8"/>
      <c r="U3040" s="8" t="s">
        <v>59</v>
      </c>
      <c r="V3040" s="13" t="s">
        <v>674</v>
      </c>
      <c r="W3040" s="13" t="s">
        <v>14444</v>
      </c>
      <c r="X3040" s="12"/>
      <c r="Y3040" s="14"/>
      <c r="Z3040" s="14"/>
    </row>
    <row r="3041">
      <c r="A3041" s="8" t="s">
        <v>14445</v>
      </c>
      <c r="B3041" s="8" t="s">
        <v>14446</v>
      </c>
      <c r="C3041" s="8" t="s">
        <v>25</v>
      </c>
      <c r="D3041" s="8" t="s">
        <v>26</v>
      </c>
      <c r="E3041" s="8" t="s">
        <v>14447</v>
      </c>
      <c r="F3041" s="8"/>
      <c r="G3041" s="8" t="s">
        <v>31</v>
      </c>
      <c r="H3041" s="8" t="s">
        <v>43</v>
      </c>
      <c r="I3041" s="8" t="s">
        <v>6352</v>
      </c>
      <c r="J3041" s="8" t="s">
        <v>6353</v>
      </c>
      <c r="K3041" s="10" t="s">
        <v>9693</v>
      </c>
      <c r="L3041" s="8" t="s">
        <v>58</v>
      </c>
      <c r="M3041" s="8" t="s">
        <v>35</v>
      </c>
      <c r="N3041" s="11">
        <v>45173.0</v>
      </c>
      <c r="O3041" s="11">
        <v>45159.0</v>
      </c>
      <c r="P3041" s="11">
        <v>45201.0</v>
      </c>
      <c r="Q3041" s="11">
        <v>45177.0</v>
      </c>
      <c r="R3041" s="11">
        <v>45219.0</v>
      </c>
      <c r="S3041" s="12"/>
      <c r="T3041" s="8"/>
      <c r="U3041" s="8" t="s">
        <v>1038</v>
      </c>
      <c r="V3041" s="13" t="s">
        <v>38</v>
      </c>
      <c r="W3041" s="13" t="s">
        <v>14448</v>
      </c>
      <c r="X3041" s="12"/>
      <c r="Y3041" s="14"/>
      <c r="Z3041" s="14"/>
    </row>
    <row r="3042">
      <c r="A3042" s="8" t="s">
        <v>14449</v>
      </c>
      <c r="B3042" s="8" t="s">
        <v>14450</v>
      </c>
      <c r="C3042" s="8" t="s">
        <v>179</v>
      </c>
      <c r="D3042" s="8" t="s">
        <v>26</v>
      </c>
      <c r="E3042" s="8" t="s">
        <v>14451</v>
      </c>
      <c r="F3042" s="8">
        <v>8.1911745289E10</v>
      </c>
      <c r="G3042" s="8" t="s">
        <v>4181</v>
      </c>
      <c r="H3042" s="8" t="s">
        <v>14452</v>
      </c>
      <c r="I3042" s="8" t="s">
        <v>31</v>
      </c>
      <c r="J3042" s="8" t="s">
        <v>292</v>
      </c>
      <c r="K3042" s="10" t="s">
        <v>12973</v>
      </c>
      <c r="L3042" s="8" t="s">
        <v>58</v>
      </c>
      <c r="M3042" s="8" t="s">
        <v>35</v>
      </c>
      <c r="N3042" s="11">
        <v>45174.0</v>
      </c>
      <c r="O3042" s="11">
        <v>45327.0</v>
      </c>
      <c r="P3042" s="11">
        <v>45369.0</v>
      </c>
      <c r="Q3042" s="11"/>
      <c r="R3042" s="11"/>
      <c r="S3042" s="12"/>
      <c r="T3042" s="8"/>
      <c r="U3042" s="8" t="s">
        <v>88</v>
      </c>
      <c r="V3042" s="13" t="s">
        <v>14453</v>
      </c>
      <c r="W3042" s="13" t="s">
        <v>14454</v>
      </c>
      <c r="X3042" s="12"/>
      <c r="Y3042" s="14"/>
      <c r="Z3042" s="14"/>
    </row>
    <row r="3043">
      <c r="A3043" s="8" t="s">
        <v>14455</v>
      </c>
      <c r="B3043" s="8" t="s">
        <v>14456</v>
      </c>
      <c r="C3043" s="8" t="s">
        <v>179</v>
      </c>
      <c r="D3043" s="8" t="s">
        <v>26</v>
      </c>
      <c r="E3043" s="8" t="s">
        <v>14457</v>
      </c>
      <c r="F3043" s="8">
        <v>3.483837908E9</v>
      </c>
      <c r="G3043" s="8" t="s">
        <v>29</v>
      </c>
      <c r="H3043" s="8" t="s">
        <v>6898</v>
      </c>
      <c r="I3043" s="8" t="s">
        <v>31</v>
      </c>
      <c r="J3043" s="8" t="s">
        <v>167</v>
      </c>
      <c r="K3043" s="10" t="s">
        <v>5996</v>
      </c>
      <c r="L3043" s="8" t="s">
        <v>58</v>
      </c>
      <c r="M3043" s="8" t="s">
        <v>35</v>
      </c>
      <c r="N3043" s="11">
        <v>45174.0</v>
      </c>
      <c r="O3043" s="11">
        <v>45488.0</v>
      </c>
      <c r="P3043" s="11">
        <v>45530.0</v>
      </c>
      <c r="Q3043" s="11"/>
      <c r="R3043" s="11"/>
      <c r="S3043" s="12"/>
      <c r="T3043" s="8"/>
      <c r="U3043" s="8" t="s">
        <v>130</v>
      </c>
      <c r="V3043" s="13" t="s">
        <v>38</v>
      </c>
      <c r="W3043" s="13" t="s">
        <v>14458</v>
      </c>
      <c r="X3043" s="12"/>
      <c r="Y3043" s="14"/>
      <c r="Z3043" s="14"/>
    </row>
    <row r="3044">
      <c r="A3044" s="8" t="s">
        <v>14459</v>
      </c>
      <c r="B3044" s="8" t="s">
        <v>14460</v>
      </c>
      <c r="C3044" s="8" t="s">
        <v>179</v>
      </c>
      <c r="D3044" s="8" t="s">
        <v>26</v>
      </c>
      <c r="E3044" s="8" t="s">
        <v>14461</v>
      </c>
      <c r="F3044" s="8">
        <v>3.005925608E9</v>
      </c>
      <c r="G3044" s="8" t="s">
        <v>315</v>
      </c>
      <c r="H3044" s="8" t="s">
        <v>316</v>
      </c>
      <c r="I3044" s="8" t="s">
        <v>31</v>
      </c>
      <c r="J3044" s="8" t="s">
        <v>56</v>
      </c>
      <c r="K3044" s="10" t="s">
        <v>12447</v>
      </c>
      <c r="L3044" s="8" t="s">
        <v>58</v>
      </c>
      <c r="M3044" s="8" t="s">
        <v>35</v>
      </c>
      <c r="N3044" s="11">
        <v>45174.0</v>
      </c>
      <c r="O3044" s="11">
        <v>45376.0</v>
      </c>
      <c r="P3044" s="11">
        <v>45418.0</v>
      </c>
      <c r="Q3044" s="11"/>
      <c r="R3044" s="11"/>
      <c r="S3044" s="12"/>
      <c r="T3044" s="8"/>
      <c r="U3044" s="8" t="s">
        <v>185</v>
      </c>
      <c r="V3044" s="13" t="s">
        <v>747</v>
      </c>
      <c r="W3044" s="13" t="s">
        <v>14462</v>
      </c>
      <c r="X3044" s="12"/>
      <c r="Y3044" s="14"/>
      <c r="Z3044" s="14"/>
    </row>
    <row r="3045">
      <c r="A3045" s="8" t="s">
        <v>14463</v>
      </c>
      <c r="B3045" s="8" t="s">
        <v>14464</v>
      </c>
      <c r="C3045" s="8" t="s">
        <v>179</v>
      </c>
      <c r="D3045" s="8" t="s">
        <v>26</v>
      </c>
      <c r="E3045" s="8" t="s">
        <v>14465</v>
      </c>
      <c r="F3045" s="8"/>
      <c r="G3045" s="8" t="s">
        <v>54</v>
      </c>
      <c r="H3045" s="8" t="s">
        <v>244</v>
      </c>
      <c r="I3045" s="8" t="s">
        <v>31</v>
      </c>
      <c r="J3045" s="8" t="s">
        <v>256</v>
      </c>
      <c r="K3045" s="10" t="s">
        <v>10689</v>
      </c>
      <c r="L3045" s="8" t="s">
        <v>58</v>
      </c>
      <c r="M3045" s="8" t="s">
        <v>35</v>
      </c>
      <c r="N3045" s="11">
        <v>45174.0</v>
      </c>
      <c r="O3045" s="11">
        <v>45483.0</v>
      </c>
      <c r="P3045" s="11">
        <v>45525.0</v>
      </c>
      <c r="Q3045" s="11"/>
      <c r="R3045" s="11"/>
      <c r="S3045" s="12"/>
      <c r="T3045" s="8"/>
      <c r="U3045" s="8" t="s">
        <v>59</v>
      </c>
      <c r="V3045" s="13" t="s">
        <v>38</v>
      </c>
      <c r="W3045" s="13" t="s">
        <v>14466</v>
      </c>
      <c r="X3045" s="12"/>
      <c r="Y3045" s="14"/>
      <c r="Z3045" s="14"/>
    </row>
    <row r="3046">
      <c r="A3046" s="8" t="s">
        <v>14467</v>
      </c>
      <c r="B3046" s="8" t="s">
        <v>14468</v>
      </c>
      <c r="C3046" s="8" t="s">
        <v>708</v>
      </c>
      <c r="D3046" s="8" t="s">
        <v>26</v>
      </c>
      <c r="E3046" s="8" t="s">
        <v>14469</v>
      </c>
      <c r="F3046" s="8">
        <v>9.6912118E7</v>
      </c>
      <c r="G3046" s="8" t="s">
        <v>54</v>
      </c>
      <c r="H3046" s="8" t="s">
        <v>377</v>
      </c>
      <c r="I3046" s="8" t="s">
        <v>31</v>
      </c>
      <c r="J3046" s="8" t="s">
        <v>292</v>
      </c>
      <c r="K3046" s="10" t="s">
        <v>12845</v>
      </c>
      <c r="L3046" s="8" t="s">
        <v>47</v>
      </c>
      <c r="M3046" s="8" t="s">
        <v>70</v>
      </c>
      <c r="N3046" s="11">
        <v>45174.0</v>
      </c>
      <c r="O3046" s="11">
        <v>45194.0</v>
      </c>
      <c r="P3046" s="11">
        <v>45555.0</v>
      </c>
      <c r="Q3046" s="11">
        <v>45197.0</v>
      </c>
      <c r="R3046" s="11">
        <v>45558.0</v>
      </c>
      <c r="S3046" s="12"/>
      <c r="T3046" s="8"/>
      <c r="U3046" s="8" t="s">
        <v>12846</v>
      </c>
      <c r="V3046" s="13" t="s">
        <v>2855</v>
      </c>
      <c r="W3046" s="13" t="s">
        <v>14470</v>
      </c>
      <c r="X3046" s="12"/>
      <c r="Y3046" s="14"/>
      <c r="Z3046" s="14"/>
    </row>
    <row r="3047">
      <c r="A3047" s="8" t="s">
        <v>14471</v>
      </c>
      <c r="B3047" s="8" t="s">
        <v>14472</v>
      </c>
      <c r="C3047" s="8" t="s">
        <v>708</v>
      </c>
      <c r="D3047" s="8" t="s">
        <v>26</v>
      </c>
      <c r="E3047" s="8" t="s">
        <v>14473</v>
      </c>
      <c r="F3047" s="8">
        <v>6.82155603E8</v>
      </c>
      <c r="G3047" s="8" t="s">
        <v>84</v>
      </c>
      <c r="H3047" s="8" t="s">
        <v>646</v>
      </c>
      <c r="I3047" s="8" t="s">
        <v>31</v>
      </c>
      <c r="J3047" s="8" t="s">
        <v>256</v>
      </c>
      <c r="K3047" s="10" t="s">
        <v>14474</v>
      </c>
      <c r="L3047" s="8" t="s">
        <v>47</v>
      </c>
      <c r="M3047" s="8" t="s">
        <v>70</v>
      </c>
      <c r="N3047" s="11">
        <v>45174.0</v>
      </c>
      <c r="O3047" s="11">
        <v>45189.0</v>
      </c>
      <c r="P3047" s="11">
        <v>45554.0</v>
      </c>
      <c r="Q3047" s="11">
        <v>45194.0</v>
      </c>
      <c r="R3047" s="11">
        <v>45559.0</v>
      </c>
      <c r="S3047" s="12"/>
      <c r="T3047" s="8"/>
      <c r="U3047" s="8" t="s">
        <v>246</v>
      </c>
      <c r="V3047" s="13" t="s">
        <v>154</v>
      </c>
      <c r="W3047" s="13" t="s">
        <v>14475</v>
      </c>
      <c r="X3047" s="12"/>
      <c r="Y3047" s="14"/>
      <c r="Z3047" s="14"/>
    </row>
    <row r="3048">
      <c r="A3048" s="8" t="s">
        <v>14476</v>
      </c>
      <c r="B3048" s="8" t="s">
        <v>14378</v>
      </c>
      <c r="C3048" s="8" t="s">
        <v>64</v>
      </c>
      <c r="D3048" s="8" t="s">
        <v>26</v>
      </c>
      <c r="E3048" s="8" t="s">
        <v>14379</v>
      </c>
      <c r="F3048" s="8">
        <v>1.099792054E9</v>
      </c>
      <c r="G3048" s="8" t="s">
        <v>284</v>
      </c>
      <c r="H3048" s="8" t="s">
        <v>1287</v>
      </c>
      <c r="I3048" s="8" t="s">
        <v>31</v>
      </c>
      <c r="J3048" s="8" t="s">
        <v>256</v>
      </c>
      <c r="K3048" s="10" t="s">
        <v>10689</v>
      </c>
      <c r="L3048" s="8" t="s">
        <v>58</v>
      </c>
      <c r="M3048" s="8" t="s">
        <v>35</v>
      </c>
      <c r="N3048" s="11">
        <v>45174.0</v>
      </c>
      <c r="O3048" s="11">
        <v>45240.0</v>
      </c>
      <c r="P3048" s="11">
        <v>45282.0</v>
      </c>
      <c r="Q3048" s="11">
        <v>45240.0</v>
      </c>
      <c r="R3048" s="11">
        <v>45282.0</v>
      </c>
      <c r="S3048" s="12"/>
      <c r="T3048" s="8"/>
      <c r="U3048" s="8" t="s">
        <v>59</v>
      </c>
      <c r="V3048" s="13" t="s">
        <v>5072</v>
      </c>
      <c r="W3048" s="13" t="s">
        <v>14380</v>
      </c>
      <c r="X3048" s="12"/>
      <c r="Y3048" s="14"/>
      <c r="Z3048" s="14"/>
    </row>
    <row r="3049">
      <c r="A3049" s="8" t="s">
        <v>14477</v>
      </c>
      <c r="B3049" s="8" t="s">
        <v>14478</v>
      </c>
      <c r="C3049" s="8" t="s">
        <v>64</v>
      </c>
      <c r="D3049" s="8" t="s">
        <v>26</v>
      </c>
      <c r="E3049" s="8" t="s">
        <v>14479</v>
      </c>
      <c r="F3049" s="8">
        <v>1.208799991E9</v>
      </c>
      <c r="G3049" s="8" t="s">
        <v>284</v>
      </c>
      <c r="H3049" s="8" t="s">
        <v>1287</v>
      </c>
      <c r="I3049" s="8" t="s">
        <v>31</v>
      </c>
      <c r="J3049" s="8" t="s">
        <v>256</v>
      </c>
      <c r="K3049" s="10" t="s">
        <v>10689</v>
      </c>
      <c r="L3049" s="8" t="s">
        <v>58</v>
      </c>
      <c r="M3049" s="8" t="s">
        <v>35</v>
      </c>
      <c r="N3049" s="11">
        <v>45174.0</v>
      </c>
      <c r="O3049" s="11">
        <v>45240.0</v>
      </c>
      <c r="P3049" s="11">
        <v>45282.0</v>
      </c>
      <c r="Q3049" s="11">
        <v>45240.0</v>
      </c>
      <c r="R3049" s="11">
        <v>45282.0</v>
      </c>
      <c r="S3049" s="12"/>
      <c r="T3049" s="8"/>
      <c r="U3049" s="8" t="s">
        <v>59</v>
      </c>
      <c r="V3049" s="13" t="s">
        <v>5072</v>
      </c>
      <c r="W3049" s="13" t="s">
        <v>14480</v>
      </c>
      <c r="X3049" s="12"/>
      <c r="Y3049" s="14"/>
      <c r="Z3049" s="14"/>
    </row>
    <row r="3050">
      <c r="A3050" s="8" t="s">
        <v>14481</v>
      </c>
      <c r="B3050" s="8" t="s">
        <v>14482</v>
      </c>
      <c r="C3050" s="8" t="s">
        <v>708</v>
      </c>
      <c r="D3050" s="8" t="s">
        <v>26</v>
      </c>
      <c r="E3050" s="8" t="s">
        <v>14483</v>
      </c>
      <c r="F3050" s="8">
        <v>7.06650579E8</v>
      </c>
      <c r="G3050" s="8" t="s">
        <v>84</v>
      </c>
      <c r="H3050" s="8" t="s">
        <v>646</v>
      </c>
      <c r="I3050" s="8" t="s">
        <v>31</v>
      </c>
      <c r="J3050" s="8" t="s">
        <v>256</v>
      </c>
      <c r="K3050" s="10" t="s">
        <v>14484</v>
      </c>
      <c r="L3050" s="8" t="s">
        <v>47</v>
      </c>
      <c r="M3050" s="8" t="s">
        <v>70</v>
      </c>
      <c r="N3050" s="11">
        <v>45174.0</v>
      </c>
      <c r="O3050" s="11">
        <v>45199.0</v>
      </c>
      <c r="P3050" s="11">
        <v>45564.0</v>
      </c>
      <c r="Q3050" s="11">
        <v>45189.0</v>
      </c>
      <c r="R3050" s="11">
        <v>45564.0</v>
      </c>
      <c r="S3050" s="12"/>
      <c r="T3050" s="8"/>
      <c r="U3050" s="8" t="s">
        <v>246</v>
      </c>
      <c r="V3050" s="13" t="s">
        <v>13672</v>
      </c>
      <c r="W3050" s="13" t="s">
        <v>14485</v>
      </c>
      <c r="X3050" s="12"/>
      <c r="Y3050" s="14"/>
      <c r="Z3050" s="14"/>
    </row>
    <row r="3051">
      <c r="A3051" s="8" t="s">
        <v>14486</v>
      </c>
      <c r="B3051" s="8" t="s">
        <v>14487</v>
      </c>
      <c r="C3051" s="8" t="s">
        <v>179</v>
      </c>
      <c r="D3051" s="8" t="s">
        <v>26</v>
      </c>
      <c r="E3051" s="8" t="s">
        <v>14488</v>
      </c>
      <c r="F3051" s="8">
        <v>1.129577629E9</v>
      </c>
      <c r="G3051" s="8" t="s">
        <v>284</v>
      </c>
      <c r="H3051" s="8" t="s">
        <v>1287</v>
      </c>
      <c r="I3051" s="8" t="s">
        <v>31</v>
      </c>
      <c r="J3051" s="8" t="s">
        <v>256</v>
      </c>
      <c r="K3051" s="10" t="s">
        <v>12202</v>
      </c>
      <c r="L3051" s="8" t="s">
        <v>58</v>
      </c>
      <c r="M3051" s="8" t="s">
        <v>35</v>
      </c>
      <c r="N3051" s="11">
        <v>45174.0</v>
      </c>
      <c r="O3051" s="11">
        <v>45200.0</v>
      </c>
      <c r="P3051" s="11">
        <v>45242.0</v>
      </c>
      <c r="Q3051" s="11"/>
      <c r="R3051" s="11"/>
      <c r="S3051" s="12"/>
      <c r="T3051" s="8"/>
      <c r="U3051" s="8" t="s">
        <v>59</v>
      </c>
      <c r="V3051" s="13" t="s">
        <v>5072</v>
      </c>
      <c r="W3051" s="13" t="s">
        <v>14489</v>
      </c>
      <c r="X3051" s="12"/>
      <c r="Y3051" s="14"/>
      <c r="Z3051" s="14"/>
    </row>
    <row r="3052">
      <c r="A3052" s="8" t="s">
        <v>14490</v>
      </c>
      <c r="B3052" s="8" t="s">
        <v>14491</v>
      </c>
      <c r="C3052" s="8" t="s">
        <v>708</v>
      </c>
      <c r="D3052" s="8" t="s">
        <v>26</v>
      </c>
      <c r="E3052" s="8" t="s">
        <v>14492</v>
      </c>
      <c r="F3052" s="8">
        <v>9.2407183E7</v>
      </c>
      <c r="G3052" s="8" t="s">
        <v>54</v>
      </c>
      <c r="H3052" s="8" t="s">
        <v>76</v>
      </c>
      <c r="I3052" s="8" t="s">
        <v>31</v>
      </c>
      <c r="J3052" s="8" t="s">
        <v>56</v>
      </c>
      <c r="K3052" s="10" t="s">
        <v>14493</v>
      </c>
      <c r="L3052" s="8" t="s">
        <v>47</v>
      </c>
      <c r="M3052" s="8" t="s">
        <v>70</v>
      </c>
      <c r="N3052" s="11">
        <v>45174.0</v>
      </c>
      <c r="O3052" s="11">
        <v>45187.0</v>
      </c>
      <c r="P3052" s="11">
        <v>45548.0</v>
      </c>
      <c r="Q3052" s="11">
        <v>45188.0</v>
      </c>
      <c r="R3052" s="11">
        <v>45548.0</v>
      </c>
      <c r="S3052" s="12"/>
      <c r="T3052" s="8"/>
      <c r="U3052" s="8" t="s">
        <v>795</v>
      </c>
      <c r="V3052" s="13" t="s">
        <v>491</v>
      </c>
      <c r="W3052" s="13" t="s">
        <v>14494</v>
      </c>
      <c r="X3052" s="12"/>
      <c r="Y3052" s="14"/>
      <c r="Z3052" s="14"/>
    </row>
    <row r="3053">
      <c r="A3053" s="8" t="s">
        <v>14495</v>
      </c>
      <c r="B3053" s="8" t="s">
        <v>6754</v>
      </c>
      <c r="C3053" s="8" t="s">
        <v>179</v>
      </c>
      <c r="D3053" s="8" t="s">
        <v>26</v>
      </c>
      <c r="E3053" s="8" t="s">
        <v>6755</v>
      </c>
      <c r="F3053" s="8">
        <v>1.032014376E9</v>
      </c>
      <c r="G3053" s="8" t="s">
        <v>284</v>
      </c>
      <c r="H3053" s="8" t="s">
        <v>854</v>
      </c>
      <c r="I3053" s="8" t="s">
        <v>31</v>
      </c>
      <c r="J3053" s="8" t="s">
        <v>77</v>
      </c>
      <c r="K3053" s="10" t="s">
        <v>4188</v>
      </c>
      <c r="L3053" s="8" t="s">
        <v>58</v>
      </c>
      <c r="M3053" s="8" t="s">
        <v>35</v>
      </c>
      <c r="N3053" s="11">
        <v>45174.0</v>
      </c>
      <c r="O3053" s="11">
        <v>45418.0</v>
      </c>
      <c r="P3053" s="11">
        <v>45460.0</v>
      </c>
      <c r="Q3053" s="11"/>
      <c r="R3053" s="11"/>
      <c r="S3053" s="12"/>
      <c r="T3053" s="8"/>
      <c r="U3053" s="8" t="s">
        <v>59</v>
      </c>
      <c r="V3053" s="13" t="s">
        <v>856</v>
      </c>
      <c r="W3053" s="13" t="s">
        <v>6756</v>
      </c>
      <c r="X3053" s="12"/>
      <c r="Y3053" s="14"/>
      <c r="Z3053" s="14"/>
    </row>
    <row r="3054">
      <c r="A3054" s="8" t="s">
        <v>14496</v>
      </c>
      <c r="B3054" s="8" t="s">
        <v>14497</v>
      </c>
      <c r="C3054" s="8" t="s">
        <v>179</v>
      </c>
      <c r="D3054" s="8" t="s">
        <v>26</v>
      </c>
      <c r="E3054" s="8" t="s">
        <v>14498</v>
      </c>
      <c r="F3054" s="8">
        <v>1.030106236E9</v>
      </c>
      <c r="G3054" s="8" t="s">
        <v>284</v>
      </c>
      <c r="H3054" s="8" t="s">
        <v>691</v>
      </c>
      <c r="I3054" s="8" t="s">
        <v>31</v>
      </c>
      <c r="J3054" s="8" t="s">
        <v>43</v>
      </c>
      <c r="K3054" s="10" t="s">
        <v>12504</v>
      </c>
      <c r="L3054" s="8" t="s">
        <v>58</v>
      </c>
      <c r="M3054" s="8" t="s">
        <v>35</v>
      </c>
      <c r="N3054" s="11">
        <v>45174.0</v>
      </c>
      <c r="O3054" s="11">
        <v>45313.0</v>
      </c>
      <c r="P3054" s="11">
        <v>45359.0</v>
      </c>
      <c r="Q3054" s="11"/>
      <c r="R3054" s="11"/>
      <c r="S3054" s="12"/>
      <c r="T3054" s="8"/>
      <c r="U3054" s="8" t="s">
        <v>59</v>
      </c>
      <c r="V3054" s="13" t="s">
        <v>692</v>
      </c>
      <c r="W3054" s="13" t="s">
        <v>14499</v>
      </c>
      <c r="X3054" s="12"/>
      <c r="Y3054" s="14"/>
      <c r="Z3054" s="14"/>
    </row>
    <row r="3055">
      <c r="A3055" s="8" t="s">
        <v>14500</v>
      </c>
      <c r="B3055" s="8" t="s">
        <v>14501</v>
      </c>
      <c r="C3055" s="8" t="s">
        <v>708</v>
      </c>
      <c r="D3055" s="8" t="s">
        <v>26</v>
      </c>
      <c r="E3055" s="8" t="s">
        <v>14502</v>
      </c>
      <c r="F3055" s="8">
        <v>5.4710018E7</v>
      </c>
      <c r="G3055" s="8" t="s">
        <v>54</v>
      </c>
      <c r="H3055" s="8" t="s">
        <v>76</v>
      </c>
      <c r="I3055" s="8" t="s">
        <v>31</v>
      </c>
      <c r="J3055" s="8" t="s">
        <v>56</v>
      </c>
      <c r="K3055" s="10" t="s">
        <v>14493</v>
      </c>
      <c r="L3055" s="8" t="s">
        <v>47</v>
      </c>
      <c r="M3055" s="8" t="s">
        <v>70</v>
      </c>
      <c r="N3055" s="11">
        <v>45175.0</v>
      </c>
      <c r="O3055" s="11">
        <v>45187.0</v>
      </c>
      <c r="P3055" s="11">
        <v>45548.0</v>
      </c>
      <c r="Q3055" s="11">
        <v>45188.0</v>
      </c>
      <c r="R3055" s="11">
        <v>45548.0</v>
      </c>
      <c r="S3055" s="12"/>
      <c r="T3055" s="8"/>
      <c r="U3055" s="8" t="s">
        <v>795</v>
      </c>
      <c r="V3055" s="13" t="s">
        <v>491</v>
      </c>
      <c r="W3055" s="13" t="s">
        <v>14503</v>
      </c>
      <c r="X3055" s="12"/>
      <c r="Y3055" s="14"/>
      <c r="Z3055" s="14"/>
    </row>
    <row r="3056">
      <c r="A3056" s="8" t="s">
        <v>14504</v>
      </c>
      <c r="B3056" s="8" t="s">
        <v>14505</v>
      </c>
      <c r="C3056" s="8" t="s">
        <v>179</v>
      </c>
      <c r="D3056" s="8" t="s">
        <v>26</v>
      </c>
      <c r="E3056" s="8" t="s">
        <v>14506</v>
      </c>
      <c r="F3056" s="8">
        <v>1.145082274E9</v>
      </c>
      <c r="G3056" s="8" t="s">
        <v>284</v>
      </c>
      <c r="H3056" s="8" t="s">
        <v>793</v>
      </c>
      <c r="I3056" s="8" t="s">
        <v>31</v>
      </c>
      <c r="J3056" s="8" t="s">
        <v>1274</v>
      </c>
      <c r="K3056" s="10" t="s">
        <v>14336</v>
      </c>
      <c r="L3056" s="8" t="s">
        <v>58</v>
      </c>
      <c r="M3056" s="8" t="s">
        <v>35</v>
      </c>
      <c r="N3056" s="11">
        <v>45175.0</v>
      </c>
      <c r="O3056" s="11">
        <v>45495.0</v>
      </c>
      <c r="P3056" s="11">
        <v>45537.0</v>
      </c>
      <c r="Q3056" s="11"/>
      <c r="R3056" s="11"/>
      <c r="S3056" s="12"/>
      <c r="T3056" s="8"/>
      <c r="U3056" s="8" t="s">
        <v>1038</v>
      </c>
      <c r="V3056" s="13" t="s">
        <v>793</v>
      </c>
      <c r="W3056" s="13" t="s">
        <v>14507</v>
      </c>
      <c r="X3056" s="12"/>
      <c r="Y3056" s="14"/>
      <c r="Z3056" s="14"/>
    </row>
    <row r="3057">
      <c r="A3057" s="8" t="s">
        <v>14508</v>
      </c>
      <c r="B3057" s="8" t="s">
        <v>7698</v>
      </c>
      <c r="C3057" s="8" t="s">
        <v>25</v>
      </c>
      <c r="D3057" s="8" t="s">
        <v>26</v>
      </c>
      <c r="E3057" s="8" t="s">
        <v>7699</v>
      </c>
      <c r="F3057" s="8"/>
      <c r="G3057" s="8" t="s">
        <v>31</v>
      </c>
      <c r="H3057" s="8" t="s">
        <v>86</v>
      </c>
      <c r="I3057" s="8" t="s">
        <v>399</v>
      </c>
      <c r="J3057" s="8" t="s">
        <v>3797</v>
      </c>
      <c r="K3057" s="10" t="s">
        <v>14509</v>
      </c>
      <c r="L3057" s="8" t="s">
        <v>58</v>
      </c>
      <c r="M3057" s="8" t="s">
        <v>35</v>
      </c>
      <c r="N3057" s="11">
        <v>45175.0</v>
      </c>
      <c r="O3057" s="11">
        <v>45187.0</v>
      </c>
      <c r="P3057" s="11">
        <v>45229.0</v>
      </c>
      <c r="Q3057" s="11">
        <v>45185.0</v>
      </c>
      <c r="R3057" s="11">
        <v>45229.0</v>
      </c>
      <c r="S3057" s="12"/>
      <c r="T3057" s="8"/>
      <c r="U3057" s="8" t="s">
        <v>632</v>
      </c>
      <c r="V3057" s="13" t="s">
        <v>38</v>
      </c>
      <c r="W3057" s="13" t="s">
        <v>7700</v>
      </c>
      <c r="X3057" s="12"/>
      <c r="Y3057" s="14"/>
      <c r="Z3057" s="14"/>
    </row>
    <row r="3058">
      <c r="A3058" s="8" t="s">
        <v>14510</v>
      </c>
      <c r="B3058" s="8" t="s">
        <v>14511</v>
      </c>
      <c r="C3058" s="8" t="s">
        <v>25</v>
      </c>
      <c r="D3058" s="8" t="s">
        <v>26</v>
      </c>
      <c r="E3058" s="8" t="s">
        <v>14512</v>
      </c>
      <c r="F3058" s="8"/>
      <c r="G3058" s="8" t="s">
        <v>54</v>
      </c>
      <c r="H3058" s="8" t="s">
        <v>377</v>
      </c>
      <c r="I3058" s="8" t="s">
        <v>31</v>
      </c>
      <c r="J3058" s="8" t="s">
        <v>77</v>
      </c>
      <c r="K3058" s="10" t="s">
        <v>14311</v>
      </c>
      <c r="L3058" s="8" t="s">
        <v>58</v>
      </c>
      <c r="M3058" s="8" t="s">
        <v>35</v>
      </c>
      <c r="N3058" s="11">
        <v>45175.0</v>
      </c>
      <c r="O3058" s="11">
        <v>45220.0</v>
      </c>
      <c r="P3058" s="11">
        <v>45262.0</v>
      </c>
      <c r="Q3058" s="11">
        <v>45220.0</v>
      </c>
      <c r="R3058" s="11">
        <v>45262.0</v>
      </c>
      <c r="S3058" s="12"/>
      <c r="T3058" s="8"/>
      <c r="U3058" s="8" t="s">
        <v>59</v>
      </c>
      <c r="V3058" s="13" t="s">
        <v>3806</v>
      </c>
      <c r="W3058" s="13" t="s">
        <v>14513</v>
      </c>
      <c r="X3058" s="12"/>
      <c r="Y3058" s="14"/>
      <c r="Z3058" s="14"/>
    </row>
    <row r="3059">
      <c r="A3059" s="8" t="s">
        <v>14514</v>
      </c>
      <c r="B3059" s="8" t="s">
        <v>14515</v>
      </c>
      <c r="C3059" s="8" t="s">
        <v>179</v>
      </c>
      <c r="D3059" s="8" t="s">
        <v>26</v>
      </c>
      <c r="E3059" s="8" t="s">
        <v>14516</v>
      </c>
      <c r="F3059" s="8">
        <v>9.953805059E9</v>
      </c>
      <c r="G3059" s="8" t="s">
        <v>44</v>
      </c>
      <c r="H3059" s="8" t="s">
        <v>3093</v>
      </c>
      <c r="I3059" s="8" t="s">
        <v>31</v>
      </c>
      <c r="J3059" s="8" t="s">
        <v>43</v>
      </c>
      <c r="K3059" s="10" t="s">
        <v>837</v>
      </c>
      <c r="L3059" s="8" t="s">
        <v>58</v>
      </c>
      <c r="M3059" s="8" t="s">
        <v>35</v>
      </c>
      <c r="N3059" s="11">
        <v>45175.0</v>
      </c>
      <c r="O3059" s="11">
        <v>45250.0</v>
      </c>
      <c r="P3059" s="11">
        <v>45292.0</v>
      </c>
      <c r="Q3059" s="11"/>
      <c r="R3059" s="11"/>
      <c r="S3059" s="12"/>
      <c r="T3059" s="8"/>
      <c r="U3059" s="8" t="s">
        <v>130</v>
      </c>
      <c r="V3059" s="13" t="s">
        <v>3093</v>
      </c>
      <c r="W3059" s="13" t="s">
        <v>14517</v>
      </c>
      <c r="X3059" s="12"/>
      <c r="Y3059" s="14"/>
      <c r="Z3059" s="14"/>
    </row>
    <row r="3060">
      <c r="A3060" s="8" t="s">
        <v>14518</v>
      </c>
      <c r="B3060" s="8" t="s">
        <v>14519</v>
      </c>
      <c r="C3060" s="8" t="s">
        <v>179</v>
      </c>
      <c r="D3060" s="8" t="s">
        <v>26</v>
      </c>
      <c r="E3060" s="8" t="s">
        <v>14520</v>
      </c>
      <c r="F3060" s="8">
        <v>1.154853402E9</v>
      </c>
      <c r="G3060" s="8" t="s">
        <v>284</v>
      </c>
      <c r="H3060" s="8" t="s">
        <v>2065</v>
      </c>
      <c r="I3060" s="8" t="s">
        <v>31</v>
      </c>
      <c r="J3060" s="8" t="s">
        <v>43</v>
      </c>
      <c r="K3060" s="10" t="s">
        <v>12504</v>
      </c>
      <c r="L3060" s="8" t="s">
        <v>58</v>
      </c>
      <c r="M3060" s="8" t="s">
        <v>35</v>
      </c>
      <c r="N3060" s="11">
        <v>45175.0</v>
      </c>
      <c r="O3060" s="11">
        <v>45264.0</v>
      </c>
      <c r="P3060" s="11">
        <v>45310.0</v>
      </c>
      <c r="Q3060" s="11"/>
      <c r="R3060" s="11"/>
      <c r="S3060" s="12"/>
      <c r="T3060" s="8"/>
      <c r="U3060" s="8" t="s">
        <v>59</v>
      </c>
      <c r="V3060" s="13" t="s">
        <v>38</v>
      </c>
      <c r="W3060" s="13" t="s">
        <v>14521</v>
      </c>
      <c r="X3060" s="12"/>
      <c r="Y3060" s="14"/>
      <c r="Z3060" s="14"/>
    </row>
    <row r="3061">
      <c r="A3061" s="8" t="s">
        <v>14522</v>
      </c>
      <c r="B3061" s="8" t="s">
        <v>6935</v>
      </c>
      <c r="C3061" s="8" t="s">
        <v>25</v>
      </c>
      <c r="D3061" s="8" t="s">
        <v>26</v>
      </c>
      <c r="E3061" s="8" t="s">
        <v>6936</v>
      </c>
      <c r="F3061" s="8">
        <v>6.18978343E8</v>
      </c>
      <c r="G3061" s="8" t="s">
        <v>84</v>
      </c>
      <c r="H3061" s="8" t="s">
        <v>1266</v>
      </c>
      <c r="I3061" s="8" t="s">
        <v>31</v>
      </c>
      <c r="J3061" s="8" t="s">
        <v>56</v>
      </c>
      <c r="K3061" s="10" t="s">
        <v>12274</v>
      </c>
      <c r="L3061" s="8" t="s">
        <v>58</v>
      </c>
      <c r="M3061" s="8" t="s">
        <v>35</v>
      </c>
      <c r="N3061" s="11">
        <v>45175.0</v>
      </c>
      <c r="O3061" s="11">
        <v>45264.0</v>
      </c>
      <c r="P3061" s="11">
        <v>45306.0</v>
      </c>
      <c r="Q3061" s="11">
        <v>45266.0</v>
      </c>
      <c r="R3061" s="11">
        <v>45306.0</v>
      </c>
      <c r="S3061" s="12"/>
      <c r="T3061" s="8"/>
      <c r="U3061" s="8" t="s">
        <v>161</v>
      </c>
      <c r="V3061" s="13" t="s">
        <v>6937</v>
      </c>
      <c r="W3061" s="13" t="s">
        <v>6938</v>
      </c>
      <c r="X3061" s="12"/>
      <c r="Y3061" s="14"/>
      <c r="Z3061" s="14"/>
    </row>
    <row r="3062">
      <c r="A3062" s="8" t="s">
        <v>14523</v>
      </c>
      <c r="B3062" s="8" t="s">
        <v>14524</v>
      </c>
      <c r="C3062" s="8" t="s">
        <v>708</v>
      </c>
      <c r="D3062" s="8" t="s">
        <v>26</v>
      </c>
      <c r="E3062" s="8" t="s">
        <v>14525</v>
      </c>
      <c r="F3062" s="8">
        <v>5.0079178E7</v>
      </c>
      <c r="G3062" s="8" t="s">
        <v>54</v>
      </c>
      <c r="H3062" s="8" t="s">
        <v>377</v>
      </c>
      <c r="I3062" s="8" t="s">
        <v>31</v>
      </c>
      <c r="J3062" s="8" t="s">
        <v>292</v>
      </c>
      <c r="K3062" s="10" t="s">
        <v>14526</v>
      </c>
      <c r="L3062" s="8" t="s">
        <v>47</v>
      </c>
      <c r="M3062" s="8" t="s">
        <v>70</v>
      </c>
      <c r="N3062" s="11">
        <v>45175.0</v>
      </c>
      <c r="O3062" s="11">
        <v>45185.0</v>
      </c>
      <c r="P3062" s="11">
        <v>45474.0</v>
      </c>
      <c r="Q3062" s="11">
        <v>45188.0</v>
      </c>
      <c r="R3062" s="11">
        <v>45475.0</v>
      </c>
      <c r="S3062" s="12"/>
      <c r="T3062" s="8"/>
      <c r="U3062" s="8" t="s">
        <v>246</v>
      </c>
      <c r="V3062" s="13" t="s">
        <v>1604</v>
      </c>
      <c r="W3062" s="13" t="s">
        <v>14527</v>
      </c>
      <c r="X3062" s="12"/>
      <c r="Y3062" s="14"/>
      <c r="Z3062" s="14"/>
    </row>
    <row r="3063">
      <c r="A3063" s="8" t="s">
        <v>14528</v>
      </c>
      <c r="B3063" s="8" t="s">
        <v>11538</v>
      </c>
      <c r="C3063" s="8" t="s">
        <v>179</v>
      </c>
      <c r="D3063" s="8" t="s">
        <v>26</v>
      </c>
      <c r="E3063" s="8" t="s">
        <v>11539</v>
      </c>
      <c r="F3063" s="8">
        <v>5.389718726E9</v>
      </c>
      <c r="G3063" s="8" t="s">
        <v>31</v>
      </c>
      <c r="H3063" s="8" t="s">
        <v>220</v>
      </c>
      <c r="I3063" s="8" t="s">
        <v>284</v>
      </c>
      <c r="J3063" s="8" t="s">
        <v>300</v>
      </c>
      <c r="K3063" s="10" t="s">
        <v>14529</v>
      </c>
      <c r="L3063" s="8" t="s">
        <v>58</v>
      </c>
      <c r="M3063" s="8" t="s">
        <v>35</v>
      </c>
      <c r="N3063" s="11">
        <v>45176.0</v>
      </c>
      <c r="O3063" s="11">
        <v>45323.0</v>
      </c>
      <c r="P3063" s="11">
        <v>45365.0</v>
      </c>
      <c r="Q3063" s="11"/>
      <c r="R3063" s="11"/>
      <c r="S3063" s="12"/>
      <c r="T3063" s="8"/>
      <c r="U3063" s="8" t="s">
        <v>1038</v>
      </c>
      <c r="V3063" s="13" t="s">
        <v>220</v>
      </c>
      <c r="W3063" s="13" t="s">
        <v>11541</v>
      </c>
      <c r="X3063" s="12"/>
      <c r="Y3063" s="14"/>
      <c r="Z3063" s="14"/>
    </row>
    <row r="3064">
      <c r="A3064" s="8" t="s">
        <v>14530</v>
      </c>
      <c r="B3064" s="8" t="s">
        <v>7788</v>
      </c>
      <c r="C3064" s="8" t="s">
        <v>179</v>
      </c>
      <c r="D3064" s="8" t="s">
        <v>26</v>
      </c>
      <c r="E3064" s="8" t="s">
        <v>7789</v>
      </c>
      <c r="F3064" s="8" t="s">
        <v>7790</v>
      </c>
      <c r="G3064" s="8" t="s">
        <v>31</v>
      </c>
      <c r="H3064" s="8" t="s">
        <v>220</v>
      </c>
      <c r="I3064" s="8" t="s">
        <v>284</v>
      </c>
      <c r="J3064" s="8" t="s">
        <v>300</v>
      </c>
      <c r="K3064" s="10" t="s">
        <v>14529</v>
      </c>
      <c r="L3064" s="8" t="s">
        <v>58</v>
      </c>
      <c r="M3064" s="8" t="s">
        <v>35</v>
      </c>
      <c r="N3064" s="11">
        <v>45176.0</v>
      </c>
      <c r="O3064" s="11">
        <v>45323.0</v>
      </c>
      <c r="P3064" s="11">
        <v>45365.0</v>
      </c>
      <c r="Q3064" s="11"/>
      <c r="R3064" s="11"/>
      <c r="S3064" s="12"/>
      <c r="T3064" s="8"/>
      <c r="U3064" s="8" t="s">
        <v>1038</v>
      </c>
      <c r="V3064" s="13" t="s">
        <v>220</v>
      </c>
      <c r="W3064" s="13" t="s">
        <v>7791</v>
      </c>
      <c r="X3064" s="12"/>
      <c r="Y3064" s="14"/>
      <c r="Z3064" s="14"/>
    </row>
    <row r="3065">
      <c r="A3065" s="8" t="s">
        <v>14531</v>
      </c>
      <c r="B3065" s="8" t="s">
        <v>9627</v>
      </c>
      <c r="C3065" s="8" t="s">
        <v>179</v>
      </c>
      <c r="D3065" s="8" t="s">
        <v>26</v>
      </c>
      <c r="E3065" s="8" t="s">
        <v>9628</v>
      </c>
      <c r="F3065" s="8">
        <v>5.052667525E9</v>
      </c>
      <c r="G3065" s="8" t="s">
        <v>31</v>
      </c>
      <c r="H3065" s="8" t="s">
        <v>220</v>
      </c>
      <c r="I3065" s="8" t="s">
        <v>284</v>
      </c>
      <c r="J3065" s="8" t="s">
        <v>300</v>
      </c>
      <c r="K3065" s="10" t="s">
        <v>14529</v>
      </c>
      <c r="L3065" s="8" t="s">
        <v>58</v>
      </c>
      <c r="M3065" s="8" t="s">
        <v>35</v>
      </c>
      <c r="N3065" s="11">
        <v>45176.0</v>
      </c>
      <c r="O3065" s="11">
        <v>45323.0</v>
      </c>
      <c r="P3065" s="11">
        <v>45365.0</v>
      </c>
      <c r="Q3065" s="11"/>
      <c r="R3065" s="11"/>
      <c r="S3065" s="12"/>
      <c r="T3065" s="8"/>
      <c r="U3065" s="8" t="s">
        <v>1038</v>
      </c>
      <c r="V3065" s="13" t="s">
        <v>220</v>
      </c>
      <c r="W3065" s="13" t="s">
        <v>9631</v>
      </c>
      <c r="X3065" s="12"/>
      <c r="Y3065" s="14"/>
      <c r="Z3065" s="14"/>
    </row>
    <row r="3066">
      <c r="A3066" s="8" t="s">
        <v>14532</v>
      </c>
      <c r="B3066" s="8" t="s">
        <v>14533</v>
      </c>
      <c r="C3066" s="8" t="s">
        <v>179</v>
      </c>
      <c r="D3066" s="8" t="s">
        <v>26</v>
      </c>
      <c r="E3066" s="8" t="s">
        <v>14534</v>
      </c>
      <c r="F3066" s="8">
        <v>1.01889618E9</v>
      </c>
      <c r="G3066" s="8" t="s">
        <v>284</v>
      </c>
      <c r="H3066" s="8" t="s">
        <v>793</v>
      </c>
      <c r="I3066" s="8" t="s">
        <v>31</v>
      </c>
      <c r="J3066" s="8" t="s">
        <v>1274</v>
      </c>
      <c r="K3066" s="10" t="s">
        <v>14535</v>
      </c>
      <c r="L3066" s="8" t="s">
        <v>34</v>
      </c>
      <c r="M3066" s="8" t="s">
        <v>70</v>
      </c>
      <c r="N3066" s="11">
        <v>45176.0</v>
      </c>
      <c r="O3066" s="11">
        <v>45179.0</v>
      </c>
      <c r="P3066" s="11">
        <v>45483.0</v>
      </c>
      <c r="Q3066" s="11"/>
      <c r="R3066" s="11"/>
      <c r="S3066" s="12"/>
      <c r="T3066" s="8" t="s">
        <v>205</v>
      </c>
      <c r="U3066" s="8" t="s">
        <v>205</v>
      </c>
      <c r="V3066" s="13" t="s">
        <v>793</v>
      </c>
      <c r="W3066" s="13" t="s">
        <v>14536</v>
      </c>
      <c r="X3066" s="12"/>
      <c r="Y3066" s="14"/>
      <c r="Z3066" s="14"/>
    </row>
    <row r="3067">
      <c r="A3067" s="8" t="s">
        <v>14537</v>
      </c>
      <c r="B3067" s="8" t="s">
        <v>14538</v>
      </c>
      <c r="C3067" s="8" t="s">
        <v>179</v>
      </c>
      <c r="D3067" s="8" t="s">
        <v>26</v>
      </c>
      <c r="E3067" s="8" t="s">
        <v>14539</v>
      </c>
      <c r="F3067" s="8"/>
      <c r="G3067" s="8" t="s">
        <v>54</v>
      </c>
      <c r="H3067" s="8" t="s">
        <v>76</v>
      </c>
      <c r="I3067" s="8" t="s">
        <v>31</v>
      </c>
      <c r="J3067" s="8" t="s">
        <v>77</v>
      </c>
      <c r="K3067" s="10" t="s">
        <v>4188</v>
      </c>
      <c r="L3067" s="8" t="s">
        <v>58</v>
      </c>
      <c r="M3067" s="8" t="s">
        <v>35</v>
      </c>
      <c r="N3067" s="11">
        <v>45176.0</v>
      </c>
      <c r="O3067" s="11">
        <v>45458.0</v>
      </c>
      <c r="P3067" s="11">
        <v>45500.0</v>
      </c>
      <c r="Q3067" s="11"/>
      <c r="R3067" s="11"/>
      <c r="S3067" s="12"/>
      <c r="T3067" s="8"/>
      <c r="U3067" s="8" t="s">
        <v>59</v>
      </c>
      <c r="V3067" s="13" t="s">
        <v>38</v>
      </c>
      <c r="W3067" s="13" t="s">
        <v>14540</v>
      </c>
      <c r="X3067" s="12"/>
      <c r="Y3067" s="14"/>
      <c r="Z3067" s="14"/>
    </row>
    <row r="3068">
      <c r="A3068" s="8" t="s">
        <v>14541</v>
      </c>
      <c r="B3068" s="8" t="s">
        <v>14542</v>
      </c>
      <c r="C3068" s="8" t="s">
        <v>179</v>
      </c>
      <c r="D3068" s="8" t="s">
        <v>26</v>
      </c>
      <c r="E3068" s="8" t="s">
        <v>14543</v>
      </c>
      <c r="F3068" s="8"/>
      <c r="G3068" s="8" t="s">
        <v>54</v>
      </c>
      <c r="H3068" s="8" t="s">
        <v>76</v>
      </c>
      <c r="I3068" s="8" t="s">
        <v>31</v>
      </c>
      <c r="J3068" s="8" t="s">
        <v>77</v>
      </c>
      <c r="K3068" s="10" t="s">
        <v>2555</v>
      </c>
      <c r="L3068" s="8" t="s">
        <v>58</v>
      </c>
      <c r="M3068" s="8" t="s">
        <v>35</v>
      </c>
      <c r="N3068" s="11">
        <v>45176.0</v>
      </c>
      <c r="O3068" s="11">
        <v>45334.0</v>
      </c>
      <c r="P3068" s="11">
        <v>45376.0</v>
      </c>
      <c r="Q3068" s="11"/>
      <c r="R3068" s="11"/>
      <c r="S3068" s="12"/>
      <c r="T3068" s="8"/>
      <c r="U3068" s="8" t="s">
        <v>371</v>
      </c>
      <c r="V3068" s="13" t="s">
        <v>14544</v>
      </c>
      <c r="W3068" s="13" t="s">
        <v>14545</v>
      </c>
      <c r="X3068" s="12"/>
      <c r="Y3068" s="14"/>
      <c r="Z3068" s="14"/>
    </row>
    <row r="3069">
      <c r="A3069" s="8" t="s">
        <v>14546</v>
      </c>
      <c r="B3069" s="8" t="s">
        <v>14547</v>
      </c>
      <c r="C3069" s="8" t="s">
        <v>708</v>
      </c>
      <c r="D3069" s="8" t="s">
        <v>26</v>
      </c>
      <c r="E3069" s="8" t="s">
        <v>14548</v>
      </c>
      <c r="F3069" s="8">
        <v>1.019337767E9</v>
      </c>
      <c r="G3069" s="8" t="s">
        <v>284</v>
      </c>
      <c r="H3069" s="8" t="s">
        <v>673</v>
      </c>
      <c r="I3069" s="8" t="s">
        <v>31</v>
      </c>
      <c r="J3069" s="8" t="s">
        <v>542</v>
      </c>
      <c r="K3069" s="10" t="s">
        <v>8953</v>
      </c>
      <c r="L3069" s="8" t="s">
        <v>34</v>
      </c>
      <c r="M3069" s="8" t="s">
        <v>70</v>
      </c>
      <c r="N3069" s="11">
        <v>45176.0</v>
      </c>
      <c r="O3069" s="11">
        <v>45215.0</v>
      </c>
      <c r="P3069" s="11">
        <v>45576.0</v>
      </c>
      <c r="Q3069" s="11">
        <v>45219.0</v>
      </c>
      <c r="R3069" s="11">
        <v>45580.0</v>
      </c>
      <c r="S3069" s="12"/>
      <c r="T3069" s="8" t="s">
        <v>36</v>
      </c>
      <c r="U3069" s="8" t="s">
        <v>8954</v>
      </c>
      <c r="V3069" s="13" t="s">
        <v>674</v>
      </c>
      <c r="W3069" s="13" t="s">
        <v>14549</v>
      </c>
      <c r="X3069" s="12"/>
      <c r="Y3069" s="14"/>
      <c r="Z3069" s="14"/>
    </row>
    <row r="3070">
      <c r="A3070" s="8" t="s">
        <v>14550</v>
      </c>
      <c r="B3070" s="8" t="s">
        <v>14551</v>
      </c>
      <c r="C3070" s="8" t="s">
        <v>179</v>
      </c>
      <c r="D3070" s="8" t="s">
        <v>26</v>
      </c>
      <c r="E3070" s="8" t="s">
        <v>14552</v>
      </c>
      <c r="F3070" s="8">
        <v>1.065340518E9</v>
      </c>
      <c r="G3070" s="8" t="s">
        <v>284</v>
      </c>
      <c r="H3070" s="8" t="s">
        <v>793</v>
      </c>
      <c r="I3070" s="8" t="s">
        <v>31</v>
      </c>
      <c r="J3070" s="8" t="s">
        <v>256</v>
      </c>
      <c r="K3070" s="10" t="s">
        <v>10689</v>
      </c>
      <c r="L3070" s="8" t="s">
        <v>58</v>
      </c>
      <c r="M3070" s="8" t="s">
        <v>35</v>
      </c>
      <c r="N3070" s="11">
        <v>45177.0</v>
      </c>
      <c r="O3070" s="11">
        <v>45516.0</v>
      </c>
      <c r="P3070" s="11">
        <v>45558.0</v>
      </c>
      <c r="Q3070" s="11"/>
      <c r="R3070" s="11"/>
      <c r="S3070" s="12"/>
      <c r="T3070" s="8"/>
      <c r="U3070" s="8" t="s">
        <v>59</v>
      </c>
      <c r="V3070" s="13" t="s">
        <v>793</v>
      </c>
      <c r="W3070" s="13" t="s">
        <v>14553</v>
      </c>
      <c r="X3070" s="12"/>
      <c r="Y3070" s="14"/>
      <c r="Z3070" s="14"/>
    </row>
    <row r="3071">
      <c r="A3071" s="8" t="s">
        <v>14554</v>
      </c>
      <c r="B3071" s="8" t="s">
        <v>14555</v>
      </c>
      <c r="C3071" s="8" t="s">
        <v>179</v>
      </c>
      <c r="D3071" s="8" t="s">
        <v>26</v>
      </c>
      <c r="E3071" s="8" t="s">
        <v>14556</v>
      </c>
      <c r="F3071" s="8">
        <v>1.093793117E9</v>
      </c>
      <c r="G3071" s="8" t="s">
        <v>284</v>
      </c>
      <c r="H3071" s="8" t="s">
        <v>793</v>
      </c>
      <c r="I3071" s="8" t="s">
        <v>31</v>
      </c>
      <c r="J3071" s="8" t="s">
        <v>256</v>
      </c>
      <c r="K3071" s="10" t="s">
        <v>10689</v>
      </c>
      <c r="L3071" s="8" t="s">
        <v>58</v>
      </c>
      <c r="M3071" s="8" t="s">
        <v>35</v>
      </c>
      <c r="N3071" s="11">
        <v>45177.0</v>
      </c>
      <c r="O3071" s="11">
        <v>45516.0</v>
      </c>
      <c r="P3071" s="11">
        <v>45558.0</v>
      </c>
      <c r="Q3071" s="11"/>
      <c r="R3071" s="11"/>
      <c r="S3071" s="12"/>
      <c r="T3071" s="8"/>
      <c r="U3071" s="8" t="s">
        <v>59</v>
      </c>
      <c r="V3071" s="13" t="s">
        <v>793</v>
      </c>
      <c r="W3071" s="13" t="s">
        <v>14557</v>
      </c>
      <c r="X3071" s="12"/>
      <c r="Y3071" s="14"/>
      <c r="Z3071" s="14"/>
    </row>
    <row r="3072">
      <c r="A3072" s="8" t="s">
        <v>14558</v>
      </c>
      <c r="B3072" s="8" t="s">
        <v>13616</v>
      </c>
      <c r="C3072" s="8" t="s">
        <v>179</v>
      </c>
      <c r="D3072" s="8" t="s">
        <v>26</v>
      </c>
      <c r="E3072" s="8" t="s">
        <v>13617</v>
      </c>
      <c r="F3072" s="8">
        <v>6.99421316E8</v>
      </c>
      <c r="G3072" s="8" t="s">
        <v>3627</v>
      </c>
      <c r="H3072" s="8" t="s">
        <v>13618</v>
      </c>
      <c r="I3072" s="8" t="s">
        <v>31</v>
      </c>
      <c r="J3072" s="8" t="s">
        <v>43</v>
      </c>
      <c r="K3072" s="10" t="s">
        <v>11166</v>
      </c>
      <c r="L3072" s="8" t="s">
        <v>58</v>
      </c>
      <c r="M3072" s="8" t="s">
        <v>35</v>
      </c>
      <c r="N3072" s="11">
        <v>45177.0</v>
      </c>
      <c r="O3072" s="11">
        <v>45180.0</v>
      </c>
      <c r="P3072" s="11">
        <v>45222.0</v>
      </c>
      <c r="Q3072" s="11"/>
      <c r="R3072" s="11"/>
      <c r="S3072" s="12"/>
      <c r="T3072" s="8"/>
      <c r="U3072" s="8" t="s">
        <v>59</v>
      </c>
      <c r="V3072" s="13" t="s">
        <v>13619</v>
      </c>
      <c r="W3072" s="13" t="s">
        <v>13620</v>
      </c>
      <c r="X3072" s="12"/>
      <c r="Y3072" s="14"/>
      <c r="Z3072" s="14"/>
    </row>
    <row r="3073">
      <c r="A3073" s="8" t="s">
        <v>14559</v>
      </c>
      <c r="B3073" s="8" t="s">
        <v>14560</v>
      </c>
      <c r="C3073" s="8" t="s">
        <v>179</v>
      </c>
      <c r="D3073" s="8" t="s">
        <v>26</v>
      </c>
      <c r="E3073" s="8" t="s">
        <v>14561</v>
      </c>
      <c r="F3073" s="8">
        <v>6.61469904E8</v>
      </c>
      <c r="G3073" s="8" t="s">
        <v>1620</v>
      </c>
      <c r="H3073" s="8" t="s">
        <v>1621</v>
      </c>
      <c r="I3073" s="8" t="s">
        <v>31</v>
      </c>
      <c r="J3073" s="8" t="s">
        <v>43</v>
      </c>
      <c r="K3073" s="10" t="s">
        <v>837</v>
      </c>
      <c r="L3073" s="8" t="s">
        <v>58</v>
      </c>
      <c r="M3073" s="8" t="s">
        <v>35</v>
      </c>
      <c r="N3073" s="11">
        <v>45177.0</v>
      </c>
      <c r="O3073" s="11">
        <v>45348.0</v>
      </c>
      <c r="P3073" s="11">
        <v>45390.0</v>
      </c>
      <c r="Q3073" s="11"/>
      <c r="R3073" s="11"/>
      <c r="S3073" s="12"/>
      <c r="T3073" s="8"/>
      <c r="U3073" s="8" t="s">
        <v>130</v>
      </c>
      <c r="V3073" s="13" t="s">
        <v>13760</v>
      </c>
      <c r="W3073" s="13" t="s">
        <v>14562</v>
      </c>
      <c r="X3073" s="12"/>
      <c r="Y3073" s="14"/>
      <c r="Z3073" s="14"/>
    </row>
    <row r="3074">
      <c r="A3074" s="8" t="s">
        <v>14563</v>
      </c>
      <c r="B3074" s="8" t="s">
        <v>14564</v>
      </c>
      <c r="C3074" s="8" t="s">
        <v>179</v>
      </c>
      <c r="D3074" s="8" t="s">
        <v>26</v>
      </c>
      <c r="E3074" s="8" t="s">
        <v>14565</v>
      </c>
      <c r="F3074" s="8">
        <v>9.88725612E8</v>
      </c>
      <c r="G3074" s="8" t="s">
        <v>1620</v>
      </c>
      <c r="H3074" s="8" t="s">
        <v>1621</v>
      </c>
      <c r="I3074" s="8" t="s">
        <v>31</v>
      </c>
      <c r="J3074" s="8" t="s">
        <v>43</v>
      </c>
      <c r="K3074" s="10" t="s">
        <v>837</v>
      </c>
      <c r="L3074" s="8" t="s">
        <v>58</v>
      </c>
      <c r="M3074" s="8" t="s">
        <v>35</v>
      </c>
      <c r="N3074" s="11">
        <v>45178.0</v>
      </c>
      <c r="O3074" s="11">
        <v>45299.0</v>
      </c>
      <c r="P3074" s="11">
        <v>45341.0</v>
      </c>
      <c r="Q3074" s="11"/>
      <c r="R3074" s="11"/>
      <c r="S3074" s="12"/>
      <c r="T3074" s="8"/>
      <c r="U3074" s="8" t="s">
        <v>130</v>
      </c>
      <c r="V3074" s="13" t="s">
        <v>13760</v>
      </c>
      <c r="W3074" s="13" t="s">
        <v>14566</v>
      </c>
      <c r="X3074" s="12"/>
      <c r="Y3074" s="14"/>
      <c r="Z3074" s="14"/>
    </row>
    <row r="3075">
      <c r="A3075" s="8" t="s">
        <v>14567</v>
      </c>
      <c r="B3075" s="8" t="s">
        <v>14568</v>
      </c>
      <c r="C3075" s="8" t="s">
        <v>708</v>
      </c>
      <c r="D3075" s="8" t="s">
        <v>26</v>
      </c>
      <c r="E3075" s="8" t="s">
        <v>14569</v>
      </c>
      <c r="F3075" s="8">
        <v>3.017060863E9</v>
      </c>
      <c r="G3075" s="8" t="s">
        <v>981</v>
      </c>
      <c r="H3075" s="8" t="s">
        <v>14570</v>
      </c>
      <c r="I3075" s="8" t="s">
        <v>31</v>
      </c>
      <c r="J3075" s="8" t="s">
        <v>86</v>
      </c>
      <c r="K3075" s="10" t="s">
        <v>5449</v>
      </c>
      <c r="L3075" s="8" t="s">
        <v>34</v>
      </c>
      <c r="M3075" s="8" t="s">
        <v>70</v>
      </c>
      <c r="N3075" s="11">
        <v>45178.0</v>
      </c>
      <c r="O3075" s="11">
        <v>45201.0</v>
      </c>
      <c r="P3075" s="11">
        <v>45702.0</v>
      </c>
      <c r="Q3075" s="11">
        <v>45219.0</v>
      </c>
      <c r="R3075" s="11">
        <v>45720.0</v>
      </c>
      <c r="S3075" s="12"/>
      <c r="T3075" s="8" t="s">
        <v>36</v>
      </c>
      <c r="U3075" s="8" t="s">
        <v>5450</v>
      </c>
      <c r="V3075" s="13" t="s">
        <v>38</v>
      </c>
      <c r="W3075" s="13" t="s">
        <v>14571</v>
      </c>
      <c r="X3075" s="12"/>
      <c r="Y3075" s="14"/>
      <c r="Z3075" s="14"/>
    </row>
    <row r="3076">
      <c r="A3076" s="8" t="s">
        <v>14572</v>
      </c>
      <c r="B3076" s="8" t="s">
        <v>14573</v>
      </c>
      <c r="C3076" s="8" t="s">
        <v>179</v>
      </c>
      <c r="D3076" s="8" t="s">
        <v>26</v>
      </c>
      <c r="E3076" s="8" t="s">
        <v>14574</v>
      </c>
      <c r="F3076" s="8">
        <v>1.01071777E9</v>
      </c>
      <c r="G3076" s="8" t="s">
        <v>284</v>
      </c>
      <c r="H3076" s="8" t="s">
        <v>300</v>
      </c>
      <c r="I3076" s="8" t="s">
        <v>31</v>
      </c>
      <c r="J3076" s="8" t="s">
        <v>292</v>
      </c>
      <c r="K3076" s="10" t="s">
        <v>12973</v>
      </c>
      <c r="L3076" s="8" t="s">
        <v>58</v>
      </c>
      <c r="M3076" s="8" t="s">
        <v>35</v>
      </c>
      <c r="N3076" s="11">
        <v>45178.0</v>
      </c>
      <c r="O3076" s="11">
        <v>45327.0</v>
      </c>
      <c r="P3076" s="11">
        <v>45369.0</v>
      </c>
      <c r="Q3076" s="11"/>
      <c r="R3076" s="11"/>
      <c r="S3076" s="12"/>
      <c r="T3076" s="8"/>
      <c r="U3076" s="8" t="s">
        <v>88</v>
      </c>
      <c r="V3076" s="13" t="s">
        <v>7533</v>
      </c>
      <c r="W3076" s="13" t="s">
        <v>14575</v>
      </c>
      <c r="X3076" s="12"/>
      <c r="Y3076" s="14"/>
      <c r="Z3076" s="14"/>
    </row>
    <row r="3077">
      <c r="A3077" s="8" t="s">
        <v>14576</v>
      </c>
      <c r="B3077" s="8" t="s">
        <v>1781</v>
      </c>
      <c r="C3077" s="8" t="s">
        <v>179</v>
      </c>
      <c r="D3077" s="8" t="s">
        <v>26</v>
      </c>
      <c r="E3077" s="8" t="s">
        <v>1782</v>
      </c>
      <c r="F3077" s="8">
        <v>1.006891183E9</v>
      </c>
      <c r="G3077" s="8" t="s">
        <v>284</v>
      </c>
      <c r="H3077" s="8" t="s">
        <v>793</v>
      </c>
      <c r="I3077" s="8" t="s">
        <v>31</v>
      </c>
      <c r="J3077" s="8" t="s">
        <v>111</v>
      </c>
      <c r="K3077" s="10" t="s">
        <v>11494</v>
      </c>
      <c r="L3077" s="8" t="s">
        <v>47</v>
      </c>
      <c r="M3077" s="8" t="s">
        <v>70</v>
      </c>
      <c r="N3077" s="11">
        <v>45178.0</v>
      </c>
      <c r="O3077" s="11">
        <v>45180.0</v>
      </c>
      <c r="P3077" s="11">
        <v>45541.0</v>
      </c>
      <c r="Q3077" s="11"/>
      <c r="R3077" s="11"/>
      <c r="S3077" s="12"/>
      <c r="T3077" s="8"/>
      <c r="U3077" s="8" t="s">
        <v>795</v>
      </c>
      <c r="V3077" s="13" t="s">
        <v>793</v>
      </c>
      <c r="W3077" s="13" t="s">
        <v>1783</v>
      </c>
      <c r="X3077" s="12"/>
      <c r="Y3077" s="14"/>
      <c r="Z3077" s="14"/>
    </row>
    <row r="3078">
      <c r="A3078" s="8" t="s">
        <v>14577</v>
      </c>
      <c r="B3078" s="8" t="s">
        <v>11529</v>
      </c>
      <c r="C3078" s="8" t="s">
        <v>708</v>
      </c>
      <c r="D3078" s="8" t="s">
        <v>26</v>
      </c>
      <c r="E3078" s="8" t="s">
        <v>14578</v>
      </c>
      <c r="F3078" s="8">
        <v>9.928971E7</v>
      </c>
      <c r="G3078" s="8" t="s">
        <v>54</v>
      </c>
      <c r="H3078" s="8" t="s">
        <v>244</v>
      </c>
      <c r="I3078" s="8" t="s">
        <v>31</v>
      </c>
      <c r="J3078" s="8" t="s">
        <v>256</v>
      </c>
      <c r="K3078" s="10" t="s">
        <v>11531</v>
      </c>
      <c r="L3078" s="8" t="s">
        <v>47</v>
      </c>
      <c r="M3078" s="8" t="s">
        <v>70</v>
      </c>
      <c r="N3078" s="11">
        <v>45178.0</v>
      </c>
      <c r="O3078" s="11">
        <v>45192.0</v>
      </c>
      <c r="P3078" s="11">
        <v>45557.0</v>
      </c>
      <c r="Q3078" s="11">
        <v>45181.0</v>
      </c>
      <c r="R3078" s="11">
        <v>45557.0</v>
      </c>
      <c r="S3078" s="12"/>
      <c r="T3078" s="8"/>
      <c r="U3078" s="8" t="s">
        <v>246</v>
      </c>
      <c r="V3078" s="13" t="s">
        <v>247</v>
      </c>
      <c r="W3078" s="13" t="s">
        <v>14579</v>
      </c>
      <c r="X3078" s="12"/>
      <c r="Y3078" s="14"/>
      <c r="Z3078" s="14"/>
    </row>
    <row r="3079">
      <c r="A3079" s="8" t="s">
        <v>14580</v>
      </c>
      <c r="B3079" s="8" t="s">
        <v>14581</v>
      </c>
      <c r="C3079" s="8" t="s">
        <v>64</v>
      </c>
      <c r="D3079" s="8" t="s">
        <v>26</v>
      </c>
      <c r="E3079" s="8" t="s">
        <v>14582</v>
      </c>
      <c r="F3079" s="8">
        <v>9.38645123E8</v>
      </c>
      <c r="G3079" s="8" t="s">
        <v>118</v>
      </c>
      <c r="H3079" s="8" t="s">
        <v>119</v>
      </c>
      <c r="I3079" s="8" t="s">
        <v>31</v>
      </c>
      <c r="J3079" s="8" t="s">
        <v>86</v>
      </c>
      <c r="K3079" s="10" t="s">
        <v>2453</v>
      </c>
      <c r="L3079" s="8" t="s">
        <v>58</v>
      </c>
      <c r="M3079" s="8" t="s">
        <v>35</v>
      </c>
      <c r="N3079" s="11">
        <v>45178.0</v>
      </c>
      <c r="O3079" s="11">
        <v>45216.0</v>
      </c>
      <c r="P3079" s="11">
        <v>45258.0</v>
      </c>
      <c r="Q3079" s="11">
        <v>45216.0</v>
      </c>
      <c r="R3079" s="11">
        <v>45258.0</v>
      </c>
      <c r="S3079" s="12"/>
      <c r="T3079" s="8"/>
      <c r="U3079" s="8" t="s">
        <v>59</v>
      </c>
      <c r="V3079" s="13" t="s">
        <v>14583</v>
      </c>
      <c r="W3079" s="13" t="s">
        <v>14584</v>
      </c>
      <c r="X3079" s="12"/>
      <c r="Y3079" s="14"/>
      <c r="Z3079" s="14"/>
    </row>
    <row r="3080">
      <c r="A3080" s="8" t="s">
        <v>14585</v>
      </c>
      <c r="B3080" s="8" t="s">
        <v>14586</v>
      </c>
      <c r="C3080" s="8" t="s">
        <v>179</v>
      </c>
      <c r="D3080" s="8" t="s">
        <v>26</v>
      </c>
      <c r="E3080" s="8" t="s">
        <v>14587</v>
      </c>
      <c r="F3080" s="8"/>
      <c r="G3080" s="8" t="s">
        <v>284</v>
      </c>
      <c r="H3080" s="8" t="s">
        <v>1287</v>
      </c>
      <c r="I3080" s="8" t="s">
        <v>31</v>
      </c>
      <c r="J3080" s="8" t="s">
        <v>1274</v>
      </c>
      <c r="K3080" s="10" t="s">
        <v>14336</v>
      </c>
      <c r="L3080" s="8" t="s">
        <v>58</v>
      </c>
      <c r="M3080" s="8" t="s">
        <v>35</v>
      </c>
      <c r="N3080" s="11">
        <v>45179.0</v>
      </c>
      <c r="O3080" s="11">
        <v>45495.0</v>
      </c>
      <c r="P3080" s="11">
        <v>45537.0</v>
      </c>
      <c r="Q3080" s="11"/>
      <c r="R3080" s="11"/>
      <c r="S3080" s="12"/>
      <c r="T3080" s="8"/>
      <c r="U3080" s="8" t="s">
        <v>1038</v>
      </c>
      <c r="V3080" s="13" t="s">
        <v>38</v>
      </c>
      <c r="W3080" s="13" t="s">
        <v>14588</v>
      </c>
      <c r="X3080" s="12"/>
      <c r="Y3080" s="14"/>
      <c r="Z3080" s="14"/>
    </row>
    <row r="3081">
      <c r="A3081" s="8" t="s">
        <v>14589</v>
      </c>
      <c r="B3081" s="8" t="s">
        <v>14590</v>
      </c>
      <c r="C3081" s="8" t="s">
        <v>179</v>
      </c>
      <c r="D3081" s="8" t="s">
        <v>26</v>
      </c>
      <c r="E3081" s="8" t="s">
        <v>14591</v>
      </c>
      <c r="F3081" s="8">
        <v>6.97534565E8</v>
      </c>
      <c r="G3081" s="8" t="s">
        <v>254</v>
      </c>
      <c r="H3081" s="8" t="s">
        <v>291</v>
      </c>
      <c r="I3081" s="8" t="s">
        <v>31</v>
      </c>
      <c r="J3081" s="8" t="s">
        <v>32</v>
      </c>
      <c r="K3081" s="10" t="s">
        <v>14592</v>
      </c>
      <c r="L3081" s="8" t="s">
        <v>47</v>
      </c>
      <c r="M3081" s="8" t="s">
        <v>70</v>
      </c>
      <c r="N3081" s="11">
        <v>45179.0</v>
      </c>
      <c r="O3081" s="11">
        <v>45199.0</v>
      </c>
      <c r="P3081" s="11">
        <v>45473.0</v>
      </c>
      <c r="Q3081" s="11"/>
      <c r="R3081" s="11"/>
      <c r="S3081" s="12"/>
      <c r="T3081" s="8"/>
      <c r="U3081" s="8" t="s">
        <v>1794</v>
      </c>
      <c r="V3081" s="13" t="s">
        <v>295</v>
      </c>
      <c r="W3081" s="13" t="s">
        <v>14593</v>
      </c>
      <c r="X3081" s="12"/>
      <c r="Y3081" s="14"/>
      <c r="Z3081" s="14"/>
    </row>
    <row r="3082">
      <c r="A3082" s="8" t="s">
        <v>14594</v>
      </c>
      <c r="B3082" s="8" t="s">
        <v>14595</v>
      </c>
      <c r="C3082" s="8" t="s">
        <v>708</v>
      </c>
      <c r="D3082" s="8" t="s">
        <v>26</v>
      </c>
      <c r="E3082" s="8" t="s">
        <v>14596</v>
      </c>
      <c r="F3082" s="8">
        <v>1.025796173E9</v>
      </c>
      <c r="G3082" s="8" t="s">
        <v>284</v>
      </c>
      <c r="H3082" s="8" t="s">
        <v>854</v>
      </c>
      <c r="I3082" s="8" t="s">
        <v>31</v>
      </c>
      <c r="J3082" s="8" t="s">
        <v>292</v>
      </c>
      <c r="K3082" s="10" t="s">
        <v>14597</v>
      </c>
      <c r="L3082" s="8" t="s">
        <v>47</v>
      </c>
      <c r="M3082" s="8" t="s">
        <v>70</v>
      </c>
      <c r="N3082" s="11">
        <v>45179.0</v>
      </c>
      <c r="O3082" s="11">
        <v>45205.0</v>
      </c>
      <c r="P3082" s="11">
        <v>45571.0</v>
      </c>
      <c r="Q3082" s="11">
        <v>45231.0</v>
      </c>
      <c r="R3082" s="11">
        <v>45597.0</v>
      </c>
      <c r="S3082" s="12"/>
      <c r="T3082" s="8"/>
      <c r="U3082" s="8" t="s">
        <v>1295</v>
      </c>
      <c r="V3082" s="13" t="s">
        <v>856</v>
      </c>
      <c r="W3082" s="13" t="s">
        <v>14598</v>
      </c>
      <c r="X3082" s="12"/>
      <c r="Y3082" s="14"/>
      <c r="Z3082" s="14"/>
    </row>
    <row r="3083">
      <c r="A3083" s="8" t="s">
        <v>14599</v>
      </c>
      <c r="B3083" s="8" t="s">
        <v>14600</v>
      </c>
      <c r="C3083" s="8" t="s">
        <v>25</v>
      </c>
      <c r="D3083" s="8" t="s">
        <v>26</v>
      </c>
      <c r="E3083" s="8" t="s">
        <v>14601</v>
      </c>
      <c r="F3083" s="8">
        <v>7.7455897E8</v>
      </c>
      <c r="G3083" s="8" t="s">
        <v>84</v>
      </c>
      <c r="H3083" s="8" t="s">
        <v>1551</v>
      </c>
      <c r="I3083" s="8" t="s">
        <v>31</v>
      </c>
      <c r="J3083" s="8" t="s">
        <v>77</v>
      </c>
      <c r="K3083" s="10" t="s">
        <v>6841</v>
      </c>
      <c r="L3083" s="8" t="s">
        <v>34</v>
      </c>
      <c r="M3083" s="8" t="s">
        <v>35</v>
      </c>
      <c r="N3083" s="11">
        <v>45179.0</v>
      </c>
      <c r="O3083" s="11">
        <v>45189.0</v>
      </c>
      <c r="P3083" s="11">
        <v>45233.0</v>
      </c>
      <c r="Q3083" s="11">
        <v>45184.0</v>
      </c>
      <c r="R3083" s="11">
        <v>45236.0</v>
      </c>
      <c r="S3083" s="12"/>
      <c r="T3083" s="8" t="s">
        <v>205</v>
      </c>
      <c r="U3083" s="8" t="s">
        <v>6842</v>
      </c>
      <c r="V3083" s="13" t="s">
        <v>14602</v>
      </c>
      <c r="W3083" s="13" t="s">
        <v>14603</v>
      </c>
      <c r="X3083" s="12"/>
      <c r="Y3083" s="14"/>
      <c r="Z3083" s="14"/>
    </row>
    <row r="3084">
      <c r="A3084" s="8" t="s">
        <v>14604</v>
      </c>
      <c r="B3084" s="8" t="s">
        <v>14605</v>
      </c>
      <c r="C3084" s="8" t="s">
        <v>179</v>
      </c>
      <c r="D3084" s="8" t="s">
        <v>26</v>
      </c>
      <c r="E3084" s="8" t="s">
        <v>14606</v>
      </c>
      <c r="F3084" s="8"/>
      <c r="G3084" s="8" t="s">
        <v>31</v>
      </c>
      <c r="H3084" s="8" t="s">
        <v>32</v>
      </c>
      <c r="I3084" s="8" t="s">
        <v>8840</v>
      </c>
      <c r="J3084" s="8" t="s">
        <v>8847</v>
      </c>
      <c r="K3084" s="10" t="s">
        <v>14607</v>
      </c>
      <c r="L3084" s="8" t="s">
        <v>58</v>
      </c>
      <c r="M3084" s="8" t="s">
        <v>35</v>
      </c>
      <c r="N3084" s="11">
        <v>45179.0</v>
      </c>
      <c r="O3084" s="11">
        <v>45306.0</v>
      </c>
      <c r="P3084" s="11">
        <v>45348.0</v>
      </c>
      <c r="Q3084" s="11"/>
      <c r="R3084" s="11"/>
      <c r="S3084" s="12"/>
      <c r="T3084" s="8"/>
      <c r="U3084" s="8" t="s">
        <v>4870</v>
      </c>
      <c r="V3084" s="13" t="s">
        <v>3212</v>
      </c>
      <c r="W3084" s="13" t="s">
        <v>14608</v>
      </c>
      <c r="X3084" s="12"/>
      <c r="Y3084" s="14"/>
      <c r="Z3084" s="14"/>
    </row>
    <row r="3085">
      <c r="A3085" s="8" t="s">
        <v>14609</v>
      </c>
      <c r="B3085" s="8" t="s">
        <v>14610</v>
      </c>
      <c r="C3085" s="8" t="s">
        <v>179</v>
      </c>
      <c r="D3085" s="8" t="s">
        <v>26</v>
      </c>
      <c r="E3085" s="8" t="s">
        <v>14611</v>
      </c>
      <c r="F3085" s="8">
        <v>6.10174016E8</v>
      </c>
      <c r="G3085" s="8" t="s">
        <v>84</v>
      </c>
      <c r="H3085" s="8" t="s">
        <v>1234</v>
      </c>
      <c r="I3085" s="8" t="s">
        <v>31</v>
      </c>
      <c r="J3085" s="8" t="s">
        <v>542</v>
      </c>
      <c r="K3085" s="10" t="s">
        <v>8953</v>
      </c>
      <c r="L3085" s="8" t="s">
        <v>34</v>
      </c>
      <c r="M3085" s="8" t="s">
        <v>70</v>
      </c>
      <c r="N3085" s="11">
        <v>45179.0</v>
      </c>
      <c r="O3085" s="11">
        <v>45184.0</v>
      </c>
      <c r="P3085" s="11">
        <v>45548.0</v>
      </c>
      <c r="Q3085" s="11"/>
      <c r="R3085" s="11"/>
      <c r="S3085" s="12"/>
      <c r="T3085" s="8" t="s">
        <v>36</v>
      </c>
      <c r="U3085" s="8" t="s">
        <v>8954</v>
      </c>
      <c r="V3085" s="13" t="s">
        <v>14612</v>
      </c>
      <c r="W3085" s="13" t="s">
        <v>14613</v>
      </c>
      <c r="X3085" s="12"/>
      <c r="Y3085" s="14"/>
      <c r="Z3085" s="14"/>
    </row>
    <row r="3086">
      <c r="A3086" s="8" t="s">
        <v>14614</v>
      </c>
      <c r="B3086" s="8" t="s">
        <v>14615</v>
      </c>
      <c r="C3086" s="8" t="s">
        <v>708</v>
      </c>
      <c r="D3086" s="8" t="s">
        <v>26</v>
      </c>
      <c r="E3086" s="8" t="s">
        <v>14616</v>
      </c>
      <c r="F3086" s="8">
        <v>5.57343998E8</v>
      </c>
      <c r="G3086" s="8" t="s">
        <v>254</v>
      </c>
      <c r="H3086" s="8" t="s">
        <v>422</v>
      </c>
      <c r="I3086" s="8" t="s">
        <v>31</v>
      </c>
      <c r="J3086" s="8" t="s">
        <v>292</v>
      </c>
      <c r="K3086" s="10" t="s">
        <v>13146</v>
      </c>
      <c r="L3086" s="8" t="s">
        <v>47</v>
      </c>
      <c r="M3086" s="8" t="s">
        <v>70</v>
      </c>
      <c r="N3086" s="11">
        <v>45179.0</v>
      </c>
      <c r="O3086" s="11">
        <v>45179.0</v>
      </c>
      <c r="P3086" s="11">
        <v>45483.0</v>
      </c>
      <c r="Q3086" s="11">
        <v>45197.0</v>
      </c>
      <c r="R3086" s="11">
        <v>45501.0</v>
      </c>
      <c r="S3086" s="12"/>
      <c r="T3086" s="8"/>
      <c r="U3086" s="8" t="s">
        <v>246</v>
      </c>
      <c r="V3086" s="13" t="s">
        <v>425</v>
      </c>
      <c r="W3086" s="13" t="s">
        <v>14617</v>
      </c>
      <c r="X3086" s="12"/>
      <c r="Y3086" s="14"/>
      <c r="Z3086" s="14"/>
    </row>
    <row r="3087">
      <c r="A3087" s="8" t="s">
        <v>14618</v>
      </c>
      <c r="B3087" s="8" t="s">
        <v>14619</v>
      </c>
      <c r="C3087" s="8" t="s">
        <v>179</v>
      </c>
      <c r="D3087" s="8" t="s">
        <v>26</v>
      </c>
      <c r="E3087" s="8" t="s">
        <v>14620</v>
      </c>
      <c r="F3087" s="8">
        <v>8.657500601E9</v>
      </c>
      <c r="G3087" s="8" t="s">
        <v>44</v>
      </c>
      <c r="H3087" s="8" t="s">
        <v>741</v>
      </c>
      <c r="I3087" s="8" t="s">
        <v>31</v>
      </c>
      <c r="J3087" s="8" t="s">
        <v>77</v>
      </c>
      <c r="K3087" s="10" t="s">
        <v>4188</v>
      </c>
      <c r="L3087" s="8" t="s">
        <v>58</v>
      </c>
      <c r="M3087" s="8" t="s">
        <v>35</v>
      </c>
      <c r="N3087" s="11">
        <v>45180.0</v>
      </c>
      <c r="O3087" s="11">
        <v>45201.0</v>
      </c>
      <c r="P3087" s="11">
        <v>45243.0</v>
      </c>
      <c r="Q3087" s="11"/>
      <c r="R3087" s="11"/>
      <c r="S3087" s="12"/>
      <c r="T3087" s="8"/>
      <c r="U3087" s="8" t="s">
        <v>59</v>
      </c>
      <c r="V3087" s="13" t="s">
        <v>14621</v>
      </c>
      <c r="W3087" s="13" t="s">
        <v>14622</v>
      </c>
      <c r="X3087" s="12"/>
      <c r="Y3087" s="14"/>
      <c r="Z3087" s="14"/>
    </row>
    <row r="3088">
      <c r="A3088" s="8" t="s">
        <v>14623</v>
      </c>
      <c r="B3088" s="8" t="s">
        <v>9770</v>
      </c>
      <c r="C3088" s="8" t="s">
        <v>25</v>
      </c>
      <c r="D3088" s="8" t="s">
        <v>26</v>
      </c>
      <c r="E3088" s="8" t="s">
        <v>9771</v>
      </c>
      <c r="F3088" s="8">
        <v>9.3894402E7</v>
      </c>
      <c r="G3088" s="8" t="s">
        <v>54</v>
      </c>
      <c r="H3088" s="8" t="s">
        <v>237</v>
      </c>
      <c r="I3088" s="8" t="s">
        <v>31</v>
      </c>
      <c r="J3088" s="8" t="s">
        <v>292</v>
      </c>
      <c r="K3088" s="10" t="s">
        <v>2070</v>
      </c>
      <c r="L3088" s="8" t="s">
        <v>58</v>
      </c>
      <c r="M3088" s="8" t="s">
        <v>35</v>
      </c>
      <c r="N3088" s="11">
        <v>45180.0</v>
      </c>
      <c r="O3088" s="11">
        <v>45189.0</v>
      </c>
      <c r="P3088" s="11">
        <v>45231.0</v>
      </c>
      <c r="Q3088" s="11">
        <v>45190.0</v>
      </c>
      <c r="R3088" s="11">
        <v>45231.0</v>
      </c>
      <c r="S3088" s="12"/>
      <c r="T3088" s="8"/>
      <c r="U3088" s="8" t="s">
        <v>88</v>
      </c>
      <c r="V3088" s="13" t="s">
        <v>1788</v>
      </c>
      <c r="W3088" s="13" t="s">
        <v>9772</v>
      </c>
      <c r="X3088" s="12"/>
      <c r="Y3088" s="14"/>
      <c r="Z3088" s="14"/>
    </row>
    <row r="3089">
      <c r="A3089" s="8" t="s">
        <v>14624</v>
      </c>
      <c r="B3089" s="8" t="s">
        <v>14625</v>
      </c>
      <c r="C3089" s="8" t="s">
        <v>179</v>
      </c>
      <c r="D3089" s="8" t="s">
        <v>26</v>
      </c>
      <c r="E3089" s="8" t="s">
        <v>14626</v>
      </c>
      <c r="F3089" s="8"/>
      <c r="G3089" s="8" t="s">
        <v>44</v>
      </c>
      <c r="H3089" s="8" t="s">
        <v>741</v>
      </c>
      <c r="I3089" s="8" t="s">
        <v>31</v>
      </c>
      <c r="J3089" s="8" t="s">
        <v>77</v>
      </c>
      <c r="K3089" s="10" t="s">
        <v>5712</v>
      </c>
      <c r="L3089" s="8" t="s">
        <v>58</v>
      </c>
      <c r="M3089" s="8" t="s">
        <v>35</v>
      </c>
      <c r="N3089" s="11">
        <v>45180.0</v>
      </c>
      <c r="O3089" s="11">
        <v>45215.0</v>
      </c>
      <c r="P3089" s="11">
        <v>45257.0</v>
      </c>
      <c r="Q3089" s="11"/>
      <c r="R3089" s="11"/>
      <c r="S3089" s="12"/>
      <c r="T3089" s="8"/>
      <c r="U3089" s="8" t="s">
        <v>59</v>
      </c>
      <c r="V3089" s="13" t="s">
        <v>38</v>
      </c>
      <c r="W3089" s="13" t="s">
        <v>14627</v>
      </c>
      <c r="X3089" s="12"/>
      <c r="Y3089" s="14"/>
      <c r="Z3089" s="14"/>
    </row>
    <row r="3090">
      <c r="A3090" s="8" t="s">
        <v>14628</v>
      </c>
      <c r="B3090" s="8" t="s">
        <v>14629</v>
      </c>
      <c r="C3090" s="8" t="s">
        <v>179</v>
      </c>
      <c r="D3090" s="8" t="s">
        <v>26</v>
      </c>
      <c r="E3090" s="8" t="s">
        <v>14630</v>
      </c>
      <c r="F3090" s="8">
        <v>1.554460892E9</v>
      </c>
      <c r="G3090" s="8" t="s">
        <v>284</v>
      </c>
      <c r="H3090" s="8" t="s">
        <v>793</v>
      </c>
      <c r="I3090" s="8" t="s">
        <v>31</v>
      </c>
      <c r="J3090" s="8" t="s">
        <v>256</v>
      </c>
      <c r="K3090" s="10" t="s">
        <v>10689</v>
      </c>
      <c r="L3090" s="8" t="s">
        <v>58</v>
      </c>
      <c r="M3090" s="8" t="s">
        <v>35</v>
      </c>
      <c r="N3090" s="11">
        <v>45180.0</v>
      </c>
      <c r="O3090" s="11">
        <v>45323.0</v>
      </c>
      <c r="P3090" s="11">
        <v>45365.0</v>
      </c>
      <c r="Q3090" s="11"/>
      <c r="R3090" s="11"/>
      <c r="S3090" s="12"/>
      <c r="T3090" s="8"/>
      <c r="U3090" s="8" t="s">
        <v>59</v>
      </c>
      <c r="V3090" s="13" t="s">
        <v>796</v>
      </c>
      <c r="W3090" s="13" t="s">
        <v>14631</v>
      </c>
      <c r="X3090" s="12"/>
      <c r="Y3090" s="14"/>
      <c r="Z3090" s="14"/>
    </row>
    <row r="3091">
      <c r="A3091" s="8" t="s">
        <v>14632</v>
      </c>
      <c r="B3091" s="8" t="s">
        <v>6485</v>
      </c>
      <c r="C3091" s="8" t="s">
        <v>25</v>
      </c>
      <c r="D3091" s="8" t="s">
        <v>26</v>
      </c>
      <c r="E3091" s="8" t="s">
        <v>14633</v>
      </c>
      <c r="F3091" s="8">
        <v>5.35323605E9</v>
      </c>
      <c r="G3091" s="8" t="s">
        <v>31</v>
      </c>
      <c r="H3091" s="8" t="s">
        <v>542</v>
      </c>
      <c r="I3091" s="8" t="s">
        <v>399</v>
      </c>
      <c r="J3091" s="8" t="s">
        <v>3797</v>
      </c>
      <c r="K3091" s="10" t="s">
        <v>11278</v>
      </c>
      <c r="L3091" s="8" t="s">
        <v>58</v>
      </c>
      <c r="M3091" s="8" t="s">
        <v>35</v>
      </c>
      <c r="N3091" s="11">
        <v>45180.0</v>
      </c>
      <c r="O3091" s="11">
        <v>45194.0</v>
      </c>
      <c r="P3091" s="11">
        <v>45236.0</v>
      </c>
      <c r="Q3091" s="11">
        <v>45185.0</v>
      </c>
      <c r="R3091" s="11">
        <v>45236.0</v>
      </c>
      <c r="S3091" s="12"/>
      <c r="T3091" s="8"/>
      <c r="U3091" s="8" t="s">
        <v>339</v>
      </c>
      <c r="V3091" s="13" t="s">
        <v>545</v>
      </c>
      <c r="W3091" s="13" t="s">
        <v>14634</v>
      </c>
      <c r="X3091" s="12"/>
      <c r="Y3091" s="14"/>
      <c r="Z3091" s="14"/>
    </row>
    <row r="3092">
      <c r="A3092" s="8" t="s">
        <v>14635</v>
      </c>
      <c r="B3092" s="8" t="s">
        <v>14636</v>
      </c>
      <c r="C3092" s="8" t="s">
        <v>708</v>
      </c>
      <c r="D3092" s="8" t="s">
        <v>26</v>
      </c>
      <c r="E3092" s="8" t="s">
        <v>14637</v>
      </c>
      <c r="F3092" s="8">
        <v>2.2168927E7</v>
      </c>
      <c r="G3092" s="8" t="s">
        <v>54</v>
      </c>
      <c r="H3092" s="8" t="s">
        <v>430</v>
      </c>
      <c r="I3092" s="8" t="s">
        <v>31</v>
      </c>
      <c r="J3092" s="8" t="s">
        <v>56</v>
      </c>
      <c r="K3092" s="10" t="s">
        <v>11979</v>
      </c>
      <c r="L3092" s="8" t="s">
        <v>58</v>
      </c>
      <c r="M3092" s="8" t="s">
        <v>35</v>
      </c>
      <c r="N3092" s="11">
        <v>45180.0</v>
      </c>
      <c r="O3092" s="11">
        <v>45292.0</v>
      </c>
      <c r="P3092" s="11">
        <v>45334.0</v>
      </c>
      <c r="Q3092" s="11">
        <v>45293.0</v>
      </c>
      <c r="R3092" s="11">
        <v>45334.0</v>
      </c>
      <c r="S3092" s="12"/>
      <c r="T3092" s="8"/>
      <c r="U3092" s="8" t="s">
        <v>161</v>
      </c>
      <c r="V3092" s="13" t="s">
        <v>2130</v>
      </c>
      <c r="W3092" s="13" t="s">
        <v>14638</v>
      </c>
      <c r="X3092" s="12"/>
      <c r="Y3092" s="14"/>
      <c r="Z3092" s="14"/>
    </row>
    <row r="3093">
      <c r="A3093" s="8" t="s">
        <v>14639</v>
      </c>
      <c r="B3093" s="8" t="s">
        <v>14640</v>
      </c>
      <c r="C3093" s="8" t="s">
        <v>708</v>
      </c>
      <c r="D3093" s="8" t="s">
        <v>26</v>
      </c>
      <c r="E3093" s="8" t="s">
        <v>14641</v>
      </c>
      <c r="F3093" s="8">
        <v>7.47545485E9</v>
      </c>
      <c r="G3093" s="8" t="s">
        <v>496</v>
      </c>
      <c r="H3093" s="8" t="s">
        <v>497</v>
      </c>
      <c r="I3093" s="8" t="s">
        <v>31</v>
      </c>
      <c r="J3093" s="8" t="s">
        <v>32</v>
      </c>
      <c r="K3093" s="10" t="s">
        <v>2398</v>
      </c>
      <c r="L3093" s="8" t="s">
        <v>47</v>
      </c>
      <c r="M3093" s="8" t="s">
        <v>70</v>
      </c>
      <c r="N3093" s="11">
        <v>45180.0</v>
      </c>
      <c r="O3093" s="11">
        <v>45199.0</v>
      </c>
      <c r="P3093" s="11">
        <v>45564.0</v>
      </c>
      <c r="Q3093" s="11">
        <v>45193.0</v>
      </c>
      <c r="R3093" s="11">
        <v>45564.0</v>
      </c>
      <c r="S3093" s="12"/>
      <c r="T3093" s="8"/>
      <c r="U3093" s="8" t="s">
        <v>2399</v>
      </c>
      <c r="V3093" s="13" t="s">
        <v>500</v>
      </c>
      <c r="W3093" s="13" t="s">
        <v>14642</v>
      </c>
      <c r="X3093" s="12"/>
      <c r="Y3093" s="14"/>
      <c r="Z3093" s="14"/>
    </row>
    <row r="3094">
      <c r="A3094" s="8" t="s">
        <v>14643</v>
      </c>
      <c r="B3094" s="8" t="s">
        <v>14644</v>
      </c>
      <c r="C3094" s="8" t="s">
        <v>708</v>
      </c>
      <c r="D3094" s="8" t="s">
        <v>26</v>
      </c>
      <c r="E3094" s="8" t="s">
        <v>14645</v>
      </c>
      <c r="F3094" s="8">
        <v>8.660474821E9</v>
      </c>
      <c r="G3094" s="8" t="s">
        <v>44</v>
      </c>
      <c r="H3094" s="8" t="s">
        <v>1321</v>
      </c>
      <c r="I3094" s="8" t="s">
        <v>31</v>
      </c>
      <c r="J3094" s="8" t="s">
        <v>32</v>
      </c>
      <c r="K3094" s="10" t="s">
        <v>14038</v>
      </c>
      <c r="L3094" s="8" t="s">
        <v>58</v>
      </c>
      <c r="M3094" s="8" t="s">
        <v>35</v>
      </c>
      <c r="N3094" s="11">
        <v>45181.0</v>
      </c>
      <c r="O3094" s="11">
        <v>45249.0</v>
      </c>
      <c r="P3094" s="11">
        <v>45291.0</v>
      </c>
      <c r="Q3094" s="11">
        <v>45285.0</v>
      </c>
      <c r="R3094" s="11">
        <v>45327.0</v>
      </c>
      <c r="S3094" s="12"/>
      <c r="T3094" s="8"/>
      <c r="U3094" s="8" t="s">
        <v>161</v>
      </c>
      <c r="V3094" s="13" t="s">
        <v>14646</v>
      </c>
      <c r="W3094" s="13" t="s">
        <v>14647</v>
      </c>
      <c r="X3094" s="12"/>
      <c r="Y3094" s="14"/>
      <c r="Z3094" s="14"/>
    </row>
    <row r="3095">
      <c r="A3095" s="8" t="s">
        <v>14648</v>
      </c>
      <c r="B3095" s="8" t="s">
        <v>14649</v>
      </c>
      <c r="C3095" s="8" t="s">
        <v>179</v>
      </c>
      <c r="D3095" s="8" t="s">
        <v>26</v>
      </c>
      <c r="E3095" s="8" t="s">
        <v>14650</v>
      </c>
      <c r="F3095" s="8">
        <v>9.0095854E7</v>
      </c>
      <c r="G3095" s="8" t="s">
        <v>54</v>
      </c>
      <c r="H3095" s="8" t="s">
        <v>76</v>
      </c>
      <c r="I3095" s="8" t="s">
        <v>31</v>
      </c>
      <c r="J3095" s="8" t="s">
        <v>77</v>
      </c>
      <c r="K3095" s="10" t="s">
        <v>4188</v>
      </c>
      <c r="L3095" s="8" t="s">
        <v>58</v>
      </c>
      <c r="M3095" s="8" t="s">
        <v>35</v>
      </c>
      <c r="N3095" s="11">
        <v>45181.0</v>
      </c>
      <c r="O3095" s="11">
        <v>45488.0</v>
      </c>
      <c r="P3095" s="11">
        <v>45530.0</v>
      </c>
      <c r="Q3095" s="11"/>
      <c r="R3095" s="11"/>
      <c r="S3095" s="12"/>
      <c r="T3095" s="8"/>
      <c r="U3095" s="8" t="s">
        <v>59</v>
      </c>
      <c r="V3095" s="13" t="s">
        <v>324</v>
      </c>
      <c r="W3095" s="13" t="s">
        <v>14651</v>
      </c>
      <c r="X3095" s="12"/>
      <c r="Y3095" s="14"/>
      <c r="Z3095" s="14"/>
    </row>
    <row r="3096">
      <c r="A3096" s="8" t="s">
        <v>14652</v>
      </c>
      <c r="B3096" s="8" t="s">
        <v>14653</v>
      </c>
      <c r="C3096" s="8" t="s">
        <v>64</v>
      </c>
      <c r="D3096" s="8" t="s">
        <v>26</v>
      </c>
      <c r="E3096" s="8" t="s">
        <v>14654</v>
      </c>
      <c r="F3096" s="8">
        <v>2.2687607E7</v>
      </c>
      <c r="G3096" s="8" t="s">
        <v>54</v>
      </c>
      <c r="H3096" s="8" t="s">
        <v>76</v>
      </c>
      <c r="I3096" s="8" t="s">
        <v>31</v>
      </c>
      <c r="J3096" s="8" t="s">
        <v>77</v>
      </c>
      <c r="K3096" s="10" t="s">
        <v>4188</v>
      </c>
      <c r="L3096" s="8" t="s">
        <v>58</v>
      </c>
      <c r="M3096" s="8" t="s">
        <v>35</v>
      </c>
      <c r="N3096" s="11">
        <v>45181.0</v>
      </c>
      <c r="O3096" s="11">
        <v>45243.0</v>
      </c>
      <c r="P3096" s="11">
        <v>45285.0</v>
      </c>
      <c r="Q3096" s="11">
        <v>45243.0</v>
      </c>
      <c r="R3096" s="11">
        <v>45285.0</v>
      </c>
      <c r="S3096" s="12"/>
      <c r="T3096" s="8"/>
      <c r="U3096" s="8" t="s">
        <v>59</v>
      </c>
      <c r="V3096" s="13" t="s">
        <v>491</v>
      </c>
      <c r="W3096" s="13" t="s">
        <v>14655</v>
      </c>
      <c r="X3096" s="12"/>
      <c r="Y3096" s="14"/>
      <c r="Z3096" s="14"/>
    </row>
    <row r="3097">
      <c r="A3097" s="8" t="s">
        <v>14656</v>
      </c>
      <c r="B3097" s="8" t="s">
        <v>14657</v>
      </c>
      <c r="C3097" s="8" t="s">
        <v>25</v>
      </c>
      <c r="D3097" s="8" t="s">
        <v>26</v>
      </c>
      <c r="E3097" s="8" t="s">
        <v>14658</v>
      </c>
      <c r="F3097" s="8"/>
      <c r="G3097" s="8" t="s">
        <v>315</v>
      </c>
      <c r="H3097" s="8" t="s">
        <v>1242</v>
      </c>
      <c r="I3097" s="8" t="s">
        <v>31</v>
      </c>
      <c r="J3097" s="8" t="s">
        <v>438</v>
      </c>
      <c r="K3097" s="10" t="s">
        <v>8748</v>
      </c>
      <c r="L3097" s="8" t="s">
        <v>58</v>
      </c>
      <c r="M3097" s="8" t="s">
        <v>35</v>
      </c>
      <c r="N3097" s="11">
        <v>45181.0</v>
      </c>
      <c r="O3097" s="11">
        <v>45190.0</v>
      </c>
      <c r="P3097" s="11">
        <v>45232.0</v>
      </c>
      <c r="Q3097" s="11">
        <v>45188.0</v>
      </c>
      <c r="R3097" s="11">
        <v>45232.0</v>
      </c>
      <c r="S3097" s="12"/>
      <c r="T3097" s="8"/>
      <c r="U3097" s="8" t="s">
        <v>59</v>
      </c>
      <c r="V3097" s="13" t="s">
        <v>38</v>
      </c>
      <c r="W3097" s="13" t="s">
        <v>14659</v>
      </c>
      <c r="X3097" s="12"/>
      <c r="Y3097" s="14"/>
      <c r="Z3097" s="14"/>
    </row>
    <row r="3098">
      <c r="A3098" s="8" t="s">
        <v>14660</v>
      </c>
      <c r="B3098" s="8" t="s">
        <v>14661</v>
      </c>
      <c r="C3098" s="8" t="s">
        <v>708</v>
      </c>
      <c r="D3098" s="8" t="s">
        <v>26</v>
      </c>
      <c r="E3098" s="8" t="s">
        <v>14662</v>
      </c>
      <c r="F3098" s="8">
        <v>9.5322117E7</v>
      </c>
      <c r="G3098" s="8" t="s">
        <v>54</v>
      </c>
      <c r="H3098" s="8" t="s">
        <v>377</v>
      </c>
      <c r="I3098" s="8" t="s">
        <v>31</v>
      </c>
      <c r="J3098" s="8" t="s">
        <v>77</v>
      </c>
      <c r="K3098" s="10" t="s">
        <v>13369</v>
      </c>
      <c r="L3098" s="8" t="s">
        <v>47</v>
      </c>
      <c r="M3098" s="8" t="s">
        <v>70</v>
      </c>
      <c r="N3098" s="11">
        <v>45181.0</v>
      </c>
      <c r="O3098" s="11">
        <v>45194.0</v>
      </c>
      <c r="P3098" s="11">
        <v>45452.0</v>
      </c>
      <c r="Q3098" s="11">
        <v>45189.0</v>
      </c>
      <c r="R3098" s="11">
        <v>45452.0</v>
      </c>
      <c r="S3098" s="12"/>
      <c r="T3098" s="8"/>
      <c r="U3098" s="8" t="s">
        <v>13370</v>
      </c>
      <c r="V3098" s="13" t="s">
        <v>38</v>
      </c>
      <c r="W3098" s="13" t="s">
        <v>14663</v>
      </c>
      <c r="X3098" s="12"/>
      <c r="Y3098" s="14"/>
      <c r="Z3098" s="14"/>
    </row>
    <row r="3099">
      <c r="A3099" s="8" t="s">
        <v>14664</v>
      </c>
      <c r="B3099" s="8" t="s">
        <v>14665</v>
      </c>
      <c r="C3099" s="8" t="s">
        <v>179</v>
      </c>
      <c r="D3099" s="8" t="s">
        <v>26</v>
      </c>
      <c r="E3099" s="8" t="s">
        <v>14666</v>
      </c>
      <c r="F3099" s="8">
        <v>1.201888913E9</v>
      </c>
      <c r="G3099" s="8" t="s">
        <v>284</v>
      </c>
      <c r="H3099" s="8" t="s">
        <v>793</v>
      </c>
      <c r="I3099" s="8" t="s">
        <v>31</v>
      </c>
      <c r="J3099" s="8" t="s">
        <v>32</v>
      </c>
      <c r="K3099" s="10" t="s">
        <v>14038</v>
      </c>
      <c r="L3099" s="8" t="s">
        <v>58</v>
      </c>
      <c r="M3099" s="8" t="s">
        <v>35</v>
      </c>
      <c r="N3099" s="11">
        <v>45181.0</v>
      </c>
      <c r="O3099" s="11">
        <v>45207.0</v>
      </c>
      <c r="P3099" s="11">
        <v>45249.0</v>
      </c>
      <c r="Q3099" s="11"/>
      <c r="R3099" s="11"/>
      <c r="S3099" s="12"/>
      <c r="T3099" s="8"/>
      <c r="U3099" s="8" t="s">
        <v>161</v>
      </c>
      <c r="V3099" s="13" t="s">
        <v>793</v>
      </c>
      <c r="W3099" s="13" t="s">
        <v>14667</v>
      </c>
      <c r="X3099" s="12"/>
      <c r="Y3099" s="14"/>
      <c r="Z3099" s="14"/>
    </row>
    <row r="3100">
      <c r="A3100" s="8" t="s">
        <v>14668</v>
      </c>
      <c r="B3100" s="8" t="s">
        <v>14669</v>
      </c>
      <c r="C3100" s="8" t="s">
        <v>179</v>
      </c>
      <c r="D3100" s="8" t="s">
        <v>26</v>
      </c>
      <c r="E3100" s="8" t="s">
        <v>14670</v>
      </c>
      <c r="F3100" s="8">
        <v>1.277730887E9</v>
      </c>
      <c r="G3100" s="8" t="s">
        <v>284</v>
      </c>
      <c r="H3100" s="8" t="s">
        <v>793</v>
      </c>
      <c r="I3100" s="8" t="s">
        <v>31</v>
      </c>
      <c r="J3100" s="8" t="s">
        <v>32</v>
      </c>
      <c r="K3100" s="10" t="s">
        <v>14038</v>
      </c>
      <c r="L3100" s="8" t="s">
        <v>58</v>
      </c>
      <c r="M3100" s="8" t="s">
        <v>35</v>
      </c>
      <c r="N3100" s="11">
        <v>45181.0</v>
      </c>
      <c r="O3100" s="11">
        <v>45207.0</v>
      </c>
      <c r="P3100" s="11">
        <v>45249.0</v>
      </c>
      <c r="Q3100" s="11"/>
      <c r="R3100" s="11"/>
      <c r="S3100" s="12"/>
      <c r="T3100" s="8"/>
      <c r="U3100" s="8" t="s">
        <v>161</v>
      </c>
      <c r="V3100" s="13" t="s">
        <v>793</v>
      </c>
      <c r="W3100" s="13" t="s">
        <v>14671</v>
      </c>
      <c r="X3100" s="12"/>
      <c r="Y3100" s="14"/>
      <c r="Z3100" s="14"/>
    </row>
    <row r="3101">
      <c r="A3101" s="8" t="s">
        <v>14672</v>
      </c>
      <c r="B3101" s="8" t="s">
        <v>14673</v>
      </c>
      <c r="C3101" s="8" t="s">
        <v>25</v>
      </c>
      <c r="D3101" s="8" t="s">
        <v>26</v>
      </c>
      <c r="E3101" s="8" t="s">
        <v>14674</v>
      </c>
      <c r="F3101" s="8">
        <v>5.396703154E9</v>
      </c>
      <c r="G3101" s="8" t="s">
        <v>31</v>
      </c>
      <c r="H3101" s="8" t="s">
        <v>542</v>
      </c>
      <c r="I3101" s="8" t="s">
        <v>127</v>
      </c>
      <c r="J3101" s="8" t="s">
        <v>9028</v>
      </c>
      <c r="K3101" s="10" t="s">
        <v>13164</v>
      </c>
      <c r="L3101" s="8" t="s">
        <v>58</v>
      </c>
      <c r="M3101" s="8" t="s">
        <v>35</v>
      </c>
      <c r="N3101" s="11">
        <v>45181.0</v>
      </c>
      <c r="O3101" s="11">
        <v>45201.0</v>
      </c>
      <c r="P3101" s="11">
        <v>45243.0</v>
      </c>
      <c r="Q3101" s="11">
        <v>45207.0</v>
      </c>
      <c r="R3101" s="11">
        <v>45249.0</v>
      </c>
      <c r="S3101" s="12"/>
      <c r="T3101" s="8"/>
      <c r="U3101" s="8" t="s">
        <v>1956</v>
      </c>
      <c r="V3101" s="13" t="s">
        <v>545</v>
      </c>
      <c r="W3101" s="13" t="s">
        <v>14675</v>
      </c>
      <c r="X3101" s="12"/>
      <c r="Y3101" s="14"/>
      <c r="Z3101" s="14"/>
    </row>
    <row r="3102">
      <c r="A3102" s="8" t="s">
        <v>14676</v>
      </c>
      <c r="B3102" s="8" t="s">
        <v>14677</v>
      </c>
      <c r="C3102" s="8" t="s">
        <v>179</v>
      </c>
      <c r="D3102" s="8" t="s">
        <v>26</v>
      </c>
      <c r="E3102" s="8" t="s">
        <v>14678</v>
      </c>
      <c r="F3102" s="8">
        <v>5.30960547E9</v>
      </c>
      <c r="G3102" s="8" t="s">
        <v>31</v>
      </c>
      <c r="H3102" s="8" t="s">
        <v>77</v>
      </c>
      <c r="I3102" s="8" t="s">
        <v>44</v>
      </c>
      <c r="J3102" s="8" t="s">
        <v>3093</v>
      </c>
      <c r="K3102" s="10" t="s">
        <v>14679</v>
      </c>
      <c r="L3102" s="8" t="s">
        <v>58</v>
      </c>
      <c r="M3102" s="8" t="s">
        <v>35</v>
      </c>
      <c r="N3102" s="11">
        <v>45181.0</v>
      </c>
      <c r="O3102" s="11">
        <v>45478.0</v>
      </c>
      <c r="P3102" s="11">
        <v>45520.0</v>
      </c>
      <c r="Q3102" s="11"/>
      <c r="R3102" s="11"/>
      <c r="S3102" s="12"/>
      <c r="T3102" s="8"/>
      <c r="U3102" s="8" t="s">
        <v>1038</v>
      </c>
      <c r="V3102" s="13" t="s">
        <v>77</v>
      </c>
      <c r="W3102" s="13" t="s">
        <v>14680</v>
      </c>
      <c r="X3102" s="12"/>
      <c r="Y3102" s="14"/>
      <c r="Z3102" s="14"/>
    </row>
    <row r="3103">
      <c r="A3103" s="8" t="s">
        <v>14681</v>
      </c>
      <c r="B3103" s="8" t="s">
        <v>14682</v>
      </c>
      <c r="C3103" s="8" t="s">
        <v>708</v>
      </c>
      <c r="D3103" s="8" t="s">
        <v>26</v>
      </c>
      <c r="E3103" s="8" t="s">
        <v>14683</v>
      </c>
      <c r="F3103" s="8">
        <v>5.1538978E7</v>
      </c>
      <c r="G3103" s="8" t="s">
        <v>54</v>
      </c>
      <c r="H3103" s="8" t="s">
        <v>76</v>
      </c>
      <c r="I3103" s="8" t="s">
        <v>31</v>
      </c>
      <c r="J3103" s="8" t="s">
        <v>77</v>
      </c>
      <c r="K3103" s="10" t="s">
        <v>2555</v>
      </c>
      <c r="L3103" s="8" t="s">
        <v>58</v>
      </c>
      <c r="M3103" s="8" t="s">
        <v>35</v>
      </c>
      <c r="N3103" s="11">
        <v>45181.0</v>
      </c>
      <c r="O3103" s="11">
        <v>45292.0</v>
      </c>
      <c r="P3103" s="11">
        <v>45334.0</v>
      </c>
      <c r="Q3103" s="11">
        <v>45293.0</v>
      </c>
      <c r="R3103" s="11">
        <v>45334.0</v>
      </c>
      <c r="S3103" s="12"/>
      <c r="T3103" s="8"/>
      <c r="U3103" s="8" t="s">
        <v>371</v>
      </c>
      <c r="V3103" s="13" t="s">
        <v>7375</v>
      </c>
      <c r="W3103" s="13" t="s">
        <v>14684</v>
      </c>
      <c r="X3103" s="12"/>
      <c r="Y3103" s="14"/>
      <c r="Z3103" s="14"/>
    </row>
    <row r="3104">
      <c r="A3104" s="8" t="s">
        <v>14685</v>
      </c>
      <c r="B3104" s="8" t="s">
        <v>14686</v>
      </c>
      <c r="C3104" s="8" t="s">
        <v>179</v>
      </c>
      <c r="D3104" s="8" t="s">
        <v>26</v>
      </c>
      <c r="E3104" s="8" t="s">
        <v>14687</v>
      </c>
      <c r="F3104" s="8"/>
      <c r="G3104" s="8" t="s">
        <v>31</v>
      </c>
      <c r="H3104" s="8" t="s">
        <v>542</v>
      </c>
      <c r="I3104" s="8" t="s">
        <v>284</v>
      </c>
      <c r="J3104" s="8" t="s">
        <v>589</v>
      </c>
      <c r="K3104" s="10" t="s">
        <v>9250</v>
      </c>
      <c r="L3104" s="8" t="s">
        <v>58</v>
      </c>
      <c r="M3104" s="8" t="s">
        <v>35</v>
      </c>
      <c r="N3104" s="11">
        <v>45181.0</v>
      </c>
      <c r="O3104" s="11">
        <v>45444.0</v>
      </c>
      <c r="P3104" s="11">
        <v>45486.0</v>
      </c>
      <c r="Q3104" s="11"/>
      <c r="R3104" s="11"/>
      <c r="S3104" s="12"/>
      <c r="T3104" s="8"/>
      <c r="U3104" s="8" t="s">
        <v>1590</v>
      </c>
      <c r="V3104" s="13" t="s">
        <v>38</v>
      </c>
      <c r="W3104" s="13" t="s">
        <v>14688</v>
      </c>
      <c r="X3104" s="12"/>
      <c r="Y3104" s="14"/>
      <c r="Z3104" s="14"/>
    </row>
    <row r="3105">
      <c r="A3105" s="8" t="s">
        <v>14689</v>
      </c>
      <c r="B3105" s="8" t="s">
        <v>14690</v>
      </c>
      <c r="C3105" s="8" t="s">
        <v>64</v>
      </c>
      <c r="D3105" s="8" t="s">
        <v>26</v>
      </c>
      <c r="E3105" s="8" t="s">
        <v>14691</v>
      </c>
      <c r="F3105" s="8">
        <v>5.467206911E9</v>
      </c>
      <c r="G3105" s="8" t="s">
        <v>31</v>
      </c>
      <c r="H3105" s="8" t="s">
        <v>86</v>
      </c>
      <c r="I3105" s="8" t="s">
        <v>127</v>
      </c>
      <c r="J3105" s="8" t="s">
        <v>3542</v>
      </c>
      <c r="K3105" s="10" t="s">
        <v>14692</v>
      </c>
      <c r="L3105" s="8" t="s">
        <v>58</v>
      </c>
      <c r="M3105" s="8" t="s">
        <v>35</v>
      </c>
      <c r="N3105" s="11">
        <v>45182.0</v>
      </c>
      <c r="O3105" s="11">
        <v>45243.0</v>
      </c>
      <c r="P3105" s="11">
        <v>45285.0</v>
      </c>
      <c r="Q3105" s="11">
        <v>45243.0</v>
      </c>
      <c r="R3105" s="11">
        <v>45285.0</v>
      </c>
      <c r="S3105" s="12"/>
      <c r="T3105" s="8"/>
      <c r="U3105" s="8" t="s">
        <v>1956</v>
      </c>
      <c r="V3105" s="13" t="s">
        <v>175</v>
      </c>
      <c r="W3105" s="13" t="s">
        <v>14693</v>
      </c>
      <c r="X3105" s="12"/>
      <c r="Y3105" s="14"/>
      <c r="Z3105" s="14"/>
    </row>
    <row r="3106">
      <c r="A3106" s="8" t="s">
        <v>14694</v>
      </c>
      <c r="B3106" s="8" t="s">
        <v>14695</v>
      </c>
      <c r="C3106" s="8" t="s">
        <v>179</v>
      </c>
      <c r="D3106" s="8" t="s">
        <v>26</v>
      </c>
      <c r="E3106" s="8" t="s">
        <v>14696</v>
      </c>
      <c r="F3106" s="8">
        <v>1.151700027E9</v>
      </c>
      <c r="G3106" s="8" t="s">
        <v>284</v>
      </c>
      <c r="H3106" s="8" t="s">
        <v>793</v>
      </c>
      <c r="I3106" s="8" t="s">
        <v>31</v>
      </c>
      <c r="J3106" s="8" t="s">
        <v>77</v>
      </c>
      <c r="K3106" s="10" t="s">
        <v>4188</v>
      </c>
      <c r="L3106" s="8" t="s">
        <v>58</v>
      </c>
      <c r="M3106" s="8" t="s">
        <v>35</v>
      </c>
      <c r="N3106" s="11">
        <v>45182.0</v>
      </c>
      <c r="O3106" s="11">
        <v>45458.0</v>
      </c>
      <c r="P3106" s="11">
        <v>45500.0</v>
      </c>
      <c r="Q3106" s="11"/>
      <c r="R3106" s="11"/>
      <c r="S3106" s="12"/>
      <c r="T3106" s="8"/>
      <c r="U3106" s="8" t="s">
        <v>59</v>
      </c>
      <c r="V3106" s="13" t="s">
        <v>793</v>
      </c>
      <c r="W3106" s="13" t="s">
        <v>14697</v>
      </c>
      <c r="X3106" s="12"/>
      <c r="Y3106" s="14"/>
      <c r="Z3106" s="14"/>
    </row>
    <row r="3107">
      <c r="A3107" s="8" t="s">
        <v>14698</v>
      </c>
      <c r="B3107" s="8" t="s">
        <v>14699</v>
      </c>
      <c r="C3107" s="8" t="s">
        <v>179</v>
      </c>
      <c r="D3107" s="8" t="s">
        <v>26</v>
      </c>
      <c r="E3107" s="8" t="s">
        <v>14700</v>
      </c>
      <c r="F3107" s="8">
        <v>1.007096552E9</v>
      </c>
      <c r="G3107" s="8" t="s">
        <v>284</v>
      </c>
      <c r="H3107" s="8" t="s">
        <v>625</v>
      </c>
      <c r="I3107" s="8" t="s">
        <v>31</v>
      </c>
      <c r="J3107" s="8" t="s">
        <v>167</v>
      </c>
      <c r="K3107" s="10" t="s">
        <v>4008</v>
      </c>
      <c r="L3107" s="8" t="s">
        <v>58</v>
      </c>
      <c r="M3107" s="8" t="s">
        <v>35</v>
      </c>
      <c r="N3107" s="11">
        <v>45182.0</v>
      </c>
      <c r="O3107" s="11">
        <v>45488.0</v>
      </c>
      <c r="P3107" s="11">
        <v>45530.0</v>
      </c>
      <c r="Q3107" s="11"/>
      <c r="R3107" s="11"/>
      <c r="S3107" s="12"/>
      <c r="T3107" s="8"/>
      <c r="U3107" s="8" t="s">
        <v>59</v>
      </c>
      <c r="V3107" s="13" t="s">
        <v>626</v>
      </c>
      <c r="W3107" s="13" t="s">
        <v>14701</v>
      </c>
      <c r="X3107" s="12"/>
      <c r="Y3107" s="14"/>
      <c r="Z3107" s="14"/>
    </row>
    <row r="3108">
      <c r="A3108" s="8" t="s">
        <v>14702</v>
      </c>
      <c r="B3108" s="8" t="s">
        <v>14703</v>
      </c>
      <c r="C3108" s="8" t="s">
        <v>179</v>
      </c>
      <c r="D3108" s="8" t="s">
        <v>26</v>
      </c>
      <c r="E3108" s="8" t="s">
        <v>14704</v>
      </c>
      <c r="F3108" s="8">
        <v>1.012433824E9</v>
      </c>
      <c r="G3108" s="8" t="s">
        <v>284</v>
      </c>
      <c r="H3108" s="8" t="s">
        <v>1777</v>
      </c>
      <c r="I3108" s="8" t="s">
        <v>31</v>
      </c>
      <c r="J3108" s="8" t="s">
        <v>66</v>
      </c>
      <c r="K3108" s="10" t="s">
        <v>5030</v>
      </c>
      <c r="L3108" s="8" t="s">
        <v>58</v>
      </c>
      <c r="M3108" s="8" t="s">
        <v>35</v>
      </c>
      <c r="N3108" s="11">
        <v>45182.0</v>
      </c>
      <c r="O3108" s="11">
        <v>45243.0</v>
      </c>
      <c r="P3108" s="11">
        <v>45285.0</v>
      </c>
      <c r="Q3108" s="11"/>
      <c r="R3108" s="11"/>
      <c r="S3108" s="12"/>
      <c r="T3108" s="8"/>
      <c r="U3108" s="8" t="s">
        <v>88</v>
      </c>
      <c r="V3108" s="13" t="s">
        <v>2168</v>
      </c>
      <c r="W3108" s="13" t="s">
        <v>14705</v>
      </c>
      <c r="X3108" s="12"/>
      <c r="Y3108" s="14"/>
      <c r="Z3108" s="14"/>
    </row>
    <row r="3109">
      <c r="A3109" s="8" t="s">
        <v>14706</v>
      </c>
      <c r="B3109" s="8" t="s">
        <v>14707</v>
      </c>
      <c r="C3109" s="8" t="s">
        <v>708</v>
      </c>
      <c r="D3109" s="8" t="s">
        <v>26</v>
      </c>
      <c r="E3109" s="8" t="s">
        <v>14708</v>
      </c>
      <c r="F3109" s="8"/>
      <c r="G3109" s="8" t="s">
        <v>54</v>
      </c>
      <c r="H3109" s="8" t="s">
        <v>244</v>
      </c>
      <c r="I3109" s="8" t="s">
        <v>31</v>
      </c>
      <c r="J3109" s="8" t="s">
        <v>256</v>
      </c>
      <c r="K3109" s="10" t="s">
        <v>13727</v>
      </c>
      <c r="L3109" s="8" t="s">
        <v>47</v>
      </c>
      <c r="M3109" s="8" t="s">
        <v>70</v>
      </c>
      <c r="N3109" s="11">
        <v>45182.0</v>
      </c>
      <c r="O3109" s="11">
        <v>45190.0</v>
      </c>
      <c r="P3109" s="11">
        <v>45555.0</v>
      </c>
      <c r="Q3109" s="11">
        <v>45205.0</v>
      </c>
      <c r="R3109" s="11">
        <v>45570.0</v>
      </c>
      <c r="S3109" s="12"/>
      <c r="T3109" s="8"/>
      <c r="U3109" s="8" t="s">
        <v>246</v>
      </c>
      <c r="V3109" s="13" t="s">
        <v>38</v>
      </c>
      <c r="W3109" s="13" t="s">
        <v>14709</v>
      </c>
      <c r="X3109" s="12"/>
      <c r="Y3109" s="14"/>
      <c r="Z3109" s="14"/>
    </row>
    <row r="3110">
      <c r="A3110" s="8" t="s">
        <v>14710</v>
      </c>
      <c r="B3110" s="8" t="s">
        <v>14711</v>
      </c>
      <c r="C3110" s="8" t="s">
        <v>708</v>
      </c>
      <c r="D3110" s="8" t="s">
        <v>26</v>
      </c>
      <c r="E3110" s="8" t="s">
        <v>14712</v>
      </c>
      <c r="F3110" s="8">
        <v>5.2009584E7</v>
      </c>
      <c r="G3110" s="8" t="s">
        <v>54</v>
      </c>
      <c r="H3110" s="8" t="s">
        <v>55</v>
      </c>
      <c r="I3110" s="8" t="s">
        <v>31</v>
      </c>
      <c r="J3110" s="8" t="s">
        <v>256</v>
      </c>
      <c r="K3110" s="10" t="s">
        <v>5327</v>
      </c>
      <c r="L3110" s="8" t="s">
        <v>47</v>
      </c>
      <c r="M3110" s="8" t="s">
        <v>70</v>
      </c>
      <c r="N3110" s="11">
        <v>45183.0</v>
      </c>
      <c r="O3110" s="11">
        <v>45189.0</v>
      </c>
      <c r="P3110" s="11">
        <v>45554.0</v>
      </c>
      <c r="Q3110" s="11">
        <v>45194.0</v>
      </c>
      <c r="R3110" s="11">
        <v>45559.0</v>
      </c>
      <c r="S3110" s="12"/>
      <c r="T3110" s="8"/>
      <c r="U3110" s="8" t="s">
        <v>246</v>
      </c>
      <c r="V3110" s="13" t="s">
        <v>60</v>
      </c>
      <c r="W3110" s="13" t="s">
        <v>14713</v>
      </c>
      <c r="X3110" s="12"/>
      <c r="Y3110" s="14"/>
      <c r="Z3110" s="14"/>
    </row>
    <row r="3111">
      <c r="A3111" s="8" t="s">
        <v>14714</v>
      </c>
      <c r="B3111" s="8" t="s">
        <v>14715</v>
      </c>
      <c r="C3111" s="8" t="s">
        <v>179</v>
      </c>
      <c r="D3111" s="8" t="s">
        <v>26</v>
      </c>
      <c r="E3111" s="8" t="s">
        <v>14716</v>
      </c>
      <c r="F3111" s="8">
        <v>7.667401201E9</v>
      </c>
      <c r="G3111" s="8" t="s">
        <v>44</v>
      </c>
      <c r="H3111" s="8" t="s">
        <v>741</v>
      </c>
      <c r="I3111" s="8" t="s">
        <v>31</v>
      </c>
      <c r="J3111" s="8" t="s">
        <v>1274</v>
      </c>
      <c r="K3111" s="10" t="s">
        <v>14336</v>
      </c>
      <c r="L3111" s="8" t="s">
        <v>58</v>
      </c>
      <c r="M3111" s="8" t="s">
        <v>35</v>
      </c>
      <c r="N3111" s="11">
        <v>45183.0</v>
      </c>
      <c r="O3111" s="11">
        <v>45495.0</v>
      </c>
      <c r="P3111" s="11">
        <v>45537.0</v>
      </c>
      <c r="Q3111" s="11"/>
      <c r="R3111" s="11"/>
      <c r="S3111" s="12"/>
      <c r="T3111" s="8"/>
      <c r="U3111" s="8" t="s">
        <v>1038</v>
      </c>
      <c r="V3111" s="13" t="s">
        <v>14621</v>
      </c>
      <c r="W3111" s="13" t="s">
        <v>14717</v>
      </c>
      <c r="X3111" s="12"/>
      <c r="Y3111" s="14"/>
      <c r="Z3111" s="14"/>
    </row>
    <row r="3112">
      <c r="A3112" s="8" t="s">
        <v>14718</v>
      </c>
      <c r="B3112" s="8" t="s">
        <v>14719</v>
      </c>
      <c r="C3112" s="8" t="s">
        <v>179</v>
      </c>
      <c r="D3112" s="8" t="s">
        <v>26</v>
      </c>
      <c r="E3112" s="8" t="s">
        <v>14720</v>
      </c>
      <c r="F3112" s="8">
        <v>8.827536161E9</v>
      </c>
      <c r="G3112" s="8" t="s">
        <v>44</v>
      </c>
      <c r="H3112" s="8" t="s">
        <v>741</v>
      </c>
      <c r="I3112" s="8" t="s">
        <v>31</v>
      </c>
      <c r="J3112" s="8" t="s">
        <v>1274</v>
      </c>
      <c r="K3112" s="10" t="s">
        <v>14336</v>
      </c>
      <c r="L3112" s="8" t="s">
        <v>58</v>
      </c>
      <c r="M3112" s="8" t="s">
        <v>35</v>
      </c>
      <c r="N3112" s="11">
        <v>45183.0</v>
      </c>
      <c r="O3112" s="11">
        <v>45495.0</v>
      </c>
      <c r="P3112" s="11">
        <v>45537.0</v>
      </c>
      <c r="Q3112" s="11"/>
      <c r="R3112" s="11"/>
      <c r="S3112" s="12"/>
      <c r="T3112" s="8"/>
      <c r="U3112" s="8" t="s">
        <v>1038</v>
      </c>
      <c r="V3112" s="13" t="s">
        <v>14621</v>
      </c>
      <c r="W3112" s="13" t="s">
        <v>14721</v>
      </c>
      <c r="X3112" s="12"/>
      <c r="Y3112" s="14"/>
      <c r="Z3112" s="14"/>
    </row>
    <row r="3113">
      <c r="A3113" s="8" t="s">
        <v>14722</v>
      </c>
      <c r="B3113" s="8" t="s">
        <v>14723</v>
      </c>
      <c r="C3113" s="8" t="s">
        <v>179</v>
      </c>
      <c r="D3113" s="8" t="s">
        <v>26</v>
      </c>
      <c r="E3113" s="8" t="s">
        <v>14724</v>
      </c>
      <c r="F3113" s="8">
        <v>7.13021636E8</v>
      </c>
      <c r="G3113" s="8" t="s">
        <v>818</v>
      </c>
      <c r="H3113" s="8" t="s">
        <v>14725</v>
      </c>
      <c r="I3113" s="8" t="s">
        <v>31</v>
      </c>
      <c r="J3113" s="8" t="s">
        <v>1274</v>
      </c>
      <c r="K3113" s="10" t="s">
        <v>14336</v>
      </c>
      <c r="L3113" s="8" t="s">
        <v>58</v>
      </c>
      <c r="M3113" s="8" t="s">
        <v>35</v>
      </c>
      <c r="N3113" s="11">
        <v>45183.0</v>
      </c>
      <c r="O3113" s="11">
        <v>45495.0</v>
      </c>
      <c r="P3113" s="11">
        <v>45537.0</v>
      </c>
      <c r="Q3113" s="11"/>
      <c r="R3113" s="11"/>
      <c r="S3113" s="12"/>
      <c r="T3113" s="8"/>
      <c r="U3113" s="8" t="s">
        <v>1038</v>
      </c>
      <c r="V3113" s="13" t="s">
        <v>14726</v>
      </c>
      <c r="W3113" s="13" t="s">
        <v>14727</v>
      </c>
      <c r="X3113" s="12"/>
      <c r="Y3113" s="14"/>
      <c r="Z3113" s="14"/>
    </row>
    <row r="3114">
      <c r="A3114" s="8" t="s">
        <v>14728</v>
      </c>
      <c r="B3114" s="8" t="s">
        <v>14729</v>
      </c>
      <c r="C3114" s="8" t="s">
        <v>708</v>
      </c>
      <c r="D3114" s="8" t="s">
        <v>26</v>
      </c>
      <c r="E3114" s="8" t="s">
        <v>14730</v>
      </c>
      <c r="F3114" s="8">
        <v>2.7434072E7</v>
      </c>
      <c r="G3114" s="8" t="s">
        <v>54</v>
      </c>
      <c r="H3114" s="8" t="s">
        <v>244</v>
      </c>
      <c r="I3114" s="8" t="s">
        <v>31</v>
      </c>
      <c r="J3114" s="8" t="s">
        <v>292</v>
      </c>
      <c r="K3114" s="10" t="s">
        <v>13146</v>
      </c>
      <c r="L3114" s="8" t="s">
        <v>47</v>
      </c>
      <c r="M3114" s="8" t="s">
        <v>70</v>
      </c>
      <c r="N3114" s="11">
        <v>45183.0</v>
      </c>
      <c r="O3114" s="11">
        <v>45196.0</v>
      </c>
      <c r="P3114" s="11">
        <v>45473.0</v>
      </c>
      <c r="Q3114" s="11">
        <v>45197.0</v>
      </c>
      <c r="R3114" s="11">
        <v>45474.0</v>
      </c>
      <c r="S3114" s="12"/>
      <c r="T3114" s="8"/>
      <c r="U3114" s="8" t="s">
        <v>246</v>
      </c>
      <c r="V3114" s="13" t="s">
        <v>247</v>
      </c>
      <c r="W3114" s="13" t="s">
        <v>14731</v>
      </c>
      <c r="X3114" s="12"/>
      <c r="Y3114" s="14"/>
      <c r="Z3114" s="14"/>
    </row>
    <row r="3115">
      <c r="A3115" s="8" t="s">
        <v>14732</v>
      </c>
      <c r="B3115" s="8" t="s">
        <v>14733</v>
      </c>
      <c r="C3115" s="8" t="s">
        <v>64</v>
      </c>
      <c r="D3115" s="8" t="s">
        <v>26</v>
      </c>
      <c r="E3115" s="8" t="s">
        <v>14734</v>
      </c>
      <c r="F3115" s="8"/>
      <c r="G3115" s="8" t="s">
        <v>1620</v>
      </c>
      <c r="H3115" s="8" t="s">
        <v>3655</v>
      </c>
      <c r="I3115" s="8" t="s">
        <v>31</v>
      </c>
      <c r="J3115" s="8" t="s">
        <v>86</v>
      </c>
      <c r="K3115" s="10" t="s">
        <v>3292</v>
      </c>
      <c r="L3115" s="8" t="s">
        <v>58</v>
      </c>
      <c r="M3115" s="8" t="s">
        <v>35</v>
      </c>
      <c r="N3115" s="11">
        <v>45183.0</v>
      </c>
      <c r="O3115" s="11">
        <v>45214.0</v>
      </c>
      <c r="P3115" s="11">
        <v>45256.0</v>
      </c>
      <c r="Q3115" s="11">
        <v>45215.0</v>
      </c>
      <c r="R3115" s="11">
        <v>45256.0</v>
      </c>
      <c r="S3115" s="12"/>
      <c r="T3115" s="8"/>
      <c r="U3115" s="8" t="s">
        <v>59</v>
      </c>
      <c r="V3115" s="13" t="s">
        <v>38</v>
      </c>
      <c r="W3115" s="13" t="s">
        <v>14735</v>
      </c>
      <c r="X3115" s="12"/>
      <c r="Y3115" s="14"/>
      <c r="Z3115" s="14"/>
    </row>
    <row r="3116">
      <c r="A3116" s="8" t="s">
        <v>14736</v>
      </c>
      <c r="B3116" s="8" t="s">
        <v>14737</v>
      </c>
      <c r="C3116" s="8" t="s">
        <v>179</v>
      </c>
      <c r="D3116" s="8" t="s">
        <v>26</v>
      </c>
      <c r="E3116" s="8" t="s">
        <v>14738</v>
      </c>
      <c r="F3116" s="8">
        <v>9.3038874E7</v>
      </c>
      <c r="G3116" s="8" t="s">
        <v>54</v>
      </c>
      <c r="H3116" s="8" t="s">
        <v>76</v>
      </c>
      <c r="I3116" s="8" t="s">
        <v>31</v>
      </c>
      <c r="J3116" s="8" t="s">
        <v>86</v>
      </c>
      <c r="K3116" s="10" t="s">
        <v>389</v>
      </c>
      <c r="L3116" s="8" t="s">
        <v>58</v>
      </c>
      <c r="M3116" s="8" t="s">
        <v>35</v>
      </c>
      <c r="N3116" s="11">
        <v>45183.0</v>
      </c>
      <c r="O3116" s="11">
        <v>45242.0</v>
      </c>
      <c r="P3116" s="11">
        <v>45284.0</v>
      </c>
      <c r="Q3116" s="11"/>
      <c r="R3116" s="11"/>
      <c r="S3116" s="12"/>
      <c r="T3116" s="8"/>
      <c r="U3116" s="8" t="s">
        <v>153</v>
      </c>
      <c r="V3116" s="13" t="s">
        <v>324</v>
      </c>
      <c r="W3116" s="13" t="s">
        <v>14739</v>
      </c>
      <c r="X3116" s="12"/>
      <c r="Y3116" s="14"/>
      <c r="Z3116" s="14"/>
    </row>
    <row r="3117">
      <c r="A3117" s="8" t="s">
        <v>14740</v>
      </c>
      <c r="B3117" s="8" t="s">
        <v>14741</v>
      </c>
      <c r="C3117" s="8" t="s">
        <v>64</v>
      </c>
      <c r="D3117" s="8" t="s">
        <v>26</v>
      </c>
      <c r="E3117" s="8" t="s">
        <v>14742</v>
      </c>
      <c r="F3117" s="8">
        <v>7.99277487E8</v>
      </c>
      <c r="G3117" s="8" t="s">
        <v>254</v>
      </c>
      <c r="H3117" s="8" t="s">
        <v>1007</v>
      </c>
      <c r="I3117" s="8" t="s">
        <v>31</v>
      </c>
      <c r="J3117" s="8" t="s">
        <v>77</v>
      </c>
      <c r="K3117" s="10" t="s">
        <v>3241</v>
      </c>
      <c r="L3117" s="8" t="s">
        <v>58</v>
      </c>
      <c r="M3117" s="8" t="s">
        <v>35</v>
      </c>
      <c r="N3117" s="11">
        <v>45183.0</v>
      </c>
      <c r="O3117" s="11">
        <v>45257.0</v>
      </c>
      <c r="P3117" s="11">
        <v>45299.0</v>
      </c>
      <c r="Q3117" s="11">
        <v>45258.0</v>
      </c>
      <c r="R3117" s="11">
        <v>45299.0</v>
      </c>
      <c r="S3117" s="12"/>
      <c r="T3117" s="8"/>
      <c r="U3117" s="8" t="s">
        <v>59</v>
      </c>
      <c r="V3117" s="13" t="s">
        <v>1249</v>
      </c>
      <c r="W3117" s="13" t="s">
        <v>14743</v>
      </c>
      <c r="X3117" s="12"/>
      <c r="Y3117" s="14"/>
      <c r="Z3117" s="14"/>
    </row>
    <row r="3118">
      <c r="A3118" s="8" t="s">
        <v>14744</v>
      </c>
      <c r="B3118" s="8" t="s">
        <v>14745</v>
      </c>
      <c r="C3118" s="8" t="s">
        <v>179</v>
      </c>
      <c r="D3118" s="8" t="s">
        <v>26</v>
      </c>
      <c r="E3118" s="8" t="s">
        <v>14746</v>
      </c>
      <c r="F3118" s="8">
        <v>7.7525642E8</v>
      </c>
      <c r="G3118" s="8" t="s">
        <v>254</v>
      </c>
      <c r="H3118" s="8" t="s">
        <v>255</v>
      </c>
      <c r="I3118" s="8" t="s">
        <v>31</v>
      </c>
      <c r="J3118" s="8" t="s">
        <v>256</v>
      </c>
      <c r="K3118" s="10" t="s">
        <v>12689</v>
      </c>
      <c r="L3118" s="8" t="s">
        <v>47</v>
      </c>
      <c r="M3118" s="8" t="s">
        <v>70</v>
      </c>
      <c r="N3118" s="11">
        <v>45183.0</v>
      </c>
      <c r="O3118" s="11">
        <v>45189.0</v>
      </c>
      <c r="P3118" s="11">
        <v>45554.0</v>
      </c>
      <c r="Q3118" s="11"/>
      <c r="R3118" s="11"/>
      <c r="S3118" s="12"/>
      <c r="T3118" s="8"/>
      <c r="U3118" s="8" t="s">
        <v>246</v>
      </c>
      <c r="V3118" s="13" t="s">
        <v>258</v>
      </c>
      <c r="W3118" s="13" t="s">
        <v>14747</v>
      </c>
      <c r="X3118" s="12"/>
      <c r="Y3118" s="14"/>
      <c r="Z3118" s="14"/>
    </row>
    <row r="3119">
      <c r="A3119" s="8" t="s">
        <v>14748</v>
      </c>
      <c r="B3119" s="8" t="s">
        <v>14749</v>
      </c>
      <c r="C3119" s="8" t="s">
        <v>708</v>
      </c>
      <c r="D3119" s="8" t="s">
        <v>26</v>
      </c>
      <c r="E3119" s="8" t="s">
        <v>14750</v>
      </c>
      <c r="F3119" s="8">
        <v>2.9584024E7</v>
      </c>
      <c r="G3119" s="8" t="s">
        <v>54</v>
      </c>
      <c r="H3119" s="8" t="s">
        <v>76</v>
      </c>
      <c r="I3119" s="8" t="s">
        <v>31</v>
      </c>
      <c r="J3119" s="8" t="s">
        <v>292</v>
      </c>
      <c r="K3119" s="10" t="s">
        <v>5761</v>
      </c>
      <c r="L3119" s="8" t="s">
        <v>47</v>
      </c>
      <c r="M3119" s="8" t="s">
        <v>70</v>
      </c>
      <c r="N3119" s="11">
        <v>45183.0</v>
      </c>
      <c r="O3119" s="11">
        <v>45211.0</v>
      </c>
      <c r="P3119" s="11">
        <v>45555.0</v>
      </c>
      <c r="Q3119" s="11">
        <v>45225.0</v>
      </c>
      <c r="R3119" s="11">
        <v>45568.0</v>
      </c>
      <c r="S3119" s="12"/>
      <c r="T3119" s="8"/>
      <c r="U3119" s="8" t="s">
        <v>5424</v>
      </c>
      <c r="V3119" s="13" t="s">
        <v>491</v>
      </c>
      <c r="W3119" s="13" t="s">
        <v>14751</v>
      </c>
      <c r="X3119" s="12"/>
      <c r="Y3119" s="14"/>
      <c r="Z3119" s="14"/>
    </row>
    <row r="3120">
      <c r="A3120" s="8" t="s">
        <v>14752</v>
      </c>
      <c r="B3120" s="8" t="s">
        <v>14753</v>
      </c>
      <c r="C3120" s="8" t="s">
        <v>25</v>
      </c>
      <c r="D3120" s="8" t="s">
        <v>26</v>
      </c>
      <c r="E3120" s="8" t="s">
        <v>14754</v>
      </c>
      <c r="F3120" s="8"/>
      <c r="G3120" s="8" t="s">
        <v>31</v>
      </c>
      <c r="H3120" s="8" t="s">
        <v>111</v>
      </c>
      <c r="I3120" s="8" t="s">
        <v>284</v>
      </c>
      <c r="J3120" s="8" t="s">
        <v>1422</v>
      </c>
      <c r="K3120" s="10" t="s">
        <v>14755</v>
      </c>
      <c r="L3120" s="8" t="s">
        <v>58</v>
      </c>
      <c r="M3120" s="8" t="s">
        <v>35</v>
      </c>
      <c r="N3120" s="11">
        <v>45183.0</v>
      </c>
      <c r="O3120" s="11">
        <v>45200.0</v>
      </c>
      <c r="P3120" s="11">
        <v>45242.0</v>
      </c>
      <c r="Q3120" s="11">
        <v>45202.0</v>
      </c>
      <c r="R3120" s="11">
        <v>45242.0</v>
      </c>
      <c r="S3120" s="12"/>
      <c r="T3120" s="8"/>
      <c r="U3120" s="8" t="s">
        <v>371</v>
      </c>
      <c r="V3120" s="13" t="s">
        <v>38</v>
      </c>
      <c r="W3120" s="13" t="s">
        <v>14756</v>
      </c>
      <c r="X3120" s="12"/>
      <c r="Y3120" s="14"/>
      <c r="Z3120" s="14"/>
    </row>
    <row r="3121">
      <c r="A3121" s="8" t="s">
        <v>14757</v>
      </c>
      <c r="B3121" s="8" t="s">
        <v>14758</v>
      </c>
      <c r="C3121" s="8" t="s">
        <v>64</v>
      </c>
      <c r="D3121" s="8" t="s">
        <v>26</v>
      </c>
      <c r="E3121" s="8" t="s">
        <v>14759</v>
      </c>
      <c r="F3121" s="8">
        <v>5.41816772E8</v>
      </c>
      <c r="G3121" s="8" t="s">
        <v>254</v>
      </c>
      <c r="H3121" s="8" t="s">
        <v>3087</v>
      </c>
      <c r="I3121" s="8" t="s">
        <v>31</v>
      </c>
      <c r="J3121" s="8" t="s">
        <v>292</v>
      </c>
      <c r="K3121" s="10" t="s">
        <v>2070</v>
      </c>
      <c r="L3121" s="8" t="s">
        <v>58</v>
      </c>
      <c r="M3121" s="8" t="s">
        <v>35</v>
      </c>
      <c r="N3121" s="11">
        <v>45183.0</v>
      </c>
      <c r="O3121" s="11">
        <v>45189.0</v>
      </c>
      <c r="P3121" s="11">
        <v>45231.0</v>
      </c>
      <c r="Q3121" s="11">
        <v>45201.0</v>
      </c>
      <c r="R3121" s="11">
        <v>45243.0</v>
      </c>
      <c r="S3121" s="12"/>
      <c r="T3121" s="8"/>
      <c r="U3121" s="8" t="s">
        <v>88</v>
      </c>
      <c r="V3121" s="13" t="s">
        <v>3088</v>
      </c>
      <c r="W3121" s="13" t="s">
        <v>14760</v>
      </c>
      <c r="X3121" s="12"/>
      <c r="Y3121" s="14"/>
      <c r="Z3121" s="14"/>
    </row>
    <row r="3122">
      <c r="A3122" s="8" t="s">
        <v>14761</v>
      </c>
      <c r="B3122" s="8" t="s">
        <v>14762</v>
      </c>
      <c r="C3122" s="8" t="s">
        <v>708</v>
      </c>
      <c r="D3122" s="8" t="s">
        <v>26</v>
      </c>
      <c r="E3122" s="8" t="s">
        <v>14763</v>
      </c>
      <c r="F3122" s="8">
        <v>5.454500395E9</v>
      </c>
      <c r="G3122" s="8" t="s">
        <v>84</v>
      </c>
      <c r="H3122" s="8" t="s">
        <v>85</v>
      </c>
      <c r="I3122" s="8" t="s">
        <v>31</v>
      </c>
      <c r="J3122" s="8" t="s">
        <v>542</v>
      </c>
      <c r="K3122" s="10" t="s">
        <v>8953</v>
      </c>
      <c r="L3122" s="8" t="s">
        <v>34</v>
      </c>
      <c r="M3122" s="8" t="s">
        <v>70</v>
      </c>
      <c r="N3122" s="11">
        <v>45183.0</v>
      </c>
      <c r="O3122" s="11">
        <v>45169.0</v>
      </c>
      <c r="P3122" s="11">
        <v>45523.0</v>
      </c>
      <c r="Q3122" s="11">
        <v>45199.0</v>
      </c>
      <c r="R3122" s="11">
        <v>45553.0</v>
      </c>
      <c r="S3122" s="12"/>
      <c r="T3122" s="8" t="s">
        <v>36</v>
      </c>
      <c r="U3122" s="8" t="s">
        <v>8954</v>
      </c>
      <c r="V3122" s="13" t="s">
        <v>5502</v>
      </c>
      <c r="W3122" s="13" t="s">
        <v>14764</v>
      </c>
      <c r="X3122" s="12"/>
      <c r="Y3122" s="14"/>
      <c r="Z3122" s="14"/>
    </row>
    <row r="3123">
      <c r="A3123" s="8" t="s">
        <v>14765</v>
      </c>
      <c r="B3123" s="8" t="s">
        <v>14766</v>
      </c>
      <c r="C3123" s="8" t="s">
        <v>179</v>
      </c>
      <c r="D3123" s="8" t="s">
        <v>26</v>
      </c>
      <c r="E3123" s="8" t="s">
        <v>14767</v>
      </c>
      <c r="F3123" s="8">
        <v>5.448514593E9</v>
      </c>
      <c r="G3123" s="8" t="s">
        <v>31</v>
      </c>
      <c r="H3123" s="8" t="s">
        <v>56</v>
      </c>
      <c r="I3123" s="8" t="s">
        <v>44</v>
      </c>
      <c r="J3123" s="8" t="s">
        <v>741</v>
      </c>
      <c r="K3123" s="10" t="s">
        <v>2675</v>
      </c>
      <c r="L3123" s="8" t="s">
        <v>58</v>
      </c>
      <c r="M3123" s="8" t="s">
        <v>35</v>
      </c>
      <c r="N3123" s="11">
        <v>45184.0</v>
      </c>
      <c r="O3123" s="11">
        <v>45474.0</v>
      </c>
      <c r="P3123" s="11">
        <v>45516.0</v>
      </c>
      <c r="Q3123" s="11"/>
      <c r="R3123" s="11"/>
      <c r="S3123" s="12"/>
      <c r="T3123" s="8"/>
      <c r="U3123" s="8" t="s">
        <v>59</v>
      </c>
      <c r="V3123" s="13" t="s">
        <v>56</v>
      </c>
      <c r="W3123" s="13" t="s">
        <v>14768</v>
      </c>
      <c r="X3123" s="12"/>
      <c r="Y3123" s="14"/>
      <c r="Z3123" s="14"/>
    </row>
    <row r="3124">
      <c r="A3124" s="8" t="s">
        <v>14769</v>
      </c>
      <c r="B3124" s="8" t="s">
        <v>14770</v>
      </c>
      <c r="C3124" s="8" t="s">
        <v>179</v>
      </c>
      <c r="D3124" s="8" t="s">
        <v>26</v>
      </c>
      <c r="E3124" s="8" t="s">
        <v>14771</v>
      </c>
      <c r="F3124" s="8"/>
      <c r="G3124" s="8" t="s">
        <v>54</v>
      </c>
      <c r="H3124" s="8" t="s">
        <v>76</v>
      </c>
      <c r="I3124" s="8" t="s">
        <v>31</v>
      </c>
      <c r="J3124" s="8" t="s">
        <v>77</v>
      </c>
      <c r="K3124" s="10" t="s">
        <v>4188</v>
      </c>
      <c r="L3124" s="8" t="s">
        <v>58</v>
      </c>
      <c r="M3124" s="8" t="s">
        <v>35</v>
      </c>
      <c r="N3124" s="11">
        <v>45184.0</v>
      </c>
      <c r="O3124" s="11">
        <v>45488.0</v>
      </c>
      <c r="P3124" s="11">
        <v>45530.0</v>
      </c>
      <c r="Q3124" s="11"/>
      <c r="R3124" s="11"/>
      <c r="S3124" s="12"/>
      <c r="T3124" s="8"/>
      <c r="U3124" s="8" t="s">
        <v>59</v>
      </c>
      <c r="V3124" s="13" t="s">
        <v>38</v>
      </c>
      <c r="W3124" s="13" t="s">
        <v>14772</v>
      </c>
      <c r="X3124" s="12"/>
      <c r="Y3124" s="14"/>
      <c r="Z3124" s="14"/>
    </row>
    <row r="3125">
      <c r="A3125" s="8" t="s">
        <v>14773</v>
      </c>
      <c r="B3125" s="8" t="s">
        <v>14774</v>
      </c>
      <c r="C3125" s="8" t="s">
        <v>179</v>
      </c>
      <c r="D3125" s="8" t="s">
        <v>26</v>
      </c>
      <c r="E3125" s="8" t="s">
        <v>14775</v>
      </c>
      <c r="F3125" s="8">
        <v>9.5830383E7</v>
      </c>
      <c r="G3125" s="8" t="s">
        <v>54</v>
      </c>
      <c r="H3125" s="8" t="s">
        <v>76</v>
      </c>
      <c r="I3125" s="8" t="s">
        <v>31</v>
      </c>
      <c r="J3125" s="8" t="s">
        <v>77</v>
      </c>
      <c r="K3125" s="10" t="s">
        <v>4188</v>
      </c>
      <c r="L3125" s="8" t="s">
        <v>58</v>
      </c>
      <c r="M3125" s="8" t="s">
        <v>35</v>
      </c>
      <c r="N3125" s="11">
        <v>45184.0</v>
      </c>
      <c r="O3125" s="11">
        <v>45488.0</v>
      </c>
      <c r="P3125" s="11">
        <v>45530.0</v>
      </c>
      <c r="Q3125" s="11"/>
      <c r="R3125" s="11"/>
      <c r="S3125" s="12"/>
      <c r="T3125" s="8"/>
      <c r="U3125" s="8" t="s">
        <v>59</v>
      </c>
      <c r="V3125" s="13" t="s">
        <v>79</v>
      </c>
      <c r="W3125" s="13" t="s">
        <v>14776</v>
      </c>
      <c r="X3125" s="12"/>
      <c r="Y3125" s="14"/>
      <c r="Z3125" s="14"/>
    </row>
    <row r="3126">
      <c r="A3126" s="8" t="s">
        <v>14777</v>
      </c>
      <c r="B3126" s="8" t="s">
        <v>14778</v>
      </c>
      <c r="C3126" s="8" t="s">
        <v>179</v>
      </c>
      <c r="D3126" s="8" t="s">
        <v>26</v>
      </c>
      <c r="E3126" s="8" t="s">
        <v>14779</v>
      </c>
      <c r="F3126" s="8">
        <v>7.193600311E9</v>
      </c>
      <c r="G3126" s="8" t="s">
        <v>109</v>
      </c>
      <c r="H3126" s="8" t="s">
        <v>2286</v>
      </c>
      <c r="I3126" s="8" t="s">
        <v>31</v>
      </c>
      <c r="J3126" s="8" t="s">
        <v>77</v>
      </c>
      <c r="K3126" s="10" t="s">
        <v>4188</v>
      </c>
      <c r="L3126" s="8" t="s">
        <v>58</v>
      </c>
      <c r="M3126" s="8" t="s">
        <v>35</v>
      </c>
      <c r="N3126" s="11">
        <v>45184.0</v>
      </c>
      <c r="O3126" s="11">
        <v>45488.0</v>
      </c>
      <c r="P3126" s="11">
        <v>45530.0</v>
      </c>
      <c r="Q3126" s="11"/>
      <c r="R3126" s="11"/>
      <c r="S3126" s="12"/>
      <c r="T3126" s="8"/>
      <c r="U3126" s="8" t="s">
        <v>59</v>
      </c>
      <c r="V3126" s="13" t="s">
        <v>2287</v>
      </c>
      <c r="W3126" s="13" t="s">
        <v>14780</v>
      </c>
      <c r="X3126" s="12"/>
      <c r="Y3126" s="14"/>
      <c r="Z3126" s="14"/>
    </row>
    <row r="3127">
      <c r="A3127" s="8" t="s">
        <v>14781</v>
      </c>
      <c r="B3127" s="8" t="s">
        <v>14782</v>
      </c>
      <c r="C3127" s="8" t="s">
        <v>708</v>
      </c>
      <c r="D3127" s="8" t="s">
        <v>26</v>
      </c>
      <c r="E3127" s="8" t="s">
        <v>14783</v>
      </c>
      <c r="F3127" s="8">
        <v>5.8803524E7</v>
      </c>
      <c r="G3127" s="8" t="s">
        <v>54</v>
      </c>
      <c r="H3127" s="8" t="s">
        <v>377</v>
      </c>
      <c r="I3127" s="8" t="s">
        <v>31</v>
      </c>
      <c r="J3127" s="8" t="s">
        <v>43</v>
      </c>
      <c r="K3127" s="10" t="s">
        <v>2838</v>
      </c>
      <c r="L3127" s="8" t="s">
        <v>47</v>
      </c>
      <c r="M3127" s="8" t="s">
        <v>70</v>
      </c>
      <c r="N3127" s="11">
        <v>45184.0</v>
      </c>
      <c r="O3127" s="11">
        <v>45192.0</v>
      </c>
      <c r="P3127" s="11">
        <v>45555.0</v>
      </c>
      <c r="Q3127" s="11">
        <v>45194.0</v>
      </c>
      <c r="R3127" s="11">
        <v>45559.0</v>
      </c>
      <c r="S3127" s="12"/>
      <c r="T3127" s="8"/>
      <c r="U3127" s="8" t="s">
        <v>2839</v>
      </c>
      <c r="V3127" s="13" t="s">
        <v>1604</v>
      </c>
      <c r="W3127" s="13" t="s">
        <v>14784</v>
      </c>
      <c r="X3127" s="12"/>
      <c r="Y3127" s="14"/>
      <c r="Z3127" s="14"/>
    </row>
    <row r="3128">
      <c r="A3128" s="8" t="s">
        <v>14785</v>
      </c>
      <c r="B3128" s="8" t="s">
        <v>14786</v>
      </c>
      <c r="C3128" s="8" t="s">
        <v>708</v>
      </c>
      <c r="D3128" s="8" t="s">
        <v>26</v>
      </c>
      <c r="E3128" s="8" t="s">
        <v>14787</v>
      </c>
      <c r="F3128" s="8">
        <v>2.7889718E7</v>
      </c>
      <c r="G3128" s="8" t="s">
        <v>54</v>
      </c>
      <c r="H3128" s="8" t="s">
        <v>377</v>
      </c>
      <c r="I3128" s="8" t="s">
        <v>31</v>
      </c>
      <c r="J3128" s="8" t="s">
        <v>43</v>
      </c>
      <c r="K3128" s="10" t="s">
        <v>2838</v>
      </c>
      <c r="L3128" s="8" t="s">
        <v>47</v>
      </c>
      <c r="M3128" s="8" t="s">
        <v>70</v>
      </c>
      <c r="N3128" s="11">
        <v>45184.0</v>
      </c>
      <c r="O3128" s="11">
        <v>45192.0</v>
      </c>
      <c r="P3128" s="11">
        <v>45555.0</v>
      </c>
      <c r="Q3128" s="11">
        <v>45194.0</v>
      </c>
      <c r="R3128" s="11">
        <v>45559.0</v>
      </c>
      <c r="S3128" s="12"/>
      <c r="T3128" s="8"/>
      <c r="U3128" s="8" t="s">
        <v>2839</v>
      </c>
      <c r="V3128" s="13" t="s">
        <v>1604</v>
      </c>
      <c r="W3128" s="13" t="s">
        <v>14788</v>
      </c>
      <c r="X3128" s="12"/>
      <c r="Y3128" s="14"/>
      <c r="Z3128" s="14"/>
    </row>
    <row r="3129">
      <c r="A3129" s="8" t="s">
        <v>14789</v>
      </c>
      <c r="B3129" s="8" t="s">
        <v>14790</v>
      </c>
      <c r="C3129" s="8" t="s">
        <v>179</v>
      </c>
      <c r="D3129" s="8" t="s">
        <v>26</v>
      </c>
      <c r="E3129" s="8" t="s">
        <v>14791</v>
      </c>
      <c r="F3129" s="8"/>
      <c r="G3129" s="8" t="s">
        <v>315</v>
      </c>
      <c r="H3129" s="8" t="s">
        <v>1242</v>
      </c>
      <c r="I3129" s="8" t="s">
        <v>31</v>
      </c>
      <c r="J3129" s="8" t="s">
        <v>32</v>
      </c>
      <c r="K3129" s="10" t="s">
        <v>14285</v>
      </c>
      <c r="L3129" s="8" t="s">
        <v>58</v>
      </c>
      <c r="M3129" s="8" t="s">
        <v>35</v>
      </c>
      <c r="N3129" s="11">
        <v>45184.0</v>
      </c>
      <c r="O3129" s="11">
        <v>45256.0</v>
      </c>
      <c r="P3129" s="11">
        <v>45298.0</v>
      </c>
      <c r="Q3129" s="11"/>
      <c r="R3129" s="11"/>
      <c r="S3129" s="12"/>
      <c r="T3129" s="8"/>
      <c r="U3129" s="8" t="s">
        <v>161</v>
      </c>
      <c r="V3129" s="13" t="s">
        <v>38</v>
      </c>
      <c r="W3129" s="13" t="s">
        <v>14792</v>
      </c>
      <c r="X3129" s="12"/>
      <c r="Y3129" s="14"/>
      <c r="Z3129" s="14"/>
    </row>
    <row r="3130">
      <c r="A3130" s="8" t="s">
        <v>14793</v>
      </c>
      <c r="B3130" s="8" t="s">
        <v>4838</v>
      </c>
      <c r="C3130" s="8" t="s">
        <v>179</v>
      </c>
      <c r="D3130" s="8" t="s">
        <v>26</v>
      </c>
      <c r="E3130" s="8" t="s">
        <v>4839</v>
      </c>
      <c r="F3130" s="8">
        <v>8.762430199E9</v>
      </c>
      <c r="G3130" s="8" t="s">
        <v>44</v>
      </c>
      <c r="H3130" s="8" t="s">
        <v>1321</v>
      </c>
      <c r="I3130" s="8" t="s">
        <v>31</v>
      </c>
      <c r="J3130" s="8" t="s">
        <v>43</v>
      </c>
      <c r="K3130" s="10" t="s">
        <v>12504</v>
      </c>
      <c r="L3130" s="8" t="s">
        <v>58</v>
      </c>
      <c r="M3130" s="8" t="s">
        <v>35</v>
      </c>
      <c r="N3130" s="11">
        <v>45184.0</v>
      </c>
      <c r="O3130" s="11">
        <v>45362.0</v>
      </c>
      <c r="P3130" s="11">
        <v>45408.0</v>
      </c>
      <c r="Q3130" s="11"/>
      <c r="R3130" s="11"/>
      <c r="S3130" s="12"/>
      <c r="T3130" s="8"/>
      <c r="U3130" s="8" t="s">
        <v>59</v>
      </c>
      <c r="V3130" s="13" t="s">
        <v>1468</v>
      </c>
      <c r="W3130" s="13" t="s">
        <v>4840</v>
      </c>
      <c r="X3130" s="12"/>
      <c r="Y3130" s="14"/>
      <c r="Z3130" s="14"/>
    </row>
    <row r="3131">
      <c r="A3131" s="8" t="s">
        <v>14794</v>
      </c>
      <c r="B3131" s="8" t="s">
        <v>4833</v>
      </c>
      <c r="C3131" s="8" t="s">
        <v>179</v>
      </c>
      <c r="D3131" s="8" t="s">
        <v>26</v>
      </c>
      <c r="E3131" s="8" t="s">
        <v>4834</v>
      </c>
      <c r="F3131" s="8">
        <v>9.742067693E9</v>
      </c>
      <c r="G3131" s="8" t="s">
        <v>44</v>
      </c>
      <c r="H3131" s="8" t="s">
        <v>1321</v>
      </c>
      <c r="I3131" s="8" t="s">
        <v>31</v>
      </c>
      <c r="J3131" s="8" t="s">
        <v>43</v>
      </c>
      <c r="K3131" s="10" t="s">
        <v>12504</v>
      </c>
      <c r="L3131" s="8" t="s">
        <v>58</v>
      </c>
      <c r="M3131" s="8" t="s">
        <v>35</v>
      </c>
      <c r="N3131" s="11">
        <v>45184.0</v>
      </c>
      <c r="O3131" s="11">
        <v>45362.0</v>
      </c>
      <c r="P3131" s="11">
        <v>45408.0</v>
      </c>
      <c r="Q3131" s="11"/>
      <c r="R3131" s="11"/>
      <c r="S3131" s="12"/>
      <c r="T3131" s="8"/>
      <c r="U3131" s="8" t="s">
        <v>59</v>
      </c>
      <c r="V3131" s="13" t="s">
        <v>4835</v>
      </c>
      <c r="W3131" s="13" t="s">
        <v>4836</v>
      </c>
      <c r="X3131" s="12"/>
      <c r="Y3131" s="14"/>
      <c r="Z3131" s="14"/>
    </row>
    <row r="3132">
      <c r="A3132" s="8" t="s">
        <v>14795</v>
      </c>
      <c r="B3132" s="8" t="s">
        <v>14796</v>
      </c>
      <c r="C3132" s="8" t="s">
        <v>179</v>
      </c>
      <c r="D3132" s="8" t="s">
        <v>26</v>
      </c>
      <c r="E3132" s="8" t="s">
        <v>14797</v>
      </c>
      <c r="F3132" s="8">
        <v>9.81156952E8</v>
      </c>
      <c r="G3132" s="8" t="s">
        <v>1620</v>
      </c>
      <c r="H3132" s="8" t="s">
        <v>1621</v>
      </c>
      <c r="I3132" s="8" t="s">
        <v>31</v>
      </c>
      <c r="J3132" s="8" t="s">
        <v>43</v>
      </c>
      <c r="K3132" s="10" t="s">
        <v>12504</v>
      </c>
      <c r="L3132" s="8" t="s">
        <v>58</v>
      </c>
      <c r="M3132" s="8" t="s">
        <v>35</v>
      </c>
      <c r="N3132" s="11">
        <v>45184.0</v>
      </c>
      <c r="O3132" s="11">
        <v>45327.0</v>
      </c>
      <c r="P3132" s="11">
        <v>45369.0</v>
      </c>
      <c r="Q3132" s="11"/>
      <c r="R3132" s="11"/>
      <c r="S3132" s="12"/>
      <c r="T3132" s="8"/>
      <c r="U3132" s="8" t="s">
        <v>59</v>
      </c>
      <c r="V3132" s="13" t="s">
        <v>13760</v>
      </c>
      <c r="W3132" s="13" t="s">
        <v>14798</v>
      </c>
      <c r="X3132" s="12"/>
      <c r="Y3132" s="14"/>
      <c r="Z3132" s="14"/>
    </row>
    <row r="3133">
      <c r="A3133" s="8" t="s">
        <v>14799</v>
      </c>
      <c r="B3133" s="8" t="s">
        <v>14800</v>
      </c>
      <c r="C3133" s="8" t="s">
        <v>179</v>
      </c>
      <c r="D3133" s="8" t="s">
        <v>26</v>
      </c>
      <c r="E3133" s="8" t="s">
        <v>14801</v>
      </c>
      <c r="F3133" s="8">
        <v>1.128461329E9</v>
      </c>
      <c r="G3133" s="8" t="s">
        <v>284</v>
      </c>
      <c r="H3133" s="8" t="s">
        <v>1450</v>
      </c>
      <c r="I3133" s="8" t="s">
        <v>31</v>
      </c>
      <c r="J3133" s="8" t="s">
        <v>43</v>
      </c>
      <c r="K3133" s="10" t="s">
        <v>5289</v>
      </c>
      <c r="L3133" s="8" t="s">
        <v>58</v>
      </c>
      <c r="M3133" s="8" t="s">
        <v>35</v>
      </c>
      <c r="N3133" s="11">
        <v>45184.0</v>
      </c>
      <c r="O3133" s="11">
        <v>45264.0</v>
      </c>
      <c r="P3133" s="11">
        <v>45310.0</v>
      </c>
      <c r="Q3133" s="11"/>
      <c r="R3133" s="11"/>
      <c r="S3133" s="12"/>
      <c r="T3133" s="8"/>
      <c r="U3133" s="8" t="s">
        <v>59</v>
      </c>
      <c r="V3133" s="13" t="s">
        <v>14802</v>
      </c>
      <c r="W3133" s="13" t="s">
        <v>14803</v>
      </c>
      <c r="X3133" s="12"/>
      <c r="Y3133" s="14"/>
      <c r="Z3133" s="14"/>
    </row>
    <row r="3134">
      <c r="A3134" s="8" t="s">
        <v>14804</v>
      </c>
      <c r="B3134" s="8" t="s">
        <v>14805</v>
      </c>
      <c r="C3134" s="8" t="s">
        <v>179</v>
      </c>
      <c r="D3134" s="8" t="s">
        <v>26</v>
      </c>
      <c r="E3134" s="8" t="s">
        <v>14806</v>
      </c>
      <c r="F3134" s="8">
        <v>1.002009229E9</v>
      </c>
      <c r="G3134" s="8" t="s">
        <v>284</v>
      </c>
      <c r="H3134" s="8" t="s">
        <v>793</v>
      </c>
      <c r="I3134" s="8" t="s">
        <v>31</v>
      </c>
      <c r="J3134" s="8" t="s">
        <v>77</v>
      </c>
      <c r="K3134" s="10" t="s">
        <v>4188</v>
      </c>
      <c r="L3134" s="8" t="s">
        <v>58</v>
      </c>
      <c r="M3134" s="8" t="s">
        <v>35</v>
      </c>
      <c r="N3134" s="11">
        <v>45184.0</v>
      </c>
      <c r="O3134" s="11">
        <v>45285.0</v>
      </c>
      <c r="P3134" s="11">
        <v>45327.0</v>
      </c>
      <c r="Q3134" s="11"/>
      <c r="R3134" s="11"/>
      <c r="S3134" s="12"/>
      <c r="T3134" s="8"/>
      <c r="U3134" s="8" t="s">
        <v>59</v>
      </c>
      <c r="V3134" s="13" t="s">
        <v>793</v>
      </c>
      <c r="W3134" s="13" t="s">
        <v>14807</v>
      </c>
      <c r="X3134" s="12"/>
      <c r="Y3134" s="14"/>
      <c r="Z3134" s="14"/>
    </row>
    <row r="3135">
      <c r="A3135" s="8" t="s">
        <v>14808</v>
      </c>
      <c r="B3135" s="8" t="s">
        <v>14809</v>
      </c>
      <c r="C3135" s="8" t="s">
        <v>179</v>
      </c>
      <c r="D3135" s="8" t="s">
        <v>26</v>
      </c>
      <c r="E3135" s="8" t="s">
        <v>14810</v>
      </c>
      <c r="F3135" s="8">
        <v>1.1998613714E10</v>
      </c>
      <c r="G3135" s="8" t="s">
        <v>109</v>
      </c>
      <c r="H3135" s="8" t="s">
        <v>14811</v>
      </c>
      <c r="I3135" s="8" t="s">
        <v>31</v>
      </c>
      <c r="J3135" s="8" t="s">
        <v>136</v>
      </c>
      <c r="K3135" s="10" t="s">
        <v>2354</v>
      </c>
      <c r="L3135" s="8" t="s">
        <v>58</v>
      </c>
      <c r="M3135" s="8" t="s">
        <v>35</v>
      </c>
      <c r="N3135" s="11">
        <v>45185.0</v>
      </c>
      <c r="O3135" s="11">
        <v>45551.0</v>
      </c>
      <c r="P3135" s="11">
        <v>45593.0</v>
      </c>
      <c r="Q3135" s="11"/>
      <c r="R3135" s="11"/>
      <c r="S3135" s="12"/>
      <c r="T3135" s="8"/>
      <c r="U3135" s="8" t="s">
        <v>59</v>
      </c>
      <c r="V3135" s="13" t="s">
        <v>14812</v>
      </c>
      <c r="W3135" s="13" t="s">
        <v>14813</v>
      </c>
      <c r="X3135" s="12"/>
      <c r="Y3135" s="14"/>
      <c r="Z3135" s="14"/>
    </row>
    <row r="3136">
      <c r="A3136" s="8" t="s">
        <v>14814</v>
      </c>
      <c r="B3136" s="8" t="s">
        <v>14815</v>
      </c>
      <c r="C3136" s="8" t="s">
        <v>179</v>
      </c>
      <c r="D3136" s="8" t="s">
        <v>26</v>
      </c>
      <c r="E3136" s="8" t="s">
        <v>14816</v>
      </c>
      <c r="F3136" s="8">
        <v>1.28972535E9</v>
      </c>
      <c r="G3136" s="8" t="s">
        <v>284</v>
      </c>
      <c r="H3136" s="8" t="s">
        <v>625</v>
      </c>
      <c r="I3136" s="8" t="s">
        <v>31</v>
      </c>
      <c r="J3136" s="8" t="s">
        <v>43</v>
      </c>
      <c r="K3136" s="10" t="s">
        <v>14817</v>
      </c>
      <c r="L3136" s="8" t="s">
        <v>47</v>
      </c>
      <c r="M3136" s="8" t="s">
        <v>48</v>
      </c>
      <c r="N3136" s="11">
        <v>45185.0</v>
      </c>
      <c r="O3136" s="11">
        <v>45219.0</v>
      </c>
      <c r="P3136" s="11">
        <v>45400.0</v>
      </c>
      <c r="Q3136" s="11"/>
      <c r="R3136" s="11"/>
      <c r="S3136" s="12"/>
      <c r="T3136" s="8"/>
      <c r="U3136" s="8" t="s">
        <v>14818</v>
      </c>
      <c r="V3136" s="13" t="s">
        <v>626</v>
      </c>
      <c r="W3136" s="13" t="s">
        <v>14819</v>
      </c>
      <c r="X3136" s="12"/>
      <c r="Y3136" s="14"/>
      <c r="Z3136" s="14"/>
    </row>
    <row r="3137">
      <c r="A3137" s="8" t="s">
        <v>14820</v>
      </c>
      <c r="B3137" s="8" t="s">
        <v>14821</v>
      </c>
      <c r="C3137" s="8" t="s">
        <v>179</v>
      </c>
      <c r="D3137" s="8" t="s">
        <v>26</v>
      </c>
      <c r="E3137" s="8" t="s">
        <v>14822</v>
      </c>
      <c r="F3137" s="8">
        <v>5.4565563E7</v>
      </c>
      <c r="G3137" s="8" t="s">
        <v>54</v>
      </c>
      <c r="H3137" s="8" t="s">
        <v>377</v>
      </c>
      <c r="I3137" s="8" t="s">
        <v>31</v>
      </c>
      <c r="J3137" s="8" t="s">
        <v>77</v>
      </c>
      <c r="K3137" s="10" t="s">
        <v>4188</v>
      </c>
      <c r="L3137" s="8" t="s">
        <v>58</v>
      </c>
      <c r="M3137" s="8" t="s">
        <v>35</v>
      </c>
      <c r="N3137" s="11">
        <v>45186.0</v>
      </c>
      <c r="O3137" s="11">
        <v>45488.0</v>
      </c>
      <c r="P3137" s="11">
        <v>45530.0</v>
      </c>
      <c r="Q3137" s="11"/>
      <c r="R3137" s="11"/>
      <c r="S3137" s="12"/>
      <c r="T3137" s="8"/>
      <c r="U3137" s="8" t="s">
        <v>59</v>
      </c>
      <c r="V3137" s="13" t="s">
        <v>3806</v>
      </c>
      <c r="W3137" s="13" t="s">
        <v>14823</v>
      </c>
      <c r="X3137" s="12"/>
      <c r="Y3137" s="14"/>
      <c r="Z3137" s="14"/>
    </row>
    <row r="3138">
      <c r="A3138" s="8" t="s">
        <v>14824</v>
      </c>
      <c r="B3138" s="8" t="s">
        <v>14825</v>
      </c>
      <c r="C3138" s="8" t="s">
        <v>25</v>
      </c>
      <c r="D3138" s="8" t="s">
        <v>26</v>
      </c>
      <c r="E3138" s="8" t="s">
        <v>14826</v>
      </c>
      <c r="F3138" s="8">
        <v>5.436167414E9</v>
      </c>
      <c r="G3138" s="8" t="s">
        <v>31</v>
      </c>
      <c r="H3138" s="8" t="s">
        <v>292</v>
      </c>
      <c r="I3138" s="8" t="s">
        <v>277</v>
      </c>
      <c r="J3138" s="8" t="s">
        <v>278</v>
      </c>
      <c r="K3138" s="10" t="s">
        <v>14827</v>
      </c>
      <c r="L3138" s="8" t="s">
        <v>58</v>
      </c>
      <c r="M3138" s="8" t="s">
        <v>35</v>
      </c>
      <c r="N3138" s="11">
        <v>45186.0</v>
      </c>
      <c r="O3138" s="11">
        <v>45201.0</v>
      </c>
      <c r="P3138" s="11">
        <v>45243.0</v>
      </c>
      <c r="Q3138" s="11">
        <v>45200.0</v>
      </c>
      <c r="R3138" s="11">
        <v>45243.0</v>
      </c>
      <c r="S3138" s="12"/>
      <c r="T3138" s="8"/>
      <c r="U3138" s="8" t="s">
        <v>59</v>
      </c>
      <c r="V3138" s="13" t="s">
        <v>4979</v>
      </c>
      <c r="W3138" s="13" t="s">
        <v>14828</v>
      </c>
      <c r="X3138" s="12"/>
      <c r="Y3138" s="14"/>
      <c r="Z3138" s="14"/>
    </row>
    <row r="3139">
      <c r="A3139" s="8" t="s">
        <v>14829</v>
      </c>
      <c r="B3139" s="8" t="s">
        <v>14830</v>
      </c>
      <c r="C3139" s="8" t="s">
        <v>179</v>
      </c>
      <c r="D3139" s="8" t="s">
        <v>26</v>
      </c>
      <c r="E3139" s="8" t="s">
        <v>14831</v>
      </c>
      <c r="F3139" s="8">
        <v>9.604880322E9</v>
      </c>
      <c r="G3139" s="8" t="s">
        <v>1510</v>
      </c>
      <c r="H3139" s="8" t="s">
        <v>14832</v>
      </c>
      <c r="I3139" s="8" t="s">
        <v>31</v>
      </c>
      <c r="J3139" s="8" t="s">
        <v>167</v>
      </c>
      <c r="K3139" s="10" t="s">
        <v>5996</v>
      </c>
      <c r="L3139" s="8" t="s">
        <v>58</v>
      </c>
      <c r="M3139" s="8" t="s">
        <v>35</v>
      </c>
      <c r="N3139" s="11">
        <v>45186.0</v>
      </c>
      <c r="O3139" s="11">
        <v>45488.0</v>
      </c>
      <c r="P3139" s="11">
        <v>45530.0</v>
      </c>
      <c r="Q3139" s="11"/>
      <c r="R3139" s="11"/>
      <c r="S3139" s="12"/>
      <c r="T3139" s="8"/>
      <c r="U3139" s="8" t="s">
        <v>130</v>
      </c>
      <c r="V3139" s="13" t="s">
        <v>14833</v>
      </c>
      <c r="W3139" s="13" t="s">
        <v>14834</v>
      </c>
      <c r="X3139" s="12"/>
      <c r="Y3139" s="14"/>
      <c r="Z3139" s="14"/>
    </row>
    <row r="3140">
      <c r="A3140" s="8" t="s">
        <v>14835</v>
      </c>
      <c r="B3140" s="8" t="s">
        <v>14836</v>
      </c>
      <c r="C3140" s="8" t="s">
        <v>179</v>
      </c>
      <c r="D3140" s="8" t="s">
        <v>26</v>
      </c>
      <c r="E3140" s="8" t="s">
        <v>14837</v>
      </c>
      <c r="F3140" s="8">
        <v>1.123552605E9</v>
      </c>
      <c r="G3140" s="8" t="s">
        <v>284</v>
      </c>
      <c r="H3140" s="8" t="s">
        <v>1422</v>
      </c>
      <c r="I3140" s="8" t="s">
        <v>31</v>
      </c>
      <c r="J3140" s="8" t="s">
        <v>111</v>
      </c>
      <c r="K3140" s="10" t="s">
        <v>11499</v>
      </c>
      <c r="L3140" s="8" t="s">
        <v>47</v>
      </c>
      <c r="M3140" s="8" t="s">
        <v>70</v>
      </c>
      <c r="N3140" s="11">
        <v>45186.0</v>
      </c>
      <c r="O3140" s="11">
        <v>45227.0</v>
      </c>
      <c r="P3140" s="11">
        <v>45583.0</v>
      </c>
      <c r="Q3140" s="11"/>
      <c r="R3140" s="11"/>
      <c r="S3140" s="12"/>
      <c r="T3140" s="8"/>
      <c r="U3140" s="8" t="s">
        <v>246</v>
      </c>
      <c r="V3140" s="13" t="s">
        <v>1424</v>
      </c>
      <c r="W3140" s="13" t="s">
        <v>14838</v>
      </c>
      <c r="X3140" s="12"/>
      <c r="Y3140" s="14"/>
      <c r="Z3140" s="14"/>
    </row>
    <row r="3141">
      <c r="A3141" s="8" t="s">
        <v>14839</v>
      </c>
      <c r="B3141" s="8" t="s">
        <v>14840</v>
      </c>
      <c r="C3141" s="8" t="s">
        <v>179</v>
      </c>
      <c r="D3141" s="8" t="s">
        <v>26</v>
      </c>
      <c r="E3141" s="8" t="s">
        <v>14841</v>
      </c>
      <c r="F3141" s="8">
        <v>1.016504474E9</v>
      </c>
      <c r="G3141" s="8" t="s">
        <v>284</v>
      </c>
      <c r="H3141" s="8" t="s">
        <v>691</v>
      </c>
      <c r="I3141" s="8" t="s">
        <v>31</v>
      </c>
      <c r="J3141" s="8" t="s">
        <v>167</v>
      </c>
      <c r="K3141" s="10" t="s">
        <v>893</v>
      </c>
      <c r="L3141" s="8" t="s">
        <v>58</v>
      </c>
      <c r="M3141" s="8" t="s">
        <v>35</v>
      </c>
      <c r="N3141" s="11">
        <v>45186.0</v>
      </c>
      <c r="O3141" s="11">
        <v>45488.0</v>
      </c>
      <c r="P3141" s="11">
        <v>45530.0</v>
      </c>
      <c r="Q3141" s="11"/>
      <c r="R3141" s="11"/>
      <c r="S3141" s="12"/>
      <c r="T3141" s="8"/>
      <c r="U3141" s="8" t="s">
        <v>88</v>
      </c>
      <c r="V3141" s="13" t="s">
        <v>6201</v>
      </c>
      <c r="W3141" s="13" t="s">
        <v>14842</v>
      </c>
      <c r="X3141" s="12"/>
      <c r="Y3141" s="14"/>
      <c r="Z3141" s="14"/>
    </row>
    <row r="3142">
      <c r="A3142" s="8" t="s">
        <v>14843</v>
      </c>
      <c r="B3142" s="8" t="s">
        <v>14844</v>
      </c>
      <c r="C3142" s="8" t="s">
        <v>179</v>
      </c>
      <c r="D3142" s="8" t="s">
        <v>26</v>
      </c>
      <c r="E3142" s="8" t="s">
        <v>14845</v>
      </c>
      <c r="F3142" s="8">
        <v>1.00604297E9</v>
      </c>
      <c r="G3142" s="8" t="s">
        <v>284</v>
      </c>
      <c r="H3142" s="8" t="s">
        <v>691</v>
      </c>
      <c r="I3142" s="8" t="s">
        <v>31</v>
      </c>
      <c r="J3142" s="8" t="s">
        <v>167</v>
      </c>
      <c r="K3142" s="10" t="s">
        <v>893</v>
      </c>
      <c r="L3142" s="8" t="s">
        <v>58</v>
      </c>
      <c r="M3142" s="8" t="s">
        <v>35</v>
      </c>
      <c r="N3142" s="11">
        <v>45186.0</v>
      </c>
      <c r="O3142" s="11">
        <v>45488.0</v>
      </c>
      <c r="P3142" s="11">
        <v>45530.0</v>
      </c>
      <c r="Q3142" s="11"/>
      <c r="R3142" s="11"/>
      <c r="S3142" s="12"/>
      <c r="T3142" s="8"/>
      <c r="U3142" s="8" t="s">
        <v>88</v>
      </c>
      <c r="V3142" s="13" t="s">
        <v>6201</v>
      </c>
      <c r="W3142" s="13" t="s">
        <v>14846</v>
      </c>
      <c r="X3142" s="12"/>
      <c r="Y3142" s="14"/>
      <c r="Z3142" s="14"/>
    </row>
    <row r="3143">
      <c r="A3143" s="8" t="s">
        <v>14847</v>
      </c>
      <c r="B3143" s="8" t="s">
        <v>14848</v>
      </c>
      <c r="C3143" s="8" t="s">
        <v>179</v>
      </c>
      <c r="D3143" s="8" t="s">
        <v>26</v>
      </c>
      <c r="E3143" s="8" t="s">
        <v>14849</v>
      </c>
      <c r="F3143" s="8">
        <v>5.02126216E8</v>
      </c>
      <c r="G3143" s="8" t="s">
        <v>1620</v>
      </c>
      <c r="H3143" s="8" t="s">
        <v>4288</v>
      </c>
      <c r="I3143" s="8" t="s">
        <v>31</v>
      </c>
      <c r="J3143" s="8" t="s">
        <v>56</v>
      </c>
      <c r="K3143" s="10" t="s">
        <v>11979</v>
      </c>
      <c r="L3143" s="8" t="s">
        <v>58</v>
      </c>
      <c r="M3143" s="8" t="s">
        <v>35</v>
      </c>
      <c r="N3143" s="11">
        <v>45186.0</v>
      </c>
      <c r="O3143" s="11">
        <v>45292.0</v>
      </c>
      <c r="P3143" s="11">
        <v>45334.0</v>
      </c>
      <c r="Q3143" s="11"/>
      <c r="R3143" s="11"/>
      <c r="S3143" s="12"/>
      <c r="T3143" s="8"/>
      <c r="U3143" s="8" t="s">
        <v>161</v>
      </c>
      <c r="V3143" s="13" t="s">
        <v>5939</v>
      </c>
      <c r="W3143" s="13" t="s">
        <v>14850</v>
      </c>
      <c r="X3143" s="12"/>
      <c r="Y3143" s="14"/>
      <c r="Z3143" s="14"/>
    </row>
    <row r="3144">
      <c r="A3144" s="8" t="s">
        <v>14851</v>
      </c>
      <c r="B3144" s="8" t="s">
        <v>14852</v>
      </c>
      <c r="C3144" s="8" t="s">
        <v>179</v>
      </c>
      <c r="D3144" s="8" t="s">
        <v>26</v>
      </c>
      <c r="E3144" s="8" t="s">
        <v>14853</v>
      </c>
      <c r="F3144" s="8">
        <v>6.35500928E8</v>
      </c>
      <c r="G3144" s="8" t="s">
        <v>1620</v>
      </c>
      <c r="H3144" s="8" t="s">
        <v>4288</v>
      </c>
      <c r="I3144" s="8" t="s">
        <v>31</v>
      </c>
      <c r="J3144" s="8" t="s">
        <v>542</v>
      </c>
      <c r="K3144" s="10" t="s">
        <v>12954</v>
      </c>
      <c r="L3144" s="8" t="s">
        <v>58</v>
      </c>
      <c r="M3144" s="8" t="s">
        <v>35</v>
      </c>
      <c r="N3144" s="11">
        <v>45186.0</v>
      </c>
      <c r="O3144" s="11">
        <v>45334.0</v>
      </c>
      <c r="P3144" s="11">
        <v>45376.0</v>
      </c>
      <c r="Q3144" s="11"/>
      <c r="R3144" s="11"/>
      <c r="S3144" s="12"/>
      <c r="T3144" s="8"/>
      <c r="U3144" s="8" t="s">
        <v>161</v>
      </c>
      <c r="V3144" s="13" t="s">
        <v>12400</v>
      </c>
      <c r="W3144" s="13" t="s">
        <v>14854</v>
      </c>
      <c r="X3144" s="12"/>
      <c r="Y3144" s="14"/>
      <c r="Z3144" s="14"/>
    </row>
    <row r="3145">
      <c r="A3145" s="8" t="s">
        <v>14855</v>
      </c>
      <c r="B3145" s="8" t="s">
        <v>14856</v>
      </c>
      <c r="C3145" s="8" t="s">
        <v>708</v>
      </c>
      <c r="D3145" s="8" t="s">
        <v>26</v>
      </c>
      <c r="E3145" s="8" t="s">
        <v>14857</v>
      </c>
      <c r="F3145" s="8">
        <v>1.114765688E9</v>
      </c>
      <c r="G3145" s="8" t="s">
        <v>284</v>
      </c>
      <c r="H3145" s="8" t="s">
        <v>793</v>
      </c>
      <c r="I3145" s="8" t="s">
        <v>31</v>
      </c>
      <c r="J3145" s="8" t="s">
        <v>256</v>
      </c>
      <c r="K3145" s="10" t="s">
        <v>10689</v>
      </c>
      <c r="L3145" s="8" t="s">
        <v>58</v>
      </c>
      <c r="M3145" s="8" t="s">
        <v>35</v>
      </c>
      <c r="N3145" s="11">
        <v>45186.0</v>
      </c>
      <c r="O3145" s="11">
        <v>45292.0</v>
      </c>
      <c r="P3145" s="11">
        <v>45334.0</v>
      </c>
      <c r="Q3145" s="11">
        <v>45315.0</v>
      </c>
      <c r="R3145" s="11">
        <v>45357.0</v>
      </c>
      <c r="S3145" s="12"/>
      <c r="T3145" s="8"/>
      <c r="U3145" s="8" t="s">
        <v>59</v>
      </c>
      <c r="V3145" s="13" t="s">
        <v>793</v>
      </c>
      <c r="W3145" s="13" t="s">
        <v>14858</v>
      </c>
      <c r="X3145" s="12"/>
      <c r="Y3145" s="14"/>
      <c r="Z3145" s="14"/>
    </row>
    <row r="3146">
      <c r="A3146" s="8" t="s">
        <v>14859</v>
      </c>
      <c r="B3146" s="8" t="s">
        <v>14860</v>
      </c>
      <c r="C3146" s="8" t="s">
        <v>179</v>
      </c>
      <c r="D3146" s="8" t="s">
        <v>26</v>
      </c>
      <c r="E3146" s="8" t="s">
        <v>14861</v>
      </c>
      <c r="F3146" s="8">
        <v>5.52650843E8</v>
      </c>
      <c r="G3146" s="8" t="s">
        <v>10035</v>
      </c>
      <c r="H3146" s="8" t="s">
        <v>14862</v>
      </c>
      <c r="I3146" s="8" t="s">
        <v>31</v>
      </c>
      <c r="J3146" s="8" t="s">
        <v>86</v>
      </c>
      <c r="K3146" s="10" t="s">
        <v>389</v>
      </c>
      <c r="L3146" s="8" t="s">
        <v>58</v>
      </c>
      <c r="M3146" s="8" t="s">
        <v>35</v>
      </c>
      <c r="N3146" s="11">
        <v>45186.0</v>
      </c>
      <c r="O3146" s="11">
        <v>45242.0</v>
      </c>
      <c r="P3146" s="11">
        <v>45284.0</v>
      </c>
      <c r="Q3146" s="11"/>
      <c r="R3146" s="11"/>
      <c r="S3146" s="12"/>
      <c r="T3146" s="8"/>
      <c r="U3146" s="8" t="s">
        <v>153</v>
      </c>
      <c r="V3146" s="13" t="s">
        <v>14863</v>
      </c>
      <c r="W3146" s="13" t="s">
        <v>14864</v>
      </c>
      <c r="X3146" s="12"/>
      <c r="Y3146" s="14"/>
      <c r="Z3146" s="14"/>
    </row>
    <row r="3147">
      <c r="A3147" s="8" t="s">
        <v>14865</v>
      </c>
      <c r="B3147" s="8" t="s">
        <v>14866</v>
      </c>
      <c r="C3147" s="8" t="s">
        <v>708</v>
      </c>
      <c r="D3147" s="8" t="s">
        <v>26</v>
      </c>
      <c r="E3147" s="8" t="s">
        <v>14867</v>
      </c>
      <c r="F3147" s="8">
        <v>1.12251224E9</v>
      </c>
      <c r="G3147" s="8" t="s">
        <v>284</v>
      </c>
      <c r="H3147" s="8" t="s">
        <v>673</v>
      </c>
      <c r="I3147" s="8" t="s">
        <v>31</v>
      </c>
      <c r="J3147" s="8" t="s">
        <v>111</v>
      </c>
      <c r="K3147" s="10" t="s">
        <v>11494</v>
      </c>
      <c r="L3147" s="8" t="s">
        <v>47</v>
      </c>
      <c r="M3147" s="8" t="s">
        <v>70</v>
      </c>
      <c r="N3147" s="11">
        <v>45186.0</v>
      </c>
      <c r="O3147" s="11">
        <v>45208.0</v>
      </c>
      <c r="P3147" s="11">
        <v>45478.0</v>
      </c>
      <c r="Q3147" s="11">
        <v>45241.0</v>
      </c>
      <c r="R3147" s="11">
        <v>45511.0</v>
      </c>
      <c r="S3147" s="12"/>
      <c r="T3147" s="8"/>
      <c r="U3147" s="8" t="s">
        <v>795</v>
      </c>
      <c r="V3147" s="13" t="s">
        <v>674</v>
      </c>
      <c r="W3147" s="13" t="s">
        <v>14868</v>
      </c>
      <c r="X3147" s="12"/>
      <c r="Y3147" s="14"/>
      <c r="Z3147" s="14"/>
    </row>
    <row r="3148">
      <c r="A3148" s="8" t="s">
        <v>14869</v>
      </c>
      <c r="B3148" s="8" t="s">
        <v>554</v>
      </c>
      <c r="C3148" s="8" t="s">
        <v>179</v>
      </c>
      <c r="D3148" s="8" t="s">
        <v>26</v>
      </c>
      <c r="E3148" s="8" t="s">
        <v>555</v>
      </c>
      <c r="F3148" s="8">
        <v>6.57301656E8</v>
      </c>
      <c r="G3148" s="8" t="s">
        <v>254</v>
      </c>
      <c r="H3148" s="8" t="s">
        <v>291</v>
      </c>
      <c r="I3148" s="8" t="s">
        <v>31</v>
      </c>
      <c r="J3148" s="8" t="s">
        <v>292</v>
      </c>
      <c r="K3148" s="10" t="s">
        <v>8459</v>
      </c>
      <c r="L3148" s="8" t="s">
        <v>34</v>
      </c>
      <c r="M3148" s="8" t="s">
        <v>70</v>
      </c>
      <c r="N3148" s="11">
        <v>45186.0</v>
      </c>
      <c r="O3148" s="11">
        <v>45217.0</v>
      </c>
      <c r="P3148" s="11">
        <v>45583.0</v>
      </c>
      <c r="Q3148" s="11"/>
      <c r="R3148" s="11"/>
      <c r="S3148" s="12"/>
      <c r="T3148" s="8" t="s">
        <v>205</v>
      </c>
      <c r="U3148" s="8" t="s">
        <v>8460</v>
      </c>
      <c r="V3148" s="13" t="s">
        <v>38</v>
      </c>
      <c r="W3148" s="13" t="s">
        <v>556</v>
      </c>
      <c r="X3148" s="12"/>
      <c r="Y3148" s="14"/>
      <c r="Z3148" s="14"/>
    </row>
    <row r="3149">
      <c r="A3149" s="8" t="s">
        <v>14870</v>
      </c>
      <c r="B3149" s="8" t="s">
        <v>14871</v>
      </c>
      <c r="C3149" s="8" t="s">
        <v>179</v>
      </c>
      <c r="D3149" s="8" t="s">
        <v>26</v>
      </c>
      <c r="E3149" s="8" t="s">
        <v>14872</v>
      </c>
      <c r="F3149" s="8">
        <v>5.541401319E9</v>
      </c>
      <c r="G3149" s="8" t="s">
        <v>31</v>
      </c>
      <c r="H3149" s="8" t="s">
        <v>292</v>
      </c>
      <c r="I3149" s="8" t="s">
        <v>284</v>
      </c>
      <c r="J3149" s="8" t="s">
        <v>1777</v>
      </c>
      <c r="K3149" s="10" t="s">
        <v>14873</v>
      </c>
      <c r="L3149" s="8" t="s">
        <v>58</v>
      </c>
      <c r="M3149" s="8" t="s">
        <v>35</v>
      </c>
      <c r="N3149" s="11">
        <v>45186.0</v>
      </c>
      <c r="O3149" s="11">
        <v>45327.0</v>
      </c>
      <c r="P3149" s="11">
        <v>45369.0</v>
      </c>
      <c r="Q3149" s="11"/>
      <c r="R3149" s="11"/>
      <c r="S3149" s="12"/>
      <c r="T3149" s="8"/>
      <c r="U3149" s="8" t="s">
        <v>59</v>
      </c>
      <c r="V3149" s="13" t="s">
        <v>292</v>
      </c>
      <c r="W3149" s="13" t="s">
        <v>14874</v>
      </c>
      <c r="X3149" s="12"/>
      <c r="Y3149" s="14"/>
      <c r="Z3149" s="14"/>
    </row>
    <row r="3150">
      <c r="A3150" s="8" t="s">
        <v>14875</v>
      </c>
      <c r="B3150" s="8" t="s">
        <v>14876</v>
      </c>
      <c r="C3150" s="8" t="s">
        <v>179</v>
      </c>
      <c r="D3150" s="8" t="s">
        <v>26</v>
      </c>
      <c r="E3150" s="8" t="s">
        <v>14877</v>
      </c>
      <c r="F3150" s="8">
        <v>2.1402436E7</v>
      </c>
      <c r="G3150" s="8" t="s">
        <v>54</v>
      </c>
      <c r="H3150" s="8" t="s">
        <v>76</v>
      </c>
      <c r="I3150" s="8" t="s">
        <v>31</v>
      </c>
      <c r="J3150" s="8" t="s">
        <v>77</v>
      </c>
      <c r="K3150" s="10" t="s">
        <v>4188</v>
      </c>
      <c r="L3150" s="8" t="s">
        <v>58</v>
      </c>
      <c r="M3150" s="8" t="s">
        <v>35</v>
      </c>
      <c r="N3150" s="11">
        <v>45187.0</v>
      </c>
      <c r="O3150" s="11">
        <v>45488.0</v>
      </c>
      <c r="P3150" s="11">
        <v>45530.0</v>
      </c>
      <c r="Q3150" s="11"/>
      <c r="R3150" s="11"/>
      <c r="S3150" s="12"/>
      <c r="T3150" s="8"/>
      <c r="U3150" s="8" t="s">
        <v>59</v>
      </c>
      <c r="V3150" s="13" t="s">
        <v>14544</v>
      </c>
      <c r="W3150" s="13" t="s">
        <v>14878</v>
      </c>
      <c r="X3150" s="12"/>
      <c r="Y3150" s="14"/>
      <c r="Z3150" s="14"/>
    </row>
    <row r="3151">
      <c r="A3151" s="8" t="s">
        <v>14879</v>
      </c>
      <c r="B3151" s="8" t="s">
        <v>14880</v>
      </c>
      <c r="C3151" s="8" t="s">
        <v>179</v>
      </c>
      <c r="D3151" s="8" t="s">
        <v>26</v>
      </c>
      <c r="E3151" s="8" t="s">
        <v>14881</v>
      </c>
      <c r="F3151" s="8">
        <v>1.000155939E9</v>
      </c>
      <c r="G3151" s="8" t="s">
        <v>284</v>
      </c>
      <c r="H3151" s="8" t="s">
        <v>1359</v>
      </c>
      <c r="I3151" s="8" t="s">
        <v>31</v>
      </c>
      <c r="J3151" s="8" t="s">
        <v>167</v>
      </c>
      <c r="K3151" s="10" t="s">
        <v>4008</v>
      </c>
      <c r="L3151" s="8" t="s">
        <v>58</v>
      </c>
      <c r="M3151" s="8" t="s">
        <v>35</v>
      </c>
      <c r="N3151" s="11">
        <v>45187.0</v>
      </c>
      <c r="O3151" s="11">
        <v>45488.0</v>
      </c>
      <c r="P3151" s="11">
        <v>45530.0</v>
      </c>
      <c r="Q3151" s="11"/>
      <c r="R3151" s="11"/>
      <c r="S3151" s="12"/>
      <c r="T3151" s="8"/>
      <c r="U3151" s="8" t="s">
        <v>59</v>
      </c>
      <c r="V3151" s="13" t="s">
        <v>1359</v>
      </c>
      <c r="W3151" s="13" t="s">
        <v>14882</v>
      </c>
      <c r="X3151" s="12"/>
      <c r="Y3151" s="14"/>
      <c r="Z3151" s="14"/>
    </row>
    <row r="3152">
      <c r="A3152" s="8" t="s">
        <v>14883</v>
      </c>
      <c r="B3152" s="8" t="s">
        <v>14884</v>
      </c>
      <c r="C3152" s="8" t="s">
        <v>179</v>
      </c>
      <c r="D3152" s="8" t="s">
        <v>26</v>
      </c>
      <c r="E3152" s="8" t="s">
        <v>14885</v>
      </c>
      <c r="F3152" s="8">
        <v>5.432809073E9</v>
      </c>
      <c r="G3152" s="8" t="s">
        <v>31</v>
      </c>
      <c r="H3152" s="8" t="s">
        <v>56</v>
      </c>
      <c r="I3152" s="8" t="s">
        <v>54</v>
      </c>
      <c r="J3152" s="8" t="s">
        <v>430</v>
      </c>
      <c r="K3152" s="10" t="s">
        <v>14886</v>
      </c>
      <c r="L3152" s="8" t="s">
        <v>47</v>
      </c>
      <c r="M3152" s="8" t="s">
        <v>35</v>
      </c>
      <c r="N3152" s="11">
        <v>45187.0</v>
      </c>
      <c r="O3152" s="11">
        <v>45324.0</v>
      </c>
      <c r="P3152" s="11">
        <v>45387.0</v>
      </c>
      <c r="Q3152" s="11"/>
      <c r="R3152" s="11"/>
      <c r="S3152" s="12"/>
      <c r="T3152" s="8"/>
      <c r="U3152" s="8" t="s">
        <v>14887</v>
      </c>
      <c r="V3152" s="13" t="s">
        <v>438</v>
      </c>
      <c r="W3152" s="13" t="s">
        <v>14888</v>
      </c>
      <c r="X3152" s="12"/>
      <c r="Y3152" s="14"/>
      <c r="Z3152" s="14"/>
    </row>
    <row r="3153">
      <c r="A3153" s="8" t="s">
        <v>14889</v>
      </c>
      <c r="B3153" s="8" t="s">
        <v>6732</v>
      </c>
      <c r="C3153" s="8" t="s">
        <v>708</v>
      </c>
      <c r="D3153" s="8" t="s">
        <v>26</v>
      </c>
      <c r="E3153" s="8" t="s">
        <v>14890</v>
      </c>
      <c r="F3153" s="8">
        <v>5.0094804E7</v>
      </c>
      <c r="G3153" s="8" t="s">
        <v>54</v>
      </c>
      <c r="H3153" s="8" t="s">
        <v>377</v>
      </c>
      <c r="I3153" s="8" t="s">
        <v>31</v>
      </c>
      <c r="J3153" s="8" t="s">
        <v>43</v>
      </c>
      <c r="K3153" s="10" t="s">
        <v>14891</v>
      </c>
      <c r="L3153" s="8" t="s">
        <v>47</v>
      </c>
      <c r="M3153" s="8" t="s">
        <v>70</v>
      </c>
      <c r="N3153" s="11">
        <v>45187.0</v>
      </c>
      <c r="O3153" s="11">
        <v>45200.0</v>
      </c>
      <c r="P3153" s="11">
        <v>45565.0</v>
      </c>
      <c r="Q3153" s="11">
        <v>45201.0</v>
      </c>
      <c r="R3153" s="11">
        <v>45566.0</v>
      </c>
      <c r="S3153" s="12"/>
      <c r="T3153" s="8"/>
      <c r="U3153" s="8" t="s">
        <v>14892</v>
      </c>
      <c r="V3153" s="13" t="s">
        <v>1604</v>
      </c>
      <c r="W3153" s="13" t="s">
        <v>14893</v>
      </c>
      <c r="X3153" s="12"/>
      <c r="Y3153" s="14"/>
      <c r="Z3153" s="14"/>
    </row>
    <row r="3154">
      <c r="A3154" s="8" t="s">
        <v>14894</v>
      </c>
      <c r="B3154" s="8" t="s">
        <v>14895</v>
      </c>
      <c r="C3154" s="8" t="s">
        <v>179</v>
      </c>
      <c r="D3154" s="8" t="s">
        <v>26</v>
      </c>
      <c r="E3154" s="8" t="s">
        <v>14896</v>
      </c>
      <c r="F3154" s="8">
        <v>5.3512722E7</v>
      </c>
      <c r="G3154" s="8" t="s">
        <v>54</v>
      </c>
      <c r="H3154" s="8" t="s">
        <v>377</v>
      </c>
      <c r="I3154" s="8" t="s">
        <v>31</v>
      </c>
      <c r="J3154" s="8" t="s">
        <v>77</v>
      </c>
      <c r="K3154" s="10" t="s">
        <v>4188</v>
      </c>
      <c r="L3154" s="8" t="s">
        <v>58</v>
      </c>
      <c r="M3154" s="8" t="s">
        <v>35</v>
      </c>
      <c r="N3154" s="11">
        <v>45187.0</v>
      </c>
      <c r="O3154" s="11">
        <v>45488.0</v>
      </c>
      <c r="P3154" s="11">
        <v>45530.0</v>
      </c>
      <c r="Q3154" s="11"/>
      <c r="R3154" s="11"/>
      <c r="S3154" s="12"/>
      <c r="T3154" s="8"/>
      <c r="U3154" s="8" t="s">
        <v>59</v>
      </c>
      <c r="V3154" s="13" t="s">
        <v>3806</v>
      </c>
      <c r="W3154" s="13" t="s">
        <v>14897</v>
      </c>
      <c r="X3154" s="12"/>
      <c r="Y3154" s="14"/>
      <c r="Z3154" s="14"/>
    </row>
    <row r="3155">
      <c r="A3155" s="8" t="s">
        <v>14898</v>
      </c>
      <c r="B3155" s="8" t="s">
        <v>14899</v>
      </c>
      <c r="C3155" s="8" t="s">
        <v>708</v>
      </c>
      <c r="D3155" s="8" t="s">
        <v>26</v>
      </c>
      <c r="E3155" s="8" t="s">
        <v>14900</v>
      </c>
      <c r="F3155" s="8"/>
      <c r="G3155" s="8" t="s">
        <v>254</v>
      </c>
      <c r="H3155" s="8" t="s">
        <v>1484</v>
      </c>
      <c r="I3155" s="8" t="s">
        <v>31</v>
      </c>
      <c r="J3155" s="8" t="s">
        <v>86</v>
      </c>
      <c r="K3155" s="10" t="s">
        <v>2404</v>
      </c>
      <c r="L3155" s="8" t="s">
        <v>34</v>
      </c>
      <c r="M3155" s="8" t="s">
        <v>70</v>
      </c>
      <c r="N3155" s="11">
        <v>45187.0</v>
      </c>
      <c r="O3155" s="11">
        <v>45195.0</v>
      </c>
      <c r="P3155" s="11">
        <v>45646.0</v>
      </c>
      <c r="Q3155" s="11">
        <v>45188.0</v>
      </c>
      <c r="R3155" s="11">
        <v>45646.0</v>
      </c>
      <c r="S3155" s="12"/>
      <c r="T3155" s="8" t="s">
        <v>36</v>
      </c>
      <c r="U3155" s="8" t="s">
        <v>2405</v>
      </c>
      <c r="V3155" s="13" t="s">
        <v>38</v>
      </c>
      <c r="W3155" s="13" t="s">
        <v>14901</v>
      </c>
      <c r="X3155" s="12"/>
      <c r="Y3155" s="14"/>
      <c r="Z3155" s="14"/>
    </row>
    <row r="3156">
      <c r="A3156" s="8" t="s">
        <v>14902</v>
      </c>
      <c r="B3156" s="8" t="s">
        <v>1348</v>
      </c>
      <c r="C3156" s="8" t="s">
        <v>179</v>
      </c>
      <c r="D3156" s="8" t="s">
        <v>26</v>
      </c>
      <c r="E3156" s="8" t="s">
        <v>1349</v>
      </c>
      <c r="F3156" s="8">
        <v>5.40306672E8</v>
      </c>
      <c r="G3156" s="8" t="s">
        <v>254</v>
      </c>
      <c r="H3156" s="8" t="s">
        <v>422</v>
      </c>
      <c r="I3156" s="8" t="s">
        <v>31</v>
      </c>
      <c r="J3156" s="8" t="s">
        <v>1032</v>
      </c>
      <c r="K3156" s="10" t="s">
        <v>14903</v>
      </c>
      <c r="L3156" s="8" t="s">
        <v>47</v>
      </c>
      <c r="M3156" s="8" t="s">
        <v>70</v>
      </c>
      <c r="N3156" s="11">
        <v>45187.0</v>
      </c>
      <c r="O3156" s="11">
        <v>45173.0</v>
      </c>
      <c r="P3156" s="11">
        <v>45537.0</v>
      </c>
      <c r="Q3156" s="11"/>
      <c r="R3156" s="11"/>
      <c r="S3156" s="12"/>
      <c r="T3156" s="8"/>
      <c r="U3156" s="8" t="s">
        <v>246</v>
      </c>
      <c r="V3156" s="13" t="s">
        <v>425</v>
      </c>
      <c r="W3156" s="13" t="s">
        <v>1350</v>
      </c>
      <c r="X3156" s="12"/>
      <c r="Y3156" s="14"/>
      <c r="Z3156" s="14"/>
    </row>
    <row r="3157">
      <c r="A3157" s="8" t="s">
        <v>14904</v>
      </c>
      <c r="B3157" s="8" t="s">
        <v>14905</v>
      </c>
      <c r="C3157" s="8" t="s">
        <v>179</v>
      </c>
      <c r="D3157" s="8" t="s">
        <v>26</v>
      </c>
      <c r="E3157" s="8" t="s">
        <v>14906</v>
      </c>
      <c r="F3157" s="8">
        <v>5.309290759E9</v>
      </c>
      <c r="G3157" s="8" t="s">
        <v>31</v>
      </c>
      <c r="H3157" s="8" t="s">
        <v>56</v>
      </c>
      <c r="I3157" s="8" t="s">
        <v>44</v>
      </c>
      <c r="J3157" s="8" t="s">
        <v>3563</v>
      </c>
      <c r="K3157" s="10" t="s">
        <v>14907</v>
      </c>
      <c r="L3157" s="8" t="s">
        <v>47</v>
      </c>
      <c r="M3157" s="8" t="s">
        <v>70</v>
      </c>
      <c r="N3157" s="11">
        <v>45188.0</v>
      </c>
      <c r="O3157" s="11">
        <v>45474.0</v>
      </c>
      <c r="P3157" s="11">
        <v>45747.0</v>
      </c>
      <c r="Q3157" s="11"/>
      <c r="R3157" s="11"/>
      <c r="S3157" s="12"/>
      <c r="T3157" s="8"/>
      <c r="U3157" s="8" t="s">
        <v>1463</v>
      </c>
      <c r="V3157" s="13" t="s">
        <v>56</v>
      </c>
      <c r="W3157" s="13" t="s">
        <v>14908</v>
      </c>
      <c r="X3157" s="12"/>
      <c r="Y3157" s="14"/>
      <c r="Z3157" s="14"/>
    </row>
    <row r="3158">
      <c r="A3158" s="8" t="s">
        <v>14909</v>
      </c>
      <c r="B3158" s="8" t="s">
        <v>14910</v>
      </c>
      <c r="C3158" s="8" t="s">
        <v>179</v>
      </c>
      <c r="D3158" s="8" t="s">
        <v>26</v>
      </c>
      <c r="E3158" s="8" t="s">
        <v>14911</v>
      </c>
      <c r="F3158" s="8">
        <v>5.444986171E9</v>
      </c>
      <c r="G3158" s="8" t="s">
        <v>31</v>
      </c>
      <c r="H3158" s="8" t="s">
        <v>86</v>
      </c>
      <c r="I3158" s="8" t="s">
        <v>284</v>
      </c>
      <c r="J3158" s="8" t="s">
        <v>793</v>
      </c>
      <c r="K3158" s="10" t="s">
        <v>14912</v>
      </c>
      <c r="L3158" s="8" t="s">
        <v>58</v>
      </c>
      <c r="M3158" s="8" t="s">
        <v>35</v>
      </c>
      <c r="N3158" s="11">
        <v>45188.0</v>
      </c>
      <c r="O3158" s="11">
        <v>45323.0</v>
      </c>
      <c r="P3158" s="11">
        <v>45365.0</v>
      </c>
      <c r="Q3158" s="11"/>
      <c r="R3158" s="11"/>
      <c r="S3158" s="12"/>
      <c r="T3158" s="8"/>
      <c r="U3158" s="8" t="s">
        <v>59</v>
      </c>
      <c r="V3158" s="13" t="s">
        <v>175</v>
      </c>
      <c r="W3158" s="13" t="s">
        <v>14913</v>
      </c>
      <c r="X3158" s="12"/>
      <c r="Y3158" s="14"/>
      <c r="Z3158" s="14"/>
    </row>
    <row r="3159">
      <c r="A3159" s="8" t="s">
        <v>14914</v>
      </c>
      <c r="B3159" s="8" t="s">
        <v>14915</v>
      </c>
      <c r="C3159" s="8" t="s">
        <v>179</v>
      </c>
      <c r="D3159" s="8" t="s">
        <v>26</v>
      </c>
      <c r="E3159" s="8" t="s">
        <v>14916</v>
      </c>
      <c r="F3159" s="8">
        <v>1.140449444E9</v>
      </c>
      <c r="G3159" s="8" t="s">
        <v>284</v>
      </c>
      <c r="H3159" s="8" t="s">
        <v>673</v>
      </c>
      <c r="I3159" s="8" t="s">
        <v>31</v>
      </c>
      <c r="J3159" s="8" t="s">
        <v>136</v>
      </c>
      <c r="K3159" s="10" t="s">
        <v>394</v>
      </c>
      <c r="L3159" s="8" t="s">
        <v>58</v>
      </c>
      <c r="M3159" s="8" t="s">
        <v>35</v>
      </c>
      <c r="N3159" s="11">
        <v>45188.0</v>
      </c>
      <c r="O3159" s="11">
        <v>45263.0</v>
      </c>
      <c r="P3159" s="11">
        <v>45305.0</v>
      </c>
      <c r="Q3159" s="11"/>
      <c r="R3159" s="11"/>
      <c r="S3159" s="12"/>
      <c r="T3159" s="8"/>
      <c r="U3159" s="8" t="s">
        <v>59</v>
      </c>
      <c r="V3159" s="13" t="s">
        <v>674</v>
      </c>
      <c r="W3159" s="13" t="s">
        <v>14917</v>
      </c>
      <c r="X3159" s="12"/>
      <c r="Y3159" s="14"/>
      <c r="Z3159" s="14"/>
    </row>
    <row r="3160">
      <c r="A3160" s="8" t="s">
        <v>14918</v>
      </c>
      <c r="B3160" s="8" t="s">
        <v>14919</v>
      </c>
      <c r="C3160" s="8" t="s">
        <v>708</v>
      </c>
      <c r="D3160" s="8" t="s">
        <v>26</v>
      </c>
      <c r="E3160" s="8" t="s">
        <v>14920</v>
      </c>
      <c r="F3160" s="8">
        <v>5.438238959E9</v>
      </c>
      <c r="G3160" s="8" t="s">
        <v>31</v>
      </c>
      <c r="H3160" s="8" t="s">
        <v>32</v>
      </c>
      <c r="I3160" s="8" t="s">
        <v>827</v>
      </c>
      <c r="J3160" s="8" t="s">
        <v>828</v>
      </c>
      <c r="K3160" s="10" t="s">
        <v>14921</v>
      </c>
      <c r="L3160" s="8" t="s">
        <v>34</v>
      </c>
      <c r="M3160" s="8" t="s">
        <v>70</v>
      </c>
      <c r="N3160" s="11">
        <v>45188.0</v>
      </c>
      <c r="O3160" s="11">
        <v>45200.0</v>
      </c>
      <c r="P3160" s="11">
        <v>45597.0</v>
      </c>
      <c r="Q3160" s="11">
        <v>45306.0</v>
      </c>
      <c r="R3160" s="11">
        <v>45703.0</v>
      </c>
      <c r="S3160" s="12"/>
      <c r="T3160" s="8" t="s">
        <v>1187</v>
      </c>
      <c r="U3160" s="8" t="s">
        <v>14922</v>
      </c>
      <c r="V3160" s="13" t="s">
        <v>537</v>
      </c>
      <c r="W3160" s="13" t="s">
        <v>14923</v>
      </c>
      <c r="X3160" s="12"/>
      <c r="Y3160" s="14"/>
      <c r="Z3160" s="14"/>
    </row>
    <row r="3161">
      <c r="A3161" s="8" t="s">
        <v>14924</v>
      </c>
      <c r="B3161" s="8" t="s">
        <v>14925</v>
      </c>
      <c r="C3161" s="8" t="s">
        <v>179</v>
      </c>
      <c r="D3161" s="8" t="s">
        <v>26</v>
      </c>
      <c r="E3161" s="8" t="s">
        <v>14926</v>
      </c>
      <c r="F3161" s="8">
        <v>9.14777108E8</v>
      </c>
      <c r="G3161" s="8" t="s">
        <v>12965</v>
      </c>
      <c r="H3161" s="8" t="s">
        <v>14927</v>
      </c>
      <c r="I3161" s="8" t="s">
        <v>31</v>
      </c>
      <c r="J3161" s="8" t="s">
        <v>32</v>
      </c>
      <c r="K3161" s="10" t="s">
        <v>1204</v>
      </c>
      <c r="L3161" s="8" t="s">
        <v>47</v>
      </c>
      <c r="M3161" s="8" t="s">
        <v>70</v>
      </c>
      <c r="N3161" s="11">
        <v>45188.0</v>
      </c>
      <c r="O3161" s="11">
        <v>45199.0</v>
      </c>
      <c r="P3161" s="11">
        <v>45473.0</v>
      </c>
      <c r="Q3161" s="11"/>
      <c r="R3161" s="11"/>
      <c r="S3161" s="12"/>
      <c r="T3161" s="8"/>
      <c r="U3161" s="8" t="s">
        <v>1205</v>
      </c>
      <c r="V3161" s="13" t="s">
        <v>14927</v>
      </c>
      <c r="W3161" s="13" t="s">
        <v>14928</v>
      </c>
      <c r="X3161" s="12"/>
      <c r="Y3161" s="14"/>
      <c r="Z3161" s="14"/>
    </row>
    <row r="3162">
      <c r="A3162" s="8" t="s">
        <v>14929</v>
      </c>
      <c r="B3162" s="8" t="s">
        <v>14930</v>
      </c>
      <c r="C3162" s="8" t="s">
        <v>179</v>
      </c>
      <c r="D3162" s="8" t="s">
        <v>26</v>
      </c>
      <c r="E3162" s="8" t="s">
        <v>14931</v>
      </c>
      <c r="F3162" s="8">
        <v>1.119418999E9</v>
      </c>
      <c r="G3162" s="8" t="s">
        <v>284</v>
      </c>
      <c r="H3162" s="8" t="s">
        <v>2065</v>
      </c>
      <c r="I3162" s="8" t="s">
        <v>31</v>
      </c>
      <c r="J3162" s="8" t="s">
        <v>220</v>
      </c>
      <c r="K3162" s="10" t="s">
        <v>11414</v>
      </c>
      <c r="L3162" s="8" t="s">
        <v>47</v>
      </c>
      <c r="M3162" s="8" t="s">
        <v>70</v>
      </c>
      <c r="N3162" s="11">
        <v>45188.0</v>
      </c>
      <c r="O3162" s="11">
        <v>45214.0</v>
      </c>
      <c r="P3162" s="11">
        <v>45579.0</v>
      </c>
      <c r="Q3162" s="11"/>
      <c r="R3162" s="11"/>
      <c r="S3162" s="12"/>
      <c r="T3162" s="8"/>
      <c r="U3162" s="8" t="s">
        <v>246</v>
      </c>
      <c r="V3162" s="13" t="s">
        <v>2065</v>
      </c>
      <c r="W3162" s="13" t="s">
        <v>14932</v>
      </c>
      <c r="X3162" s="12"/>
      <c r="Y3162" s="14"/>
      <c r="Z3162" s="14"/>
    </row>
    <row r="3163">
      <c r="A3163" s="8" t="s">
        <v>14933</v>
      </c>
      <c r="B3163" s="8" t="s">
        <v>14934</v>
      </c>
      <c r="C3163" s="8" t="s">
        <v>708</v>
      </c>
      <c r="D3163" s="8" t="s">
        <v>26</v>
      </c>
      <c r="E3163" s="8" t="s">
        <v>14935</v>
      </c>
      <c r="F3163" s="8">
        <v>2.9616227E7</v>
      </c>
      <c r="G3163" s="8" t="s">
        <v>54</v>
      </c>
      <c r="H3163" s="8" t="s">
        <v>76</v>
      </c>
      <c r="I3163" s="8" t="s">
        <v>31</v>
      </c>
      <c r="J3163" s="8" t="s">
        <v>32</v>
      </c>
      <c r="K3163" s="10" t="s">
        <v>14936</v>
      </c>
      <c r="L3163" s="8" t="s">
        <v>47</v>
      </c>
      <c r="M3163" s="8" t="s">
        <v>70</v>
      </c>
      <c r="N3163" s="11">
        <v>45188.0</v>
      </c>
      <c r="O3163" s="11">
        <v>45199.0</v>
      </c>
      <c r="P3163" s="11">
        <v>45564.0</v>
      </c>
      <c r="Q3163" s="11">
        <v>45208.0</v>
      </c>
      <c r="R3163" s="11">
        <v>45573.0</v>
      </c>
      <c r="S3163" s="12"/>
      <c r="T3163" s="8"/>
      <c r="U3163" s="8" t="s">
        <v>246</v>
      </c>
      <c r="V3163" s="13" t="s">
        <v>491</v>
      </c>
      <c r="W3163" s="13" t="s">
        <v>14937</v>
      </c>
      <c r="X3163" s="12"/>
      <c r="Y3163" s="14"/>
      <c r="Z3163" s="14"/>
    </row>
    <row r="3164">
      <c r="A3164" s="8" t="s">
        <v>14938</v>
      </c>
      <c r="B3164" s="8" t="s">
        <v>14939</v>
      </c>
      <c r="C3164" s="8" t="s">
        <v>179</v>
      </c>
      <c r="D3164" s="8" t="s">
        <v>26</v>
      </c>
      <c r="E3164" s="8" t="s">
        <v>14940</v>
      </c>
      <c r="F3164" s="8">
        <v>1.551181019E9</v>
      </c>
      <c r="G3164" s="8" t="s">
        <v>284</v>
      </c>
      <c r="H3164" s="8" t="s">
        <v>854</v>
      </c>
      <c r="I3164" s="8" t="s">
        <v>31</v>
      </c>
      <c r="J3164" s="8" t="s">
        <v>256</v>
      </c>
      <c r="K3164" s="10" t="s">
        <v>10689</v>
      </c>
      <c r="L3164" s="8" t="s">
        <v>58</v>
      </c>
      <c r="M3164" s="8" t="s">
        <v>35</v>
      </c>
      <c r="N3164" s="11">
        <v>45188.0</v>
      </c>
      <c r="O3164" s="11">
        <v>45516.0</v>
      </c>
      <c r="P3164" s="11">
        <v>45558.0</v>
      </c>
      <c r="Q3164" s="11"/>
      <c r="R3164" s="11"/>
      <c r="S3164" s="12"/>
      <c r="T3164" s="8"/>
      <c r="U3164" s="8" t="s">
        <v>59</v>
      </c>
      <c r="V3164" s="13" t="s">
        <v>856</v>
      </c>
      <c r="W3164" s="13" t="s">
        <v>14941</v>
      </c>
      <c r="X3164" s="12"/>
      <c r="Y3164" s="14"/>
      <c r="Z3164" s="14"/>
    </row>
    <row r="3165">
      <c r="A3165" s="8" t="s">
        <v>14942</v>
      </c>
      <c r="B3165" s="8" t="s">
        <v>14943</v>
      </c>
      <c r="C3165" s="8" t="s">
        <v>179</v>
      </c>
      <c r="D3165" s="8" t="s">
        <v>26</v>
      </c>
      <c r="E3165" s="8" t="s">
        <v>14944</v>
      </c>
      <c r="F3165" s="8">
        <v>7.036297448E9</v>
      </c>
      <c r="G3165" s="8" t="s">
        <v>14305</v>
      </c>
      <c r="H3165" s="8" t="s">
        <v>14306</v>
      </c>
      <c r="I3165" s="8" t="s">
        <v>31</v>
      </c>
      <c r="J3165" s="8" t="s">
        <v>32</v>
      </c>
      <c r="K3165" s="10" t="s">
        <v>1813</v>
      </c>
      <c r="L3165" s="8" t="s">
        <v>58</v>
      </c>
      <c r="M3165" s="8" t="s">
        <v>35</v>
      </c>
      <c r="N3165" s="11">
        <v>45188.0</v>
      </c>
      <c r="O3165" s="11">
        <v>45207.0</v>
      </c>
      <c r="P3165" s="11">
        <v>45249.0</v>
      </c>
      <c r="Q3165" s="11"/>
      <c r="R3165" s="11"/>
      <c r="S3165" s="12"/>
      <c r="T3165" s="8"/>
      <c r="U3165" s="8" t="s">
        <v>161</v>
      </c>
      <c r="V3165" s="13" t="s">
        <v>14019</v>
      </c>
      <c r="W3165" s="13" t="s">
        <v>14945</v>
      </c>
      <c r="X3165" s="12"/>
      <c r="Y3165" s="14"/>
      <c r="Z3165" s="14"/>
    </row>
    <row r="3166">
      <c r="A3166" s="8" t="s">
        <v>14946</v>
      </c>
      <c r="B3166" s="8" t="s">
        <v>11552</v>
      </c>
      <c r="C3166" s="8" t="s">
        <v>64</v>
      </c>
      <c r="D3166" s="8" t="s">
        <v>26</v>
      </c>
      <c r="E3166" s="8" t="s">
        <v>11553</v>
      </c>
      <c r="F3166" s="8">
        <v>6.56018294E8</v>
      </c>
      <c r="G3166" s="8" t="s">
        <v>254</v>
      </c>
      <c r="H3166" s="8" t="s">
        <v>1484</v>
      </c>
      <c r="I3166" s="8" t="s">
        <v>31</v>
      </c>
      <c r="J3166" s="8" t="s">
        <v>292</v>
      </c>
      <c r="K3166" s="10" t="s">
        <v>12835</v>
      </c>
      <c r="L3166" s="8" t="s">
        <v>58</v>
      </c>
      <c r="M3166" s="8" t="s">
        <v>35</v>
      </c>
      <c r="N3166" s="11">
        <v>45189.0</v>
      </c>
      <c r="O3166" s="11">
        <v>45194.0</v>
      </c>
      <c r="P3166" s="11">
        <v>45236.0</v>
      </c>
      <c r="Q3166" s="11">
        <v>45210.0</v>
      </c>
      <c r="R3166" s="11">
        <v>45250.0</v>
      </c>
      <c r="S3166" s="12"/>
      <c r="T3166" s="8"/>
      <c r="U3166" s="8" t="s">
        <v>88</v>
      </c>
      <c r="V3166" s="13" t="s">
        <v>258</v>
      </c>
      <c r="W3166" s="13" t="s">
        <v>11555</v>
      </c>
      <c r="X3166" s="12"/>
      <c r="Y3166" s="14"/>
      <c r="Z3166" s="14"/>
    </row>
    <row r="3167">
      <c r="A3167" s="8" t="s">
        <v>14947</v>
      </c>
      <c r="B3167" s="8" t="s">
        <v>13408</v>
      </c>
      <c r="C3167" s="8" t="s">
        <v>708</v>
      </c>
      <c r="D3167" s="8" t="s">
        <v>26</v>
      </c>
      <c r="E3167" s="8" t="s">
        <v>14948</v>
      </c>
      <c r="F3167" s="8">
        <v>1.157649293E9</v>
      </c>
      <c r="G3167" s="8" t="s">
        <v>284</v>
      </c>
      <c r="H3167" s="8" t="s">
        <v>3769</v>
      </c>
      <c r="I3167" s="8" t="s">
        <v>31</v>
      </c>
      <c r="J3167" s="8" t="s">
        <v>220</v>
      </c>
      <c r="K3167" s="10" t="s">
        <v>11414</v>
      </c>
      <c r="L3167" s="8" t="s">
        <v>47</v>
      </c>
      <c r="M3167" s="8" t="s">
        <v>70</v>
      </c>
      <c r="N3167" s="11">
        <v>45189.0</v>
      </c>
      <c r="O3167" s="11">
        <v>45214.0</v>
      </c>
      <c r="P3167" s="11">
        <v>45579.0</v>
      </c>
      <c r="Q3167" s="11">
        <v>45216.0</v>
      </c>
      <c r="R3167" s="11">
        <v>45579.0</v>
      </c>
      <c r="S3167" s="12"/>
      <c r="T3167" s="8"/>
      <c r="U3167" s="8" t="s">
        <v>246</v>
      </c>
      <c r="V3167" s="13" t="s">
        <v>13410</v>
      </c>
      <c r="W3167" s="13" t="s">
        <v>14949</v>
      </c>
      <c r="X3167" s="12"/>
      <c r="Y3167" s="14"/>
      <c r="Z3167" s="14"/>
    </row>
    <row r="3168">
      <c r="A3168" s="8" t="s">
        <v>14950</v>
      </c>
      <c r="B3168" s="8" t="s">
        <v>14951</v>
      </c>
      <c r="C3168" s="8" t="s">
        <v>179</v>
      </c>
      <c r="D3168" s="8" t="s">
        <v>26</v>
      </c>
      <c r="E3168" s="8" t="s">
        <v>14952</v>
      </c>
      <c r="F3168" s="8">
        <v>1.287632727E9</v>
      </c>
      <c r="G3168" s="8" t="s">
        <v>284</v>
      </c>
      <c r="H3168" s="8" t="s">
        <v>1777</v>
      </c>
      <c r="I3168" s="8" t="s">
        <v>31</v>
      </c>
      <c r="J3168" s="8" t="s">
        <v>86</v>
      </c>
      <c r="K3168" s="10" t="s">
        <v>2453</v>
      </c>
      <c r="L3168" s="8" t="s">
        <v>58</v>
      </c>
      <c r="M3168" s="8" t="s">
        <v>35</v>
      </c>
      <c r="N3168" s="11">
        <v>45189.0</v>
      </c>
      <c r="O3168" s="11">
        <v>45305.0</v>
      </c>
      <c r="P3168" s="11">
        <v>45347.0</v>
      </c>
      <c r="Q3168" s="11"/>
      <c r="R3168" s="11"/>
      <c r="S3168" s="12"/>
      <c r="T3168" s="8"/>
      <c r="U3168" s="8" t="s">
        <v>59</v>
      </c>
      <c r="V3168" s="13" t="s">
        <v>14953</v>
      </c>
      <c r="W3168" s="13" t="s">
        <v>14954</v>
      </c>
      <c r="X3168" s="12"/>
      <c r="Y3168" s="14"/>
      <c r="Z3168" s="14"/>
    </row>
    <row r="3169">
      <c r="A3169" s="8" t="s">
        <v>14955</v>
      </c>
      <c r="B3169" s="8" t="s">
        <v>14956</v>
      </c>
      <c r="C3169" s="8" t="s">
        <v>179</v>
      </c>
      <c r="D3169" s="8" t="s">
        <v>26</v>
      </c>
      <c r="E3169" s="8" t="s">
        <v>14957</v>
      </c>
      <c r="F3169" s="8">
        <v>1.091154622E9</v>
      </c>
      <c r="G3169" s="8" t="s">
        <v>284</v>
      </c>
      <c r="H3169" s="8" t="s">
        <v>1777</v>
      </c>
      <c r="I3169" s="8" t="s">
        <v>31</v>
      </c>
      <c r="J3169" s="8" t="s">
        <v>111</v>
      </c>
      <c r="K3169" s="10" t="s">
        <v>14958</v>
      </c>
      <c r="L3169" s="8" t="s">
        <v>47</v>
      </c>
      <c r="M3169" s="8" t="s">
        <v>70</v>
      </c>
      <c r="N3169" s="11">
        <v>45189.0</v>
      </c>
      <c r="O3169" s="11">
        <v>45206.0</v>
      </c>
      <c r="P3169" s="11">
        <v>45569.0</v>
      </c>
      <c r="Q3169" s="11"/>
      <c r="R3169" s="11"/>
      <c r="S3169" s="12"/>
      <c r="T3169" s="8"/>
      <c r="U3169" s="8" t="s">
        <v>14959</v>
      </c>
      <c r="V3169" s="13" t="s">
        <v>2168</v>
      </c>
      <c r="W3169" s="13" t="s">
        <v>14960</v>
      </c>
      <c r="X3169" s="12"/>
      <c r="Y3169" s="14"/>
      <c r="Z3169" s="14"/>
    </row>
    <row r="3170">
      <c r="A3170" s="8" t="s">
        <v>14961</v>
      </c>
      <c r="B3170" s="8" t="s">
        <v>14962</v>
      </c>
      <c r="C3170" s="8" t="s">
        <v>179</v>
      </c>
      <c r="D3170" s="8" t="s">
        <v>26</v>
      </c>
      <c r="E3170" s="8" t="s">
        <v>14963</v>
      </c>
      <c r="F3170" s="8">
        <v>5.546671214E9</v>
      </c>
      <c r="G3170" s="8" t="s">
        <v>31</v>
      </c>
      <c r="H3170" s="8" t="s">
        <v>542</v>
      </c>
      <c r="I3170" s="8" t="s">
        <v>284</v>
      </c>
      <c r="J3170" s="8" t="s">
        <v>589</v>
      </c>
      <c r="K3170" s="10" t="s">
        <v>9250</v>
      </c>
      <c r="L3170" s="8" t="s">
        <v>58</v>
      </c>
      <c r="M3170" s="8" t="s">
        <v>35</v>
      </c>
      <c r="N3170" s="11">
        <v>45189.0</v>
      </c>
      <c r="O3170" s="11">
        <v>45444.0</v>
      </c>
      <c r="P3170" s="11">
        <v>45486.0</v>
      </c>
      <c r="Q3170" s="11"/>
      <c r="R3170" s="11"/>
      <c r="S3170" s="12"/>
      <c r="T3170" s="8"/>
      <c r="U3170" s="8" t="s">
        <v>1590</v>
      </c>
      <c r="V3170" s="13" t="s">
        <v>545</v>
      </c>
      <c r="W3170" s="13" t="s">
        <v>14964</v>
      </c>
      <c r="X3170" s="12"/>
      <c r="Y3170" s="14"/>
      <c r="Z3170" s="14"/>
    </row>
    <row r="3171">
      <c r="A3171" s="8" t="s">
        <v>14965</v>
      </c>
      <c r="B3171" s="8" t="s">
        <v>14966</v>
      </c>
      <c r="C3171" s="8" t="s">
        <v>708</v>
      </c>
      <c r="D3171" s="8" t="s">
        <v>26</v>
      </c>
      <c r="E3171" s="8" t="s">
        <v>14967</v>
      </c>
      <c r="F3171" s="8">
        <v>4.3314316E7</v>
      </c>
      <c r="G3171" s="8" t="s">
        <v>54</v>
      </c>
      <c r="H3171" s="8" t="s">
        <v>377</v>
      </c>
      <c r="I3171" s="8" t="s">
        <v>31</v>
      </c>
      <c r="J3171" s="8" t="s">
        <v>292</v>
      </c>
      <c r="K3171" s="10" t="s">
        <v>8459</v>
      </c>
      <c r="L3171" s="8" t="s">
        <v>34</v>
      </c>
      <c r="M3171" s="8" t="s">
        <v>70</v>
      </c>
      <c r="N3171" s="11">
        <v>45189.0</v>
      </c>
      <c r="O3171" s="11">
        <v>45231.0</v>
      </c>
      <c r="P3171" s="11">
        <v>45597.0</v>
      </c>
      <c r="Q3171" s="11">
        <v>45231.0</v>
      </c>
      <c r="R3171" s="11">
        <v>45597.0</v>
      </c>
      <c r="S3171" s="12"/>
      <c r="T3171" s="8" t="s">
        <v>205</v>
      </c>
      <c r="U3171" s="8" t="s">
        <v>8460</v>
      </c>
      <c r="V3171" s="13" t="s">
        <v>378</v>
      </c>
      <c r="W3171" s="13" t="s">
        <v>14968</v>
      </c>
      <c r="X3171" s="12"/>
      <c r="Y3171" s="14"/>
      <c r="Z3171" s="14"/>
    </row>
    <row r="3172">
      <c r="A3172" s="8" t="s">
        <v>14969</v>
      </c>
      <c r="B3172" s="8" t="s">
        <v>14970</v>
      </c>
      <c r="C3172" s="8" t="s">
        <v>708</v>
      </c>
      <c r="D3172" s="8" t="s">
        <v>26</v>
      </c>
      <c r="E3172" s="8" t="s">
        <v>14971</v>
      </c>
      <c r="F3172" s="8">
        <v>6.98246172E8</v>
      </c>
      <c r="G3172" s="8" t="s">
        <v>254</v>
      </c>
      <c r="H3172" s="8" t="s">
        <v>1007</v>
      </c>
      <c r="I3172" s="8" t="s">
        <v>31</v>
      </c>
      <c r="J3172" s="8" t="s">
        <v>111</v>
      </c>
      <c r="K3172" s="10" t="s">
        <v>14972</v>
      </c>
      <c r="L3172" s="8" t="s">
        <v>47</v>
      </c>
      <c r="M3172" s="8" t="s">
        <v>70</v>
      </c>
      <c r="N3172" s="11">
        <v>45189.0</v>
      </c>
      <c r="O3172" s="11">
        <v>45202.0</v>
      </c>
      <c r="P3172" s="11">
        <v>45562.0</v>
      </c>
      <c r="Q3172" s="11">
        <v>45209.0</v>
      </c>
      <c r="R3172" s="11">
        <v>45569.0</v>
      </c>
      <c r="S3172" s="12"/>
      <c r="T3172" s="8"/>
      <c r="U3172" s="8" t="s">
        <v>14973</v>
      </c>
      <c r="V3172" s="13" t="s">
        <v>1249</v>
      </c>
      <c r="W3172" s="13" t="s">
        <v>14974</v>
      </c>
      <c r="X3172" s="12"/>
      <c r="Y3172" s="14"/>
      <c r="Z3172" s="14"/>
    </row>
    <row r="3173">
      <c r="A3173" s="8" t="s">
        <v>14975</v>
      </c>
      <c r="B3173" s="8" t="s">
        <v>14976</v>
      </c>
      <c r="C3173" s="8" t="s">
        <v>708</v>
      </c>
      <c r="D3173" s="8" t="s">
        <v>26</v>
      </c>
      <c r="E3173" s="8" t="s">
        <v>14977</v>
      </c>
      <c r="F3173" s="8">
        <v>5.8367138E7</v>
      </c>
      <c r="G3173" s="8" t="s">
        <v>54</v>
      </c>
      <c r="H3173" s="8" t="s">
        <v>377</v>
      </c>
      <c r="I3173" s="8" t="s">
        <v>31</v>
      </c>
      <c r="J3173" s="8" t="s">
        <v>292</v>
      </c>
      <c r="K3173" s="10" t="s">
        <v>8459</v>
      </c>
      <c r="L3173" s="8" t="s">
        <v>34</v>
      </c>
      <c r="M3173" s="8" t="s">
        <v>70</v>
      </c>
      <c r="N3173" s="11">
        <v>45189.0</v>
      </c>
      <c r="O3173" s="11">
        <v>45217.0</v>
      </c>
      <c r="P3173" s="11">
        <v>45583.0</v>
      </c>
      <c r="Q3173" s="11">
        <v>45231.0</v>
      </c>
      <c r="R3173" s="11">
        <v>45597.0</v>
      </c>
      <c r="S3173" s="12"/>
      <c r="T3173" s="8" t="s">
        <v>205</v>
      </c>
      <c r="U3173" s="8" t="s">
        <v>8460</v>
      </c>
      <c r="V3173" s="13" t="s">
        <v>686</v>
      </c>
      <c r="W3173" s="13" t="s">
        <v>14978</v>
      </c>
      <c r="X3173" s="12"/>
      <c r="Y3173" s="14"/>
      <c r="Z3173" s="14"/>
    </row>
    <row r="3174">
      <c r="A3174" s="8" t="s">
        <v>14979</v>
      </c>
      <c r="B3174" s="8" t="s">
        <v>14980</v>
      </c>
      <c r="C3174" s="8" t="s">
        <v>708</v>
      </c>
      <c r="D3174" s="8" t="s">
        <v>26</v>
      </c>
      <c r="E3174" s="8" t="s">
        <v>14981</v>
      </c>
      <c r="F3174" s="8"/>
      <c r="G3174" s="8" t="s">
        <v>254</v>
      </c>
      <c r="H3174" s="8" t="s">
        <v>1484</v>
      </c>
      <c r="I3174" s="8" t="s">
        <v>31</v>
      </c>
      <c r="J3174" s="8" t="s">
        <v>56</v>
      </c>
      <c r="K3174" s="10" t="s">
        <v>11893</v>
      </c>
      <c r="L3174" s="8" t="s">
        <v>47</v>
      </c>
      <c r="M3174" s="8" t="s">
        <v>70</v>
      </c>
      <c r="N3174" s="11">
        <v>45189.0</v>
      </c>
      <c r="O3174" s="11">
        <v>45173.0</v>
      </c>
      <c r="P3174" s="11">
        <v>45534.0</v>
      </c>
      <c r="Q3174" s="11">
        <v>45234.0</v>
      </c>
      <c r="R3174" s="11">
        <v>45595.0</v>
      </c>
      <c r="S3174" s="12"/>
      <c r="T3174" s="8"/>
      <c r="U3174" s="8" t="s">
        <v>11894</v>
      </c>
      <c r="V3174" s="13" t="s">
        <v>38</v>
      </c>
      <c r="W3174" s="13" t="s">
        <v>14982</v>
      </c>
      <c r="X3174" s="12"/>
      <c r="Y3174" s="14"/>
      <c r="Z3174" s="14"/>
    </row>
    <row r="3175">
      <c r="A3175" s="8" t="s">
        <v>14983</v>
      </c>
      <c r="B3175" s="8" t="s">
        <v>14984</v>
      </c>
      <c r="C3175" s="8" t="s">
        <v>179</v>
      </c>
      <c r="D3175" s="8" t="s">
        <v>26</v>
      </c>
      <c r="E3175" s="8" t="s">
        <v>14985</v>
      </c>
      <c r="F3175" s="8"/>
      <c r="G3175" s="8" t="s">
        <v>31</v>
      </c>
      <c r="H3175" s="8" t="s">
        <v>32</v>
      </c>
      <c r="I3175" s="8" t="s">
        <v>44</v>
      </c>
      <c r="J3175" s="8" t="s">
        <v>13951</v>
      </c>
      <c r="K3175" s="10" t="s">
        <v>14986</v>
      </c>
      <c r="L3175" s="8" t="s">
        <v>47</v>
      </c>
      <c r="M3175" s="8" t="s">
        <v>48</v>
      </c>
      <c r="N3175" s="11">
        <v>45190.0</v>
      </c>
      <c r="O3175" s="11">
        <v>45214.0</v>
      </c>
      <c r="P3175" s="11">
        <v>45305.0</v>
      </c>
      <c r="Q3175" s="11"/>
      <c r="R3175" s="11"/>
      <c r="S3175" s="12"/>
      <c r="T3175" s="8"/>
      <c r="U3175" s="8" t="s">
        <v>14987</v>
      </c>
      <c r="V3175" s="13" t="s">
        <v>38</v>
      </c>
      <c r="W3175" s="13" t="s">
        <v>14988</v>
      </c>
      <c r="X3175" s="12"/>
      <c r="Y3175" s="14"/>
      <c r="Z3175" s="14"/>
    </row>
    <row r="3176">
      <c r="A3176" s="8" t="s">
        <v>14989</v>
      </c>
      <c r="B3176" s="8" t="s">
        <v>14990</v>
      </c>
      <c r="C3176" s="8" t="s">
        <v>251</v>
      </c>
      <c r="D3176" s="8" t="s">
        <v>26</v>
      </c>
      <c r="E3176" s="8" t="s">
        <v>14991</v>
      </c>
      <c r="F3176" s="8"/>
      <c r="G3176" s="8" t="s">
        <v>31</v>
      </c>
      <c r="H3176" s="8" t="s">
        <v>32</v>
      </c>
      <c r="I3176" s="8" t="s">
        <v>44</v>
      </c>
      <c r="J3176" s="8" t="s">
        <v>13951</v>
      </c>
      <c r="K3176" s="10" t="s">
        <v>14992</v>
      </c>
      <c r="L3176" s="8" t="s">
        <v>47</v>
      </c>
      <c r="M3176" s="8" t="s">
        <v>48</v>
      </c>
      <c r="N3176" s="11">
        <v>45190.0</v>
      </c>
      <c r="O3176" s="11">
        <v>45214.0</v>
      </c>
      <c r="P3176" s="11">
        <v>45311.0</v>
      </c>
      <c r="Q3176" s="11"/>
      <c r="R3176" s="11"/>
      <c r="S3176" s="12"/>
      <c r="T3176" s="8"/>
      <c r="U3176" s="8" t="s">
        <v>14993</v>
      </c>
      <c r="V3176" s="13" t="s">
        <v>38</v>
      </c>
      <c r="W3176" s="13" t="s">
        <v>14994</v>
      </c>
      <c r="X3176" s="12"/>
      <c r="Y3176" s="14"/>
      <c r="Z3176" s="14"/>
    </row>
    <row r="3177">
      <c r="A3177" s="8" t="s">
        <v>14995</v>
      </c>
      <c r="B3177" s="8" t="s">
        <v>14996</v>
      </c>
      <c r="C3177" s="8" t="s">
        <v>179</v>
      </c>
      <c r="D3177" s="8" t="s">
        <v>26</v>
      </c>
      <c r="E3177" s="8" t="s">
        <v>14997</v>
      </c>
      <c r="F3177" s="8">
        <v>1.006123118E9</v>
      </c>
      <c r="G3177" s="8" t="s">
        <v>284</v>
      </c>
      <c r="H3177" s="8" t="s">
        <v>691</v>
      </c>
      <c r="I3177" s="8" t="s">
        <v>31</v>
      </c>
      <c r="J3177" s="8" t="s">
        <v>167</v>
      </c>
      <c r="K3177" s="10" t="s">
        <v>168</v>
      </c>
      <c r="L3177" s="8" t="s">
        <v>58</v>
      </c>
      <c r="M3177" s="8" t="s">
        <v>35</v>
      </c>
      <c r="N3177" s="11">
        <v>45190.0</v>
      </c>
      <c r="O3177" s="11">
        <v>45488.0</v>
      </c>
      <c r="P3177" s="11">
        <v>45530.0</v>
      </c>
      <c r="Q3177" s="11"/>
      <c r="R3177" s="11"/>
      <c r="S3177" s="12"/>
      <c r="T3177" s="8"/>
      <c r="U3177" s="8" t="s">
        <v>130</v>
      </c>
      <c r="V3177" s="13" t="s">
        <v>6201</v>
      </c>
      <c r="W3177" s="13" t="s">
        <v>14998</v>
      </c>
      <c r="X3177" s="12"/>
      <c r="Y3177" s="14"/>
      <c r="Z3177" s="14"/>
    </row>
    <row r="3178">
      <c r="A3178" s="8" t="s">
        <v>14999</v>
      </c>
      <c r="B3178" s="8" t="s">
        <v>15000</v>
      </c>
      <c r="C3178" s="8" t="s">
        <v>708</v>
      </c>
      <c r="D3178" s="8" t="s">
        <v>26</v>
      </c>
      <c r="E3178" s="8" t="s">
        <v>15001</v>
      </c>
      <c r="F3178" s="8">
        <v>5.0234412E7</v>
      </c>
      <c r="G3178" s="8" t="s">
        <v>54</v>
      </c>
      <c r="H3178" s="8" t="s">
        <v>377</v>
      </c>
      <c r="I3178" s="8" t="s">
        <v>31</v>
      </c>
      <c r="J3178" s="8" t="s">
        <v>77</v>
      </c>
      <c r="K3178" s="10" t="s">
        <v>15002</v>
      </c>
      <c r="L3178" s="8" t="s">
        <v>47</v>
      </c>
      <c r="M3178" s="8" t="s">
        <v>70</v>
      </c>
      <c r="N3178" s="11">
        <v>45190.0</v>
      </c>
      <c r="O3178" s="11">
        <v>45194.0</v>
      </c>
      <c r="P3178" s="11">
        <v>45452.0</v>
      </c>
      <c r="Q3178" s="11">
        <v>45201.0</v>
      </c>
      <c r="R3178" s="11">
        <v>45458.0</v>
      </c>
      <c r="S3178" s="12"/>
      <c r="T3178" s="8"/>
      <c r="U3178" s="8" t="s">
        <v>15003</v>
      </c>
      <c r="V3178" s="13" t="s">
        <v>1604</v>
      </c>
      <c r="W3178" s="13" t="s">
        <v>15004</v>
      </c>
      <c r="X3178" s="12"/>
      <c r="Y3178" s="14"/>
      <c r="Z3178" s="14"/>
    </row>
    <row r="3179">
      <c r="A3179" s="8" t="s">
        <v>15005</v>
      </c>
      <c r="B3179" s="8" t="s">
        <v>15006</v>
      </c>
      <c r="C3179" s="8" t="s">
        <v>179</v>
      </c>
      <c r="D3179" s="8" t="s">
        <v>26</v>
      </c>
      <c r="E3179" s="8" t="s">
        <v>15007</v>
      </c>
      <c r="F3179" s="8">
        <v>3.165390979E9</v>
      </c>
      <c r="G3179" s="8" t="s">
        <v>315</v>
      </c>
      <c r="H3179" s="8" t="s">
        <v>316</v>
      </c>
      <c r="I3179" s="8" t="s">
        <v>31</v>
      </c>
      <c r="J3179" s="8" t="s">
        <v>136</v>
      </c>
      <c r="K3179" s="10" t="s">
        <v>2354</v>
      </c>
      <c r="L3179" s="8" t="s">
        <v>58</v>
      </c>
      <c r="M3179" s="8" t="s">
        <v>35</v>
      </c>
      <c r="N3179" s="11">
        <v>45190.0</v>
      </c>
      <c r="O3179" s="11">
        <v>45467.0</v>
      </c>
      <c r="P3179" s="11">
        <v>45509.0</v>
      </c>
      <c r="Q3179" s="11"/>
      <c r="R3179" s="11"/>
      <c r="S3179" s="12"/>
      <c r="T3179" s="8"/>
      <c r="U3179" s="8" t="s">
        <v>59</v>
      </c>
      <c r="V3179" s="13" t="s">
        <v>13437</v>
      </c>
      <c r="W3179" s="13" t="s">
        <v>15008</v>
      </c>
      <c r="X3179" s="12"/>
      <c r="Y3179" s="14"/>
      <c r="Z3179" s="14"/>
    </row>
    <row r="3180">
      <c r="A3180" s="8" t="s">
        <v>15009</v>
      </c>
      <c r="B3180" s="8" t="s">
        <v>15010</v>
      </c>
      <c r="C3180" s="8" t="s">
        <v>708</v>
      </c>
      <c r="D3180" s="8" t="s">
        <v>26</v>
      </c>
      <c r="E3180" s="8" t="s">
        <v>15011</v>
      </c>
      <c r="F3180" s="8"/>
      <c r="G3180" s="8" t="s">
        <v>84</v>
      </c>
      <c r="H3180" s="8" t="s">
        <v>646</v>
      </c>
      <c r="I3180" s="8" t="s">
        <v>31</v>
      </c>
      <c r="J3180" s="8" t="s">
        <v>256</v>
      </c>
      <c r="K3180" s="10" t="s">
        <v>15012</v>
      </c>
      <c r="L3180" s="8" t="s">
        <v>47</v>
      </c>
      <c r="M3180" s="8" t="s">
        <v>70</v>
      </c>
      <c r="N3180" s="11">
        <v>45191.0</v>
      </c>
      <c r="O3180" s="11">
        <v>45189.0</v>
      </c>
      <c r="P3180" s="11">
        <v>45554.0</v>
      </c>
      <c r="Q3180" s="11">
        <v>45204.0</v>
      </c>
      <c r="R3180" s="11">
        <v>45569.0</v>
      </c>
      <c r="S3180" s="12"/>
      <c r="T3180" s="8"/>
      <c r="U3180" s="8" t="s">
        <v>246</v>
      </c>
      <c r="V3180" s="13" t="s">
        <v>38</v>
      </c>
      <c r="W3180" s="13" t="s">
        <v>15013</v>
      </c>
      <c r="X3180" s="12"/>
      <c r="Y3180" s="14"/>
      <c r="Z3180" s="14"/>
    </row>
    <row r="3181">
      <c r="A3181" s="8" t="s">
        <v>15014</v>
      </c>
      <c r="B3181" s="8" t="s">
        <v>15015</v>
      </c>
      <c r="C3181" s="8" t="s">
        <v>708</v>
      </c>
      <c r="D3181" s="8" t="s">
        <v>26</v>
      </c>
      <c r="E3181" s="8" t="s">
        <v>15016</v>
      </c>
      <c r="F3181" s="8">
        <v>7.93011342E8</v>
      </c>
      <c r="G3181" s="8" t="s">
        <v>254</v>
      </c>
      <c r="H3181" s="8" t="s">
        <v>1007</v>
      </c>
      <c r="I3181" s="8" t="s">
        <v>31</v>
      </c>
      <c r="J3181" s="8" t="s">
        <v>256</v>
      </c>
      <c r="K3181" s="10" t="s">
        <v>14150</v>
      </c>
      <c r="L3181" s="8" t="s">
        <v>47</v>
      </c>
      <c r="M3181" s="8" t="s">
        <v>70</v>
      </c>
      <c r="N3181" s="11">
        <v>45191.0</v>
      </c>
      <c r="O3181" s="11">
        <v>45201.0</v>
      </c>
      <c r="P3181" s="11">
        <v>45566.0</v>
      </c>
      <c r="Q3181" s="11">
        <v>45191.0</v>
      </c>
      <c r="R3181" s="11">
        <v>45566.0</v>
      </c>
      <c r="S3181" s="12"/>
      <c r="T3181" s="8"/>
      <c r="U3181" s="8" t="s">
        <v>246</v>
      </c>
      <c r="V3181" s="13" t="s">
        <v>1249</v>
      </c>
      <c r="W3181" s="13" t="s">
        <v>15017</v>
      </c>
      <c r="X3181" s="12"/>
      <c r="Y3181" s="14"/>
      <c r="Z3181" s="14"/>
    </row>
    <row r="3182">
      <c r="A3182" s="8" t="s">
        <v>15018</v>
      </c>
      <c r="B3182" s="8" t="s">
        <v>15019</v>
      </c>
      <c r="C3182" s="8" t="s">
        <v>179</v>
      </c>
      <c r="D3182" s="8" t="s">
        <v>26</v>
      </c>
      <c r="E3182" s="8" t="s">
        <v>15020</v>
      </c>
      <c r="F3182" s="8">
        <v>8.628919879E9</v>
      </c>
      <c r="G3182" s="8" t="s">
        <v>44</v>
      </c>
      <c r="H3182" s="8" t="s">
        <v>1433</v>
      </c>
      <c r="I3182" s="8" t="s">
        <v>31</v>
      </c>
      <c r="J3182" s="8" t="s">
        <v>43</v>
      </c>
      <c r="K3182" s="10" t="s">
        <v>2922</v>
      </c>
      <c r="L3182" s="8" t="s">
        <v>58</v>
      </c>
      <c r="M3182" s="8" t="s">
        <v>35</v>
      </c>
      <c r="N3182" s="11">
        <v>45191.0</v>
      </c>
      <c r="O3182" s="11">
        <v>45474.0</v>
      </c>
      <c r="P3182" s="11">
        <v>45516.0</v>
      </c>
      <c r="Q3182" s="11"/>
      <c r="R3182" s="11"/>
      <c r="S3182" s="12"/>
      <c r="T3182" s="8"/>
      <c r="U3182" s="8" t="s">
        <v>59</v>
      </c>
      <c r="V3182" s="13" t="s">
        <v>3622</v>
      </c>
      <c r="W3182" s="13" t="s">
        <v>15021</v>
      </c>
      <c r="X3182" s="12"/>
      <c r="Y3182" s="14"/>
      <c r="Z3182" s="14"/>
    </row>
    <row r="3183">
      <c r="A3183" s="8" t="s">
        <v>15022</v>
      </c>
      <c r="B3183" s="8" t="s">
        <v>15023</v>
      </c>
      <c r="C3183" s="8" t="s">
        <v>708</v>
      </c>
      <c r="D3183" s="8" t="s">
        <v>26</v>
      </c>
      <c r="E3183" s="8" t="s">
        <v>15024</v>
      </c>
      <c r="F3183" s="8">
        <v>6.95229223E8</v>
      </c>
      <c r="G3183" s="8" t="s">
        <v>84</v>
      </c>
      <c r="H3183" s="8" t="s">
        <v>85</v>
      </c>
      <c r="I3183" s="8" t="s">
        <v>31</v>
      </c>
      <c r="J3183" s="8" t="s">
        <v>66</v>
      </c>
      <c r="K3183" s="10" t="s">
        <v>15025</v>
      </c>
      <c r="L3183" s="8" t="s">
        <v>47</v>
      </c>
      <c r="M3183" s="8" t="s">
        <v>70</v>
      </c>
      <c r="N3183" s="11">
        <v>45191.0</v>
      </c>
      <c r="O3183" s="11">
        <v>45195.0</v>
      </c>
      <c r="P3183" s="11">
        <v>45557.0</v>
      </c>
      <c r="Q3183" s="11">
        <v>45192.0</v>
      </c>
      <c r="R3183" s="11">
        <v>45557.0</v>
      </c>
      <c r="S3183" s="12"/>
      <c r="T3183" s="8"/>
      <c r="U3183" s="8" t="s">
        <v>1819</v>
      </c>
      <c r="V3183" s="13" t="s">
        <v>15026</v>
      </c>
      <c r="W3183" s="13" t="s">
        <v>15027</v>
      </c>
      <c r="X3183" s="12"/>
      <c r="Y3183" s="14"/>
      <c r="Z3183" s="14"/>
    </row>
    <row r="3184">
      <c r="A3184" s="8" t="s">
        <v>15028</v>
      </c>
      <c r="B3184" s="8" t="s">
        <v>15029</v>
      </c>
      <c r="C3184" s="8" t="s">
        <v>25</v>
      </c>
      <c r="D3184" s="8" t="s">
        <v>26</v>
      </c>
      <c r="E3184" s="8" t="s">
        <v>15030</v>
      </c>
      <c r="F3184" s="8">
        <v>5.465883372E9</v>
      </c>
      <c r="G3184" s="8" t="s">
        <v>31</v>
      </c>
      <c r="H3184" s="8" t="s">
        <v>102</v>
      </c>
      <c r="I3184" s="8" t="s">
        <v>127</v>
      </c>
      <c r="J3184" s="8" t="s">
        <v>128</v>
      </c>
      <c r="K3184" s="10" t="s">
        <v>13809</v>
      </c>
      <c r="L3184" s="8" t="s">
        <v>58</v>
      </c>
      <c r="M3184" s="8" t="s">
        <v>35</v>
      </c>
      <c r="N3184" s="11">
        <v>45191.0</v>
      </c>
      <c r="O3184" s="11">
        <v>45204.0</v>
      </c>
      <c r="P3184" s="11">
        <v>45246.0</v>
      </c>
      <c r="Q3184" s="11">
        <v>45191.0</v>
      </c>
      <c r="R3184" s="11">
        <v>45246.0</v>
      </c>
      <c r="S3184" s="12"/>
      <c r="T3184" s="8"/>
      <c r="U3184" s="8" t="s">
        <v>59</v>
      </c>
      <c r="V3184" s="13" t="s">
        <v>102</v>
      </c>
      <c r="W3184" s="13" t="s">
        <v>15031</v>
      </c>
      <c r="X3184" s="12"/>
      <c r="Y3184" s="14"/>
      <c r="Z3184" s="14"/>
    </row>
    <row r="3185">
      <c r="A3185" s="8" t="s">
        <v>15032</v>
      </c>
      <c r="B3185" s="8" t="s">
        <v>15033</v>
      </c>
      <c r="C3185" s="8" t="s">
        <v>64</v>
      </c>
      <c r="D3185" s="8" t="s">
        <v>26</v>
      </c>
      <c r="E3185" s="8" t="s">
        <v>15034</v>
      </c>
      <c r="F3185" s="8">
        <v>2.9753469E7</v>
      </c>
      <c r="G3185" s="8" t="s">
        <v>54</v>
      </c>
      <c r="H3185" s="8" t="s">
        <v>76</v>
      </c>
      <c r="I3185" s="8" t="s">
        <v>31</v>
      </c>
      <c r="J3185" s="8" t="s">
        <v>77</v>
      </c>
      <c r="K3185" s="10" t="s">
        <v>4188</v>
      </c>
      <c r="L3185" s="8" t="s">
        <v>58</v>
      </c>
      <c r="M3185" s="8" t="s">
        <v>35</v>
      </c>
      <c r="N3185" s="11">
        <v>45191.0</v>
      </c>
      <c r="O3185" s="11">
        <v>45243.0</v>
      </c>
      <c r="P3185" s="11">
        <v>45285.0</v>
      </c>
      <c r="Q3185" s="11">
        <v>45243.0</v>
      </c>
      <c r="R3185" s="11">
        <v>45285.0</v>
      </c>
      <c r="S3185" s="12"/>
      <c r="T3185" s="8"/>
      <c r="U3185" s="8" t="s">
        <v>59</v>
      </c>
      <c r="V3185" s="13" t="s">
        <v>573</v>
      </c>
      <c r="W3185" s="13" t="s">
        <v>15035</v>
      </c>
      <c r="X3185" s="12"/>
      <c r="Y3185" s="14"/>
      <c r="Z3185" s="14"/>
    </row>
    <row r="3186">
      <c r="A3186" s="8" t="s">
        <v>15036</v>
      </c>
      <c r="B3186" s="8" t="s">
        <v>15037</v>
      </c>
      <c r="C3186" s="8" t="s">
        <v>179</v>
      </c>
      <c r="D3186" s="8" t="s">
        <v>26</v>
      </c>
      <c r="E3186" s="8" t="s">
        <v>15038</v>
      </c>
      <c r="F3186" s="8">
        <v>2.9734729E7</v>
      </c>
      <c r="G3186" s="8" t="s">
        <v>54</v>
      </c>
      <c r="H3186" s="8" t="s">
        <v>377</v>
      </c>
      <c r="I3186" s="8" t="s">
        <v>31</v>
      </c>
      <c r="J3186" s="8" t="s">
        <v>77</v>
      </c>
      <c r="K3186" s="10" t="s">
        <v>4188</v>
      </c>
      <c r="L3186" s="8" t="s">
        <v>58</v>
      </c>
      <c r="M3186" s="8" t="s">
        <v>35</v>
      </c>
      <c r="N3186" s="11">
        <v>45191.0</v>
      </c>
      <c r="O3186" s="11">
        <v>45334.0</v>
      </c>
      <c r="P3186" s="11">
        <v>45376.0</v>
      </c>
      <c r="Q3186" s="11"/>
      <c r="R3186" s="11"/>
      <c r="S3186" s="12"/>
      <c r="T3186" s="8"/>
      <c r="U3186" s="8" t="s">
        <v>59</v>
      </c>
      <c r="V3186" s="13" t="s">
        <v>6222</v>
      </c>
      <c r="W3186" s="13" t="s">
        <v>15039</v>
      </c>
      <c r="X3186" s="12"/>
      <c r="Y3186" s="14"/>
      <c r="Z3186" s="14"/>
    </row>
    <row r="3187">
      <c r="A3187" s="8" t="s">
        <v>15040</v>
      </c>
      <c r="B3187" s="8" t="s">
        <v>15041</v>
      </c>
      <c r="C3187" s="8" t="s">
        <v>179</v>
      </c>
      <c r="D3187" s="8" t="s">
        <v>26</v>
      </c>
      <c r="E3187" s="8" t="s">
        <v>15042</v>
      </c>
      <c r="F3187" s="8">
        <v>1.279898499E9</v>
      </c>
      <c r="G3187" s="8" t="s">
        <v>284</v>
      </c>
      <c r="H3187" s="8" t="s">
        <v>793</v>
      </c>
      <c r="I3187" s="8" t="s">
        <v>31</v>
      </c>
      <c r="J3187" s="8" t="s">
        <v>256</v>
      </c>
      <c r="K3187" s="10" t="s">
        <v>10689</v>
      </c>
      <c r="L3187" s="8" t="s">
        <v>58</v>
      </c>
      <c r="M3187" s="8" t="s">
        <v>35</v>
      </c>
      <c r="N3187" s="11">
        <v>45192.0</v>
      </c>
      <c r="O3187" s="11">
        <v>45516.0</v>
      </c>
      <c r="P3187" s="11">
        <v>45558.0</v>
      </c>
      <c r="Q3187" s="11"/>
      <c r="R3187" s="11"/>
      <c r="S3187" s="12"/>
      <c r="T3187" s="8"/>
      <c r="U3187" s="8" t="s">
        <v>59</v>
      </c>
      <c r="V3187" s="13" t="s">
        <v>793</v>
      </c>
      <c r="W3187" s="13" t="s">
        <v>15043</v>
      </c>
      <c r="X3187" s="12"/>
      <c r="Y3187" s="14"/>
      <c r="Z3187" s="14"/>
    </row>
    <row r="3188">
      <c r="A3188" s="8" t="s">
        <v>15044</v>
      </c>
      <c r="B3188" s="8" t="s">
        <v>15045</v>
      </c>
      <c r="C3188" s="8" t="s">
        <v>179</v>
      </c>
      <c r="D3188" s="8" t="s">
        <v>26</v>
      </c>
      <c r="E3188" s="8" t="s">
        <v>15046</v>
      </c>
      <c r="F3188" s="8">
        <v>1.208369361E9</v>
      </c>
      <c r="G3188" s="8" t="s">
        <v>284</v>
      </c>
      <c r="H3188" s="8" t="s">
        <v>793</v>
      </c>
      <c r="I3188" s="8" t="s">
        <v>31</v>
      </c>
      <c r="J3188" s="8" t="s">
        <v>256</v>
      </c>
      <c r="K3188" s="10" t="s">
        <v>10689</v>
      </c>
      <c r="L3188" s="8" t="s">
        <v>58</v>
      </c>
      <c r="M3188" s="8" t="s">
        <v>35</v>
      </c>
      <c r="N3188" s="11">
        <v>45192.0</v>
      </c>
      <c r="O3188" s="11">
        <v>45516.0</v>
      </c>
      <c r="P3188" s="11">
        <v>45558.0</v>
      </c>
      <c r="Q3188" s="11"/>
      <c r="R3188" s="11"/>
      <c r="S3188" s="12"/>
      <c r="T3188" s="8"/>
      <c r="U3188" s="8" t="s">
        <v>59</v>
      </c>
      <c r="V3188" s="13" t="s">
        <v>793</v>
      </c>
      <c r="W3188" s="13" t="s">
        <v>15047</v>
      </c>
      <c r="X3188" s="12"/>
      <c r="Y3188" s="14"/>
      <c r="Z3188" s="14"/>
    </row>
    <row r="3189">
      <c r="A3189" s="8" t="s">
        <v>15048</v>
      </c>
      <c r="B3189" s="8" t="s">
        <v>15049</v>
      </c>
      <c r="C3189" s="8" t="s">
        <v>25</v>
      </c>
      <c r="D3189" s="8" t="s">
        <v>26</v>
      </c>
      <c r="E3189" s="8" t="s">
        <v>15050</v>
      </c>
      <c r="F3189" s="8"/>
      <c r="G3189" s="8" t="s">
        <v>1620</v>
      </c>
      <c r="H3189" s="8" t="s">
        <v>2104</v>
      </c>
      <c r="I3189" s="8" t="s">
        <v>31</v>
      </c>
      <c r="J3189" s="8" t="s">
        <v>86</v>
      </c>
      <c r="K3189" s="10" t="s">
        <v>416</v>
      </c>
      <c r="L3189" s="8" t="s">
        <v>58</v>
      </c>
      <c r="M3189" s="8" t="s">
        <v>35</v>
      </c>
      <c r="N3189" s="11">
        <v>45192.0</v>
      </c>
      <c r="O3189" s="11">
        <v>45256.0</v>
      </c>
      <c r="P3189" s="11">
        <v>45298.0</v>
      </c>
      <c r="Q3189" s="11">
        <v>45257.0</v>
      </c>
      <c r="R3189" s="11">
        <v>45298.0</v>
      </c>
      <c r="S3189" s="12"/>
      <c r="T3189" s="8"/>
      <c r="U3189" s="8" t="s">
        <v>59</v>
      </c>
      <c r="V3189" s="13" t="s">
        <v>38</v>
      </c>
      <c r="W3189" s="13" t="s">
        <v>15051</v>
      </c>
      <c r="X3189" s="12"/>
      <c r="Y3189" s="14"/>
      <c r="Z3189" s="14"/>
    </row>
    <row r="3190">
      <c r="A3190" s="8" t="s">
        <v>15052</v>
      </c>
      <c r="B3190" s="8" t="s">
        <v>15053</v>
      </c>
      <c r="C3190" s="8" t="s">
        <v>179</v>
      </c>
      <c r="D3190" s="8" t="s">
        <v>26</v>
      </c>
      <c r="E3190" s="8" t="s">
        <v>15054</v>
      </c>
      <c r="F3190" s="8">
        <v>1.011181272E9</v>
      </c>
      <c r="G3190" s="8" t="s">
        <v>284</v>
      </c>
      <c r="H3190" s="8" t="s">
        <v>793</v>
      </c>
      <c r="I3190" s="8" t="s">
        <v>31</v>
      </c>
      <c r="J3190" s="8" t="s">
        <v>256</v>
      </c>
      <c r="K3190" s="10" t="s">
        <v>10689</v>
      </c>
      <c r="L3190" s="8" t="s">
        <v>58</v>
      </c>
      <c r="M3190" s="8" t="s">
        <v>35</v>
      </c>
      <c r="N3190" s="11">
        <v>45192.0</v>
      </c>
      <c r="O3190" s="11">
        <v>45483.0</v>
      </c>
      <c r="P3190" s="11">
        <v>45525.0</v>
      </c>
      <c r="Q3190" s="11"/>
      <c r="R3190" s="11"/>
      <c r="S3190" s="12"/>
      <c r="T3190" s="8"/>
      <c r="U3190" s="8" t="s">
        <v>59</v>
      </c>
      <c r="V3190" s="13" t="s">
        <v>793</v>
      </c>
      <c r="W3190" s="13" t="s">
        <v>15055</v>
      </c>
      <c r="X3190" s="12"/>
      <c r="Y3190" s="14"/>
      <c r="Z3190" s="14"/>
    </row>
    <row r="3191">
      <c r="A3191" s="8" t="s">
        <v>15056</v>
      </c>
      <c r="B3191" s="8" t="s">
        <v>15057</v>
      </c>
      <c r="C3191" s="8" t="s">
        <v>179</v>
      </c>
      <c r="D3191" s="8" t="s">
        <v>26</v>
      </c>
      <c r="E3191" s="8" t="s">
        <v>15058</v>
      </c>
      <c r="F3191" s="8">
        <v>5.439716896E9</v>
      </c>
      <c r="G3191" s="8" t="s">
        <v>15059</v>
      </c>
      <c r="H3191" s="8" t="s">
        <v>15059</v>
      </c>
      <c r="I3191" s="8" t="s">
        <v>31</v>
      </c>
      <c r="J3191" s="8" t="s">
        <v>32</v>
      </c>
      <c r="K3191" s="10" t="s">
        <v>13613</v>
      </c>
      <c r="L3191" s="8" t="s">
        <v>47</v>
      </c>
      <c r="M3191" s="8" t="s">
        <v>70</v>
      </c>
      <c r="N3191" s="11">
        <v>45192.0</v>
      </c>
      <c r="O3191" s="11">
        <v>45199.0</v>
      </c>
      <c r="P3191" s="11">
        <v>45564.0</v>
      </c>
      <c r="Q3191" s="11"/>
      <c r="R3191" s="11"/>
      <c r="S3191" s="12"/>
      <c r="T3191" s="8"/>
      <c r="U3191" s="8" t="s">
        <v>1794</v>
      </c>
      <c r="V3191" s="13" t="s">
        <v>38</v>
      </c>
      <c r="W3191" s="13" t="s">
        <v>15060</v>
      </c>
      <c r="X3191" s="12"/>
      <c r="Y3191" s="14"/>
      <c r="Z3191" s="14"/>
    </row>
    <row r="3192">
      <c r="A3192" s="8" t="s">
        <v>15061</v>
      </c>
      <c r="B3192" s="8" t="s">
        <v>15062</v>
      </c>
      <c r="C3192" s="8" t="s">
        <v>179</v>
      </c>
      <c r="D3192" s="8" t="s">
        <v>26</v>
      </c>
      <c r="E3192" s="8" t="s">
        <v>15063</v>
      </c>
      <c r="F3192" s="8">
        <v>1.1931518382E10</v>
      </c>
      <c r="G3192" s="8" t="s">
        <v>109</v>
      </c>
      <c r="H3192" s="8" t="s">
        <v>1872</v>
      </c>
      <c r="I3192" s="8" t="s">
        <v>31</v>
      </c>
      <c r="J3192" s="8" t="s">
        <v>136</v>
      </c>
      <c r="K3192" s="10" t="s">
        <v>2354</v>
      </c>
      <c r="L3192" s="8" t="s">
        <v>58</v>
      </c>
      <c r="M3192" s="8" t="s">
        <v>35</v>
      </c>
      <c r="N3192" s="11">
        <v>45192.0</v>
      </c>
      <c r="O3192" s="11">
        <v>45551.0</v>
      </c>
      <c r="P3192" s="11">
        <v>45593.0</v>
      </c>
      <c r="Q3192" s="11"/>
      <c r="R3192" s="11"/>
      <c r="S3192" s="12"/>
      <c r="T3192" s="8"/>
      <c r="U3192" s="8" t="s">
        <v>59</v>
      </c>
      <c r="V3192" s="13" t="s">
        <v>2124</v>
      </c>
      <c r="W3192" s="13" t="s">
        <v>15064</v>
      </c>
      <c r="X3192" s="12"/>
      <c r="Y3192" s="14"/>
      <c r="Z3192" s="14"/>
    </row>
    <row r="3193">
      <c r="A3193" s="8" t="s">
        <v>15065</v>
      </c>
      <c r="B3193" s="8" t="s">
        <v>15066</v>
      </c>
      <c r="C3193" s="8" t="s">
        <v>708</v>
      </c>
      <c r="D3193" s="8" t="s">
        <v>26</v>
      </c>
      <c r="E3193" s="8" t="s">
        <v>15067</v>
      </c>
      <c r="F3193" s="8">
        <v>8.1617818171E10</v>
      </c>
      <c r="G3193" s="8" t="s">
        <v>4181</v>
      </c>
      <c r="H3193" s="8" t="s">
        <v>15068</v>
      </c>
      <c r="I3193" s="8" t="s">
        <v>31</v>
      </c>
      <c r="J3193" s="8" t="s">
        <v>86</v>
      </c>
      <c r="K3193" s="10" t="s">
        <v>416</v>
      </c>
      <c r="L3193" s="8" t="s">
        <v>58</v>
      </c>
      <c r="M3193" s="8" t="s">
        <v>35</v>
      </c>
      <c r="N3193" s="11">
        <v>45193.0</v>
      </c>
      <c r="O3193" s="11">
        <v>45298.0</v>
      </c>
      <c r="P3193" s="11">
        <v>45340.0</v>
      </c>
      <c r="Q3193" s="11">
        <v>45300.0</v>
      </c>
      <c r="R3193" s="11">
        <v>45340.0</v>
      </c>
      <c r="S3193" s="12"/>
      <c r="T3193" s="8"/>
      <c r="U3193" s="8" t="s">
        <v>59</v>
      </c>
      <c r="V3193" s="13" t="s">
        <v>15069</v>
      </c>
      <c r="W3193" s="13" t="s">
        <v>15070</v>
      </c>
      <c r="X3193" s="12"/>
      <c r="Y3193" s="14"/>
      <c r="Z3193" s="14"/>
    </row>
    <row r="3194">
      <c r="A3194" s="8" t="s">
        <v>15071</v>
      </c>
      <c r="B3194" s="8" t="s">
        <v>15072</v>
      </c>
      <c r="C3194" s="8" t="s">
        <v>708</v>
      </c>
      <c r="D3194" s="8" t="s">
        <v>26</v>
      </c>
      <c r="E3194" s="8" t="s">
        <v>15073</v>
      </c>
      <c r="F3194" s="8">
        <v>5.071545708E9</v>
      </c>
      <c r="G3194" s="8" t="s">
        <v>31</v>
      </c>
      <c r="H3194" s="8" t="s">
        <v>56</v>
      </c>
      <c r="I3194" s="8" t="s">
        <v>127</v>
      </c>
      <c r="J3194" s="8" t="s">
        <v>1628</v>
      </c>
      <c r="K3194" s="10" t="s">
        <v>15074</v>
      </c>
      <c r="L3194" s="8" t="s">
        <v>58</v>
      </c>
      <c r="M3194" s="8" t="s">
        <v>35</v>
      </c>
      <c r="N3194" s="11">
        <v>45193.0</v>
      </c>
      <c r="O3194" s="11">
        <v>45299.0</v>
      </c>
      <c r="P3194" s="11">
        <v>45341.0</v>
      </c>
      <c r="Q3194" s="11">
        <v>45299.0</v>
      </c>
      <c r="R3194" s="11">
        <v>45341.0</v>
      </c>
      <c r="S3194" s="12"/>
      <c r="T3194" s="8"/>
      <c r="U3194" s="8" t="s">
        <v>371</v>
      </c>
      <c r="V3194" s="13" t="s">
        <v>56</v>
      </c>
      <c r="W3194" s="13" t="s">
        <v>15075</v>
      </c>
      <c r="X3194" s="12"/>
      <c r="Y3194" s="14"/>
      <c r="Z3194" s="14"/>
    </row>
    <row r="3195">
      <c r="A3195" s="8" t="s">
        <v>15076</v>
      </c>
      <c r="B3195" s="8" t="s">
        <v>15077</v>
      </c>
      <c r="C3195" s="8" t="s">
        <v>179</v>
      </c>
      <c r="D3195" s="8" t="s">
        <v>26</v>
      </c>
      <c r="E3195" s="8" t="s">
        <v>15078</v>
      </c>
      <c r="F3195" s="8">
        <v>1.117719565E9</v>
      </c>
      <c r="G3195" s="8" t="s">
        <v>284</v>
      </c>
      <c r="H3195" s="8" t="s">
        <v>673</v>
      </c>
      <c r="I3195" s="8" t="s">
        <v>31</v>
      </c>
      <c r="J3195" s="8" t="s">
        <v>32</v>
      </c>
      <c r="K3195" s="10" t="s">
        <v>1451</v>
      </c>
      <c r="L3195" s="8" t="s">
        <v>58</v>
      </c>
      <c r="M3195" s="8" t="s">
        <v>35</v>
      </c>
      <c r="N3195" s="11">
        <v>45193.0</v>
      </c>
      <c r="O3195" s="11">
        <v>45333.0</v>
      </c>
      <c r="P3195" s="11">
        <v>45375.0</v>
      </c>
      <c r="Q3195" s="11"/>
      <c r="R3195" s="11"/>
      <c r="S3195" s="12"/>
      <c r="T3195" s="8"/>
      <c r="U3195" s="8" t="s">
        <v>59</v>
      </c>
      <c r="V3195" s="13" t="s">
        <v>674</v>
      </c>
      <c r="W3195" s="13" t="s">
        <v>15079</v>
      </c>
      <c r="X3195" s="12"/>
      <c r="Y3195" s="14"/>
      <c r="Z3195" s="14"/>
    </row>
    <row r="3196">
      <c r="A3196" s="8" t="s">
        <v>15080</v>
      </c>
      <c r="B3196" s="8" t="s">
        <v>15081</v>
      </c>
      <c r="C3196" s="8" t="s">
        <v>179</v>
      </c>
      <c r="D3196" s="8" t="s">
        <v>26</v>
      </c>
      <c r="E3196" s="8" t="s">
        <v>15082</v>
      </c>
      <c r="F3196" s="8">
        <v>1.013144772E9</v>
      </c>
      <c r="G3196" s="8" t="s">
        <v>284</v>
      </c>
      <c r="H3196" s="8" t="s">
        <v>3188</v>
      </c>
      <c r="I3196" s="8" t="s">
        <v>31</v>
      </c>
      <c r="J3196" s="8" t="s">
        <v>66</v>
      </c>
      <c r="K3196" s="10" t="s">
        <v>15083</v>
      </c>
      <c r="L3196" s="8" t="s">
        <v>47</v>
      </c>
      <c r="M3196" s="8" t="s">
        <v>70</v>
      </c>
      <c r="N3196" s="11">
        <v>45193.0</v>
      </c>
      <c r="O3196" s="11">
        <v>45207.0</v>
      </c>
      <c r="P3196" s="11">
        <v>45571.0</v>
      </c>
      <c r="Q3196" s="11"/>
      <c r="R3196" s="11"/>
      <c r="S3196" s="12"/>
      <c r="T3196" s="8"/>
      <c r="U3196" s="8" t="s">
        <v>246</v>
      </c>
      <c r="V3196" s="13" t="s">
        <v>15084</v>
      </c>
      <c r="W3196" s="13" t="s">
        <v>15085</v>
      </c>
      <c r="X3196" s="12"/>
      <c r="Y3196" s="14"/>
      <c r="Z3196" s="14"/>
    </row>
    <row r="3197">
      <c r="A3197" s="8" t="s">
        <v>15086</v>
      </c>
      <c r="B3197" s="8" t="s">
        <v>15087</v>
      </c>
      <c r="C3197" s="8" t="s">
        <v>179</v>
      </c>
      <c r="D3197" s="8" t="s">
        <v>26</v>
      </c>
      <c r="E3197" s="8" t="s">
        <v>15088</v>
      </c>
      <c r="F3197" s="8"/>
      <c r="G3197" s="8" t="s">
        <v>315</v>
      </c>
      <c r="H3197" s="8" t="s">
        <v>1833</v>
      </c>
      <c r="I3197" s="8" t="s">
        <v>31</v>
      </c>
      <c r="J3197" s="8" t="s">
        <v>102</v>
      </c>
      <c r="K3197" s="10" t="s">
        <v>5254</v>
      </c>
      <c r="L3197" s="8" t="s">
        <v>34</v>
      </c>
      <c r="M3197" s="8" t="s">
        <v>70</v>
      </c>
      <c r="N3197" s="11">
        <v>45194.0</v>
      </c>
      <c r="O3197" s="11">
        <v>45285.0</v>
      </c>
      <c r="P3197" s="11">
        <v>45651.0</v>
      </c>
      <c r="Q3197" s="11"/>
      <c r="R3197" s="11"/>
      <c r="S3197" s="12"/>
      <c r="T3197" s="8" t="s">
        <v>446</v>
      </c>
      <c r="U3197" s="8" t="s">
        <v>5255</v>
      </c>
      <c r="V3197" s="13" t="s">
        <v>38</v>
      </c>
      <c r="W3197" s="13" t="s">
        <v>15089</v>
      </c>
      <c r="X3197" s="12"/>
      <c r="Y3197" s="14"/>
      <c r="Z3197" s="14"/>
    </row>
    <row r="3198">
      <c r="A3198" s="8" t="s">
        <v>15090</v>
      </c>
      <c r="B3198" s="8" t="s">
        <v>15091</v>
      </c>
      <c r="C3198" s="8" t="s">
        <v>179</v>
      </c>
      <c r="D3198" s="8" t="s">
        <v>26</v>
      </c>
      <c r="E3198" s="8" t="s">
        <v>15092</v>
      </c>
      <c r="F3198" s="8">
        <v>2.6827464E7</v>
      </c>
      <c r="G3198" s="8" t="s">
        <v>54</v>
      </c>
      <c r="H3198" s="8" t="s">
        <v>377</v>
      </c>
      <c r="I3198" s="8" t="s">
        <v>31</v>
      </c>
      <c r="J3198" s="8" t="s">
        <v>77</v>
      </c>
      <c r="K3198" s="10" t="s">
        <v>2537</v>
      </c>
      <c r="L3198" s="8" t="s">
        <v>58</v>
      </c>
      <c r="M3198" s="8" t="s">
        <v>35</v>
      </c>
      <c r="N3198" s="11">
        <v>45194.0</v>
      </c>
      <c r="O3198" s="11">
        <v>45481.0</v>
      </c>
      <c r="P3198" s="11">
        <v>45523.0</v>
      </c>
      <c r="Q3198" s="11"/>
      <c r="R3198" s="11"/>
      <c r="S3198" s="12"/>
      <c r="T3198" s="8"/>
      <c r="U3198" s="8" t="s">
        <v>88</v>
      </c>
      <c r="V3198" s="13" t="s">
        <v>1604</v>
      </c>
      <c r="W3198" s="13" t="s">
        <v>15093</v>
      </c>
      <c r="X3198" s="12"/>
      <c r="Y3198" s="14"/>
      <c r="Z3198" s="14"/>
    </row>
    <row r="3199">
      <c r="A3199" s="8" t="s">
        <v>15094</v>
      </c>
      <c r="B3199" s="8" t="s">
        <v>15095</v>
      </c>
      <c r="C3199" s="8" t="s">
        <v>708</v>
      </c>
      <c r="D3199" s="8" t="s">
        <v>26</v>
      </c>
      <c r="E3199" s="8" t="s">
        <v>15096</v>
      </c>
      <c r="F3199" s="8"/>
      <c r="G3199" s="8" t="s">
        <v>5236</v>
      </c>
      <c r="H3199" s="8" t="s">
        <v>15097</v>
      </c>
      <c r="I3199" s="8" t="s">
        <v>31</v>
      </c>
      <c r="J3199" s="8" t="s">
        <v>32</v>
      </c>
      <c r="K3199" s="10" t="s">
        <v>14285</v>
      </c>
      <c r="L3199" s="8" t="s">
        <v>58</v>
      </c>
      <c r="M3199" s="8" t="s">
        <v>35</v>
      </c>
      <c r="N3199" s="11">
        <v>45194.0</v>
      </c>
      <c r="O3199" s="11">
        <v>45298.0</v>
      </c>
      <c r="P3199" s="11">
        <v>45340.0</v>
      </c>
      <c r="Q3199" s="11">
        <v>45307.0</v>
      </c>
      <c r="R3199" s="11">
        <v>45349.0</v>
      </c>
      <c r="S3199" s="12"/>
      <c r="T3199" s="8"/>
      <c r="U3199" s="8" t="s">
        <v>161</v>
      </c>
      <c r="V3199" s="13" t="s">
        <v>38</v>
      </c>
      <c r="W3199" s="13" t="s">
        <v>15098</v>
      </c>
      <c r="X3199" s="12"/>
      <c r="Y3199" s="14"/>
      <c r="Z3199" s="14"/>
    </row>
    <row r="3200">
      <c r="A3200" s="8" t="s">
        <v>15099</v>
      </c>
      <c r="B3200" s="8" t="s">
        <v>15100</v>
      </c>
      <c r="C3200" s="8" t="s">
        <v>25</v>
      </c>
      <c r="D3200" s="8" t="s">
        <v>26</v>
      </c>
      <c r="E3200" s="8" t="s">
        <v>15101</v>
      </c>
      <c r="F3200" s="8">
        <v>2.9643159E7</v>
      </c>
      <c r="G3200" s="8" t="s">
        <v>54</v>
      </c>
      <c r="H3200" s="8" t="s">
        <v>76</v>
      </c>
      <c r="I3200" s="8" t="s">
        <v>31</v>
      </c>
      <c r="J3200" s="8" t="s">
        <v>86</v>
      </c>
      <c r="K3200" s="10" t="s">
        <v>2453</v>
      </c>
      <c r="L3200" s="8" t="s">
        <v>58</v>
      </c>
      <c r="M3200" s="8" t="s">
        <v>35</v>
      </c>
      <c r="N3200" s="11">
        <v>45194.0</v>
      </c>
      <c r="O3200" s="11">
        <v>45212.0</v>
      </c>
      <c r="P3200" s="11">
        <v>45254.0</v>
      </c>
      <c r="Q3200" s="11">
        <v>45215.0</v>
      </c>
      <c r="R3200" s="11">
        <v>45256.0</v>
      </c>
      <c r="S3200" s="12"/>
      <c r="T3200" s="8"/>
      <c r="U3200" s="8" t="s">
        <v>59</v>
      </c>
      <c r="V3200" s="13" t="s">
        <v>324</v>
      </c>
      <c r="W3200" s="13" t="s">
        <v>15102</v>
      </c>
      <c r="X3200" s="12"/>
      <c r="Y3200" s="14"/>
      <c r="Z3200" s="14"/>
    </row>
    <row r="3201">
      <c r="A3201" s="8" t="s">
        <v>15103</v>
      </c>
      <c r="B3201" s="8" t="s">
        <v>15104</v>
      </c>
      <c r="C3201" s="8" t="s">
        <v>708</v>
      </c>
      <c r="D3201" s="8" t="s">
        <v>26</v>
      </c>
      <c r="E3201" s="8" t="s">
        <v>15105</v>
      </c>
      <c r="F3201" s="8">
        <v>2.5738644E7</v>
      </c>
      <c r="G3201" s="8" t="s">
        <v>54</v>
      </c>
      <c r="H3201" s="8" t="s">
        <v>377</v>
      </c>
      <c r="I3201" s="8" t="s">
        <v>31</v>
      </c>
      <c r="J3201" s="8" t="s">
        <v>77</v>
      </c>
      <c r="K3201" s="10" t="s">
        <v>12901</v>
      </c>
      <c r="L3201" s="8" t="s">
        <v>47</v>
      </c>
      <c r="M3201" s="8" t="s">
        <v>70</v>
      </c>
      <c r="N3201" s="11">
        <v>45194.0</v>
      </c>
      <c r="O3201" s="11">
        <v>45205.0</v>
      </c>
      <c r="P3201" s="11">
        <v>45459.0</v>
      </c>
      <c r="Q3201" s="11">
        <v>45201.0</v>
      </c>
      <c r="R3201" s="11">
        <v>45459.0</v>
      </c>
      <c r="S3201" s="12"/>
      <c r="T3201" s="8"/>
      <c r="U3201" s="8" t="s">
        <v>5839</v>
      </c>
      <c r="V3201" s="13" t="s">
        <v>1604</v>
      </c>
      <c r="W3201" s="13" t="s">
        <v>15106</v>
      </c>
      <c r="X3201" s="12"/>
      <c r="Y3201" s="14"/>
      <c r="Z3201" s="14"/>
    </row>
    <row r="3202">
      <c r="A3202" s="8" t="s">
        <v>15107</v>
      </c>
      <c r="B3202" s="8" t="s">
        <v>14836</v>
      </c>
      <c r="C3202" s="8" t="s">
        <v>708</v>
      </c>
      <c r="D3202" s="8" t="s">
        <v>26</v>
      </c>
      <c r="E3202" s="8" t="s">
        <v>14837</v>
      </c>
      <c r="F3202" s="8">
        <v>1.123552605E9</v>
      </c>
      <c r="G3202" s="8" t="s">
        <v>284</v>
      </c>
      <c r="H3202" s="8" t="s">
        <v>1422</v>
      </c>
      <c r="I3202" s="8" t="s">
        <v>31</v>
      </c>
      <c r="J3202" s="8" t="s">
        <v>111</v>
      </c>
      <c r="K3202" s="10" t="s">
        <v>910</v>
      </c>
      <c r="L3202" s="8" t="s">
        <v>47</v>
      </c>
      <c r="M3202" s="8" t="s">
        <v>70</v>
      </c>
      <c r="N3202" s="11">
        <v>45194.0</v>
      </c>
      <c r="O3202" s="11">
        <v>45208.0</v>
      </c>
      <c r="P3202" s="11">
        <v>45473.0</v>
      </c>
      <c r="Q3202" s="11">
        <v>45241.0</v>
      </c>
      <c r="R3202" s="11">
        <v>45506.0</v>
      </c>
      <c r="S3202" s="12"/>
      <c r="T3202" s="8"/>
      <c r="U3202" s="8" t="s">
        <v>246</v>
      </c>
      <c r="V3202" s="13" t="s">
        <v>1424</v>
      </c>
      <c r="W3202" s="13" t="s">
        <v>14838</v>
      </c>
      <c r="X3202" s="12"/>
      <c r="Y3202" s="14"/>
      <c r="Z3202" s="14"/>
    </row>
    <row r="3203">
      <c r="A3203" s="8" t="s">
        <v>15108</v>
      </c>
      <c r="B3203" s="8" t="s">
        <v>15109</v>
      </c>
      <c r="C3203" s="8" t="s">
        <v>179</v>
      </c>
      <c r="D3203" s="8" t="s">
        <v>26</v>
      </c>
      <c r="E3203" s="8" t="s">
        <v>15110</v>
      </c>
      <c r="F3203" s="8">
        <v>5.45911268E9</v>
      </c>
      <c r="G3203" s="8" t="s">
        <v>31</v>
      </c>
      <c r="H3203" s="8" t="s">
        <v>86</v>
      </c>
      <c r="I3203" s="8" t="s">
        <v>399</v>
      </c>
      <c r="J3203" s="8" t="s">
        <v>3797</v>
      </c>
      <c r="K3203" s="10" t="s">
        <v>15111</v>
      </c>
      <c r="L3203" s="8" t="s">
        <v>58</v>
      </c>
      <c r="M3203" s="8" t="s">
        <v>35</v>
      </c>
      <c r="N3203" s="11">
        <v>45194.0</v>
      </c>
      <c r="O3203" s="11">
        <v>45465.0</v>
      </c>
      <c r="P3203" s="11">
        <v>45507.0</v>
      </c>
      <c r="Q3203" s="11"/>
      <c r="R3203" s="11"/>
      <c r="S3203" s="12"/>
      <c r="T3203" s="8"/>
      <c r="U3203" s="8" t="s">
        <v>153</v>
      </c>
      <c r="V3203" s="13" t="s">
        <v>175</v>
      </c>
      <c r="W3203" s="13" t="s">
        <v>15112</v>
      </c>
      <c r="X3203" s="12"/>
      <c r="Y3203" s="14"/>
      <c r="Z3203" s="14"/>
    </row>
    <row r="3204">
      <c r="A3204" s="8" t="s">
        <v>15113</v>
      </c>
      <c r="B3204" s="8" t="s">
        <v>15114</v>
      </c>
      <c r="C3204" s="8" t="s">
        <v>708</v>
      </c>
      <c r="D3204" s="8" t="s">
        <v>26</v>
      </c>
      <c r="E3204" s="8" t="s">
        <v>15115</v>
      </c>
      <c r="F3204" s="8">
        <v>9.6214277E7</v>
      </c>
      <c r="G3204" s="8" t="s">
        <v>54</v>
      </c>
      <c r="H3204" s="8" t="s">
        <v>244</v>
      </c>
      <c r="I3204" s="8" t="s">
        <v>31</v>
      </c>
      <c r="J3204" s="8" t="s">
        <v>256</v>
      </c>
      <c r="K3204" s="10" t="s">
        <v>15116</v>
      </c>
      <c r="L3204" s="8" t="s">
        <v>47</v>
      </c>
      <c r="M3204" s="8" t="s">
        <v>48</v>
      </c>
      <c r="N3204" s="11">
        <v>45194.0</v>
      </c>
      <c r="O3204" s="11">
        <v>45189.0</v>
      </c>
      <c r="P3204" s="11">
        <v>45366.0</v>
      </c>
      <c r="Q3204" s="11">
        <v>45204.0</v>
      </c>
      <c r="R3204" s="11">
        <v>45381.0</v>
      </c>
      <c r="S3204" s="12"/>
      <c r="T3204" s="8"/>
      <c r="U3204" s="8" t="s">
        <v>1295</v>
      </c>
      <c r="V3204" s="13" t="s">
        <v>247</v>
      </c>
      <c r="W3204" s="13" t="s">
        <v>15117</v>
      </c>
      <c r="X3204" s="12"/>
      <c r="Y3204" s="14"/>
      <c r="Z3204" s="14"/>
    </row>
    <row r="3205">
      <c r="A3205" s="8" t="s">
        <v>15118</v>
      </c>
      <c r="B3205" s="8" t="s">
        <v>15119</v>
      </c>
      <c r="C3205" s="8" t="s">
        <v>179</v>
      </c>
      <c r="D3205" s="8" t="s">
        <v>26</v>
      </c>
      <c r="E3205" s="8" t="s">
        <v>15120</v>
      </c>
      <c r="F3205" s="8">
        <v>2.5943147E7</v>
      </c>
      <c r="G3205" s="8" t="s">
        <v>54</v>
      </c>
      <c r="H3205" s="8" t="s">
        <v>76</v>
      </c>
      <c r="I3205" s="8" t="s">
        <v>31</v>
      </c>
      <c r="J3205" s="8" t="s">
        <v>77</v>
      </c>
      <c r="K3205" s="10" t="s">
        <v>2537</v>
      </c>
      <c r="L3205" s="8" t="s">
        <v>58</v>
      </c>
      <c r="M3205" s="8" t="s">
        <v>35</v>
      </c>
      <c r="N3205" s="11">
        <v>45194.0</v>
      </c>
      <c r="O3205" s="11">
        <v>45481.0</v>
      </c>
      <c r="P3205" s="11">
        <v>45523.0</v>
      </c>
      <c r="Q3205" s="11"/>
      <c r="R3205" s="11"/>
      <c r="S3205" s="12"/>
      <c r="T3205" s="8"/>
      <c r="U3205" s="8" t="s">
        <v>88</v>
      </c>
      <c r="V3205" s="13" t="s">
        <v>573</v>
      </c>
      <c r="W3205" s="13" t="s">
        <v>15121</v>
      </c>
      <c r="X3205" s="12"/>
      <c r="Y3205" s="14"/>
      <c r="Z3205" s="14"/>
    </row>
    <row r="3206">
      <c r="A3206" s="8" t="s">
        <v>15122</v>
      </c>
      <c r="B3206" s="8" t="s">
        <v>15123</v>
      </c>
      <c r="C3206" s="8" t="s">
        <v>708</v>
      </c>
      <c r="D3206" s="8" t="s">
        <v>26</v>
      </c>
      <c r="E3206" s="8" t="s">
        <v>15124</v>
      </c>
      <c r="F3206" s="8">
        <v>5.3160482E7</v>
      </c>
      <c r="G3206" s="8" t="s">
        <v>54</v>
      </c>
      <c r="H3206" s="8" t="s">
        <v>430</v>
      </c>
      <c r="I3206" s="8" t="s">
        <v>31</v>
      </c>
      <c r="J3206" s="8" t="s">
        <v>56</v>
      </c>
      <c r="K3206" s="10" t="s">
        <v>15125</v>
      </c>
      <c r="L3206" s="8" t="s">
        <v>58</v>
      </c>
      <c r="M3206" s="8" t="s">
        <v>35</v>
      </c>
      <c r="N3206" s="11">
        <v>45194.0</v>
      </c>
      <c r="O3206" s="11">
        <v>45285.0</v>
      </c>
      <c r="P3206" s="11">
        <v>45327.0</v>
      </c>
      <c r="Q3206" s="11">
        <v>45293.0</v>
      </c>
      <c r="R3206" s="11">
        <v>45335.0</v>
      </c>
      <c r="S3206" s="12"/>
      <c r="T3206" s="8"/>
      <c r="U3206" s="8" t="s">
        <v>59</v>
      </c>
      <c r="V3206" s="13" t="s">
        <v>6160</v>
      </c>
      <c r="W3206" s="13" t="s">
        <v>15126</v>
      </c>
      <c r="X3206" s="12"/>
      <c r="Y3206" s="14"/>
      <c r="Z3206" s="14"/>
    </row>
    <row r="3207">
      <c r="A3207" s="8" t="s">
        <v>15127</v>
      </c>
      <c r="B3207" s="8" t="s">
        <v>15128</v>
      </c>
      <c r="C3207" s="8" t="s">
        <v>179</v>
      </c>
      <c r="D3207" s="8" t="s">
        <v>26</v>
      </c>
      <c r="E3207" s="8" t="s">
        <v>15129</v>
      </c>
      <c r="F3207" s="8">
        <v>1.110261593E9</v>
      </c>
      <c r="G3207" s="8" t="s">
        <v>284</v>
      </c>
      <c r="H3207" s="8" t="s">
        <v>793</v>
      </c>
      <c r="I3207" s="8" t="s">
        <v>31</v>
      </c>
      <c r="J3207" s="8" t="s">
        <v>256</v>
      </c>
      <c r="K3207" s="10" t="s">
        <v>15130</v>
      </c>
      <c r="L3207" s="8" t="s">
        <v>47</v>
      </c>
      <c r="M3207" s="8" t="s">
        <v>70</v>
      </c>
      <c r="N3207" s="11">
        <v>45195.0</v>
      </c>
      <c r="O3207" s="11">
        <v>45231.0</v>
      </c>
      <c r="P3207" s="11">
        <v>45596.0</v>
      </c>
      <c r="Q3207" s="11"/>
      <c r="R3207" s="11"/>
      <c r="S3207" s="12"/>
      <c r="T3207" s="8"/>
      <c r="U3207" s="8" t="s">
        <v>1295</v>
      </c>
      <c r="V3207" s="13" t="s">
        <v>793</v>
      </c>
      <c r="W3207" s="13" t="s">
        <v>15131</v>
      </c>
      <c r="X3207" s="12"/>
      <c r="Y3207" s="14"/>
      <c r="Z3207" s="14"/>
    </row>
    <row r="3208">
      <c r="A3208" s="8" t="s">
        <v>15132</v>
      </c>
      <c r="B3208" s="8" t="s">
        <v>15133</v>
      </c>
      <c r="C3208" s="8" t="s">
        <v>179</v>
      </c>
      <c r="D3208" s="8" t="s">
        <v>26</v>
      </c>
      <c r="E3208" s="8" t="s">
        <v>15134</v>
      </c>
      <c r="F3208" s="8">
        <v>5.39887416E9</v>
      </c>
      <c r="G3208" s="8" t="s">
        <v>31</v>
      </c>
      <c r="H3208" s="8" t="s">
        <v>86</v>
      </c>
      <c r="I3208" s="8" t="s">
        <v>284</v>
      </c>
      <c r="J3208" s="8" t="s">
        <v>300</v>
      </c>
      <c r="K3208" s="10" t="s">
        <v>15135</v>
      </c>
      <c r="L3208" s="8" t="s">
        <v>58</v>
      </c>
      <c r="M3208" s="8" t="s">
        <v>35</v>
      </c>
      <c r="N3208" s="11">
        <v>45195.0</v>
      </c>
      <c r="O3208" s="11">
        <v>45311.0</v>
      </c>
      <c r="P3208" s="11">
        <v>45353.0</v>
      </c>
      <c r="Q3208" s="11"/>
      <c r="R3208" s="11"/>
      <c r="S3208" s="12"/>
      <c r="T3208" s="8"/>
      <c r="U3208" s="8" t="s">
        <v>371</v>
      </c>
      <c r="V3208" s="13" t="s">
        <v>175</v>
      </c>
      <c r="W3208" s="13" t="s">
        <v>15136</v>
      </c>
      <c r="X3208" s="12"/>
      <c r="Y3208" s="14"/>
      <c r="Z3208" s="14"/>
    </row>
    <row r="3209">
      <c r="A3209" s="8" t="s">
        <v>15137</v>
      </c>
      <c r="B3209" s="8" t="s">
        <v>1379</v>
      </c>
      <c r="C3209" s="8" t="s">
        <v>179</v>
      </c>
      <c r="D3209" s="8" t="s">
        <v>26</v>
      </c>
      <c r="E3209" s="8" t="s">
        <v>1380</v>
      </c>
      <c r="F3209" s="8">
        <v>7.55358536E8</v>
      </c>
      <c r="G3209" s="8" t="s">
        <v>399</v>
      </c>
      <c r="H3209" s="8" t="s">
        <v>1381</v>
      </c>
      <c r="I3209" s="8" t="s">
        <v>31</v>
      </c>
      <c r="J3209" s="8" t="s">
        <v>56</v>
      </c>
      <c r="K3209" s="10" t="s">
        <v>15138</v>
      </c>
      <c r="L3209" s="8" t="s">
        <v>47</v>
      </c>
      <c r="M3209" s="8" t="s">
        <v>70</v>
      </c>
      <c r="N3209" s="11">
        <v>45195.0</v>
      </c>
      <c r="O3209" s="11">
        <v>45208.0</v>
      </c>
      <c r="P3209" s="11">
        <v>45572.0</v>
      </c>
      <c r="Q3209" s="11"/>
      <c r="R3209" s="11"/>
      <c r="S3209" s="12"/>
      <c r="T3209" s="8"/>
      <c r="U3209" s="8" t="s">
        <v>246</v>
      </c>
      <c r="V3209" s="13" t="s">
        <v>1383</v>
      </c>
      <c r="W3209" s="13" t="s">
        <v>1384</v>
      </c>
      <c r="X3209" s="12"/>
      <c r="Y3209" s="14"/>
      <c r="Z3209" s="14"/>
    </row>
    <row r="3210">
      <c r="A3210" s="8" t="s">
        <v>15139</v>
      </c>
      <c r="B3210" s="8" t="s">
        <v>15140</v>
      </c>
      <c r="C3210" s="8" t="s">
        <v>179</v>
      </c>
      <c r="D3210" s="8" t="s">
        <v>26</v>
      </c>
      <c r="E3210" s="8" t="s">
        <v>15141</v>
      </c>
      <c r="F3210" s="8"/>
      <c r="G3210" s="8" t="s">
        <v>54</v>
      </c>
      <c r="H3210" s="8" t="s">
        <v>76</v>
      </c>
      <c r="I3210" s="8" t="s">
        <v>31</v>
      </c>
      <c r="J3210" s="8" t="s">
        <v>77</v>
      </c>
      <c r="K3210" s="10" t="s">
        <v>2537</v>
      </c>
      <c r="L3210" s="8" t="s">
        <v>58</v>
      </c>
      <c r="M3210" s="8" t="s">
        <v>35</v>
      </c>
      <c r="N3210" s="11">
        <v>45195.0</v>
      </c>
      <c r="O3210" s="11">
        <v>45481.0</v>
      </c>
      <c r="P3210" s="11">
        <v>45523.0</v>
      </c>
      <c r="Q3210" s="11"/>
      <c r="R3210" s="11"/>
      <c r="S3210" s="12"/>
      <c r="T3210" s="8"/>
      <c r="U3210" s="8" t="s">
        <v>88</v>
      </c>
      <c r="V3210" s="13" t="s">
        <v>38</v>
      </c>
      <c r="W3210" s="13" t="s">
        <v>15142</v>
      </c>
      <c r="X3210" s="12"/>
      <c r="Y3210" s="14"/>
      <c r="Z3210" s="14"/>
    </row>
    <row r="3211">
      <c r="A3211" s="8" t="s">
        <v>15143</v>
      </c>
      <c r="B3211" s="8" t="s">
        <v>15144</v>
      </c>
      <c r="C3211" s="8" t="s">
        <v>179</v>
      </c>
      <c r="D3211" s="8" t="s">
        <v>26</v>
      </c>
      <c r="E3211" s="8" t="s">
        <v>15145</v>
      </c>
      <c r="F3211" s="8"/>
      <c r="G3211" s="8" t="s">
        <v>254</v>
      </c>
      <c r="H3211" s="8" t="s">
        <v>1007</v>
      </c>
      <c r="I3211" s="8" t="s">
        <v>31</v>
      </c>
      <c r="J3211" s="8" t="s">
        <v>86</v>
      </c>
      <c r="K3211" s="10" t="s">
        <v>416</v>
      </c>
      <c r="L3211" s="8" t="s">
        <v>58</v>
      </c>
      <c r="M3211" s="8" t="s">
        <v>35</v>
      </c>
      <c r="N3211" s="11">
        <v>45195.0</v>
      </c>
      <c r="O3211" s="11">
        <v>45256.0</v>
      </c>
      <c r="P3211" s="11">
        <v>45298.0</v>
      </c>
      <c r="Q3211" s="11"/>
      <c r="R3211" s="11"/>
      <c r="S3211" s="12"/>
      <c r="T3211" s="8"/>
      <c r="U3211" s="8" t="s">
        <v>59</v>
      </c>
      <c r="V3211" s="13" t="s">
        <v>38</v>
      </c>
      <c r="W3211" s="13" t="s">
        <v>15146</v>
      </c>
      <c r="X3211" s="12"/>
      <c r="Y3211" s="14"/>
      <c r="Z3211" s="14"/>
    </row>
    <row r="3212">
      <c r="A3212" s="8" t="s">
        <v>15147</v>
      </c>
      <c r="B3212" s="8" t="s">
        <v>15148</v>
      </c>
      <c r="C3212" s="8" t="s">
        <v>179</v>
      </c>
      <c r="D3212" s="8" t="s">
        <v>26</v>
      </c>
      <c r="E3212" s="8" t="s">
        <v>15149</v>
      </c>
      <c r="F3212" s="8">
        <v>8.47554071E8</v>
      </c>
      <c r="G3212" s="8" t="s">
        <v>15150</v>
      </c>
      <c r="H3212" s="8" t="s">
        <v>15151</v>
      </c>
      <c r="I3212" s="8" t="s">
        <v>31</v>
      </c>
      <c r="J3212" s="8" t="s">
        <v>256</v>
      </c>
      <c r="K3212" s="10" t="s">
        <v>10689</v>
      </c>
      <c r="L3212" s="8" t="s">
        <v>58</v>
      </c>
      <c r="M3212" s="8" t="s">
        <v>35</v>
      </c>
      <c r="N3212" s="11">
        <v>45195.0</v>
      </c>
      <c r="O3212" s="11">
        <v>45292.0</v>
      </c>
      <c r="P3212" s="11">
        <v>45334.0</v>
      </c>
      <c r="Q3212" s="11"/>
      <c r="R3212" s="11"/>
      <c r="S3212" s="12"/>
      <c r="T3212" s="8"/>
      <c r="U3212" s="8" t="s">
        <v>59</v>
      </c>
      <c r="V3212" s="13" t="s">
        <v>15152</v>
      </c>
      <c r="W3212" s="13" t="s">
        <v>15153</v>
      </c>
      <c r="X3212" s="12"/>
      <c r="Y3212" s="14"/>
      <c r="Z3212" s="14"/>
    </row>
    <row r="3213">
      <c r="A3213" s="8" t="s">
        <v>15154</v>
      </c>
      <c r="B3213" s="8" t="s">
        <v>15155</v>
      </c>
      <c r="C3213" s="8" t="s">
        <v>179</v>
      </c>
      <c r="D3213" s="8" t="s">
        <v>26</v>
      </c>
      <c r="E3213" s="8" t="s">
        <v>15156</v>
      </c>
      <c r="F3213" s="8"/>
      <c r="G3213" s="8" t="s">
        <v>31</v>
      </c>
      <c r="H3213" s="8" t="s">
        <v>542</v>
      </c>
      <c r="I3213" s="8" t="s">
        <v>284</v>
      </c>
      <c r="J3213" s="8" t="s">
        <v>3188</v>
      </c>
      <c r="K3213" s="10" t="s">
        <v>15157</v>
      </c>
      <c r="L3213" s="8" t="s">
        <v>47</v>
      </c>
      <c r="M3213" s="8" t="s">
        <v>35</v>
      </c>
      <c r="N3213" s="11">
        <v>45195.0</v>
      </c>
      <c r="O3213" s="11">
        <v>45330.0</v>
      </c>
      <c r="P3213" s="11">
        <v>45393.0</v>
      </c>
      <c r="Q3213" s="11"/>
      <c r="R3213" s="11"/>
      <c r="S3213" s="12"/>
      <c r="T3213" s="8"/>
      <c r="U3213" s="8" t="s">
        <v>15158</v>
      </c>
      <c r="V3213" s="13" t="s">
        <v>38</v>
      </c>
      <c r="W3213" s="13" t="s">
        <v>15159</v>
      </c>
      <c r="X3213" s="12"/>
      <c r="Y3213" s="14"/>
      <c r="Z3213" s="14"/>
    </row>
    <row r="3214">
      <c r="A3214" s="8" t="s">
        <v>15160</v>
      </c>
      <c r="B3214" s="8" t="s">
        <v>15161</v>
      </c>
      <c r="C3214" s="8" t="s">
        <v>179</v>
      </c>
      <c r="D3214" s="8" t="s">
        <v>26</v>
      </c>
      <c r="E3214" s="8" t="s">
        <v>15162</v>
      </c>
      <c r="F3214" s="8"/>
      <c r="G3214" s="8" t="s">
        <v>284</v>
      </c>
      <c r="H3214" s="8" t="s">
        <v>1777</v>
      </c>
      <c r="I3214" s="8" t="s">
        <v>31</v>
      </c>
      <c r="J3214" s="8" t="s">
        <v>256</v>
      </c>
      <c r="K3214" s="10" t="s">
        <v>10689</v>
      </c>
      <c r="L3214" s="8" t="s">
        <v>58</v>
      </c>
      <c r="M3214" s="8" t="s">
        <v>35</v>
      </c>
      <c r="N3214" s="11">
        <v>45195.0</v>
      </c>
      <c r="O3214" s="11">
        <v>45323.0</v>
      </c>
      <c r="P3214" s="11">
        <v>45365.0</v>
      </c>
      <c r="Q3214" s="11"/>
      <c r="R3214" s="11"/>
      <c r="S3214" s="12"/>
      <c r="T3214" s="8"/>
      <c r="U3214" s="8" t="s">
        <v>59</v>
      </c>
      <c r="V3214" s="13" t="s">
        <v>2168</v>
      </c>
      <c r="W3214" s="13" t="s">
        <v>15163</v>
      </c>
      <c r="X3214" s="12"/>
      <c r="Y3214" s="14"/>
      <c r="Z3214" s="14"/>
    </row>
    <row r="3215">
      <c r="A3215" s="8" t="s">
        <v>15164</v>
      </c>
      <c r="B3215" s="8" t="s">
        <v>13567</v>
      </c>
      <c r="C3215" s="8" t="s">
        <v>708</v>
      </c>
      <c r="D3215" s="8" t="s">
        <v>26</v>
      </c>
      <c r="E3215" s="8" t="s">
        <v>13568</v>
      </c>
      <c r="F3215" s="8">
        <v>5.051111124E9</v>
      </c>
      <c r="G3215" s="8" t="s">
        <v>31</v>
      </c>
      <c r="H3215" s="8" t="s">
        <v>77</v>
      </c>
      <c r="I3215" s="8" t="s">
        <v>127</v>
      </c>
      <c r="J3215" s="8" t="s">
        <v>2182</v>
      </c>
      <c r="K3215" s="10" t="s">
        <v>15165</v>
      </c>
      <c r="L3215" s="8" t="s">
        <v>58</v>
      </c>
      <c r="M3215" s="8" t="s">
        <v>35</v>
      </c>
      <c r="N3215" s="11">
        <v>45195.0</v>
      </c>
      <c r="O3215" s="11">
        <v>45297.0</v>
      </c>
      <c r="P3215" s="11">
        <v>45339.0</v>
      </c>
      <c r="Q3215" s="11">
        <v>45318.0</v>
      </c>
      <c r="R3215" s="11">
        <v>45360.0</v>
      </c>
      <c r="S3215" s="12"/>
      <c r="T3215" s="8"/>
      <c r="U3215" s="8" t="s">
        <v>1956</v>
      </c>
      <c r="V3215" s="13" t="s">
        <v>77</v>
      </c>
      <c r="W3215" s="13" t="s">
        <v>13570</v>
      </c>
      <c r="X3215" s="12"/>
      <c r="Y3215" s="14"/>
      <c r="Z3215" s="14"/>
    </row>
    <row r="3216">
      <c r="A3216" s="8" t="s">
        <v>15166</v>
      </c>
      <c r="B3216" s="8" t="s">
        <v>13616</v>
      </c>
      <c r="C3216" s="8" t="s">
        <v>64</v>
      </c>
      <c r="D3216" s="8" t="s">
        <v>26</v>
      </c>
      <c r="E3216" s="8" t="s">
        <v>13617</v>
      </c>
      <c r="F3216" s="8">
        <v>6.99421316E8</v>
      </c>
      <c r="G3216" s="8" t="s">
        <v>3627</v>
      </c>
      <c r="H3216" s="8" t="s">
        <v>13618</v>
      </c>
      <c r="I3216" s="8" t="s">
        <v>31</v>
      </c>
      <c r="J3216" s="8" t="s">
        <v>43</v>
      </c>
      <c r="K3216" s="10" t="s">
        <v>11789</v>
      </c>
      <c r="L3216" s="8" t="s">
        <v>58</v>
      </c>
      <c r="M3216" s="8" t="s">
        <v>35</v>
      </c>
      <c r="N3216" s="11">
        <v>45196.0</v>
      </c>
      <c r="O3216" s="11">
        <v>45208.0</v>
      </c>
      <c r="P3216" s="11">
        <v>45250.0</v>
      </c>
      <c r="Q3216" s="11">
        <v>45210.0</v>
      </c>
      <c r="R3216" s="11">
        <v>45252.0</v>
      </c>
      <c r="S3216" s="12"/>
      <c r="T3216" s="8"/>
      <c r="U3216" s="8" t="s">
        <v>59</v>
      </c>
      <c r="V3216" s="13" t="s">
        <v>13619</v>
      </c>
      <c r="W3216" s="13" t="s">
        <v>13620</v>
      </c>
      <c r="X3216" s="12"/>
      <c r="Y3216" s="14"/>
      <c r="Z3216" s="14"/>
    </row>
    <row r="3217">
      <c r="A3217" s="8" t="s">
        <v>15167</v>
      </c>
      <c r="B3217" s="8" t="s">
        <v>15168</v>
      </c>
      <c r="C3217" s="8" t="s">
        <v>179</v>
      </c>
      <c r="D3217" s="8" t="s">
        <v>26</v>
      </c>
      <c r="E3217" s="8" t="s">
        <v>15169</v>
      </c>
      <c r="F3217" s="8">
        <v>5.458163136E9</v>
      </c>
      <c r="G3217" s="8" t="s">
        <v>31</v>
      </c>
      <c r="H3217" s="8" t="s">
        <v>111</v>
      </c>
      <c r="I3217" s="8" t="s">
        <v>284</v>
      </c>
      <c r="J3217" s="8" t="s">
        <v>793</v>
      </c>
      <c r="K3217" s="10" t="s">
        <v>14912</v>
      </c>
      <c r="L3217" s="8" t="s">
        <v>58</v>
      </c>
      <c r="M3217" s="8" t="s">
        <v>35</v>
      </c>
      <c r="N3217" s="11">
        <v>45196.0</v>
      </c>
      <c r="O3217" s="11">
        <v>45505.0</v>
      </c>
      <c r="P3217" s="11">
        <v>45547.0</v>
      </c>
      <c r="Q3217" s="11"/>
      <c r="R3217" s="11"/>
      <c r="S3217" s="12"/>
      <c r="T3217" s="8"/>
      <c r="U3217" s="8" t="s">
        <v>59</v>
      </c>
      <c r="V3217" s="13" t="s">
        <v>111</v>
      </c>
      <c r="W3217" s="13" t="s">
        <v>15170</v>
      </c>
      <c r="X3217" s="12"/>
      <c r="Y3217" s="14"/>
      <c r="Z3217" s="14"/>
    </row>
    <row r="3218">
      <c r="A3218" s="8" t="s">
        <v>15171</v>
      </c>
      <c r="B3218" s="8" t="s">
        <v>15172</v>
      </c>
      <c r="C3218" s="8" t="s">
        <v>708</v>
      </c>
      <c r="D3218" s="8" t="s">
        <v>26</v>
      </c>
      <c r="E3218" s="8" t="s">
        <v>15173</v>
      </c>
      <c r="F3218" s="8">
        <v>4.922568398E9</v>
      </c>
      <c r="G3218" s="8" t="s">
        <v>466</v>
      </c>
      <c r="H3218" s="8" t="s">
        <v>15174</v>
      </c>
      <c r="I3218" s="8" t="s">
        <v>31</v>
      </c>
      <c r="J3218" s="8" t="s">
        <v>136</v>
      </c>
      <c r="K3218" s="10" t="s">
        <v>15175</v>
      </c>
      <c r="L3218" s="8" t="s">
        <v>47</v>
      </c>
      <c r="M3218" s="8" t="s">
        <v>70</v>
      </c>
      <c r="N3218" s="11">
        <v>45196.0</v>
      </c>
      <c r="O3218" s="11">
        <v>45306.0</v>
      </c>
      <c r="P3218" s="11">
        <v>45597.0</v>
      </c>
      <c r="Q3218" s="11">
        <v>45306.0</v>
      </c>
      <c r="R3218" s="11">
        <v>45597.0</v>
      </c>
      <c r="S3218" s="12"/>
      <c r="T3218" s="8"/>
      <c r="U3218" s="8" t="s">
        <v>246</v>
      </c>
      <c r="V3218" s="13" t="s">
        <v>15176</v>
      </c>
      <c r="W3218" s="13" t="s">
        <v>15177</v>
      </c>
      <c r="X3218" s="12"/>
      <c r="Y3218" s="14"/>
      <c r="Z3218" s="14"/>
    </row>
    <row r="3219">
      <c r="A3219" s="8" t="s">
        <v>15178</v>
      </c>
      <c r="B3219" s="8" t="s">
        <v>15179</v>
      </c>
      <c r="C3219" s="8" t="s">
        <v>179</v>
      </c>
      <c r="D3219" s="8" t="s">
        <v>26</v>
      </c>
      <c r="E3219" s="8" t="s">
        <v>15180</v>
      </c>
      <c r="F3219" s="8">
        <v>1.552272639E9</v>
      </c>
      <c r="G3219" s="8" t="s">
        <v>284</v>
      </c>
      <c r="H3219" s="8" t="s">
        <v>793</v>
      </c>
      <c r="I3219" s="8" t="s">
        <v>31</v>
      </c>
      <c r="J3219" s="8" t="s">
        <v>111</v>
      </c>
      <c r="K3219" s="10" t="s">
        <v>468</v>
      </c>
      <c r="L3219" s="8" t="s">
        <v>58</v>
      </c>
      <c r="M3219" s="8" t="s">
        <v>35</v>
      </c>
      <c r="N3219" s="11">
        <v>45196.0</v>
      </c>
      <c r="O3219" s="11">
        <v>45334.0</v>
      </c>
      <c r="P3219" s="11">
        <v>45376.0</v>
      </c>
      <c r="Q3219" s="11"/>
      <c r="R3219" s="11"/>
      <c r="S3219" s="12"/>
      <c r="T3219" s="8"/>
      <c r="U3219" s="8" t="s">
        <v>59</v>
      </c>
      <c r="V3219" s="13" t="s">
        <v>793</v>
      </c>
      <c r="W3219" s="13" t="s">
        <v>15181</v>
      </c>
      <c r="X3219" s="12"/>
      <c r="Y3219" s="14"/>
      <c r="Z3219" s="14"/>
    </row>
    <row r="3220">
      <c r="A3220" s="8" t="s">
        <v>15182</v>
      </c>
      <c r="B3220" s="8" t="s">
        <v>14057</v>
      </c>
      <c r="C3220" s="8" t="s">
        <v>251</v>
      </c>
      <c r="D3220" s="8" t="s">
        <v>26</v>
      </c>
      <c r="E3220" s="8" t="s">
        <v>14058</v>
      </c>
      <c r="F3220" s="8">
        <v>5.551073416E9</v>
      </c>
      <c r="G3220" s="8" t="s">
        <v>31</v>
      </c>
      <c r="H3220" s="8" t="s">
        <v>111</v>
      </c>
      <c r="I3220" s="8" t="s">
        <v>284</v>
      </c>
      <c r="J3220" s="8" t="s">
        <v>1359</v>
      </c>
      <c r="K3220" s="10" t="s">
        <v>15183</v>
      </c>
      <c r="L3220" s="8" t="s">
        <v>58</v>
      </c>
      <c r="M3220" s="8" t="s">
        <v>35</v>
      </c>
      <c r="N3220" s="11">
        <v>45196.0</v>
      </c>
      <c r="O3220" s="11">
        <v>45250.0</v>
      </c>
      <c r="P3220" s="11">
        <v>45292.0</v>
      </c>
      <c r="Q3220" s="11"/>
      <c r="R3220" s="11"/>
      <c r="S3220" s="12"/>
      <c r="T3220" s="8"/>
      <c r="U3220" s="8" t="s">
        <v>1038</v>
      </c>
      <c r="V3220" s="13" t="s">
        <v>111</v>
      </c>
      <c r="W3220" s="13" t="s">
        <v>14060</v>
      </c>
      <c r="X3220" s="12"/>
      <c r="Y3220" s="14"/>
      <c r="Z3220" s="14"/>
    </row>
    <row r="3221">
      <c r="A3221" s="8" t="s">
        <v>15184</v>
      </c>
      <c r="B3221" s="8" t="s">
        <v>15185</v>
      </c>
      <c r="C3221" s="8" t="s">
        <v>179</v>
      </c>
      <c r="D3221" s="8" t="s">
        <v>26</v>
      </c>
      <c r="E3221" s="8" t="s">
        <v>15186</v>
      </c>
      <c r="F3221" s="8">
        <v>5.435408565E9</v>
      </c>
      <c r="G3221" s="8" t="s">
        <v>31</v>
      </c>
      <c r="H3221" s="8" t="s">
        <v>111</v>
      </c>
      <c r="I3221" s="8" t="s">
        <v>284</v>
      </c>
      <c r="J3221" s="8" t="s">
        <v>793</v>
      </c>
      <c r="K3221" s="10" t="s">
        <v>14912</v>
      </c>
      <c r="L3221" s="8" t="s">
        <v>58</v>
      </c>
      <c r="M3221" s="8" t="s">
        <v>35</v>
      </c>
      <c r="N3221" s="11">
        <v>45196.0</v>
      </c>
      <c r="O3221" s="11">
        <v>45474.0</v>
      </c>
      <c r="P3221" s="11">
        <v>45516.0</v>
      </c>
      <c r="Q3221" s="11"/>
      <c r="R3221" s="11"/>
      <c r="S3221" s="12"/>
      <c r="T3221" s="8"/>
      <c r="U3221" s="8" t="s">
        <v>59</v>
      </c>
      <c r="V3221" s="13" t="s">
        <v>111</v>
      </c>
      <c r="W3221" s="13" t="s">
        <v>15187</v>
      </c>
      <c r="X3221" s="12"/>
      <c r="Y3221" s="14"/>
      <c r="Z3221" s="14"/>
    </row>
    <row r="3222">
      <c r="A3222" s="8" t="s">
        <v>15188</v>
      </c>
      <c r="B3222" s="8" t="s">
        <v>15189</v>
      </c>
      <c r="C3222" s="8" t="s">
        <v>179</v>
      </c>
      <c r="D3222" s="8" t="s">
        <v>26</v>
      </c>
      <c r="E3222" s="8" t="s">
        <v>15190</v>
      </c>
      <c r="F3222" s="8">
        <v>5.344658514E9</v>
      </c>
      <c r="G3222" s="8" t="s">
        <v>31</v>
      </c>
      <c r="H3222" s="8" t="s">
        <v>66</v>
      </c>
      <c r="I3222" s="8" t="s">
        <v>54</v>
      </c>
      <c r="J3222" s="8" t="s">
        <v>237</v>
      </c>
      <c r="K3222" s="10" t="s">
        <v>15191</v>
      </c>
      <c r="L3222" s="8" t="s">
        <v>58</v>
      </c>
      <c r="M3222" s="8" t="s">
        <v>35</v>
      </c>
      <c r="N3222" s="11">
        <v>45196.0</v>
      </c>
      <c r="O3222" s="11">
        <v>45317.0</v>
      </c>
      <c r="P3222" s="11">
        <v>45359.0</v>
      </c>
      <c r="Q3222" s="11"/>
      <c r="R3222" s="11"/>
      <c r="S3222" s="12"/>
      <c r="T3222" s="8"/>
      <c r="U3222" s="8" t="s">
        <v>402</v>
      </c>
      <c r="V3222" s="13" t="s">
        <v>56</v>
      </c>
      <c r="W3222" s="13" t="s">
        <v>15192</v>
      </c>
      <c r="X3222" s="12"/>
      <c r="Y3222" s="14"/>
      <c r="Z3222" s="14"/>
    </row>
    <row r="3223">
      <c r="A3223" s="8" t="s">
        <v>15193</v>
      </c>
      <c r="B3223" s="8" t="s">
        <v>15194</v>
      </c>
      <c r="C3223" s="8" t="s">
        <v>179</v>
      </c>
      <c r="D3223" s="8" t="s">
        <v>26</v>
      </c>
      <c r="E3223" s="8" t="s">
        <v>15195</v>
      </c>
      <c r="F3223" s="8">
        <v>1.211537349E9</v>
      </c>
      <c r="G3223" s="8" t="s">
        <v>284</v>
      </c>
      <c r="H3223" s="8" t="s">
        <v>673</v>
      </c>
      <c r="I3223" s="8" t="s">
        <v>31</v>
      </c>
      <c r="J3223" s="8" t="s">
        <v>256</v>
      </c>
      <c r="K3223" s="10" t="s">
        <v>10689</v>
      </c>
      <c r="L3223" s="8" t="s">
        <v>58</v>
      </c>
      <c r="M3223" s="8" t="s">
        <v>35</v>
      </c>
      <c r="N3223" s="11">
        <v>45196.0</v>
      </c>
      <c r="O3223" s="11">
        <v>45240.0</v>
      </c>
      <c r="P3223" s="11">
        <v>45282.0</v>
      </c>
      <c r="Q3223" s="11"/>
      <c r="R3223" s="11"/>
      <c r="S3223" s="12"/>
      <c r="T3223" s="8"/>
      <c r="U3223" s="8" t="s">
        <v>59</v>
      </c>
      <c r="V3223" s="13" t="s">
        <v>674</v>
      </c>
      <c r="W3223" s="13" t="s">
        <v>15196</v>
      </c>
      <c r="X3223" s="12"/>
      <c r="Y3223" s="14"/>
      <c r="Z3223" s="14"/>
    </row>
    <row r="3224">
      <c r="A3224" s="8" t="s">
        <v>15197</v>
      </c>
      <c r="B3224" s="8" t="s">
        <v>15198</v>
      </c>
      <c r="C3224" s="8" t="s">
        <v>179</v>
      </c>
      <c r="D3224" s="8" t="s">
        <v>26</v>
      </c>
      <c r="E3224" s="8" t="s">
        <v>15199</v>
      </c>
      <c r="F3224" s="8">
        <v>7.93302296E8</v>
      </c>
      <c r="G3224" s="8" t="s">
        <v>254</v>
      </c>
      <c r="H3224" s="8" t="s">
        <v>1007</v>
      </c>
      <c r="I3224" s="8" t="s">
        <v>31</v>
      </c>
      <c r="J3224" s="8" t="s">
        <v>86</v>
      </c>
      <c r="K3224" s="10" t="s">
        <v>15200</v>
      </c>
      <c r="L3224" s="8" t="s">
        <v>58</v>
      </c>
      <c r="M3224" s="8" t="s">
        <v>35</v>
      </c>
      <c r="N3224" s="11">
        <v>45196.0</v>
      </c>
      <c r="O3224" s="11">
        <v>45291.0</v>
      </c>
      <c r="P3224" s="11">
        <v>45333.0</v>
      </c>
      <c r="Q3224" s="11"/>
      <c r="R3224" s="11"/>
      <c r="S3224" s="12"/>
      <c r="T3224" s="8"/>
      <c r="U3224" s="8" t="s">
        <v>59</v>
      </c>
      <c r="V3224" s="13" t="s">
        <v>1249</v>
      </c>
      <c r="W3224" s="13" t="s">
        <v>15201</v>
      </c>
      <c r="X3224" s="12"/>
      <c r="Y3224" s="14"/>
      <c r="Z3224" s="14"/>
    </row>
    <row r="3225">
      <c r="A3225" s="8" t="s">
        <v>15202</v>
      </c>
      <c r="B3225" s="8" t="s">
        <v>13363</v>
      </c>
      <c r="C3225" s="8" t="s">
        <v>179</v>
      </c>
      <c r="D3225" s="8" t="s">
        <v>26</v>
      </c>
      <c r="E3225" s="8" t="s">
        <v>13364</v>
      </c>
      <c r="F3225" s="8">
        <v>1.029617021E9</v>
      </c>
      <c r="G3225" s="8" t="s">
        <v>284</v>
      </c>
      <c r="H3225" s="8" t="s">
        <v>1422</v>
      </c>
      <c r="I3225" s="8" t="s">
        <v>31</v>
      </c>
      <c r="J3225" s="8" t="s">
        <v>1274</v>
      </c>
      <c r="K3225" s="10" t="s">
        <v>14336</v>
      </c>
      <c r="L3225" s="8" t="s">
        <v>58</v>
      </c>
      <c r="M3225" s="8" t="s">
        <v>35</v>
      </c>
      <c r="N3225" s="11">
        <v>45196.0</v>
      </c>
      <c r="O3225" s="11">
        <v>45495.0</v>
      </c>
      <c r="P3225" s="11">
        <v>45537.0</v>
      </c>
      <c r="Q3225" s="11"/>
      <c r="R3225" s="11"/>
      <c r="S3225" s="12"/>
      <c r="T3225" s="8"/>
      <c r="U3225" s="8" t="s">
        <v>1038</v>
      </c>
      <c r="V3225" s="13" t="s">
        <v>1424</v>
      </c>
      <c r="W3225" s="13" t="s">
        <v>13365</v>
      </c>
      <c r="X3225" s="12"/>
      <c r="Y3225" s="14"/>
      <c r="Z3225" s="14"/>
    </row>
    <row r="3226">
      <c r="A3226" s="8" t="s">
        <v>15203</v>
      </c>
      <c r="B3226" s="8" t="s">
        <v>2634</v>
      </c>
      <c r="C3226" s="8" t="s">
        <v>708</v>
      </c>
      <c r="D3226" s="8" t="s">
        <v>26</v>
      </c>
      <c r="E3226" s="8" t="s">
        <v>2635</v>
      </c>
      <c r="F3226" s="8">
        <v>6.67987075E8</v>
      </c>
      <c r="G3226" s="8" t="s">
        <v>254</v>
      </c>
      <c r="H3226" s="8" t="s">
        <v>255</v>
      </c>
      <c r="I3226" s="8" t="s">
        <v>31</v>
      </c>
      <c r="J3226" s="8" t="s">
        <v>111</v>
      </c>
      <c r="K3226" s="10" t="s">
        <v>4224</v>
      </c>
      <c r="L3226" s="8" t="s">
        <v>47</v>
      </c>
      <c r="M3226" s="8" t="s">
        <v>70</v>
      </c>
      <c r="N3226" s="11">
        <v>45196.0</v>
      </c>
      <c r="O3226" s="11">
        <v>45211.0</v>
      </c>
      <c r="P3226" s="11">
        <v>45401.0</v>
      </c>
      <c r="Q3226" s="11">
        <v>45241.0</v>
      </c>
      <c r="R3226" s="11">
        <v>45431.0</v>
      </c>
      <c r="S3226" s="12"/>
      <c r="T3226" s="8"/>
      <c r="U3226" s="8" t="s">
        <v>246</v>
      </c>
      <c r="V3226" s="13" t="s">
        <v>258</v>
      </c>
      <c r="W3226" s="13" t="s">
        <v>2636</v>
      </c>
      <c r="X3226" s="12"/>
      <c r="Y3226" s="14"/>
      <c r="Z3226" s="14"/>
    </row>
    <row r="3227">
      <c r="A3227" s="8" t="s">
        <v>15204</v>
      </c>
      <c r="B3227" s="8" t="s">
        <v>15205</v>
      </c>
      <c r="C3227" s="8" t="s">
        <v>179</v>
      </c>
      <c r="D3227" s="8" t="s">
        <v>26</v>
      </c>
      <c r="E3227" s="8" t="s">
        <v>15206</v>
      </c>
      <c r="F3227" s="8">
        <v>7.226128021E9</v>
      </c>
      <c r="G3227" s="8" t="s">
        <v>466</v>
      </c>
      <c r="H3227" s="8" t="s">
        <v>5040</v>
      </c>
      <c r="I3227" s="8" t="s">
        <v>31</v>
      </c>
      <c r="J3227" s="8" t="s">
        <v>86</v>
      </c>
      <c r="K3227" s="10" t="s">
        <v>5449</v>
      </c>
      <c r="L3227" s="8" t="s">
        <v>34</v>
      </c>
      <c r="M3227" s="8" t="s">
        <v>70</v>
      </c>
      <c r="N3227" s="11">
        <v>45196.0</v>
      </c>
      <c r="O3227" s="11">
        <v>45229.0</v>
      </c>
      <c r="P3227" s="11">
        <v>45772.0</v>
      </c>
      <c r="Q3227" s="11"/>
      <c r="R3227" s="11"/>
      <c r="S3227" s="12"/>
      <c r="T3227" s="8" t="s">
        <v>36</v>
      </c>
      <c r="U3227" s="8" t="s">
        <v>5450</v>
      </c>
      <c r="V3227" s="13" t="s">
        <v>15207</v>
      </c>
      <c r="W3227" s="13" t="s">
        <v>15208</v>
      </c>
      <c r="X3227" s="12"/>
      <c r="Y3227" s="14"/>
      <c r="Z3227" s="14"/>
    </row>
    <row r="3228">
      <c r="A3228" s="8" t="s">
        <v>15209</v>
      </c>
      <c r="B3228" s="8" t="s">
        <v>15210</v>
      </c>
      <c r="C3228" s="8" t="s">
        <v>179</v>
      </c>
      <c r="D3228" s="8" t="s">
        <v>26</v>
      </c>
      <c r="E3228" s="8" t="s">
        <v>15211</v>
      </c>
      <c r="F3228" s="8"/>
      <c r="G3228" s="8" t="s">
        <v>31</v>
      </c>
      <c r="H3228" s="8" t="s">
        <v>292</v>
      </c>
      <c r="I3228" s="8" t="s">
        <v>284</v>
      </c>
      <c r="J3228" s="8" t="s">
        <v>793</v>
      </c>
      <c r="K3228" s="10" t="s">
        <v>15212</v>
      </c>
      <c r="L3228" s="8" t="s">
        <v>58</v>
      </c>
      <c r="M3228" s="8" t="s">
        <v>35</v>
      </c>
      <c r="N3228" s="11">
        <v>45197.0</v>
      </c>
      <c r="O3228" s="11">
        <v>45319.0</v>
      </c>
      <c r="P3228" s="11">
        <v>45361.0</v>
      </c>
      <c r="Q3228" s="11"/>
      <c r="R3228" s="11"/>
      <c r="S3228" s="12"/>
      <c r="T3228" s="8"/>
      <c r="U3228" s="8" t="s">
        <v>1590</v>
      </c>
      <c r="V3228" s="13" t="s">
        <v>38</v>
      </c>
      <c r="W3228" s="13" t="s">
        <v>15213</v>
      </c>
      <c r="X3228" s="12"/>
      <c r="Y3228" s="14"/>
      <c r="Z3228" s="14"/>
    </row>
    <row r="3229">
      <c r="A3229" s="8" t="s">
        <v>15214</v>
      </c>
      <c r="B3229" s="8" t="s">
        <v>15215</v>
      </c>
      <c r="C3229" s="8" t="s">
        <v>708</v>
      </c>
      <c r="D3229" s="8" t="s">
        <v>26</v>
      </c>
      <c r="E3229" s="8" t="s">
        <v>15216</v>
      </c>
      <c r="F3229" s="8">
        <v>9.148793436E9</v>
      </c>
      <c r="G3229" s="8" t="s">
        <v>4719</v>
      </c>
      <c r="H3229" s="8" t="s">
        <v>15217</v>
      </c>
      <c r="I3229" s="8" t="s">
        <v>31</v>
      </c>
      <c r="J3229" s="8" t="s">
        <v>43</v>
      </c>
      <c r="K3229" s="10" t="s">
        <v>15218</v>
      </c>
      <c r="L3229" s="8" t="s">
        <v>47</v>
      </c>
      <c r="M3229" s="8" t="s">
        <v>70</v>
      </c>
      <c r="N3229" s="11">
        <v>45197.0</v>
      </c>
      <c r="O3229" s="11">
        <v>45203.0</v>
      </c>
      <c r="P3229" s="11">
        <v>45599.0</v>
      </c>
      <c r="Q3229" s="11">
        <v>45230.0</v>
      </c>
      <c r="R3229" s="11">
        <v>45625.0</v>
      </c>
      <c r="S3229" s="12"/>
      <c r="T3229" s="8"/>
      <c r="U3229" s="8" t="s">
        <v>15219</v>
      </c>
      <c r="V3229" s="13" t="s">
        <v>15220</v>
      </c>
      <c r="W3229" s="13" t="s">
        <v>15221</v>
      </c>
      <c r="X3229" s="12"/>
      <c r="Y3229" s="14"/>
      <c r="Z3229" s="14"/>
    </row>
    <row r="3230">
      <c r="A3230" s="8" t="s">
        <v>15222</v>
      </c>
      <c r="B3230" s="8" t="s">
        <v>15223</v>
      </c>
      <c r="C3230" s="8" t="s">
        <v>179</v>
      </c>
      <c r="D3230" s="8" t="s">
        <v>26</v>
      </c>
      <c r="E3230" s="8" t="s">
        <v>15224</v>
      </c>
      <c r="F3230" s="8">
        <v>5.354785293E9</v>
      </c>
      <c r="G3230" s="8" t="s">
        <v>31</v>
      </c>
      <c r="H3230" s="8" t="s">
        <v>111</v>
      </c>
      <c r="I3230" s="8" t="s">
        <v>44</v>
      </c>
      <c r="J3230" s="8" t="s">
        <v>741</v>
      </c>
      <c r="K3230" s="10" t="s">
        <v>2675</v>
      </c>
      <c r="L3230" s="8" t="s">
        <v>58</v>
      </c>
      <c r="M3230" s="8" t="s">
        <v>35</v>
      </c>
      <c r="N3230" s="11">
        <v>45197.0</v>
      </c>
      <c r="O3230" s="11">
        <v>45474.0</v>
      </c>
      <c r="P3230" s="11">
        <v>45516.0</v>
      </c>
      <c r="Q3230" s="11"/>
      <c r="R3230" s="11"/>
      <c r="S3230" s="12"/>
      <c r="T3230" s="8"/>
      <c r="U3230" s="8" t="s">
        <v>59</v>
      </c>
      <c r="V3230" s="13" t="s">
        <v>545</v>
      </c>
      <c r="W3230" s="13" t="s">
        <v>15225</v>
      </c>
      <c r="X3230" s="12"/>
      <c r="Y3230" s="14"/>
      <c r="Z3230" s="14"/>
    </row>
    <row r="3231">
      <c r="A3231" s="8" t="s">
        <v>15226</v>
      </c>
      <c r="B3231" s="8" t="s">
        <v>15227</v>
      </c>
      <c r="C3231" s="8" t="s">
        <v>179</v>
      </c>
      <c r="D3231" s="8" t="s">
        <v>26</v>
      </c>
      <c r="E3231" s="8" t="s">
        <v>15228</v>
      </c>
      <c r="F3231" s="8">
        <v>5.383141325E9</v>
      </c>
      <c r="G3231" s="8" t="s">
        <v>31</v>
      </c>
      <c r="H3231" s="8" t="s">
        <v>86</v>
      </c>
      <c r="I3231" s="8" t="s">
        <v>44</v>
      </c>
      <c r="J3231" s="8" t="s">
        <v>741</v>
      </c>
      <c r="K3231" s="10" t="s">
        <v>2675</v>
      </c>
      <c r="L3231" s="8" t="s">
        <v>58</v>
      </c>
      <c r="M3231" s="8" t="s">
        <v>35</v>
      </c>
      <c r="N3231" s="11">
        <v>45197.0</v>
      </c>
      <c r="O3231" s="11">
        <v>45352.0</v>
      </c>
      <c r="P3231" s="11">
        <v>45394.0</v>
      </c>
      <c r="Q3231" s="11"/>
      <c r="R3231" s="11"/>
      <c r="S3231" s="12"/>
      <c r="T3231" s="8"/>
      <c r="U3231" s="8" t="s">
        <v>59</v>
      </c>
      <c r="V3231" s="13" t="s">
        <v>4798</v>
      </c>
      <c r="W3231" s="13" t="s">
        <v>15229</v>
      </c>
      <c r="X3231" s="12"/>
      <c r="Y3231" s="14"/>
      <c r="Z3231" s="14"/>
    </row>
    <row r="3232">
      <c r="A3232" s="8" t="s">
        <v>15230</v>
      </c>
      <c r="B3232" s="8" t="s">
        <v>15231</v>
      </c>
      <c r="C3232" s="8" t="s">
        <v>179</v>
      </c>
      <c r="D3232" s="8" t="s">
        <v>26</v>
      </c>
      <c r="E3232" s="8" t="s">
        <v>15232</v>
      </c>
      <c r="F3232" s="8">
        <v>1.150381019E9</v>
      </c>
      <c r="G3232" s="8" t="s">
        <v>284</v>
      </c>
      <c r="H3232" s="8" t="s">
        <v>1777</v>
      </c>
      <c r="I3232" s="8" t="s">
        <v>31</v>
      </c>
      <c r="J3232" s="8" t="s">
        <v>292</v>
      </c>
      <c r="K3232" s="10" t="s">
        <v>12973</v>
      </c>
      <c r="L3232" s="8" t="s">
        <v>58</v>
      </c>
      <c r="M3232" s="8" t="s">
        <v>35</v>
      </c>
      <c r="N3232" s="11">
        <v>45197.0</v>
      </c>
      <c r="O3232" s="11">
        <v>45327.0</v>
      </c>
      <c r="P3232" s="11">
        <v>45369.0</v>
      </c>
      <c r="Q3232" s="11"/>
      <c r="R3232" s="11"/>
      <c r="S3232" s="12"/>
      <c r="T3232" s="8"/>
      <c r="U3232" s="8" t="s">
        <v>88</v>
      </c>
      <c r="V3232" s="13" t="s">
        <v>2168</v>
      </c>
      <c r="W3232" s="13" t="s">
        <v>15233</v>
      </c>
      <c r="X3232" s="12"/>
      <c r="Y3232" s="14"/>
      <c r="Z3232" s="14"/>
    </row>
    <row r="3233">
      <c r="A3233" s="8" t="s">
        <v>15234</v>
      </c>
      <c r="B3233" s="8" t="s">
        <v>15235</v>
      </c>
      <c r="C3233" s="8" t="s">
        <v>64</v>
      </c>
      <c r="D3233" s="8" t="s">
        <v>26</v>
      </c>
      <c r="E3233" s="8" t="s">
        <v>15236</v>
      </c>
      <c r="F3233" s="8">
        <v>6.71226697E8</v>
      </c>
      <c r="G3233" s="8" t="s">
        <v>254</v>
      </c>
      <c r="H3233" s="8" t="s">
        <v>1007</v>
      </c>
      <c r="I3233" s="8" t="s">
        <v>31</v>
      </c>
      <c r="J3233" s="8" t="s">
        <v>86</v>
      </c>
      <c r="K3233" s="10" t="s">
        <v>416</v>
      </c>
      <c r="L3233" s="8" t="s">
        <v>58</v>
      </c>
      <c r="M3233" s="8" t="s">
        <v>35</v>
      </c>
      <c r="N3233" s="11">
        <v>45197.0</v>
      </c>
      <c r="O3233" s="11">
        <v>45214.0</v>
      </c>
      <c r="P3233" s="11">
        <v>45256.0</v>
      </c>
      <c r="Q3233" s="11">
        <v>45216.0</v>
      </c>
      <c r="R3233" s="11">
        <v>45256.0</v>
      </c>
      <c r="S3233" s="12"/>
      <c r="T3233" s="8"/>
      <c r="U3233" s="8" t="s">
        <v>59</v>
      </c>
      <c r="V3233" s="13" t="s">
        <v>1249</v>
      </c>
      <c r="W3233" s="13" t="s">
        <v>15237</v>
      </c>
      <c r="X3233" s="12"/>
      <c r="Y3233" s="14"/>
      <c r="Z3233" s="14"/>
    </row>
    <row r="3234">
      <c r="A3234" s="8" t="s">
        <v>15238</v>
      </c>
      <c r="B3234" s="8" t="s">
        <v>15239</v>
      </c>
      <c r="C3234" s="8" t="s">
        <v>708</v>
      </c>
      <c r="D3234" s="8" t="s">
        <v>26</v>
      </c>
      <c r="E3234" s="8" t="s">
        <v>15240</v>
      </c>
      <c r="F3234" s="8">
        <v>6.82448008E8</v>
      </c>
      <c r="G3234" s="8" t="s">
        <v>84</v>
      </c>
      <c r="H3234" s="8" t="s">
        <v>646</v>
      </c>
      <c r="I3234" s="8" t="s">
        <v>31</v>
      </c>
      <c r="J3234" s="8" t="s">
        <v>220</v>
      </c>
      <c r="K3234" s="10" t="s">
        <v>15241</v>
      </c>
      <c r="L3234" s="8" t="s">
        <v>34</v>
      </c>
      <c r="M3234" s="8" t="s">
        <v>70</v>
      </c>
      <c r="N3234" s="11">
        <v>45197.0</v>
      </c>
      <c r="O3234" s="11">
        <v>45214.0</v>
      </c>
      <c r="P3234" s="11">
        <v>45578.0</v>
      </c>
      <c r="Q3234" s="11">
        <v>45297.0</v>
      </c>
      <c r="R3234" s="11">
        <v>45661.0</v>
      </c>
      <c r="S3234" s="12"/>
      <c r="T3234" s="8" t="s">
        <v>121</v>
      </c>
      <c r="U3234" s="8" t="s">
        <v>12715</v>
      </c>
      <c r="V3234" s="13" t="s">
        <v>649</v>
      </c>
      <c r="W3234" s="13" t="s">
        <v>15242</v>
      </c>
      <c r="X3234" s="12"/>
      <c r="Y3234" s="14"/>
      <c r="Z3234" s="14"/>
    </row>
    <row r="3235">
      <c r="A3235" s="8" t="s">
        <v>15243</v>
      </c>
      <c r="B3235" s="8" t="s">
        <v>15244</v>
      </c>
      <c r="C3235" s="8" t="s">
        <v>179</v>
      </c>
      <c r="D3235" s="8" t="s">
        <v>26</v>
      </c>
      <c r="E3235" s="8" t="s">
        <v>15245</v>
      </c>
      <c r="F3235" s="8">
        <v>5.322891205E9</v>
      </c>
      <c r="G3235" s="8" t="s">
        <v>31</v>
      </c>
      <c r="H3235" s="8" t="s">
        <v>542</v>
      </c>
      <c r="I3235" s="8" t="s">
        <v>284</v>
      </c>
      <c r="J3235" s="8" t="s">
        <v>3188</v>
      </c>
      <c r="K3235" s="10" t="s">
        <v>15246</v>
      </c>
      <c r="L3235" s="8" t="s">
        <v>47</v>
      </c>
      <c r="M3235" s="8" t="s">
        <v>35</v>
      </c>
      <c r="N3235" s="11">
        <v>45197.0</v>
      </c>
      <c r="O3235" s="11">
        <v>45474.0</v>
      </c>
      <c r="P3235" s="11">
        <v>45537.0</v>
      </c>
      <c r="Q3235" s="11"/>
      <c r="R3235" s="11"/>
      <c r="S3235" s="12"/>
      <c r="T3235" s="8"/>
      <c r="U3235" s="8" t="s">
        <v>15247</v>
      </c>
      <c r="V3235" s="13" t="s">
        <v>545</v>
      </c>
      <c r="W3235" s="13" t="s">
        <v>15248</v>
      </c>
      <c r="X3235" s="12"/>
      <c r="Y3235" s="14"/>
      <c r="Z3235" s="14"/>
    </row>
    <row r="3236">
      <c r="A3236" s="8" t="s">
        <v>15249</v>
      </c>
      <c r="B3236" s="8" t="s">
        <v>12994</v>
      </c>
      <c r="C3236" s="8" t="s">
        <v>179</v>
      </c>
      <c r="D3236" s="8" t="s">
        <v>26</v>
      </c>
      <c r="E3236" s="8" t="s">
        <v>15250</v>
      </c>
      <c r="F3236" s="8">
        <v>5.5045825E8</v>
      </c>
      <c r="G3236" s="8" t="s">
        <v>254</v>
      </c>
      <c r="H3236" s="8" t="s">
        <v>1007</v>
      </c>
      <c r="I3236" s="8" t="s">
        <v>31</v>
      </c>
      <c r="J3236" s="8" t="s">
        <v>66</v>
      </c>
      <c r="K3236" s="10" t="s">
        <v>11442</v>
      </c>
      <c r="L3236" s="8" t="s">
        <v>47</v>
      </c>
      <c r="M3236" s="8" t="s">
        <v>70</v>
      </c>
      <c r="N3236" s="11">
        <v>45197.0</v>
      </c>
      <c r="O3236" s="11">
        <v>45208.0</v>
      </c>
      <c r="P3236" s="11">
        <v>45570.0</v>
      </c>
      <c r="Q3236" s="11"/>
      <c r="R3236" s="11"/>
      <c r="S3236" s="12"/>
      <c r="T3236" s="8"/>
      <c r="U3236" s="8" t="s">
        <v>11443</v>
      </c>
      <c r="V3236" s="13" t="s">
        <v>1249</v>
      </c>
      <c r="W3236" s="13" t="s">
        <v>15251</v>
      </c>
      <c r="X3236" s="12"/>
      <c r="Y3236" s="14"/>
      <c r="Z3236" s="14"/>
    </row>
    <row r="3237">
      <c r="A3237" s="8" t="s">
        <v>15252</v>
      </c>
      <c r="B3237" s="8" t="s">
        <v>15253</v>
      </c>
      <c r="C3237" s="8" t="s">
        <v>708</v>
      </c>
      <c r="D3237" s="8" t="s">
        <v>26</v>
      </c>
      <c r="E3237" s="8" t="s">
        <v>15254</v>
      </c>
      <c r="F3237" s="8">
        <v>5.54683665E8</v>
      </c>
      <c r="G3237" s="8" t="s">
        <v>254</v>
      </c>
      <c r="H3237" s="8" t="s">
        <v>255</v>
      </c>
      <c r="I3237" s="8" t="s">
        <v>31</v>
      </c>
      <c r="J3237" s="8" t="s">
        <v>438</v>
      </c>
      <c r="K3237" s="10" t="s">
        <v>4534</v>
      </c>
      <c r="L3237" s="8" t="s">
        <v>47</v>
      </c>
      <c r="M3237" s="8" t="s">
        <v>70</v>
      </c>
      <c r="N3237" s="11">
        <v>45197.0</v>
      </c>
      <c r="O3237" s="11">
        <v>45203.0</v>
      </c>
      <c r="P3237" s="11">
        <v>45568.0</v>
      </c>
      <c r="Q3237" s="11">
        <v>45199.0</v>
      </c>
      <c r="R3237" s="11">
        <v>45568.0</v>
      </c>
      <c r="S3237" s="12"/>
      <c r="T3237" s="8"/>
      <c r="U3237" s="8" t="s">
        <v>246</v>
      </c>
      <c r="V3237" s="13" t="s">
        <v>38</v>
      </c>
      <c r="W3237" s="13" t="s">
        <v>15255</v>
      </c>
      <c r="X3237" s="12"/>
      <c r="Y3237" s="14"/>
      <c r="Z3237" s="14"/>
    </row>
    <row r="3238">
      <c r="A3238" s="8" t="s">
        <v>15256</v>
      </c>
      <c r="B3238" s="8" t="s">
        <v>15257</v>
      </c>
      <c r="C3238" s="8" t="s">
        <v>179</v>
      </c>
      <c r="D3238" s="8" t="s">
        <v>26</v>
      </c>
      <c r="E3238" s="8" t="s">
        <v>15258</v>
      </c>
      <c r="F3238" s="8">
        <v>7.16611932E8</v>
      </c>
      <c r="G3238" s="8" t="s">
        <v>399</v>
      </c>
      <c r="H3238" s="8" t="s">
        <v>4868</v>
      </c>
      <c r="I3238" s="8" t="s">
        <v>31</v>
      </c>
      <c r="J3238" s="8" t="s">
        <v>66</v>
      </c>
      <c r="K3238" s="10" t="s">
        <v>15083</v>
      </c>
      <c r="L3238" s="8" t="s">
        <v>47</v>
      </c>
      <c r="M3238" s="8" t="s">
        <v>70</v>
      </c>
      <c r="N3238" s="11">
        <v>45198.0</v>
      </c>
      <c r="O3238" s="11">
        <v>45207.0</v>
      </c>
      <c r="P3238" s="11">
        <v>45571.0</v>
      </c>
      <c r="Q3238" s="11"/>
      <c r="R3238" s="11"/>
      <c r="S3238" s="12"/>
      <c r="T3238" s="8"/>
      <c r="U3238" s="8" t="s">
        <v>246</v>
      </c>
      <c r="V3238" s="13" t="s">
        <v>38</v>
      </c>
      <c r="W3238" s="13" t="s">
        <v>15259</v>
      </c>
      <c r="X3238" s="12"/>
      <c r="Y3238" s="14"/>
      <c r="Z3238" s="14"/>
    </row>
    <row r="3239">
      <c r="A3239" s="8" t="s">
        <v>15260</v>
      </c>
      <c r="B3239" s="8" t="s">
        <v>15261</v>
      </c>
      <c r="C3239" s="8" t="s">
        <v>179</v>
      </c>
      <c r="D3239" s="8" t="s">
        <v>26</v>
      </c>
      <c r="E3239" s="8" t="s">
        <v>15262</v>
      </c>
      <c r="F3239" s="8">
        <v>9.0365915E7</v>
      </c>
      <c r="G3239" s="8" t="s">
        <v>54</v>
      </c>
      <c r="H3239" s="8" t="s">
        <v>76</v>
      </c>
      <c r="I3239" s="8" t="s">
        <v>31</v>
      </c>
      <c r="J3239" s="8" t="s">
        <v>86</v>
      </c>
      <c r="K3239" s="10" t="s">
        <v>15200</v>
      </c>
      <c r="L3239" s="8" t="s">
        <v>58</v>
      </c>
      <c r="M3239" s="8" t="s">
        <v>35</v>
      </c>
      <c r="N3239" s="11">
        <v>45198.0</v>
      </c>
      <c r="O3239" s="11">
        <v>45474.0</v>
      </c>
      <c r="P3239" s="11">
        <v>45516.0</v>
      </c>
      <c r="Q3239" s="11"/>
      <c r="R3239" s="11"/>
      <c r="S3239" s="12"/>
      <c r="T3239" s="8"/>
      <c r="U3239" s="8" t="s">
        <v>59</v>
      </c>
      <c r="V3239" s="13" t="s">
        <v>15263</v>
      </c>
      <c r="W3239" s="13" t="s">
        <v>15264</v>
      </c>
      <c r="X3239" s="12"/>
      <c r="Y3239" s="14"/>
      <c r="Z3239" s="14"/>
    </row>
    <row r="3240">
      <c r="A3240" s="8" t="s">
        <v>15265</v>
      </c>
      <c r="B3240" s="8" t="s">
        <v>15266</v>
      </c>
      <c r="C3240" s="8" t="s">
        <v>179</v>
      </c>
      <c r="D3240" s="8" t="s">
        <v>26</v>
      </c>
      <c r="E3240" s="8" t="s">
        <v>15267</v>
      </c>
      <c r="F3240" s="8">
        <v>5.363435105E9</v>
      </c>
      <c r="G3240" s="8" t="s">
        <v>31</v>
      </c>
      <c r="H3240" s="8" t="s">
        <v>542</v>
      </c>
      <c r="I3240" s="8" t="s">
        <v>284</v>
      </c>
      <c r="J3240" s="8" t="s">
        <v>589</v>
      </c>
      <c r="K3240" s="10" t="s">
        <v>4590</v>
      </c>
      <c r="L3240" s="8" t="s">
        <v>58</v>
      </c>
      <c r="M3240" s="8" t="s">
        <v>35</v>
      </c>
      <c r="N3240" s="11">
        <v>45198.0</v>
      </c>
      <c r="O3240" s="11">
        <v>45498.0</v>
      </c>
      <c r="P3240" s="11">
        <v>45540.0</v>
      </c>
      <c r="Q3240" s="11"/>
      <c r="R3240" s="11"/>
      <c r="S3240" s="12"/>
      <c r="T3240" s="8"/>
      <c r="U3240" s="8" t="s">
        <v>632</v>
      </c>
      <c r="V3240" s="13" t="s">
        <v>545</v>
      </c>
      <c r="W3240" s="13" t="s">
        <v>15268</v>
      </c>
      <c r="X3240" s="12"/>
      <c r="Y3240" s="14"/>
      <c r="Z3240" s="14"/>
    </row>
    <row r="3241">
      <c r="A3241" s="8" t="s">
        <v>15269</v>
      </c>
      <c r="B3241" s="8" t="s">
        <v>15270</v>
      </c>
      <c r="C3241" s="8" t="s">
        <v>179</v>
      </c>
      <c r="D3241" s="8" t="s">
        <v>26</v>
      </c>
      <c r="E3241" s="8" t="s">
        <v>15271</v>
      </c>
      <c r="F3241" s="8"/>
      <c r="G3241" s="8" t="s">
        <v>31</v>
      </c>
      <c r="H3241" s="8" t="s">
        <v>111</v>
      </c>
      <c r="I3241" s="8" t="s">
        <v>284</v>
      </c>
      <c r="J3241" s="8" t="s">
        <v>1450</v>
      </c>
      <c r="K3241" s="10" t="s">
        <v>11291</v>
      </c>
      <c r="L3241" s="8" t="s">
        <v>58</v>
      </c>
      <c r="M3241" s="8" t="s">
        <v>35</v>
      </c>
      <c r="N3241" s="11">
        <v>45198.0</v>
      </c>
      <c r="O3241" s="11">
        <v>45474.0</v>
      </c>
      <c r="P3241" s="11">
        <v>45516.0</v>
      </c>
      <c r="Q3241" s="11"/>
      <c r="R3241" s="11"/>
      <c r="S3241" s="12"/>
      <c r="T3241" s="8"/>
      <c r="U3241" s="8" t="s">
        <v>1038</v>
      </c>
      <c r="V3241" s="13" t="s">
        <v>38</v>
      </c>
      <c r="W3241" s="13" t="s">
        <v>15272</v>
      </c>
      <c r="X3241" s="12"/>
      <c r="Y3241" s="14"/>
      <c r="Z3241" s="14"/>
    </row>
    <row r="3242">
      <c r="A3242" s="8" t="s">
        <v>15273</v>
      </c>
      <c r="B3242" s="8" t="s">
        <v>15274</v>
      </c>
      <c r="C3242" s="8" t="s">
        <v>179</v>
      </c>
      <c r="D3242" s="8" t="s">
        <v>26</v>
      </c>
      <c r="E3242" s="8" t="s">
        <v>15275</v>
      </c>
      <c r="F3242" s="8"/>
      <c r="G3242" s="8" t="s">
        <v>284</v>
      </c>
      <c r="H3242" s="8" t="s">
        <v>691</v>
      </c>
      <c r="I3242" s="8" t="s">
        <v>31</v>
      </c>
      <c r="J3242" s="8" t="s">
        <v>43</v>
      </c>
      <c r="K3242" s="10" t="s">
        <v>12504</v>
      </c>
      <c r="L3242" s="8" t="s">
        <v>58</v>
      </c>
      <c r="M3242" s="8" t="s">
        <v>35</v>
      </c>
      <c r="N3242" s="11">
        <v>45198.0</v>
      </c>
      <c r="O3242" s="11">
        <v>45411.0</v>
      </c>
      <c r="P3242" s="11">
        <v>45457.0</v>
      </c>
      <c r="Q3242" s="11"/>
      <c r="R3242" s="11"/>
      <c r="S3242" s="12"/>
      <c r="T3242" s="8"/>
      <c r="U3242" s="8" t="s">
        <v>59</v>
      </c>
      <c r="V3242" s="13" t="s">
        <v>38</v>
      </c>
      <c r="W3242" s="13" t="s">
        <v>15276</v>
      </c>
      <c r="X3242" s="12"/>
      <c r="Y3242" s="14"/>
      <c r="Z3242" s="14"/>
    </row>
    <row r="3243">
      <c r="A3243" s="8" t="s">
        <v>15277</v>
      </c>
      <c r="B3243" s="8" t="s">
        <v>13636</v>
      </c>
      <c r="C3243" s="8" t="s">
        <v>179</v>
      </c>
      <c r="D3243" s="8" t="s">
        <v>26</v>
      </c>
      <c r="E3243" s="8" t="s">
        <v>13637</v>
      </c>
      <c r="F3243" s="8">
        <v>5.304421017E9</v>
      </c>
      <c r="G3243" s="8" t="s">
        <v>31</v>
      </c>
      <c r="H3243" s="8" t="s">
        <v>43</v>
      </c>
      <c r="I3243" s="8" t="s">
        <v>284</v>
      </c>
      <c r="J3243" s="8" t="s">
        <v>2065</v>
      </c>
      <c r="K3243" s="10" t="s">
        <v>15278</v>
      </c>
      <c r="L3243" s="8" t="s">
        <v>58</v>
      </c>
      <c r="M3243" s="8" t="s">
        <v>35</v>
      </c>
      <c r="N3243" s="11">
        <v>45198.0</v>
      </c>
      <c r="O3243" s="11">
        <v>45323.0</v>
      </c>
      <c r="P3243" s="11">
        <v>45365.0</v>
      </c>
      <c r="Q3243" s="11"/>
      <c r="R3243" s="11"/>
      <c r="S3243" s="12"/>
      <c r="T3243" s="8"/>
      <c r="U3243" s="8" t="s">
        <v>59</v>
      </c>
      <c r="V3243" s="13" t="s">
        <v>43</v>
      </c>
      <c r="W3243" s="13" t="s">
        <v>13639</v>
      </c>
      <c r="X3243" s="12"/>
      <c r="Y3243" s="14"/>
      <c r="Z3243" s="14"/>
    </row>
    <row r="3244">
      <c r="A3244" s="8" t="s">
        <v>15279</v>
      </c>
      <c r="B3244" s="8" t="s">
        <v>15280</v>
      </c>
      <c r="C3244" s="8" t="s">
        <v>179</v>
      </c>
      <c r="D3244" s="8" t="s">
        <v>26</v>
      </c>
      <c r="E3244" s="8" t="s">
        <v>15281</v>
      </c>
      <c r="F3244" s="8">
        <v>5.453533461E9</v>
      </c>
      <c r="G3244" s="8" t="s">
        <v>31</v>
      </c>
      <c r="H3244" s="8" t="s">
        <v>111</v>
      </c>
      <c r="I3244" s="8" t="s">
        <v>284</v>
      </c>
      <c r="J3244" s="8" t="s">
        <v>1777</v>
      </c>
      <c r="K3244" s="10" t="s">
        <v>15282</v>
      </c>
      <c r="L3244" s="8" t="s">
        <v>58</v>
      </c>
      <c r="M3244" s="8" t="s">
        <v>35</v>
      </c>
      <c r="N3244" s="11">
        <v>45198.0</v>
      </c>
      <c r="O3244" s="11">
        <v>45488.0</v>
      </c>
      <c r="P3244" s="11">
        <v>45530.0</v>
      </c>
      <c r="Q3244" s="11"/>
      <c r="R3244" s="11"/>
      <c r="S3244" s="12"/>
      <c r="T3244" s="8"/>
      <c r="U3244" s="8" t="s">
        <v>161</v>
      </c>
      <c r="V3244" s="13" t="s">
        <v>38</v>
      </c>
      <c r="W3244" s="13" t="s">
        <v>15283</v>
      </c>
      <c r="X3244" s="12"/>
      <c r="Y3244" s="14"/>
      <c r="Z3244" s="14"/>
    </row>
    <row r="3245">
      <c r="A3245" s="8" t="s">
        <v>15284</v>
      </c>
      <c r="B3245" s="8" t="s">
        <v>15285</v>
      </c>
      <c r="C3245" s="8" t="s">
        <v>708</v>
      </c>
      <c r="D3245" s="8" t="s">
        <v>26</v>
      </c>
      <c r="E3245" s="8" t="s">
        <v>15286</v>
      </c>
      <c r="F3245" s="8">
        <v>7.059818214E9</v>
      </c>
      <c r="G3245" s="8" t="s">
        <v>496</v>
      </c>
      <c r="H3245" s="8" t="s">
        <v>497</v>
      </c>
      <c r="I3245" s="8" t="s">
        <v>31</v>
      </c>
      <c r="J3245" s="8" t="s">
        <v>111</v>
      </c>
      <c r="K3245" s="10" t="s">
        <v>910</v>
      </c>
      <c r="L3245" s="8" t="s">
        <v>47</v>
      </c>
      <c r="M3245" s="8" t="s">
        <v>70</v>
      </c>
      <c r="N3245" s="11">
        <v>45198.0</v>
      </c>
      <c r="O3245" s="11">
        <v>45209.0</v>
      </c>
      <c r="P3245" s="11">
        <v>45499.0</v>
      </c>
      <c r="Q3245" s="11">
        <v>45212.0</v>
      </c>
      <c r="R3245" s="11">
        <v>45502.0</v>
      </c>
      <c r="S3245" s="12"/>
      <c r="T3245" s="8"/>
      <c r="U3245" s="8" t="s">
        <v>246</v>
      </c>
      <c r="V3245" s="13" t="s">
        <v>500</v>
      </c>
      <c r="W3245" s="13" t="s">
        <v>15287</v>
      </c>
      <c r="X3245" s="12"/>
      <c r="Y3245" s="14"/>
      <c r="Z3245" s="14"/>
    </row>
    <row r="3246">
      <c r="A3246" s="8" t="s">
        <v>15288</v>
      </c>
      <c r="B3246" s="8" t="s">
        <v>15289</v>
      </c>
      <c r="C3246" s="8" t="s">
        <v>179</v>
      </c>
      <c r="D3246" s="8" t="s">
        <v>26</v>
      </c>
      <c r="E3246" s="8" t="s">
        <v>15290</v>
      </c>
      <c r="F3246" s="8"/>
      <c r="G3246" s="8" t="s">
        <v>31</v>
      </c>
      <c r="H3246" s="8" t="s">
        <v>86</v>
      </c>
      <c r="I3246" s="8" t="s">
        <v>6352</v>
      </c>
      <c r="J3246" s="8" t="s">
        <v>6353</v>
      </c>
      <c r="K3246" s="10" t="s">
        <v>15291</v>
      </c>
      <c r="L3246" s="8" t="s">
        <v>58</v>
      </c>
      <c r="M3246" s="8" t="s">
        <v>35</v>
      </c>
      <c r="N3246" s="11">
        <v>45198.0</v>
      </c>
      <c r="O3246" s="11">
        <v>45306.0</v>
      </c>
      <c r="P3246" s="11">
        <v>45348.0</v>
      </c>
      <c r="Q3246" s="11"/>
      <c r="R3246" s="11"/>
      <c r="S3246" s="12"/>
      <c r="T3246" s="8"/>
      <c r="U3246" s="8" t="s">
        <v>59</v>
      </c>
      <c r="V3246" s="13" t="s">
        <v>38</v>
      </c>
      <c r="W3246" s="13" t="s">
        <v>15292</v>
      </c>
      <c r="X3246" s="12"/>
      <c r="Y3246" s="14"/>
      <c r="Z3246" s="14"/>
    </row>
    <row r="3247">
      <c r="A3247" s="8" t="s">
        <v>15293</v>
      </c>
      <c r="B3247" s="8" t="s">
        <v>15294</v>
      </c>
      <c r="C3247" s="8" t="s">
        <v>708</v>
      </c>
      <c r="D3247" s="8" t="s">
        <v>26</v>
      </c>
      <c r="E3247" s="8" t="s">
        <v>15295</v>
      </c>
      <c r="F3247" s="8">
        <v>5.310861616E9</v>
      </c>
      <c r="G3247" s="8" t="s">
        <v>31</v>
      </c>
      <c r="H3247" s="8" t="s">
        <v>1119</v>
      </c>
      <c r="I3247" s="8" t="s">
        <v>44</v>
      </c>
      <c r="J3247" s="8" t="s">
        <v>881</v>
      </c>
      <c r="K3247" s="10" t="s">
        <v>15296</v>
      </c>
      <c r="L3247" s="8" t="s">
        <v>47</v>
      </c>
      <c r="M3247" s="8" t="s">
        <v>70</v>
      </c>
      <c r="N3247" s="11">
        <v>45198.0</v>
      </c>
      <c r="O3247" s="11">
        <v>45229.0</v>
      </c>
      <c r="P3247" s="11">
        <v>45595.0</v>
      </c>
      <c r="Q3247" s="11">
        <v>45229.0</v>
      </c>
      <c r="R3247" s="11">
        <v>45595.0</v>
      </c>
      <c r="S3247" s="12"/>
      <c r="T3247" s="8"/>
      <c r="U3247" s="8" t="s">
        <v>15297</v>
      </c>
      <c r="V3247" s="13" t="s">
        <v>1119</v>
      </c>
      <c r="W3247" s="13" t="s">
        <v>15298</v>
      </c>
      <c r="X3247" s="12"/>
      <c r="Y3247" s="14"/>
      <c r="Z3247" s="14"/>
    </row>
    <row r="3248">
      <c r="A3248" s="8" t="s">
        <v>15299</v>
      </c>
      <c r="B3248" s="8" t="s">
        <v>15300</v>
      </c>
      <c r="C3248" s="8" t="s">
        <v>179</v>
      </c>
      <c r="D3248" s="8" t="s">
        <v>26</v>
      </c>
      <c r="E3248" s="8" t="s">
        <v>15301</v>
      </c>
      <c r="F3248" s="8"/>
      <c r="G3248" s="8" t="s">
        <v>1620</v>
      </c>
      <c r="H3248" s="8" t="s">
        <v>1621</v>
      </c>
      <c r="I3248" s="8" t="s">
        <v>31</v>
      </c>
      <c r="J3248" s="8" t="s">
        <v>86</v>
      </c>
      <c r="K3248" s="10" t="s">
        <v>15302</v>
      </c>
      <c r="L3248" s="8" t="s">
        <v>58</v>
      </c>
      <c r="M3248" s="8" t="s">
        <v>35</v>
      </c>
      <c r="N3248" s="11">
        <v>45199.0</v>
      </c>
      <c r="O3248" s="11">
        <v>45375.0</v>
      </c>
      <c r="P3248" s="11">
        <v>45417.0</v>
      </c>
      <c r="Q3248" s="11"/>
      <c r="R3248" s="11"/>
      <c r="S3248" s="12"/>
      <c r="T3248" s="8"/>
      <c r="U3248" s="8" t="s">
        <v>185</v>
      </c>
      <c r="V3248" s="13" t="s">
        <v>38</v>
      </c>
      <c r="W3248" s="13" t="s">
        <v>15303</v>
      </c>
      <c r="X3248" s="12"/>
      <c r="Y3248" s="14"/>
      <c r="Z3248" s="14"/>
    </row>
    <row r="3249">
      <c r="A3249" s="8" t="s">
        <v>15304</v>
      </c>
      <c r="B3249" s="8" t="s">
        <v>15305</v>
      </c>
      <c r="C3249" s="8" t="s">
        <v>179</v>
      </c>
      <c r="D3249" s="8" t="s">
        <v>26</v>
      </c>
      <c r="E3249" s="8" t="s">
        <v>15306</v>
      </c>
      <c r="F3249" s="8">
        <v>2.699293E7</v>
      </c>
      <c r="G3249" s="8" t="s">
        <v>54</v>
      </c>
      <c r="H3249" s="8" t="s">
        <v>76</v>
      </c>
      <c r="I3249" s="8" t="s">
        <v>31</v>
      </c>
      <c r="J3249" s="8" t="s">
        <v>86</v>
      </c>
      <c r="K3249" s="10" t="s">
        <v>2453</v>
      </c>
      <c r="L3249" s="8" t="s">
        <v>58</v>
      </c>
      <c r="M3249" s="8" t="s">
        <v>35</v>
      </c>
      <c r="N3249" s="11">
        <v>45199.0</v>
      </c>
      <c r="O3249" s="11">
        <v>45474.0</v>
      </c>
      <c r="P3249" s="11">
        <v>45516.0</v>
      </c>
      <c r="Q3249" s="11"/>
      <c r="R3249" s="11"/>
      <c r="S3249" s="12"/>
      <c r="T3249" s="8"/>
      <c r="U3249" s="8" t="s">
        <v>59</v>
      </c>
      <c r="V3249" s="13" t="s">
        <v>14544</v>
      </c>
      <c r="W3249" s="13" t="s">
        <v>15307</v>
      </c>
      <c r="X3249" s="12"/>
      <c r="Y3249" s="14"/>
      <c r="Z3249" s="14"/>
    </row>
    <row r="3250">
      <c r="A3250" s="8" t="s">
        <v>15308</v>
      </c>
      <c r="B3250" s="8" t="s">
        <v>15309</v>
      </c>
      <c r="C3250" s="8" t="s">
        <v>179</v>
      </c>
      <c r="D3250" s="8" t="s">
        <v>26</v>
      </c>
      <c r="E3250" s="8" t="s">
        <v>15310</v>
      </c>
      <c r="F3250" s="8">
        <v>5.53947667E9</v>
      </c>
      <c r="G3250" s="8" t="s">
        <v>31</v>
      </c>
      <c r="H3250" s="8" t="s">
        <v>220</v>
      </c>
      <c r="I3250" s="8" t="s">
        <v>284</v>
      </c>
      <c r="J3250" s="8" t="s">
        <v>1777</v>
      </c>
      <c r="K3250" s="10" t="s">
        <v>14873</v>
      </c>
      <c r="L3250" s="8" t="s">
        <v>58</v>
      </c>
      <c r="M3250" s="8" t="s">
        <v>35</v>
      </c>
      <c r="N3250" s="11">
        <v>45199.0</v>
      </c>
      <c r="O3250" s="11">
        <v>45337.0</v>
      </c>
      <c r="P3250" s="11">
        <v>45379.0</v>
      </c>
      <c r="Q3250" s="11"/>
      <c r="R3250" s="11"/>
      <c r="S3250" s="12"/>
      <c r="T3250" s="8"/>
      <c r="U3250" s="8" t="s">
        <v>59</v>
      </c>
      <c r="V3250" s="13" t="s">
        <v>220</v>
      </c>
      <c r="W3250" s="13" t="s">
        <v>15311</v>
      </c>
      <c r="X3250" s="12"/>
      <c r="Y3250" s="14"/>
      <c r="Z3250" s="14"/>
    </row>
    <row r="3251">
      <c r="A3251" s="8" t="s">
        <v>15312</v>
      </c>
      <c r="B3251" s="8" t="s">
        <v>15313</v>
      </c>
      <c r="C3251" s="8" t="s">
        <v>64</v>
      </c>
      <c r="D3251" s="8" t="s">
        <v>26</v>
      </c>
      <c r="E3251" s="8" t="s">
        <v>15314</v>
      </c>
      <c r="F3251" s="8">
        <v>5.372198902E9</v>
      </c>
      <c r="G3251" s="8" t="s">
        <v>31</v>
      </c>
      <c r="H3251" s="8" t="s">
        <v>292</v>
      </c>
      <c r="I3251" s="8" t="s">
        <v>127</v>
      </c>
      <c r="J3251" s="8" t="s">
        <v>6099</v>
      </c>
      <c r="K3251" s="10" t="s">
        <v>15315</v>
      </c>
      <c r="L3251" s="8" t="s">
        <v>34</v>
      </c>
      <c r="M3251" s="8" t="s">
        <v>35</v>
      </c>
      <c r="N3251" s="11">
        <v>45199.0</v>
      </c>
      <c r="O3251" s="11">
        <v>45263.0</v>
      </c>
      <c r="P3251" s="11">
        <v>45318.0</v>
      </c>
      <c r="Q3251" s="11">
        <v>45263.0</v>
      </c>
      <c r="R3251" s="11">
        <v>45318.0</v>
      </c>
      <c r="S3251" s="12"/>
      <c r="T3251" s="8" t="s">
        <v>205</v>
      </c>
      <c r="U3251" s="8" t="s">
        <v>15316</v>
      </c>
      <c r="V3251" s="13" t="s">
        <v>292</v>
      </c>
      <c r="W3251" s="13" t="s">
        <v>15317</v>
      </c>
      <c r="X3251" s="12"/>
      <c r="Y3251" s="14"/>
      <c r="Z3251" s="14"/>
    </row>
    <row r="3252">
      <c r="A3252" s="8" t="s">
        <v>15318</v>
      </c>
      <c r="B3252" s="8" t="s">
        <v>15319</v>
      </c>
      <c r="C3252" s="8" t="s">
        <v>179</v>
      </c>
      <c r="D3252" s="8" t="s">
        <v>26</v>
      </c>
      <c r="E3252" s="8" t="s">
        <v>15320</v>
      </c>
      <c r="F3252" s="8">
        <v>5.358279055E9</v>
      </c>
      <c r="G3252" s="8" t="s">
        <v>31</v>
      </c>
      <c r="H3252" s="8" t="s">
        <v>220</v>
      </c>
      <c r="I3252" s="8" t="s">
        <v>284</v>
      </c>
      <c r="J3252" s="8" t="s">
        <v>1777</v>
      </c>
      <c r="K3252" s="10" t="s">
        <v>14873</v>
      </c>
      <c r="L3252" s="8" t="s">
        <v>58</v>
      </c>
      <c r="M3252" s="8" t="s">
        <v>35</v>
      </c>
      <c r="N3252" s="11">
        <v>45199.0</v>
      </c>
      <c r="O3252" s="11">
        <v>45337.0</v>
      </c>
      <c r="P3252" s="11">
        <v>45379.0</v>
      </c>
      <c r="Q3252" s="11"/>
      <c r="R3252" s="11"/>
      <c r="S3252" s="12"/>
      <c r="T3252" s="8"/>
      <c r="U3252" s="8" t="s">
        <v>59</v>
      </c>
      <c r="V3252" s="13" t="s">
        <v>220</v>
      </c>
      <c r="W3252" s="13" t="s">
        <v>15321</v>
      </c>
      <c r="X3252" s="12"/>
      <c r="Y3252" s="14"/>
      <c r="Z3252" s="14"/>
    </row>
    <row r="3253">
      <c r="A3253" s="8" t="s">
        <v>15322</v>
      </c>
      <c r="B3253" s="8" t="s">
        <v>15323</v>
      </c>
      <c r="C3253" s="8" t="s">
        <v>179</v>
      </c>
      <c r="D3253" s="8" t="s">
        <v>26</v>
      </c>
      <c r="E3253" s="8" t="s">
        <v>15324</v>
      </c>
      <c r="F3253" s="8">
        <v>1.120783035E9</v>
      </c>
      <c r="G3253" s="8" t="s">
        <v>284</v>
      </c>
      <c r="H3253" s="8" t="s">
        <v>691</v>
      </c>
      <c r="I3253" s="8" t="s">
        <v>31</v>
      </c>
      <c r="J3253" s="8" t="s">
        <v>43</v>
      </c>
      <c r="K3253" s="10" t="s">
        <v>2922</v>
      </c>
      <c r="L3253" s="8" t="s">
        <v>58</v>
      </c>
      <c r="M3253" s="8" t="s">
        <v>35</v>
      </c>
      <c r="N3253" s="11">
        <v>45199.0</v>
      </c>
      <c r="O3253" s="11">
        <v>45474.0</v>
      </c>
      <c r="P3253" s="11">
        <v>45516.0</v>
      </c>
      <c r="Q3253" s="11"/>
      <c r="R3253" s="11"/>
      <c r="S3253" s="12"/>
      <c r="T3253" s="8"/>
      <c r="U3253" s="8" t="s">
        <v>59</v>
      </c>
      <c r="V3253" s="13" t="s">
        <v>692</v>
      </c>
      <c r="W3253" s="13" t="s">
        <v>15325</v>
      </c>
      <c r="X3253" s="12"/>
      <c r="Y3253" s="14"/>
      <c r="Z3253" s="14"/>
    </row>
    <row r="3254">
      <c r="A3254" s="8" t="s">
        <v>15326</v>
      </c>
      <c r="B3254" s="8" t="s">
        <v>15327</v>
      </c>
      <c r="C3254" s="8" t="s">
        <v>179</v>
      </c>
      <c r="D3254" s="8" t="s">
        <v>26</v>
      </c>
      <c r="E3254" s="8" t="s">
        <v>15328</v>
      </c>
      <c r="F3254" s="8">
        <v>5.536682308E9</v>
      </c>
      <c r="G3254" s="8" t="s">
        <v>31</v>
      </c>
      <c r="H3254" s="8" t="s">
        <v>102</v>
      </c>
      <c r="I3254" s="8" t="s">
        <v>2680</v>
      </c>
      <c r="J3254" s="8" t="s">
        <v>2681</v>
      </c>
      <c r="K3254" s="10" t="s">
        <v>15329</v>
      </c>
      <c r="L3254" s="8" t="s">
        <v>34</v>
      </c>
      <c r="M3254" s="8" t="s">
        <v>70</v>
      </c>
      <c r="N3254" s="11">
        <v>45199.0</v>
      </c>
      <c r="O3254" s="11">
        <v>45261.0</v>
      </c>
      <c r="P3254" s="11">
        <v>45626.0</v>
      </c>
      <c r="Q3254" s="11"/>
      <c r="R3254" s="11"/>
      <c r="S3254" s="12"/>
      <c r="T3254" s="8" t="s">
        <v>446</v>
      </c>
      <c r="U3254" s="8" t="s">
        <v>15330</v>
      </c>
      <c r="V3254" s="13" t="s">
        <v>102</v>
      </c>
      <c r="W3254" s="13" t="s">
        <v>15331</v>
      </c>
      <c r="X3254" s="12"/>
      <c r="Y3254" s="14"/>
      <c r="Z3254" s="14"/>
    </row>
    <row r="3255">
      <c r="A3255" s="8" t="s">
        <v>15332</v>
      </c>
      <c r="B3255" s="8" t="s">
        <v>15333</v>
      </c>
      <c r="C3255" s="8" t="s">
        <v>179</v>
      </c>
      <c r="D3255" s="8" t="s">
        <v>26</v>
      </c>
      <c r="E3255" s="8" t="s">
        <v>15334</v>
      </c>
      <c r="F3255" s="8">
        <v>5.512772334E9</v>
      </c>
      <c r="G3255" s="8" t="s">
        <v>31</v>
      </c>
      <c r="H3255" s="8" t="s">
        <v>542</v>
      </c>
      <c r="I3255" s="8" t="s">
        <v>284</v>
      </c>
      <c r="J3255" s="8" t="s">
        <v>285</v>
      </c>
      <c r="K3255" s="10" t="s">
        <v>15335</v>
      </c>
      <c r="L3255" s="8" t="s">
        <v>58</v>
      </c>
      <c r="M3255" s="8" t="s">
        <v>35</v>
      </c>
      <c r="N3255" s="11">
        <v>45199.0</v>
      </c>
      <c r="O3255" s="11">
        <v>45474.0</v>
      </c>
      <c r="P3255" s="11">
        <v>45516.0</v>
      </c>
      <c r="Q3255" s="11"/>
      <c r="R3255" s="11"/>
      <c r="S3255" s="12"/>
      <c r="T3255" s="8"/>
      <c r="U3255" s="8" t="s">
        <v>153</v>
      </c>
      <c r="V3255" s="13" t="s">
        <v>545</v>
      </c>
      <c r="W3255" s="13" t="s">
        <v>15336</v>
      </c>
      <c r="X3255" s="12"/>
      <c r="Y3255" s="14"/>
      <c r="Z3255" s="14"/>
    </row>
    <row r="3256">
      <c r="A3256" s="8" t="s">
        <v>15337</v>
      </c>
      <c r="B3256" s="8" t="s">
        <v>15338</v>
      </c>
      <c r="C3256" s="8" t="s">
        <v>179</v>
      </c>
      <c r="D3256" s="8" t="s">
        <v>26</v>
      </c>
      <c r="E3256" s="8" t="s">
        <v>15339</v>
      </c>
      <c r="F3256" s="8"/>
      <c r="G3256" s="8" t="s">
        <v>1620</v>
      </c>
      <c r="H3256" s="8" t="s">
        <v>1621</v>
      </c>
      <c r="I3256" s="8" t="s">
        <v>31</v>
      </c>
      <c r="J3256" s="8" t="s">
        <v>43</v>
      </c>
      <c r="K3256" s="10" t="s">
        <v>837</v>
      </c>
      <c r="L3256" s="8" t="s">
        <v>58</v>
      </c>
      <c r="M3256" s="8" t="s">
        <v>35</v>
      </c>
      <c r="N3256" s="11">
        <v>45199.0</v>
      </c>
      <c r="O3256" s="11">
        <v>45474.0</v>
      </c>
      <c r="P3256" s="11">
        <v>45516.0</v>
      </c>
      <c r="Q3256" s="11"/>
      <c r="R3256" s="11"/>
      <c r="S3256" s="12"/>
      <c r="T3256" s="8"/>
      <c r="U3256" s="8" t="s">
        <v>130</v>
      </c>
      <c r="V3256" s="13" t="s">
        <v>13760</v>
      </c>
      <c r="W3256" s="13" t="s">
        <v>15340</v>
      </c>
      <c r="X3256" s="12"/>
      <c r="Y3256" s="14"/>
      <c r="Z3256" s="14"/>
    </row>
    <row r="3257">
      <c r="A3257" s="8" t="s">
        <v>15341</v>
      </c>
      <c r="B3257" s="8" t="s">
        <v>15342</v>
      </c>
      <c r="C3257" s="8" t="s">
        <v>179</v>
      </c>
      <c r="D3257" s="8" t="s">
        <v>26</v>
      </c>
      <c r="E3257" s="8" t="s">
        <v>15343</v>
      </c>
      <c r="F3257" s="8">
        <v>6.77414092E8</v>
      </c>
      <c r="G3257" s="8" t="s">
        <v>1620</v>
      </c>
      <c r="H3257" s="8" t="s">
        <v>3655</v>
      </c>
      <c r="I3257" s="8" t="s">
        <v>31</v>
      </c>
      <c r="J3257" s="8" t="s">
        <v>86</v>
      </c>
      <c r="K3257" s="10" t="s">
        <v>416</v>
      </c>
      <c r="L3257" s="8" t="s">
        <v>58</v>
      </c>
      <c r="M3257" s="8" t="s">
        <v>35</v>
      </c>
      <c r="N3257" s="11">
        <v>45199.0</v>
      </c>
      <c r="O3257" s="11">
        <v>45483.0</v>
      </c>
      <c r="P3257" s="11">
        <v>45525.0</v>
      </c>
      <c r="Q3257" s="11"/>
      <c r="R3257" s="11"/>
      <c r="S3257" s="12"/>
      <c r="T3257" s="8"/>
      <c r="U3257" s="8" t="s">
        <v>59</v>
      </c>
      <c r="V3257" s="13" t="s">
        <v>3656</v>
      </c>
      <c r="W3257" s="13" t="s">
        <v>15344</v>
      </c>
      <c r="X3257" s="12"/>
      <c r="Y3257" s="14"/>
      <c r="Z3257" s="14"/>
    </row>
    <row r="3258">
      <c r="A3258" s="8" t="s">
        <v>15345</v>
      </c>
      <c r="B3258" s="8" t="s">
        <v>15346</v>
      </c>
      <c r="C3258" s="8" t="s">
        <v>179</v>
      </c>
      <c r="D3258" s="8" t="s">
        <v>26</v>
      </c>
      <c r="E3258" s="8" t="s">
        <v>15347</v>
      </c>
      <c r="F3258" s="8"/>
      <c r="G3258" s="8" t="s">
        <v>1620</v>
      </c>
      <c r="H3258" s="8" t="s">
        <v>3655</v>
      </c>
      <c r="I3258" s="8" t="s">
        <v>31</v>
      </c>
      <c r="J3258" s="8" t="s">
        <v>86</v>
      </c>
      <c r="K3258" s="10" t="s">
        <v>416</v>
      </c>
      <c r="L3258" s="8" t="s">
        <v>58</v>
      </c>
      <c r="M3258" s="8" t="s">
        <v>35</v>
      </c>
      <c r="N3258" s="11">
        <v>45199.0</v>
      </c>
      <c r="O3258" s="11">
        <v>45369.0</v>
      </c>
      <c r="P3258" s="11">
        <v>45411.0</v>
      </c>
      <c r="Q3258" s="11"/>
      <c r="R3258" s="11"/>
      <c r="S3258" s="12"/>
      <c r="T3258" s="8"/>
      <c r="U3258" s="8" t="s">
        <v>59</v>
      </c>
      <c r="V3258" s="13" t="s">
        <v>3656</v>
      </c>
      <c r="W3258" s="13" t="s">
        <v>15348</v>
      </c>
      <c r="X3258" s="12"/>
      <c r="Y3258" s="14"/>
      <c r="Z3258" s="14"/>
    </row>
    <row r="3259">
      <c r="A3259" s="8" t="s">
        <v>15349</v>
      </c>
      <c r="B3259" s="8" t="s">
        <v>15350</v>
      </c>
      <c r="C3259" s="8" t="s">
        <v>179</v>
      </c>
      <c r="D3259" s="8" t="s">
        <v>26</v>
      </c>
      <c r="E3259" s="8" t="s">
        <v>15351</v>
      </c>
      <c r="F3259" s="8"/>
      <c r="G3259" s="8" t="s">
        <v>284</v>
      </c>
      <c r="H3259" s="8" t="s">
        <v>854</v>
      </c>
      <c r="I3259" s="8" t="s">
        <v>31</v>
      </c>
      <c r="J3259" s="8" t="s">
        <v>86</v>
      </c>
      <c r="K3259" s="10" t="s">
        <v>15200</v>
      </c>
      <c r="L3259" s="8" t="s">
        <v>58</v>
      </c>
      <c r="M3259" s="8" t="s">
        <v>35</v>
      </c>
      <c r="N3259" s="11">
        <v>45199.0</v>
      </c>
      <c r="O3259" s="11">
        <v>45474.0</v>
      </c>
      <c r="P3259" s="11">
        <v>45516.0</v>
      </c>
      <c r="Q3259" s="11"/>
      <c r="R3259" s="11"/>
      <c r="S3259" s="12"/>
      <c r="T3259" s="8"/>
      <c r="U3259" s="8" t="s">
        <v>59</v>
      </c>
      <c r="V3259" s="13" t="s">
        <v>856</v>
      </c>
      <c r="W3259" s="13" t="s">
        <v>15352</v>
      </c>
      <c r="X3259" s="12"/>
      <c r="Y3259" s="14"/>
      <c r="Z3259" s="14"/>
    </row>
    <row r="3260">
      <c r="A3260" s="8" t="s">
        <v>15353</v>
      </c>
      <c r="B3260" s="8" t="s">
        <v>15354</v>
      </c>
      <c r="C3260" s="8" t="s">
        <v>179</v>
      </c>
      <c r="D3260" s="8" t="s">
        <v>26</v>
      </c>
      <c r="E3260" s="8" t="s">
        <v>15355</v>
      </c>
      <c r="F3260" s="8">
        <v>5.535425861E9</v>
      </c>
      <c r="G3260" s="8" t="s">
        <v>31</v>
      </c>
      <c r="H3260" s="8" t="s">
        <v>220</v>
      </c>
      <c r="I3260" s="8" t="s">
        <v>284</v>
      </c>
      <c r="J3260" s="8" t="s">
        <v>854</v>
      </c>
      <c r="K3260" s="10" t="s">
        <v>15356</v>
      </c>
      <c r="L3260" s="8" t="s">
        <v>58</v>
      </c>
      <c r="M3260" s="8" t="s">
        <v>35</v>
      </c>
      <c r="N3260" s="11">
        <v>45199.0</v>
      </c>
      <c r="O3260" s="11">
        <v>45444.0</v>
      </c>
      <c r="P3260" s="11">
        <v>45486.0</v>
      </c>
      <c r="Q3260" s="11"/>
      <c r="R3260" s="11"/>
      <c r="S3260" s="12"/>
      <c r="T3260" s="8"/>
      <c r="U3260" s="8" t="s">
        <v>185</v>
      </c>
      <c r="V3260" s="13" t="s">
        <v>220</v>
      </c>
      <c r="W3260" s="13" t="s">
        <v>15357</v>
      </c>
      <c r="X3260" s="12"/>
      <c r="Y3260" s="14"/>
      <c r="Z3260" s="14"/>
    </row>
    <row r="3261">
      <c r="A3261" s="8" t="s">
        <v>15358</v>
      </c>
      <c r="B3261" s="8" t="s">
        <v>15359</v>
      </c>
      <c r="C3261" s="8" t="s">
        <v>179</v>
      </c>
      <c r="D3261" s="8" t="s">
        <v>26</v>
      </c>
      <c r="E3261" s="8" t="s">
        <v>15360</v>
      </c>
      <c r="F3261" s="8">
        <v>5.539884704E9</v>
      </c>
      <c r="G3261" s="8" t="s">
        <v>31</v>
      </c>
      <c r="H3261" s="8" t="s">
        <v>292</v>
      </c>
      <c r="I3261" s="8" t="s">
        <v>284</v>
      </c>
      <c r="J3261" s="8" t="s">
        <v>1777</v>
      </c>
      <c r="K3261" s="10" t="s">
        <v>14873</v>
      </c>
      <c r="L3261" s="8" t="s">
        <v>58</v>
      </c>
      <c r="M3261" s="8" t="s">
        <v>35</v>
      </c>
      <c r="N3261" s="11">
        <v>45199.0</v>
      </c>
      <c r="O3261" s="11">
        <v>45313.0</v>
      </c>
      <c r="P3261" s="11">
        <v>45355.0</v>
      </c>
      <c r="Q3261" s="11"/>
      <c r="R3261" s="11"/>
      <c r="S3261" s="12"/>
      <c r="T3261" s="8"/>
      <c r="U3261" s="8" t="s">
        <v>59</v>
      </c>
      <c r="V3261" s="13" t="s">
        <v>3027</v>
      </c>
      <c r="W3261" s="13" t="s">
        <v>15361</v>
      </c>
      <c r="X3261" s="12"/>
      <c r="Y3261" s="14"/>
      <c r="Z3261" s="14"/>
    </row>
    <row r="3262">
      <c r="A3262" s="8" t="s">
        <v>15362</v>
      </c>
      <c r="B3262" s="8" t="s">
        <v>15363</v>
      </c>
      <c r="C3262" s="8" t="s">
        <v>179</v>
      </c>
      <c r="D3262" s="8" t="s">
        <v>26</v>
      </c>
      <c r="E3262" s="8" t="s">
        <v>15364</v>
      </c>
      <c r="F3262" s="8">
        <v>2.001067119496E12</v>
      </c>
      <c r="G3262" s="8" t="s">
        <v>284</v>
      </c>
      <c r="H3262" s="8" t="s">
        <v>793</v>
      </c>
      <c r="I3262" s="8" t="s">
        <v>31</v>
      </c>
      <c r="J3262" s="8" t="s">
        <v>167</v>
      </c>
      <c r="K3262" s="10" t="s">
        <v>4008</v>
      </c>
      <c r="L3262" s="8" t="s">
        <v>58</v>
      </c>
      <c r="M3262" s="8" t="s">
        <v>35</v>
      </c>
      <c r="N3262" s="11">
        <v>45199.0</v>
      </c>
      <c r="O3262" s="11">
        <v>45488.0</v>
      </c>
      <c r="P3262" s="11">
        <v>45530.0</v>
      </c>
      <c r="Q3262" s="11"/>
      <c r="R3262" s="11"/>
      <c r="S3262" s="12"/>
      <c r="T3262" s="8"/>
      <c r="U3262" s="8" t="s">
        <v>59</v>
      </c>
      <c r="V3262" s="13" t="s">
        <v>793</v>
      </c>
      <c r="W3262" s="13" t="s">
        <v>15365</v>
      </c>
      <c r="X3262" s="12"/>
      <c r="Y3262" s="14"/>
      <c r="Z3262" s="14"/>
    </row>
    <row r="3263">
      <c r="A3263" s="8" t="s">
        <v>15366</v>
      </c>
      <c r="B3263" s="8" t="s">
        <v>15367</v>
      </c>
      <c r="C3263" s="8" t="s">
        <v>708</v>
      </c>
      <c r="D3263" s="8" t="s">
        <v>26</v>
      </c>
      <c r="E3263" s="8" t="s">
        <v>15368</v>
      </c>
      <c r="F3263" s="8">
        <v>9.3368139E7</v>
      </c>
      <c r="G3263" s="8" t="s">
        <v>54</v>
      </c>
      <c r="H3263" s="8" t="s">
        <v>244</v>
      </c>
      <c r="I3263" s="8" t="s">
        <v>31</v>
      </c>
      <c r="J3263" s="8" t="s">
        <v>438</v>
      </c>
      <c r="K3263" s="10" t="s">
        <v>4534</v>
      </c>
      <c r="L3263" s="8" t="s">
        <v>47</v>
      </c>
      <c r="M3263" s="8" t="s">
        <v>70</v>
      </c>
      <c r="N3263" s="11">
        <v>45199.0</v>
      </c>
      <c r="O3263" s="11">
        <v>45202.0</v>
      </c>
      <c r="P3263" s="11">
        <v>45567.0</v>
      </c>
      <c r="Q3263" s="11">
        <v>45199.0</v>
      </c>
      <c r="R3263" s="11">
        <v>45589.0</v>
      </c>
      <c r="S3263" s="12"/>
      <c r="T3263" s="8"/>
      <c r="U3263" s="8" t="s">
        <v>246</v>
      </c>
      <c r="V3263" s="13" t="s">
        <v>13443</v>
      </c>
      <c r="W3263" s="13" t="s">
        <v>15369</v>
      </c>
      <c r="X3263" s="12"/>
      <c r="Y3263" s="14"/>
      <c r="Z3263" s="14"/>
    </row>
    <row r="3264">
      <c r="A3264" s="8" t="s">
        <v>15370</v>
      </c>
      <c r="B3264" s="8" t="s">
        <v>15371</v>
      </c>
      <c r="C3264" s="8" t="s">
        <v>179</v>
      </c>
      <c r="D3264" s="8" t="s">
        <v>26</v>
      </c>
      <c r="E3264" s="8" t="s">
        <v>15372</v>
      </c>
      <c r="F3264" s="8">
        <v>5.435403654E9</v>
      </c>
      <c r="G3264" s="8" t="s">
        <v>31</v>
      </c>
      <c r="H3264" s="8" t="s">
        <v>102</v>
      </c>
      <c r="I3264" s="8" t="s">
        <v>54</v>
      </c>
      <c r="J3264" s="8" t="s">
        <v>237</v>
      </c>
      <c r="K3264" s="10" t="s">
        <v>15191</v>
      </c>
      <c r="L3264" s="8" t="s">
        <v>58</v>
      </c>
      <c r="M3264" s="8" t="s">
        <v>35</v>
      </c>
      <c r="N3264" s="11">
        <v>45199.0</v>
      </c>
      <c r="O3264" s="11">
        <v>45317.0</v>
      </c>
      <c r="P3264" s="11">
        <v>45359.0</v>
      </c>
      <c r="Q3264" s="11"/>
      <c r="R3264" s="11"/>
      <c r="S3264" s="12"/>
      <c r="T3264" s="8"/>
      <c r="U3264" s="8" t="s">
        <v>402</v>
      </c>
      <c r="V3264" s="13" t="s">
        <v>102</v>
      </c>
      <c r="W3264" s="13" t="s">
        <v>15373</v>
      </c>
      <c r="X3264" s="12"/>
      <c r="Y3264" s="14"/>
      <c r="Z3264" s="14"/>
    </row>
    <row r="3265">
      <c r="A3265" s="8" t="s">
        <v>15374</v>
      </c>
      <c r="B3265" s="8" t="s">
        <v>15375</v>
      </c>
      <c r="C3265" s="8" t="s">
        <v>251</v>
      </c>
      <c r="D3265" s="8" t="s">
        <v>26</v>
      </c>
      <c r="E3265" s="8" t="s">
        <v>15376</v>
      </c>
      <c r="F3265" s="8">
        <v>5.434613824E9</v>
      </c>
      <c r="G3265" s="8" t="s">
        <v>31</v>
      </c>
      <c r="H3265" s="8" t="s">
        <v>86</v>
      </c>
      <c r="I3265" s="8" t="s">
        <v>284</v>
      </c>
      <c r="J3265" s="8" t="s">
        <v>3188</v>
      </c>
      <c r="K3265" s="10" t="s">
        <v>15377</v>
      </c>
      <c r="L3265" s="8" t="s">
        <v>34</v>
      </c>
      <c r="M3265" s="8" t="s">
        <v>35</v>
      </c>
      <c r="N3265" s="11">
        <v>45199.0</v>
      </c>
      <c r="O3265" s="11">
        <v>45245.0</v>
      </c>
      <c r="P3265" s="11">
        <v>45287.0</v>
      </c>
      <c r="Q3265" s="11"/>
      <c r="R3265" s="11"/>
      <c r="S3265" s="12"/>
      <c r="T3265" s="8" t="s">
        <v>205</v>
      </c>
      <c r="U3265" s="8" t="s">
        <v>15378</v>
      </c>
      <c r="V3265" s="13" t="s">
        <v>175</v>
      </c>
      <c r="W3265" s="13" t="s">
        <v>15379</v>
      </c>
      <c r="X3265" s="12"/>
      <c r="Y3265" s="14"/>
      <c r="Z3265" s="14"/>
    </row>
    <row r="3266">
      <c r="A3266" s="8" t="s">
        <v>15380</v>
      </c>
      <c r="B3266" s="8" t="s">
        <v>15381</v>
      </c>
      <c r="C3266" s="8" t="s">
        <v>179</v>
      </c>
      <c r="D3266" s="8" t="s">
        <v>26</v>
      </c>
      <c r="E3266" s="8" t="s">
        <v>15382</v>
      </c>
      <c r="F3266" s="8">
        <v>5.413065298E9</v>
      </c>
      <c r="G3266" s="8" t="s">
        <v>31</v>
      </c>
      <c r="H3266" s="8" t="s">
        <v>102</v>
      </c>
      <c r="I3266" s="8" t="s">
        <v>54</v>
      </c>
      <c r="J3266" s="8" t="s">
        <v>237</v>
      </c>
      <c r="K3266" s="10" t="s">
        <v>15191</v>
      </c>
      <c r="L3266" s="8" t="s">
        <v>58</v>
      </c>
      <c r="M3266" s="8" t="s">
        <v>35</v>
      </c>
      <c r="N3266" s="11">
        <v>45199.0</v>
      </c>
      <c r="O3266" s="11">
        <v>45317.0</v>
      </c>
      <c r="P3266" s="11">
        <v>45359.0</v>
      </c>
      <c r="Q3266" s="11"/>
      <c r="R3266" s="11"/>
      <c r="S3266" s="12"/>
      <c r="T3266" s="8"/>
      <c r="U3266" s="8" t="s">
        <v>402</v>
      </c>
      <c r="V3266" s="13" t="s">
        <v>175</v>
      </c>
      <c r="W3266" s="13" t="s">
        <v>15383</v>
      </c>
      <c r="X3266" s="12"/>
      <c r="Y3266" s="14"/>
      <c r="Z3266" s="14"/>
    </row>
    <row r="3267">
      <c r="A3267" s="8" t="s">
        <v>15384</v>
      </c>
      <c r="B3267" s="8" t="s">
        <v>15385</v>
      </c>
      <c r="C3267" s="8" t="s">
        <v>179</v>
      </c>
      <c r="D3267" s="8" t="s">
        <v>26</v>
      </c>
      <c r="E3267" s="8" t="s">
        <v>15386</v>
      </c>
      <c r="F3267" s="8">
        <v>6.89893068E8</v>
      </c>
      <c r="G3267" s="8" t="s">
        <v>1620</v>
      </c>
      <c r="H3267" s="8" t="s">
        <v>1621</v>
      </c>
      <c r="I3267" s="8" t="s">
        <v>31</v>
      </c>
      <c r="J3267" s="8" t="s">
        <v>43</v>
      </c>
      <c r="K3267" s="10" t="s">
        <v>837</v>
      </c>
      <c r="L3267" s="8" t="s">
        <v>58</v>
      </c>
      <c r="M3267" s="8" t="s">
        <v>35</v>
      </c>
      <c r="N3267" s="11">
        <v>45200.0</v>
      </c>
      <c r="O3267" s="11">
        <v>45474.0</v>
      </c>
      <c r="P3267" s="11">
        <v>45516.0</v>
      </c>
      <c r="Q3267" s="11"/>
      <c r="R3267" s="11"/>
      <c r="S3267" s="12"/>
      <c r="T3267" s="8"/>
      <c r="U3267" s="8" t="s">
        <v>130</v>
      </c>
      <c r="V3267" s="13" t="s">
        <v>13760</v>
      </c>
      <c r="W3267" s="13" t="s">
        <v>15387</v>
      </c>
      <c r="X3267" s="12"/>
      <c r="Y3267" s="14"/>
      <c r="Z3267" s="14"/>
    </row>
    <row r="3268">
      <c r="A3268" s="8" t="s">
        <v>15388</v>
      </c>
      <c r="B3268" s="8" t="s">
        <v>15389</v>
      </c>
      <c r="C3268" s="8" t="s">
        <v>179</v>
      </c>
      <c r="D3268" s="8" t="s">
        <v>26</v>
      </c>
      <c r="E3268" s="8" t="s">
        <v>15390</v>
      </c>
      <c r="F3268" s="8">
        <v>6.65288745E8</v>
      </c>
      <c r="G3268" s="8" t="s">
        <v>1620</v>
      </c>
      <c r="H3268" s="8" t="s">
        <v>1621</v>
      </c>
      <c r="I3268" s="8" t="s">
        <v>31</v>
      </c>
      <c r="J3268" s="8" t="s">
        <v>43</v>
      </c>
      <c r="K3268" s="10" t="s">
        <v>837</v>
      </c>
      <c r="L3268" s="8" t="s">
        <v>58</v>
      </c>
      <c r="M3268" s="8" t="s">
        <v>35</v>
      </c>
      <c r="N3268" s="11">
        <v>45200.0</v>
      </c>
      <c r="O3268" s="11">
        <v>45474.0</v>
      </c>
      <c r="P3268" s="11">
        <v>45516.0</v>
      </c>
      <c r="Q3268" s="11"/>
      <c r="R3268" s="11"/>
      <c r="S3268" s="12"/>
      <c r="T3268" s="8"/>
      <c r="U3268" s="8" t="s">
        <v>130</v>
      </c>
      <c r="V3268" s="13" t="s">
        <v>13760</v>
      </c>
      <c r="W3268" s="13" t="s">
        <v>15391</v>
      </c>
      <c r="X3268" s="12"/>
      <c r="Y3268" s="14"/>
      <c r="Z3268" s="14"/>
    </row>
    <row r="3269">
      <c r="A3269" s="8" t="s">
        <v>15392</v>
      </c>
      <c r="B3269" s="8" t="s">
        <v>15393</v>
      </c>
      <c r="C3269" s="8" t="s">
        <v>179</v>
      </c>
      <c r="D3269" s="8" t="s">
        <v>26</v>
      </c>
      <c r="E3269" s="8" t="s">
        <v>15394</v>
      </c>
      <c r="F3269" s="8">
        <v>6.34610756E8</v>
      </c>
      <c r="G3269" s="8" t="s">
        <v>1620</v>
      </c>
      <c r="H3269" s="8" t="s">
        <v>3655</v>
      </c>
      <c r="I3269" s="8" t="s">
        <v>31</v>
      </c>
      <c r="J3269" s="8" t="s">
        <v>86</v>
      </c>
      <c r="K3269" s="10" t="s">
        <v>416</v>
      </c>
      <c r="L3269" s="8" t="s">
        <v>58</v>
      </c>
      <c r="M3269" s="8" t="s">
        <v>35</v>
      </c>
      <c r="N3269" s="11">
        <v>45200.0</v>
      </c>
      <c r="O3269" s="11">
        <v>45369.0</v>
      </c>
      <c r="P3269" s="11">
        <v>45411.0</v>
      </c>
      <c r="Q3269" s="11"/>
      <c r="R3269" s="11"/>
      <c r="S3269" s="12"/>
      <c r="T3269" s="8"/>
      <c r="U3269" s="8" t="s">
        <v>59</v>
      </c>
      <c r="V3269" s="13" t="s">
        <v>3656</v>
      </c>
      <c r="W3269" s="13" t="s">
        <v>15395</v>
      </c>
      <c r="X3269" s="12"/>
      <c r="Y3269" s="14"/>
      <c r="Z3269" s="14"/>
    </row>
    <row r="3270">
      <c r="A3270" s="8" t="s">
        <v>15396</v>
      </c>
      <c r="B3270" s="8" t="s">
        <v>15397</v>
      </c>
      <c r="C3270" s="8" t="s">
        <v>179</v>
      </c>
      <c r="D3270" s="8" t="s">
        <v>26</v>
      </c>
      <c r="E3270" s="8" t="s">
        <v>15398</v>
      </c>
      <c r="F3270" s="8"/>
      <c r="G3270" s="8" t="s">
        <v>284</v>
      </c>
      <c r="H3270" s="8" t="s">
        <v>285</v>
      </c>
      <c r="I3270" s="8" t="s">
        <v>31</v>
      </c>
      <c r="J3270" s="8" t="s">
        <v>256</v>
      </c>
      <c r="K3270" s="10" t="s">
        <v>10689</v>
      </c>
      <c r="L3270" s="8" t="s">
        <v>58</v>
      </c>
      <c r="M3270" s="8" t="s">
        <v>35</v>
      </c>
      <c r="N3270" s="11">
        <v>45200.0</v>
      </c>
      <c r="O3270" s="11">
        <v>45516.0</v>
      </c>
      <c r="P3270" s="11">
        <v>45558.0</v>
      </c>
      <c r="Q3270" s="11"/>
      <c r="R3270" s="11"/>
      <c r="S3270" s="12"/>
      <c r="T3270" s="8"/>
      <c r="U3270" s="8" t="s">
        <v>59</v>
      </c>
      <c r="V3270" s="13" t="s">
        <v>38</v>
      </c>
      <c r="W3270" s="13" t="s">
        <v>15399</v>
      </c>
      <c r="X3270" s="12"/>
      <c r="Y3270" s="14"/>
      <c r="Z3270" s="14"/>
    </row>
    <row r="3271">
      <c r="A3271" s="8" t="s">
        <v>15400</v>
      </c>
      <c r="B3271" s="8" t="s">
        <v>15401</v>
      </c>
      <c r="C3271" s="8" t="s">
        <v>708</v>
      </c>
      <c r="D3271" s="8" t="s">
        <v>26</v>
      </c>
      <c r="E3271" s="8" t="s">
        <v>15402</v>
      </c>
      <c r="F3271" s="8"/>
      <c r="G3271" s="8" t="s">
        <v>284</v>
      </c>
      <c r="H3271" s="8" t="s">
        <v>1422</v>
      </c>
      <c r="I3271" s="8" t="s">
        <v>31</v>
      </c>
      <c r="J3271" s="8" t="s">
        <v>111</v>
      </c>
      <c r="K3271" s="10" t="s">
        <v>11499</v>
      </c>
      <c r="L3271" s="8" t="s">
        <v>47</v>
      </c>
      <c r="M3271" s="8" t="s">
        <v>70</v>
      </c>
      <c r="N3271" s="11">
        <v>45200.0</v>
      </c>
      <c r="O3271" s="11">
        <v>45213.0</v>
      </c>
      <c r="P3271" s="11">
        <v>45578.0</v>
      </c>
      <c r="Q3271" s="11">
        <v>45286.0</v>
      </c>
      <c r="R3271" s="11">
        <v>45651.0</v>
      </c>
      <c r="S3271" s="12"/>
      <c r="T3271" s="8"/>
      <c r="U3271" s="8" t="s">
        <v>246</v>
      </c>
      <c r="V3271" s="13" t="s">
        <v>38</v>
      </c>
      <c r="W3271" s="13" t="s">
        <v>15403</v>
      </c>
      <c r="X3271" s="12"/>
      <c r="Y3271" s="14"/>
      <c r="Z3271" s="14"/>
    </row>
    <row r="3272">
      <c r="A3272" s="8" t="s">
        <v>15404</v>
      </c>
      <c r="B3272" s="8" t="s">
        <v>13321</v>
      </c>
      <c r="C3272" s="8" t="s">
        <v>708</v>
      </c>
      <c r="D3272" s="8" t="s">
        <v>26</v>
      </c>
      <c r="E3272" s="8" t="s">
        <v>13322</v>
      </c>
      <c r="F3272" s="8">
        <v>1.002675819E9</v>
      </c>
      <c r="G3272" s="8" t="s">
        <v>284</v>
      </c>
      <c r="H3272" s="8" t="s">
        <v>1422</v>
      </c>
      <c r="I3272" s="8" t="s">
        <v>31</v>
      </c>
      <c r="J3272" s="8" t="s">
        <v>111</v>
      </c>
      <c r="K3272" s="10" t="s">
        <v>11494</v>
      </c>
      <c r="L3272" s="8" t="s">
        <v>47</v>
      </c>
      <c r="M3272" s="8" t="s">
        <v>70</v>
      </c>
      <c r="N3272" s="11">
        <v>45200.0</v>
      </c>
      <c r="O3272" s="11">
        <v>45214.0</v>
      </c>
      <c r="P3272" s="11">
        <v>45485.0</v>
      </c>
      <c r="Q3272" s="11">
        <v>45209.0</v>
      </c>
      <c r="R3272" s="11">
        <v>45485.0</v>
      </c>
      <c r="S3272" s="12"/>
      <c r="T3272" s="8"/>
      <c r="U3272" s="8" t="s">
        <v>795</v>
      </c>
      <c r="V3272" s="13" t="s">
        <v>1424</v>
      </c>
      <c r="W3272" s="13" t="s">
        <v>13323</v>
      </c>
      <c r="X3272" s="12"/>
      <c r="Y3272" s="14"/>
      <c r="Z3272" s="14"/>
    </row>
    <row r="3273">
      <c r="A3273" s="8" t="s">
        <v>15405</v>
      </c>
      <c r="B3273" s="8" t="s">
        <v>15406</v>
      </c>
      <c r="C3273" s="8" t="s">
        <v>179</v>
      </c>
      <c r="D3273" s="8" t="s">
        <v>26</v>
      </c>
      <c r="E3273" s="8" t="s">
        <v>15407</v>
      </c>
      <c r="F3273" s="8">
        <v>3.325322008E9</v>
      </c>
      <c r="G3273" s="8" t="s">
        <v>315</v>
      </c>
      <c r="H3273" s="8" t="s">
        <v>316</v>
      </c>
      <c r="I3273" s="8" t="s">
        <v>31</v>
      </c>
      <c r="J3273" s="8" t="s">
        <v>136</v>
      </c>
      <c r="K3273" s="10" t="s">
        <v>394</v>
      </c>
      <c r="L3273" s="8" t="s">
        <v>58</v>
      </c>
      <c r="M3273" s="8" t="s">
        <v>35</v>
      </c>
      <c r="N3273" s="11">
        <v>45200.0</v>
      </c>
      <c r="O3273" s="11">
        <v>45306.0</v>
      </c>
      <c r="P3273" s="11">
        <v>45348.0</v>
      </c>
      <c r="Q3273" s="11"/>
      <c r="R3273" s="11"/>
      <c r="S3273" s="12"/>
      <c r="T3273" s="8"/>
      <c r="U3273" s="8" t="s">
        <v>59</v>
      </c>
      <c r="V3273" s="13" t="s">
        <v>5781</v>
      </c>
      <c r="W3273" s="13" t="s">
        <v>15408</v>
      </c>
      <c r="X3273" s="12"/>
      <c r="Y3273" s="14"/>
      <c r="Z3273" s="14"/>
    </row>
    <row r="3274">
      <c r="A3274" s="8" t="s">
        <v>15409</v>
      </c>
      <c r="B3274" s="8" t="s">
        <v>15410</v>
      </c>
      <c r="C3274" s="8" t="s">
        <v>179</v>
      </c>
      <c r="D3274" s="8" t="s">
        <v>26</v>
      </c>
      <c r="E3274" s="8" t="s">
        <v>15411</v>
      </c>
      <c r="F3274" s="8">
        <v>7.74724788E8</v>
      </c>
      <c r="G3274" s="8" t="s">
        <v>399</v>
      </c>
      <c r="H3274" s="8" t="s">
        <v>3797</v>
      </c>
      <c r="I3274" s="8" t="s">
        <v>31</v>
      </c>
      <c r="J3274" s="8" t="s">
        <v>111</v>
      </c>
      <c r="K3274" s="10" t="s">
        <v>15412</v>
      </c>
      <c r="L3274" s="8" t="s">
        <v>47</v>
      </c>
      <c r="M3274" s="8" t="s">
        <v>70</v>
      </c>
      <c r="N3274" s="11">
        <v>45201.0</v>
      </c>
      <c r="O3274" s="11">
        <v>45201.0</v>
      </c>
      <c r="P3274" s="11">
        <v>45478.0</v>
      </c>
      <c r="Q3274" s="11"/>
      <c r="R3274" s="11"/>
      <c r="S3274" s="12"/>
      <c r="T3274" s="8"/>
      <c r="U3274" s="8" t="s">
        <v>15413</v>
      </c>
      <c r="V3274" s="13" t="s">
        <v>3799</v>
      </c>
      <c r="W3274" s="13" t="s">
        <v>15414</v>
      </c>
      <c r="X3274" s="12"/>
      <c r="Y3274" s="14"/>
      <c r="Z3274" s="14"/>
    </row>
    <row r="3275">
      <c r="A3275" s="8" t="s">
        <v>15415</v>
      </c>
      <c r="B3275" s="8" t="s">
        <v>15416</v>
      </c>
      <c r="C3275" s="8" t="s">
        <v>179</v>
      </c>
      <c r="D3275" s="8" t="s">
        <v>26</v>
      </c>
      <c r="E3275" s="8" t="s">
        <v>15417</v>
      </c>
      <c r="F3275" s="8">
        <v>5.525162023E9</v>
      </c>
      <c r="G3275" s="8" t="s">
        <v>31</v>
      </c>
      <c r="H3275" s="8" t="s">
        <v>32</v>
      </c>
      <c r="I3275" s="8" t="s">
        <v>284</v>
      </c>
      <c r="J3275" s="8" t="s">
        <v>854</v>
      </c>
      <c r="K3275" s="10" t="s">
        <v>9314</v>
      </c>
      <c r="L3275" s="8" t="s">
        <v>58</v>
      </c>
      <c r="M3275" s="8" t="s">
        <v>35</v>
      </c>
      <c r="N3275" s="11">
        <v>45201.0</v>
      </c>
      <c r="O3275" s="11">
        <v>45458.0</v>
      </c>
      <c r="P3275" s="11">
        <v>45500.0</v>
      </c>
      <c r="Q3275" s="11"/>
      <c r="R3275" s="11"/>
      <c r="S3275" s="12"/>
      <c r="T3275" s="8"/>
      <c r="U3275" s="8" t="s">
        <v>59</v>
      </c>
      <c r="V3275" s="13" t="s">
        <v>537</v>
      </c>
      <c r="W3275" s="13" t="s">
        <v>15418</v>
      </c>
      <c r="X3275" s="12"/>
      <c r="Y3275" s="14"/>
      <c r="Z3275" s="14"/>
    </row>
    <row r="3276">
      <c r="A3276" s="8" t="s">
        <v>15419</v>
      </c>
      <c r="B3276" s="8" t="s">
        <v>15420</v>
      </c>
      <c r="C3276" s="8" t="s">
        <v>708</v>
      </c>
      <c r="D3276" s="8" t="s">
        <v>26</v>
      </c>
      <c r="E3276" s="8" t="s">
        <v>15421</v>
      </c>
      <c r="F3276" s="8">
        <v>1.124268065E9</v>
      </c>
      <c r="G3276" s="8" t="s">
        <v>284</v>
      </c>
      <c r="H3276" s="8" t="s">
        <v>673</v>
      </c>
      <c r="I3276" s="8" t="s">
        <v>31</v>
      </c>
      <c r="J3276" s="8" t="s">
        <v>111</v>
      </c>
      <c r="K3276" s="10" t="s">
        <v>14958</v>
      </c>
      <c r="L3276" s="8" t="s">
        <v>47</v>
      </c>
      <c r="M3276" s="8" t="s">
        <v>70</v>
      </c>
      <c r="N3276" s="11">
        <v>45201.0</v>
      </c>
      <c r="O3276" s="11">
        <v>45220.0</v>
      </c>
      <c r="P3276" s="11">
        <v>45585.0</v>
      </c>
      <c r="Q3276" s="11">
        <v>45241.0</v>
      </c>
      <c r="R3276" s="11">
        <v>45606.0</v>
      </c>
      <c r="S3276" s="12"/>
      <c r="T3276" s="8"/>
      <c r="U3276" s="8" t="s">
        <v>14959</v>
      </c>
      <c r="V3276" s="13" t="s">
        <v>674</v>
      </c>
      <c r="W3276" s="13" t="s">
        <v>15422</v>
      </c>
      <c r="X3276" s="12"/>
      <c r="Y3276" s="14"/>
      <c r="Z3276" s="14"/>
    </row>
    <row r="3277">
      <c r="A3277" s="8" t="s">
        <v>15423</v>
      </c>
      <c r="B3277" s="8" t="s">
        <v>15424</v>
      </c>
      <c r="C3277" s="8" t="s">
        <v>179</v>
      </c>
      <c r="D3277" s="8" t="s">
        <v>26</v>
      </c>
      <c r="E3277" s="8" t="s">
        <v>15425</v>
      </c>
      <c r="F3277" s="8">
        <v>5.07105796E9</v>
      </c>
      <c r="G3277" s="8" t="s">
        <v>31</v>
      </c>
      <c r="H3277" s="8" t="s">
        <v>542</v>
      </c>
      <c r="I3277" s="8" t="s">
        <v>284</v>
      </c>
      <c r="J3277" s="8" t="s">
        <v>285</v>
      </c>
      <c r="K3277" s="10" t="s">
        <v>3841</v>
      </c>
      <c r="L3277" s="8" t="s">
        <v>58</v>
      </c>
      <c r="M3277" s="8" t="s">
        <v>35</v>
      </c>
      <c r="N3277" s="11">
        <v>45201.0</v>
      </c>
      <c r="O3277" s="11">
        <v>45292.0</v>
      </c>
      <c r="P3277" s="11">
        <v>45334.0</v>
      </c>
      <c r="Q3277" s="11"/>
      <c r="R3277" s="11"/>
      <c r="S3277" s="12"/>
      <c r="T3277" s="8"/>
      <c r="U3277" s="8" t="s">
        <v>1038</v>
      </c>
      <c r="V3277" s="13" t="s">
        <v>545</v>
      </c>
      <c r="W3277" s="13" t="s">
        <v>15426</v>
      </c>
      <c r="X3277" s="12"/>
      <c r="Y3277" s="14"/>
      <c r="Z3277" s="14"/>
    </row>
    <row r="3278">
      <c r="A3278" s="8" t="s">
        <v>15427</v>
      </c>
      <c r="B3278" s="8" t="s">
        <v>15428</v>
      </c>
      <c r="C3278" s="8" t="s">
        <v>179</v>
      </c>
      <c r="D3278" s="8" t="s">
        <v>26</v>
      </c>
      <c r="E3278" s="8" t="s">
        <v>15429</v>
      </c>
      <c r="F3278" s="8">
        <v>1.028316328E9</v>
      </c>
      <c r="G3278" s="8" t="s">
        <v>284</v>
      </c>
      <c r="H3278" s="8" t="s">
        <v>691</v>
      </c>
      <c r="I3278" s="8" t="s">
        <v>31</v>
      </c>
      <c r="J3278" s="8" t="s">
        <v>43</v>
      </c>
      <c r="K3278" s="10" t="s">
        <v>2922</v>
      </c>
      <c r="L3278" s="8" t="s">
        <v>58</v>
      </c>
      <c r="M3278" s="8" t="s">
        <v>35</v>
      </c>
      <c r="N3278" s="11">
        <v>45201.0</v>
      </c>
      <c r="O3278" s="11">
        <v>45474.0</v>
      </c>
      <c r="P3278" s="11">
        <v>45516.0</v>
      </c>
      <c r="Q3278" s="11"/>
      <c r="R3278" s="11"/>
      <c r="S3278" s="12"/>
      <c r="T3278" s="8"/>
      <c r="U3278" s="8" t="s">
        <v>59</v>
      </c>
      <c r="V3278" s="13" t="s">
        <v>692</v>
      </c>
      <c r="W3278" s="13" t="s">
        <v>15430</v>
      </c>
      <c r="X3278" s="12"/>
      <c r="Y3278" s="14"/>
      <c r="Z3278" s="14"/>
    </row>
    <row r="3279">
      <c r="A3279" s="8" t="s">
        <v>15431</v>
      </c>
      <c r="B3279" s="8" t="s">
        <v>15432</v>
      </c>
      <c r="C3279" s="8" t="s">
        <v>179</v>
      </c>
      <c r="D3279" s="8" t="s">
        <v>26</v>
      </c>
      <c r="E3279" s="8" t="s">
        <v>15433</v>
      </c>
      <c r="F3279" s="8">
        <v>7.9999961623E10</v>
      </c>
      <c r="G3279" s="8" t="s">
        <v>109</v>
      </c>
      <c r="H3279" s="8" t="s">
        <v>1921</v>
      </c>
      <c r="I3279" s="8" t="s">
        <v>31</v>
      </c>
      <c r="J3279" s="8" t="s">
        <v>77</v>
      </c>
      <c r="K3279" s="10" t="s">
        <v>4188</v>
      </c>
      <c r="L3279" s="8" t="s">
        <v>58</v>
      </c>
      <c r="M3279" s="8" t="s">
        <v>35</v>
      </c>
      <c r="N3279" s="11">
        <v>45201.0</v>
      </c>
      <c r="O3279" s="11">
        <v>45418.0</v>
      </c>
      <c r="P3279" s="11">
        <v>45460.0</v>
      </c>
      <c r="Q3279" s="11"/>
      <c r="R3279" s="11"/>
      <c r="S3279" s="12"/>
      <c r="T3279" s="8"/>
      <c r="U3279" s="8" t="s">
        <v>59</v>
      </c>
      <c r="V3279" s="13" t="s">
        <v>1922</v>
      </c>
      <c r="W3279" s="13" t="s">
        <v>15434</v>
      </c>
      <c r="X3279" s="12"/>
      <c r="Y3279" s="14"/>
      <c r="Z3279" s="14"/>
    </row>
    <row r="3280">
      <c r="A3280" s="8" t="s">
        <v>15435</v>
      </c>
      <c r="B3280" s="8" t="s">
        <v>1337</v>
      </c>
      <c r="C3280" s="8" t="s">
        <v>708</v>
      </c>
      <c r="D3280" s="8" t="s">
        <v>26</v>
      </c>
      <c r="E3280" s="8" t="s">
        <v>15436</v>
      </c>
      <c r="F3280" s="8">
        <v>5.360258845E9</v>
      </c>
      <c r="G3280" s="8" t="s">
        <v>254</v>
      </c>
      <c r="H3280" s="8" t="s">
        <v>291</v>
      </c>
      <c r="I3280" s="8" t="s">
        <v>31</v>
      </c>
      <c r="J3280" s="8" t="s">
        <v>438</v>
      </c>
      <c r="K3280" s="10" t="s">
        <v>1339</v>
      </c>
      <c r="L3280" s="8" t="s">
        <v>47</v>
      </c>
      <c r="M3280" s="8" t="s">
        <v>70</v>
      </c>
      <c r="N3280" s="11">
        <v>45201.0</v>
      </c>
      <c r="O3280" s="11">
        <v>45202.0</v>
      </c>
      <c r="P3280" s="11">
        <v>45567.0</v>
      </c>
      <c r="Q3280" s="11">
        <v>45202.0</v>
      </c>
      <c r="R3280" s="11">
        <v>45567.0</v>
      </c>
      <c r="S3280" s="12"/>
      <c r="T3280" s="8"/>
      <c r="U3280" s="8" t="s">
        <v>1340</v>
      </c>
      <c r="V3280" s="13" t="s">
        <v>295</v>
      </c>
      <c r="W3280" s="13" t="s">
        <v>15437</v>
      </c>
      <c r="X3280" s="12"/>
      <c r="Y3280" s="14"/>
      <c r="Z3280" s="14"/>
    </row>
    <row r="3281">
      <c r="A3281" s="8" t="s">
        <v>15438</v>
      </c>
      <c r="B3281" s="8" t="s">
        <v>15439</v>
      </c>
      <c r="C3281" s="8" t="s">
        <v>708</v>
      </c>
      <c r="D3281" s="8" t="s">
        <v>26</v>
      </c>
      <c r="E3281" s="8" t="s">
        <v>15440</v>
      </c>
      <c r="F3281" s="8">
        <v>4.91895193E8</v>
      </c>
      <c r="G3281" s="8" t="s">
        <v>1074</v>
      </c>
      <c r="H3281" s="8" t="s">
        <v>1075</v>
      </c>
      <c r="I3281" s="8" t="s">
        <v>31</v>
      </c>
      <c r="J3281" s="8" t="s">
        <v>292</v>
      </c>
      <c r="K3281" s="10" t="s">
        <v>1260</v>
      </c>
      <c r="L3281" s="8" t="s">
        <v>47</v>
      </c>
      <c r="M3281" s="8" t="s">
        <v>70</v>
      </c>
      <c r="N3281" s="11">
        <v>45202.0</v>
      </c>
      <c r="O3281" s="11">
        <v>45206.0</v>
      </c>
      <c r="P3281" s="11">
        <v>45572.0</v>
      </c>
      <c r="Q3281" s="11">
        <v>45226.0</v>
      </c>
      <c r="R3281" s="11">
        <v>45590.0</v>
      </c>
      <c r="S3281" s="12"/>
      <c r="T3281" s="8"/>
      <c r="U3281" s="8" t="s">
        <v>1261</v>
      </c>
      <c r="V3281" s="13" t="s">
        <v>38</v>
      </c>
      <c r="W3281" s="13" t="s">
        <v>15441</v>
      </c>
      <c r="X3281" s="12"/>
      <c r="Y3281" s="14"/>
      <c r="Z3281" s="14"/>
    </row>
    <row r="3282">
      <c r="A3282" s="8" t="s">
        <v>15442</v>
      </c>
      <c r="B3282" s="8" t="s">
        <v>15443</v>
      </c>
      <c r="C3282" s="8" t="s">
        <v>708</v>
      </c>
      <c r="D3282" s="8" t="s">
        <v>26</v>
      </c>
      <c r="E3282" s="8" t="s">
        <v>15444</v>
      </c>
      <c r="F3282" s="8">
        <v>7.07749274E8</v>
      </c>
      <c r="G3282" s="8" t="s">
        <v>84</v>
      </c>
      <c r="H3282" s="8" t="s">
        <v>85</v>
      </c>
      <c r="I3282" s="8" t="s">
        <v>31</v>
      </c>
      <c r="J3282" s="8" t="s">
        <v>66</v>
      </c>
      <c r="K3282" s="10" t="s">
        <v>15083</v>
      </c>
      <c r="L3282" s="8" t="s">
        <v>47</v>
      </c>
      <c r="M3282" s="8" t="s">
        <v>70</v>
      </c>
      <c r="N3282" s="11">
        <v>45202.0</v>
      </c>
      <c r="O3282" s="11">
        <v>45207.0</v>
      </c>
      <c r="P3282" s="11">
        <v>45571.0</v>
      </c>
      <c r="Q3282" s="11">
        <v>45216.0</v>
      </c>
      <c r="R3282" s="11">
        <v>45579.0</v>
      </c>
      <c r="S3282" s="12"/>
      <c r="T3282" s="8"/>
      <c r="U3282" s="8" t="s">
        <v>246</v>
      </c>
      <c r="V3282" s="13" t="s">
        <v>5502</v>
      </c>
      <c r="W3282" s="13" t="s">
        <v>15445</v>
      </c>
      <c r="X3282" s="12"/>
      <c r="Y3282" s="14"/>
      <c r="Z3282" s="14"/>
    </row>
    <row r="3283">
      <c r="A3283" s="8" t="s">
        <v>15446</v>
      </c>
      <c r="B3283" s="8" t="s">
        <v>15447</v>
      </c>
      <c r="C3283" s="8" t="s">
        <v>179</v>
      </c>
      <c r="D3283" s="8" t="s">
        <v>26</v>
      </c>
      <c r="E3283" s="8" t="s">
        <v>15448</v>
      </c>
      <c r="F3283" s="8"/>
      <c r="G3283" s="8" t="s">
        <v>31</v>
      </c>
      <c r="H3283" s="8" t="s">
        <v>32</v>
      </c>
      <c r="I3283" s="8" t="s">
        <v>127</v>
      </c>
      <c r="J3283" s="8" t="s">
        <v>3006</v>
      </c>
      <c r="K3283" s="10" t="s">
        <v>15449</v>
      </c>
      <c r="L3283" s="8" t="s">
        <v>58</v>
      </c>
      <c r="M3283" s="8" t="s">
        <v>35</v>
      </c>
      <c r="N3283" s="11">
        <v>45202.0</v>
      </c>
      <c r="O3283" s="11">
        <v>45299.0</v>
      </c>
      <c r="P3283" s="11">
        <v>45341.0</v>
      </c>
      <c r="Q3283" s="11"/>
      <c r="R3283" s="11"/>
      <c r="S3283" s="12"/>
      <c r="T3283" s="8"/>
      <c r="U3283" s="8" t="s">
        <v>1956</v>
      </c>
      <c r="V3283" s="13" t="s">
        <v>537</v>
      </c>
      <c r="W3283" s="13" t="s">
        <v>15450</v>
      </c>
      <c r="X3283" s="12"/>
      <c r="Y3283" s="14"/>
      <c r="Z3283" s="14"/>
    </row>
    <row r="3284">
      <c r="A3284" s="8" t="s">
        <v>15451</v>
      </c>
      <c r="B3284" s="8" t="s">
        <v>15452</v>
      </c>
      <c r="C3284" s="8" t="s">
        <v>708</v>
      </c>
      <c r="D3284" s="8" t="s">
        <v>26</v>
      </c>
      <c r="E3284" s="8" t="s">
        <v>15453</v>
      </c>
      <c r="F3284" s="8"/>
      <c r="G3284" s="8" t="s">
        <v>84</v>
      </c>
      <c r="H3284" s="8" t="s">
        <v>85</v>
      </c>
      <c r="I3284" s="8" t="s">
        <v>31</v>
      </c>
      <c r="J3284" s="8" t="s">
        <v>86</v>
      </c>
      <c r="K3284" s="10" t="s">
        <v>5601</v>
      </c>
      <c r="L3284" s="8" t="s">
        <v>34</v>
      </c>
      <c r="M3284" s="8" t="s">
        <v>70</v>
      </c>
      <c r="N3284" s="11">
        <v>45202.0</v>
      </c>
      <c r="O3284" s="11">
        <v>45236.0</v>
      </c>
      <c r="P3284" s="11">
        <v>45723.0</v>
      </c>
      <c r="Q3284" s="11">
        <v>45209.0</v>
      </c>
      <c r="R3284" s="11">
        <v>45723.0</v>
      </c>
      <c r="S3284" s="12"/>
      <c r="T3284" s="8" t="s">
        <v>36</v>
      </c>
      <c r="U3284" s="8" t="s">
        <v>5602</v>
      </c>
      <c r="V3284" s="13" t="s">
        <v>38</v>
      </c>
      <c r="W3284" s="13" t="s">
        <v>15454</v>
      </c>
      <c r="X3284" s="12"/>
      <c r="Y3284" s="14"/>
      <c r="Z3284" s="14"/>
    </row>
    <row r="3285">
      <c r="A3285" s="8" t="s">
        <v>15455</v>
      </c>
      <c r="B3285" s="8" t="s">
        <v>15456</v>
      </c>
      <c r="C3285" s="8" t="s">
        <v>179</v>
      </c>
      <c r="D3285" s="8" t="s">
        <v>26</v>
      </c>
      <c r="E3285" s="8" t="s">
        <v>15457</v>
      </c>
      <c r="F3285" s="8">
        <v>1.1967341444E10</v>
      </c>
      <c r="G3285" s="8" t="s">
        <v>109</v>
      </c>
      <c r="H3285" s="8" t="s">
        <v>1872</v>
      </c>
      <c r="I3285" s="8" t="s">
        <v>31</v>
      </c>
      <c r="J3285" s="8" t="s">
        <v>542</v>
      </c>
      <c r="K3285" s="10" t="s">
        <v>12954</v>
      </c>
      <c r="L3285" s="8" t="s">
        <v>58</v>
      </c>
      <c r="M3285" s="8" t="s">
        <v>35</v>
      </c>
      <c r="N3285" s="11">
        <v>45202.0</v>
      </c>
      <c r="O3285" s="11">
        <v>45383.0</v>
      </c>
      <c r="P3285" s="11">
        <v>45425.0</v>
      </c>
      <c r="Q3285" s="11"/>
      <c r="R3285" s="11"/>
      <c r="S3285" s="12"/>
      <c r="T3285" s="8"/>
      <c r="U3285" s="8" t="s">
        <v>161</v>
      </c>
      <c r="V3285" s="13" t="s">
        <v>38</v>
      </c>
      <c r="W3285" s="13" t="s">
        <v>15458</v>
      </c>
      <c r="X3285" s="12"/>
      <c r="Y3285" s="14"/>
      <c r="Z3285" s="14"/>
    </row>
    <row r="3286">
      <c r="A3286" s="8" t="s">
        <v>15459</v>
      </c>
      <c r="B3286" s="8" t="s">
        <v>2847</v>
      </c>
      <c r="C3286" s="8" t="s">
        <v>708</v>
      </c>
      <c r="D3286" s="8" t="s">
        <v>26</v>
      </c>
      <c r="E3286" s="8" t="s">
        <v>12887</v>
      </c>
      <c r="F3286" s="8">
        <v>2.1434334E7</v>
      </c>
      <c r="G3286" s="8" t="s">
        <v>54</v>
      </c>
      <c r="H3286" s="8" t="s">
        <v>377</v>
      </c>
      <c r="I3286" s="8" t="s">
        <v>31</v>
      </c>
      <c r="J3286" s="8" t="s">
        <v>77</v>
      </c>
      <c r="K3286" s="10" t="s">
        <v>14316</v>
      </c>
      <c r="L3286" s="8" t="s">
        <v>47</v>
      </c>
      <c r="M3286" s="8" t="s">
        <v>70</v>
      </c>
      <c r="N3286" s="11">
        <v>45202.0</v>
      </c>
      <c r="O3286" s="11">
        <v>45215.0</v>
      </c>
      <c r="P3286" s="11">
        <v>45452.0</v>
      </c>
      <c r="Q3286" s="11">
        <v>45175.0</v>
      </c>
      <c r="R3286" s="11">
        <v>45451.0</v>
      </c>
      <c r="S3286" s="12"/>
      <c r="T3286" s="8"/>
      <c r="U3286" s="8" t="s">
        <v>14317</v>
      </c>
      <c r="V3286" s="13" t="s">
        <v>1604</v>
      </c>
      <c r="W3286" s="13" t="s">
        <v>12888</v>
      </c>
      <c r="X3286" s="12"/>
      <c r="Y3286" s="14"/>
      <c r="Z3286" s="14"/>
    </row>
    <row r="3287">
      <c r="A3287" s="8" t="s">
        <v>15460</v>
      </c>
      <c r="B3287" s="8" t="s">
        <v>15461</v>
      </c>
      <c r="C3287" s="8" t="s">
        <v>708</v>
      </c>
      <c r="D3287" s="8" t="s">
        <v>26</v>
      </c>
      <c r="E3287" s="8" t="s">
        <v>15462</v>
      </c>
      <c r="F3287" s="8">
        <v>1.110501779E9</v>
      </c>
      <c r="G3287" s="8" t="s">
        <v>284</v>
      </c>
      <c r="H3287" s="8" t="s">
        <v>2065</v>
      </c>
      <c r="I3287" s="8" t="s">
        <v>31</v>
      </c>
      <c r="J3287" s="8" t="s">
        <v>220</v>
      </c>
      <c r="K3287" s="10" t="s">
        <v>11414</v>
      </c>
      <c r="L3287" s="8" t="s">
        <v>47</v>
      </c>
      <c r="M3287" s="8" t="s">
        <v>70</v>
      </c>
      <c r="N3287" s="11">
        <v>45202.0</v>
      </c>
      <c r="O3287" s="11">
        <v>45261.0</v>
      </c>
      <c r="P3287" s="11">
        <v>45626.0</v>
      </c>
      <c r="Q3287" s="11">
        <v>45297.0</v>
      </c>
      <c r="R3287" s="11">
        <v>45662.0</v>
      </c>
      <c r="S3287" s="12"/>
      <c r="T3287" s="8"/>
      <c r="U3287" s="8" t="s">
        <v>246</v>
      </c>
      <c r="V3287" s="13" t="s">
        <v>2065</v>
      </c>
      <c r="W3287" s="13" t="s">
        <v>15463</v>
      </c>
      <c r="X3287" s="12"/>
      <c r="Y3287" s="14"/>
      <c r="Z3287" s="14"/>
    </row>
    <row r="3288">
      <c r="A3288" s="8" t="s">
        <v>15464</v>
      </c>
      <c r="B3288" s="8" t="s">
        <v>15465</v>
      </c>
      <c r="C3288" s="8" t="s">
        <v>179</v>
      </c>
      <c r="D3288" s="8" t="s">
        <v>26</v>
      </c>
      <c r="E3288" s="8" t="s">
        <v>15466</v>
      </c>
      <c r="F3288" s="8">
        <v>6.73673327E8</v>
      </c>
      <c r="G3288" s="8" t="s">
        <v>254</v>
      </c>
      <c r="H3288" s="8" t="s">
        <v>255</v>
      </c>
      <c r="I3288" s="8" t="s">
        <v>31</v>
      </c>
      <c r="J3288" s="8" t="s">
        <v>111</v>
      </c>
      <c r="K3288" s="10" t="s">
        <v>910</v>
      </c>
      <c r="L3288" s="8" t="s">
        <v>47</v>
      </c>
      <c r="M3288" s="8" t="s">
        <v>70</v>
      </c>
      <c r="N3288" s="11">
        <v>45203.0</v>
      </c>
      <c r="O3288" s="11">
        <v>45229.0</v>
      </c>
      <c r="P3288" s="11">
        <v>45473.0</v>
      </c>
      <c r="Q3288" s="11"/>
      <c r="R3288" s="11"/>
      <c r="S3288" s="12"/>
      <c r="T3288" s="8"/>
      <c r="U3288" s="8" t="s">
        <v>246</v>
      </c>
      <c r="V3288" s="13" t="s">
        <v>258</v>
      </c>
      <c r="W3288" s="13" t="s">
        <v>15467</v>
      </c>
      <c r="X3288" s="12"/>
      <c r="Y3288" s="14"/>
      <c r="Z3288" s="14"/>
    </row>
    <row r="3289">
      <c r="A3289" s="8" t="s">
        <v>15468</v>
      </c>
      <c r="B3289" s="8" t="s">
        <v>15469</v>
      </c>
      <c r="C3289" s="8" t="s">
        <v>708</v>
      </c>
      <c r="D3289" s="8" t="s">
        <v>26</v>
      </c>
      <c r="E3289" s="8" t="s">
        <v>15470</v>
      </c>
      <c r="F3289" s="8"/>
      <c r="G3289" s="8" t="s">
        <v>31</v>
      </c>
      <c r="H3289" s="8" t="s">
        <v>86</v>
      </c>
      <c r="I3289" s="8" t="s">
        <v>54</v>
      </c>
      <c r="J3289" s="8" t="s">
        <v>244</v>
      </c>
      <c r="K3289" s="10" t="s">
        <v>15471</v>
      </c>
      <c r="L3289" s="8" t="s">
        <v>58</v>
      </c>
      <c r="M3289" s="8" t="s">
        <v>35</v>
      </c>
      <c r="N3289" s="11">
        <v>45203.0</v>
      </c>
      <c r="O3289" s="11">
        <v>45311.0</v>
      </c>
      <c r="P3289" s="11">
        <v>45353.0</v>
      </c>
      <c r="Q3289" s="11">
        <v>45316.0</v>
      </c>
      <c r="R3289" s="11">
        <v>45358.0</v>
      </c>
      <c r="S3289" s="12"/>
      <c r="T3289" s="8"/>
      <c r="U3289" s="8" t="s">
        <v>59</v>
      </c>
      <c r="V3289" s="13" t="s">
        <v>38</v>
      </c>
      <c r="W3289" s="13" t="s">
        <v>15472</v>
      </c>
      <c r="X3289" s="12"/>
      <c r="Y3289" s="14"/>
      <c r="Z3289" s="14"/>
    </row>
    <row r="3290">
      <c r="A3290" s="8" t="s">
        <v>15473</v>
      </c>
      <c r="B3290" s="8" t="s">
        <v>15474</v>
      </c>
      <c r="C3290" s="8" t="s">
        <v>179</v>
      </c>
      <c r="D3290" s="8" t="s">
        <v>26</v>
      </c>
      <c r="E3290" s="8" t="s">
        <v>15475</v>
      </c>
      <c r="F3290" s="8">
        <v>1.098518966E9</v>
      </c>
      <c r="G3290" s="8" t="s">
        <v>284</v>
      </c>
      <c r="H3290" s="8" t="s">
        <v>691</v>
      </c>
      <c r="I3290" s="8" t="s">
        <v>31</v>
      </c>
      <c r="J3290" s="8" t="s">
        <v>43</v>
      </c>
      <c r="K3290" s="10" t="s">
        <v>2922</v>
      </c>
      <c r="L3290" s="8" t="s">
        <v>58</v>
      </c>
      <c r="M3290" s="8" t="s">
        <v>35</v>
      </c>
      <c r="N3290" s="11">
        <v>45203.0</v>
      </c>
      <c r="O3290" s="11">
        <v>45474.0</v>
      </c>
      <c r="P3290" s="11">
        <v>45516.0</v>
      </c>
      <c r="Q3290" s="11"/>
      <c r="R3290" s="11"/>
      <c r="S3290" s="12"/>
      <c r="T3290" s="8"/>
      <c r="U3290" s="8" t="s">
        <v>59</v>
      </c>
      <c r="V3290" s="13" t="s">
        <v>6201</v>
      </c>
      <c r="W3290" s="13" t="s">
        <v>15476</v>
      </c>
      <c r="X3290" s="12"/>
      <c r="Y3290" s="14"/>
      <c r="Z3290" s="14"/>
    </row>
    <row r="3291">
      <c r="A3291" s="8" t="s">
        <v>15477</v>
      </c>
      <c r="B3291" s="8" t="s">
        <v>15478</v>
      </c>
      <c r="C3291" s="8" t="s">
        <v>179</v>
      </c>
      <c r="D3291" s="8" t="s">
        <v>26</v>
      </c>
      <c r="E3291" s="8" t="s">
        <v>15479</v>
      </c>
      <c r="F3291" s="8">
        <v>5.412975103E9</v>
      </c>
      <c r="G3291" s="8" t="s">
        <v>31</v>
      </c>
      <c r="H3291" s="8" t="s">
        <v>86</v>
      </c>
      <c r="I3291" s="8" t="s">
        <v>284</v>
      </c>
      <c r="J3291" s="8" t="s">
        <v>793</v>
      </c>
      <c r="K3291" s="10" t="s">
        <v>13905</v>
      </c>
      <c r="L3291" s="8" t="s">
        <v>58</v>
      </c>
      <c r="M3291" s="8" t="s">
        <v>35</v>
      </c>
      <c r="N3291" s="11">
        <v>45203.0</v>
      </c>
      <c r="O3291" s="11">
        <v>45488.0</v>
      </c>
      <c r="P3291" s="11">
        <v>45530.0</v>
      </c>
      <c r="Q3291" s="11"/>
      <c r="R3291" s="11"/>
      <c r="S3291" s="12"/>
      <c r="T3291" s="8"/>
      <c r="U3291" s="8" t="s">
        <v>339</v>
      </c>
      <c r="V3291" s="13" t="s">
        <v>4518</v>
      </c>
      <c r="W3291" s="13" t="s">
        <v>15480</v>
      </c>
      <c r="X3291" s="12"/>
      <c r="Y3291" s="14"/>
      <c r="Z3291" s="14"/>
    </row>
    <row r="3292">
      <c r="A3292" s="8" t="s">
        <v>15481</v>
      </c>
      <c r="B3292" s="8" t="s">
        <v>10200</v>
      </c>
      <c r="C3292" s="8" t="s">
        <v>708</v>
      </c>
      <c r="D3292" s="8" t="s">
        <v>26</v>
      </c>
      <c r="E3292" s="8" t="s">
        <v>10201</v>
      </c>
      <c r="F3292" s="8" t="s">
        <v>10202</v>
      </c>
      <c r="G3292" s="8" t="s">
        <v>54</v>
      </c>
      <c r="H3292" s="8" t="s">
        <v>135</v>
      </c>
      <c r="I3292" s="8" t="s">
        <v>31</v>
      </c>
      <c r="J3292" s="8" t="s">
        <v>1119</v>
      </c>
      <c r="K3292" s="10" t="s">
        <v>8805</v>
      </c>
      <c r="L3292" s="8" t="s">
        <v>47</v>
      </c>
      <c r="M3292" s="8" t="s">
        <v>70</v>
      </c>
      <c r="N3292" s="11">
        <v>45203.0</v>
      </c>
      <c r="O3292" s="11">
        <v>45178.0</v>
      </c>
      <c r="P3292" s="11">
        <v>45473.0</v>
      </c>
      <c r="Q3292" s="11">
        <v>45203.0</v>
      </c>
      <c r="R3292" s="11">
        <v>45498.0</v>
      </c>
      <c r="S3292" s="12"/>
      <c r="T3292" s="8"/>
      <c r="U3292" s="8" t="s">
        <v>246</v>
      </c>
      <c r="V3292" s="13" t="s">
        <v>358</v>
      </c>
      <c r="W3292" s="13" t="s">
        <v>10203</v>
      </c>
      <c r="X3292" s="12"/>
      <c r="Y3292" s="14"/>
      <c r="Z3292" s="14"/>
    </row>
    <row r="3293">
      <c r="A3293" s="8" t="s">
        <v>15482</v>
      </c>
      <c r="B3293" s="8" t="s">
        <v>15483</v>
      </c>
      <c r="C3293" s="8" t="s">
        <v>708</v>
      </c>
      <c r="D3293" s="8" t="s">
        <v>26</v>
      </c>
      <c r="E3293" s="8" t="s">
        <v>15484</v>
      </c>
      <c r="F3293" s="8">
        <v>1.128400155E9</v>
      </c>
      <c r="G3293" s="8" t="s">
        <v>284</v>
      </c>
      <c r="H3293" s="8" t="s">
        <v>589</v>
      </c>
      <c r="I3293" s="8" t="s">
        <v>31</v>
      </c>
      <c r="J3293" s="8" t="s">
        <v>542</v>
      </c>
      <c r="K3293" s="10" t="s">
        <v>8953</v>
      </c>
      <c r="L3293" s="8" t="s">
        <v>34</v>
      </c>
      <c r="M3293" s="8" t="s">
        <v>70</v>
      </c>
      <c r="N3293" s="11">
        <v>45203.0</v>
      </c>
      <c r="O3293" s="11">
        <v>45230.0</v>
      </c>
      <c r="P3293" s="11">
        <v>45595.0</v>
      </c>
      <c r="Q3293" s="11">
        <v>45235.0</v>
      </c>
      <c r="R3293" s="11">
        <v>45600.0</v>
      </c>
      <c r="S3293" s="12"/>
      <c r="T3293" s="8" t="s">
        <v>36</v>
      </c>
      <c r="U3293" s="8" t="s">
        <v>8954</v>
      </c>
      <c r="V3293" s="13" t="s">
        <v>589</v>
      </c>
      <c r="W3293" s="13" t="s">
        <v>15485</v>
      </c>
      <c r="X3293" s="12"/>
      <c r="Y3293" s="14"/>
      <c r="Z3293" s="14"/>
    </row>
    <row r="3294">
      <c r="A3294" s="8" t="s">
        <v>15486</v>
      </c>
      <c r="B3294" s="8" t="s">
        <v>15487</v>
      </c>
      <c r="C3294" s="8" t="s">
        <v>179</v>
      </c>
      <c r="D3294" s="8" t="s">
        <v>26</v>
      </c>
      <c r="E3294" s="8" t="s">
        <v>15488</v>
      </c>
      <c r="F3294" s="8">
        <v>1.024415068E9</v>
      </c>
      <c r="G3294" s="8" t="s">
        <v>284</v>
      </c>
      <c r="H3294" s="8" t="s">
        <v>3769</v>
      </c>
      <c r="I3294" s="8" t="s">
        <v>31</v>
      </c>
      <c r="J3294" s="8" t="s">
        <v>86</v>
      </c>
      <c r="K3294" s="10" t="s">
        <v>2453</v>
      </c>
      <c r="L3294" s="8" t="s">
        <v>58</v>
      </c>
      <c r="M3294" s="8" t="s">
        <v>35</v>
      </c>
      <c r="N3294" s="11">
        <v>45203.0</v>
      </c>
      <c r="O3294" s="11">
        <v>45487.0</v>
      </c>
      <c r="P3294" s="11">
        <v>45529.0</v>
      </c>
      <c r="Q3294" s="11"/>
      <c r="R3294" s="11"/>
      <c r="S3294" s="12"/>
      <c r="T3294" s="8"/>
      <c r="U3294" s="8" t="s">
        <v>59</v>
      </c>
      <c r="V3294" s="13" t="s">
        <v>3769</v>
      </c>
      <c r="W3294" s="13" t="s">
        <v>15489</v>
      </c>
      <c r="X3294" s="12"/>
      <c r="Y3294" s="14"/>
      <c r="Z3294" s="14"/>
    </row>
    <row r="3295">
      <c r="A3295" s="8" t="s">
        <v>15490</v>
      </c>
      <c r="B3295" s="8" t="s">
        <v>15491</v>
      </c>
      <c r="C3295" s="8" t="s">
        <v>179</v>
      </c>
      <c r="D3295" s="8" t="s">
        <v>26</v>
      </c>
      <c r="E3295" s="8" t="s">
        <v>15492</v>
      </c>
      <c r="F3295" s="8">
        <v>1.155347617E9</v>
      </c>
      <c r="G3295" s="8" t="s">
        <v>284</v>
      </c>
      <c r="H3295" s="8" t="s">
        <v>691</v>
      </c>
      <c r="I3295" s="8" t="s">
        <v>31</v>
      </c>
      <c r="J3295" s="8" t="s">
        <v>256</v>
      </c>
      <c r="K3295" s="10" t="s">
        <v>3411</v>
      </c>
      <c r="L3295" s="8" t="s">
        <v>58</v>
      </c>
      <c r="M3295" s="8" t="s">
        <v>35</v>
      </c>
      <c r="N3295" s="11">
        <v>45204.0</v>
      </c>
      <c r="O3295" s="11">
        <v>45519.0</v>
      </c>
      <c r="P3295" s="11">
        <v>45561.0</v>
      </c>
      <c r="Q3295" s="11"/>
      <c r="R3295" s="11"/>
      <c r="S3295" s="12"/>
      <c r="T3295" s="8"/>
      <c r="U3295" s="8" t="s">
        <v>59</v>
      </c>
      <c r="V3295" s="13" t="s">
        <v>6201</v>
      </c>
      <c r="W3295" s="13" t="s">
        <v>15493</v>
      </c>
      <c r="X3295" s="12"/>
      <c r="Y3295" s="14"/>
      <c r="Z3295" s="14"/>
    </row>
    <row r="3296">
      <c r="A3296" s="8" t="s">
        <v>15494</v>
      </c>
      <c r="B3296" s="8" t="s">
        <v>15495</v>
      </c>
      <c r="C3296" s="8" t="s">
        <v>179</v>
      </c>
      <c r="D3296" s="8" t="s">
        <v>26</v>
      </c>
      <c r="E3296" s="8" t="s">
        <v>15496</v>
      </c>
      <c r="F3296" s="8">
        <v>4.11344901E8</v>
      </c>
      <c r="G3296" s="8" t="s">
        <v>15497</v>
      </c>
      <c r="H3296" s="8" t="s">
        <v>15498</v>
      </c>
      <c r="I3296" s="8" t="s">
        <v>31</v>
      </c>
      <c r="J3296" s="8" t="s">
        <v>86</v>
      </c>
      <c r="K3296" s="10" t="s">
        <v>2453</v>
      </c>
      <c r="L3296" s="8" t="s">
        <v>58</v>
      </c>
      <c r="M3296" s="8" t="s">
        <v>35</v>
      </c>
      <c r="N3296" s="11">
        <v>45204.0</v>
      </c>
      <c r="O3296" s="11">
        <v>45305.0</v>
      </c>
      <c r="P3296" s="11">
        <v>45347.0</v>
      </c>
      <c r="Q3296" s="11"/>
      <c r="R3296" s="11"/>
      <c r="S3296" s="12"/>
      <c r="T3296" s="8"/>
      <c r="U3296" s="8" t="s">
        <v>59</v>
      </c>
      <c r="V3296" s="13" t="s">
        <v>38</v>
      </c>
      <c r="W3296" s="13" t="s">
        <v>15499</v>
      </c>
      <c r="X3296" s="12"/>
      <c r="Y3296" s="14"/>
      <c r="Z3296" s="14"/>
    </row>
    <row r="3297">
      <c r="A3297" s="8" t="s">
        <v>15500</v>
      </c>
      <c r="B3297" s="8" t="s">
        <v>15501</v>
      </c>
      <c r="C3297" s="8" t="s">
        <v>708</v>
      </c>
      <c r="D3297" s="8" t="s">
        <v>26</v>
      </c>
      <c r="E3297" s="8" t="s">
        <v>15502</v>
      </c>
      <c r="F3297" s="8">
        <v>7.99452751E8</v>
      </c>
      <c r="G3297" s="8" t="s">
        <v>254</v>
      </c>
      <c r="H3297" s="8" t="s">
        <v>255</v>
      </c>
      <c r="I3297" s="8" t="s">
        <v>31</v>
      </c>
      <c r="J3297" s="8" t="s">
        <v>111</v>
      </c>
      <c r="K3297" s="10" t="s">
        <v>13356</v>
      </c>
      <c r="L3297" s="8" t="s">
        <v>47</v>
      </c>
      <c r="M3297" s="8" t="s">
        <v>70</v>
      </c>
      <c r="N3297" s="11">
        <v>45204.0</v>
      </c>
      <c r="O3297" s="11">
        <v>45217.0</v>
      </c>
      <c r="P3297" s="11">
        <v>45582.0</v>
      </c>
      <c r="Q3297" s="11">
        <v>45224.0</v>
      </c>
      <c r="R3297" s="11">
        <v>45589.0</v>
      </c>
      <c r="S3297" s="12"/>
      <c r="T3297" s="8"/>
      <c r="U3297" s="8" t="s">
        <v>246</v>
      </c>
      <c r="V3297" s="13" t="s">
        <v>258</v>
      </c>
      <c r="W3297" s="13" t="s">
        <v>15503</v>
      </c>
      <c r="X3297" s="12"/>
      <c r="Y3297" s="14"/>
      <c r="Z3297" s="14"/>
    </row>
    <row r="3298">
      <c r="A3298" s="8" t="s">
        <v>15504</v>
      </c>
      <c r="B3298" s="8" t="s">
        <v>3702</v>
      </c>
      <c r="C3298" s="8" t="s">
        <v>179</v>
      </c>
      <c r="D3298" s="8" t="s">
        <v>26</v>
      </c>
      <c r="E3298" s="8" t="s">
        <v>15505</v>
      </c>
      <c r="F3298" s="8">
        <v>1.025989783E9</v>
      </c>
      <c r="G3298" s="8" t="s">
        <v>284</v>
      </c>
      <c r="H3298" s="8" t="s">
        <v>3769</v>
      </c>
      <c r="I3298" s="8" t="s">
        <v>31</v>
      </c>
      <c r="J3298" s="8" t="s">
        <v>86</v>
      </c>
      <c r="K3298" s="10" t="s">
        <v>2453</v>
      </c>
      <c r="L3298" s="8" t="s">
        <v>58</v>
      </c>
      <c r="M3298" s="8" t="s">
        <v>35</v>
      </c>
      <c r="N3298" s="11">
        <v>45204.0</v>
      </c>
      <c r="O3298" s="11">
        <v>45474.0</v>
      </c>
      <c r="P3298" s="11">
        <v>45516.0</v>
      </c>
      <c r="Q3298" s="11"/>
      <c r="R3298" s="11"/>
      <c r="S3298" s="12"/>
      <c r="T3298" s="8"/>
      <c r="U3298" s="8" t="s">
        <v>59</v>
      </c>
      <c r="V3298" s="13" t="s">
        <v>3769</v>
      </c>
      <c r="W3298" s="13" t="s">
        <v>15506</v>
      </c>
      <c r="X3298" s="12"/>
      <c r="Y3298" s="14"/>
      <c r="Z3298" s="14"/>
    </row>
    <row r="3299">
      <c r="A3299" s="8" t="s">
        <v>15507</v>
      </c>
      <c r="B3299" s="8" t="s">
        <v>15508</v>
      </c>
      <c r="C3299" s="8" t="s">
        <v>179</v>
      </c>
      <c r="D3299" s="8" t="s">
        <v>26</v>
      </c>
      <c r="E3299" s="8" t="s">
        <v>15509</v>
      </c>
      <c r="F3299" s="8">
        <v>1.014399816E9</v>
      </c>
      <c r="G3299" s="8" t="s">
        <v>284</v>
      </c>
      <c r="H3299" s="8" t="s">
        <v>3769</v>
      </c>
      <c r="I3299" s="8" t="s">
        <v>31</v>
      </c>
      <c r="J3299" s="8" t="s">
        <v>86</v>
      </c>
      <c r="K3299" s="10" t="s">
        <v>2453</v>
      </c>
      <c r="L3299" s="8" t="s">
        <v>58</v>
      </c>
      <c r="M3299" s="8" t="s">
        <v>35</v>
      </c>
      <c r="N3299" s="11">
        <v>45204.0</v>
      </c>
      <c r="O3299" s="11">
        <v>45487.0</v>
      </c>
      <c r="P3299" s="11">
        <v>45529.0</v>
      </c>
      <c r="Q3299" s="11"/>
      <c r="R3299" s="11"/>
      <c r="S3299" s="12"/>
      <c r="T3299" s="8"/>
      <c r="U3299" s="8" t="s">
        <v>59</v>
      </c>
      <c r="V3299" s="13" t="s">
        <v>3769</v>
      </c>
      <c r="W3299" s="13" t="s">
        <v>15510</v>
      </c>
      <c r="X3299" s="12"/>
      <c r="Y3299" s="14"/>
      <c r="Z3299" s="14"/>
    </row>
    <row r="3300">
      <c r="A3300" s="8" t="s">
        <v>15511</v>
      </c>
      <c r="B3300" s="8" t="s">
        <v>15512</v>
      </c>
      <c r="C3300" s="8" t="s">
        <v>179</v>
      </c>
      <c r="D3300" s="8" t="s">
        <v>26</v>
      </c>
      <c r="E3300" s="8" t="s">
        <v>15513</v>
      </c>
      <c r="F3300" s="8">
        <v>9.6251041E8</v>
      </c>
      <c r="G3300" s="8" t="s">
        <v>118</v>
      </c>
      <c r="H3300" s="8" t="s">
        <v>3100</v>
      </c>
      <c r="I3300" s="8" t="s">
        <v>31</v>
      </c>
      <c r="J3300" s="8" t="s">
        <v>167</v>
      </c>
      <c r="K3300" s="10" t="s">
        <v>893</v>
      </c>
      <c r="L3300" s="8" t="s">
        <v>58</v>
      </c>
      <c r="M3300" s="8" t="s">
        <v>35</v>
      </c>
      <c r="N3300" s="11">
        <v>45204.0</v>
      </c>
      <c r="O3300" s="11">
        <v>45488.0</v>
      </c>
      <c r="P3300" s="11">
        <v>45530.0</v>
      </c>
      <c r="Q3300" s="11"/>
      <c r="R3300" s="11"/>
      <c r="S3300" s="12"/>
      <c r="T3300" s="8"/>
      <c r="U3300" s="8" t="s">
        <v>88</v>
      </c>
      <c r="V3300" s="13" t="s">
        <v>15514</v>
      </c>
      <c r="W3300" s="13" t="s">
        <v>15515</v>
      </c>
      <c r="X3300" s="12"/>
      <c r="Y3300" s="14"/>
      <c r="Z3300" s="14"/>
    </row>
    <row r="3301">
      <c r="A3301" s="8" t="s">
        <v>15516</v>
      </c>
      <c r="B3301" s="8" t="s">
        <v>8495</v>
      </c>
      <c r="C3301" s="8" t="s">
        <v>179</v>
      </c>
      <c r="D3301" s="8" t="s">
        <v>26</v>
      </c>
      <c r="E3301" s="8" t="s">
        <v>8496</v>
      </c>
      <c r="F3301" s="8"/>
      <c r="G3301" s="8" t="s">
        <v>31</v>
      </c>
      <c r="H3301" s="8" t="s">
        <v>292</v>
      </c>
      <c r="I3301" s="8" t="s">
        <v>54</v>
      </c>
      <c r="J3301" s="8" t="s">
        <v>430</v>
      </c>
      <c r="K3301" s="10" t="s">
        <v>15517</v>
      </c>
      <c r="L3301" s="8" t="s">
        <v>58</v>
      </c>
      <c r="M3301" s="8" t="s">
        <v>35</v>
      </c>
      <c r="N3301" s="11">
        <v>45204.0</v>
      </c>
      <c r="O3301" s="11">
        <v>45313.0</v>
      </c>
      <c r="P3301" s="11">
        <v>45355.0</v>
      </c>
      <c r="Q3301" s="11"/>
      <c r="R3301" s="11"/>
      <c r="S3301" s="12"/>
      <c r="T3301" s="8"/>
      <c r="U3301" s="8" t="s">
        <v>59</v>
      </c>
      <c r="V3301" s="13" t="s">
        <v>38</v>
      </c>
      <c r="W3301" s="13" t="s">
        <v>8497</v>
      </c>
      <c r="X3301" s="12"/>
      <c r="Y3301" s="14"/>
      <c r="Z3301" s="14"/>
    </row>
    <row r="3302">
      <c r="A3302" s="8" t="s">
        <v>15518</v>
      </c>
      <c r="B3302" s="8" t="s">
        <v>15519</v>
      </c>
      <c r="C3302" s="8" t="s">
        <v>179</v>
      </c>
      <c r="D3302" s="8" t="s">
        <v>26</v>
      </c>
      <c r="E3302" s="8" t="s">
        <v>15520</v>
      </c>
      <c r="F3302" s="8">
        <v>2.3361258E7</v>
      </c>
      <c r="G3302" s="8" t="s">
        <v>54</v>
      </c>
      <c r="H3302" s="8" t="s">
        <v>55</v>
      </c>
      <c r="I3302" s="8" t="s">
        <v>31</v>
      </c>
      <c r="J3302" s="8" t="s">
        <v>86</v>
      </c>
      <c r="K3302" s="10" t="s">
        <v>7325</v>
      </c>
      <c r="L3302" s="8" t="s">
        <v>58</v>
      </c>
      <c r="M3302" s="8" t="s">
        <v>35</v>
      </c>
      <c r="N3302" s="11">
        <v>45204.0</v>
      </c>
      <c r="O3302" s="11">
        <v>45256.0</v>
      </c>
      <c r="P3302" s="11">
        <v>45298.0</v>
      </c>
      <c r="Q3302" s="11"/>
      <c r="R3302" s="11"/>
      <c r="S3302" s="12"/>
      <c r="T3302" s="8"/>
      <c r="U3302" s="8" t="s">
        <v>59</v>
      </c>
      <c r="V3302" s="13" t="s">
        <v>15521</v>
      </c>
      <c r="W3302" s="13" t="s">
        <v>15522</v>
      </c>
      <c r="X3302" s="12"/>
      <c r="Y3302" s="14"/>
      <c r="Z3302" s="14"/>
    </row>
    <row r="3303">
      <c r="A3303" s="8" t="s">
        <v>15523</v>
      </c>
      <c r="B3303" s="8" t="s">
        <v>1568</v>
      </c>
      <c r="C3303" s="8" t="s">
        <v>179</v>
      </c>
      <c r="D3303" s="8" t="s">
        <v>26</v>
      </c>
      <c r="E3303" s="8" t="s">
        <v>1569</v>
      </c>
      <c r="F3303" s="8">
        <v>5.04441739E8</v>
      </c>
      <c r="G3303" s="8" t="s">
        <v>277</v>
      </c>
      <c r="H3303" s="8" t="s">
        <v>607</v>
      </c>
      <c r="I3303" s="8" t="s">
        <v>31</v>
      </c>
      <c r="J3303" s="8" t="s">
        <v>66</v>
      </c>
      <c r="K3303" s="10" t="s">
        <v>15524</v>
      </c>
      <c r="L3303" s="8" t="s">
        <v>47</v>
      </c>
      <c r="M3303" s="8" t="s">
        <v>70</v>
      </c>
      <c r="N3303" s="11">
        <v>45205.0</v>
      </c>
      <c r="O3303" s="11">
        <v>45231.0</v>
      </c>
      <c r="P3303" s="11">
        <v>45420.0</v>
      </c>
      <c r="Q3303" s="11"/>
      <c r="R3303" s="11"/>
      <c r="S3303" s="12"/>
      <c r="T3303" s="8"/>
      <c r="U3303" s="8" t="s">
        <v>717</v>
      </c>
      <c r="V3303" s="13" t="s">
        <v>1572</v>
      </c>
      <c r="W3303" s="13" t="s">
        <v>1573</v>
      </c>
      <c r="X3303" s="12"/>
      <c r="Y3303" s="14"/>
      <c r="Z3303" s="14"/>
    </row>
    <row r="3304">
      <c r="A3304" s="8" t="s">
        <v>15525</v>
      </c>
      <c r="B3304" s="8" t="s">
        <v>15526</v>
      </c>
      <c r="C3304" s="8" t="s">
        <v>179</v>
      </c>
      <c r="D3304" s="8" t="s">
        <v>26</v>
      </c>
      <c r="E3304" s="8" t="s">
        <v>15527</v>
      </c>
      <c r="F3304" s="8">
        <v>5.078652783E9</v>
      </c>
      <c r="G3304" s="8" t="s">
        <v>31</v>
      </c>
      <c r="H3304" s="8" t="s">
        <v>32</v>
      </c>
      <c r="I3304" s="8" t="s">
        <v>284</v>
      </c>
      <c r="J3304" s="8" t="s">
        <v>793</v>
      </c>
      <c r="K3304" s="10" t="s">
        <v>15528</v>
      </c>
      <c r="L3304" s="8" t="s">
        <v>58</v>
      </c>
      <c r="M3304" s="8" t="s">
        <v>35</v>
      </c>
      <c r="N3304" s="11">
        <v>45205.0</v>
      </c>
      <c r="O3304" s="11">
        <v>45218.0</v>
      </c>
      <c r="P3304" s="11">
        <v>45260.0</v>
      </c>
      <c r="Q3304" s="11"/>
      <c r="R3304" s="11"/>
      <c r="S3304" s="12"/>
      <c r="T3304" s="8"/>
      <c r="U3304" s="8" t="s">
        <v>59</v>
      </c>
      <c r="V3304" s="13" t="s">
        <v>537</v>
      </c>
      <c r="W3304" s="13" t="s">
        <v>15529</v>
      </c>
      <c r="X3304" s="12"/>
      <c r="Y3304" s="14"/>
      <c r="Z3304" s="14"/>
    </row>
    <row r="3305">
      <c r="A3305" s="8" t="s">
        <v>15530</v>
      </c>
      <c r="B3305" s="8" t="s">
        <v>15531</v>
      </c>
      <c r="C3305" s="8" t="s">
        <v>179</v>
      </c>
      <c r="D3305" s="8" t="s">
        <v>26</v>
      </c>
      <c r="E3305" s="8" t="s">
        <v>15532</v>
      </c>
      <c r="F3305" s="8">
        <v>5.550094601E9</v>
      </c>
      <c r="G3305" s="8" t="s">
        <v>31</v>
      </c>
      <c r="H3305" s="8" t="s">
        <v>86</v>
      </c>
      <c r="I3305" s="8" t="s">
        <v>127</v>
      </c>
      <c r="J3305" s="8" t="s">
        <v>2182</v>
      </c>
      <c r="K3305" s="10" t="s">
        <v>15165</v>
      </c>
      <c r="L3305" s="8" t="s">
        <v>58</v>
      </c>
      <c r="M3305" s="8" t="s">
        <v>35</v>
      </c>
      <c r="N3305" s="11">
        <v>45205.0</v>
      </c>
      <c r="O3305" s="11">
        <v>45297.0</v>
      </c>
      <c r="P3305" s="11">
        <v>45339.0</v>
      </c>
      <c r="Q3305" s="11"/>
      <c r="R3305" s="11"/>
      <c r="S3305" s="12"/>
      <c r="T3305" s="8"/>
      <c r="U3305" s="8" t="s">
        <v>1956</v>
      </c>
      <c r="V3305" s="13" t="s">
        <v>175</v>
      </c>
      <c r="W3305" s="13" t="s">
        <v>15533</v>
      </c>
      <c r="X3305" s="12"/>
      <c r="Y3305" s="14"/>
      <c r="Z3305" s="14"/>
    </row>
    <row r="3306">
      <c r="A3306" s="8" t="s">
        <v>15534</v>
      </c>
      <c r="B3306" s="8" t="s">
        <v>15535</v>
      </c>
      <c r="C3306" s="8" t="s">
        <v>179</v>
      </c>
      <c r="D3306" s="8" t="s">
        <v>26</v>
      </c>
      <c r="E3306" s="8" t="s">
        <v>15536</v>
      </c>
      <c r="F3306" s="8">
        <v>5.070787542E9</v>
      </c>
      <c r="G3306" s="8" t="s">
        <v>31</v>
      </c>
      <c r="H3306" s="8" t="s">
        <v>542</v>
      </c>
      <c r="I3306" s="8" t="s">
        <v>284</v>
      </c>
      <c r="J3306" s="8" t="s">
        <v>3188</v>
      </c>
      <c r="K3306" s="10" t="s">
        <v>11774</v>
      </c>
      <c r="L3306" s="8" t="s">
        <v>47</v>
      </c>
      <c r="M3306" s="8" t="s">
        <v>48</v>
      </c>
      <c r="N3306" s="11">
        <v>45205.0</v>
      </c>
      <c r="O3306" s="11">
        <v>45474.0</v>
      </c>
      <c r="P3306" s="11">
        <v>45654.0</v>
      </c>
      <c r="Q3306" s="11"/>
      <c r="R3306" s="11"/>
      <c r="S3306" s="12"/>
      <c r="T3306" s="8"/>
      <c r="U3306" s="8" t="s">
        <v>8413</v>
      </c>
      <c r="V3306" s="13" t="s">
        <v>545</v>
      </c>
      <c r="W3306" s="13" t="s">
        <v>15537</v>
      </c>
      <c r="X3306" s="12"/>
      <c r="Y3306" s="14"/>
      <c r="Z3306" s="14"/>
    </row>
    <row r="3307">
      <c r="A3307" s="8" t="s">
        <v>15538</v>
      </c>
      <c r="B3307" s="8" t="s">
        <v>15539</v>
      </c>
      <c r="C3307" s="8" t="s">
        <v>1326</v>
      </c>
      <c r="D3307" s="8" t="s">
        <v>26</v>
      </c>
      <c r="E3307" s="8" t="s">
        <v>15540</v>
      </c>
      <c r="F3307" s="8">
        <v>1.015152252E9</v>
      </c>
      <c r="G3307" s="8" t="s">
        <v>284</v>
      </c>
      <c r="H3307" s="8" t="s">
        <v>2065</v>
      </c>
      <c r="I3307" s="8" t="s">
        <v>31</v>
      </c>
      <c r="J3307" s="8" t="s">
        <v>66</v>
      </c>
      <c r="K3307" s="10" t="s">
        <v>15541</v>
      </c>
      <c r="L3307" s="8" t="s">
        <v>58</v>
      </c>
      <c r="M3307" s="8" t="s">
        <v>35</v>
      </c>
      <c r="N3307" s="11">
        <v>45205.0</v>
      </c>
      <c r="O3307" s="11">
        <v>45259.0</v>
      </c>
      <c r="P3307" s="11">
        <v>45301.0</v>
      </c>
      <c r="Q3307" s="11">
        <v>45262.0</v>
      </c>
      <c r="R3307" s="11">
        <v>45302.0</v>
      </c>
      <c r="S3307" s="12"/>
      <c r="T3307" s="8"/>
      <c r="U3307" s="8" t="s">
        <v>59</v>
      </c>
      <c r="V3307" s="13" t="s">
        <v>2065</v>
      </c>
      <c r="W3307" s="13" t="s">
        <v>15542</v>
      </c>
      <c r="X3307" s="12"/>
      <c r="Y3307" s="14"/>
      <c r="Z3307" s="14"/>
    </row>
    <row r="3308">
      <c r="A3308" s="8" t="s">
        <v>15543</v>
      </c>
      <c r="B3308" s="8" t="s">
        <v>15544</v>
      </c>
      <c r="C3308" s="8" t="s">
        <v>708</v>
      </c>
      <c r="D3308" s="8" t="s">
        <v>26</v>
      </c>
      <c r="E3308" s="8" t="s">
        <v>15545</v>
      </c>
      <c r="F3308" s="8">
        <v>2.6928122E7</v>
      </c>
      <c r="G3308" s="8" t="s">
        <v>54</v>
      </c>
      <c r="H3308" s="8" t="s">
        <v>244</v>
      </c>
      <c r="I3308" s="8" t="s">
        <v>31</v>
      </c>
      <c r="J3308" s="8" t="s">
        <v>256</v>
      </c>
      <c r="K3308" s="10" t="s">
        <v>15546</v>
      </c>
      <c r="L3308" s="8" t="s">
        <v>47</v>
      </c>
      <c r="M3308" s="8" t="s">
        <v>70</v>
      </c>
      <c r="N3308" s="11">
        <v>45205.0</v>
      </c>
      <c r="O3308" s="11">
        <v>45203.0</v>
      </c>
      <c r="P3308" s="11">
        <v>45568.0</v>
      </c>
      <c r="Q3308" s="11">
        <v>45230.0</v>
      </c>
      <c r="R3308" s="11">
        <v>45595.0</v>
      </c>
      <c r="S3308" s="12"/>
      <c r="T3308" s="8"/>
      <c r="U3308" s="8" t="s">
        <v>246</v>
      </c>
      <c r="V3308" s="13" t="s">
        <v>247</v>
      </c>
      <c r="W3308" s="13" t="s">
        <v>15547</v>
      </c>
      <c r="X3308" s="12"/>
      <c r="Y3308" s="14"/>
      <c r="Z3308" s="14"/>
    </row>
    <row r="3309">
      <c r="A3309" s="8" t="s">
        <v>15548</v>
      </c>
      <c r="B3309" s="8" t="s">
        <v>15549</v>
      </c>
      <c r="C3309" s="8" t="s">
        <v>179</v>
      </c>
      <c r="D3309" s="8" t="s">
        <v>26</v>
      </c>
      <c r="E3309" s="8" t="s">
        <v>15550</v>
      </c>
      <c r="F3309" s="8">
        <v>1.03952072E8</v>
      </c>
      <c r="G3309" s="8" t="s">
        <v>5236</v>
      </c>
      <c r="H3309" s="8" t="s">
        <v>5237</v>
      </c>
      <c r="I3309" s="8" t="s">
        <v>31</v>
      </c>
      <c r="J3309" s="8" t="s">
        <v>86</v>
      </c>
      <c r="K3309" s="10" t="s">
        <v>389</v>
      </c>
      <c r="L3309" s="8" t="s">
        <v>58</v>
      </c>
      <c r="M3309" s="8" t="s">
        <v>35</v>
      </c>
      <c r="N3309" s="11">
        <v>45206.0</v>
      </c>
      <c r="O3309" s="11">
        <v>45333.0</v>
      </c>
      <c r="P3309" s="11">
        <v>45375.0</v>
      </c>
      <c r="Q3309" s="11"/>
      <c r="R3309" s="11"/>
      <c r="S3309" s="12"/>
      <c r="T3309" s="8"/>
      <c r="U3309" s="8" t="s">
        <v>153</v>
      </c>
      <c r="V3309" s="13" t="s">
        <v>15551</v>
      </c>
      <c r="W3309" s="13" t="s">
        <v>15552</v>
      </c>
      <c r="X3309" s="12"/>
      <c r="Y3309" s="14"/>
      <c r="Z3309" s="14"/>
    </row>
    <row r="3310">
      <c r="A3310" s="8" t="s">
        <v>15553</v>
      </c>
      <c r="B3310" s="8" t="s">
        <v>15554</v>
      </c>
      <c r="C3310" s="8" t="s">
        <v>708</v>
      </c>
      <c r="D3310" s="8" t="s">
        <v>26</v>
      </c>
      <c r="E3310" s="8" t="s">
        <v>15555</v>
      </c>
      <c r="F3310" s="8"/>
      <c r="G3310" s="8" t="s">
        <v>54</v>
      </c>
      <c r="H3310" s="8" t="s">
        <v>55</v>
      </c>
      <c r="I3310" s="8" t="s">
        <v>31</v>
      </c>
      <c r="J3310" s="8" t="s">
        <v>111</v>
      </c>
      <c r="K3310" s="10" t="s">
        <v>4676</v>
      </c>
      <c r="L3310" s="8" t="s">
        <v>47</v>
      </c>
      <c r="M3310" s="8" t="s">
        <v>70</v>
      </c>
      <c r="N3310" s="11">
        <v>45206.0</v>
      </c>
      <c r="O3310" s="11">
        <v>45250.0</v>
      </c>
      <c r="P3310" s="11">
        <v>45616.0</v>
      </c>
      <c r="Q3310" s="11">
        <v>45251.0</v>
      </c>
      <c r="R3310" s="11">
        <v>45616.0</v>
      </c>
      <c r="S3310" s="12"/>
      <c r="T3310" s="8" t="s">
        <v>446</v>
      </c>
      <c r="U3310" s="8" t="s">
        <v>4677</v>
      </c>
      <c r="V3310" s="13" t="s">
        <v>38</v>
      </c>
      <c r="W3310" s="13" t="s">
        <v>15556</v>
      </c>
      <c r="X3310" s="12"/>
      <c r="Y3310" s="14"/>
      <c r="Z3310" s="14"/>
    </row>
    <row r="3311">
      <c r="A3311" s="8" t="s">
        <v>15557</v>
      </c>
      <c r="B3311" s="8" t="s">
        <v>15558</v>
      </c>
      <c r="C3311" s="8" t="s">
        <v>179</v>
      </c>
      <c r="D3311" s="8" t="s">
        <v>26</v>
      </c>
      <c r="E3311" s="8" t="s">
        <v>15559</v>
      </c>
      <c r="F3311" s="8">
        <v>6.35501003E8</v>
      </c>
      <c r="G3311" s="8" t="s">
        <v>1620</v>
      </c>
      <c r="H3311" s="8" t="s">
        <v>10795</v>
      </c>
      <c r="I3311" s="8" t="s">
        <v>31</v>
      </c>
      <c r="J3311" s="8" t="s">
        <v>86</v>
      </c>
      <c r="K3311" s="10" t="s">
        <v>15200</v>
      </c>
      <c r="L3311" s="8" t="s">
        <v>58</v>
      </c>
      <c r="M3311" s="8" t="s">
        <v>35</v>
      </c>
      <c r="N3311" s="11">
        <v>45206.0</v>
      </c>
      <c r="O3311" s="11">
        <v>45375.0</v>
      </c>
      <c r="P3311" s="11">
        <v>45417.0</v>
      </c>
      <c r="Q3311" s="11"/>
      <c r="R3311" s="11"/>
      <c r="S3311" s="12"/>
      <c r="T3311" s="8"/>
      <c r="U3311" s="8" t="s">
        <v>59</v>
      </c>
      <c r="V3311" s="13" t="s">
        <v>15560</v>
      </c>
      <c r="W3311" s="13" t="s">
        <v>15561</v>
      </c>
      <c r="X3311" s="12"/>
      <c r="Y3311" s="14"/>
      <c r="Z3311" s="14"/>
    </row>
    <row r="3312">
      <c r="A3312" s="8" t="s">
        <v>15562</v>
      </c>
      <c r="B3312" s="8" t="s">
        <v>9930</v>
      </c>
      <c r="C3312" s="8" t="s">
        <v>179</v>
      </c>
      <c r="D3312" s="8" t="s">
        <v>26</v>
      </c>
      <c r="E3312" s="8" t="s">
        <v>15563</v>
      </c>
      <c r="F3312" s="8">
        <v>5.307358603E9</v>
      </c>
      <c r="G3312" s="8" t="s">
        <v>31</v>
      </c>
      <c r="H3312" s="8" t="s">
        <v>66</v>
      </c>
      <c r="I3312" s="8" t="s">
        <v>284</v>
      </c>
      <c r="J3312" s="8" t="s">
        <v>793</v>
      </c>
      <c r="K3312" s="10" t="s">
        <v>8983</v>
      </c>
      <c r="L3312" s="8" t="s">
        <v>58</v>
      </c>
      <c r="M3312" s="8" t="s">
        <v>35</v>
      </c>
      <c r="N3312" s="11">
        <v>45206.0</v>
      </c>
      <c r="O3312" s="11">
        <v>45505.0</v>
      </c>
      <c r="P3312" s="11">
        <v>45547.0</v>
      </c>
      <c r="Q3312" s="11"/>
      <c r="R3312" s="11"/>
      <c r="S3312" s="12"/>
      <c r="T3312" s="8"/>
      <c r="U3312" s="8" t="s">
        <v>1038</v>
      </c>
      <c r="V3312" s="13" t="s">
        <v>66</v>
      </c>
      <c r="W3312" s="13" t="s">
        <v>15564</v>
      </c>
      <c r="X3312" s="12"/>
      <c r="Y3312" s="14"/>
      <c r="Z3312" s="14"/>
    </row>
    <row r="3313">
      <c r="A3313" s="8" t="s">
        <v>15565</v>
      </c>
      <c r="B3313" s="8" t="s">
        <v>15566</v>
      </c>
      <c r="C3313" s="8" t="s">
        <v>179</v>
      </c>
      <c r="D3313" s="8" t="s">
        <v>26</v>
      </c>
      <c r="E3313" s="8" t="s">
        <v>15567</v>
      </c>
      <c r="F3313" s="8">
        <v>5.351092608E9</v>
      </c>
      <c r="G3313" s="8" t="s">
        <v>31</v>
      </c>
      <c r="H3313" s="8" t="s">
        <v>43</v>
      </c>
      <c r="I3313" s="8" t="s">
        <v>284</v>
      </c>
      <c r="J3313" s="8" t="s">
        <v>2065</v>
      </c>
      <c r="K3313" s="10" t="s">
        <v>15568</v>
      </c>
      <c r="L3313" s="8" t="s">
        <v>58</v>
      </c>
      <c r="M3313" s="8" t="s">
        <v>35</v>
      </c>
      <c r="N3313" s="11">
        <v>45206.0</v>
      </c>
      <c r="O3313" s="11">
        <v>45474.0</v>
      </c>
      <c r="P3313" s="11">
        <v>45516.0</v>
      </c>
      <c r="Q3313" s="11"/>
      <c r="R3313" s="11"/>
      <c r="S3313" s="12"/>
      <c r="T3313" s="8"/>
      <c r="U3313" s="8" t="s">
        <v>59</v>
      </c>
      <c r="V3313" s="13" t="s">
        <v>56</v>
      </c>
      <c r="W3313" s="13" t="s">
        <v>15569</v>
      </c>
      <c r="X3313" s="12"/>
      <c r="Y3313" s="14"/>
      <c r="Z3313" s="14"/>
    </row>
    <row r="3314">
      <c r="A3314" s="8" t="s">
        <v>15570</v>
      </c>
      <c r="B3314" s="8" t="s">
        <v>15571</v>
      </c>
      <c r="C3314" s="8" t="s">
        <v>179</v>
      </c>
      <c r="D3314" s="8" t="s">
        <v>26</v>
      </c>
      <c r="E3314" s="8" t="s">
        <v>15572</v>
      </c>
      <c r="F3314" s="8">
        <v>1.123513422E9</v>
      </c>
      <c r="G3314" s="8" t="s">
        <v>284</v>
      </c>
      <c r="H3314" s="8" t="s">
        <v>300</v>
      </c>
      <c r="I3314" s="8" t="s">
        <v>31</v>
      </c>
      <c r="J3314" s="8" t="s">
        <v>43</v>
      </c>
      <c r="K3314" s="10" t="s">
        <v>12504</v>
      </c>
      <c r="L3314" s="8" t="s">
        <v>58</v>
      </c>
      <c r="M3314" s="8" t="s">
        <v>35</v>
      </c>
      <c r="N3314" s="11">
        <v>45207.0</v>
      </c>
      <c r="O3314" s="11">
        <v>45264.0</v>
      </c>
      <c r="P3314" s="11">
        <v>45310.0</v>
      </c>
      <c r="Q3314" s="11"/>
      <c r="R3314" s="11"/>
      <c r="S3314" s="12"/>
      <c r="T3314" s="8"/>
      <c r="U3314" s="8" t="s">
        <v>59</v>
      </c>
      <c r="V3314" s="13" t="s">
        <v>7533</v>
      </c>
      <c r="W3314" s="13" t="s">
        <v>15573</v>
      </c>
      <c r="X3314" s="12"/>
      <c r="Y3314" s="14"/>
      <c r="Z3314" s="14"/>
    </row>
    <row r="3315">
      <c r="A3315" s="8" t="s">
        <v>15574</v>
      </c>
      <c r="B3315" s="8" t="s">
        <v>15575</v>
      </c>
      <c r="C3315" s="8" t="s">
        <v>179</v>
      </c>
      <c r="D3315" s="8" t="s">
        <v>26</v>
      </c>
      <c r="E3315" s="8" t="s">
        <v>15576</v>
      </c>
      <c r="F3315" s="8">
        <v>1.062185371E9</v>
      </c>
      <c r="G3315" s="8" t="s">
        <v>284</v>
      </c>
      <c r="H3315" s="8" t="s">
        <v>2065</v>
      </c>
      <c r="I3315" s="8" t="s">
        <v>31</v>
      </c>
      <c r="J3315" s="8" t="s">
        <v>66</v>
      </c>
      <c r="K3315" s="10" t="s">
        <v>15541</v>
      </c>
      <c r="L3315" s="8" t="s">
        <v>58</v>
      </c>
      <c r="M3315" s="8" t="s">
        <v>35</v>
      </c>
      <c r="N3315" s="11">
        <v>45207.0</v>
      </c>
      <c r="O3315" s="11">
        <v>45259.0</v>
      </c>
      <c r="P3315" s="11">
        <v>45301.0</v>
      </c>
      <c r="Q3315" s="11"/>
      <c r="R3315" s="11"/>
      <c r="S3315" s="12"/>
      <c r="T3315" s="8"/>
      <c r="U3315" s="8" t="s">
        <v>59</v>
      </c>
      <c r="V3315" s="13" t="s">
        <v>2065</v>
      </c>
      <c r="W3315" s="13" t="s">
        <v>15577</v>
      </c>
      <c r="X3315" s="12"/>
      <c r="Y3315" s="14"/>
      <c r="Z3315" s="14"/>
    </row>
    <row r="3316">
      <c r="A3316" s="8" t="s">
        <v>15578</v>
      </c>
      <c r="B3316" s="8" t="s">
        <v>15579</v>
      </c>
      <c r="C3316" s="8" t="s">
        <v>179</v>
      </c>
      <c r="D3316" s="8" t="s">
        <v>26</v>
      </c>
      <c r="E3316" s="8" t="s">
        <v>15580</v>
      </c>
      <c r="F3316" s="8">
        <v>1.016564762E9</v>
      </c>
      <c r="G3316" s="8" t="s">
        <v>284</v>
      </c>
      <c r="H3316" s="8" t="s">
        <v>300</v>
      </c>
      <c r="I3316" s="8" t="s">
        <v>31</v>
      </c>
      <c r="J3316" s="8" t="s">
        <v>220</v>
      </c>
      <c r="K3316" s="10" t="s">
        <v>11414</v>
      </c>
      <c r="L3316" s="8" t="s">
        <v>47</v>
      </c>
      <c r="M3316" s="8" t="s">
        <v>70</v>
      </c>
      <c r="N3316" s="11">
        <v>45207.0</v>
      </c>
      <c r="O3316" s="11">
        <v>45214.0</v>
      </c>
      <c r="P3316" s="11">
        <v>45579.0</v>
      </c>
      <c r="Q3316" s="11"/>
      <c r="R3316" s="11"/>
      <c r="S3316" s="12"/>
      <c r="T3316" s="8"/>
      <c r="U3316" s="8" t="s">
        <v>246</v>
      </c>
      <c r="V3316" s="13" t="s">
        <v>300</v>
      </c>
      <c r="W3316" s="13" t="s">
        <v>15581</v>
      </c>
      <c r="X3316" s="12"/>
      <c r="Y3316" s="14"/>
      <c r="Z3316" s="14"/>
    </row>
    <row r="3317">
      <c r="A3317" s="8" t="s">
        <v>15582</v>
      </c>
      <c r="B3317" s="8" t="s">
        <v>15583</v>
      </c>
      <c r="C3317" s="8" t="s">
        <v>179</v>
      </c>
      <c r="D3317" s="8" t="s">
        <v>26</v>
      </c>
      <c r="E3317" s="8" t="s">
        <v>15584</v>
      </c>
      <c r="F3317" s="8"/>
      <c r="G3317" s="8" t="s">
        <v>284</v>
      </c>
      <c r="H3317" s="8" t="s">
        <v>691</v>
      </c>
      <c r="I3317" s="8" t="s">
        <v>31</v>
      </c>
      <c r="J3317" s="8" t="s">
        <v>43</v>
      </c>
      <c r="K3317" s="10" t="s">
        <v>2922</v>
      </c>
      <c r="L3317" s="8" t="s">
        <v>58</v>
      </c>
      <c r="M3317" s="8" t="s">
        <v>35</v>
      </c>
      <c r="N3317" s="11">
        <v>45208.0</v>
      </c>
      <c r="O3317" s="11">
        <v>45474.0</v>
      </c>
      <c r="P3317" s="11">
        <v>45516.0</v>
      </c>
      <c r="Q3317" s="11"/>
      <c r="R3317" s="11"/>
      <c r="S3317" s="12"/>
      <c r="T3317" s="8"/>
      <c r="U3317" s="8" t="s">
        <v>59</v>
      </c>
      <c r="V3317" s="13" t="s">
        <v>38</v>
      </c>
      <c r="W3317" s="13" t="s">
        <v>15585</v>
      </c>
      <c r="X3317" s="12"/>
      <c r="Y3317" s="14"/>
      <c r="Z3317" s="14"/>
    </row>
    <row r="3318">
      <c r="A3318" s="8" t="s">
        <v>15586</v>
      </c>
      <c r="B3318" s="8" t="s">
        <v>15587</v>
      </c>
      <c r="C3318" s="8" t="s">
        <v>179</v>
      </c>
      <c r="D3318" s="8" t="s">
        <v>26</v>
      </c>
      <c r="E3318" s="8" t="s">
        <v>15588</v>
      </c>
      <c r="F3318" s="8">
        <v>5.347620018E9</v>
      </c>
      <c r="G3318" s="8" t="s">
        <v>31</v>
      </c>
      <c r="H3318" s="8" t="s">
        <v>542</v>
      </c>
      <c r="I3318" s="8" t="s">
        <v>5008</v>
      </c>
      <c r="J3318" s="8" t="s">
        <v>15589</v>
      </c>
      <c r="K3318" s="10" t="s">
        <v>15590</v>
      </c>
      <c r="L3318" s="8" t="s">
        <v>34</v>
      </c>
      <c r="M3318" s="8" t="s">
        <v>70</v>
      </c>
      <c r="N3318" s="11">
        <v>45208.0</v>
      </c>
      <c r="O3318" s="11">
        <v>45166.0</v>
      </c>
      <c r="P3318" s="11">
        <v>45527.0</v>
      </c>
      <c r="Q3318" s="11"/>
      <c r="R3318" s="11"/>
      <c r="S3318" s="12"/>
      <c r="T3318" s="8" t="s">
        <v>446</v>
      </c>
      <c r="U3318" s="8" t="s">
        <v>15591</v>
      </c>
      <c r="V3318" s="13" t="s">
        <v>545</v>
      </c>
      <c r="W3318" s="13" t="s">
        <v>15592</v>
      </c>
      <c r="X3318" s="12"/>
      <c r="Y3318" s="14"/>
      <c r="Z3318" s="14"/>
    </row>
    <row r="3319">
      <c r="A3319" s="8" t="s">
        <v>15593</v>
      </c>
      <c r="B3319" s="8" t="s">
        <v>15594</v>
      </c>
      <c r="C3319" s="8" t="s">
        <v>64</v>
      </c>
      <c r="D3319" s="8" t="s">
        <v>26</v>
      </c>
      <c r="E3319" s="8" t="s">
        <v>15595</v>
      </c>
      <c r="F3319" s="8">
        <v>5.061438168E9</v>
      </c>
      <c r="G3319" s="8" t="s">
        <v>31</v>
      </c>
      <c r="H3319" s="8" t="s">
        <v>66</v>
      </c>
      <c r="I3319" s="8" t="s">
        <v>54</v>
      </c>
      <c r="J3319" s="8" t="s">
        <v>430</v>
      </c>
      <c r="K3319" s="10" t="s">
        <v>6295</v>
      </c>
      <c r="L3319" s="8" t="s">
        <v>47</v>
      </c>
      <c r="M3319" s="8" t="s">
        <v>35</v>
      </c>
      <c r="N3319" s="11">
        <v>45208.0</v>
      </c>
      <c r="O3319" s="11">
        <v>45240.0</v>
      </c>
      <c r="P3319" s="11">
        <v>45303.0</v>
      </c>
      <c r="Q3319" s="11">
        <v>45226.0</v>
      </c>
      <c r="R3319" s="11">
        <v>45303.0</v>
      </c>
      <c r="S3319" s="12"/>
      <c r="T3319" s="8"/>
      <c r="U3319" s="8" t="s">
        <v>6296</v>
      </c>
      <c r="V3319" s="13" t="s">
        <v>1274</v>
      </c>
      <c r="W3319" s="13" t="s">
        <v>15596</v>
      </c>
      <c r="X3319" s="12"/>
      <c r="Y3319" s="14"/>
      <c r="Z3319" s="14"/>
    </row>
    <row r="3320">
      <c r="A3320" s="8" t="s">
        <v>15597</v>
      </c>
      <c r="B3320" s="8" t="s">
        <v>15598</v>
      </c>
      <c r="C3320" s="8" t="s">
        <v>708</v>
      </c>
      <c r="D3320" s="8" t="s">
        <v>26</v>
      </c>
      <c r="E3320" s="8" t="s">
        <v>15599</v>
      </c>
      <c r="F3320" s="8">
        <v>1.206353787E9</v>
      </c>
      <c r="G3320" s="8" t="s">
        <v>284</v>
      </c>
      <c r="H3320" s="8" t="s">
        <v>589</v>
      </c>
      <c r="I3320" s="8" t="s">
        <v>31</v>
      </c>
      <c r="J3320" s="8" t="s">
        <v>56</v>
      </c>
      <c r="K3320" s="10" t="s">
        <v>2787</v>
      </c>
      <c r="L3320" s="8" t="s">
        <v>47</v>
      </c>
      <c r="M3320" s="8" t="s">
        <v>70</v>
      </c>
      <c r="N3320" s="11">
        <v>45208.0</v>
      </c>
      <c r="O3320" s="11">
        <v>45222.0</v>
      </c>
      <c r="P3320" s="11">
        <v>45583.0</v>
      </c>
      <c r="Q3320" s="11">
        <v>45236.0</v>
      </c>
      <c r="R3320" s="11">
        <v>45597.0</v>
      </c>
      <c r="S3320" s="12"/>
      <c r="T3320" s="8"/>
      <c r="U3320" s="8" t="s">
        <v>2788</v>
      </c>
      <c r="V3320" s="13" t="s">
        <v>589</v>
      </c>
      <c r="W3320" s="13" t="s">
        <v>15600</v>
      </c>
      <c r="X3320" s="12"/>
      <c r="Y3320" s="14"/>
      <c r="Z3320" s="14"/>
    </row>
    <row r="3321">
      <c r="A3321" s="8" t="s">
        <v>15601</v>
      </c>
      <c r="B3321" s="8" t="s">
        <v>15602</v>
      </c>
      <c r="C3321" s="8" t="s">
        <v>179</v>
      </c>
      <c r="D3321" s="8" t="s">
        <v>26</v>
      </c>
      <c r="E3321" s="8" t="s">
        <v>15603</v>
      </c>
      <c r="F3321" s="8">
        <v>1.002005969E9</v>
      </c>
      <c r="G3321" s="8" t="s">
        <v>284</v>
      </c>
      <c r="H3321" s="8" t="s">
        <v>691</v>
      </c>
      <c r="I3321" s="8" t="s">
        <v>31</v>
      </c>
      <c r="J3321" s="8" t="s">
        <v>43</v>
      </c>
      <c r="K3321" s="10" t="s">
        <v>2922</v>
      </c>
      <c r="L3321" s="8" t="s">
        <v>58</v>
      </c>
      <c r="M3321" s="8" t="s">
        <v>35</v>
      </c>
      <c r="N3321" s="11">
        <v>45208.0</v>
      </c>
      <c r="O3321" s="11">
        <v>45474.0</v>
      </c>
      <c r="P3321" s="11">
        <v>45516.0</v>
      </c>
      <c r="Q3321" s="11"/>
      <c r="R3321" s="11"/>
      <c r="S3321" s="12"/>
      <c r="T3321" s="8"/>
      <c r="U3321" s="8" t="s">
        <v>59</v>
      </c>
      <c r="V3321" s="13" t="s">
        <v>6201</v>
      </c>
      <c r="W3321" s="13" t="s">
        <v>15604</v>
      </c>
      <c r="X3321" s="12"/>
      <c r="Y3321" s="14"/>
      <c r="Z3321" s="14"/>
    </row>
    <row r="3322">
      <c r="A3322" s="8" t="s">
        <v>15605</v>
      </c>
      <c r="B3322" s="8" t="s">
        <v>15606</v>
      </c>
      <c r="C3322" s="8" t="s">
        <v>179</v>
      </c>
      <c r="D3322" s="8" t="s">
        <v>26</v>
      </c>
      <c r="E3322" s="8" t="s">
        <v>15607</v>
      </c>
      <c r="F3322" s="8">
        <v>5.533269635E9</v>
      </c>
      <c r="G3322" s="8" t="s">
        <v>31</v>
      </c>
      <c r="H3322" s="8" t="s">
        <v>86</v>
      </c>
      <c r="I3322" s="8" t="s">
        <v>284</v>
      </c>
      <c r="J3322" s="8" t="s">
        <v>793</v>
      </c>
      <c r="K3322" s="10" t="s">
        <v>8983</v>
      </c>
      <c r="L3322" s="8" t="s">
        <v>58</v>
      </c>
      <c r="M3322" s="8" t="s">
        <v>35</v>
      </c>
      <c r="N3322" s="11">
        <v>45208.0</v>
      </c>
      <c r="O3322" s="11">
        <v>45474.0</v>
      </c>
      <c r="P3322" s="11">
        <v>45516.0</v>
      </c>
      <c r="Q3322" s="11"/>
      <c r="R3322" s="11"/>
      <c r="S3322" s="12"/>
      <c r="T3322" s="8"/>
      <c r="U3322" s="8" t="s">
        <v>1038</v>
      </c>
      <c r="V3322" s="13" t="s">
        <v>175</v>
      </c>
      <c r="W3322" s="13" t="s">
        <v>15608</v>
      </c>
      <c r="X3322" s="12"/>
      <c r="Y3322" s="14"/>
      <c r="Z3322" s="14"/>
    </row>
    <row r="3323">
      <c r="A3323" s="8" t="s">
        <v>15609</v>
      </c>
      <c r="B3323" s="8" t="s">
        <v>15610</v>
      </c>
      <c r="C3323" s="8" t="s">
        <v>708</v>
      </c>
      <c r="D3323" s="8" t="s">
        <v>26</v>
      </c>
      <c r="E3323" s="8" t="s">
        <v>15611</v>
      </c>
      <c r="F3323" s="8">
        <v>2.2475737E7</v>
      </c>
      <c r="G3323" s="8" t="s">
        <v>54</v>
      </c>
      <c r="H3323" s="8" t="s">
        <v>430</v>
      </c>
      <c r="I3323" s="8" t="s">
        <v>31</v>
      </c>
      <c r="J3323" s="8" t="s">
        <v>292</v>
      </c>
      <c r="K3323" s="10" t="s">
        <v>15612</v>
      </c>
      <c r="L3323" s="8" t="s">
        <v>47</v>
      </c>
      <c r="M3323" s="8" t="s">
        <v>70</v>
      </c>
      <c r="N3323" s="11">
        <v>45209.0</v>
      </c>
      <c r="O3323" s="11">
        <v>45230.0</v>
      </c>
      <c r="P3323" s="11">
        <v>45595.0</v>
      </c>
      <c r="Q3323" s="11">
        <v>45231.0</v>
      </c>
      <c r="R3323" s="11">
        <v>45596.0</v>
      </c>
      <c r="S3323" s="12"/>
      <c r="T3323" s="8"/>
      <c r="U3323" s="8" t="s">
        <v>1794</v>
      </c>
      <c r="V3323" s="13" t="s">
        <v>849</v>
      </c>
      <c r="W3323" s="13" t="s">
        <v>15613</v>
      </c>
      <c r="X3323" s="12"/>
      <c r="Y3323" s="14"/>
      <c r="Z3323" s="14"/>
    </row>
    <row r="3324">
      <c r="A3324" s="8" t="s">
        <v>15614</v>
      </c>
      <c r="B3324" s="8" t="s">
        <v>15615</v>
      </c>
      <c r="C3324" s="8" t="s">
        <v>179</v>
      </c>
      <c r="D3324" s="8" t="s">
        <v>26</v>
      </c>
      <c r="E3324" s="8" t="s">
        <v>15616</v>
      </c>
      <c r="F3324" s="8"/>
      <c r="G3324" s="8" t="s">
        <v>1620</v>
      </c>
      <c r="H3324" s="8" t="s">
        <v>1635</v>
      </c>
      <c r="I3324" s="8" t="s">
        <v>31</v>
      </c>
      <c r="J3324" s="8" t="s">
        <v>77</v>
      </c>
      <c r="K3324" s="10" t="s">
        <v>4188</v>
      </c>
      <c r="L3324" s="8" t="s">
        <v>58</v>
      </c>
      <c r="M3324" s="8" t="s">
        <v>35</v>
      </c>
      <c r="N3324" s="11">
        <v>45209.0</v>
      </c>
      <c r="O3324" s="11">
        <v>45334.0</v>
      </c>
      <c r="P3324" s="11">
        <v>45376.0</v>
      </c>
      <c r="Q3324" s="11"/>
      <c r="R3324" s="11"/>
      <c r="S3324" s="12"/>
      <c r="T3324" s="8"/>
      <c r="U3324" s="8" t="s">
        <v>59</v>
      </c>
      <c r="V3324" s="13" t="s">
        <v>38</v>
      </c>
      <c r="W3324" s="13" t="s">
        <v>15617</v>
      </c>
      <c r="X3324" s="12"/>
      <c r="Y3324" s="14"/>
      <c r="Z3324" s="14"/>
    </row>
    <row r="3325">
      <c r="A3325" s="8" t="s">
        <v>15618</v>
      </c>
      <c r="B3325" s="8" t="s">
        <v>7754</v>
      </c>
      <c r="C3325" s="8" t="s">
        <v>179</v>
      </c>
      <c r="D3325" s="8" t="s">
        <v>26</v>
      </c>
      <c r="E3325" s="8" t="s">
        <v>7755</v>
      </c>
      <c r="F3325" s="8">
        <v>5.31251821E9</v>
      </c>
      <c r="G3325" s="8" t="s">
        <v>31</v>
      </c>
      <c r="H3325" s="8" t="s">
        <v>542</v>
      </c>
      <c r="I3325" s="8" t="s">
        <v>284</v>
      </c>
      <c r="J3325" s="8" t="s">
        <v>3188</v>
      </c>
      <c r="K3325" s="10" t="s">
        <v>15619</v>
      </c>
      <c r="L3325" s="8" t="s">
        <v>47</v>
      </c>
      <c r="M3325" s="8" t="s">
        <v>70</v>
      </c>
      <c r="N3325" s="11">
        <v>45209.0</v>
      </c>
      <c r="O3325" s="11">
        <v>45474.0</v>
      </c>
      <c r="P3325" s="11">
        <v>45663.0</v>
      </c>
      <c r="Q3325" s="11"/>
      <c r="R3325" s="11"/>
      <c r="S3325" s="12"/>
      <c r="T3325" s="8"/>
      <c r="U3325" s="8" t="s">
        <v>15620</v>
      </c>
      <c r="V3325" s="13" t="s">
        <v>6229</v>
      </c>
      <c r="W3325" s="13" t="s">
        <v>7758</v>
      </c>
      <c r="X3325" s="12"/>
      <c r="Y3325" s="14"/>
      <c r="Z3325" s="14"/>
    </row>
    <row r="3326">
      <c r="A3326" s="8" t="s">
        <v>15621</v>
      </c>
      <c r="B3326" s="8" t="s">
        <v>15622</v>
      </c>
      <c r="C3326" s="8" t="s">
        <v>179</v>
      </c>
      <c r="D3326" s="8" t="s">
        <v>26</v>
      </c>
      <c r="E3326" s="8" t="s">
        <v>15623</v>
      </c>
      <c r="F3326" s="8">
        <v>5.516321168E9</v>
      </c>
      <c r="G3326" s="8" t="s">
        <v>284</v>
      </c>
      <c r="H3326" s="8" t="s">
        <v>854</v>
      </c>
      <c r="I3326" s="8" t="s">
        <v>31</v>
      </c>
      <c r="J3326" s="8" t="s">
        <v>256</v>
      </c>
      <c r="K3326" s="10" t="s">
        <v>794</v>
      </c>
      <c r="L3326" s="8" t="s">
        <v>47</v>
      </c>
      <c r="M3326" s="8" t="s">
        <v>70</v>
      </c>
      <c r="N3326" s="11">
        <v>45209.0</v>
      </c>
      <c r="O3326" s="11">
        <v>45200.0</v>
      </c>
      <c r="P3326" s="11">
        <v>45389.0</v>
      </c>
      <c r="Q3326" s="11"/>
      <c r="R3326" s="11"/>
      <c r="S3326" s="12"/>
      <c r="T3326" s="8"/>
      <c r="U3326" s="8" t="s">
        <v>795</v>
      </c>
      <c r="V3326" s="13" t="s">
        <v>38</v>
      </c>
      <c r="W3326" s="13" t="s">
        <v>15624</v>
      </c>
      <c r="X3326" s="12"/>
      <c r="Y3326" s="14"/>
      <c r="Z3326" s="14"/>
    </row>
    <row r="3327">
      <c r="A3327" s="8" t="s">
        <v>15625</v>
      </c>
      <c r="B3327" s="8" t="s">
        <v>15626</v>
      </c>
      <c r="C3327" s="8" t="s">
        <v>179</v>
      </c>
      <c r="D3327" s="8" t="s">
        <v>26</v>
      </c>
      <c r="E3327" s="8" t="s">
        <v>15627</v>
      </c>
      <c r="F3327" s="8">
        <v>5.416712011E9</v>
      </c>
      <c r="G3327" s="8" t="s">
        <v>31</v>
      </c>
      <c r="H3327" s="8" t="s">
        <v>86</v>
      </c>
      <c r="I3327" s="8" t="s">
        <v>284</v>
      </c>
      <c r="J3327" s="8" t="s">
        <v>3188</v>
      </c>
      <c r="K3327" s="10" t="s">
        <v>15628</v>
      </c>
      <c r="L3327" s="8" t="s">
        <v>34</v>
      </c>
      <c r="M3327" s="8" t="s">
        <v>35</v>
      </c>
      <c r="N3327" s="11">
        <v>45209.0</v>
      </c>
      <c r="O3327" s="11">
        <v>45474.0</v>
      </c>
      <c r="P3327" s="11">
        <v>45519.0</v>
      </c>
      <c r="Q3327" s="11"/>
      <c r="R3327" s="11"/>
      <c r="S3327" s="12"/>
      <c r="T3327" s="8" t="s">
        <v>205</v>
      </c>
      <c r="U3327" s="8" t="s">
        <v>15629</v>
      </c>
      <c r="V3327" s="13" t="s">
        <v>175</v>
      </c>
      <c r="W3327" s="13" t="s">
        <v>15630</v>
      </c>
      <c r="X3327" s="12"/>
      <c r="Y3327" s="14"/>
      <c r="Z3327" s="14"/>
    </row>
    <row r="3328">
      <c r="A3328" s="8" t="s">
        <v>15631</v>
      </c>
      <c r="B3328" s="8" t="s">
        <v>15632</v>
      </c>
      <c r="C3328" s="8" t="s">
        <v>179</v>
      </c>
      <c r="D3328" s="8" t="s">
        <v>26</v>
      </c>
      <c r="E3328" s="8" t="s">
        <v>15633</v>
      </c>
      <c r="F3328" s="8"/>
      <c r="G3328" s="8" t="s">
        <v>54</v>
      </c>
      <c r="H3328" s="8" t="s">
        <v>76</v>
      </c>
      <c r="I3328" s="8" t="s">
        <v>31</v>
      </c>
      <c r="J3328" s="8" t="s">
        <v>86</v>
      </c>
      <c r="K3328" s="10" t="s">
        <v>2453</v>
      </c>
      <c r="L3328" s="8" t="s">
        <v>58</v>
      </c>
      <c r="M3328" s="8" t="s">
        <v>35</v>
      </c>
      <c r="N3328" s="11">
        <v>45209.0</v>
      </c>
      <c r="O3328" s="11">
        <v>45487.0</v>
      </c>
      <c r="P3328" s="11">
        <v>45529.0</v>
      </c>
      <c r="Q3328" s="11"/>
      <c r="R3328" s="11"/>
      <c r="S3328" s="12"/>
      <c r="T3328" s="8"/>
      <c r="U3328" s="8" t="s">
        <v>59</v>
      </c>
      <c r="V3328" s="13" t="s">
        <v>38</v>
      </c>
      <c r="W3328" s="13" t="s">
        <v>15634</v>
      </c>
      <c r="X3328" s="12"/>
      <c r="Y3328" s="14"/>
      <c r="Z3328" s="14"/>
    </row>
    <row r="3329">
      <c r="A3329" s="8" t="s">
        <v>15635</v>
      </c>
      <c r="B3329" s="8" t="s">
        <v>15636</v>
      </c>
      <c r="C3329" s="8" t="s">
        <v>179</v>
      </c>
      <c r="D3329" s="8" t="s">
        <v>26</v>
      </c>
      <c r="E3329" s="8" t="s">
        <v>15637</v>
      </c>
      <c r="F3329" s="8">
        <v>5.0205841E7</v>
      </c>
      <c r="G3329" s="8" t="s">
        <v>54</v>
      </c>
      <c r="H3329" s="8" t="s">
        <v>76</v>
      </c>
      <c r="I3329" s="8" t="s">
        <v>31</v>
      </c>
      <c r="J3329" s="8" t="s">
        <v>86</v>
      </c>
      <c r="K3329" s="10" t="s">
        <v>2453</v>
      </c>
      <c r="L3329" s="8" t="s">
        <v>58</v>
      </c>
      <c r="M3329" s="8" t="s">
        <v>35</v>
      </c>
      <c r="N3329" s="11">
        <v>45209.0</v>
      </c>
      <c r="O3329" s="11">
        <v>45474.0</v>
      </c>
      <c r="P3329" s="11">
        <v>45516.0</v>
      </c>
      <c r="Q3329" s="11"/>
      <c r="R3329" s="11"/>
      <c r="S3329" s="12"/>
      <c r="T3329" s="8"/>
      <c r="U3329" s="8" t="s">
        <v>59</v>
      </c>
      <c r="V3329" s="13" t="s">
        <v>3496</v>
      </c>
      <c r="W3329" s="13" t="s">
        <v>15638</v>
      </c>
      <c r="X3329" s="12"/>
      <c r="Y3329" s="14"/>
      <c r="Z3329" s="14"/>
    </row>
    <row r="3330">
      <c r="A3330" s="8" t="s">
        <v>15639</v>
      </c>
      <c r="B3330" s="8" t="s">
        <v>2092</v>
      </c>
      <c r="C3330" s="8" t="s">
        <v>179</v>
      </c>
      <c r="D3330" s="8" t="s">
        <v>26</v>
      </c>
      <c r="E3330" s="8" t="s">
        <v>2093</v>
      </c>
      <c r="F3330" s="8">
        <v>5.462437959E9</v>
      </c>
      <c r="G3330" s="8" t="s">
        <v>31</v>
      </c>
      <c r="H3330" s="8" t="s">
        <v>86</v>
      </c>
      <c r="I3330" s="8" t="s">
        <v>284</v>
      </c>
      <c r="J3330" s="8" t="s">
        <v>3188</v>
      </c>
      <c r="K3330" s="10" t="s">
        <v>15640</v>
      </c>
      <c r="L3330" s="8" t="s">
        <v>34</v>
      </c>
      <c r="M3330" s="8" t="s">
        <v>35</v>
      </c>
      <c r="N3330" s="11">
        <v>45209.0</v>
      </c>
      <c r="O3330" s="11">
        <v>45474.0</v>
      </c>
      <c r="P3330" s="11">
        <v>45516.0</v>
      </c>
      <c r="Q3330" s="11"/>
      <c r="R3330" s="11"/>
      <c r="S3330" s="12"/>
      <c r="T3330" s="8" t="s">
        <v>205</v>
      </c>
      <c r="U3330" s="8" t="s">
        <v>15641</v>
      </c>
      <c r="V3330" s="13" t="s">
        <v>175</v>
      </c>
      <c r="W3330" s="13" t="s">
        <v>2095</v>
      </c>
      <c r="X3330" s="12"/>
      <c r="Y3330" s="14"/>
      <c r="Z3330" s="14"/>
    </row>
    <row r="3331">
      <c r="A3331" s="8" t="s">
        <v>15642</v>
      </c>
      <c r="B3331" s="8" t="s">
        <v>15643</v>
      </c>
      <c r="C3331" s="8" t="s">
        <v>179</v>
      </c>
      <c r="D3331" s="8" t="s">
        <v>26</v>
      </c>
      <c r="E3331" s="8" t="s">
        <v>15644</v>
      </c>
      <c r="F3331" s="8"/>
      <c r="G3331" s="8" t="s">
        <v>44</v>
      </c>
      <c r="H3331" s="8" t="s">
        <v>1185</v>
      </c>
      <c r="I3331" s="8" t="s">
        <v>31</v>
      </c>
      <c r="J3331" s="8" t="s">
        <v>32</v>
      </c>
      <c r="K3331" s="10" t="s">
        <v>8582</v>
      </c>
      <c r="L3331" s="8" t="s">
        <v>58</v>
      </c>
      <c r="M3331" s="8" t="s">
        <v>35</v>
      </c>
      <c r="N3331" s="11">
        <v>45209.0</v>
      </c>
      <c r="O3331" s="11">
        <v>45250.0</v>
      </c>
      <c r="P3331" s="11">
        <v>45292.0</v>
      </c>
      <c r="Q3331" s="11"/>
      <c r="R3331" s="11"/>
      <c r="S3331" s="12"/>
      <c r="T3331" s="8"/>
      <c r="U3331" s="8" t="s">
        <v>371</v>
      </c>
      <c r="V3331" s="13" t="s">
        <v>38</v>
      </c>
      <c r="W3331" s="13" t="s">
        <v>15645</v>
      </c>
      <c r="X3331" s="12"/>
      <c r="Y3331" s="14"/>
      <c r="Z3331" s="14"/>
    </row>
    <row r="3332">
      <c r="A3332" s="8" t="s">
        <v>15646</v>
      </c>
      <c r="B3332" s="8" t="s">
        <v>15647</v>
      </c>
      <c r="C3332" s="8" t="s">
        <v>179</v>
      </c>
      <c r="D3332" s="8" t="s">
        <v>26</v>
      </c>
      <c r="E3332" s="8" t="s">
        <v>15648</v>
      </c>
      <c r="F3332" s="8">
        <v>9.003847718E9</v>
      </c>
      <c r="G3332" s="8" t="s">
        <v>44</v>
      </c>
      <c r="H3332" s="8" t="s">
        <v>1185</v>
      </c>
      <c r="I3332" s="8" t="s">
        <v>31</v>
      </c>
      <c r="J3332" s="8" t="s">
        <v>32</v>
      </c>
      <c r="K3332" s="10" t="s">
        <v>8582</v>
      </c>
      <c r="L3332" s="8" t="s">
        <v>58</v>
      </c>
      <c r="M3332" s="8" t="s">
        <v>35</v>
      </c>
      <c r="N3332" s="11">
        <v>45209.0</v>
      </c>
      <c r="O3332" s="11">
        <v>45250.0</v>
      </c>
      <c r="P3332" s="11">
        <v>45292.0</v>
      </c>
      <c r="Q3332" s="11"/>
      <c r="R3332" s="11"/>
      <c r="S3332" s="12"/>
      <c r="T3332" s="8"/>
      <c r="U3332" s="8" t="s">
        <v>371</v>
      </c>
      <c r="V3332" s="13" t="s">
        <v>38</v>
      </c>
      <c r="W3332" s="13" t="s">
        <v>15649</v>
      </c>
      <c r="X3332" s="12"/>
      <c r="Y3332" s="14"/>
      <c r="Z3332" s="14"/>
    </row>
    <row r="3333">
      <c r="A3333" s="8" t="s">
        <v>15650</v>
      </c>
      <c r="B3333" s="8" t="s">
        <v>15651</v>
      </c>
      <c r="C3333" s="8" t="s">
        <v>179</v>
      </c>
      <c r="D3333" s="8" t="s">
        <v>26</v>
      </c>
      <c r="E3333" s="8" t="s">
        <v>15652</v>
      </c>
      <c r="F3333" s="8">
        <v>2.9814824E7</v>
      </c>
      <c r="G3333" s="8" t="s">
        <v>54</v>
      </c>
      <c r="H3333" s="8" t="s">
        <v>377</v>
      </c>
      <c r="I3333" s="8" t="s">
        <v>31</v>
      </c>
      <c r="J3333" s="8" t="s">
        <v>86</v>
      </c>
      <c r="K3333" s="10" t="s">
        <v>15200</v>
      </c>
      <c r="L3333" s="8" t="s">
        <v>58</v>
      </c>
      <c r="M3333" s="8" t="s">
        <v>35</v>
      </c>
      <c r="N3333" s="11">
        <v>45209.0</v>
      </c>
      <c r="O3333" s="11">
        <v>45474.0</v>
      </c>
      <c r="P3333" s="11">
        <v>45516.0</v>
      </c>
      <c r="Q3333" s="11"/>
      <c r="R3333" s="11"/>
      <c r="S3333" s="12"/>
      <c r="T3333" s="8"/>
      <c r="U3333" s="8" t="s">
        <v>59</v>
      </c>
      <c r="V3333" s="13" t="s">
        <v>3274</v>
      </c>
      <c r="W3333" s="13" t="s">
        <v>15653</v>
      </c>
      <c r="X3333" s="12"/>
      <c r="Y3333" s="14"/>
      <c r="Z3333" s="14"/>
    </row>
    <row r="3334">
      <c r="A3334" s="8" t="s">
        <v>15654</v>
      </c>
      <c r="B3334" s="8" t="s">
        <v>15655</v>
      </c>
      <c r="C3334" s="8" t="s">
        <v>179</v>
      </c>
      <c r="D3334" s="8" t="s">
        <v>26</v>
      </c>
      <c r="E3334" s="8" t="s">
        <v>15656</v>
      </c>
      <c r="F3334" s="8">
        <v>1.014740272E9</v>
      </c>
      <c r="G3334" s="8" t="s">
        <v>284</v>
      </c>
      <c r="H3334" s="8" t="s">
        <v>1777</v>
      </c>
      <c r="I3334" s="8" t="s">
        <v>31</v>
      </c>
      <c r="J3334" s="8" t="s">
        <v>542</v>
      </c>
      <c r="K3334" s="10" t="s">
        <v>15657</v>
      </c>
      <c r="L3334" s="8" t="s">
        <v>34</v>
      </c>
      <c r="M3334" s="8" t="s">
        <v>70</v>
      </c>
      <c r="N3334" s="11">
        <v>45209.0</v>
      </c>
      <c r="O3334" s="11">
        <v>45243.0</v>
      </c>
      <c r="P3334" s="11">
        <v>45604.0</v>
      </c>
      <c r="Q3334" s="11"/>
      <c r="R3334" s="11"/>
      <c r="S3334" s="12"/>
      <c r="T3334" s="8" t="s">
        <v>36</v>
      </c>
      <c r="U3334" s="8" t="s">
        <v>15658</v>
      </c>
      <c r="V3334" s="13" t="s">
        <v>2168</v>
      </c>
      <c r="W3334" s="13" t="s">
        <v>15659</v>
      </c>
      <c r="X3334" s="12"/>
      <c r="Y3334" s="14"/>
      <c r="Z3334" s="14"/>
    </row>
    <row r="3335">
      <c r="A3335" s="8" t="s">
        <v>15660</v>
      </c>
      <c r="B3335" s="8" t="s">
        <v>15661</v>
      </c>
      <c r="C3335" s="8" t="s">
        <v>179</v>
      </c>
      <c r="D3335" s="8" t="s">
        <v>26</v>
      </c>
      <c r="E3335" s="8" t="s">
        <v>15662</v>
      </c>
      <c r="F3335" s="8">
        <v>1.228877773E9</v>
      </c>
      <c r="G3335" s="8" t="s">
        <v>284</v>
      </c>
      <c r="H3335" s="8" t="s">
        <v>793</v>
      </c>
      <c r="I3335" s="8" t="s">
        <v>31</v>
      </c>
      <c r="J3335" s="8" t="s">
        <v>167</v>
      </c>
      <c r="K3335" s="10" t="s">
        <v>8437</v>
      </c>
      <c r="L3335" s="8" t="s">
        <v>58</v>
      </c>
      <c r="M3335" s="8" t="s">
        <v>35</v>
      </c>
      <c r="N3335" s="11">
        <v>45209.0</v>
      </c>
      <c r="O3335" s="11">
        <v>45488.0</v>
      </c>
      <c r="P3335" s="11">
        <v>45530.0</v>
      </c>
      <c r="Q3335" s="11"/>
      <c r="R3335" s="11"/>
      <c r="S3335" s="12"/>
      <c r="T3335" s="8"/>
      <c r="U3335" s="8" t="s">
        <v>130</v>
      </c>
      <c r="V3335" s="13" t="s">
        <v>793</v>
      </c>
      <c r="W3335" s="13" t="s">
        <v>15663</v>
      </c>
      <c r="X3335" s="12"/>
      <c r="Y3335" s="14"/>
      <c r="Z3335" s="14"/>
    </row>
    <row r="3336">
      <c r="A3336" s="8" t="s">
        <v>15664</v>
      </c>
      <c r="B3336" s="8" t="s">
        <v>15665</v>
      </c>
      <c r="C3336" s="8" t="s">
        <v>179</v>
      </c>
      <c r="D3336" s="8" t="s">
        <v>26</v>
      </c>
      <c r="E3336" s="8" t="s">
        <v>15666</v>
      </c>
      <c r="F3336" s="8">
        <v>1.200838222E9</v>
      </c>
      <c r="G3336" s="8" t="s">
        <v>284</v>
      </c>
      <c r="H3336" s="8" t="s">
        <v>793</v>
      </c>
      <c r="I3336" s="8" t="s">
        <v>31</v>
      </c>
      <c r="J3336" s="8" t="s">
        <v>167</v>
      </c>
      <c r="K3336" s="10" t="s">
        <v>4008</v>
      </c>
      <c r="L3336" s="8" t="s">
        <v>58</v>
      </c>
      <c r="M3336" s="8" t="s">
        <v>35</v>
      </c>
      <c r="N3336" s="11">
        <v>45209.0</v>
      </c>
      <c r="O3336" s="11">
        <v>45488.0</v>
      </c>
      <c r="P3336" s="11">
        <v>45530.0</v>
      </c>
      <c r="Q3336" s="11"/>
      <c r="R3336" s="11"/>
      <c r="S3336" s="12"/>
      <c r="T3336" s="8"/>
      <c r="U3336" s="8" t="s">
        <v>59</v>
      </c>
      <c r="V3336" s="13" t="s">
        <v>793</v>
      </c>
      <c r="W3336" s="13" t="s">
        <v>15667</v>
      </c>
      <c r="X3336" s="12"/>
      <c r="Y3336" s="14"/>
      <c r="Z3336" s="14"/>
    </row>
    <row r="3337">
      <c r="A3337" s="8" t="s">
        <v>15668</v>
      </c>
      <c r="B3337" s="8" t="s">
        <v>15669</v>
      </c>
      <c r="C3337" s="8" t="s">
        <v>179</v>
      </c>
      <c r="D3337" s="8" t="s">
        <v>26</v>
      </c>
      <c r="E3337" s="8" t="s">
        <v>15670</v>
      </c>
      <c r="F3337" s="8">
        <v>9.26028172E8</v>
      </c>
      <c r="G3337" s="8" t="s">
        <v>118</v>
      </c>
      <c r="H3337" s="8" t="s">
        <v>3100</v>
      </c>
      <c r="I3337" s="8" t="s">
        <v>31</v>
      </c>
      <c r="J3337" s="8" t="s">
        <v>86</v>
      </c>
      <c r="K3337" s="10" t="s">
        <v>2453</v>
      </c>
      <c r="L3337" s="8" t="s">
        <v>58</v>
      </c>
      <c r="M3337" s="8" t="s">
        <v>35</v>
      </c>
      <c r="N3337" s="11">
        <v>45209.0</v>
      </c>
      <c r="O3337" s="11">
        <v>45487.0</v>
      </c>
      <c r="P3337" s="11">
        <v>45529.0</v>
      </c>
      <c r="Q3337" s="11"/>
      <c r="R3337" s="11"/>
      <c r="S3337" s="12"/>
      <c r="T3337" s="8"/>
      <c r="U3337" s="8" t="s">
        <v>59</v>
      </c>
      <c r="V3337" s="13" t="s">
        <v>12477</v>
      </c>
      <c r="W3337" s="13" t="s">
        <v>15671</v>
      </c>
      <c r="X3337" s="12"/>
      <c r="Y3337" s="14"/>
      <c r="Z3337" s="14"/>
    </row>
    <row r="3338">
      <c r="A3338" s="8" t="s">
        <v>15672</v>
      </c>
      <c r="B3338" s="8" t="s">
        <v>15673</v>
      </c>
      <c r="C3338" s="8" t="s">
        <v>179</v>
      </c>
      <c r="D3338" s="8" t="s">
        <v>26</v>
      </c>
      <c r="E3338" s="8" t="s">
        <v>15674</v>
      </c>
      <c r="F3338" s="8">
        <v>5.385003423E9</v>
      </c>
      <c r="G3338" s="8" t="s">
        <v>31</v>
      </c>
      <c r="H3338" s="8" t="s">
        <v>86</v>
      </c>
      <c r="I3338" s="8" t="s">
        <v>399</v>
      </c>
      <c r="J3338" s="8" t="s">
        <v>904</v>
      </c>
      <c r="K3338" s="10" t="s">
        <v>15675</v>
      </c>
      <c r="L3338" s="8" t="s">
        <v>58</v>
      </c>
      <c r="M3338" s="8" t="s">
        <v>35</v>
      </c>
      <c r="N3338" s="11">
        <v>45210.0</v>
      </c>
      <c r="O3338" s="11">
        <v>45514.0</v>
      </c>
      <c r="P3338" s="11">
        <v>45556.0</v>
      </c>
      <c r="Q3338" s="11"/>
      <c r="R3338" s="11"/>
      <c r="S3338" s="12"/>
      <c r="T3338" s="8"/>
      <c r="U3338" s="8" t="s">
        <v>402</v>
      </c>
      <c r="V3338" s="13" t="s">
        <v>175</v>
      </c>
      <c r="W3338" s="13" t="s">
        <v>15676</v>
      </c>
      <c r="X3338" s="12"/>
      <c r="Y3338" s="14"/>
      <c r="Z3338" s="14"/>
    </row>
    <row r="3339">
      <c r="A3339" s="8" t="s">
        <v>15677</v>
      </c>
      <c r="B3339" s="8" t="s">
        <v>15678</v>
      </c>
      <c r="C3339" s="8" t="s">
        <v>179</v>
      </c>
      <c r="D3339" s="8" t="s">
        <v>26</v>
      </c>
      <c r="E3339" s="8" t="s">
        <v>15679</v>
      </c>
      <c r="F3339" s="8">
        <v>9.0104872E7</v>
      </c>
      <c r="G3339" s="8" t="s">
        <v>54</v>
      </c>
      <c r="H3339" s="8" t="s">
        <v>76</v>
      </c>
      <c r="I3339" s="8" t="s">
        <v>31</v>
      </c>
      <c r="J3339" s="8" t="s">
        <v>86</v>
      </c>
      <c r="K3339" s="10" t="s">
        <v>15200</v>
      </c>
      <c r="L3339" s="8" t="s">
        <v>58</v>
      </c>
      <c r="M3339" s="8" t="s">
        <v>35</v>
      </c>
      <c r="N3339" s="11">
        <v>45210.0</v>
      </c>
      <c r="O3339" s="11">
        <v>45474.0</v>
      </c>
      <c r="P3339" s="11">
        <v>45516.0</v>
      </c>
      <c r="Q3339" s="11"/>
      <c r="R3339" s="11"/>
      <c r="S3339" s="12"/>
      <c r="T3339" s="8"/>
      <c r="U3339" s="8" t="s">
        <v>59</v>
      </c>
      <c r="V3339" s="13" t="s">
        <v>3496</v>
      </c>
      <c r="W3339" s="13" t="s">
        <v>15680</v>
      </c>
      <c r="X3339" s="12"/>
      <c r="Y3339" s="14"/>
      <c r="Z3339" s="14"/>
    </row>
    <row r="3340">
      <c r="A3340" s="8" t="s">
        <v>15681</v>
      </c>
      <c r="B3340" s="8" t="s">
        <v>15682</v>
      </c>
      <c r="C3340" s="8" t="s">
        <v>179</v>
      </c>
      <c r="D3340" s="8" t="s">
        <v>26</v>
      </c>
      <c r="E3340" s="8" t="s">
        <v>15683</v>
      </c>
      <c r="F3340" s="8">
        <v>9.6029331E7</v>
      </c>
      <c r="G3340" s="8" t="s">
        <v>54</v>
      </c>
      <c r="H3340" s="8" t="s">
        <v>76</v>
      </c>
      <c r="I3340" s="8" t="s">
        <v>31</v>
      </c>
      <c r="J3340" s="8" t="s">
        <v>86</v>
      </c>
      <c r="K3340" s="10" t="s">
        <v>15200</v>
      </c>
      <c r="L3340" s="8" t="s">
        <v>58</v>
      </c>
      <c r="M3340" s="8" t="s">
        <v>35</v>
      </c>
      <c r="N3340" s="11">
        <v>45210.0</v>
      </c>
      <c r="O3340" s="11">
        <v>45474.0</v>
      </c>
      <c r="P3340" s="11">
        <v>45516.0</v>
      </c>
      <c r="Q3340" s="11"/>
      <c r="R3340" s="11"/>
      <c r="S3340" s="12"/>
      <c r="T3340" s="8"/>
      <c r="U3340" s="8" t="s">
        <v>59</v>
      </c>
      <c r="V3340" s="13" t="s">
        <v>3496</v>
      </c>
      <c r="W3340" s="13" t="s">
        <v>15684</v>
      </c>
      <c r="X3340" s="12"/>
      <c r="Y3340" s="14"/>
      <c r="Z3340" s="14"/>
    </row>
    <row r="3341">
      <c r="A3341" s="8" t="s">
        <v>15685</v>
      </c>
      <c r="B3341" s="8" t="s">
        <v>15686</v>
      </c>
      <c r="C3341" s="8" t="s">
        <v>179</v>
      </c>
      <c r="D3341" s="8" t="s">
        <v>26</v>
      </c>
      <c r="E3341" s="8" t="s">
        <v>15687</v>
      </c>
      <c r="F3341" s="8">
        <v>2.1852704E7</v>
      </c>
      <c r="G3341" s="8" t="s">
        <v>54</v>
      </c>
      <c r="H3341" s="8" t="s">
        <v>76</v>
      </c>
      <c r="I3341" s="8" t="s">
        <v>31</v>
      </c>
      <c r="J3341" s="8" t="s">
        <v>77</v>
      </c>
      <c r="K3341" s="10" t="s">
        <v>2537</v>
      </c>
      <c r="L3341" s="8" t="s">
        <v>58</v>
      </c>
      <c r="M3341" s="8" t="s">
        <v>35</v>
      </c>
      <c r="N3341" s="11">
        <v>45210.0</v>
      </c>
      <c r="O3341" s="11">
        <v>45481.0</v>
      </c>
      <c r="P3341" s="11">
        <v>45523.0</v>
      </c>
      <c r="Q3341" s="11"/>
      <c r="R3341" s="11"/>
      <c r="S3341" s="12"/>
      <c r="T3341" s="8"/>
      <c r="U3341" s="8" t="s">
        <v>88</v>
      </c>
      <c r="V3341" s="13" t="s">
        <v>7375</v>
      </c>
      <c r="W3341" s="13" t="s">
        <v>15688</v>
      </c>
      <c r="X3341" s="12"/>
      <c r="Y3341" s="14"/>
      <c r="Z3341" s="14"/>
    </row>
    <row r="3342">
      <c r="A3342" s="8" t="s">
        <v>15689</v>
      </c>
      <c r="B3342" s="8" t="s">
        <v>15690</v>
      </c>
      <c r="C3342" s="8" t="s">
        <v>179</v>
      </c>
      <c r="D3342" s="8" t="s">
        <v>26</v>
      </c>
      <c r="E3342" s="8" t="s">
        <v>15691</v>
      </c>
      <c r="F3342" s="8">
        <v>5.53211742E8</v>
      </c>
      <c r="G3342" s="8" t="s">
        <v>254</v>
      </c>
      <c r="H3342" s="8" t="s">
        <v>6960</v>
      </c>
      <c r="I3342" s="8" t="s">
        <v>31</v>
      </c>
      <c r="J3342" s="8" t="s">
        <v>542</v>
      </c>
      <c r="K3342" s="10" t="s">
        <v>15657</v>
      </c>
      <c r="L3342" s="8" t="s">
        <v>34</v>
      </c>
      <c r="M3342" s="8" t="s">
        <v>70</v>
      </c>
      <c r="N3342" s="11">
        <v>45210.0</v>
      </c>
      <c r="O3342" s="11">
        <v>45243.0</v>
      </c>
      <c r="P3342" s="11">
        <v>45604.0</v>
      </c>
      <c r="Q3342" s="11"/>
      <c r="R3342" s="11"/>
      <c r="S3342" s="12"/>
      <c r="T3342" s="8" t="s">
        <v>36</v>
      </c>
      <c r="U3342" s="8" t="s">
        <v>15658</v>
      </c>
      <c r="V3342" s="13" t="s">
        <v>1010</v>
      </c>
      <c r="W3342" s="13" t="s">
        <v>15692</v>
      </c>
      <c r="X3342" s="12"/>
      <c r="Y3342" s="14"/>
      <c r="Z3342" s="14"/>
    </row>
    <row r="3343">
      <c r="A3343" s="8" t="s">
        <v>15693</v>
      </c>
      <c r="B3343" s="8" t="s">
        <v>15694</v>
      </c>
      <c r="C3343" s="8" t="s">
        <v>179</v>
      </c>
      <c r="D3343" s="8" t="s">
        <v>26</v>
      </c>
      <c r="E3343" s="8" t="s">
        <v>15695</v>
      </c>
      <c r="F3343" s="8">
        <v>5.388727227E9</v>
      </c>
      <c r="G3343" s="8" t="s">
        <v>31</v>
      </c>
      <c r="H3343" s="8" t="s">
        <v>56</v>
      </c>
      <c r="I3343" s="8" t="s">
        <v>284</v>
      </c>
      <c r="J3343" s="8" t="s">
        <v>3188</v>
      </c>
      <c r="K3343" s="10" t="s">
        <v>15696</v>
      </c>
      <c r="L3343" s="8" t="s">
        <v>47</v>
      </c>
      <c r="M3343" s="8" t="s">
        <v>35</v>
      </c>
      <c r="N3343" s="11">
        <v>45210.0</v>
      </c>
      <c r="O3343" s="11">
        <v>45474.0</v>
      </c>
      <c r="P3343" s="11">
        <v>45557.0</v>
      </c>
      <c r="Q3343" s="11"/>
      <c r="R3343" s="11"/>
      <c r="S3343" s="12"/>
      <c r="T3343" s="8"/>
      <c r="U3343" s="8" t="s">
        <v>15697</v>
      </c>
      <c r="V3343" s="13" t="s">
        <v>56</v>
      </c>
      <c r="W3343" s="13" t="s">
        <v>15698</v>
      </c>
      <c r="X3343" s="12"/>
      <c r="Y3343" s="14"/>
      <c r="Z3343" s="14"/>
    </row>
    <row r="3344">
      <c r="A3344" s="8" t="s">
        <v>15699</v>
      </c>
      <c r="B3344" s="8" t="s">
        <v>15700</v>
      </c>
      <c r="C3344" s="8" t="s">
        <v>179</v>
      </c>
      <c r="D3344" s="8" t="s">
        <v>26</v>
      </c>
      <c r="E3344" s="8" t="s">
        <v>15701</v>
      </c>
      <c r="F3344" s="8">
        <v>1.287188577E9</v>
      </c>
      <c r="G3344" s="8" t="s">
        <v>284</v>
      </c>
      <c r="H3344" s="8" t="s">
        <v>691</v>
      </c>
      <c r="I3344" s="8" t="s">
        <v>31</v>
      </c>
      <c r="J3344" s="8" t="s">
        <v>43</v>
      </c>
      <c r="K3344" s="10" t="s">
        <v>12504</v>
      </c>
      <c r="L3344" s="8" t="s">
        <v>58</v>
      </c>
      <c r="M3344" s="8" t="s">
        <v>35</v>
      </c>
      <c r="N3344" s="11">
        <v>45210.0</v>
      </c>
      <c r="O3344" s="11">
        <v>45411.0</v>
      </c>
      <c r="P3344" s="11">
        <v>45457.0</v>
      </c>
      <c r="Q3344" s="11"/>
      <c r="R3344" s="11"/>
      <c r="S3344" s="12"/>
      <c r="T3344" s="8"/>
      <c r="U3344" s="8" t="s">
        <v>59</v>
      </c>
      <c r="V3344" s="13" t="s">
        <v>6201</v>
      </c>
      <c r="W3344" s="13" t="s">
        <v>15702</v>
      </c>
      <c r="X3344" s="12"/>
      <c r="Y3344" s="14"/>
      <c r="Z3344" s="14"/>
    </row>
    <row r="3345">
      <c r="A3345" s="8" t="s">
        <v>15703</v>
      </c>
      <c r="B3345" s="8" t="s">
        <v>15704</v>
      </c>
      <c r="C3345" s="8" t="s">
        <v>708</v>
      </c>
      <c r="D3345" s="8" t="s">
        <v>26</v>
      </c>
      <c r="E3345" s="8" t="s">
        <v>15705</v>
      </c>
      <c r="F3345" s="8">
        <v>7.013633533E9</v>
      </c>
      <c r="G3345" s="8" t="s">
        <v>14305</v>
      </c>
      <c r="H3345" s="8" t="s">
        <v>15706</v>
      </c>
      <c r="I3345" s="8" t="s">
        <v>31</v>
      </c>
      <c r="J3345" s="8" t="s">
        <v>32</v>
      </c>
      <c r="K3345" s="10" t="s">
        <v>1813</v>
      </c>
      <c r="L3345" s="8" t="s">
        <v>58</v>
      </c>
      <c r="M3345" s="8" t="s">
        <v>35</v>
      </c>
      <c r="N3345" s="11">
        <v>45210.0</v>
      </c>
      <c r="O3345" s="11">
        <v>45249.0</v>
      </c>
      <c r="P3345" s="11">
        <v>45291.0</v>
      </c>
      <c r="Q3345" s="11">
        <v>45294.0</v>
      </c>
      <c r="R3345" s="11">
        <v>45336.0</v>
      </c>
      <c r="S3345" s="12"/>
      <c r="T3345" s="8"/>
      <c r="U3345" s="8" t="s">
        <v>161</v>
      </c>
      <c r="V3345" s="13" t="s">
        <v>15707</v>
      </c>
      <c r="W3345" s="13" t="s">
        <v>15708</v>
      </c>
      <c r="X3345" s="12"/>
      <c r="Y3345" s="14"/>
      <c r="Z3345" s="14"/>
    </row>
    <row r="3346">
      <c r="A3346" s="8" t="s">
        <v>15709</v>
      </c>
      <c r="B3346" s="8" t="s">
        <v>15710</v>
      </c>
      <c r="C3346" s="8" t="s">
        <v>25</v>
      </c>
      <c r="D3346" s="8" t="s">
        <v>26</v>
      </c>
      <c r="E3346" s="8" t="s">
        <v>15711</v>
      </c>
      <c r="F3346" s="8">
        <v>5.423032215E9</v>
      </c>
      <c r="G3346" s="8" t="s">
        <v>31</v>
      </c>
      <c r="H3346" s="8" t="s">
        <v>542</v>
      </c>
      <c r="I3346" s="8" t="s">
        <v>127</v>
      </c>
      <c r="J3346" s="8" t="s">
        <v>3542</v>
      </c>
      <c r="K3346" s="10" t="s">
        <v>14692</v>
      </c>
      <c r="L3346" s="8" t="s">
        <v>58</v>
      </c>
      <c r="M3346" s="8" t="s">
        <v>35</v>
      </c>
      <c r="N3346" s="11">
        <v>45210.0</v>
      </c>
      <c r="O3346" s="11">
        <v>45204.0</v>
      </c>
      <c r="P3346" s="11">
        <v>45246.0</v>
      </c>
      <c r="Q3346" s="11">
        <v>45223.0</v>
      </c>
      <c r="R3346" s="11">
        <v>45264.0</v>
      </c>
      <c r="S3346" s="12"/>
      <c r="T3346" s="8"/>
      <c r="U3346" s="8" t="s">
        <v>1956</v>
      </c>
      <c r="V3346" s="13" t="s">
        <v>545</v>
      </c>
      <c r="W3346" s="13" t="s">
        <v>15712</v>
      </c>
      <c r="X3346" s="12"/>
      <c r="Y3346" s="14"/>
      <c r="Z3346" s="14"/>
    </row>
    <row r="3347">
      <c r="A3347" s="8" t="s">
        <v>15713</v>
      </c>
      <c r="B3347" s="8" t="s">
        <v>15714</v>
      </c>
      <c r="C3347" s="8" t="s">
        <v>179</v>
      </c>
      <c r="D3347" s="8" t="s">
        <v>26</v>
      </c>
      <c r="E3347" s="8" t="s">
        <v>15715</v>
      </c>
      <c r="F3347" s="8">
        <v>1.114181155E9</v>
      </c>
      <c r="G3347" s="8" t="s">
        <v>284</v>
      </c>
      <c r="H3347" s="8" t="s">
        <v>691</v>
      </c>
      <c r="I3347" s="8" t="s">
        <v>31</v>
      </c>
      <c r="J3347" s="8" t="s">
        <v>43</v>
      </c>
      <c r="K3347" s="10" t="s">
        <v>12504</v>
      </c>
      <c r="L3347" s="8" t="s">
        <v>58</v>
      </c>
      <c r="M3347" s="8" t="s">
        <v>35</v>
      </c>
      <c r="N3347" s="11">
        <v>45210.0</v>
      </c>
      <c r="O3347" s="11">
        <v>45362.0</v>
      </c>
      <c r="P3347" s="11">
        <v>45408.0</v>
      </c>
      <c r="Q3347" s="11"/>
      <c r="R3347" s="11"/>
      <c r="S3347" s="12"/>
      <c r="T3347" s="8"/>
      <c r="U3347" s="8" t="s">
        <v>59</v>
      </c>
      <c r="V3347" s="13" t="s">
        <v>6201</v>
      </c>
      <c r="W3347" s="13" t="s">
        <v>15716</v>
      </c>
      <c r="X3347" s="12"/>
      <c r="Y3347" s="14"/>
      <c r="Z3347" s="14"/>
    </row>
    <row r="3348">
      <c r="A3348" s="8" t="s">
        <v>15717</v>
      </c>
      <c r="B3348" s="8" t="s">
        <v>15718</v>
      </c>
      <c r="C3348" s="8" t="s">
        <v>179</v>
      </c>
      <c r="D3348" s="8" t="s">
        <v>26</v>
      </c>
      <c r="E3348" s="8" t="s">
        <v>15719</v>
      </c>
      <c r="F3348" s="8">
        <v>1.01807105E9</v>
      </c>
      <c r="G3348" s="8" t="s">
        <v>284</v>
      </c>
      <c r="H3348" s="8" t="s">
        <v>673</v>
      </c>
      <c r="I3348" s="8" t="s">
        <v>31</v>
      </c>
      <c r="J3348" s="8" t="s">
        <v>111</v>
      </c>
      <c r="K3348" s="10" t="s">
        <v>14958</v>
      </c>
      <c r="L3348" s="8" t="s">
        <v>47</v>
      </c>
      <c r="M3348" s="8" t="s">
        <v>70</v>
      </c>
      <c r="N3348" s="11">
        <v>45210.0</v>
      </c>
      <c r="O3348" s="11">
        <v>45223.0</v>
      </c>
      <c r="P3348" s="11">
        <v>45588.0</v>
      </c>
      <c r="Q3348" s="11"/>
      <c r="R3348" s="11"/>
      <c r="S3348" s="12"/>
      <c r="T3348" s="8"/>
      <c r="U3348" s="8" t="s">
        <v>14959</v>
      </c>
      <c r="V3348" s="13" t="s">
        <v>6273</v>
      </c>
      <c r="W3348" s="13" t="s">
        <v>15720</v>
      </c>
      <c r="X3348" s="12"/>
      <c r="Y3348" s="14"/>
      <c r="Z3348" s="14"/>
    </row>
    <row r="3349">
      <c r="A3349" s="8" t="s">
        <v>15721</v>
      </c>
      <c r="B3349" s="8" t="s">
        <v>15722</v>
      </c>
      <c r="C3349" s="8" t="s">
        <v>708</v>
      </c>
      <c r="D3349" s="8" t="s">
        <v>26</v>
      </c>
      <c r="E3349" s="8" t="s">
        <v>15723</v>
      </c>
      <c r="F3349" s="8"/>
      <c r="G3349" s="8" t="s">
        <v>254</v>
      </c>
      <c r="H3349" s="8" t="s">
        <v>6960</v>
      </c>
      <c r="I3349" s="8" t="s">
        <v>31</v>
      </c>
      <c r="J3349" s="8" t="s">
        <v>111</v>
      </c>
      <c r="K3349" s="10" t="s">
        <v>14958</v>
      </c>
      <c r="L3349" s="8" t="s">
        <v>47</v>
      </c>
      <c r="M3349" s="8" t="s">
        <v>70</v>
      </c>
      <c r="N3349" s="11">
        <v>45210.0</v>
      </c>
      <c r="O3349" s="11">
        <v>45223.0</v>
      </c>
      <c r="P3349" s="11">
        <v>45588.0</v>
      </c>
      <c r="Q3349" s="11">
        <v>45228.0</v>
      </c>
      <c r="R3349" s="11">
        <v>45593.0</v>
      </c>
      <c r="S3349" s="12"/>
      <c r="T3349" s="8"/>
      <c r="U3349" s="8" t="s">
        <v>14959</v>
      </c>
      <c r="V3349" s="13" t="s">
        <v>38</v>
      </c>
      <c r="W3349" s="13" t="s">
        <v>15724</v>
      </c>
      <c r="X3349" s="12"/>
      <c r="Y3349" s="14"/>
      <c r="Z3349" s="14"/>
    </row>
    <row r="3350">
      <c r="A3350" s="8" t="s">
        <v>15725</v>
      </c>
      <c r="B3350" s="8" t="s">
        <v>15726</v>
      </c>
      <c r="C3350" s="8" t="s">
        <v>179</v>
      </c>
      <c r="D3350" s="8" t="s">
        <v>26</v>
      </c>
      <c r="E3350" s="8" t="s">
        <v>15727</v>
      </c>
      <c r="F3350" s="8">
        <v>1.111067774E9</v>
      </c>
      <c r="G3350" s="8" t="s">
        <v>284</v>
      </c>
      <c r="H3350" s="8" t="s">
        <v>793</v>
      </c>
      <c r="I3350" s="8" t="s">
        <v>31</v>
      </c>
      <c r="J3350" s="8" t="s">
        <v>111</v>
      </c>
      <c r="K3350" s="10" t="s">
        <v>15728</v>
      </c>
      <c r="L3350" s="8" t="s">
        <v>58</v>
      </c>
      <c r="M3350" s="8" t="s">
        <v>35</v>
      </c>
      <c r="N3350" s="11">
        <v>45211.0</v>
      </c>
      <c r="O3350" s="11">
        <v>45334.0</v>
      </c>
      <c r="P3350" s="11">
        <v>45376.0</v>
      </c>
      <c r="Q3350" s="11"/>
      <c r="R3350" s="11"/>
      <c r="S3350" s="12"/>
      <c r="T3350" s="8"/>
      <c r="U3350" s="8" t="s">
        <v>59</v>
      </c>
      <c r="V3350" s="13" t="s">
        <v>793</v>
      </c>
      <c r="W3350" s="13" t="s">
        <v>15729</v>
      </c>
      <c r="X3350" s="12"/>
      <c r="Y3350" s="14"/>
      <c r="Z3350" s="14"/>
    </row>
    <row r="3351">
      <c r="A3351" s="8" t="s">
        <v>15730</v>
      </c>
      <c r="B3351" s="8" t="s">
        <v>15731</v>
      </c>
      <c r="C3351" s="8" t="s">
        <v>179</v>
      </c>
      <c r="D3351" s="8" t="s">
        <v>26</v>
      </c>
      <c r="E3351" s="8" t="s">
        <v>15732</v>
      </c>
      <c r="F3351" s="8">
        <v>5.4797453E7</v>
      </c>
      <c r="G3351" s="8" t="s">
        <v>54</v>
      </c>
      <c r="H3351" s="8" t="s">
        <v>76</v>
      </c>
      <c r="I3351" s="8" t="s">
        <v>31</v>
      </c>
      <c r="J3351" s="8" t="s">
        <v>77</v>
      </c>
      <c r="K3351" s="10" t="s">
        <v>2537</v>
      </c>
      <c r="L3351" s="8" t="s">
        <v>58</v>
      </c>
      <c r="M3351" s="8" t="s">
        <v>35</v>
      </c>
      <c r="N3351" s="11">
        <v>45211.0</v>
      </c>
      <c r="O3351" s="11">
        <v>45481.0</v>
      </c>
      <c r="P3351" s="11">
        <v>45523.0</v>
      </c>
      <c r="Q3351" s="11"/>
      <c r="R3351" s="11"/>
      <c r="S3351" s="12"/>
      <c r="T3351" s="8"/>
      <c r="U3351" s="8" t="s">
        <v>88</v>
      </c>
      <c r="V3351" s="13" t="s">
        <v>3496</v>
      </c>
      <c r="W3351" s="13" t="s">
        <v>15733</v>
      </c>
      <c r="X3351" s="12"/>
      <c r="Y3351" s="14"/>
      <c r="Z3351" s="14"/>
    </row>
    <row r="3352">
      <c r="A3352" s="8" t="s">
        <v>15734</v>
      </c>
      <c r="B3352" s="8" t="s">
        <v>15735</v>
      </c>
      <c r="C3352" s="8" t="s">
        <v>179</v>
      </c>
      <c r="D3352" s="8" t="s">
        <v>26</v>
      </c>
      <c r="E3352" s="8" t="s">
        <v>15736</v>
      </c>
      <c r="F3352" s="8">
        <v>1.096477403E9</v>
      </c>
      <c r="G3352" s="8" t="s">
        <v>284</v>
      </c>
      <c r="H3352" s="8" t="s">
        <v>854</v>
      </c>
      <c r="I3352" s="8" t="s">
        <v>31</v>
      </c>
      <c r="J3352" s="8" t="s">
        <v>32</v>
      </c>
      <c r="K3352" s="10" t="s">
        <v>15737</v>
      </c>
      <c r="L3352" s="8" t="s">
        <v>34</v>
      </c>
      <c r="M3352" s="8" t="s">
        <v>70</v>
      </c>
      <c r="N3352" s="11">
        <v>45211.0</v>
      </c>
      <c r="O3352" s="11">
        <v>45250.0</v>
      </c>
      <c r="P3352" s="11">
        <v>45614.0</v>
      </c>
      <c r="Q3352" s="11"/>
      <c r="R3352" s="11"/>
      <c r="S3352" s="12"/>
      <c r="T3352" s="8" t="s">
        <v>1187</v>
      </c>
      <c r="U3352" s="8" t="s">
        <v>15738</v>
      </c>
      <c r="V3352" s="13" t="s">
        <v>856</v>
      </c>
      <c r="W3352" s="13" t="s">
        <v>15739</v>
      </c>
      <c r="X3352" s="12"/>
      <c r="Y3352" s="14"/>
      <c r="Z3352" s="14"/>
    </row>
    <row r="3353">
      <c r="A3353" s="8" t="s">
        <v>15740</v>
      </c>
      <c r="B3353" s="8" t="s">
        <v>15741</v>
      </c>
      <c r="C3353" s="8" t="s">
        <v>179</v>
      </c>
      <c r="D3353" s="8" t="s">
        <v>26</v>
      </c>
      <c r="E3353" s="8" t="s">
        <v>15742</v>
      </c>
      <c r="F3353" s="8"/>
      <c r="G3353" s="8" t="s">
        <v>1620</v>
      </c>
      <c r="H3353" s="8" t="s">
        <v>1635</v>
      </c>
      <c r="I3353" s="8" t="s">
        <v>31</v>
      </c>
      <c r="J3353" s="8" t="s">
        <v>77</v>
      </c>
      <c r="K3353" s="10" t="s">
        <v>2555</v>
      </c>
      <c r="L3353" s="8" t="s">
        <v>58</v>
      </c>
      <c r="M3353" s="8" t="s">
        <v>35</v>
      </c>
      <c r="N3353" s="11">
        <v>45211.0</v>
      </c>
      <c r="O3353" s="11">
        <v>45418.0</v>
      </c>
      <c r="P3353" s="11">
        <v>45460.0</v>
      </c>
      <c r="Q3353" s="11"/>
      <c r="R3353" s="11"/>
      <c r="S3353" s="12"/>
      <c r="T3353" s="8"/>
      <c r="U3353" s="8" t="s">
        <v>371</v>
      </c>
      <c r="V3353" s="13" t="s">
        <v>38</v>
      </c>
      <c r="W3353" s="13" t="s">
        <v>15743</v>
      </c>
      <c r="X3353" s="12"/>
      <c r="Y3353" s="14"/>
      <c r="Z3353" s="14"/>
    </row>
    <row r="3354">
      <c r="A3354" s="8" t="s">
        <v>15744</v>
      </c>
      <c r="B3354" s="8" t="s">
        <v>15745</v>
      </c>
      <c r="C3354" s="8" t="s">
        <v>179</v>
      </c>
      <c r="D3354" s="8" t="s">
        <v>26</v>
      </c>
      <c r="E3354" s="8" t="s">
        <v>15746</v>
      </c>
      <c r="F3354" s="8">
        <v>5.516499337E9</v>
      </c>
      <c r="G3354" s="8" t="s">
        <v>31</v>
      </c>
      <c r="H3354" s="8" t="s">
        <v>77</v>
      </c>
      <c r="I3354" s="8" t="s">
        <v>44</v>
      </c>
      <c r="J3354" s="8" t="s">
        <v>1993</v>
      </c>
      <c r="K3354" s="10" t="s">
        <v>15747</v>
      </c>
      <c r="L3354" s="8" t="s">
        <v>58</v>
      </c>
      <c r="M3354" s="8" t="s">
        <v>35</v>
      </c>
      <c r="N3354" s="11">
        <v>45211.0</v>
      </c>
      <c r="O3354" s="11">
        <v>45486.0</v>
      </c>
      <c r="P3354" s="11">
        <v>45528.0</v>
      </c>
      <c r="Q3354" s="11"/>
      <c r="R3354" s="11"/>
      <c r="S3354" s="12"/>
      <c r="T3354" s="8"/>
      <c r="U3354" s="8" t="s">
        <v>371</v>
      </c>
      <c r="V3354" s="13" t="s">
        <v>15748</v>
      </c>
      <c r="W3354" s="13" t="s">
        <v>15749</v>
      </c>
      <c r="X3354" s="12"/>
      <c r="Y3354" s="14"/>
      <c r="Z3354" s="14"/>
    </row>
    <row r="3355">
      <c r="A3355" s="8" t="s">
        <v>15750</v>
      </c>
      <c r="B3355" s="8" t="s">
        <v>15751</v>
      </c>
      <c r="C3355" s="8" t="s">
        <v>179</v>
      </c>
      <c r="D3355" s="8" t="s">
        <v>26</v>
      </c>
      <c r="E3355" s="8" t="s">
        <v>15752</v>
      </c>
      <c r="F3355" s="8"/>
      <c r="G3355" s="8" t="s">
        <v>109</v>
      </c>
      <c r="H3355" s="8" t="s">
        <v>875</v>
      </c>
      <c r="I3355" s="8" t="s">
        <v>31</v>
      </c>
      <c r="J3355" s="8" t="s">
        <v>77</v>
      </c>
      <c r="K3355" s="10" t="s">
        <v>15753</v>
      </c>
      <c r="L3355" s="8" t="s">
        <v>34</v>
      </c>
      <c r="M3355" s="8" t="s">
        <v>70</v>
      </c>
      <c r="N3355" s="11">
        <v>45211.0</v>
      </c>
      <c r="O3355" s="11">
        <v>45291.0</v>
      </c>
      <c r="P3355" s="11">
        <v>45657.0</v>
      </c>
      <c r="Q3355" s="11"/>
      <c r="R3355" s="11"/>
      <c r="S3355" s="12"/>
      <c r="T3355" s="8" t="s">
        <v>446</v>
      </c>
      <c r="U3355" s="8" t="s">
        <v>15754</v>
      </c>
      <c r="V3355" s="13" t="s">
        <v>38</v>
      </c>
      <c r="W3355" s="13" t="s">
        <v>15755</v>
      </c>
      <c r="X3355" s="12"/>
      <c r="Y3355" s="14"/>
      <c r="Z3355" s="14"/>
    </row>
    <row r="3356">
      <c r="A3356" s="8" t="s">
        <v>15756</v>
      </c>
      <c r="B3356" s="8" t="s">
        <v>15757</v>
      </c>
      <c r="C3356" s="8" t="s">
        <v>179</v>
      </c>
      <c r="D3356" s="8" t="s">
        <v>26</v>
      </c>
      <c r="E3356" s="8" t="s">
        <v>15758</v>
      </c>
      <c r="F3356" s="8">
        <v>2.6856828E7</v>
      </c>
      <c r="G3356" s="8" t="s">
        <v>54</v>
      </c>
      <c r="H3356" s="8" t="s">
        <v>76</v>
      </c>
      <c r="I3356" s="8" t="s">
        <v>31</v>
      </c>
      <c r="J3356" s="8" t="s">
        <v>77</v>
      </c>
      <c r="K3356" s="10" t="s">
        <v>2537</v>
      </c>
      <c r="L3356" s="8" t="s">
        <v>58</v>
      </c>
      <c r="M3356" s="8" t="s">
        <v>35</v>
      </c>
      <c r="N3356" s="11">
        <v>45212.0</v>
      </c>
      <c r="O3356" s="11">
        <v>45481.0</v>
      </c>
      <c r="P3356" s="11">
        <v>45523.0</v>
      </c>
      <c r="Q3356" s="11"/>
      <c r="R3356" s="11"/>
      <c r="S3356" s="12"/>
      <c r="T3356" s="8"/>
      <c r="U3356" s="8" t="s">
        <v>88</v>
      </c>
      <c r="V3356" s="13" t="s">
        <v>3496</v>
      </c>
      <c r="W3356" s="13" t="s">
        <v>15759</v>
      </c>
      <c r="X3356" s="12"/>
      <c r="Y3356" s="14"/>
      <c r="Z3356" s="14"/>
    </row>
    <row r="3357">
      <c r="A3357" s="8" t="s">
        <v>15760</v>
      </c>
      <c r="B3357" s="8" t="s">
        <v>15761</v>
      </c>
      <c r="C3357" s="8" t="s">
        <v>179</v>
      </c>
      <c r="D3357" s="8" t="s">
        <v>26</v>
      </c>
      <c r="E3357" s="8" t="s">
        <v>15762</v>
      </c>
      <c r="F3357" s="8">
        <v>9.296896E7</v>
      </c>
      <c r="G3357" s="8" t="s">
        <v>54</v>
      </c>
      <c r="H3357" s="8" t="s">
        <v>430</v>
      </c>
      <c r="I3357" s="8" t="s">
        <v>31</v>
      </c>
      <c r="J3357" s="8" t="s">
        <v>56</v>
      </c>
      <c r="K3357" s="10" t="s">
        <v>15125</v>
      </c>
      <c r="L3357" s="8" t="s">
        <v>58</v>
      </c>
      <c r="M3357" s="8" t="s">
        <v>35</v>
      </c>
      <c r="N3357" s="11">
        <v>45212.0</v>
      </c>
      <c r="O3357" s="11">
        <v>45453.0</v>
      </c>
      <c r="P3357" s="11">
        <v>45495.0</v>
      </c>
      <c r="Q3357" s="11"/>
      <c r="R3357" s="11"/>
      <c r="S3357" s="12"/>
      <c r="T3357" s="8"/>
      <c r="U3357" s="8" t="s">
        <v>59</v>
      </c>
      <c r="V3357" s="13" t="s">
        <v>7645</v>
      </c>
      <c r="W3357" s="13" t="s">
        <v>15763</v>
      </c>
      <c r="X3357" s="12"/>
      <c r="Y3357" s="14"/>
      <c r="Z3357" s="14"/>
    </row>
    <row r="3358">
      <c r="A3358" s="8" t="s">
        <v>15764</v>
      </c>
      <c r="B3358" s="8" t="s">
        <v>15765</v>
      </c>
      <c r="C3358" s="8" t="s">
        <v>179</v>
      </c>
      <c r="D3358" s="8" t="s">
        <v>26</v>
      </c>
      <c r="E3358" s="8" t="s">
        <v>15766</v>
      </c>
      <c r="F3358" s="8">
        <v>9.4739959E7</v>
      </c>
      <c r="G3358" s="8" t="s">
        <v>54</v>
      </c>
      <c r="H3358" s="8" t="s">
        <v>76</v>
      </c>
      <c r="I3358" s="8" t="s">
        <v>31</v>
      </c>
      <c r="J3358" s="8" t="s">
        <v>77</v>
      </c>
      <c r="K3358" s="10" t="s">
        <v>2537</v>
      </c>
      <c r="L3358" s="8" t="s">
        <v>58</v>
      </c>
      <c r="M3358" s="8" t="s">
        <v>35</v>
      </c>
      <c r="N3358" s="11">
        <v>45212.0</v>
      </c>
      <c r="O3358" s="11">
        <v>45481.0</v>
      </c>
      <c r="P3358" s="11">
        <v>45523.0</v>
      </c>
      <c r="Q3358" s="11"/>
      <c r="R3358" s="11"/>
      <c r="S3358" s="12"/>
      <c r="T3358" s="8"/>
      <c r="U3358" s="8" t="s">
        <v>88</v>
      </c>
      <c r="V3358" s="13" t="s">
        <v>3496</v>
      </c>
      <c r="W3358" s="13" t="s">
        <v>15767</v>
      </c>
      <c r="X3358" s="12"/>
      <c r="Y3358" s="14"/>
      <c r="Z3358" s="14"/>
    </row>
    <row r="3359">
      <c r="A3359" s="8" t="s">
        <v>15768</v>
      </c>
      <c r="B3359" s="8" t="s">
        <v>15769</v>
      </c>
      <c r="C3359" s="8" t="s">
        <v>179</v>
      </c>
      <c r="D3359" s="8" t="s">
        <v>26</v>
      </c>
      <c r="E3359" s="8" t="s">
        <v>15770</v>
      </c>
      <c r="F3359" s="8">
        <v>9.9919981E7</v>
      </c>
      <c r="G3359" s="8" t="s">
        <v>54</v>
      </c>
      <c r="H3359" s="8" t="s">
        <v>237</v>
      </c>
      <c r="I3359" s="8" t="s">
        <v>31</v>
      </c>
      <c r="J3359" s="8" t="s">
        <v>542</v>
      </c>
      <c r="K3359" s="10" t="s">
        <v>1315</v>
      </c>
      <c r="L3359" s="8" t="s">
        <v>47</v>
      </c>
      <c r="M3359" s="8" t="s">
        <v>70</v>
      </c>
      <c r="N3359" s="11">
        <v>45212.0</v>
      </c>
      <c r="O3359" s="11">
        <v>45230.0</v>
      </c>
      <c r="P3359" s="11">
        <v>45586.0</v>
      </c>
      <c r="Q3359" s="11"/>
      <c r="R3359" s="11"/>
      <c r="S3359" s="12"/>
      <c r="T3359" s="8" t="s">
        <v>121</v>
      </c>
      <c r="U3359" s="8" t="s">
        <v>1316</v>
      </c>
      <c r="V3359" s="13" t="s">
        <v>1788</v>
      </c>
      <c r="W3359" s="13" t="s">
        <v>15771</v>
      </c>
      <c r="X3359" s="12"/>
      <c r="Y3359" s="14"/>
      <c r="Z3359" s="14"/>
    </row>
    <row r="3360">
      <c r="A3360" s="8" t="s">
        <v>15772</v>
      </c>
      <c r="B3360" s="8" t="s">
        <v>15773</v>
      </c>
      <c r="C3360" s="8" t="s">
        <v>179</v>
      </c>
      <c r="D3360" s="8" t="s">
        <v>26</v>
      </c>
      <c r="E3360" s="8" t="s">
        <v>15774</v>
      </c>
      <c r="F3360" s="8">
        <v>9.396763E8</v>
      </c>
      <c r="G3360" s="8" t="s">
        <v>118</v>
      </c>
      <c r="H3360" s="8" t="s">
        <v>1162</v>
      </c>
      <c r="I3360" s="8" t="s">
        <v>31</v>
      </c>
      <c r="J3360" s="8" t="s">
        <v>56</v>
      </c>
      <c r="K3360" s="10" t="s">
        <v>15775</v>
      </c>
      <c r="L3360" s="8" t="s">
        <v>58</v>
      </c>
      <c r="M3360" s="8" t="s">
        <v>35</v>
      </c>
      <c r="N3360" s="11">
        <v>45212.0</v>
      </c>
      <c r="O3360" s="11">
        <v>45509.0</v>
      </c>
      <c r="P3360" s="11">
        <v>45551.0</v>
      </c>
      <c r="Q3360" s="11"/>
      <c r="R3360" s="11"/>
      <c r="S3360" s="12"/>
      <c r="T3360" s="8"/>
      <c r="U3360" s="8" t="s">
        <v>161</v>
      </c>
      <c r="V3360" s="13" t="s">
        <v>7421</v>
      </c>
      <c r="W3360" s="13" t="s">
        <v>15776</v>
      </c>
      <c r="X3360" s="12"/>
      <c r="Y3360" s="14"/>
      <c r="Z3360" s="14"/>
    </row>
    <row r="3361">
      <c r="A3361" s="8" t="s">
        <v>15777</v>
      </c>
      <c r="B3361" s="8" t="s">
        <v>15778</v>
      </c>
      <c r="C3361" s="8" t="s">
        <v>708</v>
      </c>
      <c r="D3361" s="8" t="s">
        <v>26</v>
      </c>
      <c r="E3361" s="8" t="s">
        <v>15779</v>
      </c>
      <c r="F3361" s="8">
        <v>5.0117774E7</v>
      </c>
      <c r="G3361" s="8" t="s">
        <v>54</v>
      </c>
      <c r="H3361" s="8" t="s">
        <v>55</v>
      </c>
      <c r="I3361" s="8" t="s">
        <v>31</v>
      </c>
      <c r="J3361" s="8" t="s">
        <v>542</v>
      </c>
      <c r="K3361" s="10" t="s">
        <v>3684</v>
      </c>
      <c r="L3361" s="8" t="s">
        <v>34</v>
      </c>
      <c r="M3361" s="8" t="s">
        <v>70</v>
      </c>
      <c r="N3361" s="11">
        <v>45212.0</v>
      </c>
      <c r="O3361" s="11">
        <v>45225.0</v>
      </c>
      <c r="P3361" s="11">
        <v>45579.0</v>
      </c>
      <c r="Q3361" s="11">
        <v>45231.0</v>
      </c>
      <c r="R3361" s="11">
        <v>45595.0</v>
      </c>
      <c r="S3361" s="12"/>
      <c r="T3361" s="8" t="s">
        <v>205</v>
      </c>
      <c r="U3361" s="8" t="s">
        <v>3685</v>
      </c>
      <c r="V3361" s="13" t="s">
        <v>15780</v>
      </c>
      <c r="W3361" s="13" t="s">
        <v>15781</v>
      </c>
      <c r="X3361" s="12"/>
      <c r="Y3361" s="14"/>
      <c r="Z3361" s="14"/>
    </row>
    <row r="3362">
      <c r="A3362" s="8" t="s">
        <v>15782</v>
      </c>
      <c r="B3362" s="8" t="s">
        <v>15783</v>
      </c>
      <c r="C3362" s="8" t="s">
        <v>179</v>
      </c>
      <c r="D3362" s="8" t="s">
        <v>26</v>
      </c>
      <c r="E3362" s="8" t="s">
        <v>15784</v>
      </c>
      <c r="F3362" s="8">
        <v>2.9721728E7</v>
      </c>
      <c r="G3362" s="8" t="s">
        <v>54</v>
      </c>
      <c r="H3362" s="8" t="s">
        <v>430</v>
      </c>
      <c r="I3362" s="8" t="s">
        <v>31</v>
      </c>
      <c r="J3362" s="8" t="s">
        <v>56</v>
      </c>
      <c r="K3362" s="10" t="s">
        <v>15125</v>
      </c>
      <c r="L3362" s="8" t="s">
        <v>58</v>
      </c>
      <c r="M3362" s="8" t="s">
        <v>35</v>
      </c>
      <c r="N3362" s="11">
        <v>45212.0</v>
      </c>
      <c r="O3362" s="11">
        <v>45453.0</v>
      </c>
      <c r="P3362" s="11">
        <v>45495.0</v>
      </c>
      <c r="Q3362" s="11"/>
      <c r="R3362" s="11"/>
      <c r="S3362" s="12"/>
      <c r="T3362" s="8"/>
      <c r="U3362" s="8" t="s">
        <v>59</v>
      </c>
      <c r="V3362" s="13" t="s">
        <v>7645</v>
      </c>
      <c r="W3362" s="13" t="s">
        <v>15785</v>
      </c>
      <c r="X3362" s="12"/>
      <c r="Y3362" s="14"/>
      <c r="Z3362" s="14"/>
    </row>
    <row r="3363">
      <c r="A3363" s="8" t="s">
        <v>15786</v>
      </c>
      <c r="B3363" s="8" t="s">
        <v>15787</v>
      </c>
      <c r="C3363" s="8" t="s">
        <v>179</v>
      </c>
      <c r="D3363" s="8" t="s">
        <v>26</v>
      </c>
      <c r="E3363" s="8" t="s">
        <v>15788</v>
      </c>
      <c r="F3363" s="8">
        <v>9.2824054E7</v>
      </c>
      <c r="G3363" s="8" t="s">
        <v>54</v>
      </c>
      <c r="H3363" s="8" t="s">
        <v>76</v>
      </c>
      <c r="I3363" s="8" t="s">
        <v>31</v>
      </c>
      <c r="J3363" s="8" t="s">
        <v>77</v>
      </c>
      <c r="K3363" s="10" t="s">
        <v>2537</v>
      </c>
      <c r="L3363" s="8" t="s">
        <v>58</v>
      </c>
      <c r="M3363" s="8" t="s">
        <v>35</v>
      </c>
      <c r="N3363" s="11">
        <v>45213.0</v>
      </c>
      <c r="O3363" s="11">
        <v>45481.0</v>
      </c>
      <c r="P3363" s="11">
        <v>45523.0</v>
      </c>
      <c r="Q3363" s="11"/>
      <c r="R3363" s="11"/>
      <c r="S3363" s="12"/>
      <c r="T3363" s="8"/>
      <c r="U3363" s="8" t="s">
        <v>88</v>
      </c>
      <c r="V3363" s="13" t="s">
        <v>3496</v>
      </c>
      <c r="W3363" s="13" t="s">
        <v>15789</v>
      </c>
      <c r="X3363" s="12"/>
      <c r="Y3363" s="14"/>
      <c r="Z3363" s="14"/>
    </row>
    <row r="3364">
      <c r="A3364" s="8" t="s">
        <v>15790</v>
      </c>
      <c r="B3364" s="8" t="s">
        <v>15791</v>
      </c>
      <c r="C3364" s="8" t="s">
        <v>708</v>
      </c>
      <c r="D3364" s="8" t="s">
        <v>26</v>
      </c>
      <c r="E3364" s="8" t="s">
        <v>15792</v>
      </c>
      <c r="F3364" s="8"/>
      <c r="G3364" s="8" t="s">
        <v>254</v>
      </c>
      <c r="H3364" s="8" t="s">
        <v>3087</v>
      </c>
      <c r="I3364" s="8" t="s">
        <v>31</v>
      </c>
      <c r="J3364" s="8" t="s">
        <v>292</v>
      </c>
      <c r="K3364" s="10" t="s">
        <v>6058</v>
      </c>
      <c r="L3364" s="8" t="s">
        <v>47</v>
      </c>
      <c r="M3364" s="8" t="s">
        <v>70</v>
      </c>
      <c r="N3364" s="11">
        <v>45213.0</v>
      </c>
      <c r="O3364" s="11">
        <v>45275.0</v>
      </c>
      <c r="P3364" s="11">
        <v>45641.0</v>
      </c>
      <c r="Q3364" s="11">
        <v>45287.0</v>
      </c>
      <c r="R3364" s="11">
        <v>45653.0</v>
      </c>
      <c r="S3364" s="12"/>
      <c r="T3364" s="8"/>
      <c r="U3364" s="8" t="s">
        <v>6059</v>
      </c>
      <c r="V3364" s="13" t="s">
        <v>38</v>
      </c>
      <c r="W3364" s="13" t="s">
        <v>15793</v>
      </c>
      <c r="X3364" s="12"/>
      <c r="Y3364" s="14"/>
      <c r="Z3364" s="14"/>
    </row>
    <row r="3365">
      <c r="A3365" s="8" t="s">
        <v>15794</v>
      </c>
      <c r="B3365" s="8" t="s">
        <v>15795</v>
      </c>
      <c r="C3365" s="8" t="s">
        <v>179</v>
      </c>
      <c r="D3365" s="8" t="s">
        <v>26</v>
      </c>
      <c r="E3365" s="8" t="s">
        <v>15796</v>
      </c>
      <c r="F3365" s="8">
        <v>5.355191151E9</v>
      </c>
      <c r="G3365" s="8" t="s">
        <v>31</v>
      </c>
      <c r="H3365" s="8" t="s">
        <v>86</v>
      </c>
      <c r="I3365" s="8" t="s">
        <v>399</v>
      </c>
      <c r="J3365" s="8" t="s">
        <v>904</v>
      </c>
      <c r="K3365" s="10" t="s">
        <v>15675</v>
      </c>
      <c r="L3365" s="8" t="s">
        <v>58</v>
      </c>
      <c r="M3365" s="8" t="s">
        <v>35</v>
      </c>
      <c r="N3365" s="11">
        <v>45213.0</v>
      </c>
      <c r="O3365" s="11">
        <v>45305.0</v>
      </c>
      <c r="P3365" s="11">
        <v>45347.0</v>
      </c>
      <c r="Q3365" s="11"/>
      <c r="R3365" s="11"/>
      <c r="S3365" s="12"/>
      <c r="T3365" s="8"/>
      <c r="U3365" s="8" t="s">
        <v>402</v>
      </c>
      <c r="V3365" s="13" t="s">
        <v>175</v>
      </c>
      <c r="W3365" s="13" t="s">
        <v>15797</v>
      </c>
      <c r="X3365" s="12"/>
      <c r="Y3365" s="14"/>
      <c r="Z3365" s="14"/>
    </row>
    <row r="3366">
      <c r="A3366" s="8" t="s">
        <v>15798</v>
      </c>
      <c r="B3366" s="8" t="s">
        <v>15799</v>
      </c>
      <c r="C3366" s="8" t="s">
        <v>708</v>
      </c>
      <c r="D3366" s="8" t="s">
        <v>26</v>
      </c>
      <c r="E3366" s="8" t="s">
        <v>15800</v>
      </c>
      <c r="F3366" s="8">
        <v>2.4767622E7</v>
      </c>
      <c r="G3366" s="8" t="s">
        <v>54</v>
      </c>
      <c r="H3366" s="8" t="s">
        <v>377</v>
      </c>
      <c r="I3366" s="8" t="s">
        <v>31</v>
      </c>
      <c r="J3366" s="8" t="s">
        <v>77</v>
      </c>
      <c r="K3366" s="10" t="s">
        <v>11204</v>
      </c>
      <c r="L3366" s="8" t="s">
        <v>47</v>
      </c>
      <c r="M3366" s="8" t="s">
        <v>70</v>
      </c>
      <c r="N3366" s="11">
        <v>45214.0</v>
      </c>
      <c r="O3366" s="11">
        <v>45214.0</v>
      </c>
      <c r="P3366" s="11">
        <v>45459.0</v>
      </c>
      <c r="Q3366" s="11">
        <v>45244.0</v>
      </c>
      <c r="R3366" s="11">
        <v>45489.0</v>
      </c>
      <c r="S3366" s="12"/>
      <c r="T3366" s="8"/>
      <c r="U3366" s="8" t="s">
        <v>11205</v>
      </c>
      <c r="V3366" s="13" t="s">
        <v>1604</v>
      </c>
      <c r="W3366" s="13" t="s">
        <v>15801</v>
      </c>
      <c r="X3366" s="12"/>
      <c r="Y3366" s="14"/>
      <c r="Z3366" s="14"/>
    </row>
    <row r="3367">
      <c r="A3367" s="8" t="s">
        <v>15802</v>
      </c>
      <c r="B3367" s="8" t="s">
        <v>15803</v>
      </c>
      <c r="C3367" s="8" t="s">
        <v>179</v>
      </c>
      <c r="D3367" s="8" t="s">
        <v>26</v>
      </c>
      <c r="E3367" s="8" t="s">
        <v>15804</v>
      </c>
      <c r="F3367" s="8"/>
      <c r="G3367" s="8" t="s">
        <v>29</v>
      </c>
      <c r="H3367" s="8" t="s">
        <v>6898</v>
      </c>
      <c r="I3367" s="8" t="s">
        <v>31</v>
      </c>
      <c r="J3367" s="8" t="s">
        <v>102</v>
      </c>
      <c r="K3367" s="10" t="s">
        <v>15805</v>
      </c>
      <c r="L3367" s="8" t="s">
        <v>58</v>
      </c>
      <c r="M3367" s="8" t="s">
        <v>35</v>
      </c>
      <c r="N3367" s="11">
        <v>45214.0</v>
      </c>
      <c r="O3367" s="11">
        <v>45362.0</v>
      </c>
      <c r="P3367" s="11">
        <v>45404.0</v>
      </c>
      <c r="Q3367" s="11"/>
      <c r="R3367" s="11"/>
      <c r="S3367" s="12"/>
      <c r="T3367" s="8"/>
      <c r="U3367" s="8" t="s">
        <v>161</v>
      </c>
      <c r="V3367" s="13" t="s">
        <v>38</v>
      </c>
      <c r="W3367" s="13" t="s">
        <v>15806</v>
      </c>
      <c r="X3367" s="12"/>
      <c r="Y3367" s="14"/>
      <c r="Z3367" s="14"/>
    </row>
    <row r="3368">
      <c r="A3368" s="8" t="s">
        <v>15807</v>
      </c>
      <c r="B3368" s="8" t="s">
        <v>15808</v>
      </c>
      <c r="C3368" s="8" t="s">
        <v>179</v>
      </c>
      <c r="D3368" s="8" t="s">
        <v>26</v>
      </c>
      <c r="E3368" s="8" t="s">
        <v>15809</v>
      </c>
      <c r="F3368" s="8">
        <v>3.450560704E9</v>
      </c>
      <c r="G3368" s="8" t="s">
        <v>284</v>
      </c>
      <c r="H3368" s="8" t="s">
        <v>673</v>
      </c>
      <c r="I3368" s="8" t="s">
        <v>31</v>
      </c>
      <c r="J3368" s="8" t="s">
        <v>86</v>
      </c>
      <c r="K3368" s="10" t="s">
        <v>2453</v>
      </c>
      <c r="L3368" s="8" t="s">
        <v>58</v>
      </c>
      <c r="M3368" s="8" t="s">
        <v>35</v>
      </c>
      <c r="N3368" s="11">
        <v>45214.0</v>
      </c>
      <c r="O3368" s="11">
        <v>45487.0</v>
      </c>
      <c r="P3368" s="11">
        <v>45529.0</v>
      </c>
      <c r="Q3368" s="11"/>
      <c r="R3368" s="11"/>
      <c r="S3368" s="12"/>
      <c r="T3368" s="8"/>
      <c r="U3368" s="8" t="s">
        <v>59</v>
      </c>
      <c r="V3368" s="13" t="s">
        <v>674</v>
      </c>
      <c r="W3368" s="13" t="s">
        <v>15810</v>
      </c>
      <c r="X3368" s="12"/>
      <c r="Y3368" s="14"/>
      <c r="Z3368" s="14"/>
    </row>
    <row r="3369">
      <c r="A3369" s="8" t="s">
        <v>15811</v>
      </c>
      <c r="B3369" s="8" t="s">
        <v>15812</v>
      </c>
      <c r="C3369" s="8" t="s">
        <v>179</v>
      </c>
      <c r="D3369" s="8" t="s">
        <v>26</v>
      </c>
      <c r="E3369" s="8" t="s">
        <v>15813</v>
      </c>
      <c r="F3369" s="8">
        <v>5.04517677E8</v>
      </c>
      <c r="G3369" s="8" t="s">
        <v>277</v>
      </c>
      <c r="H3369" s="8" t="s">
        <v>607</v>
      </c>
      <c r="I3369" s="8" t="s">
        <v>31</v>
      </c>
      <c r="J3369" s="8" t="s">
        <v>167</v>
      </c>
      <c r="K3369" s="10" t="s">
        <v>4008</v>
      </c>
      <c r="L3369" s="8" t="s">
        <v>58</v>
      </c>
      <c r="M3369" s="8" t="s">
        <v>35</v>
      </c>
      <c r="N3369" s="11">
        <v>45214.0</v>
      </c>
      <c r="O3369" s="11">
        <v>45488.0</v>
      </c>
      <c r="P3369" s="11">
        <v>45530.0</v>
      </c>
      <c r="Q3369" s="11"/>
      <c r="R3369" s="11"/>
      <c r="S3369" s="12"/>
      <c r="T3369" s="8"/>
      <c r="U3369" s="8" t="s">
        <v>59</v>
      </c>
      <c r="V3369" s="13" t="s">
        <v>5537</v>
      </c>
      <c r="W3369" s="13" t="s">
        <v>15814</v>
      </c>
      <c r="X3369" s="12"/>
      <c r="Y3369" s="14"/>
      <c r="Z3369" s="14"/>
    </row>
    <row r="3370">
      <c r="A3370" s="8" t="s">
        <v>15815</v>
      </c>
      <c r="B3370" s="8" t="s">
        <v>15816</v>
      </c>
      <c r="C3370" s="8" t="s">
        <v>179</v>
      </c>
      <c r="D3370" s="8" t="s">
        <v>26</v>
      </c>
      <c r="E3370" s="8" t="s">
        <v>15817</v>
      </c>
      <c r="F3370" s="8">
        <v>6.603803558E9</v>
      </c>
      <c r="G3370" s="8" t="s">
        <v>1620</v>
      </c>
      <c r="H3370" s="8" t="s">
        <v>1635</v>
      </c>
      <c r="I3370" s="8" t="s">
        <v>31</v>
      </c>
      <c r="J3370" s="8" t="s">
        <v>167</v>
      </c>
      <c r="K3370" s="10" t="s">
        <v>5996</v>
      </c>
      <c r="L3370" s="8" t="s">
        <v>58</v>
      </c>
      <c r="M3370" s="8" t="s">
        <v>35</v>
      </c>
      <c r="N3370" s="11">
        <v>45214.0</v>
      </c>
      <c r="O3370" s="11">
        <v>45488.0</v>
      </c>
      <c r="P3370" s="11">
        <v>45530.0</v>
      </c>
      <c r="Q3370" s="11"/>
      <c r="R3370" s="11"/>
      <c r="S3370" s="12"/>
      <c r="T3370" s="8"/>
      <c r="U3370" s="8" t="s">
        <v>130</v>
      </c>
      <c r="V3370" s="13" t="s">
        <v>4256</v>
      </c>
      <c r="W3370" s="13" t="s">
        <v>15818</v>
      </c>
      <c r="X3370" s="12"/>
      <c r="Y3370" s="14"/>
      <c r="Z3370" s="14"/>
    </row>
    <row r="3371">
      <c r="A3371" s="8" t="s">
        <v>15819</v>
      </c>
      <c r="B3371" s="8" t="s">
        <v>15820</v>
      </c>
      <c r="C3371" s="8" t="s">
        <v>708</v>
      </c>
      <c r="D3371" s="8" t="s">
        <v>26</v>
      </c>
      <c r="E3371" s="8" t="s">
        <v>15821</v>
      </c>
      <c r="F3371" s="8"/>
      <c r="G3371" s="8" t="s">
        <v>254</v>
      </c>
      <c r="H3371" s="8" t="s">
        <v>758</v>
      </c>
      <c r="I3371" s="8" t="s">
        <v>31</v>
      </c>
      <c r="J3371" s="8" t="s">
        <v>86</v>
      </c>
      <c r="K3371" s="10" t="s">
        <v>15822</v>
      </c>
      <c r="L3371" s="8" t="s">
        <v>34</v>
      </c>
      <c r="M3371" s="8" t="s">
        <v>70</v>
      </c>
      <c r="N3371" s="11">
        <v>45215.0</v>
      </c>
      <c r="O3371" s="11">
        <v>45250.0</v>
      </c>
      <c r="P3371" s="11">
        <v>45618.0</v>
      </c>
      <c r="Q3371" s="11">
        <v>45274.0</v>
      </c>
      <c r="R3371" s="11">
        <v>45642.0</v>
      </c>
      <c r="S3371" s="12"/>
      <c r="T3371" s="8" t="s">
        <v>36</v>
      </c>
      <c r="U3371" s="8" t="s">
        <v>15823</v>
      </c>
      <c r="V3371" s="13" t="s">
        <v>1194</v>
      </c>
      <c r="W3371" s="13" t="s">
        <v>15824</v>
      </c>
      <c r="X3371" s="12"/>
      <c r="Y3371" s="14"/>
      <c r="Z3371" s="14"/>
    </row>
    <row r="3372">
      <c r="A3372" s="8" t="s">
        <v>15825</v>
      </c>
      <c r="B3372" s="8" t="s">
        <v>15826</v>
      </c>
      <c r="C3372" s="8" t="s">
        <v>179</v>
      </c>
      <c r="D3372" s="8" t="s">
        <v>26</v>
      </c>
      <c r="E3372" s="8" t="s">
        <v>15827</v>
      </c>
      <c r="F3372" s="8">
        <v>7.41378549E8</v>
      </c>
      <c r="G3372" s="8" t="s">
        <v>127</v>
      </c>
      <c r="H3372" s="8" t="s">
        <v>159</v>
      </c>
      <c r="I3372" s="8" t="s">
        <v>31</v>
      </c>
      <c r="J3372" s="8" t="s">
        <v>56</v>
      </c>
      <c r="K3372" s="10" t="s">
        <v>15775</v>
      </c>
      <c r="L3372" s="8" t="s">
        <v>58</v>
      </c>
      <c r="M3372" s="8" t="s">
        <v>35</v>
      </c>
      <c r="N3372" s="11">
        <v>45215.0</v>
      </c>
      <c r="O3372" s="11">
        <v>45509.0</v>
      </c>
      <c r="P3372" s="11">
        <v>45551.0</v>
      </c>
      <c r="Q3372" s="11"/>
      <c r="R3372" s="11"/>
      <c r="S3372" s="12"/>
      <c r="T3372" s="8"/>
      <c r="U3372" s="8" t="s">
        <v>161</v>
      </c>
      <c r="V3372" s="13" t="s">
        <v>159</v>
      </c>
      <c r="W3372" s="13" t="s">
        <v>15828</v>
      </c>
      <c r="X3372" s="12"/>
      <c r="Y3372" s="14"/>
      <c r="Z3372" s="14"/>
    </row>
    <row r="3373">
      <c r="A3373" s="8" t="s">
        <v>15829</v>
      </c>
      <c r="B3373" s="8" t="s">
        <v>15830</v>
      </c>
      <c r="C3373" s="8" t="s">
        <v>179</v>
      </c>
      <c r="D3373" s="8" t="s">
        <v>26</v>
      </c>
      <c r="E3373" s="8" t="s">
        <v>15831</v>
      </c>
      <c r="F3373" s="8">
        <v>5.526115918E9</v>
      </c>
      <c r="G3373" s="8" t="s">
        <v>31</v>
      </c>
      <c r="H3373" s="8" t="s">
        <v>111</v>
      </c>
      <c r="I3373" s="8" t="s">
        <v>54</v>
      </c>
      <c r="J3373" s="8" t="s">
        <v>237</v>
      </c>
      <c r="K3373" s="10" t="s">
        <v>15832</v>
      </c>
      <c r="L3373" s="8" t="s">
        <v>58</v>
      </c>
      <c r="M3373" s="8" t="s">
        <v>35</v>
      </c>
      <c r="N3373" s="11">
        <v>45215.0</v>
      </c>
      <c r="O3373" s="11">
        <v>45495.0</v>
      </c>
      <c r="P3373" s="11">
        <v>45537.0</v>
      </c>
      <c r="Q3373" s="11"/>
      <c r="R3373" s="11"/>
      <c r="S3373" s="12"/>
      <c r="T3373" s="8"/>
      <c r="U3373" s="8" t="s">
        <v>1590</v>
      </c>
      <c r="V3373" s="13" t="s">
        <v>111</v>
      </c>
      <c r="W3373" s="13" t="s">
        <v>15833</v>
      </c>
      <c r="X3373" s="12"/>
      <c r="Y3373" s="14"/>
      <c r="Z3373" s="14"/>
    </row>
    <row r="3374">
      <c r="A3374" s="8" t="s">
        <v>15834</v>
      </c>
      <c r="B3374" s="8" t="s">
        <v>15835</v>
      </c>
      <c r="C3374" s="8" t="s">
        <v>179</v>
      </c>
      <c r="D3374" s="8" t="s">
        <v>26</v>
      </c>
      <c r="E3374" s="8" t="s">
        <v>15836</v>
      </c>
      <c r="F3374" s="8">
        <v>1.273525249E9</v>
      </c>
      <c r="G3374" s="8" t="s">
        <v>284</v>
      </c>
      <c r="H3374" s="8" t="s">
        <v>1422</v>
      </c>
      <c r="I3374" s="8" t="s">
        <v>31</v>
      </c>
      <c r="J3374" s="8" t="s">
        <v>256</v>
      </c>
      <c r="K3374" s="10" t="s">
        <v>12960</v>
      </c>
      <c r="L3374" s="8" t="s">
        <v>58</v>
      </c>
      <c r="M3374" s="8" t="s">
        <v>35</v>
      </c>
      <c r="N3374" s="11">
        <v>45215.0</v>
      </c>
      <c r="O3374" s="11">
        <v>45493.0</v>
      </c>
      <c r="P3374" s="11">
        <v>45535.0</v>
      </c>
      <c r="Q3374" s="11"/>
      <c r="R3374" s="11"/>
      <c r="S3374" s="12"/>
      <c r="T3374" s="8"/>
      <c r="U3374" s="8" t="s">
        <v>59</v>
      </c>
      <c r="V3374" s="13" t="s">
        <v>14006</v>
      </c>
      <c r="W3374" s="13" t="s">
        <v>15837</v>
      </c>
      <c r="X3374" s="12"/>
      <c r="Y3374" s="14"/>
      <c r="Z3374" s="14"/>
    </row>
    <row r="3375">
      <c r="A3375" s="8" t="s">
        <v>15838</v>
      </c>
      <c r="B3375" s="8" t="s">
        <v>15839</v>
      </c>
      <c r="C3375" s="8" t="s">
        <v>179</v>
      </c>
      <c r="D3375" s="8" t="s">
        <v>26</v>
      </c>
      <c r="E3375" s="8" t="s">
        <v>15840</v>
      </c>
      <c r="F3375" s="8">
        <v>2.9692847E7</v>
      </c>
      <c r="G3375" s="8" t="s">
        <v>54</v>
      </c>
      <c r="H3375" s="8" t="s">
        <v>377</v>
      </c>
      <c r="I3375" s="8" t="s">
        <v>31</v>
      </c>
      <c r="J3375" s="8" t="s">
        <v>77</v>
      </c>
      <c r="K3375" s="10" t="s">
        <v>4188</v>
      </c>
      <c r="L3375" s="8" t="s">
        <v>58</v>
      </c>
      <c r="M3375" s="8" t="s">
        <v>35</v>
      </c>
      <c r="N3375" s="11">
        <v>45215.0</v>
      </c>
      <c r="O3375" s="11">
        <v>45481.0</v>
      </c>
      <c r="P3375" s="11">
        <v>45523.0</v>
      </c>
      <c r="Q3375" s="11"/>
      <c r="R3375" s="11"/>
      <c r="S3375" s="12"/>
      <c r="T3375" s="8"/>
      <c r="U3375" s="8" t="s">
        <v>59</v>
      </c>
      <c r="V3375" s="13" t="s">
        <v>3491</v>
      </c>
      <c r="W3375" s="13" t="s">
        <v>15841</v>
      </c>
      <c r="X3375" s="12"/>
      <c r="Y3375" s="14"/>
      <c r="Z3375" s="14"/>
    </row>
    <row r="3376">
      <c r="A3376" s="8" t="s">
        <v>15842</v>
      </c>
      <c r="B3376" s="8" t="s">
        <v>15843</v>
      </c>
      <c r="C3376" s="8" t="s">
        <v>179</v>
      </c>
      <c r="D3376" s="8" t="s">
        <v>26</v>
      </c>
      <c r="E3376" s="8" t="s">
        <v>15844</v>
      </c>
      <c r="F3376" s="8">
        <v>5.6677599E7</v>
      </c>
      <c r="G3376" s="8" t="s">
        <v>54</v>
      </c>
      <c r="H3376" s="8" t="s">
        <v>377</v>
      </c>
      <c r="I3376" s="8" t="s">
        <v>31</v>
      </c>
      <c r="J3376" s="8" t="s">
        <v>77</v>
      </c>
      <c r="K3376" s="10" t="s">
        <v>4188</v>
      </c>
      <c r="L3376" s="8" t="s">
        <v>58</v>
      </c>
      <c r="M3376" s="8" t="s">
        <v>35</v>
      </c>
      <c r="N3376" s="11">
        <v>45215.0</v>
      </c>
      <c r="O3376" s="11">
        <v>45481.0</v>
      </c>
      <c r="P3376" s="11">
        <v>45523.0</v>
      </c>
      <c r="Q3376" s="11"/>
      <c r="R3376" s="11"/>
      <c r="S3376" s="12"/>
      <c r="T3376" s="8"/>
      <c r="U3376" s="8" t="s">
        <v>59</v>
      </c>
      <c r="V3376" s="13" t="s">
        <v>3491</v>
      </c>
      <c r="W3376" s="13" t="s">
        <v>15845</v>
      </c>
      <c r="X3376" s="12"/>
      <c r="Y3376" s="14"/>
      <c r="Z3376" s="14"/>
    </row>
    <row r="3377">
      <c r="A3377" s="8" t="s">
        <v>15846</v>
      </c>
      <c r="B3377" s="8" t="s">
        <v>15847</v>
      </c>
      <c r="C3377" s="8" t="s">
        <v>179</v>
      </c>
      <c r="D3377" s="8" t="s">
        <v>26</v>
      </c>
      <c r="E3377" s="8" t="s">
        <v>15848</v>
      </c>
      <c r="F3377" s="8"/>
      <c r="G3377" s="8" t="s">
        <v>31</v>
      </c>
      <c r="H3377" s="8" t="s">
        <v>77</v>
      </c>
      <c r="I3377" s="8" t="s">
        <v>44</v>
      </c>
      <c r="J3377" s="8" t="s">
        <v>1993</v>
      </c>
      <c r="K3377" s="10" t="s">
        <v>15747</v>
      </c>
      <c r="L3377" s="8" t="s">
        <v>58</v>
      </c>
      <c r="M3377" s="8" t="s">
        <v>35</v>
      </c>
      <c r="N3377" s="11">
        <v>45215.0</v>
      </c>
      <c r="O3377" s="11">
        <v>45505.0</v>
      </c>
      <c r="P3377" s="11">
        <v>45547.0</v>
      </c>
      <c r="Q3377" s="11"/>
      <c r="R3377" s="11"/>
      <c r="S3377" s="12"/>
      <c r="T3377" s="8"/>
      <c r="U3377" s="8" t="s">
        <v>371</v>
      </c>
      <c r="V3377" s="13" t="s">
        <v>77</v>
      </c>
      <c r="W3377" s="13" t="s">
        <v>15849</v>
      </c>
      <c r="X3377" s="12"/>
      <c r="Y3377" s="14"/>
      <c r="Z3377" s="14"/>
    </row>
    <row r="3378">
      <c r="A3378" s="8" t="s">
        <v>15850</v>
      </c>
      <c r="B3378" s="8" t="s">
        <v>15851</v>
      </c>
      <c r="C3378" s="8" t="s">
        <v>179</v>
      </c>
      <c r="D3378" s="8" t="s">
        <v>26</v>
      </c>
      <c r="E3378" s="8" t="s">
        <v>15852</v>
      </c>
      <c r="F3378" s="8">
        <v>5.54932048E8</v>
      </c>
      <c r="G3378" s="8" t="s">
        <v>277</v>
      </c>
      <c r="H3378" s="8" t="s">
        <v>278</v>
      </c>
      <c r="I3378" s="8" t="s">
        <v>31</v>
      </c>
      <c r="J3378" s="8" t="s">
        <v>1274</v>
      </c>
      <c r="K3378" s="10" t="s">
        <v>14336</v>
      </c>
      <c r="L3378" s="8" t="s">
        <v>58</v>
      </c>
      <c r="M3378" s="8" t="s">
        <v>35</v>
      </c>
      <c r="N3378" s="11">
        <v>45215.0</v>
      </c>
      <c r="O3378" s="11">
        <v>45495.0</v>
      </c>
      <c r="P3378" s="11">
        <v>45537.0</v>
      </c>
      <c r="Q3378" s="11"/>
      <c r="R3378" s="11"/>
      <c r="S3378" s="12"/>
      <c r="T3378" s="8"/>
      <c r="U3378" s="8" t="s">
        <v>1038</v>
      </c>
      <c r="V3378" s="13" t="s">
        <v>4429</v>
      </c>
      <c r="W3378" s="13" t="s">
        <v>15853</v>
      </c>
      <c r="X3378" s="12"/>
      <c r="Y3378" s="14"/>
      <c r="Z3378" s="14"/>
    </row>
    <row r="3379">
      <c r="A3379" s="8" t="s">
        <v>15854</v>
      </c>
      <c r="B3379" s="8" t="s">
        <v>15855</v>
      </c>
      <c r="C3379" s="8" t="s">
        <v>708</v>
      </c>
      <c r="D3379" s="8" t="s">
        <v>26</v>
      </c>
      <c r="E3379" s="8" t="s">
        <v>15856</v>
      </c>
      <c r="F3379" s="8">
        <v>5.458387077E9</v>
      </c>
      <c r="G3379" s="8" t="s">
        <v>31</v>
      </c>
      <c r="H3379" s="8" t="s">
        <v>86</v>
      </c>
      <c r="I3379" s="8" t="s">
        <v>127</v>
      </c>
      <c r="J3379" s="8" t="s">
        <v>2182</v>
      </c>
      <c r="K3379" s="10" t="s">
        <v>15165</v>
      </c>
      <c r="L3379" s="8" t="s">
        <v>58</v>
      </c>
      <c r="M3379" s="8" t="s">
        <v>35</v>
      </c>
      <c r="N3379" s="11">
        <v>45215.0</v>
      </c>
      <c r="O3379" s="11">
        <v>45318.0</v>
      </c>
      <c r="P3379" s="11">
        <v>45360.0</v>
      </c>
      <c r="Q3379" s="11">
        <v>45318.0</v>
      </c>
      <c r="R3379" s="11">
        <v>45360.0</v>
      </c>
      <c r="S3379" s="12"/>
      <c r="T3379" s="8"/>
      <c r="U3379" s="8" t="s">
        <v>1956</v>
      </c>
      <c r="V3379" s="13" t="s">
        <v>175</v>
      </c>
      <c r="W3379" s="13" t="s">
        <v>15857</v>
      </c>
      <c r="X3379" s="12"/>
      <c r="Y3379" s="14"/>
      <c r="Z3379" s="14"/>
    </row>
    <row r="3380">
      <c r="A3380" s="8" t="s">
        <v>15858</v>
      </c>
      <c r="B3380" s="8" t="s">
        <v>15859</v>
      </c>
      <c r="C3380" s="8" t="s">
        <v>179</v>
      </c>
      <c r="D3380" s="8" t="s">
        <v>26</v>
      </c>
      <c r="E3380" s="8" t="s">
        <v>15860</v>
      </c>
      <c r="F3380" s="8">
        <v>1.202282131E9</v>
      </c>
      <c r="G3380" s="8" t="s">
        <v>284</v>
      </c>
      <c r="H3380" s="8" t="s">
        <v>673</v>
      </c>
      <c r="I3380" s="8" t="s">
        <v>31</v>
      </c>
      <c r="J3380" s="8" t="s">
        <v>86</v>
      </c>
      <c r="K3380" s="10" t="s">
        <v>2453</v>
      </c>
      <c r="L3380" s="8" t="s">
        <v>58</v>
      </c>
      <c r="M3380" s="8" t="s">
        <v>35</v>
      </c>
      <c r="N3380" s="11">
        <v>45215.0</v>
      </c>
      <c r="O3380" s="11">
        <v>45474.0</v>
      </c>
      <c r="P3380" s="11">
        <v>45516.0</v>
      </c>
      <c r="Q3380" s="11"/>
      <c r="R3380" s="11"/>
      <c r="S3380" s="12"/>
      <c r="T3380" s="8"/>
      <c r="U3380" s="8" t="s">
        <v>59</v>
      </c>
      <c r="V3380" s="13" t="s">
        <v>674</v>
      </c>
      <c r="W3380" s="13" t="s">
        <v>15861</v>
      </c>
      <c r="X3380" s="12"/>
      <c r="Y3380" s="14"/>
      <c r="Z3380" s="14"/>
    </row>
    <row r="3381">
      <c r="A3381" s="8" t="s">
        <v>15862</v>
      </c>
      <c r="B3381" s="8" t="s">
        <v>15863</v>
      </c>
      <c r="C3381" s="8" t="s">
        <v>179</v>
      </c>
      <c r="D3381" s="8" t="s">
        <v>26</v>
      </c>
      <c r="E3381" s="8" t="s">
        <v>15864</v>
      </c>
      <c r="F3381" s="8">
        <v>6.00352961E8</v>
      </c>
      <c r="G3381" s="8" t="s">
        <v>84</v>
      </c>
      <c r="H3381" s="8" t="s">
        <v>1266</v>
      </c>
      <c r="I3381" s="8" t="s">
        <v>31</v>
      </c>
      <c r="J3381" s="8" t="s">
        <v>77</v>
      </c>
      <c r="K3381" s="10" t="s">
        <v>15865</v>
      </c>
      <c r="L3381" s="8" t="s">
        <v>34</v>
      </c>
      <c r="M3381" s="8" t="s">
        <v>70</v>
      </c>
      <c r="N3381" s="11">
        <v>45215.0</v>
      </c>
      <c r="O3381" s="11">
        <v>45224.0</v>
      </c>
      <c r="P3381" s="11">
        <v>45590.0</v>
      </c>
      <c r="Q3381" s="11"/>
      <c r="R3381" s="11"/>
      <c r="S3381" s="12"/>
      <c r="T3381" s="8" t="s">
        <v>205</v>
      </c>
      <c r="U3381" s="8" t="s">
        <v>15866</v>
      </c>
      <c r="V3381" s="13" t="s">
        <v>2893</v>
      </c>
      <c r="W3381" s="13" t="s">
        <v>15867</v>
      </c>
      <c r="X3381" s="12"/>
      <c r="Y3381" s="14"/>
      <c r="Z3381" s="14"/>
    </row>
    <row r="3382">
      <c r="A3382" s="8" t="s">
        <v>15868</v>
      </c>
      <c r="B3382" s="8" t="s">
        <v>15869</v>
      </c>
      <c r="C3382" s="8" t="s">
        <v>179</v>
      </c>
      <c r="D3382" s="8" t="s">
        <v>26</v>
      </c>
      <c r="E3382" s="8" t="s">
        <v>15870</v>
      </c>
      <c r="F3382" s="8">
        <v>1.093528408E9</v>
      </c>
      <c r="G3382" s="8" t="s">
        <v>284</v>
      </c>
      <c r="H3382" s="8" t="s">
        <v>673</v>
      </c>
      <c r="I3382" s="8" t="s">
        <v>31</v>
      </c>
      <c r="J3382" s="8" t="s">
        <v>86</v>
      </c>
      <c r="K3382" s="10" t="s">
        <v>2453</v>
      </c>
      <c r="L3382" s="8" t="s">
        <v>58</v>
      </c>
      <c r="M3382" s="8" t="s">
        <v>35</v>
      </c>
      <c r="N3382" s="11">
        <v>45215.0</v>
      </c>
      <c r="O3382" s="11">
        <v>45474.0</v>
      </c>
      <c r="P3382" s="11">
        <v>45516.0</v>
      </c>
      <c r="Q3382" s="11"/>
      <c r="R3382" s="11"/>
      <c r="S3382" s="12"/>
      <c r="T3382" s="8"/>
      <c r="U3382" s="8" t="s">
        <v>59</v>
      </c>
      <c r="V3382" s="13" t="s">
        <v>674</v>
      </c>
      <c r="W3382" s="13" t="s">
        <v>15871</v>
      </c>
      <c r="X3382" s="12"/>
      <c r="Y3382" s="14"/>
      <c r="Z3382" s="14"/>
    </row>
    <row r="3383">
      <c r="A3383" s="8" t="s">
        <v>15872</v>
      </c>
      <c r="B3383" s="8" t="s">
        <v>15873</v>
      </c>
      <c r="C3383" s="8" t="s">
        <v>708</v>
      </c>
      <c r="D3383" s="8" t="s">
        <v>26</v>
      </c>
      <c r="E3383" s="8" t="s">
        <v>15874</v>
      </c>
      <c r="F3383" s="8">
        <v>5.62147983E8</v>
      </c>
      <c r="G3383" s="8" t="s">
        <v>254</v>
      </c>
      <c r="H3383" s="8" t="s">
        <v>1007</v>
      </c>
      <c r="I3383" s="8" t="s">
        <v>31</v>
      </c>
      <c r="J3383" s="8" t="s">
        <v>86</v>
      </c>
      <c r="K3383" s="10" t="s">
        <v>5449</v>
      </c>
      <c r="L3383" s="8" t="s">
        <v>34</v>
      </c>
      <c r="M3383" s="8" t="s">
        <v>70</v>
      </c>
      <c r="N3383" s="11">
        <v>45216.0</v>
      </c>
      <c r="O3383" s="11">
        <v>45257.0</v>
      </c>
      <c r="P3383" s="11">
        <v>45625.0</v>
      </c>
      <c r="Q3383" s="11">
        <v>45261.0</v>
      </c>
      <c r="R3383" s="11">
        <v>45629.0</v>
      </c>
      <c r="S3383" s="12"/>
      <c r="T3383" s="8" t="s">
        <v>36</v>
      </c>
      <c r="U3383" s="8" t="s">
        <v>5450</v>
      </c>
      <c r="V3383" s="13" t="s">
        <v>1249</v>
      </c>
      <c r="W3383" s="13" t="s">
        <v>15875</v>
      </c>
      <c r="X3383" s="12"/>
      <c r="Y3383" s="14"/>
      <c r="Z3383" s="14"/>
    </row>
    <row r="3384">
      <c r="A3384" s="8" t="s">
        <v>15876</v>
      </c>
      <c r="B3384" s="8" t="s">
        <v>15877</v>
      </c>
      <c r="C3384" s="8" t="s">
        <v>64</v>
      </c>
      <c r="D3384" s="8" t="s">
        <v>26</v>
      </c>
      <c r="E3384" s="8" t="s">
        <v>15878</v>
      </c>
      <c r="F3384" s="8">
        <v>7.045046181E9</v>
      </c>
      <c r="G3384" s="8" t="s">
        <v>44</v>
      </c>
      <c r="H3384" s="8" t="s">
        <v>741</v>
      </c>
      <c r="I3384" s="8" t="s">
        <v>31</v>
      </c>
      <c r="J3384" s="8" t="s">
        <v>86</v>
      </c>
      <c r="K3384" s="10" t="s">
        <v>87</v>
      </c>
      <c r="L3384" s="8" t="s">
        <v>58</v>
      </c>
      <c r="M3384" s="8" t="s">
        <v>35</v>
      </c>
      <c r="N3384" s="11">
        <v>45216.0</v>
      </c>
      <c r="O3384" s="11">
        <v>45242.0</v>
      </c>
      <c r="P3384" s="11">
        <v>45284.0</v>
      </c>
      <c r="Q3384" s="11">
        <v>45243.0</v>
      </c>
      <c r="R3384" s="11">
        <v>45284.0</v>
      </c>
      <c r="S3384" s="12"/>
      <c r="T3384" s="8"/>
      <c r="U3384" s="8" t="s">
        <v>88</v>
      </c>
      <c r="V3384" s="13" t="s">
        <v>15879</v>
      </c>
      <c r="W3384" s="13" t="s">
        <v>15880</v>
      </c>
      <c r="X3384" s="12"/>
      <c r="Y3384" s="14"/>
      <c r="Z3384" s="14"/>
    </row>
    <row r="3385">
      <c r="A3385" s="8" t="s">
        <v>15881</v>
      </c>
      <c r="B3385" s="8" t="s">
        <v>15882</v>
      </c>
      <c r="C3385" s="8" t="s">
        <v>179</v>
      </c>
      <c r="D3385" s="8" t="s">
        <v>26</v>
      </c>
      <c r="E3385" s="8" t="s">
        <v>15883</v>
      </c>
      <c r="F3385" s="8">
        <v>2.9529292E7</v>
      </c>
      <c r="G3385" s="8" t="s">
        <v>54</v>
      </c>
      <c r="H3385" s="8" t="s">
        <v>430</v>
      </c>
      <c r="I3385" s="8" t="s">
        <v>31</v>
      </c>
      <c r="J3385" s="8" t="s">
        <v>256</v>
      </c>
      <c r="K3385" s="10" t="s">
        <v>2775</v>
      </c>
      <c r="L3385" s="8" t="s">
        <v>58</v>
      </c>
      <c r="M3385" s="8" t="s">
        <v>35</v>
      </c>
      <c r="N3385" s="11">
        <v>45216.0</v>
      </c>
      <c r="O3385" s="11">
        <v>45488.0</v>
      </c>
      <c r="P3385" s="11">
        <v>45530.0</v>
      </c>
      <c r="Q3385" s="11"/>
      <c r="R3385" s="11"/>
      <c r="S3385" s="12"/>
      <c r="T3385" s="8"/>
      <c r="U3385" s="8" t="s">
        <v>59</v>
      </c>
      <c r="V3385" s="13" t="s">
        <v>15884</v>
      </c>
      <c r="W3385" s="13" t="s">
        <v>15885</v>
      </c>
      <c r="X3385" s="12"/>
      <c r="Y3385" s="14"/>
      <c r="Z3385" s="14"/>
    </row>
    <row r="3386">
      <c r="A3386" s="8" t="s">
        <v>15886</v>
      </c>
      <c r="B3386" s="8" t="s">
        <v>15887</v>
      </c>
      <c r="C3386" s="8" t="s">
        <v>179</v>
      </c>
      <c r="D3386" s="8" t="s">
        <v>26</v>
      </c>
      <c r="E3386" s="8" t="s">
        <v>15888</v>
      </c>
      <c r="F3386" s="8"/>
      <c r="G3386" s="8" t="s">
        <v>31</v>
      </c>
      <c r="H3386" s="8" t="s">
        <v>542</v>
      </c>
      <c r="I3386" s="8" t="s">
        <v>4016</v>
      </c>
      <c r="J3386" s="8" t="s">
        <v>4017</v>
      </c>
      <c r="K3386" s="10" t="s">
        <v>15889</v>
      </c>
      <c r="L3386" s="8" t="s">
        <v>34</v>
      </c>
      <c r="M3386" s="8" t="s">
        <v>70</v>
      </c>
      <c r="N3386" s="11">
        <v>45216.0</v>
      </c>
      <c r="O3386" s="11">
        <v>45323.0</v>
      </c>
      <c r="P3386" s="11">
        <v>45648.0</v>
      </c>
      <c r="Q3386" s="11"/>
      <c r="R3386" s="11"/>
      <c r="S3386" s="12"/>
      <c r="T3386" s="8" t="s">
        <v>1187</v>
      </c>
      <c r="U3386" s="8" t="s">
        <v>15890</v>
      </c>
      <c r="V3386" s="13" t="s">
        <v>38</v>
      </c>
      <c r="W3386" s="13" t="s">
        <v>15891</v>
      </c>
      <c r="X3386" s="12"/>
      <c r="Y3386" s="14"/>
      <c r="Z3386" s="14"/>
    </row>
    <row r="3387">
      <c r="A3387" s="8" t="s">
        <v>15892</v>
      </c>
      <c r="B3387" s="8" t="s">
        <v>15893</v>
      </c>
      <c r="C3387" s="8" t="s">
        <v>179</v>
      </c>
      <c r="D3387" s="8" t="s">
        <v>26</v>
      </c>
      <c r="E3387" s="8" t="s">
        <v>15894</v>
      </c>
      <c r="F3387" s="8">
        <v>5.2739038E7</v>
      </c>
      <c r="G3387" s="8" t="s">
        <v>54</v>
      </c>
      <c r="H3387" s="8" t="s">
        <v>76</v>
      </c>
      <c r="I3387" s="8" t="s">
        <v>31</v>
      </c>
      <c r="J3387" s="8" t="s">
        <v>86</v>
      </c>
      <c r="K3387" s="10" t="s">
        <v>15200</v>
      </c>
      <c r="L3387" s="8" t="s">
        <v>58</v>
      </c>
      <c r="M3387" s="8" t="s">
        <v>35</v>
      </c>
      <c r="N3387" s="11">
        <v>45216.0</v>
      </c>
      <c r="O3387" s="11">
        <v>45474.0</v>
      </c>
      <c r="P3387" s="11">
        <v>45516.0</v>
      </c>
      <c r="Q3387" s="11"/>
      <c r="R3387" s="11"/>
      <c r="S3387" s="12"/>
      <c r="T3387" s="8"/>
      <c r="U3387" s="8" t="s">
        <v>59</v>
      </c>
      <c r="V3387" s="13" t="s">
        <v>14544</v>
      </c>
      <c r="W3387" s="13" t="s">
        <v>15895</v>
      </c>
      <c r="X3387" s="12"/>
      <c r="Y3387" s="14"/>
      <c r="Z3387" s="14"/>
    </row>
    <row r="3388">
      <c r="A3388" s="8" t="s">
        <v>15896</v>
      </c>
      <c r="B3388" s="8" t="s">
        <v>15897</v>
      </c>
      <c r="C3388" s="8" t="s">
        <v>179</v>
      </c>
      <c r="D3388" s="8" t="s">
        <v>26</v>
      </c>
      <c r="E3388" s="8" t="s">
        <v>15898</v>
      </c>
      <c r="F3388" s="8">
        <v>2.6485361E7</v>
      </c>
      <c r="G3388" s="8" t="s">
        <v>54</v>
      </c>
      <c r="H3388" s="8" t="s">
        <v>377</v>
      </c>
      <c r="I3388" s="8" t="s">
        <v>31</v>
      </c>
      <c r="J3388" s="8" t="s">
        <v>77</v>
      </c>
      <c r="K3388" s="10" t="s">
        <v>2537</v>
      </c>
      <c r="L3388" s="8" t="s">
        <v>58</v>
      </c>
      <c r="M3388" s="8" t="s">
        <v>35</v>
      </c>
      <c r="N3388" s="11">
        <v>45216.0</v>
      </c>
      <c r="O3388" s="11">
        <v>45491.0</v>
      </c>
      <c r="P3388" s="11">
        <v>45533.0</v>
      </c>
      <c r="Q3388" s="11"/>
      <c r="R3388" s="11"/>
      <c r="S3388" s="12"/>
      <c r="T3388" s="8"/>
      <c r="U3388" s="8" t="s">
        <v>88</v>
      </c>
      <c r="V3388" s="13" t="s">
        <v>6222</v>
      </c>
      <c r="W3388" s="13" t="s">
        <v>15899</v>
      </c>
      <c r="X3388" s="12"/>
      <c r="Y3388" s="14"/>
      <c r="Z3388" s="14"/>
    </row>
    <row r="3389">
      <c r="A3389" s="8" t="s">
        <v>15900</v>
      </c>
      <c r="B3389" s="8" t="s">
        <v>15901</v>
      </c>
      <c r="C3389" s="8" t="s">
        <v>708</v>
      </c>
      <c r="D3389" s="8" t="s">
        <v>26</v>
      </c>
      <c r="E3389" s="8" t="s">
        <v>15902</v>
      </c>
      <c r="F3389" s="8">
        <v>6.12189155E8</v>
      </c>
      <c r="G3389" s="8" t="s">
        <v>84</v>
      </c>
      <c r="H3389" s="8" t="s">
        <v>85</v>
      </c>
      <c r="I3389" s="8" t="s">
        <v>31</v>
      </c>
      <c r="J3389" s="8" t="s">
        <v>438</v>
      </c>
      <c r="K3389" s="10" t="s">
        <v>15903</v>
      </c>
      <c r="L3389" s="8" t="s">
        <v>47</v>
      </c>
      <c r="M3389" s="8" t="s">
        <v>48</v>
      </c>
      <c r="N3389" s="11">
        <v>45216.0</v>
      </c>
      <c r="O3389" s="11">
        <v>45231.0</v>
      </c>
      <c r="P3389" s="11">
        <v>45382.0</v>
      </c>
      <c r="Q3389" s="11">
        <v>45240.0</v>
      </c>
      <c r="R3389" s="11">
        <v>45391.0</v>
      </c>
      <c r="S3389" s="12"/>
      <c r="T3389" s="8"/>
      <c r="U3389" s="8" t="s">
        <v>5175</v>
      </c>
      <c r="V3389" s="13" t="s">
        <v>15904</v>
      </c>
      <c r="W3389" s="13" t="s">
        <v>15905</v>
      </c>
      <c r="X3389" s="12"/>
      <c r="Y3389" s="14"/>
      <c r="Z3389" s="14"/>
    </row>
    <row r="3390">
      <c r="A3390" s="8" t="s">
        <v>15906</v>
      </c>
      <c r="B3390" s="8" t="s">
        <v>15907</v>
      </c>
      <c r="C3390" s="8" t="s">
        <v>708</v>
      </c>
      <c r="D3390" s="8" t="s">
        <v>26</v>
      </c>
      <c r="E3390" s="8" t="s">
        <v>15908</v>
      </c>
      <c r="F3390" s="8">
        <v>3.144191572E9</v>
      </c>
      <c r="G3390" s="8" t="s">
        <v>981</v>
      </c>
      <c r="H3390" s="8" t="s">
        <v>15909</v>
      </c>
      <c r="I3390" s="8" t="s">
        <v>31</v>
      </c>
      <c r="J3390" s="8" t="s">
        <v>66</v>
      </c>
      <c r="K3390" s="10" t="s">
        <v>15083</v>
      </c>
      <c r="L3390" s="8" t="s">
        <v>47</v>
      </c>
      <c r="M3390" s="8" t="s">
        <v>70</v>
      </c>
      <c r="N3390" s="11">
        <v>45216.0</v>
      </c>
      <c r="O3390" s="11">
        <v>45207.0</v>
      </c>
      <c r="P3390" s="11">
        <v>45571.0</v>
      </c>
      <c r="Q3390" s="11">
        <v>45250.0</v>
      </c>
      <c r="R3390" s="11">
        <v>45612.0</v>
      </c>
      <c r="S3390" s="12"/>
      <c r="T3390" s="8"/>
      <c r="U3390" s="8" t="s">
        <v>246</v>
      </c>
      <c r="V3390" s="13" t="s">
        <v>38</v>
      </c>
      <c r="W3390" s="13" t="s">
        <v>15910</v>
      </c>
      <c r="X3390" s="12"/>
      <c r="Y3390" s="14"/>
      <c r="Z3390" s="14"/>
    </row>
    <row r="3391">
      <c r="A3391" s="8" t="s">
        <v>15911</v>
      </c>
      <c r="B3391" s="8" t="s">
        <v>15912</v>
      </c>
      <c r="C3391" s="8" t="s">
        <v>179</v>
      </c>
      <c r="D3391" s="8" t="s">
        <v>26</v>
      </c>
      <c r="E3391" s="8" t="s">
        <v>15913</v>
      </c>
      <c r="F3391" s="8">
        <v>6.03285844E8</v>
      </c>
      <c r="G3391" s="8" t="s">
        <v>1845</v>
      </c>
      <c r="H3391" s="8" t="s">
        <v>15914</v>
      </c>
      <c r="I3391" s="8" t="s">
        <v>31</v>
      </c>
      <c r="J3391" s="8" t="s">
        <v>167</v>
      </c>
      <c r="K3391" s="10" t="s">
        <v>15915</v>
      </c>
      <c r="L3391" s="8" t="s">
        <v>47</v>
      </c>
      <c r="M3391" s="8" t="s">
        <v>70</v>
      </c>
      <c r="N3391" s="11">
        <v>45217.0</v>
      </c>
      <c r="O3391" s="11">
        <v>45230.0</v>
      </c>
      <c r="P3391" s="11">
        <v>45596.0</v>
      </c>
      <c r="Q3391" s="11"/>
      <c r="R3391" s="11"/>
      <c r="S3391" s="12"/>
      <c r="T3391" s="8"/>
      <c r="U3391" s="8" t="s">
        <v>15916</v>
      </c>
      <c r="V3391" s="13" t="s">
        <v>15914</v>
      </c>
      <c r="W3391" s="13" t="s">
        <v>15917</v>
      </c>
      <c r="X3391" s="12"/>
      <c r="Y3391" s="14"/>
      <c r="Z3391" s="14"/>
    </row>
    <row r="3392">
      <c r="A3392" s="8" t="s">
        <v>15918</v>
      </c>
      <c r="B3392" s="8" t="s">
        <v>15919</v>
      </c>
      <c r="C3392" s="8" t="s">
        <v>179</v>
      </c>
      <c r="D3392" s="8" t="s">
        <v>26</v>
      </c>
      <c r="E3392" s="8" t="s">
        <v>15920</v>
      </c>
      <c r="F3392" s="8">
        <v>7.98886553E8</v>
      </c>
      <c r="G3392" s="8" t="s">
        <v>254</v>
      </c>
      <c r="H3392" s="8" t="s">
        <v>422</v>
      </c>
      <c r="I3392" s="8" t="s">
        <v>31</v>
      </c>
      <c r="J3392" s="8" t="s">
        <v>56</v>
      </c>
      <c r="K3392" s="10" t="s">
        <v>12274</v>
      </c>
      <c r="L3392" s="8" t="s">
        <v>58</v>
      </c>
      <c r="M3392" s="8" t="s">
        <v>35</v>
      </c>
      <c r="N3392" s="11">
        <v>45217.0</v>
      </c>
      <c r="O3392" s="11">
        <v>45222.0</v>
      </c>
      <c r="P3392" s="11">
        <v>45264.0</v>
      </c>
      <c r="Q3392" s="11"/>
      <c r="R3392" s="11"/>
      <c r="S3392" s="12"/>
      <c r="T3392" s="8"/>
      <c r="U3392" s="8" t="s">
        <v>161</v>
      </c>
      <c r="V3392" s="13" t="s">
        <v>425</v>
      </c>
      <c r="W3392" s="13" t="s">
        <v>15921</v>
      </c>
      <c r="X3392" s="12"/>
      <c r="Y3392" s="14"/>
      <c r="Z3392" s="14"/>
    </row>
    <row r="3393">
      <c r="A3393" s="8" t="s">
        <v>15922</v>
      </c>
      <c r="B3393" s="8" t="s">
        <v>7835</v>
      </c>
      <c r="C3393" s="8" t="s">
        <v>179</v>
      </c>
      <c r="D3393" s="8" t="s">
        <v>26</v>
      </c>
      <c r="E3393" s="8" t="s">
        <v>15923</v>
      </c>
      <c r="F3393" s="8">
        <v>1.207664046E9</v>
      </c>
      <c r="G3393" s="8" t="s">
        <v>284</v>
      </c>
      <c r="H3393" s="8" t="s">
        <v>673</v>
      </c>
      <c r="I3393" s="8" t="s">
        <v>31</v>
      </c>
      <c r="J3393" s="8" t="s">
        <v>66</v>
      </c>
      <c r="K3393" s="10" t="s">
        <v>4068</v>
      </c>
      <c r="L3393" s="8" t="s">
        <v>47</v>
      </c>
      <c r="M3393" s="8" t="s">
        <v>70</v>
      </c>
      <c r="N3393" s="11">
        <v>45217.0</v>
      </c>
      <c r="O3393" s="11">
        <v>45261.0</v>
      </c>
      <c r="P3393" s="11">
        <v>45627.0</v>
      </c>
      <c r="Q3393" s="11"/>
      <c r="R3393" s="11"/>
      <c r="S3393" s="12"/>
      <c r="T3393" s="8"/>
      <c r="U3393" s="8" t="s">
        <v>4069</v>
      </c>
      <c r="V3393" s="13" t="s">
        <v>674</v>
      </c>
      <c r="W3393" s="13" t="s">
        <v>15924</v>
      </c>
      <c r="X3393" s="12"/>
      <c r="Y3393" s="14"/>
      <c r="Z3393" s="14"/>
    </row>
    <row r="3394">
      <c r="A3394" s="8" t="s">
        <v>15925</v>
      </c>
      <c r="B3394" s="8" t="s">
        <v>15926</v>
      </c>
      <c r="C3394" s="8" t="s">
        <v>708</v>
      </c>
      <c r="D3394" s="8" t="s">
        <v>26</v>
      </c>
      <c r="E3394" s="8" t="s">
        <v>15927</v>
      </c>
      <c r="F3394" s="8">
        <v>3.070055339E9</v>
      </c>
      <c r="G3394" s="8" t="s">
        <v>315</v>
      </c>
      <c r="H3394" s="8" t="s">
        <v>316</v>
      </c>
      <c r="I3394" s="8" t="s">
        <v>31</v>
      </c>
      <c r="J3394" s="8" t="s">
        <v>542</v>
      </c>
      <c r="K3394" s="10" t="s">
        <v>15928</v>
      </c>
      <c r="L3394" s="8" t="s">
        <v>47</v>
      </c>
      <c r="M3394" s="8" t="s">
        <v>70</v>
      </c>
      <c r="N3394" s="11">
        <v>45217.0</v>
      </c>
      <c r="O3394" s="11">
        <v>45230.0</v>
      </c>
      <c r="P3394" s="11">
        <v>45593.0</v>
      </c>
      <c r="Q3394" s="11">
        <v>45232.0</v>
      </c>
      <c r="R3394" s="11">
        <v>45593.0</v>
      </c>
      <c r="S3394" s="12"/>
      <c r="T3394" s="8"/>
      <c r="U3394" s="8" t="s">
        <v>771</v>
      </c>
      <c r="V3394" s="13" t="s">
        <v>15929</v>
      </c>
      <c r="W3394" s="13" t="s">
        <v>15930</v>
      </c>
      <c r="X3394" s="12"/>
      <c r="Y3394" s="14"/>
      <c r="Z3394" s="14"/>
    </row>
    <row r="3395">
      <c r="A3395" s="8" t="s">
        <v>15931</v>
      </c>
      <c r="B3395" s="8" t="s">
        <v>15932</v>
      </c>
      <c r="C3395" s="8" t="s">
        <v>179</v>
      </c>
      <c r="D3395" s="8" t="s">
        <v>26</v>
      </c>
      <c r="E3395" s="8" t="s">
        <v>15933</v>
      </c>
      <c r="F3395" s="8">
        <v>5.05216717E9</v>
      </c>
      <c r="G3395" s="8" t="s">
        <v>31</v>
      </c>
      <c r="H3395" s="8" t="s">
        <v>56</v>
      </c>
      <c r="I3395" s="8" t="s">
        <v>9946</v>
      </c>
      <c r="J3395" s="8" t="s">
        <v>13404</v>
      </c>
      <c r="K3395" s="10" t="s">
        <v>13405</v>
      </c>
      <c r="L3395" s="8" t="s">
        <v>58</v>
      </c>
      <c r="M3395" s="8" t="s">
        <v>35</v>
      </c>
      <c r="N3395" s="11">
        <v>45218.0</v>
      </c>
      <c r="O3395" s="11">
        <v>45321.0</v>
      </c>
      <c r="P3395" s="11">
        <v>45363.0</v>
      </c>
      <c r="Q3395" s="11"/>
      <c r="R3395" s="11"/>
      <c r="S3395" s="12"/>
      <c r="T3395" s="8"/>
      <c r="U3395" s="8" t="s">
        <v>59</v>
      </c>
      <c r="V3395" s="13" t="s">
        <v>56</v>
      </c>
      <c r="W3395" s="13" t="s">
        <v>15934</v>
      </c>
      <c r="X3395" s="12"/>
      <c r="Y3395" s="14"/>
      <c r="Z3395" s="14"/>
    </row>
    <row r="3396">
      <c r="A3396" s="8" t="s">
        <v>15935</v>
      </c>
      <c r="B3396" s="8" t="s">
        <v>15936</v>
      </c>
      <c r="C3396" s="8" t="s">
        <v>179</v>
      </c>
      <c r="D3396" s="8" t="s">
        <v>26</v>
      </c>
      <c r="E3396" s="8" t="s">
        <v>15937</v>
      </c>
      <c r="F3396" s="8">
        <v>5.346343073E9</v>
      </c>
      <c r="G3396" s="8" t="s">
        <v>31</v>
      </c>
      <c r="H3396" s="8" t="s">
        <v>56</v>
      </c>
      <c r="I3396" s="8" t="s">
        <v>202</v>
      </c>
      <c r="J3396" s="8" t="s">
        <v>203</v>
      </c>
      <c r="K3396" s="10" t="s">
        <v>15938</v>
      </c>
      <c r="L3396" s="8" t="s">
        <v>34</v>
      </c>
      <c r="M3396" s="8" t="s">
        <v>70</v>
      </c>
      <c r="N3396" s="11">
        <v>45218.0</v>
      </c>
      <c r="O3396" s="11">
        <v>45264.0</v>
      </c>
      <c r="P3396" s="11">
        <v>45629.0</v>
      </c>
      <c r="Q3396" s="11"/>
      <c r="R3396" s="11"/>
      <c r="S3396" s="12"/>
      <c r="T3396" s="8" t="s">
        <v>224</v>
      </c>
      <c r="U3396" s="8" t="s">
        <v>15939</v>
      </c>
      <c r="V3396" s="13" t="s">
        <v>38</v>
      </c>
      <c r="W3396" s="13" t="s">
        <v>15940</v>
      </c>
      <c r="X3396" s="12"/>
      <c r="Y3396" s="14"/>
      <c r="Z3396" s="14"/>
    </row>
    <row r="3397">
      <c r="A3397" s="8" t="s">
        <v>15941</v>
      </c>
      <c r="B3397" s="8" t="s">
        <v>15942</v>
      </c>
      <c r="C3397" s="8" t="s">
        <v>708</v>
      </c>
      <c r="D3397" s="8" t="s">
        <v>26</v>
      </c>
      <c r="E3397" s="8" t="s">
        <v>15943</v>
      </c>
      <c r="F3397" s="8">
        <v>6.21150606E8</v>
      </c>
      <c r="G3397" s="8" t="s">
        <v>84</v>
      </c>
      <c r="H3397" s="8" t="s">
        <v>1280</v>
      </c>
      <c r="I3397" s="8" t="s">
        <v>31</v>
      </c>
      <c r="J3397" s="8" t="s">
        <v>86</v>
      </c>
      <c r="K3397" s="10" t="s">
        <v>2706</v>
      </c>
      <c r="L3397" s="8" t="s">
        <v>47</v>
      </c>
      <c r="M3397" s="8" t="s">
        <v>70</v>
      </c>
      <c r="N3397" s="11">
        <v>45218.0</v>
      </c>
      <c r="O3397" s="11">
        <v>45229.0</v>
      </c>
      <c r="P3397" s="11">
        <v>45597.0</v>
      </c>
      <c r="Q3397" s="11">
        <v>45218.0</v>
      </c>
      <c r="R3397" s="11">
        <v>45597.0</v>
      </c>
      <c r="S3397" s="12"/>
      <c r="T3397" s="8"/>
      <c r="U3397" s="8" t="s">
        <v>2707</v>
      </c>
      <c r="V3397" s="13" t="s">
        <v>2294</v>
      </c>
      <c r="W3397" s="13" t="s">
        <v>15944</v>
      </c>
      <c r="X3397" s="12"/>
      <c r="Y3397" s="14"/>
      <c r="Z3397" s="14"/>
    </row>
    <row r="3398">
      <c r="A3398" s="8" t="s">
        <v>15945</v>
      </c>
      <c r="B3398" s="8" t="s">
        <v>15946</v>
      </c>
      <c r="C3398" s="8" t="s">
        <v>179</v>
      </c>
      <c r="D3398" s="8" t="s">
        <v>26</v>
      </c>
      <c r="E3398" s="8" t="s">
        <v>15947</v>
      </c>
      <c r="F3398" s="8">
        <v>5.5143054E7</v>
      </c>
      <c r="G3398" s="8" t="s">
        <v>54</v>
      </c>
      <c r="H3398" s="8" t="s">
        <v>76</v>
      </c>
      <c r="I3398" s="8" t="s">
        <v>31</v>
      </c>
      <c r="J3398" s="8" t="s">
        <v>256</v>
      </c>
      <c r="K3398" s="10" t="s">
        <v>15948</v>
      </c>
      <c r="L3398" s="8" t="s">
        <v>47</v>
      </c>
      <c r="M3398" s="8" t="s">
        <v>70</v>
      </c>
      <c r="N3398" s="11">
        <v>45218.0</v>
      </c>
      <c r="O3398" s="11">
        <v>45226.0</v>
      </c>
      <c r="P3398" s="11">
        <v>45591.0</v>
      </c>
      <c r="Q3398" s="11"/>
      <c r="R3398" s="11"/>
      <c r="S3398" s="12"/>
      <c r="T3398" s="8"/>
      <c r="U3398" s="8" t="s">
        <v>246</v>
      </c>
      <c r="V3398" s="13" t="s">
        <v>491</v>
      </c>
      <c r="W3398" s="13" t="s">
        <v>15949</v>
      </c>
      <c r="X3398" s="12"/>
      <c r="Y3398" s="14"/>
      <c r="Z3398" s="14"/>
    </row>
    <row r="3399">
      <c r="A3399" s="8" t="s">
        <v>15950</v>
      </c>
      <c r="B3399" s="8" t="s">
        <v>15951</v>
      </c>
      <c r="C3399" s="8" t="s">
        <v>25</v>
      </c>
      <c r="D3399" s="8" t="s">
        <v>26</v>
      </c>
      <c r="E3399" s="8" t="s">
        <v>15952</v>
      </c>
      <c r="F3399" s="8">
        <v>5.526191341E9</v>
      </c>
      <c r="G3399" s="8" t="s">
        <v>31</v>
      </c>
      <c r="H3399" s="8" t="s">
        <v>56</v>
      </c>
      <c r="I3399" s="8" t="s">
        <v>284</v>
      </c>
      <c r="J3399" s="8" t="s">
        <v>793</v>
      </c>
      <c r="K3399" s="10" t="s">
        <v>15953</v>
      </c>
      <c r="L3399" s="8" t="s">
        <v>58</v>
      </c>
      <c r="M3399" s="8" t="s">
        <v>35</v>
      </c>
      <c r="N3399" s="11">
        <v>45218.0</v>
      </c>
      <c r="O3399" s="11">
        <v>45261.0</v>
      </c>
      <c r="P3399" s="11">
        <v>45303.0</v>
      </c>
      <c r="Q3399" s="11">
        <v>45271.0</v>
      </c>
      <c r="R3399" s="11">
        <v>45313.0</v>
      </c>
      <c r="S3399" s="12"/>
      <c r="T3399" s="8"/>
      <c r="U3399" s="8" t="s">
        <v>161</v>
      </c>
      <c r="V3399" s="13" t="s">
        <v>56</v>
      </c>
      <c r="W3399" s="13" t="s">
        <v>15954</v>
      </c>
      <c r="X3399" s="12"/>
      <c r="Y3399" s="14"/>
      <c r="Z3399" s="14"/>
    </row>
    <row r="3400">
      <c r="A3400" s="8" t="s">
        <v>15955</v>
      </c>
      <c r="B3400" s="8" t="s">
        <v>14745</v>
      </c>
      <c r="C3400" s="8" t="s">
        <v>708</v>
      </c>
      <c r="D3400" s="8" t="s">
        <v>26</v>
      </c>
      <c r="E3400" s="8" t="s">
        <v>14746</v>
      </c>
      <c r="F3400" s="8">
        <v>7.7525642E8</v>
      </c>
      <c r="G3400" s="8" t="s">
        <v>254</v>
      </c>
      <c r="H3400" s="8" t="s">
        <v>255</v>
      </c>
      <c r="I3400" s="8" t="s">
        <v>31</v>
      </c>
      <c r="J3400" s="8" t="s">
        <v>256</v>
      </c>
      <c r="K3400" s="10" t="s">
        <v>15956</v>
      </c>
      <c r="L3400" s="8" t="s">
        <v>47</v>
      </c>
      <c r="M3400" s="8" t="s">
        <v>70</v>
      </c>
      <c r="N3400" s="11">
        <v>45218.0</v>
      </c>
      <c r="O3400" s="11">
        <v>45219.0</v>
      </c>
      <c r="P3400" s="11">
        <v>45584.0</v>
      </c>
      <c r="Q3400" s="11">
        <v>45230.0</v>
      </c>
      <c r="R3400" s="11">
        <v>45595.0</v>
      </c>
      <c r="S3400" s="12"/>
      <c r="T3400" s="8"/>
      <c r="U3400" s="8" t="s">
        <v>246</v>
      </c>
      <c r="V3400" s="13" t="s">
        <v>258</v>
      </c>
      <c r="W3400" s="13" t="s">
        <v>14747</v>
      </c>
      <c r="X3400" s="12"/>
      <c r="Y3400" s="14"/>
      <c r="Z3400" s="14"/>
    </row>
    <row r="3401">
      <c r="A3401" s="8" t="s">
        <v>15957</v>
      </c>
      <c r="B3401" s="8" t="s">
        <v>15958</v>
      </c>
      <c r="C3401" s="8" t="s">
        <v>179</v>
      </c>
      <c r="D3401" s="8" t="s">
        <v>26</v>
      </c>
      <c r="E3401" s="8" t="s">
        <v>15959</v>
      </c>
      <c r="F3401" s="8">
        <v>9.3597235E7</v>
      </c>
      <c r="G3401" s="8" t="s">
        <v>54</v>
      </c>
      <c r="H3401" s="8" t="s">
        <v>76</v>
      </c>
      <c r="I3401" s="8" t="s">
        <v>31</v>
      </c>
      <c r="J3401" s="8" t="s">
        <v>77</v>
      </c>
      <c r="K3401" s="10" t="s">
        <v>4188</v>
      </c>
      <c r="L3401" s="8" t="s">
        <v>58</v>
      </c>
      <c r="M3401" s="8" t="s">
        <v>35</v>
      </c>
      <c r="N3401" s="11">
        <v>45218.0</v>
      </c>
      <c r="O3401" s="11">
        <v>45481.0</v>
      </c>
      <c r="P3401" s="11">
        <v>45523.0</v>
      </c>
      <c r="Q3401" s="11"/>
      <c r="R3401" s="11"/>
      <c r="S3401" s="12"/>
      <c r="T3401" s="8"/>
      <c r="U3401" s="8" t="s">
        <v>59</v>
      </c>
      <c r="V3401" s="13" t="s">
        <v>324</v>
      </c>
      <c r="W3401" s="13" t="s">
        <v>15960</v>
      </c>
      <c r="X3401" s="12"/>
      <c r="Y3401" s="14"/>
      <c r="Z3401" s="14"/>
    </row>
    <row r="3402">
      <c r="A3402" s="8" t="s">
        <v>15961</v>
      </c>
      <c r="B3402" s="8" t="s">
        <v>15962</v>
      </c>
      <c r="C3402" s="8" t="s">
        <v>179</v>
      </c>
      <c r="D3402" s="8" t="s">
        <v>26</v>
      </c>
      <c r="E3402" s="8" t="s">
        <v>15963</v>
      </c>
      <c r="F3402" s="8">
        <v>2.8268482E7</v>
      </c>
      <c r="G3402" s="8" t="s">
        <v>54</v>
      </c>
      <c r="H3402" s="8" t="s">
        <v>76</v>
      </c>
      <c r="I3402" s="8" t="s">
        <v>31</v>
      </c>
      <c r="J3402" s="8" t="s">
        <v>77</v>
      </c>
      <c r="K3402" s="10" t="s">
        <v>4188</v>
      </c>
      <c r="L3402" s="8" t="s">
        <v>58</v>
      </c>
      <c r="M3402" s="8" t="s">
        <v>35</v>
      </c>
      <c r="N3402" s="11">
        <v>45218.0</v>
      </c>
      <c r="O3402" s="11">
        <v>45481.0</v>
      </c>
      <c r="P3402" s="11">
        <v>45523.0</v>
      </c>
      <c r="Q3402" s="11"/>
      <c r="R3402" s="11"/>
      <c r="S3402" s="12"/>
      <c r="T3402" s="8"/>
      <c r="U3402" s="8" t="s">
        <v>59</v>
      </c>
      <c r="V3402" s="13" t="s">
        <v>324</v>
      </c>
      <c r="W3402" s="13" t="s">
        <v>15964</v>
      </c>
      <c r="X3402" s="12"/>
      <c r="Y3402" s="14"/>
      <c r="Z3402" s="14"/>
    </row>
    <row r="3403">
      <c r="A3403" s="8" t="s">
        <v>15965</v>
      </c>
      <c r="B3403" s="8" t="s">
        <v>15966</v>
      </c>
      <c r="C3403" s="8" t="s">
        <v>179</v>
      </c>
      <c r="D3403" s="8" t="s">
        <v>26</v>
      </c>
      <c r="E3403" s="8" t="s">
        <v>15967</v>
      </c>
      <c r="F3403" s="8">
        <v>2.9577245E7</v>
      </c>
      <c r="G3403" s="8" t="s">
        <v>54</v>
      </c>
      <c r="H3403" s="8" t="s">
        <v>377</v>
      </c>
      <c r="I3403" s="8" t="s">
        <v>31</v>
      </c>
      <c r="J3403" s="8" t="s">
        <v>43</v>
      </c>
      <c r="K3403" s="10" t="s">
        <v>2922</v>
      </c>
      <c r="L3403" s="8" t="s">
        <v>58</v>
      </c>
      <c r="M3403" s="8" t="s">
        <v>35</v>
      </c>
      <c r="N3403" s="11">
        <v>45219.0</v>
      </c>
      <c r="O3403" s="11">
        <v>45474.0</v>
      </c>
      <c r="P3403" s="11">
        <v>45516.0</v>
      </c>
      <c r="Q3403" s="11"/>
      <c r="R3403" s="11"/>
      <c r="S3403" s="12"/>
      <c r="T3403" s="8"/>
      <c r="U3403" s="8" t="s">
        <v>59</v>
      </c>
      <c r="V3403" s="13" t="s">
        <v>2151</v>
      </c>
      <c r="W3403" s="13" t="s">
        <v>15968</v>
      </c>
      <c r="X3403" s="12"/>
      <c r="Y3403" s="14"/>
      <c r="Z3403" s="14"/>
    </row>
    <row r="3404">
      <c r="A3404" s="8" t="s">
        <v>15969</v>
      </c>
      <c r="B3404" s="8" t="s">
        <v>15970</v>
      </c>
      <c r="C3404" s="8" t="s">
        <v>179</v>
      </c>
      <c r="D3404" s="8" t="s">
        <v>26</v>
      </c>
      <c r="E3404" s="8" t="s">
        <v>15971</v>
      </c>
      <c r="F3404" s="8">
        <v>1.270497289E9</v>
      </c>
      <c r="G3404" s="8" t="s">
        <v>284</v>
      </c>
      <c r="H3404" s="8" t="s">
        <v>691</v>
      </c>
      <c r="I3404" s="8" t="s">
        <v>31</v>
      </c>
      <c r="J3404" s="8" t="s">
        <v>43</v>
      </c>
      <c r="K3404" s="10" t="s">
        <v>10002</v>
      </c>
      <c r="L3404" s="8" t="s">
        <v>58</v>
      </c>
      <c r="M3404" s="8" t="s">
        <v>35</v>
      </c>
      <c r="N3404" s="11">
        <v>45219.0</v>
      </c>
      <c r="O3404" s="11">
        <v>45327.0</v>
      </c>
      <c r="P3404" s="11">
        <v>45369.0</v>
      </c>
      <c r="Q3404" s="11"/>
      <c r="R3404" s="11"/>
      <c r="S3404" s="12"/>
      <c r="T3404" s="8"/>
      <c r="U3404" s="8" t="s">
        <v>59</v>
      </c>
      <c r="V3404" s="13" t="s">
        <v>692</v>
      </c>
      <c r="W3404" s="13" t="s">
        <v>15972</v>
      </c>
      <c r="X3404" s="12"/>
      <c r="Y3404" s="14"/>
      <c r="Z3404" s="14"/>
    </row>
    <row r="3405">
      <c r="A3405" s="8" t="s">
        <v>15973</v>
      </c>
      <c r="B3405" s="8" t="s">
        <v>13004</v>
      </c>
      <c r="C3405" s="8" t="s">
        <v>64</v>
      </c>
      <c r="D3405" s="8" t="s">
        <v>26</v>
      </c>
      <c r="E3405" s="8" t="s">
        <v>13005</v>
      </c>
      <c r="F3405" s="8">
        <v>6.716464E7</v>
      </c>
      <c r="G3405" s="8" t="s">
        <v>3929</v>
      </c>
      <c r="H3405" s="8" t="s">
        <v>13006</v>
      </c>
      <c r="I3405" s="8" t="s">
        <v>31</v>
      </c>
      <c r="J3405" s="8" t="s">
        <v>43</v>
      </c>
      <c r="K3405" s="10" t="s">
        <v>837</v>
      </c>
      <c r="L3405" s="8" t="s">
        <v>58</v>
      </c>
      <c r="M3405" s="8" t="s">
        <v>35</v>
      </c>
      <c r="N3405" s="11">
        <v>45219.0</v>
      </c>
      <c r="O3405" s="11">
        <v>45250.0</v>
      </c>
      <c r="P3405" s="11">
        <v>45292.0</v>
      </c>
      <c r="Q3405" s="11">
        <v>45257.0</v>
      </c>
      <c r="R3405" s="11">
        <v>45299.0</v>
      </c>
      <c r="S3405" s="12"/>
      <c r="T3405" s="8"/>
      <c r="U3405" s="8" t="s">
        <v>130</v>
      </c>
      <c r="V3405" s="13" t="s">
        <v>13007</v>
      </c>
      <c r="W3405" s="13" t="s">
        <v>13008</v>
      </c>
      <c r="X3405" s="12"/>
      <c r="Y3405" s="14"/>
      <c r="Z3405" s="14"/>
    </row>
    <row r="3406">
      <c r="A3406" s="8" t="s">
        <v>15974</v>
      </c>
      <c r="B3406" s="8" t="s">
        <v>15975</v>
      </c>
      <c r="C3406" s="8" t="s">
        <v>251</v>
      </c>
      <c r="D3406" s="8" t="s">
        <v>26</v>
      </c>
      <c r="E3406" s="8" t="s">
        <v>15976</v>
      </c>
      <c r="F3406" s="8"/>
      <c r="G3406" s="8" t="s">
        <v>44</v>
      </c>
      <c r="H3406" s="8" t="s">
        <v>3093</v>
      </c>
      <c r="I3406" s="8" t="s">
        <v>31</v>
      </c>
      <c r="J3406" s="8" t="s">
        <v>86</v>
      </c>
      <c r="K3406" s="10" t="s">
        <v>15200</v>
      </c>
      <c r="L3406" s="8" t="s">
        <v>58</v>
      </c>
      <c r="M3406" s="8" t="s">
        <v>35</v>
      </c>
      <c r="N3406" s="11">
        <v>45219.0</v>
      </c>
      <c r="O3406" s="11">
        <v>45249.0</v>
      </c>
      <c r="P3406" s="11">
        <v>45291.0</v>
      </c>
      <c r="Q3406" s="11"/>
      <c r="R3406" s="11"/>
      <c r="S3406" s="12"/>
      <c r="T3406" s="8"/>
      <c r="U3406" s="8" t="s">
        <v>59</v>
      </c>
      <c r="V3406" s="13" t="s">
        <v>38</v>
      </c>
      <c r="W3406" s="13" t="s">
        <v>15977</v>
      </c>
      <c r="X3406" s="12"/>
      <c r="Y3406" s="14"/>
      <c r="Z3406" s="14"/>
    </row>
    <row r="3407">
      <c r="A3407" s="8" t="s">
        <v>15978</v>
      </c>
      <c r="B3407" s="8" t="s">
        <v>15979</v>
      </c>
      <c r="C3407" s="8" t="s">
        <v>179</v>
      </c>
      <c r="D3407" s="8" t="s">
        <v>26</v>
      </c>
      <c r="E3407" s="8" t="s">
        <v>15980</v>
      </c>
      <c r="F3407" s="8"/>
      <c r="G3407" s="8" t="s">
        <v>44</v>
      </c>
      <c r="H3407" s="8" t="s">
        <v>3093</v>
      </c>
      <c r="I3407" s="8" t="s">
        <v>31</v>
      </c>
      <c r="J3407" s="8" t="s">
        <v>43</v>
      </c>
      <c r="K3407" s="10" t="s">
        <v>837</v>
      </c>
      <c r="L3407" s="8" t="s">
        <v>58</v>
      </c>
      <c r="M3407" s="8" t="s">
        <v>35</v>
      </c>
      <c r="N3407" s="11">
        <v>45219.0</v>
      </c>
      <c r="O3407" s="11">
        <v>45299.0</v>
      </c>
      <c r="P3407" s="11">
        <v>45341.0</v>
      </c>
      <c r="Q3407" s="11"/>
      <c r="R3407" s="11"/>
      <c r="S3407" s="12"/>
      <c r="T3407" s="8"/>
      <c r="U3407" s="8" t="s">
        <v>130</v>
      </c>
      <c r="V3407" s="13" t="s">
        <v>38</v>
      </c>
      <c r="W3407" s="13" t="s">
        <v>15981</v>
      </c>
      <c r="X3407" s="12"/>
      <c r="Y3407" s="14"/>
      <c r="Z3407" s="14"/>
    </row>
    <row r="3408">
      <c r="A3408" s="8" t="s">
        <v>15982</v>
      </c>
      <c r="B3408" s="8" t="s">
        <v>15983</v>
      </c>
      <c r="C3408" s="8" t="s">
        <v>179</v>
      </c>
      <c r="D3408" s="8" t="s">
        <v>26</v>
      </c>
      <c r="E3408" s="8" t="s">
        <v>15984</v>
      </c>
      <c r="F3408" s="8">
        <v>6.56626905E8</v>
      </c>
      <c r="G3408" s="8" t="s">
        <v>84</v>
      </c>
      <c r="H3408" s="8" t="s">
        <v>646</v>
      </c>
      <c r="I3408" s="8" t="s">
        <v>31</v>
      </c>
      <c r="J3408" s="8" t="s">
        <v>542</v>
      </c>
      <c r="K3408" s="10" t="s">
        <v>15657</v>
      </c>
      <c r="L3408" s="8" t="s">
        <v>34</v>
      </c>
      <c r="M3408" s="8" t="s">
        <v>70</v>
      </c>
      <c r="N3408" s="11">
        <v>45219.0</v>
      </c>
      <c r="O3408" s="11">
        <v>45236.0</v>
      </c>
      <c r="P3408" s="11">
        <v>45597.0</v>
      </c>
      <c r="Q3408" s="11"/>
      <c r="R3408" s="11"/>
      <c r="S3408" s="12"/>
      <c r="T3408" s="8" t="s">
        <v>36</v>
      </c>
      <c r="U3408" s="8" t="s">
        <v>15658</v>
      </c>
      <c r="V3408" s="13" t="s">
        <v>154</v>
      </c>
      <c r="W3408" s="13" t="s">
        <v>15985</v>
      </c>
      <c r="X3408" s="12"/>
      <c r="Y3408" s="14"/>
      <c r="Z3408" s="14"/>
    </row>
    <row r="3409">
      <c r="A3409" s="8" t="s">
        <v>15986</v>
      </c>
      <c r="B3409" s="8" t="s">
        <v>4160</v>
      </c>
      <c r="C3409" s="8" t="s">
        <v>179</v>
      </c>
      <c r="D3409" s="8" t="s">
        <v>26</v>
      </c>
      <c r="E3409" s="8" t="s">
        <v>4161</v>
      </c>
      <c r="F3409" s="8">
        <v>8.76620554E9</v>
      </c>
      <c r="G3409" s="8" t="s">
        <v>44</v>
      </c>
      <c r="H3409" s="8" t="s">
        <v>990</v>
      </c>
      <c r="I3409" s="8" t="s">
        <v>31</v>
      </c>
      <c r="J3409" s="8" t="s">
        <v>32</v>
      </c>
      <c r="K3409" s="10" t="s">
        <v>1451</v>
      </c>
      <c r="L3409" s="8" t="s">
        <v>58</v>
      </c>
      <c r="M3409" s="8" t="s">
        <v>35</v>
      </c>
      <c r="N3409" s="11">
        <v>45219.0</v>
      </c>
      <c r="O3409" s="11">
        <v>45333.0</v>
      </c>
      <c r="P3409" s="11">
        <v>45375.0</v>
      </c>
      <c r="Q3409" s="11"/>
      <c r="R3409" s="11"/>
      <c r="S3409" s="12"/>
      <c r="T3409" s="8"/>
      <c r="U3409" s="8" t="s">
        <v>59</v>
      </c>
      <c r="V3409" s="13" t="s">
        <v>2005</v>
      </c>
      <c r="W3409" s="13" t="s">
        <v>4162</v>
      </c>
      <c r="X3409" s="12"/>
      <c r="Y3409" s="14"/>
      <c r="Z3409" s="14"/>
    </row>
    <row r="3410">
      <c r="A3410" s="8" t="s">
        <v>15987</v>
      </c>
      <c r="B3410" s="8" t="s">
        <v>15988</v>
      </c>
      <c r="C3410" s="8" t="s">
        <v>179</v>
      </c>
      <c r="D3410" s="8" t="s">
        <v>26</v>
      </c>
      <c r="E3410" s="8" t="s">
        <v>15989</v>
      </c>
      <c r="F3410" s="8">
        <v>2.988394E7</v>
      </c>
      <c r="G3410" s="8" t="s">
        <v>54</v>
      </c>
      <c r="H3410" s="8" t="s">
        <v>377</v>
      </c>
      <c r="I3410" s="8" t="s">
        <v>31</v>
      </c>
      <c r="J3410" s="8" t="s">
        <v>43</v>
      </c>
      <c r="K3410" s="10" t="s">
        <v>2922</v>
      </c>
      <c r="L3410" s="8" t="s">
        <v>58</v>
      </c>
      <c r="M3410" s="8" t="s">
        <v>35</v>
      </c>
      <c r="N3410" s="11">
        <v>45219.0</v>
      </c>
      <c r="O3410" s="11">
        <v>45474.0</v>
      </c>
      <c r="P3410" s="11">
        <v>45516.0</v>
      </c>
      <c r="Q3410" s="11"/>
      <c r="R3410" s="11"/>
      <c r="S3410" s="12"/>
      <c r="T3410" s="8"/>
      <c r="U3410" s="8" t="s">
        <v>59</v>
      </c>
      <c r="V3410" s="13" t="s">
        <v>2151</v>
      </c>
      <c r="W3410" s="13" t="s">
        <v>15990</v>
      </c>
      <c r="X3410" s="12"/>
      <c r="Y3410" s="14"/>
      <c r="Z3410" s="14"/>
    </row>
    <row r="3411">
      <c r="A3411" s="8" t="s">
        <v>15991</v>
      </c>
      <c r="B3411" s="8" t="s">
        <v>15992</v>
      </c>
      <c r="C3411" s="8" t="s">
        <v>708</v>
      </c>
      <c r="D3411" s="8" t="s">
        <v>26</v>
      </c>
      <c r="E3411" s="8" t="s">
        <v>15993</v>
      </c>
      <c r="F3411" s="8">
        <v>6.38013639E9</v>
      </c>
      <c r="G3411" s="8" t="s">
        <v>44</v>
      </c>
      <c r="H3411" s="8" t="s">
        <v>3811</v>
      </c>
      <c r="I3411" s="8" t="s">
        <v>31</v>
      </c>
      <c r="J3411" s="8" t="s">
        <v>256</v>
      </c>
      <c r="K3411" s="10" t="s">
        <v>2775</v>
      </c>
      <c r="L3411" s="8" t="s">
        <v>58</v>
      </c>
      <c r="M3411" s="8" t="s">
        <v>35</v>
      </c>
      <c r="N3411" s="11">
        <v>45219.0</v>
      </c>
      <c r="O3411" s="11">
        <v>45294.0</v>
      </c>
      <c r="P3411" s="11">
        <v>45336.0</v>
      </c>
      <c r="Q3411" s="11">
        <v>45295.0</v>
      </c>
      <c r="R3411" s="11">
        <v>45337.0</v>
      </c>
      <c r="S3411" s="12"/>
      <c r="T3411" s="8"/>
      <c r="U3411" s="8" t="s">
        <v>59</v>
      </c>
      <c r="V3411" s="13" t="s">
        <v>15994</v>
      </c>
      <c r="W3411" s="13" t="s">
        <v>15995</v>
      </c>
      <c r="X3411" s="12"/>
      <c r="Y3411" s="14"/>
      <c r="Z3411" s="14"/>
    </row>
    <row r="3412">
      <c r="A3412" s="8" t="s">
        <v>15996</v>
      </c>
      <c r="B3412" s="8" t="s">
        <v>15997</v>
      </c>
      <c r="C3412" s="8" t="s">
        <v>179</v>
      </c>
      <c r="D3412" s="8" t="s">
        <v>26</v>
      </c>
      <c r="E3412" s="8" t="s">
        <v>15998</v>
      </c>
      <c r="F3412" s="8">
        <v>9.72951879E8</v>
      </c>
      <c r="G3412" s="8" t="s">
        <v>1620</v>
      </c>
      <c r="H3412" s="8" t="s">
        <v>3655</v>
      </c>
      <c r="I3412" s="8" t="s">
        <v>31</v>
      </c>
      <c r="J3412" s="8" t="s">
        <v>86</v>
      </c>
      <c r="K3412" s="10" t="s">
        <v>416</v>
      </c>
      <c r="L3412" s="8" t="s">
        <v>58</v>
      </c>
      <c r="M3412" s="8" t="s">
        <v>35</v>
      </c>
      <c r="N3412" s="11">
        <v>45220.0</v>
      </c>
      <c r="O3412" s="11">
        <v>45483.0</v>
      </c>
      <c r="P3412" s="11">
        <v>45525.0</v>
      </c>
      <c r="Q3412" s="11"/>
      <c r="R3412" s="11"/>
      <c r="S3412" s="12"/>
      <c r="T3412" s="8"/>
      <c r="U3412" s="8" t="s">
        <v>59</v>
      </c>
      <c r="V3412" s="13" t="s">
        <v>3656</v>
      </c>
      <c r="W3412" s="13" t="s">
        <v>15999</v>
      </c>
      <c r="X3412" s="12"/>
      <c r="Y3412" s="14"/>
      <c r="Z3412" s="14"/>
    </row>
    <row r="3413">
      <c r="A3413" s="8" t="s">
        <v>16000</v>
      </c>
      <c r="B3413" s="8" t="s">
        <v>16001</v>
      </c>
      <c r="C3413" s="8" t="s">
        <v>179</v>
      </c>
      <c r="D3413" s="8" t="s">
        <v>26</v>
      </c>
      <c r="E3413" s="8" t="s">
        <v>16002</v>
      </c>
      <c r="F3413" s="8">
        <v>5.384418302E9</v>
      </c>
      <c r="G3413" s="8" t="s">
        <v>31</v>
      </c>
      <c r="H3413" s="8" t="s">
        <v>111</v>
      </c>
      <c r="I3413" s="8" t="s">
        <v>109</v>
      </c>
      <c r="J3413" s="8" t="s">
        <v>2747</v>
      </c>
      <c r="K3413" s="10" t="s">
        <v>16003</v>
      </c>
      <c r="L3413" s="8" t="s">
        <v>34</v>
      </c>
      <c r="M3413" s="8" t="s">
        <v>35</v>
      </c>
      <c r="N3413" s="11">
        <v>45220.0</v>
      </c>
      <c r="O3413" s="11">
        <v>45397.0</v>
      </c>
      <c r="P3413" s="11">
        <v>45454.0</v>
      </c>
      <c r="Q3413" s="11"/>
      <c r="R3413" s="11"/>
      <c r="S3413" s="12"/>
      <c r="T3413" s="8" t="s">
        <v>205</v>
      </c>
      <c r="U3413" s="8" t="s">
        <v>16004</v>
      </c>
      <c r="V3413" s="13" t="s">
        <v>111</v>
      </c>
      <c r="W3413" s="13" t="s">
        <v>16005</v>
      </c>
      <c r="X3413" s="12"/>
      <c r="Y3413" s="14"/>
      <c r="Z3413" s="14"/>
    </row>
    <row r="3414">
      <c r="A3414" s="8" t="s">
        <v>16006</v>
      </c>
      <c r="B3414" s="8" t="s">
        <v>16007</v>
      </c>
      <c r="C3414" s="8" t="s">
        <v>179</v>
      </c>
      <c r="D3414" s="8" t="s">
        <v>26</v>
      </c>
      <c r="E3414" s="8" t="s">
        <v>16008</v>
      </c>
      <c r="F3414" s="8">
        <v>5.447600754E9</v>
      </c>
      <c r="G3414" s="8" t="s">
        <v>31</v>
      </c>
      <c r="H3414" s="8" t="s">
        <v>111</v>
      </c>
      <c r="I3414" s="8" t="s">
        <v>284</v>
      </c>
      <c r="J3414" s="8" t="s">
        <v>1777</v>
      </c>
      <c r="K3414" s="10" t="s">
        <v>16009</v>
      </c>
      <c r="L3414" s="8" t="s">
        <v>58</v>
      </c>
      <c r="M3414" s="8" t="s">
        <v>35</v>
      </c>
      <c r="N3414" s="11">
        <v>45220.0</v>
      </c>
      <c r="O3414" s="11">
        <v>45488.0</v>
      </c>
      <c r="P3414" s="11">
        <v>45530.0</v>
      </c>
      <c r="Q3414" s="11"/>
      <c r="R3414" s="11"/>
      <c r="S3414" s="12"/>
      <c r="T3414" s="8"/>
      <c r="U3414" s="8" t="s">
        <v>153</v>
      </c>
      <c r="V3414" s="13" t="s">
        <v>111</v>
      </c>
      <c r="W3414" s="13" t="s">
        <v>16010</v>
      </c>
      <c r="X3414" s="12"/>
      <c r="Y3414" s="14"/>
      <c r="Z3414" s="14"/>
    </row>
    <row r="3415">
      <c r="A3415" s="8" t="s">
        <v>16011</v>
      </c>
      <c r="B3415" s="8" t="s">
        <v>7159</v>
      </c>
      <c r="C3415" s="8" t="s">
        <v>708</v>
      </c>
      <c r="D3415" s="8" t="s">
        <v>26</v>
      </c>
      <c r="E3415" s="8" t="s">
        <v>7160</v>
      </c>
      <c r="F3415" s="8">
        <v>5.4592727E7</v>
      </c>
      <c r="G3415" s="8" t="s">
        <v>54</v>
      </c>
      <c r="H3415" s="8" t="s">
        <v>1911</v>
      </c>
      <c r="I3415" s="8" t="s">
        <v>31</v>
      </c>
      <c r="J3415" s="8" t="s">
        <v>292</v>
      </c>
      <c r="K3415" s="10" t="s">
        <v>16012</v>
      </c>
      <c r="L3415" s="8" t="s">
        <v>47</v>
      </c>
      <c r="M3415" s="8" t="s">
        <v>70</v>
      </c>
      <c r="N3415" s="11">
        <v>45220.0</v>
      </c>
      <c r="O3415" s="11">
        <v>45230.0</v>
      </c>
      <c r="P3415" s="11">
        <v>45596.0</v>
      </c>
      <c r="Q3415" s="11">
        <v>45231.0</v>
      </c>
      <c r="R3415" s="11">
        <v>45597.0</v>
      </c>
      <c r="S3415" s="12"/>
      <c r="T3415" s="8"/>
      <c r="U3415" s="8" t="s">
        <v>16013</v>
      </c>
      <c r="V3415" s="13" t="s">
        <v>7162</v>
      </c>
      <c r="W3415" s="13" t="s">
        <v>7163</v>
      </c>
      <c r="X3415" s="12"/>
      <c r="Y3415" s="14"/>
      <c r="Z3415" s="14"/>
    </row>
    <row r="3416">
      <c r="A3416" s="8" t="s">
        <v>16014</v>
      </c>
      <c r="B3416" s="8" t="s">
        <v>16015</v>
      </c>
      <c r="C3416" s="8" t="s">
        <v>708</v>
      </c>
      <c r="D3416" s="8" t="s">
        <v>26</v>
      </c>
      <c r="E3416" s="8" t="s">
        <v>16016</v>
      </c>
      <c r="F3416" s="8">
        <v>5.305184222E9</v>
      </c>
      <c r="G3416" s="8" t="s">
        <v>31</v>
      </c>
      <c r="H3416" s="8" t="s">
        <v>111</v>
      </c>
      <c r="I3416" s="8" t="s">
        <v>127</v>
      </c>
      <c r="J3416" s="8" t="s">
        <v>3542</v>
      </c>
      <c r="K3416" s="10" t="s">
        <v>16017</v>
      </c>
      <c r="L3416" s="8" t="s">
        <v>34</v>
      </c>
      <c r="M3416" s="8" t="s">
        <v>35</v>
      </c>
      <c r="N3416" s="11">
        <v>45220.0</v>
      </c>
      <c r="O3416" s="11">
        <v>45264.0</v>
      </c>
      <c r="P3416" s="11">
        <v>45331.0</v>
      </c>
      <c r="Q3416" s="11">
        <v>45250.0</v>
      </c>
      <c r="R3416" s="11">
        <v>45331.0</v>
      </c>
      <c r="S3416" s="12"/>
      <c r="T3416" s="8" t="s">
        <v>205</v>
      </c>
      <c r="U3416" s="8" t="s">
        <v>16018</v>
      </c>
      <c r="V3416" s="13" t="s">
        <v>111</v>
      </c>
      <c r="W3416" s="13" t="s">
        <v>16019</v>
      </c>
      <c r="X3416" s="12"/>
      <c r="Y3416" s="14"/>
      <c r="Z3416" s="14"/>
    </row>
    <row r="3417">
      <c r="A3417" s="8" t="s">
        <v>16020</v>
      </c>
      <c r="B3417" s="8" t="s">
        <v>16021</v>
      </c>
      <c r="C3417" s="8" t="s">
        <v>179</v>
      </c>
      <c r="D3417" s="8" t="s">
        <v>26</v>
      </c>
      <c r="E3417" s="8" t="s">
        <v>16022</v>
      </c>
      <c r="F3417" s="8">
        <v>5.456656074E9</v>
      </c>
      <c r="G3417" s="8" t="s">
        <v>31</v>
      </c>
      <c r="H3417" s="8" t="s">
        <v>292</v>
      </c>
      <c r="I3417" s="8" t="s">
        <v>54</v>
      </c>
      <c r="J3417" s="8" t="s">
        <v>430</v>
      </c>
      <c r="K3417" s="10" t="s">
        <v>6295</v>
      </c>
      <c r="L3417" s="8" t="s">
        <v>47</v>
      </c>
      <c r="M3417" s="8" t="s">
        <v>35</v>
      </c>
      <c r="N3417" s="11">
        <v>45221.0</v>
      </c>
      <c r="O3417" s="11">
        <v>45458.0</v>
      </c>
      <c r="P3417" s="11">
        <v>45521.0</v>
      </c>
      <c r="Q3417" s="11"/>
      <c r="R3417" s="11"/>
      <c r="S3417" s="12"/>
      <c r="T3417" s="8"/>
      <c r="U3417" s="8" t="s">
        <v>6296</v>
      </c>
      <c r="V3417" s="13" t="s">
        <v>4979</v>
      </c>
      <c r="W3417" s="13" t="s">
        <v>16023</v>
      </c>
      <c r="X3417" s="12"/>
      <c r="Y3417" s="14"/>
      <c r="Z3417" s="14"/>
    </row>
    <row r="3418">
      <c r="A3418" s="8" t="s">
        <v>16024</v>
      </c>
      <c r="B3418" s="8" t="s">
        <v>16025</v>
      </c>
      <c r="C3418" s="8" t="s">
        <v>179</v>
      </c>
      <c r="D3418" s="8" t="s">
        <v>26</v>
      </c>
      <c r="E3418" s="8" t="s">
        <v>16026</v>
      </c>
      <c r="F3418" s="8">
        <v>1.010796817E9</v>
      </c>
      <c r="G3418" s="8" t="s">
        <v>284</v>
      </c>
      <c r="H3418" s="8" t="s">
        <v>673</v>
      </c>
      <c r="I3418" s="8" t="s">
        <v>31</v>
      </c>
      <c r="J3418" s="8" t="s">
        <v>256</v>
      </c>
      <c r="K3418" s="10" t="s">
        <v>12960</v>
      </c>
      <c r="L3418" s="8" t="s">
        <v>58</v>
      </c>
      <c r="M3418" s="8" t="s">
        <v>35</v>
      </c>
      <c r="N3418" s="11">
        <v>45221.0</v>
      </c>
      <c r="O3418" s="11">
        <v>45493.0</v>
      </c>
      <c r="P3418" s="11">
        <v>45535.0</v>
      </c>
      <c r="Q3418" s="11"/>
      <c r="R3418" s="11"/>
      <c r="S3418" s="12"/>
      <c r="T3418" s="8"/>
      <c r="U3418" s="8" t="s">
        <v>59</v>
      </c>
      <c r="V3418" s="13" t="s">
        <v>674</v>
      </c>
      <c r="W3418" s="13" t="s">
        <v>16027</v>
      </c>
      <c r="X3418" s="12"/>
      <c r="Y3418" s="14"/>
      <c r="Z3418" s="14"/>
    </row>
    <row r="3419">
      <c r="A3419" s="8" t="s">
        <v>16028</v>
      </c>
      <c r="B3419" s="8" t="s">
        <v>16029</v>
      </c>
      <c r="C3419" s="8" t="s">
        <v>179</v>
      </c>
      <c r="D3419" s="8" t="s">
        <v>26</v>
      </c>
      <c r="E3419" s="8" t="s">
        <v>16030</v>
      </c>
      <c r="F3419" s="8">
        <v>9.25249246E8</v>
      </c>
      <c r="G3419" s="8" t="s">
        <v>118</v>
      </c>
      <c r="H3419" s="8" t="s">
        <v>3100</v>
      </c>
      <c r="I3419" s="8" t="s">
        <v>31</v>
      </c>
      <c r="J3419" s="8" t="s">
        <v>86</v>
      </c>
      <c r="K3419" s="10" t="s">
        <v>15200</v>
      </c>
      <c r="L3419" s="8" t="s">
        <v>58</v>
      </c>
      <c r="M3419" s="8" t="s">
        <v>35</v>
      </c>
      <c r="N3419" s="11">
        <v>45221.0</v>
      </c>
      <c r="O3419" s="11">
        <v>45474.0</v>
      </c>
      <c r="P3419" s="11">
        <v>45516.0</v>
      </c>
      <c r="Q3419" s="11"/>
      <c r="R3419" s="11"/>
      <c r="S3419" s="12"/>
      <c r="T3419" s="8"/>
      <c r="U3419" s="8" t="s">
        <v>59</v>
      </c>
      <c r="V3419" s="13" t="s">
        <v>12477</v>
      </c>
      <c r="W3419" s="13" t="s">
        <v>16031</v>
      </c>
      <c r="X3419" s="12"/>
      <c r="Y3419" s="14"/>
      <c r="Z3419" s="14"/>
    </row>
    <row r="3420">
      <c r="A3420" s="8" t="s">
        <v>16032</v>
      </c>
      <c r="B3420" s="8" t="s">
        <v>16033</v>
      </c>
      <c r="C3420" s="8" t="s">
        <v>179</v>
      </c>
      <c r="D3420" s="8" t="s">
        <v>26</v>
      </c>
      <c r="E3420" s="8" t="s">
        <v>16034</v>
      </c>
      <c r="F3420" s="8">
        <v>3.890165994E9</v>
      </c>
      <c r="G3420" s="8" t="s">
        <v>29</v>
      </c>
      <c r="H3420" s="8" t="s">
        <v>9867</v>
      </c>
      <c r="I3420" s="8" t="s">
        <v>31</v>
      </c>
      <c r="J3420" s="8" t="s">
        <v>111</v>
      </c>
      <c r="K3420" s="10" t="s">
        <v>15728</v>
      </c>
      <c r="L3420" s="8" t="s">
        <v>58</v>
      </c>
      <c r="M3420" s="8" t="s">
        <v>35</v>
      </c>
      <c r="N3420" s="11">
        <v>45222.0</v>
      </c>
      <c r="O3420" s="11">
        <v>45334.0</v>
      </c>
      <c r="P3420" s="11">
        <v>45376.0</v>
      </c>
      <c r="Q3420" s="11"/>
      <c r="R3420" s="11"/>
      <c r="S3420" s="12"/>
      <c r="T3420" s="8"/>
      <c r="U3420" s="8" t="s">
        <v>59</v>
      </c>
      <c r="V3420" s="13" t="s">
        <v>38</v>
      </c>
      <c r="W3420" s="13" t="s">
        <v>16035</v>
      </c>
      <c r="X3420" s="12"/>
      <c r="Y3420" s="14"/>
      <c r="Z3420" s="14"/>
    </row>
    <row r="3421">
      <c r="A3421" s="8" t="s">
        <v>16036</v>
      </c>
      <c r="B3421" s="8" t="s">
        <v>16037</v>
      </c>
      <c r="C3421" s="8" t="s">
        <v>179</v>
      </c>
      <c r="D3421" s="8" t="s">
        <v>26</v>
      </c>
      <c r="E3421" s="8" t="s">
        <v>16038</v>
      </c>
      <c r="F3421" s="8">
        <v>6.988697025E9</v>
      </c>
      <c r="G3421" s="8" t="s">
        <v>143</v>
      </c>
      <c r="H3421" s="8" t="s">
        <v>4212</v>
      </c>
      <c r="I3421" s="8" t="s">
        <v>31</v>
      </c>
      <c r="J3421" s="8" t="s">
        <v>77</v>
      </c>
      <c r="K3421" s="10" t="s">
        <v>4188</v>
      </c>
      <c r="L3421" s="8" t="s">
        <v>58</v>
      </c>
      <c r="M3421" s="8" t="s">
        <v>35</v>
      </c>
      <c r="N3421" s="11">
        <v>45223.0</v>
      </c>
      <c r="O3421" s="11">
        <v>45334.0</v>
      </c>
      <c r="P3421" s="11">
        <v>45376.0</v>
      </c>
      <c r="Q3421" s="11"/>
      <c r="R3421" s="11"/>
      <c r="S3421" s="12"/>
      <c r="T3421" s="8"/>
      <c r="U3421" s="8" t="s">
        <v>59</v>
      </c>
      <c r="V3421" s="13" t="s">
        <v>38</v>
      </c>
      <c r="W3421" s="13" t="s">
        <v>16039</v>
      </c>
      <c r="X3421" s="12"/>
      <c r="Y3421" s="14"/>
      <c r="Z3421" s="14"/>
    </row>
    <row r="3422">
      <c r="A3422" s="8" t="s">
        <v>16040</v>
      </c>
      <c r="B3422" s="8" t="s">
        <v>16041</v>
      </c>
      <c r="C3422" s="8" t="s">
        <v>179</v>
      </c>
      <c r="D3422" s="8" t="s">
        <v>26</v>
      </c>
      <c r="E3422" s="8" t="s">
        <v>16042</v>
      </c>
      <c r="F3422" s="8"/>
      <c r="G3422" s="8" t="s">
        <v>277</v>
      </c>
      <c r="H3422" s="8" t="s">
        <v>278</v>
      </c>
      <c r="I3422" s="8" t="s">
        <v>31</v>
      </c>
      <c r="J3422" s="8" t="s">
        <v>86</v>
      </c>
      <c r="K3422" s="10" t="s">
        <v>2453</v>
      </c>
      <c r="L3422" s="8" t="s">
        <v>58</v>
      </c>
      <c r="M3422" s="8" t="s">
        <v>35</v>
      </c>
      <c r="N3422" s="11">
        <v>45223.0</v>
      </c>
      <c r="O3422" s="11">
        <v>45474.0</v>
      </c>
      <c r="P3422" s="11">
        <v>45516.0</v>
      </c>
      <c r="Q3422" s="11"/>
      <c r="R3422" s="11"/>
      <c r="S3422" s="12"/>
      <c r="T3422" s="8"/>
      <c r="U3422" s="8" t="s">
        <v>59</v>
      </c>
      <c r="V3422" s="13" t="s">
        <v>38</v>
      </c>
      <c r="W3422" s="13" t="s">
        <v>16043</v>
      </c>
      <c r="X3422" s="12"/>
      <c r="Y3422" s="14"/>
      <c r="Z3422" s="14"/>
    </row>
    <row r="3423">
      <c r="A3423" s="8" t="s">
        <v>16044</v>
      </c>
      <c r="B3423" s="8" t="s">
        <v>16045</v>
      </c>
      <c r="C3423" s="8" t="s">
        <v>25</v>
      </c>
      <c r="D3423" s="8" t="s">
        <v>26</v>
      </c>
      <c r="E3423" s="8" t="s">
        <v>16046</v>
      </c>
      <c r="F3423" s="8">
        <v>1.752294609E9</v>
      </c>
      <c r="G3423" s="8" t="s">
        <v>202</v>
      </c>
      <c r="H3423" s="8" t="s">
        <v>8713</v>
      </c>
      <c r="I3423" s="8" t="s">
        <v>31</v>
      </c>
      <c r="J3423" s="8" t="s">
        <v>56</v>
      </c>
      <c r="K3423" s="10" t="s">
        <v>12274</v>
      </c>
      <c r="L3423" s="8" t="s">
        <v>58</v>
      </c>
      <c r="M3423" s="8" t="s">
        <v>35</v>
      </c>
      <c r="N3423" s="11">
        <v>45223.0</v>
      </c>
      <c r="O3423" s="11">
        <v>45264.0</v>
      </c>
      <c r="P3423" s="11">
        <v>45306.0</v>
      </c>
      <c r="Q3423" s="11">
        <v>45266.0</v>
      </c>
      <c r="R3423" s="11">
        <v>45306.0</v>
      </c>
      <c r="S3423" s="12"/>
      <c r="T3423" s="8"/>
      <c r="U3423" s="8" t="s">
        <v>161</v>
      </c>
      <c r="V3423" s="13" t="s">
        <v>16047</v>
      </c>
      <c r="W3423" s="13" t="s">
        <v>16048</v>
      </c>
      <c r="X3423" s="12"/>
      <c r="Y3423" s="14"/>
      <c r="Z3423" s="14"/>
    </row>
    <row r="3424">
      <c r="A3424" s="8" t="s">
        <v>16049</v>
      </c>
      <c r="B3424" s="8" t="s">
        <v>16050</v>
      </c>
      <c r="C3424" s="8" t="s">
        <v>708</v>
      </c>
      <c r="D3424" s="8" t="s">
        <v>26</v>
      </c>
      <c r="E3424" s="8" t="s">
        <v>16051</v>
      </c>
      <c r="F3424" s="8">
        <v>3.6787111E7</v>
      </c>
      <c r="G3424" s="8" t="s">
        <v>3614</v>
      </c>
      <c r="H3424" s="8" t="s">
        <v>3615</v>
      </c>
      <c r="I3424" s="8" t="s">
        <v>31</v>
      </c>
      <c r="J3424" s="8" t="s">
        <v>136</v>
      </c>
      <c r="K3424" s="10" t="s">
        <v>2354</v>
      </c>
      <c r="L3424" s="8" t="s">
        <v>58</v>
      </c>
      <c r="M3424" s="8" t="s">
        <v>35</v>
      </c>
      <c r="N3424" s="11">
        <v>45223.0</v>
      </c>
      <c r="O3424" s="11">
        <v>45299.0</v>
      </c>
      <c r="P3424" s="11">
        <v>45341.0</v>
      </c>
      <c r="Q3424" s="11">
        <v>45299.0</v>
      </c>
      <c r="R3424" s="11">
        <v>45341.0</v>
      </c>
      <c r="S3424" s="12"/>
      <c r="T3424" s="8"/>
      <c r="U3424" s="8" t="s">
        <v>59</v>
      </c>
      <c r="V3424" s="13" t="s">
        <v>3616</v>
      </c>
      <c r="W3424" s="13" t="s">
        <v>16052</v>
      </c>
      <c r="X3424" s="12"/>
      <c r="Y3424" s="14"/>
      <c r="Z3424" s="14"/>
    </row>
    <row r="3425">
      <c r="A3425" s="8" t="s">
        <v>16053</v>
      </c>
      <c r="B3425" s="8" t="s">
        <v>16054</v>
      </c>
      <c r="C3425" s="8" t="s">
        <v>708</v>
      </c>
      <c r="D3425" s="8" t="s">
        <v>26</v>
      </c>
      <c r="E3425" s="8" t="s">
        <v>16055</v>
      </c>
      <c r="F3425" s="8">
        <v>5.380630321E9</v>
      </c>
      <c r="G3425" s="8" t="s">
        <v>31</v>
      </c>
      <c r="H3425" s="8" t="s">
        <v>438</v>
      </c>
      <c r="I3425" s="8" t="s">
        <v>284</v>
      </c>
      <c r="J3425" s="8" t="s">
        <v>285</v>
      </c>
      <c r="K3425" s="10" t="s">
        <v>9087</v>
      </c>
      <c r="L3425" s="8" t="s">
        <v>58</v>
      </c>
      <c r="M3425" s="8" t="s">
        <v>35</v>
      </c>
      <c r="N3425" s="11">
        <v>45223.0</v>
      </c>
      <c r="O3425" s="11">
        <v>45310.0</v>
      </c>
      <c r="P3425" s="11">
        <v>45352.0</v>
      </c>
      <c r="Q3425" s="11">
        <v>45315.0</v>
      </c>
      <c r="R3425" s="11">
        <v>45356.0</v>
      </c>
      <c r="S3425" s="12"/>
      <c r="T3425" s="8"/>
      <c r="U3425" s="8" t="s">
        <v>59</v>
      </c>
      <c r="V3425" s="13" t="s">
        <v>438</v>
      </c>
      <c r="W3425" s="13" t="s">
        <v>16056</v>
      </c>
      <c r="X3425" s="12"/>
      <c r="Y3425" s="14"/>
      <c r="Z3425" s="14"/>
    </row>
    <row r="3426">
      <c r="A3426" s="8" t="s">
        <v>16057</v>
      </c>
      <c r="B3426" s="8" t="s">
        <v>16058</v>
      </c>
      <c r="C3426" s="8" t="s">
        <v>179</v>
      </c>
      <c r="D3426" s="8" t="s">
        <v>26</v>
      </c>
      <c r="E3426" s="8" t="s">
        <v>16059</v>
      </c>
      <c r="F3426" s="8">
        <v>5.527262511E9</v>
      </c>
      <c r="G3426" s="8" t="s">
        <v>31</v>
      </c>
      <c r="H3426" s="8" t="s">
        <v>86</v>
      </c>
      <c r="I3426" s="8" t="s">
        <v>284</v>
      </c>
      <c r="J3426" s="8" t="s">
        <v>854</v>
      </c>
      <c r="K3426" s="10" t="s">
        <v>16060</v>
      </c>
      <c r="L3426" s="8" t="s">
        <v>58</v>
      </c>
      <c r="M3426" s="8" t="s">
        <v>35</v>
      </c>
      <c r="N3426" s="11">
        <v>45223.0</v>
      </c>
      <c r="O3426" s="11">
        <v>45458.0</v>
      </c>
      <c r="P3426" s="11">
        <v>45500.0</v>
      </c>
      <c r="Q3426" s="11"/>
      <c r="R3426" s="11"/>
      <c r="S3426" s="12"/>
      <c r="T3426" s="8"/>
      <c r="U3426" s="8" t="s">
        <v>59</v>
      </c>
      <c r="V3426" s="13" t="s">
        <v>292</v>
      </c>
      <c r="W3426" s="13" t="s">
        <v>16061</v>
      </c>
      <c r="X3426" s="12"/>
      <c r="Y3426" s="14"/>
      <c r="Z3426" s="14"/>
    </row>
    <row r="3427">
      <c r="A3427" s="8" t="s">
        <v>16062</v>
      </c>
      <c r="B3427" s="8" t="s">
        <v>16063</v>
      </c>
      <c r="C3427" s="8" t="s">
        <v>179</v>
      </c>
      <c r="D3427" s="8" t="s">
        <v>26</v>
      </c>
      <c r="E3427" s="8" t="s">
        <v>16064</v>
      </c>
      <c r="F3427" s="8">
        <v>5.830945E7</v>
      </c>
      <c r="G3427" s="8" t="s">
        <v>54</v>
      </c>
      <c r="H3427" s="8" t="s">
        <v>377</v>
      </c>
      <c r="I3427" s="8" t="s">
        <v>31</v>
      </c>
      <c r="J3427" s="8" t="s">
        <v>167</v>
      </c>
      <c r="K3427" s="10" t="s">
        <v>5996</v>
      </c>
      <c r="L3427" s="8" t="s">
        <v>58</v>
      </c>
      <c r="M3427" s="8" t="s">
        <v>35</v>
      </c>
      <c r="N3427" s="11">
        <v>45223.0</v>
      </c>
      <c r="O3427" s="11">
        <v>45488.0</v>
      </c>
      <c r="P3427" s="11">
        <v>45530.0</v>
      </c>
      <c r="Q3427" s="11"/>
      <c r="R3427" s="11"/>
      <c r="S3427" s="12"/>
      <c r="T3427" s="8"/>
      <c r="U3427" s="8" t="s">
        <v>130</v>
      </c>
      <c r="V3427" s="13" t="s">
        <v>1604</v>
      </c>
      <c r="W3427" s="13" t="s">
        <v>16065</v>
      </c>
      <c r="X3427" s="12"/>
      <c r="Y3427" s="14"/>
      <c r="Z3427" s="14"/>
    </row>
    <row r="3428">
      <c r="A3428" s="8" t="s">
        <v>16066</v>
      </c>
      <c r="B3428" s="8" t="s">
        <v>16067</v>
      </c>
      <c r="C3428" s="8" t="s">
        <v>708</v>
      </c>
      <c r="D3428" s="8" t="s">
        <v>26</v>
      </c>
      <c r="E3428" s="8" t="s">
        <v>16068</v>
      </c>
      <c r="F3428" s="8">
        <v>5.1063131E7</v>
      </c>
      <c r="G3428" s="8" t="s">
        <v>54</v>
      </c>
      <c r="H3428" s="8" t="s">
        <v>244</v>
      </c>
      <c r="I3428" s="8" t="s">
        <v>31</v>
      </c>
      <c r="J3428" s="8" t="s">
        <v>256</v>
      </c>
      <c r="K3428" s="10" t="s">
        <v>16069</v>
      </c>
      <c r="L3428" s="8" t="s">
        <v>34</v>
      </c>
      <c r="M3428" s="8" t="s">
        <v>70</v>
      </c>
      <c r="N3428" s="11">
        <v>45223.0</v>
      </c>
      <c r="O3428" s="11">
        <v>45231.0</v>
      </c>
      <c r="P3428" s="11">
        <v>45596.0</v>
      </c>
      <c r="Q3428" s="11">
        <v>45247.0</v>
      </c>
      <c r="R3428" s="11">
        <v>45615.0</v>
      </c>
      <c r="S3428" s="12"/>
      <c r="T3428" s="8" t="s">
        <v>205</v>
      </c>
      <c r="U3428" s="8" t="s">
        <v>205</v>
      </c>
      <c r="V3428" s="13" t="s">
        <v>13443</v>
      </c>
      <c r="W3428" s="13" t="s">
        <v>16070</v>
      </c>
      <c r="X3428" s="12"/>
      <c r="Y3428" s="14"/>
      <c r="Z3428" s="14"/>
    </row>
    <row r="3429">
      <c r="A3429" s="8" t="s">
        <v>16071</v>
      </c>
      <c r="B3429" s="8" t="s">
        <v>16072</v>
      </c>
      <c r="C3429" s="8" t="s">
        <v>179</v>
      </c>
      <c r="D3429" s="8" t="s">
        <v>26</v>
      </c>
      <c r="E3429" s="8" t="s">
        <v>16073</v>
      </c>
      <c r="F3429" s="8">
        <v>5.550732616E9</v>
      </c>
      <c r="G3429" s="8" t="s">
        <v>31</v>
      </c>
      <c r="H3429" s="8" t="s">
        <v>136</v>
      </c>
      <c r="I3429" s="8" t="s">
        <v>284</v>
      </c>
      <c r="J3429" s="8" t="s">
        <v>673</v>
      </c>
      <c r="K3429" s="10" t="s">
        <v>16074</v>
      </c>
      <c r="L3429" s="8" t="s">
        <v>58</v>
      </c>
      <c r="M3429" s="8" t="s">
        <v>35</v>
      </c>
      <c r="N3429" s="11">
        <v>45224.0</v>
      </c>
      <c r="O3429" s="11">
        <v>45327.0</v>
      </c>
      <c r="P3429" s="11">
        <v>45369.0</v>
      </c>
      <c r="Q3429" s="11"/>
      <c r="R3429" s="11"/>
      <c r="S3429" s="12"/>
      <c r="T3429" s="8"/>
      <c r="U3429" s="8" t="s">
        <v>161</v>
      </c>
      <c r="V3429" s="13" t="s">
        <v>136</v>
      </c>
      <c r="W3429" s="13" t="s">
        <v>16075</v>
      </c>
      <c r="X3429" s="12"/>
      <c r="Y3429" s="14"/>
      <c r="Z3429" s="14"/>
    </row>
    <row r="3430">
      <c r="A3430" s="8" t="s">
        <v>16076</v>
      </c>
      <c r="B3430" s="8" t="s">
        <v>16077</v>
      </c>
      <c r="C3430" s="8" t="s">
        <v>708</v>
      </c>
      <c r="D3430" s="8" t="s">
        <v>26</v>
      </c>
      <c r="E3430" s="8" t="s">
        <v>16078</v>
      </c>
      <c r="F3430" s="8">
        <v>9.601290096E9</v>
      </c>
      <c r="G3430" s="8" t="s">
        <v>6087</v>
      </c>
      <c r="H3430" s="8" t="s">
        <v>16079</v>
      </c>
      <c r="I3430" s="8" t="s">
        <v>31</v>
      </c>
      <c r="J3430" s="8" t="s">
        <v>86</v>
      </c>
      <c r="K3430" s="10" t="s">
        <v>16080</v>
      </c>
      <c r="L3430" s="8" t="s">
        <v>34</v>
      </c>
      <c r="M3430" s="8" t="s">
        <v>48</v>
      </c>
      <c r="N3430" s="11">
        <v>45224.0</v>
      </c>
      <c r="O3430" s="11">
        <v>45257.0</v>
      </c>
      <c r="P3430" s="11">
        <v>45436.0</v>
      </c>
      <c r="Q3430" s="11">
        <v>45261.0</v>
      </c>
      <c r="R3430" s="11">
        <v>45440.0</v>
      </c>
      <c r="S3430" s="12"/>
      <c r="T3430" s="8" t="s">
        <v>446</v>
      </c>
      <c r="U3430" s="8" t="s">
        <v>16081</v>
      </c>
      <c r="V3430" s="13" t="s">
        <v>16082</v>
      </c>
      <c r="W3430" s="13" t="s">
        <v>16083</v>
      </c>
      <c r="X3430" s="12"/>
      <c r="Y3430" s="14"/>
      <c r="Z3430" s="14"/>
    </row>
    <row r="3431">
      <c r="A3431" s="8" t="s">
        <v>16084</v>
      </c>
      <c r="B3431" s="8" t="s">
        <v>16085</v>
      </c>
      <c r="C3431" s="8" t="s">
        <v>708</v>
      </c>
      <c r="D3431" s="8" t="s">
        <v>26</v>
      </c>
      <c r="E3431" s="8" t="s">
        <v>16086</v>
      </c>
      <c r="F3431" s="8">
        <v>5.1112706E7</v>
      </c>
      <c r="G3431" s="8" t="s">
        <v>54</v>
      </c>
      <c r="H3431" s="8" t="s">
        <v>55</v>
      </c>
      <c r="I3431" s="8" t="s">
        <v>31</v>
      </c>
      <c r="J3431" s="8" t="s">
        <v>111</v>
      </c>
      <c r="K3431" s="10" t="s">
        <v>4676</v>
      </c>
      <c r="L3431" s="8" t="s">
        <v>47</v>
      </c>
      <c r="M3431" s="8" t="s">
        <v>70</v>
      </c>
      <c r="N3431" s="11">
        <v>45224.0</v>
      </c>
      <c r="O3431" s="11">
        <v>45250.0</v>
      </c>
      <c r="P3431" s="11">
        <v>45616.0</v>
      </c>
      <c r="Q3431" s="11">
        <v>45253.0</v>
      </c>
      <c r="R3431" s="11">
        <v>45620.0</v>
      </c>
      <c r="S3431" s="12"/>
      <c r="T3431" s="8" t="s">
        <v>446</v>
      </c>
      <c r="U3431" s="8" t="s">
        <v>4677</v>
      </c>
      <c r="V3431" s="13" t="s">
        <v>60</v>
      </c>
      <c r="W3431" s="13" t="s">
        <v>16087</v>
      </c>
      <c r="X3431" s="12"/>
      <c r="Y3431" s="14"/>
      <c r="Z3431" s="14"/>
    </row>
    <row r="3432">
      <c r="A3432" s="8" t="s">
        <v>16088</v>
      </c>
      <c r="B3432" s="8" t="s">
        <v>16089</v>
      </c>
      <c r="C3432" s="8" t="s">
        <v>179</v>
      </c>
      <c r="D3432" s="8" t="s">
        <v>26</v>
      </c>
      <c r="E3432" s="8" t="s">
        <v>16090</v>
      </c>
      <c r="F3432" s="8">
        <v>5.452161789E9</v>
      </c>
      <c r="G3432" s="8" t="s">
        <v>31</v>
      </c>
      <c r="H3432" s="8" t="s">
        <v>32</v>
      </c>
      <c r="I3432" s="8" t="s">
        <v>127</v>
      </c>
      <c r="J3432" s="8" t="s">
        <v>159</v>
      </c>
      <c r="K3432" s="10" t="s">
        <v>16091</v>
      </c>
      <c r="L3432" s="8" t="s">
        <v>58</v>
      </c>
      <c r="M3432" s="8" t="s">
        <v>35</v>
      </c>
      <c r="N3432" s="11">
        <v>45225.0</v>
      </c>
      <c r="O3432" s="11">
        <v>45313.0</v>
      </c>
      <c r="P3432" s="11">
        <v>45355.0</v>
      </c>
      <c r="Q3432" s="11"/>
      <c r="R3432" s="11"/>
      <c r="S3432" s="12"/>
      <c r="T3432" s="8"/>
      <c r="U3432" s="8" t="s">
        <v>161</v>
      </c>
      <c r="V3432" s="13" t="s">
        <v>537</v>
      </c>
      <c r="W3432" s="13" t="s">
        <v>16092</v>
      </c>
      <c r="X3432" s="12"/>
      <c r="Y3432" s="14"/>
      <c r="Z3432" s="14"/>
    </row>
    <row r="3433">
      <c r="A3433" s="8" t="s">
        <v>16093</v>
      </c>
      <c r="B3433" s="8" t="s">
        <v>16094</v>
      </c>
      <c r="C3433" s="8" t="s">
        <v>179</v>
      </c>
      <c r="D3433" s="8" t="s">
        <v>26</v>
      </c>
      <c r="E3433" s="8" t="s">
        <v>16095</v>
      </c>
      <c r="F3433" s="8">
        <v>5.456198183E9</v>
      </c>
      <c r="G3433" s="8" t="s">
        <v>31</v>
      </c>
      <c r="H3433" s="8" t="s">
        <v>56</v>
      </c>
      <c r="I3433" s="8" t="s">
        <v>284</v>
      </c>
      <c r="J3433" s="8" t="s">
        <v>673</v>
      </c>
      <c r="K3433" s="10" t="s">
        <v>16096</v>
      </c>
      <c r="L3433" s="8" t="s">
        <v>58</v>
      </c>
      <c r="M3433" s="8" t="s">
        <v>35</v>
      </c>
      <c r="N3433" s="11">
        <v>45225.0</v>
      </c>
      <c r="O3433" s="11">
        <v>45311.0</v>
      </c>
      <c r="P3433" s="11">
        <v>45353.0</v>
      </c>
      <c r="Q3433" s="11"/>
      <c r="R3433" s="11"/>
      <c r="S3433" s="12"/>
      <c r="T3433" s="8"/>
      <c r="U3433" s="8" t="s">
        <v>59</v>
      </c>
      <c r="V3433" s="13" t="s">
        <v>56</v>
      </c>
      <c r="W3433" s="13" t="s">
        <v>16097</v>
      </c>
      <c r="X3433" s="12"/>
      <c r="Y3433" s="14"/>
      <c r="Z3433" s="14"/>
    </row>
    <row r="3434">
      <c r="A3434" s="8" t="s">
        <v>16098</v>
      </c>
      <c r="B3434" s="8" t="s">
        <v>16099</v>
      </c>
      <c r="C3434" s="8" t="s">
        <v>179</v>
      </c>
      <c r="D3434" s="8" t="s">
        <v>26</v>
      </c>
      <c r="E3434" s="8" t="s">
        <v>16100</v>
      </c>
      <c r="F3434" s="8">
        <v>5.3895035E7</v>
      </c>
      <c r="G3434" s="8" t="s">
        <v>54</v>
      </c>
      <c r="H3434" s="8" t="s">
        <v>430</v>
      </c>
      <c r="I3434" s="8" t="s">
        <v>31</v>
      </c>
      <c r="J3434" s="8" t="s">
        <v>292</v>
      </c>
      <c r="K3434" s="10" t="s">
        <v>16101</v>
      </c>
      <c r="L3434" s="8" t="s">
        <v>47</v>
      </c>
      <c r="M3434" s="8" t="s">
        <v>70</v>
      </c>
      <c r="N3434" s="11">
        <v>45225.0</v>
      </c>
      <c r="O3434" s="11">
        <v>45235.0</v>
      </c>
      <c r="P3434" s="11">
        <v>45601.0</v>
      </c>
      <c r="Q3434" s="11"/>
      <c r="R3434" s="11"/>
      <c r="S3434" s="12"/>
      <c r="T3434" s="8"/>
      <c r="U3434" s="8" t="s">
        <v>246</v>
      </c>
      <c r="V3434" s="13" t="s">
        <v>849</v>
      </c>
      <c r="W3434" s="13" t="s">
        <v>16102</v>
      </c>
      <c r="X3434" s="12"/>
      <c r="Y3434" s="14"/>
      <c r="Z3434" s="14"/>
    </row>
    <row r="3435">
      <c r="A3435" s="8" t="s">
        <v>16103</v>
      </c>
      <c r="B3435" s="8" t="s">
        <v>16104</v>
      </c>
      <c r="C3435" s="8" t="s">
        <v>708</v>
      </c>
      <c r="D3435" s="8" t="s">
        <v>26</v>
      </c>
      <c r="E3435" s="8" t="s">
        <v>16105</v>
      </c>
      <c r="F3435" s="8">
        <v>5.348218105E9</v>
      </c>
      <c r="G3435" s="8" t="s">
        <v>31</v>
      </c>
      <c r="H3435" s="8" t="s">
        <v>86</v>
      </c>
      <c r="I3435" s="8" t="s">
        <v>8840</v>
      </c>
      <c r="J3435" s="8" t="s">
        <v>13715</v>
      </c>
      <c r="K3435" s="10" t="s">
        <v>16106</v>
      </c>
      <c r="L3435" s="8" t="s">
        <v>58</v>
      </c>
      <c r="M3435" s="8" t="s">
        <v>35</v>
      </c>
      <c r="N3435" s="11">
        <v>45225.0</v>
      </c>
      <c r="O3435" s="11">
        <v>45306.0</v>
      </c>
      <c r="P3435" s="11">
        <v>45348.0</v>
      </c>
      <c r="Q3435" s="11">
        <v>45306.0</v>
      </c>
      <c r="R3435" s="11">
        <v>45348.0</v>
      </c>
      <c r="S3435" s="12"/>
      <c r="T3435" s="8"/>
      <c r="U3435" s="8" t="s">
        <v>4870</v>
      </c>
      <c r="V3435" s="13" t="s">
        <v>175</v>
      </c>
      <c r="W3435" s="13" t="s">
        <v>16107</v>
      </c>
      <c r="X3435" s="12"/>
      <c r="Y3435" s="14"/>
      <c r="Z3435" s="14"/>
    </row>
    <row r="3436">
      <c r="A3436" s="8" t="s">
        <v>16108</v>
      </c>
      <c r="B3436" s="8" t="s">
        <v>16109</v>
      </c>
      <c r="C3436" s="8" t="s">
        <v>179</v>
      </c>
      <c r="D3436" s="8" t="s">
        <v>26</v>
      </c>
      <c r="E3436" s="8" t="s">
        <v>16110</v>
      </c>
      <c r="F3436" s="8">
        <v>2.3111405E7</v>
      </c>
      <c r="G3436" s="8" t="s">
        <v>54</v>
      </c>
      <c r="H3436" s="8" t="s">
        <v>430</v>
      </c>
      <c r="I3436" s="8" t="s">
        <v>31</v>
      </c>
      <c r="J3436" s="8" t="s">
        <v>292</v>
      </c>
      <c r="K3436" s="10" t="s">
        <v>12973</v>
      </c>
      <c r="L3436" s="8" t="s">
        <v>58</v>
      </c>
      <c r="M3436" s="8" t="s">
        <v>35</v>
      </c>
      <c r="N3436" s="11">
        <v>45226.0</v>
      </c>
      <c r="O3436" s="11">
        <v>45369.0</v>
      </c>
      <c r="P3436" s="11">
        <v>45411.0</v>
      </c>
      <c r="Q3436" s="11"/>
      <c r="R3436" s="11"/>
      <c r="S3436" s="12"/>
      <c r="T3436" s="8"/>
      <c r="U3436" s="8" t="s">
        <v>88</v>
      </c>
      <c r="V3436" s="13" t="s">
        <v>4780</v>
      </c>
      <c r="W3436" s="13" t="s">
        <v>16111</v>
      </c>
      <c r="X3436" s="12"/>
      <c r="Y3436" s="14"/>
      <c r="Z3436" s="14"/>
    </row>
    <row r="3437">
      <c r="A3437" s="8" t="s">
        <v>16112</v>
      </c>
      <c r="B3437" s="8" t="s">
        <v>16113</v>
      </c>
      <c r="C3437" s="8" t="s">
        <v>179</v>
      </c>
      <c r="D3437" s="8" t="s">
        <v>26</v>
      </c>
      <c r="E3437" s="8" t="s">
        <v>16114</v>
      </c>
      <c r="F3437" s="8">
        <v>5.071070096E9</v>
      </c>
      <c r="G3437" s="8" t="s">
        <v>31</v>
      </c>
      <c r="H3437" s="8" t="s">
        <v>86</v>
      </c>
      <c r="I3437" s="8" t="s">
        <v>109</v>
      </c>
      <c r="J3437" s="8" t="s">
        <v>110</v>
      </c>
      <c r="K3437" s="10" t="s">
        <v>16115</v>
      </c>
      <c r="L3437" s="8" t="s">
        <v>58</v>
      </c>
      <c r="M3437" s="8" t="s">
        <v>35</v>
      </c>
      <c r="N3437" s="11">
        <v>45226.0</v>
      </c>
      <c r="O3437" s="11">
        <v>45496.0</v>
      </c>
      <c r="P3437" s="11">
        <v>45538.0</v>
      </c>
      <c r="Q3437" s="11"/>
      <c r="R3437" s="11"/>
      <c r="S3437" s="12"/>
      <c r="T3437" s="8"/>
      <c r="U3437" s="8" t="s">
        <v>632</v>
      </c>
      <c r="V3437" s="13" t="s">
        <v>175</v>
      </c>
      <c r="W3437" s="13" t="s">
        <v>16116</v>
      </c>
      <c r="X3437" s="12"/>
      <c r="Y3437" s="14"/>
      <c r="Z3437" s="14"/>
    </row>
    <row r="3438">
      <c r="A3438" s="8" t="s">
        <v>16117</v>
      </c>
      <c r="B3438" s="8" t="s">
        <v>13313</v>
      </c>
      <c r="C3438" s="8" t="s">
        <v>179</v>
      </c>
      <c r="D3438" s="8" t="s">
        <v>26</v>
      </c>
      <c r="E3438" s="8" t="s">
        <v>13314</v>
      </c>
      <c r="F3438" s="8">
        <v>5.6063542E7</v>
      </c>
      <c r="G3438" s="8" t="s">
        <v>54</v>
      </c>
      <c r="H3438" s="8" t="s">
        <v>76</v>
      </c>
      <c r="I3438" s="8" t="s">
        <v>31</v>
      </c>
      <c r="J3438" s="8" t="s">
        <v>542</v>
      </c>
      <c r="K3438" s="10" t="s">
        <v>8953</v>
      </c>
      <c r="L3438" s="8" t="s">
        <v>34</v>
      </c>
      <c r="M3438" s="8" t="s">
        <v>70</v>
      </c>
      <c r="N3438" s="11">
        <v>45226.0</v>
      </c>
      <c r="O3438" s="11">
        <v>45322.0</v>
      </c>
      <c r="P3438" s="11">
        <v>45658.0</v>
      </c>
      <c r="Q3438" s="11"/>
      <c r="R3438" s="11"/>
      <c r="S3438" s="12"/>
      <c r="T3438" s="8" t="s">
        <v>36</v>
      </c>
      <c r="U3438" s="8" t="s">
        <v>8954</v>
      </c>
      <c r="V3438" s="13" t="s">
        <v>324</v>
      </c>
      <c r="W3438" s="13" t="s">
        <v>13315</v>
      </c>
      <c r="X3438" s="12"/>
      <c r="Y3438" s="14"/>
      <c r="Z3438" s="14"/>
    </row>
    <row r="3439">
      <c r="A3439" s="8" t="s">
        <v>16118</v>
      </c>
      <c r="B3439" s="8" t="s">
        <v>16119</v>
      </c>
      <c r="C3439" s="8" t="s">
        <v>708</v>
      </c>
      <c r="D3439" s="8" t="s">
        <v>26</v>
      </c>
      <c r="E3439" s="8" t="s">
        <v>16120</v>
      </c>
      <c r="F3439" s="8">
        <v>5.4999024252E10</v>
      </c>
      <c r="G3439" s="8" t="s">
        <v>109</v>
      </c>
      <c r="H3439" s="8" t="s">
        <v>2747</v>
      </c>
      <c r="I3439" s="8" t="s">
        <v>31</v>
      </c>
      <c r="J3439" s="8" t="s">
        <v>77</v>
      </c>
      <c r="K3439" s="10" t="s">
        <v>1235</v>
      </c>
      <c r="L3439" s="8" t="s">
        <v>47</v>
      </c>
      <c r="M3439" s="8" t="s">
        <v>70</v>
      </c>
      <c r="N3439" s="11">
        <v>45226.0</v>
      </c>
      <c r="O3439" s="11">
        <v>45236.0</v>
      </c>
      <c r="P3439" s="11">
        <v>45466.0</v>
      </c>
      <c r="Q3439" s="11">
        <v>45251.0</v>
      </c>
      <c r="R3439" s="11">
        <v>45481.0</v>
      </c>
      <c r="S3439" s="12"/>
      <c r="T3439" s="8"/>
      <c r="U3439" s="8" t="s">
        <v>1236</v>
      </c>
      <c r="V3439" s="13" t="s">
        <v>3242</v>
      </c>
      <c r="W3439" s="13" t="s">
        <v>16121</v>
      </c>
      <c r="X3439" s="12"/>
      <c r="Y3439" s="14"/>
      <c r="Z3439" s="14"/>
    </row>
    <row r="3440">
      <c r="A3440" s="8" t="s">
        <v>16122</v>
      </c>
      <c r="B3440" s="8" t="s">
        <v>16123</v>
      </c>
      <c r="C3440" s="8" t="s">
        <v>179</v>
      </c>
      <c r="D3440" s="8" t="s">
        <v>26</v>
      </c>
      <c r="E3440" s="8" t="s">
        <v>16124</v>
      </c>
      <c r="F3440" s="8">
        <v>2.9454189E7</v>
      </c>
      <c r="G3440" s="8" t="s">
        <v>54</v>
      </c>
      <c r="H3440" s="8" t="s">
        <v>76</v>
      </c>
      <c r="I3440" s="8" t="s">
        <v>31</v>
      </c>
      <c r="J3440" s="8" t="s">
        <v>77</v>
      </c>
      <c r="K3440" s="10" t="s">
        <v>2537</v>
      </c>
      <c r="L3440" s="8" t="s">
        <v>58</v>
      </c>
      <c r="M3440" s="8" t="s">
        <v>35</v>
      </c>
      <c r="N3440" s="11">
        <v>45226.0</v>
      </c>
      <c r="O3440" s="11">
        <v>45491.0</v>
      </c>
      <c r="P3440" s="11">
        <v>45533.0</v>
      </c>
      <c r="Q3440" s="11"/>
      <c r="R3440" s="11"/>
      <c r="S3440" s="12"/>
      <c r="T3440" s="8"/>
      <c r="U3440" s="8" t="s">
        <v>88</v>
      </c>
      <c r="V3440" s="13" t="s">
        <v>324</v>
      </c>
      <c r="W3440" s="13" t="s">
        <v>16125</v>
      </c>
      <c r="X3440" s="12"/>
      <c r="Y3440" s="14"/>
      <c r="Z3440" s="14"/>
    </row>
    <row r="3441">
      <c r="A3441" s="8" t="s">
        <v>16126</v>
      </c>
      <c r="B3441" s="8" t="s">
        <v>16127</v>
      </c>
      <c r="C3441" s="8" t="s">
        <v>179</v>
      </c>
      <c r="D3441" s="8" t="s">
        <v>26</v>
      </c>
      <c r="E3441" s="8" t="s">
        <v>16128</v>
      </c>
      <c r="F3441" s="8">
        <v>5.0936633E7</v>
      </c>
      <c r="G3441" s="8" t="s">
        <v>54</v>
      </c>
      <c r="H3441" s="8" t="s">
        <v>76</v>
      </c>
      <c r="I3441" s="8" t="s">
        <v>31</v>
      </c>
      <c r="J3441" s="8" t="s">
        <v>77</v>
      </c>
      <c r="K3441" s="10" t="s">
        <v>2537</v>
      </c>
      <c r="L3441" s="8" t="s">
        <v>58</v>
      </c>
      <c r="M3441" s="8" t="s">
        <v>35</v>
      </c>
      <c r="N3441" s="11">
        <v>45226.0</v>
      </c>
      <c r="O3441" s="11">
        <v>45481.0</v>
      </c>
      <c r="P3441" s="11">
        <v>45523.0</v>
      </c>
      <c r="Q3441" s="11"/>
      <c r="R3441" s="11"/>
      <c r="S3441" s="12"/>
      <c r="T3441" s="8"/>
      <c r="U3441" s="8" t="s">
        <v>88</v>
      </c>
      <c r="V3441" s="13" t="s">
        <v>3496</v>
      </c>
      <c r="W3441" s="13" t="s">
        <v>16129</v>
      </c>
      <c r="X3441" s="12"/>
      <c r="Y3441" s="14"/>
      <c r="Z3441" s="14"/>
    </row>
    <row r="3442">
      <c r="A3442" s="8" t="s">
        <v>16130</v>
      </c>
      <c r="B3442" s="8" t="s">
        <v>16131</v>
      </c>
      <c r="C3442" s="8" t="s">
        <v>179</v>
      </c>
      <c r="D3442" s="8" t="s">
        <v>26</v>
      </c>
      <c r="E3442" s="8" t="s">
        <v>16132</v>
      </c>
      <c r="F3442" s="8">
        <v>5.364913411E9</v>
      </c>
      <c r="G3442" s="8" t="s">
        <v>31</v>
      </c>
      <c r="H3442" s="8" t="s">
        <v>77</v>
      </c>
      <c r="I3442" s="8" t="s">
        <v>44</v>
      </c>
      <c r="J3442" s="8" t="s">
        <v>1993</v>
      </c>
      <c r="K3442" s="10" t="s">
        <v>16133</v>
      </c>
      <c r="L3442" s="8" t="s">
        <v>58</v>
      </c>
      <c r="M3442" s="8" t="s">
        <v>35</v>
      </c>
      <c r="N3442" s="11">
        <v>45226.0</v>
      </c>
      <c r="O3442" s="11">
        <v>45475.0</v>
      </c>
      <c r="P3442" s="11">
        <v>45517.0</v>
      </c>
      <c r="Q3442" s="11"/>
      <c r="R3442" s="11"/>
      <c r="S3442" s="12"/>
      <c r="T3442" s="8"/>
      <c r="U3442" s="8" t="s">
        <v>371</v>
      </c>
      <c r="V3442" s="13" t="s">
        <v>77</v>
      </c>
      <c r="W3442" s="13" t="s">
        <v>16134</v>
      </c>
      <c r="X3442" s="12"/>
      <c r="Y3442" s="14"/>
      <c r="Z3442" s="14"/>
    </row>
    <row r="3443">
      <c r="A3443" s="8" t="s">
        <v>16135</v>
      </c>
      <c r="B3443" s="8" t="s">
        <v>16136</v>
      </c>
      <c r="C3443" s="8" t="s">
        <v>179</v>
      </c>
      <c r="D3443" s="8" t="s">
        <v>26</v>
      </c>
      <c r="E3443" s="8" t="s">
        <v>16137</v>
      </c>
      <c r="F3443" s="8"/>
      <c r="G3443" s="8" t="s">
        <v>31</v>
      </c>
      <c r="H3443" s="8" t="s">
        <v>86</v>
      </c>
      <c r="I3443" s="8" t="s">
        <v>44</v>
      </c>
      <c r="J3443" s="8" t="s">
        <v>741</v>
      </c>
      <c r="K3443" s="10" t="s">
        <v>2675</v>
      </c>
      <c r="L3443" s="8" t="s">
        <v>58</v>
      </c>
      <c r="M3443" s="8" t="s">
        <v>35</v>
      </c>
      <c r="N3443" s="11">
        <v>45227.0</v>
      </c>
      <c r="O3443" s="11">
        <v>45488.0</v>
      </c>
      <c r="P3443" s="11">
        <v>45530.0</v>
      </c>
      <c r="Q3443" s="11"/>
      <c r="R3443" s="11"/>
      <c r="S3443" s="12"/>
      <c r="T3443" s="8"/>
      <c r="U3443" s="8" t="s">
        <v>59</v>
      </c>
      <c r="V3443" s="13" t="s">
        <v>38</v>
      </c>
      <c r="W3443" s="13" t="s">
        <v>16138</v>
      </c>
      <c r="X3443" s="12"/>
      <c r="Y3443" s="14"/>
      <c r="Z3443" s="14"/>
    </row>
    <row r="3444">
      <c r="A3444" s="8" t="s">
        <v>16139</v>
      </c>
      <c r="B3444" s="8" t="s">
        <v>16140</v>
      </c>
      <c r="C3444" s="8" t="s">
        <v>708</v>
      </c>
      <c r="D3444" s="8" t="s">
        <v>26</v>
      </c>
      <c r="E3444" s="8" t="s">
        <v>16141</v>
      </c>
      <c r="F3444" s="8">
        <v>6.58489071E8</v>
      </c>
      <c r="G3444" s="8" t="s">
        <v>254</v>
      </c>
      <c r="H3444" s="8" t="s">
        <v>1484</v>
      </c>
      <c r="I3444" s="8" t="s">
        <v>31</v>
      </c>
      <c r="J3444" s="8" t="s">
        <v>111</v>
      </c>
      <c r="K3444" s="10" t="s">
        <v>14958</v>
      </c>
      <c r="L3444" s="8" t="s">
        <v>47</v>
      </c>
      <c r="M3444" s="8" t="s">
        <v>70</v>
      </c>
      <c r="N3444" s="11">
        <v>45227.0</v>
      </c>
      <c r="O3444" s="11">
        <v>45223.0</v>
      </c>
      <c r="P3444" s="11">
        <v>45588.0</v>
      </c>
      <c r="Q3444" s="11">
        <v>45275.0</v>
      </c>
      <c r="R3444" s="11">
        <v>45640.0</v>
      </c>
      <c r="S3444" s="12"/>
      <c r="T3444" s="8"/>
      <c r="U3444" s="8" t="s">
        <v>14959</v>
      </c>
      <c r="V3444" s="13" t="s">
        <v>258</v>
      </c>
      <c r="W3444" s="13" t="s">
        <v>16142</v>
      </c>
      <c r="X3444" s="12"/>
      <c r="Y3444" s="14"/>
      <c r="Z3444" s="14"/>
    </row>
    <row r="3445">
      <c r="A3445" s="8" t="s">
        <v>16143</v>
      </c>
      <c r="B3445" s="8" t="s">
        <v>16144</v>
      </c>
      <c r="C3445" s="8" t="s">
        <v>179</v>
      </c>
      <c r="D3445" s="8" t="s">
        <v>26</v>
      </c>
      <c r="E3445" s="8" t="s">
        <v>16145</v>
      </c>
      <c r="F3445" s="8">
        <v>5.358298643E9</v>
      </c>
      <c r="G3445" s="8" t="s">
        <v>31</v>
      </c>
      <c r="H3445" s="8" t="s">
        <v>542</v>
      </c>
      <c r="I3445" s="8" t="s">
        <v>284</v>
      </c>
      <c r="J3445" s="8" t="s">
        <v>285</v>
      </c>
      <c r="K3445" s="10" t="s">
        <v>3841</v>
      </c>
      <c r="L3445" s="8" t="s">
        <v>58</v>
      </c>
      <c r="M3445" s="8" t="s">
        <v>35</v>
      </c>
      <c r="N3445" s="11">
        <v>45227.0</v>
      </c>
      <c r="O3445" s="11">
        <v>45474.0</v>
      </c>
      <c r="P3445" s="11">
        <v>45516.0</v>
      </c>
      <c r="Q3445" s="11"/>
      <c r="R3445" s="11"/>
      <c r="S3445" s="12"/>
      <c r="T3445" s="8"/>
      <c r="U3445" s="8" t="s">
        <v>1038</v>
      </c>
      <c r="V3445" s="13" t="s">
        <v>545</v>
      </c>
      <c r="W3445" s="13" t="s">
        <v>16146</v>
      </c>
      <c r="X3445" s="12"/>
      <c r="Y3445" s="14"/>
      <c r="Z3445" s="14"/>
    </row>
    <row r="3446">
      <c r="A3446" s="8" t="s">
        <v>16147</v>
      </c>
      <c r="B3446" s="8" t="s">
        <v>16148</v>
      </c>
      <c r="C3446" s="8" t="s">
        <v>179</v>
      </c>
      <c r="D3446" s="8" t="s">
        <v>26</v>
      </c>
      <c r="E3446" s="8" t="s">
        <v>16149</v>
      </c>
      <c r="F3446" s="8">
        <v>5.434241665E9</v>
      </c>
      <c r="G3446" s="8" t="s">
        <v>31</v>
      </c>
      <c r="H3446" s="8" t="s">
        <v>542</v>
      </c>
      <c r="I3446" s="8" t="s">
        <v>284</v>
      </c>
      <c r="J3446" s="8" t="s">
        <v>285</v>
      </c>
      <c r="K3446" s="10" t="s">
        <v>3841</v>
      </c>
      <c r="L3446" s="8" t="s">
        <v>58</v>
      </c>
      <c r="M3446" s="8" t="s">
        <v>35</v>
      </c>
      <c r="N3446" s="11">
        <v>45227.0</v>
      </c>
      <c r="O3446" s="11">
        <v>45323.0</v>
      </c>
      <c r="P3446" s="11">
        <v>45365.0</v>
      </c>
      <c r="Q3446" s="11"/>
      <c r="R3446" s="11"/>
      <c r="S3446" s="12"/>
      <c r="T3446" s="8"/>
      <c r="U3446" s="8" t="s">
        <v>1038</v>
      </c>
      <c r="V3446" s="13" t="s">
        <v>545</v>
      </c>
      <c r="W3446" s="13" t="s">
        <v>16150</v>
      </c>
      <c r="X3446" s="12"/>
      <c r="Y3446" s="14"/>
      <c r="Z3446" s="14"/>
    </row>
    <row r="3447">
      <c r="A3447" s="8" t="s">
        <v>16151</v>
      </c>
      <c r="B3447" s="8" t="s">
        <v>16152</v>
      </c>
      <c r="C3447" s="8" t="s">
        <v>179</v>
      </c>
      <c r="D3447" s="8" t="s">
        <v>26</v>
      </c>
      <c r="E3447" s="8" t="s">
        <v>16153</v>
      </c>
      <c r="F3447" s="8">
        <v>5.346620693E9</v>
      </c>
      <c r="G3447" s="8" t="s">
        <v>31</v>
      </c>
      <c r="H3447" s="8" t="s">
        <v>56</v>
      </c>
      <c r="I3447" s="8" t="s">
        <v>284</v>
      </c>
      <c r="J3447" s="8" t="s">
        <v>2065</v>
      </c>
      <c r="K3447" s="10" t="s">
        <v>16154</v>
      </c>
      <c r="L3447" s="8" t="s">
        <v>58</v>
      </c>
      <c r="M3447" s="8" t="s">
        <v>35</v>
      </c>
      <c r="N3447" s="11">
        <v>45227.0</v>
      </c>
      <c r="O3447" s="11">
        <v>45483.0</v>
      </c>
      <c r="P3447" s="11">
        <v>45525.0</v>
      </c>
      <c r="Q3447" s="11"/>
      <c r="R3447" s="11"/>
      <c r="S3447" s="12"/>
      <c r="T3447" s="8"/>
      <c r="U3447" s="8" t="s">
        <v>59</v>
      </c>
      <c r="V3447" s="13" t="s">
        <v>56</v>
      </c>
      <c r="W3447" s="13" t="s">
        <v>16155</v>
      </c>
      <c r="X3447" s="12"/>
      <c r="Y3447" s="14"/>
      <c r="Z3447" s="14"/>
    </row>
    <row r="3448">
      <c r="A3448" s="8" t="s">
        <v>16156</v>
      </c>
      <c r="B3448" s="8" t="s">
        <v>16157</v>
      </c>
      <c r="C3448" s="8" t="s">
        <v>179</v>
      </c>
      <c r="D3448" s="8" t="s">
        <v>26</v>
      </c>
      <c r="E3448" s="8" t="s">
        <v>16158</v>
      </c>
      <c r="F3448" s="8">
        <v>5.538345E7</v>
      </c>
      <c r="G3448" s="8" t="s">
        <v>54</v>
      </c>
      <c r="H3448" s="8" t="s">
        <v>377</v>
      </c>
      <c r="I3448" s="8" t="s">
        <v>31</v>
      </c>
      <c r="J3448" s="8" t="s">
        <v>86</v>
      </c>
      <c r="K3448" s="10" t="s">
        <v>3621</v>
      </c>
      <c r="L3448" s="8" t="s">
        <v>58</v>
      </c>
      <c r="M3448" s="8" t="s">
        <v>35</v>
      </c>
      <c r="N3448" s="11">
        <v>45227.0</v>
      </c>
      <c r="O3448" s="11">
        <v>45476.0</v>
      </c>
      <c r="P3448" s="11">
        <v>45518.0</v>
      </c>
      <c r="Q3448" s="11"/>
      <c r="R3448" s="11"/>
      <c r="S3448" s="12"/>
      <c r="T3448" s="8"/>
      <c r="U3448" s="8" t="s">
        <v>153</v>
      </c>
      <c r="V3448" s="13" t="s">
        <v>2243</v>
      </c>
      <c r="W3448" s="13" t="s">
        <v>16159</v>
      </c>
      <c r="X3448" s="12"/>
      <c r="Y3448" s="14"/>
      <c r="Z3448" s="14"/>
    </row>
    <row r="3449">
      <c r="A3449" s="8" t="s">
        <v>16160</v>
      </c>
      <c r="B3449" s="8" t="s">
        <v>16161</v>
      </c>
      <c r="C3449" s="8" t="s">
        <v>179</v>
      </c>
      <c r="D3449" s="8" t="s">
        <v>26</v>
      </c>
      <c r="E3449" s="8" t="s">
        <v>16162</v>
      </c>
      <c r="F3449" s="8"/>
      <c r="G3449" s="8" t="s">
        <v>31</v>
      </c>
      <c r="H3449" s="8" t="s">
        <v>77</v>
      </c>
      <c r="I3449" s="8" t="s">
        <v>44</v>
      </c>
      <c r="J3449" s="8" t="s">
        <v>1993</v>
      </c>
      <c r="K3449" s="10" t="s">
        <v>16133</v>
      </c>
      <c r="L3449" s="8" t="s">
        <v>58</v>
      </c>
      <c r="M3449" s="8" t="s">
        <v>35</v>
      </c>
      <c r="N3449" s="11">
        <v>45227.0</v>
      </c>
      <c r="O3449" s="11">
        <v>45475.0</v>
      </c>
      <c r="P3449" s="11">
        <v>45517.0</v>
      </c>
      <c r="Q3449" s="11"/>
      <c r="R3449" s="11"/>
      <c r="S3449" s="12"/>
      <c r="T3449" s="8"/>
      <c r="U3449" s="8" t="s">
        <v>371</v>
      </c>
      <c r="V3449" s="13" t="s">
        <v>38</v>
      </c>
      <c r="W3449" s="13" t="s">
        <v>16163</v>
      </c>
      <c r="X3449" s="12"/>
      <c r="Y3449" s="14"/>
      <c r="Z3449" s="14"/>
    </row>
    <row r="3450">
      <c r="A3450" s="8" t="s">
        <v>16164</v>
      </c>
      <c r="B3450" s="8" t="s">
        <v>8860</v>
      </c>
      <c r="C3450" s="8" t="s">
        <v>179</v>
      </c>
      <c r="D3450" s="8" t="s">
        <v>26</v>
      </c>
      <c r="E3450" s="8" t="s">
        <v>8861</v>
      </c>
      <c r="F3450" s="8">
        <v>5.369907948E9</v>
      </c>
      <c r="G3450" s="8" t="s">
        <v>31</v>
      </c>
      <c r="H3450" s="8" t="s">
        <v>32</v>
      </c>
      <c r="I3450" s="8" t="s">
        <v>109</v>
      </c>
      <c r="J3450" s="8" t="s">
        <v>6047</v>
      </c>
      <c r="K3450" s="10" t="s">
        <v>16165</v>
      </c>
      <c r="L3450" s="8" t="s">
        <v>58</v>
      </c>
      <c r="M3450" s="8" t="s">
        <v>35</v>
      </c>
      <c r="N3450" s="11">
        <v>45227.0</v>
      </c>
      <c r="O3450" s="11">
        <v>45397.0</v>
      </c>
      <c r="P3450" s="11">
        <v>45439.0</v>
      </c>
      <c r="Q3450" s="11"/>
      <c r="R3450" s="11"/>
      <c r="S3450" s="12"/>
      <c r="T3450" s="8"/>
      <c r="U3450" s="8" t="s">
        <v>185</v>
      </c>
      <c r="V3450" s="13" t="s">
        <v>175</v>
      </c>
      <c r="W3450" s="13" t="s">
        <v>8863</v>
      </c>
      <c r="X3450" s="12"/>
      <c r="Y3450" s="14"/>
      <c r="Z3450" s="14"/>
    </row>
    <row r="3451">
      <c r="A3451" s="8" t="s">
        <v>16166</v>
      </c>
      <c r="B3451" s="8" t="s">
        <v>16167</v>
      </c>
      <c r="C3451" s="8" t="s">
        <v>179</v>
      </c>
      <c r="D3451" s="8" t="s">
        <v>26</v>
      </c>
      <c r="E3451" s="8" t="s">
        <v>16168</v>
      </c>
      <c r="F3451" s="8">
        <v>5.306846341E9</v>
      </c>
      <c r="G3451" s="8" t="s">
        <v>31</v>
      </c>
      <c r="H3451" s="8" t="s">
        <v>77</v>
      </c>
      <c r="I3451" s="8" t="s">
        <v>44</v>
      </c>
      <c r="J3451" s="8" t="s">
        <v>3093</v>
      </c>
      <c r="K3451" s="10" t="s">
        <v>14679</v>
      </c>
      <c r="L3451" s="8" t="s">
        <v>58</v>
      </c>
      <c r="M3451" s="8" t="s">
        <v>35</v>
      </c>
      <c r="N3451" s="11">
        <v>45227.0</v>
      </c>
      <c r="O3451" s="11">
        <v>45478.0</v>
      </c>
      <c r="P3451" s="11">
        <v>45520.0</v>
      </c>
      <c r="Q3451" s="11"/>
      <c r="R3451" s="11"/>
      <c r="S3451" s="12"/>
      <c r="T3451" s="8"/>
      <c r="U3451" s="8" t="s">
        <v>1038</v>
      </c>
      <c r="V3451" s="13" t="s">
        <v>77</v>
      </c>
      <c r="W3451" s="13" t="s">
        <v>16169</v>
      </c>
      <c r="X3451" s="12"/>
      <c r="Y3451" s="14"/>
      <c r="Z3451" s="14"/>
    </row>
    <row r="3452">
      <c r="A3452" s="8" t="s">
        <v>16170</v>
      </c>
      <c r="B3452" s="8" t="s">
        <v>16171</v>
      </c>
      <c r="C3452" s="8" t="s">
        <v>179</v>
      </c>
      <c r="D3452" s="8" t="s">
        <v>26</v>
      </c>
      <c r="E3452" s="8" t="s">
        <v>16172</v>
      </c>
      <c r="F3452" s="8">
        <v>7.81742168E8</v>
      </c>
      <c r="G3452" s="8" t="s">
        <v>254</v>
      </c>
      <c r="H3452" s="8" t="s">
        <v>6960</v>
      </c>
      <c r="I3452" s="8" t="s">
        <v>31</v>
      </c>
      <c r="J3452" s="8" t="s">
        <v>292</v>
      </c>
      <c r="K3452" s="10" t="s">
        <v>6058</v>
      </c>
      <c r="L3452" s="8" t="s">
        <v>47</v>
      </c>
      <c r="M3452" s="8" t="s">
        <v>70</v>
      </c>
      <c r="N3452" s="11">
        <v>45227.0</v>
      </c>
      <c r="O3452" s="11">
        <v>45275.0</v>
      </c>
      <c r="P3452" s="11">
        <v>45641.0</v>
      </c>
      <c r="Q3452" s="11"/>
      <c r="R3452" s="11"/>
      <c r="S3452" s="12"/>
      <c r="T3452" s="8"/>
      <c r="U3452" s="8" t="s">
        <v>6059</v>
      </c>
      <c r="V3452" s="13" t="s">
        <v>1010</v>
      </c>
      <c r="W3452" s="13" t="s">
        <v>16173</v>
      </c>
      <c r="X3452" s="12"/>
      <c r="Y3452" s="14"/>
      <c r="Z3452" s="14"/>
    </row>
    <row r="3453">
      <c r="A3453" s="8" t="s">
        <v>16174</v>
      </c>
      <c r="B3453" s="8" t="s">
        <v>16175</v>
      </c>
      <c r="C3453" s="8" t="s">
        <v>179</v>
      </c>
      <c r="D3453" s="8" t="s">
        <v>26</v>
      </c>
      <c r="E3453" s="8" t="s">
        <v>16176</v>
      </c>
      <c r="F3453" s="8"/>
      <c r="G3453" s="8" t="s">
        <v>31</v>
      </c>
      <c r="H3453" s="8" t="s">
        <v>111</v>
      </c>
      <c r="I3453" s="8" t="s">
        <v>284</v>
      </c>
      <c r="J3453" s="8" t="s">
        <v>3188</v>
      </c>
      <c r="K3453" s="10" t="s">
        <v>15377</v>
      </c>
      <c r="L3453" s="8" t="s">
        <v>34</v>
      </c>
      <c r="M3453" s="8" t="s">
        <v>35</v>
      </c>
      <c r="N3453" s="11">
        <v>45227.0</v>
      </c>
      <c r="O3453" s="11">
        <v>45231.0</v>
      </c>
      <c r="P3453" s="11">
        <v>45273.0</v>
      </c>
      <c r="Q3453" s="11"/>
      <c r="R3453" s="11"/>
      <c r="S3453" s="12"/>
      <c r="T3453" s="8" t="s">
        <v>205</v>
      </c>
      <c r="U3453" s="8" t="s">
        <v>15378</v>
      </c>
      <c r="V3453" s="13" t="s">
        <v>38</v>
      </c>
      <c r="W3453" s="13" t="s">
        <v>16177</v>
      </c>
      <c r="X3453" s="12"/>
      <c r="Y3453" s="14"/>
      <c r="Z3453" s="14"/>
    </row>
    <row r="3454">
      <c r="A3454" s="8" t="s">
        <v>16178</v>
      </c>
      <c r="B3454" s="8" t="s">
        <v>16179</v>
      </c>
      <c r="C3454" s="8" t="s">
        <v>179</v>
      </c>
      <c r="D3454" s="8" t="s">
        <v>26</v>
      </c>
      <c r="E3454" s="8" t="s">
        <v>16180</v>
      </c>
      <c r="F3454" s="8">
        <v>5.4550005E7</v>
      </c>
      <c r="G3454" s="8" t="s">
        <v>54</v>
      </c>
      <c r="H3454" s="8" t="s">
        <v>377</v>
      </c>
      <c r="I3454" s="8" t="s">
        <v>31</v>
      </c>
      <c r="J3454" s="8" t="s">
        <v>77</v>
      </c>
      <c r="K3454" s="10" t="s">
        <v>16181</v>
      </c>
      <c r="L3454" s="8" t="s">
        <v>58</v>
      </c>
      <c r="M3454" s="8" t="s">
        <v>35</v>
      </c>
      <c r="N3454" s="11">
        <v>45228.0</v>
      </c>
      <c r="O3454" s="11">
        <v>45446.0</v>
      </c>
      <c r="P3454" s="11">
        <v>45488.0</v>
      </c>
      <c r="Q3454" s="11"/>
      <c r="R3454" s="11"/>
      <c r="S3454" s="12"/>
      <c r="T3454" s="8"/>
      <c r="U3454" s="8" t="s">
        <v>59</v>
      </c>
      <c r="V3454" s="13" t="s">
        <v>765</v>
      </c>
      <c r="W3454" s="13" t="s">
        <v>16182</v>
      </c>
      <c r="X3454" s="12"/>
      <c r="Y3454" s="14"/>
      <c r="Z3454" s="14"/>
    </row>
    <row r="3455">
      <c r="A3455" s="8" t="s">
        <v>16183</v>
      </c>
      <c r="B3455" s="8" t="s">
        <v>16184</v>
      </c>
      <c r="C3455" s="8" t="s">
        <v>179</v>
      </c>
      <c r="D3455" s="8" t="s">
        <v>26</v>
      </c>
      <c r="E3455" s="8" t="s">
        <v>16185</v>
      </c>
      <c r="F3455" s="8"/>
      <c r="G3455" s="8" t="s">
        <v>31</v>
      </c>
      <c r="H3455" s="8" t="s">
        <v>542</v>
      </c>
      <c r="I3455" s="8" t="s">
        <v>284</v>
      </c>
      <c r="J3455" s="8" t="s">
        <v>285</v>
      </c>
      <c r="K3455" s="10" t="s">
        <v>3841</v>
      </c>
      <c r="L3455" s="8" t="s">
        <v>58</v>
      </c>
      <c r="M3455" s="8" t="s">
        <v>35</v>
      </c>
      <c r="N3455" s="11">
        <v>45228.0</v>
      </c>
      <c r="O3455" s="11">
        <v>45292.0</v>
      </c>
      <c r="P3455" s="11">
        <v>45334.0</v>
      </c>
      <c r="Q3455" s="11"/>
      <c r="R3455" s="11"/>
      <c r="S3455" s="12"/>
      <c r="T3455" s="8"/>
      <c r="U3455" s="8" t="s">
        <v>1038</v>
      </c>
      <c r="V3455" s="13" t="s">
        <v>38</v>
      </c>
      <c r="W3455" s="13" t="s">
        <v>16186</v>
      </c>
      <c r="X3455" s="12"/>
      <c r="Y3455" s="14"/>
      <c r="Z3455" s="14"/>
    </row>
    <row r="3456">
      <c r="A3456" s="8" t="s">
        <v>16187</v>
      </c>
      <c r="B3456" s="8" t="s">
        <v>16188</v>
      </c>
      <c r="C3456" s="8" t="s">
        <v>179</v>
      </c>
      <c r="D3456" s="8" t="s">
        <v>26</v>
      </c>
      <c r="E3456" s="8" t="s">
        <v>16189</v>
      </c>
      <c r="F3456" s="8"/>
      <c r="G3456" s="8" t="s">
        <v>284</v>
      </c>
      <c r="H3456" s="8" t="s">
        <v>793</v>
      </c>
      <c r="I3456" s="8" t="s">
        <v>31</v>
      </c>
      <c r="J3456" s="8" t="s">
        <v>111</v>
      </c>
      <c r="K3456" s="10" t="s">
        <v>15728</v>
      </c>
      <c r="L3456" s="8" t="s">
        <v>58</v>
      </c>
      <c r="M3456" s="8" t="s">
        <v>35</v>
      </c>
      <c r="N3456" s="11">
        <v>45228.0</v>
      </c>
      <c r="O3456" s="11">
        <v>45292.0</v>
      </c>
      <c r="P3456" s="11">
        <v>45334.0</v>
      </c>
      <c r="Q3456" s="11"/>
      <c r="R3456" s="11"/>
      <c r="S3456" s="12"/>
      <c r="T3456" s="8"/>
      <c r="U3456" s="8" t="s">
        <v>59</v>
      </c>
      <c r="V3456" s="13" t="s">
        <v>38</v>
      </c>
      <c r="W3456" s="13" t="s">
        <v>16190</v>
      </c>
      <c r="X3456" s="12"/>
      <c r="Y3456" s="14"/>
      <c r="Z3456" s="14"/>
    </row>
    <row r="3457">
      <c r="A3457" s="8" t="s">
        <v>16191</v>
      </c>
      <c r="B3457" s="8" t="s">
        <v>15919</v>
      </c>
      <c r="C3457" s="8" t="s">
        <v>25</v>
      </c>
      <c r="D3457" s="8" t="s">
        <v>26</v>
      </c>
      <c r="E3457" s="8" t="s">
        <v>15920</v>
      </c>
      <c r="F3457" s="8">
        <v>7.98886553E8</v>
      </c>
      <c r="G3457" s="8" t="s">
        <v>254</v>
      </c>
      <c r="H3457" s="8" t="s">
        <v>422</v>
      </c>
      <c r="I3457" s="8" t="s">
        <v>31</v>
      </c>
      <c r="J3457" s="8" t="s">
        <v>56</v>
      </c>
      <c r="K3457" s="10" t="s">
        <v>11918</v>
      </c>
      <c r="L3457" s="8" t="s">
        <v>58</v>
      </c>
      <c r="M3457" s="8" t="s">
        <v>35</v>
      </c>
      <c r="N3457" s="11">
        <v>45228.0</v>
      </c>
      <c r="O3457" s="11">
        <v>45243.0</v>
      </c>
      <c r="P3457" s="11">
        <v>45285.0</v>
      </c>
      <c r="Q3457" s="11">
        <v>45246.0</v>
      </c>
      <c r="R3457" s="11">
        <v>45288.0</v>
      </c>
      <c r="S3457" s="12"/>
      <c r="T3457" s="8"/>
      <c r="U3457" s="8" t="s">
        <v>59</v>
      </c>
      <c r="V3457" s="13" t="s">
        <v>425</v>
      </c>
      <c r="W3457" s="13" t="s">
        <v>15921</v>
      </c>
      <c r="X3457" s="12"/>
      <c r="Y3457" s="14"/>
      <c r="Z3457" s="14"/>
    </row>
    <row r="3458">
      <c r="A3458" s="8" t="s">
        <v>16192</v>
      </c>
      <c r="B3458" s="8" t="s">
        <v>16193</v>
      </c>
      <c r="C3458" s="8" t="s">
        <v>179</v>
      </c>
      <c r="D3458" s="8" t="s">
        <v>26</v>
      </c>
      <c r="E3458" s="8" t="s">
        <v>16194</v>
      </c>
      <c r="F3458" s="8"/>
      <c r="G3458" s="8" t="s">
        <v>31</v>
      </c>
      <c r="H3458" s="8" t="s">
        <v>542</v>
      </c>
      <c r="I3458" s="8" t="s">
        <v>127</v>
      </c>
      <c r="J3458" s="8" t="s">
        <v>159</v>
      </c>
      <c r="K3458" s="10" t="s">
        <v>16195</v>
      </c>
      <c r="L3458" s="8" t="s">
        <v>58</v>
      </c>
      <c r="M3458" s="8" t="s">
        <v>35</v>
      </c>
      <c r="N3458" s="11">
        <v>45228.0</v>
      </c>
      <c r="O3458" s="11">
        <v>45299.0</v>
      </c>
      <c r="P3458" s="11">
        <v>45341.0</v>
      </c>
      <c r="Q3458" s="11"/>
      <c r="R3458" s="11"/>
      <c r="S3458" s="12"/>
      <c r="T3458" s="8"/>
      <c r="U3458" s="8" t="s">
        <v>1956</v>
      </c>
      <c r="V3458" s="13" t="s">
        <v>38</v>
      </c>
      <c r="W3458" s="13" t="s">
        <v>16196</v>
      </c>
      <c r="X3458" s="12"/>
      <c r="Y3458" s="14"/>
      <c r="Z3458" s="14"/>
    </row>
    <row r="3459">
      <c r="A3459" s="8" t="s">
        <v>16197</v>
      </c>
      <c r="B3459" s="8" t="s">
        <v>16198</v>
      </c>
      <c r="C3459" s="8" t="s">
        <v>179</v>
      </c>
      <c r="D3459" s="8" t="s">
        <v>26</v>
      </c>
      <c r="E3459" s="8" t="s">
        <v>16199</v>
      </c>
      <c r="F3459" s="8">
        <v>5.379991148E9</v>
      </c>
      <c r="G3459" s="8" t="s">
        <v>31</v>
      </c>
      <c r="H3459" s="8" t="s">
        <v>86</v>
      </c>
      <c r="I3459" s="8" t="s">
        <v>127</v>
      </c>
      <c r="J3459" s="8" t="s">
        <v>2182</v>
      </c>
      <c r="K3459" s="10" t="s">
        <v>16200</v>
      </c>
      <c r="L3459" s="8" t="s">
        <v>58</v>
      </c>
      <c r="M3459" s="8" t="s">
        <v>35</v>
      </c>
      <c r="N3459" s="11">
        <v>45229.0</v>
      </c>
      <c r="O3459" s="11">
        <v>45318.0</v>
      </c>
      <c r="P3459" s="11">
        <v>45360.0</v>
      </c>
      <c r="Q3459" s="11"/>
      <c r="R3459" s="11"/>
      <c r="S3459" s="12"/>
      <c r="T3459" s="8"/>
      <c r="U3459" s="8" t="s">
        <v>1956</v>
      </c>
      <c r="V3459" s="13" t="s">
        <v>175</v>
      </c>
      <c r="W3459" s="13" t="s">
        <v>16201</v>
      </c>
      <c r="X3459" s="12"/>
      <c r="Y3459" s="14"/>
      <c r="Z3459" s="14"/>
    </row>
    <row r="3460">
      <c r="A3460" s="8" t="s">
        <v>16202</v>
      </c>
      <c r="B3460" s="8" t="s">
        <v>16203</v>
      </c>
      <c r="C3460" s="8" t="s">
        <v>708</v>
      </c>
      <c r="D3460" s="8" t="s">
        <v>26</v>
      </c>
      <c r="E3460" s="8" t="s">
        <v>16204</v>
      </c>
      <c r="F3460" s="8">
        <v>5.5143054E7</v>
      </c>
      <c r="G3460" s="8" t="s">
        <v>54</v>
      </c>
      <c r="H3460" s="8" t="s">
        <v>76</v>
      </c>
      <c r="I3460" s="8" t="s">
        <v>31</v>
      </c>
      <c r="J3460" s="8" t="s">
        <v>256</v>
      </c>
      <c r="K3460" s="10" t="s">
        <v>15546</v>
      </c>
      <c r="L3460" s="8" t="s">
        <v>47</v>
      </c>
      <c r="M3460" s="8" t="s">
        <v>70</v>
      </c>
      <c r="N3460" s="11">
        <v>45229.0</v>
      </c>
      <c r="O3460" s="11">
        <v>45233.0</v>
      </c>
      <c r="P3460" s="11">
        <v>45598.0</v>
      </c>
      <c r="Q3460" s="11">
        <v>45231.0</v>
      </c>
      <c r="R3460" s="11">
        <v>45598.0</v>
      </c>
      <c r="S3460" s="12"/>
      <c r="T3460" s="8"/>
      <c r="U3460" s="8" t="s">
        <v>246</v>
      </c>
      <c r="V3460" s="13" t="s">
        <v>491</v>
      </c>
      <c r="W3460" s="13" t="s">
        <v>16205</v>
      </c>
      <c r="X3460" s="12"/>
      <c r="Y3460" s="14"/>
      <c r="Z3460" s="14"/>
    </row>
    <row r="3461">
      <c r="A3461" s="8" t="s">
        <v>16206</v>
      </c>
      <c r="B3461" s="8" t="s">
        <v>16207</v>
      </c>
      <c r="C3461" s="8" t="s">
        <v>179</v>
      </c>
      <c r="D3461" s="8" t="s">
        <v>26</v>
      </c>
      <c r="E3461" s="8" t="s">
        <v>16208</v>
      </c>
      <c r="F3461" s="8">
        <v>5.307358603E9</v>
      </c>
      <c r="G3461" s="8" t="s">
        <v>31</v>
      </c>
      <c r="H3461" s="8" t="s">
        <v>66</v>
      </c>
      <c r="I3461" s="8" t="s">
        <v>284</v>
      </c>
      <c r="J3461" s="8" t="s">
        <v>793</v>
      </c>
      <c r="K3461" s="10" t="s">
        <v>8983</v>
      </c>
      <c r="L3461" s="8" t="s">
        <v>58</v>
      </c>
      <c r="M3461" s="8" t="s">
        <v>35</v>
      </c>
      <c r="N3461" s="11">
        <v>45229.0</v>
      </c>
      <c r="O3461" s="11">
        <v>45458.0</v>
      </c>
      <c r="P3461" s="11">
        <v>45500.0</v>
      </c>
      <c r="Q3461" s="11"/>
      <c r="R3461" s="11"/>
      <c r="S3461" s="12"/>
      <c r="T3461" s="8"/>
      <c r="U3461" s="8" t="s">
        <v>1038</v>
      </c>
      <c r="V3461" s="13" t="s">
        <v>66</v>
      </c>
      <c r="W3461" s="13" t="s">
        <v>16209</v>
      </c>
      <c r="X3461" s="12"/>
      <c r="Y3461" s="14"/>
      <c r="Z3461" s="14"/>
    </row>
    <row r="3462">
      <c r="A3462" s="8" t="s">
        <v>16210</v>
      </c>
      <c r="B3462" s="8" t="s">
        <v>16211</v>
      </c>
      <c r="C3462" s="8" t="s">
        <v>179</v>
      </c>
      <c r="D3462" s="8" t="s">
        <v>26</v>
      </c>
      <c r="E3462" s="8" t="s">
        <v>16212</v>
      </c>
      <c r="F3462" s="8">
        <v>2.227324E7</v>
      </c>
      <c r="G3462" s="8" t="s">
        <v>54</v>
      </c>
      <c r="H3462" s="8" t="s">
        <v>377</v>
      </c>
      <c r="I3462" s="8" t="s">
        <v>31</v>
      </c>
      <c r="J3462" s="8" t="s">
        <v>77</v>
      </c>
      <c r="K3462" s="10" t="s">
        <v>4188</v>
      </c>
      <c r="L3462" s="8" t="s">
        <v>58</v>
      </c>
      <c r="M3462" s="8" t="s">
        <v>35</v>
      </c>
      <c r="N3462" s="11">
        <v>45229.0</v>
      </c>
      <c r="O3462" s="11">
        <v>45488.0</v>
      </c>
      <c r="P3462" s="11">
        <v>45530.0</v>
      </c>
      <c r="Q3462" s="11"/>
      <c r="R3462" s="11"/>
      <c r="S3462" s="12"/>
      <c r="T3462" s="8"/>
      <c r="U3462" s="8" t="s">
        <v>59</v>
      </c>
      <c r="V3462" s="13" t="s">
        <v>2460</v>
      </c>
      <c r="W3462" s="13" t="s">
        <v>16213</v>
      </c>
      <c r="X3462" s="12"/>
      <c r="Y3462" s="14"/>
      <c r="Z3462" s="14"/>
    </row>
    <row r="3463">
      <c r="A3463" s="8" t="s">
        <v>16214</v>
      </c>
      <c r="B3463" s="8" t="s">
        <v>14417</v>
      </c>
      <c r="C3463" s="8" t="s">
        <v>708</v>
      </c>
      <c r="D3463" s="8" t="s">
        <v>26</v>
      </c>
      <c r="E3463" s="8" t="s">
        <v>16215</v>
      </c>
      <c r="F3463" s="8">
        <v>6.97249093E8</v>
      </c>
      <c r="G3463" s="8" t="s">
        <v>254</v>
      </c>
      <c r="H3463" s="8" t="s">
        <v>3087</v>
      </c>
      <c r="I3463" s="8" t="s">
        <v>31</v>
      </c>
      <c r="J3463" s="8" t="s">
        <v>56</v>
      </c>
      <c r="K3463" s="10" t="s">
        <v>16216</v>
      </c>
      <c r="L3463" s="8" t="s">
        <v>47</v>
      </c>
      <c r="M3463" s="8" t="s">
        <v>70</v>
      </c>
      <c r="N3463" s="11">
        <v>45229.0</v>
      </c>
      <c r="O3463" s="11">
        <v>45252.0</v>
      </c>
      <c r="P3463" s="11">
        <v>45616.0</v>
      </c>
      <c r="Q3463" s="11">
        <v>45256.0</v>
      </c>
      <c r="R3463" s="11">
        <v>45620.0</v>
      </c>
      <c r="S3463" s="12"/>
      <c r="T3463" s="8"/>
      <c r="U3463" s="8" t="s">
        <v>246</v>
      </c>
      <c r="V3463" s="13" t="s">
        <v>3088</v>
      </c>
      <c r="W3463" s="13" t="s">
        <v>16217</v>
      </c>
      <c r="X3463" s="12"/>
      <c r="Y3463" s="14"/>
      <c r="Z3463" s="14"/>
    </row>
    <row r="3464">
      <c r="A3464" s="8" t="s">
        <v>16218</v>
      </c>
      <c r="B3464" s="8" t="s">
        <v>16219</v>
      </c>
      <c r="C3464" s="8" t="s">
        <v>708</v>
      </c>
      <c r="D3464" s="8" t="s">
        <v>26</v>
      </c>
      <c r="E3464" s="8" t="s">
        <v>16220</v>
      </c>
      <c r="F3464" s="8">
        <v>5.41339245E8</v>
      </c>
      <c r="G3464" s="8" t="s">
        <v>254</v>
      </c>
      <c r="H3464" s="8" t="s">
        <v>291</v>
      </c>
      <c r="I3464" s="8" t="s">
        <v>31</v>
      </c>
      <c r="J3464" s="8" t="s">
        <v>542</v>
      </c>
      <c r="K3464" s="10" t="s">
        <v>16221</v>
      </c>
      <c r="L3464" s="8" t="s">
        <v>34</v>
      </c>
      <c r="M3464" s="8" t="s">
        <v>70</v>
      </c>
      <c r="N3464" s="11">
        <v>45229.0</v>
      </c>
      <c r="O3464" s="11">
        <v>45264.0</v>
      </c>
      <c r="P3464" s="11">
        <v>45625.0</v>
      </c>
      <c r="Q3464" s="11">
        <v>45255.0</v>
      </c>
      <c r="R3464" s="11">
        <v>45625.0</v>
      </c>
      <c r="S3464" s="12"/>
      <c r="T3464" s="8" t="s">
        <v>36</v>
      </c>
      <c r="U3464" s="8" t="s">
        <v>16222</v>
      </c>
      <c r="V3464" s="13" t="s">
        <v>295</v>
      </c>
      <c r="W3464" s="13" t="s">
        <v>16223</v>
      </c>
      <c r="X3464" s="12"/>
      <c r="Y3464" s="14"/>
      <c r="Z3464" s="14"/>
    </row>
    <row r="3465">
      <c r="A3465" s="8" t="s">
        <v>16224</v>
      </c>
      <c r="B3465" s="8" t="s">
        <v>16225</v>
      </c>
      <c r="C3465" s="8" t="s">
        <v>179</v>
      </c>
      <c r="D3465" s="8" t="s">
        <v>26</v>
      </c>
      <c r="E3465" s="8" t="s">
        <v>16226</v>
      </c>
      <c r="F3465" s="8">
        <v>9.7955289E7</v>
      </c>
      <c r="G3465" s="8" t="s">
        <v>54</v>
      </c>
      <c r="H3465" s="8" t="s">
        <v>377</v>
      </c>
      <c r="I3465" s="8" t="s">
        <v>31</v>
      </c>
      <c r="J3465" s="8" t="s">
        <v>167</v>
      </c>
      <c r="K3465" s="10" t="s">
        <v>10810</v>
      </c>
      <c r="L3465" s="8" t="s">
        <v>58</v>
      </c>
      <c r="M3465" s="8" t="s">
        <v>35</v>
      </c>
      <c r="N3465" s="11">
        <v>45229.0</v>
      </c>
      <c r="O3465" s="11">
        <v>45488.0</v>
      </c>
      <c r="P3465" s="11">
        <v>45530.0</v>
      </c>
      <c r="Q3465" s="11"/>
      <c r="R3465" s="11"/>
      <c r="S3465" s="12"/>
      <c r="T3465" s="8"/>
      <c r="U3465" s="8" t="s">
        <v>59</v>
      </c>
      <c r="V3465" s="13" t="s">
        <v>2243</v>
      </c>
      <c r="W3465" s="13" t="s">
        <v>16227</v>
      </c>
      <c r="X3465" s="12"/>
      <c r="Y3465" s="14"/>
      <c r="Z3465" s="14"/>
    </row>
    <row r="3466">
      <c r="A3466" s="8" t="s">
        <v>16228</v>
      </c>
      <c r="B3466" s="8" t="s">
        <v>16229</v>
      </c>
      <c r="C3466" s="8" t="s">
        <v>179</v>
      </c>
      <c r="D3466" s="8" t="s">
        <v>26</v>
      </c>
      <c r="E3466" s="8" t="s">
        <v>16230</v>
      </c>
      <c r="F3466" s="8">
        <v>9.2656312E7</v>
      </c>
      <c r="G3466" s="8" t="s">
        <v>54</v>
      </c>
      <c r="H3466" s="8" t="s">
        <v>76</v>
      </c>
      <c r="I3466" s="8" t="s">
        <v>31</v>
      </c>
      <c r="J3466" s="8" t="s">
        <v>77</v>
      </c>
      <c r="K3466" s="10" t="s">
        <v>2537</v>
      </c>
      <c r="L3466" s="8" t="s">
        <v>58</v>
      </c>
      <c r="M3466" s="8" t="s">
        <v>35</v>
      </c>
      <c r="N3466" s="11">
        <v>45229.0</v>
      </c>
      <c r="O3466" s="11">
        <v>45509.0</v>
      </c>
      <c r="P3466" s="11">
        <v>45551.0</v>
      </c>
      <c r="Q3466" s="11"/>
      <c r="R3466" s="11"/>
      <c r="S3466" s="12"/>
      <c r="T3466" s="8"/>
      <c r="U3466" s="8" t="s">
        <v>88</v>
      </c>
      <c r="V3466" s="13" t="s">
        <v>324</v>
      </c>
      <c r="W3466" s="13" t="s">
        <v>16231</v>
      </c>
      <c r="X3466" s="12"/>
      <c r="Y3466" s="14"/>
      <c r="Z3466" s="14"/>
    </row>
    <row r="3467">
      <c r="A3467" s="8" t="s">
        <v>16232</v>
      </c>
      <c r="B3467" s="8" t="s">
        <v>16233</v>
      </c>
      <c r="C3467" s="8" t="s">
        <v>179</v>
      </c>
      <c r="D3467" s="8" t="s">
        <v>26</v>
      </c>
      <c r="E3467" s="8" t="s">
        <v>16234</v>
      </c>
      <c r="F3467" s="8">
        <v>9.9942428E7</v>
      </c>
      <c r="G3467" s="8" t="s">
        <v>54</v>
      </c>
      <c r="H3467" s="8" t="s">
        <v>76</v>
      </c>
      <c r="I3467" s="8" t="s">
        <v>31</v>
      </c>
      <c r="J3467" s="8" t="s">
        <v>77</v>
      </c>
      <c r="K3467" s="10" t="s">
        <v>2537</v>
      </c>
      <c r="L3467" s="8" t="s">
        <v>58</v>
      </c>
      <c r="M3467" s="8" t="s">
        <v>35</v>
      </c>
      <c r="N3467" s="11">
        <v>45229.0</v>
      </c>
      <c r="O3467" s="11">
        <v>45509.0</v>
      </c>
      <c r="P3467" s="11">
        <v>45551.0</v>
      </c>
      <c r="Q3467" s="11"/>
      <c r="R3467" s="11"/>
      <c r="S3467" s="12"/>
      <c r="T3467" s="8"/>
      <c r="U3467" s="8" t="s">
        <v>88</v>
      </c>
      <c r="V3467" s="13" t="s">
        <v>324</v>
      </c>
      <c r="W3467" s="13" t="s">
        <v>16235</v>
      </c>
      <c r="X3467" s="12"/>
      <c r="Y3467" s="14"/>
      <c r="Z3467" s="14"/>
    </row>
    <row r="3468">
      <c r="A3468" s="8" t="s">
        <v>16236</v>
      </c>
      <c r="B3468" s="8" t="s">
        <v>16237</v>
      </c>
      <c r="C3468" s="8" t="s">
        <v>25</v>
      </c>
      <c r="D3468" s="8" t="s">
        <v>26</v>
      </c>
      <c r="E3468" s="8" t="s">
        <v>16238</v>
      </c>
      <c r="F3468" s="8">
        <v>9.5040088E7</v>
      </c>
      <c r="G3468" s="8" t="s">
        <v>54</v>
      </c>
      <c r="H3468" s="8" t="s">
        <v>135</v>
      </c>
      <c r="I3468" s="8" t="s">
        <v>31</v>
      </c>
      <c r="J3468" s="8" t="s">
        <v>292</v>
      </c>
      <c r="K3468" s="10" t="s">
        <v>2070</v>
      </c>
      <c r="L3468" s="8" t="s">
        <v>58</v>
      </c>
      <c r="M3468" s="8" t="s">
        <v>35</v>
      </c>
      <c r="N3468" s="11">
        <v>45229.0</v>
      </c>
      <c r="O3468" s="11">
        <v>45257.0</v>
      </c>
      <c r="P3468" s="11">
        <v>45299.0</v>
      </c>
      <c r="Q3468" s="11">
        <v>45258.0</v>
      </c>
      <c r="R3468" s="11">
        <v>45299.0</v>
      </c>
      <c r="S3468" s="12"/>
      <c r="T3468" s="8"/>
      <c r="U3468" s="8" t="s">
        <v>88</v>
      </c>
      <c r="V3468" s="13" t="s">
        <v>138</v>
      </c>
      <c r="W3468" s="13" t="s">
        <v>16239</v>
      </c>
      <c r="X3468" s="12"/>
      <c r="Y3468" s="14"/>
      <c r="Z3468" s="14"/>
    </row>
    <row r="3469">
      <c r="A3469" s="8" t="s">
        <v>16240</v>
      </c>
      <c r="B3469" s="8" t="s">
        <v>16241</v>
      </c>
      <c r="C3469" s="8" t="s">
        <v>179</v>
      </c>
      <c r="D3469" s="8" t="s">
        <v>26</v>
      </c>
      <c r="E3469" s="8" t="s">
        <v>16242</v>
      </c>
      <c r="F3469" s="8">
        <v>5.350771331E9</v>
      </c>
      <c r="G3469" s="8" t="s">
        <v>31</v>
      </c>
      <c r="H3469" s="8" t="s">
        <v>86</v>
      </c>
      <c r="I3469" s="8" t="s">
        <v>127</v>
      </c>
      <c r="J3469" s="8" t="s">
        <v>2182</v>
      </c>
      <c r="K3469" s="10" t="s">
        <v>16200</v>
      </c>
      <c r="L3469" s="8" t="s">
        <v>58</v>
      </c>
      <c r="M3469" s="8" t="s">
        <v>35</v>
      </c>
      <c r="N3469" s="11">
        <v>45230.0</v>
      </c>
      <c r="O3469" s="11">
        <v>45318.0</v>
      </c>
      <c r="P3469" s="11">
        <v>45360.0</v>
      </c>
      <c r="Q3469" s="11"/>
      <c r="R3469" s="11"/>
      <c r="S3469" s="12"/>
      <c r="T3469" s="8"/>
      <c r="U3469" s="8" t="s">
        <v>1956</v>
      </c>
      <c r="V3469" s="13" t="s">
        <v>4798</v>
      </c>
      <c r="W3469" s="13" t="s">
        <v>16243</v>
      </c>
      <c r="X3469" s="12"/>
      <c r="Y3469" s="14"/>
      <c r="Z3469" s="14"/>
    </row>
    <row r="3470">
      <c r="A3470" s="8" t="s">
        <v>16244</v>
      </c>
      <c r="B3470" s="8" t="s">
        <v>16245</v>
      </c>
      <c r="C3470" s="8" t="s">
        <v>179</v>
      </c>
      <c r="D3470" s="8" t="s">
        <v>26</v>
      </c>
      <c r="E3470" s="8" t="s">
        <v>16246</v>
      </c>
      <c r="F3470" s="8"/>
      <c r="G3470" s="8" t="s">
        <v>84</v>
      </c>
      <c r="H3470" s="8" t="s">
        <v>1234</v>
      </c>
      <c r="I3470" s="8" t="s">
        <v>31</v>
      </c>
      <c r="J3470" s="8" t="s">
        <v>86</v>
      </c>
      <c r="K3470" s="10" t="s">
        <v>2404</v>
      </c>
      <c r="L3470" s="8" t="s">
        <v>34</v>
      </c>
      <c r="M3470" s="8" t="s">
        <v>70</v>
      </c>
      <c r="N3470" s="11">
        <v>45230.0</v>
      </c>
      <c r="O3470" s="11">
        <v>45271.0</v>
      </c>
      <c r="P3470" s="11">
        <v>45639.0</v>
      </c>
      <c r="Q3470" s="11"/>
      <c r="R3470" s="11"/>
      <c r="S3470" s="12"/>
      <c r="T3470" s="8" t="s">
        <v>36</v>
      </c>
      <c r="U3470" s="8" t="s">
        <v>2405</v>
      </c>
      <c r="V3470" s="13" t="s">
        <v>38</v>
      </c>
      <c r="W3470" s="13" t="s">
        <v>16247</v>
      </c>
      <c r="X3470" s="12"/>
      <c r="Y3470" s="14"/>
      <c r="Z3470" s="14"/>
    </row>
    <row r="3471">
      <c r="A3471" s="8" t="s">
        <v>16248</v>
      </c>
      <c r="B3471" s="8" t="s">
        <v>6005</v>
      </c>
      <c r="C3471" s="8" t="s">
        <v>64</v>
      </c>
      <c r="D3471" s="8" t="s">
        <v>26</v>
      </c>
      <c r="E3471" s="8" t="s">
        <v>16249</v>
      </c>
      <c r="F3471" s="8">
        <v>5.459025174E9</v>
      </c>
      <c r="G3471" s="8" t="s">
        <v>31</v>
      </c>
      <c r="H3471" s="8" t="s">
        <v>32</v>
      </c>
      <c r="I3471" s="8" t="s">
        <v>399</v>
      </c>
      <c r="J3471" s="8" t="s">
        <v>3797</v>
      </c>
      <c r="K3471" s="10" t="s">
        <v>16250</v>
      </c>
      <c r="L3471" s="8" t="s">
        <v>58</v>
      </c>
      <c r="M3471" s="8" t="s">
        <v>35</v>
      </c>
      <c r="N3471" s="11">
        <v>45230.0</v>
      </c>
      <c r="O3471" s="11">
        <v>45250.0</v>
      </c>
      <c r="P3471" s="11">
        <v>45292.0</v>
      </c>
      <c r="Q3471" s="11">
        <v>45252.0</v>
      </c>
      <c r="R3471" s="11">
        <v>45292.0</v>
      </c>
      <c r="S3471" s="12"/>
      <c r="T3471" s="8"/>
      <c r="U3471" s="8" t="s">
        <v>3111</v>
      </c>
      <c r="V3471" s="13" t="s">
        <v>2491</v>
      </c>
      <c r="W3471" s="13" t="s">
        <v>16251</v>
      </c>
      <c r="X3471" s="12"/>
      <c r="Y3471" s="14"/>
      <c r="Z3471" s="14"/>
    </row>
    <row r="3472">
      <c r="A3472" s="8" t="s">
        <v>16252</v>
      </c>
      <c r="B3472" s="8" t="s">
        <v>16253</v>
      </c>
      <c r="C3472" s="8" t="s">
        <v>179</v>
      </c>
      <c r="D3472" s="8" t="s">
        <v>26</v>
      </c>
      <c r="E3472" s="8" t="s">
        <v>16254</v>
      </c>
      <c r="F3472" s="8">
        <v>1.098776462E9</v>
      </c>
      <c r="G3472" s="8" t="s">
        <v>284</v>
      </c>
      <c r="H3472" s="8" t="s">
        <v>1777</v>
      </c>
      <c r="I3472" s="8" t="s">
        <v>31</v>
      </c>
      <c r="J3472" s="8" t="s">
        <v>111</v>
      </c>
      <c r="K3472" s="10" t="s">
        <v>16255</v>
      </c>
      <c r="L3472" s="8" t="s">
        <v>58</v>
      </c>
      <c r="M3472" s="8" t="s">
        <v>35</v>
      </c>
      <c r="N3472" s="11">
        <v>45230.0</v>
      </c>
      <c r="O3472" s="11">
        <v>45257.0</v>
      </c>
      <c r="P3472" s="11">
        <v>45299.0</v>
      </c>
      <c r="Q3472" s="11"/>
      <c r="R3472" s="11"/>
      <c r="S3472" s="12"/>
      <c r="T3472" s="8"/>
      <c r="U3472" s="8" t="s">
        <v>59</v>
      </c>
      <c r="V3472" s="13" t="s">
        <v>2168</v>
      </c>
      <c r="W3472" s="13" t="s">
        <v>16256</v>
      </c>
      <c r="X3472" s="12"/>
      <c r="Y3472" s="14"/>
      <c r="Z3472" s="14"/>
    </row>
    <row r="3473">
      <c r="A3473" s="8" t="s">
        <v>16257</v>
      </c>
      <c r="B3473" s="8" t="s">
        <v>16258</v>
      </c>
      <c r="C3473" s="8" t="s">
        <v>179</v>
      </c>
      <c r="D3473" s="8" t="s">
        <v>26</v>
      </c>
      <c r="E3473" s="8" t="s">
        <v>16259</v>
      </c>
      <c r="F3473" s="8">
        <v>1.287513012E9</v>
      </c>
      <c r="G3473" s="8" t="s">
        <v>284</v>
      </c>
      <c r="H3473" s="8" t="s">
        <v>1287</v>
      </c>
      <c r="I3473" s="8" t="s">
        <v>31</v>
      </c>
      <c r="J3473" s="8" t="s">
        <v>256</v>
      </c>
      <c r="K3473" s="10" t="s">
        <v>10689</v>
      </c>
      <c r="L3473" s="8" t="s">
        <v>58</v>
      </c>
      <c r="M3473" s="8" t="s">
        <v>35</v>
      </c>
      <c r="N3473" s="11">
        <v>45230.0</v>
      </c>
      <c r="O3473" s="11">
        <v>45483.0</v>
      </c>
      <c r="P3473" s="11">
        <v>45525.0</v>
      </c>
      <c r="Q3473" s="11"/>
      <c r="R3473" s="11"/>
      <c r="S3473" s="12"/>
      <c r="T3473" s="8"/>
      <c r="U3473" s="8" t="s">
        <v>59</v>
      </c>
      <c r="V3473" s="13" t="s">
        <v>1289</v>
      </c>
      <c r="W3473" s="13" t="s">
        <v>16260</v>
      </c>
      <c r="X3473" s="12"/>
      <c r="Y3473" s="14"/>
      <c r="Z3473" s="14"/>
    </row>
    <row r="3474">
      <c r="A3474" s="8" t="s">
        <v>16261</v>
      </c>
      <c r="B3474" s="8" t="s">
        <v>16262</v>
      </c>
      <c r="C3474" s="8" t="s">
        <v>179</v>
      </c>
      <c r="D3474" s="8" t="s">
        <v>26</v>
      </c>
      <c r="E3474" s="8" t="s">
        <v>16263</v>
      </c>
      <c r="F3474" s="8"/>
      <c r="G3474" s="8" t="s">
        <v>31</v>
      </c>
      <c r="H3474" s="8" t="s">
        <v>86</v>
      </c>
      <c r="I3474" s="8" t="s">
        <v>284</v>
      </c>
      <c r="J3474" s="8" t="s">
        <v>3188</v>
      </c>
      <c r="K3474" s="10" t="s">
        <v>16264</v>
      </c>
      <c r="L3474" s="8" t="s">
        <v>34</v>
      </c>
      <c r="M3474" s="8" t="s">
        <v>35</v>
      </c>
      <c r="N3474" s="11">
        <v>45230.0</v>
      </c>
      <c r="O3474" s="11">
        <v>45306.0</v>
      </c>
      <c r="P3474" s="11">
        <v>45351.0</v>
      </c>
      <c r="Q3474" s="11"/>
      <c r="R3474" s="11"/>
      <c r="S3474" s="12"/>
      <c r="T3474" s="8" t="s">
        <v>205</v>
      </c>
      <c r="U3474" s="8" t="s">
        <v>16265</v>
      </c>
      <c r="V3474" s="13" t="s">
        <v>38</v>
      </c>
      <c r="W3474" s="13" t="s">
        <v>16266</v>
      </c>
      <c r="X3474" s="12"/>
      <c r="Y3474" s="14"/>
      <c r="Z3474" s="14"/>
    </row>
    <row r="3475">
      <c r="A3475" s="8" t="s">
        <v>16267</v>
      </c>
      <c r="B3475" s="8" t="s">
        <v>16268</v>
      </c>
      <c r="C3475" s="8" t="s">
        <v>179</v>
      </c>
      <c r="D3475" s="8" t="s">
        <v>26</v>
      </c>
      <c r="E3475" s="8" t="s">
        <v>16269</v>
      </c>
      <c r="F3475" s="8">
        <v>5.369199719E9</v>
      </c>
      <c r="G3475" s="8" t="s">
        <v>31</v>
      </c>
      <c r="H3475" s="8" t="s">
        <v>86</v>
      </c>
      <c r="I3475" s="8" t="s">
        <v>54</v>
      </c>
      <c r="J3475" s="8" t="s">
        <v>430</v>
      </c>
      <c r="K3475" s="10" t="s">
        <v>16270</v>
      </c>
      <c r="L3475" s="8" t="s">
        <v>58</v>
      </c>
      <c r="M3475" s="8" t="s">
        <v>35</v>
      </c>
      <c r="N3475" s="11">
        <v>45230.0</v>
      </c>
      <c r="O3475" s="11">
        <v>45463.0</v>
      </c>
      <c r="P3475" s="11">
        <v>45505.0</v>
      </c>
      <c r="Q3475" s="11"/>
      <c r="R3475" s="11"/>
      <c r="S3475" s="12"/>
      <c r="T3475" s="8"/>
      <c r="U3475" s="8" t="s">
        <v>59</v>
      </c>
      <c r="V3475" s="13" t="s">
        <v>175</v>
      </c>
      <c r="W3475" s="13" t="s">
        <v>16271</v>
      </c>
      <c r="X3475" s="12"/>
      <c r="Y3475" s="14"/>
      <c r="Z3475" s="14"/>
    </row>
    <row r="3476">
      <c r="A3476" s="8" t="s">
        <v>16272</v>
      </c>
      <c r="B3476" s="8" t="s">
        <v>16273</v>
      </c>
      <c r="C3476" s="8" t="s">
        <v>708</v>
      </c>
      <c r="D3476" s="8" t="s">
        <v>26</v>
      </c>
      <c r="E3476" s="8" t="s">
        <v>16274</v>
      </c>
      <c r="F3476" s="8">
        <v>5.41270064E8</v>
      </c>
      <c r="G3476" s="8" t="s">
        <v>254</v>
      </c>
      <c r="H3476" s="8" t="s">
        <v>291</v>
      </c>
      <c r="I3476" s="8" t="s">
        <v>31</v>
      </c>
      <c r="J3476" s="8" t="s">
        <v>542</v>
      </c>
      <c r="K3476" s="10" t="s">
        <v>3684</v>
      </c>
      <c r="L3476" s="8" t="s">
        <v>34</v>
      </c>
      <c r="M3476" s="8" t="s">
        <v>70</v>
      </c>
      <c r="N3476" s="11">
        <v>45230.0</v>
      </c>
      <c r="O3476" s="11">
        <v>45208.0</v>
      </c>
      <c r="P3476" s="11">
        <v>45573.0</v>
      </c>
      <c r="Q3476" s="11">
        <v>45237.0</v>
      </c>
      <c r="R3476" s="11">
        <v>45602.0</v>
      </c>
      <c r="S3476" s="12"/>
      <c r="T3476" s="8" t="s">
        <v>205</v>
      </c>
      <c r="U3476" s="8" t="s">
        <v>3685</v>
      </c>
      <c r="V3476" s="13" t="s">
        <v>295</v>
      </c>
      <c r="W3476" s="13" t="s">
        <v>16275</v>
      </c>
      <c r="X3476" s="12"/>
      <c r="Y3476" s="14"/>
      <c r="Z3476" s="14"/>
    </row>
    <row r="3477">
      <c r="A3477" s="8" t="s">
        <v>16276</v>
      </c>
      <c r="B3477" s="8" t="s">
        <v>16277</v>
      </c>
      <c r="C3477" s="8" t="s">
        <v>179</v>
      </c>
      <c r="D3477" s="8" t="s">
        <v>26</v>
      </c>
      <c r="E3477" s="8" t="s">
        <v>16278</v>
      </c>
      <c r="F3477" s="8">
        <v>2.9404821E7</v>
      </c>
      <c r="G3477" s="8" t="s">
        <v>54</v>
      </c>
      <c r="H3477" s="8" t="s">
        <v>377</v>
      </c>
      <c r="I3477" s="8" t="s">
        <v>31</v>
      </c>
      <c r="J3477" s="8" t="s">
        <v>77</v>
      </c>
      <c r="K3477" s="10" t="s">
        <v>2537</v>
      </c>
      <c r="L3477" s="8" t="s">
        <v>58</v>
      </c>
      <c r="M3477" s="8" t="s">
        <v>35</v>
      </c>
      <c r="N3477" s="11">
        <v>45230.0</v>
      </c>
      <c r="O3477" s="11">
        <v>45491.0</v>
      </c>
      <c r="P3477" s="11">
        <v>45533.0</v>
      </c>
      <c r="Q3477" s="11"/>
      <c r="R3477" s="11"/>
      <c r="S3477" s="12"/>
      <c r="T3477" s="8"/>
      <c r="U3477" s="8" t="s">
        <v>88</v>
      </c>
      <c r="V3477" s="13" t="s">
        <v>6222</v>
      </c>
      <c r="W3477" s="13" t="s">
        <v>16279</v>
      </c>
      <c r="X3477" s="12"/>
      <c r="Y3477" s="14"/>
      <c r="Z3477" s="14"/>
    </row>
    <row r="3478">
      <c r="A3478" s="8" t="s">
        <v>16280</v>
      </c>
      <c r="B3478" s="8" t="s">
        <v>16281</v>
      </c>
      <c r="C3478" s="8" t="s">
        <v>179</v>
      </c>
      <c r="D3478" s="8" t="s">
        <v>26</v>
      </c>
      <c r="E3478" s="8" t="s">
        <v>16282</v>
      </c>
      <c r="F3478" s="8"/>
      <c r="G3478" s="8" t="s">
        <v>1620</v>
      </c>
      <c r="H3478" s="8" t="s">
        <v>4288</v>
      </c>
      <c r="I3478" s="8" t="s">
        <v>31</v>
      </c>
      <c r="J3478" s="8" t="s">
        <v>43</v>
      </c>
      <c r="K3478" s="10" t="s">
        <v>10002</v>
      </c>
      <c r="L3478" s="8" t="s">
        <v>58</v>
      </c>
      <c r="M3478" s="8" t="s">
        <v>35</v>
      </c>
      <c r="N3478" s="11">
        <v>45230.0</v>
      </c>
      <c r="O3478" s="11">
        <v>45327.0</v>
      </c>
      <c r="P3478" s="11">
        <v>45369.0</v>
      </c>
      <c r="Q3478" s="11"/>
      <c r="R3478" s="11"/>
      <c r="S3478" s="12"/>
      <c r="T3478" s="8"/>
      <c r="U3478" s="8" t="s">
        <v>59</v>
      </c>
      <c r="V3478" s="13" t="s">
        <v>38</v>
      </c>
      <c r="W3478" s="13" t="s">
        <v>16283</v>
      </c>
      <c r="X3478" s="12"/>
      <c r="Y3478" s="14"/>
      <c r="Z3478" s="14"/>
    </row>
    <row r="3479">
      <c r="A3479" s="8" t="s">
        <v>16284</v>
      </c>
      <c r="B3479" s="8" t="s">
        <v>16285</v>
      </c>
      <c r="C3479" s="8" t="s">
        <v>179</v>
      </c>
      <c r="D3479" s="8" t="s">
        <v>26</v>
      </c>
      <c r="E3479" s="8" t="s">
        <v>16286</v>
      </c>
      <c r="F3479" s="8">
        <v>1.033988827E9</v>
      </c>
      <c r="G3479" s="8" t="s">
        <v>284</v>
      </c>
      <c r="H3479" s="8" t="s">
        <v>673</v>
      </c>
      <c r="I3479" s="8" t="s">
        <v>31</v>
      </c>
      <c r="J3479" s="8" t="s">
        <v>77</v>
      </c>
      <c r="K3479" s="10" t="s">
        <v>4188</v>
      </c>
      <c r="L3479" s="8" t="s">
        <v>58</v>
      </c>
      <c r="M3479" s="8" t="s">
        <v>35</v>
      </c>
      <c r="N3479" s="11">
        <v>45230.0</v>
      </c>
      <c r="O3479" s="11">
        <v>45285.0</v>
      </c>
      <c r="P3479" s="11">
        <v>45327.0</v>
      </c>
      <c r="Q3479" s="11"/>
      <c r="R3479" s="11"/>
      <c r="S3479" s="12"/>
      <c r="T3479" s="8"/>
      <c r="U3479" s="8" t="s">
        <v>59</v>
      </c>
      <c r="V3479" s="13" t="s">
        <v>589</v>
      </c>
      <c r="W3479" s="13" t="s">
        <v>16287</v>
      </c>
      <c r="X3479" s="12"/>
      <c r="Y3479" s="14"/>
      <c r="Z3479" s="14"/>
    </row>
    <row r="3480">
      <c r="A3480" s="8" t="s">
        <v>16288</v>
      </c>
      <c r="B3480" s="8" t="s">
        <v>16289</v>
      </c>
      <c r="C3480" s="8" t="s">
        <v>179</v>
      </c>
      <c r="D3480" s="8" t="s">
        <v>26</v>
      </c>
      <c r="E3480" s="8" t="s">
        <v>16290</v>
      </c>
      <c r="F3480" s="8"/>
      <c r="G3480" s="8" t="s">
        <v>31</v>
      </c>
      <c r="H3480" s="8" t="s">
        <v>86</v>
      </c>
      <c r="I3480" s="8" t="s">
        <v>54</v>
      </c>
      <c r="J3480" s="8" t="s">
        <v>430</v>
      </c>
      <c r="K3480" s="10" t="s">
        <v>16270</v>
      </c>
      <c r="L3480" s="8" t="s">
        <v>58</v>
      </c>
      <c r="M3480" s="8" t="s">
        <v>35</v>
      </c>
      <c r="N3480" s="11">
        <v>45230.0</v>
      </c>
      <c r="O3480" s="11">
        <v>45463.0</v>
      </c>
      <c r="P3480" s="11">
        <v>45505.0</v>
      </c>
      <c r="Q3480" s="11"/>
      <c r="R3480" s="11"/>
      <c r="S3480" s="12"/>
      <c r="T3480" s="8"/>
      <c r="U3480" s="8" t="s">
        <v>59</v>
      </c>
      <c r="V3480" s="13" t="s">
        <v>38</v>
      </c>
      <c r="W3480" s="13" t="s">
        <v>16291</v>
      </c>
      <c r="X3480" s="12"/>
      <c r="Y3480" s="14"/>
      <c r="Z3480" s="14"/>
    </row>
    <row r="3481">
      <c r="A3481" s="8" t="s">
        <v>16292</v>
      </c>
      <c r="B3481" s="8" t="s">
        <v>16293</v>
      </c>
      <c r="C3481" s="8" t="s">
        <v>179</v>
      </c>
      <c r="D3481" s="8" t="s">
        <v>26</v>
      </c>
      <c r="E3481" s="8" t="s">
        <v>16294</v>
      </c>
      <c r="F3481" s="8">
        <v>1.211828542E9</v>
      </c>
      <c r="G3481" s="8" t="s">
        <v>284</v>
      </c>
      <c r="H3481" s="8" t="s">
        <v>673</v>
      </c>
      <c r="I3481" s="8" t="s">
        <v>31</v>
      </c>
      <c r="J3481" s="8" t="s">
        <v>111</v>
      </c>
      <c r="K3481" s="10" t="s">
        <v>15728</v>
      </c>
      <c r="L3481" s="8" t="s">
        <v>58</v>
      </c>
      <c r="M3481" s="8" t="s">
        <v>35</v>
      </c>
      <c r="N3481" s="11">
        <v>45230.0</v>
      </c>
      <c r="O3481" s="11">
        <v>45250.0</v>
      </c>
      <c r="P3481" s="11">
        <v>45292.0</v>
      </c>
      <c r="Q3481" s="11"/>
      <c r="R3481" s="11"/>
      <c r="S3481" s="12"/>
      <c r="T3481" s="8"/>
      <c r="U3481" s="8" t="s">
        <v>59</v>
      </c>
      <c r="V3481" s="13" t="s">
        <v>674</v>
      </c>
      <c r="W3481" s="13" t="s">
        <v>16295</v>
      </c>
      <c r="X3481" s="12"/>
      <c r="Y3481" s="14"/>
      <c r="Z3481" s="14"/>
    </row>
    <row r="3482">
      <c r="A3482" s="8" t="s">
        <v>16296</v>
      </c>
      <c r="B3482" s="8" t="s">
        <v>16297</v>
      </c>
      <c r="C3482" s="8" t="s">
        <v>179</v>
      </c>
      <c r="D3482" s="8" t="s">
        <v>26</v>
      </c>
      <c r="E3482" s="8" t="s">
        <v>16298</v>
      </c>
      <c r="F3482" s="8">
        <v>5.307358603E9</v>
      </c>
      <c r="G3482" s="8" t="s">
        <v>31</v>
      </c>
      <c r="H3482" s="8" t="s">
        <v>66</v>
      </c>
      <c r="I3482" s="8" t="s">
        <v>54</v>
      </c>
      <c r="J3482" s="8" t="s">
        <v>430</v>
      </c>
      <c r="K3482" s="10" t="s">
        <v>16299</v>
      </c>
      <c r="L3482" s="8" t="s">
        <v>58</v>
      </c>
      <c r="M3482" s="8" t="s">
        <v>35</v>
      </c>
      <c r="N3482" s="11">
        <v>45230.0</v>
      </c>
      <c r="O3482" s="11">
        <v>45486.0</v>
      </c>
      <c r="P3482" s="11">
        <v>45528.0</v>
      </c>
      <c r="Q3482" s="11"/>
      <c r="R3482" s="11"/>
      <c r="S3482" s="12"/>
      <c r="T3482" s="8"/>
      <c r="U3482" s="8" t="s">
        <v>1038</v>
      </c>
      <c r="V3482" s="13" t="s">
        <v>66</v>
      </c>
      <c r="W3482" s="13" t="s">
        <v>16300</v>
      </c>
      <c r="X3482" s="12"/>
      <c r="Y3482" s="14"/>
      <c r="Z3482" s="14"/>
    </row>
    <row r="3483">
      <c r="A3483" s="8" t="s">
        <v>16301</v>
      </c>
      <c r="B3483" s="8" t="s">
        <v>16302</v>
      </c>
      <c r="C3483" s="8" t="s">
        <v>179</v>
      </c>
      <c r="D3483" s="8" t="s">
        <v>26</v>
      </c>
      <c r="E3483" s="8" t="s">
        <v>16303</v>
      </c>
      <c r="F3483" s="8"/>
      <c r="G3483" s="8" t="s">
        <v>31</v>
      </c>
      <c r="H3483" s="8" t="s">
        <v>86</v>
      </c>
      <c r="I3483" s="8" t="s">
        <v>127</v>
      </c>
      <c r="J3483" s="8" t="s">
        <v>2182</v>
      </c>
      <c r="K3483" s="10" t="s">
        <v>16200</v>
      </c>
      <c r="L3483" s="8" t="s">
        <v>58</v>
      </c>
      <c r="M3483" s="8" t="s">
        <v>35</v>
      </c>
      <c r="N3483" s="11">
        <v>45230.0</v>
      </c>
      <c r="O3483" s="11">
        <v>45318.0</v>
      </c>
      <c r="P3483" s="11">
        <v>45360.0</v>
      </c>
      <c r="Q3483" s="11"/>
      <c r="R3483" s="11"/>
      <c r="S3483" s="12"/>
      <c r="T3483" s="8"/>
      <c r="U3483" s="8" t="s">
        <v>1956</v>
      </c>
      <c r="V3483" s="13" t="s">
        <v>38</v>
      </c>
      <c r="W3483" s="13" t="s">
        <v>16304</v>
      </c>
      <c r="X3483" s="12"/>
      <c r="Y3483" s="14"/>
      <c r="Z3483" s="14"/>
    </row>
    <row r="3484">
      <c r="A3484" s="8" t="s">
        <v>16305</v>
      </c>
      <c r="B3484" s="8" t="s">
        <v>16306</v>
      </c>
      <c r="C3484" s="8" t="s">
        <v>179</v>
      </c>
      <c r="D3484" s="8" t="s">
        <v>26</v>
      </c>
      <c r="E3484" s="8" t="s">
        <v>16307</v>
      </c>
      <c r="F3484" s="8">
        <v>2.7667942E7</v>
      </c>
      <c r="G3484" s="8" t="s">
        <v>54</v>
      </c>
      <c r="H3484" s="8" t="s">
        <v>76</v>
      </c>
      <c r="I3484" s="8" t="s">
        <v>31</v>
      </c>
      <c r="J3484" s="8" t="s">
        <v>86</v>
      </c>
      <c r="K3484" s="10" t="s">
        <v>2453</v>
      </c>
      <c r="L3484" s="8" t="s">
        <v>58</v>
      </c>
      <c r="M3484" s="8" t="s">
        <v>35</v>
      </c>
      <c r="N3484" s="11">
        <v>45230.0</v>
      </c>
      <c r="O3484" s="11">
        <v>45474.0</v>
      </c>
      <c r="P3484" s="11">
        <v>45516.0</v>
      </c>
      <c r="Q3484" s="11"/>
      <c r="R3484" s="11"/>
      <c r="S3484" s="12"/>
      <c r="T3484" s="8"/>
      <c r="U3484" s="8" t="s">
        <v>59</v>
      </c>
      <c r="V3484" s="13" t="s">
        <v>324</v>
      </c>
      <c r="W3484" s="13" t="s">
        <v>16308</v>
      </c>
      <c r="X3484" s="12"/>
      <c r="Y3484" s="14"/>
      <c r="Z3484" s="14"/>
    </row>
    <row r="3485">
      <c r="A3485" s="8" t="s">
        <v>16309</v>
      </c>
      <c r="B3485" s="8" t="s">
        <v>6713</v>
      </c>
      <c r="C3485" s="8" t="s">
        <v>179</v>
      </c>
      <c r="D3485" s="8" t="s">
        <v>26</v>
      </c>
      <c r="E3485" s="8" t="s">
        <v>16310</v>
      </c>
      <c r="F3485" s="8">
        <v>5.542664573E9</v>
      </c>
      <c r="G3485" s="8" t="s">
        <v>31</v>
      </c>
      <c r="H3485" s="8" t="s">
        <v>66</v>
      </c>
      <c r="I3485" s="8" t="s">
        <v>127</v>
      </c>
      <c r="J3485" s="8" t="s">
        <v>2182</v>
      </c>
      <c r="K3485" s="10" t="s">
        <v>16200</v>
      </c>
      <c r="L3485" s="8" t="s">
        <v>58</v>
      </c>
      <c r="M3485" s="8" t="s">
        <v>35</v>
      </c>
      <c r="N3485" s="11">
        <v>45230.0</v>
      </c>
      <c r="O3485" s="11">
        <v>45318.0</v>
      </c>
      <c r="P3485" s="11">
        <v>45360.0</v>
      </c>
      <c r="Q3485" s="11"/>
      <c r="R3485" s="11"/>
      <c r="S3485" s="12"/>
      <c r="T3485" s="8"/>
      <c r="U3485" s="8" t="s">
        <v>1956</v>
      </c>
      <c r="V3485" s="13" t="s">
        <v>38</v>
      </c>
      <c r="W3485" s="13" t="s">
        <v>16311</v>
      </c>
      <c r="X3485" s="12"/>
      <c r="Y3485" s="14"/>
      <c r="Z3485" s="14"/>
    </row>
    <row r="3486">
      <c r="A3486" s="8" t="s">
        <v>16312</v>
      </c>
      <c r="B3486" s="8" t="s">
        <v>16313</v>
      </c>
      <c r="C3486" s="8" t="s">
        <v>179</v>
      </c>
      <c r="D3486" s="8" t="s">
        <v>26</v>
      </c>
      <c r="E3486" s="8" t="s">
        <v>16314</v>
      </c>
      <c r="F3486" s="8"/>
      <c r="G3486" s="8" t="s">
        <v>31</v>
      </c>
      <c r="H3486" s="8" t="s">
        <v>102</v>
      </c>
      <c r="I3486" s="8" t="s">
        <v>44</v>
      </c>
      <c r="J3486" s="8" t="s">
        <v>3093</v>
      </c>
      <c r="K3486" s="10" t="s">
        <v>14679</v>
      </c>
      <c r="L3486" s="8" t="s">
        <v>58</v>
      </c>
      <c r="M3486" s="8" t="s">
        <v>35</v>
      </c>
      <c r="N3486" s="11">
        <v>45231.0</v>
      </c>
      <c r="O3486" s="11">
        <v>45480.0</v>
      </c>
      <c r="P3486" s="11">
        <v>45522.0</v>
      </c>
      <c r="Q3486" s="11"/>
      <c r="R3486" s="11"/>
      <c r="S3486" s="12"/>
      <c r="T3486" s="8"/>
      <c r="U3486" s="8" t="s">
        <v>1038</v>
      </c>
      <c r="V3486" s="13" t="s">
        <v>38</v>
      </c>
      <c r="W3486" s="13" t="s">
        <v>16315</v>
      </c>
      <c r="X3486" s="12"/>
      <c r="Y3486" s="14"/>
      <c r="Z3486" s="14"/>
    </row>
    <row r="3487">
      <c r="A3487" s="8" t="s">
        <v>16316</v>
      </c>
      <c r="B3487" s="8" t="s">
        <v>16317</v>
      </c>
      <c r="C3487" s="8" t="s">
        <v>179</v>
      </c>
      <c r="D3487" s="8" t="s">
        <v>26</v>
      </c>
      <c r="E3487" s="8" t="s">
        <v>16318</v>
      </c>
      <c r="F3487" s="8">
        <v>5.397754845E9</v>
      </c>
      <c r="G3487" s="8" t="s">
        <v>31</v>
      </c>
      <c r="H3487" s="8" t="s">
        <v>43</v>
      </c>
      <c r="I3487" s="8" t="s">
        <v>284</v>
      </c>
      <c r="J3487" s="8" t="s">
        <v>285</v>
      </c>
      <c r="K3487" s="10" t="s">
        <v>9087</v>
      </c>
      <c r="L3487" s="8" t="s">
        <v>58</v>
      </c>
      <c r="M3487" s="8" t="s">
        <v>35</v>
      </c>
      <c r="N3487" s="11">
        <v>45231.0</v>
      </c>
      <c r="O3487" s="11">
        <v>45310.0</v>
      </c>
      <c r="P3487" s="11">
        <v>45352.0</v>
      </c>
      <c r="Q3487" s="11"/>
      <c r="R3487" s="11"/>
      <c r="S3487" s="12"/>
      <c r="T3487" s="8"/>
      <c r="U3487" s="8" t="s">
        <v>59</v>
      </c>
      <c r="V3487" s="13" t="s">
        <v>43</v>
      </c>
      <c r="W3487" s="13" t="s">
        <v>16319</v>
      </c>
      <c r="X3487" s="12"/>
      <c r="Y3487" s="14"/>
      <c r="Z3487" s="14"/>
    </row>
    <row r="3488">
      <c r="A3488" s="8" t="s">
        <v>16320</v>
      </c>
      <c r="B3488" s="8" t="s">
        <v>16321</v>
      </c>
      <c r="C3488" s="8" t="s">
        <v>179</v>
      </c>
      <c r="D3488" s="8" t="s">
        <v>26</v>
      </c>
      <c r="E3488" s="8" t="s">
        <v>16322</v>
      </c>
      <c r="F3488" s="8">
        <v>9.9955111E7</v>
      </c>
      <c r="G3488" s="8" t="s">
        <v>54</v>
      </c>
      <c r="H3488" s="8" t="s">
        <v>377</v>
      </c>
      <c r="I3488" s="8" t="s">
        <v>31</v>
      </c>
      <c r="J3488" s="8" t="s">
        <v>86</v>
      </c>
      <c r="K3488" s="10" t="s">
        <v>389</v>
      </c>
      <c r="L3488" s="8" t="s">
        <v>58</v>
      </c>
      <c r="M3488" s="8" t="s">
        <v>35</v>
      </c>
      <c r="N3488" s="11">
        <v>45231.0</v>
      </c>
      <c r="O3488" s="11">
        <v>45566.0</v>
      </c>
      <c r="P3488" s="11">
        <v>45608.0</v>
      </c>
      <c r="Q3488" s="11"/>
      <c r="R3488" s="11"/>
      <c r="S3488" s="12"/>
      <c r="T3488" s="8"/>
      <c r="U3488" s="8" t="s">
        <v>153</v>
      </c>
      <c r="V3488" s="13" t="s">
        <v>2243</v>
      </c>
      <c r="W3488" s="13" t="s">
        <v>16323</v>
      </c>
      <c r="X3488" s="12"/>
      <c r="Y3488" s="14"/>
      <c r="Z3488" s="14"/>
    </row>
    <row r="3489">
      <c r="A3489" s="8" t="s">
        <v>16324</v>
      </c>
      <c r="B3489" s="8" t="s">
        <v>11233</v>
      </c>
      <c r="C3489" s="8" t="s">
        <v>179</v>
      </c>
      <c r="D3489" s="8" t="s">
        <v>26</v>
      </c>
      <c r="E3489" s="8" t="s">
        <v>11234</v>
      </c>
      <c r="F3489" s="8"/>
      <c r="G3489" s="8" t="s">
        <v>54</v>
      </c>
      <c r="H3489" s="8" t="s">
        <v>1911</v>
      </c>
      <c r="I3489" s="8" t="s">
        <v>31</v>
      </c>
      <c r="J3489" s="8" t="s">
        <v>77</v>
      </c>
      <c r="K3489" s="10" t="s">
        <v>16325</v>
      </c>
      <c r="L3489" s="8" t="s">
        <v>34</v>
      </c>
      <c r="M3489" s="8" t="s">
        <v>70</v>
      </c>
      <c r="N3489" s="11">
        <v>45231.0</v>
      </c>
      <c r="O3489" s="11">
        <v>45278.0</v>
      </c>
      <c r="P3489" s="11">
        <v>45646.0</v>
      </c>
      <c r="Q3489" s="11"/>
      <c r="R3489" s="11"/>
      <c r="S3489" s="12"/>
      <c r="T3489" s="8" t="s">
        <v>446</v>
      </c>
      <c r="U3489" s="8" t="s">
        <v>16326</v>
      </c>
      <c r="V3489" s="13" t="s">
        <v>38</v>
      </c>
      <c r="W3489" s="13" t="s">
        <v>11237</v>
      </c>
      <c r="X3489" s="12"/>
      <c r="Y3489" s="14"/>
      <c r="Z3489" s="14"/>
    </row>
    <row r="3490">
      <c r="A3490" s="8" t="s">
        <v>16327</v>
      </c>
      <c r="B3490" s="8" t="s">
        <v>16328</v>
      </c>
      <c r="C3490" s="8" t="s">
        <v>708</v>
      </c>
      <c r="D3490" s="8" t="s">
        <v>26</v>
      </c>
      <c r="E3490" s="8" t="s">
        <v>16329</v>
      </c>
      <c r="F3490" s="8">
        <v>6.30665099E8</v>
      </c>
      <c r="G3490" s="8" t="s">
        <v>84</v>
      </c>
      <c r="H3490" s="8" t="s">
        <v>646</v>
      </c>
      <c r="I3490" s="8" t="s">
        <v>31</v>
      </c>
      <c r="J3490" s="8" t="s">
        <v>111</v>
      </c>
      <c r="K3490" s="10" t="s">
        <v>16330</v>
      </c>
      <c r="L3490" s="8" t="s">
        <v>58</v>
      </c>
      <c r="M3490" s="8" t="s">
        <v>35</v>
      </c>
      <c r="N3490" s="11">
        <v>45231.0</v>
      </c>
      <c r="O3490" s="11">
        <v>45299.0</v>
      </c>
      <c r="P3490" s="11">
        <v>45341.0</v>
      </c>
      <c r="Q3490" s="11">
        <v>45299.0</v>
      </c>
      <c r="R3490" s="11">
        <v>45341.0</v>
      </c>
      <c r="S3490" s="12"/>
      <c r="T3490" s="8"/>
      <c r="U3490" s="8" t="s">
        <v>59</v>
      </c>
      <c r="V3490" s="13" t="s">
        <v>2585</v>
      </c>
      <c r="W3490" s="13" t="s">
        <v>16331</v>
      </c>
      <c r="X3490" s="12"/>
      <c r="Y3490" s="14"/>
      <c r="Z3490" s="14"/>
    </row>
    <row r="3491">
      <c r="A3491" s="8" t="s">
        <v>16332</v>
      </c>
      <c r="B3491" s="8" t="s">
        <v>16333</v>
      </c>
      <c r="C3491" s="8" t="s">
        <v>179</v>
      </c>
      <c r="D3491" s="8" t="s">
        <v>26</v>
      </c>
      <c r="E3491" s="8" t="s">
        <v>16334</v>
      </c>
      <c r="F3491" s="8">
        <v>5.520043445E9</v>
      </c>
      <c r="G3491" s="8" t="s">
        <v>31</v>
      </c>
      <c r="H3491" s="8" t="s">
        <v>542</v>
      </c>
      <c r="I3491" s="8" t="s">
        <v>127</v>
      </c>
      <c r="J3491" s="8" t="s">
        <v>2182</v>
      </c>
      <c r="K3491" s="10" t="s">
        <v>16335</v>
      </c>
      <c r="L3491" s="8" t="s">
        <v>58</v>
      </c>
      <c r="M3491" s="8" t="s">
        <v>35</v>
      </c>
      <c r="N3491" s="11">
        <v>45231.0</v>
      </c>
      <c r="O3491" s="11">
        <v>45297.0</v>
      </c>
      <c r="P3491" s="11">
        <v>45339.0</v>
      </c>
      <c r="Q3491" s="11"/>
      <c r="R3491" s="11"/>
      <c r="S3491" s="12"/>
      <c r="T3491" s="8"/>
      <c r="U3491" s="8" t="s">
        <v>1956</v>
      </c>
      <c r="V3491" s="13" t="s">
        <v>545</v>
      </c>
      <c r="W3491" s="13" t="s">
        <v>16336</v>
      </c>
      <c r="X3491" s="12"/>
      <c r="Y3491" s="14"/>
      <c r="Z3491" s="14"/>
    </row>
    <row r="3492">
      <c r="A3492" s="8" t="s">
        <v>16337</v>
      </c>
      <c r="B3492" s="8" t="s">
        <v>16338</v>
      </c>
      <c r="C3492" s="8" t="s">
        <v>179</v>
      </c>
      <c r="D3492" s="8" t="s">
        <v>26</v>
      </c>
      <c r="E3492" s="8" t="s">
        <v>16339</v>
      </c>
      <c r="F3492" s="8">
        <v>1.019339919E9</v>
      </c>
      <c r="G3492" s="8" t="s">
        <v>284</v>
      </c>
      <c r="H3492" s="8" t="s">
        <v>5202</v>
      </c>
      <c r="I3492" s="8" t="s">
        <v>31</v>
      </c>
      <c r="J3492" s="8" t="s">
        <v>256</v>
      </c>
      <c r="K3492" s="10" t="s">
        <v>10689</v>
      </c>
      <c r="L3492" s="8" t="s">
        <v>58</v>
      </c>
      <c r="M3492" s="8" t="s">
        <v>35</v>
      </c>
      <c r="N3492" s="11">
        <v>45231.0</v>
      </c>
      <c r="O3492" s="11">
        <v>45516.0</v>
      </c>
      <c r="P3492" s="11">
        <v>45558.0</v>
      </c>
      <c r="Q3492" s="11"/>
      <c r="R3492" s="11"/>
      <c r="S3492" s="12"/>
      <c r="T3492" s="8"/>
      <c r="U3492" s="8" t="s">
        <v>59</v>
      </c>
      <c r="V3492" s="13" t="s">
        <v>16340</v>
      </c>
      <c r="W3492" s="13" t="s">
        <v>16341</v>
      </c>
      <c r="X3492" s="12"/>
      <c r="Y3492" s="14"/>
      <c r="Z3492" s="14"/>
    </row>
    <row r="3493">
      <c r="A3493" s="8" t="s">
        <v>16342</v>
      </c>
      <c r="B3493" s="8" t="s">
        <v>16343</v>
      </c>
      <c r="C3493" s="8" t="s">
        <v>708</v>
      </c>
      <c r="D3493" s="8" t="s">
        <v>26</v>
      </c>
      <c r="E3493" s="8" t="s">
        <v>16344</v>
      </c>
      <c r="F3493" s="8">
        <v>5.8229937E7</v>
      </c>
      <c r="G3493" s="8" t="s">
        <v>54</v>
      </c>
      <c r="H3493" s="8" t="s">
        <v>430</v>
      </c>
      <c r="I3493" s="8" t="s">
        <v>31</v>
      </c>
      <c r="J3493" s="8" t="s">
        <v>542</v>
      </c>
      <c r="K3493" s="10" t="s">
        <v>5473</v>
      </c>
      <c r="L3493" s="8" t="s">
        <v>47</v>
      </c>
      <c r="M3493" s="8" t="s">
        <v>70</v>
      </c>
      <c r="N3493" s="11">
        <v>45232.0</v>
      </c>
      <c r="O3493" s="11">
        <v>45230.0</v>
      </c>
      <c r="P3493" s="11">
        <v>45594.0</v>
      </c>
      <c r="Q3493" s="11">
        <v>45243.0</v>
      </c>
      <c r="R3493" s="11">
        <v>45605.0</v>
      </c>
      <c r="S3493" s="12"/>
      <c r="T3493" s="8" t="s">
        <v>121</v>
      </c>
      <c r="U3493" s="8" t="s">
        <v>5474</v>
      </c>
      <c r="V3493" s="13" t="s">
        <v>16345</v>
      </c>
      <c r="W3493" s="13" t="s">
        <v>16346</v>
      </c>
      <c r="X3493" s="12"/>
      <c r="Y3493" s="14"/>
      <c r="Z3493" s="14"/>
    </row>
    <row r="3494">
      <c r="A3494" s="8" t="s">
        <v>16347</v>
      </c>
      <c r="B3494" s="8" t="s">
        <v>16348</v>
      </c>
      <c r="C3494" s="8" t="s">
        <v>179</v>
      </c>
      <c r="D3494" s="8" t="s">
        <v>26</v>
      </c>
      <c r="E3494" s="8" t="s">
        <v>16349</v>
      </c>
      <c r="F3494" s="8"/>
      <c r="G3494" s="8" t="s">
        <v>54</v>
      </c>
      <c r="H3494" s="8" t="s">
        <v>430</v>
      </c>
      <c r="I3494" s="8" t="s">
        <v>31</v>
      </c>
      <c r="J3494" s="8" t="s">
        <v>256</v>
      </c>
      <c r="K3494" s="10" t="s">
        <v>12960</v>
      </c>
      <c r="L3494" s="8" t="s">
        <v>58</v>
      </c>
      <c r="M3494" s="8" t="s">
        <v>35</v>
      </c>
      <c r="N3494" s="11">
        <v>45232.0</v>
      </c>
      <c r="O3494" s="11">
        <v>45493.0</v>
      </c>
      <c r="P3494" s="11">
        <v>45535.0</v>
      </c>
      <c r="Q3494" s="11"/>
      <c r="R3494" s="11"/>
      <c r="S3494" s="12"/>
      <c r="T3494" s="8"/>
      <c r="U3494" s="8" t="s">
        <v>59</v>
      </c>
      <c r="V3494" s="13" t="s">
        <v>38</v>
      </c>
      <c r="W3494" s="13" t="s">
        <v>16350</v>
      </c>
      <c r="X3494" s="12"/>
      <c r="Y3494" s="14"/>
      <c r="Z3494" s="14"/>
    </row>
    <row r="3495">
      <c r="A3495" s="8" t="s">
        <v>16351</v>
      </c>
      <c r="B3495" s="8" t="s">
        <v>16352</v>
      </c>
      <c r="C3495" s="8" t="s">
        <v>179</v>
      </c>
      <c r="D3495" s="8" t="s">
        <v>26</v>
      </c>
      <c r="E3495" s="8" t="s">
        <v>16353</v>
      </c>
      <c r="F3495" s="8">
        <v>9.4724113E7</v>
      </c>
      <c r="G3495" s="8" t="s">
        <v>54</v>
      </c>
      <c r="H3495" s="8" t="s">
        <v>135</v>
      </c>
      <c r="I3495" s="8" t="s">
        <v>31</v>
      </c>
      <c r="J3495" s="8" t="s">
        <v>77</v>
      </c>
      <c r="K3495" s="10" t="s">
        <v>4188</v>
      </c>
      <c r="L3495" s="8" t="s">
        <v>58</v>
      </c>
      <c r="M3495" s="8" t="s">
        <v>35</v>
      </c>
      <c r="N3495" s="11">
        <v>45232.0</v>
      </c>
      <c r="O3495" s="11">
        <v>45481.0</v>
      </c>
      <c r="P3495" s="11">
        <v>45523.0</v>
      </c>
      <c r="Q3495" s="11"/>
      <c r="R3495" s="11"/>
      <c r="S3495" s="12"/>
      <c r="T3495" s="8"/>
      <c r="U3495" s="8" t="s">
        <v>59</v>
      </c>
      <c r="V3495" s="13" t="s">
        <v>138</v>
      </c>
      <c r="W3495" s="13" t="s">
        <v>16354</v>
      </c>
      <c r="X3495" s="12"/>
      <c r="Y3495" s="14"/>
      <c r="Z3495" s="14"/>
    </row>
    <row r="3496">
      <c r="A3496" s="8" t="s">
        <v>16355</v>
      </c>
      <c r="B3496" s="8" t="s">
        <v>16356</v>
      </c>
      <c r="C3496" s="8" t="s">
        <v>179</v>
      </c>
      <c r="D3496" s="8" t="s">
        <v>26</v>
      </c>
      <c r="E3496" s="8" t="s">
        <v>16357</v>
      </c>
      <c r="F3496" s="8"/>
      <c r="G3496" s="8" t="s">
        <v>54</v>
      </c>
      <c r="H3496" s="8" t="s">
        <v>430</v>
      </c>
      <c r="I3496" s="8" t="s">
        <v>31</v>
      </c>
      <c r="J3496" s="8" t="s">
        <v>43</v>
      </c>
      <c r="K3496" s="10" t="s">
        <v>837</v>
      </c>
      <c r="L3496" s="8" t="s">
        <v>58</v>
      </c>
      <c r="M3496" s="8" t="s">
        <v>35</v>
      </c>
      <c r="N3496" s="11">
        <v>45232.0</v>
      </c>
      <c r="O3496" s="11">
        <v>45453.0</v>
      </c>
      <c r="P3496" s="11">
        <v>45495.0</v>
      </c>
      <c r="Q3496" s="11"/>
      <c r="R3496" s="11"/>
      <c r="S3496" s="12"/>
      <c r="T3496" s="8"/>
      <c r="U3496" s="8" t="s">
        <v>130</v>
      </c>
      <c r="V3496" s="13" t="s">
        <v>38</v>
      </c>
      <c r="W3496" s="13" t="s">
        <v>16358</v>
      </c>
      <c r="X3496" s="12"/>
      <c r="Y3496" s="14"/>
      <c r="Z3496" s="14"/>
    </row>
    <row r="3497">
      <c r="A3497" s="8" t="s">
        <v>16359</v>
      </c>
      <c r="B3497" s="8" t="s">
        <v>16360</v>
      </c>
      <c r="C3497" s="8" t="s">
        <v>64</v>
      </c>
      <c r="D3497" s="8" t="s">
        <v>26</v>
      </c>
      <c r="E3497" s="8" t="s">
        <v>16361</v>
      </c>
      <c r="F3497" s="8">
        <v>6.85144423E8</v>
      </c>
      <c r="G3497" s="8" t="s">
        <v>1620</v>
      </c>
      <c r="H3497" s="8" t="s">
        <v>3655</v>
      </c>
      <c r="I3497" s="8" t="s">
        <v>31</v>
      </c>
      <c r="J3497" s="8" t="s">
        <v>43</v>
      </c>
      <c r="K3497" s="10" t="s">
        <v>13706</v>
      </c>
      <c r="L3497" s="8" t="s">
        <v>58</v>
      </c>
      <c r="M3497" s="8" t="s">
        <v>35</v>
      </c>
      <c r="N3497" s="11">
        <v>45232.0</v>
      </c>
      <c r="O3497" s="11">
        <v>45257.0</v>
      </c>
      <c r="P3497" s="11">
        <v>45299.0</v>
      </c>
      <c r="Q3497" s="11">
        <v>45260.0</v>
      </c>
      <c r="R3497" s="11">
        <v>45302.0</v>
      </c>
      <c r="S3497" s="12"/>
      <c r="T3497" s="8"/>
      <c r="U3497" s="8" t="s">
        <v>632</v>
      </c>
      <c r="V3497" s="13" t="s">
        <v>12400</v>
      </c>
      <c r="W3497" s="13" t="s">
        <v>16362</v>
      </c>
      <c r="X3497" s="12"/>
      <c r="Y3497" s="14"/>
      <c r="Z3497" s="14"/>
    </row>
    <row r="3498">
      <c r="A3498" s="8" t="s">
        <v>16363</v>
      </c>
      <c r="B3498" s="8" t="s">
        <v>16364</v>
      </c>
      <c r="C3498" s="8" t="s">
        <v>179</v>
      </c>
      <c r="D3498" s="8" t="s">
        <v>26</v>
      </c>
      <c r="E3498" s="8" t="s">
        <v>16365</v>
      </c>
      <c r="F3498" s="8">
        <v>1.003297595E9</v>
      </c>
      <c r="G3498" s="8" t="s">
        <v>284</v>
      </c>
      <c r="H3498" s="8" t="s">
        <v>2065</v>
      </c>
      <c r="I3498" s="8" t="s">
        <v>31</v>
      </c>
      <c r="J3498" s="8" t="s">
        <v>43</v>
      </c>
      <c r="K3498" s="10" t="s">
        <v>2922</v>
      </c>
      <c r="L3498" s="8" t="s">
        <v>58</v>
      </c>
      <c r="M3498" s="8" t="s">
        <v>35</v>
      </c>
      <c r="N3498" s="11">
        <v>45232.0</v>
      </c>
      <c r="O3498" s="11">
        <v>45474.0</v>
      </c>
      <c r="P3498" s="11">
        <v>45516.0</v>
      </c>
      <c r="Q3498" s="11"/>
      <c r="R3498" s="11"/>
      <c r="S3498" s="12"/>
      <c r="T3498" s="8"/>
      <c r="U3498" s="8" t="s">
        <v>59</v>
      </c>
      <c r="V3498" s="13" t="s">
        <v>2065</v>
      </c>
      <c r="W3498" s="13" t="s">
        <v>16366</v>
      </c>
      <c r="X3498" s="12"/>
      <c r="Y3498" s="14"/>
      <c r="Z3498" s="14"/>
    </row>
    <row r="3499">
      <c r="A3499" s="8" t="s">
        <v>16367</v>
      </c>
      <c r="B3499" s="8" t="s">
        <v>16368</v>
      </c>
      <c r="C3499" s="8" t="s">
        <v>179</v>
      </c>
      <c r="D3499" s="8" t="s">
        <v>26</v>
      </c>
      <c r="E3499" s="8" t="s">
        <v>16369</v>
      </c>
      <c r="F3499" s="8">
        <v>5.551977819E9</v>
      </c>
      <c r="G3499" s="8" t="s">
        <v>31</v>
      </c>
      <c r="H3499" s="8" t="s">
        <v>542</v>
      </c>
      <c r="I3499" s="8" t="s">
        <v>127</v>
      </c>
      <c r="J3499" s="8" t="s">
        <v>2182</v>
      </c>
      <c r="K3499" s="10" t="s">
        <v>13569</v>
      </c>
      <c r="L3499" s="8" t="s">
        <v>58</v>
      </c>
      <c r="M3499" s="8" t="s">
        <v>35</v>
      </c>
      <c r="N3499" s="11">
        <v>45233.0</v>
      </c>
      <c r="O3499" s="11">
        <v>45299.0</v>
      </c>
      <c r="P3499" s="11">
        <v>45341.0</v>
      </c>
      <c r="Q3499" s="11"/>
      <c r="R3499" s="11"/>
      <c r="S3499" s="12"/>
      <c r="T3499" s="8"/>
      <c r="U3499" s="8" t="s">
        <v>1956</v>
      </c>
      <c r="V3499" s="13" t="s">
        <v>545</v>
      </c>
      <c r="W3499" s="13" t="s">
        <v>16370</v>
      </c>
      <c r="X3499" s="12"/>
      <c r="Y3499" s="14"/>
      <c r="Z3499" s="14"/>
    </row>
    <row r="3500">
      <c r="A3500" s="8" t="s">
        <v>16371</v>
      </c>
      <c r="B3500" s="8" t="s">
        <v>16372</v>
      </c>
      <c r="C3500" s="8" t="s">
        <v>179</v>
      </c>
      <c r="D3500" s="8" t="s">
        <v>26</v>
      </c>
      <c r="E3500" s="8" t="s">
        <v>16373</v>
      </c>
      <c r="F3500" s="8">
        <v>6.83649722E8</v>
      </c>
      <c r="G3500" s="8" t="s">
        <v>1620</v>
      </c>
      <c r="H3500" s="8" t="s">
        <v>1621</v>
      </c>
      <c r="I3500" s="8" t="s">
        <v>31</v>
      </c>
      <c r="J3500" s="8" t="s">
        <v>43</v>
      </c>
      <c r="K3500" s="10" t="s">
        <v>837</v>
      </c>
      <c r="L3500" s="8" t="s">
        <v>58</v>
      </c>
      <c r="M3500" s="8" t="s">
        <v>35</v>
      </c>
      <c r="N3500" s="11">
        <v>45233.0</v>
      </c>
      <c r="O3500" s="11">
        <v>45523.0</v>
      </c>
      <c r="P3500" s="11">
        <v>45565.0</v>
      </c>
      <c r="Q3500" s="11"/>
      <c r="R3500" s="11"/>
      <c r="S3500" s="12"/>
      <c r="T3500" s="8"/>
      <c r="U3500" s="8" t="s">
        <v>130</v>
      </c>
      <c r="V3500" s="13" t="s">
        <v>13760</v>
      </c>
      <c r="W3500" s="13" t="s">
        <v>16374</v>
      </c>
      <c r="X3500" s="12"/>
      <c r="Y3500" s="14"/>
      <c r="Z3500" s="14"/>
    </row>
    <row r="3501">
      <c r="A3501" s="8" t="s">
        <v>16375</v>
      </c>
      <c r="B3501" s="8" t="s">
        <v>16376</v>
      </c>
      <c r="C3501" s="8" t="s">
        <v>708</v>
      </c>
      <c r="D3501" s="8" t="s">
        <v>26</v>
      </c>
      <c r="E3501" s="8" t="s">
        <v>16377</v>
      </c>
      <c r="F3501" s="8"/>
      <c r="G3501" s="8" t="s">
        <v>1620</v>
      </c>
      <c r="H3501" s="8" t="s">
        <v>4288</v>
      </c>
      <c r="I3501" s="8" t="s">
        <v>31</v>
      </c>
      <c r="J3501" s="8" t="s">
        <v>43</v>
      </c>
      <c r="K3501" s="10" t="s">
        <v>837</v>
      </c>
      <c r="L3501" s="8" t="s">
        <v>58</v>
      </c>
      <c r="M3501" s="8" t="s">
        <v>35</v>
      </c>
      <c r="N3501" s="11">
        <v>45233.0</v>
      </c>
      <c r="O3501" s="11">
        <v>45299.0</v>
      </c>
      <c r="P3501" s="11">
        <v>45341.0</v>
      </c>
      <c r="Q3501" s="11">
        <v>45300.0</v>
      </c>
      <c r="R3501" s="11">
        <v>45341.0</v>
      </c>
      <c r="S3501" s="12"/>
      <c r="T3501" s="8"/>
      <c r="U3501" s="8" t="s">
        <v>130</v>
      </c>
      <c r="V3501" s="13" t="s">
        <v>5939</v>
      </c>
      <c r="W3501" s="13" t="s">
        <v>16378</v>
      </c>
      <c r="X3501" s="12"/>
      <c r="Y3501" s="14"/>
      <c r="Z3501" s="14"/>
    </row>
    <row r="3502">
      <c r="A3502" s="8" t="s">
        <v>16379</v>
      </c>
      <c r="B3502" s="8" t="s">
        <v>16380</v>
      </c>
      <c r="C3502" s="8" t="s">
        <v>179</v>
      </c>
      <c r="D3502" s="8" t="s">
        <v>26</v>
      </c>
      <c r="E3502" s="8" t="s">
        <v>16381</v>
      </c>
      <c r="F3502" s="8">
        <v>5.427976927E9</v>
      </c>
      <c r="G3502" s="8" t="s">
        <v>31</v>
      </c>
      <c r="H3502" s="8" t="s">
        <v>256</v>
      </c>
      <c r="I3502" s="8" t="s">
        <v>284</v>
      </c>
      <c r="J3502" s="8" t="s">
        <v>285</v>
      </c>
      <c r="K3502" s="10" t="s">
        <v>10013</v>
      </c>
      <c r="L3502" s="8" t="s">
        <v>58</v>
      </c>
      <c r="M3502" s="8" t="s">
        <v>35</v>
      </c>
      <c r="N3502" s="11">
        <v>45233.0</v>
      </c>
      <c r="O3502" s="11">
        <v>45474.0</v>
      </c>
      <c r="P3502" s="11">
        <v>45516.0</v>
      </c>
      <c r="Q3502" s="11"/>
      <c r="R3502" s="11"/>
      <c r="S3502" s="12"/>
      <c r="T3502" s="8"/>
      <c r="U3502" s="8" t="s">
        <v>161</v>
      </c>
      <c r="V3502" s="13" t="s">
        <v>256</v>
      </c>
      <c r="W3502" s="13" t="s">
        <v>16382</v>
      </c>
      <c r="X3502" s="12"/>
      <c r="Y3502" s="14"/>
      <c r="Z3502" s="14"/>
    </row>
    <row r="3503">
      <c r="A3503" s="8" t="s">
        <v>16383</v>
      </c>
      <c r="B3503" s="8" t="s">
        <v>16384</v>
      </c>
      <c r="C3503" s="8" t="s">
        <v>179</v>
      </c>
      <c r="D3503" s="8" t="s">
        <v>26</v>
      </c>
      <c r="E3503" s="8" t="s">
        <v>16385</v>
      </c>
      <c r="F3503" s="8">
        <v>5.347004154E9</v>
      </c>
      <c r="G3503" s="8" t="s">
        <v>31</v>
      </c>
      <c r="H3503" s="8" t="s">
        <v>32</v>
      </c>
      <c r="I3503" s="8" t="s">
        <v>1400</v>
      </c>
      <c r="J3503" s="8" t="s">
        <v>1401</v>
      </c>
      <c r="K3503" s="10" t="s">
        <v>16386</v>
      </c>
      <c r="L3503" s="8" t="s">
        <v>58</v>
      </c>
      <c r="M3503" s="8" t="s">
        <v>35</v>
      </c>
      <c r="N3503" s="11">
        <v>45233.0</v>
      </c>
      <c r="O3503" s="11">
        <v>45306.0</v>
      </c>
      <c r="P3503" s="11">
        <v>45348.0</v>
      </c>
      <c r="Q3503" s="11"/>
      <c r="R3503" s="11"/>
      <c r="S3503" s="12"/>
      <c r="T3503" s="8"/>
      <c r="U3503" s="8" t="s">
        <v>88</v>
      </c>
      <c r="V3503" s="13" t="s">
        <v>537</v>
      </c>
      <c r="W3503" s="13" t="s">
        <v>16387</v>
      </c>
      <c r="X3503" s="12"/>
      <c r="Y3503" s="14"/>
      <c r="Z3503" s="14"/>
    </row>
    <row r="3504">
      <c r="A3504" s="8" t="s">
        <v>16388</v>
      </c>
      <c r="B3504" s="8" t="s">
        <v>16389</v>
      </c>
      <c r="C3504" s="8" t="s">
        <v>179</v>
      </c>
      <c r="D3504" s="8" t="s">
        <v>26</v>
      </c>
      <c r="E3504" s="8" t="s">
        <v>16390</v>
      </c>
      <c r="F3504" s="8">
        <v>5.307358603E9</v>
      </c>
      <c r="G3504" s="8" t="s">
        <v>31</v>
      </c>
      <c r="H3504" s="8" t="s">
        <v>66</v>
      </c>
      <c r="I3504" s="8" t="s">
        <v>54</v>
      </c>
      <c r="J3504" s="8" t="s">
        <v>430</v>
      </c>
      <c r="K3504" s="10" t="s">
        <v>16299</v>
      </c>
      <c r="L3504" s="8" t="s">
        <v>58</v>
      </c>
      <c r="M3504" s="8" t="s">
        <v>35</v>
      </c>
      <c r="N3504" s="11">
        <v>45233.0</v>
      </c>
      <c r="O3504" s="11">
        <v>45486.0</v>
      </c>
      <c r="P3504" s="11">
        <v>45528.0</v>
      </c>
      <c r="Q3504" s="11"/>
      <c r="R3504" s="11"/>
      <c r="S3504" s="12"/>
      <c r="T3504" s="8"/>
      <c r="U3504" s="8" t="s">
        <v>1038</v>
      </c>
      <c r="V3504" s="13" t="s">
        <v>66</v>
      </c>
      <c r="W3504" s="13" t="s">
        <v>16391</v>
      </c>
      <c r="X3504" s="12"/>
      <c r="Y3504" s="14"/>
      <c r="Z3504" s="14"/>
    </row>
    <row r="3505">
      <c r="A3505" s="8" t="s">
        <v>16392</v>
      </c>
      <c r="B3505" s="8" t="s">
        <v>16393</v>
      </c>
      <c r="C3505" s="8" t="s">
        <v>708</v>
      </c>
      <c r="D3505" s="8" t="s">
        <v>26</v>
      </c>
      <c r="E3505" s="8" t="s">
        <v>16394</v>
      </c>
      <c r="F3505" s="8"/>
      <c r="G3505" s="8" t="s">
        <v>54</v>
      </c>
      <c r="H3505" s="8" t="s">
        <v>244</v>
      </c>
      <c r="I3505" s="8" t="s">
        <v>31</v>
      </c>
      <c r="J3505" s="8" t="s">
        <v>111</v>
      </c>
      <c r="K3505" s="10" t="s">
        <v>15412</v>
      </c>
      <c r="L3505" s="8" t="s">
        <v>47</v>
      </c>
      <c r="M3505" s="8" t="s">
        <v>70</v>
      </c>
      <c r="N3505" s="11">
        <v>45233.0</v>
      </c>
      <c r="O3505" s="11">
        <v>45234.0</v>
      </c>
      <c r="P3505" s="11">
        <v>45508.0</v>
      </c>
      <c r="Q3505" s="11">
        <v>45238.0</v>
      </c>
      <c r="R3505" s="11">
        <v>45512.0</v>
      </c>
      <c r="S3505" s="12"/>
      <c r="T3505" s="8"/>
      <c r="U3505" s="8" t="s">
        <v>15413</v>
      </c>
      <c r="V3505" s="13" t="s">
        <v>38</v>
      </c>
      <c r="W3505" s="13" t="s">
        <v>16395</v>
      </c>
      <c r="X3505" s="12"/>
      <c r="Y3505" s="14"/>
      <c r="Z3505" s="14"/>
    </row>
    <row r="3506">
      <c r="A3506" s="8" t="s">
        <v>16396</v>
      </c>
      <c r="B3506" s="8" t="s">
        <v>16397</v>
      </c>
      <c r="C3506" s="8" t="s">
        <v>179</v>
      </c>
      <c r="D3506" s="8" t="s">
        <v>26</v>
      </c>
      <c r="E3506" s="8" t="s">
        <v>16398</v>
      </c>
      <c r="F3506" s="8">
        <v>5.53582444E8</v>
      </c>
      <c r="G3506" s="8" t="s">
        <v>277</v>
      </c>
      <c r="H3506" s="8" t="s">
        <v>607</v>
      </c>
      <c r="I3506" s="8" t="s">
        <v>31</v>
      </c>
      <c r="J3506" s="8" t="s">
        <v>86</v>
      </c>
      <c r="K3506" s="10" t="s">
        <v>3621</v>
      </c>
      <c r="L3506" s="8" t="s">
        <v>58</v>
      </c>
      <c r="M3506" s="8" t="s">
        <v>35</v>
      </c>
      <c r="N3506" s="11">
        <v>45233.0</v>
      </c>
      <c r="O3506" s="11">
        <v>45476.0</v>
      </c>
      <c r="P3506" s="11">
        <v>45518.0</v>
      </c>
      <c r="Q3506" s="11"/>
      <c r="R3506" s="11"/>
      <c r="S3506" s="12"/>
      <c r="T3506" s="8"/>
      <c r="U3506" s="8" t="s">
        <v>153</v>
      </c>
      <c r="V3506" s="13" t="s">
        <v>16399</v>
      </c>
      <c r="W3506" s="13" t="s">
        <v>16400</v>
      </c>
      <c r="X3506" s="12"/>
      <c r="Y3506" s="14"/>
      <c r="Z3506" s="14"/>
    </row>
    <row r="3507">
      <c r="A3507" s="8" t="s">
        <v>16401</v>
      </c>
      <c r="B3507" s="8" t="s">
        <v>16402</v>
      </c>
      <c r="C3507" s="8" t="s">
        <v>179</v>
      </c>
      <c r="D3507" s="8" t="s">
        <v>26</v>
      </c>
      <c r="E3507" s="8" t="s">
        <v>16403</v>
      </c>
      <c r="F3507" s="8">
        <v>1.115560029E9</v>
      </c>
      <c r="G3507" s="8" t="s">
        <v>284</v>
      </c>
      <c r="H3507" s="8" t="s">
        <v>1359</v>
      </c>
      <c r="I3507" s="8" t="s">
        <v>31</v>
      </c>
      <c r="J3507" s="8" t="s">
        <v>86</v>
      </c>
      <c r="K3507" s="10" t="s">
        <v>15302</v>
      </c>
      <c r="L3507" s="8" t="s">
        <v>58</v>
      </c>
      <c r="M3507" s="8" t="s">
        <v>35</v>
      </c>
      <c r="N3507" s="11">
        <v>45233.0</v>
      </c>
      <c r="O3507" s="11">
        <v>45291.0</v>
      </c>
      <c r="P3507" s="11">
        <v>45333.0</v>
      </c>
      <c r="Q3507" s="11"/>
      <c r="R3507" s="11"/>
      <c r="S3507" s="12"/>
      <c r="T3507" s="8"/>
      <c r="U3507" s="8" t="s">
        <v>185</v>
      </c>
      <c r="V3507" s="13" t="s">
        <v>1359</v>
      </c>
      <c r="W3507" s="13" t="s">
        <v>16404</v>
      </c>
      <c r="X3507" s="12"/>
      <c r="Y3507" s="14"/>
      <c r="Z3507" s="14"/>
    </row>
    <row r="3508">
      <c r="A3508" s="8" t="s">
        <v>16405</v>
      </c>
      <c r="B3508" s="8" t="s">
        <v>16406</v>
      </c>
      <c r="C3508" s="8" t="s">
        <v>179</v>
      </c>
      <c r="D3508" s="8" t="s">
        <v>26</v>
      </c>
      <c r="E3508" s="8" t="s">
        <v>16407</v>
      </c>
      <c r="F3508" s="8">
        <v>1.009119725E9</v>
      </c>
      <c r="G3508" s="8" t="s">
        <v>284</v>
      </c>
      <c r="H3508" s="8" t="s">
        <v>793</v>
      </c>
      <c r="I3508" s="8" t="s">
        <v>31</v>
      </c>
      <c r="J3508" s="8" t="s">
        <v>256</v>
      </c>
      <c r="K3508" s="10" t="s">
        <v>10689</v>
      </c>
      <c r="L3508" s="8" t="s">
        <v>58</v>
      </c>
      <c r="M3508" s="8" t="s">
        <v>35</v>
      </c>
      <c r="N3508" s="11">
        <v>45234.0</v>
      </c>
      <c r="O3508" s="11">
        <v>45516.0</v>
      </c>
      <c r="P3508" s="11">
        <v>45558.0</v>
      </c>
      <c r="Q3508" s="11"/>
      <c r="R3508" s="11"/>
      <c r="S3508" s="12"/>
      <c r="T3508" s="8"/>
      <c r="U3508" s="8" t="s">
        <v>59</v>
      </c>
      <c r="V3508" s="13" t="s">
        <v>793</v>
      </c>
      <c r="W3508" s="13" t="s">
        <v>16408</v>
      </c>
      <c r="X3508" s="12"/>
      <c r="Y3508" s="14"/>
      <c r="Z3508" s="14"/>
    </row>
    <row r="3509">
      <c r="A3509" s="8" t="s">
        <v>16409</v>
      </c>
      <c r="B3509" s="8" t="s">
        <v>16410</v>
      </c>
      <c r="C3509" s="8" t="s">
        <v>179</v>
      </c>
      <c r="D3509" s="8" t="s">
        <v>26</v>
      </c>
      <c r="E3509" s="8" t="s">
        <v>16411</v>
      </c>
      <c r="F3509" s="8">
        <v>5.368458541E9</v>
      </c>
      <c r="G3509" s="8" t="s">
        <v>31</v>
      </c>
      <c r="H3509" s="8" t="s">
        <v>1274</v>
      </c>
      <c r="I3509" s="8" t="s">
        <v>284</v>
      </c>
      <c r="J3509" s="8" t="s">
        <v>1422</v>
      </c>
      <c r="K3509" s="10" t="s">
        <v>16412</v>
      </c>
      <c r="L3509" s="8" t="s">
        <v>58</v>
      </c>
      <c r="M3509" s="8" t="s">
        <v>35</v>
      </c>
      <c r="N3509" s="11">
        <v>45234.0</v>
      </c>
      <c r="O3509" s="11">
        <v>45474.0</v>
      </c>
      <c r="P3509" s="11">
        <v>45516.0</v>
      </c>
      <c r="Q3509" s="11"/>
      <c r="R3509" s="11"/>
      <c r="S3509" s="12"/>
      <c r="T3509" s="8"/>
      <c r="U3509" s="8" t="s">
        <v>130</v>
      </c>
      <c r="V3509" s="13" t="s">
        <v>1274</v>
      </c>
      <c r="W3509" s="13" t="s">
        <v>16413</v>
      </c>
      <c r="X3509" s="12"/>
      <c r="Y3509" s="14"/>
      <c r="Z3509" s="14"/>
    </row>
    <row r="3510">
      <c r="A3510" s="8" t="s">
        <v>16414</v>
      </c>
      <c r="B3510" s="8" t="s">
        <v>16415</v>
      </c>
      <c r="C3510" s="8" t="s">
        <v>179</v>
      </c>
      <c r="D3510" s="8" t="s">
        <v>26</v>
      </c>
      <c r="E3510" s="8" t="s">
        <v>16416</v>
      </c>
      <c r="F3510" s="8"/>
      <c r="G3510" s="8" t="s">
        <v>3614</v>
      </c>
      <c r="H3510" s="8" t="s">
        <v>16417</v>
      </c>
      <c r="I3510" s="8" t="s">
        <v>31</v>
      </c>
      <c r="J3510" s="8" t="s">
        <v>43</v>
      </c>
      <c r="K3510" s="10" t="s">
        <v>837</v>
      </c>
      <c r="L3510" s="8" t="s">
        <v>58</v>
      </c>
      <c r="M3510" s="8" t="s">
        <v>35</v>
      </c>
      <c r="N3510" s="11">
        <v>45234.0</v>
      </c>
      <c r="O3510" s="11">
        <v>45453.0</v>
      </c>
      <c r="P3510" s="11">
        <v>45495.0</v>
      </c>
      <c r="Q3510" s="11"/>
      <c r="R3510" s="11"/>
      <c r="S3510" s="12"/>
      <c r="T3510" s="8"/>
      <c r="U3510" s="8" t="s">
        <v>130</v>
      </c>
      <c r="V3510" s="13" t="s">
        <v>38</v>
      </c>
      <c r="W3510" s="13" t="s">
        <v>16418</v>
      </c>
      <c r="X3510" s="12"/>
      <c r="Y3510" s="14"/>
      <c r="Z3510" s="14"/>
    </row>
    <row r="3511">
      <c r="A3511" s="8" t="s">
        <v>16419</v>
      </c>
      <c r="B3511" s="8" t="s">
        <v>16420</v>
      </c>
      <c r="C3511" s="8" t="s">
        <v>179</v>
      </c>
      <c r="D3511" s="8" t="s">
        <v>26</v>
      </c>
      <c r="E3511" s="8" t="s">
        <v>16421</v>
      </c>
      <c r="F3511" s="8"/>
      <c r="G3511" s="8" t="s">
        <v>44</v>
      </c>
      <c r="H3511" s="8" t="s">
        <v>741</v>
      </c>
      <c r="I3511" s="8" t="s">
        <v>31</v>
      </c>
      <c r="J3511" s="8" t="s">
        <v>102</v>
      </c>
      <c r="K3511" s="10" t="s">
        <v>1113</v>
      </c>
      <c r="L3511" s="8" t="s">
        <v>58</v>
      </c>
      <c r="M3511" s="8" t="s">
        <v>35</v>
      </c>
      <c r="N3511" s="11">
        <v>45234.0</v>
      </c>
      <c r="O3511" s="11">
        <v>45474.0</v>
      </c>
      <c r="P3511" s="11">
        <v>45516.0</v>
      </c>
      <c r="Q3511" s="11"/>
      <c r="R3511" s="11"/>
      <c r="S3511" s="12"/>
      <c r="T3511" s="8"/>
      <c r="U3511" s="8" t="s">
        <v>59</v>
      </c>
      <c r="V3511" s="13" t="s">
        <v>38</v>
      </c>
      <c r="W3511" s="13" t="s">
        <v>16422</v>
      </c>
      <c r="X3511" s="12"/>
      <c r="Y3511" s="14"/>
      <c r="Z3511" s="14"/>
    </row>
    <row r="3512">
      <c r="A3512" s="8" t="s">
        <v>16423</v>
      </c>
      <c r="B3512" s="8" t="s">
        <v>16424</v>
      </c>
      <c r="C3512" s="8" t="s">
        <v>179</v>
      </c>
      <c r="D3512" s="8" t="s">
        <v>26</v>
      </c>
      <c r="E3512" s="8" t="s">
        <v>16425</v>
      </c>
      <c r="F3512" s="8">
        <v>5.37586789E9</v>
      </c>
      <c r="G3512" s="8" t="s">
        <v>31</v>
      </c>
      <c r="H3512" s="8" t="s">
        <v>111</v>
      </c>
      <c r="I3512" s="8" t="s">
        <v>399</v>
      </c>
      <c r="J3512" s="8" t="s">
        <v>904</v>
      </c>
      <c r="K3512" s="10" t="s">
        <v>16426</v>
      </c>
      <c r="L3512" s="8" t="s">
        <v>58</v>
      </c>
      <c r="M3512" s="8" t="s">
        <v>35</v>
      </c>
      <c r="N3512" s="11">
        <v>45234.0</v>
      </c>
      <c r="O3512" s="11">
        <v>45474.0</v>
      </c>
      <c r="P3512" s="11">
        <v>45516.0</v>
      </c>
      <c r="Q3512" s="11"/>
      <c r="R3512" s="11"/>
      <c r="S3512" s="12"/>
      <c r="T3512" s="8"/>
      <c r="U3512" s="8" t="s">
        <v>59</v>
      </c>
      <c r="V3512" s="13" t="s">
        <v>111</v>
      </c>
      <c r="W3512" s="13" t="s">
        <v>16427</v>
      </c>
      <c r="X3512" s="12"/>
      <c r="Y3512" s="14"/>
      <c r="Z3512" s="14"/>
    </row>
    <row r="3513">
      <c r="A3513" s="8" t="s">
        <v>16428</v>
      </c>
      <c r="B3513" s="8" t="s">
        <v>16429</v>
      </c>
      <c r="C3513" s="8" t="s">
        <v>179</v>
      </c>
      <c r="D3513" s="8" t="s">
        <v>26</v>
      </c>
      <c r="E3513" s="8" t="s">
        <v>16430</v>
      </c>
      <c r="F3513" s="8">
        <v>6.3457852E8</v>
      </c>
      <c r="G3513" s="8" t="s">
        <v>84</v>
      </c>
      <c r="H3513" s="8" t="s">
        <v>1127</v>
      </c>
      <c r="I3513" s="8" t="s">
        <v>31</v>
      </c>
      <c r="J3513" s="8" t="s">
        <v>1274</v>
      </c>
      <c r="K3513" s="10" t="s">
        <v>4366</v>
      </c>
      <c r="L3513" s="8" t="s">
        <v>58</v>
      </c>
      <c r="M3513" s="8" t="s">
        <v>35</v>
      </c>
      <c r="N3513" s="11">
        <v>45234.0</v>
      </c>
      <c r="O3513" s="11">
        <v>45495.0</v>
      </c>
      <c r="P3513" s="11">
        <v>45537.0</v>
      </c>
      <c r="Q3513" s="11"/>
      <c r="R3513" s="11"/>
      <c r="S3513" s="12"/>
      <c r="T3513" s="8"/>
      <c r="U3513" s="8" t="s">
        <v>1038</v>
      </c>
      <c r="V3513" s="13" t="s">
        <v>1302</v>
      </c>
      <c r="W3513" s="13" t="s">
        <v>16431</v>
      </c>
      <c r="X3513" s="12"/>
      <c r="Y3513" s="14"/>
      <c r="Z3513" s="14"/>
    </row>
    <row r="3514">
      <c r="A3514" s="8" t="s">
        <v>16432</v>
      </c>
      <c r="B3514" s="8" t="s">
        <v>16433</v>
      </c>
      <c r="C3514" s="8" t="s">
        <v>708</v>
      </c>
      <c r="D3514" s="8" t="s">
        <v>26</v>
      </c>
      <c r="E3514" s="8" t="s">
        <v>16434</v>
      </c>
      <c r="F3514" s="8">
        <v>6.76910134E8</v>
      </c>
      <c r="G3514" s="8" t="s">
        <v>84</v>
      </c>
      <c r="H3514" s="8" t="s">
        <v>1280</v>
      </c>
      <c r="I3514" s="8" t="s">
        <v>31</v>
      </c>
      <c r="J3514" s="8" t="s">
        <v>77</v>
      </c>
      <c r="K3514" s="10" t="s">
        <v>1972</v>
      </c>
      <c r="L3514" s="8" t="s">
        <v>47</v>
      </c>
      <c r="M3514" s="8" t="s">
        <v>70</v>
      </c>
      <c r="N3514" s="11">
        <v>45234.0</v>
      </c>
      <c r="O3514" s="11">
        <v>45236.0</v>
      </c>
      <c r="P3514" s="11">
        <v>45464.0</v>
      </c>
      <c r="Q3514" s="11">
        <v>45259.0</v>
      </c>
      <c r="R3514" s="11">
        <v>45487.0</v>
      </c>
      <c r="S3514" s="12"/>
      <c r="T3514" s="8"/>
      <c r="U3514" s="8" t="s">
        <v>1973</v>
      </c>
      <c r="V3514" s="13" t="s">
        <v>16435</v>
      </c>
      <c r="W3514" s="13" t="s">
        <v>16436</v>
      </c>
      <c r="X3514" s="12"/>
      <c r="Y3514" s="14"/>
      <c r="Z3514" s="14"/>
    </row>
    <row r="3515">
      <c r="A3515" s="8" t="s">
        <v>16437</v>
      </c>
      <c r="B3515" s="8" t="s">
        <v>16438</v>
      </c>
      <c r="C3515" s="8" t="s">
        <v>179</v>
      </c>
      <c r="D3515" s="8" t="s">
        <v>26</v>
      </c>
      <c r="E3515" s="8" t="s">
        <v>16439</v>
      </c>
      <c r="F3515" s="8">
        <v>5.510274734E9</v>
      </c>
      <c r="G3515" s="8" t="s">
        <v>31</v>
      </c>
      <c r="H3515" s="8" t="s">
        <v>86</v>
      </c>
      <c r="I3515" s="8" t="s">
        <v>284</v>
      </c>
      <c r="J3515" s="8" t="s">
        <v>300</v>
      </c>
      <c r="K3515" s="10" t="s">
        <v>10916</v>
      </c>
      <c r="L3515" s="8" t="s">
        <v>58</v>
      </c>
      <c r="M3515" s="8" t="s">
        <v>35</v>
      </c>
      <c r="N3515" s="11">
        <v>45234.0</v>
      </c>
      <c r="O3515" s="11">
        <v>45488.0</v>
      </c>
      <c r="P3515" s="11">
        <v>45530.0</v>
      </c>
      <c r="Q3515" s="11"/>
      <c r="R3515" s="11"/>
      <c r="S3515" s="12"/>
      <c r="T3515" s="8"/>
      <c r="U3515" s="8" t="s">
        <v>59</v>
      </c>
      <c r="V3515" s="13" t="s">
        <v>175</v>
      </c>
      <c r="W3515" s="13" t="s">
        <v>16440</v>
      </c>
      <c r="X3515" s="12"/>
      <c r="Y3515" s="14"/>
      <c r="Z3515" s="14"/>
    </row>
    <row r="3516">
      <c r="A3516" s="8" t="s">
        <v>16441</v>
      </c>
      <c r="B3516" s="8" t="s">
        <v>16442</v>
      </c>
      <c r="C3516" s="8" t="s">
        <v>64</v>
      </c>
      <c r="D3516" s="8" t="s">
        <v>26</v>
      </c>
      <c r="E3516" s="8" t="s">
        <v>16443</v>
      </c>
      <c r="F3516" s="8">
        <v>7.71666875E9</v>
      </c>
      <c r="G3516" s="8" t="s">
        <v>496</v>
      </c>
      <c r="H3516" s="8" t="s">
        <v>2112</v>
      </c>
      <c r="I3516" s="8" t="s">
        <v>31</v>
      </c>
      <c r="J3516" s="8" t="s">
        <v>77</v>
      </c>
      <c r="K3516" s="10" t="s">
        <v>3879</v>
      </c>
      <c r="L3516" s="8" t="s">
        <v>58</v>
      </c>
      <c r="M3516" s="8" t="s">
        <v>35</v>
      </c>
      <c r="N3516" s="11">
        <v>45234.0</v>
      </c>
      <c r="O3516" s="11">
        <v>45243.0</v>
      </c>
      <c r="P3516" s="11">
        <v>45285.0</v>
      </c>
      <c r="Q3516" s="11">
        <v>45249.0</v>
      </c>
      <c r="R3516" s="11">
        <v>45292.0</v>
      </c>
      <c r="S3516" s="12"/>
      <c r="T3516" s="8"/>
      <c r="U3516" s="8" t="s">
        <v>59</v>
      </c>
      <c r="V3516" s="13" t="s">
        <v>7974</v>
      </c>
      <c r="W3516" s="13" t="s">
        <v>16444</v>
      </c>
      <c r="X3516" s="12"/>
      <c r="Y3516" s="14"/>
      <c r="Z3516" s="14"/>
    </row>
    <row r="3517">
      <c r="A3517" s="8" t="s">
        <v>16445</v>
      </c>
      <c r="B3517" s="8" t="s">
        <v>16446</v>
      </c>
      <c r="C3517" s="8" t="s">
        <v>179</v>
      </c>
      <c r="D3517" s="8" t="s">
        <v>26</v>
      </c>
      <c r="E3517" s="8" t="s">
        <v>16447</v>
      </c>
      <c r="F3517" s="8"/>
      <c r="G3517" s="8" t="s">
        <v>84</v>
      </c>
      <c r="H3517" s="8" t="s">
        <v>1266</v>
      </c>
      <c r="I3517" s="8" t="s">
        <v>31</v>
      </c>
      <c r="J3517" s="8" t="s">
        <v>77</v>
      </c>
      <c r="K3517" s="10" t="s">
        <v>4188</v>
      </c>
      <c r="L3517" s="8" t="s">
        <v>58</v>
      </c>
      <c r="M3517" s="8" t="s">
        <v>35</v>
      </c>
      <c r="N3517" s="11">
        <v>45234.0</v>
      </c>
      <c r="O3517" s="11">
        <v>45488.0</v>
      </c>
      <c r="P3517" s="11">
        <v>45530.0</v>
      </c>
      <c r="Q3517" s="11"/>
      <c r="R3517" s="11"/>
      <c r="S3517" s="12"/>
      <c r="T3517" s="8"/>
      <c r="U3517" s="8" t="s">
        <v>59</v>
      </c>
      <c r="V3517" s="13" t="s">
        <v>16448</v>
      </c>
      <c r="W3517" s="13" t="s">
        <v>16449</v>
      </c>
      <c r="X3517" s="12"/>
      <c r="Y3517" s="14"/>
      <c r="Z3517" s="14"/>
    </row>
    <row r="3518">
      <c r="A3518" s="8" t="s">
        <v>16450</v>
      </c>
      <c r="B3518" s="8" t="s">
        <v>16451</v>
      </c>
      <c r="C3518" s="8" t="s">
        <v>179</v>
      </c>
      <c r="D3518" s="8" t="s">
        <v>26</v>
      </c>
      <c r="E3518" s="8" t="s">
        <v>16452</v>
      </c>
      <c r="F3518" s="8">
        <v>6.25089068E8</v>
      </c>
      <c r="G3518" s="8" t="s">
        <v>84</v>
      </c>
      <c r="H3518" s="8" t="s">
        <v>1266</v>
      </c>
      <c r="I3518" s="8" t="s">
        <v>31</v>
      </c>
      <c r="J3518" s="8" t="s">
        <v>77</v>
      </c>
      <c r="K3518" s="10" t="s">
        <v>4188</v>
      </c>
      <c r="L3518" s="8" t="s">
        <v>58</v>
      </c>
      <c r="M3518" s="8" t="s">
        <v>35</v>
      </c>
      <c r="N3518" s="11">
        <v>45234.0</v>
      </c>
      <c r="O3518" s="11">
        <v>45488.0</v>
      </c>
      <c r="P3518" s="11">
        <v>45530.0</v>
      </c>
      <c r="Q3518" s="11"/>
      <c r="R3518" s="11"/>
      <c r="S3518" s="12"/>
      <c r="T3518" s="8"/>
      <c r="U3518" s="8" t="s">
        <v>59</v>
      </c>
      <c r="V3518" s="13" t="s">
        <v>16448</v>
      </c>
      <c r="W3518" s="13" t="s">
        <v>16453</v>
      </c>
      <c r="X3518" s="12"/>
      <c r="Y3518" s="14"/>
      <c r="Z3518" s="14"/>
    </row>
    <row r="3519">
      <c r="A3519" s="8" t="s">
        <v>16454</v>
      </c>
      <c r="B3519" s="8" t="s">
        <v>16455</v>
      </c>
      <c r="C3519" s="8" t="s">
        <v>179</v>
      </c>
      <c r="D3519" s="8" t="s">
        <v>26</v>
      </c>
      <c r="E3519" s="8" t="s">
        <v>16456</v>
      </c>
      <c r="F3519" s="8">
        <v>7.76619003E8</v>
      </c>
      <c r="G3519" s="8" t="s">
        <v>254</v>
      </c>
      <c r="H3519" s="8" t="s">
        <v>1007</v>
      </c>
      <c r="I3519" s="8" t="s">
        <v>31</v>
      </c>
      <c r="J3519" s="8" t="s">
        <v>86</v>
      </c>
      <c r="K3519" s="10" t="s">
        <v>3621</v>
      </c>
      <c r="L3519" s="8" t="s">
        <v>58</v>
      </c>
      <c r="M3519" s="8" t="s">
        <v>35</v>
      </c>
      <c r="N3519" s="11">
        <v>45234.0</v>
      </c>
      <c r="O3519" s="11">
        <v>45476.0</v>
      </c>
      <c r="P3519" s="11">
        <v>45518.0</v>
      </c>
      <c r="Q3519" s="11"/>
      <c r="R3519" s="11"/>
      <c r="S3519" s="12"/>
      <c r="T3519" s="8"/>
      <c r="U3519" s="8" t="s">
        <v>153</v>
      </c>
      <c r="V3519" s="13" t="s">
        <v>1249</v>
      </c>
      <c r="W3519" s="13" t="s">
        <v>16457</v>
      </c>
      <c r="X3519" s="12"/>
      <c r="Y3519" s="14"/>
      <c r="Z3519" s="14"/>
    </row>
    <row r="3520">
      <c r="A3520" s="8" t="s">
        <v>16458</v>
      </c>
      <c r="B3520" s="8" t="s">
        <v>16459</v>
      </c>
      <c r="C3520" s="8" t="s">
        <v>179</v>
      </c>
      <c r="D3520" s="8" t="s">
        <v>26</v>
      </c>
      <c r="E3520" s="8" t="s">
        <v>16460</v>
      </c>
      <c r="F3520" s="8">
        <v>7.2574785E8</v>
      </c>
      <c r="G3520" s="8" t="s">
        <v>127</v>
      </c>
      <c r="H3520" s="8" t="s">
        <v>128</v>
      </c>
      <c r="I3520" s="8" t="s">
        <v>31</v>
      </c>
      <c r="J3520" s="8" t="s">
        <v>56</v>
      </c>
      <c r="K3520" s="10" t="s">
        <v>15775</v>
      </c>
      <c r="L3520" s="8" t="s">
        <v>58</v>
      </c>
      <c r="M3520" s="8" t="s">
        <v>35</v>
      </c>
      <c r="N3520" s="11">
        <v>45234.0</v>
      </c>
      <c r="O3520" s="11">
        <v>45467.0</v>
      </c>
      <c r="P3520" s="11">
        <v>45509.0</v>
      </c>
      <c r="Q3520" s="11"/>
      <c r="R3520" s="11"/>
      <c r="S3520" s="12"/>
      <c r="T3520" s="8"/>
      <c r="U3520" s="8" t="s">
        <v>161</v>
      </c>
      <c r="V3520" s="13" t="s">
        <v>1473</v>
      </c>
      <c r="W3520" s="13" t="s">
        <v>16461</v>
      </c>
      <c r="X3520" s="12"/>
      <c r="Y3520" s="14"/>
      <c r="Z3520" s="14"/>
    </row>
    <row r="3521">
      <c r="A3521" s="8" t="s">
        <v>16462</v>
      </c>
      <c r="B3521" s="8" t="s">
        <v>16463</v>
      </c>
      <c r="C3521" s="8" t="s">
        <v>179</v>
      </c>
      <c r="D3521" s="8" t="s">
        <v>26</v>
      </c>
      <c r="E3521" s="8" t="s">
        <v>16464</v>
      </c>
      <c r="F3521" s="8">
        <v>9.769887224E9</v>
      </c>
      <c r="G3521" s="8" t="s">
        <v>44</v>
      </c>
      <c r="H3521" s="8" t="s">
        <v>741</v>
      </c>
      <c r="I3521" s="8" t="s">
        <v>31</v>
      </c>
      <c r="J3521" s="8" t="s">
        <v>86</v>
      </c>
      <c r="K3521" s="10" t="s">
        <v>2453</v>
      </c>
      <c r="L3521" s="8" t="s">
        <v>58</v>
      </c>
      <c r="M3521" s="8" t="s">
        <v>35</v>
      </c>
      <c r="N3521" s="11">
        <v>45235.0</v>
      </c>
      <c r="O3521" s="11">
        <v>45389.0</v>
      </c>
      <c r="P3521" s="11">
        <v>45431.0</v>
      </c>
      <c r="Q3521" s="11"/>
      <c r="R3521" s="11"/>
      <c r="S3521" s="12"/>
      <c r="T3521" s="8"/>
      <c r="U3521" s="8" t="s">
        <v>59</v>
      </c>
      <c r="V3521" s="13" t="s">
        <v>14621</v>
      </c>
      <c r="W3521" s="13" t="s">
        <v>16465</v>
      </c>
      <c r="X3521" s="12"/>
      <c r="Y3521" s="14"/>
      <c r="Z3521" s="14"/>
    </row>
    <row r="3522">
      <c r="A3522" s="8" t="s">
        <v>16466</v>
      </c>
      <c r="B3522" s="8" t="s">
        <v>16467</v>
      </c>
      <c r="C3522" s="8" t="s">
        <v>179</v>
      </c>
      <c r="D3522" s="8" t="s">
        <v>26</v>
      </c>
      <c r="E3522" s="8" t="s">
        <v>16468</v>
      </c>
      <c r="F3522" s="8">
        <v>2.875242E7</v>
      </c>
      <c r="G3522" s="8" t="s">
        <v>54</v>
      </c>
      <c r="H3522" s="8" t="s">
        <v>430</v>
      </c>
      <c r="I3522" s="8" t="s">
        <v>31</v>
      </c>
      <c r="J3522" s="8" t="s">
        <v>56</v>
      </c>
      <c r="K3522" s="10" t="s">
        <v>15775</v>
      </c>
      <c r="L3522" s="8" t="s">
        <v>58</v>
      </c>
      <c r="M3522" s="8" t="s">
        <v>35</v>
      </c>
      <c r="N3522" s="11">
        <v>45235.0</v>
      </c>
      <c r="O3522" s="11">
        <v>45425.0</v>
      </c>
      <c r="P3522" s="11">
        <v>45467.0</v>
      </c>
      <c r="Q3522" s="11"/>
      <c r="R3522" s="11"/>
      <c r="S3522" s="12"/>
      <c r="T3522" s="8"/>
      <c r="U3522" s="8" t="s">
        <v>161</v>
      </c>
      <c r="V3522" s="13" t="s">
        <v>10697</v>
      </c>
      <c r="W3522" s="13" t="s">
        <v>16469</v>
      </c>
      <c r="X3522" s="12"/>
      <c r="Y3522" s="14"/>
      <c r="Z3522" s="14"/>
    </row>
    <row r="3523">
      <c r="A3523" s="8" t="s">
        <v>16470</v>
      </c>
      <c r="B3523" s="8" t="s">
        <v>16471</v>
      </c>
      <c r="C3523" s="8" t="s">
        <v>179</v>
      </c>
      <c r="D3523" s="8" t="s">
        <v>26</v>
      </c>
      <c r="E3523" s="8" t="s">
        <v>16472</v>
      </c>
      <c r="F3523" s="8">
        <v>9.88521359E8</v>
      </c>
      <c r="G3523" s="8" t="s">
        <v>1620</v>
      </c>
      <c r="H3523" s="8" t="s">
        <v>1621</v>
      </c>
      <c r="I3523" s="8" t="s">
        <v>31</v>
      </c>
      <c r="J3523" s="8" t="s">
        <v>43</v>
      </c>
      <c r="K3523" s="10" t="s">
        <v>837</v>
      </c>
      <c r="L3523" s="8" t="s">
        <v>58</v>
      </c>
      <c r="M3523" s="8" t="s">
        <v>35</v>
      </c>
      <c r="N3523" s="11">
        <v>45235.0</v>
      </c>
      <c r="O3523" s="11">
        <v>45523.0</v>
      </c>
      <c r="P3523" s="11">
        <v>45565.0</v>
      </c>
      <c r="Q3523" s="11"/>
      <c r="R3523" s="11"/>
      <c r="S3523" s="12"/>
      <c r="T3523" s="8"/>
      <c r="U3523" s="8" t="s">
        <v>130</v>
      </c>
      <c r="V3523" s="13" t="s">
        <v>13760</v>
      </c>
      <c r="W3523" s="13" t="s">
        <v>16473</v>
      </c>
      <c r="X3523" s="12"/>
      <c r="Y3523" s="14"/>
      <c r="Z3523" s="14"/>
    </row>
    <row r="3524">
      <c r="A3524" s="8" t="s">
        <v>16474</v>
      </c>
      <c r="B3524" s="8" t="s">
        <v>16475</v>
      </c>
      <c r="C3524" s="8" t="s">
        <v>179</v>
      </c>
      <c r="D3524" s="8" t="s">
        <v>26</v>
      </c>
      <c r="E3524" s="8" t="s">
        <v>16476</v>
      </c>
      <c r="F3524" s="8">
        <v>9.60309635E8</v>
      </c>
      <c r="G3524" s="8" t="s">
        <v>1620</v>
      </c>
      <c r="H3524" s="8" t="s">
        <v>3655</v>
      </c>
      <c r="I3524" s="8" t="s">
        <v>31</v>
      </c>
      <c r="J3524" s="8" t="s">
        <v>86</v>
      </c>
      <c r="K3524" s="10" t="s">
        <v>3621</v>
      </c>
      <c r="L3524" s="8" t="s">
        <v>58</v>
      </c>
      <c r="M3524" s="8" t="s">
        <v>35</v>
      </c>
      <c r="N3524" s="11">
        <v>45235.0</v>
      </c>
      <c r="O3524" s="11">
        <v>45476.0</v>
      </c>
      <c r="P3524" s="11">
        <v>45518.0</v>
      </c>
      <c r="Q3524" s="11"/>
      <c r="R3524" s="11"/>
      <c r="S3524" s="12"/>
      <c r="T3524" s="8"/>
      <c r="U3524" s="8" t="s">
        <v>153</v>
      </c>
      <c r="V3524" s="13" t="s">
        <v>3656</v>
      </c>
      <c r="W3524" s="13" t="s">
        <v>16477</v>
      </c>
      <c r="X3524" s="12"/>
      <c r="Y3524" s="14"/>
      <c r="Z3524" s="14"/>
    </row>
    <row r="3525">
      <c r="A3525" s="8" t="s">
        <v>16478</v>
      </c>
      <c r="B3525" s="8" t="s">
        <v>16479</v>
      </c>
      <c r="C3525" s="8" t="s">
        <v>179</v>
      </c>
      <c r="D3525" s="8" t="s">
        <v>26</v>
      </c>
      <c r="E3525" s="8" t="s">
        <v>16480</v>
      </c>
      <c r="F3525" s="8"/>
      <c r="G3525" s="8" t="s">
        <v>31</v>
      </c>
      <c r="H3525" s="8" t="s">
        <v>56</v>
      </c>
      <c r="I3525" s="8" t="s">
        <v>54</v>
      </c>
      <c r="J3525" s="8" t="s">
        <v>237</v>
      </c>
      <c r="K3525" s="10" t="s">
        <v>15191</v>
      </c>
      <c r="L3525" s="8" t="s">
        <v>58</v>
      </c>
      <c r="M3525" s="8" t="s">
        <v>35</v>
      </c>
      <c r="N3525" s="11">
        <v>45235.0</v>
      </c>
      <c r="O3525" s="11">
        <v>45317.0</v>
      </c>
      <c r="P3525" s="11">
        <v>45359.0</v>
      </c>
      <c r="Q3525" s="11"/>
      <c r="R3525" s="11"/>
      <c r="S3525" s="12"/>
      <c r="T3525" s="8"/>
      <c r="U3525" s="8" t="s">
        <v>402</v>
      </c>
      <c r="V3525" s="13" t="s">
        <v>38</v>
      </c>
      <c r="W3525" s="13" t="s">
        <v>16481</v>
      </c>
      <c r="X3525" s="12"/>
      <c r="Y3525" s="14"/>
      <c r="Z3525" s="14"/>
    </row>
    <row r="3526">
      <c r="A3526" s="8" t="s">
        <v>16482</v>
      </c>
      <c r="B3526" s="8" t="s">
        <v>16483</v>
      </c>
      <c r="C3526" s="8" t="s">
        <v>179</v>
      </c>
      <c r="D3526" s="8" t="s">
        <v>26</v>
      </c>
      <c r="E3526" s="8" t="s">
        <v>16484</v>
      </c>
      <c r="F3526" s="8">
        <v>5.375850416E9</v>
      </c>
      <c r="G3526" s="8" t="s">
        <v>31</v>
      </c>
      <c r="H3526" s="8" t="s">
        <v>86</v>
      </c>
      <c r="I3526" s="8" t="s">
        <v>54</v>
      </c>
      <c r="J3526" s="8" t="s">
        <v>237</v>
      </c>
      <c r="K3526" s="10" t="s">
        <v>16485</v>
      </c>
      <c r="L3526" s="8" t="s">
        <v>58</v>
      </c>
      <c r="M3526" s="8" t="s">
        <v>35</v>
      </c>
      <c r="N3526" s="11">
        <v>45235.0</v>
      </c>
      <c r="O3526" s="11">
        <v>45458.0</v>
      </c>
      <c r="P3526" s="11">
        <v>45500.0</v>
      </c>
      <c r="Q3526" s="11"/>
      <c r="R3526" s="11"/>
      <c r="S3526" s="12"/>
      <c r="T3526" s="8"/>
      <c r="U3526" s="8" t="s">
        <v>1590</v>
      </c>
      <c r="V3526" s="13" t="s">
        <v>175</v>
      </c>
      <c r="W3526" s="13" t="s">
        <v>16486</v>
      </c>
      <c r="X3526" s="12"/>
      <c r="Y3526" s="14"/>
      <c r="Z3526" s="14"/>
    </row>
    <row r="3527">
      <c r="A3527" s="8" t="s">
        <v>16487</v>
      </c>
      <c r="B3527" s="8" t="s">
        <v>16488</v>
      </c>
      <c r="C3527" s="8" t="s">
        <v>179</v>
      </c>
      <c r="D3527" s="8" t="s">
        <v>26</v>
      </c>
      <c r="E3527" s="8" t="s">
        <v>16489</v>
      </c>
      <c r="F3527" s="8">
        <v>6.64469527E8</v>
      </c>
      <c r="G3527" s="8" t="s">
        <v>254</v>
      </c>
      <c r="H3527" s="8" t="s">
        <v>422</v>
      </c>
      <c r="I3527" s="8" t="s">
        <v>31</v>
      </c>
      <c r="J3527" s="8" t="s">
        <v>86</v>
      </c>
      <c r="K3527" s="10" t="s">
        <v>3621</v>
      </c>
      <c r="L3527" s="8" t="s">
        <v>58</v>
      </c>
      <c r="M3527" s="8" t="s">
        <v>35</v>
      </c>
      <c r="N3527" s="11">
        <v>45235.0</v>
      </c>
      <c r="O3527" s="11">
        <v>45476.0</v>
      </c>
      <c r="P3527" s="11">
        <v>45518.0</v>
      </c>
      <c r="Q3527" s="11"/>
      <c r="R3527" s="11"/>
      <c r="S3527" s="12"/>
      <c r="T3527" s="8"/>
      <c r="U3527" s="8" t="s">
        <v>153</v>
      </c>
      <c r="V3527" s="13" t="s">
        <v>425</v>
      </c>
      <c r="W3527" s="13" t="s">
        <v>16490</v>
      </c>
      <c r="X3527" s="12"/>
      <c r="Y3527" s="14"/>
      <c r="Z3527" s="14"/>
    </row>
    <row r="3528">
      <c r="A3528" s="8" t="s">
        <v>16491</v>
      </c>
      <c r="B3528" s="8" t="s">
        <v>16492</v>
      </c>
      <c r="C3528" s="8" t="s">
        <v>64</v>
      </c>
      <c r="D3528" s="8" t="s">
        <v>26</v>
      </c>
      <c r="E3528" s="8" t="s">
        <v>16493</v>
      </c>
      <c r="F3528" s="8">
        <v>9.54539182E8</v>
      </c>
      <c r="G3528" s="8" t="s">
        <v>1620</v>
      </c>
      <c r="H3528" s="8" t="s">
        <v>4288</v>
      </c>
      <c r="I3528" s="8" t="s">
        <v>31</v>
      </c>
      <c r="J3528" s="8" t="s">
        <v>43</v>
      </c>
      <c r="K3528" s="10" t="s">
        <v>12504</v>
      </c>
      <c r="L3528" s="8" t="s">
        <v>58</v>
      </c>
      <c r="M3528" s="8" t="s">
        <v>35</v>
      </c>
      <c r="N3528" s="11">
        <v>45235.0</v>
      </c>
      <c r="O3528" s="11">
        <v>45243.0</v>
      </c>
      <c r="P3528" s="11">
        <v>45285.0</v>
      </c>
      <c r="Q3528" s="11">
        <v>45257.0</v>
      </c>
      <c r="R3528" s="11">
        <v>45299.0</v>
      </c>
      <c r="S3528" s="12"/>
      <c r="T3528" s="8"/>
      <c r="U3528" s="8" t="s">
        <v>59</v>
      </c>
      <c r="V3528" s="13" t="s">
        <v>16494</v>
      </c>
      <c r="W3528" s="13" t="s">
        <v>16495</v>
      </c>
      <c r="X3528" s="12"/>
      <c r="Y3528" s="14"/>
      <c r="Z3528" s="14"/>
    </row>
    <row r="3529">
      <c r="A3529" s="8" t="s">
        <v>16496</v>
      </c>
      <c r="B3529" s="8" t="s">
        <v>12053</v>
      </c>
      <c r="C3529" s="8" t="s">
        <v>708</v>
      </c>
      <c r="D3529" s="8" t="s">
        <v>26</v>
      </c>
      <c r="E3529" s="8" t="s">
        <v>12054</v>
      </c>
      <c r="F3529" s="8">
        <v>5.338580459E9</v>
      </c>
      <c r="G3529" s="8" t="s">
        <v>31</v>
      </c>
      <c r="H3529" s="8" t="s">
        <v>959</v>
      </c>
      <c r="I3529" s="8" t="s">
        <v>1400</v>
      </c>
      <c r="J3529" s="8" t="s">
        <v>1401</v>
      </c>
      <c r="K3529" s="10" t="s">
        <v>16386</v>
      </c>
      <c r="L3529" s="8" t="s">
        <v>58</v>
      </c>
      <c r="M3529" s="8" t="s">
        <v>35</v>
      </c>
      <c r="N3529" s="11">
        <v>45235.0</v>
      </c>
      <c r="O3529" s="11">
        <v>45306.0</v>
      </c>
      <c r="P3529" s="11">
        <v>45348.0</v>
      </c>
      <c r="Q3529" s="11">
        <v>45306.0</v>
      </c>
      <c r="R3529" s="11">
        <v>45348.0</v>
      </c>
      <c r="S3529" s="12"/>
      <c r="T3529" s="8"/>
      <c r="U3529" s="8" t="s">
        <v>88</v>
      </c>
      <c r="V3529" s="13" t="s">
        <v>1069</v>
      </c>
      <c r="W3529" s="13" t="s">
        <v>12056</v>
      </c>
      <c r="X3529" s="12"/>
      <c r="Y3529" s="14"/>
      <c r="Z3529" s="14"/>
    </row>
    <row r="3530">
      <c r="A3530" s="8" t="s">
        <v>16497</v>
      </c>
      <c r="B3530" s="8" t="s">
        <v>16498</v>
      </c>
      <c r="C3530" s="8" t="s">
        <v>179</v>
      </c>
      <c r="D3530" s="8" t="s">
        <v>26</v>
      </c>
      <c r="E3530" s="8" t="s">
        <v>16499</v>
      </c>
      <c r="F3530" s="8"/>
      <c r="G3530" s="8" t="s">
        <v>1620</v>
      </c>
      <c r="H3530" s="8" t="s">
        <v>4288</v>
      </c>
      <c r="I3530" s="8" t="s">
        <v>31</v>
      </c>
      <c r="J3530" s="8" t="s">
        <v>102</v>
      </c>
      <c r="K3530" s="10" t="s">
        <v>9014</v>
      </c>
      <c r="L3530" s="8" t="s">
        <v>58</v>
      </c>
      <c r="M3530" s="8" t="s">
        <v>35</v>
      </c>
      <c r="N3530" s="11">
        <v>45235.0</v>
      </c>
      <c r="O3530" s="11">
        <v>45467.0</v>
      </c>
      <c r="P3530" s="11">
        <v>45509.0</v>
      </c>
      <c r="Q3530" s="11"/>
      <c r="R3530" s="11"/>
      <c r="S3530" s="12"/>
      <c r="T3530" s="8"/>
      <c r="U3530" s="8" t="s">
        <v>88</v>
      </c>
      <c r="V3530" s="13" t="s">
        <v>38</v>
      </c>
      <c r="W3530" s="13" t="s">
        <v>16500</v>
      </c>
      <c r="X3530" s="12"/>
      <c r="Y3530" s="14"/>
      <c r="Z3530" s="14"/>
    </row>
    <row r="3531">
      <c r="A3531" s="8" t="s">
        <v>16501</v>
      </c>
      <c r="B3531" s="8" t="s">
        <v>14413</v>
      </c>
      <c r="C3531" s="8" t="s">
        <v>179</v>
      </c>
      <c r="D3531" s="8" t="s">
        <v>26</v>
      </c>
      <c r="E3531" s="8" t="s">
        <v>14414</v>
      </c>
      <c r="F3531" s="8">
        <v>9.67373317E8</v>
      </c>
      <c r="G3531" s="8" t="s">
        <v>1620</v>
      </c>
      <c r="H3531" s="8" t="s">
        <v>1621</v>
      </c>
      <c r="I3531" s="8" t="s">
        <v>31</v>
      </c>
      <c r="J3531" s="8" t="s">
        <v>43</v>
      </c>
      <c r="K3531" s="10" t="s">
        <v>837</v>
      </c>
      <c r="L3531" s="8" t="s">
        <v>58</v>
      </c>
      <c r="M3531" s="8" t="s">
        <v>35</v>
      </c>
      <c r="N3531" s="11">
        <v>45235.0</v>
      </c>
      <c r="O3531" s="11">
        <v>45523.0</v>
      </c>
      <c r="P3531" s="11">
        <v>45565.0</v>
      </c>
      <c r="Q3531" s="11"/>
      <c r="R3531" s="11"/>
      <c r="S3531" s="12"/>
      <c r="T3531" s="8"/>
      <c r="U3531" s="8" t="s">
        <v>130</v>
      </c>
      <c r="V3531" s="13" t="s">
        <v>13760</v>
      </c>
      <c r="W3531" s="13" t="s">
        <v>14415</v>
      </c>
      <c r="X3531" s="12"/>
      <c r="Y3531" s="14"/>
      <c r="Z3531" s="14"/>
    </row>
    <row r="3532">
      <c r="A3532" s="8" t="s">
        <v>16502</v>
      </c>
      <c r="B3532" s="8" t="s">
        <v>16503</v>
      </c>
      <c r="C3532" s="8" t="s">
        <v>179</v>
      </c>
      <c r="D3532" s="8" t="s">
        <v>26</v>
      </c>
      <c r="E3532" s="8" t="s">
        <v>16504</v>
      </c>
      <c r="F3532" s="8">
        <v>9.58012661E8</v>
      </c>
      <c r="G3532" s="8" t="s">
        <v>1620</v>
      </c>
      <c r="H3532" s="8" t="s">
        <v>1621</v>
      </c>
      <c r="I3532" s="8" t="s">
        <v>31</v>
      </c>
      <c r="J3532" s="8" t="s">
        <v>43</v>
      </c>
      <c r="K3532" s="10" t="s">
        <v>837</v>
      </c>
      <c r="L3532" s="8" t="s">
        <v>58</v>
      </c>
      <c r="M3532" s="8" t="s">
        <v>35</v>
      </c>
      <c r="N3532" s="11">
        <v>45235.0</v>
      </c>
      <c r="O3532" s="11">
        <v>45523.0</v>
      </c>
      <c r="P3532" s="11">
        <v>45565.0</v>
      </c>
      <c r="Q3532" s="11"/>
      <c r="R3532" s="11"/>
      <c r="S3532" s="12"/>
      <c r="T3532" s="8"/>
      <c r="U3532" s="8" t="s">
        <v>130</v>
      </c>
      <c r="V3532" s="13" t="s">
        <v>13760</v>
      </c>
      <c r="W3532" s="13" t="s">
        <v>16505</v>
      </c>
      <c r="X3532" s="12"/>
      <c r="Y3532" s="14"/>
      <c r="Z3532" s="14"/>
    </row>
    <row r="3533">
      <c r="A3533" s="8" t="s">
        <v>16506</v>
      </c>
      <c r="B3533" s="8" t="s">
        <v>16507</v>
      </c>
      <c r="C3533" s="8" t="s">
        <v>179</v>
      </c>
      <c r="D3533" s="8" t="s">
        <v>26</v>
      </c>
      <c r="E3533" s="8" t="s">
        <v>16508</v>
      </c>
      <c r="F3533" s="8">
        <v>7.42933531E8</v>
      </c>
      <c r="G3533" s="8" t="s">
        <v>127</v>
      </c>
      <c r="H3533" s="8" t="s">
        <v>159</v>
      </c>
      <c r="I3533" s="8" t="s">
        <v>31</v>
      </c>
      <c r="J3533" s="8" t="s">
        <v>56</v>
      </c>
      <c r="K3533" s="10" t="s">
        <v>15775</v>
      </c>
      <c r="L3533" s="8" t="s">
        <v>58</v>
      </c>
      <c r="M3533" s="8" t="s">
        <v>35</v>
      </c>
      <c r="N3533" s="11">
        <v>45236.0</v>
      </c>
      <c r="O3533" s="11">
        <v>45467.0</v>
      </c>
      <c r="P3533" s="11">
        <v>45509.0</v>
      </c>
      <c r="Q3533" s="11"/>
      <c r="R3533" s="11"/>
      <c r="S3533" s="12"/>
      <c r="T3533" s="8"/>
      <c r="U3533" s="8" t="s">
        <v>161</v>
      </c>
      <c r="V3533" s="13" t="s">
        <v>16509</v>
      </c>
      <c r="W3533" s="13" t="s">
        <v>16510</v>
      </c>
      <c r="X3533" s="12"/>
      <c r="Y3533" s="14"/>
      <c r="Z3533" s="14"/>
    </row>
    <row r="3534">
      <c r="A3534" s="8" t="s">
        <v>16511</v>
      </c>
      <c r="B3534" s="8" t="s">
        <v>16512</v>
      </c>
      <c r="C3534" s="8" t="s">
        <v>179</v>
      </c>
      <c r="D3534" s="8" t="s">
        <v>26</v>
      </c>
      <c r="E3534" s="8" t="s">
        <v>16513</v>
      </c>
      <c r="F3534" s="8">
        <v>1.067873178E9</v>
      </c>
      <c r="G3534" s="8" t="s">
        <v>284</v>
      </c>
      <c r="H3534" s="8" t="s">
        <v>2065</v>
      </c>
      <c r="I3534" s="8" t="s">
        <v>31</v>
      </c>
      <c r="J3534" s="8" t="s">
        <v>220</v>
      </c>
      <c r="K3534" s="10" t="s">
        <v>11414</v>
      </c>
      <c r="L3534" s="8" t="s">
        <v>47</v>
      </c>
      <c r="M3534" s="8" t="s">
        <v>70</v>
      </c>
      <c r="N3534" s="11">
        <v>45236.0</v>
      </c>
      <c r="O3534" s="11">
        <v>45261.0</v>
      </c>
      <c r="P3534" s="11">
        <v>45626.0</v>
      </c>
      <c r="Q3534" s="11"/>
      <c r="R3534" s="11"/>
      <c r="S3534" s="12"/>
      <c r="T3534" s="8"/>
      <c r="U3534" s="8" t="s">
        <v>246</v>
      </c>
      <c r="V3534" s="13" t="s">
        <v>2065</v>
      </c>
      <c r="W3534" s="13" t="s">
        <v>16514</v>
      </c>
      <c r="X3534" s="12"/>
      <c r="Y3534" s="14"/>
      <c r="Z3534" s="14"/>
    </row>
    <row r="3535">
      <c r="A3535" s="8" t="s">
        <v>16515</v>
      </c>
      <c r="B3535" s="8" t="s">
        <v>16516</v>
      </c>
      <c r="C3535" s="8" t="s">
        <v>179</v>
      </c>
      <c r="D3535" s="8" t="s">
        <v>26</v>
      </c>
      <c r="E3535" s="8" t="s">
        <v>16517</v>
      </c>
      <c r="F3535" s="8">
        <v>5.8611614E7</v>
      </c>
      <c r="G3535" s="8" t="s">
        <v>54</v>
      </c>
      <c r="H3535" s="8" t="s">
        <v>430</v>
      </c>
      <c r="I3535" s="8" t="s">
        <v>31</v>
      </c>
      <c r="J3535" s="8" t="s">
        <v>292</v>
      </c>
      <c r="K3535" s="10" t="s">
        <v>12835</v>
      </c>
      <c r="L3535" s="8" t="s">
        <v>58</v>
      </c>
      <c r="M3535" s="8" t="s">
        <v>35</v>
      </c>
      <c r="N3535" s="11">
        <v>45236.0</v>
      </c>
      <c r="O3535" s="11">
        <v>45327.0</v>
      </c>
      <c r="P3535" s="11">
        <v>45369.0</v>
      </c>
      <c r="Q3535" s="11"/>
      <c r="R3535" s="11"/>
      <c r="S3535" s="12"/>
      <c r="T3535" s="8"/>
      <c r="U3535" s="8" t="s">
        <v>88</v>
      </c>
      <c r="V3535" s="13" t="s">
        <v>4780</v>
      </c>
      <c r="W3535" s="13" t="s">
        <v>16518</v>
      </c>
      <c r="X3535" s="12"/>
      <c r="Y3535" s="14"/>
      <c r="Z3535" s="14"/>
    </row>
    <row r="3536">
      <c r="A3536" s="8" t="s">
        <v>16519</v>
      </c>
      <c r="B3536" s="8" t="s">
        <v>16520</v>
      </c>
      <c r="C3536" s="8" t="s">
        <v>179</v>
      </c>
      <c r="D3536" s="8" t="s">
        <v>26</v>
      </c>
      <c r="E3536" s="8" t="s">
        <v>16521</v>
      </c>
      <c r="F3536" s="8">
        <v>5.347893489E9</v>
      </c>
      <c r="G3536" s="8" t="s">
        <v>31</v>
      </c>
      <c r="H3536" s="8" t="s">
        <v>111</v>
      </c>
      <c r="I3536" s="8" t="s">
        <v>399</v>
      </c>
      <c r="J3536" s="8" t="s">
        <v>415</v>
      </c>
      <c r="K3536" s="10" t="s">
        <v>2626</v>
      </c>
      <c r="L3536" s="8" t="s">
        <v>58</v>
      </c>
      <c r="M3536" s="8" t="s">
        <v>35</v>
      </c>
      <c r="N3536" s="11">
        <v>45236.0</v>
      </c>
      <c r="O3536" s="11">
        <v>45474.0</v>
      </c>
      <c r="P3536" s="11">
        <v>45516.0</v>
      </c>
      <c r="Q3536" s="11"/>
      <c r="R3536" s="11"/>
      <c r="S3536" s="12"/>
      <c r="T3536" s="8"/>
      <c r="U3536" s="8" t="s">
        <v>185</v>
      </c>
      <c r="V3536" s="13" t="s">
        <v>111</v>
      </c>
      <c r="W3536" s="13" t="s">
        <v>16522</v>
      </c>
      <c r="X3536" s="12"/>
      <c r="Y3536" s="14"/>
      <c r="Z3536" s="14"/>
    </row>
    <row r="3537">
      <c r="A3537" s="8" t="s">
        <v>16523</v>
      </c>
      <c r="B3537" s="8" t="s">
        <v>16524</v>
      </c>
      <c r="C3537" s="8" t="s">
        <v>179</v>
      </c>
      <c r="D3537" s="8" t="s">
        <v>26</v>
      </c>
      <c r="E3537" s="8" t="s">
        <v>16525</v>
      </c>
      <c r="F3537" s="8">
        <v>5.051201415E9</v>
      </c>
      <c r="G3537" s="8" t="s">
        <v>31</v>
      </c>
      <c r="H3537" s="8" t="s">
        <v>86</v>
      </c>
      <c r="I3537" s="8" t="s">
        <v>284</v>
      </c>
      <c r="J3537" s="8" t="s">
        <v>854</v>
      </c>
      <c r="K3537" s="10" t="s">
        <v>12832</v>
      </c>
      <c r="L3537" s="8" t="s">
        <v>58</v>
      </c>
      <c r="M3537" s="8" t="s">
        <v>35</v>
      </c>
      <c r="N3537" s="11">
        <v>45236.0</v>
      </c>
      <c r="O3537" s="11">
        <v>45474.0</v>
      </c>
      <c r="P3537" s="11">
        <v>45516.0</v>
      </c>
      <c r="Q3537" s="11"/>
      <c r="R3537" s="11"/>
      <c r="S3537" s="12"/>
      <c r="T3537" s="8"/>
      <c r="U3537" s="8" t="s">
        <v>185</v>
      </c>
      <c r="V3537" s="13" t="s">
        <v>175</v>
      </c>
      <c r="W3537" s="13" t="s">
        <v>16526</v>
      </c>
      <c r="X3537" s="12"/>
      <c r="Y3537" s="14"/>
      <c r="Z3537" s="14"/>
    </row>
    <row r="3538">
      <c r="A3538" s="8" t="s">
        <v>16527</v>
      </c>
      <c r="B3538" s="8" t="s">
        <v>16528</v>
      </c>
      <c r="C3538" s="8" t="s">
        <v>179</v>
      </c>
      <c r="D3538" s="8" t="s">
        <v>26</v>
      </c>
      <c r="E3538" s="8" t="s">
        <v>16529</v>
      </c>
      <c r="F3538" s="8">
        <v>5.312652552E9</v>
      </c>
      <c r="G3538" s="8" t="s">
        <v>31</v>
      </c>
      <c r="H3538" s="8" t="s">
        <v>66</v>
      </c>
      <c r="I3538" s="8" t="s">
        <v>284</v>
      </c>
      <c r="J3538" s="8" t="s">
        <v>589</v>
      </c>
      <c r="K3538" s="10" t="s">
        <v>16530</v>
      </c>
      <c r="L3538" s="8" t="s">
        <v>58</v>
      </c>
      <c r="M3538" s="8" t="s">
        <v>35</v>
      </c>
      <c r="N3538" s="11">
        <v>45236.0</v>
      </c>
      <c r="O3538" s="11">
        <v>45397.0</v>
      </c>
      <c r="P3538" s="11">
        <v>45439.0</v>
      </c>
      <c r="Q3538" s="11"/>
      <c r="R3538" s="11"/>
      <c r="S3538" s="12"/>
      <c r="T3538" s="8"/>
      <c r="U3538" s="8" t="s">
        <v>185</v>
      </c>
      <c r="V3538" s="13" t="s">
        <v>66</v>
      </c>
      <c r="W3538" s="13" t="s">
        <v>16531</v>
      </c>
      <c r="X3538" s="12"/>
      <c r="Y3538" s="14"/>
      <c r="Z3538" s="14"/>
    </row>
    <row r="3539">
      <c r="A3539" s="8" t="s">
        <v>16532</v>
      </c>
      <c r="B3539" s="8" t="s">
        <v>16533</v>
      </c>
      <c r="C3539" s="8" t="s">
        <v>179</v>
      </c>
      <c r="D3539" s="8" t="s">
        <v>26</v>
      </c>
      <c r="E3539" s="8" t="s">
        <v>16534</v>
      </c>
      <c r="F3539" s="8">
        <v>5.519388766E9</v>
      </c>
      <c r="G3539" s="8" t="s">
        <v>31</v>
      </c>
      <c r="H3539" s="8" t="s">
        <v>66</v>
      </c>
      <c r="I3539" s="8" t="s">
        <v>54</v>
      </c>
      <c r="J3539" s="8" t="s">
        <v>430</v>
      </c>
      <c r="K3539" s="10" t="s">
        <v>16299</v>
      </c>
      <c r="L3539" s="8" t="s">
        <v>58</v>
      </c>
      <c r="M3539" s="8" t="s">
        <v>35</v>
      </c>
      <c r="N3539" s="11">
        <v>45236.0</v>
      </c>
      <c r="O3539" s="11">
        <v>45486.0</v>
      </c>
      <c r="P3539" s="11">
        <v>45528.0</v>
      </c>
      <c r="Q3539" s="11"/>
      <c r="R3539" s="11"/>
      <c r="S3539" s="12"/>
      <c r="T3539" s="8"/>
      <c r="U3539" s="8" t="s">
        <v>1038</v>
      </c>
      <c r="V3539" s="13" t="s">
        <v>66</v>
      </c>
      <c r="W3539" s="13" t="s">
        <v>16535</v>
      </c>
      <c r="X3539" s="12"/>
      <c r="Y3539" s="14"/>
      <c r="Z3539" s="14"/>
    </row>
    <row r="3540">
      <c r="A3540" s="8" t="s">
        <v>16536</v>
      </c>
      <c r="B3540" s="8" t="s">
        <v>16537</v>
      </c>
      <c r="C3540" s="8" t="s">
        <v>179</v>
      </c>
      <c r="D3540" s="8" t="s">
        <v>26</v>
      </c>
      <c r="E3540" s="8" t="s">
        <v>16538</v>
      </c>
      <c r="F3540" s="8">
        <v>5.365548414E9</v>
      </c>
      <c r="G3540" s="8" t="s">
        <v>31</v>
      </c>
      <c r="H3540" s="8" t="s">
        <v>66</v>
      </c>
      <c r="I3540" s="8" t="s">
        <v>284</v>
      </c>
      <c r="J3540" s="8" t="s">
        <v>793</v>
      </c>
      <c r="K3540" s="10" t="s">
        <v>16539</v>
      </c>
      <c r="L3540" s="8" t="s">
        <v>58</v>
      </c>
      <c r="M3540" s="8" t="s">
        <v>35</v>
      </c>
      <c r="N3540" s="11">
        <v>45236.0</v>
      </c>
      <c r="O3540" s="11">
        <v>45483.0</v>
      </c>
      <c r="P3540" s="11">
        <v>45525.0</v>
      </c>
      <c r="Q3540" s="11"/>
      <c r="R3540" s="11"/>
      <c r="S3540" s="12"/>
      <c r="T3540" s="8"/>
      <c r="U3540" s="8" t="s">
        <v>339</v>
      </c>
      <c r="V3540" s="13" t="s">
        <v>66</v>
      </c>
      <c r="W3540" s="13" t="s">
        <v>16540</v>
      </c>
      <c r="X3540" s="12"/>
      <c r="Y3540" s="14"/>
      <c r="Z3540" s="14"/>
    </row>
    <row r="3541">
      <c r="A3541" s="8" t="s">
        <v>16541</v>
      </c>
      <c r="B3541" s="8" t="s">
        <v>16542</v>
      </c>
      <c r="C3541" s="8" t="s">
        <v>179</v>
      </c>
      <c r="D3541" s="8" t="s">
        <v>26</v>
      </c>
      <c r="E3541" s="8" t="s">
        <v>16543</v>
      </c>
      <c r="F3541" s="8">
        <v>2.5864665E7</v>
      </c>
      <c r="G3541" s="8" t="s">
        <v>54</v>
      </c>
      <c r="H3541" s="8" t="s">
        <v>430</v>
      </c>
      <c r="I3541" s="8" t="s">
        <v>31</v>
      </c>
      <c r="J3541" s="8" t="s">
        <v>542</v>
      </c>
      <c r="K3541" s="10" t="s">
        <v>16221</v>
      </c>
      <c r="L3541" s="8" t="s">
        <v>34</v>
      </c>
      <c r="M3541" s="8" t="s">
        <v>70</v>
      </c>
      <c r="N3541" s="11">
        <v>45236.0</v>
      </c>
      <c r="O3541" s="11">
        <v>45458.0</v>
      </c>
      <c r="P3541" s="11">
        <v>45821.0</v>
      </c>
      <c r="Q3541" s="11"/>
      <c r="R3541" s="11"/>
      <c r="S3541" s="12"/>
      <c r="T3541" s="8" t="s">
        <v>36</v>
      </c>
      <c r="U3541" s="8" t="s">
        <v>16222</v>
      </c>
      <c r="V3541" s="13" t="s">
        <v>7645</v>
      </c>
      <c r="W3541" s="13" t="s">
        <v>16544</v>
      </c>
      <c r="X3541" s="12"/>
      <c r="Y3541" s="14"/>
      <c r="Z3541" s="14"/>
    </row>
    <row r="3542">
      <c r="A3542" s="8" t="s">
        <v>16545</v>
      </c>
      <c r="B3542" s="8" t="s">
        <v>16546</v>
      </c>
      <c r="C3542" s="8" t="s">
        <v>179</v>
      </c>
      <c r="D3542" s="8" t="s">
        <v>26</v>
      </c>
      <c r="E3542" s="8" t="s">
        <v>16547</v>
      </c>
      <c r="F3542" s="8">
        <v>9.5540008E7</v>
      </c>
      <c r="G3542" s="8" t="s">
        <v>54</v>
      </c>
      <c r="H3542" s="8" t="s">
        <v>135</v>
      </c>
      <c r="I3542" s="8" t="s">
        <v>31</v>
      </c>
      <c r="J3542" s="8" t="s">
        <v>77</v>
      </c>
      <c r="K3542" s="10" t="s">
        <v>4188</v>
      </c>
      <c r="L3542" s="8" t="s">
        <v>58</v>
      </c>
      <c r="M3542" s="8" t="s">
        <v>35</v>
      </c>
      <c r="N3542" s="11">
        <v>45236.0</v>
      </c>
      <c r="O3542" s="11">
        <v>45481.0</v>
      </c>
      <c r="P3542" s="11">
        <v>45523.0</v>
      </c>
      <c r="Q3542" s="11"/>
      <c r="R3542" s="11"/>
      <c r="S3542" s="12"/>
      <c r="T3542" s="8"/>
      <c r="U3542" s="8" t="s">
        <v>59</v>
      </c>
      <c r="V3542" s="13" t="s">
        <v>190</v>
      </c>
      <c r="W3542" s="13" t="s">
        <v>16548</v>
      </c>
      <c r="X3542" s="12"/>
      <c r="Y3542" s="14"/>
      <c r="Z3542" s="14"/>
    </row>
    <row r="3543">
      <c r="A3543" s="8" t="s">
        <v>16549</v>
      </c>
      <c r="B3543" s="8" t="s">
        <v>16550</v>
      </c>
      <c r="C3543" s="8" t="s">
        <v>179</v>
      </c>
      <c r="D3543" s="8" t="s">
        <v>26</v>
      </c>
      <c r="E3543" s="8" t="s">
        <v>16551</v>
      </c>
      <c r="F3543" s="8"/>
      <c r="G3543" s="8" t="s">
        <v>31</v>
      </c>
      <c r="H3543" s="8" t="s">
        <v>292</v>
      </c>
      <c r="I3543" s="8" t="s">
        <v>284</v>
      </c>
      <c r="J3543" s="8" t="s">
        <v>1777</v>
      </c>
      <c r="K3543" s="10" t="s">
        <v>16552</v>
      </c>
      <c r="L3543" s="8" t="s">
        <v>58</v>
      </c>
      <c r="M3543" s="8" t="s">
        <v>35</v>
      </c>
      <c r="N3543" s="11">
        <v>45237.0</v>
      </c>
      <c r="O3543" s="11">
        <v>45488.0</v>
      </c>
      <c r="P3543" s="11">
        <v>45530.0</v>
      </c>
      <c r="Q3543" s="11"/>
      <c r="R3543" s="11"/>
      <c r="S3543" s="12"/>
      <c r="T3543" s="8"/>
      <c r="U3543" s="8" t="s">
        <v>59</v>
      </c>
      <c r="V3543" s="13" t="s">
        <v>292</v>
      </c>
      <c r="W3543" s="13" t="s">
        <v>16553</v>
      </c>
      <c r="X3543" s="12"/>
      <c r="Y3543" s="14"/>
      <c r="Z3543" s="14"/>
    </row>
    <row r="3544">
      <c r="A3544" s="8" t="s">
        <v>16554</v>
      </c>
      <c r="B3544" s="8" t="s">
        <v>16555</v>
      </c>
      <c r="C3544" s="8" t="s">
        <v>179</v>
      </c>
      <c r="D3544" s="8" t="s">
        <v>26</v>
      </c>
      <c r="E3544" s="8" t="s">
        <v>16556</v>
      </c>
      <c r="F3544" s="8">
        <v>5.0036052E7</v>
      </c>
      <c r="G3544" s="8" t="s">
        <v>54</v>
      </c>
      <c r="H3544" s="8" t="s">
        <v>135</v>
      </c>
      <c r="I3544" s="8" t="s">
        <v>31</v>
      </c>
      <c r="J3544" s="8" t="s">
        <v>256</v>
      </c>
      <c r="K3544" s="10" t="s">
        <v>10689</v>
      </c>
      <c r="L3544" s="8" t="s">
        <v>58</v>
      </c>
      <c r="M3544" s="8" t="s">
        <v>35</v>
      </c>
      <c r="N3544" s="11">
        <v>45237.0</v>
      </c>
      <c r="O3544" s="11">
        <v>45516.0</v>
      </c>
      <c r="P3544" s="11">
        <v>45558.0</v>
      </c>
      <c r="Q3544" s="11"/>
      <c r="R3544" s="11"/>
      <c r="S3544" s="12"/>
      <c r="T3544" s="8"/>
      <c r="U3544" s="8" t="s">
        <v>59</v>
      </c>
      <c r="V3544" s="13" t="s">
        <v>138</v>
      </c>
      <c r="W3544" s="13" t="s">
        <v>16557</v>
      </c>
      <c r="X3544" s="12"/>
      <c r="Y3544" s="14"/>
      <c r="Z3544" s="14"/>
    </row>
    <row r="3545">
      <c r="A3545" s="8" t="s">
        <v>16558</v>
      </c>
      <c r="B3545" s="8" t="s">
        <v>12164</v>
      </c>
      <c r="C3545" s="8" t="s">
        <v>179</v>
      </c>
      <c r="D3545" s="8" t="s">
        <v>26</v>
      </c>
      <c r="E3545" s="8" t="s">
        <v>12165</v>
      </c>
      <c r="F3545" s="8">
        <v>5.456977095E9</v>
      </c>
      <c r="G3545" s="8" t="s">
        <v>31</v>
      </c>
      <c r="H3545" s="8" t="s">
        <v>292</v>
      </c>
      <c r="I3545" s="8" t="s">
        <v>284</v>
      </c>
      <c r="J3545" s="8" t="s">
        <v>1777</v>
      </c>
      <c r="K3545" s="10" t="s">
        <v>16009</v>
      </c>
      <c r="L3545" s="8" t="s">
        <v>58</v>
      </c>
      <c r="M3545" s="8" t="s">
        <v>35</v>
      </c>
      <c r="N3545" s="11">
        <v>45237.0</v>
      </c>
      <c r="O3545" s="11">
        <v>45488.0</v>
      </c>
      <c r="P3545" s="11">
        <v>45530.0</v>
      </c>
      <c r="Q3545" s="11"/>
      <c r="R3545" s="11"/>
      <c r="S3545" s="12"/>
      <c r="T3545" s="8"/>
      <c r="U3545" s="8" t="s">
        <v>153</v>
      </c>
      <c r="V3545" s="13" t="s">
        <v>292</v>
      </c>
      <c r="W3545" s="13" t="s">
        <v>12166</v>
      </c>
      <c r="X3545" s="12"/>
      <c r="Y3545" s="14"/>
      <c r="Z3545" s="14"/>
    </row>
    <row r="3546">
      <c r="A3546" s="8" t="s">
        <v>16559</v>
      </c>
      <c r="B3546" s="8" t="s">
        <v>16560</v>
      </c>
      <c r="C3546" s="8" t="s">
        <v>64</v>
      </c>
      <c r="D3546" s="8" t="s">
        <v>26</v>
      </c>
      <c r="E3546" s="8" t="s">
        <v>16561</v>
      </c>
      <c r="F3546" s="8">
        <v>6.88990848E8</v>
      </c>
      <c r="G3546" s="8" t="s">
        <v>1620</v>
      </c>
      <c r="H3546" s="8" t="s">
        <v>3655</v>
      </c>
      <c r="I3546" s="8" t="s">
        <v>31</v>
      </c>
      <c r="J3546" s="8" t="s">
        <v>43</v>
      </c>
      <c r="K3546" s="10" t="s">
        <v>13706</v>
      </c>
      <c r="L3546" s="8" t="s">
        <v>58</v>
      </c>
      <c r="M3546" s="8" t="s">
        <v>35</v>
      </c>
      <c r="N3546" s="11">
        <v>45237.0</v>
      </c>
      <c r="O3546" s="11">
        <v>45257.0</v>
      </c>
      <c r="P3546" s="11">
        <v>45299.0</v>
      </c>
      <c r="Q3546" s="11">
        <v>45260.0</v>
      </c>
      <c r="R3546" s="11">
        <v>45302.0</v>
      </c>
      <c r="S3546" s="12"/>
      <c r="T3546" s="8"/>
      <c r="U3546" s="8" t="s">
        <v>632</v>
      </c>
      <c r="V3546" s="13" t="s">
        <v>3656</v>
      </c>
      <c r="W3546" s="13" t="s">
        <v>16562</v>
      </c>
      <c r="X3546" s="12"/>
      <c r="Y3546" s="14"/>
      <c r="Z3546" s="14"/>
    </row>
    <row r="3547">
      <c r="A3547" s="8" t="s">
        <v>16563</v>
      </c>
      <c r="B3547" s="8" t="s">
        <v>16564</v>
      </c>
      <c r="C3547" s="8" t="s">
        <v>179</v>
      </c>
      <c r="D3547" s="8" t="s">
        <v>26</v>
      </c>
      <c r="E3547" s="8" t="s">
        <v>16565</v>
      </c>
      <c r="F3547" s="8">
        <v>5.527674505E9</v>
      </c>
      <c r="G3547" s="8" t="s">
        <v>31</v>
      </c>
      <c r="H3547" s="8" t="s">
        <v>542</v>
      </c>
      <c r="I3547" s="8" t="s">
        <v>284</v>
      </c>
      <c r="J3547" s="8" t="s">
        <v>285</v>
      </c>
      <c r="K3547" s="10" t="s">
        <v>3841</v>
      </c>
      <c r="L3547" s="8" t="s">
        <v>58</v>
      </c>
      <c r="M3547" s="8" t="s">
        <v>35</v>
      </c>
      <c r="N3547" s="11">
        <v>45237.0</v>
      </c>
      <c r="O3547" s="11">
        <v>45292.0</v>
      </c>
      <c r="P3547" s="11">
        <v>45334.0</v>
      </c>
      <c r="Q3547" s="11"/>
      <c r="R3547" s="11"/>
      <c r="S3547" s="12"/>
      <c r="T3547" s="8"/>
      <c r="U3547" s="8" t="s">
        <v>1038</v>
      </c>
      <c r="V3547" s="13" t="s">
        <v>545</v>
      </c>
      <c r="W3547" s="13" t="s">
        <v>16566</v>
      </c>
      <c r="X3547" s="12"/>
      <c r="Y3547" s="14"/>
      <c r="Z3547" s="14"/>
    </row>
    <row r="3548">
      <c r="A3548" s="8" t="s">
        <v>16567</v>
      </c>
      <c r="B3548" s="8" t="s">
        <v>16568</v>
      </c>
      <c r="C3548" s="8" t="s">
        <v>179</v>
      </c>
      <c r="D3548" s="8" t="s">
        <v>26</v>
      </c>
      <c r="E3548" s="8" t="s">
        <v>16569</v>
      </c>
      <c r="F3548" s="8"/>
      <c r="G3548" s="8" t="s">
        <v>54</v>
      </c>
      <c r="H3548" s="8" t="s">
        <v>430</v>
      </c>
      <c r="I3548" s="8" t="s">
        <v>31</v>
      </c>
      <c r="J3548" s="8" t="s">
        <v>256</v>
      </c>
      <c r="K3548" s="10" t="s">
        <v>12960</v>
      </c>
      <c r="L3548" s="8" t="s">
        <v>58</v>
      </c>
      <c r="M3548" s="8" t="s">
        <v>35</v>
      </c>
      <c r="N3548" s="11">
        <v>45237.0</v>
      </c>
      <c r="O3548" s="11">
        <v>45493.0</v>
      </c>
      <c r="P3548" s="11">
        <v>45535.0</v>
      </c>
      <c r="Q3548" s="11"/>
      <c r="R3548" s="11"/>
      <c r="S3548" s="12"/>
      <c r="T3548" s="8"/>
      <c r="U3548" s="8" t="s">
        <v>59</v>
      </c>
      <c r="V3548" s="13" t="s">
        <v>38</v>
      </c>
      <c r="W3548" s="13" t="s">
        <v>16570</v>
      </c>
      <c r="X3548" s="12"/>
      <c r="Y3548" s="14"/>
      <c r="Z3548" s="14"/>
    </row>
    <row r="3549">
      <c r="A3549" s="8" t="s">
        <v>16571</v>
      </c>
      <c r="B3549" s="8" t="s">
        <v>16572</v>
      </c>
      <c r="C3549" s="8" t="s">
        <v>179</v>
      </c>
      <c r="D3549" s="8" t="s">
        <v>26</v>
      </c>
      <c r="E3549" s="8" t="s">
        <v>16573</v>
      </c>
      <c r="F3549" s="8"/>
      <c r="G3549" s="8" t="s">
        <v>1620</v>
      </c>
      <c r="H3549" s="8" t="s">
        <v>5244</v>
      </c>
      <c r="I3549" s="8" t="s">
        <v>31</v>
      </c>
      <c r="J3549" s="8" t="s">
        <v>438</v>
      </c>
      <c r="K3549" s="10" t="s">
        <v>16574</v>
      </c>
      <c r="L3549" s="8" t="s">
        <v>58</v>
      </c>
      <c r="M3549" s="8" t="s">
        <v>35</v>
      </c>
      <c r="N3549" s="11">
        <v>45237.0</v>
      </c>
      <c r="O3549" s="11">
        <v>45327.0</v>
      </c>
      <c r="P3549" s="11">
        <v>45369.0</v>
      </c>
      <c r="Q3549" s="11"/>
      <c r="R3549" s="11"/>
      <c r="S3549" s="12"/>
      <c r="T3549" s="8"/>
      <c r="U3549" s="8" t="s">
        <v>59</v>
      </c>
      <c r="V3549" s="13" t="s">
        <v>38</v>
      </c>
      <c r="W3549" s="13" t="s">
        <v>16575</v>
      </c>
      <c r="X3549" s="12"/>
      <c r="Y3549" s="14"/>
      <c r="Z3549" s="14"/>
    </row>
    <row r="3550">
      <c r="A3550" s="8" t="s">
        <v>16576</v>
      </c>
      <c r="B3550" s="8" t="s">
        <v>16577</v>
      </c>
      <c r="C3550" s="8" t="s">
        <v>708</v>
      </c>
      <c r="D3550" s="8" t="s">
        <v>26</v>
      </c>
      <c r="E3550" s="8" t="s">
        <v>16578</v>
      </c>
      <c r="F3550" s="8">
        <v>5.278496E7</v>
      </c>
      <c r="G3550" s="8" t="s">
        <v>54</v>
      </c>
      <c r="H3550" s="8" t="s">
        <v>244</v>
      </c>
      <c r="I3550" s="8" t="s">
        <v>31</v>
      </c>
      <c r="J3550" s="8" t="s">
        <v>256</v>
      </c>
      <c r="K3550" s="10" t="s">
        <v>5327</v>
      </c>
      <c r="L3550" s="8" t="s">
        <v>47</v>
      </c>
      <c r="M3550" s="8" t="s">
        <v>70</v>
      </c>
      <c r="N3550" s="11">
        <v>45237.0</v>
      </c>
      <c r="O3550" s="11">
        <v>45241.0</v>
      </c>
      <c r="P3550" s="11">
        <v>45458.0</v>
      </c>
      <c r="Q3550" s="11">
        <v>45253.0</v>
      </c>
      <c r="R3550" s="11">
        <v>45619.0</v>
      </c>
      <c r="S3550" s="12"/>
      <c r="T3550" s="8"/>
      <c r="U3550" s="8" t="s">
        <v>246</v>
      </c>
      <c r="V3550" s="13" t="s">
        <v>247</v>
      </c>
      <c r="W3550" s="13" t="s">
        <v>16579</v>
      </c>
      <c r="X3550" s="12"/>
      <c r="Y3550" s="14"/>
      <c r="Z3550" s="14"/>
    </row>
    <row r="3551">
      <c r="A3551" s="8" t="s">
        <v>16580</v>
      </c>
      <c r="B3551" s="8" t="s">
        <v>16581</v>
      </c>
      <c r="C3551" s="8" t="s">
        <v>179</v>
      </c>
      <c r="D3551" s="8" t="s">
        <v>26</v>
      </c>
      <c r="E3551" s="8" t="s">
        <v>16582</v>
      </c>
      <c r="F3551" s="8">
        <v>1.14603011E9</v>
      </c>
      <c r="G3551" s="8" t="s">
        <v>284</v>
      </c>
      <c r="H3551" s="8" t="s">
        <v>5202</v>
      </c>
      <c r="I3551" s="8" t="s">
        <v>31</v>
      </c>
      <c r="J3551" s="8" t="s">
        <v>1119</v>
      </c>
      <c r="K3551" s="10" t="s">
        <v>16583</v>
      </c>
      <c r="L3551" s="8" t="s">
        <v>58</v>
      </c>
      <c r="M3551" s="8" t="s">
        <v>35</v>
      </c>
      <c r="N3551" s="11">
        <v>45238.0</v>
      </c>
      <c r="O3551" s="11">
        <v>45516.0</v>
      </c>
      <c r="P3551" s="11">
        <v>45558.0</v>
      </c>
      <c r="Q3551" s="11"/>
      <c r="R3551" s="11"/>
      <c r="S3551" s="12"/>
      <c r="T3551" s="8"/>
      <c r="U3551" s="8" t="s">
        <v>59</v>
      </c>
      <c r="V3551" s="13" t="s">
        <v>16340</v>
      </c>
      <c r="W3551" s="13" t="s">
        <v>16584</v>
      </c>
      <c r="X3551" s="12"/>
      <c r="Y3551" s="14"/>
      <c r="Z3551" s="14"/>
    </row>
    <row r="3552">
      <c r="A3552" s="8" t="s">
        <v>16585</v>
      </c>
      <c r="B3552" s="8" t="s">
        <v>16586</v>
      </c>
      <c r="C3552" s="8" t="s">
        <v>179</v>
      </c>
      <c r="D3552" s="8" t="s">
        <v>26</v>
      </c>
      <c r="E3552" s="8" t="s">
        <v>16587</v>
      </c>
      <c r="F3552" s="8">
        <v>9.4011722E7</v>
      </c>
      <c r="G3552" s="8" t="s">
        <v>54</v>
      </c>
      <c r="H3552" s="8" t="s">
        <v>135</v>
      </c>
      <c r="I3552" s="8" t="s">
        <v>31</v>
      </c>
      <c r="J3552" s="8" t="s">
        <v>77</v>
      </c>
      <c r="K3552" s="10" t="s">
        <v>4188</v>
      </c>
      <c r="L3552" s="8" t="s">
        <v>58</v>
      </c>
      <c r="M3552" s="8" t="s">
        <v>35</v>
      </c>
      <c r="N3552" s="11">
        <v>45238.0</v>
      </c>
      <c r="O3552" s="11">
        <v>45481.0</v>
      </c>
      <c r="P3552" s="11">
        <v>45523.0</v>
      </c>
      <c r="Q3552" s="11"/>
      <c r="R3552" s="11"/>
      <c r="S3552" s="12"/>
      <c r="T3552" s="8"/>
      <c r="U3552" s="8" t="s">
        <v>59</v>
      </c>
      <c r="V3552" s="13" t="s">
        <v>190</v>
      </c>
      <c r="W3552" s="13" t="s">
        <v>16588</v>
      </c>
      <c r="X3552" s="12"/>
      <c r="Y3552" s="14"/>
      <c r="Z3552" s="14"/>
    </row>
    <row r="3553">
      <c r="A3553" s="8" t="s">
        <v>16589</v>
      </c>
      <c r="B3553" s="8" t="s">
        <v>16590</v>
      </c>
      <c r="C3553" s="8" t="s">
        <v>179</v>
      </c>
      <c r="D3553" s="8" t="s">
        <v>26</v>
      </c>
      <c r="E3553" s="8" t="s">
        <v>16591</v>
      </c>
      <c r="F3553" s="8">
        <v>5.070923513E9</v>
      </c>
      <c r="G3553" s="8" t="s">
        <v>31</v>
      </c>
      <c r="H3553" s="8" t="s">
        <v>56</v>
      </c>
      <c r="I3553" s="8" t="s">
        <v>54</v>
      </c>
      <c r="J3553" s="8" t="s">
        <v>430</v>
      </c>
      <c r="K3553" s="10" t="s">
        <v>16592</v>
      </c>
      <c r="L3553" s="8" t="s">
        <v>47</v>
      </c>
      <c r="M3553" s="8" t="s">
        <v>35</v>
      </c>
      <c r="N3553" s="11">
        <v>45238.0</v>
      </c>
      <c r="O3553" s="11">
        <v>45295.0</v>
      </c>
      <c r="P3553" s="11">
        <v>45378.0</v>
      </c>
      <c r="Q3553" s="11"/>
      <c r="R3553" s="11"/>
      <c r="S3553" s="12"/>
      <c r="T3553" s="8"/>
      <c r="U3553" s="8" t="s">
        <v>16593</v>
      </c>
      <c r="V3553" s="13" t="s">
        <v>56</v>
      </c>
      <c r="W3553" s="13" t="s">
        <v>16594</v>
      </c>
      <c r="X3553" s="12"/>
      <c r="Y3553" s="14"/>
      <c r="Z3553" s="14"/>
    </row>
    <row r="3554">
      <c r="A3554" s="8" t="s">
        <v>16595</v>
      </c>
      <c r="B3554" s="8" t="s">
        <v>16596</v>
      </c>
      <c r="C3554" s="8" t="s">
        <v>179</v>
      </c>
      <c r="D3554" s="8" t="s">
        <v>26</v>
      </c>
      <c r="E3554" s="8" t="s">
        <v>16597</v>
      </c>
      <c r="F3554" s="8">
        <v>9.16390112E8</v>
      </c>
      <c r="G3554" s="8" t="s">
        <v>660</v>
      </c>
      <c r="H3554" s="8" t="s">
        <v>16598</v>
      </c>
      <c r="I3554" s="8" t="s">
        <v>31</v>
      </c>
      <c r="J3554" s="8" t="s">
        <v>86</v>
      </c>
      <c r="K3554" s="10" t="s">
        <v>7325</v>
      </c>
      <c r="L3554" s="8" t="s">
        <v>58</v>
      </c>
      <c r="M3554" s="8" t="s">
        <v>35</v>
      </c>
      <c r="N3554" s="11">
        <v>45238.0</v>
      </c>
      <c r="O3554" s="11">
        <v>45252.0</v>
      </c>
      <c r="P3554" s="11">
        <v>45294.0</v>
      </c>
      <c r="Q3554" s="11"/>
      <c r="R3554" s="11"/>
      <c r="S3554" s="12"/>
      <c r="T3554" s="8"/>
      <c r="U3554" s="8" t="s">
        <v>59</v>
      </c>
      <c r="V3554" s="13" t="s">
        <v>16599</v>
      </c>
      <c r="W3554" s="13" t="s">
        <v>16600</v>
      </c>
      <c r="X3554" s="12"/>
      <c r="Y3554" s="14"/>
      <c r="Z3554" s="14"/>
    </row>
    <row r="3555">
      <c r="A3555" s="8" t="s">
        <v>16601</v>
      </c>
      <c r="B3555" s="8" t="s">
        <v>16602</v>
      </c>
      <c r="C3555" s="8" t="s">
        <v>179</v>
      </c>
      <c r="D3555" s="8" t="s">
        <v>26</v>
      </c>
      <c r="E3555" s="8" t="s">
        <v>16603</v>
      </c>
      <c r="F3555" s="8">
        <v>6.22385595E8</v>
      </c>
      <c r="G3555" s="8" t="s">
        <v>84</v>
      </c>
      <c r="H3555" s="8" t="s">
        <v>3160</v>
      </c>
      <c r="I3555" s="8" t="s">
        <v>31</v>
      </c>
      <c r="J3555" s="8" t="s">
        <v>1274</v>
      </c>
      <c r="K3555" s="10" t="s">
        <v>16604</v>
      </c>
      <c r="L3555" s="8" t="s">
        <v>58</v>
      </c>
      <c r="M3555" s="8" t="s">
        <v>35</v>
      </c>
      <c r="N3555" s="11">
        <v>45238.0</v>
      </c>
      <c r="O3555" s="11">
        <v>45432.0</v>
      </c>
      <c r="P3555" s="11">
        <v>45474.0</v>
      </c>
      <c r="Q3555" s="11"/>
      <c r="R3555" s="11"/>
      <c r="S3555" s="12"/>
      <c r="T3555" s="8"/>
      <c r="U3555" s="8" t="s">
        <v>185</v>
      </c>
      <c r="V3555" s="13" t="s">
        <v>3161</v>
      </c>
      <c r="W3555" s="13" t="s">
        <v>16605</v>
      </c>
      <c r="X3555" s="12"/>
      <c r="Y3555" s="14"/>
      <c r="Z3555" s="14"/>
    </row>
    <row r="3556">
      <c r="A3556" s="8" t="s">
        <v>16606</v>
      </c>
      <c r="B3556" s="8" t="s">
        <v>16607</v>
      </c>
      <c r="C3556" s="8" t="s">
        <v>64</v>
      </c>
      <c r="D3556" s="8" t="s">
        <v>26</v>
      </c>
      <c r="E3556" s="8" t="s">
        <v>16608</v>
      </c>
      <c r="F3556" s="8">
        <v>9.85058802E8</v>
      </c>
      <c r="G3556" s="8" t="s">
        <v>9946</v>
      </c>
      <c r="H3556" s="8" t="s">
        <v>10046</v>
      </c>
      <c r="I3556" s="8" t="s">
        <v>31</v>
      </c>
      <c r="J3556" s="8" t="s">
        <v>136</v>
      </c>
      <c r="K3556" s="10" t="s">
        <v>8895</v>
      </c>
      <c r="L3556" s="8" t="s">
        <v>58</v>
      </c>
      <c r="M3556" s="8" t="s">
        <v>35</v>
      </c>
      <c r="N3556" s="11">
        <v>45238.0</v>
      </c>
      <c r="O3556" s="11">
        <v>45278.0</v>
      </c>
      <c r="P3556" s="11">
        <v>45320.0</v>
      </c>
      <c r="Q3556" s="11">
        <v>45277.0</v>
      </c>
      <c r="R3556" s="11">
        <v>45320.0</v>
      </c>
      <c r="S3556" s="12"/>
      <c r="T3556" s="8"/>
      <c r="U3556" s="8" t="s">
        <v>59</v>
      </c>
      <c r="V3556" s="13" t="s">
        <v>10046</v>
      </c>
      <c r="W3556" s="13" t="s">
        <v>16609</v>
      </c>
      <c r="X3556" s="12"/>
      <c r="Y3556" s="14"/>
      <c r="Z3556" s="14"/>
    </row>
    <row r="3557">
      <c r="A3557" s="8" t="s">
        <v>16610</v>
      </c>
      <c r="B3557" s="8" t="s">
        <v>16611</v>
      </c>
      <c r="C3557" s="8" t="s">
        <v>179</v>
      </c>
      <c r="D3557" s="8" t="s">
        <v>26</v>
      </c>
      <c r="E3557" s="8" t="s">
        <v>16612</v>
      </c>
      <c r="F3557" s="8">
        <v>2.9637858E7</v>
      </c>
      <c r="G3557" s="8" t="s">
        <v>54</v>
      </c>
      <c r="H3557" s="8" t="s">
        <v>135</v>
      </c>
      <c r="I3557" s="8" t="s">
        <v>31</v>
      </c>
      <c r="J3557" s="8" t="s">
        <v>102</v>
      </c>
      <c r="K3557" s="10" t="s">
        <v>1113</v>
      </c>
      <c r="L3557" s="8" t="s">
        <v>58</v>
      </c>
      <c r="M3557" s="8" t="s">
        <v>35</v>
      </c>
      <c r="N3557" s="11">
        <v>45239.0</v>
      </c>
      <c r="O3557" s="11">
        <v>45474.0</v>
      </c>
      <c r="P3557" s="11">
        <v>45516.0</v>
      </c>
      <c r="Q3557" s="11"/>
      <c r="R3557" s="11"/>
      <c r="S3557" s="12"/>
      <c r="T3557" s="8"/>
      <c r="U3557" s="8" t="s">
        <v>59</v>
      </c>
      <c r="V3557" s="13" t="s">
        <v>190</v>
      </c>
      <c r="W3557" s="13" t="s">
        <v>16613</v>
      </c>
      <c r="X3557" s="12"/>
      <c r="Y3557" s="14"/>
      <c r="Z3557" s="14"/>
    </row>
    <row r="3558">
      <c r="A3558" s="8" t="s">
        <v>16614</v>
      </c>
      <c r="B3558" s="8" t="s">
        <v>16615</v>
      </c>
      <c r="C3558" s="8" t="s">
        <v>179</v>
      </c>
      <c r="D3558" s="8" t="s">
        <v>26</v>
      </c>
      <c r="E3558" s="8" t="s">
        <v>16616</v>
      </c>
      <c r="F3558" s="8">
        <v>2.4084129E7</v>
      </c>
      <c r="G3558" s="8" t="s">
        <v>54</v>
      </c>
      <c r="H3558" s="8" t="s">
        <v>377</v>
      </c>
      <c r="I3558" s="8" t="s">
        <v>31</v>
      </c>
      <c r="J3558" s="8" t="s">
        <v>43</v>
      </c>
      <c r="K3558" s="10" t="s">
        <v>837</v>
      </c>
      <c r="L3558" s="8" t="s">
        <v>58</v>
      </c>
      <c r="M3558" s="8" t="s">
        <v>35</v>
      </c>
      <c r="N3558" s="11">
        <v>45239.0</v>
      </c>
      <c r="O3558" s="11">
        <v>45453.0</v>
      </c>
      <c r="P3558" s="11">
        <v>45495.0</v>
      </c>
      <c r="Q3558" s="11"/>
      <c r="R3558" s="11"/>
      <c r="S3558" s="12"/>
      <c r="T3558" s="8"/>
      <c r="U3558" s="8" t="s">
        <v>130</v>
      </c>
      <c r="V3558" s="13" t="s">
        <v>13247</v>
      </c>
      <c r="W3558" s="13" t="s">
        <v>16617</v>
      </c>
      <c r="X3558" s="12"/>
      <c r="Y3558" s="14"/>
      <c r="Z3558" s="14"/>
    </row>
    <row r="3559">
      <c r="A3559" s="8" t="s">
        <v>16618</v>
      </c>
      <c r="B3559" s="8" t="s">
        <v>16619</v>
      </c>
      <c r="C3559" s="8" t="s">
        <v>64</v>
      </c>
      <c r="D3559" s="8" t="s">
        <v>26</v>
      </c>
      <c r="E3559" s="8" t="s">
        <v>16620</v>
      </c>
      <c r="F3559" s="8">
        <v>6.84744998E8</v>
      </c>
      <c r="G3559" s="8" t="s">
        <v>1620</v>
      </c>
      <c r="H3559" s="8" t="s">
        <v>3655</v>
      </c>
      <c r="I3559" s="8" t="s">
        <v>31</v>
      </c>
      <c r="J3559" s="8" t="s">
        <v>43</v>
      </c>
      <c r="K3559" s="10" t="s">
        <v>13706</v>
      </c>
      <c r="L3559" s="8" t="s">
        <v>58</v>
      </c>
      <c r="M3559" s="8" t="s">
        <v>35</v>
      </c>
      <c r="N3559" s="11">
        <v>45239.0</v>
      </c>
      <c r="O3559" s="11">
        <v>45257.0</v>
      </c>
      <c r="P3559" s="11">
        <v>45299.0</v>
      </c>
      <c r="Q3559" s="11">
        <v>45260.0</v>
      </c>
      <c r="R3559" s="11">
        <v>45302.0</v>
      </c>
      <c r="S3559" s="12"/>
      <c r="T3559" s="8"/>
      <c r="U3559" s="8" t="s">
        <v>632</v>
      </c>
      <c r="V3559" s="13" t="s">
        <v>3656</v>
      </c>
      <c r="W3559" s="13" t="s">
        <v>16621</v>
      </c>
      <c r="X3559" s="12"/>
      <c r="Y3559" s="14"/>
      <c r="Z3559" s="14"/>
    </row>
    <row r="3560">
      <c r="A3560" s="8" t="s">
        <v>16622</v>
      </c>
      <c r="B3560" s="8" t="s">
        <v>5770</v>
      </c>
      <c r="C3560" s="8" t="s">
        <v>179</v>
      </c>
      <c r="D3560" s="8" t="s">
        <v>26</v>
      </c>
      <c r="E3560" s="8" t="s">
        <v>16623</v>
      </c>
      <c r="F3560" s="8">
        <v>5.332174933E9</v>
      </c>
      <c r="G3560" s="8" t="s">
        <v>31</v>
      </c>
      <c r="H3560" s="8" t="s">
        <v>86</v>
      </c>
      <c r="I3560" s="8" t="s">
        <v>399</v>
      </c>
      <c r="J3560" s="8" t="s">
        <v>415</v>
      </c>
      <c r="K3560" s="10" t="s">
        <v>2626</v>
      </c>
      <c r="L3560" s="8" t="s">
        <v>58</v>
      </c>
      <c r="M3560" s="8" t="s">
        <v>35</v>
      </c>
      <c r="N3560" s="11">
        <v>45239.0</v>
      </c>
      <c r="O3560" s="11">
        <v>45374.0</v>
      </c>
      <c r="P3560" s="11">
        <v>45416.0</v>
      </c>
      <c r="Q3560" s="11"/>
      <c r="R3560" s="11"/>
      <c r="S3560" s="12"/>
      <c r="T3560" s="8"/>
      <c r="U3560" s="8" t="s">
        <v>185</v>
      </c>
      <c r="V3560" s="13" t="s">
        <v>175</v>
      </c>
      <c r="W3560" s="13" t="s">
        <v>16624</v>
      </c>
      <c r="X3560" s="12"/>
      <c r="Y3560" s="14"/>
      <c r="Z3560" s="14"/>
    </row>
    <row r="3561">
      <c r="A3561" s="8" t="s">
        <v>16625</v>
      </c>
      <c r="B3561" s="8" t="s">
        <v>16626</v>
      </c>
      <c r="C3561" s="8" t="s">
        <v>179</v>
      </c>
      <c r="D3561" s="8" t="s">
        <v>26</v>
      </c>
      <c r="E3561" s="8" t="s">
        <v>16627</v>
      </c>
      <c r="F3561" s="8">
        <v>5.366464537E9</v>
      </c>
      <c r="G3561" s="8" t="s">
        <v>31</v>
      </c>
      <c r="H3561" s="8" t="s">
        <v>136</v>
      </c>
      <c r="I3561" s="8" t="s">
        <v>284</v>
      </c>
      <c r="J3561" s="8" t="s">
        <v>3188</v>
      </c>
      <c r="K3561" s="10" t="s">
        <v>9368</v>
      </c>
      <c r="L3561" s="8" t="s">
        <v>58</v>
      </c>
      <c r="M3561" s="8" t="s">
        <v>35</v>
      </c>
      <c r="N3561" s="11">
        <v>45239.0</v>
      </c>
      <c r="O3561" s="11">
        <v>45474.0</v>
      </c>
      <c r="P3561" s="11">
        <v>45516.0</v>
      </c>
      <c r="Q3561" s="11"/>
      <c r="R3561" s="11"/>
      <c r="S3561" s="12"/>
      <c r="T3561" s="8"/>
      <c r="U3561" s="8" t="s">
        <v>59</v>
      </c>
      <c r="V3561" s="13" t="s">
        <v>136</v>
      </c>
      <c r="W3561" s="13" t="s">
        <v>16628</v>
      </c>
      <c r="X3561" s="12"/>
      <c r="Y3561" s="14"/>
      <c r="Z3561" s="14"/>
    </row>
    <row r="3562">
      <c r="A3562" s="8" t="s">
        <v>16629</v>
      </c>
      <c r="B3562" s="8" t="s">
        <v>16630</v>
      </c>
      <c r="C3562" s="8" t="s">
        <v>708</v>
      </c>
      <c r="D3562" s="8" t="s">
        <v>26</v>
      </c>
      <c r="E3562" s="8" t="s">
        <v>16631</v>
      </c>
      <c r="F3562" s="8">
        <v>3.195688618E9</v>
      </c>
      <c r="G3562" s="8" t="s">
        <v>981</v>
      </c>
      <c r="H3562" s="8" t="s">
        <v>16632</v>
      </c>
      <c r="I3562" s="8" t="s">
        <v>31</v>
      </c>
      <c r="J3562" s="8" t="s">
        <v>111</v>
      </c>
      <c r="K3562" s="10" t="s">
        <v>16633</v>
      </c>
      <c r="L3562" s="8" t="s">
        <v>58</v>
      </c>
      <c r="M3562" s="8" t="s">
        <v>35</v>
      </c>
      <c r="N3562" s="11">
        <v>45239.0</v>
      </c>
      <c r="O3562" s="11">
        <v>45297.0</v>
      </c>
      <c r="P3562" s="11">
        <v>45339.0</v>
      </c>
      <c r="Q3562" s="11">
        <v>45297.0</v>
      </c>
      <c r="R3562" s="11">
        <v>45339.0</v>
      </c>
      <c r="S3562" s="12"/>
      <c r="T3562" s="8"/>
      <c r="U3562" s="8" t="s">
        <v>1956</v>
      </c>
      <c r="V3562" s="13" t="s">
        <v>16634</v>
      </c>
      <c r="W3562" s="13" t="s">
        <v>16635</v>
      </c>
      <c r="X3562" s="12"/>
      <c r="Y3562" s="14"/>
      <c r="Z3562" s="14"/>
    </row>
    <row r="3563">
      <c r="A3563" s="8" t="s">
        <v>16636</v>
      </c>
      <c r="B3563" s="8" t="s">
        <v>16637</v>
      </c>
      <c r="C3563" s="8" t="s">
        <v>179</v>
      </c>
      <c r="D3563" s="8" t="s">
        <v>26</v>
      </c>
      <c r="E3563" s="8" t="s">
        <v>16638</v>
      </c>
      <c r="F3563" s="8">
        <v>5.551078072E9</v>
      </c>
      <c r="G3563" s="8" t="s">
        <v>31</v>
      </c>
      <c r="H3563" s="8" t="s">
        <v>56</v>
      </c>
      <c r="I3563" s="8" t="s">
        <v>399</v>
      </c>
      <c r="J3563" s="8" t="s">
        <v>415</v>
      </c>
      <c r="K3563" s="10" t="s">
        <v>2626</v>
      </c>
      <c r="L3563" s="8" t="s">
        <v>58</v>
      </c>
      <c r="M3563" s="8" t="s">
        <v>35</v>
      </c>
      <c r="N3563" s="11">
        <v>45239.0</v>
      </c>
      <c r="O3563" s="11">
        <v>45474.0</v>
      </c>
      <c r="P3563" s="11">
        <v>45516.0</v>
      </c>
      <c r="Q3563" s="11"/>
      <c r="R3563" s="11"/>
      <c r="S3563" s="12"/>
      <c r="T3563" s="8"/>
      <c r="U3563" s="8" t="s">
        <v>185</v>
      </c>
      <c r="V3563" s="13" t="s">
        <v>56</v>
      </c>
      <c r="W3563" s="13" t="s">
        <v>16639</v>
      </c>
      <c r="X3563" s="12"/>
      <c r="Y3563" s="14"/>
      <c r="Z3563" s="14"/>
    </row>
    <row r="3564">
      <c r="A3564" s="8" t="s">
        <v>16640</v>
      </c>
      <c r="B3564" s="8" t="s">
        <v>16641</v>
      </c>
      <c r="C3564" s="8" t="s">
        <v>179</v>
      </c>
      <c r="D3564" s="8" t="s">
        <v>26</v>
      </c>
      <c r="E3564" s="8" t="s">
        <v>16642</v>
      </c>
      <c r="F3564" s="8">
        <v>1.019613595E9</v>
      </c>
      <c r="G3564" s="8" t="s">
        <v>284</v>
      </c>
      <c r="H3564" s="8" t="s">
        <v>625</v>
      </c>
      <c r="I3564" s="8" t="s">
        <v>31</v>
      </c>
      <c r="J3564" s="8" t="s">
        <v>438</v>
      </c>
      <c r="K3564" s="10" t="s">
        <v>16574</v>
      </c>
      <c r="L3564" s="8" t="s">
        <v>58</v>
      </c>
      <c r="M3564" s="8" t="s">
        <v>35</v>
      </c>
      <c r="N3564" s="11">
        <v>45239.0</v>
      </c>
      <c r="O3564" s="11">
        <v>45369.0</v>
      </c>
      <c r="P3564" s="11">
        <v>45411.0</v>
      </c>
      <c r="Q3564" s="11"/>
      <c r="R3564" s="11"/>
      <c r="S3564" s="12"/>
      <c r="T3564" s="8"/>
      <c r="U3564" s="8" t="s">
        <v>59</v>
      </c>
      <c r="V3564" s="13" t="s">
        <v>626</v>
      </c>
      <c r="W3564" s="13" t="s">
        <v>16643</v>
      </c>
      <c r="X3564" s="12"/>
      <c r="Y3564" s="14"/>
      <c r="Z3564" s="14"/>
    </row>
    <row r="3565">
      <c r="A3565" s="8" t="s">
        <v>16644</v>
      </c>
      <c r="B3565" s="8" t="s">
        <v>16645</v>
      </c>
      <c r="C3565" s="8" t="s">
        <v>179</v>
      </c>
      <c r="D3565" s="8" t="s">
        <v>26</v>
      </c>
      <c r="E3565" s="8" t="s">
        <v>16646</v>
      </c>
      <c r="F3565" s="8">
        <v>1.114018861E9</v>
      </c>
      <c r="G3565" s="8" t="s">
        <v>284</v>
      </c>
      <c r="H3565" s="8" t="s">
        <v>625</v>
      </c>
      <c r="I3565" s="8" t="s">
        <v>31</v>
      </c>
      <c r="J3565" s="8" t="s">
        <v>438</v>
      </c>
      <c r="K3565" s="10" t="s">
        <v>16574</v>
      </c>
      <c r="L3565" s="8" t="s">
        <v>58</v>
      </c>
      <c r="M3565" s="8" t="s">
        <v>35</v>
      </c>
      <c r="N3565" s="11">
        <v>45239.0</v>
      </c>
      <c r="O3565" s="11">
        <v>45369.0</v>
      </c>
      <c r="P3565" s="11">
        <v>45411.0</v>
      </c>
      <c r="Q3565" s="11"/>
      <c r="R3565" s="11"/>
      <c r="S3565" s="12"/>
      <c r="T3565" s="8"/>
      <c r="U3565" s="8" t="s">
        <v>59</v>
      </c>
      <c r="V3565" s="13" t="s">
        <v>626</v>
      </c>
      <c r="W3565" s="13" t="s">
        <v>16647</v>
      </c>
      <c r="X3565" s="12"/>
      <c r="Y3565" s="14"/>
      <c r="Z3565" s="14"/>
    </row>
    <row r="3566">
      <c r="A3566" s="8" t="s">
        <v>16648</v>
      </c>
      <c r="B3566" s="8" t="s">
        <v>16649</v>
      </c>
      <c r="C3566" s="8" t="s">
        <v>179</v>
      </c>
      <c r="D3566" s="8" t="s">
        <v>26</v>
      </c>
      <c r="E3566" s="8" t="s">
        <v>16650</v>
      </c>
      <c r="F3566" s="8">
        <v>2.8982657E7</v>
      </c>
      <c r="G3566" s="8" t="s">
        <v>54</v>
      </c>
      <c r="H3566" s="8" t="s">
        <v>76</v>
      </c>
      <c r="I3566" s="8" t="s">
        <v>31</v>
      </c>
      <c r="J3566" s="8" t="s">
        <v>438</v>
      </c>
      <c r="K3566" s="10" t="s">
        <v>16574</v>
      </c>
      <c r="L3566" s="8" t="s">
        <v>58</v>
      </c>
      <c r="M3566" s="8" t="s">
        <v>35</v>
      </c>
      <c r="N3566" s="11">
        <v>45239.0</v>
      </c>
      <c r="O3566" s="11">
        <v>45327.0</v>
      </c>
      <c r="P3566" s="11">
        <v>45369.0</v>
      </c>
      <c r="Q3566" s="11"/>
      <c r="R3566" s="11"/>
      <c r="S3566" s="12"/>
      <c r="T3566" s="8"/>
      <c r="U3566" s="8" t="s">
        <v>59</v>
      </c>
      <c r="V3566" s="13" t="s">
        <v>324</v>
      </c>
      <c r="W3566" s="13" t="s">
        <v>16651</v>
      </c>
      <c r="X3566" s="12"/>
      <c r="Y3566" s="14"/>
      <c r="Z3566" s="14"/>
    </row>
    <row r="3567">
      <c r="A3567" s="8" t="s">
        <v>16652</v>
      </c>
      <c r="B3567" s="8" t="s">
        <v>16653</v>
      </c>
      <c r="C3567" s="8" t="s">
        <v>179</v>
      </c>
      <c r="D3567" s="8" t="s">
        <v>26</v>
      </c>
      <c r="E3567" s="8" t="s">
        <v>16654</v>
      </c>
      <c r="F3567" s="8">
        <v>5.068488101E9</v>
      </c>
      <c r="G3567" s="8" t="s">
        <v>31</v>
      </c>
      <c r="H3567" s="8" t="s">
        <v>66</v>
      </c>
      <c r="I3567" s="8" t="s">
        <v>284</v>
      </c>
      <c r="J3567" s="8" t="s">
        <v>793</v>
      </c>
      <c r="K3567" s="10" t="s">
        <v>16655</v>
      </c>
      <c r="L3567" s="8" t="s">
        <v>58</v>
      </c>
      <c r="M3567" s="8" t="s">
        <v>35</v>
      </c>
      <c r="N3567" s="11">
        <v>45240.0</v>
      </c>
      <c r="O3567" s="11">
        <v>45311.0</v>
      </c>
      <c r="P3567" s="11">
        <v>45353.0</v>
      </c>
      <c r="Q3567" s="11"/>
      <c r="R3567" s="11"/>
      <c r="S3567" s="12"/>
      <c r="T3567" s="8"/>
      <c r="U3567" s="8" t="s">
        <v>339</v>
      </c>
      <c r="V3567" s="13" t="s">
        <v>66</v>
      </c>
      <c r="W3567" s="13" t="s">
        <v>16656</v>
      </c>
      <c r="X3567" s="12"/>
      <c r="Y3567" s="14"/>
      <c r="Z3567" s="14"/>
    </row>
    <row r="3568">
      <c r="A3568" s="8" t="s">
        <v>16657</v>
      </c>
      <c r="B3568" s="8" t="s">
        <v>16658</v>
      </c>
      <c r="C3568" s="8" t="s">
        <v>708</v>
      </c>
      <c r="D3568" s="8" t="s">
        <v>26</v>
      </c>
      <c r="E3568" s="8" t="s">
        <v>16659</v>
      </c>
      <c r="F3568" s="8"/>
      <c r="G3568" s="8" t="s">
        <v>44</v>
      </c>
      <c r="H3568" s="8" t="s">
        <v>3093</v>
      </c>
      <c r="I3568" s="8" t="s">
        <v>31</v>
      </c>
      <c r="J3568" s="8" t="s">
        <v>32</v>
      </c>
      <c r="K3568" s="10" t="s">
        <v>14038</v>
      </c>
      <c r="L3568" s="8" t="s">
        <v>58</v>
      </c>
      <c r="M3568" s="8" t="s">
        <v>35</v>
      </c>
      <c r="N3568" s="11">
        <v>45240.0</v>
      </c>
      <c r="O3568" s="11">
        <v>45291.0</v>
      </c>
      <c r="P3568" s="11">
        <v>45333.0</v>
      </c>
      <c r="Q3568" s="11">
        <v>45306.0</v>
      </c>
      <c r="R3568" s="11">
        <v>45346.0</v>
      </c>
      <c r="S3568" s="12"/>
      <c r="T3568" s="8"/>
      <c r="U3568" s="8" t="s">
        <v>161</v>
      </c>
      <c r="V3568" s="13" t="s">
        <v>38</v>
      </c>
      <c r="W3568" s="13" t="s">
        <v>16660</v>
      </c>
      <c r="X3568" s="12"/>
      <c r="Y3568" s="14"/>
      <c r="Z3568" s="14"/>
    </row>
    <row r="3569">
      <c r="A3569" s="8" t="s">
        <v>16661</v>
      </c>
      <c r="B3569" s="8" t="s">
        <v>16662</v>
      </c>
      <c r="C3569" s="8" t="s">
        <v>708</v>
      </c>
      <c r="D3569" s="8" t="s">
        <v>26</v>
      </c>
      <c r="E3569" s="8" t="s">
        <v>16663</v>
      </c>
      <c r="F3569" s="8"/>
      <c r="G3569" s="8" t="s">
        <v>44</v>
      </c>
      <c r="H3569" s="8" t="s">
        <v>3093</v>
      </c>
      <c r="I3569" s="8" t="s">
        <v>31</v>
      </c>
      <c r="J3569" s="8" t="s">
        <v>32</v>
      </c>
      <c r="K3569" s="10" t="s">
        <v>14285</v>
      </c>
      <c r="L3569" s="8" t="s">
        <v>58</v>
      </c>
      <c r="M3569" s="8" t="s">
        <v>35</v>
      </c>
      <c r="N3569" s="11">
        <v>45240.0</v>
      </c>
      <c r="O3569" s="11">
        <v>45298.0</v>
      </c>
      <c r="P3569" s="11">
        <v>45340.0</v>
      </c>
      <c r="Q3569" s="11">
        <v>45306.0</v>
      </c>
      <c r="R3569" s="11">
        <v>45346.0</v>
      </c>
      <c r="S3569" s="12"/>
      <c r="T3569" s="8"/>
      <c r="U3569" s="8" t="s">
        <v>161</v>
      </c>
      <c r="V3569" s="13" t="s">
        <v>16664</v>
      </c>
      <c r="W3569" s="13" t="s">
        <v>16665</v>
      </c>
      <c r="X3569" s="12"/>
      <c r="Y3569" s="14"/>
      <c r="Z3569" s="14"/>
    </row>
    <row r="3570">
      <c r="A3570" s="8" t="s">
        <v>16666</v>
      </c>
      <c r="B3570" s="8" t="s">
        <v>7729</v>
      </c>
      <c r="C3570" s="8" t="s">
        <v>708</v>
      </c>
      <c r="D3570" s="8" t="s">
        <v>26</v>
      </c>
      <c r="E3570" s="8" t="s">
        <v>7730</v>
      </c>
      <c r="F3570" s="8">
        <v>5.0400684E7</v>
      </c>
      <c r="G3570" s="8" t="s">
        <v>54</v>
      </c>
      <c r="H3570" s="8" t="s">
        <v>595</v>
      </c>
      <c r="I3570" s="8" t="s">
        <v>31</v>
      </c>
      <c r="J3570" s="8" t="s">
        <v>167</v>
      </c>
      <c r="K3570" s="10" t="s">
        <v>16667</v>
      </c>
      <c r="L3570" s="8" t="s">
        <v>47</v>
      </c>
      <c r="M3570" s="8" t="s">
        <v>70</v>
      </c>
      <c r="N3570" s="11">
        <v>45240.0</v>
      </c>
      <c r="O3570" s="11">
        <v>45275.0</v>
      </c>
      <c r="P3570" s="11">
        <v>45641.0</v>
      </c>
      <c r="Q3570" s="11">
        <v>45276.0</v>
      </c>
      <c r="R3570" s="11">
        <v>45641.0</v>
      </c>
      <c r="S3570" s="12"/>
      <c r="T3570" s="8"/>
      <c r="U3570" s="8" t="s">
        <v>16668</v>
      </c>
      <c r="V3570" s="13" t="s">
        <v>1583</v>
      </c>
      <c r="W3570" s="13" t="s">
        <v>7731</v>
      </c>
      <c r="X3570" s="12"/>
      <c r="Y3570" s="14"/>
      <c r="Z3570" s="14"/>
    </row>
    <row r="3571">
      <c r="A3571" s="8" t="s">
        <v>16669</v>
      </c>
      <c r="B3571" s="8" t="s">
        <v>16670</v>
      </c>
      <c r="C3571" s="8" t="s">
        <v>179</v>
      </c>
      <c r="D3571" s="8" t="s">
        <v>26</v>
      </c>
      <c r="E3571" s="8" t="s">
        <v>16671</v>
      </c>
      <c r="F3571" s="8">
        <v>2.5898059E7</v>
      </c>
      <c r="G3571" s="8" t="s">
        <v>54</v>
      </c>
      <c r="H3571" s="8" t="s">
        <v>135</v>
      </c>
      <c r="I3571" s="8" t="s">
        <v>31</v>
      </c>
      <c r="J3571" s="8" t="s">
        <v>102</v>
      </c>
      <c r="K3571" s="10" t="s">
        <v>1113</v>
      </c>
      <c r="L3571" s="8" t="s">
        <v>58</v>
      </c>
      <c r="M3571" s="8" t="s">
        <v>35</v>
      </c>
      <c r="N3571" s="11">
        <v>45240.0</v>
      </c>
      <c r="O3571" s="11">
        <v>45474.0</v>
      </c>
      <c r="P3571" s="11">
        <v>45516.0</v>
      </c>
      <c r="Q3571" s="11"/>
      <c r="R3571" s="11"/>
      <c r="S3571" s="12"/>
      <c r="T3571" s="8"/>
      <c r="U3571" s="8" t="s">
        <v>59</v>
      </c>
      <c r="V3571" s="13" t="s">
        <v>190</v>
      </c>
      <c r="W3571" s="13" t="s">
        <v>16672</v>
      </c>
      <c r="X3571" s="12"/>
      <c r="Y3571" s="14"/>
      <c r="Z3571" s="14"/>
    </row>
    <row r="3572">
      <c r="A3572" s="8" t="s">
        <v>16673</v>
      </c>
      <c r="B3572" s="8" t="s">
        <v>15010</v>
      </c>
      <c r="C3572" s="8" t="s">
        <v>708</v>
      </c>
      <c r="D3572" s="8" t="s">
        <v>26</v>
      </c>
      <c r="E3572" s="8" t="s">
        <v>16674</v>
      </c>
      <c r="F3572" s="8">
        <v>7.00750015E8</v>
      </c>
      <c r="G3572" s="8" t="s">
        <v>84</v>
      </c>
      <c r="H3572" s="8" t="s">
        <v>646</v>
      </c>
      <c r="I3572" s="8" t="s">
        <v>31</v>
      </c>
      <c r="J3572" s="8" t="s">
        <v>256</v>
      </c>
      <c r="K3572" s="10" t="s">
        <v>5327</v>
      </c>
      <c r="L3572" s="8" t="s">
        <v>47</v>
      </c>
      <c r="M3572" s="8" t="s">
        <v>70</v>
      </c>
      <c r="N3572" s="11">
        <v>45240.0</v>
      </c>
      <c r="O3572" s="11">
        <v>45241.0</v>
      </c>
      <c r="P3572" s="11">
        <v>45458.0</v>
      </c>
      <c r="Q3572" s="11">
        <v>45260.0</v>
      </c>
      <c r="R3572" s="11">
        <v>45477.0</v>
      </c>
      <c r="S3572" s="12"/>
      <c r="T3572" s="8"/>
      <c r="U3572" s="8" t="s">
        <v>246</v>
      </c>
      <c r="V3572" s="13" t="s">
        <v>154</v>
      </c>
      <c r="W3572" s="13" t="s">
        <v>16675</v>
      </c>
      <c r="X3572" s="12"/>
      <c r="Y3572" s="14"/>
      <c r="Z3572" s="14"/>
    </row>
    <row r="3573">
      <c r="A3573" s="8" t="s">
        <v>16676</v>
      </c>
      <c r="B3573" s="8" t="s">
        <v>16677</v>
      </c>
      <c r="C3573" s="8" t="s">
        <v>179</v>
      </c>
      <c r="D3573" s="8" t="s">
        <v>26</v>
      </c>
      <c r="E3573" s="8" t="s">
        <v>16678</v>
      </c>
      <c r="F3573" s="8">
        <v>7.71314789E8</v>
      </c>
      <c r="G3573" s="8" t="s">
        <v>127</v>
      </c>
      <c r="H3573" s="8" t="s">
        <v>128</v>
      </c>
      <c r="I3573" s="8" t="s">
        <v>31</v>
      </c>
      <c r="J3573" s="8" t="s">
        <v>102</v>
      </c>
      <c r="K3573" s="10" t="s">
        <v>1113</v>
      </c>
      <c r="L3573" s="8" t="s">
        <v>58</v>
      </c>
      <c r="M3573" s="8" t="s">
        <v>35</v>
      </c>
      <c r="N3573" s="11">
        <v>45240.0</v>
      </c>
      <c r="O3573" s="11">
        <v>45474.0</v>
      </c>
      <c r="P3573" s="11">
        <v>45516.0</v>
      </c>
      <c r="Q3573" s="11"/>
      <c r="R3573" s="11"/>
      <c r="S3573" s="12"/>
      <c r="T3573" s="8"/>
      <c r="U3573" s="8" t="s">
        <v>59</v>
      </c>
      <c r="V3573" s="13" t="s">
        <v>1473</v>
      </c>
      <c r="W3573" s="13" t="s">
        <v>16679</v>
      </c>
      <c r="X3573" s="12"/>
      <c r="Y3573" s="14"/>
      <c r="Z3573" s="14"/>
    </row>
    <row r="3574">
      <c r="A3574" s="8" t="s">
        <v>16680</v>
      </c>
      <c r="B3574" s="8" t="s">
        <v>16681</v>
      </c>
      <c r="C3574" s="8" t="s">
        <v>708</v>
      </c>
      <c r="D3574" s="8" t="s">
        <v>26</v>
      </c>
      <c r="E3574" s="8" t="s">
        <v>16682</v>
      </c>
      <c r="F3574" s="8">
        <v>5.425441711E9</v>
      </c>
      <c r="G3574" s="8" t="s">
        <v>31</v>
      </c>
      <c r="H3574" s="8" t="s">
        <v>542</v>
      </c>
      <c r="I3574" s="8" t="s">
        <v>127</v>
      </c>
      <c r="J3574" s="8" t="s">
        <v>1628</v>
      </c>
      <c r="K3574" s="10" t="s">
        <v>16683</v>
      </c>
      <c r="L3574" s="8" t="s">
        <v>58</v>
      </c>
      <c r="M3574" s="8" t="s">
        <v>35</v>
      </c>
      <c r="N3574" s="11">
        <v>45240.0</v>
      </c>
      <c r="O3574" s="11">
        <v>45299.0</v>
      </c>
      <c r="P3574" s="11">
        <v>45341.0</v>
      </c>
      <c r="Q3574" s="11">
        <v>45301.0</v>
      </c>
      <c r="R3574" s="11">
        <v>45341.0</v>
      </c>
      <c r="S3574" s="12"/>
      <c r="T3574" s="8"/>
      <c r="U3574" s="8" t="s">
        <v>161</v>
      </c>
      <c r="V3574" s="13" t="s">
        <v>545</v>
      </c>
      <c r="W3574" s="13" t="s">
        <v>16684</v>
      </c>
      <c r="X3574" s="12"/>
      <c r="Y3574" s="14"/>
      <c r="Z3574" s="14"/>
    </row>
    <row r="3575">
      <c r="A3575" s="8" t="s">
        <v>16685</v>
      </c>
      <c r="B3575" s="8" t="s">
        <v>16686</v>
      </c>
      <c r="C3575" s="8" t="s">
        <v>179</v>
      </c>
      <c r="D3575" s="8" t="s">
        <v>26</v>
      </c>
      <c r="E3575" s="8" t="s">
        <v>16687</v>
      </c>
      <c r="F3575" s="8"/>
      <c r="G3575" s="8" t="s">
        <v>284</v>
      </c>
      <c r="H3575" s="8" t="s">
        <v>16688</v>
      </c>
      <c r="I3575" s="8" t="s">
        <v>31</v>
      </c>
      <c r="J3575" s="8" t="s">
        <v>43</v>
      </c>
      <c r="K3575" s="10" t="s">
        <v>2922</v>
      </c>
      <c r="L3575" s="8" t="s">
        <v>58</v>
      </c>
      <c r="M3575" s="8" t="s">
        <v>35</v>
      </c>
      <c r="N3575" s="11">
        <v>45240.0</v>
      </c>
      <c r="O3575" s="11">
        <v>45474.0</v>
      </c>
      <c r="P3575" s="11">
        <v>45516.0</v>
      </c>
      <c r="Q3575" s="11"/>
      <c r="R3575" s="11"/>
      <c r="S3575" s="12"/>
      <c r="T3575" s="8"/>
      <c r="U3575" s="8" t="s">
        <v>59</v>
      </c>
      <c r="V3575" s="13" t="s">
        <v>38</v>
      </c>
      <c r="W3575" s="13" t="s">
        <v>16689</v>
      </c>
      <c r="X3575" s="12"/>
      <c r="Y3575" s="14"/>
      <c r="Z3575" s="14"/>
    </row>
    <row r="3576">
      <c r="A3576" s="8" t="s">
        <v>16690</v>
      </c>
      <c r="B3576" s="8" t="s">
        <v>16691</v>
      </c>
      <c r="C3576" s="8" t="s">
        <v>179</v>
      </c>
      <c r="D3576" s="8" t="s">
        <v>26</v>
      </c>
      <c r="E3576" s="8" t="s">
        <v>16692</v>
      </c>
      <c r="F3576" s="8">
        <v>5.528798965E9</v>
      </c>
      <c r="G3576" s="8" t="s">
        <v>31</v>
      </c>
      <c r="H3576" s="8" t="s">
        <v>542</v>
      </c>
      <c r="I3576" s="8" t="s">
        <v>284</v>
      </c>
      <c r="J3576" s="8" t="s">
        <v>285</v>
      </c>
      <c r="K3576" s="10" t="s">
        <v>3841</v>
      </c>
      <c r="L3576" s="8" t="s">
        <v>58</v>
      </c>
      <c r="M3576" s="8" t="s">
        <v>35</v>
      </c>
      <c r="N3576" s="11">
        <v>45240.0</v>
      </c>
      <c r="O3576" s="11">
        <v>45474.0</v>
      </c>
      <c r="P3576" s="11">
        <v>45516.0</v>
      </c>
      <c r="Q3576" s="11"/>
      <c r="R3576" s="11"/>
      <c r="S3576" s="12"/>
      <c r="T3576" s="8"/>
      <c r="U3576" s="8" t="s">
        <v>1038</v>
      </c>
      <c r="V3576" s="13" t="s">
        <v>545</v>
      </c>
      <c r="W3576" s="13" t="s">
        <v>16693</v>
      </c>
      <c r="X3576" s="12"/>
      <c r="Y3576" s="14"/>
      <c r="Z3576" s="14"/>
    </row>
    <row r="3577">
      <c r="A3577" s="8" t="s">
        <v>16694</v>
      </c>
      <c r="B3577" s="8" t="s">
        <v>16695</v>
      </c>
      <c r="C3577" s="8" t="s">
        <v>179</v>
      </c>
      <c r="D3577" s="8" t="s">
        <v>26</v>
      </c>
      <c r="E3577" s="8" t="s">
        <v>16696</v>
      </c>
      <c r="F3577" s="8">
        <v>5.324568801E9</v>
      </c>
      <c r="G3577" s="8" t="s">
        <v>31</v>
      </c>
      <c r="H3577" s="8" t="s">
        <v>43</v>
      </c>
      <c r="I3577" s="8" t="s">
        <v>44</v>
      </c>
      <c r="J3577" s="8" t="s">
        <v>453</v>
      </c>
      <c r="K3577" s="10" t="s">
        <v>454</v>
      </c>
      <c r="L3577" s="8" t="s">
        <v>58</v>
      </c>
      <c r="M3577" s="8" t="s">
        <v>35</v>
      </c>
      <c r="N3577" s="11">
        <v>45240.0</v>
      </c>
      <c r="O3577" s="11">
        <v>45519.0</v>
      </c>
      <c r="P3577" s="11">
        <v>45561.0</v>
      </c>
      <c r="Q3577" s="11"/>
      <c r="R3577" s="11"/>
      <c r="S3577" s="12"/>
      <c r="T3577" s="8"/>
      <c r="U3577" s="8" t="s">
        <v>59</v>
      </c>
      <c r="V3577" s="13" t="s">
        <v>43</v>
      </c>
      <c r="W3577" s="13" t="s">
        <v>16697</v>
      </c>
      <c r="X3577" s="12"/>
      <c r="Y3577" s="14"/>
      <c r="Z3577" s="14"/>
    </row>
    <row r="3578">
      <c r="A3578" s="8" t="s">
        <v>16698</v>
      </c>
      <c r="B3578" s="8" t="s">
        <v>16699</v>
      </c>
      <c r="C3578" s="8" t="s">
        <v>179</v>
      </c>
      <c r="D3578" s="8" t="s">
        <v>26</v>
      </c>
      <c r="E3578" s="8" t="s">
        <v>16700</v>
      </c>
      <c r="F3578" s="8"/>
      <c r="G3578" s="8" t="s">
        <v>54</v>
      </c>
      <c r="H3578" s="8" t="s">
        <v>237</v>
      </c>
      <c r="I3578" s="8" t="s">
        <v>31</v>
      </c>
      <c r="J3578" s="8" t="s">
        <v>86</v>
      </c>
      <c r="K3578" s="10" t="s">
        <v>2404</v>
      </c>
      <c r="L3578" s="8" t="s">
        <v>34</v>
      </c>
      <c r="M3578" s="8" t="s">
        <v>70</v>
      </c>
      <c r="N3578" s="11">
        <v>45240.0</v>
      </c>
      <c r="O3578" s="11">
        <v>45285.0</v>
      </c>
      <c r="P3578" s="11">
        <v>45653.0</v>
      </c>
      <c r="Q3578" s="11"/>
      <c r="R3578" s="11"/>
      <c r="S3578" s="12"/>
      <c r="T3578" s="8" t="s">
        <v>36</v>
      </c>
      <c r="U3578" s="8" t="s">
        <v>2405</v>
      </c>
      <c r="V3578" s="13" t="s">
        <v>38</v>
      </c>
      <c r="W3578" s="13" t="s">
        <v>16701</v>
      </c>
      <c r="X3578" s="12"/>
      <c r="Y3578" s="14"/>
      <c r="Z3578" s="14"/>
    </row>
    <row r="3579">
      <c r="A3579" s="8" t="s">
        <v>16702</v>
      </c>
      <c r="B3579" s="8" t="s">
        <v>16703</v>
      </c>
      <c r="C3579" s="8" t="s">
        <v>179</v>
      </c>
      <c r="D3579" s="8" t="s">
        <v>26</v>
      </c>
      <c r="E3579" s="8" t="s">
        <v>16704</v>
      </c>
      <c r="F3579" s="8"/>
      <c r="G3579" s="8" t="s">
        <v>31</v>
      </c>
      <c r="H3579" s="8" t="s">
        <v>32</v>
      </c>
      <c r="I3579" s="8" t="s">
        <v>284</v>
      </c>
      <c r="J3579" s="8" t="s">
        <v>589</v>
      </c>
      <c r="K3579" s="10" t="s">
        <v>16705</v>
      </c>
      <c r="L3579" s="8" t="s">
        <v>58</v>
      </c>
      <c r="M3579" s="8" t="s">
        <v>35</v>
      </c>
      <c r="N3579" s="11">
        <v>45240.0</v>
      </c>
      <c r="O3579" s="11">
        <v>45474.0</v>
      </c>
      <c r="P3579" s="11">
        <v>45516.0</v>
      </c>
      <c r="Q3579" s="11"/>
      <c r="R3579" s="11"/>
      <c r="S3579" s="12"/>
      <c r="T3579" s="8"/>
      <c r="U3579" s="8" t="s">
        <v>632</v>
      </c>
      <c r="V3579" s="13" t="s">
        <v>38</v>
      </c>
      <c r="W3579" s="13" t="s">
        <v>16706</v>
      </c>
      <c r="X3579" s="12"/>
      <c r="Y3579" s="14"/>
      <c r="Z3579" s="14"/>
    </row>
    <row r="3580">
      <c r="A3580" s="8" t="s">
        <v>16707</v>
      </c>
      <c r="B3580" s="8" t="s">
        <v>16708</v>
      </c>
      <c r="C3580" s="8" t="s">
        <v>179</v>
      </c>
      <c r="D3580" s="8" t="s">
        <v>26</v>
      </c>
      <c r="E3580" s="8" t="s">
        <v>16709</v>
      </c>
      <c r="F3580" s="8">
        <v>5.8769599E7</v>
      </c>
      <c r="G3580" s="8" t="s">
        <v>54</v>
      </c>
      <c r="H3580" s="8" t="s">
        <v>430</v>
      </c>
      <c r="I3580" s="8" t="s">
        <v>31</v>
      </c>
      <c r="J3580" s="8" t="s">
        <v>77</v>
      </c>
      <c r="K3580" s="10" t="s">
        <v>2555</v>
      </c>
      <c r="L3580" s="8" t="s">
        <v>58</v>
      </c>
      <c r="M3580" s="8" t="s">
        <v>35</v>
      </c>
      <c r="N3580" s="11">
        <v>45240.0</v>
      </c>
      <c r="O3580" s="11">
        <v>45376.0</v>
      </c>
      <c r="P3580" s="11">
        <v>45418.0</v>
      </c>
      <c r="Q3580" s="11"/>
      <c r="R3580" s="11"/>
      <c r="S3580" s="12"/>
      <c r="T3580" s="8"/>
      <c r="U3580" s="8" t="s">
        <v>371</v>
      </c>
      <c r="V3580" s="13" t="s">
        <v>1229</v>
      </c>
      <c r="W3580" s="13" t="s">
        <v>16710</v>
      </c>
      <c r="X3580" s="12"/>
      <c r="Y3580" s="14"/>
      <c r="Z3580" s="14"/>
    </row>
    <row r="3581">
      <c r="A3581" s="8" t="s">
        <v>16711</v>
      </c>
      <c r="B3581" s="8" t="s">
        <v>16712</v>
      </c>
      <c r="C3581" s="8" t="s">
        <v>708</v>
      </c>
      <c r="D3581" s="8" t="s">
        <v>26</v>
      </c>
      <c r="E3581" s="8" t="s">
        <v>16713</v>
      </c>
      <c r="F3581" s="8">
        <v>6.36213294E8</v>
      </c>
      <c r="G3581" s="8" t="s">
        <v>1620</v>
      </c>
      <c r="H3581" s="8" t="s">
        <v>3655</v>
      </c>
      <c r="I3581" s="8" t="s">
        <v>31</v>
      </c>
      <c r="J3581" s="8" t="s">
        <v>86</v>
      </c>
      <c r="K3581" s="10" t="s">
        <v>15200</v>
      </c>
      <c r="L3581" s="8" t="s">
        <v>58</v>
      </c>
      <c r="M3581" s="8" t="s">
        <v>35</v>
      </c>
      <c r="N3581" s="11">
        <v>45240.0</v>
      </c>
      <c r="O3581" s="11">
        <v>45293.0</v>
      </c>
      <c r="P3581" s="11">
        <v>45335.0</v>
      </c>
      <c r="Q3581" s="11">
        <v>45293.0</v>
      </c>
      <c r="R3581" s="11">
        <v>45335.0</v>
      </c>
      <c r="S3581" s="12"/>
      <c r="T3581" s="8"/>
      <c r="U3581" s="8" t="s">
        <v>59</v>
      </c>
      <c r="V3581" s="13" t="s">
        <v>5939</v>
      </c>
      <c r="W3581" s="13" t="s">
        <v>16714</v>
      </c>
      <c r="X3581" s="12"/>
      <c r="Y3581" s="14"/>
      <c r="Z3581" s="14"/>
    </row>
    <row r="3582">
      <c r="A3582" s="8" t="s">
        <v>16715</v>
      </c>
      <c r="B3582" s="8" t="s">
        <v>16716</v>
      </c>
      <c r="C3582" s="8" t="s">
        <v>179</v>
      </c>
      <c r="D3582" s="8" t="s">
        <v>26</v>
      </c>
      <c r="E3582" s="8" t="s">
        <v>16717</v>
      </c>
      <c r="F3582" s="8">
        <v>7.47637263E8</v>
      </c>
      <c r="G3582" s="8" t="s">
        <v>127</v>
      </c>
      <c r="H3582" s="8" t="s">
        <v>1771</v>
      </c>
      <c r="I3582" s="8" t="s">
        <v>31</v>
      </c>
      <c r="J3582" s="8" t="s">
        <v>86</v>
      </c>
      <c r="K3582" s="10" t="s">
        <v>416</v>
      </c>
      <c r="L3582" s="8" t="s">
        <v>58</v>
      </c>
      <c r="M3582" s="8" t="s">
        <v>35</v>
      </c>
      <c r="N3582" s="11">
        <v>45240.0</v>
      </c>
      <c r="O3582" s="11">
        <v>45483.0</v>
      </c>
      <c r="P3582" s="11">
        <v>45525.0</v>
      </c>
      <c r="Q3582" s="11"/>
      <c r="R3582" s="11"/>
      <c r="S3582" s="12"/>
      <c r="T3582" s="8"/>
      <c r="U3582" s="8" t="s">
        <v>59</v>
      </c>
      <c r="V3582" s="13" t="s">
        <v>4561</v>
      </c>
      <c r="W3582" s="13" t="s">
        <v>16718</v>
      </c>
      <c r="X3582" s="12"/>
      <c r="Y3582" s="14"/>
      <c r="Z3582" s="14"/>
    </row>
    <row r="3583">
      <c r="A3583" s="8" t="s">
        <v>16719</v>
      </c>
      <c r="B3583" s="8" t="s">
        <v>16720</v>
      </c>
      <c r="C3583" s="8" t="s">
        <v>179</v>
      </c>
      <c r="D3583" s="8" t="s">
        <v>26</v>
      </c>
      <c r="E3583" s="8" t="s">
        <v>16721</v>
      </c>
      <c r="F3583" s="8">
        <v>7.771220305E9</v>
      </c>
      <c r="G3583" s="8" t="s">
        <v>496</v>
      </c>
      <c r="H3583" s="8" t="s">
        <v>497</v>
      </c>
      <c r="I3583" s="8" t="s">
        <v>31</v>
      </c>
      <c r="J3583" s="8" t="s">
        <v>56</v>
      </c>
      <c r="K3583" s="10" t="s">
        <v>12274</v>
      </c>
      <c r="L3583" s="8" t="s">
        <v>58</v>
      </c>
      <c r="M3583" s="8" t="s">
        <v>35</v>
      </c>
      <c r="N3583" s="11">
        <v>45241.0</v>
      </c>
      <c r="O3583" s="11">
        <v>45327.0</v>
      </c>
      <c r="P3583" s="11">
        <v>45369.0</v>
      </c>
      <c r="Q3583" s="11"/>
      <c r="R3583" s="11"/>
      <c r="S3583" s="12"/>
      <c r="T3583" s="8"/>
      <c r="U3583" s="8" t="s">
        <v>161</v>
      </c>
      <c r="V3583" s="13" t="s">
        <v>500</v>
      </c>
      <c r="W3583" s="13" t="s">
        <v>16722</v>
      </c>
      <c r="X3583" s="12"/>
      <c r="Y3583" s="14"/>
      <c r="Z3583" s="14"/>
    </row>
    <row r="3584">
      <c r="A3584" s="8" t="s">
        <v>16723</v>
      </c>
      <c r="B3584" s="8" t="s">
        <v>16724</v>
      </c>
      <c r="C3584" s="8" t="s">
        <v>179</v>
      </c>
      <c r="D3584" s="8" t="s">
        <v>26</v>
      </c>
      <c r="E3584" s="8" t="s">
        <v>16725</v>
      </c>
      <c r="F3584" s="8">
        <v>2.2328205E7</v>
      </c>
      <c r="G3584" s="8" t="s">
        <v>54</v>
      </c>
      <c r="H3584" s="8" t="s">
        <v>377</v>
      </c>
      <c r="I3584" s="8" t="s">
        <v>31</v>
      </c>
      <c r="J3584" s="8" t="s">
        <v>86</v>
      </c>
      <c r="K3584" s="10" t="s">
        <v>3621</v>
      </c>
      <c r="L3584" s="8" t="s">
        <v>58</v>
      </c>
      <c r="M3584" s="8" t="s">
        <v>35</v>
      </c>
      <c r="N3584" s="11">
        <v>45241.0</v>
      </c>
      <c r="O3584" s="11">
        <v>45476.0</v>
      </c>
      <c r="P3584" s="11">
        <v>45518.0</v>
      </c>
      <c r="Q3584" s="11"/>
      <c r="R3584" s="11"/>
      <c r="S3584" s="12"/>
      <c r="T3584" s="8"/>
      <c r="U3584" s="8" t="s">
        <v>153</v>
      </c>
      <c r="V3584" s="13" t="s">
        <v>3491</v>
      </c>
      <c r="W3584" s="13" t="s">
        <v>16726</v>
      </c>
      <c r="X3584" s="12"/>
      <c r="Y3584" s="14"/>
      <c r="Z3584" s="14"/>
    </row>
    <row r="3585">
      <c r="A3585" s="8" t="s">
        <v>16727</v>
      </c>
      <c r="B3585" s="8" t="s">
        <v>16728</v>
      </c>
      <c r="C3585" s="8" t="s">
        <v>179</v>
      </c>
      <c r="D3585" s="8" t="s">
        <v>26</v>
      </c>
      <c r="E3585" s="8" t="s">
        <v>16729</v>
      </c>
      <c r="F3585" s="8">
        <v>6.87770754E8</v>
      </c>
      <c r="G3585" s="8" t="s">
        <v>1620</v>
      </c>
      <c r="H3585" s="8" t="s">
        <v>1621</v>
      </c>
      <c r="I3585" s="8" t="s">
        <v>31</v>
      </c>
      <c r="J3585" s="8" t="s">
        <v>43</v>
      </c>
      <c r="K3585" s="10" t="s">
        <v>837</v>
      </c>
      <c r="L3585" s="8" t="s">
        <v>58</v>
      </c>
      <c r="M3585" s="8" t="s">
        <v>35</v>
      </c>
      <c r="N3585" s="11">
        <v>45241.0</v>
      </c>
      <c r="O3585" s="11">
        <v>45413.0</v>
      </c>
      <c r="P3585" s="11">
        <v>45455.0</v>
      </c>
      <c r="Q3585" s="11"/>
      <c r="R3585" s="11"/>
      <c r="S3585" s="12"/>
      <c r="T3585" s="8"/>
      <c r="U3585" s="8" t="s">
        <v>130</v>
      </c>
      <c r="V3585" s="13" t="s">
        <v>13760</v>
      </c>
      <c r="W3585" s="13" t="s">
        <v>16730</v>
      </c>
      <c r="X3585" s="12"/>
      <c r="Y3585" s="14"/>
      <c r="Z3585" s="14"/>
    </row>
    <row r="3586">
      <c r="A3586" s="8" t="s">
        <v>16731</v>
      </c>
      <c r="B3586" s="8" t="s">
        <v>16732</v>
      </c>
      <c r="C3586" s="8" t="s">
        <v>708</v>
      </c>
      <c r="D3586" s="8" t="s">
        <v>26</v>
      </c>
      <c r="E3586" s="8" t="s">
        <v>16733</v>
      </c>
      <c r="F3586" s="8"/>
      <c r="G3586" s="8" t="s">
        <v>1620</v>
      </c>
      <c r="H3586" s="8" t="s">
        <v>3655</v>
      </c>
      <c r="I3586" s="8" t="s">
        <v>31</v>
      </c>
      <c r="J3586" s="8" t="s">
        <v>86</v>
      </c>
      <c r="K3586" s="10" t="s">
        <v>87</v>
      </c>
      <c r="L3586" s="8" t="s">
        <v>58</v>
      </c>
      <c r="M3586" s="8" t="s">
        <v>35</v>
      </c>
      <c r="N3586" s="11">
        <v>45241.0</v>
      </c>
      <c r="O3586" s="11">
        <v>45284.0</v>
      </c>
      <c r="P3586" s="11">
        <v>45326.0</v>
      </c>
      <c r="Q3586" s="11">
        <v>45287.0</v>
      </c>
      <c r="R3586" s="11">
        <v>45327.0</v>
      </c>
      <c r="S3586" s="12"/>
      <c r="T3586" s="8"/>
      <c r="U3586" s="8" t="s">
        <v>88</v>
      </c>
      <c r="V3586" s="13" t="s">
        <v>38</v>
      </c>
      <c r="W3586" s="13" t="s">
        <v>16734</v>
      </c>
      <c r="X3586" s="12"/>
      <c r="Y3586" s="14"/>
      <c r="Z3586" s="14"/>
    </row>
    <row r="3587">
      <c r="A3587" s="8" t="s">
        <v>16735</v>
      </c>
      <c r="B3587" s="8" t="s">
        <v>16736</v>
      </c>
      <c r="C3587" s="8" t="s">
        <v>25</v>
      </c>
      <c r="D3587" s="8" t="s">
        <v>26</v>
      </c>
      <c r="E3587" s="8" t="s">
        <v>16737</v>
      </c>
      <c r="F3587" s="8">
        <v>7.61210434E8</v>
      </c>
      <c r="G3587" s="8" t="s">
        <v>399</v>
      </c>
      <c r="H3587" s="8" t="s">
        <v>1381</v>
      </c>
      <c r="I3587" s="8" t="s">
        <v>31</v>
      </c>
      <c r="J3587" s="8" t="s">
        <v>438</v>
      </c>
      <c r="K3587" s="10" t="s">
        <v>16574</v>
      </c>
      <c r="L3587" s="8" t="s">
        <v>58</v>
      </c>
      <c r="M3587" s="8" t="s">
        <v>35</v>
      </c>
      <c r="N3587" s="11">
        <v>45241.0</v>
      </c>
      <c r="O3587" s="11">
        <v>45264.0</v>
      </c>
      <c r="P3587" s="11">
        <v>45306.0</v>
      </c>
      <c r="Q3587" s="11">
        <v>45270.0</v>
      </c>
      <c r="R3587" s="11">
        <v>45310.0</v>
      </c>
      <c r="S3587" s="12"/>
      <c r="T3587" s="8"/>
      <c r="U3587" s="8" t="s">
        <v>59</v>
      </c>
      <c r="V3587" s="13" t="s">
        <v>16738</v>
      </c>
      <c r="W3587" s="13" t="s">
        <v>16739</v>
      </c>
      <c r="X3587" s="12"/>
      <c r="Y3587" s="14"/>
      <c r="Z3587" s="14"/>
    </row>
    <row r="3588">
      <c r="A3588" s="8" t="s">
        <v>16740</v>
      </c>
      <c r="B3588" s="8" t="s">
        <v>16741</v>
      </c>
      <c r="C3588" s="8" t="s">
        <v>708</v>
      </c>
      <c r="D3588" s="8" t="s">
        <v>26</v>
      </c>
      <c r="E3588" s="8" t="s">
        <v>16742</v>
      </c>
      <c r="F3588" s="8"/>
      <c r="G3588" s="8" t="s">
        <v>54</v>
      </c>
      <c r="H3588" s="8" t="s">
        <v>430</v>
      </c>
      <c r="I3588" s="8" t="s">
        <v>31</v>
      </c>
      <c r="J3588" s="8" t="s">
        <v>292</v>
      </c>
      <c r="K3588" s="10" t="s">
        <v>1260</v>
      </c>
      <c r="L3588" s="8" t="s">
        <v>47</v>
      </c>
      <c r="M3588" s="8" t="s">
        <v>70</v>
      </c>
      <c r="N3588" s="11">
        <v>45241.0</v>
      </c>
      <c r="O3588" s="11">
        <v>45255.0</v>
      </c>
      <c r="P3588" s="11">
        <v>45616.0</v>
      </c>
      <c r="Q3588" s="11">
        <v>45272.0</v>
      </c>
      <c r="R3588" s="11">
        <v>45633.0</v>
      </c>
      <c r="S3588" s="12"/>
      <c r="T3588" s="8"/>
      <c r="U3588" s="8" t="s">
        <v>1261</v>
      </c>
      <c r="V3588" s="13" t="s">
        <v>38</v>
      </c>
      <c r="W3588" s="13" t="s">
        <v>16743</v>
      </c>
      <c r="X3588" s="12"/>
      <c r="Y3588" s="14"/>
      <c r="Z3588" s="14"/>
    </row>
    <row r="3589">
      <c r="A3589" s="8" t="s">
        <v>16744</v>
      </c>
      <c r="B3589" s="8" t="s">
        <v>16745</v>
      </c>
      <c r="C3589" s="8" t="s">
        <v>179</v>
      </c>
      <c r="D3589" s="8" t="s">
        <v>26</v>
      </c>
      <c r="E3589" s="8" t="s">
        <v>16746</v>
      </c>
      <c r="F3589" s="8">
        <v>6.64463315E8</v>
      </c>
      <c r="G3589" s="8" t="s">
        <v>254</v>
      </c>
      <c r="H3589" s="8" t="s">
        <v>1007</v>
      </c>
      <c r="I3589" s="8" t="s">
        <v>31</v>
      </c>
      <c r="J3589" s="8" t="s">
        <v>86</v>
      </c>
      <c r="K3589" s="10" t="s">
        <v>15302</v>
      </c>
      <c r="L3589" s="8" t="s">
        <v>58</v>
      </c>
      <c r="M3589" s="8" t="s">
        <v>35</v>
      </c>
      <c r="N3589" s="11">
        <v>45241.0</v>
      </c>
      <c r="O3589" s="11">
        <v>45333.0</v>
      </c>
      <c r="P3589" s="11">
        <v>45375.0</v>
      </c>
      <c r="Q3589" s="11"/>
      <c r="R3589" s="11"/>
      <c r="S3589" s="12"/>
      <c r="T3589" s="8"/>
      <c r="U3589" s="8" t="s">
        <v>185</v>
      </c>
      <c r="V3589" s="13" t="s">
        <v>1249</v>
      </c>
      <c r="W3589" s="13" t="s">
        <v>16747</v>
      </c>
      <c r="X3589" s="12"/>
      <c r="Y3589" s="14"/>
      <c r="Z3589" s="14"/>
    </row>
    <row r="3590">
      <c r="A3590" s="8" t="s">
        <v>16748</v>
      </c>
      <c r="B3590" s="8" t="s">
        <v>14625</v>
      </c>
      <c r="C3590" s="8" t="s">
        <v>179</v>
      </c>
      <c r="D3590" s="8" t="s">
        <v>26</v>
      </c>
      <c r="E3590" s="8" t="s">
        <v>14626</v>
      </c>
      <c r="F3590" s="8"/>
      <c r="G3590" s="8" t="s">
        <v>44</v>
      </c>
      <c r="H3590" s="8" t="s">
        <v>741</v>
      </c>
      <c r="I3590" s="8" t="s">
        <v>31</v>
      </c>
      <c r="J3590" s="8" t="s">
        <v>43</v>
      </c>
      <c r="K3590" s="10" t="s">
        <v>12504</v>
      </c>
      <c r="L3590" s="8" t="s">
        <v>58</v>
      </c>
      <c r="M3590" s="8" t="s">
        <v>35</v>
      </c>
      <c r="N3590" s="11">
        <v>45241.0</v>
      </c>
      <c r="O3590" s="11">
        <v>45411.0</v>
      </c>
      <c r="P3590" s="11">
        <v>45457.0</v>
      </c>
      <c r="Q3590" s="11"/>
      <c r="R3590" s="11"/>
      <c r="S3590" s="12"/>
      <c r="T3590" s="8"/>
      <c r="U3590" s="8" t="s">
        <v>59</v>
      </c>
      <c r="V3590" s="13" t="s">
        <v>38</v>
      </c>
      <c r="W3590" s="13" t="s">
        <v>14627</v>
      </c>
      <c r="X3590" s="12"/>
      <c r="Y3590" s="14"/>
      <c r="Z3590" s="14"/>
    </row>
    <row r="3591">
      <c r="A3591" s="8" t="s">
        <v>16749</v>
      </c>
      <c r="B3591" s="8" t="s">
        <v>16750</v>
      </c>
      <c r="C3591" s="8" t="s">
        <v>179</v>
      </c>
      <c r="D3591" s="8" t="s">
        <v>26</v>
      </c>
      <c r="E3591" s="8" t="s">
        <v>16751</v>
      </c>
      <c r="F3591" s="9" t="s">
        <v>16752</v>
      </c>
      <c r="G3591" s="8" t="s">
        <v>254</v>
      </c>
      <c r="H3591" s="8" t="s">
        <v>291</v>
      </c>
      <c r="I3591" s="8" t="s">
        <v>31</v>
      </c>
      <c r="J3591" s="8" t="s">
        <v>111</v>
      </c>
      <c r="K3591" s="10" t="s">
        <v>16330</v>
      </c>
      <c r="L3591" s="8" t="s">
        <v>58</v>
      </c>
      <c r="M3591" s="8" t="s">
        <v>35</v>
      </c>
      <c r="N3591" s="11">
        <v>45241.0</v>
      </c>
      <c r="O3591" s="11">
        <v>45257.0</v>
      </c>
      <c r="P3591" s="11">
        <v>45299.0</v>
      </c>
      <c r="Q3591" s="11"/>
      <c r="R3591" s="11"/>
      <c r="S3591" s="12"/>
      <c r="T3591" s="8"/>
      <c r="U3591" s="8" t="s">
        <v>59</v>
      </c>
      <c r="V3591" s="13" t="s">
        <v>295</v>
      </c>
      <c r="W3591" s="13" t="s">
        <v>16753</v>
      </c>
      <c r="X3591" s="12"/>
      <c r="Y3591" s="14"/>
      <c r="Z3591" s="14"/>
    </row>
    <row r="3592">
      <c r="A3592" s="8" t="s">
        <v>16754</v>
      </c>
      <c r="B3592" s="8" t="s">
        <v>16755</v>
      </c>
      <c r="C3592" s="8" t="s">
        <v>179</v>
      </c>
      <c r="D3592" s="8" t="s">
        <v>26</v>
      </c>
      <c r="E3592" s="8" t="s">
        <v>16756</v>
      </c>
      <c r="F3592" s="8">
        <v>5.1000371E7</v>
      </c>
      <c r="G3592" s="8" t="s">
        <v>54</v>
      </c>
      <c r="H3592" s="8" t="s">
        <v>377</v>
      </c>
      <c r="I3592" s="8" t="s">
        <v>31</v>
      </c>
      <c r="J3592" s="8" t="s">
        <v>86</v>
      </c>
      <c r="K3592" s="10" t="s">
        <v>3621</v>
      </c>
      <c r="L3592" s="8" t="s">
        <v>58</v>
      </c>
      <c r="M3592" s="8" t="s">
        <v>35</v>
      </c>
      <c r="N3592" s="11">
        <v>45241.0</v>
      </c>
      <c r="O3592" s="11">
        <v>45476.0</v>
      </c>
      <c r="P3592" s="11">
        <v>45518.0</v>
      </c>
      <c r="Q3592" s="11"/>
      <c r="R3592" s="11"/>
      <c r="S3592" s="12"/>
      <c r="T3592" s="8"/>
      <c r="U3592" s="8" t="s">
        <v>153</v>
      </c>
      <c r="V3592" s="13" t="s">
        <v>3491</v>
      </c>
      <c r="W3592" s="13" t="s">
        <v>16757</v>
      </c>
      <c r="X3592" s="12"/>
      <c r="Y3592" s="14"/>
      <c r="Z3592" s="14"/>
    </row>
    <row r="3593">
      <c r="A3593" s="8" t="s">
        <v>16758</v>
      </c>
      <c r="B3593" s="8" t="s">
        <v>16759</v>
      </c>
      <c r="C3593" s="8" t="s">
        <v>179</v>
      </c>
      <c r="D3593" s="8" t="s">
        <v>26</v>
      </c>
      <c r="E3593" s="8" t="s">
        <v>16760</v>
      </c>
      <c r="F3593" s="8">
        <v>9.7466791E7</v>
      </c>
      <c r="G3593" s="8" t="s">
        <v>54</v>
      </c>
      <c r="H3593" s="8" t="s">
        <v>377</v>
      </c>
      <c r="I3593" s="8" t="s">
        <v>31</v>
      </c>
      <c r="J3593" s="8" t="s">
        <v>86</v>
      </c>
      <c r="K3593" s="10" t="s">
        <v>3621</v>
      </c>
      <c r="L3593" s="8" t="s">
        <v>58</v>
      </c>
      <c r="M3593" s="8" t="s">
        <v>35</v>
      </c>
      <c r="N3593" s="11">
        <v>45242.0</v>
      </c>
      <c r="O3593" s="11">
        <v>45476.0</v>
      </c>
      <c r="P3593" s="11">
        <v>45518.0</v>
      </c>
      <c r="Q3593" s="11"/>
      <c r="R3593" s="11"/>
      <c r="S3593" s="12"/>
      <c r="T3593" s="8"/>
      <c r="U3593" s="8" t="s">
        <v>153</v>
      </c>
      <c r="V3593" s="13" t="s">
        <v>3491</v>
      </c>
      <c r="W3593" s="13" t="s">
        <v>16761</v>
      </c>
      <c r="X3593" s="12"/>
      <c r="Y3593" s="14"/>
      <c r="Z3593" s="14"/>
    </row>
    <row r="3594">
      <c r="A3594" s="8" t="s">
        <v>16762</v>
      </c>
      <c r="B3594" s="8" t="s">
        <v>16763</v>
      </c>
      <c r="C3594" s="8" t="s">
        <v>179</v>
      </c>
      <c r="D3594" s="8" t="s">
        <v>26</v>
      </c>
      <c r="E3594" s="8" t="s">
        <v>16764</v>
      </c>
      <c r="F3594" s="8">
        <v>5.441189543E9</v>
      </c>
      <c r="G3594" s="8" t="s">
        <v>31</v>
      </c>
      <c r="H3594" s="8" t="s">
        <v>542</v>
      </c>
      <c r="I3594" s="8" t="s">
        <v>284</v>
      </c>
      <c r="J3594" s="8" t="s">
        <v>3188</v>
      </c>
      <c r="K3594" s="10" t="s">
        <v>15157</v>
      </c>
      <c r="L3594" s="8" t="s">
        <v>47</v>
      </c>
      <c r="M3594" s="8" t="s">
        <v>35</v>
      </c>
      <c r="N3594" s="11">
        <v>45242.0</v>
      </c>
      <c r="O3594" s="11">
        <v>45330.0</v>
      </c>
      <c r="P3594" s="11">
        <v>45393.0</v>
      </c>
      <c r="Q3594" s="11"/>
      <c r="R3594" s="11"/>
      <c r="S3594" s="12"/>
      <c r="T3594" s="8"/>
      <c r="U3594" s="8" t="s">
        <v>15158</v>
      </c>
      <c r="V3594" s="13" t="s">
        <v>545</v>
      </c>
      <c r="W3594" s="13" t="s">
        <v>16765</v>
      </c>
      <c r="X3594" s="12"/>
      <c r="Y3594" s="14"/>
      <c r="Z3594" s="14"/>
    </row>
    <row r="3595">
      <c r="A3595" s="8" t="s">
        <v>16766</v>
      </c>
      <c r="B3595" s="8" t="s">
        <v>16767</v>
      </c>
      <c r="C3595" s="8" t="s">
        <v>179</v>
      </c>
      <c r="D3595" s="8" t="s">
        <v>26</v>
      </c>
      <c r="E3595" s="8" t="s">
        <v>16768</v>
      </c>
      <c r="F3595" s="8">
        <v>1.207524591E9</v>
      </c>
      <c r="G3595" s="8" t="s">
        <v>284</v>
      </c>
      <c r="H3595" s="8" t="s">
        <v>673</v>
      </c>
      <c r="I3595" s="8" t="s">
        <v>31</v>
      </c>
      <c r="J3595" s="8" t="s">
        <v>32</v>
      </c>
      <c r="K3595" s="10" t="s">
        <v>14375</v>
      </c>
      <c r="L3595" s="8" t="s">
        <v>58</v>
      </c>
      <c r="M3595" s="8" t="s">
        <v>35</v>
      </c>
      <c r="N3595" s="11">
        <v>45242.0</v>
      </c>
      <c r="O3595" s="11">
        <v>45403.0</v>
      </c>
      <c r="P3595" s="11">
        <v>45445.0</v>
      </c>
      <c r="Q3595" s="11"/>
      <c r="R3595" s="11"/>
      <c r="S3595" s="12"/>
      <c r="T3595" s="8"/>
      <c r="U3595" s="8" t="s">
        <v>161</v>
      </c>
      <c r="V3595" s="13" t="s">
        <v>674</v>
      </c>
      <c r="W3595" s="13" t="s">
        <v>16769</v>
      </c>
      <c r="X3595" s="12"/>
      <c r="Y3595" s="14"/>
      <c r="Z3595" s="14"/>
    </row>
    <row r="3596">
      <c r="A3596" s="8" t="s">
        <v>16770</v>
      </c>
      <c r="B3596" s="8" t="s">
        <v>16771</v>
      </c>
      <c r="C3596" s="8" t="s">
        <v>708</v>
      </c>
      <c r="D3596" s="8" t="s">
        <v>26</v>
      </c>
      <c r="E3596" s="8" t="s">
        <v>16772</v>
      </c>
      <c r="F3596" s="8"/>
      <c r="G3596" s="8" t="s">
        <v>84</v>
      </c>
      <c r="H3596" s="8" t="s">
        <v>646</v>
      </c>
      <c r="I3596" s="8" t="s">
        <v>31</v>
      </c>
      <c r="J3596" s="8" t="s">
        <v>32</v>
      </c>
      <c r="K3596" s="10" t="s">
        <v>16773</v>
      </c>
      <c r="L3596" s="8" t="s">
        <v>47</v>
      </c>
      <c r="M3596" s="8" t="s">
        <v>70</v>
      </c>
      <c r="N3596" s="11">
        <v>45243.0</v>
      </c>
      <c r="O3596" s="11">
        <v>45260.0</v>
      </c>
      <c r="P3596" s="11">
        <v>45625.0</v>
      </c>
      <c r="Q3596" s="11">
        <v>45258.0</v>
      </c>
      <c r="R3596" s="11">
        <v>45625.0</v>
      </c>
      <c r="S3596" s="12"/>
      <c r="T3596" s="8"/>
      <c r="U3596" s="8" t="s">
        <v>1794</v>
      </c>
      <c r="V3596" s="13" t="s">
        <v>38</v>
      </c>
      <c r="W3596" s="13" t="s">
        <v>16774</v>
      </c>
      <c r="X3596" s="12"/>
      <c r="Y3596" s="14"/>
      <c r="Z3596" s="14"/>
    </row>
    <row r="3597">
      <c r="A3597" s="8" t="s">
        <v>16775</v>
      </c>
      <c r="B3597" s="8" t="s">
        <v>16776</v>
      </c>
      <c r="C3597" s="8" t="s">
        <v>179</v>
      </c>
      <c r="D3597" s="8" t="s">
        <v>26</v>
      </c>
      <c r="E3597" s="8" t="s">
        <v>16777</v>
      </c>
      <c r="F3597" s="8">
        <v>5.06386543E9</v>
      </c>
      <c r="G3597" s="8" t="s">
        <v>31</v>
      </c>
      <c r="H3597" s="8" t="s">
        <v>32</v>
      </c>
      <c r="I3597" s="8" t="s">
        <v>284</v>
      </c>
      <c r="J3597" s="8" t="s">
        <v>589</v>
      </c>
      <c r="K3597" s="10" t="s">
        <v>16778</v>
      </c>
      <c r="L3597" s="8" t="s">
        <v>58</v>
      </c>
      <c r="M3597" s="8" t="s">
        <v>35</v>
      </c>
      <c r="N3597" s="11">
        <v>45243.0</v>
      </c>
      <c r="O3597" s="11">
        <v>45474.0</v>
      </c>
      <c r="P3597" s="11">
        <v>45516.0</v>
      </c>
      <c r="Q3597" s="11"/>
      <c r="R3597" s="11"/>
      <c r="S3597" s="12"/>
      <c r="T3597" s="8"/>
      <c r="U3597" s="8" t="s">
        <v>632</v>
      </c>
      <c r="V3597" s="13" t="s">
        <v>537</v>
      </c>
      <c r="W3597" s="13" t="s">
        <v>16779</v>
      </c>
      <c r="X3597" s="12"/>
      <c r="Y3597" s="14"/>
      <c r="Z3597" s="14"/>
    </row>
    <row r="3598">
      <c r="A3598" s="8" t="s">
        <v>16780</v>
      </c>
      <c r="B3598" s="8" t="s">
        <v>16781</v>
      </c>
      <c r="C3598" s="8" t="s">
        <v>179</v>
      </c>
      <c r="D3598" s="8" t="s">
        <v>26</v>
      </c>
      <c r="E3598" s="8" t="s">
        <v>16782</v>
      </c>
      <c r="F3598" s="8">
        <v>9.7955289E7</v>
      </c>
      <c r="G3598" s="8" t="s">
        <v>54</v>
      </c>
      <c r="H3598" s="8" t="s">
        <v>377</v>
      </c>
      <c r="I3598" s="8" t="s">
        <v>31</v>
      </c>
      <c r="J3598" s="8" t="s">
        <v>86</v>
      </c>
      <c r="K3598" s="10" t="s">
        <v>2453</v>
      </c>
      <c r="L3598" s="8" t="s">
        <v>58</v>
      </c>
      <c r="M3598" s="8" t="s">
        <v>35</v>
      </c>
      <c r="N3598" s="11">
        <v>45243.0</v>
      </c>
      <c r="O3598" s="11">
        <v>45444.0</v>
      </c>
      <c r="P3598" s="11">
        <v>45486.0</v>
      </c>
      <c r="Q3598" s="11"/>
      <c r="R3598" s="11"/>
      <c r="S3598" s="12"/>
      <c r="T3598" s="8"/>
      <c r="U3598" s="8" t="s">
        <v>59</v>
      </c>
      <c r="V3598" s="13" t="s">
        <v>2218</v>
      </c>
      <c r="W3598" s="13" t="s">
        <v>16783</v>
      </c>
      <c r="X3598" s="12"/>
      <c r="Y3598" s="14"/>
      <c r="Z3598" s="14"/>
    </row>
    <row r="3599">
      <c r="A3599" s="8" t="s">
        <v>16784</v>
      </c>
      <c r="B3599" s="8" t="s">
        <v>16785</v>
      </c>
      <c r="C3599" s="8" t="s">
        <v>179</v>
      </c>
      <c r="D3599" s="8" t="s">
        <v>26</v>
      </c>
      <c r="E3599" s="8" t="s">
        <v>16786</v>
      </c>
      <c r="F3599" s="8">
        <v>2.0426266E7</v>
      </c>
      <c r="G3599" s="8" t="s">
        <v>54</v>
      </c>
      <c r="H3599" s="8" t="s">
        <v>76</v>
      </c>
      <c r="I3599" s="8" t="s">
        <v>31</v>
      </c>
      <c r="J3599" s="8" t="s">
        <v>438</v>
      </c>
      <c r="K3599" s="10" t="s">
        <v>6001</v>
      </c>
      <c r="L3599" s="8" t="s">
        <v>58</v>
      </c>
      <c r="M3599" s="8" t="s">
        <v>35</v>
      </c>
      <c r="N3599" s="11">
        <v>45243.0</v>
      </c>
      <c r="O3599" s="11">
        <v>45487.0</v>
      </c>
      <c r="P3599" s="11">
        <v>45529.0</v>
      </c>
      <c r="Q3599" s="11"/>
      <c r="R3599" s="11"/>
      <c r="S3599" s="12"/>
      <c r="T3599" s="8"/>
      <c r="U3599" s="8" t="s">
        <v>59</v>
      </c>
      <c r="V3599" s="13" t="s">
        <v>15263</v>
      </c>
      <c r="W3599" s="13" t="s">
        <v>16787</v>
      </c>
      <c r="X3599" s="12"/>
      <c r="Y3599" s="14"/>
      <c r="Z3599" s="14"/>
    </row>
    <row r="3600">
      <c r="A3600" s="8" t="s">
        <v>16788</v>
      </c>
      <c r="B3600" s="8" t="s">
        <v>16789</v>
      </c>
      <c r="C3600" s="8" t="s">
        <v>179</v>
      </c>
      <c r="D3600" s="8" t="s">
        <v>26</v>
      </c>
      <c r="E3600" s="8" t="s">
        <v>16790</v>
      </c>
      <c r="F3600" s="8">
        <v>9.6192017E7</v>
      </c>
      <c r="G3600" s="8" t="s">
        <v>54</v>
      </c>
      <c r="H3600" s="8" t="s">
        <v>377</v>
      </c>
      <c r="I3600" s="8" t="s">
        <v>31</v>
      </c>
      <c r="J3600" s="8" t="s">
        <v>43</v>
      </c>
      <c r="K3600" s="10" t="s">
        <v>2922</v>
      </c>
      <c r="L3600" s="8" t="s">
        <v>58</v>
      </c>
      <c r="M3600" s="8" t="s">
        <v>35</v>
      </c>
      <c r="N3600" s="11">
        <v>45243.0</v>
      </c>
      <c r="O3600" s="11">
        <v>45474.0</v>
      </c>
      <c r="P3600" s="11">
        <v>45516.0</v>
      </c>
      <c r="Q3600" s="11"/>
      <c r="R3600" s="11"/>
      <c r="S3600" s="12"/>
      <c r="T3600" s="8"/>
      <c r="U3600" s="8" t="s">
        <v>59</v>
      </c>
      <c r="V3600" s="13" t="s">
        <v>1604</v>
      </c>
      <c r="W3600" s="13" t="s">
        <v>16791</v>
      </c>
      <c r="X3600" s="12"/>
      <c r="Y3600" s="14"/>
      <c r="Z3600" s="14"/>
    </row>
    <row r="3601">
      <c r="A3601" s="8" t="s">
        <v>16792</v>
      </c>
      <c r="B3601" s="8" t="s">
        <v>16793</v>
      </c>
      <c r="C3601" s="8" t="s">
        <v>708</v>
      </c>
      <c r="D3601" s="8" t="s">
        <v>26</v>
      </c>
      <c r="E3601" s="8" t="s">
        <v>16794</v>
      </c>
      <c r="F3601" s="8">
        <v>5.2844188E7</v>
      </c>
      <c r="G3601" s="8" t="s">
        <v>54</v>
      </c>
      <c r="H3601" s="8" t="s">
        <v>595</v>
      </c>
      <c r="I3601" s="8" t="s">
        <v>31</v>
      </c>
      <c r="J3601" s="8" t="s">
        <v>32</v>
      </c>
      <c r="K3601" s="10" t="s">
        <v>16773</v>
      </c>
      <c r="L3601" s="8" t="s">
        <v>47</v>
      </c>
      <c r="M3601" s="8" t="s">
        <v>70</v>
      </c>
      <c r="N3601" s="11">
        <v>45243.0</v>
      </c>
      <c r="O3601" s="11">
        <v>45260.0</v>
      </c>
      <c r="P3601" s="11">
        <v>45625.0</v>
      </c>
      <c r="Q3601" s="11">
        <v>45302.0</v>
      </c>
      <c r="R3601" s="11">
        <v>45667.0</v>
      </c>
      <c r="S3601" s="12"/>
      <c r="T3601" s="8"/>
      <c r="U3601" s="8" t="s">
        <v>1794</v>
      </c>
      <c r="V3601" s="13" t="s">
        <v>38</v>
      </c>
      <c r="W3601" s="13" t="s">
        <v>16795</v>
      </c>
      <c r="X3601" s="12"/>
      <c r="Y3601" s="14"/>
      <c r="Z3601" s="14"/>
    </row>
    <row r="3602">
      <c r="A3602" s="8" t="s">
        <v>16796</v>
      </c>
      <c r="B3602" s="8" t="s">
        <v>11524</v>
      </c>
      <c r="C3602" s="8" t="s">
        <v>708</v>
      </c>
      <c r="D3602" s="8" t="s">
        <v>26</v>
      </c>
      <c r="E3602" s="8" t="s">
        <v>16797</v>
      </c>
      <c r="F3602" s="8"/>
      <c r="G3602" s="8" t="s">
        <v>54</v>
      </c>
      <c r="H3602" s="8" t="s">
        <v>595</v>
      </c>
      <c r="I3602" s="8" t="s">
        <v>31</v>
      </c>
      <c r="J3602" s="8" t="s">
        <v>111</v>
      </c>
      <c r="K3602" s="10" t="s">
        <v>4676</v>
      </c>
      <c r="L3602" s="8" t="s">
        <v>47</v>
      </c>
      <c r="M3602" s="8" t="s">
        <v>70</v>
      </c>
      <c r="N3602" s="11">
        <v>45243.0</v>
      </c>
      <c r="O3602" s="11">
        <v>45251.0</v>
      </c>
      <c r="P3602" s="11">
        <v>45471.0</v>
      </c>
      <c r="Q3602" s="11">
        <v>45253.0</v>
      </c>
      <c r="R3602" s="11">
        <v>45474.0</v>
      </c>
      <c r="S3602" s="12"/>
      <c r="T3602" s="8" t="s">
        <v>446</v>
      </c>
      <c r="U3602" s="8" t="s">
        <v>4677</v>
      </c>
      <c r="V3602" s="13" t="s">
        <v>38</v>
      </c>
      <c r="W3602" s="13" t="s">
        <v>16798</v>
      </c>
      <c r="X3602" s="12"/>
      <c r="Y3602" s="14"/>
      <c r="Z3602" s="14"/>
    </row>
    <row r="3603">
      <c r="A3603" s="8" t="s">
        <v>16799</v>
      </c>
      <c r="B3603" s="8" t="s">
        <v>16800</v>
      </c>
      <c r="C3603" s="8" t="s">
        <v>179</v>
      </c>
      <c r="D3603" s="8" t="s">
        <v>26</v>
      </c>
      <c r="E3603" s="8" t="s">
        <v>16801</v>
      </c>
      <c r="F3603" s="8">
        <v>6.74784795E8</v>
      </c>
      <c r="G3603" s="8" t="s">
        <v>1620</v>
      </c>
      <c r="H3603" s="8" t="s">
        <v>10795</v>
      </c>
      <c r="I3603" s="8" t="s">
        <v>31</v>
      </c>
      <c r="J3603" s="8" t="s">
        <v>292</v>
      </c>
      <c r="K3603" s="10" t="s">
        <v>12973</v>
      </c>
      <c r="L3603" s="8" t="s">
        <v>58</v>
      </c>
      <c r="M3603" s="8" t="s">
        <v>35</v>
      </c>
      <c r="N3603" s="11">
        <v>45243.0</v>
      </c>
      <c r="O3603" s="11">
        <v>45411.0</v>
      </c>
      <c r="P3603" s="11">
        <v>45453.0</v>
      </c>
      <c r="Q3603" s="11"/>
      <c r="R3603" s="11"/>
      <c r="S3603" s="12"/>
      <c r="T3603" s="8"/>
      <c r="U3603" s="8" t="s">
        <v>88</v>
      </c>
      <c r="V3603" s="13" t="s">
        <v>16802</v>
      </c>
      <c r="W3603" s="13" t="s">
        <v>16803</v>
      </c>
      <c r="X3603" s="12"/>
      <c r="Y3603" s="14"/>
      <c r="Z3603" s="14"/>
    </row>
    <row r="3604">
      <c r="A3604" s="8" t="s">
        <v>16804</v>
      </c>
      <c r="B3604" s="8" t="s">
        <v>16805</v>
      </c>
      <c r="C3604" s="8" t="s">
        <v>179</v>
      </c>
      <c r="D3604" s="8" t="s">
        <v>26</v>
      </c>
      <c r="E3604" s="8" t="s">
        <v>16806</v>
      </c>
      <c r="F3604" s="8">
        <v>9.70614181E8</v>
      </c>
      <c r="G3604" s="8" t="s">
        <v>1620</v>
      </c>
      <c r="H3604" s="8" t="s">
        <v>10795</v>
      </c>
      <c r="I3604" s="8" t="s">
        <v>31</v>
      </c>
      <c r="J3604" s="8" t="s">
        <v>292</v>
      </c>
      <c r="K3604" s="10" t="s">
        <v>12973</v>
      </c>
      <c r="L3604" s="8" t="s">
        <v>58</v>
      </c>
      <c r="M3604" s="8" t="s">
        <v>35</v>
      </c>
      <c r="N3604" s="11">
        <v>45243.0</v>
      </c>
      <c r="O3604" s="11">
        <v>45411.0</v>
      </c>
      <c r="P3604" s="11">
        <v>45453.0</v>
      </c>
      <c r="Q3604" s="11"/>
      <c r="R3604" s="11"/>
      <c r="S3604" s="12"/>
      <c r="T3604" s="8"/>
      <c r="U3604" s="8" t="s">
        <v>88</v>
      </c>
      <c r="V3604" s="13" t="s">
        <v>16802</v>
      </c>
      <c r="W3604" s="13" t="s">
        <v>16807</v>
      </c>
      <c r="X3604" s="12"/>
      <c r="Y3604" s="14"/>
      <c r="Z3604" s="14"/>
    </row>
    <row r="3605">
      <c r="A3605" s="8" t="s">
        <v>16808</v>
      </c>
      <c r="B3605" s="8" t="s">
        <v>16809</v>
      </c>
      <c r="C3605" s="8" t="s">
        <v>708</v>
      </c>
      <c r="D3605" s="8" t="s">
        <v>26</v>
      </c>
      <c r="E3605" s="8" t="s">
        <v>16810</v>
      </c>
      <c r="F3605" s="8">
        <v>5.388662948E9</v>
      </c>
      <c r="G3605" s="8" t="s">
        <v>31</v>
      </c>
      <c r="H3605" s="8" t="s">
        <v>542</v>
      </c>
      <c r="I3605" s="8" t="s">
        <v>29</v>
      </c>
      <c r="J3605" s="8" t="s">
        <v>2448</v>
      </c>
      <c r="K3605" s="10" t="s">
        <v>16811</v>
      </c>
      <c r="L3605" s="8" t="s">
        <v>58</v>
      </c>
      <c r="M3605" s="8" t="s">
        <v>35</v>
      </c>
      <c r="N3605" s="11">
        <v>45243.0</v>
      </c>
      <c r="O3605" s="11">
        <v>45313.0</v>
      </c>
      <c r="P3605" s="11">
        <v>45355.0</v>
      </c>
      <c r="Q3605" s="11">
        <v>45313.0</v>
      </c>
      <c r="R3605" s="11">
        <v>45355.0</v>
      </c>
      <c r="S3605" s="12"/>
      <c r="T3605" s="8"/>
      <c r="U3605" s="8" t="s">
        <v>130</v>
      </c>
      <c r="V3605" s="13" t="s">
        <v>175</v>
      </c>
      <c r="W3605" s="13" t="s">
        <v>16812</v>
      </c>
      <c r="X3605" s="12"/>
      <c r="Y3605" s="14"/>
      <c r="Z3605" s="14"/>
    </row>
    <row r="3606">
      <c r="A3606" s="8" t="s">
        <v>16813</v>
      </c>
      <c r="B3606" s="8" t="s">
        <v>16814</v>
      </c>
      <c r="C3606" s="8" t="s">
        <v>179</v>
      </c>
      <c r="D3606" s="8" t="s">
        <v>26</v>
      </c>
      <c r="E3606" s="8" t="s">
        <v>16815</v>
      </c>
      <c r="F3606" s="8">
        <v>1.014210946E9</v>
      </c>
      <c r="G3606" s="8" t="s">
        <v>284</v>
      </c>
      <c r="H3606" s="8" t="s">
        <v>16688</v>
      </c>
      <c r="I3606" s="8" t="s">
        <v>31</v>
      </c>
      <c r="J3606" s="8" t="s">
        <v>43</v>
      </c>
      <c r="K3606" s="10" t="s">
        <v>2922</v>
      </c>
      <c r="L3606" s="8" t="s">
        <v>58</v>
      </c>
      <c r="M3606" s="8" t="s">
        <v>35</v>
      </c>
      <c r="N3606" s="11">
        <v>45243.0</v>
      </c>
      <c r="O3606" s="11">
        <v>45474.0</v>
      </c>
      <c r="P3606" s="11">
        <v>45516.0</v>
      </c>
      <c r="Q3606" s="11"/>
      <c r="R3606" s="11"/>
      <c r="S3606" s="12"/>
      <c r="T3606" s="8"/>
      <c r="U3606" s="8" t="s">
        <v>59</v>
      </c>
      <c r="V3606" s="13" t="s">
        <v>16816</v>
      </c>
      <c r="W3606" s="13" t="s">
        <v>16817</v>
      </c>
      <c r="X3606" s="12"/>
      <c r="Y3606" s="14"/>
      <c r="Z3606" s="14"/>
    </row>
    <row r="3607">
      <c r="A3607" s="8" t="s">
        <v>16818</v>
      </c>
      <c r="B3607" s="8" t="s">
        <v>16819</v>
      </c>
      <c r="C3607" s="8" t="s">
        <v>179</v>
      </c>
      <c r="D3607" s="8" t="s">
        <v>26</v>
      </c>
      <c r="E3607" s="8" t="s">
        <v>16820</v>
      </c>
      <c r="F3607" s="8">
        <v>3.9887322E7</v>
      </c>
      <c r="G3607" s="8" t="s">
        <v>3614</v>
      </c>
      <c r="H3607" s="8" t="s">
        <v>16417</v>
      </c>
      <c r="I3607" s="8" t="s">
        <v>31</v>
      </c>
      <c r="J3607" s="8" t="s">
        <v>56</v>
      </c>
      <c r="K3607" s="10" t="s">
        <v>15125</v>
      </c>
      <c r="L3607" s="8" t="s">
        <v>58</v>
      </c>
      <c r="M3607" s="8" t="s">
        <v>35</v>
      </c>
      <c r="N3607" s="11">
        <v>45243.0</v>
      </c>
      <c r="O3607" s="11">
        <v>45327.0</v>
      </c>
      <c r="P3607" s="11">
        <v>45369.0</v>
      </c>
      <c r="Q3607" s="11"/>
      <c r="R3607" s="11"/>
      <c r="S3607" s="12"/>
      <c r="T3607" s="8"/>
      <c r="U3607" s="8" t="s">
        <v>59</v>
      </c>
      <c r="V3607" s="13" t="s">
        <v>16821</v>
      </c>
      <c r="W3607" s="13" t="s">
        <v>16822</v>
      </c>
      <c r="X3607" s="12"/>
      <c r="Y3607" s="14"/>
      <c r="Z3607" s="14"/>
    </row>
    <row r="3608">
      <c r="A3608" s="8" t="s">
        <v>16823</v>
      </c>
      <c r="B3608" s="8" t="s">
        <v>16824</v>
      </c>
      <c r="C3608" s="8" t="s">
        <v>708</v>
      </c>
      <c r="D3608" s="8" t="s">
        <v>26</v>
      </c>
      <c r="E3608" s="8" t="s">
        <v>16825</v>
      </c>
      <c r="F3608" s="8">
        <v>2.8220189E7</v>
      </c>
      <c r="G3608" s="8" t="s">
        <v>54</v>
      </c>
      <c r="H3608" s="8" t="s">
        <v>377</v>
      </c>
      <c r="I3608" s="8" t="s">
        <v>31</v>
      </c>
      <c r="J3608" s="8" t="s">
        <v>77</v>
      </c>
      <c r="K3608" s="10" t="s">
        <v>2951</v>
      </c>
      <c r="L3608" s="8" t="s">
        <v>47</v>
      </c>
      <c r="M3608" s="8" t="s">
        <v>70</v>
      </c>
      <c r="N3608" s="11">
        <v>45243.0</v>
      </c>
      <c r="O3608" s="11">
        <v>45254.0</v>
      </c>
      <c r="P3608" s="11">
        <v>45459.0</v>
      </c>
      <c r="Q3608" s="11">
        <v>45258.0</v>
      </c>
      <c r="R3608" s="11">
        <v>45461.0</v>
      </c>
      <c r="S3608" s="12"/>
      <c r="T3608" s="8"/>
      <c r="U3608" s="8" t="s">
        <v>2952</v>
      </c>
      <c r="V3608" s="13" t="s">
        <v>1604</v>
      </c>
      <c r="W3608" s="13" t="s">
        <v>16826</v>
      </c>
      <c r="X3608" s="12"/>
      <c r="Y3608" s="14"/>
      <c r="Z3608" s="14"/>
    </row>
    <row r="3609">
      <c r="A3609" s="8" t="s">
        <v>16827</v>
      </c>
      <c r="B3609" s="8" t="s">
        <v>16828</v>
      </c>
      <c r="C3609" s="8" t="s">
        <v>708</v>
      </c>
      <c r="D3609" s="8" t="s">
        <v>26</v>
      </c>
      <c r="E3609" s="8" t="s">
        <v>16829</v>
      </c>
      <c r="F3609" s="8"/>
      <c r="G3609" s="8" t="s">
        <v>254</v>
      </c>
      <c r="H3609" s="8" t="s">
        <v>1484</v>
      </c>
      <c r="I3609" s="8" t="s">
        <v>31</v>
      </c>
      <c r="J3609" s="8" t="s">
        <v>136</v>
      </c>
      <c r="K3609" s="10" t="s">
        <v>394</v>
      </c>
      <c r="L3609" s="8" t="s">
        <v>58</v>
      </c>
      <c r="M3609" s="8" t="s">
        <v>35</v>
      </c>
      <c r="N3609" s="11">
        <v>45244.0</v>
      </c>
      <c r="O3609" s="11">
        <v>45278.0</v>
      </c>
      <c r="P3609" s="11">
        <v>45320.0</v>
      </c>
      <c r="Q3609" s="11">
        <v>45287.0</v>
      </c>
      <c r="R3609" s="11">
        <v>45328.0</v>
      </c>
      <c r="S3609" s="12"/>
      <c r="T3609" s="8"/>
      <c r="U3609" s="8" t="s">
        <v>59</v>
      </c>
      <c r="V3609" s="13" t="s">
        <v>38</v>
      </c>
      <c r="W3609" s="13" t="s">
        <v>16830</v>
      </c>
      <c r="X3609" s="12"/>
      <c r="Y3609" s="14"/>
      <c r="Z3609" s="14"/>
    </row>
    <row r="3610">
      <c r="A3610" s="8" t="s">
        <v>16831</v>
      </c>
      <c r="B3610" s="8" t="s">
        <v>16832</v>
      </c>
      <c r="C3610" s="8" t="s">
        <v>64</v>
      </c>
      <c r="D3610" s="8" t="s">
        <v>26</v>
      </c>
      <c r="E3610" s="8" t="s">
        <v>16833</v>
      </c>
      <c r="F3610" s="8">
        <v>5.08703327E8</v>
      </c>
      <c r="G3610" s="8" t="s">
        <v>1620</v>
      </c>
      <c r="H3610" s="8" t="s">
        <v>16834</v>
      </c>
      <c r="I3610" s="8" t="s">
        <v>31</v>
      </c>
      <c r="J3610" s="8" t="s">
        <v>292</v>
      </c>
      <c r="K3610" s="10" t="s">
        <v>16835</v>
      </c>
      <c r="L3610" s="8" t="s">
        <v>34</v>
      </c>
      <c r="M3610" s="8" t="s">
        <v>35</v>
      </c>
      <c r="N3610" s="11">
        <v>45244.0</v>
      </c>
      <c r="O3610" s="11">
        <v>45251.0</v>
      </c>
      <c r="P3610" s="11">
        <v>45293.0</v>
      </c>
      <c r="Q3610" s="11">
        <v>45259.0</v>
      </c>
      <c r="R3610" s="11">
        <v>45302.0</v>
      </c>
      <c r="S3610" s="12"/>
      <c r="T3610" s="8" t="s">
        <v>205</v>
      </c>
      <c r="U3610" s="8" t="s">
        <v>16836</v>
      </c>
      <c r="V3610" s="13" t="s">
        <v>3656</v>
      </c>
      <c r="W3610" s="13" t="s">
        <v>16837</v>
      </c>
      <c r="X3610" s="12"/>
      <c r="Y3610" s="14"/>
      <c r="Z3610" s="14"/>
    </row>
    <row r="3611">
      <c r="A3611" s="8" t="s">
        <v>16838</v>
      </c>
      <c r="B3611" s="8" t="s">
        <v>16839</v>
      </c>
      <c r="C3611" s="8" t="s">
        <v>179</v>
      </c>
      <c r="D3611" s="8" t="s">
        <v>26</v>
      </c>
      <c r="E3611" s="8" t="s">
        <v>16840</v>
      </c>
      <c r="F3611" s="8">
        <v>5.312128818E9</v>
      </c>
      <c r="G3611" s="8" t="s">
        <v>31</v>
      </c>
      <c r="H3611" s="8" t="s">
        <v>66</v>
      </c>
      <c r="I3611" s="8" t="s">
        <v>284</v>
      </c>
      <c r="J3611" s="8" t="s">
        <v>589</v>
      </c>
      <c r="K3611" s="10" t="s">
        <v>16705</v>
      </c>
      <c r="L3611" s="8" t="s">
        <v>58</v>
      </c>
      <c r="M3611" s="8" t="s">
        <v>35</v>
      </c>
      <c r="N3611" s="11">
        <v>45244.0</v>
      </c>
      <c r="O3611" s="11">
        <v>45498.0</v>
      </c>
      <c r="P3611" s="11">
        <v>45540.0</v>
      </c>
      <c r="Q3611" s="11"/>
      <c r="R3611" s="11"/>
      <c r="S3611" s="12"/>
      <c r="T3611" s="8"/>
      <c r="U3611" s="8" t="s">
        <v>632</v>
      </c>
      <c r="V3611" s="13" t="s">
        <v>66</v>
      </c>
      <c r="W3611" s="13" t="s">
        <v>16841</v>
      </c>
      <c r="X3611" s="12"/>
      <c r="Y3611" s="14"/>
      <c r="Z3611" s="14"/>
    </row>
    <row r="3612">
      <c r="A3612" s="8" t="s">
        <v>16842</v>
      </c>
      <c r="B3612" s="8" t="s">
        <v>16843</v>
      </c>
      <c r="C3612" s="8" t="s">
        <v>179</v>
      </c>
      <c r="D3612" s="8" t="s">
        <v>26</v>
      </c>
      <c r="E3612" s="8" t="s">
        <v>16844</v>
      </c>
      <c r="F3612" s="8">
        <v>7.02223277E8</v>
      </c>
      <c r="G3612" s="8" t="s">
        <v>399</v>
      </c>
      <c r="H3612" s="8" t="s">
        <v>1381</v>
      </c>
      <c r="I3612" s="8" t="s">
        <v>31</v>
      </c>
      <c r="J3612" s="8" t="s">
        <v>102</v>
      </c>
      <c r="K3612" s="10" t="s">
        <v>2210</v>
      </c>
      <c r="L3612" s="8" t="s">
        <v>47</v>
      </c>
      <c r="M3612" s="8" t="s">
        <v>70</v>
      </c>
      <c r="N3612" s="11">
        <v>45244.0</v>
      </c>
      <c r="O3612" s="11">
        <v>45278.0</v>
      </c>
      <c r="P3612" s="11">
        <v>45644.0</v>
      </c>
      <c r="Q3612" s="11"/>
      <c r="R3612" s="11"/>
      <c r="S3612" s="12"/>
      <c r="T3612" s="8"/>
      <c r="U3612" s="8" t="s">
        <v>246</v>
      </c>
      <c r="V3612" s="13" t="s">
        <v>1383</v>
      </c>
      <c r="W3612" s="13" t="s">
        <v>16845</v>
      </c>
      <c r="X3612" s="12"/>
      <c r="Y3612" s="14"/>
      <c r="Z3612" s="14"/>
    </row>
    <row r="3613">
      <c r="A3613" s="8" t="s">
        <v>16846</v>
      </c>
      <c r="B3613" s="8" t="s">
        <v>16847</v>
      </c>
      <c r="C3613" s="8" t="s">
        <v>179</v>
      </c>
      <c r="D3613" s="8" t="s">
        <v>26</v>
      </c>
      <c r="E3613" s="8" t="s">
        <v>16848</v>
      </c>
      <c r="F3613" s="8">
        <v>5.0775197E7</v>
      </c>
      <c r="G3613" s="8" t="s">
        <v>54</v>
      </c>
      <c r="H3613" s="8" t="s">
        <v>135</v>
      </c>
      <c r="I3613" s="8" t="s">
        <v>31</v>
      </c>
      <c r="J3613" s="8" t="s">
        <v>66</v>
      </c>
      <c r="K3613" s="10" t="s">
        <v>6397</v>
      </c>
      <c r="L3613" s="8" t="s">
        <v>58</v>
      </c>
      <c r="M3613" s="8" t="s">
        <v>35</v>
      </c>
      <c r="N3613" s="11">
        <v>45244.0</v>
      </c>
      <c r="O3613" s="11">
        <v>45481.0</v>
      </c>
      <c r="P3613" s="11">
        <v>45523.0</v>
      </c>
      <c r="Q3613" s="11"/>
      <c r="R3613" s="11"/>
      <c r="S3613" s="12"/>
      <c r="T3613" s="8"/>
      <c r="U3613" s="8" t="s">
        <v>88</v>
      </c>
      <c r="V3613" s="13" t="s">
        <v>138</v>
      </c>
      <c r="W3613" s="13" t="s">
        <v>16849</v>
      </c>
      <c r="X3613" s="12"/>
      <c r="Y3613" s="14"/>
      <c r="Z3613" s="14"/>
    </row>
    <row r="3614">
      <c r="A3614" s="8" t="s">
        <v>16850</v>
      </c>
      <c r="B3614" s="8" t="s">
        <v>16851</v>
      </c>
      <c r="C3614" s="8" t="s">
        <v>179</v>
      </c>
      <c r="D3614" s="8" t="s">
        <v>26</v>
      </c>
      <c r="E3614" s="8" t="s">
        <v>16852</v>
      </c>
      <c r="F3614" s="8">
        <v>5.2310328E7</v>
      </c>
      <c r="G3614" s="8" t="s">
        <v>54</v>
      </c>
      <c r="H3614" s="8" t="s">
        <v>76</v>
      </c>
      <c r="I3614" s="8" t="s">
        <v>31</v>
      </c>
      <c r="J3614" s="8" t="s">
        <v>86</v>
      </c>
      <c r="K3614" s="10" t="s">
        <v>15200</v>
      </c>
      <c r="L3614" s="8" t="s">
        <v>58</v>
      </c>
      <c r="M3614" s="8" t="s">
        <v>35</v>
      </c>
      <c r="N3614" s="11">
        <v>45244.0</v>
      </c>
      <c r="O3614" s="11">
        <v>45333.0</v>
      </c>
      <c r="P3614" s="11">
        <v>45375.0</v>
      </c>
      <c r="Q3614" s="11"/>
      <c r="R3614" s="11"/>
      <c r="S3614" s="12"/>
      <c r="T3614" s="8"/>
      <c r="U3614" s="8" t="s">
        <v>59</v>
      </c>
      <c r="V3614" s="13" t="s">
        <v>573</v>
      </c>
      <c r="W3614" s="13" t="s">
        <v>16853</v>
      </c>
      <c r="X3614" s="12"/>
      <c r="Y3614" s="14"/>
      <c r="Z3614" s="14"/>
    </row>
    <row r="3615">
      <c r="A3615" s="8" t="s">
        <v>16854</v>
      </c>
      <c r="B3615" s="8" t="s">
        <v>16855</v>
      </c>
      <c r="C3615" s="8" t="s">
        <v>179</v>
      </c>
      <c r="D3615" s="8" t="s">
        <v>26</v>
      </c>
      <c r="E3615" s="8" t="s">
        <v>16856</v>
      </c>
      <c r="F3615" s="8">
        <v>7.70852815E8</v>
      </c>
      <c r="G3615" s="8" t="s">
        <v>127</v>
      </c>
      <c r="H3615" s="8" t="s">
        <v>128</v>
      </c>
      <c r="I3615" s="8" t="s">
        <v>31</v>
      </c>
      <c r="J3615" s="8" t="s">
        <v>102</v>
      </c>
      <c r="K3615" s="10" t="s">
        <v>1113</v>
      </c>
      <c r="L3615" s="8" t="s">
        <v>58</v>
      </c>
      <c r="M3615" s="8" t="s">
        <v>35</v>
      </c>
      <c r="N3615" s="11">
        <v>45244.0</v>
      </c>
      <c r="O3615" s="11">
        <v>45474.0</v>
      </c>
      <c r="P3615" s="11">
        <v>45516.0</v>
      </c>
      <c r="Q3615" s="11"/>
      <c r="R3615" s="11"/>
      <c r="S3615" s="12"/>
      <c r="T3615" s="8"/>
      <c r="U3615" s="8" t="s">
        <v>59</v>
      </c>
      <c r="V3615" s="13" t="s">
        <v>1473</v>
      </c>
      <c r="W3615" s="13" t="s">
        <v>16857</v>
      </c>
      <c r="X3615" s="12"/>
      <c r="Y3615" s="14"/>
      <c r="Z3615" s="14"/>
    </row>
    <row r="3616">
      <c r="A3616" s="8" t="s">
        <v>16858</v>
      </c>
      <c r="B3616" s="8" t="s">
        <v>16859</v>
      </c>
      <c r="C3616" s="8" t="s">
        <v>179</v>
      </c>
      <c r="D3616" s="8" t="s">
        <v>26</v>
      </c>
      <c r="E3616" s="8" t="s">
        <v>16860</v>
      </c>
      <c r="F3616" s="8">
        <v>7.29146856E8</v>
      </c>
      <c r="G3616" s="8" t="s">
        <v>127</v>
      </c>
      <c r="H3616" s="8" t="s">
        <v>128</v>
      </c>
      <c r="I3616" s="8" t="s">
        <v>31</v>
      </c>
      <c r="J3616" s="8" t="s">
        <v>102</v>
      </c>
      <c r="K3616" s="10" t="s">
        <v>1113</v>
      </c>
      <c r="L3616" s="8" t="s">
        <v>58</v>
      </c>
      <c r="M3616" s="8" t="s">
        <v>35</v>
      </c>
      <c r="N3616" s="11">
        <v>45244.0</v>
      </c>
      <c r="O3616" s="11">
        <v>45474.0</v>
      </c>
      <c r="P3616" s="11">
        <v>45516.0</v>
      </c>
      <c r="Q3616" s="11"/>
      <c r="R3616" s="11"/>
      <c r="S3616" s="12"/>
      <c r="T3616" s="8"/>
      <c r="U3616" s="8" t="s">
        <v>59</v>
      </c>
      <c r="V3616" s="13" t="s">
        <v>1473</v>
      </c>
      <c r="W3616" s="13" t="s">
        <v>16861</v>
      </c>
      <c r="X3616" s="12"/>
      <c r="Y3616" s="14"/>
      <c r="Z3616" s="14"/>
    </row>
    <row r="3617">
      <c r="A3617" s="8" t="s">
        <v>16862</v>
      </c>
      <c r="B3617" s="8" t="s">
        <v>16863</v>
      </c>
      <c r="C3617" s="8" t="s">
        <v>179</v>
      </c>
      <c r="D3617" s="8" t="s">
        <v>26</v>
      </c>
      <c r="E3617" s="8" t="s">
        <v>16864</v>
      </c>
      <c r="F3617" s="8">
        <v>2.5749474E7</v>
      </c>
      <c r="G3617" s="8" t="s">
        <v>54</v>
      </c>
      <c r="H3617" s="8" t="s">
        <v>430</v>
      </c>
      <c r="I3617" s="8" t="s">
        <v>31</v>
      </c>
      <c r="J3617" s="8" t="s">
        <v>292</v>
      </c>
      <c r="K3617" s="10" t="s">
        <v>11481</v>
      </c>
      <c r="L3617" s="8" t="s">
        <v>58</v>
      </c>
      <c r="M3617" s="8" t="s">
        <v>35</v>
      </c>
      <c r="N3617" s="11">
        <v>45244.0</v>
      </c>
      <c r="O3617" s="11">
        <v>45327.0</v>
      </c>
      <c r="P3617" s="11">
        <v>45369.0</v>
      </c>
      <c r="Q3617" s="11"/>
      <c r="R3617" s="11"/>
      <c r="S3617" s="12"/>
      <c r="T3617" s="8"/>
      <c r="U3617" s="8" t="s">
        <v>88</v>
      </c>
      <c r="V3617" s="13" t="s">
        <v>4780</v>
      </c>
      <c r="W3617" s="13" t="s">
        <v>16865</v>
      </c>
      <c r="X3617" s="12"/>
      <c r="Y3617" s="14"/>
      <c r="Z3617" s="14"/>
    </row>
    <row r="3618">
      <c r="A3618" s="8" t="s">
        <v>16866</v>
      </c>
      <c r="B3618" s="8" t="s">
        <v>16867</v>
      </c>
      <c r="C3618" s="8" t="s">
        <v>179</v>
      </c>
      <c r="D3618" s="8" t="s">
        <v>26</v>
      </c>
      <c r="E3618" s="8" t="s">
        <v>16868</v>
      </c>
      <c r="F3618" s="8">
        <v>2.5544823E7</v>
      </c>
      <c r="G3618" s="8" t="s">
        <v>54</v>
      </c>
      <c r="H3618" s="8" t="s">
        <v>135</v>
      </c>
      <c r="I3618" s="8" t="s">
        <v>31</v>
      </c>
      <c r="J3618" s="8" t="s">
        <v>102</v>
      </c>
      <c r="K3618" s="10" t="s">
        <v>15805</v>
      </c>
      <c r="L3618" s="8" t="s">
        <v>58</v>
      </c>
      <c r="M3618" s="8" t="s">
        <v>35</v>
      </c>
      <c r="N3618" s="11">
        <v>45244.0</v>
      </c>
      <c r="O3618" s="11">
        <v>45488.0</v>
      </c>
      <c r="P3618" s="11">
        <v>45530.0</v>
      </c>
      <c r="Q3618" s="11"/>
      <c r="R3618" s="11"/>
      <c r="S3618" s="12"/>
      <c r="T3618" s="8"/>
      <c r="U3618" s="8" t="s">
        <v>161</v>
      </c>
      <c r="V3618" s="13" t="s">
        <v>190</v>
      </c>
      <c r="W3618" s="13" t="s">
        <v>16869</v>
      </c>
      <c r="X3618" s="12"/>
      <c r="Y3618" s="14"/>
      <c r="Z3618" s="14"/>
    </row>
    <row r="3619">
      <c r="A3619" s="8" t="s">
        <v>16870</v>
      </c>
      <c r="B3619" s="8" t="s">
        <v>16871</v>
      </c>
      <c r="C3619" s="8" t="s">
        <v>179</v>
      </c>
      <c r="D3619" s="8" t="s">
        <v>26</v>
      </c>
      <c r="E3619" s="8" t="s">
        <v>16872</v>
      </c>
      <c r="F3619" s="8">
        <v>5.3708084E7</v>
      </c>
      <c r="G3619" s="8" t="s">
        <v>54</v>
      </c>
      <c r="H3619" s="8" t="s">
        <v>135</v>
      </c>
      <c r="I3619" s="8" t="s">
        <v>31</v>
      </c>
      <c r="J3619" s="8" t="s">
        <v>66</v>
      </c>
      <c r="K3619" s="10" t="s">
        <v>6397</v>
      </c>
      <c r="L3619" s="8" t="s">
        <v>58</v>
      </c>
      <c r="M3619" s="8" t="s">
        <v>35</v>
      </c>
      <c r="N3619" s="11">
        <v>45244.0</v>
      </c>
      <c r="O3619" s="11">
        <v>45481.0</v>
      </c>
      <c r="P3619" s="11">
        <v>45523.0</v>
      </c>
      <c r="Q3619" s="11"/>
      <c r="R3619" s="11"/>
      <c r="S3619" s="12"/>
      <c r="T3619" s="8"/>
      <c r="U3619" s="8" t="s">
        <v>88</v>
      </c>
      <c r="V3619" s="13" t="s">
        <v>138</v>
      </c>
      <c r="W3619" s="13" t="s">
        <v>16873</v>
      </c>
      <c r="X3619" s="12"/>
      <c r="Y3619" s="14"/>
      <c r="Z3619" s="14"/>
    </row>
    <row r="3620">
      <c r="A3620" s="8" t="s">
        <v>16874</v>
      </c>
      <c r="B3620" s="8" t="s">
        <v>16875</v>
      </c>
      <c r="C3620" s="8" t="s">
        <v>179</v>
      </c>
      <c r="D3620" s="8" t="s">
        <v>26</v>
      </c>
      <c r="E3620" s="8" t="s">
        <v>16876</v>
      </c>
      <c r="F3620" s="8">
        <v>5.6450477E7</v>
      </c>
      <c r="G3620" s="8" t="s">
        <v>54</v>
      </c>
      <c r="H3620" s="8" t="s">
        <v>377</v>
      </c>
      <c r="I3620" s="8" t="s">
        <v>31</v>
      </c>
      <c r="J3620" s="8" t="s">
        <v>86</v>
      </c>
      <c r="K3620" s="10" t="s">
        <v>3621</v>
      </c>
      <c r="L3620" s="8" t="s">
        <v>58</v>
      </c>
      <c r="M3620" s="8" t="s">
        <v>35</v>
      </c>
      <c r="N3620" s="11">
        <v>45244.0</v>
      </c>
      <c r="O3620" s="11">
        <v>45476.0</v>
      </c>
      <c r="P3620" s="11">
        <v>45518.0</v>
      </c>
      <c r="Q3620" s="11"/>
      <c r="R3620" s="11"/>
      <c r="S3620" s="12"/>
      <c r="T3620" s="8"/>
      <c r="U3620" s="8" t="s">
        <v>153</v>
      </c>
      <c r="V3620" s="13" t="s">
        <v>3491</v>
      </c>
      <c r="W3620" s="13" t="s">
        <v>16877</v>
      </c>
      <c r="X3620" s="12"/>
      <c r="Y3620" s="14"/>
      <c r="Z3620" s="14"/>
    </row>
    <row r="3621">
      <c r="A3621" s="8" t="s">
        <v>16878</v>
      </c>
      <c r="B3621" s="8" t="s">
        <v>16879</v>
      </c>
      <c r="C3621" s="8" t="s">
        <v>179</v>
      </c>
      <c r="D3621" s="8" t="s">
        <v>26</v>
      </c>
      <c r="E3621" s="8" t="s">
        <v>16880</v>
      </c>
      <c r="F3621" s="8">
        <v>1.208300241E9</v>
      </c>
      <c r="G3621" s="8" t="s">
        <v>284</v>
      </c>
      <c r="H3621" s="8" t="s">
        <v>673</v>
      </c>
      <c r="I3621" s="8" t="s">
        <v>31</v>
      </c>
      <c r="J3621" s="8" t="s">
        <v>542</v>
      </c>
      <c r="K3621" s="10" t="s">
        <v>11666</v>
      </c>
      <c r="L3621" s="8" t="s">
        <v>58</v>
      </c>
      <c r="M3621" s="8" t="s">
        <v>35</v>
      </c>
      <c r="N3621" s="11">
        <v>45244.0</v>
      </c>
      <c r="O3621" s="11">
        <v>45264.0</v>
      </c>
      <c r="P3621" s="11">
        <v>45306.0</v>
      </c>
      <c r="Q3621" s="11"/>
      <c r="R3621" s="11"/>
      <c r="S3621" s="12"/>
      <c r="T3621" s="8"/>
      <c r="U3621" s="8" t="s">
        <v>161</v>
      </c>
      <c r="V3621" s="13" t="s">
        <v>38</v>
      </c>
      <c r="W3621" s="13" t="s">
        <v>16881</v>
      </c>
      <c r="X3621" s="12"/>
      <c r="Y3621" s="14"/>
      <c r="Z3621" s="14"/>
    </row>
    <row r="3622">
      <c r="A3622" s="8" t="s">
        <v>16882</v>
      </c>
      <c r="B3622" s="8" t="s">
        <v>15575</v>
      </c>
      <c r="C3622" s="8" t="s">
        <v>1326</v>
      </c>
      <c r="D3622" s="8" t="s">
        <v>26</v>
      </c>
      <c r="E3622" s="8" t="s">
        <v>16883</v>
      </c>
      <c r="F3622" s="8">
        <v>1.062185371E9</v>
      </c>
      <c r="G3622" s="8" t="s">
        <v>284</v>
      </c>
      <c r="H3622" s="8" t="s">
        <v>2065</v>
      </c>
      <c r="I3622" s="8" t="s">
        <v>31</v>
      </c>
      <c r="J3622" s="8" t="s">
        <v>66</v>
      </c>
      <c r="K3622" s="10" t="s">
        <v>15541</v>
      </c>
      <c r="L3622" s="8" t="s">
        <v>58</v>
      </c>
      <c r="M3622" s="8" t="s">
        <v>35</v>
      </c>
      <c r="N3622" s="11">
        <v>45244.0</v>
      </c>
      <c r="O3622" s="11">
        <v>45259.0</v>
      </c>
      <c r="P3622" s="11">
        <v>45301.0</v>
      </c>
      <c r="Q3622" s="11">
        <v>45262.0</v>
      </c>
      <c r="R3622" s="11">
        <v>45302.0</v>
      </c>
      <c r="S3622" s="12"/>
      <c r="T3622" s="8"/>
      <c r="U3622" s="8" t="s">
        <v>59</v>
      </c>
      <c r="V3622" s="13" t="s">
        <v>2065</v>
      </c>
      <c r="W3622" s="13" t="s">
        <v>16884</v>
      </c>
      <c r="X3622" s="12"/>
      <c r="Y3622" s="14"/>
      <c r="Z3622" s="14"/>
    </row>
    <row r="3623">
      <c r="A3623" s="8" t="s">
        <v>16885</v>
      </c>
      <c r="B3623" s="8" t="s">
        <v>16886</v>
      </c>
      <c r="C3623" s="8" t="s">
        <v>179</v>
      </c>
      <c r="D3623" s="8" t="s">
        <v>26</v>
      </c>
      <c r="E3623" s="8" t="s">
        <v>16887</v>
      </c>
      <c r="F3623" s="8">
        <v>1.5361420336E10</v>
      </c>
      <c r="G3623" s="8" t="s">
        <v>8344</v>
      </c>
      <c r="H3623" s="8" t="s">
        <v>16888</v>
      </c>
      <c r="I3623" s="8" t="s">
        <v>31</v>
      </c>
      <c r="J3623" s="8" t="s">
        <v>102</v>
      </c>
      <c r="K3623" s="10" t="s">
        <v>15805</v>
      </c>
      <c r="L3623" s="8" t="s">
        <v>58</v>
      </c>
      <c r="M3623" s="8" t="s">
        <v>35</v>
      </c>
      <c r="N3623" s="11">
        <v>45245.0</v>
      </c>
      <c r="O3623" s="11">
        <v>45362.0</v>
      </c>
      <c r="P3623" s="11">
        <v>45404.0</v>
      </c>
      <c r="Q3623" s="11"/>
      <c r="R3623" s="11"/>
      <c r="S3623" s="12"/>
      <c r="T3623" s="8"/>
      <c r="U3623" s="8" t="s">
        <v>161</v>
      </c>
      <c r="V3623" s="13" t="s">
        <v>16889</v>
      </c>
      <c r="W3623" s="13" t="s">
        <v>16890</v>
      </c>
      <c r="X3623" s="12"/>
      <c r="Y3623" s="14"/>
      <c r="Z3623" s="14"/>
    </row>
    <row r="3624">
      <c r="A3624" s="8" t="s">
        <v>16891</v>
      </c>
      <c r="B3624" s="8" t="s">
        <v>16892</v>
      </c>
      <c r="C3624" s="8" t="s">
        <v>708</v>
      </c>
      <c r="D3624" s="8" t="s">
        <v>26</v>
      </c>
      <c r="E3624" s="8" t="s">
        <v>16893</v>
      </c>
      <c r="F3624" s="8">
        <v>6.99811318E8</v>
      </c>
      <c r="G3624" s="8" t="s">
        <v>254</v>
      </c>
      <c r="H3624" s="8" t="s">
        <v>1007</v>
      </c>
      <c r="I3624" s="8" t="s">
        <v>31</v>
      </c>
      <c r="J3624" s="8" t="s">
        <v>256</v>
      </c>
      <c r="K3624" s="10" t="s">
        <v>11567</v>
      </c>
      <c r="L3624" s="8" t="s">
        <v>47</v>
      </c>
      <c r="M3624" s="8" t="s">
        <v>70</v>
      </c>
      <c r="N3624" s="11">
        <v>45245.0</v>
      </c>
      <c r="O3624" s="11">
        <v>45252.0</v>
      </c>
      <c r="P3624" s="11">
        <v>45586.0</v>
      </c>
      <c r="Q3624" s="11">
        <v>45315.0</v>
      </c>
      <c r="R3624" s="11">
        <v>45680.0</v>
      </c>
      <c r="S3624" s="12"/>
      <c r="T3624" s="8"/>
      <c r="U3624" s="8" t="s">
        <v>11568</v>
      </c>
      <c r="V3624" s="13" t="s">
        <v>1249</v>
      </c>
      <c r="W3624" s="13" t="s">
        <v>16894</v>
      </c>
      <c r="X3624" s="12"/>
      <c r="Y3624" s="14"/>
      <c r="Z3624" s="14"/>
    </row>
    <row r="3625">
      <c r="A3625" s="8" t="s">
        <v>16895</v>
      </c>
      <c r="B3625" s="8" t="s">
        <v>16896</v>
      </c>
      <c r="C3625" s="8" t="s">
        <v>179</v>
      </c>
      <c r="D3625" s="8" t="s">
        <v>26</v>
      </c>
      <c r="E3625" s="8" t="s">
        <v>16897</v>
      </c>
      <c r="F3625" s="8">
        <v>1.062653888E9</v>
      </c>
      <c r="G3625" s="8" t="s">
        <v>284</v>
      </c>
      <c r="H3625" s="8" t="s">
        <v>854</v>
      </c>
      <c r="I3625" s="8" t="s">
        <v>31</v>
      </c>
      <c r="J3625" s="8" t="s">
        <v>56</v>
      </c>
      <c r="K3625" s="10" t="s">
        <v>9756</v>
      </c>
      <c r="L3625" s="8" t="s">
        <v>58</v>
      </c>
      <c r="M3625" s="8" t="s">
        <v>35</v>
      </c>
      <c r="N3625" s="11">
        <v>45245.0</v>
      </c>
      <c r="O3625" s="11">
        <v>45467.0</v>
      </c>
      <c r="P3625" s="11">
        <v>45509.0</v>
      </c>
      <c r="Q3625" s="11"/>
      <c r="R3625" s="11"/>
      <c r="S3625" s="12"/>
      <c r="T3625" s="8"/>
      <c r="U3625" s="8" t="s">
        <v>59</v>
      </c>
      <c r="V3625" s="13" t="s">
        <v>856</v>
      </c>
      <c r="W3625" s="13" t="s">
        <v>16898</v>
      </c>
      <c r="X3625" s="12"/>
      <c r="Y3625" s="14"/>
      <c r="Z3625" s="14"/>
    </row>
    <row r="3626">
      <c r="A3626" s="8" t="s">
        <v>16899</v>
      </c>
      <c r="B3626" s="8" t="s">
        <v>16900</v>
      </c>
      <c r="C3626" s="8" t="s">
        <v>708</v>
      </c>
      <c r="D3626" s="8" t="s">
        <v>26</v>
      </c>
      <c r="E3626" s="8" t="s">
        <v>16901</v>
      </c>
      <c r="F3626" s="8">
        <v>6.03343178E8</v>
      </c>
      <c r="G3626" s="8" t="s">
        <v>84</v>
      </c>
      <c r="H3626" s="8" t="s">
        <v>646</v>
      </c>
      <c r="I3626" s="8" t="s">
        <v>31</v>
      </c>
      <c r="J3626" s="8" t="s">
        <v>542</v>
      </c>
      <c r="K3626" s="10" t="s">
        <v>8953</v>
      </c>
      <c r="L3626" s="8" t="s">
        <v>34</v>
      </c>
      <c r="M3626" s="8" t="s">
        <v>70</v>
      </c>
      <c r="N3626" s="11">
        <v>45245.0</v>
      </c>
      <c r="O3626" s="11">
        <v>45252.0</v>
      </c>
      <c r="P3626" s="11">
        <v>45617.0</v>
      </c>
      <c r="Q3626" s="11">
        <v>45272.0</v>
      </c>
      <c r="R3626" s="11">
        <v>45637.0</v>
      </c>
      <c r="S3626" s="12"/>
      <c r="T3626" s="8" t="s">
        <v>36</v>
      </c>
      <c r="U3626" s="8" t="s">
        <v>8954</v>
      </c>
      <c r="V3626" s="13" t="s">
        <v>649</v>
      </c>
      <c r="W3626" s="13" t="s">
        <v>16902</v>
      </c>
      <c r="X3626" s="12"/>
      <c r="Y3626" s="14"/>
      <c r="Z3626" s="14"/>
    </row>
    <row r="3627">
      <c r="A3627" s="8" t="s">
        <v>16903</v>
      </c>
      <c r="B3627" s="8" t="s">
        <v>16904</v>
      </c>
      <c r="C3627" s="8" t="s">
        <v>179</v>
      </c>
      <c r="D3627" s="8" t="s">
        <v>26</v>
      </c>
      <c r="E3627" s="8" t="s">
        <v>16905</v>
      </c>
      <c r="F3627" s="8">
        <v>5.6316877E7</v>
      </c>
      <c r="G3627" s="8" t="s">
        <v>54</v>
      </c>
      <c r="H3627" s="8" t="s">
        <v>377</v>
      </c>
      <c r="I3627" s="8" t="s">
        <v>31</v>
      </c>
      <c r="J3627" s="8" t="s">
        <v>77</v>
      </c>
      <c r="K3627" s="10" t="s">
        <v>15753</v>
      </c>
      <c r="L3627" s="8" t="s">
        <v>34</v>
      </c>
      <c r="M3627" s="8" t="s">
        <v>70</v>
      </c>
      <c r="N3627" s="11">
        <v>45245.0</v>
      </c>
      <c r="O3627" s="11">
        <v>45292.0</v>
      </c>
      <c r="P3627" s="11">
        <v>45658.0</v>
      </c>
      <c r="Q3627" s="11"/>
      <c r="R3627" s="11"/>
      <c r="S3627" s="12"/>
      <c r="T3627" s="8" t="s">
        <v>446</v>
      </c>
      <c r="U3627" s="8" t="s">
        <v>15754</v>
      </c>
      <c r="V3627" s="13" t="s">
        <v>3806</v>
      </c>
      <c r="W3627" s="13" t="s">
        <v>16906</v>
      </c>
      <c r="X3627" s="12"/>
      <c r="Y3627" s="14"/>
      <c r="Z3627" s="14"/>
    </row>
    <row r="3628">
      <c r="A3628" s="8" t="s">
        <v>16907</v>
      </c>
      <c r="B3628" s="8" t="s">
        <v>16908</v>
      </c>
      <c r="C3628" s="8" t="s">
        <v>708</v>
      </c>
      <c r="D3628" s="8" t="s">
        <v>26</v>
      </c>
      <c r="E3628" s="8" t="s">
        <v>16909</v>
      </c>
      <c r="F3628" s="8">
        <v>5.5054769E7</v>
      </c>
      <c r="G3628" s="8" t="s">
        <v>54</v>
      </c>
      <c r="H3628" s="8" t="s">
        <v>237</v>
      </c>
      <c r="I3628" s="8" t="s">
        <v>31</v>
      </c>
      <c r="J3628" s="8" t="s">
        <v>77</v>
      </c>
      <c r="K3628" s="10" t="s">
        <v>2410</v>
      </c>
      <c r="L3628" s="8" t="s">
        <v>47</v>
      </c>
      <c r="M3628" s="8" t="s">
        <v>70</v>
      </c>
      <c r="N3628" s="11">
        <v>45245.0</v>
      </c>
      <c r="O3628" s="11">
        <v>45254.0</v>
      </c>
      <c r="P3628" s="11">
        <v>45459.0</v>
      </c>
      <c r="Q3628" s="11">
        <v>45259.0</v>
      </c>
      <c r="R3628" s="11">
        <v>45464.0</v>
      </c>
      <c r="S3628" s="12"/>
      <c r="T3628" s="8"/>
      <c r="U3628" s="8" t="s">
        <v>2411</v>
      </c>
      <c r="V3628" s="13" t="s">
        <v>1788</v>
      </c>
      <c r="W3628" s="13" t="s">
        <v>16910</v>
      </c>
      <c r="X3628" s="12"/>
      <c r="Y3628" s="14"/>
      <c r="Z3628" s="14"/>
    </row>
    <row r="3629">
      <c r="A3629" s="8" t="s">
        <v>16911</v>
      </c>
      <c r="B3629" s="8" t="s">
        <v>16912</v>
      </c>
      <c r="C3629" s="8" t="s">
        <v>179</v>
      </c>
      <c r="D3629" s="8" t="s">
        <v>26</v>
      </c>
      <c r="E3629" s="8" t="s">
        <v>16913</v>
      </c>
      <c r="F3629" s="8">
        <v>5.383234027E9</v>
      </c>
      <c r="G3629" s="8" t="s">
        <v>31</v>
      </c>
      <c r="H3629" s="8" t="s">
        <v>56</v>
      </c>
      <c r="I3629" s="8" t="s">
        <v>54</v>
      </c>
      <c r="J3629" s="8" t="s">
        <v>244</v>
      </c>
      <c r="K3629" s="10" t="s">
        <v>16914</v>
      </c>
      <c r="L3629" s="8" t="s">
        <v>58</v>
      </c>
      <c r="M3629" s="8" t="s">
        <v>35</v>
      </c>
      <c r="N3629" s="11">
        <v>45245.0</v>
      </c>
      <c r="O3629" s="11">
        <v>45474.0</v>
      </c>
      <c r="P3629" s="11">
        <v>45516.0</v>
      </c>
      <c r="Q3629" s="11"/>
      <c r="R3629" s="11"/>
      <c r="S3629" s="12"/>
      <c r="T3629" s="8"/>
      <c r="U3629" s="8" t="s">
        <v>161</v>
      </c>
      <c r="V3629" s="13" t="s">
        <v>56</v>
      </c>
      <c r="W3629" s="13" t="s">
        <v>16915</v>
      </c>
      <c r="X3629" s="12"/>
      <c r="Y3629" s="14"/>
      <c r="Z3629" s="14"/>
    </row>
    <row r="3630">
      <c r="A3630" s="8" t="s">
        <v>16916</v>
      </c>
      <c r="B3630" s="8" t="s">
        <v>16917</v>
      </c>
      <c r="C3630" s="8" t="s">
        <v>179</v>
      </c>
      <c r="D3630" s="8" t="s">
        <v>26</v>
      </c>
      <c r="E3630" s="8" t="s">
        <v>16918</v>
      </c>
      <c r="F3630" s="8">
        <v>6.83555026E8</v>
      </c>
      <c r="G3630" s="8" t="s">
        <v>1620</v>
      </c>
      <c r="H3630" s="8" t="s">
        <v>16834</v>
      </c>
      <c r="I3630" s="8" t="s">
        <v>31</v>
      </c>
      <c r="J3630" s="8" t="s">
        <v>43</v>
      </c>
      <c r="K3630" s="10" t="s">
        <v>837</v>
      </c>
      <c r="L3630" s="8" t="s">
        <v>58</v>
      </c>
      <c r="M3630" s="8" t="s">
        <v>35</v>
      </c>
      <c r="N3630" s="11">
        <v>45245.0</v>
      </c>
      <c r="O3630" s="11">
        <v>45523.0</v>
      </c>
      <c r="P3630" s="11">
        <v>45565.0</v>
      </c>
      <c r="Q3630" s="11"/>
      <c r="R3630" s="11"/>
      <c r="S3630" s="12"/>
      <c r="T3630" s="8"/>
      <c r="U3630" s="8" t="s">
        <v>130</v>
      </c>
      <c r="V3630" s="13" t="s">
        <v>16919</v>
      </c>
      <c r="W3630" s="13" t="s">
        <v>16920</v>
      </c>
      <c r="X3630" s="12"/>
      <c r="Y3630" s="14"/>
      <c r="Z3630" s="14"/>
    </row>
    <row r="3631">
      <c r="A3631" s="8" t="s">
        <v>16921</v>
      </c>
      <c r="B3631" s="8" t="s">
        <v>16922</v>
      </c>
      <c r="C3631" s="8" t="s">
        <v>179</v>
      </c>
      <c r="D3631" s="8" t="s">
        <v>26</v>
      </c>
      <c r="E3631" s="8" t="s">
        <v>16923</v>
      </c>
      <c r="F3631" s="8">
        <v>5.330352002E9</v>
      </c>
      <c r="G3631" s="8" t="s">
        <v>31</v>
      </c>
      <c r="H3631" s="8" t="s">
        <v>56</v>
      </c>
      <c r="I3631" s="8" t="s">
        <v>54</v>
      </c>
      <c r="J3631" s="8" t="s">
        <v>244</v>
      </c>
      <c r="K3631" s="10" t="s">
        <v>16914</v>
      </c>
      <c r="L3631" s="8" t="s">
        <v>58</v>
      </c>
      <c r="M3631" s="8" t="s">
        <v>35</v>
      </c>
      <c r="N3631" s="11">
        <v>45245.0</v>
      </c>
      <c r="O3631" s="11">
        <v>45474.0</v>
      </c>
      <c r="P3631" s="11">
        <v>45516.0</v>
      </c>
      <c r="Q3631" s="11"/>
      <c r="R3631" s="11"/>
      <c r="S3631" s="12"/>
      <c r="T3631" s="8"/>
      <c r="U3631" s="8" t="s">
        <v>161</v>
      </c>
      <c r="V3631" s="13" t="s">
        <v>56</v>
      </c>
      <c r="W3631" s="13" t="s">
        <v>16924</v>
      </c>
      <c r="X3631" s="12"/>
      <c r="Y3631" s="14"/>
      <c r="Z3631" s="14"/>
    </row>
    <row r="3632">
      <c r="A3632" s="8" t="s">
        <v>16925</v>
      </c>
      <c r="B3632" s="8" t="s">
        <v>16926</v>
      </c>
      <c r="C3632" s="8" t="s">
        <v>179</v>
      </c>
      <c r="D3632" s="8" t="s">
        <v>26</v>
      </c>
      <c r="E3632" s="8" t="s">
        <v>16927</v>
      </c>
      <c r="F3632" s="8">
        <v>5.080402E7</v>
      </c>
      <c r="G3632" s="8" t="s">
        <v>54</v>
      </c>
      <c r="H3632" s="8" t="s">
        <v>377</v>
      </c>
      <c r="I3632" s="8" t="s">
        <v>31</v>
      </c>
      <c r="J3632" s="8" t="s">
        <v>77</v>
      </c>
      <c r="K3632" s="10" t="s">
        <v>2555</v>
      </c>
      <c r="L3632" s="8" t="s">
        <v>58</v>
      </c>
      <c r="M3632" s="8" t="s">
        <v>35</v>
      </c>
      <c r="N3632" s="11">
        <v>45246.0</v>
      </c>
      <c r="O3632" s="11">
        <v>45334.0</v>
      </c>
      <c r="P3632" s="11">
        <v>45376.0</v>
      </c>
      <c r="Q3632" s="11"/>
      <c r="R3632" s="11"/>
      <c r="S3632" s="12"/>
      <c r="T3632" s="8"/>
      <c r="U3632" s="8" t="s">
        <v>371</v>
      </c>
      <c r="V3632" s="13" t="s">
        <v>2218</v>
      </c>
      <c r="W3632" s="13" t="s">
        <v>16928</v>
      </c>
      <c r="X3632" s="12"/>
      <c r="Y3632" s="14"/>
      <c r="Z3632" s="14"/>
    </row>
    <row r="3633">
      <c r="A3633" s="8" t="s">
        <v>16929</v>
      </c>
      <c r="B3633" s="8" t="s">
        <v>16930</v>
      </c>
      <c r="C3633" s="8" t="s">
        <v>179</v>
      </c>
      <c r="D3633" s="8" t="s">
        <v>26</v>
      </c>
      <c r="E3633" s="8" t="s">
        <v>16931</v>
      </c>
      <c r="F3633" s="8">
        <v>9.35823509E8</v>
      </c>
      <c r="G3633" s="8" t="s">
        <v>118</v>
      </c>
      <c r="H3633" s="8" t="s">
        <v>4475</v>
      </c>
      <c r="I3633" s="8" t="s">
        <v>31</v>
      </c>
      <c r="J3633" s="8" t="s">
        <v>256</v>
      </c>
      <c r="K3633" s="10" t="s">
        <v>10689</v>
      </c>
      <c r="L3633" s="8" t="s">
        <v>58</v>
      </c>
      <c r="M3633" s="8" t="s">
        <v>35</v>
      </c>
      <c r="N3633" s="11">
        <v>45246.0</v>
      </c>
      <c r="O3633" s="11">
        <v>45516.0</v>
      </c>
      <c r="P3633" s="11">
        <v>45558.0</v>
      </c>
      <c r="Q3633" s="11"/>
      <c r="R3633" s="11"/>
      <c r="S3633" s="12"/>
      <c r="T3633" s="8"/>
      <c r="U3633" s="8" t="s">
        <v>59</v>
      </c>
      <c r="V3633" s="13" t="s">
        <v>16932</v>
      </c>
      <c r="W3633" s="13" t="s">
        <v>16933</v>
      </c>
      <c r="X3633" s="12"/>
      <c r="Y3633" s="14"/>
      <c r="Z3633" s="14"/>
    </row>
    <row r="3634">
      <c r="A3634" s="8" t="s">
        <v>16934</v>
      </c>
      <c r="B3634" s="8" t="s">
        <v>16935</v>
      </c>
      <c r="C3634" s="8" t="s">
        <v>179</v>
      </c>
      <c r="D3634" s="8" t="s">
        <v>26</v>
      </c>
      <c r="E3634" s="8" t="s">
        <v>16936</v>
      </c>
      <c r="F3634" s="8">
        <v>6.59151816E8</v>
      </c>
      <c r="G3634" s="8" t="s">
        <v>84</v>
      </c>
      <c r="H3634" s="8" t="s">
        <v>1127</v>
      </c>
      <c r="I3634" s="8" t="s">
        <v>31</v>
      </c>
      <c r="J3634" s="8" t="s">
        <v>32</v>
      </c>
      <c r="K3634" s="10" t="s">
        <v>8166</v>
      </c>
      <c r="L3634" s="8" t="s">
        <v>58</v>
      </c>
      <c r="M3634" s="8" t="s">
        <v>35</v>
      </c>
      <c r="N3634" s="11">
        <v>45246.0</v>
      </c>
      <c r="O3634" s="11">
        <v>45341.0</v>
      </c>
      <c r="P3634" s="11">
        <v>45383.0</v>
      </c>
      <c r="Q3634" s="11"/>
      <c r="R3634" s="11"/>
      <c r="S3634" s="12"/>
      <c r="T3634" s="8"/>
      <c r="U3634" s="8" t="s">
        <v>371</v>
      </c>
      <c r="V3634" s="13" t="s">
        <v>1130</v>
      </c>
      <c r="W3634" s="13" t="s">
        <v>16937</v>
      </c>
      <c r="X3634" s="12"/>
      <c r="Y3634" s="14"/>
      <c r="Z3634" s="14"/>
    </row>
    <row r="3635">
      <c r="A3635" s="8" t="s">
        <v>16938</v>
      </c>
      <c r="B3635" s="8" t="s">
        <v>16939</v>
      </c>
      <c r="C3635" s="8" t="s">
        <v>179</v>
      </c>
      <c r="D3635" s="8" t="s">
        <v>26</v>
      </c>
      <c r="E3635" s="8" t="s">
        <v>16940</v>
      </c>
      <c r="F3635" s="8">
        <v>2.6089046E7</v>
      </c>
      <c r="G3635" s="8" t="s">
        <v>54</v>
      </c>
      <c r="H3635" s="8" t="s">
        <v>76</v>
      </c>
      <c r="I3635" s="8" t="s">
        <v>31</v>
      </c>
      <c r="J3635" s="8" t="s">
        <v>86</v>
      </c>
      <c r="K3635" s="10" t="s">
        <v>2453</v>
      </c>
      <c r="L3635" s="8" t="s">
        <v>58</v>
      </c>
      <c r="M3635" s="8" t="s">
        <v>35</v>
      </c>
      <c r="N3635" s="11">
        <v>45246.0</v>
      </c>
      <c r="O3635" s="11">
        <v>45444.0</v>
      </c>
      <c r="P3635" s="11">
        <v>45486.0</v>
      </c>
      <c r="Q3635" s="11"/>
      <c r="R3635" s="11"/>
      <c r="S3635" s="12"/>
      <c r="T3635" s="8"/>
      <c r="U3635" s="8" t="s">
        <v>59</v>
      </c>
      <c r="V3635" s="13" t="s">
        <v>3496</v>
      </c>
      <c r="W3635" s="13" t="s">
        <v>16941</v>
      </c>
      <c r="X3635" s="12"/>
      <c r="Y3635" s="14"/>
      <c r="Z3635" s="14"/>
    </row>
    <row r="3636">
      <c r="A3636" s="8" t="s">
        <v>16942</v>
      </c>
      <c r="B3636" s="8" t="s">
        <v>16943</v>
      </c>
      <c r="C3636" s="8" t="s">
        <v>179</v>
      </c>
      <c r="D3636" s="8" t="s">
        <v>26</v>
      </c>
      <c r="E3636" s="8" t="s">
        <v>16944</v>
      </c>
      <c r="F3636" s="8"/>
      <c r="G3636" s="8" t="s">
        <v>31</v>
      </c>
      <c r="H3636" s="8" t="s">
        <v>56</v>
      </c>
      <c r="I3636" s="8" t="s">
        <v>284</v>
      </c>
      <c r="J3636" s="8" t="s">
        <v>589</v>
      </c>
      <c r="K3636" s="10" t="s">
        <v>4590</v>
      </c>
      <c r="L3636" s="8" t="s">
        <v>58</v>
      </c>
      <c r="M3636" s="8" t="s">
        <v>35</v>
      </c>
      <c r="N3636" s="11">
        <v>45246.0</v>
      </c>
      <c r="O3636" s="11">
        <v>45498.0</v>
      </c>
      <c r="P3636" s="11">
        <v>45540.0</v>
      </c>
      <c r="Q3636" s="11"/>
      <c r="R3636" s="11"/>
      <c r="S3636" s="12"/>
      <c r="T3636" s="8"/>
      <c r="U3636" s="8" t="s">
        <v>632</v>
      </c>
      <c r="V3636" s="13" t="s">
        <v>38</v>
      </c>
      <c r="W3636" s="13" t="s">
        <v>16945</v>
      </c>
      <c r="X3636" s="12"/>
      <c r="Y3636" s="14"/>
      <c r="Z3636" s="14"/>
    </row>
    <row r="3637">
      <c r="A3637" s="8" t="s">
        <v>16946</v>
      </c>
      <c r="B3637" s="8" t="s">
        <v>16947</v>
      </c>
      <c r="C3637" s="8" t="s">
        <v>179</v>
      </c>
      <c r="D3637" s="8" t="s">
        <v>26</v>
      </c>
      <c r="E3637" s="8" t="s">
        <v>16948</v>
      </c>
      <c r="F3637" s="8">
        <v>5.454621891E9</v>
      </c>
      <c r="G3637" s="8" t="s">
        <v>31</v>
      </c>
      <c r="H3637" s="8" t="s">
        <v>542</v>
      </c>
      <c r="I3637" s="8" t="s">
        <v>284</v>
      </c>
      <c r="J3637" s="8" t="s">
        <v>285</v>
      </c>
      <c r="K3637" s="10" t="s">
        <v>3841</v>
      </c>
      <c r="L3637" s="8" t="s">
        <v>58</v>
      </c>
      <c r="M3637" s="8" t="s">
        <v>35</v>
      </c>
      <c r="N3637" s="11">
        <v>45246.0</v>
      </c>
      <c r="O3637" s="11">
        <v>45474.0</v>
      </c>
      <c r="P3637" s="11">
        <v>45516.0</v>
      </c>
      <c r="Q3637" s="11"/>
      <c r="R3637" s="11"/>
      <c r="S3637" s="12"/>
      <c r="T3637" s="8"/>
      <c r="U3637" s="8" t="s">
        <v>1038</v>
      </c>
      <c r="V3637" s="13" t="s">
        <v>545</v>
      </c>
      <c r="W3637" s="13" t="s">
        <v>16949</v>
      </c>
      <c r="X3637" s="12"/>
      <c r="Y3637" s="14"/>
      <c r="Z3637" s="14"/>
    </row>
    <row r="3638">
      <c r="A3638" s="8" t="s">
        <v>16950</v>
      </c>
      <c r="B3638" s="8" t="s">
        <v>16951</v>
      </c>
      <c r="C3638" s="8" t="s">
        <v>179</v>
      </c>
      <c r="D3638" s="8" t="s">
        <v>26</v>
      </c>
      <c r="E3638" s="8" t="s">
        <v>16952</v>
      </c>
      <c r="F3638" s="8">
        <v>9.890970959E9</v>
      </c>
      <c r="G3638" s="8" t="s">
        <v>44</v>
      </c>
      <c r="H3638" s="8" t="s">
        <v>2054</v>
      </c>
      <c r="I3638" s="8" t="s">
        <v>31</v>
      </c>
      <c r="J3638" s="8" t="s">
        <v>43</v>
      </c>
      <c r="K3638" s="10" t="s">
        <v>2922</v>
      </c>
      <c r="L3638" s="8" t="s">
        <v>58</v>
      </c>
      <c r="M3638" s="8" t="s">
        <v>35</v>
      </c>
      <c r="N3638" s="11">
        <v>45246.0</v>
      </c>
      <c r="O3638" s="11">
        <v>45474.0</v>
      </c>
      <c r="P3638" s="11">
        <v>45516.0</v>
      </c>
      <c r="Q3638" s="11"/>
      <c r="R3638" s="11"/>
      <c r="S3638" s="12"/>
      <c r="T3638" s="8"/>
      <c r="U3638" s="8" t="s">
        <v>59</v>
      </c>
      <c r="V3638" s="13" t="s">
        <v>16953</v>
      </c>
      <c r="W3638" s="13" t="s">
        <v>16954</v>
      </c>
      <c r="X3638" s="12"/>
      <c r="Y3638" s="14"/>
      <c r="Z3638" s="14"/>
    </row>
    <row r="3639">
      <c r="A3639" s="8" t="s">
        <v>16955</v>
      </c>
      <c r="B3639" s="8" t="s">
        <v>16956</v>
      </c>
      <c r="C3639" s="8" t="s">
        <v>179</v>
      </c>
      <c r="D3639" s="8" t="s">
        <v>26</v>
      </c>
      <c r="E3639" s="8" t="s">
        <v>16957</v>
      </c>
      <c r="F3639" s="8">
        <v>5.078720032E9</v>
      </c>
      <c r="G3639" s="8" t="s">
        <v>31</v>
      </c>
      <c r="H3639" s="8" t="s">
        <v>32</v>
      </c>
      <c r="I3639" s="8" t="s">
        <v>230</v>
      </c>
      <c r="J3639" s="8" t="s">
        <v>543</v>
      </c>
      <c r="K3639" s="10" t="s">
        <v>16958</v>
      </c>
      <c r="L3639" s="8" t="s">
        <v>34</v>
      </c>
      <c r="M3639" s="8" t="s">
        <v>70</v>
      </c>
      <c r="N3639" s="11">
        <v>45246.0</v>
      </c>
      <c r="O3639" s="11">
        <v>45299.0</v>
      </c>
      <c r="P3639" s="11">
        <v>45488.0</v>
      </c>
      <c r="Q3639" s="11"/>
      <c r="R3639" s="11"/>
      <c r="S3639" s="12"/>
      <c r="T3639" s="8" t="s">
        <v>205</v>
      </c>
      <c r="U3639" s="8" t="s">
        <v>16959</v>
      </c>
      <c r="V3639" s="13" t="s">
        <v>38</v>
      </c>
      <c r="W3639" s="13" t="s">
        <v>16960</v>
      </c>
      <c r="X3639" s="12"/>
      <c r="Y3639" s="14"/>
      <c r="Z3639" s="14"/>
    </row>
    <row r="3640">
      <c r="A3640" s="8" t="s">
        <v>16961</v>
      </c>
      <c r="B3640" s="8" t="s">
        <v>16962</v>
      </c>
      <c r="C3640" s="8" t="s">
        <v>179</v>
      </c>
      <c r="D3640" s="8" t="s">
        <v>26</v>
      </c>
      <c r="E3640" s="8" t="s">
        <v>16963</v>
      </c>
      <c r="F3640" s="8">
        <v>6.61494523E8</v>
      </c>
      <c r="G3640" s="8" t="s">
        <v>1620</v>
      </c>
      <c r="H3640" s="8" t="s">
        <v>3655</v>
      </c>
      <c r="I3640" s="8" t="s">
        <v>31</v>
      </c>
      <c r="J3640" s="8" t="s">
        <v>86</v>
      </c>
      <c r="K3640" s="10" t="s">
        <v>416</v>
      </c>
      <c r="L3640" s="8" t="s">
        <v>58</v>
      </c>
      <c r="M3640" s="8" t="s">
        <v>35</v>
      </c>
      <c r="N3640" s="11">
        <v>45246.0</v>
      </c>
      <c r="O3640" s="11">
        <v>45483.0</v>
      </c>
      <c r="P3640" s="11">
        <v>45525.0</v>
      </c>
      <c r="Q3640" s="11"/>
      <c r="R3640" s="11"/>
      <c r="S3640" s="12"/>
      <c r="T3640" s="8"/>
      <c r="U3640" s="8" t="s">
        <v>59</v>
      </c>
      <c r="V3640" s="13" t="s">
        <v>3656</v>
      </c>
      <c r="W3640" s="13" t="s">
        <v>16964</v>
      </c>
      <c r="X3640" s="12"/>
      <c r="Y3640" s="14"/>
      <c r="Z3640" s="14"/>
    </row>
    <row r="3641">
      <c r="A3641" s="8" t="s">
        <v>16965</v>
      </c>
      <c r="B3641" s="8" t="s">
        <v>16966</v>
      </c>
      <c r="C3641" s="8" t="s">
        <v>179</v>
      </c>
      <c r="D3641" s="8" t="s">
        <v>26</v>
      </c>
      <c r="E3641" s="8" t="s">
        <v>16967</v>
      </c>
      <c r="F3641" s="8">
        <v>9.3224111E7</v>
      </c>
      <c r="G3641" s="8" t="s">
        <v>54</v>
      </c>
      <c r="H3641" s="8" t="s">
        <v>76</v>
      </c>
      <c r="I3641" s="8" t="s">
        <v>31</v>
      </c>
      <c r="J3641" s="8" t="s">
        <v>102</v>
      </c>
      <c r="K3641" s="10" t="s">
        <v>15805</v>
      </c>
      <c r="L3641" s="8" t="s">
        <v>58</v>
      </c>
      <c r="M3641" s="8" t="s">
        <v>35</v>
      </c>
      <c r="N3641" s="11">
        <v>45246.0</v>
      </c>
      <c r="O3641" s="11">
        <v>45488.0</v>
      </c>
      <c r="P3641" s="11">
        <v>45530.0</v>
      </c>
      <c r="Q3641" s="11"/>
      <c r="R3641" s="11"/>
      <c r="S3641" s="12"/>
      <c r="T3641" s="8"/>
      <c r="U3641" s="8" t="s">
        <v>161</v>
      </c>
      <c r="V3641" s="13" t="s">
        <v>324</v>
      </c>
      <c r="W3641" s="13" t="s">
        <v>16968</v>
      </c>
      <c r="X3641" s="12"/>
      <c r="Y3641" s="14"/>
      <c r="Z3641" s="14"/>
    </row>
    <row r="3642">
      <c r="A3642" s="8" t="s">
        <v>16969</v>
      </c>
      <c r="B3642" s="8" t="s">
        <v>16970</v>
      </c>
      <c r="C3642" s="8" t="s">
        <v>179</v>
      </c>
      <c r="D3642" s="8" t="s">
        <v>26</v>
      </c>
      <c r="E3642" s="8" t="s">
        <v>16971</v>
      </c>
      <c r="F3642" s="8">
        <v>9.9955111E7</v>
      </c>
      <c r="G3642" s="8" t="s">
        <v>54</v>
      </c>
      <c r="H3642" s="8" t="s">
        <v>377</v>
      </c>
      <c r="I3642" s="8" t="s">
        <v>31</v>
      </c>
      <c r="J3642" s="8" t="s">
        <v>77</v>
      </c>
      <c r="K3642" s="10" t="s">
        <v>5712</v>
      </c>
      <c r="L3642" s="8" t="s">
        <v>58</v>
      </c>
      <c r="M3642" s="8" t="s">
        <v>35</v>
      </c>
      <c r="N3642" s="11">
        <v>45246.0</v>
      </c>
      <c r="O3642" s="11">
        <v>45501.0</v>
      </c>
      <c r="P3642" s="11">
        <v>45543.0</v>
      </c>
      <c r="Q3642" s="11"/>
      <c r="R3642" s="11"/>
      <c r="S3642" s="12"/>
      <c r="T3642" s="8"/>
      <c r="U3642" s="8" t="s">
        <v>59</v>
      </c>
      <c r="V3642" s="13" t="s">
        <v>2151</v>
      </c>
      <c r="W3642" s="13" t="s">
        <v>16972</v>
      </c>
      <c r="X3642" s="12"/>
      <c r="Y3642" s="14"/>
      <c r="Z3642" s="14"/>
    </row>
    <row r="3643">
      <c r="A3643" s="8" t="s">
        <v>16973</v>
      </c>
      <c r="B3643" s="8" t="s">
        <v>16974</v>
      </c>
      <c r="C3643" s="8" t="s">
        <v>179</v>
      </c>
      <c r="D3643" s="8" t="s">
        <v>26</v>
      </c>
      <c r="E3643" s="8" t="s">
        <v>16975</v>
      </c>
      <c r="F3643" s="8">
        <v>5.08201264E8</v>
      </c>
      <c r="G3643" s="8" t="s">
        <v>1620</v>
      </c>
      <c r="H3643" s="8" t="s">
        <v>4288</v>
      </c>
      <c r="I3643" s="8" t="s">
        <v>31</v>
      </c>
      <c r="J3643" s="8" t="s">
        <v>102</v>
      </c>
      <c r="K3643" s="10" t="s">
        <v>9014</v>
      </c>
      <c r="L3643" s="8" t="s">
        <v>58</v>
      </c>
      <c r="M3643" s="8" t="s">
        <v>35</v>
      </c>
      <c r="N3643" s="11">
        <v>45246.0</v>
      </c>
      <c r="O3643" s="11">
        <v>45467.0</v>
      </c>
      <c r="P3643" s="11">
        <v>45509.0</v>
      </c>
      <c r="Q3643" s="11"/>
      <c r="R3643" s="11"/>
      <c r="S3643" s="12"/>
      <c r="T3643" s="8"/>
      <c r="U3643" s="8" t="s">
        <v>88</v>
      </c>
      <c r="V3643" s="13" t="s">
        <v>5939</v>
      </c>
      <c r="W3643" s="13" t="s">
        <v>16976</v>
      </c>
      <c r="X3643" s="12"/>
      <c r="Y3643" s="14"/>
      <c r="Z3643" s="14"/>
    </row>
    <row r="3644">
      <c r="A3644" s="8" t="s">
        <v>16977</v>
      </c>
      <c r="B3644" s="8" t="s">
        <v>14796</v>
      </c>
      <c r="C3644" s="8" t="s">
        <v>179</v>
      </c>
      <c r="D3644" s="8" t="s">
        <v>26</v>
      </c>
      <c r="E3644" s="8" t="s">
        <v>14797</v>
      </c>
      <c r="F3644" s="8">
        <v>9.81156952E8</v>
      </c>
      <c r="G3644" s="8" t="s">
        <v>1620</v>
      </c>
      <c r="H3644" s="8" t="s">
        <v>1621</v>
      </c>
      <c r="I3644" s="8" t="s">
        <v>31</v>
      </c>
      <c r="J3644" s="8" t="s">
        <v>43</v>
      </c>
      <c r="K3644" s="10" t="s">
        <v>837</v>
      </c>
      <c r="L3644" s="8" t="s">
        <v>58</v>
      </c>
      <c r="M3644" s="8" t="s">
        <v>35</v>
      </c>
      <c r="N3644" s="11">
        <v>45246.0</v>
      </c>
      <c r="O3644" s="11">
        <v>45523.0</v>
      </c>
      <c r="P3644" s="11">
        <v>45565.0</v>
      </c>
      <c r="Q3644" s="11"/>
      <c r="R3644" s="11"/>
      <c r="S3644" s="12"/>
      <c r="T3644" s="8"/>
      <c r="U3644" s="8" t="s">
        <v>130</v>
      </c>
      <c r="V3644" s="13" t="s">
        <v>13760</v>
      </c>
      <c r="W3644" s="13" t="s">
        <v>14798</v>
      </c>
      <c r="X3644" s="12"/>
      <c r="Y3644" s="14"/>
      <c r="Z3644" s="14"/>
    </row>
    <row r="3645">
      <c r="A3645" s="8" t="s">
        <v>16978</v>
      </c>
      <c r="B3645" s="8" t="s">
        <v>16979</v>
      </c>
      <c r="C3645" s="8" t="s">
        <v>179</v>
      </c>
      <c r="D3645" s="8" t="s">
        <v>26</v>
      </c>
      <c r="E3645" s="8" t="s">
        <v>16980</v>
      </c>
      <c r="F3645" s="8">
        <v>9.058237137E9</v>
      </c>
      <c r="G3645" s="8" t="s">
        <v>14305</v>
      </c>
      <c r="H3645" s="8" t="s">
        <v>15706</v>
      </c>
      <c r="I3645" s="8" t="s">
        <v>31</v>
      </c>
      <c r="J3645" s="8" t="s">
        <v>32</v>
      </c>
      <c r="K3645" s="10" t="s">
        <v>5071</v>
      </c>
      <c r="L3645" s="8" t="s">
        <v>58</v>
      </c>
      <c r="M3645" s="8" t="s">
        <v>35</v>
      </c>
      <c r="N3645" s="11">
        <v>45246.0</v>
      </c>
      <c r="O3645" s="11">
        <v>45285.0</v>
      </c>
      <c r="P3645" s="11">
        <v>45327.0</v>
      </c>
      <c r="Q3645" s="11"/>
      <c r="R3645" s="11"/>
      <c r="S3645" s="12"/>
      <c r="T3645" s="8"/>
      <c r="U3645" s="8" t="s">
        <v>161</v>
      </c>
      <c r="V3645" s="13" t="s">
        <v>15707</v>
      </c>
      <c r="W3645" s="13" t="s">
        <v>16981</v>
      </c>
      <c r="X3645" s="12"/>
      <c r="Y3645" s="14"/>
      <c r="Z3645" s="14"/>
    </row>
    <row r="3646">
      <c r="A3646" s="8" t="s">
        <v>16982</v>
      </c>
      <c r="B3646" s="8" t="s">
        <v>16983</v>
      </c>
      <c r="C3646" s="8" t="s">
        <v>179</v>
      </c>
      <c r="D3646" s="8" t="s">
        <v>26</v>
      </c>
      <c r="E3646" s="8" t="s">
        <v>16984</v>
      </c>
      <c r="F3646" s="8"/>
      <c r="G3646" s="8" t="s">
        <v>1620</v>
      </c>
      <c r="H3646" s="8" t="s">
        <v>4288</v>
      </c>
      <c r="I3646" s="8" t="s">
        <v>31</v>
      </c>
      <c r="J3646" s="8" t="s">
        <v>102</v>
      </c>
      <c r="K3646" s="10" t="s">
        <v>9014</v>
      </c>
      <c r="L3646" s="8" t="s">
        <v>58</v>
      </c>
      <c r="M3646" s="8" t="s">
        <v>35</v>
      </c>
      <c r="N3646" s="11">
        <v>45247.0</v>
      </c>
      <c r="O3646" s="11">
        <v>45467.0</v>
      </c>
      <c r="P3646" s="11">
        <v>45509.0</v>
      </c>
      <c r="Q3646" s="11"/>
      <c r="R3646" s="11"/>
      <c r="S3646" s="12"/>
      <c r="T3646" s="8"/>
      <c r="U3646" s="8" t="s">
        <v>88</v>
      </c>
      <c r="V3646" s="13" t="s">
        <v>38</v>
      </c>
      <c r="W3646" s="13" t="s">
        <v>16985</v>
      </c>
      <c r="X3646" s="12"/>
      <c r="Y3646" s="14"/>
      <c r="Z3646" s="14"/>
    </row>
    <row r="3647">
      <c r="A3647" s="8" t="s">
        <v>16986</v>
      </c>
      <c r="B3647" s="8" t="s">
        <v>16987</v>
      </c>
      <c r="C3647" s="8" t="s">
        <v>179</v>
      </c>
      <c r="D3647" s="8" t="s">
        <v>26</v>
      </c>
      <c r="E3647" s="8" t="s">
        <v>16988</v>
      </c>
      <c r="F3647" s="8">
        <v>5.536548883E9</v>
      </c>
      <c r="G3647" s="8" t="s">
        <v>31</v>
      </c>
      <c r="H3647" s="8" t="s">
        <v>32</v>
      </c>
      <c r="I3647" s="8" t="s">
        <v>8840</v>
      </c>
      <c r="J3647" s="8" t="s">
        <v>8841</v>
      </c>
      <c r="K3647" s="10" t="s">
        <v>16989</v>
      </c>
      <c r="L3647" s="8" t="s">
        <v>58</v>
      </c>
      <c r="M3647" s="8" t="s">
        <v>35</v>
      </c>
      <c r="N3647" s="11">
        <v>45247.0</v>
      </c>
      <c r="O3647" s="11">
        <v>45306.0</v>
      </c>
      <c r="P3647" s="11">
        <v>45348.0</v>
      </c>
      <c r="Q3647" s="11"/>
      <c r="R3647" s="11"/>
      <c r="S3647" s="12"/>
      <c r="T3647" s="8"/>
      <c r="U3647" s="8" t="s">
        <v>59</v>
      </c>
      <c r="V3647" s="13" t="s">
        <v>537</v>
      </c>
      <c r="W3647" s="13" t="s">
        <v>16990</v>
      </c>
      <c r="X3647" s="12"/>
      <c r="Y3647" s="14"/>
      <c r="Z3647" s="14"/>
    </row>
    <row r="3648">
      <c r="A3648" s="8" t="s">
        <v>16991</v>
      </c>
      <c r="B3648" s="8" t="s">
        <v>16992</v>
      </c>
      <c r="C3648" s="8" t="s">
        <v>179</v>
      </c>
      <c r="D3648" s="8" t="s">
        <v>26</v>
      </c>
      <c r="E3648" s="8" t="s">
        <v>16993</v>
      </c>
      <c r="F3648" s="8">
        <v>7.703954307E9</v>
      </c>
      <c r="G3648" s="8" t="s">
        <v>44</v>
      </c>
      <c r="H3648" s="8" t="s">
        <v>1433</v>
      </c>
      <c r="I3648" s="8" t="s">
        <v>31</v>
      </c>
      <c r="J3648" s="8" t="s">
        <v>102</v>
      </c>
      <c r="K3648" s="10" t="s">
        <v>1113</v>
      </c>
      <c r="L3648" s="8" t="s">
        <v>58</v>
      </c>
      <c r="M3648" s="8" t="s">
        <v>35</v>
      </c>
      <c r="N3648" s="11">
        <v>45247.0</v>
      </c>
      <c r="O3648" s="11">
        <v>45299.0</v>
      </c>
      <c r="P3648" s="11">
        <v>45341.0</v>
      </c>
      <c r="Q3648" s="11"/>
      <c r="R3648" s="11"/>
      <c r="S3648" s="12"/>
      <c r="T3648" s="8"/>
      <c r="U3648" s="8" t="s">
        <v>59</v>
      </c>
      <c r="V3648" s="13" t="s">
        <v>3622</v>
      </c>
      <c r="W3648" s="13" t="s">
        <v>16994</v>
      </c>
      <c r="X3648" s="12"/>
      <c r="Y3648" s="14"/>
      <c r="Z3648" s="14"/>
    </row>
    <row r="3649">
      <c r="A3649" s="8" t="s">
        <v>16995</v>
      </c>
      <c r="B3649" s="8" t="s">
        <v>1633</v>
      </c>
      <c r="C3649" s="8" t="s">
        <v>179</v>
      </c>
      <c r="D3649" s="8" t="s">
        <v>26</v>
      </c>
      <c r="E3649" s="8" t="s">
        <v>1634</v>
      </c>
      <c r="F3649" s="8"/>
      <c r="G3649" s="8" t="s">
        <v>1620</v>
      </c>
      <c r="H3649" s="8" t="s">
        <v>1635</v>
      </c>
      <c r="I3649" s="8" t="s">
        <v>31</v>
      </c>
      <c r="J3649" s="8" t="s">
        <v>167</v>
      </c>
      <c r="K3649" s="10" t="s">
        <v>4008</v>
      </c>
      <c r="L3649" s="8" t="s">
        <v>58</v>
      </c>
      <c r="M3649" s="8" t="s">
        <v>35</v>
      </c>
      <c r="N3649" s="11">
        <v>45247.0</v>
      </c>
      <c r="O3649" s="11">
        <v>45327.0</v>
      </c>
      <c r="P3649" s="11">
        <v>45369.0</v>
      </c>
      <c r="Q3649" s="11"/>
      <c r="R3649" s="11"/>
      <c r="S3649" s="12"/>
      <c r="T3649" s="8"/>
      <c r="U3649" s="8" t="s">
        <v>59</v>
      </c>
      <c r="V3649" s="13" t="s">
        <v>38</v>
      </c>
      <c r="W3649" s="13" t="s">
        <v>1636</v>
      </c>
      <c r="X3649" s="12"/>
      <c r="Y3649" s="14"/>
      <c r="Z3649" s="14"/>
    </row>
    <row r="3650">
      <c r="A3650" s="8" t="s">
        <v>16996</v>
      </c>
      <c r="B3650" s="8" t="s">
        <v>16997</v>
      </c>
      <c r="C3650" s="8" t="s">
        <v>179</v>
      </c>
      <c r="D3650" s="8" t="s">
        <v>26</v>
      </c>
      <c r="E3650" s="8" t="s">
        <v>16998</v>
      </c>
      <c r="F3650" s="8"/>
      <c r="G3650" s="8" t="s">
        <v>1620</v>
      </c>
      <c r="H3650" s="8" t="s">
        <v>4288</v>
      </c>
      <c r="I3650" s="8" t="s">
        <v>31</v>
      </c>
      <c r="J3650" s="8" t="s">
        <v>102</v>
      </c>
      <c r="K3650" s="10" t="s">
        <v>1113</v>
      </c>
      <c r="L3650" s="8" t="s">
        <v>58</v>
      </c>
      <c r="M3650" s="8" t="s">
        <v>35</v>
      </c>
      <c r="N3650" s="11">
        <v>45247.0</v>
      </c>
      <c r="O3650" s="11">
        <v>45474.0</v>
      </c>
      <c r="P3650" s="11">
        <v>45516.0</v>
      </c>
      <c r="Q3650" s="11"/>
      <c r="R3650" s="11"/>
      <c r="S3650" s="12"/>
      <c r="T3650" s="8"/>
      <c r="U3650" s="8" t="s">
        <v>59</v>
      </c>
      <c r="V3650" s="13" t="s">
        <v>38</v>
      </c>
      <c r="W3650" s="13" t="s">
        <v>16999</v>
      </c>
      <c r="X3650" s="12"/>
      <c r="Y3650" s="14"/>
      <c r="Z3650" s="14"/>
    </row>
    <row r="3651">
      <c r="A3651" s="8" t="s">
        <v>17000</v>
      </c>
      <c r="B3651" s="8" t="s">
        <v>17001</v>
      </c>
      <c r="C3651" s="8" t="s">
        <v>179</v>
      </c>
      <c r="D3651" s="8" t="s">
        <v>26</v>
      </c>
      <c r="E3651" s="8" t="s">
        <v>17002</v>
      </c>
      <c r="F3651" s="8"/>
      <c r="G3651" s="8" t="s">
        <v>54</v>
      </c>
      <c r="H3651" s="8" t="s">
        <v>135</v>
      </c>
      <c r="I3651" s="8" t="s">
        <v>31</v>
      </c>
      <c r="J3651" s="8" t="s">
        <v>102</v>
      </c>
      <c r="K3651" s="10" t="s">
        <v>15805</v>
      </c>
      <c r="L3651" s="8" t="s">
        <v>58</v>
      </c>
      <c r="M3651" s="8" t="s">
        <v>35</v>
      </c>
      <c r="N3651" s="11">
        <v>45247.0</v>
      </c>
      <c r="O3651" s="11">
        <v>45446.0</v>
      </c>
      <c r="P3651" s="11">
        <v>45488.0</v>
      </c>
      <c r="Q3651" s="11"/>
      <c r="R3651" s="11"/>
      <c r="S3651" s="12"/>
      <c r="T3651" s="8"/>
      <c r="U3651" s="8" t="s">
        <v>161</v>
      </c>
      <c r="V3651" s="13" t="s">
        <v>38</v>
      </c>
      <c r="W3651" s="13" t="s">
        <v>17003</v>
      </c>
      <c r="X3651" s="12"/>
      <c r="Y3651" s="14"/>
      <c r="Z3651" s="14"/>
    </row>
    <row r="3652">
      <c r="A3652" s="8" t="s">
        <v>17004</v>
      </c>
      <c r="B3652" s="8" t="s">
        <v>17005</v>
      </c>
      <c r="C3652" s="8" t="s">
        <v>179</v>
      </c>
      <c r="D3652" s="8" t="s">
        <v>26</v>
      </c>
      <c r="E3652" s="8" t="s">
        <v>17006</v>
      </c>
      <c r="F3652" s="8">
        <v>9.91097275E8</v>
      </c>
      <c r="G3652" s="8" t="s">
        <v>1620</v>
      </c>
      <c r="H3652" s="8" t="s">
        <v>1635</v>
      </c>
      <c r="I3652" s="8" t="s">
        <v>31</v>
      </c>
      <c r="J3652" s="8" t="s">
        <v>43</v>
      </c>
      <c r="K3652" s="10" t="s">
        <v>837</v>
      </c>
      <c r="L3652" s="8" t="s">
        <v>58</v>
      </c>
      <c r="M3652" s="8" t="s">
        <v>35</v>
      </c>
      <c r="N3652" s="11">
        <v>45247.0</v>
      </c>
      <c r="O3652" s="11">
        <v>45453.0</v>
      </c>
      <c r="P3652" s="11">
        <v>45495.0</v>
      </c>
      <c r="Q3652" s="11"/>
      <c r="R3652" s="11"/>
      <c r="S3652" s="12"/>
      <c r="T3652" s="8"/>
      <c r="U3652" s="8" t="s">
        <v>130</v>
      </c>
      <c r="V3652" s="13" t="s">
        <v>4256</v>
      </c>
      <c r="W3652" s="13" t="s">
        <v>17007</v>
      </c>
      <c r="X3652" s="12"/>
      <c r="Y3652" s="14"/>
      <c r="Z3652" s="14"/>
    </row>
    <row r="3653">
      <c r="A3653" s="8" t="s">
        <v>17008</v>
      </c>
      <c r="B3653" s="8" t="s">
        <v>17009</v>
      </c>
      <c r="C3653" s="8" t="s">
        <v>179</v>
      </c>
      <c r="D3653" s="8" t="s">
        <v>26</v>
      </c>
      <c r="E3653" s="8" t="s">
        <v>17010</v>
      </c>
      <c r="F3653" s="8">
        <v>9.3577885E8</v>
      </c>
      <c r="G3653" s="8" t="s">
        <v>1620</v>
      </c>
      <c r="H3653" s="8" t="s">
        <v>1635</v>
      </c>
      <c r="I3653" s="8" t="s">
        <v>31</v>
      </c>
      <c r="J3653" s="8" t="s">
        <v>77</v>
      </c>
      <c r="K3653" s="10" t="s">
        <v>1582</v>
      </c>
      <c r="L3653" s="8" t="s">
        <v>58</v>
      </c>
      <c r="M3653" s="8" t="s">
        <v>35</v>
      </c>
      <c r="N3653" s="11">
        <v>45247.0</v>
      </c>
      <c r="O3653" s="11">
        <v>45466.0</v>
      </c>
      <c r="P3653" s="11">
        <v>45508.0</v>
      </c>
      <c r="Q3653" s="11"/>
      <c r="R3653" s="11"/>
      <c r="S3653" s="12"/>
      <c r="T3653" s="8"/>
      <c r="U3653" s="8" t="s">
        <v>59</v>
      </c>
      <c r="V3653" s="13" t="s">
        <v>4256</v>
      </c>
      <c r="W3653" s="13" t="s">
        <v>17011</v>
      </c>
      <c r="X3653" s="12"/>
      <c r="Y3653" s="14"/>
      <c r="Z3653" s="14"/>
    </row>
    <row r="3654">
      <c r="A3654" s="8" t="s">
        <v>17012</v>
      </c>
      <c r="B3654" s="8" t="s">
        <v>17013</v>
      </c>
      <c r="C3654" s="8" t="s">
        <v>179</v>
      </c>
      <c r="D3654" s="8" t="s">
        <v>26</v>
      </c>
      <c r="E3654" s="8" t="s">
        <v>17014</v>
      </c>
      <c r="F3654" s="8">
        <v>2.1011055E7</v>
      </c>
      <c r="G3654" s="8" t="s">
        <v>54</v>
      </c>
      <c r="H3654" s="8" t="s">
        <v>430</v>
      </c>
      <c r="I3654" s="8" t="s">
        <v>31</v>
      </c>
      <c r="J3654" s="8" t="s">
        <v>102</v>
      </c>
      <c r="K3654" s="10" t="s">
        <v>1113</v>
      </c>
      <c r="L3654" s="8" t="s">
        <v>58</v>
      </c>
      <c r="M3654" s="8" t="s">
        <v>35</v>
      </c>
      <c r="N3654" s="11">
        <v>45247.0</v>
      </c>
      <c r="O3654" s="11">
        <v>45474.0</v>
      </c>
      <c r="P3654" s="11">
        <v>45516.0</v>
      </c>
      <c r="Q3654" s="11"/>
      <c r="R3654" s="11"/>
      <c r="S3654" s="12"/>
      <c r="T3654" s="8"/>
      <c r="U3654" s="8" t="s">
        <v>59</v>
      </c>
      <c r="V3654" s="13" t="s">
        <v>4780</v>
      </c>
      <c r="W3654" s="13" t="s">
        <v>17015</v>
      </c>
      <c r="X3654" s="12"/>
      <c r="Y3654" s="14"/>
      <c r="Z3654" s="14"/>
    </row>
    <row r="3655">
      <c r="A3655" s="8" t="s">
        <v>17016</v>
      </c>
      <c r="B3655" s="8" t="s">
        <v>17017</v>
      </c>
      <c r="C3655" s="8" t="s">
        <v>179</v>
      </c>
      <c r="D3655" s="8" t="s">
        <v>26</v>
      </c>
      <c r="E3655" s="8" t="s">
        <v>17018</v>
      </c>
      <c r="F3655" s="8">
        <v>9.5643998E7</v>
      </c>
      <c r="G3655" s="8" t="s">
        <v>54</v>
      </c>
      <c r="H3655" s="8" t="s">
        <v>430</v>
      </c>
      <c r="I3655" s="8" t="s">
        <v>31</v>
      </c>
      <c r="J3655" s="8" t="s">
        <v>102</v>
      </c>
      <c r="K3655" s="10" t="s">
        <v>1113</v>
      </c>
      <c r="L3655" s="8" t="s">
        <v>58</v>
      </c>
      <c r="M3655" s="8" t="s">
        <v>35</v>
      </c>
      <c r="N3655" s="11">
        <v>45247.0</v>
      </c>
      <c r="O3655" s="11">
        <v>45474.0</v>
      </c>
      <c r="P3655" s="11">
        <v>45516.0</v>
      </c>
      <c r="Q3655" s="11"/>
      <c r="R3655" s="11"/>
      <c r="S3655" s="12"/>
      <c r="T3655" s="8"/>
      <c r="U3655" s="8" t="s">
        <v>59</v>
      </c>
      <c r="V3655" s="13" t="s">
        <v>4780</v>
      </c>
      <c r="W3655" s="13" t="s">
        <v>17019</v>
      </c>
      <c r="X3655" s="12"/>
      <c r="Y3655" s="14"/>
      <c r="Z3655" s="14"/>
    </row>
    <row r="3656">
      <c r="A3656" s="8" t="s">
        <v>17020</v>
      </c>
      <c r="B3656" s="8" t="s">
        <v>17021</v>
      </c>
      <c r="C3656" s="8" t="s">
        <v>179</v>
      </c>
      <c r="D3656" s="8" t="s">
        <v>26</v>
      </c>
      <c r="E3656" s="8" t="s">
        <v>17022</v>
      </c>
      <c r="F3656" s="8">
        <v>6.82433908E8</v>
      </c>
      <c r="G3656" s="8" t="s">
        <v>1620</v>
      </c>
      <c r="H3656" s="8" t="s">
        <v>1621</v>
      </c>
      <c r="I3656" s="8" t="s">
        <v>31</v>
      </c>
      <c r="J3656" s="8" t="s">
        <v>102</v>
      </c>
      <c r="K3656" s="10" t="s">
        <v>15805</v>
      </c>
      <c r="L3656" s="8" t="s">
        <v>58</v>
      </c>
      <c r="M3656" s="8" t="s">
        <v>35</v>
      </c>
      <c r="N3656" s="11">
        <v>45247.0</v>
      </c>
      <c r="O3656" s="11">
        <v>45446.0</v>
      </c>
      <c r="P3656" s="11">
        <v>45488.0</v>
      </c>
      <c r="Q3656" s="11"/>
      <c r="R3656" s="11"/>
      <c r="S3656" s="12"/>
      <c r="T3656" s="8"/>
      <c r="U3656" s="8" t="s">
        <v>161</v>
      </c>
      <c r="V3656" s="13" t="s">
        <v>13760</v>
      </c>
      <c r="W3656" s="13" t="s">
        <v>17023</v>
      </c>
      <c r="X3656" s="12"/>
      <c r="Y3656" s="14"/>
      <c r="Z3656" s="14"/>
    </row>
    <row r="3657">
      <c r="A3657" s="8" t="s">
        <v>17024</v>
      </c>
      <c r="B3657" s="8" t="s">
        <v>17025</v>
      </c>
      <c r="C3657" s="8" t="s">
        <v>179</v>
      </c>
      <c r="D3657" s="8" t="s">
        <v>26</v>
      </c>
      <c r="E3657" s="8" t="s">
        <v>17026</v>
      </c>
      <c r="F3657" s="8"/>
      <c r="G3657" s="8" t="s">
        <v>1620</v>
      </c>
      <c r="H3657" s="8" t="s">
        <v>4288</v>
      </c>
      <c r="I3657" s="8" t="s">
        <v>31</v>
      </c>
      <c r="J3657" s="8" t="s">
        <v>102</v>
      </c>
      <c r="K3657" s="10" t="s">
        <v>9014</v>
      </c>
      <c r="L3657" s="8" t="s">
        <v>58</v>
      </c>
      <c r="M3657" s="8" t="s">
        <v>35</v>
      </c>
      <c r="N3657" s="11">
        <v>45247.0</v>
      </c>
      <c r="O3657" s="11">
        <v>45299.0</v>
      </c>
      <c r="P3657" s="11">
        <v>45341.0</v>
      </c>
      <c r="Q3657" s="11"/>
      <c r="R3657" s="11"/>
      <c r="S3657" s="12"/>
      <c r="T3657" s="8"/>
      <c r="U3657" s="8" t="s">
        <v>88</v>
      </c>
      <c r="V3657" s="13" t="s">
        <v>38</v>
      </c>
      <c r="W3657" s="13" t="s">
        <v>17027</v>
      </c>
      <c r="X3657" s="12"/>
      <c r="Y3657" s="14"/>
      <c r="Z3657" s="14"/>
    </row>
    <row r="3658">
      <c r="A3658" s="8" t="s">
        <v>17028</v>
      </c>
      <c r="B3658" s="8" t="s">
        <v>17029</v>
      </c>
      <c r="C3658" s="8" t="s">
        <v>179</v>
      </c>
      <c r="D3658" s="8" t="s">
        <v>26</v>
      </c>
      <c r="E3658" s="8" t="s">
        <v>17030</v>
      </c>
      <c r="F3658" s="8"/>
      <c r="G3658" s="8" t="s">
        <v>31</v>
      </c>
      <c r="H3658" s="8" t="s">
        <v>56</v>
      </c>
      <c r="I3658" s="8" t="s">
        <v>29</v>
      </c>
      <c r="J3658" s="8" t="s">
        <v>7276</v>
      </c>
      <c r="K3658" s="10" t="s">
        <v>17031</v>
      </c>
      <c r="L3658" s="8" t="s">
        <v>58</v>
      </c>
      <c r="M3658" s="8" t="s">
        <v>35</v>
      </c>
      <c r="N3658" s="11">
        <v>45247.0</v>
      </c>
      <c r="O3658" s="11">
        <v>45341.0</v>
      </c>
      <c r="P3658" s="11">
        <v>45383.0</v>
      </c>
      <c r="Q3658" s="11"/>
      <c r="R3658" s="11"/>
      <c r="S3658" s="12"/>
      <c r="T3658" s="8"/>
      <c r="U3658" s="8" t="s">
        <v>88</v>
      </c>
      <c r="V3658" s="13" t="s">
        <v>38</v>
      </c>
      <c r="W3658" s="13" t="s">
        <v>17032</v>
      </c>
      <c r="X3658" s="12"/>
      <c r="Y3658" s="14"/>
      <c r="Z3658" s="14"/>
    </row>
    <row r="3659">
      <c r="A3659" s="8" t="s">
        <v>17033</v>
      </c>
      <c r="B3659" s="8" t="s">
        <v>17034</v>
      </c>
      <c r="C3659" s="8" t="s">
        <v>179</v>
      </c>
      <c r="D3659" s="8" t="s">
        <v>26</v>
      </c>
      <c r="E3659" s="8" t="s">
        <v>17035</v>
      </c>
      <c r="F3659" s="8"/>
      <c r="G3659" s="8" t="s">
        <v>230</v>
      </c>
      <c r="H3659" s="8" t="s">
        <v>17036</v>
      </c>
      <c r="I3659" s="8" t="s">
        <v>31</v>
      </c>
      <c r="J3659" s="8" t="s">
        <v>77</v>
      </c>
      <c r="K3659" s="10" t="s">
        <v>3879</v>
      </c>
      <c r="L3659" s="8" t="s">
        <v>58</v>
      </c>
      <c r="M3659" s="8" t="s">
        <v>35</v>
      </c>
      <c r="N3659" s="11">
        <v>45247.0</v>
      </c>
      <c r="O3659" s="11">
        <v>45334.0</v>
      </c>
      <c r="P3659" s="11">
        <v>45376.0</v>
      </c>
      <c r="Q3659" s="11"/>
      <c r="R3659" s="11"/>
      <c r="S3659" s="12"/>
      <c r="T3659" s="8"/>
      <c r="U3659" s="8" t="s">
        <v>59</v>
      </c>
      <c r="V3659" s="13" t="s">
        <v>38</v>
      </c>
      <c r="W3659" s="13" t="s">
        <v>17037</v>
      </c>
      <c r="X3659" s="12"/>
      <c r="Y3659" s="14"/>
      <c r="Z3659" s="14"/>
    </row>
    <row r="3660">
      <c r="A3660" s="8" t="s">
        <v>17038</v>
      </c>
      <c r="B3660" s="8" t="s">
        <v>17039</v>
      </c>
      <c r="C3660" s="8" t="s">
        <v>708</v>
      </c>
      <c r="D3660" s="8" t="s">
        <v>26</v>
      </c>
      <c r="E3660" s="8" t="s">
        <v>17040</v>
      </c>
      <c r="F3660" s="8">
        <v>6.80629114E8</v>
      </c>
      <c r="G3660" s="8" t="s">
        <v>84</v>
      </c>
      <c r="H3660" s="8" t="s">
        <v>1266</v>
      </c>
      <c r="I3660" s="8" t="s">
        <v>31</v>
      </c>
      <c r="J3660" s="8" t="s">
        <v>292</v>
      </c>
      <c r="K3660" s="10" t="s">
        <v>1818</v>
      </c>
      <c r="L3660" s="8" t="s">
        <v>47</v>
      </c>
      <c r="M3660" s="8" t="s">
        <v>70</v>
      </c>
      <c r="N3660" s="11">
        <v>45247.0</v>
      </c>
      <c r="O3660" s="11">
        <v>45250.0</v>
      </c>
      <c r="P3660" s="11">
        <v>45616.0</v>
      </c>
      <c r="Q3660" s="11">
        <v>45260.0</v>
      </c>
      <c r="R3660" s="11">
        <v>45625.0</v>
      </c>
      <c r="S3660" s="12"/>
      <c r="T3660" s="8"/>
      <c r="U3660" s="8" t="s">
        <v>1819</v>
      </c>
      <c r="V3660" s="13" t="s">
        <v>17041</v>
      </c>
      <c r="W3660" s="13" t="s">
        <v>17042</v>
      </c>
      <c r="X3660" s="12"/>
      <c r="Y3660" s="14"/>
      <c r="Z3660" s="14"/>
    </row>
    <row r="3661">
      <c r="A3661" s="8" t="s">
        <v>17043</v>
      </c>
      <c r="B3661" s="8" t="s">
        <v>17044</v>
      </c>
      <c r="C3661" s="8" t="s">
        <v>708</v>
      </c>
      <c r="D3661" s="8" t="s">
        <v>26</v>
      </c>
      <c r="E3661" s="8" t="s">
        <v>17045</v>
      </c>
      <c r="F3661" s="8">
        <v>3.314407786E9</v>
      </c>
      <c r="G3661" s="8" t="s">
        <v>315</v>
      </c>
      <c r="H3661" s="8" t="s">
        <v>1833</v>
      </c>
      <c r="I3661" s="8" t="s">
        <v>31</v>
      </c>
      <c r="J3661" s="8" t="s">
        <v>56</v>
      </c>
      <c r="K3661" s="10" t="s">
        <v>15125</v>
      </c>
      <c r="L3661" s="8" t="s">
        <v>58</v>
      </c>
      <c r="M3661" s="8" t="s">
        <v>35</v>
      </c>
      <c r="N3661" s="11">
        <v>45248.0</v>
      </c>
      <c r="O3661" s="11">
        <v>45285.0</v>
      </c>
      <c r="P3661" s="11">
        <v>45327.0</v>
      </c>
      <c r="Q3661" s="11">
        <v>45285.0</v>
      </c>
      <c r="R3661" s="11">
        <v>45327.0</v>
      </c>
      <c r="S3661" s="12"/>
      <c r="T3661" s="8"/>
      <c r="U3661" s="8" t="s">
        <v>59</v>
      </c>
      <c r="V3661" s="13" t="s">
        <v>1834</v>
      </c>
      <c r="W3661" s="13" t="s">
        <v>17046</v>
      </c>
      <c r="X3661" s="12"/>
      <c r="Y3661" s="14"/>
      <c r="Z3661" s="14"/>
    </row>
    <row r="3662">
      <c r="A3662" s="8" t="s">
        <v>17047</v>
      </c>
      <c r="B3662" s="8" t="s">
        <v>13665</v>
      </c>
      <c r="C3662" s="8" t="s">
        <v>179</v>
      </c>
      <c r="D3662" s="8" t="s">
        <v>26</v>
      </c>
      <c r="E3662" s="8" t="s">
        <v>13666</v>
      </c>
      <c r="F3662" s="8">
        <v>6.91744625E8</v>
      </c>
      <c r="G3662" s="8" t="s">
        <v>3627</v>
      </c>
      <c r="H3662" s="8" t="s">
        <v>13618</v>
      </c>
      <c r="I3662" s="8" t="s">
        <v>31</v>
      </c>
      <c r="J3662" s="8" t="s">
        <v>43</v>
      </c>
      <c r="K3662" s="10" t="s">
        <v>17048</v>
      </c>
      <c r="L3662" s="8" t="s">
        <v>47</v>
      </c>
      <c r="M3662" s="8" t="s">
        <v>70</v>
      </c>
      <c r="N3662" s="11">
        <v>45248.0</v>
      </c>
      <c r="O3662" s="11">
        <v>45270.0</v>
      </c>
      <c r="P3662" s="11">
        <v>45459.0</v>
      </c>
      <c r="Q3662" s="11"/>
      <c r="R3662" s="11"/>
      <c r="S3662" s="12"/>
      <c r="T3662" s="8"/>
      <c r="U3662" s="8" t="s">
        <v>17049</v>
      </c>
      <c r="V3662" s="13" t="s">
        <v>13619</v>
      </c>
      <c r="W3662" s="13" t="s">
        <v>13667</v>
      </c>
      <c r="X3662" s="12"/>
      <c r="Y3662" s="14"/>
      <c r="Z3662" s="14"/>
    </row>
    <row r="3663">
      <c r="A3663" s="8" t="s">
        <v>17050</v>
      </c>
      <c r="B3663" s="8" t="s">
        <v>17051</v>
      </c>
      <c r="C3663" s="8" t="s">
        <v>179</v>
      </c>
      <c r="D3663" s="8" t="s">
        <v>26</v>
      </c>
      <c r="E3663" s="8" t="s">
        <v>17052</v>
      </c>
      <c r="F3663" s="8">
        <v>5.511849993E9</v>
      </c>
      <c r="G3663" s="8" t="s">
        <v>31</v>
      </c>
      <c r="H3663" s="8" t="s">
        <v>56</v>
      </c>
      <c r="I3663" s="8" t="s">
        <v>54</v>
      </c>
      <c r="J3663" s="8" t="s">
        <v>430</v>
      </c>
      <c r="K3663" s="10" t="s">
        <v>9067</v>
      </c>
      <c r="L3663" s="8" t="s">
        <v>47</v>
      </c>
      <c r="M3663" s="8" t="s">
        <v>35</v>
      </c>
      <c r="N3663" s="11">
        <v>45248.0</v>
      </c>
      <c r="O3663" s="11">
        <v>45484.0</v>
      </c>
      <c r="P3663" s="11">
        <v>45547.0</v>
      </c>
      <c r="Q3663" s="11"/>
      <c r="R3663" s="11"/>
      <c r="S3663" s="12"/>
      <c r="T3663" s="8"/>
      <c r="U3663" s="8" t="s">
        <v>9068</v>
      </c>
      <c r="V3663" s="13" t="s">
        <v>56</v>
      </c>
      <c r="W3663" s="13" t="s">
        <v>17053</v>
      </c>
      <c r="X3663" s="12"/>
      <c r="Y3663" s="14"/>
      <c r="Z3663" s="14"/>
    </row>
    <row r="3664">
      <c r="A3664" s="8" t="s">
        <v>17054</v>
      </c>
      <c r="B3664" s="8" t="s">
        <v>17055</v>
      </c>
      <c r="C3664" s="8" t="s">
        <v>179</v>
      </c>
      <c r="D3664" s="8" t="s">
        <v>26</v>
      </c>
      <c r="E3664" s="8" t="s">
        <v>17056</v>
      </c>
      <c r="F3664" s="8">
        <v>7.72221875E8</v>
      </c>
      <c r="G3664" s="8" t="s">
        <v>127</v>
      </c>
      <c r="H3664" s="8" t="s">
        <v>159</v>
      </c>
      <c r="I3664" s="8" t="s">
        <v>31</v>
      </c>
      <c r="J3664" s="8" t="s">
        <v>102</v>
      </c>
      <c r="K3664" s="10" t="s">
        <v>1113</v>
      </c>
      <c r="L3664" s="8" t="s">
        <v>58</v>
      </c>
      <c r="M3664" s="8" t="s">
        <v>35</v>
      </c>
      <c r="N3664" s="11">
        <v>45248.0</v>
      </c>
      <c r="O3664" s="11">
        <v>45474.0</v>
      </c>
      <c r="P3664" s="11">
        <v>45516.0</v>
      </c>
      <c r="Q3664" s="11"/>
      <c r="R3664" s="11"/>
      <c r="S3664" s="12"/>
      <c r="T3664" s="8"/>
      <c r="U3664" s="8" t="s">
        <v>59</v>
      </c>
      <c r="V3664" s="13" t="s">
        <v>159</v>
      </c>
      <c r="W3664" s="13" t="s">
        <v>17057</v>
      </c>
      <c r="X3664" s="12"/>
      <c r="Y3664" s="14"/>
      <c r="Z3664" s="14"/>
    </row>
    <row r="3665">
      <c r="A3665" s="8" t="s">
        <v>17058</v>
      </c>
      <c r="B3665" s="8" t="s">
        <v>17059</v>
      </c>
      <c r="C3665" s="8" t="s">
        <v>179</v>
      </c>
      <c r="D3665" s="8" t="s">
        <v>26</v>
      </c>
      <c r="E3665" s="8" t="s">
        <v>17060</v>
      </c>
      <c r="F3665" s="8">
        <v>1.006096936E9</v>
      </c>
      <c r="G3665" s="8" t="s">
        <v>284</v>
      </c>
      <c r="H3665" s="8" t="s">
        <v>5202</v>
      </c>
      <c r="I3665" s="8" t="s">
        <v>31</v>
      </c>
      <c r="J3665" s="8" t="s">
        <v>66</v>
      </c>
      <c r="K3665" s="10" t="s">
        <v>6397</v>
      </c>
      <c r="L3665" s="8" t="s">
        <v>58</v>
      </c>
      <c r="M3665" s="8" t="s">
        <v>35</v>
      </c>
      <c r="N3665" s="11">
        <v>45248.0</v>
      </c>
      <c r="O3665" s="11">
        <v>45509.0</v>
      </c>
      <c r="P3665" s="11">
        <v>45551.0</v>
      </c>
      <c r="Q3665" s="11"/>
      <c r="R3665" s="11"/>
      <c r="S3665" s="12"/>
      <c r="T3665" s="8"/>
      <c r="U3665" s="8" t="s">
        <v>88</v>
      </c>
      <c r="V3665" s="13" t="s">
        <v>5669</v>
      </c>
      <c r="W3665" s="13" t="s">
        <v>17061</v>
      </c>
      <c r="X3665" s="12"/>
      <c r="Y3665" s="14"/>
      <c r="Z3665" s="14"/>
    </row>
    <row r="3666">
      <c r="A3666" s="8" t="s">
        <v>17062</v>
      </c>
      <c r="B3666" s="8" t="s">
        <v>17063</v>
      </c>
      <c r="C3666" s="8" t="s">
        <v>179</v>
      </c>
      <c r="D3666" s="8" t="s">
        <v>26</v>
      </c>
      <c r="E3666" s="8" t="s">
        <v>17064</v>
      </c>
      <c r="F3666" s="8">
        <v>1.141847066E9</v>
      </c>
      <c r="G3666" s="8" t="s">
        <v>284</v>
      </c>
      <c r="H3666" s="8" t="s">
        <v>5202</v>
      </c>
      <c r="I3666" s="8" t="s">
        <v>31</v>
      </c>
      <c r="J3666" s="8" t="s">
        <v>66</v>
      </c>
      <c r="K3666" s="10" t="s">
        <v>6397</v>
      </c>
      <c r="L3666" s="8" t="s">
        <v>58</v>
      </c>
      <c r="M3666" s="8" t="s">
        <v>35</v>
      </c>
      <c r="N3666" s="11">
        <v>45248.0</v>
      </c>
      <c r="O3666" s="11">
        <v>45509.0</v>
      </c>
      <c r="P3666" s="11">
        <v>45551.0</v>
      </c>
      <c r="Q3666" s="11"/>
      <c r="R3666" s="11"/>
      <c r="S3666" s="12"/>
      <c r="T3666" s="8"/>
      <c r="U3666" s="8" t="s">
        <v>88</v>
      </c>
      <c r="V3666" s="13" t="s">
        <v>5669</v>
      </c>
      <c r="W3666" s="13" t="s">
        <v>17065</v>
      </c>
      <c r="X3666" s="12"/>
      <c r="Y3666" s="14"/>
      <c r="Z3666" s="14"/>
    </row>
    <row r="3667">
      <c r="A3667" s="8" t="s">
        <v>17066</v>
      </c>
      <c r="B3667" s="8" t="s">
        <v>17067</v>
      </c>
      <c r="C3667" s="8" t="s">
        <v>179</v>
      </c>
      <c r="D3667" s="8" t="s">
        <v>26</v>
      </c>
      <c r="E3667" s="8" t="s">
        <v>17068</v>
      </c>
      <c r="F3667" s="8">
        <v>1.030946796E9</v>
      </c>
      <c r="G3667" s="8" t="s">
        <v>284</v>
      </c>
      <c r="H3667" s="8" t="s">
        <v>5202</v>
      </c>
      <c r="I3667" s="8" t="s">
        <v>31</v>
      </c>
      <c r="J3667" s="8" t="s">
        <v>66</v>
      </c>
      <c r="K3667" s="10" t="s">
        <v>6397</v>
      </c>
      <c r="L3667" s="8" t="s">
        <v>58</v>
      </c>
      <c r="M3667" s="8" t="s">
        <v>35</v>
      </c>
      <c r="N3667" s="11">
        <v>45248.0</v>
      </c>
      <c r="O3667" s="11">
        <v>45509.0</v>
      </c>
      <c r="P3667" s="11">
        <v>45551.0</v>
      </c>
      <c r="Q3667" s="11"/>
      <c r="R3667" s="11"/>
      <c r="S3667" s="12"/>
      <c r="T3667" s="8"/>
      <c r="U3667" s="8" t="s">
        <v>88</v>
      </c>
      <c r="V3667" s="13" t="s">
        <v>5669</v>
      </c>
      <c r="W3667" s="13" t="s">
        <v>17069</v>
      </c>
      <c r="X3667" s="12"/>
      <c r="Y3667" s="14"/>
      <c r="Z3667" s="14"/>
    </row>
    <row r="3668">
      <c r="A3668" s="8" t="s">
        <v>17070</v>
      </c>
      <c r="B3668" s="8" t="s">
        <v>17071</v>
      </c>
      <c r="C3668" s="8" t="s">
        <v>179</v>
      </c>
      <c r="D3668" s="8" t="s">
        <v>26</v>
      </c>
      <c r="E3668" s="8" t="s">
        <v>17072</v>
      </c>
      <c r="F3668" s="8">
        <v>1.112589195E9</v>
      </c>
      <c r="G3668" s="8" t="s">
        <v>284</v>
      </c>
      <c r="H3668" s="8" t="s">
        <v>5202</v>
      </c>
      <c r="I3668" s="8" t="s">
        <v>31</v>
      </c>
      <c r="J3668" s="8" t="s">
        <v>66</v>
      </c>
      <c r="K3668" s="10" t="s">
        <v>6397</v>
      </c>
      <c r="L3668" s="8" t="s">
        <v>58</v>
      </c>
      <c r="M3668" s="8" t="s">
        <v>35</v>
      </c>
      <c r="N3668" s="11">
        <v>45248.0</v>
      </c>
      <c r="O3668" s="11">
        <v>45509.0</v>
      </c>
      <c r="P3668" s="11">
        <v>45551.0</v>
      </c>
      <c r="Q3668" s="11"/>
      <c r="R3668" s="11"/>
      <c r="S3668" s="12"/>
      <c r="T3668" s="8"/>
      <c r="U3668" s="8" t="s">
        <v>88</v>
      </c>
      <c r="V3668" s="13" t="s">
        <v>5669</v>
      </c>
      <c r="W3668" s="13" t="s">
        <v>17073</v>
      </c>
      <c r="X3668" s="12"/>
      <c r="Y3668" s="14"/>
      <c r="Z3668" s="14"/>
    </row>
    <row r="3669">
      <c r="A3669" s="8" t="s">
        <v>17074</v>
      </c>
      <c r="B3669" s="8" t="s">
        <v>17075</v>
      </c>
      <c r="C3669" s="8" t="s">
        <v>179</v>
      </c>
      <c r="D3669" s="8" t="s">
        <v>26</v>
      </c>
      <c r="E3669" s="8" t="s">
        <v>17076</v>
      </c>
      <c r="F3669" s="8">
        <v>9.32431224E8</v>
      </c>
      <c r="G3669" s="8" t="s">
        <v>1620</v>
      </c>
      <c r="H3669" s="8" t="s">
        <v>5244</v>
      </c>
      <c r="I3669" s="8" t="s">
        <v>31</v>
      </c>
      <c r="J3669" s="8" t="s">
        <v>56</v>
      </c>
      <c r="K3669" s="10" t="s">
        <v>12274</v>
      </c>
      <c r="L3669" s="8" t="s">
        <v>58</v>
      </c>
      <c r="M3669" s="8" t="s">
        <v>35</v>
      </c>
      <c r="N3669" s="11">
        <v>45248.0</v>
      </c>
      <c r="O3669" s="11">
        <v>45397.0</v>
      </c>
      <c r="P3669" s="11">
        <v>45439.0</v>
      </c>
      <c r="Q3669" s="11"/>
      <c r="R3669" s="11"/>
      <c r="S3669" s="12"/>
      <c r="T3669" s="8"/>
      <c r="U3669" s="8" t="s">
        <v>161</v>
      </c>
      <c r="V3669" s="13" t="s">
        <v>4256</v>
      </c>
      <c r="W3669" s="13" t="s">
        <v>17077</v>
      </c>
      <c r="X3669" s="12"/>
      <c r="Y3669" s="14"/>
      <c r="Z3669" s="14"/>
    </row>
    <row r="3670">
      <c r="A3670" s="8" t="s">
        <v>17078</v>
      </c>
      <c r="B3670" s="8" t="s">
        <v>17079</v>
      </c>
      <c r="C3670" s="8" t="s">
        <v>179</v>
      </c>
      <c r="D3670" s="8" t="s">
        <v>26</v>
      </c>
      <c r="E3670" s="8" t="s">
        <v>17080</v>
      </c>
      <c r="F3670" s="8">
        <v>5.14912732E8</v>
      </c>
      <c r="G3670" s="8" t="s">
        <v>277</v>
      </c>
      <c r="H3670" s="8" t="s">
        <v>697</v>
      </c>
      <c r="I3670" s="8" t="s">
        <v>31</v>
      </c>
      <c r="J3670" s="8" t="s">
        <v>86</v>
      </c>
      <c r="K3670" s="10" t="s">
        <v>2453</v>
      </c>
      <c r="L3670" s="8" t="s">
        <v>58</v>
      </c>
      <c r="M3670" s="8" t="s">
        <v>35</v>
      </c>
      <c r="N3670" s="11">
        <v>45248.0</v>
      </c>
      <c r="O3670" s="11">
        <v>45444.0</v>
      </c>
      <c r="P3670" s="11">
        <v>45486.0</v>
      </c>
      <c r="Q3670" s="11"/>
      <c r="R3670" s="11"/>
      <c r="S3670" s="12"/>
      <c r="T3670" s="8"/>
      <c r="U3670" s="8" t="s">
        <v>59</v>
      </c>
      <c r="V3670" s="13" t="s">
        <v>5077</v>
      </c>
      <c r="W3670" s="13" t="s">
        <v>17081</v>
      </c>
      <c r="X3670" s="12"/>
      <c r="Y3670" s="14"/>
      <c r="Z3670" s="14"/>
    </row>
    <row r="3671">
      <c r="A3671" s="8" t="s">
        <v>17082</v>
      </c>
      <c r="B3671" s="8" t="s">
        <v>17083</v>
      </c>
      <c r="C3671" s="8" t="s">
        <v>179</v>
      </c>
      <c r="D3671" s="8" t="s">
        <v>26</v>
      </c>
      <c r="E3671" s="8" t="s">
        <v>17084</v>
      </c>
      <c r="F3671" s="8"/>
      <c r="G3671" s="8" t="s">
        <v>277</v>
      </c>
      <c r="H3671" s="8" t="s">
        <v>697</v>
      </c>
      <c r="I3671" s="8" t="s">
        <v>31</v>
      </c>
      <c r="J3671" s="8" t="s">
        <v>86</v>
      </c>
      <c r="K3671" s="10" t="s">
        <v>2453</v>
      </c>
      <c r="L3671" s="8" t="s">
        <v>58</v>
      </c>
      <c r="M3671" s="8" t="s">
        <v>35</v>
      </c>
      <c r="N3671" s="11">
        <v>45248.0</v>
      </c>
      <c r="O3671" s="11">
        <v>45444.0</v>
      </c>
      <c r="P3671" s="11">
        <v>45486.0</v>
      </c>
      <c r="Q3671" s="11"/>
      <c r="R3671" s="11"/>
      <c r="S3671" s="12"/>
      <c r="T3671" s="8"/>
      <c r="U3671" s="8" t="s">
        <v>59</v>
      </c>
      <c r="V3671" s="13" t="s">
        <v>38</v>
      </c>
      <c r="W3671" s="13" t="s">
        <v>17085</v>
      </c>
      <c r="X3671" s="12"/>
      <c r="Y3671" s="14"/>
      <c r="Z3671" s="14"/>
    </row>
    <row r="3672">
      <c r="A3672" s="8" t="s">
        <v>17086</v>
      </c>
      <c r="B3672" s="8" t="s">
        <v>17087</v>
      </c>
      <c r="C3672" s="8" t="s">
        <v>179</v>
      </c>
      <c r="D3672" s="8" t="s">
        <v>26</v>
      </c>
      <c r="E3672" s="8" t="s">
        <v>17088</v>
      </c>
      <c r="F3672" s="8"/>
      <c r="G3672" s="8" t="s">
        <v>1620</v>
      </c>
      <c r="H3672" s="8" t="s">
        <v>3655</v>
      </c>
      <c r="I3672" s="8" t="s">
        <v>31</v>
      </c>
      <c r="J3672" s="8" t="s">
        <v>43</v>
      </c>
      <c r="K3672" s="10" t="s">
        <v>2922</v>
      </c>
      <c r="L3672" s="8" t="s">
        <v>58</v>
      </c>
      <c r="M3672" s="8" t="s">
        <v>35</v>
      </c>
      <c r="N3672" s="11">
        <v>45248.0</v>
      </c>
      <c r="O3672" s="11">
        <v>45474.0</v>
      </c>
      <c r="P3672" s="11">
        <v>45516.0</v>
      </c>
      <c r="Q3672" s="11"/>
      <c r="R3672" s="11"/>
      <c r="S3672" s="12"/>
      <c r="T3672" s="8"/>
      <c r="U3672" s="8" t="s">
        <v>59</v>
      </c>
      <c r="V3672" s="13" t="s">
        <v>3656</v>
      </c>
      <c r="W3672" s="13" t="s">
        <v>17089</v>
      </c>
      <c r="X3672" s="12"/>
      <c r="Y3672" s="14"/>
      <c r="Z3672" s="14"/>
    </row>
    <row r="3673">
      <c r="A3673" s="8" t="s">
        <v>17090</v>
      </c>
      <c r="B3673" s="8" t="s">
        <v>17091</v>
      </c>
      <c r="C3673" s="8" t="s">
        <v>179</v>
      </c>
      <c r="D3673" s="8" t="s">
        <v>26</v>
      </c>
      <c r="E3673" s="8" t="s">
        <v>17092</v>
      </c>
      <c r="F3673" s="8"/>
      <c r="G3673" s="8" t="s">
        <v>31</v>
      </c>
      <c r="H3673" s="8" t="s">
        <v>111</v>
      </c>
      <c r="I3673" s="8" t="s">
        <v>44</v>
      </c>
      <c r="J3673" s="8" t="s">
        <v>45</v>
      </c>
      <c r="K3673" s="10" t="s">
        <v>17093</v>
      </c>
      <c r="L3673" s="8" t="s">
        <v>58</v>
      </c>
      <c r="M3673" s="8" t="s">
        <v>35</v>
      </c>
      <c r="N3673" s="11">
        <v>45248.0</v>
      </c>
      <c r="O3673" s="11">
        <v>45475.0</v>
      </c>
      <c r="P3673" s="11">
        <v>45517.0</v>
      </c>
      <c r="Q3673" s="11"/>
      <c r="R3673" s="11"/>
      <c r="S3673" s="12"/>
      <c r="T3673" s="8"/>
      <c r="U3673" s="8" t="s">
        <v>59</v>
      </c>
      <c r="V3673" s="13" t="s">
        <v>38</v>
      </c>
      <c r="W3673" s="13" t="s">
        <v>17094</v>
      </c>
      <c r="X3673" s="12"/>
      <c r="Y3673" s="14"/>
      <c r="Z3673" s="14"/>
    </row>
    <row r="3674">
      <c r="A3674" s="8" t="s">
        <v>17095</v>
      </c>
      <c r="B3674" s="8" t="s">
        <v>17096</v>
      </c>
      <c r="C3674" s="8" t="s">
        <v>179</v>
      </c>
      <c r="D3674" s="8" t="s">
        <v>26</v>
      </c>
      <c r="E3674" s="8" t="s">
        <v>17097</v>
      </c>
      <c r="F3674" s="8">
        <v>2.1787121E7</v>
      </c>
      <c r="G3674" s="8" t="s">
        <v>54</v>
      </c>
      <c r="H3674" s="8" t="s">
        <v>76</v>
      </c>
      <c r="I3674" s="8" t="s">
        <v>31</v>
      </c>
      <c r="J3674" s="8" t="s">
        <v>86</v>
      </c>
      <c r="K3674" s="10" t="s">
        <v>87</v>
      </c>
      <c r="L3674" s="8" t="s">
        <v>58</v>
      </c>
      <c r="M3674" s="8" t="s">
        <v>35</v>
      </c>
      <c r="N3674" s="11">
        <v>45248.0</v>
      </c>
      <c r="O3674" s="11">
        <v>45488.0</v>
      </c>
      <c r="P3674" s="11">
        <v>45530.0</v>
      </c>
      <c r="Q3674" s="11"/>
      <c r="R3674" s="11"/>
      <c r="S3674" s="12"/>
      <c r="T3674" s="8"/>
      <c r="U3674" s="8" t="s">
        <v>88</v>
      </c>
      <c r="V3674" s="13" t="s">
        <v>3496</v>
      </c>
      <c r="W3674" s="13" t="s">
        <v>17098</v>
      </c>
      <c r="X3674" s="12"/>
      <c r="Y3674" s="14"/>
      <c r="Z3674" s="14"/>
    </row>
    <row r="3675">
      <c r="A3675" s="8" t="s">
        <v>17099</v>
      </c>
      <c r="B3675" s="8" t="s">
        <v>17100</v>
      </c>
      <c r="C3675" s="8" t="s">
        <v>179</v>
      </c>
      <c r="D3675" s="8" t="s">
        <v>26</v>
      </c>
      <c r="E3675" s="8" t="s">
        <v>17101</v>
      </c>
      <c r="F3675" s="8">
        <v>5.8410343E7</v>
      </c>
      <c r="G3675" s="8" t="s">
        <v>54</v>
      </c>
      <c r="H3675" s="8" t="s">
        <v>76</v>
      </c>
      <c r="I3675" s="8" t="s">
        <v>31</v>
      </c>
      <c r="J3675" s="8" t="s">
        <v>86</v>
      </c>
      <c r="K3675" s="10" t="s">
        <v>87</v>
      </c>
      <c r="L3675" s="8" t="s">
        <v>58</v>
      </c>
      <c r="M3675" s="8" t="s">
        <v>35</v>
      </c>
      <c r="N3675" s="11">
        <v>45248.0</v>
      </c>
      <c r="O3675" s="11">
        <v>45488.0</v>
      </c>
      <c r="P3675" s="11">
        <v>45530.0</v>
      </c>
      <c r="Q3675" s="11"/>
      <c r="R3675" s="11"/>
      <c r="S3675" s="12"/>
      <c r="T3675" s="8"/>
      <c r="U3675" s="8" t="s">
        <v>88</v>
      </c>
      <c r="V3675" s="13" t="s">
        <v>3496</v>
      </c>
      <c r="W3675" s="13" t="s">
        <v>17102</v>
      </c>
      <c r="X3675" s="12"/>
      <c r="Y3675" s="14"/>
      <c r="Z3675" s="14"/>
    </row>
    <row r="3676">
      <c r="A3676" s="8" t="s">
        <v>17103</v>
      </c>
      <c r="B3676" s="8" t="s">
        <v>17104</v>
      </c>
      <c r="C3676" s="8" t="s">
        <v>179</v>
      </c>
      <c r="D3676" s="8" t="s">
        <v>26</v>
      </c>
      <c r="E3676" s="8" t="s">
        <v>17105</v>
      </c>
      <c r="F3676" s="8">
        <v>9.3053245E7</v>
      </c>
      <c r="G3676" s="8" t="s">
        <v>54</v>
      </c>
      <c r="H3676" s="8" t="s">
        <v>377</v>
      </c>
      <c r="I3676" s="8" t="s">
        <v>31</v>
      </c>
      <c r="J3676" s="8" t="s">
        <v>1274</v>
      </c>
      <c r="K3676" s="10" t="s">
        <v>16604</v>
      </c>
      <c r="L3676" s="8" t="s">
        <v>58</v>
      </c>
      <c r="M3676" s="8" t="s">
        <v>35</v>
      </c>
      <c r="N3676" s="11">
        <v>45248.0</v>
      </c>
      <c r="O3676" s="11">
        <v>45446.0</v>
      </c>
      <c r="P3676" s="11">
        <v>45488.0</v>
      </c>
      <c r="Q3676" s="11"/>
      <c r="R3676" s="11"/>
      <c r="S3676" s="12"/>
      <c r="T3676" s="8"/>
      <c r="U3676" s="8" t="s">
        <v>185</v>
      </c>
      <c r="V3676" s="13" t="s">
        <v>13247</v>
      </c>
      <c r="W3676" s="13" t="s">
        <v>17106</v>
      </c>
      <c r="X3676" s="12"/>
      <c r="Y3676" s="14"/>
      <c r="Z3676" s="14"/>
    </row>
    <row r="3677">
      <c r="A3677" s="8" t="s">
        <v>17107</v>
      </c>
      <c r="B3677" s="8" t="s">
        <v>17108</v>
      </c>
      <c r="C3677" s="8" t="s">
        <v>179</v>
      </c>
      <c r="D3677" s="8" t="s">
        <v>26</v>
      </c>
      <c r="E3677" s="8" t="s">
        <v>17109</v>
      </c>
      <c r="F3677" s="8">
        <v>5.8130039E7</v>
      </c>
      <c r="G3677" s="8" t="s">
        <v>54</v>
      </c>
      <c r="H3677" s="8" t="s">
        <v>76</v>
      </c>
      <c r="I3677" s="8" t="s">
        <v>31</v>
      </c>
      <c r="J3677" s="8" t="s">
        <v>77</v>
      </c>
      <c r="K3677" s="10" t="s">
        <v>5712</v>
      </c>
      <c r="L3677" s="8" t="s">
        <v>58</v>
      </c>
      <c r="M3677" s="8" t="s">
        <v>35</v>
      </c>
      <c r="N3677" s="11">
        <v>45248.0</v>
      </c>
      <c r="O3677" s="11">
        <v>45488.0</v>
      </c>
      <c r="P3677" s="11">
        <v>45530.0</v>
      </c>
      <c r="Q3677" s="11"/>
      <c r="R3677" s="11"/>
      <c r="S3677" s="12"/>
      <c r="T3677" s="8"/>
      <c r="U3677" s="8" t="s">
        <v>59</v>
      </c>
      <c r="V3677" s="13" t="s">
        <v>324</v>
      </c>
      <c r="W3677" s="13" t="s">
        <v>17110</v>
      </c>
      <c r="X3677" s="12"/>
      <c r="Y3677" s="14"/>
      <c r="Z3677" s="14"/>
    </row>
    <row r="3678">
      <c r="A3678" s="8" t="s">
        <v>17111</v>
      </c>
      <c r="B3678" s="8" t="s">
        <v>17112</v>
      </c>
      <c r="C3678" s="8" t="s">
        <v>179</v>
      </c>
      <c r="D3678" s="8" t="s">
        <v>26</v>
      </c>
      <c r="E3678" s="8" t="s">
        <v>17113</v>
      </c>
      <c r="F3678" s="8"/>
      <c r="G3678" s="8" t="s">
        <v>818</v>
      </c>
      <c r="H3678" s="8" t="s">
        <v>14725</v>
      </c>
      <c r="I3678" s="8" t="s">
        <v>31</v>
      </c>
      <c r="J3678" s="8" t="s">
        <v>56</v>
      </c>
      <c r="K3678" s="10" t="s">
        <v>15125</v>
      </c>
      <c r="L3678" s="8" t="s">
        <v>58</v>
      </c>
      <c r="M3678" s="8" t="s">
        <v>35</v>
      </c>
      <c r="N3678" s="11">
        <v>45249.0</v>
      </c>
      <c r="O3678" s="11">
        <v>45327.0</v>
      </c>
      <c r="P3678" s="11">
        <v>45369.0</v>
      </c>
      <c r="Q3678" s="11"/>
      <c r="R3678" s="11"/>
      <c r="S3678" s="12"/>
      <c r="T3678" s="8"/>
      <c r="U3678" s="8" t="s">
        <v>59</v>
      </c>
      <c r="V3678" s="13" t="s">
        <v>38</v>
      </c>
      <c r="W3678" s="13" t="s">
        <v>17114</v>
      </c>
      <c r="X3678" s="12"/>
      <c r="Y3678" s="14"/>
      <c r="Z3678" s="14"/>
    </row>
    <row r="3679">
      <c r="A3679" s="8" t="s">
        <v>17115</v>
      </c>
      <c r="B3679" s="8" t="s">
        <v>14619</v>
      </c>
      <c r="C3679" s="8" t="s">
        <v>179</v>
      </c>
      <c r="D3679" s="8" t="s">
        <v>26</v>
      </c>
      <c r="E3679" s="8" t="s">
        <v>14620</v>
      </c>
      <c r="F3679" s="8">
        <v>8.657500601E9</v>
      </c>
      <c r="G3679" s="8" t="s">
        <v>44</v>
      </c>
      <c r="H3679" s="8" t="s">
        <v>741</v>
      </c>
      <c r="I3679" s="8" t="s">
        <v>31</v>
      </c>
      <c r="J3679" s="8" t="s">
        <v>43</v>
      </c>
      <c r="K3679" s="10" t="s">
        <v>12504</v>
      </c>
      <c r="L3679" s="8" t="s">
        <v>58</v>
      </c>
      <c r="M3679" s="8" t="s">
        <v>35</v>
      </c>
      <c r="N3679" s="11">
        <v>45249.0</v>
      </c>
      <c r="O3679" s="11">
        <v>45411.0</v>
      </c>
      <c r="P3679" s="11">
        <v>45457.0</v>
      </c>
      <c r="Q3679" s="11"/>
      <c r="R3679" s="11"/>
      <c r="S3679" s="12"/>
      <c r="T3679" s="8"/>
      <c r="U3679" s="8" t="s">
        <v>59</v>
      </c>
      <c r="V3679" s="13" t="s">
        <v>14621</v>
      </c>
      <c r="W3679" s="13" t="s">
        <v>14622</v>
      </c>
      <c r="X3679" s="12"/>
      <c r="Y3679" s="14"/>
      <c r="Z3679" s="14"/>
    </row>
    <row r="3680">
      <c r="A3680" s="8" t="s">
        <v>17116</v>
      </c>
      <c r="B3680" s="8" t="s">
        <v>17117</v>
      </c>
      <c r="C3680" s="8" t="s">
        <v>179</v>
      </c>
      <c r="D3680" s="8" t="s">
        <v>26</v>
      </c>
      <c r="E3680" s="8" t="s">
        <v>17118</v>
      </c>
      <c r="F3680" s="8">
        <v>9.73918571E8</v>
      </c>
      <c r="G3680" s="8" t="s">
        <v>12965</v>
      </c>
      <c r="H3680" s="8" t="s">
        <v>14927</v>
      </c>
      <c r="I3680" s="8" t="s">
        <v>31</v>
      </c>
      <c r="J3680" s="8" t="s">
        <v>86</v>
      </c>
      <c r="K3680" s="10" t="s">
        <v>2404</v>
      </c>
      <c r="L3680" s="8" t="s">
        <v>34</v>
      </c>
      <c r="M3680" s="8" t="s">
        <v>70</v>
      </c>
      <c r="N3680" s="11">
        <v>45249.0</v>
      </c>
      <c r="O3680" s="11">
        <v>45257.0</v>
      </c>
      <c r="P3680" s="11">
        <v>45625.0</v>
      </c>
      <c r="Q3680" s="11"/>
      <c r="R3680" s="11"/>
      <c r="S3680" s="12"/>
      <c r="T3680" s="8" t="s">
        <v>36</v>
      </c>
      <c r="U3680" s="8" t="s">
        <v>2405</v>
      </c>
      <c r="V3680" s="13" t="s">
        <v>14927</v>
      </c>
      <c r="W3680" s="13" t="s">
        <v>17119</v>
      </c>
      <c r="X3680" s="12"/>
      <c r="Y3680" s="14"/>
      <c r="Z3680" s="14"/>
    </row>
    <row r="3681">
      <c r="A3681" s="8" t="s">
        <v>17120</v>
      </c>
      <c r="B3681" s="8" t="s">
        <v>17121</v>
      </c>
      <c r="C3681" s="8" t="s">
        <v>179</v>
      </c>
      <c r="D3681" s="8" t="s">
        <v>26</v>
      </c>
      <c r="E3681" s="8" t="s">
        <v>17122</v>
      </c>
      <c r="F3681" s="8"/>
      <c r="G3681" s="8" t="s">
        <v>127</v>
      </c>
      <c r="H3681" s="8" t="s">
        <v>128</v>
      </c>
      <c r="I3681" s="8" t="s">
        <v>31</v>
      </c>
      <c r="J3681" s="8" t="s">
        <v>56</v>
      </c>
      <c r="K3681" s="10" t="s">
        <v>15125</v>
      </c>
      <c r="L3681" s="8" t="s">
        <v>58</v>
      </c>
      <c r="M3681" s="8" t="s">
        <v>35</v>
      </c>
      <c r="N3681" s="11">
        <v>45249.0</v>
      </c>
      <c r="O3681" s="11">
        <v>45495.0</v>
      </c>
      <c r="P3681" s="11">
        <v>45537.0</v>
      </c>
      <c r="Q3681" s="11"/>
      <c r="R3681" s="11"/>
      <c r="S3681" s="12"/>
      <c r="T3681" s="8"/>
      <c r="U3681" s="8" t="s">
        <v>59</v>
      </c>
      <c r="V3681" s="13" t="s">
        <v>38</v>
      </c>
      <c r="W3681" s="13" t="s">
        <v>17123</v>
      </c>
      <c r="X3681" s="12"/>
      <c r="Y3681" s="14"/>
      <c r="Z3681" s="14"/>
    </row>
    <row r="3682">
      <c r="A3682" s="8" t="s">
        <v>17124</v>
      </c>
      <c r="B3682" s="8" t="s">
        <v>17125</v>
      </c>
      <c r="C3682" s="8" t="s">
        <v>179</v>
      </c>
      <c r="D3682" s="8" t="s">
        <v>26</v>
      </c>
      <c r="E3682" s="8" t="s">
        <v>17126</v>
      </c>
      <c r="F3682" s="8"/>
      <c r="G3682" s="8" t="s">
        <v>54</v>
      </c>
      <c r="H3682" s="8" t="s">
        <v>430</v>
      </c>
      <c r="I3682" s="8" t="s">
        <v>31</v>
      </c>
      <c r="J3682" s="8" t="s">
        <v>102</v>
      </c>
      <c r="K3682" s="10" t="s">
        <v>1113</v>
      </c>
      <c r="L3682" s="8" t="s">
        <v>58</v>
      </c>
      <c r="M3682" s="8" t="s">
        <v>35</v>
      </c>
      <c r="N3682" s="11">
        <v>45250.0</v>
      </c>
      <c r="O3682" s="11">
        <v>45425.0</v>
      </c>
      <c r="P3682" s="11">
        <v>45467.0</v>
      </c>
      <c r="Q3682" s="11"/>
      <c r="R3682" s="11"/>
      <c r="S3682" s="12"/>
      <c r="T3682" s="8"/>
      <c r="U3682" s="8" t="s">
        <v>59</v>
      </c>
      <c r="V3682" s="13" t="s">
        <v>38</v>
      </c>
      <c r="W3682" s="13" t="s">
        <v>17127</v>
      </c>
      <c r="X3682" s="12"/>
      <c r="Y3682" s="14"/>
      <c r="Z3682" s="14"/>
    </row>
    <row r="3683">
      <c r="A3683" s="8" t="s">
        <v>17128</v>
      </c>
      <c r="B3683" s="8" t="s">
        <v>17129</v>
      </c>
      <c r="C3683" s="8" t="s">
        <v>179</v>
      </c>
      <c r="D3683" s="8" t="s">
        <v>26</v>
      </c>
      <c r="E3683" s="8" t="s">
        <v>17130</v>
      </c>
      <c r="F3683" s="8">
        <v>5.393079136E9</v>
      </c>
      <c r="G3683" s="8" t="s">
        <v>31</v>
      </c>
      <c r="H3683" s="8" t="s">
        <v>111</v>
      </c>
      <c r="I3683" s="8" t="s">
        <v>127</v>
      </c>
      <c r="J3683" s="8" t="s">
        <v>128</v>
      </c>
      <c r="K3683" s="10" t="s">
        <v>17131</v>
      </c>
      <c r="L3683" s="8" t="s">
        <v>58</v>
      </c>
      <c r="M3683" s="8" t="s">
        <v>35</v>
      </c>
      <c r="N3683" s="11">
        <v>45250.0</v>
      </c>
      <c r="O3683" s="11">
        <v>45481.0</v>
      </c>
      <c r="P3683" s="11">
        <v>45523.0</v>
      </c>
      <c r="Q3683" s="11"/>
      <c r="R3683" s="11"/>
      <c r="S3683" s="12"/>
      <c r="T3683" s="8"/>
      <c r="U3683" s="8" t="s">
        <v>59</v>
      </c>
      <c r="V3683" s="13" t="s">
        <v>111</v>
      </c>
      <c r="W3683" s="13" t="s">
        <v>17132</v>
      </c>
      <c r="X3683" s="12"/>
      <c r="Y3683" s="14"/>
      <c r="Z3683" s="14"/>
    </row>
    <row r="3684">
      <c r="A3684" s="8" t="s">
        <v>17133</v>
      </c>
      <c r="B3684" s="8" t="s">
        <v>17134</v>
      </c>
      <c r="C3684" s="8" t="s">
        <v>179</v>
      </c>
      <c r="D3684" s="8" t="s">
        <v>26</v>
      </c>
      <c r="E3684" s="8" t="s">
        <v>17135</v>
      </c>
      <c r="F3684" s="8">
        <v>5.054964679E9</v>
      </c>
      <c r="G3684" s="8" t="s">
        <v>31</v>
      </c>
      <c r="H3684" s="8" t="s">
        <v>77</v>
      </c>
      <c r="I3684" s="8" t="s">
        <v>44</v>
      </c>
      <c r="J3684" s="8" t="s">
        <v>990</v>
      </c>
      <c r="K3684" s="10" t="s">
        <v>1043</v>
      </c>
      <c r="L3684" s="8" t="s">
        <v>34</v>
      </c>
      <c r="M3684" s="8" t="s">
        <v>70</v>
      </c>
      <c r="N3684" s="11">
        <v>45250.0</v>
      </c>
      <c r="O3684" s="11">
        <v>45383.0</v>
      </c>
      <c r="P3684" s="11">
        <v>45777.0</v>
      </c>
      <c r="Q3684" s="11"/>
      <c r="R3684" s="11"/>
      <c r="S3684" s="12"/>
      <c r="T3684" s="8" t="s">
        <v>205</v>
      </c>
      <c r="U3684" s="8" t="s">
        <v>1044</v>
      </c>
      <c r="V3684" s="13" t="s">
        <v>77</v>
      </c>
      <c r="W3684" s="13" t="s">
        <v>17136</v>
      </c>
      <c r="X3684" s="12"/>
      <c r="Y3684" s="14"/>
      <c r="Z3684" s="14"/>
    </row>
    <row r="3685">
      <c r="A3685" s="8" t="s">
        <v>17137</v>
      </c>
      <c r="B3685" s="8" t="s">
        <v>17138</v>
      </c>
      <c r="C3685" s="8" t="s">
        <v>179</v>
      </c>
      <c r="D3685" s="8" t="s">
        <v>26</v>
      </c>
      <c r="E3685" s="8" t="s">
        <v>17139</v>
      </c>
      <c r="F3685" s="8">
        <v>6.81465558E8</v>
      </c>
      <c r="G3685" s="8" t="s">
        <v>1620</v>
      </c>
      <c r="H3685" s="8" t="s">
        <v>12004</v>
      </c>
      <c r="I3685" s="8" t="s">
        <v>31</v>
      </c>
      <c r="J3685" s="8" t="s">
        <v>56</v>
      </c>
      <c r="K3685" s="10" t="s">
        <v>12274</v>
      </c>
      <c r="L3685" s="8" t="s">
        <v>58</v>
      </c>
      <c r="M3685" s="8" t="s">
        <v>35</v>
      </c>
      <c r="N3685" s="11">
        <v>45250.0</v>
      </c>
      <c r="O3685" s="11">
        <v>45397.0</v>
      </c>
      <c r="P3685" s="11">
        <v>45439.0</v>
      </c>
      <c r="Q3685" s="11"/>
      <c r="R3685" s="11"/>
      <c r="S3685" s="12"/>
      <c r="T3685" s="8"/>
      <c r="U3685" s="8" t="s">
        <v>161</v>
      </c>
      <c r="V3685" s="13" t="s">
        <v>5939</v>
      </c>
      <c r="W3685" s="13" t="s">
        <v>17140</v>
      </c>
      <c r="X3685" s="12"/>
      <c r="Y3685" s="14"/>
      <c r="Z3685" s="14"/>
    </row>
    <row r="3686">
      <c r="A3686" s="8" t="s">
        <v>17141</v>
      </c>
      <c r="B3686" s="8" t="s">
        <v>6713</v>
      </c>
      <c r="C3686" s="8" t="s">
        <v>179</v>
      </c>
      <c r="D3686" s="8" t="s">
        <v>26</v>
      </c>
      <c r="E3686" s="8" t="s">
        <v>16310</v>
      </c>
      <c r="F3686" s="8">
        <v>5.542664573E9</v>
      </c>
      <c r="G3686" s="8" t="s">
        <v>31</v>
      </c>
      <c r="H3686" s="8" t="s">
        <v>66</v>
      </c>
      <c r="I3686" s="8" t="s">
        <v>127</v>
      </c>
      <c r="J3686" s="8" t="s">
        <v>2182</v>
      </c>
      <c r="K3686" s="10" t="s">
        <v>17142</v>
      </c>
      <c r="L3686" s="8" t="s">
        <v>58</v>
      </c>
      <c r="M3686" s="8" t="s">
        <v>35</v>
      </c>
      <c r="N3686" s="11">
        <v>45250.0</v>
      </c>
      <c r="O3686" s="11">
        <v>45318.0</v>
      </c>
      <c r="P3686" s="11">
        <v>45360.0</v>
      </c>
      <c r="Q3686" s="11"/>
      <c r="R3686" s="11"/>
      <c r="S3686" s="12"/>
      <c r="T3686" s="8"/>
      <c r="U3686" s="8" t="s">
        <v>1956</v>
      </c>
      <c r="V3686" s="13" t="s">
        <v>38</v>
      </c>
      <c r="W3686" s="13" t="s">
        <v>16311</v>
      </c>
      <c r="X3686" s="12"/>
      <c r="Y3686" s="14"/>
      <c r="Z3686" s="14"/>
    </row>
    <row r="3687">
      <c r="A3687" s="8" t="s">
        <v>17143</v>
      </c>
      <c r="B3687" s="8" t="s">
        <v>17144</v>
      </c>
      <c r="C3687" s="8" t="s">
        <v>179</v>
      </c>
      <c r="D3687" s="8" t="s">
        <v>26</v>
      </c>
      <c r="E3687" s="8" t="s">
        <v>17145</v>
      </c>
      <c r="F3687" s="8">
        <v>5.416572401E9</v>
      </c>
      <c r="G3687" s="8" t="s">
        <v>31</v>
      </c>
      <c r="H3687" s="8" t="s">
        <v>86</v>
      </c>
      <c r="I3687" s="8" t="s">
        <v>284</v>
      </c>
      <c r="J3687" s="8" t="s">
        <v>793</v>
      </c>
      <c r="K3687" s="10" t="s">
        <v>17146</v>
      </c>
      <c r="L3687" s="8" t="s">
        <v>58</v>
      </c>
      <c r="M3687" s="8" t="s">
        <v>35</v>
      </c>
      <c r="N3687" s="11">
        <v>45250.0</v>
      </c>
      <c r="O3687" s="11">
        <v>45474.0</v>
      </c>
      <c r="P3687" s="11">
        <v>45516.0</v>
      </c>
      <c r="Q3687" s="11"/>
      <c r="R3687" s="11"/>
      <c r="S3687" s="12"/>
      <c r="T3687" s="8"/>
      <c r="U3687" s="8" t="s">
        <v>339</v>
      </c>
      <c r="V3687" s="13" t="s">
        <v>175</v>
      </c>
      <c r="W3687" s="13" t="s">
        <v>17147</v>
      </c>
      <c r="X3687" s="12"/>
      <c r="Y3687" s="14"/>
      <c r="Z3687" s="14"/>
    </row>
    <row r="3688">
      <c r="A3688" s="8" t="s">
        <v>17148</v>
      </c>
      <c r="B3688" s="8" t="s">
        <v>17149</v>
      </c>
      <c r="C3688" s="8" t="s">
        <v>179</v>
      </c>
      <c r="D3688" s="8" t="s">
        <v>26</v>
      </c>
      <c r="E3688" s="8" t="s">
        <v>17150</v>
      </c>
      <c r="F3688" s="8">
        <v>5.521320436E9</v>
      </c>
      <c r="G3688" s="8" t="s">
        <v>31</v>
      </c>
      <c r="H3688" s="8" t="s">
        <v>256</v>
      </c>
      <c r="I3688" s="8" t="s">
        <v>284</v>
      </c>
      <c r="J3688" s="8" t="s">
        <v>285</v>
      </c>
      <c r="K3688" s="10" t="s">
        <v>3841</v>
      </c>
      <c r="L3688" s="8" t="s">
        <v>58</v>
      </c>
      <c r="M3688" s="8" t="s">
        <v>35</v>
      </c>
      <c r="N3688" s="11">
        <v>45250.0</v>
      </c>
      <c r="O3688" s="11">
        <v>45474.0</v>
      </c>
      <c r="P3688" s="11">
        <v>45516.0</v>
      </c>
      <c r="Q3688" s="11"/>
      <c r="R3688" s="11"/>
      <c r="S3688" s="12"/>
      <c r="T3688" s="8"/>
      <c r="U3688" s="8" t="s">
        <v>1038</v>
      </c>
      <c r="V3688" s="13" t="s">
        <v>256</v>
      </c>
      <c r="W3688" s="13" t="s">
        <v>17151</v>
      </c>
      <c r="X3688" s="12"/>
      <c r="Y3688" s="14"/>
      <c r="Z3688" s="14"/>
    </row>
    <row r="3689">
      <c r="A3689" s="8" t="s">
        <v>17152</v>
      </c>
      <c r="B3689" s="8" t="s">
        <v>17153</v>
      </c>
      <c r="C3689" s="8" t="s">
        <v>179</v>
      </c>
      <c r="D3689" s="8" t="s">
        <v>26</v>
      </c>
      <c r="E3689" s="8" t="s">
        <v>17154</v>
      </c>
      <c r="F3689" s="8">
        <v>5.303926327E9</v>
      </c>
      <c r="G3689" s="8" t="s">
        <v>31</v>
      </c>
      <c r="H3689" s="8" t="s">
        <v>256</v>
      </c>
      <c r="I3689" s="8" t="s">
        <v>284</v>
      </c>
      <c r="J3689" s="8" t="s">
        <v>285</v>
      </c>
      <c r="K3689" s="10" t="s">
        <v>3841</v>
      </c>
      <c r="L3689" s="8" t="s">
        <v>58</v>
      </c>
      <c r="M3689" s="8" t="s">
        <v>35</v>
      </c>
      <c r="N3689" s="11">
        <v>45250.0</v>
      </c>
      <c r="O3689" s="11">
        <v>45474.0</v>
      </c>
      <c r="P3689" s="11">
        <v>45516.0</v>
      </c>
      <c r="Q3689" s="11"/>
      <c r="R3689" s="11"/>
      <c r="S3689" s="12"/>
      <c r="T3689" s="8"/>
      <c r="U3689" s="8" t="s">
        <v>1038</v>
      </c>
      <c r="V3689" s="13" t="s">
        <v>256</v>
      </c>
      <c r="W3689" s="13" t="s">
        <v>17155</v>
      </c>
      <c r="X3689" s="12"/>
      <c r="Y3689" s="14"/>
      <c r="Z3689" s="14"/>
    </row>
    <row r="3690">
      <c r="A3690" s="8" t="s">
        <v>17156</v>
      </c>
      <c r="B3690" s="8" t="s">
        <v>17157</v>
      </c>
      <c r="C3690" s="8" t="s">
        <v>179</v>
      </c>
      <c r="D3690" s="8" t="s">
        <v>26</v>
      </c>
      <c r="E3690" s="8" t="s">
        <v>17158</v>
      </c>
      <c r="F3690" s="8">
        <v>5.511365182E9</v>
      </c>
      <c r="G3690" s="8" t="s">
        <v>31</v>
      </c>
      <c r="H3690" s="8" t="s">
        <v>256</v>
      </c>
      <c r="I3690" s="8" t="s">
        <v>284</v>
      </c>
      <c r="J3690" s="8" t="s">
        <v>285</v>
      </c>
      <c r="K3690" s="10" t="s">
        <v>3841</v>
      </c>
      <c r="L3690" s="8" t="s">
        <v>58</v>
      </c>
      <c r="M3690" s="8" t="s">
        <v>35</v>
      </c>
      <c r="N3690" s="11">
        <v>45250.0</v>
      </c>
      <c r="O3690" s="11">
        <v>45474.0</v>
      </c>
      <c r="P3690" s="11">
        <v>45516.0</v>
      </c>
      <c r="Q3690" s="11"/>
      <c r="R3690" s="11"/>
      <c r="S3690" s="12"/>
      <c r="T3690" s="8"/>
      <c r="U3690" s="8" t="s">
        <v>1038</v>
      </c>
      <c r="V3690" s="13" t="s">
        <v>256</v>
      </c>
      <c r="W3690" s="13" t="s">
        <v>17159</v>
      </c>
      <c r="X3690" s="12"/>
      <c r="Y3690" s="14"/>
      <c r="Z3690" s="14"/>
    </row>
    <row r="3691">
      <c r="A3691" s="8" t="s">
        <v>17160</v>
      </c>
      <c r="B3691" s="8" t="s">
        <v>17161</v>
      </c>
      <c r="C3691" s="8" t="s">
        <v>179</v>
      </c>
      <c r="D3691" s="8" t="s">
        <v>26</v>
      </c>
      <c r="E3691" s="8" t="s">
        <v>17162</v>
      </c>
      <c r="F3691" s="8">
        <v>1.207664046E9</v>
      </c>
      <c r="G3691" s="8" t="s">
        <v>284</v>
      </c>
      <c r="H3691" s="8" t="s">
        <v>673</v>
      </c>
      <c r="I3691" s="8" t="s">
        <v>31</v>
      </c>
      <c r="J3691" s="8" t="s">
        <v>66</v>
      </c>
      <c r="K3691" s="10" t="s">
        <v>4068</v>
      </c>
      <c r="L3691" s="8" t="s">
        <v>47</v>
      </c>
      <c r="M3691" s="8" t="s">
        <v>70</v>
      </c>
      <c r="N3691" s="11">
        <v>45250.0</v>
      </c>
      <c r="O3691" s="11">
        <v>45292.0</v>
      </c>
      <c r="P3691" s="11">
        <v>45657.0</v>
      </c>
      <c r="Q3691" s="11"/>
      <c r="R3691" s="11"/>
      <c r="S3691" s="12"/>
      <c r="T3691" s="8"/>
      <c r="U3691" s="8" t="s">
        <v>4069</v>
      </c>
      <c r="V3691" s="13" t="s">
        <v>674</v>
      </c>
      <c r="W3691" s="13" t="s">
        <v>17163</v>
      </c>
      <c r="X3691" s="12"/>
      <c r="Y3691" s="14"/>
      <c r="Z3691" s="14"/>
    </row>
    <row r="3692">
      <c r="A3692" s="8" t="s">
        <v>17164</v>
      </c>
      <c r="B3692" s="8" t="s">
        <v>17165</v>
      </c>
      <c r="C3692" s="8" t="s">
        <v>179</v>
      </c>
      <c r="D3692" s="8" t="s">
        <v>26</v>
      </c>
      <c r="E3692" s="8" t="s">
        <v>17166</v>
      </c>
      <c r="F3692" s="8">
        <v>5.369464409E9</v>
      </c>
      <c r="G3692" s="8" t="s">
        <v>31</v>
      </c>
      <c r="H3692" s="8" t="s">
        <v>111</v>
      </c>
      <c r="I3692" s="8" t="s">
        <v>44</v>
      </c>
      <c r="J3692" s="8" t="s">
        <v>1993</v>
      </c>
      <c r="K3692" s="10" t="s">
        <v>17167</v>
      </c>
      <c r="L3692" s="8" t="s">
        <v>34</v>
      </c>
      <c r="M3692" s="8" t="s">
        <v>70</v>
      </c>
      <c r="N3692" s="11">
        <v>45250.0</v>
      </c>
      <c r="O3692" s="11">
        <v>45352.0</v>
      </c>
      <c r="P3692" s="11">
        <v>45596.0</v>
      </c>
      <c r="Q3692" s="11"/>
      <c r="R3692" s="11"/>
      <c r="S3692" s="12"/>
      <c r="T3692" s="8" t="s">
        <v>121</v>
      </c>
      <c r="U3692" s="8" t="s">
        <v>17168</v>
      </c>
      <c r="V3692" s="13" t="s">
        <v>111</v>
      </c>
      <c r="W3692" s="13" t="s">
        <v>17169</v>
      </c>
      <c r="X3692" s="12"/>
      <c r="Y3692" s="14"/>
      <c r="Z3692" s="14"/>
    </row>
    <row r="3693">
      <c r="A3693" s="8" t="s">
        <v>17170</v>
      </c>
      <c r="B3693" s="8" t="s">
        <v>17171</v>
      </c>
      <c r="C3693" s="8" t="s">
        <v>179</v>
      </c>
      <c r="D3693" s="8" t="s">
        <v>26</v>
      </c>
      <c r="E3693" s="8" t="s">
        <v>17172</v>
      </c>
      <c r="F3693" s="8">
        <v>5.14593936E8</v>
      </c>
      <c r="G3693" s="8" t="s">
        <v>277</v>
      </c>
      <c r="H3693" s="8" t="s">
        <v>607</v>
      </c>
      <c r="I3693" s="8" t="s">
        <v>31</v>
      </c>
      <c r="J3693" s="8" t="s">
        <v>86</v>
      </c>
      <c r="K3693" s="10" t="s">
        <v>3621</v>
      </c>
      <c r="L3693" s="8" t="s">
        <v>58</v>
      </c>
      <c r="M3693" s="8" t="s">
        <v>35</v>
      </c>
      <c r="N3693" s="11">
        <v>45250.0</v>
      </c>
      <c r="O3693" s="11">
        <v>45476.0</v>
      </c>
      <c r="P3693" s="11">
        <v>45518.0</v>
      </c>
      <c r="Q3693" s="11"/>
      <c r="R3693" s="11"/>
      <c r="S3693" s="12"/>
      <c r="T3693" s="8"/>
      <c r="U3693" s="8" t="s">
        <v>153</v>
      </c>
      <c r="V3693" s="13" t="s">
        <v>16399</v>
      </c>
      <c r="W3693" s="13" t="s">
        <v>17173</v>
      </c>
      <c r="X3693" s="12"/>
      <c r="Y3693" s="14"/>
      <c r="Z3693" s="14"/>
    </row>
    <row r="3694">
      <c r="A3694" s="8" t="s">
        <v>17174</v>
      </c>
      <c r="B3694" s="8" t="s">
        <v>17175</v>
      </c>
      <c r="C3694" s="8" t="s">
        <v>179</v>
      </c>
      <c r="D3694" s="8" t="s">
        <v>26</v>
      </c>
      <c r="E3694" s="8" t="s">
        <v>17176</v>
      </c>
      <c r="F3694" s="8">
        <v>5.452253364E9</v>
      </c>
      <c r="G3694" s="8" t="s">
        <v>31</v>
      </c>
      <c r="H3694" s="8" t="s">
        <v>43</v>
      </c>
      <c r="I3694" s="8" t="s">
        <v>284</v>
      </c>
      <c r="J3694" s="8" t="s">
        <v>1422</v>
      </c>
      <c r="K3694" s="10" t="s">
        <v>17177</v>
      </c>
      <c r="L3694" s="8" t="s">
        <v>58</v>
      </c>
      <c r="M3694" s="8" t="s">
        <v>35</v>
      </c>
      <c r="N3694" s="11">
        <v>45250.0</v>
      </c>
      <c r="O3694" s="11">
        <v>45444.0</v>
      </c>
      <c r="P3694" s="11">
        <v>45486.0</v>
      </c>
      <c r="Q3694" s="11"/>
      <c r="R3694" s="11"/>
      <c r="S3694" s="12"/>
      <c r="T3694" s="8"/>
      <c r="U3694" s="8" t="s">
        <v>59</v>
      </c>
      <c r="V3694" s="13" t="s">
        <v>43</v>
      </c>
      <c r="W3694" s="13" t="s">
        <v>17178</v>
      </c>
      <c r="X3694" s="12"/>
      <c r="Y3694" s="14"/>
      <c r="Z3694" s="14"/>
    </row>
    <row r="3695">
      <c r="A3695" s="8" t="s">
        <v>17179</v>
      </c>
      <c r="B3695" s="8" t="s">
        <v>17180</v>
      </c>
      <c r="C3695" s="8" t="s">
        <v>708</v>
      </c>
      <c r="D3695" s="8" t="s">
        <v>26</v>
      </c>
      <c r="E3695" s="8" t="s">
        <v>17181</v>
      </c>
      <c r="F3695" s="8">
        <v>5.34403828E9</v>
      </c>
      <c r="G3695" s="8" t="s">
        <v>31</v>
      </c>
      <c r="H3695" s="8" t="s">
        <v>86</v>
      </c>
      <c r="I3695" s="8" t="s">
        <v>284</v>
      </c>
      <c r="J3695" s="8" t="s">
        <v>1777</v>
      </c>
      <c r="K3695" s="10" t="s">
        <v>17182</v>
      </c>
      <c r="L3695" s="8" t="s">
        <v>58</v>
      </c>
      <c r="M3695" s="8" t="s">
        <v>35</v>
      </c>
      <c r="N3695" s="11">
        <v>45250.0</v>
      </c>
      <c r="O3695" s="11">
        <v>45306.0</v>
      </c>
      <c r="P3695" s="11">
        <v>45348.0</v>
      </c>
      <c r="Q3695" s="11">
        <v>45307.0</v>
      </c>
      <c r="R3695" s="11">
        <v>45349.0</v>
      </c>
      <c r="S3695" s="12"/>
      <c r="T3695" s="8"/>
      <c r="U3695" s="8" t="s">
        <v>632</v>
      </c>
      <c r="V3695" s="13" t="s">
        <v>175</v>
      </c>
      <c r="W3695" s="13" t="s">
        <v>17183</v>
      </c>
      <c r="X3695" s="12"/>
      <c r="Y3695" s="14"/>
      <c r="Z3695" s="14"/>
    </row>
    <row r="3696">
      <c r="A3696" s="8" t="s">
        <v>17184</v>
      </c>
      <c r="B3696" s="8" t="s">
        <v>17185</v>
      </c>
      <c r="C3696" s="8" t="s">
        <v>179</v>
      </c>
      <c r="D3696" s="8" t="s">
        <v>26</v>
      </c>
      <c r="E3696" s="8" t="s">
        <v>17186</v>
      </c>
      <c r="F3696" s="8">
        <v>5.51435185E9</v>
      </c>
      <c r="G3696" s="8" t="s">
        <v>31</v>
      </c>
      <c r="H3696" s="8" t="s">
        <v>86</v>
      </c>
      <c r="I3696" s="8" t="s">
        <v>399</v>
      </c>
      <c r="J3696" s="8" t="s">
        <v>415</v>
      </c>
      <c r="K3696" s="10" t="s">
        <v>2626</v>
      </c>
      <c r="L3696" s="8" t="s">
        <v>58</v>
      </c>
      <c r="M3696" s="8" t="s">
        <v>35</v>
      </c>
      <c r="N3696" s="11">
        <v>45250.0</v>
      </c>
      <c r="O3696" s="11">
        <v>45474.0</v>
      </c>
      <c r="P3696" s="11">
        <v>45516.0</v>
      </c>
      <c r="Q3696" s="11"/>
      <c r="R3696" s="11"/>
      <c r="S3696" s="12"/>
      <c r="T3696" s="8"/>
      <c r="U3696" s="8" t="s">
        <v>185</v>
      </c>
      <c r="V3696" s="13" t="s">
        <v>175</v>
      </c>
      <c r="W3696" s="13" t="s">
        <v>17187</v>
      </c>
      <c r="X3696" s="12"/>
      <c r="Y3696" s="14"/>
      <c r="Z3696" s="14"/>
    </row>
    <row r="3697">
      <c r="A3697" s="8" t="s">
        <v>17188</v>
      </c>
      <c r="B3697" s="8" t="s">
        <v>17189</v>
      </c>
      <c r="C3697" s="8" t="s">
        <v>179</v>
      </c>
      <c r="D3697" s="8" t="s">
        <v>26</v>
      </c>
      <c r="E3697" s="8" t="s">
        <v>17190</v>
      </c>
      <c r="F3697" s="8">
        <v>5.394872129E9</v>
      </c>
      <c r="G3697" s="8" t="s">
        <v>31</v>
      </c>
      <c r="H3697" s="8" t="s">
        <v>43</v>
      </c>
      <c r="I3697" s="8" t="s">
        <v>284</v>
      </c>
      <c r="J3697" s="8" t="s">
        <v>3188</v>
      </c>
      <c r="K3697" s="10" t="s">
        <v>9368</v>
      </c>
      <c r="L3697" s="8" t="s">
        <v>58</v>
      </c>
      <c r="M3697" s="8" t="s">
        <v>35</v>
      </c>
      <c r="N3697" s="11">
        <v>45250.0</v>
      </c>
      <c r="O3697" s="11">
        <v>45505.0</v>
      </c>
      <c r="P3697" s="11">
        <v>45547.0</v>
      </c>
      <c r="Q3697" s="11"/>
      <c r="R3697" s="11"/>
      <c r="S3697" s="12"/>
      <c r="T3697" s="8"/>
      <c r="U3697" s="8" t="s">
        <v>59</v>
      </c>
      <c r="V3697" s="13" t="s">
        <v>43</v>
      </c>
      <c r="W3697" s="13" t="s">
        <v>17191</v>
      </c>
      <c r="X3697" s="12"/>
      <c r="Y3697" s="14"/>
      <c r="Z3697" s="14"/>
    </row>
    <row r="3698">
      <c r="A3698" s="8" t="s">
        <v>17192</v>
      </c>
      <c r="B3698" s="8" t="s">
        <v>17193</v>
      </c>
      <c r="C3698" s="8" t="s">
        <v>708</v>
      </c>
      <c r="D3698" s="8" t="s">
        <v>26</v>
      </c>
      <c r="E3698" s="8" t="s">
        <v>17194</v>
      </c>
      <c r="F3698" s="8">
        <v>2.64813E7</v>
      </c>
      <c r="G3698" s="8" t="s">
        <v>54</v>
      </c>
      <c r="H3698" s="8" t="s">
        <v>76</v>
      </c>
      <c r="I3698" s="8" t="s">
        <v>31</v>
      </c>
      <c r="J3698" s="8" t="s">
        <v>86</v>
      </c>
      <c r="K3698" s="10" t="s">
        <v>2453</v>
      </c>
      <c r="L3698" s="8" t="s">
        <v>58</v>
      </c>
      <c r="M3698" s="8" t="s">
        <v>35</v>
      </c>
      <c r="N3698" s="11">
        <v>45250.0</v>
      </c>
      <c r="O3698" s="11">
        <v>45305.0</v>
      </c>
      <c r="P3698" s="11">
        <v>45347.0</v>
      </c>
      <c r="Q3698" s="11">
        <v>45307.0</v>
      </c>
      <c r="R3698" s="11">
        <v>45347.0</v>
      </c>
      <c r="S3698" s="12"/>
      <c r="T3698" s="8"/>
      <c r="U3698" s="8" t="s">
        <v>59</v>
      </c>
      <c r="V3698" s="13" t="s">
        <v>491</v>
      </c>
      <c r="W3698" s="13" t="s">
        <v>17195</v>
      </c>
      <c r="X3698" s="12"/>
      <c r="Y3698" s="14"/>
      <c r="Z3698" s="14"/>
    </row>
    <row r="3699">
      <c r="A3699" s="8" t="s">
        <v>17196</v>
      </c>
      <c r="B3699" s="8" t="s">
        <v>17197</v>
      </c>
      <c r="C3699" s="8" t="s">
        <v>179</v>
      </c>
      <c r="D3699" s="8" t="s">
        <v>26</v>
      </c>
      <c r="E3699" s="8" t="s">
        <v>17198</v>
      </c>
      <c r="F3699" s="8">
        <v>5.076323269E9</v>
      </c>
      <c r="G3699" s="8" t="s">
        <v>31</v>
      </c>
      <c r="H3699" s="8" t="s">
        <v>43</v>
      </c>
      <c r="I3699" s="8" t="s">
        <v>284</v>
      </c>
      <c r="J3699" s="8" t="s">
        <v>2065</v>
      </c>
      <c r="K3699" s="10" t="s">
        <v>16154</v>
      </c>
      <c r="L3699" s="8" t="s">
        <v>58</v>
      </c>
      <c r="M3699" s="8" t="s">
        <v>35</v>
      </c>
      <c r="N3699" s="11">
        <v>45250.0</v>
      </c>
      <c r="O3699" s="11">
        <v>45444.0</v>
      </c>
      <c r="P3699" s="11">
        <v>45486.0</v>
      </c>
      <c r="Q3699" s="11"/>
      <c r="R3699" s="11"/>
      <c r="S3699" s="12"/>
      <c r="T3699" s="8"/>
      <c r="U3699" s="8" t="s">
        <v>59</v>
      </c>
      <c r="V3699" s="13" t="s">
        <v>43</v>
      </c>
      <c r="W3699" s="13" t="s">
        <v>17199</v>
      </c>
      <c r="X3699" s="12"/>
      <c r="Y3699" s="14"/>
      <c r="Z3699" s="14"/>
    </row>
    <row r="3700">
      <c r="A3700" s="8" t="s">
        <v>17200</v>
      </c>
      <c r="B3700" s="8" t="s">
        <v>17201</v>
      </c>
      <c r="C3700" s="8" t="s">
        <v>179</v>
      </c>
      <c r="D3700" s="8" t="s">
        <v>26</v>
      </c>
      <c r="E3700" s="8" t="s">
        <v>17202</v>
      </c>
      <c r="F3700" s="8">
        <v>5.453344003E9</v>
      </c>
      <c r="G3700" s="8" t="s">
        <v>31</v>
      </c>
      <c r="H3700" s="8" t="s">
        <v>66</v>
      </c>
      <c r="I3700" s="8" t="s">
        <v>284</v>
      </c>
      <c r="J3700" s="8" t="s">
        <v>1764</v>
      </c>
      <c r="K3700" s="10" t="s">
        <v>17203</v>
      </c>
      <c r="L3700" s="8" t="s">
        <v>58</v>
      </c>
      <c r="M3700" s="8" t="s">
        <v>35</v>
      </c>
      <c r="N3700" s="11">
        <v>45250.0</v>
      </c>
      <c r="O3700" s="11">
        <v>45474.0</v>
      </c>
      <c r="P3700" s="11">
        <v>45516.0</v>
      </c>
      <c r="Q3700" s="11"/>
      <c r="R3700" s="11"/>
      <c r="S3700" s="12"/>
      <c r="T3700" s="8"/>
      <c r="U3700" s="8" t="s">
        <v>339</v>
      </c>
      <c r="V3700" s="13" t="s">
        <v>66</v>
      </c>
      <c r="W3700" s="13" t="s">
        <v>17204</v>
      </c>
      <c r="X3700" s="12"/>
      <c r="Y3700" s="14"/>
      <c r="Z3700" s="14"/>
    </row>
    <row r="3701">
      <c r="A3701" s="8" t="s">
        <v>17205</v>
      </c>
      <c r="B3701" s="8" t="s">
        <v>17206</v>
      </c>
      <c r="C3701" s="8" t="s">
        <v>179</v>
      </c>
      <c r="D3701" s="8" t="s">
        <v>26</v>
      </c>
      <c r="E3701" s="8" t="s">
        <v>17207</v>
      </c>
      <c r="F3701" s="8">
        <v>5.054715803E9</v>
      </c>
      <c r="G3701" s="8" t="s">
        <v>31</v>
      </c>
      <c r="H3701" s="8" t="s">
        <v>66</v>
      </c>
      <c r="I3701" s="8" t="s">
        <v>284</v>
      </c>
      <c r="J3701" s="8" t="s">
        <v>1764</v>
      </c>
      <c r="K3701" s="10" t="s">
        <v>17203</v>
      </c>
      <c r="L3701" s="8" t="s">
        <v>58</v>
      </c>
      <c r="M3701" s="8" t="s">
        <v>35</v>
      </c>
      <c r="N3701" s="11">
        <v>45250.0</v>
      </c>
      <c r="O3701" s="11">
        <v>45474.0</v>
      </c>
      <c r="P3701" s="11">
        <v>45516.0</v>
      </c>
      <c r="Q3701" s="11"/>
      <c r="R3701" s="11"/>
      <c r="S3701" s="12"/>
      <c r="T3701" s="8"/>
      <c r="U3701" s="8" t="s">
        <v>339</v>
      </c>
      <c r="V3701" s="13" t="s">
        <v>66</v>
      </c>
      <c r="W3701" s="13" t="s">
        <v>17208</v>
      </c>
      <c r="X3701" s="12"/>
      <c r="Y3701" s="14"/>
      <c r="Z3701" s="14"/>
    </row>
    <row r="3702">
      <c r="A3702" s="8" t="s">
        <v>17209</v>
      </c>
      <c r="B3702" s="8" t="s">
        <v>17210</v>
      </c>
      <c r="C3702" s="8" t="s">
        <v>708</v>
      </c>
      <c r="D3702" s="8" t="s">
        <v>26</v>
      </c>
      <c r="E3702" s="8" t="s">
        <v>17211</v>
      </c>
      <c r="F3702" s="8">
        <v>5.339633102E9</v>
      </c>
      <c r="G3702" s="8" t="s">
        <v>284</v>
      </c>
      <c r="H3702" s="8" t="s">
        <v>673</v>
      </c>
      <c r="I3702" s="8" t="s">
        <v>31</v>
      </c>
      <c r="J3702" s="8" t="s">
        <v>1119</v>
      </c>
      <c r="K3702" s="10" t="s">
        <v>17212</v>
      </c>
      <c r="L3702" s="8" t="s">
        <v>47</v>
      </c>
      <c r="M3702" s="8" t="s">
        <v>70</v>
      </c>
      <c r="N3702" s="11">
        <v>45250.0</v>
      </c>
      <c r="O3702" s="11">
        <v>45263.0</v>
      </c>
      <c r="P3702" s="11">
        <v>45534.0</v>
      </c>
      <c r="Q3702" s="11">
        <v>45250.0</v>
      </c>
      <c r="R3702" s="11">
        <v>45534.0</v>
      </c>
      <c r="S3702" s="12"/>
      <c r="T3702" s="8"/>
      <c r="U3702" s="8" t="s">
        <v>17213</v>
      </c>
      <c r="V3702" s="13" t="s">
        <v>674</v>
      </c>
      <c r="W3702" s="13" t="s">
        <v>17214</v>
      </c>
      <c r="X3702" s="12"/>
      <c r="Y3702" s="14"/>
      <c r="Z3702" s="14"/>
    </row>
    <row r="3703">
      <c r="A3703" s="8" t="s">
        <v>17215</v>
      </c>
      <c r="B3703" s="8" t="s">
        <v>17216</v>
      </c>
      <c r="C3703" s="8" t="s">
        <v>708</v>
      </c>
      <c r="D3703" s="8" t="s">
        <v>26</v>
      </c>
      <c r="E3703" s="8" t="s">
        <v>17217</v>
      </c>
      <c r="F3703" s="8">
        <v>5.457800487E9</v>
      </c>
      <c r="G3703" s="8" t="s">
        <v>31</v>
      </c>
      <c r="H3703" s="8" t="s">
        <v>77</v>
      </c>
      <c r="I3703" s="8" t="s">
        <v>221</v>
      </c>
      <c r="J3703" s="8" t="s">
        <v>3050</v>
      </c>
      <c r="K3703" s="10" t="s">
        <v>17218</v>
      </c>
      <c r="L3703" s="8" t="s">
        <v>58</v>
      </c>
      <c r="M3703" s="8" t="s">
        <v>35</v>
      </c>
      <c r="N3703" s="11">
        <v>45250.0</v>
      </c>
      <c r="O3703" s="11">
        <v>45313.0</v>
      </c>
      <c r="P3703" s="11">
        <v>45355.0</v>
      </c>
      <c r="Q3703" s="11">
        <v>45313.0</v>
      </c>
      <c r="R3703" s="11">
        <v>45355.0</v>
      </c>
      <c r="S3703" s="12"/>
      <c r="T3703" s="8"/>
      <c r="U3703" s="8" t="s">
        <v>371</v>
      </c>
      <c r="V3703" s="13" t="s">
        <v>77</v>
      </c>
      <c r="W3703" s="13" t="s">
        <v>17219</v>
      </c>
      <c r="X3703" s="12"/>
      <c r="Y3703" s="14"/>
      <c r="Z3703" s="14"/>
    </row>
    <row r="3704">
      <c r="A3704" s="8" t="s">
        <v>17220</v>
      </c>
      <c r="B3704" s="8" t="s">
        <v>17221</v>
      </c>
      <c r="C3704" s="8" t="s">
        <v>179</v>
      </c>
      <c r="D3704" s="8" t="s">
        <v>26</v>
      </c>
      <c r="E3704" s="8" t="s">
        <v>17222</v>
      </c>
      <c r="F3704" s="8"/>
      <c r="G3704" s="8" t="s">
        <v>31</v>
      </c>
      <c r="H3704" s="8" t="s">
        <v>438</v>
      </c>
      <c r="I3704" s="8" t="s">
        <v>44</v>
      </c>
      <c r="J3704" s="8" t="s">
        <v>3093</v>
      </c>
      <c r="K3704" s="10" t="s">
        <v>14679</v>
      </c>
      <c r="L3704" s="8" t="s">
        <v>58</v>
      </c>
      <c r="M3704" s="8" t="s">
        <v>35</v>
      </c>
      <c r="N3704" s="11">
        <v>45250.0</v>
      </c>
      <c r="O3704" s="11">
        <v>45480.0</v>
      </c>
      <c r="P3704" s="11">
        <v>45522.0</v>
      </c>
      <c r="Q3704" s="11"/>
      <c r="R3704" s="11"/>
      <c r="S3704" s="12"/>
      <c r="T3704" s="8"/>
      <c r="U3704" s="8" t="s">
        <v>1038</v>
      </c>
      <c r="V3704" s="13" t="s">
        <v>38</v>
      </c>
      <c r="W3704" s="13" t="s">
        <v>17223</v>
      </c>
      <c r="X3704" s="12"/>
      <c r="Y3704" s="14"/>
      <c r="Z3704" s="14"/>
    </row>
    <row r="3705">
      <c r="A3705" s="8" t="s">
        <v>17224</v>
      </c>
      <c r="B3705" s="8" t="s">
        <v>14815</v>
      </c>
      <c r="C3705" s="8" t="s">
        <v>708</v>
      </c>
      <c r="D3705" s="8" t="s">
        <v>26</v>
      </c>
      <c r="E3705" s="8" t="s">
        <v>17225</v>
      </c>
      <c r="F3705" s="8">
        <v>1.28972535E9</v>
      </c>
      <c r="G3705" s="8" t="s">
        <v>284</v>
      </c>
      <c r="H3705" s="8" t="s">
        <v>625</v>
      </c>
      <c r="I3705" s="8" t="s">
        <v>31</v>
      </c>
      <c r="J3705" s="8" t="s">
        <v>43</v>
      </c>
      <c r="K3705" s="10" t="s">
        <v>14817</v>
      </c>
      <c r="L3705" s="8" t="s">
        <v>47</v>
      </c>
      <c r="M3705" s="8" t="s">
        <v>48</v>
      </c>
      <c r="N3705" s="11">
        <v>45250.0</v>
      </c>
      <c r="O3705" s="11">
        <v>45276.0</v>
      </c>
      <c r="P3705" s="11">
        <v>45427.0</v>
      </c>
      <c r="Q3705" s="11">
        <v>45293.0</v>
      </c>
      <c r="R3705" s="11">
        <v>45658.0</v>
      </c>
      <c r="S3705" s="12"/>
      <c r="T3705" s="8"/>
      <c r="U3705" s="8" t="s">
        <v>14818</v>
      </c>
      <c r="V3705" s="13" t="s">
        <v>626</v>
      </c>
      <c r="W3705" s="13" t="s">
        <v>17226</v>
      </c>
      <c r="X3705" s="12"/>
      <c r="Y3705" s="14"/>
      <c r="Z3705" s="14"/>
    </row>
    <row r="3706">
      <c r="A3706" s="8" t="s">
        <v>17227</v>
      </c>
      <c r="B3706" s="8" t="s">
        <v>17228</v>
      </c>
      <c r="C3706" s="8" t="s">
        <v>179</v>
      </c>
      <c r="D3706" s="8" t="s">
        <v>26</v>
      </c>
      <c r="E3706" s="8" t="s">
        <v>17229</v>
      </c>
      <c r="F3706" s="8">
        <v>5.3568924E7</v>
      </c>
      <c r="G3706" s="8" t="s">
        <v>54</v>
      </c>
      <c r="H3706" s="8" t="s">
        <v>430</v>
      </c>
      <c r="I3706" s="8" t="s">
        <v>31</v>
      </c>
      <c r="J3706" s="8" t="s">
        <v>56</v>
      </c>
      <c r="K3706" s="10" t="s">
        <v>15125</v>
      </c>
      <c r="L3706" s="8" t="s">
        <v>58</v>
      </c>
      <c r="M3706" s="8" t="s">
        <v>35</v>
      </c>
      <c r="N3706" s="11">
        <v>45250.0</v>
      </c>
      <c r="O3706" s="11">
        <v>45411.0</v>
      </c>
      <c r="P3706" s="11">
        <v>45453.0</v>
      </c>
      <c r="Q3706" s="11"/>
      <c r="R3706" s="11"/>
      <c r="S3706" s="12"/>
      <c r="T3706" s="8"/>
      <c r="U3706" s="8" t="s">
        <v>59</v>
      </c>
      <c r="V3706" s="13" t="s">
        <v>10697</v>
      </c>
      <c r="W3706" s="13" t="s">
        <v>17230</v>
      </c>
      <c r="X3706" s="12"/>
      <c r="Y3706" s="14"/>
      <c r="Z3706" s="14"/>
    </row>
    <row r="3707">
      <c r="A3707" s="8" t="s">
        <v>17231</v>
      </c>
      <c r="B3707" s="8" t="s">
        <v>17232</v>
      </c>
      <c r="C3707" s="8" t="s">
        <v>708</v>
      </c>
      <c r="D3707" s="8" t="s">
        <v>26</v>
      </c>
      <c r="E3707" s="8" t="s">
        <v>17233</v>
      </c>
      <c r="F3707" s="8"/>
      <c r="G3707" s="8" t="s">
        <v>31</v>
      </c>
      <c r="H3707" s="8" t="s">
        <v>77</v>
      </c>
      <c r="I3707" s="8" t="s">
        <v>284</v>
      </c>
      <c r="J3707" s="8" t="s">
        <v>793</v>
      </c>
      <c r="K3707" s="10" t="s">
        <v>17234</v>
      </c>
      <c r="L3707" s="8" t="s">
        <v>58</v>
      </c>
      <c r="M3707" s="8" t="s">
        <v>35</v>
      </c>
      <c r="N3707" s="11">
        <v>45250.0</v>
      </c>
      <c r="O3707" s="11">
        <v>45311.0</v>
      </c>
      <c r="P3707" s="11">
        <v>45353.0</v>
      </c>
      <c r="Q3707" s="11">
        <v>45316.0</v>
      </c>
      <c r="R3707" s="11">
        <v>45358.0</v>
      </c>
      <c r="S3707" s="12"/>
      <c r="T3707" s="8"/>
      <c r="U3707" s="8" t="s">
        <v>59</v>
      </c>
      <c r="V3707" s="13" t="s">
        <v>38</v>
      </c>
      <c r="W3707" s="13" t="s">
        <v>17235</v>
      </c>
      <c r="X3707" s="12"/>
      <c r="Y3707" s="14"/>
      <c r="Z3707" s="14"/>
    </row>
    <row r="3708">
      <c r="A3708" s="8" t="s">
        <v>17236</v>
      </c>
      <c r="B3708" s="8" t="s">
        <v>17237</v>
      </c>
      <c r="C3708" s="8" t="s">
        <v>179</v>
      </c>
      <c r="D3708" s="8" t="s">
        <v>26</v>
      </c>
      <c r="E3708" s="8" t="s">
        <v>17238</v>
      </c>
      <c r="F3708" s="8">
        <v>5.301358004E9</v>
      </c>
      <c r="G3708" s="8" t="s">
        <v>31</v>
      </c>
      <c r="H3708" s="8" t="s">
        <v>66</v>
      </c>
      <c r="I3708" s="8" t="s">
        <v>284</v>
      </c>
      <c r="J3708" s="8" t="s">
        <v>1764</v>
      </c>
      <c r="K3708" s="10" t="s">
        <v>17239</v>
      </c>
      <c r="L3708" s="8" t="s">
        <v>58</v>
      </c>
      <c r="M3708" s="8" t="s">
        <v>35</v>
      </c>
      <c r="N3708" s="11">
        <v>45250.0</v>
      </c>
      <c r="O3708" s="11">
        <v>45474.0</v>
      </c>
      <c r="P3708" s="11">
        <v>45516.0</v>
      </c>
      <c r="Q3708" s="11"/>
      <c r="R3708" s="11"/>
      <c r="S3708" s="12"/>
      <c r="T3708" s="8"/>
      <c r="U3708" s="8" t="s">
        <v>59</v>
      </c>
      <c r="V3708" s="13" t="s">
        <v>66</v>
      </c>
      <c r="W3708" s="13" t="s">
        <v>17240</v>
      </c>
      <c r="X3708" s="12"/>
      <c r="Y3708" s="14"/>
      <c r="Z3708" s="14"/>
    </row>
    <row r="3709">
      <c r="A3709" s="8" t="s">
        <v>17241</v>
      </c>
      <c r="B3709" s="8" t="s">
        <v>17242</v>
      </c>
      <c r="C3709" s="8" t="s">
        <v>179</v>
      </c>
      <c r="D3709" s="8" t="s">
        <v>26</v>
      </c>
      <c r="E3709" s="8" t="s">
        <v>17243</v>
      </c>
      <c r="F3709" s="8">
        <v>5.368542251E9</v>
      </c>
      <c r="G3709" s="8" t="s">
        <v>31</v>
      </c>
      <c r="H3709" s="8" t="s">
        <v>66</v>
      </c>
      <c r="I3709" s="8" t="s">
        <v>284</v>
      </c>
      <c r="J3709" s="8" t="s">
        <v>1764</v>
      </c>
      <c r="K3709" s="10" t="s">
        <v>17239</v>
      </c>
      <c r="L3709" s="8" t="s">
        <v>58</v>
      </c>
      <c r="M3709" s="8" t="s">
        <v>35</v>
      </c>
      <c r="N3709" s="11">
        <v>45250.0</v>
      </c>
      <c r="O3709" s="11">
        <v>45474.0</v>
      </c>
      <c r="P3709" s="11">
        <v>45516.0</v>
      </c>
      <c r="Q3709" s="11"/>
      <c r="R3709" s="11"/>
      <c r="S3709" s="12"/>
      <c r="T3709" s="8"/>
      <c r="U3709" s="8" t="s">
        <v>59</v>
      </c>
      <c r="V3709" s="13" t="s">
        <v>66</v>
      </c>
      <c r="W3709" s="13" t="s">
        <v>17244</v>
      </c>
      <c r="X3709" s="12"/>
      <c r="Y3709" s="14"/>
      <c r="Z3709" s="14"/>
    </row>
    <row r="3710">
      <c r="A3710" s="8" t="s">
        <v>17245</v>
      </c>
      <c r="B3710" s="8" t="s">
        <v>17246</v>
      </c>
      <c r="C3710" s="8" t="s">
        <v>179</v>
      </c>
      <c r="D3710" s="8" t="s">
        <v>26</v>
      </c>
      <c r="E3710" s="8" t="s">
        <v>17247</v>
      </c>
      <c r="F3710" s="8"/>
      <c r="G3710" s="8" t="s">
        <v>54</v>
      </c>
      <c r="H3710" s="8" t="s">
        <v>377</v>
      </c>
      <c r="I3710" s="8" t="s">
        <v>31</v>
      </c>
      <c r="J3710" s="8" t="s">
        <v>43</v>
      </c>
      <c r="K3710" s="10" t="s">
        <v>837</v>
      </c>
      <c r="L3710" s="8" t="s">
        <v>58</v>
      </c>
      <c r="M3710" s="8" t="s">
        <v>35</v>
      </c>
      <c r="N3710" s="11">
        <v>45250.0</v>
      </c>
      <c r="O3710" s="11">
        <v>45453.0</v>
      </c>
      <c r="P3710" s="11">
        <v>45495.0</v>
      </c>
      <c r="Q3710" s="11"/>
      <c r="R3710" s="11"/>
      <c r="S3710" s="12"/>
      <c r="T3710" s="8"/>
      <c r="U3710" s="8" t="s">
        <v>130</v>
      </c>
      <c r="V3710" s="13" t="s">
        <v>2855</v>
      </c>
      <c r="W3710" s="13" t="s">
        <v>17248</v>
      </c>
      <c r="X3710" s="12"/>
      <c r="Y3710" s="14"/>
      <c r="Z3710" s="14"/>
    </row>
    <row r="3711">
      <c r="A3711" s="8" t="s">
        <v>17249</v>
      </c>
      <c r="B3711" s="8" t="s">
        <v>17250</v>
      </c>
      <c r="C3711" s="8" t="s">
        <v>708</v>
      </c>
      <c r="D3711" s="8" t="s">
        <v>26</v>
      </c>
      <c r="E3711" s="8" t="s">
        <v>17251</v>
      </c>
      <c r="F3711" s="8">
        <v>5.6887611E7</v>
      </c>
      <c r="G3711" s="8" t="s">
        <v>54</v>
      </c>
      <c r="H3711" s="8" t="s">
        <v>244</v>
      </c>
      <c r="I3711" s="8" t="s">
        <v>31</v>
      </c>
      <c r="J3711" s="8" t="s">
        <v>86</v>
      </c>
      <c r="K3711" s="10" t="s">
        <v>17252</v>
      </c>
      <c r="L3711" s="8" t="s">
        <v>34</v>
      </c>
      <c r="M3711" s="8" t="s">
        <v>70</v>
      </c>
      <c r="N3711" s="11">
        <v>45250.0</v>
      </c>
      <c r="O3711" s="11">
        <v>45285.0</v>
      </c>
      <c r="P3711" s="11">
        <v>45646.0</v>
      </c>
      <c r="Q3711" s="11">
        <v>45261.0</v>
      </c>
      <c r="R3711" s="11">
        <v>45646.0</v>
      </c>
      <c r="S3711" s="12"/>
      <c r="T3711" s="8" t="s">
        <v>36</v>
      </c>
      <c r="U3711" s="8" t="s">
        <v>17253</v>
      </c>
      <c r="V3711" s="13" t="s">
        <v>13443</v>
      </c>
      <c r="W3711" s="13" t="s">
        <v>17254</v>
      </c>
      <c r="X3711" s="12"/>
      <c r="Y3711" s="14"/>
      <c r="Z3711" s="14"/>
    </row>
    <row r="3712">
      <c r="A3712" s="8" t="s">
        <v>17255</v>
      </c>
      <c r="B3712" s="8" t="s">
        <v>17256</v>
      </c>
      <c r="C3712" s="8" t="s">
        <v>179</v>
      </c>
      <c r="D3712" s="8" t="s">
        <v>26</v>
      </c>
      <c r="E3712" s="8" t="s">
        <v>17257</v>
      </c>
      <c r="F3712" s="8">
        <v>5.074115581E9</v>
      </c>
      <c r="G3712" s="8" t="s">
        <v>31</v>
      </c>
      <c r="H3712" s="8" t="s">
        <v>66</v>
      </c>
      <c r="I3712" s="8" t="s">
        <v>127</v>
      </c>
      <c r="J3712" s="8" t="s">
        <v>159</v>
      </c>
      <c r="K3712" s="10" t="s">
        <v>17258</v>
      </c>
      <c r="L3712" s="8" t="s">
        <v>58</v>
      </c>
      <c r="M3712" s="8" t="s">
        <v>35</v>
      </c>
      <c r="N3712" s="11">
        <v>45250.0</v>
      </c>
      <c r="O3712" s="11">
        <v>45313.0</v>
      </c>
      <c r="P3712" s="11">
        <v>45355.0</v>
      </c>
      <c r="Q3712" s="11"/>
      <c r="R3712" s="11"/>
      <c r="S3712" s="12"/>
      <c r="T3712" s="8"/>
      <c r="U3712" s="8" t="s">
        <v>161</v>
      </c>
      <c r="V3712" s="13" t="s">
        <v>66</v>
      </c>
      <c r="W3712" s="13" t="s">
        <v>17259</v>
      </c>
      <c r="X3712" s="12"/>
      <c r="Y3712" s="14"/>
      <c r="Z3712" s="14"/>
    </row>
    <row r="3713">
      <c r="A3713" s="8" t="s">
        <v>17260</v>
      </c>
      <c r="B3713" s="8" t="s">
        <v>17261</v>
      </c>
      <c r="C3713" s="8" t="s">
        <v>179</v>
      </c>
      <c r="D3713" s="8" t="s">
        <v>26</v>
      </c>
      <c r="E3713" s="8" t="s">
        <v>17262</v>
      </c>
      <c r="F3713" s="8"/>
      <c r="G3713" s="8" t="s">
        <v>31</v>
      </c>
      <c r="H3713" s="8" t="s">
        <v>77</v>
      </c>
      <c r="I3713" s="8" t="s">
        <v>127</v>
      </c>
      <c r="J3713" s="8" t="s">
        <v>2182</v>
      </c>
      <c r="K3713" s="10" t="s">
        <v>17142</v>
      </c>
      <c r="L3713" s="8" t="s">
        <v>58</v>
      </c>
      <c r="M3713" s="8" t="s">
        <v>35</v>
      </c>
      <c r="N3713" s="11">
        <v>45250.0</v>
      </c>
      <c r="O3713" s="11">
        <v>45318.0</v>
      </c>
      <c r="P3713" s="11">
        <v>45360.0</v>
      </c>
      <c r="Q3713" s="11"/>
      <c r="R3713" s="11"/>
      <c r="S3713" s="12"/>
      <c r="T3713" s="8"/>
      <c r="U3713" s="8" t="s">
        <v>1956</v>
      </c>
      <c r="V3713" s="13" t="s">
        <v>38</v>
      </c>
      <c r="W3713" s="13" t="s">
        <v>17263</v>
      </c>
      <c r="X3713" s="12"/>
      <c r="Y3713" s="14"/>
      <c r="Z3713" s="14"/>
    </row>
    <row r="3714">
      <c r="A3714" s="8" t="s">
        <v>17264</v>
      </c>
      <c r="B3714" s="8" t="s">
        <v>17265</v>
      </c>
      <c r="C3714" s="8" t="s">
        <v>179</v>
      </c>
      <c r="D3714" s="8" t="s">
        <v>26</v>
      </c>
      <c r="E3714" s="8" t="s">
        <v>17266</v>
      </c>
      <c r="F3714" s="8">
        <v>5.459003888E9</v>
      </c>
      <c r="G3714" s="8" t="s">
        <v>31</v>
      </c>
      <c r="H3714" s="8" t="s">
        <v>86</v>
      </c>
      <c r="I3714" s="8" t="s">
        <v>143</v>
      </c>
      <c r="J3714" s="8" t="s">
        <v>11026</v>
      </c>
      <c r="K3714" s="10" t="s">
        <v>12804</v>
      </c>
      <c r="L3714" s="8" t="s">
        <v>58</v>
      </c>
      <c r="M3714" s="8" t="s">
        <v>35</v>
      </c>
      <c r="N3714" s="11">
        <v>45250.0</v>
      </c>
      <c r="O3714" s="11">
        <v>45462.0</v>
      </c>
      <c r="P3714" s="11">
        <v>45504.0</v>
      </c>
      <c r="Q3714" s="11"/>
      <c r="R3714" s="11"/>
      <c r="S3714" s="12"/>
      <c r="T3714" s="8"/>
      <c r="U3714" s="8" t="s">
        <v>339</v>
      </c>
      <c r="V3714" s="13" t="s">
        <v>175</v>
      </c>
      <c r="W3714" s="13" t="s">
        <v>17267</v>
      </c>
      <c r="X3714" s="12"/>
      <c r="Y3714" s="14"/>
      <c r="Z3714" s="14"/>
    </row>
    <row r="3715">
      <c r="A3715" s="8" t="s">
        <v>17268</v>
      </c>
      <c r="B3715" s="8" t="s">
        <v>17269</v>
      </c>
      <c r="C3715" s="8" t="s">
        <v>179</v>
      </c>
      <c r="D3715" s="8" t="s">
        <v>26</v>
      </c>
      <c r="E3715" s="8" t="s">
        <v>17270</v>
      </c>
      <c r="F3715" s="8">
        <v>5.537251707E9</v>
      </c>
      <c r="G3715" s="8" t="s">
        <v>31</v>
      </c>
      <c r="H3715" s="8" t="s">
        <v>86</v>
      </c>
      <c r="I3715" s="8" t="s">
        <v>143</v>
      </c>
      <c r="J3715" s="8" t="s">
        <v>11026</v>
      </c>
      <c r="K3715" s="10" t="s">
        <v>12804</v>
      </c>
      <c r="L3715" s="8" t="s">
        <v>58</v>
      </c>
      <c r="M3715" s="8" t="s">
        <v>35</v>
      </c>
      <c r="N3715" s="11">
        <v>45250.0</v>
      </c>
      <c r="O3715" s="11">
        <v>45462.0</v>
      </c>
      <c r="P3715" s="11">
        <v>45504.0</v>
      </c>
      <c r="Q3715" s="11"/>
      <c r="R3715" s="11"/>
      <c r="S3715" s="12"/>
      <c r="T3715" s="8"/>
      <c r="U3715" s="8" t="s">
        <v>339</v>
      </c>
      <c r="V3715" s="13" t="s">
        <v>175</v>
      </c>
      <c r="W3715" s="13" t="s">
        <v>17271</v>
      </c>
      <c r="X3715" s="12"/>
      <c r="Y3715" s="14"/>
      <c r="Z3715" s="14"/>
    </row>
    <row r="3716">
      <c r="A3716" s="8" t="s">
        <v>17272</v>
      </c>
      <c r="B3716" s="8" t="s">
        <v>17273</v>
      </c>
      <c r="C3716" s="8" t="s">
        <v>179</v>
      </c>
      <c r="D3716" s="8" t="s">
        <v>26</v>
      </c>
      <c r="E3716" s="8" t="s">
        <v>17274</v>
      </c>
      <c r="F3716" s="8"/>
      <c r="G3716" s="8" t="s">
        <v>31</v>
      </c>
      <c r="H3716" s="8" t="s">
        <v>77</v>
      </c>
      <c r="I3716" s="8" t="s">
        <v>44</v>
      </c>
      <c r="J3716" s="8" t="s">
        <v>1993</v>
      </c>
      <c r="K3716" s="10" t="s">
        <v>16133</v>
      </c>
      <c r="L3716" s="8" t="s">
        <v>58</v>
      </c>
      <c r="M3716" s="8" t="s">
        <v>35</v>
      </c>
      <c r="N3716" s="11">
        <v>45250.0</v>
      </c>
      <c r="O3716" s="11">
        <v>45521.0</v>
      </c>
      <c r="P3716" s="11">
        <v>45563.0</v>
      </c>
      <c r="Q3716" s="11"/>
      <c r="R3716" s="11"/>
      <c r="S3716" s="12"/>
      <c r="T3716" s="8"/>
      <c r="U3716" s="8" t="s">
        <v>371</v>
      </c>
      <c r="V3716" s="13" t="s">
        <v>77</v>
      </c>
      <c r="W3716" s="13" t="s">
        <v>17275</v>
      </c>
      <c r="X3716" s="12"/>
      <c r="Y3716" s="14"/>
      <c r="Z3716" s="14"/>
    </row>
    <row r="3717">
      <c r="A3717" s="8" t="s">
        <v>17276</v>
      </c>
      <c r="B3717" s="8" t="s">
        <v>17277</v>
      </c>
      <c r="C3717" s="8" t="s">
        <v>179</v>
      </c>
      <c r="D3717" s="8" t="s">
        <v>26</v>
      </c>
      <c r="E3717" s="8" t="s">
        <v>17278</v>
      </c>
      <c r="F3717" s="8">
        <v>2.6757223E7</v>
      </c>
      <c r="G3717" s="8" t="s">
        <v>54</v>
      </c>
      <c r="H3717" s="8" t="s">
        <v>135</v>
      </c>
      <c r="I3717" s="8" t="s">
        <v>31</v>
      </c>
      <c r="J3717" s="8" t="s">
        <v>136</v>
      </c>
      <c r="K3717" s="10" t="s">
        <v>8895</v>
      </c>
      <c r="L3717" s="8" t="s">
        <v>58</v>
      </c>
      <c r="M3717" s="8" t="s">
        <v>35</v>
      </c>
      <c r="N3717" s="11">
        <v>45250.0</v>
      </c>
      <c r="O3717" s="11">
        <v>45466.0</v>
      </c>
      <c r="P3717" s="11">
        <v>45508.0</v>
      </c>
      <c r="Q3717" s="11"/>
      <c r="R3717" s="11"/>
      <c r="S3717" s="12"/>
      <c r="T3717" s="8"/>
      <c r="U3717" s="8" t="s">
        <v>59</v>
      </c>
      <c r="V3717" s="13" t="s">
        <v>38</v>
      </c>
      <c r="W3717" s="13" t="s">
        <v>17279</v>
      </c>
      <c r="X3717" s="12"/>
      <c r="Y3717" s="14"/>
      <c r="Z3717" s="14"/>
    </row>
    <row r="3718">
      <c r="A3718" s="8" t="s">
        <v>17280</v>
      </c>
      <c r="B3718" s="8" t="s">
        <v>17281</v>
      </c>
      <c r="C3718" s="8" t="s">
        <v>179</v>
      </c>
      <c r="D3718" s="8" t="s">
        <v>26</v>
      </c>
      <c r="E3718" s="8" t="s">
        <v>17282</v>
      </c>
      <c r="F3718" s="8"/>
      <c r="G3718" s="8" t="s">
        <v>31</v>
      </c>
      <c r="H3718" s="8" t="s">
        <v>77</v>
      </c>
      <c r="I3718" s="8" t="s">
        <v>44</v>
      </c>
      <c r="J3718" s="8" t="s">
        <v>1993</v>
      </c>
      <c r="K3718" s="10" t="s">
        <v>16133</v>
      </c>
      <c r="L3718" s="8" t="s">
        <v>58</v>
      </c>
      <c r="M3718" s="8" t="s">
        <v>35</v>
      </c>
      <c r="N3718" s="11">
        <v>45250.0</v>
      </c>
      <c r="O3718" s="11">
        <v>45521.0</v>
      </c>
      <c r="P3718" s="11">
        <v>45563.0</v>
      </c>
      <c r="Q3718" s="11"/>
      <c r="R3718" s="11"/>
      <c r="S3718" s="12"/>
      <c r="T3718" s="8"/>
      <c r="U3718" s="8" t="s">
        <v>371</v>
      </c>
      <c r="V3718" s="13" t="s">
        <v>38</v>
      </c>
      <c r="W3718" s="13" t="s">
        <v>17283</v>
      </c>
      <c r="X3718" s="12"/>
      <c r="Y3718" s="14"/>
      <c r="Z3718" s="14"/>
    </row>
    <row r="3719">
      <c r="A3719" s="8" t="s">
        <v>17284</v>
      </c>
      <c r="B3719" s="8" t="s">
        <v>17285</v>
      </c>
      <c r="C3719" s="8" t="s">
        <v>179</v>
      </c>
      <c r="D3719" s="8" t="s">
        <v>26</v>
      </c>
      <c r="E3719" s="8" t="s">
        <v>17286</v>
      </c>
      <c r="F3719" s="8">
        <v>5.427355418E9</v>
      </c>
      <c r="G3719" s="8" t="s">
        <v>31</v>
      </c>
      <c r="H3719" s="8" t="s">
        <v>77</v>
      </c>
      <c r="I3719" s="8" t="s">
        <v>44</v>
      </c>
      <c r="J3719" s="8" t="s">
        <v>1993</v>
      </c>
      <c r="K3719" s="10" t="s">
        <v>16133</v>
      </c>
      <c r="L3719" s="8" t="s">
        <v>58</v>
      </c>
      <c r="M3719" s="8" t="s">
        <v>35</v>
      </c>
      <c r="N3719" s="11">
        <v>45250.0</v>
      </c>
      <c r="O3719" s="11">
        <v>45521.0</v>
      </c>
      <c r="P3719" s="11">
        <v>45563.0</v>
      </c>
      <c r="Q3719" s="11"/>
      <c r="R3719" s="11"/>
      <c r="S3719" s="12"/>
      <c r="T3719" s="8"/>
      <c r="U3719" s="8" t="s">
        <v>371</v>
      </c>
      <c r="V3719" s="13" t="s">
        <v>77</v>
      </c>
      <c r="W3719" s="13" t="s">
        <v>17287</v>
      </c>
      <c r="X3719" s="12"/>
      <c r="Y3719" s="14"/>
      <c r="Z3719" s="14"/>
    </row>
    <row r="3720">
      <c r="A3720" s="8" t="s">
        <v>17288</v>
      </c>
      <c r="B3720" s="8" t="s">
        <v>17289</v>
      </c>
      <c r="C3720" s="8" t="s">
        <v>179</v>
      </c>
      <c r="D3720" s="8" t="s">
        <v>26</v>
      </c>
      <c r="E3720" s="8" t="s">
        <v>17290</v>
      </c>
      <c r="F3720" s="8">
        <v>5.515894423E9</v>
      </c>
      <c r="G3720" s="8" t="s">
        <v>31</v>
      </c>
      <c r="H3720" s="8" t="s">
        <v>77</v>
      </c>
      <c r="I3720" s="8" t="s">
        <v>44</v>
      </c>
      <c r="J3720" s="8" t="s">
        <v>1993</v>
      </c>
      <c r="K3720" s="10" t="s">
        <v>16133</v>
      </c>
      <c r="L3720" s="8" t="s">
        <v>58</v>
      </c>
      <c r="M3720" s="8" t="s">
        <v>35</v>
      </c>
      <c r="N3720" s="11">
        <v>45250.0</v>
      </c>
      <c r="O3720" s="11">
        <v>45521.0</v>
      </c>
      <c r="P3720" s="11">
        <v>45563.0</v>
      </c>
      <c r="Q3720" s="11"/>
      <c r="R3720" s="11"/>
      <c r="S3720" s="12"/>
      <c r="T3720" s="8"/>
      <c r="U3720" s="8" t="s">
        <v>371</v>
      </c>
      <c r="V3720" s="13" t="s">
        <v>77</v>
      </c>
      <c r="W3720" s="13" t="s">
        <v>17291</v>
      </c>
      <c r="X3720" s="12"/>
      <c r="Y3720" s="14"/>
      <c r="Z3720" s="14"/>
    </row>
    <row r="3721">
      <c r="A3721" s="8" t="s">
        <v>17292</v>
      </c>
      <c r="B3721" s="8" t="s">
        <v>17293</v>
      </c>
      <c r="C3721" s="8" t="s">
        <v>179</v>
      </c>
      <c r="D3721" s="8" t="s">
        <v>26</v>
      </c>
      <c r="E3721" s="8" t="s">
        <v>17294</v>
      </c>
      <c r="F3721" s="8"/>
      <c r="G3721" s="8" t="s">
        <v>31</v>
      </c>
      <c r="H3721" s="8" t="s">
        <v>86</v>
      </c>
      <c r="I3721" s="8" t="s">
        <v>277</v>
      </c>
      <c r="J3721" s="8" t="s">
        <v>278</v>
      </c>
      <c r="K3721" s="10" t="s">
        <v>7861</v>
      </c>
      <c r="L3721" s="8" t="s">
        <v>58</v>
      </c>
      <c r="M3721" s="8" t="s">
        <v>35</v>
      </c>
      <c r="N3721" s="11">
        <v>45250.0</v>
      </c>
      <c r="O3721" s="11">
        <v>45480.0</v>
      </c>
      <c r="P3721" s="11">
        <v>45522.0</v>
      </c>
      <c r="Q3721" s="11"/>
      <c r="R3721" s="11"/>
      <c r="S3721" s="12"/>
      <c r="T3721" s="8"/>
      <c r="U3721" s="8" t="s">
        <v>88</v>
      </c>
      <c r="V3721" s="13" t="s">
        <v>175</v>
      </c>
      <c r="W3721" s="13" t="s">
        <v>17295</v>
      </c>
      <c r="X3721" s="12"/>
      <c r="Y3721" s="14"/>
      <c r="Z3721" s="14"/>
    </row>
    <row r="3722">
      <c r="A3722" s="8" t="s">
        <v>17296</v>
      </c>
      <c r="B3722" s="8" t="s">
        <v>17297</v>
      </c>
      <c r="C3722" s="8" t="s">
        <v>179</v>
      </c>
      <c r="D3722" s="8" t="s">
        <v>26</v>
      </c>
      <c r="E3722" s="8" t="s">
        <v>17298</v>
      </c>
      <c r="F3722" s="8">
        <v>5.058507739E9</v>
      </c>
      <c r="G3722" s="8" t="s">
        <v>31</v>
      </c>
      <c r="H3722" s="8" t="s">
        <v>102</v>
      </c>
      <c r="I3722" s="8" t="s">
        <v>44</v>
      </c>
      <c r="J3722" s="8" t="s">
        <v>2348</v>
      </c>
      <c r="K3722" s="10" t="s">
        <v>17299</v>
      </c>
      <c r="L3722" s="8" t="s">
        <v>58</v>
      </c>
      <c r="M3722" s="8" t="s">
        <v>35</v>
      </c>
      <c r="N3722" s="11">
        <v>45250.0</v>
      </c>
      <c r="O3722" s="11">
        <v>45474.0</v>
      </c>
      <c r="P3722" s="11">
        <v>45519.0</v>
      </c>
      <c r="Q3722" s="11"/>
      <c r="R3722" s="11"/>
      <c r="S3722" s="12"/>
      <c r="T3722" s="8"/>
      <c r="U3722" s="8" t="s">
        <v>339</v>
      </c>
      <c r="V3722" s="13" t="s">
        <v>102</v>
      </c>
      <c r="W3722" s="13" t="s">
        <v>17300</v>
      </c>
      <c r="X3722" s="12"/>
      <c r="Y3722" s="14"/>
      <c r="Z3722" s="14"/>
    </row>
    <row r="3723">
      <c r="A3723" s="8" t="s">
        <v>17301</v>
      </c>
      <c r="B3723" s="8" t="s">
        <v>17302</v>
      </c>
      <c r="C3723" s="8" t="s">
        <v>708</v>
      </c>
      <c r="D3723" s="8" t="s">
        <v>26</v>
      </c>
      <c r="E3723" s="8" t="s">
        <v>17303</v>
      </c>
      <c r="F3723" s="8">
        <v>5.393094353E9</v>
      </c>
      <c r="G3723" s="8" t="s">
        <v>31</v>
      </c>
      <c r="H3723" s="8" t="s">
        <v>86</v>
      </c>
      <c r="I3723" s="8" t="s">
        <v>221</v>
      </c>
      <c r="J3723" s="8" t="s">
        <v>2735</v>
      </c>
      <c r="K3723" s="10" t="s">
        <v>17304</v>
      </c>
      <c r="L3723" s="8" t="s">
        <v>58</v>
      </c>
      <c r="M3723" s="8" t="s">
        <v>35</v>
      </c>
      <c r="N3723" s="11">
        <v>45250.0</v>
      </c>
      <c r="O3723" s="11">
        <v>45306.0</v>
      </c>
      <c r="P3723" s="11">
        <v>45348.0</v>
      </c>
      <c r="Q3723" s="11">
        <v>45310.0</v>
      </c>
      <c r="R3723" s="11">
        <v>45352.0</v>
      </c>
      <c r="S3723" s="12"/>
      <c r="T3723" s="8"/>
      <c r="U3723" s="8" t="s">
        <v>59</v>
      </c>
      <c r="V3723" s="13" t="s">
        <v>175</v>
      </c>
      <c r="W3723" s="13" t="s">
        <v>17305</v>
      </c>
      <c r="X3723" s="12"/>
      <c r="Y3723" s="14"/>
      <c r="Z3723" s="14"/>
    </row>
    <row r="3724">
      <c r="A3724" s="8" t="s">
        <v>17306</v>
      </c>
      <c r="B3724" s="8" t="s">
        <v>17307</v>
      </c>
      <c r="C3724" s="8" t="s">
        <v>179</v>
      </c>
      <c r="D3724" s="8" t="s">
        <v>26</v>
      </c>
      <c r="E3724" s="8" t="s">
        <v>17308</v>
      </c>
      <c r="F3724" s="8">
        <v>5.396948427E9</v>
      </c>
      <c r="G3724" s="8" t="s">
        <v>31</v>
      </c>
      <c r="H3724" s="8" t="s">
        <v>86</v>
      </c>
      <c r="I3724" s="8" t="s">
        <v>277</v>
      </c>
      <c r="J3724" s="8" t="s">
        <v>278</v>
      </c>
      <c r="K3724" s="10" t="s">
        <v>7861</v>
      </c>
      <c r="L3724" s="8" t="s">
        <v>58</v>
      </c>
      <c r="M3724" s="8" t="s">
        <v>35</v>
      </c>
      <c r="N3724" s="11">
        <v>45250.0</v>
      </c>
      <c r="O3724" s="11">
        <v>45480.0</v>
      </c>
      <c r="P3724" s="11">
        <v>45522.0</v>
      </c>
      <c r="Q3724" s="11"/>
      <c r="R3724" s="11"/>
      <c r="S3724" s="12"/>
      <c r="T3724" s="8"/>
      <c r="U3724" s="8" t="s">
        <v>88</v>
      </c>
      <c r="V3724" s="13" t="s">
        <v>175</v>
      </c>
      <c r="W3724" s="13" t="s">
        <v>17309</v>
      </c>
      <c r="X3724" s="12"/>
      <c r="Y3724" s="14"/>
      <c r="Z3724" s="14"/>
    </row>
    <row r="3725">
      <c r="A3725" s="8" t="s">
        <v>17310</v>
      </c>
      <c r="B3725" s="8" t="s">
        <v>17311</v>
      </c>
      <c r="C3725" s="8" t="s">
        <v>179</v>
      </c>
      <c r="D3725" s="8" t="s">
        <v>26</v>
      </c>
      <c r="E3725" s="8" t="s">
        <v>17312</v>
      </c>
      <c r="F3725" s="8">
        <v>5.37254169E9</v>
      </c>
      <c r="G3725" s="8" t="s">
        <v>31</v>
      </c>
      <c r="H3725" s="8" t="s">
        <v>86</v>
      </c>
      <c r="I3725" s="8" t="s">
        <v>277</v>
      </c>
      <c r="J3725" s="8" t="s">
        <v>278</v>
      </c>
      <c r="K3725" s="10" t="s">
        <v>7861</v>
      </c>
      <c r="L3725" s="8" t="s">
        <v>58</v>
      </c>
      <c r="M3725" s="8" t="s">
        <v>35</v>
      </c>
      <c r="N3725" s="11">
        <v>45250.0</v>
      </c>
      <c r="O3725" s="11">
        <v>45480.0</v>
      </c>
      <c r="P3725" s="11">
        <v>45522.0</v>
      </c>
      <c r="Q3725" s="11"/>
      <c r="R3725" s="11"/>
      <c r="S3725" s="12"/>
      <c r="T3725" s="8"/>
      <c r="U3725" s="8" t="s">
        <v>88</v>
      </c>
      <c r="V3725" s="13" t="s">
        <v>175</v>
      </c>
      <c r="W3725" s="13" t="s">
        <v>17313</v>
      </c>
      <c r="X3725" s="12"/>
      <c r="Y3725" s="14"/>
      <c r="Z3725" s="14"/>
    </row>
    <row r="3726">
      <c r="A3726" s="8" t="s">
        <v>17314</v>
      </c>
      <c r="B3726" s="8" t="s">
        <v>17315</v>
      </c>
      <c r="C3726" s="8" t="s">
        <v>25</v>
      </c>
      <c r="D3726" s="8" t="s">
        <v>26</v>
      </c>
      <c r="E3726" s="8" t="s">
        <v>17316</v>
      </c>
      <c r="F3726" s="8">
        <v>7.74338021E8</v>
      </c>
      <c r="G3726" s="8" t="s">
        <v>399</v>
      </c>
      <c r="H3726" s="8" t="s">
        <v>1381</v>
      </c>
      <c r="I3726" s="8" t="s">
        <v>31</v>
      </c>
      <c r="J3726" s="8" t="s">
        <v>438</v>
      </c>
      <c r="K3726" s="10" t="s">
        <v>16574</v>
      </c>
      <c r="L3726" s="8" t="s">
        <v>58</v>
      </c>
      <c r="M3726" s="8" t="s">
        <v>35</v>
      </c>
      <c r="N3726" s="11">
        <v>45250.0</v>
      </c>
      <c r="O3726" s="11">
        <v>45264.0</v>
      </c>
      <c r="P3726" s="11">
        <v>45306.0</v>
      </c>
      <c r="Q3726" s="11">
        <v>45270.0</v>
      </c>
      <c r="R3726" s="11">
        <v>45310.0</v>
      </c>
      <c r="S3726" s="12"/>
      <c r="T3726" s="8"/>
      <c r="U3726" s="8" t="s">
        <v>59</v>
      </c>
      <c r="V3726" s="13" t="s">
        <v>16738</v>
      </c>
      <c r="W3726" s="13" t="s">
        <v>17317</v>
      </c>
      <c r="X3726" s="12"/>
      <c r="Y3726" s="14"/>
      <c r="Z3726" s="14"/>
    </row>
    <row r="3727">
      <c r="A3727" s="8" t="s">
        <v>17318</v>
      </c>
      <c r="B3727" s="8" t="s">
        <v>17319</v>
      </c>
      <c r="C3727" s="8" t="s">
        <v>179</v>
      </c>
      <c r="D3727" s="8" t="s">
        <v>26</v>
      </c>
      <c r="E3727" s="8" t="s">
        <v>17320</v>
      </c>
      <c r="F3727" s="8">
        <v>5.514050553E9</v>
      </c>
      <c r="G3727" s="8" t="s">
        <v>31</v>
      </c>
      <c r="H3727" s="8" t="s">
        <v>86</v>
      </c>
      <c r="I3727" s="8" t="s">
        <v>407</v>
      </c>
      <c r="J3727" s="8" t="s">
        <v>408</v>
      </c>
      <c r="K3727" s="10" t="s">
        <v>17321</v>
      </c>
      <c r="L3727" s="8" t="s">
        <v>58</v>
      </c>
      <c r="M3727" s="8" t="s">
        <v>35</v>
      </c>
      <c r="N3727" s="11">
        <v>45250.0</v>
      </c>
      <c r="O3727" s="11">
        <v>45299.0</v>
      </c>
      <c r="P3727" s="11">
        <v>45341.0</v>
      </c>
      <c r="Q3727" s="11"/>
      <c r="R3727" s="11"/>
      <c r="S3727" s="12"/>
      <c r="T3727" s="8"/>
      <c r="U3727" s="8" t="s">
        <v>371</v>
      </c>
      <c r="V3727" s="13" t="s">
        <v>175</v>
      </c>
      <c r="W3727" s="13" t="s">
        <v>17322</v>
      </c>
      <c r="X3727" s="12"/>
      <c r="Y3727" s="14"/>
      <c r="Z3727" s="14"/>
    </row>
    <row r="3728">
      <c r="A3728" s="8" t="s">
        <v>17323</v>
      </c>
      <c r="B3728" s="8" t="s">
        <v>17324</v>
      </c>
      <c r="C3728" s="8" t="s">
        <v>179</v>
      </c>
      <c r="D3728" s="8" t="s">
        <v>26</v>
      </c>
      <c r="E3728" s="8" t="s">
        <v>17325</v>
      </c>
      <c r="F3728" s="8">
        <v>5.535153807E9</v>
      </c>
      <c r="G3728" s="8" t="s">
        <v>31</v>
      </c>
      <c r="H3728" s="8" t="s">
        <v>292</v>
      </c>
      <c r="I3728" s="8" t="s">
        <v>284</v>
      </c>
      <c r="J3728" s="8" t="s">
        <v>1777</v>
      </c>
      <c r="K3728" s="10" t="s">
        <v>16009</v>
      </c>
      <c r="L3728" s="8" t="s">
        <v>58</v>
      </c>
      <c r="M3728" s="8" t="s">
        <v>35</v>
      </c>
      <c r="N3728" s="11">
        <v>45250.0</v>
      </c>
      <c r="O3728" s="11">
        <v>45488.0</v>
      </c>
      <c r="P3728" s="11">
        <v>45530.0</v>
      </c>
      <c r="Q3728" s="11"/>
      <c r="R3728" s="11"/>
      <c r="S3728" s="12"/>
      <c r="T3728" s="8"/>
      <c r="U3728" s="8" t="s">
        <v>153</v>
      </c>
      <c r="V3728" s="13" t="s">
        <v>292</v>
      </c>
      <c r="W3728" s="13" t="s">
        <v>17326</v>
      </c>
      <c r="X3728" s="12"/>
      <c r="Y3728" s="14"/>
      <c r="Z3728" s="14"/>
    </row>
    <row r="3729">
      <c r="A3729" s="8" t="s">
        <v>17327</v>
      </c>
      <c r="B3729" s="8" t="s">
        <v>7564</v>
      </c>
      <c r="C3729" s="8" t="s">
        <v>179</v>
      </c>
      <c r="D3729" s="8" t="s">
        <v>26</v>
      </c>
      <c r="E3729" s="8" t="s">
        <v>17328</v>
      </c>
      <c r="F3729" s="8">
        <v>5.423714634E9</v>
      </c>
      <c r="G3729" s="8" t="s">
        <v>31</v>
      </c>
      <c r="H3729" s="8" t="s">
        <v>111</v>
      </c>
      <c r="I3729" s="8" t="s">
        <v>466</v>
      </c>
      <c r="J3729" s="8" t="s">
        <v>17329</v>
      </c>
      <c r="K3729" s="10" t="s">
        <v>17330</v>
      </c>
      <c r="L3729" s="8" t="s">
        <v>58</v>
      </c>
      <c r="M3729" s="8" t="s">
        <v>35</v>
      </c>
      <c r="N3729" s="11">
        <v>45250.0</v>
      </c>
      <c r="O3729" s="11">
        <v>45311.0</v>
      </c>
      <c r="P3729" s="11">
        <v>45353.0</v>
      </c>
      <c r="Q3729" s="11"/>
      <c r="R3729" s="11"/>
      <c r="S3729" s="12"/>
      <c r="T3729" s="8"/>
      <c r="U3729" s="8" t="s">
        <v>59</v>
      </c>
      <c r="V3729" s="13" t="s">
        <v>175</v>
      </c>
      <c r="W3729" s="13" t="s">
        <v>17331</v>
      </c>
      <c r="X3729" s="12"/>
      <c r="Y3729" s="14"/>
      <c r="Z3729" s="14"/>
    </row>
    <row r="3730">
      <c r="A3730" s="8" t="s">
        <v>17332</v>
      </c>
      <c r="B3730" s="8" t="s">
        <v>13698</v>
      </c>
      <c r="C3730" s="8" t="s">
        <v>179</v>
      </c>
      <c r="D3730" s="8" t="s">
        <v>26</v>
      </c>
      <c r="E3730" s="8" t="s">
        <v>13699</v>
      </c>
      <c r="F3730" s="8">
        <v>7.45089334E8</v>
      </c>
      <c r="G3730" s="8" t="s">
        <v>31</v>
      </c>
      <c r="H3730" s="8" t="s">
        <v>86</v>
      </c>
      <c r="I3730" s="8" t="s">
        <v>4719</v>
      </c>
      <c r="J3730" s="8" t="s">
        <v>7362</v>
      </c>
      <c r="K3730" s="10" t="s">
        <v>17333</v>
      </c>
      <c r="L3730" s="8" t="s">
        <v>34</v>
      </c>
      <c r="M3730" s="8" t="s">
        <v>70</v>
      </c>
      <c r="N3730" s="11">
        <v>45250.0</v>
      </c>
      <c r="O3730" s="11">
        <v>45271.0</v>
      </c>
      <c r="P3730" s="11">
        <v>45810.0</v>
      </c>
      <c r="Q3730" s="11"/>
      <c r="R3730" s="11"/>
      <c r="S3730" s="12"/>
      <c r="T3730" s="8" t="s">
        <v>121</v>
      </c>
      <c r="U3730" s="8" t="s">
        <v>17334</v>
      </c>
      <c r="V3730" s="13" t="s">
        <v>175</v>
      </c>
      <c r="W3730" s="13" t="s">
        <v>13702</v>
      </c>
      <c r="X3730" s="12"/>
      <c r="Y3730" s="14"/>
      <c r="Z3730" s="14"/>
    </row>
    <row r="3731">
      <c r="A3731" s="8" t="s">
        <v>17335</v>
      </c>
      <c r="B3731" s="8" t="s">
        <v>17336</v>
      </c>
      <c r="C3731" s="8" t="s">
        <v>179</v>
      </c>
      <c r="D3731" s="8" t="s">
        <v>26</v>
      </c>
      <c r="E3731" s="8" t="s">
        <v>17337</v>
      </c>
      <c r="F3731" s="8">
        <v>5.37776449E9</v>
      </c>
      <c r="G3731" s="8" t="s">
        <v>31</v>
      </c>
      <c r="H3731" s="8" t="s">
        <v>77</v>
      </c>
      <c r="I3731" s="8" t="s">
        <v>284</v>
      </c>
      <c r="J3731" s="8" t="s">
        <v>793</v>
      </c>
      <c r="K3731" s="10" t="s">
        <v>17338</v>
      </c>
      <c r="L3731" s="8" t="s">
        <v>58</v>
      </c>
      <c r="M3731" s="8" t="s">
        <v>35</v>
      </c>
      <c r="N3731" s="11">
        <v>45250.0</v>
      </c>
      <c r="O3731" s="11">
        <v>45474.0</v>
      </c>
      <c r="P3731" s="11">
        <v>45516.0</v>
      </c>
      <c r="Q3731" s="11"/>
      <c r="R3731" s="11"/>
      <c r="S3731" s="12"/>
      <c r="T3731" s="8"/>
      <c r="U3731" s="8" t="s">
        <v>1590</v>
      </c>
      <c r="V3731" s="13" t="s">
        <v>77</v>
      </c>
      <c r="W3731" s="13" t="s">
        <v>17339</v>
      </c>
      <c r="X3731" s="12"/>
      <c r="Y3731" s="14"/>
      <c r="Z3731" s="14"/>
    </row>
    <row r="3732">
      <c r="A3732" s="8" t="s">
        <v>17340</v>
      </c>
      <c r="B3732" s="8" t="s">
        <v>17341</v>
      </c>
      <c r="C3732" s="8" t="s">
        <v>179</v>
      </c>
      <c r="D3732" s="8" t="s">
        <v>26</v>
      </c>
      <c r="E3732" s="8" t="s">
        <v>17342</v>
      </c>
      <c r="F3732" s="8"/>
      <c r="G3732" s="8" t="s">
        <v>31</v>
      </c>
      <c r="H3732" s="8" t="s">
        <v>77</v>
      </c>
      <c r="I3732" s="8" t="s">
        <v>284</v>
      </c>
      <c r="J3732" s="8" t="s">
        <v>793</v>
      </c>
      <c r="K3732" s="10" t="s">
        <v>17338</v>
      </c>
      <c r="L3732" s="8" t="s">
        <v>58</v>
      </c>
      <c r="M3732" s="8" t="s">
        <v>35</v>
      </c>
      <c r="N3732" s="11">
        <v>45250.0</v>
      </c>
      <c r="O3732" s="11">
        <v>45474.0</v>
      </c>
      <c r="P3732" s="11">
        <v>45516.0</v>
      </c>
      <c r="Q3732" s="11"/>
      <c r="R3732" s="11"/>
      <c r="S3732" s="12"/>
      <c r="T3732" s="8"/>
      <c r="U3732" s="8" t="s">
        <v>1590</v>
      </c>
      <c r="V3732" s="13" t="s">
        <v>38</v>
      </c>
      <c r="W3732" s="13" t="s">
        <v>17343</v>
      </c>
      <c r="X3732" s="12"/>
      <c r="Y3732" s="14"/>
      <c r="Z3732" s="14"/>
    </row>
    <row r="3733">
      <c r="A3733" s="8" t="s">
        <v>17344</v>
      </c>
      <c r="B3733" s="8" t="s">
        <v>15571</v>
      </c>
      <c r="C3733" s="8" t="s">
        <v>179</v>
      </c>
      <c r="D3733" s="8" t="s">
        <v>26</v>
      </c>
      <c r="E3733" s="8" t="s">
        <v>15572</v>
      </c>
      <c r="F3733" s="8">
        <v>1.123513422E9</v>
      </c>
      <c r="G3733" s="8" t="s">
        <v>284</v>
      </c>
      <c r="H3733" s="8" t="s">
        <v>300</v>
      </c>
      <c r="I3733" s="8" t="s">
        <v>31</v>
      </c>
      <c r="J3733" s="8" t="s">
        <v>292</v>
      </c>
      <c r="K3733" s="10" t="s">
        <v>12835</v>
      </c>
      <c r="L3733" s="8" t="s">
        <v>58</v>
      </c>
      <c r="M3733" s="8" t="s">
        <v>35</v>
      </c>
      <c r="N3733" s="11">
        <v>45250.0</v>
      </c>
      <c r="O3733" s="11">
        <v>45280.0</v>
      </c>
      <c r="P3733" s="11">
        <v>45322.0</v>
      </c>
      <c r="Q3733" s="11"/>
      <c r="R3733" s="11"/>
      <c r="S3733" s="12"/>
      <c r="T3733" s="8"/>
      <c r="U3733" s="8" t="s">
        <v>88</v>
      </c>
      <c r="V3733" s="13" t="s">
        <v>7533</v>
      </c>
      <c r="W3733" s="13" t="s">
        <v>15573</v>
      </c>
      <c r="X3733" s="12"/>
      <c r="Y3733" s="14"/>
      <c r="Z3733" s="14"/>
    </row>
    <row r="3734">
      <c r="A3734" s="8" t="s">
        <v>17345</v>
      </c>
      <c r="B3734" s="8" t="s">
        <v>17346</v>
      </c>
      <c r="C3734" s="8" t="s">
        <v>708</v>
      </c>
      <c r="D3734" s="8" t="s">
        <v>26</v>
      </c>
      <c r="E3734" s="8" t="s">
        <v>17347</v>
      </c>
      <c r="F3734" s="8">
        <v>5.31491738E9</v>
      </c>
      <c r="G3734" s="8" t="s">
        <v>31</v>
      </c>
      <c r="H3734" s="8" t="s">
        <v>66</v>
      </c>
      <c r="I3734" s="8" t="s">
        <v>284</v>
      </c>
      <c r="J3734" s="8" t="s">
        <v>589</v>
      </c>
      <c r="K3734" s="10" t="s">
        <v>16530</v>
      </c>
      <c r="L3734" s="8" t="s">
        <v>58</v>
      </c>
      <c r="M3734" s="8" t="s">
        <v>35</v>
      </c>
      <c r="N3734" s="11">
        <v>45250.0</v>
      </c>
      <c r="O3734" s="11">
        <v>45313.0</v>
      </c>
      <c r="P3734" s="11">
        <v>45355.0</v>
      </c>
      <c r="Q3734" s="11">
        <v>45314.0</v>
      </c>
      <c r="R3734" s="11">
        <v>45356.0</v>
      </c>
      <c r="S3734" s="12"/>
      <c r="T3734" s="8"/>
      <c r="U3734" s="8" t="s">
        <v>185</v>
      </c>
      <c r="V3734" s="13" t="s">
        <v>66</v>
      </c>
      <c r="W3734" s="13" t="s">
        <v>17348</v>
      </c>
      <c r="X3734" s="12"/>
      <c r="Y3734" s="14"/>
      <c r="Z3734" s="14"/>
    </row>
    <row r="3735">
      <c r="A3735" s="8" t="s">
        <v>17349</v>
      </c>
      <c r="B3735" s="8" t="s">
        <v>17350</v>
      </c>
      <c r="C3735" s="8" t="s">
        <v>179</v>
      </c>
      <c r="D3735" s="8" t="s">
        <v>26</v>
      </c>
      <c r="E3735" s="8" t="s">
        <v>17351</v>
      </c>
      <c r="F3735" s="8"/>
      <c r="G3735" s="8" t="s">
        <v>31</v>
      </c>
      <c r="H3735" s="8" t="s">
        <v>77</v>
      </c>
      <c r="I3735" s="8" t="s">
        <v>44</v>
      </c>
      <c r="J3735" s="8" t="s">
        <v>1993</v>
      </c>
      <c r="K3735" s="10" t="s">
        <v>16133</v>
      </c>
      <c r="L3735" s="8" t="s">
        <v>58</v>
      </c>
      <c r="M3735" s="8" t="s">
        <v>35</v>
      </c>
      <c r="N3735" s="11">
        <v>45250.0</v>
      </c>
      <c r="O3735" s="11">
        <v>45521.0</v>
      </c>
      <c r="P3735" s="11">
        <v>45563.0</v>
      </c>
      <c r="Q3735" s="11"/>
      <c r="R3735" s="11"/>
      <c r="S3735" s="12"/>
      <c r="T3735" s="8"/>
      <c r="U3735" s="8" t="s">
        <v>371</v>
      </c>
      <c r="V3735" s="13" t="s">
        <v>77</v>
      </c>
      <c r="W3735" s="13" t="s">
        <v>17352</v>
      </c>
      <c r="X3735" s="12"/>
      <c r="Y3735" s="14"/>
      <c r="Z3735" s="14"/>
    </row>
    <row r="3736">
      <c r="A3736" s="8" t="s">
        <v>17353</v>
      </c>
      <c r="B3736" s="8" t="s">
        <v>17354</v>
      </c>
      <c r="C3736" s="8" t="s">
        <v>179</v>
      </c>
      <c r="D3736" s="8" t="s">
        <v>26</v>
      </c>
      <c r="E3736" s="8" t="s">
        <v>17355</v>
      </c>
      <c r="F3736" s="8"/>
      <c r="G3736" s="8" t="s">
        <v>31</v>
      </c>
      <c r="H3736" s="8" t="s">
        <v>77</v>
      </c>
      <c r="I3736" s="8" t="s">
        <v>284</v>
      </c>
      <c r="J3736" s="8" t="s">
        <v>854</v>
      </c>
      <c r="K3736" s="10" t="s">
        <v>8210</v>
      </c>
      <c r="L3736" s="8" t="s">
        <v>58</v>
      </c>
      <c r="M3736" s="8" t="s">
        <v>35</v>
      </c>
      <c r="N3736" s="11">
        <v>45250.0</v>
      </c>
      <c r="O3736" s="11">
        <v>45505.0</v>
      </c>
      <c r="P3736" s="11">
        <v>45547.0</v>
      </c>
      <c r="Q3736" s="11"/>
      <c r="R3736" s="11"/>
      <c r="S3736" s="12"/>
      <c r="T3736" s="8"/>
      <c r="U3736" s="8" t="s">
        <v>161</v>
      </c>
      <c r="V3736" s="13" t="s">
        <v>38</v>
      </c>
      <c r="W3736" s="13" t="s">
        <v>17356</v>
      </c>
      <c r="X3736" s="12"/>
      <c r="Y3736" s="14"/>
      <c r="Z3736" s="14"/>
    </row>
    <row r="3737">
      <c r="A3737" s="8" t="s">
        <v>17357</v>
      </c>
      <c r="B3737" s="8" t="s">
        <v>17358</v>
      </c>
      <c r="C3737" s="8" t="s">
        <v>179</v>
      </c>
      <c r="D3737" s="8" t="s">
        <v>26</v>
      </c>
      <c r="E3737" s="8" t="s">
        <v>17359</v>
      </c>
      <c r="F3737" s="8">
        <v>5.386403941E9</v>
      </c>
      <c r="G3737" s="8" t="s">
        <v>31</v>
      </c>
      <c r="H3737" s="8" t="s">
        <v>86</v>
      </c>
      <c r="I3737" s="8" t="s">
        <v>284</v>
      </c>
      <c r="J3737" s="8" t="s">
        <v>854</v>
      </c>
      <c r="K3737" s="10" t="s">
        <v>8210</v>
      </c>
      <c r="L3737" s="8" t="s">
        <v>58</v>
      </c>
      <c r="M3737" s="8" t="s">
        <v>35</v>
      </c>
      <c r="N3737" s="11">
        <v>45250.0</v>
      </c>
      <c r="O3737" s="11">
        <v>45505.0</v>
      </c>
      <c r="P3737" s="11">
        <v>45547.0</v>
      </c>
      <c r="Q3737" s="11"/>
      <c r="R3737" s="11"/>
      <c r="S3737" s="12"/>
      <c r="T3737" s="8"/>
      <c r="U3737" s="8" t="s">
        <v>161</v>
      </c>
      <c r="V3737" s="13" t="s">
        <v>175</v>
      </c>
      <c r="W3737" s="13" t="s">
        <v>17360</v>
      </c>
      <c r="X3737" s="12"/>
      <c r="Y3737" s="14"/>
      <c r="Z3737" s="14"/>
    </row>
    <row r="3738">
      <c r="A3738" s="8" t="s">
        <v>17361</v>
      </c>
      <c r="B3738" s="8" t="s">
        <v>17362</v>
      </c>
      <c r="C3738" s="8" t="s">
        <v>179</v>
      </c>
      <c r="D3738" s="8" t="s">
        <v>26</v>
      </c>
      <c r="E3738" s="8" t="s">
        <v>17363</v>
      </c>
      <c r="F3738" s="8">
        <v>5.415154972E9</v>
      </c>
      <c r="G3738" s="8" t="s">
        <v>31</v>
      </c>
      <c r="H3738" s="8" t="s">
        <v>111</v>
      </c>
      <c r="I3738" s="8" t="s">
        <v>284</v>
      </c>
      <c r="J3738" s="8" t="s">
        <v>854</v>
      </c>
      <c r="K3738" s="10" t="s">
        <v>13462</v>
      </c>
      <c r="L3738" s="8" t="s">
        <v>58</v>
      </c>
      <c r="M3738" s="8" t="s">
        <v>35</v>
      </c>
      <c r="N3738" s="11">
        <v>45250.0</v>
      </c>
      <c r="O3738" s="11">
        <v>45444.0</v>
      </c>
      <c r="P3738" s="11">
        <v>45486.0</v>
      </c>
      <c r="Q3738" s="11"/>
      <c r="R3738" s="11"/>
      <c r="S3738" s="12"/>
      <c r="T3738" s="8"/>
      <c r="U3738" s="8" t="s">
        <v>1038</v>
      </c>
      <c r="V3738" s="13" t="s">
        <v>111</v>
      </c>
      <c r="W3738" s="13" t="s">
        <v>17364</v>
      </c>
      <c r="X3738" s="12"/>
      <c r="Y3738" s="14"/>
      <c r="Z3738" s="14"/>
    </row>
    <row r="3739">
      <c r="A3739" s="8" t="s">
        <v>17365</v>
      </c>
      <c r="B3739" s="8" t="s">
        <v>17366</v>
      </c>
      <c r="C3739" s="8" t="s">
        <v>179</v>
      </c>
      <c r="D3739" s="8" t="s">
        <v>26</v>
      </c>
      <c r="E3739" s="8" t="s">
        <v>17367</v>
      </c>
      <c r="F3739" s="8">
        <v>6.3189955E8</v>
      </c>
      <c r="G3739" s="8" t="s">
        <v>221</v>
      </c>
      <c r="H3739" s="8" t="s">
        <v>3985</v>
      </c>
      <c r="I3739" s="8" t="s">
        <v>31</v>
      </c>
      <c r="J3739" s="8" t="s">
        <v>102</v>
      </c>
      <c r="K3739" s="10" t="s">
        <v>9014</v>
      </c>
      <c r="L3739" s="8" t="s">
        <v>58</v>
      </c>
      <c r="M3739" s="8" t="s">
        <v>35</v>
      </c>
      <c r="N3739" s="11">
        <v>45251.0</v>
      </c>
      <c r="O3739" s="11">
        <v>45509.0</v>
      </c>
      <c r="P3739" s="11">
        <v>45551.0</v>
      </c>
      <c r="Q3739" s="11"/>
      <c r="R3739" s="11"/>
      <c r="S3739" s="12"/>
      <c r="T3739" s="8"/>
      <c r="U3739" s="8" t="s">
        <v>88</v>
      </c>
      <c r="V3739" s="13" t="s">
        <v>17368</v>
      </c>
      <c r="W3739" s="13" t="s">
        <v>17369</v>
      </c>
      <c r="X3739" s="12"/>
      <c r="Y3739" s="14"/>
      <c r="Z3739" s="14"/>
    </row>
    <row r="3740">
      <c r="A3740" s="8" t="s">
        <v>17370</v>
      </c>
      <c r="B3740" s="8" t="s">
        <v>17371</v>
      </c>
      <c r="C3740" s="8" t="s">
        <v>708</v>
      </c>
      <c r="D3740" s="8" t="s">
        <v>26</v>
      </c>
      <c r="E3740" s="8" t="s">
        <v>17372</v>
      </c>
      <c r="F3740" s="8">
        <v>5.334840756E9</v>
      </c>
      <c r="G3740" s="8" t="s">
        <v>31</v>
      </c>
      <c r="H3740" s="8" t="s">
        <v>77</v>
      </c>
      <c r="I3740" s="8" t="s">
        <v>221</v>
      </c>
      <c r="J3740" s="8" t="s">
        <v>3050</v>
      </c>
      <c r="K3740" s="10" t="s">
        <v>17373</v>
      </c>
      <c r="L3740" s="8" t="s">
        <v>34</v>
      </c>
      <c r="M3740" s="8" t="s">
        <v>35</v>
      </c>
      <c r="N3740" s="11">
        <v>45251.0</v>
      </c>
      <c r="O3740" s="11">
        <v>45313.0</v>
      </c>
      <c r="P3740" s="11">
        <v>45369.0</v>
      </c>
      <c r="Q3740" s="11">
        <v>45313.0</v>
      </c>
      <c r="R3740" s="11">
        <v>45369.0</v>
      </c>
      <c r="S3740" s="12"/>
      <c r="T3740" s="8" t="s">
        <v>205</v>
      </c>
      <c r="U3740" s="8" t="s">
        <v>17374</v>
      </c>
      <c r="V3740" s="13" t="s">
        <v>77</v>
      </c>
      <c r="W3740" s="13" t="s">
        <v>17375</v>
      </c>
      <c r="X3740" s="12"/>
      <c r="Y3740" s="14"/>
      <c r="Z3740" s="14"/>
    </row>
    <row r="3741">
      <c r="A3741" s="8" t="s">
        <v>17376</v>
      </c>
      <c r="B3741" s="8" t="s">
        <v>17377</v>
      </c>
      <c r="C3741" s="8" t="s">
        <v>179</v>
      </c>
      <c r="D3741" s="8" t="s">
        <v>26</v>
      </c>
      <c r="E3741" s="8" t="s">
        <v>17378</v>
      </c>
      <c r="F3741" s="8">
        <v>2.9173856E7</v>
      </c>
      <c r="G3741" s="8" t="s">
        <v>54</v>
      </c>
      <c r="H3741" s="8" t="s">
        <v>430</v>
      </c>
      <c r="I3741" s="8" t="s">
        <v>31</v>
      </c>
      <c r="J3741" s="8" t="s">
        <v>438</v>
      </c>
      <c r="K3741" s="10" t="s">
        <v>6001</v>
      </c>
      <c r="L3741" s="8" t="s">
        <v>58</v>
      </c>
      <c r="M3741" s="8" t="s">
        <v>35</v>
      </c>
      <c r="N3741" s="11">
        <v>45251.0</v>
      </c>
      <c r="O3741" s="11">
        <v>45487.0</v>
      </c>
      <c r="P3741" s="11">
        <v>45529.0</v>
      </c>
      <c r="Q3741" s="11"/>
      <c r="R3741" s="11"/>
      <c r="S3741" s="12"/>
      <c r="T3741" s="8"/>
      <c r="U3741" s="8" t="s">
        <v>59</v>
      </c>
      <c r="V3741" s="13" t="s">
        <v>4780</v>
      </c>
      <c r="W3741" s="13" t="s">
        <v>17379</v>
      </c>
      <c r="X3741" s="12"/>
      <c r="Y3741" s="14"/>
      <c r="Z3741" s="14"/>
    </row>
    <row r="3742">
      <c r="A3742" s="8" t="s">
        <v>17380</v>
      </c>
      <c r="B3742" s="8" t="s">
        <v>17381</v>
      </c>
      <c r="C3742" s="8" t="s">
        <v>179</v>
      </c>
      <c r="D3742" s="8" t="s">
        <v>26</v>
      </c>
      <c r="E3742" s="8" t="s">
        <v>17382</v>
      </c>
      <c r="F3742" s="8">
        <v>5.444035103E9</v>
      </c>
      <c r="G3742" s="8" t="s">
        <v>31</v>
      </c>
      <c r="H3742" s="8" t="s">
        <v>66</v>
      </c>
      <c r="I3742" s="8" t="s">
        <v>284</v>
      </c>
      <c r="J3742" s="8" t="s">
        <v>1764</v>
      </c>
      <c r="K3742" s="10" t="s">
        <v>17383</v>
      </c>
      <c r="L3742" s="8" t="s">
        <v>58</v>
      </c>
      <c r="M3742" s="8" t="s">
        <v>35</v>
      </c>
      <c r="N3742" s="11">
        <v>45251.0</v>
      </c>
      <c r="O3742" s="11">
        <v>45474.0</v>
      </c>
      <c r="P3742" s="11">
        <v>45516.0</v>
      </c>
      <c r="Q3742" s="11"/>
      <c r="R3742" s="11"/>
      <c r="S3742" s="12"/>
      <c r="T3742" s="8"/>
      <c r="U3742" s="8" t="s">
        <v>59</v>
      </c>
      <c r="V3742" s="13" t="s">
        <v>66</v>
      </c>
      <c r="W3742" s="13" t="s">
        <v>17384</v>
      </c>
      <c r="X3742" s="12"/>
      <c r="Y3742" s="14"/>
      <c r="Z3742" s="14"/>
    </row>
    <row r="3743">
      <c r="A3743" s="8" t="s">
        <v>17385</v>
      </c>
      <c r="B3743" s="8" t="s">
        <v>17386</v>
      </c>
      <c r="C3743" s="8" t="s">
        <v>179</v>
      </c>
      <c r="D3743" s="8" t="s">
        <v>26</v>
      </c>
      <c r="E3743" s="8" t="s">
        <v>17387</v>
      </c>
      <c r="F3743" s="8">
        <v>5.436401542E9</v>
      </c>
      <c r="G3743" s="8" t="s">
        <v>31</v>
      </c>
      <c r="H3743" s="8" t="s">
        <v>86</v>
      </c>
      <c r="I3743" s="8" t="s">
        <v>284</v>
      </c>
      <c r="J3743" s="8" t="s">
        <v>793</v>
      </c>
      <c r="K3743" s="10" t="s">
        <v>2781</v>
      </c>
      <c r="L3743" s="8" t="s">
        <v>58</v>
      </c>
      <c r="M3743" s="8" t="s">
        <v>35</v>
      </c>
      <c r="N3743" s="11">
        <v>45251.0</v>
      </c>
      <c r="O3743" s="11">
        <v>45519.0</v>
      </c>
      <c r="P3743" s="11">
        <v>45561.0</v>
      </c>
      <c r="Q3743" s="11"/>
      <c r="R3743" s="11"/>
      <c r="S3743" s="12"/>
      <c r="T3743" s="8"/>
      <c r="U3743" s="8" t="s">
        <v>339</v>
      </c>
      <c r="V3743" s="13" t="s">
        <v>175</v>
      </c>
      <c r="W3743" s="13" t="s">
        <v>17388</v>
      </c>
      <c r="X3743" s="12"/>
      <c r="Y3743" s="14"/>
      <c r="Z3743" s="14"/>
    </row>
    <row r="3744">
      <c r="A3744" s="8" t="s">
        <v>17389</v>
      </c>
      <c r="B3744" s="8" t="s">
        <v>17390</v>
      </c>
      <c r="C3744" s="8" t="s">
        <v>179</v>
      </c>
      <c r="D3744" s="8" t="s">
        <v>26</v>
      </c>
      <c r="E3744" s="8" t="s">
        <v>17391</v>
      </c>
      <c r="F3744" s="8">
        <v>5.8706821E7</v>
      </c>
      <c r="G3744" s="8" t="s">
        <v>54</v>
      </c>
      <c r="H3744" s="8" t="s">
        <v>430</v>
      </c>
      <c r="I3744" s="8" t="s">
        <v>31</v>
      </c>
      <c r="J3744" s="8" t="s">
        <v>56</v>
      </c>
      <c r="K3744" s="10" t="s">
        <v>15125</v>
      </c>
      <c r="L3744" s="8" t="s">
        <v>58</v>
      </c>
      <c r="M3744" s="8" t="s">
        <v>35</v>
      </c>
      <c r="N3744" s="11">
        <v>45251.0</v>
      </c>
      <c r="O3744" s="11">
        <v>45411.0</v>
      </c>
      <c r="P3744" s="11">
        <v>45453.0</v>
      </c>
      <c r="Q3744" s="11"/>
      <c r="R3744" s="11"/>
      <c r="S3744" s="12"/>
      <c r="T3744" s="8"/>
      <c r="U3744" s="8" t="s">
        <v>59</v>
      </c>
      <c r="V3744" s="13" t="s">
        <v>4780</v>
      </c>
      <c r="W3744" s="13" t="s">
        <v>17392</v>
      </c>
      <c r="X3744" s="12"/>
      <c r="Y3744" s="14"/>
      <c r="Z3744" s="14"/>
    </row>
    <row r="3745">
      <c r="A3745" s="8" t="s">
        <v>17393</v>
      </c>
      <c r="B3745" s="8" t="s">
        <v>17394</v>
      </c>
      <c r="C3745" s="8" t="s">
        <v>179</v>
      </c>
      <c r="D3745" s="8" t="s">
        <v>26</v>
      </c>
      <c r="E3745" s="8" t="s">
        <v>17395</v>
      </c>
      <c r="F3745" s="8">
        <v>5.537318246E9</v>
      </c>
      <c r="G3745" s="8" t="s">
        <v>31</v>
      </c>
      <c r="H3745" s="8" t="s">
        <v>256</v>
      </c>
      <c r="I3745" s="8" t="s">
        <v>284</v>
      </c>
      <c r="J3745" s="8" t="s">
        <v>285</v>
      </c>
      <c r="K3745" s="10" t="s">
        <v>3841</v>
      </c>
      <c r="L3745" s="8" t="s">
        <v>58</v>
      </c>
      <c r="M3745" s="8" t="s">
        <v>35</v>
      </c>
      <c r="N3745" s="11">
        <v>45251.0</v>
      </c>
      <c r="O3745" s="11">
        <v>45474.0</v>
      </c>
      <c r="P3745" s="11">
        <v>45516.0</v>
      </c>
      <c r="Q3745" s="11"/>
      <c r="R3745" s="11"/>
      <c r="S3745" s="12"/>
      <c r="T3745" s="8"/>
      <c r="U3745" s="8" t="s">
        <v>1038</v>
      </c>
      <c r="V3745" s="13" t="s">
        <v>256</v>
      </c>
      <c r="W3745" s="13" t="s">
        <v>17396</v>
      </c>
      <c r="X3745" s="12"/>
      <c r="Y3745" s="14"/>
      <c r="Z3745" s="14"/>
    </row>
    <row r="3746">
      <c r="A3746" s="8" t="s">
        <v>17397</v>
      </c>
      <c r="B3746" s="8" t="s">
        <v>17398</v>
      </c>
      <c r="C3746" s="8" t="s">
        <v>708</v>
      </c>
      <c r="D3746" s="8" t="s">
        <v>26</v>
      </c>
      <c r="E3746" s="8" t="s">
        <v>17399</v>
      </c>
      <c r="F3746" s="8">
        <v>5.365856396E9</v>
      </c>
      <c r="G3746" s="8" t="s">
        <v>31</v>
      </c>
      <c r="H3746" s="8" t="s">
        <v>32</v>
      </c>
      <c r="I3746" s="8" t="s">
        <v>221</v>
      </c>
      <c r="J3746" s="8" t="s">
        <v>3001</v>
      </c>
      <c r="K3746" s="10" t="s">
        <v>17400</v>
      </c>
      <c r="L3746" s="8" t="s">
        <v>58</v>
      </c>
      <c r="M3746" s="8" t="s">
        <v>35</v>
      </c>
      <c r="N3746" s="11">
        <v>45251.0</v>
      </c>
      <c r="O3746" s="11">
        <v>45307.0</v>
      </c>
      <c r="P3746" s="11">
        <v>45349.0</v>
      </c>
      <c r="Q3746" s="11">
        <v>45307.0</v>
      </c>
      <c r="R3746" s="11">
        <v>45349.0</v>
      </c>
      <c r="S3746" s="12"/>
      <c r="T3746" s="8"/>
      <c r="U3746" s="8" t="s">
        <v>88</v>
      </c>
      <c r="V3746" s="13" t="s">
        <v>537</v>
      </c>
      <c r="W3746" s="13" t="s">
        <v>17401</v>
      </c>
      <c r="X3746" s="12"/>
      <c r="Y3746" s="14"/>
      <c r="Z3746" s="14"/>
    </row>
    <row r="3747">
      <c r="A3747" s="8" t="s">
        <v>17402</v>
      </c>
      <c r="B3747" s="8" t="s">
        <v>17403</v>
      </c>
      <c r="C3747" s="8" t="s">
        <v>179</v>
      </c>
      <c r="D3747" s="8" t="s">
        <v>26</v>
      </c>
      <c r="E3747" s="8" t="s">
        <v>17404</v>
      </c>
      <c r="F3747" s="8">
        <v>9.67864556E8</v>
      </c>
      <c r="G3747" s="8" t="s">
        <v>1620</v>
      </c>
      <c r="H3747" s="8" t="s">
        <v>1635</v>
      </c>
      <c r="I3747" s="8" t="s">
        <v>31</v>
      </c>
      <c r="J3747" s="8" t="s">
        <v>77</v>
      </c>
      <c r="K3747" s="10" t="s">
        <v>5712</v>
      </c>
      <c r="L3747" s="8" t="s">
        <v>58</v>
      </c>
      <c r="M3747" s="8" t="s">
        <v>35</v>
      </c>
      <c r="N3747" s="11">
        <v>45251.0</v>
      </c>
      <c r="O3747" s="11">
        <v>45481.0</v>
      </c>
      <c r="P3747" s="11">
        <v>45523.0</v>
      </c>
      <c r="Q3747" s="11"/>
      <c r="R3747" s="11"/>
      <c r="S3747" s="12"/>
      <c r="T3747" s="8"/>
      <c r="U3747" s="8" t="s">
        <v>59</v>
      </c>
      <c r="V3747" s="13" t="s">
        <v>4256</v>
      </c>
      <c r="W3747" s="13" t="s">
        <v>17405</v>
      </c>
      <c r="X3747" s="12"/>
      <c r="Y3747" s="14"/>
      <c r="Z3747" s="14"/>
    </row>
    <row r="3748">
      <c r="A3748" s="8" t="s">
        <v>17406</v>
      </c>
      <c r="B3748" s="8" t="s">
        <v>16241</v>
      </c>
      <c r="C3748" s="8" t="s">
        <v>708</v>
      </c>
      <c r="D3748" s="8" t="s">
        <v>26</v>
      </c>
      <c r="E3748" s="8" t="s">
        <v>16242</v>
      </c>
      <c r="F3748" s="8">
        <v>5.350771331E9</v>
      </c>
      <c r="G3748" s="8" t="s">
        <v>31</v>
      </c>
      <c r="H3748" s="8" t="s">
        <v>86</v>
      </c>
      <c r="I3748" s="8" t="s">
        <v>127</v>
      </c>
      <c r="J3748" s="8" t="s">
        <v>2182</v>
      </c>
      <c r="K3748" s="10" t="s">
        <v>17142</v>
      </c>
      <c r="L3748" s="8" t="s">
        <v>58</v>
      </c>
      <c r="M3748" s="8" t="s">
        <v>35</v>
      </c>
      <c r="N3748" s="11">
        <v>45251.0</v>
      </c>
      <c r="O3748" s="11">
        <v>45318.0</v>
      </c>
      <c r="P3748" s="11">
        <v>45360.0</v>
      </c>
      <c r="Q3748" s="11">
        <v>45317.0</v>
      </c>
      <c r="R3748" s="11">
        <v>45360.0</v>
      </c>
      <c r="S3748" s="12"/>
      <c r="T3748" s="8"/>
      <c r="U3748" s="8" t="s">
        <v>1956</v>
      </c>
      <c r="V3748" s="13" t="s">
        <v>4798</v>
      </c>
      <c r="W3748" s="13" t="s">
        <v>16243</v>
      </c>
      <c r="X3748" s="12"/>
      <c r="Y3748" s="14"/>
      <c r="Z3748" s="14"/>
    </row>
    <row r="3749">
      <c r="A3749" s="8" t="s">
        <v>17407</v>
      </c>
      <c r="B3749" s="8" t="s">
        <v>17408</v>
      </c>
      <c r="C3749" s="8" t="s">
        <v>251</v>
      </c>
      <c r="D3749" s="8" t="s">
        <v>26</v>
      </c>
      <c r="E3749" s="8" t="s">
        <v>17409</v>
      </c>
      <c r="F3749" s="8">
        <v>3.6364675E7</v>
      </c>
      <c r="G3749" s="8" t="s">
        <v>3614</v>
      </c>
      <c r="H3749" s="8" t="s">
        <v>16417</v>
      </c>
      <c r="I3749" s="8" t="s">
        <v>31</v>
      </c>
      <c r="J3749" s="8" t="s">
        <v>292</v>
      </c>
      <c r="K3749" s="10" t="s">
        <v>2070</v>
      </c>
      <c r="L3749" s="8" t="s">
        <v>58</v>
      </c>
      <c r="M3749" s="8" t="s">
        <v>35</v>
      </c>
      <c r="N3749" s="11">
        <v>45251.0</v>
      </c>
      <c r="O3749" s="11">
        <v>45299.0</v>
      </c>
      <c r="P3749" s="11">
        <v>45341.0</v>
      </c>
      <c r="Q3749" s="11"/>
      <c r="R3749" s="11"/>
      <c r="S3749" s="12"/>
      <c r="T3749" s="8"/>
      <c r="U3749" s="8" t="s">
        <v>88</v>
      </c>
      <c r="V3749" s="13" t="s">
        <v>17410</v>
      </c>
      <c r="W3749" s="13" t="s">
        <v>17411</v>
      </c>
      <c r="X3749" s="12"/>
      <c r="Y3749" s="14"/>
      <c r="Z3749" s="14"/>
    </row>
    <row r="3750">
      <c r="A3750" s="8" t="s">
        <v>17412</v>
      </c>
      <c r="B3750" s="8" t="s">
        <v>17413</v>
      </c>
      <c r="C3750" s="8" t="s">
        <v>179</v>
      </c>
      <c r="D3750" s="8" t="s">
        <v>26</v>
      </c>
      <c r="E3750" s="8" t="s">
        <v>17414</v>
      </c>
      <c r="F3750" s="8"/>
      <c r="G3750" s="8" t="s">
        <v>1620</v>
      </c>
      <c r="H3750" s="8" t="s">
        <v>10795</v>
      </c>
      <c r="I3750" s="8" t="s">
        <v>31</v>
      </c>
      <c r="J3750" s="8" t="s">
        <v>102</v>
      </c>
      <c r="K3750" s="10" t="s">
        <v>9014</v>
      </c>
      <c r="L3750" s="8" t="s">
        <v>58</v>
      </c>
      <c r="M3750" s="8" t="s">
        <v>35</v>
      </c>
      <c r="N3750" s="11">
        <v>45251.0</v>
      </c>
      <c r="O3750" s="11">
        <v>45509.0</v>
      </c>
      <c r="P3750" s="11">
        <v>45551.0</v>
      </c>
      <c r="Q3750" s="11"/>
      <c r="R3750" s="11"/>
      <c r="S3750" s="12"/>
      <c r="T3750" s="8"/>
      <c r="U3750" s="8" t="s">
        <v>88</v>
      </c>
      <c r="V3750" s="13" t="s">
        <v>38</v>
      </c>
      <c r="W3750" s="13" t="s">
        <v>17415</v>
      </c>
      <c r="X3750" s="12"/>
      <c r="Y3750" s="14"/>
      <c r="Z3750" s="14"/>
    </row>
    <row r="3751">
      <c r="A3751" s="8" t="s">
        <v>17416</v>
      </c>
      <c r="B3751" s="8" t="s">
        <v>17417</v>
      </c>
      <c r="C3751" s="8" t="s">
        <v>179</v>
      </c>
      <c r="D3751" s="8" t="s">
        <v>26</v>
      </c>
      <c r="E3751" s="8" t="s">
        <v>17418</v>
      </c>
      <c r="F3751" s="8"/>
      <c r="G3751" s="8" t="s">
        <v>31</v>
      </c>
      <c r="H3751" s="8" t="s">
        <v>102</v>
      </c>
      <c r="I3751" s="8" t="s">
        <v>44</v>
      </c>
      <c r="J3751" s="8" t="s">
        <v>3093</v>
      </c>
      <c r="K3751" s="10" t="s">
        <v>14679</v>
      </c>
      <c r="L3751" s="8" t="s">
        <v>58</v>
      </c>
      <c r="M3751" s="8" t="s">
        <v>35</v>
      </c>
      <c r="N3751" s="11">
        <v>45251.0</v>
      </c>
      <c r="O3751" s="11">
        <v>45478.0</v>
      </c>
      <c r="P3751" s="11">
        <v>45520.0</v>
      </c>
      <c r="Q3751" s="11"/>
      <c r="R3751" s="11"/>
      <c r="S3751" s="12"/>
      <c r="T3751" s="8"/>
      <c r="U3751" s="8" t="s">
        <v>1038</v>
      </c>
      <c r="V3751" s="13" t="s">
        <v>38</v>
      </c>
      <c r="W3751" s="13" t="s">
        <v>17419</v>
      </c>
      <c r="X3751" s="12"/>
      <c r="Y3751" s="14"/>
      <c r="Z3751" s="14"/>
    </row>
    <row r="3752">
      <c r="A3752" s="8" t="s">
        <v>17420</v>
      </c>
      <c r="B3752" s="8" t="s">
        <v>17421</v>
      </c>
      <c r="C3752" s="8" t="s">
        <v>179</v>
      </c>
      <c r="D3752" s="8" t="s">
        <v>26</v>
      </c>
      <c r="E3752" s="8" t="s">
        <v>17422</v>
      </c>
      <c r="F3752" s="8">
        <v>5.071069598E9</v>
      </c>
      <c r="G3752" s="8" t="s">
        <v>31</v>
      </c>
      <c r="H3752" s="8" t="s">
        <v>1119</v>
      </c>
      <c r="I3752" s="8" t="s">
        <v>284</v>
      </c>
      <c r="J3752" s="8" t="s">
        <v>2065</v>
      </c>
      <c r="K3752" s="10" t="s">
        <v>17423</v>
      </c>
      <c r="L3752" s="8" t="s">
        <v>58</v>
      </c>
      <c r="M3752" s="8" t="s">
        <v>35</v>
      </c>
      <c r="N3752" s="11">
        <v>45251.0</v>
      </c>
      <c r="O3752" s="11">
        <v>45474.0</v>
      </c>
      <c r="P3752" s="11">
        <v>45516.0</v>
      </c>
      <c r="Q3752" s="11"/>
      <c r="R3752" s="11"/>
      <c r="S3752" s="12"/>
      <c r="T3752" s="8"/>
      <c r="U3752" s="8" t="s">
        <v>153</v>
      </c>
      <c r="V3752" s="13" t="s">
        <v>1119</v>
      </c>
      <c r="W3752" s="13" t="s">
        <v>17424</v>
      </c>
      <c r="X3752" s="12"/>
      <c r="Y3752" s="14"/>
      <c r="Z3752" s="14"/>
    </row>
    <row r="3753">
      <c r="A3753" s="8" t="s">
        <v>17425</v>
      </c>
      <c r="B3753" s="8" t="s">
        <v>17426</v>
      </c>
      <c r="C3753" s="8" t="s">
        <v>708</v>
      </c>
      <c r="D3753" s="8" t="s">
        <v>26</v>
      </c>
      <c r="E3753" s="8" t="s">
        <v>17427</v>
      </c>
      <c r="F3753" s="8"/>
      <c r="G3753" s="8" t="s">
        <v>31</v>
      </c>
      <c r="H3753" s="8" t="s">
        <v>77</v>
      </c>
      <c r="I3753" s="8" t="s">
        <v>221</v>
      </c>
      <c r="J3753" s="8" t="s">
        <v>3506</v>
      </c>
      <c r="K3753" s="10" t="s">
        <v>17428</v>
      </c>
      <c r="L3753" s="8" t="s">
        <v>58</v>
      </c>
      <c r="M3753" s="8" t="s">
        <v>35</v>
      </c>
      <c r="N3753" s="11">
        <v>45251.0</v>
      </c>
      <c r="O3753" s="11">
        <v>45313.0</v>
      </c>
      <c r="P3753" s="11">
        <v>45355.0</v>
      </c>
      <c r="Q3753" s="11">
        <v>45313.0</v>
      </c>
      <c r="R3753" s="11">
        <v>45355.0</v>
      </c>
      <c r="S3753" s="12"/>
      <c r="T3753" s="8"/>
      <c r="U3753" s="8" t="s">
        <v>88</v>
      </c>
      <c r="V3753" s="13" t="s">
        <v>38</v>
      </c>
      <c r="W3753" s="13" t="s">
        <v>17429</v>
      </c>
      <c r="X3753" s="12"/>
      <c r="Y3753" s="14"/>
      <c r="Z3753" s="14"/>
    </row>
    <row r="3754">
      <c r="A3754" s="8" t="s">
        <v>17430</v>
      </c>
      <c r="B3754" s="8" t="s">
        <v>17431</v>
      </c>
      <c r="C3754" s="8" t="s">
        <v>179</v>
      </c>
      <c r="D3754" s="8" t="s">
        <v>26</v>
      </c>
      <c r="E3754" s="8" t="s">
        <v>17432</v>
      </c>
      <c r="F3754" s="8">
        <v>7.3410446E8</v>
      </c>
      <c r="G3754" s="8" t="s">
        <v>127</v>
      </c>
      <c r="H3754" s="8" t="s">
        <v>128</v>
      </c>
      <c r="I3754" s="8" t="s">
        <v>31</v>
      </c>
      <c r="J3754" s="8" t="s">
        <v>56</v>
      </c>
      <c r="K3754" s="10" t="s">
        <v>9756</v>
      </c>
      <c r="L3754" s="8" t="s">
        <v>58</v>
      </c>
      <c r="M3754" s="8" t="s">
        <v>35</v>
      </c>
      <c r="N3754" s="11">
        <v>45251.0</v>
      </c>
      <c r="O3754" s="11">
        <v>45467.0</v>
      </c>
      <c r="P3754" s="11">
        <v>45509.0</v>
      </c>
      <c r="Q3754" s="11"/>
      <c r="R3754" s="11"/>
      <c r="S3754" s="12"/>
      <c r="T3754" s="8"/>
      <c r="U3754" s="8" t="s">
        <v>59</v>
      </c>
      <c r="V3754" s="13" t="s">
        <v>1473</v>
      </c>
      <c r="W3754" s="13" t="s">
        <v>17433</v>
      </c>
      <c r="X3754" s="12"/>
      <c r="Y3754" s="14"/>
      <c r="Z3754" s="14"/>
    </row>
    <row r="3755">
      <c r="A3755" s="8" t="s">
        <v>17434</v>
      </c>
      <c r="B3755" s="8" t="s">
        <v>17435</v>
      </c>
      <c r="C3755" s="8" t="s">
        <v>179</v>
      </c>
      <c r="D3755" s="8" t="s">
        <v>26</v>
      </c>
      <c r="E3755" s="8" t="s">
        <v>17436</v>
      </c>
      <c r="F3755" s="8">
        <v>5.058406647E9</v>
      </c>
      <c r="G3755" s="8" t="s">
        <v>31</v>
      </c>
      <c r="H3755" s="8" t="s">
        <v>167</v>
      </c>
      <c r="I3755" s="8" t="s">
        <v>284</v>
      </c>
      <c r="J3755" s="8" t="s">
        <v>3188</v>
      </c>
      <c r="K3755" s="10" t="s">
        <v>17437</v>
      </c>
      <c r="L3755" s="8" t="s">
        <v>58</v>
      </c>
      <c r="M3755" s="8" t="s">
        <v>35</v>
      </c>
      <c r="N3755" s="11">
        <v>45251.0</v>
      </c>
      <c r="O3755" s="11">
        <v>45306.0</v>
      </c>
      <c r="P3755" s="11">
        <v>45348.0</v>
      </c>
      <c r="Q3755" s="11"/>
      <c r="R3755" s="11"/>
      <c r="S3755" s="12"/>
      <c r="T3755" s="8"/>
      <c r="U3755" s="8" t="s">
        <v>1038</v>
      </c>
      <c r="V3755" s="13" t="s">
        <v>167</v>
      </c>
      <c r="W3755" s="13" t="s">
        <v>17438</v>
      </c>
      <c r="X3755" s="12"/>
      <c r="Y3755" s="14"/>
      <c r="Z3755" s="14"/>
    </row>
    <row r="3756">
      <c r="A3756" s="8" t="s">
        <v>17439</v>
      </c>
      <c r="B3756" s="8" t="s">
        <v>17440</v>
      </c>
      <c r="C3756" s="8" t="s">
        <v>179</v>
      </c>
      <c r="D3756" s="8" t="s">
        <v>26</v>
      </c>
      <c r="E3756" s="8" t="s">
        <v>17441</v>
      </c>
      <c r="F3756" s="8">
        <v>5.62470305E8</v>
      </c>
      <c r="G3756" s="8" t="s">
        <v>254</v>
      </c>
      <c r="H3756" s="8" t="s">
        <v>422</v>
      </c>
      <c r="I3756" s="8" t="s">
        <v>31</v>
      </c>
      <c r="J3756" s="8" t="s">
        <v>111</v>
      </c>
      <c r="K3756" s="10" t="s">
        <v>468</v>
      </c>
      <c r="L3756" s="8" t="s">
        <v>58</v>
      </c>
      <c r="M3756" s="8" t="s">
        <v>35</v>
      </c>
      <c r="N3756" s="11">
        <v>45251.0</v>
      </c>
      <c r="O3756" s="11">
        <v>45292.0</v>
      </c>
      <c r="P3756" s="11">
        <v>45334.0</v>
      </c>
      <c r="Q3756" s="11"/>
      <c r="R3756" s="11"/>
      <c r="S3756" s="12"/>
      <c r="T3756" s="8"/>
      <c r="U3756" s="8" t="s">
        <v>59</v>
      </c>
      <c r="V3756" s="13" t="s">
        <v>38</v>
      </c>
      <c r="W3756" s="13" t="s">
        <v>17442</v>
      </c>
      <c r="X3756" s="12"/>
      <c r="Y3756" s="14"/>
      <c r="Z3756" s="14"/>
    </row>
    <row r="3757">
      <c r="A3757" s="8" t="s">
        <v>17443</v>
      </c>
      <c r="B3757" s="8" t="s">
        <v>17444</v>
      </c>
      <c r="C3757" s="8" t="s">
        <v>179</v>
      </c>
      <c r="D3757" s="8" t="s">
        <v>26</v>
      </c>
      <c r="E3757" s="8" t="s">
        <v>17445</v>
      </c>
      <c r="F3757" s="8">
        <v>5.050429984E9</v>
      </c>
      <c r="G3757" s="8" t="s">
        <v>31</v>
      </c>
      <c r="H3757" s="8" t="s">
        <v>66</v>
      </c>
      <c r="I3757" s="8" t="s">
        <v>284</v>
      </c>
      <c r="J3757" s="8" t="s">
        <v>1450</v>
      </c>
      <c r="K3757" s="10" t="s">
        <v>11291</v>
      </c>
      <c r="L3757" s="8" t="s">
        <v>58</v>
      </c>
      <c r="M3757" s="8" t="s">
        <v>35</v>
      </c>
      <c r="N3757" s="11">
        <v>45251.0</v>
      </c>
      <c r="O3757" s="11">
        <v>45474.0</v>
      </c>
      <c r="P3757" s="11">
        <v>45516.0</v>
      </c>
      <c r="Q3757" s="11"/>
      <c r="R3757" s="11"/>
      <c r="S3757" s="12"/>
      <c r="T3757" s="8"/>
      <c r="U3757" s="8" t="s">
        <v>1038</v>
      </c>
      <c r="V3757" s="13" t="s">
        <v>66</v>
      </c>
      <c r="W3757" s="13" t="s">
        <v>17446</v>
      </c>
      <c r="X3757" s="12"/>
      <c r="Y3757" s="14"/>
      <c r="Z3757" s="14"/>
    </row>
    <row r="3758">
      <c r="A3758" s="8" t="s">
        <v>17447</v>
      </c>
      <c r="B3758" s="8" t="s">
        <v>17448</v>
      </c>
      <c r="C3758" s="8" t="s">
        <v>179</v>
      </c>
      <c r="D3758" s="8" t="s">
        <v>26</v>
      </c>
      <c r="E3758" s="8" t="s">
        <v>17449</v>
      </c>
      <c r="F3758" s="8">
        <v>5.528270039E9</v>
      </c>
      <c r="G3758" s="8" t="s">
        <v>31</v>
      </c>
      <c r="H3758" s="8" t="s">
        <v>66</v>
      </c>
      <c r="I3758" s="8" t="s">
        <v>284</v>
      </c>
      <c r="J3758" s="8" t="s">
        <v>1450</v>
      </c>
      <c r="K3758" s="10" t="s">
        <v>11291</v>
      </c>
      <c r="L3758" s="8" t="s">
        <v>58</v>
      </c>
      <c r="M3758" s="8" t="s">
        <v>35</v>
      </c>
      <c r="N3758" s="11">
        <v>45251.0</v>
      </c>
      <c r="O3758" s="11">
        <v>45474.0</v>
      </c>
      <c r="P3758" s="11">
        <v>45516.0</v>
      </c>
      <c r="Q3758" s="11"/>
      <c r="R3758" s="11"/>
      <c r="S3758" s="12"/>
      <c r="T3758" s="8"/>
      <c r="U3758" s="8" t="s">
        <v>1038</v>
      </c>
      <c r="V3758" s="13" t="s">
        <v>66</v>
      </c>
      <c r="W3758" s="13" t="s">
        <v>17450</v>
      </c>
      <c r="X3758" s="12"/>
      <c r="Y3758" s="14"/>
      <c r="Z3758" s="14"/>
    </row>
    <row r="3759">
      <c r="A3759" s="8" t="s">
        <v>17451</v>
      </c>
      <c r="B3759" s="8" t="s">
        <v>15081</v>
      </c>
      <c r="C3759" s="8" t="s">
        <v>708</v>
      </c>
      <c r="D3759" s="8" t="s">
        <v>26</v>
      </c>
      <c r="E3759" s="8" t="s">
        <v>17452</v>
      </c>
      <c r="F3759" s="8">
        <v>1.013144772E9</v>
      </c>
      <c r="G3759" s="8" t="s">
        <v>284</v>
      </c>
      <c r="H3759" s="8" t="s">
        <v>3188</v>
      </c>
      <c r="I3759" s="8" t="s">
        <v>31</v>
      </c>
      <c r="J3759" s="8" t="s">
        <v>66</v>
      </c>
      <c r="K3759" s="10" t="s">
        <v>15083</v>
      </c>
      <c r="L3759" s="8" t="s">
        <v>47</v>
      </c>
      <c r="M3759" s="8" t="s">
        <v>70</v>
      </c>
      <c r="N3759" s="11">
        <v>45251.0</v>
      </c>
      <c r="O3759" s="11">
        <v>45260.0</v>
      </c>
      <c r="P3759" s="11">
        <v>45626.0</v>
      </c>
      <c r="Q3759" s="11">
        <v>45257.0</v>
      </c>
      <c r="R3759" s="11">
        <v>45626.0</v>
      </c>
      <c r="S3759" s="12"/>
      <c r="T3759" s="8"/>
      <c r="U3759" s="8" t="s">
        <v>246</v>
      </c>
      <c r="V3759" s="13" t="s">
        <v>15084</v>
      </c>
      <c r="W3759" s="13" t="s">
        <v>17453</v>
      </c>
      <c r="X3759" s="12"/>
      <c r="Y3759" s="14"/>
      <c r="Z3759" s="14"/>
    </row>
    <row r="3760">
      <c r="A3760" s="8" t="s">
        <v>17454</v>
      </c>
      <c r="B3760" s="8" t="s">
        <v>17455</v>
      </c>
      <c r="C3760" s="8" t="s">
        <v>179</v>
      </c>
      <c r="D3760" s="8" t="s">
        <v>26</v>
      </c>
      <c r="E3760" s="8" t="s">
        <v>17456</v>
      </c>
      <c r="F3760" s="8">
        <v>7.2659537E8</v>
      </c>
      <c r="G3760" s="8" t="s">
        <v>127</v>
      </c>
      <c r="H3760" s="8" t="s">
        <v>128</v>
      </c>
      <c r="I3760" s="8" t="s">
        <v>31</v>
      </c>
      <c r="J3760" s="8" t="s">
        <v>136</v>
      </c>
      <c r="K3760" s="10" t="s">
        <v>8895</v>
      </c>
      <c r="L3760" s="8" t="s">
        <v>58</v>
      </c>
      <c r="M3760" s="8" t="s">
        <v>35</v>
      </c>
      <c r="N3760" s="11">
        <v>45251.0</v>
      </c>
      <c r="O3760" s="11">
        <v>45466.0</v>
      </c>
      <c r="P3760" s="11">
        <v>45508.0</v>
      </c>
      <c r="Q3760" s="11"/>
      <c r="R3760" s="11"/>
      <c r="S3760" s="12"/>
      <c r="T3760" s="8"/>
      <c r="U3760" s="8" t="s">
        <v>59</v>
      </c>
      <c r="V3760" s="13" t="s">
        <v>1473</v>
      </c>
      <c r="W3760" s="13" t="s">
        <v>17457</v>
      </c>
      <c r="X3760" s="12"/>
      <c r="Y3760" s="14"/>
      <c r="Z3760" s="14"/>
    </row>
    <row r="3761">
      <c r="A3761" s="8" t="s">
        <v>17458</v>
      </c>
      <c r="B3761" s="8" t="s">
        <v>17459</v>
      </c>
      <c r="C3761" s="8" t="s">
        <v>708</v>
      </c>
      <c r="D3761" s="8" t="s">
        <v>26</v>
      </c>
      <c r="E3761" s="8" t="s">
        <v>17460</v>
      </c>
      <c r="F3761" s="8"/>
      <c r="G3761" s="8" t="s">
        <v>31</v>
      </c>
      <c r="H3761" s="8" t="s">
        <v>292</v>
      </c>
      <c r="I3761" s="8" t="s">
        <v>221</v>
      </c>
      <c r="J3761" s="8" t="s">
        <v>3050</v>
      </c>
      <c r="K3761" s="10" t="s">
        <v>17218</v>
      </c>
      <c r="L3761" s="8" t="s">
        <v>58</v>
      </c>
      <c r="M3761" s="8" t="s">
        <v>35</v>
      </c>
      <c r="N3761" s="11">
        <v>45251.0</v>
      </c>
      <c r="O3761" s="11">
        <v>45313.0</v>
      </c>
      <c r="P3761" s="11">
        <v>45355.0</v>
      </c>
      <c r="Q3761" s="11">
        <v>45313.0</v>
      </c>
      <c r="R3761" s="11">
        <v>45355.0</v>
      </c>
      <c r="S3761" s="12"/>
      <c r="T3761" s="8"/>
      <c r="U3761" s="8" t="s">
        <v>371</v>
      </c>
      <c r="V3761" s="13" t="s">
        <v>38</v>
      </c>
      <c r="W3761" s="13" t="s">
        <v>17461</v>
      </c>
      <c r="X3761" s="12"/>
      <c r="Y3761" s="14"/>
      <c r="Z3761" s="14"/>
    </row>
    <row r="3762">
      <c r="A3762" s="8" t="s">
        <v>17462</v>
      </c>
      <c r="B3762" s="8" t="s">
        <v>17463</v>
      </c>
      <c r="C3762" s="8" t="s">
        <v>179</v>
      </c>
      <c r="D3762" s="8" t="s">
        <v>26</v>
      </c>
      <c r="E3762" s="8" t="s">
        <v>17464</v>
      </c>
      <c r="F3762" s="8">
        <v>7.72285934E8</v>
      </c>
      <c r="G3762" s="8" t="s">
        <v>127</v>
      </c>
      <c r="H3762" s="8" t="s">
        <v>128</v>
      </c>
      <c r="I3762" s="8" t="s">
        <v>31</v>
      </c>
      <c r="J3762" s="8" t="s">
        <v>102</v>
      </c>
      <c r="K3762" s="10" t="s">
        <v>1113</v>
      </c>
      <c r="L3762" s="8" t="s">
        <v>58</v>
      </c>
      <c r="M3762" s="8" t="s">
        <v>35</v>
      </c>
      <c r="N3762" s="11">
        <v>45251.0</v>
      </c>
      <c r="O3762" s="11">
        <v>45474.0</v>
      </c>
      <c r="P3762" s="11">
        <v>45516.0</v>
      </c>
      <c r="Q3762" s="11"/>
      <c r="R3762" s="11"/>
      <c r="S3762" s="12"/>
      <c r="T3762" s="8"/>
      <c r="U3762" s="8" t="s">
        <v>59</v>
      </c>
      <c r="V3762" s="13" t="s">
        <v>1473</v>
      </c>
      <c r="W3762" s="13" t="s">
        <v>17465</v>
      </c>
      <c r="X3762" s="12"/>
      <c r="Y3762" s="14"/>
      <c r="Z3762" s="14"/>
    </row>
    <row r="3763">
      <c r="A3763" s="8" t="s">
        <v>17466</v>
      </c>
      <c r="B3763" s="8" t="s">
        <v>17467</v>
      </c>
      <c r="C3763" s="8" t="s">
        <v>179</v>
      </c>
      <c r="D3763" s="8" t="s">
        <v>26</v>
      </c>
      <c r="E3763" s="8" t="s">
        <v>17468</v>
      </c>
      <c r="F3763" s="8">
        <v>7.30143703E8</v>
      </c>
      <c r="G3763" s="8" t="s">
        <v>127</v>
      </c>
      <c r="H3763" s="8" t="s">
        <v>128</v>
      </c>
      <c r="I3763" s="8" t="s">
        <v>31</v>
      </c>
      <c r="J3763" s="8" t="s">
        <v>136</v>
      </c>
      <c r="K3763" s="10" t="s">
        <v>5299</v>
      </c>
      <c r="L3763" s="8" t="s">
        <v>58</v>
      </c>
      <c r="M3763" s="8" t="s">
        <v>35</v>
      </c>
      <c r="N3763" s="11">
        <v>45251.0</v>
      </c>
      <c r="O3763" s="11">
        <v>45480.0</v>
      </c>
      <c r="P3763" s="11">
        <v>45522.0</v>
      </c>
      <c r="Q3763" s="11"/>
      <c r="R3763" s="11"/>
      <c r="S3763" s="12"/>
      <c r="T3763" s="8"/>
      <c r="U3763" s="8" t="s">
        <v>59</v>
      </c>
      <c r="V3763" s="13" t="s">
        <v>1473</v>
      </c>
      <c r="W3763" s="13" t="s">
        <v>17469</v>
      </c>
      <c r="X3763" s="12"/>
      <c r="Y3763" s="14"/>
      <c r="Z3763" s="14"/>
    </row>
    <row r="3764">
      <c r="A3764" s="8" t="s">
        <v>17470</v>
      </c>
      <c r="B3764" s="8" t="s">
        <v>17471</v>
      </c>
      <c r="C3764" s="8" t="s">
        <v>179</v>
      </c>
      <c r="D3764" s="8" t="s">
        <v>26</v>
      </c>
      <c r="E3764" s="8" t="s">
        <v>17472</v>
      </c>
      <c r="F3764" s="8">
        <v>2.7394126E7</v>
      </c>
      <c r="G3764" s="8" t="s">
        <v>54</v>
      </c>
      <c r="H3764" s="8" t="s">
        <v>244</v>
      </c>
      <c r="I3764" s="8" t="s">
        <v>31</v>
      </c>
      <c r="J3764" s="8" t="s">
        <v>56</v>
      </c>
      <c r="K3764" s="10" t="s">
        <v>11979</v>
      </c>
      <c r="L3764" s="8" t="s">
        <v>58</v>
      </c>
      <c r="M3764" s="8" t="s">
        <v>35</v>
      </c>
      <c r="N3764" s="11">
        <v>45251.0</v>
      </c>
      <c r="O3764" s="11">
        <v>45469.0</v>
      </c>
      <c r="P3764" s="11">
        <v>45511.0</v>
      </c>
      <c r="Q3764" s="11"/>
      <c r="R3764" s="11"/>
      <c r="S3764" s="12"/>
      <c r="T3764" s="8"/>
      <c r="U3764" s="8" t="s">
        <v>161</v>
      </c>
      <c r="V3764" s="13" t="s">
        <v>9923</v>
      </c>
      <c r="W3764" s="13" t="s">
        <v>17473</v>
      </c>
      <c r="X3764" s="12"/>
      <c r="Y3764" s="14"/>
      <c r="Z3764" s="14"/>
    </row>
    <row r="3765">
      <c r="A3765" s="8" t="s">
        <v>17474</v>
      </c>
      <c r="B3765" s="8" t="s">
        <v>17475</v>
      </c>
      <c r="C3765" s="8" t="s">
        <v>179</v>
      </c>
      <c r="D3765" s="8" t="s">
        <v>26</v>
      </c>
      <c r="E3765" s="8" t="s">
        <v>17476</v>
      </c>
      <c r="F3765" s="8"/>
      <c r="G3765" s="8" t="s">
        <v>54</v>
      </c>
      <c r="H3765" s="8" t="s">
        <v>135</v>
      </c>
      <c r="I3765" s="8" t="s">
        <v>31</v>
      </c>
      <c r="J3765" s="8" t="s">
        <v>136</v>
      </c>
      <c r="K3765" s="10" t="s">
        <v>5299</v>
      </c>
      <c r="L3765" s="8" t="s">
        <v>58</v>
      </c>
      <c r="M3765" s="8" t="s">
        <v>35</v>
      </c>
      <c r="N3765" s="11">
        <v>45251.0</v>
      </c>
      <c r="O3765" s="11">
        <v>45452.0</v>
      </c>
      <c r="P3765" s="11">
        <v>45494.0</v>
      </c>
      <c r="Q3765" s="11"/>
      <c r="R3765" s="11"/>
      <c r="S3765" s="12"/>
      <c r="T3765" s="8"/>
      <c r="U3765" s="8" t="s">
        <v>59</v>
      </c>
      <c r="V3765" s="13" t="s">
        <v>38</v>
      </c>
      <c r="W3765" s="13" t="s">
        <v>17477</v>
      </c>
      <c r="X3765" s="12"/>
      <c r="Y3765" s="14"/>
      <c r="Z3765" s="14"/>
    </row>
    <row r="3766">
      <c r="A3766" s="8" t="s">
        <v>17478</v>
      </c>
      <c r="B3766" s="8" t="s">
        <v>17479</v>
      </c>
      <c r="C3766" s="8" t="s">
        <v>179</v>
      </c>
      <c r="D3766" s="8" t="s">
        <v>26</v>
      </c>
      <c r="E3766" s="8" t="s">
        <v>17480</v>
      </c>
      <c r="F3766" s="8">
        <v>2.392991E7</v>
      </c>
      <c r="G3766" s="8" t="s">
        <v>54</v>
      </c>
      <c r="H3766" s="8" t="s">
        <v>76</v>
      </c>
      <c r="I3766" s="8" t="s">
        <v>31</v>
      </c>
      <c r="J3766" s="8" t="s">
        <v>86</v>
      </c>
      <c r="K3766" s="10" t="s">
        <v>2453</v>
      </c>
      <c r="L3766" s="8" t="s">
        <v>58</v>
      </c>
      <c r="M3766" s="8" t="s">
        <v>35</v>
      </c>
      <c r="N3766" s="11">
        <v>45251.0</v>
      </c>
      <c r="O3766" s="11">
        <v>45505.0</v>
      </c>
      <c r="P3766" s="11">
        <v>45547.0</v>
      </c>
      <c r="Q3766" s="11"/>
      <c r="R3766" s="11"/>
      <c r="S3766" s="12"/>
      <c r="T3766" s="8"/>
      <c r="U3766" s="8" t="s">
        <v>59</v>
      </c>
      <c r="V3766" s="13" t="s">
        <v>573</v>
      </c>
      <c r="W3766" s="13" t="s">
        <v>17481</v>
      </c>
      <c r="X3766" s="12"/>
      <c r="Y3766" s="14"/>
      <c r="Z3766" s="14"/>
    </row>
    <row r="3767">
      <c r="A3767" s="8" t="s">
        <v>17482</v>
      </c>
      <c r="B3767" s="8" t="s">
        <v>17483</v>
      </c>
      <c r="C3767" s="8" t="s">
        <v>179</v>
      </c>
      <c r="D3767" s="8" t="s">
        <v>26</v>
      </c>
      <c r="E3767" s="8" t="s">
        <v>17484</v>
      </c>
      <c r="F3767" s="8"/>
      <c r="G3767" s="8" t="s">
        <v>109</v>
      </c>
      <c r="H3767" s="8" t="s">
        <v>4636</v>
      </c>
      <c r="I3767" s="8" t="s">
        <v>31</v>
      </c>
      <c r="J3767" s="8" t="s">
        <v>56</v>
      </c>
      <c r="K3767" s="10" t="s">
        <v>15775</v>
      </c>
      <c r="L3767" s="8" t="s">
        <v>58</v>
      </c>
      <c r="M3767" s="8" t="s">
        <v>35</v>
      </c>
      <c r="N3767" s="11">
        <v>45252.0</v>
      </c>
      <c r="O3767" s="11">
        <v>45383.0</v>
      </c>
      <c r="P3767" s="11">
        <v>45425.0</v>
      </c>
      <c r="Q3767" s="11"/>
      <c r="R3767" s="11"/>
      <c r="S3767" s="12"/>
      <c r="T3767" s="8"/>
      <c r="U3767" s="8" t="s">
        <v>161</v>
      </c>
      <c r="V3767" s="13" t="s">
        <v>38</v>
      </c>
      <c r="W3767" s="13" t="s">
        <v>17485</v>
      </c>
      <c r="X3767" s="12"/>
      <c r="Y3767" s="14"/>
      <c r="Z3767" s="14"/>
    </row>
    <row r="3768">
      <c r="A3768" s="8" t="s">
        <v>17486</v>
      </c>
      <c r="B3768" s="8" t="s">
        <v>16302</v>
      </c>
      <c r="C3768" s="8" t="s">
        <v>179</v>
      </c>
      <c r="D3768" s="8" t="s">
        <v>26</v>
      </c>
      <c r="E3768" s="8" t="s">
        <v>16303</v>
      </c>
      <c r="F3768" s="8"/>
      <c r="G3768" s="8" t="s">
        <v>31</v>
      </c>
      <c r="H3768" s="8" t="s">
        <v>86</v>
      </c>
      <c r="I3768" s="8" t="s">
        <v>127</v>
      </c>
      <c r="J3768" s="8" t="s">
        <v>2182</v>
      </c>
      <c r="K3768" s="10" t="s">
        <v>17487</v>
      </c>
      <c r="L3768" s="8" t="s">
        <v>58</v>
      </c>
      <c r="M3768" s="8" t="s">
        <v>35</v>
      </c>
      <c r="N3768" s="11">
        <v>45252.0</v>
      </c>
      <c r="O3768" s="11">
        <v>45334.0</v>
      </c>
      <c r="P3768" s="11">
        <v>45376.0</v>
      </c>
      <c r="Q3768" s="11"/>
      <c r="R3768" s="11"/>
      <c r="S3768" s="12"/>
      <c r="T3768" s="8"/>
      <c r="U3768" s="8" t="s">
        <v>1956</v>
      </c>
      <c r="V3768" s="13" t="s">
        <v>38</v>
      </c>
      <c r="W3768" s="13" t="s">
        <v>16304</v>
      </c>
      <c r="X3768" s="12"/>
      <c r="Y3768" s="14"/>
      <c r="Z3768" s="14"/>
    </row>
    <row r="3769">
      <c r="A3769" s="8" t="s">
        <v>17488</v>
      </c>
      <c r="B3769" s="8" t="s">
        <v>17489</v>
      </c>
      <c r="C3769" s="8" t="s">
        <v>179</v>
      </c>
      <c r="D3769" s="8" t="s">
        <v>26</v>
      </c>
      <c r="E3769" s="8" t="s">
        <v>17490</v>
      </c>
      <c r="F3769" s="8">
        <v>5.550647582E9</v>
      </c>
      <c r="G3769" s="8" t="s">
        <v>31</v>
      </c>
      <c r="H3769" s="8" t="s">
        <v>102</v>
      </c>
      <c r="I3769" s="8" t="s">
        <v>127</v>
      </c>
      <c r="J3769" s="8" t="s">
        <v>1628</v>
      </c>
      <c r="K3769" s="10" t="s">
        <v>17491</v>
      </c>
      <c r="L3769" s="8" t="s">
        <v>58</v>
      </c>
      <c r="M3769" s="8" t="s">
        <v>35</v>
      </c>
      <c r="N3769" s="11">
        <v>45252.0</v>
      </c>
      <c r="O3769" s="11">
        <v>45327.0</v>
      </c>
      <c r="P3769" s="11">
        <v>45369.0</v>
      </c>
      <c r="Q3769" s="11"/>
      <c r="R3769" s="11"/>
      <c r="S3769" s="12"/>
      <c r="T3769" s="8"/>
      <c r="U3769" s="8" t="s">
        <v>1956</v>
      </c>
      <c r="V3769" s="13" t="s">
        <v>102</v>
      </c>
      <c r="W3769" s="13" t="s">
        <v>17492</v>
      </c>
      <c r="X3769" s="12"/>
      <c r="Y3769" s="14"/>
      <c r="Z3769" s="14"/>
    </row>
    <row r="3770">
      <c r="A3770" s="8" t="s">
        <v>17493</v>
      </c>
      <c r="B3770" s="8" t="s">
        <v>17494</v>
      </c>
      <c r="C3770" s="8" t="s">
        <v>179</v>
      </c>
      <c r="D3770" s="8" t="s">
        <v>26</v>
      </c>
      <c r="E3770" s="8" t="s">
        <v>17495</v>
      </c>
      <c r="F3770" s="8"/>
      <c r="G3770" s="8" t="s">
        <v>31</v>
      </c>
      <c r="H3770" s="8" t="s">
        <v>102</v>
      </c>
      <c r="I3770" s="8" t="s">
        <v>202</v>
      </c>
      <c r="J3770" s="8" t="s">
        <v>203</v>
      </c>
      <c r="K3770" s="10" t="s">
        <v>17496</v>
      </c>
      <c r="L3770" s="8" t="s">
        <v>34</v>
      </c>
      <c r="M3770" s="8" t="s">
        <v>70</v>
      </c>
      <c r="N3770" s="11">
        <v>45252.0</v>
      </c>
      <c r="O3770" s="11">
        <v>45306.0</v>
      </c>
      <c r="P3770" s="11">
        <v>45671.0</v>
      </c>
      <c r="Q3770" s="11"/>
      <c r="R3770" s="11"/>
      <c r="S3770" s="12"/>
      <c r="T3770" s="8" t="s">
        <v>36</v>
      </c>
      <c r="U3770" s="8" t="s">
        <v>17497</v>
      </c>
      <c r="V3770" s="13" t="s">
        <v>102</v>
      </c>
      <c r="W3770" s="13" t="s">
        <v>17498</v>
      </c>
      <c r="X3770" s="12"/>
      <c r="Y3770" s="14"/>
      <c r="Z3770" s="14"/>
    </row>
    <row r="3771">
      <c r="A3771" s="8" t="s">
        <v>17499</v>
      </c>
      <c r="B3771" s="8" t="s">
        <v>17500</v>
      </c>
      <c r="C3771" s="8" t="s">
        <v>179</v>
      </c>
      <c r="D3771" s="8" t="s">
        <v>26</v>
      </c>
      <c r="E3771" s="8" t="s">
        <v>17501</v>
      </c>
      <c r="F3771" s="8">
        <v>2.7775938E7</v>
      </c>
      <c r="G3771" s="8" t="s">
        <v>54</v>
      </c>
      <c r="H3771" s="8" t="s">
        <v>76</v>
      </c>
      <c r="I3771" s="8" t="s">
        <v>31</v>
      </c>
      <c r="J3771" s="8" t="s">
        <v>86</v>
      </c>
      <c r="K3771" s="10" t="s">
        <v>2453</v>
      </c>
      <c r="L3771" s="8" t="s">
        <v>58</v>
      </c>
      <c r="M3771" s="8" t="s">
        <v>35</v>
      </c>
      <c r="N3771" s="11">
        <v>45252.0</v>
      </c>
      <c r="O3771" s="11">
        <v>45347.0</v>
      </c>
      <c r="P3771" s="11">
        <v>45389.0</v>
      </c>
      <c r="Q3771" s="11"/>
      <c r="R3771" s="11"/>
      <c r="S3771" s="12"/>
      <c r="T3771" s="8"/>
      <c r="U3771" s="8" t="s">
        <v>59</v>
      </c>
      <c r="V3771" s="13" t="s">
        <v>15263</v>
      </c>
      <c r="W3771" s="13" t="s">
        <v>17502</v>
      </c>
      <c r="X3771" s="12"/>
      <c r="Y3771" s="14"/>
      <c r="Z3771" s="14"/>
    </row>
    <row r="3772">
      <c r="A3772" s="8" t="s">
        <v>17503</v>
      </c>
      <c r="B3772" s="8" t="s">
        <v>17504</v>
      </c>
      <c r="C3772" s="8" t="s">
        <v>179</v>
      </c>
      <c r="D3772" s="8" t="s">
        <v>26</v>
      </c>
      <c r="E3772" s="8" t="s">
        <v>17505</v>
      </c>
      <c r="F3772" s="8">
        <v>2.0903989E7</v>
      </c>
      <c r="G3772" s="8" t="s">
        <v>54</v>
      </c>
      <c r="H3772" s="8" t="s">
        <v>76</v>
      </c>
      <c r="I3772" s="8" t="s">
        <v>31</v>
      </c>
      <c r="J3772" s="8" t="s">
        <v>86</v>
      </c>
      <c r="K3772" s="10" t="s">
        <v>2453</v>
      </c>
      <c r="L3772" s="8" t="s">
        <v>58</v>
      </c>
      <c r="M3772" s="8" t="s">
        <v>35</v>
      </c>
      <c r="N3772" s="11">
        <v>45252.0</v>
      </c>
      <c r="O3772" s="11">
        <v>45505.0</v>
      </c>
      <c r="P3772" s="11">
        <v>45547.0</v>
      </c>
      <c r="Q3772" s="11"/>
      <c r="R3772" s="11"/>
      <c r="S3772" s="12"/>
      <c r="T3772" s="8"/>
      <c r="U3772" s="8" t="s">
        <v>59</v>
      </c>
      <c r="V3772" s="13" t="s">
        <v>491</v>
      </c>
      <c r="W3772" s="13" t="s">
        <v>17506</v>
      </c>
      <c r="X3772" s="12"/>
      <c r="Y3772" s="14"/>
      <c r="Z3772" s="14"/>
    </row>
    <row r="3773">
      <c r="A3773" s="8" t="s">
        <v>17507</v>
      </c>
      <c r="B3773" s="8" t="s">
        <v>17508</v>
      </c>
      <c r="C3773" s="8" t="s">
        <v>179</v>
      </c>
      <c r="D3773" s="8" t="s">
        <v>26</v>
      </c>
      <c r="E3773" s="8" t="s">
        <v>17509</v>
      </c>
      <c r="F3773" s="8">
        <v>5.527012018E9</v>
      </c>
      <c r="G3773" s="8" t="s">
        <v>31</v>
      </c>
      <c r="H3773" s="8" t="s">
        <v>66</v>
      </c>
      <c r="I3773" s="8" t="s">
        <v>284</v>
      </c>
      <c r="J3773" s="8" t="s">
        <v>1450</v>
      </c>
      <c r="K3773" s="10" t="s">
        <v>11291</v>
      </c>
      <c r="L3773" s="8" t="s">
        <v>58</v>
      </c>
      <c r="M3773" s="8" t="s">
        <v>35</v>
      </c>
      <c r="N3773" s="11">
        <v>45252.0</v>
      </c>
      <c r="O3773" s="11">
        <v>45474.0</v>
      </c>
      <c r="P3773" s="11">
        <v>45516.0</v>
      </c>
      <c r="Q3773" s="11"/>
      <c r="R3773" s="11"/>
      <c r="S3773" s="12"/>
      <c r="T3773" s="8"/>
      <c r="U3773" s="8" t="s">
        <v>1038</v>
      </c>
      <c r="V3773" s="13" t="s">
        <v>66</v>
      </c>
      <c r="W3773" s="13" t="s">
        <v>17510</v>
      </c>
      <c r="X3773" s="12"/>
      <c r="Y3773" s="14"/>
      <c r="Z3773" s="14"/>
    </row>
    <row r="3774">
      <c r="A3774" s="8" t="s">
        <v>17511</v>
      </c>
      <c r="B3774" s="8" t="s">
        <v>6467</v>
      </c>
      <c r="C3774" s="8" t="s">
        <v>179</v>
      </c>
      <c r="D3774" s="8" t="s">
        <v>26</v>
      </c>
      <c r="E3774" s="8" t="s">
        <v>6468</v>
      </c>
      <c r="F3774" s="8">
        <v>5.312688502E9</v>
      </c>
      <c r="G3774" s="8" t="s">
        <v>31</v>
      </c>
      <c r="H3774" s="8" t="s">
        <v>66</v>
      </c>
      <c r="I3774" s="8" t="s">
        <v>284</v>
      </c>
      <c r="J3774" s="8" t="s">
        <v>1450</v>
      </c>
      <c r="K3774" s="10" t="s">
        <v>17512</v>
      </c>
      <c r="L3774" s="8" t="s">
        <v>58</v>
      </c>
      <c r="M3774" s="8" t="s">
        <v>35</v>
      </c>
      <c r="N3774" s="11">
        <v>45252.0</v>
      </c>
      <c r="O3774" s="11">
        <v>45474.0</v>
      </c>
      <c r="P3774" s="11">
        <v>45516.0</v>
      </c>
      <c r="Q3774" s="11"/>
      <c r="R3774" s="11"/>
      <c r="S3774" s="12"/>
      <c r="T3774" s="8"/>
      <c r="U3774" s="8" t="s">
        <v>153</v>
      </c>
      <c r="V3774" s="13" t="s">
        <v>5212</v>
      </c>
      <c r="W3774" s="13" t="s">
        <v>6469</v>
      </c>
      <c r="X3774" s="12"/>
      <c r="Y3774" s="14"/>
      <c r="Z3774" s="14"/>
    </row>
    <row r="3775">
      <c r="A3775" s="8" t="s">
        <v>17513</v>
      </c>
      <c r="B3775" s="8" t="s">
        <v>17514</v>
      </c>
      <c r="C3775" s="8" t="s">
        <v>179</v>
      </c>
      <c r="D3775" s="8" t="s">
        <v>26</v>
      </c>
      <c r="E3775" s="8" t="s">
        <v>17515</v>
      </c>
      <c r="F3775" s="8">
        <v>5.346200337E9</v>
      </c>
      <c r="G3775" s="8" t="s">
        <v>31</v>
      </c>
      <c r="H3775" s="8" t="s">
        <v>77</v>
      </c>
      <c r="I3775" s="8" t="s">
        <v>44</v>
      </c>
      <c r="J3775" s="8" t="s">
        <v>1993</v>
      </c>
      <c r="K3775" s="10" t="s">
        <v>11045</v>
      </c>
      <c r="L3775" s="8" t="s">
        <v>58</v>
      </c>
      <c r="M3775" s="8" t="s">
        <v>35</v>
      </c>
      <c r="N3775" s="11">
        <v>45252.0</v>
      </c>
      <c r="O3775" s="11">
        <v>45323.0</v>
      </c>
      <c r="P3775" s="11">
        <v>45365.0</v>
      </c>
      <c r="Q3775" s="11"/>
      <c r="R3775" s="11"/>
      <c r="S3775" s="12"/>
      <c r="T3775" s="8"/>
      <c r="U3775" s="8" t="s">
        <v>371</v>
      </c>
      <c r="V3775" s="13" t="s">
        <v>77</v>
      </c>
      <c r="W3775" s="13" t="s">
        <v>17516</v>
      </c>
      <c r="X3775" s="12"/>
      <c r="Y3775" s="14"/>
      <c r="Z3775" s="14"/>
    </row>
    <row r="3776">
      <c r="A3776" s="8" t="s">
        <v>17517</v>
      </c>
      <c r="B3776" s="8" t="s">
        <v>17518</v>
      </c>
      <c r="C3776" s="8" t="s">
        <v>179</v>
      </c>
      <c r="D3776" s="8" t="s">
        <v>26</v>
      </c>
      <c r="E3776" s="8" t="s">
        <v>17519</v>
      </c>
      <c r="F3776" s="8">
        <v>5.41384356E9</v>
      </c>
      <c r="G3776" s="8" t="s">
        <v>31</v>
      </c>
      <c r="H3776" s="8" t="s">
        <v>66</v>
      </c>
      <c r="I3776" s="8" t="s">
        <v>284</v>
      </c>
      <c r="J3776" s="8" t="s">
        <v>1764</v>
      </c>
      <c r="K3776" s="10" t="s">
        <v>17239</v>
      </c>
      <c r="L3776" s="8" t="s">
        <v>58</v>
      </c>
      <c r="M3776" s="8" t="s">
        <v>35</v>
      </c>
      <c r="N3776" s="11">
        <v>45252.0</v>
      </c>
      <c r="O3776" s="11">
        <v>45474.0</v>
      </c>
      <c r="P3776" s="11">
        <v>45516.0</v>
      </c>
      <c r="Q3776" s="11"/>
      <c r="R3776" s="11"/>
      <c r="S3776" s="12"/>
      <c r="T3776" s="8"/>
      <c r="U3776" s="8" t="s">
        <v>59</v>
      </c>
      <c r="V3776" s="13" t="s">
        <v>66</v>
      </c>
      <c r="W3776" s="13" t="s">
        <v>17520</v>
      </c>
      <c r="X3776" s="12"/>
      <c r="Y3776" s="14"/>
      <c r="Z3776" s="14"/>
    </row>
    <row r="3777">
      <c r="A3777" s="8" t="s">
        <v>17521</v>
      </c>
      <c r="B3777" s="8" t="s">
        <v>17522</v>
      </c>
      <c r="C3777" s="8" t="s">
        <v>179</v>
      </c>
      <c r="D3777" s="8" t="s">
        <v>26</v>
      </c>
      <c r="E3777" s="8" t="s">
        <v>17523</v>
      </c>
      <c r="F3777" s="8">
        <v>8.291185285E9</v>
      </c>
      <c r="G3777" s="8" t="s">
        <v>44</v>
      </c>
      <c r="H3777" s="8" t="s">
        <v>741</v>
      </c>
      <c r="I3777" s="8" t="s">
        <v>31</v>
      </c>
      <c r="J3777" s="8" t="s">
        <v>111</v>
      </c>
      <c r="K3777" s="10" t="s">
        <v>338</v>
      </c>
      <c r="L3777" s="8" t="s">
        <v>58</v>
      </c>
      <c r="M3777" s="8" t="s">
        <v>35</v>
      </c>
      <c r="N3777" s="11">
        <v>45252.0</v>
      </c>
      <c r="O3777" s="11">
        <v>45425.0</v>
      </c>
      <c r="P3777" s="11">
        <v>45467.0</v>
      </c>
      <c r="Q3777" s="11"/>
      <c r="R3777" s="11"/>
      <c r="S3777" s="12"/>
      <c r="T3777" s="8"/>
      <c r="U3777" s="8" t="s">
        <v>339</v>
      </c>
      <c r="V3777" s="13" t="s">
        <v>4876</v>
      </c>
      <c r="W3777" s="13" t="s">
        <v>17524</v>
      </c>
      <c r="X3777" s="12"/>
      <c r="Y3777" s="14"/>
      <c r="Z3777" s="14"/>
    </row>
    <row r="3778">
      <c r="A3778" s="8" t="s">
        <v>17525</v>
      </c>
      <c r="B3778" s="8" t="s">
        <v>17526</v>
      </c>
      <c r="C3778" s="8" t="s">
        <v>179</v>
      </c>
      <c r="D3778" s="8" t="s">
        <v>26</v>
      </c>
      <c r="E3778" s="8" t="s">
        <v>17527</v>
      </c>
      <c r="F3778" s="8">
        <v>6.7416137E8</v>
      </c>
      <c r="G3778" s="8" t="s">
        <v>1620</v>
      </c>
      <c r="H3778" s="8" t="s">
        <v>10795</v>
      </c>
      <c r="I3778" s="8" t="s">
        <v>31</v>
      </c>
      <c r="J3778" s="8" t="s">
        <v>102</v>
      </c>
      <c r="K3778" s="10" t="s">
        <v>9014</v>
      </c>
      <c r="L3778" s="8" t="s">
        <v>58</v>
      </c>
      <c r="M3778" s="8" t="s">
        <v>35</v>
      </c>
      <c r="N3778" s="11">
        <v>45252.0</v>
      </c>
      <c r="O3778" s="11">
        <v>45509.0</v>
      </c>
      <c r="P3778" s="11">
        <v>45551.0</v>
      </c>
      <c r="Q3778" s="11"/>
      <c r="R3778" s="11"/>
      <c r="S3778" s="12"/>
      <c r="T3778" s="8"/>
      <c r="U3778" s="8" t="s">
        <v>88</v>
      </c>
      <c r="V3778" s="13" t="s">
        <v>16802</v>
      </c>
      <c r="W3778" s="13" t="s">
        <v>17528</v>
      </c>
      <c r="X3778" s="12"/>
      <c r="Y3778" s="14"/>
      <c r="Z3778" s="14"/>
    </row>
    <row r="3779">
      <c r="A3779" s="8" t="s">
        <v>17529</v>
      </c>
      <c r="B3779" s="8" t="s">
        <v>17530</v>
      </c>
      <c r="C3779" s="8" t="s">
        <v>179</v>
      </c>
      <c r="D3779" s="8" t="s">
        <v>26</v>
      </c>
      <c r="E3779" s="8" t="s">
        <v>17531</v>
      </c>
      <c r="F3779" s="8">
        <v>5.061473282E9</v>
      </c>
      <c r="G3779" s="8" t="s">
        <v>31</v>
      </c>
      <c r="H3779" s="8" t="s">
        <v>102</v>
      </c>
      <c r="I3779" s="8" t="s">
        <v>29</v>
      </c>
      <c r="J3779" s="8" t="s">
        <v>5003</v>
      </c>
      <c r="K3779" s="10" t="s">
        <v>17532</v>
      </c>
      <c r="L3779" s="8" t="s">
        <v>58</v>
      </c>
      <c r="M3779" s="8" t="s">
        <v>35</v>
      </c>
      <c r="N3779" s="11">
        <v>45252.0</v>
      </c>
      <c r="O3779" s="11">
        <v>45327.0</v>
      </c>
      <c r="P3779" s="11">
        <v>45369.0</v>
      </c>
      <c r="Q3779" s="11"/>
      <c r="R3779" s="11"/>
      <c r="S3779" s="12"/>
      <c r="T3779" s="8"/>
      <c r="U3779" s="8" t="s">
        <v>88</v>
      </c>
      <c r="V3779" s="13" t="s">
        <v>102</v>
      </c>
      <c r="W3779" s="13" t="s">
        <v>17533</v>
      </c>
      <c r="X3779" s="12"/>
      <c r="Y3779" s="14"/>
      <c r="Z3779" s="14"/>
    </row>
    <row r="3780">
      <c r="A3780" s="8" t="s">
        <v>17534</v>
      </c>
      <c r="B3780" s="8" t="s">
        <v>17535</v>
      </c>
      <c r="C3780" s="8" t="s">
        <v>179</v>
      </c>
      <c r="D3780" s="8" t="s">
        <v>26</v>
      </c>
      <c r="E3780" s="8" t="s">
        <v>17536</v>
      </c>
      <c r="F3780" s="8">
        <v>7.22804907E8</v>
      </c>
      <c r="G3780" s="8" t="s">
        <v>127</v>
      </c>
      <c r="H3780" s="8" t="s">
        <v>159</v>
      </c>
      <c r="I3780" s="8" t="s">
        <v>31</v>
      </c>
      <c r="J3780" s="8" t="s">
        <v>1274</v>
      </c>
      <c r="K3780" s="10" t="s">
        <v>17537</v>
      </c>
      <c r="L3780" s="8" t="s">
        <v>58</v>
      </c>
      <c r="M3780" s="8" t="s">
        <v>35</v>
      </c>
      <c r="N3780" s="11">
        <v>45252.0</v>
      </c>
      <c r="O3780" s="11">
        <v>45495.0</v>
      </c>
      <c r="P3780" s="11">
        <v>45537.0</v>
      </c>
      <c r="Q3780" s="11"/>
      <c r="R3780" s="11"/>
      <c r="S3780" s="12"/>
      <c r="T3780" s="8"/>
      <c r="U3780" s="8" t="s">
        <v>1038</v>
      </c>
      <c r="V3780" s="13" t="s">
        <v>159</v>
      </c>
      <c r="W3780" s="13" t="s">
        <v>17538</v>
      </c>
      <c r="X3780" s="12"/>
      <c r="Y3780" s="14"/>
      <c r="Z3780" s="14"/>
    </row>
    <row r="3781">
      <c r="A3781" s="8" t="s">
        <v>17539</v>
      </c>
      <c r="B3781" s="8" t="s">
        <v>17540</v>
      </c>
      <c r="C3781" s="8" t="s">
        <v>179</v>
      </c>
      <c r="D3781" s="8" t="s">
        <v>26</v>
      </c>
      <c r="E3781" s="8" t="s">
        <v>17541</v>
      </c>
      <c r="F3781" s="8">
        <v>5.337173053E9</v>
      </c>
      <c r="G3781" s="8" t="s">
        <v>31</v>
      </c>
      <c r="H3781" s="8" t="s">
        <v>66</v>
      </c>
      <c r="I3781" s="8" t="s">
        <v>284</v>
      </c>
      <c r="J3781" s="8" t="s">
        <v>793</v>
      </c>
      <c r="K3781" s="10" t="s">
        <v>17542</v>
      </c>
      <c r="L3781" s="8" t="s">
        <v>58</v>
      </c>
      <c r="M3781" s="8" t="s">
        <v>35</v>
      </c>
      <c r="N3781" s="11">
        <v>45252.0</v>
      </c>
      <c r="O3781" s="11">
        <v>45474.0</v>
      </c>
      <c r="P3781" s="11">
        <v>45516.0</v>
      </c>
      <c r="Q3781" s="11"/>
      <c r="R3781" s="11"/>
      <c r="S3781" s="12"/>
      <c r="T3781" s="8"/>
      <c r="U3781" s="8" t="s">
        <v>153</v>
      </c>
      <c r="V3781" s="13" t="s">
        <v>66</v>
      </c>
      <c r="W3781" s="13" t="s">
        <v>17543</v>
      </c>
      <c r="X3781" s="12"/>
      <c r="Y3781" s="14"/>
      <c r="Z3781" s="14"/>
    </row>
    <row r="3782">
      <c r="A3782" s="8" t="s">
        <v>17544</v>
      </c>
      <c r="B3782" s="8" t="s">
        <v>17545</v>
      </c>
      <c r="C3782" s="8" t="s">
        <v>179</v>
      </c>
      <c r="D3782" s="8" t="s">
        <v>26</v>
      </c>
      <c r="E3782" s="8" t="s">
        <v>17546</v>
      </c>
      <c r="F3782" s="8">
        <v>5.510912406E9</v>
      </c>
      <c r="G3782" s="8" t="s">
        <v>31</v>
      </c>
      <c r="H3782" s="8" t="s">
        <v>66</v>
      </c>
      <c r="I3782" s="8" t="s">
        <v>284</v>
      </c>
      <c r="J3782" s="8" t="s">
        <v>793</v>
      </c>
      <c r="K3782" s="10" t="s">
        <v>17542</v>
      </c>
      <c r="L3782" s="8" t="s">
        <v>58</v>
      </c>
      <c r="M3782" s="8" t="s">
        <v>35</v>
      </c>
      <c r="N3782" s="11">
        <v>45252.0</v>
      </c>
      <c r="O3782" s="11">
        <v>45474.0</v>
      </c>
      <c r="P3782" s="11">
        <v>45516.0</v>
      </c>
      <c r="Q3782" s="11"/>
      <c r="R3782" s="11"/>
      <c r="S3782" s="12"/>
      <c r="T3782" s="8"/>
      <c r="U3782" s="8" t="s">
        <v>153</v>
      </c>
      <c r="V3782" s="13" t="s">
        <v>66</v>
      </c>
      <c r="W3782" s="13" t="s">
        <v>17547</v>
      </c>
      <c r="X3782" s="12"/>
      <c r="Y3782" s="14"/>
      <c r="Z3782" s="14"/>
    </row>
    <row r="3783">
      <c r="A3783" s="8" t="s">
        <v>17548</v>
      </c>
      <c r="B3783" s="8" t="s">
        <v>17549</v>
      </c>
      <c r="C3783" s="8" t="s">
        <v>708</v>
      </c>
      <c r="D3783" s="8" t="s">
        <v>26</v>
      </c>
      <c r="E3783" s="8" t="s">
        <v>17550</v>
      </c>
      <c r="F3783" s="8">
        <v>7.99544465E8</v>
      </c>
      <c r="G3783" s="8" t="s">
        <v>254</v>
      </c>
      <c r="H3783" s="8" t="s">
        <v>255</v>
      </c>
      <c r="I3783" s="8" t="s">
        <v>31</v>
      </c>
      <c r="J3783" s="8" t="s">
        <v>542</v>
      </c>
      <c r="K3783" s="10" t="s">
        <v>15657</v>
      </c>
      <c r="L3783" s="8" t="s">
        <v>34</v>
      </c>
      <c r="M3783" s="8" t="s">
        <v>70</v>
      </c>
      <c r="N3783" s="11">
        <v>45252.0</v>
      </c>
      <c r="O3783" s="11">
        <v>45271.0</v>
      </c>
      <c r="P3783" s="11">
        <v>45632.0</v>
      </c>
      <c r="Q3783" s="11">
        <v>45290.0</v>
      </c>
      <c r="R3783" s="11">
        <v>45653.0</v>
      </c>
      <c r="S3783" s="12"/>
      <c r="T3783" s="8" t="s">
        <v>36</v>
      </c>
      <c r="U3783" s="8" t="s">
        <v>15658</v>
      </c>
      <c r="V3783" s="13" t="s">
        <v>258</v>
      </c>
      <c r="W3783" s="13" t="s">
        <v>17551</v>
      </c>
      <c r="X3783" s="12"/>
      <c r="Y3783" s="14"/>
      <c r="Z3783" s="14"/>
    </row>
    <row r="3784">
      <c r="A3784" s="8" t="s">
        <v>17552</v>
      </c>
      <c r="B3784" s="8" t="s">
        <v>17553</v>
      </c>
      <c r="C3784" s="8" t="s">
        <v>179</v>
      </c>
      <c r="D3784" s="8" t="s">
        <v>26</v>
      </c>
      <c r="E3784" s="8" t="s">
        <v>17554</v>
      </c>
      <c r="F3784" s="8">
        <v>2.7988410686E10</v>
      </c>
      <c r="G3784" s="8" t="s">
        <v>109</v>
      </c>
      <c r="H3784" s="8" t="s">
        <v>10966</v>
      </c>
      <c r="I3784" s="8" t="s">
        <v>31</v>
      </c>
      <c r="J3784" s="8" t="s">
        <v>1274</v>
      </c>
      <c r="K3784" s="10" t="s">
        <v>14336</v>
      </c>
      <c r="L3784" s="8" t="s">
        <v>58</v>
      </c>
      <c r="M3784" s="8" t="s">
        <v>35</v>
      </c>
      <c r="N3784" s="11">
        <v>45252.0</v>
      </c>
      <c r="O3784" s="11">
        <v>45495.0</v>
      </c>
      <c r="P3784" s="11">
        <v>45537.0</v>
      </c>
      <c r="Q3784" s="11"/>
      <c r="R3784" s="11"/>
      <c r="S3784" s="12"/>
      <c r="T3784" s="8"/>
      <c r="U3784" s="8" t="s">
        <v>1038</v>
      </c>
      <c r="V3784" s="13" t="s">
        <v>10967</v>
      </c>
      <c r="W3784" s="13" t="s">
        <v>17555</v>
      </c>
      <c r="X3784" s="12"/>
      <c r="Y3784" s="14"/>
      <c r="Z3784" s="14"/>
    </row>
    <row r="3785">
      <c r="A3785" s="8" t="s">
        <v>17556</v>
      </c>
      <c r="B3785" s="8" t="s">
        <v>17557</v>
      </c>
      <c r="C3785" s="8" t="s">
        <v>708</v>
      </c>
      <c r="D3785" s="8" t="s">
        <v>26</v>
      </c>
      <c r="E3785" s="8" t="s">
        <v>17558</v>
      </c>
      <c r="F3785" s="8"/>
      <c r="G3785" s="8" t="s">
        <v>31</v>
      </c>
      <c r="H3785" s="8" t="s">
        <v>102</v>
      </c>
      <c r="I3785" s="8" t="s">
        <v>127</v>
      </c>
      <c r="J3785" s="8" t="s">
        <v>159</v>
      </c>
      <c r="K3785" s="10" t="s">
        <v>16195</v>
      </c>
      <c r="L3785" s="8" t="s">
        <v>58</v>
      </c>
      <c r="M3785" s="8" t="s">
        <v>35</v>
      </c>
      <c r="N3785" s="11">
        <v>45252.0</v>
      </c>
      <c r="O3785" s="11">
        <v>45299.0</v>
      </c>
      <c r="P3785" s="11">
        <v>45341.0</v>
      </c>
      <c r="Q3785" s="11">
        <v>45301.0</v>
      </c>
      <c r="R3785" s="11">
        <v>45341.0</v>
      </c>
      <c r="S3785" s="12"/>
      <c r="T3785" s="8"/>
      <c r="U3785" s="8" t="s">
        <v>1956</v>
      </c>
      <c r="V3785" s="13" t="s">
        <v>38</v>
      </c>
      <c r="W3785" s="13" t="s">
        <v>17559</v>
      </c>
      <c r="X3785" s="12"/>
      <c r="Y3785" s="14"/>
      <c r="Z3785" s="14"/>
    </row>
    <row r="3786">
      <c r="A3786" s="8" t="s">
        <v>17560</v>
      </c>
      <c r="B3786" s="8" t="s">
        <v>17561</v>
      </c>
      <c r="C3786" s="8" t="s">
        <v>179</v>
      </c>
      <c r="D3786" s="8" t="s">
        <v>26</v>
      </c>
      <c r="E3786" s="8" t="s">
        <v>17562</v>
      </c>
      <c r="F3786" s="8">
        <v>5.380941602E9</v>
      </c>
      <c r="G3786" s="8" t="s">
        <v>31</v>
      </c>
      <c r="H3786" s="8" t="s">
        <v>43</v>
      </c>
      <c r="I3786" s="8" t="s">
        <v>284</v>
      </c>
      <c r="J3786" s="8" t="s">
        <v>1422</v>
      </c>
      <c r="K3786" s="10" t="s">
        <v>17177</v>
      </c>
      <c r="L3786" s="8" t="s">
        <v>58</v>
      </c>
      <c r="M3786" s="8" t="s">
        <v>35</v>
      </c>
      <c r="N3786" s="11">
        <v>45253.0</v>
      </c>
      <c r="O3786" s="11">
        <v>45444.0</v>
      </c>
      <c r="P3786" s="11">
        <v>45486.0</v>
      </c>
      <c r="Q3786" s="11"/>
      <c r="R3786" s="11"/>
      <c r="S3786" s="12"/>
      <c r="T3786" s="8"/>
      <c r="U3786" s="8" t="s">
        <v>59</v>
      </c>
      <c r="V3786" s="13" t="s">
        <v>43</v>
      </c>
      <c r="W3786" s="13" t="s">
        <v>17563</v>
      </c>
      <c r="X3786" s="12"/>
      <c r="Y3786" s="14"/>
      <c r="Z3786" s="14"/>
    </row>
    <row r="3787">
      <c r="A3787" s="8" t="s">
        <v>17564</v>
      </c>
      <c r="B3787" s="8" t="s">
        <v>17565</v>
      </c>
      <c r="C3787" s="8" t="s">
        <v>179</v>
      </c>
      <c r="D3787" s="8" t="s">
        <v>26</v>
      </c>
      <c r="E3787" s="8" t="s">
        <v>17566</v>
      </c>
      <c r="F3787" s="8">
        <v>5.380931702E9</v>
      </c>
      <c r="G3787" s="8" t="s">
        <v>31</v>
      </c>
      <c r="H3787" s="8" t="s">
        <v>43</v>
      </c>
      <c r="I3787" s="8" t="s">
        <v>284</v>
      </c>
      <c r="J3787" s="8" t="s">
        <v>1422</v>
      </c>
      <c r="K3787" s="10" t="s">
        <v>17177</v>
      </c>
      <c r="L3787" s="8" t="s">
        <v>58</v>
      </c>
      <c r="M3787" s="8" t="s">
        <v>35</v>
      </c>
      <c r="N3787" s="11">
        <v>45253.0</v>
      </c>
      <c r="O3787" s="11">
        <v>45444.0</v>
      </c>
      <c r="P3787" s="11">
        <v>45486.0</v>
      </c>
      <c r="Q3787" s="11"/>
      <c r="R3787" s="11"/>
      <c r="S3787" s="12"/>
      <c r="T3787" s="8"/>
      <c r="U3787" s="8" t="s">
        <v>59</v>
      </c>
      <c r="V3787" s="13" t="s">
        <v>43</v>
      </c>
      <c r="W3787" s="13" t="s">
        <v>17567</v>
      </c>
      <c r="X3787" s="12"/>
      <c r="Y3787" s="14"/>
      <c r="Z3787" s="14"/>
    </row>
    <row r="3788">
      <c r="A3788" s="8" t="s">
        <v>17568</v>
      </c>
      <c r="B3788" s="8" t="s">
        <v>17569</v>
      </c>
      <c r="C3788" s="8" t="s">
        <v>708</v>
      </c>
      <c r="D3788" s="8" t="s">
        <v>26</v>
      </c>
      <c r="E3788" s="8" t="s">
        <v>17570</v>
      </c>
      <c r="F3788" s="8">
        <v>5.314023139E9</v>
      </c>
      <c r="G3788" s="8" t="s">
        <v>31</v>
      </c>
      <c r="H3788" s="8" t="s">
        <v>86</v>
      </c>
      <c r="I3788" s="8" t="s">
        <v>29</v>
      </c>
      <c r="J3788" s="8" t="s">
        <v>530</v>
      </c>
      <c r="K3788" s="10" t="s">
        <v>17571</v>
      </c>
      <c r="L3788" s="8" t="s">
        <v>58</v>
      </c>
      <c r="M3788" s="8" t="s">
        <v>35</v>
      </c>
      <c r="N3788" s="11">
        <v>45253.0</v>
      </c>
      <c r="O3788" s="11">
        <v>45320.0</v>
      </c>
      <c r="P3788" s="11">
        <v>45362.0</v>
      </c>
      <c r="Q3788" s="11">
        <v>45320.0</v>
      </c>
      <c r="R3788" s="11">
        <v>45362.0</v>
      </c>
      <c r="S3788" s="12"/>
      <c r="T3788" s="8"/>
      <c r="U3788" s="8" t="s">
        <v>88</v>
      </c>
      <c r="V3788" s="13" t="s">
        <v>545</v>
      </c>
      <c r="W3788" s="13" t="s">
        <v>17572</v>
      </c>
      <c r="X3788" s="12"/>
      <c r="Y3788" s="14"/>
      <c r="Z3788" s="14"/>
    </row>
    <row r="3789">
      <c r="A3789" s="8" t="s">
        <v>17573</v>
      </c>
      <c r="B3789" s="8" t="s">
        <v>17574</v>
      </c>
      <c r="C3789" s="8" t="s">
        <v>179</v>
      </c>
      <c r="D3789" s="8" t="s">
        <v>26</v>
      </c>
      <c r="E3789" s="8" t="s">
        <v>17575</v>
      </c>
      <c r="F3789" s="8" t="s">
        <v>253</v>
      </c>
      <c r="G3789" s="8" t="s">
        <v>31</v>
      </c>
      <c r="H3789" s="8" t="s">
        <v>1274</v>
      </c>
      <c r="I3789" s="8" t="s">
        <v>44</v>
      </c>
      <c r="J3789" s="8" t="s">
        <v>881</v>
      </c>
      <c r="K3789" s="10" t="s">
        <v>17576</v>
      </c>
      <c r="L3789" s="8" t="s">
        <v>47</v>
      </c>
      <c r="M3789" s="8" t="s">
        <v>70</v>
      </c>
      <c r="N3789" s="11">
        <v>45253.0</v>
      </c>
      <c r="O3789" s="11">
        <v>45292.0</v>
      </c>
      <c r="P3789" s="11">
        <v>45657.0</v>
      </c>
      <c r="Q3789" s="11"/>
      <c r="R3789" s="11"/>
      <c r="S3789" s="12"/>
      <c r="T3789" s="8"/>
      <c r="U3789" s="8" t="s">
        <v>1794</v>
      </c>
      <c r="V3789" s="13" t="s">
        <v>1274</v>
      </c>
      <c r="W3789" s="13" t="s">
        <v>17577</v>
      </c>
      <c r="X3789" s="12"/>
      <c r="Y3789" s="14"/>
      <c r="Z3789" s="14"/>
    </row>
    <row r="3790">
      <c r="A3790" s="8" t="s">
        <v>17578</v>
      </c>
      <c r="B3790" s="8" t="s">
        <v>17579</v>
      </c>
      <c r="C3790" s="8" t="s">
        <v>179</v>
      </c>
      <c r="D3790" s="8" t="s">
        <v>26</v>
      </c>
      <c r="E3790" s="8" t="s">
        <v>17580</v>
      </c>
      <c r="F3790" s="8">
        <v>2.5895042E7</v>
      </c>
      <c r="G3790" s="8" t="s">
        <v>54</v>
      </c>
      <c r="H3790" s="8" t="s">
        <v>76</v>
      </c>
      <c r="I3790" s="8" t="s">
        <v>31</v>
      </c>
      <c r="J3790" s="8" t="s">
        <v>86</v>
      </c>
      <c r="K3790" s="10" t="s">
        <v>2453</v>
      </c>
      <c r="L3790" s="8" t="s">
        <v>58</v>
      </c>
      <c r="M3790" s="8" t="s">
        <v>35</v>
      </c>
      <c r="N3790" s="11">
        <v>45253.0</v>
      </c>
      <c r="O3790" s="11">
        <v>45431.0</v>
      </c>
      <c r="P3790" s="11">
        <v>45473.0</v>
      </c>
      <c r="Q3790" s="11"/>
      <c r="R3790" s="11"/>
      <c r="S3790" s="12"/>
      <c r="T3790" s="8"/>
      <c r="U3790" s="8" t="s">
        <v>59</v>
      </c>
      <c r="V3790" s="13" t="s">
        <v>573</v>
      </c>
      <c r="W3790" s="13" t="s">
        <v>17581</v>
      </c>
      <c r="X3790" s="12"/>
      <c r="Y3790" s="14"/>
      <c r="Z3790" s="14"/>
    </row>
    <row r="3791">
      <c r="A3791" s="8" t="s">
        <v>17582</v>
      </c>
      <c r="B3791" s="8" t="s">
        <v>17583</v>
      </c>
      <c r="C3791" s="8" t="s">
        <v>179</v>
      </c>
      <c r="D3791" s="8" t="s">
        <v>26</v>
      </c>
      <c r="E3791" s="8" t="s">
        <v>17584</v>
      </c>
      <c r="F3791" s="8">
        <v>5.372915091E9</v>
      </c>
      <c r="G3791" s="8" t="s">
        <v>31</v>
      </c>
      <c r="H3791" s="8" t="s">
        <v>111</v>
      </c>
      <c r="I3791" s="8" t="s">
        <v>399</v>
      </c>
      <c r="J3791" s="8" t="s">
        <v>415</v>
      </c>
      <c r="K3791" s="10" t="s">
        <v>2626</v>
      </c>
      <c r="L3791" s="8" t="s">
        <v>58</v>
      </c>
      <c r="M3791" s="8" t="s">
        <v>35</v>
      </c>
      <c r="N3791" s="11">
        <v>45253.0</v>
      </c>
      <c r="O3791" s="11">
        <v>45474.0</v>
      </c>
      <c r="P3791" s="11">
        <v>45516.0</v>
      </c>
      <c r="Q3791" s="11"/>
      <c r="R3791" s="11"/>
      <c r="S3791" s="12"/>
      <c r="T3791" s="8"/>
      <c r="U3791" s="8" t="s">
        <v>185</v>
      </c>
      <c r="V3791" s="13" t="s">
        <v>111</v>
      </c>
      <c r="W3791" s="13" t="s">
        <v>17585</v>
      </c>
      <c r="X3791" s="12"/>
      <c r="Y3791" s="14"/>
      <c r="Z3791" s="14"/>
    </row>
    <row r="3792">
      <c r="A3792" s="8" t="s">
        <v>17586</v>
      </c>
      <c r="B3792" s="8" t="s">
        <v>17587</v>
      </c>
      <c r="C3792" s="8" t="s">
        <v>179</v>
      </c>
      <c r="D3792" s="8" t="s">
        <v>26</v>
      </c>
      <c r="E3792" s="8" t="s">
        <v>17588</v>
      </c>
      <c r="F3792" s="8">
        <v>5.307358603E9</v>
      </c>
      <c r="G3792" s="8" t="s">
        <v>31</v>
      </c>
      <c r="H3792" s="8" t="s">
        <v>66</v>
      </c>
      <c r="I3792" s="8" t="s">
        <v>284</v>
      </c>
      <c r="J3792" s="8" t="s">
        <v>589</v>
      </c>
      <c r="K3792" s="10" t="s">
        <v>17589</v>
      </c>
      <c r="L3792" s="8" t="s">
        <v>58</v>
      </c>
      <c r="M3792" s="8" t="s">
        <v>35</v>
      </c>
      <c r="N3792" s="11">
        <v>45253.0</v>
      </c>
      <c r="O3792" s="11">
        <v>45505.0</v>
      </c>
      <c r="P3792" s="11">
        <v>45547.0</v>
      </c>
      <c r="Q3792" s="11"/>
      <c r="R3792" s="11"/>
      <c r="S3792" s="12"/>
      <c r="T3792" s="8"/>
      <c r="U3792" s="8" t="s">
        <v>130</v>
      </c>
      <c r="V3792" s="13" t="s">
        <v>66</v>
      </c>
      <c r="W3792" s="13" t="s">
        <v>17590</v>
      </c>
      <c r="X3792" s="12"/>
      <c r="Y3792" s="14"/>
      <c r="Z3792" s="14"/>
    </row>
    <row r="3793">
      <c r="A3793" s="8" t="s">
        <v>17591</v>
      </c>
      <c r="B3793" s="8" t="s">
        <v>17592</v>
      </c>
      <c r="C3793" s="8" t="s">
        <v>179</v>
      </c>
      <c r="D3793" s="8" t="s">
        <v>26</v>
      </c>
      <c r="E3793" s="8" t="s">
        <v>17593</v>
      </c>
      <c r="F3793" s="8"/>
      <c r="G3793" s="8" t="s">
        <v>54</v>
      </c>
      <c r="H3793" s="8" t="s">
        <v>76</v>
      </c>
      <c r="I3793" s="8" t="s">
        <v>31</v>
      </c>
      <c r="J3793" s="8" t="s">
        <v>77</v>
      </c>
      <c r="K3793" s="10" t="s">
        <v>5712</v>
      </c>
      <c r="L3793" s="8" t="s">
        <v>58</v>
      </c>
      <c r="M3793" s="8" t="s">
        <v>35</v>
      </c>
      <c r="N3793" s="11">
        <v>45253.0</v>
      </c>
      <c r="O3793" s="11">
        <v>45488.0</v>
      </c>
      <c r="P3793" s="11">
        <v>45530.0</v>
      </c>
      <c r="Q3793" s="11"/>
      <c r="R3793" s="11"/>
      <c r="S3793" s="12"/>
      <c r="T3793" s="8"/>
      <c r="U3793" s="8" t="s">
        <v>59</v>
      </c>
      <c r="V3793" s="13" t="s">
        <v>38</v>
      </c>
      <c r="W3793" s="13" t="s">
        <v>17594</v>
      </c>
      <c r="X3793" s="12"/>
      <c r="Y3793" s="14"/>
      <c r="Z3793" s="14"/>
    </row>
    <row r="3794">
      <c r="A3794" s="8" t="s">
        <v>17595</v>
      </c>
      <c r="B3794" s="8" t="s">
        <v>17596</v>
      </c>
      <c r="C3794" s="8" t="s">
        <v>179</v>
      </c>
      <c r="D3794" s="8" t="s">
        <v>26</v>
      </c>
      <c r="E3794" s="8" t="s">
        <v>17597</v>
      </c>
      <c r="F3794" s="8">
        <v>5.316206325E9</v>
      </c>
      <c r="G3794" s="8" t="s">
        <v>31</v>
      </c>
      <c r="H3794" s="8" t="s">
        <v>77</v>
      </c>
      <c r="I3794" s="8" t="s">
        <v>44</v>
      </c>
      <c r="J3794" s="8" t="s">
        <v>1993</v>
      </c>
      <c r="K3794" s="10" t="s">
        <v>11045</v>
      </c>
      <c r="L3794" s="8" t="s">
        <v>58</v>
      </c>
      <c r="M3794" s="8" t="s">
        <v>35</v>
      </c>
      <c r="N3794" s="11">
        <v>45253.0</v>
      </c>
      <c r="O3794" s="11">
        <v>45323.0</v>
      </c>
      <c r="P3794" s="11">
        <v>45365.0</v>
      </c>
      <c r="Q3794" s="11"/>
      <c r="R3794" s="11"/>
      <c r="S3794" s="12"/>
      <c r="T3794" s="8"/>
      <c r="U3794" s="8" t="s">
        <v>371</v>
      </c>
      <c r="V3794" s="13" t="s">
        <v>77</v>
      </c>
      <c r="W3794" s="13" t="s">
        <v>17598</v>
      </c>
      <c r="X3794" s="12"/>
      <c r="Y3794" s="14"/>
      <c r="Z3794" s="14"/>
    </row>
    <row r="3795">
      <c r="A3795" s="8" t="s">
        <v>17599</v>
      </c>
      <c r="B3795" s="8" t="s">
        <v>17600</v>
      </c>
      <c r="C3795" s="8" t="s">
        <v>64</v>
      </c>
      <c r="D3795" s="8" t="s">
        <v>26</v>
      </c>
      <c r="E3795" s="8" t="s">
        <v>17601</v>
      </c>
      <c r="F3795" s="8">
        <v>5.4761295E7</v>
      </c>
      <c r="G3795" s="8" t="s">
        <v>54</v>
      </c>
      <c r="H3795" s="8" t="s">
        <v>377</v>
      </c>
      <c r="I3795" s="8" t="s">
        <v>31</v>
      </c>
      <c r="J3795" s="8" t="s">
        <v>102</v>
      </c>
      <c r="K3795" s="10" t="s">
        <v>1113</v>
      </c>
      <c r="L3795" s="8" t="s">
        <v>58</v>
      </c>
      <c r="M3795" s="8" t="s">
        <v>35</v>
      </c>
      <c r="N3795" s="11">
        <v>45253.0</v>
      </c>
      <c r="O3795" s="11">
        <v>45260.0</v>
      </c>
      <c r="P3795" s="11">
        <v>45302.0</v>
      </c>
      <c r="Q3795" s="11">
        <v>45268.0</v>
      </c>
      <c r="R3795" s="11">
        <v>45309.0</v>
      </c>
      <c r="S3795" s="12"/>
      <c r="T3795" s="8"/>
      <c r="U3795" s="8" t="s">
        <v>59</v>
      </c>
      <c r="V3795" s="13" t="s">
        <v>2218</v>
      </c>
      <c r="W3795" s="13" t="s">
        <v>17602</v>
      </c>
      <c r="X3795" s="12"/>
      <c r="Y3795" s="14"/>
      <c r="Z3795" s="14"/>
    </row>
    <row r="3796">
      <c r="A3796" s="8" t="s">
        <v>17603</v>
      </c>
      <c r="B3796" s="8" t="s">
        <v>17604</v>
      </c>
      <c r="C3796" s="8" t="s">
        <v>179</v>
      </c>
      <c r="D3796" s="8" t="s">
        <v>26</v>
      </c>
      <c r="E3796" s="8" t="s">
        <v>17605</v>
      </c>
      <c r="F3796" s="8">
        <v>5.30123229E9</v>
      </c>
      <c r="G3796" s="8" t="s">
        <v>31</v>
      </c>
      <c r="H3796" s="8" t="s">
        <v>111</v>
      </c>
      <c r="I3796" s="8" t="s">
        <v>284</v>
      </c>
      <c r="J3796" s="8" t="s">
        <v>3188</v>
      </c>
      <c r="K3796" s="10" t="s">
        <v>17437</v>
      </c>
      <c r="L3796" s="8" t="s">
        <v>58</v>
      </c>
      <c r="M3796" s="8" t="s">
        <v>35</v>
      </c>
      <c r="N3796" s="11">
        <v>45253.0</v>
      </c>
      <c r="O3796" s="11">
        <v>45458.0</v>
      </c>
      <c r="P3796" s="11">
        <v>45500.0</v>
      </c>
      <c r="Q3796" s="11"/>
      <c r="R3796" s="11"/>
      <c r="S3796" s="12"/>
      <c r="T3796" s="8"/>
      <c r="U3796" s="8" t="s">
        <v>1038</v>
      </c>
      <c r="V3796" s="13" t="s">
        <v>545</v>
      </c>
      <c r="W3796" s="13" t="s">
        <v>17606</v>
      </c>
      <c r="X3796" s="12"/>
      <c r="Y3796" s="14"/>
      <c r="Z3796" s="14"/>
    </row>
    <row r="3797">
      <c r="A3797" s="8" t="s">
        <v>17607</v>
      </c>
      <c r="B3797" s="8" t="s">
        <v>17608</v>
      </c>
      <c r="C3797" s="8" t="s">
        <v>179</v>
      </c>
      <c r="D3797" s="8" t="s">
        <v>26</v>
      </c>
      <c r="E3797" s="8" t="s">
        <v>17609</v>
      </c>
      <c r="F3797" s="8"/>
      <c r="G3797" s="8" t="s">
        <v>1620</v>
      </c>
      <c r="H3797" s="8" t="s">
        <v>4288</v>
      </c>
      <c r="I3797" s="8" t="s">
        <v>31</v>
      </c>
      <c r="J3797" s="8" t="s">
        <v>86</v>
      </c>
      <c r="K3797" s="10" t="s">
        <v>15302</v>
      </c>
      <c r="L3797" s="8" t="s">
        <v>58</v>
      </c>
      <c r="M3797" s="8" t="s">
        <v>35</v>
      </c>
      <c r="N3797" s="11">
        <v>45253.0</v>
      </c>
      <c r="O3797" s="11">
        <v>45505.0</v>
      </c>
      <c r="P3797" s="11">
        <v>45547.0</v>
      </c>
      <c r="Q3797" s="11"/>
      <c r="R3797" s="11"/>
      <c r="S3797" s="12"/>
      <c r="T3797" s="8"/>
      <c r="U3797" s="8" t="s">
        <v>185</v>
      </c>
      <c r="V3797" s="13" t="s">
        <v>38</v>
      </c>
      <c r="W3797" s="13" t="s">
        <v>17610</v>
      </c>
      <c r="X3797" s="12"/>
      <c r="Y3797" s="14"/>
      <c r="Z3797" s="14"/>
    </row>
    <row r="3798">
      <c r="A3798" s="8" t="s">
        <v>17611</v>
      </c>
      <c r="B3798" s="8" t="s">
        <v>17612</v>
      </c>
      <c r="C3798" s="8" t="s">
        <v>179</v>
      </c>
      <c r="D3798" s="8" t="s">
        <v>26</v>
      </c>
      <c r="E3798" s="8" t="s">
        <v>17613</v>
      </c>
      <c r="F3798" s="8">
        <v>5.511741203E9</v>
      </c>
      <c r="G3798" s="8" t="s">
        <v>31</v>
      </c>
      <c r="H3798" s="8" t="s">
        <v>66</v>
      </c>
      <c r="I3798" s="8" t="s">
        <v>284</v>
      </c>
      <c r="J3798" s="8" t="s">
        <v>589</v>
      </c>
      <c r="K3798" s="10" t="s">
        <v>17614</v>
      </c>
      <c r="L3798" s="8" t="s">
        <v>58</v>
      </c>
      <c r="M3798" s="8" t="s">
        <v>35</v>
      </c>
      <c r="N3798" s="11">
        <v>45253.0</v>
      </c>
      <c r="O3798" s="11">
        <v>45313.0</v>
      </c>
      <c r="P3798" s="11">
        <v>45355.0</v>
      </c>
      <c r="Q3798" s="11"/>
      <c r="R3798" s="11"/>
      <c r="S3798" s="12"/>
      <c r="T3798" s="8"/>
      <c r="U3798" s="8" t="s">
        <v>59</v>
      </c>
      <c r="V3798" s="13" t="s">
        <v>66</v>
      </c>
      <c r="W3798" s="13" t="s">
        <v>17615</v>
      </c>
      <c r="X3798" s="12"/>
      <c r="Y3798" s="14"/>
      <c r="Z3798" s="14"/>
    </row>
    <row r="3799">
      <c r="A3799" s="8" t="s">
        <v>17616</v>
      </c>
      <c r="B3799" s="8" t="s">
        <v>17617</v>
      </c>
      <c r="C3799" s="8" t="s">
        <v>179</v>
      </c>
      <c r="D3799" s="8" t="s">
        <v>26</v>
      </c>
      <c r="E3799" s="8" t="s">
        <v>17618</v>
      </c>
      <c r="F3799" s="8">
        <v>2.5006152E7</v>
      </c>
      <c r="G3799" s="8" t="s">
        <v>54</v>
      </c>
      <c r="H3799" s="8" t="s">
        <v>76</v>
      </c>
      <c r="I3799" s="8" t="s">
        <v>31</v>
      </c>
      <c r="J3799" s="8" t="s">
        <v>77</v>
      </c>
      <c r="K3799" s="10" t="s">
        <v>5712</v>
      </c>
      <c r="L3799" s="8" t="s">
        <v>58</v>
      </c>
      <c r="M3799" s="8" t="s">
        <v>35</v>
      </c>
      <c r="N3799" s="11">
        <v>45253.0</v>
      </c>
      <c r="O3799" s="11">
        <v>45488.0</v>
      </c>
      <c r="P3799" s="11">
        <v>45530.0</v>
      </c>
      <c r="Q3799" s="11"/>
      <c r="R3799" s="11"/>
      <c r="S3799" s="12"/>
      <c r="T3799" s="8"/>
      <c r="U3799" s="8" t="s">
        <v>59</v>
      </c>
      <c r="V3799" s="13" t="s">
        <v>15263</v>
      </c>
      <c r="W3799" s="13" t="s">
        <v>17619</v>
      </c>
      <c r="X3799" s="12"/>
      <c r="Y3799" s="14"/>
      <c r="Z3799" s="14"/>
    </row>
    <row r="3800">
      <c r="A3800" s="8" t="s">
        <v>17620</v>
      </c>
      <c r="B3800" s="8" t="s">
        <v>15354</v>
      </c>
      <c r="C3800" s="8" t="s">
        <v>179</v>
      </c>
      <c r="D3800" s="8" t="s">
        <v>26</v>
      </c>
      <c r="E3800" s="8" t="s">
        <v>17621</v>
      </c>
      <c r="F3800" s="8">
        <v>5.535425861E9</v>
      </c>
      <c r="G3800" s="8" t="s">
        <v>31</v>
      </c>
      <c r="H3800" s="8" t="s">
        <v>43</v>
      </c>
      <c r="I3800" s="8" t="s">
        <v>44</v>
      </c>
      <c r="J3800" s="8" t="s">
        <v>741</v>
      </c>
      <c r="K3800" s="10" t="s">
        <v>2675</v>
      </c>
      <c r="L3800" s="8" t="s">
        <v>58</v>
      </c>
      <c r="M3800" s="8" t="s">
        <v>35</v>
      </c>
      <c r="N3800" s="11">
        <v>45253.0</v>
      </c>
      <c r="O3800" s="11">
        <v>45383.0</v>
      </c>
      <c r="P3800" s="11">
        <v>45425.0</v>
      </c>
      <c r="Q3800" s="11"/>
      <c r="R3800" s="11"/>
      <c r="S3800" s="12"/>
      <c r="T3800" s="8"/>
      <c r="U3800" s="8" t="s">
        <v>59</v>
      </c>
      <c r="V3800" s="13" t="s">
        <v>17622</v>
      </c>
      <c r="W3800" s="13" t="s">
        <v>17623</v>
      </c>
      <c r="X3800" s="12"/>
      <c r="Y3800" s="14"/>
      <c r="Z3800" s="14"/>
    </row>
    <row r="3801">
      <c r="A3801" s="8" t="s">
        <v>17624</v>
      </c>
      <c r="B3801" s="8" t="s">
        <v>17625</v>
      </c>
      <c r="C3801" s="8" t="s">
        <v>179</v>
      </c>
      <c r="D3801" s="8" t="s">
        <v>26</v>
      </c>
      <c r="E3801" s="8" t="s">
        <v>17626</v>
      </c>
      <c r="F3801" s="8">
        <v>6.89179021E8</v>
      </c>
      <c r="G3801" s="8" t="s">
        <v>84</v>
      </c>
      <c r="H3801" s="8" t="s">
        <v>619</v>
      </c>
      <c r="I3801" s="8" t="s">
        <v>31</v>
      </c>
      <c r="J3801" s="8" t="s">
        <v>136</v>
      </c>
      <c r="K3801" s="10" t="s">
        <v>5299</v>
      </c>
      <c r="L3801" s="8" t="s">
        <v>58</v>
      </c>
      <c r="M3801" s="8" t="s">
        <v>35</v>
      </c>
      <c r="N3801" s="11">
        <v>45253.0</v>
      </c>
      <c r="O3801" s="11">
        <v>45480.0</v>
      </c>
      <c r="P3801" s="11">
        <v>45522.0</v>
      </c>
      <c r="Q3801" s="11"/>
      <c r="R3801" s="11"/>
      <c r="S3801" s="12"/>
      <c r="T3801" s="8"/>
      <c r="U3801" s="8" t="s">
        <v>59</v>
      </c>
      <c r="V3801" s="13" t="s">
        <v>7349</v>
      </c>
      <c r="W3801" s="13" t="s">
        <v>17627</v>
      </c>
      <c r="X3801" s="12"/>
      <c r="Y3801" s="14"/>
      <c r="Z3801" s="14"/>
    </row>
    <row r="3802">
      <c r="A3802" s="8" t="s">
        <v>17628</v>
      </c>
      <c r="B3802" s="8" t="s">
        <v>17629</v>
      </c>
      <c r="C3802" s="8" t="s">
        <v>179</v>
      </c>
      <c r="D3802" s="8" t="s">
        <v>26</v>
      </c>
      <c r="E3802" s="8" t="s">
        <v>17630</v>
      </c>
      <c r="F3802" s="8"/>
      <c r="G3802" s="8" t="s">
        <v>31</v>
      </c>
      <c r="H3802" s="8" t="s">
        <v>86</v>
      </c>
      <c r="I3802" s="8" t="s">
        <v>54</v>
      </c>
      <c r="J3802" s="8" t="s">
        <v>237</v>
      </c>
      <c r="K3802" s="10" t="s">
        <v>17631</v>
      </c>
      <c r="L3802" s="8" t="s">
        <v>58</v>
      </c>
      <c r="M3802" s="8" t="s">
        <v>35</v>
      </c>
      <c r="N3802" s="11">
        <v>45253.0</v>
      </c>
      <c r="O3802" s="11">
        <v>45467.0</v>
      </c>
      <c r="P3802" s="11">
        <v>45509.0</v>
      </c>
      <c r="Q3802" s="11"/>
      <c r="R3802" s="11"/>
      <c r="S3802" s="12"/>
      <c r="T3802" s="8"/>
      <c r="U3802" s="8" t="s">
        <v>161</v>
      </c>
      <c r="V3802" s="13" t="s">
        <v>38</v>
      </c>
      <c r="W3802" s="13" t="s">
        <v>17632</v>
      </c>
      <c r="X3802" s="12"/>
      <c r="Y3802" s="14"/>
      <c r="Z3802" s="14"/>
    </row>
    <row r="3803">
      <c r="A3803" s="8" t="s">
        <v>17633</v>
      </c>
      <c r="B3803" s="8" t="s">
        <v>17634</v>
      </c>
      <c r="C3803" s="8" t="s">
        <v>179</v>
      </c>
      <c r="D3803" s="8" t="s">
        <v>26</v>
      </c>
      <c r="E3803" s="8" t="s">
        <v>17635</v>
      </c>
      <c r="F3803" s="8">
        <v>5.3073697E9</v>
      </c>
      <c r="G3803" s="8" t="s">
        <v>31</v>
      </c>
      <c r="H3803" s="8" t="s">
        <v>66</v>
      </c>
      <c r="I3803" s="8" t="s">
        <v>127</v>
      </c>
      <c r="J3803" s="8" t="s">
        <v>9028</v>
      </c>
      <c r="K3803" s="10" t="s">
        <v>17636</v>
      </c>
      <c r="L3803" s="8" t="s">
        <v>58</v>
      </c>
      <c r="M3803" s="8" t="s">
        <v>35</v>
      </c>
      <c r="N3803" s="11">
        <v>45253.0</v>
      </c>
      <c r="O3803" s="11">
        <v>45306.0</v>
      </c>
      <c r="P3803" s="11">
        <v>45348.0</v>
      </c>
      <c r="Q3803" s="11"/>
      <c r="R3803" s="11"/>
      <c r="S3803" s="12"/>
      <c r="T3803" s="8"/>
      <c r="U3803" s="8" t="s">
        <v>59</v>
      </c>
      <c r="V3803" s="13" t="s">
        <v>66</v>
      </c>
      <c r="W3803" s="13" t="s">
        <v>17637</v>
      </c>
      <c r="X3803" s="12"/>
      <c r="Y3803" s="14"/>
      <c r="Z3803" s="14"/>
    </row>
    <row r="3804">
      <c r="A3804" s="8" t="s">
        <v>17638</v>
      </c>
      <c r="B3804" s="8" t="s">
        <v>17639</v>
      </c>
      <c r="C3804" s="8" t="s">
        <v>708</v>
      </c>
      <c r="D3804" s="8" t="s">
        <v>26</v>
      </c>
      <c r="E3804" s="8" t="s">
        <v>17640</v>
      </c>
      <c r="F3804" s="8">
        <v>5.426457237E9</v>
      </c>
      <c r="G3804" s="8" t="s">
        <v>31</v>
      </c>
      <c r="H3804" s="8" t="s">
        <v>102</v>
      </c>
      <c r="I3804" s="8" t="s">
        <v>127</v>
      </c>
      <c r="J3804" s="8" t="s">
        <v>159</v>
      </c>
      <c r="K3804" s="10" t="s">
        <v>17641</v>
      </c>
      <c r="L3804" s="8" t="s">
        <v>58</v>
      </c>
      <c r="M3804" s="8" t="s">
        <v>35</v>
      </c>
      <c r="N3804" s="11">
        <v>45253.0</v>
      </c>
      <c r="O3804" s="11">
        <v>45299.0</v>
      </c>
      <c r="P3804" s="11">
        <v>45341.0</v>
      </c>
      <c r="Q3804" s="11">
        <v>45301.0</v>
      </c>
      <c r="R3804" s="11">
        <v>45341.0</v>
      </c>
      <c r="S3804" s="12"/>
      <c r="T3804" s="8"/>
      <c r="U3804" s="8" t="s">
        <v>1956</v>
      </c>
      <c r="V3804" s="13" t="s">
        <v>102</v>
      </c>
      <c r="W3804" s="13" t="s">
        <v>17642</v>
      </c>
      <c r="X3804" s="12"/>
      <c r="Y3804" s="14"/>
      <c r="Z3804" s="14"/>
    </row>
    <row r="3805">
      <c r="A3805" s="8" t="s">
        <v>17643</v>
      </c>
      <c r="B3805" s="8" t="s">
        <v>17644</v>
      </c>
      <c r="C3805" s="8" t="s">
        <v>708</v>
      </c>
      <c r="D3805" s="8" t="s">
        <v>26</v>
      </c>
      <c r="E3805" s="8" t="s">
        <v>17645</v>
      </c>
      <c r="F3805" s="8">
        <v>5.8760083E7</v>
      </c>
      <c r="G3805" s="8" t="s">
        <v>54</v>
      </c>
      <c r="H3805" s="8" t="s">
        <v>430</v>
      </c>
      <c r="I3805" s="8" t="s">
        <v>31</v>
      </c>
      <c r="J3805" s="8" t="s">
        <v>542</v>
      </c>
      <c r="K3805" s="10" t="s">
        <v>17646</v>
      </c>
      <c r="L3805" s="8" t="s">
        <v>47</v>
      </c>
      <c r="M3805" s="8" t="s">
        <v>70</v>
      </c>
      <c r="N3805" s="11">
        <v>45253.0</v>
      </c>
      <c r="O3805" s="11">
        <v>45266.0</v>
      </c>
      <c r="P3805" s="11">
        <v>45625.0</v>
      </c>
      <c r="Q3805" s="11">
        <v>45267.0</v>
      </c>
      <c r="R3805" s="11">
        <v>45625.0</v>
      </c>
      <c r="S3805" s="12"/>
      <c r="T3805" s="8"/>
      <c r="U3805" s="8" t="s">
        <v>17647</v>
      </c>
      <c r="V3805" s="13" t="s">
        <v>849</v>
      </c>
      <c r="W3805" s="13" t="s">
        <v>17648</v>
      </c>
      <c r="X3805" s="12"/>
      <c r="Y3805" s="14"/>
      <c r="Z3805" s="14"/>
    </row>
    <row r="3806">
      <c r="A3806" s="8" t="s">
        <v>17649</v>
      </c>
      <c r="B3806" s="8" t="s">
        <v>17650</v>
      </c>
      <c r="C3806" s="8" t="s">
        <v>179</v>
      </c>
      <c r="D3806" s="8" t="s">
        <v>26</v>
      </c>
      <c r="E3806" s="8" t="s">
        <v>17651</v>
      </c>
      <c r="F3806" s="8">
        <v>5.6818483E7</v>
      </c>
      <c r="G3806" s="8" t="s">
        <v>54</v>
      </c>
      <c r="H3806" s="8" t="s">
        <v>377</v>
      </c>
      <c r="I3806" s="8" t="s">
        <v>31</v>
      </c>
      <c r="J3806" s="8" t="s">
        <v>77</v>
      </c>
      <c r="K3806" s="10" t="s">
        <v>1582</v>
      </c>
      <c r="L3806" s="8" t="s">
        <v>58</v>
      </c>
      <c r="M3806" s="8" t="s">
        <v>35</v>
      </c>
      <c r="N3806" s="11">
        <v>45254.0</v>
      </c>
      <c r="O3806" s="11">
        <v>45466.0</v>
      </c>
      <c r="P3806" s="11">
        <v>45508.0</v>
      </c>
      <c r="Q3806" s="11"/>
      <c r="R3806" s="11"/>
      <c r="S3806" s="12"/>
      <c r="T3806" s="8"/>
      <c r="U3806" s="8" t="s">
        <v>59</v>
      </c>
      <c r="V3806" s="13" t="s">
        <v>378</v>
      </c>
      <c r="W3806" s="13" t="s">
        <v>17652</v>
      </c>
      <c r="X3806" s="12"/>
      <c r="Y3806" s="14"/>
      <c r="Z3806" s="14"/>
    </row>
    <row r="3807">
      <c r="A3807" s="8" t="s">
        <v>17653</v>
      </c>
      <c r="B3807" s="8" t="s">
        <v>17654</v>
      </c>
      <c r="C3807" s="8" t="s">
        <v>179</v>
      </c>
      <c r="D3807" s="8" t="s">
        <v>26</v>
      </c>
      <c r="E3807" s="8" t="s">
        <v>17655</v>
      </c>
      <c r="F3807" s="8">
        <v>5.324562847E9</v>
      </c>
      <c r="G3807" s="8" t="s">
        <v>31</v>
      </c>
      <c r="H3807" s="8" t="s">
        <v>86</v>
      </c>
      <c r="I3807" s="8" t="s">
        <v>284</v>
      </c>
      <c r="J3807" s="8" t="s">
        <v>691</v>
      </c>
      <c r="K3807" s="10" t="s">
        <v>12055</v>
      </c>
      <c r="L3807" s="8" t="s">
        <v>58</v>
      </c>
      <c r="M3807" s="8" t="s">
        <v>35</v>
      </c>
      <c r="N3807" s="11">
        <v>45254.0</v>
      </c>
      <c r="O3807" s="11">
        <v>45474.0</v>
      </c>
      <c r="P3807" s="11">
        <v>45519.0</v>
      </c>
      <c r="Q3807" s="11"/>
      <c r="R3807" s="11"/>
      <c r="S3807" s="12"/>
      <c r="T3807" s="8"/>
      <c r="U3807" s="8" t="s">
        <v>4870</v>
      </c>
      <c r="V3807" s="13" t="s">
        <v>111</v>
      </c>
      <c r="W3807" s="13" t="s">
        <v>17656</v>
      </c>
      <c r="X3807" s="12"/>
      <c r="Y3807" s="14"/>
      <c r="Z3807" s="14"/>
    </row>
    <row r="3808">
      <c r="A3808" s="8" t="s">
        <v>17657</v>
      </c>
      <c r="B3808" s="8" t="s">
        <v>17658</v>
      </c>
      <c r="C3808" s="8" t="s">
        <v>179</v>
      </c>
      <c r="D3808" s="8" t="s">
        <v>26</v>
      </c>
      <c r="E3808" s="8" t="s">
        <v>17659</v>
      </c>
      <c r="F3808" s="8"/>
      <c r="G3808" s="8" t="s">
        <v>31</v>
      </c>
      <c r="H3808" s="8" t="s">
        <v>256</v>
      </c>
      <c r="I3808" s="8" t="s">
        <v>284</v>
      </c>
      <c r="J3808" s="8" t="s">
        <v>285</v>
      </c>
      <c r="K3808" s="10" t="s">
        <v>3841</v>
      </c>
      <c r="L3808" s="8" t="s">
        <v>58</v>
      </c>
      <c r="M3808" s="8" t="s">
        <v>35</v>
      </c>
      <c r="N3808" s="11">
        <v>45254.0</v>
      </c>
      <c r="O3808" s="11">
        <v>45474.0</v>
      </c>
      <c r="P3808" s="11">
        <v>45516.0</v>
      </c>
      <c r="Q3808" s="11"/>
      <c r="R3808" s="11"/>
      <c r="S3808" s="12"/>
      <c r="T3808" s="8"/>
      <c r="U3808" s="8" t="s">
        <v>1038</v>
      </c>
      <c r="V3808" s="13" t="s">
        <v>38</v>
      </c>
      <c r="W3808" s="13" t="s">
        <v>17660</v>
      </c>
      <c r="X3808" s="12"/>
      <c r="Y3808" s="14"/>
      <c r="Z3808" s="14"/>
    </row>
    <row r="3809">
      <c r="A3809" s="8" t="s">
        <v>17661</v>
      </c>
      <c r="B3809" s="8" t="s">
        <v>17662</v>
      </c>
      <c r="C3809" s="8" t="s">
        <v>179</v>
      </c>
      <c r="D3809" s="8" t="s">
        <v>26</v>
      </c>
      <c r="E3809" s="8" t="s">
        <v>17663</v>
      </c>
      <c r="F3809" s="8">
        <v>5.462180647E9</v>
      </c>
      <c r="G3809" s="8" t="s">
        <v>31</v>
      </c>
      <c r="H3809" s="8" t="s">
        <v>256</v>
      </c>
      <c r="I3809" s="8" t="s">
        <v>284</v>
      </c>
      <c r="J3809" s="8" t="s">
        <v>285</v>
      </c>
      <c r="K3809" s="10" t="s">
        <v>3841</v>
      </c>
      <c r="L3809" s="8" t="s">
        <v>58</v>
      </c>
      <c r="M3809" s="8" t="s">
        <v>35</v>
      </c>
      <c r="N3809" s="11">
        <v>45254.0</v>
      </c>
      <c r="O3809" s="11">
        <v>45474.0</v>
      </c>
      <c r="P3809" s="11">
        <v>45516.0</v>
      </c>
      <c r="Q3809" s="11"/>
      <c r="R3809" s="11"/>
      <c r="S3809" s="12"/>
      <c r="T3809" s="8"/>
      <c r="U3809" s="8" t="s">
        <v>1038</v>
      </c>
      <c r="V3809" s="13" t="s">
        <v>256</v>
      </c>
      <c r="W3809" s="13" t="s">
        <v>17664</v>
      </c>
      <c r="X3809" s="12"/>
      <c r="Y3809" s="14"/>
      <c r="Z3809" s="14"/>
    </row>
    <row r="3810">
      <c r="A3810" s="8" t="s">
        <v>17665</v>
      </c>
      <c r="B3810" s="8" t="s">
        <v>17666</v>
      </c>
      <c r="C3810" s="8" t="s">
        <v>179</v>
      </c>
      <c r="D3810" s="8" t="s">
        <v>26</v>
      </c>
      <c r="E3810" s="8" t="s">
        <v>17667</v>
      </c>
      <c r="F3810" s="8">
        <v>5.432605306E9</v>
      </c>
      <c r="G3810" s="8" t="s">
        <v>31</v>
      </c>
      <c r="H3810" s="8" t="s">
        <v>66</v>
      </c>
      <c r="I3810" s="8" t="s">
        <v>127</v>
      </c>
      <c r="J3810" s="8" t="s">
        <v>2182</v>
      </c>
      <c r="K3810" s="10" t="s">
        <v>17142</v>
      </c>
      <c r="L3810" s="8" t="s">
        <v>58</v>
      </c>
      <c r="M3810" s="8" t="s">
        <v>35</v>
      </c>
      <c r="N3810" s="11">
        <v>45254.0</v>
      </c>
      <c r="O3810" s="11">
        <v>45318.0</v>
      </c>
      <c r="P3810" s="11">
        <v>45360.0</v>
      </c>
      <c r="Q3810" s="11"/>
      <c r="R3810" s="11"/>
      <c r="S3810" s="12"/>
      <c r="T3810" s="8"/>
      <c r="U3810" s="8" t="s">
        <v>1956</v>
      </c>
      <c r="V3810" s="13" t="s">
        <v>66</v>
      </c>
      <c r="W3810" s="13" t="s">
        <v>17668</v>
      </c>
      <c r="X3810" s="12"/>
      <c r="Y3810" s="14"/>
      <c r="Z3810" s="14"/>
    </row>
    <row r="3811">
      <c r="A3811" s="8" t="s">
        <v>17669</v>
      </c>
      <c r="B3811" s="8" t="s">
        <v>17670</v>
      </c>
      <c r="C3811" s="8" t="s">
        <v>179</v>
      </c>
      <c r="D3811" s="8" t="s">
        <v>26</v>
      </c>
      <c r="E3811" s="8" t="s">
        <v>17671</v>
      </c>
      <c r="F3811" s="8"/>
      <c r="G3811" s="8" t="s">
        <v>31</v>
      </c>
      <c r="H3811" s="8" t="s">
        <v>56</v>
      </c>
      <c r="I3811" s="8" t="s">
        <v>399</v>
      </c>
      <c r="J3811" s="8" t="s">
        <v>904</v>
      </c>
      <c r="K3811" s="10" t="s">
        <v>15675</v>
      </c>
      <c r="L3811" s="8" t="s">
        <v>58</v>
      </c>
      <c r="M3811" s="8" t="s">
        <v>35</v>
      </c>
      <c r="N3811" s="11">
        <v>45254.0</v>
      </c>
      <c r="O3811" s="11">
        <v>45514.0</v>
      </c>
      <c r="P3811" s="11">
        <v>45556.0</v>
      </c>
      <c r="Q3811" s="11"/>
      <c r="R3811" s="11"/>
      <c r="S3811" s="12"/>
      <c r="T3811" s="8"/>
      <c r="U3811" s="8" t="s">
        <v>402</v>
      </c>
      <c r="V3811" s="13" t="s">
        <v>38</v>
      </c>
      <c r="W3811" s="13" t="s">
        <v>17672</v>
      </c>
      <c r="X3811" s="12"/>
      <c r="Y3811" s="14"/>
      <c r="Z3811" s="14"/>
    </row>
    <row r="3812">
      <c r="A3812" s="8" t="s">
        <v>17673</v>
      </c>
      <c r="B3812" s="8" t="s">
        <v>17674</v>
      </c>
      <c r="C3812" s="8" t="s">
        <v>179</v>
      </c>
      <c r="D3812" s="8" t="s">
        <v>26</v>
      </c>
      <c r="E3812" s="8" t="s">
        <v>17675</v>
      </c>
      <c r="F3812" s="8"/>
      <c r="G3812" s="8" t="s">
        <v>31</v>
      </c>
      <c r="H3812" s="8" t="s">
        <v>56</v>
      </c>
      <c r="I3812" s="8" t="s">
        <v>399</v>
      </c>
      <c r="J3812" s="8" t="s">
        <v>904</v>
      </c>
      <c r="K3812" s="10" t="s">
        <v>15675</v>
      </c>
      <c r="L3812" s="8" t="s">
        <v>58</v>
      </c>
      <c r="M3812" s="8" t="s">
        <v>35</v>
      </c>
      <c r="N3812" s="11">
        <v>45254.0</v>
      </c>
      <c r="O3812" s="11">
        <v>45474.0</v>
      </c>
      <c r="P3812" s="11">
        <v>45516.0</v>
      </c>
      <c r="Q3812" s="11"/>
      <c r="R3812" s="11"/>
      <c r="S3812" s="12"/>
      <c r="T3812" s="8"/>
      <c r="U3812" s="8" t="s">
        <v>402</v>
      </c>
      <c r="V3812" s="13" t="s">
        <v>38</v>
      </c>
      <c r="W3812" s="13" t="s">
        <v>17676</v>
      </c>
      <c r="X3812" s="12"/>
      <c r="Y3812" s="14"/>
      <c r="Z3812" s="14"/>
    </row>
    <row r="3813">
      <c r="A3813" s="8" t="s">
        <v>17677</v>
      </c>
      <c r="B3813" s="8" t="s">
        <v>17678</v>
      </c>
      <c r="C3813" s="8" t="s">
        <v>179</v>
      </c>
      <c r="D3813" s="8" t="s">
        <v>26</v>
      </c>
      <c r="E3813" s="8" t="s">
        <v>17679</v>
      </c>
      <c r="F3813" s="8">
        <v>1.5159824017E10</v>
      </c>
      <c r="G3813" s="8" t="s">
        <v>202</v>
      </c>
      <c r="H3813" s="8" t="s">
        <v>17680</v>
      </c>
      <c r="I3813" s="8" t="s">
        <v>31</v>
      </c>
      <c r="J3813" s="8" t="s">
        <v>32</v>
      </c>
      <c r="K3813" s="10" t="s">
        <v>5071</v>
      </c>
      <c r="L3813" s="8" t="s">
        <v>58</v>
      </c>
      <c r="M3813" s="8" t="s">
        <v>35</v>
      </c>
      <c r="N3813" s="11">
        <v>45254.0</v>
      </c>
      <c r="O3813" s="11">
        <v>45369.0</v>
      </c>
      <c r="P3813" s="11">
        <v>45411.0</v>
      </c>
      <c r="Q3813" s="11"/>
      <c r="R3813" s="11"/>
      <c r="S3813" s="12"/>
      <c r="T3813" s="8"/>
      <c r="U3813" s="8" t="s">
        <v>161</v>
      </c>
      <c r="V3813" s="13" t="s">
        <v>17681</v>
      </c>
      <c r="W3813" s="13" t="s">
        <v>17682</v>
      </c>
      <c r="X3813" s="12"/>
      <c r="Y3813" s="14"/>
      <c r="Z3813" s="14"/>
    </row>
    <row r="3814">
      <c r="A3814" s="8" t="s">
        <v>17683</v>
      </c>
      <c r="B3814" s="8" t="s">
        <v>17684</v>
      </c>
      <c r="C3814" s="8" t="s">
        <v>708</v>
      </c>
      <c r="D3814" s="8" t="s">
        <v>26</v>
      </c>
      <c r="E3814" s="8" t="s">
        <v>17685</v>
      </c>
      <c r="F3814" s="8"/>
      <c r="G3814" s="8" t="s">
        <v>202</v>
      </c>
      <c r="H3814" s="8" t="s">
        <v>17686</v>
      </c>
      <c r="I3814" s="8" t="s">
        <v>31</v>
      </c>
      <c r="J3814" s="8" t="s">
        <v>111</v>
      </c>
      <c r="K3814" s="10" t="s">
        <v>4676</v>
      </c>
      <c r="L3814" s="8" t="s">
        <v>47</v>
      </c>
      <c r="M3814" s="8" t="s">
        <v>70</v>
      </c>
      <c r="N3814" s="11">
        <v>45254.0</v>
      </c>
      <c r="O3814" s="11">
        <v>45271.0</v>
      </c>
      <c r="P3814" s="11">
        <v>45632.0</v>
      </c>
      <c r="Q3814" s="11">
        <v>45306.0</v>
      </c>
      <c r="R3814" s="11">
        <v>45667.0</v>
      </c>
      <c r="S3814" s="12"/>
      <c r="T3814" s="8" t="s">
        <v>446</v>
      </c>
      <c r="U3814" s="8" t="s">
        <v>4677</v>
      </c>
      <c r="V3814" s="13" t="s">
        <v>17687</v>
      </c>
      <c r="W3814" s="13" t="s">
        <v>17688</v>
      </c>
      <c r="X3814" s="12"/>
      <c r="Y3814" s="14"/>
      <c r="Z3814" s="14"/>
    </row>
    <row r="3815">
      <c r="A3815" s="8" t="s">
        <v>17689</v>
      </c>
      <c r="B3815" s="8" t="s">
        <v>17690</v>
      </c>
      <c r="C3815" s="8" t="s">
        <v>179</v>
      </c>
      <c r="D3815" s="8" t="s">
        <v>26</v>
      </c>
      <c r="E3815" s="8" t="s">
        <v>17691</v>
      </c>
      <c r="F3815" s="8">
        <v>5.325173601E9</v>
      </c>
      <c r="G3815" s="8" t="s">
        <v>31</v>
      </c>
      <c r="H3815" s="8" t="s">
        <v>86</v>
      </c>
      <c r="I3815" s="8" t="s">
        <v>277</v>
      </c>
      <c r="J3815" s="8" t="s">
        <v>278</v>
      </c>
      <c r="K3815" s="10" t="s">
        <v>17692</v>
      </c>
      <c r="L3815" s="8" t="s">
        <v>58</v>
      </c>
      <c r="M3815" s="8" t="s">
        <v>35</v>
      </c>
      <c r="N3815" s="11">
        <v>45254.0</v>
      </c>
      <c r="O3815" s="11">
        <v>45453.0</v>
      </c>
      <c r="P3815" s="11">
        <v>45495.0</v>
      </c>
      <c r="Q3815" s="11"/>
      <c r="R3815" s="11"/>
      <c r="S3815" s="12"/>
      <c r="T3815" s="8"/>
      <c r="U3815" s="8" t="s">
        <v>59</v>
      </c>
      <c r="V3815" s="13" t="s">
        <v>175</v>
      </c>
      <c r="W3815" s="13" t="s">
        <v>17693</v>
      </c>
      <c r="X3815" s="12"/>
      <c r="Y3815" s="14"/>
      <c r="Z3815" s="14"/>
    </row>
    <row r="3816">
      <c r="A3816" s="8" t="s">
        <v>17694</v>
      </c>
      <c r="B3816" s="8" t="s">
        <v>17695</v>
      </c>
      <c r="C3816" s="8" t="s">
        <v>179</v>
      </c>
      <c r="D3816" s="8" t="s">
        <v>26</v>
      </c>
      <c r="E3816" s="8" t="s">
        <v>17696</v>
      </c>
      <c r="F3816" s="8"/>
      <c r="G3816" s="8" t="s">
        <v>31</v>
      </c>
      <c r="H3816" s="8" t="s">
        <v>111</v>
      </c>
      <c r="I3816" s="8" t="s">
        <v>284</v>
      </c>
      <c r="J3816" s="8" t="s">
        <v>1422</v>
      </c>
      <c r="K3816" s="10" t="s">
        <v>7026</v>
      </c>
      <c r="L3816" s="8" t="s">
        <v>58</v>
      </c>
      <c r="M3816" s="8" t="s">
        <v>35</v>
      </c>
      <c r="N3816" s="11">
        <v>45254.0</v>
      </c>
      <c r="O3816" s="11">
        <v>45488.0</v>
      </c>
      <c r="P3816" s="11">
        <v>45530.0</v>
      </c>
      <c r="Q3816" s="11"/>
      <c r="R3816" s="11"/>
      <c r="S3816" s="12"/>
      <c r="T3816" s="8"/>
      <c r="U3816" s="8" t="s">
        <v>1038</v>
      </c>
      <c r="V3816" s="13" t="s">
        <v>38</v>
      </c>
      <c r="W3816" s="13" t="s">
        <v>17697</v>
      </c>
      <c r="X3816" s="12"/>
      <c r="Y3816" s="14"/>
      <c r="Z3816" s="14"/>
    </row>
    <row r="3817">
      <c r="A3817" s="8" t="s">
        <v>17698</v>
      </c>
      <c r="B3817" s="8" t="s">
        <v>17699</v>
      </c>
      <c r="C3817" s="8" t="s">
        <v>179</v>
      </c>
      <c r="D3817" s="8" t="s">
        <v>26</v>
      </c>
      <c r="E3817" s="8" t="s">
        <v>17700</v>
      </c>
      <c r="F3817" s="8">
        <v>9.4868611E7</v>
      </c>
      <c r="G3817" s="8" t="s">
        <v>54</v>
      </c>
      <c r="H3817" s="8" t="s">
        <v>76</v>
      </c>
      <c r="I3817" s="8" t="s">
        <v>31</v>
      </c>
      <c r="J3817" s="8" t="s">
        <v>86</v>
      </c>
      <c r="K3817" s="10" t="s">
        <v>2453</v>
      </c>
      <c r="L3817" s="8" t="s">
        <v>58</v>
      </c>
      <c r="M3817" s="8" t="s">
        <v>35</v>
      </c>
      <c r="N3817" s="11">
        <v>45254.0</v>
      </c>
      <c r="O3817" s="11">
        <v>45505.0</v>
      </c>
      <c r="P3817" s="11">
        <v>45547.0</v>
      </c>
      <c r="Q3817" s="11"/>
      <c r="R3817" s="11"/>
      <c r="S3817" s="12"/>
      <c r="T3817" s="8"/>
      <c r="U3817" s="8" t="s">
        <v>59</v>
      </c>
      <c r="V3817" s="13" t="s">
        <v>324</v>
      </c>
      <c r="W3817" s="13" t="s">
        <v>17701</v>
      </c>
      <c r="X3817" s="12"/>
      <c r="Y3817" s="14"/>
      <c r="Z3817" s="14"/>
    </row>
    <row r="3818">
      <c r="A3818" s="8" t="s">
        <v>17702</v>
      </c>
      <c r="B3818" s="8" t="s">
        <v>17703</v>
      </c>
      <c r="C3818" s="8" t="s">
        <v>179</v>
      </c>
      <c r="D3818" s="8" t="s">
        <v>26</v>
      </c>
      <c r="E3818" s="8" t="s">
        <v>17704</v>
      </c>
      <c r="F3818" s="8">
        <v>2.343896E7</v>
      </c>
      <c r="G3818" s="8" t="s">
        <v>54</v>
      </c>
      <c r="H3818" s="8" t="s">
        <v>76</v>
      </c>
      <c r="I3818" s="8" t="s">
        <v>31</v>
      </c>
      <c r="J3818" s="8" t="s">
        <v>86</v>
      </c>
      <c r="K3818" s="10" t="s">
        <v>2453</v>
      </c>
      <c r="L3818" s="8" t="s">
        <v>58</v>
      </c>
      <c r="M3818" s="8" t="s">
        <v>35</v>
      </c>
      <c r="N3818" s="11">
        <v>45254.0</v>
      </c>
      <c r="O3818" s="11">
        <v>45444.0</v>
      </c>
      <c r="P3818" s="11">
        <v>45486.0</v>
      </c>
      <c r="Q3818" s="11"/>
      <c r="R3818" s="11"/>
      <c r="S3818" s="12"/>
      <c r="T3818" s="8"/>
      <c r="U3818" s="8" t="s">
        <v>59</v>
      </c>
      <c r="V3818" s="13" t="s">
        <v>3496</v>
      </c>
      <c r="W3818" s="13" t="s">
        <v>17705</v>
      </c>
      <c r="X3818" s="12"/>
      <c r="Y3818" s="14"/>
      <c r="Z3818" s="14"/>
    </row>
    <row r="3819">
      <c r="A3819" s="8" t="s">
        <v>17706</v>
      </c>
      <c r="B3819" s="8" t="s">
        <v>17707</v>
      </c>
      <c r="C3819" s="8" t="s">
        <v>179</v>
      </c>
      <c r="D3819" s="8" t="s">
        <v>26</v>
      </c>
      <c r="E3819" s="8" t="s">
        <v>17708</v>
      </c>
      <c r="F3819" s="8">
        <v>5.523441074E9</v>
      </c>
      <c r="G3819" s="8" t="s">
        <v>31</v>
      </c>
      <c r="H3819" s="8" t="s">
        <v>102</v>
      </c>
      <c r="I3819" s="8" t="s">
        <v>399</v>
      </c>
      <c r="J3819" s="8" t="s">
        <v>415</v>
      </c>
      <c r="K3819" s="10" t="s">
        <v>3178</v>
      </c>
      <c r="L3819" s="8" t="s">
        <v>58</v>
      </c>
      <c r="M3819" s="8" t="s">
        <v>35</v>
      </c>
      <c r="N3819" s="11">
        <v>45254.0</v>
      </c>
      <c r="O3819" s="11">
        <v>45474.0</v>
      </c>
      <c r="P3819" s="11">
        <v>45516.0</v>
      </c>
      <c r="Q3819" s="11"/>
      <c r="R3819" s="11"/>
      <c r="S3819" s="12"/>
      <c r="T3819" s="8"/>
      <c r="U3819" s="8" t="s">
        <v>402</v>
      </c>
      <c r="V3819" s="13" t="s">
        <v>102</v>
      </c>
      <c r="W3819" s="13" t="s">
        <v>17709</v>
      </c>
      <c r="X3819" s="12"/>
      <c r="Y3819" s="14"/>
      <c r="Z3819" s="14"/>
    </row>
    <row r="3820">
      <c r="A3820" s="8" t="s">
        <v>17710</v>
      </c>
      <c r="B3820" s="8" t="s">
        <v>17711</v>
      </c>
      <c r="C3820" s="8" t="s">
        <v>179</v>
      </c>
      <c r="D3820" s="8" t="s">
        <v>26</v>
      </c>
      <c r="E3820" s="8" t="s">
        <v>17712</v>
      </c>
      <c r="F3820" s="8">
        <v>5.469781284E9</v>
      </c>
      <c r="G3820" s="8" t="s">
        <v>31</v>
      </c>
      <c r="H3820" s="8" t="s">
        <v>102</v>
      </c>
      <c r="I3820" s="8" t="s">
        <v>399</v>
      </c>
      <c r="J3820" s="8" t="s">
        <v>415</v>
      </c>
      <c r="K3820" s="10" t="s">
        <v>3178</v>
      </c>
      <c r="L3820" s="8" t="s">
        <v>58</v>
      </c>
      <c r="M3820" s="8" t="s">
        <v>35</v>
      </c>
      <c r="N3820" s="11">
        <v>45254.0</v>
      </c>
      <c r="O3820" s="11">
        <v>45474.0</v>
      </c>
      <c r="P3820" s="11">
        <v>45516.0</v>
      </c>
      <c r="Q3820" s="11"/>
      <c r="R3820" s="11"/>
      <c r="S3820" s="12"/>
      <c r="T3820" s="8"/>
      <c r="U3820" s="8" t="s">
        <v>402</v>
      </c>
      <c r="V3820" s="13" t="s">
        <v>102</v>
      </c>
      <c r="W3820" s="13" t="s">
        <v>17713</v>
      </c>
      <c r="X3820" s="12"/>
      <c r="Y3820" s="14"/>
      <c r="Z3820" s="14"/>
    </row>
    <row r="3821">
      <c r="A3821" s="8" t="s">
        <v>17714</v>
      </c>
      <c r="B3821" s="8" t="s">
        <v>17715</v>
      </c>
      <c r="C3821" s="8" t="s">
        <v>179</v>
      </c>
      <c r="D3821" s="8" t="s">
        <v>26</v>
      </c>
      <c r="E3821" s="8" t="s">
        <v>17716</v>
      </c>
      <c r="F3821" s="8">
        <v>5.312427612E9</v>
      </c>
      <c r="G3821" s="8" t="s">
        <v>31</v>
      </c>
      <c r="H3821" s="8" t="s">
        <v>102</v>
      </c>
      <c r="I3821" s="8" t="s">
        <v>127</v>
      </c>
      <c r="J3821" s="8" t="s">
        <v>9028</v>
      </c>
      <c r="K3821" s="10" t="s">
        <v>17717</v>
      </c>
      <c r="L3821" s="8" t="s">
        <v>58</v>
      </c>
      <c r="M3821" s="8" t="s">
        <v>35</v>
      </c>
      <c r="N3821" s="11">
        <v>45254.0</v>
      </c>
      <c r="O3821" s="11">
        <v>45327.0</v>
      </c>
      <c r="P3821" s="11">
        <v>45369.0</v>
      </c>
      <c r="Q3821" s="11"/>
      <c r="R3821" s="11"/>
      <c r="S3821" s="12"/>
      <c r="T3821" s="8"/>
      <c r="U3821" s="8" t="s">
        <v>1956</v>
      </c>
      <c r="V3821" s="13" t="s">
        <v>102</v>
      </c>
      <c r="W3821" s="13" t="s">
        <v>17718</v>
      </c>
      <c r="X3821" s="12"/>
      <c r="Y3821" s="14"/>
      <c r="Z3821" s="14"/>
    </row>
    <row r="3822">
      <c r="A3822" s="8" t="s">
        <v>17719</v>
      </c>
      <c r="B3822" s="8" t="s">
        <v>17720</v>
      </c>
      <c r="C3822" s="8" t="s">
        <v>179</v>
      </c>
      <c r="D3822" s="8" t="s">
        <v>26</v>
      </c>
      <c r="E3822" s="8" t="s">
        <v>17721</v>
      </c>
      <c r="F3822" s="8">
        <v>5.41653452E9</v>
      </c>
      <c r="G3822" s="8" t="s">
        <v>31</v>
      </c>
      <c r="H3822" s="8" t="s">
        <v>102</v>
      </c>
      <c r="I3822" s="8" t="s">
        <v>127</v>
      </c>
      <c r="J3822" s="8" t="s">
        <v>9028</v>
      </c>
      <c r="K3822" s="10" t="s">
        <v>17717</v>
      </c>
      <c r="L3822" s="8" t="s">
        <v>58</v>
      </c>
      <c r="M3822" s="8" t="s">
        <v>35</v>
      </c>
      <c r="N3822" s="11">
        <v>45254.0</v>
      </c>
      <c r="O3822" s="11">
        <v>45327.0</v>
      </c>
      <c r="P3822" s="11">
        <v>45369.0</v>
      </c>
      <c r="Q3822" s="11"/>
      <c r="R3822" s="11"/>
      <c r="S3822" s="12"/>
      <c r="T3822" s="8"/>
      <c r="U3822" s="8" t="s">
        <v>1956</v>
      </c>
      <c r="V3822" s="13" t="s">
        <v>102</v>
      </c>
      <c r="W3822" s="13" t="s">
        <v>17722</v>
      </c>
      <c r="X3822" s="12"/>
      <c r="Y3822" s="14"/>
      <c r="Z3822" s="14"/>
    </row>
    <row r="3823">
      <c r="A3823" s="8" t="s">
        <v>17723</v>
      </c>
      <c r="B3823" s="8" t="s">
        <v>17724</v>
      </c>
      <c r="C3823" s="8" t="s">
        <v>179</v>
      </c>
      <c r="D3823" s="8" t="s">
        <v>26</v>
      </c>
      <c r="E3823" s="8" t="s">
        <v>17725</v>
      </c>
      <c r="F3823" s="8">
        <v>5.059850127E9</v>
      </c>
      <c r="G3823" s="8" t="s">
        <v>31</v>
      </c>
      <c r="H3823" s="8" t="s">
        <v>102</v>
      </c>
      <c r="I3823" s="8" t="s">
        <v>127</v>
      </c>
      <c r="J3823" s="8" t="s">
        <v>9028</v>
      </c>
      <c r="K3823" s="10" t="s">
        <v>17717</v>
      </c>
      <c r="L3823" s="8" t="s">
        <v>58</v>
      </c>
      <c r="M3823" s="8" t="s">
        <v>35</v>
      </c>
      <c r="N3823" s="11">
        <v>45254.0</v>
      </c>
      <c r="O3823" s="11">
        <v>45327.0</v>
      </c>
      <c r="P3823" s="11">
        <v>45369.0</v>
      </c>
      <c r="Q3823" s="11"/>
      <c r="R3823" s="11"/>
      <c r="S3823" s="12"/>
      <c r="T3823" s="8"/>
      <c r="U3823" s="8" t="s">
        <v>1956</v>
      </c>
      <c r="V3823" s="13" t="s">
        <v>102</v>
      </c>
      <c r="W3823" s="13" t="s">
        <v>17726</v>
      </c>
      <c r="X3823" s="12"/>
      <c r="Y3823" s="14"/>
      <c r="Z3823" s="14"/>
    </row>
    <row r="3824">
      <c r="A3824" s="8" t="s">
        <v>17727</v>
      </c>
      <c r="B3824" s="8" t="s">
        <v>17728</v>
      </c>
      <c r="C3824" s="8" t="s">
        <v>179</v>
      </c>
      <c r="D3824" s="8" t="s">
        <v>26</v>
      </c>
      <c r="E3824" s="8" t="s">
        <v>17729</v>
      </c>
      <c r="F3824" s="8">
        <v>2.9498226E7</v>
      </c>
      <c r="G3824" s="8" t="s">
        <v>54</v>
      </c>
      <c r="H3824" s="8" t="s">
        <v>377</v>
      </c>
      <c r="I3824" s="8" t="s">
        <v>31</v>
      </c>
      <c r="J3824" s="8" t="s">
        <v>86</v>
      </c>
      <c r="K3824" s="10" t="s">
        <v>2453</v>
      </c>
      <c r="L3824" s="8" t="s">
        <v>58</v>
      </c>
      <c r="M3824" s="8" t="s">
        <v>35</v>
      </c>
      <c r="N3824" s="11">
        <v>45254.0</v>
      </c>
      <c r="O3824" s="11">
        <v>45444.0</v>
      </c>
      <c r="P3824" s="11">
        <v>45486.0</v>
      </c>
      <c r="Q3824" s="11"/>
      <c r="R3824" s="11"/>
      <c r="S3824" s="12"/>
      <c r="T3824" s="8"/>
      <c r="U3824" s="8" t="s">
        <v>59</v>
      </c>
      <c r="V3824" s="13" t="s">
        <v>378</v>
      </c>
      <c r="W3824" s="13" t="s">
        <v>17730</v>
      </c>
      <c r="X3824" s="12"/>
      <c r="Y3824" s="14"/>
      <c r="Z3824" s="14"/>
    </row>
    <row r="3825">
      <c r="A3825" s="8" t="s">
        <v>17731</v>
      </c>
      <c r="B3825" s="8" t="s">
        <v>17732</v>
      </c>
      <c r="C3825" s="8" t="s">
        <v>179</v>
      </c>
      <c r="D3825" s="8" t="s">
        <v>26</v>
      </c>
      <c r="E3825" s="8" t="s">
        <v>17733</v>
      </c>
      <c r="F3825" s="8">
        <v>5.3459627E7</v>
      </c>
      <c r="G3825" s="8" t="s">
        <v>54</v>
      </c>
      <c r="H3825" s="8" t="s">
        <v>377</v>
      </c>
      <c r="I3825" s="8" t="s">
        <v>31</v>
      </c>
      <c r="J3825" s="8" t="s">
        <v>86</v>
      </c>
      <c r="K3825" s="10" t="s">
        <v>2453</v>
      </c>
      <c r="L3825" s="8" t="s">
        <v>58</v>
      </c>
      <c r="M3825" s="8" t="s">
        <v>35</v>
      </c>
      <c r="N3825" s="11">
        <v>45254.0</v>
      </c>
      <c r="O3825" s="11">
        <v>45444.0</v>
      </c>
      <c r="P3825" s="11">
        <v>45486.0</v>
      </c>
      <c r="Q3825" s="11"/>
      <c r="R3825" s="11"/>
      <c r="S3825" s="12"/>
      <c r="T3825" s="8"/>
      <c r="U3825" s="8" t="s">
        <v>59</v>
      </c>
      <c r="V3825" s="13" t="s">
        <v>3491</v>
      </c>
      <c r="W3825" s="13" t="s">
        <v>17734</v>
      </c>
      <c r="X3825" s="12"/>
      <c r="Y3825" s="14"/>
      <c r="Z3825" s="14"/>
    </row>
    <row r="3826">
      <c r="A3826" s="8" t="s">
        <v>17735</v>
      </c>
      <c r="B3826" s="8" t="s">
        <v>17736</v>
      </c>
      <c r="C3826" s="8" t="s">
        <v>179</v>
      </c>
      <c r="D3826" s="8" t="s">
        <v>26</v>
      </c>
      <c r="E3826" s="8" t="s">
        <v>17737</v>
      </c>
      <c r="F3826" s="8">
        <v>5.411753457E9</v>
      </c>
      <c r="G3826" s="8" t="s">
        <v>31</v>
      </c>
      <c r="H3826" s="8" t="s">
        <v>102</v>
      </c>
      <c r="I3826" s="8" t="s">
        <v>29</v>
      </c>
      <c r="J3826" s="8" t="s">
        <v>2448</v>
      </c>
      <c r="K3826" s="10" t="s">
        <v>17738</v>
      </c>
      <c r="L3826" s="8" t="s">
        <v>58</v>
      </c>
      <c r="M3826" s="8" t="s">
        <v>35</v>
      </c>
      <c r="N3826" s="11">
        <v>45254.0</v>
      </c>
      <c r="O3826" s="11">
        <v>45565.0</v>
      </c>
      <c r="P3826" s="11">
        <v>45607.0</v>
      </c>
      <c r="Q3826" s="11"/>
      <c r="R3826" s="11"/>
      <c r="S3826" s="12"/>
      <c r="T3826" s="8"/>
      <c r="U3826" s="8" t="s">
        <v>88</v>
      </c>
      <c r="V3826" s="13" t="s">
        <v>102</v>
      </c>
      <c r="W3826" s="13" t="s">
        <v>17739</v>
      </c>
      <c r="X3826" s="12"/>
      <c r="Y3826" s="14"/>
      <c r="Z3826" s="14"/>
    </row>
    <row r="3827">
      <c r="A3827" s="8" t="s">
        <v>17740</v>
      </c>
      <c r="B3827" s="8" t="s">
        <v>17741</v>
      </c>
      <c r="C3827" s="8" t="s">
        <v>708</v>
      </c>
      <c r="D3827" s="8" t="s">
        <v>26</v>
      </c>
      <c r="E3827" s="8" t="s">
        <v>17742</v>
      </c>
      <c r="F3827" s="8">
        <v>6.51026739E8</v>
      </c>
      <c r="G3827" s="8" t="s">
        <v>84</v>
      </c>
      <c r="H3827" s="8" t="s">
        <v>646</v>
      </c>
      <c r="I3827" s="8" t="s">
        <v>31</v>
      </c>
      <c r="J3827" s="8" t="s">
        <v>292</v>
      </c>
      <c r="K3827" s="10" t="s">
        <v>1818</v>
      </c>
      <c r="L3827" s="8" t="s">
        <v>47</v>
      </c>
      <c r="M3827" s="8" t="s">
        <v>70</v>
      </c>
      <c r="N3827" s="11">
        <v>45254.0</v>
      </c>
      <c r="O3827" s="11">
        <v>45269.0</v>
      </c>
      <c r="P3827" s="11">
        <v>45634.0</v>
      </c>
      <c r="Q3827" s="11">
        <v>45272.0</v>
      </c>
      <c r="R3827" s="11">
        <v>45637.0</v>
      </c>
      <c r="S3827" s="12"/>
      <c r="T3827" s="8"/>
      <c r="U3827" s="8" t="s">
        <v>1819</v>
      </c>
      <c r="V3827" s="13" t="s">
        <v>17743</v>
      </c>
      <c r="W3827" s="13" t="s">
        <v>17744</v>
      </c>
      <c r="X3827" s="12"/>
      <c r="Y3827" s="14"/>
      <c r="Z3827" s="14"/>
    </row>
    <row r="3828">
      <c r="A3828" s="8" t="s">
        <v>17745</v>
      </c>
      <c r="B3828" s="8" t="s">
        <v>12994</v>
      </c>
      <c r="C3828" s="8" t="s">
        <v>179</v>
      </c>
      <c r="D3828" s="8" t="s">
        <v>26</v>
      </c>
      <c r="E3828" s="8" t="s">
        <v>17746</v>
      </c>
      <c r="F3828" s="8">
        <v>7.95909318E8</v>
      </c>
      <c r="G3828" s="8" t="s">
        <v>254</v>
      </c>
      <c r="H3828" s="8" t="s">
        <v>1007</v>
      </c>
      <c r="I3828" s="8" t="s">
        <v>31</v>
      </c>
      <c r="J3828" s="8" t="s">
        <v>66</v>
      </c>
      <c r="K3828" s="10" t="s">
        <v>11442</v>
      </c>
      <c r="L3828" s="8" t="s">
        <v>47</v>
      </c>
      <c r="M3828" s="8" t="s">
        <v>70</v>
      </c>
      <c r="N3828" s="11">
        <v>45254.0</v>
      </c>
      <c r="O3828" s="11">
        <v>45275.0</v>
      </c>
      <c r="P3828" s="11">
        <v>45638.0</v>
      </c>
      <c r="Q3828" s="11"/>
      <c r="R3828" s="11"/>
      <c r="S3828" s="12"/>
      <c r="T3828" s="8"/>
      <c r="U3828" s="8" t="s">
        <v>11443</v>
      </c>
      <c r="V3828" s="13" t="s">
        <v>1249</v>
      </c>
      <c r="W3828" s="13" t="s">
        <v>17747</v>
      </c>
      <c r="X3828" s="12"/>
      <c r="Y3828" s="14"/>
      <c r="Z3828" s="14"/>
    </row>
    <row r="3829">
      <c r="A3829" s="8" t="s">
        <v>17748</v>
      </c>
      <c r="B3829" s="8" t="s">
        <v>9739</v>
      </c>
      <c r="C3829" s="8" t="s">
        <v>179</v>
      </c>
      <c r="D3829" s="8" t="s">
        <v>26</v>
      </c>
      <c r="E3829" s="8" t="s">
        <v>17749</v>
      </c>
      <c r="F3829" s="8">
        <v>5.435309954E9</v>
      </c>
      <c r="G3829" s="8" t="s">
        <v>31</v>
      </c>
      <c r="H3829" s="8" t="s">
        <v>542</v>
      </c>
      <c r="I3829" s="8" t="s">
        <v>284</v>
      </c>
      <c r="J3829" s="8" t="s">
        <v>285</v>
      </c>
      <c r="K3829" s="10" t="s">
        <v>3841</v>
      </c>
      <c r="L3829" s="8" t="s">
        <v>58</v>
      </c>
      <c r="M3829" s="8" t="s">
        <v>35</v>
      </c>
      <c r="N3829" s="11">
        <v>45255.0</v>
      </c>
      <c r="O3829" s="11">
        <v>45292.0</v>
      </c>
      <c r="P3829" s="11">
        <v>45334.0</v>
      </c>
      <c r="Q3829" s="11"/>
      <c r="R3829" s="11"/>
      <c r="S3829" s="12"/>
      <c r="T3829" s="8"/>
      <c r="U3829" s="8" t="s">
        <v>1038</v>
      </c>
      <c r="V3829" s="13" t="s">
        <v>545</v>
      </c>
      <c r="W3829" s="13" t="s">
        <v>17750</v>
      </c>
      <c r="X3829" s="12"/>
      <c r="Y3829" s="14"/>
      <c r="Z3829" s="14"/>
    </row>
    <row r="3830">
      <c r="A3830" s="8" t="s">
        <v>17751</v>
      </c>
      <c r="B3830" s="8" t="s">
        <v>17752</v>
      </c>
      <c r="C3830" s="8" t="s">
        <v>179</v>
      </c>
      <c r="D3830" s="8" t="s">
        <v>26</v>
      </c>
      <c r="E3830" s="8" t="s">
        <v>17753</v>
      </c>
      <c r="F3830" s="8"/>
      <c r="G3830" s="8" t="s">
        <v>31</v>
      </c>
      <c r="H3830" s="8" t="s">
        <v>542</v>
      </c>
      <c r="I3830" s="8" t="s">
        <v>284</v>
      </c>
      <c r="J3830" s="8" t="s">
        <v>285</v>
      </c>
      <c r="K3830" s="10" t="s">
        <v>3841</v>
      </c>
      <c r="L3830" s="8" t="s">
        <v>58</v>
      </c>
      <c r="M3830" s="8" t="s">
        <v>35</v>
      </c>
      <c r="N3830" s="11">
        <v>45255.0</v>
      </c>
      <c r="O3830" s="11">
        <v>45474.0</v>
      </c>
      <c r="P3830" s="11">
        <v>45516.0</v>
      </c>
      <c r="Q3830" s="11"/>
      <c r="R3830" s="11"/>
      <c r="S3830" s="12"/>
      <c r="T3830" s="8"/>
      <c r="U3830" s="8" t="s">
        <v>1038</v>
      </c>
      <c r="V3830" s="13" t="s">
        <v>38</v>
      </c>
      <c r="W3830" s="13" t="s">
        <v>17754</v>
      </c>
      <c r="X3830" s="12"/>
      <c r="Y3830" s="14"/>
      <c r="Z3830" s="14"/>
    </row>
    <row r="3831">
      <c r="A3831" s="8" t="s">
        <v>17755</v>
      </c>
      <c r="B3831" s="8" t="s">
        <v>13646</v>
      </c>
      <c r="C3831" s="8" t="s">
        <v>179</v>
      </c>
      <c r="D3831" s="8" t="s">
        <v>26</v>
      </c>
      <c r="E3831" s="8" t="s">
        <v>13647</v>
      </c>
      <c r="F3831" s="8">
        <v>5.364684274E9</v>
      </c>
      <c r="G3831" s="8" t="s">
        <v>31</v>
      </c>
      <c r="H3831" s="8" t="s">
        <v>542</v>
      </c>
      <c r="I3831" s="8" t="s">
        <v>284</v>
      </c>
      <c r="J3831" s="8" t="s">
        <v>285</v>
      </c>
      <c r="K3831" s="10" t="s">
        <v>3841</v>
      </c>
      <c r="L3831" s="8" t="s">
        <v>58</v>
      </c>
      <c r="M3831" s="8" t="s">
        <v>35</v>
      </c>
      <c r="N3831" s="11">
        <v>45255.0</v>
      </c>
      <c r="O3831" s="11">
        <v>45474.0</v>
      </c>
      <c r="P3831" s="11">
        <v>45516.0</v>
      </c>
      <c r="Q3831" s="11"/>
      <c r="R3831" s="11"/>
      <c r="S3831" s="12"/>
      <c r="T3831" s="8"/>
      <c r="U3831" s="8" t="s">
        <v>1038</v>
      </c>
      <c r="V3831" s="13" t="s">
        <v>545</v>
      </c>
      <c r="W3831" s="13" t="s">
        <v>13649</v>
      </c>
      <c r="X3831" s="12"/>
      <c r="Y3831" s="14"/>
      <c r="Z3831" s="14"/>
    </row>
    <row r="3832">
      <c r="A3832" s="8" t="s">
        <v>17756</v>
      </c>
      <c r="B3832" s="8" t="s">
        <v>17757</v>
      </c>
      <c r="C3832" s="8" t="s">
        <v>179</v>
      </c>
      <c r="D3832" s="8" t="s">
        <v>26</v>
      </c>
      <c r="E3832" s="8" t="s">
        <v>17758</v>
      </c>
      <c r="F3832" s="8"/>
      <c r="G3832" s="8" t="s">
        <v>31</v>
      </c>
      <c r="H3832" s="8" t="s">
        <v>542</v>
      </c>
      <c r="I3832" s="8" t="s">
        <v>284</v>
      </c>
      <c r="J3832" s="8" t="s">
        <v>285</v>
      </c>
      <c r="K3832" s="10" t="s">
        <v>3841</v>
      </c>
      <c r="L3832" s="8" t="s">
        <v>58</v>
      </c>
      <c r="M3832" s="8" t="s">
        <v>35</v>
      </c>
      <c r="N3832" s="11">
        <v>45255.0</v>
      </c>
      <c r="O3832" s="11">
        <v>45474.0</v>
      </c>
      <c r="P3832" s="11">
        <v>45516.0</v>
      </c>
      <c r="Q3832" s="11"/>
      <c r="R3832" s="11"/>
      <c r="S3832" s="12"/>
      <c r="T3832" s="8"/>
      <c r="U3832" s="8" t="s">
        <v>1038</v>
      </c>
      <c r="V3832" s="13" t="s">
        <v>38</v>
      </c>
      <c r="W3832" s="13" t="s">
        <v>17759</v>
      </c>
      <c r="X3832" s="12"/>
      <c r="Y3832" s="14"/>
      <c r="Z3832" s="14"/>
    </row>
    <row r="3833">
      <c r="A3833" s="8" t="s">
        <v>17760</v>
      </c>
      <c r="B3833" s="8" t="s">
        <v>17761</v>
      </c>
      <c r="C3833" s="8" t="s">
        <v>179</v>
      </c>
      <c r="D3833" s="8" t="s">
        <v>26</v>
      </c>
      <c r="E3833" s="8" t="s">
        <v>17762</v>
      </c>
      <c r="F3833" s="8"/>
      <c r="G3833" s="8" t="s">
        <v>31</v>
      </c>
      <c r="H3833" s="8" t="s">
        <v>66</v>
      </c>
      <c r="I3833" s="8" t="s">
        <v>221</v>
      </c>
      <c r="J3833" s="8" t="s">
        <v>222</v>
      </c>
      <c r="K3833" s="10" t="s">
        <v>17763</v>
      </c>
      <c r="L3833" s="8" t="s">
        <v>58</v>
      </c>
      <c r="M3833" s="8" t="s">
        <v>35</v>
      </c>
      <c r="N3833" s="11">
        <v>45255.0</v>
      </c>
      <c r="O3833" s="11">
        <v>45303.0</v>
      </c>
      <c r="P3833" s="11">
        <v>45345.0</v>
      </c>
      <c r="Q3833" s="11"/>
      <c r="R3833" s="11"/>
      <c r="S3833" s="12"/>
      <c r="T3833" s="8"/>
      <c r="U3833" s="8" t="s">
        <v>371</v>
      </c>
      <c r="V3833" s="13" t="s">
        <v>38</v>
      </c>
      <c r="W3833" s="13" t="s">
        <v>17764</v>
      </c>
      <c r="X3833" s="12"/>
      <c r="Y3833" s="14"/>
      <c r="Z3833" s="14"/>
    </row>
    <row r="3834">
      <c r="A3834" s="8" t="s">
        <v>17765</v>
      </c>
      <c r="B3834" s="8" t="s">
        <v>17766</v>
      </c>
      <c r="C3834" s="8" t="s">
        <v>179</v>
      </c>
      <c r="D3834" s="8" t="s">
        <v>26</v>
      </c>
      <c r="E3834" s="8" t="s">
        <v>17767</v>
      </c>
      <c r="F3834" s="8">
        <v>0.0</v>
      </c>
      <c r="G3834" s="8" t="s">
        <v>31</v>
      </c>
      <c r="H3834" s="8" t="s">
        <v>77</v>
      </c>
      <c r="I3834" s="8" t="s">
        <v>54</v>
      </c>
      <c r="J3834" s="8" t="s">
        <v>237</v>
      </c>
      <c r="K3834" s="10" t="s">
        <v>15191</v>
      </c>
      <c r="L3834" s="8" t="s">
        <v>58</v>
      </c>
      <c r="M3834" s="8" t="s">
        <v>35</v>
      </c>
      <c r="N3834" s="11">
        <v>45255.0</v>
      </c>
      <c r="O3834" s="11">
        <v>45488.0</v>
      </c>
      <c r="P3834" s="11">
        <v>45530.0</v>
      </c>
      <c r="Q3834" s="11"/>
      <c r="R3834" s="11"/>
      <c r="S3834" s="12"/>
      <c r="T3834" s="8"/>
      <c r="U3834" s="8" t="s">
        <v>402</v>
      </c>
      <c r="V3834" s="13" t="s">
        <v>77</v>
      </c>
      <c r="W3834" s="13" t="s">
        <v>17768</v>
      </c>
      <c r="X3834" s="12"/>
      <c r="Y3834" s="14"/>
      <c r="Z3834" s="14"/>
    </row>
    <row r="3835">
      <c r="A3835" s="8" t="s">
        <v>17769</v>
      </c>
      <c r="B3835" s="8" t="s">
        <v>17770</v>
      </c>
      <c r="C3835" s="8" t="s">
        <v>179</v>
      </c>
      <c r="D3835" s="8" t="s">
        <v>26</v>
      </c>
      <c r="E3835" s="8" t="s">
        <v>17771</v>
      </c>
      <c r="F3835" s="8">
        <v>5.37498889E9</v>
      </c>
      <c r="G3835" s="8" t="s">
        <v>31</v>
      </c>
      <c r="H3835" s="8" t="s">
        <v>438</v>
      </c>
      <c r="I3835" s="8" t="s">
        <v>284</v>
      </c>
      <c r="J3835" s="8" t="s">
        <v>1422</v>
      </c>
      <c r="K3835" s="10" t="s">
        <v>16412</v>
      </c>
      <c r="L3835" s="8" t="s">
        <v>58</v>
      </c>
      <c r="M3835" s="8" t="s">
        <v>35</v>
      </c>
      <c r="N3835" s="11">
        <v>45255.0</v>
      </c>
      <c r="O3835" s="11">
        <v>45488.0</v>
      </c>
      <c r="P3835" s="11">
        <v>45530.0</v>
      </c>
      <c r="Q3835" s="11"/>
      <c r="R3835" s="11"/>
      <c r="S3835" s="12"/>
      <c r="T3835" s="8"/>
      <c r="U3835" s="8" t="s">
        <v>130</v>
      </c>
      <c r="V3835" s="13" t="s">
        <v>438</v>
      </c>
      <c r="W3835" s="13" t="s">
        <v>17772</v>
      </c>
      <c r="X3835" s="12"/>
      <c r="Y3835" s="14"/>
      <c r="Z3835" s="14"/>
    </row>
    <row r="3836">
      <c r="A3836" s="8" t="s">
        <v>17773</v>
      </c>
      <c r="B3836" s="8" t="s">
        <v>17774</v>
      </c>
      <c r="C3836" s="8" t="s">
        <v>179</v>
      </c>
      <c r="D3836" s="8" t="s">
        <v>26</v>
      </c>
      <c r="E3836" s="8" t="s">
        <v>17775</v>
      </c>
      <c r="F3836" s="8"/>
      <c r="G3836" s="8" t="s">
        <v>31</v>
      </c>
      <c r="H3836" s="8" t="s">
        <v>86</v>
      </c>
      <c r="I3836" s="8" t="s">
        <v>127</v>
      </c>
      <c r="J3836" s="8" t="s">
        <v>1628</v>
      </c>
      <c r="K3836" s="10" t="s">
        <v>17491</v>
      </c>
      <c r="L3836" s="8" t="s">
        <v>58</v>
      </c>
      <c r="M3836" s="8" t="s">
        <v>35</v>
      </c>
      <c r="N3836" s="11">
        <v>45255.0</v>
      </c>
      <c r="O3836" s="11">
        <v>45327.0</v>
      </c>
      <c r="P3836" s="11">
        <v>45369.0</v>
      </c>
      <c r="Q3836" s="11"/>
      <c r="R3836" s="11"/>
      <c r="S3836" s="12"/>
      <c r="T3836" s="8"/>
      <c r="U3836" s="8" t="s">
        <v>1956</v>
      </c>
      <c r="V3836" s="13" t="s">
        <v>38</v>
      </c>
      <c r="W3836" s="13" t="s">
        <v>17776</v>
      </c>
      <c r="X3836" s="12"/>
      <c r="Y3836" s="14"/>
      <c r="Z3836" s="14"/>
    </row>
    <row r="3837">
      <c r="A3837" s="8" t="s">
        <v>17777</v>
      </c>
      <c r="B3837" s="8" t="s">
        <v>17778</v>
      </c>
      <c r="C3837" s="8" t="s">
        <v>708</v>
      </c>
      <c r="D3837" s="8" t="s">
        <v>26</v>
      </c>
      <c r="E3837" s="8" t="s">
        <v>17779</v>
      </c>
      <c r="F3837" s="8">
        <v>5.459518068E9</v>
      </c>
      <c r="G3837" s="8" t="s">
        <v>31</v>
      </c>
      <c r="H3837" s="8" t="s">
        <v>542</v>
      </c>
      <c r="I3837" s="8" t="s">
        <v>127</v>
      </c>
      <c r="J3837" s="8" t="s">
        <v>2182</v>
      </c>
      <c r="K3837" s="10" t="s">
        <v>15165</v>
      </c>
      <c r="L3837" s="8" t="s">
        <v>58</v>
      </c>
      <c r="M3837" s="8" t="s">
        <v>35</v>
      </c>
      <c r="N3837" s="11">
        <v>45255.0</v>
      </c>
      <c r="O3837" s="11">
        <v>45318.0</v>
      </c>
      <c r="P3837" s="11">
        <v>45360.0</v>
      </c>
      <c r="Q3837" s="11">
        <v>45319.0</v>
      </c>
      <c r="R3837" s="11">
        <v>45360.0</v>
      </c>
      <c r="S3837" s="12"/>
      <c r="T3837" s="8"/>
      <c r="U3837" s="8" t="s">
        <v>1956</v>
      </c>
      <c r="V3837" s="13" t="s">
        <v>545</v>
      </c>
      <c r="W3837" s="13" t="s">
        <v>17780</v>
      </c>
      <c r="X3837" s="12"/>
      <c r="Y3837" s="14"/>
      <c r="Z3837" s="14"/>
    </row>
    <row r="3838">
      <c r="A3838" s="8" t="s">
        <v>17781</v>
      </c>
      <c r="B3838" s="8" t="s">
        <v>17782</v>
      </c>
      <c r="C3838" s="8" t="s">
        <v>179</v>
      </c>
      <c r="D3838" s="8" t="s">
        <v>26</v>
      </c>
      <c r="E3838" s="8" t="s">
        <v>17783</v>
      </c>
      <c r="F3838" s="8">
        <v>5.467245571E9</v>
      </c>
      <c r="G3838" s="8" t="s">
        <v>31</v>
      </c>
      <c r="H3838" s="8" t="s">
        <v>86</v>
      </c>
      <c r="I3838" s="8" t="s">
        <v>399</v>
      </c>
      <c r="J3838" s="8" t="s">
        <v>3797</v>
      </c>
      <c r="K3838" s="10" t="s">
        <v>11278</v>
      </c>
      <c r="L3838" s="8" t="s">
        <v>58</v>
      </c>
      <c r="M3838" s="8" t="s">
        <v>35</v>
      </c>
      <c r="N3838" s="11">
        <v>45255.0</v>
      </c>
      <c r="O3838" s="11">
        <v>45507.0</v>
      </c>
      <c r="P3838" s="11">
        <v>45549.0</v>
      </c>
      <c r="Q3838" s="11"/>
      <c r="R3838" s="11"/>
      <c r="S3838" s="12"/>
      <c r="T3838" s="8"/>
      <c r="U3838" s="8" t="s">
        <v>339</v>
      </c>
      <c r="V3838" s="13" t="s">
        <v>175</v>
      </c>
      <c r="W3838" s="13" t="s">
        <v>17784</v>
      </c>
      <c r="X3838" s="12"/>
      <c r="Y3838" s="14"/>
      <c r="Z3838" s="14"/>
    </row>
    <row r="3839">
      <c r="A3839" s="8" t="s">
        <v>17785</v>
      </c>
      <c r="B3839" s="8" t="s">
        <v>17786</v>
      </c>
      <c r="C3839" s="8" t="s">
        <v>179</v>
      </c>
      <c r="D3839" s="8" t="s">
        <v>26</v>
      </c>
      <c r="E3839" s="8" t="s">
        <v>17787</v>
      </c>
      <c r="F3839" s="8">
        <v>5.438666774E9</v>
      </c>
      <c r="G3839" s="8" t="s">
        <v>31</v>
      </c>
      <c r="H3839" s="8" t="s">
        <v>66</v>
      </c>
      <c r="I3839" s="8" t="s">
        <v>54</v>
      </c>
      <c r="J3839" s="8" t="s">
        <v>430</v>
      </c>
      <c r="K3839" s="10" t="s">
        <v>16299</v>
      </c>
      <c r="L3839" s="8" t="s">
        <v>58</v>
      </c>
      <c r="M3839" s="8" t="s">
        <v>35</v>
      </c>
      <c r="N3839" s="11">
        <v>45255.0</v>
      </c>
      <c r="O3839" s="11">
        <v>45486.0</v>
      </c>
      <c r="P3839" s="11">
        <v>45528.0</v>
      </c>
      <c r="Q3839" s="11"/>
      <c r="R3839" s="11"/>
      <c r="S3839" s="12"/>
      <c r="T3839" s="8"/>
      <c r="U3839" s="8" t="s">
        <v>1038</v>
      </c>
      <c r="V3839" s="13" t="s">
        <v>5212</v>
      </c>
      <c r="W3839" s="13" t="s">
        <v>17788</v>
      </c>
      <c r="X3839" s="12"/>
      <c r="Y3839" s="14"/>
      <c r="Z3839" s="14"/>
    </row>
    <row r="3840">
      <c r="A3840" s="8" t="s">
        <v>17789</v>
      </c>
      <c r="B3840" s="8" t="s">
        <v>17790</v>
      </c>
      <c r="C3840" s="8" t="s">
        <v>179</v>
      </c>
      <c r="D3840" s="8" t="s">
        <v>26</v>
      </c>
      <c r="E3840" s="8" t="s">
        <v>17791</v>
      </c>
      <c r="F3840" s="8"/>
      <c r="G3840" s="8" t="s">
        <v>118</v>
      </c>
      <c r="H3840" s="8" t="s">
        <v>3100</v>
      </c>
      <c r="I3840" s="8" t="s">
        <v>31</v>
      </c>
      <c r="J3840" s="8" t="s">
        <v>86</v>
      </c>
      <c r="K3840" s="10" t="s">
        <v>416</v>
      </c>
      <c r="L3840" s="8" t="s">
        <v>58</v>
      </c>
      <c r="M3840" s="8" t="s">
        <v>35</v>
      </c>
      <c r="N3840" s="11">
        <v>45255.0</v>
      </c>
      <c r="O3840" s="11">
        <v>45483.0</v>
      </c>
      <c r="P3840" s="11">
        <v>45525.0</v>
      </c>
      <c r="Q3840" s="11"/>
      <c r="R3840" s="11"/>
      <c r="S3840" s="12"/>
      <c r="T3840" s="8"/>
      <c r="U3840" s="8" t="s">
        <v>59</v>
      </c>
      <c r="V3840" s="13" t="s">
        <v>17792</v>
      </c>
      <c r="W3840" s="13" t="s">
        <v>17793</v>
      </c>
      <c r="X3840" s="12"/>
      <c r="Y3840" s="14"/>
      <c r="Z3840" s="14"/>
    </row>
    <row r="3841">
      <c r="A3841" s="8" t="s">
        <v>17794</v>
      </c>
      <c r="B3841" s="8" t="s">
        <v>17795</v>
      </c>
      <c r="C3841" s="8" t="s">
        <v>179</v>
      </c>
      <c r="D3841" s="8" t="s">
        <v>26</v>
      </c>
      <c r="E3841" s="8" t="s">
        <v>17796</v>
      </c>
      <c r="F3841" s="8">
        <v>5.550344345E9</v>
      </c>
      <c r="G3841" s="8" t="s">
        <v>31</v>
      </c>
      <c r="H3841" s="8" t="s">
        <v>66</v>
      </c>
      <c r="I3841" s="8" t="s">
        <v>284</v>
      </c>
      <c r="J3841" s="8" t="s">
        <v>1450</v>
      </c>
      <c r="K3841" s="10" t="s">
        <v>11291</v>
      </c>
      <c r="L3841" s="8" t="s">
        <v>58</v>
      </c>
      <c r="M3841" s="8" t="s">
        <v>35</v>
      </c>
      <c r="N3841" s="11">
        <v>45255.0</v>
      </c>
      <c r="O3841" s="11">
        <v>45474.0</v>
      </c>
      <c r="P3841" s="11">
        <v>45516.0</v>
      </c>
      <c r="Q3841" s="11"/>
      <c r="R3841" s="11"/>
      <c r="S3841" s="12"/>
      <c r="T3841" s="8"/>
      <c r="U3841" s="8" t="s">
        <v>1038</v>
      </c>
      <c r="V3841" s="13" t="s">
        <v>111</v>
      </c>
      <c r="W3841" s="13" t="s">
        <v>17797</v>
      </c>
      <c r="X3841" s="12"/>
      <c r="Y3841" s="14"/>
      <c r="Z3841" s="14"/>
    </row>
    <row r="3842">
      <c r="A3842" s="8" t="s">
        <v>17798</v>
      </c>
      <c r="B3842" s="8" t="s">
        <v>17799</v>
      </c>
      <c r="C3842" s="8" t="s">
        <v>179</v>
      </c>
      <c r="D3842" s="8" t="s">
        <v>26</v>
      </c>
      <c r="E3842" s="8" t="s">
        <v>17800</v>
      </c>
      <c r="F3842" s="8">
        <v>5.373989596E9</v>
      </c>
      <c r="G3842" s="8" t="s">
        <v>31</v>
      </c>
      <c r="H3842" s="8" t="s">
        <v>542</v>
      </c>
      <c r="I3842" s="8" t="s">
        <v>284</v>
      </c>
      <c r="J3842" s="8" t="s">
        <v>3188</v>
      </c>
      <c r="K3842" s="10" t="s">
        <v>17801</v>
      </c>
      <c r="L3842" s="8" t="s">
        <v>47</v>
      </c>
      <c r="M3842" s="8" t="s">
        <v>35</v>
      </c>
      <c r="N3842" s="11">
        <v>45255.0</v>
      </c>
      <c r="O3842" s="11">
        <v>45474.0</v>
      </c>
      <c r="P3842" s="11">
        <v>45537.0</v>
      </c>
      <c r="Q3842" s="11"/>
      <c r="R3842" s="11"/>
      <c r="S3842" s="12"/>
      <c r="T3842" s="8"/>
      <c r="U3842" s="8" t="s">
        <v>17802</v>
      </c>
      <c r="V3842" s="13" t="s">
        <v>545</v>
      </c>
      <c r="W3842" s="13" t="s">
        <v>17803</v>
      </c>
      <c r="X3842" s="12"/>
      <c r="Y3842" s="14"/>
      <c r="Z3842" s="14"/>
    </row>
    <row r="3843">
      <c r="A3843" s="8" t="s">
        <v>17804</v>
      </c>
      <c r="B3843" s="8" t="s">
        <v>17805</v>
      </c>
      <c r="C3843" s="8" t="s">
        <v>179</v>
      </c>
      <c r="D3843" s="8" t="s">
        <v>26</v>
      </c>
      <c r="E3843" s="8" t="s">
        <v>17806</v>
      </c>
      <c r="F3843" s="8">
        <v>5.0261114E7</v>
      </c>
      <c r="G3843" s="8" t="s">
        <v>54</v>
      </c>
      <c r="H3843" s="8" t="s">
        <v>377</v>
      </c>
      <c r="I3843" s="8" t="s">
        <v>31</v>
      </c>
      <c r="J3843" s="8" t="s">
        <v>77</v>
      </c>
      <c r="K3843" s="10" t="s">
        <v>4188</v>
      </c>
      <c r="L3843" s="8" t="s">
        <v>58</v>
      </c>
      <c r="M3843" s="8" t="s">
        <v>35</v>
      </c>
      <c r="N3843" s="11">
        <v>45255.0</v>
      </c>
      <c r="O3843" s="11">
        <v>45488.0</v>
      </c>
      <c r="P3843" s="11">
        <v>45530.0</v>
      </c>
      <c r="Q3843" s="11"/>
      <c r="R3843" s="11"/>
      <c r="S3843" s="12"/>
      <c r="T3843" s="8"/>
      <c r="U3843" s="8" t="s">
        <v>59</v>
      </c>
      <c r="V3843" s="13" t="s">
        <v>2243</v>
      </c>
      <c r="W3843" s="13" t="s">
        <v>17807</v>
      </c>
      <c r="X3843" s="12"/>
      <c r="Y3843" s="14"/>
      <c r="Z3843" s="14"/>
    </row>
    <row r="3844">
      <c r="A3844" s="8" t="s">
        <v>17808</v>
      </c>
      <c r="B3844" s="8" t="s">
        <v>17809</v>
      </c>
      <c r="C3844" s="8" t="s">
        <v>179</v>
      </c>
      <c r="D3844" s="8" t="s">
        <v>26</v>
      </c>
      <c r="E3844" s="8" t="s">
        <v>17810</v>
      </c>
      <c r="F3844" s="8">
        <v>2.3330884E7</v>
      </c>
      <c r="G3844" s="8" t="s">
        <v>54</v>
      </c>
      <c r="H3844" s="8" t="s">
        <v>237</v>
      </c>
      <c r="I3844" s="8" t="s">
        <v>31</v>
      </c>
      <c r="J3844" s="8" t="s">
        <v>86</v>
      </c>
      <c r="K3844" s="10" t="s">
        <v>2453</v>
      </c>
      <c r="L3844" s="8" t="s">
        <v>58</v>
      </c>
      <c r="M3844" s="8" t="s">
        <v>35</v>
      </c>
      <c r="N3844" s="11">
        <v>45255.0</v>
      </c>
      <c r="O3844" s="11">
        <v>45444.0</v>
      </c>
      <c r="P3844" s="11">
        <v>45486.0</v>
      </c>
      <c r="Q3844" s="11"/>
      <c r="R3844" s="11"/>
      <c r="S3844" s="12"/>
      <c r="T3844" s="8"/>
      <c r="U3844" s="8" t="s">
        <v>59</v>
      </c>
      <c r="V3844" s="13" t="s">
        <v>239</v>
      </c>
      <c r="W3844" s="13" t="s">
        <v>17811</v>
      </c>
      <c r="X3844" s="12"/>
      <c r="Y3844" s="14"/>
      <c r="Z3844" s="14"/>
    </row>
    <row r="3845">
      <c r="A3845" s="8" t="s">
        <v>17812</v>
      </c>
      <c r="B3845" s="8" t="s">
        <v>17813</v>
      </c>
      <c r="C3845" s="8" t="s">
        <v>179</v>
      </c>
      <c r="D3845" s="8" t="s">
        <v>26</v>
      </c>
      <c r="E3845" s="8" t="s">
        <v>17814</v>
      </c>
      <c r="F3845" s="8">
        <v>9.99351719E8</v>
      </c>
      <c r="G3845" s="8" t="s">
        <v>1620</v>
      </c>
      <c r="H3845" s="8" t="s">
        <v>3655</v>
      </c>
      <c r="I3845" s="8" t="s">
        <v>31</v>
      </c>
      <c r="J3845" s="8" t="s">
        <v>86</v>
      </c>
      <c r="K3845" s="10" t="s">
        <v>416</v>
      </c>
      <c r="L3845" s="8" t="s">
        <v>58</v>
      </c>
      <c r="M3845" s="8" t="s">
        <v>35</v>
      </c>
      <c r="N3845" s="11">
        <v>45255.0</v>
      </c>
      <c r="O3845" s="11">
        <v>45505.0</v>
      </c>
      <c r="P3845" s="11">
        <v>45547.0</v>
      </c>
      <c r="Q3845" s="11"/>
      <c r="R3845" s="11"/>
      <c r="S3845" s="12"/>
      <c r="T3845" s="8"/>
      <c r="U3845" s="8" t="s">
        <v>59</v>
      </c>
      <c r="V3845" s="13" t="s">
        <v>3656</v>
      </c>
      <c r="W3845" s="13" t="s">
        <v>17815</v>
      </c>
      <c r="X3845" s="12"/>
      <c r="Y3845" s="14"/>
      <c r="Z3845" s="14"/>
    </row>
    <row r="3846">
      <c r="A3846" s="8" t="s">
        <v>17816</v>
      </c>
      <c r="B3846" s="8" t="s">
        <v>17817</v>
      </c>
      <c r="C3846" s="8" t="s">
        <v>179</v>
      </c>
      <c r="D3846" s="8" t="s">
        <v>26</v>
      </c>
      <c r="E3846" s="8" t="s">
        <v>17818</v>
      </c>
      <c r="F3846" s="8">
        <v>1.221689275E9</v>
      </c>
      <c r="G3846" s="8" t="s">
        <v>284</v>
      </c>
      <c r="H3846" s="8" t="s">
        <v>673</v>
      </c>
      <c r="I3846" s="8" t="s">
        <v>31</v>
      </c>
      <c r="J3846" s="8" t="s">
        <v>292</v>
      </c>
      <c r="K3846" s="10" t="s">
        <v>12973</v>
      </c>
      <c r="L3846" s="8" t="s">
        <v>58</v>
      </c>
      <c r="M3846" s="8" t="s">
        <v>35</v>
      </c>
      <c r="N3846" s="11">
        <v>45255.0</v>
      </c>
      <c r="O3846" s="11">
        <v>45327.0</v>
      </c>
      <c r="P3846" s="11">
        <v>45369.0</v>
      </c>
      <c r="Q3846" s="11"/>
      <c r="R3846" s="11"/>
      <c r="S3846" s="12"/>
      <c r="T3846" s="8"/>
      <c r="U3846" s="8" t="s">
        <v>88</v>
      </c>
      <c r="V3846" s="13" t="s">
        <v>674</v>
      </c>
      <c r="W3846" s="13" t="s">
        <v>17819</v>
      </c>
      <c r="X3846" s="12"/>
      <c r="Y3846" s="14"/>
      <c r="Z3846" s="14"/>
    </row>
    <row r="3847">
      <c r="A3847" s="8" t="s">
        <v>17820</v>
      </c>
      <c r="B3847" s="8" t="s">
        <v>17821</v>
      </c>
      <c r="C3847" s="8" t="s">
        <v>708</v>
      </c>
      <c r="D3847" s="8" t="s">
        <v>26</v>
      </c>
      <c r="E3847" s="8" t="s">
        <v>17822</v>
      </c>
      <c r="F3847" s="8"/>
      <c r="G3847" s="8" t="s">
        <v>31</v>
      </c>
      <c r="H3847" s="8" t="s">
        <v>86</v>
      </c>
      <c r="I3847" s="8" t="s">
        <v>284</v>
      </c>
      <c r="J3847" s="8" t="s">
        <v>793</v>
      </c>
      <c r="K3847" s="10" t="s">
        <v>17823</v>
      </c>
      <c r="L3847" s="8" t="s">
        <v>34</v>
      </c>
      <c r="M3847" s="8" t="s">
        <v>35</v>
      </c>
      <c r="N3847" s="11">
        <v>45256.0</v>
      </c>
      <c r="O3847" s="11">
        <v>45285.0</v>
      </c>
      <c r="P3847" s="11">
        <v>45368.0</v>
      </c>
      <c r="Q3847" s="11">
        <v>45299.0</v>
      </c>
      <c r="R3847" s="11">
        <v>45383.0</v>
      </c>
      <c r="S3847" s="12"/>
      <c r="T3847" s="8" t="s">
        <v>205</v>
      </c>
      <c r="U3847" s="8" t="s">
        <v>17824</v>
      </c>
      <c r="V3847" s="13" t="s">
        <v>175</v>
      </c>
      <c r="W3847" s="13" t="s">
        <v>17825</v>
      </c>
      <c r="X3847" s="12"/>
      <c r="Y3847" s="14"/>
      <c r="Z3847" s="14"/>
    </row>
    <row r="3848">
      <c r="A3848" s="8" t="s">
        <v>17826</v>
      </c>
      <c r="B3848" s="8" t="s">
        <v>17827</v>
      </c>
      <c r="C3848" s="8" t="s">
        <v>179</v>
      </c>
      <c r="D3848" s="8" t="s">
        <v>26</v>
      </c>
      <c r="E3848" s="8" t="s">
        <v>17828</v>
      </c>
      <c r="F3848" s="8">
        <v>9.958874681E9</v>
      </c>
      <c r="G3848" s="8" t="s">
        <v>44</v>
      </c>
      <c r="H3848" s="8" t="s">
        <v>3093</v>
      </c>
      <c r="I3848" s="8" t="s">
        <v>31</v>
      </c>
      <c r="J3848" s="8" t="s">
        <v>32</v>
      </c>
      <c r="K3848" s="10" t="s">
        <v>286</v>
      </c>
      <c r="L3848" s="8" t="s">
        <v>58</v>
      </c>
      <c r="M3848" s="8" t="s">
        <v>35</v>
      </c>
      <c r="N3848" s="11">
        <v>45256.0</v>
      </c>
      <c r="O3848" s="11">
        <v>45299.0</v>
      </c>
      <c r="P3848" s="11">
        <v>45341.0</v>
      </c>
      <c r="Q3848" s="11"/>
      <c r="R3848" s="11"/>
      <c r="S3848" s="12"/>
      <c r="T3848" s="8"/>
      <c r="U3848" s="8" t="s">
        <v>59</v>
      </c>
      <c r="V3848" s="13" t="s">
        <v>16664</v>
      </c>
      <c r="W3848" s="13" t="s">
        <v>17829</v>
      </c>
      <c r="X3848" s="12"/>
      <c r="Y3848" s="14"/>
      <c r="Z3848" s="14"/>
    </row>
    <row r="3849">
      <c r="A3849" s="8" t="s">
        <v>17830</v>
      </c>
      <c r="B3849" s="8" t="s">
        <v>17831</v>
      </c>
      <c r="C3849" s="8" t="s">
        <v>179</v>
      </c>
      <c r="D3849" s="8" t="s">
        <v>26</v>
      </c>
      <c r="E3849" s="8" t="s">
        <v>17832</v>
      </c>
      <c r="F3849" s="8">
        <v>5.309469982E9</v>
      </c>
      <c r="G3849" s="8" t="s">
        <v>31</v>
      </c>
      <c r="H3849" s="8" t="s">
        <v>1119</v>
      </c>
      <c r="I3849" s="8" t="s">
        <v>127</v>
      </c>
      <c r="J3849" s="8" t="s">
        <v>128</v>
      </c>
      <c r="K3849" s="10" t="s">
        <v>17833</v>
      </c>
      <c r="L3849" s="8" t="s">
        <v>58</v>
      </c>
      <c r="M3849" s="8" t="s">
        <v>35</v>
      </c>
      <c r="N3849" s="11">
        <v>45256.0</v>
      </c>
      <c r="O3849" s="11">
        <v>45498.0</v>
      </c>
      <c r="P3849" s="11">
        <v>45540.0</v>
      </c>
      <c r="Q3849" s="11"/>
      <c r="R3849" s="11"/>
      <c r="S3849" s="12"/>
      <c r="T3849" s="8"/>
      <c r="U3849" s="8" t="s">
        <v>130</v>
      </c>
      <c r="V3849" s="13" t="s">
        <v>1119</v>
      </c>
      <c r="W3849" s="13" t="s">
        <v>17834</v>
      </c>
      <c r="X3849" s="12"/>
      <c r="Y3849" s="14"/>
      <c r="Z3849" s="14"/>
    </row>
    <row r="3850">
      <c r="A3850" s="8" t="s">
        <v>17835</v>
      </c>
      <c r="B3850" s="8" t="s">
        <v>17836</v>
      </c>
      <c r="C3850" s="8" t="s">
        <v>708</v>
      </c>
      <c r="D3850" s="8" t="s">
        <v>26</v>
      </c>
      <c r="E3850" s="8" t="s">
        <v>17837</v>
      </c>
      <c r="F3850" s="8">
        <v>5.306105742E9</v>
      </c>
      <c r="G3850" s="8" t="s">
        <v>31</v>
      </c>
      <c r="H3850" s="8" t="s">
        <v>86</v>
      </c>
      <c r="I3850" s="8" t="s">
        <v>127</v>
      </c>
      <c r="J3850" s="8" t="s">
        <v>2182</v>
      </c>
      <c r="K3850" s="10" t="s">
        <v>15165</v>
      </c>
      <c r="L3850" s="8" t="s">
        <v>58</v>
      </c>
      <c r="M3850" s="8" t="s">
        <v>35</v>
      </c>
      <c r="N3850" s="11">
        <v>45256.0</v>
      </c>
      <c r="O3850" s="11">
        <v>45318.0</v>
      </c>
      <c r="P3850" s="11">
        <v>45360.0</v>
      </c>
      <c r="Q3850" s="11">
        <v>45318.0</v>
      </c>
      <c r="R3850" s="11">
        <v>45360.0</v>
      </c>
      <c r="S3850" s="12"/>
      <c r="T3850" s="8"/>
      <c r="U3850" s="8" t="s">
        <v>1956</v>
      </c>
      <c r="V3850" s="13" t="s">
        <v>175</v>
      </c>
      <c r="W3850" s="13" t="s">
        <v>17838</v>
      </c>
      <c r="X3850" s="12"/>
      <c r="Y3850" s="14"/>
      <c r="Z3850" s="14"/>
    </row>
    <row r="3851">
      <c r="A3851" s="8" t="s">
        <v>17839</v>
      </c>
      <c r="B3851" s="8" t="s">
        <v>17840</v>
      </c>
      <c r="C3851" s="8" t="s">
        <v>179</v>
      </c>
      <c r="D3851" s="8" t="s">
        <v>26</v>
      </c>
      <c r="E3851" s="8" t="s">
        <v>17841</v>
      </c>
      <c r="F3851" s="8">
        <v>5.307358603E9</v>
      </c>
      <c r="G3851" s="8" t="s">
        <v>31</v>
      </c>
      <c r="H3851" s="8" t="s">
        <v>66</v>
      </c>
      <c r="I3851" s="8" t="s">
        <v>399</v>
      </c>
      <c r="J3851" s="8" t="s">
        <v>4868</v>
      </c>
      <c r="K3851" s="10" t="s">
        <v>5960</v>
      </c>
      <c r="L3851" s="8" t="s">
        <v>58</v>
      </c>
      <c r="M3851" s="8" t="s">
        <v>35</v>
      </c>
      <c r="N3851" s="11">
        <v>45256.0</v>
      </c>
      <c r="O3851" s="11">
        <v>45299.0</v>
      </c>
      <c r="P3851" s="11">
        <v>45341.0</v>
      </c>
      <c r="Q3851" s="11"/>
      <c r="R3851" s="11"/>
      <c r="S3851" s="12"/>
      <c r="T3851" s="8"/>
      <c r="U3851" s="8" t="s">
        <v>402</v>
      </c>
      <c r="V3851" s="13" t="s">
        <v>66</v>
      </c>
      <c r="W3851" s="13" t="s">
        <v>17842</v>
      </c>
      <c r="X3851" s="12"/>
      <c r="Y3851" s="14"/>
      <c r="Z3851" s="14"/>
    </row>
    <row r="3852">
      <c r="A3852" s="8" t="s">
        <v>17843</v>
      </c>
      <c r="B3852" s="8" t="s">
        <v>17844</v>
      </c>
      <c r="C3852" s="8" t="s">
        <v>708</v>
      </c>
      <c r="D3852" s="8" t="s">
        <v>26</v>
      </c>
      <c r="E3852" s="8" t="s">
        <v>17845</v>
      </c>
      <c r="F3852" s="8">
        <v>5.377930053E9</v>
      </c>
      <c r="G3852" s="8" t="s">
        <v>31</v>
      </c>
      <c r="H3852" s="8" t="s">
        <v>86</v>
      </c>
      <c r="I3852" s="8" t="s">
        <v>29</v>
      </c>
      <c r="J3852" s="8" t="s">
        <v>7276</v>
      </c>
      <c r="K3852" s="10" t="s">
        <v>17846</v>
      </c>
      <c r="L3852" s="8" t="s">
        <v>58</v>
      </c>
      <c r="M3852" s="8" t="s">
        <v>35</v>
      </c>
      <c r="N3852" s="11">
        <v>45256.0</v>
      </c>
      <c r="O3852" s="11">
        <v>45313.0</v>
      </c>
      <c r="P3852" s="11">
        <v>45358.0</v>
      </c>
      <c r="Q3852" s="11">
        <v>45313.0</v>
      </c>
      <c r="R3852" s="11">
        <v>45358.0</v>
      </c>
      <c r="S3852" s="12"/>
      <c r="T3852" s="8"/>
      <c r="U3852" s="8" t="s">
        <v>88</v>
      </c>
      <c r="V3852" s="13" t="s">
        <v>111</v>
      </c>
      <c r="W3852" s="13" t="s">
        <v>17847</v>
      </c>
      <c r="X3852" s="12"/>
      <c r="Y3852" s="14"/>
      <c r="Z3852" s="14"/>
    </row>
    <row r="3853">
      <c r="A3853" s="8" t="s">
        <v>17848</v>
      </c>
      <c r="B3853" s="8" t="s">
        <v>17849</v>
      </c>
      <c r="C3853" s="8" t="s">
        <v>179</v>
      </c>
      <c r="D3853" s="8" t="s">
        <v>26</v>
      </c>
      <c r="E3853" s="8" t="s">
        <v>17850</v>
      </c>
      <c r="F3853" s="8">
        <v>5.312529248E9</v>
      </c>
      <c r="G3853" s="8" t="s">
        <v>31</v>
      </c>
      <c r="H3853" s="8" t="s">
        <v>86</v>
      </c>
      <c r="I3853" s="8" t="s">
        <v>127</v>
      </c>
      <c r="J3853" s="8" t="s">
        <v>128</v>
      </c>
      <c r="K3853" s="10" t="s">
        <v>17851</v>
      </c>
      <c r="L3853" s="8" t="s">
        <v>58</v>
      </c>
      <c r="M3853" s="8" t="s">
        <v>35</v>
      </c>
      <c r="N3853" s="11">
        <v>45256.0</v>
      </c>
      <c r="O3853" s="11">
        <v>45498.0</v>
      </c>
      <c r="P3853" s="11">
        <v>45540.0</v>
      </c>
      <c r="Q3853" s="11"/>
      <c r="R3853" s="11"/>
      <c r="S3853" s="12"/>
      <c r="T3853" s="8"/>
      <c r="U3853" s="8" t="s">
        <v>371</v>
      </c>
      <c r="V3853" s="13" t="s">
        <v>175</v>
      </c>
      <c r="W3853" s="13" t="s">
        <v>17852</v>
      </c>
      <c r="X3853" s="12"/>
      <c r="Y3853" s="14"/>
      <c r="Z3853" s="14"/>
    </row>
    <row r="3854">
      <c r="A3854" s="8" t="s">
        <v>17853</v>
      </c>
      <c r="B3854" s="8" t="s">
        <v>17854</v>
      </c>
      <c r="C3854" s="8" t="s">
        <v>179</v>
      </c>
      <c r="D3854" s="8" t="s">
        <v>26</v>
      </c>
      <c r="E3854" s="8" t="s">
        <v>17855</v>
      </c>
      <c r="F3854" s="8"/>
      <c r="G3854" s="8" t="s">
        <v>31</v>
      </c>
      <c r="H3854" s="8" t="s">
        <v>86</v>
      </c>
      <c r="I3854" s="8" t="s">
        <v>221</v>
      </c>
      <c r="J3854" s="8" t="s">
        <v>2735</v>
      </c>
      <c r="K3854" s="10" t="s">
        <v>17856</v>
      </c>
      <c r="L3854" s="8" t="s">
        <v>58</v>
      </c>
      <c r="M3854" s="8" t="s">
        <v>35</v>
      </c>
      <c r="N3854" s="11">
        <v>45256.0</v>
      </c>
      <c r="O3854" s="11">
        <v>45306.0</v>
      </c>
      <c r="P3854" s="11">
        <v>45348.0</v>
      </c>
      <c r="Q3854" s="11"/>
      <c r="R3854" s="11"/>
      <c r="S3854" s="12"/>
      <c r="T3854" s="8"/>
      <c r="U3854" s="8" t="s">
        <v>371</v>
      </c>
      <c r="V3854" s="13" t="s">
        <v>38</v>
      </c>
      <c r="W3854" s="13" t="s">
        <v>17857</v>
      </c>
      <c r="X3854" s="12"/>
      <c r="Y3854" s="14"/>
      <c r="Z3854" s="14"/>
    </row>
    <row r="3855">
      <c r="A3855" s="8" t="s">
        <v>17858</v>
      </c>
      <c r="B3855" s="8" t="s">
        <v>17859</v>
      </c>
      <c r="C3855" s="8" t="s">
        <v>179</v>
      </c>
      <c r="D3855" s="8" t="s">
        <v>26</v>
      </c>
      <c r="E3855" s="8" t="s">
        <v>17860</v>
      </c>
      <c r="F3855" s="8">
        <v>5.316080689E9</v>
      </c>
      <c r="G3855" s="8" t="s">
        <v>31</v>
      </c>
      <c r="H3855" s="8" t="s">
        <v>86</v>
      </c>
      <c r="I3855" s="8" t="s">
        <v>54</v>
      </c>
      <c r="J3855" s="8" t="s">
        <v>237</v>
      </c>
      <c r="K3855" s="10" t="s">
        <v>15191</v>
      </c>
      <c r="L3855" s="8" t="s">
        <v>58</v>
      </c>
      <c r="M3855" s="8" t="s">
        <v>35</v>
      </c>
      <c r="N3855" s="11">
        <v>45256.0</v>
      </c>
      <c r="O3855" s="11">
        <v>45488.0</v>
      </c>
      <c r="P3855" s="11">
        <v>45530.0</v>
      </c>
      <c r="Q3855" s="11"/>
      <c r="R3855" s="11"/>
      <c r="S3855" s="12"/>
      <c r="T3855" s="8"/>
      <c r="U3855" s="8" t="s">
        <v>402</v>
      </c>
      <c r="V3855" s="13" t="s">
        <v>175</v>
      </c>
      <c r="W3855" s="13" t="s">
        <v>17861</v>
      </c>
      <c r="X3855" s="12"/>
      <c r="Y3855" s="14"/>
      <c r="Z3855" s="14"/>
    </row>
    <row r="3856">
      <c r="A3856" s="8" t="s">
        <v>17862</v>
      </c>
      <c r="B3856" s="8" t="s">
        <v>17863</v>
      </c>
      <c r="C3856" s="8" t="s">
        <v>179</v>
      </c>
      <c r="D3856" s="8" t="s">
        <v>26</v>
      </c>
      <c r="E3856" s="8" t="s">
        <v>17864</v>
      </c>
      <c r="F3856" s="8">
        <v>5.45775783E9</v>
      </c>
      <c r="G3856" s="8" t="s">
        <v>31</v>
      </c>
      <c r="H3856" s="8" t="s">
        <v>43</v>
      </c>
      <c r="I3856" s="8" t="s">
        <v>284</v>
      </c>
      <c r="J3856" s="8" t="s">
        <v>1422</v>
      </c>
      <c r="K3856" s="10" t="s">
        <v>16412</v>
      </c>
      <c r="L3856" s="8" t="s">
        <v>58</v>
      </c>
      <c r="M3856" s="8" t="s">
        <v>35</v>
      </c>
      <c r="N3856" s="11">
        <v>45257.0</v>
      </c>
      <c r="O3856" s="11">
        <v>45383.0</v>
      </c>
      <c r="P3856" s="11">
        <v>45425.0</v>
      </c>
      <c r="Q3856" s="11"/>
      <c r="R3856" s="11"/>
      <c r="S3856" s="12"/>
      <c r="T3856" s="8"/>
      <c r="U3856" s="8" t="s">
        <v>130</v>
      </c>
      <c r="V3856" s="13" t="s">
        <v>43</v>
      </c>
      <c r="W3856" s="13" t="s">
        <v>17865</v>
      </c>
      <c r="X3856" s="12"/>
      <c r="Y3856" s="14"/>
      <c r="Z3856" s="14"/>
    </row>
    <row r="3857">
      <c r="A3857" s="8" t="s">
        <v>17866</v>
      </c>
      <c r="B3857" s="8" t="s">
        <v>17867</v>
      </c>
      <c r="C3857" s="8" t="s">
        <v>708</v>
      </c>
      <c r="D3857" s="8" t="s">
        <v>26</v>
      </c>
      <c r="E3857" s="8" t="s">
        <v>17868</v>
      </c>
      <c r="F3857" s="8">
        <v>6.98129548E8</v>
      </c>
      <c r="G3857" s="8" t="s">
        <v>254</v>
      </c>
      <c r="H3857" s="8" t="s">
        <v>1007</v>
      </c>
      <c r="I3857" s="8" t="s">
        <v>31</v>
      </c>
      <c r="J3857" s="8" t="s">
        <v>256</v>
      </c>
      <c r="K3857" s="10" t="s">
        <v>17869</v>
      </c>
      <c r="L3857" s="8" t="s">
        <v>47</v>
      </c>
      <c r="M3857" s="8" t="s">
        <v>70</v>
      </c>
      <c r="N3857" s="11">
        <v>45257.0</v>
      </c>
      <c r="O3857" s="11">
        <v>45268.0</v>
      </c>
      <c r="P3857" s="11">
        <v>45633.0</v>
      </c>
      <c r="Q3857" s="11">
        <v>45287.0</v>
      </c>
      <c r="R3857" s="11">
        <v>45652.0</v>
      </c>
      <c r="S3857" s="12"/>
      <c r="T3857" s="8"/>
      <c r="U3857" s="8" t="s">
        <v>795</v>
      </c>
      <c r="V3857" s="13" t="s">
        <v>1249</v>
      </c>
      <c r="W3857" s="13" t="s">
        <v>17870</v>
      </c>
      <c r="X3857" s="12"/>
      <c r="Y3857" s="14"/>
      <c r="Z3857" s="14"/>
    </row>
    <row r="3858">
      <c r="A3858" s="8" t="s">
        <v>17871</v>
      </c>
      <c r="B3858" s="8" t="s">
        <v>17872</v>
      </c>
      <c r="C3858" s="8" t="s">
        <v>708</v>
      </c>
      <c r="D3858" s="8" t="s">
        <v>26</v>
      </c>
      <c r="E3858" s="8" t="s">
        <v>17873</v>
      </c>
      <c r="F3858" s="8">
        <v>3.3337014E7</v>
      </c>
      <c r="G3858" s="8" t="s">
        <v>3614</v>
      </c>
      <c r="H3858" s="8" t="s">
        <v>3615</v>
      </c>
      <c r="I3858" s="8" t="s">
        <v>31</v>
      </c>
      <c r="J3858" s="8" t="s">
        <v>136</v>
      </c>
      <c r="K3858" s="10" t="s">
        <v>8895</v>
      </c>
      <c r="L3858" s="8" t="s">
        <v>58</v>
      </c>
      <c r="M3858" s="8" t="s">
        <v>35</v>
      </c>
      <c r="N3858" s="11">
        <v>45257.0</v>
      </c>
      <c r="O3858" s="11">
        <v>45306.0</v>
      </c>
      <c r="P3858" s="11">
        <v>45348.0</v>
      </c>
      <c r="Q3858" s="11">
        <v>45299.0</v>
      </c>
      <c r="R3858" s="11">
        <v>45348.0</v>
      </c>
      <c r="S3858" s="12"/>
      <c r="T3858" s="8"/>
      <c r="U3858" s="8" t="s">
        <v>59</v>
      </c>
      <c r="V3858" s="13" t="s">
        <v>3616</v>
      </c>
      <c r="W3858" s="13" t="s">
        <v>17874</v>
      </c>
      <c r="X3858" s="12"/>
      <c r="Y3858" s="14"/>
      <c r="Z3858" s="14"/>
    </row>
    <row r="3859">
      <c r="A3859" s="8" t="s">
        <v>17875</v>
      </c>
      <c r="B3859" s="8" t="s">
        <v>17876</v>
      </c>
      <c r="C3859" s="8" t="s">
        <v>179</v>
      </c>
      <c r="D3859" s="8" t="s">
        <v>26</v>
      </c>
      <c r="E3859" s="8" t="s">
        <v>17877</v>
      </c>
      <c r="F3859" s="8">
        <v>5.6243253E7</v>
      </c>
      <c r="G3859" s="8" t="s">
        <v>54</v>
      </c>
      <c r="H3859" s="8" t="s">
        <v>55</v>
      </c>
      <c r="I3859" s="8" t="s">
        <v>31</v>
      </c>
      <c r="J3859" s="8" t="s">
        <v>77</v>
      </c>
      <c r="K3859" s="10" t="s">
        <v>17878</v>
      </c>
      <c r="L3859" s="8" t="s">
        <v>58</v>
      </c>
      <c r="M3859" s="8" t="s">
        <v>35</v>
      </c>
      <c r="N3859" s="11">
        <v>45257.0</v>
      </c>
      <c r="O3859" s="11">
        <v>45285.0</v>
      </c>
      <c r="P3859" s="11">
        <v>45327.0</v>
      </c>
      <c r="Q3859" s="11"/>
      <c r="R3859" s="11"/>
      <c r="S3859" s="12"/>
      <c r="T3859" s="8"/>
      <c r="U3859" s="8" t="s">
        <v>59</v>
      </c>
      <c r="V3859" s="13" t="s">
        <v>60</v>
      </c>
      <c r="W3859" s="13" t="s">
        <v>17879</v>
      </c>
      <c r="X3859" s="12"/>
      <c r="Y3859" s="14"/>
      <c r="Z3859" s="14"/>
    </row>
    <row r="3860">
      <c r="A3860" s="8" t="s">
        <v>17880</v>
      </c>
      <c r="B3860" s="8" t="s">
        <v>17881</v>
      </c>
      <c r="C3860" s="8" t="s">
        <v>179</v>
      </c>
      <c r="D3860" s="8" t="s">
        <v>26</v>
      </c>
      <c r="E3860" s="8" t="s">
        <v>17882</v>
      </c>
      <c r="F3860" s="8">
        <v>2.6536895E7</v>
      </c>
      <c r="G3860" s="8" t="s">
        <v>54</v>
      </c>
      <c r="H3860" s="8" t="s">
        <v>430</v>
      </c>
      <c r="I3860" s="8" t="s">
        <v>31</v>
      </c>
      <c r="J3860" s="8" t="s">
        <v>256</v>
      </c>
      <c r="K3860" s="10" t="s">
        <v>3411</v>
      </c>
      <c r="L3860" s="8" t="s">
        <v>58</v>
      </c>
      <c r="M3860" s="8" t="s">
        <v>35</v>
      </c>
      <c r="N3860" s="11">
        <v>45257.0</v>
      </c>
      <c r="O3860" s="11">
        <v>45519.0</v>
      </c>
      <c r="P3860" s="11">
        <v>45561.0</v>
      </c>
      <c r="Q3860" s="11"/>
      <c r="R3860" s="11"/>
      <c r="S3860" s="12"/>
      <c r="T3860" s="8"/>
      <c r="U3860" s="8" t="s">
        <v>59</v>
      </c>
      <c r="V3860" s="13" t="s">
        <v>4780</v>
      </c>
      <c r="W3860" s="13" t="s">
        <v>17883</v>
      </c>
      <c r="X3860" s="12"/>
      <c r="Y3860" s="14"/>
      <c r="Z3860" s="14"/>
    </row>
    <row r="3861">
      <c r="A3861" s="8" t="s">
        <v>17884</v>
      </c>
      <c r="B3861" s="8" t="s">
        <v>17885</v>
      </c>
      <c r="C3861" s="8" t="s">
        <v>179</v>
      </c>
      <c r="D3861" s="8" t="s">
        <v>26</v>
      </c>
      <c r="E3861" s="8" t="s">
        <v>17886</v>
      </c>
      <c r="F3861" s="8">
        <v>5.8494836E7</v>
      </c>
      <c r="G3861" s="8" t="s">
        <v>54</v>
      </c>
      <c r="H3861" s="8" t="s">
        <v>430</v>
      </c>
      <c r="I3861" s="8" t="s">
        <v>31</v>
      </c>
      <c r="J3861" s="8" t="s">
        <v>256</v>
      </c>
      <c r="K3861" s="10" t="s">
        <v>3411</v>
      </c>
      <c r="L3861" s="8" t="s">
        <v>58</v>
      </c>
      <c r="M3861" s="8" t="s">
        <v>35</v>
      </c>
      <c r="N3861" s="11">
        <v>45257.0</v>
      </c>
      <c r="O3861" s="11">
        <v>45519.0</v>
      </c>
      <c r="P3861" s="11">
        <v>45561.0</v>
      </c>
      <c r="Q3861" s="11"/>
      <c r="R3861" s="11"/>
      <c r="S3861" s="12"/>
      <c r="T3861" s="8"/>
      <c r="U3861" s="8" t="s">
        <v>59</v>
      </c>
      <c r="V3861" s="13" t="s">
        <v>4780</v>
      </c>
      <c r="W3861" s="13" t="s">
        <v>17887</v>
      </c>
      <c r="X3861" s="12"/>
      <c r="Y3861" s="14"/>
      <c r="Z3861" s="14"/>
    </row>
    <row r="3862">
      <c r="A3862" s="8" t="s">
        <v>17888</v>
      </c>
      <c r="B3862" s="8" t="s">
        <v>17889</v>
      </c>
      <c r="C3862" s="8" t="s">
        <v>179</v>
      </c>
      <c r="D3862" s="8" t="s">
        <v>26</v>
      </c>
      <c r="E3862" s="8" t="s">
        <v>17890</v>
      </c>
      <c r="F3862" s="8"/>
      <c r="G3862" s="8" t="s">
        <v>1620</v>
      </c>
      <c r="H3862" s="8" t="s">
        <v>4288</v>
      </c>
      <c r="I3862" s="8" t="s">
        <v>31</v>
      </c>
      <c r="J3862" s="8" t="s">
        <v>86</v>
      </c>
      <c r="K3862" s="10" t="s">
        <v>416</v>
      </c>
      <c r="L3862" s="8" t="s">
        <v>58</v>
      </c>
      <c r="M3862" s="8" t="s">
        <v>35</v>
      </c>
      <c r="N3862" s="11">
        <v>45257.0</v>
      </c>
      <c r="O3862" s="11">
        <v>45505.0</v>
      </c>
      <c r="P3862" s="11">
        <v>45547.0</v>
      </c>
      <c r="Q3862" s="11"/>
      <c r="R3862" s="11"/>
      <c r="S3862" s="12"/>
      <c r="T3862" s="8"/>
      <c r="U3862" s="8" t="s">
        <v>59</v>
      </c>
      <c r="V3862" s="13" t="s">
        <v>38</v>
      </c>
      <c r="W3862" s="13" t="s">
        <v>17891</v>
      </c>
      <c r="X3862" s="12"/>
      <c r="Y3862" s="14"/>
      <c r="Z3862" s="14"/>
    </row>
    <row r="3863">
      <c r="A3863" s="8" t="s">
        <v>17892</v>
      </c>
      <c r="B3863" s="8" t="s">
        <v>17893</v>
      </c>
      <c r="C3863" s="8" t="s">
        <v>179</v>
      </c>
      <c r="D3863" s="8" t="s">
        <v>26</v>
      </c>
      <c r="E3863" s="8" t="s">
        <v>17894</v>
      </c>
      <c r="F3863" s="8">
        <v>9.96539506E8</v>
      </c>
      <c r="G3863" s="8" t="s">
        <v>1620</v>
      </c>
      <c r="H3863" s="8" t="s">
        <v>4288</v>
      </c>
      <c r="I3863" s="8" t="s">
        <v>31</v>
      </c>
      <c r="J3863" s="8" t="s">
        <v>86</v>
      </c>
      <c r="K3863" s="10" t="s">
        <v>416</v>
      </c>
      <c r="L3863" s="8" t="s">
        <v>58</v>
      </c>
      <c r="M3863" s="8" t="s">
        <v>35</v>
      </c>
      <c r="N3863" s="11">
        <v>45257.0</v>
      </c>
      <c r="O3863" s="11">
        <v>45505.0</v>
      </c>
      <c r="P3863" s="11">
        <v>45547.0</v>
      </c>
      <c r="Q3863" s="11"/>
      <c r="R3863" s="11"/>
      <c r="S3863" s="12"/>
      <c r="T3863" s="8"/>
      <c r="U3863" s="8" t="s">
        <v>59</v>
      </c>
      <c r="V3863" s="13" t="s">
        <v>5939</v>
      </c>
      <c r="W3863" s="13" t="s">
        <v>17895</v>
      </c>
      <c r="X3863" s="12"/>
      <c r="Y3863" s="14"/>
      <c r="Z3863" s="14"/>
    </row>
    <row r="3864">
      <c r="A3864" s="8" t="s">
        <v>17896</v>
      </c>
      <c r="B3864" s="8" t="s">
        <v>17897</v>
      </c>
      <c r="C3864" s="8" t="s">
        <v>179</v>
      </c>
      <c r="D3864" s="8" t="s">
        <v>26</v>
      </c>
      <c r="E3864" s="8" t="s">
        <v>17898</v>
      </c>
      <c r="F3864" s="8">
        <v>5.455995735E9</v>
      </c>
      <c r="G3864" s="8" t="s">
        <v>31</v>
      </c>
      <c r="H3864" s="8" t="s">
        <v>77</v>
      </c>
      <c r="I3864" s="8" t="s">
        <v>44</v>
      </c>
      <c r="J3864" s="8" t="s">
        <v>1993</v>
      </c>
      <c r="K3864" s="10" t="s">
        <v>15747</v>
      </c>
      <c r="L3864" s="8" t="s">
        <v>58</v>
      </c>
      <c r="M3864" s="8" t="s">
        <v>35</v>
      </c>
      <c r="N3864" s="11">
        <v>45257.0</v>
      </c>
      <c r="O3864" s="11">
        <v>45475.0</v>
      </c>
      <c r="P3864" s="11">
        <v>45517.0</v>
      </c>
      <c r="Q3864" s="11"/>
      <c r="R3864" s="11"/>
      <c r="S3864" s="12"/>
      <c r="T3864" s="8"/>
      <c r="U3864" s="8" t="s">
        <v>371</v>
      </c>
      <c r="V3864" s="13" t="s">
        <v>77</v>
      </c>
      <c r="W3864" s="13" t="s">
        <v>17899</v>
      </c>
      <c r="X3864" s="12"/>
      <c r="Y3864" s="14"/>
      <c r="Z3864" s="14"/>
    </row>
    <row r="3865">
      <c r="A3865" s="8" t="s">
        <v>17900</v>
      </c>
      <c r="B3865" s="8" t="s">
        <v>17901</v>
      </c>
      <c r="C3865" s="8" t="s">
        <v>179</v>
      </c>
      <c r="D3865" s="8" t="s">
        <v>26</v>
      </c>
      <c r="E3865" s="8" t="s">
        <v>17902</v>
      </c>
      <c r="F3865" s="8">
        <v>5.346326565E9</v>
      </c>
      <c r="G3865" s="8" t="s">
        <v>31</v>
      </c>
      <c r="H3865" s="8" t="s">
        <v>43</v>
      </c>
      <c r="I3865" s="8" t="s">
        <v>1400</v>
      </c>
      <c r="J3865" s="8" t="s">
        <v>1401</v>
      </c>
      <c r="K3865" s="10" t="s">
        <v>16386</v>
      </c>
      <c r="L3865" s="8" t="s">
        <v>58</v>
      </c>
      <c r="M3865" s="8" t="s">
        <v>35</v>
      </c>
      <c r="N3865" s="11">
        <v>45257.0</v>
      </c>
      <c r="O3865" s="11">
        <v>45306.0</v>
      </c>
      <c r="P3865" s="11">
        <v>45348.0</v>
      </c>
      <c r="Q3865" s="11"/>
      <c r="R3865" s="11"/>
      <c r="S3865" s="12"/>
      <c r="T3865" s="8"/>
      <c r="U3865" s="8" t="s">
        <v>88</v>
      </c>
      <c r="V3865" s="13" t="s">
        <v>43</v>
      </c>
      <c r="W3865" s="13" t="s">
        <v>17903</v>
      </c>
      <c r="X3865" s="12"/>
      <c r="Y3865" s="14"/>
      <c r="Z3865" s="14"/>
    </row>
    <row r="3866">
      <c r="A3866" s="8" t="s">
        <v>17904</v>
      </c>
      <c r="B3866" s="8" t="s">
        <v>17905</v>
      </c>
      <c r="C3866" s="8" t="s">
        <v>179</v>
      </c>
      <c r="D3866" s="8" t="s">
        <v>26</v>
      </c>
      <c r="E3866" s="8" t="s">
        <v>17906</v>
      </c>
      <c r="F3866" s="8"/>
      <c r="G3866" s="8" t="s">
        <v>54</v>
      </c>
      <c r="H3866" s="8" t="s">
        <v>430</v>
      </c>
      <c r="I3866" s="8" t="s">
        <v>31</v>
      </c>
      <c r="J3866" s="8" t="s">
        <v>77</v>
      </c>
      <c r="K3866" s="10" t="s">
        <v>2555</v>
      </c>
      <c r="L3866" s="8" t="s">
        <v>58</v>
      </c>
      <c r="M3866" s="8" t="s">
        <v>35</v>
      </c>
      <c r="N3866" s="11">
        <v>45257.0</v>
      </c>
      <c r="O3866" s="11">
        <v>45488.0</v>
      </c>
      <c r="P3866" s="11">
        <v>45530.0</v>
      </c>
      <c r="Q3866" s="11"/>
      <c r="R3866" s="11"/>
      <c r="S3866" s="12"/>
      <c r="T3866" s="8"/>
      <c r="U3866" s="8" t="s">
        <v>371</v>
      </c>
      <c r="V3866" s="13" t="s">
        <v>38</v>
      </c>
      <c r="W3866" s="13" t="s">
        <v>17907</v>
      </c>
      <c r="X3866" s="12"/>
      <c r="Y3866" s="14"/>
      <c r="Z3866" s="14"/>
    </row>
    <row r="3867">
      <c r="A3867" s="8" t="s">
        <v>17908</v>
      </c>
      <c r="B3867" s="8" t="s">
        <v>17909</v>
      </c>
      <c r="C3867" s="8" t="s">
        <v>179</v>
      </c>
      <c r="D3867" s="8" t="s">
        <v>26</v>
      </c>
      <c r="E3867" s="8" t="s">
        <v>17910</v>
      </c>
      <c r="F3867" s="8">
        <v>5.0315963E7</v>
      </c>
      <c r="G3867" s="8" t="s">
        <v>54</v>
      </c>
      <c r="H3867" s="8" t="s">
        <v>430</v>
      </c>
      <c r="I3867" s="8" t="s">
        <v>31</v>
      </c>
      <c r="J3867" s="8" t="s">
        <v>77</v>
      </c>
      <c r="K3867" s="10" t="s">
        <v>2555</v>
      </c>
      <c r="L3867" s="8" t="s">
        <v>58</v>
      </c>
      <c r="M3867" s="8" t="s">
        <v>35</v>
      </c>
      <c r="N3867" s="11">
        <v>45257.0</v>
      </c>
      <c r="O3867" s="11">
        <v>45488.0</v>
      </c>
      <c r="P3867" s="11">
        <v>45530.0</v>
      </c>
      <c r="Q3867" s="11"/>
      <c r="R3867" s="11"/>
      <c r="S3867" s="12"/>
      <c r="T3867" s="8"/>
      <c r="U3867" s="8" t="s">
        <v>371</v>
      </c>
      <c r="V3867" s="13" t="s">
        <v>4780</v>
      </c>
      <c r="W3867" s="13" t="s">
        <v>17911</v>
      </c>
      <c r="X3867" s="12"/>
      <c r="Y3867" s="14"/>
      <c r="Z3867" s="14"/>
    </row>
    <row r="3868">
      <c r="A3868" s="8" t="s">
        <v>17912</v>
      </c>
      <c r="B3868" s="8" t="s">
        <v>17913</v>
      </c>
      <c r="C3868" s="8" t="s">
        <v>179</v>
      </c>
      <c r="D3868" s="8" t="s">
        <v>26</v>
      </c>
      <c r="E3868" s="8" t="s">
        <v>17914</v>
      </c>
      <c r="F3868" s="8"/>
      <c r="G3868" s="8" t="s">
        <v>1620</v>
      </c>
      <c r="H3868" s="8" t="s">
        <v>3655</v>
      </c>
      <c r="I3868" s="8" t="s">
        <v>31</v>
      </c>
      <c r="J3868" s="8" t="s">
        <v>86</v>
      </c>
      <c r="K3868" s="10" t="s">
        <v>416</v>
      </c>
      <c r="L3868" s="8" t="s">
        <v>58</v>
      </c>
      <c r="M3868" s="8" t="s">
        <v>35</v>
      </c>
      <c r="N3868" s="11">
        <v>45257.0</v>
      </c>
      <c r="O3868" s="11">
        <v>45505.0</v>
      </c>
      <c r="P3868" s="11">
        <v>45547.0</v>
      </c>
      <c r="Q3868" s="11"/>
      <c r="R3868" s="11"/>
      <c r="S3868" s="12"/>
      <c r="T3868" s="8"/>
      <c r="U3868" s="8" t="s">
        <v>59</v>
      </c>
      <c r="V3868" s="13" t="s">
        <v>38</v>
      </c>
      <c r="W3868" s="13" t="s">
        <v>17915</v>
      </c>
      <c r="X3868" s="12"/>
      <c r="Y3868" s="14"/>
      <c r="Z3868" s="14"/>
    </row>
    <row r="3869">
      <c r="A3869" s="8" t="s">
        <v>17916</v>
      </c>
      <c r="B3869" s="8" t="s">
        <v>17917</v>
      </c>
      <c r="C3869" s="8" t="s">
        <v>179</v>
      </c>
      <c r="D3869" s="8" t="s">
        <v>26</v>
      </c>
      <c r="E3869" s="8" t="s">
        <v>17918</v>
      </c>
      <c r="F3869" s="8">
        <v>5.525703515E9</v>
      </c>
      <c r="G3869" s="8" t="s">
        <v>31</v>
      </c>
      <c r="H3869" s="8" t="s">
        <v>111</v>
      </c>
      <c r="I3869" s="8" t="s">
        <v>399</v>
      </c>
      <c r="J3869" s="8" t="s">
        <v>2416</v>
      </c>
      <c r="K3869" s="10" t="s">
        <v>6254</v>
      </c>
      <c r="L3869" s="8" t="s">
        <v>58</v>
      </c>
      <c r="M3869" s="8" t="s">
        <v>35</v>
      </c>
      <c r="N3869" s="11">
        <v>45257.0</v>
      </c>
      <c r="O3869" s="11">
        <v>45460.0</v>
      </c>
      <c r="P3869" s="11">
        <v>45502.0</v>
      </c>
      <c r="Q3869" s="11"/>
      <c r="R3869" s="11"/>
      <c r="S3869" s="12"/>
      <c r="T3869" s="8"/>
      <c r="U3869" s="8" t="s">
        <v>59</v>
      </c>
      <c r="V3869" s="13" t="s">
        <v>111</v>
      </c>
      <c r="W3869" s="13" t="s">
        <v>17919</v>
      </c>
      <c r="X3869" s="12"/>
      <c r="Y3869" s="14"/>
      <c r="Z3869" s="14"/>
    </row>
    <row r="3870">
      <c r="A3870" s="8" t="s">
        <v>17920</v>
      </c>
      <c r="B3870" s="8" t="s">
        <v>17921</v>
      </c>
      <c r="C3870" s="8" t="s">
        <v>179</v>
      </c>
      <c r="D3870" s="8" t="s">
        <v>26</v>
      </c>
      <c r="E3870" s="8" t="s">
        <v>17922</v>
      </c>
      <c r="F3870" s="8">
        <v>5.38795805E9</v>
      </c>
      <c r="G3870" s="8" t="s">
        <v>31</v>
      </c>
      <c r="H3870" s="8" t="s">
        <v>56</v>
      </c>
      <c r="I3870" s="8" t="s">
        <v>399</v>
      </c>
      <c r="J3870" s="8" t="s">
        <v>2416</v>
      </c>
      <c r="K3870" s="10" t="s">
        <v>17923</v>
      </c>
      <c r="L3870" s="8" t="s">
        <v>58</v>
      </c>
      <c r="M3870" s="8" t="s">
        <v>35</v>
      </c>
      <c r="N3870" s="11">
        <v>45257.0</v>
      </c>
      <c r="O3870" s="11">
        <v>45313.0</v>
      </c>
      <c r="P3870" s="11">
        <v>45355.0</v>
      </c>
      <c r="Q3870" s="11"/>
      <c r="R3870" s="11"/>
      <c r="S3870" s="12"/>
      <c r="T3870" s="8"/>
      <c r="U3870" s="8" t="s">
        <v>371</v>
      </c>
      <c r="V3870" s="13" t="s">
        <v>56</v>
      </c>
      <c r="W3870" s="13" t="s">
        <v>17924</v>
      </c>
      <c r="X3870" s="12"/>
      <c r="Y3870" s="14"/>
      <c r="Z3870" s="14"/>
    </row>
    <row r="3871">
      <c r="A3871" s="8" t="s">
        <v>17925</v>
      </c>
      <c r="B3871" s="8" t="s">
        <v>17926</v>
      </c>
      <c r="C3871" s="8" t="s">
        <v>179</v>
      </c>
      <c r="D3871" s="8" t="s">
        <v>26</v>
      </c>
      <c r="E3871" s="8" t="s">
        <v>17927</v>
      </c>
      <c r="F3871" s="8"/>
      <c r="G3871" s="8" t="s">
        <v>54</v>
      </c>
      <c r="H3871" s="8" t="s">
        <v>76</v>
      </c>
      <c r="I3871" s="8" t="s">
        <v>31</v>
      </c>
      <c r="J3871" s="8" t="s">
        <v>77</v>
      </c>
      <c r="K3871" s="10" t="s">
        <v>17878</v>
      </c>
      <c r="L3871" s="8" t="s">
        <v>58</v>
      </c>
      <c r="M3871" s="8" t="s">
        <v>35</v>
      </c>
      <c r="N3871" s="11">
        <v>45257.0</v>
      </c>
      <c r="O3871" s="11">
        <v>45453.0</v>
      </c>
      <c r="P3871" s="11">
        <v>45495.0</v>
      </c>
      <c r="Q3871" s="11"/>
      <c r="R3871" s="11"/>
      <c r="S3871" s="12"/>
      <c r="T3871" s="8"/>
      <c r="U3871" s="8" t="s">
        <v>59</v>
      </c>
      <c r="V3871" s="13" t="s">
        <v>38</v>
      </c>
      <c r="W3871" s="13" t="s">
        <v>17928</v>
      </c>
      <c r="X3871" s="12"/>
      <c r="Y3871" s="14"/>
      <c r="Z3871" s="14"/>
    </row>
    <row r="3872">
      <c r="A3872" s="8" t="s">
        <v>17929</v>
      </c>
      <c r="B3872" s="8" t="s">
        <v>17930</v>
      </c>
      <c r="C3872" s="8" t="s">
        <v>179</v>
      </c>
      <c r="D3872" s="8" t="s">
        <v>26</v>
      </c>
      <c r="E3872" s="8" t="s">
        <v>17931</v>
      </c>
      <c r="F3872" s="8">
        <v>2.6705676E7</v>
      </c>
      <c r="G3872" s="8" t="s">
        <v>54</v>
      </c>
      <c r="H3872" s="8" t="s">
        <v>76</v>
      </c>
      <c r="I3872" s="8" t="s">
        <v>31</v>
      </c>
      <c r="J3872" s="8" t="s">
        <v>86</v>
      </c>
      <c r="K3872" s="10" t="s">
        <v>2453</v>
      </c>
      <c r="L3872" s="8" t="s">
        <v>58</v>
      </c>
      <c r="M3872" s="8" t="s">
        <v>35</v>
      </c>
      <c r="N3872" s="11">
        <v>45257.0</v>
      </c>
      <c r="O3872" s="11">
        <v>45505.0</v>
      </c>
      <c r="P3872" s="11">
        <v>45547.0</v>
      </c>
      <c r="Q3872" s="11"/>
      <c r="R3872" s="11"/>
      <c r="S3872" s="12"/>
      <c r="T3872" s="8"/>
      <c r="U3872" s="8" t="s">
        <v>59</v>
      </c>
      <c r="V3872" s="13" t="s">
        <v>3496</v>
      </c>
      <c r="W3872" s="13" t="s">
        <v>17932</v>
      </c>
      <c r="X3872" s="12"/>
      <c r="Y3872" s="14"/>
      <c r="Z3872" s="14"/>
    </row>
    <row r="3873">
      <c r="A3873" s="8" t="s">
        <v>17933</v>
      </c>
      <c r="B3873" s="8" t="s">
        <v>17934</v>
      </c>
      <c r="C3873" s="8" t="s">
        <v>179</v>
      </c>
      <c r="D3873" s="8" t="s">
        <v>26</v>
      </c>
      <c r="E3873" s="8" t="s">
        <v>17935</v>
      </c>
      <c r="F3873" s="8">
        <v>5.545613287E9</v>
      </c>
      <c r="G3873" s="8" t="s">
        <v>31</v>
      </c>
      <c r="H3873" s="8" t="s">
        <v>111</v>
      </c>
      <c r="I3873" s="8" t="s">
        <v>284</v>
      </c>
      <c r="J3873" s="8" t="s">
        <v>3188</v>
      </c>
      <c r="K3873" s="10" t="s">
        <v>17936</v>
      </c>
      <c r="L3873" s="8" t="s">
        <v>34</v>
      </c>
      <c r="M3873" s="8" t="s">
        <v>35</v>
      </c>
      <c r="N3873" s="11">
        <v>45257.0</v>
      </c>
      <c r="O3873" s="11">
        <v>45474.0</v>
      </c>
      <c r="P3873" s="11">
        <v>45519.0</v>
      </c>
      <c r="Q3873" s="11"/>
      <c r="R3873" s="11"/>
      <c r="S3873" s="12"/>
      <c r="T3873" s="8" t="s">
        <v>205</v>
      </c>
      <c r="U3873" s="8" t="s">
        <v>17937</v>
      </c>
      <c r="V3873" s="13" t="s">
        <v>111</v>
      </c>
      <c r="W3873" s="13" t="s">
        <v>17938</v>
      </c>
      <c r="X3873" s="12"/>
      <c r="Y3873" s="14"/>
      <c r="Z3873" s="14"/>
    </row>
    <row r="3874">
      <c r="A3874" s="8" t="s">
        <v>17939</v>
      </c>
      <c r="B3874" s="8" t="s">
        <v>17940</v>
      </c>
      <c r="C3874" s="8" t="s">
        <v>708</v>
      </c>
      <c r="D3874" s="8" t="s">
        <v>26</v>
      </c>
      <c r="E3874" s="8" t="s">
        <v>17941</v>
      </c>
      <c r="F3874" s="8">
        <v>6.73757298E8</v>
      </c>
      <c r="G3874" s="8" t="s">
        <v>1620</v>
      </c>
      <c r="H3874" s="8" t="s">
        <v>1635</v>
      </c>
      <c r="I3874" s="8" t="s">
        <v>31</v>
      </c>
      <c r="J3874" s="8" t="s">
        <v>86</v>
      </c>
      <c r="K3874" s="10" t="s">
        <v>17942</v>
      </c>
      <c r="L3874" s="8" t="s">
        <v>58</v>
      </c>
      <c r="M3874" s="8" t="s">
        <v>35</v>
      </c>
      <c r="N3874" s="11">
        <v>45257.0</v>
      </c>
      <c r="O3874" s="11">
        <v>45284.0</v>
      </c>
      <c r="P3874" s="11">
        <v>45326.0</v>
      </c>
      <c r="Q3874" s="11">
        <v>45273.0</v>
      </c>
      <c r="R3874" s="11">
        <v>45326.0</v>
      </c>
      <c r="S3874" s="12"/>
      <c r="T3874" s="8"/>
      <c r="U3874" s="8" t="s">
        <v>59</v>
      </c>
      <c r="V3874" s="13" t="s">
        <v>5939</v>
      </c>
      <c r="W3874" s="13" t="s">
        <v>17943</v>
      </c>
      <c r="X3874" s="12"/>
      <c r="Y3874" s="14"/>
      <c r="Z3874" s="14"/>
    </row>
    <row r="3875">
      <c r="A3875" s="8" t="s">
        <v>17944</v>
      </c>
      <c r="B3875" s="8" t="s">
        <v>17945</v>
      </c>
      <c r="C3875" s="8" t="s">
        <v>179</v>
      </c>
      <c r="D3875" s="8" t="s">
        <v>26</v>
      </c>
      <c r="E3875" s="8" t="s">
        <v>17946</v>
      </c>
      <c r="F3875" s="8"/>
      <c r="G3875" s="8" t="s">
        <v>31</v>
      </c>
      <c r="H3875" s="8" t="s">
        <v>56</v>
      </c>
      <c r="I3875" s="8" t="s">
        <v>284</v>
      </c>
      <c r="J3875" s="8" t="s">
        <v>5202</v>
      </c>
      <c r="K3875" s="10" t="s">
        <v>17947</v>
      </c>
      <c r="L3875" s="8" t="s">
        <v>58</v>
      </c>
      <c r="M3875" s="8" t="s">
        <v>35</v>
      </c>
      <c r="N3875" s="11">
        <v>45257.0</v>
      </c>
      <c r="O3875" s="11">
        <v>45458.0</v>
      </c>
      <c r="P3875" s="11">
        <v>45500.0</v>
      </c>
      <c r="Q3875" s="11"/>
      <c r="R3875" s="11"/>
      <c r="S3875" s="12"/>
      <c r="T3875" s="8"/>
      <c r="U3875" s="8" t="s">
        <v>59</v>
      </c>
      <c r="V3875" s="13" t="s">
        <v>38</v>
      </c>
      <c r="W3875" s="13" t="s">
        <v>17948</v>
      </c>
      <c r="X3875" s="12"/>
      <c r="Y3875" s="14"/>
      <c r="Z3875" s="14"/>
    </row>
    <row r="3876">
      <c r="A3876" s="8" t="s">
        <v>17949</v>
      </c>
      <c r="B3876" s="8" t="s">
        <v>17950</v>
      </c>
      <c r="C3876" s="8" t="s">
        <v>179</v>
      </c>
      <c r="D3876" s="8" t="s">
        <v>26</v>
      </c>
      <c r="E3876" s="8" t="s">
        <v>17951</v>
      </c>
      <c r="F3876" s="8">
        <v>5.356282706E9</v>
      </c>
      <c r="G3876" s="8" t="s">
        <v>31</v>
      </c>
      <c r="H3876" s="8" t="s">
        <v>66</v>
      </c>
      <c r="I3876" s="8" t="s">
        <v>284</v>
      </c>
      <c r="J3876" s="8" t="s">
        <v>1450</v>
      </c>
      <c r="K3876" s="10" t="s">
        <v>11291</v>
      </c>
      <c r="L3876" s="8" t="s">
        <v>58</v>
      </c>
      <c r="M3876" s="8" t="s">
        <v>35</v>
      </c>
      <c r="N3876" s="11">
        <v>45257.0</v>
      </c>
      <c r="O3876" s="11">
        <v>45474.0</v>
      </c>
      <c r="P3876" s="11">
        <v>45516.0</v>
      </c>
      <c r="Q3876" s="11"/>
      <c r="R3876" s="11"/>
      <c r="S3876" s="12"/>
      <c r="T3876" s="8"/>
      <c r="U3876" s="8" t="s">
        <v>1038</v>
      </c>
      <c r="V3876" s="13" t="s">
        <v>66</v>
      </c>
      <c r="W3876" s="13" t="s">
        <v>17952</v>
      </c>
      <c r="X3876" s="12"/>
      <c r="Y3876" s="14"/>
      <c r="Z3876" s="14"/>
    </row>
    <row r="3877">
      <c r="A3877" s="8" t="s">
        <v>17953</v>
      </c>
      <c r="B3877" s="8" t="s">
        <v>17954</v>
      </c>
      <c r="C3877" s="8" t="s">
        <v>179</v>
      </c>
      <c r="D3877" s="8" t="s">
        <v>26</v>
      </c>
      <c r="E3877" s="8" t="s">
        <v>17955</v>
      </c>
      <c r="F3877" s="8">
        <v>5.331503034E9</v>
      </c>
      <c r="G3877" s="8" t="s">
        <v>31</v>
      </c>
      <c r="H3877" s="8" t="s">
        <v>66</v>
      </c>
      <c r="I3877" s="8" t="s">
        <v>284</v>
      </c>
      <c r="J3877" s="8" t="s">
        <v>1450</v>
      </c>
      <c r="K3877" s="10" t="s">
        <v>11291</v>
      </c>
      <c r="L3877" s="8" t="s">
        <v>58</v>
      </c>
      <c r="M3877" s="8" t="s">
        <v>35</v>
      </c>
      <c r="N3877" s="11">
        <v>45257.0</v>
      </c>
      <c r="O3877" s="11">
        <v>45474.0</v>
      </c>
      <c r="P3877" s="11">
        <v>45516.0</v>
      </c>
      <c r="Q3877" s="11"/>
      <c r="R3877" s="11"/>
      <c r="S3877" s="12"/>
      <c r="T3877" s="8"/>
      <c r="U3877" s="8" t="s">
        <v>1038</v>
      </c>
      <c r="V3877" s="13" t="s">
        <v>66</v>
      </c>
      <c r="W3877" s="13" t="s">
        <v>17956</v>
      </c>
      <c r="X3877" s="12"/>
      <c r="Y3877" s="14"/>
      <c r="Z3877" s="14"/>
    </row>
    <row r="3878">
      <c r="A3878" s="8" t="s">
        <v>17957</v>
      </c>
      <c r="B3878" s="8" t="s">
        <v>17958</v>
      </c>
      <c r="C3878" s="8" t="s">
        <v>179</v>
      </c>
      <c r="D3878" s="8" t="s">
        <v>26</v>
      </c>
      <c r="E3878" s="8" t="s">
        <v>17959</v>
      </c>
      <c r="F3878" s="8">
        <v>5.8622683E7</v>
      </c>
      <c r="G3878" s="8" t="s">
        <v>54</v>
      </c>
      <c r="H3878" s="8" t="s">
        <v>55</v>
      </c>
      <c r="I3878" s="8" t="s">
        <v>31</v>
      </c>
      <c r="J3878" s="8" t="s">
        <v>111</v>
      </c>
      <c r="K3878" s="10" t="s">
        <v>338</v>
      </c>
      <c r="L3878" s="8" t="s">
        <v>58</v>
      </c>
      <c r="M3878" s="8" t="s">
        <v>35</v>
      </c>
      <c r="N3878" s="11">
        <v>45257.0</v>
      </c>
      <c r="O3878" s="11">
        <v>45425.0</v>
      </c>
      <c r="P3878" s="11">
        <v>45467.0</v>
      </c>
      <c r="Q3878" s="11"/>
      <c r="R3878" s="11"/>
      <c r="S3878" s="12"/>
      <c r="T3878" s="8"/>
      <c r="U3878" s="8" t="s">
        <v>339</v>
      </c>
      <c r="V3878" s="13" t="s">
        <v>60</v>
      </c>
      <c r="W3878" s="13" t="s">
        <v>17960</v>
      </c>
      <c r="X3878" s="12"/>
      <c r="Y3878" s="14"/>
      <c r="Z3878" s="14"/>
    </row>
    <row r="3879">
      <c r="A3879" s="8" t="s">
        <v>17961</v>
      </c>
      <c r="B3879" s="8" t="s">
        <v>17962</v>
      </c>
      <c r="C3879" s="8" t="s">
        <v>179</v>
      </c>
      <c r="D3879" s="8" t="s">
        <v>26</v>
      </c>
      <c r="E3879" s="8" t="s">
        <v>17963</v>
      </c>
      <c r="F3879" s="8">
        <v>7.77639718E8</v>
      </c>
      <c r="G3879" s="8" t="s">
        <v>1400</v>
      </c>
      <c r="H3879" s="8" t="s">
        <v>9975</v>
      </c>
      <c r="I3879" s="8" t="s">
        <v>31</v>
      </c>
      <c r="J3879" s="8" t="s">
        <v>1274</v>
      </c>
      <c r="K3879" s="10" t="s">
        <v>16604</v>
      </c>
      <c r="L3879" s="8" t="s">
        <v>58</v>
      </c>
      <c r="M3879" s="8" t="s">
        <v>35</v>
      </c>
      <c r="N3879" s="11">
        <v>45257.0</v>
      </c>
      <c r="O3879" s="11">
        <v>45432.0</v>
      </c>
      <c r="P3879" s="11">
        <v>45474.0</v>
      </c>
      <c r="Q3879" s="11"/>
      <c r="R3879" s="11"/>
      <c r="S3879" s="12"/>
      <c r="T3879" s="8"/>
      <c r="U3879" s="8" t="s">
        <v>185</v>
      </c>
      <c r="V3879" s="13" t="s">
        <v>38</v>
      </c>
      <c r="W3879" s="13" t="s">
        <v>17964</v>
      </c>
      <c r="X3879" s="12"/>
      <c r="Y3879" s="14"/>
      <c r="Z3879" s="14"/>
    </row>
    <row r="3880">
      <c r="A3880" s="8" t="s">
        <v>17965</v>
      </c>
      <c r="B3880" s="8" t="s">
        <v>17966</v>
      </c>
      <c r="C3880" s="8" t="s">
        <v>179</v>
      </c>
      <c r="D3880" s="8" t="s">
        <v>26</v>
      </c>
      <c r="E3880" s="8" t="s">
        <v>17967</v>
      </c>
      <c r="F3880" s="8">
        <v>9.16978619E8</v>
      </c>
      <c r="G3880" s="8" t="s">
        <v>118</v>
      </c>
      <c r="H3880" s="8" t="s">
        <v>1162</v>
      </c>
      <c r="I3880" s="8" t="s">
        <v>31</v>
      </c>
      <c r="J3880" s="8" t="s">
        <v>56</v>
      </c>
      <c r="K3880" s="10" t="s">
        <v>15775</v>
      </c>
      <c r="L3880" s="8" t="s">
        <v>58</v>
      </c>
      <c r="M3880" s="8" t="s">
        <v>35</v>
      </c>
      <c r="N3880" s="11">
        <v>45257.0</v>
      </c>
      <c r="O3880" s="11">
        <v>45341.0</v>
      </c>
      <c r="P3880" s="11">
        <v>45383.0</v>
      </c>
      <c r="Q3880" s="11"/>
      <c r="R3880" s="11"/>
      <c r="S3880" s="12"/>
      <c r="T3880" s="8"/>
      <c r="U3880" s="8" t="s">
        <v>161</v>
      </c>
      <c r="V3880" s="13" t="s">
        <v>38</v>
      </c>
      <c r="W3880" s="13" t="s">
        <v>17968</v>
      </c>
      <c r="X3880" s="12"/>
      <c r="Y3880" s="14"/>
      <c r="Z3880" s="14"/>
    </row>
    <row r="3881">
      <c r="A3881" s="8" t="s">
        <v>17969</v>
      </c>
      <c r="B3881" s="8" t="s">
        <v>17970</v>
      </c>
      <c r="C3881" s="8" t="s">
        <v>708</v>
      </c>
      <c r="D3881" s="8" t="s">
        <v>26</v>
      </c>
      <c r="E3881" s="8" t="s">
        <v>17971</v>
      </c>
      <c r="F3881" s="8">
        <v>2.8640414E7</v>
      </c>
      <c r="G3881" s="8" t="s">
        <v>54</v>
      </c>
      <c r="H3881" s="8" t="s">
        <v>377</v>
      </c>
      <c r="I3881" s="8" t="s">
        <v>31</v>
      </c>
      <c r="J3881" s="8" t="s">
        <v>77</v>
      </c>
      <c r="K3881" s="10" t="s">
        <v>17972</v>
      </c>
      <c r="L3881" s="8" t="s">
        <v>47</v>
      </c>
      <c r="M3881" s="8" t="s">
        <v>70</v>
      </c>
      <c r="N3881" s="11">
        <v>45257.0</v>
      </c>
      <c r="O3881" s="11">
        <v>45260.0</v>
      </c>
      <c r="P3881" s="11">
        <v>45458.0</v>
      </c>
      <c r="Q3881" s="11">
        <v>45257.0</v>
      </c>
      <c r="R3881" s="11">
        <v>45458.0</v>
      </c>
      <c r="S3881" s="12"/>
      <c r="T3881" s="8"/>
      <c r="U3881" s="8" t="s">
        <v>17973</v>
      </c>
      <c r="V3881" s="13" t="s">
        <v>1604</v>
      </c>
      <c r="W3881" s="13" t="s">
        <v>17974</v>
      </c>
      <c r="X3881" s="12"/>
      <c r="Y3881" s="14"/>
      <c r="Z3881" s="14"/>
    </row>
    <row r="3882">
      <c r="A3882" s="8" t="s">
        <v>17975</v>
      </c>
      <c r="B3882" s="8" t="s">
        <v>17976</v>
      </c>
      <c r="C3882" s="8" t="s">
        <v>179</v>
      </c>
      <c r="D3882" s="8" t="s">
        <v>26</v>
      </c>
      <c r="E3882" s="8" t="s">
        <v>17977</v>
      </c>
      <c r="F3882" s="8">
        <v>5.073216035E9</v>
      </c>
      <c r="G3882" s="8" t="s">
        <v>31</v>
      </c>
      <c r="H3882" s="8" t="s">
        <v>102</v>
      </c>
      <c r="I3882" s="8" t="s">
        <v>44</v>
      </c>
      <c r="J3882" s="8" t="s">
        <v>2348</v>
      </c>
      <c r="K3882" s="10" t="s">
        <v>17978</v>
      </c>
      <c r="L3882" s="8" t="s">
        <v>58</v>
      </c>
      <c r="M3882" s="8" t="s">
        <v>35</v>
      </c>
      <c r="N3882" s="11">
        <v>45257.0</v>
      </c>
      <c r="O3882" s="11">
        <v>45488.0</v>
      </c>
      <c r="P3882" s="11">
        <v>45535.0</v>
      </c>
      <c r="Q3882" s="11"/>
      <c r="R3882" s="11"/>
      <c r="S3882" s="12"/>
      <c r="T3882" s="8"/>
      <c r="U3882" s="8" t="s">
        <v>371</v>
      </c>
      <c r="V3882" s="13" t="s">
        <v>17979</v>
      </c>
      <c r="W3882" s="13" t="s">
        <v>17980</v>
      </c>
      <c r="X3882" s="12"/>
      <c r="Y3882" s="14"/>
      <c r="Z3882" s="14"/>
    </row>
    <row r="3883">
      <c r="A3883" s="8" t="s">
        <v>17981</v>
      </c>
      <c r="B3883" s="8" t="s">
        <v>17982</v>
      </c>
      <c r="C3883" s="8" t="s">
        <v>179</v>
      </c>
      <c r="D3883" s="8" t="s">
        <v>26</v>
      </c>
      <c r="E3883" s="8" t="s">
        <v>17983</v>
      </c>
      <c r="F3883" s="8">
        <v>2.490471E7</v>
      </c>
      <c r="G3883" s="8" t="s">
        <v>54</v>
      </c>
      <c r="H3883" s="8" t="s">
        <v>76</v>
      </c>
      <c r="I3883" s="8" t="s">
        <v>31</v>
      </c>
      <c r="J3883" s="8" t="s">
        <v>77</v>
      </c>
      <c r="K3883" s="10" t="s">
        <v>16181</v>
      </c>
      <c r="L3883" s="8" t="s">
        <v>58</v>
      </c>
      <c r="M3883" s="8" t="s">
        <v>35</v>
      </c>
      <c r="N3883" s="11">
        <v>45257.0</v>
      </c>
      <c r="O3883" s="11">
        <v>45446.0</v>
      </c>
      <c r="P3883" s="11">
        <v>45488.0</v>
      </c>
      <c r="Q3883" s="11"/>
      <c r="R3883" s="11"/>
      <c r="S3883" s="12"/>
      <c r="T3883" s="8"/>
      <c r="U3883" s="8" t="s">
        <v>59</v>
      </c>
      <c r="V3883" s="13" t="s">
        <v>573</v>
      </c>
      <c r="W3883" s="13" t="s">
        <v>17984</v>
      </c>
      <c r="X3883" s="12"/>
      <c r="Y3883" s="14"/>
      <c r="Z3883" s="14"/>
    </row>
    <row r="3884">
      <c r="A3884" s="8" t="s">
        <v>17985</v>
      </c>
      <c r="B3884" s="8" t="s">
        <v>17986</v>
      </c>
      <c r="C3884" s="8" t="s">
        <v>708</v>
      </c>
      <c r="D3884" s="8" t="s">
        <v>26</v>
      </c>
      <c r="E3884" s="8" t="s">
        <v>17987</v>
      </c>
      <c r="F3884" s="8"/>
      <c r="G3884" s="8" t="s">
        <v>31</v>
      </c>
      <c r="H3884" s="8" t="s">
        <v>111</v>
      </c>
      <c r="I3884" s="8" t="s">
        <v>466</v>
      </c>
      <c r="J3884" s="8" t="s">
        <v>17329</v>
      </c>
      <c r="K3884" s="10" t="s">
        <v>17330</v>
      </c>
      <c r="L3884" s="8" t="s">
        <v>58</v>
      </c>
      <c r="M3884" s="8" t="s">
        <v>35</v>
      </c>
      <c r="N3884" s="11">
        <v>45257.0</v>
      </c>
      <c r="O3884" s="11">
        <v>45305.0</v>
      </c>
      <c r="P3884" s="11">
        <v>45347.0</v>
      </c>
      <c r="Q3884" s="11">
        <v>45306.0</v>
      </c>
      <c r="R3884" s="11">
        <v>45347.0</v>
      </c>
      <c r="S3884" s="12"/>
      <c r="T3884" s="8"/>
      <c r="U3884" s="8" t="s">
        <v>59</v>
      </c>
      <c r="V3884" s="13" t="s">
        <v>38</v>
      </c>
      <c r="W3884" s="13" t="s">
        <v>17988</v>
      </c>
      <c r="X3884" s="12"/>
      <c r="Y3884" s="14"/>
      <c r="Z3884" s="14"/>
    </row>
    <row r="3885">
      <c r="A3885" s="8" t="s">
        <v>17989</v>
      </c>
      <c r="B3885" s="8" t="s">
        <v>17990</v>
      </c>
      <c r="C3885" s="8" t="s">
        <v>179</v>
      </c>
      <c r="D3885" s="8" t="s">
        <v>26</v>
      </c>
      <c r="E3885" s="8" t="s">
        <v>17991</v>
      </c>
      <c r="F3885" s="8">
        <v>5.303445733E9</v>
      </c>
      <c r="G3885" s="8" t="s">
        <v>31</v>
      </c>
      <c r="H3885" s="8" t="s">
        <v>111</v>
      </c>
      <c r="I3885" s="8" t="s">
        <v>399</v>
      </c>
      <c r="J3885" s="8" t="s">
        <v>2416</v>
      </c>
      <c r="K3885" s="10" t="s">
        <v>6254</v>
      </c>
      <c r="L3885" s="8" t="s">
        <v>58</v>
      </c>
      <c r="M3885" s="8" t="s">
        <v>35</v>
      </c>
      <c r="N3885" s="11">
        <v>45258.0</v>
      </c>
      <c r="O3885" s="11">
        <v>45460.0</v>
      </c>
      <c r="P3885" s="11">
        <v>45502.0</v>
      </c>
      <c r="Q3885" s="11"/>
      <c r="R3885" s="11"/>
      <c r="S3885" s="12"/>
      <c r="T3885" s="8"/>
      <c r="U3885" s="8" t="s">
        <v>59</v>
      </c>
      <c r="V3885" s="13" t="s">
        <v>175</v>
      </c>
      <c r="W3885" s="13" t="s">
        <v>17992</v>
      </c>
      <c r="X3885" s="12"/>
      <c r="Y3885" s="14"/>
      <c r="Z3885" s="14"/>
    </row>
    <row r="3886">
      <c r="A3886" s="8" t="s">
        <v>17993</v>
      </c>
      <c r="B3886" s="8" t="s">
        <v>17994</v>
      </c>
      <c r="C3886" s="8" t="s">
        <v>179</v>
      </c>
      <c r="D3886" s="8" t="s">
        <v>26</v>
      </c>
      <c r="E3886" s="8" t="s">
        <v>17995</v>
      </c>
      <c r="F3886" s="8">
        <v>5.301655415E9</v>
      </c>
      <c r="G3886" s="8" t="s">
        <v>31</v>
      </c>
      <c r="H3886" s="8" t="s">
        <v>111</v>
      </c>
      <c r="I3886" s="8" t="s">
        <v>54</v>
      </c>
      <c r="J3886" s="8" t="s">
        <v>237</v>
      </c>
      <c r="K3886" s="10" t="s">
        <v>15191</v>
      </c>
      <c r="L3886" s="8" t="s">
        <v>58</v>
      </c>
      <c r="M3886" s="8" t="s">
        <v>35</v>
      </c>
      <c r="N3886" s="11">
        <v>45258.0</v>
      </c>
      <c r="O3886" s="11">
        <v>45488.0</v>
      </c>
      <c r="P3886" s="11">
        <v>45530.0</v>
      </c>
      <c r="Q3886" s="11"/>
      <c r="R3886" s="11"/>
      <c r="S3886" s="12"/>
      <c r="T3886" s="8"/>
      <c r="U3886" s="8" t="s">
        <v>402</v>
      </c>
      <c r="V3886" s="13" t="s">
        <v>111</v>
      </c>
      <c r="W3886" s="13" t="s">
        <v>17996</v>
      </c>
      <c r="X3886" s="12"/>
      <c r="Y3886" s="14"/>
      <c r="Z3886" s="14"/>
    </row>
    <row r="3887">
      <c r="A3887" s="8" t="s">
        <v>17997</v>
      </c>
      <c r="B3887" s="8" t="s">
        <v>17998</v>
      </c>
      <c r="C3887" s="8" t="s">
        <v>179</v>
      </c>
      <c r="D3887" s="8" t="s">
        <v>26</v>
      </c>
      <c r="E3887" s="8" t="s">
        <v>17999</v>
      </c>
      <c r="F3887" s="8">
        <v>5.43315045E9</v>
      </c>
      <c r="G3887" s="8" t="s">
        <v>31</v>
      </c>
      <c r="H3887" s="8" t="s">
        <v>66</v>
      </c>
      <c r="I3887" s="8" t="s">
        <v>284</v>
      </c>
      <c r="J3887" s="8" t="s">
        <v>1450</v>
      </c>
      <c r="K3887" s="10" t="s">
        <v>11291</v>
      </c>
      <c r="L3887" s="8" t="s">
        <v>58</v>
      </c>
      <c r="M3887" s="8" t="s">
        <v>35</v>
      </c>
      <c r="N3887" s="11">
        <v>45258.0</v>
      </c>
      <c r="O3887" s="11">
        <v>45474.0</v>
      </c>
      <c r="P3887" s="11">
        <v>45516.0</v>
      </c>
      <c r="Q3887" s="11"/>
      <c r="R3887" s="11"/>
      <c r="S3887" s="12"/>
      <c r="T3887" s="8"/>
      <c r="U3887" s="8" t="s">
        <v>1038</v>
      </c>
      <c r="V3887" s="13" t="s">
        <v>66</v>
      </c>
      <c r="W3887" s="13" t="s">
        <v>18000</v>
      </c>
      <c r="X3887" s="12"/>
      <c r="Y3887" s="14"/>
      <c r="Z3887" s="14"/>
    </row>
    <row r="3888">
      <c r="A3888" s="8" t="s">
        <v>18001</v>
      </c>
      <c r="B3888" s="8" t="s">
        <v>18002</v>
      </c>
      <c r="C3888" s="8" t="s">
        <v>708</v>
      </c>
      <c r="D3888" s="8" t="s">
        <v>26</v>
      </c>
      <c r="E3888" s="8" t="s">
        <v>18003</v>
      </c>
      <c r="F3888" s="8">
        <v>5.2390497E7</v>
      </c>
      <c r="G3888" s="8" t="s">
        <v>54</v>
      </c>
      <c r="H3888" s="8" t="s">
        <v>76</v>
      </c>
      <c r="I3888" s="8" t="s">
        <v>31</v>
      </c>
      <c r="J3888" s="8" t="s">
        <v>111</v>
      </c>
      <c r="K3888" s="10" t="s">
        <v>910</v>
      </c>
      <c r="L3888" s="8" t="s">
        <v>47</v>
      </c>
      <c r="M3888" s="8" t="s">
        <v>70</v>
      </c>
      <c r="N3888" s="11">
        <v>45258.0</v>
      </c>
      <c r="O3888" s="11">
        <v>45273.0</v>
      </c>
      <c r="P3888" s="11">
        <v>45499.0</v>
      </c>
      <c r="Q3888" s="11">
        <v>45274.0</v>
      </c>
      <c r="R3888" s="11">
        <v>45500.0</v>
      </c>
      <c r="S3888" s="12"/>
      <c r="T3888" s="8"/>
      <c r="U3888" s="8" t="s">
        <v>246</v>
      </c>
      <c r="V3888" s="13" t="s">
        <v>491</v>
      </c>
      <c r="W3888" s="13" t="s">
        <v>18004</v>
      </c>
      <c r="X3888" s="12"/>
      <c r="Y3888" s="14"/>
      <c r="Z3888" s="14"/>
    </row>
    <row r="3889">
      <c r="A3889" s="8" t="s">
        <v>18005</v>
      </c>
      <c r="B3889" s="8" t="s">
        <v>18006</v>
      </c>
      <c r="C3889" s="8" t="s">
        <v>708</v>
      </c>
      <c r="D3889" s="8" t="s">
        <v>26</v>
      </c>
      <c r="E3889" s="8" t="s">
        <v>18007</v>
      </c>
      <c r="F3889" s="8"/>
      <c r="G3889" s="8" t="s">
        <v>84</v>
      </c>
      <c r="H3889" s="8" t="s">
        <v>85</v>
      </c>
      <c r="I3889" s="8" t="s">
        <v>31</v>
      </c>
      <c r="J3889" s="8" t="s">
        <v>43</v>
      </c>
      <c r="K3889" s="10" t="s">
        <v>18008</v>
      </c>
      <c r="L3889" s="8" t="s">
        <v>34</v>
      </c>
      <c r="M3889" s="8" t="s">
        <v>70</v>
      </c>
      <c r="N3889" s="11">
        <v>45258.0</v>
      </c>
      <c r="O3889" s="11">
        <v>45191.0</v>
      </c>
      <c r="P3889" s="11">
        <v>45556.0</v>
      </c>
      <c r="Q3889" s="11">
        <v>45268.0</v>
      </c>
      <c r="R3889" s="11">
        <v>45633.0</v>
      </c>
      <c r="S3889" s="12"/>
      <c r="T3889" s="8" t="s">
        <v>205</v>
      </c>
      <c r="U3889" s="8" t="s">
        <v>18009</v>
      </c>
      <c r="V3889" s="13" t="s">
        <v>38</v>
      </c>
      <c r="W3889" s="13" t="s">
        <v>18010</v>
      </c>
      <c r="X3889" s="12"/>
      <c r="Y3889" s="14"/>
      <c r="Z3889" s="14"/>
    </row>
    <row r="3890">
      <c r="A3890" s="8" t="s">
        <v>18011</v>
      </c>
      <c r="B3890" s="8" t="s">
        <v>18012</v>
      </c>
      <c r="C3890" s="8" t="s">
        <v>179</v>
      </c>
      <c r="D3890" s="8" t="s">
        <v>26</v>
      </c>
      <c r="E3890" s="8" t="s">
        <v>18013</v>
      </c>
      <c r="F3890" s="8">
        <v>5.315460649E9</v>
      </c>
      <c r="G3890" s="8" t="s">
        <v>31</v>
      </c>
      <c r="H3890" s="8" t="s">
        <v>77</v>
      </c>
      <c r="I3890" s="8" t="s">
        <v>44</v>
      </c>
      <c r="J3890" s="8" t="s">
        <v>1993</v>
      </c>
      <c r="K3890" s="10" t="s">
        <v>18014</v>
      </c>
      <c r="L3890" s="8" t="s">
        <v>58</v>
      </c>
      <c r="M3890" s="8" t="s">
        <v>35</v>
      </c>
      <c r="N3890" s="11">
        <v>45258.0</v>
      </c>
      <c r="O3890" s="11">
        <v>45524.0</v>
      </c>
      <c r="P3890" s="11">
        <v>45566.0</v>
      </c>
      <c r="Q3890" s="11"/>
      <c r="R3890" s="11"/>
      <c r="S3890" s="12"/>
      <c r="T3890" s="8"/>
      <c r="U3890" s="8" t="s">
        <v>371</v>
      </c>
      <c r="V3890" s="13" t="s">
        <v>77</v>
      </c>
      <c r="W3890" s="13" t="s">
        <v>18015</v>
      </c>
      <c r="X3890" s="12"/>
      <c r="Y3890" s="14"/>
      <c r="Z3890" s="14"/>
    </row>
    <row r="3891">
      <c r="A3891" s="8" t="s">
        <v>18016</v>
      </c>
      <c r="B3891" s="8" t="s">
        <v>18017</v>
      </c>
      <c r="C3891" s="8" t="s">
        <v>179</v>
      </c>
      <c r="D3891" s="8" t="s">
        <v>26</v>
      </c>
      <c r="E3891" s="8" t="s">
        <v>18018</v>
      </c>
      <c r="F3891" s="8">
        <v>5.530698384E9</v>
      </c>
      <c r="G3891" s="8" t="s">
        <v>31</v>
      </c>
      <c r="H3891" s="8" t="s">
        <v>292</v>
      </c>
      <c r="I3891" s="8" t="s">
        <v>127</v>
      </c>
      <c r="J3891" s="8" t="s">
        <v>159</v>
      </c>
      <c r="K3891" s="10" t="s">
        <v>18019</v>
      </c>
      <c r="L3891" s="8" t="s">
        <v>34</v>
      </c>
      <c r="M3891" s="8" t="s">
        <v>35</v>
      </c>
      <c r="N3891" s="11">
        <v>45258.0</v>
      </c>
      <c r="O3891" s="11">
        <v>45376.0</v>
      </c>
      <c r="P3891" s="11">
        <v>45429.0</v>
      </c>
      <c r="Q3891" s="11"/>
      <c r="R3891" s="11"/>
      <c r="S3891" s="12"/>
      <c r="T3891" s="8" t="s">
        <v>121</v>
      </c>
      <c r="U3891" s="8" t="s">
        <v>18020</v>
      </c>
      <c r="V3891" s="13" t="s">
        <v>292</v>
      </c>
      <c r="W3891" s="13" t="s">
        <v>18021</v>
      </c>
      <c r="X3891" s="12"/>
      <c r="Y3891" s="14"/>
      <c r="Z3891" s="14"/>
    </row>
    <row r="3892">
      <c r="A3892" s="8" t="s">
        <v>18022</v>
      </c>
      <c r="B3892" s="8" t="s">
        <v>18023</v>
      </c>
      <c r="C3892" s="8" t="s">
        <v>179</v>
      </c>
      <c r="D3892" s="8" t="s">
        <v>26</v>
      </c>
      <c r="E3892" s="8" t="s">
        <v>18024</v>
      </c>
      <c r="F3892" s="8">
        <v>5.31855928E9</v>
      </c>
      <c r="G3892" s="8" t="s">
        <v>31</v>
      </c>
      <c r="H3892" s="8" t="s">
        <v>77</v>
      </c>
      <c r="I3892" s="8" t="s">
        <v>284</v>
      </c>
      <c r="J3892" s="8" t="s">
        <v>1287</v>
      </c>
      <c r="K3892" s="10" t="s">
        <v>18025</v>
      </c>
      <c r="L3892" s="8" t="s">
        <v>58</v>
      </c>
      <c r="M3892" s="8" t="s">
        <v>35</v>
      </c>
      <c r="N3892" s="11">
        <v>45258.0</v>
      </c>
      <c r="O3892" s="11">
        <v>45323.0</v>
      </c>
      <c r="P3892" s="11">
        <v>45365.0</v>
      </c>
      <c r="Q3892" s="11"/>
      <c r="R3892" s="11"/>
      <c r="S3892" s="12"/>
      <c r="T3892" s="8"/>
      <c r="U3892" s="8" t="s">
        <v>59</v>
      </c>
      <c r="V3892" s="13" t="s">
        <v>77</v>
      </c>
      <c r="W3892" s="13" t="s">
        <v>18026</v>
      </c>
      <c r="X3892" s="12"/>
      <c r="Y3892" s="14"/>
      <c r="Z3892" s="14"/>
    </row>
    <row r="3893">
      <c r="A3893" s="8" t="s">
        <v>18027</v>
      </c>
      <c r="B3893" s="8" t="s">
        <v>18028</v>
      </c>
      <c r="C3893" s="8" t="s">
        <v>179</v>
      </c>
      <c r="D3893" s="8" t="s">
        <v>26</v>
      </c>
      <c r="E3893" s="8" t="s">
        <v>18029</v>
      </c>
      <c r="F3893" s="8">
        <v>5.337173053E9</v>
      </c>
      <c r="G3893" s="8" t="s">
        <v>31</v>
      </c>
      <c r="H3893" s="8" t="s">
        <v>66</v>
      </c>
      <c r="I3893" s="8" t="s">
        <v>284</v>
      </c>
      <c r="J3893" s="8" t="s">
        <v>1450</v>
      </c>
      <c r="K3893" s="10" t="s">
        <v>11291</v>
      </c>
      <c r="L3893" s="8" t="s">
        <v>58</v>
      </c>
      <c r="M3893" s="8" t="s">
        <v>35</v>
      </c>
      <c r="N3893" s="11">
        <v>45258.0</v>
      </c>
      <c r="O3893" s="11">
        <v>45474.0</v>
      </c>
      <c r="P3893" s="11">
        <v>45516.0</v>
      </c>
      <c r="Q3893" s="11"/>
      <c r="R3893" s="11"/>
      <c r="S3893" s="12"/>
      <c r="T3893" s="8"/>
      <c r="U3893" s="8" t="s">
        <v>1038</v>
      </c>
      <c r="V3893" s="13" t="s">
        <v>66</v>
      </c>
      <c r="W3893" s="13" t="s">
        <v>18030</v>
      </c>
      <c r="X3893" s="12"/>
      <c r="Y3893" s="14"/>
      <c r="Z3893" s="14"/>
    </row>
    <row r="3894">
      <c r="A3894" s="8" t="s">
        <v>18031</v>
      </c>
      <c r="B3894" s="8" t="s">
        <v>18032</v>
      </c>
      <c r="C3894" s="8" t="s">
        <v>179</v>
      </c>
      <c r="D3894" s="8" t="s">
        <v>26</v>
      </c>
      <c r="E3894" s="8" t="s">
        <v>18033</v>
      </c>
      <c r="F3894" s="8">
        <v>5.515519792E9</v>
      </c>
      <c r="G3894" s="8" t="s">
        <v>31</v>
      </c>
      <c r="H3894" s="8" t="s">
        <v>66</v>
      </c>
      <c r="I3894" s="8" t="s">
        <v>284</v>
      </c>
      <c r="J3894" s="8" t="s">
        <v>1450</v>
      </c>
      <c r="K3894" s="10" t="s">
        <v>11291</v>
      </c>
      <c r="L3894" s="8" t="s">
        <v>58</v>
      </c>
      <c r="M3894" s="8" t="s">
        <v>35</v>
      </c>
      <c r="N3894" s="11">
        <v>45258.0</v>
      </c>
      <c r="O3894" s="11">
        <v>45474.0</v>
      </c>
      <c r="P3894" s="11">
        <v>45516.0</v>
      </c>
      <c r="Q3894" s="11"/>
      <c r="R3894" s="11"/>
      <c r="S3894" s="12"/>
      <c r="T3894" s="8"/>
      <c r="U3894" s="8" t="s">
        <v>1038</v>
      </c>
      <c r="V3894" s="13" t="s">
        <v>66</v>
      </c>
      <c r="W3894" s="13" t="s">
        <v>18034</v>
      </c>
      <c r="X3894" s="12"/>
      <c r="Y3894" s="14"/>
      <c r="Z3894" s="14"/>
    </row>
    <row r="3895">
      <c r="A3895" s="8" t="s">
        <v>18035</v>
      </c>
      <c r="B3895" s="8" t="s">
        <v>18036</v>
      </c>
      <c r="C3895" s="8" t="s">
        <v>179</v>
      </c>
      <c r="D3895" s="8" t="s">
        <v>26</v>
      </c>
      <c r="E3895" s="8" t="s">
        <v>18037</v>
      </c>
      <c r="F3895" s="8">
        <v>5.307358603E9</v>
      </c>
      <c r="G3895" s="8" t="s">
        <v>31</v>
      </c>
      <c r="H3895" s="8" t="s">
        <v>66</v>
      </c>
      <c r="I3895" s="8" t="s">
        <v>399</v>
      </c>
      <c r="J3895" s="8" t="s">
        <v>4868</v>
      </c>
      <c r="K3895" s="10" t="s">
        <v>4869</v>
      </c>
      <c r="L3895" s="8" t="s">
        <v>58</v>
      </c>
      <c r="M3895" s="8" t="s">
        <v>35</v>
      </c>
      <c r="N3895" s="11">
        <v>45258.0</v>
      </c>
      <c r="O3895" s="11">
        <v>45291.0</v>
      </c>
      <c r="P3895" s="11">
        <v>45333.0</v>
      </c>
      <c r="Q3895" s="11"/>
      <c r="R3895" s="11"/>
      <c r="S3895" s="12"/>
      <c r="T3895" s="8"/>
      <c r="U3895" s="8" t="s">
        <v>4870</v>
      </c>
      <c r="V3895" s="13" t="s">
        <v>66</v>
      </c>
      <c r="W3895" s="13" t="s">
        <v>18038</v>
      </c>
      <c r="X3895" s="12"/>
      <c r="Y3895" s="14"/>
      <c r="Z3895" s="14"/>
    </row>
    <row r="3896">
      <c r="A3896" s="8" t="s">
        <v>18039</v>
      </c>
      <c r="B3896" s="8" t="s">
        <v>18040</v>
      </c>
      <c r="C3896" s="8" t="s">
        <v>179</v>
      </c>
      <c r="D3896" s="8" t="s">
        <v>26</v>
      </c>
      <c r="E3896" s="8" t="s">
        <v>18041</v>
      </c>
      <c r="F3896" s="8"/>
      <c r="G3896" s="8" t="s">
        <v>31</v>
      </c>
      <c r="H3896" s="8" t="s">
        <v>959</v>
      </c>
      <c r="I3896" s="8" t="s">
        <v>54</v>
      </c>
      <c r="J3896" s="8" t="s">
        <v>244</v>
      </c>
      <c r="K3896" s="10" t="s">
        <v>10183</v>
      </c>
      <c r="L3896" s="8" t="s">
        <v>34</v>
      </c>
      <c r="M3896" s="8" t="s">
        <v>35</v>
      </c>
      <c r="N3896" s="11">
        <v>45258.0</v>
      </c>
      <c r="O3896" s="11">
        <v>45474.0</v>
      </c>
      <c r="P3896" s="11">
        <v>45516.0</v>
      </c>
      <c r="Q3896" s="11"/>
      <c r="R3896" s="11"/>
      <c r="S3896" s="12"/>
      <c r="T3896" s="8" t="s">
        <v>1187</v>
      </c>
      <c r="U3896" s="8" t="s">
        <v>10184</v>
      </c>
      <c r="V3896" s="13" t="s">
        <v>38</v>
      </c>
      <c r="W3896" s="13" t="s">
        <v>18042</v>
      </c>
      <c r="X3896" s="12"/>
      <c r="Y3896" s="14"/>
      <c r="Z3896" s="14"/>
    </row>
    <row r="3897">
      <c r="A3897" s="8" t="s">
        <v>18043</v>
      </c>
      <c r="B3897" s="8" t="s">
        <v>16293</v>
      </c>
      <c r="C3897" s="8" t="s">
        <v>708</v>
      </c>
      <c r="D3897" s="8" t="s">
        <v>26</v>
      </c>
      <c r="E3897" s="8" t="s">
        <v>16294</v>
      </c>
      <c r="F3897" s="8">
        <v>1.211828542E9</v>
      </c>
      <c r="G3897" s="8" t="s">
        <v>284</v>
      </c>
      <c r="H3897" s="8" t="s">
        <v>673</v>
      </c>
      <c r="I3897" s="8" t="s">
        <v>31</v>
      </c>
      <c r="J3897" s="8" t="s">
        <v>542</v>
      </c>
      <c r="K3897" s="10" t="s">
        <v>12954</v>
      </c>
      <c r="L3897" s="8" t="s">
        <v>58</v>
      </c>
      <c r="M3897" s="8" t="s">
        <v>35</v>
      </c>
      <c r="N3897" s="11">
        <v>45258.0</v>
      </c>
      <c r="O3897" s="11">
        <v>45271.0</v>
      </c>
      <c r="P3897" s="11">
        <v>45313.0</v>
      </c>
      <c r="Q3897" s="11">
        <v>45289.0</v>
      </c>
      <c r="R3897" s="11">
        <v>45331.0</v>
      </c>
      <c r="S3897" s="12"/>
      <c r="T3897" s="8"/>
      <c r="U3897" s="8" t="s">
        <v>161</v>
      </c>
      <c r="V3897" s="13" t="s">
        <v>674</v>
      </c>
      <c r="W3897" s="13" t="s">
        <v>16295</v>
      </c>
      <c r="X3897" s="12"/>
      <c r="Y3897" s="14"/>
      <c r="Z3897" s="14"/>
    </row>
    <row r="3898">
      <c r="A3898" s="8" t="s">
        <v>18044</v>
      </c>
      <c r="B3898" s="8" t="s">
        <v>18045</v>
      </c>
      <c r="C3898" s="8" t="s">
        <v>179</v>
      </c>
      <c r="D3898" s="8" t="s">
        <v>26</v>
      </c>
      <c r="E3898" s="8" t="s">
        <v>18046</v>
      </c>
      <c r="F3898" s="8">
        <v>5.557565915E9</v>
      </c>
      <c r="G3898" s="8" t="s">
        <v>31</v>
      </c>
      <c r="H3898" s="8" t="s">
        <v>102</v>
      </c>
      <c r="I3898" s="8" t="s">
        <v>127</v>
      </c>
      <c r="J3898" s="8" t="s">
        <v>159</v>
      </c>
      <c r="K3898" s="10" t="s">
        <v>18047</v>
      </c>
      <c r="L3898" s="8" t="s">
        <v>58</v>
      </c>
      <c r="M3898" s="8" t="s">
        <v>35</v>
      </c>
      <c r="N3898" s="11">
        <v>45258.0</v>
      </c>
      <c r="O3898" s="11">
        <v>45474.0</v>
      </c>
      <c r="P3898" s="11">
        <v>45516.0</v>
      </c>
      <c r="Q3898" s="11"/>
      <c r="R3898" s="11"/>
      <c r="S3898" s="12"/>
      <c r="T3898" s="8"/>
      <c r="U3898" s="8" t="s">
        <v>161</v>
      </c>
      <c r="V3898" s="13" t="s">
        <v>102</v>
      </c>
      <c r="W3898" s="13" t="s">
        <v>18048</v>
      </c>
      <c r="X3898" s="12"/>
      <c r="Y3898" s="14"/>
      <c r="Z3898" s="14"/>
    </row>
    <row r="3899">
      <c r="A3899" s="8" t="s">
        <v>18049</v>
      </c>
      <c r="B3899" s="8" t="s">
        <v>18050</v>
      </c>
      <c r="C3899" s="8" t="s">
        <v>179</v>
      </c>
      <c r="D3899" s="8" t="s">
        <v>26</v>
      </c>
      <c r="E3899" s="8" t="s">
        <v>18051</v>
      </c>
      <c r="F3899" s="8">
        <v>5.449178344E9</v>
      </c>
      <c r="G3899" s="8" t="s">
        <v>31</v>
      </c>
      <c r="H3899" s="8" t="s">
        <v>542</v>
      </c>
      <c r="I3899" s="8" t="s">
        <v>230</v>
      </c>
      <c r="J3899" s="8" t="s">
        <v>231</v>
      </c>
      <c r="K3899" s="10" t="s">
        <v>18052</v>
      </c>
      <c r="L3899" s="8" t="s">
        <v>47</v>
      </c>
      <c r="M3899" s="8" t="s">
        <v>70</v>
      </c>
      <c r="N3899" s="11">
        <v>45258.0</v>
      </c>
      <c r="O3899" s="11">
        <v>45272.0</v>
      </c>
      <c r="P3899" s="11">
        <v>45473.0</v>
      </c>
      <c r="Q3899" s="11"/>
      <c r="R3899" s="11"/>
      <c r="S3899" s="12"/>
      <c r="T3899" s="8"/>
      <c r="U3899" s="8" t="s">
        <v>18053</v>
      </c>
      <c r="V3899" s="13" t="s">
        <v>545</v>
      </c>
      <c r="W3899" s="13" t="s">
        <v>18054</v>
      </c>
      <c r="X3899" s="12"/>
      <c r="Y3899" s="14"/>
      <c r="Z3899" s="14"/>
    </row>
    <row r="3900">
      <c r="A3900" s="8" t="s">
        <v>18055</v>
      </c>
      <c r="B3900" s="8" t="s">
        <v>18056</v>
      </c>
      <c r="C3900" s="8" t="s">
        <v>179</v>
      </c>
      <c r="D3900" s="8" t="s">
        <v>26</v>
      </c>
      <c r="E3900" s="8" t="s">
        <v>18057</v>
      </c>
      <c r="F3900" s="8">
        <v>4.43471E7</v>
      </c>
      <c r="G3900" s="8" t="s">
        <v>54</v>
      </c>
      <c r="H3900" s="8" t="s">
        <v>76</v>
      </c>
      <c r="I3900" s="8" t="s">
        <v>31</v>
      </c>
      <c r="J3900" s="8" t="s">
        <v>77</v>
      </c>
      <c r="K3900" s="10" t="s">
        <v>16181</v>
      </c>
      <c r="L3900" s="8" t="s">
        <v>58</v>
      </c>
      <c r="M3900" s="8" t="s">
        <v>35</v>
      </c>
      <c r="N3900" s="11">
        <v>45258.0</v>
      </c>
      <c r="O3900" s="11">
        <v>45481.0</v>
      </c>
      <c r="P3900" s="11">
        <v>45523.0</v>
      </c>
      <c r="Q3900" s="11"/>
      <c r="R3900" s="11"/>
      <c r="S3900" s="12"/>
      <c r="T3900" s="8"/>
      <c r="U3900" s="8" t="s">
        <v>59</v>
      </c>
      <c r="V3900" s="13" t="s">
        <v>3496</v>
      </c>
      <c r="W3900" s="13" t="s">
        <v>18058</v>
      </c>
      <c r="X3900" s="12"/>
      <c r="Y3900" s="14"/>
      <c r="Z3900" s="14"/>
    </row>
    <row r="3901">
      <c r="A3901" s="8" t="s">
        <v>18059</v>
      </c>
      <c r="B3901" s="8" t="s">
        <v>18060</v>
      </c>
      <c r="C3901" s="8" t="s">
        <v>179</v>
      </c>
      <c r="D3901" s="8" t="s">
        <v>26</v>
      </c>
      <c r="E3901" s="8" t="s">
        <v>18061</v>
      </c>
      <c r="F3901" s="8">
        <v>2.9497672E7</v>
      </c>
      <c r="G3901" s="8" t="s">
        <v>54</v>
      </c>
      <c r="H3901" s="8" t="s">
        <v>377</v>
      </c>
      <c r="I3901" s="8" t="s">
        <v>31</v>
      </c>
      <c r="J3901" s="8" t="s">
        <v>86</v>
      </c>
      <c r="K3901" s="10" t="s">
        <v>7325</v>
      </c>
      <c r="L3901" s="8" t="s">
        <v>58</v>
      </c>
      <c r="M3901" s="8" t="s">
        <v>35</v>
      </c>
      <c r="N3901" s="11">
        <v>45258.0</v>
      </c>
      <c r="O3901" s="11">
        <v>45476.0</v>
      </c>
      <c r="P3901" s="11">
        <v>45518.0</v>
      </c>
      <c r="Q3901" s="11"/>
      <c r="R3901" s="11"/>
      <c r="S3901" s="12"/>
      <c r="T3901" s="8"/>
      <c r="U3901" s="8" t="s">
        <v>59</v>
      </c>
      <c r="V3901" s="13" t="s">
        <v>3491</v>
      </c>
      <c r="W3901" s="13" t="s">
        <v>18062</v>
      </c>
      <c r="X3901" s="12"/>
      <c r="Y3901" s="14"/>
      <c r="Z3901" s="14"/>
    </row>
    <row r="3902">
      <c r="A3902" s="8" t="s">
        <v>18063</v>
      </c>
      <c r="B3902" s="8" t="s">
        <v>18064</v>
      </c>
      <c r="C3902" s="8" t="s">
        <v>179</v>
      </c>
      <c r="D3902" s="8" t="s">
        <v>26</v>
      </c>
      <c r="E3902" s="8" t="s">
        <v>18065</v>
      </c>
      <c r="F3902" s="8">
        <v>5.30840398E9</v>
      </c>
      <c r="G3902" s="8" t="s">
        <v>31</v>
      </c>
      <c r="H3902" s="8" t="s">
        <v>542</v>
      </c>
      <c r="I3902" s="8" t="s">
        <v>284</v>
      </c>
      <c r="J3902" s="8" t="s">
        <v>3188</v>
      </c>
      <c r="K3902" s="10" t="s">
        <v>18066</v>
      </c>
      <c r="L3902" s="8" t="s">
        <v>47</v>
      </c>
      <c r="M3902" s="8" t="s">
        <v>35</v>
      </c>
      <c r="N3902" s="11">
        <v>45258.0</v>
      </c>
      <c r="O3902" s="11">
        <v>45505.0</v>
      </c>
      <c r="P3902" s="11">
        <v>45568.0</v>
      </c>
      <c r="Q3902" s="11"/>
      <c r="R3902" s="11"/>
      <c r="S3902" s="12"/>
      <c r="T3902" s="8"/>
      <c r="U3902" s="8" t="s">
        <v>18067</v>
      </c>
      <c r="V3902" s="13" t="s">
        <v>545</v>
      </c>
      <c r="W3902" s="13" t="s">
        <v>18068</v>
      </c>
      <c r="X3902" s="12"/>
      <c r="Y3902" s="14"/>
      <c r="Z3902" s="14"/>
    </row>
    <row r="3903">
      <c r="A3903" s="8" t="s">
        <v>18069</v>
      </c>
      <c r="B3903" s="8" t="s">
        <v>18070</v>
      </c>
      <c r="C3903" s="8" t="s">
        <v>708</v>
      </c>
      <c r="D3903" s="8" t="s">
        <v>26</v>
      </c>
      <c r="E3903" s="8" t="s">
        <v>18071</v>
      </c>
      <c r="F3903" s="8"/>
      <c r="G3903" s="8" t="s">
        <v>31</v>
      </c>
      <c r="H3903" s="8" t="s">
        <v>86</v>
      </c>
      <c r="I3903" s="8" t="s">
        <v>221</v>
      </c>
      <c r="J3903" s="8" t="s">
        <v>3050</v>
      </c>
      <c r="K3903" s="10" t="s">
        <v>17218</v>
      </c>
      <c r="L3903" s="8" t="s">
        <v>58</v>
      </c>
      <c r="M3903" s="8" t="s">
        <v>35</v>
      </c>
      <c r="N3903" s="11">
        <v>45258.0</v>
      </c>
      <c r="O3903" s="11">
        <v>45313.0</v>
      </c>
      <c r="P3903" s="11">
        <v>45355.0</v>
      </c>
      <c r="Q3903" s="11">
        <v>45313.0</v>
      </c>
      <c r="R3903" s="11">
        <v>45355.0</v>
      </c>
      <c r="S3903" s="12"/>
      <c r="T3903" s="8"/>
      <c r="U3903" s="8" t="s">
        <v>371</v>
      </c>
      <c r="V3903" s="13" t="s">
        <v>38</v>
      </c>
      <c r="W3903" s="13" t="s">
        <v>18072</v>
      </c>
      <c r="X3903" s="12"/>
      <c r="Y3903" s="14"/>
      <c r="Z3903" s="14"/>
    </row>
    <row r="3904">
      <c r="A3904" s="8" t="s">
        <v>18073</v>
      </c>
      <c r="B3904" s="8" t="s">
        <v>18074</v>
      </c>
      <c r="C3904" s="8" t="s">
        <v>179</v>
      </c>
      <c r="D3904" s="8" t="s">
        <v>26</v>
      </c>
      <c r="E3904" s="8" t="s">
        <v>18075</v>
      </c>
      <c r="F3904" s="8">
        <v>5.453753341E9</v>
      </c>
      <c r="G3904" s="8" t="s">
        <v>31</v>
      </c>
      <c r="H3904" s="8" t="s">
        <v>542</v>
      </c>
      <c r="I3904" s="8" t="s">
        <v>284</v>
      </c>
      <c r="J3904" s="8" t="s">
        <v>285</v>
      </c>
      <c r="K3904" s="10" t="s">
        <v>7771</v>
      </c>
      <c r="L3904" s="8" t="s">
        <v>58</v>
      </c>
      <c r="M3904" s="8" t="s">
        <v>35</v>
      </c>
      <c r="N3904" s="11">
        <v>45259.0</v>
      </c>
      <c r="O3904" s="11">
        <v>45474.0</v>
      </c>
      <c r="P3904" s="11">
        <v>45516.0</v>
      </c>
      <c r="Q3904" s="11"/>
      <c r="R3904" s="11"/>
      <c r="S3904" s="12"/>
      <c r="T3904" s="8"/>
      <c r="U3904" s="8" t="s">
        <v>185</v>
      </c>
      <c r="V3904" s="13" t="s">
        <v>545</v>
      </c>
      <c r="W3904" s="13" t="s">
        <v>18076</v>
      </c>
      <c r="X3904" s="12"/>
      <c r="Y3904" s="14"/>
      <c r="Z3904" s="14"/>
    </row>
    <row r="3905">
      <c r="A3905" s="8" t="s">
        <v>18077</v>
      </c>
      <c r="B3905" s="8" t="s">
        <v>5100</v>
      </c>
      <c r="C3905" s="8" t="s">
        <v>179</v>
      </c>
      <c r="D3905" s="8" t="s">
        <v>26</v>
      </c>
      <c r="E3905" s="8" t="s">
        <v>5101</v>
      </c>
      <c r="F3905" s="8">
        <v>5.078551745E9</v>
      </c>
      <c r="G3905" s="8" t="s">
        <v>31</v>
      </c>
      <c r="H3905" s="8" t="s">
        <v>542</v>
      </c>
      <c r="I3905" s="8" t="s">
        <v>284</v>
      </c>
      <c r="J3905" s="8" t="s">
        <v>285</v>
      </c>
      <c r="K3905" s="10" t="s">
        <v>7771</v>
      </c>
      <c r="L3905" s="8" t="s">
        <v>58</v>
      </c>
      <c r="M3905" s="8" t="s">
        <v>35</v>
      </c>
      <c r="N3905" s="11">
        <v>45259.0</v>
      </c>
      <c r="O3905" s="11">
        <v>45474.0</v>
      </c>
      <c r="P3905" s="11">
        <v>45516.0</v>
      </c>
      <c r="Q3905" s="11"/>
      <c r="R3905" s="11"/>
      <c r="S3905" s="12"/>
      <c r="T3905" s="8"/>
      <c r="U3905" s="8" t="s">
        <v>185</v>
      </c>
      <c r="V3905" s="13" t="s">
        <v>545</v>
      </c>
      <c r="W3905" s="13" t="s">
        <v>5102</v>
      </c>
      <c r="X3905" s="12"/>
      <c r="Y3905" s="14"/>
      <c r="Z3905" s="14"/>
    </row>
    <row r="3906">
      <c r="A3906" s="8" t="s">
        <v>18078</v>
      </c>
      <c r="B3906" s="8" t="s">
        <v>18079</v>
      </c>
      <c r="C3906" s="8" t="s">
        <v>179</v>
      </c>
      <c r="D3906" s="8" t="s">
        <v>26</v>
      </c>
      <c r="E3906" s="8" t="s">
        <v>18080</v>
      </c>
      <c r="F3906" s="8">
        <v>5.422438846E9</v>
      </c>
      <c r="G3906" s="8" t="s">
        <v>31</v>
      </c>
      <c r="H3906" s="8" t="s">
        <v>542</v>
      </c>
      <c r="I3906" s="8" t="s">
        <v>284</v>
      </c>
      <c r="J3906" s="8" t="s">
        <v>285</v>
      </c>
      <c r="K3906" s="10" t="s">
        <v>7771</v>
      </c>
      <c r="L3906" s="8" t="s">
        <v>58</v>
      </c>
      <c r="M3906" s="8" t="s">
        <v>35</v>
      </c>
      <c r="N3906" s="11">
        <v>45259.0</v>
      </c>
      <c r="O3906" s="11">
        <v>45474.0</v>
      </c>
      <c r="P3906" s="11">
        <v>45516.0</v>
      </c>
      <c r="Q3906" s="11"/>
      <c r="R3906" s="11"/>
      <c r="S3906" s="12"/>
      <c r="T3906" s="8"/>
      <c r="U3906" s="8" t="s">
        <v>185</v>
      </c>
      <c r="V3906" s="13" t="s">
        <v>545</v>
      </c>
      <c r="W3906" s="13" t="s">
        <v>18081</v>
      </c>
      <c r="X3906" s="12"/>
      <c r="Y3906" s="14"/>
      <c r="Z3906" s="14"/>
    </row>
    <row r="3907">
      <c r="A3907" s="8" t="s">
        <v>18082</v>
      </c>
      <c r="B3907" s="8" t="s">
        <v>18083</v>
      </c>
      <c r="C3907" s="8" t="s">
        <v>179</v>
      </c>
      <c r="D3907" s="8" t="s">
        <v>26</v>
      </c>
      <c r="E3907" s="8" t="s">
        <v>18084</v>
      </c>
      <c r="F3907" s="8">
        <v>5.396536124E9</v>
      </c>
      <c r="G3907" s="8" t="s">
        <v>31</v>
      </c>
      <c r="H3907" s="8" t="s">
        <v>542</v>
      </c>
      <c r="I3907" s="8" t="s">
        <v>127</v>
      </c>
      <c r="J3907" s="8" t="s">
        <v>2182</v>
      </c>
      <c r="K3907" s="10" t="s">
        <v>17487</v>
      </c>
      <c r="L3907" s="8" t="s">
        <v>58</v>
      </c>
      <c r="M3907" s="8" t="s">
        <v>35</v>
      </c>
      <c r="N3907" s="11">
        <v>45259.0</v>
      </c>
      <c r="O3907" s="11">
        <v>45334.0</v>
      </c>
      <c r="P3907" s="11">
        <v>45376.0</v>
      </c>
      <c r="Q3907" s="11"/>
      <c r="R3907" s="11"/>
      <c r="S3907" s="12"/>
      <c r="T3907" s="8"/>
      <c r="U3907" s="8" t="s">
        <v>1956</v>
      </c>
      <c r="V3907" s="13" t="s">
        <v>545</v>
      </c>
      <c r="W3907" s="13" t="s">
        <v>18085</v>
      </c>
      <c r="X3907" s="12"/>
      <c r="Y3907" s="14"/>
      <c r="Z3907" s="14"/>
    </row>
    <row r="3908">
      <c r="A3908" s="8" t="s">
        <v>18086</v>
      </c>
      <c r="B3908" s="8" t="s">
        <v>18087</v>
      </c>
      <c r="C3908" s="8" t="s">
        <v>179</v>
      </c>
      <c r="D3908" s="8" t="s">
        <v>26</v>
      </c>
      <c r="E3908" s="8" t="s">
        <v>18088</v>
      </c>
      <c r="F3908" s="8">
        <v>5.438664651E9</v>
      </c>
      <c r="G3908" s="8" t="s">
        <v>31</v>
      </c>
      <c r="H3908" s="8" t="s">
        <v>542</v>
      </c>
      <c r="I3908" s="8" t="s">
        <v>284</v>
      </c>
      <c r="J3908" s="8" t="s">
        <v>691</v>
      </c>
      <c r="K3908" s="10" t="s">
        <v>18089</v>
      </c>
      <c r="L3908" s="8" t="s">
        <v>58</v>
      </c>
      <c r="M3908" s="8" t="s">
        <v>35</v>
      </c>
      <c r="N3908" s="11">
        <v>45259.0</v>
      </c>
      <c r="O3908" s="11">
        <v>45323.0</v>
      </c>
      <c r="P3908" s="11">
        <v>45366.0</v>
      </c>
      <c r="Q3908" s="11"/>
      <c r="R3908" s="11"/>
      <c r="S3908" s="12"/>
      <c r="T3908" s="8"/>
      <c r="U3908" s="8" t="s">
        <v>1590</v>
      </c>
      <c r="V3908" s="13" t="s">
        <v>545</v>
      </c>
      <c r="W3908" s="13" t="s">
        <v>18090</v>
      </c>
      <c r="X3908" s="12"/>
      <c r="Y3908" s="14"/>
      <c r="Z3908" s="14"/>
    </row>
    <row r="3909">
      <c r="A3909" s="8" t="s">
        <v>18091</v>
      </c>
      <c r="B3909" s="8" t="s">
        <v>18092</v>
      </c>
      <c r="C3909" s="8" t="s">
        <v>179</v>
      </c>
      <c r="D3909" s="8" t="s">
        <v>26</v>
      </c>
      <c r="E3909" s="8" t="s">
        <v>18093</v>
      </c>
      <c r="F3909" s="8">
        <v>5.360658205E9</v>
      </c>
      <c r="G3909" s="8" t="s">
        <v>31</v>
      </c>
      <c r="H3909" s="8" t="s">
        <v>66</v>
      </c>
      <c r="I3909" s="8" t="s">
        <v>284</v>
      </c>
      <c r="J3909" s="8" t="s">
        <v>1450</v>
      </c>
      <c r="K3909" s="10" t="s">
        <v>11291</v>
      </c>
      <c r="L3909" s="8" t="s">
        <v>58</v>
      </c>
      <c r="M3909" s="8" t="s">
        <v>35</v>
      </c>
      <c r="N3909" s="11">
        <v>45259.0</v>
      </c>
      <c r="O3909" s="11">
        <v>45474.0</v>
      </c>
      <c r="P3909" s="11">
        <v>45516.0</v>
      </c>
      <c r="Q3909" s="11"/>
      <c r="R3909" s="11"/>
      <c r="S3909" s="12"/>
      <c r="T3909" s="8"/>
      <c r="U3909" s="8" t="s">
        <v>1038</v>
      </c>
      <c r="V3909" s="13" t="s">
        <v>66</v>
      </c>
      <c r="W3909" s="13" t="s">
        <v>18094</v>
      </c>
      <c r="X3909" s="12"/>
      <c r="Y3909" s="14"/>
      <c r="Z3909" s="14"/>
    </row>
    <row r="3910">
      <c r="A3910" s="8" t="s">
        <v>18095</v>
      </c>
      <c r="B3910" s="8" t="s">
        <v>18096</v>
      </c>
      <c r="C3910" s="8" t="s">
        <v>179</v>
      </c>
      <c r="D3910" s="8" t="s">
        <v>26</v>
      </c>
      <c r="E3910" s="8" t="s">
        <v>18097</v>
      </c>
      <c r="F3910" s="8">
        <v>5.31950387E9</v>
      </c>
      <c r="G3910" s="8" t="s">
        <v>31</v>
      </c>
      <c r="H3910" s="8" t="s">
        <v>111</v>
      </c>
      <c r="I3910" s="8" t="s">
        <v>284</v>
      </c>
      <c r="J3910" s="8" t="s">
        <v>3188</v>
      </c>
      <c r="K3910" s="10" t="s">
        <v>15640</v>
      </c>
      <c r="L3910" s="8" t="s">
        <v>34</v>
      </c>
      <c r="M3910" s="8" t="s">
        <v>35</v>
      </c>
      <c r="N3910" s="11">
        <v>45259.0</v>
      </c>
      <c r="O3910" s="11">
        <v>45474.0</v>
      </c>
      <c r="P3910" s="11">
        <v>45516.0</v>
      </c>
      <c r="Q3910" s="11"/>
      <c r="R3910" s="11"/>
      <c r="S3910" s="12"/>
      <c r="T3910" s="8" t="s">
        <v>205</v>
      </c>
      <c r="U3910" s="8" t="s">
        <v>15641</v>
      </c>
      <c r="V3910" s="13" t="s">
        <v>111</v>
      </c>
      <c r="W3910" s="13" t="s">
        <v>18098</v>
      </c>
      <c r="X3910" s="12"/>
      <c r="Y3910" s="14"/>
      <c r="Z3910" s="14"/>
    </row>
    <row r="3911">
      <c r="A3911" s="8" t="s">
        <v>18099</v>
      </c>
      <c r="B3911" s="8" t="s">
        <v>7511</v>
      </c>
      <c r="C3911" s="8" t="s">
        <v>179</v>
      </c>
      <c r="D3911" s="8" t="s">
        <v>26</v>
      </c>
      <c r="E3911" s="8" t="s">
        <v>18100</v>
      </c>
      <c r="F3911" s="8">
        <v>5.436233549E9</v>
      </c>
      <c r="G3911" s="8" t="s">
        <v>31</v>
      </c>
      <c r="H3911" s="8" t="s">
        <v>220</v>
      </c>
      <c r="I3911" s="8" t="s">
        <v>54</v>
      </c>
      <c r="J3911" s="8" t="s">
        <v>237</v>
      </c>
      <c r="K3911" s="10" t="s">
        <v>16485</v>
      </c>
      <c r="L3911" s="8" t="s">
        <v>58</v>
      </c>
      <c r="M3911" s="8" t="s">
        <v>35</v>
      </c>
      <c r="N3911" s="11">
        <v>45259.0</v>
      </c>
      <c r="O3911" s="11">
        <v>45389.0</v>
      </c>
      <c r="P3911" s="11">
        <v>45431.0</v>
      </c>
      <c r="Q3911" s="11"/>
      <c r="R3911" s="11"/>
      <c r="S3911" s="12"/>
      <c r="T3911" s="8"/>
      <c r="U3911" s="8" t="s">
        <v>1590</v>
      </c>
      <c r="V3911" s="13" t="s">
        <v>6229</v>
      </c>
      <c r="W3911" s="13" t="s">
        <v>18101</v>
      </c>
      <c r="X3911" s="12"/>
      <c r="Y3911" s="14"/>
      <c r="Z3911" s="14"/>
    </row>
    <row r="3912">
      <c r="A3912" s="8" t="s">
        <v>18102</v>
      </c>
      <c r="B3912" s="8" t="s">
        <v>18103</v>
      </c>
      <c r="C3912" s="8" t="s">
        <v>179</v>
      </c>
      <c r="D3912" s="8" t="s">
        <v>26</v>
      </c>
      <c r="E3912" s="8" t="s">
        <v>18104</v>
      </c>
      <c r="F3912" s="8">
        <v>5.369900057E9</v>
      </c>
      <c r="G3912" s="8" t="s">
        <v>31</v>
      </c>
      <c r="H3912" s="8" t="s">
        <v>1119</v>
      </c>
      <c r="I3912" s="8" t="s">
        <v>67</v>
      </c>
      <c r="J3912" s="8" t="s">
        <v>11448</v>
      </c>
      <c r="K3912" s="10" t="s">
        <v>18105</v>
      </c>
      <c r="L3912" s="8" t="s">
        <v>47</v>
      </c>
      <c r="M3912" s="8" t="s">
        <v>48</v>
      </c>
      <c r="N3912" s="11">
        <v>45259.0</v>
      </c>
      <c r="O3912" s="11">
        <v>45230.0</v>
      </c>
      <c r="P3912" s="11">
        <v>45411.0</v>
      </c>
      <c r="Q3912" s="11"/>
      <c r="R3912" s="11"/>
      <c r="S3912" s="12"/>
      <c r="T3912" s="8"/>
      <c r="U3912" s="8" t="s">
        <v>18106</v>
      </c>
      <c r="V3912" s="13" t="s">
        <v>1119</v>
      </c>
      <c r="W3912" s="13" t="s">
        <v>18107</v>
      </c>
      <c r="X3912" s="12"/>
      <c r="Y3912" s="14"/>
      <c r="Z3912" s="14"/>
    </row>
    <row r="3913">
      <c r="A3913" s="8" t="s">
        <v>18108</v>
      </c>
      <c r="B3913" s="8" t="s">
        <v>18109</v>
      </c>
      <c r="C3913" s="8" t="s">
        <v>179</v>
      </c>
      <c r="D3913" s="8" t="s">
        <v>26</v>
      </c>
      <c r="E3913" s="8" t="s">
        <v>18110</v>
      </c>
      <c r="F3913" s="8">
        <v>9.4766307E7</v>
      </c>
      <c r="G3913" s="8" t="s">
        <v>54</v>
      </c>
      <c r="H3913" s="8" t="s">
        <v>76</v>
      </c>
      <c r="I3913" s="8" t="s">
        <v>31</v>
      </c>
      <c r="J3913" s="8" t="s">
        <v>86</v>
      </c>
      <c r="K3913" s="10" t="s">
        <v>7325</v>
      </c>
      <c r="L3913" s="8" t="s">
        <v>58</v>
      </c>
      <c r="M3913" s="8" t="s">
        <v>35</v>
      </c>
      <c r="N3913" s="11">
        <v>45259.0</v>
      </c>
      <c r="O3913" s="11">
        <v>45444.0</v>
      </c>
      <c r="P3913" s="11">
        <v>45486.0</v>
      </c>
      <c r="Q3913" s="11"/>
      <c r="R3913" s="11"/>
      <c r="S3913" s="12"/>
      <c r="T3913" s="8"/>
      <c r="U3913" s="8" t="s">
        <v>59</v>
      </c>
      <c r="V3913" s="13" t="s">
        <v>3496</v>
      </c>
      <c r="W3913" s="13" t="s">
        <v>18111</v>
      </c>
      <c r="X3913" s="12"/>
      <c r="Y3913" s="14"/>
      <c r="Z3913" s="14"/>
    </row>
    <row r="3914">
      <c r="A3914" s="8" t="s">
        <v>18112</v>
      </c>
      <c r="B3914" s="8" t="s">
        <v>18113</v>
      </c>
      <c r="C3914" s="8" t="s">
        <v>179</v>
      </c>
      <c r="D3914" s="8" t="s">
        <v>26</v>
      </c>
      <c r="E3914" s="8" t="s">
        <v>18114</v>
      </c>
      <c r="F3914" s="8">
        <v>5.538834208E9</v>
      </c>
      <c r="G3914" s="8" t="s">
        <v>31</v>
      </c>
      <c r="H3914" s="8" t="s">
        <v>77</v>
      </c>
      <c r="I3914" s="8" t="s">
        <v>284</v>
      </c>
      <c r="J3914" s="8" t="s">
        <v>3188</v>
      </c>
      <c r="K3914" s="10" t="s">
        <v>18115</v>
      </c>
      <c r="L3914" s="8" t="s">
        <v>58</v>
      </c>
      <c r="M3914" s="8" t="s">
        <v>35</v>
      </c>
      <c r="N3914" s="11">
        <v>45259.0</v>
      </c>
      <c r="O3914" s="11">
        <v>45474.0</v>
      </c>
      <c r="P3914" s="11">
        <v>45516.0</v>
      </c>
      <c r="Q3914" s="11"/>
      <c r="R3914" s="11"/>
      <c r="S3914" s="12"/>
      <c r="T3914" s="8"/>
      <c r="U3914" s="8" t="s">
        <v>371</v>
      </c>
      <c r="V3914" s="13" t="s">
        <v>77</v>
      </c>
      <c r="W3914" s="13" t="s">
        <v>18116</v>
      </c>
      <c r="X3914" s="12"/>
      <c r="Y3914" s="14"/>
      <c r="Z3914" s="14"/>
    </row>
    <row r="3915">
      <c r="A3915" s="8" t="s">
        <v>18117</v>
      </c>
      <c r="B3915" s="8" t="s">
        <v>18118</v>
      </c>
      <c r="C3915" s="8" t="s">
        <v>179</v>
      </c>
      <c r="D3915" s="8" t="s">
        <v>26</v>
      </c>
      <c r="E3915" s="8" t="s">
        <v>18119</v>
      </c>
      <c r="F3915" s="8">
        <v>5.051554717E9</v>
      </c>
      <c r="G3915" s="8" t="s">
        <v>31</v>
      </c>
      <c r="H3915" s="8" t="s">
        <v>256</v>
      </c>
      <c r="I3915" s="8" t="s">
        <v>284</v>
      </c>
      <c r="J3915" s="8" t="s">
        <v>285</v>
      </c>
      <c r="K3915" s="10" t="s">
        <v>3841</v>
      </c>
      <c r="L3915" s="8" t="s">
        <v>58</v>
      </c>
      <c r="M3915" s="8" t="s">
        <v>35</v>
      </c>
      <c r="N3915" s="11">
        <v>45259.0</v>
      </c>
      <c r="O3915" s="11">
        <v>45292.0</v>
      </c>
      <c r="P3915" s="11">
        <v>45334.0</v>
      </c>
      <c r="Q3915" s="11"/>
      <c r="R3915" s="11"/>
      <c r="S3915" s="12"/>
      <c r="T3915" s="8"/>
      <c r="U3915" s="8" t="s">
        <v>1038</v>
      </c>
      <c r="V3915" s="13" t="s">
        <v>256</v>
      </c>
      <c r="W3915" s="13" t="s">
        <v>18120</v>
      </c>
      <c r="X3915" s="12"/>
      <c r="Y3915" s="14"/>
      <c r="Z3915" s="14"/>
    </row>
    <row r="3916">
      <c r="A3916" s="8" t="s">
        <v>18121</v>
      </c>
      <c r="B3916" s="8" t="s">
        <v>18122</v>
      </c>
      <c r="C3916" s="8" t="s">
        <v>708</v>
      </c>
      <c r="D3916" s="8" t="s">
        <v>26</v>
      </c>
      <c r="E3916" s="8" t="s">
        <v>18123</v>
      </c>
      <c r="F3916" s="8">
        <v>6.62716791E8</v>
      </c>
      <c r="G3916" s="8" t="s">
        <v>254</v>
      </c>
      <c r="H3916" s="8" t="s">
        <v>422</v>
      </c>
      <c r="I3916" s="8" t="s">
        <v>31</v>
      </c>
      <c r="J3916" s="8" t="s">
        <v>256</v>
      </c>
      <c r="K3916" s="10" t="s">
        <v>13972</v>
      </c>
      <c r="L3916" s="8" t="s">
        <v>47</v>
      </c>
      <c r="M3916" s="8" t="s">
        <v>70</v>
      </c>
      <c r="N3916" s="11">
        <v>45259.0</v>
      </c>
      <c r="O3916" s="11">
        <v>45283.0</v>
      </c>
      <c r="P3916" s="11">
        <v>45648.0</v>
      </c>
      <c r="Q3916" s="11">
        <v>45260.0</v>
      </c>
      <c r="R3916" s="11">
        <v>45648.0</v>
      </c>
      <c r="S3916" s="12"/>
      <c r="T3916" s="8"/>
      <c r="U3916" s="8" t="s">
        <v>13973</v>
      </c>
      <c r="V3916" s="13" t="s">
        <v>425</v>
      </c>
      <c r="W3916" s="13" t="s">
        <v>18124</v>
      </c>
      <c r="X3916" s="12"/>
      <c r="Y3916" s="14"/>
      <c r="Z3916" s="14"/>
    </row>
    <row r="3917">
      <c r="A3917" s="8" t="s">
        <v>18125</v>
      </c>
      <c r="B3917" s="8" t="s">
        <v>18126</v>
      </c>
      <c r="C3917" s="8" t="s">
        <v>179</v>
      </c>
      <c r="D3917" s="8" t="s">
        <v>26</v>
      </c>
      <c r="E3917" s="8" t="s">
        <v>18127</v>
      </c>
      <c r="F3917" s="8">
        <v>1.110616996E9</v>
      </c>
      <c r="G3917" s="8" t="s">
        <v>284</v>
      </c>
      <c r="H3917" s="8" t="s">
        <v>691</v>
      </c>
      <c r="I3917" s="8" t="s">
        <v>31</v>
      </c>
      <c r="J3917" s="8" t="s">
        <v>43</v>
      </c>
      <c r="K3917" s="10" t="s">
        <v>2922</v>
      </c>
      <c r="L3917" s="8" t="s">
        <v>58</v>
      </c>
      <c r="M3917" s="8" t="s">
        <v>35</v>
      </c>
      <c r="N3917" s="11">
        <v>45259.0</v>
      </c>
      <c r="O3917" s="11">
        <v>45474.0</v>
      </c>
      <c r="P3917" s="11">
        <v>45516.0</v>
      </c>
      <c r="Q3917" s="11"/>
      <c r="R3917" s="11"/>
      <c r="S3917" s="12"/>
      <c r="T3917" s="8"/>
      <c r="U3917" s="8" t="s">
        <v>59</v>
      </c>
      <c r="V3917" s="13" t="s">
        <v>692</v>
      </c>
      <c r="W3917" s="13" t="s">
        <v>18128</v>
      </c>
      <c r="X3917" s="12"/>
      <c r="Y3917" s="14"/>
      <c r="Z3917" s="14"/>
    </row>
    <row r="3918">
      <c r="A3918" s="8" t="s">
        <v>18129</v>
      </c>
      <c r="B3918" s="8" t="s">
        <v>18130</v>
      </c>
      <c r="C3918" s="8" t="s">
        <v>179</v>
      </c>
      <c r="D3918" s="8" t="s">
        <v>26</v>
      </c>
      <c r="E3918" s="8" t="s">
        <v>18131</v>
      </c>
      <c r="F3918" s="8">
        <v>5.378998441E9</v>
      </c>
      <c r="G3918" s="8" t="s">
        <v>31</v>
      </c>
      <c r="H3918" s="8" t="s">
        <v>111</v>
      </c>
      <c r="I3918" s="8" t="s">
        <v>29</v>
      </c>
      <c r="J3918" s="8" t="s">
        <v>5003</v>
      </c>
      <c r="K3918" s="10" t="s">
        <v>18132</v>
      </c>
      <c r="L3918" s="8" t="s">
        <v>58</v>
      </c>
      <c r="M3918" s="8" t="s">
        <v>35</v>
      </c>
      <c r="N3918" s="11">
        <v>45259.0</v>
      </c>
      <c r="O3918" s="11">
        <v>45327.0</v>
      </c>
      <c r="P3918" s="11">
        <v>45369.0</v>
      </c>
      <c r="Q3918" s="11"/>
      <c r="R3918" s="11"/>
      <c r="S3918" s="12"/>
      <c r="T3918" s="8"/>
      <c r="U3918" s="8" t="s">
        <v>59</v>
      </c>
      <c r="V3918" s="13" t="s">
        <v>111</v>
      </c>
      <c r="W3918" s="13" t="s">
        <v>18133</v>
      </c>
      <c r="X3918" s="12"/>
      <c r="Y3918" s="14"/>
      <c r="Z3918" s="14"/>
    </row>
    <row r="3919">
      <c r="A3919" s="8" t="s">
        <v>18134</v>
      </c>
      <c r="B3919" s="8" t="s">
        <v>18135</v>
      </c>
      <c r="C3919" s="8" t="s">
        <v>179</v>
      </c>
      <c r="D3919" s="8" t="s">
        <v>26</v>
      </c>
      <c r="E3919" s="8" t="s">
        <v>18136</v>
      </c>
      <c r="F3919" s="8"/>
      <c r="G3919" s="8" t="s">
        <v>202</v>
      </c>
      <c r="H3919" s="8" t="s">
        <v>17680</v>
      </c>
      <c r="I3919" s="8" t="s">
        <v>31</v>
      </c>
      <c r="J3919" s="8" t="s">
        <v>86</v>
      </c>
      <c r="K3919" s="10" t="s">
        <v>389</v>
      </c>
      <c r="L3919" s="8" t="s">
        <v>58</v>
      </c>
      <c r="M3919" s="8" t="s">
        <v>35</v>
      </c>
      <c r="N3919" s="11">
        <v>45259.0</v>
      </c>
      <c r="O3919" s="11">
        <v>45333.0</v>
      </c>
      <c r="P3919" s="11">
        <v>45375.0</v>
      </c>
      <c r="Q3919" s="11"/>
      <c r="R3919" s="11"/>
      <c r="S3919" s="12"/>
      <c r="T3919" s="8"/>
      <c r="U3919" s="8" t="s">
        <v>153</v>
      </c>
      <c r="V3919" s="13" t="s">
        <v>38</v>
      </c>
      <c r="W3919" s="13" t="s">
        <v>18137</v>
      </c>
      <c r="X3919" s="12"/>
      <c r="Y3919" s="14"/>
      <c r="Z3919" s="14"/>
    </row>
    <row r="3920">
      <c r="A3920" s="8" t="s">
        <v>18138</v>
      </c>
      <c r="B3920" s="8" t="s">
        <v>18139</v>
      </c>
      <c r="C3920" s="8" t="s">
        <v>179</v>
      </c>
      <c r="D3920" s="8" t="s">
        <v>26</v>
      </c>
      <c r="E3920" s="8" t="s">
        <v>18140</v>
      </c>
      <c r="F3920" s="8">
        <v>1.011336411E9</v>
      </c>
      <c r="G3920" s="8" t="s">
        <v>284</v>
      </c>
      <c r="H3920" s="8" t="s">
        <v>691</v>
      </c>
      <c r="I3920" s="8" t="s">
        <v>31</v>
      </c>
      <c r="J3920" s="8" t="s">
        <v>43</v>
      </c>
      <c r="K3920" s="10" t="s">
        <v>2922</v>
      </c>
      <c r="L3920" s="8" t="s">
        <v>58</v>
      </c>
      <c r="M3920" s="8" t="s">
        <v>35</v>
      </c>
      <c r="N3920" s="11">
        <v>45259.0</v>
      </c>
      <c r="O3920" s="11">
        <v>45474.0</v>
      </c>
      <c r="P3920" s="11">
        <v>45516.0</v>
      </c>
      <c r="Q3920" s="11"/>
      <c r="R3920" s="11"/>
      <c r="S3920" s="12"/>
      <c r="T3920" s="8"/>
      <c r="U3920" s="8" t="s">
        <v>59</v>
      </c>
      <c r="V3920" s="13" t="s">
        <v>692</v>
      </c>
      <c r="W3920" s="13" t="s">
        <v>18141</v>
      </c>
      <c r="X3920" s="12"/>
      <c r="Y3920" s="14"/>
      <c r="Z3920" s="14"/>
    </row>
    <row r="3921">
      <c r="A3921" s="8" t="s">
        <v>18142</v>
      </c>
      <c r="B3921" s="8" t="s">
        <v>18143</v>
      </c>
      <c r="C3921" s="8" t="s">
        <v>179</v>
      </c>
      <c r="D3921" s="8" t="s">
        <v>26</v>
      </c>
      <c r="E3921" s="8" t="s">
        <v>18144</v>
      </c>
      <c r="F3921" s="8">
        <v>5.8357022E7</v>
      </c>
      <c r="G3921" s="8" t="s">
        <v>54</v>
      </c>
      <c r="H3921" s="8" t="s">
        <v>135</v>
      </c>
      <c r="I3921" s="8" t="s">
        <v>31</v>
      </c>
      <c r="J3921" s="8" t="s">
        <v>136</v>
      </c>
      <c r="K3921" s="10" t="s">
        <v>5299</v>
      </c>
      <c r="L3921" s="8" t="s">
        <v>58</v>
      </c>
      <c r="M3921" s="8" t="s">
        <v>35</v>
      </c>
      <c r="N3921" s="11">
        <v>45259.0</v>
      </c>
      <c r="O3921" s="11">
        <v>45452.0</v>
      </c>
      <c r="P3921" s="11">
        <v>45494.0</v>
      </c>
      <c r="Q3921" s="11"/>
      <c r="R3921" s="11"/>
      <c r="S3921" s="12"/>
      <c r="T3921" s="8"/>
      <c r="U3921" s="8" t="s">
        <v>59</v>
      </c>
      <c r="V3921" s="13" t="s">
        <v>190</v>
      </c>
      <c r="W3921" s="13" t="s">
        <v>18145</v>
      </c>
      <c r="X3921" s="12"/>
      <c r="Y3921" s="14"/>
      <c r="Z3921" s="14"/>
    </row>
    <row r="3922">
      <c r="A3922" s="8" t="s">
        <v>18146</v>
      </c>
      <c r="B3922" s="8" t="s">
        <v>18147</v>
      </c>
      <c r="C3922" s="8" t="s">
        <v>179</v>
      </c>
      <c r="D3922" s="8" t="s">
        <v>26</v>
      </c>
      <c r="E3922" s="8" t="s">
        <v>18148</v>
      </c>
      <c r="F3922" s="8">
        <v>1.020327586E9</v>
      </c>
      <c r="G3922" s="8" t="s">
        <v>284</v>
      </c>
      <c r="H3922" s="8" t="s">
        <v>1422</v>
      </c>
      <c r="I3922" s="8" t="s">
        <v>31</v>
      </c>
      <c r="J3922" s="8" t="s">
        <v>111</v>
      </c>
      <c r="K3922" s="10" t="s">
        <v>14958</v>
      </c>
      <c r="L3922" s="8" t="s">
        <v>47</v>
      </c>
      <c r="M3922" s="8" t="s">
        <v>70</v>
      </c>
      <c r="N3922" s="11">
        <v>45259.0</v>
      </c>
      <c r="O3922" s="11">
        <v>45264.0</v>
      </c>
      <c r="P3922" s="11">
        <v>45630.0</v>
      </c>
      <c r="Q3922" s="11"/>
      <c r="R3922" s="11"/>
      <c r="S3922" s="12"/>
      <c r="T3922" s="8"/>
      <c r="U3922" s="8" t="s">
        <v>14959</v>
      </c>
      <c r="V3922" s="13" t="s">
        <v>1424</v>
      </c>
      <c r="W3922" s="13" t="s">
        <v>18149</v>
      </c>
      <c r="X3922" s="12"/>
      <c r="Y3922" s="14"/>
      <c r="Z3922" s="14"/>
    </row>
    <row r="3923">
      <c r="A3923" s="8" t="s">
        <v>18150</v>
      </c>
      <c r="B3923" s="8" t="s">
        <v>18151</v>
      </c>
      <c r="C3923" s="8" t="s">
        <v>179</v>
      </c>
      <c r="D3923" s="8" t="s">
        <v>26</v>
      </c>
      <c r="E3923" s="8" t="s">
        <v>18152</v>
      </c>
      <c r="F3923" s="8">
        <v>0.0</v>
      </c>
      <c r="G3923" s="8" t="s">
        <v>31</v>
      </c>
      <c r="H3923" s="8" t="s">
        <v>77</v>
      </c>
      <c r="I3923" s="8" t="s">
        <v>284</v>
      </c>
      <c r="J3923" s="8" t="s">
        <v>1777</v>
      </c>
      <c r="K3923" s="10" t="s">
        <v>16009</v>
      </c>
      <c r="L3923" s="8" t="s">
        <v>58</v>
      </c>
      <c r="M3923" s="8" t="s">
        <v>35</v>
      </c>
      <c r="N3923" s="11">
        <v>45259.0</v>
      </c>
      <c r="O3923" s="11">
        <v>45488.0</v>
      </c>
      <c r="P3923" s="11">
        <v>45530.0</v>
      </c>
      <c r="Q3923" s="11"/>
      <c r="R3923" s="11"/>
      <c r="S3923" s="12"/>
      <c r="T3923" s="8"/>
      <c r="U3923" s="8" t="s">
        <v>153</v>
      </c>
      <c r="V3923" s="13" t="s">
        <v>77</v>
      </c>
      <c r="W3923" s="13" t="s">
        <v>18153</v>
      </c>
      <c r="X3923" s="12"/>
      <c r="Y3923" s="14"/>
      <c r="Z3923" s="14"/>
    </row>
    <row r="3924">
      <c r="A3924" s="8" t="s">
        <v>18154</v>
      </c>
      <c r="B3924" s="8" t="s">
        <v>18155</v>
      </c>
      <c r="C3924" s="8" t="s">
        <v>708</v>
      </c>
      <c r="D3924" s="8" t="s">
        <v>26</v>
      </c>
      <c r="E3924" s="8" t="s">
        <v>18156</v>
      </c>
      <c r="F3924" s="8"/>
      <c r="G3924" s="8" t="s">
        <v>31</v>
      </c>
      <c r="H3924" s="8" t="s">
        <v>292</v>
      </c>
      <c r="I3924" s="8" t="s">
        <v>127</v>
      </c>
      <c r="J3924" s="8" t="s">
        <v>6099</v>
      </c>
      <c r="K3924" s="10" t="s">
        <v>18157</v>
      </c>
      <c r="L3924" s="8" t="s">
        <v>34</v>
      </c>
      <c r="M3924" s="8" t="s">
        <v>35</v>
      </c>
      <c r="N3924" s="11">
        <v>45259.0</v>
      </c>
      <c r="O3924" s="11">
        <v>45312.0</v>
      </c>
      <c r="P3924" s="11">
        <v>45360.0</v>
      </c>
      <c r="Q3924" s="11">
        <v>45320.0</v>
      </c>
      <c r="R3924" s="11">
        <v>45368.0</v>
      </c>
      <c r="S3924" s="12"/>
      <c r="T3924" s="8" t="s">
        <v>446</v>
      </c>
      <c r="U3924" s="8" t="s">
        <v>18158</v>
      </c>
      <c r="V3924" s="13" t="s">
        <v>38</v>
      </c>
      <c r="W3924" s="13" t="s">
        <v>18159</v>
      </c>
      <c r="X3924" s="12"/>
      <c r="Y3924" s="14"/>
      <c r="Z3924" s="14"/>
    </row>
    <row r="3925">
      <c r="A3925" s="8" t="s">
        <v>18160</v>
      </c>
      <c r="B3925" s="8" t="s">
        <v>18161</v>
      </c>
      <c r="C3925" s="8" t="s">
        <v>179</v>
      </c>
      <c r="D3925" s="8" t="s">
        <v>26</v>
      </c>
      <c r="E3925" s="8" t="s">
        <v>18162</v>
      </c>
      <c r="F3925" s="8"/>
      <c r="G3925" s="8" t="s">
        <v>31</v>
      </c>
      <c r="H3925" s="8" t="s">
        <v>66</v>
      </c>
      <c r="I3925" s="8" t="s">
        <v>54</v>
      </c>
      <c r="J3925" s="8" t="s">
        <v>135</v>
      </c>
      <c r="K3925" s="10" t="s">
        <v>18163</v>
      </c>
      <c r="L3925" s="8" t="s">
        <v>58</v>
      </c>
      <c r="M3925" s="8" t="s">
        <v>35</v>
      </c>
      <c r="N3925" s="11">
        <v>45259.0</v>
      </c>
      <c r="O3925" s="11">
        <v>45474.0</v>
      </c>
      <c r="P3925" s="11">
        <v>45516.0</v>
      </c>
      <c r="Q3925" s="11"/>
      <c r="R3925" s="11"/>
      <c r="S3925" s="12"/>
      <c r="T3925" s="8"/>
      <c r="U3925" s="8" t="s">
        <v>1038</v>
      </c>
      <c r="V3925" s="13" t="s">
        <v>38</v>
      </c>
      <c r="W3925" s="13" t="s">
        <v>18164</v>
      </c>
      <c r="X3925" s="12"/>
      <c r="Y3925" s="14"/>
      <c r="Z3925" s="14"/>
    </row>
    <row r="3926">
      <c r="A3926" s="8" t="s">
        <v>18165</v>
      </c>
      <c r="B3926" s="8" t="s">
        <v>18166</v>
      </c>
      <c r="C3926" s="8" t="s">
        <v>179</v>
      </c>
      <c r="D3926" s="8" t="s">
        <v>26</v>
      </c>
      <c r="E3926" s="8" t="s">
        <v>18167</v>
      </c>
      <c r="F3926" s="8"/>
      <c r="G3926" s="8" t="s">
        <v>31</v>
      </c>
      <c r="H3926" s="8" t="s">
        <v>111</v>
      </c>
      <c r="I3926" s="8" t="s">
        <v>54</v>
      </c>
      <c r="J3926" s="8" t="s">
        <v>135</v>
      </c>
      <c r="K3926" s="10" t="s">
        <v>18168</v>
      </c>
      <c r="L3926" s="8" t="s">
        <v>58</v>
      </c>
      <c r="M3926" s="8" t="s">
        <v>35</v>
      </c>
      <c r="N3926" s="11">
        <v>45259.0</v>
      </c>
      <c r="O3926" s="11">
        <v>45474.0</v>
      </c>
      <c r="P3926" s="11">
        <v>45516.0</v>
      </c>
      <c r="Q3926" s="11"/>
      <c r="R3926" s="11"/>
      <c r="S3926" s="12"/>
      <c r="T3926" s="8"/>
      <c r="U3926" s="8" t="s">
        <v>59</v>
      </c>
      <c r="V3926" s="13" t="s">
        <v>111</v>
      </c>
      <c r="W3926" s="13" t="s">
        <v>18169</v>
      </c>
      <c r="X3926" s="12"/>
      <c r="Y3926" s="14"/>
      <c r="Z3926" s="14"/>
    </row>
    <row r="3927">
      <c r="A3927" s="8" t="s">
        <v>18170</v>
      </c>
      <c r="B3927" s="8" t="s">
        <v>18171</v>
      </c>
      <c r="C3927" s="8" t="s">
        <v>179</v>
      </c>
      <c r="D3927" s="8" t="s">
        <v>26</v>
      </c>
      <c r="E3927" s="8" t="s">
        <v>18172</v>
      </c>
      <c r="F3927" s="8">
        <v>1.5154656203E10</v>
      </c>
      <c r="G3927" s="8" t="s">
        <v>202</v>
      </c>
      <c r="H3927" s="8" t="s">
        <v>12839</v>
      </c>
      <c r="I3927" s="8" t="s">
        <v>31</v>
      </c>
      <c r="J3927" s="8" t="s">
        <v>32</v>
      </c>
      <c r="K3927" s="10" t="s">
        <v>18173</v>
      </c>
      <c r="L3927" s="8" t="s">
        <v>58</v>
      </c>
      <c r="M3927" s="8" t="s">
        <v>35</v>
      </c>
      <c r="N3927" s="11">
        <v>45259.0</v>
      </c>
      <c r="O3927" s="11">
        <v>45347.0</v>
      </c>
      <c r="P3927" s="11">
        <v>45389.0</v>
      </c>
      <c r="Q3927" s="11"/>
      <c r="R3927" s="11"/>
      <c r="S3927" s="12"/>
      <c r="T3927" s="8"/>
      <c r="U3927" s="8" t="s">
        <v>161</v>
      </c>
      <c r="V3927" s="13" t="s">
        <v>12840</v>
      </c>
      <c r="W3927" s="13" t="s">
        <v>18174</v>
      </c>
      <c r="X3927" s="12"/>
      <c r="Y3927" s="14"/>
      <c r="Z3927" s="14"/>
    </row>
    <row r="3928">
      <c r="A3928" s="8" t="s">
        <v>18175</v>
      </c>
      <c r="B3928" s="8" t="s">
        <v>18176</v>
      </c>
      <c r="C3928" s="8" t="s">
        <v>179</v>
      </c>
      <c r="D3928" s="8" t="s">
        <v>26</v>
      </c>
      <c r="E3928" s="8" t="s">
        <v>18177</v>
      </c>
      <c r="F3928" s="8">
        <v>6.89308783E8</v>
      </c>
      <c r="G3928" s="8" t="s">
        <v>1620</v>
      </c>
      <c r="H3928" s="8" t="s">
        <v>10795</v>
      </c>
      <c r="I3928" s="8" t="s">
        <v>31</v>
      </c>
      <c r="J3928" s="8" t="s">
        <v>102</v>
      </c>
      <c r="K3928" s="10" t="s">
        <v>9014</v>
      </c>
      <c r="L3928" s="8" t="s">
        <v>58</v>
      </c>
      <c r="M3928" s="8" t="s">
        <v>35</v>
      </c>
      <c r="N3928" s="11">
        <v>45259.0</v>
      </c>
      <c r="O3928" s="11">
        <v>45509.0</v>
      </c>
      <c r="P3928" s="11">
        <v>45551.0</v>
      </c>
      <c r="Q3928" s="11"/>
      <c r="R3928" s="11"/>
      <c r="S3928" s="12"/>
      <c r="T3928" s="8"/>
      <c r="U3928" s="8" t="s">
        <v>88</v>
      </c>
      <c r="V3928" s="13" t="s">
        <v>16802</v>
      </c>
      <c r="W3928" s="13" t="s">
        <v>18178</v>
      </c>
      <c r="X3928" s="12"/>
      <c r="Y3928" s="14"/>
      <c r="Z3928" s="14"/>
    </row>
    <row r="3929">
      <c r="A3929" s="8" t="s">
        <v>18179</v>
      </c>
      <c r="B3929" s="8" t="s">
        <v>18180</v>
      </c>
      <c r="C3929" s="8" t="s">
        <v>179</v>
      </c>
      <c r="D3929" s="8" t="s">
        <v>26</v>
      </c>
      <c r="E3929" s="8" t="s">
        <v>18181</v>
      </c>
      <c r="F3929" s="8">
        <v>1.5231650942E10</v>
      </c>
      <c r="G3929" s="8" t="s">
        <v>202</v>
      </c>
      <c r="H3929" s="8" t="s">
        <v>12839</v>
      </c>
      <c r="I3929" s="8" t="s">
        <v>31</v>
      </c>
      <c r="J3929" s="8" t="s">
        <v>32</v>
      </c>
      <c r="K3929" s="10" t="s">
        <v>18173</v>
      </c>
      <c r="L3929" s="8" t="s">
        <v>58</v>
      </c>
      <c r="M3929" s="8" t="s">
        <v>35</v>
      </c>
      <c r="N3929" s="11">
        <v>45259.0</v>
      </c>
      <c r="O3929" s="11">
        <v>45347.0</v>
      </c>
      <c r="P3929" s="11">
        <v>45389.0</v>
      </c>
      <c r="Q3929" s="11"/>
      <c r="R3929" s="11"/>
      <c r="S3929" s="12"/>
      <c r="T3929" s="8"/>
      <c r="U3929" s="8" t="s">
        <v>161</v>
      </c>
      <c r="V3929" s="13" t="s">
        <v>12840</v>
      </c>
      <c r="W3929" s="13" t="s">
        <v>18182</v>
      </c>
      <c r="X3929" s="12"/>
      <c r="Y3929" s="14"/>
      <c r="Z3929" s="14"/>
    </row>
    <row r="3930">
      <c r="A3930" s="8" t="s">
        <v>18183</v>
      </c>
      <c r="B3930" s="8" t="s">
        <v>18184</v>
      </c>
      <c r="C3930" s="8" t="s">
        <v>179</v>
      </c>
      <c r="D3930" s="8" t="s">
        <v>26</v>
      </c>
      <c r="E3930" s="8" t="s">
        <v>18185</v>
      </c>
      <c r="F3930" s="8">
        <v>5.510091841E9</v>
      </c>
      <c r="G3930" s="8" t="s">
        <v>31</v>
      </c>
      <c r="H3930" s="8" t="s">
        <v>43</v>
      </c>
      <c r="I3930" s="8" t="s">
        <v>407</v>
      </c>
      <c r="J3930" s="8" t="s">
        <v>11227</v>
      </c>
      <c r="K3930" s="10" t="s">
        <v>18186</v>
      </c>
      <c r="L3930" s="8" t="s">
        <v>58</v>
      </c>
      <c r="M3930" s="8" t="s">
        <v>35</v>
      </c>
      <c r="N3930" s="11">
        <v>45259.0</v>
      </c>
      <c r="O3930" s="11">
        <v>45488.0</v>
      </c>
      <c r="P3930" s="11">
        <v>45530.0</v>
      </c>
      <c r="Q3930" s="11"/>
      <c r="R3930" s="11"/>
      <c r="S3930" s="12"/>
      <c r="T3930" s="8"/>
      <c r="U3930" s="8" t="s">
        <v>88</v>
      </c>
      <c r="V3930" s="13" t="s">
        <v>43</v>
      </c>
      <c r="W3930" s="13" t="s">
        <v>18187</v>
      </c>
      <c r="X3930" s="12"/>
      <c r="Y3930" s="14"/>
      <c r="Z3930" s="14"/>
    </row>
    <row r="3931">
      <c r="A3931" s="8" t="s">
        <v>18188</v>
      </c>
      <c r="B3931" s="8" t="s">
        <v>18189</v>
      </c>
      <c r="C3931" s="8" t="s">
        <v>179</v>
      </c>
      <c r="D3931" s="8" t="s">
        <v>26</v>
      </c>
      <c r="E3931" s="8" t="s">
        <v>18190</v>
      </c>
      <c r="F3931" s="8">
        <v>5.418775043E9</v>
      </c>
      <c r="G3931" s="8" t="s">
        <v>31</v>
      </c>
      <c r="H3931" s="8" t="s">
        <v>43</v>
      </c>
      <c r="I3931" s="8" t="s">
        <v>407</v>
      </c>
      <c r="J3931" s="8" t="s">
        <v>408</v>
      </c>
      <c r="K3931" s="10" t="s">
        <v>18191</v>
      </c>
      <c r="L3931" s="8" t="s">
        <v>58</v>
      </c>
      <c r="M3931" s="8" t="s">
        <v>35</v>
      </c>
      <c r="N3931" s="11">
        <v>45259.0</v>
      </c>
      <c r="O3931" s="11">
        <v>45492.0</v>
      </c>
      <c r="P3931" s="11">
        <v>45534.0</v>
      </c>
      <c r="Q3931" s="11"/>
      <c r="R3931" s="11"/>
      <c r="S3931" s="12"/>
      <c r="T3931" s="8"/>
      <c r="U3931" s="8" t="s">
        <v>88</v>
      </c>
      <c r="V3931" s="13" t="s">
        <v>43</v>
      </c>
      <c r="W3931" s="13" t="s">
        <v>18192</v>
      </c>
      <c r="X3931" s="12"/>
      <c r="Y3931" s="14"/>
      <c r="Z3931" s="14"/>
    </row>
    <row r="3932">
      <c r="A3932" s="8" t="s">
        <v>18193</v>
      </c>
      <c r="B3932" s="8" t="s">
        <v>18194</v>
      </c>
      <c r="C3932" s="8" t="s">
        <v>179</v>
      </c>
      <c r="D3932" s="8" t="s">
        <v>26</v>
      </c>
      <c r="E3932" s="8" t="s">
        <v>18195</v>
      </c>
      <c r="F3932" s="8"/>
      <c r="G3932" s="8" t="s">
        <v>284</v>
      </c>
      <c r="H3932" s="8" t="s">
        <v>16688</v>
      </c>
      <c r="I3932" s="8" t="s">
        <v>31</v>
      </c>
      <c r="J3932" s="8" t="s">
        <v>32</v>
      </c>
      <c r="K3932" s="10" t="s">
        <v>1813</v>
      </c>
      <c r="L3932" s="8" t="s">
        <v>58</v>
      </c>
      <c r="M3932" s="8" t="s">
        <v>35</v>
      </c>
      <c r="N3932" s="11">
        <v>45259.0</v>
      </c>
      <c r="O3932" s="11">
        <v>45509.0</v>
      </c>
      <c r="P3932" s="11">
        <v>45551.0</v>
      </c>
      <c r="Q3932" s="11"/>
      <c r="R3932" s="11"/>
      <c r="S3932" s="12"/>
      <c r="T3932" s="8"/>
      <c r="U3932" s="8" t="s">
        <v>161</v>
      </c>
      <c r="V3932" s="13" t="s">
        <v>38</v>
      </c>
      <c r="W3932" s="13" t="s">
        <v>18196</v>
      </c>
      <c r="X3932" s="12"/>
      <c r="Y3932" s="14"/>
      <c r="Z3932" s="14"/>
    </row>
    <row r="3933">
      <c r="A3933" s="8" t="s">
        <v>18197</v>
      </c>
      <c r="B3933" s="8" t="s">
        <v>18198</v>
      </c>
      <c r="C3933" s="8" t="s">
        <v>179</v>
      </c>
      <c r="D3933" s="8" t="s">
        <v>26</v>
      </c>
      <c r="E3933" s="8" t="s">
        <v>18199</v>
      </c>
      <c r="F3933" s="8">
        <v>2.5245538E7</v>
      </c>
      <c r="G3933" s="8" t="s">
        <v>54</v>
      </c>
      <c r="H3933" s="8" t="s">
        <v>377</v>
      </c>
      <c r="I3933" s="8" t="s">
        <v>31</v>
      </c>
      <c r="J3933" s="8" t="s">
        <v>77</v>
      </c>
      <c r="K3933" s="10" t="s">
        <v>16181</v>
      </c>
      <c r="L3933" s="8" t="s">
        <v>58</v>
      </c>
      <c r="M3933" s="8" t="s">
        <v>35</v>
      </c>
      <c r="N3933" s="11">
        <v>45259.0</v>
      </c>
      <c r="O3933" s="11">
        <v>45446.0</v>
      </c>
      <c r="P3933" s="11">
        <v>45488.0</v>
      </c>
      <c r="Q3933" s="11"/>
      <c r="R3933" s="11"/>
      <c r="S3933" s="12"/>
      <c r="T3933" s="8"/>
      <c r="U3933" s="8" t="s">
        <v>59</v>
      </c>
      <c r="V3933" s="13" t="s">
        <v>2218</v>
      </c>
      <c r="W3933" s="13" t="s">
        <v>18200</v>
      </c>
      <c r="X3933" s="12"/>
      <c r="Y3933" s="14"/>
      <c r="Z3933" s="14"/>
    </row>
    <row r="3934">
      <c r="A3934" s="8" t="s">
        <v>18201</v>
      </c>
      <c r="B3934" s="8" t="s">
        <v>18202</v>
      </c>
      <c r="C3934" s="8" t="s">
        <v>179</v>
      </c>
      <c r="D3934" s="8" t="s">
        <v>26</v>
      </c>
      <c r="E3934" s="8" t="s">
        <v>18203</v>
      </c>
      <c r="F3934" s="8">
        <v>5.307358603E9</v>
      </c>
      <c r="G3934" s="8" t="s">
        <v>31</v>
      </c>
      <c r="H3934" s="8" t="s">
        <v>66</v>
      </c>
      <c r="I3934" s="8" t="s">
        <v>284</v>
      </c>
      <c r="J3934" s="8" t="s">
        <v>1450</v>
      </c>
      <c r="K3934" s="10" t="s">
        <v>17512</v>
      </c>
      <c r="L3934" s="8" t="s">
        <v>58</v>
      </c>
      <c r="M3934" s="8" t="s">
        <v>35</v>
      </c>
      <c r="N3934" s="11">
        <v>45259.0</v>
      </c>
      <c r="O3934" s="11">
        <v>45505.0</v>
      </c>
      <c r="P3934" s="11">
        <v>45547.0</v>
      </c>
      <c r="Q3934" s="11"/>
      <c r="R3934" s="11"/>
      <c r="S3934" s="12"/>
      <c r="T3934" s="8"/>
      <c r="U3934" s="8" t="s">
        <v>153</v>
      </c>
      <c r="V3934" s="13" t="s">
        <v>66</v>
      </c>
      <c r="W3934" s="13" t="s">
        <v>18204</v>
      </c>
      <c r="X3934" s="12"/>
      <c r="Y3934" s="14"/>
      <c r="Z3934" s="14"/>
    </row>
    <row r="3935">
      <c r="A3935" s="8" t="s">
        <v>18205</v>
      </c>
      <c r="B3935" s="8" t="s">
        <v>18206</v>
      </c>
      <c r="C3935" s="8" t="s">
        <v>179</v>
      </c>
      <c r="D3935" s="8" t="s">
        <v>26</v>
      </c>
      <c r="E3935" s="8" t="s">
        <v>18207</v>
      </c>
      <c r="F3935" s="8">
        <v>5.307358603E9</v>
      </c>
      <c r="G3935" s="8" t="s">
        <v>31</v>
      </c>
      <c r="H3935" s="8" t="s">
        <v>66</v>
      </c>
      <c r="I3935" s="8" t="s">
        <v>284</v>
      </c>
      <c r="J3935" s="8" t="s">
        <v>1450</v>
      </c>
      <c r="K3935" s="10" t="s">
        <v>17512</v>
      </c>
      <c r="L3935" s="8" t="s">
        <v>58</v>
      </c>
      <c r="M3935" s="8" t="s">
        <v>35</v>
      </c>
      <c r="N3935" s="11">
        <v>45259.0</v>
      </c>
      <c r="O3935" s="11">
        <v>45505.0</v>
      </c>
      <c r="P3935" s="11">
        <v>45547.0</v>
      </c>
      <c r="Q3935" s="11"/>
      <c r="R3935" s="11"/>
      <c r="S3935" s="12"/>
      <c r="T3935" s="8"/>
      <c r="U3935" s="8" t="s">
        <v>153</v>
      </c>
      <c r="V3935" s="13" t="s">
        <v>66</v>
      </c>
      <c r="W3935" s="13" t="s">
        <v>18208</v>
      </c>
      <c r="X3935" s="12"/>
      <c r="Y3935" s="14"/>
      <c r="Z3935" s="14"/>
    </row>
    <row r="3936">
      <c r="A3936" s="8" t="s">
        <v>18209</v>
      </c>
      <c r="B3936" s="8" t="s">
        <v>18210</v>
      </c>
      <c r="C3936" s="8" t="s">
        <v>179</v>
      </c>
      <c r="D3936" s="8" t="s">
        <v>26</v>
      </c>
      <c r="E3936" s="8" t="s">
        <v>18211</v>
      </c>
      <c r="F3936" s="8">
        <v>5.307358603E9</v>
      </c>
      <c r="G3936" s="8" t="s">
        <v>31</v>
      </c>
      <c r="H3936" s="8" t="s">
        <v>66</v>
      </c>
      <c r="I3936" s="8" t="s">
        <v>284</v>
      </c>
      <c r="J3936" s="8" t="s">
        <v>1450</v>
      </c>
      <c r="K3936" s="10" t="s">
        <v>17512</v>
      </c>
      <c r="L3936" s="8" t="s">
        <v>58</v>
      </c>
      <c r="M3936" s="8" t="s">
        <v>35</v>
      </c>
      <c r="N3936" s="11">
        <v>45259.0</v>
      </c>
      <c r="O3936" s="11">
        <v>45505.0</v>
      </c>
      <c r="P3936" s="11">
        <v>45547.0</v>
      </c>
      <c r="Q3936" s="11"/>
      <c r="R3936" s="11"/>
      <c r="S3936" s="12"/>
      <c r="T3936" s="8"/>
      <c r="U3936" s="8" t="s">
        <v>153</v>
      </c>
      <c r="V3936" s="13" t="s">
        <v>66</v>
      </c>
      <c r="W3936" s="13" t="s">
        <v>18212</v>
      </c>
      <c r="X3936" s="12"/>
      <c r="Y3936" s="14"/>
      <c r="Z3936" s="14"/>
    </row>
    <row r="3937">
      <c r="A3937" s="8" t="s">
        <v>18213</v>
      </c>
      <c r="B3937" s="8" t="s">
        <v>18214</v>
      </c>
      <c r="C3937" s="8" t="s">
        <v>179</v>
      </c>
      <c r="D3937" s="8" t="s">
        <v>26</v>
      </c>
      <c r="E3937" s="8" t="s">
        <v>18215</v>
      </c>
      <c r="F3937" s="8">
        <v>2.7497321E7</v>
      </c>
      <c r="G3937" s="8" t="s">
        <v>54</v>
      </c>
      <c r="H3937" s="8" t="s">
        <v>377</v>
      </c>
      <c r="I3937" s="8" t="s">
        <v>31</v>
      </c>
      <c r="J3937" s="8" t="s">
        <v>77</v>
      </c>
      <c r="K3937" s="10" t="s">
        <v>17878</v>
      </c>
      <c r="L3937" s="8" t="s">
        <v>58</v>
      </c>
      <c r="M3937" s="8" t="s">
        <v>35</v>
      </c>
      <c r="N3937" s="11">
        <v>45259.0</v>
      </c>
      <c r="O3937" s="11">
        <v>45460.0</v>
      </c>
      <c r="P3937" s="11">
        <v>45502.0</v>
      </c>
      <c r="Q3937" s="11"/>
      <c r="R3937" s="11"/>
      <c r="S3937" s="12"/>
      <c r="T3937" s="8"/>
      <c r="U3937" s="8" t="s">
        <v>59</v>
      </c>
      <c r="V3937" s="13" t="s">
        <v>2243</v>
      </c>
      <c r="W3937" s="13" t="s">
        <v>18216</v>
      </c>
      <c r="X3937" s="12"/>
      <c r="Y3937" s="14"/>
      <c r="Z3937" s="14"/>
    </row>
    <row r="3938">
      <c r="A3938" s="8" t="s">
        <v>18217</v>
      </c>
      <c r="B3938" s="8" t="s">
        <v>18218</v>
      </c>
      <c r="C3938" s="8" t="s">
        <v>179</v>
      </c>
      <c r="D3938" s="8" t="s">
        <v>26</v>
      </c>
      <c r="E3938" s="8" t="s">
        <v>18219</v>
      </c>
      <c r="F3938" s="8">
        <v>9.9097617E7</v>
      </c>
      <c r="G3938" s="8" t="s">
        <v>54</v>
      </c>
      <c r="H3938" s="8" t="s">
        <v>377</v>
      </c>
      <c r="I3938" s="8" t="s">
        <v>31</v>
      </c>
      <c r="J3938" s="8" t="s">
        <v>77</v>
      </c>
      <c r="K3938" s="10" t="s">
        <v>17878</v>
      </c>
      <c r="L3938" s="8" t="s">
        <v>58</v>
      </c>
      <c r="M3938" s="8" t="s">
        <v>35</v>
      </c>
      <c r="N3938" s="11">
        <v>45259.0</v>
      </c>
      <c r="O3938" s="11">
        <v>45460.0</v>
      </c>
      <c r="P3938" s="11">
        <v>45502.0</v>
      </c>
      <c r="Q3938" s="11"/>
      <c r="R3938" s="11"/>
      <c r="S3938" s="12"/>
      <c r="T3938" s="8"/>
      <c r="U3938" s="8" t="s">
        <v>59</v>
      </c>
      <c r="V3938" s="13" t="s">
        <v>2243</v>
      </c>
      <c r="W3938" s="13" t="s">
        <v>18220</v>
      </c>
      <c r="X3938" s="12"/>
      <c r="Y3938" s="14"/>
      <c r="Z3938" s="14"/>
    </row>
    <row r="3939">
      <c r="A3939" s="8" t="s">
        <v>18221</v>
      </c>
      <c r="B3939" s="8" t="s">
        <v>18222</v>
      </c>
      <c r="C3939" s="8" t="s">
        <v>179</v>
      </c>
      <c r="D3939" s="8" t="s">
        <v>26</v>
      </c>
      <c r="E3939" s="8" t="s">
        <v>18223</v>
      </c>
      <c r="F3939" s="8">
        <v>5.424422965E9</v>
      </c>
      <c r="G3939" s="8" t="s">
        <v>31</v>
      </c>
      <c r="H3939" s="8" t="s">
        <v>86</v>
      </c>
      <c r="I3939" s="8" t="s">
        <v>221</v>
      </c>
      <c r="J3939" s="8" t="s">
        <v>2735</v>
      </c>
      <c r="K3939" s="10" t="s">
        <v>18224</v>
      </c>
      <c r="L3939" s="8" t="s">
        <v>58</v>
      </c>
      <c r="M3939" s="8" t="s">
        <v>35</v>
      </c>
      <c r="N3939" s="11">
        <v>45259.0</v>
      </c>
      <c r="O3939" s="11">
        <v>45460.0</v>
      </c>
      <c r="P3939" s="11">
        <v>45502.0</v>
      </c>
      <c r="Q3939" s="11"/>
      <c r="R3939" s="11"/>
      <c r="S3939" s="12"/>
      <c r="T3939" s="8"/>
      <c r="U3939" s="8" t="s">
        <v>59</v>
      </c>
      <c r="V3939" s="13" t="s">
        <v>175</v>
      </c>
      <c r="W3939" s="13" t="s">
        <v>18225</v>
      </c>
      <c r="X3939" s="12"/>
      <c r="Y3939" s="14"/>
      <c r="Z3939" s="14"/>
    </row>
    <row r="3940">
      <c r="A3940" s="8" t="s">
        <v>18226</v>
      </c>
      <c r="B3940" s="8" t="s">
        <v>18227</v>
      </c>
      <c r="C3940" s="8" t="s">
        <v>179</v>
      </c>
      <c r="D3940" s="8" t="s">
        <v>26</v>
      </c>
      <c r="E3940" s="8" t="s">
        <v>18228</v>
      </c>
      <c r="F3940" s="8">
        <v>3.146001338E9</v>
      </c>
      <c r="G3940" s="8" t="s">
        <v>315</v>
      </c>
      <c r="H3940" s="8" t="s">
        <v>12015</v>
      </c>
      <c r="I3940" s="8" t="s">
        <v>31</v>
      </c>
      <c r="J3940" s="8" t="s">
        <v>77</v>
      </c>
      <c r="K3940" s="10" t="s">
        <v>18229</v>
      </c>
      <c r="L3940" s="8" t="s">
        <v>34</v>
      </c>
      <c r="M3940" s="8" t="s">
        <v>70</v>
      </c>
      <c r="N3940" s="11">
        <v>45259.0</v>
      </c>
      <c r="O3940" s="11">
        <v>45292.0</v>
      </c>
      <c r="P3940" s="11">
        <v>45660.0</v>
      </c>
      <c r="Q3940" s="11"/>
      <c r="R3940" s="11"/>
      <c r="S3940" s="12"/>
      <c r="T3940" s="8" t="s">
        <v>205</v>
      </c>
      <c r="U3940" s="8" t="s">
        <v>18230</v>
      </c>
      <c r="V3940" s="13" t="s">
        <v>12016</v>
      </c>
      <c r="W3940" s="13" t="s">
        <v>18231</v>
      </c>
      <c r="X3940" s="12"/>
      <c r="Y3940" s="14"/>
      <c r="Z3940" s="14"/>
    </row>
    <row r="3941">
      <c r="A3941" s="8" t="s">
        <v>18232</v>
      </c>
      <c r="B3941" s="8" t="s">
        <v>18233</v>
      </c>
      <c r="C3941" s="8" t="s">
        <v>179</v>
      </c>
      <c r="D3941" s="8" t="s">
        <v>26</v>
      </c>
      <c r="E3941" s="8" t="s">
        <v>18234</v>
      </c>
      <c r="F3941" s="8">
        <v>4.245115991E9</v>
      </c>
      <c r="G3941" s="8" t="s">
        <v>12431</v>
      </c>
      <c r="H3941" s="8" t="s">
        <v>18235</v>
      </c>
      <c r="I3941" s="8" t="s">
        <v>31</v>
      </c>
      <c r="J3941" s="8" t="s">
        <v>77</v>
      </c>
      <c r="K3941" s="10" t="s">
        <v>5555</v>
      </c>
      <c r="L3941" s="8" t="s">
        <v>34</v>
      </c>
      <c r="M3941" s="8" t="s">
        <v>70</v>
      </c>
      <c r="N3941" s="11">
        <v>45259.0</v>
      </c>
      <c r="O3941" s="11">
        <v>45262.0</v>
      </c>
      <c r="P3941" s="11">
        <v>45580.0</v>
      </c>
      <c r="Q3941" s="11"/>
      <c r="R3941" s="11"/>
      <c r="S3941" s="12"/>
      <c r="T3941" s="8" t="s">
        <v>205</v>
      </c>
      <c r="U3941" s="8" t="s">
        <v>5556</v>
      </c>
      <c r="V3941" s="13" t="s">
        <v>18236</v>
      </c>
      <c r="W3941" s="13" t="s">
        <v>18237</v>
      </c>
      <c r="X3941" s="12"/>
      <c r="Y3941" s="14"/>
      <c r="Z3941" s="14"/>
    </row>
    <row r="3942">
      <c r="A3942" s="8" t="s">
        <v>18238</v>
      </c>
      <c r="B3942" s="8" t="s">
        <v>18239</v>
      </c>
      <c r="C3942" s="8" t="s">
        <v>179</v>
      </c>
      <c r="D3942" s="8" t="s">
        <v>26</v>
      </c>
      <c r="E3942" s="8" t="s">
        <v>18240</v>
      </c>
      <c r="F3942" s="8">
        <v>5.362069375E9</v>
      </c>
      <c r="G3942" s="8" t="s">
        <v>31</v>
      </c>
      <c r="H3942" s="8" t="s">
        <v>86</v>
      </c>
      <c r="I3942" s="8" t="s">
        <v>127</v>
      </c>
      <c r="J3942" s="8" t="s">
        <v>159</v>
      </c>
      <c r="K3942" s="10" t="s">
        <v>18241</v>
      </c>
      <c r="L3942" s="8" t="s">
        <v>34</v>
      </c>
      <c r="M3942" s="8" t="s">
        <v>35</v>
      </c>
      <c r="N3942" s="11">
        <v>45259.0</v>
      </c>
      <c r="O3942" s="11">
        <v>45327.0</v>
      </c>
      <c r="P3942" s="11">
        <v>45380.0</v>
      </c>
      <c r="Q3942" s="11"/>
      <c r="R3942" s="11"/>
      <c r="S3942" s="12"/>
      <c r="T3942" s="8" t="s">
        <v>205</v>
      </c>
      <c r="U3942" s="8" t="s">
        <v>18242</v>
      </c>
      <c r="V3942" s="13" t="s">
        <v>175</v>
      </c>
      <c r="W3942" s="13" t="s">
        <v>18243</v>
      </c>
      <c r="X3942" s="12"/>
      <c r="Y3942" s="14"/>
      <c r="Z3942" s="14"/>
    </row>
    <row r="3943">
      <c r="A3943" s="8" t="s">
        <v>18244</v>
      </c>
      <c r="B3943" s="8" t="s">
        <v>18245</v>
      </c>
      <c r="C3943" s="8" t="s">
        <v>179</v>
      </c>
      <c r="D3943" s="8" t="s">
        <v>26</v>
      </c>
      <c r="E3943" s="8" t="s">
        <v>18246</v>
      </c>
      <c r="F3943" s="8">
        <v>5.518474301E9</v>
      </c>
      <c r="G3943" s="8" t="s">
        <v>31</v>
      </c>
      <c r="H3943" s="8" t="s">
        <v>1274</v>
      </c>
      <c r="I3943" s="8" t="s">
        <v>54</v>
      </c>
      <c r="J3943" s="8" t="s">
        <v>430</v>
      </c>
      <c r="K3943" s="10" t="s">
        <v>16299</v>
      </c>
      <c r="L3943" s="8" t="s">
        <v>58</v>
      </c>
      <c r="M3943" s="8" t="s">
        <v>35</v>
      </c>
      <c r="N3943" s="11">
        <v>45259.0</v>
      </c>
      <c r="O3943" s="11">
        <v>45486.0</v>
      </c>
      <c r="P3943" s="11">
        <v>45528.0</v>
      </c>
      <c r="Q3943" s="11"/>
      <c r="R3943" s="11"/>
      <c r="S3943" s="12"/>
      <c r="T3943" s="8"/>
      <c r="U3943" s="8" t="s">
        <v>1038</v>
      </c>
      <c r="V3943" s="13" t="s">
        <v>1274</v>
      </c>
      <c r="W3943" s="13" t="s">
        <v>18247</v>
      </c>
      <c r="X3943" s="12"/>
      <c r="Y3943" s="14"/>
      <c r="Z3943" s="14"/>
    </row>
    <row r="3944">
      <c r="A3944" s="8" t="s">
        <v>18248</v>
      </c>
      <c r="B3944" s="8" t="s">
        <v>18249</v>
      </c>
      <c r="C3944" s="8" t="s">
        <v>179</v>
      </c>
      <c r="D3944" s="8" t="s">
        <v>26</v>
      </c>
      <c r="E3944" s="8" t="s">
        <v>18250</v>
      </c>
      <c r="F3944" s="8">
        <v>5.307358603E9</v>
      </c>
      <c r="G3944" s="8" t="s">
        <v>31</v>
      </c>
      <c r="H3944" s="8" t="s">
        <v>66</v>
      </c>
      <c r="I3944" s="8" t="s">
        <v>284</v>
      </c>
      <c r="J3944" s="8" t="s">
        <v>1450</v>
      </c>
      <c r="K3944" s="10" t="s">
        <v>17512</v>
      </c>
      <c r="L3944" s="8" t="s">
        <v>58</v>
      </c>
      <c r="M3944" s="8" t="s">
        <v>35</v>
      </c>
      <c r="N3944" s="11">
        <v>45259.0</v>
      </c>
      <c r="O3944" s="11">
        <v>45474.0</v>
      </c>
      <c r="P3944" s="11">
        <v>45516.0</v>
      </c>
      <c r="Q3944" s="11"/>
      <c r="R3944" s="11"/>
      <c r="S3944" s="12"/>
      <c r="T3944" s="8"/>
      <c r="U3944" s="8" t="s">
        <v>153</v>
      </c>
      <c r="V3944" s="13" t="s">
        <v>66</v>
      </c>
      <c r="W3944" s="13" t="s">
        <v>18251</v>
      </c>
      <c r="X3944" s="12"/>
      <c r="Y3944" s="14"/>
      <c r="Z3944" s="14"/>
    </row>
    <row r="3945">
      <c r="A3945" s="8" t="s">
        <v>18252</v>
      </c>
      <c r="B3945" s="8" t="s">
        <v>18253</v>
      </c>
      <c r="C3945" s="8" t="s">
        <v>708</v>
      </c>
      <c r="D3945" s="8" t="s">
        <v>26</v>
      </c>
      <c r="E3945" s="8" t="s">
        <v>18254</v>
      </c>
      <c r="F3945" s="8"/>
      <c r="G3945" s="8" t="s">
        <v>31</v>
      </c>
      <c r="H3945" s="8" t="s">
        <v>86</v>
      </c>
      <c r="I3945" s="8" t="s">
        <v>284</v>
      </c>
      <c r="J3945" s="8" t="s">
        <v>1422</v>
      </c>
      <c r="K3945" s="10" t="s">
        <v>4275</v>
      </c>
      <c r="L3945" s="8" t="s">
        <v>58</v>
      </c>
      <c r="M3945" s="8" t="s">
        <v>35</v>
      </c>
      <c r="N3945" s="11">
        <v>45259.0</v>
      </c>
      <c r="O3945" s="11">
        <v>45306.0</v>
      </c>
      <c r="P3945" s="11">
        <v>45348.0</v>
      </c>
      <c r="Q3945" s="11">
        <v>45308.0</v>
      </c>
      <c r="R3945" s="11">
        <v>45349.0</v>
      </c>
      <c r="S3945" s="12"/>
      <c r="T3945" s="8"/>
      <c r="U3945" s="8" t="s">
        <v>161</v>
      </c>
      <c r="V3945" s="13" t="s">
        <v>38</v>
      </c>
      <c r="W3945" s="13" t="s">
        <v>18255</v>
      </c>
      <c r="X3945" s="12"/>
      <c r="Y3945" s="14"/>
      <c r="Z3945" s="14"/>
    </row>
    <row r="3946">
      <c r="A3946" s="8" t="s">
        <v>18256</v>
      </c>
      <c r="B3946" s="8" t="s">
        <v>18257</v>
      </c>
      <c r="C3946" s="8" t="s">
        <v>179</v>
      </c>
      <c r="D3946" s="8" t="s">
        <v>26</v>
      </c>
      <c r="E3946" s="8" t="s">
        <v>18258</v>
      </c>
      <c r="F3946" s="8"/>
      <c r="G3946" s="8" t="s">
        <v>31</v>
      </c>
      <c r="H3946" s="8" t="s">
        <v>86</v>
      </c>
      <c r="I3946" s="8" t="s">
        <v>284</v>
      </c>
      <c r="J3946" s="8" t="s">
        <v>1422</v>
      </c>
      <c r="K3946" s="10" t="s">
        <v>17177</v>
      </c>
      <c r="L3946" s="8" t="s">
        <v>58</v>
      </c>
      <c r="M3946" s="8" t="s">
        <v>35</v>
      </c>
      <c r="N3946" s="11">
        <v>45259.0</v>
      </c>
      <c r="O3946" s="11">
        <v>45444.0</v>
      </c>
      <c r="P3946" s="11">
        <v>45486.0</v>
      </c>
      <c r="Q3946" s="11"/>
      <c r="R3946" s="11"/>
      <c r="S3946" s="12"/>
      <c r="T3946" s="8"/>
      <c r="U3946" s="8" t="s">
        <v>59</v>
      </c>
      <c r="V3946" s="13" t="s">
        <v>38</v>
      </c>
      <c r="W3946" s="13" t="s">
        <v>18259</v>
      </c>
      <c r="X3946" s="12"/>
      <c r="Y3946" s="14"/>
      <c r="Z3946" s="14"/>
    </row>
    <row r="3947">
      <c r="A3947" s="8" t="s">
        <v>18260</v>
      </c>
      <c r="B3947" s="8" t="s">
        <v>18261</v>
      </c>
      <c r="C3947" s="8" t="s">
        <v>179</v>
      </c>
      <c r="D3947" s="8" t="s">
        <v>26</v>
      </c>
      <c r="E3947" s="8" t="s">
        <v>18262</v>
      </c>
      <c r="F3947" s="8">
        <v>6.56540467E8</v>
      </c>
      <c r="G3947" s="8" t="s">
        <v>100</v>
      </c>
      <c r="H3947" s="8" t="s">
        <v>18263</v>
      </c>
      <c r="I3947" s="8" t="s">
        <v>31</v>
      </c>
      <c r="J3947" s="8" t="s">
        <v>438</v>
      </c>
      <c r="K3947" s="10" t="s">
        <v>6001</v>
      </c>
      <c r="L3947" s="8" t="s">
        <v>58</v>
      </c>
      <c r="M3947" s="8" t="s">
        <v>35</v>
      </c>
      <c r="N3947" s="11">
        <v>45260.0</v>
      </c>
      <c r="O3947" s="11">
        <v>45487.0</v>
      </c>
      <c r="P3947" s="11">
        <v>45529.0</v>
      </c>
      <c r="Q3947" s="11"/>
      <c r="R3947" s="11"/>
      <c r="S3947" s="12"/>
      <c r="T3947" s="8"/>
      <c r="U3947" s="8" t="s">
        <v>59</v>
      </c>
      <c r="V3947" s="13" t="s">
        <v>18264</v>
      </c>
      <c r="W3947" s="13" t="s">
        <v>18265</v>
      </c>
      <c r="X3947" s="12"/>
      <c r="Y3947" s="14"/>
      <c r="Z3947" s="14"/>
    </row>
    <row r="3948">
      <c r="A3948" s="8" t="s">
        <v>18266</v>
      </c>
      <c r="B3948" s="8" t="s">
        <v>18267</v>
      </c>
      <c r="C3948" s="8" t="s">
        <v>64</v>
      </c>
      <c r="D3948" s="8" t="s">
        <v>26</v>
      </c>
      <c r="E3948" s="8" t="s">
        <v>18268</v>
      </c>
      <c r="F3948" s="8"/>
      <c r="G3948" s="8" t="s">
        <v>31</v>
      </c>
      <c r="H3948" s="8" t="s">
        <v>542</v>
      </c>
      <c r="I3948" s="8" t="s">
        <v>3607</v>
      </c>
      <c r="J3948" s="8" t="s">
        <v>11864</v>
      </c>
      <c r="K3948" s="10" t="s">
        <v>18269</v>
      </c>
      <c r="L3948" s="8" t="s">
        <v>58</v>
      </c>
      <c r="M3948" s="8" t="s">
        <v>35</v>
      </c>
      <c r="N3948" s="11">
        <v>45260.0</v>
      </c>
      <c r="O3948" s="11">
        <v>45278.0</v>
      </c>
      <c r="P3948" s="11">
        <v>45320.0</v>
      </c>
      <c r="Q3948" s="11">
        <v>45265.0</v>
      </c>
      <c r="R3948" s="11">
        <v>45320.0</v>
      </c>
      <c r="S3948" s="12"/>
      <c r="T3948" s="8"/>
      <c r="U3948" s="8" t="s">
        <v>130</v>
      </c>
      <c r="V3948" s="13" t="s">
        <v>38</v>
      </c>
      <c r="W3948" s="13" t="s">
        <v>18270</v>
      </c>
      <c r="X3948" s="12"/>
      <c r="Y3948" s="14"/>
      <c r="Z3948" s="14"/>
    </row>
    <row r="3949">
      <c r="A3949" s="8" t="s">
        <v>18271</v>
      </c>
      <c r="B3949" s="8" t="s">
        <v>18272</v>
      </c>
      <c r="C3949" s="8" t="s">
        <v>179</v>
      </c>
      <c r="D3949" s="8" t="s">
        <v>26</v>
      </c>
      <c r="E3949" s="8" t="s">
        <v>18273</v>
      </c>
      <c r="F3949" s="8">
        <v>5.332246E7</v>
      </c>
      <c r="G3949" s="8" t="s">
        <v>54</v>
      </c>
      <c r="H3949" s="8" t="s">
        <v>377</v>
      </c>
      <c r="I3949" s="8" t="s">
        <v>31</v>
      </c>
      <c r="J3949" s="8" t="s">
        <v>32</v>
      </c>
      <c r="K3949" s="10" t="s">
        <v>18274</v>
      </c>
      <c r="L3949" s="8" t="s">
        <v>34</v>
      </c>
      <c r="M3949" s="8" t="s">
        <v>70</v>
      </c>
      <c r="N3949" s="11">
        <v>45260.0</v>
      </c>
      <c r="O3949" s="11">
        <v>45265.0</v>
      </c>
      <c r="P3949" s="11">
        <v>45630.0</v>
      </c>
      <c r="Q3949" s="11"/>
      <c r="R3949" s="11"/>
      <c r="S3949" s="12"/>
      <c r="T3949" s="8" t="s">
        <v>446</v>
      </c>
      <c r="U3949" s="8" t="s">
        <v>3447</v>
      </c>
      <c r="V3949" s="13" t="s">
        <v>2218</v>
      </c>
      <c r="W3949" s="13" t="s">
        <v>18275</v>
      </c>
      <c r="X3949" s="12"/>
      <c r="Y3949" s="14"/>
      <c r="Z3949" s="14"/>
    </row>
    <row r="3950">
      <c r="A3950" s="8" t="s">
        <v>18276</v>
      </c>
      <c r="B3950" s="8" t="s">
        <v>18277</v>
      </c>
      <c r="C3950" s="8" t="s">
        <v>179</v>
      </c>
      <c r="D3950" s="8" t="s">
        <v>26</v>
      </c>
      <c r="E3950" s="8" t="s">
        <v>18278</v>
      </c>
      <c r="F3950" s="8">
        <v>1.7683433035E10</v>
      </c>
      <c r="G3950" s="8" t="s">
        <v>202</v>
      </c>
      <c r="H3950" s="8" t="s">
        <v>17680</v>
      </c>
      <c r="I3950" s="8" t="s">
        <v>31</v>
      </c>
      <c r="J3950" s="8" t="s">
        <v>32</v>
      </c>
      <c r="K3950" s="10" t="s">
        <v>1813</v>
      </c>
      <c r="L3950" s="8" t="s">
        <v>58</v>
      </c>
      <c r="M3950" s="8" t="s">
        <v>35</v>
      </c>
      <c r="N3950" s="11">
        <v>45260.0</v>
      </c>
      <c r="O3950" s="11">
        <v>45467.0</v>
      </c>
      <c r="P3950" s="11">
        <v>45509.0</v>
      </c>
      <c r="Q3950" s="11"/>
      <c r="R3950" s="11"/>
      <c r="S3950" s="12"/>
      <c r="T3950" s="8"/>
      <c r="U3950" s="8" t="s">
        <v>161</v>
      </c>
      <c r="V3950" s="13" t="s">
        <v>17681</v>
      </c>
      <c r="W3950" s="13" t="s">
        <v>18279</v>
      </c>
      <c r="X3950" s="12"/>
      <c r="Y3950" s="14"/>
      <c r="Z3950" s="14"/>
    </row>
    <row r="3951">
      <c r="A3951" s="8" t="s">
        <v>18280</v>
      </c>
      <c r="B3951" s="8" t="s">
        <v>18281</v>
      </c>
      <c r="C3951" s="8" t="s">
        <v>179</v>
      </c>
      <c r="D3951" s="8" t="s">
        <v>26</v>
      </c>
      <c r="E3951" s="8" t="s">
        <v>18282</v>
      </c>
      <c r="F3951" s="8">
        <v>1.7682087346E10</v>
      </c>
      <c r="G3951" s="8" t="s">
        <v>202</v>
      </c>
      <c r="H3951" s="8" t="s">
        <v>17680</v>
      </c>
      <c r="I3951" s="8" t="s">
        <v>31</v>
      </c>
      <c r="J3951" s="8" t="s">
        <v>32</v>
      </c>
      <c r="K3951" s="10" t="s">
        <v>1813</v>
      </c>
      <c r="L3951" s="8" t="s">
        <v>58</v>
      </c>
      <c r="M3951" s="8" t="s">
        <v>35</v>
      </c>
      <c r="N3951" s="11">
        <v>45260.0</v>
      </c>
      <c r="O3951" s="11">
        <v>45467.0</v>
      </c>
      <c r="P3951" s="11">
        <v>45509.0</v>
      </c>
      <c r="Q3951" s="11"/>
      <c r="R3951" s="11"/>
      <c r="S3951" s="12"/>
      <c r="T3951" s="8"/>
      <c r="U3951" s="8" t="s">
        <v>161</v>
      </c>
      <c r="V3951" s="13" t="s">
        <v>17681</v>
      </c>
      <c r="W3951" s="13" t="s">
        <v>18283</v>
      </c>
      <c r="X3951" s="12"/>
      <c r="Y3951" s="14"/>
      <c r="Z3951" s="14"/>
    </row>
    <row r="3952">
      <c r="A3952" s="8" t="s">
        <v>18284</v>
      </c>
      <c r="B3952" s="8" t="s">
        <v>18285</v>
      </c>
      <c r="C3952" s="8" t="s">
        <v>179</v>
      </c>
      <c r="D3952" s="8" t="s">
        <v>26</v>
      </c>
      <c r="E3952" s="8" t="s">
        <v>18286</v>
      </c>
      <c r="F3952" s="8">
        <v>9.91921825E8</v>
      </c>
      <c r="G3952" s="8" t="s">
        <v>1620</v>
      </c>
      <c r="H3952" s="8" t="s">
        <v>1635</v>
      </c>
      <c r="I3952" s="8" t="s">
        <v>31</v>
      </c>
      <c r="J3952" s="8" t="s">
        <v>256</v>
      </c>
      <c r="K3952" s="10" t="s">
        <v>3411</v>
      </c>
      <c r="L3952" s="8" t="s">
        <v>58</v>
      </c>
      <c r="M3952" s="8" t="s">
        <v>35</v>
      </c>
      <c r="N3952" s="11">
        <v>45260.0</v>
      </c>
      <c r="O3952" s="11">
        <v>45519.0</v>
      </c>
      <c r="P3952" s="11">
        <v>45561.0</v>
      </c>
      <c r="Q3952" s="11"/>
      <c r="R3952" s="11"/>
      <c r="S3952" s="12"/>
      <c r="T3952" s="8"/>
      <c r="U3952" s="8" t="s">
        <v>59</v>
      </c>
      <c r="V3952" s="13" t="s">
        <v>4256</v>
      </c>
      <c r="W3952" s="13" t="s">
        <v>18287</v>
      </c>
      <c r="X3952" s="12"/>
      <c r="Y3952" s="14"/>
      <c r="Z3952" s="14"/>
    </row>
    <row r="3953">
      <c r="A3953" s="8" t="s">
        <v>18288</v>
      </c>
      <c r="B3953" s="8" t="s">
        <v>18289</v>
      </c>
      <c r="C3953" s="8" t="s">
        <v>179</v>
      </c>
      <c r="D3953" s="8" t="s">
        <v>26</v>
      </c>
      <c r="E3953" s="8" t="s">
        <v>18290</v>
      </c>
      <c r="F3953" s="8"/>
      <c r="G3953" s="8" t="s">
        <v>54</v>
      </c>
      <c r="H3953" s="8" t="s">
        <v>55</v>
      </c>
      <c r="I3953" s="8" t="s">
        <v>31</v>
      </c>
      <c r="J3953" s="8" t="s">
        <v>77</v>
      </c>
      <c r="K3953" s="10" t="s">
        <v>2555</v>
      </c>
      <c r="L3953" s="8" t="s">
        <v>58</v>
      </c>
      <c r="M3953" s="8" t="s">
        <v>35</v>
      </c>
      <c r="N3953" s="11">
        <v>45260.0</v>
      </c>
      <c r="O3953" s="11">
        <v>45474.0</v>
      </c>
      <c r="P3953" s="11">
        <v>45516.0</v>
      </c>
      <c r="Q3953" s="11"/>
      <c r="R3953" s="11"/>
      <c r="S3953" s="12"/>
      <c r="T3953" s="8"/>
      <c r="U3953" s="8" t="s">
        <v>371</v>
      </c>
      <c r="V3953" s="13" t="s">
        <v>38</v>
      </c>
      <c r="W3953" s="13" t="s">
        <v>18291</v>
      </c>
      <c r="X3953" s="12"/>
      <c r="Y3953" s="14"/>
      <c r="Z3953" s="14"/>
    </row>
    <row r="3954">
      <c r="A3954" s="8" t="s">
        <v>18292</v>
      </c>
      <c r="B3954" s="8" t="s">
        <v>18293</v>
      </c>
      <c r="C3954" s="8" t="s">
        <v>179</v>
      </c>
      <c r="D3954" s="8" t="s">
        <v>26</v>
      </c>
      <c r="E3954" s="8" t="s">
        <v>18294</v>
      </c>
      <c r="F3954" s="8">
        <v>5.445036786E9</v>
      </c>
      <c r="G3954" s="8" t="s">
        <v>31</v>
      </c>
      <c r="H3954" s="8" t="s">
        <v>111</v>
      </c>
      <c r="I3954" s="8" t="s">
        <v>54</v>
      </c>
      <c r="J3954" s="8" t="s">
        <v>135</v>
      </c>
      <c r="K3954" s="10" t="s">
        <v>18168</v>
      </c>
      <c r="L3954" s="8" t="s">
        <v>58</v>
      </c>
      <c r="M3954" s="8" t="s">
        <v>35</v>
      </c>
      <c r="N3954" s="11">
        <v>45260.0</v>
      </c>
      <c r="O3954" s="11">
        <v>45474.0</v>
      </c>
      <c r="P3954" s="11">
        <v>45516.0</v>
      </c>
      <c r="Q3954" s="11"/>
      <c r="R3954" s="11"/>
      <c r="S3954" s="12"/>
      <c r="T3954" s="8"/>
      <c r="U3954" s="8" t="s">
        <v>59</v>
      </c>
      <c r="V3954" s="13" t="s">
        <v>111</v>
      </c>
      <c r="W3954" s="13" t="s">
        <v>18295</v>
      </c>
      <c r="X3954" s="12"/>
      <c r="Y3954" s="14"/>
      <c r="Z3954" s="14"/>
    </row>
    <row r="3955">
      <c r="A3955" s="8" t="s">
        <v>18296</v>
      </c>
      <c r="B3955" s="8" t="s">
        <v>18297</v>
      </c>
      <c r="C3955" s="8" t="s">
        <v>179</v>
      </c>
      <c r="D3955" s="8" t="s">
        <v>26</v>
      </c>
      <c r="E3955" s="8" t="s">
        <v>18298</v>
      </c>
      <c r="F3955" s="8">
        <v>5.519413787E9</v>
      </c>
      <c r="G3955" s="8" t="s">
        <v>31</v>
      </c>
      <c r="H3955" s="8" t="s">
        <v>111</v>
      </c>
      <c r="I3955" s="8" t="s">
        <v>54</v>
      </c>
      <c r="J3955" s="8" t="s">
        <v>135</v>
      </c>
      <c r="K3955" s="10" t="s">
        <v>18299</v>
      </c>
      <c r="L3955" s="8" t="s">
        <v>58</v>
      </c>
      <c r="M3955" s="8" t="s">
        <v>35</v>
      </c>
      <c r="N3955" s="11">
        <v>45260.0</v>
      </c>
      <c r="O3955" s="11">
        <v>45316.0</v>
      </c>
      <c r="P3955" s="11">
        <v>45358.0</v>
      </c>
      <c r="Q3955" s="11"/>
      <c r="R3955" s="11"/>
      <c r="S3955" s="12"/>
      <c r="T3955" s="8"/>
      <c r="U3955" s="8" t="s">
        <v>1590</v>
      </c>
      <c r="V3955" s="13" t="s">
        <v>111</v>
      </c>
      <c r="W3955" s="13" t="s">
        <v>18300</v>
      </c>
      <c r="X3955" s="12"/>
      <c r="Y3955" s="14"/>
      <c r="Z3955" s="14"/>
    </row>
    <row r="3956">
      <c r="A3956" s="8" t="s">
        <v>18301</v>
      </c>
      <c r="B3956" s="8" t="s">
        <v>18302</v>
      </c>
      <c r="C3956" s="8" t="s">
        <v>179</v>
      </c>
      <c r="D3956" s="8" t="s">
        <v>26</v>
      </c>
      <c r="E3956" s="8" t="s">
        <v>18303</v>
      </c>
      <c r="F3956" s="8">
        <v>9.59377568E8</v>
      </c>
      <c r="G3956" s="8" t="s">
        <v>1620</v>
      </c>
      <c r="H3956" s="8" t="s">
        <v>1635</v>
      </c>
      <c r="I3956" s="8" t="s">
        <v>31</v>
      </c>
      <c r="J3956" s="8" t="s">
        <v>77</v>
      </c>
      <c r="K3956" s="10" t="s">
        <v>2555</v>
      </c>
      <c r="L3956" s="8" t="s">
        <v>58</v>
      </c>
      <c r="M3956" s="8" t="s">
        <v>35</v>
      </c>
      <c r="N3956" s="11">
        <v>45260.0</v>
      </c>
      <c r="O3956" s="11">
        <v>45488.0</v>
      </c>
      <c r="P3956" s="11">
        <v>45530.0</v>
      </c>
      <c r="Q3956" s="11"/>
      <c r="R3956" s="11"/>
      <c r="S3956" s="12"/>
      <c r="T3956" s="8"/>
      <c r="U3956" s="8" t="s">
        <v>371</v>
      </c>
      <c r="V3956" s="13" t="s">
        <v>4256</v>
      </c>
      <c r="W3956" s="13" t="s">
        <v>18304</v>
      </c>
      <c r="X3956" s="12"/>
      <c r="Y3956" s="14"/>
      <c r="Z3956" s="14"/>
    </row>
    <row r="3957">
      <c r="A3957" s="8" t="s">
        <v>18305</v>
      </c>
      <c r="B3957" s="8" t="s">
        <v>18306</v>
      </c>
      <c r="C3957" s="8" t="s">
        <v>179</v>
      </c>
      <c r="D3957" s="8" t="s">
        <v>26</v>
      </c>
      <c r="E3957" s="8" t="s">
        <v>18307</v>
      </c>
      <c r="F3957" s="8">
        <v>1.575833724E10</v>
      </c>
      <c r="G3957" s="8" t="s">
        <v>202</v>
      </c>
      <c r="H3957" s="8" t="s">
        <v>18308</v>
      </c>
      <c r="I3957" s="8" t="s">
        <v>31</v>
      </c>
      <c r="J3957" s="8" t="s">
        <v>32</v>
      </c>
      <c r="K3957" s="10" t="s">
        <v>1451</v>
      </c>
      <c r="L3957" s="8" t="s">
        <v>58</v>
      </c>
      <c r="M3957" s="8" t="s">
        <v>35</v>
      </c>
      <c r="N3957" s="11">
        <v>45260.0</v>
      </c>
      <c r="O3957" s="11">
        <v>45375.0</v>
      </c>
      <c r="P3957" s="11">
        <v>45417.0</v>
      </c>
      <c r="Q3957" s="11"/>
      <c r="R3957" s="11"/>
      <c r="S3957" s="12"/>
      <c r="T3957" s="8"/>
      <c r="U3957" s="8" t="s">
        <v>59</v>
      </c>
      <c r="V3957" s="13" t="s">
        <v>18309</v>
      </c>
      <c r="W3957" s="13" t="s">
        <v>18310</v>
      </c>
      <c r="X3957" s="12"/>
      <c r="Y3957" s="14"/>
      <c r="Z3957" s="14"/>
    </row>
    <row r="3958">
      <c r="A3958" s="8" t="s">
        <v>18311</v>
      </c>
      <c r="B3958" s="8" t="s">
        <v>18312</v>
      </c>
      <c r="C3958" s="8" t="s">
        <v>179</v>
      </c>
      <c r="D3958" s="8" t="s">
        <v>26</v>
      </c>
      <c r="E3958" s="8" t="s">
        <v>18313</v>
      </c>
      <c r="F3958" s="8">
        <v>5.399357404E9</v>
      </c>
      <c r="G3958" s="8" t="s">
        <v>31</v>
      </c>
      <c r="H3958" s="8" t="s">
        <v>111</v>
      </c>
      <c r="I3958" s="8" t="s">
        <v>284</v>
      </c>
      <c r="J3958" s="8" t="s">
        <v>3188</v>
      </c>
      <c r="K3958" s="10" t="s">
        <v>18314</v>
      </c>
      <c r="L3958" s="8" t="s">
        <v>58</v>
      </c>
      <c r="M3958" s="8" t="s">
        <v>35</v>
      </c>
      <c r="N3958" s="11">
        <v>45260.0</v>
      </c>
      <c r="O3958" s="11">
        <v>45327.0</v>
      </c>
      <c r="P3958" s="11">
        <v>45369.0</v>
      </c>
      <c r="Q3958" s="11"/>
      <c r="R3958" s="11"/>
      <c r="S3958" s="12"/>
      <c r="T3958" s="8"/>
      <c r="U3958" s="8" t="s">
        <v>59</v>
      </c>
      <c r="V3958" s="13" t="s">
        <v>545</v>
      </c>
      <c r="W3958" s="13" t="s">
        <v>18315</v>
      </c>
      <c r="X3958" s="12"/>
      <c r="Y3958" s="14"/>
      <c r="Z3958" s="14"/>
    </row>
    <row r="3959">
      <c r="A3959" s="8" t="s">
        <v>18316</v>
      </c>
      <c r="B3959" s="8" t="s">
        <v>18317</v>
      </c>
      <c r="C3959" s="8" t="s">
        <v>708</v>
      </c>
      <c r="D3959" s="8" t="s">
        <v>26</v>
      </c>
      <c r="E3959" s="8" t="s">
        <v>18318</v>
      </c>
      <c r="F3959" s="8">
        <v>5.384426419E9</v>
      </c>
      <c r="G3959" s="8" t="s">
        <v>29</v>
      </c>
      <c r="H3959" s="8" t="s">
        <v>9867</v>
      </c>
      <c r="I3959" s="8" t="s">
        <v>31</v>
      </c>
      <c r="J3959" s="8" t="s">
        <v>1119</v>
      </c>
      <c r="K3959" s="10" t="s">
        <v>4889</v>
      </c>
      <c r="L3959" s="8" t="s">
        <v>47</v>
      </c>
      <c r="M3959" s="8" t="s">
        <v>70</v>
      </c>
      <c r="N3959" s="11">
        <v>45260.0</v>
      </c>
      <c r="O3959" s="11">
        <v>45268.0</v>
      </c>
      <c r="P3959" s="11">
        <v>45626.0</v>
      </c>
      <c r="Q3959" s="11">
        <v>45274.0</v>
      </c>
      <c r="R3959" s="11">
        <v>45639.0</v>
      </c>
      <c r="S3959" s="12"/>
      <c r="T3959" s="8"/>
      <c r="U3959" s="8" t="s">
        <v>4890</v>
      </c>
      <c r="V3959" s="13" t="s">
        <v>38</v>
      </c>
      <c r="W3959" s="13" t="s">
        <v>18319</v>
      </c>
      <c r="X3959" s="12"/>
      <c r="Y3959" s="14"/>
      <c r="Z3959" s="14"/>
    </row>
    <row r="3960">
      <c r="A3960" s="8" t="s">
        <v>18320</v>
      </c>
      <c r="B3960" s="8" t="s">
        <v>18321</v>
      </c>
      <c r="C3960" s="8" t="s">
        <v>179</v>
      </c>
      <c r="D3960" s="8" t="s">
        <v>26</v>
      </c>
      <c r="E3960" s="8" t="s">
        <v>18322</v>
      </c>
      <c r="F3960" s="8">
        <v>1.097763929E9</v>
      </c>
      <c r="G3960" s="8" t="s">
        <v>284</v>
      </c>
      <c r="H3960" s="8" t="s">
        <v>1422</v>
      </c>
      <c r="I3960" s="8" t="s">
        <v>31</v>
      </c>
      <c r="J3960" s="8" t="s">
        <v>32</v>
      </c>
      <c r="K3960" s="10" t="s">
        <v>1813</v>
      </c>
      <c r="L3960" s="8" t="s">
        <v>58</v>
      </c>
      <c r="M3960" s="8" t="s">
        <v>35</v>
      </c>
      <c r="N3960" s="11">
        <v>45260.0</v>
      </c>
      <c r="O3960" s="11">
        <v>45509.0</v>
      </c>
      <c r="P3960" s="11">
        <v>45551.0</v>
      </c>
      <c r="Q3960" s="11"/>
      <c r="R3960" s="11"/>
      <c r="S3960" s="12"/>
      <c r="T3960" s="8"/>
      <c r="U3960" s="8" t="s">
        <v>161</v>
      </c>
      <c r="V3960" s="13" t="s">
        <v>1424</v>
      </c>
      <c r="W3960" s="13" t="s">
        <v>18323</v>
      </c>
      <c r="X3960" s="12"/>
      <c r="Y3960" s="14"/>
      <c r="Z3960" s="14"/>
    </row>
    <row r="3961">
      <c r="A3961" s="8" t="s">
        <v>18324</v>
      </c>
      <c r="B3961" s="8" t="s">
        <v>18325</v>
      </c>
      <c r="C3961" s="8" t="s">
        <v>179</v>
      </c>
      <c r="D3961" s="8" t="s">
        <v>26</v>
      </c>
      <c r="E3961" s="8" t="s">
        <v>18326</v>
      </c>
      <c r="F3961" s="8">
        <v>5.457673237E9</v>
      </c>
      <c r="G3961" s="8" t="s">
        <v>31</v>
      </c>
      <c r="H3961" s="8" t="s">
        <v>1274</v>
      </c>
      <c r="I3961" s="8" t="s">
        <v>399</v>
      </c>
      <c r="J3961" s="8" t="s">
        <v>904</v>
      </c>
      <c r="K3961" s="10" t="s">
        <v>15675</v>
      </c>
      <c r="L3961" s="8" t="s">
        <v>58</v>
      </c>
      <c r="M3961" s="8" t="s">
        <v>35</v>
      </c>
      <c r="N3961" s="11">
        <v>45260.0</v>
      </c>
      <c r="O3961" s="11">
        <v>45474.0</v>
      </c>
      <c r="P3961" s="11">
        <v>45516.0</v>
      </c>
      <c r="Q3961" s="11"/>
      <c r="R3961" s="11"/>
      <c r="S3961" s="12"/>
      <c r="T3961" s="8"/>
      <c r="U3961" s="8" t="s">
        <v>402</v>
      </c>
      <c r="V3961" s="13" t="s">
        <v>1274</v>
      </c>
      <c r="W3961" s="13" t="s">
        <v>18327</v>
      </c>
      <c r="X3961" s="12"/>
      <c r="Y3961" s="14"/>
      <c r="Z3961" s="14"/>
    </row>
    <row r="3962">
      <c r="A3962" s="8" t="s">
        <v>18328</v>
      </c>
      <c r="B3962" s="8" t="s">
        <v>18329</v>
      </c>
      <c r="C3962" s="8" t="s">
        <v>179</v>
      </c>
      <c r="D3962" s="8" t="s">
        <v>26</v>
      </c>
      <c r="E3962" s="8" t="s">
        <v>18330</v>
      </c>
      <c r="F3962" s="8">
        <v>5.428737279E9</v>
      </c>
      <c r="G3962" s="8" t="s">
        <v>31</v>
      </c>
      <c r="H3962" s="8" t="s">
        <v>959</v>
      </c>
      <c r="I3962" s="8" t="s">
        <v>44</v>
      </c>
      <c r="J3962" s="8" t="s">
        <v>453</v>
      </c>
      <c r="K3962" s="10" t="s">
        <v>484</v>
      </c>
      <c r="L3962" s="8" t="s">
        <v>58</v>
      </c>
      <c r="M3962" s="8" t="s">
        <v>35</v>
      </c>
      <c r="N3962" s="11">
        <v>45260.0</v>
      </c>
      <c r="O3962" s="11">
        <v>45488.0</v>
      </c>
      <c r="P3962" s="11">
        <v>45530.0</v>
      </c>
      <c r="Q3962" s="11"/>
      <c r="R3962" s="11"/>
      <c r="S3962" s="12"/>
      <c r="T3962" s="8"/>
      <c r="U3962" s="8" t="s">
        <v>371</v>
      </c>
      <c r="V3962" s="13" t="s">
        <v>1069</v>
      </c>
      <c r="W3962" s="13" t="s">
        <v>18331</v>
      </c>
      <c r="X3962" s="12"/>
      <c r="Y3962" s="14"/>
      <c r="Z3962" s="14"/>
    </row>
    <row r="3963">
      <c r="A3963" s="8" t="s">
        <v>18332</v>
      </c>
      <c r="B3963" s="8" t="s">
        <v>18333</v>
      </c>
      <c r="C3963" s="8" t="s">
        <v>179</v>
      </c>
      <c r="D3963" s="8" t="s">
        <v>26</v>
      </c>
      <c r="E3963" s="8" t="s">
        <v>18334</v>
      </c>
      <c r="F3963" s="8">
        <v>5.8408904E7</v>
      </c>
      <c r="G3963" s="8" t="s">
        <v>54</v>
      </c>
      <c r="H3963" s="8" t="s">
        <v>377</v>
      </c>
      <c r="I3963" s="8" t="s">
        <v>31</v>
      </c>
      <c r="J3963" s="8" t="s">
        <v>77</v>
      </c>
      <c r="K3963" s="10" t="s">
        <v>2010</v>
      </c>
      <c r="L3963" s="8" t="s">
        <v>47</v>
      </c>
      <c r="M3963" s="8" t="s">
        <v>70</v>
      </c>
      <c r="N3963" s="11">
        <v>45260.0</v>
      </c>
      <c r="O3963" s="11">
        <v>45278.0</v>
      </c>
      <c r="P3963" s="11">
        <v>45470.0</v>
      </c>
      <c r="Q3963" s="11"/>
      <c r="R3963" s="11"/>
      <c r="S3963" s="12"/>
      <c r="T3963" s="8"/>
      <c r="U3963" s="8" t="s">
        <v>2011</v>
      </c>
      <c r="V3963" s="13" t="s">
        <v>1604</v>
      </c>
      <c r="W3963" s="13" t="s">
        <v>18335</v>
      </c>
      <c r="X3963" s="12"/>
      <c r="Y3963" s="14"/>
      <c r="Z3963" s="14"/>
    </row>
    <row r="3964">
      <c r="A3964" s="8" t="s">
        <v>18336</v>
      </c>
      <c r="B3964" s="8" t="s">
        <v>18337</v>
      </c>
      <c r="C3964" s="8" t="s">
        <v>179</v>
      </c>
      <c r="D3964" s="8" t="s">
        <v>26</v>
      </c>
      <c r="E3964" s="8" t="s">
        <v>18338</v>
      </c>
      <c r="F3964" s="8">
        <v>5.307358603E9</v>
      </c>
      <c r="G3964" s="8" t="s">
        <v>31</v>
      </c>
      <c r="H3964" s="8" t="s">
        <v>66</v>
      </c>
      <c r="I3964" s="8" t="s">
        <v>284</v>
      </c>
      <c r="J3964" s="8" t="s">
        <v>1450</v>
      </c>
      <c r="K3964" s="10" t="s">
        <v>11291</v>
      </c>
      <c r="L3964" s="8" t="s">
        <v>58</v>
      </c>
      <c r="M3964" s="8" t="s">
        <v>35</v>
      </c>
      <c r="N3964" s="11">
        <v>45260.0</v>
      </c>
      <c r="O3964" s="11">
        <v>45313.0</v>
      </c>
      <c r="P3964" s="11">
        <v>45355.0</v>
      </c>
      <c r="Q3964" s="11"/>
      <c r="R3964" s="11"/>
      <c r="S3964" s="12"/>
      <c r="T3964" s="8"/>
      <c r="U3964" s="8" t="s">
        <v>1038</v>
      </c>
      <c r="V3964" s="13" t="s">
        <v>66</v>
      </c>
      <c r="W3964" s="13" t="s">
        <v>18339</v>
      </c>
      <c r="X3964" s="12"/>
      <c r="Y3964" s="14"/>
      <c r="Z3964" s="14"/>
    </row>
    <row r="3965">
      <c r="A3965" s="8" t="s">
        <v>18340</v>
      </c>
      <c r="B3965" s="8" t="s">
        <v>18341</v>
      </c>
      <c r="C3965" s="8" t="s">
        <v>708</v>
      </c>
      <c r="D3965" s="8" t="s">
        <v>26</v>
      </c>
      <c r="E3965" s="8" t="s">
        <v>18342</v>
      </c>
      <c r="F3965" s="8"/>
      <c r="G3965" s="8" t="s">
        <v>31</v>
      </c>
      <c r="H3965" s="8" t="s">
        <v>438</v>
      </c>
      <c r="I3965" s="8" t="s">
        <v>221</v>
      </c>
      <c r="J3965" s="8" t="s">
        <v>2760</v>
      </c>
      <c r="K3965" s="10" t="s">
        <v>18343</v>
      </c>
      <c r="L3965" s="8" t="s">
        <v>58</v>
      </c>
      <c r="M3965" s="8" t="s">
        <v>35</v>
      </c>
      <c r="N3965" s="11">
        <v>45260.0</v>
      </c>
      <c r="O3965" s="11">
        <v>45306.0</v>
      </c>
      <c r="P3965" s="11">
        <v>45348.0</v>
      </c>
      <c r="Q3965" s="11">
        <v>45320.0</v>
      </c>
      <c r="R3965" s="11">
        <v>45361.0</v>
      </c>
      <c r="S3965" s="12"/>
      <c r="T3965" s="8"/>
      <c r="U3965" s="8" t="s">
        <v>88</v>
      </c>
      <c r="V3965" s="13" t="s">
        <v>38</v>
      </c>
      <c r="W3965" s="13" t="s">
        <v>18344</v>
      </c>
      <c r="X3965" s="12"/>
      <c r="Y3965" s="14"/>
      <c r="Z3965" s="14"/>
    </row>
    <row r="3966">
      <c r="A3966" s="8" t="s">
        <v>18345</v>
      </c>
      <c r="B3966" s="8" t="s">
        <v>18346</v>
      </c>
      <c r="C3966" s="8" t="s">
        <v>708</v>
      </c>
      <c r="D3966" s="8" t="s">
        <v>26</v>
      </c>
      <c r="E3966" s="8" t="s">
        <v>18347</v>
      </c>
      <c r="F3966" s="8">
        <v>9.4145561E7</v>
      </c>
      <c r="G3966" s="8" t="s">
        <v>54</v>
      </c>
      <c r="H3966" s="8" t="s">
        <v>76</v>
      </c>
      <c r="I3966" s="8" t="s">
        <v>31</v>
      </c>
      <c r="J3966" s="8" t="s">
        <v>111</v>
      </c>
      <c r="K3966" s="10" t="s">
        <v>14958</v>
      </c>
      <c r="L3966" s="8" t="s">
        <v>47</v>
      </c>
      <c r="M3966" s="8" t="s">
        <v>70</v>
      </c>
      <c r="N3966" s="11">
        <v>45260.0</v>
      </c>
      <c r="O3966" s="11">
        <v>45264.0</v>
      </c>
      <c r="P3966" s="11">
        <v>45630.0</v>
      </c>
      <c r="Q3966" s="11">
        <v>45269.0</v>
      </c>
      <c r="R3966" s="11">
        <v>45635.0</v>
      </c>
      <c r="S3966" s="12"/>
      <c r="T3966" s="8"/>
      <c r="U3966" s="8" t="s">
        <v>14959</v>
      </c>
      <c r="V3966" s="13" t="s">
        <v>491</v>
      </c>
      <c r="W3966" s="13" t="s">
        <v>18348</v>
      </c>
      <c r="X3966" s="12"/>
      <c r="Y3966" s="14"/>
      <c r="Z3966" s="14"/>
    </row>
    <row r="3967">
      <c r="A3967" s="8" t="s">
        <v>18349</v>
      </c>
      <c r="B3967" s="8" t="s">
        <v>18350</v>
      </c>
      <c r="C3967" s="8" t="s">
        <v>179</v>
      </c>
      <c r="D3967" s="8" t="s">
        <v>26</v>
      </c>
      <c r="E3967" s="8" t="s">
        <v>18351</v>
      </c>
      <c r="F3967" s="8">
        <v>5.524221275E9</v>
      </c>
      <c r="G3967" s="8" t="s">
        <v>31</v>
      </c>
      <c r="H3967" s="8" t="s">
        <v>102</v>
      </c>
      <c r="I3967" s="8" t="s">
        <v>44</v>
      </c>
      <c r="J3967" s="8" t="s">
        <v>3093</v>
      </c>
      <c r="K3967" s="10" t="s">
        <v>14679</v>
      </c>
      <c r="L3967" s="8" t="s">
        <v>58</v>
      </c>
      <c r="M3967" s="8" t="s">
        <v>35</v>
      </c>
      <c r="N3967" s="11">
        <v>45260.0</v>
      </c>
      <c r="O3967" s="11">
        <v>45480.0</v>
      </c>
      <c r="P3967" s="11">
        <v>45522.0</v>
      </c>
      <c r="Q3967" s="11"/>
      <c r="R3967" s="11"/>
      <c r="S3967" s="12"/>
      <c r="T3967" s="8"/>
      <c r="U3967" s="8" t="s">
        <v>1038</v>
      </c>
      <c r="V3967" s="13" t="s">
        <v>102</v>
      </c>
      <c r="W3967" s="13" t="s">
        <v>18352</v>
      </c>
      <c r="X3967" s="12"/>
      <c r="Y3967" s="14"/>
      <c r="Z3967" s="14"/>
    </row>
    <row r="3968">
      <c r="A3968" s="8" t="s">
        <v>18353</v>
      </c>
      <c r="B3968" s="8" t="s">
        <v>18354</v>
      </c>
      <c r="C3968" s="8" t="s">
        <v>179</v>
      </c>
      <c r="D3968" s="8" t="s">
        <v>26</v>
      </c>
      <c r="E3968" s="8" t="s">
        <v>18355</v>
      </c>
      <c r="F3968" s="8">
        <v>5.557560543E9</v>
      </c>
      <c r="G3968" s="8" t="s">
        <v>31</v>
      </c>
      <c r="H3968" s="8" t="s">
        <v>102</v>
      </c>
      <c r="I3968" s="8" t="s">
        <v>44</v>
      </c>
      <c r="J3968" s="8" t="s">
        <v>3093</v>
      </c>
      <c r="K3968" s="10" t="s">
        <v>14679</v>
      </c>
      <c r="L3968" s="8" t="s">
        <v>58</v>
      </c>
      <c r="M3968" s="8" t="s">
        <v>35</v>
      </c>
      <c r="N3968" s="11">
        <v>45260.0</v>
      </c>
      <c r="O3968" s="11">
        <v>45480.0</v>
      </c>
      <c r="P3968" s="11">
        <v>45522.0</v>
      </c>
      <c r="Q3968" s="11"/>
      <c r="R3968" s="11"/>
      <c r="S3968" s="12"/>
      <c r="T3968" s="8"/>
      <c r="U3968" s="8" t="s">
        <v>1038</v>
      </c>
      <c r="V3968" s="13" t="s">
        <v>102</v>
      </c>
      <c r="W3968" s="13" t="s">
        <v>18356</v>
      </c>
      <c r="X3968" s="12"/>
      <c r="Y3968" s="14"/>
      <c r="Z3968" s="14"/>
    </row>
    <row r="3969">
      <c r="A3969" s="8" t="s">
        <v>18357</v>
      </c>
      <c r="B3969" s="8" t="s">
        <v>18358</v>
      </c>
      <c r="C3969" s="8" t="s">
        <v>179</v>
      </c>
      <c r="D3969" s="8" t="s">
        <v>26</v>
      </c>
      <c r="E3969" s="8" t="s">
        <v>18359</v>
      </c>
      <c r="F3969" s="8">
        <v>5.537665446E9</v>
      </c>
      <c r="G3969" s="8" t="s">
        <v>31</v>
      </c>
      <c r="H3969" s="8" t="s">
        <v>102</v>
      </c>
      <c r="I3969" s="8" t="s">
        <v>44</v>
      </c>
      <c r="J3969" s="8" t="s">
        <v>3093</v>
      </c>
      <c r="K3969" s="10" t="s">
        <v>14679</v>
      </c>
      <c r="L3969" s="8" t="s">
        <v>58</v>
      </c>
      <c r="M3969" s="8" t="s">
        <v>35</v>
      </c>
      <c r="N3969" s="11">
        <v>45260.0</v>
      </c>
      <c r="O3969" s="11">
        <v>45480.0</v>
      </c>
      <c r="P3969" s="11">
        <v>45522.0</v>
      </c>
      <c r="Q3969" s="11"/>
      <c r="R3969" s="11"/>
      <c r="S3969" s="12"/>
      <c r="T3969" s="8"/>
      <c r="U3969" s="8" t="s">
        <v>1038</v>
      </c>
      <c r="V3969" s="13" t="s">
        <v>102</v>
      </c>
      <c r="W3969" s="13" t="s">
        <v>18360</v>
      </c>
      <c r="X3969" s="12"/>
      <c r="Y3969" s="14"/>
      <c r="Z3969" s="14"/>
    </row>
    <row r="3970">
      <c r="A3970" s="8" t="s">
        <v>18361</v>
      </c>
      <c r="B3970" s="8" t="s">
        <v>18362</v>
      </c>
      <c r="C3970" s="8" t="s">
        <v>179</v>
      </c>
      <c r="D3970" s="8" t="s">
        <v>26</v>
      </c>
      <c r="E3970" s="8" t="s">
        <v>18363</v>
      </c>
      <c r="F3970" s="8">
        <v>5.41714609E9</v>
      </c>
      <c r="G3970" s="8" t="s">
        <v>31</v>
      </c>
      <c r="H3970" s="8" t="s">
        <v>102</v>
      </c>
      <c r="I3970" s="8" t="s">
        <v>44</v>
      </c>
      <c r="J3970" s="8" t="s">
        <v>3093</v>
      </c>
      <c r="K3970" s="10" t="s">
        <v>18364</v>
      </c>
      <c r="L3970" s="8" t="s">
        <v>58</v>
      </c>
      <c r="M3970" s="8" t="s">
        <v>35</v>
      </c>
      <c r="N3970" s="11">
        <v>45260.0</v>
      </c>
      <c r="O3970" s="11">
        <v>45505.0</v>
      </c>
      <c r="P3970" s="11">
        <v>45550.0</v>
      </c>
      <c r="Q3970" s="11"/>
      <c r="R3970" s="11"/>
      <c r="S3970" s="12"/>
      <c r="T3970" s="8"/>
      <c r="U3970" s="8" t="s">
        <v>153</v>
      </c>
      <c r="V3970" s="13" t="s">
        <v>102</v>
      </c>
      <c r="W3970" s="13" t="s">
        <v>18365</v>
      </c>
      <c r="X3970" s="12"/>
      <c r="Y3970" s="14"/>
      <c r="Z3970" s="14"/>
    </row>
    <row r="3971">
      <c r="A3971" s="8" t="s">
        <v>18366</v>
      </c>
      <c r="B3971" s="8" t="s">
        <v>18367</v>
      </c>
      <c r="C3971" s="8" t="s">
        <v>179</v>
      </c>
      <c r="D3971" s="8" t="s">
        <v>26</v>
      </c>
      <c r="E3971" s="8" t="s">
        <v>18368</v>
      </c>
      <c r="F3971" s="8"/>
      <c r="G3971" s="8" t="s">
        <v>818</v>
      </c>
      <c r="H3971" s="8" t="s">
        <v>14725</v>
      </c>
      <c r="I3971" s="8" t="s">
        <v>31</v>
      </c>
      <c r="J3971" s="8" t="s">
        <v>111</v>
      </c>
      <c r="K3971" s="10" t="s">
        <v>16330</v>
      </c>
      <c r="L3971" s="8" t="s">
        <v>58</v>
      </c>
      <c r="M3971" s="8" t="s">
        <v>35</v>
      </c>
      <c r="N3971" s="11">
        <v>45260.0</v>
      </c>
      <c r="O3971" s="11">
        <v>45425.0</v>
      </c>
      <c r="P3971" s="11">
        <v>45467.0</v>
      </c>
      <c r="Q3971" s="11"/>
      <c r="R3971" s="11"/>
      <c r="S3971" s="12"/>
      <c r="T3971" s="8"/>
      <c r="U3971" s="8" t="s">
        <v>59</v>
      </c>
      <c r="V3971" s="13" t="s">
        <v>38</v>
      </c>
      <c r="W3971" s="13" t="s">
        <v>18369</v>
      </c>
      <c r="X3971" s="12"/>
      <c r="Y3971" s="14"/>
      <c r="Z3971" s="14"/>
    </row>
    <row r="3972">
      <c r="A3972" s="8" t="s">
        <v>18370</v>
      </c>
      <c r="B3972" s="8" t="s">
        <v>18371</v>
      </c>
      <c r="C3972" s="8" t="s">
        <v>179</v>
      </c>
      <c r="D3972" s="8" t="s">
        <v>26</v>
      </c>
      <c r="E3972" s="8" t="s">
        <v>18372</v>
      </c>
      <c r="F3972" s="8">
        <v>1.097399339E9</v>
      </c>
      <c r="G3972" s="8" t="s">
        <v>284</v>
      </c>
      <c r="H3972" s="8" t="s">
        <v>854</v>
      </c>
      <c r="I3972" s="8" t="s">
        <v>31</v>
      </c>
      <c r="J3972" s="8" t="s">
        <v>256</v>
      </c>
      <c r="K3972" s="10" t="s">
        <v>10689</v>
      </c>
      <c r="L3972" s="8" t="s">
        <v>58</v>
      </c>
      <c r="M3972" s="8" t="s">
        <v>35</v>
      </c>
      <c r="N3972" s="11">
        <v>45260.0</v>
      </c>
      <c r="O3972" s="11">
        <v>45483.0</v>
      </c>
      <c r="P3972" s="11">
        <v>45525.0</v>
      </c>
      <c r="Q3972" s="11"/>
      <c r="R3972" s="11"/>
      <c r="S3972" s="12"/>
      <c r="T3972" s="8"/>
      <c r="U3972" s="8" t="s">
        <v>59</v>
      </c>
      <c r="V3972" s="13" t="s">
        <v>856</v>
      </c>
      <c r="W3972" s="13" t="s">
        <v>18373</v>
      </c>
      <c r="X3972" s="12"/>
      <c r="Y3972" s="14"/>
      <c r="Z3972" s="14"/>
    </row>
    <row r="3973">
      <c r="A3973" s="8" t="s">
        <v>18374</v>
      </c>
      <c r="B3973" s="8" t="s">
        <v>18375</v>
      </c>
      <c r="C3973" s="8" t="s">
        <v>179</v>
      </c>
      <c r="D3973" s="8" t="s">
        <v>26</v>
      </c>
      <c r="E3973" s="8" t="s">
        <v>18376</v>
      </c>
      <c r="F3973" s="8">
        <v>2.0540501E7</v>
      </c>
      <c r="G3973" s="8" t="s">
        <v>54</v>
      </c>
      <c r="H3973" s="8" t="s">
        <v>369</v>
      </c>
      <c r="I3973" s="8" t="s">
        <v>31</v>
      </c>
      <c r="J3973" s="8" t="s">
        <v>77</v>
      </c>
      <c r="K3973" s="10" t="s">
        <v>2555</v>
      </c>
      <c r="L3973" s="8" t="s">
        <v>58</v>
      </c>
      <c r="M3973" s="8" t="s">
        <v>35</v>
      </c>
      <c r="N3973" s="11">
        <v>45260.0</v>
      </c>
      <c r="O3973" s="11">
        <v>45488.0</v>
      </c>
      <c r="P3973" s="11">
        <v>45530.0</v>
      </c>
      <c r="Q3973" s="11"/>
      <c r="R3973" s="11"/>
      <c r="S3973" s="12"/>
      <c r="T3973" s="8"/>
      <c r="U3973" s="8" t="s">
        <v>371</v>
      </c>
      <c r="V3973" s="13" t="s">
        <v>372</v>
      </c>
      <c r="W3973" s="13" t="s">
        <v>18377</v>
      </c>
      <c r="X3973" s="12"/>
      <c r="Y3973" s="14"/>
      <c r="Z3973" s="14"/>
    </row>
    <row r="3974">
      <c r="A3974" s="8" t="s">
        <v>18378</v>
      </c>
      <c r="B3974" s="8" t="s">
        <v>18379</v>
      </c>
      <c r="C3974" s="8" t="s">
        <v>179</v>
      </c>
      <c r="D3974" s="8" t="s">
        <v>26</v>
      </c>
      <c r="E3974" s="8" t="s">
        <v>18380</v>
      </c>
      <c r="F3974" s="8">
        <v>5.5397707E7</v>
      </c>
      <c r="G3974" s="8" t="s">
        <v>54</v>
      </c>
      <c r="H3974" s="8" t="s">
        <v>377</v>
      </c>
      <c r="I3974" s="8" t="s">
        <v>31</v>
      </c>
      <c r="J3974" s="8" t="s">
        <v>77</v>
      </c>
      <c r="K3974" s="10" t="s">
        <v>16181</v>
      </c>
      <c r="L3974" s="8" t="s">
        <v>58</v>
      </c>
      <c r="M3974" s="8" t="s">
        <v>35</v>
      </c>
      <c r="N3974" s="11">
        <v>45260.0</v>
      </c>
      <c r="O3974" s="11">
        <v>45446.0</v>
      </c>
      <c r="P3974" s="11">
        <v>45488.0</v>
      </c>
      <c r="Q3974" s="11"/>
      <c r="R3974" s="11"/>
      <c r="S3974" s="12"/>
      <c r="T3974" s="8"/>
      <c r="U3974" s="8" t="s">
        <v>59</v>
      </c>
      <c r="V3974" s="13" t="s">
        <v>7103</v>
      </c>
      <c r="W3974" s="13" t="s">
        <v>18381</v>
      </c>
      <c r="X3974" s="12"/>
      <c r="Y3974" s="14"/>
      <c r="Z3974" s="14"/>
    </row>
    <row r="3975">
      <c r="A3975" s="8" t="s">
        <v>18382</v>
      </c>
      <c r="B3975" s="8" t="s">
        <v>18383</v>
      </c>
      <c r="C3975" s="8" t="s">
        <v>179</v>
      </c>
      <c r="D3975" s="8" t="s">
        <v>26</v>
      </c>
      <c r="E3975" s="8" t="s">
        <v>18384</v>
      </c>
      <c r="F3975" s="8">
        <v>5.425053749E9</v>
      </c>
      <c r="G3975" s="8" t="s">
        <v>31</v>
      </c>
      <c r="H3975" s="8" t="s">
        <v>43</v>
      </c>
      <c r="I3975" s="8" t="s">
        <v>284</v>
      </c>
      <c r="J3975" s="8" t="s">
        <v>1422</v>
      </c>
      <c r="K3975" s="10" t="s">
        <v>16412</v>
      </c>
      <c r="L3975" s="8" t="s">
        <v>58</v>
      </c>
      <c r="M3975" s="8" t="s">
        <v>35</v>
      </c>
      <c r="N3975" s="11">
        <v>45260.0</v>
      </c>
      <c r="O3975" s="11">
        <v>45488.0</v>
      </c>
      <c r="P3975" s="11">
        <v>45530.0</v>
      </c>
      <c r="Q3975" s="11"/>
      <c r="R3975" s="11"/>
      <c r="S3975" s="12"/>
      <c r="T3975" s="8"/>
      <c r="U3975" s="8" t="s">
        <v>130</v>
      </c>
      <c r="V3975" s="13" t="s">
        <v>43</v>
      </c>
      <c r="W3975" s="13" t="s">
        <v>18385</v>
      </c>
      <c r="X3975" s="12"/>
      <c r="Y3975" s="14"/>
      <c r="Z3975" s="14"/>
    </row>
    <row r="3976">
      <c r="A3976" s="8" t="s">
        <v>18386</v>
      </c>
      <c r="B3976" s="8" t="s">
        <v>18387</v>
      </c>
      <c r="C3976" s="8" t="s">
        <v>179</v>
      </c>
      <c r="D3976" s="8" t="s">
        <v>26</v>
      </c>
      <c r="E3976" s="8" t="s">
        <v>18388</v>
      </c>
      <c r="F3976" s="8">
        <v>5.419474551E9</v>
      </c>
      <c r="G3976" s="8" t="s">
        <v>31</v>
      </c>
      <c r="H3976" s="8" t="s">
        <v>102</v>
      </c>
      <c r="I3976" s="8" t="s">
        <v>127</v>
      </c>
      <c r="J3976" s="8" t="s">
        <v>9028</v>
      </c>
      <c r="K3976" s="10" t="s">
        <v>17717</v>
      </c>
      <c r="L3976" s="8" t="s">
        <v>58</v>
      </c>
      <c r="M3976" s="8" t="s">
        <v>35</v>
      </c>
      <c r="N3976" s="11">
        <v>45260.0</v>
      </c>
      <c r="O3976" s="11">
        <v>45327.0</v>
      </c>
      <c r="P3976" s="11">
        <v>45369.0</v>
      </c>
      <c r="Q3976" s="11"/>
      <c r="R3976" s="11"/>
      <c r="S3976" s="12"/>
      <c r="T3976" s="8"/>
      <c r="U3976" s="8" t="s">
        <v>1956</v>
      </c>
      <c r="V3976" s="13" t="s">
        <v>102</v>
      </c>
      <c r="W3976" s="13" t="s">
        <v>18389</v>
      </c>
      <c r="X3976" s="12"/>
      <c r="Y3976" s="14"/>
      <c r="Z3976" s="14"/>
    </row>
    <row r="3977">
      <c r="A3977" s="8" t="s">
        <v>18390</v>
      </c>
      <c r="B3977" s="8" t="s">
        <v>18391</v>
      </c>
      <c r="C3977" s="8" t="s">
        <v>179</v>
      </c>
      <c r="D3977" s="8" t="s">
        <v>26</v>
      </c>
      <c r="E3977" s="8" t="s">
        <v>18392</v>
      </c>
      <c r="F3977" s="8">
        <v>1.204249115E9</v>
      </c>
      <c r="G3977" s="8" t="s">
        <v>284</v>
      </c>
      <c r="H3977" s="8" t="s">
        <v>2065</v>
      </c>
      <c r="I3977" s="8" t="s">
        <v>31</v>
      </c>
      <c r="J3977" s="8" t="s">
        <v>220</v>
      </c>
      <c r="K3977" s="10" t="s">
        <v>2193</v>
      </c>
      <c r="L3977" s="8" t="s">
        <v>58</v>
      </c>
      <c r="M3977" s="8" t="s">
        <v>35</v>
      </c>
      <c r="N3977" s="11">
        <v>45260.0</v>
      </c>
      <c r="O3977" s="11">
        <v>45487.0</v>
      </c>
      <c r="P3977" s="11">
        <v>45529.0</v>
      </c>
      <c r="Q3977" s="11"/>
      <c r="R3977" s="11"/>
      <c r="S3977" s="12"/>
      <c r="T3977" s="8"/>
      <c r="U3977" s="8" t="s">
        <v>59</v>
      </c>
      <c r="V3977" s="13" t="s">
        <v>2065</v>
      </c>
      <c r="W3977" s="13" t="s">
        <v>18393</v>
      </c>
      <c r="X3977" s="12"/>
      <c r="Y3977" s="14"/>
      <c r="Z3977" s="14"/>
    </row>
    <row r="3978">
      <c r="A3978" s="8" t="s">
        <v>18394</v>
      </c>
      <c r="B3978" s="8" t="s">
        <v>18395</v>
      </c>
      <c r="C3978" s="8" t="s">
        <v>179</v>
      </c>
      <c r="D3978" s="8" t="s">
        <v>26</v>
      </c>
      <c r="E3978" s="8" t="s">
        <v>18396</v>
      </c>
      <c r="F3978" s="8">
        <v>1.064044041E9</v>
      </c>
      <c r="G3978" s="8" t="s">
        <v>284</v>
      </c>
      <c r="H3978" s="8" t="s">
        <v>854</v>
      </c>
      <c r="I3978" s="8" t="s">
        <v>31</v>
      </c>
      <c r="J3978" s="8" t="s">
        <v>220</v>
      </c>
      <c r="K3978" s="10" t="s">
        <v>2193</v>
      </c>
      <c r="L3978" s="8" t="s">
        <v>58</v>
      </c>
      <c r="M3978" s="8" t="s">
        <v>35</v>
      </c>
      <c r="N3978" s="11">
        <v>45260.0</v>
      </c>
      <c r="O3978" s="11">
        <v>45530.0</v>
      </c>
      <c r="P3978" s="11">
        <v>45572.0</v>
      </c>
      <c r="Q3978" s="11"/>
      <c r="R3978" s="11"/>
      <c r="S3978" s="12"/>
      <c r="T3978" s="8"/>
      <c r="U3978" s="8" t="s">
        <v>59</v>
      </c>
      <c r="V3978" s="13" t="s">
        <v>856</v>
      </c>
      <c r="W3978" s="13" t="s">
        <v>18397</v>
      </c>
      <c r="X3978" s="12"/>
      <c r="Y3978" s="14"/>
      <c r="Z3978" s="14"/>
    </row>
    <row r="3979">
      <c r="A3979" s="8" t="s">
        <v>18398</v>
      </c>
      <c r="B3979" s="8" t="s">
        <v>18399</v>
      </c>
      <c r="C3979" s="8" t="s">
        <v>179</v>
      </c>
      <c r="D3979" s="8" t="s">
        <v>26</v>
      </c>
      <c r="E3979" s="8" t="s">
        <v>18400</v>
      </c>
      <c r="F3979" s="8">
        <v>2.6307799E7</v>
      </c>
      <c r="G3979" s="8" t="s">
        <v>54</v>
      </c>
      <c r="H3979" s="8" t="s">
        <v>76</v>
      </c>
      <c r="I3979" s="8" t="s">
        <v>31</v>
      </c>
      <c r="J3979" s="8" t="s">
        <v>77</v>
      </c>
      <c r="K3979" s="10" t="s">
        <v>17878</v>
      </c>
      <c r="L3979" s="8" t="s">
        <v>58</v>
      </c>
      <c r="M3979" s="8" t="s">
        <v>35</v>
      </c>
      <c r="N3979" s="11">
        <v>45260.0</v>
      </c>
      <c r="O3979" s="11">
        <v>45481.0</v>
      </c>
      <c r="P3979" s="11">
        <v>45523.0</v>
      </c>
      <c r="Q3979" s="11"/>
      <c r="R3979" s="11"/>
      <c r="S3979" s="12"/>
      <c r="T3979" s="8"/>
      <c r="U3979" s="8" t="s">
        <v>59</v>
      </c>
      <c r="V3979" s="13" t="s">
        <v>3496</v>
      </c>
      <c r="W3979" s="13" t="s">
        <v>18401</v>
      </c>
      <c r="X3979" s="12"/>
      <c r="Y3979" s="14"/>
      <c r="Z3979" s="14"/>
    </row>
    <row r="3980">
      <c r="A3980" s="8" t="s">
        <v>18402</v>
      </c>
      <c r="B3980" s="8" t="s">
        <v>18403</v>
      </c>
      <c r="C3980" s="8" t="s">
        <v>179</v>
      </c>
      <c r="D3980" s="8" t="s">
        <v>26</v>
      </c>
      <c r="E3980" s="8" t="s">
        <v>18404</v>
      </c>
      <c r="F3980" s="8">
        <v>5.437997364E9</v>
      </c>
      <c r="G3980" s="8" t="s">
        <v>31</v>
      </c>
      <c r="H3980" s="8" t="s">
        <v>43</v>
      </c>
      <c r="I3980" s="8" t="s">
        <v>284</v>
      </c>
      <c r="J3980" s="8" t="s">
        <v>1422</v>
      </c>
      <c r="K3980" s="10" t="s">
        <v>16412</v>
      </c>
      <c r="L3980" s="8" t="s">
        <v>58</v>
      </c>
      <c r="M3980" s="8" t="s">
        <v>35</v>
      </c>
      <c r="N3980" s="11">
        <v>45260.0</v>
      </c>
      <c r="O3980" s="11">
        <v>45505.0</v>
      </c>
      <c r="P3980" s="11">
        <v>45547.0</v>
      </c>
      <c r="Q3980" s="11"/>
      <c r="R3980" s="11"/>
      <c r="S3980" s="12"/>
      <c r="T3980" s="8"/>
      <c r="U3980" s="8" t="s">
        <v>130</v>
      </c>
      <c r="V3980" s="13" t="s">
        <v>18405</v>
      </c>
      <c r="W3980" s="13" t="s">
        <v>18406</v>
      </c>
      <c r="X3980" s="12"/>
      <c r="Y3980" s="14"/>
      <c r="Z3980" s="14"/>
    </row>
    <row r="3981">
      <c r="A3981" s="8" t="s">
        <v>18407</v>
      </c>
      <c r="B3981" s="8" t="s">
        <v>18408</v>
      </c>
      <c r="C3981" s="8" t="s">
        <v>179</v>
      </c>
      <c r="D3981" s="8" t="s">
        <v>26</v>
      </c>
      <c r="E3981" s="8" t="s">
        <v>18409</v>
      </c>
      <c r="F3981" s="8">
        <v>5.511027155E9</v>
      </c>
      <c r="G3981" s="8" t="s">
        <v>31</v>
      </c>
      <c r="H3981" s="8" t="s">
        <v>102</v>
      </c>
      <c r="I3981" s="8" t="s">
        <v>44</v>
      </c>
      <c r="J3981" s="8" t="s">
        <v>741</v>
      </c>
      <c r="K3981" s="10" t="s">
        <v>8264</v>
      </c>
      <c r="L3981" s="8" t="s">
        <v>58</v>
      </c>
      <c r="M3981" s="8" t="s">
        <v>35</v>
      </c>
      <c r="N3981" s="11">
        <v>45260.0</v>
      </c>
      <c r="O3981" s="11">
        <v>45483.0</v>
      </c>
      <c r="P3981" s="11">
        <v>45525.0</v>
      </c>
      <c r="Q3981" s="11"/>
      <c r="R3981" s="11"/>
      <c r="S3981" s="12"/>
      <c r="T3981" s="8"/>
      <c r="U3981" s="8" t="s">
        <v>1038</v>
      </c>
      <c r="V3981" s="13" t="s">
        <v>102</v>
      </c>
      <c r="W3981" s="13" t="s">
        <v>18410</v>
      </c>
      <c r="X3981" s="12"/>
      <c r="Y3981" s="14"/>
      <c r="Z3981" s="14"/>
    </row>
    <row r="3982">
      <c r="A3982" s="8" t="s">
        <v>18411</v>
      </c>
      <c r="B3982" s="8" t="s">
        <v>18412</v>
      </c>
      <c r="C3982" s="8" t="s">
        <v>179</v>
      </c>
      <c r="D3982" s="8" t="s">
        <v>26</v>
      </c>
      <c r="E3982" s="8" t="s">
        <v>18413</v>
      </c>
      <c r="F3982" s="8"/>
      <c r="G3982" s="8" t="s">
        <v>4181</v>
      </c>
      <c r="H3982" s="8" t="s">
        <v>14452</v>
      </c>
      <c r="I3982" s="8" t="s">
        <v>31</v>
      </c>
      <c r="J3982" s="8" t="s">
        <v>77</v>
      </c>
      <c r="K3982" s="10" t="s">
        <v>6841</v>
      </c>
      <c r="L3982" s="8" t="s">
        <v>34</v>
      </c>
      <c r="M3982" s="8" t="s">
        <v>35</v>
      </c>
      <c r="N3982" s="11">
        <v>45260.0</v>
      </c>
      <c r="O3982" s="11">
        <v>45320.0</v>
      </c>
      <c r="P3982" s="11">
        <v>45362.0</v>
      </c>
      <c r="Q3982" s="11"/>
      <c r="R3982" s="11"/>
      <c r="S3982" s="12"/>
      <c r="T3982" s="8" t="s">
        <v>205</v>
      </c>
      <c r="U3982" s="8" t="s">
        <v>6842</v>
      </c>
      <c r="V3982" s="13" t="s">
        <v>38</v>
      </c>
      <c r="W3982" s="13" t="s">
        <v>18414</v>
      </c>
      <c r="X3982" s="12"/>
      <c r="Y3982" s="14"/>
      <c r="Z3982" s="14"/>
    </row>
    <row r="3983">
      <c r="A3983" s="8" t="s">
        <v>18415</v>
      </c>
      <c r="B3983" s="8" t="s">
        <v>18416</v>
      </c>
      <c r="C3983" s="8" t="s">
        <v>179</v>
      </c>
      <c r="D3983" s="8" t="s">
        <v>26</v>
      </c>
      <c r="E3983" s="8" t="s">
        <v>18417</v>
      </c>
      <c r="F3983" s="8">
        <v>2.6952122E7</v>
      </c>
      <c r="G3983" s="8" t="s">
        <v>54</v>
      </c>
      <c r="H3983" s="8" t="s">
        <v>76</v>
      </c>
      <c r="I3983" s="8" t="s">
        <v>31</v>
      </c>
      <c r="J3983" s="8" t="s">
        <v>77</v>
      </c>
      <c r="K3983" s="10" t="s">
        <v>16181</v>
      </c>
      <c r="L3983" s="8" t="s">
        <v>58</v>
      </c>
      <c r="M3983" s="8" t="s">
        <v>35</v>
      </c>
      <c r="N3983" s="11">
        <v>45260.0</v>
      </c>
      <c r="O3983" s="11">
        <v>45446.0</v>
      </c>
      <c r="P3983" s="11">
        <v>45488.0</v>
      </c>
      <c r="Q3983" s="11"/>
      <c r="R3983" s="11"/>
      <c r="S3983" s="12"/>
      <c r="T3983" s="8"/>
      <c r="U3983" s="8" t="s">
        <v>59</v>
      </c>
      <c r="V3983" s="13" t="s">
        <v>3496</v>
      </c>
      <c r="W3983" s="13" t="s">
        <v>18418</v>
      </c>
      <c r="X3983" s="12"/>
      <c r="Y3983" s="14"/>
      <c r="Z3983" s="14"/>
    </row>
    <row r="3984">
      <c r="A3984" s="8" t="s">
        <v>18419</v>
      </c>
      <c r="B3984" s="8" t="s">
        <v>18420</v>
      </c>
      <c r="C3984" s="8" t="s">
        <v>179</v>
      </c>
      <c r="D3984" s="8" t="s">
        <v>26</v>
      </c>
      <c r="E3984" s="8" t="s">
        <v>18421</v>
      </c>
      <c r="F3984" s="8"/>
      <c r="G3984" s="8" t="s">
        <v>31</v>
      </c>
      <c r="H3984" s="8" t="s">
        <v>256</v>
      </c>
      <c r="I3984" s="8" t="s">
        <v>29</v>
      </c>
      <c r="J3984" s="8" t="s">
        <v>1107</v>
      </c>
      <c r="K3984" s="10" t="s">
        <v>18422</v>
      </c>
      <c r="L3984" s="8" t="s">
        <v>58</v>
      </c>
      <c r="M3984" s="8" t="s">
        <v>35</v>
      </c>
      <c r="N3984" s="11">
        <v>45260.0</v>
      </c>
      <c r="O3984" s="11">
        <v>45327.0</v>
      </c>
      <c r="P3984" s="11">
        <v>45369.0</v>
      </c>
      <c r="Q3984" s="11"/>
      <c r="R3984" s="11"/>
      <c r="S3984" s="12"/>
      <c r="T3984" s="8"/>
      <c r="U3984" s="8" t="s">
        <v>632</v>
      </c>
      <c r="V3984" s="13" t="s">
        <v>256</v>
      </c>
      <c r="W3984" s="13" t="s">
        <v>18423</v>
      </c>
      <c r="X3984" s="12"/>
      <c r="Y3984" s="14"/>
      <c r="Z3984" s="14"/>
    </row>
    <row r="3985">
      <c r="A3985" s="8" t="s">
        <v>18424</v>
      </c>
      <c r="B3985" s="8" t="s">
        <v>18425</v>
      </c>
      <c r="C3985" s="8" t="s">
        <v>708</v>
      </c>
      <c r="D3985" s="8" t="s">
        <v>26</v>
      </c>
      <c r="E3985" s="8" t="s">
        <v>18426</v>
      </c>
      <c r="F3985" s="8">
        <v>2.7704054E7</v>
      </c>
      <c r="G3985" s="8" t="s">
        <v>54</v>
      </c>
      <c r="H3985" s="8" t="s">
        <v>55</v>
      </c>
      <c r="I3985" s="8" t="s">
        <v>31</v>
      </c>
      <c r="J3985" s="8" t="s">
        <v>111</v>
      </c>
      <c r="K3985" s="10" t="s">
        <v>16633</v>
      </c>
      <c r="L3985" s="8" t="s">
        <v>58</v>
      </c>
      <c r="M3985" s="8" t="s">
        <v>35</v>
      </c>
      <c r="N3985" s="11">
        <v>45260.0</v>
      </c>
      <c r="O3985" s="11">
        <v>45297.0</v>
      </c>
      <c r="P3985" s="11">
        <v>45339.0</v>
      </c>
      <c r="Q3985" s="11">
        <v>45300.0</v>
      </c>
      <c r="R3985" s="11">
        <v>45342.0</v>
      </c>
      <c r="S3985" s="12"/>
      <c r="T3985" s="8"/>
      <c r="U3985" s="8" t="s">
        <v>1956</v>
      </c>
      <c r="V3985" s="13" t="s">
        <v>60</v>
      </c>
      <c r="W3985" s="13" t="s">
        <v>18427</v>
      </c>
      <c r="X3985" s="12"/>
      <c r="Y3985" s="14"/>
      <c r="Z3985" s="14"/>
    </row>
    <row r="3986">
      <c r="A3986" s="8" t="s">
        <v>18428</v>
      </c>
      <c r="B3986" s="8" t="s">
        <v>18429</v>
      </c>
      <c r="C3986" s="8" t="s">
        <v>179</v>
      </c>
      <c r="D3986" s="8" t="s">
        <v>26</v>
      </c>
      <c r="E3986" s="8" t="s">
        <v>18430</v>
      </c>
      <c r="F3986" s="8">
        <v>5.32244707E9</v>
      </c>
      <c r="G3986" s="8" t="s">
        <v>31</v>
      </c>
      <c r="H3986" s="8" t="s">
        <v>220</v>
      </c>
      <c r="I3986" s="8" t="s">
        <v>277</v>
      </c>
      <c r="J3986" s="8" t="s">
        <v>697</v>
      </c>
      <c r="K3986" s="10" t="s">
        <v>18431</v>
      </c>
      <c r="L3986" s="8" t="s">
        <v>58</v>
      </c>
      <c r="M3986" s="8" t="s">
        <v>35</v>
      </c>
      <c r="N3986" s="11">
        <v>45260.0</v>
      </c>
      <c r="O3986" s="11">
        <v>45483.0</v>
      </c>
      <c r="P3986" s="11">
        <v>45525.0</v>
      </c>
      <c r="Q3986" s="11"/>
      <c r="R3986" s="11"/>
      <c r="S3986" s="12"/>
      <c r="T3986" s="8"/>
      <c r="U3986" s="8" t="s">
        <v>59</v>
      </c>
      <c r="V3986" s="13" t="s">
        <v>220</v>
      </c>
      <c r="W3986" s="13" t="s">
        <v>18432</v>
      </c>
      <c r="X3986" s="12"/>
      <c r="Y3986" s="14"/>
      <c r="Z3986" s="14"/>
    </row>
    <row r="3987">
      <c r="A3987" s="8" t="s">
        <v>18433</v>
      </c>
      <c r="B3987" s="8" t="s">
        <v>18434</v>
      </c>
      <c r="C3987" s="8" t="s">
        <v>179</v>
      </c>
      <c r="D3987" s="8" t="s">
        <v>26</v>
      </c>
      <c r="E3987" s="8" t="s">
        <v>18435</v>
      </c>
      <c r="F3987" s="8">
        <v>5.44568613E9</v>
      </c>
      <c r="G3987" s="8" t="s">
        <v>31</v>
      </c>
      <c r="H3987" s="8" t="s">
        <v>43</v>
      </c>
      <c r="I3987" s="8" t="s">
        <v>284</v>
      </c>
      <c r="J3987" s="8" t="s">
        <v>1422</v>
      </c>
      <c r="K3987" s="10" t="s">
        <v>16412</v>
      </c>
      <c r="L3987" s="8" t="s">
        <v>58</v>
      </c>
      <c r="M3987" s="8" t="s">
        <v>35</v>
      </c>
      <c r="N3987" s="11">
        <v>45260.0</v>
      </c>
      <c r="O3987" s="11">
        <v>45488.0</v>
      </c>
      <c r="P3987" s="11">
        <v>45530.0</v>
      </c>
      <c r="Q3987" s="11"/>
      <c r="R3987" s="11"/>
      <c r="S3987" s="12"/>
      <c r="T3987" s="8"/>
      <c r="U3987" s="8" t="s">
        <v>130</v>
      </c>
      <c r="V3987" s="13" t="s">
        <v>43</v>
      </c>
      <c r="W3987" s="13" t="s">
        <v>18436</v>
      </c>
      <c r="X3987" s="12"/>
      <c r="Y3987" s="14"/>
      <c r="Z3987" s="14"/>
    </row>
    <row r="3988">
      <c r="A3988" s="8" t="s">
        <v>18437</v>
      </c>
      <c r="B3988" s="8" t="s">
        <v>18438</v>
      </c>
      <c r="C3988" s="8" t="s">
        <v>179</v>
      </c>
      <c r="D3988" s="8" t="s">
        <v>26</v>
      </c>
      <c r="E3988" s="8" t="s">
        <v>18439</v>
      </c>
      <c r="F3988" s="8">
        <v>5.368400314E9</v>
      </c>
      <c r="G3988" s="8" t="s">
        <v>31</v>
      </c>
      <c r="H3988" s="8" t="s">
        <v>43</v>
      </c>
      <c r="I3988" s="8" t="s">
        <v>284</v>
      </c>
      <c r="J3988" s="8" t="s">
        <v>1422</v>
      </c>
      <c r="K3988" s="10" t="s">
        <v>16412</v>
      </c>
      <c r="L3988" s="8" t="s">
        <v>58</v>
      </c>
      <c r="M3988" s="8" t="s">
        <v>35</v>
      </c>
      <c r="N3988" s="11">
        <v>45260.0</v>
      </c>
      <c r="O3988" s="11">
        <v>45474.0</v>
      </c>
      <c r="P3988" s="11">
        <v>45516.0</v>
      </c>
      <c r="Q3988" s="11"/>
      <c r="R3988" s="11"/>
      <c r="S3988" s="12"/>
      <c r="T3988" s="8"/>
      <c r="U3988" s="8" t="s">
        <v>130</v>
      </c>
      <c r="V3988" s="13" t="s">
        <v>43</v>
      </c>
      <c r="W3988" s="13" t="s">
        <v>18440</v>
      </c>
      <c r="X3988" s="12"/>
      <c r="Y3988" s="14"/>
      <c r="Z3988" s="14"/>
    </row>
    <row r="3989">
      <c r="A3989" s="8" t="s">
        <v>18441</v>
      </c>
      <c r="B3989" s="8" t="s">
        <v>14564</v>
      </c>
      <c r="C3989" s="8" t="s">
        <v>179</v>
      </c>
      <c r="D3989" s="8" t="s">
        <v>26</v>
      </c>
      <c r="E3989" s="8" t="s">
        <v>18442</v>
      </c>
      <c r="F3989" s="8">
        <v>9.88725612E8</v>
      </c>
      <c r="G3989" s="8" t="s">
        <v>1620</v>
      </c>
      <c r="H3989" s="8" t="s">
        <v>1621</v>
      </c>
      <c r="I3989" s="8" t="s">
        <v>31</v>
      </c>
      <c r="J3989" s="8" t="s">
        <v>43</v>
      </c>
      <c r="K3989" s="10" t="s">
        <v>8867</v>
      </c>
      <c r="L3989" s="8" t="s">
        <v>58</v>
      </c>
      <c r="M3989" s="8" t="s">
        <v>35</v>
      </c>
      <c r="N3989" s="11">
        <v>45260.0</v>
      </c>
      <c r="O3989" s="11">
        <v>45516.0</v>
      </c>
      <c r="P3989" s="11">
        <v>45558.0</v>
      </c>
      <c r="Q3989" s="11"/>
      <c r="R3989" s="11"/>
      <c r="S3989" s="12"/>
      <c r="T3989" s="8"/>
      <c r="U3989" s="8" t="s">
        <v>130</v>
      </c>
      <c r="V3989" s="13" t="s">
        <v>13760</v>
      </c>
      <c r="W3989" s="13" t="s">
        <v>18443</v>
      </c>
      <c r="X3989" s="12"/>
      <c r="Y3989" s="14"/>
      <c r="Z3989" s="14"/>
    </row>
    <row r="3990">
      <c r="A3990" s="8" t="s">
        <v>18444</v>
      </c>
      <c r="B3990" s="8" t="s">
        <v>18445</v>
      </c>
      <c r="C3990" s="8" t="s">
        <v>179</v>
      </c>
      <c r="D3990" s="8" t="s">
        <v>26</v>
      </c>
      <c r="E3990" s="8" t="s">
        <v>18446</v>
      </c>
      <c r="F3990" s="8">
        <v>5.305535766E9</v>
      </c>
      <c r="G3990" s="8" t="s">
        <v>31</v>
      </c>
      <c r="H3990" s="8" t="s">
        <v>542</v>
      </c>
      <c r="I3990" s="8" t="s">
        <v>127</v>
      </c>
      <c r="J3990" s="8" t="s">
        <v>159</v>
      </c>
      <c r="K3990" s="10" t="s">
        <v>16195</v>
      </c>
      <c r="L3990" s="8" t="s">
        <v>58</v>
      </c>
      <c r="M3990" s="8" t="s">
        <v>35</v>
      </c>
      <c r="N3990" s="11">
        <v>45260.0</v>
      </c>
      <c r="O3990" s="11">
        <v>45299.0</v>
      </c>
      <c r="P3990" s="11">
        <v>45341.0</v>
      </c>
      <c r="Q3990" s="11"/>
      <c r="R3990" s="11"/>
      <c r="S3990" s="12"/>
      <c r="T3990" s="8"/>
      <c r="U3990" s="8" t="s">
        <v>1956</v>
      </c>
      <c r="V3990" s="13" t="s">
        <v>545</v>
      </c>
      <c r="W3990" s="13" t="s">
        <v>18447</v>
      </c>
      <c r="X3990" s="12"/>
      <c r="Y3990" s="14"/>
      <c r="Z3990" s="14"/>
    </row>
    <row r="3991">
      <c r="A3991" s="8" t="s">
        <v>18448</v>
      </c>
      <c r="B3991" s="8" t="s">
        <v>18449</v>
      </c>
      <c r="C3991" s="8" t="s">
        <v>179</v>
      </c>
      <c r="D3991" s="8" t="s">
        <v>26</v>
      </c>
      <c r="E3991" s="8" t="s">
        <v>18450</v>
      </c>
      <c r="F3991" s="8">
        <v>5.380414402E9</v>
      </c>
      <c r="G3991" s="8" t="s">
        <v>31</v>
      </c>
      <c r="H3991" s="8" t="s">
        <v>542</v>
      </c>
      <c r="I3991" s="8" t="s">
        <v>127</v>
      </c>
      <c r="J3991" s="8" t="s">
        <v>9028</v>
      </c>
      <c r="K3991" s="10" t="s">
        <v>17717</v>
      </c>
      <c r="L3991" s="8" t="s">
        <v>58</v>
      </c>
      <c r="M3991" s="8" t="s">
        <v>35</v>
      </c>
      <c r="N3991" s="11">
        <v>45260.0</v>
      </c>
      <c r="O3991" s="11">
        <v>45327.0</v>
      </c>
      <c r="P3991" s="11">
        <v>45369.0</v>
      </c>
      <c r="Q3991" s="11"/>
      <c r="R3991" s="11"/>
      <c r="S3991" s="12"/>
      <c r="T3991" s="8"/>
      <c r="U3991" s="8" t="s">
        <v>1956</v>
      </c>
      <c r="V3991" s="13" t="s">
        <v>545</v>
      </c>
      <c r="W3991" s="13" t="s">
        <v>18451</v>
      </c>
      <c r="X3991" s="12"/>
      <c r="Y3991" s="14"/>
      <c r="Z3991" s="14"/>
    </row>
    <row r="3992">
      <c r="A3992" s="8" t="s">
        <v>18452</v>
      </c>
      <c r="B3992" s="8" t="s">
        <v>18453</v>
      </c>
      <c r="C3992" s="8" t="s">
        <v>179</v>
      </c>
      <c r="D3992" s="8" t="s">
        <v>26</v>
      </c>
      <c r="E3992" s="8" t="s">
        <v>18454</v>
      </c>
      <c r="F3992" s="8">
        <v>5.55222114E9</v>
      </c>
      <c r="G3992" s="8" t="s">
        <v>31</v>
      </c>
      <c r="H3992" s="8" t="s">
        <v>542</v>
      </c>
      <c r="I3992" s="8" t="s">
        <v>127</v>
      </c>
      <c r="J3992" s="8" t="s">
        <v>9028</v>
      </c>
      <c r="K3992" s="10" t="s">
        <v>17717</v>
      </c>
      <c r="L3992" s="8" t="s">
        <v>58</v>
      </c>
      <c r="M3992" s="8" t="s">
        <v>35</v>
      </c>
      <c r="N3992" s="11">
        <v>45260.0</v>
      </c>
      <c r="O3992" s="11">
        <v>45327.0</v>
      </c>
      <c r="P3992" s="11">
        <v>45369.0</v>
      </c>
      <c r="Q3992" s="11"/>
      <c r="R3992" s="11"/>
      <c r="S3992" s="12"/>
      <c r="T3992" s="8"/>
      <c r="U3992" s="8" t="s">
        <v>1956</v>
      </c>
      <c r="V3992" s="13" t="s">
        <v>545</v>
      </c>
      <c r="W3992" s="13" t="s">
        <v>18455</v>
      </c>
      <c r="X3992" s="12"/>
      <c r="Y3992" s="14"/>
      <c r="Z3992" s="14"/>
    </row>
    <row r="3993">
      <c r="A3993" s="8" t="s">
        <v>18456</v>
      </c>
      <c r="B3993" s="8" t="s">
        <v>18457</v>
      </c>
      <c r="C3993" s="8" t="s">
        <v>179</v>
      </c>
      <c r="D3993" s="8" t="s">
        <v>26</v>
      </c>
      <c r="E3993" s="8" t="s">
        <v>18458</v>
      </c>
      <c r="F3993" s="8">
        <v>5.459160131E9</v>
      </c>
      <c r="G3993" s="8" t="s">
        <v>31</v>
      </c>
      <c r="H3993" s="8" t="s">
        <v>167</v>
      </c>
      <c r="I3993" s="8" t="s">
        <v>284</v>
      </c>
      <c r="J3993" s="8" t="s">
        <v>3188</v>
      </c>
      <c r="K3993" s="10" t="s">
        <v>17437</v>
      </c>
      <c r="L3993" s="8" t="s">
        <v>58</v>
      </c>
      <c r="M3993" s="8" t="s">
        <v>35</v>
      </c>
      <c r="N3993" s="11">
        <v>45260.0</v>
      </c>
      <c r="O3993" s="11">
        <v>45306.0</v>
      </c>
      <c r="P3993" s="11">
        <v>45348.0</v>
      </c>
      <c r="Q3993" s="11"/>
      <c r="R3993" s="11"/>
      <c r="S3993" s="12"/>
      <c r="T3993" s="8"/>
      <c r="U3993" s="8" t="s">
        <v>1038</v>
      </c>
      <c r="V3993" s="13" t="s">
        <v>66</v>
      </c>
      <c r="W3993" s="13" t="s">
        <v>18459</v>
      </c>
      <c r="X3993" s="12"/>
      <c r="Y3993" s="14"/>
      <c r="Z3993" s="14"/>
    </row>
    <row r="3994">
      <c r="A3994" s="8" t="s">
        <v>18460</v>
      </c>
      <c r="B3994" s="8" t="s">
        <v>762</v>
      </c>
      <c r="C3994" s="8" t="s">
        <v>708</v>
      </c>
      <c r="D3994" s="8" t="s">
        <v>26</v>
      </c>
      <c r="E3994" s="8" t="s">
        <v>763</v>
      </c>
      <c r="F3994" s="8">
        <v>5.6598782E7</v>
      </c>
      <c r="G3994" s="8" t="s">
        <v>54</v>
      </c>
      <c r="H3994" s="8" t="s">
        <v>377</v>
      </c>
      <c r="I3994" s="8" t="s">
        <v>31</v>
      </c>
      <c r="J3994" s="8" t="s">
        <v>77</v>
      </c>
      <c r="K3994" s="10" t="s">
        <v>3945</v>
      </c>
      <c r="L3994" s="8" t="s">
        <v>58</v>
      </c>
      <c r="M3994" s="8" t="s">
        <v>35</v>
      </c>
      <c r="N3994" s="11">
        <v>45260.0</v>
      </c>
      <c r="O3994" s="11">
        <v>45299.0</v>
      </c>
      <c r="P3994" s="11">
        <v>45341.0</v>
      </c>
      <c r="Q3994" s="11">
        <v>45307.0</v>
      </c>
      <c r="R3994" s="11">
        <v>45349.0</v>
      </c>
      <c r="S3994" s="12"/>
      <c r="T3994" s="8"/>
      <c r="U3994" s="8" t="s">
        <v>59</v>
      </c>
      <c r="V3994" s="13" t="s">
        <v>765</v>
      </c>
      <c r="W3994" s="13" t="s">
        <v>766</v>
      </c>
      <c r="X3994" s="12"/>
      <c r="Y3994" s="14"/>
      <c r="Z3994" s="14"/>
    </row>
    <row r="3995">
      <c r="A3995" s="8" t="s">
        <v>18461</v>
      </c>
      <c r="B3995" s="8" t="s">
        <v>18462</v>
      </c>
      <c r="C3995" s="8" t="s">
        <v>179</v>
      </c>
      <c r="D3995" s="8" t="s">
        <v>26</v>
      </c>
      <c r="E3995" s="8" t="s">
        <v>18463</v>
      </c>
      <c r="F3995" s="8">
        <v>5.35763138E9</v>
      </c>
      <c r="G3995" s="8" t="s">
        <v>31</v>
      </c>
      <c r="H3995" s="8" t="s">
        <v>542</v>
      </c>
      <c r="I3995" s="8" t="s">
        <v>284</v>
      </c>
      <c r="J3995" s="8" t="s">
        <v>285</v>
      </c>
      <c r="K3995" s="10" t="s">
        <v>7771</v>
      </c>
      <c r="L3995" s="8" t="s">
        <v>58</v>
      </c>
      <c r="M3995" s="8" t="s">
        <v>35</v>
      </c>
      <c r="N3995" s="11">
        <v>45260.0</v>
      </c>
      <c r="O3995" s="11">
        <v>45474.0</v>
      </c>
      <c r="P3995" s="11">
        <v>45516.0</v>
      </c>
      <c r="Q3995" s="11"/>
      <c r="R3995" s="11"/>
      <c r="S3995" s="12"/>
      <c r="T3995" s="8"/>
      <c r="U3995" s="8" t="s">
        <v>185</v>
      </c>
      <c r="V3995" s="13" t="s">
        <v>545</v>
      </c>
      <c r="W3995" s="13" t="s">
        <v>18464</v>
      </c>
      <c r="X3995" s="12"/>
      <c r="Y3995" s="14"/>
      <c r="Z3995" s="14"/>
    </row>
    <row r="3996">
      <c r="A3996" s="8" t="s">
        <v>18465</v>
      </c>
      <c r="B3996" s="8" t="s">
        <v>18466</v>
      </c>
      <c r="C3996" s="8" t="s">
        <v>179</v>
      </c>
      <c r="D3996" s="8" t="s">
        <v>26</v>
      </c>
      <c r="E3996" s="8" t="s">
        <v>18467</v>
      </c>
      <c r="F3996" s="8">
        <v>5.512347878E9</v>
      </c>
      <c r="G3996" s="8" t="s">
        <v>31</v>
      </c>
      <c r="H3996" s="8" t="s">
        <v>542</v>
      </c>
      <c r="I3996" s="8" t="s">
        <v>284</v>
      </c>
      <c r="J3996" s="8" t="s">
        <v>285</v>
      </c>
      <c r="K3996" s="10" t="s">
        <v>3841</v>
      </c>
      <c r="L3996" s="8" t="s">
        <v>58</v>
      </c>
      <c r="M3996" s="8" t="s">
        <v>35</v>
      </c>
      <c r="N3996" s="11">
        <v>45260.0</v>
      </c>
      <c r="O3996" s="11">
        <v>45292.0</v>
      </c>
      <c r="P3996" s="11">
        <v>45334.0</v>
      </c>
      <c r="Q3996" s="11"/>
      <c r="R3996" s="11"/>
      <c r="S3996" s="12"/>
      <c r="T3996" s="8"/>
      <c r="U3996" s="8" t="s">
        <v>1038</v>
      </c>
      <c r="V3996" s="13" t="s">
        <v>545</v>
      </c>
      <c r="W3996" s="13" t="s">
        <v>18468</v>
      </c>
      <c r="X3996" s="12"/>
      <c r="Y3996" s="14"/>
      <c r="Z3996" s="14"/>
    </row>
    <row r="3997">
      <c r="A3997" s="8" t="s">
        <v>18469</v>
      </c>
      <c r="B3997" s="8" t="s">
        <v>14359</v>
      </c>
      <c r="C3997" s="8" t="s">
        <v>179</v>
      </c>
      <c r="D3997" s="8" t="s">
        <v>26</v>
      </c>
      <c r="E3997" s="8" t="s">
        <v>14360</v>
      </c>
      <c r="F3997" s="8">
        <v>5.528507536E9</v>
      </c>
      <c r="G3997" s="8" t="s">
        <v>31</v>
      </c>
      <c r="H3997" s="8" t="s">
        <v>542</v>
      </c>
      <c r="I3997" s="8" t="s">
        <v>284</v>
      </c>
      <c r="J3997" s="8" t="s">
        <v>285</v>
      </c>
      <c r="K3997" s="10" t="s">
        <v>3841</v>
      </c>
      <c r="L3997" s="8" t="s">
        <v>58</v>
      </c>
      <c r="M3997" s="8" t="s">
        <v>35</v>
      </c>
      <c r="N3997" s="11">
        <v>45260.0</v>
      </c>
      <c r="O3997" s="11">
        <v>45474.0</v>
      </c>
      <c r="P3997" s="11">
        <v>45516.0</v>
      </c>
      <c r="Q3997" s="11"/>
      <c r="R3997" s="11"/>
      <c r="S3997" s="12"/>
      <c r="T3997" s="8"/>
      <c r="U3997" s="8" t="s">
        <v>1038</v>
      </c>
      <c r="V3997" s="13" t="s">
        <v>545</v>
      </c>
      <c r="W3997" s="13" t="s">
        <v>14362</v>
      </c>
      <c r="X3997" s="12"/>
      <c r="Y3997" s="14"/>
      <c r="Z3997" s="14"/>
    </row>
    <row r="3998">
      <c r="A3998" s="8" t="s">
        <v>18470</v>
      </c>
      <c r="B3998" s="8" t="s">
        <v>18471</v>
      </c>
      <c r="C3998" s="8" t="s">
        <v>179</v>
      </c>
      <c r="D3998" s="8" t="s">
        <v>26</v>
      </c>
      <c r="E3998" s="8" t="s">
        <v>18472</v>
      </c>
      <c r="F3998" s="8">
        <v>5.370152079E9</v>
      </c>
      <c r="G3998" s="8" t="s">
        <v>31</v>
      </c>
      <c r="H3998" s="8" t="s">
        <v>102</v>
      </c>
      <c r="I3998" s="8" t="s">
        <v>44</v>
      </c>
      <c r="J3998" s="8" t="s">
        <v>3093</v>
      </c>
      <c r="K3998" s="10" t="s">
        <v>14679</v>
      </c>
      <c r="L3998" s="8" t="s">
        <v>58</v>
      </c>
      <c r="M3998" s="8" t="s">
        <v>35</v>
      </c>
      <c r="N3998" s="11">
        <v>45260.0</v>
      </c>
      <c r="O3998" s="11">
        <v>45478.0</v>
      </c>
      <c r="P3998" s="11">
        <v>45524.0</v>
      </c>
      <c r="Q3998" s="11"/>
      <c r="R3998" s="11"/>
      <c r="S3998" s="12"/>
      <c r="T3998" s="8"/>
      <c r="U3998" s="8" t="s">
        <v>1038</v>
      </c>
      <c r="V3998" s="13" t="s">
        <v>102</v>
      </c>
      <c r="W3998" s="13" t="s">
        <v>18473</v>
      </c>
      <c r="X3998" s="12"/>
      <c r="Y3998" s="14"/>
      <c r="Z3998" s="14"/>
    </row>
    <row r="3999">
      <c r="A3999" s="8" t="s">
        <v>18474</v>
      </c>
      <c r="B3999" s="8" t="s">
        <v>18475</v>
      </c>
      <c r="C3999" s="8" t="s">
        <v>179</v>
      </c>
      <c r="D3999" s="8" t="s">
        <v>26</v>
      </c>
      <c r="E3999" s="8" t="s">
        <v>18476</v>
      </c>
      <c r="F3999" s="8">
        <v>5.4008977E7</v>
      </c>
      <c r="G3999" s="8" t="s">
        <v>54</v>
      </c>
      <c r="H3999" s="8" t="s">
        <v>55</v>
      </c>
      <c r="I3999" s="8" t="s">
        <v>31</v>
      </c>
      <c r="J3999" s="8" t="s">
        <v>77</v>
      </c>
      <c r="K3999" s="10" t="s">
        <v>18477</v>
      </c>
      <c r="L3999" s="8" t="s">
        <v>58</v>
      </c>
      <c r="M3999" s="8" t="s">
        <v>35</v>
      </c>
      <c r="N3999" s="11">
        <v>45260.0</v>
      </c>
      <c r="O3999" s="11">
        <v>45488.0</v>
      </c>
      <c r="P3999" s="11">
        <v>45530.0</v>
      </c>
      <c r="Q3999" s="11"/>
      <c r="R3999" s="11"/>
      <c r="S3999" s="12"/>
      <c r="T3999" s="8"/>
      <c r="U3999" s="8" t="s">
        <v>161</v>
      </c>
      <c r="V3999" s="13" t="s">
        <v>60</v>
      </c>
      <c r="W3999" s="13" t="s">
        <v>18478</v>
      </c>
      <c r="X3999" s="12"/>
      <c r="Y3999" s="14"/>
      <c r="Z3999" s="14"/>
    </row>
    <row r="4000">
      <c r="A4000" s="8" t="s">
        <v>18479</v>
      </c>
      <c r="B4000" s="8" t="s">
        <v>7482</v>
      </c>
      <c r="C4000" s="8" t="s">
        <v>179</v>
      </c>
      <c r="D4000" s="8" t="s">
        <v>26</v>
      </c>
      <c r="E4000" s="8" t="s">
        <v>18480</v>
      </c>
      <c r="F4000" s="8">
        <v>5.462786904E9</v>
      </c>
      <c r="G4000" s="8" t="s">
        <v>31</v>
      </c>
      <c r="H4000" s="8" t="s">
        <v>542</v>
      </c>
      <c r="I4000" s="8" t="s">
        <v>284</v>
      </c>
      <c r="J4000" s="8" t="s">
        <v>285</v>
      </c>
      <c r="K4000" s="10" t="s">
        <v>3841</v>
      </c>
      <c r="L4000" s="8" t="s">
        <v>58</v>
      </c>
      <c r="M4000" s="8" t="s">
        <v>35</v>
      </c>
      <c r="N4000" s="11">
        <v>45260.0</v>
      </c>
      <c r="O4000" s="11">
        <v>45292.0</v>
      </c>
      <c r="P4000" s="11">
        <v>45334.0</v>
      </c>
      <c r="Q4000" s="11"/>
      <c r="R4000" s="11"/>
      <c r="S4000" s="12"/>
      <c r="T4000" s="8"/>
      <c r="U4000" s="8" t="s">
        <v>1038</v>
      </c>
      <c r="V4000" s="13" t="s">
        <v>545</v>
      </c>
      <c r="W4000" s="13" t="s">
        <v>18481</v>
      </c>
      <c r="X4000" s="12"/>
      <c r="Y4000" s="14"/>
      <c r="Z4000" s="14"/>
    </row>
    <row r="4001">
      <c r="A4001" s="8" t="s">
        <v>18482</v>
      </c>
      <c r="B4001" s="8" t="s">
        <v>18483</v>
      </c>
      <c r="C4001" s="8" t="s">
        <v>179</v>
      </c>
      <c r="D4001" s="8" t="s">
        <v>26</v>
      </c>
      <c r="E4001" s="8" t="s">
        <v>18484</v>
      </c>
      <c r="F4001" s="8">
        <v>5.309674709E9</v>
      </c>
      <c r="G4001" s="8" t="s">
        <v>31</v>
      </c>
      <c r="H4001" s="8" t="s">
        <v>542</v>
      </c>
      <c r="I4001" s="8" t="s">
        <v>284</v>
      </c>
      <c r="J4001" s="8" t="s">
        <v>285</v>
      </c>
      <c r="K4001" s="10" t="s">
        <v>3841</v>
      </c>
      <c r="L4001" s="8" t="s">
        <v>58</v>
      </c>
      <c r="M4001" s="8" t="s">
        <v>35</v>
      </c>
      <c r="N4001" s="11">
        <v>45260.0</v>
      </c>
      <c r="O4001" s="11">
        <v>45474.0</v>
      </c>
      <c r="P4001" s="11">
        <v>45516.0</v>
      </c>
      <c r="Q4001" s="11"/>
      <c r="R4001" s="11"/>
      <c r="S4001" s="12"/>
      <c r="T4001" s="8"/>
      <c r="U4001" s="8" t="s">
        <v>1038</v>
      </c>
      <c r="V4001" s="13" t="s">
        <v>545</v>
      </c>
      <c r="W4001" s="13" t="s">
        <v>18485</v>
      </c>
      <c r="X4001" s="12"/>
      <c r="Y4001" s="14"/>
      <c r="Z4001" s="14"/>
    </row>
    <row r="4002">
      <c r="A4002" s="8" t="s">
        <v>18486</v>
      </c>
      <c r="B4002" s="8" t="s">
        <v>18487</v>
      </c>
      <c r="C4002" s="8" t="s">
        <v>179</v>
      </c>
      <c r="D4002" s="8" t="s">
        <v>26</v>
      </c>
      <c r="E4002" s="8" t="s">
        <v>18488</v>
      </c>
      <c r="F4002" s="8">
        <v>1.099248612E9</v>
      </c>
      <c r="G4002" s="8" t="s">
        <v>284</v>
      </c>
      <c r="H4002" s="8" t="s">
        <v>300</v>
      </c>
      <c r="I4002" s="8" t="s">
        <v>31</v>
      </c>
      <c r="J4002" s="8" t="s">
        <v>292</v>
      </c>
      <c r="K4002" s="10" t="s">
        <v>12973</v>
      </c>
      <c r="L4002" s="8" t="s">
        <v>58</v>
      </c>
      <c r="M4002" s="8" t="s">
        <v>35</v>
      </c>
      <c r="N4002" s="11">
        <v>45260.0</v>
      </c>
      <c r="O4002" s="11">
        <v>45327.0</v>
      </c>
      <c r="P4002" s="11">
        <v>45369.0</v>
      </c>
      <c r="Q4002" s="11"/>
      <c r="R4002" s="11"/>
      <c r="S4002" s="12"/>
      <c r="T4002" s="8"/>
      <c r="U4002" s="8" t="s">
        <v>88</v>
      </c>
      <c r="V4002" s="13" t="s">
        <v>300</v>
      </c>
      <c r="W4002" s="13" t="s">
        <v>18489</v>
      </c>
      <c r="X4002" s="12"/>
      <c r="Y4002" s="14"/>
      <c r="Z4002" s="14"/>
    </row>
    <row r="4003">
      <c r="A4003" s="8" t="s">
        <v>18490</v>
      </c>
      <c r="B4003" s="8" t="s">
        <v>18491</v>
      </c>
      <c r="C4003" s="8" t="s">
        <v>179</v>
      </c>
      <c r="D4003" s="8" t="s">
        <v>26</v>
      </c>
      <c r="E4003" s="8" t="s">
        <v>18492</v>
      </c>
      <c r="F4003" s="8">
        <v>1.098317842E9</v>
      </c>
      <c r="G4003" s="8" t="s">
        <v>284</v>
      </c>
      <c r="H4003" s="8" t="s">
        <v>691</v>
      </c>
      <c r="I4003" s="8" t="s">
        <v>31</v>
      </c>
      <c r="J4003" s="8" t="s">
        <v>292</v>
      </c>
      <c r="K4003" s="10" t="s">
        <v>12835</v>
      </c>
      <c r="L4003" s="8" t="s">
        <v>58</v>
      </c>
      <c r="M4003" s="8" t="s">
        <v>35</v>
      </c>
      <c r="N4003" s="11">
        <v>45260.0</v>
      </c>
      <c r="O4003" s="11">
        <v>45327.0</v>
      </c>
      <c r="P4003" s="11">
        <v>45369.0</v>
      </c>
      <c r="Q4003" s="11"/>
      <c r="R4003" s="11"/>
      <c r="S4003" s="12"/>
      <c r="T4003" s="8"/>
      <c r="U4003" s="8" t="s">
        <v>88</v>
      </c>
      <c r="V4003" s="13" t="s">
        <v>692</v>
      </c>
      <c r="W4003" s="13" t="s">
        <v>18493</v>
      </c>
      <c r="X4003" s="12"/>
      <c r="Y4003" s="14"/>
      <c r="Z4003" s="14"/>
    </row>
    <row r="4004">
      <c r="A4004" s="8" t="s">
        <v>18494</v>
      </c>
      <c r="B4004" s="8" t="s">
        <v>18495</v>
      </c>
      <c r="C4004" s="8" t="s">
        <v>179</v>
      </c>
      <c r="D4004" s="8" t="s">
        <v>26</v>
      </c>
      <c r="E4004" s="8" t="s">
        <v>18496</v>
      </c>
      <c r="F4004" s="8">
        <v>5.05368898E9</v>
      </c>
      <c r="G4004" s="8" t="s">
        <v>31</v>
      </c>
      <c r="H4004" s="8" t="s">
        <v>542</v>
      </c>
      <c r="I4004" s="8" t="s">
        <v>284</v>
      </c>
      <c r="J4004" s="8" t="s">
        <v>285</v>
      </c>
      <c r="K4004" s="10" t="s">
        <v>7771</v>
      </c>
      <c r="L4004" s="8" t="s">
        <v>58</v>
      </c>
      <c r="M4004" s="8" t="s">
        <v>35</v>
      </c>
      <c r="N4004" s="11">
        <v>45260.0</v>
      </c>
      <c r="O4004" s="11">
        <v>45474.0</v>
      </c>
      <c r="P4004" s="11">
        <v>45516.0</v>
      </c>
      <c r="Q4004" s="11"/>
      <c r="R4004" s="11"/>
      <c r="S4004" s="12"/>
      <c r="T4004" s="8"/>
      <c r="U4004" s="8" t="s">
        <v>185</v>
      </c>
      <c r="V4004" s="13" t="s">
        <v>545</v>
      </c>
      <c r="W4004" s="13" t="s">
        <v>18497</v>
      </c>
      <c r="X4004" s="12"/>
      <c r="Y4004" s="14"/>
      <c r="Z4004" s="14"/>
    </row>
    <row r="4005">
      <c r="A4005" s="8" t="s">
        <v>18498</v>
      </c>
      <c r="B4005" s="8" t="s">
        <v>18499</v>
      </c>
      <c r="C4005" s="8" t="s">
        <v>179</v>
      </c>
      <c r="D4005" s="8" t="s">
        <v>26</v>
      </c>
      <c r="E4005" s="8" t="s">
        <v>18500</v>
      </c>
      <c r="F4005" s="8">
        <v>6.66306734E8</v>
      </c>
      <c r="G4005" s="8" t="s">
        <v>254</v>
      </c>
      <c r="H4005" s="8" t="s">
        <v>422</v>
      </c>
      <c r="I4005" s="8" t="s">
        <v>31</v>
      </c>
      <c r="J4005" s="8" t="s">
        <v>292</v>
      </c>
      <c r="K4005" s="10" t="s">
        <v>12399</v>
      </c>
      <c r="L4005" s="8" t="s">
        <v>58</v>
      </c>
      <c r="M4005" s="8" t="s">
        <v>35</v>
      </c>
      <c r="N4005" s="11">
        <v>45260.0</v>
      </c>
      <c r="O4005" s="11">
        <v>45264.0</v>
      </c>
      <c r="P4005" s="11">
        <v>45306.0</v>
      </c>
      <c r="Q4005" s="11"/>
      <c r="R4005" s="11"/>
      <c r="S4005" s="12"/>
      <c r="T4005" s="8"/>
      <c r="U4005" s="8" t="s">
        <v>88</v>
      </c>
      <c r="V4005" s="13" t="s">
        <v>425</v>
      </c>
      <c r="W4005" s="13" t="s">
        <v>18501</v>
      </c>
      <c r="X4005" s="12"/>
      <c r="Y4005" s="14"/>
      <c r="Z4005" s="14"/>
    </row>
    <row r="4006">
      <c r="A4006" s="8" t="s">
        <v>18502</v>
      </c>
      <c r="B4006" s="8" t="s">
        <v>18503</v>
      </c>
      <c r="C4006" s="8" t="s">
        <v>179</v>
      </c>
      <c r="D4006" s="8" t="s">
        <v>26</v>
      </c>
      <c r="E4006" s="8" t="s">
        <v>18504</v>
      </c>
      <c r="F4006" s="8">
        <v>5.467653309E9</v>
      </c>
      <c r="G4006" s="8" t="s">
        <v>31</v>
      </c>
      <c r="H4006" s="8" t="s">
        <v>86</v>
      </c>
      <c r="I4006" s="8" t="s">
        <v>284</v>
      </c>
      <c r="J4006" s="8" t="s">
        <v>1450</v>
      </c>
      <c r="K4006" s="10" t="s">
        <v>5282</v>
      </c>
      <c r="L4006" s="8" t="s">
        <v>47</v>
      </c>
      <c r="M4006" s="8" t="s">
        <v>35</v>
      </c>
      <c r="N4006" s="11">
        <v>45260.0</v>
      </c>
      <c r="O4006" s="11">
        <v>45478.0</v>
      </c>
      <c r="P4006" s="11">
        <v>45541.0</v>
      </c>
      <c r="Q4006" s="11"/>
      <c r="R4006" s="11"/>
      <c r="S4006" s="12"/>
      <c r="T4006" s="8"/>
      <c r="U4006" s="8" t="s">
        <v>246</v>
      </c>
      <c r="V4006" s="13" t="s">
        <v>175</v>
      </c>
      <c r="W4006" s="13" t="s">
        <v>18505</v>
      </c>
      <c r="X4006" s="12"/>
      <c r="Y4006" s="14"/>
      <c r="Z4006" s="14"/>
    </row>
    <row r="4007">
      <c r="A4007" s="8" t="s">
        <v>18506</v>
      </c>
      <c r="B4007" s="8" t="s">
        <v>18507</v>
      </c>
      <c r="C4007" s="8" t="s">
        <v>179</v>
      </c>
      <c r="D4007" s="8" t="s">
        <v>26</v>
      </c>
      <c r="E4007" s="8" t="s">
        <v>18508</v>
      </c>
      <c r="F4007" s="8">
        <v>1.212009638E9</v>
      </c>
      <c r="G4007" s="8" t="s">
        <v>284</v>
      </c>
      <c r="H4007" s="8" t="s">
        <v>691</v>
      </c>
      <c r="I4007" s="8" t="s">
        <v>31</v>
      </c>
      <c r="J4007" s="8" t="s">
        <v>292</v>
      </c>
      <c r="K4007" s="10" t="s">
        <v>2080</v>
      </c>
      <c r="L4007" s="8" t="s">
        <v>58</v>
      </c>
      <c r="M4007" s="8" t="s">
        <v>35</v>
      </c>
      <c r="N4007" s="11">
        <v>45260.0</v>
      </c>
      <c r="O4007" s="11">
        <v>45334.0</v>
      </c>
      <c r="P4007" s="11">
        <v>45376.0</v>
      </c>
      <c r="Q4007" s="11"/>
      <c r="R4007" s="11"/>
      <c r="S4007" s="12"/>
      <c r="T4007" s="8"/>
      <c r="U4007" s="8" t="s">
        <v>59</v>
      </c>
      <c r="V4007" s="13" t="s">
        <v>18509</v>
      </c>
      <c r="W4007" s="13" t="s">
        <v>18510</v>
      </c>
      <c r="X4007" s="12"/>
      <c r="Y4007" s="14"/>
      <c r="Z4007" s="14"/>
    </row>
    <row r="4008">
      <c r="A4008" s="8" t="s">
        <v>18511</v>
      </c>
      <c r="B4008" s="8" t="s">
        <v>18512</v>
      </c>
      <c r="C4008" s="8" t="s">
        <v>179</v>
      </c>
      <c r="D4008" s="8" t="s">
        <v>26</v>
      </c>
      <c r="E4008" s="8" t="s">
        <v>18513</v>
      </c>
      <c r="F4008" s="8"/>
      <c r="G4008" s="8" t="s">
        <v>31</v>
      </c>
      <c r="H4008" s="8" t="s">
        <v>292</v>
      </c>
      <c r="I4008" s="8" t="s">
        <v>54</v>
      </c>
      <c r="J4008" s="8" t="s">
        <v>237</v>
      </c>
      <c r="K4008" s="10" t="s">
        <v>18514</v>
      </c>
      <c r="L4008" s="8" t="s">
        <v>58</v>
      </c>
      <c r="M4008" s="8" t="s">
        <v>35</v>
      </c>
      <c r="N4008" s="11">
        <v>45260.0</v>
      </c>
      <c r="O4008" s="11">
        <v>45473.0</v>
      </c>
      <c r="P4008" s="11">
        <v>45515.0</v>
      </c>
      <c r="Q4008" s="11"/>
      <c r="R4008" s="11"/>
      <c r="S4008" s="12"/>
      <c r="T4008" s="8"/>
      <c r="U4008" s="8" t="s">
        <v>1590</v>
      </c>
      <c r="V4008" s="13" t="s">
        <v>38</v>
      </c>
      <c r="W4008" s="13" t="s">
        <v>18515</v>
      </c>
      <c r="X4008" s="12"/>
      <c r="Y4008" s="14"/>
      <c r="Z4008" s="14"/>
    </row>
    <row r="4009">
      <c r="A4009" s="8" t="s">
        <v>18516</v>
      </c>
      <c r="B4009" s="8" t="s">
        <v>18517</v>
      </c>
      <c r="C4009" s="8" t="s">
        <v>179</v>
      </c>
      <c r="D4009" s="8" t="s">
        <v>26</v>
      </c>
      <c r="E4009" s="8" t="s">
        <v>18518</v>
      </c>
      <c r="F4009" s="8">
        <v>5.054251142E9</v>
      </c>
      <c r="G4009" s="8" t="s">
        <v>31</v>
      </c>
      <c r="H4009" s="8" t="s">
        <v>136</v>
      </c>
      <c r="I4009" s="8" t="s">
        <v>44</v>
      </c>
      <c r="J4009" s="8" t="s">
        <v>453</v>
      </c>
      <c r="K4009" s="10" t="s">
        <v>18519</v>
      </c>
      <c r="L4009" s="8" t="s">
        <v>58</v>
      </c>
      <c r="M4009" s="8" t="s">
        <v>35</v>
      </c>
      <c r="N4009" s="11">
        <v>45260.0</v>
      </c>
      <c r="O4009" s="11">
        <v>45488.0</v>
      </c>
      <c r="P4009" s="11">
        <v>45530.0</v>
      </c>
      <c r="Q4009" s="11"/>
      <c r="R4009" s="11"/>
      <c r="S4009" s="12"/>
      <c r="T4009" s="8"/>
      <c r="U4009" s="8" t="s">
        <v>371</v>
      </c>
      <c r="V4009" s="13" t="s">
        <v>136</v>
      </c>
      <c r="W4009" s="13" t="s">
        <v>18520</v>
      </c>
      <c r="X4009" s="12"/>
      <c r="Y4009" s="14"/>
      <c r="Z4009" s="14"/>
    </row>
    <row r="4010">
      <c r="A4010" s="8" t="s">
        <v>18521</v>
      </c>
      <c r="B4010" s="8" t="s">
        <v>18522</v>
      </c>
      <c r="C4010" s="8" t="s">
        <v>708</v>
      </c>
      <c r="D4010" s="8" t="s">
        <v>26</v>
      </c>
      <c r="E4010" s="8" t="s">
        <v>18523</v>
      </c>
      <c r="F4010" s="8">
        <v>1.066828901E9</v>
      </c>
      <c r="G4010" s="8" t="s">
        <v>284</v>
      </c>
      <c r="H4010" s="8" t="s">
        <v>1287</v>
      </c>
      <c r="I4010" s="8" t="s">
        <v>31</v>
      </c>
      <c r="J4010" s="8" t="s">
        <v>32</v>
      </c>
      <c r="K4010" s="10" t="s">
        <v>18524</v>
      </c>
      <c r="L4010" s="8" t="s">
        <v>34</v>
      </c>
      <c r="M4010" s="8" t="s">
        <v>48</v>
      </c>
      <c r="N4010" s="11">
        <v>45260.0</v>
      </c>
      <c r="O4010" s="11">
        <v>45292.0</v>
      </c>
      <c r="P4010" s="11">
        <v>45473.0</v>
      </c>
      <c r="Q4010" s="11">
        <v>45297.0</v>
      </c>
      <c r="R4010" s="11">
        <v>45478.0</v>
      </c>
      <c r="S4010" s="12"/>
      <c r="T4010" s="8" t="s">
        <v>1187</v>
      </c>
      <c r="U4010" s="8" t="s">
        <v>10054</v>
      </c>
      <c r="V4010" s="13" t="s">
        <v>5072</v>
      </c>
      <c r="W4010" s="13" t="s">
        <v>18525</v>
      </c>
      <c r="X4010" s="12"/>
      <c r="Y4010" s="14"/>
      <c r="Z4010" s="14"/>
    </row>
    <row r="4011">
      <c r="A4011" s="8" t="s">
        <v>18526</v>
      </c>
      <c r="B4011" s="8" t="s">
        <v>13527</v>
      </c>
      <c r="C4011" s="8" t="s">
        <v>179</v>
      </c>
      <c r="D4011" s="8" t="s">
        <v>26</v>
      </c>
      <c r="E4011" s="8" t="s">
        <v>13528</v>
      </c>
      <c r="F4011" s="8">
        <v>1.121343379E9</v>
      </c>
      <c r="G4011" s="8" t="s">
        <v>284</v>
      </c>
      <c r="H4011" s="8" t="s">
        <v>854</v>
      </c>
      <c r="I4011" s="8" t="s">
        <v>31</v>
      </c>
      <c r="J4011" s="8" t="s">
        <v>256</v>
      </c>
      <c r="K4011" s="10" t="s">
        <v>3411</v>
      </c>
      <c r="L4011" s="8" t="s">
        <v>58</v>
      </c>
      <c r="M4011" s="8" t="s">
        <v>35</v>
      </c>
      <c r="N4011" s="11">
        <v>45260.0</v>
      </c>
      <c r="O4011" s="11">
        <v>45422.0</v>
      </c>
      <c r="P4011" s="11">
        <v>45464.0</v>
      </c>
      <c r="Q4011" s="11"/>
      <c r="R4011" s="11"/>
      <c r="S4011" s="12"/>
      <c r="T4011" s="8"/>
      <c r="U4011" s="8" t="s">
        <v>59</v>
      </c>
      <c r="V4011" s="13" t="s">
        <v>856</v>
      </c>
      <c r="W4011" s="13" t="s">
        <v>13529</v>
      </c>
      <c r="X4011" s="12"/>
      <c r="Y4011" s="14"/>
      <c r="Z4011" s="14"/>
    </row>
    <row r="4012">
      <c r="A4012" s="8" t="s">
        <v>18527</v>
      </c>
      <c r="B4012" s="8" t="s">
        <v>18528</v>
      </c>
      <c r="C4012" s="8" t="s">
        <v>179</v>
      </c>
      <c r="D4012" s="8" t="s">
        <v>26</v>
      </c>
      <c r="E4012" s="8" t="s">
        <v>18529</v>
      </c>
      <c r="F4012" s="8">
        <v>1.030791968E9</v>
      </c>
      <c r="G4012" s="8" t="s">
        <v>284</v>
      </c>
      <c r="H4012" s="8" t="s">
        <v>1422</v>
      </c>
      <c r="I4012" s="8" t="s">
        <v>31</v>
      </c>
      <c r="J4012" s="8" t="s">
        <v>32</v>
      </c>
      <c r="K4012" s="10" t="s">
        <v>1813</v>
      </c>
      <c r="L4012" s="8" t="s">
        <v>58</v>
      </c>
      <c r="M4012" s="8" t="s">
        <v>35</v>
      </c>
      <c r="N4012" s="11">
        <v>45260.0</v>
      </c>
      <c r="O4012" s="11">
        <v>45509.0</v>
      </c>
      <c r="P4012" s="11">
        <v>45551.0</v>
      </c>
      <c r="Q4012" s="11"/>
      <c r="R4012" s="11"/>
      <c r="S4012" s="12"/>
      <c r="T4012" s="8"/>
      <c r="U4012" s="8" t="s">
        <v>161</v>
      </c>
      <c r="V4012" s="13" t="s">
        <v>1424</v>
      </c>
      <c r="W4012" s="13" t="s">
        <v>18530</v>
      </c>
      <c r="X4012" s="12"/>
      <c r="Y4012" s="14"/>
      <c r="Z4012" s="14"/>
    </row>
    <row r="4013">
      <c r="A4013" s="8" t="s">
        <v>18531</v>
      </c>
      <c r="B4013" s="8" t="s">
        <v>18532</v>
      </c>
      <c r="C4013" s="8" t="s">
        <v>179</v>
      </c>
      <c r="D4013" s="8" t="s">
        <v>26</v>
      </c>
      <c r="E4013" s="8" t="s">
        <v>18533</v>
      </c>
      <c r="F4013" s="8">
        <v>6.6033611E8</v>
      </c>
      <c r="G4013" s="8" t="s">
        <v>254</v>
      </c>
      <c r="H4013" s="8" t="s">
        <v>1007</v>
      </c>
      <c r="I4013" s="8" t="s">
        <v>31</v>
      </c>
      <c r="J4013" s="8" t="s">
        <v>66</v>
      </c>
      <c r="K4013" s="10" t="s">
        <v>15083</v>
      </c>
      <c r="L4013" s="8" t="s">
        <v>47</v>
      </c>
      <c r="M4013" s="8" t="s">
        <v>70</v>
      </c>
      <c r="N4013" s="11">
        <v>45260.0</v>
      </c>
      <c r="O4013" s="11">
        <v>45264.0</v>
      </c>
      <c r="P4013" s="11">
        <v>45505.0</v>
      </c>
      <c r="Q4013" s="11"/>
      <c r="R4013" s="11"/>
      <c r="S4013" s="12"/>
      <c r="T4013" s="8"/>
      <c r="U4013" s="8" t="s">
        <v>246</v>
      </c>
      <c r="V4013" s="13" t="s">
        <v>1249</v>
      </c>
      <c r="W4013" s="13" t="s">
        <v>18534</v>
      </c>
      <c r="X4013" s="12"/>
      <c r="Y4013" s="14"/>
      <c r="Z4013" s="14"/>
    </row>
    <row r="4014">
      <c r="A4014" s="8" t="s">
        <v>18535</v>
      </c>
      <c r="B4014" s="8" t="s">
        <v>18536</v>
      </c>
      <c r="C4014" s="8" t="s">
        <v>179</v>
      </c>
      <c r="D4014" s="8" t="s">
        <v>26</v>
      </c>
      <c r="E4014" s="8" t="s">
        <v>18537</v>
      </c>
      <c r="F4014" s="8"/>
      <c r="G4014" s="8" t="s">
        <v>31</v>
      </c>
      <c r="H4014" s="8" t="s">
        <v>111</v>
      </c>
      <c r="I4014" s="8" t="s">
        <v>18538</v>
      </c>
      <c r="J4014" s="8" t="s">
        <v>18539</v>
      </c>
      <c r="K4014" s="10" t="s">
        <v>18540</v>
      </c>
      <c r="L4014" s="8" t="s">
        <v>58</v>
      </c>
      <c r="M4014" s="8" t="s">
        <v>35</v>
      </c>
      <c r="N4014" s="11">
        <v>45261.0</v>
      </c>
      <c r="O4014" s="11">
        <v>45422.0</v>
      </c>
      <c r="P4014" s="11">
        <v>45477.0</v>
      </c>
      <c r="Q4014" s="11"/>
      <c r="R4014" s="11"/>
      <c r="S4014" s="12"/>
      <c r="T4014" s="8"/>
      <c r="U4014" s="8" t="s">
        <v>88</v>
      </c>
      <c r="V4014" s="13" t="s">
        <v>38</v>
      </c>
      <c r="W4014" s="13" t="s">
        <v>18541</v>
      </c>
      <c r="X4014" s="12"/>
      <c r="Y4014" s="14"/>
      <c r="Z4014" s="14"/>
    </row>
    <row r="4015">
      <c r="A4015" s="8" t="s">
        <v>18542</v>
      </c>
      <c r="B4015" s="8" t="s">
        <v>18543</v>
      </c>
      <c r="C4015" s="8" t="s">
        <v>708</v>
      </c>
      <c r="D4015" s="8" t="s">
        <v>26</v>
      </c>
      <c r="E4015" s="8" t="s">
        <v>18544</v>
      </c>
      <c r="F4015" s="8">
        <v>5.521021419E9</v>
      </c>
      <c r="G4015" s="8" t="s">
        <v>31</v>
      </c>
      <c r="H4015" s="8" t="s">
        <v>292</v>
      </c>
      <c r="I4015" s="8" t="s">
        <v>221</v>
      </c>
      <c r="J4015" s="8" t="s">
        <v>3050</v>
      </c>
      <c r="K4015" s="10" t="s">
        <v>17218</v>
      </c>
      <c r="L4015" s="8" t="s">
        <v>58</v>
      </c>
      <c r="M4015" s="8" t="s">
        <v>35</v>
      </c>
      <c r="N4015" s="11">
        <v>45261.0</v>
      </c>
      <c r="O4015" s="11">
        <v>45313.0</v>
      </c>
      <c r="P4015" s="11">
        <v>45355.0</v>
      </c>
      <c r="Q4015" s="11">
        <v>45313.0</v>
      </c>
      <c r="R4015" s="11">
        <v>45355.0</v>
      </c>
      <c r="S4015" s="12"/>
      <c r="T4015" s="8"/>
      <c r="U4015" s="8" t="s">
        <v>371</v>
      </c>
      <c r="V4015" s="13" t="s">
        <v>292</v>
      </c>
      <c r="W4015" s="13" t="s">
        <v>18545</v>
      </c>
      <c r="X4015" s="12"/>
      <c r="Y4015" s="14"/>
      <c r="Z4015" s="14"/>
    </row>
    <row r="4016">
      <c r="A4016" s="8" t="s">
        <v>18546</v>
      </c>
      <c r="B4016" s="8" t="s">
        <v>18547</v>
      </c>
      <c r="C4016" s="8" t="s">
        <v>179</v>
      </c>
      <c r="D4016" s="8" t="s">
        <v>26</v>
      </c>
      <c r="E4016" s="8" t="s">
        <v>18548</v>
      </c>
      <c r="F4016" s="8"/>
      <c r="G4016" s="8" t="s">
        <v>31</v>
      </c>
      <c r="H4016" s="8" t="s">
        <v>32</v>
      </c>
      <c r="I4016" s="8" t="s">
        <v>284</v>
      </c>
      <c r="J4016" s="8" t="s">
        <v>1422</v>
      </c>
      <c r="K4016" s="10" t="s">
        <v>16412</v>
      </c>
      <c r="L4016" s="8" t="s">
        <v>58</v>
      </c>
      <c r="M4016" s="8" t="s">
        <v>35</v>
      </c>
      <c r="N4016" s="11">
        <v>45261.0</v>
      </c>
      <c r="O4016" s="11">
        <v>45323.0</v>
      </c>
      <c r="P4016" s="11">
        <v>45365.0</v>
      </c>
      <c r="Q4016" s="11"/>
      <c r="R4016" s="11"/>
      <c r="S4016" s="12"/>
      <c r="T4016" s="8"/>
      <c r="U4016" s="8" t="s">
        <v>130</v>
      </c>
      <c r="V4016" s="13" t="s">
        <v>38</v>
      </c>
      <c r="W4016" s="13" t="s">
        <v>18549</v>
      </c>
      <c r="X4016" s="12"/>
      <c r="Y4016" s="14"/>
      <c r="Z4016" s="14"/>
    </row>
    <row r="4017">
      <c r="A4017" s="8" t="s">
        <v>18550</v>
      </c>
      <c r="B4017" s="8" t="s">
        <v>18551</v>
      </c>
      <c r="C4017" s="8" t="s">
        <v>179</v>
      </c>
      <c r="D4017" s="8" t="s">
        <v>26</v>
      </c>
      <c r="E4017" s="8" t="s">
        <v>18552</v>
      </c>
      <c r="F4017" s="8">
        <v>5.413678673E9</v>
      </c>
      <c r="G4017" s="8" t="s">
        <v>31</v>
      </c>
      <c r="H4017" s="8" t="s">
        <v>32</v>
      </c>
      <c r="I4017" s="8" t="s">
        <v>284</v>
      </c>
      <c r="J4017" s="8" t="s">
        <v>691</v>
      </c>
      <c r="K4017" s="10" t="s">
        <v>18553</v>
      </c>
      <c r="L4017" s="8" t="s">
        <v>58</v>
      </c>
      <c r="M4017" s="8" t="s">
        <v>35</v>
      </c>
      <c r="N4017" s="11">
        <v>45261.0</v>
      </c>
      <c r="O4017" s="11">
        <v>45444.0</v>
      </c>
      <c r="P4017" s="11">
        <v>45488.0</v>
      </c>
      <c r="Q4017" s="11"/>
      <c r="R4017" s="11"/>
      <c r="S4017" s="12"/>
      <c r="T4017" s="8"/>
      <c r="U4017" s="8" t="s">
        <v>59</v>
      </c>
      <c r="V4017" s="13" t="s">
        <v>537</v>
      </c>
      <c r="W4017" s="13" t="s">
        <v>18554</v>
      </c>
      <c r="X4017" s="12"/>
      <c r="Y4017" s="14"/>
      <c r="Z4017" s="14"/>
    </row>
    <row r="4018">
      <c r="A4018" s="8" t="s">
        <v>18555</v>
      </c>
      <c r="B4018" s="8" t="s">
        <v>18556</v>
      </c>
      <c r="C4018" s="8" t="s">
        <v>179</v>
      </c>
      <c r="D4018" s="8" t="s">
        <v>26</v>
      </c>
      <c r="E4018" s="8" t="s">
        <v>18557</v>
      </c>
      <c r="F4018" s="8">
        <v>2.9695644E7</v>
      </c>
      <c r="G4018" s="8" t="s">
        <v>54</v>
      </c>
      <c r="H4018" s="8" t="s">
        <v>76</v>
      </c>
      <c r="I4018" s="8" t="s">
        <v>31</v>
      </c>
      <c r="J4018" s="8" t="s">
        <v>77</v>
      </c>
      <c r="K4018" s="10" t="s">
        <v>2555</v>
      </c>
      <c r="L4018" s="8" t="s">
        <v>58</v>
      </c>
      <c r="M4018" s="8" t="s">
        <v>35</v>
      </c>
      <c r="N4018" s="11">
        <v>45261.0</v>
      </c>
      <c r="O4018" s="11">
        <v>45488.0</v>
      </c>
      <c r="P4018" s="11">
        <v>45530.0</v>
      </c>
      <c r="Q4018" s="11"/>
      <c r="R4018" s="11"/>
      <c r="S4018" s="12"/>
      <c r="T4018" s="8"/>
      <c r="U4018" s="8" t="s">
        <v>371</v>
      </c>
      <c r="V4018" s="13" t="s">
        <v>3496</v>
      </c>
      <c r="W4018" s="13" t="s">
        <v>18558</v>
      </c>
      <c r="X4018" s="12"/>
      <c r="Y4018" s="14"/>
      <c r="Z4018" s="14"/>
    </row>
    <row r="4019">
      <c r="A4019" s="8" t="s">
        <v>18559</v>
      </c>
      <c r="B4019" s="8" t="s">
        <v>18560</v>
      </c>
      <c r="C4019" s="8" t="s">
        <v>179</v>
      </c>
      <c r="D4019" s="8" t="s">
        <v>26</v>
      </c>
      <c r="E4019" s="8" t="s">
        <v>18561</v>
      </c>
      <c r="F4019" s="8">
        <v>5.535572129E9</v>
      </c>
      <c r="G4019" s="8" t="s">
        <v>31</v>
      </c>
      <c r="H4019" s="8" t="s">
        <v>111</v>
      </c>
      <c r="I4019" s="8" t="s">
        <v>8840</v>
      </c>
      <c r="J4019" s="8" t="s">
        <v>13715</v>
      </c>
      <c r="K4019" s="10" t="s">
        <v>13716</v>
      </c>
      <c r="L4019" s="8" t="s">
        <v>58</v>
      </c>
      <c r="M4019" s="8" t="s">
        <v>35</v>
      </c>
      <c r="N4019" s="11">
        <v>45262.0</v>
      </c>
      <c r="O4019" s="11">
        <v>45306.0</v>
      </c>
      <c r="P4019" s="11">
        <v>45348.0</v>
      </c>
      <c r="Q4019" s="11"/>
      <c r="R4019" s="11"/>
      <c r="S4019" s="12"/>
      <c r="T4019" s="8"/>
      <c r="U4019" s="8" t="s">
        <v>88</v>
      </c>
      <c r="V4019" s="13" t="s">
        <v>111</v>
      </c>
      <c r="W4019" s="13" t="s">
        <v>18562</v>
      </c>
      <c r="X4019" s="12"/>
      <c r="Y4019" s="14"/>
      <c r="Z4019" s="14"/>
    </row>
    <row r="4020">
      <c r="A4020" s="8" t="s">
        <v>18563</v>
      </c>
      <c r="B4020" s="8" t="s">
        <v>18564</v>
      </c>
      <c r="C4020" s="8" t="s">
        <v>179</v>
      </c>
      <c r="D4020" s="8" t="s">
        <v>26</v>
      </c>
      <c r="E4020" s="8" t="s">
        <v>18565</v>
      </c>
      <c r="F4020" s="8">
        <v>2.9413927E7</v>
      </c>
      <c r="G4020" s="8" t="s">
        <v>54</v>
      </c>
      <c r="H4020" s="8" t="s">
        <v>1911</v>
      </c>
      <c r="I4020" s="8" t="s">
        <v>31</v>
      </c>
      <c r="J4020" s="8" t="s">
        <v>167</v>
      </c>
      <c r="K4020" s="10" t="s">
        <v>4008</v>
      </c>
      <c r="L4020" s="8" t="s">
        <v>58</v>
      </c>
      <c r="M4020" s="8" t="s">
        <v>35</v>
      </c>
      <c r="N4020" s="11">
        <v>45262.0</v>
      </c>
      <c r="O4020" s="11">
        <v>45327.0</v>
      </c>
      <c r="P4020" s="11">
        <v>45369.0</v>
      </c>
      <c r="Q4020" s="11"/>
      <c r="R4020" s="11"/>
      <c r="S4020" s="12"/>
      <c r="T4020" s="8"/>
      <c r="U4020" s="8" t="s">
        <v>59</v>
      </c>
      <c r="V4020" s="13" t="s">
        <v>18566</v>
      </c>
      <c r="W4020" s="13" t="s">
        <v>18567</v>
      </c>
      <c r="X4020" s="12"/>
      <c r="Y4020" s="14"/>
      <c r="Z4020" s="14"/>
    </row>
    <row r="4021">
      <c r="A4021" s="8" t="s">
        <v>18568</v>
      </c>
      <c r="B4021" s="8" t="s">
        <v>18569</v>
      </c>
      <c r="C4021" s="8" t="s">
        <v>179</v>
      </c>
      <c r="D4021" s="8" t="s">
        <v>26</v>
      </c>
      <c r="E4021" s="8" t="s">
        <v>18570</v>
      </c>
      <c r="F4021" s="8">
        <v>5.2765014E7</v>
      </c>
      <c r="G4021" s="8" t="s">
        <v>54</v>
      </c>
      <c r="H4021" s="8" t="s">
        <v>76</v>
      </c>
      <c r="I4021" s="8" t="s">
        <v>31</v>
      </c>
      <c r="J4021" s="8" t="s">
        <v>77</v>
      </c>
      <c r="K4021" s="10" t="s">
        <v>3241</v>
      </c>
      <c r="L4021" s="8" t="s">
        <v>58</v>
      </c>
      <c r="M4021" s="8" t="s">
        <v>35</v>
      </c>
      <c r="N4021" s="11">
        <v>45262.0</v>
      </c>
      <c r="O4021" s="11">
        <v>45481.0</v>
      </c>
      <c r="P4021" s="11">
        <v>45523.0</v>
      </c>
      <c r="Q4021" s="11"/>
      <c r="R4021" s="11"/>
      <c r="S4021" s="12"/>
      <c r="T4021" s="8"/>
      <c r="U4021" s="8" t="s">
        <v>59</v>
      </c>
      <c r="V4021" s="13" t="s">
        <v>1089</v>
      </c>
      <c r="W4021" s="13" t="s">
        <v>18571</v>
      </c>
      <c r="X4021" s="12"/>
      <c r="Y4021" s="14"/>
      <c r="Z4021" s="14"/>
    </row>
    <row r="4022">
      <c r="A4022" s="8" t="s">
        <v>18572</v>
      </c>
      <c r="B4022" s="8" t="s">
        <v>18573</v>
      </c>
      <c r="C4022" s="8" t="s">
        <v>179</v>
      </c>
      <c r="D4022" s="8" t="s">
        <v>26</v>
      </c>
      <c r="E4022" s="8" t="s">
        <v>18574</v>
      </c>
      <c r="F4022" s="8">
        <v>1.211537349E9</v>
      </c>
      <c r="G4022" s="8" t="s">
        <v>284</v>
      </c>
      <c r="H4022" s="8" t="s">
        <v>673</v>
      </c>
      <c r="I4022" s="8" t="s">
        <v>31</v>
      </c>
      <c r="J4022" s="8" t="s">
        <v>86</v>
      </c>
      <c r="K4022" s="10" t="s">
        <v>2453</v>
      </c>
      <c r="L4022" s="8" t="s">
        <v>58</v>
      </c>
      <c r="M4022" s="8" t="s">
        <v>35</v>
      </c>
      <c r="N4022" s="11">
        <v>45262.0</v>
      </c>
      <c r="O4022" s="11">
        <v>45347.0</v>
      </c>
      <c r="P4022" s="11">
        <v>45389.0</v>
      </c>
      <c r="Q4022" s="11"/>
      <c r="R4022" s="11"/>
      <c r="S4022" s="12"/>
      <c r="T4022" s="8"/>
      <c r="U4022" s="8" t="s">
        <v>59</v>
      </c>
      <c r="V4022" s="13" t="s">
        <v>674</v>
      </c>
      <c r="W4022" s="13" t="s">
        <v>18575</v>
      </c>
      <c r="X4022" s="12"/>
      <c r="Y4022" s="14"/>
      <c r="Z4022" s="14"/>
    </row>
    <row r="4023">
      <c r="A4023" s="8" t="s">
        <v>18576</v>
      </c>
      <c r="B4023" s="8" t="s">
        <v>18577</v>
      </c>
      <c r="C4023" s="8" t="s">
        <v>708</v>
      </c>
      <c r="D4023" s="8" t="s">
        <v>26</v>
      </c>
      <c r="E4023" s="8" t="s">
        <v>18578</v>
      </c>
      <c r="F4023" s="8">
        <v>9.93666227E8</v>
      </c>
      <c r="G4023" s="8" t="s">
        <v>660</v>
      </c>
      <c r="H4023" s="8" t="s">
        <v>9000</v>
      </c>
      <c r="I4023" s="8" t="s">
        <v>31</v>
      </c>
      <c r="J4023" s="8" t="s">
        <v>220</v>
      </c>
      <c r="K4023" s="10" t="s">
        <v>18579</v>
      </c>
      <c r="L4023" s="8" t="s">
        <v>34</v>
      </c>
      <c r="M4023" s="8" t="s">
        <v>70</v>
      </c>
      <c r="N4023" s="11">
        <v>45262.0</v>
      </c>
      <c r="O4023" s="11">
        <v>45231.0</v>
      </c>
      <c r="P4023" s="11">
        <v>45596.0</v>
      </c>
      <c r="Q4023" s="11">
        <v>45269.0</v>
      </c>
      <c r="R4023" s="11">
        <v>45634.0</v>
      </c>
      <c r="S4023" s="12"/>
      <c r="T4023" s="8" t="s">
        <v>121</v>
      </c>
      <c r="U4023" s="8" t="s">
        <v>18580</v>
      </c>
      <c r="V4023" s="13" t="s">
        <v>12242</v>
      </c>
      <c r="W4023" s="13" t="s">
        <v>18581</v>
      </c>
      <c r="X4023" s="12"/>
      <c r="Y4023" s="14"/>
      <c r="Z4023" s="14"/>
    </row>
    <row r="4024">
      <c r="A4024" s="8" t="s">
        <v>18582</v>
      </c>
      <c r="B4024" s="8" t="s">
        <v>18583</v>
      </c>
      <c r="C4024" s="8" t="s">
        <v>179</v>
      </c>
      <c r="D4024" s="8" t="s">
        <v>26</v>
      </c>
      <c r="E4024" s="8" t="s">
        <v>18584</v>
      </c>
      <c r="F4024" s="8">
        <v>5.3027204E7</v>
      </c>
      <c r="G4024" s="8" t="s">
        <v>54</v>
      </c>
      <c r="H4024" s="8" t="s">
        <v>244</v>
      </c>
      <c r="I4024" s="8" t="s">
        <v>31</v>
      </c>
      <c r="J4024" s="8" t="s">
        <v>77</v>
      </c>
      <c r="K4024" s="10" t="s">
        <v>18585</v>
      </c>
      <c r="L4024" s="8" t="s">
        <v>47</v>
      </c>
      <c r="M4024" s="8" t="s">
        <v>70</v>
      </c>
      <c r="N4024" s="11">
        <v>45262.0</v>
      </c>
      <c r="O4024" s="11">
        <v>45286.0</v>
      </c>
      <c r="P4024" s="11">
        <v>45475.0</v>
      </c>
      <c r="Q4024" s="11"/>
      <c r="R4024" s="11"/>
      <c r="S4024" s="12"/>
      <c r="T4024" s="8"/>
      <c r="U4024" s="8" t="s">
        <v>18586</v>
      </c>
      <c r="V4024" s="13" t="s">
        <v>7952</v>
      </c>
      <c r="W4024" s="13" t="s">
        <v>18587</v>
      </c>
      <c r="X4024" s="12"/>
      <c r="Y4024" s="14"/>
      <c r="Z4024" s="14"/>
    </row>
    <row r="4025">
      <c r="A4025" s="8" t="s">
        <v>18588</v>
      </c>
      <c r="B4025" s="8" t="s">
        <v>18589</v>
      </c>
      <c r="C4025" s="8" t="s">
        <v>179</v>
      </c>
      <c r="D4025" s="8" t="s">
        <v>26</v>
      </c>
      <c r="E4025" s="8" t="s">
        <v>18590</v>
      </c>
      <c r="F4025" s="8">
        <v>9.5560058E7</v>
      </c>
      <c r="G4025" s="8" t="s">
        <v>54</v>
      </c>
      <c r="H4025" s="8" t="s">
        <v>76</v>
      </c>
      <c r="I4025" s="8" t="s">
        <v>31</v>
      </c>
      <c r="J4025" s="8" t="s">
        <v>77</v>
      </c>
      <c r="K4025" s="10" t="s">
        <v>3241</v>
      </c>
      <c r="L4025" s="8" t="s">
        <v>58</v>
      </c>
      <c r="M4025" s="8" t="s">
        <v>35</v>
      </c>
      <c r="N4025" s="11">
        <v>45262.0</v>
      </c>
      <c r="O4025" s="11">
        <v>45509.0</v>
      </c>
      <c r="P4025" s="11">
        <v>45551.0</v>
      </c>
      <c r="Q4025" s="11"/>
      <c r="R4025" s="11"/>
      <c r="S4025" s="12"/>
      <c r="T4025" s="8"/>
      <c r="U4025" s="8" t="s">
        <v>59</v>
      </c>
      <c r="V4025" s="13" t="s">
        <v>1089</v>
      </c>
      <c r="W4025" s="13" t="s">
        <v>18591</v>
      </c>
      <c r="X4025" s="12"/>
      <c r="Y4025" s="14"/>
      <c r="Z4025" s="14"/>
    </row>
    <row r="4026">
      <c r="A4026" s="8" t="s">
        <v>18592</v>
      </c>
      <c r="B4026" s="8" t="s">
        <v>18593</v>
      </c>
      <c r="C4026" s="8" t="s">
        <v>179</v>
      </c>
      <c r="D4026" s="8" t="s">
        <v>26</v>
      </c>
      <c r="E4026" s="8" t="s">
        <v>18594</v>
      </c>
      <c r="F4026" s="8">
        <v>5.0394526E7</v>
      </c>
      <c r="G4026" s="8" t="s">
        <v>54</v>
      </c>
      <c r="H4026" s="8" t="s">
        <v>135</v>
      </c>
      <c r="I4026" s="8" t="s">
        <v>31</v>
      </c>
      <c r="J4026" s="8" t="s">
        <v>86</v>
      </c>
      <c r="K4026" s="10" t="s">
        <v>2453</v>
      </c>
      <c r="L4026" s="8" t="s">
        <v>58</v>
      </c>
      <c r="M4026" s="8" t="s">
        <v>35</v>
      </c>
      <c r="N4026" s="11">
        <v>45263.0</v>
      </c>
      <c r="O4026" s="11">
        <v>45505.0</v>
      </c>
      <c r="P4026" s="11">
        <v>45547.0</v>
      </c>
      <c r="Q4026" s="11"/>
      <c r="R4026" s="11"/>
      <c r="S4026" s="12"/>
      <c r="T4026" s="8"/>
      <c r="U4026" s="8" t="s">
        <v>59</v>
      </c>
      <c r="V4026" s="13" t="s">
        <v>138</v>
      </c>
      <c r="W4026" s="13" t="s">
        <v>18595</v>
      </c>
      <c r="X4026" s="12"/>
      <c r="Y4026" s="14"/>
      <c r="Z4026" s="14"/>
    </row>
    <row r="4027">
      <c r="A4027" s="8" t="s">
        <v>18596</v>
      </c>
      <c r="B4027" s="8" t="s">
        <v>18597</v>
      </c>
      <c r="C4027" s="8" t="s">
        <v>179</v>
      </c>
      <c r="D4027" s="8" t="s">
        <v>26</v>
      </c>
      <c r="E4027" s="8" t="s">
        <v>18598</v>
      </c>
      <c r="F4027" s="8">
        <v>7.76040907E8</v>
      </c>
      <c r="G4027" s="8" t="s">
        <v>277</v>
      </c>
      <c r="H4027" s="8" t="s">
        <v>607</v>
      </c>
      <c r="I4027" s="8" t="s">
        <v>31</v>
      </c>
      <c r="J4027" s="8" t="s">
        <v>86</v>
      </c>
      <c r="K4027" s="10" t="s">
        <v>389</v>
      </c>
      <c r="L4027" s="8" t="s">
        <v>58</v>
      </c>
      <c r="M4027" s="8" t="s">
        <v>35</v>
      </c>
      <c r="N4027" s="11">
        <v>45263.0</v>
      </c>
      <c r="O4027" s="11">
        <v>45333.0</v>
      </c>
      <c r="P4027" s="11">
        <v>45375.0</v>
      </c>
      <c r="Q4027" s="11"/>
      <c r="R4027" s="11"/>
      <c r="S4027" s="12"/>
      <c r="T4027" s="8"/>
      <c r="U4027" s="8" t="s">
        <v>153</v>
      </c>
      <c r="V4027" s="13" t="s">
        <v>5537</v>
      </c>
      <c r="W4027" s="13" t="s">
        <v>18599</v>
      </c>
      <c r="X4027" s="12"/>
      <c r="Y4027" s="14"/>
      <c r="Z4027" s="14"/>
    </row>
    <row r="4028">
      <c r="A4028" s="8" t="s">
        <v>18600</v>
      </c>
      <c r="B4028" s="8" t="s">
        <v>18601</v>
      </c>
      <c r="C4028" s="8" t="s">
        <v>179</v>
      </c>
      <c r="D4028" s="8" t="s">
        <v>26</v>
      </c>
      <c r="E4028" s="8" t="s">
        <v>18602</v>
      </c>
      <c r="F4028" s="8">
        <v>1.027164191E9</v>
      </c>
      <c r="G4028" s="8" t="s">
        <v>284</v>
      </c>
      <c r="H4028" s="8" t="s">
        <v>589</v>
      </c>
      <c r="I4028" s="8" t="s">
        <v>31</v>
      </c>
      <c r="J4028" s="8" t="s">
        <v>256</v>
      </c>
      <c r="K4028" s="10" t="s">
        <v>4203</v>
      </c>
      <c r="L4028" s="8" t="s">
        <v>58</v>
      </c>
      <c r="M4028" s="8" t="s">
        <v>35</v>
      </c>
      <c r="N4028" s="11">
        <v>45263.0</v>
      </c>
      <c r="O4028" s="11">
        <v>45519.0</v>
      </c>
      <c r="P4028" s="11">
        <v>45561.0</v>
      </c>
      <c r="Q4028" s="11"/>
      <c r="R4028" s="11"/>
      <c r="S4028" s="12"/>
      <c r="T4028" s="8"/>
      <c r="U4028" s="8" t="s">
        <v>59</v>
      </c>
      <c r="V4028" s="13" t="s">
        <v>589</v>
      </c>
      <c r="W4028" s="13" t="s">
        <v>18603</v>
      </c>
      <c r="X4028" s="12"/>
      <c r="Y4028" s="14"/>
      <c r="Z4028" s="14"/>
    </row>
    <row r="4029">
      <c r="A4029" s="8" t="s">
        <v>18604</v>
      </c>
      <c r="B4029" s="8" t="s">
        <v>14871</v>
      </c>
      <c r="C4029" s="8" t="s">
        <v>179</v>
      </c>
      <c r="D4029" s="8" t="s">
        <v>26</v>
      </c>
      <c r="E4029" s="8" t="s">
        <v>18605</v>
      </c>
      <c r="F4029" s="8">
        <v>5.541401319E9</v>
      </c>
      <c r="G4029" s="8" t="s">
        <v>31</v>
      </c>
      <c r="H4029" s="8" t="s">
        <v>292</v>
      </c>
      <c r="I4029" s="8" t="s">
        <v>284</v>
      </c>
      <c r="J4029" s="8" t="s">
        <v>1777</v>
      </c>
      <c r="K4029" s="10" t="s">
        <v>14873</v>
      </c>
      <c r="L4029" s="8" t="s">
        <v>58</v>
      </c>
      <c r="M4029" s="8" t="s">
        <v>35</v>
      </c>
      <c r="N4029" s="11">
        <v>45263.0</v>
      </c>
      <c r="O4029" s="11">
        <v>45458.0</v>
      </c>
      <c r="P4029" s="11">
        <v>45500.0</v>
      </c>
      <c r="Q4029" s="11"/>
      <c r="R4029" s="11"/>
      <c r="S4029" s="12"/>
      <c r="T4029" s="8"/>
      <c r="U4029" s="8" t="s">
        <v>59</v>
      </c>
      <c r="V4029" s="13" t="s">
        <v>292</v>
      </c>
      <c r="W4029" s="13" t="s">
        <v>18606</v>
      </c>
      <c r="X4029" s="12"/>
      <c r="Y4029" s="14"/>
      <c r="Z4029" s="14"/>
    </row>
    <row r="4030">
      <c r="A4030" s="8" t="s">
        <v>18607</v>
      </c>
      <c r="B4030" s="8" t="s">
        <v>18608</v>
      </c>
      <c r="C4030" s="8" t="s">
        <v>179</v>
      </c>
      <c r="D4030" s="8" t="s">
        <v>26</v>
      </c>
      <c r="E4030" s="8" t="s">
        <v>18609</v>
      </c>
      <c r="F4030" s="8">
        <v>1.200111141E9</v>
      </c>
      <c r="G4030" s="8" t="s">
        <v>284</v>
      </c>
      <c r="H4030" s="8" t="s">
        <v>691</v>
      </c>
      <c r="I4030" s="8" t="s">
        <v>31</v>
      </c>
      <c r="J4030" s="8" t="s">
        <v>1119</v>
      </c>
      <c r="K4030" s="10" t="s">
        <v>16583</v>
      </c>
      <c r="L4030" s="8" t="s">
        <v>58</v>
      </c>
      <c r="M4030" s="8" t="s">
        <v>35</v>
      </c>
      <c r="N4030" s="11">
        <v>45263.0</v>
      </c>
      <c r="O4030" s="11">
        <v>45516.0</v>
      </c>
      <c r="P4030" s="11">
        <v>45558.0</v>
      </c>
      <c r="Q4030" s="11"/>
      <c r="R4030" s="11"/>
      <c r="S4030" s="12"/>
      <c r="T4030" s="8"/>
      <c r="U4030" s="8" t="s">
        <v>59</v>
      </c>
      <c r="V4030" s="13" t="s">
        <v>692</v>
      </c>
      <c r="W4030" s="13" t="s">
        <v>18610</v>
      </c>
      <c r="X4030" s="12"/>
      <c r="Y4030" s="14"/>
      <c r="Z4030" s="14"/>
    </row>
    <row r="4031">
      <c r="A4031" s="8" t="s">
        <v>18611</v>
      </c>
      <c r="B4031" s="8" t="s">
        <v>18612</v>
      </c>
      <c r="C4031" s="8" t="s">
        <v>179</v>
      </c>
      <c r="D4031" s="8" t="s">
        <v>26</v>
      </c>
      <c r="E4031" s="8" t="s">
        <v>18613</v>
      </c>
      <c r="F4031" s="8">
        <v>9.2739738E7</v>
      </c>
      <c r="G4031" s="8" t="s">
        <v>54</v>
      </c>
      <c r="H4031" s="8" t="s">
        <v>76</v>
      </c>
      <c r="I4031" s="8" t="s">
        <v>31</v>
      </c>
      <c r="J4031" s="8" t="s">
        <v>77</v>
      </c>
      <c r="K4031" s="10" t="s">
        <v>6682</v>
      </c>
      <c r="L4031" s="8" t="s">
        <v>58</v>
      </c>
      <c r="M4031" s="8" t="s">
        <v>35</v>
      </c>
      <c r="N4031" s="11">
        <v>45263.0</v>
      </c>
      <c r="O4031" s="11">
        <v>45474.0</v>
      </c>
      <c r="P4031" s="11">
        <v>45516.0</v>
      </c>
      <c r="Q4031" s="11"/>
      <c r="R4031" s="11"/>
      <c r="S4031" s="12"/>
      <c r="T4031" s="8"/>
      <c r="U4031" s="8" t="s">
        <v>59</v>
      </c>
      <c r="V4031" s="13" t="s">
        <v>15263</v>
      </c>
      <c r="W4031" s="13" t="s">
        <v>18614</v>
      </c>
      <c r="X4031" s="12"/>
      <c r="Y4031" s="14"/>
      <c r="Z4031" s="14"/>
    </row>
    <row r="4032">
      <c r="A4032" s="8" t="s">
        <v>18615</v>
      </c>
      <c r="B4032" s="8" t="s">
        <v>18616</v>
      </c>
      <c r="C4032" s="8" t="s">
        <v>179</v>
      </c>
      <c r="D4032" s="8" t="s">
        <v>26</v>
      </c>
      <c r="E4032" s="8" t="s">
        <v>18617</v>
      </c>
      <c r="F4032" s="8">
        <v>1.020341281E9</v>
      </c>
      <c r="G4032" s="8" t="s">
        <v>284</v>
      </c>
      <c r="H4032" s="8" t="s">
        <v>691</v>
      </c>
      <c r="I4032" s="8" t="s">
        <v>31</v>
      </c>
      <c r="J4032" s="8" t="s">
        <v>292</v>
      </c>
      <c r="K4032" s="10" t="s">
        <v>12835</v>
      </c>
      <c r="L4032" s="8" t="s">
        <v>58</v>
      </c>
      <c r="M4032" s="8" t="s">
        <v>35</v>
      </c>
      <c r="N4032" s="11">
        <v>45263.0</v>
      </c>
      <c r="O4032" s="11">
        <v>45369.0</v>
      </c>
      <c r="P4032" s="11">
        <v>45411.0</v>
      </c>
      <c r="Q4032" s="11"/>
      <c r="R4032" s="11"/>
      <c r="S4032" s="12"/>
      <c r="T4032" s="8"/>
      <c r="U4032" s="8" t="s">
        <v>88</v>
      </c>
      <c r="V4032" s="13" t="s">
        <v>692</v>
      </c>
      <c r="W4032" s="13" t="s">
        <v>18618</v>
      </c>
      <c r="X4032" s="12"/>
      <c r="Y4032" s="14"/>
      <c r="Z4032" s="14"/>
    </row>
    <row r="4033">
      <c r="A4033" s="8" t="s">
        <v>18619</v>
      </c>
      <c r="B4033" s="8" t="s">
        <v>18620</v>
      </c>
      <c r="C4033" s="8" t="s">
        <v>179</v>
      </c>
      <c r="D4033" s="8" t="s">
        <v>26</v>
      </c>
      <c r="E4033" s="8" t="s">
        <v>18621</v>
      </c>
      <c r="F4033" s="8">
        <v>1.271009939E9</v>
      </c>
      <c r="G4033" s="8" t="s">
        <v>284</v>
      </c>
      <c r="H4033" s="8" t="s">
        <v>1422</v>
      </c>
      <c r="I4033" s="8" t="s">
        <v>31</v>
      </c>
      <c r="J4033" s="8" t="s">
        <v>438</v>
      </c>
      <c r="K4033" s="10" t="s">
        <v>6001</v>
      </c>
      <c r="L4033" s="8" t="s">
        <v>58</v>
      </c>
      <c r="M4033" s="8" t="s">
        <v>35</v>
      </c>
      <c r="N4033" s="11">
        <v>45263.0</v>
      </c>
      <c r="O4033" s="11">
        <v>45487.0</v>
      </c>
      <c r="P4033" s="11">
        <v>45529.0</v>
      </c>
      <c r="Q4033" s="11"/>
      <c r="R4033" s="11"/>
      <c r="S4033" s="12"/>
      <c r="T4033" s="8"/>
      <c r="U4033" s="8" t="s">
        <v>59</v>
      </c>
      <c r="V4033" s="13" t="s">
        <v>1424</v>
      </c>
      <c r="W4033" s="13" t="s">
        <v>18622</v>
      </c>
      <c r="X4033" s="12"/>
      <c r="Y4033" s="14"/>
      <c r="Z4033" s="14"/>
    </row>
    <row r="4034">
      <c r="A4034" s="8" t="s">
        <v>18623</v>
      </c>
      <c r="B4034" s="8" t="s">
        <v>18624</v>
      </c>
      <c r="C4034" s="8" t="s">
        <v>708</v>
      </c>
      <c r="D4034" s="8" t="s">
        <v>26</v>
      </c>
      <c r="E4034" s="8" t="s">
        <v>18625</v>
      </c>
      <c r="F4034" s="8">
        <v>1.5319011212E10</v>
      </c>
      <c r="G4034" s="8" t="s">
        <v>8344</v>
      </c>
      <c r="H4034" s="8" t="s">
        <v>18626</v>
      </c>
      <c r="I4034" s="8" t="s">
        <v>31</v>
      </c>
      <c r="J4034" s="8" t="s">
        <v>136</v>
      </c>
      <c r="K4034" s="10" t="s">
        <v>8895</v>
      </c>
      <c r="L4034" s="8" t="s">
        <v>58</v>
      </c>
      <c r="M4034" s="8" t="s">
        <v>35</v>
      </c>
      <c r="N4034" s="11">
        <v>45264.0</v>
      </c>
      <c r="O4034" s="11">
        <v>45306.0</v>
      </c>
      <c r="P4034" s="11">
        <v>45348.0</v>
      </c>
      <c r="Q4034" s="11">
        <v>45313.0</v>
      </c>
      <c r="R4034" s="11">
        <v>45355.0</v>
      </c>
      <c r="S4034" s="12"/>
      <c r="T4034" s="8"/>
      <c r="U4034" s="8" t="s">
        <v>59</v>
      </c>
      <c r="V4034" s="13" t="s">
        <v>18627</v>
      </c>
      <c r="W4034" s="13" t="s">
        <v>18628</v>
      </c>
      <c r="X4034" s="12"/>
      <c r="Y4034" s="14"/>
      <c r="Z4034" s="14"/>
    </row>
    <row r="4035">
      <c r="A4035" s="8" t="s">
        <v>18629</v>
      </c>
      <c r="B4035" s="8" t="s">
        <v>18630</v>
      </c>
      <c r="C4035" s="8" t="s">
        <v>179</v>
      </c>
      <c r="D4035" s="8" t="s">
        <v>26</v>
      </c>
      <c r="E4035" s="8" t="s">
        <v>18631</v>
      </c>
      <c r="F4035" s="8">
        <v>2.4102128E7</v>
      </c>
      <c r="G4035" s="8" t="s">
        <v>54</v>
      </c>
      <c r="H4035" s="8" t="s">
        <v>76</v>
      </c>
      <c r="I4035" s="8" t="s">
        <v>31</v>
      </c>
      <c r="J4035" s="8" t="s">
        <v>77</v>
      </c>
      <c r="K4035" s="10" t="s">
        <v>6682</v>
      </c>
      <c r="L4035" s="8" t="s">
        <v>58</v>
      </c>
      <c r="M4035" s="8" t="s">
        <v>35</v>
      </c>
      <c r="N4035" s="11">
        <v>45264.0</v>
      </c>
      <c r="O4035" s="11">
        <v>45523.0</v>
      </c>
      <c r="P4035" s="11">
        <v>45565.0</v>
      </c>
      <c r="Q4035" s="11"/>
      <c r="R4035" s="11"/>
      <c r="S4035" s="12"/>
      <c r="T4035" s="8"/>
      <c r="U4035" s="8" t="s">
        <v>59</v>
      </c>
      <c r="V4035" s="13" t="s">
        <v>324</v>
      </c>
      <c r="W4035" s="13" t="s">
        <v>18632</v>
      </c>
      <c r="X4035" s="12"/>
      <c r="Y4035" s="14"/>
      <c r="Z4035" s="14"/>
    </row>
    <row r="4036">
      <c r="A4036" s="8" t="s">
        <v>18633</v>
      </c>
      <c r="B4036" s="8" t="s">
        <v>18634</v>
      </c>
      <c r="C4036" s="8" t="s">
        <v>179</v>
      </c>
      <c r="D4036" s="8" t="s">
        <v>26</v>
      </c>
      <c r="E4036" s="8" t="s">
        <v>18635</v>
      </c>
      <c r="F4036" s="8">
        <v>0.0</v>
      </c>
      <c r="G4036" s="8" t="s">
        <v>31</v>
      </c>
      <c r="H4036" s="8" t="s">
        <v>77</v>
      </c>
      <c r="I4036" s="8" t="s">
        <v>284</v>
      </c>
      <c r="J4036" s="8" t="s">
        <v>1777</v>
      </c>
      <c r="K4036" s="10" t="s">
        <v>16009</v>
      </c>
      <c r="L4036" s="8" t="s">
        <v>58</v>
      </c>
      <c r="M4036" s="8" t="s">
        <v>35</v>
      </c>
      <c r="N4036" s="11">
        <v>45264.0</v>
      </c>
      <c r="O4036" s="11">
        <v>45488.0</v>
      </c>
      <c r="P4036" s="11">
        <v>45530.0</v>
      </c>
      <c r="Q4036" s="11"/>
      <c r="R4036" s="11"/>
      <c r="S4036" s="12"/>
      <c r="T4036" s="8"/>
      <c r="U4036" s="8" t="s">
        <v>153</v>
      </c>
      <c r="V4036" s="13" t="s">
        <v>77</v>
      </c>
      <c r="W4036" s="13" t="s">
        <v>18636</v>
      </c>
      <c r="X4036" s="12"/>
      <c r="Y4036" s="14"/>
      <c r="Z4036" s="14"/>
    </row>
    <row r="4037">
      <c r="A4037" s="8" t="s">
        <v>18637</v>
      </c>
      <c r="B4037" s="8" t="s">
        <v>18638</v>
      </c>
      <c r="C4037" s="8" t="s">
        <v>179</v>
      </c>
      <c r="D4037" s="8" t="s">
        <v>26</v>
      </c>
      <c r="E4037" s="8" t="s">
        <v>18639</v>
      </c>
      <c r="F4037" s="8">
        <v>1.270444996E9</v>
      </c>
      <c r="G4037" s="8" t="s">
        <v>284</v>
      </c>
      <c r="H4037" s="8" t="s">
        <v>1287</v>
      </c>
      <c r="I4037" s="8" t="s">
        <v>31</v>
      </c>
      <c r="J4037" s="8" t="s">
        <v>32</v>
      </c>
      <c r="K4037" s="10" t="s">
        <v>8582</v>
      </c>
      <c r="L4037" s="8" t="s">
        <v>58</v>
      </c>
      <c r="M4037" s="8" t="s">
        <v>35</v>
      </c>
      <c r="N4037" s="11">
        <v>45264.0</v>
      </c>
      <c r="O4037" s="11">
        <v>45299.0</v>
      </c>
      <c r="P4037" s="11">
        <v>45341.0</v>
      </c>
      <c r="Q4037" s="11"/>
      <c r="R4037" s="11"/>
      <c r="S4037" s="12"/>
      <c r="T4037" s="8"/>
      <c r="U4037" s="8" t="s">
        <v>371</v>
      </c>
      <c r="V4037" s="13" t="s">
        <v>1289</v>
      </c>
      <c r="W4037" s="13" t="s">
        <v>18640</v>
      </c>
      <c r="X4037" s="12"/>
      <c r="Y4037" s="14"/>
      <c r="Z4037" s="14"/>
    </row>
    <row r="4038">
      <c r="A4038" s="8" t="s">
        <v>18641</v>
      </c>
      <c r="B4038" s="8" t="s">
        <v>18642</v>
      </c>
      <c r="C4038" s="8" t="s">
        <v>708</v>
      </c>
      <c r="D4038" s="8" t="s">
        <v>26</v>
      </c>
      <c r="E4038" s="8" t="s">
        <v>18643</v>
      </c>
      <c r="F4038" s="8">
        <v>5.444775047E9</v>
      </c>
      <c r="G4038" s="8" t="s">
        <v>31</v>
      </c>
      <c r="H4038" s="8" t="s">
        <v>111</v>
      </c>
      <c r="I4038" s="8" t="s">
        <v>44</v>
      </c>
      <c r="J4038" s="8" t="s">
        <v>990</v>
      </c>
      <c r="K4038" s="10" t="s">
        <v>18644</v>
      </c>
      <c r="L4038" s="8" t="s">
        <v>34</v>
      </c>
      <c r="M4038" s="8" t="s">
        <v>35</v>
      </c>
      <c r="N4038" s="11">
        <v>45264.0</v>
      </c>
      <c r="O4038" s="11">
        <v>45306.0</v>
      </c>
      <c r="P4038" s="11">
        <v>45389.0</v>
      </c>
      <c r="Q4038" s="11">
        <v>45306.0</v>
      </c>
      <c r="R4038" s="11">
        <v>45392.0</v>
      </c>
      <c r="S4038" s="12"/>
      <c r="T4038" s="8" t="s">
        <v>446</v>
      </c>
      <c r="U4038" s="8" t="s">
        <v>18645</v>
      </c>
      <c r="V4038" s="13" t="s">
        <v>111</v>
      </c>
      <c r="W4038" s="13" t="s">
        <v>18646</v>
      </c>
      <c r="X4038" s="12"/>
      <c r="Y4038" s="14"/>
      <c r="Z4038" s="14"/>
    </row>
    <row r="4039">
      <c r="A4039" s="8" t="s">
        <v>18647</v>
      </c>
      <c r="B4039" s="8" t="s">
        <v>18648</v>
      </c>
      <c r="C4039" s="8" t="s">
        <v>179</v>
      </c>
      <c r="D4039" s="8" t="s">
        <v>26</v>
      </c>
      <c r="E4039" s="8" t="s">
        <v>18649</v>
      </c>
      <c r="F4039" s="8"/>
      <c r="G4039" s="8" t="s">
        <v>54</v>
      </c>
      <c r="H4039" s="8" t="s">
        <v>135</v>
      </c>
      <c r="I4039" s="8" t="s">
        <v>31</v>
      </c>
      <c r="J4039" s="8" t="s">
        <v>86</v>
      </c>
      <c r="K4039" s="10" t="s">
        <v>2453</v>
      </c>
      <c r="L4039" s="8" t="s">
        <v>58</v>
      </c>
      <c r="M4039" s="8" t="s">
        <v>35</v>
      </c>
      <c r="N4039" s="11">
        <v>45264.0</v>
      </c>
      <c r="O4039" s="11">
        <v>45505.0</v>
      </c>
      <c r="P4039" s="11">
        <v>45547.0</v>
      </c>
      <c r="Q4039" s="11"/>
      <c r="R4039" s="11"/>
      <c r="S4039" s="12"/>
      <c r="T4039" s="8"/>
      <c r="U4039" s="8" t="s">
        <v>59</v>
      </c>
      <c r="V4039" s="13" t="s">
        <v>138</v>
      </c>
      <c r="W4039" s="13" t="s">
        <v>18650</v>
      </c>
      <c r="X4039" s="12"/>
      <c r="Y4039" s="14"/>
      <c r="Z4039" s="14"/>
    </row>
    <row r="4040">
      <c r="A4040" s="8" t="s">
        <v>18651</v>
      </c>
      <c r="B4040" s="8" t="s">
        <v>2339</v>
      </c>
      <c r="C4040" s="8" t="s">
        <v>179</v>
      </c>
      <c r="D4040" s="8" t="s">
        <v>26</v>
      </c>
      <c r="E4040" s="8" t="s">
        <v>2340</v>
      </c>
      <c r="F4040" s="8">
        <v>5.376035843E9</v>
      </c>
      <c r="G4040" s="8" t="s">
        <v>315</v>
      </c>
      <c r="H4040" s="8" t="s">
        <v>1833</v>
      </c>
      <c r="I4040" s="8" t="s">
        <v>31</v>
      </c>
      <c r="J4040" s="8" t="s">
        <v>111</v>
      </c>
      <c r="K4040" s="10" t="s">
        <v>14958</v>
      </c>
      <c r="L4040" s="8" t="s">
        <v>47</v>
      </c>
      <c r="M4040" s="8" t="s">
        <v>70</v>
      </c>
      <c r="N4040" s="11">
        <v>45264.0</v>
      </c>
      <c r="O4040" s="11">
        <v>45250.0</v>
      </c>
      <c r="P4040" s="11">
        <v>45611.0</v>
      </c>
      <c r="Q4040" s="11"/>
      <c r="R4040" s="11"/>
      <c r="S4040" s="12"/>
      <c r="T4040" s="8"/>
      <c r="U4040" s="8" t="s">
        <v>14959</v>
      </c>
      <c r="V4040" s="13" t="s">
        <v>2343</v>
      </c>
      <c r="W4040" s="13" t="s">
        <v>2344</v>
      </c>
      <c r="X4040" s="12"/>
      <c r="Y4040" s="14"/>
      <c r="Z4040" s="14"/>
    </row>
    <row r="4041">
      <c r="A4041" s="8" t="s">
        <v>18652</v>
      </c>
      <c r="B4041" s="8" t="s">
        <v>18653</v>
      </c>
      <c r="C4041" s="8" t="s">
        <v>179</v>
      </c>
      <c r="D4041" s="8" t="s">
        <v>26</v>
      </c>
      <c r="E4041" s="8" t="s">
        <v>18654</v>
      </c>
      <c r="F4041" s="8">
        <v>9.50705516E8</v>
      </c>
      <c r="G4041" s="8" t="s">
        <v>1620</v>
      </c>
      <c r="H4041" s="8" t="s">
        <v>3655</v>
      </c>
      <c r="I4041" s="8" t="s">
        <v>31</v>
      </c>
      <c r="J4041" s="8" t="s">
        <v>43</v>
      </c>
      <c r="K4041" s="10" t="s">
        <v>8867</v>
      </c>
      <c r="L4041" s="8" t="s">
        <v>58</v>
      </c>
      <c r="M4041" s="8" t="s">
        <v>35</v>
      </c>
      <c r="N4041" s="11">
        <v>45265.0</v>
      </c>
      <c r="O4041" s="11">
        <v>45474.0</v>
      </c>
      <c r="P4041" s="11">
        <v>45516.0</v>
      </c>
      <c r="Q4041" s="11"/>
      <c r="R4041" s="11"/>
      <c r="S4041" s="12"/>
      <c r="T4041" s="8"/>
      <c r="U4041" s="8" t="s">
        <v>130</v>
      </c>
      <c r="V4041" s="13" t="s">
        <v>3656</v>
      </c>
      <c r="W4041" s="13" t="s">
        <v>18655</v>
      </c>
      <c r="X4041" s="12"/>
      <c r="Y4041" s="14"/>
      <c r="Z4041" s="14"/>
    </row>
    <row r="4042">
      <c r="A4042" s="8" t="s">
        <v>18656</v>
      </c>
      <c r="B4042" s="8" t="s">
        <v>18657</v>
      </c>
      <c r="C4042" s="8" t="s">
        <v>708</v>
      </c>
      <c r="D4042" s="8" t="s">
        <v>26</v>
      </c>
      <c r="E4042" s="8" t="s">
        <v>18658</v>
      </c>
      <c r="F4042" s="8">
        <v>5.532763132E9</v>
      </c>
      <c r="G4042" s="8" t="s">
        <v>31</v>
      </c>
      <c r="H4042" s="8" t="s">
        <v>86</v>
      </c>
      <c r="I4042" s="8" t="s">
        <v>284</v>
      </c>
      <c r="J4042" s="8" t="s">
        <v>793</v>
      </c>
      <c r="K4042" s="10" t="s">
        <v>18659</v>
      </c>
      <c r="L4042" s="8" t="s">
        <v>58</v>
      </c>
      <c r="M4042" s="8" t="s">
        <v>35</v>
      </c>
      <c r="N4042" s="11">
        <v>45265.0</v>
      </c>
      <c r="O4042" s="11">
        <v>45306.0</v>
      </c>
      <c r="P4042" s="11">
        <v>45348.0</v>
      </c>
      <c r="Q4042" s="11">
        <v>45306.0</v>
      </c>
      <c r="R4042" s="11">
        <v>45348.0</v>
      </c>
      <c r="S4042" s="12"/>
      <c r="T4042" s="8"/>
      <c r="U4042" s="8" t="s">
        <v>59</v>
      </c>
      <c r="V4042" s="13" t="s">
        <v>175</v>
      </c>
      <c r="W4042" s="13" t="s">
        <v>18660</v>
      </c>
      <c r="X4042" s="12"/>
      <c r="Y4042" s="14"/>
      <c r="Z4042" s="14"/>
    </row>
    <row r="4043">
      <c r="A4043" s="8" t="s">
        <v>18661</v>
      </c>
      <c r="B4043" s="8" t="s">
        <v>18662</v>
      </c>
      <c r="C4043" s="8" t="s">
        <v>179</v>
      </c>
      <c r="D4043" s="8" t="s">
        <v>26</v>
      </c>
      <c r="E4043" s="8" t="s">
        <v>18663</v>
      </c>
      <c r="F4043" s="8">
        <v>5.4417067E7</v>
      </c>
      <c r="G4043" s="8" t="s">
        <v>54</v>
      </c>
      <c r="H4043" s="8" t="s">
        <v>55</v>
      </c>
      <c r="I4043" s="8" t="s">
        <v>31</v>
      </c>
      <c r="J4043" s="8" t="s">
        <v>77</v>
      </c>
      <c r="K4043" s="10" t="s">
        <v>17878</v>
      </c>
      <c r="L4043" s="8" t="s">
        <v>58</v>
      </c>
      <c r="M4043" s="8" t="s">
        <v>35</v>
      </c>
      <c r="N4043" s="11">
        <v>45265.0</v>
      </c>
      <c r="O4043" s="11">
        <v>45460.0</v>
      </c>
      <c r="P4043" s="11">
        <v>45502.0</v>
      </c>
      <c r="Q4043" s="11"/>
      <c r="R4043" s="11"/>
      <c r="S4043" s="12"/>
      <c r="T4043" s="8"/>
      <c r="U4043" s="8" t="s">
        <v>59</v>
      </c>
      <c r="V4043" s="13" t="s">
        <v>60</v>
      </c>
      <c r="W4043" s="13" t="s">
        <v>18664</v>
      </c>
      <c r="X4043" s="12"/>
      <c r="Y4043" s="14"/>
      <c r="Z4043" s="14"/>
    </row>
    <row r="4044">
      <c r="A4044" s="8" t="s">
        <v>18665</v>
      </c>
      <c r="B4044" s="8" t="s">
        <v>18666</v>
      </c>
      <c r="C4044" s="8" t="s">
        <v>179</v>
      </c>
      <c r="D4044" s="8" t="s">
        <v>26</v>
      </c>
      <c r="E4044" s="8" t="s">
        <v>18667</v>
      </c>
      <c r="F4044" s="8">
        <v>5.384147686E9</v>
      </c>
      <c r="G4044" s="8" t="s">
        <v>31</v>
      </c>
      <c r="H4044" s="8" t="s">
        <v>56</v>
      </c>
      <c r="I4044" s="8" t="s">
        <v>284</v>
      </c>
      <c r="J4044" s="8" t="s">
        <v>673</v>
      </c>
      <c r="K4044" s="10" t="s">
        <v>18668</v>
      </c>
      <c r="L4044" s="8" t="s">
        <v>58</v>
      </c>
      <c r="M4044" s="8" t="s">
        <v>35</v>
      </c>
      <c r="N4044" s="11">
        <v>45265.0</v>
      </c>
      <c r="O4044" s="11">
        <v>45474.0</v>
      </c>
      <c r="P4044" s="11">
        <v>45516.0</v>
      </c>
      <c r="Q4044" s="11"/>
      <c r="R4044" s="11"/>
      <c r="S4044" s="12"/>
      <c r="T4044" s="8"/>
      <c r="U4044" s="8" t="s">
        <v>1038</v>
      </c>
      <c r="V4044" s="13" t="s">
        <v>56</v>
      </c>
      <c r="W4044" s="13" t="s">
        <v>18669</v>
      </c>
      <c r="X4044" s="12"/>
      <c r="Y4044" s="14"/>
      <c r="Z4044" s="14"/>
    </row>
    <row r="4045">
      <c r="A4045" s="8" t="s">
        <v>18670</v>
      </c>
      <c r="B4045" s="8" t="s">
        <v>18671</v>
      </c>
      <c r="C4045" s="8" t="s">
        <v>179</v>
      </c>
      <c r="D4045" s="8" t="s">
        <v>26</v>
      </c>
      <c r="E4045" s="8" t="s">
        <v>18672</v>
      </c>
      <c r="F4045" s="8">
        <v>5.6254816E7</v>
      </c>
      <c r="G4045" s="8" t="s">
        <v>54</v>
      </c>
      <c r="H4045" s="8" t="s">
        <v>430</v>
      </c>
      <c r="I4045" s="8" t="s">
        <v>31</v>
      </c>
      <c r="J4045" s="8" t="s">
        <v>77</v>
      </c>
      <c r="K4045" s="10" t="s">
        <v>16181</v>
      </c>
      <c r="L4045" s="8" t="s">
        <v>58</v>
      </c>
      <c r="M4045" s="8" t="s">
        <v>35</v>
      </c>
      <c r="N4045" s="11">
        <v>45265.0</v>
      </c>
      <c r="O4045" s="11">
        <v>45446.0</v>
      </c>
      <c r="P4045" s="11">
        <v>45488.0</v>
      </c>
      <c r="Q4045" s="11"/>
      <c r="R4045" s="11"/>
      <c r="S4045" s="12"/>
      <c r="T4045" s="8"/>
      <c r="U4045" s="8" t="s">
        <v>59</v>
      </c>
      <c r="V4045" s="13" t="s">
        <v>849</v>
      </c>
      <c r="W4045" s="13" t="s">
        <v>18673</v>
      </c>
      <c r="X4045" s="12"/>
      <c r="Y4045" s="14"/>
      <c r="Z4045" s="14"/>
    </row>
    <row r="4046">
      <c r="A4046" s="8" t="s">
        <v>18674</v>
      </c>
      <c r="B4046" s="8" t="s">
        <v>18675</v>
      </c>
      <c r="C4046" s="8" t="s">
        <v>179</v>
      </c>
      <c r="D4046" s="8" t="s">
        <v>26</v>
      </c>
      <c r="E4046" s="8" t="s">
        <v>18676</v>
      </c>
      <c r="F4046" s="8">
        <v>5.393617011E9</v>
      </c>
      <c r="G4046" s="8" t="s">
        <v>31</v>
      </c>
      <c r="H4046" s="8" t="s">
        <v>86</v>
      </c>
      <c r="I4046" s="8" t="s">
        <v>54</v>
      </c>
      <c r="J4046" s="8" t="s">
        <v>135</v>
      </c>
      <c r="K4046" s="10" t="s">
        <v>18168</v>
      </c>
      <c r="L4046" s="8" t="s">
        <v>58</v>
      </c>
      <c r="M4046" s="8" t="s">
        <v>35</v>
      </c>
      <c r="N4046" s="11">
        <v>45265.0</v>
      </c>
      <c r="O4046" s="11">
        <v>45474.0</v>
      </c>
      <c r="P4046" s="11">
        <v>45516.0</v>
      </c>
      <c r="Q4046" s="11"/>
      <c r="R4046" s="11"/>
      <c r="S4046" s="12"/>
      <c r="T4046" s="8"/>
      <c r="U4046" s="8" t="s">
        <v>59</v>
      </c>
      <c r="V4046" s="13" t="s">
        <v>545</v>
      </c>
      <c r="W4046" s="13" t="s">
        <v>18677</v>
      </c>
      <c r="X4046" s="12"/>
      <c r="Y4046" s="14"/>
      <c r="Z4046" s="14"/>
    </row>
    <row r="4047">
      <c r="A4047" s="8" t="s">
        <v>18678</v>
      </c>
      <c r="B4047" s="8" t="s">
        <v>18679</v>
      </c>
      <c r="C4047" s="8" t="s">
        <v>179</v>
      </c>
      <c r="D4047" s="8" t="s">
        <v>26</v>
      </c>
      <c r="E4047" s="8" t="s">
        <v>18680</v>
      </c>
      <c r="F4047" s="8">
        <v>5.549695978E9</v>
      </c>
      <c r="G4047" s="8" t="s">
        <v>31</v>
      </c>
      <c r="H4047" s="8" t="s">
        <v>56</v>
      </c>
      <c r="I4047" s="8" t="s">
        <v>284</v>
      </c>
      <c r="J4047" s="8" t="s">
        <v>793</v>
      </c>
      <c r="K4047" s="10" t="s">
        <v>14912</v>
      </c>
      <c r="L4047" s="8" t="s">
        <v>58</v>
      </c>
      <c r="M4047" s="8" t="s">
        <v>35</v>
      </c>
      <c r="N4047" s="11">
        <v>45265.0</v>
      </c>
      <c r="O4047" s="11">
        <v>45311.0</v>
      </c>
      <c r="P4047" s="11">
        <v>45353.0</v>
      </c>
      <c r="Q4047" s="11"/>
      <c r="R4047" s="11"/>
      <c r="S4047" s="12"/>
      <c r="T4047" s="8"/>
      <c r="U4047" s="8" t="s">
        <v>59</v>
      </c>
      <c r="V4047" s="13" t="s">
        <v>56</v>
      </c>
      <c r="W4047" s="13" t="s">
        <v>18681</v>
      </c>
      <c r="X4047" s="12"/>
      <c r="Y4047" s="14"/>
      <c r="Z4047" s="14"/>
    </row>
    <row r="4048">
      <c r="A4048" s="8" t="s">
        <v>18682</v>
      </c>
      <c r="B4048" s="8" t="s">
        <v>18683</v>
      </c>
      <c r="C4048" s="8" t="s">
        <v>179</v>
      </c>
      <c r="D4048" s="8" t="s">
        <v>26</v>
      </c>
      <c r="E4048" s="8" t="s">
        <v>18684</v>
      </c>
      <c r="F4048" s="8">
        <v>5.453841183E9</v>
      </c>
      <c r="G4048" s="8" t="s">
        <v>31</v>
      </c>
      <c r="H4048" s="8" t="s">
        <v>56</v>
      </c>
      <c r="I4048" s="8" t="s">
        <v>284</v>
      </c>
      <c r="J4048" s="8" t="s">
        <v>793</v>
      </c>
      <c r="K4048" s="10" t="s">
        <v>14384</v>
      </c>
      <c r="L4048" s="8" t="s">
        <v>58</v>
      </c>
      <c r="M4048" s="8" t="s">
        <v>35</v>
      </c>
      <c r="N4048" s="11">
        <v>45265.0</v>
      </c>
      <c r="O4048" s="11">
        <v>45323.0</v>
      </c>
      <c r="P4048" s="11">
        <v>45365.0</v>
      </c>
      <c r="Q4048" s="11"/>
      <c r="R4048" s="11"/>
      <c r="S4048" s="12"/>
      <c r="T4048" s="8"/>
      <c r="U4048" s="8" t="s">
        <v>59</v>
      </c>
      <c r="V4048" s="13" t="s">
        <v>56</v>
      </c>
      <c r="W4048" s="13" t="s">
        <v>18685</v>
      </c>
      <c r="X4048" s="12"/>
      <c r="Y4048" s="14"/>
      <c r="Z4048" s="14"/>
    </row>
    <row r="4049">
      <c r="A4049" s="8" t="s">
        <v>18686</v>
      </c>
      <c r="B4049" s="8" t="s">
        <v>18687</v>
      </c>
      <c r="C4049" s="8" t="s">
        <v>179</v>
      </c>
      <c r="D4049" s="8" t="s">
        <v>26</v>
      </c>
      <c r="E4049" s="8" t="s">
        <v>18688</v>
      </c>
      <c r="F4049" s="8">
        <v>9.8619275E7</v>
      </c>
      <c r="G4049" s="8" t="s">
        <v>54</v>
      </c>
      <c r="H4049" s="8" t="s">
        <v>76</v>
      </c>
      <c r="I4049" s="8" t="s">
        <v>31</v>
      </c>
      <c r="J4049" s="8" t="s">
        <v>77</v>
      </c>
      <c r="K4049" s="10" t="s">
        <v>4188</v>
      </c>
      <c r="L4049" s="8" t="s">
        <v>58</v>
      </c>
      <c r="M4049" s="8" t="s">
        <v>35</v>
      </c>
      <c r="N4049" s="11">
        <v>45265.0</v>
      </c>
      <c r="O4049" s="11">
        <v>45474.0</v>
      </c>
      <c r="P4049" s="11">
        <v>45516.0</v>
      </c>
      <c r="Q4049" s="11"/>
      <c r="R4049" s="11"/>
      <c r="S4049" s="12"/>
      <c r="T4049" s="8"/>
      <c r="U4049" s="8" t="s">
        <v>59</v>
      </c>
      <c r="V4049" s="13" t="s">
        <v>18689</v>
      </c>
      <c r="W4049" s="13" t="s">
        <v>18690</v>
      </c>
      <c r="X4049" s="12"/>
      <c r="Y4049" s="14"/>
      <c r="Z4049" s="14"/>
    </row>
    <row r="4050">
      <c r="A4050" s="8" t="s">
        <v>18691</v>
      </c>
      <c r="B4050" s="8" t="s">
        <v>18692</v>
      </c>
      <c r="C4050" s="8" t="s">
        <v>179</v>
      </c>
      <c r="D4050" s="8" t="s">
        <v>26</v>
      </c>
      <c r="E4050" s="8" t="s">
        <v>18693</v>
      </c>
      <c r="F4050" s="8">
        <v>5.308940061E9</v>
      </c>
      <c r="G4050" s="8" t="s">
        <v>31</v>
      </c>
      <c r="H4050" s="8" t="s">
        <v>111</v>
      </c>
      <c r="I4050" s="8" t="s">
        <v>54</v>
      </c>
      <c r="J4050" s="8" t="s">
        <v>237</v>
      </c>
      <c r="K4050" s="10" t="s">
        <v>15191</v>
      </c>
      <c r="L4050" s="8" t="s">
        <v>58</v>
      </c>
      <c r="M4050" s="8" t="s">
        <v>35</v>
      </c>
      <c r="N4050" s="11">
        <v>45265.0</v>
      </c>
      <c r="O4050" s="11">
        <v>45488.0</v>
      </c>
      <c r="P4050" s="11">
        <v>45530.0</v>
      </c>
      <c r="Q4050" s="11"/>
      <c r="R4050" s="11"/>
      <c r="S4050" s="12"/>
      <c r="T4050" s="8"/>
      <c r="U4050" s="8" t="s">
        <v>402</v>
      </c>
      <c r="V4050" s="13" t="s">
        <v>111</v>
      </c>
      <c r="W4050" s="13" t="s">
        <v>18694</v>
      </c>
      <c r="X4050" s="12"/>
      <c r="Y4050" s="14"/>
      <c r="Z4050" s="14"/>
    </row>
    <row r="4051">
      <c r="A4051" s="8" t="s">
        <v>18695</v>
      </c>
      <c r="B4051" s="8" t="s">
        <v>18696</v>
      </c>
      <c r="C4051" s="8" t="s">
        <v>179</v>
      </c>
      <c r="D4051" s="8" t="s">
        <v>26</v>
      </c>
      <c r="E4051" s="8" t="s">
        <v>18697</v>
      </c>
      <c r="F4051" s="8">
        <v>5.453837011E9</v>
      </c>
      <c r="G4051" s="8" t="s">
        <v>31</v>
      </c>
      <c r="H4051" s="8" t="s">
        <v>56</v>
      </c>
      <c r="I4051" s="8" t="s">
        <v>407</v>
      </c>
      <c r="J4051" s="8" t="s">
        <v>408</v>
      </c>
      <c r="K4051" s="10" t="s">
        <v>18191</v>
      </c>
      <c r="L4051" s="8" t="s">
        <v>58</v>
      </c>
      <c r="M4051" s="8" t="s">
        <v>35</v>
      </c>
      <c r="N4051" s="11">
        <v>45265.0</v>
      </c>
      <c r="O4051" s="11">
        <v>45492.0</v>
      </c>
      <c r="P4051" s="11">
        <v>45534.0</v>
      </c>
      <c r="Q4051" s="11"/>
      <c r="R4051" s="11"/>
      <c r="S4051" s="12"/>
      <c r="T4051" s="8"/>
      <c r="U4051" s="8" t="s">
        <v>88</v>
      </c>
      <c r="V4051" s="13" t="s">
        <v>56</v>
      </c>
      <c r="W4051" s="13" t="s">
        <v>18698</v>
      </c>
      <c r="X4051" s="12"/>
      <c r="Y4051" s="14"/>
      <c r="Z4051" s="14"/>
    </row>
    <row r="4052">
      <c r="A4052" s="8" t="s">
        <v>18699</v>
      </c>
      <c r="B4052" s="8" t="s">
        <v>18700</v>
      </c>
      <c r="C4052" s="8" t="s">
        <v>179</v>
      </c>
      <c r="D4052" s="8" t="s">
        <v>26</v>
      </c>
      <c r="E4052" s="8" t="s">
        <v>18701</v>
      </c>
      <c r="F4052" s="8">
        <v>7.92422856E8</v>
      </c>
      <c r="G4052" s="8" t="s">
        <v>127</v>
      </c>
      <c r="H4052" s="8" t="s">
        <v>128</v>
      </c>
      <c r="I4052" s="8" t="s">
        <v>31</v>
      </c>
      <c r="J4052" s="8" t="s">
        <v>56</v>
      </c>
      <c r="K4052" s="10" t="s">
        <v>15125</v>
      </c>
      <c r="L4052" s="8" t="s">
        <v>58</v>
      </c>
      <c r="M4052" s="8" t="s">
        <v>35</v>
      </c>
      <c r="N4052" s="11">
        <v>45266.0</v>
      </c>
      <c r="O4052" s="11">
        <v>45495.0</v>
      </c>
      <c r="P4052" s="11">
        <v>45537.0</v>
      </c>
      <c r="Q4052" s="11"/>
      <c r="R4052" s="11"/>
      <c r="S4052" s="12"/>
      <c r="T4052" s="8"/>
      <c r="U4052" s="8" t="s">
        <v>59</v>
      </c>
      <c r="V4052" s="13" t="s">
        <v>1473</v>
      </c>
      <c r="W4052" s="13" t="s">
        <v>18702</v>
      </c>
      <c r="X4052" s="12"/>
      <c r="Y4052" s="14"/>
      <c r="Z4052" s="14"/>
    </row>
    <row r="4053">
      <c r="A4053" s="8" t="s">
        <v>18703</v>
      </c>
      <c r="B4053" s="8" t="s">
        <v>18704</v>
      </c>
      <c r="C4053" s="8" t="s">
        <v>179</v>
      </c>
      <c r="D4053" s="8" t="s">
        <v>26</v>
      </c>
      <c r="E4053" s="8" t="s">
        <v>18705</v>
      </c>
      <c r="F4053" s="8">
        <v>9.5973691E7</v>
      </c>
      <c r="G4053" s="8" t="s">
        <v>54</v>
      </c>
      <c r="H4053" s="8" t="s">
        <v>377</v>
      </c>
      <c r="I4053" s="8" t="s">
        <v>31</v>
      </c>
      <c r="J4053" s="8" t="s">
        <v>77</v>
      </c>
      <c r="K4053" s="10" t="s">
        <v>16181</v>
      </c>
      <c r="L4053" s="8" t="s">
        <v>58</v>
      </c>
      <c r="M4053" s="8" t="s">
        <v>35</v>
      </c>
      <c r="N4053" s="11">
        <v>45266.0</v>
      </c>
      <c r="O4053" s="11">
        <v>45474.0</v>
      </c>
      <c r="P4053" s="11">
        <v>45516.0</v>
      </c>
      <c r="Q4053" s="11"/>
      <c r="R4053" s="11"/>
      <c r="S4053" s="12"/>
      <c r="T4053" s="8"/>
      <c r="U4053" s="8" t="s">
        <v>59</v>
      </c>
      <c r="V4053" s="13" t="s">
        <v>2218</v>
      </c>
      <c r="W4053" s="13" t="s">
        <v>18706</v>
      </c>
      <c r="X4053" s="12"/>
      <c r="Y4053" s="14"/>
      <c r="Z4053" s="14"/>
    </row>
    <row r="4054">
      <c r="A4054" s="8" t="s">
        <v>18707</v>
      </c>
      <c r="B4054" s="8" t="s">
        <v>18708</v>
      </c>
      <c r="C4054" s="8" t="s">
        <v>179</v>
      </c>
      <c r="D4054" s="8" t="s">
        <v>26</v>
      </c>
      <c r="E4054" s="8" t="s">
        <v>18709</v>
      </c>
      <c r="F4054" s="8">
        <v>2.3442822E7</v>
      </c>
      <c r="G4054" s="8" t="s">
        <v>54</v>
      </c>
      <c r="H4054" s="8" t="s">
        <v>377</v>
      </c>
      <c r="I4054" s="8" t="s">
        <v>31</v>
      </c>
      <c r="J4054" s="8" t="s">
        <v>77</v>
      </c>
      <c r="K4054" s="10" t="s">
        <v>78</v>
      </c>
      <c r="L4054" s="8" t="s">
        <v>58</v>
      </c>
      <c r="M4054" s="8" t="s">
        <v>35</v>
      </c>
      <c r="N4054" s="11">
        <v>45266.0</v>
      </c>
      <c r="O4054" s="11">
        <v>45474.0</v>
      </c>
      <c r="P4054" s="11">
        <v>45516.0</v>
      </c>
      <c r="Q4054" s="11"/>
      <c r="R4054" s="11"/>
      <c r="S4054" s="12"/>
      <c r="T4054" s="8"/>
      <c r="U4054" s="8" t="s">
        <v>59</v>
      </c>
      <c r="V4054" s="13" t="s">
        <v>3274</v>
      </c>
      <c r="W4054" s="13" t="s">
        <v>18710</v>
      </c>
      <c r="X4054" s="12"/>
      <c r="Y4054" s="14"/>
      <c r="Z4054" s="14"/>
    </row>
    <row r="4055">
      <c r="A4055" s="8" t="s">
        <v>18711</v>
      </c>
      <c r="B4055" s="8" t="s">
        <v>18712</v>
      </c>
      <c r="C4055" s="8" t="s">
        <v>179</v>
      </c>
      <c r="D4055" s="8" t="s">
        <v>26</v>
      </c>
      <c r="E4055" s="8" t="s">
        <v>18713</v>
      </c>
      <c r="F4055" s="8">
        <v>9.9955111E7</v>
      </c>
      <c r="G4055" s="8" t="s">
        <v>54</v>
      </c>
      <c r="H4055" s="8" t="s">
        <v>377</v>
      </c>
      <c r="I4055" s="8" t="s">
        <v>31</v>
      </c>
      <c r="J4055" s="8" t="s">
        <v>77</v>
      </c>
      <c r="K4055" s="10" t="s">
        <v>16181</v>
      </c>
      <c r="L4055" s="8" t="s">
        <v>58</v>
      </c>
      <c r="M4055" s="8" t="s">
        <v>35</v>
      </c>
      <c r="N4055" s="11">
        <v>45266.0</v>
      </c>
      <c r="O4055" s="11">
        <v>45474.0</v>
      </c>
      <c r="P4055" s="11">
        <v>45516.0</v>
      </c>
      <c r="Q4055" s="11"/>
      <c r="R4055" s="11"/>
      <c r="S4055" s="12"/>
      <c r="T4055" s="8"/>
      <c r="U4055" s="8" t="s">
        <v>59</v>
      </c>
      <c r="V4055" s="13" t="s">
        <v>7103</v>
      </c>
      <c r="W4055" s="13" t="s">
        <v>18714</v>
      </c>
      <c r="X4055" s="12"/>
      <c r="Y4055" s="14"/>
      <c r="Z4055" s="14"/>
    </row>
    <row r="4056">
      <c r="A4056" s="8" t="s">
        <v>18715</v>
      </c>
      <c r="B4056" s="8" t="s">
        <v>18716</v>
      </c>
      <c r="C4056" s="8" t="s">
        <v>179</v>
      </c>
      <c r="D4056" s="8" t="s">
        <v>26</v>
      </c>
      <c r="E4056" s="8" t="s">
        <v>18717</v>
      </c>
      <c r="F4056" s="8">
        <v>2.0474183E7</v>
      </c>
      <c r="G4056" s="8" t="s">
        <v>54</v>
      </c>
      <c r="H4056" s="8" t="s">
        <v>377</v>
      </c>
      <c r="I4056" s="8" t="s">
        <v>31</v>
      </c>
      <c r="J4056" s="8" t="s">
        <v>77</v>
      </c>
      <c r="K4056" s="10" t="s">
        <v>4188</v>
      </c>
      <c r="L4056" s="8" t="s">
        <v>58</v>
      </c>
      <c r="M4056" s="8" t="s">
        <v>35</v>
      </c>
      <c r="N4056" s="11">
        <v>45266.0</v>
      </c>
      <c r="O4056" s="11">
        <v>45488.0</v>
      </c>
      <c r="P4056" s="11">
        <v>45530.0</v>
      </c>
      <c r="Q4056" s="11"/>
      <c r="R4056" s="11"/>
      <c r="S4056" s="12"/>
      <c r="T4056" s="8"/>
      <c r="U4056" s="8" t="s">
        <v>59</v>
      </c>
      <c r="V4056" s="13" t="s">
        <v>1604</v>
      </c>
      <c r="W4056" s="13" t="s">
        <v>18718</v>
      </c>
      <c r="X4056" s="12"/>
      <c r="Y4056" s="14"/>
      <c r="Z4056" s="14"/>
    </row>
    <row r="4057">
      <c r="A4057" s="8" t="s">
        <v>18719</v>
      </c>
      <c r="B4057" s="8" t="s">
        <v>14243</v>
      </c>
      <c r="C4057" s="8" t="s">
        <v>179</v>
      </c>
      <c r="D4057" s="8" t="s">
        <v>26</v>
      </c>
      <c r="E4057" s="8" t="s">
        <v>14244</v>
      </c>
      <c r="F4057" s="8">
        <v>1.025619407E9</v>
      </c>
      <c r="G4057" s="8" t="s">
        <v>284</v>
      </c>
      <c r="H4057" s="8" t="s">
        <v>2065</v>
      </c>
      <c r="I4057" s="8" t="s">
        <v>31</v>
      </c>
      <c r="J4057" s="8" t="s">
        <v>43</v>
      </c>
      <c r="K4057" s="10" t="s">
        <v>10002</v>
      </c>
      <c r="L4057" s="8" t="s">
        <v>58</v>
      </c>
      <c r="M4057" s="8" t="s">
        <v>35</v>
      </c>
      <c r="N4057" s="11">
        <v>45266.0</v>
      </c>
      <c r="O4057" s="11">
        <v>45327.0</v>
      </c>
      <c r="P4057" s="11">
        <v>45369.0</v>
      </c>
      <c r="Q4057" s="11"/>
      <c r="R4057" s="11"/>
      <c r="S4057" s="12"/>
      <c r="T4057" s="8"/>
      <c r="U4057" s="8" t="s">
        <v>59</v>
      </c>
      <c r="V4057" s="13" t="s">
        <v>2065</v>
      </c>
      <c r="W4057" s="13" t="s">
        <v>14245</v>
      </c>
      <c r="X4057" s="12"/>
      <c r="Y4057" s="14"/>
      <c r="Z4057" s="14"/>
    </row>
    <row r="4058">
      <c r="A4058" s="8" t="s">
        <v>18720</v>
      </c>
      <c r="B4058" s="8" t="s">
        <v>18721</v>
      </c>
      <c r="C4058" s="8" t="s">
        <v>179</v>
      </c>
      <c r="D4058" s="8" t="s">
        <v>26</v>
      </c>
      <c r="E4058" s="8" t="s">
        <v>18722</v>
      </c>
      <c r="F4058" s="8"/>
      <c r="G4058" s="8" t="s">
        <v>54</v>
      </c>
      <c r="H4058" s="8" t="s">
        <v>76</v>
      </c>
      <c r="I4058" s="8" t="s">
        <v>31</v>
      </c>
      <c r="J4058" s="8" t="s">
        <v>77</v>
      </c>
      <c r="K4058" s="10" t="s">
        <v>3241</v>
      </c>
      <c r="L4058" s="8" t="s">
        <v>58</v>
      </c>
      <c r="M4058" s="8" t="s">
        <v>35</v>
      </c>
      <c r="N4058" s="11">
        <v>45266.0</v>
      </c>
      <c r="O4058" s="11">
        <v>45474.0</v>
      </c>
      <c r="P4058" s="11">
        <v>45516.0</v>
      </c>
      <c r="Q4058" s="11"/>
      <c r="R4058" s="11"/>
      <c r="S4058" s="12"/>
      <c r="T4058" s="8"/>
      <c r="U4058" s="8" t="s">
        <v>59</v>
      </c>
      <c r="V4058" s="13" t="s">
        <v>38</v>
      </c>
      <c r="W4058" s="13" t="s">
        <v>18723</v>
      </c>
      <c r="X4058" s="12"/>
      <c r="Y4058" s="14"/>
      <c r="Z4058" s="14"/>
    </row>
    <row r="4059">
      <c r="A4059" s="8" t="s">
        <v>18724</v>
      </c>
      <c r="B4059" s="8" t="s">
        <v>18725</v>
      </c>
      <c r="C4059" s="8" t="s">
        <v>708</v>
      </c>
      <c r="D4059" s="8" t="s">
        <v>26</v>
      </c>
      <c r="E4059" s="8" t="s">
        <v>18726</v>
      </c>
      <c r="F4059" s="8"/>
      <c r="G4059" s="8" t="s">
        <v>254</v>
      </c>
      <c r="H4059" s="8" t="s">
        <v>3087</v>
      </c>
      <c r="I4059" s="8" t="s">
        <v>31</v>
      </c>
      <c r="J4059" s="8" t="s">
        <v>292</v>
      </c>
      <c r="K4059" s="10" t="s">
        <v>16101</v>
      </c>
      <c r="L4059" s="8" t="s">
        <v>47</v>
      </c>
      <c r="M4059" s="8" t="s">
        <v>70</v>
      </c>
      <c r="N4059" s="11">
        <v>45266.0</v>
      </c>
      <c r="O4059" s="11">
        <v>45269.0</v>
      </c>
      <c r="P4059" s="11">
        <v>45635.0</v>
      </c>
      <c r="Q4059" s="11">
        <v>45307.0</v>
      </c>
      <c r="R4059" s="11">
        <v>45673.0</v>
      </c>
      <c r="S4059" s="12"/>
      <c r="T4059" s="8"/>
      <c r="U4059" s="8" t="s">
        <v>246</v>
      </c>
      <c r="V4059" s="13" t="s">
        <v>38</v>
      </c>
      <c r="W4059" s="13" t="s">
        <v>18727</v>
      </c>
      <c r="X4059" s="12"/>
      <c r="Y4059" s="14"/>
      <c r="Z4059" s="14"/>
    </row>
    <row r="4060">
      <c r="A4060" s="8" t="s">
        <v>18728</v>
      </c>
      <c r="B4060" s="8" t="s">
        <v>18729</v>
      </c>
      <c r="C4060" s="8" t="s">
        <v>179</v>
      </c>
      <c r="D4060" s="8" t="s">
        <v>26</v>
      </c>
      <c r="E4060" s="8" t="s">
        <v>18730</v>
      </c>
      <c r="F4060" s="8">
        <v>1.019420825E9</v>
      </c>
      <c r="G4060" s="8" t="s">
        <v>284</v>
      </c>
      <c r="H4060" s="8" t="s">
        <v>625</v>
      </c>
      <c r="I4060" s="8" t="s">
        <v>31</v>
      </c>
      <c r="J4060" s="8" t="s">
        <v>292</v>
      </c>
      <c r="K4060" s="10" t="s">
        <v>12835</v>
      </c>
      <c r="L4060" s="8" t="s">
        <v>58</v>
      </c>
      <c r="M4060" s="8" t="s">
        <v>35</v>
      </c>
      <c r="N4060" s="11">
        <v>45266.0</v>
      </c>
      <c r="O4060" s="11">
        <v>45327.0</v>
      </c>
      <c r="P4060" s="11">
        <v>45369.0</v>
      </c>
      <c r="Q4060" s="11"/>
      <c r="R4060" s="11"/>
      <c r="S4060" s="12"/>
      <c r="T4060" s="8"/>
      <c r="U4060" s="8" t="s">
        <v>88</v>
      </c>
      <c r="V4060" s="13" t="s">
        <v>18731</v>
      </c>
      <c r="W4060" s="13" t="s">
        <v>18732</v>
      </c>
      <c r="X4060" s="12"/>
      <c r="Y4060" s="14"/>
      <c r="Z4060" s="14"/>
    </row>
    <row r="4061">
      <c r="A4061" s="8" t="s">
        <v>18733</v>
      </c>
      <c r="B4061" s="8" t="s">
        <v>18734</v>
      </c>
      <c r="C4061" s="8" t="s">
        <v>179</v>
      </c>
      <c r="D4061" s="8" t="s">
        <v>26</v>
      </c>
      <c r="E4061" s="8" t="s">
        <v>18735</v>
      </c>
      <c r="F4061" s="8">
        <v>5.511440729E9</v>
      </c>
      <c r="G4061" s="8" t="s">
        <v>31</v>
      </c>
      <c r="H4061" s="8" t="s">
        <v>56</v>
      </c>
      <c r="I4061" s="8" t="s">
        <v>399</v>
      </c>
      <c r="J4061" s="8" t="s">
        <v>2416</v>
      </c>
      <c r="K4061" s="10" t="s">
        <v>8308</v>
      </c>
      <c r="L4061" s="8" t="s">
        <v>58</v>
      </c>
      <c r="M4061" s="8" t="s">
        <v>35</v>
      </c>
      <c r="N4061" s="11">
        <v>45266.0</v>
      </c>
      <c r="O4061" s="11">
        <v>45460.0</v>
      </c>
      <c r="P4061" s="11">
        <v>45502.0</v>
      </c>
      <c r="Q4061" s="11"/>
      <c r="R4061" s="11"/>
      <c r="S4061" s="12"/>
      <c r="T4061" s="8"/>
      <c r="U4061" s="8" t="s">
        <v>402</v>
      </c>
      <c r="V4061" s="13" t="s">
        <v>56</v>
      </c>
      <c r="W4061" s="13" t="s">
        <v>18736</v>
      </c>
      <c r="X4061" s="12"/>
      <c r="Y4061" s="14"/>
      <c r="Z4061" s="14"/>
    </row>
    <row r="4062">
      <c r="A4062" s="8" t="s">
        <v>18737</v>
      </c>
      <c r="B4062" s="8" t="s">
        <v>18738</v>
      </c>
      <c r="C4062" s="8" t="s">
        <v>179</v>
      </c>
      <c r="D4062" s="8" t="s">
        <v>26</v>
      </c>
      <c r="E4062" s="8" t="s">
        <v>18739</v>
      </c>
      <c r="F4062" s="8">
        <v>9.01376315E8</v>
      </c>
      <c r="G4062" s="8" t="s">
        <v>9946</v>
      </c>
      <c r="H4062" s="8" t="s">
        <v>18740</v>
      </c>
      <c r="I4062" s="8" t="s">
        <v>31</v>
      </c>
      <c r="J4062" s="8" t="s">
        <v>102</v>
      </c>
      <c r="K4062" s="10" t="s">
        <v>15805</v>
      </c>
      <c r="L4062" s="8" t="s">
        <v>58</v>
      </c>
      <c r="M4062" s="8" t="s">
        <v>35</v>
      </c>
      <c r="N4062" s="11">
        <v>45266.0</v>
      </c>
      <c r="O4062" s="11">
        <v>45320.0</v>
      </c>
      <c r="P4062" s="11">
        <v>45362.0</v>
      </c>
      <c r="Q4062" s="11"/>
      <c r="R4062" s="11"/>
      <c r="S4062" s="12"/>
      <c r="T4062" s="8"/>
      <c r="U4062" s="8" t="s">
        <v>161</v>
      </c>
      <c r="V4062" s="13" t="s">
        <v>14019</v>
      </c>
      <c r="W4062" s="13" t="s">
        <v>18741</v>
      </c>
      <c r="X4062" s="12"/>
      <c r="Y4062" s="14"/>
      <c r="Z4062" s="14"/>
    </row>
    <row r="4063">
      <c r="A4063" s="8" t="s">
        <v>18742</v>
      </c>
      <c r="B4063" s="8" t="s">
        <v>18743</v>
      </c>
      <c r="C4063" s="8" t="s">
        <v>179</v>
      </c>
      <c r="D4063" s="8" t="s">
        <v>26</v>
      </c>
      <c r="E4063" s="8" t="s">
        <v>18744</v>
      </c>
      <c r="F4063" s="8"/>
      <c r="G4063" s="8" t="s">
        <v>1620</v>
      </c>
      <c r="H4063" s="8" t="s">
        <v>1635</v>
      </c>
      <c r="I4063" s="8" t="s">
        <v>31</v>
      </c>
      <c r="J4063" s="8" t="s">
        <v>77</v>
      </c>
      <c r="K4063" s="10" t="s">
        <v>1582</v>
      </c>
      <c r="L4063" s="8" t="s">
        <v>58</v>
      </c>
      <c r="M4063" s="8" t="s">
        <v>35</v>
      </c>
      <c r="N4063" s="11">
        <v>45266.0</v>
      </c>
      <c r="O4063" s="11">
        <v>45466.0</v>
      </c>
      <c r="P4063" s="11">
        <v>45508.0</v>
      </c>
      <c r="Q4063" s="11"/>
      <c r="R4063" s="11"/>
      <c r="S4063" s="12"/>
      <c r="T4063" s="8"/>
      <c r="U4063" s="8" t="s">
        <v>59</v>
      </c>
      <c r="V4063" s="13" t="s">
        <v>38</v>
      </c>
      <c r="W4063" s="13" t="s">
        <v>18745</v>
      </c>
      <c r="X4063" s="12"/>
      <c r="Y4063" s="14"/>
      <c r="Z4063" s="14"/>
    </row>
    <row r="4064">
      <c r="A4064" s="8" t="s">
        <v>18746</v>
      </c>
      <c r="B4064" s="8" t="s">
        <v>18747</v>
      </c>
      <c r="C4064" s="8" t="s">
        <v>708</v>
      </c>
      <c r="D4064" s="8" t="s">
        <v>26</v>
      </c>
      <c r="E4064" s="8" t="s">
        <v>18748</v>
      </c>
      <c r="F4064" s="8">
        <v>2.2334733E7</v>
      </c>
      <c r="G4064" s="8" t="s">
        <v>54</v>
      </c>
      <c r="H4064" s="8" t="s">
        <v>76</v>
      </c>
      <c r="I4064" s="8" t="s">
        <v>31</v>
      </c>
      <c r="J4064" s="8" t="s">
        <v>256</v>
      </c>
      <c r="K4064" s="10" t="s">
        <v>11531</v>
      </c>
      <c r="L4064" s="8" t="s">
        <v>47</v>
      </c>
      <c r="M4064" s="8" t="s">
        <v>70</v>
      </c>
      <c r="N4064" s="11">
        <v>45267.0</v>
      </c>
      <c r="O4064" s="11">
        <v>45275.0</v>
      </c>
      <c r="P4064" s="11">
        <v>45640.0</v>
      </c>
      <c r="Q4064" s="11">
        <v>45287.0</v>
      </c>
      <c r="R4064" s="11">
        <v>45652.0</v>
      </c>
      <c r="S4064" s="12"/>
      <c r="T4064" s="8"/>
      <c r="U4064" s="8" t="s">
        <v>246</v>
      </c>
      <c r="V4064" s="13" t="s">
        <v>491</v>
      </c>
      <c r="W4064" s="13" t="s">
        <v>18749</v>
      </c>
      <c r="X4064" s="12"/>
      <c r="Y4064" s="14"/>
      <c r="Z4064" s="14"/>
    </row>
    <row r="4065">
      <c r="A4065" s="8" t="s">
        <v>18750</v>
      </c>
      <c r="B4065" s="8" t="s">
        <v>18751</v>
      </c>
      <c r="C4065" s="8" t="s">
        <v>179</v>
      </c>
      <c r="D4065" s="8" t="s">
        <v>26</v>
      </c>
      <c r="E4065" s="8" t="s">
        <v>18752</v>
      </c>
      <c r="F4065" s="8">
        <v>5.4064437E7</v>
      </c>
      <c r="G4065" s="8" t="s">
        <v>54</v>
      </c>
      <c r="H4065" s="8" t="s">
        <v>76</v>
      </c>
      <c r="I4065" s="8" t="s">
        <v>31</v>
      </c>
      <c r="J4065" s="8" t="s">
        <v>77</v>
      </c>
      <c r="K4065" s="10" t="s">
        <v>16181</v>
      </c>
      <c r="L4065" s="8" t="s">
        <v>58</v>
      </c>
      <c r="M4065" s="8" t="s">
        <v>35</v>
      </c>
      <c r="N4065" s="11">
        <v>45267.0</v>
      </c>
      <c r="O4065" s="11">
        <v>45474.0</v>
      </c>
      <c r="P4065" s="11">
        <v>45516.0</v>
      </c>
      <c r="Q4065" s="11"/>
      <c r="R4065" s="11"/>
      <c r="S4065" s="12"/>
      <c r="T4065" s="8"/>
      <c r="U4065" s="8" t="s">
        <v>59</v>
      </c>
      <c r="V4065" s="13" t="s">
        <v>15263</v>
      </c>
      <c r="W4065" s="13" t="s">
        <v>18753</v>
      </c>
      <c r="X4065" s="12"/>
      <c r="Y4065" s="14"/>
      <c r="Z4065" s="14"/>
    </row>
    <row r="4066">
      <c r="A4066" s="8" t="s">
        <v>18754</v>
      </c>
      <c r="B4066" s="8" t="s">
        <v>18755</v>
      </c>
      <c r="C4066" s="8" t="s">
        <v>179</v>
      </c>
      <c r="D4066" s="8" t="s">
        <v>26</v>
      </c>
      <c r="E4066" s="8" t="s">
        <v>18756</v>
      </c>
      <c r="F4066" s="8">
        <v>5.397385092E9</v>
      </c>
      <c r="G4066" s="8" t="s">
        <v>31</v>
      </c>
      <c r="H4066" s="8" t="s">
        <v>77</v>
      </c>
      <c r="I4066" s="8" t="s">
        <v>44</v>
      </c>
      <c r="J4066" s="8" t="s">
        <v>1993</v>
      </c>
      <c r="K4066" s="10" t="s">
        <v>4706</v>
      </c>
      <c r="L4066" s="8" t="s">
        <v>58</v>
      </c>
      <c r="M4066" s="8" t="s">
        <v>35</v>
      </c>
      <c r="N4066" s="11">
        <v>45267.0</v>
      </c>
      <c r="O4066" s="11">
        <v>45524.0</v>
      </c>
      <c r="P4066" s="11">
        <v>45566.0</v>
      </c>
      <c r="Q4066" s="11"/>
      <c r="R4066" s="11"/>
      <c r="S4066" s="12"/>
      <c r="T4066" s="8"/>
      <c r="U4066" s="8" t="s">
        <v>153</v>
      </c>
      <c r="V4066" s="13" t="s">
        <v>1630</v>
      </c>
      <c r="W4066" s="13" t="s">
        <v>18757</v>
      </c>
      <c r="X4066" s="12"/>
      <c r="Y4066" s="14"/>
      <c r="Z4066" s="14"/>
    </row>
    <row r="4067">
      <c r="A4067" s="8" t="s">
        <v>18758</v>
      </c>
      <c r="B4067" s="8" t="s">
        <v>18759</v>
      </c>
      <c r="C4067" s="8" t="s">
        <v>179</v>
      </c>
      <c r="D4067" s="8" t="s">
        <v>26</v>
      </c>
      <c r="E4067" s="8" t="s">
        <v>18760</v>
      </c>
      <c r="F4067" s="8"/>
      <c r="G4067" s="8" t="s">
        <v>1620</v>
      </c>
      <c r="H4067" s="8" t="s">
        <v>16834</v>
      </c>
      <c r="I4067" s="8" t="s">
        <v>31</v>
      </c>
      <c r="J4067" s="8" t="s">
        <v>43</v>
      </c>
      <c r="K4067" s="10" t="s">
        <v>8867</v>
      </c>
      <c r="L4067" s="8" t="s">
        <v>58</v>
      </c>
      <c r="M4067" s="8" t="s">
        <v>35</v>
      </c>
      <c r="N4067" s="11">
        <v>45267.0</v>
      </c>
      <c r="O4067" s="11">
        <v>45474.0</v>
      </c>
      <c r="P4067" s="11">
        <v>45516.0</v>
      </c>
      <c r="Q4067" s="11"/>
      <c r="R4067" s="11"/>
      <c r="S4067" s="12"/>
      <c r="T4067" s="8"/>
      <c r="U4067" s="8" t="s">
        <v>130</v>
      </c>
      <c r="V4067" s="13" t="s">
        <v>16919</v>
      </c>
      <c r="W4067" s="13" t="s">
        <v>18761</v>
      </c>
      <c r="X4067" s="12"/>
      <c r="Y4067" s="14"/>
      <c r="Z4067" s="14"/>
    </row>
    <row r="4068">
      <c r="A4068" s="8" t="s">
        <v>18762</v>
      </c>
      <c r="B4068" s="8" t="s">
        <v>18763</v>
      </c>
      <c r="C4068" s="8" t="s">
        <v>179</v>
      </c>
      <c r="D4068" s="8" t="s">
        <v>26</v>
      </c>
      <c r="E4068" s="8" t="s">
        <v>18764</v>
      </c>
      <c r="F4068" s="8">
        <v>9.70467942E8</v>
      </c>
      <c r="G4068" s="8" t="s">
        <v>1620</v>
      </c>
      <c r="H4068" s="8" t="s">
        <v>16834</v>
      </c>
      <c r="I4068" s="8" t="s">
        <v>31</v>
      </c>
      <c r="J4068" s="8" t="s">
        <v>43</v>
      </c>
      <c r="K4068" s="10" t="s">
        <v>8867</v>
      </c>
      <c r="L4068" s="8" t="s">
        <v>58</v>
      </c>
      <c r="M4068" s="8" t="s">
        <v>35</v>
      </c>
      <c r="N4068" s="11">
        <v>45267.0</v>
      </c>
      <c r="O4068" s="11">
        <v>45474.0</v>
      </c>
      <c r="P4068" s="11">
        <v>45516.0</v>
      </c>
      <c r="Q4068" s="11"/>
      <c r="R4068" s="11"/>
      <c r="S4068" s="12"/>
      <c r="T4068" s="8"/>
      <c r="U4068" s="8" t="s">
        <v>130</v>
      </c>
      <c r="V4068" s="13" t="s">
        <v>16919</v>
      </c>
      <c r="W4068" s="13" t="s">
        <v>18765</v>
      </c>
      <c r="X4068" s="12"/>
      <c r="Y4068" s="14"/>
      <c r="Z4068" s="14"/>
    </row>
    <row r="4069">
      <c r="A4069" s="8" t="s">
        <v>18766</v>
      </c>
      <c r="B4069" s="8" t="s">
        <v>18767</v>
      </c>
      <c r="C4069" s="8" t="s">
        <v>179</v>
      </c>
      <c r="D4069" s="8" t="s">
        <v>26</v>
      </c>
      <c r="E4069" s="8" t="s">
        <v>18768</v>
      </c>
      <c r="F4069" s="8"/>
      <c r="G4069" s="8" t="s">
        <v>1620</v>
      </c>
      <c r="H4069" s="8" t="s">
        <v>3655</v>
      </c>
      <c r="I4069" s="8" t="s">
        <v>31</v>
      </c>
      <c r="J4069" s="8" t="s">
        <v>43</v>
      </c>
      <c r="K4069" s="10" t="s">
        <v>8867</v>
      </c>
      <c r="L4069" s="8" t="s">
        <v>58</v>
      </c>
      <c r="M4069" s="8" t="s">
        <v>35</v>
      </c>
      <c r="N4069" s="11">
        <v>45267.0</v>
      </c>
      <c r="O4069" s="11">
        <v>45516.0</v>
      </c>
      <c r="P4069" s="11">
        <v>45558.0</v>
      </c>
      <c r="Q4069" s="11"/>
      <c r="R4069" s="11"/>
      <c r="S4069" s="12"/>
      <c r="T4069" s="8"/>
      <c r="U4069" s="8" t="s">
        <v>130</v>
      </c>
      <c r="V4069" s="13" t="s">
        <v>38</v>
      </c>
      <c r="W4069" s="13" t="s">
        <v>18769</v>
      </c>
      <c r="X4069" s="12"/>
      <c r="Y4069" s="14"/>
      <c r="Z4069" s="14"/>
    </row>
    <row r="4070">
      <c r="A4070" s="8" t="s">
        <v>18770</v>
      </c>
      <c r="B4070" s="8" t="s">
        <v>18771</v>
      </c>
      <c r="C4070" s="8" t="s">
        <v>179</v>
      </c>
      <c r="D4070" s="8" t="s">
        <v>26</v>
      </c>
      <c r="E4070" s="8" t="s">
        <v>18772</v>
      </c>
      <c r="F4070" s="8">
        <v>5.398844968E9</v>
      </c>
      <c r="G4070" s="8" t="s">
        <v>31</v>
      </c>
      <c r="H4070" s="8" t="s">
        <v>111</v>
      </c>
      <c r="I4070" s="8" t="s">
        <v>127</v>
      </c>
      <c r="J4070" s="8" t="s">
        <v>128</v>
      </c>
      <c r="K4070" s="10" t="s">
        <v>18773</v>
      </c>
      <c r="L4070" s="8" t="s">
        <v>58</v>
      </c>
      <c r="M4070" s="8" t="s">
        <v>35</v>
      </c>
      <c r="N4070" s="11">
        <v>45267.0</v>
      </c>
      <c r="O4070" s="11">
        <v>45467.0</v>
      </c>
      <c r="P4070" s="11">
        <v>45509.0</v>
      </c>
      <c r="Q4070" s="11"/>
      <c r="R4070" s="11"/>
      <c r="S4070" s="12"/>
      <c r="T4070" s="8"/>
      <c r="U4070" s="8" t="s">
        <v>161</v>
      </c>
      <c r="V4070" s="13" t="s">
        <v>111</v>
      </c>
      <c r="W4070" s="13" t="s">
        <v>18774</v>
      </c>
      <c r="X4070" s="12"/>
      <c r="Y4070" s="14"/>
      <c r="Z4070" s="14"/>
    </row>
    <row r="4071">
      <c r="A4071" s="8" t="s">
        <v>18775</v>
      </c>
      <c r="B4071" s="8" t="s">
        <v>18776</v>
      </c>
      <c r="C4071" s="8" t="s">
        <v>708</v>
      </c>
      <c r="D4071" s="8" t="s">
        <v>26</v>
      </c>
      <c r="E4071" s="8" t="s">
        <v>18777</v>
      </c>
      <c r="F4071" s="8">
        <v>3.4657266E7</v>
      </c>
      <c r="G4071" s="8" t="s">
        <v>3614</v>
      </c>
      <c r="H4071" s="8" t="s">
        <v>3615</v>
      </c>
      <c r="I4071" s="8" t="s">
        <v>31</v>
      </c>
      <c r="J4071" s="8" t="s">
        <v>136</v>
      </c>
      <c r="K4071" s="10" t="s">
        <v>18778</v>
      </c>
      <c r="L4071" s="8" t="s">
        <v>58</v>
      </c>
      <c r="M4071" s="8" t="s">
        <v>35</v>
      </c>
      <c r="N4071" s="11">
        <v>45267.0</v>
      </c>
      <c r="O4071" s="11">
        <v>45304.0</v>
      </c>
      <c r="P4071" s="11">
        <v>45346.0</v>
      </c>
      <c r="Q4071" s="11">
        <v>45299.0</v>
      </c>
      <c r="R4071" s="11">
        <v>45346.0</v>
      </c>
      <c r="S4071" s="12"/>
      <c r="T4071" s="8"/>
      <c r="U4071" s="8" t="s">
        <v>59</v>
      </c>
      <c r="V4071" s="13" t="s">
        <v>3616</v>
      </c>
      <c r="W4071" s="13" t="s">
        <v>18779</v>
      </c>
      <c r="X4071" s="12"/>
      <c r="Y4071" s="14"/>
      <c r="Z4071" s="14"/>
    </row>
    <row r="4072">
      <c r="A4072" s="8" t="s">
        <v>18780</v>
      </c>
      <c r="B4072" s="8" t="s">
        <v>18781</v>
      </c>
      <c r="C4072" s="8" t="s">
        <v>179</v>
      </c>
      <c r="D4072" s="8" t="s">
        <v>26</v>
      </c>
      <c r="E4072" s="8" t="s">
        <v>18782</v>
      </c>
      <c r="F4072" s="8">
        <v>9.89786837E8</v>
      </c>
      <c r="G4072" s="8" t="s">
        <v>1620</v>
      </c>
      <c r="H4072" s="8" t="s">
        <v>4288</v>
      </c>
      <c r="I4072" s="8" t="s">
        <v>31</v>
      </c>
      <c r="J4072" s="8" t="s">
        <v>56</v>
      </c>
      <c r="K4072" s="10" t="s">
        <v>11979</v>
      </c>
      <c r="L4072" s="8" t="s">
        <v>58</v>
      </c>
      <c r="M4072" s="8" t="s">
        <v>35</v>
      </c>
      <c r="N4072" s="11">
        <v>45267.0</v>
      </c>
      <c r="O4072" s="11">
        <v>45469.0</v>
      </c>
      <c r="P4072" s="11">
        <v>45511.0</v>
      </c>
      <c r="Q4072" s="11"/>
      <c r="R4072" s="11"/>
      <c r="S4072" s="12"/>
      <c r="T4072" s="8"/>
      <c r="U4072" s="8" t="s">
        <v>161</v>
      </c>
      <c r="V4072" s="13" t="s">
        <v>5939</v>
      </c>
      <c r="W4072" s="13" t="s">
        <v>18783</v>
      </c>
      <c r="X4072" s="12"/>
      <c r="Y4072" s="14"/>
      <c r="Z4072" s="14"/>
    </row>
    <row r="4073">
      <c r="A4073" s="8" t="s">
        <v>18784</v>
      </c>
      <c r="B4073" s="8" t="s">
        <v>18785</v>
      </c>
      <c r="C4073" s="8" t="s">
        <v>179</v>
      </c>
      <c r="D4073" s="8" t="s">
        <v>26</v>
      </c>
      <c r="E4073" s="8" t="s">
        <v>18786</v>
      </c>
      <c r="F4073" s="8">
        <v>2.0607503E7</v>
      </c>
      <c r="G4073" s="8" t="s">
        <v>54</v>
      </c>
      <c r="H4073" s="8" t="s">
        <v>135</v>
      </c>
      <c r="I4073" s="8" t="s">
        <v>31</v>
      </c>
      <c r="J4073" s="8" t="s">
        <v>86</v>
      </c>
      <c r="K4073" s="10" t="s">
        <v>2453</v>
      </c>
      <c r="L4073" s="8" t="s">
        <v>58</v>
      </c>
      <c r="M4073" s="8" t="s">
        <v>35</v>
      </c>
      <c r="N4073" s="11">
        <v>45267.0</v>
      </c>
      <c r="O4073" s="11">
        <v>45505.0</v>
      </c>
      <c r="P4073" s="11">
        <v>45547.0</v>
      </c>
      <c r="Q4073" s="11"/>
      <c r="R4073" s="11"/>
      <c r="S4073" s="12"/>
      <c r="T4073" s="8"/>
      <c r="U4073" s="8" t="s">
        <v>59</v>
      </c>
      <c r="V4073" s="13" t="s">
        <v>190</v>
      </c>
      <c r="W4073" s="13" t="s">
        <v>18787</v>
      </c>
      <c r="X4073" s="12"/>
      <c r="Y4073" s="14"/>
      <c r="Z4073" s="14"/>
    </row>
    <row r="4074">
      <c r="A4074" s="8" t="s">
        <v>18788</v>
      </c>
      <c r="B4074" s="8" t="s">
        <v>18789</v>
      </c>
      <c r="C4074" s="8" t="s">
        <v>179</v>
      </c>
      <c r="D4074" s="8" t="s">
        <v>26</v>
      </c>
      <c r="E4074" s="8" t="s">
        <v>18790</v>
      </c>
      <c r="F4074" s="8">
        <v>2.1158309E7</v>
      </c>
      <c r="G4074" s="8" t="s">
        <v>54</v>
      </c>
      <c r="H4074" s="8" t="s">
        <v>135</v>
      </c>
      <c r="I4074" s="8" t="s">
        <v>31</v>
      </c>
      <c r="J4074" s="8" t="s">
        <v>86</v>
      </c>
      <c r="K4074" s="10" t="s">
        <v>2453</v>
      </c>
      <c r="L4074" s="8" t="s">
        <v>58</v>
      </c>
      <c r="M4074" s="8" t="s">
        <v>35</v>
      </c>
      <c r="N4074" s="11">
        <v>45267.0</v>
      </c>
      <c r="O4074" s="11">
        <v>45505.0</v>
      </c>
      <c r="P4074" s="11">
        <v>45547.0</v>
      </c>
      <c r="Q4074" s="11"/>
      <c r="R4074" s="11"/>
      <c r="S4074" s="12"/>
      <c r="T4074" s="8"/>
      <c r="U4074" s="8" t="s">
        <v>59</v>
      </c>
      <c r="V4074" s="13" t="s">
        <v>190</v>
      </c>
      <c r="W4074" s="13" t="s">
        <v>18791</v>
      </c>
      <c r="X4074" s="12"/>
      <c r="Y4074" s="14"/>
      <c r="Z4074" s="14"/>
    </row>
    <row r="4075">
      <c r="A4075" s="8" t="s">
        <v>18792</v>
      </c>
      <c r="B4075" s="8" t="s">
        <v>18793</v>
      </c>
      <c r="C4075" s="8" t="s">
        <v>179</v>
      </c>
      <c r="D4075" s="8" t="s">
        <v>26</v>
      </c>
      <c r="E4075" s="8" t="s">
        <v>18794</v>
      </c>
      <c r="F4075" s="8">
        <v>7.02135807E8</v>
      </c>
      <c r="G4075" s="8" t="s">
        <v>84</v>
      </c>
      <c r="H4075" s="8" t="s">
        <v>1127</v>
      </c>
      <c r="I4075" s="8" t="s">
        <v>31</v>
      </c>
      <c r="J4075" s="8" t="s">
        <v>86</v>
      </c>
      <c r="K4075" s="10" t="s">
        <v>5185</v>
      </c>
      <c r="L4075" s="8" t="s">
        <v>34</v>
      </c>
      <c r="M4075" s="8" t="s">
        <v>35</v>
      </c>
      <c r="N4075" s="11">
        <v>45267.0</v>
      </c>
      <c r="O4075" s="11">
        <v>45306.0</v>
      </c>
      <c r="P4075" s="11">
        <v>45387.0</v>
      </c>
      <c r="Q4075" s="11"/>
      <c r="R4075" s="11"/>
      <c r="S4075" s="12"/>
      <c r="T4075" s="8" t="s">
        <v>121</v>
      </c>
      <c r="U4075" s="8" t="s">
        <v>5186</v>
      </c>
      <c r="V4075" s="13" t="s">
        <v>1302</v>
      </c>
      <c r="W4075" s="13" t="s">
        <v>18795</v>
      </c>
      <c r="X4075" s="12"/>
      <c r="Y4075" s="14"/>
      <c r="Z4075" s="14"/>
    </row>
    <row r="4076">
      <c r="A4076" s="8" t="s">
        <v>18796</v>
      </c>
      <c r="B4076" s="8" t="s">
        <v>18797</v>
      </c>
      <c r="C4076" s="8" t="s">
        <v>179</v>
      </c>
      <c r="D4076" s="8" t="s">
        <v>26</v>
      </c>
      <c r="E4076" s="8" t="s">
        <v>18798</v>
      </c>
      <c r="F4076" s="8">
        <v>8.928186562E9</v>
      </c>
      <c r="G4076" s="8" t="s">
        <v>44</v>
      </c>
      <c r="H4076" s="8" t="s">
        <v>741</v>
      </c>
      <c r="I4076" s="8" t="s">
        <v>31</v>
      </c>
      <c r="J4076" s="8" t="s">
        <v>86</v>
      </c>
      <c r="K4076" s="10" t="s">
        <v>2453</v>
      </c>
      <c r="L4076" s="8" t="s">
        <v>58</v>
      </c>
      <c r="M4076" s="8" t="s">
        <v>35</v>
      </c>
      <c r="N4076" s="11">
        <v>45268.0</v>
      </c>
      <c r="O4076" s="11">
        <v>45431.0</v>
      </c>
      <c r="P4076" s="11">
        <v>45473.0</v>
      </c>
      <c r="Q4076" s="11"/>
      <c r="R4076" s="11"/>
      <c r="S4076" s="12"/>
      <c r="T4076" s="8"/>
      <c r="U4076" s="8" t="s">
        <v>59</v>
      </c>
      <c r="V4076" s="13" t="s">
        <v>18799</v>
      </c>
      <c r="W4076" s="13" t="s">
        <v>18800</v>
      </c>
      <c r="X4076" s="12"/>
      <c r="Y4076" s="14"/>
      <c r="Z4076" s="14"/>
    </row>
    <row r="4077">
      <c r="A4077" s="8" t="s">
        <v>18801</v>
      </c>
      <c r="B4077" s="8" t="s">
        <v>18802</v>
      </c>
      <c r="C4077" s="8" t="s">
        <v>179</v>
      </c>
      <c r="D4077" s="8" t="s">
        <v>26</v>
      </c>
      <c r="E4077" s="8" t="s">
        <v>18803</v>
      </c>
      <c r="F4077" s="8">
        <v>7.57624435E8</v>
      </c>
      <c r="G4077" s="8" t="s">
        <v>127</v>
      </c>
      <c r="H4077" s="8" t="s">
        <v>363</v>
      </c>
      <c r="I4077" s="8" t="s">
        <v>31</v>
      </c>
      <c r="J4077" s="8" t="s">
        <v>77</v>
      </c>
      <c r="K4077" s="10" t="s">
        <v>18477</v>
      </c>
      <c r="L4077" s="8" t="s">
        <v>58</v>
      </c>
      <c r="M4077" s="8" t="s">
        <v>35</v>
      </c>
      <c r="N4077" s="11">
        <v>45268.0</v>
      </c>
      <c r="O4077" s="11">
        <v>45488.0</v>
      </c>
      <c r="P4077" s="11">
        <v>45530.0</v>
      </c>
      <c r="Q4077" s="11"/>
      <c r="R4077" s="11"/>
      <c r="S4077" s="12"/>
      <c r="T4077" s="8"/>
      <c r="U4077" s="8" t="s">
        <v>161</v>
      </c>
      <c r="V4077" s="13" t="s">
        <v>4481</v>
      </c>
      <c r="W4077" s="13" t="s">
        <v>18804</v>
      </c>
      <c r="X4077" s="12"/>
      <c r="Y4077" s="14"/>
      <c r="Z4077" s="14"/>
    </row>
    <row r="4078">
      <c r="A4078" s="8" t="s">
        <v>18805</v>
      </c>
      <c r="B4078" s="8" t="s">
        <v>18806</v>
      </c>
      <c r="C4078" s="8" t="s">
        <v>179</v>
      </c>
      <c r="D4078" s="8" t="s">
        <v>26</v>
      </c>
      <c r="E4078" s="8" t="s">
        <v>18807</v>
      </c>
      <c r="F4078" s="8"/>
      <c r="G4078" s="8" t="s">
        <v>84</v>
      </c>
      <c r="H4078" s="8" t="s">
        <v>646</v>
      </c>
      <c r="I4078" s="8" t="s">
        <v>31</v>
      </c>
      <c r="J4078" s="8" t="s">
        <v>77</v>
      </c>
      <c r="K4078" s="10" t="s">
        <v>18808</v>
      </c>
      <c r="L4078" s="8" t="s">
        <v>34</v>
      </c>
      <c r="M4078" s="8" t="s">
        <v>70</v>
      </c>
      <c r="N4078" s="11">
        <v>45268.0</v>
      </c>
      <c r="O4078" s="11">
        <v>45292.0</v>
      </c>
      <c r="P4078" s="11">
        <v>45658.0</v>
      </c>
      <c r="Q4078" s="11"/>
      <c r="R4078" s="11"/>
      <c r="S4078" s="12"/>
      <c r="T4078" s="8" t="s">
        <v>446</v>
      </c>
      <c r="U4078" s="8" t="s">
        <v>18809</v>
      </c>
      <c r="V4078" s="13" t="s">
        <v>38</v>
      </c>
      <c r="W4078" s="13" t="s">
        <v>18810</v>
      </c>
      <c r="X4078" s="12"/>
      <c r="Y4078" s="14"/>
      <c r="Z4078" s="14"/>
    </row>
    <row r="4079">
      <c r="A4079" s="8" t="s">
        <v>18811</v>
      </c>
      <c r="B4079" s="8" t="s">
        <v>18812</v>
      </c>
      <c r="C4079" s="8" t="s">
        <v>179</v>
      </c>
      <c r="D4079" s="8" t="s">
        <v>26</v>
      </c>
      <c r="E4079" s="8" t="s">
        <v>18813</v>
      </c>
      <c r="F4079" s="8">
        <v>5.41780974E9</v>
      </c>
      <c r="G4079" s="8" t="s">
        <v>31</v>
      </c>
      <c r="H4079" s="8" t="s">
        <v>32</v>
      </c>
      <c r="I4079" s="8" t="s">
        <v>127</v>
      </c>
      <c r="J4079" s="8" t="s">
        <v>9028</v>
      </c>
      <c r="K4079" s="10" t="s">
        <v>18814</v>
      </c>
      <c r="L4079" s="8" t="s">
        <v>58</v>
      </c>
      <c r="M4079" s="8" t="s">
        <v>35</v>
      </c>
      <c r="N4079" s="11">
        <v>45268.0</v>
      </c>
      <c r="O4079" s="11">
        <v>45334.0</v>
      </c>
      <c r="P4079" s="11">
        <v>45376.0</v>
      </c>
      <c r="Q4079" s="11"/>
      <c r="R4079" s="11"/>
      <c r="S4079" s="12"/>
      <c r="T4079" s="8"/>
      <c r="U4079" s="8" t="s">
        <v>1956</v>
      </c>
      <c r="V4079" s="13" t="s">
        <v>537</v>
      </c>
      <c r="W4079" s="13" t="s">
        <v>18815</v>
      </c>
      <c r="X4079" s="12"/>
      <c r="Y4079" s="14"/>
      <c r="Z4079" s="14"/>
    </row>
    <row r="4080">
      <c r="A4080" s="8" t="s">
        <v>18816</v>
      </c>
      <c r="B4080" s="8" t="s">
        <v>18817</v>
      </c>
      <c r="C4080" s="8" t="s">
        <v>179</v>
      </c>
      <c r="D4080" s="8" t="s">
        <v>26</v>
      </c>
      <c r="E4080" s="8" t="s">
        <v>18818</v>
      </c>
      <c r="F4080" s="8">
        <v>1.8076387825E10</v>
      </c>
      <c r="G4080" s="8" t="s">
        <v>8344</v>
      </c>
      <c r="H4080" s="8" t="s">
        <v>18626</v>
      </c>
      <c r="I4080" s="8" t="s">
        <v>31</v>
      </c>
      <c r="J4080" s="8" t="s">
        <v>167</v>
      </c>
      <c r="K4080" s="10" t="s">
        <v>5849</v>
      </c>
      <c r="L4080" s="8" t="s">
        <v>58</v>
      </c>
      <c r="M4080" s="8" t="s">
        <v>35</v>
      </c>
      <c r="N4080" s="11">
        <v>45268.0</v>
      </c>
      <c r="O4080" s="11">
        <v>45306.0</v>
      </c>
      <c r="P4080" s="11">
        <v>45348.0</v>
      </c>
      <c r="Q4080" s="11"/>
      <c r="R4080" s="11"/>
      <c r="S4080" s="12"/>
      <c r="T4080" s="8"/>
      <c r="U4080" s="8" t="s">
        <v>59</v>
      </c>
      <c r="V4080" s="13" t="s">
        <v>18627</v>
      </c>
      <c r="W4080" s="13" t="s">
        <v>18819</v>
      </c>
      <c r="X4080" s="12"/>
      <c r="Y4080" s="14"/>
      <c r="Z4080" s="14"/>
    </row>
    <row r="4081">
      <c r="A4081" s="8" t="s">
        <v>18820</v>
      </c>
      <c r="B4081" s="8" t="s">
        <v>18821</v>
      </c>
      <c r="C4081" s="8" t="s">
        <v>708</v>
      </c>
      <c r="D4081" s="8" t="s">
        <v>26</v>
      </c>
      <c r="E4081" s="8" t="s">
        <v>18822</v>
      </c>
      <c r="F4081" s="8">
        <v>7.67259935E8</v>
      </c>
      <c r="G4081" s="8" t="s">
        <v>84</v>
      </c>
      <c r="H4081" s="8" t="s">
        <v>85</v>
      </c>
      <c r="I4081" s="8" t="s">
        <v>31</v>
      </c>
      <c r="J4081" s="8" t="s">
        <v>32</v>
      </c>
      <c r="K4081" s="10" t="s">
        <v>18823</v>
      </c>
      <c r="L4081" s="8" t="s">
        <v>34</v>
      </c>
      <c r="M4081" s="8" t="s">
        <v>48</v>
      </c>
      <c r="N4081" s="11">
        <v>45268.0</v>
      </c>
      <c r="O4081" s="11">
        <v>45292.0</v>
      </c>
      <c r="P4081" s="11">
        <v>45473.0</v>
      </c>
      <c r="Q4081" s="11">
        <v>45297.0</v>
      </c>
      <c r="R4081" s="11">
        <v>45478.0</v>
      </c>
      <c r="S4081" s="12"/>
      <c r="T4081" s="8" t="s">
        <v>121</v>
      </c>
      <c r="U4081" s="8" t="s">
        <v>7603</v>
      </c>
      <c r="V4081" s="13" t="s">
        <v>5502</v>
      </c>
      <c r="W4081" s="13" t="s">
        <v>18824</v>
      </c>
      <c r="X4081" s="12"/>
      <c r="Y4081" s="14"/>
      <c r="Z4081" s="14"/>
    </row>
    <row r="4082">
      <c r="A4082" s="8" t="s">
        <v>18825</v>
      </c>
      <c r="B4082" s="8" t="s">
        <v>18826</v>
      </c>
      <c r="C4082" s="8" t="s">
        <v>179</v>
      </c>
      <c r="D4082" s="8" t="s">
        <v>26</v>
      </c>
      <c r="E4082" s="8" t="s">
        <v>18827</v>
      </c>
      <c r="F4082" s="8">
        <v>5.050992843E9</v>
      </c>
      <c r="G4082" s="8" t="s">
        <v>31</v>
      </c>
      <c r="H4082" s="8" t="s">
        <v>77</v>
      </c>
      <c r="I4082" s="8" t="s">
        <v>44</v>
      </c>
      <c r="J4082" s="8" t="s">
        <v>453</v>
      </c>
      <c r="K4082" s="10" t="s">
        <v>18828</v>
      </c>
      <c r="L4082" s="8" t="s">
        <v>58</v>
      </c>
      <c r="M4082" s="8" t="s">
        <v>35</v>
      </c>
      <c r="N4082" s="11">
        <v>45268.0</v>
      </c>
      <c r="O4082" s="11">
        <v>45474.0</v>
      </c>
      <c r="P4082" s="11">
        <v>45516.0</v>
      </c>
      <c r="Q4082" s="11"/>
      <c r="R4082" s="11"/>
      <c r="S4082" s="12"/>
      <c r="T4082" s="8"/>
      <c r="U4082" s="8" t="s">
        <v>371</v>
      </c>
      <c r="V4082" s="13" t="s">
        <v>77</v>
      </c>
      <c r="W4082" s="13" t="s">
        <v>18829</v>
      </c>
      <c r="X4082" s="12"/>
      <c r="Y4082" s="14"/>
      <c r="Z4082" s="14"/>
    </row>
    <row r="4083">
      <c r="A4083" s="8" t="s">
        <v>18830</v>
      </c>
      <c r="B4083" s="8" t="s">
        <v>18831</v>
      </c>
      <c r="C4083" s="8" t="s">
        <v>179</v>
      </c>
      <c r="D4083" s="8" t="s">
        <v>26</v>
      </c>
      <c r="E4083" s="8" t="s">
        <v>18832</v>
      </c>
      <c r="F4083" s="8"/>
      <c r="G4083" s="8" t="s">
        <v>3607</v>
      </c>
      <c r="H4083" s="8" t="s">
        <v>7896</v>
      </c>
      <c r="I4083" s="8" t="s">
        <v>31</v>
      </c>
      <c r="J4083" s="8" t="s">
        <v>167</v>
      </c>
      <c r="K4083" s="10" t="s">
        <v>5849</v>
      </c>
      <c r="L4083" s="8" t="s">
        <v>58</v>
      </c>
      <c r="M4083" s="8" t="s">
        <v>35</v>
      </c>
      <c r="N4083" s="11">
        <v>45269.0</v>
      </c>
      <c r="O4083" s="11">
        <v>45306.0</v>
      </c>
      <c r="P4083" s="11">
        <v>45348.0</v>
      </c>
      <c r="Q4083" s="11"/>
      <c r="R4083" s="11"/>
      <c r="S4083" s="12"/>
      <c r="T4083" s="8"/>
      <c r="U4083" s="8" t="s">
        <v>59</v>
      </c>
      <c r="V4083" s="13" t="s">
        <v>38</v>
      </c>
      <c r="W4083" s="13" t="s">
        <v>18833</v>
      </c>
      <c r="X4083" s="12"/>
      <c r="Y4083" s="14"/>
      <c r="Z4083" s="14"/>
    </row>
    <row r="4084">
      <c r="A4084" s="8" t="s">
        <v>18834</v>
      </c>
      <c r="B4084" s="8" t="s">
        <v>18835</v>
      </c>
      <c r="C4084" s="8" t="s">
        <v>179</v>
      </c>
      <c r="D4084" s="8" t="s">
        <v>26</v>
      </c>
      <c r="E4084" s="8" t="s">
        <v>18836</v>
      </c>
      <c r="F4084" s="8">
        <v>1.023341555E9</v>
      </c>
      <c r="G4084" s="8" t="s">
        <v>284</v>
      </c>
      <c r="H4084" s="8" t="s">
        <v>854</v>
      </c>
      <c r="I4084" s="8" t="s">
        <v>31</v>
      </c>
      <c r="J4084" s="8" t="s">
        <v>220</v>
      </c>
      <c r="K4084" s="10" t="s">
        <v>2193</v>
      </c>
      <c r="L4084" s="8" t="s">
        <v>58</v>
      </c>
      <c r="M4084" s="8" t="s">
        <v>35</v>
      </c>
      <c r="N4084" s="11">
        <v>45269.0</v>
      </c>
      <c r="O4084" s="11">
        <v>45487.0</v>
      </c>
      <c r="P4084" s="11">
        <v>45529.0</v>
      </c>
      <c r="Q4084" s="11"/>
      <c r="R4084" s="11"/>
      <c r="S4084" s="12"/>
      <c r="T4084" s="8"/>
      <c r="U4084" s="8" t="s">
        <v>59</v>
      </c>
      <c r="V4084" s="13" t="s">
        <v>856</v>
      </c>
      <c r="W4084" s="13" t="s">
        <v>18837</v>
      </c>
      <c r="X4084" s="12"/>
      <c r="Y4084" s="14"/>
      <c r="Z4084" s="14"/>
    </row>
    <row r="4085">
      <c r="A4085" s="8" t="s">
        <v>18838</v>
      </c>
      <c r="B4085" s="8" t="s">
        <v>18839</v>
      </c>
      <c r="C4085" s="8" t="s">
        <v>179</v>
      </c>
      <c r="D4085" s="8" t="s">
        <v>26</v>
      </c>
      <c r="E4085" s="8" t="s">
        <v>18840</v>
      </c>
      <c r="F4085" s="8">
        <v>1.117500826E9</v>
      </c>
      <c r="G4085" s="8" t="s">
        <v>284</v>
      </c>
      <c r="H4085" s="8" t="s">
        <v>1422</v>
      </c>
      <c r="I4085" s="8" t="s">
        <v>31</v>
      </c>
      <c r="J4085" s="8" t="s">
        <v>77</v>
      </c>
      <c r="K4085" s="10" t="s">
        <v>16181</v>
      </c>
      <c r="L4085" s="8" t="s">
        <v>58</v>
      </c>
      <c r="M4085" s="8" t="s">
        <v>35</v>
      </c>
      <c r="N4085" s="11">
        <v>45269.0</v>
      </c>
      <c r="O4085" s="11">
        <v>45474.0</v>
      </c>
      <c r="P4085" s="11">
        <v>45516.0</v>
      </c>
      <c r="Q4085" s="11"/>
      <c r="R4085" s="11"/>
      <c r="S4085" s="12"/>
      <c r="T4085" s="8"/>
      <c r="U4085" s="8" t="s">
        <v>59</v>
      </c>
      <c r="V4085" s="13" t="s">
        <v>1424</v>
      </c>
      <c r="W4085" s="13" t="s">
        <v>18841</v>
      </c>
      <c r="X4085" s="12"/>
      <c r="Y4085" s="14"/>
      <c r="Z4085" s="14"/>
    </row>
    <row r="4086">
      <c r="A4086" s="8" t="s">
        <v>18842</v>
      </c>
      <c r="B4086" s="8" t="s">
        <v>18843</v>
      </c>
      <c r="C4086" s="8" t="s">
        <v>179</v>
      </c>
      <c r="D4086" s="8" t="s">
        <v>26</v>
      </c>
      <c r="E4086" s="8" t="s">
        <v>18844</v>
      </c>
      <c r="F4086" s="8">
        <v>5.4233623E7</v>
      </c>
      <c r="G4086" s="8" t="s">
        <v>54</v>
      </c>
      <c r="H4086" s="8" t="s">
        <v>430</v>
      </c>
      <c r="I4086" s="8" t="s">
        <v>31</v>
      </c>
      <c r="J4086" s="8" t="s">
        <v>292</v>
      </c>
      <c r="K4086" s="10" t="s">
        <v>11481</v>
      </c>
      <c r="L4086" s="8" t="s">
        <v>58</v>
      </c>
      <c r="M4086" s="8" t="s">
        <v>35</v>
      </c>
      <c r="N4086" s="11">
        <v>45269.0</v>
      </c>
      <c r="O4086" s="11">
        <v>45414.0</v>
      </c>
      <c r="P4086" s="11">
        <v>45456.0</v>
      </c>
      <c r="Q4086" s="11"/>
      <c r="R4086" s="11"/>
      <c r="S4086" s="12"/>
      <c r="T4086" s="8"/>
      <c r="U4086" s="8" t="s">
        <v>88</v>
      </c>
      <c r="V4086" s="13" t="s">
        <v>8469</v>
      </c>
      <c r="W4086" s="13" t="s">
        <v>18845</v>
      </c>
      <c r="X4086" s="12"/>
      <c r="Y4086" s="14"/>
      <c r="Z4086" s="14"/>
    </row>
    <row r="4087">
      <c r="A4087" s="8" t="s">
        <v>18846</v>
      </c>
      <c r="B4087" s="8" t="s">
        <v>18847</v>
      </c>
      <c r="C4087" s="8" t="s">
        <v>179</v>
      </c>
      <c r="D4087" s="8" t="s">
        <v>26</v>
      </c>
      <c r="E4087" s="8" t="s">
        <v>18848</v>
      </c>
      <c r="F4087" s="8">
        <v>9.48182E7</v>
      </c>
      <c r="G4087" s="8" t="s">
        <v>54</v>
      </c>
      <c r="H4087" s="8" t="s">
        <v>135</v>
      </c>
      <c r="I4087" s="8" t="s">
        <v>31</v>
      </c>
      <c r="J4087" s="8" t="s">
        <v>86</v>
      </c>
      <c r="K4087" s="10" t="s">
        <v>7325</v>
      </c>
      <c r="L4087" s="8" t="s">
        <v>58</v>
      </c>
      <c r="M4087" s="8" t="s">
        <v>35</v>
      </c>
      <c r="N4087" s="11">
        <v>45269.0</v>
      </c>
      <c r="O4087" s="11">
        <v>45444.0</v>
      </c>
      <c r="P4087" s="11">
        <v>45486.0</v>
      </c>
      <c r="Q4087" s="11"/>
      <c r="R4087" s="11"/>
      <c r="S4087" s="12"/>
      <c r="T4087" s="8"/>
      <c r="U4087" s="8" t="s">
        <v>59</v>
      </c>
      <c r="V4087" s="13" t="s">
        <v>6430</v>
      </c>
      <c r="W4087" s="13" t="s">
        <v>18849</v>
      </c>
      <c r="X4087" s="12"/>
      <c r="Y4087" s="14"/>
      <c r="Z4087" s="14"/>
    </row>
    <row r="4088">
      <c r="A4088" s="8" t="s">
        <v>18850</v>
      </c>
      <c r="B4088" s="8" t="s">
        <v>18851</v>
      </c>
      <c r="C4088" s="8" t="s">
        <v>179</v>
      </c>
      <c r="D4088" s="8" t="s">
        <v>26</v>
      </c>
      <c r="E4088" s="8" t="s">
        <v>18852</v>
      </c>
      <c r="F4088" s="8"/>
      <c r="G4088" s="8" t="s">
        <v>202</v>
      </c>
      <c r="H4088" s="8" t="s">
        <v>1094</v>
      </c>
      <c r="I4088" s="8" t="s">
        <v>31</v>
      </c>
      <c r="J4088" s="8" t="s">
        <v>292</v>
      </c>
      <c r="K4088" s="10" t="s">
        <v>18853</v>
      </c>
      <c r="L4088" s="8" t="s">
        <v>34</v>
      </c>
      <c r="M4088" s="8" t="s">
        <v>48</v>
      </c>
      <c r="N4088" s="11">
        <v>45270.0</v>
      </c>
      <c r="O4088" s="11">
        <v>45323.0</v>
      </c>
      <c r="P4088" s="11">
        <v>45444.0</v>
      </c>
      <c r="Q4088" s="11"/>
      <c r="R4088" s="11"/>
      <c r="S4088" s="12"/>
      <c r="T4088" s="8" t="s">
        <v>205</v>
      </c>
      <c r="U4088" s="8" t="s">
        <v>1062</v>
      </c>
      <c r="V4088" s="13" t="s">
        <v>38</v>
      </c>
      <c r="W4088" s="13" t="s">
        <v>18854</v>
      </c>
      <c r="X4088" s="12"/>
      <c r="Y4088" s="14"/>
      <c r="Z4088" s="14"/>
    </row>
    <row r="4089">
      <c r="A4089" s="8" t="s">
        <v>18855</v>
      </c>
      <c r="B4089" s="8" t="s">
        <v>18856</v>
      </c>
      <c r="C4089" s="8" t="s">
        <v>708</v>
      </c>
      <c r="D4089" s="8" t="s">
        <v>26</v>
      </c>
      <c r="E4089" s="8" t="s">
        <v>18857</v>
      </c>
      <c r="F4089" s="8">
        <v>5.070369958E9</v>
      </c>
      <c r="G4089" s="8" t="s">
        <v>31</v>
      </c>
      <c r="H4089" s="8" t="s">
        <v>32</v>
      </c>
      <c r="I4089" s="8" t="s">
        <v>221</v>
      </c>
      <c r="J4089" s="8" t="s">
        <v>2760</v>
      </c>
      <c r="K4089" s="10" t="s">
        <v>18858</v>
      </c>
      <c r="L4089" s="8" t="s">
        <v>58</v>
      </c>
      <c r="M4089" s="8" t="s">
        <v>35</v>
      </c>
      <c r="N4089" s="11">
        <v>45270.0</v>
      </c>
      <c r="O4089" s="11">
        <v>45306.0</v>
      </c>
      <c r="P4089" s="11">
        <v>45348.0</v>
      </c>
      <c r="Q4089" s="11">
        <v>45320.0</v>
      </c>
      <c r="R4089" s="11">
        <v>45361.0</v>
      </c>
      <c r="S4089" s="12"/>
      <c r="T4089" s="8"/>
      <c r="U4089" s="8" t="s">
        <v>371</v>
      </c>
      <c r="V4089" s="13" t="s">
        <v>537</v>
      </c>
      <c r="W4089" s="13" t="s">
        <v>18859</v>
      </c>
      <c r="X4089" s="12"/>
      <c r="Y4089" s="14"/>
      <c r="Z4089" s="14"/>
    </row>
    <row r="4090">
      <c r="A4090" s="8" t="s">
        <v>18860</v>
      </c>
      <c r="B4090" s="8" t="s">
        <v>18861</v>
      </c>
      <c r="C4090" s="8" t="s">
        <v>179</v>
      </c>
      <c r="D4090" s="8" t="s">
        <v>26</v>
      </c>
      <c r="E4090" s="8" t="s">
        <v>18862</v>
      </c>
      <c r="F4090" s="8">
        <v>8.22270152E10</v>
      </c>
      <c r="G4090" s="8" t="s">
        <v>4181</v>
      </c>
      <c r="H4090" s="8" t="s">
        <v>18863</v>
      </c>
      <c r="I4090" s="8" t="s">
        <v>31</v>
      </c>
      <c r="J4090" s="8" t="s">
        <v>77</v>
      </c>
      <c r="K4090" s="10" t="s">
        <v>6841</v>
      </c>
      <c r="L4090" s="8" t="s">
        <v>34</v>
      </c>
      <c r="M4090" s="8" t="s">
        <v>35</v>
      </c>
      <c r="N4090" s="11">
        <v>45270.0</v>
      </c>
      <c r="O4090" s="11">
        <v>45320.0</v>
      </c>
      <c r="P4090" s="11">
        <v>45362.0</v>
      </c>
      <c r="Q4090" s="11"/>
      <c r="R4090" s="11"/>
      <c r="S4090" s="12"/>
      <c r="T4090" s="8" t="s">
        <v>205</v>
      </c>
      <c r="U4090" s="8" t="s">
        <v>6842</v>
      </c>
      <c r="V4090" s="13" t="s">
        <v>18864</v>
      </c>
      <c r="W4090" s="13" t="s">
        <v>18865</v>
      </c>
      <c r="X4090" s="12"/>
      <c r="Y4090" s="14"/>
      <c r="Z4090" s="14"/>
    </row>
    <row r="4091">
      <c r="A4091" s="8" t="s">
        <v>18866</v>
      </c>
      <c r="B4091" s="8" t="s">
        <v>18867</v>
      </c>
      <c r="C4091" s="8" t="s">
        <v>179</v>
      </c>
      <c r="D4091" s="8" t="s">
        <v>26</v>
      </c>
      <c r="E4091" s="8" t="s">
        <v>18868</v>
      </c>
      <c r="F4091" s="8">
        <v>5.0615902E9</v>
      </c>
      <c r="G4091" s="8" t="s">
        <v>31</v>
      </c>
      <c r="H4091" s="8" t="s">
        <v>56</v>
      </c>
      <c r="I4091" s="8" t="s">
        <v>118</v>
      </c>
      <c r="J4091" s="8" t="s">
        <v>1162</v>
      </c>
      <c r="K4091" s="10" t="s">
        <v>18869</v>
      </c>
      <c r="L4091" s="8" t="s">
        <v>58</v>
      </c>
      <c r="M4091" s="8" t="s">
        <v>35</v>
      </c>
      <c r="N4091" s="11">
        <v>45270.0</v>
      </c>
      <c r="O4091" s="11">
        <v>45469.0</v>
      </c>
      <c r="P4091" s="11">
        <v>45511.0</v>
      </c>
      <c r="Q4091" s="11"/>
      <c r="R4091" s="11"/>
      <c r="S4091" s="12"/>
      <c r="T4091" s="8"/>
      <c r="U4091" s="8" t="s">
        <v>130</v>
      </c>
      <c r="V4091" s="13" t="s">
        <v>56</v>
      </c>
      <c r="W4091" s="13" t="s">
        <v>18870</v>
      </c>
      <c r="X4091" s="12"/>
      <c r="Y4091" s="14"/>
      <c r="Z4091" s="14"/>
    </row>
    <row r="4092">
      <c r="A4092" s="8" t="s">
        <v>18871</v>
      </c>
      <c r="B4092" s="8" t="s">
        <v>8520</v>
      </c>
      <c r="C4092" s="8" t="s">
        <v>179</v>
      </c>
      <c r="D4092" s="8" t="s">
        <v>26</v>
      </c>
      <c r="E4092" s="8" t="s">
        <v>8521</v>
      </c>
      <c r="F4092" s="8">
        <v>5.366033449E9</v>
      </c>
      <c r="G4092" s="8" t="s">
        <v>31</v>
      </c>
      <c r="H4092" s="8" t="s">
        <v>32</v>
      </c>
      <c r="I4092" s="8" t="s">
        <v>109</v>
      </c>
      <c r="J4092" s="8" t="s">
        <v>6047</v>
      </c>
      <c r="K4092" s="10" t="s">
        <v>18872</v>
      </c>
      <c r="L4092" s="8" t="s">
        <v>34</v>
      </c>
      <c r="M4092" s="8" t="s">
        <v>70</v>
      </c>
      <c r="N4092" s="11">
        <v>45270.0</v>
      </c>
      <c r="O4092" s="11">
        <v>45299.0</v>
      </c>
      <c r="P4092" s="11">
        <v>45667.0</v>
      </c>
      <c r="Q4092" s="11"/>
      <c r="R4092" s="11"/>
      <c r="S4092" s="12"/>
      <c r="T4092" s="8" t="s">
        <v>1187</v>
      </c>
      <c r="U4092" s="8" t="s">
        <v>18873</v>
      </c>
      <c r="V4092" s="13" t="s">
        <v>537</v>
      </c>
      <c r="W4092" s="13" t="s">
        <v>8524</v>
      </c>
      <c r="X4092" s="12"/>
      <c r="Y4092" s="14"/>
      <c r="Z4092" s="14"/>
    </row>
    <row r="4093">
      <c r="A4093" s="8" t="s">
        <v>18874</v>
      </c>
      <c r="B4093" s="8" t="s">
        <v>18875</v>
      </c>
      <c r="C4093" s="8" t="s">
        <v>179</v>
      </c>
      <c r="D4093" s="8" t="s">
        <v>26</v>
      </c>
      <c r="E4093" s="8" t="s">
        <v>18876</v>
      </c>
      <c r="F4093" s="8" t="s">
        <v>253</v>
      </c>
      <c r="G4093" s="8" t="s">
        <v>54</v>
      </c>
      <c r="H4093" s="8" t="s">
        <v>135</v>
      </c>
      <c r="I4093" s="8" t="s">
        <v>31</v>
      </c>
      <c r="J4093" s="8" t="s">
        <v>111</v>
      </c>
      <c r="K4093" s="10" t="s">
        <v>468</v>
      </c>
      <c r="L4093" s="8" t="s">
        <v>58</v>
      </c>
      <c r="M4093" s="8" t="s">
        <v>35</v>
      </c>
      <c r="N4093" s="11">
        <v>45271.0</v>
      </c>
      <c r="O4093" s="11">
        <v>45292.0</v>
      </c>
      <c r="P4093" s="11">
        <v>45334.0</v>
      </c>
      <c r="Q4093" s="11"/>
      <c r="R4093" s="11"/>
      <c r="S4093" s="12"/>
      <c r="T4093" s="8"/>
      <c r="U4093" s="8" t="s">
        <v>59</v>
      </c>
      <c r="V4093" s="13" t="s">
        <v>18877</v>
      </c>
      <c r="W4093" s="13" t="s">
        <v>18878</v>
      </c>
      <c r="X4093" s="12"/>
      <c r="Y4093" s="14"/>
      <c r="Z4093" s="14"/>
    </row>
    <row r="4094">
      <c r="A4094" s="8" t="s">
        <v>18879</v>
      </c>
      <c r="B4094" s="8" t="s">
        <v>18880</v>
      </c>
      <c r="C4094" s="8" t="s">
        <v>179</v>
      </c>
      <c r="D4094" s="8" t="s">
        <v>26</v>
      </c>
      <c r="E4094" s="8" t="s">
        <v>18881</v>
      </c>
      <c r="F4094" s="8">
        <v>5.325757735E9</v>
      </c>
      <c r="G4094" s="8" t="s">
        <v>31</v>
      </c>
      <c r="H4094" s="8" t="s">
        <v>111</v>
      </c>
      <c r="I4094" s="8" t="s">
        <v>284</v>
      </c>
      <c r="J4094" s="8" t="s">
        <v>589</v>
      </c>
      <c r="K4094" s="10" t="s">
        <v>17589</v>
      </c>
      <c r="L4094" s="8" t="s">
        <v>58</v>
      </c>
      <c r="M4094" s="8" t="s">
        <v>35</v>
      </c>
      <c r="N4094" s="11">
        <v>45271.0</v>
      </c>
      <c r="O4094" s="11">
        <v>45483.0</v>
      </c>
      <c r="P4094" s="11">
        <v>45525.0</v>
      </c>
      <c r="Q4094" s="11"/>
      <c r="R4094" s="11"/>
      <c r="S4094" s="12"/>
      <c r="T4094" s="8"/>
      <c r="U4094" s="8" t="s">
        <v>130</v>
      </c>
      <c r="V4094" s="13" t="s">
        <v>111</v>
      </c>
      <c r="W4094" s="13" t="s">
        <v>18882</v>
      </c>
      <c r="X4094" s="12"/>
      <c r="Y4094" s="14"/>
      <c r="Z4094" s="14"/>
    </row>
    <row r="4095">
      <c r="A4095" s="8" t="s">
        <v>18883</v>
      </c>
      <c r="B4095" s="8" t="s">
        <v>18884</v>
      </c>
      <c r="C4095" s="8" t="s">
        <v>179</v>
      </c>
      <c r="D4095" s="8" t="s">
        <v>26</v>
      </c>
      <c r="E4095" s="8" t="s">
        <v>18885</v>
      </c>
      <c r="F4095" s="8">
        <v>2.6629623E7</v>
      </c>
      <c r="G4095" s="8" t="s">
        <v>54</v>
      </c>
      <c r="H4095" s="8" t="s">
        <v>135</v>
      </c>
      <c r="I4095" s="8" t="s">
        <v>31</v>
      </c>
      <c r="J4095" s="8" t="s">
        <v>292</v>
      </c>
      <c r="K4095" s="10" t="s">
        <v>18886</v>
      </c>
      <c r="L4095" s="8" t="s">
        <v>34</v>
      </c>
      <c r="M4095" s="8" t="s">
        <v>70</v>
      </c>
      <c r="N4095" s="11">
        <v>45271.0</v>
      </c>
      <c r="O4095" s="11">
        <v>45292.0</v>
      </c>
      <c r="P4095" s="11">
        <v>45656.0</v>
      </c>
      <c r="Q4095" s="11"/>
      <c r="R4095" s="11"/>
      <c r="S4095" s="12"/>
      <c r="T4095" s="8" t="s">
        <v>205</v>
      </c>
      <c r="U4095" s="8" t="s">
        <v>18887</v>
      </c>
      <c r="V4095" s="13" t="s">
        <v>190</v>
      </c>
      <c r="W4095" s="13" t="s">
        <v>18888</v>
      </c>
      <c r="X4095" s="12"/>
      <c r="Y4095" s="14"/>
      <c r="Z4095" s="14"/>
    </row>
    <row r="4096">
      <c r="A4096" s="8" t="s">
        <v>18889</v>
      </c>
      <c r="B4096" s="8" t="s">
        <v>18890</v>
      </c>
      <c r="C4096" s="8" t="s">
        <v>179</v>
      </c>
      <c r="D4096" s="8" t="s">
        <v>26</v>
      </c>
      <c r="E4096" s="8" t="s">
        <v>18891</v>
      </c>
      <c r="F4096" s="8">
        <v>5.357705118E9</v>
      </c>
      <c r="G4096" s="8" t="s">
        <v>54</v>
      </c>
      <c r="H4096" s="8" t="s">
        <v>244</v>
      </c>
      <c r="I4096" s="8" t="s">
        <v>31</v>
      </c>
      <c r="J4096" s="8" t="s">
        <v>77</v>
      </c>
      <c r="K4096" s="10" t="s">
        <v>18585</v>
      </c>
      <c r="L4096" s="8" t="s">
        <v>47</v>
      </c>
      <c r="M4096" s="8" t="s">
        <v>70</v>
      </c>
      <c r="N4096" s="11">
        <v>45271.0</v>
      </c>
      <c r="O4096" s="11">
        <v>45277.0</v>
      </c>
      <c r="P4096" s="11">
        <v>45466.0</v>
      </c>
      <c r="Q4096" s="11"/>
      <c r="R4096" s="11"/>
      <c r="S4096" s="12"/>
      <c r="T4096" s="8"/>
      <c r="U4096" s="8" t="s">
        <v>18586</v>
      </c>
      <c r="V4096" s="13" t="s">
        <v>247</v>
      </c>
      <c r="W4096" s="13" t="s">
        <v>18892</v>
      </c>
      <c r="X4096" s="12"/>
      <c r="Y4096" s="14"/>
      <c r="Z4096" s="14"/>
    </row>
    <row r="4097">
      <c r="A4097" s="8" t="s">
        <v>18893</v>
      </c>
      <c r="B4097" s="8" t="s">
        <v>18894</v>
      </c>
      <c r="C4097" s="8" t="s">
        <v>708</v>
      </c>
      <c r="D4097" s="8" t="s">
        <v>26</v>
      </c>
      <c r="E4097" s="8" t="s">
        <v>18895</v>
      </c>
      <c r="F4097" s="8">
        <v>5.459047784E9</v>
      </c>
      <c r="G4097" s="8" t="s">
        <v>31</v>
      </c>
      <c r="H4097" s="8" t="s">
        <v>1274</v>
      </c>
      <c r="I4097" s="8" t="s">
        <v>284</v>
      </c>
      <c r="J4097" s="8" t="s">
        <v>673</v>
      </c>
      <c r="K4097" s="10" t="s">
        <v>18896</v>
      </c>
      <c r="L4097" s="8" t="s">
        <v>58</v>
      </c>
      <c r="M4097" s="8" t="s">
        <v>35</v>
      </c>
      <c r="N4097" s="11">
        <v>45271.0</v>
      </c>
      <c r="O4097" s="11">
        <v>45301.0</v>
      </c>
      <c r="P4097" s="11">
        <v>45343.0</v>
      </c>
      <c r="Q4097" s="11">
        <v>45310.0</v>
      </c>
      <c r="R4097" s="11">
        <v>45351.0</v>
      </c>
      <c r="S4097" s="12"/>
      <c r="T4097" s="8"/>
      <c r="U4097" s="8" t="s">
        <v>161</v>
      </c>
      <c r="V4097" s="13" t="s">
        <v>1274</v>
      </c>
      <c r="W4097" s="13" t="s">
        <v>18897</v>
      </c>
      <c r="X4097" s="12"/>
      <c r="Y4097" s="14"/>
      <c r="Z4097" s="14"/>
    </row>
    <row r="4098">
      <c r="A4098" s="8" t="s">
        <v>18898</v>
      </c>
      <c r="B4098" s="8" t="s">
        <v>18899</v>
      </c>
      <c r="C4098" s="8" t="s">
        <v>179</v>
      </c>
      <c r="D4098" s="8" t="s">
        <v>26</v>
      </c>
      <c r="E4098" s="8" t="s">
        <v>18900</v>
      </c>
      <c r="F4098" s="8">
        <v>5.8794614E7</v>
      </c>
      <c r="G4098" s="8" t="s">
        <v>54</v>
      </c>
      <c r="H4098" s="8" t="s">
        <v>135</v>
      </c>
      <c r="I4098" s="8" t="s">
        <v>31</v>
      </c>
      <c r="J4098" s="8" t="s">
        <v>77</v>
      </c>
      <c r="K4098" s="10" t="s">
        <v>6682</v>
      </c>
      <c r="L4098" s="8" t="s">
        <v>58</v>
      </c>
      <c r="M4098" s="8" t="s">
        <v>35</v>
      </c>
      <c r="N4098" s="11">
        <v>45271.0</v>
      </c>
      <c r="O4098" s="11">
        <v>45523.0</v>
      </c>
      <c r="P4098" s="11">
        <v>45565.0</v>
      </c>
      <c r="Q4098" s="11"/>
      <c r="R4098" s="11"/>
      <c r="S4098" s="12"/>
      <c r="T4098" s="8"/>
      <c r="U4098" s="8" t="s">
        <v>59</v>
      </c>
      <c r="V4098" s="13" t="s">
        <v>190</v>
      </c>
      <c r="W4098" s="13" t="s">
        <v>18901</v>
      </c>
      <c r="X4098" s="12"/>
      <c r="Y4098" s="14"/>
      <c r="Z4098" s="14"/>
    </row>
    <row r="4099">
      <c r="A4099" s="8" t="s">
        <v>18902</v>
      </c>
      <c r="B4099" s="8" t="s">
        <v>18903</v>
      </c>
      <c r="C4099" s="8" t="s">
        <v>179</v>
      </c>
      <c r="D4099" s="8" t="s">
        <v>26</v>
      </c>
      <c r="E4099" s="8" t="s">
        <v>18904</v>
      </c>
      <c r="F4099" s="8">
        <v>1.008329469E9</v>
      </c>
      <c r="G4099" s="8" t="s">
        <v>284</v>
      </c>
      <c r="H4099" s="8" t="s">
        <v>691</v>
      </c>
      <c r="I4099" s="8" t="s">
        <v>31</v>
      </c>
      <c r="J4099" s="8" t="s">
        <v>43</v>
      </c>
      <c r="K4099" s="10" t="s">
        <v>2922</v>
      </c>
      <c r="L4099" s="8" t="s">
        <v>58</v>
      </c>
      <c r="M4099" s="8" t="s">
        <v>35</v>
      </c>
      <c r="N4099" s="11">
        <v>45271.0</v>
      </c>
      <c r="O4099" s="11">
        <v>45474.0</v>
      </c>
      <c r="P4099" s="11">
        <v>45516.0</v>
      </c>
      <c r="Q4099" s="11"/>
      <c r="R4099" s="11"/>
      <c r="S4099" s="12"/>
      <c r="T4099" s="8"/>
      <c r="U4099" s="8" t="s">
        <v>59</v>
      </c>
      <c r="V4099" s="13" t="s">
        <v>692</v>
      </c>
      <c r="W4099" s="13" t="s">
        <v>18905</v>
      </c>
      <c r="X4099" s="12"/>
      <c r="Y4099" s="14"/>
      <c r="Z4099" s="14"/>
    </row>
    <row r="4100">
      <c r="A4100" s="8" t="s">
        <v>18906</v>
      </c>
      <c r="B4100" s="8" t="s">
        <v>18907</v>
      </c>
      <c r="C4100" s="8" t="s">
        <v>179</v>
      </c>
      <c r="D4100" s="8" t="s">
        <v>26</v>
      </c>
      <c r="E4100" s="8" t="s">
        <v>18908</v>
      </c>
      <c r="F4100" s="8">
        <v>2.864874E7</v>
      </c>
      <c r="G4100" s="8" t="s">
        <v>54</v>
      </c>
      <c r="H4100" s="8" t="s">
        <v>135</v>
      </c>
      <c r="I4100" s="8" t="s">
        <v>31</v>
      </c>
      <c r="J4100" s="8" t="s">
        <v>86</v>
      </c>
      <c r="K4100" s="10" t="s">
        <v>3621</v>
      </c>
      <c r="L4100" s="8" t="s">
        <v>58</v>
      </c>
      <c r="M4100" s="8" t="s">
        <v>35</v>
      </c>
      <c r="N4100" s="11">
        <v>45271.0</v>
      </c>
      <c r="O4100" s="11">
        <v>45476.0</v>
      </c>
      <c r="P4100" s="11">
        <v>45518.0</v>
      </c>
      <c r="Q4100" s="11"/>
      <c r="R4100" s="11"/>
      <c r="S4100" s="12"/>
      <c r="T4100" s="8"/>
      <c r="U4100" s="8" t="s">
        <v>153</v>
      </c>
      <c r="V4100" s="13" t="s">
        <v>2693</v>
      </c>
      <c r="W4100" s="13" t="s">
        <v>18909</v>
      </c>
      <c r="X4100" s="12"/>
      <c r="Y4100" s="14"/>
      <c r="Z4100" s="14"/>
    </row>
    <row r="4101">
      <c r="A4101" s="8" t="s">
        <v>18910</v>
      </c>
      <c r="B4101" s="8" t="s">
        <v>18911</v>
      </c>
      <c r="C4101" s="8" t="s">
        <v>179</v>
      </c>
      <c r="D4101" s="8" t="s">
        <v>26</v>
      </c>
      <c r="E4101" s="8" t="s">
        <v>18912</v>
      </c>
      <c r="F4101" s="8">
        <v>2.7383158E7</v>
      </c>
      <c r="G4101" s="8" t="s">
        <v>54</v>
      </c>
      <c r="H4101" s="8" t="s">
        <v>135</v>
      </c>
      <c r="I4101" s="8" t="s">
        <v>31</v>
      </c>
      <c r="J4101" s="8" t="s">
        <v>77</v>
      </c>
      <c r="K4101" s="10" t="s">
        <v>6682</v>
      </c>
      <c r="L4101" s="8" t="s">
        <v>58</v>
      </c>
      <c r="M4101" s="8" t="s">
        <v>35</v>
      </c>
      <c r="N4101" s="11">
        <v>45271.0</v>
      </c>
      <c r="O4101" s="11">
        <v>45523.0</v>
      </c>
      <c r="P4101" s="11">
        <v>45565.0</v>
      </c>
      <c r="Q4101" s="11"/>
      <c r="R4101" s="11"/>
      <c r="S4101" s="12"/>
      <c r="T4101" s="8"/>
      <c r="U4101" s="8" t="s">
        <v>59</v>
      </c>
      <c r="V4101" s="13" t="s">
        <v>6430</v>
      </c>
      <c r="W4101" s="13" t="s">
        <v>18913</v>
      </c>
      <c r="X4101" s="12"/>
      <c r="Y4101" s="14"/>
      <c r="Z4101" s="14"/>
    </row>
    <row r="4102">
      <c r="A4102" s="8" t="s">
        <v>18914</v>
      </c>
      <c r="B4102" s="8" t="s">
        <v>18915</v>
      </c>
      <c r="C4102" s="8" t="s">
        <v>179</v>
      </c>
      <c r="D4102" s="8" t="s">
        <v>26</v>
      </c>
      <c r="E4102" s="8" t="s">
        <v>18916</v>
      </c>
      <c r="F4102" s="8">
        <v>9.4810493E7</v>
      </c>
      <c r="G4102" s="8" t="s">
        <v>54</v>
      </c>
      <c r="H4102" s="8" t="s">
        <v>430</v>
      </c>
      <c r="I4102" s="8" t="s">
        <v>31</v>
      </c>
      <c r="J4102" s="8" t="s">
        <v>292</v>
      </c>
      <c r="K4102" s="10" t="s">
        <v>12973</v>
      </c>
      <c r="L4102" s="8" t="s">
        <v>58</v>
      </c>
      <c r="M4102" s="8" t="s">
        <v>35</v>
      </c>
      <c r="N4102" s="11">
        <v>45272.0</v>
      </c>
      <c r="O4102" s="11">
        <v>45417.0</v>
      </c>
      <c r="P4102" s="11">
        <v>45459.0</v>
      </c>
      <c r="Q4102" s="11"/>
      <c r="R4102" s="11"/>
      <c r="S4102" s="12"/>
      <c r="T4102" s="8"/>
      <c r="U4102" s="8" t="s">
        <v>88</v>
      </c>
      <c r="V4102" s="13" t="s">
        <v>849</v>
      </c>
      <c r="W4102" s="13" t="s">
        <v>18917</v>
      </c>
      <c r="X4102" s="12"/>
      <c r="Y4102" s="14"/>
      <c r="Z4102" s="14"/>
    </row>
    <row r="4103">
      <c r="A4103" s="8" t="s">
        <v>18918</v>
      </c>
      <c r="B4103" s="8" t="s">
        <v>18919</v>
      </c>
      <c r="C4103" s="8" t="s">
        <v>179</v>
      </c>
      <c r="D4103" s="8" t="s">
        <v>26</v>
      </c>
      <c r="E4103" s="8" t="s">
        <v>18920</v>
      </c>
      <c r="F4103" s="8">
        <v>5.0741479E7</v>
      </c>
      <c r="G4103" s="8" t="s">
        <v>54</v>
      </c>
      <c r="H4103" s="8" t="s">
        <v>135</v>
      </c>
      <c r="I4103" s="8" t="s">
        <v>31</v>
      </c>
      <c r="J4103" s="8" t="s">
        <v>77</v>
      </c>
      <c r="K4103" s="10" t="s">
        <v>6682</v>
      </c>
      <c r="L4103" s="8" t="s">
        <v>58</v>
      </c>
      <c r="M4103" s="8" t="s">
        <v>35</v>
      </c>
      <c r="N4103" s="11">
        <v>45272.0</v>
      </c>
      <c r="O4103" s="11">
        <v>45523.0</v>
      </c>
      <c r="P4103" s="11">
        <v>45565.0</v>
      </c>
      <c r="Q4103" s="11"/>
      <c r="R4103" s="11"/>
      <c r="S4103" s="12"/>
      <c r="T4103" s="8"/>
      <c r="U4103" s="8" t="s">
        <v>59</v>
      </c>
      <c r="V4103" s="13" t="s">
        <v>6430</v>
      </c>
      <c r="W4103" s="13" t="s">
        <v>18921</v>
      </c>
      <c r="X4103" s="12"/>
      <c r="Y4103" s="14"/>
      <c r="Z4103" s="14"/>
    </row>
    <row r="4104">
      <c r="A4104" s="8" t="s">
        <v>18922</v>
      </c>
      <c r="B4104" s="8" t="s">
        <v>18923</v>
      </c>
      <c r="C4104" s="8" t="s">
        <v>708</v>
      </c>
      <c r="D4104" s="8" t="s">
        <v>26</v>
      </c>
      <c r="E4104" s="8" t="s">
        <v>18924</v>
      </c>
      <c r="F4104" s="8">
        <v>1.3958688398E10</v>
      </c>
      <c r="G4104" s="8" t="s">
        <v>8344</v>
      </c>
      <c r="H4104" s="8" t="s">
        <v>18626</v>
      </c>
      <c r="I4104" s="8" t="s">
        <v>31</v>
      </c>
      <c r="J4104" s="8" t="s">
        <v>136</v>
      </c>
      <c r="K4104" s="10" t="s">
        <v>8895</v>
      </c>
      <c r="L4104" s="8" t="s">
        <v>58</v>
      </c>
      <c r="M4104" s="8" t="s">
        <v>35</v>
      </c>
      <c r="N4104" s="11">
        <v>45272.0</v>
      </c>
      <c r="O4104" s="11">
        <v>45306.0</v>
      </c>
      <c r="P4104" s="11">
        <v>45348.0</v>
      </c>
      <c r="Q4104" s="11">
        <v>45313.0</v>
      </c>
      <c r="R4104" s="11">
        <v>45353.0</v>
      </c>
      <c r="S4104" s="12"/>
      <c r="T4104" s="8"/>
      <c r="U4104" s="8" t="s">
        <v>59</v>
      </c>
      <c r="V4104" s="13" t="s">
        <v>18627</v>
      </c>
      <c r="W4104" s="13" t="s">
        <v>18925</v>
      </c>
      <c r="X4104" s="12"/>
      <c r="Y4104" s="14"/>
      <c r="Z4104" s="14"/>
    </row>
    <row r="4105">
      <c r="A4105" s="8" t="s">
        <v>18926</v>
      </c>
      <c r="B4105" s="8" t="s">
        <v>18927</v>
      </c>
      <c r="C4105" s="8" t="s">
        <v>179</v>
      </c>
      <c r="D4105" s="8" t="s">
        <v>26</v>
      </c>
      <c r="E4105" s="8" t="s">
        <v>18928</v>
      </c>
      <c r="F4105" s="8">
        <v>0.0</v>
      </c>
      <c r="G4105" s="8" t="s">
        <v>31</v>
      </c>
      <c r="H4105" s="8" t="s">
        <v>77</v>
      </c>
      <c r="I4105" s="8" t="s">
        <v>44</v>
      </c>
      <c r="J4105" s="8" t="s">
        <v>1993</v>
      </c>
      <c r="K4105" s="10" t="s">
        <v>18014</v>
      </c>
      <c r="L4105" s="8" t="s">
        <v>58</v>
      </c>
      <c r="M4105" s="8" t="s">
        <v>35</v>
      </c>
      <c r="N4105" s="11">
        <v>45272.0</v>
      </c>
      <c r="O4105" s="11">
        <v>45524.0</v>
      </c>
      <c r="P4105" s="11">
        <v>45566.0</v>
      </c>
      <c r="Q4105" s="11"/>
      <c r="R4105" s="11"/>
      <c r="S4105" s="12"/>
      <c r="T4105" s="8"/>
      <c r="U4105" s="8" t="s">
        <v>371</v>
      </c>
      <c r="V4105" s="13" t="s">
        <v>77</v>
      </c>
      <c r="W4105" s="13" t="s">
        <v>18929</v>
      </c>
      <c r="X4105" s="12"/>
      <c r="Y4105" s="14"/>
      <c r="Z4105" s="14"/>
    </row>
    <row r="4106">
      <c r="A4106" s="8" t="s">
        <v>18930</v>
      </c>
      <c r="B4106" s="8" t="s">
        <v>18931</v>
      </c>
      <c r="C4106" s="8" t="s">
        <v>179</v>
      </c>
      <c r="D4106" s="8" t="s">
        <v>26</v>
      </c>
      <c r="E4106" s="8" t="s">
        <v>18932</v>
      </c>
      <c r="F4106" s="8">
        <v>5.338530223E9</v>
      </c>
      <c r="G4106" s="8" t="s">
        <v>31</v>
      </c>
      <c r="H4106" s="8" t="s">
        <v>959</v>
      </c>
      <c r="I4106" s="8" t="s">
        <v>127</v>
      </c>
      <c r="J4106" s="8" t="s">
        <v>159</v>
      </c>
      <c r="K4106" s="10" t="s">
        <v>18933</v>
      </c>
      <c r="L4106" s="8" t="s">
        <v>58</v>
      </c>
      <c r="M4106" s="8" t="s">
        <v>35</v>
      </c>
      <c r="N4106" s="11">
        <v>45272.0</v>
      </c>
      <c r="O4106" s="11">
        <v>45474.0</v>
      </c>
      <c r="P4106" s="11">
        <v>45516.0</v>
      </c>
      <c r="Q4106" s="11"/>
      <c r="R4106" s="11"/>
      <c r="S4106" s="12"/>
      <c r="T4106" s="8"/>
      <c r="U4106" s="8" t="s">
        <v>59</v>
      </c>
      <c r="V4106" s="13" t="s">
        <v>1069</v>
      </c>
      <c r="W4106" s="13" t="s">
        <v>18934</v>
      </c>
      <c r="X4106" s="12"/>
      <c r="Y4106" s="14"/>
      <c r="Z4106" s="14"/>
    </row>
    <row r="4107">
      <c r="A4107" s="8" t="s">
        <v>18935</v>
      </c>
      <c r="B4107" s="8" t="s">
        <v>18936</v>
      </c>
      <c r="C4107" s="8" t="s">
        <v>708</v>
      </c>
      <c r="D4107" s="8" t="s">
        <v>26</v>
      </c>
      <c r="E4107" s="8" t="s">
        <v>18937</v>
      </c>
      <c r="F4107" s="8">
        <v>2.7125012E7</v>
      </c>
      <c r="G4107" s="8" t="s">
        <v>54</v>
      </c>
      <c r="H4107" s="8" t="s">
        <v>377</v>
      </c>
      <c r="I4107" s="8" t="s">
        <v>31</v>
      </c>
      <c r="J4107" s="8" t="s">
        <v>542</v>
      </c>
      <c r="K4107" s="10" t="s">
        <v>18938</v>
      </c>
      <c r="L4107" s="8" t="s">
        <v>34</v>
      </c>
      <c r="M4107" s="8" t="s">
        <v>70</v>
      </c>
      <c r="N4107" s="11">
        <v>45272.0</v>
      </c>
      <c r="O4107" s="11">
        <v>45306.0</v>
      </c>
      <c r="P4107" s="11">
        <v>45667.0</v>
      </c>
      <c r="Q4107" s="11">
        <v>45310.0</v>
      </c>
      <c r="R4107" s="11">
        <v>45675.0</v>
      </c>
      <c r="S4107" s="12"/>
      <c r="T4107" s="8" t="s">
        <v>205</v>
      </c>
      <c r="U4107" s="8" t="s">
        <v>8529</v>
      </c>
      <c r="V4107" s="13" t="s">
        <v>3806</v>
      </c>
      <c r="W4107" s="13" t="s">
        <v>18939</v>
      </c>
      <c r="X4107" s="12"/>
      <c r="Y4107" s="14"/>
      <c r="Z4107" s="14"/>
    </row>
    <row r="4108">
      <c r="A4108" s="8" t="s">
        <v>18940</v>
      </c>
      <c r="B4108" s="8" t="s">
        <v>18941</v>
      </c>
      <c r="C4108" s="8" t="s">
        <v>179</v>
      </c>
      <c r="D4108" s="8" t="s">
        <v>26</v>
      </c>
      <c r="E4108" s="8" t="s">
        <v>18942</v>
      </c>
      <c r="F4108" s="8">
        <v>6.91949899E8</v>
      </c>
      <c r="G4108" s="8" t="s">
        <v>31</v>
      </c>
      <c r="H4108" s="8" t="s">
        <v>959</v>
      </c>
      <c r="I4108" s="8" t="s">
        <v>54</v>
      </c>
      <c r="J4108" s="8" t="s">
        <v>377</v>
      </c>
      <c r="K4108" s="10" t="s">
        <v>18943</v>
      </c>
      <c r="L4108" s="8" t="s">
        <v>58</v>
      </c>
      <c r="M4108" s="8" t="s">
        <v>35</v>
      </c>
      <c r="N4108" s="11">
        <v>45272.0</v>
      </c>
      <c r="O4108" s="11">
        <v>45474.0</v>
      </c>
      <c r="P4108" s="11">
        <v>45516.0</v>
      </c>
      <c r="Q4108" s="11"/>
      <c r="R4108" s="11"/>
      <c r="S4108" s="12"/>
      <c r="T4108" s="8"/>
      <c r="U4108" s="8" t="s">
        <v>59</v>
      </c>
      <c r="V4108" s="13" t="s">
        <v>1069</v>
      </c>
      <c r="W4108" s="13" t="s">
        <v>18944</v>
      </c>
      <c r="X4108" s="12"/>
      <c r="Y4108" s="14"/>
      <c r="Z4108" s="14"/>
    </row>
    <row r="4109">
      <c r="A4109" s="8" t="s">
        <v>18945</v>
      </c>
      <c r="B4109" s="8" t="s">
        <v>18946</v>
      </c>
      <c r="C4109" s="8" t="s">
        <v>179</v>
      </c>
      <c r="D4109" s="8" t="s">
        <v>26</v>
      </c>
      <c r="E4109" s="8" t="s">
        <v>18947</v>
      </c>
      <c r="F4109" s="8">
        <v>5.33860659E9</v>
      </c>
      <c r="G4109" s="8" t="s">
        <v>31</v>
      </c>
      <c r="H4109" s="8" t="s">
        <v>959</v>
      </c>
      <c r="I4109" s="8" t="s">
        <v>54</v>
      </c>
      <c r="J4109" s="8" t="s">
        <v>377</v>
      </c>
      <c r="K4109" s="10" t="s">
        <v>18943</v>
      </c>
      <c r="L4109" s="8" t="s">
        <v>58</v>
      </c>
      <c r="M4109" s="8" t="s">
        <v>35</v>
      </c>
      <c r="N4109" s="11">
        <v>45272.0</v>
      </c>
      <c r="O4109" s="11">
        <v>45474.0</v>
      </c>
      <c r="P4109" s="11">
        <v>45516.0</v>
      </c>
      <c r="Q4109" s="11"/>
      <c r="R4109" s="11"/>
      <c r="S4109" s="12"/>
      <c r="T4109" s="8"/>
      <c r="U4109" s="8" t="s">
        <v>59</v>
      </c>
      <c r="V4109" s="13" t="s">
        <v>1069</v>
      </c>
      <c r="W4109" s="13" t="s">
        <v>18948</v>
      </c>
      <c r="X4109" s="12"/>
      <c r="Y4109" s="14"/>
      <c r="Z4109" s="14"/>
    </row>
    <row r="4110">
      <c r="A4110" s="8" t="s">
        <v>18949</v>
      </c>
      <c r="B4110" s="8" t="s">
        <v>18950</v>
      </c>
      <c r="C4110" s="8" t="s">
        <v>179</v>
      </c>
      <c r="D4110" s="8" t="s">
        <v>26</v>
      </c>
      <c r="E4110" s="8" t="s">
        <v>18951</v>
      </c>
      <c r="F4110" s="8">
        <v>5.075564E7</v>
      </c>
      <c r="G4110" s="8" t="s">
        <v>54</v>
      </c>
      <c r="H4110" s="8" t="s">
        <v>377</v>
      </c>
      <c r="I4110" s="8" t="s">
        <v>31</v>
      </c>
      <c r="J4110" s="8" t="s">
        <v>77</v>
      </c>
      <c r="K4110" s="10" t="s">
        <v>6682</v>
      </c>
      <c r="L4110" s="8" t="s">
        <v>58</v>
      </c>
      <c r="M4110" s="8" t="s">
        <v>35</v>
      </c>
      <c r="N4110" s="11">
        <v>45272.0</v>
      </c>
      <c r="O4110" s="11">
        <v>45446.0</v>
      </c>
      <c r="P4110" s="11">
        <v>45488.0</v>
      </c>
      <c r="Q4110" s="11"/>
      <c r="R4110" s="11"/>
      <c r="S4110" s="12"/>
      <c r="T4110" s="8"/>
      <c r="U4110" s="8" t="s">
        <v>59</v>
      </c>
      <c r="V4110" s="13" t="s">
        <v>2243</v>
      </c>
      <c r="W4110" s="13" t="s">
        <v>18952</v>
      </c>
      <c r="X4110" s="12"/>
      <c r="Y4110" s="14"/>
      <c r="Z4110" s="14"/>
    </row>
    <row r="4111">
      <c r="A4111" s="8" t="s">
        <v>18953</v>
      </c>
      <c r="B4111" s="8" t="s">
        <v>18954</v>
      </c>
      <c r="C4111" s="8" t="s">
        <v>179</v>
      </c>
      <c r="D4111" s="8" t="s">
        <v>26</v>
      </c>
      <c r="E4111" s="8" t="s">
        <v>18955</v>
      </c>
      <c r="F4111" s="8">
        <v>5.3981049E7</v>
      </c>
      <c r="G4111" s="8" t="s">
        <v>54</v>
      </c>
      <c r="H4111" s="8" t="s">
        <v>377</v>
      </c>
      <c r="I4111" s="8" t="s">
        <v>31</v>
      </c>
      <c r="J4111" s="8" t="s">
        <v>77</v>
      </c>
      <c r="K4111" s="10" t="s">
        <v>18956</v>
      </c>
      <c r="L4111" s="8" t="s">
        <v>58</v>
      </c>
      <c r="M4111" s="8" t="s">
        <v>35</v>
      </c>
      <c r="N4111" s="11">
        <v>45272.0</v>
      </c>
      <c r="O4111" s="11">
        <v>45453.0</v>
      </c>
      <c r="P4111" s="11">
        <v>45495.0</v>
      </c>
      <c r="Q4111" s="11"/>
      <c r="R4111" s="11"/>
      <c r="S4111" s="12"/>
      <c r="T4111" s="8"/>
      <c r="U4111" s="8" t="s">
        <v>59</v>
      </c>
      <c r="V4111" s="13" t="s">
        <v>2243</v>
      </c>
      <c r="W4111" s="13" t="s">
        <v>18957</v>
      </c>
      <c r="X4111" s="12"/>
      <c r="Y4111" s="14"/>
      <c r="Z4111" s="14"/>
    </row>
    <row r="4112">
      <c r="A4112" s="8" t="s">
        <v>18958</v>
      </c>
      <c r="B4112" s="8" t="s">
        <v>18959</v>
      </c>
      <c r="C4112" s="8" t="s">
        <v>708</v>
      </c>
      <c r="D4112" s="8" t="s">
        <v>26</v>
      </c>
      <c r="E4112" s="8" t="s">
        <v>18960</v>
      </c>
      <c r="F4112" s="8">
        <v>5.5304088E7</v>
      </c>
      <c r="G4112" s="8" t="s">
        <v>54</v>
      </c>
      <c r="H4112" s="8" t="s">
        <v>55</v>
      </c>
      <c r="I4112" s="8" t="s">
        <v>31</v>
      </c>
      <c r="J4112" s="8" t="s">
        <v>43</v>
      </c>
      <c r="K4112" s="10" t="s">
        <v>14177</v>
      </c>
      <c r="L4112" s="8" t="s">
        <v>47</v>
      </c>
      <c r="M4112" s="8" t="s">
        <v>70</v>
      </c>
      <c r="N4112" s="11">
        <v>45272.0</v>
      </c>
      <c r="O4112" s="11">
        <v>45285.0</v>
      </c>
      <c r="P4112" s="11">
        <v>45651.0</v>
      </c>
      <c r="Q4112" s="11">
        <v>45288.0</v>
      </c>
      <c r="R4112" s="11">
        <v>45654.0</v>
      </c>
      <c r="S4112" s="12"/>
      <c r="T4112" s="8"/>
      <c r="U4112" s="8" t="s">
        <v>246</v>
      </c>
      <c r="V4112" s="13" t="s">
        <v>38</v>
      </c>
      <c r="W4112" s="13" t="s">
        <v>18961</v>
      </c>
      <c r="X4112" s="12"/>
      <c r="Y4112" s="14"/>
      <c r="Z4112" s="14"/>
    </row>
    <row r="4113">
      <c r="A4113" s="8" t="s">
        <v>18962</v>
      </c>
      <c r="B4113" s="8" t="s">
        <v>18963</v>
      </c>
      <c r="C4113" s="8" t="s">
        <v>179</v>
      </c>
      <c r="D4113" s="8" t="s">
        <v>26</v>
      </c>
      <c r="E4113" s="8" t="s">
        <v>18964</v>
      </c>
      <c r="F4113" s="8">
        <v>5.332246E7</v>
      </c>
      <c r="G4113" s="8" t="s">
        <v>54</v>
      </c>
      <c r="H4113" s="8" t="s">
        <v>377</v>
      </c>
      <c r="I4113" s="8" t="s">
        <v>31</v>
      </c>
      <c r="J4113" s="8" t="s">
        <v>292</v>
      </c>
      <c r="K4113" s="10" t="s">
        <v>8459</v>
      </c>
      <c r="L4113" s="8" t="s">
        <v>34</v>
      </c>
      <c r="M4113" s="8" t="s">
        <v>70</v>
      </c>
      <c r="N4113" s="11">
        <v>45273.0</v>
      </c>
      <c r="O4113" s="11">
        <v>45287.0</v>
      </c>
      <c r="P4113" s="11">
        <v>45476.0</v>
      </c>
      <c r="Q4113" s="11"/>
      <c r="R4113" s="11"/>
      <c r="S4113" s="12"/>
      <c r="T4113" s="8" t="s">
        <v>205</v>
      </c>
      <c r="U4113" s="8" t="s">
        <v>8460</v>
      </c>
      <c r="V4113" s="13" t="s">
        <v>2218</v>
      </c>
      <c r="W4113" s="13" t="s">
        <v>18965</v>
      </c>
      <c r="X4113" s="12"/>
      <c r="Y4113" s="14"/>
      <c r="Z4113" s="14"/>
    </row>
    <row r="4114">
      <c r="A4114" s="8" t="s">
        <v>18966</v>
      </c>
      <c r="B4114" s="8" t="s">
        <v>18967</v>
      </c>
      <c r="C4114" s="8" t="s">
        <v>179</v>
      </c>
      <c r="D4114" s="8" t="s">
        <v>26</v>
      </c>
      <c r="E4114" s="8" t="s">
        <v>18968</v>
      </c>
      <c r="F4114" s="8">
        <v>1.096688245E9</v>
      </c>
      <c r="G4114" s="8" t="s">
        <v>284</v>
      </c>
      <c r="H4114" s="8" t="s">
        <v>1777</v>
      </c>
      <c r="I4114" s="8" t="s">
        <v>31</v>
      </c>
      <c r="J4114" s="8" t="s">
        <v>256</v>
      </c>
      <c r="K4114" s="10" t="s">
        <v>18969</v>
      </c>
      <c r="L4114" s="8" t="s">
        <v>58</v>
      </c>
      <c r="M4114" s="8" t="s">
        <v>35</v>
      </c>
      <c r="N4114" s="11">
        <v>45273.0</v>
      </c>
      <c r="O4114" s="11">
        <v>45331.0</v>
      </c>
      <c r="P4114" s="11">
        <v>45373.0</v>
      </c>
      <c r="Q4114" s="11"/>
      <c r="R4114" s="11"/>
      <c r="S4114" s="12"/>
      <c r="T4114" s="8"/>
      <c r="U4114" s="8" t="s">
        <v>59</v>
      </c>
      <c r="V4114" s="13" t="s">
        <v>2168</v>
      </c>
      <c r="W4114" s="13" t="s">
        <v>18970</v>
      </c>
      <c r="X4114" s="12"/>
      <c r="Y4114" s="14"/>
      <c r="Z4114" s="14"/>
    </row>
    <row r="4115">
      <c r="A4115" s="8" t="s">
        <v>18971</v>
      </c>
      <c r="B4115" s="8" t="s">
        <v>18972</v>
      </c>
      <c r="C4115" s="8" t="s">
        <v>179</v>
      </c>
      <c r="D4115" s="8" t="s">
        <v>26</v>
      </c>
      <c r="E4115" s="8" t="s">
        <v>18973</v>
      </c>
      <c r="F4115" s="8">
        <v>2.8400412E7</v>
      </c>
      <c r="G4115" s="8" t="s">
        <v>54</v>
      </c>
      <c r="H4115" s="8" t="s">
        <v>377</v>
      </c>
      <c r="I4115" s="8" t="s">
        <v>31</v>
      </c>
      <c r="J4115" s="8" t="s">
        <v>77</v>
      </c>
      <c r="K4115" s="10" t="s">
        <v>78</v>
      </c>
      <c r="L4115" s="8" t="s">
        <v>58</v>
      </c>
      <c r="M4115" s="8" t="s">
        <v>35</v>
      </c>
      <c r="N4115" s="11">
        <v>45273.0</v>
      </c>
      <c r="O4115" s="11">
        <v>45474.0</v>
      </c>
      <c r="P4115" s="11">
        <v>45516.0</v>
      </c>
      <c r="Q4115" s="11"/>
      <c r="R4115" s="11"/>
      <c r="S4115" s="12"/>
      <c r="T4115" s="8"/>
      <c r="U4115" s="8" t="s">
        <v>59</v>
      </c>
      <c r="V4115" s="13" t="s">
        <v>1604</v>
      </c>
      <c r="W4115" s="13" t="s">
        <v>18974</v>
      </c>
      <c r="X4115" s="12"/>
      <c r="Y4115" s="14"/>
      <c r="Z4115" s="14"/>
    </row>
    <row r="4116">
      <c r="A4116" s="8" t="s">
        <v>18975</v>
      </c>
      <c r="B4116" s="8" t="s">
        <v>18976</v>
      </c>
      <c r="C4116" s="8" t="s">
        <v>179</v>
      </c>
      <c r="D4116" s="8" t="s">
        <v>26</v>
      </c>
      <c r="E4116" s="8" t="s">
        <v>18977</v>
      </c>
      <c r="F4116" s="8"/>
      <c r="G4116" s="8" t="s">
        <v>54</v>
      </c>
      <c r="H4116" s="8" t="s">
        <v>135</v>
      </c>
      <c r="I4116" s="8" t="s">
        <v>31</v>
      </c>
      <c r="J4116" s="8" t="s">
        <v>77</v>
      </c>
      <c r="K4116" s="10" t="s">
        <v>4188</v>
      </c>
      <c r="L4116" s="8" t="s">
        <v>58</v>
      </c>
      <c r="M4116" s="8" t="s">
        <v>35</v>
      </c>
      <c r="N4116" s="11">
        <v>45273.0</v>
      </c>
      <c r="O4116" s="11">
        <v>45474.0</v>
      </c>
      <c r="P4116" s="11">
        <v>45516.0</v>
      </c>
      <c r="Q4116" s="11"/>
      <c r="R4116" s="11"/>
      <c r="S4116" s="12"/>
      <c r="T4116" s="8"/>
      <c r="U4116" s="8" t="s">
        <v>59</v>
      </c>
      <c r="V4116" s="13" t="s">
        <v>38</v>
      </c>
      <c r="W4116" s="13" t="s">
        <v>18978</v>
      </c>
      <c r="X4116" s="12"/>
      <c r="Y4116" s="14"/>
      <c r="Z4116" s="14"/>
    </row>
    <row r="4117">
      <c r="A4117" s="8" t="s">
        <v>18979</v>
      </c>
      <c r="B4117" s="8" t="s">
        <v>18980</v>
      </c>
      <c r="C4117" s="8" t="s">
        <v>179</v>
      </c>
      <c r="D4117" s="8" t="s">
        <v>26</v>
      </c>
      <c r="E4117" s="8" t="s">
        <v>18981</v>
      </c>
      <c r="F4117" s="8">
        <v>2.092226E7</v>
      </c>
      <c r="G4117" s="8" t="s">
        <v>54</v>
      </c>
      <c r="H4117" s="8" t="s">
        <v>76</v>
      </c>
      <c r="I4117" s="8" t="s">
        <v>31</v>
      </c>
      <c r="J4117" s="8" t="s">
        <v>77</v>
      </c>
      <c r="K4117" s="10" t="s">
        <v>78</v>
      </c>
      <c r="L4117" s="8" t="s">
        <v>58</v>
      </c>
      <c r="M4117" s="8" t="s">
        <v>35</v>
      </c>
      <c r="N4117" s="11">
        <v>45273.0</v>
      </c>
      <c r="O4117" s="11">
        <v>45460.0</v>
      </c>
      <c r="P4117" s="11">
        <v>45502.0</v>
      </c>
      <c r="Q4117" s="11"/>
      <c r="R4117" s="11"/>
      <c r="S4117" s="12"/>
      <c r="T4117" s="8"/>
      <c r="U4117" s="8" t="s">
        <v>59</v>
      </c>
      <c r="V4117" s="13" t="s">
        <v>491</v>
      </c>
      <c r="W4117" s="13" t="s">
        <v>18982</v>
      </c>
      <c r="X4117" s="12"/>
      <c r="Y4117" s="14"/>
      <c r="Z4117" s="14"/>
    </row>
    <row r="4118">
      <c r="A4118" s="8" t="s">
        <v>18983</v>
      </c>
      <c r="B4118" s="8" t="s">
        <v>18984</v>
      </c>
      <c r="C4118" s="8" t="s">
        <v>179</v>
      </c>
      <c r="D4118" s="8" t="s">
        <v>26</v>
      </c>
      <c r="E4118" s="8" t="s">
        <v>18985</v>
      </c>
      <c r="F4118" s="8">
        <v>5.4444326E7</v>
      </c>
      <c r="G4118" s="8" t="s">
        <v>54</v>
      </c>
      <c r="H4118" s="8" t="s">
        <v>135</v>
      </c>
      <c r="I4118" s="8" t="s">
        <v>31</v>
      </c>
      <c r="J4118" s="8" t="s">
        <v>77</v>
      </c>
      <c r="K4118" s="10" t="s">
        <v>4188</v>
      </c>
      <c r="L4118" s="8" t="s">
        <v>58</v>
      </c>
      <c r="M4118" s="8" t="s">
        <v>35</v>
      </c>
      <c r="N4118" s="11">
        <v>45273.0</v>
      </c>
      <c r="O4118" s="11">
        <v>45474.0</v>
      </c>
      <c r="P4118" s="11">
        <v>45516.0</v>
      </c>
      <c r="Q4118" s="11"/>
      <c r="R4118" s="11"/>
      <c r="S4118" s="12"/>
      <c r="T4118" s="8"/>
      <c r="U4118" s="8" t="s">
        <v>59</v>
      </c>
      <c r="V4118" s="13" t="s">
        <v>138</v>
      </c>
      <c r="W4118" s="13" t="s">
        <v>18986</v>
      </c>
      <c r="X4118" s="12"/>
      <c r="Y4118" s="14"/>
      <c r="Z4118" s="14"/>
    </row>
    <row r="4119">
      <c r="A4119" s="8" t="s">
        <v>18987</v>
      </c>
      <c r="B4119" s="8" t="s">
        <v>18988</v>
      </c>
      <c r="C4119" s="8" t="s">
        <v>179</v>
      </c>
      <c r="D4119" s="8" t="s">
        <v>26</v>
      </c>
      <c r="E4119" s="8" t="s">
        <v>18989</v>
      </c>
      <c r="F4119" s="8">
        <v>9.7476378E7</v>
      </c>
      <c r="G4119" s="8" t="s">
        <v>54</v>
      </c>
      <c r="H4119" s="8" t="s">
        <v>135</v>
      </c>
      <c r="I4119" s="8" t="s">
        <v>31</v>
      </c>
      <c r="J4119" s="8" t="s">
        <v>77</v>
      </c>
      <c r="K4119" s="10" t="s">
        <v>4188</v>
      </c>
      <c r="L4119" s="8" t="s">
        <v>58</v>
      </c>
      <c r="M4119" s="8" t="s">
        <v>35</v>
      </c>
      <c r="N4119" s="11">
        <v>45273.0</v>
      </c>
      <c r="O4119" s="11">
        <v>45474.0</v>
      </c>
      <c r="P4119" s="11">
        <v>45516.0</v>
      </c>
      <c r="Q4119" s="11"/>
      <c r="R4119" s="11"/>
      <c r="S4119" s="12"/>
      <c r="T4119" s="8"/>
      <c r="U4119" s="8" t="s">
        <v>59</v>
      </c>
      <c r="V4119" s="13" t="s">
        <v>138</v>
      </c>
      <c r="W4119" s="13" t="s">
        <v>18990</v>
      </c>
      <c r="X4119" s="12"/>
      <c r="Y4119" s="14"/>
      <c r="Z4119" s="14"/>
    </row>
    <row r="4120">
      <c r="A4120" s="8" t="s">
        <v>18991</v>
      </c>
      <c r="B4120" s="8" t="s">
        <v>18992</v>
      </c>
      <c r="C4120" s="8" t="s">
        <v>179</v>
      </c>
      <c r="D4120" s="8" t="s">
        <v>26</v>
      </c>
      <c r="E4120" s="8" t="s">
        <v>18993</v>
      </c>
      <c r="F4120" s="8">
        <v>5.1366125E7</v>
      </c>
      <c r="G4120" s="8" t="s">
        <v>54</v>
      </c>
      <c r="H4120" s="8" t="s">
        <v>377</v>
      </c>
      <c r="I4120" s="8" t="s">
        <v>31</v>
      </c>
      <c r="J4120" s="8" t="s">
        <v>86</v>
      </c>
      <c r="K4120" s="10" t="s">
        <v>2453</v>
      </c>
      <c r="L4120" s="8" t="s">
        <v>58</v>
      </c>
      <c r="M4120" s="8" t="s">
        <v>35</v>
      </c>
      <c r="N4120" s="11">
        <v>45273.0</v>
      </c>
      <c r="O4120" s="11">
        <v>45505.0</v>
      </c>
      <c r="P4120" s="11">
        <v>45547.0</v>
      </c>
      <c r="Q4120" s="11"/>
      <c r="R4120" s="11"/>
      <c r="S4120" s="12"/>
      <c r="T4120" s="8"/>
      <c r="U4120" s="8" t="s">
        <v>59</v>
      </c>
      <c r="V4120" s="13" t="s">
        <v>686</v>
      </c>
      <c r="W4120" s="13" t="s">
        <v>18994</v>
      </c>
      <c r="X4120" s="12"/>
      <c r="Y4120" s="14"/>
      <c r="Z4120" s="14"/>
    </row>
    <row r="4121">
      <c r="A4121" s="8" t="s">
        <v>18995</v>
      </c>
      <c r="B4121" s="8" t="s">
        <v>18996</v>
      </c>
      <c r="C4121" s="8" t="s">
        <v>179</v>
      </c>
      <c r="D4121" s="8" t="s">
        <v>26</v>
      </c>
      <c r="E4121" s="8" t="s">
        <v>18997</v>
      </c>
      <c r="F4121" s="8">
        <v>2.8150265E7</v>
      </c>
      <c r="G4121" s="8" t="s">
        <v>54</v>
      </c>
      <c r="H4121" s="8" t="s">
        <v>430</v>
      </c>
      <c r="I4121" s="8" t="s">
        <v>31</v>
      </c>
      <c r="J4121" s="8" t="s">
        <v>292</v>
      </c>
      <c r="K4121" s="10" t="s">
        <v>12973</v>
      </c>
      <c r="L4121" s="8" t="s">
        <v>58</v>
      </c>
      <c r="M4121" s="8" t="s">
        <v>35</v>
      </c>
      <c r="N4121" s="11">
        <v>45274.0</v>
      </c>
      <c r="O4121" s="11">
        <v>45417.0</v>
      </c>
      <c r="P4121" s="11">
        <v>45459.0</v>
      </c>
      <c r="Q4121" s="11"/>
      <c r="R4121" s="11"/>
      <c r="S4121" s="12"/>
      <c r="T4121" s="8"/>
      <c r="U4121" s="8" t="s">
        <v>88</v>
      </c>
      <c r="V4121" s="13" t="s">
        <v>849</v>
      </c>
      <c r="W4121" s="13" t="s">
        <v>18998</v>
      </c>
      <c r="X4121" s="12"/>
      <c r="Y4121" s="14"/>
      <c r="Z4121" s="14"/>
    </row>
    <row r="4122">
      <c r="A4122" s="8" t="s">
        <v>18999</v>
      </c>
      <c r="B4122" s="8" t="s">
        <v>19000</v>
      </c>
      <c r="C4122" s="8" t="s">
        <v>179</v>
      </c>
      <c r="D4122" s="8" t="s">
        <v>26</v>
      </c>
      <c r="E4122" s="8" t="s">
        <v>19001</v>
      </c>
      <c r="F4122" s="8">
        <v>2.9091203E7</v>
      </c>
      <c r="G4122" s="8" t="s">
        <v>54</v>
      </c>
      <c r="H4122" s="8" t="s">
        <v>135</v>
      </c>
      <c r="I4122" s="8" t="s">
        <v>31</v>
      </c>
      <c r="J4122" s="8" t="s">
        <v>86</v>
      </c>
      <c r="K4122" s="10" t="s">
        <v>15200</v>
      </c>
      <c r="L4122" s="8" t="s">
        <v>58</v>
      </c>
      <c r="M4122" s="8" t="s">
        <v>35</v>
      </c>
      <c r="N4122" s="11">
        <v>45274.0</v>
      </c>
      <c r="O4122" s="11">
        <v>45505.0</v>
      </c>
      <c r="P4122" s="11">
        <v>45547.0</v>
      </c>
      <c r="Q4122" s="11"/>
      <c r="R4122" s="11"/>
      <c r="S4122" s="12"/>
      <c r="T4122" s="8"/>
      <c r="U4122" s="8" t="s">
        <v>59</v>
      </c>
      <c r="V4122" s="13" t="s">
        <v>10329</v>
      </c>
      <c r="W4122" s="13" t="s">
        <v>19002</v>
      </c>
      <c r="X4122" s="12"/>
      <c r="Y4122" s="14"/>
      <c r="Z4122" s="14"/>
    </row>
    <row r="4123">
      <c r="A4123" s="8" t="s">
        <v>19003</v>
      </c>
      <c r="B4123" s="8" t="s">
        <v>19004</v>
      </c>
      <c r="C4123" s="8" t="s">
        <v>179</v>
      </c>
      <c r="D4123" s="8" t="s">
        <v>26</v>
      </c>
      <c r="E4123" s="8" t="s">
        <v>19005</v>
      </c>
      <c r="F4123" s="8">
        <v>2.1739425E7</v>
      </c>
      <c r="G4123" s="8" t="s">
        <v>54</v>
      </c>
      <c r="H4123" s="8" t="s">
        <v>430</v>
      </c>
      <c r="I4123" s="8" t="s">
        <v>31</v>
      </c>
      <c r="J4123" s="8" t="s">
        <v>77</v>
      </c>
      <c r="K4123" s="10" t="s">
        <v>4188</v>
      </c>
      <c r="L4123" s="8" t="s">
        <v>58</v>
      </c>
      <c r="M4123" s="8" t="s">
        <v>35</v>
      </c>
      <c r="N4123" s="11">
        <v>45274.0</v>
      </c>
      <c r="O4123" s="11">
        <v>45474.0</v>
      </c>
      <c r="P4123" s="11">
        <v>45516.0</v>
      </c>
      <c r="Q4123" s="11"/>
      <c r="R4123" s="11"/>
      <c r="S4123" s="12"/>
      <c r="T4123" s="8"/>
      <c r="U4123" s="8" t="s">
        <v>59</v>
      </c>
      <c r="V4123" s="13" t="s">
        <v>849</v>
      </c>
      <c r="W4123" s="13" t="s">
        <v>19006</v>
      </c>
      <c r="X4123" s="12"/>
      <c r="Y4123" s="14"/>
      <c r="Z4123" s="14"/>
    </row>
    <row r="4124">
      <c r="A4124" s="8" t="s">
        <v>19007</v>
      </c>
      <c r="B4124" s="8" t="s">
        <v>19008</v>
      </c>
      <c r="C4124" s="8" t="s">
        <v>179</v>
      </c>
      <c r="D4124" s="8" t="s">
        <v>26</v>
      </c>
      <c r="E4124" s="8" t="s">
        <v>19009</v>
      </c>
      <c r="F4124" s="8">
        <v>5.3669645E7</v>
      </c>
      <c r="G4124" s="8" t="s">
        <v>54</v>
      </c>
      <c r="H4124" s="8" t="s">
        <v>135</v>
      </c>
      <c r="I4124" s="8" t="s">
        <v>31</v>
      </c>
      <c r="J4124" s="8" t="s">
        <v>86</v>
      </c>
      <c r="K4124" s="10" t="s">
        <v>15200</v>
      </c>
      <c r="L4124" s="8" t="s">
        <v>58</v>
      </c>
      <c r="M4124" s="8" t="s">
        <v>35</v>
      </c>
      <c r="N4124" s="11">
        <v>45274.0</v>
      </c>
      <c r="O4124" s="11">
        <v>45505.0</v>
      </c>
      <c r="P4124" s="11">
        <v>45547.0</v>
      </c>
      <c r="Q4124" s="11"/>
      <c r="R4124" s="11"/>
      <c r="S4124" s="12"/>
      <c r="T4124" s="8"/>
      <c r="U4124" s="8" t="s">
        <v>59</v>
      </c>
      <c r="V4124" s="13" t="s">
        <v>138</v>
      </c>
      <c r="W4124" s="13" t="s">
        <v>19010</v>
      </c>
      <c r="X4124" s="12"/>
      <c r="Y4124" s="14"/>
      <c r="Z4124" s="14"/>
    </row>
    <row r="4125">
      <c r="A4125" s="8" t="s">
        <v>19011</v>
      </c>
      <c r="B4125" s="8" t="s">
        <v>19012</v>
      </c>
      <c r="C4125" s="8" t="s">
        <v>179</v>
      </c>
      <c r="D4125" s="8" t="s">
        <v>26</v>
      </c>
      <c r="E4125" s="8" t="s">
        <v>19013</v>
      </c>
      <c r="F4125" s="8">
        <v>5.4154913E7</v>
      </c>
      <c r="G4125" s="8" t="s">
        <v>54</v>
      </c>
      <c r="H4125" s="8" t="s">
        <v>595</v>
      </c>
      <c r="I4125" s="8" t="s">
        <v>31</v>
      </c>
      <c r="J4125" s="8" t="s">
        <v>77</v>
      </c>
      <c r="K4125" s="10" t="s">
        <v>78</v>
      </c>
      <c r="L4125" s="8" t="s">
        <v>58</v>
      </c>
      <c r="M4125" s="8" t="s">
        <v>35</v>
      </c>
      <c r="N4125" s="11">
        <v>45274.0</v>
      </c>
      <c r="O4125" s="11">
        <v>45474.0</v>
      </c>
      <c r="P4125" s="11">
        <v>45516.0</v>
      </c>
      <c r="Q4125" s="11"/>
      <c r="R4125" s="11"/>
      <c r="S4125" s="12"/>
      <c r="T4125" s="8"/>
      <c r="U4125" s="8" t="s">
        <v>59</v>
      </c>
      <c r="V4125" s="13" t="s">
        <v>4352</v>
      </c>
      <c r="W4125" s="13" t="s">
        <v>19014</v>
      </c>
      <c r="X4125" s="12"/>
      <c r="Y4125" s="14"/>
      <c r="Z4125" s="14"/>
    </row>
    <row r="4126">
      <c r="A4126" s="8" t="s">
        <v>19015</v>
      </c>
      <c r="B4126" s="8" t="s">
        <v>19016</v>
      </c>
      <c r="C4126" s="8" t="s">
        <v>179</v>
      </c>
      <c r="D4126" s="8" t="s">
        <v>26</v>
      </c>
      <c r="E4126" s="8" t="s">
        <v>19017</v>
      </c>
      <c r="F4126" s="8">
        <v>2.5549167E7</v>
      </c>
      <c r="G4126" s="8" t="s">
        <v>54</v>
      </c>
      <c r="H4126" s="8" t="s">
        <v>244</v>
      </c>
      <c r="I4126" s="8" t="s">
        <v>31</v>
      </c>
      <c r="J4126" s="8" t="s">
        <v>256</v>
      </c>
      <c r="K4126" s="10" t="s">
        <v>19018</v>
      </c>
      <c r="L4126" s="8" t="s">
        <v>47</v>
      </c>
      <c r="M4126" s="8" t="s">
        <v>70</v>
      </c>
      <c r="N4126" s="11">
        <v>45274.0</v>
      </c>
      <c r="O4126" s="11">
        <v>45478.0</v>
      </c>
      <c r="P4126" s="11">
        <v>45812.0</v>
      </c>
      <c r="Q4126" s="11"/>
      <c r="R4126" s="11"/>
      <c r="S4126" s="12"/>
      <c r="T4126" s="8"/>
      <c r="U4126" s="8" t="s">
        <v>1295</v>
      </c>
      <c r="V4126" s="13" t="s">
        <v>247</v>
      </c>
      <c r="W4126" s="13" t="s">
        <v>19019</v>
      </c>
      <c r="X4126" s="12"/>
      <c r="Y4126" s="14"/>
      <c r="Z4126" s="14"/>
    </row>
    <row r="4127">
      <c r="A4127" s="8" t="s">
        <v>19020</v>
      </c>
      <c r="B4127" s="8" t="s">
        <v>19021</v>
      </c>
      <c r="C4127" s="8" t="s">
        <v>179</v>
      </c>
      <c r="D4127" s="8" t="s">
        <v>26</v>
      </c>
      <c r="E4127" s="8" t="s">
        <v>19022</v>
      </c>
      <c r="F4127" s="8">
        <v>9.2816833E7</v>
      </c>
      <c r="G4127" s="8" t="s">
        <v>54</v>
      </c>
      <c r="H4127" s="8" t="s">
        <v>377</v>
      </c>
      <c r="I4127" s="8" t="s">
        <v>31</v>
      </c>
      <c r="J4127" s="8" t="s">
        <v>86</v>
      </c>
      <c r="K4127" s="10" t="s">
        <v>2453</v>
      </c>
      <c r="L4127" s="8" t="s">
        <v>58</v>
      </c>
      <c r="M4127" s="8" t="s">
        <v>35</v>
      </c>
      <c r="N4127" s="11">
        <v>45274.0</v>
      </c>
      <c r="O4127" s="11">
        <v>45444.0</v>
      </c>
      <c r="P4127" s="11">
        <v>45486.0</v>
      </c>
      <c r="Q4127" s="11"/>
      <c r="R4127" s="11"/>
      <c r="S4127" s="12"/>
      <c r="T4127" s="8"/>
      <c r="U4127" s="8" t="s">
        <v>59</v>
      </c>
      <c r="V4127" s="13" t="s">
        <v>3806</v>
      </c>
      <c r="W4127" s="13" t="s">
        <v>19023</v>
      </c>
      <c r="X4127" s="12"/>
      <c r="Y4127" s="14"/>
      <c r="Z4127" s="14"/>
    </row>
    <row r="4128">
      <c r="A4128" s="8" t="s">
        <v>19024</v>
      </c>
      <c r="B4128" s="8" t="s">
        <v>19025</v>
      </c>
      <c r="C4128" s="8" t="s">
        <v>179</v>
      </c>
      <c r="D4128" s="8" t="s">
        <v>26</v>
      </c>
      <c r="E4128" s="8" t="s">
        <v>19026</v>
      </c>
      <c r="F4128" s="8">
        <v>5.4557256E7</v>
      </c>
      <c r="G4128" s="8" t="s">
        <v>54</v>
      </c>
      <c r="H4128" s="8" t="s">
        <v>430</v>
      </c>
      <c r="I4128" s="8" t="s">
        <v>31</v>
      </c>
      <c r="J4128" s="8" t="s">
        <v>77</v>
      </c>
      <c r="K4128" s="10" t="s">
        <v>78</v>
      </c>
      <c r="L4128" s="8" t="s">
        <v>58</v>
      </c>
      <c r="M4128" s="8" t="s">
        <v>35</v>
      </c>
      <c r="N4128" s="11">
        <v>45275.0</v>
      </c>
      <c r="O4128" s="11">
        <v>45460.0</v>
      </c>
      <c r="P4128" s="11">
        <v>45502.0</v>
      </c>
      <c r="Q4128" s="11"/>
      <c r="R4128" s="11"/>
      <c r="S4128" s="12"/>
      <c r="T4128" s="8"/>
      <c r="U4128" s="8" t="s">
        <v>59</v>
      </c>
      <c r="V4128" s="13" t="s">
        <v>7197</v>
      </c>
      <c r="W4128" s="13" t="s">
        <v>19027</v>
      </c>
      <c r="X4128" s="12"/>
      <c r="Y4128" s="14"/>
      <c r="Z4128" s="14"/>
    </row>
    <row r="4129">
      <c r="A4129" s="8" t="s">
        <v>19028</v>
      </c>
      <c r="B4129" s="8" t="s">
        <v>19029</v>
      </c>
      <c r="C4129" s="8" t="s">
        <v>179</v>
      </c>
      <c r="D4129" s="8" t="s">
        <v>26</v>
      </c>
      <c r="E4129" s="8" t="s">
        <v>19030</v>
      </c>
      <c r="F4129" s="8">
        <v>9.2476649E7</v>
      </c>
      <c r="G4129" s="8" t="s">
        <v>54</v>
      </c>
      <c r="H4129" s="8" t="s">
        <v>377</v>
      </c>
      <c r="I4129" s="8" t="s">
        <v>31</v>
      </c>
      <c r="J4129" s="8" t="s">
        <v>43</v>
      </c>
      <c r="K4129" s="10" t="s">
        <v>8867</v>
      </c>
      <c r="L4129" s="8" t="s">
        <v>58</v>
      </c>
      <c r="M4129" s="8" t="s">
        <v>35</v>
      </c>
      <c r="N4129" s="11">
        <v>45275.0</v>
      </c>
      <c r="O4129" s="11">
        <v>45516.0</v>
      </c>
      <c r="P4129" s="11">
        <v>45558.0</v>
      </c>
      <c r="Q4129" s="11"/>
      <c r="R4129" s="11"/>
      <c r="S4129" s="12"/>
      <c r="T4129" s="8"/>
      <c r="U4129" s="8" t="s">
        <v>130</v>
      </c>
      <c r="V4129" s="13" t="s">
        <v>2218</v>
      </c>
      <c r="W4129" s="13" t="s">
        <v>19031</v>
      </c>
      <c r="X4129" s="12"/>
      <c r="Y4129" s="14"/>
      <c r="Z4129" s="14"/>
    </row>
    <row r="4130">
      <c r="A4130" s="8" t="s">
        <v>19032</v>
      </c>
      <c r="B4130" s="8" t="s">
        <v>19033</v>
      </c>
      <c r="C4130" s="8" t="s">
        <v>179</v>
      </c>
      <c r="D4130" s="8" t="s">
        <v>26</v>
      </c>
      <c r="E4130" s="8" t="s">
        <v>19034</v>
      </c>
      <c r="F4130" s="8">
        <v>6.94581128E9</v>
      </c>
      <c r="G4130" s="8" t="s">
        <v>143</v>
      </c>
      <c r="H4130" s="8" t="s">
        <v>4212</v>
      </c>
      <c r="I4130" s="8" t="s">
        <v>31</v>
      </c>
      <c r="J4130" s="8" t="s">
        <v>77</v>
      </c>
      <c r="K4130" s="10" t="s">
        <v>1582</v>
      </c>
      <c r="L4130" s="8" t="s">
        <v>58</v>
      </c>
      <c r="M4130" s="8" t="s">
        <v>35</v>
      </c>
      <c r="N4130" s="11">
        <v>45275.0</v>
      </c>
      <c r="O4130" s="11">
        <v>45439.0</v>
      </c>
      <c r="P4130" s="11">
        <v>45481.0</v>
      </c>
      <c r="Q4130" s="11"/>
      <c r="R4130" s="11"/>
      <c r="S4130" s="12"/>
      <c r="T4130" s="8"/>
      <c r="U4130" s="8" t="s">
        <v>59</v>
      </c>
      <c r="V4130" s="13" t="s">
        <v>38</v>
      </c>
      <c r="W4130" s="13" t="s">
        <v>19035</v>
      </c>
      <c r="X4130" s="12"/>
      <c r="Y4130" s="14"/>
      <c r="Z4130" s="14"/>
    </row>
    <row r="4131">
      <c r="A4131" s="8" t="s">
        <v>19036</v>
      </c>
      <c r="B4131" s="8" t="s">
        <v>19037</v>
      </c>
      <c r="C4131" s="8" t="s">
        <v>179</v>
      </c>
      <c r="D4131" s="8" t="s">
        <v>26</v>
      </c>
      <c r="E4131" s="8" t="s">
        <v>19038</v>
      </c>
      <c r="F4131" s="8"/>
      <c r="G4131" s="8" t="s">
        <v>54</v>
      </c>
      <c r="H4131" s="8" t="s">
        <v>244</v>
      </c>
      <c r="I4131" s="8" t="s">
        <v>31</v>
      </c>
      <c r="J4131" s="8" t="s">
        <v>77</v>
      </c>
      <c r="K4131" s="10" t="s">
        <v>12137</v>
      </c>
      <c r="L4131" s="8" t="s">
        <v>47</v>
      </c>
      <c r="M4131" s="8" t="s">
        <v>70</v>
      </c>
      <c r="N4131" s="11">
        <v>45275.0</v>
      </c>
      <c r="O4131" s="11">
        <v>45306.0</v>
      </c>
      <c r="P4131" s="11">
        <v>45623.0</v>
      </c>
      <c r="Q4131" s="11"/>
      <c r="R4131" s="11"/>
      <c r="S4131" s="12"/>
      <c r="T4131" s="8"/>
      <c r="U4131" s="8" t="s">
        <v>12138</v>
      </c>
      <c r="V4131" s="13" t="s">
        <v>38</v>
      </c>
      <c r="W4131" s="13" t="s">
        <v>19039</v>
      </c>
      <c r="X4131" s="12"/>
      <c r="Y4131" s="14"/>
      <c r="Z4131" s="14"/>
    </row>
    <row r="4132">
      <c r="A4132" s="8" t="s">
        <v>19040</v>
      </c>
      <c r="B4132" s="8" t="s">
        <v>19041</v>
      </c>
      <c r="C4132" s="8" t="s">
        <v>179</v>
      </c>
      <c r="D4132" s="8" t="s">
        <v>26</v>
      </c>
      <c r="E4132" s="8" t="s">
        <v>19042</v>
      </c>
      <c r="F4132" s="8"/>
      <c r="G4132" s="8" t="s">
        <v>54</v>
      </c>
      <c r="H4132" s="8" t="s">
        <v>377</v>
      </c>
      <c r="I4132" s="8" t="s">
        <v>31</v>
      </c>
      <c r="J4132" s="8" t="s">
        <v>77</v>
      </c>
      <c r="K4132" s="10" t="s">
        <v>6682</v>
      </c>
      <c r="L4132" s="8" t="s">
        <v>58</v>
      </c>
      <c r="M4132" s="8" t="s">
        <v>35</v>
      </c>
      <c r="N4132" s="11">
        <v>45275.0</v>
      </c>
      <c r="O4132" s="11">
        <v>45460.0</v>
      </c>
      <c r="P4132" s="11">
        <v>45502.0</v>
      </c>
      <c r="Q4132" s="11"/>
      <c r="R4132" s="11"/>
      <c r="S4132" s="12"/>
      <c r="T4132" s="8"/>
      <c r="U4132" s="8" t="s">
        <v>59</v>
      </c>
      <c r="V4132" s="13" t="s">
        <v>38</v>
      </c>
      <c r="W4132" s="13" t="s">
        <v>19043</v>
      </c>
      <c r="X4132" s="12"/>
      <c r="Y4132" s="14"/>
      <c r="Z4132" s="14"/>
    </row>
    <row r="4133">
      <c r="A4133" s="8" t="s">
        <v>19044</v>
      </c>
      <c r="B4133" s="8" t="s">
        <v>19045</v>
      </c>
      <c r="C4133" s="8" t="s">
        <v>179</v>
      </c>
      <c r="D4133" s="8" t="s">
        <v>26</v>
      </c>
      <c r="E4133" s="8" t="s">
        <v>19046</v>
      </c>
      <c r="F4133" s="8"/>
      <c r="G4133" s="8" t="s">
        <v>54</v>
      </c>
      <c r="H4133" s="8" t="s">
        <v>377</v>
      </c>
      <c r="I4133" s="8" t="s">
        <v>31</v>
      </c>
      <c r="J4133" s="8" t="s">
        <v>77</v>
      </c>
      <c r="K4133" s="10" t="s">
        <v>6682</v>
      </c>
      <c r="L4133" s="8" t="s">
        <v>58</v>
      </c>
      <c r="M4133" s="8" t="s">
        <v>35</v>
      </c>
      <c r="N4133" s="11">
        <v>45275.0</v>
      </c>
      <c r="O4133" s="11">
        <v>45460.0</v>
      </c>
      <c r="P4133" s="11">
        <v>45502.0</v>
      </c>
      <c r="Q4133" s="11"/>
      <c r="R4133" s="11"/>
      <c r="S4133" s="12"/>
      <c r="T4133" s="8"/>
      <c r="U4133" s="8" t="s">
        <v>59</v>
      </c>
      <c r="V4133" s="13" t="s">
        <v>2855</v>
      </c>
      <c r="W4133" s="13" t="s">
        <v>19047</v>
      </c>
      <c r="X4133" s="12"/>
      <c r="Y4133" s="14"/>
      <c r="Z4133" s="14"/>
    </row>
    <row r="4134">
      <c r="A4134" s="8" t="s">
        <v>19048</v>
      </c>
      <c r="B4134" s="8" t="s">
        <v>19049</v>
      </c>
      <c r="C4134" s="8" t="s">
        <v>179</v>
      </c>
      <c r="D4134" s="8" t="s">
        <v>26</v>
      </c>
      <c r="E4134" s="8" t="s">
        <v>19050</v>
      </c>
      <c r="F4134" s="8">
        <v>9.3101058E7</v>
      </c>
      <c r="G4134" s="8" t="s">
        <v>54</v>
      </c>
      <c r="H4134" s="8" t="s">
        <v>377</v>
      </c>
      <c r="I4134" s="8" t="s">
        <v>31</v>
      </c>
      <c r="J4134" s="8" t="s">
        <v>77</v>
      </c>
      <c r="K4134" s="10" t="s">
        <v>18956</v>
      </c>
      <c r="L4134" s="8" t="s">
        <v>58</v>
      </c>
      <c r="M4134" s="8" t="s">
        <v>35</v>
      </c>
      <c r="N4134" s="11">
        <v>45275.0</v>
      </c>
      <c r="O4134" s="11">
        <v>45460.0</v>
      </c>
      <c r="P4134" s="11">
        <v>45502.0</v>
      </c>
      <c r="Q4134" s="11"/>
      <c r="R4134" s="11"/>
      <c r="S4134" s="12"/>
      <c r="T4134" s="8"/>
      <c r="U4134" s="8" t="s">
        <v>59</v>
      </c>
      <c r="V4134" s="13" t="s">
        <v>686</v>
      </c>
      <c r="W4134" s="13" t="s">
        <v>19051</v>
      </c>
      <c r="X4134" s="12"/>
      <c r="Y4134" s="14"/>
      <c r="Z4134" s="14"/>
    </row>
    <row r="4135">
      <c r="A4135" s="8" t="s">
        <v>19052</v>
      </c>
      <c r="B4135" s="8" t="s">
        <v>19053</v>
      </c>
      <c r="C4135" s="8" t="s">
        <v>179</v>
      </c>
      <c r="D4135" s="8" t="s">
        <v>26</v>
      </c>
      <c r="E4135" s="8" t="s">
        <v>19054</v>
      </c>
      <c r="F4135" s="8"/>
      <c r="G4135" s="8" t="s">
        <v>54</v>
      </c>
      <c r="H4135" s="8" t="s">
        <v>377</v>
      </c>
      <c r="I4135" s="8" t="s">
        <v>31</v>
      </c>
      <c r="J4135" s="8" t="s">
        <v>43</v>
      </c>
      <c r="K4135" s="10" t="s">
        <v>14234</v>
      </c>
      <c r="L4135" s="8" t="s">
        <v>47</v>
      </c>
      <c r="M4135" s="8" t="s">
        <v>48</v>
      </c>
      <c r="N4135" s="11">
        <v>45275.0</v>
      </c>
      <c r="O4135" s="11">
        <v>45289.0</v>
      </c>
      <c r="P4135" s="11">
        <v>45470.0</v>
      </c>
      <c r="Q4135" s="11"/>
      <c r="R4135" s="11"/>
      <c r="S4135" s="12"/>
      <c r="T4135" s="8"/>
      <c r="U4135" s="8" t="s">
        <v>14235</v>
      </c>
      <c r="V4135" s="13" t="s">
        <v>1604</v>
      </c>
      <c r="W4135" s="13" t="s">
        <v>19055</v>
      </c>
      <c r="X4135" s="12"/>
      <c r="Y4135" s="14"/>
      <c r="Z4135" s="14"/>
    </row>
    <row r="4136">
      <c r="A4136" s="8" t="s">
        <v>19056</v>
      </c>
      <c r="B4136" s="8" t="s">
        <v>19057</v>
      </c>
      <c r="C4136" s="8" t="s">
        <v>179</v>
      </c>
      <c r="D4136" s="8" t="s">
        <v>26</v>
      </c>
      <c r="E4136" s="8" t="s">
        <v>19058</v>
      </c>
      <c r="F4136" s="8">
        <v>9.3259764E7</v>
      </c>
      <c r="G4136" s="8" t="s">
        <v>54</v>
      </c>
      <c r="H4136" s="8" t="s">
        <v>377</v>
      </c>
      <c r="I4136" s="8" t="s">
        <v>31</v>
      </c>
      <c r="J4136" s="8" t="s">
        <v>77</v>
      </c>
      <c r="K4136" s="10" t="s">
        <v>6682</v>
      </c>
      <c r="L4136" s="8" t="s">
        <v>58</v>
      </c>
      <c r="M4136" s="8" t="s">
        <v>35</v>
      </c>
      <c r="N4136" s="11">
        <v>45275.0</v>
      </c>
      <c r="O4136" s="11">
        <v>45523.0</v>
      </c>
      <c r="P4136" s="11">
        <v>45565.0</v>
      </c>
      <c r="Q4136" s="11"/>
      <c r="R4136" s="11"/>
      <c r="S4136" s="12"/>
      <c r="T4136" s="8"/>
      <c r="U4136" s="8" t="s">
        <v>59</v>
      </c>
      <c r="V4136" s="13" t="s">
        <v>2218</v>
      </c>
      <c r="W4136" s="13" t="s">
        <v>19059</v>
      </c>
      <c r="X4136" s="12"/>
      <c r="Y4136" s="14"/>
      <c r="Z4136" s="14"/>
    </row>
    <row r="4137">
      <c r="A4137" s="8" t="s">
        <v>19060</v>
      </c>
      <c r="B4137" s="8" t="s">
        <v>19061</v>
      </c>
      <c r="C4137" s="8" t="s">
        <v>708</v>
      </c>
      <c r="D4137" s="8" t="s">
        <v>26</v>
      </c>
      <c r="E4137" s="8" t="s">
        <v>19062</v>
      </c>
      <c r="F4137" s="8">
        <v>2.9103903E7</v>
      </c>
      <c r="G4137" s="8" t="s">
        <v>54</v>
      </c>
      <c r="H4137" s="8" t="s">
        <v>595</v>
      </c>
      <c r="I4137" s="8" t="s">
        <v>31</v>
      </c>
      <c r="J4137" s="8" t="s">
        <v>77</v>
      </c>
      <c r="K4137" s="10" t="s">
        <v>19063</v>
      </c>
      <c r="L4137" s="8" t="s">
        <v>58</v>
      </c>
      <c r="M4137" s="8" t="s">
        <v>35</v>
      </c>
      <c r="N4137" s="11">
        <v>45275.0</v>
      </c>
      <c r="O4137" s="11">
        <v>45299.0</v>
      </c>
      <c r="P4137" s="11">
        <v>45341.0</v>
      </c>
      <c r="Q4137" s="11">
        <v>45308.0</v>
      </c>
      <c r="R4137" s="11">
        <v>45350.0</v>
      </c>
      <c r="S4137" s="12"/>
      <c r="T4137" s="8"/>
      <c r="U4137" s="8" t="s">
        <v>59</v>
      </c>
      <c r="V4137" s="13" t="s">
        <v>19064</v>
      </c>
      <c r="W4137" s="13" t="s">
        <v>19065</v>
      </c>
      <c r="X4137" s="12"/>
      <c r="Y4137" s="14"/>
      <c r="Z4137" s="14"/>
    </row>
    <row r="4138">
      <c r="A4138" s="8" t="s">
        <v>19066</v>
      </c>
      <c r="B4138" s="8" t="s">
        <v>19067</v>
      </c>
      <c r="C4138" s="8" t="s">
        <v>708</v>
      </c>
      <c r="D4138" s="8" t="s">
        <v>26</v>
      </c>
      <c r="E4138" s="8" t="s">
        <v>19068</v>
      </c>
      <c r="F4138" s="8">
        <v>2.387113E7</v>
      </c>
      <c r="G4138" s="8" t="s">
        <v>54</v>
      </c>
      <c r="H4138" s="8" t="s">
        <v>595</v>
      </c>
      <c r="I4138" s="8" t="s">
        <v>31</v>
      </c>
      <c r="J4138" s="8" t="s">
        <v>77</v>
      </c>
      <c r="K4138" s="10" t="s">
        <v>19063</v>
      </c>
      <c r="L4138" s="8" t="s">
        <v>58</v>
      </c>
      <c r="M4138" s="8" t="s">
        <v>35</v>
      </c>
      <c r="N4138" s="11">
        <v>45275.0</v>
      </c>
      <c r="O4138" s="11">
        <v>45299.0</v>
      </c>
      <c r="P4138" s="11">
        <v>45341.0</v>
      </c>
      <c r="Q4138" s="11">
        <v>45308.0</v>
      </c>
      <c r="R4138" s="11">
        <v>45350.0</v>
      </c>
      <c r="S4138" s="12"/>
      <c r="T4138" s="8"/>
      <c r="U4138" s="8" t="s">
        <v>59</v>
      </c>
      <c r="V4138" s="13" t="s">
        <v>19064</v>
      </c>
      <c r="W4138" s="13" t="s">
        <v>19069</v>
      </c>
      <c r="X4138" s="12"/>
      <c r="Y4138" s="14"/>
      <c r="Z4138" s="14"/>
    </row>
    <row r="4139">
      <c r="A4139" s="8" t="s">
        <v>19070</v>
      </c>
      <c r="B4139" s="8" t="s">
        <v>19071</v>
      </c>
      <c r="C4139" s="8" t="s">
        <v>179</v>
      </c>
      <c r="D4139" s="8" t="s">
        <v>26</v>
      </c>
      <c r="E4139" s="8" t="s">
        <v>19072</v>
      </c>
      <c r="F4139" s="8">
        <v>5.5338226E7</v>
      </c>
      <c r="G4139" s="8" t="s">
        <v>54</v>
      </c>
      <c r="H4139" s="8" t="s">
        <v>377</v>
      </c>
      <c r="I4139" s="8" t="s">
        <v>31</v>
      </c>
      <c r="J4139" s="8" t="s">
        <v>77</v>
      </c>
      <c r="K4139" s="10" t="s">
        <v>18956</v>
      </c>
      <c r="L4139" s="8" t="s">
        <v>58</v>
      </c>
      <c r="M4139" s="8" t="s">
        <v>35</v>
      </c>
      <c r="N4139" s="11">
        <v>45275.0</v>
      </c>
      <c r="O4139" s="11">
        <v>45460.0</v>
      </c>
      <c r="P4139" s="11">
        <v>45502.0</v>
      </c>
      <c r="Q4139" s="11"/>
      <c r="R4139" s="11"/>
      <c r="S4139" s="12"/>
      <c r="T4139" s="8"/>
      <c r="U4139" s="8" t="s">
        <v>59</v>
      </c>
      <c r="V4139" s="13" t="s">
        <v>686</v>
      </c>
      <c r="W4139" s="13" t="s">
        <v>19073</v>
      </c>
      <c r="X4139" s="12"/>
      <c r="Y4139" s="14"/>
      <c r="Z4139" s="14"/>
    </row>
    <row r="4140">
      <c r="A4140" s="8" t="s">
        <v>19074</v>
      </c>
      <c r="B4140" s="8" t="s">
        <v>19075</v>
      </c>
      <c r="C4140" s="8" t="s">
        <v>179</v>
      </c>
      <c r="D4140" s="8" t="s">
        <v>26</v>
      </c>
      <c r="E4140" s="8" t="s">
        <v>19076</v>
      </c>
      <c r="F4140" s="8">
        <v>5.526181778E9</v>
      </c>
      <c r="G4140" s="8" t="s">
        <v>31</v>
      </c>
      <c r="H4140" s="8" t="s">
        <v>292</v>
      </c>
      <c r="I4140" s="8" t="s">
        <v>54</v>
      </c>
      <c r="J4140" s="8" t="s">
        <v>430</v>
      </c>
      <c r="K4140" s="10" t="s">
        <v>16299</v>
      </c>
      <c r="L4140" s="8" t="s">
        <v>58</v>
      </c>
      <c r="M4140" s="8" t="s">
        <v>35</v>
      </c>
      <c r="N4140" s="11">
        <v>45275.0</v>
      </c>
      <c r="O4140" s="11">
        <v>45486.0</v>
      </c>
      <c r="P4140" s="11">
        <v>45528.0</v>
      </c>
      <c r="Q4140" s="11"/>
      <c r="R4140" s="11"/>
      <c r="S4140" s="12"/>
      <c r="T4140" s="8"/>
      <c r="U4140" s="8" t="s">
        <v>1038</v>
      </c>
      <c r="V4140" s="13" t="s">
        <v>292</v>
      </c>
      <c r="W4140" s="13" t="s">
        <v>19077</v>
      </c>
      <c r="X4140" s="12"/>
      <c r="Y4140" s="14"/>
      <c r="Z4140" s="14"/>
    </row>
    <row r="4141">
      <c r="A4141" s="8" t="s">
        <v>19078</v>
      </c>
      <c r="B4141" s="8" t="s">
        <v>19079</v>
      </c>
      <c r="C4141" s="8" t="s">
        <v>179</v>
      </c>
      <c r="D4141" s="8" t="s">
        <v>26</v>
      </c>
      <c r="E4141" s="8" t="s">
        <v>19080</v>
      </c>
      <c r="F4141" s="8">
        <v>5.0178205E7</v>
      </c>
      <c r="G4141" s="8" t="s">
        <v>54</v>
      </c>
      <c r="H4141" s="8" t="s">
        <v>430</v>
      </c>
      <c r="I4141" s="8" t="s">
        <v>31</v>
      </c>
      <c r="J4141" s="8" t="s">
        <v>77</v>
      </c>
      <c r="K4141" s="10" t="s">
        <v>78</v>
      </c>
      <c r="L4141" s="8" t="s">
        <v>58</v>
      </c>
      <c r="M4141" s="8" t="s">
        <v>35</v>
      </c>
      <c r="N4141" s="11">
        <v>45275.0</v>
      </c>
      <c r="O4141" s="11">
        <v>45516.0</v>
      </c>
      <c r="P4141" s="11">
        <v>45558.0</v>
      </c>
      <c r="Q4141" s="11"/>
      <c r="R4141" s="11"/>
      <c r="S4141" s="12"/>
      <c r="T4141" s="8"/>
      <c r="U4141" s="8" t="s">
        <v>59</v>
      </c>
      <c r="V4141" s="13" t="s">
        <v>4780</v>
      </c>
      <c r="W4141" s="13" t="s">
        <v>19081</v>
      </c>
      <c r="X4141" s="12"/>
      <c r="Y4141" s="14"/>
      <c r="Z4141" s="14"/>
    </row>
    <row r="4142">
      <c r="A4142" s="8" t="s">
        <v>19082</v>
      </c>
      <c r="B4142" s="8" t="s">
        <v>13632</v>
      </c>
      <c r="C4142" s="8" t="s">
        <v>708</v>
      </c>
      <c r="D4142" s="8" t="s">
        <v>26</v>
      </c>
      <c r="E4142" s="8" t="s">
        <v>13633</v>
      </c>
      <c r="F4142" s="8">
        <v>2.2668053E7</v>
      </c>
      <c r="G4142" s="8" t="s">
        <v>54</v>
      </c>
      <c r="H4142" s="8" t="s">
        <v>244</v>
      </c>
      <c r="I4142" s="8" t="s">
        <v>31</v>
      </c>
      <c r="J4142" s="8" t="s">
        <v>256</v>
      </c>
      <c r="K4142" s="10" t="s">
        <v>19083</v>
      </c>
      <c r="L4142" s="8" t="s">
        <v>47</v>
      </c>
      <c r="M4142" s="8" t="s">
        <v>70</v>
      </c>
      <c r="N4142" s="11">
        <v>45275.0</v>
      </c>
      <c r="O4142" s="11">
        <v>45292.0</v>
      </c>
      <c r="P4142" s="11">
        <v>45657.0</v>
      </c>
      <c r="Q4142" s="11">
        <v>45315.0</v>
      </c>
      <c r="R4142" s="11">
        <v>45680.0</v>
      </c>
      <c r="S4142" s="12"/>
      <c r="T4142" s="8"/>
      <c r="U4142" s="8" t="s">
        <v>246</v>
      </c>
      <c r="V4142" s="13" t="s">
        <v>247</v>
      </c>
      <c r="W4142" s="13" t="s">
        <v>13634</v>
      </c>
      <c r="X4142" s="12"/>
      <c r="Y4142" s="14"/>
      <c r="Z4142" s="14"/>
    </row>
    <row r="4143">
      <c r="A4143" s="8" t="s">
        <v>19084</v>
      </c>
      <c r="B4143" s="8" t="s">
        <v>19085</v>
      </c>
      <c r="C4143" s="8" t="s">
        <v>179</v>
      </c>
      <c r="D4143" s="8" t="s">
        <v>26</v>
      </c>
      <c r="E4143" s="8" t="s">
        <v>19086</v>
      </c>
      <c r="F4143" s="8">
        <v>9.7749017E7</v>
      </c>
      <c r="G4143" s="8" t="s">
        <v>54</v>
      </c>
      <c r="H4143" s="8" t="s">
        <v>135</v>
      </c>
      <c r="I4143" s="8" t="s">
        <v>31</v>
      </c>
      <c r="J4143" s="8" t="s">
        <v>86</v>
      </c>
      <c r="K4143" s="10" t="s">
        <v>2453</v>
      </c>
      <c r="L4143" s="8" t="s">
        <v>58</v>
      </c>
      <c r="M4143" s="8" t="s">
        <v>35</v>
      </c>
      <c r="N4143" s="11">
        <v>45275.0</v>
      </c>
      <c r="O4143" s="11">
        <v>45505.0</v>
      </c>
      <c r="P4143" s="11">
        <v>45547.0</v>
      </c>
      <c r="Q4143" s="11"/>
      <c r="R4143" s="11"/>
      <c r="S4143" s="12"/>
      <c r="T4143" s="8"/>
      <c r="U4143" s="8" t="s">
        <v>59</v>
      </c>
      <c r="V4143" s="13" t="s">
        <v>190</v>
      </c>
      <c r="W4143" s="13" t="s">
        <v>19087</v>
      </c>
      <c r="X4143" s="12"/>
      <c r="Y4143" s="14"/>
      <c r="Z4143" s="14"/>
    </row>
    <row r="4144">
      <c r="A4144" s="8" t="s">
        <v>19088</v>
      </c>
      <c r="B4144" s="8" t="s">
        <v>19089</v>
      </c>
      <c r="C4144" s="8" t="s">
        <v>179</v>
      </c>
      <c r="D4144" s="8" t="s">
        <v>26</v>
      </c>
      <c r="E4144" s="8" t="s">
        <v>19090</v>
      </c>
      <c r="F4144" s="8">
        <v>2.7100103E7</v>
      </c>
      <c r="G4144" s="8" t="s">
        <v>54</v>
      </c>
      <c r="H4144" s="8" t="s">
        <v>135</v>
      </c>
      <c r="I4144" s="8" t="s">
        <v>31</v>
      </c>
      <c r="J4144" s="8" t="s">
        <v>86</v>
      </c>
      <c r="K4144" s="10" t="s">
        <v>2453</v>
      </c>
      <c r="L4144" s="8" t="s">
        <v>58</v>
      </c>
      <c r="M4144" s="8" t="s">
        <v>35</v>
      </c>
      <c r="N4144" s="11">
        <v>45275.0</v>
      </c>
      <c r="O4144" s="11">
        <v>45505.0</v>
      </c>
      <c r="P4144" s="11">
        <v>45547.0</v>
      </c>
      <c r="Q4144" s="11"/>
      <c r="R4144" s="11"/>
      <c r="S4144" s="12"/>
      <c r="T4144" s="8"/>
      <c r="U4144" s="8" t="s">
        <v>59</v>
      </c>
      <c r="V4144" s="13" t="s">
        <v>190</v>
      </c>
      <c r="W4144" s="13" t="s">
        <v>19091</v>
      </c>
      <c r="X4144" s="12"/>
      <c r="Y4144" s="14"/>
      <c r="Z4144" s="14"/>
    </row>
    <row r="4145">
      <c r="A4145" s="8" t="s">
        <v>19092</v>
      </c>
      <c r="B4145" s="8" t="s">
        <v>19093</v>
      </c>
      <c r="C4145" s="8" t="s">
        <v>179</v>
      </c>
      <c r="D4145" s="8" t="s">
        <v>26</v>
      </c>
      <c r="E4145" s="8" t="s">
        <v>19094</v>
      </c>
      <c r="F4145" s="8"/>
      <c r="G4145" s="8" t="s">
        <v>127</v>
      </c>
      <c r="H4145" s="8" t="s">
        <v>3542</v>
      </c>
      <c r="I4145" s="8" t="s">
        <v>31</v>
      </c>
      <c r="J4145" s="8" t="s">
        <v>1274</v>
      </c>
      <c r="K4145" s="10" t="s">
        <v>17537</v>
      </c>
      <c r="L4145" s="8" t="s">
        <v>58</v>
      </c>
      <c r="M4145" s="8" t="s">
        <v>35</v>
      </c>
      <c r="N4145" s="11">
        <v>45275.0</v>
      </c>
      <c r="O4145" s="11">
        <v>45495.0</v>
      </c>
      <c r="P4145" s="11">
        <v>45537.0</v>
      </c>
      <c r="Q4145" s="11"/>
      <c r="R4145" s="11"/>
      <c r="S4145" s="12"/>
      <c r="T4145" s="8"/>
      <c r="U4145" s="8" t="s">
        <v>1038</v>
      </c>
      <c r="V4145" s="13" t="s">
        <v>38</v>
      </c>
      <c r="W4145" s="13" t="s">
        <v>19095</v>
      </c>
      <c r="X4145" s="12"/>
      <c r="Y4145" s="14"/>
      <c r="Z4145" s="14"/>
    </row>
    <row r="4146">
      <c r="A4146" s="8" t="s">
        <v>19096</v>
      </c>
      <c r="B4146" s="8" t="s">
        <v>19097</v>
      </c>
      <c r="C4146" s="8" t="s">
        <v>708</v>
      </c>
      <c r="D4146" s="8" t="s">
        <v>26</v>
      </c>
      <c r="E4146" s="8" t="s">
        <v>19098</v>
      </c>
      <c r="F4146" s="8"/>
      <c r="G4146" s="8" t="s">
        <v>54</v>
      </c>
      <c r="H4146" s="8" t="s">
        <v>244</v>
      </c>
      <c r="I4146" s="8" t="s">
        <v>31</v>
      </c>
      <c r="J4146" s="8" t="s">
        <v>256</v>
      </c>
      <c r="K4146" s="10" t="s">
        <v>19083</v>
      </c>
      <c r="L4146" s="8" t="s">
        <v>47</v>
      </c>
      <c r="M4146" s="8" t="s">
        <v>70</v>
      </c>
      <c r="N4146" s="11">
        <v>45275.0</v>
      </c>
      <c r="O4146" s="11">
        <v>45292.0</v>
      </c>
      <c r="P4146" s="11">
        <v>45657.0</v>
      </c>
      <c r="Q4146" s="11">
        <v>45315.0</v>
      </c>
      <c r="R4146" s="11">
        <v>45680.0</v>
      </c>
      <c r="S4146" s="12"/>
      <c r="T4146" s="8"/>
      <c r="U4146" s="8" t="s">
        <v>246</v>
      </c>
      <c r="V4146" s="13" t="s">
        <v>38</v>
      </c>
      <c r="W4146" s="13" t="s">
        <v>19099</v>
      </c>
      <c r="X4146" s="12"/>
      <c r="Y4146" s="14"/>
      <c r="Z4146" s="14"/>
    </row>
    <row r="4147">
      <c r="A4147" s="8" t="s">
        <v>19100</v>
      </c>
      <c r="B4147" s="8" t="s">
        <v>19101</v>
      </c>
      <c r="C4147" s="8" t="s">
        <v>179</v>
      </c>
      <c r="D4147" s="8" t="s">
        <v>26</v>
      </c>
      <c r="E4147" s="8" t="s">
        <v>19102</v>
      </c>
      <c r="F4147" s="8">
        <v>9.0414395E7</v>
      </c>
      <c r="G4147" s="8" t="s">
        <v>54</v>
      </c>
      <c r="H4147" s="8" t="s">
        <v>55</v>
      </c>
      <c r="I4147" s="8" t="s">
        <v>31</v>
      </c>
      <c r="J4147" s="8" t="s">
        <v>292</v>
      </c>
      <c r="K4147" s="10" t="s">
        <v>3804</v>
      </c>
      <c r="L4147" s="8" t="s">
        <v>34</v>
      </c>
      <c r="M4147" s="8" t="s">
        <v>70</v>
      </c>
      <c r="N4147" s="11">
        <v>45275.0</v>
      </c>
      <c r="O4147" s="11">
        <v>45337.0</v>
      </c>
      <c r="P4147" s="11">
        <v>45702.0</v>
      </c>
      <c r="Q4147" s="11"/>
      <c r="R4147" s="11"/>
      <c r="S4147" s="12"/>
      <c r="T4147" s="8" t="s">
        <v>205</v>
      </c>
      <c r="U4147" s="8" t="s">
        <v>3805</v>
      </c>
      <c r="V4147" s="13" t="s">
        <v>38</v>
      </c>
      <c r="W4147" s="13" t="s">
        <v>19103</v>
      </c>
      <c r="X4147" s="12"/>
      <c r="Y4147" s="14"/>
      <c r="Z4147" s="14"/>
    </row>
    <row r="4148">
      <c r="A4148" s="8" t="s">
        <v>19104</v>
      </c>
      <c r="B4148" s="8" t="s">
        <v>19105</v>
      </c>
      <c r="C4148" s="8" t="s">
        <v>179</v>
      </c>
      <c r="D4148" s="8" t="s">
        <v>26</v>
      </c>
      <c r="E4148" s="8" t="s">
        <v>19106</v>
      </c>
      <c r="F4148" s="8">
        <v>2.9730493E7</v>
      </c>
      <c r="G4148" s="8" t="s">
        <v>54</v>
      </c>
      <c r="H4148" s="8" t="s">
        <v>377</v>
      </c>
      <c r="I4148" s="8" t="s">
        <v>31</v>
      </c>
      <c r="J4148" s="8" t="s">
        <v>77</v>
      </c>
      <c r="K4148" s="10" t="s">
        <v>17878</v>
      </c>
      <c r="L4148" s="8" t="s">
        <v>58</v>
      </c>
      <c r="M4148" s="8" t="s">
        <v>35</v>
      </c>
      <c r="N4148" s="11">
        <v>45275.0</v>
      </c>
      <c r="O4148" s="11">
        <v>45369.0</v>
      </c>
      <c r="P4148" s="11">
        <v>45411.0</v>
      </c>
      <c r="Q4148" s="11"/>
      <c r="R4148" s="11"/>
      <c r="S4148" s="12"/>
      <c r="T4148" s="8"/>
      <c r="U4148" s="8" t="s">
        <v>59</v>
      </c>
      <c r="V4148" s="13" t="s">
        <v>3274</v>
      </c>
      <c r="W4148" s="13" t="s">
        <v>19107</v>
      </c>
      <c r="X4148" s="12"/>
      <c r="Y4148" s="14"/>
      <c r="Z4148" s="14"/>
    </row>
    <row r="4149">
      <c r="A4149" s="8" t="s">
        <v>19108</v>
      </c>
      <c r="B4149" s="8" t="s">
        <v>19109</v>
      </c>
      <c r="C4149" s="8" t="s">
        <v>179</v>
      </c>
      <c r="D4149" s="8" t="s">
        <v>26</v>
      </c>
      <c r="E4149" s="8" t="s">
        <v>19110</v>
      </c>
      <c r="F4149" s="8">
        <v>5.2766844E7</v>
      </c>
      <c r="G4149" s="8" t="s">
        <v>54</v>
      </c>
      <c r="H4149" s="8" t="s">
        <v>430</v>
      </c>
      <c r="I4149" s="8" t="s">
        <v>31</v>
      </c>
      <c r="J4149" s="8" t="s">
        <v>292</v>
      </c>
      <c r="K4149" s="10" t="s">
        <v>12973</v>
      </c>
      <c r="L4149" s="8" t="s">
        <v>58</v>
      </c>
      <c r="M4149" s="8" t="s">
        <v>35</v>
      </c>
      <c r="N4149" s="11">
        <v>45275.0</v>
      </c>
      <c r="O4149" s="11">
        <v>45424.0</v>
      </c>
      <c r="P4149" s="11">
        <v>45466.0</v>
      </c>
      <c r="Q4149" s="11"/>
      <c r="R4149" s="11"/>
      <c r="S4149" s="12"/>
      <c r="T4149" s="8"/>
      <c r="U4149" s="8" t="s">
        <v>88</v>
      </c>
      <c r="V4149" s="13" t="s">
        <v>4780</v>
      </c>
      <c r="W4149" s="13" t="s">
        <v>19111</v>
      </c>
      <c r="X4149" s="12"/>
      <c r="Y4149" s="14"/>
      <c r="Z4149" s="14"/>
    </row>
    <row r="4150">
      <c r="A4150" s="8" t="s">
        <v>19112</v>
      </c>
      <c r="B4150" s="8" t="s">
        <v>19113</v>
      </c>
      <c r="C4150" s="8" t="s">
        <v>179</v>
      </c>
      <c r="D4150" s="8" t="s">
        <v>26</v>
      </c>
      <c r="E4150" s="8" t="s">
        <v>19114</v>
      </c>
      <c r="F4150" s="8">
        <v>9.5243802E7</v>
      </c>
      <c r="G4150" s="8" t="s">
        <v>54</v>
      </c>
      <c r="H4150" s="8" t="s">
        <v>430</v>
      </c>
      <c r="I4150" s="8" t="s">
        <v>31</v>
      </c>
      <c r="J4150" s="8" t="s">
        <v>292</v>
      </c>
      <c r="K4150" s="10" t="s">
        <v>12973</v>
      </c>
      <c r="L4150" s="8" t="s">
        <v>58</v>
      </c>
      <c r="M4150" s="8" t="s">
        <v>35</v>
      </c>
      <c r="N4150" s="11">
        <v>45275.0</v>
      </c>
      <c r="O4150" s="11">
        <v>45424.0</v>
      </c>
      <c r="P4150" s="11">
        <v>45466.0</v>
      </c>
      <c r="Q4150" s="11"/>
      <c r="R4150" s="11"/>
      <c r="S4150" s="12"/>
      <c r="T4150" s="8"/>
      <c r="U4150" s="8" t="s">
        <v>88</v>
      </c>
      <c r="V4150" s="13" t="s">
        <v>8469</v>
      </c>
      <c r="W4150" s="13" t="s">
        <v>19115</v>
      </c>
      <c r="X4150" s="12"/>
      <c r="Y4150" s="14"/>
      <c r="Z4150" s="14"/>
    </row>
    <row r="4151">
      <c r="A4151" s="8" t="s">
        <v>19116</v>
      </c>
      <c r="B4151" s="8" t="s">
        <v>19117</v>
      </c>
      <c r="C4151" s="8" t="s">
        <v>179</v>
      </c>
      <c r="D4151" s="8" t="s">
        <v>26</v>
      </c>
      <c r="E4151" s="8" t="s">
        <v>19118</v>
      </c>
      <c r="F4151" s="8">
        <v>5.3145199E7</v>
      </c>
      <c r="G4151" s="8" t="s">
        <v>54</v>
      </c>
      <c r="H4151" s="8" t="s">
        <v>135</v>
      </c>
      <c r="I4151" s="8" t="s">
        <v>31</v>
      </c>
      <c r="J4151" s="8" t="s">
        <v>86</v>
      </c>
      <c r="K4151" s="10" t="s">
        <v>15200</v>
      </c>
      <c r="L4151" s="8" t="s">
        <v>58</v>
      </c>
      <c r="M4151" s="8" t="s">
        <v>35</v>
      </c>
      <c r="N4151" s="11">
        <v>45275.0</v>
      </c>
      <c r="O4151" s="11">
        <v>45505.0</v>
      </c>
      <c r="P4151" s="11">
        <v>45547.0</v>
      </c>
      <c r="Q4151" s="11"/>
      <c r="R4151" s="11"/>
      <c r="S4151" s="12"/>
      <c r="T4151" s="8"/>
      <c r="U4151" s="8" t="s">
        <v>59</v>
      </c>
      <c r="V4151" s="13" t="s">
        <v>138</v>
      </c>
      <c r="W4151" s="13" t="s">
        <v>19119</v>
      </c>
      <c r="X4151" s="12"/>
      <c r="Y4151" s="14"/>
      <c r="Z4151" s="14"/>
    </row>
    <row r="4152">
      <c r="A4152" s="8" t="s">
        <v>19120</v>
      </c>
      <c r="B4152" s="8" t="s">
        <v>19121</v>
      </c>
      <c r="C4152" s="8" t="s">
        <v>179</v>
      </c>
      <c r="D4152" s="8" t="s">
        <v>26</v>
      </c>
      <c r="E4152" s="8" t="s">
        <v>19122</v>
      </c>
      <c r="F4152" s="8"/>
      <c r="G4152" s="8" t="s">
        <v>54</v>
      </c>
      <c r="H4152" s="8" t="s">
        <v>244</v>
      </c>
      <c r="I4152" s="8" t="s">
        <v>31</v>
      </c>
      <c r="J4152" s="8" t="s">
        <v>256</v>
      </c>
      <c r="K4152" s="10" t="s">
        <v>19083</v>
      </c>
      <c r="L4152" s="8" t="s">
        <v>47</v>
      </c>
      <c r="M4152" s="8" t="s">
        <v>70</v>
      </c>
      <c r="N4152" s="11">
        <v>45275.0</v>
      </c>
      <c r="O4152" s="11">
        <v>45292.0</v>
      </c>
      <c r="P4152" s="11">
        <v>45657.0</v>
      </c>
      <c r="Q4152" s="11"/>
      <c r="R4152" s="11"/>
      <c r="S4152" s="12"/>
      <c r="T4152" s="8"/>
      <c r="U4152" s="8" t="s">
        <v>246</v>
      </c>
      <c r="V4152" s="13" t="s">
        <v>38</v>
      </c>
      <c r="W4152" s="13" t="s">
        <v>19123</v>
      </c>
      <c r="X4152" s="12"/>
      <c r="Y4152" s="14"/>
      <c r="Z4152" s="14"/>
    </row>
    <row r="4153">
      <c r="A4153" s="8" t="s">
        <v>19124</v>
      </c>
      <c r="B4153" s="8" t="s">
        <v>19125</v>
      </c>
      <c r="C4153" s="8" t="s">
        <v>179</v>
      </c>
      <c r="D4153" s="8" t="s">
        <v>26</v>
      </c>
      <c r="E4153" s="8" t="s">
        <v>19126</v>
      </c>
      <c r="F4153" s="8">
        <v>5.5880043E7</v>
      </c>
      <c r="G4153" s="8" t="s">
        <v>54</v>
      </c>
      <c r="H4153" s="8" t="s">
        <v>430</v>
      </c>
      <c r="I4153" s="8" t="s">
        <v>31</v>
      </c>
      <c r="J4153" s="8" t="s">
        <v>292</v>
      </c>
      <c r="K4153" s="10" t="s">
        <v>12835</v>
      </c>
      <c r="L4153" s="8" t="s">
        <v>58</v>
      </c>
      <c r="M4153" s="8" t="s">
        <v>35</v>
      </c>
      <c r="N4153" s="11">
        <v>45275.0</v>
      </c>
      <c r="O4153" s="11">
        <v>45431.0</v>
      </c>
      <c r="P4153" s="11">
        <v>45473.0</v>
      </c>
      <c r="Q4153" s="11"/>
      <c r="R4153" s="11"/>
      <c r="S4153" s="12"/>
      <c r="T4153" s="8"/>
      <c r="U4153" s="8" t="s">
        <v>88</v>
      </c>
      <c r="V4153" s="13" t="s">
        <v>4780</v>
      </c>
      <c r="W4153" s="13" t="s">
        <v>19127</v>
      </c>
      <c r="X4153" s="12"/>
      <c r="Y4153" s="14"/>
      <c r="Z4153" s="14"/>
    </row>
    <row r="4154">
      <c r="A4154" s="8" t="s">
        <v>19128</v>
      </c>
      <c r="B4154" s="8" t="s">
        <v>19129</v>
      </c>
      <c r="C4154" s="8" t="s">
        <v>179</v>
      </c>
      <c r="D4154" s="8" t="s">
        <v>26</v>
      </c>
      <c r="E4154" s="8" t="s">
        <v>19130</v>
      </c>
      <c r="F4154" s="8">
        <v>5.075640953E9</v>
      </c>
      <c r="G4154" s="8" t="s">
        <v>31</v>
      </c>
      <c r="H4154" s="8" t="s">
        <v>111</v>
      </c>
      <c r="I4154" s="8" t="s">
        <v>399</v>
      </c>
      <c r="J4154" s="8" t="s">
        <v>904</v>
      </c>
      <c r="K4154" s="10" t="s">
        <v>15675</v>
      </c>
      <c r="L4154" s="8" t="s">
        <v>58</v>
      </c>
      <c r="M4154" s="8" t="s">
        <v>35</v>
      </c>
      <c r="N4154" s="11">
        <v>45276.0</v>
      </c>
      <c r="O4154" s="11">
        <v>45474.0</v>
      </c>
      <c r="P4154" s="11">
        <v>45516.0</v>
      </c>
      <c r="Q4154" s="11"/>
      <c r="R4154" s="11"/>
      <c r="S4154" s="12"/>
      <c r="T4154" s="8"/>
      <c r="U4154" s="8" t="s">
        <v>402</v>
      </c>
      <c r="V4154" s="13" t="s">
        <v>111</v>
      </c>
      <c r="W4154" s="13" t="s">
        <v>19131</v>
      </c>
      <c r="X4154" s="12"/>
      <c r="Y4154" s="14"/>
      <c r="Z4154" s="14"/>
    </row>
    <row r="4155">
      <c r="A4155" s="8" t="s">
        <v>19132</v>
      </c>
      <c r="B4155" s="8" t="s">
        <v>19133</v>
      </c>
      <c r="C4155" s="8" t="s">
        <v>179</v>
      </c>
      <c r="D4155" s="8" t="s">
        <v>26</v>
      </c>
      <c r="E4155" s="8" t="s">
        <v>19134</v>
      </c>
      <c r="F4155" s="8">
        <v>1.063779549E9</v>
      </c>
      <c r="G4155" s="8" t="s">
        <v>284</v>
      </c>
      <c r="H4155" s="8" t="s">
        <v>691</v>
      </c>
      <c r="I4155" s="8" t="s">
        <v>31</v>
      </c>
      <c r="J4155" s="8" t="s">
        <v>43</v>
      </c>
      <c r="K4155" s="10" t="s">
        <v>12504</v>
      </c>
      <c r="L4155" s="8" t="s">
        <v>58</v>
      </c>
      <c r="M4155" s="8" t="s">
        <v>35</v>
      </c>
      <c r="N4155" s="11">
        <v>45276.0</v>
      </c>
      <c r="O4155" s="11">
        <v>45362.0</v>
      </c>
      <c r="P4155" s="11">
        <v>45408.0</v>
      </c>
      <c r="Q4155" s="11"/>
      <c r="R4155" s="11"/>
      <c r="S4155" s="12"/>
      <c r="T4155" s="8"/>
      <c r="U4155" s="8" t="s">
        <v>59</v>
      </c>
      <c r="V4155" s="13" t="s">
        <v>692</v>
      </c>
      <c r="W4155" s="13" t="s">
        <v>19135</v>
      </c>
      <c r="X4155" s="12"/>
      <c r="Y4155" s="14"/>
      <c r="Z4155" s="14"/>
    </row>
    <row r="4156">
      <c r="A4156" s="8" t="s">
        <v>19136</v>
      </c>
      <c r="B4156" s="8" t="s">
        <v>13430</v>
      </c>
      <c r="C4156" s="8" t="s">
        <v>179</v>
      </c>
      <c r="D4156" s="8" t="s">
        <v>26</v>
      </c>
      <c r="E4156" s="8" t="s">
        <v>13431</v>
      </c>
      <c r="F4156" s="8">
        <v>6.99468188E8</v>
      </c>
      <c r="G4156" s="8" t="s">
        <v>254</v>
      </c>
      <c r="H4156" s="8" t="s">
        <v>255</v>
      </c>
      <c r="I4156" s="8" t="s">
        <v>31</v>
      </c>
      <c r="J4156" s="8" t="s">
        <v>56</v>
      </c>
      <c r="K4156" s="10" t="s">
        <v>19137</v>
      </c>
      <c r="L4156" s="8" t="s">
        <v>47</v>
      </c>
      <c r="M4156" s="8" t="s">
        <v>70</v>
      </c>
      <c r="N4156" s="11">
        <v>45277.0</v>
      </c>
      <c r="O4156" s="11">
        <v>45323.0</v>
      </c>
      <c r="P4156" s="11">
        <v>45688.0</v>
      </c>
      <c r="Q4156" s="11"/>
      <c r="R4156" s="11"/>
      <c r="S4156" s="12"/>
      <c r="T4156" s="8"/>
      <c r="U4156" s="8" t="s">
        <v>246</v>
      </c>
      <c r="V4156" s="13" t="s">
        <v>425</v>
      </c>
      <c r="W4156" s="13" t="s">
        <v>13433</v>
      </c>
      <c r="X4156" s="12"/>
      <c r="Y4156" s="14"/>
      <c r="Z4156" s="14"/>
    </row>
    <row r="4157">
      <c r="A4157" s="8" t="s">
        <v>19138</v>
      </c>
      <c r="B4157" s="8" t="s">
        <v>19139</v>
      </c>
      <c r="C4157" s="8" t="s">
        <v>179</v>
      </c>
      <c r="D4157" s="8" t="s">
        <v>26</v>
      </c>
      <c r="E4157" s="8" t="s">
        <v>19140</v>
      </c>
      <c r="F4157" s="8">
        <v>1.207899951E9</v>
      </c>
      <c r="G4157" s="8" t="s">
        <v>284</v>
      </c>
      <c r="H4157" s="8" t="s">
        <v>691</v>
      </c>
      <c r="I4157" s="8" t="s">
        <v>31</v>
      </c>
      <c r="J4157" s="8" t="s">
        <v>43</v>
      </c>
      <c r="K4157" s="10" t="s">
        <v>837</v>
      </c>
      <c r="L4157" s="8" t="s">
        <v>58</v>
      </c>
      <c r="M4157" s="8" t="s">
        <v>35</v>
      </c>
      <c r="N4157" s="11">
        <v>45277.0</v>
      </c>
      <c r="O4157" s="11">
        <v>45446.0</v>
      </c>
      <c r="P4157" s="11">
        <v>45488.0</v>
      </c>
      <c r="Q4157" s="11"/>
      <c r="R4157" s="11"/>
      <c r="S4157" s="12"/>
      <c r="T4157" s="8"/>
      <c r="U4157" s="8" t="s">
        <v>130</v>
      </c>
      <c r="V4157" s="13" t="s">
        <v>692</v>
      </c>
      <c r="W4157" s="13" t="s">
        <v>19141</v>
      </c>
      <c r="X4157" s="12"/>
      <c r="Y4157" s="14"/>
      <c r="Z4157" s="14"/>
    </row>
    <row r="4158">
      <c r="A4158" s="8" t="s">
        <v>19142</v>
      </c>
      <c r="B4158" s="8" t="s">
        <v>19143</v>
      </c>
      <c r="C4158" s="8" t="s">
        <v>708</v>
      </c>
      <c r="D4158" s="8" t="s">
        <v>26</v>
      </c>
      <c r="E4158" s="8" t="s">
        <v>19144</v>
      </c>
      <c r="F4158" s="8">
        <v>7.77756046E8</v>
      </c>
      <c r="G4158" s="8" t="s">
        <v>254</v>
      </c>
      <c r="H4158" s="8" t="s">
        <v>255</v>
      </c>
      <c r="I4158" s="8" t="s">
        <v>31</v>
      </c>
      <c r="J4158" s="8" t="s">
        <v>56</v>
      </c>
      <c r="K4158" s="10" t="s">
        <v>15775</v>
      </c>
      <c r="L4158" s="8" t="s">
        <v>58</v>
      </c>
      <c r="M4158" s="8" t="s">
        <v>35</v>
      </c>
      <c r="N4158" s="11">
        <v>45277.0</v>
      </c>
      <c r="O4158" s="11">
        <v>45299.0</v>
      </c>
      <c r="P4158" s="11">
        <v>45341.0</v>
      </c>
      <c r="Q4158" s="11">
        <v>45305.0</v>
      </c>
      <c r="R4158" s="11">
        <v>45345.0</v>
      </c>
      <c r="S4158" s="12"/>
      <c r="T4158" s="8"/>
      <c r="U4158" s="8" t="s">
        <v>161</v>
      </c>
      <c r="V4158" s="13" t="s">
        <v>38</v>
      </c>
      <c r="W4158" s="13" t="s">
        <v>19145</v>
      </c>
      <c r="X4158" s="12"/>
      <c r="Y4158" s="14"/>
      <c r="Z4158" s="14"/>
    </row>
    <row r="4159">
      <c r="A4159" s="8" t="s">
        <v>19146</v>
      </c>
      <c r="B4159" s="8" t="s">
        <v>19147</v>
      </c>
      <c r="C4159" s="8" t="s">
        <v>179</v>
      </c>
      <c r="D4159" s="8" t="s">
        <v>26</v>
      </c>
      <c r="E4159" s="8" t="s">
        <v>19148</v>
      </c>
      <c r="F4159" s="8">
        <v>5.442506959E9</v>
      </c>
      <c r="G4159" s="8" t="s">
        <v>31</v>
      </c>
      <c r="H4159" s="8" t="s">
        <v>86</v>
      </c>
      <c r="I4159" s="8" t="s">
        <v>407</v>
      </c>
      <c r="J4159" s="8" t="s">
        <v>11227</v>
      </c>
      <c r="K4159" s="10" t="s">
        <v>18186</v>
      </c>
      <c r="L4159" s="8" t="s">
        <v>58</v>
      </c>
      <c r="M4159" s="8" t="s">
        <v>35</v>
      </c>
      <c r="N4159" s="11">
        <v>45277.0</v>
      </c>
      <c r="O4159" s="11">
        <v>45488.0</v>
      </c>
      <c r="P4159" s="11">
        <v>45530.0</v>
      </c>
      <c r="Q4159" s="11"/>
      <c r="R4159" s="11"/>
      <c r="S4159" s="12"/>
      <c r="T4159" s="8"/>
      <c r="U4159" s="8" t="s">
        <v>88</v>
      </c>
      <c r="V4159" s="13" t="s">
        <v>175</v>
      </c>
      <c r="W4159" s="13" t="s">
        <v>19149</v>
      </c>
      <c r="X4159" s="12"/>
      <c r="Y4159" s="14"/>
      <c r="Z4159" s="14"/>
    </row>
    <row r="4160">
      <c r="A4160" s="8" t="s">
        <v>19150</v>
      </c>
      <c r="B4160" s="8" t="s">
        <v>19151</v>
      </c>
      <c r="C4160" s="8" t="s">
        <v>179</v>
      </c>
      <c r="D4160" s="8" t="s">
        <v>26</v>
      </c>
      <c r="E4160" s="8" t="s">
        <v>19152</v>
      </c>
      <c r="F4160" s="8">
        <v>7.53426514E8</v>
      </c>
      <c r="G4160" s="8" t="s">
        <v>127</v>
      </c>
      <c r="H4160" s="8" t="s">
        <v>1771</v>
      </c>
      <c r="I4160" s="8" t="s">
        <v>31</v>
      </c>
      <c r="J4160" s="8" t="s">
        <v>32</v>
      </c>
      <c r="K4160" s="10" t="s">
        <v>1813</v>
      </c>
      <c r="L4160" s="8" t="s">
        <v>58</v>
      </c>
      <c r="M4160" s="8" t="s">
        <v>35</v>
      </c>
      <c r="N4160" s="11">
        <v>45277.0</v>
      </c>
      <c r="O4160" s="11">
        <v>45383.0</v>
      </c>
      <c r="P4160" s="11">
        <v>45425.0</v>
      </c>
      <c r="Q4160" s="11"/>
      <c r="R4160" s="11"/>
      <c r="S4160" s="12"/>
      <c r="T4160" s="8"/>
      <c r="U4160" s="8" t="s">
        <v>161</v>
      </c>
      <c r="V4160" s="13" t="s">
        <v>1473</v>
      </c>
      <c r="W4160" s="13" t="s">
        <v>19153</v>
      </c>
      <c r="X4160" s="12"/>
      <c r="Y4160" s="14"/>
      <c r="Z4160" s="14"/>
    </row>
    <row r="4161">
      <c r="A4161" s="8" t="s">
        <v>19154</v>
      </c>
      <c r="B4161" s="8" t="s">
        <v>19155</v>
      </c>
      <c r="C4161" s="8" t="s">
        <v>179</v>
      </c>
      <c r="D4161" s="8" t="s">
        <v>26</v>
      </c>
      <c r="E4161" s="8" t="s">
        <v>19156</v>
      </c>
      <c r="F4161" s="8">
        <v>7.72406657E8</v>
      </c>
      <c r="G4161" s="8" t="s">
        <v>399</v>
      </c>
      <c r="H4161" s="8" t="s">
        <v>2416</v>
      </c>
      <c r="I4161" s="8" t="s">
        <v>31</v>
      </c>
      <c r="J4161" s="8" t="s">
        <v>77</v>
      </c>
      <c r="K4161" s="10" t="s">
        <v>1582</v>
      </c>
      <c r="L4161" s="8" t="s">
        <v>58</v>
      </c>
      <c r="M4161" s="8" t="s">
        <v>35</v>
      </c>
      <c r="N4161" s="11">
        <v>45278.0</v>
      </c>
      <c r="O4161" s="11">
        <v>45397.0</v>
      </c>
      <c r="P4161" s="11">
        <v>45439.0</v>
      </c>
      <c r="Q4161" s="11"/>
      <c r="R4161" s="11"/>
      <c r="S4161" s="12"/>
      <c r="T4161" s="8"/>
      <c r="U4161" s="8" t="s">
        <v>59</v>
      </c>
      <c r="V4161" s="13" t="s">
        <v>2418</v>
      </c>
      <c r="W4161" s="13" t="s">
        <v>19157</v>
      </c>
      <c r="X4161" s="12"/>
      <c r="Y4161" s="14"/>
      <c r="Z4161" s="14"/>
    </row>
    <row r="4162">
      <c r="A4162" s="8" t="s">
        <v>19158</v>
      </c>
      <c r="B4162" s="8" t="s">
        <v>19159</v>
      </c>
      <c r="C4162" s="8" t="s">
        <v>179</v>
      </c>
      <c r="D4162" s="8" t="s">
        <v>26</v>
      </c>
      <c r="E4162" s="8" t="s">
        <v>19160</v>
      </c>
      <c r="F4162" s="8">
        <v>9.2526222E7</v>
      </c>
      <c r="G4162" s="8" t="s">
        <v>54</v>
      </c>
      <c r="H4162" s="8" t="s">
        <v>1911</v>
      </c>
      <c r="I4162" s="8" t="s">
        <v>31</v>
      </c>
      <c r="J4162" s="8" t="s">
        <v>167</v>
      </c>
      <c r="K4162" s="10" t="s">
        <v>4008</v>
      </c>
      <c r="L4162" s="8" t="s">
        <v>58</v>
      </c>
      <c r="M4162" s="8" t="s">
        <v>35</v>
      </c>
      <c r="N4162" s="11">
        <v>45278.0</v>
      </c>
      <c r="O4162" s="11">
        <v>45327.0</v>
      </c>
      <c r="P4162" s="11">
        <v>45369.0</v>
      </c>
      <c r="Q4162" s="11"/>
      <c r="R4162" s="11"/>
      <c r="S4162" s="12"/>
      <c r="T4162" s="8"/>
      <c r="U4162" s="8" t="s">
        <v>59</v>
      </c>
      <c r="V4162" s="13" t="s">
        <v>18566</v>
      </c>
      <c r="W4162" s="13" t="s">
        <v>19161</v>
      </c>
      <c r="X4162" s="12"/>
      <c r="Y4162" s="14"/>
      <c r="Z4162" s="14"/>
    </row>
    <row r="4163">
      <c r="A4163" s="8" t="s">
        <v>19162</v>
      </c>
      <c r="B4163" s="8" t="s">
        <v>19163</v>
      </c>
      <c r="C4163" s="8" t="s">
        <v>179</v>
      </c>
      <c r="D4163" s="8" t="s">
        <v>26</v>
      </c>
      <c r="E4163" s="8" t="s">
        <v>19164</v>
      </c>
      <c r="F4163" s="8"/>
      <c r="G4163" s="8" t="s">
        <v>31</v>
      </c>
      <c r="H4163" s="8" t="s">
        <v>111</v>
      </c>
      <c r="I4163" s="8" t="s">
        <v>44</v>
      </c>
      <c r="J4163" s="8" t="s">
        <v>741</v>
      </c>
      <c r="K4163" s="10" t="s">
        <v>2675</v>
      </c>
      <c r="L4163" s="8" t="s">
        <v>58</v>
      </c>
      <c r="M4163" s="8" t="s">
        <v>35</v>
      </c>
      <c r="N4163" s="11">
        <v>45278.0</v>
      </c>
      <c r="O4163" s="11">
        <v>45519.0</v>
      </c>
      <c r="P4163" s="11">
        <v>45561.0</v>
      </c>
      <c r="Q4163" s="11"/>
      <c r="R4163" s="11"/>
      <c r="S4163" s="12"/>
      <c r="T4163" s="8"/>
      <c r="U4163" s="8" t="s">
        <v>59</v>
      </c>
      <c r="V4163" s="13" t="s">
        <v>38</v>
      </c>
      <c r="W4163" s="13" t="s">
        <v>19165</v>
      </c>
      <c r="X4163" s="12"/>
      <c r="Y4163" s="14"/>
      <c r="Z4163" s="14"/>
    </row>
    <row r="4164">
      <c r="A4164" s="8" t="s">
        <v>19166</v>
      </c>
      <c r="B4164" s="8" t="s">
        <v>19167</v>
      </c>
      <c r="C4164" s="8" t="s">
        <v>179</v>
      </c>
      <c r="D4164" s="8" t="s">
        <v>26</v>
      </c>
      <c r="E4164" s="8" t="s">
        <v>19168</v>
      </c>
      <c r="F4164" s="8">
        <v>6.986323399E9</v>
      </c>
      <c r="G4164" s="8" t="s">
        <v>143</v>
      </c>
      <c r="H4164" s="8" t="s">
        <v>4212</v>
      </c>
      <c r="I4164" s="8" t="s">
        <v>31</v>
      </c>
      <c r="J4164" s="8" t="s">
        <v>77</v>
      </c>
      <c r="K4164" s="10" t="s">
        <v>1582</v>
      </c>
      <c r="L4164" s="8" t="s">
        <v>58</v>
      </c>
      <c r="M4164" s="8" t="s">
        <v>35</v>
      </c>
      <c r="N4164" s="11">
        <v>45278.0</v>
      </c>
      <c r="O4164" s="11">
        <v>45439.0</v>
      </c>
      <c r="P4164" s="11">
        <v>45481.0</v>
      </c>
      <c r="Q4164" s="11"/>
      <c r="R4164" s="11"/>
      <c r="S4164" s="12"/>
      <c r="T4164" s="8"/>
      <c r="U4164" s="8" t="s">
        <v>59</v>
      </c>
      <c r="V4164" s="13" t="s">
        <v>38</v>
      </c>
      <c r="W4164" s="13" t="s">
        <v>19169</v>
      </c>
      <c r="X4164" s="12"/>
      <c r="Y4164" s="14"/>
      <c r="Z4164" s="14"/>
    </row>
    <row r="4165">
      <c r="A4165" s="8" t="s">
        <v>19170</v>
      </c>
      <c r="B4165" s="8" t="s">
        <v>19171</v>
      </c>
      <c r="C4165" s="8" t="s">
        <v>708</v>
      </c>
      <c r="D4165" s="8" t="s">
        <v>26</v>
      </c>
      <c r="E4165" s="8" t="s">
        <v>19172</v>
      </c>
      <c r="F4165" s="8"/>
      <c r="G4165" s="8" t="s">
        <v>31</v>
      </c>
      <c r="H4165" s="8" t="s">
        <v>32</v>
      </c>
      <c r="I4165" s="8" t="s">
        <v>221</v>
      </c>
      <c r="J4165" s="8" t="s">
        <v>2760</v>
      </c>
      <c r="K4165" s="10" t="s">
        <v>19173</v>
      </c>
      <c r="L4165" s="8" t="s">
        <v>34</v>
      </c>
      <c r="M4165" s="8" t="s">
        <v>35</v>
      </c>
      <c r="N4165" s="11">
        <v>45278.0</v>
      </c>
      <c r="O4165" s="11">
        <v>45306.0</v>
      </c>
      <c r="P4165" s="11">
        <v>45362.0</v>
      </c>
      <c r="Q4165" s="11">
        <v>45305.0</v>
      </c>
      <c r="R4165" s="11">
        <v>45362.0</v>
      </c>
      <c r="S4165" s="12"/>
      <c r="T4165" s="8" t="s">
        <v>1187</v>
      </c>
      <c r="U4165" s="8" t="s">
        <v>10054</v>
      </c>
      <c r="V4165" s="13" t="s">
        <v>38</v>
      </c>
      <c r="W4165" s="13" t="s">
        <v>19174</v>
      </c>
      <c r="X4165" s="12"/>
      <c r="Y4165" s="14"/>
      <c r="Z4165" s="14"/>
    </row>
    <row r="4166">
      <c r="A4166" s="8" t="s">
        <v>19175</v>
      </c>
      <c r="B4166" s="8" t="s">
        <v>15655</v>
      </c>
      <c r="C4166" s="8" t="s">
        <v>708</v>
      </c>
      <c r="D4166" s="8" t="s">
        <v>26</v>
      </c>
      <c r="E4166" s="8" t="s">
        <v>19176</v>
      </c>
      <c r="F4166" s="8">
        <v>1.116050295E9</v>
      </c>
      <c r="G4166" s="8" t="s">
        <v>284</v>
      </c>
      <c r="H4166" s="8" t="s">
        <v>1777</v>
      </c>
      <c r="I4166" s="8" t="s">
        <v>31</v>
      </c>
      <c r="J4166" s="8" t="s">
        <v>542</v>
      </c>
      <c r="K4166" s="10" t="s">
        <v>15657</v>
      </c>
      <c r="L4166" s="8" t="s">
        <v>34</v>
      </c>
      <c r="M4166" s="8" t="s">
        <v>70</v>
      </c>
      <c r="N4166" s="11">
        <v>45278.0</v>
      </c>
      <c r="O4166" s="11">
        <v>45299.0</v>
      </c>
      <c r="P4166" s="11">
        <v>45658.0</v>
      </c>
      <c r="Q4166" s="11">
        <v>45314.0</v>
      </c>
      <c r="R4166" s="11">
        <v>45679.0</v>
      </c>
      <c r="S4166" s="12"/>
      <c r="T4166" s="8" t="s">
        <v>36</v>
      </c>
      <c r="U4166" s="8" t="s">
        <v>15658</v>
      </c>
      <c r="V4166" s="13" t="s">
        <v>2168</v>
      </c>
      <c r="W4166" s="13" t="s">
        <v>19177</v>
      </c>
      <c r="X4166" s="12"/>
      <c r="Y4166" s="14"/>
      <c r="Z4166" s="14"/>
    </row>
    <row r="4167">
      <c r="A4167" s="8" t="s">
        <v>19178</v>
      </c>
      <c r="B4167" s="8" t="s">
        <v>19179</v>
      </c>
      <c r="C4167" s="8" t="s">
        <v>179</v>
      </c>
      <c r="D4167" s="8" t="s">
        <v>26</v>
      </c>
      <c r="E4167" s="8" t="s">
        <v>19180</v>
      </c>
      <c r="F4167" s="8"/>
      <c r="G4167" s="8" t="s">
        <v>31</v>
      </c>
      <c r="H4167" s="8" t="s">
        <v>167</v>
      </c>
      <c r="I4167" s="8" t="s">
        <v>1400</v>
      </c>
      <c r="J4167" s="8" t="s">
        <v>1401</v>
      </c>
      <c r="K4167" s="10" t="s">
        <v>16386</v>
      </c>
      <c r="L4167" s="8" t="s">
        <v>58</v>
      </c>
      <c r="M4167" s="8" t="s">
        <v>35</v>
      </c>
      <c r="N4167" s="11">
        <v>45278.0</v>
      </c>
      <c r="O4167" s="11">
        <v>45306.0</v>
      </c>
      <c r="P4167" s="11">
        <v>45348.0</v>
      </c>
      <c r="Q4167" s="11"/>
      <c r="R4167" s="11"/>
      <c r="S4167" s="12"/>
      <c r="T4167" s="8"/>
      <c r="U4167" s="8" t="s">
        <v>88</v>
      </c>
      <c r="V4167" s="13" t="s">
        <v>38</v>
      </c>
      <c r="W4167" s="13" t="s">
        <v>19181</v>
      </c>
      <c r="X4167" s="12"/>
      <c r="Y4167" s="14"/>
      <c r="Z4167" s="14"/>
    </row>
    <row r="4168">
      <c r="A4168" s="8" t="s">
        <v>19182</v>
      </c>
      <c r="B4168" s="8" t="s">
        <v>6131</v>
      </c>
      <c r="C4168" s="8" t="s">
        <v>179</v>
      </c>
      <c r="D4168" s="8" t="s">
        <v>26</v>
      </c>
      <c r="E4168" s="8" t="s">
        <v>6132</v>
      </c>
      <c r="F4168" s="8"/>
      <c r="G4168" s="8" t="s">
        <v>31</v>
      </c>
      <c r="H4168" s="8" t="s">
        <v>32</v>
      </c>
      <c r="I4168" s="8" t="s">
        <v>284</v>
      </c>
      <c r="J4168" s="8" t="s">
        <v>3188</v>
      </c>
      <c r="K4168" s="10" t="s">
        <v>19183</v>
      </c>
      <c r="L4168" s="8" t="s">
        <v>47</v>
      </c>
      <c r="M4168" s="8" t="s">
        <v>35</v>
      </c>
      <c r="N4168" s="11">
        <v>45278.0</v>
      </c>
      <c r="O4168" s="11">
        <v>45341.0</v>
      </c>
      <c r="P4168" s="11">
        <v>45412.0</v>
      </c>
      <c r="Q4168" s="11"/>
      <c r="R4168" s="11"/>
      <c r="S4168" s="12"/>
      <c r="T4168" s="8"/>
      <c r="U4168" s="8" t="s">
        <v>795</v>
      </c>
      <c r="V4168" s="13" t="s">
        <v>38</v>
      </c>
      <c r="W4168" s="13" t="s">
        <v>6133</v>
      </c>
      <c r="X4168" s="12"/>
      <c r="Y4168" s="14"/>
      <c r="Z4168" s="14"/>
    </row>
    <row r="4169">
      <c r="A4169" s="8" t="s">
        <v>19184</v>
      </c>
      <c r="B4169" s="8" t="s">
        <v>19185</v>
      </c>
      <c r="C4169" s="8" t="s">
        <v>179</v>
      </c>
      <c r="D4169" s="8" t="s">
        <v>26</v>
      </c>
      <c r="E4169" s="8" t="s">
        <v>19186</v>
      </c>
      <c r="F4169" s="8"/>
      <c r="G4169" s="8" t="s">
        <v>307</v>
      </c>
      <c r="H4169" s="8" t="s">
        <v>19187</v>
      </c>
      <c r="I4169" s="8" t="s">
        <v>31</v>
      </c>
      <c r="J4169" s="8" t="s">
        <v>1274</v>
      </c>
      <c r="K4169" s="10" t="s">
        <v>16604</v>
      </c>
      <c r="L4169" s="8" t="s">
        <v>58</v>
      </c>
      <c r="M4169" s="8" t="s">
        <v>35</v>
      </c>
      <c r="N4169" s="11">
        <v>45279.0</v>
      </c>
      <c r="O4169" s="11">
        <v>45446.0</v>
      </c>
      <c r="P4169" s="11">
        <v>45488.0</v>
      </c>
      <c r="Q4169" s="11"/>
      <c r="R4169" s="11"/>
      <c r="S4169" s="12"/>
      <c r="T4169" s="8"/>
      <c r="U4169" s="8" t="s">
        <v>185</v>
      </c>
      <c r="V4169" s="13" t="s">
        <v>38</v>
      </c>
      <c r="W4169" s="13" t="s">
        <v>19188</v>
      </c>
      <c r="X4169" s="12"/>
      <c r="Y4169" s="14"/>
      <c r="Z4169" s="14"/>
    </row>
    <row r="4170">
      <c r="A4170" s="8" t="s">
        <v>19189</v>
      </c>
      <c r="B4170" s="8" t="s">
        <v>19190</v>
      </c>
      <c r="C4170" s="8" t="s">
        <v>708</v>
      </c>
      <c r="D4170" s="8" t="s">
        <v>26</v>
      </c>
      <c r="E4170" s="8" t="s">
        <v>19191</v>
      </c>
      <c r="F4170" s="8">
        <v>5.398217282E9</v>
      </c>
      <c r="G4170" s="8" t="s">
        <v>31</v>
      </c>
      <c r="H4170" s="8" t="s">
        <v>56</v>
      </c>
      <c r="I4170" s="8" t="s">
        <v>54</v>
      </c>
      <c r="J4170" s="8" t="s">
        <v>76</v>
      </c>
      <c r="K4170" s="10" t="s">
        <v>19192</v>
      </c>
      <c r="L4170" s="8" t="s">
        <v>58</v>
      </c>
      <c r="M4170" s="8" t="s">
        <v>35</v>
      </c>
      <c r="N4170" s="11">
        <v>45279.0</v>
      </c>
      <c r="O4170" s="11">
        <v>45306.0</v>
      </c>
      <c r="P4170" s="11">
        <v>45348.0</v>
      </c>
      <c r="Q4170" s="11">
        <v>45308.0</v>
      </c>
      <c r="R4170" s="11">
        <v>45348.0</v>
      </c>
      <c r="S4170" s="12"/>
      <c r="T4170" s="8"/>
      <c r="U4170" s="8" t="s">
        <v>185</v>
      </c>
      <c r="V4170" s="13" t="s">
        <v>102</v>
      </c>
      <c r="W4170" s="13" t="s">
        <v>19193</v>
      </c>
      <c r="X4170" s="12"/>
      <c r="Y4170" s="14"/>
      <c r="Z4170" s="14"/>
    </row>
    <row r="4171">
      <c r="A4171" s="8" t="s">
        <v>19194</v>
      </c>
      <c r="B4171" s="8" t="s">
        <v>19195</v>
      </c>
      <c r="C4171" s="8" t="s">
        <v>179</v>
      </c>
      <c r="D4171" s="8" t="s">
        <v>26</v>
      </c>
      <c r="E4171" s="8" t="s">
        <v>19196</v>
      </c>
      <c r="F4171" s="8">
        <v>5.45267376E9</v>
      </c>
      <c r="G4171" s="8" t="s">
        <v>31</v>
      </c>
      <c r="H4171" s="8" t="s">
        <v>542</v>
      </c>
      <c r="I4171" s="8" t="s">
        <v>127</v>
      </c>
      <c r="J4171" s="8" t="s">
        <v>9028</v>
      </c>
      <c r="K4171" s="10" t="s">
        <v>18814</v>
      </c>
      <c r="L4171" s="8" t="s">
        <v>58</v>
      </c>
      <c r="M4171" s="8" t="s">
        <v>35</v>
      </c>
      <c r="N4171" s="11">
        <v>45279.0</v>
      </c>
      <c r="O4171" s="11">
        <v>45334.0</v>
      </c>
      <c r="P4171" s="11">
        <v>45376.0</v>
      </c>
      <c r="Q4171" s="11"/>
      <c r="R4171" s="11"/>
      <c r="S4171" s="12"/>
      <c r="T4171" s="8"/>
      <c r="U4171" s="8" t="s">
        <v>1956</v>
      </c>
      <c r="V4171" s="13" t="s">
        <v>545</v>
      </c>
      <c r="W4171" s="13" t="s">
        <v>19197</v>
      </c>
      <c r="X4171" s="12"/>
      <c r="Y4171" s="14"/>
      <c r="Z4171" s="14"/>
    </row>
    <row r="4172">
      <c r="A4172" s="8" t="s">
        <v>19198</v>
      </c>
      <c r="B4172" s="8" t="s">
        <v>19199</v>
      </c>
      <c r="C4172" s="8" t="s">
        <v>179</v>
      </c>
      <c r="D4172" s="8" t="s">
        <v>26</v>
      </c>
      <c r="E4172" s="8" t="s">
        <v>19200</v>
      </c>
      <c r="F4172" s="8">
        <v>9.37249157E8</v>
      </c>
      <c r="G4172" s="8" t="s">
        <v>15150</v>
      </c>
      <c r="H4172" s="8" t="s">
        <v>19201</v>
      </c>
      <c r="I4172" s="8" t="s">
        <v>31</v>
      </c>
      <c r="J4172" s="8" t="s">
        <v>86</v>
      </c>
      <c r="K4172" s="10" t="s">
        <v>2404</v>
      </c>
      <c r="L4172" s="8" t="s">
        <v>34</v>
      </c>
      <c r="M4172" s="8" t="s">
        <v>70</v>
      </c>
      <c r="N4172" s="11">
        <v>45279.0</v>
      </c>
      <c r="O4172" s="11">
        <v>45306.0</v>
      </c>
      <c r="P4172" s="11">
        <v>45674.0</v>
      </c>
      <c r="Q4172" s="11"/>
      <c r="R4172" s="11"/>
      <c r="S4172" s="12"/>
      <c r="T4172" s="8" t="s">
        <v>36</v>
      </c>
      <c r="U4172" s="8" t="s">
        <v>2405</v>
      </c>
      <c r="V4172" s="13" t="s">
        <v>19202</v>
      </c>
      <c r="W4172" s="13" t="s">
        <v>19203</v>
      </c>
      <c r="X4172" s="12"/>
      <c r="Y4172" s="14"/>
      <c r="Z4172" s="14"/>
    </row>
    <row r="4173">
      <c r="A4173" s="8" t="s">
        <v>19204</v>
      </c>
      <c r="B4173" s="8" t="s">
        <v>19205</v>
      </c>
      <c r="C4173" s="8" t="s">
        <v>179</v>
      </c>
      <c r="D4173" s="8" t="s">
        <v>26</v>
      </c>
      <c r="E4173" s="8" t="s">
        <v>19206</v>
      </c>
      <c r="F4173" s="8">
        <v>9.2732617E8</v>
      </c>
      <c r="G4173" s="8" t="s">
        <v>15150</v>
      </c>
      <c r="H4173" s="8" t="s">
        <v>19201</v>
      </c>
      <c r="I4173" s="8" t="s">
        <v>31</v>
      </c>
      <c r="J4173" s="8" t="s">
        <v>86</v>
      </c>
      <c r="K4173" s="10" t="s">
        <v>2404</v>
      </c>
      <c r="L4173" s="8" t="s">
        <v>34</v>
      </c>
      <c r="M4173" s="8" t="s">
        <v>70</v>
      </c>
      <c r="N4173" s="11">
        <v>45279.0</v>
      </c>
      <c r="O4173" s="11">
        <v>45306.0</v>
      </c>
      <c r="P4173" s="11">
        <v>45674.0</v>
      </c>
      <c r="Q4173" s="11"/>
      <c r="R4173" s="11"/>
      <c r="S4173" s="12"/>
      <c r="T4173" s="8" t="s">
        <v>36</v>
      </c>
      <c r="U4173" s="8" t="s">
        <v>2405</v>
      </c>
      <c r="V4173" s="13" t="s">
        <v>19202</v>
      </c>
      <c r="W4173" s="13" t="s">
        <v>19207</v>
      </c>
      <c r="X4173" s="12"/>
      <c r="Y4173" s="14"/>
      <c r="Z4173" s="14"/>
    </row>
    <row r="4174">
      <c r="A4174" s="8" t="s">
        <v>19208</v>
      </c>
      <c r="B4174" s="8" t="s">
        <v>19209</v>
      </c>
      <c r="C4174" s="8" t="s">
        <v>179</v>
      </c>
      <c r="D4174" s="8" t="s">
        <v>26</v>
      </c>
      <c r="E4174" s="8" t="s">
        <v>19210</v>
      </c>
      <c r="F4174" s="8">
        <v>5.59407023E8</v>
      </c>
      <c r="G4174" s="8" t="s">
        <v>307</v>
      </c>
      <c r="H4174" s="8" t="s">
        <v>19211</v>
      </c>
      <c r="I4174" s="8" t="s">
        <v>31</v>
      </c>
      <c r="J4174" s="8" t="s">
        <v>1274</v>
      </c>
      <c r="K4174" s="10" t="s">
        <v>16604</v>
      </c>
      <c r="L4174" s="8" t="s">
        <v>58</v>
      </c>
      <c r="M4174" s="8" t="s">
        <v>35</v>
      </c>
      <c r="N4174" s="11">
        <v>45279.0</v>
      </c>
      <c r="O4174" s="11">
        <v>45446.0</v>
      </c>
      <c r="P4174" s="11">
        <v>45488.0</v>
      </c>
      <c r="Q4174" s="11"/>
      <c r="R4174" s="11"/>
      <c r="S4174" s="12"/>
      <c r="T4174" s="8"/>
      <c r="U4174" s="8" t="s">
        <v>185</v>
      </c>
      <c r="V4174" s="13" t="s">
        <v>38</v>
      </c>
      <c r="W4174" s="13" t="s">
        <v>19212</v>
      </c>
      <c r="X4174" s="12"/>
      <c r="Y4174" s="14"/>
      <c r="Z4174" s="14"/>
    </row>
    <row r="4175">
      <c r="A4175" s="8" t="s">
        <v>19213</v>
      </c>
      <c r="B4175" s="8" t="s">
        <v>19214</v>
      </c>
      <c r="C4175" s="8" t="s">
        <v>179</v>
      </c>
      <c r="D4175" s="8" t="s">
        <v>26</v>
      </c>
      <c r="E4175" s="8" t="s">
        <v>19215</v>
      </c>
      <c r="F4175" s="8">
        <v>5.414604553E9</v>
      </c>
      <c r="G4175" s="8" t="s">
        <v>31</v>
      </c>
      <c r="H4175" s="8" t="s">
        <v>111</v>
      </c>
      <c r="I4175" s="8" t="s">
        <v>399</v>
      </c>
      <c r="J4175" s="8" t="s">
        <v>415</v>
      </c>
      <c r="K4175" s="10" t="s">
        <v>3178</v>
      </c>
      <c r="L4175" s="8" t="s">
        <v>58</v>
      </c>
      <c r="M4175" s="8" t="s">
        <v>35</v>
      </c>
      <c r="N4175" s="11">
        <v>45280.0</v>
      </c>
      <c r="O4175" s="11">
        <v>45474.0</v>
      </c>
      <c r="P4175" s="11">
        <v>45516.0</v>
      </c>
      <c r="Q4175" s="11"/>
      <c r="R4175" s="11"/>
      <c r="S4175" s="12"/>
      <c r="T4175" s="8"/>
      <c r="U4175" s="8" t="s">
        <v>402</v>
      </c>
      <c r="V4175" s="13" t="s">
        <v>111</v>
      </c>
      <c r="W4175" s="13" t="s">
        <v>19216</v>
      </c>
      <c r="X4175" s="12"/>
      <c r="Y4175" s="14"/>
      <c r="Z4175" s="14"/>
    </row>
    <row r="4176">
      <c r="A4176" s="8" t="s">
        <v>19217</v>
      </c>
      <c r="B4176" s="8" t="s">
        <v>19218</v>
      </c>
      <c r="C4176" s="8" t="s">
        <v>179</v>
      </c>
      <c r="D4176" s="8" t="s">
        <v>26</v>
      </c>
      <c r="E4176" s="8" t="s">
        <v>19219</v>
      </c>
      <c r="F4176" s="8">
        <v>5.076452458E9</v>
      </c>
      <c r="G4176" s="8" t="s">
        <v>31</v>
      </c>
      <c r="H4176" s="8" t="s">
        <v>66</v>
      </c>
      <c r="I4176" s="8" t="s">
        <v>284</v>
      </c>
      <c r="J4176" s="8" t="s">
        <v>793</v>
      </c>
      <c r="K4176" s="10" t="s">
        <v>15528</v>
      </c>
      <c r="L4176" s="8" t="s">
        <v>58</v>
      </c>
      <c r="M4176" s="8" t="s">
        <v>35</v>
      </c>
      <c r="N4176" s="11">
        <v>45280.0</v>
      </c>
      <c r="O4176" s="11">
        <v>45474.0</v>
      </c>
      <c r="P4176" s="11">
        <v>45516.0</v>
      </c>
      <c r="Q4176" s="11"/>
      <c r="R4176" s="11"/>
      <c r="S4176" s="12"/>
      <c r="T4176" s="8"/>
      <c r="U4176" s="8" t="s">
        <v>59</v>
      </c>
      <c r="V4176" s="13" t="s">
        <v>5212</v>
      </c>
      <c r="W4176" s="13" t="s">
        <v>19220</v>
      </c>
      <c r="X4176" s="12"/>
      <c r="Y4176" s="14"/>
      <c r="Z4176" s="14"/>
    </row>
    <row r="4177">
      <c r="A4177" s="8" t="s">
        <v>19221</v>
      </c>
      <c r="B4177" s="8" t="s">
        <v>19222</v>
      </c>
      <c r="C4177" s="8" t="s">
        <v>179</v>
      </c>
      <c r="D4177" s="8" t="s">
        <v>26</v>
      </c>
      <c r="E4177" s="8" t="s">
        <v>19223</v>
      </c>
      <c r="F4177" s="8">
        <v>5.438481083E9</v>
      </c>
      <c r="G4177" s="8" t="s">
        <v>31</v>
      </c>
      <c r="H4177" s="8" t="s">
        <v>66</v>
      </c>
      <c r="I4177" s="8" t="s">
        <v>284</v>
      </c>
      <c r="J4177" s="8" t="s">
        <v>793</v>
      </c>
      <c r="K4177" s="10" t="s">
        <v>19224</v>
      </c>
      <c r="L4177" s="8" t="s">
        <v>58</v>
      </c>
      <c r="M4177" s="8" t="s">
        <v>35</v>
      </c>
      <c r="N4177" s="11">
        <v>45280.0</v>
      </c>
      <c r="O4177" s="11">
        <v>45474.0</v>
      </c>
      <c r="P4177" s="11">
        <v>45516.0</v>
      </c>
      <c r="Q4177" s="11"/>
      <c r="R4177" s="11"/>
      <c r="S4177" s="12"/>
      <c r="T4177" s="8"/>
      <c r="U4177" s="8" t="s">
        <v>161</v>
      </c>
      <c r="V4177" s="13" t="s">
        <v>5212</v>
      </c>
      <c r="W4177" s="13" t="s">
        <v>19225</v>
      </c>
      <c r="X4177" s="12"/>
      <c r="Y4177" s="14"/>
      <c r="Z4177" s="14"/>
    </row>
    <row r="4178">
      <c r="A4178" s="8" t="s">
        <v>19226</v>
      </c>
      <c r="B4178" s="8" t="s">
        <v>19227</v>
      </c>
      <c r="C4178" s="8" t="s">
        <v>179</v>
      </c>
      <c r="D4178" s="8" t="s">
        <v>26</v>
      </c>
      <c r="E4178" s="8" t="s">
        <v>19228</v>
      </c>
      <c r="F4178" s="8">
        <v>6.942825014E9</v>
      </c>
      <c r="G4178" s="8" t="s">
        <v>143</v>
      </c>
      <c r="H4178" s="8" t="s">
        <v>3967</v>
      </c>
      <c r="I4178" s="8" t="s">
        <v>31</v>
      </c>
      <c r="J4178" s="8" t="s">
        <v>111</v>
      </c>
      <c r="K4178" s="10" t="s">
        <v>468</v>
      </c>
      <c r="L4178" s="8" t="s">
        <v>58</v>
      </c>
      <c r="M4178" s="8" t="s">
        <v>35</v>
      </c>
      <c r="N4178" s="11">
        <v>45280.0</v>
      </c>
      <c r="O4178" s="11">
        <v>45544.0</v>
      </c>
      <c r="P4178" s="11">
        <v>45586.0</v>
      </c>
      <c r="Q4178" s="11"/>
      <c r="R4178" s="11"/>
      <c r="S4178" s="12"/>
      <c r="T4178" s="8"/>
      <c r="U4178" s="8" t="s">
        <v>59</v>
      </c>
      <c r="V4178" s="13" t="s">
        <v>38</v>
      </c>
      <c r="W4178" s="13" t="s">
        <v>19229</v>
      </c>
      <c r="X4178" s="12"/>
      <c r="Y4178" s="14"/>
      <c r="Z4178" s="14"/>
    </row>
    <row r="4179">
      <c r="A4179" s="8" t="s">
        <v>19230</v>
      </c>
      <c r="B4179" s="8" t="s">
        <v>19231</v>
      </c>
      <c r="C4179" s="8" t="s">
        <v>179</v>
      </c>
      <c r="D4179" s="8" t="s">
        <v>26</v>
      </c>
      <c r="E4179" s="8" t="s">
        <v>19232</v>
      </c>
      <c r="F4179" s="8"/>
      <c r="G4179" s="8" t="s">
        <v>84</v>
      </c>
      <c r="H4179" s="8" t="s">
        <v>1156</v>
      </c>
      <c r="I4179" s="8" t="s">
        <v>31</v>
      </c>
      <c r="J4179" s="8" t="s">
        <v>86</v>
      </c>
      <c r="K4179" s="10" t="s">
        <v>5185</v>
      </c>
      <c r="L4179" s="8" t="s">
        <v>34</v>
      </c>
      <c r="M4179" s="8" t="s">
        <v>35</v>
      </c>
      <c r="N4179" s="11">
        <v>45280.0</v>
      </c>
      <c r="O4179" s="11">
        <v>45425.0</v>
      </c>
      <c r="P4179" s="11">
        <v>45506.0</v>
      </c>
      <c r="Q4179" s="11"/>
      <c r="R4179" s="11"/>
      <c r="S4179" s="12"/>
      <c r="T4179" s="8" t="s">
        <v>121</v>
      </c>
      <c r="U4179" s="8" t="s">
        <v>5186</v>
      </c>
      <c r="V4179" s="13" t="s">
        <v>38</v>
      </c>
      <c r="W4179" s="13" t="s">
        <v>19233</v>
      </c>
      <c r="X4179" s="12"/>
      <c r="Y4179" s="14"/>
      <c r="Z4179" s="14"/>
    </row>
    <row r="4180">
      <c r="A4180" s="8" t="s">
        <v>19234</v>
      </c>
      <c r="B4180" s="8" t="s">
        <v>19235</v>
      </c>
      <c r="C4180" s="8" t="s">
        <v>179</v>
      </c>
      <c r="D4180" s="8" t="s">
        <v>26</v>
      </c>
      <c r="E4180" s="8" t="s">
        <v>19236</v>
      </c>
      <c r="F4180" s="8">
        <v>6.40426818E8</v>
      </c>
      <c r="G4180" s="8" t="s">
        <v>221</v>
      </c>
      <c r="H4180" s="8" t="s">
        <v>3506</v>
      </c>
      <c r="I4180" s="8" t="s">
        <v>31</v>
      </c>
      <c r="J4180" s="8" t="s">
        <v>77</v>
      </c>
      <c r="K4180" s="10" t="s">
        <v>4188</v>
      </c>
      <c r="L4180" s="8" t="s">
        <v>58</v>
      </c>
      <c r="M4180" s="8" t="s">
        <v>35</v>
      </c>
      <c r="N4180" s="11">
        <v>45280.0</v>
      </c>
      <c r="O4180" s="11">
        <v>45446.0</v>
      </c>
      <c r="P4180" s="11">
        <v>45488.0</v>
      </c>
      <c r="Q4180" s="11"/>
      <c r="R4180" s="11"/>
      <c r="S4180" s="12"/>
      <c r="T4180" s="8"/>
      <c r="U4180" s="8" t="s">
        <v>59</v>
      </c>
      <c r="V4180" s="13" t="s">
        <v>3507</v>
      </c>
      <c r="W4180" s="13" t="s">
        <v>19237</v>
      </c>
      <c r="X4180" s="12"/>
      <c r="Y4180" s="14"/>
      <c r="Z4180" s="14"/>
    </row>
    <row r="4181">
      <c r="A4181" s="8" t="s">
        <v>19238</v>
      </c>
      <c r="B4181" s="8" t="s">
        <v>19239</v>
      </c>
      <c r="C4181" s="8" t="s">
        <v>179</v>
      </c>
      <c r="D4181" s="8" t="s">
        <v>26</v>
      </c>
      <c r="E4181" s="8" t="s">
        <v>19240</v>
      </c>
      <c r="F4181" s="8">
        <v>2.7804615E7</v>
      </c>
      <c r="G4181" s="8" t="s">
        <v>54</v>
      </c>
      <c r="H4181" s="8" t="s">
        <v>76</v>
      </c>
      <c r="I4181" s="8" t="s">
        <v>31</v>
      </c>
      <c r="J4181" s="8" t="s">
        <v>77</v>
      </c>
      <c r="K4181" s="10" t="s">
        <v>6682</v>
      </c>
      <c r="L4181" s="8" t="s">
        <v>58</v>
      </c>
      <c r="M4181" s="8" t="s">
        <v>35</v>
      </c>
      <c r="N4181" s="11">
        <v>45280.0</v>
      </c>
      <c r="O4181" s="11">
        <v>45446.0</v>
      </c>
      <c r="P4181" s="11">
        <v>45488.0</v>
      </c>
      <c r="Q4181" s="11"/>
      <c r="R4181" s="11"/>
      <c r="S4181" s="12"/>
      <c r="T4181" s="8"/>
      <c r="U4181" s="8" t="s">
        <v>59</v>
      </c>
      <c r="V4181" s="13" t="s">
        <v>491</v>
      </c>
      <c r="W4181" s="13" t="s">
        <v>19241</v>
      </c>
      <c r="X4181" s="12"/>
      <c r="Y4181" s="14"/>
      <c r="Z4181" s="14"/>
    </row>
    <row r="4182">
      <c r="A4182" s="8" t="s">
        <v>19242</v>
      </c>
      <c r="B4182" s="8" t="s">
        <v>19243</v>
      </c>
      <c r="C4182" s="8" t="s">
        <v>179</v>
      </c>
      <c r="D4182" s="8" t="s">
        <v>26</v>
      </c>
      <c r="E4182" s="8" t="s">
        <v>19244</v>
      </c>
      <c r="F4182" s="8"/>
      <c r="G4182" s="8" t="s">
        <v>54</v>
      </c>
      <c r="H4182" s="8" t="s">
        <v>55</v>
      </c>
      <c r="I4182" s="8" t="s">
        <v>31</v>
      </c>
      <c r="J4182" s="8" t="s">
        <v>77</v>
      </c>
      <c r="K4182" s="10" t="s">
        <v>4188</v>
      </c>
      <c r="L4182" s="8" t="s">
        <v>58</v>
      </c>
      <c r="M4182" s="8" t="s">
        <v>35</v>
      </c>
      <c r="N4182" s="11">
        <v>45280.0</v>
      </c>
      <c r="O4182" s="11">
        <v>45474.0</v>
      </c>
      <c r="P4182" s="11">
        <v>45516.0</v>
      </c>
      <c r="Q4182" s="11"/>
      <c r="R4182" s="11"/>
      <c r="S4182" s="12"/>
      <c r="T4182" s="8"/>
      <c r="U4182" s="8" t="s">
        <v>59</v>
      </c>
      <c r="V4182" s="13" t="s">
        <v>38</v>
      </c>
      <c r="W4182" s="13" t="s">
        <v>19245</v>
      </c>
      <c r="X4182" s="12"/>
      <c r="Y4182" s="14"/>
      <c r="Z4182" s="14"/>
    </row>
    <row r="4183">
      <c r="A4183" s="8" t="s">
        <v>19246</v>
      </c>
      <c r="B4183" s="8" t="s">
        <v>19247</v>
      </c>
      <c r="C4183" s="8" t="s">
        <v>179</v>
      </c>
      <c r="D4183" s="8" t="s">
        <v>26</v>
      </c>
      <c r="E4183" s="8" t="s">
        <v>19248</v>
      </c>
      <c r="F4183" s="8">
        <v>9.66464041E9</v>
      </c>
      <c r="G4183" s="8" t="s">
        <v>44</v>
      </c>
      <c r="H4183" s="8" t="s">
        <v>741</v>
      </c>
      <c r="I4183" s="8" t="s">
        <v>31</v>
      </c>
      <c r="J4183" s="8" t="s">
        <v>77</v>
      </c>
      <c r="K4183" s="10" t="s">
        <v>1281</v>
      </c>
      <c r="L4183" s="8" t="s">
        <v>58</v>
      </c>
      <c r="M4183" s="8" t="s">
        <v>35</v>
      </c>
      <c r="N4183" s="11">
        <v>45281.0</v>
      </c>
      <c r="O4183" s="11">
        <v>45413.0</v>
      </c>
      <c r="P4183" s="11">
        <v>45455.0</v>
      </c>
      <c r="Q4183" s="11"/>
      <c r="R4183" s="11"/>
      <c r="S4183" s="12"/>
      <c r="T4183" s="8"/>
      <c r="U4183" s="8" t="s">
        <v>59</v>
      </c>
      <c r="V4183" s="13" t="s">
        <v>19249</v>
      </c>
      <c r="W4183" s="13" t="s">
        <v>19250</v>
      </c>
      <c r="X4183" s="12"/>
      <c r="Y4183" s="14"/>
      <c r="Z4183" s="14"/>
    </row>
    <row r="4184">
      <c r="A4184" s="8" t="s">
        <v>19251</v>
      </c>
      <c r="B4184" s="8" t="s">
        <v>19252</v>
      </c>
      <c r="C4184" s="8" t="s">
        <v>179</v>
      </c>
      <c r="D4184" s="8" t="s">
        <v>26</v>
      </c>
      <c r="E4184" s="8" t="s">
        <v>19253</v>
      </c>
      <c r="F4184" s="8">
        <v>6.49118706E8</v>
      </c>
      <c r="G4184" s="8" t="s">
        <v>84</v>
      </c>
      <c r="H4184" s="8" t="s">
        <v>646</v>
      </c>
      <c r="I4184" s="8" t="s">
        <v>31</v>
      </c>
      <c r="J4184" s="8" t="s">
        <v>86</v>
      </c>
      <c r="K4184" s="10" t="s">
        <v>2404</v>
      </c>
      <c r="L4184" s="8" t="s">
        <v>34</v>
      </c>
      <c r="M4184" s="8" t="s">
        <v>70</v>
      </c>
      <c r="N4184" s="11">
        <v>45281.0</v>
      </c>
      <c r="O4184" s="11">
        <v>45334.0</v>
      </c>
      <c r="P4184" s="11">
        <v>45702.0</v>
      </c>
      <c r="Q4184" s="11"/>
      <c r="R4184" s="11"/>
      <c r="S4184" s="12"/>
      <c r="T4184" s="8" t="s">
        <v>36</v>
      </c>
      <c r="U4184" s="8" t="s">
        <v>2405</v>
      </c>
      <c r="V4184" s="13" t="s">
        <v>154</v>
      </c>
      <c r="W4184" s="13" t="s">
        <v>19254</v>
      </c>
      <c r="X4184" s="12"/>
      <c r="Y4184" s="14"/>
      <c r="Z4184" s="14"/>
    </row>
    <row r="4185">
      <c r="A4185" s="8" t="s">
        <v>19255</v>
      </c>
      <c r="B4185" s="8" t="s">
        <v>19256</v>
      </c>
      <c r="C4185" s="8" t="s">
        <v>179</v>
      </c>
      <c r="D4185" s="8" t="s">
        <v>26</v>
      </c>
      <c r="E4185" s="8" t="s">
        <v>19257</v>
      </c>
      <c r="F4185" s="8">
        <v>9.953989121E9</v>
      </c>
      <c r="G4185" s="8" t="s">
        <v>44</v>
      </c>
      <c r="H4185" s="8" t="s">
        <v>1433</v>
      </c>
      <c r="I4185" s="8" t="s">
        <v>31</v>
      </c>
      <c r="J4185" s="8" t="s">
        <v>102</v>
      </c>
      <c r="K4185" s="10" t="s">
        <v>1113</v>
      </c>
      <c r="L4185" s="8" t="s">
        <v>58</v>
      </c>
      <c r="M4185" s="8" t="s">
        <v>35</v>
      </c>
      <c r="N4185" s="11">
        <v>45281.0</v>
      </c>
      <c r="O4185" s="11">
        <v>45299.0</v>
      </c>
      <c r="P4185" s="11">
        <v>45341.0</v>
      </c>
      <c r="Q4185" s="11"/>
      <c r="R4185" s="11"/>
      <c r="S4185" s="12"/>
      <c r="T4185" s="8"/>
      <c r="U4185" s="8" t="s">
        <v>59</v>
      </c>
      <c r="V4185" s="13" t="s">
        <v>19258</v>
      </c>
      <c r="W4185" s="13" t="s">
        <v>19259</v>
      </c>
      <c r="X4185" s="12"/>
      <c r="Y4185" s="14"/>
      <c r="Z4185" s="14"/>
    </row>
    <row r="4186">
      <c r="A4186" s="8" t="s">
        <v>19260</v>
      </c>
      <c r="B4186" s="8" t="s">
        <v>4822</v>
      </c>
      <c r="C4186" s="8" t="s">
        <v>708</v>
      </c>
      <c r="D4186" s="8" t="s">
        <v>26</v>
      </c>
      <c r="E4186" s="8" t="s">
        <v>4823</v>
      </c>
      <c r="F4186" s="8">
        <v>5.056925059E9</v>
      </c>
      <c r="G4186" s="8" t="s">
        <v>31</v>
      </c>
      <c r="H4186" s="8" t="s">
        <v>32</v>
      </c>
      <c r="I4186" s="8" t="s">
        <v>221</v>
      </c>
      <c r="J4186" s="8" t="s">
        <v>3001</v>
      </c>
      <c r="K4186" s="10" t="s">
        <v>19261</v>
      </c>
      <c r="L4186" s="8" t="s">
        <v>58</v>
      </c>
      <c r="M4186" s="8" t="s">
        <v>35</v>
      </c>
      <c r="N4186" s="11">
        <v>45281.0</v>
      </c>
      <c r="O4186" s="11">
        <v>45307.0</v>
      </c>
      <c r="P4186" s="11">
        <v>45349.0</v>
      </c>
      <c r="Q4186" s="11">
        <v>45319.0</v>
      </c>
      <c r="R4186" s="11">
        <v>45360.0</v>
      </c>
      <c r="S4186" s="12"/>
      <c r="T4186" s="8"/>
      <c r="U4186" s="8" t="s">
        <v>371</v>
      </c>
      <c r="V4186" s="13" t="s">
        <v>537</v>
      </c>
      <c r="W4186" s="13" t="s">
        <v>4825</v>
      </c>
      <c r="X4186" s="12"/>
      <c r="Y4186" s="14"/>
      <c r="Z4186" s="14"/>
    </row>
    <row r="4187">
      <c r="A4187" s="8" t="s">
        <v>19262</v>
      </c>
      <c r="B4187" s="8" t="s">
        <v>19263</v>
      </c>
      <c r="C4187" s="8" t="s">
        <v>179</v>
      </c>
      <c r="D4187" s="8" t="s">
        <v>26</v>
      </c>
      <c r="E4187" s="8" t="s">
        <v>19264</v>
      </c>
      <c r="F4187" s="8">
        <v>5.537563001E9</v>
      </c>
      <c r="G4187" s="8" t="s">
        <v>31</v>
      </c>
      <c r="H4187" s="8" t="s">
        <v>56</v>
      </c>
      <c r="I4187" s="8" t="s">
        <v>127</v>
      </c>
      <c r="J4187" s="8" t="s">
        <v>159</v>
      </c>
      <c r="K4187" s="10" t="s">
        <v>19265</v>
      </c>
      <c r="L4187" s="8" t="s">
        <v>58</v>
      </c>
      <c r="M4187" s="8" t="s">
        <v>35</v>
      </c>
      <c r="N4187" s="11">
        <v>45282.0</v>
      </c>
      <c r="O4187" s="11">
        <v>45474.0</v>
      </c>
      <c r="P4187" s="11">
        <v>45516.0</v>
      </c>
      <c r="Q4187" s="11"/>
      <c r="R4187" s="11"/>
      <c r="S4187" s="12"/>
      <c r="T4187" s="8"/>
      <c r="U4187" s="8" t="s">
        <v>59</v>
      </c>
      <c r="V4187" s="13" t="s">
        <v>56</v>
      </c>
      <c r="W4187" s="13" t="s">
        <v>19266</v>
      </c>
      <c r="X4187" s="12"/>
      <c r="Y4187" s="14"/>
      <c r="Z4187" s="14"/>
    </row>
    <row r="4188">
      <c r="A4188" s="8" t="s">
        <v>19267</v>
      </c>
      <c r="B4188" s="8" t="s">
        <v>19268</v>
      </c>
      <c r="C4188" s="8" t="s">
        <v>179</v>
      </c>
      <c r="D4188" s="8" t="s">
        <v>26</v>
      </c>
      <c r="E4188" s="8" t="s">
        <v>19269</v>
      </c>
      <c r="F4188" s="8">
        <v>5.393086073E9</v>
      </c>
      <c r="G4188" s="8" t="s">
        <v>31</v>
      </c>
      <c r="H4188" s="8" t="s">
        <v>86</v>
      </c>
      <c r="I4188" s="8" t="s">
        <v>284</v>
      </c>
      <c r="J4188" s="8" t="s">
        <v>793</v>
      </c>
      <c r="K4188" s="10" t="s">
        <v>17338</v>
      </c>
      <c r="L4188" s="8" t="s">
        <v>58</v>
      </c>
      <c r="M4188" s="8" t="s">
        <v>35</v>
      </c>
      <c r="N4188" s="11">
        <v>45282.0</v>
      </c>
      <c r="O4188" s="11">
        <v>45488.0</v>
      </c>
      <c r="P4188" s="11">
        <v>45530.0</v>
      </c>
      <c r="Q4188" s="11"/>
      <c r="R4188" s="11"/>
      <c r="S4188" s="12"/>
      <c r="T4188" s="8"/>
      <c r="U4188" s="8" t="s">
        <v>1590</v>
      </c>
      <c r="V4188" s="13" t="s">
        <v>175</v>
      </c>
      <c r="W4188" s="13" t="s">
        <v>19270</v>
      </c>
      <c r="X4188" s="12"/>
      <c r="Y4188" s="14"/>
      <c r="Z4188" s="14"/>
    </row>
    <row r="4189">
      <c r="A4189" s="8" t="s">
        <v>19271</v>
      </c>
      <c r="B4189" s="8" t="s">
        <v>19272</v>
      </c>
      <c r="C4189" s="8" t="s">
        <v>179</v>
      </c>
      <c r="D4189" s="8" t="s">
        <v>26</v>
      </c>
      <c r="E4189" s="8" t="s">
        <v>19273</v>
      </c>
      <c r="F4189" s="8"/>
      <c r="G4189" s="8" t="s">
        <v>31</v>
      </c>
      <c r="H4189" s="8" t="s">
        <v>56</v>
      </c>
      <c r="I4189" s="8" t="s">
        <v>143</v>
      </c>
      <c r="J4189" s="8" t="s">
        <v>1478</v>
      </c>
      <c r="K4189" s="10" t="s">
        <v>19274</v>
      </c>
      <c r="L4189" s="8" t="s">
        <v>58</v>
      </c>
      <c r="M4189" s="8" t="s">
        <v>35</v>
      </c>
      <c r="N4189" s="11">
        <v>45282.0</v>
      </c>
      <c r="O4189" s="11">
        <v>45320.0</v>
      </c>
      <c r="P4189" s="11">
        <v>45362.0</v>
      </c>
      <c r="Q4189" s="11"/>
      <c r="R4189" s="11"/>
      <c r="S4189" s="12"/>
      <c r="T4189" s="8"/>
      <c r="U4189" s="8" t="s">
        <v>59</v>
      </c>
      <c r="V4189" s="13" t="s">
        <v>38</v>
      </c>
      <c r="W4189" s="13" t="s">
        <v>19275</v>
      </c>
      <c r="X4189" s="12"/>
      <c r="Y4189" s="14"/>
      <c r="Z4189" s="14"/>
    </row>
    <row r="4190">
      <c r="A4190" s="8" t="s">
        <v>19276</v>
      </c>
      <c r="B4190" s="8" t="s">
        <v>19277</v>
      </c>
      <c r="C4190" s="8" t="s">
        <v>708</v>
      </c>
      <c r="D4190" s="8" t="s">
        <v>26</v>
      </c>
      <c r="E4190" s="8" t="s">
        <v>19278</v>
      </c>
      <c r="F4190" s="8">
        <v>5.302366242E9</v>
      </c>
      <c r="G4190" s="8" t="s">
        <v>31</v>
      </c>
      <c r="H4190" s="8" t="s">
        <v>86</v>
      </c>
      <c r="I4190" s="8" t="s">
        <v>1400</v>
      </c>
      <c r="J4190" s="8" t="s">
        <v>1728</v>
      </c>
      <c r="K4190" s="10" t="s">
        <v>19279</v>
      </c>
      <c r="L4190" s="8" t="s">
        <v>58</v>
      </c>
      <c r="M4190" s="8" t="s">
        <v>35</v>
      </c>
      <c r="N4190" s="11">
        <v>45282.0</v>
      </c>
      <c r="O4190" s="11">
        <v>45306.0</v>
      </c>
      <c r="P4190" s="11">
        <v>45348.0</v>
      </c>
      <c r="Q4190" s="11">
        <v>45309.0</v>
      </c>
      <c r="R4190" s="11">
        <v>45351.0</v>
      </c>
      <c r="S4190" s="12"/>
      <c r="T4190" s="8"/>
      <c r="U4190" s="8" t="s">
        <v>88</v>
      </c>
      <c r="V4190" s="13" t="s">
        <v>175</v>
      </c>
      <c r="W4190" s="13" t="s">
        <v>19280</v>
      </c>
      <c r="X4190" s="12"/>
      <c r="Y4190" s="14"/>
      <c r="Z4190" s="14"/>
    </row>
    <row r="4191">
      <c r="A4191" s="8" t="s">
        <v>19281</v>
      </c>
      <c r="B4191" s="8" t="s">
        <v>19282</v>
      </c>
      <c r="C4191" s="8" t="s">
        <v>179</v>
      </c>
      <c r="D4191" s="8" t="s">
        <v>26</v>
      </c>
      <c r="E4191" s="8" t="s">
        <v>19283</v>
      </c>
      <c r="F4191" s="8">
        <v>5.393122102E9</v>
      </c>
      <c r="G4191" s="8" t="s">
        <v>31</v>
      </c>
      <c r="H4191" s="8" t="s">
        <v>86</v>
      </c>
      <c r="I4191" s="8" t="s">
        <v>284</v>
      </c>
      <c r="J4191" s="8" t="s">
        <v>793</v>
      </c>
      <c r="K4191" s="10" t="s">
        <v>17338</v>
      </c>
      <c r="L4191" s="8" t="s">
        <v>58</v>
      </c>
      <c r="M4191" s="8" t="s">
        <v>35</v>
      </c>
      <c r="N4191" s="11">
        <v>45282.0</v>
      </c>
      <c r="O4191" s="11">
        <v>45488.0</v>
      </c>
      <c r="P4191" s="11">
        <v>45530.0</v>
      </c>
      <c r="Q4191" s="11"/>
      <c r="R4191" s="11"/>
      <c r="S4191" s="12"/>
      <c r="T4191" s="8"/>
      <c r="U4191" s="8" t="s">
        <v>1590</v>
      </c>
      <c r="V4191" s="13" t="s">
        <v>175</v>
      </c>
      <c r="W4191" s="13" t="s">
        <v>19284</v>
      </c>
      <c r="X4191" s="12"/>
      <c r="Y4191" s="14"/>
      <c r="Z4191" s="14"/>
    </row>
    <row r="4192">
      <c r="A4192" s="8" t="s">
        <v>19285</v>
      </c>
      <c r="B4192" s="8" t="s">
        <v>19286</v>
      </c>
      <c r="C4192" s="8" t="s">
        <v>708</v>
      </c>
      <c r="D4192" s="8" t="s">
        <v>26</v>
      </c>
      <c r="E4192" s="8" t="s">
        <v>19287</v>
      </c>
      <c r="F4192" s="8">
        <v>5.458541583E9</v>
      </c>
      <c r="G4192" s="8" t="s">
        <v>31</v>
      </c>
      <c r="H4192" s="8" t="s">
        <v>292</v>
      </c>
      <c r="I4192" s="8" t="s">
        <v>221</v>
      </c>
      <c r="J4192" s="8" t="s">
        <v>3001</v>
      </c>
      <c r="K4192" s="10" t="s">
        <v>19288</v>
      </c>
      <c r="L4192" s="8" t="s">
        <v>58</v>
      </c>
      <c r="M4192" s="8" t="s">
        <v>35</v>
      </c>
      <c r="N4192" s="11">
        <v>45282.0</v>
      </c>
      <c r="O4192" s="11">
        <v>45307.0</v>
      </c>
      <c r="P4192" s="11">
        <v>45349.0</v>
      </c>
      <c r="Q4192" s="11">
        <v>45313.0</v>
      </c>
      <c r="R4192" s="11">
        <v>45355.0</v>
      </c>
      <c r="S4192" s="12"/>
      <c r="T4192" s="8"/>
      <c r="U4192" s="8" t="s">
        <v>88</v>
      </c>
      <c r="V4192" s="13" t="s">
        <v>292</v>
      </c>
      <c r="W4192" s="13" t="s">
        <v>19289</v>
      </c>
      <c r="X4192" s="12"/>
      <c r="Y4192" s="14"/>
      <c r="Z4192" s="14"/>
    </row>
    <row r="4193">
      <c r="A4193" s="8" t="s">
        <v>19290</v>
      </c>
      <c r="B4193" s="8" t="s">
        <v>19291</v>
      </c>
      <c r="C4193" s="8" t="s">
        <v>179</v>
      </c>
      <c r="D4193" s="8" t="s">
        <v>26</v>
      </c>
      <c r="E4193" s="8" t="s">
        <v>19292</v>
      </c>
      <c r="F4193" s="8">
        <v>5.524223433E9</v>
      </c>
      <c r="G4193" s="8" t="s">
        <v>31</v>
      </c>
      <c r="H4193" s="8" t="s">
        <v>66</v>
      </c>
      <c r="I4193" s="8" t="s">
        <v>284</v>
      </c>
      <c r="J4193" s="8" t="s">
        <v>793</v>
      </c>
      <c r="K4193" s="10" t="s">
        <v>19293</v>
      </c>
      <c r="L4193" s="8" t="s">
        <v>58</v>
      </c>
      <c r="M4193" s="8" t="s">
        <v>35</v>
      </c>
      <c r="N4193" s="11">
        <v>45283.0</v>
      </c>
      <c r="O4193" s="11">
        <v>45474.0</v>
      </c>
      <c r="P4193" s="11">
        <v>45516.0</v>
      </c>
      <c r="Q4193" s="11"/>
      <c r="R4193" s="11"/>
      <c r="S4193" s="12"/>
      <c r="T4193" s="8"/>
      <c r="U4193" s="8" t="s">
        <v>371</v>
      </c>
      <c r="V4193" s="13" t="s">
        <v>5212</v>
      </c>
      <c r="W4193" s="13" t="s">
        <v>19294</v>
      </c>
      <c r="X4193" s="12"/>
      <c r="Y4193" s="14"/>
      <c r="Z4193" s="14"/>
    </row>
    <row r="4194">
      <c r="A4194" s="8" t="s">
        <v>19295</v>
      </c>
      <c r="B4194" s="8" t="s">
        <v>19296</v>
      </c>
      <c r="C4194" s="8" t="s">
        <v>708</v>
      </c>
      <c r="D4194" s="8" t="s">
        <v>26</v>
      </c>
      <c r="E4194" s="8" t="s">
        <v>19297</v>
      </c>
      <c r="F4194" s="8">
        <v>8.8976927285E10</v>
      </c>
      <c r="G4194" s="8" t="s">
        <v>4181</v>
      </c>
      <c r="H4194" s="8" t="s">
        <v>19298</v>
      </c>
      <c r="I4194" s="8" t="s">
        <v>31</v>
      </c>
      <c r="J4194" s="8" t="s">
        <v>32</v>
      </c>
      <c r="K4194" s="10" t="s">
        <v>716</v>
      </c>
      <c r="L4194" s="8" t="s">
        <v>47</v>
      </c>
      <c r="M4194" s="8" t="s">
        <v>70</v>
      </c>
      <c r="N4194" s="11">
        <v>45283.0</v>
      </c>
      <c r="O4194" s="11">
        <v>45292.0</v>
      </c>
      <c r="P4194" s="11">
        <v>45657.0</v>
      </c>
      <c r="Q4194" s="11">
        <v>45306.0</v>
      </c>
      <c r="R4194" s="11">
        <v>45671.0</v>
      </c>
      <c r="S4194" s="12"/>
      <c r="T4194" s="8"/>
      <c r="U4194" s="8" t="s">
        <v>717</v>
      </c>
      <c r="V4194" s="13" t="s">
        <v>19299</v>
      </c>
      <c r="W4194" s="13" t="s">
        <v>19300</v>
      </c>
      <c r="X4194" s="12"/>
      <c r="Y4194" s="14"/>
      <c r="Z4194" s="14"/>
    </row>
    <row r="4195">
      <c r="A4195" s="8" t="s">
        <v>19301</v>
      </c>
      <c r="B4195" s="8" t="s">
        <v>19302</v>
      </c>
      <c r="C4195" s="8" t="s">
        <v>708</v>
      </c>
      <c r="D4195" s="8" t="s">
        <v>26</v>
      </c>
      <c r="E4195" s="8" t="s">
        <v>19303</v>
      </c>
      <c r="F4195" s="8">
        <v>3.9422335E7</v>
      </c>
      <c r="G4195" s="8" t="s">
        <v>3614</v>
      </c>
      <c r="H4195" s="8" t="s">
        <v>3615</v>
      </c>
      <c r="I4195" s="8" t="s">
        <v>31</v>
      </c>
      <c r="J4195" s="8" t="s">
        <v>136</v>
      </c>
      <c r="K4195" s="10" t="s">
        <v>394</v>
      </c>
      <c r="L4195" s="8" t="s">
        <v>58</v>
      </c>
      <c r="M4195" s="8" t="s">
        <v>35</v>
      </c>
      <c r="N4195" s="11">
        <v>45283.0</v>
      </c>
      <c r="O4195" s="11">
        <v>45293.0</v>
      </c>
      <c r="P4195" s="11">
        <v>45335.0</v>
      </c>
      <c r="Q4195" s="11">
        <v>45299.0</v>
      </c>
      <c r="R4195" s="11">
        <v>45339.0</v>
      </c>
      <c r="S4195" s="12"/>
      <c r="T4195" s="8"/>
      <c r="U4195" s="8" t="s">
        <v>59</v>
      </c>
      <c r="V4195" s="13" t="s">
        <v>3616</v>
      </c>
      <c r="W4195" s="13" t="s">
        <v>19304</v>
      </c>
      <c r="X4195" s="12"/>
      <c r="Y4195" s="14"/>
      <c r="Z4195" s="14"/>
    </row>
    <row r="4196">
      <c r="A4196" s="8" t="s">
        <v>19305</v>
      </c>
      <c r="B4196" s="8" t="s">
        <v>19306</v>
      </c>
      <c r="C4196" s="8" t="s">
        <v>179</v>
      </c>
      <c r="D4196" s="8" t="s">
        <v>26</v>
      </c>
      <c r="E4196" s="8" t="s">
        <v>19307</v>
      </c>
      <c r="F4196" s="8">
        <v>5.338489361E9</v>
      </c>
      <c r="G4196" s="8" t="s">
        <v>31</v>
      </c>
      <c r="H4196" s="8" t="s">
        <v>959</v>
      </c>
      <c r="I4196" s="8" t="s">
        <v>277</v>
      </c>
      <c r="J4196" s="8" t="s">
        <v>278</v>
      </c>
      <c r="K4196" s="10" t="s">
        <v>7861</v>
      </c>
      <c r="L4196" s="8" t="s">
        <v>58</v>
      </c>
      <c r="M4196" s="8" t="s">
        <v>35</v>
      </c>
      <c r="N4196" s="11">
        <v>45284.0</v>
      </c>
      <c r="O4196" s="11">
        <v>45476.0</v>
      </c>
      <c r="P4196" s="11">
        <v>45518.0</v>
      </c>
      <c r="Q4196" s="11"/>
      <c r="R4196" s="11"/>
      <c r="S4196" s="12"/>
      <c r="T4196" s="8"/>
      <c r="U4196" s="8" t="s">
        <v>88</v>
      </c>
      <c r="V4196" s="13" t="s">
        <v>537</v>
      </c>
      <c r="W4196" s="13" t="s">
        <v>19308</v>
      </c>
      <c r="X4196" s="12"/>
      <c r="Y4196" s="14"/>
      <c r="Z4196" s="14"/>
    </row>
    <row r="4197">
      <c r="A4197" s="8" t="s">
        <v>19309</v>
      </c>
      <c r="B4197" s="8" t="s">
        <v>3514</v>
      </c>
      <c r="C4197" s="8" t="s">
        <v>179</v>
      </c>
      <c r="D4197" s="8" t="s">
        <v>26</v>
      </c>
      <c r="E4197" s="8" t="s">
        <v>3515</v>
      </c>
      <c r="F4197" s="8">
        <v>6.65726223E8</v>
      </c>
      <c r="G4197" s="8" t="s">
        <v>254</v>
      </c>
      <c r="H4197" s="8" t="s">
        <v>422</v>
      </c>
      <c r="I4197" s="8" t="s">
        <v>31</v>
      </c>
      <c r="J4197" s="8" t="s">
        <v>86</v>
      </c>
      <c r="K4197" s="10" t="s">
        <v>2404</v>
      </c>
      <c r="L4197" s="8" t="s">
        <v>34</v>
      </c>
      <c r="M4197" s="8" t="s">
        <v>70</v>
      </c>
      <c r="N4197" s="11">
        <v>45284.0</v>
      </c>
      <c r="O4197" s="11">
        <v>45334.0</v>
      </c>
      <c r="P4197" s="11">
        <v>45702.0</v>
      </c>
      <c r="Q4197" s="11"/>
      <c r="R4197" s="11"/>
      <c r="S4197" s="12"/>
      <c r="T4197" s="8" t="s">
        <v>36</v>
      </c>
      <c r="U4197" s="8" t="s">
        <v>2405</v>
      </c>
      <c r="V4197" s="13" t="s">
        <v>425</v>
      </c>
      <c r="W4197" s="13" t="s">
        <v>3516</v>
      </c>
      <c r="X4197" s="12"/>
      <c r="Y4197" s="14"/>
      <c r="Z4197" s="14"/>
    </row>
    <row r="4198">
      <c r="A4198" s="8" t="s">
        <v>19310</v>
      </c>
      <c r="B4198" s="8" t="s">
        <v>19311</v>
      </c>
      <c r="C4198" s="8" t="s">
        <v>179</v>
      </c>
      <c r="D4198" s="8" t="s">
        <v>26</v>
      </c>
      <c r="E4198" s="8" t="s">
        <v>19312</v>
      </c>
      <c r="F4198" s="8">
        <v>5.54107866E8</v>
      </c>
      <c r="G4198" s="8" t="s">
        <v>254</v>
      </c>
      <c r="H4198" s="8" t="s">
        <v>3087</v>
      </c>
      <c r="I4198" s="8" t="s">
        <v>31</v>
      </c>
      <c r="J4198" s="8" t="s">
        <v>86</v>
      </c>
      <c r="K4198" s="10" t="s">
        <v>2404</v>
      </c>
      <c r="L4198" s="8" t="s">
        <v>34</v>
      </c>
      <c r="M4198" s="8" t="s">
        <v>70</v>
      </c>
      <c r="N4198" s="11">
        <v>45285.0</v>
      </c>
      <c r="O4198" s="11">
        <v>45348.0</v>
      </c>
      <c r="P4198" s="11">
        <v>45716.0</v>
      </c>
      <c r="Q4198" s="11"/>
      <c r="R4198" s="11"/>
      <c r="S4198" s="12"/>
      <c r="T4198" s="8" t="s">
        <v>36</v>
      </c>
      <c r="U4198" s="8" t="s">
        <v>2405</v>
      </c>
      <c r="V4198" s="13" t="s">
        <v>3088</v>
      </c>
      <c r="W4198" s="13" t="s">
        <v>19313</v>
      </c>
      <c r="X4198" s="12"/>
      <c r="Y4198" s="14"/>
      <c r="Z4198" s="14"/>
    </row>
    <row r="4199">
      <c r="A4199" s="8" t="s">
        <v>19314</v>
      </c>
      <c r="B4199" s="8" t="s">
        <v>19315</v>
      </c>
      <c r="C4199" s="8" t="s">
        <v>179</v>
      </c>
      <c r="D4199" s="8" t="s">
        <v>26</v>
      </c>
      <c r="E4199" s="8" t="s">
        <v>19316</v>
      </c>
      <c r="F4199" s="8">
        <v>5.359452154E9</v>
      </c>
      <c r="G4199" s="8" t="s">
        <v>31</v>
      </c>
      <c r="H4199" s="8" t="s">
        <v>86</v>
      </c>
      <c r="I4199" s="8" t="s">
        <v>44</v>
      </c>
      <c r="J4199" s="8" t="s">
        <v>741</v>
      </c>
      <c r="K4199" s="10" t="s">
        <v>19317</v>
      </c>
      <c r="L4199" s="8" t="s">
        <v>58</v>
      </c>
      <c r="M4199" s="8" t="s">
        <v>35</v>
      </c>
      <c r="N4199" s="11">
        <v>45285.0</v>
      </c>
      <c r="O4199" s="11">
        <v>45550.0</v>
      </c>
      <c r="P4199" s="11">
        <v>45592.0</v>
      </c>
      <c r="Q4199" s="11"/>
      <c r="R4199" s="11"/>
      <c r="S4199" s="12"/>
      <c r="T4199" s="8"/>
      <c r="U4199" s="8" t="s">
        <v>3111</v>
      </c>
      <c r="V4199" s="13" t="s">
        <v>175</v>
      </c>
      <c r="W4199" s="13" t="s">
        <v>19318</v>
      </c>
      <c r="X4199" s="12"/>
      <c r="Y4199" s="14"/>
      <c r="Z4199" s="14"/>
    </row>
    <row r="4200">
      <c r="A4200" s="8" t="s">
        <v>19319</v>
      </c>
      <c r="B4200" s="8" t="s">
        <v>19320</v>
      </c>
      <c r="C4200" s="8" t="s">
        <v>179</v>
      </c>
      <c r="D4200" s="8" t="s">
        <v>26</v>
      </c>
      <c r="E4200" s="8" t="s">
        <v>19321</v>
      </c>
      <c r="F4200" s="8"/>
      <c r="G4200" s="8" t="s">
        <v>109</v>
      </c>
      <c r="H4200" s="8" t="s">
        <v>4031</v>
      </c>
      <c r="I4200" s="8" t="s">
        <v>31</v>
      </c>
      <c r="J4200" s="8" t="s">
        <v>256</v>
      </c>
      <c r="K4200" s="10" t="s">
        <v>19322</v>
      </c>
      <c r="L4200" s="8" t="s">
        <v>34</v>
      </c>
      <c r="M4200" s="8" t="s">
        <v>70</v>
      </c>
      <c r="N4200" s="11">
        <v>45285.0</v>
      </c>
      <c r="O4200" s="11">
        <v>45291.0</v>
      </c>
      <c r="P4200" s="11">
        <v>45656.0</v>
      </c>
      <c r="Q4200" s="11"/>
      <c r="R4200" s="11"/>
      <c r="S4200" s="12"/>
      <c r="T4200" s="8" t="s">
        <v>446</v>
      </c>
      <c r="U4200" s="8" t="s">
        <v>19323</v>
      </c>
      <c r="V4200" s="13" t="s">
        <v>38</v>
      </c>
      <c r="W4200" s="13" t="s">
        <v>19324</v>
      </c>
      <c r="X4200" s="12"/>
      <c r="Y4200" s="14"/>
      <c r="Z4200" s="14"/>
    </row>
    <row r="4201">
      <c r="A4201" s="8" t="s">
        <v>19325</v>
      </c>
      <c r="B4201" s="8" t="s">
        <v>19326</v>
      </c>
      <c r="C4201" s="8" t="s">
        <v>179</v>
      </c>
      <c r="D4201" s="8" t="s">
        <v>26</v>
      </c>
      <c r="E4201" s="8" t="s">
        <v>19327</v>
      </c>
      <c r="F4201" s="8"/>
      <c r="G4201" s="8" t="s">
        <v>5236</v>
      </c>
      <c r="H4201" s="8" t="s">
        <v>19328</v>
      </c>
      <c r="I4201" s="8" t="s">
        <v>31</v>
      </c>
      <c r="J4201" s="8" t="s">
        <v>86</v>
      </c>
      <c r="K4201" s="10" t="s">
        <v>7325</v>
      </c>
      <c r="L4201" s="8" t="s">
        <v>58</v>
      </c>
      <c r="M4201" s="8" t="s">
        <v>35</v>
      </c>
      <c r="N4201" s="11">
        <v>45285.0</v>
      </c>
      <c r="O4201" s="11">
        <v>45336.0</v>
      </c>
      <c r="P4201" s="11">
        <v>45378.0</v>
      </c>
      <c r="Q4201" s="11"/>
      <c r="R4201" s="11"/>
      <c r="S4201" s="12"/>
      <c r="T4201" s="8"/>
      <c r="U4201" s="8" t="s">
        <v>59</v>
      </c>
      <c r="V4201" s="13" t="s">
        <v>38</v>
      </c>
      <c r="W4201" s="13" t="s">
        <v>19329</v>
      </c>
      <c r="X4201" s="12"/>
      <c r="Y4201" s="14"/>
      <c r="Z4201" s="14"/>
    </row>
    <row r="4202">
      <c r="A4202" s="8" t="s">
        <v>19330</v>
      </c>
      <c r="B4202" s="8" t="s">
        <v>19331</v>
      </c>
      <c r="C4202" s="8" t="s">
        <v>179</v>
      </c>
      <c r="D4202" s="8" t="s">
        <v>26</v>
      </c>
      <c r="E4202" s="8" t="s">
        <v>19332</v>
      </c>
      <c r="F4202" s="8"/>
      <c r="G4202" s="8" t="s">
        <v>5236</v>
      </c>
      <c r="H4202" s="8" t="s">
        <v>19328</v>
      </c>
      <c r="I4202" s="8" t="s">
        <v>31</v>
      </c>
      <c r="J4202" s="8" t="s">
        <v>86</v>
      </c>
      <c r="K4202" s="10" t="s">
        <v>7325</v>
      </c>
      <c r="L4202" s="8" t="s">
        <v>58</v>
      </c>
      <c r="M4202" s="8" t="s">
        <v>35</v>
      </c>
      <c r="N4202" s="11">
        <v>45285.0</v>
      </c>
      <c r="O4202" s="11">
        <v>45336.0</v>
      </c>
      <c r="P4202" s="11">
        <v>45378.0</v>
      </c>
      <c r="Q4202" s="11"/>
      <c r="R4202" s="11"/>
      <c r="S4202" s="12"/>
      <c r="T4202" s="8"/>
      <c r="U4202" s="8" t="s">
        <v>59</v>
      </c>
      <c r="V4202" s="13" t="s">
        <v>38</v>
      </c>
      <c r="W4202" s="13" t="s">
        <v>19333</v>
      </c>
      <c r="X4202" s="12"/>
      <c r="Y4202" s="14"/>
      <c r="Z4202" s="14"/>
    </row>
    <row r="4203">
      <c r="A4203" s="8" t="s">
        <v>19334</v>
      </c>
      <c r="B4203" s="8" t="s">
        <v>19335</v>
      </c>
      <c r="C4203" s="8" t="s">
        <v>179</v>
      </c>
      <c r="D4203" s="8" t="s">
        <v>26</v>
      </c>
      <c r="E4203" s="8" t="s">
        <v>19336</v>
      </c>
      <c r="F4203" s="8"/>
      <c r="G4203" s="8" t="s">
        <v>5236</v>
      </c>
      <c r="H4203" s="8" t="s">
        <v>19328</v>
      </c>
      <c r="I4203" s="8" t="s">
        <v>31</v>
      </c>
      <c r="J4203" s="8" t="s">
        <v>86</v>
      </c>
      <c r="K4203" s="10" t="s">
        <v>7325</v>
      </c>
      <c r="L4203" s="8" t="s">
        <v>58</v>
      </c>
      <c r="M4203" s="8" t="s">
        <v>35</v>
      </c>
      <c r="N4203" s="11">
        <v>45285.0</v>
      </c>
      <c r="O4203" s="11">
        <v>45336.0</v>
      </c>
      <c r="P4203" s="11">
        <v>45378.0</v>
      </c>
      <c r="Q4203" s="11"/>
      <c r="R4203" s="11"/>
      <c r="S4203" s="12"/>
      <c r="T4203" s="8"/>
      <c r="U4203" s="8" t="s">
        <v>59</v>
      </c>
      <c r="V4203" s="13" t="s">
        <v>38</v>
      </c>
      <c r="W4203" s="13" t="s">
        <v>19337</v>
      </c>
      <c r="X4203" s="12"/>
      <c r="Y4203" s="14"/>
      <c r="Z4203" s="14"/>
    </row>
    <row r="4204">
      <c r="A4204" s="8" t="s">
        <v>19338</v>
      </c>
      <c r="B4204" s="8" t="s">
        <v>19339</v>
      </c>
      <c r="C4204" s="8" t="s">
        <v>179</v>
      </c>
      <c r="D4204" s="8" t="s">
        <v>26</v>
      </c>
      <c r="E4204" s="8" t="s">
        <v>19340</v>
      </c>
      <c r="F4204" s="8"/>
      <c r="G4204" s="8" t="s">
        <v>31</v>
      </c>
      <c r="H4204" s="8" t="s">
        <v>542</v>
      </c>
      <c r="I4204" s="8" t="s">
        <v>29</v>
      </c>
      <c r="J4204" s="8" t="s">
        <v>2269</v>
      </c>
      <c r="K4204" s="10" t="s">
        <v>19341</v>
      </c>
      <c r="L4204" s="8" t="s">
        <v>58</v>
      </c>
      <c r="M4204" s="8" t="s">
        <v>35</v>
      </c>
      <c r="N4204" s="11">
        <v>45286.0</v>
      </c>
      <c r="O4204" s="11">
        <v>45390.0</v>
      </c>
      <c r="P4204" s="11">
        <v>45432.0</v>
      </c>
      <c r="Q4204" s="11"/>
      <c r="R4204" s="11"/>
      <c r="S4204" s="12"/>
      <c r="T4204" s="8"/>
      <c r="U4204" s="8" t="s">
        <v>59</v>
      </c>
      <c r="V4204" s="13" t="s">
        <v>38</v>
      </c>
      <c r="W4204" s="13" t="s">
        <v>19342</v>
      </c>
      <c r="X4204" s="12"/>
      <c r="Y4204" s="14"/>
      <c r="Z4204" s="14"/>
    </row>
    <row r="4205">
      <c r="A4205" s="8" t="s">
        <v>19343</v>
      </c>
      <c r="B4205" s="8" t="s">
        <v>19344</v>
      </c>
      <c r="C4205" s="8" t="s">
        <v>179</v>
      </c>
      <c r="D4205" s="8" t="s">
        <v>26</v>
      </c>
      <c r="E4205" s="8" t="s">
        <v>19345</v>
      </c>
      <c r="F4205" s="8">
        <v>5.415605929E9</v>
      </c>
      <c r="G4205" s="8" t="s">
        <v>31</v>
      </c>
      <c r="H4205" s="8" t="s">
        <v>86</v>
      </c>
      <c r="I4205" s="8" t="s">
        <v>127</v>
      </c>
      <c r="J4205" s="8" t="s">
        <v>128</v>
      </c>
      <c r="K4205" s="10" t="s">
        <v>19346</v>
      </c>
      <c r="L4205" s="8" t="s">
        <v>58</v>
      </c>
      <c r="M4205" s="8" t="s">
        <v>35</v>
      </c>
      <c r="N4205" s="11">
        <v>45286.0</v>
      </c>
      <c r="O4205" s="11">
        <v>45460.0</v>
      </c>
      <c r="P4205" s="11">
        <v>45502.0</v>
      </c>
      <c r="Q4205" s="11"/>
      <c r="R4205" s="11"/>
      <c r="S4205" s="12"/>
      <c r="T4205" s="8"/>
      <c r="U4205" s="8" t="s">
        <v>161</v>
      </c>
      <c r="V4205" s="13" t="s">
        <v>175</v>
      </c>
      <c r="W4205" s="13" t="s">
        <v>19347</v>
      </c>
      <c r="X4205" s="12"/>
      <c r="Y4205" s="14"/>
      <c r="Z4205" s="14"/>
    </row>
    <row r="4206">
      <c r="A4206" s="8" t="s">
        <v>19348</v>
      </c>
      <c r="B4206" s="8" t="s">
        <v>19349</v>
      </c>
      <c r="C4206" s="8" t="s">
        <v>179</v>
      </c>
      <c r="D4206" s="8" t="s">
        <v>26</v>
      </c>
      <c r="E4206" s="8" t="s">
        <v>19350</v>
      </c>
      <c r="F4206" s="8">
        <v>5.444050961E9</v>
      </c>
      <c r="G4206" s="8" t="s">
        <v>31</v>
      </c>
      <c r="H4206" s="8" t="s">
        <v>102</v>
      </c>
      <c r="I4206" s="8" t="s">
        <v>44</v>
      </c>
      <c r="J4206" s="8" t="s">
        <v>2348</v>
      </c>
      <c r="K4206" s="10" t="s">
        <v>17978</v>
      </c>
      <c r="L4206" s="8" t="s">
        <v>58</v>
      </c>
      <c r="M4206" s="8" t="s">
        <v>35</v>
      </c>
      <c r="N4206" s="11">
        <v>45286.0</v>
      </c>
      <c r="O4206" s="11">
        <v>45505.0</v>
      </c>
      <c r="P4206" s="11">
        <v>45549.0</v>
      </c>
      <c r="Q4206" s="11"/>
      <c r="R4206" s="11"/>
      <c r="S4206" s="12"/>
      <c r="T4206" s="8"/>
      <c r="U4206" s="8" t="s">
        <v>371</v>
      </c>
      <c r="V4206" s="13" t="s">
        <v>102</v>
      </c>
      <c r="W4206" s="13" t="s">
        <v>19351</v>
      </c>
      <c r="X4206" s="12"/>
      <c r="Y4206" s="14"/>
      <c r="Z4206" s="14"/>
    </row>
    <row r="4207">
      <c r="A4207" s="8" t="s">
        <v>19352</v>
      </c>
      <c r="B4207" s="8" t="s">
        <v>19353</v>
      </c>
      <c r="C4207" s="8" t="s">
        <v>179</v>
      </c>
      <c r="D4207" s="8" t="s">
        <v>26</v>
      </c>
      <c r="E4207" s="8" t="s">
        <v>19354</v>
      </c>
      <c r="F4207" s="8">
        <v>5.31334444E9</v>
      </c>
      <c r="G4207" s="8" t="s">
        <v>31</v>
      </c>
      <c r="H4207" s="8" t="s">
        <v>86</v>
      </c>
      <c r="I4207" s="8" t="s">
        <v>284</v>
      </c>
      <c r="J4207" s="8" t="s">
        <v>793</v>
      </c>
      <c r="K4207" s="10" t="s">
        <v>19355</v>
      </c>
      <c r="L4207" s="8" t="s">
        <v>58</v>
      </c>
      <c r="M4207" s="8" t="s">
        <v>35</v>
      </c>
      <c r="N4207" s="11">
        <v>45286.0</v>
      </c>
      <c r="O4207" s="11">
        <v>45474.0</v>
      </c>
      <c r="P4207" s="11">
        <v>45516.0</v>
      </c>
      <c r="Q4207" s="11"/>
      <c r="R4207" s="11"/>
      <c r="S4207" s="12"/>
      <c r="T4207" s="8"/>
      <c r="U4207" s="8" t="s">
        <v>1590</v>
      </c>
      <c r="V4207" s="13" t="s">
        <v>175</v>
      </c>
      <c r="W4207" s="13" t="s">
        <v>19356</v>
      </c>
      <c r="X4207" s="12"/>
      <c r="Y4207" s="14"/>
      <c r="Z4207" s="14"/>
    </row>
    <row r="4208">
      <c r="A4208" s="8" t="s">
        <v>19357</v>
      </c>
      <c r="B4208" s="8" t="s">
        <v>13941</v>
      </c>
      <c r="C4208" s="8" t="s">
        <v>179</v>
      </c>
      <c r="D4208" s="8" t="s">
        <v>26</v>
      </c>
      <c r="E4208" s="8" t="s">
        <v>19358</v>
      </c>
      <c r="F4208" s="8"/>
      <c r="G4208" s="8" t="s">
        <v>31</v>
      </c>
      <c r="H4208" s="8" t="s">
        <v>86</v>
      </c>
      <c r="I4208" s="8" t="s">
        <v>284</v>
      </c>
      <c r="J4208" s="8" t="s">
        <v>589</v>
      </c>
      <c r="K4208" s="10" t="s">
        <v>14361</v>
      </c>
      <c r="L4208" s="8" t="s">
        <v>58</v>
      </c>
      <c r="M4208" s="8" t="s">
        <v>35</v>
      </c>
      <c r="N4208" s="11">
        <v>45286.0</v>
      </c>
      <c r="O4208" s="11">
        <v>45313.0</v>
      </c>
      <c r="P4208" s="11">
        <v>45355.0</v>
      </c>
      <c r="Q4208" s="11"/>
      <c r="R4208" s="11"/>
      <c r="S4208" s="12"/>
      <c r="T4208" s="8"/>
      <c r="U4208" s="8" t="s">
        <v>59</v>
      </c>
      <c r="V4208" s="13" t="s">
        <v>38</v>
      </c>
      <c r="W4208" s="13" t="s">
        <v>19359</v>
      </c>
      <c r="X4208" s="12"/>
      <c r="Y4208" s="14"/>
      <c r="Z4208" s="14"/>
    </row>
    <row r="4209">
      <c r="A4209" s="8" t="s">
        <v>19360</v>
      </c>
      <c r="B4209" s="8" t="s">
        <v>19361</v>
      </c>
      <c r="C4209" s="8" t="s">
        <v>179</v>
      </c>
      <c r="D4209" s="8" t="s">
        <v>26</v>
      </c>
      <c r="E4209" s="8" t="s">
        <v>19362</v>
      </c>
      <c r="F4209" s="8">
        <v>9.95444241E8</v>
      </c>
      <c r="G4209" s="8" t="s">
        <v>1620</v>
      </c>
      <c r="H4209" s="8" t="s">
        <v>10795</v>
      </c>
      <c r="I4209" s="8" t="s">
        <v>31</v>
      </c>
      <c r="J4209" s="8" t="s">
        <v>56</v>
      </c>
      <c r="K4209" s="10" t="s">
        <v>11979</v>
      </c>
      <c r="L4209" s="8" t="s">
        <v>58</v>
      </c>
      <c r="M4209" s="8" t="s">
        <v>35</v>
      </c>
      <c r="N4209" s="11">
        <v>45287.0</v>
      </c>
      <c r="O4209" s="11">
        <v>45516.0</v>
      </c>
      <c r="P4209" s="11">
        <v>45558.0</v>
      </c>
      <c r="Q4209" s="11"/>
      <c r="R4209" s="11"/>
      <c r="S4209" s="12"/>
      <c r="T4209" s="8"/>
      <c r="U4209" s="8" t="s">
        <v>161</v>
      </c>
      <c r="V4209" s="13" t="s">
        <v>16802</v>
      </c>
      <c r="W4209" s="13" t="s">
        <v>19363</v>
      </c>
      <c r="X4209" s="12"/>
      <c r="Y4209" s="14"/>
      <c r="Z4209" s="14"/>
    </row>
    <row r="4210">
      <c r="A4210" s="8" t="s">
        <v>19364</v>
      </c>
      <c r="B4210" s="8" t="s">
        <v>19365</v>
      </c>
      <c r="C4210" s="8" t="s">
        <v>708</v>
      </c>
      <c r="D4210" s="8" t="s">
        <v>26</v>
      </c>
      <c r="E4210" s="8" t="s">
        <v>19366</v>
      </c>
      <c r="F4210" s="8"/>
      <c r="G4210" s="8" t="s">
        <v>31</v>
      </c>
      <c r="H4210" s="8" t="s">
        <v>32</v>
      </c>
      <c r="I4210" s="8" t="s">
        <v>221</v>
      </c>
      <c r="J4210" s="8" t="s">
        <v>3506</v>
      </c>
      <c r="K4210" s="10" t="s">
        <v>19367</v>
      </c>
      <c r="L4210" s="8" t="s">
        <v>58</v>
      </c>
      <c r="M4210" s="8" t="s">
        <v>35</v>
      </c>
      <c r="N4210" s="11">
        <v>45287.0</v>
      </c>
      <c r="O4210" s="11">
        <v>45306.0</v>
      </c>
      <c r="P4210" s="11">
        <v>45348.0</v>
      </c>
      <c r="Q4210" s="11">
        <v>45307.0</v>
      </c>
      <c r="R4210" s="11">
        <v>45348.0</v>
      </c>
      <c r="S4210" s="12"/>
      <c r="T4210" s="8"/>
      <c r="U4210" s="8" t="s">
        <v>371</v>
      </c>
      <c r="V4210" s="13" t="s">
        <v>38</v>
      </c>
      <c r="W4210" s="13" t="s">
        <v>19368</v>
      </c>
      <c r="X4210" s="12"/>
      <c r="Y4210" s="14"/>
      <c r="Z4210" s="14"/>
    </row>
    <row r="4211">
      <c r="A4211" s="8" t="s">
        <v>19369</v>
      </c>
      <c r="B4211" s="8" t="s">
        <v>19370</v>
      </c>
      <c r="C4211" s="8" t="s">
        <v>179</v>
      </c>
      <c r="D4211" s="8" t="s">
        <v>26</v>
      </c>
      <c r="E4211" s="8" t="s">
        <v>19371</v>
      </c>
      <c r="F4211" s="8">
        <v>1.272281055E9</v>
      </c>
      <c r="G4211" s="8" t="s">
        <v>284</v>
      </c>
      <c r="H4211" s="8" t="s">
        <v>673</v>
      </c>
      <c r="I4211" s="8" t="s">
        <v>31</v>
      </c>
      <c r="J4211" s="8" t="s">
        <v>292</v>
      </c>
      <c r="K4211" s="10" t="s">
        <v>2936</v>
      </c>
      <c r="L4211" s="8" t="s">
        <v>47</v>
      </c>
      <c r="M4211" s="8" t="s">
        <v>70</v>
      </c>
      <c r="N4211" s="11">
        <v>45287.0</v>
      </c>
      <c r="O4211" s="11">
        <v>45295.0</v>
      </c>
      <c r="P4211" s="11">
        <v>45575.0</v>
      </c>
      <c r="Q4211" s="11"/>
      <c r="R4211" s="11"/>
      <c r="S4211" s="12"/>
      <c r="T4211" s="8"/>
      <c r="U4211" s="8" t="s">
        <v>2937</v>
      </c>
      <c r="V4211" s="13" t="s">
        <v>674</v>
      </c>
      <c r="W4211" s="13" t="s">
        <v>19372</v>
      </c>
      <c r="X4211" s="12"/>
      <c r="Y4211" s="14"/>
      <c r="Z4211" s="14"/>
    </row>
    <row r="4212">
      <c r="A4212" s="8" t="s">
        <v>19373</v>
      </c>
      <c r="B4212" s="8" t="s">
        <v>19374</v>
      </c>
      <c r="C4212" s="8" t="s">
        <v>179</v>
      </c>
      <c r="D4212" s="8" t="s">
        <v>26</v>
      </c>
      <c r="E4212" s="8" t="s">
        <v>19375</v>
      </c>
      <c r="F4212" s="8">
        <v>6.89604415E8</v>
      </c>
      <c r="G4212" s="8" t="s">
        <v>84</v>
      </c>
      <c r="H4212" s="8" t="s">
        <v>646</v>
      </c>
      <c r="I4212" s="8" t="s">
        <v>31</v>
      </c>
      <c r="J4212" s="8" t="s">
        <v>86</v>
      </c>
      <c r="K4212" s="10" t="s">
        <v>2404</v>
      </c>
      <c r="L4212" s="8" t="s">
        <v>34</v>
      </c>
      <c r="M4212" s="8" t="s">
        <v>70</v>
      </c>
      <c r="N4212" s="11">
        <v>45288.0</v>
      </c>
      <c r="O4212" s="11">
        <v>45306.0</v>
      </c>
      <c r="P4212" s="11">
        <v>45674.0</v>
      </c>
      <c r="Q4212" s="11"/>
      <c r="R4212" s="11"/>
      <c r="S4212" s="12"/>
      <c r="T4212" s="8" t="s">
        <v>36</v>
      </c>
      <c r="U4212" s="8" t="s">
        <v>2405</v>
      </c>
      <c r="V4212" s="13" t="s">
        <v>19376</v>
      </c>
      <c r="W4212" s="13" t="s">
        <v>19377</v>
      </c>
      <c r="X4212" s="12"/>
      <c r="Y4212" s="14"/>
      <c r="Z4212" s="14"/>
    </row>
    <row r="4213">
      <c r="A4213" s="8" t="s">
        <v>19378</v>
      </c>
      <c r="B4213" s="8" t="s">
        <v>6732</v>
      </c>
      <c r="C4213" s="8" t="s">
        <v>179</v>
      </c>
      <c r="D4213" s="8" t="s">
        <v>26</v>
      </c>
      <c r="E4213" s="8" t="s">
        <v>6733</v>
      </c>
      <c r="F4213" s="8">
        <v>5.0094804E7</v>
      </c>
      <c r="G4213" s="8" t="s">
        <v>54</v>
      </c>
      <c r="H4213" s="8" t="s">
        <v>377</v>
      </c>
      <c r="I4213" s="8" t="s">
        <v>31</v>
      </c>
      <c r="J4213" s="8" t="s">
        <v>77</v>
      </c>
      <c r="K4213" s="10" t="s">
        <v>1049</v>
      </c>
      <c r="L4213" s="8" t="s">
        <v>47</v>
      </c>
      <c r="M4213" s="8" t="s">
        <v>70</v>
      </c>
      <c r="N4213" s="11">
        <v>45288.0</v>
      </c>
      <c r="O4213" s="11">
        <v>45302.0</v>
      </c>
      <c r="P4213" s="11">
        <v>45491.0</v>
      </c>
      <c r="Q4213" s="11"/>
      <c r="R4213" s="11"/>
      <c r="S4213" s="12"/>
      <c r="T4213" s="8"/>
      <c r="U4213" s="8" t="s">
        <v>1050</v>
      </c>
      <c r="V4213" s="13" t="s">
        <v>1604</v>
      </c>
      <c r="W4213" s="13" t="s">
        <v>6734</v>
      </c>
      <c r="X4213" s="12"/>
      <c r="Y4213" s="14"/>
      <c r="Z4213" s="14"/>
    </row>
    <row r="4214">
      <c r="A4214" s="8" t="s">
        <v>19379</v>
      </c>
      <c r="B4214" s="8" t="s">
        <v>19380</v>
      </c>
      <c r="C4214" s="8" t="s">
        <v>179</v>
      </c>
      <c r="D4214" s="8" t="s">
        <v>26</v>
      </c>
      <c r="E4214" s="8" t="s">
        <v>19381</v>
      </c>
      <c r="F4214" s="8"/>
      <c r="G4214" s="8" t="s">
        <v>31</v>
      </c>
      <c r="H4214" s="8" t="s">
        <v>86</v>
      </c>
      <c r="I4214" s="8" t="s">
        <v>44</v>
      </c>
      <c r="J4214" s="8" t="s">
        <v>453</v>
      </c>
      <c r="K4214" s="10" t="s">
        <v>454</v>
      </c>
      <c r="L4214" s="8" t="s">
        <v>58</v>
      </c>
      <c r="M4214" s="8" t="s">
        <v>35</v>
      </c>
      <c r="N4214" s="11">
        <v>45288.0</v>
      </c>
      <c r="O4214" s="11">
        <v>45323.0</v>
      </c>
      <c r="P4214" s="11">
        <v>45365.0</v>
      </c>
      <c r="Q4214" s="11"/>
      <c r="R4214" s="11"/>
      <c r="S4214" s="12"/>
      <c r="T4214" s="8"/>
      <c r="U4214" s="8" t="s">
        <v>59</v>
      </c>
      <c r="V4214" s="13" t="s">
        <v>38</v>
      </c>
      <c r="W4214" s="13" t="s">
        <v>19382</v>
      </c>
      <c r="X4214" s="12"/>
      <c r="Y4214" s="14"/>
      <c r="Z4214" s="14"/>
    </row>
    <row r="4215">
      <c r="A4215" s="8" t="s">
        <v>19383</v>
      </c>
      <c r="B4215" s="8" t="s">
        <v>19384</v>
      </c>
      <c r="C4215" s="8" t="s">
        <v>708</v>
      </c>
      <c r="D4215" s="8" t="s">
        <v>26</v>
      </c>
      <c r="E4215" s="8" t="s">
        <v>19385</v>
      </c>
      <c r="F4215" s="8">
        <v>5.319558235E9</v>
      </c>
      <c r="G4215" s="8" t="s">
        <v>31</v>
      </c>
      <c r="H4215" s="8" t="s">
        <v>111</v>
      </c>
      <c r="I4215" s="8" t="s">
        <v>221</v>
      </c>
      <c r="J4215" s="8" t="s">
        <v>2760</v>
      </c>
      <c r="K4215" s="10" t="s">
        <v>19386</v>
      </c>
      <c r="L4215" s="8" t="s">
        <v>58</v>
      </c>
      <c r="M4215" s="8" t="s">
        <v>35</v>
      </c>
      <c r="N4215" s="11">
        <v>45288.0</v>
      </c>
      <c r="O4215" s="11">
        <v>45316.0</v>
      </c>
      <c r="P4215" s="11">
        <v>45358.0</v>
      </c>
      <c r="Q4215" s="11">
        <v>45314.0</v>
      </c>
      <c r="R4215" s="11">
        <v>45358.0</v>
      </c>
      <c r="S4215" s="12"/>
      <c r="T4215" s="8"/>
      <c r="U4215" s="8" t="s">
        <v>161</v>
      </c>
      <c r="V4215" s="13" t="s">
        <v>111</v>
      </c>
      <c r="W4215" s="13" t="s">
        <v>19387</v>
      </c>
      <c r="X4215" s="12"/>
      <c r="Y4215" s="14"/>
      <c r="Z4215" s="14"/>
    </row>
    <row r="4216">
      <c r="A4216" s="8" t="s">
        <v>19388</v>
      </c>
      <c r="B4216" s="8" t="s">
        <v>19389</v>
      </c>
      <c r="C4216" s="8" t="s">
        <v>179</v>
      </c>
      <c r="D4216" s="8" t="s">
        <v>26</v>
      </c>
      <c r="E4216" s="8" t="s">
        <v>19390</v>
      </c>
      <c r="F4216" s="8">
        <v>5.052462172E9</v>
      </c>
      <c r="G4216" s="8" t="s">
        <v>31</v>
      </c>
      <c r="H4216" s="8" t="s">
        <v>32</v>
      </c>
      <c r="I4216" s="8" t="s">
        <v>221</v>
      </c>
      <c r="J4216" s="8" t="s">
        <v>222</v>
      </c>
      <c r="K4216" s="10" t="s">
        <v>19391</v>
      </c>
      <c r="L4216" s="8" t="s">
        <v>58</v>
      </c>
      <c r="M4216" s="8" t="s">
        <v>35</v>
      </c>
      <c r="N4216" s="11">
        <v>45288.0</v>
      </c>
      <c r="O4216" s="11">
        <v>45309.0</v>
      </c>
      <c r="P4216" s="11">
        <v>45351.0</v>
      </c>
      <c r="Q4216" s="11"/>
      <c r="R4216" s="11"/>
      <c r="S4216" s="12"/>
      <c r="T4216" s="8"/>
      <c r="U4216" s="8" t="s">
        <v>88</v>
      </c>
      <c r="V4216" s="13" t="s">
        <v>537</v>
      </c>
      <c r="W4216" s="13" t="s">
        <v>19392</v>
      </c>
      <c r="X4216" s="12"/>
      <c r="Y4216" s="14"/>
      <c r="Z4216" s="14"/>
    </row>
    <row r="4217">
      <c r="A4217" s="8" t="s">
        <v>19393</v>
      </c>
      <c r="B4217" s="8" t="s">
        <v>19394</v>
      </c>
      <c r="C4217" s="8" t="s">
        <v>179</v>
      </c>
      <c r="D4217" s="8" t="s">
        <v>26</v>
      </c>
      <c r="E4217" s="8" t="s">
        <v>19395</v>
      </c>
      <c r="F4217" s="8">
        <v>1.123934545E9</v>
      </c>
      <c r="G4217" s="8" t="s">
        <v>284</v>
      </c>
      <c r="H4217" s="8" t="s">
        <v>854</v>
      </c>
      <c r="I4217" s="8" t="s">
        <v>31</v>
      </c>
      <c r="J4217" s="8" t="s">
        <v>56</v>
      </c>
      <c r="K4217" s="10" t="s">
        <v>11979</v>
      </c>
      <c r="L4217" s="8" t="s">
        <v>58</v>
      </c>
      <c r="M4217" s="8" t="s">
        <v>35</v>
      </c>
      <c r="N4217" s="11">
        <v>45288.0</v>
      </c>
      <c r="O4217" s="11">
        <v>45516.0</v>
      </c>
      <c r="P4217" s="11">
        <v>45558.0</v>
      </c>
      <c r="Q4217" s="11"/>
      <c r="R4217" s="11"/>
      <c r="S4217" s="12"/>
      <c r="T4217" s="8"/>
      <c r="U4217" s="8" t="s">
        <v>161</v>
      </c>
      <c r="V4217" s="13" t="s">
        <v>856</v>
      </c>
      <c r="W4217" s="13" t="s">
        <v>19396</v>
      </c>
      <c r="X4217" s="12"/>
      <c r="Y4217" s="14"/>
      <c r="Z4217" s="14"/>
    </row>
    <row r="4218">
      <c r="A4218" s="8" t="s">
        <v>19397</v>
      </c>
      <c r="B4218" s="8" t="s">
        <v>19398</v>
      </c>
      <c r="C4218" s="8" t="s">
        <v>179</v>
      </c>
      <c r="D4218" s="8" t="s">
        <v>26</v>
      </c>
      <c r="E4218" s="8" t="s">
        <v>19399</v>
      </c>
      <c r="F4218" s="8"/>
      <c r="G4218" s="8" t="s">
        <v>284</v>
      </c>
      <c r="H4218" s="8" t="s">
        <v>1422</v>
      </c>
      <c r="I4218" s="8" t="s">
        <v>31</v>
      </c>
      <c r="J4218" s="8" t="s">
        <v>111</v>
      </c>
      <c r="K4218" s="10" t="s">
        <v>14958</v>
      </c>
      <c r="L4218" s="8" t="s">
        <v>47</v>
      </c>
      <c r="M4218" s="8" t="s">
        <v>70</v>
      </c>
      <c r="N4218" s="11">
        <v>45288.0</v>
      </c>
      <c r="O4218" s="11">
        <v>45313.0</v>
      </c>
      <c r="P4218" s="11">
        <v>45674.0</v>
      </c>
      <c r="Q4218" s="11"/>
      <c r="R4218" s="11"/>
      <c r="S4218" s="12"/>
      <c r="T4218" s="8"/>
      <c r="U4218" s="8" t="s">
        <v>14959</v>
      </c>
      <c r="V4218" s="13" t="s">
        <v>38</v>
      </c>
      <c r="W4218" s="13" t="s">
        <v>19400</v>
      </c>
      <c r="X4218" s="12"/>
      <c r="Y4218" s="14"/>
      <c r="Z4218" s="14"/>
    </row>
    <row r="4219">
      <c r="A4219" s="8" t="s">
        <v>19401</v>
      </c>
      <c r="B4219" s="8" t="s">
        <v>19402</v>
      </c>
      <c r="C4219" s="8" t="s">
        <v>179</v>
      </c>
      <c r="D4219" s="8" t="s">
        <v>26</v>
      </c>
      <c r="E4219" s="8" t="s">
        <v>19403</v>
      </c>
      <c r="F4219" s="8">
        <v>6.931436207E9</v>
      </c>
      <c r="G4219" s="8" t="s">
        <v>143</v>
      </c>
      <c r="H4219" s="8" t="s">
        <v>3967</v>
      </c>
      <c r="I4219" s="8" t="s">
        <v>31</v>
      </c>
      <c r="J4219" s="8" t="s">
        <v>77</v>
      </c>
      <c r="K4219" s="10" t="s">
        <v>19063</v>
      </c>
      <c r="L4219" s="8" t="s">
        <v>58</v>
      </c>
      <c r="M4219" s="8" t="s">
        <v>35</v>
      </c>
      <c r="N4219" s="11">
        <v>45288.0</v>
      </c>
      <c r="O4219" s="11">
        <v>45341.0</v>
      </c>
      <c r="P4219" s="11">
        <v>45383.0</v>
      </c>
      <c r="Q4219" s="11"/>
      <c r="R4219" s="11"/>
      <c r="S4219" s="12"/>
      <c r="T4219" s="8"/>
      <c r="U4219" s="8" t="s">
        <v>59</v>
      </c>
      <c r="V4219" s="13" t="s">
        <v>38</v>
      </c>
      <c r="W4219" s="13" t="s">
        <v>19404</v>
      </c>
      <c r="X4219" s="12"/>
      <c r="Y4219" s="14"/>
      <c r="Z4219" s="14"/>
    </row>
    <row r="4220">
      <c r="A4220" s="8" t="s">
        <v>19405</v>
      </c>
      <c r="B4220" s="8" t="s">
        <v>19406</v>
      </c>
      <c r="C4220" s="8" t="s">
        <v>179</v>
      </c>
      <c r="D4220" s="8" t="s">
        <v>26</v>
      </c>
      <c r="E4220" s="8" t="s">
        <v>19407</v>
      </c>
      <c r="F4220" s="8">
        <v>5.338623359E9</v>
      </c>
      <c r="G4220" s="8" t="s">
        <v>31</v>
      </c>
      <c r="H4220" s="8" t="s">
        <v>959</v>
      </c>
      <c r="I4220" s="8" t="s">
        <v>399</v>
      </c>
      <c r="J4220" s="8" t="s">
        <v>415</v>
      </c>
      <c r="K4220" s="10" t="s">
        <v>3178</v>
      </c>
      <c r="L4220" s="8" t="s">
        <v>58</v>
      </c>
      <c r="M4220" s="8" t="s">
        <v>35</v>
      </c>
      <c r="N4220" s="11">
        <v>45288.0</v>
      </c>
      <c r="O4220" s="11">
        <v>45474.0</v>
      </c>
      <c r="P4220" s="11">
        <v>45516.0</v>
      </c>
      <c r="Q4220" s="11"/>
      <c r="R4220" s="11"/>
      <c r="S4220" s="12"/>
      <c r="T4220" s="8"/>
      <c r="U4220" s="8" t="s">
        <v>402</v>
      </c>
      <c r="V4220" s="13" t="s">
        <v>111</v>
      </c>
      <c r="W4220" s="13" t="s">
        <v>19408</v>
      </c>
      <c r="X4220" s="12"/>
      <c r="Y4220" s="14"/>
      <c r="Z4220" s="14"/>
    </row>
    <row r="4221">
      <c r="A4221" s="8" t="s">
        <v>19409</v>
      </c>
      <c r="B4221" s="8" t="s">
        <v>19410</v>
      </c>
      <c r="C4221" s="8" t="s">
        <v>179</v>
      </c>
      <c r="D4221" s="8" t="s">
        <v>26</v>
      </c>
      <c r="E4221" s="8" t="s">
        <v>19411</v>
      </c>
      <c r="F4221" s="8">
        <v>9.25139354E8</v>
      </c>
      <c r="G4221" s="8" t="s">
        <v>118</v>
      </c>
      <c r="H4221" s="8" t="s">
        <v>1162</v>
      </c>
      <c r="I4221" s="8" t="s">
        <v>31</v>
      </c>
      <c r="J4221" s="8" t="s">
        <v>56</v>
      </c>
      <c r="K4221" s="10" t="s">
        <v>11979</v>
      </c>
      <c r="L4221" s="8" t="s">
        <v>58</v>
      </c>
      <c r="M4221" s="8" t="s">
        <v>35</v>
      </c>
      <c r="N4221" s="11">
        <v>45288.0</v>
      </c>
      <c r="O4221" s="11">
        <v>45469.0</v>
      </c>
      <c r="P4221" s="11">
        <v>45511.0</v>
      </c>
      <c r="Q4221" s="11"/>
      <c r="R4221" s="11"/>
      <c r="S4221" s="12"/>
      <c r="T4221" s="8"/>
      <c r="U4221" s="8" t="s">
        <v>161</v>
      </c>
      <c r="V4221" s="13" t="s">
        <v>19412</v>
      </c>
      <c r="W4221" s="13" t="s">
        <v>19413</v>
      </c>
      <c r="X4221" s="12"/>
      <c r="Y4221" s="14"/>
      <c r="Z4221" s="14"/>
    </row>
    <row r="4222">
      <c r="A4222" s="8" t="s">
        <v>19414</v>
      </c>
      <c r="B4222" s="8" t="s">
        <v>19415</v>
      </c>
      <c r="C4222" s="8" t="s">
        <v>179</v>
      </c>
      <c r="D4222" s="8" t="s">
        <v>26</v>
      </c>
      <c r="E4222" s="8" t="s">
        <v>19416</v>
      </c>
      <c r="F4222" s="8">
        <v>7.43314865E8</v>
      </c>
      <c r="G4222" s="8" t="s">
        <v>818</v>
      </c>
      <c r="H4222" s="8" t="s">
        <v>14725</v>
      </c>
      <c r="I4222" s="8" t="s">
        <v>31</v>
      </c>
      <c r="J4222" s="8" t="s">
        <v>56</v>
      </c>
      <c r="K4222" s="10" t="s">
        <v>12274</v>
      </c>
      <c r="L4222" s="8" t="s">
        <v>58</v>
      </c>
      <c r="M4222" s="8" t="s">
        <v>35</v>
      </c>
      <c r="N4222" s="11">
        <v>45289.0</v>
      </c>
      <c r="O4222" s="11">
        <v>45327.0</v>
      </c>
      <c r="P4222" s="11">
        <v>45369.0</v>
      </c>
      <c r="Q4222" s="11"/>
      <c r="R4222" s="11"/>
      <c r="S4222" s="12"/>
      <c r="T4222" s="8"/>
      <c r="U4222" s="8" t="s">
        <v>161</v>
      </c>
      <c r="V4222" s="13" t="s">
        <v>14726</v>
      </c>
      <c r="W4222" s="13" t="s">
        <v>19417</v>
      </c>
      <c r="X4222" s="12"/>
      <c r="Y4222" s="14"/>
      <c r="Z4222" s="14"/>
    </row>
    <row r="4223">
      <c r="A4223" s="8" t="s">
        <v>19418</v>
      </c>
      <c r="B4223" s="8" t="s">
        <v>16653</v>
      </c>
      <c r="C4223" s="8" t="s">
        <v>708</v>
      </c>
      <c r="D4223" s="8" t="s">
        <v>26</v>
      </c>
      <c r="E4223" s="8" t="s">
        <v>19419</v>
      </c>
      <c r="F4223" s="8">
        <v>5.068488101E9</v>
      </c>
      <c r="G4223" s="8" t="s">
        <v>31</v>
      </c>
      <c r="H4223" s="8" t="s">
        <v>66</v>
      </c>
      <c r="I4223" s="8" t="s">
        <v>284</v>
      </c>
      <c r="J4223" s="8" t="s">
        <v>793</v>
      </c>
      <c r="K4223" s="10" t="s">
        <v>19420</v>
      </c>
      <c r="L4223" s="8" t="s">
        <v>58</v>
      </c>
      <c r="M4223" s="8" t="s">
        <v>35</v>
      </c>
      <c r="N4223" s="11">
        <v>45289.0</v>
      </c>
      <c r="O4223" s="11">
        <v>45306.0</v>
      </c>
      <c r="P4223" s="11">
        <v>45348.0</v>
      </c>
      <c r="Q4223" s="11">
        <v>45309.0</v>
      </c>
      <c r="R4223" s="11">
        <v>45351.0</v>
      </c>
      <c r="S4223" s="12"/>
      <c r="T4223" s="8"/>
      <c r="U4223" s="8" t="s">
        <v>339</v>
      </c>
      <c r="V4223" s="13" t="s">
        <v>66</v>
      </c>
      <c r="W4223" s="13" t="s">
        <v>19421</v>
      </c>
      <c r="X4223" s="12"/>
      <c r="Y4223" s="14"/>
      <c r="Z4223" s="14"/>
    </row>
    <row r="4224">
      <c r="A4224" s="8" t="s">
        <v>19422</v>
      </c>
      <c r="B4224" s="8" t="s">
        <v>1125</v>
      </c>
      <c r="C4224" s="8" t="s">
        <v>708</v>
      </c>
      <c r="D4224" s="8" t="s">
        <v>26</v>
      </c>
      <c r="E4224" s="8" t="s">
        <v>1126</v>
      </c>
      <c r="F4224" s="8">
        <v>6.21724939E8</v>
      </c>
      <c r="G4224" s="8" t="s">
        <v>84</v>
      </c>
      <c r="H4224" s="8" t="s">
        <v>1127</v>
      </c>
      <c r="I4224" s="8" t="s">
        <v>31</v>
      </c>
      <c r="J4224" s="8" t="s">
        <v>66</v>
      </c>
      <c r="K4224" s="10" t="s">
        <v>4774</v>
      </c>
      <c r="L4224" s="8" t="s">
        <v>47</v>
      </c>
      <c r="M4224" s="8" t="s">
        <v>48</v>
      </c>
      <c r="N4224" s="11">
        <v>45289.0</v>
      </c>
      <c r="O4224" s="11">
        <v>45302.0</v>
      </c>
      <c r="P4224" s="11">
        <v>45483.0</v>
      </c>
      <c r="Q4224" s="11">
        <v>45314.0</v>
      </c>
      <c r="R4224" s="11">
        <v>45495.0</v>
      </c>
      <c r="S4224" s="12"/>
      <c r="T4224" s="8"/>
      <c r="U4224" s="8" t="s">
        <v>4775</v>
      </c>
      <c r="V4224" s="13" t="s">
        <v>1130</v>
      </c>
      <c r="W4224" s="13" t="s">
        <v>1131</v>
      </c>
      <c r="X4224" s="12"/>
      <c r="Y4224" s="14"/>
      <c r="Z4224" s="14"/>
    </row>
    <row r="4225">
      <c r="A4225" s="8" t="s">
        <v>19423</v>
      </c>
      <c r="B4225" s="8" t="s">
        <v>19424</v>
      </c>
      <c r="C4225" s="8" t="s">
        <v>179</v>
      </c>
      <c r="D4225" s="8" t="s">
        <v>26</v>
      </c>
      <c r="E4225" s="8" t="s">
        <v>19425</v>
      </c>
      <c r="F4225" s="8"/>
      <c r="G4225" s="8" t="s">
        <v>818</v>
      </c>
      <c r="H4225" s="8" t="s">
        <v>14725</v>
      </c>
      <c r="I4225" s="8" t="s">
        <v>31</v>
      </c>
      <c r="J4225" s="8" t="s">
        <v>56</v>
      </c>
      <c r="K4225" s="10" t="s">
        <v>15775</v>
      </c>
      <c r="L4225" s="8" t="s">
        <v>58</v>
      </c>
      <c r="M4225" s="8" t="s">
        <v>35</v>
      </c>
      <c r="N4225" s="11">
        <v>45290.0</v>
      </c>
      <c r="O4225" s="11">
        <v>45299.0</v>
      </c>
      <c r="P4225" s="11">
        <v>45341.0</v>
      </c>
      <c r="Q4225" s="11"/>
      <c r="R4225" s="11"/>
      <c r="S4225" s="12"/>
      <c r="T4225" s="8"/>
      <c r="U4225" s="8" t="s">
        <v>161</v>
      </c>
      <c r="V4225" s="13" t="s">
        <v>38</v>
      </c>
      <c r="W4225" s="13" t="s">
        <v>19426</v>
      </c>
      <c r="X4225" s="12"/>
      <c r="Y4225" s="14"/>
      <c r="Z4225" s="14"/>
    </row>
    <row r="4226">
      <c r="A4226" s="8" t="s">
        <v>19427</v>
      </c>
      <c r="B4226" s="8" t="s">
        <v>19428</v>
      </c>
      <c r="C4226" s="8" t="s">
        <v>179</v>
      </c>
      <c r="D4226" s="8" t="s">
        <v>26</v>
      </c>
      <c r="E4226" s="8" t="s">
        <v>19429</v>
      </c>
      <c r="F4226" s="8">
        <v>6.58504318E8</v>
      </c>
      <c r="G4226" s="8" t="s">
        <v>221</v>
      </c>
      <c r="H4226" s="8" t="s">
        <v>222</v>
      </c>
      <c r="I4226" s="8" t="s">
        <v>31</v>
      </c>
      <c r="J4226" s="8" t="s">
        <v>32</v>
      </c>
      <c r="K4226" s="10" t="s">
        <v>1813</v>
      </c>
      <c r="L4226" s="8" t="s">
        <v>58</v>
      </c>
      <c r="M4226" s="8" t="s">
        <v>35</v>
      </c>
      <c r="N4226" s="11">
        <v>45290.0</v>
      </c>
      <c r="O4226" s="11">
        <v>45383.0</v>
      </c>
      <c r="P4226" s="11">
        <v>45425.0</v>
      </c>
      <c r="Q4226" s="11"/>
      <c r="R4226" s="11"/>
      <c r="S4226" s="12"/>
      <c r="T4226" s="8"/>
      <c r="U4226" s="8" t="s">
        <v>161</v>
      </c>
      <c r="V4226" s="13" t="s">
        <v>14286</v>
      </c>
      <c r="W4226" s="13" t="s">
        <v>19430</v>
      </c>
      <c r="X4226" s="12"/>
      <c r="Y4226" s="14"/>
      <c r="Z4226" s="14"/>
    </row>
    <row r="4227">
      <c r="A4227" s="8" t="s">
        <v>19431</v>
      </c>
      <c r="B4227" s="8" t="s">
        <v>19432</v>
      </c>
      <c r="C4227" s="8" t="s">
        <v>708</v>
      </c>
      <c r="D4227" s="8" t="s">
        <v>26</v>
      </c>
      <c r="E4227" s="8" t="s">
        <v>19433</v>
      </c>
      <c r="F4227" s="8">
        <v>6.99811318E8</v>
      </c>
      <c r="G4227" s="8" t="s">
        <v>254</v>
      </c>
      <c r="H4227" s="8" t="s">
        <v>1007</v>
      </c>
      <c r="I4227" s="8" t="s">
        <v>31</v>
      </c>
      <c r="J4227" s="8" t="s">
        <v>256</v>
      </c>
      <c r="K4227" s="10" t="s">
        <v>11567</v>
      </c>
      <c r="L4227" s="8" t="s">
        <v>47</v>
      </c>
      <c r="M4227" s="8" t="s">
        <v>70</v>
      </c>
      <c r="N4227" s="11">
        <v>45290.0</v>
      </c>
      <c r="O4227" s="11">
        <v>45301.0</v>
      </c>
      <c r="P4227" s="11">
        <v>45635.0</v>
      </c>
      <c r="Q4227" s="11">
        <v>45315.0</v>
      </c>
      <c r="R4227" s="11">
        <v>45649.0</v>
      </c>
      <c r="S4227" s="12"/>
      <c r="T4227" s="8"/>
      <c r="U4227" s="8" t="s">
        <v>11568</v>
      </c>
      <c r="V4227" s="13" t="s">
        <v>1249</v>
      </c>
      <c r="W4227" s="13" t="s">
        <v>19434</v>
      </c>
      <c r="X4227" s="12"/>
      <c r="Y4227" s="14"/>
      <c r="Z4227" s="14"/>
    </row>
    <row r="4228">
      <c r="A4228" s="8" t="s">
        <v>19435</v>
      </c>
      <c r="B4228" s="8" t="s">
        <v>19436</v>
      </c>
      <c r="C4228" s="8" t="s">
        <v>179</v>
      </c>
      <c r="D4228" s="8" t="s">
        <v>26</v>
      </c>
      <c r="E4228" s="8" t="s">
        <v>19437</v>
      </c>
      <c r="F4228" s="8">
        <v>1.007520286E9</v>
      </c>
      <c r="G4228" s="8" t="s">
        <v>284</v>
      </c>
      <c r="H4228" s="8" t="s">
        <v>673</v>
      </c>
      <c r="I4228" s="8" t="s">
        <v>31</v>
      </c>
      <c r="J4228" s="8" t="s">
        <v>1274</v>
      </c>
      <c r="K4228" s="10" t="s">
        <v>19438</v>
      </c>
      <c r="L4228" s="8" t="s">
        <v>58</v>
      </c>
      <c r="M4228" s="8" t="s">
        <v>35</v>
      </c>
      <c r="N4228" s="11">
        <v>45291.0</v>
      </c>
      <c r="O4228" s="11">
        <v>45369.0</v>
      </c>
      <c r="P4228" s="11">
        <v>45411.0</v>
      </c>
      <c r="Q4228" s="11"/>
      <c r="R4228" s="11"/>
      <c r="S4228" s="12"/>
      <c r="T4228" s="8"/>
      <c r="U4228" s="8" t="s">
        <v>161</v>
      </c>
      <c r="V4228" s="13" t="s">
        <v>5689</v>
      </c>
      <c r="W4228" s="13" t="s">
        <v>19439</v>
      </c>
      <c r="X4228" s="12"/>
      <c r="Y4228" s="14"/>
      <c r="Z4228" s="14"/>
    </row>
    <row r="4229">
      <c r="A4229" s="8" t="s">
        <v>19440</v>
      </c>
      <c r="B4229" s="8" t="s">
        <v>19441</v>
      </c>
      <c r="C4229" s="8" t="s">
        <v>179</v>
      </c>
      <c r="D4229" s="8" t="s">
        <v>26</v>
      </c>
      <c r="E4229" s="8" t="s">
        <v>19442</v>
      </c>
      <c r="F4229" s="8">
        <v>5.313633966E9</v>
      </c>
      <c r="G4229" s="8" t="s">
        <v>31</v>
      </c>
      <c r="H4229" s="8" t="s">
        <v>1119</v>
      </c>
      <c r="I4229" s="8" t="s">
        <v>284</v>
      </c>
      <c r="J4229" s="8" t="s">
        <v>2065</v>
      </c>
      <c r="K4229" s="10" t="s">
        <v>17423</v>
      </c>
      <c r="L4229" s="8" t="s">
        <v>58</v>
      </c>
      <c r="M4229" s="8" t="s">
        <v>35</v>
      </c>
      <c r="N4229" s="11">
        <v>45291.0</v>
      </c>
      <c r="O4229" s="11">
        <v>45474.0</v>
      </c>
      <c r="P4229" s="11">
        <v>45516.0</v>
      </c>
      <c r="Q4229" s="11"/>
      <c r="R4229" s="11"/>
      <c r="S4229" s="12"/>
      <c r="T4229" s="8"/>
      <c r="U4229" s="8" t="s">
        <v>153</v>
      </c>
      <c r="V4229" s="13" t="s">
        <v>1119</v>
      </c>
      <c r="W4229" s="13" t="s">
        <v>19443</v>
      </c>
      <c r="X4229" s="12"/>
      <c r="Y4229" s="14"/>
      <c r="Z4229" s="14"/>
    </row>
    <row r="4230">
      <c r="A4230" s="8" t="s">
        <v>19444</v>
      </c>
      <c r="B4230" s="8" t="s">
        <v>19445</v>
      </c>
      <c r="C4230" s="8" t="s">
        <v>708</v>
      </c>
      <c r="D4230" s="8" t="s">
        <v>26</v>
      </c>
      <c r="E4230" s="8" t="s">
        <v>19446</v>
      </c>
      <c r="F4230" s="8">
        <v>5.438253103E9</v>
      </c>
      <c r="G4230" s="8" t="s">
        <v>31</v>
      </c>
      <c r="H4230" s="8" t="s">
        <v>86</v>
      </c>
      <c r="I4230" s="8" t="s">
        <v>221</v>
      </c>
      <c r="J4230" s="8" t="s">
        <v>3985</v>
      </c>
      <c r="K4230" s="10" t="s">
        <v>19447</v>
      </c>
      <c r="L4230" s="8" t="s">
        <v>58</v>
      </c>
      <c r="M4230" s="8" t="s">
        <v>35</v>
      </c>
      <c r="N4230" s="11">
        <v>45293.0</v>
      </c>
      <c r="O4230" s="11">
        <v>45306.0</v>
      </c>
      <c r="P4230" s="11">
        <v>45348.0</v>
      </c>
      <c r="Q4230" s="11">
        <v>45306.0</v>
      </c>
      <c r="R4230" s="11">
        <v>45348.0</v>
      </c>
      <c r="S4230" s="12"/>
      <c r="T4230" s="8"/>
      <c r="U4230" s="8" t="s">
        <v>59</v>
      </c>
      <c r="V4230" s="13" t="s">
        <v>545</v>
      </c>
      <c r="W4230" s="13" t="s">
        <v>19448</v>
      </c>
      <c r="X4230" s="12"/>
      <c r="Y4230" s="14"/>
      <c r="Z4230" s="14"/>
    </row>
    <row r="4231">
      <c r="A4231" s="8" t="s">
        <v>19449</v>
      </c>
      <c r="B4231" s="8" t="s">
        <v>19450</v>
      </c>
      <c r="C4231" s="8" t="s">
        <v>179</v>
      </c>
      <c r="D4231" s="8" t="s">
        <v>26</v>
      </c>
      <c r="E4231" s="8" t="s">
        <v>19451</v>
      </c>
      <c r="F4231" s="8"/>
      <c r="G4231" s="8" t="s">
        <v>221</v>
      </c>
      <c r="H4231" s="8" t="s">
        <v>3506</v>
      </c>
      <c r="I4231" s="8" t="s">
        <v>31</v>
      </c>
      <c r="J4231" s="8" t="s">
        <v>77</v>
      </c>
      <c r="K4231" s="10" t="s">
        <v>3241</v>
      </c>
      <c r="L4231" s="8" t="s">
        <v>58</v>
      </c>
      <c r="M4231" s="8" t="s">
        <v>35</v>
      </c>
      <c r="N4231" s="11">
        <v>45293.0</v>
      </c>
      <c r="O4231" s="11">
        <v>45481.0</v>
      </c>
      <c r="P4231" s="11">
        <v>45523.0</v>
      </c>
      <c r="Q4231" s="11"/>
      <c r="R4231" s="11"/>
      <c r="S4231" s="12"/>
      <c r="T4231" s="8"/>
      <c r="U4231" s="8" t="s">
        <v>59</v>
      </c>
      <c r="V4231" s="13" t="s">
        <v>38</v>
      </c>
      <c r="W4231" s="13" t="s">
        <v>19452</v>
      </c>
      <c r="X4231" s="12"/>
      <c r="Y4231" s="14"/>
      <c r="Z4231" s="14"/>
    </row>
    <row r="4232">
      <c r="A4232" s="8" t="s">
        <v>19453</v>
      </c>
      <c r="B4232" s="8" t="s">
        <v>19454</v>
      </c>
      <c r="C4232" s="8" t="s">
        <v>179</v>
      </c>
      <c r="D4232" s="8" t="s">
        <v>26</v>
      </c>
      <c r="E4232" s="8" t="s">
        <v>19455</v>
      </c>
      <c r="F4232" s="8"/>
      <c r="G4232" s="8" t="s">
        <v>44</v>
      </c>
      <c r="H4232" s="8" t="s">
        <v>3093</v>
      </c>
      <c r="I4232" s="8" t="s">
        <v>31</v>
      </c>
      <c r="J4232" s="8" t="s">
        <v>102</v>
      </c>
      <c r="K4232" s="10" t="s">
        <v>9014</v>
      </c>
      <c r="L4232" s="8" t="s">
        <v>58</v>
      </c>
      <c r="M4232" s="8" t="s">
        <v>35</v>
      </c>
      <c r="N4232" s="11">
        <v>45293.0</v>
      </c>
      <c r="O4232" s="11">
        <v>45341.0</v>
      </c>
      <c r="P4232" s="11">
        <v>45383.0</v>
      </c>
      <c r="Q4232" s="11"/>
      <c r="R4232" s="11"/>
      <c r="S4232" s="12"/>
      <c r="T4232" s="8"/>
      <c r="U4232" s="8" t="s">
        <v>88</v>
      </c>
      <c r="V4232" s="13" t="s">
        <v>38</v>
      </c>
      <c r="W4232" s="13" t="s">
        <v>19456</v>
      </c>
      <c r="X4232" s="12"/>
      <c r="Y4232" s="14"/>
      <c r="Z4232" s="14"/>
    </row>
    <row r="4233">
      <c r="A4233" s="8" t="s">
        <v>19457</v>
      </c>
      <c r="B4233" s="8" t="s">
        <v>19458</v>
      </c>
      <c r="C4233" s="8" t="s">
        <v>179</v>
      </c>
      <c r="D4233" s="8" t="s">
        <v>26</v>
      </c>
      <c r="E4233" s="8" t="s">
        <v>19459</v>
      </c>
      <c r="F4233" s="8">
        <v>1.092895892E9</v>
      </c>
      <c r="G4233" s="8" t="s">
        <v>284</v>
      </c>
      <c r="H4233" s="8" t="s">
        <v>673</v>
      </c>
      <c r="I4233" s="8" t="s">
        <v>31</v>
      </c>
      <c r="J4233" s="8" t="s">
        <v>32</v>
      </c>
      <c r="K4233" s="10" t="s">
        <v>716</v>
      </c>
      <c r="L4233" s="8" t="s">
        <v>47</v>
      </c>
      <c r="M4233" s="8" t="s">
        <v>70</v>
      </c>
      <c r="N4233" s="11">
        <v>45293.0</v>
      </c>
      <c r="O4233" s="11">
        <v>45306.0</v>
      </c>
      <c r="P4233" s="11">
        <v>45671.0</v>
      </c>
      <c r="Q4233" s="11"/>
      <c r="R4233" s="11"/>
      <c r="S4233" s="12"/>
      <c r="T4233" s="8"/>
      <c r="U4233" s="8" t="s">
        <v>717</v>
      </c>
      <c r="V4233" s="13" t="s">
        <v>674</v>
      </c>
      <c r="W4233" s="13" t="s">
        <v>19460</v>
      </c>
      <c r="X4233" s="12"/>
      <c r="Y4233" s="14"/>
      <c r="Z4233" s="14"/>
    </row>
    <row r="4234">
      <c r="A4234" s="8" t="s">
        <v>19461</v>
      </c>
      <c r="B4234" s="8" t="s">
        <v>19462</v>
      </c>
      <c r="C4234" s="8" t="s">
        <v>179</v>
      </c>
      <c r="D4234" s="8" t="s">
        <v>26</v>
      </c>
      <c r="E4234" s="8" t="s">
        <v>19463</v>
      </c>
      <c r="F4234" s="8">
        <v>9.059882809E9</v>
      </c>
      <c r="G4234" s="8" t="s">
        <v>277</v>
      </c>
      <c r="H4234" s="8" t="s">
        <v>278</v>
      </c>
      <c r="I4234" s="8" t="s">
        <v>31</v>
      </c>
      <c r="J4234" s="8" t="s">
        <v>542</v>
      </c>
      <c r="K4234" s="10" t="s">
        <v>12954</v>
      </c>
      <c r="L4234" s="8" t="s">
        <v>58</v>
      </c>
      <c r="M4234" s="8" t="s">
        <v>35</v>
      </c>
      <c r="N4234" s="11">
        <v>45294.0</v>
      </c>
      <c r="O4234" s="11">
        <v>45334.0</v>
      </c>
      <c r="P4234" s="11">
        <v>45376.0</v>
      </c>
      <c r="Q4234" s="11"/>
      <c r="R4234" s="11"/>
      <c r="S4234" s="12"/>
      <c r="T4234" s="8"/>
      <c r="U4234" s="8" t="s">
        <v>161</v>
      </c>
      <c r="V4234" s="13" t="s">
        <v>19464</v>
      </c>
      <c r="W4234" s="13" t="s">
        <v>19465</v>
      </c>
      <c r="X4234" s="12"/>
      <c r="Y4234" s="14"/>
      <c r="Z4234" s="14"/>
    </row>
    <row r="4235">
      <c r="A4235" s="8" t="s">
        <v>19466</v>
      </c>
      <c r="B4235" s="8" t="s">
        <v>19467</v>
      </c>
      <c r="C4235" s="8" t="s">
        <v>179</v>
      </c>
      <c r="D4235" s="8" t="s">
        <v>26</v>
      </c>
      <c r="E4235" s="8" t="s">
        <v>19468</v>
      </c>
      <c r="F4235" s="8"/>
      <c r="G4235" s="8" t="s">
        <v>31</v>
      </c>
      <c r="H4235" s="8" t="s">
        <v>86</v>
      </c>
      <c r="I4235" s="8" t="s">
        <v>221</v>
      </c>
      <c r="J4235" s="8" t="s">
        <v>1254</v>
      </c>
      <c r="K4235" s="10" t="s">
        <v>19469</v>
      </c>
      <c r="L4235" s="8" t="s">
        <v>34</v>
      </c>
      <c r="M4235" s="8" t="s">
        <v>35</v>
      </c>
      <c r="N4235" s="11">
        <v>45295.0</v>
      </c>
      <c r="O4235" s="11">
        <v>45307.0</v>
      </c>
      <c r="P4235" s="11">
        <v>45349.0</v>
      </c>
      <c r="Q4235" s="11"/>
      <c r="R4235" s="11"/>
      <c r="S4235" s="12"/>
      <c r="T4235" s="8" t="s">
        <v>205</v>
      </c>
      <c r="U4235" s="8" t="s">
        <v>19470</v>
      </c>
      <c r="V4235" s="13" t="s">
        <v>38</v>
      </c>
      <c r="W4235" s="13" t="s">
        <v>19471</v>
      </c>
      <c r="X4235" s="12"/>
      <c r="Y4235" s="14"/>
      <c r="Z4235" s="14"/>
    </row>
    <row r="4236">
      <c r="A4236" s="8" t="s">
        <v>19472</v>
      </c>
      <c r="B4236" s="8" t="s">
        <v>19473</v>
      </c>
      <c r="C4236" s="8" t="s">
        <v>179</v>
      </c>
      <c r="D4236" s="8" t="s">
        <v>26</v>
      </c>
      <c r="E4236" s="8" t="s">
        <v>19474</v>
      </c>
      <c r="F4236" s="8">
        <v>9.527868818E9</v>
      </c>
      <c r="G4236" s="8" t="s">
        <v>44</v>
      </c>
      <c r="H4236" s="8" t="s">
        <v>741</v>
      </c>
      <c r="I4236" s="8" t="s">
        <v>31</v>
      </c>
      <c r="J4236" s="8" t="s">
        <v>86</v>
      </c>
      <c r="K4236" s="10" t="s">
        <v>2453</v>
      </c>
      <c r="L4236" s="8" t="s">
        <v>58</v>
      </c>
      <c r="M4236" s="8" t="s">
        <v>35</v>
      </c>
      <c r="N4236" s="11">
        <v>45296.0</v>
      </c>
      <c r="O4236" s="11">
        <v>45337.0</v>
      </c>
      <c r="P4236" s="11">
        <v>45379.0</v>
      </c>
      <c r="Q4236" s="11"/>
      <c r="R4236" s="11"/>
      <c r="S4236" s="12"/>
      <c r="T4236" s="8"/>
      <c r="U4236" s="8" t="s">
        <v>59</v>
      </c>
      <c r="V4236" s="13" t="s">
        <v>3397</v>
      </c>
      <c r="W4236" s="13" t="s">
        <v>19475</v>
      </c>
      <c r="X4236" s="12"/>
      <c r="Y4236" s="14"/>
      <c r="Z4236" s="14"/>
    </row>
    <row r="4237">
      <c r="A4237" s="8" t="s">
        <v>19476</v>
      </c>
      <c r="B4237" s="8" t="s">
        <v>19477</v>
      </c>
      <c r="C4237" s="8" t="s">
        <v>179</v>
      </c>
      <c r="D4237" s="8" t="s">
        <v>26</v>
      </c>
      <c r="E4237" s="8" t="s">
        <v>19478</v>
      </c>
      <c r="F4237" s="8"/>
      <c r="G4237" s="8" t="s">
        <v>307</v>
      </c>
      <c r="H4237" s="8" t="s">
        <v>308</v>
      </c>
      <c r="I4237" s="8" t="s">
        <v>31</v>
      </c>
      <c r="J4237" s="8" t="s">
        <v>111</v>
      </c>
      <c r="K4237" s="10" t="s">
        <v>468</v>
      </c>
      <c r="L4237" s="8" t="s">
        <v>58</v>
      </c>
      <c r="M4237" s="8" t="s">
        <v>35</v>
      </c>
      <c r="N4237" s="11">
        <v>45297.0</v>
      </c>
      <c r="O4237" s="11">
        <v>45460.0</v>
      </c>
      <c r="P4237" s="11">
        <v>45502.0</v>
      </c>
      <c r="Q4237" s="11"/>
      <c r="R4237" s="11"/>
      <c r="S4237" s="12"/>
      <c r="T4237" s="8"/>
      <c r="U4237" s="8" t="s">
        <v>59</v>
      </c>
      <c r="V4237" s="13" t="s">
        <v>38</v>
      </c>
      <c r="W4237" s="13" t="s">
        <v>19479</v>
      </c>
      <c r="X4237" s="12"/>
      <c r="Y4237" s="14"/>
      <c r="Z4237" s="14"/>
    </row>
    <row r="4238">
      <c r="A4238" s="8" t="s">
        <v>19480</v>
      </c>
      <c r="B4238" s="8" t="s">
        <v>19481</v>
      </c>
      <c r="C4238" s="8" t="s">
        <v>179</v>
      </c>
      <c r="D4238" s="8" t="s">
        <v>26</v>
      </c>
      <c r="E4238" s="8" t="s">
        <v>19482</v>
      </c>
      <c r="F4238" s="8"/>
      <c r="G4238" s="8" t="s">
        <v>31</v>
      </c>
      <c r="H4238" s="8" t="s">
        <v>56</v>
      </c>
      <c r="I4238" s="8" t="s">
        <v>284</v>
      </c>
      <c r="J4238" s="8" t="s">
        <v>691</v>
      </c>
      <c r="K4238" s="10" t="s">
        <v>19483</v>
      </c>
      <c r="L4238" s="8" t="s">
        <v>58</v>
      </c>
      <c r="M4238" s="8" t="s">
        <v>35</v>
      </c>
      <c r="N4238" s="11">
        <v>45297.0</v>
      </c>
      <c r="O4238" s="11">
        <v>45458.0</v>
      </c>
      <c r="P4238" s="11">
        <v>45504.0</v>
      </c>
      <c r="Q4238" s="11"/>
      <c r="R4238" s="11"/>
      <c r="S4238" s="12"/>
      <c r="T4238" s="8"/>
      <c r="U4238" s="8" t="s">
        <v>88</v>
      </c>
      <c r="V4238" s="13" t="s">
        <v>38</v>
      </c>
      <c r="W4238" s="13" t="s">
        <v>19484</v>
      </c>
      <c r="X4238" s="12"/>
      <c r="Y4238" s="14"/>
      <c r="Z4238" s="14"/>
    </row>
    <row r="4239">
      <c r="A4239" s="8" t="s">
        <v>19485</v>
      </c>
      <c r="B4239" s="8" t="s">
        <v>19486</v>
      </c>
      <c r="C4239" s="8" t="s">
        <v>179</v>
      </c>
      <c r="D4239" s="8" t="s">
        <v>26</v>
      </c>
      <c r="E4239" s="8" t="s">
        <v>19487</v>
      </c>
      <c r="F4239" s="8">
        <v>7.77216231E9</v>
      </c>
      <c r="G4239" s="8" t="s">
        <v>466</v>
      </c>
      <c r="H4239" s="8" t="s">
        <v>467</v>
      </c>
      <c r="I4239" s="8" t="s">
        <v>31</v>
      </c>
      <c r="J4239" s="8" t="s">
        <v>43</v>
      </c>
      <c r="K4239" s="10" t="s">
        <v>10896</v>
      </c>
      <c r="L4239" s="8" t="s">
        <v>47</v>
      </c>
      <c r="M4239" s="8" t="s">
        <v>70</v>
      </c>
      <c r="N4239" s="11">
        <v>45297.0</v>
      </c>
      <c r="O4239" s="11">
        <v>45323.0</v>
      </c>
      <c r="P4239" s="11">
        <v>45512.0</v>
      </c>
      <c r="Q4239" s="11"/>
      <c r="R4239" s="11"/>
      <c r="S4239" s="12"/>
      <c r="T4239" s="8"/>
      <c r="U4239" s="8" t="s">
        <v>10897</v>
      </c>
      <c r="V4239" s="13" t="s">
        <v>38</v>
      </c>
      <c r="W4239" s="13" t="s">
        <v>19488</v>
      </c>
      <c r="X4239" s="12"/>
      <c r="Y4239" s="14"/>
      <c r="Z4239" s="14"/>
    </row>
    <row r="4240">
      <c r="A4240" s="8" t="s">
        <v>19489</v>
      </c>
      <c r="B4240" s="8" t="s">
        <v>19490</v>
      </c>
      <c r="C4240" s="8" t="s">
        <v>179</v>
      </c>
      <c r="D4240" s="8" t="s">
        <v>26</v>
      </c>
      <c r="E4240" s="8" t="s">
        <v>19491</v>
      </c>
      <c r="F4240" s="8">
        <v>5.453750508E9</v>
      </c>
      <c r="G4240" s="8" t="s">
        <v>31</v>
      </c>
      <c r="H4240" s="8" t="s">
        <v>56</v>
      </c>
      <c r="I4240" s="8" t="s">
        <v>127</v>
      </c>
      <c r="J4240" s="8" t="s">
        <v>159</v>
      </c>
      <c r="K4240" s="10" t="s">
        <v>19492</v>
      </c>
      <c r="L4240" s="8" t="s">
        <v>58</v>
      </c>
      <c r="M4240" s="8" t="s">
        <v>35</v>
      </c>
      <c r="N4240" s="11">
        <v>45297.0</v>
      </c>
      <c r="O4240" s="11">
        <v>45474.0</v>
      </c>
      <c r="P4240" s="11">
        <v>45516.0</v>
      </c>
      <c r="Q4240" s="11"/>
      <c r="R4240" s="11"/>
      <c r="S4240" s="12"/>
      <c r="T4240" s="8"/>
      <c r="U4240" s="8" t="s">
        <v>59</v>
      </c>
      <c r="V4240" s="13" t="s">
        <v>56</v>
      </c>
      <c r="W4240" s="13" t="s">
        <v>19493</v>
      </c>
      <c r="X4240" s="12"/>
      <c r="Y4240" s="14"/>
      <c r="Z4240" s="14"/>
    </row>
    <row r="4241">
      <c r="A4241" s="8" t="s">
        <v>19494</v>
      </c>
      <c r="B4241" s="8" t="s">
        <v>19495</v>
      </c>
      <c r="C4241" s="8" t="s">
        <v>179</v>
      </c>
      <c r="D4241" s="8" t="s">
        <v>26</v>
      </c>
      <c r="E4241" s="8" t="s">
        <v>19496</v>
      </c>
      <c r="F4241" s="8">
        <v>1.033182718E9</v>
      </c>
      <c r="G4241" s="8" t="s">
        <v>3607</v>
      </c>
      <c r="H4241" s="8" t="s">
        <v>6783</v>
      </c>
      <c r="I4241" s="8" t="s">
        <v>31</v>
      </c>
      <c r="J4241" s="8" t="s">
        <v>56</v>
      </c>
      <c r="K4241" s="10" t="s">
        <v>12274</v>
      </c>
      <c r="L4241" s="8" t="s">
        <v>58</v>
      </c>
      <c r="M4241" s="8" t="s">
        <v>35</v>
      </c>
      <c r="N4241" s="11">
        <v>45297.0</v>
      </c>
      <c r="O4241" s="11">
        <v>45327.0</v>
      </c>
      <c r="P4241" s="11">
        <v>45369.0</v>
      </c>
      <c r="Q4241" s="11"/>
      <c r="R4241" s="11"/>
      <c r="S4241" s="12"/>
      <c r="T4241" s="8"/>
      <c r="U4241" s="8" t="s">
        <v>161</v>
      </c>
      <c r="V4241" s="13" t="s">
        <v>19497</v>
      </c>
      <c r="W4241" s="13" t="s">
        <v>19498</v>
      </c>
      <c r="X4241" s="12"/>
      <c r="Y4241" s="14"/>
      <c r="Z4241" s="14"/>
    </row>
    <row r="4242">
      <c r="A4242" s="8" t="s">
        <v>19499</v>
      </c>
      <c r="B4242" s="8" t="s">
        <v>19500</v>
      </c>
      <c r="C4242" s="8" t="s">
        <v>179</v>
      </c>
      <c r="D4242" s="8" t="s">
        <v>26</v>
      </c>
      <c r="E4242" s="8" t="s">
        <v>19501</v>
      </c>
      <c r="F4242" s="8">
        <v>5.414706245E9</v>
      </c>
      <c r="G4242" s="8" t="s">
        <v>31</v>
      </c>
      <c r="H4242" s="8" t="s">
        <v>111</v>
      </c>
      <c r="I4242" s="8" t="s">
        <v>284</v>
      </c>
      <c r="J4242" s="8" t="s">
        <v>300</v>
      </c>
      <c r="K4242" s="10" t="s">
        <v>19502</v>
      </c>
      <c r="L4242" s="8" t="s">
        <v>58</v>
      </c>
      <c r="M4242" s="8" t="s">
        <v>35</v>
      </c>
      <c r="N4242" s="11">
        <v>45297.0</v>
      </c>
      <c r="O4242" s="11">
        <v>45383.0</v>
      </c>
      <c r="P4242" s="11">
        <v>45425.0</v>
      </c>
      <c r="Q4242" s="11"/>
      <c r="R4242" s="11"/>
      <c r="S4242" s="12"/>
      <c r="T4242" s="8"/>
      <c r="U4242" s="8" t="s">
        <v>161</v>
      </c>
      <c r="V4242" s="13" t="s">
        <v>111</v>
      </c>
      <c r="W4242" s="13" t="s">
        <v>19503</v>
      </c>
      <c r="X4242" s="12"/>
      <c r="Y4242" s="14"/>
      <c r="Z4242" s="14"/>
    </row>
    <row r="4243">
      <c r="A4243" s="8" t="s">
        <v>19504</v>
      </c>
      <c r="B4243" s="8" t="s">
        <v>19505</v>
      </c>
      <c r="C4243" s="8" t="s">
        <v>179</v>
      </c>
      <c r="D4243" s="8" t="s">
        <v>26</v>
      </c>
      <c r="E4243" s="8" t="s">
        <v>19506</v>
      </c>
      <c r="F4243" s="8">
        <v>3.048878661E9</v>
      </c>
      <c r="G4243" s="8" t="s">
        <v>315</v>
      </c>
      <c r="H4243" s="8" t="s">
        <v>316</v>
      </c>
      <c r="I4243" s="8" t="s">
        <v>31</v>
      </c>
      <c r="J4243" s="8" t="s">
        <v>102</v>
      </c>
      <c r="K4243" s="10" t="s">
        <v>13624</v>
      </c>
      <c r="L4243" s="8" t="s">
        <v>34</v>
      </c>
      <c r="M4243" s="8" t="s">
        <v>70</v>
      </c>
      <c r="N4243" s="11">
        <v>45297.0</v>
      </c>
      <c r="O4243" s="11">
        <v>45323.0</v>
      </c>
      <c r="P4243" s="11">
        <v>45689.0</v>
      </c>
      <c r="Q4243" s="11"/>
      <c r="R4243" s="11"/>
      <c r="S4243" s="12"/>
      <c r="T4243" s="8" t="s">
        <v>205</v>
      </c>
      <c r="U4243" s="8" t="s">
        <v>5137</v>
      </c>
      <c r="V4243" s="13" t="s">
        <v>15929</v>
      </c>
      <c r="W4243" s="13" t="s">
        <v>19507</v>
      </c>
      <c r="X4243" s="12"/>
      <c r="Y4243" s="14"/>
      <c r="Z4243" s="14"/>
    </row>
    <row r="4244">
      <c r="A4244" s="8" t="s">
        <v>19508</v>
      </c>
      <c r="B4244" s="8" t="s">
        <v>19509</v>
      </c>
      <c r="C4244" s="8" t="s">
        <v>708</v>
      </c>
      <c r="D4244" s="8" t="s">
        <v>26</v>
      </c>
      <c r="E4244" s="8" t="s">
        <v>19510</v>
      </c>
      <c r="F4244" s="8">
        <v>9.85520187E8</v>
      </c>
      <c r="G4244" s="8" t="s">
        <v>1620</v>
      </c>
      <c r="H4244" s="8" t="s">
        <v>4288</v>
      </c>
      <c r="I4244" s="8" t="s">
        <v>31</v>
      </c>
      <c r="J4244" s="8" t="s">
        <v>102</v>
      </c>
      <c r="K4244" s="10" t="s">
        <v>9014</v>
      </c>
      <c r="L4244" s="8" t="s">
        <v>58</v>
      </c>
      <c r="M4244" s="8" t="s">
        <v>35</v>
      </c>
      <c r="N4244" s="11">
        <v>45298.0</v>
      </c>
      <c r="O4244" s="11">
        <v>45308.0</v>
      </c>
      <c r="P4244" s="11">
        <v>45350.0</v>
      </c>
      <c r="Q4244" s="11">
        <v>45313.0</v>
      </c>
      <c r="R4244" s="11">
        <v>45355.0</v>
      </c>
      <c r="S4244" s="12"/>
      <c r="T4244" s="8"/>
      <c r="U4244" s="8" t="s">
        <v>88</v>
      </c>
      <c r="V4244" s="13" t="s">
        <v>19511</v>
      </c>
      <c r="W4244" s="13" t="s">
        <v>19512</v>
      </c>
      <c r="X4244" s="12"/>
      <c r="Y4244" s="14"/>
      <c r="Z4244" s="14"/>
    </row>
    <row r="4245">
      <c r="A4245" s="8" t="s">
        <v>19513</v>
      </c>
      <c r="B4245" s="8" t="s">
        <v>19514</v>
      </c>
      <c r="C4245" s="8" t="s">
        <v>179</v>
      </c>
      <c r="D4245" s="8" t="s">
        <v>26</v>
      </c>
      <c r="E4245" s="8" t="s">
        <v>19515</v>
      </c>
      <c r="F4245" s="8">
        <v>5.340226913E9</v>
      </c>
      <c r="G4245" s="8" t="s">
        <v>31</v>
      </c>
      <c r="H4245" s="8" t="s">
        <v>86</v>
      </c>
      <c r="I4245" s="8" t="s">
        <v>284</v>
      </c>
      <c r="J4245" s="8" t="s">
        <v>793</v>
      </c>
      <c r="K4245" s="10" t="s">
        <v>16539</v>
      </c>
      <c r="L4245" s="8" t="s">
        <v>58</v>
      </c>
      <c r="M4245" s="8" t="s">
        <v>35</v>
      </c>
      <c r="N4245" s="11">
        <v>45298.0</v>
      </c>
      <c r="O4245" s="11">
        <v>45505.0</v>
      </c>
      <c r="P4245" s="11">
        <v>45547.0</v>
      </c>
      <c r="Q4245" s="11"/>
      <c r="R4245" s="11"/>
      <c r="S4245" s="12"/>
      <c r="T4245" s="8"/>
      <c r="U4245" s="8" t="s">
        <v>339</v>
      </c>
      <c r="V4245" s="13" t="s">
        <v>545</v>
      </c>
      <c r="W4245" s="13" t="s">
        <v>19516</v>
      </c>
      <c r="X4245" s="12"/>
      <c r="Y4245" s="14"/>
      <c r="Z4245" s="14"/>
    </row>
    <row r="4246">
      <c r="A4246" s="8" t="s">
        <v>19517</v>
      </c>
      <c r="B4246" s="8" t="s">
        <v>19518</v>
      </c>
      <c r="C4246" s="8" t="s">
        <v>179</v>
      </c>
      <c r="D4246" s="8" t="s">
        <v>26</v>
      </c>
      <c r="E4246" s="8" t="s">
        <v>19519</v>
      </c>
      <c r="F4246" s="8">
        <v>3.364199866E9</v>
      </c>
      <c r="G4246" s="8" t="s">
        <v>315</v>
      </c>
      <c r="H4246" s="8" t="s">
        <v>316</v>
      </c>
      <c r="I4246" s="8" t="s">
        <v>31</v>
      </c>
      <c r="J4246" s="8" t="s">
        <v>102</v>
      </c>
      <c r="K4246" s="10" t="s">
        <v>13624</v>
      </c>
      <c r="L4246" s="8" t="s">
        <v>34</v>
      </c>
      <c r="M4246" s="8" t="s">
        <v>70</v>
      </c>
      <c r="N4246" s="11">
        <v>45298.0</v>
      </c>
      <c r="O4246" s="11">
        <v>45323.0</v>
      </c>
      <c r="P4246" s="11">
        <v>45689.0</v>
      </c>
      <c r="Q4246" s="11"/>
      <c r="R4246" s="11"/>
      <c r="S4246" s="12"/>
      <c r="T4246" s="8" t="s">
        <v>205</v>
      </c>
      <c r="U4246" s="8" t="s">
        <v>5137</v>
      </c>
      <c r="V4246" s="13" t="s">
        <v>1394</v>
      </c>
      <c r="W4246" s="13" t="s">
        <v>19520</v>
      </c>
      <c r="X4246" s="12"/>
      <c r="Y4246" s="14"/>
      <c r="Z4246" s="14"/>
    </row>
    <row r="4247">
      <c r="A4247" s="8" t="s">
        <v>19521</v>
      </c>
      <c r="B4247" s="8" t="s">
        <v>19522</v>
      </c>
      <c r="C4247" s="8" t="s">
        <v>179</v>
      </c>
      <c r="D4247" s="8" t="s">
        <v>26</v>
      </c>
      <c r="E4247" s="8" t="s">
        <v>19523</v>
      </c>
      <c r="F4247" s="8">
        <v>7.46019193E8</v>
      </c>
      <c r="G4247" s="8" t="s">
        <v>127</v>
      </c>
      <c r="H4247" s="8" t="s">
        <v>159</v>
      </c>
      <c r="I4247" s="8" t="s">
        <v>31</v>
      </c>
      <c r="J4247" s="8" t="s">
        <v>56</v>
      </c>
      <c r="K4247" s="10" t="s">
        <v>11979</v>
      </c>
      <c r="L4247" s="8" t="s">
        <v>58</v>
      </c>
      <c r="M4247" s="8" t="s">
        <v>35</v>
      </c>
      <c r="N4247" s="11">
        <v>45298.0</v>
      </c>
      <c r="O4247" s="11">
        <v>45516.0</v>
      </c>
      <c r="P4247" s="11">
        <v>45558.0</v>
      </c>
      <c r="Q4247" s="11"/>
      <c r="R4247" s="11"/>
      <c r="S4247" s="12"/>
      <c r="T4247" s="8"/>
      <c r="U4247" s="8" t="s">
        <v>161</v>
      </c>
      <c r="V4247" s="13" t="s">
        <v>159</v>
      </c>
      <c r="W4247" s="13" t="s">
        <v>19524</v>
      </c>
      <c r="X4247" s="12"/>
      <c r="Y4247" s="14"/>
      <c r="Z4247" s="14"/>
    </row>
    <row r="4248">
      <c r="A4248" s="8" t="s">
        <v>19525</v>
      </c>
      <c r="B4248" s="8" t="s">
        <v>6284</v>
      </c>
      <c r="C4248" s="8" t="s">
        <v>179</v>
      </c>
      <c r="D4248" s="8" t="s">
        <v>26</v>
      </c>
      <c r="E4248" s="8" t="s">
        <v>11777</v>
      </c>
      <c r="F4248" s="8"/>
      <c r="G4248" s="8" t="s">
        <v>407</v>
      </c>
      <c r="H4248" s="8" t="s">
        <v>408</v>
      </c>
      <c r="I4248" s="8" t="s">
        <v>31</v>
      </c>
      <c r="J4248" s="8" t="s">
        <v>86</v>
      </c>
      <c r="K4248" s="10" t="s">
        <v>2404</v>
      </c>
      <c r="L4248" s="8" t="s">
        <v>34</v>
      </c>
      <c r="M4248" s="8" t="s">
        <v>70</v>
      </c>
      <c r="N4248" s="11">
        <v>45299.0</v>
      </c>
      <c r="O4248" s="11">
        <v>45376.0</v>
      </c>
      <c r="P4248" s="11">
        <v>45744.0</v>
      </c>
      <c r="Q4248" s="11"/>
      <c r="R4248" s="11"/>
      <c r="S4248" s="12"/>
      <c r="T4248" s="8" t="s">
        <v>36</v>
      </c>
      <c r="U4248" s="8" t="s">
        <v>2405</v>
      </c>
      <c r="V4248" s="13" t="s">
        <v>410</v>
      </c>
      <c r="W4248" s="13" t="s">
        <v>11778</v>
      </c>
      <c r="X4248" s="12"/>
      <c r="Y4248" s="14"/>
      <c r="Z4248" s="14"/>
    </row>
    <row r="4249">
      <c r="A4249" s="8" t="s">
        <v>19526</v>
      </c>
      <c r="B4249" s="8" t="s">
        <v>19527</v>
      </c>
      <c r="C4249" s="8" t="s">
        <v>179</v>
      </c>
      <c r="D4249" s="8" t="s">
        <v>26</v>
      </c>
      <c r="E4249" s="8" t="s">
        <v>19528</v>
      </c>
      <c r="F4249" s="8"/>
      <c r="G4249" s="8" t="s">
        <v>31</v>
      </c>
      <c r="H4249" s="8" t="s">
        <v>86</v>
      </c>
      <c r="I4249" s="8" t="s">
        <v>143</v>
      </c>
      <c r="J4249" s="8" t="s">
        <v>1478</v>
      </c>
      <c r="K4249" s="10" t="s">
        <v>19529</v>
      </c>
      <c r="L4249" s="8" t="s">
        <v>58</v>
      </c>
      <c r="M4249" s="8" t="s">
        <v>35</v>
      </c>
      <c r="N4249" s="11">
        <v>45299.0</v>
      </c>
      <c r="O4249" s="11">
        <v>45444.0</v>
      </c>
      <c r="P4249" s="11">
        <v>45486.0</v>
      </c>
      <c r="Q4249" s="11"/>
      <c r="R4249" s="11"/>
      <c r="S4249" s="12"/>
      <c r="T4249" s="8"/>
      <c r="U4249" s="8" t="s">
        <v>402</v>
      </c>
      <c r="V4249" s="13" t="s">
        <v>175</v>
      </c>
      <c r="W4249" s="13" t="s">
        <v>19530</v>
      </c>
      <c r="X4249" s="12"/>
      <c r="Y4249" s="14"/>
      <c r="Z4249" s="14"/>
    </row>
    <row r="4250">
      <c r="A4250" s="8" t="s">
        <v>19531</v>
      </c>
      <c r="B4250" s="8" t="s">
        <v>19532</v>
      </c>
      <c r="C4250" s="8" t="s">
        <v>179</v>
      </c>
      <c r="D4250" s="8" t="s">
        <v>26</v>
      </c>
      <c r="E4250" s="8" t="s">
        <v>19533</v>
      </c>
      <c r="F4250" s="8">
        <v>5.550802103E9</v>
      </c>
      <c r="G4250" s="8" t="s">
        <v>31</v>
      </c>
      <c r="H4250" s="8" t="s">
        <v>56</v>
      </c>
      <c r="I4250" s="8" t="s">
        <v>127</v>
      </c>
      <c r="J4250" s="8" t="s">
        <v>128</v>
      </c>
      <c r="K4250" s="10" t="s">
        <v>19534</v>
      </c>
      <c r="L4250" s="8" t="s">
        <v>58</v>
      </c>
      <c r="M4250" s="8" t="s">
        <v>35</v>
      </c>
      <c r="N4250" s="11">
        <v>45300.0</v>
      </c>
      <c r="O4250" s="11">
        <v>45474.0</v>
      </c>
      <c r="P4250" s="11">
        <v>45516.0</v>
      </c>
      <c r="Q4250" s="11"/>
      <c r="R4250" s="11"/>
      <c r="S4250" s="12"/>
      <c r="T4250" s="8"/>
      <c r="U4250" s="8" t="s">
        <v>161</v>
      </c>
      <c r="V4250" s="13" t="s">
        <v>56</v>
      </c>
      <c r="W4250" s="13" t="s">
        <v>19535</v>
      </c>
      <c r="X4250" s="12"/>
      <c r="Y4250" s="14"/>
      <c r="Z4250" s="14"/>
    </row>
    <row r="4251">
      <c r="A4251" s="8" t="s">
        <v>19536</v>
      </c>
      <c r="B4251" s="8" t="s">
        <v>19537</v>
      </c>
      <c r="C4251" s="8" t="s">
        <v>179</v>
      </c>
      <c r="D4251" s="8" t="s">
        <v>26</v>
      </c>
      <c r="E4251" s="8" t="s">
        <v>19538</v>
      </c>
      <c r="F4251" s="8">
        <v>5.340207022E9</v>
      </c>
      <c r="G4251" s="8" t="s">
        <v>31</v>
      </c>
      <c r="H4251" s="8" t="s">
        <v>111</v>
      </c>
      <c r="I4251" s="8" t="s">
        <v>284</v>
      </c>
      <c r="J4251" s="8" t="s">
        <v>793</v>
      </c>
      <c r="K4251" s="10" t="s">
        <v>8983</v>
      </c>
      <c r="L4251" s="8" t="s">
        <v>58</v>
      </c>
      <c r="M4251" s="8" t="s">
        <v>35</v>
      </c>
      <c r="N4251" s="11">
        <v>45300.0</v>
      </c>
      <c r="O4251" s="11">
        <v>45474.0</v>
      </c>
      <c r="P4251" s="11">
        <v>45516.0</v>
      </c>
      <c r="Q4251" s="11"/>
      <c r="R4251" s="11"/>
      <c r="S4251" s="12"/>
      <c r="T4251" s="8"/>
      <c r="U4251" s="8" t="s">
        <v>1038</v>
      </c>
      <c r="V4251" s="13" t="s">
        <v>111</v>
      </c>
      <c r="W4251" s="13" t="s">
        <v>19539</v>
      </c>
      <c r="X4251" s="12"/>
      <c r="Y4251" s="14"/>
      <c r="Z4251" s="14"/>
    </row>
    <row r="4252">
      <c r="A4252" s="8" t="s">
        <v>19540</v>
      </c>
      <c r="B4252" s="8" t="s">
        <v>19541</v>
      </c>
      <c r="C4252" s="8" t="s">
        <v>179</v>
      </c>
      <c r="D4252" s="8" t="s">
        <v>26</v>
      </c>
      <c r="E4252" s="8" t="s">
        <v>19542</v>
      </c>
      <c r="F4252" s="8">
        <v>6.74038379E8</v>
      </c>
      <c r="G4252" s="8" t="s">
        <v>254</v>
      </c>
      <c r="H4252" s="8" t="s">
        <v>3087</v>
      </c>
      <c r="I4252" s="8" t="s">
        <v>31</v>
      </c>
      <c r="J4252" s="8" t="s">
        <v>111</v>
      </c>
      <c r="K4252" s="10" t="s">
        <v>19543</v>
      </c>
      <c r="L4252" s="8" t="s">
        <v>47</v>
      </c>
      <c r="M4252" s="8" t="s">
        <v>70</v>
      </c>
      <c r="N4252" s="11">
        <v>45300.0</v>
      </c>
      <c r="O4252" s="11">
        <v>45313.0</v>
      </c>
      <c r="P4252" s="11">
        <v>45674.0</v>
      </c>
      <c r="Q4252" s="11"/>
      <c r="R4252" s="11"/>
      <c r="S4252" s="12"/>
      <c r="T4252" s="8"/>
      <c r="U4252" s="8" t="s">
        <v>19544</v>
      </c>
      <c r="V4252" s="13" t="s">
        <v>3088</v>
      </c>
      <c r="W4252" s="13" t="s">
        <v>19545</v>
      </c>
      <c r="X4252" s="12"/>
      <c r="Y4252" s="14"/>
      <c r="Z4252" s="14"/>
    </row>
    <row r="4253">
      <c r="A4253" s="8" t="s">
        <v>19546</v>
      </c>
      <c r="B4253" s="8" t="s">
        <v>19547</v>
      </c>
      <c r="C4253" s="8" t="s">
        <v>179</v>
      </c>
      <c r="D4253" s="8" t="s">
        <v>26</v>
      </c>
      <c r="E4253" s="8" t="s">
        <v>19548</v>
      </c>
      <c r="F4253" s="8">
        <v>6.5223472E7</v>
      </c>
      <c r="G4253" s="8" t="s">
        <v>19549</v>
      </c>
      <c r="H4253" s="8" t="s">
        <v>19550</v>
      </c>
      <c r="I4253" s="8" t="s">
        <v>31</v>
      </c>
      <c r="J4253" s="8" t="s">
        <v>1119</v>
      </c>
      <c r="K4253" s="10" t="s">
        <v>4889</v>
      </c>
      <c r="L4253" s="8" t="s">
        <v>47</v>
      </c>
      <c r="M4253" s="8" t="s">
        <v>70</v>
      </c>
      <c r="N4253" s="11">
        <v>45300.0</v>
      </c>
      <c r="O4253" s="11">
        <v>45323.0</v>
      </c>
      <c r="P4253" s="11">
        <v>45657.0</v>
      </c>
      <c r="Q4253" s="11"/>
      <c r="R4253" s="11"/>
      <c r="S4253" s="12"/>
      <c r="T4253" s="8"/>
      <c r="U4253" s="8" t="s">
        <v>4890</v>
      </c>
      <c r="V4253" s="13" t="s">
        <v>19551</v>
      </c>
      <c r="W4253" s="13" t="s">
        <v>19552</v>
      </c>
      <c r="X4253" s="12"/>
      <c r="Y4253" s="14"/>
      <c r="Z4253" s="14"/>
    </row>
    <row r="4254">
      <c r="A4254" s="8" t="s">
        <v>19553</v>
      </c>
      <c r="B4254" s="8" t="s">
        <v>19554</v>
      </c>
      <c r="C4254" s="8" t="s">
        <v>179</v>
      </c>
      <c r="D4254" s="8" t="s">
        <v>26</v>
      </c>
      <c r="E4254" s="8" t="s">
        <v>19555</v>
      </c>
      <c r="F4254" s="8">
        <v>5.453841183E9</v>
      </c>
      <c r="G4254" s="8" t="s">
        <v>31</v>
      </c>
      <c r="H4254" s="8" t="s">
        <v>56</v>
      </c>
      <c r="I4254" s="8" t="s">
        <v>284</v>
      </c>
      <c r="J4254" s="8" t="s">
        <v>793</v>
      </c>
      <c r="K4254" s="10" t="s">
        <v>19556</v>
      </c>
      <c r="L4254" s="8" t="s">
        <v>58</v>
      </c>
      <c r="M4254" s="8" t="s">
        <v>35</v>
      </c>
      <c r="N4254" s="11">
        <v>45301.0</v>
      </c>
      <c r="O4254" s="11">
        <v>45323.0</v>
      </c>
      <c r="P4254" s="11">
        <v>45365.0</v>
      </c>
      <c r="Q4254" s="11"/>
      <c r="R4254" s="11"/>
      <c r="S4254" s="12"/>
      <c r="T4254" s="8"/>
      <c r="U4254" s="8" t="s">
        <v>59</v>
      </c>
      <c r="V4254" s="13" t="s">
        <v>56</v>
      </c>
      <c r="W4254" s="13" t="s">
        <v>19557</v>
      </c>
      <c r="X4254" s="12"/>
      <c r="Y4254" s="14"/>
      <c r="Z4254" s="14"/>
    </row>
    <row r="4255">
      <c r="A4255" s="8" t="s">
        <v>19558</v>
      </c>
      <c r="B4255" s="8" t="s">
        <v>4360</v>
      </c>
      <c r="C4255" s="8" t="s">
        <v>179</v>
      </c>
      <c r="D4255" s="8" t="s">
        <v>26</v>
      </c>
      <c r="E4255" s="8" t="s">
        <v>4361</v>
      </c>
      <c r="F4255" s="8">
        <v>5.388448161E9</v>
      </c>
      <c r="G4255" s="8" t="s">
        <v>31</v>
      </c>
      <c r="H4255" s="8" t="s">
        <v>86</v>
      </c>
      <c r="I4255" s="8" t="s">
        <v>399</v>
      </c>
      <c r="J4255" s="8" t="s">
        <v>1381</v>
      </c>
      <c r="K4255" s="10" t="s">
        <v>19559</v>
      </c>
      <c r="L4255" s="8" t="s">
        <v>58</v>
      </c>
      <c r="M4255" s="8" t="s">
        <v>35</v>
      </c>
      <c r="N4255" s="11">
        <v>45301.0</v>
      </c>
      <c r="O4255" s="11">
        <v>45481.0</v>
      </c>
      <c r="P4255" s="11">
        <v>45523.0</v>
      </c>
      <c r="Q4255" s="11"/>
      <c r="R4255" s="11"/>
      <c r="S4255" s="12"/>
      <c r="T4255" s="8"/>
      <c r="U4255" s="8" t="s">
        <v>402</v>
      </c>
      <c r="V4255" s="13" t="s">
        <v>175</v>
      </c>
      <c r="W4255" s="13" t="s">
        <v>4362</v>
      </c>
      <c r="X4255" s="12"/>
      <c r="Y4255" s="14"/>
      <c r="Z4255" s="14"/>
    </row>
    <row r="4256">
      <c r="A4256" s="8" t="s">
        <v>19560</v>
      </c>
      <c r="B4256" s="8" t="s">
        <v>19561</v>
      </c>
      <c r="C4256" s="8" t="s">
        <v>179</v>
      </c>
      <c r="D4256" s="8" t="s">
        <v>26</v>
      </c>
      <c r="E4256" s="8" t="s">
        <v>19562</v>
      </c>
      <c r="F4256" s="8">
        <v>5.4687806E7</v>
      </c>
      <c r="G4256" s="8" t="s">
        <v>54</v>
      </c>
      <c r="H4256" s="8" t="s">
        <v>55</v>
      </c>
      <c r="I4256" s="8" t="s">
        <v>31</v>
      </c>
      <c r="J4256" s="8" t="s">
        <v>111</v>
      </c>
      <c r="K4256" s="10" t="s">
        <v>19563</v>
      </c>
      <c r="L4256" s="8" t="s">
        <v>47</v>
      </c>
      <c r="M4256" s="8" t="s">
        <v>70</v>
      </c>
      <c r="N4256" s="11">
        <v>45301.0</v>
      </c>
      <c r="O4256" s="11">
        <v>45313.0</v>
      </c>
      <c r="P4256" s="11">
        <v>45674.0</v>
      </c>
      <c r="Q4256" s="11"/>
      <c r="R4256" s="11"/>
      <c r="S4256" s="12"/>
      <c r="T4256" s="8"/>
      <c r="U4256" s="8" t="s">
        <v>19564</v>
      </c>
      <c r="V4256" s="13" t="s">
        <v>211</v>
      </c>
      <c r="W4256" s="13" t="s">
        <v>19565</v>
      </c>
      <c r="X4256" s="12"/>
      <c r="Y4256" s="14"/>
      <c r="Z4256" s="14"/>
    </row>
    <row r="4257">
      <c r="A4257" s="8" t="s">
        <v>19566</v>
      </c>
      <c r="B4257" s="8" t="s">
        <v>19567</v>
      </c>
      <c r="C4257" s="8" t="s">
        <v>179</v>
      </c>
      <c r="D4257" s="8" t="s">
        <v>26</v>
      </c>
      <c r="E4257" s="8" t="s">
        <v>19568</v>
      </c>
      <c r="F4257" s="8">
        <v>5.06161873E9</v>
      </c>
      <c r="G4257" s="8" t="s">
        <v>31</v>
      </c>
      <c r="H4257" s="8" t="s">
        <v>111</v>
      </c>
      <c r="I4257" s="8" t="s">
        <v>284</v>
      </c>
      <c r="J4257" s="8" t="s">
        <v>589</v>
      </c>
      <c r="K4257" s="10" t="s">
        <v>6146</v>
      </c>
      <c r="L4257" s="8" t="s">
        <v>58</v>
      </c>
      <c r="M4257" s="8" t="s">
        <v>35</v>
      </c>
      <c r="N4257" s="11">
        <v>45302.0</v>
      </c>
      <c r="O4257" s="11">
        <v>45493.0</v>
      </c>
      <c r="P4257" s="11">
        <v>45535.0</v>
      </c>
      <c r="Q4257" s="11"/>
      <c r="R4257" s="11"/>
      <c r="S4257" s="12"/>
      <c r="T4257" s="8"/>
      <c r="U4257" s="8" t="s">
        <v>1038</v>
      </c>
      <c r="V4257" s="13" t="s">
        <v>111</v>
      </c>
      <c r="W4257" s="13" t="s">
        <v>19569</v>
      </c>
      <c r="X4257" s="12"/>
      <c r="Y4257" s="14"/>
      <c r="Z4257" s="14"/>
    </row>
    <row r="4258">
      <c r="A4258" s="8" t="s">
        <v>19570</v>
      </c>
      <c r="B4258" s="8" t="s">
        <v>19571</v>
      </c>
      <c r="C4258" s="8" t="s">
        <v>179</v>
      </c>
      <c r="D4258" s="8" t="s">
        <v>26</v>
      </c>
      <c r="E4258" s="8" t="s">
        <v>19572</v>
      </c>
      <c r="F4258" s="8">
        <v>5.078390078E9</v>
      </c>
      <c r="G4258" s="8" t="s">
        <v>31</v>
      </c>
      <c r="H4258" s="8" t="s">
        <v>111</v>
      </c>
      <c r="I4258" s="8" t="s">
        <v>29</v>
      </c>
      <c r="J4258" s="8" t="s">
        <v>2448</v>
      </c>
      <c r="K4258" s="10" t="s">
        <v>19573</v>
      </c>
      <c r="L4258" s="8" t="s">
        <v>58</v>
      </c>
      <c r="M4258" s="8" t="s">
        <v>35</v>
      </c>
      <c r="N4258" s="11">
        <v>45302.0</v>
      </c>
      <c r="O4258" s="11">
        <v>45386.0</v>
      </c>
      <c r="P4258" s="11">
        <v>45428.0</v>
      </c>
      <c r="Q4258" s="11"/>
      <c r="R4258" s="11"/>
      <c r="S4258" s="12"/>
      <c r="T4258" s="8"/>
      <c r="U4258" s="8" t="s">
        <v>130</v>
      </c>
      <c r="V4258" s="13" t="s">
        <v>111</v>
      </c>
      <c r="W4258" s="13" t="s">
        <v>19574</v>
      </c>
      <c r="X4258" s="12"/>
      <c r="Y4258" s="14"/>
      <c r="Z4258" s="14"/>
    </row>
    <row r="4259">
      <c r="A4259" s="8" t="s">
        <v>19575</v>
      </c>
      <c r="B4259" s="8" t="s">
        <v>19576</v>
      </c>
      <c r="C4259" s="8" t="s">
        <v>179</v>
      </c>
      <c r="D4259" s="8" t="s">
        <v>26</v>
      </c>
      <c r="E4259" s="8" t="s">
        <v>19577</v>
      </c>
      <c r="F4259" s="8">
        <v>5.302126843E9</v>
      </c>
      <c r="G4259" s="8" t="s">
        <v>31</v>
      </c>
      <c r="H4259" s="8" t="s">
        <v>102</v>
      </c>
      <c r="I4259" s="8" t="s">
        <v>399</v>
      </c>
      <c r="J4259" s="8" t="s">
        <v>415</v>
      </c>
      <c r="K4259" s="10" t="s">
        <v>3178</v>
      </c>
      <c r="L4259" s="8" t="s">
        <v>58</v>
      </c>
      <c r="M4259" s="8" t="s">
        <v>35</v>
      </c>
      <c r="N4259" s="11">
        <v>45303.0</v>
      </c>
      <c r="O4259" s="11">
        <v>45528.0</v>
      </c>
      <c r="P4259" s="11">
        <v>45570.0</v>
      </c>
      <c r="Q4259" s="11"/>
      <c r="R4259" s="11"/>
      <c r="S4259" s="12"/>
      <c r="T4259" s="8"/>
      <c r="U4259" s="8" t="s">
        <v>402</v>
      </c>
      <c r="V4259" s="13" t="s">
        <v>102</v>
      </c>
      <c r="W4259" s="13" t="s">
        <v>19578</v>
      </c>
      <c r="X4259" s="12"/>
      <c r="Y4259" s="14"/>
      <c r="Z4259" s="14"/>
    </row>
    <row r="4260">
      <c r="A4260" s="8" t="s">
        <v>19579</v>
      </c>
      <c r="B4260" s="8" t="s">
        <v>15571</v>
      </c>
      <c r="C4260" s="8" t="s">
        <v>179</v>
      </c>
      <c r="D4260" s="8" t="s">
        <v>26</v>
      </c>
      <c r="E4260" s="8" t="s">
        <v>19580</v>
      </c>
      <c r="F4260" s="8">
        <v>1.123513422E9</v>
      </c>
      <c r="G4260" s="8" t="s">
        <v>284</v>
      </c>
      <c r="H4260" s="8" t="s">
        <v>300</v>
      </c>
      <c r="I4260" s="8" t="s">
        <v>31</v>
      </c>
      <c r="J4260" s="8" t="s">
        <v>292</v>
      </c>
      <c r="K4260" s="10" t="s">
        <v>12835</v>
      </c>
      <c r="L4260" s="8" t="s">
        <v>58</v>
      </c>
      <c r="M4260" s="8" t="s">
        <v>35</v>
      </c>
      <c r="N4260" s="11">
        <v>45303.0</v>
      </c>
      <c r="O4260" s="11">
        <v>45320.0</v>
      </c>
      <c r="P4260" s="11">
        <v>45362.0</v>
      </c>
      <c r="Q4260" s="11"/>
      <c r="R4260" s="11"/>
      <c r="S4260" s="12"/>
      <c r="T4260" s="8"/>
      <c r="U4260" s="8" t="s">
        <v>88</v>
      </c>
      <c r="V4260" s="13" t="s">
        <v>300</v>
      </c>
      <c r="W4260" s="13" t="s">
        <v>19581</v>
      </c>
      <c r="X4260" s="12"/>
      <c r="Y4260" s="14"/>
      <c r="Z4260" s="14"/>
    </row>
    <row r="4261">
      <c r="A4261" s="8" t="s">
        <v>19582</v>
      </c>
      <c r="B4261" s="8" t="s">
        <v>2985</v>
      </c>
      <c r="C4261" s="8" t="s">
        <v>179</v>
      </c>
      <c r="D4261" s="8" t="s">
        <v>26</v>
      </c>
      <c r="E4261" s="8" t="s">
        <v>19583</v>
      </c>
      <c r="F4261" s="8">
        <v>7.7011414E8</v>
      </c>
      <c r="G4261" s="8" t="s">
        <v>254</v>
      </c>
      <c r="H4261" s="8" t="s">
        <v>291</v>
      </c>
      <c r="I4261" s="8" t="s">
        <v>31</v>
      </c>
      <c r="J4261" s="8" t="s">
        <v>86</v>
      </c>
      <c r="K4261" s="10" t="s">
        <v>2404</v>
      </c>
      <c r="L4261" s="8" t="s">
        <v>34</v>
      </c>
      <c r="M4261" s="8" t="s">
        <v>70</v>
      </c>
      <c r="N4261" s="11">
        <v>45303.0</v>
      </c>
      <c r="O4261" s="11">
        <v>45341.0</v>
      </c>
      <c r="P4261" s="11">
        <v>45709.0</v>
      </c>
      <c r="Q4261" s="11"/>
      <c r="R4261" s="11"/>
      <c r="S4261" s="12"/>
      <c r="T4261" s="8" t="s">
        <v>36</v>
      </c>
      <c r="U4261" s="8" t="s">
        <v>2405</v>
      </c>
      <c r="V4261" s="13" t="s">
        <v>295</v>
      </c>
      <c r="W4261" s="13" t="s">
        <v>19584</v>
      </c>
      <c r="X4261" s="12"/>
      <c r="Y4261" s="14"/>
      <c r="Z4261" s="14"/>
    </row>
    <row r="4262">
      <c r="A4262" s="8" t="s">
        <v>19585</v>
      </c>
      <c r="B4262" s="8" t="s">
        <v>19586</v>
      </c>
      <c r="C4262" s="8" t="s">
        <v>179</v>
      </c>
      <c r="D4262" s="8" t="s">
        <v>26</v>
      </c>
      <c r="E4262" s="8" t="s">
        <v>19587</v>
      </c>
      <c r="F4262" s="8">
        <v>5.385753988E9</v>
      </c>
      <c r="G4262" s="8" t="s">
        <v>31</v>
      </c>
      <c r="H4262" s="8" t="s">
        <v>86</v>
      </c>
      <c r="I4262" s="8" t="s">
        <v>284</v>
      </c>
      <c r="J4262" s="8" t="s">
        <v>793</v>
      </c>
      <c r="K4262" s="10" t="s">
        <v>2486</v>
      </c>
      <c r="L4262" s="8" t="s">
        <v>58</v>
      </c>
      <c r="M4262" s="8" t="s">
        <v>35</v>
      </c>
      <c r="N4262" s="11">
        <v>45304.0</v>
      </c>
      <c r="O4262" s="11">
        <v>45458.0</v>
      </c>
      <c r="P4262" s="11">
        <v>45500.0</v>
      </c>
      <c r="Q4262" s="11"/>
      <c r="R4262" s="11"/>
      <c r="S4262" s="12"/>
      <c r="T4262" s="8"/>
      <c r="U4262" s="8" t="s">
        <v>1038</v>
      </c>
      <c r="V4262" s="13" t="s">
        <v>175</v>
      </c>
      <c r="W4262" s="13" t="s">
        <v>19588</v>
      </c>
      <c r="X4262" s="12"/>
      <c r="Y4262" s="14"/>
      <c r="Z4262" s="14"/>
    </row>
    <row r="4263">
      <c r="A4263" s="8" t="s">
        <v>19589</v>
      </c>
      <c r="B4263" s="8" t="s">
        <v>19590</v>
      </c>
      <c r="C4263" s="8" t="s">
        <v>179</v>
      </c>
      <c r="D4263" s="8" t="s">
        <v>26</v>
      </c>
      <c r="E4263" s="8" t="s">
        <v>19591</v>
      </c>
      <c r="F4263" s="8">
        <v>8.39041794E9</v>
      </c>
      <c r="G4263" s="8" t="s">
        <v>44</v>
      </c>
      <c r="H4263" s="8" t="s">
        <v>741</v>
      </c>
      <c r="I4263" s="8" t="s">
        <v>31</v>
      </c>
      <c r="J4263" s="8" t="s">
        <v>111</v>
      </c>
      <c r="K4263" s="10" t="s">
        <v>16330</v>
      </c>
      <c r="L4263" s="8" t="s">
        <v>58</v>
      </c>
      <c r="M4263" s="8" t="s">
        <v>35</v>
      </c>
      <c r="N4263" s="11">
        <v>45305.0</v>
      </c>
      <c r="O4263" s="11">
        <v>45341.0</v>
      </c>
      <c r="P4263" s="11">
        <v>45383.0</v>
      </c>
      <c r="Q4263" s="11"/>
      <c r="R4263" s="11"/>
      <c r="S4263" s="12"/>
      <c r="T4263" s="8"/>
      <c r="U4263" s="8" t="s">
        <v>59</v>
      </c>
      <c r="V4263" s="13" t="s">
        <v>19592</v>
      </c>
      <c r="W4263" s="13" t="s">
        <v>19593</v>
      </c>
      <c r="X4263" s="12"/>
      <c r="Y4263" s="14"/>
      <c r="Z4263" s="14"/>
    </row>
    <row r="4264">
      <c r="A4264" s="8" t="s">
        <v>19594</v>
      </c>
      <c r="B4264" s="8" t="s">
        <v>11726</v>
      </c>
      <c r="C4264" s="8" t="s">
        <v>179</v>
      </c>
      <c r="D4264" s="8" t="s">
        <v>26</v>
      </c>
      <c r="E4264" s="8" t="s">
        <v>19595</v>
      </c>
      <c r="F4264" s="8">
        <v>5.431640667E9</v>
      </c>
      <c r="G4264" s="8" t="s">
        <v>315</v>
      </c>
      <c r="H4264" s="8" t="s">
        <v>1833</v>
      </c>
      <c r="I4264" s="8" t="s">
        <v>31</v>
      </c>
      <c r="J4264" s="8" t="s">
        <v>86</v>
      </c>
      <c r="K4264" s="10" t="s">
        <v>2404</v>
      </c>
      <c r="L4264" s="8" t="s">
        <v>34</v>
      </c>
      <c r="M4264" s="8" t="s">
        <v>70</v>
      </c>
      <c r="N4264" s="11">
        <v>45305.0</v>
      </c>
      <c r="O4264" s="11">
        <v>45334.0</v>
      </c>
      <c r="P4264" s="11">
        <v>45691.0</v>
      </c>
      <c r="Q4264" s="11"/>
      <c r="R4264" s="11"/>
      <c r="S4264" s="12"/>
      <c r="T4264" s="8" t="s">
        <v>36</v>
      </c>
      <c r="U4264" s="8" t="s">
        <v>2405</v>
      </c>
      <c r="V4264" s="13" t="s">
        <v>1834</v>
      </c>
      <c r="W4264" s="13" t="s">
        <v>19596</v>
      </c>
      <c r="X4264" s="12"/>
      <c r="Y4264" s="14"/>
      <c r="Z4264" s="14"/>
    </row>
    <row r="4265">
      <c r="A4265" s="8" t="s">
        <v>19597</v>
      </c>
      <c r="B4265" s="8" t="s">
        <v>6027</v>
      </c>
      <c r="C4265" s="8" t="s">
        <v>179</v>
      </c>
      <c r="D4265" s="8" t="s">
        <v>26</v>
      </c>
      <c r="E4265" s="8" t="s">
        <v>19598</v>
      </c>
      <c r="F4265" s="8">
        <v>1.55112112E9</v>
      </c>
      <c r="G4265" s="8" t="s">
        <v>284</v>
      </c>
      <c r="H4265" s="8" t="s">
        <v>1450</v>
      </c>
      <c r="I4265" s="8" t="s">
        <v>31</v>
      </c>
      <c r="J4265" s="8" t="s">
        <v>256</v>
      </c>
      <c r="K4265" s="10" t="s">
        <v>18969</v>
      </c>
      <c r="L4265" s="8" t="s">
        <v>58</v>
      </c>
      <c r="M4265" s="8" t="s">
        <v>35</v>
      </c>
      <c r="N4265" s="11">
        <v>45305.0</v>
      </c>
      <c r="O4265" s="11">
        <v>45331.0</v>
      </c>
      <c r="P4265" s="11">
        <v>45373.0</v>
      </c>
      <c r="Q4265" s="11"/>
      <c r="R4265" s="11"/>
      <c r="S4265" s="12"/>
      <c r="T4265" s="8"/>
      <c r="U4265" s="8" t="s">
        <v>59</v>
      </c>
      <c r="V4265" s="13" t="s">
        <v>10026</v>
      </c>
      <c r="W4265" s="13" t="s">
        <v>19599</v>
      </c>
      <c r="X4265" s="12"/>
      <c r="Y4265" s="14"/>
      <c r="Z4265" s="14"/>
    </row>
    <row r="4266">
      <c r="A4266" s="8" t="s">
        <v>19600</v>
      </c>
      <c r="B4266" s="8" t="s">
        <v>19601</v>
      </c>
      <c r="C4266" s="8" t="s">
        <v>179</v>
      </c>
      <c r="D4266" s="8" t="s">
        <v>26</v>
      </c>
      <c r="E4266" s="8" t="s">
        <v>19602</v>
      </c>
      <c r="F4266" s="8">
        <v>5.303802466E9</v>
      </c>
      <c r="G4266" s="8" t="s">
        <v>31</v>
      </c>
      <c r="H4266" s="8" t="s">
        <v>111</v>
      </c>
      <c r="I4266" s="8" t="s">
        <v>399</v>
      </c>
      <c r="J4266" s="8" t="s">
        <v>415</v>
      </c>
      <c r="K4266" s="10" t="s">
        <v>3178</v>
      </c>
      <c r="L4266" s="8" t="s">
        <v>58</v>
      </c>
      <c r="M4266" s="8" t="s">
        <v>35</v>
      </c>
      <c r="N4266" s="11">
        <v>45306.0</v>
      </c>
      <c r="O4266" s="11">
        <v>45528.0</v>
      </c>
      <c r="P4266" s="11">
        <v>45570.0</v>
      </c>
      <c r="Q4266" s="11"/>
      <c r="R4266" s="11"/>
      <c r="S4266" s="12"/>
      <c r="T4266" s="8"/>
      <c r="U4266" s="8" t="s">
        <v>402</v>
      </c>
      <c r="V4266" s="13" t="s">
        <v>111</v>
      </c>
      <c r="W4266" s="13" t="s">
        <v>19603</v>
      </c>
      <c r="X4266" s="12"/>
      <c r="Y4266" s="14"/>
      <c r="Z4266" s="14"/>
    </row>
    <row r="4267">
      <c r="A4267" s="8" t="s">
        <v>19604</v>
      </c>
      <c r="B4267" s="8" t="s">
        <v>19605</v>
      </c>
      <c r="C4267" s="8" t="s">
        <v>179</v>
      </c>
      <c r="D4267" s="8" t="s">
        <v>26</v>
      </c>
      <c r="E4267" s="8" t="s">
        <v>19606</v>
      </c>
      <c r="F4267" s="8">
        <v>5.387285702E9</v>
      </c>
      <c r="G4267" s="8" t="s">
        <v>31</v>
      </c>
      <c r="H4267" s="8" t="s">
        <v>111</v>
      </c>
      <c r="I4267" s="8" t="s">
        <v>399</v>
      </c>
      <c r="J4267" s="8" t="s">
        <v>415</v>
      </c>
      <c r="K4267" s="10" t="s">
        <v>3178</v>
      </c>
      <c r="L4267" s="8" t="s">
        <v>58</v>
      </c>
      <c r="M4267" s="8" t="s">
        <v>35</v>
      </c>
      <c r="N4267" s="11">
        <v>45306.0</v>
      </c>
      <c r="O4267" s="11">
        <v>45528.0</v>
      </c>
      <c r="P4267" s="11">
        <v>45570.0</v>
      </c>
      <c r="Q4267" s="11"/>
      <c r="R4267" s="11"/>
      <c r="S4267" s="12"/>
      <c r="T4267" s="8"/>
      <c r="U4267" s="8" t="s">
        <v>402</v>
      </c>
      <c r="V4267" s="13" t="s">
        <v>111</v>
      </c>
      <c r="W4267" s="13" t="s">
        <v>19607</v>
      </c>
      <c r="X4267" s="12"/>
      <c r="Y4267" s="14"/>
      <c r="Z4267" s="14"/>
    </row>
    <row r="4268">
      <c r="A4268" s="8" t="s">
        <v>19608</v>
      </c>
      <c r="B4268" s="8" t="s">
        <v>19609</v>
      </c>
      <c r="C4268" s="8" t="s">
        <v>179</v>
      </c>
      <c r="D4268" s="8" t="s">
        <v>26</v>
      </c>
      <c r="E4268" s="8" t="s">
        <v>19610</v>
      </c>
      <c r="F4268" s="8">
        <v>9.423151488E9</v>
      </c>
      <c r="G4268" s="8" t="s">
        <v>44</v>
      </c>
      <c r="H4268" s="8" t="s">
        <v>741</v>
      </c>
      <c r="I4268" s="8" t="s">
        <v>31</v>
      </c>
      <c r="J4268" s="8" t="s">
        <v>111</v>
      </c>
      <c r="K4268" s="10" t="s">
        <v>468</v>
      </c>
      <c r="L4268" s="8" t="s">
        <v>58</v>
      </c>
      <c r="M4268" s="8" t="s">
        <v>35</v>
      </c>
      <c r="N4268" s="11">
        <v>45307.0</v>
      </c>
      <c r="O4268" s="11">
        <v>45334.0</v>
      </c>
      <c r="P4268" s="11">
        <v>45376.0</v>
      </c>
      <c r="Q4268" s="11"/>
      <c r="R4268" s="11"/>
      <c r="S4268" s="12"/>
      <c r="T4268" s="8"/>
      <c r="U4268" s="8" t="s">
        <v>59</v>
      </c>
      <c r="V4268" s="13" t="s">
        <v>3397</v>
      </c>
      <c r="W4268" s="13" t="s">
        <v>19611</v>
      </c>
      <c r="X4268" s="12"/>
      <c r="Y4268" s="14"/>
      <c r="Z4268" s="14"/>
    </row>
    <row r="4269">
      <c r="A4269" s="8" t="s">
        <v>19612</v>
      </c>
      <c r="B4269" s="8" t="s">
        <v>19613</v>
      </c>
      <c r="C4269" s="8" t="s">
        <v>179</v>
      </c>
      <c r="D4269" s="8" t="s">
        <v>26</v>
      </c>
      <c r="E4269" s="8" t="s">
        <v>19614</v>
      </c>
      <c r="F4269" s="8">
        <v>9.8017059E8</v>
      </c>
      <c r="G4269" s="8" t="s">
        <v>1620</v>
      </c>
      <c r="H4269" s="8" t="s">
        <v>3655</v>
      </c>
      <c r="I4269" s="8" t="s">
        <v>31</v>
      </c>
      <c r="J4269" s="8" t="s">
        <v>86</v>
      </c>
      <c r="K4269" s="10" t="s">
        <v>7325</v>
      </c>
      <c r="L4269" s="8" t="s">
        <v>58</v>
      </c>
      <c r="M4269" s="8" t="s">
        <v>35</v>
      </c>
      <c r="N4269" s="11">
        <v>45307.0</v>
      </c>
      <c r="O4269" s="11">
        <v>45476.0</v>
      </c>
      <c r="P4269" s="11">
        <v>45518.0</v>
      </c>
      <c r="Q4269" s="11"/>
      <c r="R4269" s="11"/>
      <c r="S4269" s="12"/>
      <c r="T4269" s="8"/>
      <c r="U4269" s="8" t="s">
        <v>59</v>
      </c>
      <c r="V4269" s="13" t="s">
        <v>3656</v>
      </c>
      <c r="W4269" s="13" t="s">
        <v>19615</v>
      </c>
      <c r="X4269" s="12"/>
      <c r="Y4269" s="14"/>
      <c r="Z4269" s="14"/>
    </row>
    <row r="4270">
      <c r="A4270" s="8" t="s">
        <v>19616</v>
      </c>
      <c r="B4270" s="8" t="s">
        <v>19617</v>
      </c>
      <c r="C4270" s="8" t="s">
        <v>179</v>
      </c>
      <c r="D4270" s="8" t="s">
        <v>26</v>
      </c>
      <c r="E4270" s="8" t="s">
        <v>19618</v>
      </c>
      <c r="F4270" s="8">
        <v>5.078720032E9</v>
      </c>
      <c r="G4270" s="8" t="s">
        <v>31</v>
      </c>
      <c r="H4270" s="8" t="s">
        <v>32</v>
      </c>
      <c r="I4270" s="8" t="s">
        <v>230</v>
      </c>
      <c r="J4270" s="8" t="s">
        <v>543</v>
      </c>
      <c r="K4270" s="10" t="s">
        <v>19619</v>
      </c>
      <c r="L4270" s="8" t="s">
        <v>34</v>
      </c>
      <c r="M4270" s="8" t="s">
        <v>70</v>
      </c>
      <c r="N4270" s="11">
        <v>45308.0</v>
      </c>
      <c r="O4270" s="11">
        <v>45341.0</v>
      </c>
      <c r="P4270" s="11">
        <v>45530.0</v>
      </c>
      <c r="Q4270" s="11"/>
      <c r="R4270" s="11"/>
      <c r="S4270" s="12"/>
      <c r="T4270" s="8" t="s">
        <v>205</v>
      </c>
      <c r="U4270" s="8" t="s">
        <v>19620</v>
      </c>
      <c r="V4270" s="13" t="s">
        <v>537</v>
      </c>
      <c r="W4270" s="13" t="s">
        <v>19621</v>
      </c>
      <c r="X4270" s="12"/>
      <c r="Y4270" s="14"/>
      <c r="Z4270" s="14"/>
    </row>
    <row r="4271">
      <c r="A4271" s="8" t="s">
        <v>19622</v>
      </c>
      <c r="B4271" s="8" t="s">
        <v>19623</v>
      </c>
      <c r="C4271" s="8" t="s">
        <v>179</v>
      </c>
      <c r="D4271" s="8" t="s">
        <v>26</v>
      </c>
      <c r="E4271" s="8" t="s">
        <v>19624</v>
      </c>
      <c r="F4271" s="8">
        <v>5.531846609E9</v>
      </c>
      <c r="G4271" s="8" t="s">
        <v>31</v>
      </c>
      <c r="H4271" s="8" t="s">
        <v>111</v>
      </c>
      <c r="I4271" s="8" t="s">
        <v>407</v>
      </c>
      <c r="J4271" s="8" t="s">
        <v>408</v>
      </c>
      <c r="K4271" s="10" t="s">
        <v>17321</v>
      </c>
      <c r="L4271" s="8" t="s">
        <v>58</v>
      </c>
      <c r="M4271" s="8" t="s">
        <v>35</v>
      </c>
      <c r="N4271" s="11">
        <v>45308.0</v>
      </c>
      <c r="O4271" s="11">
        <v>45488.0</v>
      </c>
      <c r="P4271" s="11">
        <v>45530.0</v>
      </c>
      <c r="Q4271" s="11"/>
      <c r="R4271" s="11"/>
      <c r="S4271" s="12"/>
      <c r="T4271" s="8"/>
      <c r="U4271" s="8" t="s">
        <v>371</v>
      </c>
      <c r="V4271" s="13" t="s">
        <v>292</v>
      </c>
      <c r="W4271" s="13" t="s">
        <v>19625</v>
      </c>
      <c r="X4271" s="12"/>
      <c r="Y4271" s="14"/>
      <c r="Z4271" s="14"/>
    </row>
    <row r="4272">
      <c r="A4272" s="8" t="s">
        <v>19626</v>
      </c>
      <c r="B4272" s="8" t="s">
        <v>19627</v>
      </c>
      <c r="C4272" s="8" t="s">
        <v>179</v>
      </c>
      <c r="D4272" s="8" t="s">
        <v>26</v>
      </c>
      <c r="E4272" s="8" t="s">
        <v>19628</v>
      </c>
      <c r="F4272" s="8">
        <v>5.364397542E9</v>
      </c>
      <c r="G4272" s="8" t="s">
        <v>31</v>
      </c>
      <c r="H4272" s="8" t="s">
        <v>43</v>
      </c>
      <c r="I4272" s="8" t="s">
        <v>127</v>
      </c>
      <c r="J4272" s="8" t="s">
        <v>128</v>
      </c>
      <c r="K4272" s="10" t="s">
        <v>19346</v>
      </c>
      <c r="L4272" s="8" t="s">
        <v>58</v>
      </c>
      <c r="M4272" s="8" t="s">
        <v>35</v>
      </c>
      <c r="N4272" s="11">
        <v>45308.0</v>
      </c>
      <c r="O4272" s="11">
        <v>45460.0</v>
      </c>
      <c r="P4272" s="11">
        <v>45502.0</v>
      </c>
      <c r="Q4272" s="11"/>
      <c r="R4272" s="11"/>
      <c r="S4272" s="12"/>
      <c r="T4272" s="8"/>
      <c r="U4272" s="8" t="s">
        <v>161</v>
      </c>
      <c r="V4272" s="13" t="s">
        <v>43</v>
      </c>
      <c r="W4272" s="13" t="s">
        <v>19629</v>
      </c>
      <c r="X4272" s="12"/>
      <c r="Y4272" s="14"/>
      <c r="Z4272" s="14"/>
    </row>
    <row r="4273">
      <c r="A4273" s="8" t="s">
        <v>19630</v>
      </c>
      <c r="B4273" s="8" t="s">
        <v>19631</v>
      </c>
      <c r="C4273" s="8" t="s">
        <v>179</v>
      </c>
      <c r="D4273" s="8" t="s">
        <v>26</v>
      </c>
      <c r="E4273" s="8" t="s">
        <v>19632</v>
      </c>
      <c r="F4273" s="8"/>
      <c r="G4273" s="8" t="s">
        <v>31</v>
      </c>
      <c r="H4273" s="8" t="s">
        <v>86</v>
      </c>
      <c r="I4273" s="8" t="s">
        <v>284</v>
      </c>
      <c r="J4273" s="8" t="s">
        <v>589</v>
      </c>
      <c r="K4273" s="10" t="s">
        <v>19633</v>
      </c>
      <c r="L4273" s="8" t="s">
        <v>58</v>
      </c>
      <c r="M4273" s="8" t="s">
        <v>35</v>
      </c>
      <c r="N4273" s="11">
        <v>45308.0</v>
      </c>
      <c r="O4273" s="11">
        <v>45506.0</v>
      </c>
      <c r="P4273" s="11">
        <v>45548.0</v>
      </c>
      <c r="Q4273" s="11"/>
      <c r="R4273" s="11"/>
      <c r="S4273" s="12"/>
      <c r="T4273" s="8"/>
      <c r="U4273" s="8" t="s">
        <v>88</v>
      </c>
      <c r="V4273" s="13" t="s">
        <v>38</v>
      </c>
      <c r="W4273" s="13" t="s">
        <v>19634</v>
      </c>
      <c r="X4273" s="12"/>
      <c r="Y4273" s="14"/>
      <c r="Z4273" s="14"/>
    </row>
    <row r="4274">
      <c r="A4274" s="8" t="s">
        <v>19635</v>
      </c>
      <c r="B4274" s="8" t="s">
        <v>19636</v>
      </c>
      <c r="C4274" s="8" t="s">
        <v>179</v>
      </c>
      <c r="D4274" s="8" t="s">
        <v>26</v>
      </c>
      <c r="E4274" s="8" t="s">
        <v>19637</v>
      </c>
      <c r="F4274" s="8"/>
      <c r="G4274" s="8" t="s">
        <v>4016</v>
      </c>
      <c r="H4274" s="8" t="s">
        <v>4017</v>
      </c>
      <c r="I4274" s="8" t="s">
        <v>31</v>
      </c>
      <c r="J4274" s="8" t="s">
        <v>66</v>
      </c>
      <c r="K4274" s="10" t="s">
        <v>15083</v>
      </c>
      <c r="L4274" s="8" t="s">
        <v>47</v>
      </c>
      <c r="M4274" s="8" t="s">
        <v>70</v>
      </c>
      <c r="N4274" s="11">
        <v>45308.0</v>
      </c>
      <c r="O4274" s="11">
        <v>45327.0</v>
      </c>
      <c r="P4274" s="11">
        <v>45688.0</v>
      </c>
      <c r="Q4274" s="11"/>
      <c r="R4274" s="11"/>
      <c r="S4274" s="12"/>
      <c r="T4274" s="8"/>
      <c r="U4274" s="8" t="s">
        <v>246</v>
      </c>
      <c r="V4274" s="13" t="s">
        <v>446</v>
      </c>
      <c r="W4274" s="13" t="s">
        <v>19638</v>
      </c>
      <c r="X4274" s="12"/>
      <c r="Y4274" s="14"/>
      <c r="Z4274" s="14"/>
    </row>
    <row r="4275">
      <c r="A4275" s="8" t="s">
        <v>19639</v>
      </c>
      <c r="B4275" s="8" t="s">
        <v>19640</v>
      </c>
      <c r="C4275" s="8" t="s">
        <v>179</v>
      </c>
      <c r="D4275" s="8" t="s">
        <v>26</v>
      </c>
      <c r="E4275" s="8" t="s">
        <v>19641</v>
      </c>
      <c r="F4275" s="8">
        <v>7.869697071E9</v>
      </c>
      <c r="G4275" s="8" t="s">
        <v>2680</v>
      </c>
      <c r="H4275" s="8" t="s">
        <v>19642</v>
      </c>
      <c r="I4275" s="8" t="s">
        <v>31</v>
      </c>
      <c r="J4275" s="8" t="s">
        <v>542</v>
      </c>
      <c r="K4275" s="10" t="s">
        <v>15657</v>
      </c>
      <c r="L4275" s="8" t="s">
        <v>34</v>
      </c>
      <c r="M4275" s="8" t="s">
        <v>70</v>
      </c>
      <c r="N4275" s="11">
        <v>45309.0</v>
      </c>
      <c r="O4275" s="11">
        <v>45340.0</v>
      </c>
      <c r="P4275" s="11">
        <v>45712.0</v>
      </c>
      <c r="Q4275" s="11"/>
      <c r="R4275" s="11"/>
      <c r="S4275" s="12"/>
      <c r="T4275" s="8" t="s">
        <v>36</v>
      </c>
      <c r="U4275" s="8" t="s">
        <v>15658</v>
      </c>
      <c r="V4275" s="13" t="s">
        <v>19643</v>
      </c>
      <c r="W4275" s="13" t="s">
        <v>19644</v>
      </c>
      <c r="X4275" s="12"/>
      <c r="Y4275" s="14"/>
      <c r="Z4275" s="14"/>
    </row>
    <row r="4276">
      <c r="A4276" s="8" t="s">
        <v>19645</v>
      </c>
      <c r="B4276" s="8" t="s">
        <v>19646</v>
      </c>
      <c r="C4276" s="8" t="s">
        <v>179</v>
      </c>
      <c r="D4276" s="8" t="s">
        <v>26</v>
      </c>
      <c r="E4276" s="8" t="s">
        <v>19647</v>
      </c>
      <c r="F4276" s="8">
        <v>5.39468535E9</v>
      </c>
      <c r="G4276" s="8" t="s">
        <v>31</v>
      </c>
      <c r="H4276" s="8" t="s">
        <v>86</v>
      </c>
      <c r="I4276" s="8" t="s">
        <v>29</v>
      </c>
      <c r="J4276" s="8" t="s">
        <v>2448</v>
      </c>
      <c r="K4276" s="10" t="s">
        <v>19648</v>
      </c>
      <c r="L4276" s="8" t="s">
        <v>58</v>
      </c>
      <c r="M4276" s="8" t="s">
        <v>35</v>
      </c>
      <c r="N4276" s="11">
        <v>45309.0</v>
      </c>
      <c r="O4276" s="11">
        <v>45327.0</v>
      </c>
      <c r="P4276" s="11">
        <v>45369.0</v>
      </c>
      <c r="Q4276" s="11"/>
      <c r="R4276" s="11"/>
      <c r="S4276" s="12"/>
      <c r="T4276" s="8"/>
      <c r="U4276" s="8" t="s">
        <v>59</v>
      </c>
      <c r="V4276" s="13" t="s">
        <v>545</v>
      </c>
      <c r="W4276" s="13" t="s">
        <v>19649</v>
      </c>
      <c r="X4276" s="12"/>
      <c r="Y4276" s="14"/>
      <c r="Z4276" s="14"/>
    </row>
    <row r="4277">
      <c r="A4277" s="8" t="s">
        <v>19650</v>
      </c>
      <c r="B4277" s="8" t="s">
        <v>19651</v>
      </c>
      <c r="C4277" s="8" t="s">
        <v>179</v>
      </c>
      <c r="D4277" s="8" t="s">
        <v>26</v>
      </c>
      <c r="E4277" s="8" t="s">
        <v>19652</v>
      </c>
      <c r="F4277" s="8">
        <v>7.61299641E8</v>
      </c>
      <c r="G4277" s="8" t="s">
        <v>127</v>
      </c>
      <c r="H4277" s="8" t="s">
        <v>128</v>
      </c>
      <c r="I4277" s="8" t="s">
        <v>31</v>
      </c>
      <c r="J4277" s="8" t="s">
        <v>56</v>
      </c>
      <c r="K4277" s="10" t="s">
        <v>19653</v>
      </c>
      <c r="L4277" s="8" t="s">
        <v>58</v>
      </c>
      <c r="M4277" s="8" t="s">
        <v>35</v>
      </c>
      <c r="N4277" s="11">
        <v>45309.0</v>
      </c>
      <c r="O4277" s="11">
        <v>45474.0</v>
      </c>
      <c r="P4277" s="11">
        <v>45516.0</v>
      </c>
      <c r="Q4277" s="11"/>
      <c r="R4277" s="11"/>
      <c r="S4277" s="12"/>
      <c r="T4277" s="8"/>
      <c r="U4277" s="8" t="s">
        <v>130</v>
      </c>
      <c r="V4277" s="13" t="s">
        <v>9028</v>
      </c>
      <c r="W4277" s="13" t="s">
        <v>19654</v>
      </c>
      <c r="X4277" s="12"/>
      <c r="Y4277" s="14"/>
      <c r="Z4277" s="14"/>
    </row>
    <row r="4278">
      <c r="A4278" s="8" t="s">
        <v>19655</v>
      </c>
      <c r="B4278" s="8" t="s">
        <v>19656</v>
      </c>
      <c r="C4278" s="8" t="s">
        <v>179</v>
      </c>
      <c r="D4278" s="8" t="s">
        <v>26</v>
      </c>
      <c r="E4278" s="8" t="s">
        <v>19657</v>
      </c>
      <c r="F4278" s="8">
        <v>7.65562038E8</v>
      </c>
      <c r="G4278" s="8" t="s">
        <v>399</v>
      </c>
      <c r="H4278" s="8" t="s">
        <v>1381</v>
      </c>
      <c r="I4278" s="8" t="s">
        <v>31</v>
      </c>
      <c r="J4278" s="8" t="s">
        <v>292</v>
      </c>
      <c r="K4278" s="10" t="s">
        <v>19658</v>
      </c>
      <c r="L4278" s="8" t="s">
        <v>58</v>
      </c>
      <c r="M4278" s="8" t="s">
        <v>35</v>
      </c>
      <c r="N4278" s="11">
        <v>45309.0</v>
      </c>
      <c r="O4278" s="11">
        <v>45355.0</v>
      </c>
      <c r="P4278" s="11">
        <v>45397.0</v>
      </c>
      <c r="Q4278" s="11"/>
      <c r="R4278" s="11"/>
      <c r="S4278" s="12"/>
      <c r="T4278" s="8"/>
      <c r="U4278" s="8" t="s">
        <v>88</v>
      </c>
      <c r="V4278" s="13" t="s">
        <v>14346</v>
      </c>
      <c r="W4278" s="13" t="s">
        <v>19659</v>
      </c>
      <c r="X4278" s="12"/>
      <c r="Y4278" s="14"/>
      <c r="Z4278" s="14"/>
    </row>
    <row r="4279">
      <c r="A4279" s="8" t="s">
        <v>19660</v>
      </c>
      <c r="B4279" s="8" t="s">
        <v>19661</v>
      </c>
      <c r="C4279" s="8" t="s">
        <v>179</v>
      </c>
      <c r="D4279" s="8" t="s">
        <v>26</v>
      </c>
      <c r="E4279" s="8" t="s">
        <v>19662</v>
      </c>
      <c r="F4279" s="8">
        <v>5.33499825E9</v>
      </c>
      <c r="G4279" s="8" t="s">
        <v>31</v>
      </c>
      <c r="H4279" s="8" t="s">
        <v>86</v>
      </c>
      <c r="I4279" s="8" t="s">
        <v>399</v>
      </c>
      <c r="J4279" s="8" t="s">
        <v>904</v>
      </c>
      <c r="K4279" s="10" t="s">
        <v>15675</v>
      </c>
      <c r="L4279" s="8" t="s">
        <v>58</v>
      </c>
      <c r="M4279" s="8" t="s">
        <v>35</v>
      </c>
      <c r="N4279" s="11">
        <v>45309.0</v>
      </c>
      <c r="O4279" s="11">
        <v>45474.0</v>
      </c>
      <c r="P4279" s="11">
        <v>45516.0</v>
      </c>
      <c r="Q4279" s="11"/>
      <c r="R4279" s="11"/>
      <c r="S4279" s="12"/>
      <c r="T4279" s="8"/>
      <c r="U4279" s="8" t="s">
        <v>402</v>
      </c>
      <c r="V4279" s="13" t="s">
        <v>111</v>
      </c>
      <c r="W4279" s="13" t="s">
        <v>19663</v>
      </c>
      <c r="X4279" s="12"/>
      <c r="Y4279" s="14"/>
      <c r="Z4279" s="14"/>
    </row>
    <row r="4280">
      <c r="A4280" s="8" t="s">
        <v>19664</v>
      </c>
      <c r="B4280" s="8" t="s">
        <v>1331</v>
      </c>
      <c r="C4280" s="8" t="s">
        <v>179</v>
      </c>
      <c r="D4280" s="8" t="s">
        <v>26</v>
      </c>
      <c r="E4280" s="8" t="s">
        <v>19665</v>
      </c>
      <c r="F4280" s="8">
        <v>1.091097516E9</v>
      </c>
      <c r="G4280" s="8" t="s">
        <v>284</v>
      </c>
      <c r="H4280" s="8" t="s">
        <v>673</v>
      </c>
      <c r="I4280" s="8" t="s">
        <v>31</v>
      </c>
      <c r="J4280" s="8" t="s">
        <v>111</v>
      </c>
      <c r="K4280" s="10" t="s">
        <v>910</v>
      </c>
      <c r="L4280" s="8" t="s">
        <v>47</v>
      </c>
      <c r="M4280" s="8" t="s">
        <v>70</v>
      </c>
      <c r="N4280" s="11">
        <v>45309.0</v>
      </c>
      <c r="O4280" s="11">
        <v>45323.0</v>
      </c>
      <c r="P4280" s="11">
        <v>45688.0</v>
      </c>
      <c r="Q4280" s="11"/>
      <c r="R4280" s="11"/>
      <c r="S4280" s="12"/>
      <c r="T4280" s="8"/>
      <c r="U4280" s="8" t="s">
        <v>246</v>
      </c>
      <c r="V4280" s="13" t="s">
        <v>674</v>
      </c>
      <c r="W4280" s="13" t="s">
        <v>19666</v>
      </c>
      <c r="X4280" s="12"/>
      <c r="Y4280" s="14"/>
      <c r="Z4280" s="14"/>
    </row>
    <row r="4281">
      <c r="A4281" s="8" t="s">
        <v>19667</v>
      </c>
      <c r="B4281" s="8" t="s">
        <v>19668</v>
      </c>
      <c r="C4281" s="8" t="s">
        <v>179</v>
      </c>
      <c r="D4281" s="8" t="s">
        <v>26</v>
      </c>
      <c r="E4281" s="8" t="s">
        <v>19669</v>
      </c>
      <c r="F4281" s="8"/>
      <c r="G4281" s="8" t="s">
        <v>31</v>
      </c>
      <c r="H4281" s="8" t="s">
        <v>56</v>
      </c>
      <c r="I4281" s="8" t="s">
        <v>284</v>
      </c>
      <c r="J4281" s="8" t="s">
        <v>854</v>
      </c>
      <c r="K4281" s="10" t="s">
        <v>9096</v>
      </c>
      <c r="L4281" s="8" t="s">
        <v>58</v>
      </c>
      <c r="M4281" s="8" t="s">
        <v>35</v>
      </c>
      <c r="N4281" s="11">
        <v>45309.0</v>
      </c>
      <c r="O4281" s="11">
        <v>45315.0</v>
      </c>
      <c r="P4281" s="11">
        <v>45357.0</v>
      </c>
      <c r="Q4281" s="11"/>
      <c r="R4281" s="11"/>
      <c r="S4281" s="12"/>
      <c r="T4281" s="8"/>
      <c r="U4281" s="8" t="s">
        <v>59</v>
      </c>
      <c r="V4281" s="13" t="s">
        <v>38</v>
      </c>
      <c r="W4281" s="13" t="s">
        <v>19670</v>
      </c>
      <c r="X4281" s="12"/>
      <c r="Y4281" s="14"/>
      <c r="Z4281" s="14"/>
    </row>
    <row r="4282">
      <c r="A4282" s="8" t="s">
        <v>19671</v>
      </c>
      <c r="B4282" s="8" t="s">
        <v>19672</v>
      </c>
      <c r="C4282" s="8" t="s">
        <v>179</v>
      </c>
      <c r="D4282" s="8" t="s">
        <v>26</v>
      </c>
      <c r="E4282" s="8" t="s">
        <v>19673</v>
      </c>
      <c r="F4282" s="8">
        <v>5.37234327E9</v>
      </c>
      <c r="G4282" s="8" t="s">
        <v>31</v>
      </c>
      <c r="H4282" s="8" t="s">
        <v>56</v>
      </c>
      <c r="I4282" s="8" t="s">
        <v>143</v>
      </c>
      <c r="J4282" s="8" t="s">
        <v>1478</v>
      </c>
      <c r="K4282" s="10" t="s">
        <v>19529</v>
      </c>
      <c r="L4282" s="8" t="s">
        <v>58</v>
      </c>
      <c r="M4282" s="8" t="s">
        <v>35</v>
      </c>
      <c r="N4282" s="11">
        <v>45310.0</v>
      </c>
      <c r="O4282" s="11">
        <v>45444.0</v>
      </c>
      <c r="P4282" s="11">
        <v>45486.0</v>
      </c>
      <c r="Q4282" s="11"/>
      <c r="R4282" s="11"/>
      <c r="S4282" s="12"/>
      <c r="T4282" s="8"/>
      <c r="U4282" s="8" t="s">
        <v>402</v>
      </c>
      <c r="V4282" s="13" t="s">
        <v>56</v>
      </c>
      <c r="W4282" s="13" t="s">
        <v>19674</v>
      </c>
      <c r="X4282" s="12"/>
      <c r="Y4282" s="14"/>
      <c r="Z4282" s="14"/>
    </row>
    <row r="4283">
      <c r="A4283" s="8" t="s">
        <v>19675</v>
      </c>
      <c r="B4283" s="8" t="s">
        <v>19676</v>
      </c>
      <c r="C4283" s="8" t="s">
        <v>179</v>
      </c>
      <c r="D4283" s="8" t="s">
        <v>26</v>
      </c>
      <c r="E4283" s="8" t="s">
        <v>19677</v>
      </c>
      <c r="F4283" s="8">
        <v>5.364738747E9</v>
      </c>
      <c r="G4283" s="8" t="s">
        <v>31</v>
      </c>
      <c r="H4283" s="8" t="s">
        <v>86</v>
      </c>
      <c r="I4283" s="8" t="s">
        <v>399</v>
      </c>
      <c r="J4283" s="8" t="s">
        <v>904</v>
      </c>
      <c r="K4283" s="10" t="s">
        <v>15675</v>
      </c>
      <c r="L4283" s="8" t="s">
        <v>58</v>
      </c>
      <c r="M4283" s="8" t="s">
        <v>35</v>
      </c>
      <c r="N4283" s="11">
        <v>45311.0</v>
      </c>
      <c r="O4283" s="11">
        <v>45505.0</v>
      </c>
      <c r="P4283" s="11">
        <v>45547.0</v>
      </c>
      <c r="Q4283" s="11"/>
      <c r="R4283" s="11"/>
      <c r="S4283" s="12"/>
      <c r="T4283" s="8"/>
      <c r="U4283" s="8" t="s">
        <v>402</v>
      </c>
      <c r="V4283" s="13" t="s">
        <v>111</v>
      </c>
      <c r="W4283" s="13" t="s">
        <v>19678</v>
      </c>
      <c r="X4283" s="12"/>
      <c r="Y4283" s="14"/>
      <c r="Z4283" s="14"/>
    </row>
    <row r="4284">
      <c r="A4284" s="8" t="s">
        <v>19679</v>
      </c>
      <c r="B4284" s="8" t="s">
        <v>19680</v>
      </c>
      <c r="C4284" s="8" t="s">
        <v>179</v>
      </c>
      <c r="D4284" s="8" t="s">
        <v>26</v>
      </c>
      <c r="E4284" s="8" t="s">
        <v>19681</v>
      </c>
      <c r="F4284" s="8">
        <v>5.61419899E8</v>
      </c>
      <c r="G4284" s="8" t="s">
        <v>254</v>
      </c>
      <c r="H4284" s="8" t="s">
        <v>255</v>
      </c>
      <c r="I4284" s="8" t="s">
        <v>31</v>
      </c>
      <c r="J4284" s="8" t="s">
        <v>136</v>
      </c>
      <c r="K4284" s="10" t="s">
        <v>13511</v>
      </c>
      <c r="L4284" s="8" t="s">
        <v>47</v>
      </c>
      <c r="M4284" s="8" t="s">
        <v>48</v>
      </c>
      <c r="N4284" s="11">
        <v>45311.0</v>
      </c>
      <c r="O4284" s="11">
        <v>45383.0</v>
      </c>
      <c r="P4284" s="11">
        <v>45564.0</v>
      </c>
      <c r="Q4284" s="11"/>
      <c r="R4284" s="11"/>
      <c r="S4284" s="12"/>
      <c r="T4284" s="8"/>
      <c r="U4284" s="8" t="s">
        <v>1463</v>
      </c>
      <c r="V4284" s="13" t="s">
        <v>258</v>
      </c>
      <c r="W4284" s="13" t="s">
        <v>19682</v>
      </c>
      <c r="X4284" s="12"/>
      <c r="Y4284" s="14"/>
      <c r="Z4284" s="14"/>
    </row>
    <row r="4285">
      <c r="A4285" s="8" t="s">
        <v>19683</v>
      </c>
      <c r="B4285" s="8" t="s">
        <v>19684</v>
      </c>
      <c r="C4285" s="8" t="s">
        <v>179</v>
      </c>
      <c r="D4285" s="8" t="s">
        <v>26</v>
      </c>
      <c r="E4285" s="8" t="s">
        <v>19685</v>
      </c>
      <c r="F4285" s="8">
        <v>9.09156728E8</v>
      </c>
      <c r="G4285" s="8" t="s">
        <v>67</v>
      </c>
      <c r="H4285" s="8" t="s">
        <v>11448</v>
      </c>
      <c r="I4285" s="8" t="s">
        <v>31</v>
      </c>
      <c r="J4285" s="8" t="s">
        <v>77</v>
      </c>
      <c r="K4285" s="10" t="s">
        <v>1582</v>
      </c>
      <c r="L4285" s="8" t="s">
        <v>58</v>
      </c>
      <c r="M4285" s="8" t="s">
        <v>35</v>
      </c>
      <c r="N4285" s="11">
        <v>45311.0</v>
      </c>
      <c r="O4285" s="11">
        <v>45439.0</v>
      </c>
      <c r="P4285" s="11">
        <v>45481.0</v>
      </c>
      <c r="Q4285" s="11"/>
      <c r="R4285" s="11"/>
      <c r="S4285" s="12"/>
      <c r="T4285" s="8"/>
      <c r="U4285" s="8" t="s">
        <v>59</v>
      </c>
      <c r="V4285" s="13" t="s">
        <v>19686</v>
      </c>
      <c r="W4285" s="13" t="s">
        <v>19687</v>
      </c>
      <c r="X4285" s="12"/>
      <c r="Y4285" s="14"/>
      <c r="Z4285" s="14"/>
    </row>
    <row r="4286">
      <c r="A4286" s="8" t="s">
        <v>19688</v>
      </c>
      <c r="B4286" s="8" t="s">
        <v>19689</v>
      </c>
      <c r="C4286" s="8" t="s">
        <v>179</v>
      </c>
      <c r="D4286" s="8" t="s">
        <v>26</v>
      </c>
      <c r="E4286" s="8" t="s">
        <v>19690</v>
      </c>
      <c r="F4286" s="8">
        <v>5.055309588E9</v>
      </c>
      <c r="G4286" s="8" t="s">
        <v>31</v>
      </c>
      <c r="H4286" s="8" t="s">
        <v>86</v>
      </c>
      <c r="I4286" s="8" t="s">
        <v>399</v>
      </c>
      <c r="J4286" s="8" t="s">
        <v>904</v>
      </c>
      <c r="K4286" s="10" t="s">
        <v>15675</v>
      </c>
      <c r="L4286" s="8" t="s">
        <v>58</v>
      </c>
      <c r="M4286" s="8" t="s">
        <v>35</v>
      </c>
      <c r="N4286" s="11">
        <v>45312.0</v>
      </c>
      <c r="O4286" s="11">
        <v>45505.0</v>
      </c>
      <c r="P4286" s="11">
        <v>45547.0</v>
      </c>
      <c r="Q4286" s="11"/>
      <c r="R4286" s="11"/>
      <c r="S4286" s="12"/>
      <c r="T4286" s="8"/>
      <c r="U4286" s="8" t="s">
        <v>402</v>
      </c>
      <c r="V4286" s="13" t="s">
        <v>175</v>
      </c>
      <c r="W4286" s="13" t="s">
        <v>19691</v>
      </c>
      <c r="X4286" s="12"/>
      <c r="Y4286" s="14"/>
      <c r="Z4286" s="14"/>
    </row>
    <row r="4287">
      <c r="A4287" s="8" t="s">
        <v>19692</v>
      </c>
      <c r="B4287" s="8" t="s">
        <v>19693</v>
      </c>
      <c r="C4287" s="8" t="s">
        <v>179</v>
      </c>
      <c r="D4287" s="8" t="s">
        <v>26</v>
      </c>
      <c r="E4287" s="8" t="s">
        <v>19694</v>
      </c>
      <c r="F4287" s="8">
        <v>6.61469904E8</v>
      </c>
      <c r="G4287" s="8" t="s">
        <v>1620</v>
      </c>
      <c r="H4287" s="8" t="s">
        <v>1621</v>
      </c>
      <c r="I4287" s="8" t="s">
        <v>31</v>
      </c>
      <c r="J4287" s="8" t="s">
        <v>43</v>
      </c>
      <c r="K4287" s="10" t="s">
        <v>12504</v>
      </c>
      <c r="L4287" s="8" t="s">
        <v>58</v>
      </c>
      <c r="M4287" s="8" t="s">
        <v>35</v>
      </c>
      <c r="N4287" s="11">
        <v>45312.0</v>
      </c>
      <c r="O4287" s="11">
        <v>45313.0</v>
      </c>
      <c r="P4287" s="11">
        <v>45359.0</v>
      </c>
      <c r="Q4287" s="11"/>
      <c r="R4287" s="11"/>
      <c r="S4287" s="12"/>
      <c r="T4287" s="8"/>
      <c r="U4287" s="8" t="s">
        <v>59</v>
      </c>
      <c r="V4287" s="13" t="s">
        <v>13760</v>
      </c>
      <c r="W4287" s="13" t="s">
        <v>19695</v>
      </c>
      <c r="X4287" s="12"/>
      <c r="Y4287" s="14"/>
      <c r="Z4287" s="14"/>
    </row>
    <row r="4288">
      <c r="A4288" s="8" t="s">
        <v>19696</v>
      </c>
      <c r="B4288" s="8" t="s">
        <v>19697</v>
      </c>
      <c r="C4288" s="8" t="s">
        <v>179</v>
      </c>
      <c r="D4288" s="8" t="s">
        <v>26</v>
      </c>
      <c r="E4288" s="8" t="s">
        <v>19698</v>
      </c>
      <c r="F4288" s="8"/>
      <c r="G4288" s="8" t="s">
        <v>1620</v>
      </c>
      <c r="H4288" s="8" t="s">
        <v>3655</v>
      </c>
      <c r="I4288" s="8" t="s">
        <v>31</v>
      </c>
      <c r="J4288" s="8" t="s">
        <v>56</v>
      </c>
      <c r="K4288" s="10" t="s">
        <v>19653</v>
      </c>
      <c r="L4288" s="8" t="s">
        <v>58</v>
      </c>
      <c r="M4288" s="8" t="s">
        <v>35</v>
      </c>
      <c r="N4288" s="11">
        <v>45312.0</v>
      </c>
      <c r="O4288" s="11">
        <v>45474.0</v>
      </c>
      <c r="P4288" s="11">
        <v>45516.0</v>
      </c>
      <c r="Q4288" s="11"/>
      <c r="R4288" s="11"/>
      <c r="S4288" s="12"/>
      <c r="T4288" s="8"/>
      <c r="U4288" s="8" t="s">
        <v>130</v>
      </c>
      <c r="V4288" s="13" t="s">
        <v>38</v>
      </c>
      <c r="W4288" s="13" t="s">
        <v>19699</v>
      </c>
      <c r="X4288" s="12"/>
      <c r="Y4288" s="14"/>
      <c r="Z4288" s="14"/>
    </row>
    <row r="4289">
      <c r="A4289" s="8" t="s">
        <v>19700</v>
      </c>
      <c r="B4289" s="8" t="s">
        <v>19701</v>
      </c>
      <c r="C4289" s="8" t="s">
        <v>179</v>
      </c>
      <c r="D4289" s="8" t="s">
        <v>26</v>
      </c>
      <c r="E4289" s="8" t="s">
        <v>19702</v>
      </c>
      <c r="F4289" s="8"/>
      <c r="G4289" s="8" t="s">
        <v>29</v>
      </c>
      <c r="H4289" s="8" t="s">
        <v>5003</v>
      </c>
      <c r="I4289" s="8" t="s">
        <v>31</v>
      </c>
      <c r="J4289" s="8" t="s">
        <v>438</v>
      </c>
      <c r="K4289" s="10" t="s">
        <v>6001</v>
      </c>
      <c r="L4289" s="8" t="s">
        <v>58</v>
      </c>
      <c r="M4289" s="8" t="s">
        <v>35</v>
      </c>
      <c r="N4289" s="11">
        <v>45312.0</v>
      </c>
      <c r="O4289" s="11">
        <v>45487.0</v>
      </c>
      <c r="P4289" s="11">
        <v>45529.0</v>
      </c>
      <c r="Q4289" s="11"/>
      <c r="R4289" s="11"/>
      <c r="S4289" s="12"/>
      <c r="T4289" s="8"/>
      <c r="U4289" s="8" t="s">
        <v>59</v>
      </c>
      <c r="V4289" s="13" t="s">
        <v>38</v>
      </c>
      <c r="W4289" s="13" t="s">
        <v>19703</v>
      </c>
      <c r="X4289" s="12"/>
      <c r="Y4289" s="14"/>
      <c r="Z4289" s="14"/>
    </row>
    <row r="4290">
      <c r="A4290" s="8" t="s">
        <v>19704</v>
      </c>
      <c r="B4290" s="8" t="s">
        <v>19705</v>
      </c>
      <c r="C4290" s="8" t="s">
        <v>179</v>
      </c>
      <c r="D4290" s="8" t="s">
        <v>26</v>
      </c>
      <c r="E4290" s="8" t="s">
        <v>19706</v>
      </c>
      <c r="F4290" s="8">
        <v>9.84573842E8</v>
      </c>
      <c r="G4290" s="8" t="s">
        <v>1620</v>
      </c>
      <c r="H4290" s="8" t="s">
        <v>1635</v>
      </c>
      <c r="I4290" s="8" t="s">
        <v>31</v>
      </c>
      <c r="J4290" s="8" t="s">
        <v>43</v>
      </c>
      <c r="K4290" s="10" t="s">
        <v>19707</v>
      </c>
      <c r="L4290" s="8" t="s">
        <v>58</v>
      </c>
      <c r="M4290" s="8" t="s">
        <v>35</v>
      </c>
      <c r="N4290" s="11">
        <v>45312.0</v>
      </c>
      <c r="O4290" s="11">
        <v>45376.0</v>
      </c>
      <c r="P4290" s="11">
        <v>45418.0</v>
      </c>
      <c r="Q4290" s="11"/>
      <c r="R4290" s="11"/>
      <c r="S4290" s="12"/>
      <c r="T4290" s="8"/>
      <c r="U4290" s="8" t="s">
        <v>130</v>
      </c>
      <c r="V4290" s="13" t="s">
        <v>4256</v>
      </c>
      <c r="W4290" s="13" t="s">
        <v>19708</v>
      </c>
      <c r="X4290" s="12"/>
      <c r="Y4290" s="14"/>
      <c r="Z4290" s="14"/>
    </row>
    <row r="4291">
      <c r="A4291" s="8" t="s">
        <v>19709</v>
      </c>
      <c r="B4291" s="8" t="s">
        <v>19710</v>
      </c>
      <c r="C4291" s="8" t="s">
        <v>179</v>
      </c>
      <c r="D4291" s="8" t="s">
        <v>26</v>
      </c>
      <c r="E4291" s="8" t="s">
        <v>19711</v>
      </c>
      <c r="F4291" s="8"/>
      <c r="G4291" s="8" t="s">
        <v>31</v>
      </c>
      <c r="H4291" s="8" t="s">
        <v>86</v>
      </c>
      <c r="I4291" s="8" t="s">
        <v>29</v>
      </c>
      <c r="J4291" s="8" t="s">
        <v>2269</v>
      </c>
      <c r="K4291" s="10" t="s">
        <v>19712</v>
      </c>
      <c r="L4291" s="8" t="s">
        <v>58</v>
      </c>
      <c r="M4291" s="8" t="s">
        <v>35</v>
      </c>
      <c r="N4291" s="11">
        <v>45313.0</v>
      </c>
      <c r="O4291" s="11">
        <v>45502.0</v>
      </c>
      <c r="P4291" s="11">
        <v>45544.0</v>
      </c>
      <c r="Q4291" s="11"/>
      <c r="R4291" s="11"/>
      <c r="S4291" s="12"/>
      <c r="T4291" s="8"/>
      <c r="U4291" s="8" t="s">
        <v>130</v>
      </c>
      <c r="V4291" s="13" t="s">
        <v>38</v>
      </c>
      <c r="W4291" s="13" t="s">
        <v>19713</v>
      </c>
      <c r="X4291" s="12"/>
      <c r="Y4291" s="14"/>
      <c r="Z4291" s="14"/>
    </row>
    <row r="4292">
      <c r="A4292" s="8" t="s">
        <v>19714</v>
      </c>
      <c r="B4292" s="8" t="s">
        <v>19715</v>
      </c>
      <c r="C4292" s="8" t="s">
        <v>179</v>
      </c>
      <c r="D4292" s="8" t="s">
        <v>26</v>
      </c>
      <c r="E4292" s="8" t="s">
        <v>19716</v>
      </c>
      <c r="F4292" s="8">
        <v>9.71100376E8</v>
      </c>
      <c r="G4292" s="8" t="s">
        <v>1620</v>
      </c>
      <c r="H4292" s="8" t="s">
        <v>4288</v>
      </c>
      <c r="I4292" s="8" t="s">
        <v>31</v>
      </c>
      <c r="J4292" s="8" t="s">
        <v>111</v>
      </c>
      <c r="K4292" s="10" t="s">
        <v>16330</v>
      </c>
      <c r="L4292" s="8" t="s">
        <v>58</v>
      </c>
      <c r="M4292" s="8" t="s">
        <v>35</v>
      </c>
      <c r="N4292" s="11">
        <v>45313.0</v>
      </c>
      <c r="O4292" s="11">
        <v>45488.0</v>
      </c>
      <c r="P4292" s="11">
        <v>45530.0</v>
      </c>
      <c r="Q4292" s="11"/>
      <c r="R4292" s="11"/>
      <c r="S4292" s="12"/>
      <c r="T4292" s="8"/>
      <c r="U4292" s="8" t="s">
        <v>59</v>
      </c>
      <c r="V4292" s="13" t="s">
        <v>5939</v>
      </c>
      <c r="W4292" s="13" t="s">
        <v>19717</v>
      </c>
      <c r="X4292" s="12"/>
      <c r="Y4292" s="14"/>
      <c r="Z4292" s="14"/>
    </row>
    <row r="4293">
      <c r="A4293" s="8" t="s">
        <v>19718</v>
      </c>
      <c r="B4293" s="8" t="s">
        <v>19719</v>
      </c>
      <c r="C4293" s="8" t="s">
        <v>179</v>
      </c>
      <c r="D4293" s="8" t="s">
        <v>26</v>
      </c>
      <c r="E4293" s="8" t="s">
        <v>19720</v>
      </c>
      <c r="F4293" s="8">
        <v>7.87633711E8</v>
      </c>
      <c r="G4293" s="8" t="s">
        <v>127</v>
      </c>
      <c r="H4293" s="8" t="s">
        <v>128</v>
      </c>
      <c r="I4293" s="8" t="s">
        <v>31</v>
      </c>
      <c r="J4293" s="8" t="s">
        <v>56</v>
      </c>
      <c r="K4293" s="10" t="s">
        <v>19653</v>
      </c>
      <c r="L4293" s="8" t="s">
        <v>58</v>
      </c>
      <c r="M4293" s="8" t="s">
        <v>35</v>
      </c>
      <c r="N4293" s="11">
        <v>45313.0</v>
      </c>
      <c r="O4293" s="11">
        <v>45474.0</v>
      </c>
      <c r="P4293" s="11">
        <v>45516.0</v>
      </c>
      <c r="Q4293" s="11"/>
      <c r="R4293" s="11"/>
      <c r="S4293" s="12"/>
      <c r="T4293" s="8"/>
      <c r="U4293" s="8" t="s">
        <v>130</v>
      </c>
      <c r="V4293" s="13" t="s">
        <v>1473</v>
      </c>
      <c r="W4293" s="13" t="s">
        <v>19721</v>
      </c>
      <c r="X4293" s="12"/>
      <c r="Y4293" s="14"/>
      <c r="Z4293" s="14"/>
    </row>
    <row r="4294">
      <c r="A4294" s="8" t="s">
        <v>19722</v>
      </c>
      <c r="B4294" s="8" t="s">
        <v>19723</v>
      </c>
      <c r="C4294" s="8" t="s">
        <v>708</v>
      </c>
      <c r="D4294" s="8" t="s">
        <v>26</v>
      </c>
      <c r="E4294" s="8" t="s">
        <v>19724</v>
      </c>
      <c r="F4294" s="8">
        <v>7.74980864E8</v>
      </c>
      <c r="G4294" s="8" t="s">
        <v>399</v>
      </c>
      <c r="H4294" s="8" t="s">
        <v>3797</v>
      </c>
      <c r="I4294" s="8" t="s">
        <v>31</v>
      </c>
      <c r="J4294" s="8" t="s">
        <v>43</v>
      </c>
      <c r="K4294" s="10" t="s">
        <v>10896</v>
      </c>
      <c r="L4294" s="8" t="s">
        <v>47</v>
      </c>
      <c r="M4294" s="8" t="s">
        <v>70</v>
      </c>
      <c r="N4294" s="11">
        <v>45317.0</v>
      </c>
      <c r="O4294" s="11">
        <v>45323.0</v>
      </c>
      <c r="P4294" s="11">
        <v>45512.0</v>
      </c>
      <c r="Q4294" s="11">
        <v>45317.0</v>
      </c>
      <c r="R4294" s="11">
        <v>45512.0</v>
      </c>
      <c r="S4294" s="12"/>
      <c r="T4294" s="8"/>
      <c r="U4294" s="8" t="s">
        <v>10897</v>
      </c>
      <c r="V4294" s="13" t="s">
        <v>3799</v>
      </c>
      <c r="W4294" s="13" t="s">
        <v>19725</v>
      </c>
      <c r="X4294" s="12"/>
      <c r="Y4294" s="14"/>
      <c r="Z4294" s="14"/>
    </row>
    <row r="4295">
      <c r="A4295" s="8" t="s">
        <v>19726</v>
      </c>
      <c r="B4295" s="8" t="s">
        <v>19727</v>
      </c>
      <c r="C4295" s="8" t="s">
        <v>179</v>
      </c>
      <c r="D4295" s="8" t="s">
        <v>26</v>
      </c>
      <c r="E4295" s="8" t="s">
        <v>19728</v>
      </c>
      <c r="F4295" s="8">
        <v>9.74649408E8</v>
      </c>
      <c r="G4295" s="8" t="s">
        <v>1620</v>
      </c>
      <c r="H4295" s="8" t="s">
        <v>1621</v>
      </c>
      <c r="I4295" s="8" t="s">
        <v>31</v>
      </c>
      <c r="J4295" s="8" t="s">
        <v>43</v>
      </c>
      <c r="K4295" s="10" t="s">
        <v>10002</v>
      </c>
      <c r="L4295" s="8" t="s">
        <v>58</v>
      </c>
      <c r="M4295" s="8" t="s">
        <v>35</v>
      </c>
      <c r="N4295" s="11">
        <v>45318.0</v>
      </c>
      <c r="O4295" s="11">
        <v>45327.0</v>
      </c>
      <c r="P4295" s="11">
        <v>45369.0</v>
      </c>
      <c r="Q4295" s="11"/>
      <c r="R4295" s="11"/>
      <c r="S4295" s="12"/>
      <c r="T4295" s="8"/>
      <c r="U4295" s="8" t="s">
        <v>59</v>
      </c>
      <c r="V4295" s="13" t="s">
        <v>13760</v>
      </c>
      <c r="W4295" s="13" t="s">
        <v>19729</v>
      </c>
      <c r="X4295" s="12"/>
      <c r="Y4295" s="14"/>
      <c r="Z4295" s="14"/>
    </row>
    <row r="4296">
      <c r="A4296" s="8"/>
      <c r="B4296" s="8"/>
      <c r="C4296" s="8"/>
      <c r="D4296" s="8"/>
      <c r="E4296" s="8"/>
      <c r="F4296" s="8"/>
      <c r="G4296" s="8"/>
      <c r="H4296" s="8"/>
      <c r="I4296" s="8"/>
      <c r="J4296" s="8"/>
      <c r="K4296" s="10"/>
      <c r="L4296" s="8"/>
      <c r="M4296" s="8"/>
      <c r="N4296" s="11"/>
      <c r="O4296" s="11"/>
      <c r="P4296" s="11"/>
      <c r="Q4296" s="11"/>
      <c r="R4296" s="11"/>
      <c r="S4296" s="12"/>
      <c r="T4296" s="8"/>
      <c r="U4296" s="8"/>
      <c r="V4296" s="13"/>
      <c r="W4296" s="13"/>
      <c r="X4296" s="12"/>
      <c r="Y4296" s="14"/>
      <c r="Z4296" s="14"/>
    </row>
    <row r="4297">
      <c r="A4297" s="8"/>
      <c r="B4297" s="8"/>
      <c r="C4297" s="8"/>
      <c r="D4297" s="8"/>
      <c r="E4297" s="8"/>
      <c r="F4297" s="8"/>
      <c r="G4297" s="8"/>
      <c r="H4297" s="8"/>
      <c r="I4297" s="8"/>
      <c r="J4297" s="8"/>
      <c r="K4297" s="10"/>
      <c r="L4297" s="8"/>
      <c r="M4297" s="8"/>
      <c r="N4297" s="11"/>
      <c r="O4297" s="11"/>
      <c r="P4297" s="11"/>
      <c r="Q4297" s="11"/>
      <c r="R4297" s="11"/>
      <c r="S4297" s="12"/>
      <c r="T4297" s="8"/>
      <c r="U4297" s="8"/>
      <c r="V4297" s="13"/>
      <c r="W4297" s="13"/>
      <c r="X4297" s="12"/>
      <c r="Y4297" s="14"/>
      <c r="Z4297" s="14"/>
    </row>
    <row r="4298">
      <c r="A4298" s="8"/>
      <c r="B4298" s="8"/>
      <c r="C4298" s="8"/>
      <c r="D4298" s="8"/>
      <c r="E4298" s="8"/>
      <c r="F4298" s="8"/>
      <c r="G4298" s="8"/>
      <c r="H4298" s="8"/>
      <c r="I4298" s="8"/>
      <c r="J4298" s="8"/>
      <c r="K4298" s="10"/>
      <c r="L4298" s="8"/>
      <c r="M4298" s="8"/>
      <c r="N4298" s="11"/>
      <c r="O4298" s="11"/>
      <c r="P4298" s="11"/>
      <c r="Q4298" s="11"/>
      <c r="R4298" s="11"/>
      <c r="S4298" s="12"/>
      <c r="T4298" s="8"/>
      <c r="U4298" s="8"/>
      <c r="V4298" s="13"/>
      <c r="W4298" s="13"/>
      <c r="X4298" s="12"/>
      <c r="Y4298" s="14"/>
      <c r="Z4298" s="14"/>
    </row>
    <row r="4299">
      <c r="A4299" s="8"/>
      <c r="B4299" s="8"/>
      <c r="C4299" s="8"/>
      <c r="D4299" s="8"/>
      <c r="E4299" s="8"/>
      <c r="F4299" s="8"/>
      <c r="G4299" s="8"/>
      <c r="H4299" s="8"/>
      <c r="I4299" s="8"/>
      <c r="J4299" s="8"/>
      <c r="K4299" s="10"/>
      <c r="L4299" s="8"/>
      <c r="M4299" s="8"/>
      <c r="N4299" s="11"/>
      <c r="O4299" s="11"/>
      <c r="P4299" s="11"/>
      <c r="Q4299" s="11"/>
      <c r="R4299" s="11"/>
      <c r="S4299" s="12"/>
      <c r="T4299" s="8"/>
      <c r="U4299" s="8"/>
      <c r="V4299" s="13"/>
      <c r="W4299" s="13"/>
      <c r="X4299" s="12"/>
      <c r="Y4299" s="14"/>
      <c r="Z4299" s="14"/>
    </row>
    <row r="4300">
      <c r="A4300" s="8"/>
      <c r="B4300" s="8"/>
      <c r="C4300" s="8"/>
      <c r="D4300" s="8"/>
      <c r="E4300" s="8"/>
      <c r="F4300" s="8"/>
      <c r="G4300" s="8"/>
      <c r="H4300" s="8"/>
      <c r="I4300" s="8"/>
      <c r="J4300" s="8"/>
      <c r="K4300" s="10"/>
      <c r="L4300" s="8"/>
      <c r="M4300" s="8"/>
      <c r="N4300" s="11"/>
      <c r="O4300" s="11"/>
      <c r="P4300" s="11"/>
      <c r="Q4300" s="11"/>
      <c r="R4300" s="11"/>
      <c r="S4300" s="12"/>
      <c r="T4300" s="8"/>
      <c r="U4300" s="8"/>
      <c r="V4300" s="13"/>
      <c r="W4300" s="13"/>
      <c r="X4300" s="12"/>
      <c r="Y4300" s="14"/>
      <c r="Z4300" s="14"/>
    </row>
    <row r="4301">
      <c r="A4301" s="8"/>
      <c r="B4301" s="8"/>
      <c r="C4301" s="8"/>
      <c r="D4301" s="8"/>
      <c r="E4301" s="8"/>
      <c r="F4301" s="8"/>
      <c r="G4301" s="8"/>
      <c r="H4301" s="8"/>
      <c r="I4301" s="8"/>
      <c r="J4301" s="8"/>
      <c r="K4301" s="10"/>
      <c r="L4301" s="8"/>
      <c r="M4301" s="8"/>
      <c r="N4301" s="11"/>
      <c r="O4301" s="11"/>
      <c r="P4301" s="11"/>
      <c r="Q4301" s="11"/>
      <c r="R4301" s="11"/>
      <c r="S4301" s="12"/>
      <c r="T4301" s="8"/>
      <c r="U4301" s="8"/>
      <c r="V4301" s="13"/>
      <c r="W4301" s="13"/>
      <c r="X4301" s="12"/>
      <c r="Y4301" s="14"/>
      <c r="Z4301" s="14"/>
    </row>
    <row r="4302">
      <c r="A4302" s="8"/>
      <c r="B4302" s="8"/>
      <c r="C4302" s="8"/>
      <c r="D4302" s="8"/>
      <c r="E4302" s="8"/>
      <c r="F4302" s="8"/>
      <c r="G4302" s="8"/>
      <c r="H4302" s="8"/>
      <c r="I4302" s="8"/>
      <c r="J4302" s="8"/>
      <c r="K4302" s="10"/>
      <c r="L4302" s="8"/>
      <c r="M4302" s="8"/>
      <c r="N4302" s="11"/>
      <c r="O4302" s="11"/>
      <c r="P4302" s="11"/>
      <c r="Q4302" s="11"/>
      <c r="R4302" s="11"/>
      <c r="S4302" s="12"/>
      <c r="T4302" s="8"/>
      <c r="U4302" s="8"/>
      <c r="V4302" s="13"/>
      <c r="W4302" s="13"/>
      <c r="X4302" s="12"/>
      <c r="Y4302" s="14"/>
      <c r="Z4302" s="14"/>
    </row>
    <row r="4303">
      <c r="A4303" s="8"/>
      <c r="B4303" s="8"/>
      <c r="C4303" s="8"/>
      <c r="D4303" s="8"/>
      <c r="E4303" s="8"/>
      <c r="F4303" s="8"/>
      <c r="G4303" s="8"/>
      <c r="H4303" s="8"/>
      <c r="I4303" s="8"/>
      <c r="J4303" s="8"/>
      <c r="K4303" s="10"/>
      <c r="L4303" s="8"/>
      <c r="M4303" s="8"/>
      <c r="N4303" s="11"/>
      <c r="O4303" s="11"/>
      <c r="P4303" s="11"/>
      <c r="Q4303" s="11"/>
      <c r="R4303" s="11"/>
      <c r="S4303" s="12"/>
      <c r="T4303" s="8"/>
      <c r="U4303" s="8"/>
      <c r="V4303" s="13"/>
      <c r="W4303" s="13"/>
      <c r="X4303" s="12"/>
      <c r="Y4303" s="14"/>
      <c r="Z4303" s="14"/>
    </row>
    <row r="4304">
      <c r="A4304" s="8"/>
      <c r="B4304" s="8"/>
      <c r="C4304" s="8"/>
      <c r="D4304" s="8"/>
      <c r="E4304" s="8"/>
      <c r="F4304" s="8"/>
      <c r="G4304" s="8"/>
      <c r="H4304" s="8"/>
      <c r="I4304" s="8"/>
      <c r="J4304" s="8"/>
      <c r="K4304" s="10"/>
      <c r="L4304" s="8"/>
      <c r="M4304" s="8"/>
      <c r="N4304" s="11"/>
      <c r="O4304" s="11"/>
      <c r="P4304" s="11"/>
      <c r="Q4304" s="11"/>
      <c r="R4304" s="11"/>
      <c r="S4304" s="12"/>
      <c r="T4304" s="8"/>
      <c r="U4304" s="8"/>
      <c r="V4304" s="13"/>
      <c r="W4304" s="13"/>
      <c r="X4304" s="12"/>
      <c r="Y4304" s="14"/>
      <c r="Z4304" s="14"/>
    </row>
    <row r="4305">
      <c r="A4305" s="8"/>
      <c r="B4305" s="8"/>
      <c r="C4305" s="8"/>
      <c r="D4305" s="8"/>
      <c r="E4305" s="8"/>
      <c r="F4305" s="8"/>
      <c r="G4305" s="8"/>
      <c r="H4305" s="8"/>
      <c r="I4305" s="8"/>
      <c r="J4305" s="8"/>
      <c r="K4305" s="10"/>
      <c r="L4305" s="8"/>
      <c r="M4305" s="8"/>
      <c r="N4305" s="11"/>
      <c r="O4305" s="11"/>
      <c r="P4305" s="11"/>
      <c r="Q4305" s="11"/>
      <c r="R4305" s="11"/>
      <c r="S4305" s="12"/>
      <c r="T4305" s="8"/>
      <c r="U4305" s="8"/>
      <c r="V4305" s="13"/>
      <c r="W4305" s="13"/>
      <c r="X4305" s="12"/>
      <c r="Y4305" s="14"/>
      <c r="Z4305" s="14"/>
    </row>
    <row r="4306">
      <c r="A4306" s="8"/>
      <c r="B4306" s="8"/>
      <c r="C4306" s="8"/>
      <c r="D4306" s="8"/>
      <c r="E4306" s="8"/>
      <c r="F4306" s="8"/>
      <c r="G4306" s="8"/>
      <c r="H4306" s="8"/>
      <c r="I4306" s="8"/>
      <c r="J4306" s="8"/>
      <c r="K4306" s="10"/>
      <c r="L4306" s="8"/>
      <c r="M4306" s="8"/>
      <c r="N4306" s="11"/>
      <c r="O4306" s="11"/>
      <c r="P4306" s="11"/>
      <c r="Q4306" s="11"/>
      <c r="R4306" s="11"/>
      <c r="S4306" s="12"/>
      <c r="T4306" s="8"/>
      <c r="U4306" s="8"/>
      <c r="V4306" s="13"/>
      <c r="W4306" s="13"/>
      <c r="X4306" s="12"/>
      <c r="Y4306" s="14"/>
      <c r="Z4306" s="14"/>
    </row>
    <row r="4307">
      <c r="A4307" s="8"/>
      <c r="B4307" s="8"/>
      <c r="C4307" s="8"/>
      <c r="D4307" s="8"/>
      <c r="E4307" s="8"/>
      <c r="F4307" s="8"/>
      <c r="G4307" s="8"/>
      <c r="H4307" s="8"/>
      <c r="I4307" s="8"/>
      <c r="J4307" s="8"/>
      <c r="K4307" s="10"/>
      <c r="L4307" s="8"/>
      <c r="M4307" s="8"/>
      <c r="N4307" s="11"/>
      <c r="O4307" s="11"/>
      <c r="P4307" s="11"/>
      <c r="Q4307" s="11"/>
      <c r="R4307" s="11"/>
      <c r="S4307" s="12"/>
      <c r="T4307" s="8"/>
      <c r="U4307" s="8"/>
      <c r="V4307" s="13"/>
      <c r="W4307" s="13"/>
      <c r="X4307" s="12"/>
      <c r="Y4307" s="14"/>
      <c r="Z4307" s="14"/>
    </row>
    <row r="4308">
      <c r="A4308" s="8"/>
      <c r="B4308" s="8"/>
      <c r="C4308" s="8"/>
      <c r="D4308" s="8"/>
      <c r="E4308" s="8"/>
      <c r="F4308" s="8"/>
      <c r="G4308" s="8"/>
      <c r="H4308" s="8"/>
      <c r="I4308" s="8"/>
      <c r="J4308" s="8"/>
      <c r="K4308" s="10"/>
      <c r="L4308" s="8"/>
      <c r="M4308" s="8"/>
      <c r="N4308" s="11"/>
      <c r="O4308" s="11"/>
      <c r="P4308" s="11"/>
      <c r="Q4308" s="11"/>
      <c r="R4308" s="11"/>
      <c r="S4308" s="12"/>
      <c r="T4308" s="8"/>
      <c r="U4308" s="8"/>
      <c r="V4308" s="13"/>
      <c r="W4308" s="13"/>
      <c r="X4308" s="12"/>
      <c r="Y4308" s="14"/>
      <c r="Z4308" s="14"/>
    </row>
    <row r="4309">
      <c r="A4309" s="8"/>
      <c r="B4309" s="8"/>
      <c r="C4309" s="8"/>
      <c r="D4309" s="8"/>
      <c r="E4309" s="8"/>
      <c r="F4309" s="8"/>
      <c r="G4309" s="8"/>
      <c r="H4309" s="8"/>
      <c r="I4309" s="8"/>
      <c r="J4309" s="8"/>
      <c r="K4309" s="10"/>
      <c r="L4309" s="8"/>
      <c r="M4309" s="8"/>
      <c r="N4309" s="11"/>
      <c r="O4309" s="11"/>
      <c r="P4309" s="11"/>
      <c r="Q4309" s="11"/>
      <c r="R4309" s="11"/>
      <c r="S4309" s="12"/>
      <c r="T4309" s="8"/>
      <c r="U4309" s="8"/>
      <c r="V4309" s="13"/>
      <c r="W4309" s="13"/>
      <c r="X4309" s="12"/>
      <c r="Y4309" s="14"/>
      <c r="Z4309" s="14"/>
    </row>
    <row r="4310">
      <c r="A4310" s="8"/>
      <c r="B4310" s="8"/>
      <c r="C4310" s="8"/>
      <c r="D4310" s="8"/>
      <c r="E4310" s="8"/>
      <c r="F4310" s="8"/>
      <c r="G4310" s="8"/>
      <c r="H4310" s="8"/>
      <c r="I4310" s="8"/>
      <c r="J4310" s="8"/>
      <c r="K4310" s="10"/>
      <c r="L4310" s="8"/>
      <c r="M4310" s="8"/>
      <c r="N4310" s="11"/>
      <c r="O4310" s="11"/>
      <c r="P4310" s="11"/>
      <c r="Q4310" s="11"/>
      <c r="R4310" s="11"/>
      <c r="S4310" s="12"/>
      <c r="T4310" s="8"/>
      <c r="U4310" s="8"/>
      <c r="V4310" s="13"/>
      <c r="W4310" s="13"/>
      <c r="X4310" s="12"/>
      <c r="Y4310" s="14"/>
      <c r="Z4310" s="14"/>
    </row>
    <row r="4311">
      <c r="A4311" s="8"/>
      <c r="B4311" s="8"/>
      <c r="C4311" s="8"/>
      <c r="D4311" s="8"/>
      <c r="E4311" s="8"/>
      <c r="F4311" s="8"/>
      <c r="G4311" s="8"/>
      <c r="H4311" s="8"/>
      <c r="I4311" s="8"/>
      <c r="J4311" s="8"/>
      <c r="K4311" s="10"/>
      <c r="L4311" s="8"/>
      <c r="M4311" s="8"/>
      <c r="N4311" s="11"/>
      <c r="O4311" s="11"/>
      <c r="P4311" s="11"/>
      <c r="Q4311" s="11"/>
      <c r="R4311" s="11"/>
      <c r="S4311" s="12"/>
      <c r="T4311" s="8"/>
      <c r="U4311" s="8"/>
      <c r="V4311" s="13"/>
      <c r="W4311" s="13"/>
      <c r="X4311" s="12"/>
      <c r="Y4311" s="14"/>
      <c r="Z4311" s="14"/>
    </row>
    <row r="4312">
      <c r="A4312" s="8"/>
      <c r="B4312" s="8"/>
      <c r="C4312" s="8"/>
      <c r="D4312" s="8"/>
      <c r="E4312" s="8"/>
      <c r="F4312" s="8"/>
      <c r="G4312" s="8"/>
      <c r="H4312" s="8"/>
      <c r="I4312" s="8"/>
      <c r="J4312" s="8"/>
      <c r="K4312" s="10"/>
      <c r="L4312" s="8"/>
      <c r="M4312" s="8"/>
      <c r="N4312" s="11"/>
      <c r="O4312" s="11"/>
      <c r="P4312" s="11"/>
      <c r="Q4312" s="11"/>
      <c r="R4312" s="11"/>
      <c r="S4312" s="12"/>
      <c r="T4312" s="8"/>
      <c r="U4312" s="8"/>
      <c r="V4312" s="13"/>
      <c r="W4312" s="13"/>
      <c r="X4312" s="12"/>
      <c r="Y4312" s="14"/>
      <c r="Z4312" s="14"/>
    </row>
    <row r="4313">
      <c r="A4313" s="8"/>
      <c r="B4313" s="8"/>
      <c r="C4313" s="8"/>
      <c r="D4313" s="8"/>
      <c r="E4313" s="8"/>
      <c r="F4313" s="8"/>
      <c r="G4313" s="8"/>
      <c r="H4313" s="8"/>
      <c r="I4313" s="8"/>
      <c r="J4313" s="8"/>
      <c r="K4313" s="10"/>
      <c r="L4313" s="8"/>
      <c r="M4313" s="8"/>
      <c r="N4313" s="11"/>
      <c r="O4313" s="11"/>
      <c r="P4313" s="11"/>
      <c r="Q4313" s="11"/>
      <c r="R4313" s="11"/>
      <c r="S4313" s="12"/>
      <c r="T4313" s="8"/>
      <c r="U4313" s="8"/>
      <c r="V4313" s="13"/>
      <c r="W4313" s="13"/>
      <c r="X4313" s="12"/>
      <c r="Y4313" s="14"/>
      <c r="Z4313" s="14"/>
    </row>
    <row r="4314">
      <c r="A4314" s="8"/>
      <c r="B4314" s="8"/>
      <c r="C4314" s="8"/>
      <c r="D4314" s="8"/>
      <c r="E4314" s="8"/>
      <c r="F4314" s="8"/>
      <c r="G4314" s="8"/>
      <c r="H4314" s="8"/>
      <c r="I4314" s="8"/>
      <c r="J4314" s="8"/>
      <c r="K4314" s="10"/>
      <c r="L4314" s="8"/>
      <c r="M4314" s="8"/>
      <c r="N4314" s="11"/>
      <c r="O4314" s="11"/>
      <c r="P4314" s="11"/>
      <c r="Q4314" s="11"/>
      <c r="R4314" s="11"/>
      <c r="S4314" s="12"/>
      <c r="T4314" s="8"/>
      <c r="U4314" s="8"/>
      <c r="V4314" s="13"/>
      <c r="W4314" s="13"/>
      <c r="X4314" s="12"/>
      <c r="Y4314" s="14"/>
      <c r="Z4314" s="14"/>
    </row>
    <row r="4315">
      <c r="A4315" s="8"/>
      <c r="B4315" s="8"/>
      <c r="C4315" s="8"/>
      <c r="D4315" s="8"/>
      <c r="E4315" s="8"/>
      <c r="F4315" s="8"/>
      <c r="G4315" s="8"/>
      <c r="H4315" s="8"/>
      <c r="I4315" s="8"/>
      <c r="J4315" s="8"/>
      <c r="K4315" s="10"/>
      <c r="L4315" s="8"/>
      <c r="M4315" s="8"/>
      <c r="N4315" s="11"/>
      <c r="O4315" s="11"/>
      <c r="P4315" s="11"/>
      <c r="Q4315" s="11"/>
      <c r="R4315" s="11"/>
      <c r="S4315" s="12"/>
      <c r="T4315" s="8"/>
      <c r="U4315" s="8"/>
      <c r="V4315" s="13"/>
      <c r="W4315" s="13"/>
      <c r="X4315" s="12"/>
      <c r="Y4315" s="14"/>
      <c r="Z4315" s="14"/>
    </row>
    <row r="4316">
      <c r="A4316" s="8"/>
      <c r="B4316" s="8"/>
      <c r="C4316" s="8"/>
      <c r="D4316" s="8"/>
      <c r="E4316" s="8"/>
      <c r="F4316" s="8"/>
      <c r="G4316" s="8"/>
      <c r="H4316" s="8"/>
      <c r="I4316" s="8"/>
      <c r="J4316" s="8"/>
      <c r="K4316" s="10"/>
      <c r="L4316" s="8"/>
      <c r="M4316" s="8"/>
      <c r="N4316" s="11"/>
      <c r="O4316" s="11"/>
      <c r="P4316" s="11"/>
      <c r="Q4316" s="11"/>
      <c r="R4316" s="11"/>
      <c r="S4316" s="12"/>
      <c r="T4316" s="8"/>
      <c r="U4316" s="8"/>
      <c r="V4316" s="13"/>
      <c r="W4316" s="13"/>
      <c r="X4316" s="12"/>
      <c r="Y4316" s="14"/>
      <c r="Z4316" s="14"/>
    </row>
    <row r="4317">
      <c r="A4317" s="8"/>
      <c r="B4317" s="8"/>
      <c r="C4317" s="8"/>
      <c r="D4317" s="8"/>
      <c r="E4317" s="8"/>
      <c r="F4317" s="8"/>
      <c r="G4317" s="8"/>
      <c r="H4317" s="8"/>
      <c r="I4317" s="8"/>
      <c r="J4317" s="8"/>
      <c r="K4317" s="10"/>
      <c r="L4317" s="8"/>
      <c r="M4317" s="8"/>
      <c r="N4317" s="11"/>
      <c r="O4317" s="11"/>
      <c r="P4317" s="11"/>
      <c r="Q4317" s="11"/>
      <c r="R4317" s="11"/>
      <c r="S4317" s="12"/>
      <c r="T4317" s="8"/>
      <c r="U4317" s="8"/>
      <c r="V4317" s="13"/>
      <c r="W4317" s="13"/>
      <c r="X4317" s="12"/>
      <c r="Y4317" s="14"/>
      <c r="Z4317" s="14"/>
    </row>
    <row r="4318">
      <c r="A4318" s="8"/>
      <c r="B4318" s="8"/>
      <c r="C4318" s="8"/>
      <c r="D4318" s="8"/>
      <c r="E4318" s="8"/>
      <c r="F4318" s="8"/>
      <c r="G4318" s="8"/>
      <c r="H4318" s="8"/>
      <c r="I4318" s="8"/>
      <c r="J4318" s="8"/>
      <c r="K4318" s="10"/>
      <c r="L4318" s="8"/>
      <c r="M4318" s="8"/>
      <c r="N4318" s="11"/>
      <c r="O4318" s="11"/>
      <c r="P4318" s="11"/>
      <c r="Q4318" s="11"/>
      <c r="R4318" s="11"/>
      <c r="S4318" s="12"/>
      <c r="T4318" s="8"/>
      <c r="U4318" s="8"/>
      <c r="V4318" s="13"/>
      <c r="W4318" s="13"/>
      <c r="X4318" s="12"/>
      <c r="Y4318" s="14"/>
      <c r="Z4318" s="14"/>
    </row>
    <row r="4319">
      <c r="A4319" s="8"/>
      <c r="B4319" s="8"/>
      <c r="C4319" s="8"/>
      <c r="D4319" s="8"/>
      <c r="E4319" s="8"/>
      <c r="F4319" s="8"/>
      <c r="G4319" s="8"/>
      <c r="H4319" s="8"/>
      <c r="I4319" s="8"/>
      <c r="J4319" s="8"/>
      <c r="K4319" s="10"/>
      <c r="L4319" s="8"/>
      <c r="M4319" s="8"/>
      <c r="N4319" s="11"/>
      <c r="O4319" s="11"/>
      <c r="P4319" s="11"/>
      <c r="Q4319" s="11"/>
      <c r="R4319" s="11"/>
      <c r="S4319" s="12"/>
      <c r="T4319" s="8"/>
      <c r="U4319" s="8"/>
      <c r="V4319" s="13"/>
      <c r="W4319" s="13"/>
      <c r="X4319" s="12"/>
      <c r="Y4319" s="14"/>
      <c r="Z4319" s="14"/>
    </row>
    <row r="4320">
      <c r="A4320" s="8"/>
      <c r="B4320" s="8"/>
      <c r="C4320" s="8"/>
      <c r="D4320" s="8"/>
      <c r="E4320" s="8"/>
      <c r="F4320" s="8"/>
      <c r="G4320" s="8"/>
      <c r="H4320" s="8"/>
      <c r="I4320" s="8"/>
      <c r="J4320" s="8"/>
      <c r="K4320" s="10"/>
      <c r="L4320" s="8"/>
      <c r="M4320" s="8"/>
      <c r="N4320" s="11"/>
      <c r="O4320" s="11"/>
      <c r="P4320" s="11"/>
      <c r="Q4320" s="11"/>
      <c r="R4320" s="11"/>
      <c r="S4320" s="12"/>
      <c r="T4320" s="8"/>
      <c r="U4320" s="8"/>
      <c r="V4320" s="13"/>
      <c r="W4320" s="13"/>
      <c r="X4320" s="12"/>
      <c r="Y4320" s="14"/>
      <c r="Z4320" s="14"/>
    </row>
    <row r="4321">
      <c r="A4321" s="8"/>
      <c r="B4321" s="8"/>
      <c r="C4321" s="8"/>
      <c r="D4321" s="8"/>
      <c r="E4321" s="8"/>
      <c r="F4321" s="8"/>
      <c r="G4321" s="8"/>
      <c r="H4321" s="8"/>
      <c r="I4321" s="8"/>
      <c r="J4321" s="8"/>
      <c r="K4321" s="10"/>
      <c r="L4321" s="8"/>
      <c r="M4321" s="8"/>
      <c r="N4321" s="11"/>
      <c r="O4321" s="11"/>
      <c r="P4321" s="11"/>
      <c r="Q4321" s="11"/>
      <c r="R4321" s="11"/>
      <c r="S4321" s="12"/>
      <c r="T4321" s="8"/>
      <c r="U4321" s="8"/>
      <c r="V4321" s="13"/>
      <c r="W4321" s="13"/>
      <c r="X4321" s="12"/>
      <c r="Y4321" s="14"/>
      <c r="Z4321" s="14"/>
    </row>
    <row r="4322">
      <c r="A4322" s="8"/>
      <c r="B4322" s="8"/>
      <c r="C4322" s="8"/>
      <c r="D4322" s="8"/>
      <c r="E4322" s="8"/>
      <c r="F4322" s="8"/>
      <c r="G4322" s="8"/>
      <c r="H4322" s="8"/>
      <c r="I4322" s="8"/>
      <c r="J4322" s="8"/>
      <c r="K4322" s="10"/>
      <c r="L4322" s="8"/>
      <c r="M4322" s="8"/>
      <c r="N4322" s="11"/>
      <c r="O4322" s="11"/>
      <c r="P4322" s="11"/>
      <c r="Q4322" s="11"/>
      <c r="R4322" s="11"/>
      <c r="S4322" s="12"/>
      <c r="T4322" s="8"/>
      <c r="U4322" s="8"/>
      <c r="V4322" s="13"/>
      <c r="W4322" s="13"/>
      <c r="X4322" s="12"/>
      <c r="Y4322" s="14"/>
      <c r="Z4322" s="14"/>
    </row>
    <row r="4323">
      <c r="A4323" s="8"/>
      <c r="B4323" s="8"/>
      <c r="C4323" s="8"/>
      <c r="D4323" s="8"/>
      <c r="E4323" s="8"/>
      <c r="F4323" s="8"/>
      <c r="G4323" s="8"/>
      <c r="H4323" s="8"/>
      <c r="I4323" s="8"/>
      <c r="J4323" s="8"/>
      <c r="K4323" s="10"/>
      <c r="L4323" s="8"/>
      <c r="M4323" s="8"/>
      <c r="N4323" s="11"/>
      <c r="O4323" s="11"/>
      <c r="P4323" s="11"/>
      <c r="Q4323" s="11"/>
      <c r="R4323" s="11"/>
      <c r="S4323" s="12"/>
      <c r="T4323" s="8"/>
      <c r="U4323" s="8"/>
      <c r="V4323" s="13"/>
      <c r="W4323" s="13"/>
      <c r="X4323" s="12"/>
      <c r="Y4323" s="14"/>
      <c r="Z4323" s="14"/>
    </row>
    <row r="4324">
      <c r="A4324" s="8"/>
      <c r="B4324" s="8"/>
      <c r="C4324" s="8"/>
      <c r="D4324" s="8"/>
      <c r="E4324" s="8"/>
      <c r="F4324" s="8"/>
      <c r="G4324" s="8"/>
      <c r="H4324" s="8"/>
      <c r="I4324" s="8"/>
      <c r="J4324" s="8"/>
      <c r="K4324" s="10"/>
      <c r="L4324" s="8"/>
      <c r="M4324" s="8"/>
      <c r="N4324" s="11"/>
      <c r="O4324" s="11"/>
      <c r="P4324" s="11"/>
      <c r="Q4324" s="11"/>
      <c r="R4324" s="11"/>
      <c r="S4324" s="12"/>
      <c r="T4324" s="8"/>
      <c r="U4324" s="8"/>
      <c r="V4324" s="13"/>
      <c r="W4324" s="13"/>
      <c r="X4324" s="12"/>
      <c r="Y4324" s="14"/>
      <c r="Z4324" s="14"/>
    </row>
    <row r="4325">
      <c r="A4325" s="8"/>
      <c r="B4325" s="8"/>
      <c r="C4325" s="8"/>
      <c r="D4325" s="8"/>
      <c r="E4325" s="8"/>
      <c r="F4325" s="8"/>
      <c r="G4325" s="8"/>
      <c r="H4325" s="8"/>
      <c r="I4325" s="8"/>
      <c r="J4325" s="8"/>
      <c r="K4325" s="10"/>
      <c r="L4325" s="8"/>
      <c r="M4325" s="8"/>
      <c r="N4325" s="11"/>
      <c r="O4325" s="11"/>
      <c r="P4325" s="11"/>
      <c r="Q4325" s="11"/>
      <c r="R4325" s="11"/>
      <c r="S4325" s="12"/>
      <c r="T4325" s="8"/>
      <c r="U4325" s="8"/>
      <c r="V4325" s="13"/>
      <c r="W4325" s="13"/>
      <c r="X4325" s="12"/>
      <c r="Y4325" s="14"/>
      <c r="Z4325" s="14"/>
    </row>
    <row r="4326">
      <c r="A4326" s="8"/>
      <c r="B4326" s="8"/>
      <c r="C4326" s="8"/>
      <c r="D4326" s="8"/>
      <c r="E4326" s="8"/>
      <c r="F4326" s="8"/>
      <c r="G4326" s="8"/>
      <c r="H4326" s="8"/>
      <c r="I4326" s="8"/>
      <c r="J4326" s="8"/>
      <c r="K4326" s="10"/>
      <c r="L4326" s="8"/>
      <c r="M4326" s="8"/>
      <c r="N4326" s="11"/>
      <c r="O4326" s="11"/>
      <c r="P4326" s="11"/>
      <c r="Q4326" s="11"/>
      <c r="R4326" s="11"/>
      <c r="S4326" s="12"/>
      <c r="T4326" s="8"/>
      <c r="U4326" s="8"/>
      <c r="V4326" s="13"/>
      <c r="W4326" s="13"/>
      <c r="X4326" s="12"/>
      <c r="Y4326" s="14"/>
      <c r="Z4326" s="14"/>
    </row>
    <row r="4327">
      <c r="A4327" s="8"/>
      <c r="B4327" s="8"/>
      <c r="C4327" s="8"/>
      <c r="D4327" s="8"/>
      <c r="E4327" s="8"/>
      <c r="F4327" s="8"/>
      <c r="G4327" s="8"/>
      <c r="H4327" s="8"/>
      <c r="I4327" s="8"/>
      <c r="J4327" s="8"/>
      <c r="K4327" s="10"/>
      <c r="L4327" s="8"/>
      <c r="M4327" s="8"/>
      <c r="N4327" s="11"/>
      <c r="O4327" s="11"/>
      <c r="P4327" s="11"/>
      <c r="Q4327" s="11"/>
      <c r="R4327" s="11"/>
      <c r="S4327" s="12"/>
      <c r="T4327" s="8"/>
      <c r="U4327" s="8"/>
      <c r="V4327" s="13"/>
      <c r="W4327" s="13"/>
      <c r="X4327" s="12"/>
      <c r="Y4327" s="14"/>
      <c r="Z4327" s="14"/>
    </row>
    <row r="4328">
      <c r="A4328" s="8"/>
      <c r="B4328" s="8"/>
      <c r="C4328" s="8"/>
      <c r="D4328" s="8"/>
      <c r="E4328" s="8"/>
      <c r="F4328" s="8"/>
      <c r="G4328" s="8"/>
      <c r="H4328" s="8"/>
      <c r="I4328" s="8"/>
      <c r="J4328" s="8"/>
      <c r="K4328" s="10"/>
      <c r="L4328" s="8"/>
      <c r="M4328" s="8"/>
      <c r="N4328" s="11"/>
      <c r="O4328" s="11"/>
      <c r="P4328" s="11"/>
      <c r="Q4328" s="11"/>
      <c r="R4328" s="11"/>
      <c r="S4328" s="12"/>
      <c r="T4328" s="8"/>
      <c r="U4328" s="8"/>
      <c r="V4328" s="13"/>
      <c r="W4328" s="13"/>
      <c r="X4328" s="12"/>
      <c r="Y4328" s="14"/>
      <c r="Z4328" s="14"/>
    </row>
    <row r="4329">
      <c r="A4329" s="8"/>
      <c r="B4329" s="8"/>
      <c r="C4329" s="8"/>
      <c r="D4329" s="8"/>
      <c r="E4329" s="8"/>
      <c r="F4329" s="8"/>
      <c r="G4329" s="8"/>
      <c r="H4329" s="8"/>
      <c r="I4329" s="8"/>
      <c r="J4329" s="8"/>
      <c r="K4329" s="10"/>
      <c r="L4329" s="8"/>
      <c r="M4329" s="8"/>
      <c r="N4329" s="11"/>
      <c r="O4329" s="11"/>
      <c r="P4329" s="11"/>
      <c r="Q4329" s="11"/>
      <c r="R4329" s="11"/>
      <c r="S4329" s="12"/>
      <c r="T4329" s="8"/>
      <c r="U4329" s="8"/>
      <c r="V4329" s="13"/>
      <c r="W4329" s="13"/>
      <c r="X4329" s="12"/>
      <c r="Y4329" s="14"/>
      <c r="Z4329" s="14"/>
    </row>
    <row r="4330">
      <c r="A4330" s="8"/>
      <c r="B4330" s="8"/>
      <c r="C4330" s="8"/>
      <c r="D4330" s="8"/>
      <c r="E4330" s="8"/>
      <c r="F4330" s="8"/>
      <c r="G4330" s="8"/>
      <c r="H4330" s="8"/>
      <c r="I4330" s="8"/>
      <c r="J4330" s="8"/>
      <c r="K4330" s="10"/>
      <c r="L4330" s="8"/>
      <c r="M4330" s="8"/>
      <c r="N4330" s="11"/>
      <c r="O4330" s="11"/>
      <c r="P4330" s="11"/>
      <c r="Q4330" s="11"/>
      <c r="R4330" s="11"/>
      <c r="S4330" s="12"/>
      <c r="T4330" s="8"/>
      <c r="U4330" s="8"/>
      <c r="V4330" s="13"/>
      <c r="W4330" s="13"/>
      <c r="X4330" s="12"/>
      <c r="Y4330" s="14"/>
      <c r="Z4330" s="14"/>
    </row>
    <row r="4331">
      <c r="A4331" s="8"/>
      <c r="B4331" s="8"/>
      <c r="C4331" s="8"/>
      <c r="D4331" s="8"/>
      <c r="E4331" s="8"/>
      <c r="F4331" s="8"/>
      <c r="G4331" s="8"/>
      <c r="H4331" s="8"/>
      <c r="I4331" s="8"/>
      <c r="J4331" s="8"/>
      <c r="K4331" s="10"/>
      <c r="L4331" s="8"/>
      <c r="M4331" s="8"/>
      <c r="N4331" s="11"/>
      <c r="O4331" s="11"/>
      <c r="P4331" s="11"/>
      <c r="Q4331" s="11"/>
      <c r="R4331" s="11"/>
      <c r="S4331" s="12"/>
      <c r="T4331" s="8"/>
      <c r="U4331" s="8"/>
      <c r="V4331" s="13"/>
      <c r="W4331" s="13"/>
      <c r="X4331" s="12"/>
      <c r="Y4331" s="14"/>
      <c r="Z4331" s="14"/>
    </row>
    <row r="4332">
      <c r="A4332" s="8"/>
      <c r="B4332" s="8"/>
      <c r="C4332" s="8"/>
      <c r="D4332" s="8"/>
      <c r="E4332" s="8"/>
      <c r="F4332" s="8"/>
      <c r="G4332" s="8"/>
      <c r="H4332" s="8"/>
      <c r="I4332" s="8"/>
      <c r="J4332" s="8"/>
      <c r="K4332" s="10"/>
      <c r="L4332" s="8"/>
      <c r="M4332" s="8"/>
      <c r="N4332" s="11"/>
      <c r="O4332" s="11"/>
      <c r="P4332" s="11"/>
      <c r="Q4332" s="11"/>
      <c r="R4332" s="11"/>
      <c r="S4332" s="12"/>
      <c r="T4332" s="8"/>
      <c r="U4332" s="8"/>
      <c r="V4332" s="13"/>
      <c r="W4332" s="13"/>
      <c r="X4332" s="12"/>
      <c r="Y4332" s="14"/>
      <c r="Z4332" s="14"/>
    </row>
    <row r="4333">
      <c r="A4333" s="8"/>
      <c r="B4333" s="8"/>
      <c r="C4333" s="8"/>
      <c r="D4333" s="8"/>
      <c r="E4333" s="8"/>
      <c r="F4333" s="8"/>
      <c r="G4333" s="8"/>
      <c r="H4333" s="8"/>
      <c r="I4333" s="8"/>
      <c r="J4333" s="8"/>
      <c r="K4333" s="10"/>
      <c r="L4333" s="8"/>
      <c r="M4333" s="8"/>
      <c r="N4333" s="11"/>
      <c r="O4333" s="11"/>
      <c r="P4333" s="11"/>
      <c r="Q4333" s="11"/>
      <c r="R4333" s="11"/>
      <c r="S4333" s="12"/>
      <c r="T4333" s="8"/>
      <c r="U4333" s="8"/>
      <c r="V4333" s="13"/>
      <c r="W4333" s="13"/>
      <c r="X4333" s="12"/>
      <c r="Y4333" s="14"/>
      <c r="Z4333" s="14"/>
    </row>
    <row r="4334">
      <c r="A4334" s="8"/>
      <c r="B4334" s="8"/>
      <c r="C4334" s="8"/>
      <c r="D4334" s="8"/>
      <c r="E4334" s="8"/>
      <c r="F4334" s="8"/>
      <c r="G4334" s="8"/>
      <c r="H4334" s="8"/>
      <c r="I4334" s="8"/>
      <c r="J4334" s="8"/>
      <c r="K4334" s="10"/>
      <c r="L4334" s="8"/>
      <c r="M4334" s="8"/>
      <c r="N4334" s="11"/>
      <c r="O4334" s="11"/>
      <c r="P4334" s="11"/>
      <c r="Q4334" s="11"/>
      <c r="R4334" s="11"/>
      <c r="S4334" s="12"/>
      <c r="T4334" s="8"/>
      <c r="U4334" s="8"/>
      <c r="V4334" s="13"/>
      <c r="W4334" s="13"/>
      <c r="X4334" s="12"/>
      <c r="Y4334" s="14"/>
      <c r="Z4334" s="14"/>
    </row>
    <row r="4335">
      <c r="A4335" s="8"/>
      <c r="B4335" s="8"/>
      <c r="C4335" s="8"/>
      <c r="D4335" s="8"/>
      <c r="E4335" s="8"/>
      <c r="F4335" s="8"/>
      <c r="G4335" s="8"/>
      <c r="H4335" s="8"/>
      <c r="I4335" s="8"/>
      <c r="J4335" s="8"/>
      <c r="K4335" s="10"/>
      <c r="L4335" s="8"/>
      <c r="M4335" s="8"/>
      <c r="N4335" s="11"/>
      <c r="O4335" s="11"/>
      <c r="P4335" s="11"/>
      <c r="Q4335" s="11"/>
      <c r="R4335" s="11"/>
      <c r="S4335" s="12"/>
      <c r="T4335" s="8"/>
      <c r="U4335" s="8"/>
      <c r="V4335" s="13"/>
      <c r="W4335" s="13"/>
      <c r="X4335" s="12"/>
      <c r="Y4335" s="14"/>
      <c r="Z4335" s="14"/>
    </row>
    <row r="4336">
      <c r="A4336" s="8"/>
      <c r="B4336" s="8"/>
      <c r="C4336" s="8"/>
      <c r="D4336" s="8"/>
      <c r="E4336" s="8"/>
      <c r="F4336" s="8"/>
      <c r="G4336" s="8"/>
      <c r="H4336" s="8"/>
      <c r="I4336" s="8"/>
      <c r="J4336" s="8"/>
      <c r="K4336" s="10"/>
      <c r="L4336" s="8"/>
      <c r="M4336" s="8"/>
      <c r="N4336" s="11"/>
      <c r="O4336" s="11"/>
      <c r="P4336" s="11"/>
      <c r="Q4336" s="11"/>
      <c r="R4336" s="11"/>
      <c r="S4336" s="12"/>
      <c r="T4336" s="8"/>
      <c r="U4336" s="8"/>
      <c r="V4336" s="13"/>
      <c r="W4336" s="13"/>
      <c r="X4336" s="12"/>
      <c r="Y4336" s="14"/>
      <c r="Z4336" s="14"/>
    </row>
    <row r="4337">
      <c r="A4337" s="8"/>
      <c r="B4337" s="8"/>
      <c r="C4337" s="8"/>
      <c r="D4337" s="8"/>
      <c r="E4337" s="8"/>
      <c r="F4337" s="8"/>
      <c r="G4337" s="8"/>
      <c r="H4337" s="8"/>
      <c r="I4337" s="8"/>
      <c r="J4337" s="8"/>
      <c r="K4337" s="10"/>
      <c r="L4337" s="8"/>
      <c r="M4337" s="8"/>
      <c r="N4337" s="11"/>
      <c r="O4337" s="11"/>
      <c r="P4337" s="11"/>
      <c r="Q4337" s="11"/>
      <c r="R4337" s="11"/>
      <c r="S4337" s="12"/>
      <c r="T4337" s="8"/>
      <c r="U4337" s="8"/>
      <c r="V4337" s="13"/>
      <c r="W4337" s="13"/>
      <c r="X4337" s="12"/>
      <c r="Y4337" s="14"/>
      <c r="Z4337" s="14"/>
    </row>
    <row r="4338">
      <c r="A4338" s="8"/>
      <c r="B4338" s="8"/>
      <c r="C4338" s="8"/>
      <c r="D4338" s="8"/>
      <c r="E4338" s="8"/>
      <c r="F4338" s="8"/>
      <c r="G4338" s="8"/>
      <c r="H4338" s="8"/>
      <c r="I4338" s="8"/>
      <c r="J4338" s="8"/>
      <c r="K4338" s="10"/>
      <c r="L4338" s="8"/>
      <c r="M4338" s="8"/>
      <c r="N4338" s="11"/>
      <c r="O4338" s="11"/>
      <c r="P4338" s="11"/>
      <c r="Q4338" s="11"/>
      <c r="R4338" s="11"/>
      <c r="S4338" s="12"/>
      <c r="T4338" s="8"/>
      <c r="U4338" s="8"/>
      <c r="V4338" s="13"/>
      <c r="W4338" s="13"/>
      <c r="X4338" s="12"/>
      <c r="Y4338" s="14"/>
      <c r="Z4338" s="14"/>
    </row>
    <row r="4339">
      <c r="A4339" s="8"/>
      <c r="B4339" s="8"/>
      <c r="C4339" s="8"/>
      <c r="D4339" s="8"/>
      <c r="E4339" s="8"/>
      <c r="F4339" s="8"/>
      <c r="G4339" s="8"/>
      <c r="H4339" s="8"/>
      <c r="I4339" s="8"/>
      <c r="J4339" s="8"/>
      <c r="K4339" s="10"/>
      <c r="L4339" s="8"/>
      <c r="M4339" s="8"/>
      <c r="N4339" s="11"/>
      <c r="O4339" s="11"/>
      <c r="P4339" s="11"/>
      <c r="Q4339" s="11"/>
      <c r="R4339" s="11"/>
      <c r="S4339" s="12"/>
      <c r="T4339" s="8"/>
      <c r="U4339" s="8"/>
      <c r="V4339" s="13"/>
      <c r="W4339" s="13"/>
      <c r="X4339" s="12"/>
      <c r="Y4339" s="14"/>
      <c r="Z4339" s="14"/>
    </row>
    <row r="4340">
      <c r="A4340" s="8"/>
      <c r="B4340" s="8"/>
      <c r="C4340" s="8"/>
      <c r="D4340" s="8"/>
      <c r="E4340" s="8"/>
      <c r="F4340" s="8"/>
      <c r="G4340" s="8"/>
      <c r="H4340" s="8"/>
      <c r="I4340" s="8"/>
      <c r="J4340" s="8"/>
      <c r="K4340" s="10"/>
      <c r="L4340" s="8"/>
      <c r="M4340" s="8"/>
      <c r="N4340" s="11"/>
      <c r="O4340" s="11"/>
      <c r="P4340" s="11"/>
      <c r="Q4340" s="11"/>
      <c r="R4340" s="11"/>
      <c r="S4340" s="12"/>
      <c r="T4340" s="8"/>
      <c r="U4340" s="8"/>
      <c r="V4340" s="13"/>
      <c r="W4340" s="13"/>
      <c r="X4340" s="12"/>
      <c r="Y4340" s="14"/>
      <c r="Z4340" s="14"/>
    </row>
    <row r="4341">
      <c r="A4341" s="8"/>
      <c r="B4341" s="8"/>
      <c r="C4341" s="8"/>
      <c r="D4341" s="8"/>
      <c r="E4341" s="8"/>
      <c r="F4341" s="8"/>
      <c r="G4341" s="8"/>
      <c r="H4341" s="8"/>
      <c r="I4341" s="8"/>
      <c r="J4341" s="8"/>
      <c r="K4341" s="10"/>
      <c r="L4341" s="8"/>
      <c r="M4341" s="8"/>
      <c r="N4341" s="11"/>
      <c r="O4341" s="11"/>
      <c r="P4341" s="11"/>
      <c r="Q4341" s="11"/>
      <c r="R4341" s="11"/>
      <c r="S4341" s="12"/>
      <c r="T4341" s="8"/>
      <c r="U4341" s="8"/>
      <c r="V4341" s="13"/>
      <c r="W4341" s="13"/>
      <c r="X4341" s="12"/>
      <c r="Y4341" s="14"/>
      <c r="Z4341" s="14"/>
    </row>
    <row r="4342">
      <c r="A4342" s="8"/>
      <c r="B4342" s="8"/>
      <c r="C4342" s="8"/>
      <c r="D4342" s="8"/>
      <c r="E4342" s="8"/>
      <c r="F4342" s="8"/>
      <c r="G4342" s="8"/>
      <c r="H4342" s="8"/>
      <c r="I4342" s="8"/>
      <c r="J4342" s="8"/>
      <c r="K4342" s="10"/>
      <c r="L4342" s="8"/>
      <c r="M4342" s="8"/>
      <c r="N4342" s="11"/>
      <c r="O4342" s="11"/>
      <c r="P4342" s="11"/>
      <c r="Q4342" s="11"/>
      <c r="R4342" s="11"/>
      <c r="S4342" s="12"/>
      <c r="T4342" s="8"/>
      <c r="U4342" s="8"/>
      <c r="V4342" s="13"/>
      <c r="W4342" s="13"/>
      <c r="X4342" s="12"/>
      <c r="Y4342" s="14"/>
      <c r="Z4342" s="14"/>
    </row>
    <row r="4343">
      <c r="A4343" s="8"/>
      <c r="B4343" s="8"/>
      <c r="C4343" s="8"/>
      <c r="D4343" s="8"/>
      <c r="E4343" s="8"/>
      <c r="F4343" s="8"/>
      <c r="G4343" s="8"/>
      <c r="H4343" s="8"/>
      <c r="I4343" s="8"/>
      <c r="J4343" s="8"/>
      <c r="K4343" s="10"/>
      <c r="L4343" s="8"/>
      <c r="M4343" s="8"/>
      <c r="N4343" s="11"/>
      <c r="O4343" s="11"/>
      <c r="P4343" s="11"/>
      <c r="Q4343" s="11"/>
      <c r="R4343" s="11"/>
      <c r="S4343" s="12"/>
      <c r="T4343" s="8"/>
      <c r="U4343" s="8"/>
      <c r="V4343" s="13"/>
      <c r="W4343" s="13"/>
      <c r="X4343" s="12"/>
      <c r="Y4343" s="14"/>
      <c r="Z4343" s="14"/>
    </row>
    <row r="4344">
      <c r="A4344" s="8"/>
      <c r="B4344" s="8"/>
      <c r="C4344" s="8"/>
      <c r="D4344" s="8"/>
      <c r="E4344" s="8"/>
      <c r="F4344" s="8"/>
      <c r="G4344" s="8"/>
      <c r="H4344" s="8"/>
      <c r="I4344" s="8"/>
      <c r="J4344" s="8"/>
      <c r="K4344" s="10"/>
      <c r="L4344" s="8"/>
      <c r="M4344" s="8"/>
      <c r="N4344" s="11"/>
      <c r="O4344" s="11"/>
      <c r="P4344" s="11"/>
      <c r="Q4344" s="11"/>
      <c r="R4344" s="11"/>
      <c r="S4344" s="12"/>
      <c r="T4344" s="8"/>
      <c r="U4344" s="8"/>
      <c r="V4344" s="13"/>
      <c r="W4344" s="13"/>
      <c r="X4344" s="12"/>
      <c r="Y4344" s="14"/>
      <c r="Z4344" s="14"/>
    </row>
    <row r="4345">
      <c r="A4345" s="8"/>
      <c r="B4345" s="8"/>
      <c r="C4345" s="8"/>
      <c r="D4345" s="8"/>
      <c r="E4345" s="8"/>
      <c r="F4345" s="8"/>
      <c r="G4345" s="8"/>
      <c r="H4345" s="8"/>
      <c r="I4345" s="8"/>
      <c r="J4345" s="8"/>
      <c r="K4345" s="10"/>
      <c r="L4345" s="8"/>
      <c r="M4345" s="8"/>
      <c r="N4345" s="11"/>
      <c r="O4345" s="11"/>
      <c r="P4345" s="11"/>
      <c r="Q4345" s="11"/>
      <c r="R4345" s="11"/>
      <c r="S4345" s="12"/>
      <c r="T4345" s="8"/>
      <c r="U4345" s="8"/>
      <c r="V4345" s="13"/>
      <c r="W4345" s="13"/>
      <c r="X4345" s="12"/>
      <c r="Y4345" s="14"/>
      <c r="Z4345" s="14"/>
    </row>
    <row r="4346">
      <c r="A4346" s="8"/>
      <c r="B4346" s="8"/>
      <c r="C4346" s="8"/>
      <c r="D4346" s="8"/>
      <c r="E4346" s="8"/>
      <c r="F4346" s="8"/>
      <c r="G4346" s="8"/>
      <c r="H4346" s="8"/>
      <c r="I4346" s="8"/>
      <c r="J4346" s="8"/>
      <c r="K4346" s="10"/>
      <c r="L4346" s="8"/>
      <c r="M4346" s="8"/>
      <c r="N4346" s="11"/>
      <c r="O4346" s="11"/>
      <c r="P4346" s="11"/>
      <c r="Q4346" s="11"/>
      <c r="R4346" s="11"/>
      <c r="S4346" s="12"/>
      <c r="T4346" s="8"/>
      <c r="U4346" s="8"/>
      <c r="V4346" s="13"/>
      <c r="W4346" s="13"/>
      <c r="X4346" s="12"/>
      <c r="Y4346" s="14"/>
      <c r="Z4346" s="14"/>
    </row>
    <row r="4347">
      <c r="A4347" s="8"/>
      <c r="B4347" s="8"/>
      <c r="C4347" s="8"/>
      <c r="D4347" s="8"/>
      <c r="E4347" s="8"/>
      <c r="F4347" s="8"/>
      <c r="G4347" s="8"/>
      <c r="H4347" s="8"/>
      <c r="I4347" s="8"/>
      <c r="J4347" s="8"/>
      <c r="K4347" s="10"/>
      <c r="L4347" s="8"/>
      <c r="M4347" s="8"/>
      <c r="N4347" s="11"/>
      <c r="O4347" s="11"/>
      <c r="P4347" s="11"/>
      <c r="Q4347" s="11"/>
      <c r="R4347" s="11"/>
      <c r="S4347" s="12"/>
      <c r="T4347" s="8"/>
      <c r="U4347" s="8"/>
      <c r="V4347" s="13"/>
      <c r="W4347" s="13"/>
      <c r="X4347" s="12"/>
      <c r="Y4347" s="14"/>
      <c r="Z4347" s="14"/>
    </row>
    <row r="4348">
      <c r="A4348" s="8"/>
      <c r="B4348" s="8"/>
      <c r="C4348" s="8"/>
      <c r="D4348" s="8"/>
      <c r="E4348" s="8"/>
      <c r="F4348" s="8"/>
      <c r="G4348" s="8"/>
      <c r="H4348" s="8"/>
      <c r="I4348" s="8"/>
      <c r="J4348" s="8"/>
      <c r="K4348" s="10"/>
      <c r="L4348" s="8"/>
      <c r="M4348" s="8"/>
      <c r="N4348" s="11"/>
      <c r="O4348" s="11"/>
      <c r="P4348" s="11"/>
      <c r="Q4348" s="11"/>
      <c r="R4348" s="11"/>
      <c r="S4348" s="12"/>
      <c r="T4348" s="8"/>
      <c r="U4348" s="8"/>
      <c r="V4348" s="13"/>
      <c r="W4348" s="13"/>
      <c r="X4348" s="12"/>
      <c r="Y4348" s="14"/>
      <c r="Z4348" s="14"/>
    </row>
    <row r="4349">
      <c r="A4349" s="8"/>
      <c r="B4349" s="8"/>
      <c r="C4349" s="8"/>
      <c r="D4349" s="8"/>
      <c r="E4349" s="8"/>
      <c r="F4349" s="8"/>
      <c r="G4349" s="8"/>
      <c r="H4349" s="8"/>
      <c r="I4349" s="8"/>
      <c r="J4349" s="8"/>
      <c r="K4349" s="10"/>
      <c r="L4349" s="8"/>
      <c r="M4349" s="8"/>
      <c r="N4349" s="11"/>
      <c r="O4349" s="11"/>
      <c r="P4349" s="11"/>
      <c r="Q4349" s="11"/>
      <c r="R4349" s="11"/>
      <c r="S4349" s="12"/>
      <c r="T4349" s="8"/>
      <c r="U4349" s="8"/>
      <c r="V4349" s="13"/>
      <c r="W4349" s="13"/>
      <c r="X4349" s="12"/>
      <c r="Y4349" s="14"/>
      <c r="Z4349" s="14"/>
    </row>
    <row r="4350">
      <c r="A4350" s="8"/>
      <c r="B4350" s="8"/>
      <c r="C4350" s="8"/>
      <c r="D4350" s="8"/>
      <c r="E4350" s="8"/>
      <c r="F4350" s="8"/>
      <c r="G4350" s="8"/>
      <c r="H4350" s="8"/>
      <c r="I4350" s="8"/>
      <c r="J4350" s="8"/>
      <c r="K4350" s="10"/>
      <c r="L4350" s="8"/>
      <c r="M4350" s="8"/>
      <c r="N4350" s="11"/>
      <c r="O4350" s="11"/>
      <c r="P4350" s="11"/>
      <c r="Q4350" s="11"/>
      <c r="R4350" s="11"/>
      <c r="S4350" s="12"/>
      <c r="T4350" s="8"/>
      <c r="U4350" s="8"/>
      <c r="V4350" s="13"/>
      <c r="W4350" s="13"/>
      <c r="X4350" s="12"/>
      <c r="Y4350" s="14"/>
      <c r="Z4350" s="14"/>
    </row>
    <row r="4351">
      <c r="A4351" s="8"/>
      <c r="B4351" s="8"/>
      <c r="C4351" s="8"/>
      <c r="D4351" s="8"/>
      <c r="E4351" s="8"/>
      <c r="F4351" s="8"/>
      <c r="G4351" s="8"/>
      <c r="H4351" s="8"/>
      <c r="I4351" s="8"/>
      <c r="J4351" s="8"/>
      <c r="K4351" s="10"/>
      <c r="L4351" s="8"/>
      <c r="M4351" s="8"/>
      <c r="N4351" s="11"/>
      <c r="O4351" s="11"/>
      <c r="P4351" s="11"/>
      <c r="Q4351" s="11"/>
      <c r="R4351" s="11"/>
      <c r="S4351" s="12"/>
      <c r="T4351" s="8"/>
      <c r="U4351" s="8"/>
      <c r="V4351" s="13"/>
      <c r="W4351" s="13"/>
      <c r="X4351" s="12"/>
      <c r="Y4351" s="14"/>
      <c r="Z4351" s="14"/>
    </row>
    <row r="4352">
      <c r="A4352" s="8"/>
      <c r="B4352" s="8"/>
      <c r="C4352" s="8"/>
      <c r="D4352" s="8"/>
      <c r="E4352" s="8"/>
      <c r="F4352" s="8"/>
      <c r="G4352" s="8"/>
      <c r="H4352" s="8"/>
      <c r="I4352" s="8"/>
      <c r="J4352" s="8"/>
      <c r="K4352" s="10"/>
      <c r="L4352" s="8"/>
      <c r="M4352" s="8"/>
      <c r="N4352" s="11"/>
      <c r="O4352" s="11"/>
      <c r="P4352" s="11"/>
      <c r="Q4352" s="11"/>
      <c r="R4352" s="11"/>
      <c r="S4352" s="12"/>
      <c r="T4352" s="8"/>
      <c r="U4352" s="8"/>
      <c r="V4352" s="13"/>
      <c r="W4352" s="13"/>
      <c r="X4352" s="12"/>
      <c r="Y4352" s="14"/>
      <c r="Z4352" s="14"/>
    </row>
    <row r="4353">
      <c r="A4353" s="8"/>
      <c r="B4353" s="8"/>
      <c r="C4353" s="8"/>
      <c r="D4353" s="8"/>
      <c r="E4353" s="8"/>
      <c r="F4353" s="8"/>
      <c r="G4353" s="8"/>
      <c r="H4353" s="8"/>
      <c r="I4353" s="8"/>
      <c r="J4353" s="8"/>
      <c r="K4353" s="10"/>
      <c r="L4353" s="8"/>
      <c r="M4353" s="8"/>
      <c r="N4353" s="11"/>
      <c r="O4353" s="11"/>
      <c r="P4353" s="11"/>
      <c r="Q4353" s="11"/>
      <c r="R4353" s="11"/>
      <c r="S4353" s="12"/>
      <c r="T4353" s="8"/>
      <c r="U4353" s="8"/>
      <c r="V4353" s="13"/>
      <c r="W4353" s="13"/>
      <c r="X4353" s="12"/>
      <c r="Y4353" s="14"/>
      <c r="Z4353" s="14"/>
    </row>
    <row r="4354">
      <c r="A4354" s="8"/>
      <c r="B4354" s="8"/>
      <c r="C4354" s="8"/>
      <c r="D4354" s="8"/>
      <c r="E4354" s="8"/>
      <c r="F4354" s="8"/>
      <c r="G4354" s="8"/>
      <c r="H4354" s="8"/>
      <c r="I4354" s="8"/>
      <c r="J4354" s="8"/>
      <c r="K4354" s="10"/>
      <c r="L4354" s="8"/>
      <c r="M4354" s="8"/>
      <c r="N4354" s="11"/>
      <c r="O4354" s="11"/>
      <c r="P4354" s="11"/>
      <c r="Q4354" s="11"/>
      <c r="R4354" s="11"/>
      <c r="S4354" s="12"/>
      <c r="T4354" s="8"/>
      <c r="U4354" s="8"/>
      <c r="V4354" s="13"/>
      <c r="W4354" s="13"/>
      <c r="X4354" s="12"/>
      <c r="Y4354" s="14"/>
      <c r="Z4354" s="14"/>
    </row>
    <row r="4355">
      <c r="A4355" s="8"/>
      <c r="B4355" s="8"/>
      <c r="C4355" s="8"/>
      <c r="D4355" s="8"/>
      <c r="E4355" s="8"/>
      <c r="F4355" s="8"/>
      <c r="G4355" s="8"/>
      <c r="H4355" s="8"/>
      <c r="I4355" s="8"/>
      <c r="J4355" s="8"/>
      <c r="K4355" s="10"/>
      <c r="L4355" s="8"/>
      <c r="M4355" s="8"/>
      <c r="N4355" s="11"/>
      <c r="O4355" s="11"/>
      <c r="P4355" s="11"/>
      <c r="Q4355" s="11"/>
      <c r="R4355" s="11"/>
      <c r="S4355" s="12"/>
      <c r="T4355" s="8"/>
      <c r="U4355" s="8"/>
      <c r="V4355" s="13"/>
      <c r="W4355" s="13"/>
      <c r="X4355" s="12"/>
      <c r="Y4355" s="14"/>
      <c r="Z4355" s="14"/>
    </row>
    <row r="4356">
      <c r="A4356" s="8"/>
      <c r="B4356" s="8"/>
      <c r="C4356" s="8"/>
      <c r="D4356" s="8"/>
      <c r="E4356" s="8"/>
      <c r="F4356" s="8"/>
      <c r="G4356" s="8"/>
      <c r="H4356" s="8"/>
      <c r="I4356" s="8"/>
      <c r="J4356" s="8"/>
      <c r="K4356" s="10"/>
      <c r="L4356" s="8"/>
      <c r="M4356" s="8"/>
      <c r="N4356" s="11"/>
      <c r="O4356" s="11"/>
      <c r="P4356" s="11"/>
      <c r="Q4356" s="11"/>
      <c r="R4356" s="11"/>
      <c r="S4356" s="12"/>
      <c r="T4356" s="8"/>
      <c r="U4356" s="8"/>
      <c r="V4356" s="13"/>
      <c r="W4356" s="13"/>
      <c r="X4356" s="12"/>
      <c r="Y4356" s="14"/>
      <c r="Z4356" s="14"/>
    </row>
    <row r="4357">
      <c r="A4357" s="8"/>
      <c r="B4357" s="8"/>
      <c r="C4357" s="8"/>
      <c r="D4357" s="8"/>
      <c r="E4357" s="8"/>
      <c r="F4357" s="8"/>
      <c r="G4357" s="8"/>
      <c r="H4357" s="8"/>
      <c r="I4357" s="8"/>
      <c r="J4357" s="8"/>
      <c r="K4357" s="10"/>
      <c r="L4357" s="8"/>
      <c r="M4357" s="8"/>
      <c r="N4357" s="11"/>
      <c r="O4357" s="11"/>
      <c r="P4357" s="11"/>
      <c r="Q4357" s="11"/>
      <c r="R4357" s="11"/>
      <c r="S4357" s="12"/>
      <c r="T4357" s="8"/>
      <c r="U4357" s="8"/>
      <c r="V4357" s="13"/>
      <c r="W4357" s="13"/>
      <c r="X4357" s="12"/>
      <c r="Y4357" s="14"/>
      <c r="Z4357" s="14"/>
    </row>
    <row r="4358">
      <c r="A4358" s="8"/>
      <c r="B4358" s="8"/>
      <c r="C4358" s="8"/>
      <c r="D4358" s="8"/>
      <c r="E4358" s="8"/>
      <c r="F4358" s="8"/>
      <c r="G4358" s="8"/>
      <c r="H4358" s="8"/>
      <c r="I4358" s="8"/>
      <c r="J4358" s="8"/>
      <c r="K4358" s="10"/>
      <c r="L4358" s="8"/>
      <c r="M4358" s="8"/>
      <c r="N4358" s="11"/>
      <c r="O4358" s="11"/>
      <c r="P4358" s="11"/>
      <c r="Q4358" s="11"/>
      <c r="R4358" s="11"/>
      <c r="S4358" s="12"/>
      <c r="T4358" s="8"/>
      <c r="U4358" s="8"/>
      <c r="V4358" s="13"/>
      <c r="W4358" s="13"/>
      <c r="X4358" s="12"/>
      <c r="Y4358" s="14"/>
      <c r="Z4358" s="14"/>
    </row>
    <row r="4359">
      <c r="A4359" s="8"/>
      <c r="B4359" s="8"/>
      <c r="C4359" s="8"/>
      <c r="D4359" s="8"/>
      <c r="E4359" s="8"/>
      <c r="F4359" s="8"/>
      <c r="G4359" s="8"/>
      <c r="H4359" s="8"/>
      <c r="I4359" s="8"/>
      <c r="J4359" s="8"/>
      <c r="K4359" s="10"/>
      <c r="L4359" s="8"/>
      <c r="M4359" s="8"/>
      <c r="N4359" s="11"/>
      <c r="O4359" s="11"/>
      <c r="P4359" s="11"/>
      <c r="Q4359" s="11"/>
      <c r="R4359" s="11"/>
      <c r="S4359" s="12"/>
      <c r="T4359" s="8"/>
      <c r="U4359" s="8"/>
      <c r="V4359" s="13"/>
      <c r="W4359" s="13"/>
      <c r="X4359" s="12"/>
      <c r="Y4359" s="14"/>
      <c r="Z4359" s="14"/>
    </row>
    <row r="4360">
      <c r="A4360" s="8"/>
      <c r="B4360" s="8"/>
      <c r="C4360" s="8"/>
      <c r="D4360" s="8"/>
      <c r="E4360" s="8"/>
      <c r="F4360" s="8"/>
      <c r="G4360" s="8"/>
      <c r="H4360" s="8"/>
      <c r="I4360" s="8"/>
      <c r="J4360" s="8"/>
      <c r="K4360" s="10"/>
      <c r="L4360" s="8"/>
      <c r="M4360" s="8"/>
      <c r="N4360" s="11"/>
      <c r="O4360" s="11"/>
      <c r="P4360" s="11"/>
      <c r="Q4360" s="11"/>
      <c r="R4360" s="11"/>
      <c r="S4360" s="12"/>
      <c r="T4360" s="8"/>
      <c r="U4360" s="8"/>
      <c r="V4360" s="13"/>
      <c r="W4360" s="13"/>
      <c r="X4360" s="12"/>
      <c r="Y4360" s="14"/>
      <c r="Z4360" s="14"/>
    </row>
    <row r="4361">
      <c r="A4361" s="8"/>
      <c r="B4361" s="8"/>
      <c r="C4361" s="8"/>
      <c r="D4361" s="8"/>
      <c r="E4361" s="8"/>
      <c r="F4361" s="8"/>
      <c r="G4361" s="8"/>
      <c r="H4361" s="8"/>
      <c r="I4361" s="8"/>
      <c r="J4361" s="8"/>
      <c r="K4361" s="10"/>
      <c r="L4361" s="8"/>
      <c r="M4361" s="8"/>
      <c r="N4361" s="11"/>
      <c r="O4361" s="11"/>
      <c r="P4361" s="11"/>
      <c r="Q4361" s="11"/>
      <c r="R4361" s="11"/>
      <c r="S4361" s="12"/>
      <c r="T4361" s="8"/>
      <c r="U4361" s="8"/>
      <c r="V4361" s="13"/>
      <c r="W4361" s="13"/>
      <c r="X4361" s="12"/>
      <c r="Y4361" s="14"/>
      <c r="Z4361" s="14"/>
    </row>
    <row r="4362">
      <c r="A4362" s="8"/>
      <c r="B4362" s="8"/>
      <c r="C4362" s="8"/>
      <c r="D4362" s="8"/>
      <c r="E4362" s="8"/>
      <c r="F4362" s="8"/>
      <c r="G4362" s="8"/>
      <c r="H4362" s="8"/>
      <c r="I4362" s="8"/>
      <c r="J4362" s="8"/>
      <c r="K4362" s="10"/>
      <c r="L4362" s="8"/>
      <c r="M4362" s="8"/>
      <c r="N4362" s="11"/>
      <c r="O4362" s="11"/>
      <c r="P4362" s="11"/>
      <c r="Q4362" s="11"/>
      <c r="R4362" s="11"/>
      <c r="S4362" s="12"/>
      <c r="T4362" s="8"/>
      <c r="U4362" s="8"/>
      <c r="V4362" s="13"/>
      <c r="W4362" s="13"/>
      <c r="X4362" s="12"/>
      <c r="Y4362" s="14"/>
      <c r="Z4362" s="14"/>
    </row>
    <row r="4363">
      <c r="A4363" s="8"/>
      <c r="B4363" s="8"/>
      <c r="C4363" s="8"/>
      <c r="D4363" s="8"/>
      <c r="E4363" s="8"/>
      <c r="F4363" s="8"/>
      <c r="G4363" s="8"/>
      <c r="H4363" s="8"/>
      <c r="I4363" s="8"/>
      <c r="J4363" s="8"/>
      <c r="K4363" s="10"/>
      <c r="L4363" s="8"/>
      <c r="M4363" s="8"/>
      <c r="N4363" s="11"/>
      <c r="O4363" s="11"/>
      <c r="P4363" s="11"/>
      <c r="Q4363" s="11"/>
      <c r="R4363" s="11"/>
      <c r="S4363" s="12"/>
      <c r="T4363" s="8"/>
      <c r="U4363" s="8"/>
      <c r="V4363" s="13"/>
      <c r="W4363" s="13"/>
      <c r="X4363" s="12"/>
      <c r="Y4363" s="14"/>
      <c r="Z4363" s="14"/>
    </row>
    <row r="4364">
      <c r="A4364" s="8"/>
      <c r="B4364" s="8"/>
      <c r="C4364" s="8"/>
      <c r="D4364" s="8"/>
      <c r="E4364" s="8"/>
      <c r="F4364" s="8"/>
      <c r="G4364" s="8"/>
      <c r="H4364" s="8"/>
      <c r="I4364" s="8"/>
      <c r="J4364" s="8"/>
      <c r="K4364" s="10"/>
      <c r="L4364" s="8"/>
      <c r="M4364" s="8"/>
      <c r="N4364" s="11"/>
      <c r="O4364" s="11"/>
      <c r="P4364" s="11"/>
      <c r="Q4364" s="11"/>
      <c r="R4364" s="11"/>
      <c r="S4364" s="12"/>
      <c r="T4364" s="8"/>
      <c r="U4364" s="8"/>
      <c r="V4364" s="13"/>
      <c r="W4364" s="13"/>
      <c r="X4364" s="12"/>
      <c r="Y4364" s="14"/>
      <c r="Z4364" s="14"/>
    </row>
    <row r="4365">
      <c r="A4365" s="8"/>
      <c r="B4365" s="8"/>
      <c r="C4365" s="8"/>
      <c r="D4365" s="8"/>
      <c r="E4365" s="8"/>
      <c r="F4365" s="8"/>
      <c r="G4365" s="8"/>
      <c r="H4365" s="8"/>
      <c r="I4365" s="8"/>
      <c r="J4365" s="8"/>
      <c r="K4365" s="10"/>
      <c r="L4365" s="8"/>
      <c r="M4365" s="8"/>
      <c r="N4365" s="11"/>
      <c r="O4365" s="11"/>
      <c r="P4365" s="11"/>
      <c r="Q4365" s="11"/>
      <c r="R4365" s="11"/>
      <c r="S4365" s="12"/>
      <c r="T4365" s="8"/>
      <c r="U4365" s="8"/>
      <c r="V4365" s="13"/>
      <c r="W4365" s="13"/>
      <c r="X4365" s="12"/>
      <c r="Y4365" s="14"/>
      <c r="Z4365" s="14"/>
    </row>
    <row r="4366">
      <c r="A4366" s="8"/>
      <c r="B4366" s="8"/>
      <c r="C4366" s="8"/>
      <c r="D4366" s="8"/>
      <c r="E4366" s="8"/>
      <c r="F4366" s="8"/>
      <c r="G4366" s="8"/>
      <c r="H4366" s="8"/>
      <c r="I4366" s="8"/>
      <c r="J4366" s="8"/>
      <c r="K4366" s="10"/>
      <c r="L4366" s="8"/>
      <c r="M4366" s="8"/>
      <c r="N4366" s="11"/>
      <c r="O4366" s="11"/>
      <c r="P4366" s="11"/>
      <c r="Q4366" s="11"/>
      <c r="R4366" s="11"/>
      <c r="S4366" s="12"/>
      <c r="T4366" s="8"/>
      <c r="U4366" s="8"/>
      <c r="V4366" s="13"/>
      <c r="W4366" s="13"/>
      <c r="X4366" s="12"/>
      <c r="Y4366" s="14"/>
      <c r="Z4366" s="14"/>
    </row>
    <row r="4367">
      <c r="A4367" s="8"/>
      <c r="B4367" s="8"/>
      <c r="C4367" s="8"/>
      <c r="D4367" s="8"/>
      <c r="E4367" s="8"/>
      <c r="F4367" s="8"/>
      <c r="G4367" s="8"/>
      <c r="H4367" s="8"/>
      <c r="I4367" s="8"/>
      <c r="J4367" s="8"/>
      <c r="K4367" s="10"/>
      <c r="L4367" s="8"/>
      <c r="M4367" s="8"/>
      <c r="N4367" s="11"/>
      <c r="O4367" s="11"/>
      <c r="P4367" s="11"/>
      <c r="Q4367" s="11"/>
      <c r="R4367" s="11"/>
      <c r="S4367" s="12"/>
      <c r="T4367" s="8"/>
      <c r="U4367" s="8"/>
      <c r="V4367" s="13"/>
      <c r="W4367" s="13"/>
      <c r="X4367" s="12"/>
      <c r="Y4367" s="14"/>
      <c r="Z4367" s="14"/>
    </row>
    <row r="4368">
      <c r="A4368" s="8"/>
      <c r="B4368" s="8"/>
      <c r="C4368" s="8"/>
      <c r="D4368" s="8"/>
      <c r="E4368" s="8"/>
      <c r="F4368" s="8"/>
      <c r="G4368" s="8"/>
      <c r="H4368" s="8"/>
      <c r="I4368" s="8"/>
      <c r="J4368" s="8"/>
      <c r="K4368" s="10"/>
      <c r="L4368" s="8"/>
      <c r="M4368" s="8"/>
      <c r="N4368" s="11"/>
      <c r="O4368" s="11"/>
      <c r="P4368" s="11"/>
      <c r="Q4368" s="11"/>
      <c r="R4368" s="11"/>
      <c r="S4368" s="12"/>
      <c r="T4368" s="8"/>
      <c r="U4368" s="8"/>
      <c r="V4368" s="13"/>
      <c r="W4368" s="13"/>
      <c r="X4368" s="12"/>
      <c r="Y4368" s="14"/>
      <c r="Z4368" s="14"/>
    </row>
    <row r="4369">
      <c r="A4369" s="8"/>
      <c r="B4369" s="8"/>
      <c r="C4369" s="8"/>
      <c r="D4369" s="8"/>
      <c r="E4369" s="8"/>
      <c r="F4369" s="8"/>
      <c r="G4369" s="8"/>
      <c r="H4369" s="8"/>
      <c r="I4369" s="8"/>
      <c r="J4369" s="8"/>
      <c r="K4369" s="10"/>
      <c r="L4369" s="8"/>
      <c r="M4369" s="8"/>
      <c r="N4369" s="11"/>
      <c r="O4369" s="11"/>
      <c r="P4369" s="11"/>
      <c r="Q4369" s="11"/>
      <c r="R4369" s="11"/>
      <c r="S4369" s="12"/>
      <c r="T4369" s="8"/>
      <c r="U4369" s="8"/>
      <c r="V4369" s="13"/>
      <c r="W4369" s="13"/>
      <c r="X4369" s="12"/>
      <c r="Y4369" s="14"/>
      <c r="Z4369" s="14"/>
    </row>
    <row r="4370">
      <c r="A4370" s="8"/>
      <c r="B4370" s="8"/>
      <c r="C4370" s="8"/>
      <c r="D4370" s="8"/>
      <c r="E4370" s="8"/>
      <c r="F4370" s="8"/>
      <c r="G4370" s="8"/>
      <c r="H4370" s="8"/>
      <c r="I4370" s="8"/>
      <c r="J4370" s="8"/>
      <c r="K4370" s="10"/>
      <c r="L4370" s="8"/>
      <c r="M4370" s="8"/>
      <c r="N4370" s="11"/>
      <c r="O4370" s="11"/>
      <c r="P4370" s="11"/>
      <c r="Q4370" s="11"/>
      <c r="R4370" s="11"/>
      <c r="S4370" s="12"/>
      <c r="T4370" s="8"/>
      <c r="U4370" s="8"/>
      <c r="V4370" s="13"/>
      <c r="W4370" s="13"/>
      <c r="X4370" s="12"/>
      <c r="Y4370" s="14"/>
      <c r="Z4370" s="14"/>
    </row>
    <row r="4371">
      <c r="A4371" s="8"/>
      <c r="B4371" s="8"/>
      <c r="C4371" s="8"/>
      <c r="D4371" s="8"/>
      <c r="E4371" s="8"/>
      <c r="F4371" s="8"/>
      <c r="G4371" s="8"/>
      <c r="H4371" s="8"/>
      <c r="I4371" s="8"/>
      <c r="J4371" s="8"/>
      <c r="K4371" s="10"/>
      <c r="L4371" s="8"/>
      <c r="M4371" s="8"/>
      <c r="N4371" s="11"/>
      <c r="O4371" s="11"/>
      <c r="P4371" s="11"/>
      <c r="Q4371" s="11"/>
      <c r="R4371" s="11"/>
      <c r="S4371" s="12"/>
      <c r="T4371" s="8"/>
      <c r="U4371" s="8"/>
      <c r="V4371" s="13"/>
      <c r="W4371" s="13"/>
      <c r="X4371" s="12"/>
      <c r="Y4371" s="14"/>
      <c r="Z4371" s="14"/>
    </row>
    <row r="4372">
      <c r="A4372" s="8"/>
      <c r="B4372" s="8"/>
      <c r="C4372" s="8"/>
      <c r="D4372" s="8"/>
      <c r="E4372" s="8"/>
      <c r="F4372" s="8"/>
      <c r="G4372" s="8"/>
      <c r="H4372" s="8"/>
      <c r="I4372" s="8"/>
      <c r="J4372" s="8"/>
      <c r="K4372" s="10"/>
      <c r="L4372" s="8"/>
      <c r="M4372" s="8"/>
      <c r="N4372" s="11"/>
      <c r="O4372" s="11"/>
      <c r="P4372" s="11"/>
      <c r="Q4372" s="11"/>
      <c r="R4372" s="11"/>
      <c r="S4372" s="12"/>
      <c r="T4372" s="8"/>
      <c r="U4372" s="8"/>
      <c r="V4372" s="13"/>
      <c r="W4372" s="13"/>
      <c r="X4372" s="12"/>
      <c r="Y4372" s="14"/>
      <c r="Z4372" s="14"/>
    </row>
    <row r="4373">
      <c r="A4373" s="8"/>
      <c r="B4373" s="8"/>
      <c r="C4373" s="8"/>
      <c r="D4373" s="8"/>
      <c r="E4373" s="8"/>
      <c r="F4373" s="8"/>
      <c r="G4373" s="8"/>
      <c r="H4373" s="8"/>
      <c r="I4373" s="8"/>
      <c r="J4373" s="8"/>
      <c r="K4373" s="10"/>
      <c r="L4373" s="8"/>
      <c r="M4373" s="8"/>
      <c r="N4373" s="11"/>
      <c r="O4373" s="11"/>
      <c r="P4373" s="11"/>
      <c r="Q4373" s="11"/>
      <c r="R4373" s="11"/>
      <c r="S4373" s="12"/>
      <c r="T4373" s="8"/>
      <c r="U4373" s="8"/>
      <c r="V4373" s="13"/>
      <c r="W4373" s="13"/>
      <c r="X4373" s="12"/>
      <c r="Y4373" s="14"/>
      <c r="Z4373" s="14"/>
    </row>
    <row r="4374">
      <c r="A4374" s="8"/>
      <c r="B4374" s="8"/>
      <c r="C4374" s="8"/>
      <c r="D4374" s="8"/>
      <c r="E4374" s="8"/>
      <c r="F4374" s="8"/>
      <c r="G4374" s="8"/>
      <c r="H4374" s="8"/>
      <c r="I4374" s="8"/>
      <c r="J4374" s="8"/>
      <c r="K4374" s="10"/>
      <c r="L4374" s="8"/>
      <c r="M4374" s="8"/>
      <c r="N4374" s="11"/>
      <c r="O4374" s="11"/>
      <c r="P4374" s="11"/>
      <c r="Q4374" s="11"/>
      <c r="R4374" s="11"/>
      <c r="S4374" s="12"/>
      <c r="T4374" s="8"/>
      <c r="U4374" s="8"/>
      <c r="V4374" s="13"/>
      <c r="W4374" s="13"/>
      <c r="X4374" s="12"/>
      <c r="Y4374" s="14"/>
      <c r="Z4374" s="14"/>
    </row>
    <row r="4375">
      <c r="A4375" s="8"/>
      <c r="B4375" s="8"/>
      <c r="C4375" s="8"/>
      <c r="D4375" s="8"/>
      <c r="E4375" s="8"/>
      <c r="F4375" s="8"/>
      <c r="G4375" s="8"/>
      <c r="H4375" s="8"/>
      <c r="I4375" s="8"/>
      <c r="J4375" s="8"/>
      <c r="K4375" s="10"/>
      <c r="L4375" s="8"/>
      <c r="M4375" s="8"/>
      <c r="N4375" s="11"/>
      <c r="O4375" s="11"/>
      <c r="P4375" s="11"/>
      <c r="Q4375" s="11"/>
      <c r="R4375" s="11"/>
      <c r="S4375" s="12"/>
      <c r="T4375" s="8"/>
      <c r="U4375" s="8"/>
      <c r="V4375" s="13"/>
      <c r="W4375" s="13"/>
      <c r="X4375" s="12"/>
      <c r="Y4375" s="14"/>
      <c r="Z4375" s="14"/>
    </row>
    <row r="4376">
      <c r="A4376" s="8"/>
      <c r="B4376" s="8"/>
      <c r="C4376" s="8"/>
      <c r="D4376" s="8"/>
      <c r="E4376" s="8"/>
      <c r="F4376" s="8"/>
      <c r="G4376" s="8"/>
      <c r="H4376" s="8"/>
      <c r="I4376" s="8"/>
      <c r="J4376" s="8"/>
      <c r="K4376" s="10"/>
      <c r="L4376" s="8"/>
      <c r="M4376" s="8"/>
      <c r="N4376" s="11"/>
      <c r="O4376" s="11"/>
      <c r="P4376" s="11"/>
      <c r="Q4376" s="11"/>
      <c r="R4376" s="11"/>
      <c r="S4376" s="12"/>
      <c r="T4376" s="8"/>
      <c r="U4376" s="8"/>
      <c r="V4376" s="13"/>
      <c r="W4376" s="13"/>
      <c r="X4376" s="12"/>
      <c r="Y4376" s="14"/>
      <c r="Z4376" s="14"/>
    </row>
    <row r="4377">
      <c r="A4377" s="8"/>
      <c r="B4377" s="8"/>
      <c r="C4377" s="8"/>
      <c r="D4377" s="8"/>
      <c r="E4377" s="8"/>
      <c r="F4377" s="8"/>
      <c r="G4377" s="8"/>
      <c r="H4377" s="8"/>
      <c r="I4377" s="8"/>
      <c r="J4377" s="8"/>
      <c r="K4377" s="10"/>
      <c r="L4377" s="8"/>
      <c r="M4377" s="8"/>
      <c r="N4377" s="11"/>
      <c r="O4377" s="11"/>
      <c r="P4377" s="11"/>
      <c r="Q4377" s="11"/>
      <c r="R4377" s="11"/>
      <c r="S4377" s="12"/>
      <c r="T4377" s="8"/>
      <c r="U4377" s="8"/>
      <c r="V4377" s="13"/>
      <c r="W4377" s="13"/>
      <c r="X4377" s="12"/>
      <c r="Y4377" s="14"/>
      <c r="Z4377" s="14"/>
    </row>
    <row r="4378">
      <c r="A4378" s="8"/>
      <c r="B4378" s="8"/>
      <c r="C4378" s="8"/>
      <c r="D4378" s="8"/>
      <c r="E4378" s="8"/>
      <c r="F4378" s="8"/>
      <c r="G4378" s="8"/>
      <c r="H4378" s="8"/>
      <c r="I4378" s="8"/>
      <c r="J4378" s="8"/>
      <c r="K4378" s="10"/>
      <c r="L4378" s="8"/>
      <c r="M4378" s="8"/>
      <c r="N4378" s="11"/>
      <c r="O4378" s="11"/>
      <c r="P4378" s="11"/>
      <c r="Q4378" s="11"/>
      <c r="R4378" s="11"/>
      <c r="S4378" s="12"/>
      <c r="T4378" s="8"/>
      <c r="U4378" s="8"/>
      <c r="V4378" s="13"/>
      <c r="W4378" s="13"/>
      <c r="X4378" s="12"/>
      <c r="Y4378" s="14"/>
      <c r="Z4378" s="14"/>
    </row>
    <row r="4379">
      <c r="A4379" s="8"/>
      <c r="B4379" s="8"/>
      <c r="C4379" s="8"/>
      <c r="D4379" s="8"/>
      <c r="E4379" s="8"/>
      <c r="F4379" s="8"/>
      <c r="G4379" s="8"/>
      <c r="H4379" s="8"/>
      <c r="I4379" s="8"/>
      <c r="J4379" s="8"/>
      <c r="K4379" s="10"/>
      <c r="L4379" s="8"/>
      <c r="M4379" s="8"/>
      <c r="N4379" s="11"/>
      <c r="O4379" s="11"/>
      <c r="P4379" s="11"/>
      <c r="Q4379" s="11"/>
      <c r="R4379" s="11"/>
      <c r="S4379" s="12"/>
      <c r="T4379" s="8"/>
      <c r="U4379" s="8"/>
      <c r="V4379" s="13"/>
      <c r="W4379" s="13"/>
      <c r="X4379" s="12"/>
      <c r="Y4379" s="14"/>
      <c r="Z4379" s="14"/>
    </row>
    <row r="4380">
      <c r="A4380" s="8"/>
      <c r="B4380" s="8"/>
      <c r="C4380" s="8"/>
      <c r="D4380" s="8"/>
      <c r="E4380" s="8"/>
      <c r="F4380" s="8"/>
      <c r="G4380" s="8"/>
      <c r="H4380" s="8"/>
      <c r="I4380" s="8"/>
      <c r="J4380" s="8"/>
      <c r="K4380" s="10"/>
      <c r="L4380" s="8"/>
      <c r="M4380" s="8"/>
      <c r="N4380" s="11"/>
      <c r="O4380" s="11"/>
      <c r="P4380" s="11"/>
      <c r="Q4380" s="11"/>
      <c r="R4380" s="11"/>
      <c r="S4380" s="12"/>
      <c r="T4380" s="8"/>
      <c r="U4380" s="8"/>
      <c r="V4380" s="13"/>
      <c r="W4380" s="13"/>
      <c r="X4380" s="12"/>
      <c r="Y4380" s="14"/>
      <c r="Z4380" s="14"/>
    </row>
    <row r="4381">
      <c r="A4381" s="8"/>
      <c r="B4381" s="8"/>
      <c r="C4381" s="8"/>
      <c r="D4381" s="8"/>
      <c r="E4381" s="8"/>
      <c r="F4381" s="8"/>
      <c r="G4381" s="8"/>
      <c r="H4381" s="8"/>
      <c r="I4381" s="8"/>
      <c r="J4381" s="8"/>
      <c r="K4381" s="10"/>
      <c r="L4381" s="8"/>
      <c r="M4381" s="8"/>
      <c r="N4381" s="11"/>
      <c r="O4381" s="11"/>
      <c r="P4381" s="11"/>
      <c r="Q4381" s="11"/>
      <c r="R4381" s="11"/>
      <c r="S4381" s="12"/>
      <c r="T4381" s="8"/>
      <c r="U4381" s="8"/>
      <c r="V4381" s="13"/>
      <c r="W4381" s="13"/>
      <c r="X4381" s="12"/>
      <c r="Y4381" s="14"/>
      <c r="Z4381" s="14"/>
    </row>
    <row r="4382">
      <c r="A4382" s="8"/>
      <c r="B4382" s="8"/>
      <c r="C4382" s="8"/>
      <c r="D4382" s="8"/>
      <c r="E4382" s="8"/>
      <c r="F4382" s="8"/>
      <c r="G4382" s="8"/>
      <c r="H4382" s="8"/>
      <c r="I4382" s="8"/>
      <c r="J4382" s="8"/>
      <c r="K4382" s="10"/>
      <c r="L4382" s="8"/>
      <c r="M4382" s="8"/>
      <c r="N4382" s="11"/>
      <c r="O4382" s="11"/>
      <c r="P4382" s="11"/>
      <c r="Q4382" s="11"/>
      <c r="R4382" s="11"/>
      <c r="S4382" s="12"/>
      <c r="T4382" s="8"/>
      <c r="U4382" s="8"/>
      <c r="V4382" s="13"/>
      <c r="W4382" s="13"/>
      <c r="X4382" s="12"/>
      <c r="Y4382" s="14"/>
      <c r="Z4382" s="14"/>
    </row>
    <row r="4383">
      <c r="A4383" s="8"/>
      <c r="B4383" s="8"/>
      <c r="C4383" s="8"/>
      <c r="D4383" s="8"/>
      <c r="E4383" s="8"/>
      <c r="F4383" s="8"/>
      <c r="G4383" s="8"/>
      <c r="H4383" s="8"/>
      <c r="I4383" s="8"/>
      <c r="J4383" s="8"/>
      <c r="K4383" s="10"/>
      <c r="L4383" s="8"/>
      <c r="M4383" s="8"/>
      <c r="N4383" s="11"/>
      <c r="O4383" s="11"/>
      <c r="P4383" s="11"/>
      <c r="Q4383" s="11"/>
      <c r="R4383" s="11"/>
      <c r="S4383" s="12"/>
      <c r="T4383" s="8"/>
      <c r="U4383" s="8"/>
      <c r="V4383" s="13"/>
      <c r="W4383" s="13"/>
      <c r="X4383" s="12"/>
      <c r="Y4383" s="14"/>
      <c r="Z4383" s="14"/>
    </row>
    <row r="4384">
      <c r="A4384" s="8"/>
      <c r="B4384" s="8"/>
      <c r="C4384" s="8"/>
      <c r="D4384" s="8"/>
      <c r="E4384" s="8"/>
      <c r="F4384" s="8"/>
      <c r="G4384" s="8"/>
      <c r="H4384" s="8"/>
      <c r="I4384" s="8"/>
      <c r="J4384" s="8"/>
      <c r="K4384" s="10"/>
      <c r="L4384" s="8"/>
      <c r="M4384" s="8"/>
      <c r="N4384" s="11"/>
      <c r="O4384" s="11"/>
      <c r="P4384" s="11"/>
      <c r="Q4384" s="11"/>
      <c r="R4384" s="11"/>
      <c r="S4384" s="12"/>
      <c r="T4384" s="8"/>
      <c r="U4384" s="8"/>
      <c r="V4384" s="13"/>
      <c r="W4384" s="13"/>
      <c r="X4384" s="12"/>
      <c r="Y4384" s="14"/>
      <c r="Z4384" s="14"/>
    </row>
    <row r="4385">
      <c r="A4385" s="8"/>
      <c r="B4385" s="8"/>
      <c r="C4385" s="8"/>
      <c r="D4385" s="8"/>
      <c r="E4385" s="8"/>
      <c r="F4385" s="8"/>
      <c r="G4385" s="8"/>
      <c r="H4385" s="8"/>
      <c r="I4385" s="8"/>
      <c r="J4385" s="8"/>
      <c r="K4385" s="10"/>
      <c r="L4385" s="8"/>
      <c r="M4385" s="8"/>
      <c r="N4385" s="11"/>
      <c r="O4385" s="11"/>
      <c r="P4385" s="11"/>
      <c r="Q4385" s="11"/>
      <c r="R4385" s="11"/>
      <c r="S4385" s="12"/>
      <c r="T4385" s="8"/>
      <c r="U4385" s="8"/>
      <c r="V4385" s="13"/>
      <c r="W4385" s="13"/>
      <c r="X4385" s="12"/>
      <c r="Y4385" s="14"/>
      <c r="Z4385" s="14"/>
    </row>
    <row r="4386">
      <c r="A4386" s="8"/>
      <c r="B4386" s="8"/>
      <c r="C4386" s="8"/>
      <c r="D4386" s="8"/>
      <c r="E4386" s="8"/>
      <c r="F4386" s="8"/>
      <c r="G4386" s="8"/>
      <c r="H4386" s="8"/>
      <c r="I4386" s="8"/>
      <c r="J4386" s="8"/>
      <c r="K4386" s="10"/>
      <c r="L4386" s="8"/>
      <c r="M4386" s="8"/>
      <c r="N4386" s="11"/>
      <c r="O4386" s="11"/>
      <c r="P4386" s="11"/>
      <c r="Q4386" s="11"/>
      <c r="R4386" s="11"/>
      <c r="S4386" s="12"/>
      <c r="T4386" s="8"/>
      <c r="U4386" s="8"/>
      <c r="V4386" s="13"/>
      <c r="W4386" s="13"/>
      <c r="X4386" s="12"/>
      <c r="Y4386" s="14"/>
      <c r="Z4386" s="14"/>
    </row>
    <row r="4387">
      <c r="A4387" s="8"/>
      <c r="B4387" s="8"/>
      <c r="C4387" s="8"/>
      <c r="D4387" s="8"/>
      <c r="E4387" s="8"/>
      <c r="F4387" s="8"/>
      <c r="G4387" s="8"/>
      <c r="H4387" s="8"/>
      <c r="I4387" s="8"/>
      <c r="J4387" s="8"/>
      <c r="K4387" s="10"/>
      <c r="L4387" s="8"/>
      <c r="M4387" s="8"/>
      <c r="N4387" s="11"/>
      <c r="O4387" s="11"/>
      <c r="P4387" s="11"/>
      <c r="Q4387" s="11"/>
      <c r="R4387" s="11"/>
      <c r="S4387" s="12"/>
      <c r="T4387" s="8"/>
      <c r="U4387" s="8"/>
      <c r="V4387" s="13"/>
      <c r="W4387" s="13"/>
      <c r="X4387" s="12"/>
      <c r="Y4387" s="14"/>
      <c r="Z4387" s="14"/>
    </row>
    <row r="4388">
      <c r="A4388" s="8"/>
      <c r="B4388" s="8"/>
      <c r="C4388" s="8"/>
      <c r="D4388" s="8"/>
      <c r="E4388" s="8"/>
      <c r="F4388" s="8"/>
      <c r="G4388" s="8"/>
      <c r="H4388" s="8"/>
      <c r="I4388" s="8"/>
      <c r="J4388" s="8"/>
      <c r="K4388" s="10"/>
      <c r="L4388" s="8"/>
      <c r="M4388" s="8"/>
      <c r="N4388" s="11"/>
      <c r="O4388" s="11"/>
      <c r="P4388" s="11"/>
      <c r="Q4388" s="11"/>
      <c r="R4388" s="11"/>
      <c r="S4388" s="12"/>
      <c r="T4388" s="8"/>
      <c r="U4388" s="8"/>
      <c r="V4388" s="13"/>
      <c r="W4388" s="13"/>
      <c r="X4388" s="12"/>
      <c r="Y4388" s="14"/>
      <c r="Z4388" s="14"/>
    </row>
    <row r="4389">
      <c r="A4389" s="8"/>
      <c r="B4389" s="8"/>
      <c r="C4389" s="8"/>
      <c r="D4389" s="8"/>
      <c r="E4389" s="8"/>
      <c r="F4389" s="8"/>
      <c r="G4389" s="8"/>
      <c r="H4389" s="8"/>
      <c r="I4389" s="8"/>
      <c r="J4389" s="8"/>
      <c r="K4389" s="10"/>
      <c r="L4389" s="8"/>
      <c r="M4389" s="8"/>
      <c r="N4389" s="11"/>
      <c r="O4389" s="11"/>
      <c r="P4389" s="11"/>
      <c r="Q4389" s="11"/>
      <c r="R4389" s="11"/>
      <c r="S4389" s="12"/>
      <c r="T4389" s="8"/>
      <c r="U4389" s="8"/>
      <c r="V4389" s="13"/>
      <c r="W4389" s="13"/>
      <c r="X4389" s="12"/>
      <c r="Y4389" s="14"/>
      <c r="Z4389" s="14"/>
    </row>
    <row r="4390">
      <c r="A4390" s="8"/>
      <c r="B4390" s="8"/>
      <c r="C4390" s="8"/>
      <c r="D4390" s="8"/>
      <c r="E4390" s="8"/>
      <c r="F4390" s="8"/>
      <c r="G4390" s="8"/>
      <c r="H4390" s="8"/>
      <c r="I4390" s="8"/>
      <c r="J4390" s="8"/>
      <c r="K4390" s="10"/>
      <c r="L4390" s="8"/>
      <c r="M4390" s="8"/>
      <c r="N4390" s="11"/>
      <c r="O4390" s="11"/>
      <c r="P4390" s="11"/>
      <c r="Q4390" s="11"/>
      <c r="R4390" s="11"/>
      <c r="S4390" s="12"/>
      <c r="T4390" s="8"/>
      <c r="U4390" s="8"/>
      <c r="V4390" s="13"/>
      <c r="W4390" s="13"/>
      <c r="X4390" s="12"/>
      <c r="Y4390" s="14"/>
      <c r="Z4390" s="14"/>
    </row>
    <row r="4391">
      <c r="A4391" s="8"/>
      <c r="B4391" s="8"/>
      <c r="C4391" s="8"/>
      <c r="D4391" s="8"/>
      <c r="E4391" s="8"/>
      <c r="F4391" s="8"/>
      <c r="G4391" s="8"/>
      <c r="H4391" s="8"/>
      <c r="I4391" s="8"/>
      <c r="J4391" s="8"/>
      <c r="K4391" s="10"/>
      <c r="L4391" s="8"/>
      <c r="M4391" s="8"/>
      <c r="N4391" s="11"/>
      <c r="O4391" s="11"/>
      <c r="P4391" s="11"/>
      <c r="Q4391" s="11"/>
      <c r="R4391" s="11"/>
      <c r="S4391" s="12"/>
      <c r="T4391" s="8"/>
      <c r="U4391" s="8"/>
      <c r="V4391" s="13"/>
      <c r="W4391" s="13"/>
      <c r="X4391" s="12"/>
      <c r="Y4391" s="14"/>
      <c r="Z4391" s="14"/>
    </row>
    <row r="4392">
      <c r="A4392" s="8"/>
      <c r="B4392" s="8"/>
      <c r="C4392" s="8"/>
      <c r="D4392" s="8"/>
      <c r="E4392" s="8"/>
      <c r="F4392" s="8"/>
      <c r="G4392" s="8"/>
      <c r="H4392" s="8"/>
      <c r="I4392" s="8"/>
      <c r="J4392" s="8"/>
      <c r="K4392" s="10"/>
      <c r="L4392" s="8"/>
      <c r="M4392" s="8"/>
      <c r="N4392" s="11"/>
      <c r="O4392" s="11"/>
      <c r="P4392" s="11"/>
      <c r="Q4392" s="11"/>
      <c r="R4392" s="11"/>
      <c r="S4392" s="12"/>
      <c r="T4392" s="8"/>
      <c r="U4392" s="8"/>
      <c r="V4392" s="13"/>
      <c r="W4392" s="13"/>
      <c r="X4392" s="12"/>
      <c r="Y4392" s="14"/>
      <c r="Z4392" s="14"/>
    </row>
    <row r="4393">
      <c r="A4393" s="8"/>
      <c r="B4393" s="8"/>
      <c r="C4393" s="8"/>
      <c r="D4393" s="8"/>
      <c r="E4393" s="8"/>
      <c r="F4393" s="8"/>
      <c r="G4393" s="8"/>
      <c r="H4393" s="8"/>
      <c r="I4393" s="8"/>
      <c r="J4393" s="8"/>
      <c r="K4393" s="10"/>
      <c r="L4393" s="8"/>
      <c r="M4393" s="8"/>
      <c r="N4393" s="11"/>
      <c r="O4393" s="11"/>
      <c r="P4393" s="11"/>
      <c r="Q4393" s="11"/>
      <c r="R4393" s="11"/>
      <c r="S4393" s="12"/>
      <c r="T4393" s="8"/>
      <c r="U4393" s="8"/>
      <c r="V4393" s="13"/>
      <c r="W4393" s="13"/>
      <c r="X4393" s="12"/>
      <c r="Y4393" s="14"/>
      <c r="Z4393" s="14"/>
    </row>
    <row r="4394">
      <c r="A4394" s="8"/>
      <c r="B4394" s="8"/>
      <c r="C4394" s="8"/>
      <c r="D4394" s="8"/>
      <c r="E4394" s="8"/>
      <c r="F4394" s="8"/>
      <c r="G4394" s="8"/>
      <c r="H4394" s="8"/>
      <c r="I4394" s="8"/>
      <c r="J4394" s="8"/>
      <c r="K4394" s="10"/>
      <c r="L4394" s="8"/>
      <c r="M4394" s="8"/>
      <c r="N4394" s="11"/>
      <c r="O4394" s="11"/>
      <c r="P4394" s="11"/>
      <c r="Q4394" s="11"/>
      <c r="R4394" s="11"/>
      <c r="S4394" s="12"/>
      <c r="T4394" s="8"/>
      <c r="U4394" s="8"/>
      <c r="V4394" s="13"/>
      <c r="W4394" s="13"/>
      <c r="X4394" s="12"/>
      <c r="Y4394" s="14"/>
      <c r="Z4394" s="14"/>
    </row>
    <row r="4395">
      <c r="A4395" s="8"/>
      <c r="B4395" s="8"/>
      <c r="C4395" s="8"/>
      <c r="D4395" s="8"/>
      <c r="E4395" s="8"/>
      <c r="F4395" s="8"/>
      <c r="G4395" s="8"/>
      <c r="H4395" s="8"/>
      <c r="I4395" s="8"/>
      <c r="J4395" s="8"/>
      <c r="K4395" s="10"/>
      <c r="L4395" s="8"/>
      <c r="M4395" s="8"/>
      <c r="N4395" s="11"/>
      <c r="O4395" s="11"/>
      <c r="P4395" s="11"/>
      <c r="Q4395" s="11"/>
      <c r="R4395" s="11"/>
      <c r="S4395" s="12"/>
      <c r="T4395" s="8"/>
      <c r="U4395" s="8"/>
      <c r="V4395" s="13"/>
      <c r="W4395" s="13"/>
      <c r="X4395" s="12"/>
      <c r="Y4395" s="14"/>
      <c r="Z4395" s="14"/>
    </row>
    <row r="4396">
      <c r="A4396" s="8"/>
      <c r="B4396" s="8"/>
      <c r="C4396" s="8"/>
      <c r="D4396" s="8"/>
      <c r="E4396" s="8"/>
      <c r="F4396" s="8"/>
      <c r="G4396" s="8"/>
      <c r="H4396" s="8"/>
      <c r="I4396" s="8"/>
      <c r="J4396" s="8"/>
      <c r="K4396" s="10"/>
      <c r="L4396" s="8"/>
      <c r="M4396" s="8"/>
      <c r="N4396" s="11"/>
      <c r="O4396" s="11"/>
      <c r="P4396" s="11"/>
      <c r="Q4396" s="11"/>
      <c r="R4396" s="11"/>
      <c r="S4396" s="12"/>
      <c r="T4396" s="8"/>
      <c r="U4396" s="8"/>
      <c r="V4396" s="13"/>
      <c r="W4396" s="13"/>
      <c r="X4396" s="12"/>
      <c r="Y4396" s="14"/>
      <c r="Z4396" s="14"/>
    </row>
    <row r="4397">
      <c r="A4397" s="8"/>
      <c r="B4397" s="8"/>
      <c r="C4397" s="8"/>
      <c r="D4397" s="8"/>
      <c r="E4397" s="8"/>
      <c r="F4397" s="8"/>
      <c r="G4397" s="8"/>
      <c r="H4397" s="8"/>
      <c r="I4397" s="8"/>
      <c r="J4397" s="8"/>
      <c r="K4397" s="10"/>
      <c r="L4397" s="8"/>
      <c r="M4397" s="8"/>
      <c r="N4397" s="11"/>
      <c r="O4397" s="11"/>
      <c r="P4397" s="11"/>
      <c r="Q4397" s="11"/>
      <c r="R4397" s="11"/>
      <c r="S4397" s="12"/>
      <c r="T4397" s="8"/>
      <c r="U4397" s="8"/>
      <c r="V4397" s="13"/>
      <c r="W4397" s="13"/>
      <c r="X4397" s="12"/>
      <c r="Y4397" s="14"/>
      <c r="Z4397" s="14"/>
    </row>
    <row r="4398">
      <c r="A4398" s="8"/>
      <c r="B4398" s="8"/>
      <c r="C4398" s="8"/>
      <c r="D4398" s="8"/>
      <c r="E4398" s="8"/>
      <c r="F4398" s="8"/>
      <c r="G4398" s="8"/>
      <c r="H4398" s="8"/>
      <c r="I4398" s="8"/>
      <c r="J4398" s="8"/>
      <c r="K4398" s="10"/>
      <c r="L4398" s="8"/>
      <c r="M4398" s="8"/>
      <c r="N4398" s="11"/>
      <c r="O4398" s="11"/>
      <c r="P4398" s="11"/>
      <c r="Q4398" s="11"/>
      <c r="R4398" s="11"/>
      <c r="S4398" s="12"/>
      <c r="T4398" s="8"/>
      <c r="U4398" s="8"/>
      <c r="V4398" s="13"/>
      <c r="W4398" s="13"/>
      <c r="X4398" s="12"/>
      <c r="Y4398" s="14"/>
      <c r="Z4398" s="14"/>
    </row>
    <row r="4399">
      <c r="A4399" s="8"/>
      <c r="B4399" s="8"/>
      <c r="C4399" s="8"/>
      <c r="D4399" s="8"/>
      <c r="E4399" s="8"/>
      <c r="F4399" s="8"/>
      <c r="G4399" s="8"/>
      <c r="H4399" s="8"/>
      <c r="I4399" s="8"/>
      <c r="J4399" s="8"/>
      <c r="K4399" s="10"/>
      <c r="L4399" s="8"/>
      <c r="M4399" s="8"/>
      <c r="N4399" s="11"/>
      <c r="O4399" s="11"/>
      <c r="P4399" s="11"/>
      <c r="Q4399" s="11"/>
      <c r="R4399" s="11"/>
      <c r="S4399" s="12"/>
      <c r="T4399" s="8"/>
      <c r="U4399" s="8"/>
      <c r="V4399" s="13"/>
      <c r="W4399" s="13"/>
      <c r="X4399" s="12"/>
      <c r="Y4399" s="14"/>
      <c r="Z4399" s="14"/>
    </row>
    <row r="4400">
      <c r="A4400" s="8"/>
      <c r="B4400" s="8"/>
      <c r="C4400" s="8"/>
      <c r="D4400" s="8"/>
      <c r="E4400" s="8"/>
      <c r="F4400" s="8"/>
      <c r="G4400" s="8"/>
      <c r="H4400" s="8"/>
      <c r="I4400" s="8"/>
      <c r="J4400" s="8"/>
      <c r="K4400" s="10"/>
      <c r="L4400" s="8"/>
      <c r="M4400" s="8"/>
      <c r="N4400" s="11"/>
      <c r="O4400" s="11"/>
      <c r="P4400" s="11"/>
      <c r="Q4400" s="11"/>
      <c r="R4400" s="11"/>
      <c r="S4400" s="12"/>
      <c r="T4400" s="8"/>
      <c r="U4400" s="8"/>
      <c r="V4400" s="13"/>
      <c r="W4400" s="13"/>
      <c r="X4400" s="12"/>
      <c r="Y4400" s="14"/>
      <c r="Z4400" s="14"/>
    </row>
    <row r="4401">
      <c r="A4401" s="8"/>
      <c r="B4401" s="8"/>
      <c r="C4401" s="8"/>
      <c r="D4401" s="8"/>
      <c r="E4401" s="8"/>
      <c r="F4401" s="8"/>
      <c r="G4401" s="8"/>
      <c r="H4401" s="8"/>
      <c r="I4401" s="8"/>
      <c r="J4401" s="8"/>
      <c r="K4401" s="10"/>
      <c r="L4401" s="8"/>
      <c r="M4401" s="8"/>
      <c r="N4401" s="11"/>
      <c r="O4401" s="11"/>
      <c r="P4401" s="11"/>
      <c r="Q4401" s="11"/>
      <c r="R4401" s="11"/>
      <c r="S4401" s="12"/>
      <c r="T4401" s="8"/>
      <c r="U4401" s="8"/>
      <c r="V4401" s="13"/>
      <c r="W4401" s="13"/>
      <c r="X4401" s="12"/>
      <c r="Y4401" s="14"/>
      <c r="Z4401" s="14"/>
    </row>
    <row r="4402">
      <c r="A4402" s="8"/>
      <c r="B4402" s="8"/>
      <c r="C4402" s="8"/>
      <c r="D4402" s="8"/>
      <c r="E4402" s="8"/>
      <c r="F4402" s="8"/>
      <c r="G4402" s="8"/>
      <c r="H4402" s="8"/>
      <c r="I4402" s="8"/>
      <c r="J4402" s="8"/>
      <c r="K4402" s="10"/>
      <c r="L4402" s="8"/>
      <c r="M4402" s="8"/>
      <c r="N4402" s="11"/>
      <c r="O4402" s="11"/>
      <c r="P4402" s="11"/>
      <c r="Q4402" s="11"/>
      <c r="R4402" s="11"/>
      <c r="S4402" s="12"/>
      <c r="T4402" s="8"/>
      <c r="U4402" s="8"/>
      <c r="V4402" s="13"/>
      <c r="W4402" s="13"/>
      <c r="X4402" s="12"/>
      <c r="Y4402" s="14"/>
      <c r="Z4402" s="14"/>
    </row>
    <row r="4403">
      <c r="A4403" s="8"/>
      <c r="B4403" s="8"/>
      <c r="C4403" s="8"/>
      <c r="D4403" s="8"/>
      <c r="E4403" s="8"/>
      <c r="F4403" s="8"/>
      <c r="G4403" s="8"/>
      <c r="H4403" s="8"/>
      <c r="I4403" s="8"/>
      <c r="J4403" s="8"/>
      <c r="K4403" s="10"/>
      <c r="L4403" s="8"/>
      <c r="M4403" s="8"/>
      <c r="N4403" s="11"/>
      <c r="O4403" s="11"/>
      <c r="P4403" s="11"/>
      <c r="Q4403" s="11"/>
      <c r="R4403" s="11"/>
      <c r="S4403" s="12"/>
      <c r="T4403" s="8"/>
      <c r="U4403" s="8"/>
      <c r="V4403" s="13"/>
      <c r="W4403" s="13"/>
      <c r="X4403" s="12"/>
      <c r="Y4403" s="14"/>
      <c r="Z4403" s="14"/>
    </row>
    <row r="4404">
      <c r="A4404" s="8"/>
      <c r="B4404" s="8"/>
      <c r="C4404" s="8"/>
      <c r="D4404" s="8"/>
      <c r="E4404" s="8"/>
      <c r="F4404" s="8"/>
      <c r="G4404" s="8"/>
      <c r="H4404" s="8"/>
      <c r="I4404" s="8"/>
      <c r="J4404" s="8"/>
      <c r="K4404" s="10"/>
      <c r="L4404" s="8"/>
      <c r="M4404" s="8"/>
      <c r="N4404" s="11"/>
      <c r="O4404" s="11"/>
      <c r="P4404" s="11"/>
      <c r="Q4404" s="11"/>
      <c r="R4404" s="11"/>
      <c r="S4404" s="12"/>
      <c r="T4404" s="8"/>
      <c r="U4404" s="8"/>
      <c r="V4404" s="13"/>
      <c r="W4404" s="13"/>
      <c r="X4404" s="12"/>
      <c r="Y4404" s="14"/>
      <c r="Z4404" s="14"/>
    </row>
    <row r="4405">
      <c r="A4405" s="8"/>
      <c r="B4405" s="8"/>
      <c r="C4405" s="8"/>
      <c r="D4405" s="8"/>
      <c r="E4405" s="8"/>
      <c r="F4405" s="8"/>
      <c r="G4405" s="8"/>
      <c r="H4405" s="8"/>
      <c r="I4405" s="8"/>
      <c r="J4405" s="8"/>
      <c r="K4405" s="10"/>
      <c r="L4405" s="8"/>
      <c r="M4405" s="8"/>
      <c r="N4405" s="11"/>
      <c r="O4405" s="11"/>
      <c r="P4405" s="11"/>
      <c r="Q4405" s="11"/>
      <c r="R4405" s="11"/>
      <c r="S4405" s="12"/>
      <c r="T4405" s="8"/>
      <c r="U4405" s="8"/>
      <c r="V4405" s="13"/>
      <c r="W4405" s="13"/>
      <c r="X4405" s="12"/>
      <c r="Y4405" s="14"/>
      <c r="Z4405" s="14"/>
    </row>
    <row r="4406">
      <c r="A4406" s="8"/>
      <c r="B4406" s="8"/>
      <c r="C4406" s="8"/>
      <c r="D4406" s="8"/>
      <c r="E4406" s="8"/>
      <c r="F4406" s="8"/>
      <c r="G4406" s="8"/>
      <c r="H4406" s="8"/>
      <c r="I4406" s="8"/>
      <c r="J4406" s="8"/>
      <c r="K4406" s="10"/>
      <c r="L4406" s="8"/>
      <c r="M4406" s="8"/>
      <c r="N4406" s="11"/>
      <c r="O4406" s="11"/>
      <c r="P4406" s="11"/>
      <c r="Q4406" s="11"/>
      <c r="R4406" s="11"/>
      <c r="S4406" s="12"/>
      <c r="T4406" s="8"/>
      <c r="U4406" s="8"/>
      <c r="V4406" s="13"/>
      <c r="W4406" s="13"/>
      <c r="X4406" s="12"/>
      <c r="Y4406" s="14"/>
      <c r="Z4406" s="14"/>
    </row>
    <row r="4407">
      <c r="A4407" s="8"/>
      <c r="B4407" s="8"/>
      <c r="C4407" s="8"/>
      <c r="D4407" s="8"/>
      <c r="E4407" s="8"/>
      <c r="F4407" s="8"/>
      <c r="G4407" s="8"/>
      <c r="H4407" s="8"/>
      <c r="I4407" s="8"/>
      <c r="J4407" s="8"/>
      <c r="K4407" s="10"/>
      <c r="L4407" s="8"/>
      <c r="M4407" s="8"/>
      <c r="N4407" s="11"/>
      <c r="O4407" s="11"/>
      <c r="P4407" s="11"/>
      <c r="Q4407" s="11"/>
      <c r="R4407" s="11"/>
      <c r="S4407" s="12"/>
      <c r="T4407" s="8"/>
      <c r="U4407" s="8"/>
      <c r="V4407" s="13"/>
      <c r="W4407" s="13"/>
      <c r="X4407" s="12"/>
      <c r="Y4407" s="14"/>
      <c r="Z4407" s="14"/>
    </row>
    <row r="4408">
      <c r="A4408" s="8"/>
      <c r="B4408" s="8"/>
      <c r="C4408" s="8"/>
      <c r="D4408" s="8"/>
      <c r="E4408" s="8"/>
      <c r="F4408" s="8"/>
      <c r="G4408" s="8"/>
      <c r="H4408" s="8"/>
      <c r="I4408" s="8"/>
      <c r="J4408" s="8"/>
      <c r="K4408" s="10"/>
      <c r="L4408" s="8"/>
      <c r="M4408" s="8"/>
      <c r="N4408" s="11"/>
      <c r="O4408" s="11"/>
      <c r="P4408" s="11"/>
      <c r="Q4408" s="11"/>
      <c r="R4408" s="11"/>
      <c r="S4408" s="12"/>
      <c r="T4408" s="8"/>
      <c r="U4408" s="8"/>
      <c r="V4408" s="13"/>
      <c r="W4408" s="13"/>
      <c r="X4408" s="12"/>
      <c r="Y4408" s="14"/>
      <c r="Z4408" s="14"/>
    </row>
    <row r="4409">
      <c r="A4409" s="8"/>
      <c r="B4409" s="8"/>
      <c r="C4409" s="8"/>
      <c r="D4409" s="8"/>
      <c r="E4409" s="8"/>
      <c r="F4409" s="8"/>
      <c r="G4409" s="8"/>
      <c r="H4409" s="8"/>
      <c r="I4409" s="8"/>
      <c r="J4409" s="8"/>
      <c r="K4409" s="10"/>
      <c r="L4409" s="8"/>
      <c r="M4409" s="8"/>
      <c r="N4409" s="11"/>
      <c r="O4409" s="11"/>
      <c r="P4409" s="11"/>
      <c r="Q4409" s="11"/>
      <c r="R4409" s="11"/>
      <c r="S4409" s="12"/>
      <c r="T4409" s="8"/>
      <c r="U4409" s="8"/>
      <c r="V4409" s="13"/>
      <c r="W4409" s="13"/>
      <c r="X4409" s="12"/>
      <c r="Y4409" s="14"/>
      <c r="Z4409" s="14"/>
    </row>
    <row r="4410">
      <c r="A4410" s="8"/>
      <c r="B4410" s="8"/>
      <c r="C4410" s="8"/>
      <c r="D4410" s="8"/>
      <c r="E4410" s="8"/>
      <c r="F4410" s="8"/>
      <c r="G4410" s="8"/>
      <c r="H4410" s="8"/>
      <c r="I4410" s="8"/>
      <c r="J4410" s="8"/>
      <c r="K4410" s="10"/>
      <c r="L4410" s="8"/>
      <c r="M4410" s="8"/>
      <c r="N4410" s="11"/>
      <c r="O4410" s="11"/>
      <c r="P4410" s="11"/>
      <c r="Q4410" s="11"/>
      <c r="R4410" s="11"/>
      <c r="S4410" s="12"/>
      <c r="T4410" s="8"/>
      <c r="U4410" s="8"/>
      <c r="V4410" s="13"/>
      <c r="W4410" s="13"/>
      <c r="X4410" s="12"/>
      <c r="Y4410" s="14"/>
      <c r="Z4410" s="14"/>
    </row>
    <row r="4411">
      <c r="A4411" s="8"/>
      <c r="B4411" s="8"/>
      <c r="C4411" s="8"/>
      <c r="D4411" s="8"/>
      <c r="E4411" s="8"/>
      <c r="F4411" s="8"/>
      <c r="G4411" s="8"/>
      <c r="H4411" s="8"/>
      <c r="I4411" s="8"/>
      <c r="J4411" s="8"/>
      <c r="K4411" s="10"/>
      <c r="L4411" s="8"/>
      <c r="M4411" s="8"/>
      <c r="N4411" s="11"/>
      <c r="O4411" s="11"/>
      <c r="P4411" s="11"/>
      <c r="Q4411" s="11"/>
      <c r="R4411" s="11"/>
      <c r="S4411" s="12"/>
      <c r="T4411" s="8"/>
      <c r="U4411" s="8"/>
      <c r="V4411" s="13"/>
      <c r="W4411" s="13"/>
      <c r="X4411" s="12"/>
      <c r="Y4411" s="14"/>
      <c r="Z4411" s="14"/>
    </row>
    <row r="4412">
      <c r="A4412" s="8"/>
      <c r="B4412" s="8"/>
      <c r="C4412" s="8"/>
      <c r="D4412" s="8"/>
      <c r="E4412" s="8"/>
      <c r="F4412" s="8"/>
      <c r="G4412" s="8"/>
      <c r="H4412" s="8"/>
      <c r="I4412" s="8"/>
      <c r="J4412" s="8"/>
      <c r="K4412" s="10"/>
      <c r="L4412" s="8"/>
      <c r="M4412" s="8"/>
      <c r="N4412" s="11"/>
      <c r="O4412" s="11"/>
      <c r="P4412" s="11"/>
      <c r="Q4412" s="11"/>
      <c r="R4412" s="11"/>
      <c r="S4412" s="12"/>
      <c r="T4412" s="8"/>
      <c r="U4412" s="8"/>
      <c r="V4412" s="13"/>
      <c r="W4412" s="13"/>
      <c r="X4412" s="12"/>
      <c r="Y4412" s="14"/>
      <c r="Z4412" s="14"/>
    </row>
    <row r="4413">
      <c r="A4413" s="8"/>
      <c r="B4413" s="8"/>
      <c r="C4413" s="8"/>
      <c r="D4413" s="8"/>
      <c r="E4413" s="8"/>
      <c r="F4413" s="8"/>
      <c r="G4413" s="8"/>
      <c r="H4413" s="8"/>
      <c r="I4413" s="8"/>
      <c r="J4413" s="8"/>
      <c r="K4413" s="10"/>
      <c r="L4413" s="8"/>
      <c r="M4413" s="8"/>
      <c r="N4413" s="11"/>
      <c r="O4413" s="11"/>
      <c r="P4413" s="11"/>
      <c r="Q4413" s="11"/>
      <c r="R4413" s="11"/>
      <c r="S4413" s="12"/>
      <c r="T4413" s="8"/>
      <c r="U4413" s="8"/>
      <c r="V4413" s="13"/>
      <c r="W4413" s="13"/>
      <c r="X4413" s="12"/>
      <c r="Y4413" s="14"/>
      <c r="Z4413" s="14"/>
    </row>
    <row r="4414">
      <c r="A4414" s="8"/>
      <c r="B4414" s="8"/>
      <c r="C4414" s="8"/>
      <c r="D4414" s="8"/>
      <c r="E4414" s="8"/>
      <c r="F4414" s="8"/>
      <c r="G4414" s="8"/>
      <c r="H4414" s="8"/>
      <c r="I4414" s="8"/>
      <c r="J4414" s="8"/>
      <c r="K4414" s="10"/>
      <c r="L4414" s="8"/>
      <c r="M4414" s="8"/>
      <c r="N4414" s="11"/>
      <c r="O4414" s="11"/>
      <c r="P4414" s="11"/>
      <c r="Q4414" s="11"/>
      <c r="R4414" s="11"/>
      <c r="S4414" s="12"/>
      <c r="T4414" s="8"/>
      <c r="U4414" s="8"/>
      <c r="V4414" s="13"/>
      <c r="W4414" s="13"/>
      <c r="X4414" s="12"/>
      <c r="Y4414" s="14"/>
      <c r="Z4414" s="14"/>
    </row>
    <row r="4415">
      <c r="A4415" s="8"/>
      <c r="B4415" s="8"/>
      <c r="C4415" s="8"/>
      <c r="D4415" s="8"/>
      <c r="E4415" s="8"/>
      <c r="F4415" s="8"/>
      <c r="G4415" s="8"/>
      <c r="H4415" s="8"/>
      <c r="I4415" s="8"/>
      <c r="J4415" s="8"/>
      <c r="K4415" s="10"/>
      <c r="L4415" s="8"/>
      <c r="M4415" s="8"/>
      <c r="N4415" s="11"/>
      <c r="O4415" s="11"/>
      <c r="P4415" s="11"/>
      <c r="Q4415" s="11"/>
      <c r="R4415" s="11"/>
      <c r="S4415" s="12"/>
      <c r="T4415" s="8"/>
      <c r="U4415" s="8"/>
      <c r="V4415" s="13"/>
      <c r="W4415" s="13"/>
      <c r="X4415" s="12"/>
      <c r="Y4415" s="14"/>
      <c r="Z4415" s="14"/>
    </row>
    <row r="4416">
      <c r="A4416" s="8"/>
      <c r="B4416" s="8"/>
      <c r="C4416" s="8"/>
      <c r="D4416" s="8"/>
      <c r="E4416" s="8"/>
      <c r="F4416" s="8"/>
      <c r="G4416" s="8"/>
      <c r="H4416" s="8"/>
      <c r="I4416" s="8"/>
      <c r="J4416" s="8"/>
      <c r="K4416" s="10"/>
      <c r="L4416" s="8"/>
      <c r="M4416" s="8"/>
      <c r="N4416" s="11"/>
      <c r="O4416" s="11"/>
      <c r="P4416" s="11"/>
      <c r="Q4416" s="11"/>
      <c r="R4416" s="11"/>
      <c r="S4416" s="12"/>
      <c r="T4416" s="8"/>
      <c r="U4416" s="8"/>
      <c r="V4416" s="13"/>
      <c r="W4416" s="13"/>
      <c r="X4416" s="12"/>
      <c r="Y4416" s="14"/>
      <c r="Z4416" s="14"/>
    </row>
    <row r="4417">
      <c r="A4417" s="8"/>
      <c r="B4417" s="8"/>
      <c r="C4417" s="8"/>
      <c r="D4417" s="8"/>
      <c r="E4417" s="8"/>
      <c r="F4417" s="8"/>
      <c r="G4417" s="8"/>
      <c r="H4417" s="8"/>
      <c r="I4417" s="8"/>
      <c r="J4417" s="8"/>
      <c r="K4417" s="10"/>
      <c r="L4417" s="8"/>
      <c r="M4417" s="8"/>
      <c r="N4417" s="11"/>
      <c r="O4417" s="11"/>
      <c r="P4417" s="11"/>
      <c r="Q4417" s="11"/>
      <c r="R4417" s="11"/>
      <c r="S4417" s="12"/>
      <c r="T4417" s="8"/>
      <c r="U4417" s="8"/>
      <c r="V4417" s="13"/>
      <c r="W4417" s="13"/>
      <c r="X4417" s="12"/>
      <c r="Y4417" s="14"/>
      <c r="Z4417" s="14"/>
    </row>
    <row r="4418">
      <c r="A4418" s="8"/>
      <c r="B4418" s="8"/>
      <c r="C4418" s="8"/>
      <c r="D4418" s="8"/>
      <c r="E4418" s="8"/>
      <c r="F4418" s="8"/>
      <c r="G4418" s="8"/>
      <c r="H4418" s="8"/>
      <c r="I4418" s="8"/>
      <c r="J4418" s="8"/>
      <c r="K4418" s="10"/>
      <c r="L4418" s="8"/>
      <c r="M4418" s="8"/>
      <c r="N4418" s="11"/>
      <c r="O4418" s="11"/>
      <c r="P4418" s="11"/>
      <c r="Q4418" s="11"/>
      <c r="R4418" s="11"/>
      <c r="S4418" s="12"/>
      <c r="T4418" s="8"/>
      <c r="U4418" s="8"/>
      <c r="V4418" s="13"/>
      <c r="W4418" s="13"/>
      <c r="X4418" s="12"/>
      <c r="Y4418" s="14"/>
      <c r="Z4418" s="14"/>
    </row>
    <row r="4419">
      <c r="A4419" s="8"/>
      <c r="B4419" s="8"/>
      <c r="C4419" s="8"/>
      <c r="D4419" s="8"/>
      <c r="E4419" s="8"/>
      <c r="F4419" s="8"/>
      <c r="G4419" s="8"/>
      <c r="H4419" s="8"/>
      <c r="I4419" s="8"/>
      <c r="J4419" s="8"/>
      <c r="K4419" s="10"/>
      <c r="L4419" s="8"/>
      <c r="M4419" s="8"/>
      <c r="N4419" s="11"/>
      <c r="O4419" s="11"/>
      <c r="P4419" s="11"/>
      <c r="Q4419" s="11"/>
      <c r="R4419" s="11"/>
      <c r="S4419" s="12"/>
      <c r="T4419" s="8"/>
      <c r="U4419" s="8"/>
      <c r="V4419" s="13"/>
      <c r="W4419" s="13"/>
      <c r="X4419" s="12"/>
      <c r="Y4419" s="14"/>
      <c r="Z4419" s="14"/>
    </row>
    <row r="4420">
      <c r="A4420" s="8"/>
      <c r="B4420" s="8"/>
      <c r="C4420" s="8"/>
      <c r="D4420" s="8"/>
      <c r="E4420" s="8"/>
      <c r="F4420" s="8"/>
      <c r="G4420" s="8"/>
      <c r="H4420" s="8"/>
      <c r="I4420" s="8"/>
      <c r="J4420" s="8"/>
      <c r="K4420" s="10"/>
      <c r="L4420" s="8"/>
      <c r="M4420" s="8"/>
      <c r="N4420" s="11"/>
      <c r="O4420" s="11"/>
      <c r="P4420" s="11"/>
      <c r="Q4420" s="11"/>
      <c r="R4420" s="11"/>
      <c r="S4420" s="12"/>
      <c r="T4420" s="8"/>
      <c r="U4420" s="8"/>
      <c r="V4420" s="13"/>
      <c r="W4420" s="13"/>
      <c r="X4420" s="12"/>
      <c r="Y4420" s="14"/>
      <c r="Z4420" s="14"/>
    </row>
    <row r="4421">
      <c r="A4421" s="8"/>
      <c r="B4421" s="8"/>
      <c r="C4421" s="8"/>
      <c r="D4421" s="8"/>
      <c r="E4421" s="8"/>
      <c r="F4421" s="8"/>
      <c r="G4421" s="8"/>
      <c r="H4421" s="8"/>
      <c r="I4421" s="8"/>
      <c r="J4421" s="8"/>
      <c r="K4421" s="10"/>
      <c r="L4421" s="8"/>
      <c r="M4421" s="8"/>
      <c r="N4421" s="11"/>
      <c r="O4421" s="11"/>
      <c r="P4421" s="11"/>
      <c r="Q4421" s="11"/>
      <c r="R4421" s="11"/>
      <c r="S4421" s="12"/>
      <c r="T4421" s="8"/>
      <c r="U4421" s="8"/>
      <c r="V4421" s="13"/>
      <c r="W4421" s="13"/>
      <c r="X4421" s="12"/>
      <c r="Y4421" s="14"/>
      <c r="Z4421" s="14"/>
    </row>
    <row r="4422">
      <c r="A4422" s="8"/>
      <c r="B4422" s="8"/>
      <c r="C4422" s="8"/>
      <c r="D4422" s="8"/>
      <c r="E4422" s="8"/>
      <c r="F4422" s="8"/>
      <c r="G4422" s="8"/>
      <c r="H4422" s="8"/>
      <c r="I4422" s="8"/>
      <c r="J4422" s="8"/>
      <c r="K4422" s="10"/>
      <c r="L4422" s="8"/>
      <c r="M4422" s="8"/>
      <c r="N4422" s="11"/>
      <c r="O4422" s="11"/>
      <c r="P4422" s="11"/>
      <c r="Q4422" s="11"/>
      <c r="R4422" s="11"/>
      <c r="S4422" s="12"/>
      <c r="T4422" s="8"/>
      <c r="U4422" s="8"/>
      <c r="V4422" s="13"/>
      <c r="W4422" s="13"/>
      <c r="X4422" s="12"/>
      <c r="Y4422" s="14"/>
      <c r="Z4422" s="14"/>
    </row>
    <row r="4423">
      <c r="A4423" s="8"/>
      <c r="B4423" s="8"/>
      <c r="C4423" s="8"/>
      <c r="D4423" s="8"/>
      <c r="E4423" s="8"/>
      <c r="F4423" s="8"/>
      <c r="G4423" s="8"/>
      <c r="H4423" s="8"/>
      <c r="I4423" s="8"/>
      <c r="J4423" s="8"/>
      <c r="K4423" s="10"/>
      <c r="L4423" s="8"/>
      <c r="M4423" s="8"/>
      <c r="N4423" s="11"/>
      <c r="O4423" s="11"/>
      <c r="P4423" s="11"/>
      <c r="Q4423" s="11"/>
      <c r="R4423" s="11"/>
      <c r="S4423" s="12"/>
      <c r="T4423" s="8"/>
      <c r="U4423" s="8"/>
      <c r="V4423" s="13"/>
      <c r="W4423" s="13"/>
      <c r="X4423" s="12"/>
      <c r="Y4423" s="14"/>
      <c r="Z4423" s="14"/>
    </row>
    <row r="4424">
      <c r="A4424" s="8"/>
      <c r="B4424" s="8"/>
      <c r="C4424" s="8"/>
      <c r="D4424" s="8"/>
      <c r="E4424" s="8"/>
      <c r="F4424" s="8"/>
      <c r="G4424" s="8"/>
      <c r="H4424" s="8"/>
      <c r="I4424" s="8"/>
      <c r="J4424" s="8"/>
      <c r="K4424" s="10"/>
      <c r="L4424" s="8"/>
      <c r="M4424" s="8"/>
      <c r="N4424" s="11"/>
      <c r="O4424" s="11"/>
      <c r="P4424" s="11"/>
      <c r="Q4424" s="11"/>
      <c r="R4424" s="11"/>
      <c r="S4424" s="12"/>
      <c r="T4424" s="8"/>
      <c r="U4424" s="8"/>
      <c r="V4424" s="13"/>
      <c r="W4424" s="13"/>
      <c r="X4424" s="12"/>
      <c r="Y4424" s="14"/>
      <c r="Z4424" s="14"/>
    </row>
    <row r="4425">
      <c r="A4425" s="8"/>
      <c r="B4425" s="8"/>
      <c r="C4425" s="8"/>
      <c r="D4425" s="8"/>
      <c r="E4425" s="8"/>
      <c r="F4425" s="8"/>
      <c r="G4425" s="8"/>
      <c r="H4425" s="8"/>
      <c r="I4425" s="8"/>
      <c r="J4425" s="8"/>
      <c r="K4425" s="10"/>
      <c r="L4425" s="8"/>
      <c r="M4425" s="8"/>
      <c r="N4425" s="11"/>
      <c r="O4425" s="11"/>
      <c r="P4425" s="11"/>
      <c r="Q4425" s="11"/>
      <c r="R4425" s="11"/>
      <c r="S4425" s="12"/>
      <c r="T4425" s="8"/>
      <c r="U4425" s="8"/>
      <c r="V4425" s="13"/>
      <c r="W4425" s="13"/>
      <c r="X4425" s="12"/>
      <c r="Y4425" s="14"/>
      <c r="Z4425" s="14"/>
    </row>
    <row r="4426">
      <c r="A4426" s="8"/>
      <c r="B4426" s="8"/>
      <c r="C4426" s="8"/>
      <c r="D4426" s="8"/>
      <c r="E4426" s="8"/>
      <c r="F4426" s="8"/>
      <c r="G4426" s="8"/>
      <c r="H4426" s="8"/>
      <c r="I4426" s="8"/>
      <c r="J4426" s="8"/>
      <c r="K4426" s="10"/>
      <c r="L4426" s="8"/>
      <c r="M4426" s="8"/>
      <c r="N4426" s="11"/>
      <c r="O4426" s="11"/>
      <c r="P4426" s="11"/>
      <c r="Q4426" s="11"/>
      <c r="R4426" s="11"/>
      <c r="S4426" s="12"/>
      <c r="T4426" s="8"/>
      <c r="U4426" s="8"/>
      <c r="V4426" s="13"/>
      <c r="W4426" s="13"/>
      <c r="X4426" s="12"/>
      <c r="Y4426" s="14"/>
      <c r="Z4426" s="14"/>
    </row>
    <row r="4427">
      <c r="A4427" s="8"/>
      <c r="B4427" s="8"/>
      <c r="C4427" s="8"/>
      <c r="D4427" s="8"/>
      <c r="E4427" s="8"/>
      <c r="F4427" s="8"/>
      <c r="G4427" s="8"/>
      <c r="H4427" s="8"/>
      <c r="I4427" s="8"/>
      <c r="J4427" s="8"/>
      <c r="K4427" s="10"/>
      <c r="L4427" s="8"/>
      <c r="M4427" s="8"/>
      <c r="N4427" s="11"/>
      <c r="O4427" s="11"/>
      <c r="P4427" s="11"/>
      <c r="Q4427" s="11"/>
      <c r="R4427" s="11"/>
      <c r="S4427" s="12"/>
      <c r="T4427" s="8"/>
      <c r="U4427" s="8"/>
      <c r="V4427" s="13"/>
      <c r="W4427" s="13"/>
      <c r="X4427" s="12"/>
      <c r="Y4427" s="14"/>
      <c r="Z4427" s="14"/>
    </row>
    <row r="4428">
      <c r="A4428" s="8"/>
      <c r="B4428" s="8"/>
      <c r="C4428" s="8"/>
      <c r="D4428" s="8"/>
      <c r="E4428" s="8"/>
      <c r="F4428" s="8"/>
      <c r="G4428" s="8"/>
      <c r="H4428" s="8"/>
      <c r="I4428" s="8"/>
      <c r="J4428" s="8"/>
      <c r="K4428" s="10"/>
      <c r="L4428" s="8"/>
      <c r="M4428" s="8"/>
      <c r="N4428" s="11"/>
      <c r="O4428" s="11"/>
      <c r="P4428" s="11"/>
      <c r="Q4428" s="11"/>
      <c r="R4428" s="11"/>
      <c r="S4428" s="12"/>
      <c r="T4428" s="8"/>
      <c r="U4428" s="8"/>
      <c r="V4428" s="13"/>
      <c r="W4428" s="13"/>
      <c r="X4428" s="12"/>
      <c r="Y4428" s="14"/>
      <c r="Z4428" s="14"/>
    </row>
    <row r="4429">
      <c r="A4429" s="8"/>
      <c r="B4429" s="8"/>
      <c r="C4429" s="8"/>
      <c r="D4429" s="8"/>
      <c r="E4429" s="8"/>
      <c r="F4429" s="8"/>
      <c r="G4429" s="8"/>
      <c r="H4429" s="8"/>
      <c r="I4429" s="8"/>
      <c r="J4429" s="8"/>
      <c r="K4429" s="10"/>
      <c r="L4429" s="8"/>
      <c r="M4429" s="8"/>
      <c r="N4429" s="11"/>
      <c r="O4429" s="11"/>
      <c r="P4429" s="11"/>
      <c r="Q4429" s="11"/>
      <c r="R4429" s="11"/>
      <c r="S4429" s="12"/>
      <c r="T4429" s="8"/>
      <c r="U4429" s="8"/>
      <c r="V4429" s="13"/>
      <c r="W4429" s="13"/>
      <c r="X4429" s="12"/>
      <c r="Y4429" s="14"/>
      <c r="Z4429" s="14"/>
    </row>
    <row r="4430">
      <c r="A4430" s="8"/>
      <c r="B4430" s="8"/>
      <c r="C4430" s="8"/>
      <c r="D4430" s="8"/>
      <c r="E4430" s="8"/>
      <c r="F4430" s="8"/>
      <c r="G4430" s="8"/>
      <c r="H4430" s="8"/>
      <c r="I4430" s="8"/>
      <c r="J4430" s="8"/>
      <c r="K4430" s="10"/>
      <c r="L4430" s="8"/>
      <c r="M4430" s="8"/>
      <c r="N4430" s="11"/>
      <c r="O4430" s="11"/>
      <c r="P4430" s="11"/>
      <c r="Q4430" s="11"/>
      <c r="R4430" s="11"/>
      <c r="S4430" s="12"/>
      <c r="T4430" s="8"/>
      <c r="U4430" s="8"/>
      <c r="V4430" s="13"/>
      <c r="W4430" s="13"/>
      <c r="X4430" s="12"/>
      <c r="Y4430" s="14"/>
      <c r="Z4430" s="14"/>
    </row>
    <row r="4431">
      <c r="A4431" s="8"/>
      <c r="B4431" s="8"/>
      <c r="C4431" s="8"/>
      <c r="D4431" s="8"/>
      <c r="E4431" s="8"/>
      <c r="F4431" s="8"/>
      <c r="G4431" s="8"/>
      <c r="H4431" s="8"/>
      <c r="I4431" s="8"/>
      <c r="J4431" s="8"/>
      <c r="K4431" s="10"/>
      <c r="L4431" s="8"/>
      <c r="M4431" s="8"/>
      <c r="N4431" s="11"/>
      <c r="O4431" s="11"/>
      <c r="P4431" s="11"/>
      <c r="Q4431" s="11"/>
      <c r="R4431" s="11"/>
      <c r="S4431" s="12"/>
      <c r="T4431" s="8"/>
      <c r="U4431" s="8"/>
      <c r="V4431" s="13"/>
      <c r="W4431" s="13"/>
      <c r="X4431" s="12"/>
      <c r="Y4431" s="14"/>
      <c r="Z4431" s="14"/>
    </row>
    <row r="4432">
      <c r="A4432" s="8"/>
      <c r="B4432" s="8"/>
      <c r="C4432" s="8"/>
      <c r="D4432" s="8"/>
      <c r="E4432" s="8"/>
      <c r="F4432" s="8"/>
      <c r="G4432" s="8"/>
      <c r="H4432" s="8"/>
      <c r="I4432" s="8"/>
      <c r="J4432" s="8"/>
      <c r="K4432" s="10"/>
      <c r="L4432" s="8"/>
      <c r="M4432" s="8"/>
      <c r="N4432" s="11"/>
      <c r="O4432" s="11"/>
      <c r="P4432" s="11"/>
      <c r="Q4432" s="11"/>
      <c r="R4432" s="11"/>
      <c r="S4432" s="12"/>
      <c r="T4432" s="8"/>
      <c r="U4432" s="8"/>
      <c r="V4432" s="13"/>
      <c r="W4432" s="13"/>
      <c r="X4432" s="12"/>
      <c r="Y4432" s="14"/>
      <c r="Z4432" s="14"/>
    </row>
    <row r="4433">
      <c r="A4433" s="8"/>
      <c r="B4433" s="8"/>
      <c r="C4433" s="8"/>
      <c r="D4433" s="8"/>
      <c r="E4433" s="8"/>
      <c r="F4433" s="8"/>
      <c r="G4433" s="8"/>
      <c r="H4433" s="8"/>
      <c r="I4433" s="8"/>
      <c r="J4433" s="8"/>
      <c r="K4433" s="10"/>
      <c r="L4433" s="8"/>
      <c r="M4433" s="8"/>
      <c r="N4433" s="11"/>
      <c r="O4433" s="11"/>
      <c r="P4433" s="11"/>
      <c r="Q4433" s="11"/>
      <c r="R4433" s="11"/>
      <c r="S4433" s="12"/>
      <c r="T4433" s="8"/>
      <c r="U4433" s="8"/>
      <c r="V4433" s="13"/>
      <c r="W4433" s="13"/>
      <c r="X4433" s="12"/>
      <c r="Y4433" s="14"/>
      <c r="Z4433" s="14"/>
    </row>
    <row r="4434">
      <c r="A4434" s="8"/>
      <c r="B4434" s="8"/>
      <c r="C4434" s="8"/>
      <c r="D4434" s="8"/>
      <c r="E4434" s="8"/>
      <c r="F4434" s="8"/>
      <c r="G4434" s="8"/>
      <c r="H4434" s="8"/>
      <c r="I4434" s="8"/>
      <c r="J4434" s="8"/>
      <c r="K4434" s="10"/>
      <c r="L4434" s="8"/>
      <c r="M4434" s="8"/>
      <c r="N4434" s="11"/>
      <c r="O4434" s="11"/>
      <c r="P4434" s="11"/>
      <c r="Q4434" s="11"/>
      <c r="R4434" s="11"/>
      <c r="S4434" s="12"/>
      <c r="T4434" s="8"/>
      <c r="U4434" s="8"/>
      <c r="V4434" s="13"/>
      <c r="W4434" s="13"/>
      <c r="X4434" s="12"/>
      <c r="Y4434" s="14"/>
      <c r="Z4434" s="14"/>
    </row>
    <row r="4435">
      <c r="A4435" s="8"/>
      <c r="B4435" s="8"/>
      <c r="C4435" s="8"/>
      <c r="D4435" s="8"/>
      <c r="E4435" s="8"/>
      <c r="F4435" s="8"/>
      <c r="G4435" s="8"/>
      <c r="H4435" s="8"/>
      <c r="I4435" s="8"/>
      <c r="J4435" s="8"/>
      <c r="K4435" s="10"/>
      <c r="L4435" s="8"/>
      <c r="M4435" s="8"/>
      <c r="N4435" s="11"/>
      <c r="O4435" s="11"/>
      <c r="P4435" s="11"/>
      <c r="Q4435" s="11"/>
      <c r="R4435" s="11"/>
      <c r="S4435" s="12"/>
      <c r="T4435" s="8"/>
      <c r="U4435" s="8"/>
      <c r="V4435" s="13"/>
      <c r="W4435" s="13"/>
      <c r="X4435" s="12"/>
      <c r="Y4435" s="14"/>
      <c r="Z4435" s="14"/>
    </row>
    <row r="4436">
      <c r="A4436" s="8"/>
      <c r="B4436" s="8"/>
      <c r="C4436" s="8"/>
      <c r="D4436" s="8"/>
      <c r="E4436" s="8"/>
      <c r="F4436" s="8"/>
      <c r="G4436" s="8"/>
      <c r="H4436" s="8"/>
      <c r="I4436" s="8"/>
      <c r="J4436" s="8"/>
      <c r="K4436" s="10"/>
      <c r="L4436" s="8"/>
      <c r="M4436" s="8"/>
      <c r="N4436" s="11"/>
      <c r="O4436" s="11"/>
      <c r="P4436" s="11"/>
      <c r="Q4436" s="11"/>
      <c r="R4436" s="11"/>
      <c r="S4436" s="12"/>
      <c r="T4436" s="8"/>
      <c r="U4436" s="8"/>
      <c r="V4436" s="13"/>
      <c r="W4436" s="13"/>
      <c r="X4436" s="12"/>
      <c r="Y4436" s="14"/>
      <c r="Z4436" s="14"/>
    </row>
    <row r="4437">
      <c r="A4437" s="8"/>
      <c r="B4437" s="8"/>
      <c r="C4437" s="8"/>
      <c r="D4437" s="8"/>
      <c r="E4437" s="8"/>
      <c r="F4437" s="8"/>
      <c r="G4437" s="8"/>
      <c r="H4437" s="8"/>
      <c r="I4437" s="8"/>
      <c r="J4437" s="8"/>
      <c r="K4437" s="10"/>
      <c r="L4437" s="8"/>
      <c r="M4437" s="8"/>
      <c r="N4437" s="11"/>
      <c r="O4437" s="11"/>
      <c r="P4437" s="11"/>
      <c r="Q4437" s="11"/>
      <c r="R4437" s="11"/>
      <c r="S4437" s="12"/>
      <c r="T4437" s="8"/>
      <c r="U4437" s="8"/>
      <c r="V4437" s="13"/>
      <c r="W4437" s="13"/>
      <c r="X4437" s="12"/>
      <c r="Y4437" s="14"/>
      <c r="Z4437" s="14"/>
    </row>
    <row r="4438">
      <c r="A4438" s="8"/>
      <c r="B4438" s="8"/>
      <c r="C4438" s="8"/>
      <c r="D4438" s="8"/>
      <c r="E4438" s="8"/>
      <c r="F4438" s="8"/>
      <c r="G4438" s="8"/>
      <c r="H4438" s="8"/>
      <c r="I4438" s="8"/>
      <c r="J4438" s="8"/>
      <c r="K4438" s="10"/>
      <c r="L4438" s="8"/>
      <c r="M4438" s="8"/>
      <c r="N4438" s="11"/>
      <c r="O4438" s="11"/>
      <c r="P4438" s="11"/>
      <c r="Q4438" s="11"/>
      <c r="R4438" s="11"/>
      <c r="S4438" s="12"/>
      <c r="T4438" s="8"/>
      <c r="U4438" s="8"/>
      <c r="V4438" s="13"/>
      <c r="W4438" s="13"/>
      <c r="X4438" s="12"/>
      <c r="Y4438" s="14"/>
      <c r="Z4438" s="14"/>
    </row>
    <row r="4439">
      <c r="A4439" s="8"/>
      <c r="B4439" s="8"/>
      <c r="C4439" s="8"/>
      <c r="D4439" s="8"/>
      <c r="E4439" s="8"/>
      <c r="F4439" s="8"/>
      <c r="G4439" s="8"/>
      <c r="H4439" s="8"/>
      <c r="I4439" s="8"/>
      <c r="J4439" s="8"/>
      <c r="K4439" s="10"/>
      <c r="L4439" s="8"/>
      <c r="M4439" s="8"/>
      <c r="N4439" s="11"/>
      <c r="O4439" s="11"/>
      <c r="P4439" s="11"/>
      <c r="Q4439" s="11"/>
      <c r="R4439" s="11"/>
      <c r="S4439" s="12"/>
      <c r="T4439" s="8"/>
      <c r="U4439" s="8"/>
      <c r="V4439" s="13"/>
      <c r="W4439" s="13"/>
      <c r="X4439" s="12"/>
      <c r="Y4439" s="14"/>
      <c r="Z4439" s="14"/>
    </row>
    <row r="4440">
      <c r="A4440" s="8"/>
      <c r="B4440" s="8"/>
      <c r="C4440" s="8"/>
      <c r="D4440" s="8"/>
      <c r="E4440" s="8"/>
      <c r="F4440" s="8"/>
      <c r="G4440" s="8"/>
      <c r="H4440" s="8"/>
      <c r="I4440" s="8"/>
      <c r="J4440" s="8"/>
      <c r="K4440" s="10"/>
      <c r="L4440" s="8"/>
      <c r="M4440" s="8"/>
      <c r="N4440" s="11"/>
      <c r="O4440" s="11"/>
      <c r="P4440" s="11"/>
      <c r="Q4440" s="11"/>
      <c r="R4440" s="11"/>
      <c r="S4440" s="12"/>
      <c r="T4440" s="8"/>
      <c r="U4440" s="8"/>
      <c r="V4440" s="13"/>
      <c r="W4440" s="13"/>
      <c r="X4440" s="12"/>
      <c r="Y4440" s="14"/>
      <c r="Z4440" s="14"/>
    </row>
    <row r="4441">
      <c r="A4441" s="8"/>
      <c r="B4441" s="8"/>
      <c r="C4441" s="8"/>
      <c r="D4441" s="8"/>
      <c r="E4441" s="8"/>
      <c r="F4441" s="8"/>
      <c r="G4441" s="8"/>
      <c r="H4441" s="8"/>
      <c r="I4441" s="8"/>
      <c r="J4441" s="8"/>
      <c r="K4441" s="10"/>
      <c r="L4441" s="8"/>
      <c r="M4441" s="8"/>
      <c r="N4441" s="11"/>
      <c r="O4441" s="11"/>
      <c r="P4441" s="11"/>
      <c r="Q4441" s="11"/>
      <c r="R4441" s="11"/>
      <c r="S4441" s="12"/>
      <c r="T4441" s="8"/>
      <c r="U4441" s="8"/>
      <c r="V4441" s="13"/>
      <c r="W4441" s="13"/>
      <c r="X4441" s="12"/>
      <c r="Y4441" s="14"/>
      <c r="Z4441" s="14"/>
    </row>
    <row r="4442">
      <c r="A4442" s="8"/>
      <c r="B4442" s="8"/>
      <c r="C4442" s="8"/>
      <c r="D4442" s="8"/>
      <c r="E4442" s="8"/>
      <c r="F4442" s="8"/>
      <c r="G4442" s="8"/>
      <c r="H4442" s="8"/>
      <c r="I4442" s="8"/>
      <c r="J4442" s="8"/>
      <c r="K4442" s="10"/>
      <c r="L4442" s="8"/>
      <c r="M4442" s="8"/>
      <c r="N4442" s="11"/>
      <c r="O4442" s="11"/>
      <c r="P4442" s="11"/>
      <c r="Q4442" s="11"/>
      <c r="R4442" s="11"/>
      <c r="S4442" s="12"/>
      <c r="T4442" s="8"/>
      <c r="U4442" s="8"/>
      <c r="V4442" s="13"/>
      <c r="W4442" s="13"/>
      <c r="X4442" s="12"/>
      <c r="Y4442" s="14"/>
      <c r="Z4442" s="14"/>
    </row>
    <row r="4443">
      <c r="A4443" s="8"/>
      <c r="B4443" s="8"/>
      <c r="C4443" s="8"/>
      <c r="D4443" s="8"/>
      <c r="E4443" s="8"/>
      <c r="F4443" s="8"/>
      <c r="G4443" s="8"/>
      <c r="H4443" s="8"/>
      <c r="I4443" s="8"/>
      <c r="J4443" s="8"/>
      <c r="K4443" s="10"/>
      <c r="L4443" s="8"/>
      <c r="M4443" s="8"/>
      <c r="N4443" s="11"/>
      <c r="O4443" s="11"/>
      <c r="P4443" s="11"/>
      <c r="Q4443" s="11"/>
      <c r="R4443" s="11"/>
      <c r="S4443" s="12"/>
      <c r="T4443" s="8"/>
      <c r="U4443" s="8"/>
      <c r="V4443" s="13"/>
      <c r="W4443" s="13"/>
      <c r="X4443" s="12"/>
      <c r="Y4443" s="14"/>
      <c r="Z4443" s="14"/>
    </row>
    <row r="4444">
      <c r="A4444" s="8"/>
      <c r="B4444" s="8"/>
      <c r="C4444" s="8"/>
      <c r="D4444" s="8"/>
      <c r="E4444" s="8"/>
      <c r="F4444" s="8"/>
      <c r="G4444" s="8"/>
      <c r="H4444" s="8"/>
      <c r="I4444" s="8"/>
      <c r="J4444" s="8"/>
      <c r="K4444" s="10"/>
      <c r="L4444" s="8"/>
      <c r="M4444" s="8"/>
      <c r="N4444" s="11"/>
      <c r="O4444" s="11"/>
      <c r="P4444" s="11"/>
      <c r="Q4444" s="11"/>
      <c r="R4444" s="11"/>
      <c r="S4444" s="12"/>
      <c r="T4444" s="8"/>
      <c r="U4444" s="8"/>
      <c r="V4444" s="13"/>
      <c r="W4444" s="13"/>
      <c r="X4444" s="12"/>
      <c r="Y4444" s="14"/>
      <c r="Z4444" s="14"/>
    </row>
    <row r="4445">
      <c r="A4445" s="8"/>
      <c r="B4445" s="8"/>
      <c r="C4445" s="8"/>
      <c r="D4445" s="8"/>
      <c r="E4445" s="8"/>
      <c r="F4445" s="8"/>
      <c r="G4445" s="8"/>
      <c r="H4445" s="8"/>
      <c r="I4445" s="8"/>
      <c r="J4445" s="8"/>
      <c r="K4445" s="10"/>
      <c r="L4445" s="8"/>
      <c r="M4445" s="8"/>
      <c r="N4445" s="11"/>
      <c r="O4445" s="11"/>
      <c r="P4445" s="11"/>
      <c r="Q4445" s="11"/>
      <c r="R4445" s="11"/>
      <c r="S4445" s="12"/>
      <c r="T4445" s="8"/>
      <c r="U4445" s="8"/>
      <c r="V4445" s="13"/>
      <c r="W4445" s="13"/>
      <c r="X4445" s="12"/>
      <c r="Y4445" s="14"/>
      <c r="Z4445" s="14"/>
    </row>
    <row r="4446">
      <c r="A4446" s="8"/>
      <c r="B4446" s="8"/>
      <c r="C4446" s="8"/>
      <c r="D4446" s="8"/>
      <c r="E4446" s="8"/>
      <c r="F4446" s="8"/>
      <c r="G4446" s="8"/>
      <c r="H4446" s="8"/>
      <c r="I4446" s="8"/>
      <c r="J4446" s="8"/>
      <c r="K4446" s="10"/>
      <c r="L4446" s="8"/>
      <c r="M4446" s="8"/>
      <c r="N4446" s="11"/>
      <c r="O4446" s="11"/>
      <c r="P4446" s="11"/>
      <c r="Q4446" s="11"/>
      <c r="R4446" s="11"/>
      <c r="S4446" s="12"/>
      <c r="T4446" s="8"/>
      <c r="U4446" s="8"/>
      <c r="V4446" s="13"/>
      <c r="W4446" s="13"/>
      <c r="X4446" s="12"/>
      <c r="Y4446" s="14"/>
      <c r="Z4446" s="14"/>
    </row>
    <row r="4447">
      <c r="A4447" s="8"/>
      <c r="B4447" s="8"/>
      <c r="C4447" s="8"/>
      <c r="D4447" s="8"/>
      <c r="E4447" s="8"/>
      <c r="F4447" s="8"/>
      <c r="G4447" s="8"/>
      <c r="H4447" s="8"/>
      <c r="I4447" s="8"/>
      <c r="J4447" s="8"/>
      <c r="K4447" s="10"/>
      <c r="L4447" s="8"/>
      <c r="M4447" s="8"/>
      <c r="N4447" s="11"/>
      <c r="O4447" s="11"/>
      <c r="P4447" s="11"/>
      <c r="Q4447" s="11"/>
      <c r="R4447" s="11"/>
      <c r="S4447" s="12"/>
      <c r="T4447" s="8"/>
      <c r="U4447" s="8"/>
      <c r="V4447" s="13"/>
      <c r="W4447" s="13"/>
      <c r="X4447" s="12"/>
      <c r="Y4447" s="14"/>
      <c r="Z4447" s="14"/>
    </row>
    <row r="4448">
      <c r="A4448" s="8"/>
      <c r="B4448" s="8"/>
      <c r="C4448" s="8"/>
      <c r="D4448" s="8"/>
      <c r="E4448" s="8"/>
      <c r="F4448" s="8"/>
      <c r="G4448" s="8"/>
      <c r="H4448" s="8"/>
      <c r="I4448" s="8"/>
      <c r="J4448" s="8"/>
      <c r="K4448" s="10"/>
      <c r="L4448" s="8"/>
      <c r="M4448" s="8"/>
      <c r="N4448" s="11"/>
      <c r="O4448" s="11"/>
      <c r="P4448" s="11"/>
      <c r="Q4448" s="11"/>
      <c r="R4448" s="11"/>
      <c r="S4448" s="12"/>
      <c r="T4448" s="8"/>
      <c r="U4448" s="8"/>
      <c r="V4448" s="13"/>
      <c r="W4448" s="13"/>
      <c r="X4448" s="12"/>
      <c r="Y4448" s="14"/>
      <c r="Z4448" s="14"/>
    </row>
    <row r="4449">
      <c r="A4449" s="8"/>
      <c r="B4449" s="8"/>
      <c r="C4449" s="8"/>
      <c r="D4449" s="8"/>
      <c r="E4449" s="8"/>
      <c r="F4449" s="8"/>
      <c r="G4449" s="8"/>
      <c r="H4449" s="8"/>
      <c r="I4449" s="8"/>
      <c r="J4449" s="8"/>
      <c r="K4449" s="10"/>
      <c r="L4449" s="8"/>
      <c r="M4449" s="8"/>
      <c r="N4449" s="11"/>
      <c r="O4449" s="11"/>
      <c r="P4449" s="11"/>
      <c r="Q4449" s="11"/>
      <c r="R4449" s="11"/>
      <c r="S4449" s="12"/>
      <c r="T4449" s="8"/>
      <c r="U4449" s="8"/>
      <c r="V4449" s="13"/>
      <c r="W4449" s="13"/>
      <c r="X4449" s="12"/>
      <c r="Y4449" s="14"/>
      <c r="Z4449" s="14"/>
    </row>
    <row r="4450">
      <c r="A4450" s="8"/>
      <c r="B4450" s="8"/>
      <c r="C4450" s="8"/>
      <c r="D4450" s="8"/>
      <c r="E4450" s="8"/>
      <c r="F4450" s="8"/>
      <c r="G4450" s="8"/>
      <c r="H4450" s="8"/>
      <c r="I4450" s="8"/>
      <c r="J4450" s="8"/>
      <c r="K4450" s="10"/>
      <c r="L4450" s="8"/>
      <c r="M4450" s="8"/>
      <c r="N4450" s="11"/>
      <c r="O4450" s="11"/>
      <c r="P4450" s="11"/>
      <c r="Q4450" s="11"/>
      <c r="R4450" s="11"/>
      <c r="S4450" s="12"/>
      <c r="T4450" s="8"/>
      <c r="U4450" s="8"/>
      <c r="V4450" s="13"/>
      <c r="W4450" s="13"/>
      <c r="X4450" s="12"/>
      <c r="Y4450" s="14"/>
      <c r="Z4450" s="14"/>
    </row>
    <row r="4451">
      <c r="A4451" s="8"/>
      <c r="B4451" s="8"/>
      <c r="C4451" s="8"/>
      <c r="D4451" s="8"/>
      <c r="E4451" s="8"/>
      <c r="F4451" s="8"/>
      <c r="G4451" s="8"/>
      <c r="H4451" s="8"/>
      <c r="I4451" s="8"/>
      <c r="J4451" s="8"/>
      <c r="K4451" s="10"/>
      <c r="L4451" s="8"/>
      <c r="M4451" s="8"/>
      <c r="N4451" s="11"/>
      <c r="O4451" s="11"/>
      <c r="P4451" s="11"/>
      <c r="Q4451" s="11"/>
      <c r="R4451" s="11"/>
      <c r="S4451" s="12"/>
      <c r="T4451" s="8"/>
      <c r="U4451" s="8"/>
      <c r="V4451" s="13"/>
      <c r="W4451" s="13"/>
      <c r="X4451" s="12"/>
      <c r="Y4451" s="14"/>
      <c r="Z4451" s="14"/>
    </row>
    <row r="4452">
      <c r="A4452" s="8"/>
      <c r="B4452" s="8"/>
      <c r="C4452" s="8"/>
      <c r="D4452" s="8"/>
      <c r="E4452" s="8"/>
      <c r="F4452" s="8"/>
      <c r="G4452" s="8"/>
      <c r="H4452" s="8"/>
      <c r="I4452" s="8"/>
      <c r="J4452" s="8"/>
      <c r="K4452" s="10"/>
      <c r="L4452" s="8"/>
      <c r="M4452" s="8"/>
      <c r="N4452" s="11"/>
      <c r="O4452" s="11"/>
      <c r="P4452" s="11"/>
      <c r="Q4452" s="11"/>
      <c r="R4452" s="11"/>
      <c r="S4452" s="12"/>
      <c r="T4452" s="8"/>
      <c r="U4452" s="8"/>
      <c r="V4452" s="13"/>
      <c r="W4452" s="13"/>
      <c r="X4452" s="12"/>
      <c r="Y4452" s="14"/>
      <c r="Z4452" s="14"/>
    </row>
    <row r="4453">
      <c r="A4453" s="8"/>
      <c r="B4453" s="8"/>
      <c r="C4453" s="8"/>
      <c r="D4453" s="8"/>
      <c r="E4453" s="8"/>
      <c r="F4453" s="8"/>
      <c r="G4453" s="8"/>
      <c r="H4453" s="8"/>
      <c r="I4453" s="8"/>
      <c r="J4453" s="8"/>
      <c r="K4453" s="10"/>
      <c r="L4453" s="8"/>
      <c r="M4453" s="8"/>
      <c r="N4453" s="11"/>
      <c r="O4453" s="11"/>
      <c r="P4453" s="11"/>
      <c r="Q4453" s="11"/>
      <c r="R4453" s="11"/>
      <c r="S4453" s="12"/>
      <c r="T4453" s="8"/>
      <c r="U4453" s="8"/>
      <c r="V4453" s="13"/>
      <c r="W4453" s="13"/>
      <c r="X4453" s="12"/>
      <c r="Y4453" s="14"/>
      <c r="Z4453" s="14"/>
    </row>
    <row r="4454">
      <c r="A4454" s="8"/>
      <c r="B4454" s="8"/>
      <c r="C4454" s="8"/>
      <c r="D4454" s="8"/>
      <c r="E4454" s="8"/>
      <c r="F4454" s="8"/>
      <c r="G4454" s="8"/>
      <c r="H4454" s="8"/>
      <c r="I4454" s="8"/>
      <c r="J4454" s="8"/>
      <c r="K4454" s="10"/>
      <c r="L4454" s="8"/>
      <c r="M4454" s="8"/>
      <c r="N4454" s="11"/>
      <c r="O4454" s="11"/>
      <c r="P4454" s="11"/>
      <c r="Q4454" s="11"/>
      <c r="R4454" s="11"/>
      <c r="S4454" s="12"/>
      <c r="T4454" s="8"/>
      <c r="U4454" s="8"/>
      <c r="V4454" s="13"/>
      <c r="W4454" s="13"/>
      <c r="X4454" s="12"/>
      <c r="Y4454" s="14"/>
      <c r="Z4454" s="14"/>
    </row>
    <row r="4455">
      <c r="A4455" s="8"/>
      <c r="B4455" s="8"/>
      <c r="C4455" s="8"/>
      <c r="D4455" s="8"/>
      <c r="E4455" s="8"/>
      <c r="F4455" s="8"/>
      <c r="G4455" s="8"/>
      <c r="H4455" s="8"/>
      <c r="I4455" s="8"/>
      <c r="J4455" s="8"/>
      <c r="K4455" s="10"/>
      <c r="L4455" s="8"/>
      <c r="M4455" s="8"/>
      <c r="N4455" s="11"/>
      <c r="O4455" s="11"/>
      <c r="P4455" s="11"/>
      <c r="Q4455" s="11"/>
      <c r="R4455" s="11"/>
      <c r="S4455" s="12"/>
      <c r="T4455" s="8"/>
      <c r="U4455" s="8"/>
      <c r="V4455" s="13"/>
      <c r="W4455" s="13"/>
      <c r="X4455" s="12"/>
      <c r="Y4455" s="14"/>
      <c r="Z4455" s="14"/>
    </row>
    <row r="4456">
      <c r="A4456" s="8"/>
      <c r="B4456" s="8"/>
      <c r="C4456" s="8"/>
      <c r="D4456" s="8"/>
      <c r="E4456" s="8"/>
      <c r="F4456" s="8"/>
      <c r="G4456" s="8"/>
      <c r="H4456" s="8"/>
      <c r="I4456" s="8"/>
      <c r="J4456" s="8"/>
      <c r="K4456" s="10"/>
      <c r="L4456" s="8"/>
      <c r="M4456" s="8"/>
      <c r="N4456" s="11"/>
      <c r="O4456" s="11"/>
      <c r="P4456" s="11"/>
      <c r="Q4456" s="11"/>
      <c r="R4456" s="11"/>
      <c r="S4456" s="12"/>
      <c r="T4456" s="8"/>
      <c r="U4456" s="8"/>
      <c r="V4456" s="13"/>
      <c r="W4456" s="13"/>
      <c r="X4456" s="12"/>
      <c r="Y4456" s="14"/>
      <c r="Z4456" s="14"/>
    </row>
    <row r="4457">
      <c r="A4457" s="8"/>
      <c r="B4457" s="8"/>
      <c r="C4457" s="8"/>
      <c r="D4457" s="8"/>
      <c r="E4457" s="8"/>
      <c r="F4457" s="8"/>
      <c r="G4457" s="8"/>
      <c r="H4457" s="8"/>
      <c r="I4457" s="8"/>
      <c r="J4457" s="8"/>
      <c r="K4457" s="10"/>
      <c r="L4457" s="8"/>
      <c r="M4457" s="8"/>
      <c r="N4457" s="11"/>
      <c r="O4457" s="11"/>
      <c r="P4457" s="11"/>
      <c r="Q4457" s="11"/>
      <c r="R4457" s="11"/>
      <c r="S4457" s="12"/>
      <c r="T4457" s="8"/>
      <c r="U4457" s="8"/>
      <c r="V4457" s="13"/>
      <c r="W4457" s="13"/>
      <c r="X4457" s="12"/>
      <c r="Y4457" s="14"/>
      <c r="Z4457" s="14"/>
    </row>
    <row r="4458">
      <c r="A4458" s="8"/>
      <c r="B4458" s="8"/>
      <c r="C4458" s="8"/>
      <c r="D4458" s="8"/>
      <c r="E4458" s="8"/>
      <c r="F4458" s="8"/>
      <c r="G4458" s="8"/>
      <c r="H4458" s="8"/>
      <c r="I4458" s="8"/>
      <c r="J4458" s="8"/>
      <c r="K4458" s="10"/>
      <c r="L4458" s="8"/>
      <c r="M4458" s="8"/>
      <c r="N4458" s="11"/>
      <c r="O4458" s="11"/>
      <c r="P4458" s="11"/>
      <c r="Q4458" s="11"/>
      <c r="R4458" s="11"/>
      <c r="S4458" s="12"/>
      <c r="T4458" s="8"/>
      <c r="U4458" s="8"/>
      <c r="V4458" s="13"/>
      <c r="W4458" s="13"/>
      <c r="X4458" s="12"/>
      <c r="Y4458" s="14"/>
      <c r="Z4458" s="14"/>
    </row>
    <row r="4459">
      <c r="A4459" s="8"/>
      <c r="B4459" s="8"/>
      <c r="C4459" s="8"/>
      <c r="D4459" s="8"/>
      <c r="E4459" s="8"/>
      <c r="F4459" s="8"/>
      <c r="G4459" s="8"/>
      <c r="H4459" s="8"/>
      <c r="I4459" s="8"/>
      <c r="J4459" s="8"/>
      <c r="K4459" s="10"/>
      <c r="L4459" s="8"/>
      <c r="M4459" s="8"/>
      <c r="N4459" s="11"/>
      <c r="O4459" s="11"/>
      <c r="P4459" s="11"/>
      <c r="Q4459" s="11"/>
      <c r="R4459" s="11"/>
      <c r="S4459" s="12"/>
      <c r="T4459" s="8"/>
      <c r="U4459" s="8"/>
      <c r="V4459" s="13"/>
      <c r="W4459" s="13"/>
      <c r="X4459" s="12"/>
      <c r="Y4459" s="14"/>
      <c r="Z4459" s="14"/>
    </row>
    <row r="4460">
      <c r="A4460" s="8"/>
      <c r="B4460" s="8"/>
      <c r="C4460" s="8"/>
      <c r="D4460" s="8"/>
      <c r="E4460" s="8"/>
      <c r="F4460" s="8"/>
      <c r="G4460" s="8"/>
      <c r="H4460" s="8"/>
      <c r="I4460" s="8"/>
      <c r="J4460" s="8"/>
      <c r="K4460" s="10"/>
      <c r="L4460" s="8"/>
      <c r="M4460" s="8"/>
      <c r="N4460" s="11"/>
      <c r="O4460" s="11"/>
      <c r="P4460" s="11"/>
      <c r="Q4460" s="11"/>
      <c r="R4460" s="11"/>
      <c r="S4460" s="12"/>
      <c r="T4460" s="8"/>
      <c r="U4460" s="8"/>
      <c r="V4460" s="13"/>
      <c r="W4460" s="13"/>
      <c r="X4460" s="12"/>
      <c r="Y4460" s="14"/>
      <c r="Z4460" s="14"/>
    </row>
    <row r="4461">
      <c r="A4461" s="8"/>
      <c r="B4461" s="8"/>
      <c r="C4461" s="8"/>
      <c r="D4461" s="8"/>
      <c r="E4461" s="8"/>
      <c r="F4461" s="8"/>
      <c r="G4461" s="8"/>
      <c r="H4461" s="8"/>
      <c r="I4461" s="8"/>
      <c r="J4461" s="8"/>
      <c r="K4461" s="10"/>
      <c r="L4461" s="8"/>
      <c r="M4461" s="8"/>
      <c r="N4461" s="11"/>
      <c r="O4461" s="11"/>
      <c r="P4461" s="11"/>
      <c r="Q4461" s="11"/>
      <c r="R4461" s="11"/>
      <c r="S4461" s="12"/>
      <c r="T4461" s="8"/>
      <c r="U4461" s="8"/>
      <c r="V4461" s="13"/>
      <c r="W4461" s="13"/>
      <c r="X4461" s="12"/>
      <c r="Y4461" s="14"/>
      <c r="Z4461" s="14"/>
    </row>
    <row r="4462">
      <c r="A4462" s="8"/>
      <c r="B4462" s="8"/>
      <c r="C4462" s="8"/>
      <c r="D4462" s="8"/>
      <c r="E4462" s="8"/>
      <c r="F4462" s="8"/>
      <c r="G4462" s="8"/>
      <c r="H4462" s="8"/>
      <c r="I4462" s="8"/>
      <c r="J4462" s="8"/>
      <c r="K4462" s="10"/>
      <c r="L4462" s="8"/>
      <c r="M4462" s="8"/>
      <c r="N4462" s="11"/>
      <c r="O4462" s="11"/>
      <c r="P4462" s="11"/>
      <c r="Q4462" s="11"/>
      <c r="R4462" s="11"/>
      <c r="S4462" s="12"/>
      <c r="T4462" s="8"/>
      <c r="U4462" s="8"/>
      <c r="V4462" s="13"/>
      <c r="W4462" s="13"/>
      <c r="X4462" s="12"/>
      <c r="Y4462" s="14"/>
      <c r="Z4462" s="14"/>
    </row>
    <row r="4463">
      <c r="A4463" s="8"/>
      <c r="B4463" s="8"/>
      <c r="C4463" s="8"/>
      <c r="D4463" s="8"/>
      <c r="E4463" s="8"/>
      <c r="F4463" s="8"/>
      <c r="G4463" s="8"/>
      <c r="H4463" s="8"/>
      <c r="I4463" s="8"/>
      <c r="J4463" s="8"/>
      <c r="K4463" s="10"/>
      <c r="L4463" s="8"/>
      <c r="M4463" s="8"/>
      <c r="N4463" s="11"/>
      <c r="O4463" s="11"/>
      <c r="P4463" s="11"/>
      <c r="Q4463" s="11"/>
      <c r="R4463" s="11"/>
      <c r="S4463" s="12"/>
      <c r="T4463" s="8"/>
      <c r="U4463" s="8"/>
      <c r="V4463" s="13"/>
      <c r="W4463" s="13"/>
      <c r="X4463" s="12"/>
      <c r="Y4463" s="14"/>
      <c r="Z4463" s="14"/>
    </row>
    <row r="4464">
      <c r="A4464" s="8"/>
      <c r="B4464" s="8"/>
      <c r="C4464" s="8"/>
      <c r="D4464" s="8"/>
      <c r="E4464" s="8"/>
      <c r="F4464" s="8"/>
      <c r="G4464" s="8"/>
      <c r="H4464" s="8"/>
      <c r="I4464" s="8"/>
      <c r="J4464" s="8"/>
      <c r="K4464" s="10"/>
      <c r="L4464" s="8"/>
      <c r="M4464" s="8"/>
      <c r="N4464" s="11"/>
      <c r="O4464" s="11"/>
      <c r="P4464" s="11"/>
      <c r="Q4464" s="11"/>
      <c r="R4464" s="11"/>
      <c r="S4464" s="12"/>
      <c r="T4464" s="8"/>
      <c r="U4464" s="8"/>
      <c r="V4464" s="13"/>
      <c r="W4464" s="13"/>
      <c r="X4464" s="12"/>
      <c r="Y4464" s="14"/>
      <c r="Z4464" s="14"/>
    </row>
    <row r="4465">
      <c r="A4465" s="8"/>
      <c r="B4465" s="8"/>
      <c r="C4465" s="8"/>
      <c r="D4465" s="8"/>
      <c r="E4465" s="8"/>
      <c r="F4465" s="8"/>
      <c r="G4465" s="8"/>
      <c r="H4465" s="8"/>
      <c r="I4465" s="8"/>
      <c r="J4465" s="8"/>
      <c r="K4465" s="10"/>
      <c r="L4465" s="8"/>
      <c r="M4465" s="8"/>
      <c r="N4465" s="11"/>
      <c r="O4465" s="11"/>
      <c r="P4465" s="11"/>
      <c r="Q4465" s="11"/>
      <c r="R4465" s="11"/>
      <c r="S4465" s="12"/>
      <c r="T4465" s="8"/>
      <c r="U4465" s="8"/>
      <c r="V4465" s="13"/>
      <c r="W4465" s="13"/>
      <c r="X4465" s="12"/>
      <c r="Y4465" s="14"/>
      <c r="Z4465" s="14"/>
    </row>
    <row r="4466">
      <c r="A4466" s="8"/>
      <c r="B4466" s="8"/>
      <c r="C4466" s="8"/>
      <c r="D4466" s="8"/>
      <c r="E4466" s="8"/>
      <c r="F4466" s="8"/>
      <c r="G4466" s="8"/>
      <c r="H4466" s="8"/>
      <c r="I4466" s="8"/>
      <c r="J4466" s="8"/>
      <c r="K4466" s="10"/>
      <c r="L4466" s="8"/>
      <c r="M4466" s="8"/>
      <c r="N4466" s="11"/>
      <c r="O4466" s="11"/>
      <c r="P4466" s="11"/>
      <c r="Q4466" s="11"/>
      <c r="R4466" s="11"/>
      <c r="S4466" s="12"/>
      <c r="T4466" s="8"/>
      <c r="U4466" s="8"/>
      <c r="V4466" s="13"/>
      <c r="W4466" s="13"/>
      <c r="X4466" s="12"/>
      <c r="Y4466" s="14"/>
      <c r="Z4466" s="14"/>
    </row>
    <row r="4467">
      <c r="A4467" s="8"/>
      <c r="B4467" s="8"/>
      <c r="C4467" s="8"/>
      <c r="D4467" s="8"/>
      <c r="E4467" s="8"/>
      <c r="F4467" s="8"/>
      <c r="G4467" s="8"/>
      <c r="H4467" s="8"/>
      <c r="I4467" s="8"/>
      <c r="J4467" s="8"/>
      <c r="K4467" s="10"/>
      <c r="L4467" s="8"/>
      <c r="M4467" s="8"/>
      <c r="N4467" s="11"/>
      <c r="O4467" s="11"/>
      <c r="P4467" s="11"/>
      <c r="Q4467" s="11"/>
      <c r="R4467" s="11"/>
      <c r="S4467" s="12"/>
      <c r="T4467" s="8"/>
      <c r="U4467" s="8"/>
      <c r="V4467" s="13"/>
      <c r="W4467" s="13"/>
      <c r="X4467" s="12"/>
      <c r="Y4467" s="14"/>
      <c r="Z4467" s="14"/>
    </row>
    <row r="4468">
      <c r="A4468" s="8"/>
      <c r="B4468" s="8"/>
      <c r="C4468" s="8"/>
      <c r="D4468" s="8"/>
      <c r="E4468" s="8"/>
      <c r="F4468" s="8"/>
      <c r="G4468" s="8"/>
      <c r="H4468" s="8"/>
      <c r="I4468" s="8"/>
      <c r="J4468" s="8"/>
      <c r="K4468" s="10"/>
      <c r="L4468" s="8"/>
      <c r="M4468" s="8"/>
      <c r="N4468" s="11"/>
      <c r="O4468" s="11"/>
      <c r="P4468" s="11"/>
      <c r="Q4468" s="11"/>
      <c r="R4468" s="11"/>
      <c r="S4468" s="12"/>
      <c r="T4468" s="8"/>
      <c r="U4468" s="8"/>
      <c r="V4468" s="13"/>
      <c r="W4468" s="13"/>
      <c r="X4468" s="12"/>
      <c r="Y4468" s="14"/>
      <c r="Z4468" s="14"/>
    </row>
    <row r="4469">
      <c r="A4469" s="8"/>
      <c r="B4469" s="8"/>
      <c r="C4469" s="8"/>
      <c r="D4469" s="8"/>
      <c r="E4469" s="8"/>
      <c r="F4469" s="8"/>
      <c r="G4469" s="8"/>
      <c r="H4469" s="8"/>
      <c r="I4469" s="8"/>
      <c r="J4469" s="8"/>
      <c r="K4469" s="10"/>
      <c r="L4469" s="8"/>
      <c r="M4469" s="8"/>
      <c r="N4469" s="11"/>
      <c r="O4469" s="11"/>
      <c r="P4469" s="11"/>
      <c r="Q4469" s="11"/>
      <c r="R4469" s="11"/>
      <c r="S4469" s="12"/>
      <c r="T4469" s="8"/>
      <c r="U4469" s="8"/>
      <c r="V4469" s="13"/>
      <c r="W4469" s="13"/>
      <c r="X4469" s="12"/>
      <c r="Y4469" s="14"/>
      <c r="Z4469" s="14"/>
    </row>
    <row r="4470">
      <c r="A4470" s="8"/>
      <c r="B4470" s="8"/>
      <c r="C4470" s="8"/>
      <c r="D4470" s="8"/>
      <c r="E4470" s="8"/>
      <c r="F4470" s="8"/>
      <c r="G4470" s="8"/>
      <c r="H4470" s="8"/>
      <c r="I4470" s="8"/>
      <c r="J4470" s="8"/>
      <c r="K4470" s="10"/>
      <c r="L4470" s="8"/>
      <c r="M4470" s="8"/>
      <c r="N4470" s="11"/>
      <c r="O4470" s="11"/>
      <c r="P4470" s="11"/>
      <c r="Q4470" s="11"/>
      <c r="R4470" s="11"/>
      <c r="S4470" s="12"/>
      <c r="T4470" s="8"/>
      <c r="U4470" s="8"/>
      <c r="V4470" s="13"/>
      <c r="W4470" s="13"/>
      <c r="X4470" s="12"/>
      <c r="Y4470" s="14"/>
      <c r="Z4470" s="14"/>
    </row>
    <row r="4471">
      <c r="A4471" s="8"/>
      <c r="B4471" s="8"/>
      <c r="C4471" s="8"/>
      <c r="D4471" s="8"/>
      <c r="E4471" s="8"/>
      <c r="F4471" s="8"/>
      <c r="G4471" s="8"/>
      <c r="H4471" s="8"/>
      <c r="I4471" s="8"/>
      <c r="J4471" s="8"/>
      <c r="K4471" s="10"/>
      <c r="L4471" s="8"/>
      <c r="M4471" s="8"/>
      <c r="N4471" s="11"/>
      <c r="O4471" s="11"/>
      <c r="P4471" s="11"/>
      <c r="Q4471" s="11"/>
      <c r="R4471" s="11"/>
      <c r="S4471" s="12"/>
      <c r="T4471" s="8"/>
      <c r="U4471" s="8"/>
      <c r="V4471" s="13"/>
      <c r="W4471" s="13"/>
      <c r="X4471" s="12"/>
      <c r="Y4471" s="14"/>
      <c r="Z4471" s="14"/>
    </row>
    <row r="4472">
      <c r="A4472" s="8"/>
      <c r="B4472" s="8"/>
      <c r="C4472" s="8"/>
      <c r="D4472" s="8"/>
      <c r="E4472" s="8"/>
      <c r="F4472" s="8"/>
      <c r="G4472" s="8"/>
      <c r="H4472" s="8"/>
      <c r="I4472" s="8"/>
      <c r="J4472" s="8"/>
      <c r="K4472" s="10"/>
      <c r="L4472" s="8"/>
      <c r="M4472" s="8"/>
      <c r="N4472" s="11"/>
      <c r="O4472" s="11"/>
      <c r="P4472" s="11"/>
      <c r="Q4472" s="11"/>
      <c r="R4472" s="11"/>
      <c r="S4472" s="12"/>
      <c r="T4472" s="8"/>
      <c r="U4472" s="8"/>
      <c r="V4472" s="13"/>
      <c r="W4472" s="13"/>
      <c r="X4472" s="12"/>
      <c r="Y4472" s="14"/>
      <c r="Z4472" s="14"/>
    </row>
    <row r="4473">
      <c r="A4473" s="8"/>
      <c r="B4473" s="8"/>
      <c r="C4473" s="8"/>
      <c r="D4473" s="8"/>
      <c r="E4473" s="8"/>
      <c r="F4473" s="8"/>
      <c r="G4473" s="8"/>
      <c r="H4473" s="8"/>
      <c r="I4473" s="8"/>
      <c r="J4473" s="8"/>
      <c r="K4473" s="10"/>
      <c r="L4473" s="8"/>
      <c r="M4473" s="8"/>
      <c r="N4473" s="11"/>
      <c r="O4473" s="11"/>
      <c r="P4473" s="11"/>
      <c r="Q4473" s="11"/>
      <c r="R4473" s="11"/>
      <c r="S4473" s="12"/>
      <c r="T4473" s="8"/>
      <c r="U4473" s="8"/>
      <c r="V4473" s="13"/>
      <c r="W4473" s="13"/>
      <c r="X4473" s="12"/>
      <c r="Y4473" s="14"/>
      <c r="Z4473" s="14"/>
    </row>
    <row r="4474">
      <c r="A4474" s="8"/>
      <c r="B4474" s="8"/>
      <c r="C4474" s="8"/>
      <c r="D4474" s="8"/>
      <c r="E4474" s="8"/>
      <c r="F4474" s="8"/>
      <c r="G4474" s="8"/>
      <c r="H4474" s="8"/>
      <c r="I4474" s="8"/>
      <c r="J4474" s="8"/>
      <c r="K4474" s="10"/>
      <c r="L4474" s="8"/>
      <c r="M4474" s="8"/>
      <c r="N4474" s="11"/>
      <c r="O4474" s="11"/>
      <c r="P4474" s="11"/>
      <c r="Q4474" s="11"/>
      <c r="R4474" s="11"/>
      <c r="S4474" s="12"/>
      <c r="T4474" s="8"/>
      <c r="U4474" s="8"/>
      <c r="V4474" s="13"/>
      <c r="W4474" s="13"/>
      <c r="X4474" s="12"/>
      <c r="Y4474" s="14"/>
      <c r="Z4474" s="14"/>
    </row>
    <row r="4475">
      <c r="A4475" s="8"/>
      <c r="B4475" s="8"/>
      <c r="C4475" s="8"/>
      <c r="D4475" s="8"/>
      <c r="E4475" s="8"/>
      <c r="F4475" s="8"/>
      <c r="G4475" s="8"/>
      <c r="H4475" s="8"/>
      <c r="I4475" s="8"/>
      <c r="J4475" s="8"/>
      <c r="K4475" s="10"/>
      <c r="L4475" s="8"/>
      <c r="M4475" s="8"/>
      <c r="N4475" s="11"/>
      <c r="O4475" s="11"/>
      <c r="P4475" s="11"/>
      <c r="Q4475" s="11"/>
      <c r="R4475" s="11"/>
      <c r="S4475" s="12"/>
      <c r="T4475" s="8"/>
      <c r="U4475" s="8"/>
      <c r="V4475" s="13"/>
      <c r="W4475" s="13"/>
      <c r="X4475" s="12"/>
      <c r="Y4475" s="14"/>
      <c r="Z4475" s="14"/>
    </row>
    <row r="4476">
      <c r="A4476" s="8"/>
      <c r="B4476" s="8"/>
      <c r="C4476" s="8"/>
      <c r="D4476" s="8"/>
      <c r="E4476" s="8"/>
      <c r="F4476" s="8"/>
      <c r="G4476" s="8"/>
      <c r="H4476" s="8"/>
      <c r="I4476" s="8"/>
      <c r="J4476" s="8"/>
      <c r="K4476" s="10"/>
      <c r="L4476" s="8"/>
      <c r="M4476" s="8"/>
      <c r="N4476" s="11"/>
      <c r="O4476" s="11"/>
      <c r="P4476" s="11"/>
      <c r="Q4476" s="11"/>
      <c r="R4476" s="11"/>
      <c r="S4476" s="12"/>
      <c r="T4476" s="8"/>
      <c r="U4476" s="8"/>
      <c r="V4476" s="13"/>
      <c r="W4476" s="13"/>
      <c r="X4476" s="12"/>
      <c r="Y4476" s="14"/>
      <c r="Z4476" s="14"/>
    </row>
    <row r="4477">
      <c r="A4477" s="8"/>
      <c r="B4477" s="8"/>
      <c r="C4477" s="8"/>
      <c r="D4477" s="8"/>
      <c r="E4477" s="8"/>
      <c r="F4477" s="8"/>
      <c r="G4477" s="8"/>
      <c r="H4477" s="8"/>
      <c r="I4477" s="8"/>
      <c r="J4477" s="8"/>
      <c r="K4477" s="10"/>
      <c r="L4477" s="8"/>
      <c r="M4477" s="8"/>
      <c r="N4477" s="11"/>
      <c r="O4477" s="11"/>
      <c r="P4477" s="11"/>
      <c r="Q4477" s="11"/>
      <c r="R4477" s="11"/>
      <c r="S4477" s="12"/>
      <c r="T4477" s="8"/>
      <c r="U4477" s="8"/>
      <c r="V4477" s="13"/>
      <c r="W4477" s="13"/>
      <c r="X4477" s="12"/>
      <c r="Y4477" s="14"/>
      <c r="Z4477" s="14"/>
    </row>
    <row r="4478">
      <c r="A4478" s="8"/>
      <c r="B4478" s="8"/>
      <c r="C4478" s="8"/>
      <c r="D4478" s="8"/>
      <c r="E4478" s="8"/>
      <c r="F4478" s="8"/>
      <c r="G4478" s="8"/>
      <c r="H4478" s="8"/>
      <c r="I4478" s="8"/>
      <c r="J4478" s="8"/>
      <c r="K4478" s="10"/>
      <c r="L4478" s="8"/>
      <c r="M4478" s="8"/>
      <c r="N4478" s="11"/>
      <c r="O4478" s="11"/>
      <c r="P4478" s="11"/>
      <c r="Q4478" s="11"/>
      <c r="R4478" s="11"/>
      <c r="S4478" s="12"/>
      <c r="T4478" s="8"/>
      <c r="U4478" s="8"/>
      <c r="V4478" s="13"/>
      <c r="W4478" s="13"/>
      <c r="X4478" s="12"/>
      <c r="Y4478" s="14"/>
      <c r="Z4478" s="14"/>
    </row>
    <row r="4479">
      <c r="A4479" s="8"/>
      <c r="B4479" s="8"/>
      <c r="C4479" s="8"/>
      <c r="D4479" s="8"/>
      <c r="E4479" s="8"/>
      <c r="F4479" s="8"/>
      <c r="G4479" s="8"/>
      <c r="H4479" s="8"/>
      <c r="I4479" s="8"/>
      <c r="J4479" s="8"/>
      <c r="K4479" s="10"/>
      <c r="L4479" s="8"/>
      <c r="M4479" s="8"/>
      <c r="N4479" s="11"/>
      <c r="O4479" s="11"/>
      <c r="P4479" s="11"/>
      <c r="Q4479" s="11"/>
      <c r="R4479" s="11"/>
      <c r="S4479" s="12"/>
      <c r="T4479" s="8"/>
      <c r="U4479" s="8"/>
      <c r="V4479" s="13"/>
      <c r="W4479" s="13"/>
      <c r="X4479" s="12"/>
      <c r="Y4479" s="14"/>
      <c r="Z4479" s="14"/>
    </row>
    <row r="4480">
      <c r="A4480" s="8"/>
      <c r="B4480" s="8"/>
      <c r="C4480" s="8"/>
      <c r="D4480" s="8"/>
      <c r="E4480" s="8"/>
      <c r="F4480" s="8"/>
      <c r="G4480" s="8"/>
      <c r="H4480" s="8"/>
      <c r="I4480" s="8"/>
      <c r="J4480" s="8"/>
      <c r="K4480" s="10"/>
      <c r="L4480" s="8"/>
      <c r="M4480" s="8"/>
      <c r="N4480" s="11"/>
      <c r="O4480" s="11"/>
      <c r="P4480" s="11"/>
      <c r="Q4480" s="11"/>
      <c r="R4480" s="11"/>
      <c r="S4480" s="12"/>
      <c r="T4480" s="8"/>
      <c r="U4480" s="8"/>
      <c r="V4480" s="13"/>
      <c r="W4480" s="13"/>
      <c r="X4480" s="12"/>
      <c r="Y4480" s="14"/>
      <c r="Z4480" s="14"/>
    </row>
    <row r="4481">
      <c r="A4481" s="8"/>
      <c r="B4481" s="8"/>
      <c r="C4481" s="8"/>
      <c r="D4481" s="8"/>
      <c r="E4481" s="8"/>
      <c r="F4481" s="8"/>
      <c r="G4481" s="8"/>
      <c r="H4481" s="8"/>
      <c r="I4481" s="8"/>
      <c r="J4481" s="8"/>
      <c r="K4481" s="10"/>
      <c r="L4481" s="8"/>
      <c r="M4481" s="8"/>
      <c r="N4481" s="11"/>
      <c r="O4481" s="11"/>
      <c r="P4481" s="11"/>
      <c r="Q4481" s="11"/>
      <c r="R4481" s="11"/>
      <c r="S4481" s="12"/>
      <c r="T4481" s="8"/>
      <c r="U4481" s="8"/>
      <c r="V4481" s="13"/>
      <c r="W4481" s="13"/>
      <c r="X4481" s="12"/>
      <c r="Y4481" s="14"/>
      <c r="Z4481" s="14"/>
    </row>
    <row r="4482">
      <c r="A4482" s="8"/>
      <c r="B4482" s="8"/>
      <c r="C4482" s="8"/>
      <c r="D4482" s="8"/>
      <c r="E4482" s="8"/>
      <c r="F4482" s="8"/>
      <c r="G4482" s="8"/>
      <c r="H4482" s="8"/>
      <c r="I4482" s="8"/>
      <c r="J4482" s="8"/>
      <c r="K4482" s="10"/>
      <c r="L4482" s="8"/>
      <c r="M4482" s="8"/>
      <c r="N4482" s="11"/>
      <c r="O4482" s="11"/>
      <c r="P4482" s="11"/>
      <c r="Q4482" s="11"/>
      <c r="R4482" s="11"/>
      <c r="S4482" s="12"/>
      <c r="T4482" s="8"/>
      <c r="U4482" s="8"/>
      <c r="V4482" s="13"/>
      <c r="W4482" s="13"/>
      <c r="X4482" s="12"/>
      <c r="Y4482" s="14"/>
      <c r="Z4482" s="14"/>
    </row>
    <row r="4483">
      <c r="A4483" s="8"/>
      <c r="B4483" s="8"/>
      <c r="C4483" s="8"/>
      <c r="D4483" s="8"/>
      <c r="E4483" s="8"/>
      <c r="F4483" s="8"/>
      <c r="G4483" s="8"/>
      <c r="H4483" s="8"/>
      <c r="I4483" s="8"/>
      <c r="J4483" s="8"/>
      <c r="K4483" s="10"/>
      <c r="L4483" s="8"/>
      <c r="M4483" s="8"/>
      <c r="N4483" s="11"/>
      <c r="O4483" s="11"/>
      <c r="P4483" s="11"/>
      <c r="Q4483" s="11"/>
      <c r="R4483" s="11"/>
      <c r="S4483" s="12"/>
      <c r="T4483" s="8"/>
      <c r="U4483" s="8"/>
      <c r="V4483" s="13"/>
      <c r="W4483" s="13"/>
      <c r="X4483" s="12"/>
      <c r="Y4483" s="14"/>
      <c r="Z4483" s="14"/>
    </row>
    <row r="4484">
      <c r="A4484" s="8"/>
      <c r="B4484" s="8"/>
      <c r="C4484" s="8"/>
      <c r="D4484" s="8"/>
      <c r="E4484" s="8"/>
      <c r="F4484" s="8"/>
      <c r="G4484" s="8"/>
      <c r="H4484" s="8"/>
      <c r="I4484" s="8"/>
      <c r="J4484" s="8"/>
      <c r="K4484" s="10"/>
      <c r="L4484" s="8"/>
      <c r="M4484" s="8"/>
      <c r="N4484" s="11"/>
      <c r="O4484" s="11"/>
      <c r="P4484" s="11"/>
      <c r="Q4484" s="11"/>
      <c r="R4484" s="11"/>
      <c r="S4484" s="12"/>
      <c r="T4484" s="8"/>
      <c r="U4484" s="8"/>
      <c r="V4484" s="13"/>
      <c r="W4484" s="13"/>
      <c r="X4484" s="12"/>
      <c r="Y4484" s="14"/>
      <c r="Z4484" s="14"/>
    </row>
    <row r="4485">
      <c r="A4485" s="8"/>
      <c r="B4485" s="8"/>
      <c r="C4485" s="8"/>
      <c r="D4485" s="8"/>
      <c r="E4485" s="8"/>
      <c r="F4485" s="8"/>
      <c r="G4485" s="8"/>
      <c r="H4485" s="8"/>
      <c r="I4485" s="8"/>
      <c r="J4485" s="8"/>
      <c r="K4485" s="10"/>
      <c r="L4485" s="8"/>
      <c r="M4485" s="8"/>
      <c r="N4485" s="11"/>
      <c r="O4485" s="11"/>
      <c r="P4485" s="11"/>
      <c r="Q4485" s="11"/>
      <c r="R4485" s="11"/>
      <c r="S4485" s="12"/>
      <c r="T4485" s="8"/>
      <c r="U4485" s="8"/>
      <c r="V4485" s="13"/>
      <c r="W4485" s="13"/>
      <c r="X4485" s="12"/>
      <c r="Y4485" s="14"/>
      <c r="Z4485" s="14"/>
    </row>
    <row r="4486">
      <c r="A4486" s="8"/>
      <c r="B4486" s="8"/>
      <c r="C4486" s="8"/>
      <c r="D4486" s="8"/>
      <c r="E4486" s="8"/>
      <c r="F4486" s="8"/>
      <c r="G4486" s="8"/>
      <c r="H4486" s="8"/>
      <c r="I4486" s="8"/>
      <c r="J4486" s="8"/>
      <c r="K4486" s="10"/>
      <c r="L4486" s="8"/>
      <c r="M4486" s="8"/>
      <c r="N4486" s="11"/>
      <c r="O4486" s="11"/>
      <c r="P4486" s="11"/>
      <c r="Q4486" s="11"/>
      <c r="R4486" s="11"/>
      <c r="S4486" s="12"/>
      <c r="T4486" s="8"/>
      <c r="U4486" s="8"/>
      <c r="V4486" s="13"/>
      <c r="W4486" s="13"/>
      <c r="X4486" s="12"/>
      <c r="Y4486" s="14"/>
      <c r="Z4486" s="14"/>
    </row>
    <row r="4487">
      <c r="A4487" s="8"/>
      <c r="B4487" s="8"/>
      <c r="C4487" s="8"/>
      <c r="D4487" s="8"/>
      <c r="E4487" s="8"/>
      <c r="F4487" s="8"/>
      <c r="G4487" s="8"/>
      <c r="H4487" s="8"/>
      <c r="I4487" s="8"/>
      <c r="J4487" s="8"/>
      <c r="K4487" s="10"/>
      <c r="L4487" s="8"/>
      <c r="M4487" s="8"/>
      <c r="N4487" s="11"/>
      <c r="O4487" s="11"/>
      <c r="P4487" s="11"/>
      <c r="Q4487" s="11"/>
      <c r="R4487" s="11"/>
      <c r="S4487" s="12"/>
      <c r="T4487" s="8"/>
      <c r="U4487" s="8"/>
      <c r="V4487" s="13"/>
      <c r="W4487" s="13"/>
      <c r="X4487" s="12"/>
      <c r="Y4487" s="14"/>
      <c r="Z4487" s="14"/>
    </row>
    <row r="4488">
      <c r="A4488" s="8"/>
      <c r="B4488" s="8"/>
      <c r="C4488" s="8"/>
      <c r="D4488" s="8"/>
      <c r="E4488" s="8"/>
      <c r="F4488" s="8"/>
      <c r="G4488" s="8"/>
      <c r="H4488" s="8"/>
      <c r="I4488" s="8"/>
      <c r="J4488" s="8"/>
      <c r="K4488" s="10"/>
      <c r="L4488" s="8"/>
      <c r="M4488" s="8"/>
      <c r="N4488" s="11"/>
      <c r="O4488" s="11"/>
      <c r="P4488" s="11"/>
      <c r="Q4488" s="11"/>
      <c r="R4488" s="11"/>
      <c r="S4488" s="12"/>
      <c r="T4488" s="8"/>
      <c r="U4488" s="8"/>
      <c r="V4488" s="13"/>
      <c r="W4488" s="13"/>
      <c r="X4488" s="12"/>
      <c r="Y4488" s="14"/>
      <c r="Z4488" s="14"/>
    </row>
    <row r="4489">
      <c r="A4489" s="8"/>
      <c r="B4489" s="8"/>
      <c r="C4489" s="8"/>
      <c r="D4489" s="8"/>
      <c r="E4489" s="8"/>
      <c r="F4489" s="8"/>
      <c r="G4489" s="8"/>
      <c r="H4489" s="8"/>
      <c r="I4489" s="8"/>
      <c r="J4489" s="8"/>
      <c r="K4489" s="10"/>
      <c r="L4489" s="8"/>
      <c r="M4489" s="8"/>
      <c r="N4489" s="11"/>
      <c r="O4489" s="11"/>
      <c r="P4489" s="11"/>
      <c r="Q4489" s="11"/>
      <c r="R4489" s="11"/>
      <c r="S4489" s="12"/>
      <c r="T4489" s="8"/>
      <c r="U4489" s="8"/>
      <c r="V4489" s="13"/>
      <c r="W4489" s="13"/>
      <c r="X4489" s="12"/>
      <c r="Y4489" s="14"/>
      <c r="Z4489" s="14"/>
    </row>
    <row r="4490">
      <c r="A4490" s="8"/>
      <c r="B4490" s="8"/>
      <c r="C4490" s="8"/>
      <c r="D4490" s="8"/>
      <c r="E4490" s="8"/>
      <c r="F4490" s="8"/>
      <c r="G4490" s="8"/>
      <c r="H4490" s="8"/>
      <c r="I4490" s="8"/>
      <c r="J4490" s="8"/>
      <c r="K4490" s="10"/>
      <c r="L4490" s="8"/>
      <c r="M4490" s="8"/>
      <c r="N4490" s="11"/>
      <c r="O4490" s="11"/>
      <c r="P4490" s="11"/>
      <c r="Q4490" s="11"/>
      <c r="R4490" s="11"/>
      <c r="S4490" s="12"/>
      <c r="T4490" s="8"/>
      <c r="U4490" s="8"/>
      <c r="V4490" s="13"/>
      <c r="W4490" s="13"/>
      <c r="X4490" s="12"/>
      <c r="Y4490" s="14"/>
      <c r="Z4490" s="14"/>
    </row>
    <row r="4491">
      <c r="A4491" s="8"/>
      <c r="B4491" s="8"/>
      <c r="C4491" s="8"/>
      <c r="D4491" s="8"/>
      <c r="E4491" s="8"/>
      <c r="F4491" s="8"/>
      <c r="G4491" s="8"/>
      <c r="H4491" s="8"/>
      <c r="I4491" s="8"/>
      <c r="J4491" s="8"/>
      <c r="K4491" s="10"/>
      <c r="L4491" s="8"/>
      <c r="M4491" s="8"/>
      <c r="N4491" s="11"/>
      <c r="O4491" s="11"/>
      <c r="P4491" s="11"/>
      <c r="Q4491" s="11"/>
      <c r="R4491" s="11"/>
      <c r="S4491" s="12"/>
      <c r="T4491" s="8"/>
      <c r="U4491" s="8"/>
      <c r="V4491" s="13"/>
      <c r="W4491" s="13"/>
      <c r="X4491" s="12"/>
      <c r="Y4491" s="14"/>
      <c r="Z4491" s="14"/>
    </row>
    <row r="4492">
      <c r="A4492" s="8"/>
      <c r="B4492" s="8"/>
      <c r="C4492" s="8"/>
      <c r="D4492" s="8"/>
      <c r="E4492" s="8"/>
      <c r="F4492" s="8"/>
      <c r="G4492" s="8"/>
      <c r="H4492" s="8"/>
      <c r="I4492" s="8"/>
      <c r="J4492" s="8"/>
      <c r="K4492" s="10"/>
      <c r="L4492" s="8"/>
      <c r="M4492" s="8"/>
      <c r="N4492" s="11"/>
      <c r="O4492" s="11"/>
      <c r="P4492" s="11"/>
      <c r="Q4492" s="11"/>
      <c r="R4492" s="11"/>
      <c r="S4492" s="12"/>
      <c r="T4492" s="8"/>
      <c r="U4492" s="8"/>
      <c r="V4492" s="13"/>
      <c r="W4492" s="13"/>
      <c r="X4492" s="12"/>
      <c r="Y4492" s="14"/>
      <c r="Z4492" s="14"/>
    </row>
    <row r="4493">
      <c r="A4493" s="8"/>
      <c r="B4493" s="8"/>
      <c r="C4493" s="8"/>
      <c r="D4493" s="8"/>
      <c r="E4493" s="8"/>
      <c r="F4493" s="8"/>
      <c r="G4493" s="8"/>
      <c r="H4493" s="8"/>
      <c r="I4493" s="8"/>
      <c r="J4493" s="8"/>
      <c r="K4493" s="10"/>
      <c r="L4493" s="8"/>
      <c r="M4493" s="8"/>
      <c r="N4493" s="11"/>
      <c r="O4493" s="11"/>
      <c r="P4493" s="11"/>
      <c r="Q4493" s="11"/>
      <c r="R4493" s="11"/>
      <c r="S4493" s="12"/>
      <c r="T4493" s="8"/>
      <c r="U4493" s="8"/>
      <c r="V4493" s="13"/>
      <c r="W4493" s="13"/>
      <c r="X4493" s="12"/>
      <c r="Y4493" s="14"/>
      <c r="Z4493" s="14"/>
    </row>
    <row r="4494">
      <c r="A4494" s="8"/>
      <c r="B4494" s="8"/>
      <c r="C4494" s="8"/>
      <c r="D4494" s="8"/>
      <c r="E4494" s="8"/>
      <c r="F4494" s="8"/>
      <c r="G4494" s="8"/>
      <c r="H4494" s="8"/>
      <c r="I4494" s="8"/>
      <c r="J4494" s="8"/>
      <c r="K4494" s="10"/>
      <c r="L4494" s="8"/>
      <c r="M4494" s="8"/>
      <c r="N4494" s="11"/>
      <c r="O4494" s="11"/>
      <c r="P4494" s="11"/>
      <c r="Q4494" s="11"/>
      <c r="R4494" s="11"/>
      <c r="S4494" s="12"/>
      <c r="T4494" s="8"/>
      <c r="U4494" s="8"/>
      <c r="V4494" s="13"/>
      <c r="W4494" s="13"/>
      <c r="X4494" s="12"/>
      <c r="Y4494" s="14"/>
      <c r="Z4494" s="14"/>
    </row>
    <row r="4495">
      <c r="A4495" s="8"/>
      <c r="B4495" s="8"/>
      <c r="C4495" s="8"/>
      <c r="D4495" s="8"/>
      <c r="E4495" s="8"/>
      <c r="F4495" s="8"/>
      <c r="G4495" s="8"/>
      <c r="H4495" s="8"/>
      <c r="I4495" s="8"/>
      <c r="J4495" s="8"/>
      <c r="K4495" s="10"/>
      <c r="L4495" s="8"/>
      <c r="M4495" s="8"/>
      <c r="N4495" s="11"/>
      <c r="O4495" s="11"/>
      <c r="P4495" s="11"/>
      <c r="Q4495" s="11"/>
      <c r="R4495" s="11"/>
      <c r="S4495" s="12"/>
      <c r="T4495" s="8"/>
      <c r="U4495" s="8"/>
      <c r="V4495" s="13"/>
      <c r="W4495" s="13"/>
      <c r="X4495" s="12"/>
      <c r="Y4495" s="14"/>
      <c r="Z4495" s="14"/>
    </row>
    <row r="4496">
      <c r="A4496" s="8"/>
      <c r="B4496" s="8"/>
      <c r="C4496" s="8"/>
      <c r="D4496" s="8"/>
      <c r="E4496" s="8"/>
      <c r="F4496" s="8"/>
      <c r="G4496" s="8"/>
      <c r="H4496" s="8"/>
      <c r="I4496" s="8"/>
      <c r="J4496" s="8"/>
      <c r="K4496" s="10"/>
      <c r="L4496" s="8"/>
      <c r="M4496" s="8"/>
      <c r="N4496" s="11"/>
      <c r="O4496" s="11"/>
      <c r="P4496" s="11"/>
      <c r="Q4496" s="11"/>
      <c r="R4496" s="11"/>
      <c r="S4496" s="12"/>
      <c r="T4496" s="8"/>
      <c r="U4496" s="8"/>
      <c r="V4496" s="13"/>
      <c r="W4496" s="13"/>
      <c r="X4496" s="12"/>
      <c r="Y4496" s="14"/>
      <c r="Z4496" s="14"/>
    </row>
    <row r="4497">
      <c r="A4497" s="8"/>
      <c r="B4497" s="8"/>
      <c r="C4497" s="8"/>
      <c r="D4497" s="8"/>
      <c r="E4497" s="8"/>
      <c r="F4497" s="8"/>
      <c r="G4497" s="8"/>
      <c r="H4497" s="8"/>
      <c r="I4497" s="8"/>
      <c r="J4497" s="8"/>
      <c r="K4497" s="10"/>
      <c r="L4497" s="8"/>
      <c r="M4497" s="8"/>
      <c r="N4497" s="11"/>
      <c r="O4497" s="11"/>
      <c r="P4497" s="11"/>
      <c r="Q4497" s="11"/>
      <c r="R4497" s="11"/>
      <c r="S4497" s="12"/>
      <c r="T4497" s="8"/>
      <c r="U4497" s="8"/>
      <c r="V4497" s="13"/>
      <c r="W4497" s="13"/>
      <c r="X4497" s="12"/>
      <c r="Y4497" s="14"/>
      <c r="Z4497" s="14"/>
    </row>
    <row r="4498">
      <c r="A4498" s="8"/>
      <c r="B4498" s="8"/>
      <c r="C4498" s="8"/>
      <c r="D4498" s="8"/>
      <c r="E4498" s="8"/>
      <c r="F4498" s="8"/>
      <c r="G4498" s="8"/>
      <c r="H4498" s="8"/>
      <c r="I4498" s="8"/>
      <c r="J4498" s="8"/>
      <c r="K4498" s="10"/>
      <c r="L4498" s="8"/>
      <c r="M4498" s="8"/>
      <c r="N4498" s="11"/>
      <c r="O4498" s="11"/>
      <c r="P4498" s="11"/>
      <c r="Q4498" s="11"/>
      <c r="R4498" s="11"/>
      <c r="S4498" s="12"/>
      <c r="T4498" s="8"/>
      <c r="U4498" s="8"/>
      <c r="V4498" s="13"/>
      <c r="W4498" s="13"/>
      <c r="X4498" s="12"/>
      <c r="Y4498" s="14"/>
      <c r="Z4498" s="14"/>
    </row>
    <row r="4499">
      <c r="A4499" s="8"/>
      <c r="B4499" s="8"/>
      <c r="C4499" s="8"/>
      <c r="D4499" s="8"/>
      <c r="E4499" s="8"/>
      <c r="F4499" s="8"/>
      <c r="G4499" s="8"/>
      <c r="H4499" s="8"/>
      <c r="I4499" s="8"/>
      <c r="J4499" s="8"/>
      <c r="K4499" s="10"/>
      <c r="L4499" s="8"/>
      <c r="M4499" s="8"/>
      <c r="N4499" s="11"/>
      <c r="O4499" s="11"/>
      <c r="P4499" s="11"/>
      <c r="Q4499" s="11"/>
      <c r="R4499" s="11"/>
      <c r="S4499" s="12"/>
      <c r="T4499" s="8"/>
      <c r="U4499" s="8"/>
      <c r="V4499" s="13"/>
      <c r="W4499" s="13"/>
      <c r="X4499" s="12"/>
      <c r="Y4499" s="14"/>
      <c r="Z4499" s="14"/>
    </row>
    <row r="4500">
      <c r="A4500" s="8"/>
      <c r="B4500" s="8"/>
      <c r="C4500" s="8"/>
      <c r="D4500" s="8"/>
      <c r="E4500" s="8"/>
      <c r="F4500" s="8"/>
      <c r="G4500" s="8"/>
      <c r="H4500" s="8"/>
      <c r="I4500" s="8"/>
      <c r="J4500" s="8"/>
      <c r="K4500" s="10"/>
      <c r="L4500" s="8"/>
      <c r="M4500" s="8"/>
      <c r="N4500" s="11"/>
      <c r="O4500" s="11"/>
      <c r="P4500" s="11"/>
      <c r="Q4500" s="11"/>
      <c r="R4500" s="11"/>
      <c r="S4500" s="12"/>
      <c r="T4500" s="8"/>
      <c r="U4500" s="8"/>
      <c r="V4500" s="13"/>
      <c r="W4500" s="13"/>
      <c r="X4500" s="12"/>
      <c r="Y4500" s="14"/>
      <c r="Z4500" s="14"/>
    </row>
    <row r="4501">
      <c r="A4501" s="8"/>
      <c r="B4501" s="8"/>
      <c r="C4501" s="8"/>
      <c r="D4501" s="8"/>
      <c r="E4501" s="8"/>
      <c r="F4501" s="8"/>
      <c r="G4501" s="8"/>
      <c r="H4501" s="8"/>
      <c r="I4501" s="8"/>
      <c r="J4501" s="8"/>
      <c r="K4501" s="10"/>
      <c r="L4501" s="8"/>
      <c r="M4501" s="8"/>
      <c r="N4501" s="11"/>
      <c r="O4501" s="11"/>
      <c r="P4501" s="11"/>
      <c r="Q4501" s="11"/>
      <c r="R4501" s="11"/>
      <c r="S4501" s="12"/>
      <c r="T4501" s="8"/>
      <c r="U4501" s="8"/>
      <c r="V4501" s="13"/>
      <c r="W4501" s="13"/>
      <c r="X4501" s="12"/>
      <c r="Y4501" s="14"/>
      <c r="Z4501" s="14"/>
    </row>
    <row r="4502">
      <c r="A4502" s="8"/>
      <c r="B4502" s="8"/>
      <c r="C4502" s="8"/>
      <c r="D4502" s="8"/>
      <c r="E4502" s="8"/>
      <c r="F4502" s="8"/>
      <c r="G4502" s="8"/>
      <c r="H4502" s="8"/>
      <c r="I4502" s="8"/>
      <c r="J4502" s="8"/>
      <c r="K4502" s="10"/>
      <c r="L4502" s="8"/>
      <c r="M4502" s="8"/>
      <c r="N4502" s="11"/>
      <c r="O4502" s="11"/>
      <c r="P4502" s="11"/>
      <c r="Q4502" s="11"/>
      <c r="R4502" s="11"/>
      <c r="S4502" s="12"/>
      <c r="T4502" s="8"/>
      <c r="U4502" s="8"/>
      <c r="V4502" s="13"/>
      <c r="W4502" s="13"/>
      <c r="X4502" s="12"/>
      <c r="Y4502" s="14"/>
      <c r="Z4502" s="14"/>
    </row>
    <row r="4503">
      <c r="A4503" s="8"/>
      <c r="B4503" s="8"/>
      <c r="C4503" s="8"/>
      <c r="D4503" s="8"/>
      <c r="E4503" s="8"/>
      <c r="F4503" s="8"/>
      <c r="G4503" s="8"/>
      <c r="H4503" s="8"/>
      <c r="I4503" s="8"/>
      <c r="J4503" s="8"/>
      <c r="K4503" s="10"/>
      <c r="L4503" s="8"/>
      <c r="M4503" s="8"/>
      <c r="N4503" s="11"/>
      <c r="O4503" s="11"/>
      <c r="P4503" s="11"/>
      <c r="Q4503" s="11"/>
      <c r="R4503" s="11"/>
      <c r="S4503" s="12"/>
      <c r="T4503" s="8"/>
      <c r="U4503" s="8"/>
      <c r="V4503" s="13"/>
      <c r="W4503" s="13"/>
      <c r="X4503" s="12"/>
      <c r="Y4503" s="14"/>
      <c r="Z4503" s="14"/>
    </row>
    <row r="4504">
      <c r="A4504" s="8"/>
      <c r="B4504" s="8"/>
      <c r="C4504" s="8"/>
      <c r="D4504" s="8"/>
      <c r="E4504" s="8"/>
      <c r="F4504" s="8"/>
      <c r="G4504" s="8"/>
      <c r="H4504" s="8"/>
      <c r="I4504" s="8"/>
      <c r="J4504" s="8"/>
      <c r="K4504" s="10"/>
      <c r="L4504" s="8"/>
      <c r="M4504" s="8"/>
      <c r="N4504" s="11"/>
      <c r="O4504" s="11"/>
      <c r="P4504" s="11"/>
      <c r="Q4504" s="11"/>
      <c r="R4504" s="11"/>
      <c r="S4504" s="12"/>
      <c r="T4504" s="8"/>
      <c r="U4504" s="8"/>
      <c r="V4504" s="13"/>
      <c r="W4504" s="13"/>
      <c r="X4504" s="12"/>
      <c r="Y4504" s="14"/>
      <c r="Z4504" s="14"/>
    </row>
    <row r="4505">
      <c r="A4505" s="8"/>
      <c r="B4505" s="8"/>
      <c r="C4505" s="8"/>
      <c r="D4505" s="8"/>
      <c r="E4505" s="8"/>
      <c r="F4505" s="8"/>
      <c r="G4505" s="8"/>
      <c r="H4505" s="8"/>
      <c r="I4505" s="8"/>
      <c r="J4505" s="8"/>
      <c r="K4505" s="10"/>
      <c r="L4505" s="8"/>
      <c r="M4505" s="8"/>
      <c r="N4505" s="11"/>
      <c r="O4505" s="11"/>
      <c r="P4505" s="11"/>
      <c r="Q4505" s="11"/>
      <c r="R4505" s="11"/>
      <c r="S4505" s="12"/>
      <c r="T4505" s="8"/>
      <c r="U4505" s="8"/>
      <c r="V4505" s="13"/>
      <c r="W4505" s="13"/>
      <c r="X4505" s="12"/>
      <c r="Y4505" s="14"/>
      <c r="Z4505" s="14"/>
    </row>
    <row r="4506">
      <c r="A4506" s="8"/>
      <c r="B4506" s="8"/>
      <c r="C4506" s="8"/>
      <c r="D4506" s="8"/>
      <c r="E4506" s="8"/>
      <c r="F4506" s="8"/>
      <c r="G4506" s="8"/>
      <c r="H4506" s="8"/>
      <c r="I4506" s="8"/>
      <c r="J4506" s="8"/>
      <c r="K4506" s="10"/>
      <c r="L4506" s="8"/>
      <c r="M4506" s="8"/>
      <c r="N4506" s="11"/>
      <c r="O4506" s="11"/>
      <c r="P4506" s="11"/>
      <c r="Q4506" s="11"/>
      <c r="R4506" s="11"/>
      <c r="S4506" s="12"/>
      <c r="T4506" s="8"/>
      <c r="U4506" s="8"/>
      <c r="V4506" s="13"/>
      <c r="W4506" s="13"/>
      <c r="X4506" s="12"/>
      <c r="Y4506" s="14"/>
      <c r="Z4506" s="14"/>
    </row>
    <row r="4507">
      <c r="A4507" s="8"/>
      <c r="B4507" s="8"/>
      <c r="C4507" s="8"/>
      <c r="D4507" s="8"/>
      <c r="E4507" s="8"/>
      <c r="F4507" s="8"/>
      <c r="G4507" s="8"/>
      <c r="H4507" s="8"/>
      <c r="I4507" s="8"/>
      <c r="J4507" s="8"/>
      <c r="K4507" s="10"/>
      <c r="L4507" s="8"/>
      <c r="M4507" s="8"/>
      <c r="N4507" s="11"/>
      <c r="O4507" s="11"/>
      <c r="P4507" s="11"/>
      <c r="Q4507" s="11"/>
      <c r="R4507" s="11"/>
      <c r="S4507" s="12"/>
      <c r="T4507" s="8"/>
      <c r="U4507" s="8"/>
      <c r="V4507" s="13"/>
      <c r="W4507" s="13"/>
      <c r="X4507" s="12"/>
      <c r="Y4507" s="14"/>
      <c r="Z4507" s="14"/>
    </row>
    <row r="4508">
      <c r="A4508" s="8"/>
      <c r="B4508" s="8"/>
      <c r="C4508" s="8"/>
      <c r="D4508" s="8"/>
      <c r="E4508" s="8"/>
      <c r="F4508" s="8"/>
      <c r="G4508" s="8"/>
      <c r="H4508" s="8"/>
      <c r="I4508" s="8"/>
      <c r="J4508" s="8"/>
      <c r="K4508" s="10"/>
      <c r="L4508" s="8"/>
      <c r="M4508" s="8"/>
      <c r="N4508" s="11"/>
      <c r="O4508" s="11"/>
      <c r="P4508" s="11"/>
      <c r="Q4508" s="11"/>
      <c r="R4508" s="11"/>
      <c r="S4508" s="12"/>
      <c r="T4508" s="8"/>
      <c r="U4508" s="8"/>
      <c r="V4508" s="13"/>
      <c r="W4508" s="13"/>
      <c r="X4508" s="12"/>
      <c r="Y4508" s="14"/>
      <c r="Z4508" s="14"/>
    </row>
    <row r="4509">
      <c r="A4509" s="8"/>
      <c r="B4509" s="8"/>
      <c r="C4509" s="8"/>
      <c r="D4509" s="8"/>
      <c r="E4509" s="8"/>
      <c r="F4509" s="8"/>
      <c r="G4509" s="8"/>
      <c r="H4509" s="8"/>
      <c r="I4509" s="8"/>
      <c r="J4509" s="8"/>
      <c r="K4509" s="10"/>
      <c r="L4509" s="8"/>
      <c r="M4509" s="8"/>
      <c r="N4509" s="11"/>
      <c r="O4509" s="11"/>
      <c r="P4509" s="11"/>
      <c r="Q4509" s="11"/>
      <c r="R4509" s="11"/>
      <c r="S4509" s="12"/>
      <c r="T4509" s="8"/>
      <c r="U4509" s="8"/>
      <c r="V4509" s="13"/>
      <c r="W4509" s="13"/>
      <c r="X4509" s="12"/>
      <c r="Y4509" s="14"/>
      <c r="Z4509" s="14"/>
    </row>
    <row r="4510">
      <c r="A4510" s="8"/>
      <c r="B4510" s="8"/>
      <c r="C4510" s="8"/>
      <c r="D4510" s="8"/>
      <c r="E4510" s="8"/>
      <c r="F4510" s="8"/>
      <c r="G4510" s="8"/>
      <c r="H4510" s="8"/>
      <c r="I4510" s="8"/>
      <c r="J4510" s="8"/>
      <c r="K4510" s="10"/>
      <c r="L4510" s="8"/>
      <c r="M4510" s="8"/>
      <c r="N4510" s="11"/>
      <c r="O4510" s="11"/>
      <c r="P4510" s="11"/>
      <c r="Q4510" s="11"/>
      <c r="R4510" s="11"/>
      <c r="S4510" s="12"/>
      <c r="T4510" s="8"/>
      <c r="U4510" s="8"/>
      <c r="V4510" s="13"/>
      <c r="W4510" s="13"/>
      <c r="X4510" s="12"/>
      <c r="Y4510" s="14"/>
      <c r="Z4510" s="14"/>
    </row>
    <row r="4511">
      <c r="A4511" s="8"/>
      <c r="B4511" s="8"/>
      <c r="C4511" s="8"/>
      <c r="D4511" s="8"/>
      <c r="E4511" s="8"/>
      <c r="F4511" s="8"/>
      <c r="G4511" s="8"/>
      <c r="H4511" s="8"/>
      <c r="I4511" s="8"/>
      <c r="J4511" s="8"/>
      <c r="K4511" s="10"/>
      <c r="L4511" s="8"/>
      <c r="M4511" s="8"/>
      <c r="N4511" s="11"/>
      <c r="O4511" s="11"/>
      <c r="P4511" s="11"/>
      <c r="Q4511" s="11"/>
      <c r="R4511" s="11"/>
      <c r="S4511" s="12"/>
      <c r="T4511" s="8"/>
      <c r="U4511" s="8"/>
      <c r="V4511" s="13"/>
      <c r="W4511" s="13"/>
      <c r="X4511" s="12"/>
      <c r="Y4511" s="14"/>
      <c r="Z4511" s="14"/>
    </row>
    <row r="4512">
      <c r="A4512" s="8"/>
      <c r="B4512" s="8"/>
      <c r="C4512" s="8"/>
      <c r="D4512" s="8"/>
      <c r="E4512" s="8"/>
      <c r="F4512" s="8"/>
      <c r="G4512" s="8"/>
      <c r="H4512" s="8"/>
      <c r="I4512" s="8"/>
      <c r="J4512" s="8"/>
      <c r="K4512" s="10"/>
      <c r="L4512" s="8"/>
      <c r="M4512" s="8"/>
      <c r="N4512" s="11"/>
      <c r="O4512" s="11"/>
      <c r="P4512" s="11"/>
      <c r="Q4512" s="11"/>
      <c r="R4512" s="11"/>
      <c r="S4512" s="12"/>
      <c r="T4512" s="8"/>
      <c r="U4512" s="8"/>
      <c r="V4512" s="13"/>
      <c r="W4512" s="13"/>
      <c r="X4512" s="12"/>
      <c r="Y4512" s="14"/>
      <c r="Z4512" s="14"/>
    </row>
    <row r="4513">
      <c r="A4513" s="8"/>
      <c r="B4513" s="8"/>
      <c r="C4513" s="8"/>
      <c r="D4513" s="8"/>
      <c r="E4513" s="8"/>
      <c r="F4513" s="8"/>
      <c r="G4513" s="8"/>
      <c r="H4513" s="8"/>
      <c r="I4513" s="8"/>
      <c r="J4513" s="8"/>
      <c r="K4513" s="10"/>
      <c r="L4513" s="8"/>
      <c r="M4513" s="8"/>
      <c r="N4513" s="11"/>
      <c r="O4513" s="11"/>
      <c r="P4513" s="11"/>
      <c r="Q4513" s="11"/>
      <c r="R4513" s="11"/>
      <c r="S4513" s="12"/>
      <c r="T4513" s="8"/>
      <c r="U4513" s="8"/>
      <c r="V4513" s="13"/>
      <c r="W4513" s="13"/>
      <c r="X4513" s="12"/>
      <c r="Y4513" s="14"/>
      <c r="Z4513" s="14"/>
    </row>
    <row r="4514">
      <c r="A4514" s="8"/>
      <c r="B4514" s="8"/>
      <c r="C4514" s="8"/>
      <c r="D4514" s="8"/>
      <c r="E4514" s="8"/>
      <c r="F4514" s="8"/>
      <c r="G4514" s="8"/>
      <c r="H4514" s="8"/>
      <c r="I4514" s="8"/>
      <c r="J4514" s="8"/>
      <c r="K4514" s="10"/>
      <c r="L4514" s="8"/>
      <c r="M4514" s="8"/>
      <c r="N4514" s="11"/>
      <c r="O4514" s="11"/>
      <c r="P4514" s="11"/>
      <c r="Q4514" s="11"/>
      <c r="R4514" s="11"/>
      <c r="S4514" s="12"/>
      <c r="T4514" s="8"/>
      <c r="U4514" s="8"/>
      <c r="V4514" s="13"/>
      <c r="W4514" s="13"/>
      <c r="X4514" s="12"/>
      <c r="Y4514" s="14"/>
      <c r="Z4514" s="14"/>
    </row>
    <row r="4515">
      <c r="A4515" s="8"/>
      <c r="B4515" s="8"/>
      <c r="C4515" s="8"/>
      <c r="D4515" s="8"/>
      <c r="E4515" s="8"/>
      <c r="F4515" s="8"/>
      <c r="G4515" s="8"/>
      <c r="H4515" s="8"/>
      <c r="I4515" s="8"/>
      <c r="J4515" s="8"/>
      <c r="K4515" s="10"/>
      <c r="L4515" s="8"/>
      <c r="M4515" s="8"/>
      <c r="N4515" s="11"/>
      <c r="O4515" s="11"/>
      <c r="P4515" s="11"/>
      <c r="Q4515" s="11"/>
      <c r="R4515" s="11"/>
      <c r="S4515" s="12"/>
      <c r="T4515" s="8"/>
      <c r="U4515" s="8"/>
      <c r="V4515" s="13"/>
      <c r="W4515" s="13"/>
      <c r="X4515" s="12"/>
      <c r="Y4515" s="14"/>
      <c r="Z4515" s="14"/>
    </row>
    <row r="4516">
      <c r="A4516" s="8"/>
      <c r="B4516" s="8"/>
      <c r="C4516" s="8"/>
      <c r="D4516" s="8"/>
      <c r="E4516" s="8"/>
      <c r="F4516" s="8"/>
      <c r="G4516" s="8"/>
      <c r="H4516" s="8"/>
      <c r="I4516" s="8"/>
      <c r="J4516" s="8"/>
      <c r="K4516" s="10"/>
      <c r="L4516" s="8"/>
      <c r="M4516" s="8"/>
      <c r="N4516" s="11"/>
      <c r="O4516" s="11"/>
      <c r="P4516" s="11"/>
      <c r="Q4516" s="11"/>
      <c r="R4516" s="11"/>
      <c r="S4516" s="12"/>
      <c r="T4516" s="8"/>
      <c r="U4516" s="8"/>
      <c r="V4516" s="13"/>
      <c r="W4516" s="13"/>
      <c r="X4516" s="12"/>
      <c r="Y4516" s="14"/>
      <c r="Z4516" s="14"/>
    </row>
    <row r="4517">
      <c r="A4517" s="8"/>
      <c r="B4517" s="8"/>
      <c r="C4517" s="8"/>
      <c r="D4517" s="8"/>
      <c r="E4517" s="8"/>
      <c r="F4517" s="8"/>
      <c r="G4517" s="8"/>
      <c r="H4517" s="8"/>
      <c r="I4517" s="8"/>
      <c r="J4517" s="8"/>
      <c r="K4517" s="10"/>
      <c r="L4517" s="8"/>
      <c r="M4517" s="8"/>
      <c r="N4517" s="11"/>
      <c r="O4517" s="11"/>
      <c r="P4517" s="11"/>
      <c r="Q4517" s="11"/>
      <c r="R4517" s="11"/>
      <c r="S4517" s="12"/>
      <c r="T4517" s="8"/>
      <c r="U4517" s="8"/>
      <c r="V4517" s="13"/>
      <c r="W4517" s="13"/>
      <c r="X4517" s="12"/>
      <c r="Y4517" s="14"/>
      <c r="Z4517" s="14"/>
    </row>
    <row r="4518">
      <c r="A4518" s="8"/>
      <c r="B4518" s="8"/>
      <c r="C4518" s="8"/>
      <c r="D4518" s="8"/>
      <c r="E4518" s="8"/>
      <c r="F4518" s="8"/>
      <c r="G4518" s="8"/>
      <c r="H4518" s="8"/>
      <c r="I4518" s="8"/>
      <c r="J4518" s="8"/>
      <c r="K4518" s="10"/>
      <c r="L4518" s="8"/>
      <c r="M4518" s="8"/>
      <c r="N4518" s="11"/>
      <c r="O4518" s="11"/>
      <c r="P4518" s="11"/>
      <c r="Q4518" s="11"/>
      <c r="R4518" s="11"/>
      <c r="S4518" s="12"/>
      <c r="T4518" s="8"/>
      <c r="U4518" s="8"/>
      <c r="V4518" s="13"/>
      <c r="W4518" s="13"/>
      <c r="X4518" s="12"/>
      <c r="Y4518" s="14"/>
      <c r="Z4518" s="14"/>
    </row>
    <row r="4519">
      <c r="A4519" s="8"/>
      <c r="B4519" s="8"/>
      <c r="C4519" s="8"/>
      <c r="D4519" s="8"/>
      <c r="E4519" s="8"/>
      <c r="F4519" s="8"/>
      <c r="G4519" s="8"/>
      <c r="H4519" s="8"/>
      <c r="I4519" s="8"/>
      <c r="J4519" s="8"/>
      <c r="K4519" s="10"/>
      <c r="L4519" s="8"/>
      <c r="M4519" s="8"/>
      <c r="N4519" s="11"/>
      <c r="O4519" s="11"/>
      <c r="P4519" s="11"/>
      <c r="Q4519" s="11"/>
      <c r="R4519" s="11"/>
      <c r="S4519" s="12"/>
      <c r="T4519" s="8"/>
      <c r="U4519" s="8"/>
      <c r="V4519" s="13"/>
      <c r="W4519" s="13"/>
      <c r="X4519" s="12"/>
      <c r="Y4519" s="14"/>
      <c r="Z4519" s="14"/>
    </row>
    <row r="4520">
      <c r="A4520" s="8"/>
      <c r="B4520" s="8"/>
      <c r="C4520" s="8"/>
      <c r="D4520" s="8"/>
      <c r="E4520" s="8"/>
      <c r="F4520" s="8"/>
      <c r="G4520" s="8"/>
      <c r="H4520" s="8"/>
      <c r="I4520" s="8"/>
      <c r="J4520" s="8"/>
      <c r="K4520" s="10"/>
      <c r="L4520" s="8"/>
      <c r="M4520" s="8"/>
      <c r="N4520" s="11"/>
      <c r="O4520" s="11"/>
      <c r="P4520" s="11"/>
      <c r="Q4520" s="11"/>
      <c r="R4520" s="11"/>
      <c r="S4520" s="12"/>
      <c r="T4520" s="8"/>
      <c r="U4520" s="8"/>
      <c r="V4520" s="13"/>
      <c r="W4520" s="13"/>
      <c r="X4520" s="12"/>
      <c r="Y4520" s="14"/>
      <c r="Z4520" s="14"/>
    </row>
    <row r="4521">
      <c r="A4521" s="8"/>
      <c r="B4521" s="8"/>
      <c r="C4521" s="8"/>
      <c r="D4521" s="8"/>
      <c r="E4521" s="8"/>
      <c r="F4521" s="8"/>
      <c r="G4521" s="8"/>
      <c r="H4521" s="8"/>
      <c r="I4521" s="8"/>
      <c r="J4521" s="8"/>
      <c r="K4521" s="10"/>
      <c r="L4521" s="8"/>
      <c r="M4521" s="8"/>
      <c r="N4521" s="11"/>
      <c r="O4521" s="11"/>
      <c r="P4521" s="11"/>
      <c r="Q4521" s="11"/>
      <c r="R4521" s="11"/>
      <c r="S4521" s="12"/>
      <c r="T4521" s="8"/>
      <c r="U4521" s="8"/>
      <c r="V4521" s="13"/>
      <c r="W4521" s="13"/>
      <c r="X4521" s="12"/>
      <c r="Y4521" s="14"/>
      <c r="Z4521" s="14"/>
    </row>
    <row r="4522">
      <c r="A4522" s="8"/>
      <c r="B4522" s="8"/>
      <c r="C4522" s="8"/>
      <c r="D4522" s="8"/>
      <c r="E4522" s="8"/>
      <c r="F4522" s="8"/>
      <c r="G4522" s="8"/>
      <c r="H4522" s="8"/>
      <c r="I4522" s="8"/>
      <c r="J4522" s="8"/>
      <c r="K4522" s="10"/>
      <c r="L4522" s="8"/>
      <c r="M4522" s="8"/>
      <c r="N4522" s="11"/>
      <c r="O4522" s="11"/>
      <c r="P4522" s="11"/>
      <c r="Q4522" s="11"/>
      <c r="R4522" s="11"/>
      <c r="S4522" s="12"/>
      <c r="T4522" s="8"/>
      <c r="U4522" s="8"/>
      <c r="V4522" s="13"/>
      <c r="W4522" s="13"/>
      <c r="X4522" s="12"/>
      <c r="Y4522" s="14"/>
      <c r="Z4522" s="14"/>
    </row>
    <row r="4523">
      <c r="A4523" s="8"/>
      <c r="B4523" s="8"/>
      <c r="C4523" s="8"/>
      <c r="D4523" s="8"/>
      <c r="E4523" s="8"/>
      <c r="F4523" s="8"/>
      <c r="G4523" s="8"/>
      <c r="H4523" s="8"/>
      <c r="I4523" s="8"/>
      <c r="J4523" s="8"/>
      <c r="K4523" s="10"/>
      <c r="L4523" s="8"/>
      <c r="M4523" s="8"/>
      <c r="N4523" s="11"/>
      <c r="O4523" s="11"/>
      <c r="P4523" s="11"/>
      <c r="Q4523" s="11"/>
      <c r="R4523" s="11"/>
      <c r="S4523" s="12"/>
      <c r="T4523" s="8"/>
      <c r="U4523" s="8"/>
      <c r="V4523" s="13"/>
      <c r="W4523" s="13"/>
      <c r="X4523" s="12"/>
      <c r="Y4523" s="14"/>
      <c r="Z4523" s="14"/>
    </row>
    <row r="4524">
      <c r="A4524" s="8"/>
      <c r="B4524" s="8"/>
      <c r="C4524" s="8"/>
      <c r="D4524" s="8"/>
      <c r="E4524" s="8"/>
      <c r="F4524" s="8"/>
      <c r="G4524" s="8"/>
      <c r="H4524" s="8"/>
      <c r="I4524" s="8"/>
      <c r="J4524" s="8"/>
      <c r="K4524" s="10"/>
      <c r="L4524" s="8"/>
      <c r="M4524" s="8"/>
      <c r="N4524" s="11"/>
      <c r="O4524" s="11"/>
      <c r="P4524" s="11"/>
      <c r="Q4524" s="11"/>
      <c r="R4524" s="11"/>
      <c r="S4524" s="12"/>
      <c r="T4524" s="8"/>
      <c r="U4524" s="8"/>
      <c r="V4524" s="13"/>
      <c r="W4524" s="13"/>
      <c r="X4524" s="12"/>
      <c r="Y4524" s="14"/>
      <c r="Z4524" s="14"/>
    </row>
    <row r="4525">
      <c r="A4525" s="8"/>
      <c r="B4525" s="8"/>
      <c r="C4525" s="8"/>
      <c r="D4525" s="8"/>
      <c r="E4525" s="8"/>
      <c r="F4525" s="8"/>
      <c r="G4525" s="8"/>
      <c r="H4525" s="8"/>
      <c r="I4525" s="8"/>
      <c r="J4525" s="8"/>
      <c r="K4525" s="10"/>
      <c r="L4525" s="8"/>
      <c r="M4525" s="8"/>
      <c r="N4525" s="11"/>
      <c r="O4525" s="11"/>
      <c r="P4525" s="11"/>
      <c r="Q4525" s="11"/>
      <c r="R4525" s="11"/>
      <c r="S4525" s="12"/>
      <c r="T4525" s="8"/>
      <c r="U4525" s="8"/>
      <c r="V4525" s="13"/>
      <c r="W4525" s="13"/>
      <c r="X4525" s="12"/>
      <c r="Y4525" s="14"/>
      <c r="Z4525" s="14"/>
    </row>
    <row r="4526">
      <c r="A4526" s="8"/>
      <c r="B4526" s="8"/>
      <c r="C4526" s="8"/>
      <c r="D4526" s="8"/>
      <c r="E4526" s="8"/>
      <c r="F4526" s="8"/>
      <c r="G4526" s="8"/>
      <c r="H4526" s="8"/>
      <c r="I4526" s="8"/>
      <c r="J4526" s="8"/>
      <c r="K4526" s="10"/>
      <c r="L4526" s="8"/>
      <c r="M4526" s="8"/>
      <c r="N4526" s="11"/>
      <c r="O4526" s="11"/>
      <c r="P4526" s="11"/>
      <c r="Q4526" s="11"/>
      <c r="R4526" s="11"/>
      <c r="S4526" s="12"/>
      <c r="T4526" s="8"/>
      <c r="U4526" s="8"/>
      <c r="V4526" s="13"/>
      <c r="W4526" s="13"/>
      <c r="X4526" s="12"/>
      <c r="Y4526" s="14"/>
      <c r="Z4526" s="14"/>
    </row>
    <row r="4527">
      <c r="A4527" s="8"/>
      <c r="B4527" s="8"/>
      <c r="C4527" s="8"/>
      <c r="D4527" s="8"/>
      <c r="E4527" s="8"/>
      <c r="F4527" s="8"/>
      <c r="G4527" s="8"/>
      <c r="H4527" s="8"/>
      <c r="I4527" s="8"/>
      <c r="J4527" s="8"/>
      <c r="K4527" s="10"/>
      <c r="L4527" s="8"/>
      <c r="M4527" s="8"/>
      <c r="N4527" s="11"/>
      <c r="O4527" s="11"/>
      <c r="P4527" s="11"/>
      <c r="Q4527" s="11"/>
      <c r="R4527" s="11"/>
      <c r="S4527" s="12"/>
      <c r="T4527" s="8"/>
      <c r="U4527" s="8"/>
      <c r="V4527" s="13"/>
      <c r="W4527" s="13"/>
      <c r="X4527" s="12"/>
      <c r="Y4527" s="14"/>
      <c r="Z4527" s="14"/>
    </row>
    <row r="4528">
      <c r="A4528" s="8"/>
      <c r="B4528" s="8"/>
      <c r="C4528" s="8"/>
      <c r="D4528" s="8"/>
      <c r="E4528" s="8"/>
      <c r="F4528" s="8"/>
      <c r="G4528" s="8"/>
      <c r="H4528" s="8"/>
      <c r="I4528" s="8"/>
      <c r="J4528" s="8"/>
      <c r="K4528" s="10"/>
      <c r="L4528" s="8"/>
      <c r="M4528" s="8"/>
      <c r="N4528" s="11"/>
      <c r="O4528" s="11"/>
      <c r="P4528" s="11"/>
      <c r="Q4528" s="11"/>
      <c r="R4528" s="11"/>
      <c r="S4528" s="12"/>
      <c r="T4528" s="8"/>
      <c r="U4528" s="8"/>
      <c r="V4528" s="13"/>
      <c r="W4528" s="13"/>
      <c r="X4528" s="12"/>
      <c r="Y4528" s="14"/>
      <c r="Z4528" s="14"/>
    </row>
    <row r="4529">
      <c r="A4529" s="8"/>
      <c r="B4529" s="8"/>
      <c r="C4529" s="8"/>
      <c r="D4529" s="8"/>
      <c r="E4529" s="8"/>
      <c r="F4529" s="8"/>
      <c r="G4529" s="8"/>
      <c r="H4529" s="8"/>
      <c r="I4529" s="8"/>
      <c r="J4529" s="8"/>
      <c r="K4529" s="10"/>
      <c r="L4529" s="8"/>
      <c r="M4529" s="8"/>
      <c r="N4529" s="11"/>
      <c r="O4529" s="11"/>
      <c r="P4529" s="11"/>
      <c r="Q4529" s="11"/>
      <c r="R4529" s="11"/>
      <c r="S4529" s="12"/>
      <c r="T4529" s="8"/>
      <c r="U4529" s="8"/>
      <c r="V4529" s="13"/>
      <c r="W4529" s="13"/>
      <c r="X4529" s="12"/>
      <c r="Y4529" s="14"/>
      <c r="Z4529" s="14"/>
    </row>
    <row r="4530">
      <c r="A4530" s="8"/>
      <c r="B4530" s="8"/>
      <c r="C4530" s="8"/>
      <c r="D4530" s="8"/>
      <c r="E4530" s="8"/>
      <c r="F4530" s="8"/>
      <c r="G4530" s="8"/>
      <c r="H4530" s="8"/>
      <c r="I4530" s="8"/>
      <c r="J4530" s="8"/>
      <c r="K4530" s="10"/>
      <c r="L4530" s="8"/>
      <c r="M4530" s="8"/>
      <c r="N4530" s="11"/>
      <c r="O4530" s="11"/>
      <c r="P4530" s="11"/>
      <c r="Q4530" s="11"/>
      <c r="R4530" s="11"/>
      <c r="S4530" s="12"/>
      <c r="T4530" s="8"/>
      <c r="U4530" s="8"/>
      <c r="V4530" s="13"/>
      <c r="W4530" s="13"/>
      <c r="X4530" s="12"/>
      <c r="Y4530" s="14"/>
      <c r="Z4530" s="14"/>
    </row>
    <row r="4531">
      <c r="A4531" s="8"/>
      <c r="B4531" s="8"/>
      <c r="C4531" s="8"/>
      <c r="D4531" s="8"/>
      <c r="E4531" s="8"/>
      <c r="F4531" s="8"/>
      <c r="G4531" s="8"/>
      <c r="H4531" s="8"/>
      <c r="I4531" s="8"/>
      <c r="J4531" s="8"/>
      <c r="K4531" s="10"/>
      <c r="L4531" s="8"/>
      <c r="M4531" s="8"/>
      <c r="N4531" s="11"/>
      <c r="O4531" s="11"/>
      <c r="P4531" s="11"/>
      <c r="Q4531" s="11"/>
      <c r="R4531" s="11"/>
      <c r="S4531" s="12"/>
      <c r="T4531" s="8"/>
      <c r="U4531" s="8"/>
      <c r="V4531" s="13"/>
      <c r="W4531" s="13"/>
      <c r="X4531" s="12"/>
      <c r="Y4531" s="14"/>
      <c r="Z4531" s="14"/>
    </row>
    <row r="4532">
      <c r="A4532" s="8"/>
      <c r="B4532" s="8"/>
      <c r="C4532" s="8"/>
      <c r="D4532" s="8"/>
      <c r="E4532" s="8"/>
      <c r="F4532" s="8"/>
      <c r="G4532" s="8"/>
      <c r="H4532" s="8"/>
      <c r="I4532" s="8"/>
      <c r="J4532" s="8"/>
      <c r="K4532" s="10"/>
      <c r="L4532" s="8"/>
      <c r="M4532" s="8"/>
      <c r="N4532" s="11"/>
      <c r="O4532" s="11"/>
      <c r="P4532" s="11"/>
      <c r="Q4532" s="11"/>
      <c r="R4532" s="11"/>
      <c r="S4532" s="12"/>
      <c r="T4532" s="8"/>
      <c r="U4532" s="8"/>
      <c r="V4532" s="13"/>
      <c r="W4532" s="13"/>
      <c r="X4532" s="12"/>
      <c r="Y4532" s="14"/>
      <c r="Z4532" s="14"/>
    </row>
    <row r="4533">
      <c r="A4533" s="8"/>
      <c r="B4533" s="8"/>
      <c r="C4533" s="8"/>
      <c r="D4533" s="8"/>
      <c r="E4533" s="8"/>
      <c r="F4533" s="8"/>
      <c r="G4533" s="8"/>
      <c r="H4533" s="8"/>
      <c r="I4533" s="8"/>
      <c r="J4533" s="8"/>
      <c r="K4533" s="10"/>
      <c r="L4533" s="8"/>
      <c r="M4533" s="8"/>
      <c r="N4533" s="11"/>
      <c r="O4533" s="11"/>
      <c r="P4533" s="11"/>
      <c r="Q4533" s="11"/>
      <c r="R4533" s="11"/>
      <c r="S4533" s="12"/>
      <c r="T4533" s="8"/>
      <c r="U4533" s="8"/>
      <c r="V4533" s="13"/>
      <c r="W4533" s="13"/>
      <c r="X4533" s="12"/>
      <c r="Y4533" s="14"/>
      <c r="Z4533" s="14"/>
    </row>
    <row r="4534">
      <c r="A4534" s="8"/>
      <c r="B4534" s="8"/>
      <c r="C4534" s="8"/>
      <c r="D4534" s="8"/>
      <c r="E4534" s="8"/>
      <c r="F4534" s="8"/>
      <c r="G4534" s="8"/>
      <c r="H4534" s="8"/>
      <c r="I4534" s="8"/>
      <c r="J4534" s="8"/>
      <c r="K4534" s="10"/>
      <c r="L4534" s="8"/>
      <c r="M4534" s="8"/>
      <c r="N4534" s="11"/>
      <c r="O4534" s="11"/>
      <c r="P4534" s="11"/>
      <c r="Q4534" s="11"/>
      <c r="R4534" s="11"/>
      <c r="S4534" s="12"/>
      <c r="T4534" s="8"/>
      <c r="U4534" s="8"/>
      <c r="V4534" s="13"/>
      <c r="W4534" s="13"/>
      <c r="X4534" s="12"/>
      <c r="Y4534" s="14"/>
      <c r="Z4534" s="14"/>
    </row>
    <row r="4535">
      <c r="A4535" s="8"/>
      <c r="B4535" s="8"/>
      <c r="C4535" s="8"/>
      <c r="D4535" s="8"/>
      <c r="E4535" s="8"/>
      <c r="F4535" s="8"/>
      <c r="G4535" s="8"/>
      <c r="H4535" s="8"/>
      <c r="I4535" s="8"/>
      <c r="J4535" s="8"/>
      <c r="K4535" s="10"/>
      <c r="L4535" s="8"/>
      <c r="M4535" s="8"/>
      <c r="N4535" s="11"/>
      <c r="O4535" s="11"/>
      <c r="P4535" s="11"/>
      <c r="Q4535" s="11"/>
      <c r="R4535" s="11"/>
      <c r="S4535" s="12"/>
      <c r="T4535" s="8"/>
      <c r="U4535" s="8"/>
      <c r="V4535" s="13"/>
      <c r="W4535" s="13"/>
      <c r="X4535" s="12"/>
      <c r="Y4535" s="14"/>
      <c r="Z4535" s="14"/>
    </row>
    <row r="4536">
      <c r="A4536" s="8"/>
      <c r="B4536" s="8"/>
      <c r="C4536" s="8"/>
      <c r="D4536" s="8"/>
      <c r="E4536" s="8"/>
      <c r="F4536" s="8"/>
      <c r="G4536" s="8"/>
      <c r="H4536" s="8"/>
      <c r="I4536" s="8"/>
      <c r="J4536" s="8"/>
      <c r="K4536" s="10"/>
      <c r="L4536" s="8"/>
      <c r="M4536" s="8"/>
      <c r="N4536" s="11"/>
      <c r="O4536" s="11"/>
      <c r="P4536" s="11"/>
      <c r="Q4536" s="11"/>
      <c r="R4536" s="11"/>
      <c r="S4536" s="12"/>
      <c r="T4536" s="8"/>
      <c r="U4536" s="8"/>
      <c r="V4536" s="13"/>
      <c r="W4536" s="13"/>
      <c r="X4536" s="12"/>
      <c r="Y4536" s="14"/>
      <c r="Z4536" s="14"/>
    </row>
    <row r="4537">
      <c r="A4537" s="8"/>
      <c r="B4537" s="8"/>
      <c r="C4537" s="8"/>
      <c r="D4537" s="8"/>
      <c r="E4537" s="8"/>
      <c r="F4537" s="8"/>
      <c r="G4537" s="8"/>
      <c r="H4537" s="8"/>
      <c r="I4537" s="8"/>
      <c r="J4537" s="8"/>
      <c r="K4537" s="10"/>
      <c r="L4537" s="8"/>
      <c r="M4537" s="8"/>
      <c r="N4537" s="11"/>
      <c r="O4537" s="11"/>
      <c r="P4537" s="11"/>
      <c r="Q4537" s="11"/>
      <c r="R4537" s="11"/>
      <c r="S4537" s="12"/>
      <c r="T4537" s="8"/>
      <c r="U4537" s="8"/>
      <c r="V4537" s="13"/>
      <c r="W4537" s="13"/>
      <c r="X4537" s="12"/>
      <c r="Y4537" s="14"/>
      <c r="Z4537" s="14"/>
    </row>
    <row r="4538">
      <c r="A4538" s="8"/>
      <c r="B4538" s="8"/>
      <c r="C4538" s="8"/>
      <c r="D4538" s="8"/>
      <c r="E4538" s="8"/>
      <c r="F4538" s="8"/>
      <c r="G4538" s="8"/>
      <c r="H4538" s="8"/>
      <c r="I4538" s="8"/>
      <c r="J4538" s="8"/>
      <c r="K4538" s="10"/>
      <c r="L4538" s="8"/>
      <c r="M4538" s="8"/>
      <c r="N4538" s="11"/>
      <c r="O4538" s="11"/>
      <c r="P4538" s="11"/>
      <c r="Q4538" s="11"/>
      <c r="R4538" s="11"/>
      <c r="S4538" s="12"/>
      <c r="T4538" s="8"/>
      <c r="U4538" s="8"/>
      <c r="V4538" s="13"/>
      <c r="W4538" s="13"/>
      <c r="X4538" s="12"/>
      <c r="Y4538" s="14"/>
      <c r="Z4538" s="14"/>
    </row>
    <row r="4539">
      <c r="A4539" s="8"/>
      <c r="B4539" s="8"/>
      <c r="C4539" s="8"/>
      <c r="D4539" s="8"/>
      <c r="E4539" s="8"/>
      <c r="F4539" s="8"/>
      <c r="G4539" s="8"/>
      <c r="H4539" s="8"/>
      <c r="I4539" s="8"/>
      <c r="J4539" s="8"/>
      <c r="K4539" s="10"/>
      <c r="L4539" s="8"/>
      <c r="M4539" s="8"/>
      <c r="N4539" s="11"/>
      <c r="O4539" s="11"/>
      <c r="P4539" s="11"/>
      <c r="Q4539" s="11"/>
      <c r="R4539" s="11"/>
      <c r="S4539" s="12"/>
      <c r="T4539" s="8"/>
      <c r="U4539" s="8"/>
      <c r="V4539" s="13"/>
      <c r="W4539" s="13"/>
      <c r="X4539" s="12"/>
      <c r="Y4539" s="14"/>
      <c r="Z4539" s="14"/>
    </row>
    <row r="4540">
      <c r="A4540" s="8"/>
      <c r="B4540" s="8"/>
      <c r="C4540" s="8"/>
      <c r="D4540" s="8"/>
      <c r="E4540" s="8"/>
      <c r="F4540" s="8"/>
      <c r="G4540" s="8"/>
      <c r="H4540" s="8"/>
      <c r="I4540" s="8"/>
      <c r="J4540" s="8"/>
      <c r="K4540" s="10"/>
      <c r="L4540" s="8"/>
      <c r="M4540" s="8"/>
      <c r="N4540" s="11"/>
      <c r="O4540" s="11"/>
      <c r="P4540" s="11"/>
      <c r="Q4540" s="11"/>
      <c r="R4540" s="11"/>
      <c r="S4540" s="12"/>
      <c r="T4540" s="8"/>
      <c r="U4540" s="8"/>
      <c r="V4540" s="13"/>
      <c r="W4540" s="13"/>
      <c r="X4540" s="12"/>
      <c r="Y4540" s="14"/>
      <c r="Z4540" s="14"/>
    </row>
    <row r="4541">
      <c r="A4541" s="8"/>
      <c r="B4541" s="8"/>
      <c r="C4541" s="8"/>
      <c r="D4541" s="8"/>
      <c r="E4541" s="8"/>
      <c r="F4541" s="8"/>
      <c r="G4541" s="8"/>
      <c r="H4541" s="8"/>
      <c r="I4541" s="8"/>
      <c r="J4541" s="8"/>
      <c r="K4541" s="10"/>
      <c r="L4541" s="8"/>
      <c r="M4541" s="8"/>
      <c r="N4541" s="11"/>
      <c r="O4541" s="11"/>
      <c r="P4541" s="11"/>
      <c r="Q4541" s="11"/>
      <c r="R4541" s="11"/>
      <c r="S4541" s="12"/>
      <c r="T4541" s="8"/>
      <c r="U4541" s="8"/>
      <c r="V4541" s="13"/>
      <c r="W4541" s="13"/>
      <c r="X4541" s="12"/>
      <c r="Y4541" s="14"/>
      <c r="Z4541" s="14"/>
    </row>
    <row r="4542">
      <c r="A4542" s="8"/>
      <c r="B4542" s="8"/>
      <c r="C4542" s="8"/>
      <c r="D4542" s="8"/>
      <c r="E4542" s="8"/>
      <c r="F4542" s="8"/>
      <c r="G4542" s="8"/>
      <c r="H4542" s="8"/>
      <c r="I4542" s="8"/>
      <c r="J4542" s="8"/>
      <c r="K4542" s="10"/>
      <c r="L4542" s="8"/>
      <c r="M4542" s="8"/>
      <c r="N4542" s="11"/>
      <c r="O4542" s="11"/>
      <c r="P4542" s="11"/>
      <c r="Q4542" s="11"/>
      <c r="R4542" s="11"/>
      <c r="S4542" s="12"/>
      <c r="T4542" s="8"/>
      <c r="U4542" s="8"/>
      <c r="V4542" s="13"/>
      <c r="W4542" s="13"/>
      <c r="X4542" s="12"/>
      <c r="Y4542" s="14"/>
      <c r="Z4542" s="14"/>
    </row>
    <row r="4543">
      <c r="A4543" s="8"/>
      <c r="B4543" s="8"/>
      <c r="C4543" s="8"/>
      <c r="D4543" s="8"/>
      <c r="E4543" s="8"/>
      <c r="F4543" s="8"/>
      <c r="G4543" s="8"/>
      <c r="H4543" s="8"/>
      <c r="I4543" s="8"/>
      <c r="J4543" s="8"/>
      <c r="K4543" s="10"/>
      <c r="L4543" s="8"/>
      <c r="M4543" s="8"/>
      <c r="N4543" s="11"/>
      <c r="O4543" s="11"/>
      <c r="P4543" s="11"/>
      <c r="Q4543" s="11"/>
      <c r="R4543" s="11"/>
      <c r="S4543" s="12"/>
      <c r="T4543" s="8"/>
      <c r="U4543" s="8"/>
      <c r="V4543" s="13"/>
      <c r="W4543" s="13"/>
      <c r="X4543" s="12"/>
      <c r="Y4543" s="14"/>
      <c r="Z4543" s="14"/>
    </row>
    <row r="4544">
      <c r="A4544" s="8"/>
      <c r="B4544" s="8"/>
      <c r="C4544" s="8"/>
      <c r="D4544" s="8"/>
      <c r="E4544" s="8"/>
      <c r="F4544" s="8"/>
      <c r="G4544" s="8"/>
      <c r="H4544" s="8"/>
      <c r="I4544" s="8"/>
      <c r="J4544" s="8"/>
      <c r="K4544" s="10"/>
      <c r="L4544" s="8"/>
      <c r="M4544" s="8"/>
      <c r="N4544" s="11"/>
      <c r="O4544" s="11"/>
      <c r="P4544" s="11"/>
      <c r="Q4544" s="11"/>
      <c r="R4544" s="11"/>
      <c r="S4544" s="12"/>
      <c r="T4544" s="8"/>
      <c r="U4544" s="8"/>
      <c r="V4544" s="13"/>
      <c r="W4544" s="13"/>
      <c r="X4544" s="12"/>
      <c r="Y4544" s="14"/>
      <c r="Z4544" s="14"/>
    </row>
    <row r="4545">
      <c r="A4545" s="8"/>
      <c r="B4545" s="8"/>
      <c r="C4545" s="8"/>
      <c r="D4545" s="8"/>
      <c r="E4545" s="8"/>
      <c r="F4545" s="8"/>
      <c r="G4545" s="8"/>
      <c r="H4545" s="8"/>
      <c r="I4545" s="8"/>
      <c r="J4545" s="8"/>
      <c r="K4545" s="10"/>
      <c r="L4545" s="8"/>
      <c r="M4545" s="8"/>
      <c r="N4545" s="11"/>
      <c r="O4545" s="11"/>
      <c r="P4545" s="11"/>
      <c r="Q4545" s="11"/>
      <c r="R4545" s="11"/>
      <c r="S4545" s="12"/>
      <c r="T4545" s="8"/>
      <c r="U4545" s="8"/>
      <c r="V4545" s="13"/>
      <c r="W4545" s="13"/>
      <c r="X4545" s="12"/>
      <c r="Y4545" s="14"/>
      <c r="Z4545" s="14"/>
    </row>
    <row r="4546">
      <c r="A4546" s="8"/>
      <c r="B4546" s="8"/>
      <c r="C4546" s="8"/>
      <c r="D4546" s="8"/>
      <c r="E4546" s="8"/>
      <c r="F4546" s="8"/>
      <c r="G4546" s="8"/>
      <c r="H4546" s="8"/>
      <c r="I4546" s="8"/>
      <c r="J4546" s="8"/>
      <c r="K4546" s="10"/>
      <c r="L4546" s="8"/>
      <c r="M4546" s="8"/>
      <c r="N4546" s="11"/>
      <c r="O4546" s="11"/>
      <c r="P4546" s="11"/>
      <c r="Q4546" s="11"/>
      <c r="R4546" s="11"/>
      <c r="S4546" s="12"/>
      <c r="T4546" s="8"/>
      <c r="U4546" s="8"/>
      <c r="V4546" s="13"/>
      <c r="W4546" s="13"/>
      <c r="X4546" s="12"/>
      <c r="Y4546" s="14"/>
      <c r="Z4546" s="14"/>
    </row>
    <row r="4547">
      <c r="A4547" s="8"/>
      <c r="B4547" s="8"/>
      <c r="C4547" s="8"/>
      <c r="D4547" s="8"/>
      <c r="E4547" s="8"/>
      <c r="F4547" s="8"/>
      <c r="G4547" s="8"/>
      <c r="H4547" s="8"/>
      <c r="I4547" s="8"/>
      <c r="J4547" s="8"/>
      <c r="K4547" s="10"/>
      <c r="L4547" s="8"/>
      <c r="M4547" s="8"/>
      <c r="N4547" s="11"/>
      <c r="O4547" s="11"/>
      <c r="P4547" s="11"/>
      <c r="Q4547" s="11"/>
      <c r="R4547" s="11"/>
      <c r="S4547" s="12"/>
      <c r="T4547" s="8"/>
      <c r="U4547" s="8"/>
      <c r="V4547" s="13"/>
      <c r="W4547" s="13"/>
      <c r="X4547" s="12"/>
      <c r="Y4547" s="14"/>
      <c r="Z4547" s="14"/>
    </row>
    <row r="4548">
      <c r="A4548" s="8"/>
      <c r="B4548" s="8"/>
      <c r="C4548" s="8"/>
      <c r="D4548" s="8"/>
      <c r="E4548" s="8"/>
      <c r="F4548" s="8"/>
      <c r="G4548" s="8"/>
      <c r="H4548" s="8"/>
      <c r="I4548" s="8"/>
      <c r="J4548" s="8"/>
      <c r="K4548" s="10"/>
      <c r="L4548" s="8"/>
      <c r="M4548" s="8"/>
      <c r="N4548" s="11"/>
      <c r="O4548" s="11"/>
      <c r="P4548" s="11"/>
      <c r="Q4548" s="11"/>
      <c r="R4548" s="11"/>
      <c r="S4548" s="12"/>
      <c r="T4548" s="8"/>
      <c r="U4548" s="8"/>
      <c r="V4548" s="13"/>
      <c r="W4548" s="13"/>
      <c r="X4548" s="12"/>
      <c r="Y4548" s="14"/>
      <c r="Z4548" s="14"/>
    </row>
    <row r="4549">
      <c r="A4549" s="8"/>
      <c r="B4549" s="8"/>
      <c r="C4549" s="8"/>
      <c r="D4549" s="8"/>
      <c r="E4549" s="8"/>
      <c r="F4549" s="8"/>
      <c r="G4549" s="8"/>
      <c r="H4549" s="8"/>
      <c r="I4549" s="8"/>
      <c r="J4549" s="8"/>
      <c r="K4549" s="10"/>
      <c r="L4549" s="8"/>
      <c r="M4549" s="8"/>
      <c r="N4549" s="11"/>
      <c r="O4549" s="11"/>
      <c r="P4549" s="11"/>
      <c r="Q4549" s="11"/>
      <c r="R4549" s="11"/>
      <c r="S4549" s="12"/>
      <c r="T4549" s="8"/>
      <c r="U4549" s="8"/>
      <c r="V4549" s="13"/>
      <c r="W4549" s="13"/>
      <c r="X4549" s="12"/>
      <c r="Y4549" s="14"/>
      <c r="Z4549" s="14"/>
    </row>
    <row r="4550">
      <c r="A4550" s="8"/>
      <c r="B4550" s="8"/>
      <c r="C4550" s="8"/>
      <c r="D4550" s="8"/>
      <c r="E4550" s="8"/>
      <c r="F4550" s="8"/>
      <c r="G4550" s="8"/>
      <c r="H4550" s="8"/>
      <c r="I4550" s="8"/>
      <c r="J4550" s="8"/>
      <c r="K4550" s="10"/>
      <c r="L4550" s="8"/>
      <c r="M4550" s="8"/>
      <c r="N4550" s="11"/>
      <c r="O4550" s="11"/>
      <c r="P4550" s="11"/>
      <c r="Q4550" s="11"/>
      <c r="R4550" s="11"/>
      <c r="S4550" s="12"/>
      <c r="T4550" s="8"/>
      <c r="U4550" s="8"/>
      <c r="V4550" s="13"/>
      <c r="W4550" s="13"/>
      <c r="X4550" s="12"/>
      <c r="Y4550" s="14"/>
      <c r="Z4550" s="14"/>
    </row>
    <row r="4551">
      <c r="A4551" s="8"/>
      <c r="B4551" s="8"/>
      <c r="C4551" s="8"/>
      <c r="D4551" s="8"/>
      <c r="E4551" s="8"/>
      <c r="F4551" s="8"/>
      <c r="G4551" s="8"/>
      <c r="H4551" s="8"/>
      <c r="I4551" s="8"/>
      <c r="J4551" s="8"/>
      <c r="K4551" s="10"/>
      <c r="L4551" s="8"/>
      <c r="M4551" s="8"/>
      <c r="N4551" s="11"/>
      <c r="O4551" s="11"/>
      <c r="P4551" s="11"/>
      <c r="Q4551" s="11"/>
      <c r="R4551" s="11"/>
      <c r="S4551" s="12"/>
      <c r="T4551" s="8"/>
      <c r="U4551" s="8"/>
      <c r="V4551" s="13"/>
      <c r="W4551" s="13"/>
      <c r="X4551" s="12"/>
      <c r="Y4551" s="14"/>
      <c r="Z4551" s="14"/>
    </row>
    <row r="4552">
      <c r="A4552" s="8"/>
      <c r="B4552" s="8"/>
      <c r="C4552" s="8"/>
      <c r="D4552" s="8"/>
      <c r="E4552" s="8"/>
      <c r="F4552" s="8"/>
      <c r="G4552" s="8"/>
      <c r="H4552" s="8"/>
      <c r="I4552" s="8"/>
      <c r="J4552" s="8"/>
      <c r="K4552" s="10"/>
      <c r="L4552" s="8"/>
      <c r="M4552" s="8"/>
      <c r="N4552" s="11"/>
      <c r="O4552" s="11"/>
      <c r="P4552" s="11"/>
      <c r="Q4552" s="11"/>
      <c r="R4552" s="11"/>
      <c r="S4552" s="12"/>
      <c r="T4552" s="8"/>
      <c r="U4552" s="8"/>
      <c r="V4552" s="13"/>
      <c r="W4552" s="13"/>
      <c r="X4552" s="12"/>
      <c r="Y4552" s="14"/>
      <c r="Z4552" s="14"/>
    </row>
    <row r="4553">
      <c r="A4553" s="8"/>
      <c r="B4553" s="8"/>
      <c r="C4553" s="8"/>
      <c r="D4553" s="8"/>
      <c r="E4553" s="8"/>
      <c r="F4553" s="8"/>
      <c r="G4553" s="8"/>
      <c r="H4553" s="8"/>
      <c r="I4553" s="8"/>
      <c r="J4553" s="8"/>
      <c r="K4553" s="10"/>
      <c r="L4553" s="8"/>
      <c r="M4553" s="8"/>
      <c r="N4553" s="11"/>
      <c r="O4553" s="11"/>
      <c r="P4553" s="11"/>
      <c r="Q4553" s="11"/>
      <c r="R4553" s="11"/>
      <c r="S4553" s="12"/>
      <c r="T4553" s="8"/>
      <c r="U4553" s="8"/>
      <c r="V4553" s="13"/>
      <c r="W4553" s="13"/>
      <c r="X4553" s="12"/>
      <c r="Y4553" s="14"/>
      <c r="Z4553" s="14"/>
    </row>
    <row r="4554">
      <c r="A4554" s="8"/>
      <c r="B4554" s="8"/>
      <c r="C4554" s="8"/>
      <c r="D4554" s="8"/>
      <c r="E4554" s="8"/>
      <c r="F4554" s="8"/>
      <c r="G4554" s="8"/>
      <c r="H4554" s="8"/>
      <c r="I4554" s="8"/>
      <c r="J4554" s="8"/>
      <c r="K4554" s="10"/>
      <c r="L4554" s="8"/>
      <c r="M4554" s="8"/>
      <c r="N4554" s="11"/>
      <c r="O4554" s="11"/>
      <c r="P4554" s="11"/>
      <c r="Q4554" s="11"/>
      <c r="R4554" s="11"/>
      <c r="S4554" s="12"/>
      <c r="T4554" s="8"/>
      <c r="U4554" s="8"/>
      <c r="V4554" s="13"/>
      <c r="W4554" s="13"/>
      <c r="X4554" s="12"/>
      <c r="Y4554" s="14"/>
      <c r="Z4554" s="14"/>
    </row>
    <row r="4555">
      <c r="A4555" s="8"/>
      <c r="B4555" s="8"/>
      <c r="C4555" s="8"/>
      <c r="D4555" s="8"/>
      <c r="E4555" s="8"/>
      <c r="F4555" s="8"/>
      <c r="G4555" s="8"/>
      <c r="H4555" s="8"/>
      <c r="I4555" s="8"/>
      <c r="J4555" s="8"/>
      <c r="K4555" s="10"/>
      <c r="L4555" s="8"/>
      <c r="M4555" s="8"/>
      <c r="N4555" s="11"/>
      <c r="O4555" s="11"/>
      <c r="P4555" s="11"/>
      <c r="Q4555" s="11"/>
      <c r="R4555" s="11"/>
      <c r="S4555" s="12"/>
      <c r="T4555" s="8"/>
      <c r="U4555" s="8"/>
      <c r="V4555" s="13"/>
      <c r="W4555" s="13"/>
      <c r="X4555" s="12"/>
      <c r="Y4555" s="14"/>
      <c r="Z4555" s="14"/>
    </row>
    <row r="4556">
      <c r="A4556" s="8"/>
      <c r="B4556" s="8"/>
      <c r="C4556" s="8"/>
      <c r="D4556" s="8"/>
      <c r="E4556" s="8"/>
      <c r="F4556" s="8"/>
      <c r="G4556" s="8"/>
      <c r="H4556" s="8"/>
      <c r="I4556" s="8"/>
      <c r="J4556" s="8"/>
      <c r="K4556" s="10"/>
      <c r="L4556" s="8"/>
      <c r="M4556" s="8"/>
      <c r="N4556" s="11"/>
      <c r="O4556" s="11"/>
      <c r="P4556" s="11"/>
      <c r="Q4556" s="11"/>
      <c r="R4556" s="11"/>
      <c r="S4556" s="12"/>
      <c r="T4556" s="8"/>
      <c r="U4556" s="8"/>
      <c r="V4556" s="13"/>
      <c r="W4556" s="13"/>
      <c r="X4556" s="12"/>
      <c r="Y4556" s="14"/>
      <c r="Z4556" s="14"/>
    </row>
    <row r="4557">
      <c r="A4557" s="8"/>
      <c r="B4557" s="8"/>
      <c r="C4557" s="8"/>
      <c r="D4557" s="8"/>
      <c r="E4557" s="8"/>
      <c r="F4557" s="8"/>
      <c r="G4557" s="8"/>
      <c r="H4557" s="8"/>
      <c r="I4557" s="8"/>
      <c r="J4557" s="8"/>
      <c r="K4557" s="10"/>
      <c r="L4557" s="8"/>
      <c r="M4557" s="8"/>
      <c r="N4557" s="11"/>
      <c r="O4557" s="11"/>
      <c r="P4557" s="11"/>
      <c r="Q4557" s="11"/>
      <c r="R4557" s="11"/>
      <c r="S4557" s="12"/>
      <c r="T4557" s="8"/>
      <c r="U4557" s="8"/>
      <c r="V4557" s="13"/>
      <c r="W4557" s="13"/>
      <c r="X4557" s="12"/>
      <c r="Y4557" s="14"/>
      <c r="Z4557" s="14"/>
    </row>
    <row r="4558">
      <c r="A4558" s="8"/>
      <c r="B4558" s="8"/>
      <c r="C4558" s="8"/>
      <c r="D4558" s="8"/>
      <c r="E4558" s="8"/>
      <c r="F4558" s="8"/>
      <c r="G4558" s="8"/>
      <c r="H4558" s="8"/>
      <c r="I4558" s="8"/>
      <c r="J4558" s="8"/>
      <c r="K4558" s="10"/>
      <c r="L4558" s="8"/>
      <c r="M4558" s="8"/>
      <c r="N4558" s="11"/>
      <c r="O4558" s="11"/>
      <c r="P4558" s="11"/>
      <c r="Q4558" s="11"/>
      <c r="R4558" s="11"/>
      <c r="S4558" s="12"/>
      <c r="T4558" s="8"/>
      <c r="U4558" s="8"/>
      <c r="V4558" s="13"/>
      <c r="W4558" s="13"/>
      <c r="X4558" s="12"/>
      <c r="Y4558" s="14"/>
      <c r="Z4558" s="14"/>
    </row>
    <row r="4559">
      <c r="A4559" s="8"/>
      <c r="B4559" s="8"/>
      <c r="C4559" s="8"/>
      <c r="D4559" s="8"/>
      <c r="E4559" s="8"/>
      <c r="F4559" s="8"/>
      <c r="G4559" s="8"/>
      <c r="H4559" s="8"/>
      <c r="I4559" s="8"/>
      <c r="J4559" s="8"/>
      <c r="K4559" s="10"/>
      <c r="L4559" s="8"/>
      <c r="M4559" s="8"/>
      <c r="N4559" s="11"/>
      <c r="O4559" s="11"/>
      <c r="P4559" s="11"/>
      <c r="Q4559" s="11"/>
      <c r="R4559" s="11"/>
      <c r="S4559" s="12"/>
      <c r="T4559" s="8"/>
      <c r="U4559" s="8"/>
      <c r="V4559" s="13"/>
      <c r="W4559" s="13"/>
      <c r="X4559" s="12"/>
      <c r="Y4559" s="14"/>
      <c r="Z4559" s="14"/>
    </row>
    <row r="4560">
      <c r="A4560" s="8"/>
      <c r="B4560" s="8"/>
      <c r="C4560" s="8"/>
      <c r="D4560" s="8"/>
      <c r="E4560" s="8"/>
      <c r="F4560" s="8"/>
      <c r="G4560" s="8"/>
      <c r="H4560" s="8"/>
      <c r="I4560" s="8"/>
      <c r="J4560" s="8"/>
      <c r="K4560" s="10"/>
      <c r="L4560" s="8"/>
      <c r="M4560" s="8"/>
      <c r="N4560" s="11"/>
      <c r="O4560" s="11"/>
      <c r="P4560" s="11"/>
      <c r="Q4560" s="11"/>
      <c r="R4560" s="11"/>
      <c r="S4560" s="12"/>
      <c r="T4560" s="8"/>
      <c r="U4560" s="8"/>
      <c r="V4560" s="13"/>
      <c r="W4560" s="13"/>
      <c r="X4560" s="12"/>
      <c r="Y4560" s="14"/>
      <c r="Z4560" s="14"/>
    </row>
    <row r="4561">
      <c r="A4561" s="8"/>
      <c r="B4561" s="8"/>
      <c r="C4561" s="8"/>
      <c r="D4561" s="8"/>
      <c r="E4561" s="8"/>
      <c r="F4561" s="8"/>
      <c r="G4561" s="8"/>
      <c r="H4561" s="8"/>
      <c r="I4561" s="8"/>
      <c r="J4561" s="8"/>
      <c r="K4561" s="10"/>
      <c r="L4561" s="8"/>
      <c r="M4561" s="8"/>
      <c r="N4561" s="11"/>
      <c r="O4561" s="11"/>
      <c r="P4561" s="11"/>
      <c r="Q4561" s="11"/>
      <c r="R4561" s="11"/>
      <c r="S4561" s="12"/>
      <c r="T4561" s="8"/>
      <c r="U4561" s="8"/>
      <c r="V4561" s="13"/>
      <c r="W4561" s="13"/>
      <c r="X4561" s="12"/>
      <c r="Y4561" s="14"/>
      <c r="Z4561" s="14"/>
    </row>
    <row r="4562">
      <c r="A4562" s="8"/>
      <c r="B4562" s="8"/>
      <c r="C4562" s="8"/>
      <c r="D4562" s="8"/>
      <c r="E4562" s="8"/>
      <c r="F4562" s="8"/>
      <c r="G4562" s="8"/>
      <c r="H4562" s="8"/>
      <c r="I4562" s="8"/>
      <c r="J4562" s="8"/>
      <c r="K4562" s="10"/>
      <c r="L4562" s="8"/>
      <c r="M4562" s="8"/>
      <c r="N4562" s="11"/>
      <c r="O4562" s="11"/>
      <c r="P4562" s="11"/>
      <c r="Q4562" s="11"/>
      <c r="R4562" s="11"/>
      <c r="S4562" s="12"/>
      <c r="T4562" s="8"/>
      <c r="U4562" s="8"/>
      <c r="V4562" s="13"/>
      <c r="W4562" s="13"/>
      <c r="X4562" s="12"/>
      <c r="Y4562" s="14"/>
      <c r="Z4562" s="14"/>
    </row>
    <row r="4563">
      <c r="A4563" s="8"/>
      <c r="B4563" s="8"/>
      <c r="C4563" s="8"/>
      <c r="D4563" s="8"/>
      <c r="E4563" s="8"/>
      <c r="F4563" s="8"/>
      <c r="G4563" s="8"/>
      <c r="H4563" s="8"/>
      <c r="I4563" s="8"/>
      <c r="J4563" s="8"/>
      <c r="K4563" s="10"/>
      <c r="L4563" s="8"/>
      <c r="M4563" s="8"/>
      <c r="N4563" s="11"/>
      <c r="O4563" s="11"/>
      <c r="P4563" s="11"/>
      <c r="Q4563" s="11"/>
      <c r="R4563" s="11"/>
      <c r="S4563" s="12"/>
      <c r="T4563" s="8"/>
      <c r="U4563" s="8"/>
      <c r="V4563" s="13"/>
      <c r="W4563" s="13"/>
      <c r="X4563" s="12"/>
      <c r="Y4563" s="14"/>
      <c r="Z4563" s="14"/>
    </row>
    <row r="4564">
      <c r="A4564" s="8"/>
      <c r="B4564" s="8"/>
      <c r="C4564" s="8"/>
      <c r="D4564" s="8"/>
      <c r="E4564" s="8"/>
      <c r="F4564" s="8"/>
      <c r="G4564" s="8"/>
      <c r="H4564" s="8"/>
      <c r="I4564" s="8"/>
      <c r="J4564" s="8"/>
      <c r="K4564" s="10"/>
      <c r="L4564" s="8"/>
      <c r="M4564" s="8"/>
      <c r="N4564" s="11"/>
      <c r="O4564" s="11"/>
      <c r="P4564" s="11"/>
      <c r="Q4564" s="11"/>
      <c r="R4564" s="11"/>
      <c r="S4564" s="12"/>
      <c r="T4564" s="8"/>
      <c r="U4564" s="8"/>
      <c r="V4564" s="13"/>
      <c r="W4564" s="13"/>
      <c r="X4564" s="12"/>
      <c r="Y4564" s="14"/>
      <c r="Z4564" s="14"/>
    </row>
    <row r="4565">
      <c r="A4565" s="8"/>
      <c r="B4565" s="8"/>
      <c r="C4565" s="8"/>
      <c r="D4565" s="8"/>
      <c r="E4565" s="8"/>
      <c r="F4565" s="8"/>
      <c r="G4565" s="8"/>
      <c r="H4565" s="8"/>
      <c r="I4565" s="8"/>
      <c r="J4565" s="8"/>
      <c r="K4565" s="10"/>
      <c r="L4565" s="8"/>
      <c r="M4565" s="8"/>
      <c r="N4565" s="11"/>
      <c r="O4565" s="11"/>
      <c r="P4565" s="11"/>
      <c r="Q4565" s="11"/>
      <c r="R4565" s="11"/>
      <c r="S4565" s="12"/>
      <c r="T4565" s="8"/>
      <c r="U4565" s="8"/>
      <c r="V4565" s="13"/>
      <c r="W4565" s="13"/>
      <c r="X4565" s="12"/>
      <c r="Y4565" s="14"/>
      <c r="Z4565" s="14"/>
    </row>
    <row r="4566">
      <c r="A4566" s="8"/>
      <c r="B4566" s="8"/>
      <c r="C4566" s="8"/>
      <c r="D4566" s="8"/>
      <c r="E4566" s="8"/>
      <c r="F4566" s="8"/>
      <c r="G4566" s="8"/>
      <c r="H4566" s="8"/>
      <c r="I4566" s="8"/>
      <c r="J4566" s="8"/>
      <c r="K4566" s="10"/>
      <c r="L4566" s="8"/>
      <c r="M4566" s="8"/>
      <c r="N4566" s="11"/>
      <c r="O4566" s="11"/>
      <c r="P4566" s="11"/>
      <c r="Q4566" s="11"/>
      <c r="R4566" s="11"/>
      <c r="S4566" s="12"/>
      <c r="T4566" s="8"/>
      <c r="U4566" s="8"/>
      <c r="V4566" s="13"/>
      <c r="W4566" s="13"/>
      <c r="X4566" s="12"/>
      <c r="Y4566" s="14"/>
      <c r="Z4566" s="14"/>
    </row>
    <row r="4567">
      <c r="A4567" s="8"/>
      <c r="B4567" s="8"/>
      <c r="C4567" s="8"/>
      <c r="D4567" s="8"/>
      <c r="E4567" s="8"/>
      <c r="F4567" s="8"/>
      <c r="G4567" s="8"/>
      <c r="H4567" s="8"/>
      <c r="I4567" s="8"/>
      <c r="J4567" s="8"/>
      <c r="K4567" s="10"/>
      <c r="L4567" s="8"/>
      <c r="M4567" s="8"/>
      <c r="N4567" s="11"/>
      <c r="O4567" s="11"/>
      <c r="P4567" s="11"/>
      <c r="Q4567" s="11"/>
      <c r="R4567" s="11"/>
      <c r="S4567" s="12"/>
      <c r="T4567" s="8"/>
      <c r="U4567" s="8"/>
      <c r="V4567" s="13"/>
      <c r="W4567" s="13"/>
      <c r="X4567" s="12"/>
      <c r="Y4567" s="14"/>
      <c r="Z4567" s="14"/>
    </row>
    <row r="4568">
      <c r="A4568" s="8"/>
      <c r="B4568" s="8"/>
      <c r="C4568" s="8"/>
      <c r="D4568" s="8"/>
      <c r="E4568" s="8"/>
      <c r="F4568" s="8"/>
      <c r="G4568" s="8"/>
      <c r="H4568" s="8"/>
      <c r="I4568" s="8"/>
      <c r="J4568" s="8"/>
      <c r="K4568" s="10"/>
      <c r="L4568" s="8"/>
      <c r="M4568" s="8"/>
      <c r="N4568" s="11"/>
      <c r="O4568" s="11"/>
      <c r="P4568" s="11"/>
      <c r="Q4568" s="11"/>
      <c r="R4568" s="11"/>
      <c r="S4568" s="12"/>
      <c r="T4568" s="8"/>
      <c r="U4568" s="8"/>
      <c r="V4568" s="13"/>
      <c r="W4568" s="13"/>
      <c r="X4568" s="12"/>
      <c r="Y4568" s="14"/>
      <c r="Z4568" s="14"/>
    </row>
    <row r="4569">
      <c r="A4569" s="8"/>
      <c r="B4569" s="8"/>
      <c r="C4569" s="8"/>
      <c r="D4569" s="8"/>
      <c r="E4569" s="8"/>
      <c r="F4569" s="8"/>
      <c r="G4569" s="8"/>
      <c r="H4569" s="8"/>
      <c r="I4569" s="8"/>
      <c r="J4569" s="8"/>
      <c r="K4569" s="10"/>
      <c r="L4569" s="8"/>
      <c r="M4569" s="8"/>
      <c r="N4569" s="11"/>
      <c r="O4569" s="11"/>
      <c r="P4569" s="11"/>
      <c r="Q4569" s="11"/>
      <c r="R4569" s="11"/>
      <c r="S4569" s="12"/>
      <c r="T4569" s="8"/>
      <c r="U4569" s="8"/>
      <c r="V4569" s="13"/>
      <c r="W4569" s="13"/>
      <c r="X4569" s="12"/>
      <c r="Y4569" s="14"/>
      <c r="Z4569" s="14"/>
    </row>
    <row r="4570">
      <c r="A4570" s="8"/>
      <c r="B4570" s="8"/>
      <c r="C4570" s="8"/>
      <c r="D4570" s="8"/>
      <c r="E4570" s="8"/>
      <c r="F4570" s="8"/>
      <c r="G4570" s="8"/>
      <c r="H4570" s="8"/>
      <c r="I4570" s="8"/>
      <c r="J4570" s="8"/>
      <c r="K4570" s="10"/>
      <c r="L4570" s="8"/>
      <c r="M4570" s="8"/>
      <c r="N4570" s="11"/>
      <c r="O4570" s="11"/>
      <c r="P4570" s="11"/>
      <c r="Q4570" s="11"/>
      <c r="R4570" s="11"/>
      <c r="S4570" s="12"/>
      <c r="T4570" s="8"/>
      <c r="U4570" s="8"/>
      <c r="V4570" s="13"/>
      <c r="W4570" s="13"/>
      <c r="X4570" s="12"/>
      <c r="Y4570" s="14"/>
      <c r="Z4570" s="14"/>
    </row>
    <row r="4571">
      <c r="A4571" s="8"/>
      <c r="B4571" s="8"/>
      <c r="C4571" s="8"/>
      <c r="D4571" s="8"/>
      <c r="E4571" s="8"/>
      <c r="F4571" s="8"/>
      <c r="G4571" s="8"/>
      <c r="H4571" s="8"/>
      <c r="I4571" s="8"/>
      <c r="J4571" s="8"/>
      <c r="K4571" s="10"/>
      <c r="L4571" s="8"/>
      <c r="M4571" s="8"/>
      <c r="N4571" s="11"/>
      <c r="O4571" s="11"/>
      <c r="P4571" s="11"/>
      <c r="Q4571" s="11"/>
      <c r="R4571" s="11"/>
      <c r="S4571" s="12"/>
      <c r="T4571" s="8"/>
      <c r="U4571" s="8"/>
      <c r="V4571" s="13"/>
      <c r="W4571" s="13"/>
      <c r="X4571" s="12"/>
      <c r="Y4571" s="14"/>
      <c r="Z4571" s="14"/>
    </row>
    <row r="4572">
      <c r="A4572" s="8"/>
      <c r="B4572" s="8"/>
      <c r="C4572" s="8"/>
      <c r="D4572" s="8"/>
      <c r="E4572" s="8"/>
      <c r="F4572" s="8"/>
      <c r="G4572" s="8"/>
      <c r="H4572" s="8"/>
      <c r="I4572" s="8"/>
      <c r="J4572" s="8"/>
      <c r="K4572" s="10"/>
      <c r="L4572" s="8"/>
      <c r="M4572" s="8"/>
      <c r="N4572" s="11"/>
      <c r="O4572" s="11"/>
      <c r="P4572" s="11"/>
      <c r="Q4572" s="11"/>
      <c r="R4572" s="11"/>
      <c r="S4572" s="12"/>
      <c r="T4572" s="8"/>
      <c r="U4572" s="8"/>
      <c r="V4572" s="13"/>
      <c r="W4572" s="13"/>
      <c r="X4572" s="12"/>
      <c r="Y4572" s="14"/>
      <c r="Z4572" s="14"/>
    </row>
    <row r="4573">
      <c r="A4573" s="8"/>
      <c r="B4573" s="8"/>
      <c r="C4573" s="8"/>
      <c r="D4573" s="8"/>
      <c r="E4573" s="8"/>
      <c r="F4573" s="8"/>
      <c r="G4573" s="8"/>
      <c r="H4573" s="8"/>
      <c r="I4573" s="8"/>
      <c r="J4573" s="8"/>
      <c r="K4573" s="10"/>
      <c r="L4573" s="8"/>
      <c r="M4573" s="8"/>
      <c r="N4573" s="11"/>
      <c r="O4573" s="11"/>
      <c r="P4573" s="11"/>
      <c r="Q4573" s="11"/>
      <c r="R4573" s="11"/>
      <c r="S4573" s="12"/>
      <c r="T4573" s="8"/>
      <c r="U4573" s="8"/>
      <c r="V4573" s="13"/>
      <c r="W4573" s="13"/>
      <c r="X4573" s="12"/>
      <c r="Y4573" s="14"/>
      <c r="Z4573" s="14"/>
    </row>
    <row r="4574">
      <c r="A4574" s="8"/>
      <c r="B4574" s="8"/>
      <c r="C4574" s="8"/>
      <c r="D4574" s="8"/>
      <c r="E4574" s="8"/>
      <c r="F4574" s="8"/>
      <c r="G4574" s="8"/>
      <c r="H4574" s="8"/>
      <c r="I4574" s="8"/>
      <c r="J4574" s="8"/>
      <c r="K4574" s="10"/>
      <c r="L4574" s="8"/>
      <c r="M4574" s="8"/>
      <c r="N4574" s="11"/>
      <c r="O4574" s="11"/>
      <c r="P4574" s="11"/>
      <c r="Q4574" s="11"/>
      <c r="R4574" s="11"/>
      <c r="S4574" s="12"/>
      <c r="T4574" s="8"/>
      <c r="U4574" s="8"/>
      <c r="V4574" s="13"/>
      <c r="W4574" s="13"/>
      <c r="X4574" s="12"/>
      <c r="Y4574" s="14"/>
      <c r="Z4574" s="14"/>
    </row>
    <row r="4575">
      <c r="A4575" s="8"/>
      <c r="B4575" s="8"/>
      <c r="C4575" s="8"/>
      <c r="D4575" s="8"/>
      <c r="E4575" s="8"/>
      <c r="F4575" s="8"/>
      <c r="G4575" s="8"/>
      <c r="H4575" s="8"/>
      <c r="I4575" s="8"/>
      <c r="J4575" s="8"/>
      <c r="K4575" s="10"/>
      <c r="L4575" s="8"/>
      <c r="M4575" s="8"/>
      <c r="N4575" s="11"/>
      <c r="O4575" s="11"/>
      <c r="P4575" s="11"/>
      <c r="Q4575" s="11"/>
      <c r="R4575" s="11"/>
      <c r="S4575" s="12"/>
      <c r="T4575" s="8"/>
      <c r="U4575" s="8"/>
      <c r="V4575" s="13"/>
      <c r="W4575" s="13"/>
      <c r="X4575" s="12"/>
      <c r="Y4575" s="14"/>
      <c r="Z4575" s="14"/>
    </row>
    <row r="4576">
      <c r="A4576" s="8"/>
      <c r="B4576" s="8"/>
      <c r="C4576" s="8"/>
      <c r="D4576" s="8"/>
      <c r="E4576" s="8"/>
      <c r="F4576" s="8"/>
      <c r="G4576" s="8"/>
      <c r="H4576" s="8"/>
      <c r="I4576" s="8"/>
      <c r="J4576" s="8"/>
      <c r="K4576" s="10"/>
      <c r="L4576" s="8"/>
      <c r="M4576" s="8"/>
      <c r="N4576" s="11"/>
      <c r="O4576" s="11"/>
      <c r="P4576" s="11"/>
      <c r="Q4576" s="11"/>
      <c r="R4576" s="11"/>
      <c r="S4576" s="12"/>
      <c r="T4576" s="8"/>
      <c r="U4576" s="8"/>
      <c r="V4576" s="13"/>
      <c r="W4576" s="13"/>
      <c r="X4576" s="12"/>
      <c r="Y4576" s="14"/>
      <c r="Z4576" s="14"/>
    </row>
    <row r="4577">
      <c r="A4577" s="8"/>
      <c r="B4577" s="8"/>
      <c r="C4577" s="8"/>
      <c r="D4577" s="8"/>
      <c r="E4577" s="8"/>
      <c r="F4577" s="8"/>
      <c r="G4577" s="8"/>
      <c r="H4577" s="8"/>
      <c r="I4577" s="8"/>
      <c r="J4577" s="8"/>
      <c r="K4577" s="10"/>
      <c r="L4577" s="8"/>
      <c r="M4577" s="8"/>
      <c r="N4577" s="11"/>
      <c r="O4577" s="11"/>
      <c r="P4577" s="11"/>
      <c r="Q4577" s="11"/>
      <c r="R4577" s="11"/>
      <c r="S4577" s="12"/>
      <c r="T4577" s="8"/>
      <c r="U4577" s="8"/>
      <c r="V4577" s="13"/>
      <c r="W4577" s="13"/>
      <c r="X4577" s="12"/>
      <c r="Y4577" s="14"/>
      <c r="Z4577" s="14"/>
    </row>
    <row r="4578">
      <c r="A4578" s="8"/>
      <c r="B4578" s="8"/>
      <c r="C4578" s="8"/>
      <c r="D4578" s="8"/>
      <c r="E4578" s="8"/>
      <c r="F4578" s="8"/>
      <c r="G4578" s="8"/>
      <c r="H4578" s="8"/>
      <c r="I4578" s="8"/>
      <c r="J4578" s="8"/>
      <c r="K4578" s="10"/>
      <c r="L4578" s="8"/>
      <c r="M4578" s="8"/>
      <c r="N4578" s="11"/>
      <c r="O4578" s="11"/>
      <c r="P4578" s="11"/>
      <c r="Q4578" s="11"/>
      <c r="R4578" s="11"/>
      <c r="S4578" s="12"/>
      <c r="T4578" s="8"/>
      <c r="U4578" s="8"/>
      <c r="V4578" s="13"/>
      <c r="W4578" s="13"/>
      <c r="X4578" s="12"/>
      <c r="Y4578" s="14"/>
      <c r="Z4578" s="14"/>
    </row>
    <row r="4579">
      <c r="A4579" s="8"/>
      <c r="B4579" s="8"/>
      <c r="C4579" s="8"/>
      <c r="D4579" s="8"/>
      <c r="E4579" s="8"/>
      <c r="F4579" s="8"/>
      <c r="G4579" s="8"/>
      <c r="H4579" s="8"/>
      <c r="I4579" s="8"/>
      <c r="J4579" s="8"/>
      <c r="K4579" s="10"/>
      <c r="L4579" s="8"/>
      <c r="M4579" s="8"/>
      <c r="N4579" s="11"/>
      <c r="O4579" s="11"/>
      <c r="P4579" s="11"/>
      <c r="Q4579" s="11"/>
      <c r="R4579" s="11"/>
      <c r="S4579" s="12"/>
      <c r="T4579" s="8"/>
      <c r="U4579" s="8"/>
      <c r="V4579" s="13"/>
      <c r="W4579" s="13"/>
      <c r="X4579" s="12"/>
      <c r="Y4579" s="14"/>
      <c r="Z4579" s="14"/>
    </row>
    <row r="4580">
      <c r="A4580" s="8"/>
      <c r="B4580" s="8"/>
      <c r="C4580" s="8"/>
      <c r="D4580" s="8"/>
      <c r="E4580" s="8"/>
      <c r="F4580" s="8"/>
      <c r="G4580" s="8"/>
      <c r="H4580" s="8"/>
      <c r="I4580" s="8"/>
      <c r="J4580" s="8"/>
      <c r="K4580" s="10"/>
      <c r="L4580" s="8"/>
      <c r="M4580" s="8"/>
      <c r="N4580" s="11"/>
      <c r="O4580" s="11"/>
      <c r="P4580" s="11"/>
      <c r="Q4580" s="11"/>
      <c r="R4580" s="11"/>
      <c r="S4580" s="12"/>
      <c r="T4580" s="8"/>
      <c r="U4580" s="8"/>
      <c r="V4580" s="13"/>
      <c r="W4580" s="13"/>
      <c r="X4580" s="12"/>
      <c r="Y4580" s="14"/>
      <c r="Z4580" s="14"/>
    </row>
    <row r="4581">
      <c r="A4581" s="8"/>
      <c r="B4581" s="8"/>
      <c r="C4581" s="8"/>
      <c r="D4581" s="8"/>
      <c r="E4581" s="8"/>
      <c r="F4581" s="8"/>
      <c r="G4581" s="8"/>
      <c r="H4581" s="8"/>
      <c r="I4581" s="8"/>
      <c r="J4581" s="8"/>
      <c r="K4581" s="10"/>
      <c r="L4581" s="8"/>
      <c r="M4581" s="8"/>
      <c r="N4581" s="11"/>
      <c r="O4581" s="11"/>
      <c r="P4581" s="11"/>
      <c r="Q4581" s="11"/>
      <c r="R4581" s="11"/>
      <c r="S4581" s="12"/>
      <c r="T4581" s="8"/>
      <c r="U4581" s="8"/>
      <c r="V4581" s="13"/>
      <c r="W4581" s="13"/>
      <c r="X4581" s="12"/>
      <c r="Y4581" s="14"/>
      <c r="Z4581" s="14"/>
    </row>
    <row r="4582">
      <c r="A4582" s="8"/>
      <c r="B4582" s="8"/>
      <c r="C4582" s="8"/>
      <c r="D4582" s="8"/>
      <c r="E4582" s="8"/>
      <c r="F4582" s="8"/>
      <c r="G4582" s="8"/>
      <c r="H4582" s="8"/>
      <c r="I4582" s="8"/>
      <c r="J4582" s="8"/>
      <c r="K4582" s="10"/>
      <c r="L4582" s="8"/>
      <c r="M4582" s="8"/>
      <c r="N4582" s="11"/>
      <c r="O4582" s="11"/>
      <c r="P4582" s="11"/>
      <c r="Q4582" s="11"/>
      <c r="R4582" s="11"/>
      <c r="S4582" s="12"/>
      <c r="T4582" s="8"/>
      <c r="U4582" s="8"/>
      <c r="V4582" s="13"/>
      <c r="W4582" s="13"/>
      <c r="X4582" s="12"/>
      <c r="Y4582" s="14"/>
      <c r="Z4582" s="14"/>
    </row>
    <row r="4583">
      <c r="A4583" s="8"/>
      <c r="B4583" s="8"/>
      <c r="C4583" s="8"/>
      <c r="D4583" s="8"/>
      <c r="E4583" s="8"/>
      <c r="F4583" s="8"/>
      <c r="G4583" s="8"/>
      <c r="H4583" s="8"/>
      <c r="I4583" s="8"/>
      <c r="J4583" s="8"/>
      <c r="K4583" s="10"/>
      <c r="L4583" s="8"/>
      <c r="M4583" s="8"/>
      <c r="N4583" s="11"/>
      <c r="O4583" s="11"/>
      <c r="P4583" s="11"/>
      <c r="Q4583" s="11"/>
      <c r="R4583" s="11"/>
      <c r="S4583" s="12"/>
      <c r="T4583" s="8"/>
      <c r="U4583" s="8"/>
      <c r="V4583" s="13"/>
      <c r="W4583" s="13"/>
      <c r="X4583" s="12"/>
      <c r="Y4583" s="14"/>
      <c r="Z4583" s="14"/>
    </row>
    <row r="4584">
      <c r="A4584" s="8"/>
      <c r="B4584" s="8"/>
      <c r="C4584" s="8"/>
      <c r="D4584" s="8"/>
      <c r="E4584" s="8"/>
      <c r="F4584" s="8"/>
      <c r="G4584" s="8"/>
      <c r="H4584" s="8"/>
      <c r="I4584" s="8"/>
      <c r="J4584" s="8"/>
      <c r="K4584" s="10"/>
      <c r="L4584" s="8"/>
      <c r="M4584" s="8"/>
      <c r="N4584" s="11"/>
      <c r="O4584" s="11"/>
      <c r="P4584" s="11"/>
      <c r="Q4584" s="11"/>
      <c r="R4584" s="11"/>
      <c r="S4584" s="12"/>
      <c r="T4584" s="8"/>
      <c r="U4584" s="8"/>
      <c r="V4584" s="13"/>
      <c r="W4584" s="13"/>
      <c r="X4584" s="12"/>
      <c r="Y4584" s="14"/>
      <c r="Z4584" s="14"/>
    </row>
    <row r="4585">
      <c r="A4585" s="8"/>
      <c r="B4585" s="8"/>
      <c r="C4585" s="8"/>
      <c r="D4585" s="8"/>
      <c r="E4585" s="8"/>
      <c r="F4585" s="8"/>
      <c r="G4585" s="8"/>
      <c r="H4585" s="8"/>
      <c r="I4585" s="8"/>
      <c r="J4585" s="8"/>
      <c r="K4585" s="10"/>
      <c r="L4585" s="8"/>
      <c r="M4585" s="8"/>
      <c r="N4585" s="11"/>
      <c r="O4585" s="11"/>
      <c r="P4585" s="11"/>
      <c r="Q4585" s="11"/>
      <c r="R4585" s="11"/>
      <c r="S4585" s="12"/>
      <c r="T4585" s="8"/>
      <c r="U4585" s="8"/>
      <c r="V4585" s="13"/>
      <c r="W4585" s="13"/>
      <c r="X4585" s="12"/>
      <c r="Y4585" s="14"/>
      <c r="Z4585" s="14"/>
    </row>
    <row r="4586">
      <c r="A4586" s="8"/>
      <c r="B4586" s="8"/>
      <c r="C4586" s="8"/>
      <c r="D4586" s="8"/>
      <c r="E4586" s="8"/>
      <c r="F4586" s="8"/>
      <c r="G4586" s="8"/>
      <c r="H4586" s="8"/>
      <c r="I4586" s="8"/>
      <c r="J4586" s="8"/>
      <c r="K4586" s="10"/>
      <c r="L4586" s="8"/>
      <c r="M4586" s="8"/>
      <c r="N4586" s="11"/>
      <c r="O4586" s="11"/>
      <c r="P4586" s="11"/>
      <c r="Q4586" s="11"/>
      <c r="R4586" s="11"/>
      <c r="S4586" s="12"/>
      <c r="T4586" s="8"/>
      <c r="U4586" s="8"/>
      <c r="V4586" s="13"/>
      <c r="W4586" s="13"/>
      <c r="X4586" s="12"/>
      <c r="Y4586" s="14"/>
      <c r="Z4586" s="14"/>
    </row>
    <row r="4587">
      <c r="A4587" s="8"/>
      <c r="B4587" s="8"/>
      <c r="C4587" s="8"/>
      <c r="D4587" s="8"/>
      <c r="E4587" s="8"/>
      <c r="F4587" s="8"/>
      <c r="G4587" s="8"/>
      <c r="H4587" s="8"/>
      <c r="I4587" s="8"/>
      <c r="J4587" s="8"/>
      <c r="K4587" s="10"/>
      <c r="L4587" s="8"/>
      <c r="M4587" s="8"/>
      <c r="N4587" s="11"/>
      <c r="O4587" s="11"/>
      <c r="P4587" s="11"/>
      <c r="Q4587" s="11"/>
      <c r="R4587" s="11"/>
      <c r="S4587" s="12"/>
      <c r="T4587" s="8"/>
      <c r="U4587" s="8"/>
      <c r="V4587" s="13"/>
      <c r="W4587" s="13"/>
      <c r="X4587" s="12"/>
      <c r="Y4587" s="14"/>
      <c r="Z4587" s="14"/>
    </row>
    <row r="4588">
      <c r="A4588" s="8"/>
      <c r="B4588" s="8"/>
      <c r="C4588" s="8"/>
      <c r="D4588" s="8"/>
      <c r="E4588" s="8"/>
      <c r="F4588" s="8"/>
      <c r="G4588" s="8"/>
      <c r="H4588" s="8"/>
      <c r="I4588" s="8"/>
      <c r="J4588" s="8"/>
      <c r="K4588" s="10"/>
      <c r="L4588" s="8"/>
      <c r="M4588" s="8"/>
      <c r="N4588" s="11"/>
      <c r="O4588" s="11"/>
      <c r="P4588" s="11"/>
      <c r="Q4588" s="11"/>
      <c r="R4588" s="11"/>
      <c r="S4588" s="12"/>
      <c r="T4588" s="8"/>
      <c r="U4588" s="8"/>
      <c r="V4588" s="13"/>
      <c r="W4588" s="13"/>
      <c r="X4588" s="12"/>
      <c r="Y4588" s="14"/>
      <c r="Z4588" s="14"/>
    </row>
    <row r="4589">
      <c r="A4589" s="8"/>
      <c r="B4589" s="8"/>
      <c r="C4589" s="8"/>
      <c r="D4589" s="8"/>
      <c r="E4589" s="8"/>
      <c r="F4589" s="8"/>
      <c r="G4589" s="8"/>
      <c r="H4589" s="8"/>
      <c r="I4589" s="8"/>
      <c r="J4589" s="8"/>
      <c r="K4589" s="10"/>
      <c r="L4589" s="8"/>
      <c r="M4589" s="8"/>
      <c r="N4589" s="11"/>
      <c r="O4589" s="11"/>
      <c r="P4589" s="11"/>
      <c r="Q4589" s="11"/>
      <c r="R4589" s="11"/>
      <c r="S4589" s="12"/>
      <c r="T4589" s="8"/>
      <c r="U4589" s="8"/>
      <c r="V4589" s="13"/>
      <c r="W4589" s="13"/>
      <c r="X4589" s="12"/>
      <c r="Y4589" s="14"/>
      <c r="Z4589" s="14"/>
    </row>
    <row r="4590">
      <c r="A4590" s="8"/>
      <c r="B4590" s="8"/>
      <c r="C4590" s="8"/>
      <c r="D4590" s="8"/>
      <c r="E4590" s="8"/>
      <c r="F4590" s="8"/>
      <c r="G4590" s="8"/>
      <c r="H4590" s="8"/>
      <c r="I4590" s="8"/>
      <c r="J4590" s="8"/>
      <c r="K4590" s="10"/>
      <c r="L4590" s="8"/>
      <c r="M4590" s="8"/>
      <c r="N4590" s="11"/>
      <c r="O4590" s="11"/>
      <c r="P4590" s="11"/>
      <c r="Q4590" s="11"/>
      <c r="R4590" s="11"/>
      <c r="S4590" s="12"/>
      <c r="T4590" s="8"/>
      <c r="U4590" s="8"/>
      <c r="V4590" s="13"/>
      <c r="W4590" s="13"/>
      <c r="X4590" s="12"/>
      <c r="Y4590" s="14"/>
      <c r="Z4590" s="14"/>
    </row>
    <row r="4591">
      <c r="A4591" s="8"/>
      <c r="B4591" s="8"/>
      <c r="C4591" s="8"/>
      <c r="D4591" s="8"/>
      <c r="E4591" s="8"/>
      <c r="F4591" s="8"/>
      <c r="G4591" s="8"/>
      <c r="H4591" s="8"/>
      <c r="I4591" s="8"/>
      <c r="J4591" s="8"/>
      <c r="K4591" s="10"/>
      <c r="L4591" s="8"/>
      <c r="M4591" s="8"/>
      <c r="N4591" s="11"/>
      <c r="O4591" s="11"/>
      <c r="P4591" s="11"/>
      <c r="Q4591" s="11"/>
      <c r="R4591" s="11"/>
      <c r="S4591" s="12"/>
      <c r="T4591" s="8"/>
      <c r="U4591" s="8"/>
      <c r="V4591" s="13"/>
      <c r="W4591" s="13"/>
      <c r="X4591" s="12"/>
      <c r="Y4591" s="14"/>
      <c r="Z4591" s="14"/>
    </row>
    <row r="4592">
      <c r="A4592" s="8"/>
      <c r="B4592" s="8"/>
      <c r="C4592" s="8"/>
      <c r="D4592" s="8"/>
      <c r="E4592" s="8"/>
      <c r="F4592" s="8"/>
      <c r="G4592" s="8"/>
      <c r="H4592" s="8"/>
      <c r="I4592" s="8"/>
      <c r="J4592" s="8"/>
      <c r="K4592" s="10"/>
      <c r="L4592" s="8"/>
      <c r="M4592" s="8"/>
      <c r="N4592" s="11"/>
      <c r="O4592" s="11"/>
      <c r="P4592" s="11"/>
      <c r="Q4592" s="11"/>
      <c r="R4592" s="11"/>
      <c r="S4592" s="12"/>
      <c r="T4592" s="8"/>
      <c r="U4592" s="8"/>
      <c r="V4592" s="13"/>
      <c r="W4592" s="13"/>
      <c r="X4592" s="12"/>
      <c r="Y4592" s="14"/>
      <c r="Z4592" s="14"/>
    </row>
    <row r="4593">
      <c r="A4593" s="8"/>
      <c r="B4593" s="8"/>
      <c r="C4593" s="8"/>
      <c r="D4593" s="8"/>
      <c r="E4593" s="8"/>
      <c r="F4593" s="8"/>
      <c r="G4593" s="8"/>
      <c r="H4593" s="8"/>
      <c r="I4593" s="8"/>
      <c r="J4593" s="8"/>
      <c r="K4593" s="10"/>
      <c r="L4593" s="8"/>
      <c r="M4593" s="8"/>
      <c r="N4593" s="11"/>
      <c r="O4593" s="11"/>
      <c r="P4593" s="11"/>
      <c r="Q4593" s="11"/>
      <c r="R4593" s="11"/>
      <c r="S4593" s="12"/>
      <c r="T4593" s="8"/>
      <c r="U4593" s="8"/>
      <c r="V4593" s="13"/>
      <c r="W4593" s="13"/>
      <c r="X4593" s="12"/>
      <c r="Y4593" s="14"/>
      <c r="Z4593" s="14"/>
    </row>
    <row r="4594">
      <c r="A4594" s="8"/>
      <c r="B4594" s="8"/>
      <c r="C4594" s="8"/>
      <c r="D4594" s="8"/>
      <c r="E4594" s="8"/>
      <c r="F4594" s="8"/>
      <c r="G4594" s="8"/>
      <c r="H4594" s="8"/>
      <c r="I4594" s="8"/>
      <c r="J4594" s="8"/>
      <c r="K4594" s="10"/>
      <c r="L4594" s="8"/>
      <c r="M4594" s="8"/>
      <c r="N4594" s="11"/>
      <c r="O4594" s="11"/>
      <c r="P4594" s="11"/>
      <c r="Q4594" s="11"/>
      <c r="R4594" s="11"/>
      <c r="S4594" s="12"/>
      <c r="T4594" s="8"/>
      <c r="U4594" s="8"/>
      <c r="V4594" s="13"/>
      <c r="W4594" s="13"/>
      <c r="X4594" s="12"/>
      <c r="Y4594" s="14"/>
      <c r="Z4594" s="14"/>
    </row>
    <row r="4595">
      <c r="A4595" s="8"/>
      <c r="B4595" s="8"/>
      <c r="C4595" s="8"/>
      <c r="D4595" s="8"/>
      <c r="E4595" s="8"/>
      <c r="F4595" s="8"/>
      <c r="G4595" s="8"/>
      <c r="H4595" s="8"/>
      <c r="I4595" s="8"/>
      <c r="J4595" s="8"/>
      <c r="K4595" s="10"/>
      <c r="L4595" s="8"/>
      <c r="M4595" s="8"/>
      <c r="N4595" s="11"/>
      <c r="O4595" s="11"/>
      <c r="P4595" s="11"/>
      <c r="Q4595" s="11"/>
      <c r="R4595" s="11"/>
      <c r="S4595" s="12"/>
      <c r="T4595" s="8"/>
      <c r="U4595" s="8"/>
      <c r="V4595" s="13"/>
      <c r="W4595" s="13"/>
      <c r="X4595" s="12"/>
      <c r="Y4595" s="14"/>
      <c r="Z4595" s="14"/>
    </row>
    <row r="4596">
      <c r="A4596" s="8"/>
      <c r="B4596" s="8"/>
      <c r="C4596" s="8"/>
      <c r="D4596" s="8"/>
      <c r="E4596" s="8"/>
      <c r="F4596" s="8"/>
      <c r="G4596" s="8"/>
      <c r="H4596" s="8"/>
      <c r="I4596" s="8"/>
      <c r="J4596" s="8"/>
      <c r="K4596" s="10"/>
      <c r="L4596" s="8"/>
      <c r="M4596" s="8"/>
      <c r="N4596" s="11"/>
      <c r="O4596" s="11"/>
      <c r="P4596" s="11"/>
      <c r="Q4596" s="11"/>
      <c r="R4596" s="11"/>
      <c r="S4596" s="12"/>
      <c r="T4596" s="8"/>
      <c r="U4596" s="8"/>
      <c r="V4596" s="13"/>
      <c r="W4596" s="13"/>
      <c r="X4596" s="12"/>
      <c r="Y4596" s="14"/>
      <c r="Z4596" s="14"/>
    </row>
    <row r="4597">
      <c r="A4597" s="8"/>
      <c r="B4597" s="8"/>
      <c r="C4597" s="8"/>
      <c r="D4597" s="8"/>
      <c r="E4597" s="8"/>
      <c r="F4597" s="8"/>
      <c r="G4597" s="8"/>
      <c r="H4597" s="8"/>
      <c r="I4597" s="8"/>
      <c r="J4597" s="8"/>
      <c r="K4597" s="10"/>
      <c r="L4597" s="8"/>
      <c r="M4597" s="8"/>
      <c r="N4597" s="11"/>
      <c r="O4597" s="11"/>
      <c r="P4597" s="11"/>
      <c r="Q4597" s="11"/>
      <c r="R4597" s="11"/>
      <c r="S4597" s="12"/>
      <c r="T4597" s="8"/>
      <c r="U4597" s="8"/>
      <c r="V4597" s="13"/>
      <c r="W4597" s="13"/>
      <c r="X4597" s="12"/>
      <c r="Y4597" s="14"/>
      <c r="Z4597" s="14"/>
    </row>
    <row r="4598">
      <c r="A4598" s="8"/>
      <c r="B4598" s="8"/>
      <c r="C4598" s="8"/>
      <c r="D4598" s="8"/>
      <c r="E4598" s="8"/>
      <c r="F4598" s="8"/>
      <c r="G4598" s="8"/>
      <c r="H4598" s="8"/>
      <c r="I4598" s="8"/>
      <c r="J4598" s="8"/>
      <c r="K4598" s="10"/>
      <c r="L4598" s="8"/>
      <c r="M4598" s="8"/>
      <c r="N4598" s="11"/>
      <c r="O4598" s="11"/>
      <c r="P4598" s="11"/>
      <c r="Q4598" s="11"/>
      <c r="R4598" s="11"/>
      <c r="S4598" s="12"/>
      <c r="T4598" s="8"/>
      <c r="U4598" s="8"/>
      <c r="V4598" s="13"/>
      <c r="W4598" s="13"/>
      <c r="X4598" s="12"/>
      <c r="Y4598" s="14"/>
      <c r="Z4598" s="14"/>
    </row>
    <row r="4599">
      <c r="A4599" s="8"/>
      <c r="B4599" s="8"/>
      <c r="C4599" s="8"/>
      <c r="D4599" s="8"/>
      <c r="E4599" s="8"/>
      <c r="F4599" s="8"/>
      <c r="G4599" s="8"/>
      <c r="H4599" s="8"/>
      <c r="I4599" s="8"/>
      <c r="J4599" s="8"/>
      <c r="K4599" s="10"/>
      <c r="L4599" s="8"/>
      <c r="M4599" s="8"/>
      <c r="N4599" s="11"/>
      <c r="O4599" s="11"/>
      <c r="P4599" s="11"/>
      <c r="Q4599" s="11"/>
      <c r="R4599" s="11"/>
      <c r="S4599" s="12"/>
      <c r="T4599" s="8"/>
      <c r="U4599" s="8"/>
      <c r="V4599" s="13"/>
      <c r="W4599" s="13"/>
      <c r="X4599" s="12"/>
      <c r="Y4599" s="14"/>
      <c r="Z4599" s="14"/>
    </row>
    <row r="4600">
      <c r="A4600" s="8"/>
      <c r="B4600" s="8"/>
      <c r="C4600" s="8"/>
      <c r="D4600" s="8"/>
      <c r="E4600" s="8"/>
      <c r="F4600" s="8"/>
      <c r="G4600" s="8"/>
      <c r="H4600" s="8"/>
      <c r="I4600" s="8"/>
      <c r="J4600" s="8"/>
      <c r="K4600" s="10"/>
      <c r="L4600" s="8"/>
      <c r="M4600" s="8"/>
      <c r="N4600" s="11"/>
      <c r="O4600" s="11"/>
      <c r="P4600" s="11"/>
      <c r="Q4600" s="11"/>
      <c r="R4600" s="11"/>
      <c r="S4600" s="12"/>
      <c r="T4600" s="8"/>
      <c r="U4600" s="8"/>
      <c r="V4600" s="13"/>
      <c r="W4600" s="13"/>
      <c r="X4600" s="12"/>
      <c r="Y4600" s="14"/>
      <c r="Z4600" s="14"/>
    </row>
    <row r="4601">
      <c r="A4601" s="8"/>
      <c r="B4601" s="8"/>
      <c r="C4601" s="8"/>
      <c r="D4601" s="8"/>
      <c r="E4601" s="8"/>
      <c r="F4601" s="8"/>
      <c r="G4601" s="8"/>
      <c r="H4601" s="8"/>
      <c r="I4601" s="8"/>
      <c r="J4601" s="8"/>
      <c r="K4601" s="10"/>
      <c r="L4601" s="8"/>
      <c r="M4601" s="8"/>
      <c r="N4601" s="11"/>
      <c r="O4601" s="11"/>
      <c r="P4601" s="11"/>
      <c r="Q4601" s="11"/>
      <c r="R4601" s="11"/>
      <c r="S4601" s="12"/>
      <c r="T4601" s="8"/>
      <c r="U4601" s="8"/>
      <c r="V4601" s="13"/>
      <c r="W4601" s="13"/>
      <c r="X4601" s="12"/>
      <c r="Y4601" s="14"/>
      <c r="Z4601" s="14"/>
    </row>
    <row r="4602">
      <c r="A4602" s="8"/>
      <c r="B4602" s="8"/>
      <c r="C4602" s="8"/>
      <c r="D4602" s="8"/>
      <c r="E4602" s="8"/>
      <c r="F4602" s="8"/>
      <c r="G4602" s="8"/>
      <c r="H4602" s="8"/>
      <c r="I4602" s="8"/>
      <c r="J4602" s="8"/>
      <c r="K4602" s="10"/>
      <c r="L4602" s="8"/>
      <c r="M4602" s="8"/>
      <c r="N4602" s="11"/>
      <c r="O4602" s="11"/>
      <c r="P4602" s="11"/>
      <c r="Q4602" s="11"/>
      <c r="R4602" s="11"/>
      <c r="S4602" s="12"/>
      <c r="T4602" s="8"/>
      <c r="U4602" s="8"/>
      <c r="V4602" s="13"/>
      <c r="W4602" s="13"/>
      <c r="X4602" s="12"/>
      <c r="Y4602" s="14"/>
      <c r="Z4602" s="14"/>
    </row>
    <row r="4603">
      <c r="A4603" s="8"/>
      <c r="B4603" s="8"/>
      <c r="C4603" s="8"/>
      <c r="D4603" s="8"/>
      <c r="E4603" s="8"/>
      <c r="F4603" s="8"/>
      <c r="G4603" s="8"/>
      <c r="H4603" s="8"/>
      <c r="I4603" s="8"/>
      <c r="J4603" s="8"/>
      <c r="K4603" s="10"/>
      <c r="L4603" s="8"/>
      <c r="M4603" s="8"/>
      <c r="N4603" s="11"/>
      <c r="O4603" s="11"/>
      <c r="P4603" s="11"/>
      <c r="Q4603" s="11"/>
      <c r="R4603" s="11"/>
      <c r="S4603" s="12"/>
      <c r="T4603" s="8"/>
      <c r="U4603" s="8"/>
      <c r="V4603" s="13"/>
      <c r="W4603" s="13"/>
      <c r="X4603" s="12"/>
      <c r="Y4603" s="14"/>
      <c r="Z4603" s="14"/>
    </row>
    <row r="4604">
      <c r="A4604" s="8"/>
      <c r="B4604" s="8"/>
      <c r="C4604" s="8"/>
      <c r="D4604" s="8"/>
      <c r="E4604" s="8"/>
      <c r="F4604" s="8"/>
      <c r="G4604" s="8"/>
      <c r="H4604" s="8"/>
      <c r="I4604" s="8"/>
      <c r="J4604" s="8"/>
      <c r="K4604" s="10"/>
      <c r="L4604" s="8"/>
      <c r="M4604" s="8"/>
      <c r="N4604" s="11"/>
      <c r="O4604" s="11"/>
      <c r="P4604" s="11"/>
      <c r="Q4604" s="11"/>
      <c r="R4604" s="11"/>
      <c r="S4604" s="12"/>
      <c r="T4604" s="8"/>
      <c r="U4604" s="8"/>
      <c r="V4604" s="13"/>
      <c r="W4604" s="13"/>
      <c r="X4604" s="12"/>
      <c r="Y4604" s="14"/>
      <c r="Z4604" s="14"/>
    </row>
    <row r="4605">
      <c r="A4605" s="8"/>
      <c r="B4605" s="8"/>
      <c r="C4605" s="8"/>
      <c r="D4605" s="8"/>
      <c r="E4605" s="8"/>
      <c r="F4605" s="8"/>
      <c r="G4605" s="8"/>
      <c r="H4605" s="8"/>
      <c r="I4605" s="8"/>
      <c r="J4605" s="8"/>
      <c r="K4605" s="10"/>
      <c r="L4605" s="8"/>
      <c r="M4605" s="8"/>
      <c r="N4605" s="11"/>
      <c r="O4605" s="11"/>
      <c r="P4605" s="11"/>
      <c r="Q4605" s="11"/>
      <c r="R4605" s="11"/>
      <c r="S4605" s="12"/>
      <c r="T4605" s="8"/>
      <c r="U4605" s="8"/>
      <c r="V4605" s="13"/>
      <c r="W4605" s="13"/>
      <c r="X4605" s="12"/>
      <c r="Y4605" s="14"/>
      <c r="Z4605" s="14"/>
    </row>
    <row r="4606">
      <c r="A4606" s="8"/>
      <c r="B4606" s="8"/>
      <c r="C4606" s="8"/>
      <c r="D4606" s="8"/>
      <c r="E4606" s="8"/>
      <c r="F4606" s="8"/>
      <c r="G4606" s="8"/>
      <c r="H4606" s="8"/>
      <c r="I4606" s="8"/>
      <c r="J4606" s="8"/>
      <c r="K4606" s="10"/>
      <c r="L4606" s="8"/>
      <c r="M4606" s="8"/>
      <c r="N4606" s="11"/>
      <c r="O4606" s="11"/>
      <c r="P4606" s="11"/>
      <c r="Q4606" s="11"/>
      <c r="R4606" s="11"/>
      <c r="S4606" s="12"/>
      <c r="T4606" s="8"/>
      <c r="U4606" s="8"/>
      <c r="V4606" s="13"/>
      <c r="W4606" s="13"/>
      <c r="X4606" s="12"/>
      <c r="Y4606" s="14"/>
      <c r="Z4606" s="14"/>
    </row>
    <row r="4607">
      <c r="A4607" s="8"/>
      <c r="B4607" s="8"/>
      <c r="C4607" s="8"/>
      <c r="D4607" s="8"/>
      <c r="E4607" s="8"/>
      <c r="F4607" s="8"/>
      <c r="G4607" s="8"/>
      <c r="H4607" s="8"/>
      <c r="I4607" s="8"/>
      <c r="J4607" s="8"/>
      <c r="K4607" s="10"/>
      <c r="L4607" s="8"/>
      <c r="M4607" s="8"/>
      <c r="N4607" s="11"/>
      <c r="O4607" s="11"/>
      <c r="P4607" s="11"/>
      <c r="Q4607" s="11"/>
      <c r="R4607" s="11"/>
      <c r="S4607" s="12"/>
      <c r="T4607" s="8"/>
      <c r="U4607" s="8"/>
      <c r="V4607" s="13"/>
      <c r="W4607" s="13"/>
      <c r="X4607" s="12"/>
      <c r="Y4607" s="14"/>
      <c r="Z4607" s="14"/>
    </row>
    <row r="4608">
      <c r="A4608" s="8"/>
      <c r="B4608" s="8"/>
      <c r="C4608" s="8"/>
      <c r="D4608" s="8"/>
      <c r="E4608" s="8"/>
      <c r="F4608" s="8"/>
      <c r="G4608" s="8"/>
      <c r="H4608" s="8"/>
      <c r="I4608" s="8"/>
      <c r="J4608" s="8"/>
      <c r="K4608" s="10"/>
      <c r="L4608" s="8"/>
      <c r="M4608" s="8"/>
      <c r="N4608" s="11"/>
      <c r="O4608" s="11"/>
      <c r="P4608" s="11"/>
      <c r="Q4608" s="11"/>
      <c r="R4608" s="11"/>
      <c r="S4608" s="12"/>
      <c r="T4608" s="8"/>
      <c r="U4608" s="8"/>
      <c r="V4608" s="13"/>
      <c r="W4608" s="13"/>
      <c r="X4608" s="12"/>
      <c r="Y4608" s="14"/>
      <c r="Z4608" s="14"/>
    </row>
    <row r="4609">
      <c r="A4609" s="8"/>
      <c r="B4609" s="8"/>
      <c r="C4609" s="8"/>
      <c r="D4609" s="8"/>
      <c r="E4609" s="8"/>
      <c r="F4609" s="8"/>
      <c r="G4609" s="8"/>
      <c r="H4609" s="8"/>
      <c r="I4609" s="8"/>
      <c r="J4609" s="8"/>
      <c r="K4609" s="10"/>
      <c r="L4609" s="8"/>
      <c r="M4609" s="8"/>
      <c r="N4609" s="11"/>
      <c r="O4609" s="11"/>
      <c r="P4609" s="11"/>
      <c r="Q4609" s="11"/>
      <c r="R4609" s="11"/>
      <c r="S4609" s="12"/>
      <c r="T4609" s="8"/>
      <c r="U4609" s="8"/>
      <c r="V4609" s="13"/>
      <c r="W4609" s="13"/>
      <c r="X4609" s="12"/>
      <c r="Y4609" s="14"/>
      <c r="Z4609" s="14"/>
    </row>
    <row r="4610">
      <c r="A4610" s="8"/>
      <c r="B4610" s="8"/>
      <c r="C4610" s="8"/>
      <c r="D4610" s="8"/>
      <c r="E4610" s="8"/>
      <c r="F4610" s="8"/>
      <c r="G4610" s="8"/>
      <c r="H4610" s="8"/>
      <c r="I4610" s="8"/>
      <c r="J4610" s="8"/>
      <c r="K4610" s="10"/>
      <c r="L4610" s="8"/>
      <c r="M4610" s="8"/>
      <c r="N4610" s="11"/>
      <c r="O4610" s="11"/>
      <c r="P4610" s="11"/>
      <c r="Q4610" s="11"/>
      <c r="R4610" s="11"/>
      <c r="S4610" s="12"/>
      <c r="T4610" s="8"/>
      <c r="U4610" s="8"/>
      <c r="V4610" s="13"/>
      <c r="W4610" s="13"/>
      <c r="X4610" s="12"/>
      <c r="Y4610" s="14"/>
      <c r="Z4610" s="14"/>
    </row>
    <row r="4611">
      <c r="A4611" s="8"/>
      <c r="B4611" s="8"/>
      <c r="C4611" s="8"/>
      <c r="D4611" s="8"/>
      <c r="E4611" s="8"/>
      <c r="F4611" s="8"/>
      <c r="G4611" s="8"/>
      <c r="H4611" s="8"/>
      <c r="I4611" s="8"/>
      <c r="J4611" s="8"/>
      <c r="K4611" s="10"/>
      <c r="L4611" s="8"/>
      <c r="M4611" s="8"/>
      <c r="N4611" s="11"/>
      <c r="O4611" s="11"/>
      <c r="P4611" s="11"/>
      <c r="Q4611" s="11"/>
      <c r="R4611" s="11"/>
      <c r="S4611" s="12"/>
      <c r="T4611" s="8"/>
      <c r="U4611" s="8"/>
      <c r="V4611" s="13"/>
      <c r="W4611" s="13"/>
      <c r="X4611" s="12"/>
      <c r="Y4611" s="14"/>
      <c r="Z4611" s="14"/>
    </row>
    <row r="4612">
      <c r="A4612" s="8"/>
      <c r="B4612" s="8"/>
      <c r="C4612" s="8"/>
      <c r="D4612" s="8"/>
      <c r="E4612" s="8"/>
      <c r="F4612" s="8"/>
      <c r="G4612" s="8"/>
      <c r="H4612" s="8"/>
      <c r="I4612" s="8"/>
      <c r="J4612" s="8"/>
      <c r="K4612" s="10"/>
      <c r="L4612" s="8"/>
      <c r="M4612" s="8"/>
      <c r="N4612" s="11"/>
      <c r="O4612" s="11"/>
      <c r="P4612" s="11"/>
      <c r="Q4612" s="11"/>
      <c r="R4612" s="11"/>
      <c r="S4612" s="12"/>
      <c r="T4612" s="8"/>
      <c r="U4612" s="8"/>
      <c r="V4612" s="13"/>
      <c r="W4612" s="13"/>
      <c r="X4612" s="12"/>
      <c r="Y4612" s="14"/>
      <c r="Z4612" s="14"/>
    </row>
    <row r="4613">
      <c r="A4613" s="8"/>
      <c r="B4613" s="8"/>
      <c r="C4613" s="8"/>
      <c r="D4613" s="8"/>
      <c r="E4613" s="8"/>
      <c r="F4613" s="8"/>
      <c r="G4613" s="8"/>
      <c r="H4613" s="8"/>
      <c r="I4613" s="8"/>
      <c r="J4613" s="8"/>
      <c r="K4613" s="10"/>
      <c r="L4613" s="8"/>
      <c r="M4613" s="8"/>
      <c r="N4613" s="11"/>
      <c r="O4613" s="11"/>
      <c r="P4613" s="11"/>
      <c r="Q4613" s="11"/>
      <c r="R4613" s="11"/>
      <c r="S4613" s="12"/>
      <c r="T4613" s="8"/>
      <c r="U4613" s="8"/>
      <c r="V4613" s="13"/>
      <c r="W4613" s="13"/>
      <c r="X4613" s="12"/>
      <c r="Y4613" s="14"/>
      <c r="Z4613" s="14"/>
    </row>
    <row r="4614">
      <c r="A4614" s="8"/>
      <c r="B4614" s="8"/>
      <c r="C4614" s="8"/>
      <c r="D4614" s="8"/>
      <c r="E4614" s="8"/>
      <c r="F4614" s="8"/>
      <c r="G4614" s="8"/>
      <c r="H4614" s="8"/>
      <c r="I4614" s="8"/>
      <c r="J4614" s="8"/>
      <c r="K4614" s="10"/>
      <c r="L4614" s="8"/>
      <c r="M4614" s="8"/>
      <c r="N4614" s="11"/>
      <c r="O4614" s="11"/>
      <c r="P4614" s="11"/>
      <c r="Q4614" s="11"/>
      <c r="R4614" s="11"/>
      <c r="S4614" s="12"/>
      <c r="T4614" s="8"/>
      <c r="U4614" s="8"/>
      <c r="V4614" s="13"/>
      <c r="W4614" s="13"/>
      <c r="X4614" s="12"/>
      <c r="Y4614" s="14"/>
      <c r="Z4614" s="14"/>
    </row>
    <row r="4615">
      <c r="A4615" s="8"/>
      <c r="B4615" s="8"/>
      <c r="C4615" s="8"/>
      <c r="D4615" s="8"/>
      <c r="E4615" s="8"/>
      <c r="F4615" s="8"/>
      <c r="G4615" s="8"/>
      <c r="H4615" s="8"/>
      <c r="I4615" s="8"/>
      <c r="J4615" s="8"/>
      <c r="K4615" s="10"/>
      <c r="L4615" s="8"/>
      <c r="M4615" s="8"/>
      <c r="N4615" s="11"/>
      <c r="O4615" s="11"/>
      <c r="P4615" s="11"/>
      <c r="Q4615" s="11"/>
      <c r="R4615" s="11"/>
      <c r="S4615" s="12"/>
      <c r="T4615" s="8"/>
      <c r="U4615" s="8"/>
      <c r="V4615" s="13"/>
      <c r="W4615" s="13"/>
      <c r="X4615" s="12"/>
      <c r="Y4615" s="14"/>
      <c r="Z4615" s="14"/>
    </row>
    <row r="4616">
      <c r="A4616" s="8"/>
      <c r="B4616" s="8"/>
      <c r="C4616" s="8"/>
      <c r="D4616" s="8"/>
      <c r="E4616" s="8"/>
      <c r="F4616" s="8"/>
      <c r="G4616" s="8"/>
      <c r="H4616" s="8"/>
      <c r="I4616" s="8"/>
      <c r="J4616" s="8"/>
      <c r="K4616" s="10"/>
      <c r="L4616" s="8"/>
      <c r="M4616" s="8"/>
      <c r="N4616" s="11"/>
      <c r="O4616" s="11"/>
      <c r="P4616" s="11"/>
      <c r="Q4616" s="11"/>
      <c r="R4616" s="11"/>
      <c r="S4616" s="12"/>
      <c r="T4616" s="8"/>
      <c r="U4616" s="8"/>
      <c r="V4616" s="13"/>
      <c r="W4616" s="13"/>
      <c r="X4616" s="12"/>
      <c r="Y4616" s="14"/>
      <c r="Z4616" s="14"/>
    </row>
    <row r="4617">
      <c r="A4617" s="8"/>
      <c r="B4617" s="8"/>
      <c r="C4617" s="8"/>
      <c r="D4617" s="8"/>
      <c r="E4617" s="8"/>
      <c r="F4617" s="8"/>
      <c r="G4617" s="8"/>
      <c r="H4617" s="8"/>
      <c r="I4617" s="8"/>
      <c r="J4617" s="8"/>
      <c r="K4617" s="10"/>
      <c r="L4617" s="8"/>
      <c r="M4617" s="8"/>
      <c r="N4617" s="11"/>
      <c r="O4617" s="11"/>
      <c r="P4617" s="11"/>
      <c r="Q4617" s="11"/>
      <c r="R4617" s="11"/>
      <c r="S4617" s="12"/>
      <c r="T4617" s="8"/>
      <c r="U4617" s="8"/>
      <c r="V4617" s="13"/>
      <c r="W4617" s="13"/>
      <c r="X4617" s="12"/>
      <c r="Y4617" s="14"/>
      <c r="Z4617" s="14"/>
    </row>
    <row r="4618">
      <c r="A4618" s="8"/>
      <c r="B4618" s="8"/>
      <c r="C4618" s="8"/>
      <c r="D4618" s="8"/>
      <c r="E4618" s="8"/>
      <c r="F4618" s="8"/>
      <c r="G4618" s="8"/>
      <c r="H4618" s="8"/>
      <c r="I4618" s="8"/>
      <c r="J4618" s="8"/>
      <c r="K4618" s="10"/>
      <c r="L4618" s="8"/>
      <c r="M4618" s="8"/>
      <c r="N4618" s="11"/>
      <c r="O4618" s="11"/>
      <c r="P4618" s="11"/>
      <c r="Q4618" s="11"/>
      <c r="R4618" s="11"/>
      <c r="S4618" s="12"/>
      <c r="T4618" s="8"/>
      <c r="U4618" s="8"/>
      <c r="V4618" s="13"/>
      <c r="W4618" s="13"/>
      <c r="X4618" s="12"/>
      <c r="Y4618" s="14"/>
      <c r="Z4618" s="14"/>
    </row>
    <row r="4619">
      <c r="A4619" s="8"/>
      <c r="B4619" s="8"/>
      <c r="C4619" s="8"/>
      <c r="D4619" s="8"/>
      <c r="E4619" s="8"/>
      <c r="F4619" s="8"/>
      <c r="G4619" s="8"/>
      <c r="H4619" s="8"/>
      <c r="I4619" s="8"/>
      <c r="J4619" s="8"/>
      <c r="K4619" s="10"/>
      <c r="L4619" s="8"/>
      <c r="M4619" s="8"/>
      <c r="N4619" s="11"/>
      <c r="O4619" s="11"/>
      <c r="P4619" s="11"/>
      <c r="Q4619" s="11"/>
      <c r="R4619" s="11"/>
      <c r="S4619" s="12"/>
      <c r="T4619" s="8"/>
      <c r="U4619" s="8"/>
      <c r="V4619" s="13"/>
      <c r="W4619" s="13"/>
      <c r="X4619" s="12"/>
      <c r="Y4619" s="14"/>
      <c r="Z4619" s="14"/>
    </row>
    <row r="4620">
      <c r="A4620" s="8"/>
      <c r="B4620" s="8"/>
      <c r="C4620" s="8"/>
      <c r="D4620" s="8"/>
      <c r="E4620" s="8"/>
      <c r="F4620" s="8"/>
      <c r="G4620" s="8"/>
      <c r="H4620" s="8"/>
      <c r="I4620" s="8"/>
      <c r="J4620" s="8"/>
      <c r="K4620" s="10"/>
      <c r="L4620" s="8"/>
      <c r="M4620" s="8"/>
      <c r="N4620" s="11"/>
      <c r="O4620" s="11"/>
      <c r="P4620" s="11"/>
      <c r="Q4620" s="11"/>
      <c r="R4620" s="11"/>
      <c r="S4620" s="12"/>
      <c r="T4620" s="8"/>
      <c r="U4620" s="8"/>
      <c r="V4620" s="13"/>
      <c r="W4620" s="13"/>
      <c r="X4620" s="12"/>
      <c r="Y4620" s="14"/>
      <c r="Z4620" s="14"/>
    </row>
    <row r="4621">
      <c r="A4621" s="8"/>
      <c r="B4621" s="8"/>
      <c r="C4621" s="8"/>
      <c r="D4621" s="8"/>
      <c r="E4621" s="8"/>
      <c r="F4621" s="8"/>
      <c r="G4621" s="8"/>
      <c r="H4621" s="8"/>
      <c r="I4621" s="8"/>
      <c r="J4621" s="8"/>
      <c r="K4621" s="10"/>
      <c r="L4621" s="8"/>
      <c r="M4621" s="8"/>
      <c r="N4621" s="11"/>
      <c r="O4621" s="11"/>
      <c r="P4621" s="11"/>
      <c r="Q4621" s="11"/>
      <c r="R4621" s="11"/>
      <c r="S4621" s="12"/>
      <c r="T4621" s="8"/>
      <c r="U4621" s="8"/>
      <c r="V4621" s="13"/>
      <c r="W4621" s="13"/>
      <c r="X4621" s="12"/>
      <c r="Y4621" s="14"/>
      <c r="Z4621" s="14"/>
    </row>
    <row r="4622">
      <c r="A4622" s="8"/>
      <c r="B4622" s="8"/>
      <c r="C4622" s="8"/>
      <c r="D4622" s="8"/>
      <c r="E4622" s="8"/>
      <c r="F4622" s="8"/>
      <c r="G4622" s="8"/>
      <c r="H4622" s="8"/>
      <c r="I4622" s="8"/>
      <c r="J4622" s="8"/>
      <c r="K4622" s="10"/>
      <c r="L4622" s="8"/>
      <c r="M4622" s="8"/>
      <c r="N4622" s="11"/>
      <c r="O4622" s="11"/>
      <c r="P4622" s="11"/>
      <c r="Q4622" s="11"/>
      <c r="R4622" s="11"/>
      <c r="S4622" s="12"/>
      <c r="T4622" s="8"/>
      <c r="U4622" s="8"/>
      <c r="V4622" s="13"/>
      <c r="W4622" s="13"/>
      <c r="X4622" s="12"/>
      <c r="Y4622" s="14"/>
      <c r="Z4622" s="14"/>
    </row>
    <row r="4623">
      <c r="A4623" s="8"/>
      <c r="B4623" s="8"/>
      <c r="C4623" s="8"/>
      <c r="D4623" s="8"/>
      <c r="E4623" s="8"/>
      <c r="F4623" s="8"/>
      <c r="G4623" s="8"/>
      <c r="H4623" s="8"/>
      <c r="I4623" s="8"/>
      <c r="J4623" s="8"/>
      <c r="K4623" s="10"/>
      <c r="L4623" s="8"/>
      <c r="M4623" s="8"/>
      <c r="N4623" s="11"/>
      <c r="O4623" s="11"/>
      <c r="P4623" s="11"/>
      <c r="Q4623" s="11"/>
      <c r="R4623" s="11"/>
      <c r="S4623" s="12"/>
      <c r="T4623" s="8"/>
      <c r="U4623" s="8"/>
      <c r="V4623" s="13"/>
      <c r="W4623" s="13"/>
      <c r="X4623" s="12"/>
      <c r="Y4623" s="14"/>
      <c r="Z4623" s="14"/>
    </row>
    <row r="4624">
      <c r="A4624" s="8"/>
      <c r="B4624" s="8"/>
      <c r="C4624" s="8"/>
      <c r="D4624" s="8"/>
      <c r="E4624" s="8"/>
      <c r="F4624" s="8"/>
      <c r="G4624" s="8"/>
      <c r="H4624" s="8"/>
      <c r="I4624" s="8"/>
      <c r="J4624" s="8"/>
      <c r="K4624" s="10"/>
      <c r="L4624" s="8"/>
      <c r="M4624" s="8"/>
      <c r="N4624" s="11"/>
      <c r="O4624" s="11"/>
      <c r="P4624" s="11"/>
      <c r="Q4624" s="11"/>
      <c r="R4624" s="11"/>
      <c r="S4624" s="12"/>
      <c r="T4624" s="8"/>
      <c r="U4624" s="8"/>
      <c r="V4624" s="13"/>
      <c r="W4624" s="13"/>
      <c r="X4624" s="12"/>
      <c r="Y4624" s="14"/>
      <c r="Z4624" s="14"/>
    </row>
    <row r="4625">
      <c r="A4625" s="8"/>
      <c r="B4625" s="8"/>
      <c r="C4625" s="8"/>
      <c r="D4625" s="8"/>
      <c r="E4625" s="8"/>
      <c r="F4625" s="8"/>
      <c r="G4625" s="8"/>
      <c r="H4625" s="8"/>
      <c r="I4625" s="8"/>
      <c r="J4625" s="8"/>
      <c r="K4625" s="10"/>
      <c r="L4625" s="8"/>
      <c r="M4625" s="8"/>
      <c r="N4625" s="11"/>
      <c r="O4625" s="11"/>
      <c r="P4625" s="11"/>
      <c r="Q4625" s="11"/>
      <c r="R4625" s="11"/>
      <c r="S4625" s="12"/>
      <c r="T4625" s="8"/>
      <c r="U4625" s="8"/>
      <c r="V4625" s="13"/>
      <c r="W4625" s="13"/>
      <c r="X4625" s="12"/>
      <c r="Y4625" s="14"/>
      <c r="Z4625" s="14"/>
    </row>
    <row r="4626">
      <c r="A4626" s="8"/>
      <c r="B4626" s="8"/>
      <c r="C4626" s="8"/>
      <c r="D4626" s="8"/>
      <c r="E4626" s="8"/>
      <c r="F4626" s="8"/>
      <c r="G4626" s="8"/>
      <c r="H4626" s="8"/>
      <c r="I4626" s="8"/>
      <c r="J4626" s="8"/>
      <c r="K4626" s="10"/>
      <c r="L4626" s="8"/>
      <c r="M4626" s="8"/>
      <c r="N4626" s="11"/>
      <c r="O4626" s="11"/>
      <c r="P4626" s="11"/>
      <c r="Q4626" s="11"/>
      <c r="R4626" s="11"/>
      <c r="S4626" s="12"/>
      <c r="T4626" s="8"/>
      <c r="U4626" s="8"/>
      <c r="V4626" s="13"/>
      <c r="W4626" s="13"/>
      <c r="X4626" s="12"/>
      <c r="Y4626" s="14"/>
      <c r="Z4626" s="14"/>
    </row>
    <row r="4627">
      <c r="A4627" s="8"/>
      <c r="B4627" s="8"/>
      <c r="C4627" s="8"/>
      <c r="D4627" s="8"/>
      <c r="E4627" s="8"/>
      <c r="F4627" s="8"/>
      <c r="G4627" s="8"/>
      <c r="H4627" s="8"/>
      <c r="I4627" s="8"/>
      <c r="J4627" s="8"/>
      <c r="K4627" s="10"/>
      <c r="L4627" s="8"/>
      <c r="M4627" s="8"/>
      <c r="N4627" s="11"/>
      <c r="O4627" s="11"/>
      <c r="P4627" s="11"/>
      <c r="Q4627" s="11"/>
      <c r="R4627" s="11"/>
      <c r="S4627" s="12"/>
      <c r="T4627" s="8"/>
      <c r="U4627" s="8"/>
      <c r="V4627" s="13"/>
      <c r="W4627" s="13"/>
      <c r="X4627" s="12"/>
      <c r="Y4627" s="14"/>
      <c r="Z4627" s="14"/>
    </row>
    <row r="4628">
      <c r="A4628" s="8"/>
      <c r="B4628" s="8"/>
      <c r="C4628" s="8"/>
      <c r="D4628" s="8"/>
      <c r="E4628" s="8"/>
      <c r="F4628" s="8"/>
      <c r="G4628" s="8"/>
      <c r="H4628" s="8"/>
      <c r="I4628" s="8"/>
      <c r="J4628" s="8"/>
      <c r="K4628" s="10"/>
      <c r="L4628" s="8"/>
      <c r="M4628" s="8"/>
      <c r="N4628" s="11"/>
      <c r="O4628" s="11"/>
      <c r="P4628" s="11"/>
      <c r="Q4628" s="11"/>
      <c r="R4628" s="11"/>
      <c r="S4628" s="12"/>
      <c r="T4628" s="8"/>
      <c r="U4628" s="8"/>
      <c r="V4628" s="13"/>
      <c r="W4628" s="13"/>
      <c r="X4628" s="12"/>
      <c r="Y4628" s="14"/>
      <c r="Z4628" s="14"/>
    </row>
    <row r="4629">
      <c r="A4629" s="8"/>
      <c r="B4629" s="8"/>
      <c r="C4629" s="8"/>
      <c r="D4629" s="8"/>
      <c r="E4629" s="8"/>
      <c r="F4629" s="8"/>
      <c r="G4629" s="8"/>
      <c r="H4629" s="8"/>
      <c r="I4629" s="8"/>
      <c r="J4629" s="8"/>
      <c r="K4629" s="10"/>
      <c r="L4629" s="8"/>
      <c r="M4629" s="8"/>
      <c r="N4629" s="11"/>
      <c r="O4629" s="11"/>
      <c r="P4629" s="11"/>
      <c r="Q4629" s="11"/>
      <c r="R4629" s="11"/>
      <c r="S4629" s="12"/>
      <c r="T4629" s="8"/>
      <c r="U4629" s="8"/>
      <c r="V4629" s="13"/>
      <c r="W4629" s="13"/>
      <c r="X4629" s="12"/>
      <c r="Y4629" s="14"/>
      <c r="Z4629" s="14"/>
    </row>
    <row r="4630">
      <c r="A4630" s="8"/>
      <c r="B4630" s="8"/>
      <c r="C4630" s="8"/>
      <c r="D4630" s="8"/>
      <c r="E4630" s="8"/>
      <c r="F4630" s="8"/>
      <c r="G4630" s="8"/>
      <c r="H4630" s="8"/>
      <c r="I4630" s="8"/>
      <c r="J4630" s="8"/>
      <c r="K4630" s="10"/>
      <c r="L4630" s="8"/>
      <c r="M4630" s="8"/>
      <c r="N4630" s="11"/>
      <c r="O4630" s="11"/>
      <c r="P4630" s="11"/>
      <c r="Q4630" s="11"/>
      <c r="R4630" s="11"/>
      <c r="S4630" s="12"/>
      <c r="T4630" s="8"/>
      <c r="U4630" s="8"/>
      <c r="V4630" s="13"/>
      <c r="W4630" s="13"/>
      <c r="X4630" s="12"/>
      <c r="Y4630" s="14"/>
      <c r="Z4630" s="14"/>
    </row>
    <row r="4631">
      <c r="A4631" s="8"/>
      <c r="B4631" s="8"/>
      <c r="C4631" s="8"/>
      <c r="D4631" s="8"/>
      <c r="E4631" s="8"/>
      <c r="F4631" s="8"/>
      <c r="G4631" s="8"/>
      <c r="H4631" s="8"/>
      <c r="I4631" s="8"/>
      <c r="J4631" s="8"/>
      <c r="K4631" s="10"/>
      <c r="L4631" s="8"/>
      <c r="M4631" s="8"/>
      <c r="N4631" s="11"/>
      <c r="O4631" s="11"/>
      <c r="P4631" s="11"/>
      <c r="Q4631" s="11"/>
      <c r="R4631" s="11"/>
      <c r="S4631" s="12"/>
      <c r="T4631" s="8"/>
      <c r="U4631" s="8"/>
      <c r="V4631" s="13"/>
      <c r="W4631" s="13"/>
      <c r="X4631" s="12"/>
      <c r="Y4631" s="14"/>
      <c r="Z4631" s="14"/>
    </row>
    <row r="4632">
      <c r="A4632" s="8"/>
      <c r="B4632" s="8"/>
      <c r="C4632" s="8"/>
      <c r="D4632" s="8"/>
      <c r="E4632" s="8"/>
      <c r="F4632" s="8"/>
      <c r="G4632" s="8"/>
      <c r="H4632" s="8"/>
      <c r="I4632" s="8"/>
      <c r="J4632" s="8"/>
      <c r="K4632" s="10"/>
      <c r="L4632" s="8"/>
      <c r="M4632" s="8"/>
      <c r="N4632" s="11"/>
      <c r="O4632" s="11"/>
      <c r="P4632" s="11"/>
      <c r="Q4632" s="11"/>
      <c r="R4632" s="11"/>
      <c r="S4632" s="12"/>
      <c r="T4632" s="8"/>
      <c r="U4632" s="8"/>
      <c r="V4632" s="13"/>
      <c r="W4632" s="13"/>
      <c r="X4632" s="12"/>
      <c r="Y4632" s="14"/>
      <c r="Z4632" s="14"/>
    </row>
    <row r="4633">
      <c r="A4633" s="8"/>
      <c r="B4633" s="8"/>
      <c r="C4633" s="8"/>
      <c r="D4633" s="8"/>
      <c r="E4633" s="8"/>
      <c r="F4633" s="8"/>
      <c r="G4633" s="8"/>
      <c r="H4633" s="8"/>
      <c r="I4633" s="8"/>
      <c r="J4633" s="8"/>
      <c r="K4633" s="10"/>
      <c r="L4633" s="8"/>
      <c r="M4633" s="8"/>
      <c r="N4633" s="11"/>
      <c r="O4633" s="11"/>
      <c r="P4633" s="11"/>
      <c r="Q4633" s="11"/>
      <c r="R4633" s="11"/>
      <c r="S4633" s="12"/>
      <c r="T4633" s="8"/>
      <c r="U4633" s="8"/>
      <c r="V4633" s="13"/>
      <c r="W4633" s="13"/>
      <c r="X4633" s="12"/>
      <c r="Y4633" s="14"/>
      <c r="Z4633" s="14"/>
    </row>
    <row r="4634">
      <c r="A4634" s="8"/>
      <c r="B4634" s="8"/>
      <c r="C4634" s="8"/>
      <c r="D4634" s="8"/>
      <c r="E4634" s="8"/>
      <c r="F4634" s="8"/>
      <c r="G4634" s="8"/>
      <c r="H4634" s="8"/>
      <c r="I4634" s="8"/>
      <c r="J4634" s="8"/>
      <c r="K4634" s="10"/>
      <c r="L4634" s="8"/>
      <c r="M4634" s="8"/>
      <c r="N4634" s="11"/>
      <c r="O4634" s="11"/>
      <c r="P4634" s="11"/>
      <c r="Q4634" s="11"/>
      <c r="R4634" s="11"/>
      <c r="S4634" s="12"/>
      <c r="T4634" s="8"/>
      <c r="U4634" s="8"/>
      <c r="V4634" s="13"/>
      <c r="W4634" s="13"/>
      <c r="X4634" s="12"/>
      <c r="Y4634" s="14"/>
      <c r="Z4634" s="14"/>
    </row>
    <row r="4635">
      <c r="A4635" s="8"/>
      <c r="B4635" s="8"/>
      <c r="C4635" s="8"/>
      <c r="D4635" s="8"/>
      <c r="E4635" s="8"/>
      <c r="F4635" s="8"/>
      <c r="G4635" s="8"/>
      <c r="H4635" s="8"/>
      <c r="I4635" s="8"/>
      <c r="J4635" s="8"/>
      <c r="K4635" s="10"/>
      <c r="L4635" s="8"/>
      <c r="M4635" s="8"/>
      <c r="N4635" s="11"/>
      <c r="O4635" s="11"/>
      <c r="P4635" s="11"/>
      <c r="Q4635" s="11"/>
      <c r="R4635" s="11"/>
      <c r="S4635" s="12"/>
      <c r="T4635" s="8"/>
      <c r="U4635" s="8"/>
      <c r="V4635" s="13"/>
      <c r="W4635" s="13"/>
      <c r="X4635" s="12"/>
      <c r="Y4635" s="14"/>
      <c r="Z4635" s="14"/>
    </row>
    <row r="4636">
      <c r="A4636" s="8"/>
      <c r="B4636" s="8"/>
      <c r="C4636" s="8"/>
      <c r="D4636" s="8"/>
      <c r="E4636" s="8"/>
      <c r="F4636" s="8"/>
      <c r="G4636" s="8"/>
      <c r="H4636" s="8"/>
      <c r="I4636" s="8"/>
      <c r="J4636" s="8"/>
      <c r="K4636" s="10"/>
      <c r="L4636" s="8"/>
      <c r="M4636" s="8"/>
      <c r="N4636" s="11"/>
      <c r="O4636" s="11"/>
      <c r="P4636" s="11"/>
      <c r="Q4636" s="11"/>
      <c r="R4636" s="11"/>
      <c r="S4636" s="12"/>
      <c r="T4636" s="8"/>
      <c r="U4636" s="8"/>
      <c r="V4636" s="13"/>
      <c r="W4636" s="13"/>
      <c r="X4636" s="12"/>
      <c r="Y4636" s="14"/>
      <c r="Z4636" s="14"/>
    </row>
    <row r="4637">
      <c r="A4637" s="8"/>
      <c r="B4637" s="8"/>
      <c r="C4637" s="8"/>
      <c r="D4637" s="8"/>
      <c r="E4637" s="8"/>
      <c r="F4637" s="8"/>
      <c r="G4637" s="8"/>
      <c r="H4637" s="8"/>
      <c r="I4637" s="8"/>
      <c r="J4637" s="8"/>
      <c r="K4637" s="10"/>
      <c r="L4637" s="8"/>
      <c r="M4637" s="8"/>
      <c r="N4637" s="11"/>
      <c r="O4637" s="11"/>
      <c r="P4637" s="11"/>
      <c r="Q4637" s="11"/>
      <c r="R4637" s="11"/>
      <c r="S4637" s="12"/>
      <c r="T4637" s="8"/>
      <c r="U4637" s="8"/>
      <c r="V4637" s="13"/>
      <c r="W4637" s="13"/>
      <c r="X4637" s="12"/>
      <c r="Y4637" s="14"/>
      <c r="Z4637" s="14"/>
    </row>
    <row r="4638">
      <c r="A4638" s="8"/>
      <c r="B4638" s="8"/>
      <c r="C4638" s="8"/>
      <c r="D4638" s="8"/>
      <c r="E4638" s="8"/>
      <c r="F4638" s="8"/>
      <c r="G4638" s="8"/>
      <c r="H4638" s="8"/>
      <c r="I4638" s="8"/>
      <c r="J4638" s="8"/>
      <c r="K4638" s="10"/>
      <c r="L4638" s="8"/>
      <c r="M4638" s="8"/>
      <c r="N4638" s="11"/>
      <c r="O4638" s="11"/>
      <c r="P4638" s="11"/>
      <c r="Q4638" s="11"/>
      <c r="R4638" s="11"/>
      <c r="S4638" s="12"/>
      <c r="T4638" s="8"/>
      <c r="U4638" s="8"/>
      <c r="V4638" s="13"/>
      <c r="W4638" s="13"/>
      <c r="X4638" s="12"/>
      <c r="Y4638" s="14"/>
      <c r="Z4638" s="14"/>
    </row>
    <row r="4639">
      <c r="A4639" s="8"/>
      <c r="B4639" s="8"/>
      <c r="C4639" s="8"/>
      <c r="D4639" s="8"/>
      <c r="E4639" s="8"/>
      <c r="F4639" s="8"/>
      <c r="G4639" s="8"/>
      <c r="H4639" s="8"/>
      <c r="I4639" s="8"/>
      <c r="J4639" s="8"/>
      <c r="K4639" s="10"/>
      <c r="L4639" s="8"/>
      <c r="M4639" s="8"/>
      <c r="N4639" s="11"/>
      <c r="O4639" s="11"/>
      <c r="P4639" s="11"/>
      <c r="Q4639" s="11"/>
      <c r="R4639" s="11"/>
      <c r="S4639" s="12"/>
      <c r="T4639" s="8"/>
      <c r="U4639" s="8"/>
      <c r="V4639" s="13"/>
      <c r="W4639" s="13"/>
      <c r="X4639" s="12"/>
      <c r="Y4639" s="14"/>
      <c r="Z4639" s="14"/>
    </row>
    <row r="4640">
      <c r="A4640" s="8"/>
      <c r="B4640" s="8"/>
      <c r="C4640" s="8"/>
      <c r="D4640" s="8"/>
      <c r="E4640" s="8"/>
      <c r="F4640" s="8"/>
      <c r="G4640" s="8"/>
      <c r="H4640" s="8"/>
      <c r="I4640" s="8"/>
      <c r="J4640" s="8"/>
      <c r="K4640" s="10"/>
      <c r="L4640" s="8"/>
      <c r="M4640" s="8"/>
      <c r="N4640" s="11"/>
      <c r="O4640" s="11"/>
      <c r="P4640" s="11"/>
      <c r="Q4640" s="11"/>
      <c r="R4640" s="11"/>
      <c r="S4640" s="12"/>
      <c r="T4640" s="8"/>
      <c r="U4640" s="8"/>
      <c r="V4640" s="13"/>
      <c r="W4640" s="13"/>
      <c r="X4640" s="12"/>
      <c r="Y4640" s="14"/>
      <c r="Z4640" s="14"/>
    </row>
    <row r="4641">
      <c r="A4641" s="8"/>
      <c r="B4641" s="8"/>
      <c r="C4641" s="8"/>
      <c r="D4641" s="8"/>
      <c r="E4641" s="8"/>
      <c r="F4641" s="8"/>
      <c r="G4641" s="8"/>
      <c r="H4641" s="8"/>
      <c r="I4641" s="8"/>
      <c r="J4641" s="8"/>
      <c r="K4641" s="10"/>
      <c r="L4641" s="8"/>
      <c r="M4641" s="8"/>
      <c r="N4641" s="11"/>
      <c r="O4641" s="11"/>
      <c r="P4641" s="11"/>
      <c r="Q4641" s="11"/>
      <c r="R4641" s="11"/>
      <c r="S4641" s="12"/>
      <c r="T4641" s="8"/>
      <c r="U4641" s="8"/>
      <c r="V4641" s="13"/>
      <c r="W4641" s="13"/>
      <c r="X4641" s="12"/>
      <c r="Y4641" s="14"/>
      <c r="Z4641" s="14"/>
    </row>
    <row r="4642">
      <c r="A4642" s="8"/>
      <c r="B4642" s="8"/>
      <c r="C4642" s="8"/>
      <c r="D4642" s="8"/>
      <c r="E4642" s="8"/>
      <c r="F4642" s="8"/>
      <c r="G4642" s="8"/>
      <c r="H4642" s="8"/>
      <c r="I4642" s="8"/>
      <c r="J4642" s="8"/>
      <c r="K4642" s="10"/>
      <c r="L4642" s="8"/>
      <c r="M4642" s="8"/>
      <c r="N4642" s="11"/>
      <c r="O4642" s="11"/>
      <c r="P4642" s="11"/>
      <c r="Q4642" s="11"/>
      <c r="R4642" s="11"/>
      <c r="S4642" s="12"/>
      <c r="T4642" s="8"/>
      <c r="U4642" s="8"/>
      <c r="V4642" s="13"/>
      <c r="W4642" s="13"/>
      <c r="X4642" s="12"/>
      <c r="Y4642" s="14"/>
      <c r="Z4642" s="14"/>
    </row>
    <row r="4643">
      <c r="A4643" s="8"/>
      <c r="B4643" s="8"/>
      <c r="C4643" s="8"/>
      <c r="D4643" s="8"/>
      <c r="E4643" s="8"/>
      <c r="F4643" s="8"/>
      <c r="G4643" s="8"/>
      <c r="H4643" s="8"/>
      <c r="I4643" s="8"/>
      <c r="J4643" s="8"/>
      <c r="K4643" s="10"/>
      <c r="L4643" s="8"/>
      <c r="M4643" s="8"/>
      <c r="N4643" s="11"/>
      <c r="O4643" s="11"/>
      <c r="P4643" s="11"/>
      <c r="Q4643" s="11"/>
      <c r="R4643" s="11"/>
      <c r="S4643" s="12"/>
      <c r="T4643" s="8"/>
      <c r="U4643" s="8"/>
      <c r="V4643" s="13"/>
      <c r="W4643" s="13"/>
      <c r="X4643" s="12"/>
      <c r="Y4643" s="14"/>
      <c r="Z4643" s="14"/>
    </row>
    <row r="4644">
      <c r="A4644" s="8"/>
      <c r="B4644" s="8"/>
      <c r="C4644" s="8"/>
      <c r="D4644" s="8"/>
      <c r="E4644" s="8"/>
      <c r="F4644" s="8"/>
      <c r="G4644" s="8"/>
      <c r="H4644" s="8"/>
      <c r="I4644" s="8"/>
      <c r="J4644" s="8"/>
      <c r="K4644" s="10"/>
      <c r="L4644" s="8"/>
      <c r="M4644" s="8"/>
      <c r="N4644" s="11"/>
      <c r="O4644" s="11"/>
      <c r="P4644" s="11"/>
      <c r="Q4644" s="11"/>
      <c r="R4644" s="11"/>
      <c r="S4644" s="12"/>
      <c r="T4644" s="8"/>
      <c r="U4644" s="8"/>
      <c r="V4644" s="13"/>
      <c r="W4644" s="13"/>
      <c r="X4644" s="12"/>
      <c r="Y4644" s="14"/>
      <c r="Z4644" s="14"/>
    </row>
    <row r="4645">
      <c r="A4645" s="8"/>
      <c r="B4645" s="8"/>
      <c r="C4645" s="8"/>
      <c r="D4645" s="8"/>
      <c r="E4645" s="8"/>
      <c r="F4645" s="8"/>
      <c r="G4645" s="8"/>
      <c r="H4645" s="8"/>
      <c r="I4645" s="8"/>
      <c r="J4645" s="8"/>
      <c r="K4645" s="10"/>
      <c r="L4645" s="8"/>
      <c r="M4645" s="8"/>
      <c r="N4645" s="11"/>
      <c r="O4645" s="11"/>
      <c r="P4645" s="11"/>
      <c r="Q4645" s="11"/>
      <c r="R4645" s="11"/>
      <c r="S4645" s="12"/>
      <c r="T4645" s="8"/>
      <c r="U4645" s="8"/>
      <c r="V4645" s="13"/>
      <c r="W4645" s="13"/>
      <c r="X4645" s="12"/>
      <c r="Y4645" s="14"/>
      <c r="Z4645" s="14"/>
    </row>
    <row r="4646">
      <c r="A4646" s="8"/>
      <c r="B4646" s="8"/>
      <c r="C4646" s="8"/>
      <c r="D4646" s="8"/>
      <c r="E4646" s="8"/>
      <c r="F4646" s="8"/>
      <c r="G4646" s="8"/>
      <c r="H4646" s="8"/>
      <c r="I4646" s="8"/>
      <c r="J4646" s="8"/>
      <c r="K4646" s="10"/>
      <c r="L4646" s="8"/>
      <c r="M4646" s="8"/>
      <c r="N4646" s="11"/>
      <c r="O4646" s="11"/>
      <c r="P4646" s="11"/>
      <c r="Q4646" s="11"/>
      <c r="R4646" s="11"/>
      <c r="S4646" s="12"/>
      <c r="T4646" s="8"/>
      <c r="U4646" s="8"/>
      <c r="V4646" s="13"/>
      <c r="W4646" s="13"/>
      <c r="X4646" s="12"/>
      <c r="Y4646" s="14"/>
      <c r="Z4646" s="14"/>
    </row>
    <row r="4647">
      <c r="A4647" s="8"/>
      <c r="B4647" s="8"/>
      <c r="C4647" s="8"/>
      <c r="D4647" s="8"/>
      <c r="E4647" s="8"/>
      <c r="F4647" s="8"/>
      <c r="G4647" s="8"/>
      <c r="H4647" s="8"/>
      <c r="I4647" s="8"/>
      <c r="J4647" s="8"/>
      <c r="K4647" s="10"/>
      <c r="L4647" s="8"/>
      <c r="M4647" s="8"/>
      <c r="N4647" s="11"/>
      <c r="O4647" s="11"/>
      <c r="P4647" s="11"/>
      <c r="Q4647" s="11"/>
      <c r="R4647" s="11"/>
      <c r="S4647" s="12"/>
      <c r="T4647" s="8"/>
      <c r="U4647" s="8"/>
      <c r="V4647" s="13"/>
      <c r="W4647" s="13"/>
      <c r="X4647" s="12"/>
      <c r="Y4647" s="14"/>
      <c r="Z4647" s="14"/>
    </row>
    <row r="4648">
      <c r="A4648" s="8"/>
      <c r="B4648" s="8"/>
      <c r="C4648" s="8"/>
      <c r="D4648" s="8"/>
      <c r="E4648" s="8"/>
      <c r="F4648" s="8"/>
      <c r="G4648" s="8"/>
      <c r="H4648" s="8"/>
      <c r="I4648" s="8"/>
      <c r="J4648" s="8"/>
      <c r="K4648" s="10"/>
      <c r="L4648" s="8"/>
      <c r="M4648" s="8"/>
      <c r="N4648" s="11"/>
      <c r="O4648" s="11"/>
      <c r="P4648" s="11"/>
      <c r="Q4648" s="11"/>
      <c r="R4648" s="11"/>
      <c r="S4648" s="12"/>
      <c r="T4648" s="8"/>
      <c r="U4648" s="8"/>
      <c r="V4648" s="13"/>
      <c r="W4648" s="13"/>
      <c r="X4648" s="12"/>
      <c r="Y4648" s="14"/>
      <c r="Z4648" s="14"/>
    </row>
    <row r="4649">
      <c r="A4649" s="8"/>
      <c r="B4649" s="8"/>
      <c r="C4649" s="8"/>
      <c r="D4649" s="8"/>
      <c r="E4649" s="8"/>
      <c r="F4649" s="8"/>
      <c r="G4649" s="8"/>
      <c r="H4649" s="8"/>
      <c r="I4649" s="8"/>
      <c r="J4649" s="8"/>
      <c r="K4649" s="10"/>
      <c r="L4649" s="8"/>
      <c r="M4649" s="8"/>
      <c r="N4649" s="11"/>
      <c r="O4649" s="11"/>
      <c r="P4649" s="11"/>
      <c r="Q4649" s="11"/>
      <c r="R4649" s="11"/>
      <c r="S4649" s="12"/>
      <c r="T4649" s="8"/>
      <c r="U4649" s="8"/>
      <c r="V4649" s="13"/>
      <c r="W4649" s="13"/>
      <c r="X4649" s="12"/>
      <c r="Y4649" s="14"/>
      <c r="Z4649" s="14"/>
    </row>
    <row r="4650">
      <c r="A4650" s="8"/>
      <c r="B4650" s="8"/>
      <c r="C4650" s="8"/>
      <c r="D4650" s="8"/>
      <c r="E4650" s="8"/>
      <c r="F4650" s="8"/>
      <c r="G4650" s="8"/>
      <c r="H4650" s="8"/>
      <c r="I4650" s="8"/>
      <c r="J4650" s="8"/>
      <c r="K4650" s="10"/>
      <c r="L4650" s="8"/>
      <c r="M4650" s="8"/>
      <c r="N4650" s="11"/>
      <c r="O4650" s="11"/>
      <c r="P4650" s="11"/>
      <c r="Q4650" s="11"/>
      <c r="R4650" s="11"/>
      <c r="S4650" s="12"/>
      <c r="T4650" s="8"/>
      <c r="U4650" s="8"/>
      <c r="V4650" s="13"/>
      <c r="W4650" s="13"/>
      <c r="X4650" s="12"/>
      <c r="Y4650" s="14"/>
      <c r="Z4650" s="14"/>
    </row>
    <row r="4651">
      <c r="A4651" s="8"/>
      <c r="B4651" s="8"/>
      <c r="C4651" s="8"/>
      <c r="D4651" s="8"/>
      <c r="E4651" s="8"/>
      <c r="F4651" s="8"/>
      <c r="G4651" s="8"/>
      <c r="H4651" s="8"/>
      <c r="I4651" s="8"/>
      <c r="J4651" s="8"/>
      <c r="K4651" s="10"/>
      <c r="L4651" s="8"/>
      <c r="M4651" s="8"/>
      <c r="N4651" s="11"/>
      <c r="O4651" s="11"/>
      <c r="P4651" s="11"/>
      <c r="Q4651" s="11"/>
      <c r="R4651" s="11"/>
      <c r="S4651" s="12"/>
      <c r="T4651" s="8"/>
      <c r="U4651" s="8"/>
      <c r="V4651" s="13"/>
      <c r="W4651" s="13"/>
      <c r="X4651" s="12"/>
      <c r="Y4651" s="14"/>
      <c r="Z4651" s="14"/>
    </row>
    <row r="4652">
      <c r="A4652" s="8"/>
      <c r="B4652" s="8"/>
      <c r="C4652" s="8"/>
      <c r="D4652" s="8"/>
      <c r="E4652" s="8"/>
      <c r="F4652" s="8"/>
      <c r="G4652" s="8"/>
      <c r="H4652" s="8"/>
      <c r="I4652" s="8"/>
      <c r="J4652" s="8"/>
      <c r="K4652" s="10"/>
      <c r="L4652" s="8"/>
      <c r="M4652" s="8"/>
      <c r="N4652" s="11"/>
      <c r="O4652" s="11"/>
      <c r="P4652" s="11"/>
      <c r="Q4652" s="11"/>
      <c r="R4652" s="11"/>
      <c r="S4652" s="12"/>
      <c r="T4652" s="8"/>
      <c r="U4652" s="8"/>
      <c r="V4652" s="13"/>
      <c r="W4652" s="13"/>
      <c r="X4652" s="12"/>
      <c r="Y4652" s="14"/>
      <c r="Z4652" s="14"/>
    </row>
    <row r="4653">
      <c r="A4653" s="8"/>
      <c r="B4653" s="8"/>
      <c r="C4653" s="8"/>
      <c r="D4653" s="8"/>
      <c r="E4653" s="8"/>
      <c r="F4653" s="8"/>
      <c r="G4653" s="8"/>
      <c r="H4653" s="8"/>
      <c r="I4653" s="8"/>
      <c r="J4653" s="8"/>
      <c r="K4653" s="10"/>
      <c r="L4653" s="8"/>
      <c r="M4653" s="8"/>
      <c r="N4653" s="11"/>
      <c r="O4653" s="11"/>
      <c r="P4653" s="11"/>
      <c r="Q4653" s="11"/>
      <c r="R4653" s="11"/>
      <c r="S4653" s="12"/>
      <c r="T4653" s="8"/>
      <c r="U4653" s="8"/>
      <c r="V4653" s="13"/>
      <c r="W4653" s="13"/>
      <c r="X4653" s="12"/>
      <c r="Y4653" s="14"/>
      <c r="Z4653" s="14"/>
    </row>
    <row r="4654">
      <c r="A4654" s="8"/>
      <c r="B4654" s="8"/>
      <c r="C4654" s="8"/>
      <c r="D4654" s="8"/>
      <c r="E4654" s="8"/>
      <c r="F4654" s="8"/>
      <c r="G4654" s="8"/>
      <c r="H4654" s="8"/>
      <c r="I4654" s="8"/>
      <c r="J4654" s="8"/>
      <c r="K4654" s="10"/>
      <c r="L4654" s="8"/>
      <c r="M4654" s="8"/>
      <c r="N4654" s="11"/>
      <c r="O4654" s="11"/>
      <c r="P4654" s="11"/>
      <c r="Q4654" s="11"/>
      <c r="R4654" s="11"/>
      <c r="S4654" s="12"/>
      <c r="T4654" s="8"/>
      <c r="U4654" s="8"/>
      <c r="V4654" s="13"/>
      <c r="W4654" s="13"/>
      <c r="X4654" s="12"/>
      <c r="Y4654" s="14"/>
      <c r="Z4654" s="14"/>
    </row>
    <row r="4655">
      <c r="A4655" s="8"/>
      <c r="B4655" s="8"/>
      <c r="C4655" s="8"/>
      <c r="D4655" s="8"/>
      <c r="E4655" s="8"/>
      <c r="F4655" s="8"/>
      <c r="G4655" s="8"/>
      <c r="H4655" s="8"/>
      <c r="I4655" s="8"/>
      <c r="J4655" s="8"/>
      <c r="K4655" s="10"/>
      <c r="L4655" s="8"/>
      <c r="M4655" s="8"/>
      <c r="N4655" s="11"/>
      <c r="O4655" s="11"/>
      <c r="P4655" s="11"/>
      <c r="Q4655" s="11"/>
      <c r="R4655" s="11"/>
      <c r="S4655" s="12"/>
      <c r="T4655" s="8"/>
      <c r="U4655" s="8"/>
      <c r="V4655" s="13"/>
      <c r="W4655" s="13"/>
      <c r="X4655" s="12"/>
      <c r="Y4655" s="14"/>
      <c r="Z4655" s="14"/>
    </row>
    <row r="4656">
      <c r="A4656" s="8"/>
      <c r="B4656" s="8"/>
      <c r="C4656" s="8"/>
      <c r="D4656" s="8"/>
      <c r="E4656" s="8"/>
      <c r="F4656" s="8"/>
      <c r="G4656" s="8"/>
      <c r="H4656" s="8"/>
      <c r="I4656" s="8"/>
      <c r="J4656" s="8"/>
      <c r="K4656" s="10"/>
      <c r="L4656" s="8"/>
      <c r="M4656" s="8"/>
      <c r="N4656" s="11"/>
      <c r="O4656" s="11"/>
      <c r="P4656" s="11"/>
      <c r="Q4656" s="11"/>
      <c r="R4656" s="11"/>
      <c r="S4656" s="12"/>
      <c r="T4656" s="8"/>
      <c r="U4656" s="8"/>
      <c r="V4656" s="13"/>
      <c r="W4656" s="13"/>
      <c r="X4656" s="12"/>
      <c r="Y4656" s="14"/>
      <c r="Z4656" s="14"/>
    </row>
    <row r="4657">
      <c r="A4657" s="8"/>
      <c r="B4657" s="8"/>
      <c r="C4657" s="8"/>
      <c r="D4657" s="8"/>
      <c r="E4657" s="8"/>
      <c r="F4657" s="8"/>
      <c r="G4657" s="8"/>
      <c r="H4657" s="8"/>
      <c r="I4657" s="8"/>
      <c r="J4657" s="8"/>
      <c r="K4657" s="10"/>
      <c r="L4657" s="8"/>
      <c r="M4657" s="8"/>
      <c r="N4657" s="11"/>
      <c r="O4657" s="11"/>
      <c r="P4657" s="11"/>
      <c r="Q4657" s="11"/>
      <c r="R4657" s="11"/>
      <c r="S4657" s="12"/>
      <c r="T4657" s="8"/>
      <c r="U4657" s="8"/>
      <c r="V4657" s="13"/>
      <c r="W4657" s="13"/>
      <c r="X4657" s="12"/>
      <c r="Y4657" s="14"/>
      <c r="Z4657" s="14"/>
    </row>
    <row r="4658">
      <c r="A4658" s="8"/>
      <c r="B4658" s="8"/>
      <c r="C4658" s="8"/>
      <c r="D4658" s="8"/>
      <c r="E4658" s="8"/>
      <c r="F4658" s="8"/>
      <c r="G4658" s="8"/>
      <c r="H4658" s="8"/>
      <c r="I4658" s="8"/>
      <c r="J4658" s="8"/>
      <c r="K4658" s="10"/>
      <c r="L4658" s="8"/>
      <c r="M4658" s="8"/>
      <c r="N4658" s="11"/>
      <c r="O4658" s="11"/>
      <c r="P4658" s="11"/>
      <c r="Q4658" s="11"/>
      <c r="R4658" s="11"/>
      <c r="S4658" s="12"/>
      <c r="T4658" s="8"/>
      <c r="U4658" s="8"/>
      <c r="V4658" s="13"/>
      <c r="W4658" s="13"/>
      <c r="X4658" s="12"/>
      <c r="Y4658" s="14"/>
      <c r="Z4658" s="14"/>
    </row>
    <row r="4659">
      <c r="A4659" s="8"/>
      <c r="B4659" s="8"/>
      <c r="C4659" s="8"/>
      <c r="D4659" s="8"/>
      <c r="E4659" s="8"/>
      <c r="F4659" s="8"/>
      <c r="G4659" s="8"/>
      <c r="H4659" s="8"/>
      <c r="I4659" s="8"/>
      <c r="J4659" s="8"/>
      <c r="K4659" s="10"/>
      <c r="L4659" s="8"/>
      <c r="M4659" s="8"/>
      <c r="N4659" s="11"/>
      <c r="O4659" s="11"/>
      <c r="P4659" s="11"/>
      <c r="Q4659" s="11"/>
      <c r="R4659" s="11"/>
      <c r="S4659" s="12"/>
      <c r="T4659" s="8"/>
      <c r="U4659" s="8"/>
      <c r="V4659" s="13"/>
      <c r="W4659" s="13"/>
      <c r="X4659" s="12"/>
      <c r="Y4659" s="14"/>
      <c r="Z4659" s="14"/>
    </row>
    <row r="4660">
      <c r="A4660" s="8"/>
      <c r="B4660" s="8"/>
      <c r="C4660" s="8"/>
      <c r="D4660" s="8"/>
      <c r="E4660" s="8"/>
      <c r="F4660" s="8"/>
      <c r="G4660" s="8"/>
      <c r="H4660" s="8"/>
      <c r="I4660" s="8"/>
      <c r="J4660" s="8"/>
      <c r="K4660" s="10"/>
      <c r="L4660" s="8"/>
      <c r="M4660" s="8"/>
      <c r="N4660" s="11"/>
      <c r="O4660" s="11"/>
      <c r="P4660" s="11"/>
      <c r="Q4660" s="11"/>
      <c r="R4660" s="11"/>
      <c r="S4660" s="12"/>
      <c r="T4660" s="8"/>
      <c r="U4660" s="8"/>
      <c r="V4660" s="13"/>
      <c r="W4660" s="13"/>
      <c r="X4660" s="12"/>
      <c r="Y4660" s="14"/>
      <c r="Z4660" s="14"/>
    </row>
    <row r="4661">
      <c r="A4661" s="8"/>
      <c r="B4661" s="8"/>
      <c r="C4661" s="8"/>
      <c r="D4661" s="8"/>
      <c r="E4661" s="8"/>
      <c r="F4661" s="8"/>
      <c r="G4661" s="8"/>
      <c r="H4661" s="8"/>
      <c r="I4661" s="8"/>
      <c r="J4661" s="8"/>
      <c r="K4661" s="10"/>
      <c r="L4661" s="8"/>
      <c r="M4661" s="8"/>
      <c r="N4661" s="11"/>
      <c r="O4661" s="11"/>
      <c r="P4661" s="11"/>
      <c r="Q4661" s="11"/>
      <c r="R4661" s="11"/>
      <c r="S4661" s="12"/>
      <c r="T4661" s="8"/>
      <c r="U4661" s="8"/>
      <c r="V4661" s="13"/>
      <c r="W4661" s="13"/>
      <c r="X4661" s="12"/>
      <c r="Y4661" s="14"/>
      <c r="Z4661" s="14"/>
    </row>
    <row r="4662">
      <c r="A4662" s="8"/>
      <c r="B4662" s="8"/>
      <c r="C4662" s="8"/>
      <c r="D4662" s="8"/>
      <c r="E4662" s="8"/>
      <c r="F4662" s="8"/>
      <c r="G4662" s="8"/>
      <c r="H4662" s="8"/>
      <c r="I4662" s="8"/>
      <c r="J4662" s="8"/>
      <c r="K4662" s="10"/>
      <c r="L4662" s="8"/>
      <c r="M4662" s="8"/>
      <c r="N4662" s="11"/>
      <c r="O4662" s="11"/>
      <c r="P4662" s="11"/>
      <c r="Q4662" s="11"/>
      <c r="R4662" s="11"/>
      <c r="S4662" s="12"/>
      <c r="T4662" s="8"/>
      <c r="U4662" s="8"/>
      <c r="V4662" s="13"/>
      <c r="W4662" s="13"/>
      <c r="X4662" s="12"/>
      <c r="Y4662" s="14"/>
      <c r="Z4662" s="14"/>
    </row>
    <row r="4663">
      <c r="A4663" s="8"/>
      <c r="B4663" s="8"/>
      <c r="C4663" s="8"/>
      <c r="D4663" s="8"/>
      <c r="E4663" s="8"/>
      <c r="F4663" s="8"/>
      <c r="G4663" s="8"/>
      <c r="H4663" s="8"/>
      <c r="I4663" s="8"/>
      <c r="J4663" s="8"/>
      <c r="K4663" s="10"/>
      <c r="L4663" s="8"/>
      <c r="M4663" s="8"/>
      <c r="N4663" s="11"/>
      <c r="O4663" s="11"/>
      <c r="P4663" s="11"/>
      <c r="Q4663" s="11"/>
      <c r="R4663" s="11"/>
      <c r="S4663" s="12"/>
      <c r="T4663" s="8"/>
      <c r="U4663" s="8"/>
      <c r="V4663" s="13"/>
      <c r="W4663" s="13"/>
      <c r="X4663" s="12"/>
      <c r="Y4663" s="14"/>
      <c r="Z4663" s="14"/>
    </row>
    <row r="4664">
      <c r="A4664" s="8"/>
      <c r="B4664" s="8"/>
      <c r="C4664" s="8"/>
      <c r="D4664" s="8"/>
      <c r="E4664" s="8"/>
      <c r="F4664" s="8"/>
      <c r="G4664" s="8"/>
      <c r="H4664" s="8"/>
      <c r="I4664" s="8"/>
      <c r="J4664" s="8"/>
      <c r="K4664" s="10"/>
      <c r="L4664" s="8"/>
      <c r="M4664" s="8"/>
      <c r="N4664" s="11"/>
      <c r="O4664" s="11"/>
      <c r="P4664" s="11"/>
      <c r="Q4664" s="11"/>
      <c r="R4664" s="11"/>
      <c r="S4664" s="12"/>
      <c r="T4664" s="8"/>
      <c r="U4664" s="8"/>
      <c r="V4664" s="13"/>
      <c r="W4664" s="13"/>
      <c r="X4664" s="12"/>
      <c r="Y4664" s="14"/>
      <c r="Z4664" s="14"/>
    </row>
    <row r="4665">
      <c r="A4665" s="8"/>
      <c r="B4665" s="8"/>
      <c r="C4665" s="8"/>
      <c r="D4665" s="8"/>
      <c r="E4665" s="8"/>
      <c r="F4665" s="8"/>
      <c r="G4665" s="8"/>
      <c r="H4665" s="8"/>
      <c r="I4665" s="8"/>
      <c r="J4665" s="8"/>
      <c r="K4665" s="10"/>
      <c r="L4665" s="8"/>
      <c r="M4665" s="8"/>
      <c r="N4665" s="11"/>
      <c r="O4665" s="11"/>
      <c r="P4665" s="11"/>
      <c r="Q4665" s="11"/>
      <c r="R4665" s="11"/>
      <c r="S4665" s="12"/>
      <c r="T4665" s="8"/>
      <c r="U4665" s="8"/>
      <c r="V4665" s="13"/>
      <c r="W4665" s="13"/>
      <c r="X4665" s="12"/>
      <c r="Y4665" s="14"/>
      <c r="Z4665" s="14"/>
    </row>
    <row r="4666">
      <c r="A4666" s="8"/>
      <c r="B4666" s="8"/>
      <c r="C4666" s="8"/>
      <c r="D4666" s="8"/>
      <c r="E4666" s="8"/>
      <c r="F4666" s="8"/>
      <c r="G4666" s="8"/>
      <c r="H4666" s="8"/>
      <c r="I4666" s="8"/>
      <c r="J4666" s="8"/>
      <c r="K4666" s="10"/>
      <c r="L4666" s="8"/>
      <c r="M4666" s="8"/>
      <c r="N4666" s="11"/>
      <c r="O4666" s="11"/>
      <c r="P4666" s="11"/>
      <c r="Q4666" s="11"/>
      <c r="R4666" s="11"/>
      <c r="S4666" s="12"/>
      <c r="T4666" s="8"/>
      <c r="U4666" s="8"/>
      <c r="V4666" s="13"/>
      <c r="W4666" s="13"/>
      <c r="X4666" s="12"/>
      <c r="Y4666" s="14"/>
      <c r="Z4666" s="14"/>
    </row>
    <row r="4667">
      <c r="A4667" s="8"/>
      <c r="B4667" s="8"/>
      <c r="C4667" s="8"/>
      <c r="D4667" s="8"/>
      <c r="E4667" s="8"/>
      <c r="F4667" s="8"/>
      <c r="G4667" s="8"/>
      <c r="H4667" s="8"/>
      <c r="I4667" s="8"/>
      <c r="J4667" s="8"/>
      <c r="K4667" s="10"/>
      <c r="L4667" s="8"/>
      <c r="M4667" s="8"/>
      <c r="N4667" s="11"/>
      <c r="O4667" s="11"/>
      <c r="P4667" s="11"/>
      <c r="Q4667" s="11"/>
      <c r="R4667" s="11"/>
      <c r="S4667" s="12"/>
      <c r="T4667" s="8"/>
      <c r="U4667" s="8"/>
      <c r="V4667" s="13"/>
      <c r="W4667" s="13"/>
      <c r="X4667" s="12"/>
      <c r="Y4667" s="14"/>
      <c r="Z4667" s="14"/>
    </row>
    <row r="4668">
      <c r="A4668" s="8"/>
      <c r="B4668" s="8"/>
      <c r="C4668" s="8"/>
      <c r="D4668" s="8"/>
      <c r="E4668" s="8"/>
      <c r="F4668" s="8"/>
      <c r="G4668" s="8"/>
      <c r="H4668" s="8"/>
      <c r="I4668" s="8"/>
      <c r="J4668" s="8"/>
      <c r="K4668" s="10"/>
      <c r="L4668" s="8"/>
      <c r="M4668" s="8"/>
      <c r="N4668" s="11"/>
      <c r="O4668" s="11"/>
      <c r="P4668" s="11"/>
      <c r="Q4668" s="11"/>
      <c r="R4668" s="11"/>
      <c r="S4668" s="12"/>
      <c r="T4668" s="8"/>
      <c r="U4668" s="8"/>
      <c r="V4668" s="13"/>
      <c r="W4668" s="13"/>
      <c r="X4668" s="12"/>
      <c r="Y4668" s="14"/>
      <c r="Z4668" s="14"/>
    </row>
    <row r="4669">
      <c r="A4669" s="8"/>
      <c r="B4669" s="8"/>
      <c r="C4669" s="8"/>
      <c r="D4669" s="8"/>
      <c r="E4669" s="8"/>
      <c r="F4669" s="8"/>
      <c r="G4669" s="8"/>
      <c r="H4669" s="8"/>
      <c r="I4669" s="8"/>
      <c r="J4669" s="8"/>
      <c r="K4669" s="10"/>
      <c r="L4669" s="8"/>
      <c r="M4669" s="8"/>
      <c r="N4669" s="11"/>
      <c r="O4669" s="11"/>
      <c r="P4669" s="11"/>
      <c r="Q4669" s="11"/>
      <c r="R4669" s="11"/>
      <c r="S4669" s="12"/>
      <c r="T4669" s="8"/>
      <c r="U4669" s="8"/>
      <c r="V4669" s="13"/>
      <c r="W4669" s="13"/>
      <c r="X4669" s="12"/>
      <c r="Y4669" s="14"/>
      <c r="Z4669" s="14"/>
    </row>
    <row r="4670">
      <c r="A4670" s="8"/>
      <c r="B4670" s="8"/>
      <c r="C4670" s="8"/>
      <c r="D4670" s="8"/>
      <c r="E4670" s="8"/>
      <c r="F4670" s="8"/>
      <c r="G4670" s="8"/>
      <c r="H4670" s="8"/>
      <c r="I4670" s="8"/>
      <c r="J4670" s="8"/>
      <c r="K4670" s="10"/>
      <c r="L4670" s="8"/>
      <c r="M4670" s="8"/>
      <c r="N4670" s="11"/>
      <c r="O4670" s="11"/>
      <c r="P4670" s="11"/>
      <c r="Q4670" s="11"/>
      <c r="R4670" s="11"/>
      <c r="S4670" s="12"/>
      <c r="T4670" s="8"/>
      <c r="U4670" s="8"/>
      <c r="V4670" s="13"/>
      <c r="W4670" s="13"/>
      <c r="X4670" s="12"/>
      <c r="Y4670" s="14"/>
      <c r="Z4670" s="14"/>
    </row>
    <row r="4671">
      <c r="A4671" s="8"/>
      <c r="B4671" s="8"/>
      <c r="C4671" s="8"/>
      <c r="D4671" s="8"/>
      <c r="E4671" s="8"/>
      <c r="F4671" s="8"/>
      <c r="G4671" s="8"/>
      <c r="H4671" s="8"/>
      <c r="I4671" s="8"/>
      <c r="J4671" s="8"/>
      <c r="K4671" s="10"/>
      <c r="L4671" s="8"/>
      <c r="M4671" s="8"/>
      <c r="N4671" s="11"/>
      <c r="O4671" s="11"/>
      <c r="P4671" s="11"/>
      <c r="Q4671" s="11"/>
      <c r="R4671" s="11"/>
      <c r="S4671" s="12"/>
      <c r="T4671" s="8"/>
      <c r="U4671" s="8"/>
      <c r="V4671" s="13"/>
      <c r="W4671" s="13"/>
      <c r="X4671" s="12"/>
      <c r="Y4671" s="14"/>
      <c r="Z4671" s="14"/>
    </row>
    <row r="4672">
      <c r="A4672" s="8"/>
      <c r="B4672" s="8"/>
      <c r="C4672" s="8"/>
      <c r="D4672" s="8"/>
      <c r="E4672" s="8"/>
      <c r="F4672" s="8"/>
      <c r="G4672" s="8"/>
      <c r="H4672" s="8"/>
      <c r="I4672" s="8"/>
      <c r="J4672" s="8"/>
      <c r="K4672" s="10"/>
      <c r="L4672" s="8"/>
      <c r="M4672" s="8"/>
      <c r="N4672" s="11"/>
      <c r="O4672" s="11"/>
      <c r="P4672" s="11"/>
      <c r="Q4672" s="11"/>
      <c r="R4672" s="11"/>
      <c r="S4672" s="12"/>
      <c r="T4672" s="8"/>
      <c r="U4672" s="8"/>
      <c r="V4672" s="13"/>
      <c r="W4672" s="13"/>
      <c r="X4672" s="12"/>
      <c r="Y4672" s="14"/>
      <c r="Z4672" s="14"/>
    </row>
    <row r="4673">
      <c r="A4673" s="8"/>
      <c r="B4673" s="8"/>
      <c r="C4673" s="8"/>
      <c r="D4673" s="8"/>
      <c r="E4673" s="8"/>
      <c r="F4673" s="8"/>
      <c r="G4673" s="8"/>
      <c r="H4673" s="8"/>
      <c r="I4673" s="8"/>
      <c r="J4673" s="8"/>
      <c r="K4673" s="10"/>
      <c r="L4673" s="8"/>
      <c r="M4673" s="8"/>
      <c r="N4673" s="11"/>
      <c r="O4673" s="11"/>
      <c r="P4673" s="11"/>
      <c r="Q4673" s="11"/>
      <c r="R4673" s="11"/>
      <c r="S4673" s="12"/>
      <c r="T4673" s="8"/>
      <c r="U4673" s="8"/>
      <c r="V4673" s="13"/>
      <c r="W4673" s="13"/>
      <c r="X4673" s="12"/>
      <c r="Y4673" s="14"/>
      <c r="Z4673" s="14"/>
    </row>
    <row r="4674">
      <c r="A4674" s="8"/>
      <c r="B4674" s="8"/>
      <c r="C4674" s="8"/>
      <c r="D4674" s="8"/>
      <c r="E4674" s="8"/>
      <c r="F4674" s="8"/>
      <c r="G4674" s="8"/>
      <c r="H4674" s="8"/>
      <c r="I4674" s="8"/>
      <c r="J4674" s="8"/>
      <c r="K4674" s="10"/>
      <c r="L4674" s="8"/>
      <c r="M4674" s="8"/>
      <c r="N4674" s="11"/>
      <c r="O4674" s="11"/>
      <c r="P4674" s="11"/>
      <c r="Q4674" s="11"/>
      <c r="R4674" s="11"/>
      <c r="S4674" s="12"/>
      <c r="T4674" s="8"/>
      <c r="U4674" s="8"/>
      <c r="V4674" s="13"/>
      <c r="W4674" s="13"/>
      <c r="X4674" s="12"/>
      <c r="Y4674" s="14"/>
      <c r="Z4674" s="14"/>
    </row>
    <row r="4675">
      <c r="A4675" s="8"/>
      <c r="B4675" s="8"/>
      <c r="C4675" s="8"/>
      <c r="D4675" s="8"/>
      <c r="E4675" s="8"/>
      <c r="F4675" s="8"/>
      <c r="G4675" s="8"/>
      <c r="H4675" s="8"/>
      <c r="I4675" s="8"/>
      <c r="J4675" s="8"/>
      <c r="K4675" s="10"/>
      <c r="L4675" s="8"/>
      <c r="M4675" s="8"/>
      <c r="N4675" s="11"/>
      <c r="O4675" s="11"/>
      <c r="P4675" s="11"/>
      <c r="Q4675" s="11"/>
      <c r="R4675" s="11"/>
      <c r="S4675" s="12"/>
      <c r="T4675" s="8"/>
      <c r="U4675" s="8"/>
      <c r="V4675" s="13"/>
      <c r="W4675" s="13"/>
      <c r="X4675" s="12"/>
      <c r="Y4675" s="14"/>
      <c r="Z4675" s="14"/>
    </row>
    <row r="4676">
      <c r="A4676" s="8"/>
      <c r="B4676" s="8"/>
      <c r="C4676" s="8"/>
      <c r="D4676" s="8"/>
      <c r="E4676" s="8"/>
      <c r="F4676" s="8"/>
      <c r="G4676" s="8"/>
      <c r="H4676" s="8"/>
      <c r="I4676" s="8"/>
      <c r="J4676" s="8"/>
      <c r="K4676" s="10"/>
      <c r="L4676" s="8"/>
      <c r="M4676" s="8"/>
      <c r="N4676" s="11"/>
      <c r="O4676" s="11"/>
      <c r="P4676" s="11"/>
      <c r="Q4676" s="11"/>
      <c r="R4676" s="11"/>
      <c r="S4676" s="12"/>
      <c r="T4676" s="8"/>
      <c r="U4676" s="8"/>
      <c r="V4676" s="13"/>
      <c r="W4676" s="13"/>
      <c r="X4676" s="12"/>
      <c r="Y4676" s="14"/>
      <c r="Z4676" s="14"/>
    </row>
    <row r="4677">
      <c r="A4677" s="8"/>
      <c r="B4677" s="8"/>
      <c r="C4677" s="8"/>
      <c r="D4677" s="8"/>
      <c r="E4677" s="8"/>
      <c r="F4677" s="8"/>
      <c r="G4677" s="8"/>
      <c r="H4677" s="8"/>
      <c r="I4677" s="8"/>
      <c r="J4677" s="8"/>
      <c r="K4677" s="10"/>
      <c r="L4677" s="8"/>
      <c r="M4677" s="8"/>
      <c r="N4677" s="11"/>
      <c r="O4677" s="11"/>
      <c r="P4677" s="11"/>
      <c r="Q4677" s="11"/>
      <c r="R4677" s="11"/>
      <c r="S4677" s="12"/>
      <c r="T4677" s="8"/>
      <c r="U4677" s="8"/>
      <c r="V4677" s="13"/>
      <c r="W4677" s="13"/>
      <c r="X4677" s="12"/>
      <c r="Y4677" s="14"/>
      <c r="Z4677" s="14"/>
    </row>
    <row r="4678">
      <c r="A4678" s="8"/>
      <c r="B4678" s="8"/>
      <c r="C4678" s="8"/>
      <c r="D4678" s="8"/>
      <c r="E4678" s="8"/>
      <c r="F4678" s="8"/>
      <c r="G4678" s="8"/>
      <c r="H4678" s="8"/>
      <c r="I4678" s="8"/>
      <c r="J4678" s="8"/>
      <c r="K4678" s="10"/>
      <c r="L4678" s="8"/>
      <c r="M4678" s="8"/>
      <c r="N4678" s="11"/>
      <c r="O4678" s="11"/>
      <c r="P4678" s="11"/>
      <c r="Q4678" s="11"/>
      <c r="R4678" s="11"/>
      <c r="S4678" s="12"/>
      <c r="T4678" s="8"/>
      <c r="U4678" s="8"/>
      <c r="V4678" s="13"/>
      <c r="W4678" s="13"/>
      <c r="X4678" s="12"/>
      <c r="Y4678" s="14"/>
      <c r="Z4678" s="14"/>
    </row>
    <row r="4679">
      <c r="A4679" s="8"/>
      <c r="B4679" s="8"/>
      <c r="C4679" s="8"/>
      <c r="D4679" s="8"/>
      <c r="E4679" s="8"/>
      <c r="F4679" s="8"/>
      <c r="G4679" s="8"/>
      <c r="H4679" s="8"/>
      <c r="I4679" s="8"/>
      <c r="J4679" s="8"/>
      <c r="K4679" s="10"/>
      <c r="L4679" s="8"/>
      <c r="M4679" s="8"/>
      <c r="N4679" s="11"/>
      <c r="O4679" s="11"/>
      <c r="P4679" s="11"/>
      <c r="Q4679" s="11"/>
      <c r="R4679" s="11"/>
      <c r="S4679" s="12"/>
      <c r="T4679" s="8"/>
      <c r="U4679" s="8"/>
      <c r="V4679" s="13"/>
      <c r="W4679" s="13"/>
      <c r="X4679" s="12"/>
      <c r="Y4679" s="14"/>
      <c r="Z4679" s="14"/>
    </row>
    <row r="4680">
      <c r="A4680" s="8"/>
      <c r="B4680" s="8"/>
      <c r="C4680" s="8"/>
      <c r="D4680" s="8"/>
      <c r="E4680" s="8"/>
      <c r="F4680" s="8"/>
      <c r="G4680" s="8"/>
      <c r="H4680" s="8"/>
      <c r="I4680" s="8"/>
      <c r="J4680" s="8"/>
      <c r="K4680" s="10"/>
      <c r="L4680" s="8"/>
      <c r="M4680" s="8"/>
      <c r="N4680" s="11"/>
      <c r="O4680" s="11"/>
      <c r="P4680" s="11"/>
      <c r="Q4680" s="11"/>
      <c r="R4680" s="11"/>
      <c r="S4680" s="12"/>
      <c r="T4680" s="8"/>
      <c r="U4680" s="8"/>
      <c r="V4680" s="13"/>
      <c r="W4680" s="13"/>
      <c r="X4680" s="12"/>
      <c r="Y4680" s="14"/>
      <c r="Z4680" s="14"/>
    </row>
    <row r="4681">
      <c r="A4681" s="8"/>
      <c r="B4681" s="8"/>
      <c r="C4681" s="8"/>
      <c r="D4681" s="8"/>
      <c r="E4681" s="8"/>
      <c r="F4681" s="8"/>
      <c r="G4681" s="8"/>
      <c r="H4681" s="8"/>
      <c r="I4681" s="8"/>
      <c r="J4681" s="8"/>
      <c r="K4681" s="10"/>
      <c r="L4681" s="8"/>
      <c r="M4681" s="8"/>
      <c r="N4681" s="11"/>
      <c r="O4681" s="11"/>
      <c r="P4681" s="11"/>
      <c r="Q4681" s="11"/>
      <c r="R4681" s="11"/>
      <c r="S4681" s="12"/>
      <c r="T4681" s="8"/>
      <c r="U4681" s="8"/>
      <c r="V4681" s="13"/>
      <c r="W4681" s="13"/>
      <c r="X4681" s="12"/>
      <c r="Y4681" s="14"/>
      <c r="Z4681" s="14"/>
    </row>
    <row r="4682">
      <c r="A4682" s="8"/>
      <c r="B4682" s="8"/>
      <c r="C4682" s="8"/>
      <c r="D4682" s="8"/>
      <c r="E4682" s="8"/>
      <c r="F4682" s="8"/>
      <c r="G4682" s="8"/>
      <c r="H4682" s="8"/>
      <c r="I4682" s="8"/>
      <c r="J4682" s="8"/>
      <c r="K4682" s="10"/>
      <c r="L4682" s="8"/>
      <c r="M4682" s="8"/>
      <c r="N4682" s="11"/>
      <c r="O4682" s="11"/>
      <c r="P4682" s="11"/>
      <c r="Q4682" s="11"/>
      <c r="R4682" s="11"/>
      <c r="S4682" s="12"/>
      <c r="T4682" s="8"/>
      <c r="U4682" s="8"/>
      <c r="V4682" s="13"/>
      <c r="W4682" s="13"/>
      <c r="X4682" s="12"/>
      <c r="Y4682" s="14"/>
      <c r="Z4682" s="14"/>
    </row>
    <row r="4683">
      <c r="A4683" s="8"/>
      <c r="B4683" s="8"/>
      <c r="C4683" s="8"/>
      <c r="D4683" s="8"/>
      <c r="E4683" s="8"/>
      <c r="F4683" s="8"/>
      <c r="G4683" s="8"/>
      <c r="H4683" s="8"/>
      <c r="I4683" s="8"/>
      <c r="J4683" s="8"/>
      <c r="K4683" s="10"/>
      <c r="L4683" s="8"/>
      <c r="M4683" s="8"/>
      <c r="N4683" s="11"/>
      <c r="O4683" s="11"/>
      <c r="P4683" s="11"/>
      <c r="Q4683" s="11"/>
      <c r="R4683" s="11"/>
      <c r="S4683" s="12"/>
      <c r="T4683" s="8"/>
      <c r="U4683" s="8"/>
      <c r="V4683" s="13"/>
      <c r="W4683" s="13"/>
      <c r="X4683" s="12"/>
      <c r="Y4683" s="14"/>
      <c r="Z4683" s="14"/>
    </row>
    <row r="4684">
      <c r="A4684" s="8"/>
      <c r="B4684" s="8"/>
      <c r="C4684" s="8"/>
      <c r="D4684" s="8"/>
      <c r="E4684" s="8"/>
      <c r="F4684" s="8"/>
      <c r="G4684" s="8"/>
      <c r="H4684" s="8"/>
      <c r="I4684" s="8"/>
      <c r="J4684" s="8"/>
      <c r="K4684" s="10"/>
      <c r="L4684" s="8"/>
      <c r="M4684" s="8"/>
      <c r="N4684" s="11"/>
      <c r="O4684" s="11"/>
      <c r="P4684" s="11"/>
      <c r="Q4684" s="11"/>
      <c r="R4684" s="11"/>
      <c r="S4684" s="12"/>
      <c r="T4684" s="8"/>
      <c r="U4684" s="8"/>
      <c r="V4684" s="13"/>
      <c r="W4684" s="13"/>
      <c r="X4684" s="12"/>
      <c r="Y4684" s="14"/>
      <c r="Z4684" s="14"/>
    </row>
    <row r="4685">
      <c r="A4685" s="8"/>
      <c r="B4685" s="8"/>
      <c r="C4685" s="8"/>
      <c r="D4685" s="8"/>
      <c r="E4685" s="8"/>
      <c r="F4685" s="8"/>
      <c r="G4685" s="8"/>
      <c r="H4685" s="8"/>
      <c r="I4685" s="8"/>
      <c r="J4685" s="8"/>
      <c r="K4685" s="10"/>
      <c r="L4685" s="8"/>
      <c r="M4685" s="8"/>
      <c r="N4685" s="11"/>
      <c r="O4685" s="11"/>
      <c r="P4685" s="11"/>
      <c r="Q4685" s="11"/>
      <c r="R4685" s="11"/>
      <c r="S4685" s="12"/>
      <c r="T4685" s="8"/>
      <c r="U4685" s="8"/>
      <c r="V4685" s="13"/>
      <c r="W4685" s="13"/>
      <c r="X4685" s="12"/>
      <c r="Y4685" s="14"/>
      <c r="Z4685" s="14"/>
    </row>
    <row r="4686">
      <c r="A4686" s="8"/>
      <c r="B4686" s="8"/>
      <c r="C4686" s="8"/>
      <c r="D4686" s="8"/>
      <c r="E4686" s="8"/>
      <c r="F4686" s="8"/>
      <c r="G4686" s="8"/>
      <c r="H4686" s="8"/>
      <c r="I4686" s="8"/>
      <c r="J4686" s="8"/>
      <c r="K4686" s="10"/>
      <c r="L4686" s="8"/>
      <c r="M4686" s="8"/>
      <c r="N4686" s="11"/>
      <c r="O4686" s="11"/>
      <c r="P4686" s="11"/>
      <c r="Q4686" s="11"/>
      <c r="R4686" s="11"/>
      <c r="S4686" s="12"/>
      <c r="T4686" s="8"/>
      <c r="U4686" s="8"/>
      <c r="V4686" s="13"/>
      <c r="W4686" s="13"/>
      <c r="X4686" s="12"/>
      <c r="Y4686" s="14"/>
      <c r="Z4686" s="14"/>
    </row>
    <row r="4687">
      <c r="A4687" s="8"/>
      <c r="B4687" s="8"/>
      <c r="C4687" s="8"/>
      <c r="D4687" s="8"/>
      <c r="E4687" s="8"/>
      <c r="F4687" s="8"/>
      <c r="G4687" s="8"/>
      <c r="H4687" s="8"/>
      <c r="I4687" s="8"/>
      <c r="J4687" s="8"/>
      <c r="K4687" s="10"/>
      <c r="L4687" s="8"/>
      <c r="M4687" s="8"/>
      <c r="N4687" s="11"/>
      <c r="O4687" s="11"/>
      <c r="P4687" s="11"/>
      <c r="Q4687" s="11"/>
      <c r="R4687" s="11"/>
      <c r="S4687" s="12"/>
      <c r="T4687" s="8"/>
      <c r="U4687" s="8"/>
      <c r="V4687" s="13"/>
      <c r="W4687" s="13"/>
      <c r="X4687" s="12"/>
      <c r="Y4687" s="14"/>
      <c r="Z4687" s="14"/>
    </row>
    <row r="4688">
      <c r="A4688" s="8"/>
      <c r="B4688" s="8"/>
      <c r="C4688" s="8"/>
      <c r="D4688" s="8"/>
      <c r="E4688" s="8"/>
      <c r="F4688" s="8"/>
      <c r="G4688" s="8"/>
      <c r="H4688" s="8"/>
      <c r="I4688" s="8"/>
      <c r="J4688" s="8"/>
      <c r="K4688" s="10"/>
      <c r="L4688" s="8"/>
      <c r="M4688" s="8"/>
      <c r="N4688" s="11"/>
      <c r="O4688" s="11"/>
      <c r="P4688" s="11"/>
      <c r="Q4688" s="11"/>
      <c r="R4688" s="11"/>
      <c r="S4688" s="12"/>
      <c r="T4688" s="8"/>
      <c r="U4688" s="8"/>
      <c r="V4688" s="13"/>
      <c r="W4688" s="13"/>
      <c r="X4688" s="12"/>
      <c r="Y4688" s="14"/>
      <c r="Z4688" s="14"/>
    </row>
    <row r="4689">
      <c r="A4689" s="8"/>
      <c r="B4689" s="8"/>
      <c r="C4689" s="8"/>
      <c r="D4689" s="8"/>
      <c r="E4689" s="8"/>
      <c r="F4689" s="8"/>
      <c r="G4689" s="8"/>
      <c r="H4689" s="8"/>
      <c r="I4689" s="8"/>
      <c r="J4689" s="8"/>
      <c r="K4689" s="10"/>
      <c r="L4689" s="8"/>
      <c r="M4689" s="8"/>
      <c r="N4689" s="11"/>
      <c r="O4689" s="11"/>
      <c r="P4689" s="11"/>
      <c r="Q4689" s="11"/>
      <c r="R4689" s="11"/>
      <c r="S4689" s="12"/>
      <c r="T4689" s="8"/>
      <c r="U4689" s="8"/>
      <c r="V4689" s="13"/>
      <c r="W4689" s="13"/>
      <c r="X4689" s="12"/>
      <c r="Y4689" s="14"/>
      <c r="Z4689" s="14"/>
    </row>
    <row r="4690">
      <c r="A4690" s="8"/>
      <c r="B4690" s="8"/>
      <c r="C4690" s="8"/>
      <c r="D4690" s="8"/>
      <c r="E4690" s="8"/>
      <c r="F4690" s="8"/>
      <c r="G4690" s="8"/>
      <c r="H4690" s="8"/>
      <c r="I4690" s="8"/>
      <c r="J4690" s="8"/>
      <c r="K4690" s="10"/>
      <c r="L4690" s="8"/>
      <c r="M4690" s="8"/>
      <c r="N4690" s="11"/>
      <c r="O4690" s="11"/>
      <c r="P4690" s="11"/>
      <c r="Q4690" s="11"/>
      <c r="R4690" s="11"/>
      <c r="S4690" s="12"/>
      <c r="T4690" s="8"/>
      <c r="U4690" s="8"/>
      <c r="V4690" s="13"/>
      <c r="W4690" s="13"/>
      <c r="X4690" s="12"/>
      <c r="Y4690" s="14"/>
      <c r="Z4690" s="14"/>
    </row>
    <row r="4691">
      <c r="A4691" s="8"/>
      <c r="B4691" s="8"/>
      <c r="C4691" s="8"/>
      <c r="D4691" s="8"/>
      <c r="E4691" s="8"/>
      <c r="F4691" s="8"/>
      <c r="G4691" s="8"/>
      <c r="H4691" s="8"/>
      <c r="I4691" s="8"/>
      <c r="J4691" s="8"/>
      <c r="K4691" s="10"/>
      <c r="L4691" s="8"/>
      <c r="M4691" s="8"/>
      <c r="N4691" s="11"/>
      <c r="O4691" s="11"/>
      <c r="P4691" s="11"/>
      <c r="Q4691" s="11"/>
      <c r="R4691" s="11"/>
      <c r="S4691" s="12"/>
      <c r="T4691" s="8"/>
      <c r="U4691" s="8"/>
      <c r="V4691" s="13"/>
      <c r="W4691" s="13"/>
      <c r="X4691" s="12"/>
      <c r="Y4691" s="14"/>
      <c r="Z4691" s="14"/>
    </row>
    <row r="4692">
      <c r="A4692" s="8"/>
      <c r="B4692" s="8"/>
      <c r="C4692" s="8"/>
      <c r="D4692" s="8"/>
      <c r="E4692" s="8"/>
      <c r="F4692" s="8"/>
      <c r="G4692" s="8"/>
      <c r="H4692" s="8"/>
      <c r="I4692" s="8"/>
      <c r="J4692" s="8"/>
      <c r="K4692" s="10"/>
      <c r="L4692" s="8"/>
      <c r="M4692" s="8"/>
      <c r="N4692" s="11"/>
      <c r="O4692" s="11"/>
      <c r="P4692" s="11"/>
      <c r="Q4692" s="11"/>
      <c r="R4692" s="11"/>
      <c r="S4692" s="12"/>
      <c r="T4692" s="8"/>
      <c r="U4692" s="8"/>
      <c r="V4692" s="13"/>
      <c r="W4692" s="13"/>
      <c r="X4692" s="12"/>
      <c r="Y4692" s="14"/>
      <c r="Z4692" s="14"/>
    </row>
    <row r="4693">
      <c r="A4693" s="8"/>
      <c r="B4693" s="8"/>
      <c r="C4693" s="8"/>
      <c r="D4693" s="8"/>
      <c r="E4693" s="8"/>
      <c r="F4693" s="8"/>
      <c r="G4693" s="8"/>
      <c r="H4693" s="8"/>
      <c r="I4693" s="8"/>
      <c r="J4693" s="8"/>
      <c r="K4693" s="10"/>
      <c r="L4693" s="8"/>
      <c r="M4693" s="8"/>
      <c r="N4693" s="11"/>
      <c r="O4693" s="11"/>
      <c r="P4693" s="11"/>
      <c r="Q4693" s="11"/>
      <c r="R4693" s="11"/>
      <c r="S4693" s="12"/>
      <c r="T4693" s="8"/>
      <c r="U4693" s="8"/>
      <c r="V4693" s="13"/>
      <c r="W4693" s="13"/>
      <c r="X4693" s="12"/>
      <c r="Y4693" s="14"/>
      <c r="Z4693" s="14"/>
    </row>
    <row r="4694">
      <c r="A4694" s="8"/>
      <c r="B4694" s="8"/>
      <c r="C4694" s="8"/>
      <c r="D4694" s="8"/>
      <c r="E4694" s="8"/>
      <c r="F4694" s="8"/>
      <c r="G4694" s="8"/>
      <c r="H4694" s="8"/>
      <c r="I4694" s="8"/>
      <c r="J4694" s="8"/>
      <c r="K4694" s="10"/>
      <c r="L4694" s="8"/>
      <c r="M4694" s="8"/>
      <c r="N4694" s="11"/>
      <c r="O4694" s="11"/>
      <c r="P4694" s="11"/>
      <c r="Q4694" s="11"/>
      <c r="R4694" s="11"/>
      <c r="S4694" s="12"/>
      <c r="T4694" s="8"/>
      <c r="U4694" s="8"/>
      <c r="V4694" s="13"/>
      <c r="W4694" s="13"/>
      <c r="X4694" s="12"/>
      <c r="Y4694" s="14"/>
      <c r="Z4694" s="14"/>
    </row>
    <row r="4695">
      <c r="A4695" s="8"/>
      <c r="B4695" s="8"/>
      <c r="C4695" s="8"/>
      <c r="D4695" s="8"/>
      <c r="E4695" s="8"/>
      <c r="F4695" s="8"/>
      <c r="G4695" s="8"/>
      <c r="H4695" s="8"/>
      <c r="I4695" s="8"/>
      <c r="J4695" s="8"/>
      <c r="K4695" s="10"/>
      <c r="L4695" s="8"/>
      <c r="M4695" s="8"/>
      <c r="N4695" s="11"/>
      <c r="O4695" s="11"/>
      <c r="P4695" s="11"/>
      <c r="Q4695" s="11"/>
      <c r="R4695" s="11"/>
      <c r="S4695" s="12"/>
      <c r="T4695" s="8"/>
      <c r="U4695" s="8"/>
      <c r="V4695" s="13"/>
      <c r="W4695" s="13"/>
      <c r="X4695" s="12"/>
      <c r="Y4695" s="14"/>
      <c r="Z4695" s="14"/>
    </row>
    <row r="4696">
      <c r="A4696" s="8"/>
      <c r="B4696" s="8"/>
      <c r="C4696" s="8"/>
      <c r="D4696" s="8"/>
      <c r="E4696" s="8"/>
      <c r="F4696" s="8"/>
      <c r="G4696" s="8"/>
      <c r="H4696" s="8"/>
      <c r="I4696" s="8"/>
      <c r="J4696" s="8"/>
      <c r="K4696" s="10"/>
      <c r="L4696" s="8"/>
      <c r="M4696" s="8"/>
      <c r="N4696" s="11"/>
      <c r="O4696" s="11"/>
      <c r="P4696" s="11"/>
      <c r="Q4696" s="11"/>
      <c r="R4696" s="11"/>
      <c r="S4696" s="12"/>
      <c r="T4696" s="8"/>
      <c r="U4696" s="8"/>
      <c r="V4696" s="13"/>
      <c r="W4696" s="13"/>
      <c r="X4696" s="12"/>
      <c r="Y4696" s="14"/>
      <c r="Z4696" s="14"/>
    </row>
    <row r="4697">
      <c r="A4697" s="8"/>
      <c r="B4697" s="8"/>
      <c r="C4697" s="8"/>
      <c r="D4697" s="8"/>
      <c r="E4697" s="8"/>
      <c r="F4697" s="8"/>
      <c r="G4697" s="8"/>
      <c r="H4697" s="8"/>
      <c r="I4697" s="8"/>
      <c r="J4697" s="8"/>
      <c r="K4697" s="10"/>
      <c r="L4697" s="8"/>
      <c r="M4697" s="8"/>
      <c r="N4697" s="11"/>
      <c r="O4697" s="11"/>
      <c r="P4697" s="11"/>
      <c r="Q4697" s="11"/>
      <c r="R4697" s="11"/>
      <c r="S4697" s="12"/>
      <c r="T4697" s="8"/>
      <c r="U4697" s="8"/>
      <c r="V4697" s="13"/>
      <c r="W4697" s="13"/>
      <c r="X4697" s="12"/>
      <c r="Y4697" s="14"/>
      <c r="Z4697" s="14"/>
    </row>
    <row r="4698">
      <c r="A4698" s="8"/>
      <c r="B4698" s="8"/>
      <c r="C4698" s="8"/>
      <c r="D4698" s="8"/>
      <c r="E4698" s="8"/>
      <c r="F4698" s="8"/>
      <c r="G4698" s="8"/>
      <c r="H4698" s="8"/>
      <c r="I4698" s="8"/>
      <c r="J4698" s="8"/>
      <c r="K4698" s="10"/>
      <c r="L4698" s="8"/>
      <c r="M4698" s="8"/>
      <c r="N4698" s="11"/>
      <c r="O4698" s="11"/>
      <c r="P4698" s="11"/>
      <c r="Q4698" s="11"/>
      <c r="R4698" s="11"/>
      <c r="S4698" s="12"/>
      <c r="T4698" s="8"/>
      <c r="U4698" s="8"/>
      <c r="V4698" s="13"/>
      <c r="W4698" s="13"/>
      <c r="X4698" s="12"/>
      <c r="Y4698" s="14"/>
      <c r="Z4698" s="14"/>
    </row>
    <row r="4699">
      <c r="A4699" s="8"/>
      <c r="B4699" s="8"/>
      <c r="C4699" s="8"/>
      <c r="D4699" s="8"/>
      <c r="E4699" s="8"/>
      <c r="F4699" s="8"/>
      <c r="G4699" s="8"/>
      <c r="H4699" s="8"/>
      <c r="I4699" s="8"/>
      <c r="J4699" s="8"/>
      <c r="K4699" s="10"/>
      <c r="L4699" s="8"/>
      <c r="M4699" s="8"/>
      <c r="N4699" s="11"/>
      <c r="O4699" s="11"/>
      <c r="P4699" s="11"/>
      <c r="Q4699" s="11"/>
      <c r="R4699" s="11"/>
      <c r="S4699" s="12"/>
      <c r="T4699" s="8"/>
      <c r="U4699" s="8"/>
      <c r="V4699" s="13"/>
      <c r="W4699" s="13"/>
      <c r="X4699" s="12"/>
      <c r="Y4699" s="14"/>
      <c r="Z4699" s="14"/>
    </row>
    <row r="4700">
      <c r="A4700" s="8"/>
      <c r="B4700" s="8"/>
      <c r="C4700" s="8"/>
      <c r="D4700" s="8"/>
      <c r="E4700" s="8"/>
      <c r="F4700" s="8"/>
      <c r="G4700" s="8"/>
      <c r="H4700" s="8"/>
      <c r="I4700" s="8"/>
      <c r="J4700" s="8"/>
      <c r="K4700" s="10"/>
      <c r="L4700" s="8"/>
      <c r="M4700" s="8"/>
      <c r="N4700" s="11"/>
      <c r="O4700" s="11"/>
      <c r="P4700" s="11"/>
      <c r="Q4700" s="11"/>
      <c r="R4700" s="11"/>
      <c r="S4700" s="12"/>
      <c r="T4700" s="8"/>
      <c r="U4700" s="8"/>
      <c r="V4700" s="13"/>
      <c r="W4700" s="13"/>
      <c r="X4700" s="12"/>
      <c r="Y4700" s="14"/>
      <c r="Z4700" s="14"/>
    </row>
    <row r="4701">
      <c r="A4701" s="8"/>
      <c r="B4701" s="8"/>
      <c r="C4701" s="8"/>
      <c r="D4701" s="8"/>
      <c r="E4701" s="8"/>
      <c r="F4701" s="8"/>
      <c r="G4701" s="8"/>
      <c r="H4701" s="8"/>
      <c r="I4701" s="8"/>
      <c r="J4701" s="8"/>
      <c r="K4701" s="10"/>
      <c r="L4701" s="8"/>
      <c r="M4701" s="8"/>
      <c r="N4701" s="11"/>
      <c r="O4701" s="11"/>
      <c r="P4701" s="11"/>
      <c r="Q4701" s="11"/>
      <c r="R4701" s="11"/>
      <c r="S4701" s="12"/>
      <c r="T4701" s="8"/>
      <c r="U4701" s="8"/>
      <c r="V4701" s="13"/>
      <c r="W4701" s="13"/>
      <c r="X4701" s="12"/>
      <c r="Y4701" s="14"/>
      <c r="Z4701" s="14"/>
    </row>
    <row r="4702">
      <c r="A4702" s="8"/>
      <c r="B4702" s="8"/>
      <c r="C4702" s="8"/>
      <c r="D4702" s="8"/>
      <c r="E4702" s="8"/>
      <c r="F4702" s="8"/>
      <c r="G4702" s="8"/>
      <c r="H4702" s="8"/>
      <c r="I4702" s="8"/>
      <c r="J4702" s="8"/>
      <c r="K4702" s="10"/>
      <c r="L4702" s="8"/>
      <c r="M4702" s="8"/>
      <c r="N4702" s="11"/>
      <c r="O4702" s="11"/>
      <c r="P4702" s="11"/>
      <c r="Q4702" s="11"/>
      <c r="R4702" s="11"/>
      <c r="S4702" s="12"/>
      <c r="T4702" s="8"/>
      <c r="U4702" s="8"/>
      <c r="V4702" s="13"/>
      <c r="W4702" s="13"/>
      <c r="X4702" s="12"/>
      <c r="Y4702" s="14"/>
      <c r="Z4702" s="14"/>
    </row>
    <row r="4703">
      <c r="A4703" s="8"/>
      <c r="B4703" s="8"/>
      <c r="C4703" s="8"/>
      <c r="D4703" s="8"/>
      <c r="E4703" s="8"/>
      <c r="F4703" s="8"/>
      <c r="G4703" s="8"/>
      <c r="H4703" s="8"/>
      <c r="I4703" s="8"/>
      <c r="J4703" s="8"/>
      <c r="K4703" s="10"/>
      <c r="L4703" s="8"/>
      <c r="M4703" s="8"/>
      <c r="N4703" s="11"/>
      <c r="O4703" s="11"/>
      <c r="P4703" s="11"/>
      <c r="Q4703" s="11"/>
      <c r="R4703" s="11"/>
      <c r="S4703" s="12"/>
      <c r="T4703" s="8"/>
      <c r="U4703" s="8"/>
      <c r="V4703" s="13"/>
      <c r="W4703" s="13"/>
      <c r="X4703" s="12"/>
      <c r="Y4703" s="14"/>
      <c r="Z4703" s="14"/>
    </row>
    <row r="4704">
      <c r="A4704" s="8"/>
      <c r="B4704" s="8"/>
      <c r="C4704" s="8"/>
      <c r="D4704" s="8"/>
      <c r="E4704" s="8"/>
      <c r="F4704" s="8"/>
      <c r="G4704" s="8"/>
      <c r="H4704" s="8"/>
      <c r="I4704" s="8"/>
      <c r="J4704" s="8"/>
      <c r="K4704" s="10"/>
      <c r="L4704" s="8"/>
      <c r="M4704" s="8"/>
      <c r="N4704" s="11"/>
      <c r="O4704" s="11"/>
      <c r="P4704" s="11"/>
      <c r="Q4704" s="11"/>
      <c r="R4704" s="11"/>
      <c r="S4704" s="12"/>
      <c r="T4704" s="8"/>
      <c r="U4704" s="8"/>
      <c r="V4704" s="13"/>
      <c r="W4704" s="13"/>
      <c r="X4704" s="12"/>
      <c r="Y4704" s="14"/>
      <c r="Z4704" s="14"/>
    </row>
    <row r="4705">
      <c r="A4705" s="8"/>
      <c r="B4705" s="8"/>
      <c r="C4705" s="8"/>
      <c r="D4705" s="8"/>
      <c r="E4705" s="8"/>
      <c r="F4705" s="8"/>
      <c r="G4705" s="8"/>
      <c r="H4705" s="8"/>
      <c r="I4705" s="8"/>
      <c r="J4705" s="8"/>
      <c r="K4705" s="10"/>
      <c r="L4705" s="8"/>
      <c r="M4705" s="8"/>
      <c r="N4705" s="11"/>
      <c r="O4705" s="11"/>
      <c r="P4705" s="11"/>
      <c r="Q4705" s="11"/>
      <c r="R4705" s="11"/>
      <c r="S4705" s="12"/>
      <c r="T4705" s="8"/>
      <c r="U4705" s="8"/>
      <c r="V4705" s="13"/>
      <c r="W4705" s="13"/>
      <c r="X4705" s="12"/>
      <c r="Y4705" s="14"/>
      <c r="Z4705" s="14"/>
    </row>
    <row r="4706">
      <c r="A4706" s="8"/>
      <c r="B4706" s="8"/>
      <c r="C4706" s="8"/>
      <c r="D4706" s="8"/>
      <c r="E4706" s="8"/>
      <c r="F4706" s="8"/>
      <c r="G4706" s="8"/>
      <c r="H4706" s="8"/>
      <c r="I4706" s="8"/>
      <c r="J4706" s="8"/>
      <c r="K4706" s="10"/>
      <c r="L4706" s="8"/>
      <c r="M4706" s="8"/>
      <c r="N4706" s="11"/>
      <c r="O4706" s="11"/>
      <c r="P4706" s="11"/>
      <c r="Q4706" s="11"/>
      <c r="R4706" s="11"/>
      <c r="S4706" s="12"/>
      <c r="T4706" s="8"/>
      <c r="U4706" s="8"/>
      <c r="V4706" s="13"/>
      <c r="W4706" s="13"/>
      <c r="X4706" s="12"/>
      <c r="Y4706" s="14"/>
      <c r="Z4706" s="14"/>
    </row>
    <row r="4707">
      <c r="A4707" s="8"/>
      <c r="B4707" s="8"/>
      <c r="C4707" s="8"/>
      <c r="D4707" s="8"/>
      <c r="E4707" s="8"/>
      <c r="F4707" s="8"/>
      <c r="G4707" s="8"/>
      <c r="H4707" s="8"/>
      <c r="I4707" s="8"/>
      <c r="J4707" s="8"/>
      <c r="K4707" s="10"/>
      <c r="L4707" s="8"/>
      <c r="M4707" s="8"/>
      <c r="N4707" s="11"/>
      <c r="O4707" s="11"/>
      <c r="P4707" s="11"/>
      <c r="Q4707" s="11"/>
      <c r="R4707" s="11"/>
      <c r="S4707" s="12"/>
      <c r="T4707" s="8"/>
      <c r="U4707" s="8"/>
      <c r="V4707" s="13"/>
      <c r="W4707" s="13"/>
      <c r="X4707" s="12"/>
      <c r="Y4707" s="14"/>
      <c r="Z4707" s="14"/>
    </row>
    <row r="4708">
      <c r="A4708" s="8"/>
      <c r="B4708" s="8"/>
      <c r="C4708" s="8"/>
      <c r="D4708" s="8"/>
      <c r="E4708" s="8"/>
      <c r="F4708" s="8"/>
      <c r="G4708" s="8"/>
      <c r="H4708" s="8"/>
      <c r="I4708" s="8"/>
      <c r="J4708" s="8"/>
      <c r="K4708" s="10"/>
      <c r="L4708" s="8"/>
      <c r="M4708" s="8"/>
      <c r="N4708" s="11"/>
      <c r="O4708" s="11"/>
      <c r="P4708" s="11"/>
      <c r="Q4708" s="11"/>
      <c r="R4708" s="11"/>
      <c r="S4708" s="12"/>
      <c r="T4708" s="8"/>
      <c r="U4708" s="8"/>
      <c r="V4708" s="13"/>
      <c r="W4708" s="13"/>
      <c r="X4708" s="12"/>
      <c r="Y4708" s="14"/>
      <c r="Z4708" s="14"/>
    </row>
    <row r="4709">
      <c r="A4709" s="8"/>
      <c r="B4709" s="8"/>
      <c r="C4709" s="8"/>
      <c r="D4709" s="8"/>
      <c r="E4709" s="8"/>
      <c r="F4709" s="8"/>
      <c r="G4709" s="8"/>
      <c r="H4709" s="8"/>
      <c r="I4709" s="8"/>
      <c r="J4709" s="8"/>
      <c r="K4709" s="10"/>
      <c r="L4709" s="8"/>
      <c r="M4709" s="8"/>
      <c r="N4709" s="11"/>
      <c r="O4709" s="11"/>
      <c r="P4709" s="11"/>
      <c r="Q4709" s="11"/>
      <c r="R4709" s="11"/>
      <c r="S4709" s="12"/>
      <c r="T4709" s="8"/>
      <c r="U4709" s="8"/>
      <c r="V4709" s="13"/>
      <c r="W4709" s="13"/>
      <c r="X4709" s="12"/>
      <c r="Y4709" s="14"/>
      <c r="Z4709" s="14"/>
    </row>
    <row r="4710">
      <c r="A4710" s="8"/>
      <c r="B4710" s="8"/>
      <c r="C4710" s="8"/>
      <c r="D4710" s="8"/>
      <c r="E4710" s="8"/>
      <c r="F4710" s="8"/>
      <c r="G4710" s="8"/>
      <c r="H4710" s="8"/>
      <c r="I4710" s="8"/>
      <c r="J4710" s="8"/>
      <c r="K4710" s="10"/>
      <c r="L4710" s="8"/>
      <c r="M4710" s="8"/>
      <c r="N4710" s="11"/>
      <c r="O4710" s="11"/>
      <c r="P4710" s="11"/>
      <c r="Q4710" s="11"/>
      <c r="R4710" s="11"/>
      <c r="S4710" s="12"/>
      <c r="T4710" s="8"/>
      <c r="U4710" s="8"/>
      <c r="V4710" s="13"/>
      <c r="W4710" s="13"/>
      <c r="X4710" s="12"/>
      <c r="Y4710" s="14"/>
      <c r="Z4710" s="14"/>
    </row>
    <row r="4711">
      <c r="A4711" s="8"/>
      <c r="B4711" s="8"/>
      <c r="C4711" s="8"/>
      <c r="D4711" s="8"/>
      <c r="E4711" s="8"/>
      <c r="F4711" s="8"/>
      <c r="G4711" s="8"/>
      <c r="H4711" s="8"/>
      <c r="I4711" s="8"/>
      <c r="J4711" s="8"/>
      <c r="K4711" s="10"/>
      <c r="L4711" s="8"/>
      <c r="M4711" s="8"/>
      <c r="N4711" s="11"/>
      <c r="O4711" s="11"/>
      <c r="P4711" s="11"/>
      <c r="Q4711" s="11"/>
      <c r="R4711" s="11"/>
      <c r="S4711" s="12"/>
      <c r="T4711" s="8"/>
      <c r="U4711" s="8"/>
      <c r="V4711" s="13"/>
      <c r="W4711" s="13"/>
      <c r="X4711" s="12"/>
      <c r="Y4711" s="14"/>
      <c r="Z4711" s="14"/>
    </row>
    <row r="4712">
      <c r="A4712" s="8"/>
      <c r="B4712" s="8"/>
      <c r="C4712" s="8"/>
      <c r="D4712" s="8"/>
      <c r="E4712" s="8"/>
      <c r="F4712" s="8"/>
      <c r="G4712" s="8"/>
      <c r="H4712" s="8"/>
      <c r="I4712" s="8"/>
      <c r="J4712" s="8"/>
      <c r="K4712" s="10"/>
      <c r="L4712" s="8"/>
      <c r="M4712" s="8"/>
      <c r="N4712" s="11"/>
      <c r="O4712" s="11"/>
      <c r="P4712" s="11"/>
      <c r="Q4712" s="11"/>
      <c r="R4712" s="11"/>
      <c r="S4712" s="12"/>
      <c r="T4712" s="8"/>
      <c r="U4712" s="8"/>
      <c r="V4712" s="13"/>
      <c r="W4712" s="13"/>
      <c r="X4712" s="12"/>
      <c r="Y4712" s="14"/>
      <c r="Z4712" s="14"/>
    </row>
    <row r="4713">
      <c r="A4713" s="8"/>
      <c r="B4713" s="8"/>
      <c r="C4713" s="8"/>
      <c r="D4713" s="8"/>
      <c r="E4713" s="8"/>
      <c r="F4713" s="8"/>
      <c r="G4713" s="8"/>
      <c r="H4713" s="8"/>
      <c r="I4713" s="8"/>
      <c r="J4713" s="8"/>
      <c r="K4713" s="10"/>
      <c r="L4713" s="8"/>
      <c r="M4713" s="8"/>
      <c r="N4713" s="11"/>
      <c r="O4713" s="11"/>
      <c r="P4713" s="11"/>
      <c r="Q4713" s="11"/>
      <c r="R4713" s="11"/>
      <c r="S4713" s="12"/>
      <c r="T4713" s="8"/>
      <c r="U4713" s="8"/>
      <c r="V4713" s="13"/>
      <c r="W4713" s="13"/>
      <c r="X4713" s="12"/>
      <c r="Y4713" s="14"/>
      <c r="Z4713" s="14"/>
    </row>
    <row r="4714">
      <c r="A4714" s="8"/>
      <c r="B4714" s="8"/>
      <c r="C4714" s="8"/>
      <c r="D4714" s="8"/>
      <c r="E4714" s="8"/>
      <c r="F4714" s="8"/>
      <c r="G4714" s="8"/>
      <c r="H4714" s="8"/>
      <c r="I4714" s="8"/>
      <c r="J4714" s="8"/>
      <c r="K4714" s="10"/>
      <c r="L4714" s="8"/>
      <c r="M4714" s="8"/>
      <c r="N4714" s="11"/>
      <c r="O4714" s="11"/>
      <c r="P4714" s="11"/>
      <c r="Q4714" s="11"/>
      <c r="R4714" s="11"/>
      <c r="S4714" s="12"/>
      <c r="T4714" s="8"/>
      <c r="U4714" s="8"/>
      <c r="V4714" s="13"/>
      <c r="W4714" s="13"/>
      <c r="X4714" s="12"/>
      <c r="Y4714" s="14"/>
      <c r="Z4714" s="14"/>
    </row>
    <row r="4715">
      <c r="A4715" s="8"/>
      <c r="B4715" s="8"/>
      <c r="C4715" s="8"/>
      <c r="D4715" s="8"/>
      <c r="E4715" s="8"/>
      <c r="F4715" s="8"/>
      <c r="G4715" s="8"/>
      <c r="H4715" s="8"/>
      <c r="I4715" s="8"/>
      <c r="J4715" s="8"/>
      <c r="K4715" s="10"/>
      <c r="L4715" s="8"/>
      <c r="M4715" s="8"/>
      <c r="N4715" s="11"/>
      <c r="O4715" s="11"/>
      <c r="P4715" s="11"/>
      <c r="Q4715" s="11"/>
      <c r="R4715" s="11"/>
      <c r="S4715" s="12"/>
      <c r="T4715" s="8"/>
      <c r="U4715" s="8"/>
      <c r="V4715" s="13"/>
      <c r="W4715" s="13"/>
      <c r="X4715" s="12"/>
      <c r="Y4715" s="14"/>
      <c r="Z4715" s="14"/>
    </row>
    <row r="4716">
      <c r="A4716" s="8"/>
      <c r="B4716" s="8"/>
      <c r="C4716" s="8"/>
      <c r="D4716" s="8"/>
      <c r="E4716" s="8"/>
      <c r="F4716" s="8"/>
      <c r="G4716" s="8"/>
      <c r="H4716" s="8"/>
      <c r="I4716" s="8"/>
      <c r="J4716" s="8"/>
      <c r="K4716" s="10"/>
      <c r="L4716" s="8"/>
      <c r="M4716" s="8"/>
      <c r="N4716" s="11"/>
      <c r="O4716" s="11"/>
      <c r="P4716" s="11"/>
      <c r="Q4716" s="11"/>
      <c r="R4716" s="11"/>
      <c r="S4716" s="12"/>
      <c r="T4716" s="8"/>
      <c r="U4716" s="8"/>
      <c r="V4716" s="13"/>
      <c r="W4716" s="13"/>
      <c r="X4716" s="12"/>
      <c r="Y4716" s="14"/>
      <c r="Z4716" s="14"/>
    </row>
    <row r="4717">
      <c r="A4717" s="8"/>
      <c r="B4717" s="8"/>
      <c r="C4717" s="8"/>
      <c r="D4717" s="8"/>
      <c r="E4717" s="8"/>
      <c r="F4717" s="8"/>
      <c r="G4717" s="8"/>
      <c r="H4717" s="8"/>
      <c r="I4717" s="8"/>
      <c r="J4717" s="8"/>
      <c r="K4717" s="10"/>
      <c r="L4717" s="8"/>
      <c r="M4717" s="8"/>
      <c r="N4717" s="11"/>
      <c r="O4717" s="11"/>
      <c r="P4717" s="11"/>
      <c r="Q4717" s="11"/>
      <c r="R4717" s="11"/>
      <c r="S4717" s="12"/>
      <c r="T4717" s="8"/>
      <c r="U4717" s="8"/>
      <c r="V4717" s="13"/>
      <c r="W4717" s="13"/>
      <c r="X4717" s="12"/>
      <c r="Y4717" s="14"/>
      <c r="Z4717" s="14"/>
    </row>
    <row r="4718">
      <c r="A4718" s="8"/>
      <c r="B4718" s="8"/>
      <c r="C4718" s="8"/>
      <c r="D4718" s="8"/>
      <c r="E4718" s="8"/>
      <c r="F4718" s="8"/>
      <c r="G4718" s="8"/>
      <c r="H4718" s="8"/>
      <c r="I4718" s="8"/>
      <c r="J4718" s="8"/>
      <c r="K4718" s="10"/>
      <c r="L4718" s="8"/>
      <c r="M4718" s="8"/>
      <c r="N4718" s="11"/>
      <c r="O4718" s="11"/>
      <c r="P4718" s="11"/>
      <c r="Q4718" s="11"/>
      <c r="R4718" s="11"/>
      <c r="S4718" s="12"/>
      <c r="T4718" s="8"/>
      <c r="U4718" s="8"/>
      <c r="V4718" s="13"/>
      <c r="W4718" s="13"/>
      <c r="X4718" s="12"/>
      <c r="Y4718" s="14"/>
      <c r="Z4718" s="14"/>
    </row>
    <row r="4719">
      <c r="A4719" s="8"/>
      <c r="B4719" s="8"/>
      <c r="C4719" s="8"/>
      <c r="D4719" s="8"/>
      <c r="E4719" s="8"/>
      <c r="F4719" s="8"/>
      <c r="G4719" s="8"/>
      <c r="H4719" s="8"/>
      <c r="I4719" s="8"/>
      <c r="J4719" s="8"/>
      <c r="K4719" s="10"/>
      <c r="L4719" s="8"/>
      <c r="M4719" s="8"/>
      <c r="N4719" s="11"/>
      <c r="O4719" s="11"/>
      <c r="P4719" s="11"/>
      <c r="Q4719" s="11"/>
      <c r="R4719" s="11"/>
      <c r="S4719" s="12"/>
      <c r="T4719" s="8"/>
      <c r="U4719" s="8"/>
      <c r="V4719" s="13"/>
      <c r="W4719" s="13"/>
      <c r="X4719" s="12"/>
      <c r="Y4719" s="14"/>
      <c r="Z4719" s="14"/>
    </row>
    <row r="4720">
      <c r="A4720" s="8"/>
      <c r="B4720" s="8"/>
      <c r="C4720" s="8"/>
      <c r="D4720" s="8"/>
      <c r="E4720" s="8"/>
      <c r="F4720" s="8"/>
      <c r="G4720" s="8"/>
      <c r="H4720" s="8"/>
      <c r="I4720" s="8"/>
      <c r="J4720" s="8"/>
      <c r="K4720" s="10"/>
      <c r="L4720" s="8"/>
      <c r="M4720" s="8"/>
      <c r="N4720" s="11"/>
      <c r="O4720" s="11"/>
      <c r="P4720" s="11"/>
      <c r="Q4720" s="11"/>
      <c r="R4720" s="11"/>
      <c r="S4720" s="12"/>
      <c r="T4720" s="8"/>
      <c r="U4720" s="8"/>
      <c r="V4720" s="13"/>
      <c r="W4720" s="13"/>
      <c r="X4720" s="12"/>
      <c r="Y4720" s="14"/>
      <c r="Z4720" s="14"/>
    </row>
    <row r="4721">
      <c r="A4721" s="8"/>
      <c r="B4721" s="8"/>
      <c r="C4721" s="8"/>
      <c r="D4721" s="8"/>
      <c r="E4721" s="8"/>
      <c r="F4721" s="8"/>
      <c r="G4721" s="8"/>
      <c r="H4721" s="8"/>
      <c r="I4721" s="8"/>
      <c r="J4721" s="8"/>
      <c r="K4721" s="10"/>
      <c r="L4721" s="8"/>
      <c r="M4721" s="8"/>
      <c r="N4721" s="11"/>
      <c r="O4721" s="11"/>
      <c r="P4721" s="11"/>
      <c r="Q4721" s="11"/>
      <c r="R4721" s="11"/>
      <c r="S4721" s="12"/>
      <c r="T4721" s="8"/>
      <c r="U4721" s="8"/>
      <c r="V4721" s="13"/>
      <c r="W4721" s="13"/>
      <c r="X4721" s="12"/>
      <c r="Y4721" s="14"/>
      <c r="Z4721" s="14"/>
    </row>
    <row r="4722">
      <c r="A4722" s="8"/>
      <c r="B4722" s="8"/>
      <c r="C4722" s="8"/>
      <c r="D4722" s="8"/>
      <c r="E4722" s="8"/>
      <c r="F4722" s="8"/>
      <c r="G4722" s="8"/>
      <c r="H4722" s="8"/>
      <c r="I4722" s="8"/>
      <c r="J4722" s="8"/>
      <c r="K4722" s="10"/>
      <c r="L4722" s="8"/>
      <c r="M4722" s="8"/>
      <c r="N4722" s="11"/>
      <c r="O4722" s="11"/>
      <c r="P4722" s="11"/>
      <c r="Q4722" s="11"/>
      <c r="R4722" s="11"/>
      <c r="S4722" s="12"/>
      <c r="T4722" s="8"/>
      <c r="U4722" s="8"/>
      <c r="V4722" s="13"/>
      <c r="W4722" s="13"/>
      <c r="X4722" s="12"/>
      <c r="Y4722" s="14"/>
      <c r="Z4722" s="14"/>
    </row>
    <row r="4723">
      <c r="A4723" s="8"/>
      <c r="B4723" s="8"/>
      <c r="C4723" s="8"/>
      <c r="D4723" s="8"/>
      <c r="E4723" s="8"/>
      <c r="F4723" s="8"/>
      <c r="G4723" s="8"/>
      <c r="H4723" s="8"/>
      <c r="I4723" s="8"/>
      <c r="J4723" s="8"/>
      <c r="K4723" s="10"/>
      <c r="L4723" s="8"/>
      <c r="M4723" s="8"/>
      <c r="N4723" s="11"/>
      <c r="O4723" s="11"/>
      <c r="P4723" s="11"/>
      <c r="Q4723" s="11"/>
      <c r="R4723" s="11"/>
      <c r="S4723" s="12"/>
      <c r="T4723" s="8"/>
      <c r="U4723" s="8"/>
      <c r="V4723" s="13"/>
      <c r="W4723" s="13"/>
      <c r="X4723" s="12"/>
      <c r="Y4723" s="14"/>
      <c r="Z4723" s="14"/>
    </row>
    <row r="4724">
      <c r="A4724" s="8"/>
      <c r="B4724" s="8"/>
      <c r="C4724" s="8"/>
      <c r="D4724" s="8"/>
      <c r="E4724" s="8"/>
      <c r="F4724" s="8"/>
      <c r="G4724" s="8"/>
      <c r="H4724" s="8"/>
      <c r="I4724" s="8"/>
      <c r="J4724" s="8"/>
      <c r="K4724" s="10"/>
      <c r="L4724" s="8"/>
      <c r="M4724" s="8"/>
      <c r="N4724" s="11"/>
      <c r="O4724" s="11"/>
      <c r="P4724" s="11"/>
      <c r="Q4724" s="11"/>
      <c r="R4724" s="11"/>
      <c r="S4724" s="12"/>
      <c r="T4724" s="8"/>
      <c r="U4724" s="8"/>
      <c r="V4724" s="13"/>
      <c r="W4724" s="13"/>
      <c r="X4724" s="12"/>
      <c r="Y4724" s="14"/>
      <c r="Z4724" s="14"/>
    </row>
    <row r="4725">
      <c r="A4725" s="8"/>
      <c r="B4725" s="8"/>
      <c r="C4725" s="8"/>
      <c r="D4725" s="8"/>
      <c r="E4725" s="8"/>
      <c r="F4725" s="8"/>
      <c r="G4725" s="8"/>
      <c r="H4725" s="8"/>
      <c r="I4725" s="8"/>
      <c r="J4725" s="8"/>
      <c r="K4725" s="10"/>
      <c r="L4725" s="8"/>
      <c r="M4725" s="8"/>
      <c r="N4725" s="11"/>
      <c r="O4725" s="11"/>
      <c r="P4725" s="11"/>
      <c r="Q4725" s="11"/>
      <c r="R4725" s="11"/>
      <c r="S4725" s="12"/>
      <c r="T4725" s="8"/>
      <c r="U4725" s="8"/>
      <c r="V4725" s="13"/>
      <c r="W4725" s="13"/>
      <c r="X4725" s="12"/>
      <c r="Y4725" s="14"/>
      <c r="Z4725" s="14"/>
    </row>
    <row r="4726">
      <c r="A4726" s="8"/>
      <c r="B4726" s="8"/>
      <c r="C4726" s="8"/>
      <c r="D4726" s="8"/>
      <c r="E4726" s="8"/>
      <c r="F4726" s="8"/>
      <c r="G4726" s="8"/>
      <c r="H4726" s="8"/>
      <c r="I4726" s="8"/>
      <c r="J4726" s="8"/>
      <c r="K4726" s="10"/>
      <c r="L4726" s="8"/>
      <c r="M4726" s="8"/>
      <c r="N4726" s="11"/>
      <c r="O4726" s="11"/>
      <c r="P4726" s="11"/>
      <c r="Q4726" s="11"/>
      <c r="R4726" s="11"/>
      <c r="S4726" s="12"/>
      <c r="T4726" s="8"/>
      <c r="U4726" s="8"/>
      <c r="V4726" s="13"/>
      <c r="W4726" s="13"/>
      <c r="X4726" s="12"/>
      <c r="Y4726" s="14"/>
      <c r="Z4726" s="14"/>
    </row>
    <row r="4727">
      <c r="A4727" s="8"/>
      <c r="B4727" s="8"/>
      <c r="C4727" s="8"/>
      <c r="D4727" s="8"/>
      <c r="E4727" s="8"/>
      <c r="F4727" s="8"/>
      <c r="G4727" s="8"/>
      <c r="H4727" s="8"/>
      <c r="I4727" s="8"/>
      <c r="J4727" s="8"/>
      <c r="K4727" s="10"/>
      <c r="L4727" s="8"/>
      <c r="M4727" s="8"/>
      <c r="N4727" s="11"/>
      <c r="O4727" s="11"/>
      <c r="P4727" s="11"/>
      <c r="Q4727" s="11"/>
      <c r="R4727" s="11"/>
      <c r="S4727" s="12"/>
      <c r="T4727" s="8"/>
      <c r="U4727" s="8"/>
      <c r="V4727" s="13"/>
      <c r="W4727" s="13"/>
      <c r="X4727" s="12"/>
      <c r="Y4727" s="14"/>
      <c r="Z4727" s="14"/>
    </row>
    <row r="4728">
      <c r="A4728" s="8"/>
      <c r="B4728" s="8"/>
      <c r="C4728" s="8"/>
      <c r="D4728" s="8"/>
      <c r="E4728" s="8"/>
      <c r="F4728" s="8"/>
      <c r="G4728" s="8"/>
      <c r="H4728" s="8"/>
      <c r="I4728" s="8"/>
      <c r="J4728" s="8"/>
      <c r="K4728" s="10"/>
      <c r="L4728" s="8"/>
      <c r="M4728" s="8"/>
      <c r="N4728" s="11"/>
      <c r="O4728" s="11"/>
      <c r="P4728" s="11"/>
      <c r="Q4728" s="11"/>
      <c r="R4728" s="11"/>
      <c r="S4728" s="12"/>
      <c r="T4728" s="8"/>
      <c r="U4728" s="8"/>
      <c r="V4728" s="13"/>
      <c r="W4728" s="13"/>
      <c r="X4728" s="12"/>
      <c r="Y4728" s="14"/>
      <c r="Z4728" s="14"/>
    </row>
    <row r="4729">
      <c r="A4729" s="8"/>
      <c r="B4729" s="8"/>
      <c r="C4729" s="8"/>
      <c r="D4729" s="8"/>
      <c r="E4729" s="8"/>
      <c r="F4729" s="8"/>
      <c r="G4729" s="8"/>
      <c r="H4729" s="8"/>
      <c r="I4729" s="8"/>
      <c r="J4729" s="8"/>
      <c r="K4729" s="10"/>
      <c r="L4729" s="8"/>
      <c r="M4729" s="8"/>
      <c r="N4729" s="11"/>
      <c r="O4729" s="11"/>
      <c r="P4729" s="11"/>
      <c r="Q4729" s="11"/>
      <c r="R4729" s="11"/>
      <c r="S4729" s="12"/>
      <c r="T4729" s="8"/>
      <c r="U4729" s="8"/>
      <c r="V4729" s="13"/>
      <c r="W4729" s="13"/>
      <c r="X4729" s="12"/>
      <c r="Y4729" s="14"/>
      <c r="Z4729" s="14"/>
    </row>
    <row r="4730">
      <c r="A4730" s="8"/>
      <c r="B4730" s="8"/>
      <c r="C4730" s="8"/>
      <c r="D4730" s="8"/>
      <c r="E4730" s="8"/>
      <c r="F4730" s="8"/>
      <c r="G4730" s="8"/>
      <c r="H4730" s="8"/>
      <c r="I4730" s="8"/>
      <c r="J4730" s="8"/>
      <c r="K4730" s="10"/>
      <c r="L4730" s="8"/>
      <c r="M4730" s="8"/>
      <c r="N4730" s="11"/>
      <c r="O4730" s="11"/>
      <c r="P4730" s="11"/>
      <c r="Q4730" s="11"/>
      <c r="R4730" s="11"/>
      <c r="S4730" s="12"/>
      <c r="T4730" s="8"/>
      <c r="U4730" s="8"/>
      <c r="V4730" s="13"/>
      <c r="W4730" s="13"/>
      <c r="X4730" s="12"/>
      <c r="Y4730" s="14"/>
      <c r="Z4730" s="14"/>
    </row>
    <row r="4731">
      <c r="A4731" s="8"/>
      <c r="B4731" s="8"/>
      <c r="C4731" s="8"/>
      <c r="D4731" s="8"/>
      <c r="E4731" s="8"/>
      <c r="F4731" s="8"/>
      <c r="G4731" s="8"/>
      <c r="H4731" s="8"/>
      <c r="I4731" s="8"/>
      <c r="J4731" s="8"/>
      <c r="K4731" s="10"/>
      <c r="L4731" s="8"/>
      <c r="M4731" s="8"/>
      <c r="N4731" s="11"/>
      <c r="O4731" s="11"/>
      <c r="P4731" s="11"/>
      <c r="Q4731" s="11"/>
      <c r="R4731" s="11"/>
      <c r="S4731" s="12"/>
      <c r="T4731" s="8"/>
      <c r="U4731" s="8"/>
      <c r="V4731" s="13"/>
      <c r="W4731" s="13"/>
      <c r="X4731" s="12"/>
      <c r="Y4731" s="14"/>
      <c r="Z4731" s="14"/>
    </row>
    <row r="4732">
      <c r="A4732" s="8"/>
      <c r="B4732" s="8"/>
      <c r="C4732" s="8"/>
      <c r="D4732" s="8"/>
      <c r="E4732" s="8"/>
      <c r="F4732" s="8"/>
      <c r="G4732" s="8"/>
      <c r="H4732" s="8"/>
      <c r="I4732" s="8"/>
      <c r="J4732" s="8"/>
      <c r="K4732" s="10"/>
      <c r="L4732" s="8"/>
      <c r="M4732" s="8"/>
      <c r="N4732" s="11"/>
      <c r="O4732" s="11"/>
      <c r="P4732" s="11"/>
      <c r="Q4732" s="11"/>
      <c r="R4732" s="11"/>
      <c r="S4732" s="12"/>
      <c r="T4732" s="8"/>
      <c r="U4732" s="8"/>
      <c r="V4732" s="13"/>
      <c r="W4732" s="13"/>
      <c r="X4732" s="12"/>
      <c r="Y4732" s="14"/>
      <c r="Z4732" s="14"/>
    </row>
    <row r="4733">
      <c r="A4733" s="8"/>
      <c r="B4733" s="8"/>
      <c r="C4733" s="8"/>
      <c r="D4733" s="8"/>
      <c r="E4733" s="8"/>
      <c r="F4733" s="8"/>
      <c r="G4733" s="8"/>
      <c r="H4733" s="8"/>
      <c r="I4733" s="8"/>
      <c r="J4733" s="8"/>
      <c r="K4733" s="10"/>
      <c r="L4733" s="8"/>
      <c r="M4733" s="8"/>
      <c r="N4733" s="11"/>
      <c r="O4733" s="11"/>
      <c r="P4733" s="11"/>
      <c r="Q4733" s="11"/>
      <c r="R4733" s="11"/>
      <c r="S4733" s="12"/>
      <c r="T4733" s="8"/>
      <c r="U4733" s="8"/>
      <c r="V4733" s="13"/>
      <c r="W4733" s="13"/>
      <c r="X4733" s="12"/>
      <c r="Y4733" s="14"/>
      <c r="Z4733" s="14"/>
    </row>
    <row r="4734">
      <c r="A4734" s="8"/>
      <c r="B4734" s="8"/>
      <c r="C4734" s="8"/>
      <c r="D4734" s="8"/>
      <c r="E4734" s="8"/>
      <c r="F4734" s="8"/>
      <c r="G4734" s="8"/>
      <c r="H4734" s="8"/>
      <c r="I4734" s="8"/>
      <c r="J4734" s="8"/>
      <c r="K4734" s="10"/>
      <c r="L4734" s="8"/>
      <c r="M4734" s="8"/>
      <c r="N4734" s="11"/>
      <c r="O4734" s="11"/>
      <c r="P4734" s="11"/>
      <c r="Q4734" s="11"/>
      <c r="R4734" s="11"/>
      <c r="S4734" s="12"/>
      <c r="T4734" s="8"/>
      <c r="U4734" s="8"/>
      <c r="V4734" s="13"/>
      <c r="W4734" s="13"/>
      <c r="X4734" s="12"/>
      <c r="Y4734" s="14"/>
      <c r="Z4734" s="14"/>
    </row>
    <row r="4735">
      <c r="A4735" s="8"/>
      <c r="B4735" s="8"/>
      <c r="C4735" s="8"/>
      <c r="D4735" s="8"/>
      <c r="E4735" s="8"/>
      <c r="F4735" s="8"/>
      <c r="G4735" s="8"/>
      <c r="H4735" s="8"/>
      <c r="I4735" s="8"/>
      <c r="J4735" s="8"/>
      <c r="K4735" s="10"/>
      <c r="L4735" s="8"/>
      <c r="M4735" s="8"/>
      <c r="N4735" s="11"/>
      <c r="O4735" s="11"/>
      <c r="P4735" s="11"/>
      <c r="Q4735" s="11"/>
      <c r="R4735" s="11"/>
      <c r="S4735" s="12"/>
      <c r="T4735" s="8"/>
      <c r="U4735" s="8"/>
      <c r="V4735" s="13"/>
      <c r="W4735" s="13"/>
      <c r="X4735" s="12"/>
      <c r="Y4735" s="14"/>
      <c r="Z4735" s="14"/>
    </row>
    <row r="4736">
      <c r="A4736" s="8"/>
      <c r="B4736" s="8"/>
      <c r="C4736" s="8"/>
      <c r="D4736" s="8"/>
      <c r="E4736" s="8"/>
      <c r="F4736" s="8"/>
      <c r="G4736" s="8"/>
      <c r="H4736" s="8"/>
      <c r="I4736" s="8"/>
      <c r="J4736" s="8"/>
      <c r="K4736" s="10"/>
      <c r="L4736" s="8"/>
      <c r="M4736" s="8"/>
      <c r="N4736" s="11"/>
      <c r="O4736" s="11"/>
      <c r="P4736" s="11"/>
      <c r="Q4736" s="11"/>
      <c r="R4736" s="11"/>
      <c r="S4736" s="12"/>
      <c r="T4736" s="8"/>
      <c r="U4736" s="8"/>
      <c r="V4736" s="13"/>
      <c r="W4736" s="13"/>
      <c r="X4736" s="12"/>
      <c r="Y4736" s="14"/>
      <c r="Z4736" s="14"/>
    </row>
    <row r="4737">
      <c r="A4737" s="8"/>
      <c r="B4737" s="8"/>
      <c r="C4737" s="8"/>
      <c r="D4737" s="8"/>
      <c r="E4737" s="8"/>
      <c r="F4737" s="8"/>
      <c r="G4737" s="8"/>
      <c r="H4737" s="8"/>
      <c r="I4737" s="8"/>
      <c r="J4737" s="8"/>
      <c r="K4737" s="10"/>
      <c r="L4737" s="8"/>
      <c r="M4737" s="8"/>
      <c r="N4737" s="11"/>
      <c r="O4737" s="11"/>
      <c r="P4737" s="11"/>
      <c r="Q4737" s="11"/>
      <c r="R4737" s="11"/>
      <c r="S4737" s="12"/>
      <c r="T4737" s="8"/>
      <c r="U4737" s="8"/>
      <c r="V4737" s="13"/>
      <c r="W4737" s="13"/>
      <c r="X4737" s="12"/>
      <c r="Y4737" s="14"/>
      <c r="Z4737" s="14"/>
    </row>
    <row r="4738">
      <c r="A4738" s="8"/>
      <c r="B4738" s="8"/>
      <c r="C4738" s="8"/>
      <c r="D4738" s="8"/>
      <c r="E4738" s="8"/>
      <c r="F4738" s="8"/>
      <c r="G4738" s="8"/>
      <c r="H4738" s="8"/>
      <c r="I4738" s="8"/>
      <c r="J4738" s="8"/>
      <c r="K4738" s="10"/>
      <c r="L4738" s="8"/>
      <c r="M4738" s="8"/>
      <c r="N4738" s="11"/>
      <c r="O4738" s="11"/>
      <c r="P4738" s="11"/>
      <c r="Q4738" s="11"/>
      <c r="R4738" s="11"/>
      <c r="S4738" s="12"/>
      <c r="T4738" s="8"/>
      <c r="U4738" s="8"/>
      <c r="V4738" s="13"/>
      <c r="W4738" s="13"/>
      <c r="X4738" s="12"/>
      <c r="Y4738" s="14"/>
      <c r="Z4738" s="14"/>
    </row>
    <row r="4739">
      <c r="A4739" s="8"/>
      <c r="B4739" s="8"/>
      <c r="C4739" s="8"/>
      <c r="D4739" s="8"/>
      <c r="E4739" s="8"/>
      <c r="F4739" s="8"/>
      <c r="G4739" s="8"/>
      <c r="H4739" s="8"/>
      <c r="I4739" s="8"/>
      <c r="J4739" s="8"/>
      <c r="K4739" s="10"/>
      <c r="L4739" s="8"/>
      <c r="M4739" s="8"/>
      <c r="N4739" s="11"/>
      <c r="O4739" s="11"/>
      <c r="P4739" s="11"/>
      <c r="Q4739" s="11"/>
      <c r="R4739" s="11"/>
      <c r="S4739" s="12"/>
      <c r="T4739" s="8"/>
      <c r="U4739" s="8"/>
      <c r="V4739" s="13"/>
      <c r="W4739" s="13"/>
      <c r="X4739" s="12"/>
      <c r="Y4739" s="14"/>
      <c r="Z4739" s="14"/>
    </row>
    <row r="4740">
      <c r="A4740" s="8"/>
      <c r="B4740" s="8"/>
      <c r="C4740" s="8"/>
      <c r="D4740" s="8"/>
      <c r="E4740" s="8"/>
      <c r="F4740" s="8"/>
      <c r="G4740" s="8"/>
      <c r="H4740" s="8"/>
      <c r="I4740" s="8"/>
      <c r="J4740" s="8"/>
      <c r="K4740" s="10"/>
      <c r="L4740" s="8"/>
      <c r="M4740" s="8"/>
      <c r="N4740" s="11"/>
      <c r="O4740" s="11"/>
      <c r="P4740" s="11"/>
      <c r="Q4740" s="11"/>
      <c r="R4740" s="11"/>
      <c r="S4740" s="12"/>
      <c r="T4740" s="8"/>
      <c r="U4740" s="8"/>
      <c r="V4740" s="13"/>
      <c r="W4740" s="13"/>
      <c r="X4740" s="12"/>
      <c r="Y4740" s="14"/>
      <c r="Z4740" s="14"/>
    </row>
    <row r="4741">
      <c r="A4741" s="8"/>
      <c r="B4741" s="8"/>
      <c r="C4741" s="8"/>
      <c r="D4741" s="8"/>
      <c r="E4741" s="8"/>
      <c r="F4741" s="8"/>
      <c r="G4741" s="8"/>
      <c r="H4741" s="8"/>
      <c r="I4741" s="8"/>
      <c r="J4741" s="8"/>
      <c r="K4741" s="10"/>
      <c r="L4741" s="8"/>
      <c r="M4741" s="8"/>
      <c r="N4741" s="11"/>
      <c r="O4741" s="11"/>
      <c r="P4741" s="11"/>
      <c r="Q4741" s="11"/>
      <c r="R4741" s="11"/>
      <c r="S4741" s="12"/>
      <c r="T4741" s="8"/>
      <c r="U4741" s="8"/>
      <c r="V4741" s="13"/>
      <c r="W4741" s="13"/>
      <c r="X4741" s="12"/>
      <c r="Y4741" s="14"/>
      <c r="Z4741" s="14"/>
    </row>
    <row r="4742">
      <c r="A4742" s="8"/>
      <c r="B4742" s="8"/>
      <c r="C4742" s="8"/>
      <c r="D4742" s="8"/>
      <c r="E4742" s="8"/>
      <c r="F4742" s="8"/>
      <c r="G4742" s="8"/>
      <c r="H4742" s="8"/>
      <c r="I4742" s="8"/>
      <c r="J4742" s="8"/>
      <c r="K4742" s="10"/>
      <c r="L4742" s="8"/>
      <c r="M4742" s="8"/>
      <c r="N4742" s="11"/>
      <c r="O4742" s="11"/>
      <c r="P4742" s="11"/>
      <c r="Q4742" s="11"/>
      <c r="R4742" s="11"/>
      <c r="S4742" s="12"/>
      <c r="T4742" s="8"/>
      <c r="U4742" s="8"/>
      <c r="V4742" s="13"/>
      <c r="W4742" s="13"/>
      <c r="X4742" s="12"/>
      <c r="Y4742" s="14"/>
      <c r="Z4742" s="14"/>
    </row>
    <row r="4743">
      <c r="A4743" s="8"/>
      <c r="B4743" s="8"/>
      <c r="C4743" s="8"/>
      <c r="D4743" s="8"/>
      <c r="E4743" s="8"/>
      <c r="F4743" s="8"/>
      <c r="G4743" s="8"/>
      <c r="H4743" s="8"/>
      <c r="I4743" s="8"/>
      <c r="J4743" s="8"/>
      <c r="K4743" s="10"/>
      <c r="L4743" s="8"/>
      <c r="M4743" s="8"/>
      <c r="N4743" s="11"/>
      <c r="O4743" s="11"/>
      <c r="P4743" s="11"/>
      <c r="Q4743" s="11"/>
      <c r="R4743" s="11"/>
      <c r="S4743" s="12"/>
      <c r="T4743" s="8"/>
      <c r="U4743" s="8"/>
      <c r="V4743" s="13"/>
      <c r="W4743" s="13"/>
      <c r="X4743" s="12"/>
      <c r="Y4743" s="14"/>
      <c r="Z4743" s="14"/>
    </row>
    <row r="4744">
      <c r="A4744" s="8"/>
      <c r="B4744" s="8"/>
      <c r="C4744" s="8"/>
      <c r="D4744" s="8"/>
      <c r="E4744" s="8"/>
      <c r="F4744" s="8"/>
      <c r="G4744" s="8"/>
      <c r="H4744" s="8"/>
      <c r="I4744" s="8"/>
      <c r="J4744" s="8"/>
      <c r="K4744" s="10"/>
      <c r="L4744" s="8"/>
      <c r="M4744" s="8"/>
      <c r="N4744" s="11"/>
      <c r="O4744" s="11"/>
      <c r="P4744" s="11"/>
      <c r="Q4744" s="11"/>
      <c r="R4744" s="11"/>
      <c r="S4744" s="12"/>
      <c r="T4744" s="8"/>
      <c r="U4744" s="8"/>
      <c r="V4744" s="13"/>
      <c r="W4744" s="13"/>
      <c r="X4744" s="12"/>
      <c r="Y4744" s="14"/>
      <c r="Z4744" s="14"/>
    </row>
    <row r="4745">
      <c r="A4745" s="8"/>
      <c r="B4745" s="8"/>
      <c r="C4745" s="8"/>
      <c r="D4745" s="8"/>
      <c r="E4745" s="8"/>
      <c r="F4745" s="8"/>
      <c r="G4745" s="8"/>
      <c r="H4745" s="8"/>
      <c r="I4745" s="8"/>
      <c r="J4745" s="8"/>
      <c r="K4745" s="10"/>
      <c r="L4745" s="8"/>
      <c r="M4745" s="8"/>
      <c r="N4745" s="11"/>
      <c r="O4745" s="11"/>
      <c r="P4745" s="11"/>
      <c r="Q4745" s="11"/>
      <c r="R4745" s="11"/>
      <c r="S4745" s="12"/>
      <c r="T4745" s="8"/>
      <c r="U4745" s="8"/>
      <c r="V4745" s="13"/>
      <c r="W4745" s="13"/>
      <c r="X4745" s="12"/>
      <c r="Y4745" s="14"/>
      <c r="Z4745" s="14"/>
    </row>
    <row r="4746">
      <c r="A4746" s="8"/>
      <c r="B4746" s="8"/>
      <c r="C4746" s="8"/>
      <c r="D4746" s="8"/>
      <c r="E4746" s="8"/>
      <c r="F4746" s="8"/>
      <c r="G4746" s="8"/>
      <c r="H4746" s="8"/>
      <c r="I4746" s="8"/>
      <c r="J4746" s="8"/>
      <c r="K4746" s="10"/>
      <c r="L4746" s="8"/>
      <c r="M4746" s="8"/>
      <c r="N4746" s="11"/>
      <c r="O4746" s="11"/>
      <c r="P4746" s="11"/>
      <c r="Q4746" s="11"/>
      <c r="R4746" s="11"/>
      <c r="S4746" s="12"/>
      <c r="T4746" s="8"/>
      <c r="U4746" s="8"/>
      <c r="V4746" s="13"/>
      <c r="W4746" s="13"/>
      <c r="X4746" s="12"/>
      <c r="Y4746" s="14"/>
      <c r="Z4746" s="14"/>
    </row>
    <row r="4747">
      <c r="A4747" s="8"/>
      <c r="B4747" s="8"/>
      <c r="C4747" s="8"/>
      <c r="D4747" s="8"/>
      <c r="E4747" s="8"/>
      <c r="F4747" s="8"/>
      <c r="G4747" s="8"/>
      <c r="H4747" s="8"/>
      <c r="I4747" s="8"/>
      <c r="J4747" s="8"/>
      <c r="K4747" s="10"/>
      <c r="L4747" s="8"/>
      <c r="M4747" s="8"/>
      <c r="N4747" s="11"/>
      <c r="O4747" s="11"/>
      <c r="P4747" s="11"/>
      <c r="Q4747" s="11"/>
      <c r="R4747" s="11"/>
      <c r="S4747" s="12"/>
      <c r="T4747" s="8"/>
      <c r="U4747" s="8"/>
      <c r="V4747" s="13"/>
      <c r="W4747" s="13"/>
      <c r="X4747" s="12"/>
      <c r="Y4747" s="14"/>
      <c r="Z4747" s="14"/>
    </row>
    <row r="4748">
      <c r="A4748" s="8"/>
      <c r="B4748" s="8"/>
      <c r="C4748" s="8"/>
      <c r="D4748" s="8"/>
      <c r="E4748" s="8"/>
      <c r="F4748" s="8"/>
      <c r="G4748" s="8"/>
      <c r="H4748" s="8"/>
      <c r="I4748" s="8"/>
      <c r="J4748" s="8"/>
      <c r="K4748" s="10"/>
      <c r="L4748" s="8"/>
      <c r="M4748" s="8"/>
      <c r="N4748" s="11"/>
      <c r="O4748" s="11"/>
      <c r="P4748" s="11"/>
      <c r="Q4748" s="11"/>
      <c r="R4748" s="11"/>
      <c r="S4748" s="12"/>
      <c r="T4748" s="8"/>
      <c r="U4748" s="8"/>
      <c r="V4748" s="13"/>
      <c r="W4748" s="13"/>
      <c r="X4748" s="12"/>
      <c r="Y4748" s="14"/>
      <c r="Z4748" s="14"/>
    </row>
    <row r="4749">
      <c r="A4749" s="8"/>
      <c r="B4749" s="8"/>
      <c r="C4749" s="8"/>
      <c r="D4749" s="8"/>
      <c r="E4749" s="8"/>
      <c r="F4749" s="8"/>
      <c r="G4749" s="8"/>
      <c r="H4749" s="8"/>
      <c r="I4749" s="8"/>
      <c r="J4749" s="8"/>
      <c r="K4749" s="10"/>
      <c r="L4749" s="8"/>
      <c r="M4749" s="8"/>
      <c r="N4749" s="11"/>
      <c r="O4749" s="11"/>
      <c r="P4749" s="11"/>
      <c r="Q4749" s="11"/>
      <c r="R4749" s="11"/>
      <c r="S4749" s="12"/>
      <c r="T4749" s="8"/>
      <c r="U4749" s="8"/>
      <c r="V4749" s="13"/>
      <c r="W4749" s="13"/>
      <c r="X4749" s="12"/>
      <c r="Y4749" s="14"/>
      <c r="Z4749" s="14"/>
    </row>
    <row r="4750">
      <c r="A4750" s="8"/>
      <c r="B4750" s="8"/>
      <c r="C4750" s="8"/>
      <c r="D4750" s="8"/>
      <c r="E4750" s="8"/>
      <c r="F4750" s="8"/>
      <c r="G4750" s="8"/>
      <c r="H4750" s="8"/>
      <c r="I4750" s="8"/>
      <c r="J4750" s="8"/>
      <c r="K4750" s="10"/>
      <c r="L4750" s="8"/>
      <c r="M4750" s="8"/>
      <c r="N4750" s="11"/>
      <c r="O4750" s="11"/>
      <c r="P4750" s="11"/>
      <c r="Q4750" s="11"/>
      <c r="R4750" s="11"/>
      <c r="S4750" s="12"/>
      <c r="T4750" s="8"/>
      <c r="U4750" s="8"/>
      <c r="V4750" s="13"/>
      <c r="W4750" s="13"/>
      <c r="X4750" s="12"/>
      <c r="Y4750" s="14"/>
      <c r="Z4750" s="14"/>
    </row>
    <row r="4751">
      <c r="A4751" s="8"/>
      <c r="B4751" s="8"/>
      <c r="C4751" s="8"/>
      <c r="D4751" s="8"/>
      <c r="E4751" s="8"/>
      <c r="F4751" s="8"/>
      <c r="G4751" s="8"/>
      <c r="H4751" s="8"/>
      <c r="I4751" s="8"/>
      <c r="J4751" s="8"/>
      <c r="K4751" s="10"/>
      <c r="L4751" s="8"/>
      <c r="M4751" s="8"/>
      <c r="N4751" s="11"/>
      <c r="O4751" s="11"/>
      <c r="P4751" s="11"/>
      <c r="Q4751" s="11"/>
      <c r="R4751" s="11"/>
      <c r="S4751" s="12"/>
      <c r="T4751" s="8"/>
      <c r="U4751" s="8"/>
      <c r="V4751" s="13"/>
      <c r="W4751" s="13"/>
      <c r="X4751" s="12"/>
      <c r="Y4751" s="14"/>
      <c r="Z4751" s="14"/>
    </row>
    <row r="4752">
      <c r="A4752" s="8"/>
      <c r="B4752" s="8"/>
      <c r="C4752" s="8"/>
      <c r="D4752" s="8"/>
      <c r="E4752" s="8"/>
      <c r="F4752" s="8"/>
      <c r="G4752" s="8"/>
      <c r="H4752" s="8"/>
      <c r="I4752" s="8"/>
      <c r="J4752" s="8"/>
      <c r="K4752" s="10"/>
      <c r="L4752" s="8"/>
      <c r="M4752" s="8"/>
      <c r="N4752" s="11"/>
      <c r="O4752" s="11"/>
      <c r="P4752" s="11"/>
      <c r="Q4752" s="11"/>
      <c r="R4752" s="11"/>
      <c r="S4752" s="12"/>
      <c r="T4752" s="8"/>
      <c r="U4752" s="8"/>
      <c r="V4752" s="13"/>
      <c r="W4752" s="13"/>
      <c r="X4752" s="12"/>
      <c r="Y4752" s="14"/>
      <c r="Z4752" s="14"/>
    </row>
    <row r="4753">
      <c r="A4753" s="8"/>
      <c r="B4753" s="8"/>
      <c r="C4753" s="8"/>
      <c r="D4753" s="8"/>
      <c r="E4753" s="8"/>
      <c r="F4753" s="8"/>
      <c r="G4753" s="8"/>
      <c r="H4753" s="8"/>
      <c r="I4753" s="8"/>
      <c r="J4753" s="8"/>
      <c r="K4753" s="10"/>
      <c r="L4753" s="8"/>
      <c r="M4753" s="8"/>
      <c r="N4753" s="11"/>
      <c r="O4753" s="11"/>
      <c r="P4753" s="11"/>
      <c r="Q4753" s="11"/>
      <c r="R4753" s="11"/>
      <c r="S4753" s="12"/>
      <c r="T4753" s="8"/>
      <c r="U4753" s="8"/>
      <c r="V4753" s="13"/>
      <c r="W4753" s="13"/>
      <c r="X4753" s="12"/>
      <c r="Y4753" s="14"/>
      <c r="Z4753" s="14"/>
    </row>
    <row r="4754">
      <c r="A4754" s="8"/>
      <c r="B4754" s="8"/>
      <c r="C4754" s="8"/>
      <c r="D4754" s="8"/>
      <c r="E4754" s="8"/>
      <c r="F4754" s="8"/>
      <c r="G4754" s="8"/>
      <c r="H4754" s="8"/>
      <c r="I4754" s="8"/>
      <c r="J4754" s="8"/>
      <c r="K4754" s="10"/>
      <c r="L4754" s="8"/>
      <c r="M4754" s="8"/>
      <c r="N4754" s="11"/>
      <c r="O4754" s="11"/>
      <c r="P4754" s="11"/>
      <c r="Q4754" s="11"/>
      <c r="R4754" s="11"/>
      <c r="S4754" s="12"/>
      <c r="T4754" s="8"/>
      <c r="U4754" s="8"/>
      <c r="V4754" s="13"/>
      <c r="W4754" s="13"/>
      <c r="X4754" s="12"/>
      <c r="Y4754" s="14"/>
      <c r="Z4754" s="14"/>
    </row>
    <row r="4755">
      <c r="A4755" s="8"/>
      <c r="B4755" s="8"/>
      <c r="C4755" s="8"/>
      <c r="D4755" s="8"/>
      <c r="E4755" s="8"/>
      <c r="F4755" s="8"/>
      <c r="G4755" s="8"/>
      <c r="H4755" s="8"/>
      <c r="I4755" s="8"/>
      <c r="J4755" s="8"/>
      <c r="K4755" s="10"/>
      <c r="L4755" s="8"/>
      <c r="M4755" s="8"/>
      <c r="N4755" s="11"/>
      <c r="O4755" s="11"/>
      <c r="P4755" s="11"/>
      <c r="Q4755" s="11"/>
      <c r="R4755" s="11"/>
      <c r="S4755" s="12"/>
      <c r="T4755" s="8"/>
      <c r="U4755" s="8"/>
      <c r="V4755" s="13"/>
      <c r="W4755" s="13"/>
      <c r="X4755" s="12"/>
      <c r="Y4755" s="14"/>
      <c r="Z4755" s="14"/>
    </row>
    <row r="4756">
      <c r="A4756" s="8"/>
      <c r="B4756" s="8"/>
      <c r="C4756" s="8"/>
      <c r="D4756" s="8"/>
      <c r="E4756" s="8"/>
      <c r="F4756" s="8"/>
      <c r="G4756" s="8"/>
      <c r="H4756" s="8"/>
      <c r="I4756" s="8"/>
      <c r="J4756" s="8"/>
      <c r="K4756" s="10"/>
      <c r="L4756" s="8"/>
      <c r="M4756" s="8"/>
      <c r="N4756" s="11"/>
      <c r="O4756" s="11"/>
      <c r="P4756" s="11"/>
      <c r="Q4756" s="11"/>
      <c r="R4756" s="11"/>
      <c r="S4756" s="12"/>
      <c r="T4756" s="8"/>
      <c r="U4756" s="8"/>
      <c r="V4756" s="13"/>
      <c r="W4756" s="13"/>
      <c r="X4756" s="12"/>
      <c r="Y4756" s="14"/>
      <c r="Z4756" s="14"/>
    </row>
    <row r="4757">
      <c r="A4757" s="8"/>
      <c r="B4757" s="8"/>
      <c r="C4757" s="8"/>
      <c r="D4757" s="8"/>
      <c r="E4757" s="8"/>
      <c r="F4757" s="8"/>
      <c r="G4757" s="8"/>
      <c r="H4757" s="8"/>
      <c r="I4757" s="8"/>
      <c r="J4757" s="8"/>
      <c r="K4757" s="10"/>
      <c r="L4757" s="8"/>
      <c r="M4757" s="8"/>
      <c r="N4757" s="11"/>
      <c r="O4757" s="11"/>
      <c r="P4757" s="11"/>
      <c r="Q4757" s="11"/>
      <c r="R4757" s="11"/>
      <c r="S4757" s="12"/>
      <c r="T4757" s="8"/>
      <c r="U4757" s="8"/>
      <c r="V4757" s="13"/>
      <c r="W4757" s="13"/>
      <c r="X4757" s="12"/>
      <c r="Y4757" s="14"/>
      <c r="Z4757" s="14"/>
    </row>
    <row r="4758">
      <c r="A4758" s="8"/>
      <c r="B4758" s="8"/>
      <c r="C4758" s="8"/>
      <c r="D4758" s="8"/>
      <c r="E4758" s="8"/>
      <c r="F4758" s="8"/>
      <c r="G4758" s="8"/>
      <c r="H4758" s="8"/>
      <c r="I4758" s="8"/>
      <c r="J4758" s="8"/>
      <c r="K4758" s="10"/>
      <c r="L4758" s="8"/>
      <c r="M4758" s="8"/>
      <c r="N4758" s="11"/>
      <c r="O4758" s="11"/>
      <c r="P4758" s="11"/>
      <c r="Q4758" s="11"/>
      <c r="R4758" s="11"/>
      <c r="S4758" s="12"/>
      <c r="T4758" s="8"/>
      <c r="U4758" s="8"/>
      <c r="V4758" s="13"/>
      <c r="W4758" s="13"/>
      <c r="X4758" s="12"/>
      <c r="Y4758" s="14"/>
      <c r="Z4758" s="14"/>
    </row>
    <row r="4759">
      <c r="A4759" s="8"/>
      <c r="B4759" s="8"/>
      <c r="C4759" s="8"/>
      <c r="D4759" s="8"/>
      <c r="E4759" s="8"/>
      <c r="F4759" s="8"/>
      <c r="G4759" s="8"/>
      <c r="H4759" s="8"/>
      <c r="I4759" s="8"/>
      <c r="J4759" s="8"/>
      <c r="K4759" s="10"/>
      <c r="L4759" s="8"/>
      <c r="M4759" s="8"/>
      <c r="N4759" s="11"/>
      <c r="O4759" s="11"/>
      <c r="P4759" s="11"/>
      <c r="Q4759" s="11"/>
      <c r="R4759" s="11"/>
      <c r="S4759" s="12"/>
      <c r="T4759" s="8"/>
      <c r="U4759" s="8"/>
      <c r="V4759" s="13"/>
      <c r="W4759" s="13"/>
      <c r="X4759" s="12"/>
      <c r="Y4759" s="14"/>
      <c r="Z4759" s="14"/>
    </row>
    <row r="4760">
      <c r="A4760" s="8"/>
      <c r="B4760" s="8"/>
      <c r="C4760" s="8"/>
      <c r="D4760" s="8"/>
      <c r="E4760" s="8"/>
      <c r="F4760" s="8"/>
      <c r="G4760" s="8"/>
      <c r="H4760" s="8"/>
      <c r="I4760" s="8"/>
      <c r="J4760" s="8"/>
      <c r="K4760" s="10"/>
      <c r="L4760" s="8"/>
      <c r="M4760" s="8"/>
      <c r="N4760" s="11"/>
      <c r="O4760" s="11"/>
      <c r="P4760" s="11"/>
      <c r="Q4760" s="11"/>
      <c r="R4760" s="11"/>
      <c r="S4760" s="12"/>
      <c r="T4760" s="8"/>
      <c r="U4760" s="8"/>
      <c r="V4760" s="13"/>
      <c r="W4760" s="13"/>
      <c r="X4760" s="12"/>
      <c r="Y4760" s="14"/>
      <c r="Z4760" s="14"/>
    </row>
    <row r="4761">
      <c r="A4761" s="8"/>
      <c r="B4761" s="8"/>
      <c r="C4761" s="8"/>
      <c r="D4761" s="8"/>
      <c r="E4761" s="8"/>
      <c r="F4761" s="8"/>
      <c r="G4761" s="8"/>
      <c r="H4761" s="8"/>
      <c r="I4761" s="8"/>
      <c r="J4761" s="8"/>
      <c r="K4761" s="10"/>
      <c r="L4761" s="8"/>
      <c r="M4761" s="8"/>
      <c r="N4761" s="11"/>
      <c r="O4761" s="11"/>
      <c r="P4761" s="11"/>
      <c r="Q4761" s="11"/>
      <c r="R4761" s="11"/>
      <c r="S4761" s="12"/>
      <c r="T4761" s="8"/>
      <c r="U4761" s="8"/>
      <c r="V4761" s="13"/>
      <c r="W4761" s="13"/>
      <c r="X4761" s="12"/>
      <c r="Y4761" s="14"/>
      <c r="Z4761" s="14"/>
    </row>
    <row r="4762">
      <c r="A4762" s="8"/>
      <c r="B4762" s="8"/>
      <c r="C4762" s="8"/>
      <c r="D4762" s="8"/>
      <c r="E4762" s="8"/>
      <c r="F4762" s="8"/>
      <c r="G4762" s="8"/>
      <c r="H4762" s="8"/>
      <c r="I4762" s="8"/>
      <c r="J4762" s="8"/>
      <c r="K4762" s="10"/>
      <c r="L4762" s="8"/>
      <c r="M4762" s="8"/>
      <c r="N4762" s="11"/>
      <c r="O4762" s="11"/>
      <c r="P4762" s="11"/>
      <c r="Q4762" s="11"/>
      <c r="R4762" s="11"/>
      <c r="S4762" s="12"/>
      <c r="T4762" s="8"/>
      <c r="U4762" s="8"/>
      <c r="V4762" s="13"/>
      <c r="W4762" s="13"/>
      <c r="X4762" s="12"/>
      <c r="Y4762" s="14"/>
      <c r="Z4762" s="14"/>
    </row>
    <row r="4763">
      <c r="A4763" s="8"/>
      <c r="B4763" s="8"/>
      <c r="C4763" s="8"/>
      <c r="D4763" s="8"/>
      <c r="E4763" s="8"/>
      <c r="F4763" s="8"/>
      <c r="G4763" s="8"/>
      <c r="H4763" s="8"/>
      <c r="I4763" s="8"/>
      <c r="J4763" s="8"/>
      <c r="K4763" s="10"/>
      <c r="L4763" s="8"/>
      <c r="M4763" s="8"/>
      <c r="N4763" s="11"/>
      <c r="O4763" s="11"/>
      <c r="P4763" s="11"/>
      <c r="Q4763" s="11"/>
      <c r="R4763" s="11"/>
      <c r="S4763" s="12"/>
      <c r="T4763" s="8"/>
      <c r="U4763" s="8"/>
      <c r="V4763" s="13"/>
      <c r="W4763" s="13"/>
      <c r="X4763" s="12"/>
      <c r="Y4763" s="14"/>
      <c r="Z4763" s="14"/>
    </row>
    <row r="4764">
      <c r="A4764" s="8"/>
      <c r="B4764" s="8"/>
      <c r="C4764" s="8"/>
      <c r="D4764" s="8"/>
      <c r="E4764" s="8"/>
      <c r="F4764" s="8"/>
      <c r="G4764" s="8"/>
      <c r="H4764" s="8"/>
      <c r="I4764" s="8"/>
      <c r="J4764" s="8"/>
      <c r="K4764" s="10"/>
      <c r="L4764" s="8"/>
      <c r="M4764" s="8"/>
      <c r="N4764" s="11"/>
      <c r="O4764" s="11"/>
      <c r="P4764" s="11"/>
      <c r="Q4764" s="11"/>
      <c r="R4764" s="11"/>
      <c r="S4764" s="12"/>
      <c r="T4764" s="8"/>
      <c r="U4764" s="8"/>
      <c r="V4764" s="13"/>
      <c r="W4764" s="13"/>
      <c r="X4764" s="12"/>
      <c r="Y4764" s="14"/>
      <c r="Z4764" s="14"/>
    </row>
    <row r="4765">
      <c r="A4765" s="8"/>
      <c r="B4765" s="8"/>
      <c r="C4765" s="8"/>
      <c r="D4765" s="8"/>
      <c r="E4765" s="8"/>
      <c r="F4765" s="8"/>
      <c r="G4765" s="8"/>
      <c r="H4765" s="8"/>
      <c r="I4765" s="8"/>
      <c r="J4765" s="8"/>
      <c r="K4765" s="10"/>
      <c r="L4765" s="8"/>
      <c r="M4765" s="8"/>
      <c r="N4765" s="11"/>
      <c r="O4765" s="11"/>
      <c r="P4765" s="11"/>
      <c r="Q4765" s="11"/>
      <c r="R4765" s="11"/>
      <c r="S4765" s="12"/>
      <c r="T4765" s="8"/>
      <c r="U4765" s="8"/>
      <c r="V4765" s="13"/>
      <c r="W4765" s="13"/>
      <c r="X4765" s="12"/>
      <c r="Y4765" s="14"/>
      <c r="Z4765" s="14"/>
    </row>
    <row r="4766">
      <c r="A4766" s="8"/>
      <c r="B4766" s="8"/>
      <c r="C4766" s="8"/>
      <c r="D4766" s="8"/>
      <c r="E4766" s="8"/>
      <c r="F4766" s="8"/>
      <c r="G4766" s="8"/>
      <c r="H4766" s="8"/>
      <c r="I4766" s="8"/>
      <c r="J4766" s="8"/>
      <c r="K4766" s="10"/>
      <c r="L4766" s="8"/>
      <c r="M4766" s="8"/>
      <c r="N4766" s="11"/>
      <c r="O4766" s="11"/>
      <c r="P4766" s="11"/>
      <c r="Q4766" s="11"/>
      <c r="R4766" s="11"/>
      <c r="S4766" s="12"/>
      <c r="T4766" s="8"/>
      <c r="U4766" s="8"/>
      <c r="V4766" s="13"/>
      <c r="W4766" s="13"/>
      <c r="X4766" s="12"/>
      <c r="Y4766" s="14"/>
      <c r="Z4766" s="14"/>
    </row>
    <row r="4767">
      <c r="A4767" s="8"/>
      <c r="B4767" s="8"/>
      <c r="C4767" s="8"/>
      <c r="D4767" s="8"/>
      <c r="E4767" s="8"/>
      <c r="F4767" s="8"/>
      <c r="G4767" s="8"/>
      <c r="H4767" s="8"/>
      <c r="I4767" s="8"/>
      <c r="J4767" s="8"/>
      <c r="K4767" s="10"/>
      <c r="L4767" s="8"/>
      <c r="M4767" s="8"/>
      <c r="N4767" s="11"/>
      <c r="O4767" s="11"/>
      <c r="P4767" s="11"/>
      <c r="Q4767" s="11"/>
      <c r="R4767" s="11"/>
      <c r="S4767" s="12"/>
      <c r="T4767" s="8"/>
      <c r="U4767" s="8"/>
      <c r="V4767" s="13"/>
      <c r="W4767" s="13"/>
      <c r="X4767" s="12"/>
      <c r="Y4767" s="14"/>
      <c r="Z4767" s="14"/>
    </row>
    <row r="4768">
      <c r="A4768" s="8"/>
      <c r="B4768" s="8"/>
      <c r="C4768" s="8"/>
      <c r="D4768" s="8"/>
      <c r="E4768" s="8"/>
      <c r="F4768" s="8"/>
      <c r="G4768" s="8"/>
      <c r="H4768" s="8"/>
      <c r="I4768" s="8"/>
      <c r="J4768" s="8"/>
      <c r="K4768" s="10"/>
      <c r="L4768" s="8"/>
      <c r="M4768" s="8"/>
      <c r="N4768" s="11"/>
      <c r="O4768" s="11"/>
      <c r="P4768" s="11"/>
      <c r="Q4768" s="11"/>
      <c r="R4768" s="11"/>
      <c r="S4768" s="12"/>
      <c r="T4768" s="8"/>
      <c r="U4768" s="8"/>
      <c r="V4768" s="13"/>
      <c r="W4768" s="13"/>
      <c r="X4768" s="12"/>
      <c r="Y4768" s="14"/>
      <c r="Z4768" s="14"/>
    </row>
    <row r="4769">
      <c r="A4769" s="8"/>
      <c r="B4769" s="8"/>
      <c r="C4769" s="8"/>
      <c r="D4769" s="8"/>
      <c r="E4769" s="8"/>
      <c r="F4769" s="8"/>
      <c r="G4769" s="8"/>
      <c r="H4769" s="8"/>
      <c r="I4769" s="8"/>
      <c r="J4769" s="8"/>
      <c r="K4769" s="10"/>
      <c r="L4769" s="8"/>
      <c r="M4769" s="8"/>
      <c r="N4769" s="11"/>
      <c r="O4769" s="11"/>
      <c r="P4769" s="11"/>
      <c r="Q4769" s="11"/>
      <c r="R4769" s="11"/>
      <c r="S4769" s="12"/>
      <c r="T4769" s="8"/>
      <c r="U4769" s="8"/>
      <c r="V4769" s="13"/>
      <c r="W4769" s="13"/>
      <c r="X4769" s="12"/>
      <c r="Y4769" s="14"/>
      <c r="Z4769" s="14"/>
    </row>
    <row r="4770">
      <c r="A4770" s="8"/>
      <c r="B4770" s="8"/>
      <c r="C4770" s="8"/>
      <c r="D4770" s="8"/>
      <c r="E4770" s="8"/>
      <c r="F4770" s="8"/>
      <c r="G4770" s="8"/>
      <c r="H4770" s="8"/>
      <c r="I4770" s="8"/>
      <c r="J4770" s="8"/>
      <c r="K4770" s="10"/>
      <c r="L4770" s="8"/>
      <c r="M4770" s="8"/>
      <c r="N4770" s="11"/>
      <c r="O4770" s="11"/>
      <c r="P4770" s="11"/>
      <c r="Q4770" s="11"/>
      <c r="R4770" s="11"/>
      <c r="S4770" s="12"/>
      <c r="T4770" s="8"/>
      <c r="U4770" s="8"/>
      <c r="V4770" s="13"/>
      <c r="W4770" s="13"/>
      <c r="X4770" s="12"/>
      <c r="Y4770" s="14"/>
      <c r="Z4770" s="14"/>
    </row>
    <row r="4771">
      <c r="A4771" s="8"/>
      <c r="B4771" s="8"/>
      <c r="C4771" s="8"/>
      <c r="D4771" s="8"/>
      <c r="E4771" s="8"/>
      <c r="F4771" s="8"/>
      <c r="G4771" s="8"/>
      <c r="H4771" s="8"/>
      <c r="I4771" s="8"/>
      <c r="J4771" s="8"/>
      <c r="K4771" s="10"/>
      <c r="L4771" s="8"/>
      <c r="M4771" s="8"/>
      <c r="N4771" s="11"/>
      <c r="O4771" s="11"/>
      <c r="P4771" s="11"/>
      <c r="Q4771" s="11"/>
      <c r="R4771" s="11"/>
      <c r="S4771" s="12"/>
      <c r="T4771" s="8"/>
      <c r="U4771" s="8"/>
      <c r="V4771" s="13"/>
      <c r="W4771" s="13"/>
      <c r="X4771" s="12"/>
      <c r="Y4771" s="14"/>
      <c r="Z4771" s="14"/>
    </row>
    <row r="4772">
      <c r="A4772" s="8"/>
      <c r="B4772" s="8"/>
      <c r="C4772" s="8"/>
      <c r="D4772" s="8"/>
      <c r="E4772" s="8"/>
      <c r="F4772" s="8"/>
      <c r="G4772" s="8"/>
      <c r="H4772" s="8"/>
      <c r="I4772" s="8"/>
      <c r="J4772" s="8"/>
      <c r="K4772" s="10"/>
      <c r="L4772" s="8"/>
      <c r="M4772" s="8"/>
      <c r="N4772" s="11"/>
      <c r="O4772" s="11"/>
      <c r="P4772" s="11"/>
      <c r="Q4772" s="11"/>
      <c r="R4772" s="11"/>
      <c r="S4772" s="12"/>
      <c r="T4772" s="8"/>
      <c r="U4772" s="8"/>
      <c r="V4772" s="13"/>
      <c r="W4772" s="13"/>
      <c r="X4772" s="12"/>
      <c r="Y4772" s="14"/>
      <c r="Z4772" s="14"/>
    </row>
    <row r="4773">
      <c r="A4773" s="8"/>
      <c r="B4773" s="8"/>
      <c r="C4773" s="8"/>
      <c r="D4773" s="8"/>
      <c r="E4773" s="8"/>
      <c r="F4773" s="8"/>
      <c r="G4773" s="8"/>
      <c r="H4773" s="8"/>
      <c r="I4773" s="8"/>
      <c r="J4773" s="8"/>
      <c r="K4773" s="10"/>
      <c r="L4773" s="8"/>
      <c r="M4773" s="8"/>
      <c r="N4773" s="11"/>
      <c r="O4773" s="11"/>
      <c r="P4773" s="11"/>
      <c r="Q4773" s="11"/>
      <c r="R4773" s="11"/>
      <c r="S4773" s="12"/>
      <c r="T4773" s="8"/>
      <c r="U4773" s="8"/>
      <c r="V4773" s="13"/>
      <c r="W4773" s="13"/>
      <c r="X4773" s="12"/>
      <c r="Y4773" s="14"/>
      <c r="Z4773" s="14"/>
    </row>
    <row r="4774">
      <c r="A4774" s="8"/>
      <c r="B4774" s="8"/>
      <c r="C4774" s="8"/>
      <c r="D4774" s="8"/>
      <c r="E4774" s="8"/>
      <c r="F4774" s="8"/>
      <c r="G4774" s="8"/>
      <c r="H4774" s="8"/>
      <c r="I4774" s="8"/>
      <c r="J4774" s="8"/>
      <c r="K4774" s="10"/>
      <c r="L4774" s="8"/>
      <c r="M4774" s="8"/>
      <c r="N4774" s="11"/>
      <c r="O4774" s="11"/>
      <c r="P4774" s="11"/>
      <c r="Q4774" s="11"/>
      <c r="R4774" s="11"/>
      <c r="S4774" s="12"/>
      <c r="T4774" s="8"/>
      <c r="U4774" s="8"/>
      <c r="V4774" s="13"/>
      <c r="W4774" s="13"/>
      <c r="X4774" s="12"/>
      <c r="Y4774" s="14"/>
      <c r="Z4774" s="14"/>
    </row>
    <row r="4775">
      <c r="A4775" s="8"/>
      <c r="B4775" s="8"/>
      <c r="C4775" s="8"/>
      <c r="D4775" s="8"/>
      <c r="E4775" s="8"/>
      <c r="F4775" s="8"/>
      <c r="G4775" s="8"/>
      <c r="H4775" s="8"/>
      <c r="I4775" s="8"/>
      <c r="J4775" s="8"/>
      <c r="K4775" s="10"/>
      <c r="L4775" s="8"/>
      <c r="M4775" s="8"/>
      <c r="N4775" s="11"/>
      <c r="O4775" s="11"/>
      <c r="P4775" s="11"/>
      <c r="Q4775" s="11"/>
      <c r="R4775" s="11"/>
      <c r="S4775" s="12"/>
      <c r="T4775" s="8"/>
      <c r="U4775" s="8"/>
      <c r="V4775" s="13"/>
      <c r="W4775" s="13"/>
      <c r="X4775" s="12"/>
      <c r="Y4775" s="14"/>
      <c r="Z4775" s="14"/>
    </row>
    <row r="4776">
      <c r="A4776" s="8"/>
      <c r="B4776" s="8"/>
      <c r="C4776" s="8"/>
      <c r="D4776" s="8"/>
      <c r="E4776" s="8"/>
      <c r="F4776" s="8"/>
      <c r="G4776" s="8"/>
      <c r="H4776" s="8"/>
      <c r="I4776" s="8"/>
      <c r="J4776" s="8"/>
      <c r="K4776" s="10"/>
      <c r="L4776" s="8"/>
      <c r="M4776" s="8"/>
      <c r="N4776" s="11"/>
      <c r="O4776" s="11"/>
      <c r="P4776" s="11"/>
      <c r="Q4776" s="11"/>
      <c r="R4776" s="11"/>
      <c r="S4776" s="12"/>
      <c r="T4776" s="8"/>
      <c r="U4776" s="8"/>
      <c r="V4776" s="13"/>
      <c r="W4776" s="13"/>
      <c r="X4776" s="12"/>
      <c r="Y4776" s="14"/>
      <c r="Z4776" s="14"/>
    </row>
    <row r="4777">
      <c r="A4777" s="8"/>
      <c r="B4777" s="8"/>
      <c r="C4777" s="8"/>
      <c r="D4777" s="8"/>
      <c r="E4777" s="8"/>
      <c r="F4777" s="8"/>
      <c r="G4777" s="8"/>
      <c r="H4777" s="8"/>
      <c r="I4777" s="8"/>
      <c r="J4777" s="8"/>
      <c r="K4777" s="10"/>
      <c r="L4777" s="8"/>
      <c r="M4777" s="8"/>
      <c r="N4777" s="11"/>
      <c r="O4777" s="11"/>
      <c r="P4777" s="11"/>
      <c r="Q4777" s="11"/>
      <c r="R4777" s="11"/>
      <c r="S4777" s="12"/>
      <c r="T4777" s="8"/>
      <c r="U4777" s="8"/>
      <c r="V4777" s="13"/>
      <c r="W4777" s="13"/>
      <c r="X4777" s="12"/>
      <c r="Y4777" s="14"/>
      <c r="Z4777" s="14"/>
    </row>
    <row r="4778">
      <c r="A4778" s="8"/>
      <c r="B4778" s="8"/>
      <c r="C4778" s="8"/>
      <c r="D4778" s="8"/>
      <c r="E4778" s="8"/>
      <c r="F4778" s="8"/>
      <c r="G4778" s="8"/>
      <c r="H4778" s="8"/>
      <c r="I4778" s="8"/>
      <c r="J4778" s="8"/>
      <c r="K4778" s="10"/>
      <c r="L4778" s="8"/>
      <c r="M4778" s="8"/>
      <c r="N4778" s="11"/>
      <c r="O4778" s="11"/>
      <c r="P4778" s="11"/>
      <c r="Q4778" s="11"/>
      <c r="R4778" s="11"/>
      <c r="S4778" s="12"/>
      <c r="T4778" s="8"/>
      <c r="U4778" s="8"/>
      <c r="V4778" s="13"/>
      <c r="W4778" s="13"/>
      <c r="X4778" s="12"/>
      <c r="Y4778" s="14"/>
      <c r="Z4778" s="14"/>
    </row>
    <row r="4779">
      <c r="A4779" s="8"/>
      <c r="B4779" s="8"/>
      <c r="C4779" s="8"/>
      <c r="D4779" s="8"/>
      <c r="E4779" s="8"/>
      <c r="F4779" s="8"/>
      <c r="G4779" s="8"/>
      <c r="H4779" s="8"/>
      <c r="I4779" s="8"/>
      <c r="J4779" s="8"/>
      <c r="K4779" s="10"/>
      <c r="L4779" s="8"/>
      <c r="M4779" s="8"/>
      <c r="N4779" s="11"/>
      <c r="O4779" s="11"/>
      <c r="P4779" s="11"/>
      <c r="Q4779" s="11"/>
      <c r="R4779" s="11"/>
      <c r="S4779" s="12"/>
      <c r="T4779" s="8"/>
      <c r="U4779" s="8"/>
      <c r="V4779" s="13"/>
      <c r="W4779" s="13"/>
      <c r="X4779" s="12"/>
      <c r="Y4779" s="14"/>
      <c r="Z4779" s="14"/>
    </row>
    <row r="4780">
      <c r="A4780" s="8"/>
      <c r="B4780" s="8"/>
      <c r="C4780" s="8"/>
      <c r="D4780" s="8"/>
      <c r="E4780" s="8"/>
      <c r="F4780" s="8"/>
      <c r="G4780" s="8"/>
      <c r="H4780" s="8"/>
      <c r="I4780" s="8"/>
      <c r="J4780" s="8"/>
      <c r="K4780" s="10"/>
      <c r="L4780" s="8"/>
      <c r="M4780" s="8"/>
      <c r="N4780" s="11"/>
      <c r="O4780" s="11"/>
      <c r="P4780" s="11"/>
      <c r="Q4780" s="11"/>
      <c r="R4780" s="11"/>
      <c r="S4780" s="12"/>
      <c r="T4780" s="8"/>
      <c r="U4780" s="8"/>
      <c r="V4780" s="13"/>
      <c r="W4780" s="13"/>
      <c r="X4780" s="12"/>
      <c r="Y4780" s="14"/>
      <c r="Z4780" s="14"/>
    </row>
    <row r="4781">
      <c r="A4781" s="8"/>
      <c r="B4781" s="8"/>
      <c r="C4781" s="8"/>
      <c r="D4781" s="8"/>
      <c r="E4781" s="8"/>
      <c r="F4781" s="8"/>
      <c r="G4781" s="8"/>
      <c r="H4781" s="8"/>
      <c r="I4781" s="8"/>
      <c r="J4781" s="8"/>
      <c r="K4781" s="10"/>
      <c r="L4781" s="8"/>
      <c r="M4781" s="8"/>
      <c r="N4781" s="11"/>
      <c r="O4781" s="11"/>
      <c r="P4781" s="11"/>
      <c r="Q4781" s="11"/>
      <c r="R4781" s="11"/>
      <c r="S4781" s="12"/>
      <c r="T4781" s="8"/>
      <c r="U4781" s="8"/>
      <c r="V4781" s="13"/>
      <c r="W4781" s="13"/>
      <c r="X4781" s="12"/>
      <c r="Y4781" s="14"/>
      <c r="Z4781" s="14"/>
    </row>
    <row r="4782">
      <c r="A4782" s="8"/>
      <c r="B4782" s="8"/>
      <c r="C4782" s="8"/>
      <c r="D4782" s="8"/>
      <c r="E4782" s="8"/>
      <c r="F4782" s="8"/>
      <c r="G4782" s="8"/>
      <c r="H4782" s="8"/>
      <c r="I4782" s="8"/>
      <c r="J4782" s="8"/>
      <c r="K4782" s="10"/>
      <c r="L4782" s="8"/>
      <c r="M4782" s="8"/>
      <c r="N4782" s="11"/>
      <c r="O4782" s="11"/>
      <c r="P4782" s="11"/>
      <c r="Q4782" s="11"/>
      <c r="R4782" s="11"/>
      <c r="S4782" s="12"/>
      <c r="T4782" s="8"/>
      <c r="U4782" s="8"/>
      <c r="V4782" s="13"/>
      <c r="W4782" s="13"/>
      <c r="X4782" s="12"/>
      <c r="Y4782" s="14"/>
      <c r="Z4782" s="14"/>
    </row>
    <row r="4783">
      <c r="A4783" s="8"/>
      <c r="B4783" s="8"/>
      <c r="C4783" s="8"/>
      <c r="D4783" s="8"/>
      <c r="E4783" s="8"/>
      <c r="F4783" s="8"/>
      <c r="G4783" s="8"/>
      <c r="H4783" s="8"/>
      <c r="I4783" s="8"/>
      <c r="J4783" s="8"/>
      <c r="K4783" s="10"/>
      <c r="L4783" s="8"/>
      <c r="M4783" s="8"/>
      <c r="N4783" s="11"/>
      <c r="O4783" s="11"/>
      <c r="P4783" s="11"/>
      <c r="Q4783" s="11"/>
      <c r="R4783" s="11"/>
      <c r="S4783" s="12"/>
      <c r="T4783" s="8"/>
      <c r="U4783" s="8"/>
      <c r="V4783" s="13"/>
      <c r="W4783" s="13"/>
      <c r="X4783" s="12"/>
      <c r="Y4783" s="14"/>
      <c r="Z4783" s="14"/>
    </row>
    <row r="4784">
      <c r="A4784" s="8"/>
      <c r="B4784" s="8"/>
      <c r="C4784" s="8"/>
      <c r="D4784" s="8"/>
      <c r="E4784" s="8"/>
      <c r="F4784" s="8"/>
      <c r="G4784" s="8"/>
      <c r="H4784" s="8"/>
      <c r="I4784" s="8"/>
      <c r="J4784" s="8"/>
      <c r="K4784" s="10"/>
      <c r="L4784" s="8"/>
      <c r="M4784" s="8"/>
      <c r="N4784" s="11"/>
      <c r="O4784" s="11"/>
      <c r="P4784" s="11"/>
      <c r="Q4784" s="11"/>
      <c r="R4784" s="11"/>
      <c r="S4784" s="12"/>
      <c r="T4784" s="8"/>
      <c r="U4784" s="8"/>
      <c r="V4784" s="13"/>
      <c r="W4784" s="13"/>
      <c r="X4784" s="12"/>
      <c r="Y4784" s="14"/>
      <c r="Z4784" s="14"/>
    </row>
    <row r="4785">
      <c r="A4785" s="8"/>
      <c r="B4785" s="8"/>
      <c r="C4785" s="8"/>
      <c r="D4785" s="8"/>
      <c r="E4785" s="8"/>
      <c r="F4785" s="8"/>
      <c r="G4785" s="8"/>
      <c r="H4785" s="8"/>
      <c r="I4785" s="8"/>
      <c r="J4785" s="8"/>
      <c r="K4785" s="10"/>
      <c r="L4785" s="8"/>
      <c r="M4785" s="8"/>
      <c r="N4785" s="11"/>
      <c r="O4785" s="11"/>
      <c r="P4785" s="11"/>
      <c r="Q4785" s="11"/>
      <c r="R4785" s="11"/>
      <c r="S4785" s="12"/>
      <c r="T4785" s="8"/>
      <c r="U4785" s="8"/>
      <c r="V4785" s="13"/>
      <c r="W4785" s="13"/>
      <c r="X4785" s="12"/>
      <c r="Y4785" s="14"/>
      <c r="Z4785" s="14"/>
    </row>
    <row r="4786">
      <c r="A4786" s="8"/>
      <c r="B4786" s="8"/>
      <c r="C4786" s="8"/>
      <c r="D4786" s="8"/>
      <c r="E4786" s="8"/>
      <c r="F4786" s="8"/>
      <c r="G4786" s="8"/>
      <c r="H4786" s="8"/>
      <c r="I4786" s="8"/>
      <c r="J4786" s="8"/>
      <c r="K4786" s="10"/>
      <c r="L4786" s="8"/>
      <c r="M4786" s="8"/>
      <c r="N4786" s="11"/>
      <c r="O4786" s="11"/>
      <c r="P4786" s="11"/>
      <c r="Q4786" s="11"/>
      <c r="R4786" s="11"/>
      <c r="S4786" s="12"/>
      <c r="T4786" s="8"/>
      <c r="U4786" s="8"/>
      <c r="V4786" s="13"/>
      <c r="W4786" s="13"/>
      <c r="X4786" s="12"/>
      <c r="Y4786" s="14"/>
      <c r="Z4786" s="14"/>
    </row>
    <row r="4787">
      <c r="A4787" s="8"/>
      <c r="B4787" s="8"/>
      <c r="C4787" s="8"/>
      <c r="D4787" s="8"/>
      <c r="E4787" s="8"/>
      <c r="F4787" s="8"/>
      <c r="G4787" s="8"/>
      <c r="H4787" s="8"/>
      <c r="I4787" s="8"/>
      <c r="J4787" s="8"/>
      <c r="K4787" s="10"/>
      <c r="L4787" s="8"/>
      <c r="M4787" s="8"/>
      <c r="N4787" s="11"/>
      <c r="O4787" s="11"/>
      <c r="P4787" s="11"/>
      <c r="Q4787" s="11"/>
      <c r="R4787" s="11"/>
      <c r="S4787" s="12"/>
      <c r="T4787" s="8"/>
      <c r="U4787" s="8"/>
      <c r="V4787" s="13"/>
      <c r="W4787" s="13"/>
      <c r="X4787" s="12"/>
      <c r="Y4787" s="14"/>
      <c r="Z4787" s="14"/>
    </row>
    <row r="4788">
      <c r="A4788" s="8"/>
      <c r="B4788" s="8"/>
      <c r="C4788" s="8"/>
      <c r="D4788" s="8"/>
      <c r="E4788" s="8"/>
      <c r="F4788" s="8"/>
      <c r="G4788" s="8"/>
      <c r="H4788" s="8"/>
      <c r="I4788" s="8"/>
      <c r="J4788" s="8"/>
      <c r="K4788" s="10"/>
      <c r="L4788" s="8"/>
      <c r="M4788" s="8"/>
      <c r="N4788" s="11"/>
      <c r="O4788" s="11"/>
      <c r="P4788" s="11"/>
      <c r="Q4788" s="11"/>
      <c r="R4788" s="11"/>
      <c r="S4788" s="12"/>
      <c r="T4788" s="8"/>
      <c r="U4788" s="8"/>
      <c r="V4788" s="13"/>
      <c r="W4788" s="13"/>
      <c r="X4788" s="12"/>
      <c r="Y4788" s="14"/>
      <c r="Z4788" s="14"/>
    </row>
    <row r="4789">
      <c r="A4789" s="8"/>
      <c r="B4789" s="8"/>
      <c r="C4789" s="8"/>
      <c r="D4789" s="8"/>
      <c r="E4789" s="8"/>
      <c r="F4789" s="8"/>
      <c r="G4789" s="8"/>
      <c r="H4789" s="8"/>
      <c r="I4789" s="8"/>
      <c r="J4789" s="8"/>
      <c r="K4789" s="10"/>
      <c r="L4789" s="8"/>
      <c r="M4789" s="8"/>
      <c r="N4789" s="11"/>
      <c r="O4789" s="11"/>
      <c r="P4789" s="11"/>
      <c r="Q4789" s="11"/>
      <c r="R4789" s="11"/>
      <c r="S4789" s="12"/>
      <c r="T4789" s="8"/>
      <c r="U4789" s="8"/>
      <c r="V4789" s="13"/>
      <c r="W4789" s="13"/>
      <c r="X4789" s="12"/>
      <c r="Y4789" s="14"/>
      <c r="Z4789" s="14"/>
    </row>
    <row r="4790">
      <c r="A4790" s="8"/>
      <c r="B4790" s="8"/>
      <c r="C4790" s="8"/>
      <c r="D4790" s="8"/>
      <c r="E4790" s="8"/>
      <c r="F4790" s="8"/>
      <c r="G4790" s="8"/>
      <c r="H4790" s="8"/>
      <c r="I4790" s="8"/>
      <c r="J4790" s="8"/>
      <c r="K4790" s="10"/>
      <c r="L4790" s="8"/>
      <c r="M4790" s="8"/>
      <c r="N4790" s="11"/>
      <c r="O4790" s="11"/>
      <c r="P4790" s="11"/>
      <c r="Q4790" s="11"/>
      <c r="R4790" s="11"/>
      <c r="S4790" s="12"/>
      <c r="T4790" s="8"/>
      <c r="U4790" s="8"/>
      <c r="V4790" s="13"/>
      <c r="W4790" s="13"/>
      <c r="X4790" s="12"/>
      <c r="Y4790" s="14"/>
      <c r="Z4790" s="14"/>
    </row>
    <row r="4791">
      <c r="A4791" s="8"/>
      <c r="B4791" s="8"/>
      <c r="C4791" s="8"/>
      <c r="D4791" s="8"/>
      <c r="E4791" s="8"/>
      <c r="F4791" s="8"/>
      <c r="G4791" s="8"/>
      <c r="H4791" s="8"/>
      <c r="I4791" s="8"/>
      <c r="J4791" s="8"/>
      <c r="K4791" s="10"/>
      <c r="L4791" s="8"/>
      <c r="M4791" s="8"/>
      <c r="N4791" s="11"/>
      <c r="O4791" s="11"/>
      <c r="P4791" s="11"/>
      <c r="Q4791" s="11"/>
      <c r="R4791" s="11"/>
      <c r="S4791" s="12"/>
      <c r="T4791" s="8"/>
      <c r="U4791" s="8"/>
      <c r="V4791" s="13"/>
      <c r="W4791" s="13"/>
      <c r="X4791" s="12"/>
      <c r="Y4791" s="14"/>
      <c r="Z4791" s="14"/>
    </row>
    <row r="4792">
      <c r="A4792" s="8"/>
      <c r="B4792" s="8"/>
      <c r="C4792" s="8"/>
      <c r="D4792" s="8"/>
      <c r="E4792" s="8"/>
      <c r="F4792" s="8"/>
      <c r="G4792" s="8"/>
      <c r="H4792" s="8"/>
      <c r="I4792" s="8"/>
      <c r="J4792" s="8"/>
      <c r="K4792" s="10"/>
      <c r="L4792" s="8"/>
      <c r="M4792" s="8"/>
      <c r="N4792" s="11"/>
      <c r="O4792" s="11"/>
      <c r="P4792" s="11"/>
      <c r="Q4792" s="11"/>
      <c r="R4792" s="11"/>
      <c r="S4792" s="12"/>
      <c r="T4792" s="8"/>
      <c r="U4792" s="8"/>
      <c r="V4792" s="13"/>
      <c r="W4792" s="13"/>
      <c r="X4792" s="12"/>
      <c r="Y4792" s="14"/>
      <c r="Z4792" s="14"/>
    </row>
    <row r="4793">
      <c r="A4793" s="8"/>
      <c r="B4793" s="8"/>
      <c r="C4793" s="8"/>
      <c r="D4793" s="8"/>
      <c r="E4793" s="8"/>
      <c r="F4793" s="8"/>
      <c r="G4793" s="8"/>
      <c r="H4793" s="8"/>
      <c r="I4793" s="8"/>
      <c r="J4793" s="8"/>
      <c r="K4793" s="10"/>
      <c r="L4793" s="8"/>
      <c r="M4793" s="8"/>
      <c r="N4793" s="11"/>
      <c r="O4793" s="11"/>
      <c r="P4793" s="11"/>
      <c r="Q4793" s="11"/>
      <c r="R4793" s="11"/>
      <c r="S4793" s="12"/>
      <c r="T4793" s="8"/>
      <c r="U4793" s="8"/>
      <c r="V4793" s="13"/>
      <c r="W4793" s="13"/>
      <c r="X4793" s="12"/>
      <c r="Y4793" s="14"/>
      <c r="Z4793" s="14"/>
    </row>
    <row r="4794">
      <c r="A4794" s="8"/>
      <c r="B4794" s="8"/>
      <c r="C4794" s="8"/>
      <c r="D4794" s="8"/>
      <c r="E4794" s="8"/>
      <c r="F4794" s="8"/>
      <c r="G4794" s="8"/>
      <c r="H4794" s="8"/>
      <c r="I4794" s="8"/>
      <c r="J4794" s="8"/>
      <c r="K4794" s="10"/>
      <c r="L4794" s="8"/>
      <c r="M4794" s="8"/>
      <c r="N4794" s="11"/>
      <c r="O4794" s="11"/>
      <c r="P4794" s="11"/>
      <c r="Q4794" s="11"/>
      <c r="R4794" s="11"/>
      <c r="S4794" s="12"/>
      <c r="T4794" s="8"/>
      <c r="U4794" s="8"/>
      <c r="V4794" s="13"/>
      <c r="W4794" s="13"/>
      <c r="X4794" s="12"/>
      <c r="Y4794" s="14"/>
      <c r="Z4794" s="14"/>
    </row>
    <row r="4795">
      <c r="A4795" s="8"/>
      <c r="B4795" s="8"/>
      <c r="C4795" s="8"/>
      <c r="D4795" s="8"/>
      <c r="E4795" s="8"/>
      <c r="F4795" s="8"/>
      <c r="G4795" s="8"/>
      <c r="H4795" s="8"/>
      <c r="I4795" s="8"/>
      <c r="J4795" s="8"/>
      <c r="K4795" s="10"/>
      <c r="L4795" s="8"/>
      <c r="M4795" s="8"/>
      <c r="N4795" s="11"/>
      <c r="O4795" s="11"/>
      <c r="P4795" s="11"/>
      <c r="Q4795" s="11"/>
      <c r="R4795" s="11"/>
      <c r="S4795" s="12"/>
      <c r="T4795" s="8"/>
      <c r="U4795" s="8"/>
      <c r="V4795" s="13"/>
      <c r="W4795" s="13"/>
      <c r="X4795" s="12"/>
      <c r="Y4795" s="14"/>
      <c r="Z4795" s="14"/>
    </row>
    <row r="4796">
      <c r="A4796" s="8"/>
      <c r="B4796" s="8"/>
      <c r="C4796" s="8"/>
      <c r="D4796" s="8"/>
      <c r="E4796" s="8"/>
      <c r="F4796" s="8"/>
      <c r="G4796" s="8"/>
      <c r="H4796" s="8"/>
      <c r="I4796" s="8"/>
      <c r="J4796" s="8"/>
      <c r="K4796" s="10"/>
      <c r="L4796" s="8"/>
      <c r="M4796" s="8"/>
      <c r="N4796" s="11"/>
      <c r="O4796" s="11"/>
      <c r="P4796" s="11"/>
      <c r="Q4796" s="11"/>
      <c r="R4796" s="11"/>
      <c r="S4796" s="12"/>
      <c r="T4796" s="8"/>
      <c r="U4796" s="8"/>
      <c r="V4796" s="13"/>
      <c r="W4796" s="13"/>
      <c r="X4796" s="12"/>
      <c r="Y4796" s="14"/>
      <c r="Z4796" s="14"/>
    </row>
    <row r="4797">
      <c r="A4797" s="8"/>
      <c r="B4797" s="8"/>
      <c r="C4797" s="8"/>
      <c r="D4797" s="8"/>
      <c r="E4797" s="8"/>
      <c r="F4797" s="8"/>
      <c r="G4797" s="8"/>
      <c r="H4797" s="8"/>
      <c r="I4797" s="8"/>
      <c r="J4797" s="8"/>
      <c r="K4797" s="10"/>
      <c r="L4797" s="8"/>
      <c r="M4797" s="8"/>
      <c r="N4797" s="11"/>
      <c r="O4797" s="11"/>
      <c r="P4797" s="11"/>
      <c r="Q4797" s="11"/>
      <c r="R4797" s="11"/>
      <c r="S4797" s="12"/>
      <c r="T4797" s="8"/>
      <c r="U4797" s="8"/>
      <c r="V4797" s="13"/>
      <c r="W4797" s="13"/>
      <c r="X4797" s="12"/>
      <c r="Y4797" s="14"/>
      <c r="Z4797" s="14"/>
    </row>
    <row r="4798">
      <c r="A4798" s="8"/>
      <c r="B4798" s="8"/>
      <c r="C4798" s="8"/>
      <c r="D4798" s="8"/>
      <c r="E4798" s="8"/>
      <c r="F4798" s="8"/>
      <c r="G4798" s="8"/>
      <c r="H4798" s="8"/>
      <c r="I4798" s="8"/>
      <c r="J4798" s="8"/>
      <c r="K4798" s="10"/>
      <c r="L4798" s="8"/>
      <c r="M4798" s="8"/>
      <c r="N4798" s="11"/>
      <c r="O4798" s="11"/>
      <c r="P4798" s="11"/>
      <c r="Q4798" s="11"/>
      <c r="R4798" s="11"/>
      <c r="S4798" s="12"/>
      <c r="T4798" s="8"/>
      <c r="U4798" s="8"/>
      <c r="V4798" s="13"/>
      <c r="W4798" s="13"/>
      <c r="X4798" s="12"/>
      <c r="Y4798" s="14"/>
      <c r="Z4798" s="14"/>
    </row>
    <row r="4799">
      <c r="A4799" s="8"/>
      <c r="B4799" s="8"/>
      <c r="C4799" s="8"/>
      <c r="D4799" s="8"/>
      <c r="E4799" s="8"/>
      <c r="F4799" s="8"/>
      <c r="G4799" s="8"/>
      <c r="H4799" s="8"/>
      <c r="I4799" s="8"/>
      <c r="J4799" s="8"/>
      <c r="K4799" s="10"/>
      <c r="L4799" s="8"/>
      <c r="M4799" s="8"/>
      <c r="N4799" s="11"/>
      <c r="O4799" s="11"/>
      <c r="P4799" s="11"/>
      <c r="Q4799" s="11"/>
      <c r="R4799" s="11"/>
      <c r="S4799" s="12"/>
      <c r="T4799" s="8"/>
      <c r="U4799" s="8"/>
      <c r="V4799" s="13"/>
      <c r="W4799" s="13"/>
      <c r="X4799" s="12"/>
      <c r="Y4799" s="14"/>
      <c r="Z4799" s="14"/>
    </row>
    <row r="4800">
      <c r="A4800" s="8"/>
      <c r="B4800" s="8"/>
      <c r="C4800" s="8"/>
      <c r="D4800" s="8"/>
      <c r="E4800" s="8"/>
      <c r="F4800" s="8"/>
      <c r="G4800" s="8"/>
      <c r="H4800" s="8"/>
      <c r="I4800" s="8"/>
      <c r="J4800" s="8"/>
      <c r="K4800" s="10"/>
      <c r="L4800" s="8"/>
      <c r="M4800" s="8"/>
      <c r="N4800" s="11"/>
      <c r="O4800" s="11"/>
      <c r="P4800" s="11"/>
      <c r="Q4800" s="11"/>
      <c r="R4800" s="11"/>
      <c r="S4800" s="12"/>
      <c r="T4800" s="8"/>
      <c r="U4800" s="8"/>
      <c r="V4800" s="13"/>
      <c r="W4800" s="13"/>
      <c r="X4800" s="12"/>
      <c r="Y4800" s="14"/>
      <c r="Z4800" s="14"/>
    </row>
    <row r="4801">
      <c r="A4801" s="8"/>
      <c r="B4801" s="8"/>
      <c r="C4801" s="8"/>
      <c r="D4801" s="8"/>
      <c r="E4801" s="8"/>
      <c r="F4801" s="8"/>
      <c r="G4801" s="8"/>
      <c r="H4801" s="8"/>
      <c r="I4801" s="8"/>
      <c r="J4801" s="8"/>
      <c r="K4801" s="10"/>
      <c r="L4801" s="8"/>
      <c r="M4801" s="8"/>
      <c r="N4801" s="11"/>
      <c r="O4801" s="11"/>
      <c r="P4801" s="11"/>
      <c r="Q4801" s="11"/>
      <c r="R4801" s="11"/>
      <c r="S4801" s="12"/>
      <c r="T4801" s="8"/>
      <c r="U4801" s="8"/>
      <c r="V4801" s="13"/>
      <c r="W4801" s="13"/>
      <c r="X4801" s="12"/>
      <c r="Y4801" s="14"/>
      <c r="Z4801" s="14"/>
    </row>
    <row r="4802">
      <c r="A4802" s="8"/>
      <c r="B4802" s="8"/>
      <c r="C4802" s="8"/>
      <c r="D4802" s="8"/>
      <c r="E4802" s="8"/>
      <c r="F4802" s="8"/>
      <c r="G4802" s="8"/>
      <c r="H4802" s="8"/>
      <c r="I4802" s="8"/>
      <c r="J4802" s="8"/>
      <c r="K4802" s="10"/>
      <c r="L4802" s="8"/>
      <c r="M4802" s="8"/>
      <c r="N4802" s="11"/>
      <c r="O4802" s="11"/>
      <c r="P4802" s="11"/>
      <c r="Q4802" s="11"/>
      <c r="R4802" s="11"/>
      <c r="S4802" s="12"/>
      <c r="T4802" s="8"/>
      <c r="U4802" s="8"/>
      <c r="V4802" s="13"/>
      <c r="W4802" s="13"/>
      <c r="X4802" s="12"/>
      <c r="Y4802" s="14"/>
      <c r="Z4802" s="14"/>
    </row>
    <row r="4803">
      <c r="A4803" s="8"/>
      <c r="B4803" s="8"/>
      <c r="C4803" s="8"/>
      <c r="D4803" s="8"/>
      <c r="E4803" s="8"/>
      <c r="F4803" s="8"/>
      <c r="G4803" s="8"/>
      <c r="H4803" s="8"/>
      <c r="I4803" s="8"/>
      <c r="J4803" s="8"/>
      <c r="K4803" s="10"/>
      <c r="L4803" s="8"/>
      <c r="M4803" s="8"/>
      <c r="N4803" s="11"/>
      <c r="O4803" s="11"/>
      <c r="P4803" s="11"/>
      <c r="Q4803" s="11"/>
      <c r="R4803" s="11"/>
      <c r="S4803" s="12"/>
      <c r="T4803" s="8"/>
      <c r="U4803" s="8"/>
      <c r="V4803" s="13"/>
      <c r="W4803" s="13"/>
      <c r="X4803" s="12"/>
      <c r="Y4803" s="14"/>
      <c r="Z4803" s="14"/>
    </row>
    <row r="4804">
      <c r="A4804" s="8"/>
      <c r="B4804" s="8"/>
      <c r="C4804" s="8"/>
      <c r="D4804" s="8"/>
      <c r="E4804" s="8"/>
      <c r="F4804" s="8"/>
      <c r="G4804" s="8"/>
      <c r="H4804" s="8"/>
      <c r="I4804" s="8"/>
      <c r="J4804" s="8"/>
      <c r="K4804" s="10"/>
      <c r="L4804" s="8"/>
      <c r="M4804" s="8"/>
      <c r="N4804" s="11"/>
      <c r="O4804" s="11"/>
      <c r="P4804" s="11"/>
      <c r="Q4804" s="11"/>
      <c r="R4804" s="11"/>
      <c r="S4804" s="12"/>
      <c r="T4804" s="8"/>
      <c r="U4804" s="8"/>
      <c r="V4804" s="13"/>
      <c r="W4804" s="13"/>
      <c r="X4804" s="12"/>
      <c r="Y4804" s="14"/>
      <c r="Z4804" s="14"/>
    </row>
    <row r="4805">
      <c r="A4805" s="8"/>
      <c r="B4805" s="8"/>
      <c r="C4805" s="8"/>
      <c r="D4805" s="8"/>
      <c r="E4805" s="8"/>
      <c r="F4805" s="8"/>
      <c r="G4805" s="8"/>
      <c r="H4805" s="8"/>
      <c r="I4805" s="8"/>
      <c r="J4805" s="8"/>
      <c r="K4805" s="10"/>
      <c r="L4805" s="8"/>
      <c r="M4805" s="8"/>
      <c r="N4805" s="11"/>
      <c r="O4805" s="11"/>
      <c r="P4805" s="11"/>
      <c r="Q4805" s="11"/>
      <c r="R4805" s="11"/>
      <c r="S4805" s="12"/>
      <c r="T4805" s="8"/>
      <c r="U4805" s="8"/>
      <c r="V4805" s="13"/>
      <c r="W4805" s="13"/>
      <c r="X4805" s="12"/>
      <c r="Y4805" s="14"/>
      <c r="Z4805" s="14"/>
    </row>
    <row r="4806">
      <c r="A4806" s="8"/>
      <c r="B4806" s="8"/>
      <c r="C4806" s="8"/>
      <c r="D4806" s="8"/>
      <c r="E4806" s="8"/>
      <c r="F4806" s="8"/>
      <c r="G4806" s="8"/>
      <c r="H4806" s="8"/>
      <c r="I4806" s="8"/>
      <c r="J4806" s="8"/>
      <c r="K4806" s="10"/>
      <c r="L4806" s="8"/>
      <c r="M4806" s="8"/>
      <c r="N4806" s="11"/>
      <c r="O4806" s="11"/>
      <c r="P4806" s="11"/>
      <c r="Q4806" s="11"/>
      <c r="R4806" s="11"/>
      <c r="S4806" s="12"/>
      <c r="T4806" s="8"/>
      <c r="U4806" s="8"/>
      <c r="V4806" s="13"/>
      <c r="W4806" s="13"/>
      <c r="X4806" s="12"/>
      <c r="Y4806" s="14"/>
      <c r="Z4806" s="14"/>
    </row>
    <row r="4807">
      <c r="A4807" s="8"/>
      <c r="B4807" s="8"/>
      <c r="C4807" s="8"/>
      <c r="D4807" s="8"/>
      <c r="E4807" s="8"/>
      <c r="F4807" s="8"/>
      <c r="G4807" s="8"/>
      <c r="H4807" s="8"/>
      <c r="I4807" s="8"/>
      <c r="J4807" s="8"/>
      <c r="K4807" s="10"/>
      <c r="L4807" s="8"/>
      <c r="M4807" s="8"/>
      <c r="N4807" s="11"/>
      <c r="O4807" s="11"/>
      <c r="P4807" s="11"/>
      <c r="Q4807" s="11"/>
      <c r="R4807" s="11"/>
      <c r="S4807" s="12"/>
      <c r="T4807" s="8"/>
      <c r="U4807" s="8"/>
      <c r="V4807" s="13"/>
      <c r="W4807" s="13"/>
      <c r="X4807" s="12"/>
      <c r="Y4807" s="14"/>
      <c r="Z4807" s="14"/>
    </row>
    <row r="4808">
      <c r="A4808" s="8"/>
      <c r="B4808" s="8"/>
      <c r="C4808" s="8"/>
      <c r="D4808" s="8"/>
      <c r="E4808" s="8"/>
      <c r="F4808" s="8"/>
      <c r="G4808" s="8"/>
      <c r="H4808" s="8"/>
      <c r="I4808" s="8"/>
      <c r="J4808" s="8"/>
      <c r="K4808" s="10"/>
      <c r="L4808" s="8"/>
      <c r="M4808" s="8"/>
      <c r="N4808" s="11"/>
      <c r="O4808" s="11"/>
      <c r="P4808" s="11"/>
      <c r="Q4808" s="11"/>
      <c r="R4808" s="11"/>
      <c r="S4808" s="12"/>
      <c r="T4808" s="8"/>
      <c r="U4808" s="8"/>
      <c r="V4808" s="13"/>
      <c r="W4808" s="13"/>
      <c r="X4808" s="12"/>
      <c r="Y4808" s="14"/>
      <c r="Z4808" s="14"/>
    </row>
    <row r="4809">
      <c r="A4809" s="8"/>
      <c r="B4809" s="8"/>
      <c r="C4809" s="8"/>
      <c r="D4809" s="8"/>
      <c r="E4809" s="8"/>
      <c r="F4809" s="8"/>
      <c r="G4809" s="8"/>
      <c r="H4809" s="8"/>
      <c r="I4809" s="8"/>
      <c r="J4809" s="8"/>
      <c r="K4809" s="10"/>
      <c r="L4809" s="8"/>
      <c r="M4809" s="8"/>
      <c r="N4809" s="11"/>
      <c r="O4809" s="11"/>
      <c r="P4809" s="11"/>
      <c r="Q4809" s="11"/>
      <c r="R4809" s="11"/>
      <c r="S4809" s="12"/>
      <c r="T4809" s="8"/>
      <c r="U4809" s="8"/>
      <c r="V4809" s="13"/>
      <c r="W4809" s="13"/>
      <c r="X4809" s="12"/>
      <c r="Y4809" s="14"/>
      <c r="Z4809" s="14"/>
    </row>
    <row r="4810">
      <c r="A4810" s="8"/>
      <c r="B4810" s="8"/>
      <c r="C4810" s="8"/>
      <c r="D4810" s="8"/>
      <c r="E4810" s="8"/>
      <c r="F4810" s="8"/>
      <c r="G4810" s="8"/>
      <c r="H4810" s="8"/>
      <c r="I4810" s="8"/>
      <c r="J4810" s="8"/>
      <c r="K4810" s="10"/>
      <c r="L4810" s="8"/>
      <c r="M4810" s="8"/>
      <c r="N4810" s="11"/>
      <c r="O4810" s="11"/>
      <c r="P4810" s="11"/>
      <c r="Q4810" s="11"/>
      <c r="R4810" s="11"/>
      <c r="S4810" s="12"/>
      <c r="T4810" s="8"/>
      <c r="U4810" s="8"/>
      <c r="V4810" s="13"/>
      <c r="W4810" s="13"/>
      <c r="X4810" s="12"/>
      <c r="Y4810" s="14"/>
      <c r="Z4810" s="14"/>
    </row>
    <row r="4811">
      <c r="A4811" s="8"/>
      <c r="B4811" s="8"/>
      <c r="C4811" s="8"/>
      <c r="D4811" s="8"/>
      <c r="E4811" s="8"/>
      <c r="F4811" s="8"/>
      <c r="G4811" s="8"/>
      <c r="H4811" s="8"/>
      <c r="I4811" s="8"/>
      <c r="J4811" s="8"/>
      <c r="K4811" s="10"/>
      <c r="L4811" s="8"/>
      <c r="M4811" s="8"/>
      <c r="N4811" s="11"/>
      <c r="O4811" s="11"/>
      <c r="P4811" s="11"/>
      <c r="Q4811" s="11"/>
      <c r="R4811" s="11"/>
      <c r="S4811" s="12"/>
      <c r="T4811" s="8"/>
      <c r="U4811" s="8"/>
      <c r="V4811" s="13"/>
      <c r="W4811" s="13"/>
      <c r="X4811" s="12"/>
      <c r="Y4811" s="14"/>
      <c r="Z4811" s="14"/>
    </row>
    <row r="4812">
      <c r="A4812" s="8"/>
      <c r="B4812" s="8"/>
      <c r="C4812" s="8"/>
      <c r="D4812" s="8"/>
      <c r="E4812" s="8"/>
      <c r="F4812" s="8"/>
      <c r="G4812" s="8"/>
      <c r="H4812" s="8"/>
      <c r="I4812" s="8"/>
      <c r="J4812" s="8"/>
      <c r="K4812" s="10"/>
      <c r="L4812" s="8"/>
      <c r="M4812" s="8"/>
      <c r="N4812" s="11"/>
      <c r="O4812" s="11"/>
      <c r="P4812" s="11"/>
      <c r="Q4812" s="11"/>
      <c r="R4812" s="11"/>
      <c r="S4812" s="12"/>
      <c r="T4812" s="8"/>
      <c r="U4812" s="8"/>
      <c r="V4812" s="13"/>
      <c r="W4812" s="13"/>
      <c r="X4812" s="12"/>
      <c r="Y4812" s="14"/>
      <c r="Z4812" s="14"/>
    </row>
    <row r="4813">
      <c r="A4813" s="8"/>
      <c r="B4813" s="8"/>
      <c r="C4813" s="8"/>
      <c r="D4813" s="8"/>
      <c r="E4813" s="8"/>
      <c r="F4813" s="8"/>
      <c r="G4813" s="8"/>
      <c r="H4813" s="8"/>
      <c r="I4813" s="8"/>
      <c r="J4813" s="8"/>
      <c r="K4813" s="10"/>
      <c r="L4813" s="8"/>
      <c r="M4813" s="8"/>
      <c r="N4813" s="11"/>
      <c r="O4813" s="11"/>
      <c r="P4813" s="11"/>
      <c r="Q4813" s="11"/>
      <c r="R4813" s="11"/>
      <c r="S4813" s="12"/>
      <c r="T4813" s="8"/>
      <c r="U4813" s="8"/>
      <c r="V4813" s="13"/>
      <c r="W4813" s="13"/>
      <c r="X4813" s="12"/>
      <c r="Y4813" s="14"/>
      <c r="Z4813" s="14"/>
    </row>
    <row r="4814">
      <c r="A4814" s="8"/>
      <c r="B4814" s="8"/>
      <c r="C4814" s="8"/>
      <c r="D4814" s="8"/>
      <c r="E4814" s="8"/>
      <c r="F4814" s="8"/>
      <c r="G4814" s="8"/>
      <c r="H4814" s="8"/>
      <c r="I4814" s="8"/>
      <c r="J4814" s="8"/>
      <c r="K4814" s="10"/>
      <c r="L4814" s="8"/>
      <c r="M4814" s="8"/>
      <c r="N4814" s="11"/>
      <c r="O4814" s="11"/>
      <c r="P4814" s="11"/>
      <c r="Q4814" s="11"/>
      <c r="R4814" s="11"/>
      <c r="S4814" s="12"/>
      <c r="T4814" s="8"/>
      <c r="U4814" s="8"/>
      <c r="V4814" s="13"/>
      <c r="W4814" s="13"/>
      <c r="X4814" s="12"/>
      <c r="Y4814" s="14"/>
      <c r="Z4814" s="14"/>
    </row>
    <row r="4815">
      <c r="A4815" s="8"/>
      <c r="B4815" s="8"/>
      <c r="C4815" s="8"/>
      <c r="D4815" s="8"/>
      <c r="E4815" s="8"/>
      <c r="F4815" s="8"/>
      <c r="G4815" s="8"/>
      <c r="H4815" s="8"/>
      <c r="I4815" s="8"/>
      <c r="J4815" s="8"/>
      <c r="K4815" s="10"/>
      <c r="L4815" s="8"/>
      <c r="M4815" s="8"/>
      <c r="N4815" s="11"/>
      <c r="O4815" s="11"/>
      <c r="P4815" s="11"/>
      <c r="Q4815" s="11"/>
      <c r="R4815" s="11"/>
      <c r="S4815" s="12"/>
      <c r="T4815" s="8"/>
      <c r="U4815" s="8"/>
      <c r="V4815" s="13"/>
      <c r="W4815" s="13"/>
      <c r="X4815" s="12"/>
      <c r="Y4815" s="14"/>
      <c r="Z4815" s="14"/>
    </row>
    <row r="4816">
      <c r="A4816" s="8"/>
      <c r="B4816" s="8"/>
      <c r="C4816" s="8"/>
      <c r="D4816" s="8"/>
      <c r="E4816" s="8"/>
      <c r="F4816" s="8"/>
      <c r="G4816" s="8"/>
      <c r="H4816" s="8"/>
      <c r="I4816" s="8"/>
      <c r="J4816" s="8"/>
      <c r="K4816" s="10"/>
      <c r="L4816" s="8"/>
      <c r="M4816" s="8"/>
      <c r="N4816" s="11"/>
      <c r="O4816" s="11"/>
      <c r="P4816" s="11"/>
      <c r="Q4816" s="11"/>
      <c r="R4816" s="11"/>
      <c r="S4816" s="12"/>
      <c r="T4816" s="8"/>
      <c r="U4816" s="8"/>
      <c r="V4816" s="13"/>
      <c r="W4816" s="13"/>
      <c r="X4816" s="12"/>
      <c r="Y4816" s="14"/>
      <c r="Z4816" s="14"/>
    </row>
    <row r="4817">
      <c r="A4817" s="8"/>
      <c r="B4817" s="8"/>
      <c r="C4817" s="8"/>
      <c r="D4817" s="8"/>
      <c r="E4817" s="8"/>
      <c r="F4817" s="8"/>
      <c r="G4817" s="8"/>
      <c r="H4817" s="8"/>
      <c r="I4817" s="8"/>
      <c r="J4817" s="8"/>
      <c r="K4817" s="10"/>
      <c r="L4817" s="8"/>
      <c r="M4817" s="8"/>
      <c r="N4817" s="11"/>
      <c r="O4817" s="11"/>
      <c r="P4817" s="11"/>
      <c r="Q4817" s="11"/>
      <c r="R4817" s="11"/>
      <c r="S4817" s="12"/>
      <c r="T4817" s="8"/>
      <c r="U4817" s="8"/>
      <c r="V4817" s="13"/>
      <c r="W4817" s="13"/>
      <c r="X4817" s="12"/>
      <c r="Y4817" s="14"/>
      <c r="Z4817" s="14"/>
    </row>
    <row r="4818">
      <c r="A4818" s="8"/>
      <c r="B4818" s="8"/>
      <c r="C4818" s="8"/>
      <c r="D4818" s="8"/>
      <c r="E4818" s="8"/>
      <c r="F4818" s="8"/>
      <c r="G4818" s="8"/>
      <c r="H4818" s="8"/>
      <c r="I4818" s="8"/>
      <c r="J4818" s="8"/>
      <c r="K4818" s="10"/>
      <c r="L4818" s="8"/>
      <c r="M4818" s="8"/>
      <c r="N4818" s="11"/>
      <c r="O4818" s="11"/>
      <c r="P4818" s="11"/>
      <c r="Q4818" s="11"/>
      <c r="R4818" s="11"/>
      <c r="S4818" s="12"/>
      <c r="T4818" s="8"/>
      <c r="U4818" s="8"/>
      <c r="V4818" s="13"/>
      <c r="W4818" s="13"/>
      <c r="X4818" s="12"/>
      <c r="Y4818" s="14"/>
      <c r="Z4818" s="14"/>
    </row>
    <row r="4819">
      <c r="A4819" s="8"/>
      <c r="B4819" s="8"/>
      <c r="C4819" s="8"/>
      <c r="D4819" s="8"/>
      <c r="E4819" s="8"/>
      <c r="F4819" s="8"/>
      <c r="G4819" s="8"/>
      <c r="H4819" s="8"/>
      <c r="I4819" s="8"/>
      <c r="J4819" s="8"/>
      <c r="K4819" s="10"/>
      <c r="L4819" s="8"/>
      <c r="M4819" s="8"/>
      <c r="N4819" s="11"/>
      <c r="O4819" s="11"/>
      <c r="P4819" s="11"/>
      <c r="Q4819" s="11"/>
      <c r="R4819" s="11"/>
      <c r="S4819" s="12"/>
      <c r="T4819" s="8"/>
      <c r="U4819" s="8"/>
      <c r="V4819" s="13"/>
      <c r="W4819" s="13"/>
      <c r="X4819" s="12"/>
      <c r="Y4819" s="14"/>
      <c r="Z4819" s="14"/>
    </row>
    <row r="4820">
      <c r="A4820" s="8"/>
      <c r="B4820" s="8"/>
      <c r="C4820" s="8"/>
      <c r="D4820" s="8"/>
      <c r="E4820" s="8"/>
      <c r="F4820" s="8"/>
      <c r="G4820" s="8"/>
      <c r="H4820" s="8"/>
      <c r="I4820" s="8"/>
      <c r="J4820" s="8"/>
      <c r="K4820" s="10"/>
      <c r="L4820" s="8"/>
      <c r="M4820" s="8"/>
      <c r="N4820" s="11"/>
      <c r="O4820" s="11"/>
      <c r="P4820" s="11"/>
      <c r="Q4820" s="11"/>
      <c r="R4820" s="11"/>
      <c r="S4820" s="12"/>
      <c r="T4820" s="8"/>
      <c r="U4820" s="8"/>
      <c r="V4820" s="13"/>
      <c r="W4820" s="13"/>
      <c r="X4820" s="12"/>
      <c r="Y4820" s="14"/>
      <c r="Z4820" s="14"/>
    </row>
    <row r="4821">
      <c r="A4821" s="8"/>
      <c r="B4821" s="8"/>
      <c r="C4821" s="8"/>
      <c r="D4821" s="8"/>
      <c r="E4821" s="8"/>
      <c r="F4821" s="8"/>
      <c r="G4821" s="8"/>
      <c r="H4821" s="8"/>
      <c r="I4821" s="8"/>
      <c r="J4821" s="8"/>
      <c r="K4821" s="10"/>
      <c r="L4821" s="8"/>
      <c r="M4821" s="8"/>
      <c r="N4821" s="11"/>
      <c r="O4821" s="11"/>
      <c r="P4821" s="11"/>
      <c r="Q4821" s="11"/>
      <c r="R4821" s="11"/>
      <c r="S4821" s="12"/>
      <c r="T4821" s="8"/>
      <c r="U4821" s="8"/>
      <c r="V4821" s="13"/>
      <c r="W4821" s="13"/>
      <c r="X4821" s="12"/>
      <c r="Y4821" s="14"/>
      <c r="Z4821" s="14"/>
    </row>
    <row r="4822">
      <c r="A4822" s="8"/>
      <c r="B4822" s="8"/>
      <c r="C4822" s="8"/>
      <c r="D4822" s="8"/>
      <c r="E4822" s="8"/>
      <c r="F4822" s="8"/>
      <c r="G4822" s="8"/>
      <c r="H4822" s="8"/>
      <c r="I4822" s="8"/>
      <c r="J4822" s="8"/>
      <c r="K4822" s="10"/>
      <c r="L4822" s="8"/>
      <c r="M4822" s="8"/>
      <c r="N4822" s="11"/>
      <c r="O4822" s="11"/>
      <c r="P4822" s="11"/>
      <c r="Q4822" s="11"/>
      <c r="R4822" s="11"/>
      <c r="S4822" s="12"/>
      <c r="T4822" s="8"/>
      <c r="U4822" s="8"/>
      <c r="V4822" s="13"/>
      <c r="W4822" s="13"/>
      <c r="X4822" s="12"/>
      <c r="Y4822" s="14"/>
      <c r="Z4822" s="14"/>
    </row>
    <row r="4823">
      <c r="A4823" s="8"/>
      <c r="B4823" s="8"/>
      <c r="C4823" s="8"/>
      <c r="D4823" s="8"/>
      <c r="E4823" s="8"/>
      <c r="F4823" s="8"/>
      <c r="G4823" s="8"/>
      <c r="H4823" s="8"/>
      <c r="I4823" s="8"/>
      <c r="J4823" s="8"/>
      <c r="K4823" s="10"/>
      <c r="L4823" s="8"/>
      <c r="M4823" s="8"/>
      <c r="N4823" s="11"/>
      <c r="O4823" s="11"/>
      <c r="P4823" s="11"/>
      <c r="Q4823" s="11"/>
      <c r="R4823" s="11"/>
      <c r="S4823" s="12"/>
      <c r="T4823" s="8"/>
      <c r="U4823" s="8"/>
      <c r="V4823" s="13"/>
      <c r="W4823" s="13"/>
      <c r="X4823" s="12"/>
      <c r="Y4823" s="14"/>
      <c r="Z4823" s="14"/>
    </row>
    <row r="4824">
      <c r="A4824" s="8"/>
      <c r="B4824" s="8"/>
      <c r="C4824" s="8"/>
      <c r="D4824" s="8"/>
      <c r="E4824" s="8"/>
      <c r="F4824" s="8"/>
      <c r="G4824" s="8"/>
      <c r="H4824" s="8"/>
      <c r="I4824" s="8"/>
      <c r="J4824" s="8"/>
      <c r="K4824" s="10"/>
      <c r="L4824" s="8"/>
      <c r="M4824" s="8"/>
      <c r="N4824" s="11"/>
      <c r="O4824" s="11"/>
      <c r="P4824" s="11"/>
      <c r="Q4824" s="11"/>
      <c r="R4824" s="11"/>
      <c r="S4824" s="12"/>
      <c r="T4824" s="8"/>
      <c r="U4824" s="8"/>
      <c r="V4824" s="13"/>
      <c r="W4824" s="13"/>
      <c r="X4824" s="12"/>
      <c r="Y4824" s="14"/>
      <c r="Z4824" s="14"/>
    </row>
    <row r="4825">
      <c r="A4825" s="8"/>
      <c r="B4825" s="8"/>
      <c r="C4825" s="8"/>
      <c r="D4825" s="8"/>
      <c r="E4825" s="8"/>
      <c r="F4825" s="8"/>
      <c r="G4825" s="8"/>
      <c r="H4825" s="8"/>
      <c r="I4825" s="8"/>
      <c r="J4825" s="8"/>
      <c r="K4825" s="10"/>
      <c r="L4825" s="8"/>
      <c r="M4825" s="8"/>
      <c r="N4825" s="11"/>
      <c r="O4825" s="11"/>
      <c r="P4825" s="11"/>
      <c r="Q4825" s="11"/>
      <c r="R4825" s="11"/>
      <c r="S4825" s="12"/>
      <c r="T4825" s="8"/>
      <c r="U4825" s="8"/>
      <c r="V4825" s="13"/>
      <c r="W4825" s="13"/>
      <c r="X4825" s="12"/>
      <c r="Y4825" s="14"/>
      <c r="Z4825" s="14"/>
    </row>
    <row r="4826">
      <c r="A4826" s="8"/>
      <c r="B4826" s="8"/>
      <c r="C4826" s="8"/>
      <c r="D4826" s="8"/>
      <c r="E4826" s="8"/>
      <c r="F4826" s="8"/>
      <c r="G4826" s="8"/>
      <c r="H4826" s="8"/>
      <c r="I4826" s="8"/>
      <c r="J4826" s="8"/>
      <c r="K4826" s="10"/>
      <c r="L4826" s="8"/>
      <c r="M4826" s="8"/>
      <c r="N4826" s="11"/>
      <c r="O4826" s="11"/>
      <c r="P4826" s="11"/>
      <c r="Q4826" s="11"/>
      <c r="R4826" s="11"/>
      <c r="S4826" s="12"/>
      <c r="T4826" s="8"/>
      <c r="U4826" s="8"/>
      <c r="V4826" s="13"/>
      <c r="W4826" s="13"/>
      <c r="X4826" s="12"/>
      <c r="Y4826" s="14"/>
      <c r="Z4826" s="14"/>
    </row>
    <row r="4827">
      <c r="A4827" s="8"/>
      <c r="B4827" s="8"/>
      <c r="C4827" s="8"/>
      <c r="D4827" s="8"/>
      <c r="E4827" s="8"/>
      <c r="F4827" s="8"/>
      <c r="G4827" s="8"/>
      <c r="H4827" s="8"/>
      <c r="I4827" s="8"/>
      <c r="J4827" s="8"/>
      <c r="K4827" s="10"/>
      <c r="L4827" s="8"/>
      <c r="M4827" s="8"/>
      <c r="N4827" s="11"/>
      <c r="O4827" s="11"/>
      <c r="P4827" s="11"/>
      <c r="Q4827" s="11"/>
      <c r="R4827" s="11"/>
      <c r="S4827" s="12"/>
      <c r="T4827" s="8"/>
      <c r="U4827" s="8"/>
      <c r="V4827" s="13"/>
      <c r="W4827" s="13"/>
      <c r="X4827" s="12"/>
      <c r="Y4827" s="14"/>
      <c r="Z4827" s="14"/>
    </row>
    <row r="4828">
      <c r="A4828" s="8"/>
      <c r="B4828" s="8"/>
      <c r="C4828" s="8"/>
      <c r="D4828" s="8"/>
      <c r="E4828" s="8"/>
      <c r="F4828" s="8"/>
      <c r="G4828" s="8"/>
      <c r="H4828" s="8"/>
      <c r="I4828" s="8"/>
      <c r="J4828" s="8"/>
      <c r="K4828" s="10"/>
      <c r="L4828" s="8"/>
      <c r="M4828" s="8"/>
      <c r="N4828" s="11"/>
      <c r="O4828" s="11"/>
      <c r="P4828" s="11"/>
      <c r="Q4828" s="11"/>
      <c r="R4828" s="11"/>
      <c r="S4828" s="12"/>
      <c r="T4828" s="8"/>
      <c r="U4828" s="8"/>
      <c r="V4828" s="13"/>
      <c r="W4828" s="13"/>
      <c r="X4828" s="12"/>
      <c r="Y4828" s="14"/>
      <c r="Z4828" s="14"/>
    </row>
    <row r="4829">
      <c r="A4829" s="8"/>
      <c r="B4829" s="8"/>
      <c r="C4829" s="8"/>
      <c r="D4829" s="8"/>
      <c r="E4829" s="8"/>
      <c r="F4829" s="8"/>
      <c r="G4829" s="8"/>
      <c r="H4829" s="8"/>
      <c r="I4829" s="8"/>
      <c r="J4829" s="8"/>
      <c r="K4829" s="10"/>
      <c r="L4829" s="8"/>
      <c r="M4829" s="8"/>
      <c r="N4829" s="11"/>
      <c r="O4829" s="11"/>
      <c r="P4829" s="11"/>
      <c r="Q4829" s="11"/>
      <c r="R4829" s="11"/>
      <c r="S4829" s="12"/>
      <c r="T4829" s="8"/>
      <c r="U4829" s="8"/>
      <c r="V4829" s="13"/>
      <c r="W4829" s="13"/>
      <c r="X4829" s="12"/>
      <c r="Y4829" s="14"/>
      <c r="Z4829" s="14"/>
    </row>
    <row r="4830">
      <c r="A4830" s="8"/>
      <c r="B4830" s="8"/>
      <c r="C4830" s="8"/>
      <c r="D4830" s="8"/>
      <c r="E4830" s="8"/>
      <c r="F4830" s="8"/>
      <c r="G4830" s="8"/>
      <c r="H4830" s="8"/>
      <c r="I4830" s="8"/>
      <c r="J4830" s="8"/>
      <c r="K4830" s="10"/>
      <c r="L4830" s="8"/>
      <c r="M4830" s="8"/>
      <c r="N4830" s="11"/>
      <c r="O4830" s="11"/>
      <c r="P4830" s="11"/>
      <c r="Q4830" s="11"/>
      <c r="R4830" s="11"/>
      <c r="S4830" s="12"/>
      <c r="T4830" s="8"/>
      <c r="U4830" s="8"/>
      <c r="V4830" s="13"/>
      <c r="W4830" s="13"/>
      <c r="X4830" s="12"/>
      <c r="Y4830" s="14"/>
      <c r="Z4830" s="14"/>
    </row>
    <row r="4831">
      <c r="A4831" s="8"/>
      <c r="B4831" s="8"/>
      <c r="C4831" s="8"/>
      <c r="D4831" s="8"/>
      <c r="E4831" s="8"/>
      <c r="F4831" s="8"/>
      <c r="G4831" s="8"/>
      <c r="H4831" s="8"/>
      <c r="I4831" s="8"/>
      <c r="J4831" s="8"/>
      <c r="K4831" s="10"/>
      <c r="L4831" s="8"/>
      <c r="M4831" s="8"/>
      <c r="N4831" s="11"/>
      <c r="O4831" s="11"/>
      <c r="P4831" s="11"/>
      <c r="Q4831" s="11"/>
      <c r="R4831" s="11"/>
      <c r="S4831" s="12"/>
      <c r="T4831" s="8"/>
      <c r="U4831" s="8"/>
      <c r="V4831" s="13"/>
      <c r="W4831" s="13"/>
      <c r="X4831" s="12"/>
      <c r="Y4831" s="14"/>
      <c r="Z4831" s="14"/>
    </row>
    <row r="4832">
      <c r="A4832" s="8"/>
      <c r="B4832" s="8"/>
      <c r="C4832" s="8"/>
      <c r="D4832" s="8"/>
      <c r="E4832" s="8"/>
      <c r="F4832" s="8"/>
      <c r="G4832" s="8"/>
      <c r="H4832" s="8"/>
      <c r="I4832" s="8"/>
      <c r="J4832" s="8"/>
      <c r="K4832" s="10"/>
      <c r="L4832" s="8"/>
      <c r="M4832" s="8"/>
      <c r="N4832" s="11"/>
      <c r="O4832" s="11"/>
      <c r="P4832" s="11"/>
      <c r="Q4832" s="11"/>
      <c r="R4832" s="11"/>
      <c r="S4832" s="12"/>
      <c r="T4832" s="8"/>
      <c r="U4832" s="8"/>
      <c r="V4832" s="13"/>
      <c r="W4832" s="13"/>
      <c r="X4832" s="12"/>
      <c r="Y4832" s="14"/>
      <c r="Z4832" s="14"/>
    </row>
    <row r="4833">
      <c r="A4833" s="8"/>
      <c r="B4833" s="8"/>
      <c r="C4833" s="8"/>
      <c r="D4833" s="8"/>
      <c r="E4833" s="8"/>
      <c r="F4833" s="8"/>
      <c r="G4833" s="8"/>
      <c r="H4833" s="8"/>
      <c r="I4833" s="8"/>
      <c r="J4833" s="8"/>
      <c r="K4833" s="10"/>
      <c r="L4833" s="8"/>
      <c r="M4833" s="8"/>
      <c r="N4833" s="11"/>
      <c r="O4833" s="11"/>
      <c r="P4833" s="11"/>
      <c r="Q4833" s="11"/>
      <c r="R4833" s="11"/>
      <c r="S4833" s="12"/>
      <c r="T4833" s="8"/>
      <c r="U4833" s="8"/>
      <c r="V4833" s="13"/>
      <c r="W4833" s="13"/>
      <c r="X4833" s="12"/>
      <c r="Y4833" s="14"/>
      <c r="Z4833" s="14"/>
    </row>
    <row r="4834">
      <c r="A4834" s="8"/>
      <c r="B4834" s="8"/>
      <c r="C4834" s="8"/>
      <c r="D4834" s="8"/>
      <c r="E4834" s="8"/>
      <c r="F4834" s="8"/>
      <c r="G4834" s="8"/>
      <c r="H4834" s="8"/>
      <c r="I4834" s="8"/>
      <c r="J4834" s="8"/>
      <c r="K4834" s="10"/>
      <c r="L4834" s="8"/>
      <c r="M4834" s="8"/>
      <c r="N4834" s="11"/>
      <c r="O4834" s="11"/>
      <c r="P4834" s="11"/>
      <c r="Q4834" s="11"/>
      <c r="R4834" s="11"/>
      <c r="S4834" s="12"/>
      <c r="T4834" s="8"/>
      <c r="U4834" s="8"/>
      <c r="V4834" s="13"/>
      <c r="W4834" s="13"/>
      <c r="X4834" s="12"/>
      <c r="Y4834" s="14"/>
      <c r="Z4834" s="14"/>
    </row>
    <row r="4835">
      <c r="A4835" s="8"/>
      <c r="B4835" s="8"/>
      <c r="C4835" s="8"/>
      <c r="D4835" s="8"/>
      <c r="E4835" s="8"/>
      <c r="F4835" s="8"/>
      <c r="G4835" s="8"/>
      <c r="H4835" s="8"/>
      <c r="I4835" s="8"/>
      <c r="J4835" s="8"/>
      <c r="K4835" s="10"/>
      <c r="L4835" s="8"/>
      <c r="M4835" s="8"/>
      <c r="N4835" s="11"/>
      <c r="O4835" s="11"/>
      <c r="P4835" s="11"/>
      <c r="Q4835" s="11"/>
      <c r="R4835" s="11"/>
      <c r="S4835" s="12"/>
      <c r="T4835" s="8"/>
      <c r="U4835" s="8"/>
      <c r="V4835" s="13"/>
      <c r="W4835" s="13"/>
      <c r="X4835" s="12"/>
      <c r="Y4835" s="14"/>
      <c r="Z4835" s="14"/>
    </row>
    <row r="4836">
      <c r="A4836" s="8"/>
      <c r="B4836" s="8"/>
      <c r="C4836" s="8"/>
      <c r="D4836" s="8"/>
      <c r="E4836" s="8"/>
      <c r="F4836" s="8"/>
      <c r="G4836" s="8"/>
      <c r="H4836" s="8"/>
      <c r="I4836" s="8"/>
      <c r="J4836" s="8"/>
      <c r="K4836" s="10"/>
      <c r="L4836" s="8"/>
      <c r="M4836" s="8"/>
      <c r="N4836" s="11"/>
      <c r="O4836" s="11"/>
      <c r="P4836" s="11"/>
      <c r="Q4836" s="11"/>
      <c r="R4836" s="11"/>
      <c r="S4836" s="12"/>
      <c r="T4836" s="8"/>
      <c r="U4836" s="8"/>
      <c r="V4836" s="13"/>
      <c r="W4836" s="13"/>
      <c r="X4836" s="12"/>
      <c r="Y4836" s="14"/>
      <c r="Z4836" s="14"/>
    </row>
    <row r="4837">
      <c r="A4837" s="8"/>
      <c r="B4837" s="8"/>
      <c r="C4837" s="8"/>
      <c r="D4837" s="8"/>
      <c r="E4837" s="8"/>
      <c r="F4837" s="8"/>
      <c r="G4837" s="8"/>
      <c r="H4837" s="8"/>
      <c r="I4837" s="8"/>
      <c r="J4837" s="8"/>
      <c r="K4837" s="10"/>
      <c r="L4837" s="8"/>
      <c r="M4837" s="8"/>
      <c r="N4837" s="11"/>
      <c r="O4837" s="11"/>
      <c r="P4837" s="11"/>
      <c r="Q4837" s="11"/>
      <c r="R4837" s="11"/>
      <c r="S4837" s="12"/>
      <c r="T4837" s="8"/>
      <c r="U4837" s="8"/>
      <c r="V4837" s="13"/>
      <c r="W4837" s="13"/>
      <c r="X4837" s="12"/>
      <c r="Y4837" s="14"/>
      <c r="Z4837" s="14"/>
    </row>
    <row r="4838">
      <c r="A4838" s="8"/>
      <c r="B4838" s="8"/>
      <c r="C4838" s="8"/>
      <c r="D4838" s="8"/>
      <c r="E4838" s="8"/>
      <c r="F4838" s="8"/>
      <c r="G4838" s="8"/>
      <c r="H4838" s="8"/>
      <c r="I4838" s="8"/>
      <c r="J4838" s="8"/>
      <c r="K4838" s="10"/>
      <c r="L4838" s="8"/>
      <c r="M4838" s="8"/>
      <c r="N4838" s="11"/>
      <c r="O4838" s="11"/>
      <c r="P4838" s="11"/>
      <c r="Q4838" s="11"/>
      <c r="R4838" s="11"/>
      <c r="S4838" s="12"/>
      <c r="T4838" s="8"/>
      <c r="U4838" s="8"/>
      <c r="V4838" s="13"/>
      <c r="W4838" s="13"/>
      <c r="X4838" s="12"/>
      <c r="Y4838" s="14"/>
      <c r="Z4838" s="14"/>
    </row>
    <row r="4839">
      <c r="A4839" s="8"/>
      <c r="B4839" s="8"/>
      <c r="C4839" s="8"/>
      <c r="D4839" s="8"/>
      <c r="E4839" s="8"/>
      <c r="F4839" s="8"/>
      <c r="G4839" s="8"/>
      <c r="H4839" s="8"/>
      <c r="I4839" s="8"/>
      <c r="J4839" s="8"/>
      <c r="K4839" s="10"/>
      <c r="L4839" s="8"/>
      <c r="M4839" s="8"/>
      <c r="N4839" s="11"/>
      <c r="O4839" s="11"/>
      <c r="P4839" s="11"/>
      <c r="Q4839" s="11"/>
      <c r="R4839" s="11"/>
      <c r="S4839" s="12"/>
      <c r="T4839" s="8"/>
      <c r="U4839" s="8"/>
      <c r="V4839" s="13"/>
      <c r="W4839" s="13"/>
      <c r="X4839" s="12"/>
      <c r="Y4839" s="14"/>
      <c r="Z4839" s="14"/>
    </row>
    <row r="4840">
      <c r="A4840" s="8"/>
      <c r="B4840" s="8"/>
      <c r="C4840" s="8"/>
      <c r="D4840" s="8"/>
      <c r="E4840" s="8"/>
      <c r="F4840" s="8"/>
      <c r="G4840" s="8"/>
      <c r="H4840" s="8"/>
      <c r="I4840" s="8"/>
      <c r="J4840" s="8"/>
      <c r="K4840" s="10"/>
      <c r="L4840" s="8"/>
      <c r="M4840" s="8"/>
      <c r="N4840" s="11"/>
      <c r="O4840" s="11"/>
      <c r="P4840" s="11"/>
      <c r="Q4840" s="11"/>
      <c r="R4840" s="11"/>
      <c r="S4840" s="12"/>
      <c r="T4840" s="8"/>
      <c r="U4840" s="8"/>
      <c r="V4840" s="13"/>
      <c r="W4840" s="13"/>
      <c r="X4840" s="12"/>
      <c r="Y4840" s="14"/>
      <c r="Z4840" s="14"/>
    </row>
    <row r="4841">
      <c r="A4841" s="8"/>
      <c r="B4841" s="8"/>
      <c r="C4841" s="8"/>
      <c r="D4841" s="8"/>
      <c r="E4841" s="8"/>
      <c r="F4841" s="8"/>
      <c r="G4841" s="8"/>
      <c r="H4841" s="8"/>
      <c r="I4841" s="8"/>
      <c r="J4841" s="8"/>
      <c r="K4841" s="10"/>
      <c r="L4841" s="8"/>
      <c r="M4841" s="8"/>
      <c r="N4841" s="11"/>
      <c r="O4841" s="11"/>
      <c r="P4841" s="11"/>
      <c r="Q4841" s="11"/>
      <c r="R4841" s="11"/>
      <c r="S4841" s="12"/>
      <c r="T4841" s="8"/>
      <c r="U4841" s="8"/>
      <c r="V4841" s="13"/>
      <c r="W4841" s="13"/>
      <c r="X4841" s="12"/>
      <c r="Y4841" s="14"/>
      <c r="Z4841" s="14"/>
    </row>
    <row r="4842">
      <c r="A4842" s="8"/>
      <c r="B4842" s="8"/>
      <c r="C4842" s="8"/>
      <c r="D4842" s="8"/>
      <c r="E4842" s="8"/>
      <c r="F4842" s="8"/>
      <c r="G4842" s="8"/>
      <c r="H4842" s="8"/>
      <c r="I4842" s="8"/>
      <c r="J4842" s="8"/>
      <c r="K4842" s="10"/>
      <c r="L4842" s="8"/>
      <c r="M4842" s="8"/>
      <c r="N4842" s="11"/>
      <c r="O4842" s="11"/>
      <c r="P4842" s="11"/>
      <c r="Q4842" s="11"/>
      <c r="R4842" s="11"/>
      <c r="S4842" s="12"/>
      <c r="T4842" s="8"/>
      <c r="U4842" s="8"/>
      <c r="V4842" s="13"/>
      <c r="W4842" s="13"/>
      <c r="X4842" s="12"/>
      <c r="Y4842" s="14"/>
      <c r="Z4842" s="14"/>
    </row>
    <row r="4843">
      <c r="A4843" s="8"/>
      <c r="B4843" s="8"/>
      <c r="C4843" s="8"/>
      <c r="D4843" s="8"/>
      <c r="E4843" s="8"/>
      <c r="F4843" s="8"/>
      <c r="G4843" s="8"/>
      <c r="H4843" s="8"/>
      <c r="I4843" s="8"/>
      <c r="J4843" s="8"/>
      <c r="K4843" s="10"/>
      <c r="L4843" s="8"/>
      <c r="M4843" s="8"/>
      <c r="N4843" s="11"/>
      <c r="O4843" s="11"/>
      <c r="P4843" s="11"/>
      <c r="Q4843" s="11"/>
      <c r="R4843" s="11"/>
      <c r="S4843" s="12"/>
      <c r="T4843" s="8"/>
      <c r="U4843" s="8"/>
      <c r="V4843" s="13"/>
      <c r="W4843" s="13"/>
      <c r="X4843" s="12"/>
      <c r="Y4843" s="14"/>
      <c r="Z4843" s="14"/>
    </row>
    <row r="4844">
      <c r="A4844" s="8"/>
      <c r="B4844" s="8"/>
      <c r="C4844" s="8"/>
      <c r="D4844" s="8"/>
      <c r="E4844" s="8"/>
      <c r="F4844" s="8"/>
      <c r="G4844" s="8"/>
      <c r="H4844" s="8"/>
      <c r="I4844" s="8"/>
      <c r="J4844" s="8"/>
      <c r="K4844" s="10"/>
      <c r="L4844" s="8"/>
      <c r="M4844" s="8"/>
      <c r="N4844" s="11"/>
      <c r="O4844" s="11"/>
      <c r="P4844" s="11"/>
      <c r="Q4844" s="11"/>
      <c r="R4844" s="11"/>
      <c r="S4844" s="12"/>
      <c r="T4844" s="8"/>
      <c r="U4844" s="8"/>
      <c r="V4844" s="13"/>
      <c r="W4844" s="13"/>
      <c r="X4844" s="12"/>
      <c r="Y4844" s="14"/>
      <c r="Z4844" s="14"/>
    </row>
    <row r="4845">
      <c r="A4845" s="8"/>
      <c r="B4845" s="8"/>
      <c r="C4845" s="8"/>
      <c r="D4845" s="8"/>
      <c r="E4845" s="8"/>
      <c r="F4845" s="8"/>
      <c r="G4845" s="8"/>
      <c r="H4845" s="8"/>
      <c r="I4845" s="8"/>
      <c r="J4845" s="8"/>
      <c r="K4845" s="10"/>
      <c r="L4845" s="8"/>
      <c r="M4845" s="8"/>
      <c r="N4845" s="11"/>
      <c r="O4845" s="11"/>
      <c r="P4845" s="11"/>
      <c r="Q4845" s="11"/>
      <c r="R4845" s="11"/>
      <c r="S4845" s="12"/>
      <c r="T4845" s="8"/>
      <c r="U4845" s="8"/>
      <c r="V4845" s="13"/>
      <c r="W4845" s="13"/>
      <c r="X4845" s="12"/>
      <c r="Y4845" s="14"/>
      <c r="Z4845" s="14"/>
    </row>
    <row r="4846">
      <c r="A4846" s="8"/>
      <c r="B4846" s="8"/>
      <c r="C4846" s="8"/>
      <c r="D4846" s="8"/>
      <c r="E4846" s="8"/>
      <c r="F4846" s="8"/>
      <c r="G4846" s="8"/>
      <c r="H4846" s="8"/>
      <c r="I4846" s="8"/>
      <c r="J4846" s="8"/>
      <c r="K4846" s="10"/>
      <c r="L4846" s="8"/>
      <c r="M4846" s="8"/>
      <c r="N4846" s="11"/>
      <c r="O4846" s="11"/>
      <c r="P4846" s="11"/>
      <c r="Q4846" s="11"/>
      <c r="R4846" s="11"/>
      <c r="S4846" s="12"/>
      <c r="T4846" s="8"/>
      <c r="U4846" s="8"/>
      <c r="V4846" s="13"/>
      <c r="W4846" s="13"/>
      <c r="X4846" s="12"/>
      <c r="Y4846" s="14"/>
      <c r="Z4846" s="14"/>
    </row>
    <row r="4847">
      <c r="A4847" s="8"/>
      <c r="B4847" s="8"/>
      <c r="C4847" s="8"/>
      <c r="D4847" s="8"/>
      <c r="E4847" s="8"/>
      <c r="F4847" s="8"/>
      <c r="G4847" s="8"/>
      <c r="H4847" s="8"/>
      <c r="I4847" s="8"/>
      <c r="J4847" s="8"/>
      <c r="K4847" s="10"/>
      <c r="L4847" s="8"/>
      <c r="M4847" s="8"/>
      <c r="N4847" s="11"/>
      <c r="O4847" s="11"/>
      <c r="P4847" s="11"/>
      <c r="Q4847" s="11"/>
      <c r="R4847" s="11"/>
      <c r="S4847" s="12"/>
      <c r="T4847" s="8"/>
      <c r="U4847" s="8"/>
      <c r="V4847" s="13"/>
      <c r="W4847" s="13"/>
      <c r="X4847" s="12"/>
      <c r="Y4847" s="14"/>
      <c r="Z4847" s="14"/>
    </row>
    <row r="4848">
      <c r="A4848" s="8"/>
      <c r="B4848" s="8"/>
      <c r="C4848" s="8"/>
      <c r="D4848" s="8"/>
      <c r="E4848" s="8"/>
      <c r="F4848" s="8"/>
      <c r="G4848" s="8"/>
      <c r="H4848" s="8"/>
      <c r="I4848" s="8"/>
      <c r="J4848" s="8"/>
      <c r="K4848" s="10"/>
      <c r="L4848" s="8"/>
      <c r="M4848" s="8"/>
      <c r="N4848" s="11"/>
      <c r="O4848" s="11"/>
      <c r="P4848" s="11"/>
      <c r="Q4848" s="11"/>
      <c r="R4848" s="11"/>
      <c r="S4848" s="12"/>
      <c r="T4848" s="8"/>
      <c r="U4848" s="8"/>
      <c r="V4848" s="13"/>
      <c r="W4848" s="13"/>
      <c r="X4848" s="12"/>
      <c r="Y4848" s="14"/>
      <c r="Z4848" s="14"/>
    </row>
    <row r="4849">
      <c r="A4849" s="8"/>
      <c r="B4849" s="8"/>
      <c r="C4849" s="8"/>
      <c r="D4849" s="8"/>
      <c r="E4849" s="8"/>
      <c r="F4849" s="8"/>
      <c r="G4849" s="8"/>
      <c r="H4849" s="8"/>
      <c r="I4849" s="8"/>
      <c r="J4849" s="8"/>
      <c r="K4849" s="10"/>
      <c r="L4849" s="8"/>
      <c r="M4849" s="8"/>
      <c r="N4849" s="11"/>
      <c r="O4849" s="11"/>
      <c r="P4849" s="11"/>
      <c r="Q4849" s="11"/>
      <c r="R4849" s="11"/>
      <c r="S4849" s="12"/>
      <c r="T4849" s="8"/>
      <c r="U4849" s="8"/>
      <c r="V4849" s="13"/>
      <c r="W4849" s="13"/>
      <c r="X4849" s="12"/>
      <c r="Y4849" s="14"/>
      <c r="Z4849" s="14"/>
    </row>
    <row r="4850">
      <c r="A4850" s="8"/>
      <c r="B4850" s="8"/>
      <c r="C4850" s="8"/>
      <c r="D4850" s="8"/>
      <c r="E4850" s="8"/>
      <c r="F4850" s="8"/>
      <c r="G4850" s="8"/>
      <c r="H4850" s="8"/>
      <c r="I4850" s="8"/>
      <c r="J4850" s="8"/>
      <c r="K4850" s="10"/>
      <c r="L4850" s="8"/>
      <c r="M4850" s="8"/>
      <c r="N4850" s="11"/>
      <c r="O4850" s="11"/>
      <c r="P4850" s="11"/>
      <c r="Q4850" s="11"/>
      <c r="R4850" s="11"/>
      <c r="S4850" s="12"/>
      <c r="T4850" s="8"/>
      <c r="U4850" s="8"/>
      <c r="V4850" s="13"/>
      <c r="W4850" s="13"/>
      <c r="X4850" s="12"/>
      <c r="Y4850" s="14"/>
      <c r="Z4850" s="14"/>
    </row>
    <row r="4851">
      <c r="A4851" s="8"/>
      <c r="B4851" s="8"/>
      <c r="C4851" s="8"/>
      <c r="D4851" s="8"/>
      <c r="E4851" s="8"/>
      <c r="F4851" s="8"/>
      <c r="G4851" s="8"/>
      <c r="H4851" s="8"/>
      <c r="I4851" s="8"/>
      <c r="J4851" s="8"/>
      <c r="K4851" s="10"/>
      <c r="L4851" s="8"/>
      <c r="M4851" s="8"/>
      <c r="N4851" s="11"/>
      <c r="O4851" s="11"/>
      <c r="P4851" s="11"/>
      <c r="Q4851" s="11"/>
      <c r="R4851" s="11"/>
      <c r="S4851" s="12"/>
      <c r="T4851" s="8"/>
      <c r="U4851" s="8"/>
      <c r="V4851" s="13"/>
      <c r="W4851" s="13"/>
      <c r="X4851" s="12"/>
      <c r="Y4851" s="14"/>
      <c r="Z4851" s="14"/>
    </row>
    <row r="4852">
      <c r="A4852" s="8"/>
      <c r="B4852" s="8"/>
      <c r="C4852" s="8"/>
      <c r="D4852" s="8"/>
      <c r="E4852" s="8"/>
      <c r="F4852" s="8"/>
      <c r="G4852" s="8"/>
      <c r="H4852" s="8"/>
      <c r="I4852" s="8"/>
      <c r="J4852" s="8"/>
      <c r="K4852" s="10"/>
      <c r="L4852" s="8"/>
      <c r="M4852" s="8"/>
      <c r="N4852" s="11"/>
      <c r="O4852" s="11"/>
      <c r="P4852" s="11"/>
      <c r="Q4852" s="11"/>
      <c r="R4852" s="11"/>
      <c r="S4852" s="12"/>
      <c r="T4852" s="8"/>
      <c r="U4852" s="8"/>
      <c r="V4852" s="13"/>
      <c r="W4852" s="13"/>
      <c r="X4852" s="12"/>
      <c r="Y4852" s="14"/>
      <c r="Z4852" s="14"/>
    </row>
    <row r="4853">
      <c r="A4853" s="8"/>
      <c r="B4853" s="8"/>
      <c r="C4853" s="8"/>
      <c r="D4853" s="8"/>
      <c r="E4853" s="8"/>
      <c r="F4853" s="8"/>
      <c r="G4853" s="8"/>
      <c r="H4853" s="8"/>
      <c r="I4853" s="8"/>
      <c r="J4853" s="8"/>
      <c r="K4853" s="10"/>
      <c r="L4853" s="8"/>
      <c r="M4853" s="8"/>
      <c r="N4853" s="11"/>
      <c r="O4853" s="11"/>
      <c r="P4853" s="11"/>
      <c r="Q4853" s="11"/>
      <c r="R4853" s="11"/>
      <c r="S4853" s="12"/>
      <c r="T4853" s="8"/>
      <c r="U4853" s="8"/>
      <c r="V4853" s="13"/>
      <c r="W4853" s="13"/>
      <c r="X4853" s="12"/>
      <c r="Y4853" s="14"/>
      <c r="Z4853" s="14"/>
    </row>
    <row r="4854">
      <c r="A4854" s="8"/>
      <c r="B4854" s="8"/>
      <c r="C4854" s="8"/>
      <c r="D4854" s="8"/>
      <c r="E4854" s="8"/>
      <c r="F4854" s="8"/>
      <c r="G4854" s="8"/>
      <c r="H4854" s="8"/>
      <c r="I4854" s="8"/>
      <c r="J4854" s="8"/>
      <c r="K4854" s="10"/>
      <c r="L4854" s="8"/>
      <c r="M4854" s="8"/>
      <c r="N4854" s="11"/>
      <c r="O4854" s="11"/>
      <c r="P4854" s="11"/>
      <c r="Q4854" s="11"/>
      <c r="R4854" s="11"/>
      <c r="S4854" s="12"/>
      <c r="T4854" s="8"/>
      <c r="U4854" s="8"/>
      <c r="V4854" s="13"/>
      <c r="W4854" s="13"/>
      <c r="X4854" s="12"/>
      <c r="Y4854" s="14"/>
      <c r="Z4854" s="14"/>
    </row>
    <row r="4855">
      <c r="A4855" s="8"/>
      <c r="B4855" s="8"/>
      <c r="C4855" s="8"/>
      <c r="D4855" s="8"/>
      <c r="E4855" s="8"/>
      <c r="F4855" s="8"/>
      <c r="G4855" s="8"/>
      <c r="H4855" s="8"/>
      <c r="I4855" s="8"/>
      <c r="J4855" s="8"/>
      <c r="K4855" s="10"/>
      <c r="L4855" s="8"/>
      <c r="M4855" s="8"/>
      <c r="N4855" s="11"/>
      <c r="O4855" s="11"/>
      <c r="P4855" s="11"/>
      <c r="Q4855" s="11"/>
      <c r="R4855" s="11"/>
      <c r="S4855" s="12"/>
      <c r="T4855" s="8"/>
      <c r="U4855" s="8"/>
      <c r="V4855" s="13"/>
      <c r="W4855" s="13"/>
      <c r="X4855" s="12"/>
      <c r="Y4855" s="14"/>
      <c r="Z4855" s="14"/>
    </row>
    <row r="4856">
      <c r="A4856" s="8"/>
      <c r="B4856" s="8"/>
      <c r="C4856" s="8"/>
      <c r="D4856" s="8"/>
      <c r="E4856" s="8"/>
      <c r="F4856" s="8"/>
      <c r="G4856" s="8"/>
      <c r="H4856" s="8"/>
      <c r="I4856" s="8"/>
      <c r="J4856" s="8"/>
      <c r="K4856" s="10"/>
      <c r="L4856" s="8"/>
      <c r="M4856" s="8"/>
      <c r="N4856" s="11"/>
      <c r="O4856" s="11"/>
      <c r="P4856" s="11"/>
      <c r="Q4856" s="11"/>
      <c r="R4856" s="11"/>
      <c r="S4856" s="12"/>
      <c r="T4856" s="8"/>
      <c r="U4856" s="8"/>
      <c r="V4856" s="13"/>
      <c r="W4856" s="13"/>
      <c r="X4856" s="12"/>
      <c r="Y4856" s="14"/>
      <c r="Z4856" s="14"/>
    </row>
    <row r="4857">
      <c r="A4857" s="8"/>
      <c r="B4857" s="8"/>
      <c r="C4857" s="8"/>
      <c r="D4857" s="8"/>
      <c r="E4857" s="8"/>
      <c r="F4857" s="8"/>
      <c r="G4857" s="8"/>
      <c r="H4857" s="8"/>
      <c r="I4857" s="8"/>
      <c r="J4857" s="8"/>
      <c r="K4857" s="10"/>
      <c r="L4857" s="8"/>
      <c r="M4857" s="8"/>
      <c r="N4857" s="11"/>
      <c r="O4857" s="11"/>
      <c r="P4857" s="11"/>
      <c r="Q4857" s="11"/>
      <c r="R4857" s="11"/>
      <c r="S4857" s="12"/>
      <c r="T4857" s="8"/>
      <c r="U4857" s="8"/>
      <c r="V4857" s="13"/>
      <c r="W4857" s="13"/>
      <c r="X4857" s="12"/>
      <c r="Y4857" s="14"/>
      <c r="Z4857" s="14"/>
    </row>
    <row r="4858">
      <c r="A4858" s="8"/>
      <c r="B4858" s="8"/>
      <c r="C4858" s="8"/>
      <c r="D4858" s="8"/>
      <c r="E4858" s="8"/>
      <c r="F4858" s="8"/>
      <c r="G4858" s="8"/>
      <c r="H4858" s="8"/>
      <c r="I4858" s="8"/>
      <c r="J4858" s="8"/>
      <c r="K4858" s="10"/>
      <c r="L4858" s="8"/>
      <c r="M4858" s="8"/>
      <c r="N4858" s="11"/>
      <c r="O4858" s="11"/>
      <c r="P4858" s="11"/>
      <c r="Q4858" s="11"/>
      <c r="R4858" s="11"/>
      <c r="S4858" s="12"/>
      <c r="T4858" s="8"/>
      <c r="U4858" s="8"/>
      <c r="V4858" s="13"/>
      <c r="W4858" s="13"/>
      <c r="X4858" s="12"/>
      <c r="Y4858" s="14"/>
      <c r="Z4858" s="14"/>
    </row>
    <row r="4859">
      <c r="A4859" s="8"/>
      <c r="B4859" s="8"/>
      <c r="C4859" s="8"/>
      <c r="D4859" s="8"/>
      <c r="E4859" s="8"/>
      <c r="F4859" s="8"/>
      <c r="G4859" s="8"/>
      <c r="H4859" s="8"/>
      <c r="I4859" s="8"/>
      <c r="J4859" s="8"/>
      <c r="K4859" s="10"/>
      <c r="L4859" s="8"/>
      <c r="M4859" s="8"/>
      <c r="N4859" s="11"/>
      <c r="O4859" s="11"/>
      <c r="P4859" s="11"/>
      <c r="Q4859" s="11"/>
      <c r="R4859" s="11"/>
      <c r="S4859" s="12"/>
      <c r="T4859" s="8"/>
      <c r="U4859" s="8"/>
      <c r="V4859" s="13"/>
      <c r="W4859" s="13"/>
      <c r="X4859" s="12"/>
      <c r="Y4859" s="14"/>
      <c r="Z4859" s="14"/>
    </row>
    <row r="4860">
      <c r="A4860" s="8"/>
      <c r="B4860" s="8"/>
      <c r="C4860" s="8"/>
      <c r="D4860" s="8"/>
      <c r="E4860" s="8"/>
      <c r="F4860" s="8"/>
      <c r="G4860" s="8"/>
      <c r="H4860" s="8"/>
      <c r="I4860" s="8"/>
      <c r="J4860" s="8"/>
      <c r="K4860" s="10"/>
      <c r="L4860" s="8"/>
      <c r="M4860" s="8"/>
      <c r="N4860" s="11"/>
      <c r="O4860" s="11"/>
      <c r="P4860" s="11"/>
      <c r="Q4860" s="11"/>
      <c r="R4860" s="11"/>
      <c r="S4860" s="12"/>
      <c r="T4860" s="8"/>
      <c r="U4860" s="8"/>
      <c r="V4860" s="13"/>
      <c r="W4860" s="13"/>
      <c r="X4860" s="12"/>
      <c r="Y4860" s="14"/>
      <c r="Z4860" s="14"/>
    </row>
    <row r="4861">
      <c r="A4861" s="8"/>
      <c r="B4861" s="8"/>
      <c r="C4861" s="8"/>
      <c r="D4861" s="8"/>
      <c r="E4861" s="8"/>
      <c r="F4861" s="8"/>
      <c r="G4861" s="8"/>
      <c r="H4861" s="8"/>
      <c r="I4861" s="8"/>
      <c r="J4861" s="8"/>
      <c r="K4861" s="10"/>
      <c r="L4861" s="8"/>
      <c r="M4861" s="8"/>
      <c r="N4861" s="11"/>
      <c r="O4861" s="11"/>
      <c r="P4861" s="11"/>
      <c r="Q4861" s="11"/>
      <c r="R4861" s="11"/>
      <c r="S4861" s="12"/>
      <c r="T4861" s="8"/>
      <c r="U4861" s="8"/>
      <c r="V4861" s="13"/>
      <c r="W4861" s="13"/>
      <c r="X4861" s="12"/>
      <c r="Y4861" s="14"/>
      <c r="Z4861" s="14"/>
    </row>
    <row r="4862">
      <c r="A4862" s="8"/>
      <c r="B4862" s="8"/>
      <c r="C4862" s="8"/>
      <c r="D4862" s="8"/>
      <c r="E4862" s="8"/>
      <c r="F4862" s="8"/>
      <c r="G4862" s="8"/>
      <c r="H4862" s="8"/>
      <c r="I4862" s="8"/>
      <c r="J4862" s="8"/>
      <c r="K4862" s="10"/>
      <c r="L4862" s="8"/>
      <c r="M4862" s="8"/>
      <c r="N4862" s="11"/>
      <c r="O4862" s="11"/>
      <c r="P4862" s="11"/>
      <c r="Q4862" s="11"/>
      <c r="R4862" s="11"/>
      <c r="S4862" s="12"/>
      <c r="T4862" s="8"/>
      <c r="U4862" s="8"/>
      <c r="V4862" s="13"/>
      <c r="W4862" s="13"/>
      <c r="X4862" s="12"/>
      <c r="Y4862" s="14"/>
      <c r="Z4862" s="14"/>
    </row>
    <row r="4863">
      <c r="A4863" s="8"/>
      <c r="B4863" s="8"/>
      <c r="C4863" s="8"/>
      <c r="D4863" s="8"/>
      <c r="E4863" s="8"/>
      <c r="F4863" s="8"/>
      <c r="G4863" s="8"/>
      <c r="H4863" s="8"/>
      <c r="I4863" s="8"/>
      <c r="J4863" s="8"/>
      <c r="K4863" s="10"/>
      <c r="L4863" s="8"/>
      <c r="M4863" s="8"/>
      <c r="N4863" s="11"/>
      <c r="O4863" s="11"/>
      <c r="P4863" s="11"/>
      <c r="Q4863" s="11"/>
      <c r="R4863" s="11"/>
      <c r="S4863" s="12"/>
      <c r="T4863" s="8"/>
      <c r="U4863" s="8"/>
      <c r="V4863" s="13"/>
      <c r="W4863" s="13"/>
      <c r="X4863" s="12"/>
      <c r="Y4863" s="14"/>
      <c r="Z4863" s="14"/>
    </row>
    <row r="4864">
      <c r="A4864" s="8"/>
      <c r="B4864" s="8"/>
      <c r="C4864" s="8"/>
      <c r="D4864" s="8"/>
      <c r="E4864" s="8"/>
      <c r="F4864" s="8"/>
      <c r="G4864" s="8"/>
      <c r="H4864" s="8"/>
      <c r="I4864" s="8"/>
      <c r="J4864" s="8"/>
      <c r="K4864" s="10"/>
      <c r="L4864" s="8"/>
      <c r="M4864" s="8"/>
      <c r="N4864" s="11"/>
      <c r="O4864" s="11"/>
      <c r="P4864" s="11"/>
      <c r="Q4864" s="11"/>
      <c r="R4864" s="11"/>
      <c r="S4864" s="12"/>
      <c r="T4864" s="8"/>
      <c r="U4864" s="8"/>
      <c r="V4864" s="13"/>
      <c r="W4864" s="13"/>
      <c r="X4864" s="12"/>
      <c r="Y4864" s="14"/>
      <c r="Z4864" s="14"/>
    </row>
    <row r="4865">
      <c r="A4865" s="8"/>
      <c r="B4865" s="8"/>
      <c r="C4865" s="8"/>
      <c r="D4865" s="8"/>
      <c r="E4865" s="8"/>
      <c r="F4865" s="8"/>
      <c r="G4865" s="8"/>
      <c r="H4865" s="8"/>
      <c r="I4865" s="8"/>
      <c r="J4865" s="8"/>
      <c r="K4865" s="10"/>
      <c r="L4865" s="8"/>
      <c r="M4865" s="8"/>
      <c r="N4865" s="11"/>
      <c r="O4865" s="11"/>
      <c r="P4865" s="11"/>
      <c r="Q4865" s="11"/>
      <c r="R4865" s="11"/>
      <c r="S4865" s="12"/>
      <c r="T4865" s="8"/>
      <c r="U4865" s="8"/>
      <c r="V4865" s="13"/>
      <c r="W4865" s="13"/>
      <c r="X4865" s="12"/>
      <c r="Y4865" s="14"/>
      <c r="Z4865" s="14"/>
    </row>
    <row r="4866">
      <c r="A4866" s="8"/>
      <c r="B4866" s="8"/>
      <c r="C4866" s="8"/>
      <c r="D4866" s="8"/>
      <c r="E4866" s="8"/>
      <c r="F4866" s="8"/>
      <c r="G4866" s="8"/>
      <c r="H4866" s="8"/>
      <c r="I4866" s="8"/>
      <c r="J4866" s="8"/>
      <c r="K4866" s="10"/>
      <c r="L4866" s="8"/>
      <c r="M4866" s="8"/>
      <c r="N4866" s="11"/>
      <c r="O4866" s="11"/>
      <c r="P4866" s="11"/>
      <c r="Q4866" s="11"/>
      <c r="R4866" s="11"/>
      <c r="S4866" s="12"/>
      <c r="T4866" s="8"/>
      <c r="U4866" s="8"/>
      <c r="V4866" s="13"/>
      <c r="W4866" s="13"/>
      <c r="X4866" s="12"/>
      <c r="Y4866" s="14"/>
      <c r="Z4866" s="14"/>
    </row>
    <row r="4867">
      <c r="A4867" s="8"/>
      <c r="B4867" s="8"/>
      <c r="C4867" s="8"/>
      <c r="D4867" s="8"/>
      <c r="E4867" s="8"/>
      <c r="F4867" s="8"/>
      <c r="G4867" s="8"/>
      <c r="H4867" s="8"/>
      <c r="I4867" s="8"/>
      <c r="J4867" s="8"/>
      <c r="K4867" s="10"/>
      <c r="L4867" s="8"/>
      <c r="M4867" s="8"/>
      <c r="N4867" s="11"/>
      <c r="O4867" s="11"/>
      <c r="P4867" s="11"/>
      <c r="Q4867" s="11"/>
      <c r="R4867" s="11"/>
      <c r="S4867" s="12"/>
      <c r="T4867" s="8"/>
      <c r="U4867" s="8"/>
      <c r="V4867" s="13"/>
      <c r="W4867" s="13"/>
      <c r="X4867" s="12"/>
      <c r="Y4867" s="14"/>
      <c r="Z4867" s="14"/>
    </row>
    <row r="4868">
      <c r="A4868" s="8"/>
      <c r="B4868" s="8"/>
      <c r="C4868" s="8"/>
      <c r="D4868" s="8"/>
      <c r="E4868" s="8"/>
      <c r="F4868" s="8"/>
      <c r="G4868" s="8"/>
      <c r="H4868" s="8"/>
      <c r="I4868" s="8"/>
      <c r="J4868" s="8"/>
      <c r="K4868" s="10"/>
      <c r="L4868" s="8"/>
      <c r="M4868" s="8"/>
      <c r="N4868" s="11"/>
      <c r="O4868" s="11"/>
      <c r="P4868" s="11"/>
      <c r="Q4868" s="11"/>
      <c r="R4868" s="11"/>
      <c r="S4868" s="12"/>
      <c r="T4868" s="8"/>
      <c r="U4868" s="8"/>
      <c r="V4868" s="13"/>
      <c r="W4868" s="13"/>
      <c r="X4868" s="12"/>
      <c r="Y4868" s="14"/>
      <c r="Z4868" s="14"/>
    </row>
    <row r="4869">
      <c r="A4869" s="8"/>
      <c r="B4869" s="8"/>
      <c r="C4869" s="8"/>
      <c r="D4869" s="8"/>
      <c r="E4869" s="8"/>
      <c r="F4869" s="8"/>
      <c r="G4869" s="8"/>
      <c r="H4869" s="8"/>
      <c r="I4869" s="8"/>
      <c r="J4869" s="8"/>
      <c r="K4869" s="10"/>
      <c r="L4869" s="8"/>
      <c r="M4869" s="8"/>
      <c r="N4869" s="11"/>
      <c r="O4869" s="11"/>
      <c r="P4869" s="11"/>
      <c r="Q4869" s="11"/>
      <c r="R4869" s="11"/>
      <c r="S4869" s="12"/>
      <c r="T4869" s="8"/>
      <c r="U4869" s="8"/>
      <c r="V4869" s="13"/>
      <c r="W4869" s="13"/>
      <c r="X4869" s="12"/>
      <c r="Y4869" s="14"/>
      <c r="Z4869" s="14"/>
    </row>
    <row r="4870">
      <c r="A4870" s="8"/>
      <c r="B4870" s="8"/>
      <c r="C4870" s="8"/>
      <c r="D4870" s="8"/>
      <c r="E4870" s="8"/>
      <c r="F4870" s="8"/>
      <c r="G4870" s="8"/>
      <c r="H4870" s="8"/>
      <c r="I4870" s="8"/>
      <c r="J4870" s="8"/>
      <c r="K4870" s="10"/>
      <c r="L4870" s="8"/>
      <c r="M4870" s="8"/>
      <c r="N4870" s="11"/>
      <c r="O4870" s="11"/>
      <c r="P4870" s="11"/>
      <c r="Q4870" s="11"/>
      <c r="R4870" s="11"/>
      <c r="S4870" s="12"/>
      <c r="T4870" s="8"/>
      <c r="U4870" s="8"/>
      <c r="V4870" s="13"/>
      <c r="W4870" s="13"/>
      <c r="X4870" s="12"/>
      <c r="Y4870" s="14"/>
      <c r="Z4870" s="14"/>
    </row>
    <row r="4871">
      <c r="A4871" s="8"/>
      <c r="B4871" s="8"/>
      <c r="C4871" s="8"/>
      <c r="D4871" s="8"/>
      <c r="E4871" s="8"/>
      <c r="F4871" s="8"/>
      <c r="G4871" s="8"/>
      <c r="H4871" s="8"/>
      <c r="I4871" s="8"/>
      <c r="J4871" s="8"/>
      <c r="K4871" s="10"/>
      <c r="L4871" s="8"/>
      <c r="M4871" s="8"/>
      <c r="N4871" s="11"/>
      <c r="O4871" s="11"/>
      <c r="P4871" s="11"/>
      <c r="Q4871" s="11"/>
      <c r="R4871" s="11"/>
      <c r="S4871" s="12"/>
      <c r="T4871" s="8"/>
      <c r="U4871" s="8"/>
      <c r="V4871" s="13"/>
      <c r="W4871" s="13"/>
      <c r="X4871" s="12"/>
      <c r="Y4871" s="14"/>
      <c r="Z4871" s="14"/>
    </row>
    <row r="4872">
      <c r="A4872" s="8"/>
      <c r="B4872" s="8"/>
      <c r="C4872" s="8"/>
      <c r="D4872" s="8"/>
      <c r="E4872" s="8"/>
      <c r="F4872" s="8"/>
      <c r="G4872" s="8"/>
      <c r="H4872" s="8"/>
      <c r="I4872" s="8"/>
      <c r="J4872" s="8"/>
      <c r="K4872" s="10"/>
      <c r="L4872" s="8"/>
      <c r="M4872" s="8"/>
      <c r="N4872" s="11"/>
      <c r="O4872" s="11"/>
      <c r="P4872" s="11"/>
      <c r="Q4872" s="11"/>
      <c r="R4872" s="11"/>
      <c r="S4872" s="12"/>
      <c r="T4872" s="8"/>
      <c r="U4872" s="8"/>
      <c r="V4872" s="13"/>
      <c r="W4872" s="13"/>
      <c r="X4872" s="12"/>
      <c r="Y4872" s="14"/>
      <c r="Z4872" s="14"/>
    </row>
    <row r="4873">
      <c r="A4873" s="8"/>
      <c r="B4873" s="8"/>
      <c r="C4873" s="8"/>
      <c r="D4873" s="8"/>
      <c r="E4873" s="8"/>
      <c r="F4873" s="8"/>
      <c r="G4873" s="8"/>
      <c r="H4873" s="8"/>
      <c r="I4873" s="8"/>
      <c r="J4873" s="8"/>
      <c r="K4873" s="10"/>
      <c r="L4873" s="8"/>
      <c r="M4873" s="8"/>
      <c r="N4873" s="11"/>
      <c r="O4873" s="11"/>
      <c r="P4873" s="11"/>
      <c r="Q4873" s="11"/>
      <c r="R4873" s="11"/>
      <c r="S4873" s="12"/>
      <c r="T4873" s="8"/>
      <c r="U4873" s="8"/>
      <c r="V4873" s="13"/>
      <c r="W4873" s="13"/>
      <c r="X4873" s="12"/>
      <c r="Y4873" s="14"/>
      <c r="Z4873" s="14"/>
    </row>
    <row r="4874">
      <c r="A4874" s="8"/>
      <c r="B4874" s="8"/>
      <c r="C4874" s="8"/>
      <c r="D4874" s="8"/>
      <c r="E4874" s="8"/>
      <c r="F4874" s="8"/>
      <c r="G4874" s="8"/>
      <c r="H4874" s="8"/>
      <c r="I4874" s="8"/>
      <c r="J4874" s="8"/>
      <c r="K4874" s="10"/>
      <c r="L4874" s="8"/>
      <c r="M4874" s="8"/>
      <c r="N4874" s="11"/>
      <c r="O4874" s="11"/>
      <c r="P4874" s="11"/>
      <c r="Q4874" s="11"/>
      <c r="R4874" s="11"/>
      <c r="S4874" s="12"/>
      <c r="T4874" s="8"/>
      <c r="U4874" s="8"/>
      <c r="V4874" s="13"/>
      <c r="W4874" s="13"/>
      <c r="X4874" s="12"/>
      <c r="Y4874" s="14"/>
      <c r="Z4874" s="14"/>
    </row>
    <row r="4875">
      <c r="A4875" s="8"/>
      <c r="B4875" s="8"/>
      <c r="C4875" s="8"/>
      <c r="D4875" s="8"/>
      <c r="E4875" s="8"/>
      <c r="F4875" s="8"/>
      <c r="G4875" s="8"/>
      <c r="H4875" s="8"/>
      <c r="I4875" s="8"/>
      <c r="J4875" s="8"/>
      <c r="K4875" s="10"/>
      <c r="L4875" s="8"/>
      <c r="M4875" s="8"/>
      <c r="N4875" s="11"/>
      <c r="O4875" s="11"/>
      <c r="P4875" s="11"/>
      <c r="Q4875" s="11"/>
      <c r="R4875" s="11"/>
      <c r="S4875" s="12"/>
      <c r="T4875" s="8"/>
      <c r="U4875" s="8"/>
      <c r="V4875" s="13"/>
      <c r="W4875" s="13"/>
      <c r="X4875" s="12"/>
      <c r="Y4875" s="14"/>
      <c r="Z4875" s="14"/>
    </row>
    <row r="4876">
      <c r="A4876" s="8"/>
      <c r="B4876" s="8"/>
      <c r="C4876" s="8"/>
      <c r="D4876" s="8"/>
      <c r="E4876" s="8"/>
      <c r="F4876" s="8"/>
      <c r="G4876" s="8"/>
      <c r="H4876" s="8"/>
      <c r="I4876" s="8"/>
      <c r="J4876" s="8"/>
      <c r="K4876" s="10"/>
      <c r="L4876" s="8"/>
      <c r="M4876" s="8"/>
      <c r="N4876" s="11"/>
      <c r="O4876" s="11"/>
      <c r="P4876" s="11"/>
      <c r="Q4876" s="11"/>
      <c r="R4876" s="11"/>
      <c r="S4876" s="12"/>
      <c r="T4876" s="8"/>
      <c r="U4876" s="8"/>
      <c r="V4876" s="13"/>
      <c r="W4876" s="13"/>
      <c r="X4876" s="12"/>
      <c r="Y4876" s="14"/>
      <c r="Z4876" s="14"/>
    </row>
    <row r="4877">
      <c r="A4877" s="8"/>
      <c r="B4877" s="8"/>
      <c r="C4877" s="8"/>
      <c r="D4877" s="8"/>
      <c r="E4877" s="8"/>
      <c r="F4877" s="8"/>
      <c r="G4877" s="8"/>
      <c r="H4877" s="8"/>
      <c r="I4877" s="8"/>
      <c r="J4877" s="8"/>
      <c r="K4877" s="10"/>
      <c r="L4877" s="8"/>
      <c r="M4877" s="8"/>
      <c r="N4877" s="11"/>
      <c r="O4877" s="11"/>
      <c r="P4877" s="11"/>
      <c r="Q4877" s="11"/>
      <c r="R4877" s="11"/>
      <c r="S4877" s="12"/>
      <c r="T4877" s="8"/>
      <c r="U4877" s="8"/>
      <c r="V4877" s="13"/>
      <c r="W4877" s="13"/>
      <c r="X4877" s="12"/>
      <c r="Y4877" s="14"/>
      <c r="Z4877" s="14"/>
    </row>
    <row r="4878">
      <c r="A4878" s="8"/>
      <c r="B4878" s="8"/>
      <c r="C4878" s="8"/>
      <c r="D4878" s="8"/>
      <c r="E4878" s="8"/>
      <c r="F4878" s="8"/>
      <c r="G4878" s="8"/>
      <c r="H4878" s="8"/>
      <c r="I4878" s="8"/>
      <c r="J4878" s="8"/>
      <c r="K4878" s="10"/>
      <c r="L4878" s="8"/>
      <c r="M4878" s="8"/>
      <c r="N4878" s="11"/>
      <c r="O4878" s="11"/>
      <c r="P4878" s="11"/>
      <c r="Q4878" s="11"/>
      <c r="R4878" s="11"/>
      <c r="S4878" s="12"/>
      <c r="T4878" s="8"/>
      <c r="U4878" s="8"/>
      <c r="V4878" s="13"/>
      <c r="W4878" s="13"/>
      <c r="X4878" s="12"/>
      <c r="Y4878" s="14"/>
      <c r="Z4878" s="14"/>
    </row>
    <row r="4879">
      <c r="A4879" s="8"/>
      <c r="B4879" s="8"/>
      <c r="C4879" s="8"/>
      <c r="D4879" s="8"/>
      <c r="E4879" s="8"/>
      <c r="F4879" s="8"/>
      <c r="G4879" s="8"/>
      <c r="H4879" s="8"/>
      <c r="I4879" s="8"/>
      <c r="J4879" s="8"/>
      <c r="K4879" s="10"/>
      <c r="L4879" s="8"/>
      <c r="M4879" s="8"/>
      <c r="N4879" s="11"/>
      <c r="O4879" s="11"/>
      <c r="P4879" s="11"/>
      <c r="Q4879" s="11"/>
      <c r="R4879" s="11"/>
      <c r="S4879" s="12"/>
      <c r="T4879" s="8"/>
      <c r="U4879" s="8"/>
      <c r="V4879" s="13"/>
      <c r="W4879" s="13"/>
      <c r="X4879" s="12"/>
      <c r="Y4879" s="14"/>
      <c r="Z4879" s="14"/>
    </row>
    <row r="4880">
      <c r="A4880" s="8"/>
      <c r="B4880" s="8"/>
      <c r="C4880" s="8"/>
      <c r="D4880" s="8"/>
      <c r="E4880" s="8"/>
      <c r="F4880" s="8"/>
      <c r="G4880" s="8"/>
      <c r="H4880" s="8"/>
      <c r="I4880" s="8"/>
      <c r="J4880" s="8"/>
      <c r="K4880" s="10"/>
      <c r="L4880" s="8"/>
      <c r="M4880" s="8"/>
      <c r="N4880" s="11"/>
      <c r="O4880" s="11"/>
      <c r="P4880" s="11"/>
      <c r="Q4880" s="11"/>
      <c r="R4880" s="11"/>
      <c r="S4880" s="12"/>
      <c r="T4880" s="8"/>
      <c r="U4880" s="8"/>
      <c r="V4880" s="13"/>
      <c r="W4880" s="13"/>
      <c r="X4880" s="12"/>
      <c r="Y4880" s="14"/>
      <c r="Z4880" s="14"/>
    </row>
    <row r="4881">
      <c r="A4881" s="8"/>
      <c r="B4881" s="8"/>
      <c r="C4881" s="8"/>
      <c r="D4881" s="8"/>
      <c r="E4881" s="8"/>
      <c r="F4881" s="8"/>
      <c r="G4881" s="8"/>
      <c r="H4881" s="8"/>
      <c r="I4881" s="8"/>
      <c r="J4881" s="8"/>
      <c r="K4881" s="10"/>
      <c r="L4881" s="8"/>
      <c r="M4881" s="8"/>
      <c r="N4881" s="11"/>
      <c r="O4881" s="11"/>
      <c r="P4881" s="11"/>
      <c r="Q4881" s="11"/>
      <c r="R4881" s="11"/>
      <c r="S4881" s="12"/>
      <c r="T4881" s="8"/>
      <c r="U4881" s="8"/>
      <c r="V4881" s="13"/>
      <c r="W4881" s="13"/>
      <c r="X4881" s="12"/>
      <c r="Y4881" s="14"/>
      <c r="Z4881" s="14"/>
    </row>
    <row r="4882">
      <c r="A4882" s="8"/>
      <c r="B4882" s="8"/>
      <c r="C4882" s="8"/>
      <c r="D4882" s="8"/>
      <c r="E4882" s="8"/>
      <c r="F4882" s="8"/>
      <c r="G4882" s="8"/>
      <c r="H4882" s="8"/>
      <c r="I4882" s="8"/>
      <c r="J4882" s="8"/>
      <c r="K4882" s="10"/>
      <c r="L4882" s="8"/>
      <c r="M4882" s="8"/>
      <c r="N4882" s="11"/>
      <c r="O4882" s="11"/>
      <c r="P4882" s="11"/>
      <c r="Q4882" s="11"/>
      <c r="R4882" s="11"/>
      <c r="S4882" s="12"/>
      <c r="T4882" s="8"/>
      <c r="U4882" s="8"/>
      <c r="V4882" s="13"/>
      <c r="W4882" s="13"/>
      <c r="X4882" s="12"/>
      <c r="Y4882" s="14"/>
      <c r="Z4882" s="14"/>
    </row>
    <row r="4883">
      <c r="A4883" s="8"/>
      <c r="B4883" s="8"/>
      <c r="C4883" s="8"/>
      <c r="D4883" s="8"/>
      <c r="E4883" s="8"/>
      <c r="F4883" s="8"/>
      <c r="G4883" s="8"/>
      <c r="H4883" s="8"/>
      <c r="I4883" s="8"/>
      <c r="J4883" s="8"/>
      <c r="K4883" s="10"/>
      <c r="L4883" s="8"/>
      <c r="M4883" s="8"/>
      <c r="N4883" s="11"/>
      <c r="O4883" s="11"/>
      <c r="P4883" s="11"/>
      <c r="Q4883" s="11"/>
      <c r="R4883" s="11"/>
      <c r="S4883" s="12"/>
      <c r="T4883" s="8"/>
      <c r="U4883" s="8"/>
      <c r="V4883" s="13"/>
      <c r="W4883" s="13"/>
      <c r="X4883" s="12"/>
      <c r="Y4883" s="14"/>
      <c r="Z4883" s="14"/>
    </row>
    <row r="4884">
      <c r="A4884" s="8"/>
      <c r="B4884" s="8"/>
      <c r="C4884" s="8"/>
      <c r="D4884" s="8"/>
      <c r="E4884" s="8"/>
      <c r="F4884" s="8"/>
      <c r="G4884" s="8"/>
      <c r="H4884" s="8"/>
      <c r="I4884" s="8"/>
      <c r="J4884" s="8"/>
      <c r="K4884" s="10"/>
      <c r="L4884" s="8"/>
      <c r="M4884" s="8"/>
      <c r="N4884" s="11"/>
      <c r="O4884" s="11"/>
      <c r="P4884" s="11"/>
      <c r="Q4884" s="11"/>
      <c r="R4884" s="11"/>
      <c r="S4884" s="12"/>
      <c r="T4884" s="8"/>
      <c r="U4884" s="8"/>
      <c r="V4884" s="13"/>
      <c r="W4884" s="13"/>
      <c r="X4884" s="12"/>
      <c r="Y4884" s="14"/>
      <c r="Z4884" s="14"/>
    </row>
    <row r="4885">
      <c r="A4885" s="8"/>
      <c r="B4885" s="8"/>
      <c r="C4885" s="8"/>
      <c r="D4885" s="8"/>
      <c r="E4885" s="8"/>
      <c r="F4885" s="8"/>
      <c r="G4885" s="8"/>
      <c r="H4885" s="8"/>
      <c r="I4885" s="8"/>
      <c r="J4885" s="8"/>
      <c r="K4885" s="10"/>
      <c r="L4885" s="8"/>
      <c r="M4885" s="8"/>
      <c r="N4885" s="11"/>
      <c r="O4885" s="11"/>
      <c r="P4885" s="11"/>
      <c r="Q4885" s="11"/>
      <c r="R4885" s="11"/>
      <c r="S4885" s="12"/>
      <c r="T4885" s="8"/>
      <c r="U4885" s="8"/>
      <c r="V4885" s="13"/>
      <c r="W4885" s="13"/>
      <c r="X4885" s="12"/>
      <c r="Y4885" s="14"/>
      <c r="Z4885" s="14"/>
    </row>
    <row r="4886">
      <c r="A4886" s="8"/>
      <c r="B4886" s="8"/>
      <c r="C4886" s="8"/>
      <c r="D4886" s="8"/>
      <c r="E4886" s="8"/>
      <c r="F4886" s="8"/>
      <c r="G4886" s="8"/>
      <c r="H4886" s="8"/>
      <c r="I4886" s="8"/>
      <c r="J4886" s="8"/>
      <c r="K4886" s="10"/>
      <c r="L4886" s="8"/>
      <c r="M4886" s="8"/>
      <c r="N4886" s="11"/>
      <c r="O4886" s="11"/>
      <c r="P4886" s="11"/>
      <c r="Q4886" s="11"/>
      <c r="R4886" s="11"/>
      <c r="S4886" s="12"/>
      <c r="T4886" s="8"/>
      <c r="U4886" s="8"/>
      <c r="V4886" s="13"/>
      <c r="W4886" s="13"/>
      <c r="X4886" s="12"/>
      <c r="Y4886" s="14"/>
      <c r="Z4886" s="14"/>
    </row>
    <row r="4887">
      <c r="A4887" s="8"/>
      <c r="B4887" s="8"/>
      <c r="C4887" s="8"/>
      <c r="D4887" s="8"/>
      <c r="E4887" s="8"/>
      <c r="F4887" s="8"/>
      <c r="G4887" s="8"/>
      <c r="H4887" s="8"/>
      <c r="I4887" s="8"/>
      <c r="J4887" s="8"/>
      <c r="K4887" s="10"/>
      <c r="L4887" s="8"/>
      <c r="M4887" s="8"/>
      <c r="N4887" s="11"/>
      <c r="O4887" s="11"/>
      <c r="P4887" s="11"/>
      <c r="Q4887" s="11"/>
      <c r="R4887" s="11"/>
      <c r="S4887" s="12"/>
      <c r="T4887" s="8"/>
      <c r="U4887" s="8"/>
      <c r="V4887" s="13"/>
      <c r="W4887" s="13"/>
      <c r="X4887" s="12"/>
      <c r="Y4887" s="14"/>
      <c r="Z4887" s="14"/>
    </row>
    <row r="4888">
      <c r="A4888" s="8"/>
      <c r="B4888" s="8"/>
      <c r="C4888" s="8"/>
      <c r="D4888" s="8"/>
      <c r="E4888" s="8"/>
      <c r="F4888" s="8"/>
      <c r="G4888" s="8"/>
      <c r="H4888" s="8"/>
      <c r="I4888" s="8"/>
      <c r="J4888" s="8"/>
      <c r="K4888" s="10"/>
      <c r="L4888" s="8"/>
      <c r="M4888" s="8"/>
      <c r="N4888" s="11"/>
      <c r="O4888" s="11"/>
      <c r="P4888" s="11"/>
      <c r="Q4888" s="11"/>
      <c r="R4888" s="11"/>
      <c r="S4888" s="12"/>
      <c r="T4888" s="8"/>
      <c r="U4888" s="8"/>
      <c r="V4888" s="13"/>
      <c r="W4888" s="13"/>
      <c r="X4888" s="12"/>
      <c r="Y4888" s="14"/>
      <c r="Z4888" s="14"/>
    </row>
    <row r="4889">
      <c r="A4889" s="8"/>
      <c r="B4889" s="8"/>
      <c r="C4889" s="8"/>
      <c r="D4889" s="8"/>
      <c r="E4889" s="8"/>
      <c r="F4889" s="8"/>
      <c r="G4889" s="8"/>
      <c r="H4889" s="8"/>
      <c r="I4889" s="8"/>
      <c r="J4889" s="8"/>
      <c r="K4889" s="10"/>
      <c r="L4889" s="8"/>
      <c r="M4889" s="8"/>
      <c r="N4889" s="11"/>
      <c r="O4889" s="11"/>
      <c r="P4889" s="11"/>
      <c r="Q4889" s="11"/>
      <c r="R4889" s="11"/>
      <c r="S4889" s="12"/>
      <c r="T4889" s="8"/>
      <c r="U4889" s="8"/>
      <c r="V4889" s="13"/>
      <c r="W4889" s="13"/>
      <c r="X4889" s="12"/>
      <c r="Y4889" s="14"/>
      <c r="Z4889" s="14"/>
    </row>
    <row r="4890">
      <c r="A4890" s="8"/>
      <c r="B4890" s="8"/>
      <c r="C4890" s="8"/>
      <c r="D4890" s="8"/>
      <c r="E4890" s="8"/>
      <c r="F4890" s="8"/>
      <c r="G4890" s="8"/>
      <c r="H4890" s="8"/>
      <c r="I4890" s="8"/>
      <c r="J4890" s="8"/>
      <c r="K4890" s="10"/>
      <c r="L4890" s="8"/>
      <c r="M4890" s="8"/>
      <c r="N4890" s="11"/>
      <c r="O4890" s="11"/>
      <c r="P4890" s="11"/>
      <c r="Q4890" s="11"/>
      <c r="R4890" s="11"/>
      <c r="S4890" s="12"/>
      <c r="T4890" s="8"/>
      <c r="U4890" s="8"/>
      <c r="V4890" s="13"/>
      <c r="W4890" s="13"/>
      <c r="X4890" s="12"/>
      <c r="Y4890" s="14"/>
      <c r="Z4890" s="14"/>
    </row>
    <row r="4891">
      <c r="A4891" s="8"/>
      <c r="B4891" s="8"/>
      <c r="C4891" s="8"/>
      <c r="D4891" s="8"/>
      <c r="E4891" s="8"/>
      <c r="F4891" s="8"/>
      <c r="G4891" s="8"/>
      <c r="H4891" s="8"/>
      <c r="I4891" s="8"/>
      <c r="J4891" s="8"/>
      <c r="K4891" s="10"/>
      <c r="L4891" s="8"/>
      <c r="M4891" s="8"/>
      <c r="N4891" s="11"/>
      <c r="O4891" s="11"/>
      <c r="P4891" s="11"/>
      <c r="Q4891" s="11"/>
      <c r="R4891" s="11"/>
      <c r="S4891" s="12"/>
      <c r="T4891" s="8"/>
      <c r="U4891" s="8"/>
      <c r="V4891" s="13"/>
      <c r="W4891" s="13"/>
      <c r="X4891" s="12"/>
      <c r="Y4891" s="14"/>
      <c r="Z4891" s="14"/>
    </row>
    <row r="4892">
      <c r="A4892" s="8"/>
      <c r="B4892" s="8"/>
      <c r="C4892" s="8"/>
      <c r="D4892" s="8"/>
      <c r="E4892" s="8"/>
      <c r="F4892" s="8"/>
      <c r="G4892" s="8"/>
      <c r="H4892" s="8"/>
      <c r="I4892" s="8"/>
      <c r="J4892" s="8"/>
      <c r="K4892" s="10"/>
      <c r="L4892" s="8"/>
      <c r="M4892" s="8"/>
      <c r="N4892" s="11"/>
      <c r="O4892" s="11"/>
      <c r="P4892" s="11"/>
      <c r="Q4892" s="11"/>
      <c r="R4892" s="11"/>
      <c r="S4892" s="12"/>
      <c r="T4892" s="8"/>
      <c r="U4892" s="8"/>
      <c r="V4892" s="13"/>
      <c r="W4892" s="13"/>
      <c r="X4892" s="12"/>
      <c r="Y4892" s="14"/>
      <c r="Z4892" s="14"/>
    </row>
    <row r="4893">
      <c r="A4893" s="8"/>
      <c r="B4893" s="8"/>
      <c r="C4893" s="8"/>
      <c r="D4893" s="8"/>
      <c r="E4893" s="8"/>
      <c r="F4893" s="8"/>
      <c r="G4893" s="8"/>
      <c r="H4893" s="8"/>
      <c r="I4893" s="8"/>
      <c r="J4893" s="8"/>
      <c r="K4893" s="10"/>
      <c r="L4893" s="8"/>
      <c r="M4893" s="8"/>
      <c r="N4893" s="11"/>
      <c r="O4893" s="11"/>
      <c r="P4893" s="11"/>
      <c r="Q4893" s="11"/>
      <c r="R4893" s="11"/>
      <c r="S4893" s="12"/>
      <c r="T4893" s="8"/>
      <c r="U4893" s="8"/>
      <c r="V4893" s="13"/>
      <c r="W4893" s="13"/>
      <c r="X4893" s="12"/>
      <c r="Y4893" s="14"/>
      <c r="Z4893" s="14"/>
    </row>
    <row r="4894">
      <c r="A4894" s="8"/>
      <c r="B4894" s="8"/>
      <c r="C4894" s="8"/>
      <c r="D4894" s="8"/>
      <c r="E4894" s="8"/>
      <c r="F4894" s="8"/>
      <c r="G4894" s="8"/>
      <c r="H4894" s="8"/>
      <c r="I4894" s="8"/>
      <c r="J4894" s="8"/>
      <c r="K4894" s="10"/>
      <c r="L4894" s="8"/>
      <c r="M4894" s="8"/>
      <c r="N4894" s="11"/>
      <c r="O4894" s="11"/>
      <c r="P4894" s="11"/>
      <c r="Q4894" s="11"/>
      <c r="R4894" s="11"/>
      <c r="S4894" s="12"/>
      <c r="T4894" s="8"/>
      <c r="U4894" s="8"/>
      <c r="V4894" s="13"/>
      <c r="W4894" s="13"/>
      <c r="X4894" s="12"/>
      <c r="Y4894" s="14"/>
      <c r="Z4894" s="14"/>
    </row>
    <row r="4895">
      <c r="A4895" s="8"/>
      <c r="B4895" s="8"/>
      <c r="C4895" s="8"/>
      <c r="D4895" s="8"/>
      <c r="E4895" s="8"/>
      <c r="F4895" s="8"/>
      <c r="G4895" s="8"/>
      <c r="H4895" s="8"/>
      <c r="I4895" s="8"/>
      <c r="J4895" s="8"/>
      <c r="K4895" s="10"/>
      <c r="L4895" s="8"/>
      <c r="M4895" s="8"/>
      <c r="N4895" s="11"/>
      <c r="O4895" s="11"/>
      <c r="P4895" s="11"/>
      <c r="Q4895" s="11"/>
      <c r="R4895" s="11"/>
      <c r="S4895" s="12"/>
      <c r="T4895" s="8"/>
      <c r="U4895" s="8"/>
      <c r="V4895" s="13"/>
      <c r="W4895" s="13"/>
      <c r="X4895" s="12"/>
      <c r="Y4895" s="14"/>
      <c r="Z4895" s="14"/>
    </row>
    <row r="4896">
      <c r="A4896" s="8"/>
      <c r="B4896" s="8"/>
      <c r="C4896" s="8"/>
      <c r="D4896" s="8"/>
      <c r="E4896" s="8"/>
      <c r="F4896" s="8"/>
      <c r="G4896" s="8"/>
      <c r="H4896" s="8"/>
      <c r="I4896" s="8"/>
      <c r="J4896" s="8"/>
      <c r="K4896" s="10"/>
      <c r="L4896" s="8"/>
      <c r="M4896" s="8"/>
      <c r="N4896" s="11"/>
      <c r="O4896" s="11"/>
      <c r="P4896" s="11"/>
      <c r="Q4896" s="11"/>
      <c r="R4896" s="11"/>
      <c r="S4896" s="12"/>
      <c r="T4896" s="8"/>
      <c r="U4896" s="8"/>
      <c r="V4896" s="13"/>
      <c r="W4896" s="13"/>
      <c r="X4896" s="12"/>
      <c r="Y4896" s="14"/>
      <c r="Z4896" s="14"/>
    </row>
    <row r="4897">
      <c r="A4897" s="8"/>
      <c r="B4897" s="8"/>
      <c r="C4897" s="8"/>
      <c r="D4897" s="8"/>
      <c r="E4897" s="8"/>
      <c r="F4897" s="8"/>
      <c r="G4897" s="8"/>
      <c r="H4897" s="8"/>
      <c r="I4897" s="8"/>
      <c r="J4897" s="8"/>
      <c r="K4897" s="10"/>
      <c r="L4897" s="8"/>
      <c r="M4897" s="8"/>
      <c r="N4897" s="11"/>
      <c r="O4897" s="11"/>
      <c r="P4897" s="11"/>
      <c r="Q4897" s="11"/>
      <c r="R4897" s="11"/>
      <c r="S4897" s="12"/>
      <c r="T4897" s="8"/>
      <c r="U4897" s="8"/>
      <c r="V4897" s="13"/>
      <c r="W4897" s="13"/>
      <c r="X4897" s="12"/>
      <c r="Y4897" s="14"/>
      <c r="Z4897" s="14"/>
    </row>
    <row r="4898">
      <c r="A4898" s="8"/>
      <c r="B4898" s="8"/>
      <c r="C4898" s="8"/>
      <c r="D4898" s="8"/>
      <c r="E4898" s="8"/>
      <c r="F4898" s="8"/>
      <c r="G4898" s="8"/>
      <c r="H4898" s="8"/>
      <c r="I4898" s="8"/>
      <c r="J4898" s="8"/>
      <c r="K4898" s="10"/>
      <c r="L4898" s="8"/>
      <c r="M4898" s="8"/>
      <c r="N4898" s="11"/>
      <c r="O4898" s="11"/>
      <c r="P4898" s="11"/>
      <c r="Q4898" s="11"/>
      <c r="R4898" s="11"/>
      <c r="S4898" s="12"/>
      <c r="T4898" s="8"/>
      <c r="U4898" s="8"/>
      <c r="V4898" s="13"/>
      <c r="W4898" s="13"/>
      <c r="X4898" s="12"/>
      <c r="Y4898" s="14"/>
      <c r="Z4898" s="14"/>
    </row>
    <row r="4899">
      <c r="A4899" s="8"/>
      <c r="B4899" s="8"/>
      <c r="C4899" s="8"/>
      <c r="D4899" s="8"/>
      <c r="E4899" s="8"/>
      <c r="F4899" s="8"/>
      <c r="G4899" s="8"/>
      <c r="H4899" s="8"/>
      <c r="I4899" s="8"/>
      <c r="J4899" s="8"/>
      <c r="K4899" s="10"/>
      <c r="L4899" s="8"/>
      <c r="M4899" s="8"/>
      <c r="N4899" s="11"/>
      <c r="O4899" s="11"/>
      <c r="P4899" s="11"/>
      <c r="Q4899" s="11"/>
      <c r="R4899" s="11"/>
      <c r="S4899" s="12"/>
      <c r="T4899" s="8"/>
      <c r="U4899" s="8"/>
      <c r="V4899" s="13"/>
      <c r="W4899" s="13"/>
      <c r="X4899" s="12"/>
      <c r="Y4899" s="14"/>
      <c r="Z4899" s="14"/>
    </row>
    <row r="4900">
      <c r="A4900" s="8"/>
      <c r="B4900" s="8"/>
      <c r="C4900" s="8"/>
      <c r="D4900" s="8"/>
      <c r="E4900" s="8"/>
      <c r="F4900" s="8"/>
      <c r="G4900" s="8"/>
      <c r="H4900" s="8"/>
      <c r="I4900" s="8"/>
      <c r="J4900" s="8"/>
      <c r="K4900" s="10"/>
      <c r="L4900" s="8"/>
      <c r="M4900" s="8"/>
      <c r="N4900" s="11"/>
      <c r="O4900" s="11"/>
      <c r="P4900" s="11"/>
      <c r="Q4900" s="11"/>
      <c r="R4900" s="11"/>
      <c r="S4900" s="12"/>
      <c r="T4900" s="8"/>
      <c r="U4900" s="8"/>
      <c r="V4900" s="13"/>
      <c r="W4900" s="13"/>
      <c r="X4900" s="12"/>
      <c r="Y4900" s="14"/>
      <c r="Z4900" s="14"/>
    </row>
    <row r="4901">
      <c r="A4901" s="8"/>
      <c r="B4901" s="8"/>
      <c r="C4901" s="8"/>
      <c r="D4901" s="8"/>
      <c r="E4901" s="8"/>
      <c r="F4901" s="8"/>
      <c r="G4901" s="8"/>
      <c r="H4901" s="8"/>
      <c r="I4901" s="8"/>
      <c r="J4901" s="8"/>
      <c r="K4901" s="10"/>
      <c r="L4901" s="8"/>
      <c r="M4901" s="8"/>
      <c r="N4901" s="11"/>
      <c r="O4901" s="11"/>
      <c r="P4901" s="11"/>
      <c r="Q4901" s="11"/>
      <c r="R4901" s="11"/>
      <c r="S4901" s="12"/>
      <c r="T4901" s="8"/>
      <c r="U4901" s="8"/>
      <c r="V4901" s="13"/>
      <c r="W4901" s="13"/>
      <c r="X4901" s="12"/>
      <c r="Y4901" s="14"/>
      <c r="Z4901" s="14"/>
    </row>
    <row r="4902">
      <c r="A4902" s="8"/>
      <c r="B4902" s="8"/>
      <c r="C4902" s="8"/>
      <c r="D4902" s="8"/>
      <c r="E4902" s="8"/>
      <c r="F4902" s="8"/>
      <c r="G4902" s="8"/>
      <c r="H4902" s="8"/>
      <c r="I4902" s="8"/>
      <c r="J4902" s="8"/>
      <c r="K4902" s="10"/>
      <c r="L4902" s="8"/>
      <c r="M4902" s="8"/>
      <c r="N4902" s="11"/>
      <c r="O4902" s="11"/>
      <c r="P4902" s="11"/>
      <c r="Q4902" s="11"/>
      <c r="R4902" s="11"/>
      <c r="S4902" s="12"/>
      <c r="T4902" s="8"/>
      <c r="U4902" s="8"/>
      <c r="V4902" s="13"/>
      <c r="W4902" s="13"/>
      <c r="X4902" s="12"/>
      <c r="Y4902" s="14"/>
      <c r="Z4902" s="14"/>
    </row>
    <row r="4903">
      <c r="A4903" s="8"/>
      <c r="B4903" s="8"/>
      <c r="C4903" s="8"/>
      <c r="D4903" s="8"/>
      <c r="E4903" s="8"/>
      <c r="F4903" s="8"/>
      <c r="G4903" s="8"/>
      <c r="H4903" s="8"/>
      <c r="I4903" s="8"/>
      <c r="J4903" s="8"/>
      <c r="K4903" s="10"/>
      <c r="L4903" s="8"/>
      <c r="M4903" s="8"/>
      <c r="N4903" s="11"/>
      <c r="O4903" s="11"/>
      <c r="P4903" s="11"/>
      <c r="Q4903" s="11"/>
      <c r="R4903" s="11"/>
      <c r="S4903" s="12"/>
      <c r="T4903" s="8"/>
      <c r="U4903" s="8"/>
      <c r="V4903" s="13"/>
      <c r="W4903" s="13"/>
      <c r="X4903" s="12"/>
      <c r="Y4903" s="14"/>
      <c r="Z4903" s="14"/>
    </row>
    <row r="4904">
      <c r="A4904" s="8"/>
      <c r="B4904" s="8"/>
      <c r="C4904" s="8"/>
      <c r="D4904" s="8"/>
      <c r="E4904" s="8"/>
      <c r="F4904" s="8"/>
      <c r="G4904" s="8"/>
      <c r="H4904" s="8"/>
      <c r="I4904" s="8"/>
      <c r="J4904" s="8"/>
      <c r="K4904" s="10"/>
      <c r="L4904" s="8"/>
      <c r="M4904" s="8"/>
      <c r="N4904" s="11"/>
      <c r="O4904" s="11"/>
      <c r="P4904" s="11"/>
      <c r="Q4904" s="11"/>
      <c r="R4904" s="11"/>
      <c r="S4904" s="12"/>
      <c r="T4904" s="8"/>
      <c r="U4904" s="8"/>
      <c r="V4904" s="13"/>
      <c r="W4904" s="13"/>
      <c r="X4904" s="12"/>
      <c r="Y4904" s="14"/>
      <c r="Z4904" s="14"/>
    </row>
    <row r="4905">
      <c r="A4905" s="8"/>
      <c r="B4905" s="8"/>
      <c r="C4905" s="8"/>
      <c r="D4905" s="8"/>
      <c r="E4905" s="8"/>
      <c r="F4905" s="8"/>
      <c r="G4905" s="8"/>
      <c r="H4905" s="8"/>
      <c r="I4905" s="8"/>
      <c r="J4905" s="8"/>
      <c r="K4905" s="10"/>
      <c r="L4905" s="8"/>
      <c r="M4905" s="8"/>
      <c r="N4905" s="11"/>
      <c r="O4905" s="11"/>
      <c r="P4905" s="11"/>
      <c r="Q4905" s="11"/>
      <c r="R4905" s="11"/>
      <c r="S4905" s="12"/>
      <c r="T4905" s="8"/>
      <c r="U4905" s="8"/>
      <c r="V4905" s="13"/>
      <c r="W4905" s="13"/>
      <c r="X4905" s="12"/>
      <c r="Y4905" s="14"/>
      <c r="Z4905" s="14"/>
    </row>
    <row r="4906">
      <c r="A4906" s="8"/>
      <c r="B4906" s="8"/>
      <c r="C4906" s="8"/>
      <c r="D4906" s="8"/>
      <c r="E4906" s="8"/>
      <c r="F4906" s="8"/>
      <c r="G4906" s="8"/>
      <c r="H4906" s="8"/>
      <c r="I4906" s="8"/>
      <c r="J4906" s="8"/>
      <c r="K4906" s="10"/>
      <c r="L4906" s="8"/>
      <c r="M4906" s="8"/>
      <c r="N4906" s="11"/>
      <c r="O4906" s="11"/>
      <c r="P4906" s="11"/>
      <c r="Q4906" s="11"/>
      <c r="R4906" s="11"/>
      <c r="S4906" s="12"/>
      <c r="T4906" s="8"/>
      <c r="U4906" s="8"/>
      <c r="V4906" s="13"/>
      <c r="W4906" s="13"/>
      <c r="X4906" s="12"/>
      <c r="Y4906" s="14"/>
      <c r="Z4906" s="14"/>
    </row>
    <row r="4907">
      <c r="A4907" s="8"/>
      <c r="B4907" s="8"/>
      <c r="C4907" s="8"/>
      <c r="D4907" s="8"/>
      <c r="E4907" s="8"/>
      <c r="F4907" s="8"/>
      <c r="G4907" s="8"/>
      <c r="H4907" s="8"/>
      <c r="I4907" s="8"/>
      <c r="J4907" s="8"/>
      <c r="K4907" s="10"/>
      <c r="L4907" s="8"/>
      <c r="M4907" s="8"/>
      <c r="N4907" s="11"/>
      <c r="O4907" s="11"/>
      <c r="P4907" s="11"/>
      <c r="Q4907" s="11"/>
      <c r="R4907" s="11"/>
      <c r="S4907" s="12"/>
      <c r="T4907" s="8"/>
      <c r="U4907" s="8"/>
      <c r="V4907" s="13"/>
      <c r="W4907" s="13"/>
      <c r="X4907" s="12"/>
      <c r="Y4907" s="14"/>
      <c r="Z4907" s="14"/>
    </row>
    <row r="4908">
      <c r="A4908" s="8"/>
      <c r="B4908" s="8"/>
      <c r="C4908" s="8"/>
      <c r="D4908" s="8"/>
      <c r="E4908" s="8"/>
      <c r="F4908" s="8"/>
      <c r="G4908" s="8"/>
      <c r="H4908" s="8"/>
      <c r="I4908" s="8"/>
      <c r="J4908" s="8"/>
      <c r="K4908" s="10"/>
      <c r="L4908" s="8"/>
      <c r="M4908" s="8"/>
      <c r="N4908" s="11"/>
      <c r="O4908" s="11"/>
      <c r="P4908" s="11"/>
      <c r="Q4908" s="11"/>
      <c r="R4908" s="11"/>
      <c r="S4908" s="12"/>
      <c r="T4908" s="8"/>
      <c r="U4908" s="8"/>
      <c r="V4908" s="13"/>
      <c r="W4908" s="13"/>
      <c r="X4908" s="12"/>
      <c r="Y4908" s="14"/>
      <c r="Z4908" s="14"/>
    </row>
    <row r="4909">
      <c r="A4909" s="8"/>
      <c r="B4909" s="8"/>
      <c r="C4909" s="8"/>
      <c r="D4909" s="8"/>
      <c r="E4909" s="8"/>
      <c r="F4909" s="8"/>
      <c r="G4909" s="8"/>
      <c r="H4909" s="8"/>
      <c r="I4909" s="8"/>
      <c r="J4909" s="8"/>
      <c r="K4909" s="10"/>
      <c r="L4909" s="8"/>
      <c r="M4909" s="8"/>
      <c r="N4909" s="11"/>
      <c r="O4909" s="11"/>
      <c r="P4909" s="11"/>
      <c r="Q4909" s="11"/>
      <c r="R4909" s="11"/>
      <c r="S4909" s="12"/>
      <c r="T4909" s="8"/>
      <c r="U4909" s="8"/>
      <c r="V4909" s="13"/>
      <c r="W4909" s="13"/>
      <c r="X4909" s="12"/>
      <c r="Y4909" s="14"/>
      <c r="Z4909" s="14"/>
    </row>
    <row r="4910">
      <c r="A4910" s="8"/>
      <c r="B4910" s="8"/>
      <c r="C4910" s="8"/>
      <c r="D4910" s="8"/>
      <c r="E4910" s="8"/>
      <c r="F4910" s="8"/>
      <c r="G4910" s="8"/>
      <c r="H4910" s="8"/>
      <c r="I4910" s="8"/>
      <c r="J4910" s="8"/>
      <c r="K4910" s="10"/>
      <c r="L4910" s="8"/>
      <c r="M4910" s="8"/>
      <c r="N4910" s="11"/>
      <c r="O4910" s="11"/>
      <c r="P4910" s="11"/>
      <c r="Q4910" s="11"/>
      <c r="R4910" s="11"/>
      <c r="S4910" s="12"/>
      <c r="T4910" s="8"/>
      <c r="U4910" s="8"/>
      <c r="V4910" s="13"/>
      <c r="W4910" s="13"/>
      <c r="X4910" s="12"/>
      <c r="Y4910" s="14"/>
      <c r="Z4910" s="14"/>
    </row>
    <row r="4911">
      <c r="A4911" s="8"/>
      <c r="B4911" s="8"/>
      <c r="C4911" s="8"/>
      <c r="D4911" s="8"/>
      <c r="E4911" s="8"/>
      <c r="F4911" s="8"/>
      <c r="G4911" s="8"/>
      <c r="H4911" s="8"/>
      <c r="I4911" s="8"/>
      <c r="J4911" s="8"/>
      <c r="K4911" s="10"/>
      <c r="L4911" s="8"/>
      <c r="M4911" s="8"/>
      <c r="N4911" s="11"/>
      <c r="O4911" s="11"/>
      <c r="P4911" s="11"/>
      <c r="Q4911" s="11"/>
      <c r="R4911" s="11"/>
      <c r="S4911" s="12"/>
      <c r="T4911" s="8"/>
      <c r="U4911" s="8"/>
      <c r="V4911" s="13"/>
      <c r="W4911" s="13"/>
      <c r="X4911" s="12"/>
      <c r="Y4911" s="14"/>
      <c r="Z4911" s="14"/>
    </row>
    <row r="4912">
      <c r="A4912" s="8"/>
      <c r="B4912" s="8"/>
      <c r="C4912" s="8"/>
      <c r="D4912" s="8"/>
      <c r="E4912" s="8"/>
      <c r="F4912" s="8"/>
      <c r="G4912" s="8"/>
      <c r="H4912" s="8"/>
      <c r="I4912" s="8"/>
      <c r="J4912" s="8"/>
      <c r="K4912" s="10"/>
      <c r="L4912" s="8"/>
      <c r="M4912" s="8"/>
      <c r="N4912" s="11"/>
      <c r="O4912" s="11"/>
      <c r="P4912" s="11"/>
      <c r="Q4912" s="11"/>
      <c r="R4912" s="11"/>
      <c r="S4912" s="12"/>
      <c r="T4912" s="8"/>
      <c r="U4912" s="8"/>
      <c r="V4912" s="13"/>
      <c r="W4912" s="13"/>
      <c r="X4912" s="12"/>
      <c r="Y4912" s="14"/>
      <c r="Z4912" s="14"/>
    </row>
    <row r="4913">
      <c r="A4913" s="8"/>
      <c r="B4913" s="8"/>
      <c r="C4913" s="8"/>
      <c r="D4913" s="8"/>
      <c r="E4913" s="8"/>
      <c r="F4913" s="8"/>
      <c r="G4913" s="8"/>
      <c r="H4913" s="8"/>
      <c r="I4913" s="8"/>
      <c r="J4913" s="8"/>
      <c r="K4913" s="10"/>
      <c r="L4913" s="8"/>
      <c r="M4913" s="8"/>
      <c r="N4913" s="11"/>
      <c r="O4913" s="11"/>
      <c r="P4913" s="11"/>
      <c r="Q4913" s="11"/>
      <c r="R4913" s="11"/>
      <c r="S4913" s="12"/>
      <c r="T4913" s="8"/>
      <c r="U4913" s="8"/>
      <c r="V4913" s="13"/>
      <c r="W4913" s="13"/>
      <c r="X4913" s="12"/>
      <c r="Y4913" s="14"/>
      <c r="Z4913" s="14"/>
    </row>
    <row r="4914">
      <c r="A4914" s="8"/>
      <c r="B4914" s="8"/>
      <c r="C4914" s="8"/>
      <c r="D4914" s="8"/>
      <c r="E4914" s="8"/>
      <c r="F4914" s="8"/>
      <c r="G4914" s="8"/>
      <c r="H4914" s="8"/>
      <c r="I4914" s="8"/>
      <c r="J4914" s="8"/>
      <c r="K4914" s="10"/>
      <c r="L4914" s="8"/>
      <c r="M4914" s="8"/>
      <c r="N4914" s="11"/>
      <c r="O4914" s="11"/>
      <c r="P4914" s="11"/>
      <c r="Q4914" s="11"/>
      <c r="R4914" s="11"/>
      <c r="S4914" s="12"/>
      <c r="T4914" s="8"/>
      <c r="U4914" s="8"/>
      <c r="V4914" s="13"/>
      <c r="W4914" s="13"/>
      <c r="X4914" s="12"/>
      <c r="Y4914" s="14"/>
      <c r="Z4914" s="14"/>
    </row>
    <row r="4915">
      <c r="A4915" s="8"/>
      <c r="B4915" s="8"/>
      <c r="C4915" s="8"/>
      <c r="D4915" s="8"/>
      <c r="E4915" s="8"/>
      <c r="F4915" s="8"/>
      <c r="G4915" s="8"/>
      <c r="H4915" s="8"/>
      <c r="I4915" s="8"/>
      <c r="J4915" s="8"/>
      <c r="K4915" s="10"/>
      <c r="L4915" s="8"/>
      <c r="M4915" s="8"/>
      <c r="N4915" s="11"/>
      <c r="O4915" s="11"/>
      <c r="P4915" s="11"/>
      <c r="Q4915" s="11"/>
      <c r="R4915" s="11"/>
      <c r="S4915" s="12"/>
      <c r="T4915" s="8"/>
      <c r="U4915" s="8"/>
      <c r="V4915" s="13"/>
      <c r="W4915" s="13"/>
      <c r="X4915" s="12"/>
      <c r="Y4915" s="14"/>
      <c r="Z4915" s="14"/>
    </row>
    <row r="4916">
      <c r="A4916" s="8"/>
      <c r="B4916" s="8"/>
      <c r="C4916" s="8"/>
      <c r="D4916" s="8"/>
      <c r="E4916" s="8"/>
      <c r="F4916" s="8"/>
      <c r="G4916" s="8"/>
      <c r="H4916" s="8"/>
      <c r="I4916" s="8"/>
      <c r="J4916" s="8"/>
      <c r="K4916" s="10"/>
      <c r="L4916" s="8"/>
      <c r="M4916" s="8"/>
      <c r="N4916" s="11"/>
      <c r="O4916" s="11"/>
      <c r="P4916" s="11"/>
      <c r="Q4916" s="11"/>
      <c r="R4916" s="11"/>
      <c r="S4916" s="12"/>
      <c r="T4916" s="8"/>
      <c r="U4916" s="8"/>
      <c r="V4916" s="13"/>
      <c r="W4916" s="13"/>
      <c r="X4916" s="12"/>
      <c r="Y4916" s="14"/>
      <c r="Z4916" s="14"/>
    </row>
    <row r="4917">
      <c r="A4917" s="8"/>
      <c r="B4917" s="8"/>
      <c r="C4917" s="8"/>
      <c r="D4917" s="8"/>
      <c r="E4917" s="8"/>
      <c r="F4917" s="8"/>
      <c r="G4917" s="8"/>
      <c r="H4917" s="8"/>
      <c r="I4917" s="8"/>
      <c r="J4917" s="8"/>
      <c r="K4917" s="10"/>
      <c r="L4917" s="8"/>
      <c r="M4917" s="8"/>
      <c r="N4917" s="11"/>
      <c r="O4917" s="11"/>
      <c r="P4917" s="11"/>
      <c r="Q4917" s="11"/>
      <c r="R4917" s="11"/>
      <c r="S4917" s="12"/>
      <c r="T4917" s="8"/>
      <c r="U4917" s="8"/>
      <c r="V4917" s="13"/>
      <c r="W4917" s="13"/>
      <c r="X4917" s="12"/>
      <c r="Y4917" s="14"/>
      <c r="Z4917" s="14"/>
    </row>
    <row r="4918">
      <c r="A4918" s="8"/>
      <c r="B4918" s="8"/>
      <c r="C4918" s="8"/>
      <c r="D4918" s="8"/>
      <c r="E4918" s="8"/>
      <c r="F4918" s="8"/>
      <c r="G4918" s="8"/>
      <c r="H4918" s="8"/>
      <c r="I4918" s="8"/>
      <c r="J4918" s="8"/>
      <c r="K4918" s="10"/>
      <c r="L4918" s="8"/>
      <c r="M4918" s="8"/>
      <c r="N4918" s="11"/>
      <c r="O4918" s="11"/>
      <c r="P4918" s="11"/>
      <c r="Q4918" s="11"/>
      <c r="R4918" s="11"/>
      <c r="S4918" s="12"/>
      <c r="T4918" s="8"/>
      <c r="U4918" s="8"/>
      <c r="V4918" s="13"/>
      <c r="W4918" s="13"/>
      <c r="X4918" s="12"/>
      <c r="Y4918" s="14"/>
      <c r="Z4918" s="14"/>
    </row>
    <row r="4919">
      <c r="A4919" s="8"/>
      <c r="B4919" s="8"/>
      <c r="C4919" s="8"/>
      <c r="D4919" s="8"/>
      <c r="E4919" s="8"/>
      <c r="F4919" s="8"/>
      <c r="G4919" s="8"/>
      <c r="H4919" s="8"/>
      <c r="I4919" s="8"/>
      <c r="J4919" s="8"/>
      <c r="K4919" s="10"/>
      <c r="L4919" s="8"/>
      <c r="M4919" s="8"/>
      <c r="N4919" s="11"/>
      <c r="O4919" s="11"/>
      <c r="P4919" s="11"/>
      <c r="Q4919" s="11"/>
      <c r="R4919" s="11"/>
      <c r="S4919" s="12"/>
      <c r="T4919" s="8"/>
      <c r="U4919" s="8"/>
      <c r="V4919" s="13"/>
      <c r="W4919" s="13"/>
      <c r="X4919" s="12"/>
      <c r="Y4919" s="14"/>
      <c r="Z4919" s="14"/>
    </row>
    <row r="4920">
      <c r="A4920" s="8"/>
      <c r="B4920" s="8"/>
      <c r="C4920" s="8"/>
      <c r="D4920" s="8"/>
      <c r="E4920" s="8"/>
      <c r="F4920" s="8"/>
      <c r="G4920" s="8"/>
      <c r="H4920" s="8"/>
      <c r="I4920" s="8"/>
      <c r="J4920" s="8"/>
      <c r="K4920" s="10"/>
      <c r="L4920" s="8"/>
      <c r="M4920" s="8"/>
      <c r="N4920" s="11"/>
      <c r="O4920" s="11"/>
      <c r="P4920" s="11"/>
      <c r="Q4920" s="11"/>
      <c r="R4920" s="11"/>
      <c r="S4920" s="12"/>
      <c r="T4920" s="8"/>
      <c r="U4920" s="8"/>
      <c r="V4920" s="13"/>
      <c r="W4920" s="13"/>
      <c r="X4920" s="12"/>
      <c r="Y4920" s="14"/>
      <c r="Z4920" s="14"/>
    </row>
    <row r="4921">
      <c r="A4921" s="8"/>
      <c r="B4921" s="8"/>
      <c r="C4921" s="8"/>
      <c r="D4921" s="8"/>
      <c r="E4921" s="8"/>
      <c r="F4921" s="8"/>
      <c r="G4921" s="8"/>
      <c r="H4921" s="8"/>
      <c r="I4921" s="8"/>
      <c r="J4921" s="8"/>
      <c r="K4921" s="10"/>
      <c r="L4921" s="8"/>
      <c r="M4921" s="8"/>
      <c r="N4921" s="11"/>
      <c r="O4921" s="11"/>
      <c r="P4921" s="11"/>
      <c r="Q4921" s="11"/>
      <c r="R4921" s="11"/>
      <c r="S4921" s="12"/>
      <c r="T4921" s="8"/>
      <c r="U4921" s="8"/>
      <c r="V4921" s="13"/>
      <c r="W4921" s="13"/>
      <c r="X4921" s="12"/>
      <c r="Y4921" s="14"/>
      <c r="Z4921" s="14"/>
    </row>
    <row r="4922">
      <c r="A4922" s="8"/>
      <c r="B4922" s="8"/>
      <c r="C4922" s="8"/>
      <c r="D4922" s="8"/>
      <c r="E4922" s="8"/>
      <c r="F4922" s="8"/>
      <c r="G4922" s="8"/>
      <c r="H4922" s="8"/>
      <c r="I4922" s="8"/>
      <c r="J4922" s="8"/>
      <c r="K4922" s="10"/>
      <c r="L4922" s="8"/>
      <c r="M4922" s="8"/>
      <c r="N4922" s="11"/>
      <c r="O4922" s="11"/>
      <c r="P4922" s="11"/>
      <c r="Q4922" s="11"/>
      <c r="R4922" s="11"/>
      <c r="S4922" s="12"/>
      <c r="T4922" s="8"/>
      <c r="U4922" s="8"/>
      <c r="V4922" s="13"/>
      <c r="W4922" s="13"/>
      <c r="X4922" s="12"/>
      <c r="Y4922" s="14"/>
      <c r="Z4922" s="14"/>
    </row>
    <row r="4923">
      <c r="A4923" s="8"/>
      <c r="B4923" s="8"/>
      <c r="C4923" s="8"/>
      <c r="D4923" s="8"/>
      <c r="E4923" s="8"/>
      <c r="F4923" s="8"/>
      <c r="G4923" s="8"/>
      <c r="H4923" s="8"/>
      <c r="I4923" s="8"/>
      <c r="J4923" s="8"/>
      <c r="K4923" s="10"/>
      <c r="L4923" s="8"/>
      <c r="M4923" s="8"/>
      <c r="N4923" s="11"/>
      <c r="O4923" s="11"/>
      <c r="P4923" s="11"/>
      <c r="Q4923" s="11"/>
      <c r="R4923" s="11"/>
      <c r="S4923" s="12"/>
      <c r="T4923" s="8"/>
      <c r="U4923" s="8"/>
      <c r="V4923" s="13"/>
      <c r="W4923" s="13"/>
      <c r="X4923" s="12"/>
      <c r="Y4923" s="14"/>
      <c r="Z4923" s="14"/>
    </row>
    <row r="4924">
      <c r="A4924" s="8"/>
      <c r="B4924" s="8"/>
      <c r="C4924" s="8"/>
      <c r="D4924" s="8"/>
      <c r="E4924" s="8"/>
      <c r="F4924" s="8"/>
      <c r="G4924" s="8"/>
      <c r="H4924" s="8"/>
      <c r="I4924" s="8"/>
      <c r="J4924" s="8"/>
      <c r="K4924" s="10"/>
      <c r="L4924" s="8"/>
      <c r="M4924" s="8"/>
      <c r="N4924" s="11"/>
      <c r="O4924" s="11"/>
      <c r="P4924" s="11"/>
      <c r="Q4924" s="11"/>
      <c r="R4924" s="11"/>
      <c r="S4924" s="12"/>
      <c r="T4924" s="8"/>
      <c r="U4924" s="8"/>
      <c r="V4924" s="13"/>
      <c r="W4924" s="13"/>
      <c r="X4924" s="12"/>
      <c r="Y4924" s="14"/>
      <c r="Z4924" s="14"/>
    </row>
    <row r="4925">
      <c r="A4925" s="8"/>
      <c r="B4925" s="8"/>
      <c r="C4925" s="8"/>
      <c r="D4925" s="8"/>
      <c r="E4925" s="8"/>
      <c r="F4925" s="8"/>
      <c r="G4925" s="8"/>
      <c r="H4925" s="8"/>
      <c r="I4925" s="8"/>
      <c r="J4925" s="8"/>
      <c r="K4925" s="10"/>
      <c r="L4925" s="8"/>
      <c r="M4925" s="8"/>
      <c r="N4925" s="11"/>
      <c r="O4925" s="11"/>
      <c r="P4925" s="11"/>
      <c r="Q4925" s="11"/>
      <c r="R4925" s="11"/>
      <c r="S4925" s="12"/>
      <c r="T4925" s="8"/>
      <c r="U4925" s="8"/>
      <c r="V4925" s="13"/>
      <c r="W4925" s="13"/>
      <c r="X4925" s="12"/>
      <c r="Y4925" s="14"/>
      <c r="Z4925" s="14"/>
    </row>
    <row r="4926">
      <c r="A4926" s="8"/>
      <c r="B4926" s="8"/>
      <c r="C4926" s="8"/>
      <c r="D4926" s="8"/>
      <c r="E4926" s="8"/>
      <c r="F4926" s="8"/>
      <c r="G4926" s="8"/>
      <c r="H4926" s="8"/>
      <c r="I4926" s="8"/>
      <c r="J4926" s="8"/>
      <c r="K4926" s="10"/>
      <c r="L4926" s="8"/>
      <c r="M4926" s="8"/>
      <c r="N4926" s="11"/>
      <c r="O4926" s="11"/>
      <c r="P4926" s="11"/>
      <c r="Q4926" s="11"/>
      <c r="R4926" s="11"/>
      <c r="S4926" s="12"/>
      <c r="T4926" s="8"/>
      <c r="U4926" s="8"/>
      <c r="V4926" s="13"/>
      <c r="W4926" s="13"/>
      <c r="X4926" s="12"/>
      <c r="Y4926" s="14"/>
      <c r="Z4926" s="14"/>
    </row>
    <row r="4927">
      <c r="A4927" s="8"/>
      <c r="B4927" s="8"/>
      <c r="C4927" s="8"/>
      <c r="D4927" s="8"/>
      <c r="E4927" s="8"/>
      <c r="F4927" s="8"/>
      <c r="G4927" s="8"/>
      <c r="H4927" s="8"/>
      <c r="I4927" s="8"/>
      <c r="J4927" s="8"/>
      <c r="K4927" s="10"/>
      <c r="L4927" s="8"/>
      <c r="M4927" s="8"/>
      <c r="N4927" s="11"/>
      <c r="O4927" s="11"/>
      <c r="P4927" s="11"/>
      <c r="Q4927" s="11"/>
      <c r="R4927" s="11"/>
      <c r="S4927" s="12"/>
      <c r="T4927" s="8"/>
      <c r="U4927" s="8"/>
      <c r="V4927" s="13"/>
      <c r="W4927" s="13"/>
      <c r="X4927" s="12"/>
      <c r="Y4927" s="14"/>
      <c r="Z4927" s="14"/>
    </row>
    <row r="4928">
      <c r="A4928" s="8"/>
      <c r="B4928" s="8"/>
      <c r="C4928" s="8"/>
      <c r="D4928" s="8"/>
      <c r="E4928" s="8"/>
      <c r="F4928" s="8"/>
      <c r="G4928" s="8"/>
      <c r="H4928" s="8"/>
      <c r="I4928" s="8"/>
      <c r="J4928" s="8"/>
      <c r="K4928" s="10"/>
      <c r="L4928" s="8"/>
      <c r="M4928" s="8"/>
      <c r="N4928" s="11"/>
      <c r="O4928" s="11"/>
      <c r="P4928" s="11"/>
      <c r="Q4928" s="11"/>
      <c r="R4928" s="11"/>
      <c r="S4928" s="12"/>
      <c r="T4928" s="8"/>
      <c r="U4928" s="8"/>
      <c r="V4928" s="13"/>
      <c r="W4928" s="13"/>
      <c r="X4928" s="12"/>
      <c r="Y4928" s="14"/>
      <c r="Z4928" s="14"/>
    </row>
    <row r="4929">
      <c r="A4929" s="8"/>
      <c r="B4929" s="8"/>
      <c r="C4929" s="8"/>
      <c r="D4929" s="8"/>
      <c r="E4929" s="8"/>
      <c r="F4929" s="8"/>
      <c r="G4929" s="8"/>
      <c r="H4929" s="8"/>
      <c r="I4929" s="8"/>
      <c r="J4929" s="8"/>
      <c r="K4929" s="10"/>
      <c r="L4929" s="8"/>
      <c r="M4929" s="8"/>
      <c r="N4929" s="11"/>
      <c r="O4929" s="11"/>
      <c r="P4929" s="11"/>
      <c r="Q4929" s="11"/>
      <c r="R4929" s="11"/>
      <c r="S4929" s="12"/>
      <c r="T4929" s="8"/>
      <c r="U4929" s="8"/>
      <c r="V4929" s="13"/>
      <c r="W4929" s="13"/>
      <c r="X4929" s="12"/>
      <c r="Y4929" s="14"/>
      <c r="Z4929" s="14"/>
    </row>
    <row r="4930">
      <c r="A4930" s="8"/>
      <c r="B4930" s="8"/>
      <c r="C4930" s="8"/>
      <c r="D4930" s="8"/>
      <c r="E4930" s="8"/>
      <c r="F4930" s="8"/>
      <c r="G4930" s="8"/>
      <c r="H4930" s="8"/>
      <c r="I4930" s="8"/>
      <c r="J4930" s="8"/>
      <c r="K4930" s="10"/>
      <c r="L4930" s="8"/>
      <c r="M4930" s="8"/>
      <c r="N4930" s="11"/>
      <c r="O4930" s="11"/>
      <c r="P4930" s="11"/>
      <c r="Q4930" s="11"/>
      <c r="R4930" s="11"/>
      <c r="S4930" s="12"/>
      <c r="T4930" s="8"/>
      <c r="U4930" s="8"/>
      <c r="V4930" s="13"/>
      <c r="W4930" s="13"/>
      <c r="X4930" s="12"/>
      <c r="Y4930" s="14"/>
      <c r="Z4930" s="14"/>
    </row>
    <row r="4931">
      <c r="A4931" s="8"/>
      <c r="B4931" s="8"/>
      <c r="C4931" s="8"/>
      <c r="D4931" s="8"/>
      <c r="E4931" s="8"/>
      <c r="F4931" s="8"/>
      <c r="G4931" s="8"/>
      <c r="H4931" s="8"/>
      <c r="I4931" s="8"/>
      <c r="J4931" s="8"/>
      <c r="K4931" s="10"/>
      <c r="L4931" s="8"/>
      <c r="M4931" s="8"/>
      <c r="N4931" s="11"/>
      <c r="O4931" s="11"/>
      <c r="P4931" s="11"/>
      <c r="Q4931" s="11"/>
      <c r="R4931" s="11"/>
      <c r="S4931" s="12"/>
      <c r="T4931" s="8"/>
      <c r="U4931" s="8"/>
      <c r="V4931" s="13"/>
      <c r="W4931" s="13"/>
      <c r="X4931" s="12"/>
      <c r="Y4931" s="14"/>
      <c r="Z4931" s="14"/>
    </row>
    <row r="4932">
      <c r="A4932" s="8"/>
      <c r="B4932" s="8"/>
      <c r="C4932" s="8"/>
      <c r="D4932" s="8"/>
      <c r="E4932" s="8"/>
      <c r="F4932" s="8"/>
      <c r="G4932" s="8"/>
      <c r="H4932" s="8"/>
      <c r="I4932" s="8"/>
      <c r="J4932" s="8"/>
      <c r="K4932" s="10"/>
      <c r="L4932" s="8"/>
      <c r="M4932" s="8"/>
      <c r="N4932" s="11"/>
      <c r="O4932" s="11"/>
      <c r="P4932" s="11"/>
      <c r="Q4932" s="11"/>
      <c r="R4932" s="11"/>
      <c r="S4932" s="12"/>
      <c r="T4932" s="8"/>
      <c r="U4932" s="8"/>
      <c r="V4932" s="13"/>
      <c r="W4932" s="13"/>
      <c r="X4932" s="12"/>
      <c r="Y4932" s="14"/>
      <c r="Z4932" s="14"/>
    </row>
    <row r="4933">
      <c r="A4933" s="8"/>
      <c r="B4933" s="8"/>
      <c r="C4933" s="8"/>
      <c r="D4933" s="8"/>
      <c r="E4933" s="8"/>
      <c r="F4933" s="8"/>
      <c r="G4933" s="8"/>
      <c r="H4933" s="8"/>
      <c r="I4933" s="8"/>
      <c r="J4933" s="8"/>
      <c r="K4933" s="10"/>
      <c r="L4933" s="8"/>
      <c r="M4933" s="8"/>
      <c r="N4933" s="11"/>
      <c r="O4933" s="11"/>
      <c r="P4933" s="11"/>
      <c r="Q4933" s="11"/>
      <c r="R4933" s="11"/>
      <c r="S4933" s="12"/>
      <c r="T4933" s="8"/>
      <c r="U4933" s="8"/>
      <c r="V4933" s="13"/>
      <c r="W4933" s="13"/>
      <c r="X4933" s="12"/>
      <c r="Y4933" s="14"/>
      <c r="Z4933" s="14"/>
    </row>
    <row r="4934">
      <c r="A4934" s="8"/>
      <c r="B4934" s="8"/>
      <c r="C4934" s="8"/>
      <c r="D4934" s="8"/>
      <c r="E4934" s="8"/>
      <c r="F4934" s="8"/>
      <c r="G4934" s="8"/>
      <c r="H4934" s="8"/>
      <c r="I4934" s="8"/>
      <c r="J4934" s="8"/>
      <c r="K4934" s="10"/>
      <c r="L4934" s="8"/>
      <c r="M4934" s="8"/>
      <c r="N4934" s="11"/>
      <c r="O4934" s="11"/>
      <c r="P4934" s="11"/>
      <c r="Q4934" s="11"/>
      <c r="R4934" s="11"/>
      <c r="S4934" s="12"/>
      <c r="T4934" s="8"/>
      <c r="U4934" s="8"/>
      <c r="V4934" s="13"/>
      <c r="W4934" s="13"/>
      <c r="X4934" s="12"/>
      <c r="Y4934" s="14"/>
      <c r="Z4934" s="14"/>
    </row>
    <row r="4935">
      <c r="A4935" s="8"/>
      <c r="B4935" s="8"/>
      <c r="C4935" s="8"/>
      <c r="D4935" s="8"/>
      <c r="E4935" s="8"/>
      <c r="F4935" s="8"/>
      <c r="G4935" s="8"/>
      <c r="H4935" s="8"/>
      <c r="I4935" s="8"/>
      <c r="J4935" s="8"/>
      <c r="K4935" s="10"/>
      <c r="L4935" s="8"/>
      <c r="M4935" s="8"/>
      <c r="N4935" s="11"/>
      <c r="O4935" s="11"/>
      <c r="P4935" s="11"/>
      <c r="Q4935" s="11"/>
      <c r="R4935" s="11"/>
      <c r="S4935" s="12"/>
      <c r="T4935" s="8"/>
      <c r="U4935" s="8"/>
      <c r="V4935" s="13"/>
      <c r="W4935" s="13"/>
      <c r="X4935" s="12"/>
      <c r="Y4935" s="14"/>
      <c r="Z4935" s="14"/>
    </row>
    <row r="4936">
      <c r="A4936" s="8"/>
      <c r="B4936" s="8"/>
      <c r="C4936" s="8"/>
      <c r="D4936" s="8"/>
      <c r="E4936" s="8"/>
      <c r="F4936" s="8"/>
      <c r="G4936" s="8"/>
      <c r="H4936" s="8"/>
      <c r="I4936" s="8"/>
      <c r="J4936" s="8"/>
      <c r="K4936" s="10"/>
      <c r="L4936" s="8"/>
      <c r="M4936" s="8"/>
      <c r="N4936" s="11"/>
      <c r="O4936" s="11"/>
      <c r="P4936" s="11"/>
      <c r="Q4936" s="11"/>
      <c r="R4936" s="11"/>
      <c r="S4936" s="12"/>
      <c r="T4936" s="8"/>
      <c r="U4936" s="8"/>
      <c r="V4936" s="13"/>
      <c r="W4936" s="13"/>
      <c r="X4936" s="12"/>
      <c r="Y4936" s="14"/>
      <c r="Z4936" s="14"/>
    </row>
    <row r="4937">
      <c r="A4937" s="8"/>
      <c r="B4937" s="8"/>
      <c r="C4937" s="8"/>
      <c r="D4937" s="8"/>
      <c r="E4937" s="8"/>
      <c r="F4937" s="8"/>
      <c r="G4937" s="8"/>
      <c r="H4937" s="8"/>
      <c r="I4937" s="8"/>
      <c r="J4937" s="8"/>
      <c r="K4937" s="10"/>
      <c r="L4937" s="8"/>
      <c r="M4937" s="8"/>
      <c r="N4937" s="11"/>
      <c r="O4937" s="11"/>
      <c r="P4937" s="11"/>
      <c r="Q4937" s="11"/>
      <c r="R4937" s="11"/>
      <c r="S4937" s="12"/>
      <c r="T4937" s="8"/>
      <c r="U4937" s="8"/>
      <c r="V4937" s="13"/>
      <c r="W4937" s="13"/>
      <c r="X4937" s="12"/>
      <c r="Y4937" s="14"/>
      <c r="Z4937" s="14"/>
    </row>
    <row r="4938">
      <c r="A4938" s="8"/>
      <c r="B4938" s="8"/>
      <c r="C4938" s="8"/>
      <c r="D4938" s="8"/>
      <c r="E4938" s="8"/>
      <c r="F4938" s="8"/>
      <c r="G4938" s="8"/>
      <c r="H4938" s="8"/>
      <c r="I4938" s="8"/>
      <c r="J4938" s="8"/>
      <c r="K4938" s="10"/>
      <c r="L4938" s="8"/>
      <c r="M4938" s="8"/>
      <c r="N4938" s="11"/>
      <c r="O4938" s="11"/>
      <c r="P4938" s="11"/>
      <c r="Q4938" s="11"/>
      <c r="R4938" s="11"/>
      <c r="S4938" s="12"/>
      <c r="T4938" s="8"/>
      <c r="U4938" s="8"/>
      <c r="V4938" s="13"/>
      <c r="W4938" s="13"/>
      <c r="X4938" s="12"/>
      <c r="Y4938" s="14"/>
      <c r="Z4938" s="14"/>
    </row>
    <row r="4939">
      <c r="A4939" s="8"/>
      <c r="B4939" s="8"/>
      <c r="C4939" s="8"/>
      <c r="D4939" s="8"/>
      <c r="E4939" s="8"/>
      <c r="F4939" s="8"/>
      <c r="G4939" s="8"/>
      <c r="H4939" s="8"/>
      <c r="I4939" s="8"/>
      <c r="J4939" s="8"/>
      <c r="K4939" s="10"/>
      <c r="L4939" s="8"/>
      <c r="M4939" s="8"/>
      <c r="N4939" s="11"/>
      <c r="O4939" s="11"/>
      <c r="P4939" s="11"/>
      <c r="Q4939" s="11"/>
      <c r="R4939" s="11"/>
      <c r="S4939" s="12"/>
      <c r="T4939" s="8"/>
      <c r="U4939" s="8"/>
      <c r="V4939" s="13"/>
      <c r="W4939" s="13"/>
      <c r="X4939" s="12"/>
      <c r="Y4939" s="14"/>
      <c r="Z4939" s="14"/>
    </row>
    <row r="4940">
      <c r="A4940" s="8"/>
      <c r="B4940" s="8"/>
      <c r="C4940" s="8"/>
      <c r="D4940" s="8"/>
      <c r="E4940" s="8"/>
      <c r="F4940" s="8"/>
      <c r="G4940" s="8"/>
      <c r="H4940" s="8"/>
      <c r="I4940" s="8"/>
      <c r="J4940" s="8"/>
      <c r="K4940" s="10"/>
      <c r="L4940" s="8"/>
      <c r="M4940" s="8"/>
      <c r="N4940" s="11"/>
      <c r="O4940" s="11"/>
      <c r="P4940" s="11"/>
      <c r="Q4940" s="11"/>
      <c r="R4940" s="11"/>
      <c r="S4940" s="12"/>
      <c r="T4940" s="8"/>
      <c r="U4940" s="8"/>
      <c r="V4940" s="13"/>
      <c r="W4940" s="13"/>
      <c r="X4940" s="12"/>
      <c r="Y4940" s="14"/>
      <c r="Z4940" s="14"/>
    </row>
    <row r="4941">
      <c r="A4941" s="8"/>
      <c r="B4941" s="8"/>
      <c r="C4941" s="8"/>
      <c r="D4941" s="8"/>
      <c r="E4941" s="8"/>
      <c r="F4941" s="8"/>
      <c r="G4941" s="8"/>
      <c r="H4941" s="8"/>
      <c r="I4941" s="8"/>
      <c r="J4941" s="8"/>
      <c r="K4941" s="10"/>
      <c r="L4941" s="8"/>
      <c r="M4941" s="8"/>
      <c r="N4941" s="11"/>
      <c r="O4941" s="11"/>
      <c r="P4941" s="11"/>
      <c r="Q4941" s="11"/>
      <c r="R4941" s="11"/>
      <c r="S4941" s="12"/>
      <c r="T4941" s="8"/>
      <c r="U4941" s="8"/>
      <c r="V4941" s="13"/>
      <c r="W4941" s="13"/>
      <c r="X4941" s="12"/>
      <c r="Y4941" s="14"/>
      <c r="Z4941" s="14"/>
    </row>
    <row r="4942">
      <c r="A4942" s="8"/>
      <c r="B4942" s="8"/>
      <c r="C4942" s="8"/>
      <c r="D4942" s="8"/>
      <c r="E4942" s="8"/>
      <c r="F4942" s="8"/>
      <c r="G4942" s="8"/>
      <c r="H4942" s="8"/>
      <c r="I4942" s="8"/>
      <c r="J4942" s="8"/>
      <c r="K4942" s="10"/>
      <c r="L4942" s="8"/>
      <c r="M4942" s="8"/>
      <c r="N4942" s="11"/>
      <c r="O4942" s="11"/>
      <c r="P4942" s="11"/>
      <c r="Q4942" s="11"/>
      <c r="R4942" s="11"/>
      <c r="S4942" s="12"/>
      <c r="T4942" s="8"/>
      <c r="U4942" s="8"/>
      <c r="V4942" s="13"/>
      <c r="W4942" s="13"/>
      <c r="X4942" s="12"/>
      <c r="Y4942" s="14"/>
      <c r="Z4942" s="14"/>
    </row>
    <row r="4943">
      <c r="A4943" s="8"/>
      <c r="B4943" s="8"/>
      <c r="C4943" s="8"/>
      <c r="D4943" s="8"/>
      <c r="E4943" s="8"/>
      <c r="F4943" s="8"/>
      <c r="G4943" s="8"/>
      <c r="H4943" s="8"/>
      <c r="I4943" s="8"/>
      <c r="J4943" s="8"/>
      <c r="K4943" s="10"/>
      <c r="L4943" s="8"/>
      <c r="M4943" s="8"/>
      <c r="N4943" s="11"/>
      <c r="O4943" s="11"/>
      <c r="P4943" s="11"/>
      <c r="Q4943" s="11"/>
      <c r="R4943" s="11"/>
      <c r="S4943" s="12"/>
      <c r="T4943" s="8"/>
      <c r="U4943" s="8"/>
      <c r="V4943" s="13"/>
      <c r="W4943" s="13"/>
      <c r="X4943" s="12"/>
      <c r="Y4943" s="14"/>
      <c r="Z4943" s="14"/>
    </row>
    <row r="4944">
      <c r="A4944" s="8"/>
      <c r="B4944" s="8"/>
      <c r="C4944" s="8"/>
      <c r="D4944" s="8"/>
      <c r="E4944" s="8"/>
      <c r="F4944" s="8"/>
      <c r="G4944" s="8"/>
      <c r="H4944" s="8"/>
      <c r="I4944" s="8"/>
      <c r="J4944" s="8"/>
      <c r="K4944" s="10"/>
      <c r="L4944" s="8"/>
      <c r="M4944" s="8"/>
      <c r="N4944" s="11"/>
      <c r="O4944" s="11"/>
      <c r="P4944" s="11"/>
      <c r="Q4944" s="11"/>
      <c r="R4944" s="11"/>
      <c r="S4944" s="12"/>
      <c r="T4944" s="8"/>
      <c r="U4944" s="8"/>
      <c r="V4944" s="13"/>
      <c r="W4944" s="13"/>
      <c r="X4944" s="12"/>
      <c r="Y4944" s="14"/>
      <c r="Z4944" s="14"/>
    </row>
    <row r="4945">
      <c r="A4945" s="8"/>
      <c r="B4945" s="8"/>
      <c r="C4945" s="8"/>
      <c r="D4945" s="8"/>
      <c r="E4945" s="8"/>
      <c r="F4945" s="8"/>
      <c r="G4945" s="8"/>
      <c r="H4945" s="8"/>
      <c r="I4945" s="8"/>
      <c r="J4945" s="8"/>
      <c r="K4945" s="10"/>
      <c r="L4945" s="8"/>
      <c r="M4945" s="8"/>
      <c r="N4945" s="11"/>
      <c r="O4945" s="11"/>
      <c r="P4945" s="11"/>
      <c r="Q4945" s="11"/>
      <c r="R4945" s="11"/>
      <c r="S4945" s="12"/>
      <c r="T4945" s="8"/>
      <c r="U4945" s="8"/>
      <c r="V4945" s="13"/>
      <c r="W4945" s="13"/>
      <c r="X4945" s="12"/>
      <c r="Y4945" s="14"/>
      <c r="Z4945" s="14"/>
    </row>
    <row r="4946">
      <c r="A4946" s="8"/>
      <c r="B4946" s="8"/>
      <c r="C4946" s="8"/>
      <c r="D4946" s="8"/>
      <c r="E4946" s="8"/>
      <c r="F4946" s="8"/>
      <c r="G4946" s="8"/>
      <c r="H4946" s="8"/>
      <c r="I4946" s="8"/>
      <c r="J4946" s="8"/>
      <c r="K4946" s="10"/>
      <c r="L4946" s="8"/>
      <c r="M4946" s="8"/>
      <c r="N4946" s="11"/>
      <c r="O4946" s="11"/>
      <c r="P4946" s="11"/>
      <c r="Q4946" s="11"/>
      <c r="R4946" s="11"/>
      <c r="S4946" s="12"/>
      <c r="T4946" s="8"/>
      <c r="U4946" s="8"/>
      <c r="V4946" s="13"/>
      <c r="W4946" s="13"/>
      <c r="X4946" s="12"/>
      <c r="Y4946" s="14"/>
      <c r="Z4946" s="14"/>
    </row>
    <row r="4947">
      <c r="A4947" s="8"/>
      <c r="B4947" s="8"/>
      <c r="C4947" s="8"/>
      <c r="D4947" s="8"/>
      <c r="E4947" s="8"/>
      <c r="F4947" s="8"/>
      <c r="G4947" s="8"/>
      <c r="H4947" s="8"/>
      <c r="I4947" s="8"/>
      <c r="J4947" s="8"/>
      <c r="K4947" s="10"/>
      <c r="L4947" s="8"/>
      <c r="M4947" s="8"/>
      <c r="N4947" s="11"/>
      <c r="O4947" s="11"/>
      <c r="P4947" s="11"/>
      <c r="Q4947" s="11"/>
      <c r="R4947" s="11"/>
      <c r="S4947" s="12"/>
      <c r="T4947" s="8"/>
      <c r="U4947" s="8"/>
      <c r="V4947" s="13"/>
      <c r="W4947" s="13"/>
      <c r="X4947" s="12"/>
      <c r="Y4947" s="14"/>
      <c r="Z4947" s="14"/>
    </row>
    <row r="4948">
      <c r="A4948" s="8"/>
      <c r="B4948" s="8"/>
      <c r="C4948" s="8"/>
      <c r="D4948" s="8"/>
      <c r="E4948" s="8"/>
      <c r="F4948" s="8"/>
      <c r="G4948" s="8"/>
      <c r="H4948" s="8"/>
      <c r="I4948" s="8"/>
      <c r="J4948" s="8"/>
      <c r="K4948" s="10"/>
      <c r="L4948" s="8"/>
      <c r="M4948" s="8"/>
      <c r="N4948" s="11"/>
      <c r="O4948" s="11"/>
      <c r="P4948" s="11"/>
      <c r="Q4948" s="11"/>
      <c r="R4948" s="11"/>
      <c r="S4948" s="12"/>
      <c r="T4948" s="8"/>
      <c r="U4948" s="8"/>
      <c r="V4948" s="13"/>
      <c r="W4948" s="13"/>
      <c r="X4948" s="12"/>
      <c r="Y4948" s="14"/>
      <c r="Z4948" s="14"/>
    </row>
    <row r="4949">
      <c r="A4949" s="8"/>
      <c r="B4949" s="8"/>
      <c r="C4949" s="8"/>
      <c r="D4949" s="8"/>
      <c r="E4949" s="8"/>
      <c r="F4949" s="8"/>
      <c r="G4949" s="8"/>
      <c r="H4949" s="8"/>
      <c r="I4949" s="8"/>
      <c r="J4949" s="8"/>
      <c r="K4949" s="10"/>
      <c r="L4949" s="8"/>
      <c r="M4949" s="8"/>
      <c r="N4949" s="11"/>
      <c r="O4949" s="11"/>
      <c r="P4949" s="11"/>
      <c r="Q4949" s="11"/>
      <c r="R4949" s="11"/>
      <c r="S4949" s="12"/>
      <c r="T4949" s="8"/>
      <c r="U4949" s="8"/>
      <c r="V4949" s="13"/>
      <c r="W4949" s="13"/>
      <c r="X4949" s="12"/>
      <c r="Y4949" s="14"/>
      <c r="Z4949" s="14"/>
    </row>
    <row r="4950">
      <c r="A4950" s="8"/>
      <c r="B4950" s="8"/>
      <c r="C4950" s="8"/>
      <c r="D4950" s="8"/>
      <c r="E4950" s="8"/>
      <c r="F4950" s="8"/>
      <c r="G4950" s="8"/>
      <c r="H4950" s="8"/>
      <c r="I4950" s="8"/>
      <c r="J4950" s="8"/>
      <c r="K4950" s="10"/>
      <c r="L4950" s="8"/>
      <c r="M4950" s="8"/>
      <c r="N4950" s="11"/>
      <c r="O4950" s="11"/>
      <c r="P4950" s="11"/>
      <c r="Q4950" s="11"/>
      <c r="R4950" s="11"/>
      <c r="S4950" s="12"/>
      <c r="T4950" s="8"/>
      <c r="U4950" s="8"/>
      <c r="V4950" s="13"/>
      <c r="W4950" s="13"/>
      <c r="X4950" s="12"/>
      <c r="Y4950" s="14"/>
      <c r="Z4950" s="14"/>
    </row>
    <row r="4951">
      <c r="A4951" s="8"/>
      <c r="B4951" s="8"/>
      <c r="C4951" s="8"/>
      <c r="D4951" s="8"/>
      <c r="E4951" s="8"/>
      <c r="F4951" s="8"/>
      <c r="G4951" s="8"/>
      <c r="H4951" s="8"/>
      <c r="I4951" s="8"/>
      <c r="J4951" s="8"/>
      <c r="K4951" s="10"/>
      <c r="L4951" s="8"/>
      <c r="M4951" s="8"/>
      <c r="N4951" s="11"/>
      <c r="O4951" s="11"/>
      <c r="P4951" s="11"/>
      <c r="Q4951" s="11"/>
      <c r="R4951" s="11"/>
      <c r="S4951" s="12"/>
      <c r="T4951" s="8"/>
      <c r="U4951" s="8"/>
      <c r="V4951" s="13"/>
      <c r="W4951" s="13"/>
      <c r="X4951" s="12"/>
      <c r="Y4951" s="14"/>
      <c r="Z4951" s="14"/>
    </row>
    <row r="4952">
      <c r="A4952" s="8"/>
      <c r="B4952" s="8"/>
      <c r="C4952" s="8"/>
      <c r="D4952" s="8"/>
      <c r="E4952" s="8"/>
      <c r="F4952" s="8"/>
      <c r="G4952" s="8"/>
      <c r="H4952" s="8"/>
      <c r="I4952" s="8"/>
      <c r="J4952" s="8"/>
      <c r="K4952" s="10"/>
      <c r="L4952" s="8"/>
      <c r="M4952" s="8"/>
      <c r="N4952" s="11"/>
      <c r="O4952" s="11"/>
      <c r="P4952" s="11"/>
      <c r="Q4952" s="11"/>
      <c r="R4952" s="11"/>
      <c r="S4952" s="12"/>
      <c r="T4952" s="8"/>
      <c r="U4952" s="8"/>
      <c r="V4952" s="13"/>
      <c r="W4952" s="13"/>
      <c r="X4952" s="12"/>
      <c r="Y4952" s="14"/>
      <c r="Z4952" s="14"/>
    </row>
    <row r="4953">
      <c r="A4953" s="8"/>
      <c r="B4953" s="8"/>
      <c r="C4953" s="8"/>
      <c r="D4953" s="8"/>
      <c r="E4953" s="8"/>
      <c r="F4953" s="8"/>
      <c r="G4953" s="8"/>
      <c r="H4953" s="8"/>
      <c r="I4953" s="8"/>
      <c r="J4953" s="8"/>
      <c r="K4953" s="10"/>
      <c r="L4953" s="8"/>
      <c r="M4953" s="8"/>
      <c r="N4953" s="11"/>
      <c r="O4953" s="11"/>
      <c r="P4953" s="11"/>
      <c r="Q4953" s="11"/>
      <c r="R4953" s="11"/>
      <c r="S4953" s="12"/>
      <c r="T4953" s="8"/>
      <c r="U4953" s="8"/>
      <c r="V4953" s="13"/>
      <c r="W4953" s="13"/>
      <c r="X4953" s="12"/>
      <c r="Y4953" s="14"/>
      <c r="Z4953" s="14"/>
    </row>
    <row r="4954">
      <c r="A4954" s="8"/>
      <c r="B4954" s="8"/>
      <c r="C4954" s="8"/>
      <c r="D4954" s="8"/>
      <c r="E4954" s="8"/>
      <c r="F4954" s="8"/>
      <c r="G4954" s="8"/>
      <c r="H4954" s="8"/>
      <c r="I4954" s="8"/>
      <c r="J4954" s="8"/>
      <c r="K4954" s="10"/>
      <c r="L4954" s="8"/>
      <c r="M4954" s="8"/>
      <c r="N4954" s="11"/>
      <c r="O4954" s="11"/>
      <c r="P4954" s="11"/>
      <c r="Q4954" s="11"/>
      <c r="R4954" s="11"/>
      <c r="S4954" s="12"/>
      <c r="T4954" s="8"/>
      <c r="U4954" s="8"/>
      <c r="V4954" s="13"/>
      <c r="W4954" s="13"/>
      <c r="X4954" s="12"/>
      <c r="Y4954" s="14"/>
      <c r="Z4954" s="14"/>
    </row>
    <row r="4955">
      <c r="A4955" s="8"/>
      <c r="B4955" s="8"/>
      <c r="C4955" s="8"/>
      <c r="D4955" s="8"/>
      <c r="E4955" s="8"/>
      <c r="F4955" s="8"/>
      <c r="G4955" s="8"/>
      <c r="H4955" s="8"/>
      <c r="I4955" s="8"/>
      <c r="J4955" s="8"/>
      <c r="K4955" s="10"/>
      <c r="L4955" s="8"/>
      <c r="M4955" s="8"/>
      <c r="N4955" s="11"/>
      <c r="O4955" s="11"/>
      <c r="P4955" s="11"/>
      <c r="Q4955" s="11"/>
      <c r="R4955" s="11"/>
      <c r="S4955" s="12"/>
      <c r="T4955" s="8"/>
      <c r="U4955" s="8"/>
      <c r="V4955" s="13"/>
      <c r="W4955" s="13"/>
      <c r="X4955" s="12"/>
      <c r="Y4955" s="14"/>
      <c r="Z4955" s="14"/>
    </row>
    <row r="4956">
      <c r="A4956" s="8"/>
      <c r="B4956" s="8"/>
      <c r="C4956" s="8"/>
      <c r="D4956" s="8"/>
      <c r="E4956" s="8"/>
      <c r="F4956" s="8"/>
      <c r="G4956" s="8"/>
      <c r="H4956" s="8"/>
      <c r="I4956" s="8"/>
      <c r="J4956" s="8"/>
      <c r="K4956" s="10"/>
      <c r="L4956" s="8"/>
      <c r="M4956" s="8"/>
      <c r="N4956" s="11"/>
      <c r="O4956" s="11"/>
      <c r="P4956" s="11"/>
      <c r="Q4956" s="11"/>
      <c r="R4956" s="11"/>
      <c r="S4956" s="12"/>
      <c r="T4956" s="8"/>
      <c r="U4956" s="8"/>
      <c r="V4956" s="13"/>
      <c r="W4956" s="13"/>
      <c r="X4956" s="12"/>
      <c r="Y4956" s="14"/>
      <c r="Z4956" s="14"/>
    </row>
    <row r="4957">
      <c r="A4957" s="8"/>
      <c r="B4957" s="8"/>
      <c r="C4957" s="8"/>
      <c r="D4957" s="8"/>
      <c r="E4957" s="8"/>
      <c r="F4957" s="8"/>
      <c r="G4957" s="8"/>
      <c r="H4957" s="8"/>
      <c r="I4957" s="8"/>
      <c r="J4957" s="8"/>
      <c r="K4957" s="10"/>
      <c r="L4957" s="8"/>
      <c r="M4957" s="8"/>
      <c r="N4957" s="11"/>
      <c r="O4957" s="11"/>
      <c r="P4957" s="11"/>
      <c r="Q4957" s="11"/>
      <c r="R4957" s="11"/>
      <c r="S4957" s="12"/>
      <c r="T4957" s="8"/>
      <c r="U4957" s="8"/>
      <c r="V4957" s="13"/>
      <c r="W4957" s="13"/>
      <c r="X4957" s="12"/>
      <c r="Y4957" s="14"/>
      <c r="Z4957" s="14"/>
    </row>
    <row r="4958">
      <c r="A4958" s="8"/>
      <c r="B4958" s="8"/>
      <c r="C4958" s="8"/>
      <c r="D4958" s="8"/>
      <c r="E4958" s="8"/>
      <c r="F4958" s="8"/>
      <c r="G4958" s="8"/>
      <c r="H4958" s="8"/>
      <c r="I4958" s="8"/>
      <c r="J4958" s="8"/>
      <c r="K4958" s="10"/>
      <c r="L4958" s="8"/>
      <c r="M4958" s="8"/>
      <c r="N4958" s="11"/>
      <c r="O4958" s="11"/>
      <c r="P4958" s="11"/>
      <c r="Q4958" s="11"/>
      <c r="R4958" s="11"/>
      <c r="S4958" s="12"/>
      <c r="T4958" s="8"/>
      <c r="U4958" s="8"/>
      <c r="V4958" s="13"/>
      <c r="W4958" s="13"/>
      <c r="X4958" s="12"/>
      <c r="Y4958" s="14"/>
      <c r="Z4958" s="14"/>
    </row>
    <row r="4959">
      <c r="A4959" s="8"/>
      <c r="B4959" s="8"/>
      <c r="C4959" s="8"/>
      <c r="D4959" s="8"/>
      <c r="E4959" s="8"/>
      <c r="F4959" s="8"/>
      <c r="G4959" s="8"/>
      <c r="H4959" s="8"/>
      <c r="I4959" s="8"/>
      <c r="J4959" s="8"/>
      <c r="K4959" s="10"/>
      <c r="L4959" s="8"/>
      <c r="M4959" s="8"/>
      <c r="N4959" s="11"/>
      <c r="O4959" s="11"/>
      <c r="P4959" s="11"/>
      <c r="Q4959" s="11"/>
      <c r="R4959" s="11"/>
      <c r="S4959" s="12"/>
      <c r="T4959" s="8"/>
      <c r="U4959" s="8"/>
      <c r="V4959" s="13"/>
      <c r="W4959" s="13"/>
      <c r="X4959" s="12"/>
      <c r="Y4959" s="14"/>
      <c r="Z4959" s="14"/>
    </row>
    <row r="4960">
      <c r="A4960" s="8"/>
      <c r="B4960" s="8"/>
      <c r="C4960" s="8"/>
      <c r="D4960" s="8"/>
      <c r="E4960" s="8"/>
      <c r="F4960" s="8"/>
      <c r="G4960" s="8"/>
      <c r="H4960" s="8"/>
      <c r="I4960" s="8"/>
      <c r="J4960" s="8"/>
      <c r="K4960" s="10"/>
      <c r="L4960" s="8"/>
      <c r="M4960" s="8"/>
      <c r="N4960" s="11"/>
      <c r="O4960" s="11"/>
      <c r="P4960" s="11"/>
      <c r="Q4960" s="11"/>
      <c r="R4960" s="11"/>
      <c r="S4960" s="12"/>
      <c r="T4960" s="8"/>
      <c r="U4960" s="8"/>
      <c r="V4960" s="13"/>
      <c r="W4960" s="13"/>
      <c r="X4960" s="12"/>
      <c r="Y4960" s="14"/>
      <c r="Z4960" s="14"/>
    </row>
    <row r="4961">
      <c r="A4961" s="8"/>
      <c r="B4961" s="8"/>
      <c r="C4961" s="8"/>
      <c r="D4961" s="8"/>
      <c r="E4961" s="8"/>
      <c r="F4961" s="8"/>
      <c r="G4961" s="8"/>
      <c r="H4961" s="8"/>
      <c r="I4961" s="8"/>
      <c r="J4961" s="8"/>
      <c r="K4961" s="10"/>
      <c r="L4961" s="8"/>
      <c r="M4961" s="8"/>
      <c r="N4961" s="11"/>
      <c r="O4961" s="11"/>
      <c r="P4961" s="11"/>
      <c r="Q4961" s="11"/>
      <c r="R4961" s="11"/>
      <c r="S4961" s="12"/>
      <c r="T4961" s="8"/>
      <c r="U4961" s="8"/>
      <c r="V4961" s="13"/>
      <c r="W4961" s="13"/>
      <c r="X4961" s="12"/>
      <c r="Y4961" s="14"/>
      <c r="Z4961" s="14"/>
    </row>
    <row r="4962">
      <c r="A4962" s="8"/>
      <c r="B4962" s="8"/>
      <c r="C4962" s="8"/>
      <c r="D4962" s="8"/>
      <c r="E4962" s="8"/>
      <c r="F4962" s="8"/>
      <c r="G4962" s="8"/>
      <c r="H4962" s="8"/>
      <c r="I4962" s="8"/>
      <c r="J4962" s="8"/>
      <c r="K4962" s="10"/>
      <c r="L4962" s="8"/>
      <c r="M4962" s="8"/>
      <c r="N4962" s="11"/>
      <c r="O4962" s="11"/>
      <c r="P4962" s="11"/>
      <c r="Q4962" s="11"/>
      <c r="R4962" s="11"/>
      <c r="S4962" s="12"/>
      <c r="T4962" s="8"/>
      <c r="U4962" s="8"/>
      <c r="V4962" s="13"/>
      <c r="W4962" s="13"/>
      <c r="X4962" s="12"/>
      <c r="Y4962" s="14"/>
      <c r="Z4962" s="14"/>
    </row>
    <row r="4963">
      <c r="A4963" s="8"/>
      <c r="B4963" s="8"/>
      <c r="C4963" s="8"/>
      <c r="D4963" s="8"/>
      <c r="E4963" s="8"/>
      <c r="F4963" s="8"/>
      <c r="G4963" s="8"/>
      <c r="H4963" s="8"/>
      <c r="I4963" s="8"/>
      <c r="J4963" s="8"/>
      <c r="K4963" s="10"/>
      <c r="L4963" s="8"/>
      <c r="M4963" s="8"/>
      <c r="N4963" s="11"/>
      <c r="O4963" s="11"/>
      <c r="P4963" s="11"/>
      <c r="Q4963" s="11"/>
      <c r="R4963" s="11"/>
      <c r="S4963" s="12"/>
      <c r="T4963" s="8"/>
      <c r="U4963" s="8"/>
      <c r="V4963" s="13"/>
      <c r="W4963" s="13"/>
      <c r="X4963" s="12"/>
      <c r="Y4963" s="14"/>
      <c r="Z4963" s="14"/>
    </row>
    <row r="4964">
      <c r="A4964" s="8"/>
      <c r="B4964" s="8"/>
      <c r="C4964" s="8"/>
      <c r="D4964" s="8"/>
      <c r="E4964" s="8"/>
      <c r="F4964" s="8"/>
      <c r="G4964" s="8"/>
      <c r="H4964" s="8"/>
      <c r="I4964" s="8"/>
      <c r="J4964" s="8"/>
      <c r="K4964" s="10"/>
      <c r="L4964" s="8"/>
      <c r="M4964" s="8"/>
      <c r="N4964" s="11"/>
      <c r="O4964" s="11"/>
      <c r="P4964" s="11"/>
      <c r="Q4964" s="11"/>
      <c r="R4964" s="11"/>
      <c r="S4964" s="12"/>
      <c r="T4964" s="8"/>
      <c r="U4964" s="8"/>
      <c r="V4964" s="13"/>
      <c r="W4964" s="13"/>
      <c r="X4964" s="12"/>
      <c r="Y4964" s="14"/>
      <c r="Z4964" s="14"/>
    </row>
    <row r="4965">
      <c r="A4965" s="8"/>
      <c r="B4965" s="8"/>
      <c r="C4965" s="8"/>
      <c r="D4965" s="8"/>
      <c r="E4965" s="8"/>
      <c r="F4965" s="8"/>
      <c r="G4965" s="8"/>
      <c r="H4965" s="8"/>
      <c r="I4965" s="8"/>
      <c r="J4965" s="8"/>
      <c r="K4965" s="10"/>
      <c r="L4965" s="8"/>
      <c r="M4965" s="8"/>
      <c r="N4965" s="11"/>
      <c r="O4965" s="11"/>
      <c r="P4965" s="11"/>
      <c r="Q4965" s="11"/>
      <c r="R4965" s="11"/>
      <c r="S4965" s="12"/>
      <c r="T4965" s="8"/>
      <c r="U4965" s="8"/>
      <c r="V4965" s="13"/>
      <c r="W4965" s="13"/>
      <c r="X4965" s="12"/>
      <c r="Y4965" s="14"/>
      <c r="Z4965" s="14"/>
    </row>
    <row r="4966">
      <c r="A4966" s="8"/>
      <c r="B4966" s="8"/>
      <c r="C4966" s="8"/>
      <c r="D4966" s="8"/>
      <c r="E4966" s="8"/>
      <c r="F4966" s="8"/>
      <c r="G4966" s="8"/>
      <c r="H4966" s="8"/>
      <c r="I4966" s="8"/>
      <c r="J4966" s="8"/>
      <c r="K4966" s="10"/>
      <c r="L4966" s="8"/>
      <c r="M4966" s="8"/>
      <c r="N4966" s="11"/>
      <c r="O4966" s="11"/>
      <c r="P4966" s="11"/>
      <c r="Q4966" s="11"/>
      <c r="R4966" s="11"/>
      <c r="S4966" s="12"/>
      <c r="T4966" s="8"/>
      <c r="U4966" s="8"/>
      <c r="V4966" s="13"/>
      <c r="W4966" s="13"/>
      <c r="X4966" s="12"/>
      <c r="Y4966" s="14"/>
      <c r="Z4966" s="14"/>
    </row>
    <row r="4967">
      <c r="A4967" s="8"/>
      <c r="B4967" s="8"/>
      <c r="C4967" s="8"/>
      <c r="D4967" s="8"/>
      <c r="E4967" s="8"/>
      <c r="F4967" s="8"/>
      <c r="G4967" s="8"/>
      <c r="H4967" s="8"/>
      <c r="I4967" s="8"/>
      <c r="J4967" s="8"/>
      <c r="K4967" s="10"/>
      <c r="L4967" s="8"/>
      <c r="M4967" s="8"/>
      <c r="N4967" s="11"/>
      <c r="O4967" s="11"/>
      <c r="P4967" s="11"/>
      <c r="Q4967" s="11"/>
      <c r="R4967" s="11"/>
      <c r="S4967" s="12"/>
      <c r="T4967" s="8"/>
      <c r="U4967" s="8"/>
      <c r="V4967" s="13"/>
      <c r="W4967" s="13"/>
      <c r="X4967" s="12"/>
      <c r="Y4967" s="14"/>
      <c r="Z4967" s="14"/>
    </row>
    <row r="4968">
      <c r="A4968" s="8"/>
      <c r="B4968" s="8"/>
      <c r="C4968" s="8"/>
      <c r="D4968" s="8"/>
      <c r="E4968" s="8"/>
      <c r="F4968" s="8"/>
      <c r="G4968" s="8"/>
      <c r="H4968" s="8"/>
      <c r="I4968" s="8"/>
      <c r="J4968" s="8"/>
      <c r="K4968" s="10"/>
      <c r="L4968" s="8"/>
      <c r="M4968" s="8"/>
      <c r="N4968" s="11"/>
      <c r="O4968" s="11"/>
      <c r="P4968" s="11"/>
      <c r="Q4968" s="11"/>
      <c r="R4968" s="11"/>
      <c r="S4968" s="12"/>
      <c r="T4968" s="8"/>
      <c r="U4968" s="8"/>
      <c r="V4968" s="13"/>
      <c r="W4968" s="13"/>
      <c r="X4968" s="12"/>
      <c r="Y4968" s="14"/>
      <c r="Z4968" s="14"/>
    </row>
    <row r="4969">
      <c r="A4969" s="8"/>
      <c r="B4969" s="8"/>
      <c r="C4969" s="8"/>
      <c r="D4969" s="8"/>
      <c r="E4969" s="8"/>
      <c r="F4969" s="8"/>
      <c r="G4969" s="8"/>
      <c r="H4969" s="8"/>
      <c r="I4969" s="8"/>
      <c r="J4969" s="8"/>
      <c r="K4969" s="10"/>
      <c r="L4969" s="8"/>
      <c r="M4969" s="8"/>
      <c r="N4969" s="11"/>
      <c r="O4969" s="11"/>
      <c r="P4969" s="11"/>
      <c r="Q4969" s="11"/>
      <c r="R4969" s="11"/>
      <c r="S4969" s="12"/>
      <c r="T4969" s="8"/>
      <c r="U4969" s="8"/>
      <c r="V4969" s="13"/>
      <c r="W4969" s="13"/>
      <c r="X4969" s="12"/>
      <c r="Y4969" s="14"/>
      <c r="Z4969" s="14"/>
    </row>
    <row r="4970">
      <c r="A4970" s="8"/>
      <c r="B4970" s="8"/>
      <c r="C4970" s="8"/>
      <c r="D4970" s="8"/>
      <c r="E4970" s="8"/>
      <c r="F4970" s="8"/>
      <c r="G4970" s="8"/>
      <c r="H4970" s="8"/>
      <c r="I4970" s="8"/>
      <c r="J4970" s="8"/>
      <c r="K4970" s="10"/>
      <c r="L4970" s="8"/>
      <c r="M4970" s="8"/>
      <c r="N4970" s="11"/>
      <c r="O4970" s="11"/>
      <c r="P4970" s="11"/>
      <c r="Q4970" s="11"/>
      <c r="R4970" s="11"/>
      <c r="S4970" s="12"/>
      <c r="T4970" s="8"/>
      <c r="U4970" s="8"/>
      <c r="V4970" s="13"/>
      <c r="W4970" s="13"/>
      <c r="X4970" s="12"/>
      <c r="Y4970" s="14"/>
      <c r="Z4970" s="14"/>
    </row>
    <row r="4971">
      <c r="A4971" s="8"/>
      <c r="B4971" s="8"/>
      <c r="C4971" s="8"/>
      <c r="D4971" s="8"/>
      <c r="E4971" s="8"/>
      <c r="F4971" s="8"/>
      <c r="G4971" s="8"/>
      <c r="H4971" s="8"/>
      <c r="I4971" s="8"/>
      <c r="J4971" s="8"/>
      <c r="K4971" s="10"/>
      <c r="L4971" s="8"/>
      <c r="M4971" s="8"/>
      <c r="N4971" s="11"/>
      <c r="O4971" s="11"/>
      <c r="P4971" s="11"/>
      <c r="Q4971" s="11"/>
      <c r="R4971" s="11"/>
      <c r="S4971" s="12"/>
      <c r="T4971" s="8"/>
      <c r="U4971" s="8"/>
      <c r="V4971" s="13"/>
      <c r="W4971" s="13"/>
      <c r="X4971" s="12"/>
      <c r="Y4971" s="14"/>
      <c r="Z4971" s="14"/>
    </row>
    <row r="4972">
      <c r="A4972" s="8"/>
      <c r="B4972" s="8"/>
      <c r="C4972" s="8"/>
      <c r="D4972" s="8"/>
      <c r="E4972" s="8"/>
      <c r="F4972" s="8"/>
      <c r="G4972" s="8"/>
      <c r="H4972" s="8"/>
      <c r="I4972" s="8"/>
      <c r="J4972" s="8"/>
      <c r="K4972" s="10"/>
      <c r="L4972" s="8"/>
      <c r="M4972" s="8"/>
      <c r="N4972" s="11"/>
      <c r="O4972" s="11"/>
      <c r="P4972" s="11"/>
      <c r="Q4972" s="11"/>
      <c r="R4972" s="11"/>
      <c r="S4972" s="12"/>
      <c r="T4972" s="8"/>
      <c r="U4972" s="8"/>
      <c r="V4972" s="13"/>
      <c r="W4972" s="13"/>
      <c r="X4972" s="12"/>
      <c r="Y4972" s="14"/>
      <c r="Z4972" s="14"/>
    </row>
    <row r="4973">
      <c r="A4973" s="8"/>
      <c r="B4973" s="8"/>
      <c r="C4973" s="8"/>
      <c r="D4973" s="8"/>
      <c r="E4973" s="8"/>
      <c r="F4973" s="8"/>
      <c r="G4973" s="8"/>
      <c r="H4973" s="8"/>
      <c r="I4973" s="8"/>
      <c r="J4973" s="8"/>
      <c r="K4973" s="10"/>
      <c r="L4973" s="8"/>
      <c r="M4973" s="8"/>
      <c r="N4973" s="11"/>
      <c r="O4973" s="11"/>
      <c r="P4973" s="11"/>
      <c r="Q4973" s="11"/>
      <c r="R4973" s="11"/>
      <c r="S4973" s="12"/>
      <c r="T4973" s="8"/>
      <c r="U4973" s="8"/>
      <c r="V4973" s="13"/>
      <c r="W4973" s="13"/>
      <c r="X4973" s="12"/>
      <c r="Y4973" s="14"/>
      <c r="Z4973" s="14"/>
    </row>
    <row r="4974">
      <c r="A4974" s="8"/>
      <c r="B4974" s="8"/>
      <c r="C4974" s="8"/>
      <c r="D4974" s="8"/>
      <c r="E4974" s="8"/>
      <c r="F4974" s="8"/>
      <c r="G4974" s="8"/>
      <c r="H4974" s="8"/>
      <c r="I4974" s="8"/>
      <c r="J4974" s="8"/>
      <c r="K4974" s="10"/>
      <c r="L4974" s="8"/>
      <c r="M4974" s="8"/>
      <c r="N4974" s="11"/>
      <c r="O4974" s="11"/>
      <c r="P4974" s="11"/>
      <c r="Q4974" s="11"/>
      <c r="R4974" s="11"/>
      <c r="S4974" s="12"/>
      <c r="T4974" s="8"/>
      <c r="U4974" s="8"/>
      <c r="V4974" s="13"/>
      <c r="W4974" s="13"/>
      <c r="X4974" s="12"/>
      <c r="Y4974" s="14"/>
      <c r="Z4974" s="14"/>
    </row>
    <row r="4975">
      <c r="A4975" s="8"/>
      <c r="B4975" s="8"/>
      <c r="C4975" s="8"/>
      <c r="D4975" s="8"/>
      <c r="E4975" s="8"/>
      <c r="F4975" s="8"/>
      <c r="G4975" s="8"/>
      <c r="H4975" s="8"/>
      <c r="I4975" s="8"/>
      <c r="J4975" s="8"/>
      <c r="K4975" s="10"/>
      <c r="L4975" s="8"/>
      <c r="M4975" s="8"/>
      <c r="N4975" s="11"/>
      <c r="O4975" s="11"/>
      <c r="P4975" s="11"/>
      <c r="Q4975" s="11"/>
      <c r="R4975" s="11"/>
      <c r="S4975" s="12"/>
      <c r="T4975" s="8"/>
      <c r="U4975" s="8"/>
      <c r="V4975" s="13"/>
      <c r="W4975" s="13"/>
      <c r="X4975" s="12"/>
      <c r="Y4975" s="14"/>
      <c r="Z4975" s="14"/>
    </row>
    <row r="4976">
      <c r="A4976" s="8"/>
      <c r="B4976" s="8"/>
      <c r="C4976" s="8"/>
      <c r="D4976" s="8"/>
      <c r="E4976" s="8"/>
      <c r="F4976" s="8"/>
      <c r="G4976" s="8"/>
      <c r="H4976" s="8"/>
      <c r="I4976" s="8"/>
      <c r="J4976" s="8"/>
      <c r="K4976" s="10"/>
      <c r="L4976" s="8"/>
      <c r="M4976" s="8"/>
      <c r="N4976" s="11"/>
      <c r="O4976" s="11"/>
      <c r="P4976" s="11"/>
      <c r="Q4976" s="11"/>
      <c r="R4976" s="11"/>
      <c r="S4976" s="12"/>
      <c r="T4976" s="8"/>
      <c r="U4976" s="8"/>
      <c r="V4976" s="13"/>
      <c r="W4976" s="13"/>
      <c r="X4976" s="12"/>
      <c r="Y4976" s="14"/>
      <c r="Z4976" s="14"/>
    </row>
    <row r="4977">
      <c r="A4977" s="8"/>
      <c r="B4977" s="8"/>
      <c r="C4977" s="8"/>
      <c r="D4977" s="8"/>
      <c r="E4977" s="8"/>
      <c r="F4977" s="8"/>
      <c r="G4977" s="8"/>
      <c r="H4977" s="8"/>
      <c r="I4977" s="8"/>
      <c r="J4977" s="8"/>
      <c r="K4977" s="10"/>
      <c r="L4977" s="8"/>
      <c r="M4977" s="8"/>
      <c r="N4977" s="11"/>
      <c r="O4977" s="11"/>
      <c r="P4977" s="11"/>
      <c r="Q4977" s="11"/>
      <c r="R4977" s="11"/>
      <c r="S4977" s="12"/>
      <c r="T4977" s="8"/>
      <c r="U4977" s="8"/>
      <c r="V4977" s="13"/>
      <c r="W4977" s="13"/>
      <c r="X4977" s="12"/>
      <c r="Y4977" s="14"/>
      <c r="Z4977" s="14"/>
    </row>
    <row r="4978">
      <c r="A4978" s="8"/>
      <c r="B4978" s="8"/>
      <c r="C4978" s="8"/>
      <c r="D4978" s="8"/>
      <c r="E4978" s="8"/>
      <c r="F4978" s="8"/>
      <c r="G4978" s="8"/>
      <c r="H4978" s="8"/>
      <c r="I4978" s="8"/>
      <c r="J4978" s="8"/>
      <c r="K4978" s="10"/>
      <c r="L4978" s="8"/>
      <c r="M4978" s="8"/>
      <c r="N4978" s="11"/>
      <c r="O4978" s="11"/>
      <c r="P4978" s="11"/>
      <c r="Q4978" s="11"/>
      <c r="R4978" s="11"/>
      <c r="S4978" s="12"/>
      <c r="T4978" s="8"/>
      <c r="U4978" s="8"/>
      <c r="V4978" s="13"/>
      <c r="W4978" s="13"/>
      <c r="X4978" s="12"/>
      <c r="Y4978" s="14"/>
      <c r="Z4978" s="14"/>
    </row>
    <row r="4979">
      <c r="A4979" s="8"/>
      <c r="B4979" s="8"/>
      <c r="C4979" s="8"/>
      <c r="D4979" s="8"/>
      <c r="E4979" s="8"/>
      <c r="F4979" s="8"/>
      <c r="G4979" s="8"/>
      <c r="H4979" s="8"/>
      <c r="I4979" s="8"/>
      <c r="J4979" s="8"/>
      <c r="K4979" s="10"/>
      <c r="L4979" s="8"/>
      <c r="M4979" s="8"/>
      <c r="N4979" s="11"/>
      <c r="O4979" s="11"/>
      <c r="P4979" s="11"/>
      <c r="Q4979" s="11"/>
      <c r="R4979" s="11"/>
      <c r="S4979" s="12"/>
      <c r="T4979" s="8"/>
      <c r="U4979" s="8"/>
      <c r="V4979" s="13"/>
      <c r="W4979" s="13"/>
      <c r="X4979" s="12"/>
      <c r="Y4979" s="14"/>
      <c r="Z4979" s="14"/>
    </row>
    <row r="4980">
      <c r="A4980" s="8"/>
      <c r="B4980" s="8"/>
      <c r="C4980" s="8"/>
      <c r="D4980" s="8"/>
      <c r="E4980" s="8"/>
      <c r="F4980" s="8"/>
      <c r="G4980" s="8"/>
      <c r="H4980" s="8"/>
      <c r="I4980" s="8"/>
      <c r="J4980" s="8"/>
      <c r="K4980" s="10"/>
      <c r="L4980" s="8"/>
      <c r="M4980" s="8"/>
      <c r="N4980" s="11"/>
      <c r="O4980" s="11"/>
      <c r="P4980" s="11"/>
      <c r="Q4980" s="11"/>
      <c r="R4980" s="11"/>
      <c r="S4980" s="12"/>
      <c r="T4980" s="8"/>
      <c r="U4980" s="8"/>
      <c r="V4980" s="13"/>
      <c r="W4980" s="13"/>
      <c r="X4980" s="12"/>
      <c r="Y4980" s="14"/>
      <c r="Z4980" s="14"/>
    </row>
    <row r="4981">
      <c r="A4981" s="8"/>
      <c r="B4981" s="8"/>
      <c r="C4981" s="8"/>
      <c r="D4981" s="8"/>
      <c r="E4981" s="8"/>
      <c r="F4981" s="8"/>
      <c r="G4981" s="8"/>
      <c r="H4981" s="8"/>
      <c r="I4981" s="8"/>
      <c r="J4981" s="8"/>
      <c r="K4981" s="10"/>
      <c r="L4981" s="8"/>
      <c r="M4981" s="8"/>
      <c r="N4981" s="11"/>
      <c r="O4981" s="11"/>
      <c r="P4981" s="11"/>
      <c r="Q4981" s="11"/>
      <c r="R4981" s="11"/>
      <c r="S4981" s="12"/>
      <c r="T4981" s="8"/>
      <c r="U4981" s="8"/>
      <c r="V4981" s="13"/>
      <c r="W4981" s="13"/>
      <c r="X4981" s="12"/>
      <c r="Y4981" s="14"/>
      <c r="Z4981" s="14"/>
    </row>
    <row r="4982">
      <c r="A4982" s="8"/>
      <c r="B4982" s="8"/>
      <c r="C4982" s="8"/>
      <c r="D4982" s="8"/>
      <c r="E4982" s="8"/>
      <c r="F4982" s="8"/>
      <c r="G4982" s="8"/>
      <c r="H4982" s="8"/>
      <c r="I4982" s="8"/>
      <c r="J4982" s="8"/>
      <c r="K4982" s="10"/>
      <c r="L4982" s="8"/>
      <c r="M4982" s="8"/>
      <c r="N4982" s="11"/>
      <c r="O4982" s="11"/>
      <c r="P4982" s="11"/>
      <c r="Q4982" s="11"/>
      <c r="R4982" s="11"/>
      <c r="S4982" s="12"/>
      <c r="T4982" s="8"/>
      <c r="U4982" s="8"/>
      <c r="V4982" s="13"/>
      <c r="W4982" s="13"/>
      <c r="X4982" s="12"/>
      <c r="Y4982" s="14"/>
      <c r="Z4982" s="14"/>
    </row>
    <row r="4983">
      <c r="A4983" s="8"/>
      <c r="B4983" s="8"/>
      <c r="C4983" s="8"/>
      <c r="D4983" s="8"/>
      <c r="E4983" s="8"/>
      <c r="F4983" s="8"/>
      <c r="G4983" s="8"/>
      <c r="H4983" s="8"/>
      <c r="I4983" s="8"/>
      <c r="J4983" s="8"/>
      <c r="K4983" s="10"/>
      <c r="L4983" s="8"/>
      <c r="M4983" s="8"/>
      <c r="N4983" s="11"/>
      <c r="O4983" s="11"/>
      <c r="P4983" s="11"/>
      <c r="Q4983" s="11"/>
      <c r="R4983" s="11"/>
      <c r="S4983" s="12"/>
      <c r="T4983" s="8"/>
      <c r="U4983" s="8"/>
      <c r="V4983" s="13"/>
      <c r="W4983" s="13"/>
      <c r="X4983" s="12"/>
      <c r="Y4983" s="14"/>
      <c r="Z4983" s="14"/>
    </row>
    <row r="4984">
      <c r="A4984" s="8"/>
      <c r="B4984" s="8"/>
      <c r="C4984" s="8"/>
      <c r="D4984" s="8"/>
      <c r="E4984" s="8"/>
      <c r="F4984" s="8"/>
      <c r="G4984" s="8"/>
      <c r="H4984" s="8"/>
      <c r="I4984" s="8"/>
      <c r="J4984" s="8"/>
      <c r="K4984" s="10"/>
      <c r="L4984" s="8"/>
      <c r="M4984" s="8"/>
      <c r="N4984" s="11"/>
      <c r="O4984" s="11"/>
      <c r="P4984" s="11"/>
      <c r="Q4984" s="11"/>
      <c r="R4984" s="11"/>
      <c r="S4984" s="12"/>
      <c r="T4984" s="8"/>
      <c r="U4984" s="8"/>
      <c r="V4984" s="13"/>
      <c r="W4984" s="13"/>
      <c r="X4984" s="12"/>
      <c r="Y4984" s="14"/>
      <c r="Z4984" s="14"/>
    </row>
    <row r="4985">
      <c r="A4985" s="8"/>
      <c r="B4985" s="8"/>
      <c r="C4985" s="8"/>
      <c r="D4985" s="8"/>
      <c r="E4985" s="8"/>
      <c r="F4985" s="8"/>
      <c r="G4985" s="8"/>
      <c r="H4985" s="8"/>
      <c r="I4985" s="8"/>
      <c r="J4985" s="8"/>
      <c r="K4985" s="10"/>
      <c r="L4985" s="8"/>
      <c r="M4985" s="8"/>
      <c r="N4985" s="11"/>
      <c r="O4985" s="11"/>
      <c r="P4985" s="11"/>
      <c r="Q4985" s="11"/>
      <c r="R4985" s="11"/>
      <c r="S4985" s="12"/>
      <c r="T4985" s="8"/>
      <c r="U4985" s="8"/>
      <c r="V4985" s="13"/>
      <c r="W4985" s="13"/>
      <c r="X4985" s="12"/>
      <c r="Y4985" s="14"/>
      <c r="Z4985" s="14"/>
    </row>
    <row r="4986">
      <c r="A4986" s="8"/>
      <c r="B4986" s="8"/>
      <c r="C4986" s="8"/>
      <c r="D4986" s="8"/>
      <c r="E4986" s="8"/>
      <c r="F4986" s="8"/>
      <c r="G4986" s="8"/>
      <c r="H4986" s="8"/>
      <c r="I4986" s="8"/>
      <c r="J4986" s="8"/>
      <c r="K4986" s="10"/>
      <c r="L4986" s="8"/>
      <c r="M4986" s="8"/>
      <c r="N4986" s="11"/>
      <c r="O4986" s="11"/>
      <c r="P4986" s="11"/>
      <c r="Q4986" s="11"/>
      <c r="R4986" s="11"/>
      <c r="S4986" s="12"/>
      <c r="T4986" s="8"/>
      <c r="U4986" s="8"/>
      <c r="V4986" s="13"/>
      <c r="W4986" s="13"/>
      <c r="X4986" s="12"/>
      <c r="Y4986" s="14"/>
      <c r="Z4986" s="14"/>
    </row>
    <row r="4987">
      <c r="A4987" s="8"/>
      <c r="B4987" s="8"/>
      <c r="C4987" s="8"/>
      <c r="D4987" s="8"/>
      <c r="E4987" s="8"/>
      <c r="F4987" s="8"/>
      <c r="G4987" s="8"/>
      <c r="H4987" s="8"/>
      <c r="I4987" s="8"/>
      <c r="J4987" s="8"/>
      <c r="K4987" s="10"/>
      <c r="L4987" s="8"/>
      <c r="M4987" s="8"/>
      <c r="N4987" s="11"/>
      <c r="O4987" s="11"/>
      <c r="P4987" s="11"/>
      <c r="Q4987" s="11"/>
      <c r="R4987" s="11"/>
      <c r="S4987" s="12"/>
      <c r="T4987" s="8"/>
      <c r="U4987" s="8"/>
      <c r="V4987" s="13"/>
      <c r="W4987" s="13"/>
      <c r="X4987" s="12"/>
      <c r="Y4987" s="14"/>
      <c r="Z4987" s="14"/>
    </row>
    <row r="4988">
      <c r="A4988" s="8"/>
      <c r="B4988" s="8"/>
      <c r="C4988" s="8"/>
      <c r="D4988" s="8"/>
      <c r="E4988" s="8"/>
      <c r="F4988" s="8"/>
      <c r="G4988" s="8"/>
      <c r="H4988" s="8"/>
      <c r="I4988" s="8"/>
      <c r="J4988" s="8"/>
      <c r="K4988" s="10"/>
      <c r="L4988" s="8"/>
      <c r="M4988" s="8"/>
      <c r="N4988" s="11"/>
      <c r="O4988" s="11"/>
      <c r="P4988" s="11"/>
      <c r="Q4988" s="11"/>
      <c r="R4988" s="11"/>
      <c r="S4988" s="12"/>
      <c r="T4988" s="8"/>
      <c r="U4988" s="8"/>
      <c r="V4988" s="13"/>
      <c r="W4988" s="13"/>
      <c r="X4988" s="12"/>
      <c r="Y4988" s="14"/>
      <c r="Z4988" s="14"/>
    </row>
    <row r="4989">
      <c r="A4989" s="8"/>
      <c r="B4989" s="8"/>
      <c r="C4989" s="8"/>
      <c r="D4989" s="8"/>
      <c r="E4989" s="8"/>
      <c r="F4989" s="8"/>
      <c r="G4989" s="8"/>
      <c r="H4989" s="8"/>
      <c r="I4989" s="8"/>
      <c r="J4989" s="8"/>
      <c r="K4989" s="10"/>
      <c r="L4989" s="8"/>
      <c r="M4989" s="8"/>
      <c r="N4989" s="11"/>
      <c r="O4989" s="11"/>
      <c r="P4989" s="11"/>
      <c r="Q4989" s="11"/>
      <c r="R4989" s="11"/>
      <c r="S4989" s="12"/>
      <c r="T4989" s="8"/>
      <c r="U4989" s="8"/>
      <c r="V4989" s="13"/>
      <c r="W4989" s="13"/>
      <c r="X4989" s="12"/>
      <c r="Y4989" s="14"/>
      <c r="Z4989" s="14"/>
    </row>
    <row r="4990">
      <c r="A4990" s="8"/>
      <c r="B4990" s="8"/>
      <c r="C4990" s="8"/>
      <c r="D4990" s="8"/>
      <c r="E4990" s="8"/>
      <c r="F4990" s="8"/>
      <c r="G4990" s="8"/>
      <c r="H4990" s="8"/>
      <c r="I4990" s="8"/>
      <c r="J4990" s="8"/>
      <c r="K4990" s="10"/>
      <c r="L4990" s="8"/>
      <c r="M4990" s="8"/>
      <c r="N4990" s="11"/>
      <c r="O4990" s="11"/>
      <c r="P4990" s="11"/>
      <c r="Q4990" s="11"/>
      <c r="R4990" s="11"/>
      <c r="S4990" s="12"/>
      <c r="T4990" s="8"/>
      <c r="U4990" s="8"/>
      <c r="V4990" s="13"/>
      <c r="W4990" s="13"/>
      <c r="X4990" s="12"/>
      <c r="Y4990" s="14"/>
      <c r="Z4990" s="14"/>
    </row>
    <row r="4991">
      <c r="A4991" s="8"/>
      <c r="B4991" s="8"/>
      <c r="C4991" s="8"/>
      <c r="D4991" s="8"/>
      <c r="E4991" s="8"/>
      <c r="F4991" s="8"/>
      <c r="G4991" s="8"/>
      <c r="H4991" s="8"/>
      <c r="I4991" s="8"/>
      <c r="J4991" s="8"/>
      <c r="K4991" s="10"/>
      <c r="L4991" s="8"/>
      <c r="M4991" s="8"/>
      <c r="N4991" s="11"/>
      <c r="O4991" s="11"/>
      <c r="P4991" s="11"/>
      <c r="Q4991" s="11"/>
      <c r="R4991" s="11"/>
      <c r="S4991" s="12"/>
      <c r="T4991" s="8"/>
      <c r="U4991" s="8"/>
      <c r="V4991" s="13"/>
      <c r="W4991" s="13"/>
      <c r="X4991" s="12"/>
      <c r="Y4991" s="14"/>
      <c r="Z4991" s="14"/>
    </row>
    <row r="4992">
      <c r="A4992" s="8"/>
      <c r="B4992" s="8"/>
      <c r="C4992" s="8"/>
      <c r="D4992" s="8"/>
      <c r="E4992" s="8"/>
      <c r="F4992" s="8"/>
      <c r="G4992" s="8"/>
      <c r="H4992" s="8"/>
      <c r="I4992" s="8"/>
      <c r="J4992" s="8"/>
      <c r="K4992" s="10"/>
      <c r="L4992" s="8"/>
      <c r="M4992" s="8"/>
      <c r="N4992" s="11"/>
      <c r="O4992" s="11"/>
      <c r="P4992" s="11"/>
      <c r="Q4992" s="11"/>
      <c r="R4992" s="11"/>
      <c r="S4992" s="12"/>
      <c r="T4992" s="8"/>
      <c r="U4992" s="8"/>
      <c r="V4992" s="13"/>
      <c r="W4992" s="13"/>
      <c r="X4992" s="12"/>
      <c r="Y4992" s="14"/>
      <c r="Z4992" s="14"/>
    </row>
    <row r="4993">
      <c r="A4993" s="8"/>
      <c r="B4993" s="8"/>
      <c r="C4993" s="8"/>
      <c r="D4993" s="8"/>
      <c r="E4993" s="8"/>
      <c r="F4993" s="8"/>
      <c r="G4993" s="8"/>
      <c r="H4993" s="8"/>
      <c r="I4993" s="8"/>
      <c r="J4993" s="8"/>
      <c r="K4993" s="10"/>
      <c r="L4993" s="8"/>
      <c r="M4993" s="8"/>
      <c r="N4993" s="11"/>
      <c r="O4993" s="11"/>
      <c r="P4993" s="11"/>
      <c r="Q4993" s="11"/>
      <c r="R4993" s="11"/>
      <c r="S4993" s="12"/>
      <c r="T4993" s="8"/>
      <c r="U4993" s="8"/>
      <c r="V4993" s="13"/>
      <c r="W4993" s="13"/>
      <c r="X4993" s="12"/>
      <c r="Y4993" s="14"/>
      <c r="Z4993" s="14"/>
    </row>
    <row r="4994">
      <c r="A4994" s="8"/>
      <c r="B4994" s="8"/>
      <c r="C4994" s="8"/>
      <c r="D4994" s="8"/>
      <c r="E4994" s="8"/>
      <c r="F4994" s="8"/>
      <c r="G4994" s="8"/>
      <c r="H4994" s="8"/>
      <c r="I4994" s="8"/>
      <c r="J4994" s="8"/>
      <c r="K4994" s="10"/>
      <c r="L4994" s="8"/>
      <c r="M4994" s="8"/>
      <c r="N4994" s="11"/>
      <c r="O4994" s="11"/>
      <c r="P4994" s="11"/>
      <c r="Q4994" s="11"/>
      <c r="R4994" s="11"/>
      <c r="S4994" s="12"/>
      <c r="T4994" s="8"/>
      <c r="U4994" s="8"/>
      <c r="V4994" s="13"/>
      <c r="W4994" s="13"/>
      <c r="X4994" s="12"/>
      <c r="Y4994" s="14"/>
      <c r="Z4994" s="14"/>
    </row>
    <row r="4995">
      <c r="A4995" s="8"/>
      <c r="B4995" s="8"/>
      <c r="C4995" s="8"/>
      <c r="D4995" s="8"/>
      <c r="E4995" s="8"/>
      <c r="F4995" s="8"/>
      <c r="G4995" s="8"/>
      <c r="H4995" s="8"/>
      <c r="I4995" s="8"/>
      <c r="J4995" s="8"/>
      <c r="K4995" s="10"/>
      <c r="L4995" s="8"/>
      <c r="M4995" s="8"/>
      <c r="N4995" s="11"/>
      <c r="O4995" s="11"/>
      <c r="P4995" s="11"/>
      <c r="Q4995" s="11"/>
      <c r="R4995" s="11"/>
      <c r="S4995" s="12"/>
      <c r="T4995" s="8"/>
      <c r="U4995" s="8"/>
      <c r="V4995" s="13"/>
      <c r="W4995" s="13"/>
      <c r="X4995" s="12"/>
      <c r="Y4995" s="14"/>
      <c r="Z4995" s="14"/>
    </row>
    <row r="4996">
      <c r="A4996" s="8"/>
      <c r="B4996" s="8"/>
      <c r="C4996" s="8"/>
      <c r="D4996" s="8"/>
      <c r="E4996" s="8"/>
      <c r="F4996" s="8"/>
      <c r="G4996" s="8"/>
      <c r="H4996" s="8"/>
      <c r="I4996" s="8"/>
      <c r="J4996" s="8"/>
      <c r="K4996" s="10"/>
      <c r="L4996" s="8"/>
      <c r="M4996" s="8"/>
      <c r="N4996" s="11"/>
      <c r="O4996" s="11"/>
      <c r="P4996" s="11"/>
      <c r="Q4996" s="11"/>
      <c r="R4996" s="11"/>
      <c r="S4996" s="12"/>
      <c r="T4996" s="8"/>
      <c r="U4996" s="8"/>
      <c r="V4996" s="13"/>
      <c r="W4996" s="13"/>
      <c r="X4996" s="12"/>
      <c r="Y4996" s="14"/>
      <c r="Z4996" s="14"/>
    </row>
    <row r="4997">
      <c r="A4997" s="8"/>
      <c r="B4997" s="8"/>
      <c r="C4997" s="8"/>
      <c r="D4997" s="8"/>
      <c r="E4997" s="8"/>
      <c r="F4997" s="8"/>
      <c r="G4997" s="8"/>
      <c r="H4997" s="8"/>
      <c r="I4997" s="8"/>
      <c r="J4997" s="8"/>
      <c r="K4997" s="10"/>
      <c r="L4997" s="8"/>
      <c r="M4997" s="8"/>
      <c r="N4997" s="11"/>
      <c r="O4997" s="11"/>
      <c r="P4997" s="11"/>
      <c r="Q4997" s="11"/>
      <c r="R4997" s="11"/>
      <c r="S4997" s="12"/>
      <c r="T4997" s="8"/>
      <c r="U4997" s="8"/>
      <c r="V4997" s="13"/>
      <c r="W4997" s="13"/>
      <c r="X4997" s="12"/>
      <c r="Y4997" s="14"/>
      <c r="Z4997" s="14"/>
    </row>
    <row r="4998">
      <c r="A4998" s="8"/>
      <c r="B4998" s="8"/>
      <c r="C4998" s="8"/>
      <c r="D4998" s="8"/>
      <c r="E4998" s="8"/>
      <c r="F4998" s="8"/>
      <c r="G4998" s="8"/>
      <c r="H4998" s="8"/>
      <c r="I4998" s="8"/>
      <c r="J4998" s="8"/>
      <c r="K4998" s="10"/>
      <c r="L4998" s="8"/>
      <c r="M4998" s="8"/>
      <c r="N4998" s="11"/>
      <c r="O4998" s="11"/>
      <c r="P4998" s="11"/>
      <c r="Q4998" s="11"/>
      <c r="R4998" s="11"/>
      <c r="S4998" s="12"/>
      <c r="T4998" s="8"/>
      <c r="U4998" s="8"/>
      <c r="V4998" s="13"/>
      <c r="W4998" s="13"/>
      <c r="X4998" s="12"/>
      <c r="Y4998" s="14"/>
      <c r="Z4998" s="14"/>
    </row>
    <row r="4999">
      <c r="A4999" s="8"/>
      <c r="B4999" s="8"/>
      <c r="C4999" s="8"/>
      <c r="D4999" s="8"/>
      <c r="E4999" s="8"/>
      <c r="F4999" s="8"/>
      <c r="G4999" s="8"/>
      <c r="H4999" s="8"/>
      <c r="I4999" s="8"/>
      <c r="J4999" s="8"/>
      <c r="K4999" s="10"/>
      <c r="L4999" s="8"/>
      <c r="M4999" s="8"/>
      <c r="N4999" s="11"/>
      <c r="O4999" s="11"/>
      <c r="P4999" s="11"/>
      <c r="Q4999" s="11"/>
      <c r="R4999" s="11"/>
      <c r="S4999" s="12"/>
      <c r="T4999" s="8"/>
      <c r="U4999" s="8"/>
      <c r="V4999" s="13"/>
      <c r="W4999" s="13"/>
      <c r="X4999" s="12"/>
      <c r="Y4999" s="14"/>
      <c r="Z4999" s="14"/>
    </row>
    <row r="5000">
      <c r="A5000" s="8"/>
      <c r="B5000" s="8"/>
      <c r="C5000" s="8"/>
      <c r="D5000" s="8"/>
      <c r="E5000" s="8"/>
      <c r="F5000" s="8"/>
      <c r="G5000" s="8"/>
      <c r="H5000" s="8"/>
      <c r="I5000" s="8"/>
      <c r="J5000" s="8"/>
      <c r="K5000" s="10"/>
      <c r="L5000" s="8"/>
      <c r="M5000" s="8"/>
      <c r="N5000" s="11"/>
      <c r="O5000" s="11"/>
      <c r="P5000" s="11"/>
      <c r="Q5000" s="11"/>
      <c r="R5000" s="11"/>
      <c r="S5000" s="12"/>
      <c r="T5000" s="8"/>
      <c r="U5000" s="8"/>
      <c r="V5000" s="13"/>
      <c r="W5000" s="13"/>
      <c r="X5000" s="12"/>
      <c r="Y5000" s="14"/>
      <c r="Z5000" s="14"/>
    </row>
    <row r="5001">
      <c r="A5001" s="8"/>
      <c r="B5001" s="8"/>
      <c r="C5001" s="8"/>
      <c r="D5001" s="8"/>
      <c r="E5001" s="8"/>
      <c r="F5001" s="8"/>
      <c r="G5001" s="8"/>
      <c r="H5001" s="8"/>
      <c r="I5001" s="8"/>
      <c r="J5001" s="8"/>
      <c r="K5001" s="10"/>
      <c r="L5001" s="8"/>
      <c r="M5001" s="8"/>
      <c r="N5001" s="11"/>
      <c r="O5001" s="11"/>
      <c r="P5001" s="11"/>
      <c r="Q5001" s="11"/>
      <c r="R5001" s="11"/>
      <c r="S5001" s="12"/>
      <c r="T5001" s="8"/>
      <c r="U5001" s="8"/>
      <c r="V5001" s="13"/>
      <c r="W5001" s="13"/>
      <c r="X5001" s="12"/>
      <c r="Y5001" s="14"/>
      <c r="Z5001" s="14"/>
    </row>
    <row r="5002">
      <c r="A5002" s="8"/>
      <c r="B5002" s="8"/>
      <c r="C5002" s="8"/>
      <c r="D5002" s="8"/>
      <c r="E5002" s="8"/>
      <c r="F5002" s="8"/>
      <c r="G5002" s="8"/>
      <c r="H5002" s="8"/>
      <c r="I5002" s="8"/>
      <c r="J5002" s="8"/>
      <c r="K5002" s="10"/>
      <c r="L5002" s="8"/>
      <c r="M5002" s="8"/>
      <c r="N5002" s="11"/>
      <c r="O5002" s="11"/>
      <c r="P5002" s="11"/>
      <c r="Q5002" s="11"/>
      <c r="R5002" s="11"/>
      <c r="S5002" s="12"/>
      <c r="T5002" s="8"/>
      <c r="U5002" s="8"/>
      <c r="V5002" s="13"/>
      <c r="W5002" s="13"/>
      <c r="X5002" s="12"/>
      <c r="Y5002" s="14"/>
      <c r="Z5002" s="14"/>
    </row>
    <row r="5003">
      <c r="A5003" s="8"/>
      <c r="B5003" s="8"/>
      <c r="C5003" s="8"/>
      <c r="D5003" s="8"/>
      <c r="E5003" s="8"/>
      <c r="F5003" s="8"/>
      <c r="G5003" s="8"/>
      <c r="H5003" s="8"/>
      <c r="I5003" s="8"/>
      <c r="J5003" s="8"/>
      <c r="K5003" s="10"/>
      <c r="L5003" s="8"/>
      <c r="M5003" s="8"/>
      <c r="N5003" s="11"/>
      <c r="O5003" s="11"/>
      <c r="P5003" s="11"/>
      <c r="Q5003" s="11"/>
      <c r="R5003" s="11"/>
      <c r="S5003" s="12"/>
      <c r="T5003" s="8"/>
      <c r="U5003" s="8"/>
      <c r="V5003" s="13"/>
      <c r="W5003" s="13"/>
      <c r="X5003" s="12"/>
      <c r="Y5003" s="14"/>
      <c r="Z5003" s="14"/>
    </row>
    <row r="5004">
      <c r="A5004" s="8"/>
      <c r="B5004" s="8"/>
      <c r="C5004" s="8"/>
      <c r="D5004" s="8"/>
      <c r="E5004" s="8"/>
      <c r="F5004" s="8"/>
      <c r="G5004" s="8"/>
      <c r="H5004" s="8"/>
      <c r="I5004" s="8"/>
      <c r="J5004" s="8"/>
      <c r="K5004" s="10"/>
      <c r="L5004" s="8"/>
      <c r="M5004" s="8"/>
      <c r="N5004" s="11"/>
      <c r="O5004" s="11"/>
      <c r="P5004" s="11"/>
      <c r="Q5004" s="11"/>
      <c r="R5004" s="11"/>
      <c r="S5004" s="12"/>
      <c r="T5004" s="8"/>
      <c r="U5004" s="8"/>
      <c r="V5004" s="13"/>
      <c r="W5004" s="13"/>
      <c r="X5004" s="12"/>
      <c r="Y5004" s="14"/>
      <c r="Z5004" s="14"/>
    </row>
    <row r="5005">
      <c r="A5005" s="8"/>
      <c r="B5005" s="8"/>
      <c r="C5005" s="8"/>
      <c r="D5005" s="8"/>
      <c r="E5005" s="8"/>
      <c r="F5005" s="8"/>
      <c r="G5005" s="8"/>
      <c r="H5005" s="8"/>
      <c r="I5005" s="8"/>
      <c r="J5005" s="8"/>
      <c r="K5005" s="10"/>
      <c r="L5005" s="8"/>
      <c r="M5005" s="8"/>
      <c r="N5005" s="11"/>
      <c r="O5005" s="11"/>
      <c r="P5005" s="11"/>
      <c r="Q5005" s="11"/>
      <c r="R5005" s="11"/>
      <c r="S5005" s="12"/>
      <c r="T5005" s="8"/>
      <c r="U5005" s="8"/>
      <c r="V5005" s="13"/>
      <c r="W5005" s="13"/>
      <c r="X5005" s="12"/>
      <c r="Y5005" s="14"/>
      <c r="Z5005" s="14"/>
    </row>
    <row r="5006">
      <c r="A5006" s="8"/>
      <c r="B5006" s="8"/>
      <c r="C5006" s="8"/>
      <c r="D5006" s="8"/>
      <c r="E5006" s="8"/>
      <c r="F5006" s="8"/>
      <c r="G5006" s="8"/>
      <c r="H5006" s="8"/>
      <c r="I5006" s="8"/>
      <c r="J5006" s="8"/>
      <c r="K5006" s="10"/>
      <c r="L5006" s="8"/>
      <c r="M5006" s="8"/>
      <c r="N5006" s="11"/>
      <c r="O5006" s="11"/>
      <c r="P5006" s="11"/>
      <c r="Q5006" s="11"/>
      <c r="R5006" s="11"/>
      <c r="S5006" s="12"/>
      <c r="T5006" s="8"/>
      <c r="U5006" s="8"/>
      <c r="V5006" s="13"/>
      <c r="W5006" s="13"/>
      <c r="X5006" s="12"/>
      <c r="Y5006" s="14"/>
      <c r="Z5006" s="14"/>
    </row>
    <row r="5007">
      <c r="A5007" s="8"/>
      <c r="B5007" s="8"/>
      <c r="C5007" s="8"/>
      <c r="D5007" s="8"/>
      <c r="E5007" s="8"/>
      <c r="F5007" s="8"/>
      <c r="G5007" s="8"/>
      <c r="H5007" s="8"/>
      <c r="I5007" s="8"/>
      <c r="J5007" s="8"/>
      <c r="K5007" s="10"/>
      <c r="L5007" s="8"/>
      <c r="M5007" s="8"/>
      <c r="N5007" s="11"/>
      <c r="O5007" s="11"/>
      <c r="P5007" s="11"/>
      <c r="Q5007" s="11"/>
      <c r="R5007" s="11"/>
      <c r="S5007" s="12"/>
      <c r="T5007" s="8"/>
      <c r="U5007" s="8"/>
      <c r="V5007" s="13"/>
      <c r="W5007" s="13"/>
      <c r="X5007" s="12"/>
      <c r="Y5007" s="14"/>
      <c r="Z5007" s="14"/>
    </row>
    <row r="5008">
      <c r="A5008" s="8"/>
      <c r="B5008" s="8"/>
      <c r="C5008" s="8"/>
      <c r="D5008" s="8"/>
      <c r="E5008" s="8"/>
      <c r="F5008" s="8"/>
      <c r="G5008" s="8"/>
      <c r="H5008" s="8"/>
      <c r="I5008" s="8"/>
      <c r="J5008" s="8"/>
      <c r="K5008" s="10"/>
      <c r="L5008" s="8"/>
      <c r="M5008" s="8"/>
      <c r="N5008" s="11"/>
      <c r="O5008" s="11"/>
      <c r="P5008" s="11"/>
      <c r="Q5008" s="11"/>
      <c r="R5008" s="11"/>
      <c r="S5008" s="12"/>
      <c r="T5008" s="8"/>
      <c r="U5008" s="8"/>
      <c r="V5008" s="13"/>
      <c r="W5008" s="13"/>
      <c r="X5008" s="12"/>
      <c r="Y5008" s="14"/>
      <c r="Z5008" s="14"/>
    </row>
    <row r="5009">
      <c r="A5009" s="8"/>
      <c r="B5009" s="8"/>
      <c r="C5009" s="8"/>
      <c r="D5009" s="8"/>
      <c r="E5009" s="8"/>
      <c r="F5009" s="8"/>
      <c r="G5009" s="8"/>
      <c r="H5009" s="8"/>
      <c r="I5009" s="8"/>
      <c r="J5009" s="8"/>
      <c r="K5009" s="10"/>
      <c r="L5009" s="8"/>
      <c r="M5009" s="8"/>
      <c r="N5009" s="11"/>
      <c r="O5009" s="11"/>
      <c r="P5009" s="11"/>
      <c r="Q5009" s="11"/>
      <c r="R5009" s="11"/>
      <c r="S5009" s="12"/>
      <c r="T5009" s="8"/>
      <c r="U5009" s="8"/>
      <c r="V5009" s="13"/>
      <c r="W5009" s="13"/>
      <c r="X5009" s="12"/>
      <c r="Y5009" s="14"/>
      <c r="Z5009" s="14"/>
    </row>
    <row r="5010">
      <c r="A5010" s="8"/>
      <c r="B5010" s="8"/>
      <c r="C5010" s="8"/>
      <c r="D5010" s="8"/>
      <c r="E5010" s="8"/>
      <c r="F5010" s="8"/>
      <c r="G5010" s="8"/>
      <c r="H5010" s="8"/>
      <c r="I5010" s="8"/>
      <c r="J5010" s="8"/>
      <c r="K5010" s="10"/>
      <c r="L5010" s="8"/>
      <c r="M5010" s="8"/>
      <c r="N5010" s="11"/>
      <c r="O5010" s="11"/>
      <c r="P5010" s="11"/>
      <c r="Q5010" s="11"/>
      <c r="R5010" s="11"/>
      <c r="S5010" s="12"/>
      <c r="T5010" s="8"/>
      <c r="U5010" s="8"/>
      <c r="V5010" s="13"/>
      <c r="W5010" s="13"/>
      <c r="X5010" s="12"/>
      <c r="Y5010" s="14"/>
      <c r="Z5010" s="14"/>
    </row>
    <row r="5011">
      <c r="A5011" s="8"/>
      <c r="B5011" s="8"/>
      <c r="C5011" s="8"/>
      <c r="D5011" s="8"/>
      <c r="E5011" s="8"/>
      <c r="F5011" s="8"/>
      <c r="G5011" s="8"/>
      <c r="H5011" s="8"/>
      <c r="I5011" s="8"/>
      <c r="J5011" s="8"/>
      <c r="K5011" s="10"/>
      <c r="L5011" s="8"/>
      <c r="M5011" s="8"/>
      <c r="N5011" s="11"/>
      <c r="O5011" s="11"/>
      <c r="P5011" s="11"/>
      <c r="Q5011" s="11"/>
      <c r="R5011" s="11"/>
      <c r="S5011" s="12"/>
      <c r="T5011" s="8"/>
      <c r="U5011" s="8"/>
      <c r="V5011" s="13"/>
      <c r="W5011" s="13"/>
      <c r="X5011" s="12"/>
      <c r="Y5011" s="14"/>
      <c r="Z5011" s="14"/>
    </row>
    <row r="5012">
      <c r="A5012" s="8"/>
      <c r="B5012" s="8"/>
      <c r="C5012" s="8"/>
      <c r="D5012" s="8"/>
      <c r="E5012" s="8"/>
      <c r="F5012" s="8"/>
      <c r="G5012" s="8"/>
      <c r="H5012" s="8"/>
      <c r="I5012" s="8"/>
      <c r="J5012" s="8"/>
      <c r="K5012" s="10"/>
      <c r="L5012" s="8"/>
      <c r="M5012" s="8"/>
      <c r="N5012" s="11"/>
      <c r="O5012" s="11"/>
      <c r="P5012" s="11"/>
      <c r="Q5012" s="11"/>
      <c r="R5012" s="11"/>
      <c r="S5012" s="12"/>
      <c r="T5012" s="8"/>
      <c r="U5012" s="8"/>
      <c r="V5012" s="13"/>
      <c r="W5012" s="13"/>
      <c r="X5012" s="12"/>
      <c r="Y5012" s="14"/>
      <c r="Z5012" s="14"/>
    </row>
    <row r="5013">
      <c r="A5013" s="8"/>
      <c r="B5013" s="8"/>
      <c r="C5013" s="8"/>
      <c r="D5013" s="8"/>
      <c r="E5013" s="8"/>
      <c r="F5013" s="8"/>
      <c r="G5013" s="8"/>
      <c r="H5013" s="8"/>
      <c r="I5013" s="8"/>
      <c r="J5013" s="8"/>
      <c r="K5013" s="10"/>
      <c r="L5013" s="8"/>
      <c r="M5013" s="8"/>
      <c r="N5013" s="11"/>
      <c r="O5013" s="11"/>
      <c r="P5013" s="11"/>
      <c r="Q5013" s="11"/>
      <c r="R5013" s="11"/>
      <c r="S5013" s="12"/>
      <c r="T5013" s="8"/>
      <c r="U5013" s="8"/>
      <c r="V5013" s="13"/>
      <c r="W5013" s="13"/>
      <c r="X5013" s="12"/>
      <c r="Y5013" s="14"/>
      <c r="Z5013" s="14"/>
    </row>
    <row r="5014">
      <c r="A5014" s="8"/>
      <c r="B5014" s="8"/>
      <c r="C5014" s="8"/>
      <c r="D5014" s="8"/>
      <c r="E5014" s="8"/>
      <c r="F5014" s="8"/>
      <c r="G5014" s="8"/>
      <c r="H5014" s="8"/>
      <c r="I5014" s="8"/>
      <c r="J5014" s="8"/>
      <c r="K5014" s="10"/>
      <c r="L5014" s="8"/>
      <c r="M5014" s="8"/>
      <c r="N5014" s="11"/>
      <c r="O5014" s="11"/>
      <c r="P5014" s="11"/>
      <c r="Q5014" s="11"/>
      <c r="R5014" s="11"/>
      <c r="S5014" s="12"/>
      <c r="T5014" s="8"/>
      <c r="U5014" s="8"/>
      <c r="V5014" s="13"/>
      <c r="W5014" s="13"/>
      <c r="X5014" s="12"/>
      <c r="Y5014" s="14"/>
      <c r="Z5014" s="14"/>
    </row>
    <row r="5015">
      <c r="A5015" s="8"/>
      <c r="B5015" s="8"/>
      <c r="C5015" s="8"/>
      <c r="D5015" s="8"/>
      <c r="E5015" s="8"/>
      <c r="F5015" s="8"/>
      <c r="G5015" s="8"/>
      <c r="H5015" s="8"/>
      <c r="I5015" s="8"/>
      <c r="J5015" s="8"/>
      <c r="K5015" s="10"/>
      <c r="L5015" s="8"/>
      <c r="M5015" s="8"/>
      <c r="N5015" s="11"/>
      <c r="O5015" s="11"/>
      <c r="P5015" s="11"/>
      <c r="Q5015" s="11"/>
      <c r="R5015" s="11"/>
      <c r="S5015" s="12"/>
      <c r="T5015" s="8"/>
      <c r="U5015" s="8"/>
      <c r="V5015" s="13"/>
      <c r="W5015" s="13"/>
      <c r="X5015" s="12"/>
      <c r="Y5015" s="14"/>
      <c r="Z5015" s="14"/>
    </row>
    <row r="5016">
      <c r="A5016" s="8"/>
      <c r="B5016" s="8"/>
      <c r="C5016" s="8"/>
      <c r="D5016" s="8"/>
      <c r="E5016" s="8"/>
      <c r="F5016" s="8"/>
      <c r="G5016" s="8"/>
      <c r="H5016" s="8"/>
      <c r="I5016" s="8"/>
      <c r="J5016" s="8"/>
      <c r="K5016" s="10"/>
      <c r="L5016" s="8"/>
      <c r="M5016" s="8"/>
      <c r="N5016" s="11"/>
      <c r="O5016" s="11"/>
      <c r="P5016" s="11"/>
      <c r="Q5016" s="11"/>
      <c r="R5016" s="11"/>
      <c r="S5016" s="12"/>
      <c r="T5016" s="8"/>
      <c r="U5016" s="8"/>
      <c r="V5016" s="13"/>
      <c r="W5016" s="13"/>
      <c r="X5016" s="12"/>
      <c r="Y5016" s="14"/>
      <c r="Z5016" s="14"/>
    </row>
    <row r="5017">
      <c r="A5017" s="8"/>
      <c r="B5017" s="8"/>
      <c r="C5017" s="8"/>
      <c r="D5017" s="8"/>
      <c r="E5017" s="8"/>
      <c r="F5017" s="8"/>
      <c r="G5017" s="8"/>
      <c r="H5017" s="8"/>
      <c r="I5017" s="8"/>
      <c r="J5017" s="8"/>
      <c r="K5017" s="10"/>
      <c r="L5017" s="8"/>
      <c r="M5017" s="8"/>
      <c r="N5017" s="11"/>
      <c r="O5017" s="11"/>
      <c r="P5017" s="11"/>
      <c r="Q5017" s="11"/>
      <c r="R5017" s="11"/>
      <c r="S5017" s="12"/>
      <c r="T5017" s="8"/>
      <c r="U5017" s="8"/>
      <c r="V5017" s="13"/>
      <c r="W5017" s="13"/>
      <c r="X5017" s="12"/>
      <c r="Y5017" s="14"/>
      <c r="Z5017" s="14"/>
    </row>
    <row r="5018">
      <c r="A5018" s="8"/>
      <c r="B5018" s="8"/>
      <c r="C5018" s="8"/>
      <c r="D5018" s="8"/>
      <c r="E5018" s="8"/>
      <c r="F5018" s="8"/>
      <c r="G5018" s="8"/>
      <c r="H5018" s="8"/>
      <c r="I5018" s="8"/>
      <c r="J5018" s="8"/>
      <c r="K5018" s="10"/>
      <c r="L5018" s="8"/>
      <c r="M5018" s="8"/>
      <c r="N5018" s="11"/>
      <c r="O5018" s="11"/>
      <c r="P5018" s="11"/>
      <c r="Q5018" s="11"/>
      <c r="R5018" s="11"/>
      <c r="S5018" s="12"/>
      <c r="T5018" s="8"/>
      <c r="U5018" s="8"/>
      <c r="V5018" s="13"/>
      <c r="W5018" s="13"/>
      <c r="X5018" s="12"/>
      <c r="Y5018" s="14"/>
      <c r="Z5018" s="14"/>
    </row>
    <row r="5019">
      <c r="A5019" s="8"/>
      <c r="B5019" s="8"/>
      <c r="C5019" s="8"/>
      <c r="D5019" s="8"/>
      <c r="E5019" s="8"/>
      <c r="F5019" s="8"/>
      <c r="G5019" s="8"/>
      <c r="H5019" s="8"/>
      <c r="I5019" s="8"/>
      <c r="J5019" s="8"/>
      <c r="K5019" s="10"/>
      <c r="L5019" s="8"/>
      <c r="M5019" s="8"/>
      <c r="N5019" s="11"/>
      <c r="O5019" s="11"/>
      <c r="P5019" s="11"/>
      <c r="Q5019" s="11"/>
      <c r="R5019" s="11"/>
      <c r="S5019" s="12"/>
      <c r="T5019" s="8"/>
      <c r="U5019" s="8"/>
      <c r="V5019" s="13"/>
      <c r="W5019" s="13"/>
      <c r="X5019" s="12"/>
      <c r="Y5019" s="14"/>
      <c r="Z5019" s="14"/>
    </row>
    <row r="5020">
      <c r="A5020" s="8"/>
      <c r="B5020" s="8"/>
      <c r="C5020" s="8"/>
      <c r="D5020" s="8"/>
      <c r="E5020" s="8"/>
      <c r="F5020" s="8"/>
      <c r="G5020" s="8"/>
      <c r="H5020" s="8"/>
      <c r="I5020" s="8"/>
      <c r="J5020" s="8"/>
      <c r="K5020" s="10"/>
      <c r="L5020" s="8"/>
      <c r="M5020" s="8"/>
      <c r="N5020" s="11"/>
      <c r="O5020" s="11"/>
      <c r="P5020" s="11"/>
      <c r="Q5020" s="11"/>
      <c r="R5020" s="11"/>
      <c r="S5020" s="12"/>
      <c r="T5020" s="8"/>
      <c r="U5020" s="8"/>
      <c r="V5020" s="13"/>
      <c r="W5020" s="13"/>
      <c r="X5020" s="12"/>
      <c r="Y5020" s="14"/>
      <c r="Z5020" s="14"/>
    </row>
    <row r="5021">
      <c r="A5021" s="8"/>
      <c r="B5021" s="8"/>
      <c r="C5021" s="8"/>
      <c r="D5021" s="8"/>
      <c r="E5021" s="8"/>
      <c r="F5021" s="8"/>
      <c r="G5021" s="8"/>
      <c r="H5021" s="8"/>
      <c r="I5021" s="8"/>
      <c r="J5021" s="8"/>
      <c r="K5021" s="10"/>
      <c r="L5021" s="8"/>
      <c r="M5021" s="8"/>
      <c r="N5021" s="11"/>
      <c r="O5021" s="11"/>
      <c r="P5021" s="11"/>
      <c r="Q5021" s="11"/>
      <c r="R5021" s="11"/>
      <c r="S5021" s="12"/>
      <c r="T5021" s="8"/>
      <c r="U5021" s="8"/>
      <c r="V5021" s="13"/>
      <c r="W5021" s="13"/>
      <c r="X5021" s="12"/>
      <c r="Y5021" s="14"/>
      <c r="Z5021" s="14"/>
    </row>
    <row r="5022">
      <c r="A5022" s="8"/>
      <c r="B5022" s="8"/>
      <c r="C5022" s="8"/>
      <c r="D5022" s="8"/>
      <c r="E5022" s="8"/>
      <c r="F5022" s="8"/>
      <c r="G5022" s="8"/>
      <c r="H5022" s="8"/>
      <c r="I5022" s="8"/>
      <c r="J5022" s="8"/>
      <c r="K5022" s="10"/>
      <c r="L5022" s="8"/>
      <c r="M5022" s="8"/>
      <c r="N5022" s="11"/>
      <c r="O5022" s="11"/>
      <c r="P5022" s="11"/>
      <c r="Q5022" s="11"/>
      <c r="R5022" s="11"/>
      <c r="S5022" s="12"/>
      <c r="T5022" s="8"/>
      <c r="U5022" s="8"/>
      <c r="V5022" s="13"/>
      <c r="W5022" s="13"/>
      <c r="X5022" s="12"/>
      <c r="Y5022" s="14"/>
      <c r="Z5022" s="14"/>
    </row>
    <row r="5023">
      <c r="A5023" s="8"/>
      <c r="B5023" s="8"/>
      <c r="C5023" s="8"/>
      <c r="D5023" s="8"/>
      <c r="E5023" s="8"/>
      <c r="F5023" s="8"/>
      <c r="G5023" s="8"/>
      <c r="H5023" s="8"/>
      <c r="I5023" s="8"/>
      <c r="J5023" s="8"/>
      <c r="K5023" s="10"/>
      <c r="L5023" s="8"/>
      <c r="M5023" s="8"/>
      <c r="N5023" s="11"/>
      <c r="O5023" s="11"/>
      <c r="P5023" s="11"/>
      <c r="Q5023" s="11"/>
      <c r="R5023" s="11"/>
      <c r="S5023" s="12"/>
      <c r="T5023" s="8"/>
      <c r="U5023" s="8"/>
      <c r="V5023" s="13"/>
      <c r="W5023" s="13"/>
      <c r="X5023" s="12"/>
      <c r="Y5023" s="14"/>
      <c r="Z5023" s="14"/>
    </row>
    <row r="5024">
      <c r="A5024" s="8"/>
      <c r="B5024" s="8"/>
      <c r="C5024" s="8"/>
      <c r="D5024" s="8"/>
      <c r="E5024" s="8"/>
      <c r="F5024" s="8"/>
      <c r="G5024" s="8"/>
      <c r="H5024" s="8"/>
      <c r="I5024" s="8"/>
      <c r="J5024" s="8"/>
      <c r="K5024" s="10"/>
      <c r="L5024" s="8"/>
      <c r="M5024" s="8"/>
      <c r="N5024" s="11"/>
      <c r="O5024" s="11"/>
      <c r="P5024" s="11"/>
      <c r="Q5024" s="11"/>
      <c r="R5024" s="11"/>
      <c r="S5024" s="12"/>
      <c r="T5024" s="8"/>
      <c r="U5024" s="8"/>
      <c r="V5024" s="13"/>
      <c r="W5024" s="13"/>
      <c r="X5024" s="12"/>
      <c r="Y5024" s="14"/>
      <c r="Z5024" s="14"/>
    </row>
    <row r="5025">
      <c r="A5025" s="8"/>
      <c r="B5025" s="8"/>
      <c r="C5025" s="8"/>
      <c r="D5025" s="8"/>
      <c r="E5025" s="8"/>
      <c r="F5025" s="8"/>
      <c r="G5025" s="8"/>
      <c r="H5025" s="8"/>
      <c r="I5025" s="8"/>
      <c r="J5025" s="8"/>
      <c r="K5025" s="10"/>
      <c r="L5025" s="8"/>
      <c r="M5025" s="8"/>
      <c r="N5025" s="11"/>
      <c r="O5025" s="11"/>
      <c r="P5025" s="11"/>
      <c r="Q5025" s="11"/>
      <c r="R5025" s="11"/>
      <c r="S5025" s="12"/>
      <c r="T5025" s="8"/>
      <c r="U5025" s="8"/>
      <c r="V5025" s="13"/>
      <c r="W5025" s="13"/>
      <c r="X5025" s="12"/>
      <c r="Y5025" s="14"/>
      <c r="Z5025" s="14"/>
    </row>
    <row r="5026">
      <c r="A5026" s="8"/>
      <c r="B5026" s="8"/>
      <c r="C5026" s="8"/>
      <c r="D5026" s="8"/>
      <c r="E5026" s="8"/>
      <c r="F5026" s="8"/>
      <c r="G5026" s="8"/>
      <c r="H5026" s="8"/>
      <c r="I5026" s="8"/>
      <c r="J5026" s="8"/>
      <c r="K5026" s="10"/>
      <c r="L5026" s="8"/>
      <c r="M5026" s="8"/>
      <c r="N5026" s="11"/>
      <c r="O5026" s="11"/>
      <c r="P5026" s="11"/>
      <c r="Q5026" s="11"/>
      <c r="R5026" s="11"/>
      <c r="S5026" s="12"/>
      <c r="T5026" s="8"/>
      <c r="U5026" s="8"/>
      <c r="V5026" s="13"/>
      <c r="W5026" s="13"/>
      <c r="X5026" s="12"/>
      <c r="Y5026" s="14"/>
      <c r="Z5026" s="14"/>
    </row>
    <row r="5027">
      <c r="A5027" s="8"/>
      <c r="B5027" s="8"/>
      <c r="C5027" s="8"/>
      <c r="D5027" s="8"/>
      <c r="E5027" s="8"/>
      <c r="F5027" s="8"/>
      <c r="G5027" s="8"/>
      <c r="H5027" s="8"/>
      <c r="I5027" s="8"/>
      <c r="J5027" s="8"/>
      <c r="K5027" s="10"/>
      <c r="L5027" s="8"/>
      <c r="M5027" s="8"/>
      <c r="N5027" s="11"/>
      <c r="O5027" s="11"/>
      <c r="P5027" s="11"/>
      <c r="Q5027" s="11"/>
      <c r="R5027" s="11"/>
      <c r="S5027" s="12"/>
      <c r="T5027" s="8"/>
      <c r="U5027" s="8"/>
      <c r="V5027" s="13"/>
      <c r="W5027" s="13"/>
      <c r="X5027" s="12"/>
      <c r="Y5027" s="14"/>
      <c r="Z5027" s="14"/>
    </row>
    <row r="5028">
      <c r="A5028" s="8"/>
      <c r="B5028" s="8"/>
      <c r="C5028" s="8"/>
      <c r="D5028" s="8"/>
      <c r="E5028" s="8"/>
      <c r="F5028" s="8"/>
      <c r="G5028" s="8"/>
      <c r="H5028" s="8"/>
      <c r="I5028" s="8"/>
      <c r="J5028" s="8"/>
      <c r="K5028" s="10"/>
      <c r="L5028" s="8"/>
      <c r="M5028" s="8"/>
      <c r="N5028" s="11"/>
      <c r="O5028" s="11"/>
      <c r="P5028" s="11"/>
      <c r="Q5028" s="11"/>
      <c r="R5028" s="11"/>
      <c r="S5028" s="12"/>
      <c r="T5028" s="8"/>
      <c r="U5028" s="8"/>
      <c r="V5028" s="13"/>
      <c r="W5028" s="13"/>
      <c r="X5028" s="12"/>
      <c r="Y5028" s="14"/>
      <c r="Z5028" s="14"/>
    </row>
    <row r="5029">
      <c r="A5029" s="8"/>
      <c r="B5029" s="8"/>
      <c r="C5029" s="8"/>
      <c r="D5029" s="8"/>
      <c r="E5029" s="8"/>
      <c r="F5029" s="8"/>
      <c r="G5029" s="8"/>
      <c r="H5029" s="8"/>
      <c r="I5029" s="8"/>
      <c r="J5029" s="8"/>
      <c r="K5029" s="10"/>
      <c r="L5029" s="8"/>
      <c r="M5029" s="8"/>
      <c r="N5029" s="11"/>
      <c r="O5029" s="11"/>
      <c r="P5029" s="11"/>
      <c r="Q5029" s="11"/>
      <c r="R5029" s="11"/>
      <c r="S5029" s="12"/>
      <c r="T5029" s="8"/>
      <c r="U5029" s="8"/>
      <c r="V5029" s="13"/>
      <c r="W5029" s="13"/>
      <c r="X5029" s="12"/>
      <c r="Y5029" s="14"/>
      <c r="Z5029" s="14"/>
    </row>
    <row r="5030">
      <c r="A5030" s="8"/>
      <c r="B5030" s="8"/>
      <c r="C5030" s="8"/>
      <c r="D5030" s="8"/>
      <c r="E5030" s="8"/>
      <c r="F5030" s="8"/>
      <c r="G5030" s="8"/>
      <c r="H5030" s="8"/>
      <c r="I5030" s="8"/>
      <c r="J5030" s="8"/>
      <c r="K5030" s="10"/>
      <c r="L5030" s="8"/>
      <c r="M5030" s="8"/>
      <c r="N5030" s="11"/>
      <c r="O5030" s="11"/>
      <c r="P5030" s="11"/>
      <c r="Q5030" s="11"/>
      <c r="R5030" s="11"/>
      <c r="S5030" s="12"/>
      <c r="T5030" s="8"/>
      <c r="U5030" s="8"/>
      <c r="V5030" s="13"/>
      <c r="W5030" s="13"/>
      <c r="X5030" s="12"/>
      <c r="Y5030" s="14"/>
      <c r="Z5030" s="14"/>
    </row>
    <row r="5031">
      <c r="A5031" s="8"/>
      <c r="B5031" s="8"/>
      <c r="C5031" s="8"/>
      <c r="D5031" s="8"/>
      <c r="E5031" s="8"/>
      <c r="F5031" s="8"/>
      <c r="G5031" s="8"/>
      <c r="H5031" s="8"/>
      <c r="I5031" s="8"/>
      <c r="J5031" s="8"/>
      <c r="K5031" s="10"/>
      <c r="L5031" s="8"/>
      <c r="M5031" s="8"/>
      <c r="N5031" s="11"/>
      <c r="O5031" s="11"/>
      <c r="P5031" s="11"/>
      <c r="Q5031" s="11"/>
      <c r="R5031" s="11"/>
      <c r="S5031" s="12"/>
      <c r="T5031" s="8"/>
      <c r="U5031" s="8"/>
      <c r="V5031" s="13"/>
      <c r="W5031" s="13"/>
      <c r="X5031" s="12"/>
      <c r="Y5031" s="14"/>
      <c r="Z5031" s="14"/>
    </row>
    <row r="5032">
      <c r="A5032" s="8"/>
      <c r="B5032" s="8"/>
      <c r="C5032" s="8"/>
      <c r="D5032" s="8"/>
      <c r="E5032" s="8"/>
      <c r="F5032" s="8"/>
      <c r="G5032" s="8"/>
      <c r="H5032" s="8"/>
      <c r="I5032" s="8"/>
      <c r="J5032" s="8"/>
      <c r="K5032" s="10"/>
      <c r="L5032" s="8"/>
      <c r="M5032" s="8"/>
      <c r="N5032" s="11"/>
      <c r="O5032" s="11"/>
      <c r="P5032" s="11"/>
      <c r="Q5032" s="11"/>
      <c r="R5032" s="11"/>
      <c r="S5032" s="12"/>
      <c r="T5032" s="8"/>
      <c r="U5032" s="8"/>
      <c r="V5032" s="13"/>
      <c r="W5032" s="13"/>
      <c r="X5032" s="12"/>
      <c r="Y5032" s="14"/>
      <c r="Z5032" s="14"/>
    </row>
    <row r="5033">
      <c r="A5033" s="8"/>
      <c r="B5033" s="8"/>
      <c r="C5033" s="8"/>
      <c r="D5033" s="8"/>
      <c r="E5033" s="8"/>
      <c r="F5033" s="8"/>
      <c r="G5033" s="8"/>
      <c r="H5033" s="8"/>
      <c r="I5033" s="8"/>
      <c r="J5033" s="8"/>
      <c r="K5033" s="10"/>
      <c r="L5033" s="8"/>
      <c r="M5033" s="8"/>
      <c r="N5033" s="11"/>
      <c r="O5033" s="11"/>
      <c r="P5033" s="11"/>
      <c r="Q5033" s="11"/>
      <c r="R5033" s="11"/>
      <c r="S5033" s="12"/>
      <c r="T5033" s="8"/>
      <c r="U5033" s="8"/>
      <c r="V5033" s="13"/>
      <c r="W5033" s="13"/>
      <c r="X5033" s="12"/>
      <c r="Y5033" s="14"/>
      <c r="Z5033" s="14"/>
    </row>
    <row r="5034">
      <c r="A5034" s="8"/>
      <c r="B5034" s="8"/>
      <c r="C5034" s="8"/>
      <c r="D5034" s="8"/>
      <c r="E5034" s="8"/>
      <c r="F5034" s="8"/>
      <c r="G5034" s="8"/>
      <c r="H5034" s="8"/>
      <c r="I5034" s="8"/>
      <c r="J5034" s="8"/>
      <c r="K5034" s="10"/>
      <c r="L5034" s="8"/>
      <c r="M5034" s="8"/>
      <c r="N5034" s="11"/>
      <c r="O5034" s="11"/>
      <c r="P5034" s="11"/>
      <c r="Q5034" s="11"/>
      <c r="R5034" s="11"/>
      <c r="S5034" s="12"/>
      <c r="T5034" s="8"/>
      <c r="U5034" s="8"/>
      <c r="V5034" s="13"/>
      <c r="W5034" s="13"/>
      <c r="X5034" s="12"/>
      <c r="Y5034" s="14"/>
      <c r="Z5034" s="14"/>
    </row>
    <row r="5035">
      <c r="A5035" s="8"/>
      <c r="B5035" s="8"/>
      <c r="C5035" s="8"/>
      <c r="D5035" s="8"/>
      <c r="E5035" s="8"/>
      <c r="F5035" s="8"/>
      <c r="G5035" s="8"/>
      <c r="H5035" s="8"/>
      <c r="I5035" s="8"/>
      <c r="J5035" s="8"/>
      <c r="K5035" s="10"/>
      <c r="L5035" s="8"/>
      <c r="M5035" s="8"/>
      <c r="N5035" s="11"/>
      <c r="O5035" s="11"/>
      <c r="P5035" s="11"/>
      <c r="Q5035" s="11"/>
      <c r="R5035" s="11"/>
      <c r="S5035" s="12"/>
      <c r="T5035" s="8"/>
      <c r="U5035" s="8"/>
      <c r="V5035" s="13"/>
      <c r="W5035" s="13"/>
      <c r="X5035" s="12"/>
      <c r="Y5035" s="14"/>
      <c r="Z5035" s="14"/>
    </row>
    <row r="5036">
      <c r="A5036" s="8"/>
      <c r="B5036" s="8"/>
      <c r="C5036" s="8"/>
      <c r="D5036" s="8"/>
      <c r="E5036" s="8"/>
      <c r="F5036" s="8"/>
      <c r="G5036" s="8"/>
      <c r="H5036" s="8"/>
      <c r="I5036" s="8"/>
      <c r="J5036" s="8"/>
      <c r="K5036" s="10"/>
      <c r="L5036" s="8"/>
      <c r="M5036" s="8"/>
      <c r="N5036" s="11"/>
      <c r="O5036" s="11"/>
      <c r="P5036" s="11"/>
      <c r="Q5036" s="11"/>
      <c r="R5036" s="11"/>
      <c r="S5036" s="12"/>
      <c r="T5036" s="8"/>
      <c r="U5036" s="8"/>
      <c r="V5036" s="13"/>
      <c r="W5036" s="13"/>
      <c r="X5036" s="12"/>
      <c r="Y5036" s="14"/>
      <c r="Z5036" s="14"/>
    </row>
    <row r="5037">
      <c r="A5037" s="8"/>
      <c r="B5037" s="8"/>
      <c r="C5037" s="8"/>
      <c r="D5037" s="8"/>
      <c r="E5037" s="8"/>
      <c r="F5037" s="8"/>
      <c r="G5037" s="8"/>
      <c r="H5037" s="8"/>
      <c r="I5037" s="8"/>
      <c r="J5037" s="8"/>
      <c r="K5037" s="10"/>
      <c r="L5037" s="8"/>
      <c r="M5037" s="8"/>
      <c r="N5037" s="11"/>
      <c r="O5037" s="11"/>
      <c r="P5037" s="11"/>
      <c r="Q5037" s="11"/>
      <c r="R5037" s="11"/>
      <c r="S5037" s="12"/>
      <c r="T5037" s="8"/>
      <c r="U5037" s="8"/>
      <c r="V5037" s="13"/>
      <c r="W5037" s="13"/>
      <c r="X5037" s="12"/>
      <c r="Y5037" s="14"/>
      <c r="Z5037" s="14"/>
    </row>
    <row r="5038">
      <c r="A5038" s="8"/>
      <c r="B5038" s="8"/>
      <c r="C5038" s="8"/>
      <c r="D5038" s="8"/>
      <c r="E5038" s="8"/>
      <c r="F5038" s="8"/>
      <c r="G5038" s="8"/>
      <c r="H5038" s="8"/>
      <c r="I5038" s="8"/>
      <c r="J5038" s="8"/>
      <c r="K5038" s="10"/>
      <c r="L5038" s="8"/>
      <c r="M5038" s="8"/>
      <c r="N5038" s="11"/>
      <c r="O5038" s="11"/>
      <c r="P5038" s="11"/>
      <c r="Q5038" s="11"/>
      <c r="R5038" s="11"/>
      <c r="S5038" s="12"/>
      <c r="T5038" s="8"/>
      <c r="U5038" s="8"/>
      <c r="V5038" s="13"/>
      <c r="W5038" s="13"/>
      <c r="X5038" s="12"/>
      <c r="Y5038" s="14"/>
      <c r="Z5038" s="14"/>
    </row>
    <row r="5039">
      <c r="A5039" s="8"/>
      <c r="B5039" s="8"/>
      <c r="C5039" s="8"/>
      <c r="D5039" s="8"/>
      <c r="E5039" s="8"/>
      <c r="F5039" s="8"/>
      <c r="G5039" s="8"/>
      <c r="H5039" s="8"/>
      <c r="I5039" s="8"/>
      <c r="J5039" s="8"/>
      <c r="K5039" s="10"/>
      <c r="L5039" s="8"/>
      <c r="M5039" s="8"/>
      <c r="N5039" s="11"/>
      <c r="O5039" s="11"/>
      <c r="P5039" s="11"/>
      <c r="Q5039" s="11"/>
      <c r="R5039" s="11"/>
      <c r="S5039" s="12"/>
      <c r="T5039" s="8"/>
      <c r="U5039" s="8"/>
      <c r="V5039" s="13"/>
      <c r="W5039" s="13"/>
      <c r="X5039" s="12"/>
      <c r="Y5039" s="14"/>
      <c r="Z5039" s="14"/>
    </row>
    <row r="5040">
      <c r="A5040" s="8"/>
      <c r="B5040" s="8"/>
      <c r="C5040" s="8"/>
      <c r="D5040" s="8"/>
      <c r="E5040" s="8"/>
      <c r="F5040" s="8"/>
      <c r="G5040" s="8"/>
      <c r="H5040" s="8"/>
      <c r="I5040" s="8"/>
      <c r="J5040" s="8"/>
      <c r="K5040" s="10"/>
      <c r="L5040" s="8"/>
      <c r="M5040" s="8"/>
      <c r="N5040" s="11"/>
      <c r="O5040" s="11"/>
      <c r="P5040" s="11"/>
      <c r="Q5040" s="11"/>
      <c r="R5040" s="11"/>
      <c r="S5040" s="12"/>
      <c r="T5040" s="8"/>
      <c r="U5040" s="8"/>
      <c r="V5040" s="13"/>
      <c r="W5040" s="13"/>
      <c r="X5040" s="12"/>
      <c r="Y5040" s="14"/>
      <c r="Z5040" s="14"/>
    </row>
    <row r="5041">
      <c r="A5041" s="8"/>
      <c r="B5041" s="8"/>
      <c r="C5041" s="8"/>
      <c r="D5041" s="8"/>
      <c r="E5041" s="8"/>
      <c r="F5041" s="8"/>
      <c r="G5041" s="8"/>
      <c r="H5041" s="8"/>
      <c r="I5041" s="8"/>
      <c r="J5041" s="8"/>
      <c r="K5041" s="10"/>
      <c r="L5041" s="8"/>
      <c r="M5041" s="8"/>
      <c r="N5041" s="11"/>
      <c r="O5041" s="11"/>
      <c r="P5041" s="11"/>
      <c r="Q5041" s="11"/>
      <c r="R5041" s="11"/>
      <c r="S5041" s="12"/>
      <c r="T5041" s="8"/>
      <c r="U5041" s="8"/>
      <c r="V5041" s="13"/>
      <c r="W5041" s="13"/>
      <c r="X5041" s="12"/>
      <c r="Y5041" s="14"/>
      <c r="Z5041" s="14"/>
    </row>
    <row r="5042">
      <c r="A5042" s="8"/>
      <c r="B5042" s="8"/>
      <c r="C5042" s="8"/>
      <c r="D5042" s="8"/>
      <c r="E5042" s="8"/>
      <c r="F5042" s="8"/>
      <c r="G5042" s="8"/>
      <c r="H5042" s="8"/>
      <c r="I5042" s="8"/>
      <c r="J5042" s="8"/>
      <c r="K5042" s="10"/>
      <c r="L5042" s="8"/>
      <c r="M5042" s="8"/>
      <c r="N5042" s="11"/>
      <c r="O5042" s="11"/>
      <c r="P5042" s="11"/>
      <c r="Q5042" s="11"/>
      <c r="R5042" s="11"/>
      <c r="S5042" s="12"/>
      <c r="T5042" s="8"/>
      <c r="U5042" s="8"/>
      <c r="V5042" s="13"/>
      <c r="W5042" s="13"/>
      <c r="X5042" s="12"/>
      <c r="Y5042" s="14"/>
      <c r="Z5042" s="14"/>
    </row>
    <row r="5043">
      <c r="A5043" s="8"/>
      <c r="B5043" s="8"/>
      <c r="C5043" s="8"/>
      <c r="D5043" s="8"/>
      <c r="E5043" s="8"/>
      <c r="F5043" s="8"/>
      <c r="G5043" s="8"/>
      <c r="H5043" s="8"/>
      <c r="I5043" s="8"/>
      <c r="J5043" s="8"/>
      <c r="K5043" s="10"/>
      <c r="L5043" s="8"/>
      <c r="M5043" s="8"/>
      <c r="N5043" s="11"/>
      <c r="O5043" s="11"/>
      <c r="P5043" s="11"/>
      <c r="Q5043" s="11"/>
      <c r="R5043" s="11"/>
      <c r="S5043" s="12"/>
      <c r="T5043" s="8"/>
      <c r="U5043" s="8"/>
      <c r="V5043" s="13"/>
      <c r="W5043" s="13"/>
      <c r="X5043" s="12"/>
      <c r="Y5043" s="14"/>
      <c r="Z5043" s="14"/>
    </row>
    <row r="5044">
      <c r="A5044" s="8"/>
      <c r="B5044" s="8"/>
      <c r="C5044" s="8"/>
      <c r="D5044" s="8"/>
      <c r="E5044" s="8"/>
      <c r="F5044" s="8"/>
      <c r="G5044" s="8"/>
      <c r="H5044" s="8"/>
      <c r="I5044" s="8"/>
      <c r="J5044" s="8"/>
      <c r="K5044" s="10"/>
      <c r="L5044" s="8"/>
      <c r="M5044" s="8"/>
      <c r="N5044" s="11"/>
      <c r="O5044" s="11"/>
      <c r="P5044" s="11"/>
      <c r="Q5044" s="11"/>
      <c r="R5044" s="11"/>
      <c r="S5044" s="12"/>
      <c r="T5044" s="8"/>
      <c r="U5044" s="8"/>
      <c r="V5044" s="13"/>
      <c r="W5044" s="13"/>
      <c r="X5044" s="12"/>
      <c r="Y5044" s="14"/>
      <c r="Z5044" s="14"/>
    </row>
    <row r="5045">
      <c r="A5045" s="8"/>
      <c r="B5045" s="8"/>
      <c r="C5045" s="8"/>
      <c r="D5045" s="8"/>
      <c r="E5045" s="8"/>
      <c r="F5045" s="8"/>
      <c r="G5045" s="8"/>
      <c r="H5045" s="8"/>
      <c r="I5045" s="8"/>
      <c r="J5045" s="8"/>
      <c r="K5045" s="10"/>
      <c r="L5045" s="8"/>
      <c r="M5045" s="8"/>
      <c r="N5045" s="11"/>
      <c r="O5045" s="11"/>
      <c r="P5045" s="11"/>
      <c r="Q5045" s="11"/>
      <c r="R5045" s="11"/>
      <c r="S5045" s="12"/>
      <c r="T5045" s="8"/>
      <c r="U5045" s="8"/>
      <c r="V5045" s="13"/>
      <c r="W5045" s="13"/>
      <c r="X5045" s="12"/>
      <c r="Y5045" s="14"/>
      <c r="Z5045" s="14"/>
    </row>
    <row r="5046">
      <c r="A5046" s="8"/>
      <c r="B5046" s="8"/>
      <c r="C5046" s="8"/>
      <c r="D5046" s="8"/>
      <c r="E5046" s="8"/>
      <c r="F5046" s="8"/>
      <c r="G5046" s="8"/>
      <c r="H5046" s="8"/>
      <c r="I5046" s="8"/>
      <c r="J5046" s="8"/>
      <c r="K5046" s="10"/>
      <c r="L5046" s="8"/>
      <c r="M5046" s="8"/>
      <c r="N5046" s="11"/>
      <c r="O5046" s="11"/>
      <c r="P5046" s="11"/>
      <c r="Q5046" s="11"/>
      <c r="R5046" s="11"/>
      <c r="S5046" s="12"/>
      <c r="T5046" s="8"/>
      <c r="U5046" s="8"/>
      <c r="V5046" s="13"/>
      <c r="W5046" s="13"/>
      <c r="X5046" s="12"/>
      <c r="Y5046" s="14"/>
      <c r="Z5046" s="14"/>
    </row>
    <row r="5047">
      <c r="A5047" s="8"/>
      <c r="B5047" s="8"/>
      <c r="C5047" s="8"/>
      <c r="D5047" s="8"/>
      <c r="E5047" s="8"/>
      <c r="F5047" s="8"/>
      <c r="G5047" s="8"/>
      <c r="H5047" s="8"/>
      <c r="I5047" s="8"/>
      <c r="J5047" s="8"/>
      <c r="K5047" s="10"/>
      <c r="L5047" s="8"/>
      <c r="M5047" s="8"/>
      <c r="N5047" s="11"/>
      <c r="O5047" s="11"/>
      <c r="P5047" s="11"/>
      <c r="Q5047" s="11"/>
      <c r="R5047" s="11"/>
      <c r="S5047" s="12"/>
      <c r="T5047" s="8"/>
      <c r="U5047" s="8"/>
      <c r="V5047" s="13"/>
      <c r="W5047" s="13"/>
      <c r="X5047" s="12"/>
      <c r="Y5047" s="14"/>
      <c r="Z5047" s="14"/>
    </row>
    <row r="5048">
      <c r="A5048" s="8"/>
      <c r="B5048" s="8"/>
      <c r="C5048" s="8"/>
      <c r="D5048" s="8"/>
      <c r="E5048" s="8"/>
      <c r="F5048" s="8"/>
      <c r="G5048" s="8"/>
      <c r="H5048" s="8"/>
      <c r="I5048" s="8"/>
      <c r="J5048" s="8"/>
      <c r="K5048" s="10"/>
      <c r="L5048" s="8"/>
      <c r="M5048" s="8"/>
      <c r="N5048" s="11"/>
      <c r="O5048" s="11"/>
      <c r="P5048" s="11"/>
      <c r="Q5048" s="11"/>
      <c r="R5048" s="11"/>
      <c r="S5048" s="12"/>
      <c r="T5048" s="8"/>
      <c r="U5048" s="8"/>
      <c r="V5048" s="13"/>
      <c r="W5048" s="13"/>
      <c r="X5048" s="12"/>
      <c r="Y5048" s="14"/>
      <c r="Z5048" s="14"/>
    </row>
    <row r="5049">
      <c r="A5049" s="8"/>
      <c r="B5049" s="8"/>
      <c r="C5049" s="8"/>
      <c r="D5049" s="8"/>
      <c r="E5049" s="8"/>
      <c r="F5049" s="8"/>
      <c r="G5049" s="8"/>
      <c r="H5049" s="8"/>
      <c r="I5049" s="8"/>
      <c r="J5049" s="8"/>
      <c r="K5049" s="10"/>
      <c r="L5049" s="8"/>
      <c r="M5049" s="8"/>
      <c r="N5049" s="11"/>
      <c r="O5049" s="11"/>
      <c r="P5049" s="11"/>
      <c r="Q5049" s="11"/>
      <c r="R5049" s="11"/>
      <c r="S5049" s="12"/>
      <c r="T5049" s="8"/>
      <c r="U5049" s="8"/>
      <c r="V5049" s="13"/>
      <c r="W5049" s="13"/>
      <c r="X5049" s="12"/>
      <c r="Y5049" s="14"/>
      <c r="Z5049" s="14"/>
    </row>
    <row r="5050">
      <c r="A5050" s="8"/>
      <c r="B5050" s="8"/>
      <c r="C5050" s="8"/>
      <c r="D5050" s="8"/>
      <c r="E5050" s="8"/>
      <c r="F5050" s="8"/>
      <c r="G5050" s="8"/>
      <c r="H5050" s="8"/>
      <c r="I5050" s="8"/>
      <c r="J5050" s="8"/>
      <c r="K5050" s="10"/>
      <c r="L5050" s="8"/>
      <c r="M5050" s="8"/>
      <c r="N5050" s="11"/>
      <c r="O5050" s="11"/>
      <c r="P5050" s="11"/>
      <c r="Q5050" s="11"/>
      <c r="R5050" s="11"/>
      <c r="S5050" s="12"/>
      <c r="T5050" s="8"/>
      <c r="U5050" s="8"/>
      <c r="V5050" s="13"/>
      <c r="W5050" s="13"/>
      <c r="X5050" s="12"/>
      <c r="Y5050" s="14"/>
      <c r="Z5050" s="14"/>
    </row>
    <row r="5051">
      <c r="A5051" s="8"/>
      <c r="B5051" s="8"/>
      <c r="C5051" s="8"/>
      <c r="D5051" s="8"/>
      <c r="E5051" s="8"/>
      <c r="F5051" s="8"/>
      <c r="G5051" s="8"/>
      <c r="H5051" s="8"/>
      <c r="I5051" s="8"/>
      <c r="J5051" s="8"/>
      <c r="K5051" s="10"/>
      <c r="L5051" s="8"/>
      <c r="M5051" s="8"/>
      <c r="N5051" s="11"/>
      <c r="O5051" s="11"/>
      <c r="P5051" s="11"/>
      <c r="Q5051" s="11"/>
      <c r="R5051" s="11"/>
      <c r="S5051" s="12"/>
      <c r="T5051" s="8"/>
      <c r="U5051" s="8"/>
      <c r="V5051" s="13"/>
      <c r="W5051" s="13"/>
      <c r="X5051" s="12"/>
      <c r="Y5051" s="14"/>
      <c r="Z5051" s="14"/>
    </row>
    <row r="5052">
      <c r="A5052" s="8"/>
      <c r="B5052" s="8"/>
      <c r="C5052" s="8"/>
      <c r="D5052" s="8"/>
      <c r="E5052" s="8"/>
      <c r="F5052" s="8"/>
      <c r="G5052" s="8"/>
      <c r="H5052" s="8"/>
      <c r="I5052" s="8"/>
      <c r="J5052" s="8"/>
      <c r="K5052" s="10"/>
      <c r="L5052" s="8"/>
      <c r="M5052" s="8"/>
      <c r="N5052" s="11"/>
      <c r="O5052" s="11"/>
      <c r="P5052" s="11"/>
      <c r="Q5052" s="11"/>
      <c r="R5052" s="11"/>
      <c r="S5052" s="12"/>
      <c r="T5052" s="8"/>
      <c r="U5052" s="8"/>
      <c r="V5052" s="13"/>
      <c r="W5052" s="13"/>
      <c r="X5052" s="12"/>
      <c r="Y5052" s="14"/>
      <c r="Z5052" s="14"/>
    </row>
    <row r="5053">
      <c r="A5053" s="8"/>
      <c r="B5053" s="8"/>
      <c r="C5053" s="8"/>
      <c r="D5053" s="8"/>
      <c r="E5053" s="8"/>
      <c r="F5053" s="8"/>
      <c r="G5053" s="8"/>
      <c r="H5053" s="8"/>
      <c r="I5053" s="8"/>
      <c r="J5053" s="8"/>
      <c r="K5053" s="10"/>
      <c r="L5053" s="8"/>
      <c r="M5053" s="8"/>
      <c r="N5053" s="11"/>
      <c r="O5053" s="11"/>
      <c r="P5053" s="11"/>
      <c r="Q5053" s="11"/>
      <c r="R5053" s="11"/>
      <c r="S5053" s="12"/>
      <c r="T5053" s="8"/>
      <c r="U5053" s="8"/>
      <c r="V5053" s="13"/>
      <c r="W5053" s="13"/>
      <c r="X5053" s="12"/>
      <c r="Y5053" s="14"/>
      <c r="Z5053" s="14"/>
    </row>
    <row r="5054">
      <c r="A5054" s="8"/>
      <c r="B5054" s="8"/>
      <c r="C5054" s="8"/>
      <c r="D5054" s="8"/>
      <c r="E5054" s="8"/>
      <c r="F5054" s="8"/>
      <c r="G5054" s="8"/>
      <c r="H5054" s="8"/>
      <c r="I5054" s="8"/>
      <c r="J5054" s="8"/>
      <c r="K5054" s="10"/>
      <c r="L5054" s="8"/>
      <c r="M5054" s="8"/>
      <c r="N5054" s="11"/>
      <c r="O5054" s="11"/>
      <c r="P5054" s="11"/>
      <c r="Q5054" s="11"/>
      <c r="R5054" s="11"/>
      <c r="S5054" s="12"/>
      <c r="T5054" s="8"/>
      <c r="U5054" s="8"/>
      <c r="V5054" s="13"/>
      <c r="W5054" s="13"/>
      <c r="X5054" s="12"/>
      <c r="Y5054" s="14"/>
      <c r="Z5054" s="14"/>
    </row>
    <row r="5055">
      <c r="A5055" s="8"/>
      <c r="B5055" s="8"/>
      <c r="C5055" s="8"/>
      <c r="D5055" s="8"/>
      <c r="E5055" s="8"/>
      <c r="F5055" s="8"/>
      <c r="G5055" s="8"/>
      <c r="H5055" s="8"/>
      <c r="I5055" s="8"/>
      <c r="J5055" s="8"/>
      <c r="K5055" s="10"/>
      <c r="L5055" s="8"/>
      <c r="M5055" s="8"/>
      <c r="N5055" s="11"/>
      <c r="O5055" s="11"/>
      <c r="P5055" s="11"/>
      <c r="Q5055" s="11"/>
      <c r="R5055" s="11"/>
      <c r="S5055" s="12"/>
      <c r="T5055" s="8"/>
      <c r="U5055" s="8"/>
      <c r="V5055" s="13"/>
      <c r="W5055" s="13"/>
      <c r="X5055" s="12"/>
      <c r="Y5055" s="14"/>
      <c r="Z5055" s="14"/>
    </row>
    <row r="5056">
      <c r="A5056" s="8"/>
      <c r="B5056" s="8"/>
      <c r="C5056" s="8"/>
      <c r="D5056" s="8"/>
      <c r="E5056" s="8"/>
      <c r="F5056" s="8"/>
      <c r="G5056" s="8"/>
      <c r="H5056" s="8"/>
      <c r="I5056" s="8"/>
      <c r="J5056" s="8"/>
      <c r="K5056" s="10"/>
      <c r="L5056" s="8"/>
      <c r="M5056" s="8"/>
      <c r="N5056" s="11"/>
      <c r="O5056" s="11"/>
      <c r="P5056" s="11"/>
      <c r="Q5056" s="11"/>
      <c r="R5056" s="11"/>
      <c r="S5056" s="12"/>
      <c r="T5056" s="8"/>
      <c r="U5056" s="8"/>
      <c r="V5056" s="13"/>
      <c r="W5056" s="13"/>
      <c r="X5056" s="12"/>
      <c r="Y5056" s="14"/>
      <c r="Z5056" s="14"/>
    </row>
    <row r="5057">
      <c r="A5057" s="8"/>
      <c r="B5057" s="8"/>
      <c r="C5057" s="8"/>
      <c r="D5057" s="8"/>
      <c r="E5057" s="8"/>
      <c r="F5057" s="8"/>
      <c r="G5057" s="8"/>
      <c r="H5057" s="8"/>
      <c r="I5057" s="8"/>
      <c r="J5057" s="8"/>
      <c r="K5057" s="10"/>
      <c r="L5057" s="8"/>
      <c r="M5057" s="8"/>
      <c r="N5057" s="11"/>
      <c r="O5057" s="11"/>
      <c r="P5057" s="11"/>
      <c r="Q5057" s="11"/>
      <c r="R5057" s="11"/>
      <c r="S5057" s="12"/>
      <c r="T5057" s="8"/>
      <c r="U5057" s="8"/>
      <c r="V5057" s="13"/>
      <c r="W5057" s="13"/>
      <c r="X5057" s="12"/>
      <c r="Y5057" s="14"/>
      <c r="Z5057" s="14"/>
    </row>
    <row r="5058">
      <c r="A5058" s="8"/>
      <c r="B5058" s="8"/>
      <c r="C5058" s="8"/>
      <c r="D5058" s="8"/>
      <c r="E5058" s="8"/>
      <c r="F5058" s="8"/>
      <c r="G5058" s="8"/>
      <c r="H5058" s="8"/>
      <c r="I5058" s="8"/>
      <c r="J5058" s="8"/>
      <c r="K5058" s="10"/>
      <c r="L5058" s="8"/>
      <c r="M5058" s="8"/>
      <c r="N5058" s="11"/>
      <c r="O5058" s="11"/>
      <c r="P5058" s="11"/>
      <c r="Q5058" s="11"/>
      <c r="R5058" s="11"/>
      <c r="S5058" s="12"/>
      <c r="T5058" s="8"/>
      <c r="U5058" s="8"/>
      <c r="V5058" s="13"/>
      <c r="W5058" s="13"/>
      <c r="X5058" s="12"/>
      <c r="Y5058" s="14"/>
      <c r="Z5058" s="14"/>
    </row>
    <row r="5059">
      <c r="A5059" s="8"/>
      <c r="B5059" s="8"/>
      <c r="C5059" s="8"/>
      <c r="D5059" s="8"/>
      <c r="E5059" s="8"/>
      <c r="F5059" s="8"/>
      <c r="G5059" s="8"/>
      <c r="H5059" s="8"/>
      <c r="I5059" s="8"/>
      <c r="J5059" s="8"/>
      <c r="K5059" s="10"/>
      <c r="L5059" s="8"/>
      <c r="M5059" s="8"/>
      <c r="N5059" s="11"/>
      <c r="O5059" s="11"/>
      <c r="P5059" s="11"/>
      <c r="Q5059" s="11"/>
      <c r="R5059" s="11"/>
      <c r="S5059" s="12"/>
      <c r="T5059" s="8"/>
      <c r="U5059" s="8"/>
      <c r="V5059" s="13"/>
      <c r="W5059" s="13"/>
      <c r="X5059" s="12"/>
      <c r="Y5059" s="14"/>
      <c r="Z5059" s="14"/>
    </row>
    <row r="5060">
      <c r="A5060" s="8"/>
      <c r="B5060" s="8"/>
      <c r="C5060" s="8"/>
      <c r="D5060" s="8"/>
      <c r="E5060" s="8"/>
      <c r="F5060" s="8"/>
      <c r="G5060" s="8"/>
      <c r="H5060" s="8"/>
      <c r="I5060" s="8"/>
      <c r="J5060" s="8"/>
      <c r="K5060" s="10"/>
      <c r="L5060" s="8"/>
      <c r="M5060" s="8"/>
      <c r="N5060" s="11"/>
      <c r="O5060" s="11"/>
      <c r="P5060" s="11"/>
      <c r="Q5060" s="11"/>
      <c r="R5060" s="11"/>
      <c r="S5060" s="12"/>
      <c r="T5060" s="8"/>
      <c r="U5060" s="8"/>
      <c r="V5060" s="13"/>
      <c r="W5060" s="13"/>
      <c r="X5060" s="12"/>
      <c r="Y5060" s="14"/>
      <c r="Z5060" s="14"/>
    </row>
    <row r="5061">
      <c r="A5061" s="8"/>
      <c r="B5061" s="8"/>
      <c r="C5061" s="8"/>
      <c r="D5061" s="8"/>
      <c r="E5061" s="8"/>
      <c r="F5061" s="8"/>
      <c r="G5061" s="8"/>
      <c r="H5061" s="8"/>
      <c r="I5061" s="8"/>
      <c r="J5061" s="8"/>
      <c r="K5061" s="10"/>
      <c r="L5061" s="8"/>
      <c r="M5061" s="8"/>
      <c r="N5061" s="11"/>
      <c r="O5061" s="11"/>
      <c r="P5061" s="11"/>
      <c r="Q5061" s="11"/>
      <c r="R5061" s="11"/>
      <c r="S5061" s="12"/>
      <c r="T5061" s="8"/>
      <c r="U5061" s="8"/>
      <c r="V5061" s="13"/>
      <c r="W5061" s="13"/>
      <c r="X5061" s="12"/>
      <c r="Y5061" s="14"/>
      <c r="Z5061" s="14"/>
    </row>
    <row r="5062">
      <c r="A5062" s="8"/>
      <c r="B5062" s="8"/>
      <c r="C5062" s="8"/>
      <c r="D5062" s="8"/>
      <c r="E5062" s="8"/>
      <c r="F5062" s="8"/>
      <c r="G5062" s="8"/>
      <c r="H5062" s="8"/>
      <c r="I5062" s="8"/>
      <c r="J5062" s="8"/>
      <c r="K5062" s="10"/>
      <c r="L5062" s="8"/>
      <c r="M5062" s="8"/>
      <c r="N5062" s="11"/>
      <c r="O5062" s="11"/>
      <c r="P5062" s="11"/>
      <c r="Q5062" s="11"/>
      <c r="R5062" s="11"/>
      <c r="S5062" s="12"/>
      <c r="T5062" s="8"/>
      <c r="U5062" s="8"/>
      <c r="V5062" s="13"/>
      <c r="W5062" s="13"/>
      <c r="X5062" s="12"/>
      <c r="Y5062" s="14"/>
      <c r="Z5062" s="14"/>
    </row>
    <row r="5063">
      <c r="A5063" s="8"/>
      <c r="B5063" s="8"/>
      <c r="C5063" s="8"/>
      <c r="D5063" s="8"/>
      <c r="E5063" s="8"/>
      <c r="F5063" s="8"/>
      <c r="G5063" s="8"/>
      <c r="H5063" s="8"/>
      <c r="I5063" s="8"/>
      <c r="J5063" s="8"/>
      <c r="K5063" s="10"/>
      <c r="L5063" s="8"/>
      <c r="M5063" s="8"/>
      <c r="N5063" s="11"/>
      <c r="O5063" s="11"/>
      <c r="P5063" s="11"/>
      <c r="Q5063" s="11"/>
      <c r="R5063" s="11"/>
      <c r="S5063" s="12"/>
      <c r="T5063" s="8"/>
      <c r="U5063" s="8"/>
      <c r="V5063" s="13"/>
      <c r="W5063" s="13"/>
      <c r="X5063" s="12"/>
      <c r="Y5063" s="14"/>
      <c r="Z5063" s="14"/>
    </row>
    <row r="5064">
      <c r="A5064" s="8"/>
      <c r="B5064" s="8"/>
      <c r="C5064" s="8"/>
      <c r="D5064" s="8"/>
      <c r="E5064" s="8"/>
      <c r="F5064" s="8"/>
      <c r="G5064" s="8"/>
      <c r="H5064" s="8"/>
      <c r="I5064" s="8"/>
      <c r="J5064" s="8"/>
      <c r="K5064" s="10"/>
      <c r="L5064" s="8"/>
      <c r="M5064" s="8"/>
      <c r="N5064" s="11"/>
      <c r="O5064" s="11"/>
      <c r="P5064" s="11"/>
      <c r="Q5064" s="11"/>
      <c r="R5064" s="11"/>
      <c r="S5064" s="12"/>
      <c r="T5064" s="8"/>
      <c r="U5064" s="8"/>
      <c r="V5064" s="13"/>
      <c r="W5064" s="13"/>
      <c r="X5064" s="12"/>
      <c r="Y5064" s="14"/>
      <c r="Z5064" s="14"/>
    </row>
    <row r="5065">
      <c r="A5065" s="8"/>
      <c r="B5065" s="8"/>
      <c r="C5065" s="8"/>
      <c r="D5065" s="8"/>
      <c r="E5065" s="8"/>
      <c r="F5065" s="8"/>
      <c r="G5065" s="8"/>
      <c r="H5065" s="8"/>
      <c r="I5065" s="8"/>
      <c r="J5065" s="8"/>
      <c r="K5065" s="10"/>
      <c r="L5065" s="8"/>
      <c r="M5065" s="8"/>
      <c r="N5065" s="11"/>
      <c r="O5065" s="11"/>
      <c r="P5065" s="11"/>
      <c r="Q5065" s="11"/>
      <c r="R5065" s="11"/>
      <c r="S5065" s="12"/>
      <c r="T5065" s="8"/>
      <c r="U5065" s="8"/>
      <c r="V5065" s="13"/>
      <c r="W5065" s="13"/>
      <c r="X5065" s="12"/>
      <c r="Y5065" s="14"/>
      <c r="Z5065" s="14"/>
    </row>
    <row r="5066">
      <c r="A5066" s="8"/>
      <c r="B5066" s="8"/>
      <c r="C5066" s="8"/>
      <c r="D5066" s="8"/>
      <c r="E5066" s="8"/>
      <c r="F5066" s="8"/>
      <c r="G5066" s="8"/>
      <c r="H5066" s="8"/>
      <c r="I5066" s="8"/>
      <c r="J5066" s="8"/>
      <c r="K5066" s="10"/>
      <c r="L5066" s="8"/>
      <c r="M5066" s="8"/>
      <c r="N5066" s="11"/>
      <c r="O5066" s="11"/>
      <c r="P5066" s="11"/>
      <c r="Q5066" s="11"/>
      <c r="R5066" s="11"/>
      <c r="S5066" s="12"/>
      <c r="T5066" s="8"/>
      <c r="U5066" s="8"/>
      <c r="V5066" s="13"/>
      <c r="W5066" s="13"/>
      <c r="X5066" s="12"/>
      <c r="Y5066" s="14"/>
      <c r="Z5066" s="14"/>
    </row>
    <row r="5067">
      <c r="A5067" s="8"/>
      <c r="B5067" s="8"/>
      <c r="C5067" s="8"/>
      <c r="D5067" s="8"/>
      <c r="E5067" s="8"/>
      <c r="F5067" s="8"/>
      <c r="G5067" s="8"/>
      <c r="H5067" s="8"/>
      <c r="I5067" s="8"/>
      <c r="J5067" s="8"/>
      <c r="K5067" s="10"/>
      <c r="L5067" s="8"/>
      <c r="M5067" s="8"/>
      <c r="N5067" s="11"/>
      <c r="O5067" s="11"/>
      <c r="P5067" s="11"/>
      <c r="Q5067" s="11"/>
      <c r="R5067" s="11"/>
      <c r="S5067" s="12"/>
      <c r="T5067" s="8"/>
      <c r="U5067" s="8"/>
      <c r="V5067" s="13"/>
      <c r="W5067" s="13"/>
      <c r="X5067" s="12"/>
      <c r="Y5067" s="14"/>
      <c r="Z5067" s="14"/>
    </row>
    <row r="5068">
      <c r="A5068" s="8"/>
      <c r="B5068" s="8"/>
      <c r="C5068" s="8"/>
      <c r="D5068" s="8"/>
      <c r="E5068" s="8"/>
      <c r="F5068" s="8"/>
      <c r="G5068" s="8"/>
      <c r="H5068" s="8"/>
      <c r="I5068" s="8"/>
      <c r="J5068" s="8"/>
      <c r="K5068" s="10"/>
      <c r="L5068" s="8"/>
      <c r="M5068" s="8"/>
      <c r="N5068" s="11"/>
      <c r="O5068" s="11"/>
      <c r="P5068" s="11"/>
      <c r="Q5068" s="11"/>
      <c r="R5068" s="11"/>
      <c r="S5068" s="12"/>
      <c r="T5068" s="8"/>
      <c r="U5068" s="8"/>
      <c r="V5068" s="13"/>
      <c r="W5068" s="13"/>
      <c r="X5068" s="12"/>
      <c r="Y5068" s="14"/>
      <c r="Z5068" s="14"/>
    </row>
    <row r="5069">
      <c r="A5069" s="8"/>
      <c r="B5069" s="8"/>
      <c r="C5069" s="8"/>
      <c r="D5069" s="8"/>
      <c r="E5069" s="8"/>
      <c r="F5069" s="8"/>
      <c r="G5069" s="8"/>
      <c r="H5069" s="8"/>
      <c r="I5069" s="8"/>
      <c r="J5069" s="8"/>
      <c r="K5069" s="10"/>
      <c r="L5069" s="8"/>
      <c r="M5069" s="8"/>
      <c r="N5069" s="11"/>
      <c r="O5069" s="11"/>
      <c r="P5069" s="11"/>
      <c r="Q5069" s="11"/>
      <c r="R5069" s="11"/>
      <c r="S5069" s="12"/>
      <c r="T5069" s="8"/>
      <c r="U5069" s="8"/>
      <c r="V5069" s="13"/>
      <c r="W5069" s="13"/>
      <c r="X5069" s="12"/>
      <c r="Y5069" s="14"/>
      <c r="Z5069" s="14"/>
    </row>
    <row r="5070">
      <c r="A5070" s="8"/>
      <c r="B5070" s="8"/>
      <c r="C5070" s="8"/>
      <c r="D5070" s="8"/>
      <c r="E5070" s="8"/>
      <c r="F5070" s="8"/>
      <c r="G5070" s="8"/>
      <c r="H5070" s="8"/>
      <c r="I5070" s="8"/>
      <c r="J5070" s="8"/>
      <c r="K5070" s="10"/>
      <c r="L5070" s="8"/>
      <c r="M5070" s="8"/>
      <c r="N5070" s="11"/>
      <c r="O5070" s="11"/>
      <c r="P5070" s="11"/>
      <c r="Q5070" s="11"/>
      <c r="R5070" s="11"/>
      <c r="S5070" s="12"/>
      <c r="T5070" s="8"/>
      <c r="U5070" s="8"/>
      <c r="V5070" s="13"/>
      <c r="W5070" s="13"/>
      <c r="X5070" s="12"/>
      <c r="Y5070" s="14"/>
      <c r="Z5070" s="14"/>
    </row>
    <row r="5071">
      <c r="A5071" s="8"/>
      <c r="B5071" s="8"/>
      <c r="C5071" s="8"/>
      <c r="D5071" s="8"/>
      <c r="E5071" s="8"/>
      <c r="F5071" s="8"/>
      <c r="G5071" s="8"/>
      <c r="H5071" s="8"/>
      <c r="I5071" s="8"/>
      <c r="J5071" s="8"/>
      <c r="K5071" s="10"/>
      <c r="L5071" s="8"/>
      <c r="M5071" s="8"/>
      <c r="N5071" s="11"/>
      <c r="O5071" s="11"/>
      <c r="P5071" s="11"/>
      <c r="Q5071" s="11"/>
      <c r="R5071" s="11"/>
      <c r="S5071" s="12"/>
      <c r="T5071" s="8"/>
      <c r="U5071" s="8"/>
      <c r="V5071" s="13"/>
      <c r="W5071" s="13"/>
      <c r="X5071" s="12"/>
      <c r="Y5071" s="14"/>
      <c r="Z5071" s="14"/>
    </row>
    <row r="5072">
      <c r="A5072" s="8"/>
      <c r="B5072" s="8"/>
      <c r="C5072" s="8"/>
      <c r="D5072" s="8"/>
      <c r="E5072" s="8"/>
      <c r="F5072" s="8"/>
      <c r="G5072" s="8"/>
      <c r="H5072" s="8"/>
      <c r="I5072" s="8"/>
      <c r="J5072" s="8"/>
      <c r="K5072" s="10"/>
      <c r="L5072" s="8"/>
      <c r="M5072" s="8"/>
      <c r="N5072" s="11"/>
      <c r="O5072" s="11"/>
      <c r="P5072" s="11"/>
      <c r="Q5072" s="11"/>
      <c r="R5072" s="11"/>
      <c r="S5072" s="12"/>
      <c r="T5072" s="8"/>
      <c r="U5072" s="8"/>
      <c r="V5072" s="13"/>
      <c r="W5072" s="13"/>
      <c r="X5072" s="12"/>
      <c r="Y5072" s="14"/>
      <c r="Z5072" s="14"/>
    </row>
    <row r="5073">
      <c r="A5073" s="8"/>
      <c r="B5073" s="8"/>
      <c r="C5073" s="8"/>
      <c r="D5073" s="8"/>
      <c r="E5073" s="8"/>
      <c r="F5073" s="8"/>
      <c r="G5073" s="8"/>
      <c r="H5073" s="8"/>
      <c r="I5073" s="8"/>
      <c r="J5073" s="8"/>
      <c r="K5073" s="10"/>
      <c r="L5073" s="8"/>
      <c r="M5073" s="8"/>
      <c r="N5073" s="11"/>
      <c r="O5073" s="11"/>
      <c r="P5073" s="11"/>
      <c r="Q5073" s="11"/>
      <c r="R5073" s="11"/>
      <c r="S5073" s="12"/>
      <c r="T5073" s="8"/>
      <c r="U5073" s="8"/>
      <c r="V5073" s="13"/>
      <c r="W5073" s="13"/>
      <c r="X5073" s="12"/>
      <c r="Y5073" s="14"/>
      <c r="Z5073" s="14"/>
    </row>
    <row r="5074">
      <c r="A5074" s="8"/>
      <c r="B5074" s="8"/>
      <c r="C5074" s="8"/>
      <c r="D5074" s="8"/>
      <c r="E5074" s="8"/>
      <c r="F5074" s="8"/>
      <c r="G5074" s="8"/>
      <c r="H5074" s="8"/>
      <c r="I5074" s="8"/>
      <c r="J5074" s="8"/>
      <c r="K5074" s="10"/>
      <c r="L5074" s="8"/>
      <c r="M5074" s="8"/>
      <c r="N5074" s="11"/>
      <c r="O5074" s="11"/>
      <c r="P5074" s="11"/>
      <c r="Q5074" s="11"/>
      <c r="R5074" s="11"/>
      <c r="S5074" s="12"/>
      <c r="T5074" s="8"/>
      <c r="U5074" s="8"/>
      <c r="V5074" s="13"/>
      <c r="W5074" s="13"/>
      <c r="X5074" s="12"/>
      <c r="Y5074" s="14"/>
      <c r="Z5074" s="14"/>
    </row>
    <row r="5075">
      <c r="A5075" s="8"/>
      <c r="B5075" s="8"/>
      <c r="C5075" s="8"/>
      <c r="D5075" s="8"/>
      <c r="E5075" s="8"/>
      <c r="F5075" s="8"/>
      <c r="G5075" s="8"/>
      <c r="H5075" s="8"/>
      <c r="I5075" s="8"/>
      <c r="J5075" s="8"/>
      <c r="K5075" s="10"/>
      <c r="L5075" s="8"/>
      <c r="M5075" s="8"/>
      <c r="N5075" s="11"/>
      <c r="O5075" s="11"/>
      <c r="P5075" s="11"/>
      <c r="Q5075" s="11"/>
      <c r="R5075" s="11"/>
      <c r="S5075" s="12"/>
      <c r="T5075" s="8"/>
      <c r="U5075" s="8"/>
      <c r="V5075" s="13"/>
      <c r="W5075" s="13"/>
      <c r="X5075" s="12"/>
      <c r="Y5075" s="14"/>
      <c r="Z5075" s="14"/>
    </row>
    <row r="5076">
      <c r="A5076" s="8"/>
      <c r="B5076" s="8"/>
      <c r="C5076" s="8"/>
      <c r="D5076" s="8"/>
      <c r="E5076" s="8"/>
      <c r="F5076" s="8"/>
      <c r="G5076" s="8"/>
      <c r="H5076" s="8"/>
      <c r="I5076" s="8"/>
      <c r="J5076" s="8"/>
      <c r="K5076" s="10"/>
      <c r="L5076" s="8"/>
      <c r="M5076" s="8"/>
      <c r="N5076" s="11"/>
      <c r="O5076" s="11"/>
      <c r="P5076" s="11"/>
      <c r="Q5076" s="11"/>
      <c r="R5076" s="11"/>
      <c r="S5076" s="12"/>
      <c r="T5076" s="8"/>
      <c r="U5076" s="8"/>
      <c r="V5076" s="13"/>
      <c r="W5076" s="13"/>
      <c r="X5076" s="12"/>
      <c r="Y5076" s="14"/>
      <c r="Z5076" s="14"/>
    </row>
    <row r="5077">
      <c r="A5077" s="8"/>
      <c r="B5077" s="8"/>
      <c r="C5077" s="8"/>
      <c r="D5077" s="8"/>
      <c r="E5077" s="8"/>
      <c r="F5077" s="8"/>
      <c r="G5077" s="8"/>
      <c r="H5077" s="8"/>
      <c r="I5077" s="8"/>
      <c r="J5077" s="8"/>
      <c r="K5077" s="10"/>
      <c r="L5077" s="8"/>
      <c r="M5077" s="8"/>
      <c r="N5077" s="11"/>
      <c r="O5077" s="11"/>
      <c r="P5077" s="11"/>
      <c r="Q5077" s="11"/>
      <c r="R5077" s="11"/>
      <c r="S5077" s="12"/>
      <c r="T5077" s="8"/>
      <c r="U5077" s="8"/>
      <c r="V5077" s="13"/>
      <c r="W5077" s="13"/>
      <c r="X5077" s="12"/>
      <c r="Y5077" s="14"/>
      <c r="Z5077" s="14"/>
    </row>
    <row r="5078">
      <c r="A5078" s="8"/>
      <c r="B5078" s="8"/>
      <c r="C5078" s="8"/>
      <c r="D5078" s="8"/>
      <c r="E5078" s="8"/>
      <c r="F5078" s="8"/>
      <c r="G5078" s="8"/>
      <c r="H5078" s="8"/>
      <c r="I5078" s="8"/>
      <c r="J5078" s="8"/>
      <c r="K5078" s="10"/>
      <c r="L5078" s="8"/>
      <c r="M5078" s="8"/>
      <c r="N5078" s="11"/>
      <c r="O5078" s="11"/>
      <c r="P5078" s="11"/>
      <c r="Q5078" s="11"/>
      <c r="R5078" s="11"/>
      <c r="S5078" s="12"/>
      <c r="T5078" s="8"/>
      <c r="U5078" s="8"/>
      <c r="V5078" s="13"/>
      <c r="W5078" s="13"/>
      <c r="X5078" s="12"/>
      <c r="Y5078" s="14"/>
      <c r="Z5078" s="14"/>
    </row>
    <row r="5079">
      <c r="A5079" s="8"/>
      <c r="B5079" s="8"/>
      <c r="C5079" s="8"/>
      <c r="D5079" s="8"/>
      <c r="E5079" s="8"/>
      <c r="F5079" s="8"/>
      <c r="G5079" s="8"/>
      <c r="H5079" s="8"/>
      <c r="I5079" s="8"/>
      <c r="J5079" s="8"/>
      <c r="K5079" s="10"/>
      <c r="L5079" s="8"/>
      <c r="M5079" s="8"/>
      <c r="N5079" s="11"/>
      <c r="O5079" s="11"/>
      <c r="P5079" s="11"/>
      <c r="Q5079" s="11"/>
      <c r="R5079" s="11"/>
      <c r="S5079" s="12"/>
      <c r="T5079" s="8"/>
      <c r="U5079" s="8"/>
      <c r="V5079" s="13"/>
      <c r="W5079" s="13"/>
      <c r="X5079" s="12"/>
      <c r="Y5079" s="14"/>
      <c r="Z5079" s="14"/>
    </row>
    <row r="5080">
      <c r="A5080" s="8"/>
      <c r="B5080" s="8"/>
      <c r="C5080" s="8"/>
      <c r="D5080" s="8"/>
      <c r="E5080" s="8"/>
      <c r="F5080" s="8"/>
      <c r="G5080" s="8"/>
      <c r="H5080" s="8"/>
      <c r="I5080" s="8"/>
      <c r="J5080" s="8"/>
      <c r="K5080" s="10"/>
      <c r="L5080" s="8"/>
      <c r="M5080" s="8"/>
      <c r="N5080" s="11"/>
      <c r="O5080" s="11"/>
      <c r="P5080" s="11"/>
      <c r="Q5080" s="11"/>
      <c r="R5080" s="11"/>
      <c r="S5080" s="12"/>
      <c r="T5080" s="8"/>
      <c r="U5080" s="8"/>
      <c r="V5080" s="13"/>
      <c r="W5080" s="13"/>
      <c r="X5080" s="12"/>
      <c r="Y5080" s="14"/>
      <c r="Z5080" s="14"/>
    </row>
    <row r="5081">
      <c r="A5081" s="8"/>
      <c r="B5081" s="8"/>
      <c r="C5081" s="8"/>
      <c r="D5081" s="8"/>
      <c r="E5081" s="8"/>
      <c r="F5081" s="8"/>
      <c r="G5081" s="8"/>
      <c r="H5081" s="8"/>
      <c r="I5081" s="8"/>
      <c r="J5081" s="8"/>
      <c r="K5081" s="10"/>
      <c r="L5081" s="8"/>
      <c r="M5081" s="8"/>
      <c r="N5081" s="11"/>
      <c r="O5081" s="11"/>
      <c r="P5081" s="11"/>
      <c r="Q5081" s="11"/>
      <c r="R5081" s="11"/>
      <c r="S5081" s="12"/>
      <c r="T5081" s="8"/>
      <c r="U5081" s="8"/>
      <c r="V5081" s="13"/>
      <c r="W5081" s="13"/>
      <c r="X5081" s="12"/>
      <c r="Y5081" s="14"/>
      <c r="Z5081" s="14"/>
    </row>
    <row r="5082">
      <c r="A5082" s="8"/>
      <c r="B5082" s="8"/>
      <c r="C5082" s="8"/>
      <c r="D5082" s="8"/>
      <c r="E5082" s="8"/>
      <c r="F5082" s="8"/>
      <c r="G5082" s="8"/>
      <c r="H5082" s="8"/>
      <c r="I5082" s="8"/>
      <c r="J5082" s="8"/>
      <c r="K5082" s="10"/>
      <c r="L5082" s="8"/>
      <c r="M5082" s="8"/>
      <c r="N5082" s="11"/>
      <c r="O5082" s="11"/>
      <c r="P5082" s="11"/>
      <c r="Q5082" s="11"/>
      <c r="R5082" s="11"/>
      <c r="S5082" s="12"/>
      <c r="T5082" s="8"/>
      <c r="U5082" s="8"/>
      <c r="V5082" s="13"/>
      <c r="W5082" s="13"/>
      <c r="X5082" s="12"/>
      <c r="Y5082" s="14"/>
      <c r="Z5082" s="14"/>
    </row>
    <row r="5083">
      <c r="A5083" s="8"/>
      <c r="B5083" s="8"/>
      <c r="C5083" s="8"/>
      <c r="D5083" s="8"/>
      <c r="E5083" s="8"/>
      <c r="F5083" s="8"/>
      <c r="G5083" s="8"/>
      <c r="H5083" s="8"/>
      <c r="I5083" s="8"/>
      <c r="J5083" s="8"/>
      <c r="K5083" s="10"/>
      <c r="L5083" s="8"/>
      <c r="M5083" s="8"/>
      <c r="N5083" s="11"/>
      <c r="O5083" s="11"/>
      <c r="P5083" s="11"/>
      <c r="Q5083" s="11"/>
      <c r="R5083" s="11"/>
      <c r="S5083" s="12"/>
      <c r="T5083" s="8"/>
      <c r="U5083" s="8"/>
      <c r="V5083" s="13"/>
      <c r="W5083" s="13"/>
      <c r="X5083" s="12"/>
      <c r="Y5083" s="14"/>
      <c r="Z5083" s="14"/>
    </row>
    <row r="5084">
      <c r="A5084" s="8"/>
      <c r="B5084" s="8"/>
      <c r="C5084" s="8"/>
      <c r="D5084" s="8"/>
      <c r="E5084" s="8"/>
      <c r="F5084" s="8"/>
      <c r="G5084" s="8"/>
      <c r="H5084" s="8"/>
      <c r="I5084" s="8"/>
      <c r="J5084" s="8"/>
      <c r="K5084" s="10"/>
      <c r="L5084" s="8"/>
      <c r="M5084" s="8"/>
      <c r="N5084" s="11"/>
      <c r="O5084" s="11"/>
      <c r="P5084" s="11"/>
      <c r="Q5084" s="11"/>
      <c r="R5084" s="11"/>
      <c r="S5084" s="12"/>
      <c r="T5084" s="8"/>
      <c r="U5084" s="8"/>
      <c r="V5084" s="13"/>
      <c r="W5084" s="13"/>
      <c r="X5084" s="12"/>
      <c r="Y5084" s="14"/>
      <c r="Z5084" s="14"/>
    </row>
    <row r="5085">
      <c r="A5085" s="8"/>
      <c r="B5085" s="8"/>
      <c r="C5085" s="8"/>
      <c r="D5085" s="8"/>
      <c r="E5085" s="8"/>
      <c r="F5085" s="8"/>
      <c r="G5085" s="8"/>
      <c r="H5085" s="8"/>
      <c r="I5085" s="8"/>
      <c r="J5085" s="8"/>
      <c r="K5085" s="10"/>
      <c r="L5085" s="8"/>
      <c r="M5085" s="8"/>
      <c r="N5085" s="11"/>
      <c r="O5085" s="11"/>
      <c r="P5085" s="11"/>
      <c r="Q5085" s="11"/>
      <c r="R5085" s="11"/>
      <c r="S5085" s="12"/>
      <c r="T5085" s="8"/>
      <c r="U5085" s="8"/>
      <c r="V5085" s="13"/>
      <c r="W5085" s="13"/>
      <c r="X5085" s="12"/>
      <c r="Y5085" s="14"/>
      <c r="Z5085" s="14"/>
    </row>
    <row r="5086">
      <c r="A5086" s="8"/>
      <c r="B5086" s="8"/>
      <c r="C5086" s="8"/>
      <c r="D5086" s="8"/>
      <c r="E5086" s="8"/>
      <c r="F5086" s="8"/>
      <c r="G5086" s="8"/>
      <c r="H5086" s="8"/>
      <c r="I5086" s="8"/>
      <c r="J5086" s="8"/>
      <c r="K5086" s="10"/>
      <c r="L5086" s="8"/>
      <c r="M5086" s="8"/>
      <c r="N5086" s="11"/>
      <c r="O5086" s="11"/>
      <c r="P5086" s="11"/>
      <c r="Q5086" s="11"/>
      <c r="R5086" s="11"/>
      <c r="S5086" s="12"/>
      <c r="T5086" s="8"/>
      <c r="U5086" s="8"/>
      <c r="V5086" s="13"/>
      <c r="W5086" s="13"/>
      <c r="X5086" s="12"/>
      <c r="Y5086" s="14"/>
      <c r="Z5086" s="14"/>
    </row>
    <row r="5087">
      <c r="A5087" s="8"/>
      <c r="B5087" s="8"/>
      <c r="C5087" s="8"/>
      <c r="D5087" s="8"/>
      <c r="E5087" s="8"/>
      <c r="F5087" s="8"/>
      <c r="G5087" s="8"/>
      <c r="H5087" s="8"/>
      <c r="I5087" s="8"/>
      <c r="J5087" s="8"/>
      <c r="K5087" s="10"/>
      <c r="L5087" s="8"/>
      <c r="M5087" s="8"/>
      <c r="N5087" s="11"/>
      <c r="O5087" s="11"/>
      <c r="P5087" s="11"/>
      <c r="Q5087" s="11"/>
      <c r="R5087" s="11"/>
      <c r="S5087" s="12"/>
      <c r="T5087" s="8"/>
      <c r="U5087" s="8"/>
      <c r="V5087" s="13"/>
      <c r="W5087" s="13"/>
      <c r="X5087" s="12"/>
      <c r="Y5087" s="14"/>
      <c r="Z5087" s="14"/>
    </row>
    <row r="5088">
      <c r="A5088" s="8"/>
      <c r="B5088" s="8"/>
      <c r="C5088" s="8"/>
      <c r="D5088" s="8"/>
      <c r="E5088" s="8"/>
      <c r="F5088" s="8"/>
      <c r="G5088" s="8"/>
      <c r="H5088" s="8"/>
      <c r="I5088" s="8"/>
      <c r="J5088" s="8"/>
      <c r="K5088" s="10"/>
      <c r="L5088" s="8"/>
      <c r="M5088" s="8"/>
      <c r="N5088" s="11"/>
      <c r="O5088" s="11"/>
      <c r="P5088" s="11"/>
      <c r="Q5088" s="11"/>
      <c r="R5088" s="11"/>
      <c r="S5088" s="12"/>
      <c r="T5088" s="8"/>
      <c r="U5088" s="8"/>
      <c r="V5088" s="13"/>
      <c r="W5088" s="13"/>
      <c r="X5088" s="12"/>
      <c r="Y5088" s="14"/>
      <c r="Z5088" s="14"/>
    </row>
    <row r="5089">
      <c r="A5089" s="8"/>
      <c r="B5089" s="8"/>
      <c r="C5089" s="8"/>
      <c r="D5089" s="8"/>
      <c r="E5089" s="8"/>
      <c r="F5089" s="8"/>
      <c r="G5089" s="8"/>
      <c r="H5089" s="8"/>
      <c r="I5089" s="8"/>
      <c r="J5089" s="8"/>
      <c r="K5089" s="10"/>
      <c r="L5089" s="8"/>
      <c r="M5089" s="8"/>
      <c r="N5089" s="11"/>
      <c r="O5089" s="11"/>
      <c r="P5089" s="11"/>
      <c r="Q5089" s="11"/>
      <c r="R5089" s="11"/>
      <c r="S5089" s="12"/>
      <c r="T5089" s="8"/>
      <c r="U5089" s="8"/>
      <c r="V5089" s="13"/>
      <c r="W5089" s="13"/>
      <c r="X5089" s="12"/>
      <c r="Y5089" s="14"/>
      <c r="Z5089" s="14"/>
    </row>
    <row r="5090">
      <c r="A5090" s="8"/>
      <c r="B5090" s="8"/>
      <c r="C5090" s="8"/>
      <c r="D5090" s="8"/>
      <c r="E5090" s="8"/>
      <c r="F5090" s="8"/>
      <c r="G5090" s="8"/>
      <c r="H5090" s="8"/>
      <c r="I5090" s="8"/>
      <c r="J5090" s="8"/>
      <c r="K5090" s="10"/>
      <c r="L5090" s="8"/>
      <c r="M5090" s="8"/>
      <c r="N5090" s="11"/>
      <c r="O5090" s="11"/>
      <c r="P5090" s="11"/>
      <c r="Q5090" s="11"/>
      <c r="R5090" s="11"/>
      <c r="S5090" s="12"/>
      <c r="T5090" s="8"/>
      <c r="U5090" s="8"/>
      <c r="V5090" s="13"/>
      <c r="W5090" s="13"/>
      <c r="X5090" s="12"/>
      <c r="Y5090" s="14"/>
      <c r="Z5090" s="14"/>
    </row>
    <row r="5091">
      <c r="A5091" s="8"/>
      <c r="B5091" s="8"/>
      <c r="C5091" s="8"/>
      <c r="D5091" s="8"/>
      <c r="E5091" s="8"/>
      <c r="F5091" s="8"/>
      <c r="G5091" s="8"/>
      <c r="H5091" s="8"/>
      <c r="I5091" s="8"/>
      <c r="J5091" s="8"/>
      <c r="K5091" s="10"/>
      <c r="L5091" s="8"/>
      <c r="M5091" s="8"/>
      <c r="N5091" s="11"/>
      <c r="O5091" s="11"/>
      <c r="P5091" s="11"/>
      <c r="Q5091" s="11"/>
      <c r="R5091" s="11"/>
      <c r="S5091" s="12"/>
      <c r="T5091" s="8"/>
      <c r="U5091" s="8"/>
      <c r="V5091" s="13"/>
      <c r="W5091" s="13"/>
      <c r="X5091" s="12"/>
      <c r="Y5091" s="14"/>
      <c r="Z5091" s="14"/>
    </row>
    <row r="5092">
      <c r="A5092" s="8"/>
      <c r="B5092" s="8"/>
      <c r="C5092" s="8"/>
      <c r="D5092" s="8"/>
      <c r="E5092" s="8"/>
      <c r="F5092" s="8"/>
      <c r="G5092" s="8"/>
      <c r="H5092" s="8"/>
      <c r="I5092" s="8"/>
      <c r="J5092" s="8"/>
      <c r="K5092" s="10"/>
      <c r="L5092" s="8"/>
      <c r="M5092" s="8"/>
      <c r="N5092" s="11"/>
      <c r="O5092" s="11"/>
      <c r="P5092" s="11"/>
      <c r="Q5092" s="11"/>
      <c r="R5092" s="11"/>
      <c r="S5092" s="12"/>
      <c r="T5092" s="8"/>
      <c r="U5092" s="8"/>
      <c r="V5092" s="13"/>
      <c r="W5092" s="13"/>
      <c r="X5092" s="12"/>
      <c r="Y5092" s="14"/>
      <c r="Z5092" s="14"/>
    </row>
    <row r="5093">
      <c r="A5093" s="8"/>
      <c r="B5093" s="8"/>
      <c r="C5093" s="8"/>
      <c r="D5093" s="8"/>
      <c r="E5093" s="8"/>
      <c r="F5093" s="8"/>
      <c r="G5093" s="8"/>
      <c r="H5093" s="8"/>
      <c r="I5093" s="8"/>
      <c r="J5093" s="8"/>
      <c r="K5093" s="10"/>
      <c r="L5093" s="8"/>
      <c r="M5093" s="8"/>
      <c r="N5093" s="11"/>
      <c r="O5093" s="11"/>
      <c r="P5093" s="11"/>
      <c r="Q5093" s="11"/>
      <c r="R5093" s="11"/>
      <c r="S5093" s="12"/>
      <c r="T5093" s="8"/>
      <c r="U5093" s="8"/>
      <c r="V5093" s="13"/>
      <c r="W5093" s="13"/>
      <c r="X5093" s="12"/>
      <c r="Y5093" s="14"/>
      <c r="Z5093" s="14"/>
    </row>
    <row r="5094">
      <c r="A5094" s="8"/>
      <c r="B5094" s="8"/>
      <c r="C5094" s="8"/>
      <c r="D5094" s="8"/>
      <c r="E5094" s="8"/>
      <c r="F5094" s="8"/>
      <c r="G5094" s="8"/>
      <c r="H5094" s="8"/>
      <c r="I5094" s="8"/>
      <c r="J5094" s="8"/>
      <c r="K5094" s="10"/>
      <c r="L5094" s="8"/>
      <c r="M5094" s="8"/>
      <c r="N5094" s="11"/>
      <c r="O5094" s="11"/>
      <c r="P5094" s="11"/>
      <c r="Q5094" s="11"/>
      <c r="R5094" s="11"/>
      <c r="S5094" s="12"/>
      <c r="T5094" s="8"/>
      <c r="U5094" s="8"/>
      <c r="V5094" s="13"/>
      <c r="W5094" s="13"/>
      <c r="X5094" s="12"/>
      <c r="Y5094" s="14"/>
      <c r="Z5094" s="14"/>
    </row>
    <row r="5095">
      <c r="A5095" s="8"/>
      <c r="B5095" s="8"/>
      <c r="C5095" s="8"/>
      <c r="D5095" s="8"/>
      <c r="E5095" s="8"/>
      <c r="F5095" s="8"/>
      <c r="G5095" s="8"/>
      <c r="H5095" s="8"/>
      <c r="I5095" s="8"/>
      <c r="J5095" s="8"/>
      <c r="K5095" s="10"/>
      <c r="L5095" s="8"/>
      <c r="M5095" s="8"/>
      <c r="N5095" s="11"/>
      <c r="O5095" s="11"/>
      <c r="P5095" s="11"/>
      <c r="Q5095" s="11"/>
      <c r="R5095" s="11"/>
      <c r="S5095" s="12"/>
      <c r="T5095" s="8"/>
      <c r="U5095" s="8"/>
      <c r="V5095" s="13"/>
      <c r="W5095" s="13"/>
      <c r="X5095" s="12"/>
      <c r="Y5095" s="14"/>
      <c r="Z5095" s="14"/>
    </row>
    <row r="5096">
      <c r="A5096" s="8"/>
      <c r="B5096" s="8"/>
      <c r="C5096" s="8"/>
      <c r="D5096" s="8"/>
      <c r="E5096" s="8"/>
      <c r="F5096" s="8"/>
      <c r="G5096" s="8"/>
      <c r="H5096" s="8"/>
      <c r="I5096" s="8"/>
      <c r="J5096" s="8"/>
      <c r="K5096" s="10"/>
      <c r="L5096" s="8"/>
      <c r="M5096" s="8"/>
      <c r="N5096" s="11"/>
      <c r="O5096" s="11"/>
      <c r="P5096" s="11"/>
      <c r="Q5096" s="11"/>
      <c r="R5096" s="11"/>
      <c r="S5096" s="12"/>
      <c r="T5096" s="8"/>
      <c r="U5096" s="8"/>
      <c r="V5096" s="13"/>
      <c r="W5096" s="13"/>
      <c r="X5096" s="12"/>
      <c r="Y5096" s="14"/>
      <c r="Z5096" s="14"/>
    </row>
    <row r="5097">
      <c r="A5097" s="8"/>
      <c r="B5097" s="8"/>
      <c r="C5097" s="8"/>
      <c r="D5097" s="8"/>
      <c r="E5097" s="8"/>
      <c r="F5097" s="8"/>
      <c r="G5097" s="8"/>
      <c r="H5097" s="8"/>
      <c r="I5097" s="8"/>
      <c r="J5097" s="8"/>
      <c r="K5097" s="10"/>
      <c r="L5097" s="8"/>
      <c r="M5097" s="8"/>
      <c r="N5097" s="11"/>
      <c r="O5097" s="11"/>
      <c r="P5097" s="11"/>
      <c r="Q5097" s="11"/>
      <c r="R5097" s="11"/>
      <c r="S5097" s="12"/>
      <c r="T5097" s="8"/>
      <c r="U5097" s="8"/>
      <c r="V5097" s="13"/>
      <c r="W5097" s="13"/>
      <c r="X5097" s="12"/>
      <c r="Y5097" s="14"/>
      <c r="Z5097" s="14"/>
    </row>
    <row r="5098">
      <c r="A5098" s="8"/>
      <c r="B5098" s="8"/>
      <c r="C5098" s="8"/>
      <c r="D5098" s="8"/>
      <c r="E5098" s="8"/>
      <c r="F5098" s="8"/>
      <c r="G5098" s="8"/>
      <c r="H5098" s="8"/>
      <c r="I5098" s="8"/>
      <c r="J5098" s="8"/>
      <c r="K5098" s="10"/>
      <c r="L5098" s="8"/>
      <c r="M5098" s="8"/>
      <c r="N5098" s="11"/>
      <c r="O5098" s="11"/>
      <c r="P5098" s="11"/>
      <c r="Q5098" s="11"/>
      <c r="R5098" s="11"/>
      <c r="S5098" s="12"/>
      <c r="T5098" s="8"/>
      <c r="U5098" s="8"/>
      <c r="V5098" s="13"/>
      <c r="W5098" s="13"/>
      <c r="X5098" s="12"/>
      <c r="Y5098" s="14"/>
      <c r="Z5098" s="14"/>
    </row>
    <row r="5099">
      <c r="A5099" s="8"/>
      <c r="B5099" s="8"/>
      <c r="C5099" s="8"/>
      <c r="D5099" s="8"/>
      <c r="E5099" s="8"/>
      <c r="F5099" s="8"/>
      <c r="G5099" s="8"/>
      <c r="H5099" s="8"/>
      <c r="I5099" s="8"/>
      <c r="J5099" s="8"/>
      <c r="K5099" s="10"/>
      <c r="L5099" s="8"/>
      <c r="M5099" s="8"/>
      <c r="N5099" s="11"/>
      <c r="O5099" s="11"/>
      <c r="P5099" s="11"/>
      <c r="Q5099" s="11"/>
      <c r="R5099" s="11"/>
      <c r="S5099" s="12"/>
      <c r="T5099" s="8"/>
      <c r="U5099" s="8"/>
      <c r="V5099" s="13"/>
      <c r="W5099" s="13"/>
      <c r="X5099" s="12"/>
      <c r="Y5099" s="14"/>
      <c r="Z5099" s="14"/>
    </row>
    <row r="5100">
      <c r="A5100" s="8"/>
      <c r="B5100" s="8"/>
      <c r="C5100" s="8"/>
      <c r="D5100" s="8"/>
      <c r="E5100" s="8"/>
      <c r="F5100" s="8"/>
      <c r="G5100" s="8"/>
      <c r="H5100" s="8"/>
      <c r="I5100" s="8"/>
      <c r="J5100" s="8"/>
      <c r="K5100" s="10"/>
      <c r="L5100" s="8"/>
      <c r="M5100" s="8"/>
      <c r="N5100" s="11"/>
      <c r="O5100" s="11"/>
      <c r="P5100" s="11"/>
      <c r="Q5100" s="11"/>
      <c r="R5100" s="11"/>
      <c r="S5100" s="12"/>
      <c r="T5100" s="8"/>
      <c r="U5100" s="8"/>
      <c r="V5100" s="13"/>
      <c r="W5100" s="13"/>
      <c r="X5100" s="12"/>
      <c r="Y5100" s="14"/>
      <c r="Z5100" s="14"/>
    </row>
    <row r="5101">
      <c r="A5101" s="8"/>
      <c r="B5101" s="8"/>
      <c r="C5101" s="8"/>
      <c r="D5101" s="8"/>
      <c r="E5101" s="8"/>
      <c r="F5101" s="8"/>
      <c r="G5101" s="8"/>
      <c r="H5101" s="8"/>
      <c r="I5101" s="8"/>
      <c r="J5101" s="8"/>
      <c r="K5101" s="10"/>
      <c r="L5101" s="8"/>
      <c r="M5101" s="8"/>
      <c r="N5101" s="11"/>
      <c r="O5101" s="11"/>
      <c r="P5101" s="11"/>
      <c r="Q5101" s="11"/>
      <c r="R5101" s="11"/>
      <c r="S5101" s="12"/>
      <c r="T5101" s="8"/>
      <c r="U5101" s="8"/>
      <c r="V5101" s="13"/>
      <c r="W5101" s="13"/>
      <c r="X5101" s="12"/>
      <c r="Y5101" s="14"/>
      <c r="Z5101" s="14"/>
    </row>
    <row r="5102">
      <c r="A5102" s="8"/>
      <c r="B5102" s="8"/>
      <c r="C5102" s="8"/>
      <c r="D5102" s="8"/>
      <c r="E5102" s="8"/>
      <c r="F5102" s="8"/>
      <c r="G5102" s="8"/>
      <c r="H5102" s="8"/>
      <c r="I5102" s="8"/>
      <c r="J5102" s="8"/>
      <c r="K5102" s="10"/>
      <c r="L5102" s="8"/>
      <c r="M5102" s="8"/>
      <c r="N5102" s="11"/>
      <c r="O5102" s="11"/>
      <c r="P5102" s="11"/>
      <c r="Q5102" s="11"/>
      <c r="R5102" s="11"/>
      <c r="S5102" s="12"/>
      <c r="T5102" s="8"/>
      <c r="U5102" s="8"/>
      <c r="V5102" s="13"/>
      <c r="W5102" s="13"/>
      <c r="X5102" s="12"/>
      <c r="Y5102" s="14"/>
      <c r="Z5102" s="14"/>
    </row>
    <row r="5103">
      <c r="A5103" s="8"/>
      <c r="B5103" s="8"/>
      <c r="C5103" s="8"/>
      <c r="D5103" s="8"/>
      <c r="E5103" s="8"/>
      <c r="F5103" s="8"/>
      <c r="G5103" s="8"/>
      <c r="H5103" s="8"/>
      <c r="I5103" s="8"/>
      <c r="J5103" s="8"/>
      <c r="K5103" s="10"/>
      <c r="L5103" s="8"/>
      <c r="M5103" s="8"/>
      <c r="N5103" s="11"/>
      <c r="O5103" s="11"/>
      <c r="P5103" s="11"/>
      <c r="Q5103" s="11"/>
      <c r="R5103" s="11"/>
      <c r="S5103" s="12"/>
      <c r="T5103" s="8"/>
      <c r="U5103" s="8"/>
      <c r="V5103" s="13"/>
      <c r="W5103" s="13"/>
      <c r="X5103" s="12"/>
      <c r="Y5103" s="14"/>
      <c r="Z5103" s="14"/>
    </row>
    <row r="5104">
      <c r="A5104" s="8"/>
      <c r="B5104" s="8"/>
      <c r="C5104" s="8"/>
      <c r="D5104" s="8"/>
      <c r="E5104" s="8"/>
      <c r="F5104" s="8"/>
      <c r="G5104" s="8"/>
      <c r="H5104" s="8"/>
      <c r="I5104" s="8"/>
      <c r="J5104" s="8"/>
      <c r="K5104" s="10"/>
      <c r="L5104" s="8"/>
      <c r="M5104" s="8"/>
      <c r="N5104" s="11"/>
      <c r="O5104" s="11"/>
      <c r="P5104" s="11"/>
      <c r="Q5104" s="11"/>
      <c r="R5104" s="11"/>
      <c r="S5104" s="12"/>
      <c r="T5104" s="8"/>
      <c r="U5104" s="8"/>
      <c r="V5104" s="13"/>
      <c r="W5104" s="13"/>
      <c r="X5104" s="12"/>
      <c r="Y5104" s="14"/>
      <c r="Z5104" s="14"/>
    </row>
    <row r="5105">
      <c r="A5105" s="8"/>
      <c r="B5105" s="8"/>
      <c r="C5105" s="8"/>
      <c r="D5105" s="8"/>
      <c r="E5105" s="8"/>
      <c r="F5105" s="8"/>
      <c r="G5105" s="8"/>
      <c r="H5105" s="8"/>
      <c r="I5105" s="8"/>
      <c r="J5105" s="8"/>
      <c r="K5105" s="10"/>
      <c r="L5105" s="8"/>
      <c r="M5105" s="8"/>
      <c r="N5105" s="11"/>
      <c r="O5105" s="11"/>
      <c r="P5105" s="11"/>
      <c r="Q5105" s="11"/>
      <c r="R5105" s="11"/>
      <c r="S5105" s="12"/>
      <c r="T5105" s="8"/>
      <c r="U5105" s="8"/>
      <c r="V5105" s="13"/>
      <c r="W5105" s="13"/>
      <c r="X5105" s="12"/>
      <c r="Y5105" s="14"/>
      <c r="Z5105" s="14"/>
    </row>
    <row r="5106">
      <c r="A5106" s="8"/>
      <c r="B5106" s="8"/>
      <c r="C5106" s="8"/>
      <c r="D5106" s="8"/>
      <c r="E5106" s="8"/>
      <c r="F5106" s="8"/>
      <c r="G5106" s="8"/>
      <c r="H5106" s="8"/>
      <c r="I5106" s="8"/>
      <c r="J5106" s="8"/>
      <c r="K5106" s="10"/>
      <c r="L5106" s="8"/>
      <c r="M5106" s="8"/>
      <c r="N5106" s="11"/>
      <c r="O5106" s="11"/>
      <c r="P5106" s="11"/>
      <c r="Q5106" s="11"/>
      <c r="R5106" s="11"/>
      <c r="S5106" s="12"/>
      <c r="T5106" s="8"/>
      <c r="U5106" s="8"/>
      <c r="V5106" s="13"/>
      <c r="W5106" s="13"/>
      <c r="X5106" s="12"/>
      <c r="Y5106" s="14"/>
      <c r="Z5106" s="14"/>
    </row>
    <row r="5107">
      <c r="A5107" s="8"/>
      <c r="B5107" s="8"/>
      <c r="C5107" s="8"/>
      <c r="D5107" s="8"/>
      <c r="E5107" s="8"/>
      <c r="F5107" s="8"/>
      <c r="G5107" s="8"/>
      <c r="H5107" s="8"/>
      <c r="I5107" s="8"/>
      <c r="J5107" s="8"/>
      <c r="K5107" s="10"/>
      <c r="L5107" s="8"/>
      <c r="M5107" s="8"/>
      <c r="N5107" s="11"/>
      <c r="O5107" s="11"/>
      <c r="P5107" s="11"/>
      <c r="Q5107" s="11"/>
      <c r="R5107" s="11"/>
      <c r="S5107" s="12"/>
      <c r="T5107" s="8"/>
      <c r="U5107" s="8"/>
      <c r="V5107" s="13"/>
      <c r="W5107" s="13"/>
      <c r="X5107" s="12"/>
      <c r="Y5107" s="14"/>
      <c r="Z5107" s="14"/>
    </row>
    <row r="5108">
      <c r="A5108" s="8"/>
      <c r="B5108" s="8"/>
      <c r="C5108" s="8"/>
      <c r="D5108" s="8"/>
      <c r="E5108" s="8"/>
      <c r="F5108" s="8"/>
      <c r="G5108" s="8"/>
      <c r="H5108" s="8"/>
      <c r="I5108" s="8"/>
      <c r="J5108" s="8"/>
      <c r="K5108" s="10"/>
      <c r="L5108" s="8"/>
      <c r="M5108" s="8"/>
      <c r="N5108" s="11"/>
      <c r="O5108" s="11"/>
      <c r="P5108" s="11"/>
      <c r="Q5108" s="11"/>
      <c r="R5108" s="11"/>
      <c r="S5108" s="12"/>
      <c r="T5108" s="8"/>
      <c r="U5108" s="8"/>
      <c r="V5108" s="13"/>
      <c r="W5108" s="13"/>
      <c r="X5108" s="12"/>
      <c r="Y5108" s="14"/>
      <c r="Z5108" s="14"/>
    </row>
    <row r="5109">
      <c r="A5109" s="8"/>
      <c r="B5109" s="8"/>
      <c r="C5109" s="8"/>
      <c r="D5109" s="8"/>
      <c r="E5109" s="8"/>
      <c r="F5109" s="8"/>
      <c r="G5109" s="8"/>
      <c r="H5109" s="8"/>
      <c r="I5109" s="8"/>
      <c r="J5109" s="8"/>
      <c r="K5109" s="10"/>
      <c r="L5109" s="8"/>
      <c r="M5109" s="8"/>
      <c r="N5109" s="11"/>
      <c r="O5109" s="11"/>
      <c r="P5109" s="11"/>
      <c r="Q5109" s="11"/>
      <c r="R5109" s="11"/>
      <c r="S5109" s="12"/>
      <c r="T5109" s="8"/>
      <c r="U5109" s="8"/>
      <c r="V5109" s="13"/>
      <c r="W5109" s="13"/>
      <c r="X5109" s="12"/>
      <c r="Y5109" s="14"/>
      <c r="Z5109" s="14"/>
    </row>
    <row r="5110">
      <c r="A5110" s="8"/>
      <c r="B5110" s="8"/>
      <c r="C5110" s="8"/>
      <c r="D5110" s="8"/>
      <c r="E5110" s="8"/>
      <c r="F5110" s="8"/>
      <c r="G5110" s="8"/>
      <c r="H5110" s="8"/>
      <c r="I5110" s="8"/>
      <c r="J5110" s="8"/>
      <c r="K5110" s="10"/>
      <c r="L5110" s="8"/>
      <c r="M5110" s="8"/>
      <c r="N5110" s="11"/>
      <c r="O5110" s="11"/>
      <c r="P5110" s="11"/>
      <c r="Q5110" s="11"/>
      <c r="R5110" s="11"/>
      <c r="S5110" s="12"/>
      <c r="T5110" s="8"/>
      <c r="U5110" s="8"/>
      <c r="V5110" s="13"/>
      <c r="W5110" s="13"/>
      <c r="X5110" s="12"/>
      <c r="Y5110" s="14"/>
      <c r="Z5110" s="14"/>
    </row>
    <row r="5111">
      <c r="A5111" s="8"/>
      <c r="B5111" s="8"/>
      <c r="C5111" s="8"/>
      <c r="D5111" s="8"/>
      <c r="E5111" s="8"/>
      <c r="F5111" s="8"/>
      <c r="G5111" s="8"/>
      <c r="H5111" s="8"/>
      <c r="I5111" s="8"/>
      <c r="J5111" s="8"/>
      <c r="K5111" s="10"/>
      <c r="L5111" s="8"/>
      <c r="M5111" s="8"/>
      <c r="N5111" s="11"/>
      <c r="O5111" s="11"/>
      <c r="P5111" s="11"/>
      <c r="Q5111" s="11"/>
      <c r="R5111" s="11"/>
      <c r="S5111" s="12"/>
      <c r="T5111" s="8"/>
      <c r="U5111" s="8"/>
      <c r="V5111" s="13"/>
      <c r="W5111" s="13"/>
      <c r="X5111" s="12"/>
      <c r="Y5111" s="14"/>
      <c r="Z5111" s="14"/>
    </row>
    <row r="5112">
      <c r="A5112" s="8"/>
      <c r="B5112" s="8"/>
      <c r="C5112" s="8"/>
      <c r="D5112" s="8"/>
      <c r="E5112" s="8"/>
      <c r="F5112" s="8"/>
      <c r="G5112" s="8"/>
      <c r="H5112" s="8"/>
      <c r="I5112" s="8"/>
      <c r="J5112" s="8"/>
      <c r="K5112" s="10"/>
      <c r="L5112" s="8"/>
      <c r="M5112" s="8"/>
      <c r="N5112" s="11"/>
      <c r="O5112" s="11"/>
      <c r="P5112" s="11"/>
      <c r="Q5112" s="11"/>
      <c r="R5112" s="11"/>
      <c r="S5112" s="12"/>
      <c r="T5112" s="8"/>
      <c r="U5112" s="8"/>
      <c r="V5112" s="13"/>
      <c r="W5112" s="13"/>
      <c r="X5112" s="12"/>
      <c r="Y5112" s="14"/>
      <c r="Z5112" s="14"/>
    </row>
    <row r="5113">
      <c r="A5113" s="8"/>
      <c r="B5113" s="8"/>
      <c r="C5113" s="8"/>
      <c r="D5113" s="8"/>
      <c r="E5113" s="8"/>
      <c r="F5113" s="8"/>
      <c r="G5113" s="8"/>
      <c r="H5113" s="8"/>
      <c r="I5113" s="8"/>
      <c r="J5113" s="8"/>
      <c r="K5113" s="10"/>
      <c r="L5113" s="8"/>
      <c r="M5113" s="8"/>
      <c r="N5113" s="11"/>
      <c r="O5113" s="11"/>
      <c r="P5113" s="11"/>
      <c r="Q5113" s="11"/>
      <c r="R5113" s="11"/>
      <c r="S5113" s="12"/>
      <c r="T5113" s="8"/>
      <c r="U5113" s="8"/>
      <c r="V5113" s="13"/>
      <c r="W5113" s="13"/>
      <c r="X5113" s="12"/>
      <c r="Y5113" s="14"/>
      <c r="Z5113" s="14"/>
    </row>
    <row r="5114">
      <c r="A5114" s="8"/>
      <c r="B5114" s="8"/>
      <c r="C5114" s="8"/>
      <c r="D5114" s="8"/>
      <c r="E5114" s="8"/>
      <c r="F5114" s="8"/>
      <c r="G5114" s="8"/>
      <c r="H5114" s="8"/>
      <c r="I5114" s="8"/>
      <c r="J5114" s="8"/>
      <c r="K5114" s="10"/>
      <c r="L5114" s="8"/>
      <c r="M5114" s="8"/>
      <c r="N5114" s="11"/>
      <c r="O5114" s="11"/>
      <c r="P5114" s="11"/>
      <c r="Q5114" s="11"/>
      <c r="R5114" s="11"/>
      <c r="S5114" s="12"/>
      <c r="T5114" s="8"/>
      <c r="U5114" s="8"/>
      <c r="V5114" s="13"/>
      <c r="W5114" s="13"/>
      <c r="X5114" s="12"/>
      <c r="Y5114" s="14"/>
      <c r="Z5114" s="14"/>
    </row>
    <row r="5115">
      <c r="A5115" s="8"/>
      <c r="B5115" s="8"/>
      <c r="C5115" s="8"/>
      <c r="D5115" s="8"/>
      <c r="E5115" s="8"/>
      <c r="F5115" s="8"/>
      <c r="G5115" s="8"/>
      <c r="H5115" s="8"/>
      <c r="I5115" s="8"/>
      <c r="J5115" s="8"/>
      <c r="K5115" s="10"/>
      <c r="L5115" s="8"/>
      <c r="M5115" s="8"/>
      <c r="N5115" s="11"/>
      <c r="O5115" s="11"/>
      <c r="P5115" s="11"/>
      <c r="Q5115" s="11"/>
      <c r="R5115" s="11"/>
      <c r="S5115" s="12"/>
      <c r="T5115" s="8"/>
      <c r="U5115" s="8"/>
      <c r="V5115" s="13"/>
      <c r="W5115" s="13"/>
      <c r="X5115" s="12"/>
      <c r="Y5115" s="14"/>
      <c r="Z5115" s="14"/>
    </row>
    <row r="5116">
      <c r="A5116" s="8"/>
      <c r="B5116" s="8"/>
      <c r="C5116" s="8"/>
      <c r="D5116" s="8"/>
      <c r="E5116" s="8"/>
      <c r="F5116" s="8"/>
      <c r="G5116" s="8"/>
      <c r="H5116" s="8"/>
      <c r="I5116" s="8"/>
      <c r="J5116" s="8"/>
      <c r="K5116" s="10"/>
      <c r="L5116" s="8"/>
      <c r="M5116" s="8"/>
      <c r="N5116" s="11"/>
      <c r="O5116" s="11"/>
      <c r="P5116" s="11"/>
      <c r="Q5116" s="11"/>
      <c r="R5116" s="11"/>
      <c r="S5116" s="12"/>
      <c r="T5116" s="8"/>
      <c r="U5116" s="8"/>
      <c r="V5116" s="13"/>
      <c r="W5116" s="13"/>
      <c r="X5116" s="12"/>
      <c r="Y5116" s="14"/>
      <c r="Z5116" s="14"/>
    </row>
    <row r="5117">
      <c r="A5117" s="8"/>
      <c r="B5117" s="8"/>
      <c r="C5117" s="8"/>
      <c r="D5117" s="8"/>
      <c r="E5117" s="8"/>
      <c r="F5117" s="8"/>
      <c r="G5117" s="8"/>
      <c r="H5117" s="8"/>
      <c r="I5117" s="8"/>
      <c r="J5117" s="8"/>
      <c r="K5117" s="10"/>
      <c r="L5117" s="8"/>
      <c r="M5117" s="8"/>
      <c r="N5117" s="11"/>
      <c r="O5117" s="11"/>
      <c r="P5117" s="11"/>
      <c r="Q5117" s="11"/>
      <c r="R5117" s="11"/>
      <c r="S5117" s="12"/>
      <c r="T5117" s="8"/>
      <c r="U5117" s="8"/>
      <c r="V5117" s="13"/>
      <c r="W5117" s="13"/>
      <c r="X5117" s="12"/>
      <c r="Y5117" s="14"/>
      <c r="Z5117" s="14"/>
    </row>
    <row r="5118">
      <c r="A5118" s="8"/>
      <c r="B5118" s="8"/>
      <c r="C5118" s="8"/>
      <c r="D5118" s="8"/>
      <c r="E5118" s="8"/>
      <c r="F5118" s="8"/>
      <c r="G5118" s="8"/>
      <c r="H5118" s="8"/>
      <c r="I5118" s="8"/>
      <c r="J5118" s="8"/>
      <c r="K5118" s="10"/>
      <c r="L5118" s="8"/>
      <c r="M5118" s="8"/>
      <c r="N5118" s="11"/>
      <c r="O5118" s="11"/>
      <c r="P5118" s="11"/>
      <c r="Q5118" s="11"/>
      <c r="R5118" s="11"/>
      <c r="S5118" s="12"/>
      <c r="T5118" s="8"/>
      <c r="U5118" s="8"/>
      <c r="V5118" s="13"/>
      <c r="W5118" s="13"/>
      <c r="X5118" s="12"/>
      <c r="Y5118" s="14"/>
      <c r="Z5118" s="14"/>
    </row>
    <row r="5119">
      <c r="A5119" s="8"/>
      <c r="B5119" s="8"/>
      <c r="C5119" s="8"/>
      <c r="D5119" s="8"/>
      <c r="E5119" s="8"/>
      <c r="F5119" s="8"/>
      <c r="G5119" s="8"/>
      <c r="H5119" s="8"/>
      <c r="I5119" s="8"/>
      <c r="J5119" s="8"/>
      <c r="K5119" s="10"/>
      <c r="L5119" s="8"/>
      <c r="M5119" s="8"/>
      <c r="N5119" s="11"/>
      <c r="O5119" s="11"/>
      <c r="P5119" s="11"/>
      <c r="Q5119" s="11"/>
      <c r="R5119" s="11"/>
      <c r="S5119" s="12"/>
      <c r="T5119" s="8"/>
      <c r="U5119" s="8"/>
      <c r="V5119" s="13"/>
      <c r="W5119" s="13"/>
      <c r="X5119" s="12"/>
      <c r="Y5119" s="14"/>
      <c r="Z5119" s="14"/>
    </row>
    <row r="5120">
      <c r="A5120" s="8"/>
      <c r="B5120" s="8"/>
      <c r="C5120" s="8"/>
      <c r="D5120" s="8"/>
      <c r="E5120" s="8"/>
      <c r="F5120" s="8"/>
      <c r="G5120" s="8"/>
      <c r="H5120" s="8"/>
      <c r="I5120" s="8"/>
      <c r="J5120" s="8"/>
      <c r="K5120" s="10"/>
      <c r="L5120" s="8"/>
      <c r="M5120" s="8"/>
      <c r="N5120" s="11"/>
      <c r="O5120" s="11"/>
      <c r="P5120" s="11"/>
      <c r="Q5120" s="11"/>
      <c r="R5120" s="11"/>
      <c r="S5120" s="12"/>
      <c r="T5120" s="8"/>
      <c r="U5120" s="8"/>
      <c r="V5120" s="13"/>
      <c r="W5120" s="13"/>
      <c r="X5120" s="12"/>
      <c r="Y5120" s="14"/>
      <c r="Z5120" s="14"/>
    </row>
    <row r="5121">
      <c r="A5121" s="8"/>
      <c r="B5121" s="8"/>
      <c r="C5121" s="8"/>
      <c r="D5121" s="8"/>
      <c r="E5121" s="8"/>
      <c r="F5121" s="8"/>
      <c r="G5121" s="8"/>
      <c r="H5121" s="8"/>
      <c r="I5121" s="8"/>
      <c r="J5121" s="8"/>
      <c r="K5121" s="10"/>
      <c r="L5121" s="8"/>
      <c r="M5121" s="8"/>
      <c r="N5121" s="11"/>
      <c r="O5121" s="11"/>
      <c r="P5121" s="11"/>
      <c r="Q5121" s="11"/>
      <c r="R5121" s="11"/>
      <c r="S5121" s="12"/>
      <c r="T5121" s="8"/>
      <c r="U5121" s="8"/>
      <c r="V5121" s="13"/>
      <c r="W5121" s="13"/>
      <c r="X5121" s="12"/>
      <c r="Y5121" s="14"/>
      <c r="Z5121" s="14"/>
    </row>
    <row r="5122">
      <c r="A5122" s="8"/>
      <c r="B5122" s="8"/>
      <c r="C5122" s="8"/>
      <c r="D5122" s="8"/>
      <c r="E5122" s="8"/>
      <c r="F5122" s="8"/>
      <c r="G5122" s="8"/>
      <c r="H5122" s="8"/>
      <c r="I5122" s="8"/>
      <c r="J5122" s="8"/>
      <c r="K5122" s="10"/>
      <c r="L5122" s="8"/>
      <c r="M5122" s="8"/>
      <c r="N5122" s="11"/>
      <c r="O5122" s="11"/>
      <c r="P5122" s="11"/>
      <c r="Q5122" s="11"/>
      <c r="R5122" s="11"/>
      <c r="S5122" s="12"/>
      <c r="T5122" s="8"/>
      <c r="U5122" s="8"/>
      <c r="V5122" s="13"/>
      <c r="W5122" s="13"/>
      <c r="X5122" s="12"/>
      <c r="Y5122" s="14"/>
      <c r="Z5122" s="14"/>
    </row>
    <row r="5123">
      <c r="A5123" s="8"/>
      <c r="B5123" s="8"/>
      <c r="C5123" s="8"/>
      <c r="D5123" s="8"/>
      <c r="E5123" s="8"/>
      <c r="F5123" s="8"/>
      <c r="G5123" s="8"/>
      <c r="H5123" s="8"/>
      <c r="I5123" s="8"/>
      <c r="J5123" s="8"/>
      <c r="K5123" s="10"/>
      <c r="L5123" s="8"/>
      <c r="M5123" s="8"/>
      <c r="N5123" s="11"/>
      <c r="O5123" s="11"/>
      <c r="P5123" s="11"/>
      <c r="Q5123" s="11"/>
      <c r="R5123" s="11"/>
      <c r="S5123" s="12"/>
      <c r="T5123" s="8"/>
      <c r="U5123" s="8"/>
      <c r="V5123" s="13"/>
      <c r="W5123" s="13"/>
      <c r="X5123" s="12"/>
      <c r="Y5123" s="14"/>
      <c r="Z5123" s="14"/>
    </row>
    <row r="5124">
      <c r="A5124" s="8"/>
      <c r="B5124" s="8"/>
      <c r="C5124" s="8"/>
      <c r="D5124" s="8"/>
      <c r="E5124" s="8"/>
      <c r="F5124" s="8"/>
      <c r="G5124" s="8"/>
      <c r="H5124" s="8"/>
      <c r="I5124" s="8"/>
      <c r="J5124" s="8"/>
      <c r="K5124" s="10"/>
      <c r="L5124" s="8"/>
      <c r="M5124" s="8"/>
      <c r="N5124" s="11"/>
      <c r="O5124" s="11"/>
      <c r="P5124" s="11"/>
      <c r="Q5124" s="11"/>
      <c r="R5124" s="11"/>
      <c r="S5124" s="12"/>
      <c r="T5124" s="8"/>
      <c r="U5124" s="8"/>
      <c r="V5124" s="13"/>
      <c r="W5124" s="13"/>
      <c r="X5124" s="12"/>
      <c r="Y5124" s="14"/>
      <c r="Z5124" s="14"/>
    </row>
    <row r="5125">
      <c r="A5125" s="8"/>
      <c r="B5125" s="8"/>
      <c r="C5125" s="8"/>
      <c r="D5125" s="8"/>
      <c r="E5125" s="8"/>
      <c r="F5125" s="8"/>
      <c r="G5125" s="8"/>
      <c r="H5125" s="8"/>
      <c r="I5125" s="8"/>
      <c r="J5125" s="8"/>
      <c r="K5125" s="10"/>
      <c r="L5125" s="8"/>
      <c r="M5125" s="8"/>
      <c r="N5125" s="11"/>
      <c r="O5125" s="11"/>
      <c r="P5125" s="11"/>
      <c r="Q5125" s="11"/>
      <c r="R5125" s="11"/>
      <c r="S5125" s="12"/>
      <c r="T5125" s="8"/>
      <c r="U5125" s="8"/>
      <c r="V5125" s="13"/>
      <c r="W5125" s="13"/>
      <c r="X5125" s="12"/>
      <c r="Y5125" s="14"/>
      <c r="Z5125" s="14"/>
    </row>
    <row r="5126">
      <c r="A5126" s="8"/>
      <c r="B5126" s="8"/>
      <c r="C5126" s="8"/>
      <c r="D5126" s="8"/>
      <c r="E5126" s="8"/>
      <c r="F5126" s="8"/>
      <c r="G5126" s="8"/>
      <c r="H5126" s="8"/>
      <c r="I5126" s="8"/>
      <c r="J5126" s="8"/>
      <c r="K5126" s="10"/>
      <c r="L5126" s="8"/>
      <c r="M5126" s="8"/>
      <c r="N5126" s="11"/>
      <c r="O5126" s="11"/>
      <c r="P5126" s="11"/>
      <c r="Q5126" s="11"/>
      <c r="R5126" s="11"/>
      <c r="S5126" s="12"/>
      <c r="T5126" s="8"/>
      <c r="U5126" s="8"/>
      <c r="V5126" s="13"/>
      <c r="W5126" s="13"/>
      <c r="X5126" s="12"/>
      <c r="Y5126" s="14"/>
      <c r="Z5126" s="14"/>
    </row>
    <row r="5127">
      <c r="A5127" s="8"/>
      <c r="B5127" s="8"/>
      <c r="C5127" s="8"/>
      <c r="D5127" s="8"/>
      <c r="E5127" s="8"/>
      <c r="F5127" s="8"/>
      <c r="G5127" s="8"/>
      <c r="H5127" s="8"/>
      <c r="I5127" s="8"/>
      <c r="J5127" s="8"/>
      <c r="K5127" s="10"/>
      <c r="L5127" s="8"/>
      <c r="M5127" s="8"/>
      <c r="N5127" s="11"/>
      <c r="O5127" s="11"/>
      <c r="P5127" s="11"/>
      <c r="Q5127" s="11"/>
      <c r="R5127" s="11"/>
      <c r="S5127" s="12"/>
      <c r="T5127" s="8"/>
      <c r="U5127" s="8"/>
      <c r="V5127" s="13"/>
      <c r="W5127" s="13"/>
      <c r="X5127" s="12"/>
      <c r="Y5127" s="14"/>
      <c r="Z5127" s="14"/>
    </row>
    <row r="5128">
      <c r="A5128" s="8"/>
      <c r="B5128" s="8"/>
      <c r="C5128" s="8"/>
      <c r="D5128" s="8"/>
      <c r="E5128" s="8"/>
      <c r="F5128" s="8"/>
      <c r="G5128" s="8"/>
      <c r="H5128" s="8"/>
      <c r="I5128" s="8"/>
      <c r="J5128" s="8"/>
      <c r="K5128" s="10"/>
      <c r="L5128" s="8"/>
      <c r="M5128" s="8"/>
      <c r="N5128" s="11"/>
      <c r="O5128" s="11"/>
      <c r="P5128" s="11"/>
      <c r="Q5128" s="11"/>
      <c r="R5128" s="11"/>
      <c r="S5128" s="12"/>
      <c r="T5128" s="8"/>
      <c r="U5128" s="8"/>
      <c r="V5128" s="13"/>
      <c r="W5128" s="13"/>
      <c r="X5128" s="12"/>
      <c r="Y5128" s="14"/>
      <c r="Z5128" s="14"/>
    </row>
    <row r="5129">
      <c r="A5129" s="8"/>
      <c r="B5129" s="8"/>
      <c r="C5129" s="8"/>
      <c r="D5129" s="8"/>
      <c r="E5129" s="8"/>
      <c r="F5129" s="8"/>
      <c r="G5129" s="8"/>
      <c r="H5129" s="8"/>
      <c r="I5129" s="8"/>
      <c r="J5129" s="8"/>
      <c r="K5129" s="10"/>
      <c r="L5129" s="8"/>
      <c r="M5129" s="8"/>
      <c r="N5129" s="11"/>
      <c r="O5129" s="11"/>
      <c r="P5129" s="11"/>
      <c r="Q5129" s="11"/>
      <c r="R5129" s="11"/>
      <c r="S5129" s="12"/>
      <c r="T5129" s="8"/>
      <c r="U5129" s="8"/>
      <c r="V5129" s="13"/>
      <c r="W5129" s="13"/>
      <c r="X5129" s="12"/>
      <c r="Y5129" s="14"/>
      <c r="Z5129" s="14"/>
    </row>
    <row r="5130">
      <c r="A5130" s="8"/>
      <c r="B5130" s="8"/>
      <c r="C5130" s="8"/>
      <c r="D5130" s="8"/>
      <c r="E5130" s="8"/>
      <c r="F5130" s="8"/>
      <c r="G5130" s="8"/>
      <c r="H5130" s="8"/>
      <c r="I5130" s="8"/>
      <c r="J5130" s="8"/>
      <c r="K5130" s="10"/>
      <c r="L5130" s="8"/>
      <c r="M5130" s="8"/>
      <c r="N5130" s="11"/>
      <c r="O5130" s="11"/>
      <c r="P5130" s="11"/>
      <c r="Q5130" s="11"/>
      <c r="R5130" s="11"/>
      <c r="S5130" s="12"/>
      <c r="T5130" s="8"/>
      <c r="U5130" s="8"/>
      <c r="V5130" s="13"/>
      <c r="W5130" s="13"/>
      <c r="X5130" s="12"/>
      <c r="Y5130" s="14"/>
      <c r="Z5130" s="14"/>
    </row>
    <row r="5131">
      <c r="A5131" s="8"/>
      <c r="B5131" s="8"/>
      <c r="C5131" s="8"/>
      <c r="D5131" s="8"/>
      <c r="E5131" s="8"/>
      <c r="F5131" s="8"/>
      <c r="G5131" s="8"/>
      <c r="H5131" s="8"/>
      <c r="I5131" s="8"/>
      <c r="J5131" s="8"/>
      <c r="K5131" s="10"/>
      <c r="L5131" s="8"/>
      <c r="M5131" s="8"/>
      <c r="N5131" s="11"/>
      <c r="O5131" s="11"/>
      <c r="P5131" s="11"/>
      <c r="Q5131" s="11"/>
      <c r="R5131" s="11"/>
      <c r="S5131" s="12"/>
      <c r="T5131" s="8"/>
      <c r="U5131" s="8"/>
      <c r="V5131" s="13"/>
      <c r="W5131" s="13"/>
      <c r="X5131" s="12"/>
      <c r="Y5131" s="14"/>
      <c r="Z5131" s="14"/>
    </row>
    <row r="5132">
      <c r="A5132" s="8"/>
      <c r="B5132" s="8"/>
      <c r="C5132" s="8"/>
      <c r="D5132" s="8"/>
      <c r="E5132" s="8"/>
      <c r="F5132" s="8"/>
      <c r="G5132" s="8"/>
      <c r="H5132" s="8"/>
      <c r="I5132" s="8"/>
      <c r="J5132" s="8"/>
      <c r="K5132" s="10"/>
      <c r="L5132" s="8"/>
      <c r="M5132" s="8"/>
      <c r="N5132" s="11"/>
      <c r="O5132" s="11"/>
      <c r="P5132" s="11"/>
      <c r="Q5132" s="11"/>
      <c r="R5132" s="11"/>
      <c r="S5132" s="12"/>
      <c r="T5132" s="8"/>
      <c r="U5132" s="8"/>
      <c r="V5132" s="13"/>
      <c r="W5132" s="13"/>
      <c r="X5132" s="12"/>
      <c r="Y5132" s="14"/>
      <c r="Z5132" s="14"/>
    </row>
    <row r="5133">
      <c r="A5133" s="8"/>
      <c r="B5133" s="8"/>
      <c r="C5133" s="8"/>
      <c r="D5133" s="8"/>
      <c r="E5133" s="8"/>
      <c r="F5133" s="8"/>
      <c r="G5133" s="8"/>
      <c r="H5133" s="8"/>
      <c r="I5133" s="8"/>
      <c r="J5133" s="8"/>
      <c r="K5133" s="10"/>
      <c r="L5133" s="8"/>
      <c r="M5133" s="8"/>
      <c r="N5133" s="11"/>
      <c r="O5133" s="11"/>
      <c r="P5133" s="11"/>
      <c r="Q5133" s="11"/>
      <c r="R5133" s="11"/>
      <c r="S5133" s="12"/>
      <c r="T5133" s="8"/>
      <c r="U5133" s="8"/>
      <c r="V5133" s="13"/>
      <c r="W5133" s="13"/>
      <c r="X5133" s="12"/>
      <c r="Y5133" s="14"/>
      <c r="Z5133" s="14"/>
    </row>
    <row r="5134">
      <c r="A5134" s="8"/>
      <c r="B5134" s="8"/>
      <c r="C5134" s="8"/>
      <c r="D5134" s="8"/>
      <c r="E5134" s="8"/>
      <c r="F5134" s="8"/>
      <c r="G5134" s="8"/>
      <c r="H5134" s="8"/>
      <c r="I5134" s="8"/>
      <c r="J5134" s="8"/>
      <c r="K5134" s="10"/>
      <c r="L5134" s="8"/>
      <c r="M5134" s="8"/>
      <c r="N5134" s="11"/>
      <c r="O5134" s="11"/>
      <c r="P5134" s="11"/>
      <c r="Q5134" s="11"/>
      <c r="R5134" s="11"/>
      <c r="S5134" s="12"/>
      <c r="T5134" s="8"/>
      <c r="U5134" s="8"/>
      <c r="V5134" s="13"/>
      <c r="W5134" s="13"/>
      <c r="X5134" s="12"/>
      <c r="Y5134" s="14"/>
      <c r="Z5134" s="14"/>
    </row>
    <row r="5135">
      <c r="A5135" s="8"/>
      <c r="B5135" s="8"/>
      <c r="C5135" s="8"/>
      <c r="D5135" s="8"/>
      <c r="E5135" s="8"/>
      <c r="F5135" s="8"/>
      <c r="G5135" s="8"/>
      <c r="H5135" s="8"/>
      <c r="I5135" s="8"/>
      <c r="J5135" s="8"/>
      <c r="K5135" s="10"/>
      <c r="L5135" s="8"/>
      <c r="M5135" s="8"/>
      <c r="N5135" s="11"/>
      <c r="O5135" s="11"/>
      <c r="P5135" s="11"/>
      <c r="Q5135" s="11"/>
      <c r="R5135" s="11"/>
      <c r="S5135" s="12"/>
      <c r="T5135" s="8"/>
      <c r="U5135" s="8"/>
      <c r="V5135" s="13"/>
      <c r="W5135" s="13"/>
      <c r="X5135" s="12"/>
      <c r="Y5135" s="14"/>
      <c r="Z5135" s="14"/>
    </row>
    <row r="5136">
      <c r="A5136" s="8"/>
      <c r="B5136" s="8"/>
      <c r="C5136" s="8"/>
      <c r="D5136" s="8"/>
      <c r="E5136" s="8"/>
      <c r="F5136" s="8"/>
      <c r="G5136" s="8"/>
      <c r="H5136" s="8"/>
      <c r="I5136" s="8"/>
      <c r="J5136" s="8"/>
      <c r="K5136" s="10"/>
      <c r="L5136" s="8"/>
      <c r="M5136" s="8"/>
      <c r="N5136" s="11"/>
      <c r="O5136" s="11"/>
      <c r="P5136" s="11"/>
      <c r="Q5136" s="11"/>
      <c r="R5136" s="11"/>
      <c r="S5136" s="12"/>
      <c r="T5136" s="8"/>
      <c r="U5136" s="8"/>
      <c r="V5136" s="13"/>
      <c r="W5136" s="13"/>
      <c r="X5136" s="12"/>
      <c r="Y5136" s="14"/>
      <c r="Z5136" s="14"/>
    </row>
    <row r="5137">
      <c r="A5137" s="8"/>
      <c r="B5137" s="8"/>
      <c r="C5137" s="8"/>
      <c r="D5137" s="8"/>
      <c r="E5137" s="8"/>
      <c r="F5137" s="8"/>
      <c r="G5137" s="8"/>
      <c r="H5137" s="8"/>
      <c r="I5137" s="8"/>
      <c r="J5137" s="8"/>
      <c r="K5137" s="10"/>
      <c r="L5137" s="8"/>
      <c r="M5137" s="8"/>
      <c r="N5137" s="11"/>
      <c r="O5137" s="11"/>
      <c r="P5137" s="11"/>
      <c r="Q5137" s="11"/>
      <c r="R5137" s="11"/>
      <c r="S5137" s="12"/>
      <c r="T5137" s="8"/>
      <c r="U5137" s="8"/>
      <c r="V5137" s="13"/>
      <c r="W5137" s="13"/>
      <c r="X5137" s="12"/>
      <c r="Y5137" s="14"/>
      <c r="Z5137" s="14"/>
    </row>
    <row r="5138">
      <c r="A5138" s="8"/>
      <c r="B5138" s="8"/>
      <c r="C5138" s="8"/>
      <c r="D5138" s="8"/>
      <c r="E5138" s="8"/>
      <c r="F5138" s="8"/>
      <c r="G5138" s="8"/>
      <c r="H5138" s="8"/>
      <c r="I5138" s="8"/>
      <c r="J5138" s="8"/>
      <c r="K5138" s="10"/>
      <c r="L5138" s="8"/>
      <c r="M5138" s="8"/>
      <c r="N5138" s="11"/>
      <c r="O5138" s="11"/>
      <c r="P5138" s="11"/>
      <c r="Q5138" s="11"/>
      <c r="R5138" s="11"/>
      <c r="S5138" s="12"/>
      <c r="T5138" s="8"/>
      <c r="U5138" s="8"/>
      <c r="V5138" s="13"/>
      <c r="W5138" s="13"/>
      <c r="X5138" s="12"/>
      <c r="Y5138" s="14"/>
      <c r="Z5138" s="14"/>
    </row>
    <row r="5139">
      <c r="A5139" s="8"/>
      <c r="B5139" s="8"/>
      <c r="C5139" s="8"/>
      <c r="D5139" s="8"/>
      <c r="E5139" s="8"/>
      <c r="F5139" s="8"/>
      <c r="G5139" s="8"/>
      <c r="H5139" s="8"/>
      <c r="I5139" s="8"/>
      <c r="J5139" s="8"/>
      <c r="K5139" s="10"/>
      <c r="L5139" s="8"/>
      <c r="M5139" s="8"/>
      <c r="N5139" s="11"/>
      <c r="O5139" s="11"/>
      <c r="P5139" s="11"/>
      <c r="Q5139" s="11"/>
      <c r="R5139" s="11"/>
      <c r="S5139" s="12"/>
      <c r="T5139" s="8"/>
      <c r="U5139" s="8"/>
      <c r="V5139" s="13"/>
      <c r="W5139" s="13"/>
      <c r="X5139" s="12"/>
      <c r="Y5139" s="14"/>
      <c r="Z5139" s="14"/>
    </row>
    <row r="5140">
      <c r="A5140" s="8"/>
      <c r="B5140" s="8"/>
      <c r="C5140" s="8"/>
      <c r="D5140" s="8"/>
      <c r="E5140" s="8"/>
      <c r="F5140" s="8"/>
      <c r="G5140" s="8"/>
      <c r="H5140" s="8"/>
      <c r="I5140" s="8"/>
      <c r="J5140" s="8"/>
      <c r="K5140" s="10"/>
      <c r="L5140" s="8"/>
      <c r="M5140" s="8"/>
      <c r="N5140" s="11"/>
      <c r="O5140" s="11"/>
      <c r="P5140" s="11"/>
      <c r="Q5140" s="11"/>
      <c r="R5140" s="11"/>
      <c r="S5140" s="12"/>
      <c r="T5140" s="8"/>
      <c r="U5140" s="8"/>
      <c r="V5140" s="13"/>
      <c r="W5140" s="13"/>
      <c r="X5140" s="12"/>
      <c r="Y5140" s="14"/>
      <c r="Z5140" s="14"/>
    </row>
    <row r="5141">
      <c r="A5141" s="8"/>
      <c r="B5141" s="8"/>
      <c r="C5141" s="8"/>
      <c r="D5141" s="8"/>
      <c r="E5141" s="8"/>
      <c r="F5141" s="8"/>
      <c r="G5141" s="8"/>
      <c r="H5141" s="8"/>
      <c r="I5141" s="8"/>
      <c r="J5141" s="8"/>
      <c r="K5141" s="10"/>
      <c r="L5141" s="8"/>
      <c r="M5141" s="8"/>
      <c r="N5141" s="11"/>
      <c r="O5141" s="11"/>
      <c r="P5141" s="11"/>
      <c r="Q5141" s="11"/>
      <c r="R5141" s="11"/>
      <c r="S5141" s="12"/>
      <c r="T5141" s="8"/>
      <c r="U5141" s="8"/>
      <c r="V5141" s="13"/>
      <c r="W5141" s="13"/>
      <c r="X5141" s="12"/>
      <c r="Y5141" s="14"/>
      <c r="Z5141" s="14"/>
    </row>
    <row r="5142">
      <c r="A5142" s="8"/>
      <c r="B5142" s="8"/>
      <c r="C5142" s="8"/>
      <c r="D5142" s="8"/>
      <c r="E5142" s="8"/>
      <c r="F5142" s="8"/>
      <c r="G5142" s="8"/>
      <c r="H5142" s="8"/>
      <c r="I5142" s="8"/>
      <c r="J5142" s="8"/>
      <c r="K5142" s="10"/>
      <c r="L5142" s="8"/>
      <c r="M5142" s="8"/>
      <c r="N5142" s="11"/>
      <c r="O5142" s="11"/>
      <c r="P5142" s="11"/>
      <c r="Q5142" s="11"/>
      <c r="R5142" s="11"/>
      <c r="S5142" s="12"/>
      <c r="T5142" s="8"/>
      <c r="U5142" s="8"/>
      <c r="V5142" s="13"/>
      <c r="W5142" s="13"/>
      <c r="X5142" s="12"/>
      <c r="Y5142" s="14"/>
      <c r="Z5142" s="14"/>
    </row>
    <row r="5143">
      <c r="A5143" s="8"/>
      <c r="B5143" s="8"/>
      <c r="C5143" s="8"/>
      <c r="D5143" s="8"/>
      <c r="E5143" s="8"/>
      <c r="F5143" s="8"/>
      <c r="G5143" s="8"/>
      <c r="H5143" s="8"/>
      <c r="I5143" s="8"/>
      <c r="J5143" s="8"/>
      <c r="K5143" s="10"/>
      <c r="L5143" s="8"/>
      <c r="M5143" s="8"/>
      <c r="N5143" s="11"/>
      <c r="O5143" s="11"/>
      <c r="P5143" s="11"/>
      <c r="Q5143" s="11"/>
      <c r="R5143" s="11"/>
      <c r="S5143" s="12"/>
      <c r="T5143" s="8"/>
      <c r="U5143" s="8"/>
      <c r="V5143" s="13"/>
      <c r="W5143" s="13"/>
      <c r="X5143" s="12"/>
      <c r="Y5143" s="14"/>
      <c r="Z5143" s="14"/>
    </row>
    <row r="5144">
      <c r="A5144" s="8"/>
      <c r="B5144" s="8"/>
      <c r="C5144" s="8"/>
      <c r="D5144" s="8"/>
      <c r="E5144" s="8"/>
      <c r="F5144" s="8"/>
      <c r="G5144" s="8"/>
      <c r="H5144" s="8"/>
      <c r="I5144" s="8"/>
      <c r="J5144" s="8"/>
      <c r="K5144" s="10"/>
      <c r="L5144" s="8"/>
      <c r="M5144" s="8"/>
      <c r="N5144" s="11"/>
      <c r="O5144" s="11"/>
      <c r="P5144" s="11"/>
      <c r="Q5144" s="11"/>
      <c r="R5144" s="11"/>
      <c r="S5144" s="12"/>
      <c r="T5144" s="8"/>
      <c r="U5144" s="8"/>
      <c r="V5144" s="13"/>
      <c r="W5144" s="13"/>
      <c r="X5144" s="12"/>
      <c r="Y5144" s="14"/>
      <c r="Z5144" s="14"/>
    </row>
    <row r="5145">
      <c r="A5145" s="8"/>
      <c r="B5145" s="8"/>
      <c r="C5145" s="8"/>
      <c r="D5145" s="8"/>
      <c r="E5145" s="8"/>
      <c r="F5145" s="8"/>
      <c r="G5145" s="8"/>
      <c r="H5145" s="8"/>
      <c r="I5145" s="8"/>
      <c r="J5145" s="8"/>
      <c r="K5145" s="10"/>
      <c r="L5145" s="8"/>
      <c r="M5145" s="8"/>
      <c r="N5145" s="11"/>
      <c r="O5145" s="11"/>
      <c r="P5145" s="11"/>
      <c r="Q5145" s="11"/>
      <c r="R5145" s="11"/>
      <c r="S5145" s="12"/>
      <c r="T5145" s="8"/>
      <c r="U5145" s="8"/>
      <c r="V5145" s="13"/>
      <c r="W5145" s="13"/>
      <c r="X5145" s="12"/>
      <c r="Y5145" s="14"/>
      <c r="Z5145" s="14"/>
    </row>
    <row r="5146">
      <c r="A5146" s="8"/>
      <c r="B5146" s="8"/>
      <c r="C5146" s="8"/>
      <c r="D5146" s="8"/>
      <c r="E5146" s="8"/>
      <c r="F5146" s="8"/>
      <c r="G5146" s="8"/>
      <c r="H5146" s="8"/>
      <c r="I5146" s="8"/>
      <c r="J5146" s="8"/>
      <c r="K5146" s="10"/>
      <c r="L5146" s="8"/>
      <c r="M5146" s="8"/>
      <c r="N5146" s="11"/>
      <c r="O5146" s="11"/>
      <c r="P5146" s="11"/>
      <c r="Q5146" s="11"/>
      <c r="R5146" s="11"/>
      <c r="S5146" s="12"/>
      <c r="T5146" s="8"/>
      <c r="U5146" s="8"/>
      <c r="V5146" s="13"/>
      <c r="W5146" s="13"/>
      <c r="X5146" s="12"/>
      <c r="Y5146" s="14"/>
      <c r="Z5146" s="14"/>
    </row>
    <row r="5147">
      <c r="A5147" s="8"/>
      <c r="B5147" s="8"/>
      <c r="C5147" s="8"/>
      <c r="D5147" s="8"/>
      <c r="E5147" s="8"/>
      <c r="F5147" s="8"/>
      <c r="G5147" s="8"/>
      <c r="H5147" s="8"/>
      <c r="I5147" s="8"/>
      <c r="J5147" s="8"/>
      <c r="K5147" s="10"/>
      <c r="L5147" s="8"/>
      <c r="M5147" s="8"/>
      <c r="N5147" s="11"/>
      <c r="O5147" s="11"/>
      <c r="P5147" s="11"/>
      <c r="Q5147" s="11"/>
      <c r="R5147" s="11"/>
      <c r="S5147" s="12"/>
      <c r="T5147" s="8"/>
      <c r="U5147" s="8"/>
      <c r="V5147" s="13"/>
      <c r="W5147" s="13"/>
      <c r="X5147" s="12"/>
      <c r="Y5147" s="14"/>
      <c r="Z5147" s="14"/>
    </row>
    <row r="5148">
      <c r="A5148" s="8"/>
      <c r="B5148" s="8"/>
      <c r="C5148" s="8"/>
      <c r="D5148" s="8"/>
      <c r="E5148" s="8"/>
      <c r="F5148" s="8"/>
      <c r="G5148" s="8"/>
      <c r="H5148" s="8"/>
      <c r="I5148" s="8"/>
      <c r="J5148" s="8"/>
      <c r="K5148" s="10"/>
      <c r="L5148" s="8"/>
      <c r="M5148" s="8"/>
      <c r="N5148" s="11"/>
      <c r="O5148" s="11"/>
      <c r="P5148" s="11"/>
      <c r="Q5148" s="11"/>
      <c r="R5148" s="11"/>
      <c r="S5148" s="12"/>
      <c r="T5148" s="8"/>
      <c r="U5148" s="8"/>
      <c r="V5148" s="13"/>
      <c r="W5148" s="13"/>
      <c r="X5148" s="12"/>
      <c r="Y5148" s="14"/>
      <c r="Z5148" s="14"/>
    </row>
    <row r="5149">
      <c r="A5149" s="8"/>
      <c r="B5149" s="8"/>
      <c r="C5149" s="8"/>
      <c r="D5149" s="8"/>
      <c r="E5149" s="8"/>
      <c r="F5149" s="8"/>
      <c r="G5149" s="8"/>
      <c r="H5149" s="8"/>
      <c r="I5149" s="8"/>
      <c r="J5149" s="8"/>
      <c r="K5149" s="10"/>
      <c r="L5149" s="8"/>
      <c r="M5149" s="8"/>
      <c r="N5149" s="11"/>
      <c r="O5149" s="11"/>
      <c r="P5149" s="11"/>
      <c r="Q5149" s="11"/>
      <c r="R5149" s="11"/>
      <c r="S5149" s="12"/>
      <c r="T5149" s="8"/>
      <c r="U5149" s="8"/>
      <c r="V5149" s="13"/>
      <c r="W5149" s="13"/>
      <c r="X5149" s="12"/>
      <c r="Y5149" s="14"/>
      <c r="Z5149" s="14"/>
    </row>
    <row r="5150">
      <c r="A5150" s="8"/>
      <c r="B5150" s="8"/>
      <c r="C5150" s="8"/>
      <c r="D5150" s="8"/>
      <c r="E5150" s="8"/>
      <c r="F5150" s="8"/>
      <c r="G5150" s="8"/>
      <c r="H5150" s="8"/>
      <c r="I5150" s="8"/>
      <c r="J5150" s="8"/>
      <c r="K5150" s="10"/>
      <c r="L5150" s="8"/>
      <c r="M5150" s="8"/>
      <c r="N5150" s="11"/>
      <c r="O5150" s="11"/>
      <c r="P5150" s="11"/>
      <c r="Q5150" s="11"/>
      <c r="R5150" s="11"/>
      <c r="S5150" s="12"/>
      <c r="T5150" s="8"/>
      <c r="U5150" s="8"/>
      <c r="V5150" s="13"/>
      <c r="W5150" s="13"/>
      <c r="X5150" s="12"/>
      <c r="Y5150" s="14"/>
      <c r="Z5150" s="14"/>
    </row>
    <row r="5151">
      <c r="A5151" s="8"/>
      <c r="B5151" s="8"/>
      <c r="C5151" s="8"/>
      <c r="D5151" s="8"/>
      <c r="E5151" s="8"/>
      <c r="F5151" s="8"/>
      <c r="G5151" s="8"/>
      <c r="H5151" s="8"/>
      <c r="I5151" s="8"/>
      <c r="J5151" s="8"/>
      <c r="K5151" s="10"/>
      <c r="L5151" s="8"/>
      <c r="M5151" s="8"/>
      <c r="N5151" s="11"/>
      <c r="O5151" s="11"/>
      <c r="P5151" s="11"/>
      <c r="Q5151" s="11"/>
      <c r="R5151" s="11"/>
      <c r="S5151" s="12"/>
      <c r="T5151" s="8"/>
      <c r="U5151" s="8"/>
      <c r="V5151" s="13"/>
      <c r="W5151" s="13"/>
      <c r="X5151" s="12"/>
      <c r="Y5151" s="14"/>
      <c r="Z5151" s="14"/>
    </row>
    <row r="5152">
      <c r="A5152" s="8"/>
      <c r="B5152" s="8"/>
      <c r="C5152" s="8"/>
      <c r="D5152" s="8"/>
      <c r="E5152" s="8"/>
      <c r="F5152" s="8"/>
      <c r="G5152" s="8"/>
      <c r="H5152" s="8"/>
      <c r="I5152" s="8"/>
      <c r="J5152" s="8"/>
      <c r="K5152" s="10"/>
      <c r="L5152" s="8"/>
      <c r="M5152" s="8"/>
      <c r="N5152" s="11"/>
      <c r="O5152" s="11"/>
      <c r="P5152" s="11"/>
      <c r="Q5152" s="11"/>
      <c r="R5152" s="11"/>
      <c r="S5152" s="12"/>
      <c r="T5152" s="8"/>
      <c r="U5152" s="8"/>
      <c r="V5152" s="13"/>
      <c r="W5152" s="13"/>
      <c r="X5152" s="12"/>
      <c r="Y5152" s="14"/>
      <c r="Z5152" s="14"/>
    </row>
    <row r="5153">
      <c r="A5153" s="8"/>
      <c r="B5153" s="8"/>
      <c r="C5153" s="8"/>
      <c r="D5153" s="8"/>
      <c r="E5153" s="8"/>
      <c r="F5153" s="8"/>
      <c r="G5153" s="8"/>
      <c r="H5153" s="8"/>
      <c r="I5153" s="8"/>
      <c r="J5153" s="8"/>
      <c r="K5153" s="10"/>
      <c r="L5153" s="8"/>
      <c r="M5153" s="8"/>
      <c r="N5153" s="11"/>
      <c r="O5153" s="11"/>
      <c r="P5153" s="11"/>
      <c r="Q5153" s="11"/>
      <c r="R5153" s="11"/>
      <c r="S5153" s="12"/>
      <c r="T5153" s="8"/>
      <c r="U5153" s="8"/>
      <c r="V5153" s="13"/>
      <c r="W5153" s="13"/>
      <c r="X5153" s="12"/>
      <c r="Y5153" s="14"/>
      <c r="Z5153" s="14"/>
    </row>
    <row r="5154">
      <c r="A5154" s="8"/>
      <c r="B5154" s="8"/>
      <c r="C5154" s="8"/>
      <c r="D5154" s="8"/>
      <c r="E5154" s="8"/>
      <c r="F5154" s="8"/>
      <c r="G5154" s="8"/>
      <c r="H5154" s="8"/>
      <c r="I5154" s="8"/>
      <c r="J5154" s="8"/>
      <c r="K5154" s="10"/>
      <c r="L5154" s="8"/>
      <c r="M5154" s="8"/>
      <c r="N5154" s="11"/>
      <c r="O5154" s="11"/>
      <c r="P5154" s="11"/>
      <c r="Q5154" s="11"/>
      <c r="R5154" s="11"/>
      <c r="S5154" s="12"/>
      <c r="T5154" s="8"/>
      <c r="U5154" s="8"/>
      <c r="V5154" s="13"/>
      <c r="W5154" s="13"/>
      <c r="X5154" s="12"/>
      <c r="Y5154" s="14"/>
      <c r="Z5154" s="14"/>
    </row>
    <row r="5155">
      <c r="A5155" s="8"/>
      <c r="B5155" s="8"/>
      <c r="C5155" s="8"/>
      <c r="D5155" s="8"/>
      <c r="E5155" s="8"/>
      <c r="F5155" s="8"/>
      <c r="G5155" s="8"/>
      <c r="H5155" s="8"/>
      <c r="I5155" s="8"/>
      <c r="J5155" s="8"/>
      <c r="K5155" s="10"/>
      <c r="L5155" s="8"/>
      <c r="M5155" s="8"/>
      <c r="N5155" s="11"/>
      <c r="O5155" s="11"/>
      <c r="P5155" s="11"/>
      <c r="Q5155" s="11"/>
      <c r="R5155" s="11"/>
      <c r="S5155" s="12"/>
      <c r="T5155" s="8"/>
      <c r="U5155" s="8"/>
      <c r="V5155" s="13"/>
      <c r="W5155" s="13"/>
      <c r="X5155" s="12"/>
      <c r="Y5155" s="14"/>
      <c r="Z5155" s="14"/>
    </row>
    <row r="5156">
      <c r="A5156" s="8"/>
      <c r="B5156" s="8"/>
      <c r="C5156" s="8"/>
      <c r="D5156" s="8"/>
      <c r="E5156" s="8"/>
      <c r="F5156" s="8"/>
      <c r="G5156" s="8"/>
      <c r="H5156" s="8"/>
      <c r="I5156" s="8"/>
      <c r="J5156" s="8"/>
      <c r="K5156" s="10"/>
      <c r="L5156" s="8"/>
      <c r="M5156" s="8"/>
      <c r="N5156" s="11"/>
      <c r="O5156" s="11"/>
      <c r="P5156" s="11"/>
      <c r="Q5156" s="11"/>
      <c r="R5156" s="11"/>
      <c r="S5156" s="12"/>
      <c r="T5156" s="8"/>
      <c r="U5156" s="8"/>
      <c r="V5156" s="13"/>
      <c r="W5156" s="13"/>
      <c r="X5156" s="12"/>
      <c r="Y5156" s="14"/>
      <c r="Z5156" s="14"/>
    </row>
    <row r="5157">
      <c r="A5157" s="8"/>
      <c r="B5157" s="8"/>
      <c r="C5157" s="8"/>
      <c r="D5157" s="8"/>
      <c r="E5157" s="8"/>
      <c r="F5157" s="8"/>
      <c r="G5157" s="8"/>
      <c r="H5157" s="8"/>
      <c r="I5157" s="8"/>
      <c r="J5157" s="8"/>
      <c r="K5157" s="10"/>
      <c r="L5157" s="8"/>
      <c r="M5157" s="8"/>
      <c r="N5157" s="11"/>
      <c r="O5157" s="11"/>
      <c r="P5157" s="11"/>
      <c r="Q5157" s="11"/>
      <c r="R5157" s="11"/>
      <c r="S5157" s="12"/>
      <c r="T5157" s="8"/>
      <c r="U5157" s="8"/>
      <c r="V5157" s="13"/>
      <c r="W5157" s="13"/>
      <c r="X5157" s="12"/>
      <c r="Y5157" s="14"/>
      <c r="Z5157" s="14"/>
    </row>
    <row r="5158">
      <c r="A5158" s="8"/>
      <c r="B5158" s="8"/>
      <c r="C5158" s="8"/>
      <c r="D5158" s="8"/>
      <c r="E5158" s="8"/>
      <c r="F5158" s="8"/>
      <c r="G5158" s="8"/>
      <c r="H5158" s="8"/>
      <c r="I5158" s="8"/>
      <c r="J5158" s="8"/>
      <c r="K5158" s="10"/>
      <c r="L5158" s="8"/>
      <c r="M5158" s="8"/>
      <c r="N5158" s="11"/>
      <c r="O5158" s="11"/>
      <c r="P5158" s="11"/>
      <c r="Q5158" s="11"/>
      <c r="R5158" s="11"/>
      <c r="S5158" s="12"/>
      <c r="T5158" s="8"/>
      <c r="U5158" s="8"/>
      <c r="V5158" s="13"/>
      <c r="W5158" s="13"/>
      <c r="X5158" s="12"/>
      <c r="Y5158" s="14"/>
      <c r="Z5158" s="14"/>
    </row>
    <row r="5159">
      <c r="A5159" s="8"/>
      <c r="B5159" s="8"/>
      <c r="C5159" s="8"/>
      <c r="D5159" s="8"/>
      <c r="E5159" s="8"/>
      <c r="F5159" s="8"/>
      <c r="G5159" s="8"/>
      <c r="H5159" s="8"/>
      <c r="I5159" s="8"/>
      <c r="J5159" s="8"/>
      <c r="K5159" s="10"/>
      <c r="L5159" s="8"/>
      <c r="M5159" s="8"/>
      <c r="N5159" s="11"/>
      <c r="O5159" s="11"/>
      <c r="P5159" s="11"/>
      <c r="Q5159" s="11"/>
      <c r="R5159" s="11"/>
      <c r="S5159" s="12"/>
      <c r="T5159" s="8"/>
      <c r="U5159" s="8"/>
      <c r="V5159" s="13"/>
      <c r="W5159" s="13"/>
      <c r="X5159" s="12"/>
      <c r="Y5159" s="14"/>
      <c r="Z5159" s="14"/>
    </row>
    <row r="5160">
      <c r="A5160" s="8"/>
      <c r="B5160" s="8"/>
      <c r="C5160" s="8"/>
      <c r="D5160" s="8"/>
      <c r="E5160" s="8"/>
      <c r="F5160" s="8"/>
      <c r="G5160" s="8"/>
      <c r="H5160" s="8"/>
      <c r="I5160" s="8"/>
      <c r="J5160" s="8"/>
      <c r="K5160" s="10"/>
      <c r="L5160" s="8"/>
      <c r="M5160" s="8"/>
      <c r="N5160" s="11"/>
      <c r="O5160" s="11"/>
      <c r="P5160" s="11"/>
      <c r="Q5160" s="11"/>
      <c r="R5160" s="11"/>
      <c r="S5160" s="12"/>
      <c r="T5160" s="8"/>
      <c r="U5160" s="8"/>
      <c r="V5160" s="13"/>
      <c r="W5160" s="13"/>
      <c r="X5160" s="12"/>
      <c r="Y5160" s="14"/>
      <c r="Z5160" s="14"/>
    </row>
    <row r="5161">
      <c r="A5161" s="8"/>
      <c r="B5161" s="8"/>
      <c r="C5161" s="8"/>
      <c r="D5161" s="8"/>
      <c r="E5161" s="8"/>
      <c r="F5161" s="8"/>
      <c r="G5161" s="8"/>
      <c r="H5161" s="8"/>
      <c r="I5161" s="8"/>
      <c r="J5161" s="8"/>
      <c r="K5161" s="10"/>
      <c r="L5161" s="8"/>
      <c r="M5161" s="8"/>
      <c r="N5161" s="11"/>
      <c r="O5161" s="11"/>
      <c r="P5161" s="11"/>
      <c r="Q5161" s="11"/>
      <c r="R5161" s="11"/>
      <c r="S5161" s="12"/>
      <c r="T5161" s="8"/>
      <c r="U5161" s="8"/>
      <c r="V5161" s="13"/>
      <c r="W5161" s="13"/>
      <c r="X5161" s="12"/>
      <c r="Y5161" s="14"/>
      <c r="Z5161" s="14"/>
    </row>
    <row r="5162">
      <c r="A5162" s="8"/>
      <c r="B5162" s="8"/>
      <c r="C5162" s="8"/>
      <c r="D5162" s="8"/>
      <c r="E5162" s="8"/>
      <c r="F5162" s="8"/>
      <c r="G5162" s="8"/>
      <c r="H5162" s="8"/>
      <c r="I5162" s="8"/>
      <c r="J5162" s="8"/>
      <c r="K5162" s="10"/>
      <c r="L5162" s="8"/>
      <c r="M5162" s="8"/>
      <c r="N5162" s="11"/>
      <c r="O5162" s="11"/>
      <c r="P5162" s="11"/>
      <c r="Q5162" s="11"/>
      <c r="R5162" s="11"/>
      <c r="S5162" s="12"/>
      <c r="T5162" s="8"/>
      <c r="U5162" s="8"/>
      <c r="V5162" s="13"/>
      <c r="W5162" s="13"/>
      <c r="X5162" s="12"/>
      <c r="Y5162" s="14"/>
      <c r="Z5162" s="14"/>
    </row>
    <row r="5163">
      <c r="A5163" s="8"/>
      <c r="B5163" s="8"/>
      <c r="C5163" s="8"/>
      <c r="D5163" s="8"/>
      <c r="E5163" s="8"/>
      <c r="F5163" s="8"/>
      <c r="G5163" s="8"/>
      <c r="H5163" s="8"/>
      <c r="I5163" s="8"/>
      <c r="J5163" s="8"/>
      <c r="K5163" s="10"/>
      <c r="L5163" s="8"/>
      <c r="M5163" s="8"/>
      <c r="N5163" s="11"/>
      <c r="O5163" s="11"/>
      <c r="P5163" s="11"/>
      <c r="Q5163" s="11"/>
      <c r="R5163" s="11"/>
      <c r="S5163" s="12"/>
      <c r="T5163" s="8"/>
      <c r="U5163" s="8"/>
      <c r="V5163" s="13"/>
      <c r="W5163" s="13"/>
      <c r="X5163" s="12"/>
      <c r="Y5163" s="14"/>
      <c r="Z5163" s="14"/>
    </row>
    <row r="5164">
      <c r="A5164" s="8"/>
      <c r="B5164" s="8"/>
      <c r="C5164" s="8"/>
      <c r="D5164" s="8"/>
      <c r="E5164" s="8"/>
      <c r="F5164" s="8"/>
      <c r="G5164" s="8"/>
      <c r="H5164" s="8"/>
      <c r="I5164" s="8"/>
      <c r="J5164" s="8"/>
      <c r="K5164" s="10"/>
      <c r="L5164" s="8"/>
      <c r="M5164" s="8"/>
      <c r="N5164" s="11"/>
      <c r="O5164" s="11"/>
      <c r="P5164" s="11"/>
      <c r="Q5164" s="11"/>
      <c r="R5164" s="11"/>
      <c r="S5164" s="12"/>
      <c r="T5164" s="8"/>
      <c r="U5164" s="8"/>
      <c r="V5164" s="13"/>
      <c r="W5164" s="13"/>
      <c r="X5164" s="12"/>
      <c r="Y5164" s="14"/>
      <c r="Z5164" s="14"/>
    </row>
    <row r="5165">
      <c r="A5165" s="8"/>
      <c r="B5165" s="8"/>
      <c r="C5165" s="8"/>
      <c r="D5165" s="8"/>
      <c r="E5165" s="8"/>
      <c r="F5165" s="8"/>
      <c r="G5165" s="8"/>
      <c r="H5165" s="8"/>
      <c r="I5165" s="8"/>
      <c r="J5165" s="8"/>
      <c r="K5165" s="10"/>
      <c r="L5165" s="8"/>
      <c r="M5165" s="8"/>
      <c r="N5165" s="11"/>
      <c r="O5165" s="11"/>
      <c r="P5165" s="11"/>
      <c r="Q5165" s="11"/>
      <c r="R5165" s="11"/>
      <c r="S5165" s="12"/>
      <c r="T5165" s="8"/>
      <c r="U5165" s="8"/>
      <c r="V5165" s="13"/>
      <c r="W5165" s="13"/>
      <c r="X5165" s="12"/>
      <c r="Y5165" s="14"/>
      <c r="Z5165" s="14"/>
    </row>
    <row r="5166">
      <c r="A5166" s="8"/>
      <c r="B5166" s="8"/>
      <c r="C5166" s="8"/>
      <c r="D5166" s="8"/>
      <c r="E5166" s="8"/>
      <c r="F5166" s="8"/>
      <c r="G5166" s="8"/>
      <c r="H5166" s="8"/>
      <c r="I5166" s="8"/>
      <c r="J5166" s="8"/>
      <c r="K5166" s="10"/>
      <c r="L5166" s="8"/>
      <c r="M5166" s="8"/>
      <c r="N5166" s="11"/>
      <c r="O5166" s="11"/>
      <c r="P5166" s="11"/>
      <c r="Q5166" s="11"/>
      <c r="R5166" s="11"/>
      <c r="S5166" s="12"/>
      <c r="T5166" s="8"/>
      <c r="U5166" s="8"/>
      <c r="V5166" s="13"/>
      <c r="W5166" s="13"/>
      <c r="X5166" s="12"/>
      <c r="Y5166" s="14"/>
      <c r="Z5166" s="14"/>
    </row>
    <row r="5167">
      <c r="A5167" s="8"/>
      <c r="B5167" s="8"/>
      <c r="C5167" s="8"/>
      <c r="D5167" s="8"/>
      <c r="E5167" s="8"/>
      <c r="F5167" s="8"/>
      <c r="G5167" s="8"/>
      <c r="H5167" s="8"/>
      <c r="I5167" s="8"/>
      <c r="J5167" s="8"/>
      <c r="K5167" s="10"/>
      <c r="L5167" s="8"/>
      <c r="M5167" s="8"/>
      <c r="N5167" s="11"/>
      <c r="O5167" s="11"/>
      <c r="P5167" s="11"/>
      <c r="Q5167" s="11"/>
      <c r="R5167" s="11"/>
      <c r="S5167" s="12"/>
      <c r="T5167" s="8"/>
      <c r="U5167" s="8"/>
      <c r="V5167" s="13"/>
      <c r="W5167" s="13"/>
      <c r="X5167" s="12"/>
      <c r="Y5167" s="14"/>
      <c r="Z5167" s="14"/>
    </row>
    <row r="5168">
      <c r="A5168" s="8"/>
      <c r="B5168" s="8"/>
      <c r="C5168" s="8"/>
      <c r="D5168" s="8"/>
      <c r="E5168" s="8"/>
      <c r="F5168" s="8"/>
      <c r="G5168" s="8"/>
      <c r="H5168" s="8"/>
      <c r="I5168" s="8"/>
      <c r="J5168" s="8"/>
      <c r="K5168" s="10"/>
      <c r="L5168" s="8"/>
      <c r="M5168" s="8"/>
      <c r="N5168" s="11"/>
      <c r="O5168" s="11"/>
      <c r="P5168" s="11"/>
      <c r="Q5168" s="11"/>
      <c r="R5168" s="11"/>
      <c r="S5168" s="12"/>
      <c r="T5168" s="8"/>
      <c r="U5168" s="8"/>
      <c r="V5168" s="13"/>
      <c r="W5168" s="13"/>
      <c r="X5168" s="12"/>
      <c r="Y5168" s="14"/>
      <c r="Z5168" s="14"/>
    </row>
    <row r="5169">
      <c r="A5169" s="8"/>
      <c r="B5169" s="8"/>
      <c r="C5169" s="8"/>
      <c r="D5169" s="8"/>
      <c r="E5169" s="8"/>
      <c r="F5169" s="8"/>
      <c r="G5169" s="8"/>
      <c r="H5169" s="8"/>
      <c r="I5169" s="8"/>
      <c r="J5169" s="8"/>
      <c r="K5169" s="10"/>
      <c r="L5169" s="8"/>
      <c r="M5169" s="8"/>
      <c r="N5169" s="11"/>
      <c r="O5169" s="11"/>
      <c r="P5169" s="11"/>
      <c r="Q5169" s="11"/>
      <c r="R5169" s="11"/>
      <c r="S5169" s="12"/>
      <c r="T5169" s="8"/>
      <c r="U5169" s="8"/>
      <c r="V5169" s="13"/>
      <c r="W5169" s="13"/>
      <c r="X5169" s="12"/>
      <c r="Y5169" s="14"/>
      <c r="Z5169" s="14"/>
    </row>
    <row r="5170">
      <c r="A5170" s="8"/>
      <c r="B5170" s="8"/>
      <c r="C5170" s="8"/>
      <c r="D5170" s="8"/>
      <c r="E5170" s="8"/>
      <c r="F5170" s="8"/>
      <c r="G5170" s="8"/>
      <c r="H5170" s="8"/>
      <c r="I5170" s="8"/>
      <c r="J5170" s="8"/>
      <c r="K5170" s="10"/>
      <c r="L5170" s="8"/>
      <c r="M5170" s="8"/>
      <c r="N5170" s="11"/>
      <c r="O5170" s="11"/>
      <c r="P5170" s="11"/>
      <c r="Q5170" s="11"/>
      <c r="R5170" s="11"/>
      <c r="S5170" s="12"/>
      <c r="T5170" s="8"/>
      <c r="U5170" s="8"/>
      <c r="V5170" s="13"/>
      <c r="W5170" s="13"/>
      <c r="X5170" s="12"/>
      <c r="Y5170" s="14"/>
      <c r="Z5170" s="14"/>
    </row>
    <row r="5171">
      <c r="A5171" s="8"/>
      <c r="B5171" s="8"/>
      <c r="C5171" s="8"/>
      <c r="D5171" s="8"/>
      <c r="E5171" s="8"/>
      <c r="F5171" s="8"/>
      <c r="G5171" s="8"/>
      <c r="H5171" s="8"/>
      <c r="I5171" s="8"/>
      <c r="J5171" s="8"/>
      <c r="K5171" s="10"/>
      <c r="L5171" s="8"/>
      <c r="M5171" s="8"/>
      <c r="N5171" s="11"/>
      <c r="O5171" s="11"/>
      <c r="P5171" s="11"/>
      <c r="Q5171" s="11"/>
      <c r="R5171" s="11"/>
      <c r="S5171" s="12"/>
      <c r="T5171" s="8"/>
      <c r="U5171" s="8"/>
      <c r="V5171" s="13"/>
      <c r="W5171" s="13"/>
      <c r="X5171" s="12"/>
      <c r="Y5171" s="14"/>
      <c r="Z5171" s="14"/>
    </row>
    <row r="5172">
      <c r="A5172" s="8"/>
      <c r="B5172" s="8"/>
      <c r="C5172" s="8"/>
      <c r="D5172" s="8"/>
      <c r="E5172" s="8"/>
      <c r="F5172" s="8"/>
      <c r="G5172" s="8"/>
      <c r="H5172" s="8"/>
      <c r="I5172" s="8"/>
      <c r="J5172" s="8"/>
      <c r="K5172" s="10"/>
      <c r="L5172" s="8"/>
      <c r="M5172" s="8"/>
      <c r="N5172" s="11"/>
      <c r="O5172" s="11"/>
      <c r="P5172" s="11"/>
      <c r="Q5172" s="11"/>
      <c r="R5172" s="11"/>
      <c r="S5172" s="12"/>
      <c r="T5172" s="8"/>
      <c r="U5172" s="8"/>
      <c r="V5172" s="13"/>
      <c r="W5172" s="13"/>
      <c r="X5172" s="12"/>
      <c r="Y5172" s="14"/>
      <c r="Z5172" s="14"/>
    </row>
    <row r="5173">
      <c r="A5173" s="8"/>
      <c r="B5173" s="8"/>
      <c r="C5173" s="8"/>
      <c r="D5173" s="8"/>
      <c r="E5173" s="8"/>
      <c r="F5173" s="8"/>
      <c r="G5173" s="8"/>
      <c r="H5173" s="8"/>
      <c r="I5173" s="8"/>
      <c r="J5173" s="8"/>
      <c r="K5173" s="10"/>
      <c r="L5173" s="8"/>
      <c r="M5173" s="8"/>
      <c r="N5173" s="11"/>
      <c r="O5173" s="11"/>
      <c r="P5173" s="11"/>
      <c r="Q5173" s="11"/>
      <c r="R5173" s="11"/>
      <c r="S5173" s="12"/>
      <c r="T5173" s="8"/>
      <c r="U5173" s="8"/>
      <c r="V5173" s="13"/>
      <c r="W5173" s="13"/>
      <c r="X5173" s="12"/>
      <c r="Y5173" s="14"/>
      <c r="Z5173" s="14"/>
    </row>
    <row r="5174">
      <c r="A5174" s="8"/>
      <c r="B5174" s="8"/>
      <c r="C5174" s="8"/>
      <c r="D5174" s="8"/>
      <c r="E5174" s="8"/>
      <c r="F5174" s="8"/>
      <c r="G5174" s="8"/>
      <c r="H5174" s="8"/>
      <c r="I5174" s="8"/>
      <c r="J5174" s="8"/>
      <c r="K5174" s="10"/>
      <c r="L5174" s="8"/>
      <c r="M5174" s="8"/>
      <c r="N5174" s="11"/>
      <c r="O5174" s="11"/>
      <c r="P5174" s="11"/>
      <c r="Q5174" s="11"/>
      <c r="R5174" s="11"/>
      <c r="S5174" s="12"/>
      <c r="T5174" s="8"/>
      <c r="U5174" s="8"/>
      <c r="V5174" s="13"/>
      <c r="W5174" s="13"/>
      <c r="X5174" s="12"/>
      <c r="Y5174" s="14"/>
      <c r="Z5174" s="14"/>
    </row>
    <row r="5175">
      <c r="A5175" s="8"/>
      <c r="B5175" s="8"/>
      <c r="C5175" s="8"/>
      <c r="D5175" s="8"/>
      <c r="E5175" s="8"/>
      <c r="F5175" s="8"/>
      <c r="G5175" s="8"/>
      <c r="H5175" s="8"/>
      <c r="I5175" s="8"/>
      <c r="J5175" s="8"/>
      <c r="K5175" s="10"/>
      <c r="L5175" s="8"/>
      <c r="M5175" s="8"/>
      <c r="N5175" s="11"/>
      <c r="O5175" s="11"/>
      <c r="P5175" s="11"/>
      <c r="Q5175" s="11"/>
      <c r="R5175" s="11"/>
      <c r="S5175" s="12"/>
      <c r="T5175" s="8"/>
      <c r="U5175" s="8"/>
      <c r="V5175" s="13"/>
      <c r="W5175" s="13"/>
      <c r="X5175" s="12"/>
      <c r="Y5175" s="14"/>
      <c r="Z5175" s="14"/>
    </row>
    <row r="5176">
      <c r="A5176" s="8"/>
      <c r="B5176" s="8"/>
      <c r="C5176" s="8"/>
      <c r="D5176" s="8"/>
      <c r="E5176" s="8"/>
      <c r="F5176" s="8"/>
      <c r="G5176" s="8"/>
      <c r="H5176" s="8"/>
      <c r="I5176" s="8"/>
      <c r="J5176" s="8"/>
      <c r="K5176" s="10"/>
      <c r="L5176" s="8"/>
      <c r="M5176" s="8"/>
      <c r="N5176" s="11"/>
      <c r="O5176" s="11"/>
      <c r="P5176" s="11"/>
      <c r="Q5176" s="11"/>
      <c r="R5176" s="11"/>
      <c r="S5176" s="12"/>
      <c r="T5176" s="8"/>
      <c r="U5176" s="8"/>
      <c r="V5176" s="13"/>
      <c r="W5176" s="13"/>
      <c r="X5176" s="12"/>
      <c r="Y5176" s="14"/>
      <c r="Z5176" s="14"/>
    </row>
    <row r="5177">
      <c r="A5177" s="8"/>
      <c r="B5177" s="8"/>
      <c r="C5177" s="8"/>
      <c r="D5177" s="8"/>
      <c r="E5177" s="8"/>
      <c r="F5177" s="8"/>
      <c r="G5177" s="8"/>
      <c r="H5177" s="8"/>
      <c r="I5177" s="8"/>
      <c r="J5177" s="8"/>
      <c r="K5177" s="10"/>
      <c r="L5177" s="8"/>
      <c r="M5177" s="8"/>
      <c r="N5177" s="11"/>
      <c r="O5177" s="11"/>
      <c r="P5177" s="11"/>
      <c r="Q5177" s="11"/>
      <c r="R5177" s="11"/>
      <c r="S5177" s="12"/>
      <c r="T5177" s="8"/>
      <c r="U5177" s="8"/>
      <c r="V5177" s="13"/>
      <c r="W5177" s="13"/>
      <c r="X5177" s="12"/>
      <c r="Y5177" s="14"/>
      <c r="Z5177" s="14"/>
    </row>
    <row r="5178">
      <c r="A5178" s="8"/>
      <c r="B5178" s="8"/>
      <c r="C5178" s="8"/>
      <c r="D5178" s="8"/>
      <c r="E5178" s="8"/>
      <c r="F5178" s="8"/>
      <c r="G5178" s="8"/>
      <c r="H5178" s="8"/>
      <c r="I5178" s="8"/>
      <c r="J5178" s="8"/>
      <c r="K5178" s="10"/>
      <c r="L5178" s="8"/>
      <c r="M5178" s="8"/>
      <c r="N5178" s="11"/>
      <c r="O5178" s="11"/>
      <c r="P5178" s="11"/>
      <c r="Q5178" s="11"/>
      <c r="R5178" s="11"/>
      <c r="S5178" s="12"/>
      <c r="T5178" s="8"/>
      <c r="U5178" s="8"/>
      <c r="V5178" s="13"/>
      <c r="W5178" s="13"/>
      <c r="X5178" s="12"/>
      <c r="Y5178" s="14"/>
      <c r="Z5178" s="14"/>
    </row>
    <row r="5179">
      <c r="A5179" s="8"/>
      <c r="B5179" s="8"/>
      <c r="C5179" s="8"/>
      <c r="D5179" s="8"/>
      <c r="E5179" s="8"/>
      <c r="F5179" s="8"/>
      <c r="G5179" s="8"/>
      <c r="H5179" s="8"/>
      <c r="I5179" s="8"/>
      <c r="J5179" s="8"/>
      <c r="K5179" s="10"/>
      <c r="L5179" s="8"/>
      <c r="M5179" s="8"/>
      <c r="N5179" s="11"/>
      <c r="O5179" s="11"/>
      <c r="P5179" s="11"/>
      <c r="Q5179" s="11"/>
      <c r="R5179" s="11"/>
      <c r="S5179" s="12"/>
      <c r="T5179" s="8"/>
      <c r="U5179" s="8"/>
      <c r="V5179" s="13"/>
      <c r="W5179" s="13"/>
      <c r="X5179" s="12"/>
      <c r="Y5179" s="14"/>
      <c r="Z5179" s="14"/>
    </row>
    <row r="5180">
      <c r="A5180" s="8"/>
      <c r="B5180" s="8"/>
      <c r="C5180" s="8"/>
      <c r="D5180" s="8"/>
      <c r="E5180" s="8"/>
      <c r="F5180" s="8"/>
      <c r="G5180" s="8"/>
      <c r="H5180" s="8"/>
      <c r="I5180" s="8"/>
      <c r="J5180" s="8"/>
      <c r="K5180" s="10"/>
      <c r="L5180" s="8"/>
      <c r="M5180" s="8"/>
      <c r="N5180" s="11"/>
      <c r="O5180" s="11"/>
      <c r="P5180" s="11"/>
      <c r="Q5180" s="11"/>
      <c r="R5180" s="11"/>
      <c r="S5180" s="12"/>
      <c r="T5180" s="8"/>
      <c r="U5180" s="8"/>
      <c r="V5180" s="13"/>
      <c r="W5180" s="13"/>
      <c r="X5180" s="12"/>
      <c r="Y5180" s="14"/>
      <c r="Z5180" s="14"/>
    </row>
    <row r="5181">
      <c r="A5181" s="8"/>
      <c r="B5181" s="8"/>
      <c r="C5181" s="8"/>
      <c r="D5181" s="8"/>
      <c r="E5181" s="8"/>
      <c r="F5181" s="8"/>
      <c r="G5181" s="8"/>
      <c r="H5181" s="8"/>
      <c r="I5181" s="8"/>
      <c r="J5181" s="8"/>
      <c r="K5181" s="10"/>
      <c r="L5181" s="8"/>
      <c r="M5181" s="8"/>
      <c r="N5181" s="11"/>
      <c r="O5181" s="11"/>
      <c r="P5181" s="11"/>
      <c r="Q5181" s="11"/>
      <c r="R5181" s="11"/>
      <c r="S5181" s="12"/>
      <c r="T5181" s="8"/>
      <c r="U5181" s="8"/>
      <c r="V5181" s="13"/>
      <c r="W5181" s="13"/>
      <c r="X5181" s="12"/>
      <c r="Y5181" s="14"/>
      <c r="Z5181" s="14"/>
    </row>
    <row r="5182">
      <c r="A5182" s="8"/>
      <c r="B5182" s="8"/>
      <c r="C5182" s="8"/>
      <c r="D5182" s="8"/>
      <c r="E5182" s="8"/>
      <c r="F5182" s="8"/>
      <c r="G5182" s="8"/>
      <c r="H5182" s="8"/>
      <c r="I5182" s="8"/>
      <c r="J5182" s="8"/>
      <c r="K5182" s="10"/>
      <c r="L5182" s="8"/>
      <c r="M5182" s="8"/>
      <c r="N5182" s="11"/>
      <c r="O5182" s="11"/>
      <c r="P5182" s="11"/>
      <c r="Q5182" s="11"/>
      <c r="R5182" s="11"/>
      <c r="S5182" s="12"/>
      <c r="T5182" s="8"/>
      <c r="U5182" s="8"/>
      <c r="V5182" s="13"/>
      <c r="W5182" s="13"/>
      <c r="X5182" s="12"/>
      <c r="Y5182" s="14"/>
      <c r="Z5182" s="14"/>
    </row>
    <row r="5183">
      <c r="A5183" s="8"/>
      <c r="B5183" s="8"/>
      <c r="C5183" s="8"/>
      <c r="D5183" s="8"/>
      <c r="E5183" s="8"/>
      <c r="F5183" s="8"/>
      <c r="G5183" s="8"/>
      <c r="H5183" s="8"/>
      <c r="I5183" s="8"/>
      <c r="J5183" s="8"/>
      <c r="K5183" s="10"/>
      <c r="L5183" s="8"/>
      <c r="M5183" s="8"/>
      <c r="N5183" s="11"/>
      <c r="O5183" s="11"/>
      <c r="P5183" s="11"/>
      <c r="Q5183" s="11"/>
      <c r="R5183" s="11"/>
      <c r="S5183" s="12"/>
      <c r="T5183" s="8"/>
      <c r="U5183" s="8"/>
      <c r="V5183" s="13"/>
      <c r="W5183" s="13"/>
      <c r="X5183" s="12"/>
      <c r="Y5183" s="14"/>
      <c r="Z5183" s="14"/>
    </row>
    <row r="5184">
      <c r="A5184" s="8"/>
      <c r="B5184" s="8"/>
      <c r="C5184" s="8"/>
      <c r="D5184" s="8"/>
      <c r="E5184" s="8"/>
      <c r="F5184" s="8"/>
      <c r="G5184" s="8"/>
      <c r="H5184" s="8"/>
      <c r="I5184" s="8"/>
      <c r="J5184" s="8"/>
      <c r="K5184" s="10"/>
      <c r="L5184" s="8"/>
      <c r="M5184" s="8"/>
      <c r="N5184" s="11"/>
      <c r="O5184" s="11"/>
      <c r="P5184" s="11"/>
      <c r="Q5184" s="11"/>
      <c r="R5184" s="11"/>
      <c r="S5184" s="12"/>
      <c r="T5184" s="8"/>
      <c r="U5184" s="8"/>
      <c r="V5184" s="13"/>
      <c r="W5184" s="13"/>
      <c r="X5184" s="12"/>
      <c r="Y5184" s="14"/>
      <c r="Z5184" s="14"/>
    </row>
    <row r="5185">
      <c r="A5185" s="8"/>
      <c r="B5185" s="8"/>
      <c r="C5185" s="8"/>
      <c r="D5185" s="8"/>
      <c r="E5185" s="8"/>
      <c r="F5185" s="8"/>
      <c r="G5185" s="8"/>
      <c r="H5185" s="8"/>
      <c r="I5185" s="8"/>
      <c r="J5185" s="8"/>
      <c r="K5185" s="10"/>
      <c r="L5185" s="8"/>
      <c r="M5185" s="8"/>
      <c r="N5185" s="11"/>
      <c r="O5185" s="11"/>
      <c r="P5185" s="11"/>
      <c r="Q5185" s="11"/>
      <c r="R5185" s="11"/>
      <c r="S5185" s="12"/>
      <c r="T5185" s="8"/>
      <c r="U5185" s="8"/>
      <c r="V5185" s="13"/>
      <c r="W5185" s="13"/>
      <c r="X5185" s="12"/>
      <c r="Y5185" s="14"/>
      <c r="Z5185" s="14"/>
    </row>
    <row r="5186">
      <c r="A5186" s="8"/>
      <c r="B5186" s="8"/>
      <c r="C5186" s="8"/>
      <c r="D5186" s="8"/>
      <c r="E5186" s="8"/>
      <c r="F5186" s="8"/>
      <c r="G5186" s="8"/>
      <c r="H5186" s="8"/>
      <c r="I5186" s="8"/>
      <c r="J5186" s="8"/>
      <c r="K5186" s="10"/>
      <c r="L5186" s="8"/>
      <c r="M5186" s="8"/>
      <c r="N5186" s="11"/>
      <c r="O5186" s="11"/>
      <c r="P5186" s="11"/>
      <c r="Q5186" s="11"/>
      <c r="R5186" s="11"/>
      <c r="S5186" s="12"/>
      <c r="T5186" s="8"/>
      <c r="U5186" s="8"/>
      <c r="V5186" s="13"/>
      <c r="W5186" s="13"/>
      <c r="X5186" s="12"/>
      <c r="Y5186" s="14"/>
      <c r="Z5186" s="14"/>
    </row>
    <row r="5187">
      <c r="A5187" s="8"/>
      <c r="B5187" s="8"/>
      <c r="C5187" s="8"/>
      <c r="D5187" s="8"/>
      <c r="E5187" s="8"/>
      <c r="F5187" s="8"/>
      <c r="G5187" s="8"/>
      <c r="H5187" s="8"/>
      <c r="I5187" s="8"/>
      <c r="J5187" s="8"/>
      <c r="K5187" s="10"/>
      <c r="L5187" s="8"/>
      <c r="M5187" s="8"/>
      <c r="N5187" s="11"/>
      <c r="O5187" s="11"/>
      <c r="P5187" s="11"/>
      <c r="Q5187" s="11"/>
      <c r="R5187" s="11"/>
      <c r="S5187" s="12"/>
      <c r="T5187" s="8"/>
      <c r="U5187" s="8"/>
      <c r="V5187" s="13"/>
      <c r="W5187" s="13"/>
      <c r="X5187" s="12"/>
      <c r="Y5187" s="14"/>
      <c r="Z5187" s="14"/>
    </row>
    <row r="5188">
      <c r="A5188" s="8"/>
      <c r="B5188" s="8"/>
      <c r="C5188" s="8"/>
      <c r="D5188" s="8"/>
      <c r="E5188" s="8"/>
      <c r="F5188" s="8"/>
      <c r="G5188" s="8"/>
      <c r="H5188" s="8"/>
      <c r="I5188" s="8"/>
      <c r="J5188" s="8"/>
      <c r="K5188" s="10"/>
      <c r="L5188" s="8"/>
      <c r="M5188" s="8"/>
      <c r="N5188" s="11"/>
      <c r="O5188" s="11"/>
      <c r="P5188" s="11"/>
      <c r="Q5188" s="11"/>
      <c r="R5188" s="11"/>
      <c r="S5188" s="12"/>
      <c r="T5188" s="8"/>
      <c r="U5188" s="8"/>
      <c r="V5188" s="13"/>
      <c r="W5188" s="13"/>
      <c r="X5188" s="12"/>
      <c r="Y5188" s="14"/>
      <c r="Z5188" s="14"/>
    </row>
    <row r="5189">
      <c r="A5189" s="8"/>
      <c r="B5189" s="8"/>
      <c r="C5189" s="8"/>
      <c r="D5189" s="8"/>
      <c r="E5189" s="8"/>
      <c r="F5189" s="8"/>
      <c r="G5189" s="8"/>
      <c r="H5189" s="8"/>
      <c r="I5189" s="8"/>
      <c r="J5189" s="8"/>
      <c r="K5189" s="10"/>
      <c r="L5189" s="8"/>
      <c r="M5189" s="8"/>
      <c r="N5189" s="11"/>
      <c r="O5189" s="11"/>
      <c r="P5189" s="11"/>
      <c r="Q5189" s="11"/>
      <c r="R5189" s="11"/>
      <c r="S5189" s="12"/>
      <c r="T5189" s="8"/>
      <c r="U5189" s="8"/>
      <c r="V5189" s="13"/>
      <c r="W5189" s="13"/>
      <c r="X5189" s="12"/>
      <c r="Y5189" s="14"/>
      <c r="Z5189" s="14"/>
    </row>
    <row r="5190">
      <c r="A5190" s="8"/>
      <c r="B5190" s="8"/>
      <c r="C5190" s="8"/>
      <c r="D5190" s="8"/>
      <c r="E5190" s="8"/>
      <c r="F5190" s="8"/>
      <c r="G5190" s="8"/>
      <c r="H5190" s="8"/>
      <c r="I5190" s="8"/>
      <c r="J5190" s="8"/>
      <c r="K5190" s="10"/>
      <c r="L5190" s="8"/>
      <c r="M5190" s="8"/>
      <c r="N5190" s="11"/>
      <c r="O5190" s="11"/>
      <c r="P5190" s="11"/>
      <c r="Q5190" s="11"/>
      <c r="R5190" s="11"/>
      <c r="S5190" s="12"/>
      <c r="T5190" s="8"/>
      <c r="U5190" s="8"/>
      <c r="V5190" s="13"/>
      <c r="W5190" s="13"/>
      <c r="X5190" s="12"/>
      <c r="Y5190" s="14"/>
      <c r="Z5190" s="14"/>
    </row>
    <row r="5191">
      <c r="A5191" s="8"/>
      <c r="B5191" s="8"/>
      <c r="C5191" s="8"/>
      <c r="D5191" s="8"/>
      <c r="E5191" s="8"/>
      <c r="F5191" s="8"/>
      <c r="G5191" s="8"/>
      <c r="H5191" s="8"/>
      <c r="I5191" s="8"/>
      <c r="J5191" s="8"/>
      <c r="K5191" s="10"/>
      <c r="L5191" s="8"/>
      <c r="M5191" s="8"/>
      <c r="N5191" s="11"/>
      <c r="O5191" s="11"/>
      <c r="P5191" s="11"/>
      <c r="Q5191" s="11"/>
      <c r="R5191" s="11"/>
      <c r="S5191" s="12"/>
      <c r="T5191" s="8"/>
      <c r="U5191" s="8"/>
      <c r="V5191" s="13"/>
      <c r="W5191" s="13"/>
      <c r="X5191" s="12"/>
      <c r="Y5191" s="14"/>
      <c r="Z5191" s="14"/>
    </row>
    <row r="5192">
      <c r="A5192" s="8"/>
      <c r="B5192" s="8"/>
      <c r="C5192" s="8"/>
      <c r="D5192" s="8"/>
      <c r="E5192" s="8"/>
      <c r="F5192" s="8"/>
      <c r="G5192" s="8"/>
      <c r="H5192" s="8"/>
      <c r="I5192" s="8"/>
      <c r="J5192" s="8"/>
      <c r="K5192" s="10"/>
      <c r="L5192" s="8"/>
      <c r="M5192" s="8"/>
      <c r="N5192" s="11"/>
      <c r="O5192" s="11"/>
      <c r="P5192" s="11"/>
      <c r="Q5192" s="11"/>
      <c r="R5192" s="11"/>
      <c r="S5192" s="12"/>
      <c r="T5192" s="8"/>
      <c r="U5192" s="8"/>
      <c r="V5192" s="13"/>
      <c r="W5192" s="13"/>
      <c r="X5192" s="12"/>
      <c r="Y5192" s="14"/>
      <c r="Z5192" s="14"/>
    </row>
    <row r="5193">
      <c r="A5193" s="8"/>
      <c r="B5193" s="8"/>
      <c r="C5193" s="8"/>
      <c r="D5193" s="8"/>
      <c r="E5193" s="8"/>
      <c r="F5193" s="8"/>
      <c r="G5193" s="8"/>
      <c r="H5193" s="8"/>
      <c r="I5193" s="8"/>
      <c r="J5193" s="8"/>
      <c r="K5193" s="10"/>
      <c r="L5193" s="8"/>
      <c r="M5193" s="8"/>
      <c r="N5193" s="11"/>
      <c r="O5193" s="11"/>
      <c r="P5193" s="11"/>
      <c r="Q5193" s="11"/>
      <c r="R5193" s="11"/>
      <c r="S5193" s="12"/>
      <c r="T5193" s="8"/>
      <c r="U5193" s="8"/>
      <c r="V5193" s="13"/>
      <c r="W5193" s="13"/>
      <c r="X5193" s="12"/>
      <c r="Y5193" s="14"/>
      <c r="Z5193" s="14"/>
    </row>
    <row r="5194">
      <c r="A5194" s="8"/>
      <c r="B5194" s="8"/>
      <c r="C5194" s="8"/>
      <c r="D5194" s="8"/>
      <c r="E5194" s="8"/>
      <c r="F5194" s="8"/>
      <c r="G5194" s="8"/>
      <c r="H5194" s="8"/>
      <c r="I5194" s="8"/>
      <c r="J5194" s="8"/>
      <c r="K5194" s="10"/>
      <c r="L5194" s="8"/>
      <c r="M5194" s="8"/>
      <c r="N5194" s="11"/>
      <c r="O5194" s="11"/>
      <c r="P5194" s="11"/>
      <c r="Q5194" s="11"/>
      <c r="R5194" s="11"/>
      <c r="S5194" s="12"/>
      <c r="T5194" s="8"/>
      <c r="U5194" s="8"/>
      <c r="V5194" s="13"/>
      <c r="W5194" s="13"/>
      <c r="X5194" s="12"/>
      <c r="Y5194" s="14"/>
      <c r="Z5194" s="14"/>
    </row>
    <row r="5195">
      <c r="A5195" s="8"/>
      <c r="B5195" s="8"/>
      <c r="C5195" s="8"/>
      <c r="D5195" s="8"/>
      <c r="E5195" s="8"/>
      <c r="F5195" s="8"/>
      <c r="G5195" s="8"/>
      <c r="H5195" s="8"/>
      <c r="I5195" s="8"/>
      <c r="J5195" s="8"/>
      <c r="K5195" s="10"/>
      <c r="L5195" s="8"/>
      <c r="M5195" s="8"/>
      <c r="N5195" s="11"/>
      <c r="O5195" s="11"/>
      <c r="P5195" s="11"/>
      <c r="Q5195" s="11"/>
      <c r="R5195" s="11"/>
      <c r="S5195" s="12"/>
      <c r="T5195" s="8"/>
      <c r="U5195" s="8"/>
      <c r="V5195" s="13"/>
      <c r="W5195" s="13"/>
      <c r="X5195" s="12"/>
      <c r="Y5195" s="14"/>
      <c r="Z5195" s="14"/>
    </row>
    <row r="5196">
      <c r="A5196" s="8"/>
      <c r="B5196" s="8"/>
      <c r="C5196" s="8"/>
      <c r="D5196" s="8"/>
      <c r="E5196" s="8"/>
      <c r="F5196" s="8"/>
      <c r="G5196" s="8"/>
      <c r="H5196" s="8"/>
      <c r="I5196" s="8"/>
      <c r="J5196" s="8"/>
      <c r="K5196" s="10"/>
      <c r="L5196" s="8"/>
      <c r="M5196" s="8"/>
      <c r="N5196" s="11"/>
      <c r="O5196" s="11"/>
      <c r="P5196" s="11"/>
      <c r="Q5196" s="11"/>
      <c r="R5196" s="11"/>
      <c r="S5196" s="12"/>
      <c r="T5196" s="8"/>
      <c r="U5196" s="8"/>
      <c r="V5196" s="13"/>
      <c r="W5196" s="13"/>
      <c r="X5196" s="12"/>
      <c r="Y5196" s="14"/>
      <c r="Z5196" s="14"/>
    </row>
    <row r="5197">
      <c r="A5197" s="8"/>
      <c r="B5197" s="8"/>
      <c r="C5197" s="8"/>
      <c r="D5197" s="8"/>
      <c r="E5197" s="8"/>
      <c r="F5197" s="8"/>
      <c r="G5197" s="8"/>
      <c r="H5197" s="8"/>
      <c r="I5197" s="8"/>
      <c r="J5197" s="8"/>
      <c r="K5197" s="10"/>
      <c r="L5197" s="8"/>
      <c r="M5197" s="8"/>
      <c r="N5197" s="11"/>
      <c r="O5197" s="11"/>
      <c r="P5197" s="11"/>
      <c r="Q5197" s="11"/>
      <c r="R5197" s="11"/>
      <c r="S5197" s="12"/>
      <c r="T5197" s="8"/>
      <c r="U5197" s="8"/>
      <c r="V5197" s="13"/>
      <c r="W5197" s="13"/>
      <c r="X5197" s="12"/>
      <c r="Y5197" s="14"/>
      <c r="Z5197" s="14"/>
    </row>
    <row r="5198">
      <c r="A5198" s="8"/>
      <c r="B5198" s="8"/>
      <c r="C5198" s="8"/>
      <c r="D5198" s="8"/>
      <c r="E5198" s="8"/>
      <c r="F5198" s="8"/>
      <c r="G5198" s="8"/>
      <c r="H5198" s="8"/>
      <c r="I5198" s="8"/>
      <c r="J5198" s="8"/>
      <c r="K5198" s="10"/>
      <c r="L5198" s="8"/>
      <c r="M5198" s="8"/>
      <c r="N5198" s="11"/>
      <c r="O5198" s="11"/>
      <c r="P5198" s="11"/>
      <c r="Q5198" s="11"/>
      <c r="R5198" s="11"/>
      <c r="S5198" s="12"/>
      <c r="T5198" s="8"/>
      <c r="U5198" s="8"/>
      <c r="V5198" s="13"/>
      <c r="W5198" s="13"/>
      <c r="X5198" s="12"/>
      <c r="Y5198" s="14"/>
      <c r="Z5198" s="14"/>
    </row>
    <row r="5199">
      <c r="A5199" s="8"/>
      <c r="B5199" s="8"/>
      <c r="C5199" s="8"/>
      <c r="D5199" s="8"/>
      <c r="E5199" s="8"/>
      <c r="F5199" s="8"/>
      <c r="G5199" s="8"/>
      <c r="H5199" s="8"/>
      <c r="I5199" s="8"/>
      <c r="J5199" s="8"/>
      <c r="K5199" s="10"/>
      <c r="L5199" s="8"/>
      <c r="M5199" s="8"/>
      <c r="N5199" s="11"/>
      <c r="O5199" s="11"/>
      <c r="P5199" s="11"/>
      <c r="Q5199" s="11"/>
      <c r="R5199" s="11"/>
      <c r="S5199" s="12"/>
      <c r="T5199" s="8"/>
      <c r="U5199" s="8"/>
      <c r="V5199" s="13"/>
      <c r="W5199" s="13"/>
      <c r="X5199" s="12"/>
      <c r="Y5199" s="14"/>
      <c r="Z5199" s="14"/>
    </row>
    <row r="5200">
      <c r="A5200" s="8"/>
      <c r="B5200" s="8"/>
      <c r="C5200" s="8"/>
      <c r="D5200" s="8"/>
      <c r="E5200" s="8"/>
      <c r="F5200" s="8"/>
      <c r="G5200" s="8"/>
      <c r="H5200" s="8"/>
      <c r="I5200" s="8"/>
      <c r="J5200" s="8"/>
      <c r="K5200" s="10"/>
      <c r="L5200" s="8"/>
      <c r="M5200" s="8"/>
      <c r="N5200" s="11"/>
      <c r="O5200" s="11"/>
      <c r="P5200" s="11"/>
      <c r="Q5200" s="11"/>
      <c r="R5200" s="11"/>
      <c r="S5200" s="12"/>
      <c r="T5200" s="8"/>
      <c r="U5200" s="8"/>
      <c r="V5200" s="13"/>
      <c r="W5200" s="13"/>
      <c r="X5200" s="12"/>
      <c r="Y5200" s="14"/>
      <c r="Z5200" s="14"/>
    </row>
    <row r="5201">
      <c r="A5201" s="8"/>
      <c r="B5201" s="8"/>
      <c r="C5201" s="8"/>
      <c r="D5201" s="8"/>
      <c r="E5201" s="8"/>
      <c r="F5201" s="8"/>
      <c r="G5201" s="8"/>
      <c r="H5201" s="8"/>
      <c r="I5201" s="8"/>
      <c r="J5201" s="8"/>
      <c r="K5201" s="10"/>
      <c r="L5201" s="8"/>
      <c r="M5201" s="8"/>
      <c r="N5201" s="11"/>
      <c r="O5201" s="11"/>
      <c r="P5201" s="11"/>
      <c r="Q5201" s="11"/>
      <c r="R5201" s="11"/>
      <c r="S5201" s="12"/>
      <c r="T5201" s="8"/>
      <c r="U5201" s="8"/>
      <c r="V5201" s="13"/>
      <c r="W5201" s="13"/>
      <c r="X5201" s="12"/>
      <c r="Y5201" s="14"/>
      <c r="Z5201" s="14"/>
    </row>
    <row r="5202">
      <c r="A5202" s="8"/>
      <c r="B5202" s="8"/>
      <c r="C5202" s="8"/>
      <c r="D5202" s="8"/>
      <c r="E5202" s="8"/>
      <c r="F5202" s="8"/>
      <c r="G5202" s="8"/>
      <c r="H5202" s="8"/>
      <c r="I5202" s="8"/>
      <c r="J5202" s="8"/>
      <c r="K5202" s="10"/>
      <c r="L5202" s="8"/>
      <c r="M5202" s="8"/>
      <c r="N5202" s="11"/>
      <c r="O5202" s="11"/>
      <c r="P5202" s="11"/>
      <c r="Q5202" s="11"/>
      <c r="R5202" s="11"/>
      <c r="S5202" s="12"/>
      <c r="T5202" s="8"/>
      <c r="U5202" s="8"/>
      <c r="V5202" s="13"/>
      <c r="W5202" s="13"/>
      <c r="X5202" s="12"/>
      <c r="Y5202" s="14"/>
      <c r="Z5202" s="14"/>
    </row>
    <row r="5203">
      <c r="A5203" s="8"/>
      <c r="B5203" s="8"/>
      <c r="C5203" s="8"/>
      <c r="D5203" s="8"/>
      <c r="E5203" s="8"/>
      <c r="F5203" s="8"/>
      <c r="G5203" s="8"/>
      <c r="H5203" s="8"/>
      <c r="I5203" s="8"/>
      <c r="J5203" s="8"/>
      <c r="K5203" s="10"/>
      <c r="L5203" s="8"/>
      <c r="M5203" s="8"/>
      <c r="N5203" s="11"/>
      <c r="O5203" s="11"/>
      <c r="P5203" s="11"/>
      <c r="Q5203" s="11"/>
      <c r="R5203" s="11"/>
      <c r="S5203" s="12"/>
      <c r="T5203" s="8"/>
      <c r="U5203" s="8"/>
      <c r="V5203" s="13"/>
      <c r="W5203" s="13"/>
      <c r="X5203" s="12"/>
      <c r="Y5203" s="14"/>
      <c r="Z5203" s="14"/>
    </row>
    <row r="5204">
      <c r="A5204" s="8"/>
      <c r="B5204" s="8"/>
      <c r="C5204" s="8"/>
      <c r="D5204" s="8"/>
      <c r="E5204" s="8"/>
      <c r="F5204" s="8"/>
      <c r="G5204" s="8"/>
      <c r="H5204" s="8"/>
      <c r="I5204" s="8"/>
      <c r="J5204" s="8"/>
      <c r="K5204" s="10"/>
      <c r="L5204" s="8"/>
      <c r="M5204" s="8"/>
      <c r="N5204" s="11"/>
      <c r="O5204" s="11"/>
      <c r="P5204" s="11"/>
      <c r="Q5204" s="11"/>
      <c r="R5204" s="11"/>
      <c r="S5204" s="12"/>
      <c r="T5204" s="8"/>
      <c r="U5204" s="8"/>
      <c r="V5204" s="13"/>
      <c r="W5204" s="13"/>
      <c r="X5204" s="12"/>
      <c r="Y5204" s="14"/>
      <c r="Z5204" s="14"/>
    </row>
    <row r="5205">
      <c r="A5205" s="8"/>
      <c r="B5205" s="8"/>
      <c r="C5205" s="8"/>
      <c r="D5205" s="8"/>
      <c r="E5205" s="8"/>
      <c r="F5205" s="8"/>
      <c r="G5205" s="8"/>
      <c r="H5205" s="8"/>
      <c r="I5205" s="8"/>
      <c r="J5205" s="8"/>
      <c r="K5205" s="10"/>
      <c r="L5205" s="8"/>
      <c r="M5205" s="8"/>
      <c r="N5205" s="11"/>
      <c r="O5205" s="11"/>
      <c r="P5205" s="11"/>
      <c r="Q5205" s="11"/>
      <c r="R5205" s="11"/>
      <c r="S5205" s="12"/>
      <c r="T5205" s="8"/>
      <c r="U5205" s="8"/>
      <c r="V5205" s="13"/>
      <c r="W5205" s="13"/>
      <c r="X5205" s="12"/>
      <c r="Y5205" s="14"/>
      <c r="Z5205" s="14"/>
    </row>
    <row r="5206">
      <c r="A5206" s="8"/>
      <c r="B5206" s="8"/>
      <c r="C5206" s="8"/>
      <c r="D5206" s="8"/>
      <c r="E5206" s="8"/>
      <c r="F5206" s="8"/>
      <c r="G5206" s="8"/>
      <c r="H5206" s="8"/>
      <c r="I5206" s="8"/>
      <c r="J5206" s="8"/>
      <c r="K5206" s="10"/>
      <c r="L5206" s="8"/>
      <c r="M5206" s="8"/>
      <c r="N5206" s="11"/>
      <c r="O5206" s="11"/>
      <c r="P5206" s="11"/>
      <c r="Q5206" s="11"/>
      <c r="R5206" s="11"/>
      <c r="S5206" s="12"/>
      <c r="T5206" s="8"/>
      <c r="U5206" s="8"/>
      <c r="V5206" s="13"/>
      <c r="W5206" s="13"/>
      <c r="X5206" s="12"/>
      <c r="Y5206" s="14"/>
      <c r="Z5206" s="14"/>
    </row>
    <row r="5207">
      <c r="A5207" s="8"/>
      <c r="B5207" s="8"/>
      <c r="C5207" s="8"/>
      <c r="D5207" s="8"/>
      <c r="E5207" s="8"/>
      <c r="F5207" s="8"/>
      <c r="G5207" s="8"/>
      <c r="H5207" s="8"/>
      <c r="I5207" s="8"/>
      <c r="J5207" s="8"/>
      <c r="K5207" s="10"/>
      <c r="L5207" s="8"/>
      <c r="M5207" s="8"/>
      <c r="N5207" s="11"/>
      <c r="O5207" s="11"/>
      <c r="P5207" s="11"/>
      <c r="Q5207" s="11"/>
      <c r="R5207" s="11"/>
      <c r="S5207" s="12"/>
      <c r="T5207" s="8"/>
      <c r="U5207" s="8"/>
      <c r="V5207" s="13"/>
      <c r="W5207" s="13"/>
      <c r="X5207" s="12"/>
      <c r="Y5207" s="14"/>
      <c r="Z5207" s="14"/>
    </row>
    <row r="5208">
      <c r="A5208" s="8"/>
      <c r="B5208" s="8"/>
      <c r="C5208" s="8"/>
      <c r="D5208" s="8"/>
      <c r="E5208" s="8"/>
      <c r="F5208" s="8"/>
      <c r="G5208" s="8"/>
      <c r="H5208" s="8"/>
      <c r="I5208" s="8"/>
      <c r="J5208" s="8"/>
      <c r="K5208" s="10"/>
      <c r="L5208" s="8"/>
      <c r="M5208" s="8"/>
      <c r="N5208" s="11"/>
      <c r="O5208" s="11"/>
      <c r="P5208" s="11"/>
      <c r="Q5208" s="11"/>
      <c r="R5208" s="11"/>
      <c r="S5208" s="12"/>
      <c r="T5208" s="8"/>
      <c r="U5208" s="8"/>
      <c r="V5208" s="13"/>
      <c r="W5208" s="13"/>
      <c r="X5208" s="12"/>
      <c r="Y5208" s="14"/>
      <c r="Z5208" s="14"/>
    </row>
    <row r="5209">
      <c r="A5209" s="8"/>
      <c r="B5209" s="8"/>
      <c r="C5209" s="8"/>
      <c r="D5209" s="8"/>
      <c r="E5209" s="8"/>
      <c r="F5209" s="8"/>
      <c r="G5209" s="8"/>
      <c r="H5209" s="8"/>
      <c r="I5209" s="8"/>
      <c r="J5209" s="8"/>
      <c r="K5209" s="10"/>
      <c r="L5209" s="8"/>
      <c r="M5209" s="8"/>
      <c r="N5209" s="11"/>
      <c r="O5209" s="11"/>
      <c r="P5209" s="11"/>
      <c r="Q5209" s="11"/>
      <c r="R5209" s="11"/>
      <c r="S5209" s="12"/>
      <c r="T5209" s="8"/>
      <c r="U5209" s="8"/>
      <c r="V5209" s="13"/>
      <c r="W5209" s="13"/>
      <c r="X5209" s="12"/>
      <c r="Y5209" s="14"/>
      <c r="Z5209" s="14"/>
    </row>
    <row r="5210">
      <c r="A5210" s="8"/>
      <c r="B5210" s="8"/>
      <c r="C5210" s="8"/>
      <c r="D5210" s="8"/>
      <c r="E5210" s="8"/>
      <c r="F5210" s="8"/>
      <c r="G5210" s="8"/>
      <c r="H5210" s="8"/>
      <c r="I5210" s="8"/>
      <c r="J5210" s="8"/>
      <c r="K5210" s="10"/>
      <c r="L5210" s="8"/>
      <c r="M5210" s="8"/>
      <c r="N5210" s="11"/>
      <c r="O5210" s="11"/>
      <c r="P5210" s="11"/>
      <c r="Q5210" s="11"/>
      <c r="R5210" s="11"/>
      <c r="S5210" s="12"/>
      <c r="T5210" s="8"/>
      <c r="U5210" s="8"/>
      <c r="V5210" s="13"/>
      <c r="W5210" s="13"/>
      <c r="X5210" s="12"/>
      <c r="Y5210" s="14"/>
      <c r="Z5210" s="14"/>
    </row>
    <row r="5211">
      <c r="A5211" s="8"/>
      <c r="B5211" s="8"/>
      <c r="C5211" s="8"/>
      <c r="D5211" s="8"/>
      <c r="E5211" s="8"/>
      <c r="F5211" s="8"/>
      <c r="G5211" s="8"/>
      <c r="H5211" s="8"/>
      <c r="I5211" s="8"/>
      <c r="J5211" s="8"/>
      <c r="K5211" s="10"/>
      <c r="L5211" s="8"/>
      <c r="M5211" s="8"/>
      <c r="N5211" s="11"/>
      <c r="O5211" s="11"/>
      <c r="P5211" s="11"/>
      <c r="Q5211" s="11"/>
      <c r="R5211" s="11"/>
      <c r="S5211" s="12"/>
      <c r="T5211" s="8"/>
      <c r="U5211" s="8"/>
      <c r="V5211" s="13"/>
      <c r="W5211" s="13"/>
      <c r="X5211" s="12"/>
      <c r="Y5211" s="14"/>
      <c r="Z5211" s="14"/>
    </row>
    <row r="5212">
      <c r="A5212" s="8"/>
      <c r="B5212" s="8"/>
      <c r="C5212" s="8"/>
      <c r="D5212" s="8"/>
      <c r="E5212" s="8"/>
      <c r="F5212" s="8"/>
      <c r="G5212" s="8"/>
      <c r="H5212" s="8"/>
      <c r="I5212" s="8"/>
      <c r="J5212" s="8"/>
      <c r="K5212" s="10"/>
      <c r="L5212" s="8"/>
      <c r="M5212" s="8"/>
      <c r="N5212" s="11"/>
      <c r="O5212" s="11"/>
      <c r="P5212" s="11"/>
      <c r="Q5212" s="11"/>
      <c r="R5212" s="11"/>
      <c r="S5212" s="12"/>
      <c r="T5212" s="8"/>
      <c r="U5212" s="8"/>
      <c r="V5212" s="13"/>
      <c r="W5212" s="13"/>
      <c r="X5212" s="12"/>
      <c r="Y5212" s="14"/>
      <c r="Z5212" s="14"/>
    </row>
    <row r="5213">
      <c r="A5213" s="8"/>
      <c r="B5213" s="8"/>
      <c r="C5213" s="8"/>
      <c r="D5213" s="8"/>
      <c r="E5213" s="8"/>
      <c r="F5213" s="8"/>
      <c r="G5213" s="8"/>
      <c r="H5213" s="8"/>
      <c r="I5213" s="8"/>
      <c r="J5213" s="8"/>
      <c r="K5213" s="10"/>
      <c r="L5213" s="8"/>
      <c r="M5213" s="8"/>
      <c r="N5213" s="11"/>
      <c r="O5213" s="11"/>
      <c r="P5213" s="11"/>
      <c r="Q5213" s="11"/>
      <c r="R5213" s="11"/>
      <c r="S5213" s="12"/>
      <c r="T5213" s="8"/>
      <c r="U5213" s="8"/>
      <c r="V5213" s="13"/>
      <c r="W5213" s="13"/>
      <c r="X5213" s="12"/>
      <c r="Y5213" s="14"/>
      <c r="Z5213" s="14"/>
    </row>
    <row r="5214">
      <c r="A5214" s="8"/>
      <c r="B5214" s="8"/>
      <c r="C5214" s="8"/>
      <c r="D5214" s="8"/>
      <c r="E5214" s="8"/>
      <c r="F5214" s="8"/>
      <c r="G5214" s="8"/>
      <c r="H5214" s="8"/>
      <c r="I5214" s="8"/>
      <c r="J5214" s="8"/>
      <c r="K5214" s="10"/>
      <c r="L5214" s="8"/>
      <c r="M5214" s="8"/>
      <c r="N5214" s="11"/>
      <c r="O5214" s="11"/>
      <c r="P5214" s="11"/>
      <c r="Q5214" s="11"/>
      <c r="R5214" s="11"/>
      <c r="S5214" s="12"/>
      <c r="T5214" s="8"/>
      <c r="U5214" s="8"/>
      <c r="V5214" s="13"/>
      <c r="W5214" s="13"/>
      <c r="X5214" s="12"/>
      <c r="Y5214" s="14"/>
      <c r="Z5214" s="14"/>
    </row>
    <row r="5215">
      <c r="A5215" s="8"/>
      <c r="B5215" s="8"/>
      <c r="C5215" s="8"/>
      <c r="D5215" s="8"/>
      <c r="E5215" s="8"/>
      <c r="F5215" s="8"/>
      <c r="G5215" s="8"/>
      <c r="H5215" s="8"/>
      <c r="I5215" s="8"/>
      <c r="J5215" s="8"/>
      <c r="K5215" s="10"/>
      <c r="L5215" s="8"/>
      <c r="M5215" s="8"/>
      <c r="N5215" s="11"/>
      <c r="O5215" s="11"/>
      <c r="P5215" s="11"/>
      <c r="Q5215" s="11"/>
      <c r="R5215" s="11"/>
      <c r="S5215" s="12"/>
      <c r="T5215" s="8"/>
      <c r="U5215" s="8"/>
      <c r="V5215" s="13"/>
      <c r="W5215" s="13"/>
      <c r="X5215" s="12"/>
      <c r="Y5215" s="14"/>
      <c r="Z5215" s="14"/>
    </row>
    <row r="5216">
      <c r="A5216" s="8"/>
      <c r="B5216" s="8"/>
      <c r="C5216" s="8"/>
      <c r="D5216" s="8"/>
      <c r="E5216" s="8"/>
      <c r="F5216" s="8"/>
      <c r="G5216" s="8"/>
      <c r="H5216" s="8"/>
      <c r="I5216" s="8"/>
      <c r="J5216" s="8"/>
      <c r="K5216" s="10"/>
      <c r="L5216" s="8"/>
      <c r="M5216" s="8"/>
      <c r="N5216" s="11"/>
      <c r="O5216" s="11"/>
      <c r="P5216" s="11"/>
      <c r="Q5216" s="11"/>
      <c r="R5216" s="11"/>
      <c r="S5216" s="12"/>
      <c r="T5216" s="8"/>
      <c r="U5216" s="8"/>
      <c r="V5216" s="13"/>
      <c r="W5216" s="13"/>
      <c r="X5216" s="12"/>
      <c r="Y5216" s="14"/>
      <c r="Z5216" s="14"/>
    </row>
    <row r="5217">
      <c r="A5217" s="8"/>
      <c r="B5217" s="8"/>
      <c r="C5217" s="8"/>
      <c r="D5217" s="8"/>
      <c r="E5217" s="8"/>
      <c r="F5217" s="8"/>
      <c r="G5217" s="8"/>
      <c r="H5217" s="8"/>
      <c r="I5217" s="8"/>
      <c r="J5217" s="8"/>
      <c r="K5217" s="10"/>
      <c r="L5217" s="8"/>
      <c r="M5217" s="8"/>
      <c r="N5217" s="11"/>
      <c r="O5217" s="11"/>
      <c r="P5217" s="11"/>
      <c r="Q5217" s="11"/>
      <c r="R5217" s="11"/>
      <c r="S5217" s="12"/>
      <c r="T5217" s="8"/>
      <c r="U5217" s="8"/>
      <c r="V5217" s="13"/>
      <c r="W5217" s="13"/>
      <c r="X5217" s="12"/>
      <c r="Y5217" s="14"/>
      <c r="Z5217" s="14"/>
    </row>
    <row r="5218">
      <c r="A5218" s="8"/>
      <c r="B5218" s="8"/>
      <c r="C5218" s="8"/>
      <c r="D5218" s="8"/>
      <c r="E5218" s="8"/>
      <c r="F5218" s="8"/>
      <c r="G5218" s="8"/>
      <c r="H5218" s="8"/>
      <c r="I5218" s="8"/>
      <c r="J5218" s="8"/>
      <c r="K5218" s="10"/>
      <c r="L5218" s="8"/>
      <c r="M5218" s="8"/>
      <c r="N5218" s="11"/>
      <c r="O5218" s="11"/>
      <c r="P5218" s="11"/>
      <c r="Q5218" s="11"/>
      <c r="R5218" s="11"/>
      <c r="S5218" s="12"/>
      <c r="T5218" s="8"/>
      <c r="U5218" s="8"/>
      <c r="V5218" s="13"/>
      <c r="W5218" s="13"/>
      <c r="X5218" s="12"/>
      <c r="Y5218" s="14"/>
      <c r="Z5218" s="14"/>
    </row>
    <row r="5219">
      <c r="A5219" s="8"/>
      <c r="B5219" s="8"/>
      <c r="C5219" s="8"/>
      <c r="D5219" s="8"/>
      <c r="E5219" s="8"/>
      <c r="F5219" s="8"/>
      <c r="G5219" s="8"/>
      <c r="H5219" s="8"/>
      <c r="I5219" s="8"/>
      <c r="J5219" s="8"/>
      <c r="K5219" s="10"/>
      <c r="L5219" s="8"/>
      <c r="M5219" s="8"/>
      <c r="N5219" s="11"/>
      <c r="O5219" s="11"/>
      <c r="P5219" s="11"/>
      <c r="Q5219" s="11"/>
      <c r="R5219" s="11"/>
      <c r="S5219" s="12"/>
      <c r="T5219" s="8"/>
      <c r="U5219" s="8"/>
      <c r="V5219" s="13"/>
      <c r="W5219" s="13"/>
      <c r="X5219" s="12"/>
      <c r="Y5219" s="14"/>
      <c r="Z5219" s="14"/>
    </row>
    <row r="5220">
      <c r="A5220" s="8"/>
      <c r="B5220" s="8"/>
      <c r="C5220" s="8"/>
      <c r="D5220" s="8"/>
      <c r="E5220" s="8"/>
      <c r="F5220" s="8"/>
      <c r="G5220" s="8"/>
      <c r="H5220" s="8"/>
      <c r="I5220" s="8"/>
      <c r="J5220" s="8"/>
      <c r="K5220" s="10"/>
      <c r="L5220" s="8"/>
      <c r="M5220" s="8"/>
      <c r="N5220" s="11"/>
      <c r="O5220" s="11"/>
      <c r="P5220" s="11"/>
      <c r="Q5220" s="11"/>
      <c r="R5220" s="11"/>
      <c r="S5220" s="12"/>
      <c r="T5220" s="8"/>
      <c r="U5220" s="8"/>
      <c r="V5220" s="13"/>
      <c r="W5220" s="13"/>
      <c r="X5220" s="12"/>
      <c r="Y5220" s="14"/>
      <c r="Z5220" s="14"/>
    </row>
    <row r="5221">
      <c r="A5221" s="8"/>
      <c r="B5221" s="8"/>
      <c r="C5221" s="8"/>
      <c r="D5221" s="8"/>
      <c r="E5221" s="8"/>
      <c r="F5221" s="8"/>
      <c r="G5221" s="8"/>
      <c r="H5221" s="8"/>
      <c r="I5221" s="8"/>
      <c r="J5221" s="8"/>
      <c r="K5221" s="10"/>
      <c r="L5221" s="8"/>
      <c r="M5221" s="8"/>
      <c r="N5221" s="11"/>
      <c r="O5221" s="11"/>
      <c r="P5221" s="11"/>
      <c r="Q5221" s="11"/>
      <c r="R5221" s="11"/>
      <c r="S5221" s="12"/>
      <c r="T5221" s="8"/>
      <c r="U5221" s="8"/>
      <c r="V5221" s="13"/>
      <c r="W5221" s="13"/>
      <c r="X5221" s="12"/>
      <c r="Y5221" s="14"/>
      <c r="Z5221" s="14"/>
    </row>
    <row r="5222">
      <c r="A5222" s="8"/>
      <c r="B5222" s="8"/>
      <c r="C5222" s="8"/>
      <c r="D5222" s="8"/>
      <c r="E5222" s="8"/>
      <c r="F5222" s="8"/>
      <c r="G5222" s="8"/>
      <c r="H5222" s="8"/>
      <c r="I5222" s="8"/>
      <c r="J5222" s="8"/>
      <c r="K5222" s="10"/>
      <c r="L5222" s="8"/>
      <c r="M5222" s="8"/>
      <c r="N5222" s="11"/>
      <c r="O5222" s="11"/>
      <c r="P5222" s="11"/>
      <c r="Q5222" s="11"/>
      <c r="R5222" s="11"/>
      <c r="S5222" s="12"/>
      <c r="T5222" s="8"/>
      <c r="U5222" s="8"/>
      <c r="V5222" s="13"/>
      <c r="W5222" s="13"/>
      <c r="X5222" s="12"/>
      <c r="Y5222" s="14"/>
      <c r="Z5222" s="14"/>
    </row>
    <row r="5223">
      <c r="A5223" s="8"/>
      <c r="B5223" s="8"/>
      <c r="C5223" s="8"/>
      <c r="D5223" s="8"/>
      <c r="E5223" s="8"/>
      <c r="F5223" s="8"/>
      <c r="G5223" s="8"/>
      <c r="H5223" s="8"/>
      <c r="I5223" s="8"/>
      <c r="J5223" s="8"/>
      <c r="K5223" s="10"/>
      <c r="L5223" s="8"/>
      <c r="M5223" s="8"/>
      <c r="N5223" s="11"/>
      <c r="O5223" s="11"/>
      <c r="P5223" s="11"/>
      <c r="Q5223" s="11"/>
      <c r="R5223" s="11"/>
      <c r="S5223" s="12"/>
      <c r="T5223" s="8"/>
      <c r="U5223" s="8"/>
      <c r="V5223" s="13"/>
      <c r="W5223" s="13"/>
      <c r="X5223" s="12"/>
      <c r="Y5223" s="14"/>
      <c r="Z5223" s="14"/>
    </row>
    <row r="5224">
      <c r="A5224" s="8"/>
      <c r="B5224" s="8"/>
      <c r="C5224" s="8"/>
      <c r="D5224" s="8"/>
      <c r="E5224" s="8"/>
      <c r="F5224" s="8"/>
      <c r="G5224" s="8"/>
      <c r="H5224" s="8"/>
      <c r="I5224" s="8"/>
      <c r="J5224" s="8"/>
      <c r="K5224" s="10"/>
      <c r="L5224" s="8"/>
      <c r="M5224" s="8"/>
      <c r="N5224" s="11"/>
      <c r="O5224" s="11"/>
      <c r="P5224" s="11"/>
      <c r="Q5224" s="11"/>
      <c r="R5224" s="11"/>
      <c r="S5224" s="12"/>
      <c r="T5224" s="8"/>
      <c r="U5224" s="8"/>
      <c r="V5224" s="13"/>
      <c r="W5224" s="13"/>
      <c r="X5224" s="12"/>
      <c r="Y5224" s="14"/>
      <c r="Z5224" s="14"/>
    </row>
    <row r="5225">
      <c r="A5225" s="8"/>
      <c r="B5225" s="8"/>
      <c r="C5225" s="8"/>
      <c r="D5225" s="8"/>
      <c r="E5225" s="8"/>
      <c r="F5225" s="8"/>
      <c r="G5225" s="8"/>
      <c r="H5225" s="8"/>
      <c r="I5225" s="8"/>
      <c r="J5225" s="8"/>
      <c r="K5225" s="10"/>
      <c r="L5225" s="8"/>
      <c r="M5225" s="8"/>
      <c r="N5225" s="11"/>
      <c r="O5225" s="11"/>
      <c r="P5225" s="11"/>
      <c r="Q5225" s="11"/>
      <c r="R5225" s="11"/>
      <c r="S5225" s="12"/>
      <c r="T5225" s="8"/>
      <c r="U5225" s="8"/>
      <c r="V5225" s="13"/>
      <c r="W5225" s="13"/>
      <c r="X5225" s="12"/>
      <c r="Y5225" s="14"/>
      <c r="Z5225" s="14"/>
    </row>
    <row r="5226">
      <c r="A5226" s="8"/>
      <c r="B5226" s="8"/>
      <c r="C5226" s="8"/>
      <c r="D5226" s="8"/>
      <c r="E5226" s="8"/>
      <c r="F5226" s="8"/>
      <c r="G5226" s="8"/>
      <c r="H5226" s="8"/>
      <c r="I5226" s="8"/>
      <c r="J5226" s="8"/>
      <c r="K5226" s="10"/>
      <c r="L5226" s="8"/>
      <c r="M5226" s="8"/>
      <c r="N5226" s="11"/>
      <c r="O5226" s="11"/>
      <c r="P5226" s="11"/>
      <c r="Q5226" s="11"/>
      <c r="R5226" s="11"/>
      <c r="S5226" s="12"/>
      <c r="T5226" s="8"/>
      <c r="U5226" s="8"/>
      <c r="V5226" s="13"/>
      <c r="W5226" s="13"/>
      <c r="X5226" s="12"/>
      <c r="Y5226" s="14"/>
      <c r="Z5226" s="14"/>
    </row>
    <row r="5227">
      <c r="A5227" s="8"/>
      <c r="B5227" s="8"/>
      <c r="C5227" s="8"/>
      <c r="D5227" s="8"/>
      <c r="E5227" s="8"/>
      <c r="F5227" s="8"/>
      <c r="G5227" s="8"/>
      <c r="H5227" s="8"/>
      <c r="I5227" s="8"/>
      <c r="J5227" s="8"/>
      <c r="K5227" s="10"/>
      <c r="L5227" s="8"/>
      <c r="M5227" s="8"/>
      <c r="N5227" s="11"/>
      <c r="O5227" s="11"/>
      <c r="P5227" s="11"/>
      <c r="Q5227" s="11"/>
      <c r="R5227" s="11"/>
      <c r="S5227" s="12"/>
      <c r="T5227" s="8"/>
      <c r="U5227" s="8"/>
      <c r="V5227" s="13"/>
      <c r="W5227" s="13"/>
      <c r="X5227" s="12"/>
      <c r="Y5227" s="14"/>
      <c r="Z5227" s="14"/>
    </row>
    <row r="5228">
      <c r="A5228" s="8"/>
      <c r="B5228" s="8"/>
      <c r="C5228" s="8"/>
      <c r="D5228" s="8"/>
      <c r="E5228" s="8"/>
      <c r="F5228" s="8"/>
      <c r="G5228" s="8"/>
      <c r="H5228" s="8"/>
      <c r="I5228" s="8"/>
      <c r="J5228" s="8"/>
      <c r="K5228" s="10"/>
      <c r="L5228" s="8"/>
      <c r="M5228" s="8"/>
      <c r="N5228" s="11"/>
      <c r="O5228" s="11"/>
      <c r="P5228" s="11"/>
      <c r="Q5228" s="11"/>
      <c r="R5228" s="11"/>
      <c r="S5228" s="12"/>
      <c r="T5228" s="8"/>
      <c r="U5228" s="8"/>
      <c r="V5228" s="13"/>
      <c r="W5228" s="13"/>
      <c r="X5228" s="12"/>
      <c r="Y5228" s="14"/>
      <c r="Z5228" s="14"/>
    </row>
    <row r="5229">
      <c r="A5229" s="8"/>
      <c r="B5229" s="8"/>
      <c r="C5229" s="8"/>
      <c r="D5229" s="8"/>
      <c r="E5229" s="8"/>
      <c r="F5229" s="8"/>
      <c r="G5229" s="8"/>
      <c r="H5229" s="8"/>
      <c r="I5229" s="8"/>
      <c r="J5229" s="8"/>
      <c r="K5229" s="10"/>
      <c r="L5229" s="8"/>
      <c r="M5229" s="8"/>
      <c r="N5229" s="11"/>
      <c r="O5229" s="11"/>
      <c r="P5229" s="11"/>
      <c r="Q5229" s="11"/>
      <c r="R5229" s="11"/>
      <c r="S5229" s="12"/>
      <c r="T5229" s="8"/>
      <c r="U5229" s="8"/>
      <c r="V5229" s="13"/>
      <c r="W5229" s="13"/>
      <c r="X5229" s="12"/>
      <c r="Y5229" s="14"/>
      <c r="Z5229" s="14"/>
    </row>
    <row r="5230">
      <c r="A5230" s="8"/>
      <c r="B5230" s="8"/>
      <c r="C5230" s="8"/>
      <c r="D5230" s="8"/>
      <c r="E5230" s="8"/>
      <c r="F5230" s="8"/>
      <c r="G5230" s="8"/>
      <c r="H5230" s="8"/>
      <c r="I5230" s="8"/>
      <c r="J5230" s="8"/>
      <c r="K5230" s="10"/>
      <c r="L5230" s="8"/>
      <c r="M5230" s="8"/>
      <c r="N5230" s="11"/>
      <c r="O5230" s="11"/>
      <c r="P5230" s="11"/>
      <c r="Q5230" s="11"/>
      <c r="R5230" s="11"/>
      <c r="S5230" s="12"/>
      <c r="T5230" s="8"/>
      <c r="U5230" s="8"/>
      <c r="V5230" s="13"/>
      <c r="W5230" s="13"/>
      <c r="X5230" s="12"/>
      <c r="Y5230" s="14"/>
      <c r="Z5230" s="14"/>
    </row>
    <row r="5231">
      <c r="A5231" s="8"/>
      <c r="B5231" s="8"/>
      <c r="C5231" s="8"/>
      <c r="D5231" s="8"/>
      <c r="E5231" s="8"/>
      <c r="F5231" s="8"/>
      <c r="G5231" s="8"/>
      <c r="H5231" s="8"/>
      <c r="I5231" s="8"/>
      <c r="J5231" s="8"/>
      <c r="K5231" s="10"/>
      <c r="L5231" s="8"/>
      <c r="M5231" s="8"/>
      <c r="N5231" s="11"/>
      <c r="O5231" s="11"/>
      <c r="P5231" s="11"/>
      <c r="Q5231" s="11"/>
      <c r="R5231" s="11"/>
      <c r="S5231" s="12"/>
      <c r="T5231" s="8"/>
      <c r="U5231" s="8"/>
      <c r="V5231" s="13"/>
      <c r="W5231" s="13"/>
      <c r="X5231" s="12"/>
      <c r="Y5231" s="14"/>
      <c r="Z5231" s="14"/>
    </row>
    <row r="5232">
      <c r="A5232" s="8"/>
      <c r="B5232" s="8"/>
      <c r="C5232" s="8"/>
      <c r="D5232" s="8"/>
      <c r="E5232" s="8"/>
      <c r="F5232" s="8"/>
      <c r="G5232" s="8"/>
      <c r="H5232" s="8"/>
      <c r="I5232" s="8"/>
      <c r="J5232" s="8"/>
      <c r="K5232" s="10"/>
      <c r="L5232" s="8"/>
      <c r="M5232" s="8"/>
      <c r="N5232" s="11"/>
      <c r="O5232" s="11"/>
      <c r="P5232" s="11"/>
      <c r="Q5232" s="11"/>
      <c r="R5232" s="11"/>
      <c r="S5232" s="12"/>
      <c r="T5232" s="8"/>
      <c r="U5232" s="8"/>
      <c r="V5232" s="13"/>
      <c r="W5232" s="13"/>
      <c r="X5232" s="12"/>
      <c r="Y5232" s="14"/>
      <c r="Z5232" s="14"/>
    </row>
    <row r="5233">
      <c r="A5233" s="8"/>
      <c r="B5233" s="8"/>
      <c r="C5233" s="8"/>
      <c r="D5233" s="8"/>
      <c r="E5233" s="8"/>
      <c r="F5233" s="8"/>
      <c r="G5233" s="8"/>
      <c r="H5233" s="8"/>
      <c r="I5233" s="8"/>
      <c r="J5233" s="8"/>
      <c r="K5233" s="10"/>
      <c r="L5233" s="8"/>
      <c r="M5233" s="8"/>
      <c r="N5233" s="11"/>
      <c r="O5233" s="11"/>
      <c r="P5233" s="11"/>
      <c r="Q5233" s="11"/>
      <c r="R5233" s="11"/>
      <c r="S5233" s="12"/>
      <c r="T5233" s="8"/>
      <c r="U5233" s="8"/>
      <c r="V5233" s="13"/>
      <c r="W5233" s="13"/>
      <c r="X5233" s="12"/>
      <c r="Y5233" s="14"/>
      <c r="Z5233" s="14"/>
    </row>
    <row r="5234">
      <c r="A5234" s="8"/>
      <c r="B5234" s="8"/>
      <c r="C5234" s="8"/>
      <c r="D5234" s="8"/>
      <c r="E5234" s="8"/>
      <c r="F5234" s="8"/>
      <c r="G5234" s="8"/>
      <c r="H5234" s="8"/>
      <c r="I5234" s="8"/>
      <c r="J5234" s="8"/>
      <c r="K5234" s="10"/>
      <c r="L5234" s="8"/>
      <c r="M5234" s="8"/>
      <c r="N5234" s="11"/>
      <c r="O5234" s="11"/>
      <c r="P5234" s="11"/>
      <c r="Q5234" s="11"/>
      <c r="R5234" s="11"/>
      <c r="S5234" s="12"/>
      <c r="T5234" s="8"/>
      <c r="U5234" s="8"/>
      <c r="V5234" s="13"/>
      <c r="W5234" s="13"/>
      <c r="X5234" s="12"/>
      <c r="Y5234" s="14"/>
      <c r="Z5234" s="14"/>
    </row>
    <row r="5235">
      <c r="A5235" s="8"/>
      <c r="B5235" s="8"/>
      <c r="C5235" s="8"/>
      <c r="D5235" s="8"/>
      <c r="E5235" s="8"/>
      <c r="F5235" s="8"/>
      <c r="G5235" s="8"/>
      <c r="H5235" s="8"/>
      <c r="I5235" s="8"/>
      <c r="J5235" s="8"/>
      <c r="K5235" s="10"/>
      <c r="L5235" s="8"/>
      <c r="M5235" s="8"/>
      <c r="N5235" s="11"/>
      <c r="O5235" s="11"/>
      <c r="P5235" s="11"/>
      <c r="Q5235" s="11"/>
      <c r="R5235" s="11"/>
      <c r="S5235" s="12"/>
      <c r="T5235" s="8"/>
      <c r="U5235" s="8"/>
      <c r="V5235" s="13"/>
      <c r="W5235" s="13"/>
      <c r="X5235" s="12"/>
      <c r="Y5235" s="14"/>
      <c r="Z5235" s="14"/>
    </row>
    <row r="5236">
      <c r="A5236" s="8"/>
      <c r="B5236" s="8"/>
      <c r="C5236" s="8"/>
      <c r="D5236" s="8"/>
      <c r="E5236" s="8"/>
      <c r="F5236" s="8"/>
      <c r="G5236" s="8"/>
      <c r="H5236" s="8"/>
      <c r="I5236" s="8"/>
      <c r="J5236" s="8"/>
      <c r="K5236" s="10"/>
      <c r="L5236" s="8"/>
      <c r="M5236" s="8"/>
      <c r="N5236" s="11"/>
      <c r="O5236" s="11"/>
      <c r="P5236" s="11"/>
      <c r="Q5236" s="11"/>
      <c r="R5236" s="11"/>
      <c r="S5236" s="12"/>
      <c r="T5236" s="8"/>
      <c r="U5236" s="8"/>
      <c r="V5236" s="13"/>
      <c r="W5236" s="13"/>
      <c r="X5236" s="12"/>
      <c r="Y5236" s="14"/>
      <c r="Z5236" s="14"/>
    </row>
    <row r="5237">
      <c r="A5237" s="8"/>
      <c r="B5237" s="8"/>
      <c r="C5237" s="8"/>
      <c r="D5237" s="8"/>
      <c r="E5237" s="8"/>
      <c r="F5237" s="8"/>
      <c r="G5237" s="8"/>
      <c r="H5237" s="8"/>
      <c r="I5237" s="8"/>
      <c r="J5237" s="8"/>
      <c r="K5237" s="10"/>
      <c r="L5237" s="8"/>
      <c r="M5237" s="8"/>
      <c r="N5237" s="11"/>
      <c r="O5237" s="11"/>
      <c r="P5237" s="11"/>
      <c r="Q5237" s="11"/>
      <c r="R5237" s="11"/>
      <c r="S5237" s="12"/>
      <c r="T5237" s="8"/>
      <c r="U5237" s="8"/>
      <c r="V5237" s="13"/>
      <c r="W5237" s="13"/>
      <c r="X5237" s="12"/>
      <c r="Y5237" s="14"/>
      <c r="Z5237" s="14"/>
    </row>
    <row r="5238">
      <c r="A5238" s="8"/>
      <c r="B5238" s="8"/>
      <c r="C5238" s="8"/>
      <c r="D5238" s="8"/>
      <c r="E5238" s="8"/>
      <c r="F5238" s="8"/>
      <c r="G5238" s="8"/>
      <c r="H5238" s="8"/>
      <c r="I5238" s="8"/>
      <c r="J5238" s="8"/>
      <c r="K5238" s="10"/>
      <c r="L5238" s="8"/>
      <c r="M5238" s="8"/>
      <c r="N5238" s="11"/>
      <c r="O5238" s="11"/>
      <c r="P5238" s="11"/>
      <c r="Q5238" s="11"/>
      <c r="R5238" s="11"/>
      <c r="S5238" s="12"/>
      <c r="T5238" s="8"/>
      <c r="U5238" s="8"/>
      <c r="V5238" s="13"/>
      <c r="W5238" s="13"/>
      <c r="X5238" s="12"/>
      <c r="Y5238" s="14"/>
      <c r="Z5238" s="14"/>
    </row>
    <row r="5239">
      <c r="A5239" s="8"/>
      <c r="B5239" s="8"/>
      <c r="C5239" s="8"/>
      <c r="D5239" s="8"/>
      <c r="E5239" s="8"/>
      <c r="F5239" s="8"/>
      <c r="G5239" s="8"/>
      <c r="H5239" s="8"/>
      <c r="I5239" s="8"/>
      <c r="J5239" s="8"/>
      <c r="K5239" s="10"/>
      <c r="L5239" s="8"/>
      <c r="M5239" s="8"/>
      <c r="N5239" s="11"/>
      <c r="O5239" s="11"/>
      <c r="P5239" s="11"/>
      <c r="Q5239" s="11"/>
      <c r="R5239" s="11"/>
      <c r="S5239" s="12"/>
      <c r="T5239" s="8"/>
      <c r="U5239" s="8"/>
      <c r="V5239" s="13"/>
      <c r="W5239" s="13"/>
      <c r="X5239" s="12"/>
      <c r="Y5239" s="14"/>
      <c r="Z5239" s="14"/>
    </row>
    <row r="5240">
      <c r="A5240" s="8"/>
      <c r="B5240" s="8"/>
      <c r="C5240" s="8"/>
      <c r="D5240" s="8"/>
      <c r="E5240" s="8"/>
      <c r="F5240" s="8"/>
      <c r="G5240" s="8"/>
      <c r="H5240" s="8"/>
      <c r="I5240" s="8"/>
      <c r="J5240" s="8"/>
      <c r="K5240" s="10"/>
      <c r="L5240" s="8"/>
      <c r="M5240" s="8"/>
      <c r="N5240" s="11"/>
      <c r="O5240" s="11"/>
      <c r="P5240" s="11"/>
      <c r="Q5240" s="11"/>
      <c r="R5240" s="11"/>
      <c r="S5240" s="12"/>
      <c r="T5240" s="8"/>
      <c r="U5240" s="8"/>
      <c r="V5240" s="13"/>
      <c r="W5240" s="13"/>
      <c r="X5240" s="12"/>
      <c r="Y5240" s="14"/>
      <c r="Z5240" s="14"/>
    </row>
    <row r="5241">
      <c r="A5241" s="8"/>
      <c r="B5241" s="8"/>
      <c r="C5241" s="8"/>
      <c r="D5241" s="8"/>
      <c r="E5241" s="8"/>
      <c r="F5241" s="8"/>
      <c r="G5241" s="8"/>
      <c r="H5241" s="8"/>
      <c r="I5241" s="8"/>
      <c r="J5241" s="8"/>
      <c r="K5241" s="10"/>
      <c r="L5241" s="8"/>
      <c r="M5241" s="8"/>
      <c r="N5241" s="11"/>
      <c r="O5241" s="11"/>
      <c r="P5241" s="11"/>
      <c r="Q5241" s="11"/>
      <c r="R5241" s="11"/>
      <c r="S5241" s="12"/>
      <c r="T5241" s="8"/>
      <c r="U5241" s="8"/>
      <c r="V5241" s="13"/>
      <c r="W5241" s="13"/>
      <c r="X5241" s="12"/>
      <c r="Y5241" s="14"/>
      <c r="Z5241" s="14"/>
    </row>
    <row r="5242">
      <c r="A5242" s="8"/>
      <c r="B5242" s="8"/>
      <c r="C5242" s="8"/>
      <c r="D5242" s="8"/>
      <c r="E5242" s="8"/>
      <c r="F5242" s="8"/>
      <c r="G5242" s="8"/>
      <c r="H5242" s="8"/>
      <c r="I5242" s="8"/>
      <c r="J5242" s="8"/>
      <c r="K5242" s="10"/>
      <c r="L5242" s="8"/>
      <c r="M5242" s="8"/>
      <c r="N5242" s="11"/>
      <c r="O5242" s="11"/>
      <c r="P5242" s="11"/>
      <c r="Q5242" s="11"/>
      <c r="R5242" s="11"/>
      <c r="S5242" s="12"/>
      <c r="T5242" s="8"/>
      <c r="U5242" s="8"/>
      <c r="V5242" s="13"/>
      <c r="W5242" s="13"/>
      <c r="X5242" s="12"/>
      <c r="Y5242" s="14"/>
      <c r="Z5242" s="14"/>
    </row>
    <row r="5243">
      <c r="A5243" s="8"/>
      <c r="B5243" s="8"/>
      <c r="C5243" s="8"/>
      <c r="D5243" s="8"/>
      <c r="E5243" s="8"/>
      <c r="F5243" s="8"/>
      <c r="G5243" s="8"/>
      <c r="H5243" s="8"/>
      <c r="I5243" s="8"/>
      <c r="J5243" s="8"/>
      <c r="K5243" s="10"/>
      <c r="L5243" s="8"/>
      <c r="M5243" s="8"/>
      <c r="N5243" s="11"/>
      <c r="O5243" s="11"/>
      <c r="P5243" s="11"/>
      <c r="Q5243" s="11"/>
      <c r="R5243" s="11"/>
      <c r="S5243" s="12"/>
      <c r="T5243" s="8"/>
      <c r="U5243" s="8"/>
      <c r="V5243" s="13"/>
      <c r="W5243" s="13"/>
      <c r="X5243" s="12"/>
      <c r="Y5243" s="14"/>
      <c r="Z5243" s="14"/>
    </row>
    <row r="5244">
      <c r="A5244" s="8"/>
      <c r="B5244" s="8"/>
      <c r="C5244" s="8"/>
      <c r="D5244" s="8"/>
      <c r="E5244" s="8"/>
      <c r="F5244" s="8"/>
      <c r="G5244" s="8"/>
      <c r="H5244" s="8"/>
      <c r="I5244" s="8"/>
      <c r="J5244" s="8"/>
      <c r="K5244" s="10"/>
      <c r="L5244" s="8"/>
      <c r="M5244" s="8"/>
      <c r="N5244" s="11"/>
      <c r="O5244" s="11"/>
      <c r="P5244" s="11"/>
      <c r="Q5244" s="11"/>
      <c r="R5244" s="11"/>
      <c r="S5244" s="12"/>
      <c r="T5244" s="8"/>
      <c r="U5244" s="8"/>
      <c r="V5244" s="13"/>
      <c r="W5244" s="13"/>
      <c r="X5244" s="12"/>
      <c r="Y5244" s="14"/>
      <c r="Z5244" s="14"/>
    </row>
    <row r="5245">
      <c r="A5245" s="8"/>
      <c r="B5245" s="8"/>
      <c r="C5245" s="8"/>
      <c r="D5245" s="8"/>
      <c r="E5245" s="8"/>
      <c r="F5245" s="8"/>
      <c r="G5245" s="8"/>
      <c r="H5245" s="8"/>
      <c r="I5245" s="8"/>
      <c r="J5245" s="8"/>
      <c r="K5245" s="10"/>
      <c r="L5245" s="8"/>
      <c r="M5245" s="8"/>
      <c r="N5245" s="11"/>
      <c r="O5245" s="11"/>
      <c r="P5245" s="11"/>
      <c r="Q5245" s="11"/>
      <c r="R5245" s="11"/>
      <c r="S5245" s="12"/>
      <c r="T5245" s="8"/>
      <c r="U5245" s="8"/>
      <c r="V5245" s="13"/>
      <c r="W5245" s="13"/>
      <c r="X5245" s="12"/>
      <c r="Y5245" s="14"/>
      <c r="Z5245" s="14"/>
    </row>
    <row r="5246">
      <c r="A5246" s="8"/>
      <c r="B5246" s="8"/>
      <c r="C5246" s="8"/>
      <c r="D5246" s="8"/>
      <c r="E5246" s="8"/>
      <c r="F5246" s="8"/>
      <c r="G5246" s="8"/>
      <c r="H5246" s="8"/>
      <c r="I5246" s="8"/>
      <c r="J5246" s="8"/>
      <c r="K5246" s="10"/>
      <c r="L5246" s="8"/>
      <c r="M5246" s="8"/>
      <c r="N5246" s="11"/>
      <c r="O5246" s="11"/>
      <c r="P5246" s="11"/>
      <c r="Q5246" s="11"/>
      <c r="R5246" s="11"/>
      <c r="S5246" s="12"/>
      <c r="T5246" s="8"/>
      <c r="U5246" s="8"/>
      <c r="V5246" s="13"/>
      <c r="W5246" s="13"/>
      <c r="X5246" s="12"/>
      <c r="Y5246" s="14"/>
      <c r="Z5246" s="14"/>
    </row>
    <row r="5247">
      <c r="A5247" s="8"/>
      <c r="B5247" s="8"/>
      <c r="C5247" s="8"/>
      <c r="D5247" s="8"/>
      <c r="E5247" s="8"/>
      <c r="F5247" s="8"/>
      <c r="G5247" s="8"/>
      <c r="H5247" s="8"/>
      <c r="I5247" s="8"/>
      <c r="J5247" s="8"/>
      <c r="K5247" s="10"/>
      <c r="L5247" s="8"/>
      <c r="M5247" s="8"/>
      <c r="N5247" s="11"/>
      <c r="O5247" s="11"/>
      <c r="P5247" s="11"/>
      <c r="Q5247" s="11"/>
      <c r="R5247" s="11"/>
      <c r="S5247" s="12"/>
      <c r="T5247" s="8"/>
      <c r="U5247" s="8"/>
      <c r="V5247" s="13"/>
      <c r="W5247" s="13"/>
      <c r="X5247" s="12"/>
      <c r="Y5247" s="14"/>
      <c r="Z5247" s="14"/>
    </row>
    <row r="5248">
      <c r="A5248" s="8"/>
      <c r="B5248" s="8"/>
      <c r="C5248" s="8"/>
      <c r="D5248" s="8"/>
      <c r="E5248" s="8"/>
      <c r="F5248" s="8"/>
      <c r="G5248" s="8"/>
      <c r="H5248" s="8"/>
      <c r="I5248" s="8"/>
      <c r="J5248" s="8"/>
      <c r="K5248" s="10"/>
      <c r="L5248" s="8"/>
      <c r="M5248" s="8"/>
      <c r="N5248" s="11"/>
      <c r="O5248" s="11"/>
      <c r="P5248" s="11"/>
      <c r="Q5248" s="11"/>
      <c r="R5248" s="11"/>
      <c r="S5248" s="12"/>
      <c r="T5248" s="8"/>
      <c r="U5248" s="8"/>
      <c r="V5248" s="13"/>
      <c r="W5248" s="13"/>
      <c r="X5248" s="12"/>
      <c r="Y5248" s="14"/>
      <c r="Z5248" s="14"/>
    </row>
    <row r="5249">
      <c r="A5249" s="8"/>
      <c r="B5249" s="8"/>
      <c r="C5249" s="8"/>
      <c r="D5249" s="8"/>
      <c r="E5249" s="8"/>
      <c r="F5249" s="8"/>
      <c r="G5249" s="8"/>
      <c r="H5249" s="8"/>
      <c r="I5249" s="8"/>
      <c r="J5249" s="8"/>
      <c r="K5249" s="10"/>
      <c r="L5249" s="8"/>
      <c r="M5249" s="8"/>
      <c r="N5249" s="11"/>
      <c r="O5249" s="11"/>
      <c r="P5249" s="11"/>
      <c r="Q5249" s="11"/>
      <c r="R5249" s="11"/>
      <c r="S5249" s="12"/>
      <c r="T5249" s="8"/>
      <c r="U5249" s="8"/>
      <c r="V5249" s="13"/>
      <c r="W5249" s="13"/>
      <c r="X5249" s="12"/>
      <c r="Y5249" s="14"/>
      <c r="Z5249" s="14"/>
    </row>
    <row r="5250">
      <c r="A5250" s="8"/>
      <c r="B5250" s="8"/>
      <c r="C5250" s="8"/>
      <c r="D5250" s="8"/>
      <c r="E5250" s="8"/>
      <c r="F5250" s="8"/>
      <c r="G5250" s="8"/>
      <c r="H5250" s="8"/>
      <c r="I5250" s="8"/>
      <c r="J5250" s="8"/>
      <c r="K5250" s="10"/>
      <c r="L5250" s="8"/>
      <c r="M5250" s="8"/>
      <c r="N5250" s="11"/>
      <c r="O5250" s="11"/>
      <c r="P5250" s="11"/>
      <c r="Q5250" s="11"/>
      <c r="R5250" s="11"/>
      <c r="S5250" s="12"/>
      <c r="T5250" s="8"/>
      <c r="U5250" s="8"/>
      <c r="V5250" s="13"/>
      <c r="W5250" s="13"/>
      <c r="X5250" s="12"/>
      <c r="Y5250" s="14"/>
      <c r="Z5250" s="14"/>
    </row>
    <row r="5251">
      <c r="A5251" s="8"/>
      <c r="B5251" s="8"/>
      <c r="C5251" s="8"/>
      <c r="D5251" s="8"/>
      <c r="E5251" s="8"/>
      <c r="F5251" s="8"/>
      <c r="G5251" s="8"/>
      <c r="H5251" s="8"/>
      <c r="I5251" s="8"/>
      <c r="J5251" s="8"/>
      <c r="K5251" s="10"/>
      <c r="L5251" s="8"/>
      <c r="M5251" s="8"/>
      <c r="N5251" s="11"/>
      <c r="O5251" s="11"/>
      <c r="P5251" s="11"/>
      <c r="Q5251" s="11"/>
      <c r="R5251" s="11"/>
      <c r="S5251" s="12"/>
      <c r="T5251" s="8"/>
      <c r="U5251" s="8"/>
      <c r="V5251" s="13"/>
      <c r="W5251" s="13"/>
      <c r="X5251" s="12"/>
      <c r="Y5251" s="14"/>
      <c r="Z5251" s="14"/>
    </row>
    <row r="5252">
      <c r="A5252" s="8"/>
      <c r="B5252" s="8"/>
      <c r="C5252" s="8"/>
      <c r="D5252" s="8"/>
      <c r="E5252" s="8"/>
      <c r="F5252" s="8"/>
      <c r="G5252" s="8"/>
      <c r="H5252" s="8"/>
      <c r="I5252" s="8"/>
      <c r="J5252" s="8"/>
      <c r="K5252" s="10"/>
      <c r="L5252" s="8"/>
      <c r="M5252" s="8"/>
      <c r="N5252" s="11"/>
      <c r="O5252" s="11"/>
      <c r="P5252" s="11"/>
      <c r="Q5252" s="11"/>
      <c r="R5252" s="11"/>
      <c r="S5252" s="12"/>
      <c r="T5252" s="8"/>
      <c r="U5252" s="8"/>
      <c r="V5252" s="13"/>
      <c r="W5252" s="13"/>
      <c r="X5252" s="12"/>
      <c r="Y5252" s="14"/>
      <c r="Z5252" s="14"/>
    </row>
    <row r="5253">
      <c r="A5253" s="8"/>
      <c r="B5253" s="8"/>
      <c r="C5253" s="8"/>
      <c r="D5253" s="8"/>
      <c r="E5253" s="8"/>
      <c r="F5253" s="8"/>
      <c r="G5253" s="8"/>
      <c r="H5253" s="8"/>
      <c r="I5253" s="8"/>
      <c r="J5253" s="8"/>
      <c r="K5253" s="10"/>
      <c r="L5253" s="8"/>
      <c r="M5253" s="8"/>
      <c r="N5253" s="11"/>
      <c r="O5253" s="11"/>
      <c r="P5253" s="11"/>
      <c r="Q5253" s="11"/>
      <c r="R5253" s="11"/>
      <c r="S5253" s="12"/>
      <c r="T5253" s="8"/>
      <c r="U5253" s="8"/>
      <c r="V5253" s="13"/>
      <c r="W5253" s="13"/>
      <c r="X5253" s="12"/>
      <c r="Y5253" s="14"/>
      <c r="Z5253" s="14"/>
    </row>
    <row r="5254">
      <c r="A5254" s="8"/>
      <c r="B5254" s="8"/>
      <c r="C5254" s="8"/>
      <c r="D5254" s="8"/>
      <c r="E5254" s="8"/>
      <c r="F5254" s="8"/>
      <c r="G5254" s="8"/>
      <c r="H5254" s="8"/>
      <c r="I5254" s="8"/>
      <c r="J5254" s="8"/>
      <c r="K5254" s="10"/>
      <c r="L5254" s="8"/>
      <c r="M5254" s="8"/>
      <c r="N5254" s="11"/>
      <c r="O5254" s="11"/>
      <c r="P5254" s="11"/>
      <c r="Q5254" s="11"/>
      <c r="R5254" s="11"/>
      <c r="S5254" s="12"/>
      <c r="T5254" s="8"/>
      <c r="U5254" s="8"/>
      <c r="V5254" s="13"/>
      <c r="W5254" s="13"/>
      <c r="X5254" s="12"/>
      <c r="Y5254" s="14"/>
      <c r="Z5254" s="14"/>
    </row>
    <row r="5255">
      <c r="A5255" s="8"/>
      <c r="B5255" s="8"/>
      <c r="C5255" s="8"/>
      <c r="D5255" s="8"/>
      <c r="E5255" s="8"/>
      <c r="F5255" s="8"/>
      <c r="G5255" s="8"/>
      <c r="H5255" s="8"/>
      <c r="I5255" s="8"/>
      <c r="J5255" s="8"/>
      <c r="K5255" s="10"/>
      <c r="L5255" s="8"/>
      <c r="M5255" s="8"/>
      <c r="N5255" s="11"/>
      <c r="O5255" s="11"/>
      <c r="P5255" s="11"/>
      <c r="Q5255" s="11"/>
      <c r="R5255" s="11"/>
      <c r="S5255" s="12"/>
      <c r="T5255" s="8"/>
      <c r="U5255" s="8"/>
      <c r="V5255" s="13"/>
      <c r="W5255" s="13"/>
      <c r="X5255" s="12"/>
      <c r="Y5255" s="14"/>
      <c r="Z5255" s="14"/>
    </row>
    <row r="5256">
      <c r="A5256" s="8"/>
      <c r="B5256" s="8"/>
      <c r="C5256" s="8"/>
      <c r="D5256" s="8"/>
      <c r="E5256" s="8"/>
      <c r="F5256" s="8"/>
      <c r="G5256" s="8"/>
      <c r="H5256" s="8"/>
      <c r="I5256" s="8"/>
      <c r="J5256" s="8"/>
      <c r="K5256" s="10"/>
      <c r="L5256" s="8"/>
      <c r="M5256" s="8"/>
      <c r="N5256" s="11"/>
      <c r="O5256" s="11"/>
      <c r="P5256" s="11"/>
      <c r="Q5256" s="11"/>
      <c r="R5256" s="11"/>
      <c r="S5256" s="12"/>
      <c r="T5256" s="8"/>
      <c r="U5256" s="8"/>
      <c r="V5256" s="13"/>
      <c r="W5256" s="13"/>
      <c r="X5256" s="12"/>
      <c r="Y5256" s="14"/>
      <c r="Z5256" s="14"/>
    </row>
    <row r="5257">
      <c r="A5257" s="8"/>
      <c r="B5257" s="8"/>
      <c r="C5257" s="8"/>
      <c r="D5257" s="8"/>
      <c r="E5257" s="8"/>
      <c r="F5257" s="8"/>
      <c r="G5257" s="8"/>
      <c r="H5257" s="8"/>
      <c r="I5257" s="8"/>
      <c r="J5257" s="8"/>
      <c r="K5257" s="10"/>
      <c r="L5257" s="8"/>
      <c r="M5257" s="8"/>
      <c r="N5257" s="11"/>
      <c r="O5257" s="11"/>
      <c r="P5257" s="11"/>
      <c r="Q5257" s="11"/>
      <c r="R5257" s="11"/>
      <c r="S5257" s="12"/>
      <c r="T5257" s="8"/>
      <c r="U5257" s="8"/>
      <c r="V5257" s="13"/>
      <c r="W5257" s="13"/>
      <c r="X5257" s="12"/>
      <c r="Y5257" s="14"/>
      <c r="Z5257" s="14"/>
    </row>
    <row r="5258">
      <c r="A5258" s="8"/>
      <c r="B5258" s="8"/>
      <c r="C5258" s="8"/>
      <c r="D5258" s="8"/>
      <c r="E5258" s="8"/>
      <c r="F5258" s="8"/>
      <c r="G5258" s="8"/>
      <c r="H5258" s="8"/>
      <c r="I5258" s="8"/>
      <c r="J5258" s="8"/>
      <c r="K5258" s="10"/>
      <c r="L5258" s="8"/>
      <c r="M5258" s="8"/>
      <c r="N5258" s="11"/>
      <c r="O5258" s="11"/>
      <c r="P5258" s="11"/>
      <c r="Q5258" s="11"/>
      <c r="R5258" s="11"/>
      <c r="S5258" s="12"/>
      <c r="T5258" s="8"/>
      <c r="U5258" s="8"/>
      <c r="V5258" s="13"/>
      <c r="W5258" s="13"/>
      <c r="X5258" s="12"/>
      <c r="Y5258" s="14"/>
      <c r="Z5258" s="14"/>
    </row>
    <row r="5259">
      <c r="A5259" s="8"/>
      <c r="B5259" s="8"/>
      <c r="C5259" s="8"/>
      <c r="D5259" s="8"/>
      <c r="E5259" s="8"/>
      <c r="F5259" s="8"/>
      <c r="G5259" s="8"/>
      <c r="H5259" s="8"/>
      <c r="I5259" s="8"/>
      <c r="J5259" s="8"/>
      <c r="K5259" s="10"/>
      <c r="L5259" s="8"/>
      <c r="M5259" s="8"/>
      <c r="N5259" s="11"/>
      <c r="O5259" s="11"/>
      <c r="P5259" s="11"/>
      <c r="Q5259" s="11"/>
      <c r="R5259" s="11"/>
      <c r="S5259" s="12"/>
      <c r="T5259" s="8"/>
      <c r="U5259" s="8"/>
      <c r="V5259" s="13"/>
      <c r="W5259" s="13"/>
      <c r="X5259" s="12"/>
      <c r="Y5259" s="14"/>
      <c r="Z5259" s="14"/>
    </row>
    <row r="5260">
      <c r="A5260" s="8"/>
      <c r="B5260" s="8"/>
      <c r="C5260" s="8"/>
      <c r="D5260" s="8"/>
      <c r="E5260" s="8"/>
      <c r="F5260" s="8"/>
      <c r="G5260" s="8"/>
      <c r="H5260" s="8"/>
      <c r="I5260" s="8"/>
      <c r="J5260" s="8"/>
      <c r="K5260" s="10"/>
      <c r="L5260" s="8"/>
      <c r="M5260" s="8"/>
      <c r="N5260" s="11"/>
      <c r="O5260" s="11"/>
      <c r="P5260" s="11"/>
      <c r="Q5260" s="11"/>
      <c r="R5260" s="11"/>
      <c r="S5260" s="12"/>
      <c r="T5260" s="8"/>
      <c r="U5260" s="8"/>
      <c r="V5260" s="13"/>
      <c r="W5260" s="13"/>
      <c r="X5260" s="12"/>
      <c r="Y5260" s="14"/>
      <c r="Z5260" s="14"/>
    </row>
    <row r="5261">
      <c r="A5261" s="8"/>
      <c r="B5261" s="8"/>
      <c r="C5261" s="8"/>
      <c r="D5261" s="8"/>
      <c r="E5261" s="8"/>
      <c r="F5261" s="8"/>
      <c r="G5261" s="8"/>
      <c r="H5261" s="8"/>
      <c r="I5261" s="8"/>
      <c r="J5261" s="8"/>
      <c r="K5261" s="10"/>
      <c r="L5261" s="8"/>
      <c r="M5261" s="8"/>
      <c r="N5261" s="11"/>
      <c r="O5261" s="11"/>
      <c r="P5261" s="11"/>
      <c r="Q5261" s="11"/>
      <c r="R5261" s="11"/>
      <c r="S5261" s="12"/>
      <c r="T5261" s="8"/>
      <c r="U5261" s="8"/>
      <c r="V5261" s="13"/>
      <c r="W5261" s="13"/>
      <c r="X5261" s="12"/>
      <c r="Y5261" s="14"/>
      <c r="Z5261" s="14"/>
    </row>
    <row r="5262">
      <c r="A5262" s="8"/>
      <c r="B5262" s="8"/>
      <c r="C5262" s="8"/>
      <c r="D5262" s="8"/>
      <c r="E5262" s="8"/>
      <c r="F5262" s="8"/>
      <c r="G5262" s="8"/>
      <c r="H5262" s="8"/>
      <c r="I5262" s="8"/>
      <c r="J5262" s="8"/>
      <c r="K5262" s="10"/>
      <c r="L5262" s="8"/>
      <c r="M5262" s="8"/>
      <c r="N5262" s="11"/>
      <c r="O5262" s="11"/>
      <c r="P5262" s="11"/>
      <c r="Q5262" s="11"/>
      <c r="R5262" s="11"/>
      <c r="S5262" s="12"/>
      <c r="T5262" s="8"/>
      <c r="U5262" s="8"/>
      <c r="V5262" s="13"/>
      <c r="W5262" s="13"/>
      <c r="X5262" s="12"/>
      <c r="Y5262" s="14"/>
      <c r="Z5262" s="14"/>
    </row>
    <row r="5263">
      <c r="A5263" s="8"/>
      <c r="B5263" s="8"/>
      <c r="C5263" s="8"/>
      <c r="D5263" s="8"/>
      <c r="E5263" s="8"/>
      <c r="F5263" s="8"/>
      <c r="G5263" s="8"/>
      <c r="H5263" s="8"/>
      <c r="I5263" s="8"/>
      <c r="J5263" s="8"/>
      <c r="K5263" s="10"/>
      <c r="L5263" s="8"/>
      <c r="M5263" s="8"/>
      <c r="N5263" s="11"/>
      <c r="O5263" s="11"/>
      <c r="P5263" s="11"/>
      <c r="Q5263" s="11"/>
      <c r="R5263" s="11"/>
      <c r="S5263" s="12"/>
      <c r="T5263" s="8"/>
      <c r="U5263" s="8"/>
      <c r="V5263" s="13"/>
      <c r="W5263" s="13"/>
      <c r="X5263" s="12"/>
      <c r="Y5263" s="14"/>
      <c r="Z5263" s="14"/>
    </row>
    <row r="5264">
      <c r="A5264" s="8"/>
      <c r="B5264" s="8"/>
      <c r="C5264" s="8"/>
      <c r="D5264" s="8"/>
      <c r="E5264" s="8"/>
      <c r="F5264" s="8"/>
      <c r="G5264" s="8"/>
      <c r="H5264" s="8"/>
      <c r="I5264" s="8"/>
      <c r="J5264" s="8"/>
      <c r="K5264" s="10"/>
      <c r="L5264" s="8"/>
      <c r="M5264" s="8"/>
      <c r="N5264" s="11"/>
      <c r="O5264" s="11"/>
      <c r="P5264" s="11"/>
      <c r="Q5264" s="11"/>
      <c r="R5264" s="11"/>
      <c r="S5264" s="12"/>
      <c r="T5264" s="8"/>
      <c r="U5264" s="8"/>
      <c r="V5264" s="13"/>
      <c r="W5264" s="13"/>
      <c r="X5264" s="12"/>
      <c r="Y5264" s="14"/>
      <c r="Z5264" s="14"/>
    </row>
    <row r="5265">
      <c r="A5265" s="8"/>
      <c r="B5265" s="8"/>
      <c r="C5265" s="8"/>
      <c r="D5265" s="8"/>
      <c r="E5265" s="8"/>
      <c r="F5265" s="8"/>
      <c r="G5265" s="8"/>
      <c r="H5265" s="8"/>
      <c r="I5265" s="8"/>
      <c r="J5265" s="8"/>
      <c r="K5265" s="10"/>
      <c r="L5265" s="8"/>
      <c r="M5265" s="8"/>
      <c r="N5265" s="11"/>
      <c r="O5265" s="11"/>
      <c r="P5265" s="11"/>
      <c r="Q5265" s="11"/>
      <c r="R5265" s="11"/>
      <c r="S5265" s="12"/>
      <c r="T5265" s="8"/>
      <c r="U5265" s="8"/>
      <c r="V5265" s="13"/>
      <c r="W5265" s="13"/>
      <c r="X5265" s="12"/>
      <c r="Y5265" s="14"/>
      <c r="Z5265" s="14"/>
    </row>
    <row r="5266">
      <c r="A5266" s="8"/>
      <c r="B5266" s="8"/>
      <c r="C5266" s="8"/>
      <c r="D5266" s="8"/>
      <c r="E5266" s="8"/>
      <c r="F5266" s="8"/>
      <c r="G5266" s="8"/>
      <c r="H5266" s="8"/>
      <c r="I5266" s="8"/>
      <c r="J5266" s="8"/>
      <c r="K5266" s="10"/>
      <c r="L5266" s="8"/>
      <c r="M5266" s="8"/>
      <c r="N5266" s="11"/>
      <c r="O5266" s="11"/>
      <c r="P5266" s="11"/>
      <c r="Q5266" s="11"/>
      <c r="R5266" s="11"/>
      <c r="S5266" s="12"/>
      <c r="T5266" s="8"/>
      <c r="U5266" s="8"/>
      <c r="V5266" s="13"/>
      <c r="W5266" s="13"/>
      <c r="X5266" s="12"/>
      <c r="Y5266" s="14"/>
      <c r="Z5266" s="14"/>
    </row>
    <row r="5267">
      <c r="A5267" s="8"/>
      <c r="B5267" s="8"/>
      <c r="C5267" s="8"/>
      <c r="D5267" s="8"/>
      <c r="E5267" s="8"/>
      <c r="F5267" s="8"/>
      <c r="G5267" s="8"/>
      <c r="H5267" s="8"/>
      <c r="I5267" s="8"/>
      <c r="J5267" s="8"/>
      <c r="K5267" s="10"/>
      <c r="L5267" s="8"/>
      <c r="M5267" s="8"/>
      <c r="N5267" s="11"/>
      <c r="O5267" s="11"/>
      <c r="P5267" s="11"/>
      <c r="Q5267" s="11"/>
      <c r="R5267" s="11"/>
      <c r="S5267" s="12"/>
      <c r="T5267" s="8"/>
      <c r="U5267" s="8"/>
      <c r="V5267" s="13"/>
      <c r="W5267" s="13"/>
      <c r="X5267" s="12"/>
      <c r="Y5267" s="14"/>
      <c r="Z5267" s="14"/>
    </row>
    <row r="5268">
      <c r="A5268" s="8"/>
      <c r="B5268" s="8"/>
      <c r="C5268" s="8"/>
      <c r="D5268" s="8"/>
      <c r="E5268" s="8"/>
      <c r="F5268" s="8"/>
      <c r="G5268" s="8"/>
      <c r="H5268" s="8"/>
      <c r="I5268" s="8"/>
      <c r="J5268" s="8"/>
      <c r="K5268" s="10"/>
      <c r="L5268" s="8"/>
      <c r="M5268" s="8"/>
      <c r="N5268" s="11"/>
      <c r="O5268" s="11"/>
      <c r="P5268" s="11"/>
      <c r="Q5268" s="11"/>
      <c r="R5268" s="11"/>
      <c r="S5268" s="12"/>
      <c r="T5268" s="8"/>
      <c r="U5268" s="8"/>
      <c r="V5268" s="13"/>
      <c r="W5268" s="13"/>
      <c r="X5268" s="12"/>
      <c r="Y5268" s="14"/>
      <c r="Z5268" s="14"/>
    </row>
    <row r="5269">
      <c r="A5269" s="8"/>
      <c r="B5269" s="8"/>
      <c r="C5269" s="8"/>
      <c r="D5269" s="8"/>
      <c r="E5269" s="8"/>
      <c r="F5269" s="8"/>
      <c r="G5269" s="8"/>
      <c r="H5269" s="8"/>
      <c r="I5269" s="8"/>
      <c r="J5269" s="8"/>
      <c r="K5269" s="10"/>
      <c r="L5269" s="8"/>
      <c r="M5269" s="8"/>
      <c r="N5269" s="11"/>
      <c r="O5269" s="11"/>
      <c r="P5269" s="11"/>
      <c r="Q5269" s="11"/>
      <c r="R5269" s="11"/>
      <c r="S5269" s="12"/>
      <c r="T5269" s="8"/>
      <c r="U5269" s="8"/>
      <c r="V5269" s="13"/>
      <c r="W5269" s="13"/>
      <c r="X5269" s="12"/>
      <c r="Y5269" s="14"/>
      <c r="Z5269" s="14"/>
    </row>
    <row r="5270">
      <c r="A5270" s="8"/>
      <c r="B5270" s="8"/>
      <c r="C5270" s="8"/>
      <c r="D5270" s="8"/>
      <c r="E5270" s="8"/>
      <c r="F5270" s="8"/>
      <c r="G5270" s="8"/>
      <c r="H5270" s="8"/>
      <c r="I5270" s="8"/>
      <c r="J5270" s="8"/>
      <c r="K5270" s="10"/>
      <c r="L5270" s="8"/>
      <c r="M5270" s="8"/>
      <c r="N5270" s="11"/>
      <c r="O5270" s="11"/>
      <c r="P5270" s="11"/>
      <c r="Q5270" s="11"/>
      <c r="R5270" s="11"/>
      <c r="S5270" s="12"/>
      <c r="T5270" s="8"/>
      <c r="U5270" s="8"/>
      <c r="V5270" s="13"/>
      <c r="W5270" s="13"/>
      <c r="X5270" s="12"/>
      <c r="Y5270" s="14"/>
      <c r="Z5270" s="14"/>
    </row>
    <row r="5271">
      <c r="A5271" s="8"/>
      <c r="B5271" s="8"/>
      <c r="C5271" s="8"/>
      <c r="D5271" s="8"/>
      <c r="E5271" s="8"/>
      <c r="F5271" s="8"/>
      <c r="G5271" s="8"/>
      <c r="H5271" s="8"/>
      <c r="I5271" s="8"/>
      <c r="J5271" s="8"/>
      <c r="K5271" s="10"/>
      <c r="L5271" s="8"/>
      <c r="M5271" s="8"/>
      <c r="N5271" s="11"/>
      <c r="O5271" s="11"/>
      <c r="P5271" s="11"/>
      <c r="Q5271" s="11"/>
      <c r="R5271" s="11"/>
      <c r="S5271" s="12"/>
      <c r="T5271" s="8"/>
      <c r="U5271" s="8"/>
      <c r="V5271" s="13"/>
      <c r="W5271" s="13"/>
      <c r="X5271" s="12"/>
      <c r="Y5271" s="14"/>
      <c r="Z5271" s="14"/>
    </row>
    <row r="5272">
      <c r="A5272" s="8"/>
      <c r="B5272" s="8"/>
      <c r="C5272" s="8"/>
      <c r="D5272" s="8"/>
      <c r="E5272" s="8"/>
      <c r="F5272" s="8"/>
      <c r="G5272" s="8"/>
      <c r="H5272" s="8"/>
      <c r="I5272" s="8"/>
      <c r="J5272" s="8"/>
      <c r="K5272" s="10"/>
      <c r="L5272" s="8"/>
      <c r="M5272" s="8"/>
      <c r="N5272" s="11"/>
      <c r="O5272" s="11"/>
      <c r="P5272" s="11"/>
      <c r="Q5272" s="11"/>
      <c r="R5272" s="11"/>
      <c r="S5272" s="12"/>
      <c r="T5272" s="8"/>
      <c r="U5272" s="8"/>
      <c r="V5272" s="13"/>
      <c r="W5272" s="13"/>
      <c r="X5272" s="12"/>
      <c r="Y5272" s="14"/>
      <c r="Z5272" s="14"/>
    </row>
    <row r="5273">
      <c r="A5273" s="8"/>
      <c r="B5273" s="8"/>
      <c r="C5273" s="8"/>
      <c r="D5273" s="8"/>
      <c r="E5273" s="8"/>
      <c r="F5273" s="8"/>
      <c r="G5273" s="8"/>
      <c r="H5273" s="8"/>
      <c r="I5273" s="8"/>
      <c r="J5273" s="8"/>
      <c r="K5273" s="10"/>
      <c r="L5273" s="8"/>
      <c r="M5273" s="8"/>
      <c r="N5273" s="11"/>
      <c r="O5273" s="11"/>
      <c r="P5273" s="11"/>
      <c r="Q5273" s="11"/>
      <c r="R5273" s="11"/>
      <c r="S5273" s="12"/>
      <c r="T5273" s="8"/>
      <c r="U5273" s="8"/>
      <c r="V5273" s="13"/>
      <c r="W5273" s="13"/>
      <c r="X5273" s="12"/>
      <c r="Y5273" s="14"/>
      <c r="Z5273" s="14"/>
    </row>
    <row r="5274">
      <c r="A5274" s="8"/>
      <c r="B5274" s="8"/>
      <c r="C5274" s="8"/>
      <c r="D5274" s="8"/>
      <c r="E5274" s="8"/>
      <c r="F5274" s="8"/>
      <c r="G5274" s="8"/>
      <c r="H5274" s="8"/>
      <c r="I5274" s="8"/>
      <c r="J5274" s="8"/>
      <c r="K5274" s="10"/>
      <c r="L5274" s="8"/>
      <c r="M5274" s="8"/>
      <c r="N5274" s="11"/>
      <c r="O5274" s="11"/>
      <c r="P5274" s="11"/>
      <c r="Q5274" s="11"/>
      <c r="R5274" s="11"/>
      <c r="S5274" s="12"/>
      <c r="T5274" s="8"/>
      <c r="U5274" s="8"/>
      <c r="V5274" s="13"/>
      <c r="W5274" s="13"/>
      <c r="X5274" s="12"/>
      <c r="Y5274" s="14"/>
      <c r="Z5274" s="14"/>
    </row>
    <row r="5275">
      <c r="A5275" s="8"/>
      <c r="B5275" s="8"/>
      <c r="C5275" s="8"/>
      <c r="D5275" s="8"/>
      <c r="E5275" s="8"/>
      <c r="F5275" s="8"/>
      <c r="G5275" s="8"/>
      <c r="H5275" s="8"/>
      <c r="I5275" s="8"/>
      <c r="J5275" s="8"/>
      <c r="K5275" s="10"/>
      <c r="L5275" s="8"/>
      <c r="M5275" s="8"/>
      <c r="N5275" s="11"/>
      <c r="O5275" s="11"/>
      <c r="P5275" s="11"/>
      <c r="Q5275" s="11"/>
      <c r="R5275" s="11"/>
      <c r="S5275" s="12"/>
      <c r="T5275" s="8"/>
      <c r="U5275" s="8"/>
      <c r="V5275" s="13"/>
      <c r="W5275" s="13"/>
      <c r="X5275" s="12"/>
      <c r="Y5275" s="14"/>
      <c r="Z5275" s="14"/>
    </row>
    <row r="5276">
      <c r="A5276" s="8"/>
      <c r="B5276" s="8"/>
      <c r="C5276" s="8"/>
      <c r="D5276" s="8"/>
      <c r="E5276" s="8"/>
      <c r="F5276" s="8"/>
      <c r="G5276" s="8"/>
      <c r="H5276" s="8"/>
      <c r="I5276" s="8"/>
      <c r="J5276" s="8"/>
      <c r="K5276" s="10"/>
      <c r="L5276" s="8"/>
      <c r="M5276" s="8"/>
      <c r="N5276" s="11"/>
      <c r="O5276" s="11"/>
      <c r="P5276" s="11"/>
      <c r="Q5276" s="11"/>
      <c r="R5276" s="11"/>
      <c r="S5276" s="12"/>
      <c r="T5276" s="8"/>
      <c r="U5276" s="8"/>
      <c r="V5276" s="13"/>
      <c r="W5276" s="13"/>
      <c r="X5276" s="12"/>
      <c r="Y5276" s="14"/>
      <c r="Z5276" s="14"/>
    </row>
    <row r="5277">
      <c r="A5277" s="8"/>
      <c r="B5277" s="8"/>
      <c r="C5277" s="8"/>
      <c r="D5277" s="8"/>
      <c r="E5277" s="8"/>
      <c r="F5277" s="8"/>
      <c r="G5277" s="8"/>
      <c r="H5277" s="8"/>
      <c r="I5277" s="8"/>
      <c r="J5277" s="8"/>
      <c r="K5277" s="10"/>
      <c r="L5277" s="8"/>
      <c r="M5277" s="8"/>
      <c r="N5277" s="11"/>
      <c r="O5277" s="11"/>
      <c r="P5277" s="11"/>
      <c r="Q5277" s="11"/>
      <c r="R5277" s="11"/>
      <c r="S5277" s="12"/>
      <c r="T5277" s="8"/>
      <c r="U5277" s="8"/>
      <c r="V5277" s="13"/>
      <c r="W5277" s="13"/>
      <c r="X5277" s="12"/>
      <c r="Y5277" s="14"/>
      <c r="Z5277" s="14"/>
    </row>
    <row r="5278">
      <c r="A5278" s="8"/>
      <c r="B5278" s="8"/>
      <c r="C5278" s="8"/>
      <c r="D5278" s="8"/>
      <c r="E5278" s="8"/>
      <c r="F5278" s="8"/>
      <c r="G5278" s="8"/>
      <c r="H5278" s="8"/>
      <c r="I5278" s="8"/>
      <c r="J5278" s="8"/>
      <c r="K5278" s="10"/>
      <c r="L5278" s="8"/>
      <c r="M5278" s="8"/>
      <c r="N5278" s="11"/>
      <c r="O5278" s="11"/>
      <c r="P5278" s="11"/>
      <c r="Q5278" s="11"/>
      <c r="R5278" s="11"/>
      <c r="S5278" s="12"/>
      <c r="T5278" s="8"/>
      <c r="U5278" s="8"/>
      <c r="V5278" s="13"/>
      <c r="W5278" s="13"/>
      <c r="X5278" s="12"/>
      <c r="Y5278" s="14"/>
      <c r="Z5278" s="14"/>
    </row>
    <row r="5279">
      <c r="A5279" s="8"/>
      <c r="B5279" s="8"/>
      <c r="C5279" s="8"/>
      <c r="D5279" s="8"/>
      <c r="E5279" s="8"/>
      <c r="F5279" s="8"/>
      <c r="G5279" s="8"/>
      <c r="H5279" s="8"/>
      <c r="I5279" s="8"/>
      <c r="J5279" s="8"/>
      <c r="K5279" s="10"/>
      <c r="L5279" s="8"/>
      <c r="M5279" s="8"/>
      <c r="N5279" s="11"/>
      <c r="O5279" s="11"/>
      <c r="P5279" s="11"/>
      <c r="Q5279" s="11"/>
      <c r="R5279" s="11"/>
      <c r="S5279" s="12"/>
      <c r="T5279" s="8"/>
      <c r="U5279" s="8"/>
      <c r="V5279" s="13"/>
      <c r="W5279" s="13"/>
      <c r="X5279" s="12"/>
      <c r="Y5279" s="14"/>
      <c r="Z5279" s="14"/>
    </row>
    <row r="5280">
      <c r="A5280" s="8"/>
      <c r="B5280" s="8"/>
      <c r="C5280" s="8"/>
      <c r="D5280" s="8"/>
      <c r="E5280" s="8"/>
      <c r="F5280" s="8"/>
      <c r="G5280" s="8"/>
      <c r="H5280" s="8"/>
      <c r="I5280" s="8"/>
      <c r="J5280" s="8"/>
      <c r="K5280" s="10"/>
      <c r="L5280" s="8"/>
      <c r="M5280" s="8"/>
      <c r="N5280" s="11"/>
      <c r="O5280" s="11"/>
      <c r="P5280" s="11"/>
      <c r="Q5280" s="11"/>
      <c r="R5280" s="11"/>
      <c r="S5280" s="12"/>
      <c r="T5280" s="8"/>
      <c r="U5280" s="8"/>
      <c r="V5280" s="13"/>
      <c r="W5280" s="13"/>
      <c r="X5280" s="12"/>
      <c r="Y5280" s="14"/>
      <c r="Z5280" s="14"/>
    </row>
    <row r="5281">
      <c r="A5281" s="8"/>
      <c r="B5281" s="8"/>
      <c r="C5281" s="8"/>
      <c r="D5281" s="8"/>
      <c r="E5281" s="8"/>
      <c r="F5281" s="8"/>
      <c r="G5281" s="8"/>
      <c r="H5281" s="8"/>
      <c r="I5281" s="8"/>
      <c r="J5281" s="8"/>
      <c r="K5281" s="10"/>
      <c r="L5281" s="8"/>
      <c r="M5281" s="8"/>
      <c r="N5281" s="11"/>
      <c r="O5281" s="11"/>
      <c r="P5281" s="11"/>
      <c r="Q5281" s="11"/>
      <c r="R5281" s="11"/>
      <c r="S5281" s="12"/>
      <c r="T5281" s="8"/>
      <c r="U5281" s="8"/>
      <c r="V5281" s="13"/>
      <c r="W5281" s="13"/>
      <c r="X5281" s="12"/>
      <c r="Y5281" s="14"/>
      <c r="Z5281" s="14"/>
    </row>
    <row r="5282">
      <c r="A5282" s="8"/>
      <c r="B5282" s="8"/>
      <c r="C5282" s="8"/>
      <c r="D5282" s="8"/>
      <c r="E5282" s="8"/>
      <c r="F5282" s="8"/>
      <c r="G5282" s="8"/>
      <c r="H5282" s="8"/>
      <c r="I5282" s="8"/>
      <c r="J5282" s="8"/>
      <c r="K5282" s="10"/>
      <c r="L5282" s="8"/>
      <c r="M5282" s="8"/>
      <c r="N5282" s="11"/>
      <c r="O5282" s="11"/>
      <c r="P5282" s="11"/>
      <c r="Q5282" s="11"/>
      <c r="R5282" s="11"/>
      <c r="S5282" s="12"/>
      <c r="T5282" s="8"/>
      <c r="U5282" s="8"/>
      <c r="V5282" s="13"/>
      <c r="W5282" s="13"/>
      <c r="X5282" s="12"/>
      <c r="Y5282" s="14"/>
      <c r="Z5282" s="14"/>
    </row>
    <row r="5283">
      <c r="A5283" s="8"/>
      <c r="B5283" s="8"/>
      <c r="C5283" s="8"/>
      <c r="D5283" s="8"/>
      <c r="E5283" s="8"/>
      <c r="F5283" s="8"/>
      <c r="G5283" s="8"/>
      <c r="H5283" s="8"/>
      <c r="I5283" s="8"/>
      <c r="J5283" s="8"/>
      <c r="K5283" s="10"/>
      <c r="L5283" s="8"/>
      <c r="M5283" s="8"/>
      <c r="N5283" s="11"/>
      <c r="O5283" s="11"/>
      <c r="P5283" s="11"/>
      <c r="Q5283" s="11"/>
      <c r="R5283" s="11"/>
      <c r="S5283" s="12"/>
      <c r="T5283" s="8"/>
      <c r="U5283" s="8"/>
      <c r="V5283" s="13"/>
      <c r="W5283" s="13"/>
      <c r="X5283" s="12"/>
      <c r="Y5283" s="14"/>
      <c r="Z5283" s="14"/>
    </row>
    <row r="5284">
      <c r="A5284" s="8"/>
      <c r="B5284" s="8"/>
      <c r="C5284" s="8"/>
      <c r="D5284" s="8"/>
      <c r="E5284" s="8"/>
      <c r="F5284" s="8"/>
      <c r="G5284" s="8"/>
      <c r="H5284" s="8"/>
      <c r="I5284" s="8"/>
      <c r="J5284" s="8"/>
      <c r="K5284" s="10"/>
      <c r="L5284" s="8"/>
      <c r="M5284" s="8"/>
      <c r="N5284" s="11"/>
      <c r="O5284" s="11"/>
      <c r="P5284" s="11"/>
      <c r="Q5284" s="11"/>
      <c r="R5284" s="11"/>
      <c r="S5284" s="12"/>
      <c r="T5284" s="8"/>
      <c r="U5284" s="8"/>
      <c r="V5284" s="13"/>
      <c r="W5284" s="13"/>
      <c r="X5284" s="12"/>
      <c r="Y5284" s="14"/>
      <c r="Z5284" s="14"/>
    </row>
    <row r="5285">
      <c r="A5285" s="8"/>
      <c r="B5285" s="8"/>
      <c r="C5285" s="8"/>
      <c r="D5285" s="8"/>
      <c r="E5285" s="8"/>
      <c r="F5285" s="8"/>
      <c r="G5285" s="8"/>
      <c r="H5285" s="8"/>
      <c r="I5285" s="8"/>
      <c r="J5285" s="8"/>
      <c r="K5285" s="10"/>
      <c r="L5285" s="8"/>
      <c r="M5285" s="8"/>
      <c r="N5285" s="11"/>
      <c r="O5285" s="11"/>
      <c r="P5285" s="11"/>
      <c r="Q5285" s="11"/>
      <c r="R5285" s="11"/>
      <c r="S5285" s="12"/>
      <c r="T5285" s="8"/>
      <c r="U5285" s="8"/>
      <c r="V5285" s="13"/>
      <c r="W5285" s="13"/>
      <c r="X5285" s="12"/>
      <c r="Y5285" s="14"/>
      <c r="Z5285" s="14"/>
    </row>
    <row r="5286">
      <c r="A5286" s="8"/>
      <c r="B5286" s="8"/>
      <c r="C5286" s="8"/>
      <c r="D5286" s="8"/>
      <c r="E5286" s="8"/>
      <c r="F5286" s="8"/>
      <c r="G5286" s="8"/>
      <c r="H5286" s="8"/>
      <c r="I5286" s="8"/>
      <c r="J5286" s="8"/>
      <c r="K5286" s="10"/>
      <c r="L5286" s="8"/>
      <c r="M5286" s="8"/>
      <c r="N5286" s="11"/>
      <c r="O5286" s="11"/>
      <c r="P5286" s="11"/>
      <c r="Q5286" s="11"/>
      <c r="R5286" s="11"/>
      <c r="S5286" s="12"/>
      <c r="T5286" s="8"/>
      <c r="U5286" s="8"/>
      <c r="V5286" s="13"/>
      <c r="W5286" s="13"/>
      <c r="X5286" s="12"/>
      <c r="Y5286" s="14"/>
      <c r="Z5286" s="14"/>
    </row>
    <row r="5287">
      <c r="A5287" s="8"/>
      <c r="B5287" s="8"/>
      <c r="C5287" s="8"/>
      <c r="D5287" s="8"/>
      <c r="E5287" s="8"/>
      <c r="F5287" s="8"/>
      <c r="G5287" s="8"/>
      <c r="H5287" s="8"/>
      <c r="I5287" s="8"/>
      <c r="J5287" s="8"/>
      <c r="K5287" s="10"/>
      <c r="L5287" s="8"/>
      <c r="M5287" s="8"/>
      <c r="N5287" s="11"/>
      <c r="O5287" s="11"/>
      <c r="P5287" s="11"/>
      <c r="Q5287" s="11"/>
      <c r="R5287" s="11"/>
      <c r="S5287" s="12"/>
      <c r="T5287" s="8"/>
      <c r="U5287" s="8"/>
      <c r="V5287" s="13"/>
      <c r="W5287" s="13"/>
      <c r="X5287" s="12"/>
      <c r="Y5287" s="14"/>
      <c r="Z5287" s="14"/>
    </row>
    <row r="5288">
      <c r="A5288" s="8"/>
      <c r="B5288" s="8"/>
      <c r="C5288" s="8"/>
      <c r="D5288" s="8"/>
      <c r="E5288" s="8"/>
      <c r="F5288" s="8"/>
      <c r="G5288" s="8"/>
      <c r="H5288" s="8"/>
      <c r="I5288" s="8"/>
      <c r="J5288" s="8"/>
      <c r="K5288" s="10"/>
      <c r="L5288" s="8"/>
      <c r="M5288" s="8"/>
      <c r="N5288" s="11"/>
      <c r="O5288" s="11"/>
      <c r="P5288" s="11"/>
      <c r="Q5288" s="11"/>
      <c r="R5288" s="11"/>
      <c r="S5288" s="12"/>
      <c r="T5288" s="8"/>
      <c r="U5288" s="8"/>
      <c r="V5288" s="13"/>
      <c r="W5288" s="13"/>
      <c r="X5288" s="12"/>
      <c r="Y5288" s="14"/>
      <c r="Z5288" s="14"/>
    </row>
    <row r="5289">
      <c r="A5289" s="8"/>
      <c r="B5289" s="8"/>
      <c r="C5289" s="8"/>
      <c r="D5289" s="8"/>
      <c r="E5289" s="8"/>
      <c r="F5289" s="8"/>
      <c r="G5289" s="8"/>
      <c r="H5289" s="8"/>
      <c r="I5289" s="8"/>
      <c r="J5289" s="8"/>
      <c r="K5289" s="10"/>
      <c r="L5289" s="8"/>
      <c r="M5289" s="8"/>
      <c r="N5289" s="11"/>
      <c r="O5289" s="11"/>
      <c r="P5289" s="11"/>
      <c r="Q5289" s="11"/>
      <c r="R5289" s="11"/>
      <c r="S5289" s="12"/>
      <c r="T5289" s="8"/>
      <c r="U5289" s="8"/>
      <c r="V5289" s="13"/>
      <c r="W5289" s="13"/>
      <c r="X5289" s="12"/>
      <c r="Y5289" s="14"/>
      <c r="Z5289" s="14"/>
    </row>
    <row r="5290">
      <c r="A5290" s="8"/>
      <c r="B5290" s="8"/>
      <c r="C5290" s="8"/>
      <c r="D5290" s="8"/>
      <c r="E5290" s="8"/>
      <c r="F5290" s="8"/>
      <c r="G5290" s="8"/>
      <c r="H5290" s="8"/>
      <c r="I5290" s="8"/>
      <c r="J5290" s="8"/>
      <c r="K5290" s="10"/>
      <c r="L5290" s="8"/>
      <c r="M5290" s="8"/>
      <c r="N5290" s="11"/>
      <c r="O5290" s="11"/>
      <c r="P5290" s="11"/>
      <c r="Q5290" s="11"/>
      <c r="R5290" s="11"/>
      <c r="S5290" s="12"/>
      <c r="T5290" s="8"/>
      <c r="U5290" s="8"/>
      <c r="V5290" s="13"/>
      <c r="W5290" s="13"/>
      <c r="X5290" s="12"/>
      <c r="Y5290" s="14"/>
      <c r="Z5290" s="14"/>
    </row>
    <row r="5291">
      <c r="A5291" s="8"/>
      <c r="B5291" s="8"/>
      <c r="C5291" s="8"/>
      <c r="D5291" s="8"/>
      <c r="E5291" s="8"/>
      <c r="F5291" s="8"/>
      <c r="G5291" s="8"/>
      <c r="H5291" s="8"/>
      <c r="I5291" s="8"/>
      <c r="J5291" s="8"/>
      <c r="K5291" s="10"/>
      <c r="L5291" s="8"/>
      <c r="M5291" s="8"/>
      <c r="N5291" s="11"/>
      <c r="O5291" s="11"/>
      <c r="P5291" s="11"/>
      <c r="Q5291" s="11"/>
      <c r="R5291" s="11"/>
      <c r="S5291" s="12"/>
      <c r="T5291" s="8"/>
      <c r="U5291" s="8"/>
      <c r="V5291" s="13"/>
      <c r="W5291" s="13"/>
      <c r="X5291" s="12"/>
      <c r="Y5291" s="14"/>
      <c r="Z5291" s="14"/>
    </row>
    <row r="5292">
      <c r="A5292" s="8"/>
      <c r="B5292" s="8"/>
      <c r="C5292" s="8"/>
      <c r="D5292" s="8"/>
      <c r="E5292" s="8"/>
      <c r="F5292" s="8"/>
      <c r="G5292" s="8"/>
      <c r="H5292" s="8"/>
      <c r="I5292" s="8"/>
      <c r="J5292" s="8"/>
      <c r="K5292" s="10"/>
      <c r="L5292" s="8"/>
      <c r="M5292" s="8"/>
      <c r="N5292" s="11"/>
      <c r="O5292" s="11"/>
      <c r="P5292" s="11"/>
      <c r="Q5292" s="11"/>
      <c r="R5292" s="11"/>
      <c r="S5292" s="12"/>
      <c r="T5292" s="8"/>
      <c r="U5292" s="8"/>
      <c r="V5292" s="13"/>
      <c r="W5292" s="13"/>
      <c r="X5292" s="12"/>
      <c r="Y5292" s="14"/>
      <c r="Z5292" s="14"/>
    </row>
    <row r="5293">
      <c r="A5293" s="8"/>
      <c r="B5293" s="8"/>
      <c r="C5293" s="8"/>
      <c r="D5293" s="8"/>
      <c r="E5293" s="8"/>
      <c r="F5293" s="8"/>
      <c r="G5293" s="8"/>
      <c r="H5293" s="8"/>
      <c r="I5293" s="8"/>
      <c r="J5293" s="8"/>
      <c r="K5293" s="10"/>
      <c r="L5293" s="8"/>
      <c r="M5293" s="8"/>
      <c r="N5293" s="11"/>
      <c r="O5293" s="11"/>
      <c r="P5293" s="11"/>
      <c r="Q5293" s="11"/>
      <c r="R5293" s="11"/>
      <c r="S5293" s="12"/>
      <c r="T5293" s="8"/>
      <c r="U5293" s="8"/>
      <c r="V5293" s="13"/>
      <c r="W5293" s="13"/>
      <c r="X5293" s="12"/>
      <c r="Y5293" s="14"/>
      <c r="Z5293" s="14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  <hyperlink r:id="rId319" ref="K320"/>
    <hyperlink r:id="rId320" ref="K321"/>
    <hyperlink r:id="rId321" ref="K322"/>
    <hyperlink r:id="rId322" ref="K323"/>
    <hyperlink r:id="rId323" ref="K324"/>
    <hyperlink r:id="rId324" ref="K325"/>
    <hyperlink r:id="rId325" ref="K326"/>
    <hyperlink r:id="rId326" ref="K327"/>
    <hyperlink r:id="rId327" ref="K328"/>
    <hyperlink r:id="rId328" ref="K329"/>
    <hyperlink r:id="rId329" ref="K330"/>
    <hyperlink r:id="rId330" ref="K331"/>
    <hyperlink r:id="rId331" ref="K332"/>
    <hyperlink r:id="rId332" ref="K333"/>
    <hyperlink r:id="rId333" ref="K334"/>
    <hyperlink r:id="rId334" ref="K335"/>
    <hyperlink r:id="rId335" ref="K336"/>
    <hyperlink r:id="rId336" ref="K337"/>
    <hyperlink r:id="rId337" ref="K338"/>
    <hyperlink r:id="rId338" ref="K339"/>
    <hyperlink r:id="rId339" ref="K340"/>
    <hyperlink r:id="rId340" ref="K341"/>
    <hyperlink r:id="rId341" ref="K342"/>
    <hyperlink r:id="rId342" ref="K343"/>
    <hyperlink r:id="rId343" ref="K344"/>
    <hyperlink r:id="rId344" ref="K345"/>
    <hyperlink r:id="rId345" ref="K346"/>
    <hyperlink r:id="rId346" ref="K347"/>
    <hyperlink r:id="rId347" ref="K348"/>
    <hyperlink r:id="rId348" ref="K349"/>
    <hyperlink r:id="rId349" ref="K350"/>
    <hyperlink r:id="rId350" ref="K351"/>
    <hyperlink r:id="rId351" ref="K352"/>
    <hyperlink r:id="rId352" ref="K353"/>
    <hyperlink r:id="rId353" ref="K354"/>
    <hyperlink r:id="rId354" ref="K355"/>
    <hyperlink r:id="rId355" ref="K356"/>
    <hyperlink r:id="rId356" ref="K357"/>
    <hyperlink r:id="rId357" ref="K358"/>
    <hyperlink r:id="rId358" ref="K359"/>
    <hyperlink r:id="rId359" ref="K360"/>
    <hyperlink r:id="rId360" ref="K361"/>
    <hyperlink r:id="rId361" ref="K362"/>
    <hyperlink r:id="rId362" ref="K363"/>
    <hyperlink r:id="rId363" ref="K364"/>
    <hyperlink r:id="rId364" ref="K365"/>
    <hyperlink r:id="rId365" ref="K366"/>
    <hyperlink r:id="rId366" ref="K367"/>
    <hyperlink r:id="rId367" ref="K368"/>
    <hyperlink r:id="rId368" ref="K369"/>
    <hyperlink r:id="rId369" ref="K370"/>
    <hyperlink r:id="rId370" ref="K371"/>
    <hyperlink r:id="rId371" ref="K372"/>
    <hyperlink r:id="rId372" ref="K373"/>
    <hyperlink r:id="rId373" ref="K374"/>
    <hyperlink r:id="rId374" ref="K375"/>
    <hyperlink r:id="rId375" ref="K376"/>
    <hyperlink r:id="rId376" ref="K377"/>
    <hyperlink r:id="rId377" ref="K378"/>
    <hyperlink r:id="rId378" ref="K379"/>
    <hyperlink r:id="rId379" ref="K380"/>
    <hyperlink r:id="rId380" ref="K381"/>
    <hyperlink r:id="rId381" ref="K382"/>
    <hyperlink r:id="rId382" ref="K383"/>
    <hyperlink r:id="rId383" ref="K384"/>
    <hyperlink r:id="rId384" ref="K385"/>
    <hyperlink r:id="rId385" ref="K386"/>
    <hyperlink r:id="rId386" ref="K387"/>
    <hyperlink r:id="rId387" ref="K388"/>
    <hyperlink r:id="rId388" ref="K389"/>
    <hyperlink r:id="rId389" ref="K390"/>
    <hyperlink r:id="rId390" ref="K391"/>
    <hyperlink r:id="rId391" ref="K392"/>
    <hyperlink r:id="rId392" ref="K393"/>
    <hyperlink r:id="rId393" ref="K394"/>
    <hyperlink r:id="rId394" ref="K395"/>
    <hyperlink r:id="rId395" ref="K396"/>
    <hyperlink r:id="rId396" ref="K397"/>
    <hyperlink r:id="rId397" ref="K398"/>
    <hyperlink r:id="rId398" ref="K399"/>
    <hyperlink r:id="rId399" ref="K400"/>
    <hyperlink r:id="rId400" ref="K401"/>
    <hyperlink r:id="rId401" ref="K402"/>
    <hyperlink r:id="rId402" ref="K403"/>
    <hyperlink r:id="rId403" ref="K404"/>
    <hyperlink r:id="rId404" ref="K405"/>
    <hyperlink r:id="rId405" ref="K406"/>
    <hyperlink r:id="rId406" ref="K407"/>
    <hyperlink r:id="rId407" ref="K408"/>
    <hyperlink r:id="rId408" ref="K409"/>
    <hyperlink r:id="rId409" ref="K410"/>
    <hyperlink r:id="rId410" ref="K411"/>
    <hyperlink r:id="rId411" ref="K412"/>
    <hyperlink r:id="rId412" ref="K413"/>
    <hyperlink r:id="rId413" ref="K414"/>
    <hyperlink r:id="rId414" ref="K415"/>
    <hyperlink r:id="rId415" ref="K416"/>
    <hyperlink r:id="rId416" ref="K417"/>
    <hyperlink r:id="rId417" ref="K418"/>
    <hyperlink r:id="rId418" ref="K419"/>
    <hyperlink r:id="rId419" ref="K420"/>
    <hyperlink r:id="rId420" ref="K421"/>
    <hyperlink r:id="rId421" ref="K422"/>
    <hyperlink r:id="rId422" ref="K423"/>
    <hyperlink r:id="rId423" ref="K424"/>
    <hyperlink r:id="rId424" ref="K425"/>
    <hyperlink r:id="rId425" ref="K426"/>
    <hyperlink r:id="rId426" ref="K427"/>
    <hyperlink r:id="rId427" ref="K428"/>
    <hyperlink r:id="rId428" ref="K429"/>
    <hyperlink r:id="rId429" ref="K430"/>
    <hyperlink r:id="rId430" ref="K431"/>
    <hyperlink r:id="rId431" ref="K432"/>
    <hyperlink r:id="rId432" ref="K433"/>
    <hyperlink r:id="rId433" ref="K434"/>
    <hyperlink r:id="rId434" ref="K435"/>
    <hyperlink r:id="rId435" ref="K436"/>
    <hyperlink r:id="rId436" ref="K437"/>
    <hyperlink r:id="rId437" ref="K438"/>
    <hyperlink r:id="rId438" ref="K439"/>
    <hyperlink r:id="rId439" ref="K440"/>
    <hyperlink r:id="rId440" ref="K441"/>
    <hyperlink r:id="rId441" ref="K442"/>
    <hyperlink r:id="rId442" ref="K443"/>
    <hyperlink r:id="rId443" ref="K444"/>
    <hyperlink r:id="rId444" ref="K445"/>
    <hyperlink r:id="rId445" ref="K446"/>
    <hyperlink r:id="rId446" ref="K447"/>
    <hyperlink r:id="rId447" ref="K448"/>
    <hyperlink r:id="rId448" ref="K449"/>
    <hyperlink r:id="rId449" ref="K450"/>
    <hyperlink r:id="rId450" ref="K451"/>
    <hyperlink r:id="rId451" ref="K452"/>
    <hyperlink r:id="rId452" ref="K453"/>
    <hyperlink r:id="rId453" ref="K454"/>
    <hyperlink r:id="rId454" ref="K455"/>
    <hyperlink r:id="rId455" ref="K456"/>
    <hyperlink r:id="rId456" ref="K457"/>
    <hyperlink r:id="rId457" ref="K458"/>
    <hyperlink r:id="rId458" ref="K459"/>
    <hyperlink r:id="rId459" ref="K460"/>
    <hyperlink r:id="rId460" ref="K461"/>
    <hyperlink r:id="rId461" ref="K462"/>
    <hyperlink r:id="rId462" ref="K463"/>
    <hyperlink r:id="rId463" ref="K464"/>
    <hyperlink r:id="rId464" ref="K465"/>
    <hyperlink r:id="rId465" ref="K466"/>
    <hyperlink r:id="rId466" ref="K467"/>
    <hyperlink r:id="rId467" ref="K468"/>
    <hyperlink r:id="rId468" ref="K469"/>
    <hyperlink r:id="rId469" ref="K470"/>
    <hyperlink r:id="rId470" ref="K471"/>
    <hyperlink r:id="rId471" ref="K472"/>
    <hyperlink r:id="rId472" ref="K473"/>
    <hyperlink r:id="rId473" ref="K474"/>
    <hyperlink r:id="rId474" ref="K475"/>
    <hyperlink r:id="rId475" ref="K476"/>
    <hyperlink r:id="rId476" ref="K477"/>
    <hyperlink r:id="rId477" ref="K478"/>
    <hyperlink r:id="rId478" ref="K479"/>
    <hyperlink r:id="rId479" ref="K480"/>
    <hyperlink r:id="rId480" ref="K481"/>
    <hyperlink r:id="rId481" ref="K482"/>
    <hyperlink r:id="rId482" ref="K483"/>
    <hyperlink r:id="rId483" ref="K484"/>
    <hyperlink r:id="rId484" ref="K485"/>
    <hyperlink r:id="rId485" ref="K486"/>
    <hyperlink r:id="rId486" ref="K487"/>
    <hyperlink r:id="rId487" ref="K488"/>
    <hyperlink r:id="rId488" ref="K489"/>
    <hyperlink r:id="rId489" ref="K490"/>
    <hyperlink r:id="rId490" ref="K491"/>
    <hyperlink r:id="rId491" ref="K492"/>
    <hyperlink r:id="rId492" ref="K493"/>
    <hyperlink r:id="rId493" ref="K494"/>
    <hyperlink r:id="rId494" ref="K495"/>
    <hyperlink r:id="rId495" ref="K496"/>
    <hyperlink r:id="rId496" ref="K497"/>
    <hyperlink r:id="rId497" ref="K498"/>
    <hyperlink r:id="rId498" ref="K499"/>
    <hyperlink r:id="rId499" ref="K500"/>
    <hyperlink r:id="rId500" ref="K501"/>
    <hyperlink r:id="rId501" ref="K502"/>
    <hyperlink r:id="rId502" ref="K503"/>
    <hyperlink r:id="rId503" ref="K504"/>
    <hyperlink r:id="rId504" ref="K505"/>
    <hyperlink r:id="rId505" ref="K506"/>
    <hyperlink r:id="rId506" ref="K507"/>
    <hyperlink r:id="rId507" ref="K508"/>
    <hyperlink r:id="rId508" ref="K509"/>
    <hyperlink r:id="rId509" ref="K510"/>
    <hyperlink r:id="rId510" ref="K511"/>
    <hyperlink r:id="rId511" ref="K512"/>
    <hyperlink r:id="rId512" ref="K513"/>
    <hyperlink r:id="rId513" ref="K514"/>
    <hyperlink r:id="rId514" ref="K515"/>
    <hyperlink r:id="rId515" ref="K516"/>
    <hyperlink r:id="rId516" ref="K517"/>
    <hyperlink r:id="rId517" ref="K518"/>
    <hyperlink r:id="rId518" ref="K519"/>
    <hyperlink r:id="rId519" ref="K520"/>
    <hyperlink r:id="rId520" ref="K521"/>
    <hyperlink r:id="rId521" ref="K522"/>
    <hyperlink r:id="rId522" ref="K523"/>
    <hyperlink r:id="rId523" ref="K524"/>
    <hyperlink r:id="rId524" ref="K525"/>
    <hyperlink r:id="rId525" ref="K526"/>
    <hyperlink r:id="rId526" ref="K527"/>
    <hyperlink r:id="rId527" ref="K528"/>
    <hyperlink r:id="rId528" ref="K529"/>
    <hyperlink r:id="rId529" ref="K530"/>
    <hyperlink r:id="rId530" ref="K531"/>
    <hyperlink r:id="rId531" ref="K532"/>
    <hyperlink r:id="rId532" ref="K533"/>
    <hyperlink r:id="rId533" ref="K534"/>
    <hyperlink r:id="rId534" ref="K535"/>
    <hyperlink r:id="rId535" ref="K536"/>
    <hyperlink r:id="rId536" ref="K537"/>
    <hyperlink r:id="rId537" ref="K538"/>
    <hyperlink r:id="rId538" ref="K539"/>
    <hyperlink r:id="rId539" ref="K540"/>
    <hyperlink r:id="rId540" ref="K541"/>
    <hyperlink r:id="rId541" ref="K542"/>
    <hyperlink r:id="rId542" ref="K543"/>
    <hyperlink r:id="rId543" ref="K544"/>
    <hyperlink r:id="rId544" ref="K545"/>
    <hyperlink r:id="rId545" ref="K546"/>
    <hyperlink r:id="rId546" ref="K547"/>
    <hyperlink r:id="rId547" ref="K548"/>
    <hyperlink r:id="rId548" ref="K549"/>
    <hyperlink r:id="rId549" ref="K550"/>
    <hyperlink r:id="rId550" ref="K551"/>
    <hyperlink r:id="rId551" ref="K552"/>
    <hyperlink r:id="rId552" ref="K553"/>
    <hyperlink r:id="rId553" ref="K554"/>
    <hyperlink r:id="rId554" ref="K555"/>
    <hyperlink r:id="rId555" ref="K556"/>
    <hyperlink r:id="rId556" ref="K557"/>
    <hyperlink r:id="rId557" ref="K558"/>
    <hyperlink r:id="rId558" ref="K559"/>
    <hyperlink r:id="rId559" ref="K560"/>
    <hyperlink r:id="rId560" ref="K561"/>
    <hyperlink r:id="rId561" ref="K562"/>
    <hyperlink r:id="rId562" ref="K563"/>
    <hyperlink r:id="rId563" ref="K564"/>
    <hyperlink r:id="rId564" ref="K565"/>
    <hyperlink r:id="rId565" ref="K566"/>
    <hyperlink r:id="rId566" ref="K567"/>
    <hyperlink r:id="rId567" ref="K568"/>
    <hyperlink r:id="rId568" ref="K569"/>
    <hyperlink r:id="rId569" ref="K570"/>
    <hyperlink r:id="rId570" ref="K571"/>
    <hyperlink r:id="rId571" ref="K572"/>
    <hyperlink r:id="rId572" ref="K573"/>
    <hyperlink r:id="rId573" ref="K574"/>
    <hyperlink r:id="rId574" ref="K575"/>
    <hyperlink r:id="rId575" ref="K576"/>
    <hyperlink r:id="rId576" ref="K577"/>
    <hyperlink r:id="rId577" ref="K578"/>
    <hyperlink r:id="rId578" ref="K579"/>
    <hyperlink r:id="rId579" ref="K580"/>
    <hyperlink r:id="rId580" ref="K581"/>
    <hyperlink r:id="rId581" ref="K582"/>
    <hyperlink r:id="rId582" ref="K583"/>
    <hyperlink r:id="rId583" ref="K584"/>
    <hyperlink r:id="rId584" ref="K585"/>
    <hyperlink r:id="rId585" ref="K586"/>
    <hyperlink r:id="rId586" ref="K587"/>
    <hyperlink r:id="rId587" ref="K588"/>
    <hyperlink r:id="rId588" ref="K589"/>
    <hyperlink r:id="rId589" ref="K590"/>
    <hyperlink r:id="rId590" ref="K591"/>
    <hyperlink r:id="rId591" ref="K592"/>
    <hyperlink r:id="rId592" ref="K593"/>
    <hyperlink r:id="rId593" ref="K594"/>
    <hyperlink r:id="rId594" ref="K595"/>
    <hyperlink r:id="rId595" ref="K596"/>
    <hyperlink r:id="rId596" ref="K597"/>
    <hyperlink r:id="rId597" ref="K598"/>
    <hyperlink r:id="rId598" ref="K599"/>
    <hyperlink r:id="rId599" ref="K600"/>
    <hyperlink r:id="rId600" ref="K601"/>
    <hyperlink r:id="rId601" ref="K602"/>
    <hyperlink r:id="rId602" ref="K603"/>
    <hyperlink r:id="rId603" ref="K604"/>
    <hyperlink r:id="rId604" ref="K605"/>
    <hyperlink r:id="rId605" ref="K606"/>
    <hyperlink r:id="rId606" ref="K607"/>
    <hyperlink r:id="rId607" ref="K608"/>
    <hyperlink r:id="rId608" ref="K609"/>
    <hyperlink r:id="rId609" ref="K610"/>
    <hyperlink r:id="rId610" ref="K611"/>
    <hyperlink r:id="rId611" ref="K612"/>
    <hyperlink r:id="rId612" ref="K613"/>
    <hyperlink r:id="rId613" ref="K614"/>
    <hyperlink r:id="rId614" ref="K615"/>
    <hyperlink r:id="rId615" ref="K616"/>
    <hyperlink r:id="rId616" ref="K617"/>
    <hyperlink r:id="rId617" ref="K618"/>
    <hyperlink r:id="rId618" ref="K619"/>
    <hyperlink r:id="rId619" ref="K620"/>
    <hyperlink r:id="rId620" ref="K621"/>
    <hyperlink r:id="rId621" ref="K622"/>
    <hyperlink r:id="rId622" ref="K623"/>
    <hyperlink r:id="rId623" ref="K624"/>
    <hyperlink r:id="rId624" ref="K625"/>
    <hyperlink r:id="rId625" ref="K626"/>
    <hyperlink r:id="rId626" ref="K627"/>
    <hyperlink r:id="rId627" ref="K628"/>
    <hyperlink r:id="rId628" ref="K629"/>
    <hyperlink r:id="rId629" ref="K630"/>
    <hyperlink r:id="rId630" ref="K631"/>
    <hyperlink r:id="rId631" ref="K632"/>
    <hyperlink r:id="rId632" ref="K633"/>
    <hyperlink r:id="rId633" ref="K634"/>
    <hyperlink r:id="rId634" ref="K635"/>
    <hyperlink r:id="rId635" ref="K636"/>
    <hyperlink r:id="rId636" ref="K637"/>
    <hyperlink r:id="rId637" ref="K638"/>
    <hyperlink r:id="rId638" ref="K639"/>
    <hyperlink r:id="rId639" ref="K640"/>
    <hyperlink r:id="rId640" ref="K641"/>
    <hyperlink r:id="rId641" ref="K642"/>
    <hyperlink r:id="rId642" ref="K643"/>
    <hyperlink r:id="rId643" ref="K644"/>
    <hyperlink r:id="rId644" ref="K645"/>
    <hyperlink r:id="rId645" ref="K646"/>
    <hyperlink r:id="rId646" ref="K647"/>
    <hyperlink r:id="rId647" ref="K648"/>
    <hyperlink r:id="rId648" ref="K649"/>
    <hyperlink r:id="rId649" ref="K650"/>
    <hyperlink r:id="rId650" ref="K651"/>
    <hyperlink r:id="rId651" ref="K652"/>
    <hyperlink r:id="rId652" ref="K653"/>
    <hyperlink r:id="rId653" ref="K654"/>
    <hyperlink r:id="rId654" ref="K655"/>
    <hyperlink r:id="rId655" ref="K656"/>
    <hyperlink r:id="rId656" ref="K657"/>
    <hyperlink r:id="rId657" ref="K658"/>
    <hyperlink r:id="rId658" ref="K659"/>
    <hyperlink r:id="rId659" ref="K660"/>
    <hyperlink r:id="rId660" ref="K661"/>
    <hyperlink r:id="rId661" ref="K662"/>
    <hyperlink r:id="rId662" ref="K663"/>
    <hyperlink r:id="rId663" ref="K664"/>
    <hyperlink r:id="rId664" ref="K665"/>
    <hyperlink r:id="rId665" ref="K666"/>
    <hyperlink r:id="rId666" ref="K667"/>
    <hyperlink r:id="rId667" ref="K668"/>
    <hyperlink r:id="rId668" ref="K669"/>
    <hyperlink r:id="rId669" ref="K670"/>
    <hyperlink r:id="rId670" ref="K671"/>
    <hyperlink r:id="rId671" ref="K672"/>
    <hyperlink r:id="rId672" ref="K673"/>
    <hyperlink r:id="rId673" ref="K674"/>
    <hyperlink r:id="rId674" ref="K675"/>
    <hyperlink r:id="rId675" ref="K676"/>
    <hyperlink r:id="rId676" ref="K677"/>
    <hyperlink r:id="rId677" ref="K678"/>
    <hyperlink r:id="rId678" ref="K679"/>
    <hyperlink r:id="rId679" ref="K680"/>
    <hyperlink r:id="rId680" ref="K681"/>
    <hyperlink r:id="rId681" ref="K682"/>
    <hyperlink r:id="rId682" ref="K683"/>
    <hyperlink r:id="rId683" ref="K684"/>
    <hyperlink r:id="rId684" ref="K685"/>
    <hyperlink r:id="rId685" ref="K686"/>
    <hyperlink r:id="rId686" ref="K687"/>
    <hyperlink r:id="rId687" ref="K688"/>
    <hyperlink r:id="rId688" ref="K689"/>
    <hyperlink r:id="rId689" ref="K690"/>
    <hyperlink r:id="rId690" ref="K691"/>
    <hyperlink r:id="rId691" ref="K692"/>
    <hyperlink r:id="rId692" ref="K693"/>
    <hyperlink r:id="rId693" ref="K694"/>
    <hyperlink r:id="rId694" ref="K695"/>
    <hyperlink r:id="rId695" ref="K696"/>
    <hyperlink r:id="rId696" ref="K697"/>
    <hyperlink r:id="rId697" ref="K698"/>
    <hyperlink r:id="rId698" ref="K699"/>
    <hyperlink r:id="rId699" ref="K700"/>
    <hyperlink r:id="rId700" ref="K701"/>
    <hyperlink r:id="rId701" ref="K702"/>
    <hyperlink r:id="rId702" ref="K703"/>
    <hyperlink r:id="rId703" ref="K704"/>
    <hyperlink r:id="rId704" ref="K705"/>
    <hyperlink r:id="rId705" ref="K706"/>
    <hyperlink r:id="rId706" ref="K707"/>
    <hyperlink r:id="rId707" ref="K708"/>
    <hyperlink r:id="rId708" ref="K709"/>
    <hyperlink r:id="rId709" ref="K710"/>
    <hyperlink r:id="rId710" ref="K711"/>
    <hyperlink r:id="rId711" ref="K712"/>
    <hyperlink r:id="rId712" ref="K713"/>
    <hyperlink r:id="rId713" ref="K714"/>
    <hyperlink r:id="rId714" ref="K715"/>
    <hyperlink r:id="rId715" ref="K716"/>
    <hyperlink r:id="rId716" ref="K717"/>
    <hyperlink r:id="rId717" ref="K718"/>
    <hyperlink r:id="rId718" ref="K719"/>
    <hyperlink r:id="rId719" ref="K720"/>
    <hyperlink r:id="rId720" ref="K721"/>
    <hyperlink r:id="rId721" ref="K722"/>
    <hyperlink r:id="rId722" ref="K723"/>
    <hyperlink r:id="rId723" ref="K724"/>
    <hyperlink r:id="rId724" ref="K725"/>
    <hyperlink r:id="rId725" ref="K726"/>
    <hyperlink r:id="rId726" ref="K727"/>
    <hyperlink r:id="rId727" ref="K728"/>
    <hyperlink r:id="rId728" ref="K729"/>
    <hyperlink r:id="rId729" ref="K730"/>
    <hyperlink r:id="rId730" ref="K731"/>
    <hyperlink r:id="rId731" ref="K732"/>
    <hyperlink r:id="rId732" ref="K733"/>
    <hyperlink r:id="rId733" ref="K734"/>
    <hyperlink r:id="rId734" ref="K735"/>
    <hyperlink r:id="rId735" ref="K736"/>
    <hyperlink r:id="rId736" ref="K737"/>
    <hyperlink r:id="rId737" ref="K738"/>
    <hyperlink r:id="rId738" ref="K739"/>
    <hyperlink r:id="rId739" ref="K740"/>
    <hyperlink r:id="rId740" ref="K741"/>
    <hyperlink r:id="rId741" ref="K742"/>
    <hyperlink r:id="rId742" ref="K743"/>
    <hyperlink r:id="rId743" ref="K744"/>
    <hyperlink r:id="rId744" ref="K745"/>
    <hyperlink r:id="rId745" ref="K746"/>
    <hyperlink r:id="rId746" ref="K747"/>
    <hyperlink r:id="rId747" ref="K748"/>
    <hyperlink r:id="rId748" ref="K749"/>
    <hyperlink r:id="rId749" ref="K750"/>
    <hyperlink r:id="rId750" ref="K751"/>
    <hyperlink r:id="rId751" ref="K752"/>
    <hyperlink r:id="rId752" ref="K753"/>
    <hyperlink r:id="rId753" ref="K754"/>
    <hyperlink r:id="rId754" ref="K755"/>
    <hyperlink r:id="rId755" ref="K756"/>
    <hyperlink r:id="rId756" ref="K757"/>
    <hyperlink r:id="rId757" ref="K758"/>
    <hyperlink r:id="rId758" ref="K759"/>
    <hyperlink r:id="rId759" ref="K760"/>
    <hyperlink r:id="rId760" ref="K761"/>
    <hyperlink r:id="rId761" ref="K762"/>
    <hyperlink r:id="rId762" ref="K763"/>
    <hyperlink r:id="rId763" ref="K764"/>
    <hyperlink r:id="rId764" ref="K765"/>
    <hyperlink r:id="rId765" ref="K766"/>
    <hyperlink r:id="rId766" ref="K767"/>
    <hyperlink r:id="rId767" ref="K768"/>
    <hyperlink r:id="rId768" ref="K769"/>
    <hyperlink r:id="rId769" ref="K770"/>
    <hyperlink r:id="rId770" ref="K771"/>
    <hyperlink r:id="rId771" ref="K772"/>
    <hyperlink r:id="rId772" ref="K773"/>
    <hyperlink r:id="rId773" ref="K774"/>
    <hyperlink r:id="rId774" ref="K775"/>
    <hyperlink r:id="rId775" ref="K776"/>
    <hyperlink r:id="rId776" ref="K777"/>
    <hyperlink r:id="rId777" ref="K778"/>
    <hyperlink r:id="rId778" ref="K779"/>
    <hyperlink r:id="rId779" ref="K780"/>
    <hyperlink r:id="rId780" ref="K781"/>
    <hyperlink r:id="rId781" ref="K782"/>
    <hyperlink r:id="rId782" ref="K783"/>
    <hyperlink r:id="rId783" ref="K784"/>
    <hyperlink r:id="rId784" ref="K785"/>
    <hyperlink r:id="rId785" ref="K786"/>
    <hyperlink r:id="rId786" ref="K787"/>
    <hyperlink r:id="rId787" ref="K788"/>
    <hyperlink r:id="rId788" ref="K789"/>
    <hyperlink r:id="rId789" ref="K790"/>
    <hyperlink r:id="rId790" ref="K791"/>
    <hyperlink r:id="rId791" ref="K792"/>
    <hyperlink r:id="rId792" ref="K793"/>
    <hyperlink r:id="rId793" ref="K794"/>
    <hyperlink r:id="rId794" ref="K795"/>
    <hyperlink r:id="rId795" ref="K796"/>
    <hyperlink r:id="rId796" ref="K797"/>
    <hyperlink r:id="rId797" ref="K798"/>
    <hyperlink r:id="rId798" ref="K799"/>
    <hyperlink r:id="rId799" ref="K800"/>
    <hyperlink r:id="rId800" ref="K801"/>
    <hyperlink r:id="rId801" ref="K802"/>
    <hyperlink r:id="rId802" ref="K803"/>
    <hyperlink r:id="rId803" ref="K804"/>
    <hyperlink r:id="rId804" ref="K805"/>
    <hyperlink r:id="rId805" ref="K806"/>
    <hyperlink r:id="rId806" ref="K807"/>
    <hyperlink r:id="rId807" ref="K808"/>
    <hyperlink r:id="rId808" ref="K809"/>
    <hyperlink r:id="rId809" ref="K810"/>
    <hyperlink r:id="rId810" ref="K811"/>
    <hyperlink r:id="rId811" ref="K812"/>
    <hyperlink r:id="rId812" ref="K813"/>
    <hyperlink r:id="rId813" ref="K814"/>
    <hyperlink r:id="rId814" ref="K815"/>
    <hyperlink r:id="rId815" ref="K816"/>
    <hyperlink r:id="rId816" ref="K817"/>
    <hyperlink r:id="rId817" ref="K818"/>
    <hyperlink r:id="rId818" ref="K819"/>
    <hyperlink r:id="rId819" ref="K820"/>
    <hyperlink r:id="rId820" ref="K821"/>
    <hyperlink r:id="rId821" ref="K822"/>
    <hyperlink r:id="rId822" ref="K823"/>
    <hyperlink r:id="rId823" ref="K824"/>
    <hyperlink r:id="rId824" ref="K825"/>
    <hyperlink r:id="rId825" ref="K826"/>
    <hyperlink r:id="rId826" ref="K827"/>
    <hyperlink r:id="rId827" ref="K828"/>
    <hyperlink r:id="rId828" ref="K829"/>
    <hyperlink r:id="rId829" ref="K830"/>
    <hyperlink r:id="rId830" ref="K831"/>
    <hyperlink r:id="rId831" ref="K832"/>
    <hyperlink r:id="rId832" ref="K833"/>
    <hyperlink r:id="rId833" ref="K834"/>
    <hyperlink r:id="rId834" ref="K835"/>
    <hyperlink r:id="rId835" ref="K836"/>
    <hyperlink r:id="rId836" ref="K837"/>
    <hyperlink r:id="rId837" ref="K838"/>
    <hyperlink r:id="rId838" ref="K839"/>
    <hyperlink r:id="rId839" ref="K840"/>
    <hyperlink r:id="rId840" ref="K841"/>
    <hyperlink r:id="rId841" ref="K842"/>
    <hyperlink r:id="rId842" ref="K843"/>
    <hyperlink r:id="rId843" ref="K844"/>
    <hyperlink r:id="rId844" ref="K845"/>
    <hyperlink r:id="rId845" ref="K846"/>
    <hyperlink r:id="rId846" ref="K847"/>
    <hyperlink r:id="rId847" ref="K848"/>
    <hyperlink r:id="rId848" ref="K849"/>
    <hyperlink r:id="rId849" ref="K850"/>
    <hyperlink r:id="rId850" ref="K851"/>
    <hyperlink r:id="rId851" ref="K852"/>
    <hyperlink r:id="rId852" ref="K853"/>
    <hyperlink r:id="rId853" ref="K854"/>
    <hyperlink r:id="rId854" ref="K855"/>
    <hyperlink r:id="rId855" ref="K856"/>
    <hyperlink r:id="rId856" ref="K857"/>
    <hyperlink r:id="rId857" ref="K858"/>
    <hyperlink r:id="rId858" ref="K859"/>
    <hyperlink r:id="rId859" ref="K860"/>
    <hyperlink r:id="rId860" ref="K861"/>
    <hyperlink r:id="rId861" ref="K862"/>
    <hyperlink r:id="rId862" ref="K863"/>
    <hyperlink r:id="rId863" ref="K864"/>
    <hyperlink r:id="rId864" ref="K865"/>
    <hyperlink r:id="rId865" ref="K866"/>
    <hyperlink r:id="rId866" ref="K867"/>
    <hyperlink r:id="rId867" ref="K868"/>
    <hyperlink r:id="rId868" ref="K869"/>
    <hyperlink r:id="rId869" ref="K870"/>
    <hyperlink r:id="rId870" ref="K871"/>
    <hyperlink r:id="rId871" ref="K872"/>
    <hyperlink r:id="rId872" ref="K873"/>
    <hyperlink r:id="rId873" ref="K874"/>
    <hyperlink r:id="rId874" ref="K875"/>
    <hyperlink r:id="rId875" ref="K876"/>
    <hyperlink r:id="rId876" ref="K877"/>
    <hyperlink r:id="rId877" ref="K878"/>
    <hyperlink r:id="rId878" ref="K879"/>
    <hyperlink r:id="rId879" ref="K880"/>
    <hyperlink r:id="rId880" ref="K881"/>
    <hyperlink r:id="rId881" ref="K882"/>
    <hyperlink r:id="rId882" ref="K883"/>
    <hyperlink r:id="rId883" ref="K884"/>
    <hyperlink r:id="rId884" ref="K885"/>
    <hyperlink r:id="rId885" ref="K886"/>
    <hyperlink r:id="rId886" ref="K887"/>
    <hyperlink r:id="rId887" ref="K888"/>
    <hyperlink r:id="rId888" ref="K889"/>
    <hyperlink r:id="rId889" ref="K890"/>
    <hyperlink r:id="rId890" ref="K891"/>
    <hyperlink r:id="rId891" ref="K892"/>
    <hyperlink r:id="rId892" ref="K893"/>
    <hyperlink r:id="rId893" ref="K894"/>
    <hyperlink r:id="rId894" ref="K895"/>
    <hyperlink r:id="rId895" ref="K896"/>
    <hyperlink r:id="rId896" ref="K897"/>
    <hyperlink r:id="rId897" ref="K898"/>
    <hyperlink r:id="rId898" ref="K899"/>
    <hyperlink r:id="rId899" ref="K900"/>
    <hyperlink r:id="rId900" ref="K901"/>
    <hyperlink r:id="rId901" ref="K902"/>
    <hyperlink r:id="rId902" ref="K903"/>
    <hyperlink r:id="rId903" ref="K904"/>
    <hyperlink r:id="rId904" ref="K905"/>
    <hyperlink r:id="rId905" ref="K906"/>
    <hyperlink r:id="rId906" ref="K907"/>
    <hyperlink r:id="rId907" ref="K908"/>
    <hyperlink r:id="rId908" ref="K909"/>
    <hyperlink r:id="rId909" ref="K910"/>
    <hyperlink r:id="rId910" ref="K911"/>
    <hyperlink r:id="rId911" ref="K912"/>
    <hyperlink r:id="rId912" ref="K913"/>
    <hyperlink r:id="rId913" ref="K914"/>
    <hyperlink r:id="rId914" ref="K915"/>
    <hyperlink r:id="rId915" ref="K916"/>
    <hyperlink r:id="rId916" ref="K917"/>
    <hyperlink r:id="rId917" ref="K918"/>
    <hyperlink r:id="rId918" ref="K919"/>
    <hyperlink r:id="rId919" ref="K920"/>
    <hyperlink r:id="rId920" ref="K921"/>
    <hyperlink r:id="rId921" ref="K922"/>
    <hyperlink r:id="rId922" ref="K923"/>
    <hyperlink r:id="rId923" ref="K924"/>
    <hyperlink r:id="rId924" ref="K925"/>
    <hyperlink r:id="rId925" ref="K926"/>
    <hyperlink r:id="rId926" ref="K927"/>
    <hyperlink r:id="rId927" ref="K928"/>
    <hyperlink r:id="rId928" ref="K929"/>
    <hyperlink r:id="rId929" ref="K930"/>
    <hyperlink r:id="rId930" ref="K931"/>
    <hyperlink r:id="rId931" ref="K932"/>
    <hyperlink r:id="rId932" ref="K933"/>
    <hyperlink r:id="rId933" ref="K934"/>
    <hyperlink r:id="rId934" ref="K935"/>
    <hyperlink r:id="rId935" ref="K936"/>
    <hyperlink r:id="rId936" ref="K937"/>
    <hyperlink r:id="rId937" ref="K938"/>
    <hyperlink r:id="rId938" ref="K939"/>
    <hyperlink r:id="rId939" ref="K940"/>
    <hyperlink r:id="rId940" ref="K941"/>
    <hyperlink r:id="rId941" ref="K942"/>
    <hyperlink r:id="rId942" ref="K943"/>
    <hyperlink r:id="rId943" ref="K944"/>
    <hyperlink r:id="rId944" ref="K945"/>
    <hyperlink r:id="rId945" ref="K946"/>
    <hyperlink r:id="rId946" ref="K947"/>
    <hyperlink r:id="rId947" ref="K948"/>
    <hyperlink r:id="rId948" ref="K949"/>
    <hyperlink r:id="rId949" ref="K950"/>
    <hyperlink r:id="rId950" ref="K951"/>
    <hyperlink r:id="rId951" ref="K952"/>
    <hyperlink r:id="rId952" ref="K953"/>
    <hyperlink r:id="rId953" ref="K954"/>
    <hyperlink r:id="rId954" ref="K955"/>
    <hyperlink r:id="rId955" ref="K956"/>
    <hyperlink r:id="rId956" ref="K957"/>
    <hyperlink r:id="rId957" ref="K958"/>
    <hyperlink r:id="rId958" ref="K959"/>
    <hyperlink r:id="rId959" ref="K960"/>
    <hyperlink r:id="rId960" ref="K961"/>
    <hyperlink r:id="rId961" ref="K962"/>
    <hyperlink r:id="rId962" ref="K963"/>
    <hyperlink r:id="rId963" ref="K964"/>
    <hyperlink r:id="rId964" ref="K965"/>
    <hyperlink r:id="rId965" ref="K966"/>
    <hyperlink r:id="rId966" ref="K967"/>
    <hyperlink r:id="rId967" ref="K968"/>
    <hyperlink r:id="rId968" ref="K969"/>
    <hyperlink r:id="rId969" ref="K970"/>
    <hyperlink r:id="rId970" ref="K971"/>
    <hyperlink r:id="rId971" ref="K972"/>
    <hyperlink r:id="rId972" ref="K973"/>
    <hyperlink r:id="rId973" ref="K974"/>
    <hyperlink r:id="rId974" ref="K975"/>
    <hyperlink r:id="rId975" ref="K976"/>
    <hyperlink r:id="rId976" ref="K977"/>
    <hyperlink r:id="rId977" ref="K978"/>
    <hyperlink r:id="rId978" ref="K979"/>
    <hyperlink r:id="rId979" ref="K980"/>
    <hyperlink r:id="rId980" ref="K981"/>
    <hyperlink r:id="rId981" ref="K982"/>
    <hyperlink r:id="rId982" ref="K983"/>
    <hyperlink r:id="rId983" ref="K984"/>
    <hyperlink r:id="rId984" ref="K985"/>
    <hyperlink r:id="rId985" ref="K986"/>
    <hyperlink r:id="rId986" ref="K987"/>
    <hyperlink r:id="rId987" ref="K988"/>
    <hyperlink r:id="rId988" ref="K989"/>
    <hyperlink r:id="rId989" ref="K990"/>
    <hyperlink r:id="rId990" ref="K991"/>
    <hyperlink r:id="rId991" ref="K992"/>
    <hyperlink r:id="rId992" ref="K993"/>
    <hyperlink r:id="rId993" ref="K994"/>
    <hyperlink r:id="rId994" ref="K995"/>
    <hyperlink r:id="rId995" ref="K996"/>
    <hyperlink r:id="rId996" ref="K997"/>
    <hyperlink r:id="rId997" ref="K998"/>
    <hyperlink r:id="rId998" ref="K999"/>
    <hyperlink r:id="rId999" ref="K1000"/>
    <hyperlink r:id="rId1000" ref="K1001"/>
    <hyperlink r:id="rId1001" ref="K1002"/>
    <hyperlink r:id="rId1002" ref="K1003"/>
    <hyperlink r:id="rId1003" ref="K1004"/>
    <hyperlink r:id="rId1004" ref="K1005"/>
    <hyperlink r:id="rId1005" ref="K1006"/>
    <hyperlink r:id="rId1006" ref="K1007"/>
    <hyperlink r:id="rId1007" ref="K1008"/>
    <hyperlink r:id="rId1008" ref="K1009"/>
    <hyperlink r:id="rId1009" ref="K1010"/>
    <hyperlink r:id="rId1010" ref="K1011"/>
    <hyperlink r:id="rId1011" ref="K1012"/>
    <hyperlink r:id="rId1012" ref="K1013"/>
    <hyperlink r:id="rId1013" ref="K1014"/>
    <hyperlink r:id="rId1014" ref="K1015"/>
    <hyperlink r:id="rId1015" ref="K1016"/>
    <hyperlink r:id="rId1016" ref="K1017"/>
    <hyperlink r:id="rId1017" ref="K1018"/>
    <hyperlink r:id="rId1018" ref="K1019"/>
    <hyperlink r:id="rId1019" ref="K1020"/>
    <hyperlink r:id="rId1020" ref="K1021"/>
    <hyperlink r:id="rId1021" ref="K1022"/>
    <hyperlink r:id="rId1022" ref="K1023"/>
    <hyperlink r:id="rId1023" ref="K1024"/>
    <hyperlink r:id="rId1024" ref="K1025"/>
    <hyperlink r:id="rId1025" ref="K1026"/>
    <hyperlink r:id="rId1026" ref="K1027"/>
    <hyperlink r:id="rId1027" ref="K1028"/>
    <hyperlink r:id="rId1028" ref="K1029"/>
    <hyperlink r:id="rId1029" ref="K1030"/>
    <hyperlink r:id="rId1030" ref="K1031"/>
    <hyperlink r:id="rId1031" ref="K1032"/>
    <hyperlink r:id="rId1032" ref="K1033"/>
    <hyperlink r:id="rId1033" ref="K1034"/>
    <hyperlink r:id="rId1034" ref="K1035"/>
    <hyperlink r:id="rId1035" ref="K1036"/>
    <hyperlink r:id="rId1036" ref="K1037"/>
    <hyperlink r:id="rId1037" ref="K1038"/>
    <hyperlink r:id="rId1038" ref="K1039"/>
    <hyperlink r:id="rId1039" ref="K1040"/>
    <hyperlink r:id="rId1040" ref="K1041"/>
    <hyperlink r:id="rId1041" ref="K1042"/>
    <hyperlink r:id="rId1042" ref="K1043"/>
    <hyperlink r:id="rId1043" ref="K1044"/>
    <hyperlink r:id="rId1044" ref="K1045"/>
    <hyperlink r:id="rId1045" ref="K1046"/>
    <hyperlink r:id="rId1046" ref="K1047"/>
    <hyperlink r:id="rId1047" ref="K1048"/>
    <hyperlink r:id="rId1048" ref="K1049"/>
    <hyperlink r:id="rId1049" ref="K1050"/>
    <hyperlink r:id="rId1050" ref="K1051"/>
    <hyperlink r:id="rId1051" ref="K1052"/>
    <hyperlink r:id="rId1052" ref="K1053"/>
    <hyperlink r:id="rId1053" ref="K1054"/>
    <hyperlink r:id="rId1054" ref="K1055"/>
    <hyperlink r:id="rId1055" ref="K1056"/>
    <hyperlink r:id="rId1056" ref="K1057"/>
    <hyperlink r:id="rId1057" ref="K1058"/>
    <hyperlink r:id="rId1058" ref="K1059"/>
    <hyperlink r:id="rId1059" ref="K1060"/>
    <hyperlink r:id="rId1060" ref="K1061"/>
    <hyperlink r:id="rId1061" ref="K1062"/>
    <hyperlink r:id="rId1062" ref="K1063"/>
    <hyperlink r:id="rId1063" ref="K1064"/>
    <hyperlink r:id="rId1064" ref="K1065"/>
    <hyperlink r:id="rId1065" ref="K1066"/>
    <hyperlink r:id="rId1066" ref="K1067"/>
    <hyperlink r:id="rId1067" ref="K1068"/>
    <hyperlink r:id="rId1068" ref="K1069"/>
    <hyperlink r:id="rId1069" ref="K1070"/>
    <hyperlink r:id="rId1070" ref="K1071"/>
    <hyperlink r:id="rId1071" ref="K1072"/>
    <hyperlink r:id="rId1072" ref="K1073"/>
    <hyperlink r:id="rId1073" ref="K1074"/>
    <hyperlink r:id="rId1074" ref="K1075"/>
    <hyperlink r:id="rId1075" ref="K1076"/>
    <hyperlink r:id="rId1076" ref="K1077"/>
    <hyperlink r:id="rId1077" ref="K1078"/>
    <hyperlink r:id="rId1078" ref="K1079"/>
    <hyperlink r:id="rId1079" ref="K1080"/>
    <hyperlink r:id="rId1080" ref="K1081"/>
    <hyperlink r:id="rId1081" ref="K1082"/>
    <hyperlink r:id="rId1082" ref="K1083"/>
    <hyperlink r:id="rId1083" ref="K1084"/>
    <hyperlink r:id="rId1084" ref="K1085"/>
    <hyperlink r:id="rId1085" ref="K1086"/>
    <hyperlink r:id="rId1086" ref="K1087"/>
    <hyperlink r:id="rId1087" ref="K1088"/>
    <hyperlink r:id="rId1088" ref="K1089"/>
    <hyperlink r:id="rId1089" ref="K1090"/>
    <hyperlink r:id="rId1090" ref="K1091"/>
    <hyperlink r:id="rId1091" ref="K1092"/>
    <hyperlink r:id="rId1092" ref="K1093"/>
    <hyperlink r:id="rId1093" ref="K1094"/>
    <hyperlink r:id="rId1094" ref="K1095"/>
    <hyperlink r:id="rId1095" ref="K1096"/>
    <hyperlink r:id="rId1096" ref="K1097"/>
    <hyperlink r:id="rId1097" ref="K1098"/>
    <hyperlink r:id="rId1098" ref="K1099"/>
    <hyperlink r:id="rId1099" ref="K1100"/>
    <hyperlink r:id="rId1100" ref="K1101"/>
    <hyperlink r:id="rId1101" ref="K1102"/>
    <hyperlink r:id="rId1102" ref="K1103"/>
    <hyperlink r:id="rId1103" ref="K1104"/>
    <hyperlink r:id="rId1104" ref="K1105"/>
    <hyperlink r:id="rId1105" ref="K1106"/>
    <hyperlink r:id="rId1106" ref="K1107"/>
    <hyperlink r:id="rId1107" ref="K1108"/>
    <hyperlink r:id="rId1108" ref="K1109"/>
    <hyperlink r:id="rId1109" ref="K1110"/>
    <hyperlink r:id="rId1110" ref="K1111"/>
    <hyperlink r:id="rId1111" ref="K1112"/>
    <hyperlink r:id="rId1112" ref="K1113"/>
    <hyperlink r:id="rId1113" ref="K1114"/>
    <hyperlink r:id="rId1114" ref="K1115"/>
    <hyperlink r:id="rId1115" ref="K1116"/>
    <hyperlink r:id="rId1116" ref="K1117"/>
    <hyperlink r:id="rId1117" ref="K1118"/>
    <hyperlink r:id="rId1118" ref="K1119"/>
    <hyperlink r:id="rId1119" ref="K1120"/>
    <hyperlink r:id="rId1120" ref="K1121"/>
    <hyperlink r:id="rId1121" ref="K1122"/>
    <hyperlink r:id="rId1122" ref="K1123"/>
    <hyperlink r:id="rId1123" ref="K1124"/>
    <hyperlink r:id="rId1124" ref="K1125"/>
    <hyperlink r:id="rId1125" ref="K1126"/>
    <hyperlink r:id="rId1126" ref="K1127"/>
    <hyperlink r:id="rId1127" ref="K1128"/>
    <hyperlink r:id="rId1128" ref="K1129"/>
    <hyperlink r:id="rId1129" ref="K1130"/>
    <hyperlink r:id="rId1130" ref="K1131"/>
    <hyperlink r:id="rId1131" ref="K1132"/>
    <hyperlink r:id="rId1132" ref="K1133"/>
    <hyperlink r:id="rId1133" ref="K1134"/>
    <hyperlink r:id="rId1134" ref="K1135"/>
    <hyperlink r:id="rId1135" ref="K1136"/>
    <hyperlink r:id="rId1136" ref="K1137"/>
    <hyperlink r:id="rId1137" ref="K1138"/>
    <hyperlink r:id="rId1138" ref="K1139"/>
    <hyperlink r:id="rId1139" ref="K1140"/>
    <hyperlink r:id="rId1140" ref="K1141"/>
    <hyperlink r:id="rId1141" ref="K1142"/>
    <hyperlink r:id="rId1142" ref="K1143"/>
    <hyperlink r:id="rId1143" ref="K1144"/>
    <hyperlink r:id="rId1144" ref="K1145"/>
    <hyperlink r:id="rId1145" ref="K1146"/>
    <hyperlink r:id="rId1146" ref="K1147"/>
    <hyperlink r:id="rId1147" ref="K1148"/>
    <hyperlink r:id="rId1148" ref="K1149"/>
    <hyperlink r:id="rId1149" ref="K1150"/>
    <hyperlink r:id="rId1150" ref="K1151"/>
    <hyperlink r:id="rId1151" ref="K1152"/>
    <hyperlink r:id="rId1152" ref="K1153"/>
    <hyperlink r:id="rId1153" ref="K1154"/>
    <hyperlink r:id="rId1154" ref="K1155"/>
    <hyperlink r:id="rId1155" ref="K1156"/>
    <hyperlink r:id="rId1156" ref="K1157"/>
    <hyperlink r:id="rId1157" ref="K1158"/>
    <hyperlink r:id="rId1158" ref="K1159"/>
    <hyperlink r:id="rId1159" ref="K1160"/>
    <hyperlink r:id="rId1160" ref="K1161"/>
    <hyperlink r:id="rId1161" ref="K1162"/>
    <hyperlink r:id="rId1162" ref="K1163"/>
    <hyperlink r:id="rId1163" ref="K1164"/>
    <hyperlink r:id="rId1164" ref="K1165"/>
    <hyperlink r:id="rId1165" ref="K1166"/>
    <hyperlink r:id="rId1166" ref="K1167"/>
    <hyperlink r:id="rId1167" ref="K1168"/>
    <hyperlink r:id="rId1168" ref="K1169"/>
    <hyperlink r:id="rId1169" ref="K1170"/>
    <hyperlink r:id="rId1170" ref="K1171"/>
    <hyperlink r:id="rId1171" ref="K1172"/>
    <hyperlink r:id="rId1172" ref="K1173"/>
    <hyperlink r:id="rId1173" ref="K1174"/>
    <hyperlink r:id="rId1174" ref="K1175"/>
    <hyperlink r:id="rId1175" ref="K1176"/>
    <hyperlink r:id="rId1176" ref="K1177"/>
    <hyperlink r:id="rId1177" ref="K1178"/>
    <hyperlink r:id="rId1178" ref="K1179"/>
    <hyperlink r:id="rId1179" ref="K1180"/>
    <hyperlink r:id="rId1180" ref="K1181"/>
    <hyperlink r:id="rId1181" ref="K1182"/>
    <hyperlink r:id="rId1182" ref="K1183"/>
    <hyperlink r:id="rId1183" ref="K1184"/>
    <hyperlink r:id="rId1184" ref="K1185"/>
    <hyperlink r:id="rId1185" ref="K1186"/>
    <hyperlink r:id="rId1186" ref="K1187"/>
    <hyperlink r:id="rId1187" ref="K1188"/>
    <hyperlink r:id="rId1188" ref="K1189"/>
    <hyperlink r:id="rId1189" ref="K1190"/>
    <hyperlink r:id="rId1190" ref="K1191"/>
    <hyperlink r:id="rId1191" ref="K1192"/>
    <hyperlink r:id="rId1192" ref="K1193"/>
    <hyperlink r:id="rId1193" ref="K1194"/>
    <hyperlink r:id="rId1194" ref="K1195"/>
    <hyperlink r:id="rId1195" ref="K1196"/>
    <hyperlink r:id="rId1196" ref="K1197"/>
    <hyperlink r:id="rId1197" ref="K1198"/>
    <hyperlink r:id="rId1198" ref="K1199"/>
    <hyperlink r:id="rId1199" ref="K1200"/>
    <hyperlink r:id="rId1200" ref="K1201"/>
    <hyperlink r:id="rId1201" ref="K1202"/>
    <hyperlink r:id="rId1202" ref="K1203"/>
    <hyperlink r:id="rId1203" ref="K1204"/>
    <hyperlink r:id="rId1204" ref="K1205"/>
    <hyperlink r:id="rId1205" ref="K1206"/>
    <hyperlink r:id="rId1206" ref="K1207"/>
    <hyperlink r:id="rId1207" ref="K1208"/>
    <hyperlink r:id="rId1208" ref="K1209"/>
    <hyperlink r:id="rId1209" ref="K1210"/>
    <hyperlink r:id="rId1210" ref="K1211"/>
    <hyperlink r:id="rId1211" ref="K1212"/>
    <hyperlink r:id="rId1212" ref="K1213"/>
    <hyperlink r:id="rId1213" ref="K1214"/>
    <hyperlink r:id="rId1214" ref="K1215"/>
    <hyperlink r:id="rId1215" ref="K1216"/>
    <hyperlink r:id="rId1216" ref="K1217"/>
    <hyperlink r:id="rId1217" ref="K1218"/>
    <hyperlink r:id="rId1218" ref="K1219"/>
    <hyperlink r:id="rId1219" ref="K1220"/>
    <hyperlink r:id="rId1220" ref="K1221"/>
    <hyperlink r:id="rId1221" ref="K1222"/>
    <hyperlink r:id="rId1222" ref="K1223"/>
    <hyperlink r:id="rId1223" ref="K1224"/>
    <hyperlink r:id="rId1224" ref="K1225"/>
    <hyperlink r:id="rId1225" ref="K1226"/>
    <hyperlink r:id="rId1226" ref="K1227"/>
    <hyperlink r:id="rId1227" ref="K1228"/>
    <hyperlink r:id="rId1228" ref="K1229"/>
    <hyperlink r:id="rId1229" ref="K1230"/>
    <hyperlink r:id="rId1230" ref="K1231"/>
    <hyperlink r:id="rId1231" ref="K1232"/>
    <hyperlink r:id="rId1232" ref="K1233"/>
    <hyperlink r:id="rId1233" ref="K1234"/>
    <hyperlink r:id="rId1234" ref="K1235"/>
    <hyperlink r:id="rId1235" ref="K1236"/>
    <hyperlink r:id="rId1236" ref="K1237"/>
    <hyperlink r:id="rId1237" ref="K1238"/>
    <hyperlink r:id="rId1238" ref="K1239"/>
    <hyperlink r:id="rId1239" ref="K1240"/>
    <hyperlink r:id="rId1240" ref="K1241"/>
    <hyperlink r:id="rId1241" ref="K1242"/>
    <hyperlink r:id="rId1242" ref="K1243"/>
    <hyperlink r:id="rId1243" ref="K1244"/>
    <hyperlink r:id="rId1244" ref="K1245"/>
    <hyperlink r:id="rId1245" ref="K1246"/>
    <hyperlink r:id="rId1246" ref="K1247"/>
    <hyperlink r:id="rId1247" ref="K1248"/>
    <hyperlink r:id="rId1248" ref="K1249"/>
    <hyperlink r:id="rId1249" ref="K1250"/>
    <hyperlink r:id="rId1250" ref="K1251"/>
    <hyperlink r:id="rId1251" ref="K1252"/>
    <hyperlink r:id="rId1252" ref="K1253"/>
    <hyperlink r:id="rId1253" ref="K1254"/>
    <hyperlink r:id="rId1254" ref="K1255"/>
    <hyperlink r:id="rId1255" ref="K1256"/>
    <hyperlink r:id="rId1256" ref="K1257"/>
    <hyperlink r:id="rId1257" ref="K1258"/>
    <hyperlink r:id="rId1258" ref="K1259"/>
    <hyperlink r:id="rId1259" ref="K1260"/>
    <hyperlink r:id="rId1260" ref="K1261"/>
    <hyperlink r:id="rId1261" ref="K1262"/>
    <hyperlink r:id="rId1262" ref="K1263"/>
    <hyperlink r:id="rId1263" ref="K1264"/>
    <hyperlink r:id="rId1264" ref="K1265"/>
    <hyperlink r:id="rId1265" ref="K1266"/>
    <hyperlink r:id="rId1266" ref="K1267"/>
    <hyperlink r:id="rId1267" ref="K1268"/>
    <hyperlink r:id="rId1268" ref="K1269"/>
    <hyperlink r:id="rId1269" ref="K1270"/>
    <hyperlink r:id="rId1270" ref="K1271"/>
    <hyperlink r:id="rId1271" ref="K1272"/>
    <hyperlink r:id="rId1272" ref="K1273"/>
    <hyperlink r:id="rId1273" ref="K1274"/>
    <hyperlink r:id="rId1274" ref="K1275"/>
    <hyperlink r:id="rId1275" ref="K1276"/>
    <hyperlink r:id="rId1276" ref="K1277"/>
    <hyperlink r:id="rId1277" ref="K1278"/>
    <hyperlink r:id="rId1278" ref="K1279"/>
    <hyperlink r:id="rId1279" ref="K1280"/>
    <hyperlink r:id="rId1280" ref="K1281"/>
    <hyperlink r:id="rId1281" ref="K1282"/>
    <hyperlink r:id="rId1282" ref="K1283"/>
    <hyperlink r:id="rId1283" ref="K1284"/>
    <hyperlink r:id="rId1284" ref="K1285"/>
    <hyperlink r:id="rId1285" ref="K1286"/>
    <hyperlink r:id="rId1286" ref="K1287"/>
    <hyperlink r:id="rId1287" ref="K1288"/>
    <hyperlink r:id="rId1288" ref="K1289"/>
    <hyperlink r:id="rId1289" ref="K1290"/>
    <hyperlink r:id="rId1290" ref="K1291"/>
    <hyperlink r:id="rId1291" ref="K1292"/>
    <hyperlink r:id="rId1292" ref="K1293"/>
    <hyperlink r:id="rId1293" ref="K1294"/>
    <hyperlink r:id="rId1294" ref="K1295"/>
    <hyperlink r:id="rId1295" ref="K1296"/>
    <hyperlink r:id="rId1296" ref="K1297"/>
    <hyperlink r:id="rId1297" ref="K1298"/>
    <hyperlink r:id="rId1298" ref="K1299"/>
    <hyperlink r:id="rId1299" ref="K1300"/>
    <hyperlink r:id="rId1300" ref="K1301"/>
    <hyperlink r:id="rId1301" ref="K1302"/>
    <hyperlink r:id="rId1302" ref="K1303"/>
    <hyperlink r:id="rId1303" ref="K1304"/>
    <hyperlink r:id="rId1304" ref="K1305"/>
    <hyperlink r:id="rId1305" ref="K1306"/>
    <hyperlink r:id="rId1306" ref="K1307"/>
    <hyperlink r:id="rId1307" ref="K1308"/>
    <hyperlink r:id="rId1308" ref="K1309"/>
    <hyperlink r:id="rId1309" ref="K1310"/>
    <hyperlink r:id="rId1310" ref="K1311"/>
    <hyperlink r:id="rId1311" ref="K1312"/>
    <hyperlink r:id="rId1312" ref="K1313"/>
    <hyperlink r:id="rId1313" ref="K1314"/>
    <hyperlink r:id="rId1314" ref="K1315"/>
    <hyperlink r:id="rId1315" ref="K1316"/>
    <hyperlink r:id="rId1316" ref="K1317"/>
    <hyperlink r:id="rId1317" ref="K1318"/>
    <hyperlink r:id="rId1318" ref="K1319"/>
    <hyperlink r:id="rId1319" ref="K1320"/>
    <hyperlink r:id="rId1320" ref="K1321"/>
    <hyperlink r:id="rId1321" ref="K1322"/>
    <hyperlink r:id="rId1322" ref="K1323"/>
    <hyperlink r:id="rId1323" ref="K1324"/>
    <hyperlink r:id="rId1324" ref="K1325"/>
    <hyperlink r:id="rId1325" ref="K1326"/>
    <hyperlink r:id="rId1326" ref="K1327"/>
    <hyperlink r:id="rId1327" ref="K1328"/>
    <hyperlink r:id="rId1328" ref="K1329"/>
    <hyperlink r:id="rId1329" ref="K1330"/>
    <hyperlink r:id="rId1330" ref="K1331"/>
    <hyperlink r:id="rId1331" ref="K1332"/>
    <hyperlink r:id="rId1332" ref="K1333"/>
    <hyperlink r:id="rId1333" ref="K1334"/>
    <hyperlink r:id="rId1334" ref="K1335"/>
    <hyperlink r:id="rId1335" ref="K1336"/>
    <hyperlink r:id="rId1336" ref="K1337"/>
    <hyperlink r:id="rId1337" ref="K1338"/>
    <hyperlink r:id="rId1338" ref="K1339"/>
    <hyperlink r:id="rId1339" ref="K1340"/>
    <hyperlink r:id="rId1340" ref="K1341"/>
    <hyperlink r:id="rId1341" ref="K1342"/>
    <hyperlink r:id="rId1342" ref="K1343"/>
    <hyperlink r:id="rId1343" ref="K1344"/>
    <hyperlink r:id="rId1344" ref="K1345"/>
    <hyperlink r:id="rId1345" ref="K1346"/>
    <hyperlink r:id="rId1346" ref="K1347"/>
    <hyperlink r:id="rId1347" ref="K1348"/>
    <hyperlink r:id="rId1348" ref="K1349"/>
    <hyperlink r:id="rId1349" ref="K1350"/>
    <hyperlink r:id="rId1350" ref="K1351"/>
    <hyperlink r:id="rId1351" ref="K1352"/>
    <hyperlink r:id="rId1352" ref="K1353"/>
    <hyperlink r:id="rId1353" ref="K1354"/>
    <hyperlink r:id="rId1354" ref="K1355"/>
    <hyperlink r:id="rId1355" ref="K1356"/>
    <hyperlink r:id="rId1356" ref="K1357"/>
    <hyperlink r:id="rId1357" ref="K1358"/>
    <hyperlink r:id="rId1358" ref="K1359"/>
    <hyperlink r:id="rId1359" ref="K1360"/>
    <hyperlink r:id="rId1360" ref="K1361"/>
    <hyperlink r:id="rId1361" ref="K1362"/>
    <hyperlink r:id="rId1362" ref="K1363"/>
    <hyperlink r:id="rId1363" ref="K1364"/>
    <hyperlink r:id="rId1364" ref="K1365"/>
    <hyperlink r:id="rId1365" ref="K1366"/>
    <hyperlink r:id="rId1366" ref="K1367"/>
    <hyperlink r:id="rId1367" ref="K1368"/>
    <hyperlink r:id="rId1368" ref="K1369"/>
    <hyperlink r:id="rId1369" ref="K1370"/>
    <hyperlink r:id="rId1370" ref="K1371"/>
    <hyperlink r:id="rId1371" ref="K1372"/>
    <hyperlink r:id="rId1372" ref="K1373"/>
    <hyperlink r:id="rId1373" ref="K1374"/>
    <hyperlink r:id="rId1374" ref="K1375"/>
    <hyperlink r:id="rId1375" ref="K1376"/>
    <hyperlink r:id="rId1376" ref="K1377"/>
    <hyperlink r:id="rId1377" ref="K1378"/>
    <hyperlink r:id="rId1378" ref="K1379"/>
    <hyperlink r:id="rId1379" ref="K1380"/>
    <hyperlink r:id="rId1380" ref="K1381"/>
    <hyperlink r:id="rId1381" ref="K1382"/>
    <hyperlink r:id="rId1382" ref="K1383"/>
    <hyperlink r:id="rId1383" ref="K1384"/>
    <hyperlink r:id="rId1384" ref="K1385"/>
    <hyperlink r:id="rId1385" ref="K1386"/>
    <hyperlink r:id="rId1386" ref="K1387"/>
    <hyperlink r:id="rId1387" ref="K1388"/>
    <hyperlink r:id="rId1388" ref="K1389"/>
    <hyperlink r:id="rId1389" ref="K1390"/>
    <hyperlink r:id="rId1390" ref="K1391"/>
    <hyperlink r:id="rId1391" ref="K1392"/>
    <hyperlink r:id="rId1392" ref="K1393"/>
    <hyperlink r:id="rId1393" ref="K1394"/>
    <hyperlink r:id="rId1394" ref="K1395"/>
    <hyperlink r:id="rId1395" ref="K1396"/>
    <hyperlink r:id="rId1396" ref="K1397"/>
    <hyperlink r:id="rId1397" ref="K1398"/>
    <hyperlink r:id="rId1398" ref="K1399"/>
    <hyperlink r:id="rId1399" ref="K1400"/>
    <hyperlink r:id="rId1400" ref="K1401"/>
    <hyperlink r:id="rId1401" ref="K1402"/>
    <hyperlink r:id="rId1402" ref="K1403"/>
    <hyperlink r:id="rId1403" ref="K1404"/>
    <hyperlink r:id="rId1404" ref="K1405"/>
    <hyperlink r:id="rId1405" ref="K1406"/>
    <hyperlink r:id="rId1406" ref="K1407"/>
    <hyperlink r:id="rId1407" ref="K1408"/>
    <hyperlink r:id="rId1408" ref="K1409"/>
    <hyperlink r:id="rId1409" ref="K1410"/>
    <hyperlink r:id="rId1410" ref="K1411"/>
    <hyperlink r:id="rId1411" ref="K1412"/>
    <hyperlink r:id="rId1412" ref="K1413"/>
    <hyperlink r:id="rId1413" ref="K1414"/>
    <hyperlink r:id="rId1414" ref="K1415"/>
    <hyperlink r:id="rId1415" ref="K1416"/>
    <hyperlink r:id="rId1416" ref="K1417"/>
    <hyperlink r:id="rId1417" ref="K1418"/>
    <hyperlink r:id="rId1418" ref="K1419"/>
    <hyperlink r:id="rId1419" ref="K1420"/>
    <hyperlink r:id="rId1420" ref="K1421"/>
    <hyperlink r:id="rId1421" ref="K1422"/>
    <hyperlink r:id="rId1422" ref="K1423"/>
    <hyperlink r:id="rId1423" ref="K1424"/>
    <hyperlink r:id="rId1424" ref="K1425"/>
    <hyperlink r:id="rId1425" ref="K1426"/>
    <hyperlink r:id="rId1426" ref="K1427"/>
    <hyperlink r:id="rId1427" ref="K1428"/>
    <hyperlink r:id="rId1428" ref="K1429"/>
    <hyperlink r:id="rId1429" ref="K1430"/>
    <hyperlink r:id="rId1430" ref="K1431"/>
    <hyperlink r:id="rId1431" ref="K1432"/>
    <hyperlink r:id="rId1432" ref="K1433"/>
    <hyperlink r:id="rId1433" ref="K1434"/>
    <hyperlink r:id="rId1434" ref="K1435"/>
    <hyperlink r:id="rId1435" ref="K1436"/>
    <hyperlink r:id="rId1436" ref="K1437"/>
    <hyperlink r:id="rId1437" ref="K1438"/>
    <hyperlink r:id="rId1438" ref="K1439"/>
    <hyperlink r:id="rId1439" ref="K1440"/>
    <hyperlink r:id="rId1440" ref="K1441"/>
    <hyperlink r:id="rId1441" ref="K1442"/>
    <hyperlink r:id="rId1442" ref="K1443"/>
    <hyperlink r:id="rId1443" ref="K1444"/>
    <hyperlink r:id="rId1444" ref="K1445"/>
    <hyperlink r:id="rId1445" ref="K1446"/>
    <hyperlink r:id="rId1446" ref="K1447"/>
    <hyperlink r:id="rId1447" ref="K1448"/>
    <hyperlink r:id="rId1448" ref="K1449"/>
    <hyperlink r:id="rId1449" ref="K1450"/>
    <hyperlink r:id="rId1450" ref="K1451"/>
    <hyperlink r:id="rId1451" ref="K1452"/>
    <hyperlink r:id="rId1452" ref="K1453"/>
    <hyperlink r:id="rId1453" ref="K1454"/>
    <hyperlink r:id="rId1454" ref="K1455"/>
    <hyperlink r:id="rId1455" ref="K1456"/>
    <hyperlink r:id="rId1456" ref="K1457"/>
    <hyperlink r:id="rId1457" ref="K1458"/>
    <hyperlink r:id="rId1458" ref="K1459"/>
    <hyperlink r:id="rId1459" ref="K1460"/>
    <hyperlink r:id="rId1460" ref="K1461"/>
    <hyperlink r:id="rId1461" ref="K1462"/>
    <hyperlink r:id="rId1462" ref="K1463"/>
    <hyperlink r:id="rId1463" ref="K1464"/>
    <hyperlink r:id="rId1464" ref="K1465"/>
    <hyperlink r:id="rId1465" ref="K1466"/>
    <hyperlink r:id="rId1466" ref="K1467"/>
    <hyperlink r:id="rId1467" ref="K1468"/>
    <hyperlink r:id="rId1468" ref="K1469"/>
    <hyperlink r:id="rId1469" ref="K1470"/>
    <hyperlink r:id="rId1470" ref="K1471"/>
    <hyperlink r:id="rId1471" ref="K1472"/>
    <hyperlink r:id="rId1472" ref="K1473"/>
    <hyperlink r:id="rId1473" ref="K1474"/>
    <hyperlink r:id="rId1474" ref="K1475"/>
    <hyperlink r:id="rId1475" ref="K1476"/>
    <hyperlink r:id="rId1476" ref="K1477"/>
    <hyperlink r:id="rId1477" ref="K1478"/>
    <hyperlink r:id="rId1478" ref="K1479"/>
    <hyperlink r:id="rId1479" ref="K1480"/>
    <hyperlink r:id="rId1480" ref="K1481"/>
    <hyperlink r:id="rId1481" ref="K1482"/>
    <hyperlink r:id="rId1482" ref="K1483"/>
    <hyperlink r:id="rId1483" ref="K1484"/>
    <hyperlink r:id="rId1484" ref="K1485"/>
    <hyperlink r:id="rId1485" ref="K1486"/>
    <hyperlink r:id="rId1486" ref="K1487"/>
    <hyperlink r:id="rId1487" ref="K1488"/>
    <hyperlink r:id="rId1488" ref="K1489"/>
    <hyperlink r:id="rId1489" ref="K1490"/>
    <hyperlink r:id="rId1490" ref="K1491"/>
    <hyperlink r:id="rId1491" ref="K1492"/>
    <hyperlink r:id="rId1492" ref="K1493"/>
    <hyperlink r:id="rId1493" ref="K1494"/>
    <hyperlink r:id="rId1494" ref="K1495"/>
    <hyperlink r:id="rId1495" ref="K1496"/>
    <hyperlink r:id="rId1496" ref="K1497"/>
    <hyperlink r:id="rId1497" ref="K1498"/>
    <hyperlink r:id="rId1498" ref="K1499"/>
    <hyperlink r:id="rId1499" ref="K1500"/>
    <hyperlink r:id="rId1500" ref="K1501"/>
    <hyperlink r:id="rId1501" ref="K1502"/>
    <hyperlink r:id="rId1502" ref="K1503"/>
    <hyperlink r:id="rId1503" ref="K1504"/>
    <hyperlink r:id="rId1504" ref="K1505"/>
    <hyperlink r:id="rId1505" ref="K1506"/>
    <hyperlink r:id="rId1506" ref="K1507"/>
    <hyperlink r:id="rId1507" ref="K1508"/>
    <hyperlink r:id="rId1508" ref="K1509"/>
    <hyperlink r:id="rId1509" ref="K1510"/>
    <hyperlink r:id="rId1510" ref="K1511"/>
    <hyperlink r:id="rId1511" ref="K1512"/>
    <hyperlink r:id="rId1512" ref="K1513"/>
    <hyperlink r:id="rId1513" ref="K1514"/>
    <hyperlink r:id="rId1514" ref="K1515"/>
    <hyperlink r:id="rId1515" ref="K1516"/>
    <hyperlink r:id="rId1516" ref="K1517"/>
    <hyperlink r:id="rId1517" ref="K1518"/>
    <hyperlink r:id="rId1518" ref="K1519"/>
    <hyperlink r:id="rId1519" ref="K1520"/>
    <hyperlink r:id="rId1520" ref="K1521"/>
    <hyperlink r:id="rId1521" ref="K1522"/>
    <hyperlink r:id="rId1522" ref="K1523"/>
    <hyperlink r:id="rId1523" ref="K1524"/>
    <hyperlink r:id="rId1524" ref="K1525"/>
    <hyperlink r:id="rId1525" ref="K1526"/>
    <hyperlink r:id="rId1526" ref="K1527"/>
    <hyperlink r:id="rId1527" ref="K1528"/>
    <hyperlink r:id="rId1528" ref="K1529"/>
    <hyperlink r:id="rId1529" ref="K1530"/>
    <hyperlink r:id="rId1530" ref="K1531"/>
    <hyperlink r:id="rId1531" ref="K1532"/>
    <hyperlink r:id="rId1532" ref="K1533"/>
    <hyperlink r:id="rId1533" ref="K1534"/>
    <hyperlink r:id="rId1534" ref="K1535"/>
    <hyperlink r:id="rId1535" ref="K1536"/>
    <hyperlink r:id="rId1536" ref="K1537"/>
    <hyperlink r:id="rId1537" ref="K1538"/>
    <hyperlink r:id="rId1538" ref="K1539"/>
    <hyperlink r:id="rId1539" ref="K1540"/>
    <hyperlink r:id="rId1540" ref="K1541"/>
    <hyperlink r:id="rId1541" ref="K1542"/>
    <hyperlink r:id="rId1542" ref="K1543"/>
    <hyperlink r:id="rId1543" ref="K1544"/>
    <hyperlink r:id="rId1544" ref="K1545"/>
    <hyperlink r:id="rId1545" ref="K1546"/>
    <hyperlink r:id="rId1546" ref="K1547"/>
    <hyperlink r:id="rId1547" ref="K1548"/>
    <hyperlink r:id="rId1548" ref="K1549"/>
    <hyperlink r:id="rId1549" ref="K1550"/>
    <hyperlink r:id="rId1550" ref="K1551"/>
    <hyperlink r:id="rId1551" ref="K1552"/>
    <hyperlink r:id="rId1552" ref="K1553"/>
    <hyperlink r:id="rId1553" ref="K1554"/>
    <hyperlink r:id="rId1554" ref="K1555"/>
    <hyperlink r:id="rId1555" ref="K1556"/>
    <hyperlink r:id="rId1556" ref="K1557"/>
    <hyperlink r:id="rId1557" ref="K1558"/>
    <hyperlink r:id="rId1558" ref="K1559"/>
    <hyperlink r:id="rId1559" ref="K1560"/>
    <hyperlink r:id="rId1560" ref="K1561"/>
    <hyperlink r:id="rId1561" ref="K1562"/>
    <hyperlink r:id="rId1562" ref="K1563"/>
    <hyperlink r:id="rId1563" ref="K1564"/>
    <hyperlink r:id="rId1564" ref="K1565"/>
    <hyperlink r:id="rId1565" ref="K1566"/>
    <hyperlink r:id="rId1566" ref="K1567"/>
    <hyperlink r:id="rId1567" ref="K1568"/>
    <hyperlink r:id="rId1568" ref="K1569"/>
    <hyperlink r:id="rId1569" ref="K1570"/>
    <hyperlink r:id="rId1570" ref="K1571"/>
    <hyperlink r:id="rId1571" ref="K1572"/>
    <hyperlink r:id="rId1572" ref="K1573"/>
    <hyperlink r:id="rId1573" ref="K1574"/>
    <hyperlink r:id="rId1574" ref="K1575"/>
    <hyperlink r:id="rId1575" ref="K1576"/>
    <hyperlink r:id="rId1576" ref="K1577"/>
    <hyperlink r:id="rId1577" ref="K1578"/>
    <hyperlink r:id="rId1578" ref="K1579"/>
    <hyperlink r:id="rId1579" ref="K1580"/>
    <hyperlink r:id="rId1580" ref="K1581"/>
    <hyperlink r:id="rId1581" ref="K1582"/>
    <hyperlink r:id="rId1582" ref="K1583"/>
    <hyperlink r:id="rId1583" ref="K1584"/>
    <hyperlink r:id="rId1584" ref="K1585"/>
    <hyperlink r:id="rId1585" ref="K1586"/>
    <hyperlink r:id="rId1586" ref="K1587"/>
    <hyperlink r:id="rId1587" ref="K1588"/>
    <hyperlink r:id="rId1588" ref="K1589"/>
    <hyperlink r:id="rId1589" ref="K1590"/>
    <hyperlink r:id="rId1590" ref="K1591"/>
    <hyperlink r:id="rId1591" ref="K1592"/>
    <hyperlink r:id="rId1592" ref="K1593"/>
    <hyperlink r:id="rId1593" ref="K1594"/>
    <hyperlink r:id="rId1594" ref="K1595"/>
    <hyperlink r:id="rId1595" ref="K1596"/>
    <hyperlink r:id="rId1596" ref="K1597"/>
    <hyperlink r:id="rId1597" ref="K1598"/>
    <hyperlink r:id="rId1598" ref="K1599"/>
    <hyperlink r:id="rId1599" ref="K1600"/>
    <hyperlink r:id="rId1600" ref="K1601"/>
    <hyperlink r:id="rId1601" ref="K1602"/>
    <hyperlink r:id="rId1602" ref="K1603"/>
    <hyperlink r:id="rId1603" ref="K1604"/>
    <hyperlink r:id="rId1604" ref="K1605"/>
    <hyperlink r:id="rId1605" ref="K1606"/>
    <hyperlink r:id="rId1606" ref="K1607"/>
    <hyperlink r:id="rId1607" ref="K1608"/>
    <hyperlink r:id="rId1608" ref="K1609"/>
    <hyperlink r:id="rId1609" ref="K1610"/>
    <hyperlink r:id="rId1610" ref="K1611"/>
    <hyperlink r:id="rId1611" ref="K1612"/>
    <hyperlink r:id="rId1612" ref="K1613"/>
    <hyperlink r:id="rId1613" ref="K1614"/>
    <hyperlink r:id="rId1614" ref="K1615"/>
    <hyperlink r:id="rId1615" ref="K1616"/>
    <hyperlink r:id="rId1616" ref="K1617"/>
    <hyperlink r:id="rId1617" ref="K1618"/>
    <hyperlink r:id="rId1618" ref="K1619"/>
    <hyperlink r:id="rId1619" ref="K1620"/>
    <hyperlink r:id="rId1620" ref="K1621"/>
    <hyperlink r:id="rId1621" ref="K1622"/>
    <hyperlink r:id="rId1622" ref="K1623"/>
    <hyperlink r:id="rId1623" ref="K1624"/>
    <hyperlink r:id="rId1624" ref="K1625"/>
    <hyperlink r:id="rId1625" ref="K1626"/>
    <hyperlink r:id="rId1626" ref="K1627"/>
    <hyperlink r:id="rId1627" ref="K1628"/>
    <hyperlink r:id="rId1628" ref="K1629"/>
    <hyperlink r:id="rId1629" ref="K1630"/>
    <hyperlink r:id="rId1630" ref="K1631"/>
    <hyperlink r:id="rId1631" ref="K1632"/>
    <hyperlink r:id="rId1632" ref="K1633"/>
    <hyperlink r:id="rId1633" ref="K1634"/>
    <hyperlink r:id="rId1634" ref="K1635"/>
    <hyperlink r:id="rId1635" ref="K1636"/>
    <hyperlink r:id="rId1636" ref="K1637"/>
    <hyperlink r:id="rId1637" ref="K1638"/>
    <hyperlink r:id="rId1638" ref="K1639"/>
    <hyperlink r:id="rId1639" ref="K1640"/>
    <hyperlink r:id="rId1640" ref="K1641"/>
    <hyperlink r:id="rId1641" ref="K1642"/>
    <hyperlink r:id="rId1642" ref="K1643"/>
    <hyperlink r:id="rId1643" ref="K1644"/>
    <hyperlink r:id="rId1644" ref="K1645"/>
    <hyperlink r:id="rId1645" ref="K1646"/>
    <hyperlink r:id="rId1646" ref="K1647"/>
    <hyperlink r:id="rId1647" ref="K1648"/>
    <hyperlink r:id="rId1648" ref="K1649"/>
    <hyperlink r:id="rId1649" ref="K1650"/>
    <hyperlink r:id="rId1650" ref="K1651"/>
    <hyperlink r:id="rId1651" ref="K1652"/>
    <hyperlink r:id="rId1652" ref="K1653"/>
    <hyperlink r:id="rId1653" ref="K1654"/>
    <hyperlink r:id="rId1654" ref="K1655"/>
    <hyperlink r:id="rId1655" ref="K1656"/>
    <hyperlink r:id="rId1656" ref="K1657"/>
    <hyperlink r:id="rId1657" ref="K1658"/>
    <hyperlink r:id="rId1658" ref="K1659"/>
    <hyperlink r:id="rId1659" ref="K1660"/>
    <hyperlink r:id="rId1660" ref="K1661"/>
    <hyperlink r:id="rId1661" ref="K1662"/>
    <hyperlink r:id="rId1662" ref="K1663"/>
    <hyperlink r:id="rId1663" ref="K1664"/>
    <hyperlink r:id="rId1664" ref="K1665"/>
    <hyperlink r:id="rId1665" ref="K1666"/>
    <hyperlink r:id="rId1666" ref="K1667"/>
    <hyperlink r:id="rId1667" ref="K1668"/>
    <hyperlink r:id="rId1668" ref="K1669"/>
    <hyperlink r:id="rId1669" ref="K1670"/>
    <hyperlink r:id="rId1670" ref="K1671"/>
    <hyperlink r:id="rId1671" ref="K1672"/>
    <hyperlink r:id="rId1672" ref="K1673"/>
    <hyperlink r:id="rId1673" ref="K1674"/>
    <hyperlink r:id="rId1674" ref="K1675"/>
    <hyperlink r:id="rId1675" ref="K1676"/>
    <hyperlink r:id="rId1676" ref="K1677"/>
    <hyperlink r:id="rId1677" ref="K1678"/>
    <hyperlink r:id="rId1678" ref="K1679"/>
    <hyperlink r:id="rId1679" ref="K1680"/>
    <hyperlink r:id="rId1680" ref="K1681"/>
    <hyperlink r:id="rId1681" ref="K1682"/>
    <hyperlink r:id="rId1682" ref="K1683"/>
    <hyperlink r:id="rId1683" ref="K1684"/>
    <hyperlink r:id="rId1684" ref="K1685"/>
    <hyperlink r:id="rId1685" ref="K1686"/>
    <hyperlink r:id="rId1686" ref="K1687"/>
    <hyperlink r:id="rId1687" ref="K1688"/>
    <hyperlink r:id="rId1688" ref="K1689"/>
    <hyperlink r:id="rId1689" ref="K1690"/>
    <hyperlink r:id="rId1690" ref="K1691"/>
    <hyperlink r:id="rId1691" ref="K1692"/>
    <hyperlink r:id="rId1692" ref="K1693"/>
    <hyperlink r:id="rId1693" ref="K1694"/>
    <hyperlink r:id="rId1694" ref="K1695"/>
    <hyperlink r:id="rId1695" ref="K1696"/>
    <hyperlink r:id="rId1696" ref="K1697"/>
    <hyperlink r:id="rId1697" ref="K1698"/>
    <hyperlink r:id="rId1698" ref="K1699"/>
    <hyperlink r:id="rId1699" ref="K1700"/>
    <hyperlink r:id="rId1700" ref="K1701"/>
    <hyperlink r:id="rId1701" ref="K1702"/>
    <hyperlink r:id="rId1702" ref="K1703"/>
    <hyperlink r:id="rId1703" ref="K1704"/>
    <hyperlink r:id="rId1704" ref="K1705"/>
    <hyperlink r:id="rId1705" ref="K1706"/>
    <hyperlink r:id="rId1706" ref="K1707"/>
    <hyperlink r:id="rId1707" ref="K1708"/>
    <hyperlink r:id="rId1708" ref="K1709"/>
    <hyperlink r:id="rId1709" ref="K1710"/>
    <hyperlink r:id="rId1710" ref="K1711"/>
    <hyperlink r:id="rId1711" ref="K1712"/>
    <hyperlink r:id="rId1712" ref="K1713"/>
    <hyperlink r:id="rId1713" ref="K1714"/>
    <hyperlink r:id="rId1714" ref="K1715"/>
    <hyperlink r:id="rId1715" ref="K1716"/>
    <hyperlink r:id="rId1716" ref="K1717"/>
    <hyperlink r:id="rId1717" ref="K1718"/>
    <hyperlink r:id="rId1718" ref="K1719"/>
    <hyperlink r:id="rId1719" ref="K1720"/>
    <hyperlink r:id="rId1720" ref="K1721"/>
    <hyperlink r:id="rId1721" ref="K1722"/>
    <hyperlink r:id="rId1722" ref="K1723"/>
    <hyperlink r:id="rId1723" ref="K1724"/>
    <hyperlink r:id="rId1724" ref="K1725"/>
    <hyperlink r:id="rId1725" ref="K1726"/>
    <hyperlink r:id="rId1726" ref="K1727"/>
    <hyperlink r:id="rId1727" ref="K1728"/>
    <hyperlink r:id="rId1728" ref="K1729"/>
    <hyperlink r:id="rId1729" ref="K1730"/>
    <hyperlink r:id="rId1730" ref="K1731"/>
    <hyperlink r:id="rId1731" ref="K1732"/>
    <hyperlink r:id="rId1732" ref="K1733"/>
    <hyperlink r:id="rId1733" ref="K1734"/>
    <hyperlink r:id="rId1734" ref="K1735"/>
    <hyperlink r:id="rId1735" ref="K1736"/>
    <hyperlink r:id="rId1736" ref="K1737"/>
    <hyperlink r:id="rId1737" ref="K1738"/>
    <hyperlink r:id="rId1738" ref="K1739"/>
    <hyperlink r:id="rId1739" ref="K1740"/>
    <hyperlink r:id="rId1740" ref="K1741"/>
    <hyperlink r:id="rId1741" ref="K1742"/>
    <hyperlink r:id="rId1742" ref="K1743"/>
    <hyperlink r:id="rId1743" ref="K1744"/>
    <hyperlink r:id="rId1744" ref="K1745"/>
    <hyperlink r:id="rId1745" ref="K1746"/>
    <hyperlink r:id="rId1746" ref="K1747"/>
    <hyperlink r:id="rId1747" ref="K1748"/>
    <hyperlink r:id="rId1748" ref="K1749"/>
    <hyperlink r:id="rId1749" ref="K1750"/>
    <hyperlink r:id="rId1750" ref="K1751"/>
    <hyperlink r:id="rId1751" ref="K1752"/>
    <hyperlink r:id="rId1752" ref="K1753"/>
    <hyperlink r:id="rId1753" ref="K1754"/>
    <hyperlink r:id="rId1754" ref="K1755"/>
    <hyperlink r:id="rId1755" ref="K1756"/>
    <hyperlink r:id="rId1756" ref="K1757"/>
    <hyperlink r:id="rId1757" ref="K1758"/>
    <hyperlink r:id="rId1758" ref="K1759"/>
    <hyperlink r:id="rId1759" ref="K1760"/>
    <hyperlink r:id="rId1760" ref="K1761"/>
    <hyperlink r:id="rId1761" ref="K1762"/>
    <hyperlink r:id="rId1762" ref="K1763"/>
    <hyperlink r:id="rId1763" ref="K1764"/>
    <hyperlink r:id="rId1764" ref="K1765"/>
    <hyperlink r:id="rId1765" ref="K1766"/>
    <hyperlink r:id="rId1766" ref="K1767"/>
    <hyperlink r:id="rId1767" ref="K1768"/>
    <hyperlink r:id="rId1768" ref="K1769"/>
    <hyperlink r:id="rId1769" ref="K1770"/>
    <hyperlink r:id="rId1770" ref="K1771"/>
    <hyperlink r:id="rId1771" ref="K1772"/>
    <hyperlink r:id="rId1772" ref="K1773"/>
    <hyperlink r:id="rId1773" ref="K1774"/>
    <hyperlink r:id="rId1774" ref="K1775"/>
    <hyperlink r:id="rId1775" ref="K1776"/>
    <hyperlink r:id="rId1776" ref="K1777"/>
    <hyperlink r:id="rId1777" ref="K1778"/>
    <hyperlink r:id="rId1778" ref="K1779"/>
    <hyperlink r:id="rId1779" ref="K1780"/>
    <hyperlink r:id="rId1780" ref="K1781"/>
    <hyperlink r:id="rId1781" ref="K1782"/>
    <hyperlink r:id="rId1782" ref="K1783"/>
    <hyperlink r:id="rId1783" ref="K1784"/>
    <hyperlink r:id="rId1784" ref="K1785"/>
    <hyperlink r:id="rId1785" ref="K1786"/>
    <hyperlink r:id="rId1786" ref="K1787"/>
    <hyperlink r:id="rId1787" ref="K1788"/>
    <hyperlink r:id="rId1788" ref="K1789"/>
    <hyperlink r:id="rId1789" ref="K1790"/>
    <hyperlink r:id="rId1790" ref="K1791"/>
    <hyperlink r:id="rId1791" ref="K1792"/>
    <hyperlink r:id="rId1792" ref="K1793"/>
    <hyperlink r:id="rId1793" ref="K1794"/>
    <hyperlink r:id="rId1794" ref="K1795"/>
    <hyperlink r:id="rId1795" ref="K1796"/>
    <hyperlink r:id="rId1796" ref="K1797"/>
    <hyperlink r:id="rId1797" ref="K1798"/>
    <hyperlink r:id="rId1798" ref="K1799"/>
    <hyperlink r:id="rId1799" ref="K1800"/>
    <hyperlink r:id="rId1800" ref="K1801"/>
    <hyperlink r:id="rId1801" ref="K1802"/>
    <hyperlink r:id="rId1802" ref="K1803"/>
    <hyperlink r:id="rId1803" ref="K1804"/>
    <hyperlink r:id="rId1804" ref="K1805"/>
    <hyperlink r:id="rId1805" ref="K1806"/>
    <hyperlink r:id="rId1806" ref="K1807"/>
    <hyperlink r:id="rId1807" ref="K1808"/>
    <hyperlink r:id="rId1808" ref="K1809"/>
    <hyperlink r:id="rId1809" ref="K1810"/>
    <hyperlink r:id="rId1810" ref="K1811"/>
    <hyperlink r:id="rId1811" ref="K1812"/>
    <hyperlink r:id="rId1812" ref="K1813"/>
    <hyperlink r:id="rId1813" ref="K1814"/>
    <hyperlink r:id="rId1814" ref="K1815"/>
    <hyperlink r:id="rId1815" ref="K1816"/>
    <hyperlink r:id="rId1816" ref="K1817"/>
    <hyperlink r:id="rId1817" ref="K1818"/>
    <hyperlink r:id="rId1818" ref="K1819"/>
    <hyperlink r:id="rId1819" ref="K1820"/>
    <hyperlink r:id="rId1820" ref="K1821"/>
    <hyperlink r:id="rId1821" ref="K1822"/>
    <hyperlink r:id="rId1822" ref="K1823"/>
    <hyperlink r:id="rId1823" ref="K1824"/>
    <hyperlink r:id="rId1824" ref="K1825"/>
    <hyperlink r:id="rId1825" ref="K1826"/>
    <hyperlink r:id="rId1826" ref="K1827"/>
    <hyperlink r:id="rId1827" ref="K1828"/>
    <hyperlink r:id="rId1828" ref="K1829"/>
    <hyperlink r:id="rId1829" ref="K1830"/>
    <hyperlink r:id="rId1830" ref="K1831"/>
    <hyperlink r:id="rId1831" ref="K1832"/>
    <hyperlink r:id="rId1832" ref="K1833"/>
    <hyperlink r:id="rId1833" ref="K1834"/>
    <hyperlink r:id="rId1834" ref="K1835"/>
    <hyperlink r:id="rId1835" ref="K1836"/>
    <hyperlink r:id="rId1836" ref="K1837"/>
    <hyperlink r:id="rId1837" ref="K1838"/>
    <hyperlink r:id="rId1838" ref="K1839"/>
    <hyperlink r:id="rId1839" ref="K1840"/>
    <hyperlink r:id="rId1840" ref="K1841"/>
    <hyperlink r:id="rId1841" ref="K1842"/>
    <hyperlink r:id="rId1842" ref="K1843"/>
    <hyperlink r:id="rId1843" ref="K1844"/>
    <hyperlink r:id="rId1844" ref="K1845"/>
    <hyperlink r:id="rId1845" ref="K1846"/>
    <hyperlink r:id="rId1846" ref="K1847"/>
    <hyperlink r:id="rId1847" ref="K1848"/>
    <hyperlink r:id="rId1848" ref="K1849"/>
    <hyperlink r:id="rId1849" ref="K1850"/>
    <hyperlink r:id="rId1850" ref="K1851"/>
    <hyperlink r:id="rId1851" ref="K1852"/>
    <hyperlink r:id="rId1852" ref="K1853"/>
    <hyperlink r:id="rId1853" ref="K1854"/>
    <hyperlink r:id="rId1854" ref="K1855"/>
    <hyperlink r:id="rId1855" ref="K1856"/>
    <hyperlink r:id="rId1856" ref="K1857"/>
    <hyperlink r:id="rId1857" ref="K1858"/>
    <hyperlink r:id="rId1858" ref="K1859"/>
    <hyperlink r:id="rId1859" ref="K1860"/>
    <hyperlink r:id="rId1860" ref="K1861"/>
    <hyperlink r:id="rId1861" ref="K1862"/>
    <hyperlink r:id="rId1862" ref="K1863"/>
    <hyperlink r:id="rId1863" ref="K1864"/>
    <hyperlink r:id="rId1864" ref="K1865"/>
    <hyperlink r:id="rId1865" ref="K1866"/>
    <hyperlink r:id="rId1866" ref="K1867"/>
    <hyperlink r:id="rId1867" ref="K1868"/>
    <hyperlink r:id="rId1868" ref="K1869"/>
    <hyperlink r:id="rId1869" ref="K1870"/>
    <hyperlink r:id="rId1870" ref="K1871"/>
    <hyperlink r:id="rId1871" ref="K1872"/>
    <hyperlink r:id="rId1872" ref="K1873"/>
    <hyperlink r:id="rId1873" ref="K1874"/>
    <hyperlink r:id="rId1874" ref="K1875"/>
    <hyperlink r:id="rId1875" ref="K1876"/>
    <hyperlink r:id="rId1876" ref="K1877"/>
    <hyperlink r:id="rId1877" ref="K1878"/>
    <hyperlink r:id="rId1878" ref="K1879"/>
    <hyperlink r:id="rId1879" ref="K1880"/>
    <hyperlink r:id="rId1880" ref="K1881"/>
    <hyperlink r:id="rId1881" ref="K1882"/>
    <hyperlink r:id="rId1882" ref="K1883"/>
    <hyperlink r:id="rId1883" ref="K1884"/>
    <hyperlink r:id="rId1884" ref="K1885"/>
    <hyperlink r:id="rId1885" ref="K1886"/>
    <hyperlink r:id="rId1886" ref="K1887"/>
    <hyperlink r:id="rId1887" ref="K1888"/>
    <hyperlink r:id="rId1888" ref="K1889"/>
    <hyperlink r:id="rId1889" ref="K1890"/>
    <hyperlink r:id="rId1890" ref="K1891"/>
    <hyperlink r:id="rId1891" ref="K1892"/>
    <hyperlink r:id="rId1892" ref="K1893"/>
    <hyperlink r:id="rId1893" ref="K1894"/>
    <hyperlink r:id="rId1894" ref="K1895"/>
    <hyperlink r:id="rId1895" ref="K1896"/>
    <hyperlink r:id="rId1896" ref="K1897"/>
    <hyperlink r:id="rId1897" ref="K1898"/>
    <hyperlink r:id="rId1898" ref="K1899"/>
    <hyperlink r:id="rId1899" ref="K1900"/>
    <hyperlink r:id="rId1900" ref="K1901"/>
    <hyperlink r:id="rId1901" ref="K1902"/>
    <hyperlink r:id="rId1902" ref="K1903"/>
    <hyperlink r:id="rId1903" ref="K1904"/>
    <hyperlink r:id="rId1904" ref="K1905"/>
    <hyperlink r:id="rId1905" ref="K1906"/>
    <hyperlink r:id="rId1906" ref="K1907"/>
    <hyperlink r:id="rId1907" ref="K1908"/>
    <hyperlink r:id="rId1908" ref="K1909"/>
    <hyperlink r:id="rId1909" ref="K1910"/>
    <hyperlink r:id="rId1910" ref="K1911"/>
    <hyperlink r:id="rId1911" ref="K1912"/>
    <hyperlink r:id="rId1912" ref="K1913"/>
    <hyperlink r:id="rId1913" ref="K1914"/>
    <hyperlink r:id="rId1914" ref="K1915"/>
    <hyperlink r:id="rId1915" ref="K1916"/>
    <hyperlink r:id="rId1916" ref="K1917"/>
    <hyperlink r:id="rId1917" ref="K1918"/>
    <hyperlink r:id="rId1918" ref="K1919"/>
    <hyperlink r:id="rId1919" ref="K1920"/>
    <hyperlink r:id="rId1920" ref="K1921"/>
    <hyperlink r:id="rId1921" ref="K1922"/>
    <hyperlink r:id="rId1922" ref="K1923"/>
    <hyperlink r:id="rId1923" ref="K1924"/>
    <hyperlink r:id="rId1924" ref="K1925"/>
    <hyperlink r:id="rId1925" ref="K1926"/>
    <hyperlink r:id="rId1926" ref="K1927"/>
    <hyperlink r:id="rId1927" ref="K1928"/>
    <hyperlink r:id="rId1928" ref="K1929"/>
    <hyperlink r:id="rId1929" ref="K1930"/>
    <hyperlink r:id="rId1930" ref="K1931"/>
    <hyperlink r:id="rId1931" ref="K1932"/>
    <hyperlink r:id="rId1932" ref="K1933"/>
    <hyperlink r:id="rId1933" ref="K1934"/>
    <hyperlink r:id="rId1934" ref="K1935"/>
    <hyperlink r:id="rId1935" ref="K1936"/>
    <hyperlink r:id="rId1936" ref="K1937"/>
    <hyperlink r:id="rId1937" ref="K1938"/>
    <hyperlink r:id="rId1938" ref="K1939"/>
    <hyperlink r:id="rId1939" ref="K1940"/>
    <hyperlink r:id="rId1940" ref="K1941"/>
    <hyperlink r:id="rId1941" ref="K1942"/>
    <hyperlink r:id="rId1942" ref="K1943"/>
    <hyperlink r:id="rId1943" ref="K1944"/>
    <hyperlink r:id="rId1944" ref="K1945"/>
    <hyperlink r:id="rId1945" ref="K1946"/>
    <hyperlink r:id="rId1946" ref="K1947"/>
    <hyperlink r:id="rId1947" ref="K1948"/>
    <hyperlink r:id="rId1948" ref="K1949"/>
    <hyperlink r:id="rId1949" ref="K1950"/>
    <hyperlink r:id="rId1950" ref="K1951"/>
    <hyperlink r:id="rId1951" ref="K1952"/>
    <hyperlink r:id="rId1952" ref="K1953"/>
    <hyperlink r:id="rId1953" ref="K1954"/>
    <hyperlink r:id="rId1954" ref="K1955"/>
    <hyperlink r:id="rId1955" ref="K1956"/>
    <hyperlink r:id="rId1956" ref="K1957"/>
    <hyperlink r:id="rId1957" ref="K1958"/>
    <hyperlink r:id="rId1958" ref="K1959"/>
    <hyperlink r:id="rId1959" ref="K1960"/>
    <hyperlink r:id="rId1960" ref="K1961"/>
    <hyperlink r:id="rId1961" ref="K1962"/>
    <hyperlink r:id="rId1962" ref="K1963"/>
    <hyperlink r:id="rId1963" ref="K1964"/>
    <hyperlink r:id="rId1964" ref="K1965"/>
    <hyperlink r:id="rId1965" ref="K1966"/>
    <hyperlink r:id="rId1966" ref="K1967"/>
    <hyperlink r:id="rId1967" ref="K1968"/>
    <hyperlink r:id="rId1968" ref="K1969"/>
    <hyperlink r:id="rId1969" ref="K1970"/>
    <hyperlink r:id="rId1970" ref="K1971"/>
    <hyperlink r:id="rId1971" ref="K1972"/>
    <hyperlink r:id="rId1972" ref="K1973"/>
    <hyperlink r:id="rId1973" ref="K1974"/>
    <hyperlink r:id="rId1974" ref="K1975"/>
    <hyperlink r:id="rId1975" ref="K1976"/>
    <hyperlink r:id="rId1976" ref="K1977"/>
    <hyperlink r:id="rId1977" ref="K1978"/>
    <hyperlink r:id="rId1978" ref="K1979"/>
    <hyperlink r:id="rId1979" ref="K1980"/>
    <hyperlink r:id="rId1980" ref="K1981"/>
    <hyperlink r:id="rId1981" ref="K1982"/>
    <hyperlink r:id="rId1982" ref="K1983"/>
    <hyperlink r:id="rId1983" ref="K1984"/>
    <hyperlink r:id="rId1984" ref="K1985"/>
    <hyperlink r:id="rId1985" ref="K1986"/>
    <hyperlink r:id="rId1986" ref="K1987"/>
    <hyperlink r:id="rId1987" ref="K1988"/>
    <hyperlink r:id="rId1988" ref="K1989"/>
    <hyperlink r:id="rId1989" ref="K1990"/>
    <hyperlink r:id="rId1990" ref="K1991"/>
    <hyperlink r:id="rId1991" ref="K1992"/>
    <hyperlink r:id="rId1992" ref="K1993"/>
    <hyperlink r:id="rId1993" ref="K1994"/>
    <hyperlink r:id="rId1994" ref="K1995"/>
    <hyperlink r:id="rId1995" ref="K1996"/>
    <hyperlink r:id="rId1996" ref="K1997"/>
    <hyperlink r:id="rId1997" ref="K1998"/>
    <hyperlink r:id="rId1998" ref="K1999"/>
    <hyperlink r:id="rId1999" ref="K2000"/>
    <hyperlink r:id="rId2000" ref="K2001"/>
    <hyperlink r:id="rId2001" ref="K2002"/>
    <hyperlink r:id="rId2002" ref="K2003"/>
    <hyperlink r:id="rId2003" ref="K2004"/>
    <hyperlink r:id="rId2004" ref="K2005"/>
    <hyperlink r:id="rId2005" ref="K2006"/>
    <hyperlink r:id="rId2006" ref="K2007"/>
    <hyperlink r:id="rId2007" ref="K2008"/>
    <hyperlink r:id="rId2008" ref="K2009"/>
    <hyperlink r:id="rId2009" ref="K2010"/>
    <hyperlink r:id="rId2010" ref="K2011"/>
    <hyperlink r:id="rId2011" ref="K2012"/>
    <hyperlink r:id="rId2012" ref="K2013"/>
    <hyperlink r:id="rId2013" ref="K2014"/>
    <hyperlink r:id="rId2014" ref="K2015"/>
    <hyperlink r:id="rId2015" ref="K2016"/>
    <hyperlink r:id="rId2016" ref="K2017"/>
    <hyperlink r:id="rId2017" ref="K2018"/>
    <hyperlink r:id="rId2018" ref="K2019"/>
    <hyperlink r:id="rId2019" ref="K2020"/>
    <hyperlink r:id="rId2020" ref="K2021"/>
    <hyperlink r:id="rId2021" ref="K2022"/>
    <hyperlink r:id="rId2022" ref="K2023"/>
    <hyperlink r:id="rId2023" ref="K2024"/>
    <hyperlink r:id="rId2024" ref="K2025"/>
    <hyperlink r:id="rId2025" ref="K2026"/>
    <hyperlink r:id="rId2026" ref="K2027"/>
    <hyperlink r:id="rId2027" ref="K2028"/>
    <hyperlink r:id="rId2028" ref="K2029"/>
    <hyperlink r:id="rId2029" ref="K2030"/>
    <hyperlink r:id="rId2030" ref="K2031"/>
    <hyperlink r:id="rId2031" ref="K2032"/>
    <hyperlink r:id="rId2032" ref="K2033"/>
    <hyperlink r:id="rId2033" ref="K2034"/>
    <hyperlink r:id="rId2034" ref="K2035"/>
    <hyperlink r:id="rId2035" ref="K2036"/>
    <hyperlink r:id="rId2036" ref="K2037"/>
    <hyperlink r:id="rId2037" ref="K2038"/>
    <hyperlink r:id="rId2038" ref="K2039"/>
    <hyperlink r:id="rId2039" ref="K2040"/>
    <hyperlink r:id="rId2040" ref="K2041"/>
    <hyperlink r:id="rId2041" ref="K2042"/>
    <hyperlink r:id="rId2042" ref="K2043"/>
    <hyperlink r:id="rId2043" ref="K2044"/>
    <hyperlink r:id="rId2044" ref="K2045"/>
    <hyperlink r:id="rId2045" ref="K2046"/>
    <hyperlink r:id="rId2046" ref="K2047"/>
    <hyperlink r:id="rId2047" ref="K2048"/>
    <hyperlink r:id="rId2048" ref="K2049"/>
    <hyperlink r:id="rId2049" ref="K2050"/>
    <hyperlink r:id="rId2050" ref="K2051"/>
    <hyperlink r:id="rId2051" ref="K2052"/>
    <hyperlink r:id="rId2052" ref="K2053"/>
    <hyperlink r:id="rId2053" ref="K2054"/>
    <hyperlink r:id="rId2054" ref="K2055"/>
    <hyperlink r:id="rId2055" ref="K2056"/>
    <hyperlink r:id="rId2056" ref="K2057"/>
    <hyperlink r:id="rId2057" ref="K2058"/>
    <hyperlink r:id="rId2058" ref="K2059"/>
    <hyperlink r:id="rId2059" ref="K2060"/>
    <hyperlink r:id="rId2060" ref="K2061"/>
    <hyperlink r:id="rId2061" ref="K2062"/>
    <hyperlink r:id="rId2062" ref="K2063"/>
    <hyperlink r:id="rId2063" ref="K2064"/>
    <hyperlink r:id="rId2064" ref="K2065"/>
    <hyperlink r:id="rId2065" ref="K2066"/>
    <hyperlink r:id="rId2066" ref="K2067"/>
    <hyperlink r:id="rId2067" ref="K2068"/>
    <hyperlink r:id="rId2068" ref="K2069"/>
    <hyperlink r:id="rId2069" ref="K2070"/>
    <hyperlink r:id="rId2070" ref="K2071"/>
    <hyperlink r:id="rId2071" ref="K2072"/>
    <hyperlink r:id="rId2072" ref="K2073"/>
    <hyperlink r:id="rId2073" ref="K2074"/>
    <hyperlink r:id="rId2074" ref="K2075"/>
    <hyperlink r:id="rId2075" ref="K2076"/>
    <hyperlink r:id="rId2076" ref="K2077"/>
    <hyperlink r:id="rId2077" ref="K2078"/>
    <hyperlink r:id="rId2078" ref="K2079"/>
    <hyperlink r:id="rId2079" ref="K2080"/>
    <hyperlink r:id="rId2080" ref="K2081"/>
    <hyperlink r:id="rId2081" ref="K2082"/>
    <hyperlink r:id="rId2082" ref="K2083"/>
    <hyperlink r:id="rId2083" ref="K2084"/>
    <hyperlink r:id="rId2084" ref="K2085"/>
    <hyperlink r:id="rId2085" ref="K2086"/>
    <hyperlink r:id="rId2086" ref="K2087"/>
    <hyperlink r:id="rId2087" ref="K2088"/>
    <hyperlink r:id="rId2088" ref="K2089"/>
    <hyperlink r:id="rId2089" ref="K2090"/>
    <hyperlink r:id="rId2090" ref="K2091"/>
    <hyperlink r:id="rId2091" ref="K2092"/>
    <hyperlink r:id="rId2092" ref="K2093"/>
    <hyperlink r:id="rId2093" ref="K2094"/>
    <hyperlink r:id="rId2094" ref="K2095"/>
    <hyperlink r:id="rId2095" ref="K2096"/>
    <hyperlink r:id="rId2096" ref="K2097"/>
    <hyperlink r:id="rId2097" ref="K2098"/>
    <hyperlink r:id="rId2098" ref="K2099"/>
    <hyperlink r:id="rId2099" ref="K2100"/>
    <hyperlink r:id="rId2100" ref="K2101"/>
    <hyperlink r:id="rId2101" ref="K2102"/>
    <hyperlink r:id="rId2102" ref="K2103"/>
    <hyperlink r:id="rId2103" ref="K2104"/>
    <hyperlink r:id="rId2104" ref="K2105"/>
    <hyperlink r:id="rId2105" ref="K2106"/>
    <hyperlink r:id="rId2106" ref="K2107"/>
    <hyperlink r:id="rId2107" ref="K2108"/>
    <hyperlink r:id="rId2108" ref="K2109"/>
    <hyperlink r:id="rId2109" ref="K2110"/>
    <hyperlink r:id="rId2110" ref="K2111"/>
    <hyperlink r:id="rId2111" ref="K2112"/>
    <hyperlink r:id="rId2112" ref="K2113"/>
    <hyperlink r:id="rId2113" ref="K2114"/>
    <hyperlink r:id="rId2114" ref="K2115"/>
    <hyperlink r:id="rId2115" ref="K2116"/>
    <hyperlink r:id="rId2116" ref="K2117"/>
    <hyperlink r:id="rId2117" ref="K2118"/>
    <hyperlink r:id="rId2118" ref="K2119"/>
    <hyperlink r:id="rId2119" ref="K2120"/>
    <hyperlink r:id="rId2120" ref="K2121"/>
    <hyperlink r:id="rId2121" ref="K2122"/>
    <hyperlink r:id="rId2122" ref="K2123"/>
    <hyperlink r:id="rId2123" ref="K2124"/>
    <hyperlink r:id="rId2124" ref="K2125"/>
    <hyperlink r:id="rId2125" ref="K2126"/>
    <hyperlink r:id="rId2126" ref="K2127"/>
    <hyperlink r:id="rId2127" ref="K2128"/>
    <hyperlink r:id="rId2128" ref="K2129"/>
    <hyperlink r:id="rId2129" ref="K2130"/>
    <hyperlink r:id="rId2130" ref="K2131"/>
    <hyperlink r:id="rId2131" ref="K2132"/>
    <hyperlink r:id="rId2132" ref="K2133"/>
    <hyperlink r:id="rId2133" ref="K2134"/>
    <hyperlink r:id="rId2134" ref="K2135"/>
    <hyperlink r:id="rId2135" ref="K2136"/>
    <hyperlink r:id="rId2136" ref="K2137"/>
    <hyperlink r:id="rId2137" ref="K2138"/>
    <hyperlink r:id="rId2138" ref="K2139"/>
    <hyperlink r:id="rId2139" ref="K2140"/>
    <hyperlink r:id="rId2140" ref="K2141"/>
    <hyperlink r:id="rId2141" ref="K2142"/>
    <hyperlink r:id="rId2142" ref="K2143"/>
    <hyperlink r:id="rId2143" ref="K2144"/>
    <hyperlink r:id="rId2144" ref="K2145"/>
    <hyperlink r:id="rId2145" ref="K2146"/>
    <hyperlink r:id="rId2146" ref="K2147"/>
    <hyperlink r:id="rId2147" ref="K2148"/>
    <hyperlink r:id="rId2148" ref="K2149"/>
    <hyperlink r:id="rId2149" ref="K2150"/>
    <hyperlink r:id="rId2150" ref="K2151"/>
    <hyperlink r:id="rId2151" ref="K2152"/>
    <hyperlink r:id="rId2152" ref="K2153"/>
    <hyperlink r:id="rId2153" ref="K2154"/>
    <hyperlink r:id="rId2154" ref="K2155"/>
    <hyperlink r:id="rId2155" ref="K2156"/>
    <hyperlink r:id="rId2156" ref="K2157"/>
    <hyperlink r:id="rId2157" ref="K2158"/>
    <hyperlink r:id="rId2158" ref="K2159"/>
    <hyperlink r:id="rId2159" ref="K2160"/>
    <hyperlink r:id="rId2160" ref="K2161"/>
    <hyperlink r:id="rId2161" ref="K2162"/>
    <hyperlink r:id="rId2162" ref="K2163"/>
    <hyperlink r:id="rId2163" ref="K2164"/>
    <hyperlink r:id="rId2164" ref="K2165"/>
    <hyperlink r:id="rId2165" ref="K2166"/>
    <hyperlink r:id="rId2166" ref="K2167"/>
    <hyperlink r:id="rId2167" ref="K2168"/>
    <hyperlink r:id="rId2168" ref="K2169"/>
    <hyperlink r:id="rId2169" ref="K2170"/>
    <hyperlink r:id="rId2170" ref="K2171"/>
    <hyperlink r:id="rId2171" ref="K2172"/>
    <hyperlink r:id="rId2172" ref="K2173"/>
    <hyperlink r:id="rId2173" ref="K2174"/>
    <hyperlink r:id="rId2174" ref="K2175"/>
    <hyperlink r:id="rId2175" ref="K2176"/>
    <hyperlink r:id="rId2176" ref="K2177"/>
    <hyperlink r:id="rId2177" ref="K2178"/>
    <hyperlink r:id="rId2178" ref="K2179"/>
    <hyperlink r:id="rId2179" ref="K2180"/>
    <hyperlink r:id="rId2180" ref="K2181"/>
    <hyperlink r:id="rId2181" ref="K2182"/>
    <hyperlink r:id="rId2182" ref="K2183"/>
    <hyperlink r:id="rId2183" ref="K2184"/>
    <hyperlink r:id="rId2184" ref="K2185"/>
    <hyperlink r:id="rId2185" ref="K2186"/>
    <hyperlink r:id="rId2186" ref="K2187"/>
    <hyperlink r:id="rId2187" ref="K2188"/>
    <hyperlink r:id="rId2188" ref="K2189"/>
    <hyperlink r:id="rId2189" ref="K2190"/>
    <hyperlink r:id="rId2190" ref="K2191"/>
    <hyperlink r:id="rId2191" ref="K2192"/>
    <hyperlink r:id="rId2192" ref="K2193"/>
    <hyperlink r:id="rId2193" ref="K2194"/>
    <hyperlink r:id="rId2194" ref="K2195"/>
    <hyperlink r:id="rId2195" ref="K2196"/>
    <hyperlink r:id="rId2196" ref="K2197"/>
    <hyperlink r:id="rId2197" ref="K2198"/>
    <hyperlink r:id="rId2198" ref="K2199"/>
    <hyperlink r:id="rId2199" ref="K2200"/>
    <hyperlink r:id="rId2200" ref="K2201"/>
    <hyperlink r:id="rId2201" ref="K2202"/>
    <hyperlink r:id="rId2202" ref="K2203"/>
    <hyperlink r:id="rId2203" ref="K2204"/>
    <hyperlink r:id="rId2204" ref="K2205"/>
    <hyperlink r:id="rId2205" ref="K2206"/>
    <hyperlink r:id="rId2206" ref="K2207"/>
    <hyperlink r:id="rId2207" ref="K2208"/>
    <hyperlink r:id="rId2208" ref="K2209"/>
    <hyperlink r:id="rId2209" ref="K2210"/>
    <hyperlink r:id="rId2210" ref="K2211"/>
    <hyperlink r:id="rId2211" ref="K2212"/>
    <hyperlink r:id="rId2212" ref="K2213"/>
    <hyperlink r:id="rId2213" ref="K2214"/>
    <hyperlink r:id="rId2214" ref="K2215"/>
    <hyperlink r:id="rId2215" ref="K2216"/>
    <hyperlink r:id="rId2216" ref="K2217"/>
    <hyperlink r:id="rId2217" ref="K2218"/>
    <hyperlink r:id="rId2218" ref="K2219"/>
    <hyperlink r:id="rId2219" ref="K2220"/>
    <hyperlink r:id="rId2220" ref="K2221"/>
    <hyperlink r:id="rId2221" ref="K2222"/>
    <hyperlink r:id="rId2222" ref="K2223"/>
    <hyperlink r:id="rId2223" ref="K2224"/>
    <hyperlink r:id="rId2224" ref="K2225"/>
    <hyperlink r:id="rId2225" ref="K2226"/>
    <hyperlink r:id="rId2226" ref="K2227"/>
    <hyperlink r:id="rId2227" ref="K2228"/>
    <hyperlink r:id="rId2228" ref="K2229"/>
    <hyperlink r:id="rId2229" ref="K2230"/>
    <hyperlink r:id="rId2230" ref="K2231"/>
    <hyperlink r:id="rId2231" ref="K2232"/>
    <hyperlink r:id="rId2232" ref="K2233"/>
    <hyperlink r:id="rId2233" ref="K2234"/>
    <hyperlink r:id="rId2234" ref="K2235"/>
    <hyperlink r:id="rId2235" ref="K2236"/>
    <hyperlink r:id="rId2236" ref="K2237"/>
    <hyperlink r:id="rId2237" ref="K2238"/>
    <hyperlink r:id="rId2238" ref="K2239"/>
    <hyperlink r:id="rId2239" ref="K2240"/>
    <hyperlink r:id="rId2240" ref="K2241"/>
    <hyperlink r:id="rId2241" ref="K2242"/>
    <hyperlink r:id="rId2242" ref="K2243"/>
    <hyperlink r:id="rId2243" ref="K2244"/>
    <hyperlink r:id="rId2244" ref="K2245"/>
    <hyperlink r:id="rId2245" ref="K2246"/>
    <hyperlink r:id="rId2246" ref="K2247"/>
    <hyperlink r:id="rId2247" ref="K2248"/>
    <hyperlink r:id="rId2248" ref="K2249"/>
    <hyperlink r:id="rId2249" ref="K2250"/>
    <hyperlink r:id="rId2250" ref="K2251"/>
    <hyperlink r:id="rId2251" ref="K2252"/>
    <hyperlink r:id="rId2252" ref="K2253"/>
    <hyperlink r:id="rId2253" ref="K2254"/>
    <hyperlink r:id="rId2254" ref="K2255"/>
    <hyperlink r:id="rId2255" ref="K2256"/>
    <hyperlink r:id="rId2256" ref="K2257"/>
    <hyperlink r:id="rId2257" ref="K2258"/>
    <hyperlink r:id="rId2258" ref="K2259"/>
    <hyperlink r:id="rId2259" ref="K2260"/>
    <hyperlink r:id="rId2260" ref="K2261"/>
    <hyperlink r:id="rId2261" ref="K2262"/>
    <hyperlink r:id="rId2262" ref="K2263"/>
    <hyperlink r:id="rId2263" ref="K2264"/>
    <hyperlink r:id="rId2264" ref="K2265"/>
    <hyperlink r:id="rId2265" ref="K2266"/>
    <hyperlink r:id="rId2266" ref="K2267"/>
    <hyperlink r:id="rId2267" ref="K2268"/>
    <hyperlink r:id="rId2268" ref="K2269"/>
    <hyperlink r:id="rId2269" ref="K2270"/>
    <hyperlink r:id="rId2270" ref="K2271"/>
    <hyperlink r:id="rId2271" ref="K2272"/>
    <hyperlink r:id="rId2272" ref="K2273"/>
    <hyperlink r:id="rId2273" ref="K2274"/>
    <hyperlink r:id="rId2274" ref="K2275"/>
    <hyperlink r:id="rId2275" ref="K2276"/>
    <hyperlink r:id="rId2276" ref="K2277"/>
    <hyperlink r:id="rId2277" ref="K2278"/>
    <hyperlink r:id="rId2278" ref="K2279"/>
    <hyperlink r:id="rId2279" ref="K2280"/>
    <hyperlink r:id="rId2280" ref="K2281"/>
    <hyperlink r:id="rId2281" ref="K2282"/>
    <hyperlink r:id="rId2282" ref="K2283"/>
    <hyperlink r:id="rId2283" ref="K2284"/>
    <hyperlink r:id="rId2284" ref="K2285"/>
    <hyperlink r:id="rId2285" ref="K2286"/>
    <hyperlink r:id="rId2286" ref="K2287"/>
    <hyperlink r:id="rId2287" ref="K2288"/>
    <hyperlink r:id="rId2288" ref="K2289"/>
    <hyperlink r:id="rId2289" ref="K2290"/>
    <hyperlink r:id="rId2290" ref="K2291"/>
    <hyperlink r:id="rId2291" ref="K2292"/>
    <hyperlink r:id="rId2292" ref="K2293"/>
    <hyperlink r:id="rId2293" ref="K2294"/>
    <hyperlink r:id="rId2294" ref="K2295"/>
    <hyperlink r:id="rId2295" ref="K2296"/>
    <hyperlink r:id="rId2296" ref="K2297"/>
    <hyperlink r:id="rId2297" ref="K2298"/>
    <hyperlink r:id="rId2298" ref="K2299"/>
    <hyperlink r:id="rId2299" ref="K2300"/>
    <hyperlink r:id="rId2300" ref="K2301"/>
    <hyperlink r:id="rId2301" ref="K2302"/>
    <hyperlink r:id="rId2302" ref="K2303"/>
    <hyperlink r:id="rId2303" ref="K2304"/>
    <hyperlink r:id="rId2304" ref="K2305"/>
    <hyperlink r:id="rId2305" ref="K2306"/>
    <hyperlink r:id="rId2306" ref="K2307"/>
    <hyperlink r:id="rId2307" ref="K2308"/>
    <hyperlink r:id="rId2308" ref="K2309"/>
    <hyperlink r:id="rId2309" ref="K2310"/>
    <hyperlink r:id="rId2310" ref="K2311"/>
    <hyperlink r:id="rId2311" ref="K2312"/>
    <hyperlink r:id="rId2312" ref="K2313"/>
    <hyperlink r:id="rId2313" ref="K2314"/>
    <hyperlink r:id="rId2314" ref="K2315"/>
    <hyperlink r:id="rId2315" ref="K2316"/>
    <hyperlink r:id="rId2316" ref="K2317"/>
    <hyperlink r:id="rId2317" ref="K2318"/>
    <hyperlink r:id="rId2318" ref="K2319"/>
    <hyperlink r:id="rId2319" ref="K2320"/>
    <hyperlink r:id="rId2320" ref="K2321"/>
    <hyperlink r:id="rId2321" ref="K2322"/>
    <hyperlink r:id="rId2322" ref="K2323"/>
    <hyperlink r:id="rId2323" ref="K2324"/>
    <hyperlink r:id="rId2324" ref="K2325"/>
    <hyperlink r:id="rId2325" ref="K2326"/>
    <hyperlink r:id="rId2326" ref="K2327"/>
    <hyperlink r:id="rId2327" ref="K2328"/>
    <hyperlink r:id="rId2328" ref="K2329"/>
    <hyperlink r:id="rId2329" ref="K2330"/>
    <hyperlink r:id="rId2330" ref="K2331"/>
    <hyperlink r:id="rId2331" ref="K2332"/>
    <hyperlink r:id="rId2332" ref="K2333"/>
    <hyperlink r:id="rId2333" ref="K2334"/>
    <hyperlink r:id="rId2334" ref="K2335"/>
    <hyperlink r:id="rId2335" ref="K2336"/>
    <hyperlink r:id="rId2336" ref="K2337"/>
    <hyperlink r:id="rId2337" ref="K2338"/>
    <hyperlink r:id="rId2338" ref="K2339"/>
    <hyperlink r:id="rId2339" ref="K2340"/>
    <hyperlink r:id="rId2340" ref="K2341"/>
    <hyperlink r:id="rId2341" ref="K2342"/>
    <hyperlink r:id="rId2342" ref="K2343"/>
    <hyperlink r:id="rId2343" ref="K2344"/>
    <hyperlink r:id="rId2344" ref="K2345"/>
    <hyperlink r:id="rId2345" ref="K2346"/>
    <hyperlink r:id="rId2346" ref="K2347"/>
    <hyperlink r:id="rId2347" ref="K2348"/>
    <hyperlink r:id="rId2348" ref="K2349"/>
    <hyperlink r:id="rId2349" ref="K2350"/>
    <hyperlink r:id="rId2350" ref="K2351"/>
    <hyperlink r:id="rId2351" ref="K2352"/>
    <hyperlink r:id="rId2352" ref="K2353"/>
    <hyperlink r:id="rId2353" ref="K2354"/>
    <hyperlink r:id="rId2354" ref="K2355"/>
    <hyperlink r:id="rId2355" ref="K2356"/>
    <hyperlink r:id="rId2356" ref="K2357"/>
    <hyperlink r:id="rId2357" ref="K2358"/>
    <hyperlink r:id="rId2358" ref="K2359"/>
    <hyperlink r:id="rId2359" ref="K2360"/>
    <hyperlink r:id="rId2360" ref="K2361"/>
    <hyperlink r:id="rId2361" ref="K2362"/>
    <hyperlink r:id="rId2362" ref="K2363"/>
    <hyperlink r:id="rId2363" ref="K2364"/>
    <hyperlink r:id="rId2364" ref="K2365"/>
    <hyperlink r:id="rId2365" ref="K2366"/>
    <hyperlink r:id="rId2366" ref="K2367"/>
    <hyperlink r:id="rId2367" ref="K2368"/>
    <hyperlink r:id="rId2368" ref="K2369"/>
    <hyperlink r:id="rId2369" ref="K2370"/>
    <hyperlink r:id="rId2370" ref="K2371"/>
    <hyperlink r:id="rId2371" ref="K2372"/>
    <hyperlink r:id="rId2372" ref="K2373"/>
    <hyperlink r:id="rId2373" ref="K2374"/>
    <hyperlink r:id="rId2374" ref="K2375"/>
    <hyperlink r:id="rId2375" ref="K2376"/>
    <hyperlink r:id="rId2376" ref="K2377"/>
    <hyperlink r:id="rId2377" ref="K2378"/>
    <hyperlink r:id="rId2378" ref="K2379"/>
    <hyperlink r:id="rId2379" ref="K2380"/>
    <hyperlink r:id="rId2380" ref="K2381"/>
    <hyperlink r:id="rId2381" ref="K2382"/>
    <hyperlink r:id="rId2382" ref="K2383"/>
    <hyperlink r:id="rId2383" ref="K2384"/>
    <hyperlink r:id="rId2384" ref="K2385"/>
    <hyperlink r:id="rId2385" ref="K2386"/>
    <hyperlink r:id="rId2386" ref="K2387"/>
    <hyperlink r:id="rId2387" ref="K2388"/>
    <hyperlink r:id="rId2388" ref="K2389"/>
    <hyperlink r:id="rId2389" ref="K2390"/>
    <hyperlink r:id="rId2390" ref="K2391"/>
    <hyperlink r:id="rId2391" ref="K2392"/>
    <hyperlink r:id="rId2392" ref="K2393"/>
    <hyperlink r:id="rId2393" ref="K2394"/>
    <hyperlink r:id="rId2394" ref="K2395"/>
    <hyperlink r:id="rId2395" ref="K2396"/>
    <hyperlink r:id="rId2396" ref="K2397"/>
    <hyperlink r:id="rId2397" ref="K2398"/>
    <hyperlink r:id="rId2398" ref="K2399"/>
    <hyperlink r:id="rId2399" ref="K2400"/>
    <hyperlink r:id="rId2400" ref="K2401"/>
    <hyperlink r:id="rId2401" ref="K2402"/>
    <hyperlink r:id="rId2402" ref="K2403"/>
    <hyperlink r:id="rId2403" ref="K2404"/>
    <hyperlink r:id="rId2404" ref="K2405"/>
    <hyperlink r:id="rId2405" ref="K2406"/>
    <hyperlink r:id="rId2406" ref="K2407"/>
    <hyperlink r:id="rId2407" ref="K2408"/>
    <hyperlink r:id="rId2408" ref="K2409"/>
    <hyperlink r:id="rId2409" ref="K2410"/>
    <hyperlink r:id="rId2410" ref="K2411"/>
    <hyperlink r:id="rId2411" ref="K2412"/>
    <hyperlink r:id="rId2412" ref="K2413"/>
    <hyperlink r:id="rId2413" ref="K2414"/>
    <hyperlink r:id="rId2414" ref="K2415"/>
    <hyperlink r:id="rId2415" ref="K2416"/>
    <hyperlink r:id="rId2416" ref="K2417"/>
    <hyperlink r:id="rId2417" ref="K2418"/>
    <hyperlink r:id="rId2418" ref="K2419"/>
    <hyperlink r:id="rId2419" ref="K2420"/>
    <hyperlink r:id="rId2420" ref="K2421"/>
    <hyperlink r:id="rId2421" ref="K2422"/>
    <hyperlink r:id="rId2422" ref="K2423"/>
    <hyperlink r:id="rId2423" ref="K2424"/>
    <hyperlink r:id="rId2424" ref="K2425"/>
    <hyperlink r:id="rId2425" ref="K2426"/>
    <hyperlink r:id="rId2426" ref="K2427"/>
    <hyperlink r:id="rId2427" ref="K2428"/>
    <hyperlink r:id="rId2428" ref="K2429"/>
    <hyperlink r:id="rId2429" ref="K2430"/>
    <hyperlink r:id="rId2430" ref="K2431"/>
    <hyperlink r:id="rId2431" ref="K2432"/>
    <hyperlink r:id="rId2432" ref="K2433"/>
    <hyperlink r:id="rId2433" ref="K2434"/>
    <hyperlink r:id="rId2434" ref="K2435"/>
    <hyperlink r:id="rId2435" ref="K2436"/>
    <hyperlink r:id="rId2436" ref="K2437"/>
    <hyperlink r:id="rId2437" ref="K2438"/>
    <hyperlink r:id="rId2438" ref="K2439"/>
    <hyperlink r:id="rId2439" ref="K2440"/>
    <hyperlink r:id="rId2440" ref="K2441"/>
    <hyperlink r:id="rId2441" ref="K2442"/>
    <hyperlink r:id="rId2442" ref="K2443"/>
    <hyperlink r:id="rId2443" ref="K2444"/>
    <hyperlink r:id="rId2444" ref="K2445"/>
    <hyperlink r:id="rId2445" ref="K2446"/>
    <hyperlink r:id="rId2446" ref="K2447"/>
    <hyperlink r:id="rId2447" ref="K2448"/>
    <hyperlink r:id="rId2448" ref="K2449"/>
    <hyperlink r:id="rId2449" ref="K2450"/>
    <hyperlink r:id="rId2450" ref="K2451"/>
    <hyperlink r:id="rId2451" ref="K2452"/>
    <hyperlink r:id="rId2452" ref="K2453"/>
    <hyperlink r:id="rId2453" ref="K2454"/>
    <hyperlink r:id="rId2454" ref="K2455"/>
    <hyperlink r:id="rId2455" ref="K2456"/>
    <hyperlink r:id="rId2456" ref="K2457"/>
    <hyperlink r:id="rId2457" ref="K2458"/>
    <hyperlink r:id="rId2458" ref="K2459"/>
    <hyperlink r:id="rId2459" ref="K2460"/>
    <hyperlink r:id="rId2460" ref="K2461"/>
    <hyperlink r:id="rId2461" ref="K2462"/>
    <hyperlink r:id="rId2462" ref="K2463"/>
    <hyperlink r:id="rId2463" ref="K2464"/>
    <hyperlink r:id="rId2464" ref="K2465"/>
    <hyperlink r:id="rId2465" ref="K2466"/>
    <hyperlink r:id="rId2466" ref="K2467"/>
    <hyperlink r:id="rId2467" ref="K2468"/>
    <hyperlink r:id="rId2468" ref="K2469"/>
    <hyperlink r:id="rId2469" ref="K2470"/>
    <hyperlink r:id="rId2470" ref="K2471"/>
    <hyperlink r:id="rId2471" ref="K2472"/>
    <hyperlink r:id="rId2472" ref="K2473"/>
    <hyperlink r:id="rId2473" ref="K2474"/>
    <hyperlink r:id="rId2474" ref="K2475"/>
    <hyperlink r:id="rId2475" ref="K2476"/>
    <hyperlink r:id="rId2476" ref="K2477"/>
    <hyperlink r:id="rId2477" ref="K2478"/>
    <hyperlink r:id="rId2478" ref="K2479"/>
    <hyperlink r:id="rId2479" ref="K2480"/>
    <hyperlink r:id="rId2480" ref="K2481"/>
    <hyperlink r:id="rId2481" ref="K2482"/>
    <hyperlink r:id="rId2482" ref="K2483"/>
    <hyperlink r:id="rId2483" ref="K2484"/>
    <hyperlink r:id="rId2484" ref="K2485"/>
    <hyperlink r:id="rId2485" ref="K2486"/>
    <hyperlink r:id="rId2486" ref="K2487"/>
    <hyperlink r:id="rId2487" ref="K2488"/>
    <hyperlink r:id="rId2488" ref="K2489"/>
    <hyperlink r:id="rId2489" ref="K2490"/>
    <hyperlink r:id="rId2490" ref="K2491"/>
    <hyperlink r:id="rId2491" ref="K2492"/>
    <hyperlink r:id="rId2492" ref="K2493"/>
    <hyperlink r:id="rId2493" ref="K2494"/>
    <hyperlink r:id="rId2494" ref="K2495"/>
    <hyperlink r:id="rId2495" ref="K2496"/>
    <hyperlink r:id="rId2496" ref="K2497"/>
    <hyperlink r:id="rId2497" ref="K2498"/>
    <hyperlink r:id="rId2498" ref="K2499"/>
    <hyperlink r:id="rId2499" ref="K2500"/>
    <hyperlink r:id="rId2500" ref="K2501"/>
    <hyperlink r:id="rId2501" ref="K2502"/>
    <hyperlink r:id="rId2502" ref="K2503"/>
    <hyperlink r:id="rId2503" ref="K2504"/>
    <hyperlink r:id="rId2504" ref="K2505"/>
    <hyperlink r:id="rId2505" ref="K2506"/>
    <hyperlink r:id="rId2506" ref="K2507"/>
    <hyperlink r:id="rId2507" ref="K2508"/>
    <hyperlink r:id="rId2508" ref="K2509"/>
    <hyperlink r:id="rId2509" ref="K2510"/>
    <hyperlink r:id="rId2510" ref="K2511"/>
    <hyperlink r:id="rId2511" ref="K2512"/>
    <hyperlink r:id="rId2512" ref="K2513"/>
    <hyperlink r:id="rId2513" ref="K2514"/>
    <hyperlink r:id="rId2514" ref="K2515"/>
    <hyperlink r:id="rId2515" ref="K2516"/>
    <hyperlink r:id="rId2516" ref="K2517"/>
    <hyperlink r:id="rId2517" ref="K2518"/>
    <hyperlink r:id="rId2518" ref="K2519"/>
    <hyperlink r:id="rId2519" ref="K2520"/>
    <hyperlink r:id="rId2520" ref="K2521"/>
    <hyperlink r:id="rId2521" ref="K2522"/>
    <hyperlink r:id="rId2522" ref="K2523"/>
    <hyperlink r:id="rId2523" ref="K2524"/>
    <hyperlink r:id="rId2524" ref="K2525"/>
    <hyperlink r:id="rId2525" ref="K2526"/>
    <hyperlink r:id="rId2526" ref="K2527"/>
    <hyperlink r:id="rId2527" ref="K2528"/>
    <hyperlink r:id="rId2528" ref="K2529"/>
    <hyperlink r:id="rId2529" ref="K2530"/>
    <hyperlink r:id="rId2530" ref="K2531"/>
    <hyperlink r:id="rId2531" ref="K2532"/>
    <hyperlink r:id="rId2532" ref="K2533"/>
    <hyperlink r:id="rId2533" ref="K2534"/>
    <hyperlink r:id="rId2534" ref="K2535"/>
    <hyperlink r:id="rId2535" ref="K2536"/>
    <hyperlink r:id="rId2536" ref="K2537"/>
    <hyperlink r:id="rId2537" ref="K2538"/>
    <hyperlink r:id="rId2538" ref="K2539"/>
    <hyperlink r:id="rId2539" ref="K2540"/>
    <hyperlink r:id="rId2540" ref="K2541"/>
    <hyperlink r:id="rId2541" ref="K2542"/>
    <hyperlink r:id="rId2542" ref="K2543"/>
    <hyperlink r:id="rId2543" ref="K2544"/>
    <hyperlink r:id="rId2544" ref="K2545"/>
    <hyperlink r:id="rId2545" ref="K2546"/>
    <hyperlink r:id="rId2546" ref="K2547"/>
    <hyperlink r:id="rId2547" ref="K2548"/>
    <hyperlink r:id="rId2548" ref="K2549"/>
    <hyperlink r:id="rId2549" ref="K2550"/>
    <hyperlink r:id="rId2550" ref="K2551"/>
    <hyperlink r:id="rId2551" ref="K2552"/>
    <hyperlink r:id="rId2552" ref="K2553"/>
    <hyperlink r:id="rId2553" ref="K2554"/>
    <hyperlink r:id="rId2554" ref="K2555"/>
    <hyperlink r:id="rId2555" ref="K2556"/>
    <hyperlink r:id="rId2556" ref="K2557"/>
    <hyperlink r:id="rId2557" ref="K2558"/>
    <hyperlink r:id="rId2558" ref="K2559"/>
    <hyperlink r:id="rId2559" ref="K2560"/>
    <hyperlink r:id="rId2560" ref="K2561"/>
    <hyperlink r:id="rId2561" ref="K2562"/>
    <hyperlink r:id="rId2562" ref="K2563"/>
    <hyperlink r:id="rId2563" ref="K2564"/>
    <hyperlink r:id="rId2564" ref="K2565"/>
    <hyperlink r:id="rId2565" ref="K2566"/>
    <hyperlink r:id="rId2566" ref="K2567"/>
    <hyperlink r:id="rId2567" ref="K2568"/>
    <hyperlink r:id="rId2568" ref="K2569"/>
    <hyperlink r:id="rId2569" ref="K2570"/>
    <hyperlink r:id="rId2570" ref="K2571"/>
    <hyperlink r:id="rId2571" ref="K2572"/>
    <hyperlink r:id="rId2572" ref="K2573"/>
    <hyperlink r:id="rId2573" ref="K2574"/>
    <hyperlink r:id="rId2574" ref="K2575"/>
    <hyperlink r:id="rId2575" ref="K2576"/>
    <hyperlink r:id="rId2576" ref="K2577"/>
    <hyperlink r:id="rId2577" ref="K2578"/>
    <hyperlink r:id="rId2578" ref="K2579"/>
    <hyperlink r:id="rId2579" ref="K2580"/>
    <hyperlink r:id="rId2580" ref="K2581"/>
    <hyperlink r:id="rId2581" ref="K2582"/>
    <hyperlink r:id="rId2582" ref="K2583"/>
    <hyperlink r:id="rId2583" ref="K2584"/>
    <hyperlink r:id="rId2584" ref="K2585"/>
    <hyperlink r:id="rId2585" ref="K2586"/>
    <hyperlink r:id="rId2586" ref="K2587"/>
    <hyperlink r:id="rId2587" ref="K2588"/>
    <hyperlink r:id="rId2588" ref="K2589"/>
    <hyperlink r:id="rId2589" ref="K2590"/>
    <hyperlink r:id="rId2590" ref="K2591"/>
    <hyperlink r:id="rId2591" ref="K2592"/>
    <hyperlink r:id="rId2592" ref="K2593"/>
    <hyperlink r:id="rId2593" ref="K2594"/>
    <hyperlink r:id="rId2594" ref="K2595"/>
    <hyperlink r:id="rId2595" ref="K2596"/>
    <hyperlink r:id="rId2596" ref="K2597"/>
    <hyperlink r:id="rId2597" ref="K2598"/>
    <hyperlink r:id="rId2598" ref="K2599"/>
    <hyperlink r:id="rId2599" ref="K2600"/>
    <hyperlink r:id="rId2600" ref="K2601"/>
    <hyperlink r:id="rId2601" ref="K2602"/>
    <hyperlink r:id="rId2602" ref="K2603"/>
    <hyperlink r:id="rId2603" ref="K2604"/>
    <hyperlink r:id="rId2604" ref="K2605"/>
    <hyperlink r:id="rId2605" ref="K2606"/>
    <hyperlink r:id="rId2606" ref="K2607"/>
    <hyperlink r:id="rId2607" ref="K2608"/>
    <hyperlink r:id="rId2608" ref="K2609"/>
    <hyperlink r:id="rId2609" ref="K2610"/>
    <hyperlink r:id="rId2610" ref="K2611"/>
    <hyperlink r:id="rId2611" ref="K2612"/>
    <hyperlink r:id="rId2612" ref="K2613"/>
    <hyperlink r:id="rId2613" ref="K2614"/>
    <hyperlink r:id="rId2614" ref="K2615"/>
    <hyperlink r:id="rId2615" ref="K2616"/>
    <hyperlink r:id="rId2616" ref="K2617"/>
    <hyperlink r:id="rId2617" ref="K2618"/>
    <hyperlink r:id="rId2618" ref="K2619"/>
    <hyperlink r:id="rId2619" ref="K2620"/>
    <hyperlink r:id="rId2620" ref="K2621"/>
    <hyperlink r:id="rId2621" ref="K2622"/>
    <hyperlink r:id="rId2622" ref="K2623"/>
    <hyperlink r:id="rId2623" ref="K2624"/>
    <hyperlink r:id="rId2624" ref="K2625"/>
    <hyperlink r:id="rId2625" ref="K2626"/>
    <hyperlink r:id="rId2626" ref="K2627"/>
    <hyperlink r:id="rId2627" ref="K2628"/>
    <hyperlink r:id="rId2628" ref="K2629"/>
    <hyperlink r:id="rId2629" ref="K2630"/>
    <hyperlink r:id="rId2630" ref="K2631"/>
    <hyperlink r:id="rId2631" ref="K2632"/>
    <hyperlink r:id="rId2632" ref="K2633"/>
    <hyperlink r:id="rId2633" ref="K2634"/>
    <hyperlink r:id="rId2634" ref="K2635"/>
    <hyperlink r:id="rId2635" ref="K2636"/>
    <hyperlink r:id="rId2636" ref="K2637"/>
    <hyperlink r:id="rId2637" ref="K2638"/>
    <hyperlink r:id="rId2638" ref="K2639"/>
    <hyperlink r:id="rId2639" ref="K2640"/>
    <hyperlink r:id="rId2640" ref="K2641"/>
    <hyperlink r:id="rId2641" ref="K2642"/>
    <hyperlink r:id="rId2642" ref="K2643"/>
    <hyperlink r:id="rId2643" ref="K2644"/>
    <hyperlink r:id="rId2644" ref="K2645"/>
    <hyperlink r:id="rId2645" ref="K2646"/>
    <hyperlink r:id="rId2646" ref="K2647"/>
    <hyperlink r:id="rId2647" ref="K2648"/>
    <hyperlink r:id="rId2648" ref="K2649"/>
    <hyperlink r:id="rId2649" ref="K2650"/>
    <hyperlink r:id="rId2650" ref="K2651"/>
    <hyperlink r:id="rId2651" ref="K2652"/>
    <hyperlink r:id="rId2652" ref="K2653"/>
    <hyperlink r:id="rId2653" ref="K2654"/>
    <hyperlink r:id="rId2654" ref="K2655"/>
    <hyperlink r:id="rId2655" ref="K2656"/>
    <hyperlink r:id="rId2656" ref="K2657"/>
    <hyperlink r:id="rId2657" ref="K2658"/>
    <hyperlink r:id="rId2658" ref="K2659"/>
    <hyperlink r:id="rId2659" ref="K2660"/>
    <hyperlink r:id="rId2660" ref="K2661"/>
    <hyperlink r:id="rId2661" ref="K2662"/>
    <hyperlink r:id="rId2662" ref="K2663"/>
    <hyperlink r:id="rId2663" ref="K2664"/>
    <hyperlink r:id="rId2664" ref="K2665"/>
    <hyperlink r:id="rId2665" ref="K2666"/>
    <hyperlink r:id="rId2666" ref="K2667"/>
    <hyperlink r:id="rId2667" ref="K2668"/>
    <hyperlink r:id="rId2668" ref="K2669"/>
    <hyperlink r:id="rId2669" ref="K2670"/>
    <hyperlink r:id="rId2670" ref="K2671"/>
    <hyperlink r:id="rId2671" ref="K2672"/>
    <hyperlink r:id="rId2672" ref="K2673"/>
    <hyperlink r:id="rId2673" ref="K2674"/>
    <hyperlink r:id="rId2674" ref="K2675"/>
    <hyperlink r:id="rId2675" ref="K2676"/>
    <hyperlink r:id="rId2676" ref="K2677"/>
    <hyperlink r:id="rId2677" ref="K2678"/>
    <hyperlink r:id="rId2678" ref="K2679"/>
    <hyperlink r:id="rId2679" ref="K2680"/>
    <hyperlink r:id="rId2680" ref="K2681"/>
    <hyperlink r:id="rId2681" ref="K2682"/>
    <hyperlink r:id="rId2682" ref="K2683"/>
    <hyperlink r:id="rId2683" ref="K2684"/>
    <hyperlink r:id="rId2684" ref="K2685"/>
    <hyperlink r:id="rId2685" ref="K2686"/>
    <hyperlink r:id="rId2686" ref="K2687"/>
    <hyperlink r:id="rId2687" ref="K2688"/>
    <hyperlink r:id="rId2688" ref="K2689"/>
    <hyperlink r:id="rId2689" ref="K2690"/>
    <hyperlink r:id="rId2690" ref="K2691"/>
    <hyperlink r:id="rId2691" ref="K2692"/>
    <hyperlink r:id="rId2692" ref="K2693"/>
    <hyperlink r:id="rId2693" ref="K2694"/>
    <hyperlink r:id="rId2694" ref="K2695"/>
    <hyperlink r:id="rId2695" ref="K2696"/>
    <hyperlink r:id="rId2696" ref="K2697"/>
    <hyperlink r:id="rId2697" ref="K2698"/>
    <hyperlink r:id="rId2698" ref="K2699"/>
    <hyperlink r:id="rId2699" ref="K2700"/>
    <hyperlink r:id="rId2700" ref="K2701"/>
    <hyperlink r:id="rId2701" ref="K2702"/>
    <hyperlink r:id="rId2702" ref="K2703"/>
    <hyperlink r:id="rId2703" ref="K2704"/>
    <hyperlink r:id="rId2704" ref="K2705"/>
    <hyperlink r:id="rId2705" ref="K2706"/>
    <hyperlink r:id="rId2706" ref="K2707"/>
    <hyperlink r:id="rId2707" ref="K2708"/>
    <hyperlink r:id="rId2708" ref="K2709"/>
    <hyperlink r:id="rId2709" ref="K2710"/>
    <hyperlink r:id="rId2710" ref="K2711"/>
    <hyperlink r:id="rId2711" ref="K2712"/>
    <hyperlink r:id="rId2712" ref="K2713"/>
    <hyperlink r:id="rId2713" ref="K2714"/>
    <hyperlink r:id="rId2714" ref="K2715"/>
    <hyperlink r:id="rId2715" ref="K2716"/>
    <hyperlink r:id="rId2716" ref="K2717"/>
    <hyperlink r:id="rId2717" ref="K2718"/>
    <hyperlink r:id="rId2718" ref="K2719"/>
    <hyperlink r:id="rId2719" ref="K2720"/>
    <hyperlink r:id="rId2720" ref="K2721"/>
    <hyperlink r:id="rId2721" ref="K2722"/>
    <hyperlink r:id="rId2722" ref="K2723"/>
    <hyperlink r:id="rId2723" ref="K2724"/>
    <hyperlink r:id="rId2724" ref="K2725"/>
    <hyperlink r:id="rId2725" ref="K2726"/>
    <hyperlink r:id="rId2726" ref="K2727"/>
    <hyperlink r:id="rId2727" ref="K2728"/>
    <hyperlink r:id="rId2728" ref="K2729"/>
    <hyperlink r:id="rId2729" ref="K2730"/>
    <hyperlink r:id="rId2730" ref="K2731"/>
    <hyperlink r:id="rId2731" ref="K2732"/>
    <hyperlink r:id="rId2732" ref="K2733"/>
    <hyperlink r:id="rId2733" ref="K2734"/>
    <hyperlink r:id="rId2734" ref="K2735"/>
    <hyperlink r:id="rId2735" ref="K2736"/>
    <hyperlink r:id="rId2736" ref="K2737"/>
    <hyperlink r:id="rId2737" ref="K2738"/>
    <hyperlink r:id="rId2738" ref="K2739"/>
    <hyperlink r:id="rId2739" ref="K2740"/>
    <hyperlink r:id="rId2740" ref="K2741"/>
    <hyperlink r:id="rId2741" ref="K2742"/>
    <hyperlink r:id="rId2742" ref="K2743"/>
    <hyperlink r:id="rId2743" ref="K2744"/>
    <hyperlink r:id="rId2744" ref="K2745"/>
    <hyperlink r:id="rId2745" ref="K2746"/>
    <hyperlink r:id="rId2746" ref="K2747"/>
    <hyperlink r:id="rId2747" ref="K2748"/>
    <hyperlink r:id="rId2748" ref="K2749"/>
    <hyperlink r:id="rId2749" ref="K2750"/>
    <hyperlink r:id="rId2750" ref="K2751"/>
    <hyperlink r:id="rId2751" ref="K2752"/>
    <hyperlink r:id="rId2752" ref="K2753"/>
    <hyperlink r:id="rId2753" ref="K2754"/>
    <hyperlink r:id="rId2754" ref="K2755"/>
    <hyperlink r:id="rId2755" ref="K2756"/>
    <hyperlink r:id="rId2756" ref="K2757"/>
    <hyperlink r:id="rId2757" ref="K2758"/>
    <hyperlink r:id="rId2758" ref="K2759"/>
    <hyperlink r:id="rId2759" ref="K2760"/>
    <hyperlink r:id="rId2760" ref="K2761"/>
    <hyperlink r:id="rId2761" ref="K2762"/>
    <hyperlink r:id="rId2762" ref="K2763"/>
    <hyperlink r:id="rId2763" ref="K2764"/>
    <hyperlink r:id="rId2764" ref="K2765"/>
    <hyperlink r:id="rId2765" ref="K2766"/>
    <hyperlink r:id="rId2766" ref="K2767"/>
    <hyperlink r:id="rId2767" ref="K2768"/>
    <hyperlink r:id="rId2768" ref="K2769"/>
    <hyperlink r:id="rId2769" ref="K2770"/>
    <hyperlink r:id="rId2770" ref="K2771"/>
    <hyperlink r:id="rId2771" ref="K2772"/>
    <hyperlink r:id="rId2772" ref="K2773"/>
    <hyperlink r:id="rId2773" ref="K2774"/>
    <hyperlink r:id="rId2774" ref="K2775"/>
    <hyperlink r:id="rId2775" ref="K2776"/>
    <hyperlink r:id="rId2776" ref="K2777"/>
    <hyperlink r:id="rId2777" ref="K2778"/>
    <hyperlink r:id="rId2778" ref="K2779"/>
    <hyperlink r:id="rId2779" ref="K2780"/>
    <hyperlink r:id="rId2780" ref="K2781"/>
    <hyperlink r:id="rId2781" ref="K2782"/>
    <hyperlink r:id="rId2782" ref="K2783"/>
    <hyperlink r:id="rId2783" ref="K2784"/>
    <hyperlink r:id="rId2784" ref="K2785"/>
    <hyperlink r:id="rId2785" ref="K2786"/>
    <hyperlink r:id="rId2786" ref="K2787"/>
    <hyperlink r:id="rId2787" ref="K2788"/>
    <hyperlink r:id="rId2788" ref="K2789"/>
    <hyperlink r:id="rId2789" ref="K2790"/>
    <hyperlink r:id="rId2790" ref="K2791"/>
    <hyperlink r:id="rId2791" ref="K2792"/>
    <hyperlink r:id="rId2792" ref="K2793"/>
    <hyperlink r:id="rId2793" ref="K2794"/>
    <hyperlink r:id="rId2794" ref="K2795"/>
    <hyperlink r:id="rId2795" ref="K2796"/>
    <hyperlink r:id="rId2796" ref="K2797"/>
    <hyperlink r:id="rId2797" ref="K2798"/>
    <hyperlink r:id="rId2798" ref="K2799"/>
    <hyperlink r:id="rId2799" ref="K2800"/>
    <hyperlink r:id="rId2800" ref="K2801"/>
    <hyperlink r:id="rId2801" ref="K2802"/>
    <hyperlink r:id="rId2802" ref="K2803"/>
    <hyperlink r:id="rId2803" ref="K2804"/>
    <hyperlink r:id="rId2804" ref="K2805"/>
    <hyperlink r:id="rId2805" ref="K2806"/>
    <hyperlink r:id="rId2806" ref="K2807"/>
    <hyperlink r:id="rId2807" ref="K2808"/>
    <hyperlink r:id="rId2808" ref="K2809"/>
    <hyperlink r:id="rId2809" ref="K2810"/>
    <hyperlink r:id="rId2810" ref="K2811"/>
    <hyperlink r:id="rId2811" ref="K2812"/>
    <hyperlink r:id="rId2812" ref="K2813"/>
    <hyperlink r:id="rId2813" ref="K2814"/>
    <hyperlink r:id="rId2814" ref="K2815"/>
    <hyperlink r:id="rId2815" ref="K2816"/>
    <hyperlink r:id="rId2816" ref="K2817"/>
    <hyperlink r:id="rId2817" ref="K2818"/>
    <hyperlink r:id="rId2818" ref="K2819"/>
    <hyperlink r:id="rId2819" ref="K2820"/>
    <hyperlink r:id="rId2820" ref="K2821"/>
    <hyperlink r:id="rId2821" ref="K2822"/>
    <hyperlink r:id="rId2822" ref="K2823"/>
    <hyperlink r:id="rId2823" ref="K2824"/>
    <hyperlink r:id="rId2824" ref="K2825"/>
    <hyperlink r:id="rId2825" ref="K2826"/>
    <hyperlink r:id="rId2826" ref="K2827"/>
    <hyperlink r:id="rId2827" ref="K2828"/>
    <hyperlink r:id="rId2828" ref="K2829"/>
    <hyperlink r:id="rId2829" ref="K2830"/>
    <hyperlink r:id="rId2830" ref="K2831"/>
    <hyperlink r:id="rId2831" ref="K2832"/>
    <hyperlink r:id="rId2832" ref="K2833"/>
    <hyperlink r:id="rId2833" ref="K2834"/>
    <hyperlink r:id="rId2834" ref="K2835"/>
    <hyperlink r:id="rId2835" ref="K2836"/>
    <hyperlink r:id="rId2836" ref="K2837"/>
    <hyperlink r:id="rId2837" ref="K2838"/>
    <hyperlink r:id="rId2838" ref="K2839"/>
    <hyperlink r:id="rId2839" ref="K2840"/>
    <hyperlink r:id="rId2840" ref="K2841"/>
    <hyperlink r:id="rId2841" ref="K2842"/>
    <hyperlink r:id="rId2842" ref="K2843"/>
    <hyperlink r:id="rId2843" ref="K2844"/>
    <hyperlink r:id="rId2844" ref="K2845"/>
    <hyperlink r:id="rId2845" ref="K2846"/>
    <hyperlink r:id="rId2846" ref="K2847"/>
    <hyperlink r:id="rId2847" ref="K2848"/>
    <hyperlink r:id="rId2848" ref="K2849"/>
    <hyperlink r:id="rId2849" ref="K2850"/>
    <hyperlink r:id="rId2850" ref="K2851"/>
    <hyperlink r:id="rId2851" ref="K2852"/>
    <hyperlink r:id="rId2852" ref="K2853"/>
    <hyperlink r:id="rId2853" ref="K2854"/>
    <hyperlink r:id="rId2854" ref="K2855"/>
    <hyperlink r:id="rId2855" ref="K2856"/>
    <hyperlink r:id="rId2856" ref="K2857"/>
    <hyperlink r:id="rId2857" ref="K2858"/>
    <hyperlink r:id="rId2858" ref="K2859"/>
    <hyperlink r:id="rId2859" ref="K2860"/>
    <hyperlink r:id="rId2860" ref="K2861"/>
    <hyperlink r:id="rId2861" ref="K2862"/>
    <hyperlink r:id="rId2862" ref="K2863"/>
    <hyperlink r:id="rId2863" ref="K2864"/>
    <hyperlink r:id="rId2864" ref="K2865"/>
    <hyperlink r:id="rId2865" ref="K2866"/>
    <hyperlink r:id="rId2866" ref="K2867"/>
    <hyperlink r:id="rId2867" ref="K2868"/>
    <hyperlink r:id="rId2868" ref="K2869"/>
    <hyperlink r:id="rId2869" ref="K2870"/>
    <hyperlink r:id="rId2870" ref="K2871"/>
    <hyperlink r:id="rId2871" ref="K2872"/>
    <hyperlink r:id="rId2872" ref="K2873"/>
    <hyperlink r:id="rId2873" ref="K2874"/>
    <hyperlink r:id="rId2874" ref="K2875"/>
    <hyperlink r:id="rId2875" ref="K2876"/>
    <hyperlink r:id="rId2876" ref="K2877"/>
    <hyperlink r:id="rId2877" ref="K2878"/>
    <hyperlink r:id="rId2878" ref="K2879"/>
    <hyperlink r:id="rId2879" ref="K2880"/>
    <hyperlink r:id="rId2880" ref="K2881"/>
    <hyperlink r:id="rId2881" ref="K2882"/>
    <hyperlink r:id="rId2882" ref="K2883"/>
    <hyperlink r:id="rId2883" ref="K2884"/>
    <hyperlink r:id="rId2884" ref="K2885"/>
    <hyperlink r:id="rId2885" ref="K2886"/>
    <hyperlink r:id="rId2886" ref="K2887"/>
    <hyperlink r:id="rId2887" ref="K2888"/>
    <hyperlink r:id="rId2888" ref="K2889"/>
    <hyperlink r:id="rId2889" ref="K2890"/>
    <hyperlink r:id="rId2890" ref="K2891"/>
    <hyperlink r:id="rId2891" ref="K2892"/>
    <hyperlink r:id="rId2892" ref="K2893"/>
    <hyperlink r:id="rId2893" ref="K2894"/>
    <hyperlink r:id="rId2894" ref="K2895"/>
    <hyperlink r:id="rId2895" ref="K2896"/>
    <hyperlink r:id="rId2896" ref="K2897"/>
    <hyperlink r:id="rId2897" ref="K2898"/>
    <hyperlink r:id="rId2898" ref="K2899"/>
    <hyperlink r:id="rId2899" ref="K2900"/>
    <hyperlink r:id="rId2900" ref="K2901"/>
    <hyperlink r:id="rId2901" ref="K2902"/>
    <hyperlink r:id="rId2902" ref="K2903"/>
    <hyperlink r:id="rId2903" ref="K2904"/>
    <hyperlink r:id="rId2904" ref="K2905"/>
    <hyperlink r:id="rId2905" ref="K2906"/>
    <hyperlink r:id="rId2906" ref="K2907"/>
    <hyperlink r:id="rId2907" ref="K2908"/>
    <hyperlink r:id="rId2908" ref="K2909"/>
    <hyperlink r:id="rId2909" ref="K2910"/>
    <hyperlink r:id="rId2910" ref="K2911"/>
    <hyperlink r:id="rId2911" ref="K2912"/>
    <hyperlink r:id="rId2912" ref="K2913"/>
    <hyperlink r:id="rId2913" ref="K2914"/>
    <hyperlink r:id="rId2914" ref="K2915"/>
    <hyperlink r:id="rId2915" ref="K2916"/>
    <hyperlink r:id="rId2916" ref="K2917"/>
    <hyperlink r:id="rId2917" ref="K2918"/>
    <hyperlink r:id="rId2918" ref="K2919"/>
    <hyperlink r:id="rId2919" ref="K2920"/>
    <hyperlink r:id="rId2920" ref="K2921"/>
    <hyperlink r:id="rId2921" ref="K2922"/>
    <hyperlink r:id="rId2922" ref="K2923"/>
    <hyperlink r:id="rId2923" ref="K2924"/>
    <hyperlink r:id="rId2924" ref="K2925"/>
    <hyperlink r:id="rId2925" ref="K2926"/>
    <hyperlink r:id="rId2926" ref="K2927"/>
    <hyperlink r:id="rId2927" ref="K2928"/>
    <hyperlink r:id="rId2928" ref="K2929"/>
    <hyperlink r:id="rId2929" ref="K2930"/>
    <hyperlink r:id="rId2930" ref="K2931"/>
    <hyperlink r:id="rId2931" ref="K2932"/>
    <hyperlink r:id="rId2932" ref="K2933"/>
    <hyperlink r:id="rId2933" ref="K2934"/>
    <hyperlink r:id="rId2934" ref="K2935"/>
    <hyperlink r:id="rId2935" ref="K2936"/>
    <hyperlink r:id="rId2936" ref="K2937"/>
    <hyperlink r:id="rId2937" ref="K2938"/>
    <hyperlink r:id="rId2938" ref="K2939"/>
    <hyperlink r:id="rId2939" ref="K2940"/>
    <hyperlink r:id="rId2940" ref="K2941"/>
    <hyperlink r:id="rId2941" ref="K2942"/>
    <hyperlink r:id="rId2942" ref="K2943"/>
    <hyperlink r:id="rId2943" ref="K2944"/>
    <hyperlink r:id="rId2944" ref="K2945"/>
    <hyperlink r:id="rId2945" ref="K2946"/>
    <hyperlink r:id="rId2946" ref="K2947"/>
    <hyperlink r:id="rId2947" ref="K2948"/>
    <hyperlink r:id="rId2948" ref="K2949"/>
    <hyperlink r:id="rId2949" ref="K2950"/>
    <hyperlink r:id="rId2950" ref="K2951"/>
    <hyperlink r:id="rId2951" ref="K2952"/>
    <hyperlink r:id="rId2952" ref="K2953"/>
    <hyperlink r:id="rId2953" ref="K2954"/>
    <hyperlink r:id="rId2954" ref="K2955"/>
    <hyperlink r:id="rId2955" ref="K2956"/>
    <hyperlink r:id="rId2956" ref="K2957"/>
    <hyperlink r:id="rId2957" ref="K2958"/>
    <hyperlink r:id="rId2958" ref="K2959"/>
    <hyperlink r:id="rId2959" ref="K2960"/>
    <hyperlink r:id="rId2960" ref="K2961"/>
    <hyperlink r:id="rId2961" ref="K2962"/>
    <hyperlink r:id="rId2962" ref="K2963"/>
    <hyperlink r:id="rId2963" ref="K2964"/>
    <hyperlink r:id="rId2964" ref="K2965"/>
    <hyperlink r:id="rId2965" ref="K2966"/>
    <hyperlink r:id="rId2966" ref="K2967"/>
    <hyperlink r:id="rId2967" ref="K2968"/>
    <hyperlink r:id="rId2968" ref="K2969"/>
    <hyperlink r:id="rId2969" ref="K2970"/>
    <hyperlink r:id="rId2970" ref="K2971"/>
    <hyperlink r:id="rId2971" ref="K2972"/>
    <hyperlink r:id="rId2972" ref="K2973"/>
    <hyperlink r:id="rId2973" ref="K2974"/>
    <hyperlink r:id="rId2974" ref="K2975"/>
    <hyperlink r:id="rId2975" ref="K2976"/>
    <hyperlink r:id="rId2976" ref="K2977"/>
    <hyperlink r:id="rId2977" ref="K2978"/>
    <hyperlink r:id="rId2978" ref="K2979"/>
    <hyperlink r:id="rId2979" ref="K2980"/>
    <hyperlink r:id="rId2980" ref="K2981"/>
    <hyperlink r:id="rId2981" ref="K2982"/>
    <hyperlink r:id="rId2982" ref="K2983"/>
    <hyperlink r:id="rId2983" ref="K2984"/>
    <hyperlink r:id="rId2984" ref="K2985"/>
    <hyperlink r:id="rId2985" ref="K2986"/>
    <hyperlink r:id="rId2986" ref="K2987"/>
    <hyperlink r:id="rId2987" ref="K2988"/>
    <hyperlink r:id="rId2988" ref="K2989"/>
    <hyperlink r:id="rId2989" ref="K2990"/>
    <hyperlink r:id="rId2990" ref="K2991"/>
    <hyperlink r:id="rId2991" ref="K2992"/>
    <hyperlink r:id="rId2992" ref="K2993"/>
    <hyperlink r:id="rId2993" ref="K2994"/>
    <hyperlink r:id="rId2994" ref="K2995"/>
    <hyperlink r:id="rId2995" ref="K2996"/>
    <hyperlink r:id="rId2996" ref="K2997"/>
    <hyperlink r:id="rId2997" ref="K2998"/>
    <hyperlink r:id="rId2998" ref="K2999"/>
    <hyperlink r:id="rId2999" ref="K3000"/>
    <hyperlink r:id="rId3000" ref="K3001"/>
    <hyperlink r:id="rId3001" ref="K3002"/>
    <hyperlink r:id="rId3002" ref="K3003"/>
    <hyperlink r:id="rId3003" ref="K3004"/>
    <hyperlink r:id="rId3004" ref="K3005"/>
    <hyperlink r:id="rId3005" ref="K3006"/>
    <hyperlink r:id="rId3006" ref="K3007"/>
    <hyperlink r:id="rId3007" ref="K3008"/>
    <hyperlink r:id="rId3008" ref="K3009"/>
    <hyperlink r:id="rId3009" ref="K3010"/>
    <hyperlink r:id="rId3010" ref="K3011"/>
    <hyperlink r:id="rId3011" ref="K3012"/>
    <hyperlink r:id="rId3012" ref="K3013"/>
    <hyperlink r:id="rId3013" ref="K3014"/>
    <hyperlink r:id="rId3014" ref="K3015"/>
    <hyperlink r:id="rId3015" ref="K3016"/>
    <hyperlink r:id="rId3016" ref="K3017"/>
    <hyperlink r:id="rId3017" ref="K3018"/>
    <hyperlink r:id="rId3018" ref="K3019"/>
    <hyperlink r:id="rId3019" ref="K3020"/>
    <hyperlink r:id="rId3020" ref="K3021"/>
    <hyperlink r:id="rId3021" ref="K3022"/>
    <hyperlink r:id="rId3022" ref="K3023"/>
    <hyperlink r:id="rId3023" ref="K3024"/>
    <hyperlink r:id="rId3024" ref="K3025"/>
    <hyperlink r:id="rId3025" ref="K3026"/>
    <hyperlink r:id="rId3026" ref="K3027"/>
    <hyperlink r:id="rId3027" ref="K3028"/>
    <hyperlink r:id="rId3028" ref="K3029"/>
    <hyperlink r:id="rId3029" ref="K3030"/>
    <hyperlink r:id="rId3030" ref="K3031"/>
    <hyperlink r:id="rId3031" ref="K3032"/>
    <hyperlink r:id="rId3032" ref="K3033"/>
    <hyperlink r:id="rId3033" ref="K3034"/>
    <hyperlink r:id="rId3034" ref="K3035"/>
    <hyperlink r:id="rId3035" ref="K3036"/>
    <hyperlink r:id="rId3036" ref="K3037"/>
    <hyperlink r:id="rId3037" ref="K3038"/>
    <hyperlink r:id="rId3038" ref="K3039"/>
    <hyperlink r:id="rId3039" ref="K3040"/>
    <hyperlink r:id="rId3040" ref="K3041"/>
    <hyperlink r:id="rId3041" ref="K3042"/>
    <hyperlink r:id="rId3042" ref="K3043"/>
    <hyperlink r:id="rId3043" ref="K3044"/>
    <hyperlink r:id="rId3044" ref="K3045"/>
    <hyperlink r:id="rId3045" ref="K3046"/>
    <hyperlink r:id="rId3046" ref="K3047"/>
    <hyperlink r:id="rId3047" ref="K3048"/>
    <hyperlink r:id="rId3048" ref="K3049"/>
    <hyperlink r:id="rId3049" ref="K3050"/>
    <hyperlink r:id="rId3050" ref="K3051"/>
    <hyperlink r:id="rId3051" ref="K3052"/>
    <hyperlink r:id="rId3052" ref="K3053"/>
    <hyperlink r:id="rId3053" ref="K3054"/>
    <hyperlink r:id="rId3054" ref="K3055"/>
    <hyperlink r:id="rId3055" ref="K3056"/>
    <hyperlink r:id="rId3056" ref="K3057"/>
    <hyperlink r:id="rId3057" ref="K3058"/>
    <hyperlink r:id="rId3058" ref="K3059"/>
    <hyperlink r:id="rId3059" ref="K3060"/>
    <hyperlink r:id="rId3060" ref="K3061"/>
    <hyperlink r:id="rId3061" ref="K3062"/>
    <hyperlink r:id="rId3062" ref="K3063"/>
    <hyperlink r:id="rId3063" ref="K3064"/>
    <hyperlink r:id="rId3064" ref="K3065"/>
    <hyperlink r:id="rId3065" ref="K3066"/>
    <hyperlink r:id="rId3066" ref="K3067"/>
    <hyperlink r:id="rId3067" ref="K3068"/>
    <hyperlink r:id="rId3068" ref="K3069"/>
    <hyperlink r:id="rId3069" ref="K3070"/>
    <hyperlink r:id="rId3070" ref="K3071"/>
    <hyperlink r:id="rId3071" ref="K3072"/>
    <hyperlink r:id="rId3072" ref="K3073"/>
    <hyperlink r:id="rId3073" ref="K3074"/>
    <hyperlink r:id="rId3074" ref="K3075"/>
    <hyperlink r:id="rId3075" ref="K3076"/>
    <hyperlink r:id="rId3076" ref="K3077"/>
    <hyperlink r:id="rId3077" ref="K3078"/>
    <hyperlink r:id="rId3078" ref="K3079"/>
    <hyperlink r:id="rId3079" ref="K3080"/>
    <hyperlink r:id="rId3080" ref="K3081"/>
    <hyperlink r:id="rId3081" ref="K3082"/>
    <hyperlink r:id="rId3082" ref="K3083"/>
    <hyperlink r:id="rId3083" ref="K3084"/>
    <hyperlink r:id="rId3084" ref="K3085"/>
    <hyperlink r:id="rId3085" ref="K3086"/>
    <hyperlink r:id="rId3086" ref="K3087"/>
    <hyperlink r:id="rId3087" ref="K3088"/>
    <hyperlink r:id="rId3088" ref="K3089"/>
    <hyperlink r:id="rId3089" ref="K3090"/>
    <hyperlink r:id="rId3090" ref="K3091"/>
    <hyperlink r:id="rId3091" ref="K3092"/>
    <hyperlink r:id="rId3092" ref="K3093"/>
    <hyperlink r:id="rId3093" ref="K3094"/>
    <hyperlink r:id="rId3094" ref="K3095"/>
    <hyperlink r:id="rId3095" ref="K3096"/>
    <hyperlink r:id="rId3096" ref="K3097"/>
    <hyperlink r:id="rId3097" ref="K3098"/>
    <hyperlink r:id="rId3098" ref="K3099"/>
    <hyperlink r:id="rId3099" ref="K3100"/>
    <hyperlink r:id="rId3100" ref="K3101"/>
    <hyperlink r:id="rId3101" ref="K3102"/>
    <hyperlink r:id="rId3102" ref="K3103"/>
    <hyperlink r:id="rId3103" ref="K3104"/>
    <hyperlink r:id="rId3104" ref="K3105"/>
    <hyperlink r:id="rId3105" ref="K3106"/>
    <hyperlink r:id="rId3106" ref="K3107"/>
    <hyperlink r:id="rId3107" ref="K3108"/>
    <hyperlink r:id="rId3108" ref="K3109"/>
    <hyperlink r:id="rId3109" ref="K3110"/>
    <hyperlink r:id="rId3110" ref="K3111"/>
    <hyperlink r:id="rId3111" ref="K3112"/>
    <hyperlink r:id="rId3112" ref="K3113"/>
    <hyperlink r:id="rId3113" ref="K3114"/>
    <hyperlink r:id="rId3114" ref="K3115"/>
    <hyperlink r:id="rId3115" ref="K3116"/>
    <hyperlink r:id="rId3116" ref="K3117"/>
    <hyperlink r:id="rId3117" ref="K3118"/>
    <hyperlink r:id="rId3118" ref="K3119"/>
    <hyperlink r:id="rId3119" ref="K3120"/>
    <hyperlink r:id="rId3120" ref="K3121"/>
    <hyperlink r:id="rId3121" ref="K3122"/>
    <hyperlink r:id="rId3122" ref="K3123"/>
    <hyperlink r:id="rId3123" ref="K3124"/>
    <hyperlink r:id="rId3124" ref="K3125"/>
    <hyperlink r:id="rId3125" ref="K3126"/>
    <hyperlink r:id="rId3126" ref="K3127"/>
    <hyperlink r:id="rId3127" ref="K3128"/>
    <hyperlink r:id="rId3128" ref="K3129"/>
    <hyperlink r:id="rId3129" ref="K3130"/>
    <hyperlink r:id="rId3130" ref="K3131"/>
    <hyperlink r:id="rId3131" ref="K3132"/>
    <hyperlink r:id="rId3132" ref="K3133"/>
    <hyperlink r:id="rId3133" ref="K3134"/>
    <hyperlink r:id="rId3134" ref="K3135"/>
    <hyperlink r:id="rId3135" ref="K3136"/>
    <hyperlink r:id="rId3136" ref="K3137"/>
    <hyperlink r:id="rId3137" ref="K3138"/>
    <hyperlink r:id="rId3138" ref="K3139"/>
    <hyperlink r:id="rId3139" ref="K3140"/>
    <hyperlink r:id="rId3140" ref="K3141"/>
    <hyperlink r:id="rId3141" ref="K3142"/>
    <hyperlink r:id="rId3142" ref="K3143"/>
    <hyperlink r:id="rId3143" ref="K3144"/>
    <hyperlink r:id="rId3144" ref="K3145"/>
    <hyperlink r:id="rId3145" ref="K3146"/>
    <hyperlink r:id="rId3146" ref="K3147"/>
    <hyperlink r:id="rId3147" ref="K3148"/>
    <hyperlink r:id="rId3148" ref="K3149"/>
    <hyperlink r:id="rId3149" ref="K3150"/>
    <hyperlink r:id="rId3150" ref="K3151"/>
    <hyperlink r:id="rId3151" ref="K3152"/>
    <hyperlink r:id="rId3152" ref="K3153"/>
    <hyperlink r:id="rId3153" ref="K3154"/>
    <hyperlink r:id="rId3154" ref="K3155"/>
    <hyperlink r:id="rId3155" ref="K3156"/>
    <hyperlink r:id="rId3156" ref="K3157"/>
    <hyperlink r:id="rId3157" ref="K3158"/>
    <hyperlink r:id="rId3158" ref="K3159"/>
    <hyperlink r:id="rId3159" ref="K3160"/>
    <hyperlink r:id="rId3160" ref="K3161"/>
    <hyperlink r:id="rId3161" ref="K3162"/>
    <hyperlink r:id="rId3162" ref="K3163"/>
    <hyperlink r:id="rId3163" ref="K3164"/>
    <hyperlink r:id="rId3164" ref="K3165"/>
    <hyperlink r:id="rId3165" ref="K3166"/>
    <hyperlink r:id="rId3166" ref="K3167"/>
    <hyperlink r:id="rId3167" ref="K3168"/>
    <hyperlink r:id="rId3168" ref="K3169"/>
    <hyperlink r:id="rId3169" ref="K3170"/>
    <hyperlink r:id="rId3170" ref="K3171"/>
    <hyperlink r:id="rId3171" ref="K3172"/>
    <hyperlink r:id="rId3172" ref="K3173"/>
    <hyperlink r:id="rId3173" ref="K3174"/>
    <hyperlink r:id="rId3174" ref="K3175"/>
    <hyperlink r:id="rId3175" ref="K3176"/>
    <hyperlink r:id="rId3176" ref="K3177"/>
    <hyperlink r:id="rId3177" ref="K3178"/>
    <hyperlink r:id="rId3178" ref="K3179"/>
    <hyperlink r:id="rId3179" ref="K3180"/>
    <hyperlink r:id="rId3180" ref="K3181"/>
    <hyperlink r:id="rId3181" ref="K3182"/>
    <hyperlink r:id="rId3182" ref="K3183"/>
    <hyperlink r:id="rId3183" ref="K3184"/>
    <hyperlink r:id="rId3184" ref="K3185"/>
    <hyperlink r:id="rId3185" ref="K3186"/>
    <hyperlink r:id="rId3186" ref="K3187"/>
    <hyperlink r:id="rId3187" ref="K3188"/>
    <hyperlink r:id="rId3188" ref="K3189"/>
    <hyperlink r:id="rId3189" ref="K3190"/>
    <hyperlink r:id="rId3190" ref="K3191"/>
    <hyperlink r:id="rId3191" ref="K3192"/>
    <hyperlink r:id="rId3192" ref="K3193"/>
    <hyperlink r:id="rId3193" ref="K3194"/>
    <hyperlink r:id="rId3194" ref="K3195"/>
    <hyperlink r:id="rId3195" ref="K3196"/>
    <hyperlink r:id="rId3196" ref="K3197"/>
    <hyperlink r:id="rId3197" ref="K3198"/>
    <hyperlink r:id="rId3198" ref="K3199"/>
    <hyperlink r:id="rId3199" ref="K3200"/>
    <hyperlink r:id="rId3200" ref="K3201"/>
    <hyperlink r:id="rId3201" ref="K3202"/>
    <hyperlink r:id="rId3202" ref="K3203"/>
    <hyperlink r:id="rId3203" ref="K3204"/>
    <hyperlink r:id="rId3204" ref="K3205"/>
    <hyperlink r:id="rId3205" ref="K3206"/>
    <hyperlink r:id="rId3206" ref="K3207"/>
    <hyperlink r:id="rId3207" ref="K3208"/>
    <hyperlink r:id="rId3208" ref="K3209"/>
    <hyperlink r:id="rId3209" ref="K3210"/>
    <hyperlink r:id="rId3210" ref="K3211"/>
    <hyperlink r:id="rId3211" ref="K3212"/>
    <hyperlink r:id="rId3212" ref="K3213"/>
    <hyperlink r:id="rId3213" ref="K3214"/>
    <hyperlink r:id="rId3214" ref="K3215"/>
    <hyperlink r:id="rId3215" ref="K3216"/>
    <hyperlink r:id="rId3216" ref="K3217"/>
    <hyperlink r:id="rId3217" ref="K3218"/>
    <hyperlink r:id="rId3218" ref="K3219"/>
    <hyperlink r:id="rId3219" ref="K3220"/>
    <hyperlink r:id="rId3220" ref="K3221"/>
    <hyperlink r:id="rId3221" ref="K3222"/>
    <hyperlink r:id="rId3222" ref="K3223"/>
    <hyperlink r:id="rId3223" ref="K3224"/>
    <hyperlink r:id="rId3224" ref="K3225"/>
    <hyperlink r:id="rId3225" ref="K3226"/>
    <hyperlink r:id="rId3226" ref="K3227"/>
    <hyperlink r:id="rId3227" ref="K3228"/>
    <hyperlink r:id="rId3228" ref="K3229"/>
    <hyperlink r:id="rId3229" ref="K3230"/>
    <hyperlink r:id="rId3230" ref="K3231"/>
    <hyperlink r:id="rId3231" ref="K3232"/>
    <hyperlink r:id="rId3232" ref="K3233"/>
    <hyperlink r:id="rId3233" ref="K3234"/>
    <hyperlink r:id="rId3234" ref="K3235"/>
    <hyperlink r:id="rId3235" ref="K3236"/>
    <hyperlink r:id="rId3236" ref="K3237"/>
    <hyperlink r:id="rId3237" ref="K3238"/>
    <hyperlink r:id="rId3238" ref="K3239"/>
    <hyperlink r:id="rId3239" ref="K3240"/>
    <hyperlink r:id="rId3240" ref="K3241"/>
    <hyperlink r:id="rId3241" ref="K3242"/>
    <hyperlink r:id="rId3242" ref="K3243"/>
    <hyperlink r:id="rId3243" ref="K3244"/>
    <hyperlink r:id="rId3244" ref="K3245"/>
    <hyperlink r:id="rId3245" ref="K3246"/>
    <hyperlink r:id="rId3246" ref="K3247"/>
    <hyperlink r:id="rId3247" ref="K3248"/>
    <hyperlink r:id="rId3248" ref="K3249"/>
    <hyperlink r:id="rId3249" ref="K3250"/>
    <hyperlink r:id="rId3250" ref="K3251"/>
    <hyperlink r:id="rId3251" ref="K3252"/>
    <hyperlink r:id="rId3252" ref="K3253"/>
    <hyperlink r:id="rId3253" ref="K3254"/>
    <hyperlink r:id="rId3254" ref="K3255"/>
    <hyperlink r:id="rId3255" ref="K3256"/>
    <hyperlink r:id="rId3256" ref="K3257"/>
    <hyperlink r:id="rId3257" ref="K3258"/>
    <hyperlink r:id="rId3258" ref="K3259"/>
    <hyperlink r:id="rId3259" ref="K3260"/>
    <hyperlink r:id="rId3260" ref="K3261"/>
    <hyperlink r:id="rId3261" ref="K3262"/>
    <hyperlink r:id="rId3262" ref="K3263"/>
    <hyperlink r:id="rId3263" ref="K3264"/>
    <hyperlink r:id="rId3264" ref="K3265"/>
    <hyperlink r:id="rId3265" ref="K3266"/>
    <hyperlink r:id="rId3266" ref="K3267"/>
    <hyperlink r:id="rId3267" ref="K3268"/>
    <hyperlink r:id="rId3268" ref="K3269"/>
    <hyperlink r:id="rId3269" ref="K3270"/>
    <hyperlink r:id="rId3270" ref="K3271"/>
    <hyperlink r:id="rId3271" ref="K3272"/>
    <hyperlink r:id="rId3272" ref="K3273"/>
    <hyperlink r:id="rId3273" ref="K3274"/>
    <hyperlink r:id="rId3274" ref="K3275"/>
    <hyperlink r:id="rId3275" ref="K3276"/>
    <hyperlink r:id="rId3276" ref="K3277"/>
    <hyperlink r:id="rId3277" ref="K3278"/>
    <hyperlink r:id="rId3278" ref="K3279"/>
    <hyperlink r:id="rId3279" ref="K3280"/>
    <hyperlink r:id="rId3280" ref="K3281"/>
    <hyperlink r:id="rId3281" ref="K3282"/>
    <hyperlink r:id="rId3282" ref="K3283"/>
    <hyperlink r:id="rId3283" ref="K3284"/>
    <hyperlink r:id="rId3284" ref="K3285"/>
    <hyperlink r:id="rId3285" ref="K3286"/>
    <hyperlink r:id="rId3286" ref="K3287"/>
    <hyperlink r:id="rId3287" ref="K3288"/>
    <hyperlink r:id="rId3288" ref="K3289"/>
    <hyperlink r:id="rId3289" ref="K3290"/>
    <hyperlink r:id="rId3290" ref="K3291"/>
    <hyperlink r:id="rId3291" ref="K3292"/>
    <hyperlink r:id="rId3292" ref="K3293"/>
    <hyperlink r:id="rId3293" ref="K3294"/>
    <hyperlink r:id="rId3294" ref="K3295"/>
    <hyperlink r:id="rId3295" ref="K3296"/>
    <hyperlink r:id="rId3296" ref="K3297"/>
    <hyperlink r:id="rId3297" ref="K3298"/>
    <hyperlink r:id="rId3298" ref="K3299"/>
    <hyperlink r:id="rId3299" ref="K3300"/>
    <hyperlink r:id="rId3300" ref="K3301"/>
    <hyperlink r:id="rId3301" ref="K3302"/>
    <hyperlink r:id="rId3302" ref="K3303"/>
    <hyperlink r:id="rId3303" ref="K3304"/>
    <hyperlink r:id="rId3304" ref="K3305"/>
    <hyperlink r:id="rId3305" ref="K3306"/>
    <hyperlink r:id="rId3306" ref="K3307"/>
    <hyperlink r:id="rId3307" ref="K3308"/>
    <hyperlink r:id="rId3308" ref="K3309"/>
    <hyperlink r:id="rId3309" ref="K3310"/>
    <hyperlink r:id="rId3310" ref="K3311"/>
    <hyperlink r:id="rId3311" ref="K3312"/>
    <hyperlink r:id="rId3312" ref="K3313"/>
    <hyperlink r:id="rId3313" ref="K3314"/>
    <hyperlink r:id="rId3314" ref="K3315"/>
    <hyperlink r:id="rId3315" ref="K3316"/>
    <hyperlink r:id="rId3316" ref="K3317"/>
    <hyperlink r:id="rId3317" ref="K3318"/>
    <hyperlink r:id="rId3318" ref="K3319"/>
    <hyperlink r:id="rId3319" ref="K3320"/>
    <hyperlink r:id="rId3320" ref="K3321"/>
    <hyperlink r:id="rId3321" ref="K3322"/>
    <hyperlink r:id="rId3322" ref="K3323"/>
    <hyperlink r:id="rId3323" ref="K3324"/>
    <hyperlink r:id="rId3324" ref="K3325"/>
    <hyperlink r:id="rId3325" ref="K3326"/>
    <hyperlink r:id="rId3326" ref="K3327"/>
    <hyperlink r:id="rId3327" ref="K3328"/>
    <hyperlink r:id="rId3328" ref="K3329"/>
    <hyperlink r:id="rId3329" ref="K3330"/>
    <hyperlink r:id="rId3330" ref="K3331"/>
    <hyperlink r:id="rId3331" ref="K3332"/>
    <hyperlink r:id="rId3332" ref="K3333"/>
    <hyperlink r:id="rId3333" ref="K3334"/>
    <hyperlink r:id="rId3334" ref="K3335"/>
    <hyperlink r:id="rId3335" ref="K3336"/>
    <hyperlink r:id="rId3336" ref="K3337"/>
    <hyperlink r:id="rId3337" ref="K3338"/>
    <hyperlink r:id="rId3338" ref="K3339"/>
    <hyperlink r:id="rId3339" ref="K3340"/>
    <hyperlink r:id="rId3340" ref="K3341"/>
    <hyperlink r:id="rId3341" ref="K3342"/>
    <hyperlink r:id="rId3342" ref="K3343"/>
    <hyperlink r:id="rId3343" ref="K3344"/>
    <hyperlink r:id="rId3344" ref="K3345"/>
    <hyperlink r:id="rId3345" ref="K3346"/>
    <hyperlink r:id="rId3346" ref="K3347"/>
    <hyperlink r:id="rId3347" ref="K3348"/>
    <hyperlink r:id="rId3348" ref="K3349"/>
    <hyperlink r:id="rId3349" ref="K3350"/>
    <hyperlink r:id="rId3350" ref="K3351"/>
    <hyperlink r:id="rId3351" ref="K3352"/>
    <hyperlink r:id="rId3352" ref="K3353"/>
    <hyperlink r:id="rId3353" ref="K3354"/>
    <hyperlink r:id="rId3354" ref="K3355"/>
    <hyperlink r:id="rId3355" ref="K3356"/>
    <hyperlink r:id="rId3356" ref="K3357"/>
    <hyperlink r:id="rId3357" ref="K3358"/>
    <hyperlink r:id="rId3358" ref="K3359"/>
    <hyperlink r:id="rId3359" ref="K3360"/>
    <hyperlink r:id="rId3360" ref="K3361"/>
    <hyperlink r:id="rId3361" ref="K3362"/>
    <hyperlink r:id="rId3362" ref="K3363"/>
    <hyperlink r:id="rId3363" ref="K3364"/>
    <hyperlink r:id="rId3364" ref="K3365"/>
    <hyperlink r:id="rId3365" ref="K3366"/>
    <hyperlink r:id="rId3366" ref="K3367"/>
    <hyperlink r:id="rId3367" ref="K3368"/>
    <hyperlink r:id="rId3368" ref="K3369"/>
    <hyperlink r:id="rId3369" ref="K3370"/>
    <hyperlink r:id="rId3370" ref="K3371"/>
    <hyperlink r:id="rId3371" ref="K3372"/>
    <hyperlink r:id="rId3372" ref="K3373"/>
    <hyperlink r:id="rId3373" ref="K3374"/>
    <hyperlink r:id="rId3374" ref="K3375"/>
    <hyperlink r:id="rId3375" ref="K3376"/>
    <hyperlink r:id="rId3376" ref="K3377"/>
    <hyperlink r:id="rId3377" ref="K3378"/>
    <hyperlink r:id="rId3378" ref="K3379"/>
    <hyperlink r:id="rId3379" ref="K3380"/>
    <hyperlink r:id="rId3380" ref="K3381"/>
    <hyperlink r:id="rId3381" ref="K3382"/>
    <hyperlink r:id="rId3382" ref="K3383"/>
    <hyperlink r:id="rId3383" ref="K3384"/>
    <hyperlink r:id="rId3384" ref="K3385"/>
    <hyperlink r:id="rId3385" ref="K3386"/>
    <hyperlink r:id="rId3386" ref="K3387"/>
    <hyperlink r:id="rId3387" ref="K3388"/>
    <hyperlink r:id="rId3388" ref="K3389"/>
    <hyperlink r:id="rId3389" ref="K3390"/>
    <hyperlink r:id="rId3390" ref="K3391"/>
    <hyperlink r:id="rId3391" ref="K3392"/>
    <hyperlink r:id="rId3392" ref="K3393"/>
    <hyperlink r:id="rId3393" ref="K3394"/>
    <hyperlink r:id="rId3394" ref="K3395"/>
    <hyperlink r:id="rId3395" ref="K3396"/>
    <hyperlink r:id="rId3396" ref="K3397"/>
    <hyperlink r:id="rId3397" ref="K3398"/>
    <hyperlink r:id="rId3398" ref="K3399"/>
    <hyperlink r:id="rId3399" ref="K3400"/>
    <hyperlink r:id="rId3400" ref="K3401"/>
    <hyperlink r:id="rId3401" ref="K3402"/>
    <hyperlink r:id="rId3402" ref="K3403"/>
    <hyperlink r:id="rId3403" ref="K3404"/>
    <hyperlink r:id="rId3404" ref="K3405"/>
    <hyperlink r:id="rId3405" ref="K3406"/>
    <hyperlink r:id="rId3406" ref="K3407"/>
    <hyperlink r:id="rId3407" ref="K3408"/>
    <hyperlink r:id="rId3408" ref="K3409"/>
    <hyperlink r:id="rId3409" ref="K3410"/>
    <hyperlink r:id="rId3410" ref="K3411"/>
    <hyperlink r:id="rId3411" ref="K3412"/>
    <hyperlink r:id="rId3412" ref="K3413"/>
    <hyperlink r:id="rId3413" ref="K3414"/>
    <hyperlink r:id="rId3414" ref="K3415"/>
    <hyperlink r:id="rId3415" ref="K3416"/>
    <hyperlink r:id="rId3416" ref="K3417"/>
    <hyperlink r:id="rId3417" ref="K3418"/>
    <hyperlink r:id="rId3418" ref="K3419"/>
    <hyperlink r:id="rId3419" ref="K3420"/>
    <hyperlink r:id="rId3420" ref="K3421"/>
    <hyperlink r:id="rId3421" ref="K3422"/>
    <hyperlink r:id="rId3422" ref="K3423"/>
    <hyperlink r:id="rId3423" ref="K3424"/>
    <hyperlink r:id="rId3424" ref="K3425"/>
    <hyperlink r:id="rId3425" ref="K3426"/>
    <hyperlink r:id="rId3426" ref="K3427"/>
    <hyperlink r:id="rId3427" ref="K3428"/>
    <hyperlink r:id="rId3428" ref="K3429"/>
    <hyperlink r:id="rId3429" ref="K3430"/>
    <hyperlink r:id="rId3430" ref="K3431"/>
    <hyperlink r:id="rId3431" ref="K3432"/>
    <hyperlink r:id="rId3432" ref="K3433"/>
    <hyperlink r:id="rId3433" ref="K3434"/>
    <hyperlink r:id="rId3434" ref="K3435"/>
    <hyperlink r:id="rId3435" ref="K3436"/>
    <hyperlink r:id="rId3436" ref="K3437"/>
    <hyperlink r:id="rId3437" ref="K3438"/>
    <hyperlink r:id="rId3438" ref="K3439"/>
    <hyperlink r:id="rId3439" ref="K3440"/>
    <hyperlink r:id="rId3440" ref="K3441"/>
    <hyperlink r:id="rId3441" ref="K3442"/>
    <hyperlink r:id="rId3442" ref="K3443"/>
    <hyperlink r:id="rId3443" ref="K3444"/>
    <hyperlink r:id="rId3444" ref="K3445"/>
    <hyperlink r:id="rId3445" ref="K3446"/>
    <hyperlink r:id="rId3446" ref="K3447"/>
    <hyperlink r:id="rId3447" ref="K3448"/>
    <hyperlink r:id="rId3448" ref="K3449"/>
    <hyperlink r:id="rId3449" ref="K3450"/>
    <hyperlink r:id="rId3450" ref="K3451"/>
    <hyperlink r:id="rId3451" ref="K3452"/>
    <hyperlink r:id="rId3452" ref="K3453"/>
    <hyperlink r:id="rId3453" ref="K3454"/>
    <hyperlink r:id="rId3454" ref="K3455"/>
    <hyperlink r:id="rId3455" ref="K3456"/>
    <hyperlink r:id="rId3456" ref="K3457"/>
    <hyperlink r:id="rId3457" ref="K3458"/>
    <hyperlink r:id="rId3458" ref="K3459"/>
    <hyperlink r:id="rId3459" ref="K3460"/>
    <hyperlink r:id="rId3460" ref="K3461"/>
    <hyperlink r:id="rId3461" ref="K3462"/>
    <hyperlink r:id="rId3462" ref="K3463"/>
    <hyperlink r:id="rId3463" ref="K3464"/>
    <hyperlink r:id="rId3464" ref="K3465"/>
    <hyperlink r:id="rId3465" ref="K3466"/>
    <hyperlink r:id="rId3466" ref="K3467"/>
    <hyperlink r:id="rId3467" ref="K3468"/>
    <hyperlink r:id="rId3468" ref="K3469"/>
    <hyperlink r:id="rId3469" ref="K3470"/>
    <hyperlink r:id="rId3470" ref="K3471"/>
    <hyperlink r:id="rId3471" ref="K3472"/>
    <hyperlink r:id="rId3472" ref="K3473"/>
    <hyperlink r:id="rId3473" ref="K3474"/>
    <hyperlink r:id="rId3474" ref="K3475"/>
    <hyperlink r:id="rId3475" ref="K3476"/>
    <hyperlink r:id="rId3476" ref="K3477"/>
    <hyperlink r:id="rId3477" ref="K3478"/>
    <hyperlink r:id="rId3478" ref="K3479"/>
    <hyperlink r:id="rId3479" ref="K3480"/>
    <hyperlink r:id="rId3480" ref="K3481"/>
    <hyperlink r:id="rId3481" ref="K3482"/>
    <hyperlink r:id="rId3482" ref="K3483"/>
    <hyperlink r:id="rId3483" ref="K3484"/>
    <hyperlink r:id="rId3484" ref="K3485"/>
    <hyperlink r:id="rId3485" ref="K3486"/>
    <hyperlink r:id="rId3486" ref="K3487"/>
    <hyperlink r:id="rId3487" ref="K3488"/>
    <hyperlink r:id="rId3488" ref="K3489"/>
    <hyperlink r:id="rId3489" ref="K3490"/>
    <hyperlink r:id="rId3490" ref="K3491"/>
    <hyperlink r:id="rId3491" ref="K3492"/>
    <hyperlink r:id="rId3492" ref="K3493"/>
    <hyperlink r:id="rId3493" ref="K3494"/>
    <hyperlink r:id="rId3494" ref="K3495"/>
    <hyperlink r:id="rId3495" ref="K3496"/>
    <hyperlink r:id="rId3496" ref="K3497"/>
    <hyperlink r:id="rId3497" ref="K3498"/>
    <hyperlink r:id="rId3498" ref="K3499"/>
    <hyperlink r:id="rId3499" ref="K3500"/>
    <hyperlink r:id="rId3500" ref="K3501"/>
    <hyperlink r:id="rId3501" ref="K3502"/>
    <hyperlink r:id="rId3502" ref="K3503"/>
    <hyperlink r:id="rId3503" ref="K3504"/>
    <hyperlink r:id="rId3504" ref="K3505"/>
    <hyperlink r:id="rId3505" ref="K3506"/>
    <hyperlink r:id="rId3506" ref="K3507"/>
    <hyperlink r:id="rId3507" ref="K3508"/>
    <hyperlink r:id="rId3508" ref="K3509"/>
    <hyperlink r:id="rId3509" ref="K3510"/>
    <hyperlink r:id="rId3510" ref="K3511"/>
    <hyperlink r:id="rId3511" ref="K3512"/>
    <hyperlink r:id="rId3512" ref="K3513"/>
    <hyperlink r:id="rId3513" ref="K3514"/>
    <hyperlink r:id="rId3514" ref="K3515"/>
    <hyperlink r:id="rId3515" ref="K3516"/>
    <hyperlink r:id="rId3516" ref="K3517"/>
    <hyperlink r:id="rId3517" ref="K3518"/>
    <hyperlink r:id="rId3518" ref="K3519"/>
    <hyperlink r:id="rId3519" ref="K3520"/>
    <hyperlink r:id="rId3520" ref="K3521"/>
    <hyperlink r:id="rId3521" ref="K3522"/>
    <hyperlink r:id="rId3522" ref="K3523"/>
    <hyperlink r:id="rId3523" ref="K3524"/>
    <hyperlink r:id="rId3524" ref="K3525"/>
    <hyperlink r:id="rId3525" ref="K3526"/>
    <hyperlink r:id="rId3526" ref="K3527"/>
    <hyperlink r:id="rId3527" ref="K3528"/>
    <hyperlink r:id="rId3528" ref="K3529"/>
    <hyperlink r:id="rId3529" ref="K3530"/>
    <hyperlink r:id="rId3530" ref="K3531"/>
    <hyperlink r:id="rId3531" ref="K3532"/>
    <hyperlink r:id="rId3532" ref="K3533"/>
    <hyperlink r:id="rId3533" ref="K3534"/>
    <hyperlink r:id="rId3534" ref="K3535"/>
    <hyperlink r:id="rId3535" ref="K3536"/>
    <hyperlink r:id="rId3536" ref="K3537"/>
    <hyperlink r:id="rId3537" ref="K3538"/>
    <hyperlink r:id="rId3538" ref="K3539"/>
    <hyperlink r:id="rId3539" ref="K3540"/>
    <hyperlink r:id="rId3540" ref="K3541"/>
    <hyperlink r:id="rId3541" ref="K3542"/>
    <hyperlink r:id="rId3542" ref="K3543"/>
    <hyperlink r:id="rId3543" ref="K3544"/>
    <hyperlink r:id="rId3544" ref="K3545"/>
    <hyperlink r:id="rId3545" ref="K3546"/>
    <hyperlink r:id="rId3546" ref="K3547"/>
    <hyperlink r:id="rId3547" ref="K3548"/>
    <hyperlink r:id="rId3548" ref="K3549"/>
    <hyperlink r:id="rId3549" ref="K3550"/>
    <hyperlink r:id="rId3550" ref="K3551"/>
    <hyperlink r:id="rId3551" ref="K3552"/>
    <hyperlink r:id="rId3552" ref="K3553"/>
    <hyperlink r:id="rId3553" ref="K3554"/>
    <hyperlink r:id="rId3554" ref="K3555"/>
    <hyperlink r:id="rId3555" ref="K3556"/>
    <hyperlink r:id="rId3556" ref="K3557"/>
    <hyperlink r:id="rId3557" ref="K3558"/>
    <hyperlink r:id="rId3558" ref="K3559"/>
    <hyperlink r:id="rId3559" ref="K3560"/>
    <hyperlink r:id="rId3560" ref="K3561"/>
    <hyperlink r:id="rId3561" ref="K3562"/>
    <hyperlink r:id="rId3562" ref="K3563"/>
    <hyperlink r:id="rId3563" ref="K3564"/>
    <hyperlink r:id="rId3564" ref="K3565"/>
    <hyperlink r:id="rId3565" ref="K3566"/>
    <hyperlink r:id="rId3566" ref="K3567"/>
    <hyperlink r:id="rId3567" ref="K3568"/>
    <hyperlink r:id="rId3568" ref="K3569"/>
    <hyperlink r:id="rId3569" ref="K3570"/>
    <hyperlink r:id="rId3570" ref="K3571"/>
    <hyperlink r:id="rId3571" ref="K3572"/>
    <hyperlink r:id="rId3572" ref="K3573"/>
    <hyperlink r:id="rId3573" ref="K3574"/>
    <hyperlink r:id="rId3574" ref="K3575"/>
    <hyperlink r:id="rId3575" ref="K3576"/>
    <hyperlink r:id="rId3576" ref="K3577"/>
    <hyperlink r:id="rId3577" ref="K3578"/>
    <hyperlink r:id="rId3578" ref="K3579"/>
    <hyperlink r:id="rId3579" ref="K3580"/>
    <hyperlink r:id="rId3580" ref="K3581"/>
    <hyperlink r:id="rId3581" ref="K3582"/>
    <hyperlink r:id="rId3582" ref="K3583"/>
    <hyperlink r:id="rId3583" ref="K3584"/>
    <hyperlink r:id="rId3584" ref="K3585"/>
    <hyperlink r:id="rId3585" ref="K3586"/>
    <hyperlink r:id="rId3586" ref="K3587"/>
    <hyperlink r:id="rId3587" ref="K3588"/>
    <hyperlink r:id="rId3588" ref="K3589"/>
    <hyperlink r:id="rId3589" ref="K3590"/>
    <hyperlink r:id="rId3590" ref="K3591"/>
    <hyperlink r:id="rId3591" ref="K3592"/>
    <hyperlink r:id="rId3592" ref="K3593"/>
    <hyperlink r:id="rId3593" ref="K3594"/>
    <hyperlink r:id="rId3594" ref="K3595"/>
    <hyperlink r:id="rId3595" ref="K3596"/>
    <hyperlink r:id="rId3596" ref="K3597"/>
    <hyperlink r:id="rId3597" ref="K3598"/>
    <hyperlink r:id="rId3598" ref="K3599"/>
    <hyperlink r:id="rId3599" ref="K3600"/>
    <hyperlink r:id="rId3600" ref="K3601"/>
    <hyperlink r:id="rId3601" ref="K3602"/>
    <hyperlink r:id="rId3602" ref="K3603"/>
    <hyperlink r:id="rId3603" ref="K3604"/>
    <hyperlink r:id="rId3604" ref="K3605"/>
    <hyperlink r:id="rId3605" ref="K3606"/>
    <hyperlink r:id="rId3606" ref="K3607"/>
    <hyperlink r:id="rId3607" ref="K3608"/>
    <hyperlink r:id="rId3608" ref="K3609"/>
    <hyperlink r:id="rId3609" ref="K3610"/>
    <hyperlink r:id="rId3610" ref="K3611"/>
    <hyperlink r:id="rId3611" ref="K3612"/>
    <hyperlink r:id="rId3612" ref="K3613"/>
    <hyperlink r:id="rId3613" ref="K3614"/>
    <hyperlink r:id="rId3614" ref="K3615"/>
    <hyperlink r:id="rId3615" ref="K3616"/>
    <hyperlink r:id="rId3616" ref="K3617"/>
    <hyperlink r:id="rId3617" ref="K3618"/>
    <hyperlink r:id="rId3618" ref="K3619"/>
    <hyperlink r:id="rId3619" ref="K3620"/>
    <hyperlink r:id="rId3620" ref="K3621"/>
    <hyperlink r:id="rId3621" ref="K3622"/>
    <hyperlink r:id="rId3622" ref="K3623"/>
    <hyperlink r:id="rId3623" ref="K3624"/>
    <hyperlink r:id="rId3624" ref="K3625"/>
    <hyperlink r:id="rId3625" ref="K3626"/>
    <hyperlink r:id="rId3626" ref="K3627"/>
    <hyperlink r:id="rId3627" ref="K3628"/>
    <hyperlink r:id="rId3628" ref="K3629"/>
    <hyperlink r:id="rId3629" ref="K3630"/>
    <hyperlink r:id="rId3630" ref="K3631"/>
    <hyperlink r:id="rId3631" ref="K3632"/>
    <hyperlink r:id="rId3632" ref="K3633"/>
    <hyperlink r:id="rId3633" ref="K3634"/>
    <hyperlink r:id="rId3634" ref="K3635"/>
    <hyperlink r:id="rId3635" ref="K3636"/>
    <hyperlink r:id="rId3636" ref="K3637"/>
    <hyperlink r:id="rId3637" ref="K3638"/>
    <hyperlink r:id="rId3638" ref="K3639"/>
    <hyperlink r:id="rId3639" ref="K3640"/>
    <hyperlink r:id="rId3640" ref="K3641"/>
    <hyperlink r:id="rId3641" ref="K3642"/>
    <hyperlink r:id="rId3642" ref="K3643"/>
    <hyperlink r:id="rId3643" ref="K3644"/>
    <hyperlink r:id="rId3644" ref="K3645"/>
    <hyperlink r:id="rId3645" ref="K3646"/>
    <hyperlink r:id="rId3646" ref="K3647"/>
    <hyperlink r:id="rId3647" ref="K3648"/>
    <hyperlink r:id="rId3648" ref="K3649"/>
    <hyperlink r:id="rId3649" ref="K3650"/>
    <hyperlink r:id="rId3650" ref="K3651"/>
    <hyperlink r:id="rId3651" ref="K3652"/>
    <hyperlink r:id="rId3652" ref="K3653"/>
    <hyperlink r:id="rId3653" ref="K3654"/>
    <hyperlink r:id="rId3654" ref="K3655"/>
    <hyperlink r:id="rId3655" ref="K3656"/>
    <hyperlink r:id="rId3656" ref="K3657"/>
    <hyperlink r:id="rId3657" ref="K3658"/>
    <hyperlink r:id="rId3658" ref="K3659"/>
    <hyperlink r:id="rId3659" ref="K3660"/>
    <hyperlink r:id="rId3660" ref="K3661"/>
    <hyperlink r:id="rId3661" ref="K3662"/>
    <hyperlink r:id="rId3662" ref="K3663"/>
    <hyperlink r:id="rId3663" ref="K3664"/>
    <hyperlink r:id="rId3664" ref="K3665"/>
    <hyperlink r:id="rId3665" ref="K3666"/>
    <hyperlink r:id="rId3666" ref="K3667"/>
    <hyperlink r:id="rId3667" ref="K3668"/>
    <hyperlink r:id="rId3668" ref="K3669"/>
    <hyperlink r:id="rId3669" ref="K3670"/>
    <hyperlink r:id="rId3670" ref="K3671"/>
    <hyperlink r:id="rId3671" ref="K3672"/>
    <hyperlink r:id="rId3672" ref="K3673"/>
    <hyperlink r:id="rId3673" ref="K3674"/>
    <hyperlink r:id="rId3674" ref="K3675"/>
    <hyperlink r:id="rId3675" ref="K3676"/>
    <hyperlink r:id="rId3676" ref="K3677"/>
    <hyperlink r:id="rId3677" ref="K3678"/>
    <hyperlink r:id="rId3678" ref="K3679"/>
    <hyperlink r:id="rId3679" ref="K3680"/>
    <hyperlink r:id="rId3680" ref="K3681"/>
    <hyperlink r:id="rId3681" ref="K3682"/>
    <hyperlink r:id="rId3682" ref="K3683"/>
    <hyperlink r:id="rId3683" ref="K3684"/>
    <hyperlink r:id="rId3684" ref="K3685"/>
    <hyperlink r:id="rId3685" ref="K3686"/>
    <hyperlink r:id="rId3686" ref="K3687"/>
    <hyperlink r:id="rId3687" ref="K3688"/>
    <hyperlink r:id="rId3688" ref="K3689"/>
    <hyperlink r:id="rId3689" ref="K3690"/>
    <hyperlink r:id="rId3690" ref="K3691"/>
    <hyperlink r:id="rId3691" ref="K3692"/>
    <hyperlink r:id="rId3692" ref="K3693"/>
    <hyperlink r:id="rId3693" ref="K3694"/>
    <hyperlink r:id="rId3694" ref="K3695"/>
    <hyperlink r:id="rId3695" ref="K3696"/>
    <hyperlink r:id="rId3696" ref="K3697"/>
    <hyperlink r:id="rId3697" ref="K3698"/>
    <hyperlink r:id="rId3698" ref="K3699"/>
    <hyperlink r:id="rId3699" ref="K3700"/>
    <hyperlink r:id="rId3700" ref="K3701"/>
    <hyperlink r:id="rId3701" ref="K3702"/>
    <hyperlink r:id="rId3702" ref="K3703"/>
    <hyperlink r:id="rId3703" ref="K3704"/>
    <hyperlink r:id="rId3704" ref="K3705"/>
    <hyperlink r:id="rId3705" ref="K3706"/>
    <hyperlink r:id="rId3706" ref="K3707"/>
    <hyperlink r:id="rId3707" ref="K3708"/>
    <hyperlink r:id="rId3708" ref="K3709"/>
    <hyperlink r:id="rId3709" ref="K3710"/>
    <hyperlink r:id="rId3710" ref="K3711"/>
    <hyperlink r:id="rId3711" ref="K3712"/>
    <hyperlink r:id="rId3712" ref="K3713"/>
    <hyperlink r:id="rId3713" ref="K3714"/>
    <hyperlink r:id="rId3714" ref="K3715"/>
    <hyperlink r:id="rId3715" ref="K3716"/>
    <hyperlink r:id="rId3716" ref="K3717"/>
    <hyperlink r:id="rId3717" ref="K3718"/>
    <hyperlink r:id="rId3718" ref="K3719"/>
    <hyperlink r:id="rId3719" ref="K3720"/>
    <hyperlink r:id="rId3720" ref="K3721"/>
    <hyperlink r:id="rId3721" ref="K3722"/>
    <hyperlink r:id="rId3722" ref="K3723"/>
    <hyperlink r:id="rId3723" ref="K3724"/>
    <hyperlink r:id="rId3724" ref="K3725"/>
    <hyperlink r:id="rId3725" ref="K3726"/>
    <hyperlink r:id="rId3726" ref="K3727"/>
    <hyperlink r:id="rId3727" ref="K3728"/>
    <hyperlink r:id="rId3728" ref="K3729"/>
    <hyperlink r:id="rId3729" ref="K3730"/>
    <hyperlink r:id="rId3730" ref="K3731"/>
    <hyperlink r:id="rId3731" ref="K3732"/>
    <hyperlink r:id="rId3732" ref="K3733"/>
    <hyperlink r:id="rId3733" ref="K3734"/>
    <hyperlink r:id="rId3734" ref="K3735"/>
    <hyperlink r:id="rId3735" ref="K3736"/>
    <hyperlink r:id="rId3736" ref="K3737"/>
    <hyperlink r:id="rId3737" ref="K3738"/>
    <hyperlink r:id="rId3738" ref="K3739"/>
    <hyperlink r:id="rId3739" ref="K3740"/>
    <hyperlink r:id="rId3740" ref="K3741"/>
    <hyperlink r:id="rId3741" ref="K3742"/>
    <hyperlink r:id="rId3742" ref="K3743"/>
    <hyperlink r:id="rId3743" ref="K3744"/>
    <hyperlink r:id="rId3744" ref="K3745"/>
    <hyperlink r:id="rId3745" ref="K3746"/>
    <hyperlink r:id="rId3746" ref="K3747"/>
    <hyperlink r:id="rId3747" ref="K3748"/>
    <hyperlink r:id="rId3748" ref="K3749"/>
    <hyperlink r:id="rId3749" ref="K3750"/>
    <hyperlink r:id="rId3750" ref="K3751"/>
    <hyperlink r:id="rId3751" ref="K3752"/>
    <hyperlink r:id="rId3752" ref="K3753"/>
    <hyperlink r:id="rId3753" ref="K3754"/>
    <hyperlink r:id="rId3754" ref="K3755"/>
    <hyperlink r:id="rId3755" ref="K3756"/>
    <hyperlink r:id="rId3756" ref="K3757"/>
    <hyperlink r:id="rId3757" ref="K3758"/>
    <hyperlink r:id="rId3758" ref="K3759"/>
    <hyperlink r:id="rId3759" ref="K3760"/>
    <hyperlink r:id="rId3760" ref="K3761"/>
    <hyperlink r:id="rId3761" ref="K3762"/>
    <hyperlink r:id="rId3762" ref="K3763"/>
    <hyperlink r:id="rId3763" ref="K3764"/>
    <hyperlink r:id="rId3764" ref="K3765"/>
    <hyperlink r:id="rId3765" ref="K3766"/>
    <hyperlink r:id="rId3766" ref="K3767"/>
    <hyperlink r:id="rId3767" ref="K3768"/>
    <hyperlink r:id="rId3768" ref="K3769"/>
    <hyperlink r:id="rId3769" ref="K3770"/>
    <hyperlink r:id="rId3770" ref="K3771"/>
    <hyperlink r:id="rId3771" ref="K3772"/>
    <hyperlink r:id="rId3772" ref="K3773"/>
    <hyperlink r:id="rId3773" ref="K3774"/>
    <hyperlink r:id="rId3774" ref="K3775"/>
    <hyperlink r:id="rId3775" ref="K3776"/>
    <hyperlink r:id="rId3776" ref="K3777"/>
    <hyperlink r:id="rId3777" ref="K3778"/>
    <hyperlink r:id="rId3778" ref="K3779"/>
    <hyperlink r:id="rId3779" ref="K3780"/>
    <hyperlink r:id="rId3780" ref="K3781"/>
    <hyperlink r:id="rId3781" ref="K3782"/>
    <hyperlink r:id="rId3782" ref="K3783"/>
    <hyperlink r:id="rId3783" ref="K3784"/>
    <hyperlink r:id="rId3784" ref="K3785"/>
    <hyperlink r:id="rId3785" ref="K3786"/>
    <hyperlink r:id="rId3786" ref="K3787"/>
    <hyperlink r:id="rId3787" ref="K3788"/>
    <hyperlink r:id="rId3788" ref="K3789"/>
    <hyperlink r:id="rId3789" ref="K3790"/>
    <hyperlink r:id="rId3790" ref="K3791"/>
    <hyperlink r:id="rId3791" ref="K3792"/>
    <hyperlink r:id="rId3792" ref="K3793"/>
    <hyperlink r:id="rId3793" ref="K3794"/>
    <hyperlink r:id="rId3794" ref="K3795"/>
    <hyperlink r:id="rId3795" ref="K3796"/>
    <hyperlink r:id="rId3796" ref="K3797"/>
    <hyperlink r:id="rId3797" ref="K3798"/>
    <hyperlink r:id="rId3798" ref="K3799"/>
    <hyperlink r:id="rId3799" ref="K3800"/>
    <hyperlink r:id="rId3800" ref="K3801"/>
    <hyperlink r:id="rId3801" ref="K3802"/>
    <hyperlink r:id="rId3802" ref="K3803"/>
    <hyperlink r:id="rId3803" ref="K3804"/>
    <hyperlink r:id="rId3804" ref="K3805"/>
    <hyperlink r:id="rId3805" ref="K3806"/>
    <hyperlink r:id="rId3806" ref="K3807"/>
    <hyperlink r:id="rId3807" ref="K3808"/>
    <hyperlink r:id="rId3808" ref="K3809"/>
    <hyperlink r:id="rId3809" ref="K3810"/>
    <hyperlink r:id="rId3810" ref="K3811"/>
    <hyperlink r:id="rId3811" ref="K3812"/>
    <hyperlink r:id="rId3812" ref="K3813"/>
    <hyperlink r:id="rId3813" ref="K3814"/>
    <hyperlink r:id="rId3814" ref="K3815"/>
    <hyperlink r:id="rId3815" ref="K3816"/>
    <hyperlink r:id="rId3816" ref="K3817"/>
    <hyperlink r:id="rId3817" ref="K3818"/>
    <hyperlink r:id="rId3818" ref="K3819"/>
    <hyperlink r:id="rId3819" ref="K3820"/>
    <hyperlink r:id="rId3820" ref="K3821"/>
    <hyperlink r:id="rId3821" ref="K3822"/>
    <hyperlink r:id="rId3822" ref="K3823"/>
    <hyperlink r:id="rId3823" ref="K3824"/>
    <hyperlink r:id="rId3824" ref="K3825"/>
    <hyperlink r:id="rId3825" ref="K3826"/>
    <hyperlink r:id="rId3826" ref="K3827"/>
    <hyperlink r:id="rId3827" ref="K3828"/>
    <hyperlink r:id="rId3828" ref="K3829"/>
    <hyperlink r:id="rId3829" ref="K3830"/>
    <hyperlink r:id="rId3830" ref="K3831"/>
    <hyperlink r:id="rId3831" ref="K3832"/>
    <hyperlink r:id="rId3832" ref="K3833"/>
    <hyperlink r:id="rId3833" ref="K3834"/>
    <hyperlink r:id="rId3834" ref="K3835"/>
    <hyperlink r:id="rId3835" ref="K3836"/>
    <hyperlink r:id="rId3836" ref="K3837"/>
    <hyperlink r:id="rId3837" ref="K3838"/>
    <hyperlink r:id="rId3838" ref="K3839"/>
    <hyperlink r:id="rId3839" ref="K3840"/>
    <hyperlink r:id="rId3840" ref="K3841"/>
    <hyperlink r:id="rId3841" ref="K3842"/>
    <hyperlink r:id="rId3842" ref="K3843"/>
    <hyperlink r:id="rId3843" ref="K3844"/>
    <hyperlink r:id="rId3844" ref="K3845"/>
    <hyperlink r:id="rId3845" ref="K3846"/>
    <hyperlink r:id="rId3846" ref="K3847"/>
    <hyperlink r:id="rId3847" ref="K3848"/>
    <hyperlink r:id="rId3848" ref="K3849"/>
    <hyperlink r:id="rId3849" ref="K3850"/>
    <hyperlink r:id="rId3850" ref="K3851"/>
    <hyperlink r:id="rId3851" ref="K3852"/>
    <hyperlink r:id="rId3852" ref="K3853"/>
    <hyperlink r:id="rId3853" ref="K3854"/>
    <hyperlink r:id="rId3854" ref="K3855"/>
    <hyperlink r:id="rId3855" ref="K3856"/>
    <hyperlink r:id="rId3856" ref="K3857"/>
    <hyperlink r:id="rId3857" ref="K3858"/>
    <hyperlink r:id="rId3858" ref="K3859"/>
    <hyperlink r:id="rId3859" ref="K3860"/>
    <hyperlink r:id="rId3860" ref="K3861"/>
    <hyperlink r:id="rId3861" ref="K3862"/>
    <hyperlink r:id="rId3862" ref="K3863"/>
    <hyperlink r:id="rId3863" ref="K3864"/>
    <hyperlink r:id="rId3864" ref="K3865"/>
    <hyperlink r:id="rId3865" ref="K3866"/>
    <hyperlink r:id="rId3866" ref="K3867"/>
    <hyperlink r:id="rId3867" ref="K3868"/>
    <hyperlink r:id="rId3868" ref="K3869"/>
    <hyperlink r:id="rId3869" ref="K3870"/>
    <hyperlink r:id="rId3870" ref="K3871"/>
    <hyperlink r:id="rId3871" ref="K3872"/>
    <hyperlink r:id="rId3872" ref="K3873"/>
    <hyperlink r:id="rId3873" ref="K3874"/>
    <hyperlink r:id="rId3874" ref="K3875"/>
    <hyperlink r:id="rId3875" ref="K3876"/>
    <hyperlink r:id="rId3876" ref="K3877"/>
    <hyperlink r:id="rId3877" ref="K3878"/>
    <hyperlink r:id="rId3878" ref="K3879"/>
    <hyperlink r:id="rId3879" ref="K3880"/>
    <hyperlink r:id="rId3880" ref="K3881"/>
    <hyperlink r:id="rId3881" ref="K3882"/>
    <hyperlink r:id="rId3882" ref="K3883"/>
    <hyperlink r:id="rId3883" ref="K3884"/>
    <hyperlink r:id="rId3884" ref="K3885"/>
    <hyperlink r:id="rId3885" ref="K3886"/>
    <hyperlink r:id="rId3886" ref="K3887"/>
    <hyperlink r:id="rId3887" ref="K3888"/>
    <hyperlink r:id="rId3888" ref="K3889"/>
    <hyperlink r:id="rId3889" ref="K3890"/>
    <hyperlink r:id="rId3890" ref="K3891"/>
    <hyperlink r:id="rId3891" ref="K3892"/>
    <hyperlink r:id="rId3892" ref="K3893"/>
    <hyperlink r:id="rId3893" ref="K3894"/>
    <hyperlink r:id="rId3894" ref="K3895"/>
    <hyperlink r:id="rId3895" ref="K3896"/>
    <hyperlink r:id="rId3896" ref="K3897"/>
    <hyperlink r:id="rId3897" ref="K3898"/>
    <hyperlink r:id="rId3898" ref="K3899"/>
    <hyperlink r:id="rId3899" ref="K3900"/>
    <hyperlink r:id="rId3900" ref="K3901"/>
    <hyperlink r:id="rId3901" ref="K3902"/>
    <hyperlink r:id="rId3902" ref="K3903"/>
    <hyperlink r:id="rId3903" ref="K3904"/>
    <hyperlink r:id="rId3904" ref="K3905"/>
    <hyperlink r:id="rId3905" ref="K3906"/>
    <hyperlink r:id="rId3906" ref="K3907"/>
    <hyperlink r:id="rId3907" ref="K3908"/>
    <hyperlink r:id="rId3908" ref="K3909"/>
    <hyperlink r:id="rId3909" ref="K3910"/>
    <hyperlink r:id="rId3910" ref="K3911"/>
    <hyperlink r:id="rId3911" ref="K3912"/>
    <hyperlink r:id="rId3912" ref="K3913"/>
    <hyperlink r:id="rId3913" ref="K3914"/>
    <hyperlink r:id="rId3914" ref="K3915"/>
    <hyperlink r:id="rId3915" ref="K3916"/>
    <hyperlink r:id="rId3916" ref="K3917"/>
    <hyperlink r:id="rId3917" ref="K3918"/>
    <hyperlink r:id="rId3918" ref="K3919"/>
    <hyperlink r:id="rId3919" ref="K3920"/>
    <hyperlink r:id="rId3920" ref="K3921"/>
    <hyperlink r:id="rId3921" ref="K3922"/>
    <hyperlink r:id="rId3922" ref="K3923"/>
    <hyperlink r:id="rId3923" ref="K3924"/>
    <hyperlink r:id="rId3924" ref="K3925"/>
    <hyperlink r:id="rId3925" ref="K3926"/>
    <hyperlink r:id="rId3926" ref="K3927"/>
    <hyperlink r:id="rId3927" ref="K3928"/>
    <hyperlink r:id="rId3928" ref="K3929"/>
    <hyperlink r:id="rId3929" ref="K3930"/>
    <hyperlink r:id="rId3930" ref="K3931"/>
    <hyperlink r:id="rId3931" ref="K3932"/>
    <hyperlink r:id="rId3932" ref="K3933"/>
    <hyperlink r:id="rId3933" ref="K3934"/>
    <hyperlink r:id="rId3934" ref="K3935"/>
    <hyperlink r:id="rId3935" ref="K3936"/>
    <hyperlink r:id="rId3936" ref="K3937"/>
    <hyperlink r:id="rId3937" ref="K3938"/>
    <hyperlink r:id="rId3938" ref="K3939"/>
    <hyperlink r:id="rId3939" ref="K3940"/>
    <hyperlink r:id="rId3940" ref="K3941"/>
    <hyperlink r:id="rId3941" ref="K3942"/>
    <hyperlink r:id="rId3942" ref="K3943"/>
    <hyperlink r:id="rId3943" ref="K3944"/>
    <hyperlink r:id="rId3944" ref="K3945"/>
    <hyperlink r:id="rId3945" ref="K3946"/>
    <hyperlink r:id="rId3946" ref="K3947"/>
    <hyperlink r:id="rId3947" ref="K3948"/>
    <hyperlink r:id="rId3948" ref="K3949"/>
    <hyperlink r:id="rId3949" ref="K3950"/>
    <hyperlink r:id="rId3950" ref="K3951"/>
    <hyperlink r:id="rId3951" ref="K3952"/>
    <hyperlink r:id="rId3952" ref="K3953"/>
    <hyperlink r:id="rId3953" ref="K3954"/>
    <hyperlink r:id="rId3954" ref="K3955"/>
    <hyperlink r:id="rId3955" ref="K3956"/>
    <hyperlink r:id="rId3956" ref="K3957"/>
    <hyperlink r:id="rId3957" ref="K3958"/>
    <hyperlink r:id="rId3958" ref="K3959"/>
    <hyperlink r:id="rId3959" ref="K3960"/>
    <hyperlink r:id="rId3960" ref="K3961"/>
    <hyperlink r:id="rId3961" ref="K3962"/>
    <hyperlink r:id="rId3962" ref="K3963"/>
    <hyperlink r:id="rId3963" ref="K3964"/>
    <hyperlink r:id="rId3964" ref="K3965"/>
    <hyperlink r:id="rId3965" ref="K3966"/>
    <hyperlink r:id="rId3966" ref="K3967"/>
    <hyperlink r:id="rId3967" ref="K3968"/>
    <hyperlink r:id="rId3968" ref="K3969"/>
    <hyperlink r:id="rId3969" ref="K3970"/>
    <hyperlink r:id="rId3970" ref="K3971"/>
    <hyperlink r:id="rId3971" ref="K3972"/>
    <hyperlink r:id="rId3972" ref="K3973"/>
    <hyperlink r:id="rId3973" ref="K3974"/>
    <hyperlink r:id="rId3974" ref="K3975"/>
    <hyperlink r:id="rId3975" ref="K3976"/>
    <hyperlink r:id="rId3976" ref="K3977"/>
    <hyperlink r:id="rId3977" ref="K3978"/>
    <hyperlink r:id="rId3978" ref="K3979"/>
    <hyperlink r:id="rId3979" ref="K3980"/>
    <hyperlink r:id="rId3980" ref="K3981"/>
    <hyperlink r:id="rId3981" ref="K3982"/>
    <hyperlink r:id="rId3982" ref="K3983"/>
    <hyperlink r:id="rId3983" ref="K3984"/>
    <hyperlink r:id="rId3984" ref="K3985"/>
    <hyperlink r:id="rId3985" ref="K3986"/>
    <hyperlink r:id="rId3986" ref="K3987"/>
    <hyperlink r:id="rId3987" ref="K3988"/>
    <hyperlink r:id="rId3988" ref="K3989"/>
    <hyperlink r:id="rId3989" ref="K3990"/>
    <hyperlink r:id="rId3990" ref="K3991"/>
    <hyperlink r:id="rId3991" ref="K3992"/>
    <hyperlink r:id="rId3992" ref="K3993"/>
    <hyperlink r:id="rId3993" ref="K3994"/>
    <hyperlink r:id="rId3994" ref="K3995"/>
    <hyperlink r:id="rId3995" ref="K3996"/>
    <hyperlink r:id="rId3996" ref="K3997"/>
    <hyperlink r:id="rId3997" ref="K3998"/>
    <hyperlink r:id="rId3998" ref="K3999"/>
    <hyperlink r:id="rId3999" ref="K4000"/>
    <hyperlink r:id="rId4000" ref="K4001"/>
    <hyperlink r:id="rId4001" ref="K4002"/>
    <hyperlink r:id="rId4002" ref="K4003"/>
    <hyperlink r:id="rId4003" ref="K4004"/>
    <hyperlink r:id="rId4004" ref="K4005"/>
    <hyperlink r:id="rId4005" ref="K4006"/>
    <hyperlink r:id="rId4006" ref="K4007"/>
    <hyperlink r:id="rId4007" ref="K4008"/>
    <hyperlink r:id="rId4008" ref="K4009"/>
    <hyperlink r:id="rId4009" ref="K4010"/>
    <hyperlink r:id="rId4010" ref="K4011"/>
    <hyperlink r:id="rId4011" ref="K4012"/>
    <hyperlink r:id="rId4012" ref="K4013"/>
    <hyperlink r:id="rId4013" ref="K4014"/>
    <hyperlink r:id="rId4014" ref="K4015"/>
    <hyperlink r:id="rId4015" ref="K4016"/>
    <hyperlink r:id="rId4016" ref="K4017"/>
    <hyperlink r:id="rId4017" ref="K4018"/>
    <hyperlink r:id="rId4018" ref="K4019"/>
    <hyperlink r:id="rId4019" ref="K4020"/>
    <hyperlink r:id="rId4020" ref="K4021"/>
    <hyperlink r:id="rId4021" ref="K4022"/>
    <hyperlink r:id="rId4022" ref="K4023"/>
    <hyperlink r:id="rId4023" ref="K4024"/>
    <hyperlink r:id="rId4024" ref="K4025"/>
    <hyperlink r:id="rId4025" ref="K4026"/>
    <hyperlink r:id="rId4026" ref="K4027"/>
    <hyperlink r:id="rId4027" ref="K4028"/>
    <hyperlink r:id="rId4028" ref="K4029"/>
    <hyperlink r:id="rId4029" ref="K4030"/>
    <hyperlink r:id="rId4030" ref="K4031"/>
    <hyperlink r:id="rId4031" ref="K4032"/>
    <hyperlink r:id="rId4032" ref="K4033"/>
    <hyperlink r:id="rId4033" ref="K4034"/>
    <hyperlink r:id="rId4034" ref="K4035"/>
    <hyperlink r:id="rId4035" ref="K4036"/>
    <hyperlink r:id="rId4036" ref="K4037"/>
    <hyperlink r:id="rId4037" ref="K4038"/>
    <hyperlink r:id="rId4038" ref="K4039"/>
    <hyperlink r:id="rId4039" ref="K4040"/>
    <hyperlink r:id="rId4040" ref="K4041"/>
    <hyperlink r:id="rId4041" ref="K4042"/>
    <hyperlink r:id="rId4042" ref="K4043"/>
    <hyperlink r:id="rId4043" ref="K4044"/>
    <hyperlink r:id="rId4044" ref="K4045"/>
    <hyperlink r:id="rId4045" ref="K4046"/>
    <hyperlink r:id="rId4046" ref="K4047"/>
    <hyperlink r:id="rId4047" ref="K4048"/>
    <hyperlink r:id="rId4048" ref="K4049"/>
    <hyperlink r:id="rId4049" ref="K4050"/>
    <hyperlink r:id="rId4050" ref="K4051"/>
    <hyperlink r:id="rId4051" ref="K4052"/>
    <hyperlink r:id="rId4052" ref="K4053"/>
    <hyperlink r:id="rId4053" ref="K4054"/>
    <hyperlink r:id="rId4054" ref="K4055"/>
    <hyperlink r:id="rId4055" ref="K4056"/>
    <hyperlink r:id="rId4056" ref="K4057"/>
    <hyperlink r:id="rId4057" ref="K4058"/>
    <hyperlink r:id="rId4058" ref="K4059"/>
    <hyperlink r:id="rId4059" ref="K4060"/>
    <hyperlink r:id="rId4060" ref="K4061"/>
    <hyperlink r:id="rId4061" ref="K4062"/>
    <hyperlink r:id="rId4062" ref="K4063"/>
    <hyperlink r:id="rId4063" ref="K4064"/>
    <hyperlink r:id="rId4064" ref="K4065"/>
    <hyperlink r:id="rId4065" ref="K4066"/>
    <hyperlink r:id="rId4066" ref="K4067"/>
    <hyperlink r:id="rId4067" ref="K4068"/>
    <hyperlink r:id="rId4068" ref="K4069"/>
    <hyperlink r:id="rId4069" ref="K4070"/>
    <hyperlink r:id="rId4070" ref="K4071"/>
    <hyperlink r:id="rId4071" ref="K4072"/>
    <hyperlink r:id="rId4072" ref="K4073"/>
    <hyperlink r:id="rId4073" ref="K4074"/>
    <hyperlink r:id="rId4074" ref="K4075"/>
    <hyperlink r:id="rId4075" ref="K4076"/>
    <hyperlink r:id="rId4076" ref="K4077"/>
    <hyperlink r:id="rId4077" ref="K4078"/>
    <hyperlink r:id="rId4078" ref="K4079"/>
    <hyperlink r:id="rId4079" ref="K4080"/>
    <hyperlink r:id="rId4080" ref="K4081"/>
    <hyperlink r:id="rId4081" ref="K4082"/>
    <hyperlink r:id="rId4082" ref="K4083"/>
    <hyperlink r:id="rId4083" ref="K4084"/>
    <hyperlink r:id="rId4084" ref="K4085"/>
    <hyperlink r:id="rId4085" ref="K4086"/>
    <hyperlink r:id="rId4086" ref="K4087"/>
    <hyperlink r:id="rId4087" ref="K4088"/>
    <hyperlink r:id="rId4088" ref="K4089"/>
    <hyperlink r:id="rId4089" ref="K4090"/>
    <hyperlink r:id="rId4090" ref="K4091"/>
    <hyperlink r:id="rId4091" ref="K4092"/>
    <hyperlink r:id="rId4092" ref="K4093"/>
    <hyperlink r:id="rId4093" ref="K4094"/>
    <hyperlink r:id="rId4094" ref="K4095"/>
    <hyperlink r:id="rId4095" ref="K4096"/>
    <hyperlink r:id="rId4096" ref="K4097"/>
    <hyperlink r:id="rId4097" ref="K4098"/>
    <hyperlink r:id="rId4098" ref="K4099"/>
    <hyperlink r:id="rId4099" ref="K4100"/>
    <hyperlink r:id="rId4100" ref="K4101"/>
    <hyperlink r:id="rId4101" ref="K4102"/>
    <hyperlink r:id="rId4102" ref="K4103"/>
    <hyperlink r:id="rId4103" ref="K4104"/>
    <hyperlink r:id="rId4104" ref="K4105"/>
    <hyperlink r:id="rId4105" ref="K4106"/>
    <hyperlink r:id="rId4106" ref="K4107"/>
    <hyperlink r:id="rId4107" ref="K4108"/>
    <hyperlink r:id="rId4108" ref="K4109"/>
    <hyperlink r:id="rId4109" ref="K4110"/>
    <hyperlink r:id="rId4110" ref="K4111"/>
    <hyperlink r:id="rId4111" ref="K4112"/>
    <hyperlink r:id="rId4112" ref="K4113"/>
    <hyperlink r:id="rId4113" ref="K4114"/>
    <hyperlink r:id="rId4114" ref="K4115"/>
    <hyperlink r:id="rId4115" ref="K4116"/>
    <hyperlink r:id="rId4116" ref="K4117"/>
    <hyperlink r:id="rId4117" ref="K4118"/>
    <hyperlink r:id="rId4118" ref="K4119"/>
    <hyperlink r:id="rId4119" ref="K4120"/>
    <hyperlink r:id="rId4120" ref="K4121"/>
    <hyperlink r:id="rId4121" ref="K4122"/>
    <hyperlink r:id="rId4122" ref="K4123"/>
    <hyperlink r:id="rId4123" ref="K4124"/>
    <hyperlink r:id="rId4124" ref="K4125"/>
    <hyperlink r:id="rId4125" ref="K4126"/>
    <hyperlink r:id="rId4126" ref="K4127"/>
    <hyperlink r:id="rId4127" ref="K4128"/>
    <hyperlink r:id="rId4128" ref="K4129"/>
    <hyperlink r:id="rId4129" ref="K4130"/>
    <hyperlink r:id="rId4130" ref="K4131"/>
    <hyperlink r:id="rId4131" ref="K4132"/>
    <hyperlink r:id="rId4132" ref="K4133"/>
    <hyperlink r:id="rId4133" ref="K4134"/>
    <hyperlink r:id="rId4134" ref="K4135"/>
    <hyperlink r:id="rId4135" ref="K4136"/>
    <hyperlink r:id="rId4136" ref="K4137"/>
    <hyperlink r:id="rId4137" ref="K4138"/>
    <hyperlink r:id="rId4138" ref="K4139"/>
    <hyperlink r:id="rId4139" ref="K4140"/>
    <hyperlink r:id="rId4140" ref="K4141"/>
    <hyperlink r:id="rId4141" ref="K4142"/>
    <hyperlink r:id="rId4142" ref="K4143"/>
    <hyperlink r:id="rId4143" ref="K4144"/>
    <hyperlink r:id="rId4144" ref="K4145"/>
    <hyperlink r:id="rId4145" ref="K4146"/>
    <hyperlink r:id="rId4146" ref="K4147"/>
    <hyperlink r:id="rId4147" ref="K4148"/>
    <hyperlink r:id="rId4148" ref="K4149"/>
    <hyperlink r:id="rId4149" ref="K4150"/>
    <hyperlink r:id="rId4150" ref="K4151"/>
    <hyperlink r:id="rId4151" ref="K4152"/>
    <hyperlink r:id="rId4152" ref="K4153"/>
    <hyperlink r:id="rId4153" ref="K4154"/>
    <hyperlink r:id="rId4154" ref="K4155"/>
    <hyperlink r:id="rId4155" ref="K4156"/>
    <hyperlink r:id="rId4156" ref="K4157"/>
    <hyperlink r:id="rId4157" ref="K4158"/>
    <hyperlink r:id="rId4158" ref="K4159"/>
    <hyperlink r:id="rId4159" ref="K4160"/>
    <hyperlink r:id="rId4160" ref="K4161"/>
    <hyperlink r:id="rId4161" ref="K4162"/>
    <hyperlink r:id="rId4162" ref="K4163"/>
    <hyperlink r:id="rId4163" ref="K4164"/>
    <hyperlink r:id="rId4164" ref="K4165"/>
    <hyperlink r:id="rId4165" ref="K4166"/>
    <hyperlink r:id="rId4166" ref="K4167"/>
    <hyperlink r:id="rId4167" ref="K4168"/>
    <hyperlink r:id="rId4168" ref="K4169"/>
    <hyperlink r:id="rId4169" ref="K4170"/>
    <hyperlink r:id="rId4170" ref="K4171"/>
    <hyperlink r:id="rId4171" ref="K4172"/>
    <hyperlink r:id="rId4172" ref="K4173"/>
    <hyperlink r:id="rId4173" ref="K4174"/>
    <hyperlink r:id="rId4174" ref="K4175"/>
    <hyperlink r:id="rId4175" ref="K4176"/>
    <hyperlink r:id="rId4176" ref="K4177"/>
    <hyperlink r:id="rId4177" ref="K4178"/>
    <hyperlink r:id="rId4178" ref="K4179"/>
    <hyperlink r:id="rId4179" ref="K4180"/>
    <hyperlink r:id="rId4180" ref="K4181"/>
    <hyperlink r:id="rId4181" ref="K4182"/>
    <hyperlink r:id="rId4182" ref="K4183"/>
    <hyperlink r:id="rId4183" ref="K4184"/>
    <hyperlink r:id="rId4184" ref="K4185"/>
    <hyperlink r:id="rId4185" ref="K4186"/>
    <hyperlink r:id="rId4186" ref="K4187"/>
    <hyperlink r:id="rId4187" ref="K4188"/>
    <hyperlink r:id="rId4188" ref="K4189"/>
    <hyperlink r:id="rId4189" ref="K4190"/>
    <hyperlink r:id="rId4190" ref="K4191"/>
    <hyperlink r:id="rId4191" ref="K4192"/>
    <hyperlink r:id="rId4192" ref="K4193"/>
    <hyperlink r:id="rId4193" ref="K4194"/>
    <hyperlink r:id="rId4194" ref="K4195"/>
    <hyperlink r:id="rId4195" ref="K4196"/>
    <hyperlink r:id="rId4196" ref="K4197"/>
    <hyperlink r:id="rId4197" ref="K4198"/>
    <hyperlink r:id="rId4198" ref="K4199"/>
    <hyperlink r:id="rId4199" ref="K4200"/>
    <hyperlink r:id="rId4200" ref="K4201"/>
    <hyperlink r:id="rId4201" ref="K4202"/>
    <hyperlink r:id="rId4202" ref="K4203"/>
    <hyperlink r:id="rId4203" ref="K4204"/>
    <hyperlink r:id="rId4204" ref="K4205"/>
    <hyperlink r:id="rId4205" ref="K4206"/>
    <hyperlink r:id="rId4206" ref="K4207"/>
    <hyperlink r:id="rId4207" ref="K4208"/>
    <hyperlink r:id="rId4208" ref="K4209"/>
    <hyperlink r:id="rId4209" ref="K4210"/>
    <hyperlink r:id="rId4210" ref="K4211"/>
    <hyperlink r:id="rId4211" ref="K4212"/>
    <hyperlink r:id="rId4212" ref="K4213"/>
    <hyperlink r:id="rId4213" ref="K4214"/>
    <hyperlink r:id="rId4214" ref="K4215"/>
    <hyperlink r:id="rId4215" ref="K4216"/>
    <hyperlink r:id="rId4216" ref="K4217"/>
    <hyperlink r:id="rId4217" ref="K4218"/>
    <hyperlink r:id="rId4218" ref="K4219"/>
    <hyperlink r:id="rId4219" ref="K4220"/>
    <hyperlink r:id="rId4220" ref="K4221"/>
    <hyperlink r:id="rId4221" ref="K4222"/>
    <hyperlink r:id="rId4222" ref="K4223"/>
    <hyperlink r:id="rId4223" ref="K4224"/>
    <hyperlink r:id="rId4224" ref="K4225"/>
    <hyperlink r:id="rId4225" ref="K4226"/>
    <hyperlink r:id="rId4226" ref="K4227"/>
    <hyperlink r:id="rId4227" ref="K4228"/>
    <hyperlink r:id="rId4228" ref="K4229"/>
    <hyperlink r:id="rId4229" ref="K4230"/>
    <hyperlink r:id="rId4230" ref="K4231"/>
    <hyperlink r:id="rId4231" ref="K4232"/>
    <hyperlink r:id="rId4232" ref="K4233"/>
    <hyperlink r:id="rId4233" ref="K4234"/>
    <hyperlink r:id="rId4234" ref="K4235"/>
    <hyperlink r:id="rId4235" ref="K4236"/>
    <hyperlink r:id="rId4236" ref="K4237"/>
    <hyperlink r:id="rId4237" ref="K4238"/>
    <hyperlink r:id="rId4238" ref="K4239"/>
    <hyperlink r:id="rId4239" ref="K4240"/>
    <hyperlink r:id="rId4240" ref="K4241"/>
    <hyperlink r:id="rId4241" ref="K4242"/>
    <hyperlink r:id="rId4242" ref="K4243"/>
    <hyperlink r:id="rId4243" ref="K4244"/>
    <hyperlink r:id="rId4244" ref="K4245"/>
    <hyperlink r:id="rId4245" ref="K4246"/>
    <hyperlink r:id="rId4246" ref="K4247"/>
    <hyperlink r:id="rId4247" ref="K4248"/>
    <hyperlink r:id="rId4248" ref="K4249"/>
    <hyperlink r:id="rId4249" ref="K4250"/>
    <hyperlink r:id="rId4250" ref="K4251"/>
    <hyperlink r:id="rId4251" ref="K4252"/>
    <hyperlink r:id="rId4252" ref="K4253"/>
    <hyperlink r:id="rId4253" ref="K4254"/>
    <hyperlink r:id="rId4254" ref="K4255"/>
    <hyperlink r:id="rId4255" ref="K4256"/>
    <hyperlink r:id="rId4256" ref="K4257"/>
    <hyperlink r:id="rId4257" ref="K4258"/>
    <hyperlink r:id="rId4258" ref="K4259"/>
    <hyperlink r:id="rId4259" ref="K4260"/>
    <hyperlink r:id="rId4260" ref="K4261"/>
    <hyperlink r:id="rId4261" ref="K4262"/>
    <hyperlink r:id="rId4262" ref="K4263"/>
    <hyperlink r:id="rId4263" ref="K4264"/>
    <hyperlink r:id="rId4264" ref="K4265"/>
    <hyperlink r:id="rId4265" ref="K4266"/>
    <hyperlink r:id="rId4266" ref="K4267"/>
    <hyperlink r:id="rId4267" ref="K4268"/>
    <hyperlink r:id="rId4268" ref="K4269"/>
    <hyperlink r:id="rId4269" ref="K4270"/>
    <hyperlink r:id="rId4270" ref="K4271"/>
    <hyperlink r:id="rId4271" ref="K4272"/>
    <hyperlink r:id="rId4272" ref="K4273"/>
    <hyperlink r:id="rId4273" ref="K4274"/>
    <hyperlink r:id="rId4274" ref="K4275"/>
    <hyperlink r:id="rId4275" ref="K4276"/>
    <hyperlink r:id="rId4276" ref="K4277"/>
    <hyperlink r:id="rId4277" ref="K4278"/>
    <hyperlink r:id="rId4278" ref="K4279"/>
    <hyperlink r:id="rId4279" ref="K4280"/>
    <hyperlink r:id="rId4280" ref="K4281"/>
    <hyperlink r:id="rId4281" ref="K4282"/>
    <hyperlink r:id="rId4282" ref="K4283"/>
    <hyperlink r:id="rId4283" ref="K4284"/>
    <hyperlink r:id="rId4284" ref="K4285"/>
    <hyperlink r:id="rId4285" ref="K4286"/>
    <hyperlink r:id="rId4286" ref="K4287"/>
    <hyperlink r:id="rId4287" ref="K4288"/>
    <hyperlink r:id="rId4288" ref="K4289"/>
    <hyperlink r:id="rId4289" ref="K4290"/>
    <hyperlink r:id="rId4290" ref="K4291"/>
    <hyperlink r:id="rId4291" ref="K4292"/>
    <hyperlink r:id="rId4292" ref="K4293"/>
    <hyperlink r:id="rId4293" ref="K4294"/>
    <hyperlink r:id="rId4294" ref="K4295"/>
  </hyperlinks>
  <drawing r:id="rId429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&gt;=date'2023-02-01' and N &lt;date'2023-07-01'and C = 'approved' and I = 'Turkey' and L = 'GV' and O &gt;=date'2023-07-16'and O &lt;=date'2023-09-25'"",1)"),"EP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IFERROR(__xludf.DUMMYFUNCTION("""COMPUTED_VALUE"""),"5176305_1284976")</f>
        <v>5176305_1284976</v>
      </c>
      <c r="B2" s="16" t="str">
        <f>IFERROR(__xludf.DUMMYFUNCTION("""COMPUTED_VALUE"""),"Omar Salama")</f>
        <v>Omar Salama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IFERROR(__xludf.DUMMYFUNCTION("""COMPUTED_VALUE"""),"p_3f2eb5241bb8df824ee5570b695ec85bc878d0da@inbound.aiesec.org")</f>
        <v>p_3f2eb5241bb8df824ee5570b695ec85bc878d0da@inbound.aiesec.org</v>
      </c>
      <c r="F2" s="16">
        <f>IFERROR(__xludf.DUMMYFUNCTION("""COMPUTED_VALUE"""),1.024980973E9)</f>
        <v>1024980973</v>
      </c>
      <c r="G2" s="16" t="str">
        <f>IFERROR(__xludf.DUMMYFUNCTION("""COMPUTED_VALUE"""),"Egypt")</f>
        <v>Egypt</v>
      </c>
      <c r="H2" s="16" t="str">
        <f>IFERROR(__xludf.DUMMYFUNCTION("""COMPUTED_VALUE"""),"Ain Shams University")</f>
        <v>Ain Shams University</v>
      </c>
      <c r="I2" s="16" t="str">
        <f>IFERROR(__xludf.DUMMYFUNCTION("""COMPUTED_VALUE"""),"Turkey")</f>
        <v>Turkey</v>
      </c>
      <c r="J2" s="16" t="str">
        <f>IFERROR(__xludf.DUMMYFUNCTION("""COMPUTED_VALUE"""),"ISPARTA")</f>
        <v>ISPARTA</v>
      </c>
      <c r="K2" s="17" t="str">
        <f>IFERROR(__xludf.DUMMYFUNCTION("""COMPUTED_VALUE"""),"https://expa.aiesec.org/opportunities/1284976")</f>
        <v>https://expa.aiesec.org/opportunities/1284976</v>
      </c>
      <c r="L2" s="16" t="str">
        <f>IFERROR(__xludf.DUMMYFUNCTION("""COMPUTED_VALUE"""),"GV")</f>
        <v>GV</v>
      </c>
      <c r="M2" s="16" t="str">
        <f>IFERROR(__xludf.DUMMYFUNCTION("""COMPUTED_VALUE"""),"short")</f>
        <v>short</v>
      </c>
      <c r="N2" s="18">
        <f>IFERROR(__xludf.DUMMYFUNCTION("""COMPUTED_VALUE"""),44958.0)</f>
        <v>44958</v>
      </c>
      <c r="O2" s="18">
        <f>IFERROR(__xludf.DUMMYFUNCTION("""COMPUTED_VALUE"""),45124.0)</f>
        <v>45124</v>
      </c>
      <c r="P2" s="18">
        <f>IFERROR(__xludf.DUMMYFUNCTION("""COMPUTED_VALUE"""),45166.0)</f>
        <v>45166</v>
      </c>
      <c r="Q2" s="18"/>
      <c r="R2" s="18"/>
      <c r="S2" s="16"/>
      <c r="T2" s="16"/>
      <c r="U2" s="16" t="str">
        <f>IFERROR(__xludf.DUMMYFUNCTION("""COMPUTED_VALUE"""),"Youth 4 Impact")</f>
        <v>Youth 4 Impact</v>
      </c>
      <c r="V2" s="16" t="str">
        <f>IFERROR(__xludf.DUMMYFUNCTION("""COMPUTED_VALUE"""),"Ain Shams University")</f>
        <v>Ain Shams University</v>
      </c>
      <c r="W2" s="16" t="str">
        <f>IFERROR(__xludf.DUMMYFUNCTION("""COMPUTED_VALUE"""),"2023-01-13T17:18:14Z")</f>
        <v>2023-01-13T17:18:14Z</v>
      </c>
      <c r="X2" s="16"/>
      <c r="Y2" s="16"/>
      <c r="Z2" s="16"/>
    </row>
    <row r="3">
      <c r="A3" s="16" t="str">
        <f>IFERROR(__xludf.DUMMYFUNCTION("""COMPUTED_VALUE"""),"5176623_1289597")</f>
        <v>5176623_1289597</v>
      </c>
      <c r="B3" s="16" t="str">
        <f>IFERROR(__xludf.DUMMYFUNCTION("""COMPUTED_VALUE"""),"Radwa Elshafey")</f>
        <v>Radwa Elshafey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IFERROR(__xludf.DUMMYFUNCTION("""COMPUTED_VALUE"""),"p_8e5af73426b4d46704885e4abb11060a092963cb@inbound.aiesec.org")</f>
        <v>p_8e5af73426b4d46704885e4abb11060a092963cb@inbound.aiesec.org</v>
      </c>
      <c r="F3" s="16"/>
      <c r="G3" s="16" t="str">
        <f>IFERROR(__xludf.DUMMYFUNCTION("""COMPUTED_VALUE"""),"Egypt")</f>
        <v>Egypt</v>
      </c>
      <c r="H3" s="16" t="str">
        <f>IFERROR(__xludf.DUMMYFUNCTION("""COMPUTED_VALUE"""),"Ain Shams University")</f>
        <v>Ain Shams University</v>
      </c>
      <c r="I3" s="16" t="str">
        <f>IFERROR(__xludf.DUMMYFUNCTION("""COMPUTED_VALUE"""),"Turkey")</f>
        <v>Turkey</v>
      </c>
      <c r="J3" s="16" t="str">
        <f>IFERROR(__xludf.DUMMYFUNCTION("""COMPUTED_VALUE"""),"ISPARTA")</f>
        <v>ISPARTA</v>
      </c>
      <c r="K3" s="17" t="str">
        <f>IFERROR(__xludf.DUMMYFUNCTION("""COMPUTED_VALUE"""),"https://expa.aiesec.org/opportunities/1289597")</f>
        <v>https://expa.aiesec.org/opportunities/1289597</v>
      </c>
      <c r="L3" s="16" t="str">
        <f>IFERROR(__xludf.DUMMYFUNCTION("""COMPUTED_VALUE"""),"GV")</f>
        <v>GV</v>
      </c>
      <c r="M3" s="16" t="str">
        <f>IFERROR(__xludf.DUMMYFUNCTION("""COMPUTED_VALUE"""),"short")</f>
        <v>short</v>
      </c>
      <c r="N3" s="18">
        <f>IFERROR(__xludf.DUMMYFUNCTION("""COMPUTED_VALUE"""),44958.0)</f>
        <v>44958</v>
      </c>
      <c r="O3" s="18">
        <f>IFERROR(__xludf.DUMMYFUNCTION("""COMPUTED_VALUE"""),45159.0)</f>
        <v>45159</v>
      </c>
      <c r="P3" s="18">
        <f>IFERROR(__xludf.DUMMYFUNCTION("""COMPUTED_VALUE"""),45201.0)</f>
        <v>45201</v>
      </c>
      <c r="Q3" s="18"/>
      <c r="R3" s="18"/>
      <c r="S3" s="16"/>
      <c r="T3" s="16"/>
      <c r="U3" s="16" t="str">
        <f>IFERROR(__xludf.DUMMYFUNCTION("""COMPUTED_VALUE"""),"Global Classroom")</f>
        <v>Global Classroom</v>
      </c>
      <c r="V3" s="16" t="str">
        <f>IFERROR(__xludf.DUMMYFUNCTION("""COMPUTED_VALUE"""),"-")</f>
        <v>-</v>
      </c>
      <c r="W3" s="16" t="str">
        <f>IFERROR(__xludf.DUMMYFUNCTION("""COMPUTED_VALUE"""),"2023-01-14T20:41:58Z")</f>
        <v>2023-01-14T20:41:58Z</v>
      </c>
      <c r="X3" s="16"/>
      <c r="Y3" s="16"/>
      <c r="Z3" s="16"/>
    </row>
    <row r="4">
      <c r="A4" s="16" t="str">
        <f>IFERROR(__xludf.DUMMYFUNCTION("""COMPUTED_VALUE"""),"5151017_1284976")</f>
        <v>5151017_1284976</v>
      </c>
      <c r="B4" s="16" t="str">
        <f>IFERROR(__xludf.DUMMYFUNCTION("""COMPUTED_VALUE"""),"Mohamed Amine Jamli")</f>
        <v>Mohamed Amine Jamli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IFERROR(__xludf.DUMMYFUNCTION("""COMPUTED_VALUE"""),"p_98788485e8d52b4b70ebfd4744cc9d4572c51472@inbound.aiesec.org")</f>
        <v>p_98788485e8d52b4b70ebfd4744cc9d4572c51472@inbound.aiesec.org</v>
      </c>
      <c r="F4" s="16">
        <f>IFERROR(__xludf.DUMMYFUNCTION("""COMPUTED_VALUE"""),2.5481007E7)</f>
        <v>25481007</v>
      </c>
      <c r="G4" s="16" t="str">
        <f>IFERROR(__xludf.DUMMYFUNCTION("""COMPUTED_VALUE"""),"Tunisia")</f>
        <v>Tunisia</v>
      </c>
      <c r="H4" s="16" t="str">
        <f>IFERROR(__xludf.DUMMYFUNCTION("""COMPUTED_VALUE"""),"Bizerte")</f>
        <v>Bizerte</v>
      </c>
      <c r="I4" s="16" t="str">
        <f>IFERROR(__xludf.DUMMYFUNCTION("""COMPUTED_VALUE"""),"Turkey")</f>
        <v>Turkey</v>
      </c>
      <c r="J4" s="16" t="str">
        <f>IFERROR(__xludf.DUMMYFUNCTION("""COMPUTED_VALUE"""),"ISPARTA")</f>
        <v>ISPARTA</v>
      </c>
      <c r="K4" s="17" t="str">
        <f>IFERROR(__xludf.DUMMYFUNCTION("""COMPUTED_VALUE"""),"https://expa.aiesec.org/opportunities/1284976")</f>
        <v>https://expa.aiesec.org/opportunities/1284976</v>
      </c>
      <c r="L4" s="16" t="str">
        <f>IFERROR(__xludf.DUMMYFUNCTION("""COMPUTED_VALUE"""),"GV")</f>
        <v>GV</v>
      </c>
      <c r="M4" s="16" t="str">
        <f>IFERROR(__xludf.DUMMYFUNCTION("""COMPUTED_VALUE"""),"short")</f>
        <v>short</v>
      </c>
      <c r="N4" s="18">
        <f>IFERROR(__xludf.DUMMYFUNCTION("""COMPUTED_VALUE"""),44958.0)</f>
        <v>44958</v>
      </c>
      <c r="O4" s="18">
        <f>IFERROR(__xludf.DUMMYFUNCTION("""COMPUTED_VALUE"""),45124.0)</f>
        <v>45124</v>
      </c>
      <c r="P4" s="18">
        <f>IFERROR(__xludf.DUMMYFUNCTION("""COMPUTED_VALUE"""),45166.0)</f>
        <v>45166</v>
      </c>
      <c r="Q4" s="18"/>
      <c r="R4" s="18"/>
      <c r="S4" s="16"/>
      <c r="T4" s="16"/>
      <c r="U4" s="16" t="str">
        <f>IFERROR(__xludf.DUMMYFUNCTION("""COMPUTED_VALUE"""),"Youth 4 Impact")</f>
        <v>Youth 4 Impact</v>
      </c>
      <c r="V4" s="16" t="str">
        <f>IFERROR(__xludf.DUMMYFUNCTION("""COMPUTED_VALUE"""),"FSB")</f>
        <v>FSB</v>
      </c>
      <c r="W4" s="16" t="str">
        <f>IFERROR(__xludf.DUMMYFUNCTION("""COMPUTED_VALUE"""),"2022-11-10T17:58:11Z")</f>
        <v>2022-11-10T17:58:11Z</v>
      </c>
      <c r="X4" s="16"/>
      <c r="Y4" s="16"/>
      <c r="Z4" s="16"/>
    </row>
    <row r="5">
      <c r="A5" s="16" t="str">
        <f>IFERROR(__xludf.DUMMYFUNCTION("""COMPUTED_VALUE"""),"5185626_1289536")</f>
        <v>5185626_1289536</v>
      </c>
      <c r="B5" s="16" t="str">
        <f>IFERROR(__xludf.DUMMYFUNCTION("""COMPUTED_VALUE"""),"gaia de curtis")</f>
        <v>gaia de curtis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IFERROR(__xludf.DUMMYFUNCTION("""COMPUTED_VALUE"""),"p_b28d557f4bad006deb4d4ee10c4214efa12fed96@inbound.aiesec.org")</f>
        <v>p_b28d557f4bad006deb4d4ee10c4214efa12fed96@inbound.aiesec.org</v>
      </c>
      <c r="F5" s="16"/>
      <c r="G5" s="16" t="str">
        <f>IFERROR(__xludf.DUMMYFUNCTION("""COMPUTED_VALUE"""),"Italy")</f>
        <v>Italy</v>
      </c>
      <c r="H5" s="16" t="str">
        <f>IFERROR(__xludf.DUMMYFUNCTION("""COMPUTED_VALUE"""),"Napoli Federico II")</f>
        <v>Napoli Federico II</v>
      </c>
      <c r="I5" s="16" t="str">
        <f>IFERROR(__xludf.DUMMYFUNCTION("""COMPUTED_VALUE"""),"Turkey")</f>
        <v>Turkey</v>
      </c>
      <c r="J5" s="16" t="str">
        <f>IFERROR(__xludf.DUMMYFUNCTION("""COMPUTED_VALUE"""),"ISTANBUL")</f>
        <v>ISTANBUL</v>
      </c>
      <c r="K5" s="17" t="str">
        <f>IFERROR(__xludf.DUMMYFUNCTION("""COMPUTED_VALUE"""),"https://expa.aiesec.org/opportunities/1289536")</f>
        <v>https://expa.aiesec.org/opportunities/1289536</v>
      </c>
      <c r="L5" s="16" t="str">
        <f>IFERROR(__xludf.DUMMYFUNCTION("""COMPUTED_VALUE"""),"GV")</f>
        <v>GV</v>
      </c>
      <c r="M5" s="16" t="str">
        <f>IFERROR(__xludf.DUMMYFUNCTION("""COMPUTED_VALUE"""),"short")</f>
        <v>short</v>
      </c>
      <c r="N5" s="18">
        <f>IFERROR(__xludf.DUMMYFUNCTION("""COMPUTED_VALUE"""),44963.0)</f>
        <v>44963</v>
      </c>
      <c r="O5" s="18">
        <f>IFERROR(__xludf.DUMMYFUNCTION("""COMPUTED_VALUE"""),45132.0)</f>
        <v>45132</v>
      </c>
      <c r="P5" s="18">
        <f>IFERROR(__xludf.DUMMYFUNCTION("""COMPUTED_VALUE"""),45174.0)</f>
        <v>45174</v>
      </c>
      <c r="Q5" s="18"/>
      <c r="R5" s="18"/>
      <c r="S5" s="16"/>
      <c r="T5" s="16"/>
      <c r="U5" s="16" t="str">
        <f>IFERROR(__xludf.DUMMYFUNCTION("""COMPUTED_VALUE"""),"Global Classroom")</f>
        <v>Global Classroom</v>
      </c>
      <c r="V5" s="16" t="str">
        <f>IFERROR(__xludf.DUMMYFUNCTION("""COMPUTED_VALUE"""),"-")</f>
        <v>-</v>
      </c>
      <c r="W5" s="16" t="str">
        <f>IFERROR(__xludf.DUMMYFUNCTION("""COMPUTED_VALUE"""),"2023-02-04T18:44:31Z")</f>
        <v>2023-02-04T18:44:31Z</v>
      </c>
      <c r="X5" s="16"/>
      <c r="Y5" s="16"/>
      <c r="Z5" s="16"/>
    </row>
    <row r="6">
      <c r="A6" s="16" t="str">
        <f>IFERROR(__xludf.DUMMYFUNCTION("""COMPUTED_VALUE"""),"3943555_1279126")</f>
        <v>3943555_1279126</v>
      </c>
      <c r="B6" s="16" t="str">
        <f>IFERROR(__xludf.DUMMYFUNCTION("""COMPUTED_VALUE"""),"Anjali Mariavilasm")</f>
        <v>Anjali Mariavilasm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IFERROR(__xludf.DUMMYFUNCTION("""COMPUTED_VALUE"""),"p_521ce11f9c770a12d1998a9fc5b356c7c7a8b7ea@inbound.aiesec.org")</f>
        <v>p_521ce11f9c770a12d1998a9fc5b356c7c7a8b7ea@inbound.aiesec.org</v>
      </c>
      <c r="F6" s="16">
        <f>IFERROR(__xludf.DUMMYFUNCTION("""COMPUTED_VALUE"""),6.9910515191E10)</f>
        <v>69910515191</v>
      </c>
      <c r="G6" s="16" t="str">
        <f>IFERROR(__xludf.DUMMYFUNCTION("""COMPUTED_VALUE"""),"Austria")</f>
        <v>Austria</v>
      </c>
      <c r="H6" s="16" t="str">
        <f>IFERROR(__xludf.DUMMYFUNCTION("""COMPUTED_VALUE"""),"VIENNA UV")</f>
        <v>VIENNA UV</v>
      </c>
      <c r="I6" s="16" t="str">
        <f>IFERROR(__xludf.DUMMYFUNCTION("""COMPUTED_VALUE"""),"Turkey")</f>
        <v>Turkey</v>
      </c>
      <c r="J6" s="16" t="str">
        <f>IFERROR(__xludf.DUMMYFUNCTION("""COMPUTED_VALUE"""),"KOCAELI")</f>
        <v>KOCAELI</v>
      </c>
      <c r="K6" s="17" t="str">
        <f>IFERROR(__xludf.DUMMYFUNCTION("""COMPUTED_VALUE"""),"https://expa.aiesec.org/opportunities/1279126")</f>
        <v>https://expa.aiesec.org/opportunities/1279126</v>
      </c>
      <c r="L6" s="16" t="str">
        <f>IFERROR(__xludf.DUMMYFUNCTION("""COMPUTED_VALUE"""),"GV")</f>
        <v>GV</v>
      </c>
      <c r="M6" s="16" t="str">
        <f>IFERROR(__xludf.DUMMYFUNCTION("""COMPUTED_VALUE"""),"short")</f>
        <v>short</v>
      </c>
      <c r="N6" s="18">
        <f>IFERROR(__xludf.DUMMYFUNCTION("""COMPUTED_VALUE"""),44973.0)</f>
        <v>44973</v>
      </c>
      <c r="O6" s="18">
        <f>IFERROR(__xludf.DUMMYFUNCTION("""COMPUTED_VALUE"""),45138.0)</f>
        <v>45138</v>
      </c>
      <c r="P6" s="18">
        <f>IFERROR(__xludf.DUMMYFUNCTION("""COMPUTED_VALUE"""),45180.0)</f>
        <v>45180</v>
      </c>
      <c r="Q6" s="18"/>
      <c r="R6" s="18"/>
      <c r="S6" s="16"/>
      <c r="T6" s="16"/>
      <c r="U6" s="16" t="str">
        <f>IFERROR(__xludf.DUMMYFUNCTION("""COMPUTED_VALUE"""),"Global Classroom")</f>
        <v>Global Classroom</v>
      </c>
      <c r="V6" s="16" t="str">
        <f>IFERROR(__xludf.DUMMYFUNCTION("""COMPUTED_VALUE"""),"AHS/BHS Wien")</f>
        <v>AHS/BHS Wien</v>
      </c>
      <c r="W6" s="16" t="str">
        <f>IFERROR(__xludf.DUMMYFUNCTION("""COMPUTED_VALUE"""),"2019-11-01T21:16:48Z")</f>
        <v>2019-11-01T21:16:48Z</v>
      </c>
      <c r="X6" s="16"/>
      <c r="Y6" s="16"/>
      <c r="Z6" s="16"/>
    </row>
    <row r="7">
      <c r="A7" s="16" t="str">
        <f>IFERROR(__xludf.DUMMYFUNCTION("""COMPUTED_VALUE"""),"5145339_1288970")</f>
        <v>5145339_1288970</v>
      </c>
      <c r="B7" s="16" t="str">
        <f>IFERROR(__xludf.DUMMYFUNCTION("""COMPUTED_VALUE"""),"Hadil Lahbib")</f>
        <v>Hadil Lahbib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IFERROR(__xludf.DUMMYFUNCTION("""COMPUTED_VALUE"""),"p_507f599c13eb0065d2f100c37ef4fc6de8387cf0@inbound.aiesec.org")</f>
        <v>p_507f599c13eb0065d2f100c37ef4fc6de8387cf0@inbound.aiesec.org</v>
      </c>
      <c r="F7" s="16">
        <f>IFERROR(__xludf.DUMMYFUNCTION("""COMPUTED_VALUE"""),5.6891987E7)</f>
        <v>56891987</v>
      </c>
      <c r="G7" s="16" t="str">
        <f>IFERROR(__xludf.DUMMYFUNCTION("""COMPUTED_VALUE"""),"Tunisia")</f>
        <v>Tunisia</v>
      </c>
      <c r="H7" s="16" t="str">
        <f>IFERROR(__xludf.DUMMYFUNCTION("""COMPUTED_VALUE"""),"Bizerte")</f>
        <v>Bizerte</v>
      </c>
      <c r="I7" s="16" t="str">
        <f>IFERROR(__xludf.DUMMYFUNCTION("""COMPUTED_VALUE"""),"Turkey")</f>
        <v>Turkey</v>
      </c>
      <c r="J7" s="16" t="str">
        <f>IFERROR(__xludf.DUMMYFUNCTION("""COMPUTED_VALUE"""),"İZMİR")</f>
        <v>İZMİR</v>
      </c>
      <c r="K7" s="17" t="str">
        <f>IFERROR(__xludf.DUMMYFUNCTION("""COMPUTED_VALUE"""),"https://expa.aiesec.org/opportunities/1288970")</f>
        <v>https://expa.aiesec.org/opportunities/1288970</v>
      </c>
      <c r="L7" s="16" t="str">
        <f>IFERROR(__xludf.DUMMYFUNCTION("""COMPUTED_VALUE"""),"GV")</f>
        <v>GV</v>
      </c>
      <c r="M7" s="16" t="str">
        <f>IFERROR(__xludf.DUMMYFUNCTION("""COMPUTED_VALUE"""),"short")</f>
        <v>short</v>
      </c>
      <c r="N7" s="18">
        <f>IFERROR(__xludf.DUMMYFUNCTION("""COMPUTED_VALUE"""),44974.0)</f>
        <v>44974</v>
      </c>
      <c r="O7" s="18">
        <f>IFERROR(__xludf.DUMMYFUNCTION("""COMPUTED_VALUE"""),45165.0)</f>
        <v>45165</v>
      </c>
      <c r="P7" s="18">
        <f>IFERROR(__xludf.DUMMYFUNCTION("""COMPUTED_VALUE"""),45207.0)</f>
        <v>45207</v>
      </c>
      <c r="Q7" s="18"/>
      <c r="R7" s="18"/>
      <c r="S7" s="16"/>
      <c r="T7" s="16"/>
      <c r="U7" s="16" t="str">
        <f>IFERROR(__xludf.DUMMYFUNCTION("""COMPUTED_VALUE"""),"Fingerprint")</f>
        <v>Fingerprint</v>
      </c>
      <c r="V7" s="16" t="str">
        <f>IFERROR(__xludf.DUMMYFUNCTION("""COMPUTED_VALUE"""),"FSB")</f>
        <v>FSB</v>
      </c>
      <c r="W7" s="16" t="str">
        <f>IFERROR(__xludf.DUMMYFUNCTION("""COMPUTED_VALUE"""),"2022-11-02T17:57:37Z")</f>
        <v>2022-11-02T17:57:37Z</v>
      </c>
      <c r="X7" s="16"/>
      <c r="Y7" s="16"/>
      <c r="Z7" s="16"/>
    </row>
    <row r="8">
      <c r="A8" s="16" t="str">
        <f>IFERROR(__xludf.DUMMYFUNCTION("""COMPUTED_VALUE"""),"5126065_1288611")</f>
        <v>5126065_1288611</v>
      </c>
      <c r="B8" s="16" t="str">
        <f>IFERROR(__xludf.DUMMYFUNCTION("""COMPUTED_VALUE"""),"chaima mathlouthi")</f>
        <v>chaima mathlouthi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IFERROR(__xludf.DUMMYFUNCTION("""COMPUTED_VALUE"""),"p_e05779aaed0acea24ca041c9ee71ffc7cc185cd6@inbound.aiesec.org")</f>
        <v>p_e05779aaed0acea24ca041c9ee71ffc7cc185cd6@inbound.aiesec.org</v>
      </c>
      <c r="F8" s="16"/>
      <c r="G8" s="16" t="str">
        <f>IFERROR(__xludf.DUMMYFUNCTION("""COMPUTED_VALUE"""),"Tunisia")</f>
        <v>Tunisia</v>
      </c>
      <c r="H8" s="16" t="str">
        <f>IFERROR(__xludf.DUMMYFUNCTION("""COMPUTED_VALUE"""),"Carthage")</f>
        <v>Carthage</v>
      </c>
      <c r="I8" s="16" t="str">
        <f>IFERROR(__xludf.DUMMYFUNCTION("""COMPUTED_VALUE"""),"Turkey")</f>
        <v>Turkey</v>
      </c>
      <c r="J8" s="16" t="str">
        <f>IFERROR(__xludf.DUMMYFUNCTION("""COMPUTED_VALUE"""),"ISTANBUL")</f>
        <v>ISTANBUL</v>
      </c>
      <c r="K8" s="17" t="str">
        <f>IFERROR(__xludf.DUMMYFUNCTION("""COMPUTED_VALUE"""),"https://expa.aiesec.org/opportunities/1288611")</f>
        <v>https://expa.aiesec.org/opportunities/1288611</v>
      </c>
      <c r="L8" s="16" t="str">
        <f>IFERROR(__xludf.DUMMYFUNCTION("""COMPUTED_VALUE"""),"GV")</f>
        <v>GV</v>
      </c>
      <c r="M8" s="16" t="str">
        <f>IFERROR(__xludf.DUMMYFUNCTION("""COMPUTED_VALUE"""),"short")</f>
        <v>short</v>
      </c>
      <c r="N8" s="18">
        <f>IFERROR(__xludf.DUMMYFUNCTION("""COMPUTED_VALUE"""),44993.0)</f>
        <v>44993</v>
      </c>
      <c r="O8" s="18">
        <f>IFERROR(__xludf.DUMMYFUNCTION("""COMPUTED_VALUE"""),45138.0)</f>
        <v>45138</v>
      </c>
      <c r="P8" s="18">
        <f>IFERROR(__xludf.DUMMYFUNCTION("""COMPUTED_VALUE"""),45180.0)</f>
        <v>45180</v>
      </c>
      <c r="Q8" s="18"/>
      <c r="R8" s="18"/>
      <c r="S8" s="16"/>
      <c r="T8" s="16"/>
      <c r="U8" s="16" t="str">
        <f>IFERROR(__xludf.DUMMYFUNCTION("""COMPUTED_VALUE"""),"Global Classroom")</f>
        <v>Global Classroom</v>
      </c>
      <c r="V8" s="16" t="str">
        <f>IFERROR(__xludf.DUMMYFUNCTION("""COMPUTED_VALUE"""),"-")</f>
        <v>-</v>
      </c>
      <c r="W8" s="16" t="str">
        <f>IFERROR(__xludf.DUMMYFUNCTION("""COMPUTED_VALUE"""),"2022-10-05T21:24:16Z")</f>
        <v>2022-10-05T21:24:16Z</v>
      </c>
      <c r="X8" s="16"/>
      <c r="Y8" s="16"/>
      <c r="Z8" s="16"/>
    </row>
    <row r="9">
      <c r="A9" s="16" t="str">
        <f>IFERROR(__xludf.DUMMYFUNCTION("""COMPUTED_VALUE"""),"5171478_1284976")</f>
        <v>5171478_1284976</v>
      </c>
      <c r="B9" s="16" t="str">
        <f>IFERROR(__xludf.DUMMYFUNCTION("""COMPUTED_VALUE"""),"Farah Hammami")</f>
        <v>Farah Hammami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IFERROR(__xludf.DUMMYFUNCTION("""COMPUTED_VALUE"""),"p_dbf31cb44dd303b0da24af2a4b935f550880db0e@inbound.aiesec.org")</f>
        <v>p_dbf31cb44dd303b0da24af2a4b935f550880db0e@inbound.aiesec.org</v>
      </c>
      <c r="F9" s="16"/>
      <c r="G9" s="16" t="str">
        <f>IFERROR(__xludf.DUMMYFUNCTION("""COMPUTED_VALUE"""),"Tunisia")</f>
        <v>Tunisia</v>
      </c>
      <c r="H9" s="16" t="str">
        <f>IFERROR(__xludf.DUMMYFUNCTION("""COMPUTED_VALUE"""),"Bizerte")</f>
        <v>Bizerte</v>
      </c>
      <c r="I9" s="16" t="str">
        <f>IFERROR(__xludf.DUMMYFUNCTION("""COMPUTED_VALUE"""),"Turkey")</f>
        <v>Turkey</v>
      </c>
      <c r="J9" s="16" t="str">
        <f>IFERROR(__xludf.DUMMYFUNCTION("""COMPUTED_VALUE"""),"ISPARTA")</f>
        <v>ISPARTA</v>
      </c>
      <c r="K9" s="17" t="str">
        <f>IFERROR(__xludf.DUMMYFUNCTION("""COMPUTED_VALUE"""),"https://expa.aiesec.org/opportunities/1284976")</f>
        <v>https://expa.aiesec.org/opportunities/1284976</v>
      </c>
      <c r="L9" s="16" t="str">
        <f>IFERROR(__xludf.DUMMYFUNCTION("""COMPUTED_VALUE"""),"GV")</f>
        <v>GV</v>
      </c>
      <c r="M9" s="16" t="str">
        <f>IFERROR(__xludf.DUMMYFUNCTION("""COMPUTED_VALUE"""),"short")</f>
        <v>short</v>
      </c>
      <c r="N9" s="18">
        <f>IFERROR(__xludf.DUMMYFUNCTION("""COMPUTED_VALUE"""),44994.0)</f>
        <v>44994</v>
      </c>
      <c r="O9" s="18">
        <f>IFERROR(__xludf.DUMMYFUNCTION("""COMPUTED_VALUE"""),45124.0)</f>
        <v>45124</v>
      </c>
      <c r="P9" s="18">
        <f>IFERROR(__xludf.DUMMYFUNCTION("""COMPUTED_VALUE"""),45166.0)</f>
        <v>45166</v>
      </c>
      <c r="Q9" s="18"/>
      <c r="R9" s="18"/>
      <c r="S9" s="16"/>
      <c r="T9" s="16"/>
      <c r="U9" s="16" t="str">
        <f>IFERROR(__xludf.DUMMYFUNCTION("""COMPUTED_VALUE"""),"Youth 4 Impact")</f>
        <v>Youth 4 Impact</v>
      </c>
      <c r="V9" s="16" t="str">
        <f>IFERROR(__xludf.DUMMYFUNCTION("""COMPUTED_VALUE"""),"-")</f>
        <v>-</v>
      </c>
      <c r="W9" s="16" t="str">
        <f>IFERROR(__xludf.DUMMYFUNCTION("""COMPUTED_VALUE"""),"2022-12-29T21:31:38Z")</f>
        <v>2022-12-29T21:31:38Z</v>
      </c>
      <c r="X9" s="16"/>
      <c r="Y9" s="16"/>
      <c r="Z9" s="16"/>
    </row>
    <row r="10">
      <c r="A10" s="16" t="str">
        <f>IFERROR(__xludf.DUMMYFUNCTION("""COMPUTED_VALUE"""),"5200060_1290826")</f>
        <v>5200060_1290826</v>
      </c>
      <c r="B10" s="16" t="str">
        <f>IFERROR(__xludf.DUMMYFUNCTION("""COMPUTED_VALUE"""),"salma boubakri")</f>
        <v>salma boubakri</v>
      </c>
      <c r="C10" s="16" t="str">
        <f>IFERROR(__xludf.DUMMYFUNCTION("""COMPUTED_VALUE"""),"approved")</f>
        <v>approved</v>
      </c>
      <c r="D10" s="16" t="str">
        <f>IFERROR(__xludf.DUMMYFUNCTION("""COMPUTED_VALUE"""),"No")</f>
        <v>No</v>
      </c>
      <c r="E10" s="16" t="str">
        <f>IFERROR(__xludf.DUMMYFUNCTION("""COMPUTED_VALUE"""),"p_6bc534a777d940ef22059809668f8e54cca51fd9@inbound.aiesec.org")</f>
        <v>p_6bc534a777d940ef22059809668f8e54cca51fd9@inbound.aiesec.org</v>
      </c>
      <c r="F10" s="16">
        <f>IFERROR(__xludf.DUMMYFUNCTION("""COMPUTED_VALUE"""),2.4412722E7)</f>
        <v>24412722</v>
      </c>
      <c r="G10" s="16" t="str">
        <f>IFERROR(__xludf.DUMMYFUNCTION("""COMPUTED_VALUE"""),"Tunisia")</f>
        <v>Tunisia</v>
      </c>
      <c r="H10" s="16" t="str">
        <f>IFERROR(__xludf.DUMMYFUNCTION("""COMPUTED_VALUE"""),"BARDO")</f>
        <v>BARDO</v>
      </c>
      <c r="I10" s="16" t="str">
        <f>IFERROR(__xludf.DUMMYFUNCTION("""COMPUTED_VALUE"""),"Turkey")</f>
        <v>Turkey</v>
      </c>
      <c r="J10" s="16" t="str">
        <f>IFERROR(__xludf.DUMMYFUNCTION("""COMPUTED_VALUE"""),"KOCAELI")</f>
        <v>KOCAELI</v>
      </c>
      <c r="K10" s="17" t="str">
        <f>IFERROR(__xludf.DUMMYFUNCTION("""COMPUTED_VALUE"""),"https://expa.aiesec.org/opportunities/1290826")</f>
        <v>https://expa.aiesec.org/opportunities/1290826</v>
      </c>
      <c r="L10" s="16" t="str">
        <f>IFERROR(__xludf.DUMMYFUNCTION("""COMPUTED_VALUE"""),"GV")</f>
        <v>GV</v>
      </c>
      <c r="M10" s="16" t="str">
        <f>IFERROR(__xludf.DUMMYFUNCTION("""COMPUTED_VALUE"""),"short")</f>
        <v>short</v>
      </c>
      <c r="N10" s="18">
        <f>IFERROR(__xludf.DUMMYFUNCTION("""COMPUTED_VALUE"""),44995.0)</f>
        <v>44995</v>
      </c>
      <c r="O10" s="18">
        <f>IFERROR(__xludf.DUMMYFUNCTION("""COMPUTED_VALUE"""),45166.0)</f>
        <v>45166</v>
      </c>
      <c r="P10" s="18">
        <f>IFERROR(__xludf.DUMMYFUNCTION("""COMPUTED_VALUE"""),45208.0)</f>
        <v>45208</v>
      </c>
      <c r="Q10" s="18"/>
      <c r="R10" s="18"/>
      <c r="S10" s="16"/>
      <c r="T10" s="16"/>
      <c r="U10" s="16" t="str">
        <f>IFERROR(__xludf.DUMMYFUNCTION("""COMPUTED_VALUE"""),"Global Classroom")</f>
        <v>Global Classroom</v>
      </c>
      <c r="V10" s="16" t="str">
        <f>IFERROR(__xludf.DUMMYFUNCTION("""COMPUTED_VALUE"""),"ESPRIT School of Business")</f>
        <v>ESPRIT School of Business</v>
      </c>
      <c r="W10" s="16" t="str">
        <f>IFERROR(__xludf.DUMMYFUNCTION("""COMPUTED_VALUE"""),"2023-02-27T09:42:28Z")</f>
        <v>2023-02-27T09:42:28Z</v>
      </c>
      <c r="X10" s="16"/>
      <c r="Y10" s="16"/>
      <c r="Z10" s="16"/>
    </row>
    <row r="11">
      <c r="A11" s="16" t="str">
        <f>IFERROR(__xludf.DUMMYFUNCTION("""COMPUTED_VALUE"""),"5200516_1284976")</f>
        <v>5200516_1284976</v>
      </c>
      <c r="B11" s="16" t="str">
        <f>IFERROR(__xludf.DUMMYFUNCTION("""COMPUTED_VALUE"""),"Adelina Bălănică")</f>
        <v>Adelina Bălănică</v>
      </c>
      <c r="C11" s="16" t="str">
        <f>IFERROR(__xludf.DUMMYFUNCTION("""COMPUTED_VALUE"""),"approved")</f>
        <v>approved</v>
      </c>
      <c r="D11" s="16" t="str">
        <f>IFERROR(__xludf.DUMMYFUNCTION("""COMPUTED_VALUE"""),"No")</f>
        <v>No</v>
      </c>
      <c r="E11" s="16" t="str">
        <f>IFERROR(__xludf.DUMMYFUNCTION("""COMPUTED_VALUE"""),"p_1504348365e8d769f6884f570063ec9a31ebf554@inbound.aiesec.org")</f>
        <v>p_1504348365e8d769f6884f570063ec9a31ebf554@inbound.aiesec.org</v>
      </c>
      <c r="F11" s="16">
        <f>IFERROR(__xludf.DUMMYFUNCTION("""COMPUTED_VALUE"""),7.62862387E8)</f>
        <v>762862387</v>
      </c>
      <c r="G11" s="16" t="str">
        <f>IFERROR(__xludf.DUMMYFUNCTION("""COMPUTED_VALUE"""),"Romania")</f>
        <v>Romania</v>
      </c>
      <c r="H11" s="16" t="str">
        <f>IFERROR(__xludf.DUMMYFUNCTION("""COMPUTED_VALUE"""),"BUCURESTI")</f>
        <v>BUCURESTI</v>
      </c>
      <c r="I11" s="16" t="str">
        <f>IFERROR(__xludf.DUMMYFUNCTION("""COMPUTED_VALUE"""),"Turkey")</f>
        <v>Turkey</v>
      </c>
      <c r="J11" s="16" t="str">
        <f>IFERROR(__xludf.DUMMYFUNCTION("""COMPUTED_VALUE"""),"ISPARTA")</f>
        <v>ISPARTA</v>
      </c>
      <c r="K11" s="17" t="str">
        <f>IFERROR(__xludf.DUMMYFUNCTION("""COMPUTED_VALUE"""),"https://expa.aiesec.org/opportunities/1284976")</f>
        <v>https://expa.aiesec.org/opportunities/1284976</v>
      </c>
      <c r="L11" s="16" t="str">
        <f>IFERROR(__xludf.DUMMYFUNCTION("""COMPUTED_VALUE"""),"GV")</f>
        <v>GV</v>
      </c>
      <c r="M11" s="16" t="str">
        <f>IFERROR(__xludf.DUMMYFUNCTION("""COMPUTED_VALUE"""),"short")</f>
        <v>short</v>
      </c>
      <c r="N11" s="18">
        <f>IFERROR(__xludf.DUMMYFUNCTION("""COMPUTED_VALUE"""),44997.0)</f>
        <v>44997</v>
      </c>
      <c r="O11" s="18">
        <f>IFERROR(__xludf.DUMMYFUNCTION("""COMPUTED_VALUE"""),45124.0)</f>
        <v>45124</v>
      </c>
      <c r="P11" s="18">
        <f>IFERROR(__xludf.DUMMYFUNCTION("""COMPUTED_VALUE"""),45166.0)</f>
        <v>45166</v>
      </c>
      <c r="Q11" s="18"/>
      <c r="R11" s="18"/>
      <c r="S11" s="16"/>
      <c r="T11" s="16"/>
      <c r="U11" s="16" t="str">
        <f>IFERROR(__xludf.DUMMYFUNCTION("""COMPUTED_VALUE"""),"Youth 4 Impact")</f>
        <v>Youth 4 Impact</v>
      </c>
      <c r="V11" s="16" t="str">
        <f>IFERROR(__xludf.DUMMYFUNCTION("""COMPUTED_VALUE"""),"Bucuresti")</f>
        <v>Bucuresti</v>
      </c>
      <c r="W11" s="16" t="str">
        <f>IFERROR(__xludf.DUMMYFUNCTION("""COMPUTED_VALUE"""),"2023-02-27T20:02:51Z")</f>
        <v>2023-02-27T20:02:51Z</v>
      </c>
      <c r="X11" s="16"/>
      <c r="Y11" s="16"/>
      <c r="Z11" s="16"/>
    </row>
    <row r="12">
      <c r="A12" s="16" t="str">
        <f>IFERROR(__xludf.DUMMYFUNCTION("""COMPUTED_VALUE"""),"5214786_1290826")</f>
        <v>5214786_1290826</v>
      </c>
      <c r="B12" s="16" t="str">
        <f>IFERROR(__xludf.DUMMYFUNCTION("""COMPUTED_VALUE"""),"Malek Hammami")</f>
        <v>Malek Hammami</v>
      </c>
      <c r="C12" s="16" t="str">
        <f>IFERROR(__xludf.DUMMYFUNCTION("""COMPUTED_VALUE"""),"approved")</f>
        <v>approved</v>
      </c>
      <c r="D12" s="16" t="str">
        <f>IFERROR(__xludf.DUMMYFUNCTION("""COMPUTED_VALUE"""),"No")</f>
        <v>No</v>
      </c>
      <c r="E12" s="16" t="str">
        <f>IFERROR(__xludf.DUMMYFUNCTION("""COMPUTED_VALUE"""),"p_d24c4fd865bf1ec4027bb502d724abb8d21bee42@inbound.aiesec.org")</f>
        <v>p_d24c4fd865bf1ec4027bb502d724abb8d21bee42@inbound.aiesec.org</v>
      </c>
      <c r="F12" s="16">
        <f>IFERROR(__xludf.DUMMYFUNCTION("""COMPUTED_VALUE"""),2.856336E7)</f>
        <v>28563360</v>
      </c>
      <c r="G12" s="16" t="str">
        <f>IFERROR(__xludf.DUMMYFUNCTION("""COMPUTED_VALUE"""),"Tunisia")</f>
        <v>Tunisia</v>
      </c>
      <c r="H12" s="16" t="str">
        <f>IFERROR(__xludf.DUMMYFUNCTION("""COMPUTED_VALUE"""),"BARDO")</f>
        <v>BARDO</v>
      </c>
      <c r="I12" s="16" t="str">
        <f>IFERROR(__xludf.DUMMYFUNCTION("""COMPUTED_VALUE"""),"Turkey")</f>
        <v>Turkey</v>
      </c>
      <c r="J12" s="16" t="str">
        <f>IFERROR(__xludf.DUMMYFUNCTION("""COMPUTED_VALUE"""),"KOCAELI")</f>
        <v>KOCAELI</v>
      </c>
      <c r="K12" s="17" t="str">
        <f>IFERROR(__xludf.DUMMYFUNCTION("""COMPUTED_VALUE"""),"https://expa.aiesec.org/opportunities/1290826")</f>
        <v>https://expa.aiesec.org/opportunities/1290826</v>
      </c>
      <c r="L12" s="16" t="str">
        <f>IFERROR(__xludf.DUMMYFUNCTION("""COMPUTED_VALUE"""),"GV")</f>
        <v>GV</v>
      </c>
      <c r="M12" s="16" t="str">
        <f>IFERROR(__xludf.DUMMYFUNCTION("""COMPUTED_VALUE"""),"short")</f>
        <v>short</v>
      </c>
      <c r="N12" s="18">
        <f>IFERROR(__xludf.DUMMYFUNCTION("""COMPUTED_VALUE"""),44998.0)</f>
        <v>44998</v>
      </c>
      <c r="O12" s="18">
        <f>IFERROR(__xludf.DUMMYFUNCTION("""COMPUTED_VALUE"""),45166.0)</f>
        <v>45166</v>
      </c>
      <c r="P12" s="18">
        <f>IFERROR(__xludf.DUMMYFUNCTION("""COMPUTED_VALUE"""),45208.0)</f>
        <v>45208</v>
      </c>
      <c r="Q12" s="18"/>
      <c r="R12" s="18"/>
      <c r="S12" s="16"/>
      <c r="T12" s="16"/>
      <c r="U12" s="16" t="str">
        <f>IFERROR(__xludf.DUMMYFUNCTION("""COMPUTED_VALUE"""),"Global Classroom")</f>
        <v>Global Classroom</v>
      </c>
      <c r="V12" s="16" t="str">
        <f>IFERROR(__xludf.DUMMYFUNCTION("""COMPUTED_VALUE"""),"ESPRIT School of Business")</f>
        <v>ESPRIT School of Business</v>
      </c>
      <c r="W12" s="16" t="str">
        <f>IFERROR(__xludf.DUMMYFUNCTION("""COMPUTED_VALUE"""),"2023-03-13T14:14:36Z")</f>
        <v>2023-03-13T14:14:36Z</v>
      </c>
      <c r="X12" s="16"/>
      <c r="Y12" s="16"/>
      <c r="Z12" s="16"/>
    </row>
    <row r="13">
      <c r="A13" s="16" t="str">
        <f>IFERROR(__xludf.DUMMYFUNCTION("""COMPUTED_VALUE"""),"5210000_1292793")</f>
        <v>5210000_1292793</v>
      </c>
      <c r="B13" s="16" t="str">
        <f>IFERROR(__xludf.DUMMYFUNCTION("""COMPUTED_VALUE"""),"Gulnaz Melis")</f>
        <v>Gulnaz Melis</v>
      </c>
      <c r="C13" s="16" t="str">
        <f>IFERROR(__xludf.DUMMYFUNCTION("""COMPUTED_VALUE"""),"approved")</f>
        <v>approved</v>
      </c>
      <c r="D13" s="16" t="str">
        <f>IFERROR(__xludf.DUMMYFUNCTION("""COMPUTED_VALUE"""),"No")</f>
        <v>No</v>
      </c>
      <c r="E13" s="16" t="str">
        <f>IFERROR(__xludf.DUMMYFUNCTION("""COMPUTED_VALUE"""),"p_ebdbdf240a016985a73ab098d29634fd9fe5d825@inbound.aiesec.org")</f>
        <v>p_ebdbdf240a016985a73ab098d29634fd9fe5d825@inbound.aiesec.org</v>
      </c>
      <c r="F13" s="16">
        <f>IFERROR(__xludf.DUMMYFUNCTION("""COMPUTED_VALUE"""),7.759922619E9)</f>
        <v>7759922619</v>
      </c>
      <c r="G13" s="16" t="str">
        <f>IFERROR(__xludf.DUMMYFUNCTION("""COMPUTED_VALUE"""),"Kazakhstan")</f>
        <v>Kazakhstan</v>
      </c>
      <c r="H13" s="16" t="str">
        <f>IFERROR(__xludf.DUMMYFUNCTION("""COMPUTED_VALUE"""),"ALMATY")</f>
        <v>ALMATY</v>
      </c>
      <c r="I13" s="16" t="str">
        <f>IFERROR(__xludf.DUMMYFUNCTION("""COMPUTED_VALUE"""),"Turkey")</f>
        <v>Turkey</v>
      </c>
      <c r="J13" s="16" t="str">
        <f>IFERROR(__xludf.DUMMYFUNCTION("""COMPUTED_VALUE"""),"ANTALYA")</f>
        <v>ANTALYA</v>
      </c>
      <c r="K13" s="17" t="str">
        <f>IFERROR(__xludf.DUMMYFUNCTION("""COMPUTED_VALUE"""),"https://expa.aiesec.org/opportunities/1292793")</f>
        <v>https://expa.aiesec.org/opportunities/1292793</v>
      </c>
      <c r="L13" s="16" t="str">
        <f>IFERROR(__xludf.DUMMYFUNCTION("""COMPUTED_VALUE"""),"GV")</f>
        <v>GV</v>
      </c>
      <c r="M13" s="16" t="str">
        <f>IFERROR(__xludf.DUMMYFUNCTION("""COMPUTED_VALUE"""),"short")</f>
        <v>short</v>
      </c>
      <c r="N13" s="18">
        <f>IFERROR(__xludf.DUMMYFUNCTION("""COMPUTED_VALUE"""),44998.0)</f>
        <v>44998</v>
      </c>
      <c r="O13" s="18">
        <f>IFERROR(__xludf.DUMMYFUNCTION("""COMPUTED_VALUE"""),45159.0)</f>
        <v>45159</v>
      </c>
      <c r="P13" s="18">
        <f>IFERROR(__xludf.DUMMYFUNCTION("""COMPUTED_VALUE"""),45201.0)</f>
        <v>45201</v>
      </c>
      <c r="Q13" s="18"/>
      <c r="R13" s="18"/>
      <c r="S13" s="16"/>
      <c r="T13" s="16"/>
      <c r="U13" s="16" t="str">
        <f>IFERROR(__xludf.DUMMYFUNCTION("""COMPUTED_VALUE"""),"Global Classroom")</f>
        <v>Global Classroom</v>
      </c>
      <c r="V13" s="16" t="str">
        <f>IFERROR(__xludf.DUMMYFUNCTION("""COMPUTED_VALUE"""),"Almaty")</f>
        <v>Almaty</v>
      </c>
      <c r="W13" s="16" t="str">
        <f>IFERROR(__xludf.DUMMYFUNCTION("""COMPUTED_VALUE"""),"2023-03-08T15:08:13Z")</f>
        <v>2023-03-08T15:08:13Z</v>
      </c>
      <c r="X13" s="16"/>
      <c r="Y13" s="16"/>
      <c r="Z13" s="16"/>
    </row>
    <row r="14">
      <c r="A14" s="16" t="str">
        <f>IFERROR(__xludf.DUMMYFUNCTION("""COMPUTED_VALUE"""),"5203290_1287101")</f>
        <v>5203290_1287101</v>
      </c>
      <c r="B14" s="16" t="str">
        <f>IFERROR(__xludf.DUMMYFUNCTION("""COMPUTED_VALUE"""),"khansa maqsood")</f>
        <v>khansa maqsood</v>
      </c>
      <c r="C14" s="16" t="str">
        <f>IFERROR(__xludf.DUMMYFUNCTION("""COMPUTED_VALUE"""),"approved")</f>
        <v>approved</v>
      </c>
      <c r="D14" s="16" t="str">
        <f>IFERROR(__xludf.DUMMYFUNCTION("""COMPUTED_VALUE"""),"No")</f>
        <v>No</v>
      </c>
      <c r="E14" s="16" t="str">
        <f>IFERROR(__xludf.DUMMYFUNCTION("""COMPUTED_VALUE"""),"p_0980c82fe9cdc0b726258f2d847aac24b2ec14a2@inbound.aiesec.org")</f>
        <v>p_0980c82fe9cdc0b726258f2d847aac24b2ec14a2@inbound.aiesec.org</v>
      </c>
      <c r="F14" s="16"/>
      <c r="G14" s="16" t="str">
        <f>IFERROR(__xludf.DUMMYFUNCTION("""COMPUTED_VALUE"""),"Pakistan")</f>
        <v>Pakistan</v>
      </c>
      <c r="H14" s="16" t="str">
        <f>IFERROR(__xludf.DUMMYFUNCTION("""COMPUTED_VALUE"""),"Karachi South")</f>
        <v>Karachi South</v>
      </c>
      <c r="I14" s="16" t="str">
        <f>IFERROR(__xludf.DUMMYFUNCTION("""COMPUTED_VALUE"""),"Turkey")</f>
        <v>Turkey</v>
      </c>
      <c r="J14" s="16" t="str">
        <f>IFERROR(__xludf.DUMMYFUNCTION("""COMPUTED_VALUE"""),"İZMİR")</f>
        <v>İZMİR</v>
      </c>
      <c r="K14" s="17" t="str">
        <f>IFERROR(__xludf.DUMMYFUNCTION("""COMPUTED_VALUE"""),"https://expa.aiesec.org/opportunities/1287101")</f>
        <v>https://expa.aiesec.org/opportunities/1287101</v>
      </c>
      <c r="L14" s="16" t="str">
        <f>IFERROR(__xludf.DUMMYFUNCTION("""COMPUTED_VALUE"""),"GV")</f>
        <v>GV</v>
      </c>
      <c r="M14" s="16" t="str">
        <f>IFERROR(__xludf.DUMMYFUNCTION("""COMPUTED_VALUE"""),"short")</f>
        <v>short</v>
      </c>
      <c r="N14" s="18">
        <f>IFERROR(__xludf.DUMMYFUNCTION("""COMPUTED_VALUE"""),44998.0)</f>
        <v>44998</v>
      </c>
      <c r="O14" s="18">
        <f>IFERROR(__xludf.DUMMYFUNCTION("""COMPUTED_VALUE"""),45172.0)</f>
        <v>45172</v>
      </c>
      <c r="P14" s="18">
        <f>IFERROR(__xludf.DUMMYFUNCTION("""COMPUTED_VALUE"""),45214.0)</f>
        <v>45214</v>
      </c>
      <c r="Q14" s="18"/>
      <c r="R14" s="18"/>
      <c r="S14" s="16"/>
      <c r="T14" s="16"/>
      <c r="U14" s="16" t="str">
        <f>IFERROR(__xludf.DUMMYFUNCTION("""COMPUTED_VALUE"""),"Global Classroom")</f>
        <v>Global Classroom</v>
      </c>
      <c r="V14" s="16" t="str">
        <f>IFERROR(__xludf.DUMMYFUNCTION("""COMPUTED_VALUE"""),"-")</f>
        <v>-</v>
      </c>
      <c r="W14" s="16" t="str">
        <f>IFERROR(__xludf.DUMMYFUNCTION("""COMPUTED_VALUE"""),"2023-03-02T09:39:00Z")</f>
        <v>2023-03-02T09:39:00Z</v>
      </c>
      <c r="X14" s="16"/>
      <c r="Y14" s="16"/>
      <c r="Z14" s="16"/>
    </row>
    <row r="15">
      <c r="A15" s="16" t="str">
        <f>IFERROR(__xludf.DUMMYFUNCTION("""COMPUTED_VALUE"""),"5212777_1291254")</f>
        <v>5212777_1291254</v>
      </c>
      <c r="B15" s="16" t="str">
        <f>IFERROR(__xludf.DUMMYFUNCTION("""COMPUTED_VALUE"""),"Jasmine Essam")</f>
        <v>Jasmine Essam</v>
      </c>
      <c r="C15" s="16" t="str">
        <f>IFERROR(__xludf.DUMMYFUNCTION("""COMPUTED_VALUE"""),"approved")</f>
        <v>approved</v>
      </c>
      <c r="D15" s="16" t="str">
        <f>IFERROR(__xludf.DUMMYFUNCTION("""COMPUTED_VALUE"""),"No")</f>
        <v>No</v>
      </c>
      <c r="E15" s="16" t="str">
        <f>IFERROR(__xludf.DUMMYFUNCTION("""COMPUTED_VALUE"""),"p_7b0f7d021bdb60ecf4a8db1c3f4d0ad4cb290969@inbound.aiesec.org")</f>
        <v>p_7b0f7d021bdb60ecf4a8db1c3f4d0ad4cb290969@inbound.aiesec.org</v>
      </c>
      <c r="F15" s="16">
        <f>IFERROR(__xludf.DUMMYFUNCTION("""COMPUTED_VALUE"""),1.032014376E9)</f>
        <v>1032014376</v>
      </c>
      <c r="G15" s="16" t="str">
        <f>IFERROR(__xludf.DUMMYFUNCTION("""COMPUTED_VALUE"""),"Egypt")</f>
        <v>Egypt</v>
      </c>
      <c r="H15" s="16" t="str">
        <f>IFERROR(__xludf.DUMMYFUNCTION("""COMPUTED_VALUE"""),"Cairo University")</f>
        <v>Cairo University</v>
      </c>
      <c r="I15" s="16" t="str">
        <f>IFERROR(__xludf.DUMMYFUNCTION("""COMPUTED_VALUE"""),"Turkey")</f>
        <v>Turkey</v>
      </c>
      <c r="J15" s="16" t="str">
        <f>IFERROR(__xludf.DUMMYFUNCTION("""COMPUTED_VALUE"""),"KOCAELI")</f>
        <v>KOCAELI</v>
      </c>
      <c r="K15" s="17" t="str">
        <f>IFERROR(__xludf.DUMMYFUNCTION("""COMPUTED_VALUE"""),"https://expa.aiesec.org/opportunities/1291254")</f>
        <v>https://expa.aiesec.org/opportunities/1291254</v>
      </c>
      <c r="L15" s="16" t="str">
        <f>IFERROR(__xludf.DUMMYFUNCTION("""COMPUTED_VALUE"""),"GV")</f>
        <v>GV</v>
      </c>
      <c r="M15" s="16" t="str">
        <f>IFERROR(__xludf.DUMMYFUNCTION("""COMPUTED_VALUE"""),"short")</f>
        <v>short</v>
      </c>
      <c r="N15" s="18">
        <f>IFERROR(__xludf.DUMMYFUNCTION("""COMPUTED_VALUE"""),45000.0)</f>
        <v>45000</v>
      </c>
      <c r="O15" s="18">
        <f>IFERROR(__xludf.DUMMYFUNCTION("""COMPUTED_VALUE"""),45172.0)</f>
        <v>45172</v>
      </c>
      <c r="P15" s="18">
        <f>IFERROR(__xludf.DUMMYFUNCTION("""COMPUTED_VALUE"""),45214.0)</f>
        <v>45214</v>
      </c>
      <c r="Q15" s="18"/>
      <c r="R15" s="18"/>
      <c r="S15" s="16"/>
      <c r="T15" s="16"/>
      <c r="U15" s="16" t="str">
        <f>IFERROR(__xludf.DUMMYFUNCTION("""COMPUTED_VALUE"""),"Global Classroom")</f>
        <v>Global Classroom</v>
      </c>
      <c r="V15" s="16" t="str">
        <f>IFERROR(__xludf.DUMMYFUNCTION("""COMPUTED_VALUE"""),"Cairo Univeristy")</f>
        <v>Cairo Univeristy</v>
      </c>
      <c r="W15" s="16" t="str">
        <f>IFERROR(__xludf.DUMMYFUNCTION("""COMPUTED_VALUE"""),"2023-03-11T09:42:03Z")</f>
        <v>2023-03-11T09:42:03Z</v>
      </c>
      <c r="X15" s="16"/>
      <c r="Y15" s="16"/>
      <c r="Z15" s="16"/>
    </row>
    <row r="16">
      <c r="A16" s="16" t="str">
        <f>IFERROR(__xludf.DUMMYFUNCTION("""COMPUTED_VALUE"""),"5208952_1287662")</f>
        <v>5208952_1287662</v>
      </c>
      <c r="B16" s="16" t="str">
        <f>IFERROR(__xludf.DUMMYFUNCTION("""COMPUTED_VALUE"""),"Alina Iancu")</f>
        <v>Alina Iancu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IFERROR(__xludf.DUMMYFUNCTION("""COMPUTED_VALUE"""),"p_e16fad40bf34da476f8ba8b926227aef3931a58b@inbound.aiesec.org")</f>
        <v>p_e16fad40bf34da476f8ba8b926227aef3931a58b@inbound.aiesec.org</v>
      </c>
      <c r="F16" s="16"/>
      <c r="G16" s="16" t="str">
        <f>IFERROR(__xludf.DUMMYFUNCTION("""COMPUTED_VALUE"""),"Romania")</f>
        <v>Romania</v>
      </c>
      <c r="H16" s="16" t="str">
        <f>IFERROR(__xludf.DUMMYFUNCTION("""COMPUTED_VALUE"""),"BUCURESTI")</f>
        <v>BUCURESTI</v>
      </c>
      <c r="I16" s="16" t="str">
        <f>IFERROR(__xludf.DUMMYFUNCTION("""COMPUTED_VALUE"""),"Turkey")</f>
        <v>Turkey</v>
      </c>
      <c r="J16" s="16" t="str">
        <f>IFERROR(__xludf.DUMMYFUNCTION("""COMPUTED_VALUE"""),"İZMİR")</f>
        <v>İZMİR</v>
      </c>
      <c r="K16" s="17" t="str">
        <f>IFERROR(__xludf.DUMMYFUNCTION("""COMPUTED_VALUE"""),"https://expa.aiesec.org/opportunities/1287662")</f>
        <v>https://expa.aiesec.org/opportunities/1287662</v>
      </c>
      <c r="L16" s="16" t="str">
        <f>IFERROR(__xludf.DUMMYFUNCTION("""COMPUTED_VALUE"""),"GV")</f>
        <v>GV</v>
      </c>
      <c r="M16" s="16" t="str">
        <f>IFERROR(__xludf.DUMMYFUNCTION("""COMPUTED_VALUE"""),"short")</f>
        <v>short</v>
      </c>
      <c r="N16" s="18">
        <f>IFERROR(__xludf.DUMMYFUNCTION("""COMPUTED_VALUE"""),45001.0)</f>
        <v>45001</v>
      </c>
      <c r="O16" s="18">
        <f>IFERROR(__xludf.DUMMYFUNCTION("""COMPUTED_VALUE"""),45145.0)</f>
        <v>45145</v>
      </c>
      <c r="P16" s="18">
        <f>IFERROR(__xludf.DUMMYFUNCTION("""COMPUTED_VALUE"""),45187.0)</f>
        <v>45187</v>
      </c>
      <c r="Q16" s="18"/>
      <c r="R16" s="18"/>
      <c r="S16" s="16"/>
      <c r="T16" s="16"/>
      <c r="U16" s="16" t="str">
        <f>IFERROR(__xludf.DUMMYFUNCTION("""COMPUTED_VALUE"""),"Heartbeat")</f>
        <v>Heartbeat</v>
      </c>
      <c r="V16" s="16" t="str">
        <f>IFERROR(__xludf.DUMMYFUNCTION("""COMPUTED_VALUE"""),"-")</f>
        <v>-</v>
      </c>
      <c r="W16" s="16" t="str">
        <f>IFERROR(__xludf.DUMMYFUNCTION("""COMPUTED_VALUE"""),"2023-03-07T17:43:21Z")</f>
        <v>2023-03-07T17:43:21Z</v>
      </c>
      <c r="X16" s="16"/>
      <c r="Y16" s="16"/>
      <c r="Z16" s="16"/>
    </row>
    <row r="17">
      <c r="A17" s="16" t="str">
        <f>IFERROR(__xludf.DUMMYFUNCTION("""COMPUTED_VALUE"""),"5201559_1287662")</f>
        <v>5201559_1287662</v>
      </c>
      <c r="B17" s="16" t="str">
        <f>IFERROR(__xludf.DUMMYFUNCTION("""COMPUTED_VALUE"""),"Claudia Ionescu")</f>
        <v>Claudia Ionescu</v>
      </c>
      <c r="C17" s="16" t="str">
        <f>IFERROR(__xludf.DUMMYFUNCTION("""COMPUTED_VALUE"""),"approved")</f>
        <v>approved</v>
      </c>
      <c r="D17" s="16" t="str">
        <f>IFERROR(__xludf.DUMMYFUNCTION("""COMPUTED_VALUE"""),"No")</f>
        <v>No</v>
      </c>
      <c r="E17" s="16" t="str">
        <f>IFERROR(__xludf.DUMMYFUNCTION("""COMPUTED_VALUE"""),"p_aee54c713b80084096a90b36e0a65452d76778d2@inbound.aiesec.org")</f>
        <v>p_aee54c713b80084096a90b36e0a65452d76778d2@inbound.aiesec.org</v>
      </c>
      <c r="F17" s="16">
        <f>IFERROR(__xludf.DUMMYFUNCTION("""COMPUTED_VALUE"""),7.60589922E8)</f>
        <v>760589922</v>
      </c>
      <c r="G17" s="16" t="str">
        <f>IFERROR(__xludf.DUMMYFUNCTION("""COMPUTED_VALUE"""),"Romania")</f>
        <v>Romania</v>
      </c>
      <c r="H17" s="16" t="str">
        <f>IFERROR(__xludf.DUMMYFUNCTION("""COMPUTED_VALUE"""),"BUCURESTI")</f>
        <v>BUCURESTI</v>
      </c>
      <c r="I17" s="16" t="str">
        <f>IFERROR(__xludf.DUMMYFUNCTION("""COMPUTED_VALUE"""),"Turkey")</f>
        <v>Turkey</v>
      </c>
      <c r="J17" s="16" t="str">
        <f>IFERROR(__xludf.DUMMYFUNCTION("""COMPUTED_VALUE"""),"İZMİR")</f>
        <v>İZMİR</v>
      </c>
      <c r="K17" s="17" t="str">
        <f>IFERROR(__xludf.DUMMYFUNCTION("""COMPUTED_VALUE"""),"https://expa.aiesec.org/opportunities/1287662")</f>
        <v>https://expa.aiesec.org/opportunities/1287662</v>
      </c>
      <c r="L17" s="16" t="str">
        <f>IFERROR(__xludf.DUMMYFUNCTION("""COMPUTED_VALUE"""),"GV")</f>
        <v>GV</v>
      </c>
      <c r="M17" s="16" t="str">
        <f>IFERROR(__xludf.DUMMYFUNCTION("""COMPUTED_VALUE"""),"short")</f>
        <v>short</v>
      </c>
      <c r="N17" s="18">
        <f>IFERROR(__xludf.DUMMYFUNCTION("""COMPUTED_VALUE"""),45001.0)</f>
        <v>45001</v>
      </c>
      <c r="O17" s="18">
        <f>IFERROR(__xludf.DUMMYFUNCTION("""COMPUTED_VALUE"""),45145.0)</f>
        <v>45145</v>
      </c>
      <c r="P17" s="18">
        <f>IFERROR(__xludf.DUMMYFUNCTION("""COMPUTED_VALUE"""),45187.0)</f>
        <v>45187</v>
      </c>
      <c r="Q17" s="18"/>
      <c r="R17" s="18"/>
      <c r="S17" s="16"/>
      <c r="T17" s="16"/>
      <c r="U17" s="16" t="str">
        <f>IFERROR(__xludf.DUMMYFUNCTION("""COMPUTED_VALUE"""),"Heartbeat")</f>
        <v>Heartbeat</v>
      </c>
      <c r="V17" s="16" t="str">
        <f>IFERROR(__xludf.DUMMYFUNCTION("""COMPUTED_VALUE"""),"Bucuresti")</f>
        <v>Bucuresti</v>
      </c>
      <c r="W17" s="16" t="str">
        <f>IFERROR(__xludf.DUMMYFUNCTION("""COMPUTED_VALUE"""),"2023-02-28T17:16:37Z")</f>
        <v>2023-02-28T17:16:37Z</v>
      </c>
      <c r="X17" s="16"/>
      <c r="Y17" s="16"/>
      <c r="Z17" s="16"/>
    </row>
    <row r="18">
      <c r="A18" s="16" t="str">
        <f>IFERROR(__xludf.DUMMYFUNCTION("""COMPUTED_VALUE"""),"5210657_1291929")</f>
        <v>5210657_1291929</v>
      </c>
      <c r="B18" s="16" t="str">
        <f>IFERROR(__xludf.DUMMYFUNCTION("""COMPUTED_VALUE"""),"Ibtissam Fdeli")</f>
        <v>Ibtissam Fdeli</v>
      </c>
      <c r="C18" s="16" t="str">
        <f>IFERROR(__xludf.DUMMYFUNCTION("""COMPUTED_VALUE"""),"approved")</f>
        <v>approved</v>
      </c>
      <c r="D18" s="16" t="str">
        <f>IFERROR(__xludf.DUMMYFUNCTION("""COMPUTED_VALUE"""),"No")</f>
        <v>No</v>
      </c>
      <c r="E18" s="16" t="str">
        <f>IFERROR(__xludf.DUMMYFUNCTION("""COMPUTED_VALUE"""),"p_63ad1ccbf74fe3c3119dec75700ca586e4911a5a@inbound.aiesec.org")</f>
        <v>p_63ad1ccbf74fe3c3119dec75700ca586e4911a5a@inbound.aiesec.org</v>
      </c>
      <c r="F18" s="16">
        <f>IFERROR(__xludf.DUMMYFUNCTION("""COMPUTED_VALUE"""),6.18978343E8)</f>
        <v>618978343</v>
      </c>
      <c r="G18" s="16" t="str">
        <f>IFERROR(__xludf.DUMMYFUNCTION("""COMPUTED_VALUE"""),"Morocco")</f>
        <v>Morocco</v>
      </c>
      <c r="H18" s="16" t="str">
        <f>IFERROR(__xludf.DUMMYFUNCTION("""COMPUTED_VALUE"""),"Fez")</f>
        <v>Fez</v>
      </c>
      <c r="I18" s="16" t="str">
        <f>IFERROR(__xludf.DUMMYFUNCTION("""COMPUTED_VALUE"""),"Turkey")</f>
        <v>Turkey</v>
      </c>
      <c r="J18" s="16" t="str">
        <f>IFERROR(__xludf.DUMMYFUNCTION("""COMPUTED_VALUE"""),"TRABZON")</f>
        <v>TRABZON</v>
      </c>
      <c r="K18" s="17" t="str">
        <f>IFERROR(__xludf.DUMMYFUNCTION("""COMPUTED_VALUE"""),"https://expa.aiesec.org/opportunities/1291929")</f>
        <v>https://expa.aiesec.org/opportunities/1291929</v>
      </c>
      <c r="L18" s="16" t="str">
        <f>IFERROR(__xludf.DUMMYFUNCTION("""COMPUTED_VALUE"""),"GV")</f>
        <v>GV</v>
      </c>
      <c r="M18" s="16" t="str">
        <f>IFERROR(__xludf.DUMMYFUNCTION("""COMPUTED_VALUE"""),"short")</f>
        <v>short</v>
      </c>
      <c r="N18" s="18">
        <f>IFERROR(__xludf.DUMMYFUNCTION("""COMPUTED_VALUE"""),45003.0)</f>
        <v>45003</v>
      </c>
      <c r="O18" s="18">
        <f>IFERROR(__xludf.DUMMYFUNCTION("""COMPUTED_VALUE"""),45128.0)</f>
        <v>45128</v>
      </c>
      <c r="P18" s="18">
        <f>IFERROR(__xludf.DUMMYFUNCTION("""COMPUTED_VALUE"""),45170.0)</f>
        <v>45170</v>
      </c>
      <c r="Q18" s="18"/>
      <c r="R18" s="18"/>
      <c r="S18" s="16"/>
      <c r="T18" s="16"/>
      <c r="U18" s="16" t="str">
        <f>IFERROR(__xludf.DUMMYFUNCTION("""COMPUTED_VALUE"""),"Global Classroom")</f>
        <v>Global Classroom</v>
      </c>
      <c r="V18" s="16" t="str">
        <f>IFERROR(__xludf.DUMMYFUNCTION("""COMPUTED_VALUE"""),"Ecole Nationale Des Sciences Appliquées Fès (ENSAF)")</f>
        <v>Ecole Nationale Des Sciences Appliquées Fès (ENSAF)</v>
      </c>
      <c r="W18" s="16" t="str">
        <f>IFERROR(__xludf.DUMMYFUNCTION("""COMPUTED_VALUE"""),"2023-03-09T09:01:00Z")</f>
        <v>2023-03-09T09:01:00Z</v>
      </c>
      <c r="X18" s="16"/>
      <c r="Y18" s="16"/>
      <c r="Z18" s="16"/>
    </row>
    <row r="19">
      <c r="A19" s="16" t="str">
        <f>IFERROR(__xludf.DUMMYFUNCTION("""COMPUTED_VALUE"""),"5226617_1287101")</f>
        <v>5226617_1287101</v>
      </c>
      <c r="B19" s="16" t="str">
        <f>IFERROR(__xludf.DUMMYFUNCTION("""COMPUTED_VALUE"""),"deleted 5226617")</f>
        <v>deleted 5226617</v>
      </c>
      <c r="C19" s="16" t="str">
        <f>IFERROR(__xludf.DUMMYFUNCTION("""COMPUTED_VALUE"""),"approved")</f>
        <v>approved</v>
      </c>
      <c r="D19" s="16" t="str">
        <f>IFERROR(__xludf.DUMMYFUNCTION("""COMPUTED_VALUE"""),"No")</f>
        <v>No</v>
      </c>
      <c r="E19" s="16" t="str">
        <f>IFERROR(__xludf.DUMMYFUNCTION("""COMPUTED_VALUE"""),"p_74651939ae78a196e4acc757a5031840ed11f01b@inbound.aiesec.org")</f>
        <v>p_74651939ae78a196e4acc757a5031840ed11f01b@inbound.aiesec.org</v>
      </c>
      <c r="F19" s="16"/>
      <c r="G19" s="16" t="str">
        <f>IFERROR(__xludf.DUMMYFUNCTION("""COMPUTED_VALUE"""),"Tunisia")</f>
        <v>Tunisia</v>
      </c>
      <c r="H19" s="16" t="str">
        <f>IFERROR(__xludf.DUMMYFUNCTION("""COMPUTED_VALUE"""),"UNIVERSITY")</f>
        <v>UNIVERSITY</v>
      </c>
      <c r="I19" s="16" t="str">
        <f>IFERROR(__xludf.DUMMYFUNCTION("""COMPUTED_VALUE"""),"Turkey")</f>
        <v>Turkey</v>
      </c>
      <c r="J19" s="16" t="str">
        <f>IFERROR(__xludf.DUMMYFUNCTION("""COMPUTED_VALUE"""),"İZMİR")</f>
        <v>İZMİR</v>
      </c>
      <c r="K19" s="17" t="str">
        <f>IFERROR(__xludf.DUMMYFUNCTION("""COMPUTED_VALUE"""),"https://expa.aiesec.org/opportunities/1287101")</f>
        <v>https://expa.aiesec.org/opportunities/1287101</v>
      </c>
      <c r="L19" s="16" t="str">
        <f>IFERROR(__xludf.DUMMYFUNCTION("""COMPUTED_VALUE"""),"GV")</f>
        <v>GV</v>
      </c>
      <c r="M19" s="16" t="str">
        <f>IFERROR(__xludf.DUMMYFUNCTION("""COMPUTED_VALUE"""),"short")</f>
        <v>short</v>
      </c>
      <c r="N19" s="18">
        <f>IFERROR(__xludf.DUMMYFUNCTION("""COMPUTED_VALUE"""),45011.0)</f>
        <v>45011</v>
      </c>
      <c r="O19" s="18">
        <f>IFERROR(__xludf.DUMMYFUNCTION("""COMPUTED_VALUE"""),45172.0)</f>
        <v>45172</v>
      </c>
      <c r="P19" s="18">
        <f>IFERROR(__xludf.DUMMYFUNCTION("""COMPUTED_VALUE"""),45214.0)</f>
        <v>45214</v>
      </c>
      <c r="Q19" s="18"/>
      <c r="R19" s="18"/>
      <c r="S19" s="16"/>
      <c r="T19" s="16"/>
      <c r="U19" s="16" t="str">
        <f>IFERROR(__xludf.DUMMYFUNCTION("""COMPUTED_VALUE"""),"Global Classroom")</f>
        <v>Global Classroom</v>
      </c>
      <c r="V19" s="16" t="str">
        <f>IFERROR(__xludf.DUMMYFUNCTION("""COMPUTED_VALUE"""),"Institut supérieur des sciences biologiques appliquées de Tunis ISSBAT")</f>
        <v>Institut supérieur des sciences biologiques appliquées de Tunis ISSBAT</v>
      </c>
      <c r="W19" s="16" t="str">
        <f>IFERROR(__xludf.DUMMYFUNCTION("""COMPUTED_VALUE"""),"2023-03-25T12:05:18Z")</f>
        <v>2023-03-25T12:05:18Z</v>
      </c>
      <c r="X19" s="16"/>
      <c r="Y19" s="16"/>
      <c r="Z19" s="16"/>
    </row>
    <row r="20">
      <c r="A20" s="16" t="str">
        <f>IFERROR(__xludf.DUMMYFUNCTION("""COMPUTED_VALUE"""),"4659539_1283991")</f>
        <v>4659539_1283991</v>
      </c>
      <c r="B20" s="16" t="str">
        <f>IFERROR(__xludf.DUMMYFUNCTION("""COMPUTED_VALUE"""),"Jeyanthram Venkatesan")</f>
        <v>Jeyanthram Venkatesan</v>
      </c>
      <c r="C20" s="16" t="str">
        <f>IFERROR(__xludf.DUMMYFUNCTION("""COMPUTED_VALUE"""),"approved")</f>
        <v>approved</v>
      </c>
      <c r="D20" s="16" t="str">
        <f>IFERROR(__xludf.DUMMYFUNCTION("""COMPUTED_VALUE"""),"No")</f>
        <v>No</v>
      </c>
      <c r="E20" s="16" t="str">
        <f>IFERROR(__xludf.DUMMYFUNCTION("""COMPUTED_VALUE"""),"p_c5f0ebf156799b9beac9bc90aa619ebfad5378da@inbound.aiesec.org")</f>
        <v>p_c5f0ebf156799b9beac9bc90aa619ebfad5378da@inbound.aiesec.org</v>
      </c>
      <c r="F20" s="16"/>
      <c r="G20" s="16" t="str">
        <f>IFERROR(__xludf.DUMMYFUNCTION("""COMPUTED_VALUE"""),"Germany")</f>
        <v>Germany</v>
      </c>
      <c r="H20" s="16" t="str">
        <f>IFERROR(__xludf.DUMMYFUNCTION("""COMPUTED_VALUE"""),"KAISERSLAUTERN")</f>
        <v>KAISERSLAUTERN</v>
      </c>
      <c r="I20" s="16" t="str">
        <f>IFERROR(__xludf.DUMMYFUNCTION("""COMPUTED_VALUE"""),"Turkey")</f>
        <v>Turkey</v>
      </c>
      <c r="J20" s="16" t="str">
        <f>IFERROR(__xludf.DUMMYFUNCTION("""COMPUTED_VALUE"""),"SAKARYA")</f>
        <v>SAKARYA</v>
      </c>
      <c r="K20" s="17" t="str">
        <f>IFERROR(__xludf.DUMMYFUNCTION("""COMPUTED_VALUE"""),"https://expa.aiesec.org/opportunities/1283991")</f>
        <v>https://expa.aiesec.org/opportunities/1283991</v>
      </c>
      <c r="L20" s="16" t="str">
        <f>IFERROR(__xludf.DUMMYFUNCTION("""COMPUTED_VALUE"""),"GV")</f>
        <v>GV</v>
      </c>
      <c r="M20" s="16" t="str">
        <f>IFERROR(__xludf.DUMMYFUNCTION("""COMPUTED_VALUE"""),"short")</f>
        <v>short</v>
      </c>
      <c r="N20" s="18">
        <f>IFERROR(__xludf.DUMMYFUNCTION("""COMPUTED_VALUE"""),45012.0)</f>
        <v>45012</v>
      </c>
      <c r="O20" s="18">
        <f>IFERROR(__xludf.DUMMYFUNCTION("""COMPUTED_VALUE"""),45130.0)</f>
        <v>45130</v>
      </c>
      <c r="P20" s="18">
        <f>IFERROR(__xludf.DUMMYFUNCTION("""COMPUTED_VALUE"""),45172.0)</f>
        <v>45172</v>
      </c>
      <c r="Q20" s="18"/>
      <c r="R20" s="18"/>
      <c r="S20" s="16"/>
      <c r="T20" s="16"/>
      <c r="U20" s="16" t="str">
        <f>IFERROR(__xludf.DUMMYFUNCTION("""COMPUTED_VALUE"""),"Youth 4 Impact")</f>
        <v>Youth 4 Impact</v>
      </c>
      <c r="V20" s="16" t="str">
        <f>IFERROR(__xludf.DUMMYFUNCTION("""COMPUTED_VALUE"""),"Kaiserslautern")</f>
        <v>Kaiserslautern</v>
      </c>
      <c r="W20" s="16" t="str">
        <f>IFERROR(__xludf.DUMMYFUNCTION("""COMPUTED_VALUE"""),"2021-06-03T17:23:03Z")</f>
        <v>2021-06-03T17:23:03Z</v>
      </c>
      <c r="X20" s="16"/>
      <c r="Y20" s="16"/>
      <c r="Z20" s="16"/>
    </row>
    <row r="21">
      <c r="A21" s="16" t="str">
        <f>IFERROR(__xludf.DUMMYFUNCTION("""COMPUTED_VALUE"""),"5174284_1284484")</f>
        <v>5174284_1284484</v>
      </c>
      <c r="B21" s="16" t="str">
        <f>IFERROR(__xludf.DUMMYFUNCTION("""COMPUTED_VALUE"""),"Ayesha Khalid")</f>
        <v>Ayesha Khalid</v>
      </c>
      <c r="C21" s="16" t="str">
        <f>IFERROR(__xludf.DUMMYFUNCTION("""COMPUTED_VALUE"""),"approved")</f>
        <v>approved</v>
      </c>
      <c r="D21" s="16" t="str">
        <f>IFERROR(__xludf.DUMMYFUNCTION("""COMPUTED_VALUE"""),"No")</f>
        <v>No</v>
      </c>
      <c r="E21" s="16" t="str">
        <f>IFERROR(__xludf.DUMMYFUNCTION("""COMPUTED_VALUE"""),"p_0c7d9311add603b679e2d16d647ea0b675d8d80a@inbound.aiesec.org")</f>
        <v>p_0c7d9311add603b679e2d16d647ea0b675d8d80a@inbound.aiesec.org</v>
      </c>
      <c r="F21" s="16"/>
      <c r="G21" s="16" t="str">
        <f>IFERROR(__xludf.DUMMYFUNCTION("""COMPUTED_VALUE"""),"Pakistan")</f>
        <v>Pakistan</v>
      </c>
      <c r="H21" s="16" t="str">
        <f>IFERROR(__xludf.DUMMYFUNCTION("""COMPUTED_VALUE"""),"Lahore - Pak")</f>
        <v>Lahore - Pak</v>
      </c>
      <c r="I21" s="16" t="str">
        <f>IFERROR(__xludf.DUMMYFUNCTION("""COMPUTED_VALUE"""),"Turkey")</f>
        <v>Turkey</v>
      </c>
      <c r="J21" s="16" t="str">
        <f>IFERROR(__xludf.DUMMYFUNCTION("""COMPUTED_VALUE"""),"DENIZLI")</f>
        <v>DENIZLI</v>
      </c>
      <c r="K21" s="17" t="str">
        <f>IFERROR(__xludf.DUMMYFUNCTION("""COMPUTED_VALUE"""),"https://expa.aiesec.org/opportunities/1284484")</f>
        <v>https://expa.aiesec.org/opportunities/1284484</v>
      </c>
      <c r="L21" s="16" t="str">
        <f>IFERROR(__xludf.DUMMYFUNCTION("""COMPUTED_VALUE"""),"GV")</f>
        <v>GV</v>
      </c>
      <c r="M21" s="16" t="str">
        <f>IFERROR(__xludf.DUMMYFUNCTION("""COMPUTED_VALUE"""),"short")</f>
        <v>short</v>
      </c>
      <c r="N21" s="18">
        <f>IFERROR(__xludf.DUMMYFUNCTION("""COMPUTED_VALUE"""),45014.0)</f>
        <v>45014</v>
      </c>
      <c r="O21" s="18">
        <f>IFERROR(__xludf.DUMMYFUNCTION("""COMPUTED_VALUE"""),45124.0)</f>
        <v>45124</v>
      </c>
      <c r="P21" s="18">
        <f>IFERROR(__xludf.DUMMYFUNCTION("""COMPUTED_VALUE"""),45166.0)</f>
        <v>45166</v>
      </c>
      <c r="Q21" s="18"/>
      <c r="R21" s="18"/>
      <c r="S21" s="16"/>
      <c r="T21" s="16"/>
      <c r="U21" s="16" t="str">
        <f>IFERROR(__xludf.DUMMYFUNCTION("""COMPUTED_VALUE"""),"Youth 4 Impact")</f>
        <v>Youth 4 Impact</v>
      </c>
      <c r="V21" s="16" t="str">
        <f>IFERROR(__xludf.DUMMYFUNCTION("""COMPUTED_VALUE"""),"-")</f>
        <v>-</v>
      </c>
      <c r="W21" s="16" t="str">
        <f>IFERROR(__xludf.DUMMYFUNCTION("""COMPUTED_VALUE"""),"2023-01-08T11:12:59Z")</f>
        <v>2023-01-08T11:12:59Z</v>
      </c>
      <c r="X21" s="16"/>
      <c r="Y21" s="16"/>
      <c r="Z21" s="16"/>
    </row>
    <row r="22">
      <c r="A22" s="16" t="str">
        <f>IFERROR(__xludf.DUMMYFUNCTION("""COMPUTED_VALUE"""),"5211812_1285687")</f>
        <v>5211812_1285687</v>
      </c>
      <c r="B22" s="16" t="str">
        <f>IFERROR(__xludf.DUMMYFUNCTION("""COMPUTED_VALUE"""),"Alma El mekki")</f>
        <v>Alma El mekki</v>
      </c>
      <c r="C22" s="16" t="str">
        <f>IFERROR(__xludf.DUMMYFUNCTION("""COMPUTED_VALUE"""),"approved")</f>
        <v>approved</v>
      </c>
      <c r="D22" s="16" t="str">
        <f>IFERROR(__xludf.DUMMYFUNCTION("""COMPUTED_VALUE"""),"No")</f>
        <v>No</v>
      </c>
      <c r="E22" s="16" t="str">
        <f>IFERROR(__xludf.DUMMYFUNCTION("""COMPUTED_VALUE"""),"p_edbd85ccbb2f7a59c803eb2951ab8152b3a84a82@inbound.aiesec.org")</f>
        <v>p_edbd85ccbb2f7a59c803eb2951ab8152b3a84a82@inbound.aiesec.org</v>
      </c>
      <c r="F22" s="16">
        <f>IFERROR(__xludf.DUMMYFUNCTION("""COMPUTED_VALUE"""),9.2554924E7)</f>
        <v>92554924</v>
      </c>
      <c r="G22" s="16" t="str">
        <f>IFERROR(__xludf.DUMMYFUNCTION("""COMPUTED_VALUE"""),"Tunisia")</f>
        <v>Tunisia</v>
      </c>
      <c r="H22" s="16" t="str">
        <f>IFERROR(__xludf.DUMMYFUNCTION("""COMPUTED_VALUE"""),"Carthage")</f>
        <v>Carthage</v>
      </c>
      <c r="I22" s="16" t="str">
        <f>IFERROR(__xludf.DUMMYFUNCTION("""COMPUTED_VALUE"""),"Turkey")</f>
        <v>Turkey</v>
      </c>
      <c r="J22" s="16" t="str">
        <f>IFERROR(__xludf.DUMMYFUNCTION("""COMPUTED_VALUE"""),"ISTANBUL")</f>
        <v>ISTANBUL</v>
      </c>
      <c r="K22" s="17" t="str">
        <f>IFERROR(__xludf.DUMMYFUNCTION("""COMPUTED_VALUE"""),"https://expa.aiesec.org/opportunities/1285687")</f>
        <v>https://expa.aiesec.org/opportunities/1285687</v>
      </c>
      <c r="L22" s="16" t="str">
        <f>IFERROR(__xludf.DUMMYFUNCTION("""COMPUTED_VALUE"""),"GV")</f>
        <v>GV</v>
      </c>
      <c r="M22" s="16" t="str">
        <f>IFERROR(__xludf.DUMMYFUNCTION("""COMPUTED_VALUE"""),"short")</f>
        <v>short</v>
      </c>
      <c r="N22" s="18">
        <f>IFERROR(__xludf.DUMMYFUNCTION("""COMPUTED_VALUE"""),45016.0)</f>
        <v>45016</v>
      </c>
      <c r="O22" s="18">
        <f>IFERROR(__xludf.DUMMYFUNCTION("""COMPUTED_VALUE"""),45155.0)</f>
        <v>45155</v>
      </c>
      <c r="P22" s="18">
        <f>IFERROR(__xludf.DUMMYFUNCTION("""COMPUTED_VALUE"""),45197.0)</f>
        <v>45197</v>
      </c>
      <c r="Q22" s="18"/>
      <c r="R22" s="18"/>
      <c r="S22" s="16"/>
      <c r="T22" s="16"/>
      <c r="U22" s="16" t="str">
        <f>IFERROR(__xludf.DUMMYFUNCTION("""COMPUTED_VALUE"""),"Youth 4 Impact")</f>
        <v>Youth 4 Impact</v>
      </c>
      <c r="V22" s="16" t="str">
        <f>IFERROR(__xludf.DUMMYFUNCTION("""COMPUTED_VALUE"""),"IHEC Carthage")</f>
        <v>IHEC Carthage</v>
      </c>
      <c r="W22" s="16" t="str">
        <f>IFERROR(__xludf.DUMMYFUNCTION("""COMPUTED_VALUE"""),"2023-03-10T09:15:58Z")</f>
        <v>2023-03-10T09:15:58Z</v>
      </c>
      <c r="X22" s="16"/>
      <c r="Y22" s="16"/>
      <c r="Z22" s="16"/>
    </row>
    <row r="23">
      <c r="A23" s="16" t="str">
        <f>IFERROR(__xludf.DUMMYFUNCTION("""COMPUTED_VALUE"""),"5230609_1288280")</f>
        <v>5230609_1288280</v>
      </c>
      <c r="B23" s="16" t="str">
        <f>IFERROR(__xludf.DUMMYFUNCTION("""COMPUTED_VALUE"""),"Tayseer Ali")</f>
        <v>Tayseer Ali</v>
      </c>
      <c r="C23" s="16" t="str">
        <f>IFERROR(__xludf.DUMMYFUNCTION("""COMPUTED_VALUE"""),"approved")</f>
        <v>approved</v>
      </c>
      <c r="D23" s="16" t="str">
        <f>IFERROR(__xludf.DUMMYFUNCTION("""COMPUTED_VALUE"""),"No")</f>
        <v>No</v>
      </c>
      <c r="E23" s="16" t="str">
        <f>IFERROR(__xludf.DUMMYFUNCTION("""COMPUTED_VALUE"""),"p_1e16546a53868135bed066fdcce2b02b15dc9f41@inbound.aiesec.org")</f>
        <v>p_1e16546a53868135bed066fdcce2b02b15dc9f41@inbound.aiesec.org</v>
      </c>
      <c r="F23" s="16">
        <f>IFERROR(__xludf.DUMMYFUNCTION("""COMPUTED_VALUE"""),1.006701205E9)</f>
        <v>1006701205</v>
      </c>
      <c r="G23" s="16" t="str">
        <f>IFERROR(__xludf.DUMMYFUNCTION("""COMPUTED_VALUE"""),"Egypt")</f>
        <v>Egypt</v>
      </c>
      <c r="H23" s="16" t="str">
        <f>IFERROR(__xludf.DUMMYFUNCTION("""COMPUTED_VALUE"""),"Zagazig")</f>
        <v>Zagazig</v>
      </c>
      <c r="I23" s="16" t="str">
        <f>IFERROR(__xludf.DUMMYFUNCTION("""COMPUTED_VALUE"""),"Turkey")</f>
        <v>Turkey</v>
      </c>
      <c r="J23" s="16" t="str">
        <f>IFERROR(__xludf.DUMMYFUNCTION("""COMPUTED_VALUE"""),"İZMİR")</f>
        <v>İZMİR</v>
      </c>
      <c r="K23" s="17" t="str">
        <f>IFERROR(__xludf.DUMMYFUNCTION("""COMPUTED_VALUE"""),"https://expa.aiesec.org/opportunities/1288280")</f>
        <v>https://expa.aiesec.org/opportunities/1288280</v>
      </c>
      <c r="L23" s="16" t="str">
        <f>IFERROR(__xludf.DUMMYFUNCTION("""COMPUTED_VALUE"""),"GV")</f>
        <v>GV</v>
      </c>
      <c r="M23" s="16" t="str">
        <f>IFERROR(__xludf.DUMMYFUNCTION("""COMPUTED_VALUE"""),"short")</f>
        <v>short</v>
      </c>
      <c r="N23" s="18">
        <f>IFERROR(__xludf.DUMMYFUNCTION("""COMPUTED_VALUE"""),45016.0)</f>
        <v>45016</v>
      </c>
      <c r="O23" s="18">
        <f>IFERROR(__xludf.DUMMYFUNCTION("""COMPUTED_VALUE"""),45172.0)</f>
        <v>45172</v>
      </c>
      <c r="P23" s="18">
        <f>IFERROR(__xludf.DUMMYFUNCTION("""COMPUTED_VALUE"""),45214.0)</f>
        <v>45214</v>
      </c>
      <c r="Q23" s="18"/>
      <c r="R23" s="18"/>
      <c r="S23" s="16"/>
      <c r="T23" s="16"/>
      <c r="U23" s="16" t="str">
        <f>IFERROR(__xludf.DUMMYFUNCTION("""COMPUTED_VALUE"""),"Global Classroom")</f>
        <v>Global Classroom</v>
      </c>
      <c r="V23" s="16" t="str">
        <f>IFERROR(__xludf.DUMMYFUNCTION("""COMPUTED_VALUE"""),"Azhar University")</f>
        <v>Azhar University</v>
      </c>
      <c r="W23" s="16" t="str">
        <f>IFERROR(__xludf.DUMMYFUNCTION("""COMPUTED_VALUE"""),"2023-03-30T00:34:16Z")</f>
        <v>2023-03-30T00:34:16Z</v>
      </c>
      <c r="X23" s="16"/>
      <c r="Y23" s="16"/>
      <c r="Z23" s="16"/>
    </row>
    <row r="24">
      <c r="A24" s="16" t="str">
        <f>IFERROR(__xludf.DUMMYFUNCTION("""COMPUTED_VALUE"""),"5229773_1288280")</f>
        <v>5229773_1288280</v>
      </c>
      <c r="B24" s="16" t="str">
        <f>IFERROR(__xludf.DUMMYFUNCTION("""COMPUTED_VALUE"""),"Maria Vataman")</f>
        <v>Maria Vataman</v>
      </c>
      <c r="C24" s="16" t="str">
        <f>IFERROR(__xludf.DUMMYFUNCTION("""COMPUTED_VALUE"""),"approved")</f>
        <v>approved</v>
      </c>
      <c r="D24" s="16" t="str">
        <f>IFERROR(__xludf.DUMMYFUNCTION("""COMPUTED_VALUE"""),"No")</f>
        <v>No</v>
      </c>
      <c r="E24" s="16" t="str">
        <f>IFERROR(__xludf.DUMMYFUNCTION("""COMPUTED_VALUE"""),"p_64b0b78c1e95c2e83d7910e907fa38a0263b42db@inbound.aiesec.org")</f>
        <v>p_64b0b78c1e95c2e83d7910e907fa38a0263b42db@inbound.aiesec.org</v>
      </c>
      <c r="F24" s="16"/>
      <c r="G24" s="16" t="str">
        <f>IFERROR(__xludf.DUMMYFUNCTION("""COMPUTED_VALUE"""),"Romania")</f>
        <v>Romania</v>
      </c>
      <c r="H24" s="16" t="str">
        <f>IFERROR(__xludf.DUMMYFUNCTION("""COMPUTED_VALUE"""),"GALATI")</f>
        <v>GALATI</v>
      </c>
      <c r="I24" s="16" t="str">
        <f>IFERROR(__xludf.DUMMYFUNCTION("""COMPUTED_VALUE"""),"Turkey")</f>
        <v>Turkey</v>
      </c>
      <c r="J24" s="16" t="str">
        <f>IFERROR(__xludf.DUMMYFUNCTION("""COMPUTED_VALUE"""),"İZMİR")</f>
        <v>İZMİR</v>
      </c>
      <c r="K24" s="17" t="str">
        <f>IFERROR(__xludf.DUMMYFUNCTION("""COMPUTED_VALUE"""),"https://expa.aiesec.org/opportunities/1288280")</f>
        <v>https://expa.aiesec.org/opportunities/1288280</v>
      </c>
      <c r="L24" s="16" t="str">
        <f>IFERROR(__xludf.DUMMYFUNCTION("""COMPUTED_VALUE"""),"GV")</f>
        <v>GV</v>
      </c>
      <c r="M24" s="16" t="str">
        <f>IFERROR(__xludf.DUMMYFUNCTION("""COMPUTED_VALUE"""),"short")</f>
        <v>short</v>
      </c>
      <c r="N24" s="18">
        <f>IFERROR(__xludf.DUMMYFUNCTION("""COMPUTED_VALUE"""),45016.0)</f>
        <v>45016</v>
      </c>
      <c r="O24" s="18">
        <f>IFERROR(__xludf.DUMMYFUNCTION("""COMPUTED_VALUE"""),45144.0)</f>
        <v>45144</v>
      </c>
      <c r="P24" s="18">
        <f>IFERROR(__xludf.DUMMYFUNCTION("""COMPUTED_VALUE"""),45186.0)</f>
        <v>45186</v>
      </c>
      <c r="Q24" s="18"/>
      <c r="R24" s="18"/>
      <c r="S24" s="16"/>
      <c r="T24" s="16"/>
      <c r="U24" s="16" t="str">
        <f>IFERROR(__xludf.DUMMYFUNCTION("""COMPUTED_VALUE"""),"Global Classroom")</f>
        <v>Global Classroom</v>
      </c>
      <c r="V24" s="16" t="str">
        <f>IFERROR(__xludf.DUMMYFUNCTION("""COMPUTED_VALUE"""),"-")</f>
        <v>-</v>
      </c>
      <c r="W24" s="16" t="str">
        <f>IFERROR(__xludf.DUMMYFUNCTION("""COMPUTED_VALUE"""),"2023-03-29T08:19:23Z")</f>
        <v>2023-03-29T08:19:23Z</v>
      </c>
      <c r="X24" s="16"/>
      <c r="Y24" s="16"/>
      <c r="Z24" s="16"/>
    </row>
    <row r="25">
      <c r="A25" s="16" t="str">
        <f>IFERROR(__xludf.DUMMYFUNCTION("""COMPUTED_VALUE"""),"5021082_1291634")</f>
        <v>5021082_1291634</v>
      </c>
      <c r="B25" s="16" t="str">
        <f>IFERROR(__xludf.DUMMYFUNCTION("""COMPUTED_VALUE"""),"Areesha Qasim")</f>
        <v>Areesha Qasim</v>
      </c>
      <c r="C25" s="16" t="str">
        <f>IFERROR(__xludf.DUMMYFUNCTION("""COMPUTED_VALUE"""),"approved")</f>
        <v>approved</v>
      </c>
      <c r="D25" s="16" t="str">
        <f>IFERROR(__xludf.DUMMYFUNCTION("""COMPUTED_VALUE"""),"No")</f>
        <v>No</v>
      </c>
      <c r="E25" s="16" t="str">
        <f>IFERROR(__xludf.DUMMYFUNCTION("""COMPUTED_VALUE"""),"p_87777e771cbbcf05ce48650139044ad248642a44@inbound.aiesec.org")</f>
        <v>p_87777e771cbbcf05ce48650139044ad248642a44@inbound.aiesec.org</v>
      </c>
      <c r="F25" s="16">
        <f>IFERROR(__xludf.DUMMYFUNCTION("""COMPUTED_VALUE"""),3.462806104E9)</f>
        <v>3462806104</v>
      </c>
      <c r="G25" s="16" t="str">
        <f>IFERROR(__xludf.DUMMYFUNCTION("""COMPUTED_VALUE"""),"Pakistan")</f>
        <v>Pakistan</v>
      </c>
      <c r="H25" s="16" t="str">
        <f>IFERROR(__xludf.DUMMYFUNCTION("""COMPUTED_VALUE"""),"Karachi")</f>
        <v>Karachi</v>
      </c>
      <c r="I25" s="16" t="str">
        <f>IFERROR(__xludf.DUMMYFUNCTION("""COMPUTED_VALUE"""),"Turkey")</f>
        <v>Turkey</v>
      </c>
      <c r="J25" s="16" t="str">
        <f>IFERROR(__xludf.DUMMYFUNCTION("""COMPUTED_VALUE"""),"İZMİR")</f>
        <v>İZMİR</v>
      </c>
      <c r="K25" s="17" t="str">
        <f>IFERROR(__xludf.DUMMYFUNCTION("""COMPUTED_VALUE"""),"https://expa.aiesec.org/opportunities/1291634")</f>
        <v>https://expa.aiesec.org/opportunities/1291634</v>
      </c>
      <c r="L25" s="16" t="str">
        <f>IFERROR(__xludf.DUMMYFUNCTION("""COMPUTED_VALUE"""),"GV")</f>
        <v>GV</v>
      </c>
      <c r="M25" s="16" t="str">
        <f>IFERROR(__xludf.DUMMYFUNCTION("""COMPUTED_VALUE"""),"short")</f>
        <v>short</v>
      </c>
      <c r="N25" s="18">
        <f>IFERROR(__xludf.DUMMYFUNCTION("""COMPUTED_VALUE"""),45016.0)</f>
        <v>45016</v>
      </c>
      <c r="O25" s="18">
        <f>IFERROR(__xludf.DUMMYFUNCTION("""COMPUTED_VALUE"""),45166.0)</f>
        <v>45166</v>
      </c>
      <c r="P25" s="18">
        <f>IFERROR(__xludf.DUMMYFUNCTION("""COMPUTED_VALUE"""),45208.0)</f>
        <v>45208</v>
      </c>
      <c r="Q25" s="18"/>
      <c r="R25" s="18"/>
      <c r="S25" s="16"/>
      <c r="T25" s="16"/>
      <c r="U25" s="16" t="str">
        <f>IFERROR(__xludf.DUMMYFUNCTION("""COMPUTED_VALUE"""),"Fingerprint")</f>
        <v>Fingerprint</v>
      </c>
      <c r="V25" s="16" t="str">
        <f>IFERROR(__xludf.DUMMYFUNCTION("""COMPUTED_VALUE"""),"Karachi - Institute of Business Management")</f>
        <v>Karachi - Institute of Business Management</v>
      </c>
      <c r="W25" s="16" t="str">
        <f>IFERROR(__xludf.DUMMYFUNCTION("""COMPUTED_VALUE"""),"2022-04-02T09:09:15Z")</f>
        <v>2022-04-02T09:09:15Z</v>
      </c>
      <c r="X25" s="16"/>
      <c r="Y25" s="16"/>
      <c r="Z25" s="16"/>
    </row>
    <row r="26">
      <c r="A26" s="16" t="str">
        <f>IFERROR(__xludf.DUMMYFUNCTION("""COMPUTED_VALUE"""),"5223742_1288280")</f>
        <v>5223742_1288280</v>
      </c>
      <c r="B26" s="16" t="str">
        <f>IFERROR(__xludf.DUMMYFUNCTION("""COMPUTED_VALUE"""),"Shady Ahmed")</f>
        <v>Shady Ahmed</v>
      </c>
      <c r="C26" s="16" t="str">
        <f>IFERROR(__xludf.DUMMYFUNCTION("""COMPUTED_VALUE"""),"approved")</f>
        <v>approved</v>
      </c>
      <c r="D26" s="16" t="str">
        <f>IFERROR(__xludf.DUMMYFUNCTION("""COMPUTED_VALUE"""),"No")</f>
        <v>No</v>
      </c>
      <c r="E26" s="16" t="str">
        <f>IFERROR(__xludf.DUMMYFUNCTION("""COMPUTED_VALUE"""),"p_0d8268743650cc6eb9f975e9540023a84ab2abe5@inbound.aiesec.org")</f>
        <v>p_0d8268743650cc6eb9f975e9540023a84ab2abe5@inbound.aiesec.org</v>
      </c>
      <c r="F26" s="16">
        <f>IFERROR(__xludf.DUMMYFUNCTION("""COMPUTED_VALUE"""),1.025502332E9)</f>
        <v>1025502332</v>
      </c>
      <c r="G26" s="16" t="str">
        <f>IFERROR(__xludf.DUMMYFUNCTION("""COMPUTED_VALUE"""),"Egypt")</f>
        <v>Egypt</v>
      </c>
      <c r="H26" s="16" t="str">
        <f>IFERROR(__xludf.DUMMYFUNCTION("""COMPUTED_VALUE"""),"Suez")</f>
        <v>Suez</v>
      </c>
      <c r="I26" s="16" t="str">
        <f>IFERROR(__xludf.DUMMYFUNCTION("""COMPUTED_VALUE"""),"Turkey")</f>
        <v>Turkey</v>
      </c>
      <c r="J26" s="16" t="str">
        <f>IFERROR(__xludf.DUMMYFUNCTION("""COMPUTED_VALUE"""),"İZMİR")</f>
        <v>İZMİR</v>
      </c>
      <c r="K26" s="17" t="str">
        <f>IFERROR(__xludf.DUMMYFUNCTION("""COMPUTED_VALUE"""),"https://expa.aiesec.org/opportunities/1288280")</f>
        <v>https://expa.aiesec.org/opportunities/1288280</v>
      </c>
      <c r="L26" s="16" t="str">
        <f>IFERROR(__xludf.DUMMYFUNCTION("""COMPUTED_VALUE"""),"GV")</f>
        <v>GV</v>
      </c>
      <c r="M26" s="16" t="str">
        <f>IFERROR(__xludf.DUMMYFUNCTION("""COMPUTED_VALUE"""),"short")</f>
        <v>short</v>
      </c>
      <c r="N26" s="18">
        <f>IFERROR(__xludf.DUMMYFUNCTION("""COMPUTED_VALUE"""),45019.0)</f>
        <v>45019</v>
      </c>
      <c r="O26" s="18">
        <f>IFERROR(__xludf.DUMMYFUNCTION("""COMPUTED_VALUE"""),45172.0)</f>
        <v>45172</v>
      </c>
      <c r="P26" s="18">
        <f>IFERROR(__xludf.DUMMYFUNCTION("""COMPUTED_VALUE"""),45214.0)</f>
        <v>45214</v>
      </c>
      <c r="Q26" s="18"/>
      <c r="R26" s="18"/>
      <c r="S26" s="16"/>
      <c r="T26" s="16"/>
      <c r="U26" s="16" t="str">
        <f>IFERROR(__xludf.DUMMYFUNCTION("""COMPUTED_VALUE"""),"Global Classroom")</f>
        <v>Global Classroom</v>
      </c>
      <c r="V26" s="16" t="str">
        <f>IFERROR(__xludf.DUMMYFUNCTION("""COMPUTED_VALUE"""),"Sherouk Academy")</f>
        <v>Sherouk Academy</v>
      </c>
      <c r="W26" s="16" t="str">
        <f>IFERROR(__xludf.DUMMYFUNCTION("""COMPUTED_VALUE"""),"2023-03-22T11:54:23Z")</f>
        <v>2023-03-22T11:54:23Z</v>
      </c>
      <c r="X26" s="16"/>
      <c r="Y26" s="16"/>
      <c r="Z26" s="16"/>
    </row>
    <row r="27">
      <c r="A27" s="16" t="str">
        <f>IFERROR(__xludf.DUMMYFUNCTION("""COMPUTED_VALUE"""),"5220529_1286920")</f>
        <v>5220529_1286920</v>
      </c>
      <c r="B27" s="16" t="str">
        <f>IFERROR(__xludf.DUMMYFUNCTION("""COMPUTED_VALUE"""),"Fatma Jied")</f>
        <v>Fatma Jied</v>
      </c>
      <c r="C27" s="16" t="str">
        <f>IFERROR(__xludf.DUMMYFUNCTION("""COMPUTED_VALUE"""),"approved")</f>
        <v>approved</v>
      </c>
      <c r="D27" s="16" t="str">
        <f>IFERROR(__xludf.DUMMYFUNCTION("""COMPUTED_VALUE"""),"No")</f>
        <v>No</v>
      </c>
      <c r="E27" s="16" t="str">
        <f>IFERROR(__xludf.DUMMYFUNCTION("""COMPUTED_VALUE"""),"p_9e3e2b88f39245de70b312c5c5e9c52e74d3adbb@inbound.aiesec.org")</f>
        <v>p_9e3e2b88f39245de70b312c5c5e9c52e74d3adbb@inbound.aiesec.org</v>
      </c>
      <c r="F27" s="16">
        <f>IFERROR(__xludf.DUMMYFUNCTION("""COMPUTED_VALUE"""),4.6215234E7)</f>
        <v>46215234</v>
      </c>
      <c r="G27" s="16" t="str">
        <f>IFERROR(__xludf.DUMMYFUNCTION("""COMPUTED_VALUE"""),"Tunisia")</f>
        <v>Tunisia</v>
      </c>
      <c r="H27" s="16" t="str">
        <f>IFERROR(__xludf.DUMMYFUNCTION("""COMPUTED_VALUE"""),"NABEL")</f>
        <v>NABEL</v>
      </c>
      <c r="I27" s="16" t="str">
        <f>IFERROR(__xludf.DUMMYFUNCTION("""COMPUTED_VALUE"""),"Turkey")</f>
        <v>Turkey</v>
      </c>
      <c r="J27" s="16" t="str">
        <f>IFERROR(__xludf.DUMMYFUNCTION("""COMPUTED_VALUE"""),"DENIZLI")</f>
        <v>DENIZLI</v>
      </c>
      <c r="K27" s="17" t="str">
        <f>IFERROR(__xludf.DUMMYFUNCTION("""COMPUTED_VALUE"""),"https://expa.aiesec.org/opportunities/1286920")</f>
        <v>https://expa.aiesec.org/opportunities/1286920</v>
      </c>
      <c r="L27" s="16" t="str">
        <f>IFERROR(__xludf.DUMMYFUNCTION("""COMPUTED_VALUE"""),"GV")</f>
        <v>GV</v>
      </c>
      <c r="M27" s="16" t="str">
        <f>IFERROR(__xludf.DUMMYFUNCTION("""COMPUTED_VALUE"""),"short")</f>
        <v>short</v>
      </c>
      <c r="N27" s="18">
        <f>IFERROR(__xludf.DUMMYFUNCTION("""COMPUTED_VALUE"""),45022.0)</f>
        <v>45022</v>
      </c>
      <c r="O27" s="18">
        <f>IFERROR(__xludf.DUMMYFUNCTION("""COMPUTED_VALUE"""),45159.0)</f>
        <v>45159</v>
      </c>
      <c r="P27" s="18">
        <f>IFERROR(__xludf.DUMMYFUNCTION("""COMPUTED_VALUE"""),45201.0)</f>
        <v>45201</v>
      </c>
      <c r="Q27" s="18"/>
      <c r="R27" s="18"/>
      <c r="S27" s="16"/>
      <c r="T27" s="16"/>
      <c r="U27" s="16" t="str">
        <f>IFERROR(__xludf.DUMMYFUNCTION("""COMPUTED_VALUE"""),"Global Classroom")</f>
        <v>Global Classroom</v>
      </c>
      <c r="V27" s="16" t="str">
        <f>IFERROR(__xludf.DUMMYFUNCTION("""COMPUTED_VALUE"""),"ISLN")</f>
        <v>ISLN</v>
      </c>
      <c r="W27" s="16" t="str">
        <f>IFERROR(__xludf.DUMMYFUNCTION("""COMPUTED_VALUE"""),"2023-03-18T18:33:23Z")</f>
        <v>2023-03-18T18:33:23Z</v>
      </c>
      <c r="X27" s="16"/>
      <c r="Y27" s="16"/>
      <c r="Z27" s="16"/>
    </row>
    <row r="28">
      <c r="A28" s="16" t="str">
        <f>IFERROR(__xludf.DUMMYFUNCTION("""COMPUTED_VALUE"""),"5234131_1286326")</f>
        <v>5234131_1286326</v>
      </c>
      <c r="B28" s="16" t="str">
        <f>IFERROR(__xludf.DUMMYFUNCTION("""COMPUTED_VALUE"""),"Fidan Babayeva")</f>
        <v>Fidan Babayeva</v>
      </c>
      <c r="C28" s="16" t="str">
        <f>IFERROR(__xludf.DUMMYFUNCTION("""COMPUTED_VALUE"""),"approved")</f>
        <v>approved</v>
      </c>
      <c r="D28" s="16" t="str">
        <f>IFERROR(__xludf.DUMMYFUNCTION("""COMPUTED_VALUE"""),"No")</f>
        <v>No</v>
      </c>
      <c r="E28" s="16" t="str">
        <f>IFERROR(__xludf.DUMMYFUNCTION("""COMPUTED_VALUE"""),"p_92f86cea76127c896e1f9d3e718b5a2c851b7103@inbound.aiesec.org")</f>
        <v>p_92f86cea76127c896e1f9d3e718b5a2c851b7103@inbound.aiesec.org</v>
      </c>
      <c r="F28" s="16">
        <f>IFERROR(__xludf.DUMMYFUNCTION("""COMPUTED_VALUE"""),7.73007087E8)</f>
        <v>773007087</v>
      </c>
      <c r="G28" s="16" t="str">
        <f>IFERROR(__xludf.DUMMYFUNCTION("""COMPUTED_VALUE"""),"Azerbaijan")</f>
        <v>Azerbaijan</v>
      </c>
      <c r="H28" s="16" t="str">
        <f>IFERROR(__xludf.DUMMYFUNCTION("""COMPUTED_VALUE"""),"Baku ADA")</f>
        <v>Baku ADA</v>
      </c>
      <c r="I28" s="16" t="str">
        <f>IFERROR(__xludf.DUMMYFUNCTION("""COMPUTED_VALUE"""),"Turkey")</f>
        <v>Turkey</v>
      </c>
      <c r="J28" s="16" t="str">
        <f>IFERROR(__xludf.DUMMYFUNCTION("""COMPUTED_VALUE"""),"ADANA")</f>
        <v>ADANA</v>
      </c>
      <c r="K28" s="17" t="str">
        <f>IFERROR(__xludf.DUMMYFUNCTION("""COMPUTED_VALUE"""),"https://expa.aiesec.org/opportunities/1286326")</f>
        <v>https://expa.aiesec.org/opportunities/1286326</v>
      </c>
      <c r="L28" s="16" t="str">
        <f>IFERROR(__xludf.DUMMYFUNCTION("""COMPUTED_VALUE"""),"GV")</f>
        <v>GV</v>
      </c>
      <c r="M28" s="16" t="str">
        <f>IFERROR(__xludf.DUMMYFUNCTION("""COMPUTED_VALUE"""),"short")</f>
        <v>short</v>
      </c>
      <c r="N28" s="18">
        <f>IFERROR(__xludf.DUMMYFUNCTION("""COMPUTED_VALUE"""),45022.0)</f>
        <v>45022</v>
      </c>
      <c r="O28" s="18">
        <f>IFERROR(__xludf.DUMMYFUNCTION("""COMPUTED_VALUE"""),45145.0)</f>
        <v>45145</v>
      </c>
      <c r="P28" s="18">
        <f>IFERROR(__xludf.DUMMYFUNCTION("""COMPUTED_VALUE"""),45191.0)</f>
        <v>45191</v>
      </c>
      <c r="Q28" s="18"/>
      <c r="R28" s="18"/>
      <c r="S28" s="16"/>
      <c r="T28" s="16"/>
      <c r="U28" s="16" t="str">
        <f>IFERROR(__xludf.DUMMYFUNCTION("""COMPUTED_VALUE"""),"Equify")</f>
        <v>Equify</v>
      </c>
      <c r="V28" s="16" t="str">
        <f>IFERROR(__xludf.DUMMYFUNCTION("""COMPUTED_VALUE"""),"Azerbaijan State Pedagogical University")</f>
        <v>Azerbaijan State Pedagogical University</v>
      </c>
      <c r="W28" s="16" t="str">
        <f>IFERROR(__xludf.DUMMYFUNCTION("""COMPUTED_VALUE"""),"2023-04-03T15:53:47Z")</f>
        <v>2023-04-03T15:53:47Z</v>
      </c>
      <c r="X28" s="16"/>
      <c r="Y28" s="16"/>
      <c r="Z28" s="16"/>
    </row>
    <row r="29">
      <c r="A29" s="16" t="str">
        <f>IFERROR(__xludf.DUMMYFUNCTION("""COMPUTED_VALUE"""),"4988053_1288663")</f>
        <v>4988053_1288663</v>
      </c>
      <c r="B29" s="16" t="str">
        <f>IFERROR(__xludf.DUMMYFUNCTION("""COMPUTED_VALUE"""),"Ahsan Waseem Hanif")</f>
        <v>Ahsan Waseem Hanif</v>
      </c>
      <c r="C29" s="16" t="str">
        <f>IFERROR(__xludf.DUMMYFUNCTION("""COMPUTED_VALUE"""),"approved")</f>
        <v>approved</v>
      </c>
      <c r="D29" s="16" t="str">
        <f>IFERROR(__xludf.DUMMYFUNCTION("""COMPUTED_VALUE"""),"No")</f>
        <v>No</v>
      </c>
      <c r="E29" s="16" t="str">
        <f>IFERROR(__xludf.DUMMYFUNCTION("""COMPUTED_VALUE"""),"p_9841ea0c5aee084d69c16a410fb8f21805bfb001@inbound.aiesec.org")</f>
        <v>p_9841ea0c5aee084d69c16a410fb8f21805bfb001@inbound.aiesec.org</v>
      </c>
      <c r="F29" s="16">
        <f>IFERROR(__xludf.DUMMYFUNCTION("""COMPUTED_VALUE"""),3.03301117E9)</f>
        <v>3033011170</v>
      </c>
      <c r="G29" s="16" t="str">
        <f>IFERROR(__xludf.DUMMYFUNCTION("""COMPUTED_VALUE"""),"Pakistan")</f>
        <v>Pakistan</v>
      </c>
      <c r="H29" s="16" t="str">
        <f>IFERROR(__xludf.DUMMYFUNCTION("""COMPUTED_VALUE"""),"IBA")</f>
        <v>IBA</v>
      </c>
      <c r="I29" s="16" t="str">
        <f>IFERROR(__xludf.DUMMYFUNCTION("""COMPUTED_VALUE"""),"Turkey")</f>
        <v>Turkey</v>
      </c>
      <c r="J29" s="16" t="str">
        <f>IFERROR(__xludf.DUMMYFUNCTION("""COMPUTED_VALUE"""),"İZMİR")</f>
        <v>İZMİR</v>
      </c>
      <c r="K29" s="17" t="str">
        <f>IFERROR(__xludf.DUMMYFUNCTION("""COMPUTED_VALUE"""),"https://expa.aiesec.org/opportunities/1288663")</f>
        <v>https://expa.aiesec.org/opportunities/1288663</v>
      </c>
      <c r="L29" s="16" t="str">
        <f>IFERROR(__xludf.DUMMYFUNCTION("""COMPUTED_VALUE"""),"GV")</f>
        <v>GV</v>
      </c>
      <c r="M29" s="16" t="str">
        <f>IFERROR(__xludf.DUMMYFUNCTION("""COMPUTED_VALUE"""),"short")</f>
        <v>short</v>
      </c>
      <c r="N29" s="18">
        <f>IFERROR(__xludf.DUMMYFUNCTION("""COMPUTED_VALUE"""),45022.0)</f>
        <v>45022</v>
      </c>
      <c r="O29" s="18">
        <f>IFERROR(__xludf.DUMMYFUNCTION("""COMPUTED_VALUE"""),45123.0)</f>
        <v>45123</v>
      </c>
      <c r="P29" s="18">
        <f>IFERROR(__xludf.DUMMYFUNCTION("""COMPUTED_VALUE"""),45165.0)</f>
        <v>45165</v>
      </c>
      <c r="Q29" s="18"/>
      <c r="R29" s="18"/>
      <c r="S29" s="16"/>
      <c r="T29" s="16"/>
      <c r="U29" s="16" t="str">
        <f>IFERROR(__xludf.DUMMYFUNCTION("""COMPUTED_VALUE"""),"Global Classroom")</f>
        <v>Global Classroom</v>
      </c>
      <c r="V29" s="16" t="str">
        <f>IFERROR(__xludf.DUMMYFUNCTION("""COMPUTED_VALUE"""),"Karachi - IBA")</f>
        <v>Karachi - IBA</v>
      </c>
      <c r="W29" s="16" t="str">
        <f>IFERROR(__xludf.DUMMYFUNCTION("""COMPUTED_VALUE"""),"2022-03-16T19:34:08Z")</f>
        <v>2022-03-16T19:34:08Z</v>
      </c>
      <c r="X29" s="16"/>
      <c r="Y29" s="16"/>
      <c r="Z29" s="16"/>
    </row>
    <row r="30">
      <c r="A30" s="16" t="str">
        <f>IFERROR(__xludf.DUMMYFUNCTION("""COMPUTED_VALUE"""),"5230263_1283483")</f>
        <v>5230263_1283483</v>
      </c>
      <c r="B30" s="16" t="str">
        <f>IFERROR(__xludf.DUMMYFUNCTION("""COMPUTED_VALUE"""),"Mina Matta Dawood")</f>
        <v>Mina Matta Dawood</v>
      </c>
      <c r="C30" s="16" t="str">
        <f>IFERROR(__xludf.DUMMYFUNCTION("""COMPUTED_VALUE"""),"approved")</f>
        <v>approved</v>
      </c>
      <c r="D30" s="16" t="str">
        <f>IFERROR(__xludf.DUMMYFUNCTION("""COMPUTED_VALUE"""),"No")</f>
        <v>No</v>
      </c>
      <c r="E30" s="16" t="str">
        <f>IFERROR(__xludf.DUMMYFUNCTION("""COMPUTED_VALUE"""),"p_cebd4168026cf0852260206a0fa8f2265cd2176a@inbound.aiesec.org")</f>
        <v>p_cebd4168026cf0852260206a0fa8f2265cd2176a@inbound.aiesec.org</v>
      </c>
      <c r="F30" s="16">
        <f>IFERROR(__xludf.DUMMYFUNCTION("""COMPUTED_VALUE"""),1.090751253E9)</f>
        <v>1090751253</v>
      </c>
      <c r="G30" s="16" t="str">
        <f>IFERROR(__xludf.DUMMYFUNCTION("""COMPUTED_VALUE"""),"Egypt")</f>
        <v>Egypt</v>
      </c>
      <c r="H30" s="16" t="str">
        <f>IFERROR(__xludf.DUMMYFUNCTION("""COMPUTED_VALUE"""),"MUST")</f>
        <v>MUST</v>
      </c>
      <c r="I30" s="16" t="str">
        <f>IFERROR(__xludf.DUMMYFUNCTION("""COMPUTED_VALUE"""),"Turkey")</f>
        <v>Turkey</v>
      </c>
      <c r="J30" s="16" t="str">
        <f>IFERROR(__xludf.DUMMYFUNCTION("""COMPUTED_VALUE"""),"KONYA")</f>
        <v>KONYA</v>
      </c>
      <c r="K30" s="17" t="str">
        <f>IFERROR(__xludf.DUMMYFUNCTION("""COMPUTED_VALUE"""),"https://expa.aiesec.org/opportunities/1283483")</f>
        <v>https://expa.aiesec.org/opportunities/1283483</v>
      </c>
      <c r="L30" s="16" t="str">
        <f>IFERROR(__xludf.DUMMYFUNCTION("""COMPUTED_VALUE"""),"GV")</f>
        <v>GV</v>
      </c>
      <c r="M30" s="16" t="str">
        <f>IFERROR(__xludf.DUMMYFUNCTION("""COMPUTED_VALUE"""),"short")</f>
        <v>short</v>
      </c>
      <c r="N30" s="18">
        <f>IFERROR(__xludf.DUMMYFUNCTION("""COMPUTED_VALUE"""),45023.0)</f>
        <v>45023</v>
      </c>
      <c r="O30" s="18">
        <f>IFERROR(__xludf.DUMMYFUNCTION("""COMPUTED_VALUE"""),45145.0)</f>
        <v>45145</v>
      </c>
      <c r="P30" s="18">
        <f>IFERROR(__xludf.DUMMYFUNCTION("""COMPUTED_VALUE"""),45187.0)</f>
        <v>45187</v>
      </c>
      <c r="Q30" s="18"/>
      <c r="R30" s="18"/>
      <c r="S30" s="16"/>
      <c r="T30" s="16"/>
      <c r="U30" s="16" t="str">
        <f>IFERROR(__xludf.DUMMYFUNCTION("""COMPUTED_VALUE"""),"Global Classroom")</f>
        <v>Global Classroom</v>
      </c>
      <c r="V30" s="16" t="str">
        <f>IFERROR(__xludf.DUMMYFUNCTION("""COMPUTED_VALUE"""),"MUST University")</f>
        <v>MUST University</v>
      </c>
      <c r="W30" s="16" t="str">
        <f>IFERROR(__xludf.DUMMYFUNCTION("""COMPUTED_VALUE"""),"2023-03-29T16:31:14Z")</f>
        <v>2023-03-29T16:31:14Z</v>
      </c>
      <c r="X30" s="16"/>
      <c r="Y30" s="16"/>
      <c r="Z30" s="16"/>
    </row>
    <row r="31">
      <c r="A31" s="16" t="str">
        <f>IFERROR(__xludf.DUMMYFUNCTION("""COMPUTED_VALUE"""),"5233933_1291929")</f>
        <v>5233933_1291929</v>
      </c>
      <c r="B31" s="16" t="str">
        <f>IFERROR(__xludf.DUMMYFUNCTION("""COMPUTED_VALUE"""),"Narmin Bahramova")</f>
        <v>Narmin Bahramova</v>
      </c>
      <c r="C31" s="16" t="str">
        <f>IFERROR(__xludf.DUMMYFUNCTION("""COMPUTED_VALUE"""),"approved")</f>
        <v>approved</v>
      </c>
      <c r="D31" s="16" t="str">
        <f>IFERROR(__xludf.DUMMYFUNCTION("""COMPUTED_VALUE"""),"No")</f>
        <v>No</v>
      </c>
      <c r="E31" s="16" t="str">
        <f>IFERROR(__xludf.DUMMYFUNCTION("""COMPUTED_VALUE"""),"p_dad9b85f1b0fe9d8935607c61861063ad6f3065c@inbound.aiesec.org")</f>
        <v>p_dad9b85f1b0fe9d8935607c61861063ad6f3065c@inbound.aiesec.org</v>
      </c>
      <c r="F31" s="16"/>
      <c r="G31" s="16" t="str">
        <f>IFERROR(__xludf.DUMMYFUNCTION("""COMPUTED_VALUE"""),"Azerbaijan")</f>
        <v>Azerbaijan</v>
      </c>
      <c r="H31" s="16" t="str">
        <f>IFERROR(__xludf.DUMMYFUNCTION("""COMPUTED_VALUE"""),"Baku Synergy")</f>
        <v>Baku Synergy</v>
      </c>
      <c r="I31" s="16" t="str">
        <f>IFERROR(__xludf.DUMMYFUNCTION("""COMPUTED_VALUE"""),"Turkey")</f>
        <v>Turkey</v>
      </c>
      <c r="J31" s="16" t="str">
        <f>IFERROR(__xludf.DUMMYFUNCTION("""COMPUTED_VALUE"""),"TRABZON")</f>
        <v>TRABZON</v>
      </c>
      <c r="K31" s="17" t="str">
        <f>IFERROR(__xludf.DUMMYFUNCTION("""COMPUTED_VALUE"""),"https://expa.aiesec.org/opportunities/1291929")</f>
        <v>https://expa.aiesec.org/opportunities/1291929</v>
      </c>
      <c r="L31" s="16" t="str">
        <f>IFERROR(__xludf.DUMMYFUNCTION("""COMPUTED_VALUE"""),"GV")</f>
        <v>GV</v>
      </c>
      <c r="M31" s="16" t="str">
        <f>IFERROR(__xludf.DUMMYFUNCTION("""COMPUTED_VALUE"""),"short")</f>
        <v>short</v>
      </c>
      <c r="N31" s="18">
        <f>IFERROR(__xludf.DUMMYFUNCTION("""COMPUTED_VALUE"""),45025.0)</f>
        <v>45025</v>
      </c>
      <c r="O31" s="18">
        <f>IFERROR(__xludf.DUMMYFUNCTION("""COMPUTED_VALUE"""),45128.0)</f>
        <v>45128</v>
      </c>
      <c r="P31" s="18">
        <f>IFERROR(__xludf.DUMMYFUNCTION("""COMPUTED_VALUE"""),45170.0)</f>
        <v>45170</v>
      </c>
      <c r="Q31" s="18"/>
      <c r="R31" s="18"/>
      <c r="S31" s="16"/>
      <c r="T31" s="16"/>
      <c r="U31" s="16" t="str">
        <f>IFERROR(__xludf.DUMMYFUNCTION("""COMPUTED_VALUE"""),"Global Classroom")</f>
        <v>Global Classroom</v>
      </c>
      <c r="V31" s="16" t="str">
        <f>IFERROR(__xludf.DUMMYFUNCTION("""COMPUTED_VALUE"""),"-")</f>
        <v>-</v>
      </c>
      <c r="W31" s="16" t="str">
        <f>IFERROR(__xludf.DUMMYFUNCTION("""COMPUTED_VALUE"""),"2023-04-03T11:32:26Z")</f>
        <v>2023-04-03T11:32:26Z</v>
      </c>
      <c r="X31" s="16"/>
      <c r="Y31" s="16"/>
      <c r="Z31" s="16"/>
    </row>
    <row r="32">
      <c r="A32" s="16" t="str">
        <f>IFERROR(__xludf.DUMMYFUNCTION("""COMPUTED_VALUE"""),"5184743_1291929")</f>
        <v>5184743_1291929</v>
      </c>
      <c r="B32" s="16" t="str">
        <f>IFERROR(__xludf.DUMMYFUNCTION("""COMPUTED_VALUE"""),"Dinara Garayeva")</f>
        <v>Dinara Garayeva</v>
      </c>
      <c r="C32" s="16" t="str">
        <f>IFERROR(__xludf.DUMMYFUNCTION("""COMPUTED_VALUE"""),"approved")</f>
        <v>approved</v>
      </c>
      <c r="D32" s="16" t="str">
        <f>IFERROR(__xludf.DUMMYFUNCTION("""COMPUTED_VALUE"""),"No")</f>
        <v>No</v>
      </c>
      <c r="E32" s="16" t="str">
        <f>IFERROR(__xludf.DUMMYFUNCTION("""COMPUTED_VALUE"""),"p_cfc84658cb7a543deb94b9d4a8e969c3d17d2536@inbound.aiesec.org")</f>
        <v>p_cfc84658cb7a543deb94b9d4a8e969c3d17d2536@inbound.aiesec.org</v>
      </c>
      <c r="F32" s="16"/>
      <c r="G32" s="16" t="str">
        <f>IFERROR(__xludf.DUMMYFUNCTION("""COMPUTED_VALUE"""),"Azerbaijan")</f>
        <v>Azerbaijan</v>
      </c>
      <c r="H32" s="16" t="str">
        <f>IFERROR(__xludf.DUMMYFUNCTION("""COMPUTED_VALUE"""),"Baku Synergy")</f>
        <v>Baku Synergy</v>
      </c>
      <c r="I32" s="16" t="str">
        <f>IFERROR(__xludf.DUMMYFUNCTION("""COMPUTED_VALUE"""),"Turkey")</f>
        <v>Turkey</v>
      </c>
      <c r="J32" s="16" t="str">
        <f>IFERROR(__xludf.DUMMYFUNCTION("""COMPUTED_VALUE"""),"TRABZON")</f>
        <v>TRABZON</v>
      </c>
      <c r="K32" s="17" t="str">
        <f>IFERROR(__xludf.DUMMYFUNCTION("""COMPUTED_VALUE"""),"https://expa.aiesec.org/opportunities/1291929")</f>
        <v>https://expa.aiesec.org/opportunities/1291929</v>
      </c>
      <c r="L32" s="16" t="str">
        <f>IFERROR(__xludf.DUMMYFUNCTION("""COMPUTED_VALUE"""),"GV")</f>
        <v>GV</v>
      </c>
      <c r="M32" s="16" t="str">
        <f>IFERROR(__xludf.DUMMYFUNCTION("""COMPUTED_VALUE"""),"short")</f>
        <v>short</v>
      </c>
      <c r="N32" s="18">
        <f>IFERROR(__xludf.DUMMYFUNCTION("""COMPUTED_VALUE"""),45025.0)</f>
        <v>45025</v>
      </c>
      <c r="O32" s="18">
        <f>IFERROR(__xludf.DUMMYFUNCTION("""COMPUTED_VALUE"""),45128.0)</f>
        <v>45128</v>
      </c>
      <c r="P32" s="18">
        <f>IFERROR(__xludf.DUMMYFUNCTION("""COMPUTED_VALUE"""),45170.0)</f>
        <v>45170</v>
      </c>
      <c r="Q32" s="18"/>
      <c r="R32" s="18"/>
      <c r="S32" s="16"/>
      <c r="T32" s="16"/>
      <c r="U32" s="16" t="str">
        <f>IFERROR(__xludf.DUMMYFUNCTION("""COMPUTED_VALUE"""),"Global Classroom")</f>
        <v>Global Classroom</v>
      </c>
      <c r="V32" s="16" t="str">
        <f>IFERROR(__xludf.DUMMYFUNCTION("""COMPUTED_VALUE"""),"-")</f>
        <v>-</v>
      </c>
      <c r="W32" s="16" t="str">
        <f>IFERROR(__xludf.DUMMYFUNCTION("""COMPUTED_VALUE"""),"2023-02-03T09:51:57Z")</f>
        <v>2023-02-03T09:51:57Z</v>
      </c>
      <c r="X32" s="16"/>
      <c r="Y32" s="16"/>
      <c r="Z32" s="16"/>
    </row>
    <row r="33">
      <c r="A33" s="16" t="str">
        <f>IFERROR(__xludf.DUMMYFUNCTION("""COMPUTED_VALUE"""),"5237236_1294066")</f>
        <v>5237236_1294066</v>
      </c>
      <c r="B33" s="16" t="str">
        <f>IFERROR(__xludf.DUMMYFUNCTION("""COMPUTED_VALUE"""),"MARWA ESSALMI")</f>
        <v>MARWA ESSALMI</v>
      </c>
      <c r="C33" s="16" t="str">
        <f>IFERROR(__xludf.DUMMYFUNCTION("""COMPUTED_VALUE"""),"approved")</f>
        <v>approved</v>
      </c>
      <c r="D33" s="16" t="str">
        <f>IFERROR(__xludf.DUMMYFUNCTION("""COMPUTED_VALUE"""),"No")</f>
        <v>No</v>
      </c>
      <c r="E33" s="16" t="str">
        <f>IFERROR(__xludf.DUMMYFUNCTION("""COMPUTED_VALUE"""),"p_f321beefcf8bd44c6ea040b9df37c31b9fc67319@inbound.aiesec.org")</f>
        <v>p_f321beefcf8bd44c6ea040b9df37c31b9fc67319@inbound.aiesec.org</v>
      </c>
      <c r="F33" s="16">
        <f>IFERROR(__xludf.DUMMYFUNCTION("""COMPUTED_VALUE"""),7.009765E8)</f>
        <v>700976500</v>
      </c>
      <c r="G33" s="16" t="str">
        <f>IFERROR(__xludf.DUMMYFUNCTION("""COMPUTED_VALUE"""),"Morocco")</f>
        <v>Morocco</v>
      </c>
      <c r="H33" s="16" t="str">
        <f>IFERROR(__xludf.DUMMYFUNCTION("""COMPUTED_VALUE"""),"Tangier")</f>
        <v>Tangier</v>
      </c>
      <c r="I33" s="16" t="str">
        <f>IFERROR(__xludf.DUMMYFUNCTION("""COMPUTED_VALUE"""),"Turkey")</f>
        <v>Turkey</v>
      </c>
      <c r="J33" s="16" t="str">
        <f>IFERROR(__xludf.DUMMYFUNCTION("""COMPUTED_VALUE"""),"ISTANBUL WEST")</f>
        <v>ISTANBUL WEST</v>
      </c>
      <c r="K33" s="17" t="str">
        <f>IFERROR(__xludf.DUMMYFUNCTION("""COMPUTED_VALUE"""),"https://expa.aiesec.org/opportunities/1294066")</f>
        <v>https://expa.aiesec.org/opportunities/1294066</v>
      </c>
      <c r="L33" s="16" t="str">
        <f>IFERROR(__xludf.DUMMYFUNCTION("""COMPUTED_VALUE"""),"GV")</f>
        <v>GV</v>
      </c>
      <c r="M33" s="16" t="str">
        <f>IFERROR(__xludf.DUMMYFUNCTION("""COMPUTED_VALUE"""),"short")</f>
        <v>short</v>
      </c>
      <c r="N33" s="18">
        <f>IFERROR(__xludf.DUMMYFUNCTION("""COMPUTED_VALUE"""),45026.0)</f>
        <v>45026</v>
      </c>
      <c r="O33" s="18">
        <f>IFERROR(__xludf.DUMMYFUNCTION("""COMPUTED_VALUE"""),45131.0)</f>
        <v>45131</v>
      </c>
      <c r="P33" s="18">
        <f>IFERROR(__xludf.DUMMYFUNCTION("""COMPUTED_VALUE"""),45173.0)</f>
        <v>45173</v>
      </c>
      <c r="Q33" s="18"/>
      <c r="R33" s="18"/>
      <c r="S33" s="16"/>
      <c r="T33" s="16"/>
      <c r="U33" s="16" t="str">
        <f>IFERROR(__xludf.DUMMYFUNCTION("""COMPUTED_VALUE"""),"Fingerprint")</f>
        <v>Fingerprint</v>
      </c>
      <c r="V33" s="16" t="str">
        <f>IFERROR(__xludf.DUMMYFUNCTION("""COMPUTED_VALUE"""),"INAS Tanger")</f>
        <v>INAS Tanger</v>
      </c>
      <c r="W33" s="16" t="str">
        <f>IFERROR(__xludf.DUMMYFUNCTION("""COMPUTED_VALUE"""),"2023-04-07T18:29:28Z")</f>
        <v>2023-04-07T18:29:28Z</v>
      </c>
      <c r="X33" s="16"/>
      <c r="Y33" s="16"/>
      <c r="Z33" s="16"/>
    </row>
    <row r="34">
      <c r="A34" s="16" t="str">
        <f>IFERROR(__xludf.DUMMYFUNCTION("""COMPUTED_VALUE"""),"5197395_1294066")</f>
        <v>5197395_1294066</v>
      </c>
      <c r="B34" s="16" t="str">
        <f>IFERROR(__xludf.DUMMYFUNCTION("""COMPUTED_VALUE"""),"Salma Elmane")</f>
        <v>Salma Elmane</v>
      </c>
      <c r="C34" s="16" t="str">
        <f>IFERROR(__xludf.DUMMYFUNCTION("""COMPUTED_VALUE"""),"approved")</f>
        <v>approved</v>
      </c>
      <c r="D34" s="16" t="str">
        <f>IFERROR(__xludf.DUMMYFUNCTION("""COMPUTED_VALUE"""),"No")</f>
        <v>No</v>
      </c>
      <c r="E34" s="16" t="str">
        <f>IFERROR(__xludf.DUMMYFUNCTION("""COMPUTED_VALUE"""),"p_4db4f0cfb3ba24244412440bf83357320d6398d0@inbound.aiesec.org")</f>
        <v>p_4db4f0cfb3ba24244412440bf83357320d6398d0@inbound.aiesec.org</v>
      </c>
      <c r="F34" s="16">
        <f>IFERROR(__xludf.DUMMYFUNCTION("""COMPUTED_VALUE"""),6.22477743E8)</f>
        <v>622477743</v>
      </c>
      <c r="G34" s="16" t="str">
        <f>IFERROR(__xludf.DUMMYFUNCTION("""COMPUTED_VALUE"""),"Morocco")</f>
        <v>Morocco</v>
      </c>
      <c r="H34" s="16" t="str">
        <f>IFERROR(__xludf.DUMMYFUNCTION("""COMPUTED_VALUE"""),"Tangier")</f>
        <v>Tangier</v>
      </c>
      <c r="I34" s="16" t="str">
        <f>IFERROR(__xludf.DUMMYFUNCTION("""COMPUTED_VALUE"""),"Turkey")</f>
        <v>Turkey</v>
      </c>
      <c r="J34" s="16" t="str">
        <f>IFERROR(__xludf.DUMMYFUNCTION("""COMPUTED_VALUE"""),"ISTANBUL WEST")</f>
        <v>ISTANBUL WEST</v>
      </c>
      <c r="K34" s="17" t="str">
        <f>IFERROR(__xludf.DUMMYFUNCTION("""COMPUTED_VALUE"""),"https://expa.aiesec.org/opportunities/1294066")</f>
        <v>https://expa.aiesec.org/opportunities/1294066</v>
      </c>
      <c r="L34" s="16" t="str">
        <f>IFERROR(__xludf.DUMMYFUNCTION("""COMPUTED_VALUE"""),"GV")</f>
        <v>GV</v>
      </c>
      <c r="M34" s="16" t="str">
        <f>IFERROR(__xludf.DUMMYFUNCTION("""COMPUTED_VALUE"""),"short")</f>
        <v>short</v>
      </c>
      <c r="N34" s="18">
        <f>IFERROR(__xludf.DUMMYFUNCTION("""COMPUTED_VALUE"""),45026.0)</f>
        <v>45026</v>
      </c>
      <c r="O34" s="18">
        <f>IFERROR(__xludf.DUMMYFUNCTION("""COMPUTED_VALUE"""),45131.0)</f>
        <v>45131</v>
      </c>
      <c r="P34" s="18">
        <f>IFERROR(__xludf.DUMMYFUNCTION("""COMPUTED_VALUE"""),45173.0)</f>
        <v>45173</v>
      </c>
      <c r="Q34" s="18"/>
      <c r="R34" s="18"/>
      <c r="S34" s="16"/>
      <c r="T34" s="16"/>
      <c r="U34" s="16" t="str">
        <f>IFERROR(__xludf.DUMMYFUNCTION("""COMPUTED_VALUE"""),"Fingerprint")</f>
        <v>Fingerprint</v>
      </c>
      <c r="V34" s="16" t="str">
        <f>IFERROR(__xludf.DUMMYFUNCTION("""COMPUTED_VALUE"""),"INAS Tanger")</f>
        <v>INAS Tanger</v>
      </c>
      <c r="W34" s="16" t="str">
        <f>IFERROR(__xludf.DUMMYFUNCTION("""COMPUTED_VALUE"""),"2023-02-23T11:21:31Z")</f>
        <v>2023-02-23T11:21:31Z</v>
      </c>
      <c r="X34" s="16"/>
      <c r="Y34" s="16"/>
      <c r="Z34" s="16"/>
    </row>
    <row r="35">
      <c r="A35" s="16" t="str">
        <f>IFERROR(__xludf.DUMMYFUNCTION("""COMPUTED_VALUE"""),"5240794_1272564")</f>
        <v>5240794_1272564</v>
      </c>
      <c r="B35" s="16" t="str">
        <f>IFERROR(__xludf.DUMMYFUNCTION("""COMPUTED_VALUE"""),"Imane Bakkar")</f>
        <v>Imane Bakkar</v>
      </c>
      <c r="C35" s="16" t="str">
        <f>IFERROR(__xludf.DUMMYFUNCTION("""COMPUTED_VALUE"""),"approved")</f>
        <v>approved</v>
      </c>
      <c r="D35" s="16" t="str">
        <f>IFERROR(__xludf.DUMMYFUNCTION("""COMPUTED_VALUE"""),"No")</f>
        <v>No</v>
      </c>
      <c r="E35" s="16" t="str">
        <f>IFERROR(__xludf.DUMMYFUNCTION("""COMPUTED_VALUE"""),"p_a6b5f2520d8bf5a0267f603fc7008c86806b023c@inbound.aiesec.org")</f>
        <v>p_a6b5f2520d8bf5a0267f603fc7008c86806b023c@inbound.aiesec.org</v>
      </c>
      <c r="F35" s="16">
        <f>IFERROR(__xludf.DUMMYFUNCTION("""COMPUTED_VALUE"""),7.08990518E8)</f>
        <v>708990518</v>
      </c>
      <c r="G35" s="16" t="str">
        <f>IFERROR(__xludf.DUMMYFUNCTION("""COMPUTED_VALUE"""),"Morocco")</f>
        <v>Morocco</v>
      </c>
      <c r="H35" s="16" t="str">
        <f>IFERROR(__xludf.DUMMYFUNCTION("""COMPUTED_VALUE"""),"Casablanca")</f>
        <v>Casablanca</v>
      </c>
      <c r="I35" s="16" t="str">
        <f>IFERROR(__xludf.DUMMYFUNCTION("""COMPUTED_VALUE"""),"Turkey")</f>
        <v>Turkey</v>
      </c>
      <c r="J35" s="16" t="str">
        <f>IFERROR(__xludf.DUMMYFUNCTION("""COMPUTED_VALUE"""),"ISTANBUL")</f>
        <v>ISTANBUL</v>
      </c>
      <c r="K35" s="17" t="str">
        <f>IFERROR(__xludf.DUMMYFUNCTION("""COMPUTED_VALUE"""),"https://expa.aiesec.org/opportunities/1272564")</f>
        <v>https://expa.aiesec.org/opportunities/1272564</v>
      </c>
      <c r="L35" s="16" t="str">
        <f>IFERROR(__xludf.DUMMYFUNCTION("""COMPUTED_VALUE"""),"GV")</f>
        <v>GV</v>
      </c>
      <c r="M35" s="16" t="str">
        <f>IFERROR(__xludf.DUMMYFUNCTION("""COMPUTED_VALUE"""),"short")</f>
        <v>short</v>
      </c>
      <c r="N35" s="18">
        <f>IFERROR(__xludf.DUMMYFUNCTION("""COMPUTED_VALUE"""),45028.0)</f>
        <v>45028</v>
      </c>
      <c r="O35" s="18">
        <f>IFERROR(__xludf.DUMMYFUNCTION("""COMPUTED_VALUE"""),45173.0)</f>
        <v>45173</v>
      </c>
      <c r="P35" s="18">
        <f>IFERROR(__xludf.DUMMYFUNCTION("""COMPUTED_VALUE"""),45215.0)</f>
        <v>45215</v>
      </c>
      <c r="Q35" s="18"/>
      <c r="R35" s="18"/>
      <c r="S35" s="16"/>
      <c r="T35" s="16"/>
      <c r="U35" s="16" t="str">
        <f>IFERROR(__xludf.DUMMYFUNCTION("""COMPUTED_VALUE"""),"Global Classroom")</f>
        <v>Global Classroom</v>
      </c>
      <c r="V35" s="16" t="str">
        <f>IFERROR(__xludf.DUMMYFUNCTION("""COMPUTED_VALUE"""),"EIGSI Casablanca")</f>
        <v>EIGSI Casablanca</v>
      </c>
      <c r="W35" s="16" t="str">
        <f>IFERROR(__xludf.DUMMYFUNCTION("""COMPUTED_VALUE"""),"2023-04-12T23:01:18Z")</f>
        <v>2023-04-12T23:01:18Z</v>
      </c>
      <c r="X35" s="16"/>
      <c r="Y35" s="16"/>
      <c r="Z35" s="16"/>
    </row>
    <row r="36">
      <c r="A36" s="16" t="str">
        <f>IFERROR(__xludf.DUMMYFUNCTION("""COMPUTED_VALUE"""),"5119725_1294066")</f>
        <v>5119725_1294066</v>
      </c>
      <c r="B36" s="16" t="str">
        <f>IFERROR(__xludf.DUMMYFUNCTION("""COMPUTED_VALUE"""),"Kenza BEKKALI")</f>
        <v>Kenza BEKKALI</v>
      </c>
      <c r="C36" s="16" t="str">
        <f>IFERROR(__xludf.DUMMYFUNCTION("""COMPUTED_VALUE"""),"approved")</f>
        <v>approved</v>
      </c>
      <c r="D36" s="16" t="str">
        <f>IFERROR(__xludf.DUMMYFUNCTION("""COMPUTED_VALUE"""),"No")</f>
        <v>No</v>
      </c>
      <c r="E36" s="16" t="str">
        <f>IFERROR(__xludf.DUMMYFUNCTION("""COMPUTED_VALUE"""),"p_c116fb7b30e84f07e429bd0034ba6f12aa505692@inbound.aiesec.org")</f>
        <v>p_c116fb7b30e84f07e429bd0034ba6f12aa505692@inbound.aiesec.org</v>
      </c>
      <c r="F36" s="16">
        <f>IFERROR(__xludf.DUMMYFUNCTION("""COMPUTED_VALUE"""),6.62770396E8)</f>
        <v>662770396</v>
      </c>
      <c r="G36" s="16" t="str">
        <f>IFERROR(__xludf.DUMMYFUNCTION("""COMPUTED_VALUE"""),"Morocco")</f>
        <v>Morocco</v>
      </c>
      <c r="H36" s="16" t="str">
        <f>IFERROR(__xludf.DUMMYFUNCTION("""COMPUTED_VALUE"""),"Casablanca")</f>
        <v>Casablanca</v>
      </c>
      <c r="I36" s="16" t="str">
        <f>IFERROR(__xludf.DUMMYFUNCTION("""COMPUTED_VALUE"""),"Turkey")</f>
        <v>Turkey</v>
      </c>
      <c r="J36" s="16" t="str">
        <f>IFERROR(__xludf.DUMMYFUNCTION("""COMPUTED_VALUE"""),"ISTANBUL WEST")</f>
        <v>ISTANBUL WEST</v>
      </c>
      <c r="K36" s="17" t="str">
        <f>IFERROR(__xludf.DUMMYFUNCTION("""COMPUTED_VALUE"""),"https://expa.aiesec.org/opportunities/1294066")</f>
        <v>https://expa.aiesec.org/opportunities/1294066</v>
      </c>
      <c r="L36" s="16" t="str">
        <f>IFERROR(__xludf.DUMMYFUNCTION("""COMPUTED_VALUE"""),"GV")</f>
        <v>GV</v>
      </c>
      <c r="M36" s="16" t="str">
        <f>IFERROR(__xludf.DUMMYFUNCTION("""COMPUTED_VALUE"""),"short")</f>
        <v>short</v>
      </c>
      <c r="N36" s="18">
        <f>IFERROR(__xludf.DUMMYFUNCTION("""COMPUTED_VALUE"""),45028.0)</f>
        <v>45028</v>
      </c>
      <c r="O36" s="18">
        <f>IFERROR(__xludf.DUMMYFUNCTION("""COMPUTED_VALUE"""),45131.0)</f>
        <v>45131</v>
      </c>
      <c r="P36" s="18">
        <f>IFERROR(__xludf.DUMMYFUNCTION("""COMPUTED_VALUE"""),45173.0)</f>
        <v>45173</v>
      </c>
      <c r="Q36" s="18"/>
      <c r="R36" s="18"/>
      <c r="S36" s="16"/>
      <c r="T36" s="16"/>
      <c r="U36" s="16" t="str">
        <f>IFERROR(__xludf.DUMMYFUNCTION("""COMPUTED_VALUE"""),"Fingerprint")</f>
        <v>Fingerprint</v>
      </c>
      <c r="V36" s="16" t="str">
        <f>IFERROR(__xludf.DUMMYFUNCTION("""COMPUTED_VALUE"""),"ISCAE Casablanca")</f>
        <v>ISCAE Casablanca</v>
      </c>
      <c r="W36" s="16" t="str">
        <f>IFERROR(__xludf.DUMMYFUNCTION("""COMPUTED_VALUE"""),"2022-09-26T13:03:38Z")</f>
        <v>2022-09-26T13:03:38Z</v>
      </c>
      <c r="X36" s="16"/>
      <c r="Y36" s="16"/>
      <c r="Z36" s="16"/>
    </row>
    <row r="37">
      <c r="A37" s="16" t="str">
        <f>IFERROR(__xludf.DUMMYFUNCTION("""COMPUTED_VALUE"""),"5198199_1272564")</f>
        <v>5198199_1272564</v>
      </c>
      <c r="B37" s="16" t="str">
        <f>IFERROR(__xludf.DUMMYFUNCTION("""COMPUTED_VALUE"""),"Aleksandra Stankovic")</f>
        <v>Aleksandra Stankovic</v>
      </c>
      <c r="C37" s="16" t="str">
        <f>IFERROR(__xludf.DUMMYFUNCTION("""COMPUTED_VALUE"""),"approved")</f>
        <v>approved</v>
      </c>
      <c r="D37" s="16" t="str">
        <f>IFERROR(__xludf.DUMMYFUNCTION("""COMPUTED_VALUE"""),"No")</f>
        <v>No</v>
      </c>
      <c r="E37" s="16" t="str">
        <f>IFERROR(__xludf.DUMMYFUNCTION("""COMPUTED_VALUE"""),"p_c0fdf1354eedf1ebcfe685f6ca486e733933860d@inbound.aiesec.org")</f>
        <v>p_c0fdf1354eedf1ebcfe685f6ca486e733933860d@inbound.aiesec.org</v>
      </c>
      <c r="F37" s="16">
        <f>IFERROR(__xludf.DUMMYFUNCTION("""COMPUTED_VALUE"""),6.37607468E8)</f>
        <v>637607468</v>
      </c>
      <c r="G37" s="16" t="str">
        <f>IFERROR(__xludf.DUMMYFUNCTION("""COMPUTED_VALUE"""),"Serbia")</f>
        <v>Serbia</v>
      </c>
      <c r="H37" s="16" t="str">
        <f>IFERROR(__xludf.DUMMYFUNCTION("""COMPUTED_VALUE"""),"BELGRADE FON")</f>
        <v>BELGRADE FON</v>
      </c>
      <c r="I37" s="16" t="str">
        <f>IFERROR(__xludf.DUMMYFUNCTION("""COMPUTED_VALUE"""),"Turkey")</f>
        <v>Turkey</v>
      </c>
      <c r="J37" s="16" t="str">
        <f>IFERROR(__xludf.DUMMYFUNCTION("""COMPUTED_VALUE"""),"ISTANBUL")</f>
        <v>ISTANBUL</v>
      </c>
      <c r="K37" s="17" t="str">
        <f>IFERROR(__xludf.DUMMYFUNCTION("""COMPUTED_VALUE"""),"https://expa.aiesec.org/opportunities/1272564")</f>
        <v>https://expa.aiesec.org/opportunities/1272564</v>
      </c>
      <c r="L37" s="16" t="str">
        <f>IFERROR(__xludf.DUMMYFUNCTION("""COMPUTED_VALUE"""),"GV")</f>
        <v>GV</v>
      </c>
      <c r="M37" s="16" t="str">
        <f>IFERROR(__xludf.DUMMYFUNCTION("""COMPUTED_VALUE"""),"short")</f>
        <v>short</v>
      </c>
      <c r="N37" s="18">
        <f>IFERROR(__xludf.DUMMYFUNCTION("""COMPUTED_VALUE"""),45028.0)</f>
        <v>45028</v>
      </c>
      <c r="O37" s="18">
        <f>IFERROR(__xludf.DUMMYFUNCTION("""COMPUTED_VALUE"""),45162.0)</f>
        <v>45162</v>
      </c>
      <c r="P37" s="18">
        <f>IFERROR(__xludf.DUMMYFUNCTION("""COMPUTED_VALUE"""),45204.0)</f>
        <v>45204</v>
      </c>
      <c r="Q37" s="18"/>
      <c r="R37" s="18"/>
      <c r="S37" s="16"/>
      <c r="T37" s="16"/>
      <c r="U37" s="16" t="str">
        <f>IFERROR(__xludf.DUMMYFUNCTION("""COMPUTED_VALUE"""),"Global Classroom")</f>
        <v>Global Classroom</v>
      </c>
      <c r="V37" s="16" t="str">
        <f>IFERROR(__xludf.DUMMYFUNCTION("""COMPUTED_VALUE"""),"Faculty of Political Sciences, Belgrade")</f>
        <v>Faculty of Political Sciences, Belgrade</v>
      </c>
      <c r="W37" s="16" t="str">
        <f>IFERROR(__xludf.DUMMYFUNCTION("""COMPUTED_VALUE"""),"2023-02-24T09:38:08Z")</f>
        <v>2023-02-24T09:38:08Z</v>
      </c>
      <c r="X37" s="16"/>
      <c r="Y37" s="16"/>
      <c r="Z37" s="16"/>
    </row>
    <row r="38">
      <c r="A38" s="16" t="str">
        <f>IFERROR(__xludf.DUMMYFUNCTION("""COMPUTED_VALUE"""),"5237193_1288280")</f>
        <v>5237193_1288280</v>
      </c>
      <c r="B38" s="16" t="str">
        <f>IFERROR(__xludf.DUMMYFUNCTION("""COMPUTED_VALUE"""),"Mahmoud Wael")</f>
        <v>Mahmoud Wael</v>
      </c>
      <c r="C38" s="16" t="str">
        <f>IFERROR(__xludf.DUMMYFUNCTION("""COMPUTED_VALUE"""),"approved")</f>
        <v>approved</v>
      </c>
      <c r="D38" s="16" t="str">
        <f>IFERROR(__xludf.DUMMYFUNCTION("""COMPUTED_VALUE"""),"No")</f>
        <v>No</v>
      </c>
      <c r="E38" s="16" t="str">
        <f>IFERROR(__xludf.DUMMYFUNCTION("""COMPUTED_VALUE"""),"p_3d4f3027f0da9f9f7864daef2e1a0f7c734ec11f@inbound.aiesec.org")</f>
        <v>p_3d4f3027f0da9f9f7864daef2e1a0f7c734ec11f@inbound.aiesec.org</v>
      </c>
      <c r="F38" s="16">
        <f>IFERROR(__xludf.DUMMYFUNCTION("""COMPUTED_VALUE"""),1.064944225E9)</f>
        <v>1064944225</v>
      </c>
      <c r="G38" s="16" t="str">
        <f>IFERROR(__xludf.DUMMYFUNCTION("""COMPUTED_VALUE"""),"Egypt")</f>
        <v>Egypt</v>
      </c>
      <c r="H38" s="16" t="str">
        <f>IFERROR(__xludf.DUMMYFUNCTION("""COMPUTED_VALUE"""),"Ain Shams University")</f>
        <v>Ain Shams University</v>
      </c>
      <c r="I38" s="16" t="str">
        <f>IFERROR(__xludf.DUMMYFUNCTION("""COMPUTED_VALUE"""),"Turkey")</f>
        <v>Turkey</v>
      </c>
      <c r="J38" s="16" t="str">
        <f>IFERROR(__xludf.DUMMYFUNCTION("""COMPUTED_VALUE"""),"İZMİR")</f>
        <v>İZMİR</v>
      </c>
      <c r="K38" s="17" t="str">
        <f>IFERROR(__xludf.DUMMYFUNCTION("""COMPUTED_VALUE"""),"https://expa.aiesec.org/opportunities/1288280")</f>
        <v>https://expa.aiesec.org/opportunities/1288280</v>
      </c>
      <c r="L38" s="16" t="str">
        <f>IFERROR(__xludf.DUMMYFUNCTION("""COMPUTED_VALUE"""),"GV")</f>
        <v>GV</v>
      </c>
      <c r="M38" s="16" t="str">
        <f>IFERROR(__xludf.DUMMYFUNCTION("""COMPUTED_VALUE"""),"short")</f>
        <v>short</v>
      </c>
      <c r="N38" s="18">
        <f>IFERROR(__xludf.DUMMYFUNCTION("""COMPUTED_VALUE"""),45029.0)</f>
        <v>45029</v>
      </c>
      <c r="O38" s="18">
        <f>IFERROR(__xludf.DUMMYFUNCTION("""COMPUTED_VALUE"""),45144.0)</f>
        <v>45144</v>
      </c>
      <c r="P38" s="18">
        <f>IFERROR(__xludf.DUMMYFUNCTION("""COMPUTED_VALUE"""),45186.0)</f>
        <v>45186</v>
      </c>
      <c r="Q38" s="18"/>
      <c r="R38" s="18"/>
      <c r="S38" s="16"/>
      <c r="T38" s="16"/>
      <c r="U38" s="16" t="str">
        <f>IFERROR(__xludf.DUMMYFUNCTION("""COMPUTED_VALUE"""),"Global Classroom")</f>
        <v>Global Classroom</v>
      </c>
      <c r="V38" s="16" t="str">
        <f>IFERROR(__xludf.DUMMYFUNCTION("""COMPUTED_VALUE"""),"Ain Shams University")</f>
        <v>Ain Shams University</v>
      </c>
      <c r="W38" s="16" t="str">
        <f>IFERROR(__xludf.DUMMYFUNCTION("""COMPUTED_VALUE"""),"2023-04-07T17:01:08Z")</f>
        <v>2023-04-07T17:01:08Z</v>
      </c>
      <c r="X38" s="16"/>
      <c r="Y38" s="16"/>
      <c r="Z38" s="16"/>
    </row>
    <row r="39">
      <c r="A39" s="16" t="str">
        <f>IFERROR(__xludf.DUMMYFUNCTION("""COMPUTED_VALUE"""),"5205121_1286326")</f>
        <v>5205121_1286326</v>
      </c>
      <c r="B39" s="16" t="str">
        <f>IFERROR(__xludf.DUMMYFUNCTION("""COMPUTED_VALUE"""),"Nour el houda Sassi")</f>
        <v>Nour el houda Sassi</v>
      </c>
      <c r="C39" s="16" t="str">
        <f>IFERROR(__xludf.DUMMYFUNCTION("""COMPUTED_VALUE"""),"approved")</f>
        <v>approved</v>
      </c>
      <c r="D39" s="16" t="str">
        <f>IFERROR(__xludf.DUMMYFUNCTION("""COMPUTED_VALUE"""),"No")</f>
        <v>No</v>
      </c>
      <c r="E39" s="16" t="str">
        <f>IFERROR(__xludf.DUMMYFUNCTION("""COMPUTED_VALUE"""),"p_4def92bcde4680a0cb3dd0f20bfc5a0e07373b24@inbound.aiesec.org")</f>
        <v>p_4def92bcde4680a0cb3dd0f20bfc5a0e07373b24@inbound.aiesec.org</v>
      </c>
      <c r="F39" s="16">
        <f>IFERROR(__xludf.DUMMYFUNCTION("""COMPUTED_VALUE"""),5.5684727E7)</f>
        <v>55684727</v>
      </c>
      <c r="G39" s="16" t="str">
        <f>IFERROR(__xludf.DUMMYFUNCTION("""COMPUTED_VALUE"""),"Tunisia")</f>
        <v>Tunisia</v>
      </c>
      <c r="H39" s="16" t="str">
        <f>IFERROR(__xludf.DUMMYFUNCTION("""COMPUTED_VALUE"""),"BARDO")</f>
        <v>BARDO</v>
      </c>
      <c r="I39" s="16" t="str">
        <f>IFERROR(__xludf.DUMMYFUNCTION("""COMPUTED_VALUE"""),"Turkey")</f>
        <v>Turkey</v>
      </c>
      <c r="J39" s="16" t="str">
        <f>IFERROR(__xludf.DUMMYFUNCTION("""COMPUTED_VALUE"""),"ADANA")</f>
        <v>ADANA</v>
      </c>
      <c r="K39" s="17" t="str">
        <f>IFERROR(__xludf.DUMMYFUNCTION("""COMPUTED_VALUE"""),"https://expa.aiesec.org/opportunities/1286326")</f>
        <v>https://expa.aiesec.org/opportunities/1286326</v>
      </c>
      <c r="L39" s="16" t="str">
        <f>IFERROR(__xludf.DUMMYFUNCTION("""COMPUTED_VALUE"""),"GV")</f>
        <v>GV</v>
      </c>
      <c r="M39" s="16" t="str">
        <f>IFERROR(__xludf.DUMMYFUNCTION("""COMPUTED_VALUE"""),"short")</f>
        <v>short</v>
      </c>
      <c r="N39" s="18">
        <f>IFERROR(__xludf.DUMMYFUNCTION("""COMPUTED_VALUE"""),45029.0)</f>
        <v>45029</v>
      </c>
      <c r="O39" s="18">
        <f>IFERROR(__xludf.DUMMYFUNCTION("""COMPUTED_VALUE"""),45145.0)</f>
        <v>45145</v>
      </c>
      <c r="P39" s="18">
        <f>IFERROR(__xludf.DUMMYFUNCTION("""COMPUTED_VALUE"""),45191.0)</f>
        <v>45191</v>
      </c>
      <c r="Q39" s="18"/>
      <c r="R39" s="18"/>
      <c r="S39" s="16"/>
      <c r="T39" s="16"/>
      <c r="U39" s="16" t="str">
        <f>IFERROR(__xludf.DUMMYFUNCTION("""COMPUTED_VALUE"""),"Equify")</f>
        <v>Equify</v>
      </c>
      <c r="V39" s="16" t="str">
        <f>IFERROR(__xludf.DUMMYFUNCTION("""COMPUTED_VALUE"""),"ESPRIT School of Business")</f>
        <v>ESPRIT School of Business</v>
      </c>
      <c r="W39" s="16" t="str">
        <f>IFERROR(__xludf.DUMMYFUNCTION("""COMPUTED_VALUE"""),"2023-03-04T07:46:05Z")</f>
        <v>2023-03-04T07:46:05Z</v>
      </c>
      <c r="X39" s="16"/>
      <c r="Y39" s="16"/>
      <c r="Z39" s="16"/>
    </row>
    <row r="40">
      <c r="A40" s="16" t="str">
        <f>IFERROR(__xludf.DUMMYFUNCTION("""COMPUTED_VALUE"""),"5235052_1286228")</f>
        <v>5235052_1286228</v>
      </c>
      <c r="B40" s="16" t="str">
        <f>IFERROR(__xludf.DUMMYFUNCTION("""COMPUTED_VALUE"""),"Milica Tomašević")</f>
        <v>Milica Tomašević</v>
      </c>
      <c r="C40" s="16" t="str">
        <f>IFERROR(__xludf.DUMMYFUNCTION("""COMPUTED_VALUE"""),"approved")</f>
        <v>approved</v>
      </c>
      <c r="D40" s="16" t="str">
        <f>IFERROR(__xludf.DUMMYFUNCTION("""COMPUTED_VALUE"""),"No")</f>
        <v>No</v>
      </c>
      <c r="E40" s="16" t="str">
        <f>IFERROR(__xludf.DUMMYFUNCTION("""COMPUTED_VALUE"""),"p_bd6c24224f8097ea3f11e7b5d0c8c18d9cbb8b8d@inbound.aiesec.org")</f>
        <v>p_bd6c24224f8097ea3f11e7b5d0c8c18d9cbb8b8d@inbound.aiesec.org</v>
      </c>
      <c r="F40" s="16">
        <f>IFERROR(__xludf.DUMMYFUNCTION("""COMPUTED_VALUE"""),6.12123355E8)</f>
        <v>612123355</v>
      </c>
      <c r="G40" s="16" t="str">
        <f>IFERROR(__xludf.DUMMYFUNCTION("""COMPUTED_VALUE"""),"Serbia")</f>
        <v>Serbia</v>
      </c>
      <c r="H40" s="16" t="str">
        <f>IFERROR(__xludf.DUMMYFUNCTION("""COMPUTED_VALUE"""),"BELGRADE FON")</f>
        <v>BELGRADE FON</v>
      </c>
      <c r="I40" s="16" t="str">
        <f>IFERROR(__xludf.DUMMYFUNCTION("""COMPUTED_VALUE"""),"Turkey")</f>
        <v>Turkey</v>
      </c>
      <c r="J40" s="16" t="str">
        <f>IFERROR(__xludf.DUMMYFUNCTION("""COMPUTED_VALUE"""),"ISTANBUL WEST")</f>
        <v>ISTANBUL WEST</v>
      </c>
      <c r="K40" s="17" t="str">
        <f>IFERROR(__xludf.DUMMYFUNCTION("""COMPUTED_VALUE"""),"https://expa.aiesec.org/opportunities/1286228")</f>
        <v>https://expa.aiesec.org/opportunities/1286228</v>
      </c>
      <c r="L40" s="16" t="str">
        <f>IFERROR(__xludf.DUMMYFUNCTION("""COMPUTED_VALUE"""),"GV")</f>
        <v>GV</v>
      </c>
      <c r="M40" s="16" t="str">
        <f>IFERROR(__xludf.DUMMYFUNCTION("""COMPUTED_VALUE"""),"short")</f>
        <v>short</v>
      </c>
      <c r="N40" s="18">
        <f>IFERROR(__xludf.DUMMYFUNCTION("""COMPUTED_VALUE"""),45030.0)</f>
        <v>45030</v>
      </c>
      <c r="O40" s="18">
        <f>IFERROR(__xludf.DUMMYFUNCTION("""COMPUTED_VALUE"""),45187.0)</f>
        <v>45187</v>
      </c>
      <c r="P40" s="18">
        <f>IFERROR(__xludf.DUMMYFUNCTION("""COMPUTED_VALUE"""),45229.0)</f>
        <v>45229</v>
      </c>
      <c r="Q40" s="18"/>
      <c r="R40" s="18"/>
      <c r="S40" s="16"/>
      <c r="T40" s="16"/>
      <c r="U40" s="16" t="str">
        <f>IFERROR(__xludf.DUMMYFUNCTION("""COMPUTED_VALUE"""),"Global Classroom")</f>
        <v>Global Classroom</v>
      </c>
      <c r="V40" s="16" t="str">
        <f>IFERROR(__xludf.DUMMYFUNCTION("""COMPUTED_VALUE"""),"Faculty of Organizational Sciences, Belgrade")</f>
        <v>Faculty of Organizational Sciences, Belgrade</v>
      </c>
      <c r="W40" s="16" t="str">
        <f>IFERROR(__xludf.DUMMYFUNCTION("""COMPUTED_VALUE"""),"2023-04-04T21:13:08Z")</f>
        <v>2023-04-04T21:13:08Z</v>
      </c>
      <c r="X40" s="16"/>
      <c r="Y40" s="16"/>
      <c r="Z40" s="16"/>
    </row>
    <row r="41">
      <c r="A41" s="16" t="str">
        <f>IFERROR(__xludf.DUMMYFUNCTION("""COMPUTED_VALUE"""),"5239503_1294103")</f>
        <v>5239503_1294103</v>
      </c>
      <c r="B41" s="16" t="str">
        <f>IFERROR(__xludf.DUMMYFUNCTION("""COMPUTED_VALUE"""),"Asmaa Ahmed")</f>
        <v>Asmaa Ahmed</v>
      </c>
      <c r="C41" s="16" t="str">
        <f>IFERROR(__xludf.DUMMYFUNCTION("""COMPUTED_VALUE"""),"approved")</f>
        <v>approved</v>
      </c>
      <c r="D41" s="16" t="str">
        <f>IFERROR(__xludf.DUMMYFUNCTION("""COMPUTED_VALUE"""),"No")</f>
        <v>No</v>
      </c>
      <c r="E41" s="16" t="str">
        <f>IFERROR(__xludf.DUMMYFUNCTION("""COMPUTED_VALUE"""),"p_1b87603debd1a9be15946f9c93750b552b2fa359@inbound.aiesec.org")</f>
        <v>p_1b87603debd1a9be15946f9c93750b552b2fa359@inbound.aiesec.org</v>
      </c>
      <c r="F41" s="16">
        <f>IFERROR(__xludf.DUMMYFUNCTION("""COMPUTED_VALUE"""),1.099123638E9)</f>
        <v>1099123638</v>
      </c>
      <c r="G41" s="16" t="str">
        <f>IFERROR(__xludf.DUMMYFUNCTION("""COMPUTED_VALUE"""),"Egypt")</f>
        <v>Egypt</v>
      </c>
      <c r="H41" s="16" t="str">
        <f>IFERROR(__xludf.DUMMYFUNCTION("""COMPUTED_VALUE"""),"AAST In CAIRO")</f>
        <v>AAST In CAIRO</v>
      </c>
      <c r="I41" s="16" t="str">
        <f>IFERROR(__xludf.DUMMYFUNCTION("""COMPUTED_VALUE"""),"Turkey")</f>
        <v>Turkey</v>
      </c>
      <c r="J41" s="16" t="str">
        <f>IFERROR(__xludf.DUMMYFUNCTION("""COMPUTED_VALUE"""),"İZMİR")</f>
        <v>İZMİR</v>
      </c>
      <c r="K41" s="17" t="str">
        <f>IFERROR(__xludf.DUMMYFUNCTION("""COMPUTED_VALUE"""),"https://expa.aiesec.org/opportunities/1294103")</f>
        <v>https://expa.aiesec.org/opportunities/1294103</v>
      </c>
      <c r="L41" s="16" t="str">
        <f>IFERROR(__xludf.DUMMYFUNCTION("""COMPUTED_VALUE"""),"GV")</f>
        <v>GV</v>
      </c>
      <c r="M41" s="16" t="str">
        <f>IFERROR(__xludf.DUMMYFUNCTION("""COMPUTED_VALUE"""),"short")</f>
        <v>short</v>
      </c>
      <c r="N41" s="18">
        <f>IFERROR(__xludf.DUMMYFUNCTION("""COMPUTED_VALUE"""),45030.0)</f>
        <v>45030</v>
      </c>
      <c r="O41" s="18">
        <f>IFERROR(__xludf.DUMMYFUNCTION("""COMPUTED_VALUE"""),45145.0)</f>
        <v>45145</v>
      </c>
      <c r="P41" s="18">
        <f>IFERROR(__xludf.DUMMYFUNCTION("""COMPUTED_VALUE"""),45187.0)</f>
        <v>45187</v>
      </c>
      <c r="Q41" s="18"/>
      <c r="R41" s="18"/>
      <c r="S41" s="16"/>
      <c r="T41" s="16"/>
      <c r="U41" s="16" t="str">
        <f>IFERROR(__xludf.DUMMYFUNCTION("""COMPUTED_VALUE"""),"Skill Up!")</f>
        <v>Skill Up!</v>
      </c>
      <c r="V41" s="16" t="str">
        <f>IFERROR(__xludf.DUMMYFUNCTION("""COMPUTED_VALUE"""),"BUE University")</f>
        <v>BUE University</v>
      </c>
      <c r="W41" s="16" t="str">
        <f>IFERROR(__xludf.DUMMYFUNCTION("""COMPUTED_VALUE"""),"2023-04-11T12:29:03Z")</f>
        <v>2023-04-11T12:29:03Z</v>
      </c>
      <c r="X41" s="16"/>
      <c r="Y41" s="16"/>
      <c r="Z41" s="16"/>
    </row>
    <row r="42">
      <c r="A42" s="16" t="str">
        <f>IFERROR(__xludf.DUMMYFUNCTION("""COMPUTED_VALUE"""),"5205769_1294061")</f>
        <v>5205769_1294061</v>
      </c>
      <c r="B42" s="16" t="str">
        <f>IFERROR(__xludf.DUMMYFUNCTION("""COMPUTED_VALUE"""),"Salma Bekkar")</f>
        <v>Salma Bekkar</v>
      </c>
      <c r="C42" s="16" t="str">
        <f>IFERROR(__xludf.DUMMYFUNCTION("""COMPUTED_VALUE"""),"approved")</f>
        <v>approved</v>
      </c>
      <c r="D42" s="16" t="str">
        <f>IFERROR(__xludf.DUMMYFUNCTION("""COMPUTED_VALUE"""),"No")</f>
        <v>No</v>
      </c>
      <c r="E42" s="16" t="str">
        <f>IFERROR(__xludf.DUMMYFUNCTION("""COMPUTED_VALUE"""),"p_c200656d8060d0fd4b050d4b8c0fa6ece21eef1e@inbound.aiesec.org")</f>
        <v>p_c200656d8060d0fd4b050d4b8c0fa6ece21eef1e@inbound.aiesec.org</v>
      </c>
      <c r="F42" s="16">
        <f>IFERROR(__xludf.DUMMYFUNCTION("""COMPUTED_VALUE"""),3.4784448E9)</f>
        <v>3478444800</v>
      </c>
      <c r="G42" s="16" t="str">
        <f>IFERROR(__xludf.DUMMYFUNCTION("""COMPUTED_VALUE"""),"Italy")</f>
        <v>Italy</v>
      </c>
      <c r="H42" s="16" t="str">
        <f>IFERROR(__xludf.DUMMYFUNCTION("""COMPUTED_VALUE"""),"Milano")</f>
        <v>Milano</v>
      </c>
      <c r="I42" s="16" t="str">
        <f>IFERROR(__xludf.DUMMYFUNCTION("""COMPUTED_VALUE"""),"Turkey")</f>
        <v>Turkey</v>
      </c>
      <c r="J42" s="16" t="str">
        <f>IFERROR(__xludf.DUMMYFUNCTION("""COMPUTED_VALUE"""),"KOCAELI")</f>
        <v>KOCAELI</v>
      </c>
      <c r="K42" s="17" t="str">
        <f>IFERROR(__xludf.DUMMYFUNCTION("""COMPUTED_VALUE"""),"https://expa.aiesec.org/opportunities/1294061")</f>
        <v>https://expa.aiesec.org/opportunities/1294061</v>
      </c>
      <c r="L42" s="16" t="str">
        <f>IFERROR(__xludf.DUMMYFUNCTION("""COMPUTED_VALUE"""),"GV")</f>
        <v>GV</v>
      </c>
      <c r="M42" s="16" t="str">
        <f>IFERROR(__xludf.DUMMYFUNCTION("""COMPUTED_VALUE"""),"short")</f>
        <v>short</v>
      </c>
      <c r="N42" s="18">
        <f>IFERROR(__xludf.DUMMYFUNCTION("""COMPUTED_VALUE"""),45030.0)</f>
        <v>45030</v>
      </c>
      <c r="O42" s="18">
        <f>IFERROR(__xludf.DUMMYFUNCTION("""COMPUTED_VALUE"""),45139.0)</f>
        <v>45139</v>
      </c>
      <c r="P42" s="18">
        <f>IFERROR(__xludf.DUMMYFUNCTION("""COMPUTED_VALUE"""),45181.0)</f>
        <v>45181</v>
      </c>
      <c r="Q42" s="18"/>
      <c r="R42" s="18"/>
      <c r="S42" s="16"/>
      <c r="T42" s="16"/>
      <c r="U42" s="16" t="str">
        <f>IFERROR(__xludf.DUMMYFUNCTION("""COMPUTED_VALUE"""),"Global Classroom")</f>
        <v>Global Classroom</v>
      </c>
      <c r="V42" s="16" t="str">
        <f>IFERROR(__xludf.DUMMYFUNCTION("""COMPUTED_VALUE"""),"Milano - Bocconi, Cattolica, Bicocca, Politecnico e altre università")</f>
        <v>Milano - Bocconi, Cattolica, Bicocca, Politecnico e altre università</v>
      </c>
      <c r="W42" s="16" t="str">
        <f>IFERROR(__xludf.DUMMYFUNCTION("""COMPUTED_VALUE"""),"2023-03-04T17:15:16Z")</f>
        <v>2023-03-04T17:15:16Z</v>
      </c>
      <c r="X42" s="16"/>
      <c r="Y42" s="16"/>
      <c r="Z42" s="16"/>
    </row>
    <row r="43">
      <c r="A43" s="16" t="str">
        <f>IFERROR(__xludf.DUMMYFUNCTION("""COMPUTED_VALUE"""),"5237618_1291929")</f>
        <v>5237618_1291929</v>
      </c>
      <c r="B43" s="16" t="str">
        <f>IFERROR(__xludf.DUMMYFUNCTION("""COMPUTED_VALUE"""),"Sara Aliyeva")</f>
        <v>Sara Aliyeva</v>
      </c>
      <c r="C43" s="16" t="str">
        <f>IFERROR(__xludf.DUMMYFUNCTION("""COMPUTED_VALUE"""),"approved")</f>
        <v>approved</v>
      </c>
      <c r="D43" s="16" t="str">
        <f>IFERROR(__xludf.DUMMYFUNCTION("""COMPUTED_VALUE"""),"No")</f>
        <v>No</v>
      </c>
      <c r="E43" s="16" t="str">
        <f>IFERROR(__xludf.DUMMYFUNCTION("""COMPUTED_VALUE"""),"p_b2000e645414d3e46087b9d1e78422b0ca631dd8@inbound.aiesec.org")</f>
        <v>p_b2000e645414d3e46087b9d1e78422b0ca631dd8@inbound.aiesec.org</v>
      </c>
      <c r="F43" s="16"/>
      <c r="G43" s="16" t="str">
        <f>IFERROR(__xludf.DUMMYFUNCTION("""COMPUTED_VALUE"""),"Azerbaijan")</f>
        <v>Azerbaijan</v>
      </c>
      <c r="H43" s="16" t="str">
        <f>IFERROR(__xludf.DUMMYFUNCTION("""COMPUTED_VALUE"""),"Baku ADA")</f>
        <v>Baku ADA</v>
      </c>
      <c r="I43" s="16" t="str">
        <f>IFERROR(__xludf.DUMMYFUNCTION("""COMPUTED_VALUE"""),"Turkey")</f>
        <v>Turkey</v>
      </c>
      <c r="J43" s="16" t="str">
        <f>IFERROR(__xludf.DUMMYFUNCTION("""COMPUTED_VALUE"""),"TRABZON")</f>
        <v>TRABZON</v>
      </c>
      <c r="K43" s="17" t="str">
        <f>IFERROR(__xludf.DUMMYFUNCTION("""COMPUTED_VALUE"""),"https://expa.aiesec.org/opportunities/1291929")</f>
        <v>https://expa.aiesec.org/opportunities/1291929</v>
      </c>
      <c r="L43" s="16" t="str">
        <f>IFERROR(__xludf.DUMMYFUNCTION("""COMPUTED_VALUE"""),"GV")</f>
        <v>GV</v>
      </c>
      <c r="M43" s="16" t="str">
        <f>IFERROR(__xludf.DUMMYFUNCTION("""COMPUTED_VALUE"""),"short")</f>
        <v>short</v>
      </c>
      <c r="N43" s="18">
        <f>IFERROR(__xludf.DUMMYFUNCTION("""COMPUTED_VALUE"""),45030.0)</f>
        <v>45030</v>
      </c>
      <c r="O43" s="18">
        <f>IFERROR(__xludf.DUMMYFUNCTION("""COMPUTED_VALUE"""),45128.0)</f>
        <v>45128</v>
      </c>
      <c r="P43" s="18">
        <f>IFERROR(__xludf.DUMMYFUNCTION("""COMPUTED_VALUE"""),45170.0)</f>
        <v>45170</v>
      </c>
      <c r="Q43" s="18"/>
      <c r="R43" s="18"/>
      <c r="S43" s="16"/>
      <c r="T43" s="16"/>
      <c r="U43" s="16" t="str">
        <f>IFERROR(__xludf.DUMMYFUNCTION("""COMPUTED_VALUE"""),"Global Classroom")</f>
        <v>Global Classroom</v>
      </c>
      <c r="V43" s="16" t="str">
        <f>IFERROR(__xludf.DUMMYFUNCTION("""COMPUTED_VALUE"""),"-")</f>
        <v>-</v>
      </c>
      <c r="W43" s="16" t="str">
        <f>IFERROR(__xludf.DUMMYFUNCTION("""COMPUTED_VALUE"""),"2023-04-08T14:08:04Z")</f>
        <v>2023-04-08T14:08:04Z</v>
      </c>
      <c r="X43" s="16"/>
      <c r="Y43" s="16"/>
      <c r="Z43" s="16"/>
    </row>
    <row r="44">
      <c r="A44" s="16" t="str">
        <f>IFERROR(__xludf.DUMMYFUNCTION("""COMPUTED_VALUE"""),"5217068_1283483")</f>
        <v>5217068_1283483</v>
      </c>
      <c r="B44" s="16" t="str">
        <f>IFERROR(__xludf.DUMMYFUNCTION("""COMPUTED_VALUE"""),"rawan hamdy")</f>
        <v>rawan hamdy</v>
      </c>
      <c r="C44" s="16" t="str">
        <f>IFERROR(__xludf.DUMMYFUNCTION("""COMPUTED_VALUE"""),"approved")</f>
        <v>approved</v>
      </c>
      <c r="D44" s="16" t="str">
        <f>IFERROR(__xludf.DUMMYFUNCTION("""COMPUTED_VALUE"""),"No")</f>
        <v>No</v>
      </c>
      <c r="E44" s="16" t="str">
        <f>IFERROR(__xludf.DUMMYFUNCTION("""COMPUTED_VALUE"""),"p_b83198aee205d4e2904fdc146a3077ea57b91008@inbound.aiesec.org")</f>
        <v>p_b83198aee205d4e2904fdc146a3077ea57b91008@inbound.aiesec.org</v>
      </c>
      <c r="F44" s="16">
        <f>IFERROR(__xludf.DUMMYFUNCTION("""COMPUTED_VALUE"""),1.141461671E9)</f>
        <v>1141461671</v>
      </c>
      <c r="G44" s="16" t="str">
        <f>IFERROR(__xludf.DUMMYFUNCTION("""COMPUTED_VALUE"""),"Egypt")</f>
        <v>Egypt</v>
      </c>
      <c r="H44" s="16" t="str">
        <f>IFERROR(__xludf.DUMMYFUNCTION("""COMPUTED_VALUE"""),"MUST")</f>
        <v>MUST</v>
      </c>
      <c r="I44" s="16" t="str">
        <f>IFERROR(__xludf.DUMMYFUNCTION("""COMPUTED_VALUE"""),"Turkey")</f>
        <v>Turkey</v>
      </c>
      <c r="J44" s="16" t="str">
        <f>IFERROR(__xludf.DUMMYFUNCTION("""COMPUTED_VALUE"""),"KONYA")</f>
        <v>KONYA</v>
      </c>
      <c r="K44" s="17" t="str">
        <f>IFERROR(__xludf.DUMMYFUNCTION("""COMPUTED_VALUE"""),"https://expa.aiesec.org/opportunities/1283483")</f>
        <v>https://expa.aiesec.org/opportunities/1283483</v>
      </c>
      <c r="L44" s="16" t="str">
        <f>IFERROR(__xludf.DUMMYFUNCTION("""COMPUTED_VALUE"""),"GV")</f>
        <v>GV</v>
      </c>
      <c r="M44" s="16" t="str">
        <f>IFERROR(__xludf.DUMMYFUNCTION("""COMPUTED_VALUE"""),"short")</f>
        <v>short</v>
      </c>
      <c r="N44" s="18">
        <f>IFERROR(__xludf.DUMMYFUNCTION("""COMPUTED_VALUE"""),45031.0)</f>
        <v>45031</v>
      </c>
      <c r="O44" s="18">
        <f>IFERROR(__xludf.DUMMYFUNCTION("""COMPUTED_VALUE"""),45145.0)</f>
        <v>45145</v>
      </c>
      <c r="P44" s="18">
        <f>IFERROR(__xludf.DUMMYFUNCTION("""COMPUTED_VALUE"""),45187.0)</f>
        <v>45187</v>
      </c>
      <c r="Q44" s="18"/>
      <c r="R44" s="18"/>
      <c r="S44" s="16"/>
      <c r="T44" s="16"/>
      <c r="U44" s="16" t="str">
        <f>IFERROR(__xludf.DUMMYFUNCTION("""COMPUTED_VALUE"""),"Global Classroom")</f>
        <v>Global Classroom</v>
      </c>
      <c r="V44" s="16" t="str">
        <f>IFERROR(__xludf.DUMMYFUNCTION("""COMPUTED_VALUE"""),"Nile University")</f>
        <v>Nile University</v>
      </c>
      <c r="W44" s="16" t="str">
        <f>IFERROR(__xludf.DUMMYFUNCTION("""COMPUTED_VALUE"""),"2023-03-15T11:29:28Z")</f>
        <v>2023-03-15T11:29:28Z</v>
      </c>
      <c r="X44" s="16"/>
      <c r="Y44" s="16"/>
      <c r="Z44" s="16"/>
    </row>
    <row r="45">
      <c r="A45" s="16" t="str">
        <f>IFERROR(__xludf.DUMMYFUNCTION("""COMPUTED_VALUE"""),"5240521_1286326")</f>
        <v>5240521_1286326</v>
      </c>
      <c r="B45" s="16" t="str">
        <f>IFERROR(__xludf.DUMMYFUNCTION("""COMPUTED_VALUE"""),"Valeria Rychak")</f>
        <v>Valeria Rychak</v>
      </c>
      <c r="C45" s="16" t="str">
        <f>IFERROR(__xludf.DUMMYFUNCTION("""COMPUTED_VALUE"""),"approved")</f>
        <v>approved</v>
      </c>
      <c r="D45" s="16" t="str">
        <f>IFERROR(__xludf.DUMMYFUNCTION("""COMPUTED_VALUE"""),"No")</f>
        <v>No</v>
      </c>
      <c r="E45" s="16" t="str">
        <f>IFERROR(__xludf.DUMMYFUNCTION("""COMPUTED_VALUE"""),"p_7621498937d41f2bd198287358dcb5d12bb87717@inbound.aiesec.org")</f>
        <v>p_7621498937d41f2bd198287358dcb5d12bb87717@inbound.aiesec.org</v>
      </c>
      <c r="F45" s="16">
        <f>IFERROR(__xludf.DUMMYFUNCTION("""COMPUTED_VALUE"""),5.00449432E8)</f>
        <v>500449432</v>
      </c>
      <c r="G45" s="16" t="str">
        <f>IFERROR(__xludf.DUMMYFUNCTION("""COMPUTED_VALUE"""),"Ukraine")</f>
        <v>Ukraine</v>
      </c>
      <c r="H45" s="16" t="str">
        <f>IFERROR(__xludf.DUMMYFUNCTION("""COMPUTED_VALUE"""),"KHARKIV")</f>
        <v>KHARKIV</v>
      </c>
      <c r="I45" s="16" t="str">
        <f>IFERROR(__xludf.DUMMYFUNCTION("""COMPUTED_VALUE"""),"Turkey")</f>
        <v>Turkey</v>
      </c>
      <c r="J45" s="16" t="str">
        <f>IFERROR(__xludf.DUMMYFUNCTION("""COMPUTED_VALUE"""),"ADANA")</f>
        <v>ADANA</v>
      </c>
      <c r="K45" s="17" t="str">
        <f>IFERROR(__xludf.DUMMYFUNCTION("""COMPUTED_VALUE"""),"https://expa.aiesec.org/opportunities/1286326")</f>
        <v>https://expa.aiesec.org/opportunities/1286326</v>
      </c>
      <c r="L45" s="16" t="str">
        <f>IFERROR(__xludf.DUMMYFUNCTION("""COMPUTED_VALUE"""),"GV")</f>
        <v>GV</v>
      </c>
      <c r="M45" s="16" t="str">
        <f>IFERROR(__xludf.DUMMYFUNCTION("""COMPUTED_VALUE"""),"short")</f>
        <v>short</v>
      </c>
      <c r="N45" s="18">
        <f>IFERROR(__xludf.DUMMYFUNCTION("""COMPUTED_VALUE"""),45033.0)</f>
        <v>45033</v>
      </c>
      <c r="O45" s="18">
        <f>IFERROR(__xludf.DUMMYFUNCTION("""COMPUTED_VALUE"""),45194.0)</f>
        <v>45194</v>
      </c>
      <c r="P45" s="18">
        <f>IFERROR(__xludf.DUMMYFUNCTION("""COMPUTED_VALUE"""),45240.0)</f>
        <v>45240</v>
      </c>
      <c r="Q45" s="18"/>
      <c r="R45" s="18"/>
      <c r="S45" s="16"/>
      <c r="T45" s="16"/>
      <c r="U45" s="16" t="str">
        <f>IFERROR(__xludf.DUMMYFUNCTION("""COMPUTED_VALUE"""),"Equify")</f>
        <v>Equify</v>
      </c>
      <c r="V45" s="16" t="str">
        <f>IFERROR(__xludf.DUMMYFUNCTION("""COMPUTED_VALUE"""),"Kyiv")</f>
        <v>Kyiv</v>
      </c>
      <c r="W45" s="16" t="str">
        <f>IFERROR(__xludf.DUMMYFUNCTION("""COMPUTED_VALUE"""),"2023-04-12T15:33:43Z")</f>
        <v>2023-04-12T15:33:43Z</v>
      </c>
      <c r="X45" s="16"/>
      <c r="Y45" s="16"/>
      <c r="Z45" s="16"/>
    </row>
    <row r="46">
      <c r="A46" s="16" t="str">
        <f>IFERROR(__xludf.DUMMYFUNCTION("""COMPUTED_VALUE"""),"4533235_1288663")</f>
        <v>4533235_1288663</v>
      </c>
      <c r="B46" s="16" t="str">
        <f>IFERROR(__xludf.DUMMYFUNCTION("""COMPUTED_VALUE"""),"Danial Shabbir")</f>
        <v>Danial Shabbir</v>
      </c>
      <c r="C46" s="16" t="str">
        <f>IFERROR(__xludf.DUMMYFUNCTION("""COMPUTED_VALUE"""),"approved")</f>
        <v>approved</v>
      </c>
      <c r="D46" s="16" t="str">
        <f>IFERROR(__xludf.DUMMYFUNCTION("""COMPUTED_VALUE"""),"No")</f>
        <v>No</v>
      </c>
      <c r="E46" s="16" t="str">
        <f>IFERROR(__xludf.DUMMYFUNCTION("""COMPUTED_VALUE"""),"p_ebca0184e88b3a25e4c0305a66581335023f178b@inbound.aiesec.org")</f>
        <v>p_ebca0184e88b3a25e4c0305a66581335023f178b@inbound.aiesec.org</v>
      </c>
      <c r="F46" s="16"/>
      <c r="G46" s="16" t="str">
        <f>IFERROR(__xludf.DUMMYFUNCTION("""COMPUTED_VALUE"""),"Pakistan")</f>
        <v>Pakistan</v>
      </c>
      <c r="H46" s="16" t="str">
        <f>IFERROR(__xludf.DUMMYFUNCTION("""COMPUTED_VALUE"""),"Faisalabad")</f>
        <v>Faisalabad</v>
      </c>
      <c r="I46" s="16" t="str">
        <f>IFERROR(__xludf.DUMMYFUNCTION("""COMPUTED_VALUE"""),"Turkey")</f>
        <v>Turkey</v>
      </c>
      <c r="J46" s="16" t="str">
        <f>IFERROR(__xludf.DUMMYFUNCTION("""COMPUTED_VALUE"""),"İZMİR")</f>
        <v>İZMİR</v>
      </c>
      <c r="K46" s="17" t="str">
        <f>IFERROR(__xludf.DUMMYFUNCTION("""COMPUTED_VALUE"""),"https://expa.aiesec.org/opportunities/1288663")</f>
        <v>https://expa.aiesec.org/opportunities/1288663</v>
      </c>
      <c r="L46" s="16" t="str">
        <f>IFERROR(__xludf.DUMMYFUNCTION("""COMPUTED_VALUE"""),"GV")</f>
        <v>GV</v>
      </c>
      <c r="M46" s="16" t="str">
        <f>IFERROR(__xludf.DUMMYFUNCTION("""COMPUTED_VALUE"""),"short")</f>
        <v>short</v>
      </c>
      <c r="N46" s="18">
        <f>IFERROR(__xludf.DUMMYFUNCTION("""COMPUTED_VALUE"""),45033.0)</f>
        <v>45033</v>
      </c>
      <c r="O46" s="18">
        <f>IFERROR(__xludf.DUMMYFUNCTION("""COMPUTED_VALUE"""),45165.0)</f>
        <v>45165</v>
      </c>
      <c r="P46" s="18">
        <f>IFERROR(__xludf.DUMMYFUNCTION("""COMPUTED_VALUE"""),45207.0)</f>
        <v>45207</v>
      </c>
      <c r="Q46" s="18"/>
      <c r="R46" s="18"/>
      <c r="S46" s="16"/>
      <c r="T46" s="16"/>
      <c r="U46" s="16" t="str">
        <f>IFERROR(__xludf.DUMMYFUNCTION("""COMPUTED_VALUE"""),"Global Classroom")</f>
        <v>Global Classroom</v>
      </c>
      <c r="V46" s="16" t="str">
        <f>IFERROR(__xludf.DUMMYFUNCTION("""COMPUTED_VALUE"""),"-")</f>
        <v>-</v>
      </c>
      <c r="W46" s="16" t="str">
        <f>IFERROR(__xludf.DUMMYFUNCTION("""COMPUTED_VALUE"""),"2021-02-04T08:36:33Z")</f>
        <v>2021-02-04T08:36:33Z</v>
      </c>
      <c r="X46" s="16"/>
      <c r="Y46" s="16"/>
      <c r="Z46" s="16"/>
    </row>
    <row r="47">
      <c r="A47" s="16" t="str">
        <f>IFERROR(__xludf.DUMMYFUNCTION("""COMPUTED_VALUE"""),"5244490_1287226")</f>
        <v>5244490_1287226</v>
      </c>
      <c r="B47" s="16" t="str">
        <f>IFERROR(__xludf.DUMMYFUNCTION("""COMPUTED_VALUE"""),"Tassnime Mallekh")</f>
        <v>Tassnime Mallekh</v>
      </c>
      <c r="C47" s="16" t="str">
        <f>IFERROR(__xludf.DUMMYFUNCTION("""COMPUTED_VALUE"""),"approved")</f>
        <v>approved</v>
      </c>
      <c r="D47" s="16" t="str">
        <f>IFERROR(__xludf.DUMMYFUNCTION("""COMPUTED_VALUE"""),"No")</f>
        <v>No</v>
      </c>
      <c r="E47" s="16" t="str">
        <f>IFERROR(__xludf.DUMMYFUNCTION("""COMPUTED_VALUE"""),"p_ebbae6cc5d72ce83e73ba1e4d06eb85bb9a92231@inbound.aiesec.org")</f>
        <v>p_ebbae6cc5d72ce83e73ba1e4d06eb85bb9a92231@inbound.aiesec.org</v>
      </c>
      <c r="F47" s="16">
        <f>IFERROR(__xludf.DUMMYFUNCTION("""COMPUTED_VALUE"""),5.0278004E7)</f>
        <v>50278004</v>
      </c>
      <c r="G47" s="16" t="str">
        <f>IFERROR(__xludf.DUMMYFUNCTION("""COMPUTED_VALUE"""),"Tunisia")</f>
        <v>Tunisia</v>
      </c>
      <c r="H47" s="16" t="str">
        <f>IFERROR(__xludf.DUMMYFUNCTION("""COMPUTED_VALUE"""),"BARDO")</f>
        <v>BARDO</v>
      </c>
      <c r="I47" s="16" t="str">
        <f>IFERROR(__xludf.DUMMYFUNCTION("""COMPUTED_VALUE"""),"Turkey")</f>
        <v>Turkey</v>
      </c>
      <c r="J47" s="16" t="str">
        <f>IFERROR(__xludf.DUMMYFUNCTION("""COMPUTED_VALUE"""),"ISTANBUL ASIA")</f>
        <v>ISTANBUL ASIA</v>
      </c>
      <c r="K47" s="17" t="str">
        <f>IFERROR(__xludf.DUMMYFUNCTION("""COMPUTED_VALUE"""),"https://expa.aiesec.org/opportunities/1287226")</f>
        <v>https://expa.aiesec.org/opportunities/1287226</v>
      </c>
      <c r="L47" s="16" t="str">
        <f>IFERROR(__xludf.DUMMYFUNCTION("""COMPUTED_VALUE"""),"GV")</f>
        <v>GV</v>
      </c>
      <c r="M47" s="16" t="str">
        <f>IFERROR(__xludf.DUMMYFUNCTION("""COMPUTED_VALUE"""),"short")</f>
        <v>short</v>
      </c>
      <c r="N47" s="18">
        <f>IFERROR(__xludf.DUMMYFUNCTION("""COMPUTED_VALUE"""),45034.0)</f>
        <v>45034</v>
      </c>
      <c r="O47" s="18">
        <f>IFERROR(__xludf.DUMMYFUNCTION("""COMPUTED_VALUE"""),45129.0)</f>
        <v>45129</v>
      </c>
      <c r="P47" s="18">
        <f>IFERROR(__xludf.DUMMYFUNCTION("""COMPUTED_VALUE"""),45171.0)</f>
        <v>45171</v>
      </c>
      <c r="Q47" s="18"/>
      <c r="R47" s="18"/>
      <c r="S47" s="16"/>
      <c r="T47" s="16"/>
      <c r="U47" s="16" t="str">
        <f>IFERROR(__xludf.DUMMYFUNCTION("""COMPUTED_VALUE"""),"Global Classroom")</f>
        <v>Global Classroom</v>
      </c>
      <c r="V47" s="16" t="str">
        <f>IFERROR(__xludf.DUMMYFUNCTION("""COMPUTED_VALUE"""),"TBS")</f>
        <v>TBS</v>
      </c>
      <c r="W47" s="16" t="str">
        <f>IFERROR(__xludf.DUMMYFUNCTION("""COMPUTED_VALUE"""),"2023-04-18T11:54:23Z")</f>
        <v>2023-04-18T11:54:23Z</v>
      </c>
      <c r="X47" s="16"/>
      <c r="Y47" s="16"/>
      <c r="Z47" s="16"/>
    </row>
    <row r="48">
      <c r="A48" s="16" t="str">
        <f>IFERROR(__xludf.DUMMYFUNCTION("""COMPUTED_VALUE"""),"5092445_1289228")</f>
        <v>5092445_1289228</v>
      </c>
      <c r="B48" s="16" t="str">
        <f>IFERROR(__xludf.DUMMYFUNCTION("""COMPUTED_VALUE"""),"Inas Emad")</f>
        <v>Inas Emad</v>
      </c>
      <c r="C48" s="16" t="str">
        <f>IFERROR(__xludf.DUMMYFUNCTION("""COMPUTED_VALUE"""),"approved")</f>
        <v>approved</v>
      </c>
      <c r="D48" s="16" t="str">
        <f>IFERROR(__xludf.DUMMYFUNCTION("""COMPUTED_VALUE"""),"No")</f>
        <v>No</v>
      </c>
      <c r="E48" s="16" t="str">
        <f>IFERROR(__xludf.DUMMYFUNCTION("""COMPUTED_VALUE"""),"p_0dcdce7df1af7ff32cfb48c3a739e3714896a24b@inbound.aiesec.org")</f>
        <v>p_0dcdce7df1af7ff32cfb48c3a739e3714896a24b@inbound.aiesec.org</v>
      </c>
      <c r="F48" s="16">
        <f>IFERROR(__xludf.DUMMYFUNCTION("""COMPUTED_VALUE"""),1.140755087E9)</f>
        <v>1140755087</v>
      </c>
      <c r="G48" s="16" t="str">
        <f>IFERROR(__xludf.DUMMYFUNCTION("""COMPUTED_VALUE"""),"Egypt")</f>
        <v>Egypt</v>
      </c>
      <c r="H48" s="16" t="str">
        <f>IFERROR(__xludf.DUMMYFUNCTION("""COMPUTED_VALUE"""),"Cairo University")</f>
        <v>Cairo University</v>
      </c>
      <c r="I48" s="16" t="str">
        <f>IFERROR(__xludf.DUMMYFUNCTION("""COMPUTED_VALUE"""),"Turkey")</f>
        <v>Turkey</v>
      </c>
      <c r="J48" s="16" t="str">
        <f>IFERROR(__xludf.DUMMYFUNCTION("""COMPUTED_VALUE"""),"ISTANBUL WEST")</f>
        <v>ISTANBUL WEST</v>
      </c>
      <c r="K48" s="17" t="str">
        <f>IFERROR(__xludf.DUMMYFUNCTION("""COMPUTED_VALUE"""),"https://expa.aiesec.org/opportunities/1289228")</f>
        <v>https://expa.aiesec.org/opportunities/1289228</v>
      </c>
      <c r="L48" s="16" t="str">
        <f>IFERROR(__xludf.DUMMYFUNCTION("""COMPUTED_VALUE"""),"GV")</f>
        <v>GV</v>
      </c>
      <c r="M48" s="16" t="str">
        <f>IFERROR(__xludf.DUMMYFUNCTION("""COMPUTED_VALUE"""),"short")</f>
        <v>short</v>
      </c>
      <c r="N48" s="18">
        <f>IFERROR(__xludf.DUMMYFUNCTION("""COMPUTED_VALUE"""),45035.0)</f>
        <v>45035</v>
      </c>
      <c r="O48" s="18">
        <f>IFERROR(__xludf.DUMMYFUNCTION("""COMPUTED_VALUE"""),45187.0)</f>
        <v>45187</v>
      </c>
      <c r="P48" s="18">
        <f>IFERROR(__xludf.DUMMYFUNCTION("""COMPUTED_VALUE"""),45229.0)</f>
        <v>45229</v>
      </c>
      <c r="Q48" s="18"/>
      <c r="R48" s="18"/>
      <c r="S48" s="16"/>
      <c r="T48" s="16"/>
      <c r="U48" s="16" t="str">
        <f>IFERROR(__xludf.DUMMYFUNCTION("""COMPUTED_VALUE"""),"Global Classroom")</f>
        <v>Global Classroom</v>
      </c>
      <c r="V48" s="16" t="str">
        <f>IFERROR(__xludf.DUMMYFUNCTION("""COMPUTED_VALUE"""),"Cairo Univeristy")</f>
        <v>Cairo Univeristy</v>
      </c>
      <c r="W48" s="16" t="str">
        <f>IFERROR(__xludf.DUMMYFUNCTION("""COMPUTED_VALUE"""),"2022-08-12T09:44:28Z")</f>
        <v>2022-08-12T09:44:28Z</v>
      </c>
      <c r="X48" s="16"/>
      <c r="Y48" s="16"/>
      <c r="Z48" s="16"/>
    </row>
    <row r="49">
      <c r="A49" s="16" t="str">
        <f>IFERROR(__xludf.DUMMYFUNCTION("""COMPUTED_VALUE"""),"5213983_1294068")</f>
        <v>5213983_1294068</v>
      </c>
      <c r="B49" s="16" t="str">
        <f>IFERROR(__xludf.DUMMYFUNCTION("""COMPUTED_VALUE"""),"Bors Rares")</f>
        <v>Bors Rares</v>
      </c>
      <c r="C49" s="16" t="str">
        <f>IFERROR(__xludf.DUMMYFUNCTION("""COMPUTED_VALUE"""),"approved")</f>
        <v>approved</v>
      </c>
      <c r="D49" s="16" t="str">
        <f>IFERROR(__xludf.DUMMYFUNCTION("""COMPUTED_VALUE"""),"No")</f>
        <v>No</v>
      </c>
      <c r="E49" s="16" t="str">
        <f>IFERROR(__xludf.DUMMYFUNCTION("""COMPUTED_VALUE"""),"p_2e9050abfa89bd33bf81bd6472be6940c22c9150@inbound.aiesec.org")</f>
        <v>p_2e9050abfa89bd33bf81bd6472be6940c22c9150@inbound.aiesec.org</v>
      </c>
      <c r="F49" s="16">
        <f>IFERROR(__xludf.DUMMYFUNCTION("""COMPUTED_VALUE"""),7.5561227E8)</f>
        <v>755612270</v>
      </c>
      <c r="G49" s="16" t="str">
        <f>IFERROR(__xludf.DUMMYFUNCTION("""COMPUTED_VALUE"""),"Romania")</f>
        <v>Romania</v>
      </c>
      <c r="H49" s="16" t="str">
        <f>IFERROR(__xludf.DUMMYFUNCTION("""COMPUTED_VALUE"""),"GALATI")</f>
        <v>GALATI</v>
      </c>
      <c r="I49" s="16" t="str">
        <f>IFERROR(__xludf.DUMMYFUNCTION("""COMPUTED_VALUE"""),"Turkey")</f>
        <v>Turkey</v>
      </c>
      <c r="J49" s="16" t="str">
        <f>IFERROR(__xludf.DUMMYFUNCTION("""COMPUTED_VALUE"""),"DENIZLI")</f>
        <v>DENIZLI</v>
      </c>
      <c r="K49" s="17" t="str">
        <f>IFERROR(__xludf.DUMMYFUNCTION("""COMPUTED_VALUE"""),"https://expa.aiesec.org/opportunities/1294068")</f>
        <v>https://expa.aiesec.org/opportunities/1294068</v>
      </c>
      <c r="L49" s="16" t="str">
        <f>IFERROR(__xludf.DUMMYFUNCTION("""COMPUTED_VALUE"""),"GV")</f>
        <v>GV</v>
      </c>
      <c r="M49" s="16" t="str">
        <f>IFERROR(__xludf.DUMMYFUNCTION("""COMPUTED_VALUE"""),"short")</f>
        <v>short</v>
      </c>
      <c r="N49" s="18">
        <f>IFERROR(__xludf.DUMMYFUNCTION("""COMPUTED_VALUE"""),45035.0)</f>
        <v>45035</v>
      </c>
      <c r="O49" s="18">
        <f>IFERROR(__xludf.DUMMYFUNCTION("""COMPUTED_VALUE"""),45124.0)</f>
        <v>45124</v>
      </c>
      <c r="P49" s="18">
        <f>IFERROR(__xludf.DUMMYFUNCTION("""COMPUTED_VALUE"""),45166.0)</f>
        <v>45166</v>
      </c>
      <c r="Q49" s="18"/>
      <c r="R49" s="18"/>
      <c r="S49" s="16"/>
      <c r="T49" s="16"/>
      <c r="U49" s="16" t="str">
        <f>IFERROR(__xludf.DUMMYFUNCTION("""COMPUTED_VALUE"""),"Equify")</f>
        <v>Equify</v>
      </c>
      <c r="V49" s="16" t="str">
        <f>IFERROR(__xludf.DUMMYFUNCTION("""COMPUTED_VALUE"""),"Galati")</f>
        <v>Galati</v>
      </c>
      <c r="W49" s="16" t="str">
        <f>IFERROR(__xludf.DUMMYFUNCTION("""COMPUTED_VALUE"""),"2023-03-12T17:09:14Z")</f>
        <v>2023-03-12T17:09:14Z</v>
      </c>
      <c r="X49" s="16"/>
      <c r="Y49" s="16"/>
      <c r="Z49" s="16"/>
    </row>
    <row r="50">
      <c r="A50" s="16" t="str">
        <f>IFERROR(__xludf.DUMMYFUNCTION("""COMPUTED_VALUE"""),"5246199_1272564")</f>
        <v>5246199_1272564</v>
      </c>
      <c r="B50" s="16" t="str">
        <f>IFERROR(__xludf.DUMMYFUNCTION("""COMPUTED_VALUE"""),"Farah Hamrouni")</f>
        <v>Farah Hamrouni</v>
      </c>
      <c r="C50" s="16" t="str">
        <f>IFERROR(__xludf.DUMMYFUNCTION("""COMPUTED_VALUE"""),"approved")</f>
        <v>approved</v>
      </c>
      <c r="D50" s="16" t="str">
        <f>IFERROR(__xludf.DUMMYFUNCTION("""COMPUTED_VALUE"""),"No")</f>
        <v>No</v>
      </c>
      <c r="E50" s="16" t="str">
        <f>IFERROR(__xludf.DUMMYFUNCTION("""COMPUTED_VALUE"""),"p_c3984a608edc536d16acf7a1a667bfce3ecf27cf@inbound.aiesec.org")</f>
        <v>p_c3984a608edc536d16acf7a1a667bfce3ecf27cf@inbound.aiesec.org</v>
      </c>
      <c r="F50" s="16">
        <f>IFERROR(__xludf.DUMMYFUNCTION("""COMPUTED_VALUE"""),2.2060093E7)</f>
        <v>22060093</v>
      </c>
      <c r="G50" s="16" t="str">
        <f>IFERROR(__xludf.DUMMYFUNCTION("""COMPUTED_VALUE"""),"Tunisia")</f>
        <v>Tunisia</v>
      </c>
      <c r="H50" s="16" t="str">
        <f>IFERROR(__xludf.DUMMYFUNCTION("""COMPUTED_VALUE"""),"UNIVERSITY")</f>
        <v>UNIVERSITY</v>
      </c>
      <c r="I50" s="16" t="str">
        <f>IFERROR(__xludf.DUMMYFUNCTION("""COMPUTED_VALUE"""),"Turkey")</f>
        <v>Turkey</v>
      </c>
      <c r="J50" s="16" t="str">
        <f>IFERROR(__xludf.DUMMYFUNCTION("""COMPUTED_VALUE"""),"ISTANBUL")</f>
        <v>ISTANBUL</v>
      </c>
      <c r="K50" s="17" t="str">
        <f>IFERROR(__xludf.DUMMYFUNCTION("""COMPUTED_VALUE"""),"https://expa.aiesec.org/opportunities/1272564")</f>
        <v>https://expa.aiesec.org/opportunities/1272564</v>
      </c>
      <c r="L50" s="16" t="str">
        <f>IFERROR(__xludf.DUMMYFUNCTION("""COMPUTED_VALUE"""),"GV")</f>
        <v>GV</v>
      </c>
      <c r="M50" s="16" t="str">
        <f>IFERROR(__xludf.DUMMYFUNCTION("""COMPUTED_VALUE"""),"short")</f>
        <v>short</v>
      </c>
      <c r="N50" s="18">
        <f>IFERROR(__xludf.DUMMYFUNCTION("""COMPUTED_VALUE"""),45036.0)</f>
        <v>45036</v>
      </c>
      <c r="O50" s="18">
        <f>IFERROR(__xludf.DUMMYFUNCTION("""COMPUTED_VALUE"""),45162.0)</f>
        <v>45162</v>
      </c>
      <c r="P50" s="18">
        <f>IFERROR(__xludf.DUMMYFUNCTION("""COMPUTED_VALUE"""),45204.0)</f>
        <v>45204</v>
      </c>
      <c r="Q50" s="18"/>
      <c r="R50" s="18"/>
      <c r="S50" s="16"/>
      <c r="T50" s="16"/>
      <c r="U50" s="16" t="str">
        <f>IFERROR(__xludf.DUMMYFUNCTION("""COMPUTED_VALUE"""),"Global Classroom")</f>
        <v>Global Classroom</v>
      </c>
      <c r="V50" s="16" t="str">
        <f>IFERROR(__xludf.DUMMYFUNCTION("""COMPUTED_VALUE"""),"FST")</f>
        <v>FST</v>
      </c>
      <c r="W50" s="16" t="str">
        <f>IFERROR(__xludf.DUMMYFUNCTION("""COMPUTED_VALUE"""),"2023-04-20T13:00:45Z")</f>
        <v>2023-04-20T13:00:45Z</v>
      </c>
      <c r="X50" s="16"/>
      <c r="Y50" s="16"/>
      <c r="Z50" s="16"/>
    </row>
    <row r="51">
      <c r="A51" s="16" t="str">
        <f>IFERROR(__xludf.DUMMYFUNCTION("""COMPUTED_VALUE"""),"5246201_1272564")</f>
        <v>5246201_1272564</v>
      </c>
      <c r="B51" s="16" t="str">
        <f>IFERROR(__xludf.DUMMYFUNCTION("""COMPUTED_VALUE"""),"Nour Slama")</f>
        <v>Nour Slama</v>
      </c>
      <c r="C51" s="16" t="str">
        <f>IFERROR(__xludf.DUMMYFUNCTION("""COMPUTED_VALUE"""),"approved")</f>
        <v>approved</v>
      </c>
      <c r="D51" s="16" t="str">
        <f>IFERROR(__xludf.DUMMYFUNCTION("""COMPUTED_VALUE"""),"No")</f>
        <v>No</v>
      </c>
      <c r="E51" s="16" t="str">
        <f>IFERROR(__xludf.DUMMYFUNCTION("""COMPUTED_VALUE"""),"p_2e567af8dc46ad77bc82a831da0a9ef06bc7d674@inbound.aiesec.org")</f>
        <v>p_2e567af8dc46ad77bc82a831da0a9ef06bc7d674@inbound.aiesec.org</v>
      </c>
      <c r="F51" s="16">
        <f>IFERROR(__xludf.DUMMYFUNCTION("""COMPUTED_VALUE"""),2.2866822E7)</f>
        <v>22866822</v>
      </c>
      <c r="G51" s="16" t="str">
        <f>IFERROR(__xludf.DUMMYFUNCTION("""COMPUTED_VALUE"""),"Tunisia")</f>
        <v>Tunisia</v>
      </c>
      <c r="H51" s="16" t="str">
        <f>IFERROR(__xludf.DUMMYFUNCTION("""COMPUTED_VALUE"""),"UNIVERSITY")</f>
        <v>UNIVERSITY</v>
      </c>
      <c r="I51" s="16" t="str">
        <f>IFERROR(__xludf.DUMMYFUNCTION("""COMPUTED_VALUE"""),"Turkey")</f>
        <v>Turkey</v>
      </c>
      <c r="J51" s="16" t="str">
        <f>IFERROR(__xludf.DUMMYFUNCTION("""COMPUTED_VALUE"""),"ISTANBUL")</f>
        <v>ISTANBUL</v>
      </c>
      <c r="K51" s="17" t="str">
        <f>IFERROR(__xludf.DUMMYFUNCTION("""COMPUTED_VALUE"""),"https://expa.aiesec.org/opportunities/1272564")</f>
        <v>https://expa.aiesec.org/opportunities/1272564</v>
      </c>
      <c r="L51" s="16" t="str">
        <f>IFERROR(__xludf.DUMMYFUNCTION("""COMPUTED_VALUE"""),"GV")</f>
        <v>GV</v>
      </c>
      <c r="M51" s="16" t="str">
        <f>IFERROR(__xludf.DUMMYFUNCTION("""COMPUTED_VALUE"""),"short")</f>
        <v>short</v>
      </c>
      <c r="N51" s="18">
        <f>IFERROR(__xludf.DUMMYFUNCTION("""COMPUTED_VALUE"""),45036.0)</f>
        <v>45036</v>
      </c>
      <c r="O51" s="18">
        <f>IFERROR(__xludf.DUMMYFUNCTION("""COMPUTED_VALUE"""),45162.0)</f>
        <v>45162</v>
      </c>
      <c r="P51" s="18">
        <f>IFERROR(__xludf.DUMMYFUNCTION("""COMPUTED_VALUE"""),45204.0)</f>
        <v>45204</v>
      </c>
      <c r="Q51" s="18"/>
      <c r="R51" s="18"/>
      <c r="S51" s="16"/>
      <c r="T51" s="16"/>
      <c r="U51" s="16" t="str">
        <f>IFERROR(__xludf.DUMMYFUNCTION("""COMPUTED_VALUE"""),"Global Classroom")</f>
        <v>Global Classroom</v>
      </c>
      <c r="V51" s="16" t="str">
        <f>IFERROR(__xludf.DUMMYFUNCTION("""COMPUTED_VALUE"""),"École supérieure des sciences et techniques de la santé de Tunis ESSTST")</f>
        <v>École supérieure des sciences et techniques de la santé de Tunis ESSTST</v>
      </c>
      <c r="W51" s="16" t="str">
        <f>IFERROR(__xludf.DUMMYFUNCTION("""COMPUTED_VALUE"""),"2023-04-20T13:01:41Z")</f>
        <v>2023-04-20T13:01:41Z</v>
      </c>
      <c r="X51" s="16"/>
      <c r="Y51" s="16"/>
      <c r="Z51" s="16"/>
    </row>
    <row r="52">
      <c r="A52" s="16" t="str">
        <f>IFERROR(__xludf.DUMMYFUNCTION("""COMPUTED_VALUE"""),"5244604_1294410")</f>
        <v>5244604_1294410</v>
      </c>
      <c r="B52" s="16" t="str">
        <f>IFERROR(__xludf.DUMMYFUNCTION("""COMPUTED_VALUE"""),"Eman Saeed")</f>
        <v>Eman Saeed</v>
      </c>
      <c r="C52" s="16" t="str">
        <f>IFERROR(__xludf.DUMMYFUNCTION("""COMPUTED_VALUE"""),"approved")</f>
        <v>approved</v>
      </c>
      <c r="D52" s="16" t="str">
        <f>IFERROR(__xludf.DUMMYFUNCTION("""COMPUTED_VALUE"""),"No")</f>
        <v>No</v>
      </c>
      <c r="E52" s="16" t="str">
        <f>IFERROR(__xludf.DUMMYFUNCTION("""COMPUTED_VALUE"""),"p_354afc435dbe29ef0331404a68f7ecd1518b03ad@inbound.aiesec.org")</f>
        <v>p_354afc435dbe29ef0331404a68f7ecd1518b03ad@inbound.aiesec.org</v>
      </c>
      <c r="F52" s="16">
        <f>IFERROR(__xludf.DUMMYFUNCTION("""COMPUTED_VALUE"""),1.159162104E9)</f>
        <v>1159162104</v>
      </c>
      <c r="G52" s="16" t="str">
        <f>IFERROR(__xludf.DUMMYFUNCTION("""COMPUTED_VALUE"""),"Egypt")</f>
        <v>Egypt</v>
      </c>
      <c r="H52" s="16" t="str">
        <f>IFERROR(__xludf.DUMMYFUNCTION("""COMPUTED_VALUE"""),"AAST In CAIRO")</f>
        <v>AAST In CAIRO</v>
      </c>
      <c r="I52" s="16" t="str">
        <f>IFERROR(__xludf.DUMMYFUNCTION("""COMPUTED_VALUE"""),"Turkey")</f>
        <v>Turkey</v>
      </c>
      <c r="J52" s="16" t="str">
        <f>IFERROR(__xludf.DUMMYFUNCTION("""COMPUTED_VALUE"""),"İZMİR")</f>
        <v>İZMİR</v>
      </c>
      <c r="K52" s="17" t="str">
        <f>IFERROR(__xludf.DUMMYFUNCTION("""COMPUTED_VALUE"""),"https://expa.aiesec.org/opportunities/1294410")</f>
        <v>https://expa.aiesec.org/opportunities/1294410</v>
      </c>
      <c r="L52" s="16" t="str">
        <f>IFERROR(__xludf.DUMMYFUNCTION("""COMPUTED_VALUE"""),"GV")</f>
        <v>GV</v>
      </c>
      <c r="M52" s="16" t="str">
        <f>IFERROR(__xludf.DUMMYFUNCTION("""COMPUTED_VALUE"""),"short")</f>
        <v>short</v>
      </c>
      <c r="N52" s="18">
        <f>IFERROR(__xludf.DUMMYFUNCTION("""COMPUTED_VALUE"""),45036.0)</f>
        <v>45036</v>
      </c>
      <c r="O52" s="18">
        <f>IFERROR(__xludf.DUMMYFUNCTION("""COMPUTED_VALUE"""),45138.0)</f>
        <v>45138</v>
      </c>
      <c r="P52" s="18">
        <f>IFERROR(__xludf.DUMMYFUNCTION("""COMPUTED_VALUE"""),45180.0)</f>
        <v>45180</v>
      </c>
      <c r="Q52" s="18"/>
      <c r="R52" s="18"/>
      <c r="S52" s="16"/>
      <c r="T52" s="16"/>
      <c r="U52" s="16" t="str">
        <f>IFERROR(__xludf.DUMMYFUNCTION("""COMPUTED_VALUE"""),"Global Classroom")</f>
        <v>Global Classroom</v>
      </c>
      <c r="V52" s="16" t="str">
        <f>IFERROR(__xludf.DUMMYFUNCTION("""COMPUTED_VALUE"""),"BUE University")</f>
        <v>BUE University</v>
      </c>
      <c r="W52" s="16" t="str">
        <f>IFERROR(__xludf.DUMMYFUNCTION("""COMPUTED_VALUE"""),"2023-04-18T13:59:08Z")</f>
        <v>2023-04-18T13:59:08Z</v>
      </c>
      <c r="X52" s="16"/>
      <c r="Y52" s="16"/>
      <c r="Z52" s="16"/>
    </row>
    <row r="53">
      <c r="A53" s="16" t="str">
        <f>IFERROR(__xludf.DUMMYFUNCTION("""COMPUTED_VALUE"""),"5229293_1294254")</f>
        <v>5229293_1294254</v>
      </c>
      <c r="B53" s="16" t="str">
        <f>IFERROR(__xludf.DUMMYFUNCTION("""COMPUTED_VALUE"""),"Ana Novaković")</f>
        <v>Ana Novaković</v>
      </c>
      <c r="C53" s="16" t="str">
        <f>IFERROR(__xludf.DUMMYFUNCTION("""COMPUTED_VALUE"""),"approved")</f>
        <v>approved</v>
      </c>
      <c r="D53" s="16" t="str">
        <f>IFERROR(__xludf.DUMMYFUNCTION("""COMPUTED_VALUE"""),"No")</f>
        <v>No</v>
      </c>
      <c r="E53" s="16" t="str">
        <f>IFERROR(__xludf.DUMMYFUNCTION("""COMPUTED_VALUE"""),"p_c97dfc9936da99eb90be36aa9fbd51d53c97d331@inbound.aiesec.org")</f>
        <v>p_c97dfc9936da99eb90be36aa9fbd51d53c97d331@inbound.aiesec.org</v>
      </c>
      <c r="F53" s="16">
        <f>IFERROR(__xludf.DUMMYFUNCTION("""COMPUTED_VALUE"""),6.07010962E8)</f>
        <v>607010962</v>
      </c>
      <c r="G53" s="16" t="str">
        <f>IFERROR(__xludf.DUMMYFUNCTION("""COMPUTED_VALUE"""),"Serbia")</f>
        <v>Serbia</v>
      </c>
      <c r="H53" s="16" t="str">
        <f>IFERROR(__xludf.DUMMYFUNCTION("""COMPUTED_VALUE"""),"Belgrade Faculty of Economics (EF)")</f>
        <v>Belgrade Faculty of Economics (EF)</v>
      </c>
      <c r="I53" s="16" t="str">
        <f>IFERROR(__xludf.DUMMYFUNCTION("""COMPUTED_VALUE"""),"Turkey")</f>
        <v>Turkey</v>
      </c>
      <c r="J53" s="16" t="str">
        <f>IFERROR(__xludf.DUMMYFUNCTION("""COMPUTED_VALUE"""),"İZMİR")</f>
        <v>İZMİR</v>
      </c>
      <c r="K53" s="17" t="str">
        <f>IFERROR(__xludf.DUMMYFUNCTION("""COMPUTED_VALUE"""),"https://expa.aiesec.org/opportunities/1294254")</f>
        <v>https://expa.aiesec.org/opportunities/1294254</v>
      </c>
      <c r="L53" s="16" t="str">
        <f>IFERROR(__xludf.DUMMYFUNCTION("""COMPUTED_VALUE"""),"GV")</f>
        <v>GV</v>
      </c>
      <c r="M53" s="16" t="str">
        <f>IFERROR(__xludf.DUMMYFUNCTION("""COMPUTED_VALUE"""),"short")</f>
        <v>short</v>
      </c>
      <c r="N53" s="18">
        <f>IFERROR(__xludf.DUMMYFUNCTION("""COMPUTED_VALUE"""),45038.0)</f>
        <v>45038</v>
      </c>
      <c r="O53" s="18">
        <f>IFERROR(__xludf.DUMMYFUNCTION("""COMPUTED_VALUE"""),45145.0)</f>
        <v>45145</v>
      </c>
      <c r="P53" s="18">
        <f>IFERROR(__xludf.DUMMYFUNCTION("""COMPUTED_VALUE"""),45187.0)</f>
        <v>45187</v>
      </c>
      <c r="Q53" s="18"/>
      <c r="R53" s="18"/>
      <c r="S53" s="16"/>
      <c r="T53" s="16"/>
      <c r="U53" s="16" t="str">
        <f>IFERROR(__xludf.DUMMYFUNCTION("""COMPUTED_VALUE"""),"Skill Up!")</f>
        <v>Skill Up!</v>
      </c>
      <c r="V53" s="16" t="str">
        <f>IFERROR(__xludf.DUMMYFUNCTION("""COMPUTED_VALUE"""),"Faculty of Law, Belgrade")</f>
        <v>Faculty of Law, Belgrade</v>
      </c>
      <c r="W53" s="16" t="str">
        <f>IFERROR(__xludf.DUMMYFUNCTION("""COMPUTED_VALUE"""),"2023-03-28T17:26:06Z")</f>
        <v>2023-03-28T17:26:06Z</v>
      </c>
      <c r="X53" s="16"/>
      <c r="Y53" s="16"/>
      <c r="Z53" s="16"/>
    </row>
    <row r="54">
      <c r="A54" s="16" t="str">
        <f>IFERROR(__xludf.DUMMYFUNCTION("""COMPUTED_VALUE"""),"5245700_1287749")</f>
        <v>5245700_1287749</v>
      </c>
      <c r="B54" s="16" t="str">
        <f>IFERROR(__xludf.DUMMYFUNCTION("""COMPUTED_VALUE"""),"Tasneem Kawekji")</f>
        <v>Tasneem Kawekji</v>
      </c>
      <c r="C54" s="16" t="str">
        <f>IFERROR(__xludf.DUMMYFUNCTION("""COMPUTED_VALUE"""),"approved")</f>
        <v>approved</v>
      </c>
      <c r="D54" s="16" t="str">
        <f>IFERROR(__xludf.DUMMYFUNCTION("""COMPUTED_VALUE"""),"No")</f>
        <v>No</v>
      </c>
      <c r="E54" s="16" t="str">
        <f>IFERROR(__xludf.DUMMYFUNCTION("""COMPUTED_VALUE"""),"p_4905a86f1812dded479df07d7f80794407ee8c30@inbound.aiesec.org")</f>
        <v>p_4905a86f1812dded479df07d7f80794407ee8c30@inbound.aiesec.org</v>
      </c>
      <c r="F54" s="16"/>
      <c r="G54" s="16" t="str">
        <f>IFERROR(__xludf.DUMMYFUNCTION("""COMPUTED_VALUE"""),"Egypt")</f>
        <v>Egypt</v>
      </c>
      <c r="H54" s="16" t="str">
        <f>IFERROR(__xludf.DUMMYFUNCTION("""COMPUTED_VALUE"""),"AAST In CAIRO")</f>
        <v>AAST In CAIRO</v>
      </c>
      <c r="I54" s="16" t="str">
        <f>IFERROR(__xludf.DUMMYFUNCTION("""COMPUTED_VALUE"""),"Turkey")</f>
        <v>Turkey</v>
      </c>
      <c r="J54" s="16" t="str">
        <f>IFERROR(__xludf.DUMMYFUNCTION("""COMPUTED_VALUE"""),"İZMİR")</f>
        <v>İZMİR</v>
      </c>
      <c r="K54" s="17" t="str">
        <f>IFERROR(__xludf.DUMMYFUNCTION("""COMPUTED_VALUE"""),"https://expa.aiesec.org/opportunities/1287749")</f>
        <v>https://expa.aiesec.org/opportunities/1287749</v>
      </c>
      <c r="L54" s="16" t="str">
        <f>IFERROR(__xludf.DUMMYFUNCTION("""COMPUTED_VALUE"""),"GV")</f>
        <v>GV</v>
      </c>
      <c r="M54" s="16" t="str">
        <f>IFERROR(__xludf.DUMMYFUNCTION("""COMPUTED_VALUE"""),"short")</f>
        <v>short</v>
      </c>
      <c r="N54" s="18">
        <f>IFERROR(__xludf.DUMMYFUNCTION("""COMPUTED_VALUE"""),45039.0)</f>
        <v>45039</v>
      </c>
      <c r="O54" s="18">
        <f>IFERROR(__xludf.DUMMYFUNCTION("""COMPUTED_VALUE"""),45130.0)</f>
        <v>45130</v>
      </c>
      <c r="P54" s="18">
        <f>IFERROR(__xludf.DUMMYFUNCTION("""COMPUTED_VALUE"""),45172.0)</f>
        <v>45172</v>
      </c>
      <c r="Q54" s="18"/>
      <c r="R54" s="18"/>
      <c r="S54" s="16"/>
      <c r="T54" s="16"/>
      <c r="U54" s="16" t="str">
        <f>IFERROR(__xludf.DUMMYFUNCTION("""COMPUTED_VALUE"""),"Global Classroom")</f>
        <v>Global Classroom</v>
      </c>
      <c r="V54" s="16" t="str">
        <f>IFERROR(__xludf.DUMMYFUNCTION("""COMPUTED_VALUE"""),"BUE University")</f>
        <v>BUE University</v>
      </c>
      <c r="W54" s="16" t="str">
        <f>IFERROR(__xludf.DUMMYFUNCTION("""COMPUTED_VALUE"""),"2023-04-19T21:54:53Z")</f>
        <v>2023-04-19T21:54:53Z</v>
      </c>
      <c r="X54" s="16"/>
      <c r="Y54" s="16"/>
      <c r="Z54" s="16"/>
    </row>
    <row r="55">
      <c r="A55" s="16" t="str">
        <f>IFERROR(__xludf.DUMMYFUNCTION("""COMPUTED_VALUE"""),"5248601_1286326")</f>
        <v>5248601_1286326</v>
      </c>
      <c r="B55" s="16" t="str">
        <f>IFERROR(__xludf.DUMMYFUNCTION("""COMPUTED_VALUE"""),"Aziz Radhouani")</f>
        <v>Aziz Radhouani</v>
      </c>
      <c r="C55" s="16" t="str">
        <f>IFERROR(__xludf.DUMMYFUNCTION("""COMPUTED_VALUE"""),"approved")</f>
        <v>approved</v>
      </c>
      <c r="D55" s="16" t="str">
        <f>IFERROR(__xludf.DUMMYFUNCTION("""COMPUTED_VALUE"""),"No")</f>
        <v>No</v>
      </c>
      <c r="E55" s="16" t="str">
        <f>IFERROR(__xludf.DUMMYFUNCTION("""COMPUTED_VALUE"""),"p_11842b5d1bcd9ba9cc8220a381e5520558ff2dec@inbound.aiesec.org")</f>
        <v>p_11842b5d1bcd9ba9cc8220a381e5520558ff2dec@inbound.aiesec.org</v>
      </c>
      <c r="F55" s="16">
        <f>IFERROR(__xludf.DUMMYFUNCTION("""COMPUTED_VALUE"""),9.2497045E7)</f>
        <v>92497045</v>
      </c>
      <c r="G55" s="16" t="str">
        <f>IFERROR(__xludf.DUMMYFUNCTION("""COMPUTED_VALUE"""),"Tunisia")</f>
        <v>Tunisia</v>
      </c>
      <c r="H55" s="16" t="str">
        <f>IFERROR(__xludf.DUMMYFUNCTION("""COMPUTED_VALUE"""),"BARDO")</f>
        <v>BARDO</v>
      </c>
      <c r="I55" s="16" t="str">
        <f>IFERROR(__xludf.DUMMYFUNCTION("""COMPUTED_VALUE"""),"Turkey")</f>
        <v>Turkey</v>
      </c>
      <c r="J55" s="16" t="str">
        <f>IFERROR(__xludf.DUMMYFUNCTION("""COMPUTED_VALUE"""),"ADANA")</f>
        <v>ADANA</v>
      </c>
      <c r="K55" s="17" t="str">
        <f>IFERROR(__xludf.DUMMYFUNCTION("""COMPUTED_VALUE"""),"https://expa.aiesec.org/opportunities/1286326")</f>
        <v>https://expa.aiesec.org/opportunities/1286326</v>
      </c>
      <c r="L55" s="16" t="str">
        <f>IFERROR(__xludf.DUMMYFUNCTION("""COMPUTED_VALUE"""),"GV")</f>
        <v>GV</v>
      </c>
      <c r="M55" s="16" t="str">
        <f>IFERROR(__xludf.DUMMYFUNCTION("""COMPUTED_VALUE"""),"short")</f>
        <v>short</v>
      </c>
      <c r="N55" s="18">
        <f>IFERROR(__xludf.DUMMYFUNCTION("""COMPUTED_VALUE"""),45041.0)</f>
        <v>45041</v>
      </c>
      <c r="O55" s="18">
        <f>IFERROR(__xludf.DUMMYFUNCTION("""COMPUTED_VALUE"""),45145.0)</f>
        <v>45145</v>
      </c>
      <c r="P55" s="18">
        <f>IFERROR(__xludf.DUMMYFUNCTION("""COMPUTED_VALUE"""),45191.0)</f>
        <v>45191</v>
      </c>
      <c r="Q55" s="18"/>
      <c r="R55" s="18"/>
      <c r="S55" s="16"/>
      <c r="T55" s="16"/>
      <c r="U55" s="16" t="str">
        <f>IFERROR(__xludf.DUMMYFUNCTION("""COMPUTED_VALUE"""),"Equify")</f>
        <v>Equify</v>
      </c>
      <c r="V55" s="16" t="str">
        <f>IFERROR(__xludf.DUMMYFUNCTION("""COMPUTED_VALUE"""),"FSHS Tunis")</f>
        <v>FSHS Tunis</v>
      </c>
      <c r="W55" s="16" t="str">
        <f>IFERROR(__xludf.DUMMYFUNCTION("""COMPUTED_VALUE"""),"2023-04-24T21:08:48Z")</f>
        <v>2023-04-24T21:08:48Z</v>
      </c>
      <c r="X55" s="16"/>
      <c r="Y55" s="16"/>
      <c r="Z55" s="16"/>
    </row>
    <row r="56">
      <c r="A56" s="16" t="str">
        <f>IFERROR(__xludf.DUMMYFUNCTION("""COMPUTED_VALUE"""),"5249249_1289100")</f>
        <v>5249249_1289100</v>
      </c>
      <c r="B56" s="16" t="str">
        <f>IFERROR(__xludf.DUMMYFUNCTION("""COMPUTED_VALUE"""),"Mouna Gharbi")</f>
        <v>Mouna Gharbi</v>
      </c>
      <c r="C56" s="16" t="str">
        <f>IFERROR(__xludf.DUMMYFUNCTION("""COMPUTED_VALUE"""),"approved")</f>
        <v>approved</v>
      </c>
      <c r="D56" s="16" t="str">
        <f>IFERROR(__xludf.DUMMYFUNCTION("""COMPUTED_VALUE"""),"No")</f>
        <v>No</v>
      </c>
      <c r="E56" s="16" t="str">
        <f>IFERROR(__xludf.DUMMYFUNCTION("""COMPUTED_VALUE"""),"p_4f60b8034f65dd2b7246b5b1a02a988964ff12bc@inbound.aiesec.org")</f>
        <v>p_4f60b8034f65dd2b7246b5b1a02a988964ff12bc@inbound.aiesec.org</v>
      </c>
      <c r="F56" s="16">
        <f>IFERROR(__xludf.DUMMYFUNCTION("""COMPUTED_VALUE"""),5.8039143E7)</f>
        <v>58039143</v>
      </c>
      <c r="G56" s="16" t="str">
        <f>IFERROR(__xludf.DUMMYFUNCTION("""COMPUTED_VALUE"""),"Tunisia")</f>
        <v>Tunisia</v>
      </c>
      <c r="H56" s="16" t="str">
        <f>IFERROR(__xludf.DUMMYFUNCTION("""COMPUTED_VALUE"""),"BARDO")</f>
        <v>BARDO</v>
      </c>
      <c r="I56" s="16" t="str">
        <f>IFERROR(__xludf.DUMMYFUNCTION("""COMPUTED_VALUE"""),"Turkey")</f>
        <v>Turkey</v>
      </c>
      <c r="J56" s="16" t="str">
        <f>IFERROR(__xludf.DUMMYFUNCTION("""COMPUTED_VALUE"""),"KOCAELI")</f>
        <v>KOCAELI</v>
      </c>
      <c r="K56" s="17" t="str">
        <f>IFERROR(__xludf.DUMMYFUNCTION("""COMPUTED_VALUE"""),"https://expa.aiesec.org/opportunities/1289100")</f>
        <v>https://expa.aiesec.org/opportunities/1289100</v>
      </c>
      <c r="L56" s="16" t="str">
        <f>IFERROR(__xludf.DUMMYFUNCTION("""COMPUTED_VALUE"""),"GV")</f>
        <v>GV</v>
      </c>
      <c r="M56" s="16" t="str">
        <f>IFERROR(__xludf.DUMMYFUNCTION("""COMPUTED_VALUE"""),"short")</f>
        <v>short</v>
      </c>
      <c r="N56" s="18">
        <f>IFERROR(__xludf.DUMMYFUNCTION("""COMPUTED_VALUE"""),45041.0)</f>
        <v>45041</v>
      </c>
      <c r="O56" s="18">
        <f>IFERROR(__xludf.DUMMYFUNCTION("""COMPUTED_VALUE"""),45152.0)</f>
        <v>45152</v>
      </c>
      <c r="P56" s="18">
        <f>IFERROR(__xludf.DUMMYFUNCTION("""COMPUTED_VALUE"""),45194.0)</f>
        <v>45194</v>
      </c>
      <c r="Q56" s="18"/>
      <c r="R56" s="18"/>
      <c r="S56" s="16"/>
      <c r="T56" s="16"/>
      <c r="U56" s="16" t="str">
        <f>IFERROR(__xludf.DUMMYFUNCTION("""COMPUTED_VALUE"""),"Global Classroom")</f>
        <v>Global Classroom</v>
      </c>
      <c r="V56" s="16" t="str">
        <f>IFERROR(__xludf.DUMMYFUNCTION("""COMPUTED_VALUE"""),"IPELSHT")</f>
        <v>IPELSHT</v>
      </c>
      <c r="W56" s="16" t="str">
        <f>IFERROR(__xludf.DUMMYFUNCTION("""COMPUTED_VALUE"""),"2023-04-25T16:44:40Z")</f>
        <v>2023-04-25T16:44:40Z</v>
      </c>
      <c r="X56" s="16"/>
      <c r="Y56" s="16"/>
      <c r="Z56" s="16"/>
    </row>
    <row r="57">
      <c r="A57" s="16" t="str">
        <f>IFERROR(__xludf.DUMMYFUNCTION("""COMPUTED_VALUE"""),"5218820_1288663")</f>
        <v>5218820_1288663</v>
      </c>
      <c r="B57" s="16" t="str">
        <f>IFERROR(__xludf.DUMMYFUNCTION("""COMPUTED_VALUE"""),"Mina Radovanović")</f>
        <v>Mina Radovanović</v>
      </c>
      <c r="C57" s="16" t="str">
        <f>IFERROR(__xludf.DUMMYFUNCTION("""COMPUTED_VALUE"""),"approved")</f>
        <v>approved</v>
      </c>
      <c r="D57" s="16" t="str">
        <f>IFERROR(__xludf.DUMMYFUNCTION("""COMPUTED_VALUE"""),"No")</f>
        <v>No</v>
      </c>
      <c r="E57" s="16" t="str">
        <f>IFERROR(__xludf.DUMMYFUNCTION("""COMPUTED_VALUE"""),"p_112679ee085843b87076f3ab7eb3cb9115ff9fdc@inbound.aiesec.org")</f>
        <v>p_112679ee085843b87076f3ab7eb3cb9115ff9fdc@inbound.aiesec.org</v>
      </c>
      <c r="F57" s="16">
        <f>IFERROR(__xludf.DUMMYFUNCTION("""COMPUTED_VALUE"""),6.11088069E8)</f>
        <v>611088069</v>
      </c>
      <c r="G57" s="16" t="str">
        <f>IFERROR(__xludf.DUMMYFUNCTION("""COMPUTED_VALUE"""),"Serbia")</f>
        <v>Serbia</v>
      </c>
      <c r="H57" s="16" t="str">
        <f>IFERROR(__xludf.DUMMYFUNCTION("""COMPUTED_VALUE"""),"NOVI SAD")</f>
        <v>NOVI SAD</v>
      </c>
      <c r="I57" s="16" t="str">
        <f>IFERROR(__xludf.DUMMYFUNCTION("""COMPUTED_VALUE"""),"Turkey")</f>
        <v>Turkey</v>
      </c>
      <c r="J57" s="16" t="str">
        <f>IFERROR(__xludf.DUMMYFUNCTION("""COMPUTED_VALUE"""),"İZMİR")</f>
        <v>İZMİR</v>
      </c>
      <c r="K57" s="17" t="str">
        <f>IFERROR(__xludf.DUMMYFUNCTION("""COMPUTED_VALUE"""),"https://expa.aiesec.org/opportunities/1288663")</f>
        <v>https://expa.aiesec.org/opportunities/1288663</v>
      </c>
      <c r="L57" s="16" t="str">
        <f>IFERROR(__xludf.DUMMYFUNCTION("""COMPUTED_VALUE"""),"GV")</f>
        <v>GV</v>
      </c>
      <c r="M57" s="16" t="str">
        <f>IFERROR(__xludf.DUMMYFUNCTION("""COMPUTED_VALUE"""),"short")</f>
        <v>short</v>
      </c>
      <c r="N57" s="18">
        <f>IFERROR(__xludf.DUMMYFUNCTION("""COMPUTED_VALUE"""),45041.0)</f>
        <v>45041</v>
      </c>
      <c r="O57" s="18">
        <f>IFERROR(__xludf.DUMMYFUNCTION("""COMPUTED_VALUE"""),45165.0)</f>
        <v>45165</v>
      </c>
      <c r="P57" s="18">
        <f>IFERROR(__xludf.DUMMYFUNCTION("""COMPUTED_VALUE"""),45207.0)</f>
        <v>45207</v>
      </c>
      <c r="Q57" s="18"/>
      <c r="R57" s="18"/>
      <c r="S57" s="16"/>
      <c r="T57" s="16"/>
      <c r="U57" s="16" t="str">
        <f>IFERROR(__xludf.DUMMYFUNCTION("""COMPUTED_VALUE"""),"Global Classroom")</f>
        <v>Global Classroom</v>
      </c>
      <c r="V57" s="16" t="str">
        <f>IFERROR(__xludf.DUMMYFUNCTION("""COMPUTED_VALUE"""),"Novi Sad")</f>
        <v>Novi Sad</v>
      </c>
      <c r="W57" s="16" t="str">
        <f>IFERROR(__xludf.DUMMYFUNCTION("""COMPUTED_VALUE"""),"2023-03-16T19:00:07Z")</f>
        <v>2023-03-16T19:00:07Z</v>
      </c>
      <c r="X57" s="16"/>
      <c r="Y57" s="16"/>
      <c r="Z57" s="16"/>
    </row>
    <row r="58">
      <c r="A58" s="16" t="str">
        <f>IFERROR(__xludf.DUMMYFUNCTION("""COMPUTED_VALUE"""),"5246525_1294254")</f>
        <v>5246525_1294254</v>
      </c>
      <c r="B58" s="16" t="str">
        <f>IFERROR(__xludf.DUMMYFUNCTION("""COMPUTED_VALUE"""),"Ivana Artinovic")</f>
        <v>Ivana Artinovic</v>
      </c>
      <c r="C58" s="16" t="str">
        <f>IFERROR(__xludf.DUMMYFUNCTION("""COMPUTED_VALUE"""),"approved")</f>
        <v>approved</v>
      </c>
      <c r="D58" s="16" t="str">
        <f>IFERROR(__xludf.DUMMYFUNCTION("""COMPUTED_VALUE"""),"No")</f>
        <v>No</v>
      </c>
      <c r="E58" s="16" t="str">
        <f>IFERROR(__xludf.DUMMYFUNCTION("""COMPUTED_VALUE"""),"p_ebfb49452563c36a72f98184f10e15fdfb52c5c6@inbound.aiesec.org")</f>
        <v>p_ebfb49452563c36a72f98184f10e15fdfb52c5c6@inbound.aiesec.org</v>
      </c>
      <c r="F58" s="16"/>
      <c r="G58" s="16" t="str">
        <f>IFERROR(__xludf.DUMMYFUNCTION("""COMPUTED_VALUE"""),"Serbia")</f>
        <v>Serbia</v>
      </c>
      <c r="H58" s="16" t="str">
        <f>IFERROR(__xludf.DUMMYFUNCTION("""COMPUTED_VALUE"""),"BELGRADE FON")</f>
        <v>BELGRADE FON</v>
      </c>
      <c r="I58" s="16" t="str">
        <f>IFERROR(__xludf.DUMMYFUNCTION("""COMPUTED_VALUE"""),"Turkey")</f>
        <v>Turkey</v>
      </c>
      <c r="J58" s="16" t="str">
        <f>IFERROR(__xludf.DUMMYFUNCTION("""COMPUTED_VALUE"""),"İZMİR")</f>
        <v>İZMİR</v>
      </c>
      <c r="K58" s="17" t="str">
        <f>IFERROR(__xludf.DUMMYFUNCTION("""COMPUTED_VALUE"""),"https://expa.aiesec.org/opportunities/1294254")</f>
        <v>https://expa.aiesec.org/opportunities/1294254</v>
      </c>
      <c r="L58" s="16" t="str">
        <f>IFERROR(__xludf.DUMMYFUNCTION("""COMPUTED_VALUE"""),"GV")</f>
        <v>GV</v>
      </c>
      <c r="M58" s="16" t="str">
        <f>IFERROR(__xludf.DUMMYFUNCTION("""COMPUTED_VALUE"""),"short")</f>
        <v>short</v>
      </c>
      <c r="N58" s="18">
        <f>IFERROR(__xludf.DUMMYFUNCTION("""COMPUTED_VALUE"""),45041.0)</f>
        <v>45041</v>
      </c>
      <c r="O58" s="18">
        <f>IFERROR(__xludf.DUMMYFUNCTION("""COMPUTED_VALUE"""),45145.0)</f>
        <v>45145</v>
      </c>
      <c r="P58" s="18">
        <f>IFERROR(__xludf.DUMMYFUNCTION("""COMPUTED_VALUE"""),45187.0)</f>
        <v>45187</v>
      </c>
      <c r="Q58" s="18"/>
      <c r="R58" s="18"/>
      <c r="S58" s="16"/>
      <c r="T58" s="16"/>
      <c r="U58" s="16" t="str">
        <f>IFERROR(__xludf.DUMMYFUNCTION("""COMPUTED_VALUE"""),"Skill Up!")</f>
        <v>Skill Up!</v>
      </c>
      <c r="V58" s="16" t="str">
        <f>IFERROR(__xludf.DUMMYFUNCTION("""COMPUTED_VALUE"""),"-")</f>
        <v>-</v>
      </c>
      <c r="W58" s="16" t="str">
        <f>IFERROR(__xludf.DUMMYFUNCTION("""COMPUTED_VALUE"""),"2023-04-21T00:08:56Z")</f>
        <v>2023-04-21T00:08:56Z</v>
      </c>
      <c r="X58" s="16"/>
      <c r="Y58" s="16"/>
      <c r="Z58" s="16"/>
    </row>
    <row r="59">
      <c r="A59" s="16" t="str">
        <f>IFERROR(__xludf.DUMMYFUNCTION("""COMPUTED_VALUE"""),"5113710_1291144")</f>
        <v>5113710_1291144</v>
      </c>
      <c r="B59" s="16" t="str">
        <f>IFERROR(__xludf.DUMMYFUNCTION("""COMPUTED_VALUE"""),"mustafa elhadad")</f>
        <v>mustafa elhadad</v>
      </c>
      <c r="C59" s="16" t="str">
        <f>IFERROR(__xludf.DUMMYFUNCTION("""COMPUTED_VALUE"""),"approved")</f>
        <v>approved</v>
      </c>
      <c r="D59" s="16" t="str">
        <f>IFERROR(__xludf.DUMMYFUNCTION("""COMPUTED_VALUE"""),"No")</f>
        <v>No</v>
      </c>
      <c r="E59" s="16" t="str">
        <f>IFERROR(__xludf.DUMMYFUNCTION("""COMPUTED_VALUE"""),"p_88fa38e7ef05ae004471395a7fc1681019793b48@inbound.aiesec.org")</f>
        <v>p_88fa38e7ef05ae004471395a7fc1681019793b48@inbound.aiesec.org</v>
      </c>
      <c r="F59" s="16"/>
      <c r="G59" s="16" t="str">
        <f>IFERROR(__xludf.DUMMYFUNCTION("""COMPUTED_VALUE"""),"Egypt")</f>
        <v>Egypt</v>
      </c>
      <c r="H59" s="16" t="str">
        <f>IFERROR(__xludf.DUMMYFUNCTION("""COMPUTED_VALUE"""),"Mansoura")</f>
        <v>Mansoura</v>
      </c>
      <c r="I59" s="16" t="str">
        <f>IFERROR(__xludf.DUMMYFUNCTION("""COMPUTED_VALUE"""),"Turkey")</f>
        <v>Turkey</v>
      </c>
      <c r="J59" s="16" t="str">
        <f>IFERROR(__xludf.DUMMYFUNCTION("""COMPUTED_VALUE"""),"ESKISEHIR")</f>
        <v>ESKISEHIR</v>
      </c>
      <c r="K59" s="17" t="str">
        <f>IFERROR(__xludf.DUMMYFUNCTION("""COMPUTED_VALUE"""),"https://expa.aiesec.org/opportunities/1291144")</f>
        <v>https://expa.aiesec.org/opportunities/1291144</v>
      </c>
      <c r="L59" s="16" t="str">
        <f>IFERROR(__xludf.DUMMYFUNCTION("""COMPUTED_VALUE"""),"GV")</f>
        <v>GV</v>
      </c>
      <c r="M59" s="16" t="str">
        <f>IFERROR(__xludf.DUMMYFUNCTION("""COMPUTED_VALUE"""),"short")</f>
        <v>short</v>
      </c>
      <c r="N59" s="18">
        <f>IFERROR(__xludf.DUMMYFUNCTION("""COMPUTED_VALUE"""),45042.0)</f>
        <v>45042</v>
      </c>
      <c r="O59" s="18">
        <f>IFERROR(__xludf.DUMMYFUNCTION("""COMPUTED_VALUE"""),45180.0)</f>
        <v>45180</v>
      </c>
      <c r="P59" s="18">
        <f>IFERROR(__xludf.DUMMYFUNCTION("""COMPUTED_VALUE"""),45222.0)</f>
        <v>45222</v>
      </c>
      <c r="Q59" s="18"/>
      <c r="R59" s="18"/>
      <c r="S59" s="16"/>
      <c r="T59" s="16"/>
      <c r="U59" s="16" t="str">
        <f>IFERROR(__xludf.DUMMYFUNCTION("""COMPUTED_VALUE"""),"Global Classroom")</f>
        <v>Global Classroom</v>
      </c>
      <c r="V59" s="16" t="str">
        <f>IFERROR(__xludf.DUMMYFUNCTION("""COMPUTED_VALUE"""),"-")</f>
        <v>-</v>
      </c>
      <c r="W59" s="16" t="str">
        <f>IFERROR(__xludf.DUMMYFUNCTION("""COMPUTED_VALUE"""),"2022-09-16T12:55:04Z")</f>
        <v>2022-09-16T12:55:04Z</v>
      </c>
      <c r="X59" s="16"/>
      <c r="Y59" s="16"/>
      <c r="Z59" s="16"/>
    </row>
    <row r="60">
      <c r="A60" s="16" t="str">
        <f>IFERROR(__xludf.DUMMYFUNCTION("""COMPUTED_VALUE"""),"5250565_1289100")</f>
        <v>5250565_1289100</v>
      </c>
      <c r="B60" s="16" t="str">
        <f>IFERROR(__xludf.DUMMYFUNCTION("""COMPUTED_VALUE"""),"Naycem Fenny")</f>
        <v>Naycem Fenny</v>
      </c>
      <c r="C60" s="16" t="str">
        <f>IFERROR(__xludf.DUMMYFUNCTION("""COMPUTED_VALUE"""),"approved")</f>
        <v>approved</v>
      </c>
      <c r="D60" s="16" t="str">
        <f>IFERROR(__xludf.DUMMYFUNCTION("""COMPUTED_VALUE"""),"No")</f>
        <v>No</v>
      </c>
      <c r="E60" s="16" t="str">
        <f>IFERROR(__xludf.DUMMYFUNCTION("""COMPUTED_VALUE"""),"p_107e283aa2e90b3e83f0d4fe54a5ccd0ffa591e8@inbound.aiesec.org")</f>
        <v>p_107e283aa2e90b3e83f0d4fe54a5ccd0ffa591e8@inbound.aiesec.org</v>
      </c>
      <c r="F60" s="16">
        <f>IFERROR(__xludf.DUMMYFUNCTION("""COMPUTED_VALUE"""),2.9540935E7)</f>
        <v>29540935</v>
      </c>
      <c r="G60" s="16" t="str">
        <f>IFERROR(__xludf.DUMMYFUNCTION("""COMPUTED_VALUE"""),"Tunisia")</f>
        <v>Tunisia</v>
      </c>
      <c r="H60" s="16" t="str">
        <f>IFERROR(__xludf.DUMMYFUNCTION("""COMPUTED_VALUE"""),"BARDO")</f>
        <v>BARDO</v>
      </c>
      <c r="I60" s="16" t="str">
        <f>IFERROR(__xludf.DUMMYFUNCTION("""COMPUTED_VALUE"""),"Turkey")</f>
        <v>Turkey</v>
      </c>
      <c r="J60" s="16" t="str">
        <f>IFERROR(__xludf.DUMMYFUNCTION("""COMPUTED_VALUE"""),"KOCAELI")</f>
        <v>KOCAELI</v>
      </c>
      <c r="K60" s="17" t="str">
        <f>IFERROR(__xludf.DUMMYFUNCTION("""COMPUTED_VALUE"""),"https://expa.aiesec.org/opportunities/1289100")</f>
        <v>https://expa.aiesec.org/opportunities/1289100</v>
      </c>
      <c r="L60" s="16" t="str">
        <f>IFERROR(__xludf.DUMMYFUNCTION("""COMPUTED_VALUE"""),"GV")</f>
        <v>GV</v>
      </c>
      <c r="M60" s="16" t="str">
        <f>IFERROR(__xludf.DUMMYFUNCTION("""COMPUTED_VALUE"""),"short")</f>
        <v>short</v>
      </c>
      <c r="N60" s="18">
        <f>IFERROR(__xludf.DUMMYFUNCTION("""COMPUTED_VALUE"""),45043.0)</f>
        <v>45043</v>
      </c>
      <c r="O60" s="18">
        <f>IFERROR(__xludf.DUMMYFUNCTION("""COMPUTED_VALUE"""),45152.0)</f>
        <v>45152</v>
      </c>
      <c r="P60" s="18">
        <f>IFERROR(__xludf.DUMMYFUNCTION("""COMPUTED_VALUE"""),45194.0)</f>
        <v>45194</v>
      </c>
      <c r="Q60" s="18"/>
      <c r="R60" s="18"/>
      <c r="S60" s="16"/>
      <c r="T60" s="16"/>
      <c r="U60" s="16" t="str">
        <f>IFERROR(__xludf.DUMMYFUNCTION("""COMPUTED_VALUE"""),"Global Classroom")</f>
        <v>Global Classroom</v>
      </c>
      <c r="V60" s="16" t="str">
        <f>IFERROR(__xludf.DUMMYFUNCTION("""COMPUTED_VALUE"""),"IPELSHT")</f>
        <v>IPELSHT</v>
      </c>
      <c r="W60" s="16" t="str">
        <f>IFERROR(__xludf.DUMMYFUNCTION("""COMPUTED_VALUE"""),"2023-04-27T11:00:52Z")</f>
        <v>2023-04-27T11:00:52Z</v>
      </c>
      <c r="X60" s="16"/>
      <c r="Y60" s="16"/>
      <c r="Z60" s="16"/>
    </row>
    <row r="61">
      <c r="A61" s="16" t="str">
        <f>IFERROR(__xludf.DUMMYFUNCTION("""COMPUTED_VALUE"""),"5251982_1288611")</f>
        <v>5251982_1288611</v>
      </c>
      <c r="B61" s="16" t="str">
        <f>IFERROR(__xludf.DUMMYFUNCTION("""COMPUTED_VALUE"""),"Zayneb Tebourski")</f>
        <v>Zayneb Tebourski</v>
      </c>
      <c r="C61" s="16" t="str">
        <f>IFERROR(__xludf.DUMMYFUNCTION("""COMPUTED_VALUE"""),"approved")</f>
        <v>approved</v>
      </c>
      <c r="D61" s="16" t="str">
        <f>IFERROR(__xludf.DUMMYFUNCTION("""COMPUTED_VALUE"""),"No")</f>
        <v>No</v>
      </c>
      <c r="E61" s="16" t="str">
        <f>IFERROR(__xludf.DUMMYFUNCTION("""COMPUTED_VALUE"""),"p_d2fcc61ee9a48b11bf521bc8035dcfca391f00d8@inbound.aiesec.org")</f>
        <v>p_d2fcc61ee9a48b11bf521bc8035dcfca391f00d8@inbound.aiesec.org</v>
      </c>
      <c r="F61" s="16">
        <f>IFERROR(__xludf.DUMMYFUNCTION("""COMPUTED_VALUE"""),5.4224542E7)</f>
        <v>54224542</v>
      </c>
      <c r="G61" s="16" t="str">
        <f>IFERROR(__xludf.DUMMYFUNCTION("""COMPUTED_VALUE"""),"Tunisia")</f>
        <v>Tunisia</v>
      </c>
      <c r="H61" s="16" t="str">
        <f>IFERROR(__xludf.DUMMYFUNCTION("""COMPUTED_VALUE"""),"Carthage")</f>
        <v>Carthage</v>
      </c>
      <c r="I61" s="16" t="str">
        <f>IFERROR(__xludf.DUMMYFUNCTION("""COMPUTED_VALUE"""),"Turkey")</f>
        <v>Turkey</v>
      </c>
      <c r="J61" s="16" t="str">
        <f>IFERROR(__xludf.DUMMYFUNCTION("""COMPUTED_VALUE"""),"ISTANBUL")</f>
        <v>ISTANBUL</v>
      </c>
      <c r="K61" s="17" t="str">
        <f>IFERROR(__xludf.DUMMYFUNCTION("""COMPUTED_VALUE"""),"https://expa.aiesec.org/opportunities/1288611")</f>
        <v>https://expa.aiesec.org/opportunities/1288611</v>
      </c>
      <c r="L61" s="16" t="str">
        <f>IFERROR(__xludf.DUMMYFUNCTION("""COMPUTED_VALUE"""),"GV")</f>
        <v>GV</v>
      </c>
      <c r="M61" s="16" t="str">
        <f>IFERROR(__xludf.DUMMYFUNCTION("""COMPUTED_VALUE"""),"short")</f>
        <v>short</v>
      </c>
      <c r="N61" s="18">
        <f>IFERROR(__xludf.DUMMYFUNCTION("""COMPUTED_VALUE"""),45044.0)</f>
        <v>45044</v>
      </c>
      <c r="O61" s="18">
        <f>IFERROR(__xludf.DUMMYFUNCTION("""COMPUTED_VALUE"""),45181.0)</f>
        <v>45181</v>
      </c>
      <c r="P61" s="18">
        <f>IFERROR(__xludf.DUMMYFUNCTION("""COMPUTED_VALUE"""),45223.0)</f>
        <v>45223</v>
      </c>
      <c r="Q61" s="18"/>
      <c r="R61" s="18"/>
      <c r="S61" s="16"/>
      <c r="T61" s="16"/>
      <c r="U61" s="16" t="str">
        <f>IFERROR(__xludf.DUMMYFUNCTION("""COMPUTED_VALUE"""),"Global Classroom")</f>
        <v>Global Classroom</v>
      </c>
      <c r="V61" s="16" t="str">
        <f>IFERROR(__xludf.DUMMYFUNCTION("""COMPUTED_VALUE"""),"IHEC Carthage")</f>
        <v>IHEC Carthage</v>
      </c>
      <c r="W61" s="16" t="str">
        <f>IFERROR(__xludf.DUMMYFUNCTION("""COMPUTED_VALUE"""),"2023-04-28T16:30:14Z")</f>
        <v>2023-04-28T16:30:14Z</v>
      </c>
      <c r="X61" s="16"/>
      <c r="Y61" s="16"/>
      <c r="Z61" s="16"/>
    </row>
    <row r="62">
      <c r="A62" s="16" t="str">
        <f>IFERROR(__xludf.DUMMYFUNCTION("""COMPUTED_VALUE"""),"5249318_1289261")</f>
        <v>5249318_1289261</v>
      </c>
      <c r="B62" s="16" t="str">
        <f>IFERROR(__xludf.DUMMYFUNCTION("""COMPUTED_VALUE"""),"Ahmed Abdelmaged")</f>
        <v>Ahmed Abdelmaged</v>
      </c>
      <c r="C62" s="16" t="str">
        <f>IFERROR(__xludf.DUMMYFUNCTION("""COMPUTED_VALUE"""),"approved")</f>
        <v>approved</v>
      </c>
      <c r="D62" s="16" t="str">
        <f>IFERROR(__xludf.DUMMYFUNCTION("""COMPUTED_VALUE"""),"No")</f>
        <v>No</v>
      </c>
      <c r="E62" s="16" t="str">
        <f>IFERROR(__xludf.DUMMYFUNCTION("""COMPUTED_VALUE"""),"p_ab8306f4c0a7fa48309adfc5ece80d3a661676e5@inbound.aiesec.org")</f>
        <v>p_ab8306f4c0a7fa48309adfc5ece80d3a661676e5@inbound.aiesec.org</v>
      </c>
      <c r="F62" s="16">
        <f>IFERROR(__xludf.DUMMYFUNCTION("""COMPUTED_VALUE"""),1.225549053E9)</f>
        <v>1225549053</v>
      </c>
      <c r="G62" s="16" t="str">
        <f>IFERROR(__xludf.DUMMYFUNCTION("""COMPUTED_VALUE"""),"Egypt")</f>
        <v>Egypt</v>
      </c>
      <c r="H62" s="16" t="str">
        <f>IFERROR(__xludf.DUMMYFUNCTION("""COMPUTED_VALUE"""),"Suez")</f>
        <v>Suez</v>
      </c>
      <c r="I62" s="16" t="str">
        <f>IFERROR(__xludf.DUMMYFUNCTION("""COMPUTED_VALUE"""),"Turkey")</f>
        <v>Turkey</v>
      </c>
      <c r="J62" s="16" t="str">
        <f>IFERROR(__xludf.DUMMYFUNCTION("""COMPUTED_VALUE"""),"İZMİR")</f>
        <v>İZMİR</v>
      </c>
      <c r="K62" s="17" t="str">
        <f>IFERROR(__xludf.DUMMYFUNCTION("""COMPUTED_VALUE"""),"https://expa.aiesec.org/opportunities/1289261")</f>
        <v>https://expa.aiesec.org/opportunities/1289261</v>
      </c>
      <c r="L62" s="16" t="str">
        <f>IFERROR(__xludf.DUMMYFUNCTION("""COMPUTED_VALUE"""),"GV")</f>
        <v>GV</v>
      </c>
      <c r="M62" s="16" t="str">
        <f>IFERROR(__xludf.DUMMYFUNCTION("""COMPUTED_VALUE"""),"short")</f>
        <v>short</v>
      </c>
      <c r="N62" s="18">
        <f>IFERROR(__xludf.DUMMYFUNCTION("""COMPUTED_VALUE"""),45044.0)</f>
        <v>45044</v>
      </c>
      <c r="O62" s="18">
        <f>IFERROR(__xludf.DUMMYFUNCTION("""COMPUTED_VALUE"""),45172.0)</f>
        <v>45172</v>
      </c>
      <c r="P62" s="18">
        <f>IFERROR(__xludf.DUMMYFUNCTION("""COMPUTED_VALUE"""),45214.0)</f>
        <v>45214</v>
      </c>
      <c r="Q62" s="18"/>
      <c r="R62" s="18"/>
      <c r="S62" s="16"/>
      <c r="T62" s="16"/>
      <c r="U62" s="16" t="str">
        <f>IFERROR(__xludf.DUMMYFUNCTION("""COMPUTED_VALUE"""),"Global Classroom")</f>
        <v>Global Classroom</v>
      </c>
      <c r="V62" s="16" t="str">
        <f>IFERROR(__xludf.DUMMYFUNCTION("""COMPUTED_VALUE"""),"Arish University")</f>
        <v>Arish University</v>
      </c>
      <c r="W62" s="16" t="str">
        <f>IFERROR(__xludf.DUMMYFUNCTION("""COMPUTED_VALUE"""),"2023-04-25T17:48:49Z")</f>
        <v>2023-04-25T17:48:49Z</v>
      </c>
      <c r="X62" s="16"/>
      <c r="Y62" s="16"/>
      <c r="Z62" s="16"/>
    </row>
    <row r="63">
      <c r="A63" s="16" t="str">
        <f>IFERROR(__xludf.DUMMYFUNCTION("""COMPUTED_VALUE"""),"3834249_1288245")</f>
        <v>3834249_1288245</v>
      </c>
      <c r="B63" s="16" t="str">
        <f>IFERROR(__xludf.DUMMYFUNCTION("""COMPUTED_VALUE"""),"Islam Eltbrany")</f>
        <v>Islam Eltbrany</v>
      </c>
      <c r="C63" s="16" t="str">
        <f>IFERROR(__xludf.DUMMYFUNCTION("""COMPUTED_VALUE"""),"approved")</f>
        <v>approved</v>
      </c>
      <c r="D63" s="16" t="str">
        <f>IFERROR(__xludf.DUMMYFUNCTION("""COMPUTED_VALUE"""),"No")</f>
        <v>No</v>
      </c>
      <c r="E63" s="16" t="str">
        <f>IFERROR(__xludf.DUMMYFUNCTION("""COMPUTED_VALUE"""),"p_3cee6768a43a1d91f797876ce3ca4219f7eaf0d6@inbound.aiesec.org")</f>
        <v>p_3cee6768a43a1d91f797876ce3ca4219f7eaf0d6@inbound.aiesec.org</v>
      </c>
      <c r="F63" s="16">
        <f>IFERROR(__xludf.DUMMYFUNCTION("""COMPUTED_VALUE"""),1.01972715E9)</f>
        <v>1019727150</v>
      </c>
      <c r="G63" s="16" t="str">
        <f>IFERROR(__xludf.DUMMYFUNCTION("""COMPUTED_VALUE"""),"Egypt")</f>
        <v>Egypt</v>
      </c>
      <c r="H63" s="16" t="str">
        <f>IFERROR(__xludf.DUMMYFUNCTION("""COMPUTED_VALUE"""),"Suez")</f>
        <v>Suez</v>
      </c>
      <c r="I63" s="16" t="str">
        <f>IFERROR(__xludf.DUMMYFUNCTION("""COMPUTED_VALUE"""),"Turkey")</f>
        <v>Turkey</v>
      </c>
      <c r="J63" s="16" t="str">
        <f>IFERROR(__xludf.DUMMYFUNCTION("""COMPUTED_VALUE"""),"İZMİR")</f>
        <v>İZMİR</v>
      </c>
      <c r="K63" s="17" t="str">
        <f>IFERROR(__xludf.DUMMYFUNCTION("""COMPUTED_VALUE"""),"https://expa.aiesec.org/opportunities/1288245")</f>
        <v>https://expa.aiesec.org/opportunities/1288245</v>
      </c>
      <c r="L63" s="16" t="str">
        <f>IFERROR(__xludf.DUMMYFUNCTION("""COMPUTED_VALUE"""),"GV")</f>
        <v>GV</v>
      </c>
      <c r="M63" s="16" t="str">
        <f>IFERROR(__xludf.DUMMYFUNCTION("""COMPUTED_VALUE"""),"short")</f>
        <v>short</v>
      </c>
      <c r="N63" s="18">
        <f>IFERROR(__xludf.DUMMYFUNCTION("""COMPUTED_VALUE"""),45044.0)</f>
        <v>45044</v>
      </c>
      <c r="O63" s="18">
        <f>IFERROR(__xludf.DUMMYFUNCTION("""COMPUTED_VALUE"""),45173.0)</f>
        <v>45173</v>
      </c>
      <c r="P63" s="18">
        <f>IFERROR(__xludf.DUMMYFUNCTION("""COMPUTED_VALUE"""),45215.0)</f>
        <v>45215</v>
      </c>
      <c r="Q63" s="18"/>
      <c r="R63" s="18"/>
      <c r="S63" s="16"/>
      <c r="T63" s="16"/>
      <c r="U63" s="16" t="str">
        <f>IFERROR(__xludf.DUMMYFUNCTION("""COMPUTED_VALUE"""),"Global Classroom")</f>
        <v>Global Classroom</v>
      </c>
      <c r="V63" s="16" t="str">
        <f>IFERROR(__xludf.DUMMYFUNCTION("""COMPUTED_VALUE"""),"-")</f>
        <v>-</v>
      </c>
      <c r="W63" s="16" t="str">
        <f>IFERROR(__xludf.DUMMYFUNCTION("""COMPUTED_VALUE"""),"2019-09-16T15:30:11Z")</f>
        <v>2019-09-16T15:30:11Z</v>
      </c>
      <c r="X63" s="16"/>
      <c r="Y63" s="16"/>
      <c r="Z63" s="16"/>
    </row>
    <row r="64">
      <c r="A64" s="16" t="str">
        <f>IFERROR(__xludf.DUMMYFUNCTION("""COMPUTED_VALUE"""),"5249416_1286326")</f>
        <v>5249416_1286326</v>
      </c>
      <c r="B64" s="16" t="str">
        <f>IFERROR(__xludf.DUMMYFUNCTION("""COMPUTED_VALUE"""),"Fatma Jafarli")</f>
        <v>Fatma Jafarli</v>
      </c>
      <c r="C64" s="16" t="str">
        <f>IFERROR(__xludf.DUMMYFUNCTION("""COMPUTED_VALUE"""),"approved")</f>
        <v>approved</v>
      </c>
      <c r="D64" s="16" t="str">
        <f>IFERROR(__xludf.DUMMYFUNCTION("""COMPUTED_VALUE"""),"No")</f>
        <v>No</v>
      </c>
      <c r="E64" s="16" t="str">
        <f>IFERROR(__xludf.DUMMYFUNCTION("""COMPUTED_VALUE"""),"p_73a6d55117c778bcedaa2918040080aca7c072db@inbound.aiesec.org")</f>
        <v>p_73a6d55117c778bcedaa2918040080aca7c072db@inbound.aiesec.org</v>
      </c>
      <c r="F64" s="16">
        <f>IFERROR(__xludf.DUMMYFUNCTION("""COMPUTED_VALUE"""),5.5246194E8)</f>
        <v>552461940</v>
      </c>
      <c r="G64" s="16" t="str">
        <f>IFERROR(__xludf.DUMMYFUNCTION("""COMPUTED_VALUE"""),"Azerbaijan")</f>
        <v>Azerbaijan</v>
      </c>
      <c r="H64" s="16" t="str">
        <f>IFERROR(__xludf.DUMMYFUNCTION("""COMPUTED_VALUE"""),"Baku ADA")</f>
        <v>Baku ADA</v>
      </c>
      <c r="I64" s="16" t="str">
        <f>IFERROR(__xludf.DUMMYFUNCTION("""COMPUTED_VALUE"""),"Turkey")</f>
        <v>Turkey</v>
      </c>
      <c r="J64" s="16" t="str">
        <f>IFERROR(__xludf.DUMMYFUNCTION("""COMPUTED_VALUE"""),"ADANA")</f>
        <v>ADANA</v>
      </c>
      <c r="K64" s="17" t="str">
        <f>IFERROR(__xludf.DUMMYFUNCTION("""COMPUTED_VALUE"""),"https://expa.aiesec.org/opportunities/1286326")</f>
        <v>https://expa.aiesec.org/opportunities/1286326</v>
      </c>
      <c r="L64" s="16" t="str">
        <f>IFERROR(__xludf.DUMMYFUNCTION("""COMPUTED_VALUE"""),"GV")</f>
        <v>GV</v>
      </c>
      <c r="M64" s="16" t="str">
        <f>IFERROR(__xludf.DUMMYFUNCTION("""COMPUTED_VALUE"""),"short")</f>
        <v>short</v>
      </c>
      <c r="N64" s="18">
        <f>IFERROR(__xludf.DUMMYFUNCTION("""COMPUTED_VALUE"""),45044.0)</f>
        <v>45044</v>
      </c>
      <c r="O64" s="18">
        <f>IFERROR(__xludf.DUMMYFUNCTION("""COMPUTED_VALUE"""),45145.0)</f>
        <v>45145</v>
      </c>
      <c r="P64" s="18">
        <f>IFERROR(__xludf.DUMMYFUNCTION("""COMPUTED_VALUE"""),45191.0)</f>
        <v>45191</v>
      </c>
      <c r="Q64" s="18"/>
      <c r="R64" s="18"/>
      <c r="S64" s="16"/>
      <c r="T64" s="16"/>
      <c r="U64" s="16" t="str">
        <f>IFERROR(__xludf.DUMMYFUNCTION("""COMPUTED_VALUE"""),"Equify")</f>
        <v>Equify</v>
      </c>
      <c r="V64" s="16" t="str">
        <f>IFERROR(__xludf.DUMMYFUNCTION("""COMPUTED_VALUE"""),"Azerbaijan State Pedagogical University")</f>
        <v>Azerbaijan State Pedagogical University</v>
      </c>
      <c r="W64" s="16" t="str">
        <f>IFERROR(__xludf.DUMMYFUNCTION("""COMPUTED_VALUE"""),"2023-04-25T20:54:11Z")</f>
        <v>2023-04-25T20:54:11Z</v>
      </c>
      <c r="X64" s="16"/>
      <c r="Y64" s="16"/>
      <c r="Z64" s="16"/>
    </row>
    <row r="65">
      <c r="A65" s="16" t="str">
        <f>IFERROR(__xludf.DUMMYFUNCTION("""COMPUTED_VALUE"""),"5195430_1291144")</f>
        <v>5195430_1291144</v>
      </c>
      <c r="B65" s="16" t="str">
        <f>IFERROR(__xludf.DUMMYFUNCTION("""COMPUTED_VALUE"""),"Anan Yaser")</f>
        <v>Anan Yaser</v>
      </c>
      <c r="C65" s="16" t="str">
        <f>IFERROR(__xludf.DUMMYFUNCTION("""COMPUTED_VALUE"""),"approved")</f>
        <v>approved</v>
      </c>
      <c r="D65" s="16" t="str">
        <f>IFERROR(__xludf.DUMMYFUNCTION("""COMPUTED_VALUE"""),"No")</f>
        <v>No</v>
      </c>
      <c r="E65" s="16" t="str">
        <f>IFERROR(__xludf.DUMMYFUNCTION("""COMPUTED_VALUE"""),"p_edf11a8595aabb463436757a081ac26c8a9b8aa5@inbound.aiesec.org")</f>
        <v>p_edf11a8595aabb463436757a081ac26c8a9b8aa5@inbound.aiesec.org</v>
      </c>
      <c r="F65" s="16">
        <f>IFERROR(__xludf.DUMMYFUNCTION("""COMPUTED_VALUE"""),1.092669235E9)</f>
        <v>1092669235</v>
      </c>
      <c r="G65" s="16" t="str">
        <f>IFERROR(__xludf.DUMMYFUNCTION("""COMPUTED_VALUE"""),"Egypt")</f>
        <v>Egypt</v>
      </c>
      <c r="H65" s="16" t="str">
        <f>IFERROR(__xludf.DUMMYFUNCTION("""COMPUTED_VALUE"""),"MUST")</f>
        <v>MUST</v>
      </c>
      <c r="I65" s="16" t="str">
        <f>IFERROR(__xludf.DUMMYFUNCTION("""COMPUTED_VALUE"""),"Turkey")</f>
        <v>Turkey</v>
      </c>
      <c r="J65" s="16" t="str">
        <f>IFERROR(__xludf.DUMMYFUNCTION("""COMPUTED_VALUE"""),"ESKISEHIR")</f>
        <v>ESKISEHIR</v>
      </c>
      <c r="K65" s="17" t="str">
        <f>IFERROR(__xludf.DUMMYFUNCTION("""COMPUTED_VALUE"""),"https://expa.aiesec.org/opportunities/1291144")</f>
        <v>https://expa.aiesec.org/opportunities/1291144</v>
      </c>
      <c r="L65" s="16" t="str">
        <f>IFERROR(__xludf.DUMMYFUNCTION("""COMPUTED_VALUE"""),"GV")</f>
        <v>GV</v>
      </c>
      <c r="M65" s="16" t="str">
        <f>IFERROR(__xludf.DUMMYFUNCTION("""COMPUTED_VALUE"""),"short")</f>
        <v>short</v>
      </c>
      <c r="N65" s="18">
        <f>IFERROR(__xludf.DUMMYFUNCTION("""COMPUTED_VALUE"""),45047.0)</f>
        <v>45047</v>
      </c>
      <c r="O65" s="18">
        <f>IFERROR(__xludf.DUMMYFUNCTION("""COMPUTED_VALUE"""),45180.0)</f>
        <v>45180</v>
      </c>
      <c r="P65" s="18">
        <f>IFERROR(__xludf.DUMMYFUNCTION("""COMPUTED_VALUE"""),45222.0)</f>
        <v>45222</v>
      </c>
      <c r="Q65" s="18"/>
      <c r="R65" s="18"/>
      <c r="S65" s="16"/>
      <c r="T65" s="16"/>
      <c r="U65" s="16" t="str">
        <f>IFERROR(__xludf.DUMMYFUNCTION("""COMPUTED_VALUE"""),"Global Classroom")</f>
        <v>Global Classroom</v>
      </c>
      <c r="V65" s="16" t="str">
        <f>IFERROR(__xludf.DUMMYFUNCTION("""COMPUTED_VALUE"""),"MUST University")</f>
        <v>MUST University</v>
      </c>
      <c r="W65" s="16" t="str">
        <f>IFERROR(__xludf.DUMMYFUNCTION("""COMPUTED_VALUE"""),"2023-02-20T18:36:33Z")</f>
        <v>2023-02-20T18:36:33Z</v>
      </c>
      <c r="X65" s="16"/>
      <c r="Y65" s="16"/>
      <c r="Z65" s="16"/>
    </row>
    <row r="66">
      <c r="A66" s="16" t="str">
        <f>IFERROR(__xludf.DUMMYFUNCTION("""COMPUTED_VALUE"""),"5253755_1294068")</f>
        <v>5253755_1294068</v>
      </c>
      <c r="B66" s="16" t="str">
        <f>IFERROR(__xludf.DUMMYFUNCTION("""COMPUTED_VALUE"""),"Siwar mhadhbi")</f>
        <v>Siwar mhadhbi</v>
      </c>
      <c r="C66" s="16" t="str">
        <f>IFERROR(__xludf.DUMMYFUNCTION("""COMPUTED_VALUE"""),"approved")</f>
        <v>approved</v>
      </c>
      <c r="D66" s="16" t="str">
        <f>IFERROR(__xludf.DUMMYFUNCTION("""COMPUTED_VALUE"""),"No")</f>
        <v>No</v>
      </c>
      <c r="E66" s="16" t="str">
        <f>IFERROR(__xludf.DUMMYFUNCTION("""COMPUTED_VALUE"""),"p_dd535589bfa68a5540f8ca74590383f1b0451933@inbound.aiesec.org")</f>
        <v>p_dd535589bfa68a5540f8ca74590383f1b0451933@inbound.aiesec.org</v>
      </c>
      <c r="F66" s="16"/>
      <c r="G66" s="16" t="str">
        <f>IFERROR(__xludf.DUMMYFUNCTION("""COMPUTED_VALUE"""),"Tunisia")</f>
        <v>Tunisia</v>
      </c>
      <c r="H66" s="16" t="str">
        <f>IFERROR(__xludf.DUMMYFUNCTION("""COMPUTED_VALUE"""),"HADRUMET")</f>
        <v>HADRUMET</v>
      </c>
      <c r="I66" s="16" t="str">
        <f>IFERROR(__xludf.DUMMYFUNCTION("""COMPUTED_VALUE"""),"Turkey")</f>
        <v>Turkey</v>
      </c>
      <c r="J66" s="16" t="str">
        <f>IFERROR(__xludf.DUMMYFUNCTION("""COMPUTED_VALUE"""),"DENIZLI")</f>
        <v>DENIZLI</v>
      </c>
      <c r="K66" s="17" t="str">
        <f>IFERROR(__xludf.DUMMYFUNCTION("""COMPUTED_VALUE"""),"https://expa.aiesec.org/opportunities/1294068")</f>
        <v>https://expa.aiesec.org/opportunities/1294068</v>
      </c>
      <c r="L66" s="16" t="str">
        <f>IFERROR(__xludf.DUMMYFUNCTION("""COMPUTED_VALUE"""),"GV")</f>
        <v>GV</v>
      </c>
      <c r="M66" s="16" t="str">
        <f>IFERROR(__xludf.DUMMYFUNCTION("""COMPUTED_VALUE"""),"short")</f>
        <v>short</v>
      </c>
      <c r="N66" s="18">
        <f>IFERROR(__xludf.DUMMYFUNCTION("""COMPUTED_VALUE"""),45047.0)</f>
        <v>45047</v>
      </c>
      <c r="O66" s="18">
        <f>IFERROR(__xludf.DUMMYFUNCTION("""COMPUTED_VALUE"""),45124.0)</f>
        <v>45124</v>
      </c>
      <c r="P66" s="18">
        <f>IFERROR(__xludf.DUMMYFUNCTION("""COMPUTED_VALUE"""),45166.0)</f>
        <v>45166</v>
      </c>
      <c r="Q66" s="18"/>
      <c r="R66" s="18"/>
      <c r="S66" s="16"/>
      <c r="T66" s="16"/>
      <c r="U66" s="16" t="str">
        <f>IFERROR(__xludf.DUMMYFUNCTION("""COMPUTED_VALUE"""),"Equify")</f>
        <v>Equify</v>
      </c>
      <c r="V66" s="16" t="str">
        <f>IFERROR(__xludf.DUMMYFUNCTION("""COMPUTED_VALUE"""),"ISET Sousse")</f>
        <v>ISET Sousse</v>
      </c>
      <c r="W66" s="16" t="str">
        <f>IFERROR(__xludf.DUMMYFUNCTION("""COMPUTED_VALUE"""),"2023-05-01T15:16:59Z")</f>
        <v>2023-05-01T15:16:59Z</v>
      </c>
      <c r="X66" s="16"/>
      <c r="Y66" s="16"/>
      <c r="Z66" s="16"/>
    </row>
    <row r="67">
      <c r="A67" s="16" t="str">
        <f>IFERROR(__xludf.DUMMYFUNCTION("""COMPUTED_VALUE"""),"5245434_1294197")</f>
        <v>5245434_1294197</v>
      </c>
      <c r="B67" s="16" t="str">
        <f>IFERROR(__xludf.DUMMYFUNCTION("""COMPUTED_VALUE"""),"Ramez tamer")</f>
        <v>Ramez tamer</v>
      </c>
      <c r="C67" s="16" t="str">
        <f>IFERROR(__xludf.DUMMYFUNCTION("""COMPUTED_VALUE"""),"approved")</f>
        <v>approved</v>
      </c>
      <c r="D67" s="16" t="str">
        <f>IFERROR(__xludf.DUMMYFUNCTION("""COMPUTED_VALUE"""),"No")</f>
        <v>No</v>
      </c>
      <c r="E67" s="16" t="str">
        <f>IFERROR(__xludf.DUMMYFUNCTION("""COMPUTED_VALUE"""),"p_7796d772a376bbb4495cc243be120365b684488a@inbound.aiesec.org")</f>
        <v>p_7796d772a376bbb4495cc243be120365b684488a@inbound.aiesec.org</v>
      </c>
      <c r="F67" s="16">
        <f>IFERROR(__xludf.DUMMYFUNCTION("""COMPUTED_VALUE"""),1.220710616E9)</f>
        <v>1220710616</v>
      </c>
      <c r="G67" s="16" t="str">
        <f>IFERROR(__xludf.DUMMYFUNCTION("""COMPUTED_VALUE"""),"Egypt")</f>
        <v>Egypt</v>
      </c>
      <c r="H67" s="16" t="str">
        <f>IFERROR(__xludf.DUMMYFUNCTION("""COMPUTED_VALUE"""),"Cairo University")</f>
        <v>Cairo University</v>
      </c>
      <c r="I67" s="16" t="str">
        <f>IFERROR(__xludf.DUMMYFUNCTION("""COMPUTED_VALUE"""),"Turkey")</f>
        <v>Turkey</v>
      </c>
      <c r="J67" s="16" t="str">
        <f>IFERROR(__xludf.DUMMYFUNCTION("""COMPUTED_VALUE"""),"SAMSUN")</f>
        <v>SAMSUN</v>
      </c>
      <c r="K67" s="17" t="str">
        <f>IFERROR(__xludf.DUMMYFUNCTION("""COMPUTED_VALUE"""),"https://expa.aiesec.org/opportunities/1294197")</f>
        <v>https://expa.aiesec.org/opportunities/1294197</v>
      </c>
      <c r="L67" s="16" t="str">
        <f>IFERROR(__xludf.DUMMYFUNCTION("""COMPUTED_VALUE"""),"GV")</f>
        <v>GV</v>
      </c>
      <c r="M67" s="16" t="str">
        <f>IFERROR(__xludf.DUMMYFUNCTION("""COMPUTED_VALUE"""),"short")</f>
        <v>short</v>
      </c>
      <c r="N67" s="18">
        <f>IFERROR(__xludf.DUMMYFUNCTION("""COMPUTED_VALUE"""),45048.0)</f>
        <v>45048</v>
      </c>
      <c r="O67" s="18">
        <f>IFERROR(__xludf.DUMMYFUNCTION("""COMPUTED_VALUE"""),45187.0)</f>
        <v>45187</v>
      </c>
      <c r="P67" s="18">
        <f>IFERROR(__xludf.DUMMYFUNCTION("""COMPUTED_VALUE"""),45229.0)</f>
        <v>45229</v>
      </c>
      <c r="Q67" s="18"/>
      <c r="R67" s="18"/>
      <c r="S67" s="16"/>
      <c r="T67" s="16"/>
      <c r="U67" s="16" t="str">
        <f>IFERROR(__xludf.DUMMYFUNCTION("""COMPUTED_VALUE"""),"Global Classroom")</f>
        <v>Global Classroom</v>
      </c>
      <c r="V67" s="16" t="str">
        <f>IFERROR(__xludf.DUMMYFUNCTION("""COMPUTED_VALUE"""),"Cairo Univeristy")</f>
        <v>Cairo Univeristy</v>
      </c>
      <c r="W67" s="16" t="str">
        <f>IFERROR(__xludf.DUMMYFUNCTION("""COMPUTED_VALUE"""),"2023-04-19T14:47:17Z")</f>
        <v>2023-04-19T14:47:17Z</v>
      </c>
      <c r="X67" s="16"/>
      <c r="Y67" s="16"/>
      <c r="Z67" s="16"/>
    </row>
    <row r="68">
      <c r="A68" s="16" t="str">
        <f>IFERROR(__xludf.DUMMYFUNCTION("""COMPUTED_VALUE"""),"5159036_1291144")</f>
        <v>5159036_1291144</v>
      </c>
      <c r="B68" s="16" t="str">
        <f>IFERROR(__xludf.DUMMYFUNCTION("""COMPUTED_VALUE"""),"Aasis Sethi")</f>
        <v>Aasis Sethi</v>
      </c>
      <c r="C68" s="16" t="str">
        <f>IFERROR(__xludf.DUMMYFUNCTION("""COMPUTED_VALUE"""),"approved")</f>
        <v>approved</v>
      </c>
      <c r="D68" s="16" t="str">
        <f>IFERROR(__xludf.DUMMYFUNCTION("""COMPUTED_VALUE"""),"No")</f>
        <v>No</v>
      </c>
      <c r="E68" s="16" t="str">
        <f>IFERROR(__xludf.DUMMYFUNCTION("""COMPUTED_VALUE"""),"p_bb9d8898a9415116f0e37a482ad1bd4214862986@inbound.aiesec.org")</f>
        <v>p_bb9d8898a9415116f0e37a482ad1bd4214862986@inbound.aiesec.org</v>
      </c>
      <c r="F68" s="16">
        <f>IFERROR(__xludf.DUMMYFUNCTION("""COMPUTED_VALUE"""),8.76620554E9)</f>
        <v>8766205540</v>
      </c>
      <c r="G68" s="16" t="str">
        <f>IFERROR(__xludf.DUMMYFUNCTION("""COMPUTED_VALUE"""),"India")</f>
        <v>India</v>
      </c>
      <c r="H68" s="16" t="str">
        <f>IFERROR(__xludf.DUMMYFUNCTION("""COMPUTED_VALUE"""),"Delhi University")</f>
        <v>Delhi University</v>
      </c>
      <c r="I68" s="16" t="str">
        <f>IFERROR(__xludf.DUMMYFUNCTION("""COMPUTED_VALUE"""),"Turkey")</f>
        <v>Turkey</v>
      </c>
      <c r="J68" s="16" t="str">
        <f>IFERROR(__xludf.DUMMYFUNCTION("""COMPUTED_VALUE"""),"ESKISEHIR")</f>
        <v>ESKISEHIR</v>
      </c>
      <c r="K68" s="17" t="str">
        <f>IFERROR(__xludf.DUMMYFUNCTION("""COMPUTED_VALUE"""),"https://expa.aiesec.org/opportunities/1291144")</f>
        <v>https://expa.aiesec.org/opportunities/1291144</v>
      </c>
      <c r="L68" s="16" t="str">
        <f>IFERROR(__xludf.DUMMYFUNCTION("""COMPUTED_VALUE"""),"GV")</f>
        <v>GV</v>
      </c>
      <c r="M68" s="16" t="str">
        <f>IFERROR(__xludf.DUMMYFUNCTION("""COMPUTED_VALUE"""),"short")</f>
        <v>short</v>
      </c>
      <c r="N68" s="18">
        <f>IFERROR(__xludf.DUMMYFUNCTION("""COMPUTED_VALUE"""),45048.0)</f>
        <v>45048</v>
      </c>
      <c r="O68" s="18">
        <f>IFERROR(__xludf.DUMMYFUNCTION("""COMPUTED_VALUE"""),45180.0)</f>
        <v>45180</v>
      </c>
      <c r="P68" s="18">
        <f>IFERROR(__xludf.DUMMYFUNCTION("""COMPUTED_VALUE"""),45222.0)</f>
        <v>45222</v>
      </c>
      <c r="Q68" s="18"/>
      <c r="R68" s="18"/>
      <c r="S68" s="16"/>
      <c r="T68" s="16"/>
      <c r="U68" s="16" t="str">
        <f>IFERROR(__xludf.DUMMYFUNCTION("""COMPUTED_VALUE"""),"Global Classroom")</f>
        <v>Global Classroom</v>
      </c>
      <c r="V68" s="16" t="str">
        <f>IFERROR(__xludf.DUMMYFUNCTION("""COMPUTED_VALUE"""),"North Campus, Delhi University")</f>
        <v>North Campus, Delhi University</v>
      </c>
      <c r="W68" s="16" t="str">
        <f>IFERROR(__xludf.DUMMYFUNCTION("""COMPUTED_VALUE"""),"2022-11-26T06:29:07Z")</f>
        <v>2022-11-26T06:29:07Z</v>
      </c>
      <c r="X68" s="16"/>
      <c r="Y68" s="16"/>
      <c r="Z68" s="16"/>
    </row>
    <row r="69">
      <c r="A69" s="16" t="str">
        <f>IFERROR(__xludf.DUMMYFUNCTION("""COMPUTED_VALUE"""),"5236280_1294651")</f>
        <v>5236280_1294651</v>
      </c>
      <c r="B69" s="16" t="str">
        <f>IFERROR(__xludf.DUMMYFUNCTION("""COMPUTED_VALUE"""),"Sohaila hossein")</f>
        <v>Sohaila hossein</v>
      </c>
      <c r="C69" s="16" t="str">
        <f>IFERROR(__xludf.DUMMYFUNCTION("""COMPUTED_VALUE"""),"approved")</f>
        <v>approved</v>
      </c>
      <c r="D69" s="16" t="str">
        <f>IFERROR(__xludf.DUMMYFUNCTION("""COMPUTED_VALUE"""),"No")</f>
        <v>No</v>
      </c>
      <c r="E69" s="16" t="str">
        <f>IFERROR(__xludf.DUMMYFUNCTION("""COMPUTED_VALUE"""),"p_7921bd2950dfc333bfe342e75d1b1b807441e713@inbound.aiesec.org")</f>
        <v>p_7921bd2950dfc333bfe342e75d1b1b807441e713@inbound.aiesec.org</v>
      </c>
      <c r="F69" s="16">
        <f>IFERROR(__xludf.DUMMYFUNCTION("""COMPUTED_VALUE"""),1.017273646E9)</f>
        <v>1017273646</v>
      </c>
      <c r="G69" s="16" t="str">
        <f>IFERROR(__xludf.DUMMYFUNCTION("""COMPUTED_VALUE"""),"Egypt")</f>
        <v>Egypt</v>
      </c>
      <c r="H69" s="16" t="str">
        <f>IFERROR(__xludf.DUMMYFUNCTION("""COMPUTED_VALUE"""),"Cairo University")</f>
        <v>Cairo University</v>
      </c>
      <c r="I69" s="16" t="str">
        <f>IFERROR(__xludf.DUMMYFUNCTION("""COMPUTED_VALUE"""),"Turkey")</f>
        <v>Turkey</v>
      </c>
      <c r="J69" s="16" t="str">
        <f>IFERROR(__xludf.DUMMYFUNCTION("""COMPUTED_VALUE"""),"ANKARA")</f>
        <v>ANKARA</v>
      </c>
      <c r="K69" s="17" t="str">
        <f>IFERROR(__xludf.DUMMYFUNCTION("""COMPUTED_VALUE"""),"https://expa.aiesec.org/opportunities/1294651")</f>
        <v>https://expa.aiesec.org/opportunities/1294651</v>
      </c>
      <c r="L69" s="16" t="str">
        <f>IFERROR(__xludf.DUMMYFUNCTION("""COMPUTED_VALUE"""),"GV")</f>
        <v>GV</v>
      </c>
      <c r="M69" s="16" t="str">
        <f>IFERROR(__xludf.DUMMYFUNCTION("""COMPUTED_VALUE"""),"short")</f>
        <v>short</v>
      </c>
      <c r="N69" s="18">
        <f>IFERROR(__xludf.DUMMYFUNCTION("""COMPUTED_VALUE"""),45049.0)</f>
        <v>45049</v>
      </c>
      <c r="O69" s="18">
        <f>IFERROR(__xludf.DUMMYFUNCTION("""COMPUTED_VALUE"""),45152.0)</f>
        <v>45152</v>
      </c>
      <c r="P69" s="18">
        <f>IFERROR(__xludf.DUMMYFUNCTION("""COMPUTED_VALUE"""),45194.0)</f>
        <v>45194</v>
      </c>
      <c r="Q69" s="18"/>
      <c r="R69" s="18"/>
      <c r="S69" s="16"/>
      <c r="T69" s="16"/>
      <c r="U69" s="16" t="str">
        <f>IFERROR(__xludf.DUMMYFUNCTION("""COMPUTED_VALUE"""),"Global Classroom")</f>
        <v>Global Classroom</v>
      </c>
      <c r="V69" s="16" t="str">
        <f>IFERROR(__xludf.DUMMYFUNCTION("""COMPUTED_VALUE"""),"Cairo Univeristy")</f>
        <v>Cairo Univeristy</v>
      </c>
      <c r="W69" s="16" t="str">
        <f>IFERROR(__xludf.DUMMYFUNCTION("""COMPUTED_VALUE"""),"2023-04-06T11:08:20Z")</f>
        <v>2023-04-06T11:08:20Z</v>
      </c>
      <c r="X69" s="16"/>
      <c r="Y69" s="16"/>
      <c r="Z69" s="16"/>
    </row>
    <row r="70">
      <c r="A70" s="16" t="str">
        <f>IFERROR(__xludf.DUMMYFUNCTION("""COMPUTED_VALUE"""),"5251099_1286326")</f>
        <v>5251099_1286326</v>
      </c>
      <c r="B70" s="16" t="str">
        <f>IFERROR(__xludf.DUMMYFUNCTION("""COMPUTED_VALUE"""),"Wissal Sdouga")</f>
        <v>Wissal Sdouga</v>
      </c>
      <c r="C70" s="16" t="str">
        <f>IFERROR(__xludf.DUMMYFUNCTION("""COMPUTED_VALUE"""),"approved")</f>
        <v>approved</v>
      </c>
      <c r="D70" s="16" t="str">
        <f>IFERROR(__xludf.DUMMYFUNCTION("""COMPUTED_VALUE"""),"No")</f>
        <v>No</v>
      </c>
      <c r="E70" s="16" t="str">
        <f>IFERROR(__xludf.DUMMYFUNCTION("""COMPUTED_VALUE"""),"p_5ffacd6b7c0a02cf3d65c55538afede1e903a767@inbound.aiesec.org")</f>
        <v>p_5ffacd6b7c0a02cf3d65c55538afede1e903a767@inbound.aiesec.org</v>
      </c>
      <c r="F70" s="16"/>
      <c r="G70" s="16" t="str">
        <f>IFERROR(__xludf.DUMMYFUNCTION("""COMPUTED_VALUE"""),"Tunisia")</f>
        <v>Tunisia</v>
      </c>
      <c r="H70" s="16" t="str">
        <f>IFERROR(__xludf.DUMMYFUNCTION("""COMPUTED_VALUE"""),"BARDO")</f>
        <v>BARDO</v>
      </c>
      <c r="I70" s="16" t="str">
        <f>IFERROR(__xludf.DUMMYFUNCTION("""COMPUTED_VALUE"""),"Turkey")</f>
        <v>Turkey</v>
      </c>
      <c r="J70" s="16" t="str">
        <f>IFERROR(__xludf.DUMMYFUNCTION("""COMPUTED_VALUE"""),"ADANA")</f>
        <v>ADANA</v>
      </c>
      <c r="K70" s="17" t="str">
        <f>IFERROR(__xludf.DUMMYFUNCTION("""COMPUTED_VALUE"""),"https://expa.aiesec.org/opportunities/1286326")</f>
        <v>https://expa.aiesec.org/opportunities/1286326</v>
      </c>
      <c r="L70" s="16" t="str">
        <f>IFERROR(__xludf.DUMMYFUNCTION("""COMPUTED_VALUE"""),"GV")</f>
        <v>GV</v>
      </c>
      <c r="M70" s="16" t="str">
        <f>IFERROR(__xludf.DUMMYFUNCTION("""COMPUTED_VALUE"""),"short")</f>
        <v>short</v>
      </c>
      <c r="N70" s="18">
        <f>IFERROR(__xludf.DUMMYFUNCTION("""COMPUTED_VALUE"""),45050.0)</f>
        <v>45050</v>
      </c>
      <c r="O70" s="18">
        <f>IFERROR(__xludf.DUMMYFUNCTION("""COMPUTED_VALUE"""),45145.0)</f>
        <v>45145</v>
      </c>
      <c r="P70" s="18">
        <f>IFERROR(__xludf.DUMMYFUNCTION("""COMPUTED_VALUE"""),45191.0)</f>
        <v>45191</v>
      </c>
      <c r="Q70" s="18"/>
      <c r="R70" s="18"/>
      <c r="S70" s="16"/>
      <c r="T70" s="16"/>
      <c r="U70" s="16" t="str">
        <f>IFERROR(__xludf.DUMMYFUNCTION("""COMPUTED_VALUE"""),"Equify")</f>
        <v>Equify</v>
      </c>
      <c r="V70" s="16" t="str">
        <f>IFERROR(__xludf.DUMMYFUNCTION("""COMPUTED_VALUE"""),"-")</f>
        <v>-</v>
      </c>
      <c r="W70" s="16" t="str">
        <f>IFERROR(__xludf.DUMMYFUNCTION("""COMPUTED_VALUE"""),"2023-04-27T18:13:49Z")</f>
        <v>2023-04-27T18:13:49Z</v>
      </c>
      <c r="X70" s="16"/>
      <c r="Y70" s="16"/>
      <c r="Z70" s="16"/>
    </row>
    <row r="71">
      <c r="A71" s="16" t="str">
        <f>IFERROR(__xludf.DUMMYFUNCTION("""COMPUTED_VALUE"""),"5245340_1294103")</f>
        <v>5245340_1294103</v>
      </c>
      <c r="B71" s="16" t="str">
        <f>IFERROR(__xludf.DUMMYFUNCTION("""COMPUTED_VALUE"""),"Nourchene Fatnassi")</f>
        <v>Nourchene Fatnassi</v>
      </c>
      <c r="C71" s="16" t="str">
        <f>IFERROR(__xludf.DUMMYFUNCTION("""COMPUTED_VALUE"""),"approved")</f>
        <v>approved</v>
      </c>
      <c r="D71" s="16" t="str">
        <f>IFERROR(__xludf.DUMMYFUNCTION("""COMPUTED_VALUE"""),"No")</f>
        <v>No</v>
      </c>
      <c r="E71" s="16" t="str">
        <f>IFERROR(__xludf.DUMMYFUNCTION("""COMPUTED_VALUE"""),"p_b388e3b611394dd594ee8bfa1e504e722cb65bc3@inbound.aiesec.org")</f>
        <v>p_b388e3b611394dd594ee8bfa1e504e722cb65bc3@inbound.aiesec.org</v>
      </c>
      <c r="F71" s="16">
        <f>IFERROR(__xludf.DUMMYFUNCTION("""COMPUTED_VALUE"""),2.4927108E7)</f>
        <v>24927108</v>
      </c>
      <c r="G71" s="16" t="str">
        <f>IFERROR(__xludf.DUMMYFUNCTION("""COMPUTED_VALUE"""),"Tunisia")</f>
        <v>Tunisia</v>
      </c>
      <c r="H71" s="16" t="str">
        <f>IFERROR(__xludf.DUMMYFUNCTION("""COMPUTED_VALUE"""),"NABEL")</f>
        <v>NABEL</v>
      </c>
      <c r="I71" s="16" t="str">
        <f>IFERROR(__xludf.DUMMYFUNCTION("""COMPUTED_VALUE"""),"Turkey")</f>
        <v>Turkey</v>
      </c>
      <c r="J71" s="16" t="str">
        <f>IFERROR(__xludf.DUMMYFUNCTION("""COMPUTED_VALUE"""),"İZMİR")</f>
        <v>İZMİR</v>
      </c>
      <c r="K71" s="17" t="str">
        <f>IFERROR(__xludf.DUMMYFUNCTION("""COMPUTED_VALUE"""),"https://expa.aiesec.org/opportunities/1294103")</f>
        <v>https://expa.aiesec.org/opportunities/1294103</v>
      </c>
      <c r="L71" s="16" t="str">
        <f>IFERROR(__xludf.DUMMYFUNCTION("""COMPUTED_VALUE"""),"GV")</f>
        <v>GV</v>
      </c>
      <c r="M71" s="16" t="str">
        <f>IFERROR(__xludf.DUMMYFUNCTION("""COMPUTED_VALUE"""),"short")</f>
        <v>short</v>
      </c>
      <c r="N71" s="18">
        <f>IFERROR(__xludf.DUMMYFUNCTION("""COMPUTED_VALUE"""),45051.0)</f>
        <v>45051</v>
      </c>
      <c r="O71" s="18">
        <f>IFERROR(__xludf.DUMMYFUNCTION("""COMPUTED_VALUE"""),45187.0)</f>
        <v>45187</v>
      </c>
      <c r="P71" s="18">
        <f>IFERROR(__xludf.DUMMYFUNCTION("""COMPUTED_VALUE"""),45229.0)</f>
        <v>45229</v>
      </c>
      <c r="Q71" s="18"/>
      <c r="R71" s="18"/>
      <c r="S71" s="16"/>
      <c r="T71" s="16"/>
      <c r="U71" s="16" t="str">
        <f>IFERROR(__xludf.DUMMYFUNCTION("""COMPUTED_VALUE"""),"Skill Up!")</f>
        <v>Skill Up!</v>
      </c>
      <c r="V71" s="16" t="str">
        <f>IFERROR(__xludf.DUMMYFUNCTION("""COMPUTED_VALUE"""),"IMSET Nabeul")</f>
        <v>IMSET Nabeul</v>
      </c>
      <c r="W71" s="16" t="str">
        <f>IFERROR(__xludf.DUMMYFUNCTION("""COMPUTED_VALUE"""),"2023-04-19T13:04:54Z")</f>
        <v>2023-04-19T13:04:54Z</v>
      </c>
      <c r="X71" s="16"/>
      <c r="Y71" s="16"/>
      <c r="Z71" s="16"/>
    </row>
    <row r="72">
      <c r="A72" s="16" t="str">
        <f>IFERROR(__xludf.DUMMYFUNCTION("""COMPUTED_VALUE"""),"5256352_1288245")</f>
        <v>5256352_1288245</v>
      </c>
      <c r="B72" s="16" t="str">
        <f>IFERROR(__xludf.DUMMYFUNCTION("""COMPUTED_VALUE"""),"Nairouz Abidi")</f>
        <v>Nairouz Abidi</v>
      </c>
      <c r="C72" s="16" t="str">
        <f>IFERROR(__xludf.DUMMYFUNCTION("""COMPUTED_VALUE"""),"approved")</f>
        <v>approved</v>
      </c>
      <c r="D72" s="16" t="str">
        <f>IFERROR(__xludf.DUMMYFUNCTION("""COMPUTED_VALUE"""),"No")</f>
        <v>No</v>
      </c>
      <c r="E72" s="16" t="str">
        <f>IFERROR(__xludf.DUMMYFUNCTION("""COMPUTED_VALUE"""),"p_c6519bd5276400d404ede0a14e2d12fdda9358a5@inbound.aiesec.org")</f>
        <v>p_c6519bd5276400d404ede0a14e2d12fdda9358a5@inbound.aiesec.org</v>
      </c>
      <c r="F72" s="16">
        <f>IFERROR(__xludf.DUMMYFUNCTION("""COMPUTED_VALUE"""),9.3894402E7)</f>
        <v>93894402</v>
      </c>
      <c r="G72" s="16" t="str">
        <f>IFERROR(__xludf.DUMMYFUNCTION("""COMPUTED_VALUE"""),"Tunisia")</f>
        <v>Tunisia</v>
      </c>
      <c r="H72" s="16" t="str">
        <f>IFERROR(__xludf.DUMMYFUNCTION("""COMPUTED_VALUE"""),"SFAX")</f>
        <v>SFAX</v>
      </c>
      <c r="I72" s="16" t="str">
        <f>IFERROR(__xludf.DUMMYFUNCTION("""COMPUTED_VALUE"""),"Turkey")</f>
        <v>Turkey</v>
      </c>
      <c r="J72" s="16" t="str">
        <f>IFERROR(__xludf.DUMMYFUNCTION("""COMPUTED_VALUE"""),"İZMİR")</f>
        <v>İZMİR</v>
      </c>
      <c r="K72" s="17" t="str">
        <f>IFERROR(__xludf.DUMMYFUNCTION("""COMPUTED_VALUE"""),"https://expa.aiesec.org/opportunities/1288245")</f>
        <v>https://expa.aiesec.org/opportunities/1288245</v>
      </c>
      <c r="L72" s="16" t="str">
        <f>IFERROR(__xludf.DUMMYFUNCTION("""COMPUTED_VALUE"""),"GV")</f>
        <v>GV</v>
      </c>
      <c r="M72" s="16" t="str">
        <f>IFERROR(__xludf.DUMMYFUNCTION("""COMPUTED_VALUE"""),"short")</f>
        <v>short</v>
      </c>
      <c r="N72" s="18">
        <f>IFERROR(__xludf.DUMMYFUNCTION("""COMPUTED_VALUE"""),45054.0)</f>
        <v>45054</v>
      </c>
      <c r="O72" s="18">
        <f>IFERROR(__xludf.DUMMYFUNCTION("""COMPUTED_VALUE"""),45173.0)</f>
        <v>45173</v>
      </c>
      <c r="P72" s="18">
        <f>IFERROR(__xludf.DUMMYFUNCTION("""COMPUTED_VALUE"""),45215.0)</f>
        <v>45215</v>
      </c>
      <c r="Q72" s="18"/>
      <c r="R72" s="18"/>
      <c r="S72" s="16"/>
      <c r="T72" s="16"/>
      <c r="U72" s="16" t="str">
        <f>IFERROR(__xludf.DUMMYFUNCTION("""COMPUTED_VALUE"""),"Global Classroom")</f>
        <v>Global Classroom</v>
      </c>
      <c r="V72" s="16" t="str">
        <f>IFERROR(__xludf.DUMMYFUNCTION("""COMPUTED_VALUE"""),"FLSH sfax ")</f>
        <v>FLSH sfax </v>
      </c>
      <c r="W72" s="16" t="str">
        <f>IFERROR(__xludf.DUMMYFUNCTION("""COMPUTED_VALUE"""),"2023-05-05T14:28:20Z")</f>
        <v>2023-05-05T14:28:20Z</v>
      </c>
      <c r="X72" s="16"/>
      <c r="Y72" s="16"/>
      <c r="Z72" s="16"/>
    </row>
    <row r="73">
      <c r="A73" s="16" t="str">
        <f>IFERROR(__xludf.DUMMYFUNCTION("""COMPUTED_VALUE"""),"2039687_1289596")</f>
        <v>2039687_1289596</v>
      </c>
      <c r="B73" s="16" t="str">
        <f>IFERROR(__xludf.DUMMYFUNCTION("""COMPUTED_VALUE"""),"Muhammad Mahad")</f>
        <v>Muhammad Mahad</v>
      </c>
      <c r="C73" s="16" t="str">
        <f>IFERROR(__xludf.DUMMYFUNCTION("""COMPUTED_VALUE"""),"approved")</f>
        <v>approved</v>
      </c>
      <c r="D73" s="16" t="str">
        <f>IFERROR(__xludf.DUMMYFUNCTION("""COMPUTED_VALUE"""),"No")</f>
        <v>No</v>
      </c>
      <c r="E73" s="16" t="str">
        <f>IFERROR(__xludf.DUMMYFUNCTION("""COMPUTED_VALUE"""),"p_3f6fc1ae94edd62fb482a9a9d7fe064b826021bb@inbound.aiesec.org")</f>
        <v>p_3f6fc1ae94edd62fb482a9a9d7fe064b826021bb@inbound.aiesec.org</v>
      </c>
      <c r="F73" s="16">
        <f>IFERROR(__xludf.DUMMYFUNCTION("""COMPUTED_VALUE"""),3.367699724E9)</f>
        <v>3367699724</v>
      </c>
      <c r="G73" s="16" t="str">
        <f>IFERROR(__xludf.DUMMYFUNCTION("""COMPUTED_VALUE"""),"Pakistan")</f>
        <v>Pakistan</v>
      </c>
      <c r="H73" s="16" t="str">
        <f>IFERROR(__xludf.DUMMYFUNCTION("""COMPUTED_VALUE"""),"Lahore")</f>
        <v>Lahore</v>
      </c>
      <c r="I73" s="16" t="str">
        <f>IFERROR(__xludf.DUMMYFUNCTION("""COMPUTED_VALUE"""),"Turkey")</f>
        <v>Turkey</v>
      </c>
      <c r="J73" s="16" t="str">
        <f>IFERROR(__xludf.DUMMYFUNCTION("""COMPUTED_VALUE"""),"ISPARTA")</f>
        <v>ISPARTA</v>
      </c>
      <c r="K73" s="17" t="str">
        <f>IFERROR(__xludf.DUMMYFUNCTION("""COMPUTED_VALUE"""),"https://expa.aiesec.org/opportunities/1289596")</f>
        <v>https://expa.aiesec.org/opportunities/1289596</v>
      </c>
      <c r="L73" s="16" t="str">
        <f>IFERROR(__xludf.DUMMYFUNCTION("""COMPUTED_VALUE"""),"GV")</f>
        <v>GV</v>
      </c>
      <c r="M73" s="16" t="str">
        <f>IFERROR(__xludf.DUMMYFUNCTION("""COMPUTED_VALUE"""),"short")</f>
        <v>short</v>
      </c>
      <c r="N73" s="18">
        <f>IFERROR(__xludf.DUMMYFUNCTION("""COMPUTED_VALUE"""),45057.0)</f>
        <v>45057</v>
      </c>
      <c r="O73" s="18">
        <f>IFERROR(__xludf.DUMMYFUNCTION("""COMPUTED_VALUE"""),45131.0)</f>
        <v>45131</v>
      </c>
      <c r="P73" s="18">
        <f>IFERROR(__xludf.DUMMYFUNCTION("""COMPUTED_VALUE"""),45173.0)</f>
        <v>45173</v>
      </c>
      <c r="Q73" s="18"/>
      <c r="R73" s="18"/>
      <c r="S73" s="16"/>
      <c r="T73" s="16"/>
      <c r="U73" s="16" t="str">
        <f>IFERROR(__xludf.DUMMYFUNCTION("""COMPUTED_VALUE"""),"Global Classroom")</f>
        <v>Global Classroom</v>
      </c>
      <c r="V73" s="16" t="str">
        <f>IFERROR(__xludf.DUMMYFUNCTION("""COMPUTED_VALUE"""),"-")</f>
        <v>-</v>
      </c>
      <c r="W73" s="16" t="str">
        <f>IFERROR(__xludf.DUMMYFUNCTION("""COMPUTED_VALUE"""),"2018-02-17T08:49:24Z")</f>
        <v>2018-02-17T08:49:24Z</v>
      </c>
      <c r="X73" s="16"/>
      <c r="Y73" s="16"/>
      <c r="Z73" s="16"/>
    </row>
    <row r="74">
      <c r="A74" s="16" t="str">
        <f>IFERROR(__xludf.DUMMYFUNCTION("""COMPUTED_VALUE"""),"5251278_1289596")</f>
        <v>5251278_1289596</v>
      </c>
      <c r="B74" s="16" t="str">
        <f>IFERROR(__xludf.DUMMYFUNCTION("""COMPUTED_VALUE"""),"Muhammad Abdul Rafey")</f>
        <v>Muhammad Abdul Rafey</v>
      </c>
      <c r="C74" s="16" t="str">
        <f>IFERROR(__xludf.DUMMYFUNCTION("""COMPUTED_VALUE"""),"approved")</f>
        <v>approved</v>
      </c>
      <c r="D74" s="16" t="str">
        <f>IFERROR(__xludf.DUMMYFUNCTION("""COMPUTED_VALUE"""),"No")</f>
        <v>No</v>
      </c>
      <c r="E74" s="16" t="str">
        <f>IFERROR(__xludf.DUMMYFUNCTION("""COMPUTED_VALUE"""),"p_c943ce486d91db3dde52a069fbb6de7acbeace7b@inbound.aiesec.org")</f>
        <v>p_c943ce486d91db3dde52a069fbb6de7acbeace7b@inbound.aiesec.org</v>
      </c>
      <c r="F74" s="16">
        <f>IFERROR(__xludf.DUMMYFUNCTION("""COMPUTED_VALUE"""),5.22013682E8)</f>
        <v>522013682</v>
      </c>
      <c r="G74" s="16" t="str">
        <f>IFERROR(__xludf.DUMMYFUNCTION("""COMPUTED_VALUE"""),"Pakistan")</f>
        <v>Pakistan</v>
      </c>
      <c r="H74" s="16" t="str">
        <f>IFERROR(__xludf.DUMMYFUNCTION("""COMPUTED_VALUE"""),"Lahore")</f>
        <v>Lahore</v>
      </c>
      <c r="I74" s="16" t="str">
        <f>IFERROR(__xludf.DUMMYFUNCTION("""COMPUTED_VALUE"""),"Turkey")</f>
        <v>Turkey</v>
      </c>
      <c r="J74" s="16" t="str">
        <f>IFERROR(__xludf.DUMMYFUNCTION("""COMPUTED_VALUE"""),"ISPARTA")</f>
        <v>ISPARTA</v>
      </c>
      <c r="K74" s="17" t="str">
        <f>IFERROR(__xludf.DUMMYFUNCTION("""COMPUTED_VALUE"""),"https://expa.aiesec.org/opportunities/1289596")</f>
        <v>https://expa.aiesec.org/opportunities/1289596</v>
      </c>
      <c r="L74" s="16" t="str">
        <f>IFERROR(__xludf.DUMMYFUNCTION("""COMPUTED_VALUE"""),"GV")</f>
        <v>GV</v>
      </c>
      <c r="M74" s="16" t="str">
        <f>IFERROR(__xludf.DUMMYFUNCTION("""COMPUTED_VALUE"""),"short")</f>
        <v>short</v>
      </c>
      <c r="N74" s="18">
        <f>IFERROR(__xludf.DUMMYFUNCTION("""COMPUTED_VALUE"""),45057.0)</f>
        <v>45057</v>
      </c>
      <c r="O74" s="18">
        <f>IFERROR(__xludf.DUMMYFUNCTION("""COMPUTED_VALUE"""),45131.0)</f>
        <v>45131</v>
      </c>
      <c r="P74" s="18">
        <f>IFERROR(__xludf.DUMMYFUNCTION("""COMPUTED_VALUE"""),45173.0)</f>
        <v>45173</v>
      </c>
      <c r="Q74" s="18"/>
      <c r="R74" s="18"/>
      <c r="S74" s="16"/>
      <c r="T74" s="16"/>
      <c r="U74" s="16" t="str">
        <f>IFERROR(__xludf.DUMMYFUNCTION("""COMPUTED_VALUE"""),"Global Classroom")</f>
        <v>Global Classroom</v>
      </c>
      <c r="V74" s="16" t="str">
        <f>IFERROR(__xludf.DUMMYFUNCTION("""COMPUTED_VALUE"""),"Lahore - University of Lahore (UoL)")</f>
        <v>Lahore - University of Lahore (UoL)</v>
      </c>
      <c r="W74" s="16" t="str">
        <f>IFERROR(__xludf.DUMMYFUNCTION("""COMPUTED_VALUE"""),"2023-04-27T22:07:38Z")</f>
        <v>2023-04-27T22:07:38Z</v>
      </c>
      <c r="X74" s="16"/>
      <c r="Y74" s="16"/>
      <c r="Z74" s="16"/>
    </row>
    <row r="75">
      <c r="A75" s="16" t="str">
        <f>IFERROR(__xludf.DUMMYFUNCTION("""COMPUTED_VALUE"""),"5229920_1294622")</f>
        <v>5229920_1294622</v>
      </c>
      <c r="B75" s="16" t="str">
        <f>IFERROR(__xludf.DUMMYFUNCTION("""COMPUTED_VALUE"""),"Javeria Zulfiqar FastNU")</f>
        <v>Javeria Zulfiqar FastNU</v>
      </c>
      <c r="C75" s="16" t="str">
        <f>IFERROR(__xludf.DUMMYFUNCTION("""COMPUTED_VALUE"""),"approved")</f>
        <v>approved</v>
      </c>
      <c r="D75" s="16" t="str">
        <f>IFERROR(__xludf.DUMMYFUNCTION("""COMPUTED_VALUE"""),"No")</f>
        <v>No</v>
      </c>
      <c r="E75" s="16" t="str">
        <f>IFERROR(__xludf.DUMMYFUNCTION("""COMPUTED_VALUE"""),"p_00f893bb6e1c85f4cc598009a84a670d7df62702@inbound.aiesec.org")</f>
        <v>p_00f893bb6e1c85f4cc598009a84a670d7df62702@inbound.aiesec.org</v>
      </c>
      <c r="F75" s="16"/>
      <c r="G75" s="16" t="str">
        <f>IFERROR(__xludf.DUMMYFUNCTION("""COMPUTED_VALUE"""),"Pakistan")</f>
        <v>Pakistan</v>
      </c>
      <c r="H75" s="16" t="str">
        <f>IFERROR(__xludf.DUMMYFUNCTION("""COMPUTED_VALUE"""),"Lahore - Pak")</f>
        <v>Lahore - Pak</v>
      </c>
      <c r="I75" s="16" t="str">
        <f>IFERROR(__xludf.DUMMYFUNCTION("""COMPUTED_VALUE"""),"Turkey")</f>
        <v>Turkey</v>
      </c>
      <c r="J75" s="16" t="str">
        <f>IFERROR(__xludf.DUMMYFUNCTION("""COMPUTED_VALUE"""),"ADANA")</f>
        <v>ADANA</v>
      </c>
      <c r="K75" s="17" t="str">
        <f>IFERROR(__xludf.DUMMYFUNCTION("""COMPUTED_VALUE"""),"https://expa.aiesec.org/opportunities/1294622")</f>
        <v>https://expa.aiesec.org/opportunities/1294622</v>
      </c>
      <c r="L75" s="16" t="str">
        <f>IFERROR(__xludf.DUMMYFUNCTION("""COMPUTED_VALUE"""),"GV")</f>
        <v>GV</v>
      </c>
      <c r="M75" s="16" t="str">
        <f>IFERROR(__xludf.DUMMYFUNCTION("""COMPUTED_VALUE"""),"short")</f>
        <v>short</v>
      </c>
      <c r="N75" s="18">
        <f>IFERROR(__xludf.DUMMYFUNCTION("""COMPUTED_VALUE"""),45060.0)</f>
        <v>45060</v>
      </c>
      <c r="O75" s="18">
        <f>IFERROR(__xludf.DUMMYFUNCTION("""COMPUTED_VALUE"""),45194.0)</f>
        <v>45194</v>
      </c>
      <c r="P75" s="18">
        <f>IFERROR(__xludf.DUMMYFUNCTION("""COMPUTED_VALUE"""),45240.0)</f>
        <v>45240</v>
      </c>
      <c r="Q75" s="18"/>
      <c r="R75" s="18"/>
      <c r="S75" s="16"/>
      <c r="T75" s="16"/>
      <c r="U75" s="16" t="str">
        <f>IFERROR(__xludf.DUMMYFUNCTION("""COMPUTED_VALUE"""),"Equify")</f>
        <v>Equify</v>
      </c>
      <c r="V75" s="16" t="str">
        <f>IFERROR(__xludf.DUMMYFUNCTION("""COMPUTED_VALUE"""),"-")</f>
        <v>-</v>
      </c>
      <c r="W75" s="16" t="str">
        <f>IFERROR(__xludf.DUMMYFUNCTION("""COMPUTED_VALUE"""),"2023-03-29T10:52:39Z")</f>
        <v>2023-03-29T10:52:39Z</v>
      </c>
      <c r="X75" s="16"/>
      <c r="Y75" s="16"/>
      <c r="Z75" s="16"/>
    </row>
    <row r="76">
      <c r="A76" s="16" t="str">
        <f>IFERROR(__xludf.DUMMYFUNCTION("""COMPUTED_VALUE"""),"5253123_1288663")</f>
        <v>5253123_1288663</v>
      </c>
      <c r="B76" s="16" t="str">
        <f>IFERROR(__xludf.DUMMYFUNCTION("""COMPUTED_VALUE"""),"Aigerim MARKIBAY")</f>
        <v>Aigerim MARKIBAY</v>
      </c>
      <c r="C76" s="16" t="str">
        <f>IFERROR(__xludf.DUMMYFUNCTION("""COMPUTED_VALUE"""),"approved")</f>
        <v>approved</v>
      </c>
      <c r="D76" s="16" t="str">
        <f>IFERROR(__xludf.DUMMYFUNCTION("""COMPUTED_VALUE"""),"No")</f>
        <v>No</v>
      </c>
      <c r="E76" s="16" t="str">
        <f>IFERROR(__xludf.DUMMYFUNCTION("""COMPUTED_VALUE"""),"p_c5f746d2753eacc3d64454348924a94e279f4b45@inbound.aiesec.org")</f>
        <v>p_c5f746d2753eacc3d64454348924a94e279f4b45@inbound.aiesec.org</v>
      </c>
      <c r="F76" s="16">
        <f>IFERROR(__xludf.DUMMYFUNCTION("""COMPUTED_VALUE"""),7.054868633E9)</f>
        <v>7054868633</v>
      </c>
      <c r="G76" s="16" t="str">
        <f>IFERROR(__xludf.DUMMYFUNCTION("""COMPUTED_VALUE"""),"Kazakhstan")</f>
        <v>Kazakhstan</v>
      </c>
      <c r="H76" s="16" t="str">
        <f>IFERROR(__xludf.DUMMYFUNCTION("""COMPUTED_VALUE"""),"ALMATY")</f>
        <v>ALMATY</v>
      </c>
      <c r="I76" s="16" t="str">
        <f>IFERROR(__xludf.DUMMYFUNCTION("""COMPUTED_VALUE"""),"Turkey")</f>
        <v>Turkey</v>
      </c>
      <c r="J76" s="16" t="str">
        <f>IFERROR(__xludf.DUMMYFUNCTION("""COMPUTED_VALUE"""),"İZMİR")</f>
        <v>İZMİR</v>
      </c>
      <c r="K76" s="17" t="str">
        <f>IFERROR(__xludf.DUMMYFUNCTION("""COMPUTED_VALUE"""),"https://expa.aiesec.org/opportunities/1288663")</f>
        <v>https://expa.aiesec.org/opportunities/1288663</v>
      </c>
      <c r="L76" s="16" t="str">
        <f>IFERROR(__xludf.DUMMYFUNCTION("""COMPUTED_VALUE"""),"GV")</f>
        <v>GV</v>
      </c>
      <c r="M76" s="16" t="str">
        <f>IFERROR(__xludf.DUMMYFUNCTION("""COMPUTED_VALUE"""),"short")</f>
        <v>short</v>
      </c>
      <c r="N76" s="18">
        <f>IFERROR(__xludf.DUMMYFUNCTION("""COMPUTED_VALUE"""),45060.0)</f>
        <v>45060</v>
      </c>
      <c r="O76" s="18">
        <f>IFERROR(__xludf.DUMMYFUNCTION("""COMPUTED_VALUE"""),45165.0)</f>
        <v>45165</v>
      </c>
      <c r="P76" s="18">
        <f>IFERROR(__xludf.DUMMYFUNCTION("""COMPUTED_VALUE"""),45207.0)</f>
        <v>45207</v>
      </c>
      <c r="Q76" s="18"/>
      <c r="R76" s="18"/>
      <c r="S76" s="16"/>
      <c r="T76" s="16"/>
      <c r="U76" s="16" t="str">
        <f>IFERROR(__xludf.DUMMYFUNCTION("""COMPUTED_VALUE"""),"Global Classroom")</f>
        <v>Global Classroom</v>
      </c>
      <c r="V76" s="16" t="str">
        <f>IFERROR(__xludf.DUMMYFUNCTION("""COMPUTED_VALUE"""),"Shymkent")</f>
        <v>Shymkent</v>
      </c>
      <c r="W76" s="16" t="str">
        <f>IFERROR(__xludf.DUMMYFUNCTION("""COMPUTED_VALUE"""),"2023-04-30T13:27:31Z")</f>
        <v>2023-04-30T13:27:31Z</v>
      </c>
      <c r="X76" s="16"/>
      <c r="Y76" s="16"/>
      <c r="Z76" s="16"/>
    </row>
    <row r="77">
      <c r="A77" s="16" t="str">
        <f>IFERROR(__xludf.DUMMYFUNCTION("""COMPUTED_VALUE"""),"5254110_1291252")</f>
        <v>5254110_1291252</v>
      </c>
      <c r="B77" s="16" t="str">
        <f>IFERROR(__xludf.DUMMYFUNCTION("""COMPUTED_VALUE"""),"Sara Gurizzan")</f>
        <v>Sara Gurizzan</v>
      </c>
      <c r="C77" s="16" t="str">
        <f>IFERROR(__xludf.DUMMYFUNCTION("""COMPUTED_VALUE"""),"approved")</f>
        <v>approved</v>
      </c>
      <c r="D77" s="16" t="str">
        <f>IFERROR(__xludf.DUMMYFUNCTION("""COMPUTED_VALUE"""),"No")</f>
        <v>No</v>
      </c>
      <c r="E77" s="16" t="str">
        <f>IFERROR(__xludf.DUMMYFUNCTION("""COMPUTED_VALUE"""),"p_1d344d2dae8881797678db3c164759d651ee2cba@inbound.aiesec.org")</f>
        <v>p_1d344d2dae8881797678db3c164759d651ee2cba@inbound.aiesec.org</v>
      </c>
      <c r="F77" s="16"/>
      <c r="G77" s="16" t="str">
        <f>IFERROR(__xludf.DUMMYFUNCTION("""COMPUTED_VALUE"""),"Italy")</f>
        <v>Italy</v>
      </c>
      <c r="H77" s="16" t="str">
        <f>IFERROR(__xludf.DUMMYFUNCTION("""COMPUTED_VALUE"""),"Padova")</f>
        <v>Padova</v>
      </c>
      <c r="I77" s="16" t="str">
        <f>IFERROR(__xludf.DUMMYFUNCTION("""COMPUTED_VALUE"""),"Turkey")</f>
        <v>Turkey</v>
      </c>
      <c r="J77" s="16" t="str">
        <f>IFERROR(__xludf.DUMMYFUNCTION("""COMPUTED_VALUE"""),"KOCAELI")</f>
        <v>KOCAELI</v>
      </c>
      <c r="K77" s="17" t="str">
        <f>IFERROR(__xludf.DUMMYFUNCTION("""COMPUTED_VALUE"""),"https://expa.aiesec.org/opportunities/1291252")</f>
        <v>https://expa.aiesec.org/opportunities/1291252</v>
      </c>
      <c r="L77" s="16" t="str">
        <f>IFERROR(__xludf.DUMMYFUNCTION("""COMPUTED_VALUE"""),"GV")</f>
        <v>GV</v>
      </c>
      <c r="M77" s="16" t="str">
        <f>IFERROR(__xludf.DUMMYFUNCTION("""COMPUTED_VALUE"""),"short")</f>
        <v>short</v>
      </c>
      <c r="N77" s="18">
        <f>IFERROR(__xludf.DUMMYFUNCTION("""COMPUTED_VALUE"""),45061.0)</f>
        <v>45061</v>
      </c>
      <c r="O77" s="18">
        <f>IFERROR(__xludf.DUMMYFUNCTION("""COMPUTED_VALUE"""),45153.0)</f>
        <v>45153</v>
      </c>
      <c r="P77" s="18">
        <f>IFERROR(__xludf.DUMMYFUNCTION("""COMPUTED_VALUE"""),45195.0)</f>
        <v>45195</v>
      </c>
      <c r="Q77" s="18"/>
      <c r="R77" s="18"/>
      <c r="S77" s="16"/>
      <c r="T77" s="16"/>
      <c r="U77" s="16" t="str">
        <f>IFERROR(__xludf.DUMMYFUNCTION("""COMPUTED_VALUE"""),"Global Classroom")</f>
        <v>Global Classroom</v>
      </c>
      <c r="V77" s="16" t="str">
        <f>IFERROR(__xludf.DUMMYFUNCTION("""COMPUTED_VALUE"""),"-")</f>
        <v>-</v>
      </c>
      <c r="W77" s="16" t="str">
        <f>IFERROR(__xludf.DUMMYFUNCTION("""COMPUTED_VALUE"""),"2023-05-02T07:08:47Z")</f>
        <v>2023-05-02T07:08:47Z</v>
      </c>
      <c r="X77" s="16"/>
      <c r="Y77" s="16"/>
      <c r="Z77" s="16"/>
    </row>
    <row r="78">
      <c r="A78" s="16" t="str">
        <f>IFERROR(__xludf.DUMMYFUNCTION("""COMPUTED_VALUE"""),"5256224_1287851")</f>
        <v>5256224_1287851</v>
      </c>
      <c r="B78" s="16" t="str">
        <f>IFERROR(__xludf.DUMMYFUNCTION("""COMPUTED_VALUE"""),"Marko Stojakovic")</f>
        <v>Marko Stojakovic</v>
      </c>
      <c r="C78" s="16" t="str">
        <f>IFERROR(__xludf.DUMMYFUNCTION("""COMPUTED_VALUE"""),"approved")</f>
        <v>approved</v>
      </c>
      <c r="D78" s="16" t="str">
        <f>IFERROR(__xludf.DUMMYFUNCTION("""COMPUTED_VALUE"""),"No")</f>
        <v>No</v>
      </c>
      <c r="E78" s="16" t="str">
        <f>IFERROR(__xludf.DUMMYFUNCTION("""COMPUTED_VALUE"""),"p_8dc597782ab23afd87d1f601f31f4ac3f02bd525@inbound.aiesec.org")</f>
        <v>p_8dc597782ab23afd87d1f601f31f4ac3f02bd525@inbound.aiesec.org</v>
      </c>
      <c r="F78" s="16">
        <f>IFERROR(__xludf.DUMMYFUNCTION("""COMPUTED_VALUE"""),6.28366858E8)</f>
        <v>628366858</v>
      </c>
      <c r="G78" s="16" t="str">
        <f>IFERROR(__xludf.DUMMYFUNCTION("""COMPUTED_VALUE"""),"Serbia")</f>
        <v>Serbia</v>
      </c>
      <c r="H78" s="16" t="str">
        <f>IFERROR(__xludf.DUMMYFUNCTION("""COMPUTED_VALUE"""),"NOVI SAD")</f>
        <v>NOVI SAD</v>
      </c>
      <c r="I78" s="16" t="str">
        <f>IFERROR(__xludf.DUMMYFUNCTION("""COMPUTED_VALUE"""),"Turkey")</f>
        <v>Turkey</v>
      </c>
      <c r="J78" s="16" t="str">
        <f>IFERROR(__xludf.DUMMYFUNCTION("""COMPUTED_VALUE"""),"KOCAELI")</f>
        <v>KOCAELI</v>
      </c>
      <c r="K78" s="17" t="str">
        <f>IFERROR(__xludf.DUMMYFUNCTION("""COMPUTED_VALUE"""),"https://expa.aiesec.org/opportunities/1287851")</f>
        <v>https://expa.aiesec.org/opportunities/1287851</v>
      </c>
      <c r="L78" s="16" t="str">
        <f>IFERROR(__xludf.DUMMYFUNCTION("""COMPUTED_VALUE"""),"GV")</f>
        <v>GV</v>
      </c>
      <c r="M78" s="16" t="str">
        <f>IFERROR(__xludf.DUMMYFUNCTION("""COMPUTED_VALUE"""),"short")</f>
        <v>short</v>
      </c>
      <c r="N78" s="18">
        <f>IFERROR(__xludf.DUMMYFUNCTION("""COMPUTED_VALUE"""),45061.0)</f>
        <v>45061</v>
      </c>
      <c r="O78" s="18">
        <f>IFERROR(__xludf.DUMMYFUNCTION("""COMPUTED_VALUE"""),45180.0)</f>
        <v>45180</v>
      </c>
      <c r="P78" s="18">
        <f>IFERROR(__xludf.DUMMYFUNCTION("""COMPUTED_VALUE"""),45222.0)</f>
        <v>45222</v>
      </c>
      <c r="Q78" s="18"/>
      <c r="R78" s="18"/>
      <c r="S78" s="16"/>
      <c r="T78" s="16"/>
      <c r="U78" s="16" t="str">
        <f>IFERROR(__xludf.DUMMYFUNCTION("""COMPUTED_VALUE"""),"Heartbeat")</f>
        <v>Heartbeat</v>
      </c>
      <c r="V78" s="16" t="str">
        <f>IFERROR(__xludf.DUMMYFUNCTION("""COMPUTED_VALUE"""),"Novi Sad")</f>
        <v>Novi Sad</v>
      </c>
      <c r="W78" s="16" t="str">
        <f>IFERROR(__xludf.DUMMYFUNCTION("""COMPUTED_VALUE"""),"2023-05-05T09:27:14Z")</f>
        <v>2023-05-05T09:27:14Z</v>
      </c>
      <c r="X78" s="16"/>
      <c r="Y78" s="16"/>
      <c r="Z78" s="16"/>
    </row>
    <row r="79">
      <c r="A79" s="16" t="str">
        <f>IFERROR(__xludf.DUMMYFUNCTION("""COMPUTED_VALUE"""),"5257789_1284476")</f>
        <v>5257789_1284476</v>
      </c>
      <c r="B79" s="16" t="str">
        <f>IFERROR(__xludf.DUMMYFUNCTION("""COMPUTED_VALUE"""),"Mohamed El Sayed")</f>
        <v>Mohamed El Sayed</v>
      </c>
      <c r="C79" s="16" t="str">
        <f>IFERROR(__xludf.DUMMYFUNCTION("""COMPUTED_VALUE"""),"approved")</f>
        <v>approved</v>
      </c>
      <c r="D79" s="16" t="str">
        <f>IFERROR(__xludf.DUMMYFUNCTION("""COMPUTED_VALUE"""),"No")</f>
        <v>No</v>
      </c>
      <c r="E79" s="16" t="str">
        <f>IFERROR(__xludf.DUMMYFUNCTION("""COMPUTED_VALUE"""),"p_ffab0c750d08acccced9ba39540925eb836d499a@inbound.aiesec.org")</f>
        <v>p_ffab0c750d08acccced9ba39540925eb836d499a@inbound.aiesec.org</v>
      </c>
      <c r="F79" s="16">
        <f>IFERROR(__xludf.DUMMYFUNCTION("""COMPUTED_VALUE"""),1.098936935E9)</f>
        <v>1098936935</v>
      </c>
      <c r="G79" s="16" t="str">
        <f>IFERROR(__xludf.DUMMYFUNCTION("""COMPUTED_VALUE"""),"Egypt")</f>
        <v>Egypt</v>
      </c>
      <c r="H79" s="16" t="str">
        <f>IFERROR(__xludf.DUMMYFUNCTION("""COMPUTED_VALUE"""),"6th October University")</f>
        <v>6th October University</v>
      </c>
      <c r="I79" s="16" t="str">
        <f>IFERROR(__xludf.DUMMYFUNCTION("""COMPUTED_VALUE"""),"Turkey")</f>
        <v>Turkey</v>
      </c>
      <c r="J79" s="16" t="str">
        <f>IFERROR(__xludf.DUMMYFUNCTION("""COMPUTED_VALUE"""),"ADANA")</f>
        <v>ADANA</v>
      </c>
      <c r="K79" s="17" t="str">
        <f>IFERROR(__xludf.DUMMYFUNCTION("""COMPUTED_VALUE"""),"https://expa.aiesec.org/opportunities/1284476")</f>
        <v>https://expa.aiesec.org/opportunities/1284476</v>
      </c>
      <c r="L79" s="16" t="str">
        <f>IFERROR(__xludf.DUMMYFUNCTION("""COMPUTED_VALUE"""),"GV")</f>
        <v>GV</v>
      </c>
      <c r="M79" s="16" t="str">
        <f>IFERROR(__xludf.DUMMYFUNCTION("""COMPUTED_VALUE"""),"short")</f>
        <v>short</v>
      </c>
      <c r="N79" s="18">
        <f>IFERROR(__xludf.DUMMYFUNCTION("""COMPUTED_VALUE"""),45061.0)</f>
        <v>45061</v>
      </c>
      <c r="O79" s="18">
        <f>IFERROR(__xludf.DUMMYFUNCTION("""COMPUTED_VALUE"""),45180.0)</f>
        <v>45180</v>
      </c>
      <c r="P79" s="18">
        <f>IFERROR(__xludf.DUMMYFUNCTION("""COMPUTED_VALUE"""),45226.0)</f>
        <v>45226</v>
      </c>
      <c r="Q79" s="18"/>
      <c r="R79" s="18"/>
      <c r="S79" s="16"/>
      <c r="T79" s="16"/>
      <c r="U79" s="16" t="str">
        <f>IFERROR(__xludf.DUMMYFUNCTION("""COMPUTED_VALUE"""),"Global Classroom")</f>
        <v>Global Classroom</v>
      </c>
      <c r="V79" s="16" t="str">
        <f>IFERROR(__xludf.DUMMYFUNCTION("""COMPUTED_VALUE"""),"6th of October University")</f>
        <v>6th of October University</v>
      </c>
      <c r="W79" s="16" t="str">
        <f>IFERROR(__xludf.DUMMYFUNCTION("""COMPUTED_VALUE"""),"2023-05-08T16:21:13Z")</f>
        <v>2023-05-08T16:21:13Z</v>
      </c>
      <c r="X79" s="16"/>
      <c r="Y79" s="16"/>
      <c r="Z79" s="16"/>
    </row>
    <row r="80">
      <c r="A80" s="16" t="str">
        <f>IFERROR(__xludf.DUMMYFUNCTION("""COMPUTED_VALUE"""),"4751368_1294127")</f>
        <v>4751368_1294127</v>
      </c>
      <c r="B80" s="16" t="str">
        <f>IFERROR(__xludf.DUMMYFUNCTION("""COMPUTED_VALUE"""),"mariem boudabous")</f>
        <v>mariem boudabous</v>
      </c>
      <c r="C80" s="16" t="str">
        <f>IFERROR(__xludf.DUMMYFUNCTION("""COMPUTED_VALUE"""),"approved")</f>
        <v>approved</v>
      </c>
      <c r="D80" s="16" t="str">
        <f>IFERROR(__xludf.DUMMYFUNCTION("""COMPUTED_VALUE"""),"No")</f>
        <v>No</v>
      </c>
      <c r="E80" s="16" t="str">
        <f>IFERROR(__xludf.DUMMYFUNCTION("""COMPUTED_VALUE"""),"p_fd98cee3429267833b9acda171e3b995bb77df67@inbound.aiesec.org")</f>
        <v>p_fd98cee3429267833b9acda171e3b995bb77df67@inbound.aiesec.org</v>
      </c>
      <c r="F80" s="16">
        <f>IFERROR(__xludf.DUMMYFUNCTION("""COMPUTED_VALUE"""),5.1644063E7)</f>
        <v>51644063</v>
      </c>
      <c r="G80" s="16" t="str">
        <f>IFERROR(__xludf.DUMMYFUNCTION("""COMPUTED_VALUE"""),"Tunisia")</f>
        <v>Tunisia</v>
      </c>
      <c r="H80" s="16" t="str">
        <f>IFERROR(__xludf.DUMMYFUNCTION("""COMPUTED_VALUE"""),"BARDO")</f>
        <v>BARDO</v>
      </c>
      <c r="I80" s="16" t="str">
        <f>IFERROR(__xludf.DUMMYFUNCTION("""COMPUTED_VALUE"""),"Turkey")</f>
        <v>Turkey</v>
      </c>
      <c r="J80" s="16" t="str">
        <f>IFERROR(__xludf.DUMMYFUNCTION("""COMPUTED_VALUE"""),"ADANA")</f>
        <v>ADANA</v>
      </c>
      <c r="K80" s="17" t="str">
        <f>IFERROR(__xludf.DUMMYFUNCTION("""COMPUTED_VALUE"""),"https://expa.aiesec.org/opportunities/1294127")</f>
        <v>https://expa.aiesec.org/opportunities/1294127</v>
      </c>
      <c r="L80" s="16" t="str">
        <f>IFERROR(__xludf.DUMMYFUNCTION("""COMPUTED_VALUE"""),"GV")</f>
        <v>GV</v>
      </c>
      <c r="M80" s="16" t="str">
        <f>IFERROR(__xludf.DUMMYFUNCTION("""COMPUTED_VALUE"""),"short")</f>
        <v>short</v>
      </c>
      <c r="N80" s="18">
        <f>IFERROR(__xludf.DUMMYFUNCTION("""COMPUTED_VALUE"""),45063.0)</f>
        <v>45063</v>
      </c>
      <c r="O80" s="18">
        <f>IFERROR(__xludf.DUMMYFUNCTION("""COMPUTED_VALUE"""),45131.0)</f>
        <v>45131</v>
      </c>
      <c r="P80" s="18">
        <f>IFERROR(__xludf.DUMMYFUNCTION("""COMPUTED_VALUE"""),45177.0)</f>
        <v>45177</v>
      </c>
      <c r="Q80" s="18"/>
      <c r="R80" s="18"/>
      <c r="S80" s="16"/>
      <c r="T80" s="16"/>
      <c r="U80" s="16" t="str">
        <f>IFERROR(__xludf.DUMMYFUNCTION("""COMPUTED_VALUE"""),"Equify")</f>
        <v>Equify</v>
      </c>
      <c r="V80" s="16" t="str">
        <f>IFERROR(__xludf.DUMMYFUNCTION("""COMPUTED_VALUE"""),"ESPRIT El Ghazela ")</f>
        <v>ESPRIT El Ghazela </v>
      </c>
      <c r="W80" s="16" t="str">
        <f>IFERROR(__xludf.DUMMYFUNCTION("""COMPUTED_VALUE"""),"2021-09-28T09:29:43Z")</f>
        <v>2021-09-28T09:29:43Z</v>
      </c>
      <c r="X80" s="16"/>
      <c r="Y80" s="16"/>
      <c r="Z80" s="16"/>
    </row>
    <row r="81">
      <c r="A81" s="16" t="str">
        <f>IFERROR(__xludf.DUMMYFUNCTION("""COMPUTED_VALUE"""),"5262409_1287851")</f>
        <v>5262409_1287851</v>
      </c>
      <c r="B81" s="16" t="str">
        <f>IFERROR(__xludf.DUMMYFUNCTION("""COMPUTED_VALUE"""),"Alkisti Kostelenou")</f>
        <v>Alkisti Kostelenou</v>
      </c>
      <c r="C81" s="16" t="str">
        <f>IFERROR(__xludf.DUMMYFUNCTION("""COMPUTED_VALUE"""),"approved")</f>
        <v>approved</v>
      </c>
      <c r="D81" s="16" t="str">
        <f>IFERROR(__xludf.DUMMYFUNCTION("""COMPUTED_VALUE"""),"No")</f>
        <v>No</v>
      </c>
      <c r="E81" s="16" t="str">
        <f>IFERROR(__xludf.DUMMYFUNCTION("""COMPUTED_VALUE"""),"p_71408fafc62e4059729ce3c31b2a9a80d1b47d35@inbound.aiesec.org")</f>
        <v>p_71408fafc62e4059729ce3c31b2a9a80d1b47d35@inbound.aiesec.org</v>
      </c>
      <c r="F81" s="16">
        <f>IFERROR(__xludf.DUMMYFUNCTION("""COMPUTED_VALUE"""),6.943534941E9)</f>
        <v>6943534941</v>
      </c>
      <c r="G81" s="16" t="str">
        <f>IFERROR(__xludf.DUMMYFUNCTION("""COMPUTED_VALUE"""),"Greece")</f>
        <v>Greece</v>
      </c>
      <c r="H81" s="16" t="str">
        <f>IFERROR(__xludf.DUMMYFUNCTION("""COMPUTED_VALUE"""),"UNIVERSITY OF PATRAS")</f>
        <v>UNIVERSITY OF PATRAS</v>
      </c>
      <c r="I81" s="16" t="str">
        <f>IFERROR(__xludf.DUMMYFUNCTION("""COMPUTED_VALUE"""),"Turkey")</f>
        <v>Turkey</v>
      </c>
      <c r="J81" s="16" t="str">
        <f>IFERROR(__xludf.DUMMYFUNCTION("""COMPUTED_VALUE"""),"KOCAELI")</f>
        <v>KOCAELI</v>
      </c>
      <c r="K81" s="17" t="str">
        <f>IFERROR(__xludf.DUMMYFUNCTION("""COMPUTED_VALUE"""),"https://expa.aiesec.org/opportunities/1287851")</f>
        <v>https://expa.aiesec.org/opportunities/1287851</v>
      </c>
      <c r="L81" s="16" t="str">
        <f>IFERROR(__xludf.DUMMYFUNCTION("""COMPUTED_VALUE"""),"GV")</f>
        <v>GV</v>
      </c>
      <c r="M81" s="16" t="str">
        <f>IFERROR(__xludf.DUMMYFUNCTION("""COMPUTED_VALUE"""),"short")</f>
        <v>short</v>
      </c>
      <c r="N81" s="18">
        <f>IFERROR(__xludf.DUMMYFUNCTION("""COMPUTED_VALUE"""),45064.0)</f>
        <v>45064</v>
      </c>
      <c r="O81" s="18">
        <f>IFERROR(__xludf.DUMMYFUNCTION("""COMPUTED_VALUE"""),45180.0)</f>
        <v>45180</v>
      </c>
      <c r="P81" s="18">
        <f>IFERROR(__xludf.DUMMYFUNCTION("""COMPUTED_VALUE"""),45222.0)</f>
        <v>45222</v>
      </c>
      <c r="Q81" s="18"/>
      <c r="R81" s="18"/>
      <c r="S81" s="16"/>
      <c r="T81" s="16"/>
      <c r="U81" s="16" t="str">
        <f>IFERROR(__xludf.DUMMYFUNCTION("""COMPUTED_VALUE"""),"Heartbeat")</f>
        <v>Heartbeat</v>
      </c>
      <c r="V81" s="16" t="str">
        <f>IFERROR(__xludf.DUMMYFUNCTION("""COMPUTED_VALUE"""),"University of Patras (Patras Department)")</f>
        <v>University of Patras (Patras Department)</v>
      </c>
      <c r="W81" s="16" t="str">
        <f>IFERROR(__xludf.DUMMYFUNCTION("""COMPUTED_VALUE"""),"2023-05-17T12:36:57Z")</f>
        <v>2023-05-17T12:36:57Z</v>
      </c>
      <c r="X81" s="16"/>
      <c r="Y81" s="16"/>
      <c r="Z81" s="16"/>
    </row>
    <row r="82">
      <c r="A82" s="16" t="str">
        <f>IFERROR(__xludf.DUMMYFUNCTION("""COMPUTED_VALUE"""),"5261270_1295002")</f>
        <v>5261270_1295002</v>
      </c>
      <c r="B82" s="16" t="str">
        <f>IFERROR(__xludf.DUMMYFUNCTION("""COMPUTED_VALUE"""),"Asma Slim")</f>
        <v>Asma Slim</v>
      </c>
      <c r="C82" s="16" t="str">
        <f>IFERROR(__xludf.DUMMYFUNCTION("""COMPUTED_VALUE"""),"approved")</f>
        <v>approved</v>
      </c>
      <c r="D82" s="16" t="str">
        <f>IFERROR(__xludf.DUMMYFUNCTION("""COMPUTED_VALUE"""),"No")</f>
        <v>No</v>
      </c>
      <c r="E82" s="16" t="str">
        <f>IFERROR(__xludf.DUMMYFUNCTION("""COMPUTED_VALUE"""),"p_7947a59c6abd48f4b757ef039c05f31eb7650451@inbound.aiesec.org")</f>
        <v>p_7947a59c6abd48f4b757ef039c05f31eb7650451@inbound.aiesec.org</v>
      </c>
      <c r="F82" s="16">
        <f>IFERROR(__xludf.DUMMYFUNCTION("""COMPUTED_VALUE"""),2.3602869E7)</f>
        <v>23602869</v>
      </c>
      <c r="G82" s="16" t="str">
        <f>IFERROR(__xludf.DUMMYFUNCTION("""COMPUTED_VALUE"""),"Tunisia")</f>
        <v>Tunisia</v>
      </c>
      <c r="H82" s="16" t="str">
        <f>IFERROR(__xludf.DUMMYFUNCTION("""COMPUTED_VALUE"""),"BARDO")</f>
        <v>BARDO</v>
      </c>
      <c r="I82" s="16" t="str">
        <f>IFERROR(__xludf.DUMMYFUNCTION("""COMPUTED_VALUE"""),"Turkey")</f>
        <v>Turkey</v>
      </c>
      <c r="J82" s="16" t="str">
        <f>IFERROR(__xludf.DUMMYFUNCTION("""COMPUTED_VALUE"""),"ADANA")</f>
        <v>ADANA</v>
      </c>
      <c r="K82" s="17" t="str">
        <f>IFERROR(__xludf.DUMMYFUNCTION("""COMPUTED_VALUE"""),"https://expa.aiesec.org/opportunities/1295002")</f>
        <v>https://expa.aiesec.org/opportunities/1295002</v>
      </c>
      <c r="L82" s="16" t="str">
        <f>IFERROR(__xludf.DUMMYFUNCTION("""COMPUTED_VALUE"""),"GV")</f>
        <v>GV</v>
      </c>
      <c r="M82" s="16" t="str">
        <f>IFERROR(__xludf.DUMMYFUNCTION("""COMPUTED_VALUE"""),"short")</f>
        <v>short</v>
      </c>
      <c r="N82" s="18">
        <f>IFERROR(__xludf.DUMMYFUNCTION("""COMPUTED_VALUE"""),45064.0)</f>
        <v>45064</v>
      </c>
      <c r="O82" s="18">
        <f>IFERROR(__xludf.DUMMYFUNCTION("""COMPUTED_VALUE"""),45145.0)</f>
        <v>45145</v>
      </c>
      <c r="P82" s="18">
        <f>IFERROR(__xludf.DUMMYFUNCTION("""COMPUTED_VALUE"""),45191.0)</f>
        <v>45191</v>
      </c>
      <c r="Q82" s="18"/>
      <c r="R82" s="18"/>
      <c r="S82" s="16"/>
      <c r="T82" s="16"/>
      <c r="U82" s="16" t="str">
        <f>IFERROR(__xludf.DUMMYFUNCTION("""COMPUTED_VALUE"""),"Global Classroom")</f>
        <v>Global Classroom</v>
      </c>
      <c r="V82" s="16" t="str">
        <f>IFERROR(__xludf.DUMMYFUNCTION("""COMPUTED_VALUE"""),"ISBAT")</f>
        <v>ISBAT</v>
      </c>
      <c r="W82" s="16" t="str">
        <f>IFERROR(__xludf.DUMMYFUNCTION("""COMPUTED_VALUE"""),"2023-05-15T11:04:58Z")</f>
        <v>2023-05-15T11:04:58Z</v>
      </c>
      <c r="X82" s="16"/>
      <c r="Y82" s="16"/>
      <c r="Z82" s="16"/>
    </row>
    <row r="83">
      <c r="A83" s="16" t="str">
        <f>IFERROR(__xludf.DUMMYFUNCTION("""COMPUTED_VALUE"""),"5257479_1294452")</f>
        <v>5257479_1294452</v>
      </c>
      <c r="B83" s="16" t="str">
        <f>IFERROR(__xludf.DUMMYFUNCTION("""COMPUTED_VALUE"""),"Mariam Wagdy")</f>
        <v>Mariam Wagdy</v>
      </c>
      <c r="C83" s="16" t="str">
        <f>IFERROR(__xludf.DUMMYFUNCTION("""COMPUTED_VALUE"""),"approved")</f>
        <v>approved</v>
      </c>
      <c r="D83" s="16" t="str">
        <f>IFERROR(__xludf.DUMMYFUNCTION("""COMPUTED_VALUE"""),"No")</f>
        <v>No</v>
      </c>
      <c r="E83" s="16" t="str">
        <f>IFERROR(__xludf.DUMMYFUNCTION("""COMPUTED_VALUE"""),"p_def87036aae4e3da770b641f54416223c7d1fea8@inbound.aiesec.org")</f>
        <v>p_def87036aae4e3da770b641f54416223c7d1fea8@inbound.aiesec.org</v>
      </c>
      <c r="F83" s="16">
        <f>IFERROR(__xludf.DUMMYFUNCTION("""COMPUTED_VALUE"""),1.100820018E9)</f>
        <v>1100820018</v>
      </c>
      <c r="G83" s="16" t="str">
        <f>IFERROR(__xludf.DUMMYFUNCTION("""COMPUTED_VALUE"""),"Egypt")</f>
        <v>Egypt</v>
      </c>
      <c r="H83" s="16" t="str">
        <f>IFERROR(__xludf.DUMMYFUNCTION("""COMPUTED_VALUE"""),"MSA")</f>
        <v>MSA</v>
      </c>
      <c r="I83" s="16" t="str">
        <f>IFERROR(__xludf.DUMMYFUNCTION("""COMPUTED_VALUE"""),"Turkey")</f>
        <v>Turkey</v>
      </c>
      <c r="J83" s="16" t="str">
        <f>IFERROR(__xludf.DUMMYFUNCTION("""COMPUTED_VALUE"""),"ESKISEHIR")</f>
        <v>ESKISEHIR</v>
      </c>
      <c r="K83" s="17" t="str">
        <f>IFERROR(__xludf.DUMMYFUNCTION("""COMPUTED_VALUE"""),"https://expa.aiesec.org/opportunities/1294452")</f>
        <v>https://expa.aiesec.org/opportunities/1294452</v>
      </c>
      <c r="L83" s="16" t="str">
        <f>IFERROR(__xludf.DUMMYFUNCTION("""COMPUTED_VALUE"""),"GV")</f>
        <v>GV</v>
      </c>
      <c r="M83" s="16" t="str">
        <f>IFERROR(__xludf.DUMMYFUNCTION("""COMPUTED_VALUE"""),"short")</f>
        <v>short</v>
      </c>
      <c r="N83" s="18">
        <f>IFERROR(__xludf.DUMMYFUNCTION("""COMPUTED_VALUE"""),45066.0)</f>
        <v>45066</v>
      </c>
      <c r="O83" s="18">
        <f>IFERROR(__xludf.DUMMYFUNCTION("""COMPUTED_VALUE"""),45152.0)</f>
        <v>45152</v>
      </c>
      <c r="P83" s="18">
        <f>IFERROR(__xludf.DUMMYFUNCTION("""COMPUTED_VALUE"""),45194.0)</f>
        <v>45194</v>
      </c>
      <c r="Q83" s="18"/>
      <c r="R83" s="18"/>
      <c r="S83" s="16"/>
      <c r="T83" s="16"/>
      <c r="U83" s="16" t="str">
        <f>IFERROR(__xludf.DUMMYFUNCTION("""COMPUTED_VALUE"""),"On The Map")</f>
        <v>On The Map</v>
      </c>
      <c r="V83" s="16" t="str">
        <f>IFERROR(__xludf.DUMMYFUNCTION("""COMPUTED_VALUE"""),"MSA Univeristy")</f>
        <v>MSA Univeristy</v>
      </c>
      <c r="W83" s="16" t="str">
        <f>IFERROR(__xludf.DUMMYFUNCTION("""COMPUTED_VALUE"""),"2023-05-08T09:56:16Z")</f>
        <v>2023-05-08T09:56:16Z</v>
      </c>
      <c r="X83" s="16"/>
      <c r="Y83" s="16"/>
      <c r="Z83" s="16"/>
    </row>
    <row r="84">
      <c r="A84" s="16" t="str">
        <f>IFERROR(__xludf.DUMMYFUNCTION("""COMPUTED_VALUE"""),"5259425_1295002")</f>
        <v>5259425_1295002</v>
      </c>
      <c r="B84" s="16" t="str">
        <f>IFERROR(__xludf.DUMMYFUNCTION("""COMPUTED_VALUE"""),"Hassan Ahmed")</f>
        <v>Hassan Ahmed</v>
      </c>
      <c r="C84" s="16" t="str">
        <f>IFERROR(__xludf.DUMMYFUNCTION("""COMPUTED_VALUE"""),"approved")</f>
        <v>approved</v>
      </c>
      <c r="D84" s="16" t="str">
        <f>IFERROR(__xludf.DUMMYFUNCTION("""COMPUTED_VALUE"""),"No")</f>
        <v>No</v>
      </c>
      <c r="E84" s="16" t="str">
        <f>IFERROR(__xludf.DUMMYFUNCTION("""COMPUTED_VALUE"""),"p_a284243cd6a0cbcb7af9061a07135d31056936ce@inbound.aiesec.org")</f>
        <v>p_a284243cd6a0cbcb7af9061a07135d31056936ce@inbound.aiesec.org</v>
      </c>
      <c r="F84" s="16"/>
      <c r="G84" s="16" t="str">
        <f>IFERROR(__xludf.DUMMYFUNCTION("""COMPUTED_VALUE"""),"India")</f>
        <v>India</v>
      </c>
      <c r="H84" s="16" t="str">
        <f>IFERROR(__xludf.DUMMYFUNCTION("""COMPUTED_VALUE"""),"Hyderabad")</f>
        <v>Hyderabad</v>
      </c>
      <c r="I84" s="16" t="str">
        <f>IFERROR(__xludf.DUMMYFUNCTION("""COMPUTED_VALUE"""),"Turkey")</f>
        <v>Turkey</v>
      </c>
      <c r="J84" s="16" t="str">
        <f>IFERROR(__xludf.DUMMYFUNCTION("""COMPUTED_VALUE"""),"ADANA")</f>
        <v>ADANA</v>
      </c>
      <c r="K84" s="17" t="str">
        <f>IFERROR(__xludf.DUMMYFUNCTION("""COMPUTED_VALUE"""),"https://expa.aiesec.org/opportunities/1295002")</f>
        <v>https://expa.aiesec.org/opportunities/1295002</v>
      </c>
      <c r="L84" s="16" t="str">
        <f>IFERROR(__xludf.DUMMYFUNCTION("""COMPUTED_VALUE"""),"GV")</f>
        <v>GV</v>
      </c>
      <c r="M84" s="16" t="str">
        <f>IFERROR(__xludf.DUMMYFUNCTION("""COMPUTED_VALUE"""),"short")</f>
        <v>short</v>
      </c>
      <c r="N84" s="18">
        <f>IFERROR(__xludf.DUMMYFUNCTION("""COMPUTED_VALUE"""),45067.0)</f>
        <v>45067</v>
      </c>
      <c r="O84" s="18">
        <f>IFERROR(__xludf.DUMMYFUNCTION("""COMPUTED_VALUE"""),45145.0)</f>
        <v>45145</v>
      </c>
      <c r="P84" s="18">
        <f>IFERROR(__xludf.DUMMYFUNCTION("""COMPUTED_VALUE"""),45191.0)</f>
        <v>45191</v>
      </c>
      <c r="Q84" s="18"/>
      <c r="R84" s="18"/>
      <c r="S84" s="16"/>
      <c r="T84" s="16"/>
      <c r="U84" s="16" t="str">
        <f>IFERROR(__xludf.DUMMYFUNCTION("""COMPUTED_VALUE"""),"Global Classroom")</f>
        <v>Global Classroom</v>
      </c>
      <c r="V84" s="16" t="str">
        <f>IFERROR(__xludf.DUMMYFUNCTION("""COMPUTED_VALUE"""),"Hyderabad")</f>
        <v>Hyderabad</v>
      </c>
      <c r="W84" s="16" t="str">
        <f>IFERROR(__xludf.DUMMYFUNCTION("""COMPUTED_VALUE"""),"2023-05-11T10:38:43Z")</f>
        <v>2023-05-11T10:38:43Z</v>
      </c>
      <c r="X84" s="16"/>
      <c r="Y84" s="16"/>
      <c r="Z84" s="16"/>
    </row>
    <row r="85">
      <c r="A85" s="16" t="str">
        <f>IFERROR(__xludf.DUMMYFUNCTION("""COMPUTED_VALUE"""),"5264781_1294795")</f>
        <v>5264781_1294795</v>
      </c>
      <c r="B85" s="16" t="str">
        <f>IFERROR(__xludf.DUMMYFUNCTION("""COMPUTED_VALUE"""),"Youmna Yasser")</f>
        <v>Youmna Yasser</v>
      </c>
      <c r="C85" s="16" t="str">
        <f>IFERROR(__xludf.DUMMYFUNCTION("""COMPUTED_VALUE"""),"approved")</f>
        <v>approved</v>
      </c>
      <c r="D85" s="16" t="str">
        <f>IFERROR(__xludf.DUMMYFUNCTION("""COMPUTED_VALUE"""),"No")</f>
        <v>No</v>
      </c>
      <c r="E85" s="16" t="str">
        <f>IFERROR(__xludf.DUMMYFUNCTION("""COMPUTED_VALUE"""),"p_44edc3cafbe9229fc47b4c09a585f402dfe2e2e3@inbound.aiesec.org")</f>
        <v>p_44edc3cafbe9229fc47b4c09a585f402dfe2e2e3@inbound.aiesec.org</v>
      </c>
      <c r="F85" s="16">
        <f>IFERROR(__xludf.DUMMYFUNCTION("""COMPUTED_VALUE"""),1.015164413E9)</f>
        <v>1015164413</v>
      </c>
      <c r="G85" s="16" t="str">
        <f>IFERROR(__xludf.DUMMYFUNCTION("""COMPUTED_VALUE"""),"Egypt")</f>
        <v>Egypt</v>
      </c>
      <c r="H85" s="16" t="str">
        <f>IFERROR(__xludf.DUMMYFUNCTION("""COMPUTED_VALUE"""),"Mansoura")</f>
        <v>Mansoura</v>
      </c>
      <c r="I85" s="16" t="str">
        <f>IFERROR(__xludf.DUMMYFUNCTION("""COMPUTED_VALUE"""),"Turkey")</f>
        <v>Turkey</v>
      </c>
      <c r="J85" s="16" t="str">
        <f>IFERROR(__xludf.DUMMYFUNCTION("""COMPUTED_VALUE"""),"ADANA")</f>
        <v>ADANA</v>
      </c>
      <c r="K85" s="17" t="str">
        <f>IFERROR(__xludf.DUMMYFUNCTION("""COMPUTED_VALUE"""),"https://expa.aiesec.org/opportunities/1294795")</f>
        <v>https://expa.aiesec.org/opportunities/1294795</v>
      </c>
      <c r="L85" s="16" t="str">
        <f>IFERROR(__xludf.DUMMYFUNCTION("""COMPUTED_VALUE"""),"GV")</f>
        <v>GV</v>
      </c>
      <c r="M85" s="16" t="str">
        <f>IFERROR(__xludf.DUMMYFUNCTION("""COMPUTED_VALUE"""),"short")</f>
        <v>short</v>
      </c>
      <c r="N85" s="18">
        <f>IFERROR(__xludf.DUMMYFUNCTION("""COMPUTED_VALUE"""),45069.0)</f>
        <v>45069</v>
      </c>
      <c r="O85" s="18">
        <f>IFERROR(__xludf.DUMMYFUNCTION("""COMPUTED_VALUE"""),45159.0)</f>
        <v>45159</v>
      </c>
      <c r="P85" s="18">
        <f>IFERROR(__xludf.DUMMYFUNCTION("""COMPUTED_VALUE"""),45205.0)</f>
        <v>45205</v>
      </c>
      <c r="Q85" s="18"/>
      <c r="R85" s="18"/>
      <c r="S85" s="16"/>
      <c r="T85" s="16"/>
      <c r="U85" s="16" t="str">
        <f>IFERROR(__xludf.DUMMYFUNCTION("""COMPUTED_VALUE"""),"Global Classroom")</f>
        <v>Global Classroom</v>
      </c>
      <c r="V85" s="16" t="str">
        <f>IFERROR(__xludf.DUMMYFUNCTION("""COMPUTED_VALUE"""),"Mansoura")</f>
        <v>Mansoura</v>
      </c>
      <c r="W85" s="16" t="str">
        <f>IFERROR(__xludf.DUMMYFUNCTION("""COMPUTED_VALUE"""),"2023-05-22T10:50:14Z")</f>
        <v>2023-05-22T10:50:14Z</v>
      </c>
      <c r="X85" s="16"/>
      <c r="Y85" s="16"/>
      <c r="Z85" s="16"/>
    </row>
    <row r="86">
      <c r="A86" s="16" t="str">
        <f>IFERROR(__xludf.DUMMYFUNCTION("""COMPUTED_VALUE"""),"5264830_1294795")</f>
        <v>5264830_1294795</v>
      </c>
      <c r="B86" s="16" t="str">
        <f>IFERROR(__xludf.DUMMYFUNCTION("""COMPUTED_VALUE"""),"Sara dawood")</f>
        <v>Sara dawood</v>
      </c>
      <c r="C86" s="16" t="str">
        <f>IFERROR(__xludf.DUMMYFUNCTION("""COMPUTED_VALUE"""),"approved")</f>
        <v>approved</v>
      </c>
      <c r="D86" s="16" t="str">
        <f>IFERROR(__xludf.DUMMYFUNCTION("""COMPUTED_VALUE"""),"No")</f>
        <v>No</v>
      </c>
      <c r="E86" s="16" t="str">
        <f>IFERROR(__xludf.DUMMYFUNCTION("""COMPUTED_VALUE"""),"p_fccfc4984def09d708ac4cb3fe7e60b6ca6acea1@inbound.aiesec.org")</f>
        <v>p_fccfc4984def09d708ac4cb3fe7e60b6ca6acea1@inbound.aiesec.org</v>
      </c>
      <c r="F86" s="16"/>
      <c r="G86" s="16" t="str">
        <f>IFERROR(__xludf.DUMMYFUNCTION("""COMPUTED_VALUE"""),"Egypt")</f>
        <v>Egypt</v>
      </c>
      <c r="H86" s="16" t="str">
        <f>IFERROR(__xludf.DUMMYFUNCTION("""COMPUTED_VALUE"""),"Mansoura")</f>
        <v>Mansoura</v>
      </c>
      <c r="I86" s="16" t="str">
        <f>IFERROR(__xludf.DUMMYFUNCTION("""COMPUTED_VALUE"""),"Turkey")</f>
        <v>Turkey</v>
      </c>
      <c r="J86" s="16" t="str">
        <f>IFERROR(__xludf.DUMMYFUNCTION("""COMPUTED_VALUE"""),"ADANA")</f>
        <v>ADANA</v>
      </c>
      <c r="K86" s="17" t="str">
        <f>IFERROR(__xludf.DUMMYFUNCTION("""COMPUTED_VALUE"""),"https://expa.aiesec.org/opportunities/1294795")</f>
        <v>https://expa.aiesec.org/opportunities/1294795</v>
      </c>
      <c r="L86" s="16" t="str">
        <f>IFERROR(__xludf.DUMMYFUNCTION("""COMPUTED_VALUE"""),"GV")</f>
        <v>GV</v>
      </c>
      <c r="M86" s="16" t="str">
        <f>IFERROR(__xludf.DUMMYFUNCTION("""COMPUTED_VALUE"""),"short")</f>
        <v>short</v>
      </c>
      <c r="N86" s="18">
        <f>IFERROR(__xludf.DUMMYFUNCTION("""COMPUTED_VALUE"""),45069.0)</f>
        <v>45069</v>
      </c>
      <c r="O86" s="18">
        <f>IFERROR(__xludf.DUMMYFUNCTION("""COMPUTED_VALUE"""),45159.0)</f>
        <v>45159</v>
      </c>
      <c r="P86" s="18">
        <f>IFERROR(__xludf.DUMMYFUNCTION("""COMPUTED_VALUE"""),45205.0)</f>
        <v>45205</v>
      </c>
      <c r="Q86" s="18"/>
      <c r="R86" s="18"/>
      <c r="S86" s="16"/>
      <c r="T86" s="16"/>
      <c r="U86" s="16" t="str">
        <f>IFERROR(__xludf.DUMMYFUNCTION("""COMPUTED_VALUE"""),"Global Classroom")</f>
        <v>Global Classroom</v>
      </c>
      <c r="V86" s="16" t="str">
        <f>IFERROR(__xludf.DUMMYFUNCTION("""COMPUTED_VALUE"""),"-")</f>
        <v>-</v>
      </c>
      <c r="W86" s="16" t="str">
        <f>IFERROR(__xludf.DUMMYFUNCTION("""COMPUTED_VALUE"""),"2023-05-22T12:52:15Z")</f>
        <v>2023-05-22T12:52:15Z</v>
      </c>
      <c r="X86" s="16"/>
      <c r="Y86" s="16"/>
      <c r="Z86" s="16"/>
    </row>
    <row r="87">
      <c r="A87" s="16" t="str">
        <f>IFERROR(__xludf.DUMMYFUNCTION("""COMPUTED_VALUE"""),"3845981_1294452")</f>
        <v>3845981_1294452</v>
      </c>
      <c r="B87" s="16" t="str">
        <f>IFERROR(__xludf.DUMMYFUNCTION("""COMPUTED_VALUE"""),"Aliaa Ahmed")</f>
        <v>Aliaa Ahmed</v>
      </c>
      <c r="C87" s="16" t="str">
        <f>IFERROR(__xludf.DUMMYFUNCTION("""COMPUTED_VALUE"""),"approved")</f>
        <v>approved</v>
      </c>
      <c r="D87" s="16" t="str">
        <f>IFERROR(__xludf.DUMMYFUNCTION("""COMPUTED_VALUE"""),"No")</f>
        <v>No</v>
      </c>
      <c r="E87" s="16" t="str">
        <f>IFERROR(__xludf.DUMMYFUNCTION("""COMPUTED_VALUE"""),"p_56361c2ef447c3ce5ea2b0f8559eab6d1c203174@inbound.aiesec.org")</f>
        <v>p_56361c2ef447c3ce5ea2b0f8559eab6d1c203174@inbound.aiesec.org</v>
      </c>
      <c r="F87" s="16">
        <f>IFERROR(__xludf.DUMMYFUNCTION("""COMPUTED_VALUE"""),1.151773375E9)</f>
        <v>1151773375</v>
      </c>
      <c r="G87" s="16" t="str">
        <f>IFERROR(__xludf.DUMMYFUNCTION("""COMPUTED_VALUE"""),"Egypt")</f>
        <v>Egypt</v>
      </c>
      <c r="H87" s="16" t="str">
        <f>IFERROR(__xludf.DUMMYFUNCTION("""COMPUTED_VALUE"""),"Suez")</f>
        <v>Suez</v>
      </c>
      <c r="I87" s="16" t="str">
        <f>IFERROR(__xludf.DUMMYFUNCTION("""COMPUTED_VALUE"""),"Turkey")</f>
        <v>Turkey</v>
      </c>
      <c r="J87" s="16" t="str">
        <f>IFERROR(__xludf.DUMMYFUNCTION("""COMPUTED_VALUE"""),"ESKISEHIR")</f>
        <v>ESKISEHIR</v>
      </c>
      <c r="K87" s="17" t="str">
        <f>IFERROR(__xludf.DUMMYFUNCTION("""COMPUTED_VALUE"""),"https://expa.aiesec.org/opportunities/1294452")</f>
        <v>https://expa.aiesec.org/opportunities/1294452</v>
      </c>
      <c r="L87" s="16" t="str">
        <f>IFERROR(__xludf.DUMMYFUNCTION("""COMPUTED_VALUE"""),"GV")</f>
        <v>GV</v>
      </c>
      <c r="M87" s="16" t="str">
        <f>IFERROR(__xludf.DUMMYFUNCTION("""COMPUTED_VALUE"""),"short")</f>
        <v>short</v>
      </c>
      <c r="N87" s="18">
        <f>IFERROR(__xludf.DUMMYFUNCTION("""COMPUTED_VALUE"""),45069.0)</f>
        <v>45069</v>
      </c>
      <c r="O87" s="18">
        <f>IFERROR(__xludf.DUMMYFUNCTION("""COMPUTED_VALUE"""),45152.0)</f>
        <v>45152</v>
      </c>
      <c r="P87" s="18">
        <f>IFERROR(__xludf.DUMMYFUNCTION("""COMPUTED_VALUE"""),45194.0)</f>
        <v>45194</v>
      </c>
      <c r="Q87" s="18"/>
      <c r="R87" s="18"/>
      <c r="S87" s="16"/>
      <c r="T87" s="16"/>
      <c r="U87" s="16" t="str">
        <f>IFERROR(__xludf.DUMMYFUNCTION("""COMPUTED_VALUE"""),"On The Map")</f>
        <v>On The Map</v>
      </c>
      <c r="V87" s="16" t="str">
        <f>IFERROR(__xludf.DUMMYFUNCTION("""COMPUTED_VALUE"""),"-")</f>
        <v>-</v>
      </c>
      <c r="W87" s="16" t="str">
        <f>IFERROR(__xludf.DUMMYFUNCTION("""COMPUTED_VALUE"""),"2019-09-21T14:34:19Z")</f>
        <v>2019-09-21T14:34:19Z</v>
      </c>
      <c r="X87" s="16"/>
      <c r="Y87" s="16"/>
      <c r="Z87" s="16"/>
    </row>
    <row r="88">
      <c r="A88" s="16" t="str">
        <f>IFERROR(__xludf.DUMMYFUNCTION("""COMPUTED_VALUE"""),"5265976_1289505")</f>
        <v>5265976_1289505</v>
      </c>
      <c r="B88" s="16" t="str">
        <f>IFERROR(__xludf.DUMMYFUNCTION("""COMPUTED_VALUE"""),"Ibtihel Samaloussi")</f>
        <v>Ibtihel Samaloussi</v>
      </c>
      <c r="C88" s="16" t="str">
        <f>IFERROR(__xludf.DUMMYFUNCTION("""COMPUTED_VALUE"""),"approved")</f>
        <v>approved</v>
      </c>
      <c r="D88" s="16" t="str">
        <f>IFERROR(__xludf.DUMMYFUNCTION("""COMPUTED_VALUE"""),"No")</f>
        <v>No</v>
      </c>
      <c r="E88" s="16" t="str">
        <f>IFERROR(__xludf.DUMMYFUNCTION("""COMPUTED_VALUE"""),"p_73f9a3438a0703a03716f764fb8b9fe1baebe0c5@inbound.aiesec.org")</f>
        <v>p_73f9a3438a0703a03716f764fb8b9fe1baebe0c5@inbound.aiesec.org</v>
      </c>
      <c r="F88" s="16"/>
      <c r="G88" s="16" t="str">
        <f>IFERROR(__xludf.DUMMYFUNCTION("""COMPUTED_VALUE"""),"Tunisia")</f>
        <v>Tunisia</v>
      </c>
      <c r="H88" s="16" t="str">
        <f>IFERROR(__xludf.DUMMYFUNCTION("""COMPUTED_VALUE"""),"UNIVERSITY")</f>
        <v>UNIVERSITY</v>
      </c>
      <c r="I88" s="16" t="str">
        <f>IFERROR(__xludf.DUMMYFUNCTION("""COMPUTED_VALUE"""),"Turkey")</f>
        <v>Turkey</v>
      </c>
      <c r="J88" s="16" t="str">
        <f>IFERROR(__xludf.DUMMYFUNCTION("""COMPUTED_VALUE"""),"KOCAELI")</f>
        <v>KOCAELI</v>
      </c>
      <c r="K88" s="17" t="str">
        <f>IFERROR(__xludf.DUMMYFUNCTION("""COMPUTED_VALUE"""),"https://expa.aiesec.org/opportunities/1289505")</f>
        <v>https://expa.aiesec.org/opportunities/1289505</v>
      </c>
      <c r="L88" s="16" t="str">
        <f>IFERROR(__xludf.DUMMYFUNCTION("""COMPUTED_VALUE"""),"GV")</f>
        <v>GV</v>
      </c>
      <c r="M88" s="16" t="str">
        <f>IFERROR(__xludf.DUMMYFUNCTION("""COMPUTED_VALUE"""),"short")</f>
        <v>short</v>
      </c>
      <c r="N88" s="18">
        <f>IFERROR(__xludf.DUMMYFUNCTION("""COMPUTED_VALUE"""),45071.0)</f>
        <v>45071</v>
      </c>
      <c r="O88" s="18">
        <f>IFERROR(__xludf.DUMMYFUNCTION("""COMPUTED_VALUE"""),45159.0)</f>
        <v>45159</v>
      </c>
      <c r="P88" s="18">
        <f>IFERROR(__xludf.DUMMYFUNCTION("""COMPUTED_VALUE"""),45201.0)</f>
        <v>45201</v>
      </c>
      <c r="Q88" s="18"/>
      <c r="R88" s="18"/>
      <c r="S88" s="16"/>
      <c r="T88" s="16"/>
      <c r="U88" s="16" t="str">
        <f>IFERROR(__xludf.DUMMYFUNCTION("""COMPUTED_VALUE"""),"Youth 4 Impact")</f>
        <v>Youth 4 Impact</v>
      </c>
      <c r="V88" s="16" t="str">
        <f>IFERROR(__xludf.DUMMYFUNCTION("""COMPUTED_VALUE"""),"-")</f>
        <v>-</v>
      </c>
      <c r="W88" s="16" t="str">
        <f>IFERROR(__xludf.DUMMYFUNCTION("""COMPUTED_VALUE"""),"2023-05-24T13:19:52Z")</f>
        <v>2023-05-24T13:19:52Z</v>
      </c>
      <c r="X88" s="16"/>
      <c r="Y88" s="16"/>
      <c r="Z88" s="16"/>
    </row>
    <row r="89">
      <c r="A89" s="16" t="str">
        <f>IFERROR(__xludf.DUMMYFUNCTION("""COMPUTED_VALUE"""),"5264873_1287210")</f>
        <v>5264873_1287210</v>
      </c>
      <c r="B89" s="16" t="str">
        <f>IFERROR(__xludf.DUMMYFUNCTION("""COMPUTED_VALUE"""),"Dilnaz Mukataeva")</f>
        <v>Dilnaz Mukataeva</v>
      </c>
      <c r="C89" s="16" t="str">
        <f>IFERROR(__xludf.DUMMYFUNCTION("""COMPUTED_VALUE"""),"approved")</f>
        <v>approved</v>
      </c>
      <c r="D89" s="16" t="str">
        <f>IFERROR(__xludf.DUMMYFUNCTION("""COMPUTED_VALUE"""),"No")</f>
        <v>No</v>
      </c>
      <c r="E89" s="16" t="str">
        <f>IFERROR(__xludf.DUMMYFUNCTION("""COMPUTED_VALUE"""),"p_fd38de5883d28588fc11e296220a8abe86a31c4b@inbound.aiesec.org")</f>
        <v>p_fd38de5883d28588fc11e296220a8abe86a31c4b@inbound.aiesec.org</v>
      </c>
      <c r="F89" s="16">
        <f>IFERROR(__xludf.DUMMYFUNCTION("""COMPUTED_VALUE"""),7.473622476E9)</f>
        <v>7473622476</v>
      </c>
      <c r="G89" s="16" t="str">
        <f>IFERROR(__xludf.DUMMYFUNCTION("""COMPUTED_VALUE"""),"Kazakhstan")</f>
        <v>Kazakhstan</v>
      </c>
      <c r="H89" s="16" t="str">
        <f>IFERROR(__xludf.DUMMYFUNCTION("""COMPUTED_VALUE"""),"ALMATY")</f>
        <v>ALMATY</v>
      </c>
      <c r="I89" s="16" t="str">
        <f>IFERROR(__xludf.DUMMYFUNCTION("""COMPUTED_VALUE"""),"Turkey")</f>
        <v>Turkey</v>
      </c>
      <c r="J89" s="16" t="str">
        <f>IFERROR(__xludf.DUMMYFUNCTION("""COMPUTED_VALUE"""),"ISTANBUL WEST")</f>
        <v>ISTANBUL WEST</v>
      </c>
      <c r="K89" s="17" t="str">
        <f>IFERROR(__xludf.DUMMYFUNCTION("""COMPUTED_VALUE"""),"https://expa.aiesec.org/opportunities/1287210")</f>
        <v>https://expa.aiesec.org/opportunities/1287210</v>
      </c>
      <c r="L89" s="16" t="str">
        <f>IFERROR(__xludf.DUMMYFUNCTION("""COMPUTED_VALUE"""),"GV")</f>
        <v>GV</v>
      </c>
      <c r="M89" s="16" t="str">
        <f>IFERROR(__xludf.DUMMYFUNCTION("""COMPUTED_VALUE"""),"short")</f>
        <v>short</v>
      </c>
      <c r="N89" s="18">
        <f>IFERROR(__xludf.DUMMYFUNCTION("""COMPUTED_VALUE"""),45071.0)</f>
        <v>45071</v>
      </c>
      <c r="O89" s="18">
        <f>IFERROR(__xludf.DUMMYFUNCTION("""COMPUTED_VALUE"""),45131.0)</f>
        <v>45131</v>
      </c>
      <c r="P89" s="18">
        <f>IFERROR(__xludf.DUMMYFUNCTION("""COMPUTED_VALUE"""),45173.0)</f>
        <v>45173</v>
      </c>
      <c r="Q89" s="18"/>
      <c r="R89" s="18"/>
      <c r="S89" s="16"/>
      <c r="T89" s="16"/>
      <c r="U89" s="16" t="str">
        <f>IFERROR(__xludf.DUMMYFUNCTION("""COMPUTED_VALUE"""),"Global Classroom")</f>
        <v>Global Classroom</v>
      </c>
      <c r="V89" s="16" t="str">
        <f>IFERROR(__xludf.DUMMYFUNCTION("""COMPUTED_VALUE"""),"Almaty")</f>
        <v>Almaty</v>
      </c>
      <c r="W89" s="16" t="str">
        <f>IFERROR(__xludf.DUMMYFUNCTION("""COMPUTED_VALUE"""),"2023-05-22T14:24:12Z")</f>
        <v>2023-05-22T14:24:12Z</v>
      </c>
      <c r="X89" s="16"/>
      <c r="Y89" s="16"/>
      <c r="Z89" s="16"/>
    </row>
    <row r="90">
      <c r="A90" s="16" t="str">
        <f>IFERROR(__xludf.DUMMYFUNCTION("""COMPUTED_VALUE"""),"5216256_1295149")</f>
        <v>5216256_1295149</v>
      </c>
      <c r="B90" s="16" t="str">
        <f>IFERROR(__xludf.DUMMYFUNCTION("""COMPUTED_VALUE"""),"Ionescu Alexandru")</f>
        <v>Ionescu Alexandru</v>
      </c>
      <c r="C90" s="16" t="str">
        <f>IFERROR(__xludf.DUMMYFUNCTION("""COMPUTED_VALUE"""),"approved")</f>
        <v>approved</v>
      </c>
      <c r="D90" s="16" t="str">
        <f>IFERROR(__xludf.DUMMYFUNCTION("""COMPUTED_VALUE"""),"No")</f>
        <v>No</v>
      </c>
      <c r="E90" s="16" t="str">
        <f>IFERROR(__xludf.DUMMYFUNCTION("""COMPUTED_VALUE"""),"p_4c9f668423c54840c4a924a28fc7d227160f3917@inbound.aiesec.org")</f>
        <v>p_4c9f668423c54840c4a924a28fc7d227160f3917@inbound.aiesec.org</v>
      </c>
      <c r="F90" s="16">
        <f>IFERROR(__xludf.DUMMYFUNCTION("""COMPUTED_VALUE"""),7.52557689E8)</f>
        <v>752557689</v>
      </c>
      <c r="G90" s="16" t="str">
        <f>IFERROR(__xludf.DUMMYFUNCTION("""COMPUTED_VALUE"""),"Romania")</f>
        <v>Romania</v>
      </c>
      <c r="H90" s="16" t="str">
        <f>IFERROR(__xludf.DUMMYFUNCTION("""COMPUTED_VALUE"""),"GALATI")</f>
        <v>GALATI</v>
      </c>
      <c r="I90" s="16" t="str">
        <f>IFERROR(__xludf.DUMMYFUNCTION("""COMPUTED_VALUE"""),"Turkey")</f>
        <v>Turkey</v>
      </c>
      <c r="J90" s="16" t="str">
        <f>IFERROR(__xludf.DUMMYFUNCTION("""COMPUTED_VALUE"""),"DENIZLI")</f>
        <v>DENIZLI</v>
      </c>
      <c r="K90" s="17" t="str">
        <f>IFERROR(__xludf.DUMMYFUNCTION("""COMPUTED_VALUE"""),"https://expa.aiesec.org/opportunities/1295149")</f>
        <v>https://expa.aiesec.org/opportunities/1295149</v>
      </c>
      <c r="L90" s="16" t="str">
        <f>IFERROR(__xludf.DUMMYFUNCTION("""COMPUTED_VALUE"""),"GV")</f>
        <v>GV</v>
      </c>
      <c r="M90" s="16" t="str">
        <f>IFERROR(__xludf.DUMMYFUNCTION("""COMPUTED_VALUE"""),"short")</f>
        <v>short</v>
      </c>
      <c r="N90" s="18">
        <f>IFERROR(__xludf.DUMMYFUNCTION("""COMPUTED_VALUE"""),45072.0)</f>
        <v>45072</v>
      </c>
      <c r="O90" s="18">
        <f>IFERROR(__xludf.DUMMYFUNCTION("""COMPUTED_VALUE"""),45152.0)</f>
        <v>45152</v>
      </c>
      <c r="P90" s="18">
        <f>IFERROR(__xludf.DUMMYFUNCTION("""COMPUTED_VALUE"""),45194.0)</f>
        <v>45194</v>
      </c>
      <c r="Q90" s="18"/>
      <c r="R90" s="18"/>
      <c r="S90" s="16"/>
      <c r="T90" s="16"/>
      <c r="U90" s="16" t="str">
        <f>IFERROR(__xludf.DUMMYFUNCTION("""COMPUTED_VALUE"""),"Youth 4 Impact")</f>
        <v>Youth 4 Impact</v>
      </c>
      <c r="V90" s="16" t="str">
        <f>IFERROR(__xludf.DUMMYFUNCTION("""COMPUTED_VALUE"""),"Galati")</f>
        <v>Galati</v>
      </c>
      <c r="W90" s="16" t="str">
        <f>IFERROR(__xludf.DUMMYFUNCTION("""COMPUTED_VALUE"""),"2023-03-14T17:18:53Z")</f>
        <v>2023-03-14T17:18:53Z</v>
      </c>
      <c r="X90" s="16"/>
      <c r="Y90" s="16"/>
      <c r="Z90" s="16"/>
    </row>
    <row r="91">
      <c r="A91" s="16" t="str">
        <f>IFERROR(__xludf.DUMMYFUNCTION("""COMPUTED_VALUE"""),"5262870_1291929")</f>
        <v>5262870_1291929</v>
      </c>
      <c r="B91" s="16" t="str">
        <f>IFERROR(__xludf.DUMMYFUNCTION("""COMPUTED_VALUE"""),"Amina Menasra")</f>
        <v>Amina Menasra</v>
      </c>
      <c r="C91" s="16" t="str">
        <f>IFERROR(__xludf.DUMMYFUNCTION("""COMPUTED_VALUE"""),"approved")</f>
        <v>approved</v>
      </c>
      <c r="D91" s="16" t="str">
        <f>IFERROR(__xludf.DUMMYFUNCTION("""COMPUTED_VALUE"""),"No")</f>
        <v>No</v>
      </c>
      <c r="E91" s="16" t="str">
        <f>IFERROR(__xludf.DUMMYFUNCTION("""COMPUTED_VALUE"""),"p_e535e298a3b8b28357d50a3f6fa8bb59d9e92e8d@inbound.aiesec.org")</f>
        <v>p_e535e298a3b8b28357d50a3f6fa8bb59d9e92e8d@inbound.aiesec.org</v>
      </c>
      <c r="F91" s="16">
        <f>IFERROR(__xludf.DUMMYFUNCTION("""COMPUTED_VALUE"""),6.96499198E8)</f>
        <v>696499198</v>
      </c>
      <c r="G91" s="16" t="str">
        <f>IFERROR(__xludf.DUMMYFUNCTION("""COMPUTED_VALUE"""),"Algeria")</f>
        <v>Algeria</v>
      </c>
      <c r="H91" s="16" t="str">
        <f>IFERROR(__xludf.DUMMYFUNCTION("""COMPUTED_VALUE"""),"Oran")</f>
        <v>Oran</v>
      </c>
      <c r="I91" s="16" t="str">
        <f>IFERROR(__xludf.DUMMYFUNCTION("""COMPUTED_VALUE"""),"Turkey")</f>
        <v>Turkey</v>
      </c>
      <c r="J91" s="16" t="str">
        <f>IFERROR(__xludf.DUMMYFUNCTION("""COMPUTED_VALUE"""),"TRABZON")</f>
        <v>TRABZON</v>
      </c>
      <c r="K91" s="17" t="str">
        <f>IFERROR(__xludf.DUMMYFUNCTION("""COMPUTED_VALUE"""),"https://expa.aiesec.org/opportunities/1291929")</f>
        <v>https://expa.aiesec.org/opportunities/1291929</v>
      </c>
      <c r="L91" s="16" t="str">
        <f>IFERROR(__xludf.DUMMYFUNCTION("""COMPUTED_VALUE"""),"GV")</f>
        <v>GV</v>
      </c>
      <c r="M91" s="16" t="str">
        <f>IFERROR(__xludf.DUMMYFUNCTION("""COMPUTED_VALUE"""),"short")</f>
        <v>short</v>
      </c>
      <c r="N91" s="18">
        <f>IFERROR(__xludf.DUMMYFUNCTION("""COMPUTED_VALUE"""),45075.0)</f>
        <v>45075</v>
      </c>
      <c r="O91" s="18">
        <f>IFERROR(__xludf.DUMMYFUNCTION("""COMPUTED_VALUE"""),45128.0)</f>
        <v>45128</v>
      </c>
      <c r="P91" s="18">
        <f>IFERROR(__xludf.DUMMYFUNCTION("""COMPUTED_VALUE"""),45170.0)</f>
        <v>45170</v>
      </c>
      <c r="Q91" s="18"/>
      <c r="R91" s="18"/>
      <c r="S91" s="16"/>
      <c r="T91" s="16"/>
      <c r="U91" s="16" t="str">
        <f>IFERROR(__xludf.DUMMYFUNCTION("""COMPUTED_VALUE"""),"Global Classroom")</f>
        <v>Global Classroom</v>
      </c>
      <c r="V91" s="16" t="str">
        <f>IFERROR(__xludf.DUMMYFUNCTION("""COMPUTED_VALUE"""),"AIESEC in Oran")</f>
        <v>AIESEC in Oran</v>
      </c>
      <c r="W91" s="16" t="str">
        <f>IFERROR(__xludf.DUMMYFUNCTION("""COMPUTED_VALUE"""),"2023-05-18T11:23:17Z")</f>
        <v>2023-05-18T11:23:17Z</v>
      </c>
      <c r="X91" s="16"/>
      <c r="Y91" s="16"/>
      <c r="Z91" s="16"/>
    </row>
    <row r="92">
      <c r="A92" s="16" t="str">
        <f>IFERROR(__xludf.DUMMYFUNCTION("""COMPUTED_VALUE"""),"5266721_1287210")</f>
        <v>5266721_1287210</v>
      </c>
      <c r="B92" s="16" t="str">
        <f>IFERROR(__xludf.DUMMYFUNCTION("""COMPUTED_VALUE"""),"Fatma  zahra Mehrez")</f>
        <v>Fatma  zahra Mehrez</v>
      </c>
      <c r="C92" s="16" t="str">
        <f>IFERROR(__xludf.DUMMYFUNCTION("""COMPUTED_VALUE"""),"approved")</f>
        <v>approved</v>
      </c>
      <c r="D92" s="16" t="str">
        <f>IFERROR(__xludf.DUMMYFUNCTION("""COMPUTED_VALUE"""),"No")</f>
        <v>No</v>
      </c>
      <c r="E92" s="16" t="str">
        <f>IFERROR(__xludf.DUMMYFUNCTION("""COMPUTED_VALUE"""),"p_6c5898bf04dfae993694a1cf4ca31a0e2884a1b7@inbound.aiesec.org")</f>
        <v>p_6c5898bf04dfae993694a1cf4ca31a0e2884a1b7@inbound.aiesec.org</v>
      </c>
      <c r="F92" s="16"/>
      <c r="G92" s="16" t="str">
        <f>IFERROR(__xludf.DUMMYFUNCTION("""COMPUTED_VALUE"""),"Tunisia")</f>
        <v>Tunisia</v>
      </c>
      <c r="H92" s="16" t="str">
        <f>IFERROR(__xludf.DUMMYFUNCTION("""COMPUTED_VALUE"""),"UNIVERSITY")</f>
        <v>UNIVERSITY</v>
      </c>
      <c r="I92" s="16" t="str">
        <f>IFERROR(__xludf.DUMMYFUNCTION("""COMPUTED_VALUE"""),"Turkey")</f>
        <v>Turkey</v>
      </c>
      <c r="J92" s="16" t="str">
        <f>IFERROR(__xludf.DUMMYFUNCTION("""COMPUTED_VALUE"""),"ISTANBUL WEST")</f>
        <v>ISTANBUL WEST</v>
      </c>
      <c r="K92" s="17" t="str">
        <f>IFERROR(__xludf.DUMMYFUNCTION("""COMPUTED_VALUE"""),"https://expa.aiesec.org/opportunities/1287210")</f>
        <v>https://expa.aiesec.org/opportunities/1287210</v>
      </c>
      <c r="L92" s="16" t="str">
        <f>IFERROR(__xludf.DUMMYFUNCTION("""COMPUTED_VALUE"""),"GV")</f>
        <v>GV</v>
      </c>
      <c r="M92" s="16" t="str">
        <f>IFERROR(__xludf.DUMMYFUNCTION("""COMPUTED_VALUE"""),"short")</f>
        <v>short</v>
      </c>
      <c r="N92" s="18">
        <f>IFERROR(__xludf.DUMMYFUNCTION("""COMPUTED_VALUE"""),45076.0)</f>
        <v>45076</v>
      </c>
      <c r="O92" s="18">
        <f>IFERROR(__xludf.DUMMYFUNCTION("""COMPUTED_VALUE"""),45131.0)</f>
        <v>45131</v>
      </c>
      <c r="P92" s="18">
        <f>IFERROR(__xludf.DUMMYFUNCTION("""COMPUTED_VALUE"""),45173.0)</f>
        <v>45173</v>
      </c>
      <c r="Q92" s="18"/>
      <c r="R92" s="18"/>
      <c r="S92" s="16"/>
      <c r="T92" s="16"/>
      <c r="U92" s="16" t="str">
        <f>IFERROR(__xludf.DUMMYFUNCTION("""COMPUTED_VALUE"""),"Global Classroom")</f>
        <v>Global Classroom</v>
      </c>
      <c r="V92" s="16" t="str">
        <f>IFERROR(__xludf.DUMMYFUNCTION("""COMPUTED_VALUE"""),"FST")</f>
        <v>FST</v>
      </c>
      <c r="W92" s="16" t="str">
        <f>IFERROR(__xludf.DUMMYFUNCTION("""COMPUTED_VALUE"""),"2023-05-25T19:13:37Z")</f>
        <v>2023-05-25T19:13:37Z</v>
      </c>
      <c r="X92" s="16"/>
      <c r="Y92" s="16"/>
      <c r="Z92" s="16"/>
    </row>
    <row r="93">
      <c r="A93" s="16" t="str">
        <f>IFERROR(__xludf.DUMMYFUNCTION("""COMPUTED_VALUE"""),"5270938_1295575")</f>
        <v>5270938_1295575</v>
      </c>
      <c r="B93" s="16" t="str">
        <f>IFERROR(__xludf.DUMMYFUNCTION("""COMPUTED_VALUE"""),"athir belhassen")</f>
        <v>athir belhassen</v>
      </c>
      <c r="C93" s="16" t="str">
        <f>IFERROR(__xludf.DUMMYFUNCTION("""COMPUTED_VALUE"""),"approved")</f>
        <v>approved</v>
      </c>
      <c r="D93" s="16" t="str">
        <f>IFERROR(__xludf.DUMMYFUNCTION("""COMPUTED_VALUE"""),"No")</f>
        <v>No</v>
      </c>
      <c r="E93" s="16" t="str">
        <f>IFERROR(__xludf.DUMMYFUNCTION("""COMPUTED_VALUE"""),"p_67a7cfc6f5adc65578ff29120b8f768e65f09185@inbound.aiesec.org")</f>
        <v>p_67a7cfc6f5adc65578ff29120b8f768e65f09185@inbound.aiesec.org</v>
      </c>
      <c r="F93" s="16">
        <f>IFERROR(__xludf.DUMMYFUNCTION("""COMPUTED_VALUE"""),5.8151641E7)</f>
        <v>58151641</v>
      </c>
      <c r="G93" s="16" t="str">
        <f>IFERROR(__xludf.DUMMYFUNCTION("""COMPUTED_VALUE"""),"Tunisia")</f>
        <v>Tunisia</v>
      </c>
      <c r="H93" s="16" t="str">
        <f>IFERROR(__xludf.DUMMYFUNCTION("""COMPUTED_VALUE"""),"HADRUMET")</f>
        <v>HADRUMET</v>
      </c>
      <c r="I93" s="16" t="str">
        <f>IFERROR(__xludf.DUMMYFUNCTION("""COMPUTED_VALUE"""),"Turkey")</f>
        <v>Turkey</v>
      </c>
      <c r="J93" s="16" t="str">
        <f>IFERROR(__xludf.DUMMYFUNCTION("""COMPUTED_VALUE"""),"ADANA")</f>
        <v>ADANA</v>
      </c>
      <c r="K93" s="17" t="str">
        <f>IFERROR(__xludf.DUMMYFUNCTION("""COMPUTED_VALUE"""),"https://expa.aiesec.org/opportunities/1295575")</f>
        <v>https://expa.aiesec.org/opportunities/1295575</v>
      </c>
      <c r="L93" s="16" t="str">
        <f>IFERROR(__xludf.DUMMYFUNCTION("""COMPUTED_VALUE"""),"GV")</f>
        <v>GV</v>
      </c>
      <c r="M93" s="16" t="str">
        <f>IFERROR(__xludf.DUMMYFUNCTION("""COMPUTED_VALUE"""),"short")</f>
        <v>short</v>
      </c>
      <c r="N93" s="18">
        <f>IFERROR(__xludf.DUMMYFUNCTION("""COMPUTED_VALUE"""),45080.0)</f>
        <v>45080</v>
      </c>
      <c r="O93" s="18">
        <f>IFERROR(__xludf.DUMMYFUNCTION("""COMPUTED_VALUE"""),45138.0)</f>
        <v>45138</v>
      </c>
      <c r="P93" s="18">
        <f>IFERROR(__xludf.DUMMYFUNCTION("""COMPUTED_VALUE"""),45184.0)</f>
        <v>45184</v>
      </c>
      <c r="Q93" s="18"/>
      <c r="R93" s="18"/>
      <c r="S93" s="16"/>
      <c r="T93" s="16"/>
      <c r="U93" s="16" t="str">
        <f>IFERROR(__xludf.DUMMYFUNCTION("""COMPUTED_VALUE"""),"Global Classroom")</f>
        <v>Global Classroom</v>
      </c>
      <c r="V93" s="16" t="str">
        <f>IFERROR(__xludf.DUMMYFUNCTION("""COMPUTED_VALUE"""),"FLSH Sousse")</f>
        <v>FLSH Sousse</v>
      </c>
      <c r="W93" s="16" t="str">
        <f>IFERROR(__xludf.DUMMYFUNCTION("""COMPUTED_VALUE"""),"2023-06-03T09:48:44Z")</f>
        <v>2023-06-03T09:48:44Z</v>
      </c>
      <c r="X93" s="16"/>
      <c r="Y93" s="16"/>
      <c r="Z93" s="16"/>
    </row>
    <row r="94">
      <c r="A94" s="16" t="str">
        <f>IFERROR(__xludf.DUMMYFUNCTION("""COMPUTED_VALUE"""),"5263007_1288490")</f>
        <v>5263007_1288490</v>
      </c>
      <c r="B94" s="16" t="str">
        <f>IFERROR(__xludf.DUMMYFUNCTION("""COMPUTED_VALUE"""),"Hana Mamdouh")</f>
        <v>Hana Mamdouh</v>
      </c>
      <c r="C94" s="16" t="str">
        <f>IFERROR(__xludf.DUMMYFUNCTION("""COMPUTED_VALUE"""),"approved")</f>
        <v>approved</v>
      </c>
      <c r="D94" s="16" t="str">
        <f>IFERROR(__xludf.DUMMYFUNCTION("""COMPUTED_VALUE"""),"No")</f>
        <v>No</v>
      </c>
      <c r="E94" s="16" t="str">
        <f>IFERROR(__xludf.DUMMYFUNCTION("""COMPUTED_VALUE"""),"p_f5093a6770f362a23af21e8e4ee5cba510bdc99b@inbound.aiesec.org")</f>
        <v>p_f5093a6770f362a23af21e8e4ee5cba510bdc99b@inbound.aiesec.org</v>
      </c>
      <c r="F94" s="16">
        <f>IFERROR(__xludf.DUMMYFUNCTION("""COMPUTED_VALUE"""),1.018524421E9)</f>
        <v>1018524421</v>
      </c>
      <c r="G94" s="16" t="str">
        <f>IFERROR(__xludf.DUMMYFUNCTION("""COMPUTED_VALUE"""),"Egypt")</f>
        <v>Egypt</v>
      </c>
      <c r="H94" s="16" t="str">
        <f>IFERROR(__xludf.DUMMYFUNCTION("""COMPUTED_VALUE"""),"Alexandria")</f>
        <v>Alexandria</v>
      </c>
      <c r="I94" s="16" t="str">
        <f>IFERROR(__xludf.DUMMYFUNCTION("""COMPUTED_VALUE"""),"Turkey")</f>
        <v>Turkey</v>
      </c>
      <c r="J94" s="16" t="str">
        <f>IFERROR(__xludf.DUMMYFUNCTION("""COMPUTED_VALUE"""),"ISPARTA")</f>
        <v>ISPARTA</v>
      </c>
      <c r="K94" s="17" t="str">
        <f>IFERROR(__xludf.DUMMYFUNCTION("""COMPUTED_VALUE"""),"https://expa.aiesec.org/opportunities/1288490")</f>
        <v>https://expa.aiesec.org/opportunities/1288490</v>
      </c>
      <c r="L94" s="16" t="str">
        <f>IFERROR(__xludf.DUMMYFUNCTION("""COMPUTED_VALUE"""),"GV")</f>
        <v>GV</v>
      </c>
      <c r="M94" s="16" t="str">
        <f>IFERROR(__xludf.DUMMYFUNCTION("""COMPUTED_VALUE"""),"short")</f>
        <v>short</v>
      </c>
      <c r="N94" s="18">
        <f>IFERROR(__xludf.DUMMYFUNCTION("""COMPUTED_VALUE"""),45080.0)</f>
        <v>45080</v>
      </c>
      <c r="O94" s="18">
        <f>IFERROR(__xludf.DUMMYFUNCTION("""COMPUTED_VALUE"""),45173.0)</f>
        <v>45173</v>
      </c>
      <c r="P94" s="18">
        <f>IFERROR(__xludf.DUMMYFUNCTION("""COMPUTED_VALUE"""),45215.0)</f>
        <v>45215</v>
      </c>
      <c r="Q94" s="18"/>
      <c r="R94" s="18"/>
      <c r="S94" s="16"/>
      <c r="T94" s="16"/>
      <c r="U94" s="16" t="str">
        <f>IFERROR(__xludf.DUMMYFUNCTION("""COMPUTED_VALUE"""),"Global Classroom")</f>
        <v>Global Classroom</v>
      </c>
      <c r="V94" s="16" t="str">
        <f>IFERROR(__xludf.DUMMYFUNCTION("""COMPUTED_VALUE"""),"Alexandria University")</f>
        <v>Alexandria University</v>
      </c>
      <c r="W94" s="16" t="str">
        <f>IFERROR(__xludf.DUMMYFUNCTION("""COMPUTED_VALUE"""),"2023-05-18T15:08:06Z")</f>
        <v>2023-05-18T15:08:06Z</v>
      </c>
      <c r="X94" s="16"/>
      <c r="Y94" s="16"/>
      <c r="Z94" s="16"/>
    </row>
    <row r="95">
      <c r="A95" s="16" t="str">
        <f>IFERROR(__xludf.DUMMYFUNCTION("""COMPUTED_VALUE"""),"5270685_1288280")</f>
        <v>5270685_1288280</v>
      </c>
      <c r="B95" s="16" t="str">
        <f>IFERROR(__xludf.DUMMYFUNCTION("""COMPUTED_VALUE"""),"nouran ibrahim")</f>
        <v>nouran ibrahim</v>
      </c>
      <c r="C95" s="16" t="str">
        <f>IFERROR(__xludf.DUMMYFUNCTION("""COMPUTED_VALUE"""),"approved")</f>
        <v>approved</v>
      </c>
      <c r="D95" s="16" t="str">
        <f>IFERROR(__xludf.DUMMYFUNCTION("""COMPUTED_VALUE"""),"No")</f>
        <v>No</v>
      </c>
      <c r="E95" s="16" t="str">
        <f>IFERROR(__xludf.DUMMYFUNCTION("""COMPUTED_VALUE"""),"p_6f299ab2b8e9dbf8947e4d51041cc97e4fce8f9e@inbound.aiesec.org")</f>
        <v>p_6f299ab2b8e9dbf8947e4d51041cc97e4fce8f9e@inbound.aiesec.org</v>
      </c>
      <c r="F95" s="16">
        <f>IFERROR(__xludf.DUMMYFUNCTION("""COMPUTED_VALUE"""),1.122573322E9)</f>
        <v>1122573322</v>
      </c>
      <c r="G95" s="16" t="str">
        <f>IFERROR(__xludf.DUMMYFUNCTION("""COMPUTED_VALUE"""),"Egypt")</f>
        <v>Egypt</v>
      </c>
      <c r="H95" s="16" t="str">
        <f>IFERROR(__xludf.DUMMYFUNCTION("""COMPUTED_VALUE"""),"Ain Shams University")</f>
        <v>Ain Shams University</v>
      </c>
      <c r="I95" s="16" t="str">
        <f>IFERROR(__xludf.DUMMYFUNCTION("""COMPUTED_VALUE"""),"Turkey")</f>
        <v>Turkey</v>
      </c>
      <c r="J95" s="16" t="str">
        <f>IFERROR(__xludf.DUMMYFUNCTION("""COMPUTED_VALUE"""),"İZMİR")</f>
        <v>İZMİR</v>
      </c>
      <c r="K95" s="17" t="str">
        <f>IFERROR(__xludf.DUMMYFUNCTION("""COMPUTED_VALUE"""),"https://expa.aiesec.org/opportunities/1288280")</f>
        <v>https://expa.aiesec.org/opportunities/1288280</v>
      </c>
      <c r="L95" s="16" t="str">
        <f>IFERROR(__xludf.DUMMYFUNCTION("""COMPUTED_VALUE"""),"GV")</f>
        <v>GV</v>
      </c>
      <c r="M95" s="16" t="str">
        <f>IFERROR(__xludf.DUMMYFUNCTION("""COMPUTED_VALUE"""),"short")</f>
        <v>short</v>
      </c>
      <c r="N95" s="18">
        <f>IFERROR(__xludf.DUMMYFUNCTION("""COMPUTED_VALUE"""),45084.0)</f>
        <v>45084</v>
      </c>
      <c r="O95" s="18">
        <f>IFERROR(__xludf.DUMMYFUNCTION("""COMPUTED_VALUE"""),45172.0)</f>
        <v>45172</v>
      </c>
      <c r="P95" s="18">
        <f>IFERROR(__xludf.DUMMYFUNCTION("""COMPUTED_VALUE"""),45214.0)</f>
        <v>45214</v>
      </c>
      <c r="Q95" s="18"/>
      <c r="R95" s="18"/>
      <c r="S95" s="16"/>
      <c r="T95" s="16"/>
      <c r="U95" s="16" t="str">
        <f>IFERROR(__xludf.DUMMYFUNCTION("""COMPUTED_VALUE"""),"Global Classroom")</f>
        <v>Global Classroom</v>
      </c>
      <c r="V95" s="16" t="str">
        <f>IFERROR(__xludf.DUMMYFUNCTION("""COMPUTED_VALUE"""),"Chinese University")</f>
        <v>Chinese University</v>
      </c>
      <c r="W95" s="16" t="str">
        <f>IFERROR(__xludf.DUMMYFUNCTION("""COMPUTED_VALUE"""),"2023-06-02T15:06:50Z")</f>
        <v>2023-06-02T15:06:50Z</v>
      </c>
      <c r="X95" s="16"/>
      <c r="Y95" s="16"/>
      <c r="Z95" s="16"/>
    </row>
    <row r="96">
      <c r="A96" s="16" t="str">
        <f>IFERROR(__xludf.DUMMYFUNCTION("""COMPUTED_VALUE"""),"3611511_1295457")</f>
        <v>3611511_1295457</v>
      </c>
      <c r="B96" s="16" t="str">
        <f>IFERROR(__xludf.DUMMYFUNCTION("""COMPUTED_VALUE"""),"Ferroudji Chahinez")</f>
        <v>Ferroudji Chahinez</v>
      </c>
      <c r="C96" s="16" t="str">
        <f>IFERROR(__xludf.DUMMYFUNCTION("""COMPUTED_VALUE"""),"approved")</f>
        <v>approved</v>
      </c>
      <c r="D96" s="16" t="str">
        <f>IFERROR(__xludf.DUMMYFUNCTION("""COMPUTED_VALUE"""),"No")</f>
        <v>No</v>
      </c>
      <c r="E96" s="16" t="str">
        <f>IFERROR(__xludf.DUMMYFUNCTION("""COMPUTED_VALUE"""),"p_ae451739e386f7bfa87625e9f2734154008afcc8@inbound.aiesec.org")</f>
        <v>p_ae451739e386f7bfa87625e9f2734154008afcc8@inbound.aiesec.org</v>
      </c>
      <c r="F96" s="16">
        <f>IFERROR(__xludf.DUMMYFUNCTION("""COMPUTED_VALUE"""),6.56018294E8)</f>
        <v>656018294</v>
      </c>
      <c r="G96" s="16" t="str">
        <f>IFERROR(__xludf.DUMMYFUNCTION("""COMPUTED_VALUE"""),"Algeria")</f>
        <v>Algeria</v>
      </c>
      <c r="H96" s="16" t="str">
        <f>IFERROR(__xludf.DUMMYFUNCTION("""COMPUTED_VALUE"""),"Constantine")</f>
        <v>Constantine</v>
      </c>
      <c r="I96" s="16" t="str">
        <f>IFERROR(__xludf.DUMMYFUNCTION("""COMPUTED_VALUE"""),"Turkey")</f>
        <v>Turkey</v>
      </c>
      <c r="J96" s="16" t="str">
        <f>IFERROR(__xludf.DUMMYFUNCTION("""COMPUTED_VALUE"""),"BURSA")</f>
        <v>BURSA</v>
      </c>
      <c r="K96" s="17" t="str">
        <f>IFERROR(__xludf.DUMMYFUNCTION("""COMPUTED_VALUE"""),"https://expa.aiesec.org/opportunities/1295457")</f>
        <v>https://expa.aiesec.org/opportunities/1295457</v>
      </c>
      <c r="L96" s="16" t="str">
        <f>IFERROR(__xludf.DUMMYFUNCTION("""COMPUTED_VALUE"""),"GV")</f>
        <v>GV</v>
      </c>
      <c r="M96" s="16" t="str">
        <f>IFERROR(__xludf.DUMMYFUNCTION("""COMPUTED_VALUE"""),"short")</f>
        <v>short</v>
      </c>
      <c r="N96" s="18">
        <f>IFERROR(__xludf.DUMMYFUNCTION("""COMPUTED_VALUE"""),45086.0)</f>
        <v>45086</v>
      </c>
      <c r="O96" s="18">
        <f>IFERROR(__xludf.DUMMYFUNCTION("""COMPUTED_VALUE"""),45124.0)</f>
        <v>45124</v>
      </c>
      <c r="P96" s="18">
        <f>IFERROR(__xludf.DUMMYFUNCTION("""COMPUTED_VALUE"""),45166.0)</f>
        <v>45166</v>
      </c>
      <c r="Q96" s="18"/>
      <c r="R96" s="18"/>
      <c r="S96" s="16"/>
      <c r="T96" s="16"/>
      <c r="U96" s="16" t="str">
        <f>IFERROR(__xludf.DUMMYFUNCTION("""COMPUTED_VALUE"""),"Youth 4 Impact")</f>
        <v>Youth 4 Impact</v>
      </c>
      <c r="V96" s="16" t="str">
        <f>IFERROR(__xludf.DUMMYFUNCTION("""COMPUTED_VALUE"""),"AIESEC in Babez")</f>
        <v>AIESEC in Babez</v>
      </c>
      <c r="W96" s="16" t="str">
        <f>IFERROR(__xludf.DUMMYFUNCTION("""COMPUTED_VALUE"""),"2019-07-06T16:37:57Z")</f>
        <v>2019-07-06T16:37:57Z</v>
      </c>
      <c r="X96" s="16"/>
      <c r="Y96" s="16"/>
      <c r="Z96" s="16"/>
    </row>
    <row r="97">
      <c r="A97" s="16" t="str">
        <f>IFERROR(__xludf.DUMMYFUNCTION("""COMPUTED_VALUE"""),"5048545_1295457")</f>
        <v>5048545_1295457</v>
      </c>
      <c r="B97" s="16" t="str">
        <f>IFERROR(__xludf.DUMMYFUNCTION("""COMPUTED_VALUE"""),"Nirmal Aahooja")</f>
        <v>Nirmal Aahooja</v>
      </c>
      <c r="C97" s="16" t="str">
        <f>IFERROR(__xludf.DUMMYFUNCTION("""COMPUTED_VALUE"""),"approved")</f>
        <v>approved</v>
      </c>
      <c r="D97" s="16" t="str">
        <f>IFERROR(__xludf.DUMMYFUNCTION("""COMPUTED_VALUE"""),"No")</f>
        <v>No</v>
      </c>
      <c r="E97" s="16" t="str">
        <f>IFERROR(__xludf.DUMMYFUNCTION("""COMPUTED_VALUE"""),"p_faf725f9599d76a6ade6f9198b6f7ecdeec2380c@inbound.aiesec.org")</f>
        <v>p_faf725f9599d76a6ade6f9198b6f7ecdeec2380c@inbound.aiesec.org</v>
      </c>
      <c r="F97" s="16">
        <f>IFERROR(__xludf.DUMMYFUNCTION("""COMPUTED_VALUE"""),3.05100198E9)</f>
        <v>3051001980</v>
      </c>
      <c r="G97" s="16" t="str">
        <f>IFERROR(__xludf.DUMMYFUNCTION("""COMPUTED_VALUE"""),"Pakistan")</f>
        <v>Pakistan</v>
      </c>
      <c r="H97" s="16" t="str">
        <f>IFERROR(__xludf.DUMMYFUNCTION("""COMPUTED_VALUE"""),"Karachi")</f>
        <v>Karachi</v>
      </c>
      <c r="I97" s="16" t="str">
        <f>IFERROR(__xludf.DUMMYFUNCTION("""COMPUTED_VALUE"""),"Turkey")</f>
        <v>Turkey</v>
      </c>
      <c r="J97" s="16" t="str">
        <f>IFERROR(__xludf.DUMMYFUNCTION("""COMPUTED_VALUE"""),"BURSA")</f>
        <v>BURSA</v>
      </c>
      <c r="K97" s="17" t="str">
        <f>IFERROR(__xludf.DUMMYFUNCTION("""COMPUTED_VALUE"""),"https://expa.aiesec.org/opportunities/1295457")</f>
        <v>https://expa.aiesec.org/opportunities/1295457</v>
      </c>
      <c r="L97" s="16" t="str">
        <f>IFERROR(__xludf.DUMMYFUNCTION("""COMPUTED_VALUE"""),"GV")</f>
        <v>GV</v>
      </c>
      <c r="M97" s="16" t="str">
        <f>IFERROR(__xludf.DUMMYFUNCTION("""COMPUTED_VALUE"""),"short")</f>
        <v>short</v>
      </c>
      <c r="N97" s="18">
        <f>IFERROR(__xludf.DUMMYFUNCTION("""COMPUTED_VALUE"""),45087.0)</f>
        <v>45087</v>
      </c>
      <c r="O97" s="18">
        <f>IFERROR(__xludf.DUMMYFUNCTION("""COMPUTED_VALUE"""),45124.0)</f>
        <v>45124</v>
      </c>
      <c r="P97" s="18">
        <f>IFERROR(__xludf.DUMMYFUNCTION("""COMPUTED_VALUE"""),45166.0)</f>
        <v>45166</v>
      </c>
      <c r="Q97" s="18"/>
      <c r="R97" s="18"/>
      <c r="S97" s="16"/>
      <c r="T97" s="16"/>
      <c r="U97" s="16" t="str">
        <f>IFERROR(__xludf.DUMMYFUNCTION("""COMPUTED_VALUE"""),"Youth 4 Impact")</f>
        <v>Youth 4 Impact</v>
      </c>
      <c r="V97" s="16" t="str">
        <f>IFERROR(__xludf.DUMMYFUNCTION("""COMPUTED_VALUE"""),"Karachi - Iqra University")</f>
        <v>Karachi - Iqra University</v>
      </c>
      <c r="W97" s="16" t="str">
        <f>IFERROR(__xludf.DUMMYFUNCTION("""COMPUTED_VALUE"""),"2022-04-29T12:31:54Z")</f>
        <v>2022-04-29T12:31:54Z</v>
      </c>
      <c r="X97" s="16"/>
      <c r="Y97" s="16"/>
      <c r="Z97" s="16"/>
    </row>
    <row r="98">
      <c r="A98" s="16" t="str">
        <f>IFERROR(__xludf.DUMMYFUNCTION("""COMPUTED_VALUE"""),"5167031_1294878")</f>
        <v>5167031_1294878</v>
      </c>
      <c r="B98" s="16" t="str">
        <f>IFERROR(__xludf.DUMMYFUNCTION("""COMPUTED_VALUE"""),"omnia zaghloul")</f>
        <v>omnia zaghloul</v>
      </c>
      <c r="C98" s="16" t="str">
        <f>IFERROR(__xludf.DUMMYFUNCTION("""COMPUTED_VALUE"""),"approved")</f>
        <v>approved</v>
      </c>
      <c r="D98" s="16" t="str">
        <f>IFERROR(__xludf.DUMMYFUNCTION("""COMPUTED_VALUE"""),"No")</f>
        <v>No</v>
      </c>
      <c r="E98" s="16" t="str">
        <f>IFERROR(__xludf.DUMMYFUNCTION("""COMPUTED_VALUE"""),"p_0313a62f2ffb5ae8e6237b2027d507356e7e5e11@inbound.aiesec.org")</f>
        <v>p_0313a62f2ffb5ae8e6237b2027d507356e7e5e11@inbound.aiesec.org</v>
      </c>
      <c r="F98" s="16">
        <f>IFERROR(__xludf.DUMMYFUNCTION("""COMPUTED_VALUE"""),1.013497742E9)</f>
        <v>1013497742</v>
      </c>
      <c r="G98" s="16" t="str">
        <f>IFERROR(__xludf.DUMMYFUNCTION("""COMPUTED_VALUE"""),"Egypt")</f>
        <v>Egypt</v>
      </c>
      <c r="H98" s="16" t="str">
        <f>IFERROR(__xludf.DUMMYFUNCTION("""COMPUTED_VALUE"""),"Cairo University")</f>
        <v>Cairo University</v>
      </c>
      <c r="I98" s="16" t="str">
        <f>IFERROR(__xludf.DUMMYFUNCTION("""COMPUTED_VALUE"""),"Turkey")</f>
        <v>Turkey</v>
      </c>
      <c r="J98" s="16" t="str">
        <f>IFERROR(__xludf.DUMMYFUNCTION("""COMPUTED_VALUE"""),"BURSA")</f>
        <v>BURSA</v>
      </c>
      <c r="K98" s="17" t="str">
        <f>IFERROR(__xludf.DUMMYFUNCTION("""COMPUTED_VALUE"""),"https://expa.aiesec.org/opportunities/1294878")</f>
        <v>https://expa.aiesec.org/opportunities/1294878</v>
      </c>
      <c r="L98" s="16" t="str">
        <f>IFERROR(__xludf.DUMMYFUNCTION("""COMPUTED_VALUE"""),"GV")</f>
        <v>GV</v>
      </c>
      <c r="M98" s="16" t="str">
        <f>IFERROR(__xludf.DUMMYFUNCTION("""COMPUTED_VALUE"""),"short")</f>
        <v>short</v>
      </c>
      <c r="N98" s="18">
        <f>IFERROR(__xludf.DUMMYFUNCTION("""COMPUTED_VALUE"""),45090.0)</f>
        <v>45090</v>
      </c>
      <c r="O98" s="18">
        <f>IFERROR(__xludf.DUMMYFUNCTION("""COMPUTED_VALUE"""),45187.0)</f>
        <v>45187</v>
      </c>
      <c r="P98" s="18">
        <f>IFERROR(__xludf.DUMMYFUNCTION("""COMPUTED_VALUE"""),45229.0)</f>
        <v>45229</v>
      </c>
      <c r="Q98" s="18"/>
      <c r="R98" s="18"/>
      <c r="S98" s="16"/>
      <c r="T98" s="16"/>
      <c r="U98" s="16" t="str">
        <f>IFERROR(__xludf.DUMMYFUNCTION("""COMPUTED_VALUE"""),"Youth 4 Impact")</f>
        <v>Youth 4 Impact</v>
      </c>
      <c r="V98" s="16" t="str">
        <f>IFERROR(__xludf.DUMMYFUNCTION("""COMPUTED_VALUE"""),"New Giza University")</f>
        <v>New Giza University</v>
      </c>
      <c r="W98" s="16" t="str">
        <f>IFERROR(__xludf.DUMMYFUNCTION("""COMPUTED_VALUE"""),"2022-12-16T20:40:28Z")</f>
        <v>2022-12-16T20:40:28Z</v>
      </c>
      <c r="X98" s="16"/>
      <c r="Y98" s="16"/>
      <c r="Z98" s="16"/>
    </row>
    <row r="99">
      <c r="A99" s="16" t="str">
        <f>IFERROR(__xludf.DUMMYFUNCTION("""COMPUTED_VALUE"""),"3226700_1294452")</f>
        <v>3226700_1294452</v>
      </c>
      <c r="B99" s="16" t="str">
        <f>IFERROR(__xludf.DUMMYFUNCTION("""COMPUTED_VALUE"""),"Fatema Alhagar")</f>
        <v>Fatema Alhagar</v>
      </c>
      <c r="C99" s="16" t="str">
        <f>IFERROR(__xludf.DUMMYFUNCTION("""COMPUTED_VALUE"""),"approved")</f>
        <v>approved</v>
      </c>
      <c r="D99" s="16" t="str">
        <f>IFERROR(__xludf.DUMMYFUNCTION("""COMPUTED_VALUE"""),"No")</f>
        <v>No</v>
      </c>
      <c r="E99" s="16" t="str">
        <f>IFERROR(__xludf.DUMMYFUNCTION("""COMPUTED_VALUE"""),"p_915deabdb39b011191cbb752d9c2750fd674c9c0@inbound.aiesec.org")</f>
        <v>p_915deabdb39b011191cbb752d9c2750fd674c9c0@inbound.aiesec.org</v>
      </c>
      <c r="F99" s="16">
        <f>IFERROR(__xludf.DUMMYFUNCTION("""COMPUTED_VALUE"""),1.116663641E9)</f>
        <v>1116663641</v>
      </c>
      <c r="G99" s="16" t="str">
        <f>IFERROR(__xludf.DUMMYFUNCTION("""COMPUTED_VALUE"""),"Egypt")</f>
        <v>Egypt</v>
      </c>
      <c r="H99" s="16" t="str">
        <f>IFERROR(__xludf.DUMMYFUNCTION("""COMPUTED_VALUE"""),"Cairo University")</f>
        <v>Cairo University</v>
      </c>
      <c r="I99" s="16" t="str">
        <f>IFERROR(__xludf.DUMMYFUNCTION("""COMPUTED_VALUE"""),"Turkey")</f>
        <v>Turkey</v>
      </c>
      <c r="J99" s="16" t="str">
        <f>IFERROR(__xludf.DUMMYFUNCTION("""COMPUTED_VALUE"""),"ESKISEHIR")</f>
        <v>ESKISEHIR</v>
      </c>
      <c r="K99" s="17" t="str">
        <f>IFERROR(__xludf.DUMMYFUNCTION("""COMPUTED_VALUE"""),"https://expa.aiesec.org/opportunities/1294452")</f>
        <v>https://expa.aiesec.org/opportunities/1294452</v>
      </c>
      <c r="L99" s="16" t="str">
        <f>IFERROR(__xludf.DUMMYFUNCTION("""COMPUTED_VALUE"""),"GV")</f>
        <v>GV</v>
      </c>
      <c r="M99" s="16" t="str">
        <f>IFERROR(__xludf.DUMMYFUNCTION("""COMPUTED_VALUE"""),"short")</f>
        <v>short</v>
      </c>
      <c r="N99" s="18">
        <f>IFERROR(__xludf.DUMMYFUNCTION("""COMPUTED_VALUE"""),45090.0)</f>
        <v>45090</v>
      </c>
      <c r="O99" s="18">
        <f>IFERROR(__xludf.DUMMYFUNCTION("""COMPUTED_VALUE"""),45152.0)</f>
        <v>45152</v>
      </c>
      <c r="P99" s="18">
        <f>IFERROR(__xludf.DUMMYFUNCTION("""COMPUTED_VALUE"""),45194.0)</f>
        <v>45194</v>
      </c>
      <c r="Q99" s="18"/>
      <c r="R99" s="18"/>
      <c r="S99" s="16"/>
      <c r="T99" s="16"/>
      <c r="U99" s="16" t="str">
        <f>IFERROR(__xludf.DUMMYFUNCTION("""COMPUTED_VALUE"""),"On The Map")</f>
        <v>On The Map</v>
      </c>
      <c r="V99" s="16" t="str">
        <f>IFERROR(__xludf.DUMMYFUNCTION("""COMPUTED_VALUE"""),"Cairo Univeristy")</f>
        <v>Cairo Univeristy</v>
      </c>
      <c r="W99" s="16" t="str">
        <f>IFERROR(__xludf.DUMMYFUNCTION("""COMPUTED_VALUE"""),"2019-03-15T18:07:58Z")</f>
        <v>2019-03-15T18:07:58Z</v>
      </c>
      <c r="X99" s="16"/>
      <c r="Y99" s="16"/>
      <c r="Z99" s="16"/>
    </row>
    <row r="100">
      <c r="A100" s="16" t="str">
        <f>IFERROR(__xludf.DUMMYFUNCTION("""COMPUTED_VALUE"""),"5181957_1296037")</f>
        <v>5181957_1296037</v>
      </c>
      <c r="B100" s="16" t="str">
        <f>IFERROR(__xludf.DUMMYFUNCTION("""COMPUTED_VALUE"""),"Faxriyya Suleymanova")</f>
        <v>Faxriyya Suleymanova</v>
      </c>
      <c r="C100" s="16" t="str">
        <f>IFERROR(__xludf.DUMMYFUNCTION("""COMPUTED_VALUE"""),"approved")</f>
        <v>approved</v>
      </c>
      <c r="D100" s="16" t="str">
        <f>IFERROR(__xludf.DUMMYFUNCTION("""COMPUTED_VALUE"""),"No")</f>
        <v>No</v>
      </c>
      <c r="E100" s="16" t="str">
        <f>IFERROR(__xludf.DUMMYFUNCTION("""COMPUTED_VALUE"""),"p_97a636942e037803fd41100fca0e1a4fb8195bfd@inbound.aiesec.org")</f>
        <v>p_97a636942e037803fd41100fca0e1a4fb8195bfd@inbound.aiesec.org</v>
      </c>
      <c r="F100" s="16">
        <f>IFERROR(__xludf.DUMMYFUNCTION("""COMPUTED_VALUE"""),5.55805163E8)</f>
        <v>555805163</v>
      </c>
      <c r="G100" s="16" t="str">
        <f>IFERROR(__xludf.DUMMYFUNCTION("""COMPUTED_VALUE"""),"Azerbaijan")</f>
        <v>Azerbaijan</v>
      </c>
      <c r="H100" s="16" t="str">
        <f>IFERROR(__xludf.DUMMYFUNCTION("""COMPUTED_VALUE"""),"Baku ADA")</f>
        <v>Baku ADA</v>
      </c>
      <c r="I100" s="16" t="str">
        <f>IFERROR(__xludf.DUMMYFUNCTION("""COMPUTED_VALUE"""),"Turkey")</f>
        <v>Turkey</v>
      </c>
      <c r="J100" s="16" t="str">
        <f>IFERROR(__xludf.DUMMYFUNCTION("""COMPUTED_VALUE"""),"ADANA")</f>
        <v>ADANA</v>
      </c>
      <c r="K100" s="17" t="str">
        <f>IFERROR(__xludf.DUMMYFUNCTION("""COMPUTED_VALUE"""),"https://expa.aiesec.org/opportunities/1296037")</f>
        <v>https://expa.aiesec.org/opportunities/1296037</v>
      </c>
      <c r="L100" s="16" t="str">
        <f>IFERROR(__xludf.DUMMYFUNCTION("""COMPUTED_VALUE"""),"GV")</f>
        <v>GV</v>
      </c>
      <c r="M100" s="16" t="str">
        <f>IFERROR(__xludf.DUMMYFUNCTION("""COMPUTED_VALUE"""),"short")</f>
        <v>short</v>
      </c>
      <c r="N100" s="18">
        <f>IFERROR(__xludf.DUMMYFUNCTION("""COMPUTED_VALUE"""),45091.0)</f>
        <v>45091</v>
      </c>
      <c r="O100" s="18">
        <f>IFERROR(__xludf.DUMMYFUNCTION("""COMPUTED_VALUE"""),45131.0)</f>
        <v>45131</v>
      </c>
      <c r="P100" s="18">
        <f>IFERROR(__xludf.DUMMYFUNCTION("""COMPUTED_VALUE"""),45177.0)</f>
        <v>45177</v>
      </c>
      <c r="Q100" s="18"/>
      <c r="R100" s="18"/>
      <c r="S100" s="16"/>
      <c r="T100" s="16"/>
      <c r="U100" s="16" t="str">
        <f>IFERROR(__xludf.DUMMYFUNCTION("""COMPUTED_VALUE"""),"Global Classroom")</f>
        <v>Global Classroom</v>
      </c>
      <c r="V100" s="16" t="str">
        <f>IFERROR(__xludf.DUMMYFUNCTION("""COMPUTED_VALUE"""),"ADA University")</f>
        <v>ADA University</v>
      </c>
      <c r="W100" s="16" t="str">
        <f>IFERROR(__xludf.DUMMYFUNCTION("""COMPUTED_VALUE"""),"2023-01-29T14:43:22Z")</f>
        <v>2023-01-29T14:43:22Z</v>
      </c>
      <c r="X100" s="16"/>
      <c r="Y100" s="16"/>
      <c r="Z100" s="16"/>
    </row>
    <row r="101">
      <c r="A101" s="16" t="str">
        <f>IFERROR(__xludf.DUMMYFUNCTION("""COMPUTED_VALUE"""),"5267348_1289505")</f>
        <v>5267348_1289505</v>
      </c>
      <c r="B101" s="16" t="str">
        <f>IFERROR(__xludf.DUMMYFUNCTION("""COMPUTED_VALUE"""),"Marwa Magdy")</f>
        <v>Marwa Magdy</v>
      </c>
      <c r="C101" s="16" t="str">
        <f>IFERROR(__xludf.DUMMYFUNCTION("""COMPUTED_VALUE"""),"approved")</f>
        <v>approved</v>
      </c>
      <c r="D101" s="16" t="str">
        <f>IFERROR(__xludf.DUMMYFUNCTION("""COMPUTED_VALUE"""),"No")</f>
        <v>No</v>
      </c>
      <c r="E101" s="16" t="str">
        <f>IFERROR(__xludf.DUMMYFUNCTION("""COMPUTED_VALUE"""),"p_75e7699df7251936ac1b5db98f4811ba3d884b77@inbound.aiesec.org")</f>
        <v>p_75e7699df7251936ac1b5db98f4811ba3d884b77@inbound.aiesec.org</v>
      </c>
      <c r="F101" s="16">
        <f>IFERROR(__xludf.DUMMYFUNCTION("""COMPUTED_VALUE"""),1.016775818E9)</f>
        <v>1016775818</v>
      </c>
      <c r="G101" s="16" t="str">
        <f>IFERROR(__xludf.DUMMYFUNCTION("""COMPUTED_VALUE"""),"Egypt")</f>
        <v>Egypt</v>
      </c>
      <c r="H101" s="16" t="str">
        <f>IFERROR(__xludf.DUMMYFUNCTION("""COMPUTED_VALUE"""),"Cairo University")</f>
        <v>Cairo University</v>
      </c>
      <c r="I101" s="16" t="str">
        <f>IFERROR(__xludf.DUMMYFUNCTION("""COMPUTED_VALUE"""),"Turkey")</f>
        <v>Turkey</v>
      </c>
      <c r="J101" s="16" t="str">
        <f>IFERROR(__xludf.DUMMYFUNCTION("""COMPUTED_VALUE"""),"KOCAELI")</f>
        <v>KOCAELI</v>
      </c>
      <c r="K101" s="17" t="str">
        <f>IFERROR(__xludf.DUMMYFUNCTION("""COMPUTED_VALUE"""),"https://expa.aiesec.org/opportunities/1289505")</f>
        <v>https://expa.aiesec.org/opportunities/1289505</v>
      </c>
      <c r="L101" s="16" t="str">
        <f>IFERROR(__xludf.DUMMYFUNCTION("""COMPUTED_VALUE"""),"GV")</f>
        <v>GV</v>
      </c>
      <c r="M101" s="16" t="str">
        <f>IFERROR(__xludf.DUMMYFUNCTION("""COMPUTED_VALUE"""),"short")</f>
        <v>short</v>
      </c>
      <c r="N101" s="18">
        <f>IFERROR(__xludf.DUMMYFUNCTION("""COMPUTED_VALUE"""),45091.0)</f>
        <v>45091</v>
      </c>
      <c r="O101" s="18">
        <f>IFERROR(__xludf.DUMMYFUNCTION("""COMPUTED_VALUE"""),45152.0)</f>
        <v>45152</v>
      </c>
      <c r="P101" s="18">
        <f>IFERROR(__xludf.DUMMYFUNCTION("""COMPUTED_VALUE"""),45194.0)</f>
        <v>45194</v>
      </c>
      <c r="Q101" s="18"/>
      <c r="R101" s="18"/>
      <c r="S101" s="16"/>
      <c r="T101" s="16"/>
      <c r="U101" s="16" t="str">
        <f>IFERROR(__xludf.DUMMYFUNCTION("""COMPUTED_VALUE"""),"Youth 4 Impact")</f>
        <v>Youth 4 Impact</v>
      </c>
      <c r="V101" s="16" t="str">
        <f>IFERROR(__xludf.DUMMYFUNCTION("""COMPUTED_VALUE"""),"Cairo Univeristy")</f>
        <v>Cairo Univeristy</v>
      </c>
      <c r="W101" s="16" t="str">
        <f>IFERROR(__xludf.DUMMYFUNCTION("""COMPUTED_VALUE"""),"2023-05-27T01:27:00Z")</f>
        <v>2023-05-27T01:27:00Z</v>
      </c>
      <c r="X101" s="16"/>
      <c r="Y101" s="16"/>
      <c r="Z101" s="16"/>
    </row>
    <row r="102">
      <c r="A102" s="16" t="str">
        <f>IFERROR(__xludf.DUMMYFUNCTION("""COMPUTED_VALUE"""),"5176864_1296037")</f>
        <v>5176864_1296037</v>
      </c>
      <c r="B102" s="16" t="str">
        <f>IFERROR(__xludf.DUMMYFUNCTION("""COMPUTED_VALUE"""),"Safura Hacıyeva")</f>
        <v>Safura Hacıyeva</v>
      </c>
      <c r="C102" s="16" t="str">
        <f>IFERROR(__xludf.DUMMYFUNCTION("""COMPUTED_VALUE"""),"approved")</f>
        <v>approved</v>
      </c>
      <c r="D102" s="16" t="str">
        <f>IFERROR(__xludf.DUMMYFUNCTION("""COMPUTED_VALUE"""),"No")</f>
        <v>No</v>
      </c>
      <c r="E102" s="16" t="str">
        <f>IFERROR(__xludf.DUMMYFUNCTION("""COMPUTED_VALUE"""),"p_4aa65622ec910794bc6ebd2693e20d2aa8648547@inbound.aiesec.org")</f>
        <v>p_4aa65622ec910794bc6ebd2693e20d2aa8648547@inbound.aiesec.org</v>
      </c>
      <c r="F102" s="16"/>
      <c r="G102" s="16" t="str">
        <f>IFERROR(__xludf.DUMMYFUNCTION("""COMPUTED_VALUE"""),"Azerbaijan")</f>
        <v>Azerbaijan</v>
      </c>
      <c r="H102" s="16" t="str">
        <f>IFERROR(__xludf.DUMMYFUNCTION("""COMPUTED_VALUE"""),"Baku ADA")</f>
        <v>Baku ADA</v>
      </c>
      <c r="I102" s="16" t="str">
        <f>IFERROR(__xludf.DUMMYFUNCTION("""COMPUTED_VALUE"""),"Turkey")</f>
        <v>Turkey</v>
      </c>
      <c r="J102" s="16" t="str">
        <f>IFERROR(__xludf.DUMMYFUNCTION("""COMPUTED_VALUE"""),"ADANA")</f>
        <v>ADANA</v>
      </c>
      <c r="K102" s="17" t="str">
        <f>IFERROR(__xludf.DUMMYFUNCTION("""COMPUTED_VALUE"""),"https://expa.aiesec.org/opportunities/1296037")</f>
        <v>https://expa.aiesec.org/opportunities/1296037</v>
      </c>
      <c r="L102" s="16" t="str">
        <f>IFERROR(__xludf.DUMMYFUNCTION("""COMPUTED_VALUE"""),"GV")</f>
        <v>GV</v>
      </c>
      <c r="M102" s="16" t="str">
        <f>IFERROR(__xludf.DUMMYFUNCTION("""COMPUTED_VALUE"""),"short")</f>
        <v>short</v>
      </c>
      <c r="N102" s="18">
        <f>IFERROR(__xludf.DUMMYFUNCTION("""COMPUTED_VALUE"""),45091.0)</f>
        <v>45091</v>
      </c>
      <c r="O102" s="18">
        <f>IFERROR(__xludf.DUMMYFUNCTION("""COMPUTED_VALUE"""),45131.0)</f>
        <v>45131</v>
      </c>
      <c r="P102" s="18">
        <f>IFERROR(__xludf.DUMMYFUNCTION("""COMPUTED_VALUE"""),45177.0)</f>
        <v>45177</v>
      </c>
      <c r="Q102" s="18"/>
      <c r="R102" s="18"/>
      <c r="S102" s="16"/>
      <c r="T102" s="16"/>
      <c r="U102" s="16" t="str">
        <f>IFERROR(__xludf.DUMMYFUNCTION("""COMPUTED_VALUE"""),"Global Classroom")</f>
        <v>Global Classroom</v>
      </c>
      <c r="V102" s="16" t="str">
        <f>IFERROR(__xludf.DUMMYFUNCTION("""COMPUTED_VALUE"""),"-")</f>
        <v>-</v>
      </c>
      <c r="W102" s="16" t="str">
        <f>IFERROR(__xludf.DUMMYFUNCTION("""COMPUTED_VALUE"""),"2023-01-15T20:46:13Z")</f>
        <v>2023-01-15T20:46:13Z</v>
      </c>
      <c r="X102" s="16"/>
      <c r="Y102" s="16"/>
      <c r="Z102" s="16"/>
    </row>
    <row r="103">
      <c r="A103" s="16" t="str">
        <f>IFERROR(__xludf.DUMMYFUNCTION("""COMPUTED_VALUE"""),"5275623_1295453")</f>
        <v>5275623_1295453</v>
      </c>
      <c r="B103" s="16" t="str">
        <f>IFERROR(__xludf.DUMMYFUNCTION("""COMPUTED_VALUE"""),"Muhammad Danish")</f>
        <v>Muhammad Danish</v>
      </c>
      <c r="C103" s="16" t="str">
        <f>IFERROR(__xludf.DUMMYFUNCTION("""COMPUTED_VALUE"""),"approved")</f>
        <v>approved</v>
      </c>
      <c r="D103" s="16" t="str">
        <f>IFERROR(__xludf.DUMMYFUNCTION("""COMPUTED_VALUE"""),"No")</f>
        <v>No</v>
      </c>
      <c r="E103" s="16" t="str">
        <f>IFERROR(__xludf.DUMMYFUNCTION("""COMPUTED_VALUE"""),"p_aa9431a4290d233cf2865041b5bd4ebda400add4@inbound.aiesec.org")</f>
        <v>p_aa9431a4290d233cf2865041b5bd4ebda400add4@inbound.aiesec.org</v>
      </c>
      <c r="F103" s="16">
        <f>IFERROR(__xludf.DUMMYFUNCTION("""COMPUTED_VALUE"""),3.40675978E9)</f>
        <v>3406759780</v>
      </c>
      <c r="G103" s="16" t="str">
        <f>IFERROR(__xludf.DUMMYFUNCTION("""COMPUTED_VALUE"""),"Pakistan")</f>
        <v>Pakistan</v>
      </c>
      <c r="H103" s="16" t="str">
        <f>IFERROR(__xludf.DUMMYFUNCTION("""COMPUTED_VALUE"""),"Lahore - Pak")</f>
        <v>Lahore - Pak</v>
      </c>
      <c r="I103" s="16" t="str">
        <f>IFERROR(__xludf.DUMMYFUNCTION("""COMPUTED_VALUE"""),"Turkey")</f>
        <v>Turkey</v>
      </c>
      <c r="J103" s="16" t="str">
        <f>IFERROR(__xludf.DUMMYFUNCTION("""COMPUTED_VALUE"""),"GAZIANTEP")</f>
        <v>GAZIANTEP</v>
      </c>
      <c r="K103" s="17" t="str">
        <f>IFERROR(__xludf.DUMMYFUNCTION("""COMPUTED_VALUE"""),"https://expa.aiesec.org/opportunities/1295453")</f>
        <v>https://expa.aiesec.org/opportunities/1295453</v>
      </c>
      <c r="L103" s="16" t="str">
        <f>IFERROR(__xludf.DUMMYFUNCTION("""COMPUTED_VALUE"""),"GV")</f>
        <v>GV</v>
      </c>
      <c r="M103" s="16" t="str">
        <f>IFERROR(__xludf.DUMMYFUNCTION("""COMPUTED_VALUE"""),"short")</f>
        <v>short</v>
      </c>
      <c r="N103" s="18">
        <f>IFERROR(__xludf.DUMMYFUNCTION("""COMPUTED_VALUE"""),45092.0)</f>
        <v>45092</v>
      </c>
      <c r="O103" s="18">
        <f>IFERROR(__xludf.DUMMYFUNCTION("""COMPUTED_VALUE"""),45124.0)</f>
        <v>45124</v>
      </c>
      <c r="P103" s="18">
        <f>IFERROR(__xludf.DUMMYFUNCTION("""COMPUTED_VALUE"""),45166.0)</f>
        <v>45166</v>
      </c>
      <c r="Q103" s="18"/>
      <c r="R103" s="18"/>
      <c r="S103" s="16"/>
      <c r="T103" s="16"/>
      <c r="U103" s="16" t="str">
        <f>IFERROR(__xludf.DUMMYFUNCTION("""COMPUTED_VALUE"""),"Global Classroom")</f>
        <v>Global Classroom</v>
      </c>
      <c r="V103" s="16" t="str">
        <f>IFERROR(__xludf.DUMMYFUNCTION("""COMPUTED_VALUE"""),"Lahore - Punjab University ")</f>
        <v>Lahore - Punjab University </v>
      </c>
      <c r="W103" s="16" t="str">
        <f>IFERROR(__xludf.DUMMYFUNCTION("""COMPUTED_VALUE"""),"2023-06-15T11:24:33Z")</f>
        <v>2023-06-15T11:24:33Z</v>
      </c>
      <c r="X103" s="16"/>
      <c r="Y103" s="16"/>
      <c r="Z103" s="16"/>
    </row>
    <row r="104">
      <c r="A104" s="16" t="str">
        <f>IFERROR(__xludf.DUMMYFUNCTION("""COMPUTED_VALUE"""),"5264459_1294452")</f>
        <v>5264459_1294452</v>
      </c>
      <c r="B104" s="16" t="str">
        <f>IFERROR(__xludf.DUMMYFUNCTION("""COMPUTED_VALUE"""),"shafquat ali")</f>
        <v>shafquat ali</v>
      </c>
      <c r="C104" s="16" t="str">
        <f>IFERROR(__xludf.DUMMYFUNCTION("""COMPUTED_VALUE"""),"approved")</f>
        <v>approved</v>
      </c>
      <c r="D104" s="16" t="str">
        <f>IFERROR(__xludf.DUMMYFUNCTION("""COMPUTED_VALUE"""),"No")</f>
        <v>No</v>
      </c>
      <c r="E104" s="16" t="str">
        <f>IFERROR(__xludf.DUMMYFUNCTION("""COMPUTED_VALUE"""),"p_da82624fcbe9cff6256cbfe5fb6c52fcbae6e026@inbound.aiesec.org")</f>
        <v>p_da82624fcbe9cff6256cbfe5fb6c52fcbae6e026@inbound.aiesec.org</v>
      </c>
      <c r="F104" s="16">
        <f>IFERROR(__xludf.DUMMYFUNCTION("""COMPUTED_VALUE"""),3.323320732E9)</f>
        <v>3323320732</v>
      </c>
      <c r="G104" s="16" t="str">
        <f>IFERROR(__xludf.DUMMYFUNCTION("""COMPUTED_VALUE"""),"Pakistan")</f>
        <v>Pakistan</v>
      </c>
      <c r="H104" s="16" t="str">
        <f>IFERROR(__xludf.DUMMYFUNCTION("""COMPUTED_VALUE"""),"Karachi")</f>
        <v>Karachi</v>
      </c>
      <c r="I104" s="16" t="str">
        <f>IFERROR(__xludf.DUMMYFUNCTION("""COMPUTED_VALUE"""),"Turkey")</f>
        <v>Turkey</v>
      </c>
      <c r="J104" s="16" t="str">
        <f>IFERROR(__xludf.DUMMYFUNCTION("""COMPUTED_VALUE"""),"ESKISEHIR")</f>
        <v>ESKISEHIR</v>
      </c>
      <c r="K104" s="17" t="str">
        <f>IFERROR(__xludf.DUMMYFUNCTION("""COMPUTED_VALUE"""),"https://expa.aiesec.org/opportunities/1294452")</f>
        <v>https://expa.aiesec.org/opportunities/1294452</v>
      </c>
      <c r="L104" s="16" t="str">
        <f>IFERROR(__xludf.DUMMYFUNCTION("""COMPUTED_VALUE"""),"GV")</f>
        <v>GV</v>
      </c>
      <c r="M104" s="16" t="str">
        <f>IFERROR(__xludf.DUMMYFUNCTION("""COMPUTED_VALUE"""),"short")</f>
        <v>short</v>
      </c>
      <c r="N104" s="18">
        <f>IFERROR(__xludf.DUMMYFUNCTION("""COMPUTED_VALUE"""),45092.0)</f>
        <v>45092</v>
      </c>
      <c r="O104" s="18">
        <f>IFERROR(__xludf.DUMMYFUNCTION("""COMPUTED_VALUE"""),45152.0)</f>
        <v>45152</v>
      </c>
      <c r="P104" s="18">
        <f>IFERROR(__xludf.DUMMYFUNCTION("""COMPUTED_VALUE"""),45194.0)</f>
        <v>45194</v>
      </c>
      <c r="Q104" s="18"/>
      <c r="R104" s="18"/>
      <c r="S104" s="16"/>
      <c r="T104" s="16"/>
      <c r="U104" s="16" t="str">
        <f>IFERROR(__xludf.DUMMYFUNCTION("""COMPUTED_VALUE"""),"On The Map")</f>
        <v>On The Map</v>
      </c>
      <c r="V104" s="16" t="str">
        <f>IFERROR(__xludf.DUMMYFUNCTION("""COMPUTED_VALUE"""),"Karachi - Iqra University")</f>
        <v>Karachi - Iqra University</v>
      </c>
      <c r="W104" s="16" t="str">
        <f>IFERROR(__xludf.DUMMYFUNCTION("""COMPUTED_VALUE"""),"2023-05-21T12:59:06Z")</f>
        <v>2023-05-21T12:59:06Z</v>
      </c>
      <c r="X104" s="16"/>
      <c r="Y104" s="16"/>
      <c r="Z104" s="16"/>
    </row>
    <row r="105">
      <c r="A105" s="16" t="str">
        <f>IFERROR(__xludf.DUMMYFUNCTION("""COMPUTED_VALUE"""),"5220410_1295830")</f>
        <v>5220410_1295830</v>
      </c>
      <c r="B105" s="16" t="str">
        <f>IFERROR(__xludf.DUMMYFUNCTION("""COMPUTED_VALUE"""),"Clara Makram")</f>
        <v>Clara Makram</v>
      </c>
      <c r="C105" s="16" t="str">
        <f>IFERROR(__xludf.DUMMYFUNCTION("""COMPUTED_VALUE"""),"approved")</f>
        <v>approved</v>
      </c>
      <c r="D105" s="16" t="str">
        <f>IFERROR(__xludf.DUMMYFUNCTION("""COMPUTED_VALUE"""),"No")</f>
        <v>No</v>
      </c>
      <c r="E105" s="16" t="str">
        <f>IFERROR(__xludf.DUMMYFUNCTION("""COMPUTED_VALUE"""),"p_bd4f86f9360de90085dd7d0ccd86b6d67cbcebeb@inbound.aiesec.org")</f>
        <v>p_bd4f86f9360de90085dd7d0ccd86b6d67cbcebeb@inbound.aiesec.org</v>
      </c>
      <c r="F105" s="16">
        <f>IFERROR(__xludf.DUMMYFUNCTION("""COMPUTED_VALUE"""),1.008294648E9)</f>
        <v>1008294648</v>
      </c>
      <c r="G105" s="16" t="str">
        <f>IFERROR(__xludf.DUMMYFUNCTION("""COMPUTED_VALUE"""),"Egypt")</f>
        <v>Egypt</v>
      </c>
      <c r="H105" s="16" t="str">
        <f>IFERROR(__xludf.DUMMYFUNCTION("""COMPUTED_VALUE"""),"AUC")</f>
        <v>AUC</v>
      </c>
      <c r="I105" s="16" t="str">
        <f>IFERROR(__xludf.DUMMYFUNCTION("""COMPUTED_VALUE"""),"Turkey")</f>
        <v>Turkey</v>
      </c>
      <c r="J105" s="16" t="str">
        <f>IFERROR(__xludf.DUMMYFUNCTION("""COMPUTED_VALUE"""),"ANKARA")</f>
        <v>ANKARA</v>
      </c>
      <c r="K105" s="17" t="str">
        <f>IFERROR(__xludf.DUMMYFUNCTION("""COMPUTED_VALUE"""),"https://expa.aiesec.org/opportunities/1295830")</f>
        <v>https://expa.aiesec.org/opportunities/1295830</v>
      </c>
      <c r="L105" s="16" t="str">
        <f>IFERROR(__xludf.DUMMYFUNCTION("""COMPUTED_VALUE"""),"GV")</f>
        <v>GV</v>
      </c>
      <c r="M105" s="16" t="str">
        <f>IFERROR(__xludf.DUMMYFUNCTION("""COMPUTED_VALUE"""),"short")</f>
        <v>short</v>
      </c>
      <c r="N105" s="18">
        <f>IFERROR(__xludf.DUMMYFUNCTION("""COMPUTED_VALUE"""),45093.0)</f>
        <v>45093</v>
      </c>
      <c r="O105" s="18">
        <f>IFERROR(__xludf.DUMMYFUNCTION("""COMPUTED_VALUE"""),45159.0)</f>
        <v>45159</v>
      </c>
      <c r="P105" s="18">
        <f>IFERROR(__xludf.DUMMYFUNCTION("""COMPUTED_VALUE"""),45201.0)</f>
        <v>45201</v>
      </c>
      <c r="Q105" s="18"/>
      <c r="R105" s="18"/>
      <c r="S105" s="16"/>
      <c r="T105" s="16"/>
      <c r="U105" s="16" t="str">
        <f>IFERROR(__xludf.DUMMYFUNCTION("""COMPUTED_VALUE"""),"Global Classroom")</f>
        <v>Global Classroom</v>
      </c>
      <c r="V105" s="16" t="str">
        <f>IFERROR(__xludf.DUMMYFUNCTION("""COMPUTED_VALUE"""),"AUC")</f>
        <v>AUC</v>
      </c>
      <c r="W105" s="16" t="str">
        <f>IFERROR(__xludf.DUMMYFUNCTION("""COMPUTED_VALUE"""),"2023-03-18T15:23:40Z")</f>
        <v>2023-03-18T15:23:40Z</v>
      </c>
      <c r="X105" s="16"/>
      <c r="Y105" s="16"/>
      <c r="Z105" s="16"/>
    </row>
    <row r="106">
      <c r="A106" s="16" t="str">
        <f>IFERROR(__xludf.DUMMYFUNCTION("""COMPUTED_VALUE"""),"5275309_1295453")</f>
        <v>5275309_1295453</v>
      </c>
      <c r="B106" s="16" t="str">
        <f>IFERROR(__xludf.DUMMYFUNCTION("""COMPUTED_VALUE"""),"Mariam Elsamak")</f>
        <v>Mariam Elsamak</v>
      </c>
      <c r="C106" s="16" t="str">
        <f>IFERROR(__xludf.DUMMYFUNCTION("""COMPUTED_VALUE"""),"approved")</f>
        <v>approved</v>
      </c>
      <c r="D106" s="16" t="str">
        <f>IFERROR(__xludf.DUMMYFUNCTION("""COMPUTED_VALUE"""),"No")</f>
        <v>No</v>
      </c>
      <c r="E106" s="16" t="str">
        <f>IFERROR(__xludf.DUMMYFUNCTION("""COMPUTED_VALUE"""),"p_d9d263b375387686749fa997e9a2bd62e93dacc3@inbound.aiesec.org")</f>
        <v>p_d9d263b375387686749fa997e9a2bd62e93dacc3@inbound.aiesec.org</v>
      </c>
      <c r="F106" s="16">
        <f>IFERROR(__xludf.DUMMYFUNCTION("""COMPUTED_VALUE"""),1.012723062E9)</f>
        <v>1012723062</v>
      </c>
      <c r="G106" s="16" t="str">
        <f>IFERROR(__xludf.DUMMYFUNCTION("""COMPUTED_VALUE"""),"Egypt")</f>
        <v>Egypt</v>
      </c>
      <c r="H106" s="16" t="str">
        <f>IFERROR(__xludf.DUMMYFUNCTION("""COMPUTED_VALUE"""),"Suez")</f>
        <v>Suez</v>
      </c>
      <c r="I106" s="16" t="str">
        <f>IFERROR(__xludf.DUMMYFUNCTION("""COMPUTED_VALUE"""),"Turkey")</f>
        <v>Turkey</v>
      </c>
      <c r="J106" s="16" t="str">
        <f>IFERROR(__xludf.DUMMYFUNCTION("""COMPUTED_VALUE"""),"GAZIANTEP")</f>
        <v>GAZIANTEP</v>
      </c>
      <c r="K106" s="17" t="str">
        <f>IFERROR(__xludf.DUMMYFUNCTION("""COMPUTED_VALUE"""),"https://expa.aiesec.org/opportunities/1295453")</f>
        <v>https://expa.aiesec.org/opportunities/1295453</v>
      </c>
      <c r="L106" s="16" t="str">
        <f>IFERROR(__xludf.DUMMYFUNCTION("""COMPUTED_VALUE"""),"GV")</f>
        <v>GV</v>
      </c>
      <c r="M106" s="16" t="str">
        <f>IFERROR(__xludf.DUMMYFUNCTION("""COMPUTED_VALUE"""),"short")</f>
        <v>short</v>
      </c>
      <c r="N106" s="18">
        <f>IFERROR(__xludf.DUMMYFUNCTION("""COMPUTED_VALUE"""),45094.0)</f>
        <v>45094</v>
      </c>
      <c r="O106" s="18">
        <f>IFERROR(__xludf.DUMMYFUNCTION("""COMPUTED_VALUE"""),45124.0)</f>
        <v>45124</v>
      </c>
      <c r="P106" s="18">
        <f>IFERROR(__xludf.DUMMYFUNCTION("""COMPUTED_VALUE"""),45166.0)</f>
        <v>45166</v>
      </c>
      <c r="Q106" s="18"/>
      <c r="R106" s="18"/>
      <c r="S106" s="16"/>
      <c r="T106" s="16"/>
      <c r="U106" s="16" t="str">
        <f>IFERROR(__xludf.DUMMYFUNCTION("""COMPUTED_VALUE"""),"Global Classroom")</f>
        <v>Global Classroom</v>
      </c>
      <c r="V106" s="16" t="str">
        <f>IFERROR(__xludf.DUMMYFUNCTION("""COMPUTED_VALUE"""),"Sherouk Academy")</f>
        <v>Sherouk Academy</v>
      </c>
      <c r="W106" s="16" t="str">
        <f>IFERROR(__xludf.DUMMYFUNCTION("""COMPUTED_VALUE"""),"2023-06-14T16:12:43Z")</f>
        <v>2023-06-14T16:12:43Z</v>
      </c>
      <c r="X106" s="16"/>
      <c r="Y106" s="16"/>
      <c r="Z106" s="16"/>
    </row>
    <row r="107">
      <c r="A107" s="16" t="str">
        <f>IFERROR(__xludf.DUMMYFUNCTION("""COMPUTED_VALUE"""),"5273702_1295830")</f>
        <v>5273702_1295830</v>
      </c>
      <c r="B107" s="16" t="str">
        <f>IFERROR(__xludf.DUMMYFUNCTION("""COMPUTED_VALUE"""),"Sarah Makram")</f>
        <v>Sarah Makram</v>
      </c>
      <c r="C107" s="16" t="str">
        <f>IFERROR(__xludf.DUMMYFUNCTION("""COMPUTED_VALUE"""),"approved")</f>
        <v>approved</v>
      </c>
      <c r="D107" s="16" t="str">
        <f>IFERROR(__xludf.DUMMYFUNCTION("""COMPUTED_VALUE"""),"No")</f>
        <v>No</v>
      </c>
      <c r="E107" s="16" t="str">
        <f>IFERROR(__xludf.DUMMYFUNCTION("""COMPUTED_VALUE"""),"p_4e7243c12a6942ee1bfbe6d2cf2640091cf2e47f@inbound.aiesec.org")</f>
        <v>p_4e7243c12a6942ee1bfbe6d2cf2640091cf2e47f@inbound.aiesec.org</v>
      </c>
      <c r="F107" s="16">
        <f>IFERROR(__xludf.DUMMYFUNCTION("""COMPUTED_VALUE"""),1.009473883E9)</f>
        <v>1009473883</v>
      </c>
      <c r="G107" s="16" t="str">
        <f>IFERROR(__xludf.DUMMYFUNCTION("""COMPUTED_VALUE"""),"Egypt")</f>
        <v>Egypt</v>
      </c>
      <c r="H107" s="16" t="str">
        <f>IFERROR(__xludf.DUMMYFUNCTION("""COMPUTED_VALUE"""),"AAST Alexandria")</f>
        <v>AAST Alexandria</v>
      </c>
      <c r="I107" s="16" t="str">
        <f>IFERROR(__xludf.DUMMYFUNCTION("""COMPUTED_VALUE"""),"Turkey")</f>
        <v>Turkey</v>
      </c>
      <c r="J107" s="16" t="str">
        <f>IFERROR(__xludf.DUMMYFUNCTION("""COMPUTED_VALUE"""),"ANKARA")</f>
        <v>ANKARA</v>
      </c>
      <c r="K107" s="17" t="str">
        <f>IFERROR(__xludf.DUMMYFUNCTION("""COMPUTED_VALUE"""),"https://expa.aiesec.org/opportunities/1295830")</f>
        <v>https://expa.aiesec.org/opportunities/1295830</v>
      </c>
      <c r="L107" s="16" t="str">
        <f>IFERROR(__xludf.DUMMYFUNCTION("""COMPUTED_VALUE"""),"GV")</f>
        <v>GV</v>
      </c>
      <c r="M107" s="16" t="str">
        <f>IFERROR(__xludf.DUMMYFUNCTION("""COMPUTED_VALUE"""),"short")</f>
        <v>short</v>
      </c>
      <c r="N107" s="18">
        <f>IFERROR(__xludf.DUMMYFUNCTION("""COMPUTED_VALUE"""),45095.0)</f>
        <v>45095</v>
      </c>
      <c r="O107" s="18">
        <f>IFERROR(__xludf.DUMMYFUNCTION("""COMPUTED_VALUE"""),45159.0)</f>
        <v>45159</v>
      </c>
      <c r="P107" s="18">
        <f>IFERROR(__xludf.DUMMYFUNCTION("""COMPUTED_VALUE"""),45201.0)</f>
        <v>45201</v>
      </c>
      <c r="Q107" s="18"/>
      <c r="R107" s="18"/>
      <c r="S107" s="16"/>
      <c r="T107" s="16"/>
      <c r="U107" s="16" t="str">
        <f>IFERROR(__xludf.DUMMYFUNCTION("""COMPUTED_VALUE"""),"Global Classroom")</f>
        <v>Global Classroom</v>
      </c>
      <c r="V107" s="16" t="str">
        <f>IFERROR(__xludf.DUMMYFUNCTION("""COMPUTED_VALUE"""),"AAST in Alexandria")</f>
        <v>AAST in Alexandria</v>
      </c>
      <c r="W107" s="16" t="str">
        <f>IFERROR(__xludf.DUMMYFUNCTION("""COMPUTED_VALUE"""),"2023-06-10T16:48:58Z")</f>
        <v>2023-06-10T16:48:58Z</v>
      </c>
      <c r="X107" s="16"/>
      <c r="Y107" s="16"/>
      <c r="Z107" s="16"/>
    </row>
    <row r="108">
      <c r="A108" s="16" t="str">
        <f>IFERROR(__xludf.DUMMYFUNCTION("""COMPUTED_VALUE"""),"5273594_1295240")</f>
        <v>5273594_1295240</v>
      </c>
      <c r="B108" s="16" t="str">
        <f>IFERROR(__xludf.DUMMYFUNCTION("""COMPUTED_VALUE"""),"Taya Savosh")</f>
        <v>Taya Savosh</v>
      </c>
      <c r="C108" s="16" t="str">
        <f>IFERROR(__xludf.DUMMYFUNCTION("""COMPUTED_VALUE"""),"approved")</f>
        <v>approved</v>
      </c>
      <c r="D108" s="16" t="str">
        <f>IFERROR(__xludf.DUMMYFUNCTION("""COMPUTED_VALUE"""),"No")</f>
        <v>No</v>
      </c>
      <c r="E108" s="16" t="str">
        <f>IFERROR(__xludf.DUMMYFUNCTION("""COMPUTED_VALUE"""),"p_80c898d95a30b8dc1850c564d06128e4c47a97df@inbound.aiesec.org")</f>
        <v>p_80c898d95a30b8dc1850c564d06128e4c47a97df@inbound.aiesec.org</v>
      </c>
      <c r="F108" s="16"/>
      <c r="G108" s="16" t="str">
        <f>IFERROR(__xludf.DUMMYFUNCTION("""COMPUTED_VALUE"""),"Ukraine")</f>
        <v>Ukraine</v>
      </c>
      <c r="H108" s="16" t="str">
        <f>IFERROR(__xludf.DUMMYFUNCTION("""COMPUTED_VALUE"""),"VINNYTSIA")</f>
        <v>VINNYTSIA</v>
      </c>
      <c r="I108" s="16" t="str">
        <f>IFERROR(__xludf.DUMMYFUNCTION("""COMPUTED_VALUE"""),"Turkey")</f>
        <v>Turkey</v>
      </c>
      <c r="J108" s="16" t="str">
        <f>IFERROR(__xludf.DUMMYFUNCTION("""COMPUTED_VALUE"""),"İZMİR")</f>
        <v>İZMİR</v>
      </c>
      <c r="K108" s="17" t="str">
        <f>IFERROR(__xludf.DUMMYFUNCTION("""COMPUTED_VALUE"""),"https://expa.aiesec.org/opportunities/1295240")</f>
        <v>https://expa.aiesec.org/opportunities/1295240</v>
      </c>
      <c r="L108" s="16" t="str">
        <f>IFERROR(__xludf.DUMMYFUNCTION("""COMPUTED_VALUE"""),"GV")</f>
        <v>GV</v>
      </c>
      <c r="M108" s="16" t="str">
        <f>IFERROR(__xludf.DUMMYFUNCTION("""COMPUTED_VALUE"""),"short")</f>
        <v>short</v>
      </c>
      <c r="N108" s="18">
        <f>IFERROR(__xludf.DUMMYFUNCTION("""COMPUTED_VALUE"""),45095.0)</f>
        <v>45095</v>
      </c>
      <c r="O108" s="18">
        <f>IFERROR(__xludf.DUMMYFUNCTION("""COMPUTED_VALUE"""),45152.0)</f>
        <v>45152</v>
      </c>
      <c r="P108" s="18">
        <f>IFERROR(__xludf.DUMMYFUNCTION("""COMPUTED_VALUE"""),45194.0)</f>
        <v>45194</v>
      </c>
      <c r="Q108" s="18"/>
      <c r="R108" s="18"/>
      <c r="S108" s="16"/>
      <c r="T108" s="16"/>
      <c r="U108" s="16" t="str">
        <f>IFERROR(__xludf.DUMMYFUNCTION("""COMPUTED_VALUE"""),"Fingerprint")</f>
        <v>Fingerprint</v>
      </c>
      <c r="V108" s="16" t="str">
        <f>IFERROR(__xludf.DUMMYFUNCTION("""COMPUTED_VALUE"""),"-")</f>
        <v>-</v>
      </c>
      <c r="W108" s="16" t="str">
        <f>IFERROR(__xludf.DUMMYFUNCTION("""COMPUTED_VALUE"""),"2023-06-10T09:41:14Z")</f>
        <v>2023-06-10T09:41:14Z</v>
      </c>
      <c r="X108" s="16"/>
      <c r="Y108" s="16"/>
      <c r="Z108" s="16"/>
    </row>
    <row r="109">
      <c r="A109" s="16" t="str">
        <f>IFERROR(__xludf.DUMMYFUNCTION("""COMPUTED_VALUE"""),"5261484_1296101")</f>
        <v>5261484_1296101</v>
      </c>
      <c r="B109" s="16" t="str">
        <f>IFERROR(__xludf.DUMMYFUNCTION("""COMPUTED_VALUE"""),"Nouran Osama")</f>
        <v>Nouran Osama</v>
      </c>
      <c r="C109" s="16" t="str">
        <f>IFERROR(__xludf.DUMMYFUNCTION("""COMPUTED_VALUE"""),"approved")</f>
        <v>approved</v>
      </c>
      <c r="D109" s="16" t="str">
        <f>IFERROR(__xludf.DUMMYFUNCTION("""COMPUTED_VALUE"""),"No")</f>
        <v>No</v>
      </c>
      <c r="E109" s="16" t="str">
        <f>IFERROR(__xludf.DUMMYFUNCTION("""COMPUTED_VALUE"""),"p_19f8c5d88e4494dc23243a18c5ac0310347e7b64@inbound.aiesec.org")</f>
        <v>p_19f8c5d88e4494dc23243a18c5ac0310347e7b64@inbound.aiesec.org</v>
      </c>
      <c r="F109" s="16">
        <f>IFERROR(__xludf.DUMMYFUNCTION("""COMPUTED_VALUE"""),1.093169849E9)</f>
        <v>1093169849</v>
      </c>
      <c r="G109" s="16" t="str">
        <f>IFERROR(__xludf.DUMMYFUNCTION("""COMPUTED_VALUE"""),"Egypt")</f>
        <v>Egypt</v>
      </c>
      <c r="H109" s="16" t="str">
        <f>IFERROR(__xludf.DUMMYFUNCTION("""COMPUTED_VALUE"""),"Cairo University")</f>
        <v>Cairo University</v>
      </c>
      <c r="I109" s="16" t="str">
        <f>IFERROR(__xludf.DUMMYFUNCTION("""COMPUTED_VALUE"""),"Turkey")</f>
        <v>Turkey</v>
      </c>
      <c r="J109" s="16" t="str">
        <f>IFERROR(__xludf.DUMMYFUNCTION("""COMPUTED_VALUE"""),"ANKARA")</f>
        <v>ANKARA</v>
      </c>
      <c r="K109" s="17" t="str">
        <f>IFERROR(__xludf.DUMMYFUNCTION("""COMPUTED_VALUE"""),"https://expa.aiesec.org/opportunities/1296101")</f>
        <v>https://expa.aiesec.org/opportunities/1296101</v>
      </c>
      <c r="L109" s="16" t="str">
        <f>IFERROR(__xludf.DUMMYFUNCTION("""COMPUTED_VALUE"""),"GV")</f>
        <v>GV</v>
      </c>
      <c r="M109" s="16" t="str">
        <f>IFERROR(__xludf.DUMMYFUNCTION("""COMPUTED_VALUE"""),"short")</f>
        <v>short</v>
      </c>
      <c r="N109" s="18">
        <f>IFERROR(__xludf.DUMMYFUNCTION("""COMPUTED_VALUE"""),45096.0)</f>
        <v>45096</v>
      </c>
      <c r="O109" s="18">
        <f>IFERROR(__xludf.DUMMYFUNCTION("""COMPUTED_VALUE"""),45166.0)</f>
        <v>45166</v>
      </c>
      <c r="P109" s="18">
        <f>IFERROR(__xludf.DUMMYFUNCTION("""COMPUTED_VALUE"""),45208.0)</f>
        <v>45208</v>
      </c>
      <c r="Q109" s="18"/>
      <c r="R109" s="18"/>
      <c r="S109" s="16"/>
      <c r="T109" s="16"/>
      <c r="U109" s="16" t="str">
        <f>IFERROR(__xludf.DUMMYFUNCTION("""COMPUTED_VALUE"""),"Fingerprint")</f>
        <v>Fingerprint</v>
      </c>
      <c r="V109" s="16" t="str">
        <f>IFERROR(__xludf.DUMMYFUNCTION("""COMPUTED_VALUE"""),"Cairo Univeristy")</f>
        <v>Cairo Univeristy</v>
      </c>
      <c r="W109" s="16" t="str">
        <f>IFERROR(__xludf.DUMMYFUNCTION("""COMPUTED_VALUE"""),"2023-05-15T16:49:28Z")</f>
        <v>2023-05-15T16:49:28Z</v>
      </c>
      <c r="X109" s="16"/>
      <c r="Y109" s="16"/>
      <c r="Z109" s="16"/>
    </row>
    <row r="110">
      <c r="A110" s="16" t="str">
        <f>IFERROR(__xludf.DUMMYFUNCTION("""COMPUTED_VALUE"""),"4988053_1295453")</f>
        <v>4988053_1295453</v>
      </c>
      <c r="B110" s="16" t="str">
        <f>IFERROR(__xludf.DUMMYFUNCTION("""COMPUTED_VALUE"""),"Ahsan Waseem Hanif")</f>
        <v>Ahsan Waseem Hanif</v>
      </c>
      <c r="C110" s="16" t="str">
        <f>IFERROR(__xludf.DUMMYFUNCTION("""COMPUTED_VALUE"""),"approved")</f>
        <v>approved</v>
      </c>
      <c r="D110" s="16" t="str">
        <f>IFERROR(__xludf.DUMMYFUNCTION("""COMPUTED_VALUE"""),"No")</f>
        <v>No</v>
      </c>
      <c r="E110" s="16" t="str">
        <f>IFERROR(__xludf.DUMMYFUNCTION("""COMPUTED_VALUE"""),"p_9841ea0c5aee084d69c16a410fb8f21805bfb001@inbound.aiesec.org")</f>
        <v>p_9841ea0c5aee084d69c16a410fb8f21805bfb001@inbound.aiesec.org</v>
      </c>
      <c r="F110" s="16">
        <f>IFERROR(__xludf.DUMMYFUNCTION("""COMPUTED_VALUE"""),3.03301117E9)</f>
        <v>3033011170</v>
      </c>
      <c r="G110" s="16" t="str">
        <f>IFERROR(__xludf.DUMMYFUNCTION("""COMPUTED_VALUE"""),"Pakistan")</f>
        <v>Pakistan</v>
      </c>
      <c r="H110" s="16" t="str">
        <f>IFERROR(__xludf.DUMMYFUNCTION("""COMPUTED_VALUE"""),"IBA")</f>
        <v>IBA</v>
      </c>
      <c r="I110" s="16" t="str">
        <f>IFERROR(__xludf.DUMMYFUNCTION("""COMPUTED_VALUE"""),"Turkey")</f>
        <v>Turkey</v>
      </c>
      <c r="J110" s="16" t="str">
        <f>IFERROR(__xludf.DUMMYFUNCTION("""COMPUTED_VALUE"""),"GAZIANTEP")</f>
        <v>GAZIANTEP</v>
      </c>
      <c r="K110" s="17" t="str">
        <f>IFERROR(__xludf.DUMMYFUNCTION("""COMPUTED_VALUE"""),"https://expa.aiesec.org/opportunities/1295453")</f>
        <v>https://expa.aiesec.org/opportunities/1295453</v>
      </c>
      <c r="L110" s="16" t="str">
        <f>IFERROR(__xludf.DUMMYFUNCTION("""COMPUTED_VALUE"""),"GV")</f>
        <v>GV</v>
      </c>
      <c r="M110" s="16" t="str">
        <f>IFERROR(__xludf.DUMMYFUNCTION("""COMPUTED_VALUE"""),"short")</f>
        <v>short</v>
      </c>
      <c r="N110" s="18">
        <f>IFERROR(__xludf.DUMMYFUNCTION("""COMPUTED_VALUE"""),45098.0)</f>
        <v>45098</v>
      </c>
      <c r="O110" s="18">
        <f>IFERROR(__xludf.DUMMYFUNCTION("""COMPUTED_VALUE"""),45124.0)</f>
        <v>45124</v>
      </c>
      <c r="P110" s="18">
        <f>IFERROR(__xludf.DUMMYFUNCTION("""COMPUTED_VALUE"""),45166.0)</f>
        <v>45166</v>
      </c>
      <c r="Q110" s="18"/>
      <c r="R110" s="18"/>
      <c r="S110" s="16"/>
      <c r="T110" s="16"/>
      <c r="U110" s="16" t="str">
        <f>IFERROR(__xludf.DUMMYFUNCTION("""COMPUTED_VALUE"""),"Global Classroom")</f>
        <v>Global Classroom</v>
      </c>
      <c r="V110" s="16" t="str">
        <f>IFERROR(__xludf.DUMMYFUNCTION("""COMPUTED_VALUE"""),"Karachi - IBA")</f>
        <v>Karachi - IBA</v>
      </c>
      <c r="W110" s="16" t="str">
        <f>IFERROR(__xludf.DUMMYFUNCTION("""COMPUTED_VALUE"""),"2022-03-16T19:34:08Z")</f>
        <v>2022-03-16T19:34:08Z</v>
      </c>
      <c r="X110" s="16"/>
      <c r="Y110" s="16"/>
      <c r="Z110" s="16"/>
    </row>
    <row r="111">
      <c r="A111" s="16" t="str">
        <f>IFERROR(__xludf.DUMMYFUNCTION("""COMPUTED_VALUE"""),"5276161_1296239")</f>
        <v>5276161_1296239</v>
      </c>
      <c r="B111" s="16" t="str">
        <f>IFERROR(__xludf.DUMMYFUNCTION("""COMPUTED_VALUE"""),"arij bougarras")</f>
        <v>arij bougarras</v>
      </c>
      <c r="C111" s="16" t="str">
        <f>IFERROR(__xludf.DUMMYFUNCTION("""COMPUTED_VALUE"""),"approved")</f>
        <v>approved</v>
      </c>
      <c r="D111" s="16" t="str">
        <f>IFERROR(__xludf.DUMMYFUNCTION("""COMPUTED_VALUE"""),"No")</f>
        <v>No</v>
      </c>
      <c r="E111" s="16" t="str">
        <f>IFERROR(__xludf.DUMMYFUNCTION("""COMPUTED_VALUE"""),"p_f1bb2556cc76de7b5620e1d0db4bc1cc6b8c98c8@inbound.aiesec.org")</f>
        <v>p_f1bb2556cc76de7b5620e1d0db4bc1cc6b8c98c8@inbound.aiesec.org</v>
      </c>
      <c r="F111" s="16">
        <f>IFERROR(__xludf.DUMMYFUNCTION("""COMPUTED_VALUE"""),2.3622554E7)</f>
        <v>23622554</v>
      </c>
      <c r="G111" s="16" t="str">
        <f>IFERROR(__xludf.DUMMYFUNCTION("""COMPUTED_VALUE"""),"Tunisia")</f>
        <v>Tunisia</v>
      </c>
      <c r="H111" s="16" t="str">
        <f>IFERROR(__xludf.DUMMYFUNCTION("""COMPUTED_VALUE"""),"UNIVERSITY")</f>
        <v>UNIVERSITY</v>
      </c>
      <c r="I111" s="16" t="str">
        <f>IFERROR(__xludf.DUMMYFUNCTION("""COMPUTED_VALUE"""),"Turkey")</f>
        <v>Turkey</v>
      </c>
      <c r="J111" s="16" t="str">
        <f>IFERROR(__xludf.DUMMYFUNCTION("""COMPUTED_VALUE"""),"GAZIANTEP")</f>
        <v>GAZIANTEP</v>
      </c>
      <c r="K111" s="17" t="str">
        <f>IFERROR(__xludf.DUMMYFUNCTION("""COMPUTED_VALUE"""),"https://expa.aiesec.org/opportunities/1296239")</f>
        <v>https://expa.aiesec.org/opportunities/1296239</v>
      </c>
      <c r="L111" s="16" t="str">
        <f>IFERROR(__xludf.DUMMYFUNCTION("""COMPUTED_VALUE"""),"GV")</f>
        <v>GV</v>
      </c>
      <c r="M111" s="16" t="str">
        <f>IFERROR(__xludf.DUMMYFUNCTION("""COMPUTED_VALUE"""),"short")</f>
        <v>short</v>
      </c>
      <c r="N111" s="18">
        <f>IFERROR(__xludf.DUMMYFUNCTION("""COMPUTED_VALUE"""),45099.0)</f>
        <v>45099</v>
      </c>
      <c r="O111" s="18">
        <f>IFERROR(__xludf.DUMMYFUNCTION("""COMPUTED_VALUE"""),45145.0)</f>
        <v>45145</v>
      </c>
      <c r="P111" s="18">
        <f>IFERROR(__xludf.DUMMYFUNCTION("""COMPUTED_VALUE"""),45187.0)</f>
        <v>45187</v>
      </c>
      <c r="Q111" s="18"/>
      <c r="R111" s="18"/>
      <c r="S111" s="16"/>
      <c r="T111" s="16"/>
      <c r="U111" s="16" t="str">
        <f>IFERROR(__xludf.DUMMYFUNCTION("""COMPUTED_VALUE"""),"Global Classroom")</f>
        <v>Global Classroom</v>
      </c>
      <c r="V111" s="16" t="str">
        <f>IFERROR(__xludf.DUMMYFUNCTION("""COMPUTED_VALUE"""),"FST")</f>
        <v>FST</v>
      </c>
      <c r="W111" s="16" t="str">
        <f>IFERROR(__xludf.DUMMYFUNCTION("""COMPUTED_VALUE"""),"2023-06-16T21:03:36Z")</f>
        <v>2023-06-16T21:03:36Z</v>
      </c>
      <c r="X111" s="16"/>
      <c r="Y111" s="16"/>
      <c r="Z111" s="16"/>
    </row>
    <row r="112">
      <c r="A112" s="16" t="str">
        <f>IFERROR(__xludf.DUMMYFUNCTION("""COMPUTED_VALUE"""),"5276180_1296105")</f>
        <v>5276180_1296105</v>
      </c>
      <c r="B112" s="16" t="str">
        <f>IFERROR(__xludf.DUMMYFUNCTION("""COMPUTED_VALUE"""),"Mostafa Mahmoud")</f>
        <v>Mostafa Mahmoud</v>
      </c>
      <c r="C112" s="16" t="str">
        <f>IFERROR(__xludf.DUMMYFUNCTION("""COMPUTED_VALUE"""),"approved")</f>
        <v>approved</v>
      </c>
      <c r="D112" s="16" t="str">
        <f>IFERROR(__xludf.DUMMYFUNCTION("""COMPUTED_VALUE"""),"No")</f>
        <v>No</v>
      </c>
      <c r="E112" s="16" t="str">
        <f>IFERROR(__xludf.DUMMYFUNCTION("""COMPUTED_VALUE"""),"p_b0366010d748c319ed5bbce24574ae1349ca503c@inbound.aiesec.org")</f>
        <v>p_b0366010d748c319ed5bbce24574ae1349ca503c@inbound.aiesec.org</v>
      </c>
      <c r="F112" s="16">
        <f>IFERROR(__xludf.DUMMYFUNCTION("""COMPUTED_VALUE"""),1.006529006E9)</f>
        <v>1006529006</v>
      </c>
      <c r="G112" s="16" t="str">
        <f>IFERROR(__xludf.DUMMYFUNCTION("""COMPUTED_VALUE"""),"Egypt")</f>
        <v>Egypt</v>
      </c>
      <c r="H112" s="16" t="str">
        <f>IFERROR(__xludf.DUMMYFUNCTION("""COMPUTED_VALUE"""),"Alexandria")</f>
        <v>Alexandria</v>
      </c>
      <c r="I112" s="16" t="str">
        <f>IFERROR(__xludf.DUMMYFUNCTION("""COMPUTED_VALUE"""),"Turkey")</f>
        <v>Turkey</v>
      </c>
      <c r="J112" s="16" t="str">
        <f>IFERROR(__xludf.DUMMYFUNCTION("""COMPUTED_VALUE"""),"ANKARA")</f>
        <v>ANKARA</v>
      </c>
      <c r="K112" s="17" t="str">
        <f>IFERROR(__xludf.DUMMYFUNCTION("""COMPUTED_VALUE"""),"https://expa.aiesec.org/opportunities/1296105")</f>
        <v>https://expa.aiesec.org/opportunities/1296105</v>
      </c>
      <c r="L112" s="16" t="str">
        <f>IFERROR(__xludf.DUMMYFUNCTION("""COMPUTED_VALUE"""),"GV")</f>
        <v>GV</v>
      </c>
      <c r="M112" s="16" t="str">
        <f>IFERROR(__xludf.DUMMYFUNCTION("""COMPUTED_VALUE"""),"short")</f>
        <v>short</v>
      </c>
      <c r="N112" s="18">
        <f>IFERROR(__xludf.DUMMYFUNCTION("""COMPUTED_VALUE"""),45101.0)</f>
        <v>45101</v>
      </c>
      <c r="O112" s="18">
        <f>IFERROR(__xludf.DUMMYFUNCTION("""COMPUTED_VALUE"""),45180.0)</f>
        <v>45180</v>
      </c>
      <c r="P112" s="18">
        <f>IFERROR(__xludf.DUMMYFUNCTION("""COMPUTED_VALUE"""),45222.0)</f>
        <v>45222</v>
      </c>
      <c r="Q112" s="18"/>
      <c r="R112" s="18"/>
      <c r="S112" s="16"/>
      <c r="T112" s="16"/>
      <c r="U112" s="16" t="str">
        <f>IFERROR(__xludf.DUMMYFUNCTION("""COMPUTED_VALUE"""),"Fingerprint")</f>
        <v>Fingerprint</v>
      </c>
      <c r="V112" s="16" t="str">
        <f>IFERROR(__xludf.DUMMYFUNCTION("""COMPUTED_VALUE"""),"Alexandria University")</f>
        <v>Alexandria University</v>
      </c>
      <c r="W112" s="16" t="str">
        <f>IFERROR(__xludf.DUMMYFUNCTION("""COMPUTED_VALUE"""),"2023-06-16T21:30:25Z")</f>
        <v>2023-06-16T21:30:25Z</v>
      </c>
      <c r="X112" s="16"/>
      <c r="Y112" s="16"/>
      <c r="Z112" s="16"/>
    </row>
    <row r="113">
      <c r="A113" s="16" t="str">
        <f>IFERROR(__xludf.DUMMYFUNCTION("""COMPUTED_VALUE"""),"5277210_1280872")</f>
        <v>5277210_1280872</v>
      </c>
      <c r="B113" s="16" t="str">
        <f>IFERROR(__xludf.DUMMYFUNCTION("""COMPUTED_VALUE"""),"lallouani sanaa")</f>
        <v>lallouani sanaa</v>
      </c>
      <c r="C113" s="16" t="str">
        <f>IFERROR(__xludf.DUMMYFUNCTION("""COMPUTED_VALUE"""),"approved")</f>
        <v>approved</v>
      </c>
      <c r="D113" s="16" t="str">
        <f>IFERROR(__xludf.DUMMYFUNCTION("""COMPUTED_VALUE"""),"No")</f>
        <v>No</v>
      </c>
      <c r="E113" s="16" t="str">
        <f>IFERROR(__xludf.DUMMYFUNCTION("""COMPUTED_VALUE"""),"p_2865471ad8e6ba04ea4b85069b66f97ef9119f26@inbound.aiesec.org")</f>
        <v>p_2865471ad8e6ba04ea4b85069b66f97ef9119f26@inbound.aiesec.org</v>
      </c>
      <c r="F113" s="16">
        <f>IFERROR(__xludf.DUMMYFUNCTION("""COMPUTED_VALUE"""),6.75286183E8)</f>
        <v>675286183</v>
      </c>
      <c r="G113" s="16" t="str">
        <f>IFERROR(__xludf.DUMMYFUNCTION("""COMPUTED_VALUE"""),"Algeria")</f>
        <v>Algeria</v>
      </c>
      <c r="H113" s="16" t="str">
        <f>IFERROR(__xludf.DUMMYFUNCTION("""COMPUTED_VALUE"""),"Oran")</f>
        <v>Oran</v>
      </c>
      <c r="I113" s="16" t="str">
        <f>IFERROR(__xludf.DUMMYFUNCTION("""COMPUTED_VALUE"""),"Turkey")</f>
        <v>Turkey</v>
      </c>
      <c r="J113" s="16" t="str">
        <f>IFERROR(__xludf.DUMMYFUNCTION("""COMPUTED_VALUE"""),"KOCAELI")</f>
        <v>KOCAELI</v>
      </c>
      <c r="K113" s="17" t="str">
        <f>IFERROR(__xludf.DUMMYFUNCTION("""COMPUTED_VALUE"""),"https://expa.aiesec.org/opportunities/1280872")</f>
        <v>https://expa.aiesec.org/opportunities/1280872</v>
      </c>
      <c r="L113" s="16" t="str">
        <f>IFERROR(__xludf.DUMMYFUNCTION("""COMPUTED_VALUE"""),"GV")</f>
        <v>GV</v>
      </c>
      <c r="M113" s="16" t="str">
        <f>IFERROR(__xludf.DUMMYFUNCTION("""COMPUTED_VALUE"""),"short")</f>
        <v>short</v>
      </c>
      <c r="N113" s="18">
        <f>IFERROR(__xludf.DUMMYFUNCTION("""COMPUTED_VALUE"""),45104.0)</f>
        <v>45104</v>
      </c>
      <c r="O113" s="18">
        <f>IFERROR(__xludf.DUMMYFUNCTION("""COMPUTED_VALUE"""),45145.0)</f>
        <v>45145</v>
      </c>
      <c r="P113" s="18">
        <f>IFERROR(__xludf.DUMMYFUNCTION("""COMPUTED_VALUE"""),45187.0)</f>
        <v>45187</v>
      </c>
      <c r="Q113" s="18"/>
      <c r="R113" s="18"/>
      <c r="S113" s="16"/>
      <c r="T113" s="16"/>
      <c r="U113" s="16" t="str">
        <f>IFERROR(__xludf.DUMMYFUNCTION("""COMPUTED_VALUE"""),"Skill Up!")</f>
        <v>Skill Up!</v>
      </c>
      <c r="V113" s="16" t="str">
        <f>IFERROR(__xludf.DUMMYFUNCTION("""COMPUTED_VALUE"""),"AIESEC in Oran")</f>
        <v>AIESEC in Oran</v>
      </c>
      <c r="W113" s="16" t="str">
        <f>IFERROR(__xludf.DUMMYFUNCTION("""COMPUTED_VALUE"""),"2023-06-19T19:50:51Z")</f>
        <v>2023-06-19T19:50:51Z</v>
      </c>
      <c r="X113" s="16"/>
      <c r="Y113" s="16"/>
      <c r="Z113" s="16"/>
    </row>
    <row r="114">
      <c r="A114" s="16" t="str">
        <f>IFERROR(__xludf.DUMMYFUNCTION("""COMPUTED_VALUE"""),"5278451_1296118")</f>
        <v>5278451_1296118</v>
      </c>
      <c r="B114" s="16" t="str">
        <f>IFERROR(__xludf.DUMMYFUNCTION("""COMPUTED_VALUE"""),"Hla Zahran")</f>
        <v>Hla Zahran</v>
      </c>
      <c r="C114" s="16" t="str">
        <f>IFERROR(__xludf.DUMMYFUNCTION("""COMPUTED_VALUE"""),"approved")</f>
        <v>approved</v>
      </c>
      <c r="D114" s="16" t="str">
        <f>IFERROR(__xludf.DUMMYFUNCTION("""COMPUTED_VALUE"""),"No")</f>
        <v>No</v>
      </c>
      <c r="E114" s="16" t="str">
        <f>IFERROR(__xludf.DUMMYFUNCTION("""COMPUTED_VALUE"""),"p_3fbd57c58cfbf9cc2d034e793b5aaa7605d53e8a@inbound.aiesec.org")</f>
        <v>p_3fbd57c58cfbf9cc2d034e793b5aaa7605d53e8a@inbound.aiesec.org</v>
      </c>
      <c r="F114" s="16">
        <f>IFERROR(__xludf.DUMMYFUNCTION("""COMPUTED_VALUE"""),1.22474521E9)</f>
        <v>1224745210</v>
      </c>
      <c r="G114" s="16" t="str">
        <f>IFERROR(__xludf.DUMMYFUNCTION("""COMPUTED_VALUE"""),"Egypt")</f>
        <v>Egypt</v>
      </c>
      <c r="H114" s="16" t="str">
        <f>IFERROR(__xludf.DUMMYFUNCTION("""COMPUTED_VALUE"""),"Ain Shams University")</f>
        <v>Ain Shams University</v>
      </c>
      <c r="I114" s="16" t="str">
        <f>IFERROR(__xludf.DUMMYFUNCTION("""COMPUTED_VALUE"""),"Turkey")</f>
        <v>Turkey</v>
      </c>
      <c r="J114" s="16" t="str">
        <f>IFERROR(__xludf.DUMMYFUNCTION("""COMPUTED_VALUE"""),"ISTANBUL WEST")</f>
        <v>ISTANBUL WEST</v>
      </c>
      <c r="K114" s="17" t="str">
        <f>IFERROR(__xludf.DUMMYFUNCTION("""COMPUTED_VALUE"""),"https://expa.aiesec.org/opportunities/1296118")</f>
        <v>https://expa.aiesec.org/opportunities/1296118</v>
      </c>
      <c r="L114" s="16" t="str">
        <f>IFERROR(__xludf.DUMMYFUNCTION("""COMPUTED_VALUE"""),"GV")</f>
        <v>GV</v>
      </c>
      <c r="M114" s="16" t="str">
        <f>IFERROR(__xludf.DUMMYFUNCTION("""COMPUTED_VALUE"""),"short")</f>
        <v>short</v>
      </c>
      <c r="N114" s="18">
        <f>IFERROR(__xludf.DUMMYFUNCTION("""COMPUTED_VALUE"""),45105.0)</f>
        <v>45105</v>
      </c>
      <c r="O114" s="18">
        <f>IFERROR(__xludf.DUMMYFUNCTION("""COMPUTED_VALUE"""),45159.0)</f>
        <v>45159</v>
      </c>
      <c r="P114" s="18">
        <f>IFERROR(__xludf.DUMMYFUNCTION("""COMPUTED_VALUE"""),45201.0)</f>
        <v>45201</v>
      </c>
      <c r="Q114" s="18"/>
      <c r="R114" s="18"/>
      <c r="S114" s="16"/>
      <c r="T114" s="16"/>
      <c r="U114" s="16" t="str">
        <f>IFERROR(__xludf.DUMMYFUNCTION("""COMPUTED_VALUE"""),"Fingerprint")</f>
        <v>Fingerprint</v>
      </c>
      <c r="V114" s="16" t="str">
        <f>IFERROR(__xludf.DUMMYFUNCTION("""COMPUTED_VALUE"""),"Ain Shams University")</f>
        <v>Ain Shams University</v>
      </c>
      <c r="W114" s="16" t="str">
        <f>IFERROR(__xludf.DUMMYFUNCTION("""COMPUTED_VALUE"""),"2023-06-22T18:05:18Z")</f>
        <v>2023-06-22T18:05:18Z</v>
      </c>
      <c r="X114" s="16"/>
      <c r="Y114" s="16"/>
      <c r="Z114" s="16"/>
    </row>
    <row r="115">
      <c r="A115" s="16" t="str">
        <f>IFERROR(__xludf.DUMMYFUNCTION("""COMPUTED_VALUE"""),"5278068_1294622")</f>
        <v>5278068_1294622</v>
      </c>
      <c r="B115" s="16" t="str">
        <f>IFERROR(__xludf.DUMMYFUNCTION("""COMPUTED_VALUE"""),"Alina Voitiuk")</f>
        <v>Alina Voitiuk</v>
      </c>
      <c r="C115" s="16" t="str">
        <f>IFERROR(__xludf.DUMMYFUNCTION("""COMPUTED_VALUE"""),"approved")</f>
        <v>approved</v>
      </c>
      <c r="D115" s="16" t="str">
        <f>IFERROR(__xludf.DUMMYFUNCTION("""COMPUTED_VALUE"""),"No")</f>
        <v>No</v>
      </c>
      <c r="E115" s="16" t="str">
        <f>IFERROR(__xludf.DUMMYFUNCTION("""COMPUTED_VALUE"""),"p_396f7e71ec074ac557b9a328959f57928bbe76db@inbound.aiesec.org")</f>
        <v>p_396f7e71ec074ac557b9a328959f57928bbe76db@inbound.aiesec.org</v>
      </c>
      <c r="F115" s="16">
        <f>IFERROR(__xludf.DUMMYFUNCTION("""COMPUTED_VALUE"""),5.04266466E8)</f>
        <v>504266466</v>
      </c>
      <c r="G115" s="16" t="str">
        <f>IFERROR(__xludf.DUMMYFUNCTION("""COMPUTED_VALUE"""),"Ukraine")</f>
        <v>Ukraine</v>
      </c>
      <c r="H115" s="16" t="str">
        <f>IFERROR(__xludf.DUMMYFUNCTION("""COMPUTED_VALUE"""),"KHARKIV")</f>
        <v>KHARKIV</v>
      </c>
      <c r="I115" s="16" t="str">
        <f>IFERROR(__xludf.DUMMYFUNCTION("""COMPUTED_VALUE"""),"Turkey")</f>
        <v>Turkey</v>
      </c>
      <c r="J115" s="16" t="str">
        <f>IFERROR(__xludf.DUMMYFUNCTION("""COMPUTED_VALUE"""),"ADANA")</f>
        <v>ADANA</v>
      </c>
      <c r="K115" s="17" t="str">
        <f>IFERROR(__xludf.DUMMYFUNCTION("""COMPUTED_VALUE"""),"https://expa.aiesec.org/opportunities/1294622")</f>
        <v>https://expa.aiesec.org/opportunities/1294622</v>
      </c>
      <c r="L115" s="16" t="str">
        <f>IFERROR(__xludf.DUMMYFUNCTION("""COMPUTED_VALUE"""),"GV")</f>
        <v>GV</v>
      </c>
      <c r="M115" s="16" t="str">
        <f>IFERROR(__xludf.DUMMYFUNCTION("""COMPUTED_VALUE"""),"short")</f>
        <v>short</v>
      </c>
      <c r="N115" s="18">
        <f>IFERROR(__xludf.DUMMYFUNCTION("""COMPUTED_VALUE"""),45105.0)</f>
        <v>45105</v>
      </c>
      <c r="O115" s="18">
        <f>IFERROR(__xludf.DUMMYFUNCTION("""COMPUTED_VALUE"""),45145.0)</f>
        <v>45145</v>
      </c>
      <c r="P115" s="18">
        <f>IFERROR(__xludf.DUMMYFUNCTION("""COMPUTED_VALUE"""),45191.0)</f>
        <v>45191</v>
      </c>
      <c r="Q115" s="18"/>
      <c r="R115" s="18"/>
      <c r="S115" s="16"/>
      <c r="T115" s="16"/>
      <c r="U115" s="16" t="str">
        <f>IFERROR(__xludf.DUMMYFUNCTION("""COMPUTED_VALUE"""),"Equify")</f>
        <v>Equify</v>
      </c>
      <c r="V115" s="16" t="str">
        <f>IFERROR(__xludf.DUMMYFUNCTION("""COMPUTED_VALUE"""),"Kyiv")</f>
        <v>Kyiv</v>
      </c>
      <c r="W115" s="16" t="str">
        <f>IFERROR(__xludf.DUMMYFUNCTION("""COMPUTED_VALUE"""),"2023-06-21T17:02:06Z")</f>
        <v>2023-06-21T17:02:06Z</v>
      </c>
      <c r="X115" s="16"/>
      <c r="Y115" s="16"/>
      <c r="Z115" s="16"/>
    </row>
    <row r="116">
      <c r="A116" s="16" t="str">
        <f>IFERROR(__xludf.DUMMYFUNCTION("""COMPUTED_VALUE"""),"5221810_1295240")</f>
        <v>5221810_1295240</v>
      </c>
      <c r="B116" s="16" t="str">
        <f>IFERROR(__xludf.DUMMYFUNCTION("""COMPUTED_VALUE"""),"Antonio Florin Stancu")</f>
        <v>Antonio Florin Stancu</v>
      </c>
      <c r="C116" s="16" t="str">
        <f>IFERROR(__xludf.DUMMYFUNCTION("""COMPUTED_VALUE"""),"approved")</f>
        <v>approved</v>
      </c>
      <c r="D116" s="16" t="str">
        <f>IFERROR(__xludf.DUMMYFUNCTION("""COMPUTED_VALUE"""),"No")</f>
        <v>No</v>
      </c>
      <c r="E116" s="16" t="str">
        <f>IFERROR(__xludf.DUMMYFUNCTION("""COMPUTED_VALUE"""),"p_173bcc46a25fb7ad6220232ba53e07e31470883e@inbound.aiesec.org")</f>
        <v>p_173bcc46a25fb7ad6220232ba53e07e31470883e@inbound.aiesec.org</v>
      </c>
      <c r="F116" s="16"/>
      <c r="G116" s="16" t="str">
        <f>IFERROR(__xludf.DUMMYFUNCTION("""COMPUTED_VALUE"""),"Romania")</f>
        <v>Romania</v>
      </c>
      <c r="H116" s="16" t="str">
        <f>IFERROR(__xludf.DUMMYFUNCTION("""COMPUTED_VALUE"""),"University of Bucharest")</f>
        <v>University of Bucharest</v>
      </c>
      <c r="I116" s="16" t="str">
        <f>IFERROR(__xludf.DUMMYFUNCTION("""COMPUTED_VALUE"""),"Turkey")</f>
        <v>Turkey</v>
      </c>
      <c r="J116" s="16" t="str">
        <f>IFERROR(__xludf.DUMMYFUNCTION("""COMPUTED_VALUE"""),"İZMİR")</f>
        <v>İZMİR</v>
      </c>
      <c r="K116" s="17" t="str">
        <f>IFERROR(__xludf.DUMMYFUNCTION("""COMPUTED_VALUE"""),"https://expa.aiesec.org/opportunities/1295240")</f>
        <v>https://expa.aiesec.org/opportunities/1295240</v>
      </c>
      <c r="L116" s="16" t="str">
        <f>IFERROR(__xludf.DUMMYFUNCTION("""COMPUTED_VALUE"""),"GV")</f>
        <v>GV</v>
      </c>
      <c r="M116" s="16" t="str">
        <f>IFERROR(__xludf.DUMMYFUNCTION("""COMPUTED_VALUE"""),"short")</f>
        <v>short</v>
      </c>
      <c r="N116" s="18">
        <f>IFERROR(__xludf.DUMMYFUNCTION("""COMPUTED_VALUE"""),45106.0)</f>
        <v>45106</v>
      </c>
      <c r="O116" s="18">
        <f>IFERROR(__xludf.DUMMYFUNCTION("""COMPUTED_VALUE"""),45194.0)</f>
        <v>45194</v>
      </c>
      <c r="P116" s="18">
        <f>IFERROR(__xludf.DUMMYFUNCTION("""COMPUTED_VALUE"""),45236.0)</f>
        <v>45236</v>
      </c>
      <c r="Q116" s="18"/>
      <c r="R116" s="18"/>
      <c r="S116" s="16"/>
      <c r="T116" s="16"/>
      <c r="U116" s="16" t="str">
        <f>IFERROR(__xludf.DUMMYFUNCTION("""COMPUTED_VALUE"""),"Fingerprint")</f>
        <v>Fingerprint</v>
      </c>
      <c r="V116" s="16" t="str">
        <f>IFERROR(__xludf.DUMMYFUNCTION("""COMPUTED_VALUE"""),"-")</f>
        <v>-</v>
      </c>
      <c r="W116" s="16" t="str">
        <f>IFERROR(__xludf.DUMMYFUNCTION("""COMPUTED_VALUE"""),"2023-03-20T15:22:37Z")</f>
        <v>2023-03-20T15:22:37Z</v>
      </c>
      <c r="X116" s="16"/>
      <c r="Y116" s="16"/>
      <c r="Z116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</hyperlinks>
  <drawing r:id="rId11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&gt;=date'2021-02-01' and N &lt;date'2023-02-01'and C = 'approved' and I = 'Turkey' and L = 'GV' and O &lt;=date'2023-08-01' 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IFERROR(__xludf.DUMMYFUNCTION("""COMPUTED_VALUE"""),"4534111_1286326")</f>
        <v>4534111_1286326</v>
      </c>
      <c r="B2" s="16" t="str">
        <f>IFERROR(__xludf.DUMMYFUNCTION("""COMPUTED_VALUE"""),"Kelvin Santos Oliveira")</f>
        <v>Kelvin Santos Oliveira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IFERROR(__xludf.DUMMYFUNCTION("""COMPUTED_VALUE"""),"p_2acaeafa25004a0a7de1d6b197ad0fcd2cedc866@inbound.aiesec.org")</f>
        <v>p_2acaeafa25004a0a7de1d6b197ad0fcd2cedc866@inbound.aiesec.org</v>
      </c>
      <c r="F2" s="16"/>
      <c r="G2" s="16" t="str">
        <f>IFERROR(__xludf.DUMMYFUNCTION("""COMPUTED_VALUE"""),"Brazil")</f>
        <v>Brazil</v>
      </c>
      <c r="H2" s="16" t="str">
        <f>IFERROR(__xludf.DUMMYFUNCTION("""COMPUTED_VALUE"""),"CURITIBA")</f>
        <v>CURITIBA</v>
      </c>
      <c r="I2" s="16" t="str">
        <f>IFERROR(__xludf.DUMMYFUNCTION("""COMPUTED_VALUE"""),"Turkey")</f>
        <v>Turkey</v>
      </c>
      <c r="J2" s="16" t="str">
        <f>IFERROR(__xludf.DUMMYFUNCTION("""COMPUTED_VALUE"""),"ADANA")</f>
        <v>ADANA</v>
      </c>
      <c r="K2" s="17" t="str">
        <f>IFERROR(__xludf.DUMMYFUNCTION("""COMPUTED_VALUE"""),"https://expa.aiesec.org/opportunities/1286326")</f>
        <v>https://expa.aiesec.org/opportunities/1286326</v>
      </c>
      <c r="L2" s="16" t="str">
        <f>IFERROR(__xludf.DUMMYFUNCTION("""COMPUTED_VALUE"""),"GV")</f>
        <v>GV</v>
      </c>
      <c r="M2" s="16" t="str">
        <f>IFERROR(__xludf.DUMMYFUNCTION("""COMPUTED_VALUE"""),"short")</f>
        <v>short</v>
      </c>
      <c r="N2" s="18">
        <f>IFERROR(__xludf.DUMMYFUNCTION("""COMPUTED_VALUE"""),44769.0)</f>
        <v>44769</v>
      </c>
      <c r="O2" s="18">
        <f>IFERROR(__xludf.DUMMYFUNCTION("""COMPUTED_VALUE"""),45061.0)</f>
        <v>45061</v>
      </c>
      <c r="P2" s="18">
        <f>IFERROR(__xludf.DUMMYFUNCTION("""COMPUTED_VALUE"""),45107.0)</f>
        <v>45107</v>
      </c>
      <c r="Q2" s="18"/>
      <c r="R2" s="18"/>
      <c r="S2" s="16"/>
      <c r="T2" s="16"/>
      <c r="U2" s="16" t="str">
        <f>IFERROR(__xludf.DUMMYFUNCTION("""COMPUTED_VALUE"""),"Equify")</f>
        <v>Equify</v>
      </c>
      <c r="V2" s="16" t="str">
        <f>IFERROR(__xludf.DUMMYFUNCTION("""COMPUTED_VALUE"""),"Curitiba")</f>
        <v>Curitiba</v>
      </c>
      <c r="W2" s="16" t="str">
        <f>IFERROR(__xludf.DUMMYFUNCTION("""COMPUTED_VALUE"""),"2021-02-05T00:56:38Z")</f>
        <v>2021-02-05T00:56:38Z</v>
      </c>
      <c r="X2" s="16"/>
      <c r="Y2" s="16"/>
      <c r="Z2" s="16"/>
    </row>
    <row r="3">
      <c r="A3" s="16" t="str">
        <f>IFERROR(__xludf.DUMMYFUNCTION("""COMPUTED_VALUE"""),"5094398_1289016")</f>
        <v>5094398_1289016</v>
      </c>
      <c r="B3" s="16" t="str">
        <f>IFERROR(__xludf.DUMMYFUNCTION("""COMPUTED_VALUE"""),"Eranga Bowatte")</f>
        <v>Eranga Bowatte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IFERROR(__xludf.DUMMYFUNCTION("""COMPUTED_VALUE"""),"p_fbb20fdc68db522fab411da2e1e38b17a08207ae@inbound.aiesec.org")</f>
        <v>p_fbb20fdc68db522fab411da2e1e38b17a08207ae@inbound.aiesec.org</v>
      </c>
      <c r="F3" s="16">
        <f>IFERROR(__xludf.DUMMYFUNCTION("""COMPUTED_VALUE"""),7.65900817E8)</f>
        <v>765900817</v>
      </c>
      <c r="G3" s="16" t="str">
        <f>IFERROR(__xludf.DUMMYFUNCTION("""COMPUTED_VALUE"""),"Sri Lanka")</f>
        <v>Sri Lanka</v>
      </c>
      <c r="H3" s="16" t="str">
        <f>IFERROR(__xludf.DUMMYFUNCTION("""COMPUTED_VALUE"""),"SLIIT")</f>
        <v>SLIIT</v>
      </c>
      <c r="I3" s="16" t="str">
        <f>IFERROR(__xludf.DUMMYFUNCTION("""COMPUTED_VALUE"""),"Turkey")</f>
        <v>Turkey</v>
      </c>
      <c r="J3" s="16" t="str">
        <f>IFERROR(__xludf.DUMMYFUNCTION("""COMPUTED_VALUE"""),"KUTAHYA")</f>
        <v>KUTAHYA</v>
      </c>
      <c r="K3" s="17" t="str">
        <f>IFERROR(__xludf.DUMMYFUNCTION("""COMPUTED_VALUE"""),"https://expa.aiesec.org/opportunities/1289016")</f>
        <v>https://expa.aiesec.org/opportunities/1289016</v>
      </c>
      <c r="L3" s="16" t="str">
        <f>IFERROR(__xludf.DUMMYFUNCTION("""COMPUTED_VALUE"""),"GV")</f>
        <v>GV</v>
      </c>
      <c r="M3" s="16" t="str">
        <f>IFERROR(__xludf.DUMMYFUNCTION("""COMPUTED_VALUE"""),"short")</f>
        <v>short</v>
      </c>
      <c r="N3" s="18">
        <f>IFERROR(__xludf.DUMMYFUNCTION("""COMPUTED_VALUE"""),44806.0)</f>
        <v>44806</v>
      </c>
      <c r="O3" s="18">
        <f>IFERROR(__xludf.DUMMYFUNCTION("""COMPUTED_VALUE"""),44924.0)</f>
        <v>44924</v>
      </c>
      <c r="P3" s="18">
        <f>IFERROR(__xludf.DUMMYFUNCTION("""COMPUTED_VALUE"""),44966.0)</f>
        <v>44966</v>
      </c>
      <c r="Q3" s="18"/>
      <c r="R3" s="18"/>
      <c r="S3" s="16"/>
      <c r="T3" s="16"/>
      <c r="U3" s="16" t="str">
        <f>IFERROR(__xludf.DUMMYFUNCTION("""COMPUTED_VALUE"""),"Global Classroom")</f>
        <v>Global Classroom</v>
      </c>
      <c r="V3" s="16" t="str">
        <f>IFERROR(__xludf.DUMMYFUNCTION("""COMPUTED_VALUE"""),"SLIIT")</f>
        <v>SLIIT</v>
      </c>
      <c r="W3" s="16" t="str">
        <f>IFERROR(__xludf.DUMMYFUNCTION("""COMPUTED_VALUE"""),"2022-08-17T12:03:00Z")</f>
        <v>2022-08-17T12:03:00Z</v>
      </c>
      <c r="X3" s="16"/>
      <c r="Y3" s="16"/>
      <c r="Z3" s="16"/>
    </row>
    <row r="4">
      <c r="A4" s="16" t="str">
        <f>IFERROR(__xludf.DUMMYFUNCTION("""COMPUTED_VALUE"""),"5089140_1288663")</f>
        <v>5089140_1288663</v>
      </c>
      <c r="B4" s="16" t="str">
        <f>IFERROR(__xludf.DUMMYFUNCTION("""COMPUTED_VALUE"""),"Hafssa Chtouki")</f>
        <v>Hafssa Chtouki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IFERROR(__xludf.DUMMYFUNCTION("""COMPUTED_VALUE"""),"p_74b19c33df765c266f177989cae39c74f17b44b6@inbound.aiesec.org")</f>
        <v>p_74b19c33df765c266f177989cae39c74f17b44b6@inbound.aiesec.org</v>
      </c>
      <c r="F4" s="16">
        <f>IFERROR(__xludf.DUMMYFUNCTION("""COMPUTED_VALUE"""),7.00503287E8)</f>
        <v>700503287</v>
      </c>
      <c r="G4" s="16" t="str">
        <f>IFERROR(__xludf.DUMMYFUNCTION("""COMPUTED_VALUE"""),"Morocco")</f>
        <v>Morocco</v>
      </c>
      <c r="H4" s="16" t="str">
        <f>IFERROR(__xludf.DUMMYFUNCTION("""COMPUTED_VALUE"""),"Tangier")</f>
        <v>Tangier</v>
      </c>
      <c r="I4" s="16" t="str">
        <f>IFERROR(__xludf.DUMMYFUNCTION("""COMPUTED_VALUE"""),"Turkey")</f>
        <v>Turkey</v>
      </c>
      <c r="J4" s="16" t="str">
        <f>IFERROR(__xludf.DUMMYFUNCTION("""COMPUTED_VALUE"""),"İZMİR")</f>
        <v>İZMİR</v>
      </c>
      <c r="K4" s="17" t="str">
        <f>IFERROR(__xludf.DUMMYFUNCTION("""COMPUTED_VALUE"""),"https://expa.aiesec.org/opportunities/1288663")</f>
        <v>https://expa.aiesec.org/opportunities/1288663</v>
      </c>
      <c r="L4" s="16" t="str">
        <f>IFERROR(__xludf.DUMMYFUNCTION("""COMPUTED_VALUE"""),"GV")</f>
        <v>GV</v>
      </c>
      <c r="M4" s="16" t="str">
        <f>IFERROR(__xludf.DUMMYFUNCTION("""COMPUTED_VALUE"""),"short")</f>
        <v>short</v>
      </c>
      <c r="N4" s="18">
        <f>IFERROR(__xludf.DUMMYFUNCTION("""COMPUTED_VALUE"""),44809.0)</f>
        <v>44809</v>
      </c>
      <c r="O4" s="18">
        <f>IFERROR(__xludf.DUMMYFUNCTION("""COMPUTED_VALUE"""),44983.0)</f>
        <v>44983</v>
      </c>
      <c r="P4" s="18">
        <f>IFERROR(__xludf.DUMMYFUNCTION("""COMPUTED_VALUE"""),45025.0)</f>
        <v>45025</v>
      </c>
      <c r="Q4" s="18"/>
      <c r="R4" s="18"/>
      <c r="S4" s="16"/>
      <c r="T4" s="16"/>
      <c r="U4" s="16" t="str">
        <f>IFERROR(__xludf.DUMMYFUNCTION("""COMPUTED_VALUE"""),"Global Classroom")</f>
        <v>Global Classroom</v>
      </c>
      <c r="V4" s="16" t="str">
        <f>IFERROR(__xludf.DUMMYFUNCTION("""COMPUTED_VALUE"""),"ISIT Tanger")</f>
        <v>ISIT Tanger</v>
      </c>
      <c r="W4" s="16" t="str">
        <f>IFERROR(__xludf.DUMMYFUNCTION("""COMPUTED_VALUE"""),"2022-08-04T10:15:26Z")</f>
        <v>2022-08-04T10:15:26Z</v>
      </c>
      <c r="X4" s="16"/>
      <c r="Y4" s="16"/>
      <c r="Z4" s="16"/>
    </row>
    <row r="5">
      <c r="A5" s="16" t="str">
        <f>IFERROR(__xludf.DUMMYFUNCTION("""COMPUTED_VALUE"""),"4936082_1288533")</f>
        <v>4936082_1288533</v>
      </c>
      <c r="B5" s="16" t="str">
        <f>IFERROR(__xludf.DUMMYFUNCTION("""COMPUTED_VALUE"""),"Vanshika Mahajan")</f>
        <v>Vanshika Mahajan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IFERROR(__xludf.DUMMYFUNCTION("""COMPUTED_VALUE"""),"p_34755868942d5a66e5865b268f2add78cc2668a6@inbound.aiesec.org")</f>
        <v>p_34755868942d5a66e5865b268f2add78cc2668a6@inbound.aiesec.org</v>
      </c>
      <c r="F5" s="16"/>
      <c r="G5" s="16" t="str">
        <f>IFERROR(__xludf.DUMMYFUNCTION("""COMPUTED_VALUE"""),"India")</f>
        <v>India</v>
      </c>
      <c r="H5" s="16" t="str">
        <f>IFERROR(__xludf.DUMMYFUNCTION("""COMPUTED_VALUE"""),"Delhi University")</f>
        <v>Delhi University</v>
      </c>
      <c r="I5" s="16" t="str">
        <f>IFERROR(__xludf.DUMMYFUNCTION("""COMPUTED_VALUE"""),"Turkey")</f>
        <v>Turkey</v>
      </c>
      <c r="J5" s="16" t="str">
        <f>IFERROR(__xludf.DUMMYFUNCTION("""COMPUTED_VALUE"""),"ISTANBUL ASIA")</f>
        <v>ISTANBUL ASIA</v>
      </c>
      <c r="K5" s="17" t="str">
        <f>IFERROR(__xludf.DUMMYFUNCTION("""COMPUTED_VALUE"""),"https://expa.aiesec.org/opportunities/1288533")</f>
        <v>https://expa.aiesec.org/opportunities/1288533</v>
      </c>
      <c r="L5" s="16" t="str">
        <f>IFERROR(__xludf.DUMMYFUNCTION("""COMPUTED_VALUE"""),"GV")</f>
        <v>GV</v>
      </c>
      <c r="M5" s="16" t="str">
        <f>IFERROR(__xludf.DUMMYFUNCTION("""COMPUTED_VALUE"""),"short")</f>
        <v>short</v>
      </c>
      <c r="N5" s="18">
        <f>IFERROR(__xludf.DUMMYFUNCTION("""COMPUTED_VALUE"""),44810.0)</f>
        <v>44810</v>
      </c>
      <c r="O5" s="18">
        <f>IFERROR(__xludf.DUMMYFUNCTION("""COMPUTED_VALUE"""),44935.0)</f>
        <v>44935</v>
      </c>
      <c r="P5" s="18">
        <f>IFERROR(__xludf.DUMMYFUNCTION("""COMPUTED_VALUE"""),44977.0)</f>
        <v>44977</v>
      </c>
      <c r="Q5" s="18"/>
      <c r="R5" s="18"/>
      <c r="S5" s="16"/>
      <c r="T5" s="16"/>
      <c r="U5" s="16" t="str">
        <f>IFERROR(__xludf.DUMMYFUNCTION("""COMPUTED_VALUE"""),"Global Classroom")</f>
        <v>Global Classroom</v>
      </c>
      <c r="V5" s="16" t="str">
        <f>IFERROR(__xludf.DUMMYFUNCTION("""COMPUTED_VALUE"""),"-")</f>
        <v>-</v>
      </c>
      <c r="W5" s="16" t="str">
        <f>IFERROR(__xludf.DUMMYFUNCTION("""COMPUTED_VALUE"""),"2022-02-18T10:03:45Z")</f>
        <v>2022-02-18T10:03:45Z</v>
      </c>
      <c r="X5" s="16"/>
      <c r="Y5" s="16"/>
      <c r="Z5" s="16"/>
    </row>
    <row r="6">
      <c r="A6" s="16" t="str">
        <f>IFERROR(__xludf.DUMMYFUNCTION("""COMPUTED_VALUE"""),"5103004_1288970")</f>
        <v>5103004_1288970</v>
      </c>
      <c r="B6" s="16" t="str">
        <f>IFERROR(__xludf.DUMMYFUNCTION("""COMPUTED_VALUE"""),"Nathalia Kleber")</f>
        <v>Nathalia Kleber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IFERROR(__xludf.DUMMYFUNCTION("""COMPUTED_VALUE"""),"p_121a6e8a80cc13ef7f58b4818cba0c9fa1a89d63@inbound.aiesec.org")</f>
        <v>p_121a6e8a80cc13ef7f58b4818cba0c9fa1a89d63@inbound.aiesec.org</v>
      </c>
      <c r="F6" s="16"/>
      <c r="G6" s="16" t="str">
        <f>IFERROR(__xludf.DUMMYFUNCTION("""COMPUTED_VALUE"""),"Brazil")</f>
        <v>Brazil</v>
      </c>
      <c r="H6" s="16" t="str">
        <f>IFERROR(__xludf.DUMMYFUNCTION("""COMPUTED_VALUE"""),"USP")</f>
        <v>USP</v>
      </c>
      <c r="I6" s="16" t="str">
        <f>IFERROR(__xludf.DUMMYFUNCTION("""COMPUTED_VALUE"""),"Turkey")</f>
        <v>Turkey</v>
      </c>
      <c r="J6" s="16" t="str">
        <f>IFERROR(__xludf.DUMMYFUNCTION("""COMPUTED_VALUE"""),"İZMİR")</f>
        <v>İZMİR</v>
      </c>
      <c r="K6" s="17" t="str">
        <f>IFERROR(__xludf.DUMMYFUNCTION("""COMPUTED_VALUE"""),"https://expa.aiesec.org/opportunities/1288970")</f>
        <v>https://expa.aiesec.org/opportunities/1288970</v>
      </c>
      <c r="L6" s="16" t="str">
        <f>IFERROR(__xludf.DUMMYFUNCTION("""COMPUTED_VALUE"""),"GV")</f>
        <v>GV</v>
      </c>
      <c r="M6" s="16" t="str">
        <f>IFERROR(__xludf.DUMMYFUNCTION("""COMPUTED_VALUE"""),"short")</f>
        <v>short</v>
      </c>
      <c r="N6" s="18">
        <f>IFERROR(__xludf.DUMMYFUNCTION("""COMPUTED_VALUE"""),44811.0)</f>
        <v>44811</v>
      </c>
      <c r="O6" s="18">
        <f>IFERROR(__xludf.DUMMYFUNCTION("""COMPUTED_VALUE"""),45123.0)</f>
        <v>45123</v>
      </c>
      <c r="P6" s="18">
        <f>IFERROR(__xludf.DUMMYFUNCTION("""COMPUTED_VALUE"""),45165.0)</f>
        <v>45165</v>
      </c>
      <c r="Q6" s="18"/>
      <c r="R6" s="18"/>
      <c r="S6" s="16"/>
      <c r="T6" s="16"/>
      <c r="U6" s="16" t="str">
        <f>IFERROR(__xludf.DUMMYFUNCTION("""COMPUTED_VALUE"""),"Fingerprint")</f>
        <v>Fingerprint</v>
      </c>
      <c r="V6" s="16" t="str">
        <f>IFERROR(__xludf.DUMMYFUNCTION("""COMPUTED_VALUE"""),"-")</f>
        <v>-</v>
      </c>
      <c r="W6" s="16" t="str">
        <f>IFERROR(__xludf.DUMMYFUNCTION("""COMPUTED_VALUE"""),"2022-08-31T14:13:07Z")</f>
        <v>2022-08-31T14:13:07Z</v>
      </c>
      <c r="X6" s="16"/>
      <c r="Y6" s="16"/>
      <c r="Z6" s="16"/>
    </row>
    <row r="7">
      <c r="A7" s="16" t="str">
        <f>IFERROR(__xludf.DUMMYFUNCTION("""COMPUTED_VALUE"""),"4964683_1288970")</f>
        <v>4964683_1288970</v>
      </c>
      <c r="B7" s="16" t="str">
        <f>IFERROR(__xludf.DUMMYFUNCTION("""COMPUTED_VALUE"""),"Ahmed Adly")</f>
        <v>Ahmed Adly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IFERROR(__xludf.DUMMYFUNCTION("""COMPUTED_VALUE"""),"p_902ea0c76e1d7c5af399f7dc35667f15b1e7949a@inbound.aiesec.org")</f>
        <v>p_902ea0c76e1d7c5af399f7dc35667f15b1e7949a@inbound.aiesec.org</v>
      </c>
      <c r="F7" s="16">
        <f>IFERROR(__xludf.DUMMYFUNCTION("""COMPUTED_VALUE"""),1.0005685E9)</f>
        <v>1000568500</v>
      </c>
      <c r="G7" s="16" t="str">
        <f>IFERROR(__xludf.DUMMYFUNCTION("""COMPUTED_VALUE"""),"Egypt")</f>
        <v>Egypt</v>
      </c>
      <c r="H7" s="16" t="str">
        <f>IFERROR(__xludf.DUMMYFUNCTION("""COMPUTED_VALUE"""),"GUC")</f>
        <v>GUC</v>
      </c>
      <c r="I7" s="16" t="str">
        <f>IFERROR(__xludf.DUMMYFUNCTION("""COMPUTED_VALUE"""),"Turkey")</f>
        <v>Turkey</v>
      </c>
      <c r="J7" s="16" t="str">
        <f>IFERROR(__xludf.DUMMYFUNCTION("""COMPUTED_VALUE"""),"İZMİR")</f>
        <v>İZMİR</v>
      </c>
      <c r="K7" s="17" t="str">
        <f>IFERROR(__xludf.DUMMYFUNCTION("""COMPUTED_VALUE"""),"https://expa.aiesec.org/opportunities/1288970")</f>
        <v>https://expa.aiesec.org/opportunities/1288970</v>
      </c>
      <c r="L7" s="16" t="str">
        <f>IFERROR(__xludf.DUMMYFUNCTION("""COMPUTED_VALUE"""),"GV")</f>
        <v>GV</v>
      </c>
      <c r="M7" s="16" t="str">
        <f>IFERROR(__xludf.DUMMYFUNCTION("""COMPUTED_VALUE"""),"short")</f>
        <v>short</v>
      </c>
      <c r="N7" s="18">
        <f>IFERROR(__xludf.DUMMYFUNCTION("""COMPUTED_VALUE"""),44814.0)</f>
        <v>44814</v>
      </c>
      <c r="O7" s="18">
        <f>IFERROR(__xludf.DUMMYFUNCTION("""COMPUTED_VALUE"""),45123.0)</f>
        <v>45123</v>
      </c>
      <c r="P7" s="18">
        <f>IFERROR(__xludf.DUMMYFUNCTION("""COMPUTED_VALUE"""),45165.0)</f>
        <v>45165</v>
      </c>
      <c r="Q7" s="18"/>
      <c r="R7" s="18"/>
      <c r="S7" s="16"/>
      <c r="T7" s="16"/>
      <c r="U7" s="16" t="str">
        <f>IFERROR(__xludf.DUMMYFUNCTION("""COMPUTED_VALUE"""),"Fingerprint")</f>
        <v>Fingerprint</v>
      </c>
      <c r="V7" s="16" t="str">
        <f>IFERROR(__xludf.DUMMYFUNCTION("""COMPUTED_VALUE"""),"GUC")</f>
        <v>GUC</v>
      </c>
      <c r="W7" s="16" t="str">
        <f>IFERROR(__xludf.DUMMYFUNCTION("""COMPUTED_VALUE"""),"2022-03-05T13:08:37Z")</f>
        <v>2022-03-05T13:08:37Z</v>
      </c>
      <c r="X7" s="16"/>
      <c r="Y7" s="16"/>
      <c r="Z7" s="16"/>
    </row>
    <row r="8">
      <c r="A8" s="16" t="str">
        <f>IFERROR(__xludf.DUMMYFUNCTION("""COMPUTED_VALUE"""),"5106370_1287854")</f>
        <v>5106370_1287854</v>
      </c>
      <c r="B8" s="16" t="str">
        <f>IFERROR(__xludf.DUMMYFUNCTION("""COMPUTED_VALUE"""),"Tainá Pinto")</f>
        <v>Tainá Pinto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IFERROR(__xludf.DUMMYFUNCTION("""COMPUTED_VALUE"""),"p_32decb57665a39eca5ee3bcd9d6745d0d0fb0acf@inbound.aiesec.org")</f>
        <v>p_32decb57665a39eca5ee3bcd9d6745d0d0fb0acf@inbound.aiesec.org</v>
      </c>
      <c r="F8" s="16">
        <f>IFERROR(__xludf.DUMMYFUNCTION("""COMPUTED_VALUE"""),1.9993584506E10)</f>
        <v>19993584506</v>
      </c>
      <c r="G8" s="16" t="str">
        <f>IFERROR(__xludf.DUMMYFUNCTION("""COMPUTED_VALUE"""),"Brazil")</f>
        <v>Brazil</v>
      </c>
      <c r="H8" s="16" t="str">
        <f>IFERROR(__xludf.DUMMYFUNCTION("""COMPUTED_VALUE"""),"ARACAJU")</f>
        <v>ARACAJU</v>
      </c>
      <c r="I8" s="16" t="str">
        <f>IFERROR(__xludf.DUMMYFUNCTION("""COMPUTED_VALUE"""),"Turkey")</f>
        <v>Turkey</v>
      </c>
      <c r="J8" s="16" t="str">
        <f>IFERROR(__xludf.DUMMYFUNCTION("""COMPUTED_VALUE"""),"İZMİR")</f>
        <v>İZMİR</v>
      </c>
      <c r="K8" s="17" t="str">
        <f>IFERROR(__xludf.DUMMYFUNCTION("""COMPUTED_VALUE"""),"https://expa.aiesec.org/opportunities/1287854")</f>
        <v>https://expa.aiesec.org/opportunities/1287854</v>
      </c>
      <c r="L8" s="16" t="str">
        <f>IFERROR(__xludf.DUMMYFUNCTION("""COMPUTED_VALUE"""),"GV")</f>
        <v>GV</v>
      </c>
      <c r="M8" s="16" t="str">
        <f>IFERROR(__xludf.DUMMYFUNCTION("""COMPUTED_VALUE"""),"short")</f>
        <v>short</v>
      </c>
      <c r="N8" s="18">
        <f>IFERROR(__xludf.DUMMYFUNCTION("""COMPUTED_VALUE"""),44814.0)</f>
        <v>44814</v>
      </c>
      <c r="O8" s="18">
        <f>IFERROR(__xludf.DUMMYFUNCTION("""COMPUTED_VALUE"""),44990.0)</f>
        <v>44990</v>
      </c>
      <c r="P8" s="18">
        <f>IFERROR(__xludf.DUMMYFUNCTION("""COMPUTED_VALUE"""),45032.0)</f>
        <v>45032</v>
      </c>
      <c r="Q8" s="18"/>
      <c r="R8" s="18"/>
      <c r="S8" s="16"/>
      <c r="T8" s="16"/>
      <c r="U8" s="16" t="str">
        <f>IFERROR(__xludf.DUMMYFUNCTION("""COMPUTED_VALUE"""),"Global Classroom")</f>
        <v>Global Classroom</v>
      </c>
      <c r="V8" s="16" t="str">
        <f>IFERROR(__xludf.DUMMYFUNCTION("""COMPUTED_VALUE"""),"Aracaju")</f>
        <v>Aracaju</v>
      </c>
      <c r="W8" s="16" t="str">
        <f>IFERROR(__xludf.DUMMYFUNCTION("""COMPUTED_VALUE"""),"2022-09-06T01:15:53Z")</f>
        <v>2022-09-06T01:15:53Z</v>
      </c>
      <c r="X8" s="16"/>
      <c r="Y8" s="16"/>
      <c r="Z8" s="16"/>
    </row>
    <row r="9">
      <c r="A9" s="16" t="str">
        <f>IFERROR(__xludf.DUMMYFUNCTION("""COMPUTED_VALUE"""),"5101301_1289020")</f>
        <v>5101301_1289020</v>
      </c>
      <c r="B9" s="16" t="str">
        <f>IFERROR(__xludf.DUMMYFUNCTION("""COMPUTED_VALUE"""),"Kamshat Bolegenova")</f>
        <v>Kamshat Bolegenova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IFERROR(__xludf.DUMMYFUNCTION("""COMPUTED_VALUE"""),"p_f85be7c25d620b28d1c34e4b150c4fed465ebbaf@inbound.aiesec.org")</f>
        <v>p_f85be7c25d620b28d1c34e4b150c4fed465ebbaf@inbound.aiesec.org</v>
      </c>
      <c r="F9" s="16">
        <f>IFERROR(__xludf.DUMMYFUNCTION("""COMPUTED_VALUE"""),7.786611528E9)</f>
        <v>7786611528</v>
      </c>
      <c r="G9" s="16" t="str">
        <f>IFERROR(__xludf.DUMMYFUNCTION("""COMPUTED_VALUE"""),"Kazakhstan")</f>
        <v>Kazakhstan</v>
      </c>
      <c r="H9" s="16" t="str">
        <f>IFERROR(__xludf.DUMMYFUNCTION("""COMPUTED_VALUE"""),"ALMATY")</f>
        <v>ALMATY</v>
      </c>
      <c r="I9" s="16" t="str">
        <f>IFERROR(__xludf.DUMMYFUNCTION("""COMPUTED_VALUE"""),"Turkey")</f>
        <v>Turkey</v>
      </c>
      <c r="J9" s="16" t="str">
        <f>IFERROR(__xludf.DUMMYFUNCTION("""COMPUTED_VALUE"""),"DENIZLI")</f>
        <v>DENIZLI</v>
      </c>
      <c r="K9" s="17" t="str">
        <f>IFERROR(__xludf.DUMMYFUNCTION("""COMPUTED_VALUE"""),"https://expa.aiesec.org/opportunities/1289020")</f>
        <v>https://expa.aiesec.org/opportunities/1289020</v>
      </c>
      <c r="L9" s="16" t="str">
        <f>IFERROR(__xludf.DUMMYFUNCTION("""COMPUTED_VALUE"""),"GV")</f>
        <v>GV</v>
      </c>
      <c r="M9" s="16" t="str">
        <f>IFERROR(__xludf.DUMMYFUNCTION("""COMPUTED_VALUE"""),"short")</f>
        <v>short</v>
      </c>
      <c r="N9" s="18">
        <f>IFERROR(__xludf.DUMMYFUNCTION("""COMPUTED_VALUE"""),44816.0)</f>
        <v>44816</v>
      </c>
      <c r="O9" s="18">
        <f>IFERROR(__xludf.DUMMYFUNCTION("""COMPUTED_VALUE"""),44914.0)</f>
        <v>44914</v>
      </c>
      <c r="P9" s="18">
        <f>IFERROR(__xludf.DUMMYFUNCTION("""COMPUTED_VALUE"""),44956.0)</f>
        <v>44956</v>
      </c>
      <c r="Q9" s="18"/>
      <c r="R9" s="18"/>
      <c r="S9" s="16"/>
      <c r="T9" s="16"/>
      <c r="U9" s="16" t="str">
        <f>IFERROR(__xludf.DUMMYFUNCTION("""COMPUTED_VALUE"""),"Global Classroom")</f>
        <v>Global Classroom</v>
      </c>
      <c r="V9" s="16" t="str">
        <f>IFERROR(__xludf.DUMMYFUNCTION("""COMPUTED_VALUE"""),"Almaty")</f>
        <v>Almaty</v>
      </c>
      <c r="W9" s="16" t="str">
        <f>IFERROR(__xludf.DUMMYFUNCTION("""COMPUTED_VALUE"""),"2022-08-28T20:05:18Z")</f>
        <v>2022-08-28T20:05:18Z</v>
      </c>
      <c r="X9" s="16"/>
      <c r="Y9" s="16"/>
      <c r="Z9" s="16"/>
    </row>
    <row r="10">
      <c r="A10" s="16" t="str">
        <f>IFERROR(__xludf.DUMMYFUNCTION("""COMPUTED_VALUE"""),"5104127_1288533")</f>
        <v>5104127_1288533</v>
      </c>
      <c r="B10" s="16" t="str">
        <f>IFERROR(__xludf.DUMMYFUNCTION("""COMPUTED_VALUE"""),"Slim Ben mansour")</f>
        <v>Slim Ben mansour</v>
      </c>
      <c r="C10" s="16" t="str">
        <f>IFERROR(__xludf.DUMMYFUNCTION("""COMPUTED_VALUE"""),"approved")</f>
        <v>approved</v>
      </c>
      <c r="D10" s="16" t="str">
        <f>IFERROR(__xludf.DUMMYFUNCTION("""COMPUTED_VALUE"""),"No")</f>
        <v>No</v>
      </c>
      <c r="E10" s="16" t="str">
        <f>IFERROR(__xludf.DUMMYFUNCTION("""COMPUTED_VALUE"""),"p_46f60cb57172a73a2d625e013f377fe9eff804b5@inbound.aiesec.org")</f>
        <v>p_46f60cb57172a73a2d625e013f377fe9eff804b5@inbound.aiesec.org</v>
      </c>
      <c r="F10" s="16">
        <f>IFERROR(__xludf.DUMMYFUNCTION("""COMPUTED_VALUE"""),2.7538956E7)</f>
        <v>27538956</v>
      </c>
      <c r="G10" s="16" t="str">
        <f>IFERROR(__xludf.DUMMYFUNCTION("""COMPUTED_VALUE"""),"Tunisia")</f>
        <v>Tunisia</v>
      </c>
      <c r="H10" s="16" t="str">
        <f>IFERROR(__xludf.DUMMYFUNCTION("""COMPUTED_VALUE"""),"THYNA")</f>
        <v>THYNA</v>
      </c>
      <c r="I10" s="16" t="str">
        <f>IFERROR(__xludf.DUMMYFUNCTION("""COMPUTED_VALUE"""),"Turkey")</f>
        <v>Turkey</v>
      </c>
      <c r="J10" s="16" t="str">
        <f>IFERROR(__xludf.DUMMYFUNCTION("""COMPUTED_VALUE"""),"ISTANBUL ASIA")</f>
        <v>ISTANBUL ASIA</v>
      </c>
      <c r="K10" s="17" t="str">
        <f>IFERROR(__xludf.DUMMYFUNCTION("""COMPUTED_VALUE"""),"https://expa.aiesec.org/opportunities/1288533")</f>
        <v>https://expa.aiesec.org/opportunities/1288533</v>
      </c>
      <c r="L10" s="16" t="str">
        <f>IFERROR(__xludf.DUMMYFUNCTION("""COMPUTED_VALUE"""),"GV")</f>
        <v>GV</v>
      </c>
      <c r="M10" s="16" t="str">
        <f>IFERROR(__xludf.DUMMYFUNCTION("""COMPUTED_VALUE"""),"short")</f>
        <v>short</v>
      </c>
      <c r="N10" s="18">
        <f>IFERROR(__xludf.DUMMYFUNCTION("""COMPUTED_VALUE"""),44817.0)</f>
        <v>44817</v>
      </c>
      <c r="O10" s="18">
        <f>IFERROR(__xludf.DUMMYFUNCTION("""COMPUTED_VALUE"""),44893.0)</f>
        <v>44893</v>
      </c>
      <c r="P10" s="18">
        <f>IFERROR(__xludf.DUMMYFUNCTION("""COMPUTED_VALUE"""),44935.0)</f>
        <v>44935</v>
      </c>
      <c r="Q10" s="18"/>
      <c r="R10" s="18"/>
      <c r="S10" s="16"/>
      <c r="T10" s="16"/>
      <c r="U10" s="16" t="str">
        <f>IFERROR(__xludf.DUMMYFUNCTION("""COMPUTED_VALUE"""),"Global Classroom")</f>
        <v>Global Classroom</v>
      </c>
      <c r="V10" s="16" t="str">
        <f>IFERROR(__xludf.DUMMYFUNCTION("""COMPUTED_VALUE"""),"ISAM Sfax")</f>
        <v>ISAM Sfax</v>
      </c>
      <c r="W10" s="16" t="str">
        <f>IFERROR(__xludf.DUMMYFUNCTION("""COMPUTED_VALUE"""),"2022-09-02T11:21:35Z")</f>
        <v>2022-09-02T11:21:35Z</v>
      </c>
      <c r="X10" s="16"/>
      <c r="Y10" s="16"/>
      <c r="Z10" s="16"/>
    </row>
    <row r="11">
      <c r="A11" s="16" t="str">
        <f>IFERROR(__xludf.DUMMYFUNCTION("""COMPUTED_VALUE"""),"2094739_1288299")</f>
        <v>2094739_1288299</v>
      </c>
      <c r="B11" s="16" t="str">
        <f>IFERROR(__xludf.DUMMYFUNCTION("""COMPUTED_VALUE"""),"Gabriela Villegas")</f>
        <v>Gabriela Villegas</v>
      </c>
      <c r="C11" s="16" t="str">
        <f>IFERROR(__xludf.DUMMYFUNCTION("""COMPUTED_VALUE"""),"approved")</f>
        <v>approved</v>
      </c>
      <c r="D11" s="16" t="str">
        <f>IFERROR(__xludf.DUMMYFUNCTION("""COMPUTED_VALUE"""),"No")</f>
        <v>No</v>
      </c>
      <c r="E11" s="16" t="str">
        <f>IFERROR(__xludf.DUMMYFUNCTION("""COMPUTED_VALUE"""),"p_9af1d64cd71247a07997551b1d866869b2f3d2f6@inbound.aiesec.org")</f>
        <v>p_9af1d64cd71247a07997551b1d866869b2f3d2f6@inbound.aiesec.org</v>
      </c>
      <c r="F11" s="16">
        <f>IFERROR(__xludf.DUMMYFUNCTION("""COMPUTED_VALUE"""),9.74601105E8)</f>
        <v>974601105</v>
      </c>
      <c r="G11" s="16" t="str">
        <f>IFERROR(__xludf.DUMMYFUNCTION("""COMPUTED_VALUE"""),"Peru")</f>
        <v>Peru</v>
      </c>
      <c r="H11" s="16" t="str">
        <f>IFERROR(__xludf.DUMMYFUNCTION("""COMPUTED_VALUE"""),"Pacifico")</f>
        <v>Pacifico</v>
      </c>
      <c r="I11" s="16" t="str">
        <f>IFERROR(__xludf.DUMMYFUNCTION("""COMPUTED_VALUE"""),"Turkey")</f>
        <v>Turkey</v>
      </c>
      <c r="J11" s="16" t="str">
        <f>IFERROR(__xludf.DUMMYFUNCTION("""COMPUTED_VALUE"""),"ISTANBUL")</f>
        <v>ISTANBUL</v>
      </c>
      <c r="K11" s="17" t="str">
        <f>IFERROR(__xludf.DUMMYFUNCTION("""COMPUTED_VALUE"""),"https://expa.aiesec.org/opportunities/1288299")</f>
        <v>https://expa.aiesec.org/opportunities/1288299</v>
      </c>
      <c r="L11" s="16" t="str">
        <f>IFERROR(__xludf.DUMMYFUNCTION("""COMPUTED_VALUE"""),"GV")</f>
        <v>GV</v>
      </c>
      <c r="M11" s="16" t="str">
        <f>IFERROR(__xludf.DUMMYFUNCTION("""COMPUTED_VALUE"""),"short")</f>
        <v>short</v>
      </c>
      <c r="N11" s="18">
        <f>IFERROR(__xludf.DUMMYFUNCTION("""COMPUTED_VALUE"""),44830.0)</f>
        <v>44830</v>
      </c>
      <c r="O11" s="18">
        <f>IFERROR(__xludf.DUMMYFUNCTION("""COMPUTED_VALUE"""),44998.0)</f>
        <v>44998</v>
      </c>
      <c r="P11" s="18">
        <f>IFERROR(__xludf.DUMMYFUNCTION("""COMPUTED_VALUE"""),45053.0)</f>
        <v>45053</v>
      </c>
      <c r="Q11" s="18"/>
      <c r="R11" s="18"/>
      <c r="S11" s="16"/>
      <c r="T11" s="16"/>
      <c r="U11" s="16" t="str">
        <f>IFERROR(__xludf.DUMMYFUNCTION("""COMPUTED_VALUE"""),"Global Classroom")</f>
        <v>Global Classroom</v>
      </c>
      <c r="V11" s="16" t="str">
        <f>IFERROR(__xludf.DUMMYFUNCTION("""COMPUTED_VALUE"""),"-")</f>
        <v>-</v>
      </c>
      <c r="W11" s="16" t="str">
        <f>IFERROR(__xludf.DUMMYFUNCTION("""COMPUTED_VALUE"""),"2018-03-08T21:37:59Z")</f>
        <v>2018-03-08T21:37:59Z</v>
      </c>
      <c r="X11" s="16"/>
      <c r="Y11" s="16"/>
      <c r="Z11" s="16"/>
    </row>
    <row r="12">
      <c r="A12" s="16" t="str">
        <f>IFERROR(__xludf.DUMMYFUNCTION("""COMPUTED_VALUE"""),"5121597_1288497")</f>
        <v>5121597_1288497</v>
      </c>
      <c r="B12" s="16" t="str">
        <f>IFERROR(__xludf.DUMMYFUNCTION("""COMPUTED_VALUE"""),"Ahmed Laifi")</f>
        <v>Ahmed Laifi</v>
      </c>
      <c r="C12" s="16" t="str">
        <f>IFERROR(__xludf.DUMMYFUNCTION("""COMPUTED_VALUE"""),"approved")</f>
        <v>approved</v>
      </c>
      <c r="D12" s="16" t="str">
        <f>IFERROR(__xludf.DUMMYFUNCTION("""COMPUTED_VALUE"""),"No")</f>
        <v>No</v>
      </c>
      <c r="E12" s="16" t="str">
        <f>IFERROR(__xludf.DUMMYFUNCTION("""COMPUTED_VALUE"""),"p_a1f65c470c7561db971c63d193b1233170698d23@inbound.aiesec.org")</f>
        <v>p_a1f65c470c7561db971c63d193b1233170698d23@inbound.aiesec.org</v>
      </c>
      <c r="F12" s="16">
        <f>IFERROR(__xludf.DUMMYFUNCTION("""COMPUTED_VALUE"""),5.8764575E7)</f>
        <v>58764575</v>
      </c>
      <c r="G12" s="16" t="str">
        <f>IFERROR(__xludf.DUMMYFUNCTION("""COMPUTED_VALUE"""),"Tunisia")</f>
        <v>Tunisia</v>
      </c>
      <c r="H12" s="16" t="str">
        <f>IFERROR(__xludf.DUMMYFUNCTION("""COMPUTED_VALUE"""),"HADRUMET")</f>
        <v>HADRUMET</v>
      </c>
      <c r="I12" s="16" t="str">
        <f>IFERROR(__xludf.DUMMYFUNCTION("""COMPUTED_VALUE"""),"Turkey")</f>
        <v>Turkey</v>
      </c>
      <c r="J12" s="16" t="str">
        <f>IFERROR(__xludf.DUMMYFUNCTION("""COMPUTED_VALUE"""),"DENIZLI")</f>
        <v>DENIZLI</v>
      </c>
      <c r="K12" s="17" t="str">
        <f>IFERROR(__xludf.DUMMYFUNCTION("""COMPUTED_VALUE"""),"https://expa.aiesec.org/opportunities/1288497")</f>
        <v>https://expa.aiesec.org/opportunities/1288497</v>
      </c>
      <c r="L12" s="16" t="str">
        <f>IFERROR(__xludf.DUMMYFUNCTION("""COMPUTED_VALUE"""),"GV")</f>
        <v>GV</v>
      </c>
      <c r="M12" s="16" t="str">
        <f>IFERROR(__xludf.DUMMYFUNCTION("""COMPUTED_VALUE"""),"short")</f>
        <v>short</v>
      </c>
      <c r="N12" s="18">
        <f>IFERROR(__xludf.DUMMYFUNCTION("""COMPUTED_VALUE"""),44832.0)</f>
        <v>44832</v>
      </c>
      <c r="O12" s="18">
        <f>IFERROR(__xludf.DUMMYFUNCTION("""COMPUTED_VALUE"""),45117.0)</f>
        <v>45117</v>
      </c>
      <c r="P12" s="18">
        <f>IFERROR(__xludf.DUMMYFUNCTION("""COMPUTED_VALUE"""),45159.0)</f>
        <v>45159</v>
      </c>
      <c r="Q12" s="18"/>
      <c r="R12" s="18"/>
      <c r="S12" s="16"/>
      <c r="T12" s="16"/>
      <c r="U12" s="16" t="str">
        <f>IFERROR(__xludf.DUMMYFUNCTION("""COMPUTED_VALUE"""),"Youth 4 Impact")</f>
        <v>Youth 4 Impact</v>
      </c>
      <c r="V12" s="16" t="str">
        <f>IFERROR(__xludf.DUMMYFUNCTION("""COMPUTED_VALUE"""),"FMS (Faculté de Médecine de Sousse)")</f>
        <v>FMS (Faculté de Médecine de Sousse)</v>
      </c>
      <c r="W12" s="16" t="str">
        <f>IFERROR(__xludf.DUMMYFUNCTION("""COMPUTED_VALUE"""),"2022-09-28T18:01:32Z")</f>
        <v>2022-09-28T18:01:32Z</v>
      </c>
      <c r="X12" s="16"/>
      <c r="Y12" s="16"/>
      <c r="Z12" s="16"/>
    </row>
    <row r="13">
      <c r="A13" s="16" t="str">
        <f>IFERROR(__xludf.DUMMYFUNCTION("""COMPUTED_VALUE"""),"5122423_1286326")</f>
        <v>5122423_1286326</v>
      </c>
      <c r="B13" s="16" t="str">
        <f>IFERROR(__xludf.DUMMYFUNCTION("""COMPUTED_VALUE"""),"Iris Cristal")</f>
        <v>Iris Cristal</v>
      </c>
      <c r="C13" s="16" t="str">
        <f>IFERROR(__xludf.DUMMYFUNCTION("""COMPUTED_VALUE"""),"approved")</f>
        <v>approved</v>
      </c>
      <c r="D13" s="16" t="str">
        <f>IFERROR(__xludf.DUMMYFUNCTION("""COMPUTED_VALUE"""),"No")</f>
        <v>No</v>
      </c>
      <c r="E13" s="16" t="str">
        <f>IFERROR(__xludf.DUMMYFUNCTION("""COMPUTED_VALUE"""),"p_77956c7f2923ba733f7131c8e44bd249c172d658@inbound.aiesec.org")</f>
        <v>p_77956c7f2923ba733f7131c8e44bd249c172d658@inbound.aiesec.org</v>
      </c>
      <c r="F13" s="16">
        <f>IFERROR(__xludf.DUMMYFUNCTION("""COMPUTED_VALUE"""),7.1984735292E10)</f>
        <v>71984735292</v>
      </c>
      <c r="G13" s="16" t="str">
        <f>IFERROR(__xludf.DUMMYFUNCTION("""COMPUTED_VALUE"""),"Brazil")</f>
        <v>Brazil</v>
      </c>
      <c r="H13" s="16" t="str">
        <f>IFERROR(__xludf.DUMMYFUNCTION("""COMPUTED_VALUE"""),"SALVADOR")</f>
        <v>SALVADOR</v>
      </c>
      <c r="I13" s="16" t="str">
        <f>IFERROR(__xludf.DUMMYFUNCTION("""COMPUTED_VALUE"""),"Turkey")</f>
        <v>Turkey</v>
      </c>
      <c r="J13" s="16" t="str">
        <f>IFERROR(__xludf.DUMMYFUNCTION("""COMPUTED_VALUE"""),"ADANA")</f>
        <v>ADANA</v>
      </c>
      <c r="K13" s="17" t="str">
        <f>IFERROR(__xludf.DUMMYFUNCTION("""COMPUTED_VALUE"""),"https://expa.aiesec.org/opportunities/1286326")</f>
        <v>https://expa.aiesec.org/opportunities/1286326</v>
      </c>
      <c r="L13" s="16" t="str">
        <f>IFERROR(__xludf.DUMMYFUNCTION("""COMPUTED_VALUE"""),"GV")</f>
        <v>GV</v>
      </c>
      <c r="M13" s="16" t="str">
        <f>IFERROR(__xludf.DUMMYFUNCTION("""COMPUTED_VALUE"""),"short")</f>
        <v>short</v>
      </c>
      <c r="N13" s="18">
        <f>IFERROR(__xludf.DUMMYFUNCTION("""COMPUTED_VALUE"""),44833.0)</f>
        <v>44833</v>
      </c>
      <c r="O13" s="18">
        <f>IFERROR(__xludf.DUMMYFUNCTION("""COMPUTED_VALUE"""),45012.0)</f>
        <v>45012</v>
      </c>
      <c r="P13" s="18">
        <f>IFERROR(__xludf.DUMMYFUNCTION("""COMPUTED_VALUE"""),45058.0)</f>
        <v>45058</v>
      </c>
      <c r="Q13" s="18"/>
      <c r="R13" s="18"/>
      <c r="S13" s="16"/>
      <c r="T13" s="16"/>
      <c r="U13" s="16" t="str">
        <f>IFERROR(__xludf.DUMMYFUNCTION("""COMPUTED_VALUE"""),"Equify")</f>
        <v>Equify</v>
      </c>
      <c r="V13" s="16" t="str">
        <f>IFERROR(__xludf.DUMMYFUNCTION("""COMPUTED_VALUE"""),"Salvador")</f>
        <v>Salvador</v>
      </c>
      <c r="W13" s="16" t="str">
        <f>IFERROR(__xludf.DUMMYFUNCTION("""COMPUTED_VALUE"""),"2022-09-29T18:39:09Z")</f>
        <v>2022-09-29T18:39:09Z</v>
      </c>
      <c r="X13" s="16"/>
      <c r="Y13" s="16"/>
      <c r="Z13" s="16"/>
    </row>
    <row r="14">
      <c r="A14" s="16" t="str">
        <f>IFERROR(__xludf.DUMMYFUNCTION("""COMPUTED_VALUE"""),"4712139_1288970")</f>
        <v>4712139_1288970</v>
      </c>
      <c r="B14" s="16" t="str">
        <f>IFERROR(__xludf.DUMMYFUNCTION("""COMPUTED_VALUE"""),"Jonathas de Medeiros Ferreira")</f>
        <v>Jonathas de Medeiros Ferreira</v>
      </c>
      <c r="C14" s="16" t="str">
        <f>IFERROR(__xludf.DUMMYFUNCTION("""COMPUTED_VALUE"""),"approved")</f>
        <v>approved</v>
      </c>
      <c r="D14" s="16" t="str">
        <f>IFERROR(__xludf.DUMMYFUNCTION("""COMPUTED_VALUE"""),"No")</f>
        <v>No</v>
      </c>
      <c r="E14" s="16" t="str">
        <f>IFERROR(__xludf.DUMMYFUNCTION("""COMPUTED_VALUE"""),"p_67b0f925913bc92811816373d0ab60b79d0bda6a@inbound.aiesec.org")</f>
        <v>p_67b0f925913bc92811816373d0ab60b79d0bda6a@inbound.aiesec.org</v>
      </c>
      <c r="F14" s="16"/>
      <c r="G14" s="16" t="str">
        <f>IFERROR(__xludf.DUMMYFUNCTION("""COMPUTED_VALUE"""),"Brazil")</f>
        <v>Brazil</v>
      </c>
      <c r="H14" s="16" t="str">
        <f>IFERROR(__xludf.DUMMYFUNCTION("""COMPUTED_VALUE"""),"SAO CARLOS")</f>
        <v>SAO CARLOS</v>
      </c>
      <c r="I14" s="16" t="str">
        <f>IFERROR(__xludf.DUMMYFUNCTION("""COMPUTED_VALUE"""),"Turkey")</f>
        <v>Turkey</v>
      </c>
      <c r="J14" s="16" t="str">
        <f>IFERROR(__xludf.DUMMYFUNCTION("""COMPUTED_VALUE"""),"İZMİR")</f>
        <v>İZMİR</v>
      </c>
      <c r="K14" s="17" t="str">
        <f>IFERROR(__xludf.DUMMYFUNCTION("""COMPUTED_VALUE"""),"https://expa.aiesec.org/opportunities/1288970")</f>
        <v>https://expa.aiesec.org/opportunities/1288970</v>
      </c>
      <c r="L14" s="16" t="str">
        <f>IFERROR(__xludf.DUMMYFUNCTION("""COMPUTED_VALUE"""),"GV")</f>
        <v>GV</v>
      </c>
      <c r="M14" s="16" t="str">
        <f>IFERROR(__xludf.DUMMYFUNCTION("""COMPUTED_VALUE"""),"short")</f>
        <v>short</v>
      </c>
      <c r="N14" s="18">
        <f>IFERROR(__xludf.DUMMYFUNCTION("""COMPUTED_VALUE"""),44838.0)</f>
        <v>44838</v>
      </c>
      <c r="O14" s="18">
        <f>IFERROR(__xludf.DUMMYFUNCTION("""COMPUTED_VALUE"""),45081.0)</f>
        <v>45081</v>
      </c>
      <c r="P14" s="18">
        <f>IFERROR(__xludf.DUMMYFUNCTION("""COMPUTED_VALUE"""),45123.0)</f>
        <v>45123</v>
      </c>
      <c r="Q14" s="18"/>
      <c r="R14" s="18"/>
      <c r="S14" s="16"/>
      <c r="T14" s="16"/>
      <c r="U14" s="16" t="str">
        <f>IFERROR(__xludf.DUMMYFUNCTION("""COMPUTED_VALUE"""),"Fingerprint")</f>
        <v>Fingerprint</v>
      </c>
      <c r="V14" s="16" t="str">
        <f>IFERROR(__xludf.DUMMYFUNCTION("""COMPUTED_VALUE"""),"-")</f>
        <v>-</v>
      </c>
      <c r="W14" s="16" t="str">
        <f>IFERROR(__xludf.DUMMYFUNCTION("""COMPUTED_VALUE"""),"2021-08-15T18:32:30Z")</f>
        <v>2021-08-15T18:32:30Z</v>
      </c>
      <c r="X14" s="16"/>
      <c r="Y14" s="16"/>
      <c r="Z14" s="16"/>
    </row>
    <row r="15">
      <c r="A15" s="16" t="str">
        <f>IFERROR(__xludf.DUMMYFUNCTION("""COMPUTED_VALUE"""),"2368515_1283683")</f>
        <v>2368515_1283683</v>
      </c>
      <c r="B15" s="16" t="str">
        <f>IFERROR(__xludf.DUMMYFUNCTION("""COMPUTED_VALUE"""),"Abdul Wahid")</f>
        <v>Abdul Wahid</v>
      </c>
      <c r="C15" s="16" t="str">
        <f>IFERROR(__xludf.DUMMYFUNCTION("""COMPUTED_VALUE"""),"approved")</f>
        <v>approved</v>
      </c>
      <c r="D15" s="16" t="str">
        <f>IFERROR(__xludf.DUMMYFUNCTION("""COMPUTED_VALUE"""),"No")</f>
        <v>No</v>
      </c>
      <c r="E15" s="16" t="str">
        <f>IFERROR(__xludf.DUMMYFUNCTION("""COMPUTED_VALUE"""),"p_598f729a0efc4315ed515a092a966c7ddb796f2a@inbound.aiesec.org")</f>
        <v>p_598f729a0efc4315ed515a092a966c7ddb796f2a@inbound.aiesec.org</v>
      </c>
      <c r="F15" s="16">
        <f>IFERROR(__xludf.DUMMYFUNCTION("""COMPUTED_VALUE"""),3.410210321E9)</f>
        <v>3410210321</v>
      </c>
      <c r="G15" s="16" t="str">
        <f>IFERROR(__xludf.DUMMYFUNCTION("""COMPUTED_VALUE"""),"Pakistan")</f>
        <v>Pakistan</v>
      </c>
      <c r="H15" s="16" t="str">
        <f>IFERROR(__xludf.DUMMYFUNCTION("""COMPUTED_VALUE"""),"Karachi")</f>
        <v>Karachi</v>
      </c>
      <c r="I15" s="16" t="str">
        <f>IFERROR(__xludf.DUMMYFUNCTION("""COMPUTED_VALUE"""),"Turkey")</f>
        <v>Turkey</v>
      </c>
      <c r="J15" s="16" t="str">
        <f>IFERROR(__xludf.DUMMYFUNCTION("""COMPUTED_VALUE"""),"GAZIANTEP")</f>
        <v>GAZIANTEP</v>
      </c>
      <c r="K15" s="17" t="str">
        <f>IFERROR(__xludf.DUMMYFUNCTION("""COMPUTED_VALUE"""),"https://expa.aiesec.org/opportunities/1283683")</f>
        <v>https://expa.aiesec.org/opportunities/1283683</v>
      </c>
      <c r="L15" s="16" t="str">
        <f>IFERROR(__xludf.DUMMYFUNCTION("""COMPUTED_VALUE"""),"GV")</f>
        <v>GV</v>
      </c>
      <c r="M15" s="16" t="str">
        <f>IFERROR(__xludf.DUMMYFUNCTION("""COMPUTED_VALUE"""),"short")</f>
        <v>short</v>
      </c>
      <c r="N15" s="18">
        <f>IFERROR(__xludf.DUMMYFUNCTION("""COMPUTED_VALUE"""),44845.0)</f>
        <v>44845</v>
      </c>
      <c r="O15" s="18">
        <f>IFERROR(__xludf.DUMMYFUNCTION("""COMPUTED_VALUE"""),44915.0)</f>
        <v>44915</v>
      </c>
      <c r="P15" s="18">
        <f>IFERROR(__xludf.DUMMYFUNCTION("""COMPUTED_VALUE"""),44957.0)</f>
        <v>44957</v>
      </c>
      <c r="Q15" s="18"/>
      <c r="R15" s="18"/>
      <c r="S15" s="16"/>
      <c r="T15" s="16"/>
      <c r="U15" s="16" t="str">
        <f>IFERROR(__xludf.DUMMYFUNCTION("""COMPUTED_VALUE"""),"Global Classroom")</f>
        <v>Global Classroom</v>
      </c>
      <c r="V15" s="16" t="str">
        <f>IFERROR(__xludf.DUMMYFUNCTION("""COMPUTED_VALUE"""),"Karachi - Other")</f>
        <v>Karachi - Other</v>
      </c>
      <c r="W15" s="16" t="str">
        <f>IFERROR(__xludf.DUMMYFUNCTION("""COMPUTED_VALUE"""),"2018-06-19T08:40:52Z")</f>
        <v>2018-06-19T08:40:52Z</v>
      </c>
      <c r="X15" s="16"/>
      <c r="Y15" s="16"/>
      <c r="Z15" s="16"/>
    </row>
    <row r="16">
      <c r="A16" s="16" t="str">
        <f>IFERROR(__xludf.DUMMYFUNCTION("""COMPUTED_VALUE"""),"5078149_1283483")</f>
        <v>5078149_1283483</v>
      </c>
      <c r="B16" s="16" t="str">
        <f>IFERROR(__xludf.DUMMYFUNCTION("""COMPUTED_VALUE"""),"Caroline Kamidai")</f>
        <v>Caroline Kamidai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IFERROR(__xludf.DUMMYFUNCTION("""COMPUTED_VALUE"""),"p_c89ead87ddcf0989298c038a120625d400e779ca@inbound.aiesec.org")</f>
        <v>p_c89ead87ddcf0989298c038a120625d400e779ca@inbound.aiesec.org</v>
      </c>
      <c r="F16" s="16">
        <f>IFERROR(__xludf.DUMMYFUNCTION("""COMPUTED_VALUE"""),9.96279372E8)</f>
        <v>996279372</v>
      </c>
      <c r="G16" s="16" t="str">
        <f>IFERROR(__xludf.DUMMYFUNCTION("""COMPUTED_VALUE"""),"Brazil")</f>
        <v>Brazil</v>
      </c>
      <c r="H16" s="16" t="str">
        <f>IFERROR(__xludf.DUMMYFUNCTION("""COMPUTED_VALUE"""),"USP")</f>
        <v>USP</v>
      </c>
      <c r="I16" s="16" t="str">
        <f>IFERROR(__xludf.DUMMYFUNCTION("""COMPUTED_VALUE"""),"Turkey")</f>
        <v>Turkey</v>
      </c>
      <c r="J16" s="16" t="str">
        <f>IFERROR(__xludf.DUMMYFUNCTION("""COMPUTED_VALUE"""),"KONYA")</f>
        <v>KONYA</v>
      </c>
      <c r="K16" s="17" t="str">
        <f>IFERROR(__xludf.DUMMYFUNCTION("""COMPUTED_VALUE"""),"https://expa.aiesec.org/opportunities/1283483")</f>
        <v>https://expa.aiesec.org/opportunities/1283483</v>
      </c>
      <c r="L16" s="16" t="str">
        <f>IFERROR(__xludf.DUMMYFUNCTION("""COMPUTED_VALUE"""),"GV")</f>
        <v>GV</v>
      </c>
      <c r="M16" s="16" t="str">
        <f>IFERROR(__xludf.DUMMYFUNCTION("""COMPUTED_VALUE"""),"short")</f>
        <v>short</v>
      </c>
      <c r="N16" s="18">
        <f>IFERROR(__xludf.DUMMYFUNCTION("""COMPUTED_VALUE"""),44845.0)</f>
        <v>44845</v>
      </c>
      <c r="O16" s="18">
        <f>IFERROR(__xludf.DUMMYFUNCTION("""COMPUTED_VALUE"""),45117.0)</f>
        <v>45117</v>
      </c>
      <c r="P16" s="18">
        <f>IFERROR(__xludf.DUMMYFUNCTION("""COMPUTED_VALUE"""),45159.0)</f>
        <v>45159</v>
      </c>
      <c r="Q16" s="18"/>
      <c r="R16" s="18"/>
      <c r="S16" s="16"/>
      <c r="T16" s="16"/>
      <c r="U16" s="16" t="str">
        <f>IFERROR(__xludf.DUMMYFUNCTION("""COMPUTED_VALUE"""),"Global Classroom")</f>
        <v>Global Classroom</v>
      </c>
      <c r="V16" s="16" t="str">
        <f>IFERROR(__xludf.DUMMYFUNCTION("""COMPUTED_VALUE"""),"São Paulo - USP")</f>
        <v>São Paulo - USP</v>
      </c>
      <c r="W16" s="16" t="str">
        <f>IFERROR(__xludf.DUMMYFUNCTION("""COMPUTED_VALUE"""),"2022-06-29T18:57:11Z")</f>
        <v>2022-06-29T18:57:11Z</v>
      </c>
      <c r="X16" s="16"/>
      <c r="Y16" s="16"/>
      <c r="Z16" s="16"/>
    </row>
    <row r="17">
      <c r="A17" s="16" t="str">
        <f>IFERROR(__xludf.DUMMYFUNCTION("""COMPUTED_VALUE"""),"5121768_1288497")</f>
        <v>5121768_1288497</v>
      </c>
      <c r="B17" s="16" t="str">
        <f>IFERROR(__xludf.DUMMYFUNCTION("""COMPUTED_VALUE"""),"Darien Soliman")</f>
        <v>Darien Soliman</v>
      </c>
      <c r="C17" s="16" t="str">
        <f>IFERROR(__xludf.DUMMYFUNCTION("""COMPUTED_VALUE"""),"approved")</f>
        <v>approved</v>
      </c>
      <c r="D17" s="16" t="str">
        <f>IFERROR(__xludf.DUMMYFUNCTION("""COMPUTED_VALUE"""),"No")</f>
        <v>No</v>
      </c>
      <c r="E17" s="16" t="str">
        <f>IFERROR(__xludf.DUMMYFUNCTION("""COMPUTED_VALUE"""),"p_46ca7649b09d1fb467aa033f62763cd2add3c6b6@inbound.aiesec.org")</f>
        <v>p_46ca7649b09d1fb467aa033f62763cd2add3c6b6@inbound.aiesec.org</v>
      </c>
      <c r="F17" s="16">
        <f>IFERROR(__xludf.DUMMYFUNCTION("""COMPUTED_VALUE"""),1.14400383E9)</f>
        <v>1144003830</v>
      </c>
      <c r="G17" s="16" t="str">
        <f>IFERROR(__xludf.DUMMYFUNCTION("""COMPUTED_VALUE"""),"Egypt")</f>
        <v>Egypt</v>
      </c>
      <c r="H17" s="16" t="str">
        <f>IFERROR(__xludf.DUMMYFUNCTION("""COMPUTED_VALUE"""),"MUST")</f>
        <v>MUST</v>
      </c>
      <c r="I17" s="16" t="str">
        <f>IFERROR(__xludf.DUMMYFUNCTION("""COMPUTED_VALUE"""),"Turkey")</f>
        <v>Turkey</v>
      </c>
      <c r="J17" s="16" t="str">
        <f>IFERROR(__xludf.DUMMYFUNCTION("""COMPUTED_VALUE"""),"DENIZLI")</f>
        <v>DENIZLI</v>
      </c>
      <c r="K17" s="17" t="str">
        <f>IFERROR(__xludf.DUMMYFUNCTION("""COMPUTED_VALUE"""),"https://expa.aiesec.org/opportunities/1288497")</f>
        <v>https://expa.aiesec.org/opportunities/1288497</v>
      </c>
      <c r="L17" s="16" t="str">
        <f>IFERROR(__xludf.DUMMYFUNCTION("""COMPUTED_VALUE"""),"GV")</f>
        <v>GV</v>
      </c>
      <c r="M17" s="16" t="str">
        <f>IFERROR(__xludf.DUMMYFUNCTION("""COMPUTED_VALUE"""),"short")</f>
        <v>short</v>
      </c>
      <c r="N17" s="18">
        <f>IFERROR(__xludf.DUMMYFUNCTION("""COMPUTED_VALUE"""),44847.0)</f>
        <v>44847</v>
      </c>
      <c r="O17" s="18">
        <f>IFERROR(__xludf.DUMMYFUNCTION("""COMPUTED_VALUE"""),45117.0)</f>
        <v>45117</v>
      </c>
      <c r="P17" s="18">
        <f>IFERROR(__xludf.DUMMYFUNCTION("""COMPUTED_VALUE"""),45159.0)</f>
        <v>45159</v>
      </c>
      <c r="Q17" s="18"/>
      <c r="R17" s="18"/>
      <c r="S17" s="16"/>
      <c r="T17" s="16"/>
      <c r="U17" s="16" t="str">
        <f>IFERROR(__xludf.DUMMYFUNCTION("""COMPUTED_VALUE"""),"Youth 4 Impact")</f>
        <v>Youth 4 Impact</v>
      </c>
      <c r="V17" s="16" t="str">
        <f>IFERROR(__xludf.DUMMYFUNCTION("""COMPUTED_VALUE"""),"MUST University")</f>
        <v>MUST University</v>
      </c>
      <c r="W17" s="16" t="str">
        <f>IFERROR(__xludf.DUMMYFUNCTION("""COMPUTED_VALUE"""),"2022-09-28T22:55:52Z")</f>
        <v>2022-09-28T22:55:52Z</v>
      </c>
      <c r="X17" s="16"/>
      <c r="Y17" s="16"/>
      <c r="Z17" s="16"/>
    </row>
    <row r="18">
      <c r="A18" s="16" t="str">
        <f>IFERROR(__xludf.DUMMYFUNCTION("""COMPUTED_VALUE"""),"5108455_1288711")</f>
        <v>5108455_1288711</v>
      </c>
      <c r="B18" s="16" t="str">
        <f>IFERROR(__xludf.DUMMYFUNCTION("""COMPUTED_VALUE"""),"Mila Arandjelovic")</f>
        <v>Mila Arandjelovic</v>
      </c>
      <c r="C18" s="16" t="str">
        <f>IFERROR(__xludf.DUMMYFUNCTION("""COMPUTED_VALUE"""),"approved")</f>
        <v>approved</v>
      </c>
      <c r="D18" s="16" t="str">
        <f>IFERROR(__xludf.DUMMYFUNCTION("""COMPUTED_VALUE"""),"No")</f>
        <v>No</v>
      </c>
      <c r="E18" s="16" t="str">
        <f>IFERROR(__xludf.DUMMYFUNCTION("""COMPUTED_VALUE"""),"p_b999dd0ca5b2fc7ee5f93c60db311deb0ecbc8fc@inbound.aiesec.org")</f>
        <v>p_b999dd0ca5b2fc7ee5f93c60db311deb0ecbc8fc@inbound.aiesec.org</v>
      </c>
      <c r="F18" s="16">
        <f>IFERROR(__xludf.DUMMYFUNCTION("""COMPUTED_VALUE"""),6.29720481E8)</f>
        <v>629720481</v>
      </c>
      <c r="G18" s="16" t="str">
        <f>IFERROR(__xludf.DUMMYFUNCTION("""COMPUTED_VALUE"""),"Serbia")</f>
        <v>Serbia</v>
      </c>
      <c r="H18" s="16" t="str">
        <f>IFERROR(__xludf.DUMMYFUNCTION("""COMPUTED_VALUE"""),"NIS")</f>
        <v>NIS</v>
      </c>
      <c r="I18" s="16" t="str">
        <f>IFERROR(__xludf.DUMMYFUNCTION("""COMPUTED_VALUE"""),"Turkey")</f>
        <v>Turkey</v>
      </c>
      <c r="J18" s="16" t="str">
        <f>IFERROR(__xludf.DUMMYFUNCTION("""COMPUTED_VALUE"""),"TRABZON")</f>
        <v>TRABZON</v>
      </c>
      <c r="K18" s="17" t="str">
        <f>IFERROR(__xludf.DUMMYFUNCTION("""COMPUTED_VALUE"""),"https://expa.aiesec.org/opportunities/1288711")</f>
        <v>https://expa.aiesec.org/opportunities/1288711</v>
      </c>
      <c r="L18" s="16" t="str">
        <f>IFERROR(__xludf.DUMMYFUNCTION("""COMPUTED_VALUE"""),"GV")</f>
        <v>GV</v>
      </c>
      <c r="M18" s="16" t="str">
        <f>IFERROR(__xludf.DUMMYFUNCTION("""COMPUTED_VALUE"""),"short")</f>
        <v>short</v>
      </c>
      <c r="N18" s="18">
        <f>IFERROR(__xludf.DUMMYFUNCTION("""COMPUTED_VALUE"""),44850.0)</f>
        <v>44850</v>
      </c>
      <c r="O18" s="18">
        <f>IFERROR(__xludf.DUMMYFUNCTION("""COMPUTED_VALUE"""),45109.0)</f>
        <v>45109</v>
      </c>
      <c r="P18" s="18">
        <f>IFERROR(__xludf.DUMMYFUNCTION("""COMPUTED_VALUE"""),45151.0)</f>
        <v>45151</v>
      </c>
      <c r="Q18" s="18"/>
      <c r="R18" s="18"/>
      <c r="S18" s="16"/>
      <c r="T18" s="16"/>
      <c r="U18" s="16" t="str">
        <f>IFERROR(__xludf.DUMMYFUNCTION("""COMPUTED_VALUE"""),"Global Classroom")</f>
        <v>Global Classroom</v>
      </c>
      <c r="V18" s="16" t="str">
        <f>IFERROR(__xludf.DUMMYFUNCTION("""COMPUTED_VALUE"""),"University of Nis")</f>
        <v>University of Nis</v>
      </c>
      <c r="W18" s="16" t="str">
        <f>IFERROR(__xludf.DUMMYFUNCTION("""COMPUTED_VALUE"""),"2022-09-09T09:37:28Z")</f>
        <v>2022-09-09T09:37:28Z</v>
      </c>
      <c r="X18" s="16"/>
      <c r="Y18" s="16"/>
      <c r="Z18" s="16"/>
    </row>
    <row r="19">
      <c r="A19" s="16" t="str">
        <f>IFERROR(__xludf.DUMMYFUNCTION("""COMPUTED_VALUE"""),"3260229_1289502")</f>
        <v>3260229_1289502</v>
      </c>
      <c r="B19" s="16" t="str">
        <f>IFERROR(__xludf.DUMMYFUNCTION("""COMPUTED_VALUE"""),"Amanda Haubert Rosa")</f>
        <v>Amanda Haubert Rosa</v>
      </c>
      <c r="C19" s="16" t="str">
        <f>IFERROR(__xludf.DUMMYFUNCTION("""COMPUTED_VALUE"""),"approved")</f>
        <v>approved</v>
      </c>
      <c r="D19" s="16" t="str">
        <f>IFERROR(__xludf.DUMMYFUNCTION("""COMPUTED_VALUE"""),"No")</f>
        <v>No</v>
      </c>
      <c r="E19" s="16" t="str">
        <f>IFERROR(__xludf.DUMMYFUNCTION("""COMPUTED_VALUE"""),"p_d9176a9536210b5cf6cbfda2aa9d8e633771abe7@inbound.aiesec.org")</f>
        <v>p_d9176a9536210b5cf6cbfda2aa9d8e633771abe7@inbound.aiesec.org</v>
      </c>
      <c r="F19" s="16">
        <f>IFERROR(__xludf.DUMMYFUNCTION("""COMPUTED_VALUE"""),5.1999154241E10)</f>
        <v>51999154241</v>
      </c>
      <c r="G19" s="16" t="str">
        <f>IFERROR(__xludf.DUMMYFUNCTION("""COMPUTED_VALUE"""),"Brazil")</f>
        <v>Brazil</v>
      </c>
      <c r="H19" s="16" t="str">
        <f>IFERROR(__xludf.DUMMYFUNCTION("""COMPUTED_VALUE"""),"PORTO ALEGRE")</f>
        <v>PORTO ALEGRE</v>
      </c>
      <c r="I19" s="16" t="str">
        <f>IFERROR(__xludf.DUMMYFUNCTION("""COMPUTED_VALUE"""),"Turkey")</f>
        <v>Turkey</v>
      </c>
      <c r="J19" s="16" t="str">
        <f>IFERROR(__xludf.DUMMYFUNCTION("""COMPUTED_VALUE"""),"BURSA")</f>
        <v>BURSA</v>
      </c>
      <c r="K19" s="17" t="str">
        <f>IFERROR(__xludf.DUMMYFUNCTION("""COMPUTED_VALUE"""),"https://expa.aiesec.org/opportunities/1289502")</f>
        <v>https://expa.aiesec.org/opportunities/1289502</v>
      </c>
      <c r="L19" s="16" t="str">
        <f>IFERROR(__xludf.DUMMYFUNCTION("""COMPUTED_VALUE"""),"GV")</f>
        <v>GV</v>
      </c>
      <c r="M19" s="16" t="str">
        <f>IFERROR(__xludf.DUMMYFUNCTION("""COMPUTED_VALUE"""),"short")</f>
        <v>short</v>
      </c>
      <c r="N19" s="18">
        <f>IFERROR(__xludf.DUMMYFUNCTION("""COMPUTED_VALUE"""),44851.0)</f>
        <v>44851</v>
      </c>
      <c r="O19" s="18">
        <f>IFERROR(__xludf.DUMMYFUNCTION("""COMPUTED_VALUE"""),45033.0)</f>
        <v>45033</v>
      </c>
      <c r="P19" s="18">
        <f>IFERROR(__xludf.DUMMYFUNCTION("""COMPUTED_VALUE"""),45075.0)</f>
        <v>45075</v>
      </c>
      <c r="Q19" s="18"/>
      <c r="R19" s="18"/>
      <c r="S19" s="16"/>
      <c r="T19" s="16"/>
      <c r="U19" s="16" t="str">
        <f>IFERROR(__xludf.DUMMYFUNCTION("""COMPUTED_VALUE"""),"Youth 4 Impact")</f>
        <v>Youth 4 Impact</v>
      </c>
      <c r="V19" s="16" t="str">
        <f>IFERROR(__xludf.DUMMYFUNCTION("""COMPUTED_VALUE"""),"-")</f>
        <v>-</v>
      </c>
      <c r="W19" s="16" t="str">
        <f>IFERROR(__xludf.DUMMYFUNCTION("""COMPUTED_VALUE"""),"2019-03-24T00:29:59Z")</f>
        <v>2019-03-24T00:29:59Z</v>
      </c>
      <c r="X19" s="16"/>
      <c r="Y19" s="16"/>
      <c r="Z19" s="16"/>
    </row>
    <row r="20">
      <c r="A20" s="16" t="str">
        <f>IFERROR(__xludf.DUMMYFUNCTION("""COMPUTED_VALUE"""),"5129219_1285687")</f>
        <v>5129219_1285687</v>
      </c>
      <c r="B20" s="16" t="str">
        <f>IFERROR(__xludf.DUMMYFUNCTION("""COMPUTED_VALUE"""),"coline MAUPAS")</f>
        <v>coline MAUPAS</v>
      </c>
      <c r="C20" s="16" t="str">
        <f>IFERROR(__xludf.DUMMYFUNCTION("""COMPUTED_VALUE"""),"approved")</f>
        <v>approved</v>
      </c>
      <c r="D20" s="16" t="str">
        <f>IFERROR(__xludf.DUMMYFUNCTION("""COMPUTED_VALUE"""),"No")</f>
        <v>No</v>
      </c>
      <c r="E20" s="16" t="str">
        <f>IFERROR(__xludf.DUMMYFUNCTION("""COMPUTED_VALUE"""),"p_178011dd307713b562d77c6b101a2337ecb3bc75@inbound.aiesec.org")</f>
        <v>p_178011dd307713b562d77c6b101a2337ecb3bc75@inbound.aiesec.org</v>
      </c>
      <c r="F20" s="16">
        <f>IFERROR(__xludf.DUMMYFUNCTION("""COMPUTED_VALUE"""),6.52415088E8)</f>
        <v>652415088</v>
      </c>
      <c r="G20" s="16" t="str">
        <f>IFERROR(__xludf.DUMMYFUNCTION("""COMPUTED_VALUE"""),"France")</f>
        <v>France</v>
      </c>
      <c r="H20" s="16" t="str">
        <f>IFERROR(__xludf.DUMMYFUNCTION("""COMPUTED_VALUE"""),"MC France")</f>
        <v>MC France</v>
      </c>
      <c r="I20" s="16" t="str">
        <f>IFERROR(__xludf.DUMMYFUNCTION("""COMPUTED_VALUE"""),"Turkey")</f>
        <v>Turkey</v>
      </c>
      <c r="J20" s="16" t="str">
        <f>IFERROR(__xludf.DUMMYFUNCTION("""COMPUTED_VALUE"""),"ISTANBUL")</f>
        <v>ISTANBUL</v>
      </c>
      <c r="K20" s="17" t="str">
        <f>IFERROR(__xludf.DUMMYFUNCTION("""COMPUTED_VALUE"""),"https://expa.aiesec.org/opportunities/1285687")</f>
        <v>https://expa.aiesec.org/opportunities/1285687</v>
      </c>
      <c r="L20" s="16" t="str">
        <f>IFERROR(__xludf.DUMMYFUNCTION("""COMPUTED_VALUE"""),"GV")</f>
        <v>GV</v>
      </c>
      <c r="M20" s="16" t="str">
        <f>IFERROR(__xludf.DUMMYFUNCTION("""COMPUTED_VALUE"""),"short")</f>
        <v>short</v>
      </c>
      <c r="N20" s="18">
        <f>IFERROR(__xludf.DUMMYFUNCTION("""COMPUTED_VALUE"""),44852.0)</f>
        <v>44852</v>
      </c>
      <c r="O20" s="18">
        <f>IFERROR(__xludf.DUMMYFUNCTION("""COMPUTED_VALUE"""),44956.0)</f>
        <v>44956</v>
      </c>
      <c r="P20" s="18">
        <f>IFERROR(__xludf.DUMMYFUNCTION("""COMPUTED_VALUE"""),44998.0)</f>
        <v>44998</v>
      </c>
      <c r="Q20" s="18"/>
      <c r="R20" s="18"/>
      <c r="S20" s="16"/>
      <c r="T20" s="16"/>
      <c r="U20" s="16" t="str">
        <f>IFERROR(__xludf.DUMMYFUNCTION("""COMPUTED_VALUE"""),"Youth 4 Impact")</f>
        <v>Youth 4 Impact</v>
      </c>
      <c r="V20" s="16" t="str">
        <f>IFERROR(__xludf.DUMMYFUNCTION("""COMPUTED_VALUE"""),"Bordeaux - other University")</f>
        <v>Bordeaux - other University</v>
      </c>
      <c r="W20" s="16" t="str">
        <f>IFERROR(__xludf.DUMMYFUNCTION("""COMPUTED_VALUE"""),"2022-10-10T14:52:03Z")</f>
        <v>2022-10-10T14:52:03Z</v>
      </c>
      <c r="X20" s="16"/>
      <c r="Y20" s="16"/>
      <c r="Z20" s="16"/>
    </row>
    <row r="21">
      <c r="A21" s="16" t="str">
        <f>IFERROR(__xludf.DUMMYFUNCTION("""COMPUTED_VALUE"""),"5138176_1288711")</f>
        <v>5138176_1288711</v>
      </c>
      <c r="B21" s="16" t="str">
        <f>IFERROR(__xludf.DUMMYFUNCTION("""COMPUTED_VALUE"""),"yoldez bouali")</f>
        <v>yoldez bouali</v>
      </c>
      <c r="C21" s="16" t="str">
        <f>IFERROR(__xludf.DUMMYFUNCTION("""COMPUTED_VALUE"""),"approved")</f>
        <v>approved</v>
      </c>
      <c r="D21" s="16" t="str">
        <f>IFERROR(__xludf.DUMMYFUNCTION("""COMPUTED_VALUE"""),"No")</f>
        <v>No</v>
      </c>
      <c r="E21" s="16" t="str">
        <f>IFERROR(__xludf.DUMMYFUNCTION("""COMPUTED_VALUE"""),"p_7807d9c950ad25164227597f9e716284745b03d7@inbound.aiesec.org")</f>
        <v>p_7807d9c950ad25164227597f9e716284745b03d7@inbound.aiesec.org</v>
      </c>
      <c r="F21" s="16">
        <f>IFERROR(__xludf.DUMMYFUNCTION("""COMPUTED_VALUE"""),5.256089E7)</f>
        <v>52560890</v>
      </c>
      <c r="G21" s="16" t="str">
        <f>IFERROR(__xludf.DUMMYFUNCTION("""COMPUTED_VALUE"""),"Tunisia")</f>
        <v>Tunisia</v>
      </c>
      <c r="H21" s="16" t="str">
        <f>IFERROR(__xludf.DUMMYFUNCTION("""COMPUTED_VALUE"""),"HADRUMET")</f>
        <v>HADRUMET</v>
      </c>
      <c r="I21" s="16" t="str">
        <f>IFERROR(__xludf.DUMMYFUNCTION("""COMPUTED_VALUE"""),"Turkey")</f>
        <v>Turkey</v>
      </c>
      <c r="J21" s="16" t="str">
        <f>IFERROR(__xludf.DUMMYFUNCTION("""COMPUTED_VALUE"""),"TRABZON")</f>
        <v>TRABZON</v>
      </c>
      <c r="K21" s="17" t="str">
        <f>IFERROR(__xludf.DUMMYFUNCTION("""COMPUTED_VALUE"""),"https://expa.aiesec.org/opportunities/1288711")</f>
        <v>https://expa.aiesec.org/opportunities/1288711</v>
      </c>
      <c r="L21" s="16" t="str">
        <f>IFERROR(__xludf.DUMMYFUNCTION("""COMPUTED_VALUE"""),"GV")</f>
        <v>GV</v>
      </c>
      <c r="M21" s="16" t="str">
        <f>IFERROR(__xludf.DUMMYFUNCTION("""COMPUTED_VALUE"""),"short")</f>
        <v>short</v>
      </c>
      <c r="N21" s="18">
        <f>IFERROR(__xludf.DUMMYFUNCTION("""COMPUTED_VALUE"""),44855.0)</f>
        <v>44855</v>
      </c>
      <c r="O21" s="18">
        <f>IFERROR(__xludf.DUMMYFUNCTION("""COMPUTED_VALUE"""),45109.0)</f>
        <v>45109</v>
      </c>
      <c r="P21" s="18">
        <f>IFERROR(__xludf.DUMMYFUNCTION("""COMPUTED_VALUE"""),45151.0)</f>
        <v>45151</v>
      </c>
      <c r="Q21" s="18"/>
      <c r="R21" s="18"/>
      <c r="S21" s="16"/>
      <c r="T21" s="16"/>
      <c r="U21" s="16" t="str">
        <f>IFERROR(__xludf.DUMMYFUNCTION("""COMPUTED_VALUE"""),"Global Classroom")</f>
        <v>Global Classroom</v>
      </c>
      <c r="V21" s="16" t="str">
        <f>IFERROR(__xludf.DUMMYFUNCTION("""COMPUTED_VALUE"""),"IHEC Sousse")</f>
        <v>IHEC Sousse</v>
      </c>
      <c r="W21" s="16" t="str">
        <f>IFERROR(__xludf.DUMMYFUNCTION("""COMPUTED_VALUE"""),"2022-10-21T16:29:42Z")</f>
        <v>2022-10-21T16:29:42Z</v>
      </c>
      <c r="X21" s="16"/>
      <c r="Y21" s="16"/>
      <c r="Z21" s="16"/>
    </row>
    <row r="22">
      <c r="A22" s="16" t="str">
        <f>IFERROR(__xludf.DUMMYFUNCTION("""COMPUTED_VALUE"""),"5138173_1288711")</f>
        <v>5138173_1288711</v>
      </c>
      <c r="B22" s="16" t="str">
        <f>IFERROR(__xludf.DUMMYFUNCTION("""COMPUTED_VALUE"""),"nouhe mathlouthi")</f>
        <v>nouhe mathlouthi</v>
      </c>
      <c r="C22" s="16" t="str">
        <f>IFERROR(__xludf.DUMMYFUNCTION("""COMPUTED_VALUE"""),"approved")</f>
        <v>approved</v>
      </c>
      <c r="D22" s="16" t="str">
        <f>IFERROR(__xludf.DUMMYFUNCTION("""COMPUTED_VALUE"""),"No")</f>
        <v>No</v>
      </c>
      <c r="E22" s="16" t="str">
        <f>IFERROR(__xludf.DUMMYFUNCTION("""COMPUTED_VALUE"""),"p_16b82ac3f173d44e812ae0fc75af6541502bed96@inbound.aiesec.org")</f>
        <v>p_16b82ac3f173d44e812ae0fc75af6541502bed96@inbound.aiesec.org</v>
      </c>
      <c r="F22" s="16">
        <f>IFERROR(__xludf.DUMMYFUNCTION("""COMPUTED_VALUE"""),5.593906E7)</f>
        <v>55939060</v>
      </c>
      <c r="G22" s="16" t="str">
        <f>IFERROR(__xludf.DUMMYFUNCTION("""COMPUTED_VALUE"""),"Tunisia")</f>
        <v>Tunisia</v>
      </c>
      <c r="H22" s="16" t="str">
        <f>IFERROR(__xludf.DUMMYFUNCTION("""COMPUTED_VALUE"""),"HADRUMET")</f>
        <v>HADRUMET</v>
      </c>
      <c r="I22" s="16" t="str">
        <f>IFERROR(__xludf.DUMMYFUNCTION("""COMPUTED_VALUE"""),"Turkey")</f>
        <v>Turkey</v>
      </c>
      <c r="J22" s="16" t="str">
        <f>IFERROR(__xludf.DUMMYFUNCTION("""COMPUTED_VALUE"""),"TRABZON")</f>
        <v>TRABZON</v>
      </c>
      <c r="K22" s="17" t="str">
        <f>IFERROR(__xludf.DUMMYFUNCTION("""COMPUTED_VALUE"""),"https://expa.aiesec.org/opportunities/1288711")</f>
        <v>https://expa.aiesec.org/opportunities/1288711</v>
      </c>
      <c r="L22" s="16" t="str">
        <f>IFERROR(__xludf.DUMMYFUNCTION("""COMPUTED_VALUE"""),"GV")</f>
        <v>GV</v>
      </c>
      <c r="M22" s="16" t="str">
        <f>IFERROR(__xludf.DUMMYFUNCTION("""COMPUTED_VALUE"""),"short")</f>
        <v>short</v>
      </c>
      <c r="N22" s="18">
        <f>IFERROR(__xludf.DUMMYFUNCTION("""COMPUTED_VALUE"""),44855.0)</f>
        <v>44855</v>
      </c>
      <c r="O22" s="18">
        <f>IFERROR(__xludf.DUMMYFUNCTION("""COMPUTED_VALUE"""),45109.0)</f>
        <v>45109</v>
      </c>
      <c r="P22" s="18">
        <f>IFERROR(__xludf.DUMMYFUNCTION("""COMPUTED_VALUE"""),45151.0)</f>
        <v>45151</v>
      </c>
      <c r="Q22" s="18"/>
      <c r="R22" s="18"/>
      <c r="S22" s="16"/>
      <c r="T22" s="16"/>
      <c r="U22" s="16" t="str">
        <f>IFERROR(__xludf.DUMMYFUNCTION("""COMPUTED_VALUE"""),"Global Classroom")</f>
        <v>Global Classroom</v>
      </c>
      <c r="V22" s="16" t="str">
        <f>IFERROR(__xludf.DUMMYFUNCTION("""COMPUTED_VALUE"""),"IHEC Sousse")</f>
        <v>IHEC Sousse</v>
      </c>
      <c r="W22" s="16" t="str">
        <f>IFERROR(__xludf.DUMMYFUNCTION("""COMPUTED_VALUE"""),"2022-10-21T16:26:05Z")</f>
        <v>2022-10-21T16:26:05Z</v>
      </c>
      <c r="X22" s="16"/>
      <c r="Y22" s="16"/>
      <c r="Z22" s="16"/>
    </row>
    <row r="23">
      <c r="A23" s="16" t="str">
        <f>IFERROR(__xludf.DUMMYFUNCTION("""COMPUTED_VALUE"""),"5130648_1288711")</f>
        <v>5130648_1288711</v>
      </c>
      <c r="B23" s="16" t="str">
        <f>IFERROR(__xludf.DUMMYFUNCTION("""COMPUTED_VALUE"""),"MOHAMMED TAHA SADAD LACHHEB")</f>
        <v>MOHAMMED TAHA SADAD LACHHEB</v>
      </c>
      <c r="C23" s="16" t="str">
        <f>IFERROR(__xludf.DUMMYFUNCTION("""COMPUTED_VALUE"""),"approved")</f>
        <v>approved</v>
      </c>
      <c r="D23" s="16" t="str">
        <f>IFERROR(__xludf.DUMMYFUNCTION("""COMPUTED_VALUE"""),"No")</f>
        <v>No</v>
      </c>
      <c r="E23" s="16" t="str">
        <f>IFERROR(__xludf.DUMMYFUNCTION("""COMPUTED_VALUE"""),"p_1b9e95e8050dda85f088a30b56364b23731ec135@inbound.aiesec.org")</f>
        <v>p_1b9e95e8050dda85f088a30b56364b23731ec135@inbound.aiesec.org</v>
      </c>
      <c r="F23" s="16">
        <f>IFERROR(__xludf.DUMMYFUNCTION("""COMPUTED_VALUE"""),6.00980486E8)</f>
        <v>600980486</v>
      </c>
      <c r="G23" s="16" t="str">
        <f>IFERROR(__xludf.DUMMYFUNCTION("""COMPUTED_VALUE"""),"Morocco")</f>
        <v>Morocco</v>
      </c>
      <c r="H23" s="16" t="str">
        <f>IFERROR(__xludf.DUMMYFUNCTION("""COMPUTED_VALUE"""),"Fez")</f>
        <v>Fez</v>
      </c>
      <c r="I23" s="16" t="str">
        <f>IFERROR(__xludf.DUMMYFUNCTION("""COMPUTED_VALUE"""),"Turkey")</f>
        <v>Turkey</v>
      </c>
      <c r="J23" s="16" t="str">
        <f>IFERROR(__xludf.DUMMYFUNCTION("""COMPUTED_VALUE"""),"TRABZON")</f>
        <v>TRABZON</v>
      </c>
      <c r="K23" s="17" t="str">
        <f>IFERROR(__xludf.DUMMYFUNCTION("""COMPUTED_VALUE"""),"https://expa.aiesec.org/opportunities/1288711")</f>
        <v>https://expa.aiesec.org/opportunities/1288711</v>
      </c>
      <c r="L23" s="16" t="str">
        <f>IFERROR(__xludf.DUMMYFUNCTION("""COMPUTED_VALUE"""),"GV")</f>
        <v>GV</v>
      </c>
      <c r="M23" s="16" t="str">
        <f>IFERROR(__xludf.DUMMYFUNCTION("""COMPUTED_VALUE"""),"short")</f>
        <v>short</v>
      </c>
      <c r="N23" s="18">
        <f>IFERROR(__xludf.DUMMYFUNCTION("""COMPUTED_VALUE"""),44857.0)</f>
        <v>44857</v>
      </c>
      <c r="O23" s="18">
        <f>IFERROR(__xludf.DUMMYFUNCTION("""COMPUTED_VALUE"""),45109.0)</f>
        <v>45109</v>
      </c>
      <c r="P23" s="18">
        <f>IFERROR(__xludf.DUMMYFUNCTION("""COMPUTED_VALUE"""),45151.0)</f>
        <v>45151</v>
      </c>
      <c r="Q23" s="18"/>
      <c r="R23" s="18"/>
      <c r="S23" s="16"/>
      <c r="T23" s="16"/>
      <c r="U23" s="16" t="str">
        <f>IFERROR(__xludf.DUMMYFUNCTION("""COMPUTED_VALUE"""),"Global Classroom")</f>
        <v>Global Classroom</v>
      </c>
      <c r="V23" s="16" t="str">
        <f>IFERROR(__xludf.DUMMYFUNCTION("""COMPUTED_VALUE"""),"Ecole Nationale De Commerce Et De Gestion Fès (ENCGF)")</f>
        <v>Ecole Nationale De Commerce Et De Gestion Fès (ENCGF)</v>
      </c>
      <c r="W23" s="16" t="str">
        <f>IFERROR(__xludf.DUMMYFUNCTION("""COMPUTED_VALUE"""),"2022-10-12T09:08:44Z")</f>
        <v>2022-10-12T09:08:44Z</v>
      </c>
      <c r="X23" s="16"/>
      <c r="Y23" s="16"/>
      <c r="Z23" s="16"/>
    </row>
    <row r="24">
      <c r="A24" s="16" t="str">
        <f>IFERROR(__xludf.DUMMYFUNCTION("""COMPUTED_VALUE"""),"5141705_1289347")</f>
        <v>5141705_1289347</v>
      </c>
      <c r="B24" s="16" t="str">
        <f>IFERROR(__xludf.DUMMYFUNCTION("""COMPUTED_VALUE"""),"Ayoub Dhaouadi")</f>
        <v>Ayoub Dhaouadi</v>
      </c>
      <c r="C24" s="16" t="str">
        <f>IFERROR(__xludf.DUMMYFUNCTION("""COMPUTED_VALUE"""),"approved")</f>
        <v>approved</v>
      </c>
      <c r="D24" s="16" t="str">
        <f>IFERROR(__xludf.DUMMYFUNCTION("""COMPUTED_VALUE"""),"No")</f>
        <v>No</v>
      </c>
      <c r="E24" s="16" t="str">
        <f>IFERROR(__xludf.DUMMYFUNCTION("""COMPUTED_VALUE"""),"p_31551f77179ba1e7648f630e4914a849498581a0@inbound.aiesec.org")</f>
        <v>p_31551f77179ba1e7648f630e4914a849498581a0@inbound.aiesec.org</v>
      </c>
      <c r="F24" s="16">
        <f>IFERROR(__xludf.DUMMYFUNCTION("""COMPUTED_VALUE"""),5.3003253E7)</f>
        <v>53003253</v>
      </c>
      <c r="G24" s="16" t="str">
        <f>IFERROR(__xludf.DUMMYFUNCTION("""COMPUTED_VALUE"""),"Tunisia")</f>
        <v>Tunisia</v>
      </c>
      <c r="H24" s="16" t="str">
        <f>IFERROR(__xludf.DUMMYFUNCTION("""COMPUTED_VALUE"""),"HADRUMET")</f>
        <v>HADRUMET</v>
      </c>
      <c r="I24" s="16" t="str">
        <f>IFERROR(__xludf.DUMMYFUNCTION("""COMPUTED_VALUE"""),"Turkey")</f>
        <v>Turkey</v>
      </c>
      <c r="J24" s="16" t="str">
        <f>IFERROR(__xludf.DUMMYFUNCTION("""COMPUTED_VALUE"""),"ADANA")</f>
        <v>ADANA</v>
      </c>
      <c r="K24" s="17" t="str">
        <f>IFERROR(__xludf.DUMMYFUNCTION("""COMPUTED_VALUE"""),"https://expa.aiesec.org/opportunities/1289347")</f>
        <v>https://expa.aiesec.org/opportunities/1289347</v>
      </c>
      <c r="L24" s="16" t="str">
        <f>IFERROR(__xludf.DUMMYFUNCTION("""COMPUTED_VALUE"""),"GV")</f>
        <v>GV</v>
      </c>
      <c r="M24" s="16" t="str">
        <f>IFERROR(__xludf.DUMMYFUNCTION("""COMPUTED_VALUE"""),"short")</f>
        <v>short</v>
      </c>
      <c r="N24" s="18">
        <f>IFERROR(__xludf.DUMMYFUNCTION("""COMPUTED_VALUE"""),44861.0)</f>
        <v>44861</v>
      </c>
      <c r="O24" s="18">
        <f>IFERROR(__xludf.DUMMYFUNCTION("""COMPUTED_VALUE"""),45103.0)</f>
        <v>45103</v>
      </c>
      <c r="P24" s="18">
        <f>IFERROR(__xludf.DUMMYFUNCTION("""COMPUTED_VALUE"""),45149.0)</f>
        <v>45149</v>
      </c>
      <c r="Q24" s="18"/>
      <c r="R24" s="18"/>
      <c r="S24" s="16"/>
      <c r="T24" s="16"/>
      <c r="U24" s="16" t="str">
        <f>IFERROR(__xludf.DUMMYFUNCTION("""COMPUTED_VALUE"""),"Global Classroom")</f>
        <v>Global Classroom</v>
      </c>
      <c r="V24" s="16" t="str">
        <f>IFERROR(__xludf.DUMMYFUNCTION("""COMPUTED_VALUE"""),"ESSTHS")</f>
        <v>ESSTHS</v>
      </c>
      <c r="W24" s="16" t="str">
        <f>IFERROR(__xludf.DUMMYFUNCTION("""COMPUTED_VALUE"""),"2022-10-27T17:33:27Z")</f>
        <v>2022-10-27T17:33:27Z</v>
      </c>
      <c r="X24" s="16"/>
      <c r="Y24" s="16"/>
      <c r="Z24" s="16"/>
    </row>
    <row r="25">
      <c r="A25" s="16" t="str">
        <f>IFERROR(__xludf.DUMMYFUNCTION("""COMPUTED_VALUE"""),"4004319_1285681")</f>
        <v>4004319_1285681</v>
      </c>
      <c r="B25" s="16" t="str">
        <f>IFERROR(__xludf.DUMMYFUNCTION("""COMPUTED_VALUE"""),"Lidia Machado Gomes")</f>
        <v>Lidia Machado Gomes</v>
      </c>
      <c r="C25" s="16" t="str">
        <f>IFERROR(__xludf.DUMMYFUNCTION("""COMPUTED_VALUE"""),"approved")</f>
        <v>approved</v>
      </c>
      <c r="D25" s="16" t="str">
        <f>IFERROR(__xludf.DUMMYFUNCTION("""COMPUTED_VALUE"""),"No")</f>
        <v>No</v>
      </c>
      <c r="E25" s="16" t="str">
        <f>IFERROR(__xludf.DUMMYFUNCTION("""COMPUTED_VALUE"""),"p_b5cf361cf2f92a909e205d987f2ea9d3c6a2680f@inbound.aiesec.org")</f>
        <v>p_b5cf361cf2f92a909e205d987f2ea9d3c6a2680f@inbound.aiesec.org</v>
      </c>
      <c r="F25" s="16">
        <f>IFERROR(__xludf.DUMMYFUNCTION("""COMPUTED_VALUE"""),3.4998686597E10)</f>
        <v>34998686597</v>
      </c>
      <c r="G25" s="16" t="str">
        <f>IFERROR(__xludf.DUMMYFUNCTION("""COMPUTED_VALUE"""),"Brazil")</f>
        <v>Brazil</v>
      </c>
      <c r="H25" s="16" t="str">
        <f>IFERROR(__xludf.DUMMYFUNCTION("""COMPUTED_VALUE"""),"UBERLÂNDIA")</f>
        <v>UBERLÂNDIA</v>
      </c>
      <c r="I25" s="16" t="str">
        <f>IFERROR(__xludf.DUMMYFUNCTION("""COMPUTED_VALUE"""),"Turkey")</f>
        <v>Turkey</v>
      </c>
      <c r="J25" s="16" t="str">
        <f>IFERROR(__xludf.DUMMYFUNCTION("""COMPUTED_VALUE"""),"DENIZLI")</f>
        <v>DENIZLI</v>
      </c>
      <c r="K25" s="17" t="str">
        <f>IFERROR(__xludf.DUMMYFUNCTION("""COMPUTED_VALUE"""),"https://expa.aiesec.org/opportunities/1285681")</f>
        <v>https://expa.aiesec.org/opportunities/1285681</v>
      </c>
      <c r="L25" s="16" t="str">
        <f>IFERROR(__xludf.DUMMYFUNCTION("""COMPUTED_VALUE"""),"GV")</f>
        <v>GV</v>
      </c>
      <c r="M25" s="16" t="str">
        <f>IFERROR(__xludf.DUMMYFUNCTION("""COMPUTED_VALUE"""),"short")</f>
        <v>short</v>
      </c>
      <c r="N25" s="18">
        <f>IFERROR(__xludf.DUMMYFUNCTION("""COMPUTED_VALUE"""),44862.0)</f>
        <v>44862</v>
      </c>
      <c r="O25" s="18">
        <f>IFERROR(__xludf.DUMMYFUNCTION("""COMPUTED_VALUE"""),45117.0)</f>
        <v>45117</v>
      </c>
      <c r="P25" s="18">
        <f>IFERROR(__xludf.DUMMYFUNCTION("""COMPUTED_VALUE"""),45159.0)</f>
        <v>45159</v>
      </c>
      <c r="Q25" s="18"/>
      <c r="R25" s="18"/>
      <c r="S25" s="16"/>
      <c r="T25" s="16"/>
      <c r="U25" s="16" t="str">
        <f>IFERROR(__xludf.DUMMYFUNCTION("""COMPUTED_VALUE"""),"Equify")</f>
        <v>Equify</v>
      </c>
      <c r="V25" s="16" t="str">
        <f>IFERROR(__xludf.DUMMYFUNCTION("""COMPUTED_VALUE"""),"Uberlândia")</f>
        <v>Uberlândia</v>
      </c>
      <c r="W25" s="16" t="str">
        <f>IFERROR(__xludf.DUMMYFUNCTION("""COMPUTED_VALUE"""),"2019-11-16T22:20:46Z")</f>
        <v>2019-11-16T22:20:46Z</v>
      </c>
      <c r="X25" s="16"/>
      <c r="Y25" s="16"/>
      <c r="Z25" s="16"/>
    </row>
    <row r="26">
      <c r="A26" s="16" t="str">
        <f>IFERROR(__xludf.DUMMYFUNCTION("""COMPUTED_VALUE"""),"5143899_1283483")</f>
        <v>5143899_1283483</v>
      </c>
      <c r="B26" s="16" t="str">
        <f>IFERROR(__xludf.DUMMYFUNCTION("""COMPUTED_VALUE"""),"ameni hwimdi")</f>
        <v>ameni hwimdi</v>
      </c>
      <c r="C26" s="16" t="str">
        <f>IFERROR(__xludf.DUMMYFUNCTION("""COMPUTED_VALUE"""),"approved")</f>
        <v>approved</v>
      </c>
      <c r="D26" s="16" t="str">
        <f>IFERROR(__xludf.DUMMYFUNCTION("""COMPUTED_VALUE"""),"No")</f>
        <v>No</v>
      </c>
      <c r="E26" s="16" t="str">
        <f>IFERROR(__xludf.DUMMYFUNCTION("""COMPUTED_VALUE"""),"p_d0e40c346cd96343d8cdb74b0bda4c04db973808@inbound.aiesec.org")</f>
        <v>p_d0e40c346cd96343d8cdb74b0bda4c04db973808@inbound.aiesec.org</v>
      </c>
      <c r="F26" s="16">
        <f>IFERROR(__xludf.DUMMYFUNCTION("""COMPUTED_VALUE"""),2.6426455E7)</f>
        <v>26426455</v>
      </c>
      <c r="G26" s="16" t="str">
        <f>IFERROR(__xludf.DUMMYFUNCTION("""COMPUTED_VALUE"""),"Tunisia")</f>
        <v>Tunisia</v>
      </c>
      <c r="H26" s="16" t="str">
        <f>IFERROR(__xludf.DUMMYFUNCTION("""COMPUTED_VALUE"""),"HADRUMET")</f>
        <v>HADRUMET</v>
      </c>
      <c r="I26" s="16" t="str">
        <f>IFERROR(__xludf.DUMMYFUNCTION("""COMPUTED_VALUE"""),"Turkey")</f>
        <v>Turkey</v>
      </c>
      <c r="J26" s="16" t="str">
        <f>IFERROR(__xludf.DUMMYFUNCTION("""COMPUTED_VALUE"""),"KONYA")</f>
        <v>KONYA</v>
      </c>
      <c r="K26" s="17" t="str">
        <f>IFERROR(__xludf.DUMMYFUNCTION("""COMPUTED_VALUE"""),"https://expa.aiesec.org/opportunities/1283483")</f>
        <v>https://expa.aiesec.org/opportunities/1283483</v>
      </c>
      <c r="L26" s="16" t="str">
        <f>IFERROR(__xludf.DUMMYFUNCTION("""COMPUTED_VALUE"""),"GV")</f>
        <v>GV</v>
      </c>
      <c r="M26" s="16" t="str">
        <f>IFERROR(__xludf.DUMMYFUNCTION("""COMPUTED_VALUE"""),"short")</f>
        <v>short</v>
      </c>
      <c r="N26" s="18">
        <f>IFERROR(__xludf.DUMMYFUNCTION("""COMPUTED_VALUE"""),44865.0)</f>
        <v>44865</v>
      </c>
      <c r="O26" s="18">
        <f>IFERROR(__xludf.DUMMYFUNCTION("""COMPUTED_VALUE"""),45117.0)</f>
        <v>45117</v>
      </c>
      <c r="P26" s="18">
        <f>IFERROR(__xludf.DUMMYFUNCTION("""COMPUTED_VALUE"""),45159.0)</f>
        <v>45159</v>
      </c>
      <c r="Q26" s="18"/>
      <c r="R26" s="18"/>
      <c r="S26" s="16"/>
      <c r="T26" s="16"/>
      <c r="U26" s="16" t="str">
        <f>IFERROR(__xludf.DUMMYFUNCTION("""COMPUTED_VALUE"""),"Global Classroom")</f>
        <v>Global Classroom</v>
      </c>
      <c r="V26" s="16" t="str">
        <f>IFERROR(__xludf.DUMMYFUNCTION("""COMPUTED_VALUE"""),"FSEG Sousse")</f>
        <v>FSEG Sousse</v>
      </c>
      <c r="W26" s="16" t="str">
        <f>IFERROR(__xludf.DUMMYFUNCTION("""COMPUTED_VALUE"""),"2022-10-31T17:55:32Z")</f>
        <v>2022-10-31T17:55:32Z</v>
      </c>
      <c r="X26" s="16"/>
      <c r="Y26" s="16"/>
      <c r="Z26" s="16"/>
    </row>
    <row r="27">
      <c r="A27" s="16" t="str">
        <f>IFERROR(__xludf.DUMMYFUNCTION("""COMPUTED_VALUE"""),"4905864_1287855")</f>
        <v>4905864_1287855</v>
      </c>
      <c r="B27" s="16" t="str">
        <f>IFERROR(__xludf.DUMMYFUNCTION("""COMPUTED_VALUE"""),"Teodora Jovanović")</f>
        <v>Teodora Jovanović</v>
      </c>
      <c r="C27" s="16" t="str">
        <f>IFERROR(__xludf.DUMMYFUNCTION("""COMPUTED_VALUE"""),"approved")</f>
        <v>approved</v>
      </c>
      <c r="D27" s="16" t="str">
        <f>IFERROR(__xludf.DUMMYFUNCTION("""COMPUTED_VALUE"""),"No")</f>
        <v>No</v>
      </c>
      <c r="E27" s="16" t="str">
        <f>IFERROR(__xludf.DUMMYFUNCTION("""COMPUTED_VALUE"""),"p_2309dabe3a8dd6c5694d931488fc6996c01b9641@inbound.aiesec.org")</f>
        <v>p_2309dabe3a8dd6c5694d931488fc6996c01b9641@inbound.aiesec.org</v>
      </c>
      <c r="F27" s="16">
        <f>IFERROR(__xludf.DUMMYFUNCTION("""COMPUTED_VALUE"""),6.65084848E8)</f>
        <v>665084848</v>
      </c>
      <c r="G27" s="16" t="str">
        <f>IFERROR(__xludf.DUMMYFUNCTION("""COMPUTED_VALUE"""),"Serbia")</f>
        <v>Serbia</v>
      </c>
      <c r="H27" s="16" t="str">
        <f>IFERROR(__xludf.DUMMYFUNCTION("""COMPUTED_VALUE"""),"BELGRADE FON")</f>
        <v>BELGRADE FON</v>
      </c>
      <c r="I27" s="16" t="str">
        <f>IFERROR(__xludf.DUMMYFUNCTION("""COMPUTED_VALUE"""),"Turkey")</f>
        <v>Turkey</v>
      </c>
      <c r="J27" s="16" t="str">
        <f>IFERROR(__xludf.DUMMYFUNCTION("""COMPUTED_VALUE"""),"İZMİR")</f>
        <v>İZMİR</v>
      </c>
      <c r="K27" s="17" t="str">
        <f>IFERROR(__xludf.DUMMYFUNCTION("""COMPUTED_VALUE"""),"https://expa.aiesec.org/opportunities/1287855")</f>
        <v>https://expa.aiesec.org/opportunities/1287855</v>
      </c>
      <c r="L27" s="16" t="str">
        <f>IFERROR(__xludf.DUMMYFUNCTION("""COMPUTED_VALUE"""),"GV")</f>
        <v>GV</v>
      </c>
      <c r="M27" s="16" t="str">
        <f>IFERROR(__xludf.DUMMYFUNCTION("""COMPUTED_VALUE"""),"short")</f>
        <v>short</v>
      </c>
      <c r="N27" s="18">
        <f>IFERROR(__xludf.DUMMYFUNCTION("""COMPUTED_VALUE"""),44865.0)</f>
        <v>44865</v>
      </c>
      <c r="O27" s="18">
        <f>IFERROR(__xludf.DUMMYFUNCTION("""COMPUTED_VALUE"""),44990.0)</f>
        <v>44990</v>
      </c>
      <c r="P27" s="18">
        <f>IFERROR(__xludf.DUMMYFUNCTION("""COMPUTED_VALUE"""),45032.0)</f>
        <v>45032</v>
      </c>
      <c r="Q27" s="18"/>
      <c r="R27" s="18"/>
      <c r="S27" s="16"/>
      <c r="T27" s="16"/>
      <c r="U27" s="16" t="str">
        <f>IFERROR(__xludf.DUMMYFUNCTION("""COMPUTED_VALUE"""),"Global Classroom")</f>
        <v>Global Classroom</v>
      </c>
      <c r="V27" s="16" t="str">
        <f>IFERROR(__xludf.DUMMYFUNCTION("""COMPUTED_VALUE"""),"Faculty of Philology, Belgrade")</f>
        <v>Faculty of Philology, Belgrade</v>
      </c>
      <c r="W27" s="16" t="str">
        <f>IFERROR(__xludf.DUMMYFUNCTION("""COMPUTED_VALUE"""),"2022-01-30T14:56:45Z")</f>
        <v>2022-01-30T14:56:45Z</v>
      </c>
      <c r="X27" s="16"/>
      <c r="Y27" s="16"/>
      <c r="Z27" s="16"/>
    </row>
    <row r="28">
      <c r="A28" s="16" t="str">
        <f>IFERROR(__xludf.DUMMYFUNCTION("""COMPUTED_VALUE"""),"4410090_1287101")</f>
        <v>4410090_1287101</v>
      </c>
      <c r="B28" s="16" t="str">
        <f>IFERROR(__xludf.DUMMYFUNCTION("""COMPUTED_VALUE"""),"Ashwini Chauhan")</f>
        <v>Ashwini Chauhan</v>
      </c>
      <c r="C28" s="16" t="str">
        <f>IFERROR(__xludf.DUMMYFUNCTION("""COMPUTED_VALUE"""),"approved")</f>
        <v>approved</v>
      </c>
      <c r="D28" s="16" t="str">
        <f>IFERROR(__xludf.DUMMYFUNCTION("""COMPUTED_VALUE"""),"No")</f>
        <v>No</v>
      </c>
      <c r="E28" s="16" t="str">
        <f>IFERROR(__xludf.DUMMYFUNCTION("""COMPUTED_VALUE"""),"p_0d9fbbcc223cca1f47ab1e57b0b794315ca6c7ef@inbound.aiesec.org")</f>
        <v>p_0d9fbbcc223cca1f47ab1e57b0b794315ca6c7ef@inbound.aiesec.org</v>
      </c>
      <c r="F28" s="16">
        <f>IFERROR(__xludf.DUMMYFUNCTION("""COMPUTED_VALUE"""),7.255064834E9)</f>
        <v>7255064834</v>
      </c>
      <c r="G28" s="16" t="str">
        <f>IFERROR(__xludf.DUMMYFUNCTION("""COMPUTED_VALUE"""),"India")</f>
        <v>India</v>
      </c>
      <c r="H28" s="16" t="str">
        <f>IFERROR(__xludf.DUMMYFUNCTION("""COMPUTED_VALUE"""),"Chennai")</f>
        <v>Chennai</v>
      </c>
      <c r="I28" s="16" t="str">
        <f>IFERROR(__xludf.DUMMYFUNCTION("""COMPUTED_VALUE"""),"Turkey")</f>
        <v>Turkey</v>
      </c>
      <c r="J28" s="16" t="str">
        <f>IFERROR(__xludf.DUMMYFUNCTION("""COMPUTED_VALUE"""),"İZMİR")</f>
        <v>İZMİR</v>
      </c>
      <c r="K28" s="17" t="str">
        <f>IFERROR(__xludf.DUMMYFUNCTION("""COMPUTED_VALUE"""),"https://expa.aiesec.org/opportunities/1287101")</f>
        <v>https://expa.aiesec.org/opportunities/1287101</v>
      </c>
      <c r="L28" s="16" t="str">
        <f>IFERROR(__xludf.DUMMYFUNCTION("""COMPUTED_VALUE"""),"GV")</f>
        <v>GV</v>
      </c>
      <c r="M28" s="16" t="str">
        <f>IFERROR(__xludf.DUMMYFUNCTION("""COMPUTED_VALUE"""),"short")</f>
        <v>short</v>
      </c>
      <c r="N28" s="18">
        <f>IFERROR(__xludf.DUMMYFUNCTION("""COMPUTED_VALUE"""),44866.0)</f>
        <v>44866</v>
      </c>
      <c r="O28" s="18">
        <f>IFERROR(__xludf.DUMMYFUNCTION("""COMPUTED_VALUE"""),44906.0)</f>
        <v>44906</v>
      </c>
      <c r="P28" s="18">
        <f>IFERROR(__xludf.DUMMYFUNCTION("""COMPUTED_VALUE"""),44948.0)</f>
        <v>44948</v>
      </c>
      <c r="Q28" s="18"/>
      <c r="R28" s="18"/>
      <c r="S28" s="16"/>
      <c r="T28" s="16"/>
      <c r="U28" s="16" t="str">
        <f>IFERROR(__xludf.DUMMYFUNCTION("""COMPUTED_VALUE"""),"Global Classroom")</f>
        <v>Global Classroom</v>
      </c>
      <c r="V28" s="16" t="str">
        <f>IFERROR(__xludf.DUMMYFUNCTION("""COMPUTED_VALUE"""),"Chennai")</f>
        <v>Chennai</v>
      </c>
      <c r="W28" s="16" t="str">
        <f>IFERROR(__xludf.DUMMYFUNCTION("""COMPUTED_VALUE"""),"2020-10-29T16:43:16Z")</f>
        <v>2020-10-29T16:43:16Z</v>
      </c>
      <c r="X28" s="16"/>
      <c r="Y28" s="16"/>
      <c r="Z28" s="16"/>
    </row>
    <row r="29">
      <c r="A29" s="16" t="str">
        <f>IFERROR(__xludf.DUMMYFUNCTION("""COMPUTED_VALUE"""),"5144460_1288970")</f>
        <v>5144460_1288970</v>
      </c>
      <c r="B29" s="16" t="str">
        <f>IFERROR(__xludf.DUMMYFUNCTION("""COMPUTED_VALUE"""),"salma ouchguir")</f>
        <v>salma ouchguir</v>
      </c>
      <c r="C29" s="16" t="str">
        <f>IFERROR(__xludf.DUMMYFUNCTION("""COMPUTED_VALUE"""),"approved")</f>
        <v>approved</v>
      </c>
      <c r="D29" s="16" t="str">
        <f>IFERROR(__xludf.DUMMYFUNCTION("""COMPUTED_VALUE"""),"No")</f>
        <v>No</v>
      </c>
      <c r="E29" s="16" t="str">
        <f>IFERROR(__xludf.DUMMYFUNCTION("""COMPUTED_VALUE"""),"p_ac9876359c3a78be36ee2a83ed20cba1fc6da2c1@inbound.aiesec.org")</f>
        <v>p_ac9876359c3a78be36ee2a83ed20cba1fc6da2c1@inbound.aiesec.org</v>
      </c>
      <c r="F29" s="16">
        <f>IFERROR(__xludf.DUMMYFUNCTION("""COMPUTED_VALUE"""),6.43485257E8)</f>
        <v>643485257</v>
      </c>
      <c r="G29" s="16" t="str">
        <f>IFERROR(__xludf.DUMMYFUNCTION("""COMPUTED_VALUE"""),"Morocco")</f>
        <v>Morocco</v>
      </c>
      <c r="H29" s="16" t="str">
        <f>IFERROR(__xludf.DUMMYFUNCTION("""COMPUTED_VALUE"""),"Tangier")</f>
        <v>Tangier</v>
      </c>
      <c r="I29" s="16" t="str">
        <f>IFERROR(__xludf.DUMMYFUNCTION("""COMPUTED_VALUE"""),"Turkey")</f>
        <v>Turkey</v>
      </c>
      <c r="J29" s="16" t="str">
        <f>IFERROR(__xludf.DUMMYFUNCTION("""COMPUTED_VALUE"""),"İZMİR")</f>
        <v>İZMİR</v>
      </c>
      <c r="K29" s="17" t="str">
        <f>IFERROR(__xludf.DUMMYFUNCTION("""COMPUTED_VALUE"""),"https://expa.aiesec.org/opportunities/1288970")</f>
        <v>https://expa.aiesec.org/opportunities/1288970</v>
      </c>
      <c r="L29" s="16" t="str">
        <f>IFERROR(__xludf.DUMMYFUNCTION("""COMPUTED_VALUE"""),"GV")</f>
        <v>GV</v>
      </c>
      <c r="M29" s="16" t="str">
        <f>IFERROR(__xludf.DUMMYFUNCTION("""COMPUTED_VALUE"""),"short")</f>
        <v>short</v>
      </c>
      <c r="N29" s="18">
        <f>IFERROR(__xludf.DUMMYFUNCTION("""COMPUTED_VALUE"""),44867.0)</f>
        <v>44867</v>
      </c>
      <c r="O29" s="18">
        <f>IFERROR(__xludf.DUMMYFUNCTION("""COMPUTED_VALUE"""),44871.0)</f>
        <v>44871</v>
      </c>
      <c r="P29" s="18">
        <f>IFERROR(__xludf.DUMMYFUNCTION("""COMPUTED_VALUE"""),44913.0)</f>
        <v>44913</v>
      </c>
      <c r="Q29" s="18"/>
      <c r="R29" s="18"/>
      <c r="S29" s="16"/>
      <c r="T29" s="16"/>
      <c r="U29" s="16" t="str">
        <f>IFERROR(__xludf.DUMMYFUNCTION("""COMPUTED_VALUE"""),"Fingerprint")</f>
        <v>Fingerprint</v>
      </c>
      <c r="V29" s="16" t="str">
        <f>IFERROR(__xludf.DUMMYFUNCTION("""COMPUTED_VALUE"""),"INAS Tanger")</f>
        <v>INAS Tanger</v>
      </c>
      <c r="W29" s="16" t="str">
        <f>IFERROR(__xludf.DUMMYFUNCTION("""COMPUTED_VALUE"""),"2022-11-01T15:06:55Z")</f>
        <v>2022-11-01T15:06:55Z</v>
      </c>
      <c r="X29" s="16"/>
      <c r="Y29" s="16"/>
      <c r="Z29" s="16"/>
    </row>
    <row r="30">
      <c r="A30" s="16" t="str">
        <f>IFERROR(__xludf.DUMMYFUNCTION("""COMPUTED_VALUE"""),"5138548_1288970")</f>
        <v>5138548_1288970</v>
      </c>
      <c r="B30" s="16" t="str">
        <f>IFERROR(__xludf.DUMMYFUNCTION("""COMPUTED_VALUE"""),"Ines Barasevic")</f>
        <v>Ines Barasevic</v>
      </c>
      <c r="C30" s="16" t="str">
        <f>IFERROR(__xludf.DUMMYFUNCTION("""COMPUTED_VALUE"""),"approved")</f>
        <v>approved</v>
      </c>
      <c r="D30" s="16" t="str">
        <f>IFERROR(__xludf.DUMMYFUNCTION("""COMPUTED_VALUE"""),"No")</f>
        <v>No</v>
      </c>
      <c r="E30" s="16" t="str">
        <f>IFERROR(__xludf.DUMMYFUNCTION("""COMPUTED_VALUE"""),"p_a24156db465053c475182c0dc140962bbae7884e@inbound.aiesec.org")</f>
        <v>p_a24156db465053c475182c0dc140962bbae7884e@inbound.aiesec.org</v>
      </c>
      <c r="F30" s="16">
        <f>IFERROR(__xludf.DUMMYFUNCTION("""COMPUTED_VALUE"""),6.29670026E8)</f>
        <v>629670026</v>
      </c>
      <c r="G30" s="16" t="str">
        <f>IFERROR(__xludf.DUMMYFUNCTION("""COMPUTED_VALUE"""),"Serbia")</f>
        <v>Serbia</v>
      </c>
      <c r="H30" s="16" t="str">
        <f>IFERROR(__xludf.DUMMYFUNCTION("""COMPUTED_VALUE"""),"Subotica")</f>
        <v>Subotica</v>
      </c>
      <c r="I30" s="16" t="str">
        <f>IFERROR(__xludf.DUMMYFUNCTION("""COMPUTED_VALUE"""),"Turkey")</f>
        <v>Turkey</v>
      </c>
      <c r="J30" s="16" t="str">
        <f>IFERROR(__xludf.DUMMYFUNCTION("""COMPUTED_VALUE"""),"İZMİR")</f>
        <v>İZMİR</v>
      </c>
      <c r="K30" s="17" t="str">
        <f>IFERROR(__xludf.DUMMYFUNCTION("""COMPUTED_VALUE"""),"https://expa.aiesec.org/opportunities/1288970")</f>
        <v>https://expa.aiesec.org/opportunities/1288970</v>
      </c>
      <c r="L30" s="16" t="str">
        <f>IFERROR(__xludf.DUMMYFUNCTION("""COMPUTED_VALUE"""),"GV")</f>
        <v>GV</v>
      </c>
      <c r="M30" s="16" t="str">
        <f>IFERROR(__xludf.DUMMYFUNCTION("""COMPUTED_VALUE"""),"short")</f>
        <v>short</v>
      </c>
      <c r="N30" s="18">
        <f>IFERROR(__xludf.DUMMYFUNCTION("""COMPUTED_VALUE"""),44867.0)</f>
        <v>44867</v>
      </c>
      <c r="O30" s="18">
        <f>IFERROR(__xludf.DUMMYFUNCTION("""COMPUTED_VALUE"""),44913.0)</f>
        <v>44913</v>
      </c>
      <c r="P30" s="18">
        <f>IFERROR(__xludf.DUMMYFUNCTION("""COMPUTED_VALUE"""),44955.0)</f>
        <v>44955</v>
      </c>
      <c r="Q30" s="18"/>
      <c r="R30" s="18"/>
      <c r="S30" s="16"/>
      <c r="T30" s="16"/>
      <c r="U30" s="16" t="str">
        <f>IFERROR(__xludf.DUMMYFUNCTION("""COMPUTED_VALUE"""),"Fingerprint")</f>
        <v>Fingerprint</v>
      </c>
      <c r="V30" s="16" t="str">
        <f>IFERROR(__xludf.DUMMYFUNCTION("""COMPUTED_VALUE"""),"Subotica")</f>
        <v>Subotica</v>
      </c>
      <c r="W30" s="16" t="str">
        <f>IFERROR(__xludf.DUMMYFUNCTION("""COMPUTED_VALUE"""),"2022-10-22T16:13:37Z")</f>
        <v>2022-10-22T16:13:37Z</v>
      </c>
      <c r="X30" s="16"/>
      <c r="Y30" s="16"/>
      <c r="Z30" s="16"/>
    </row>
    <row r="31">
      <c r="A31" s="16" t="str">
        <f>IFERROR(__xludf.DUMMYFUNCTION("""COMPUTED_VALUE"""),"5104127_1287226")</f>
        <v>5104127_1287226</v>
      </c>
      <c r="B31" s="16" t="str">
        <f>IFERROR(__xludf.DUMMYFUNCTION("""COMPUTED_VALUE"""),"Slim Ben mansour")</f>
        <v>Slim Ben mansour</v>
      </c>
      <c r="C31" s="16" t="str">
        <f>IFERROR(__xludf.DUMMYFUNCTION("""COMPUTED_VALUE"""),"approved")</f>
        <v>approved</v>
      </c>
      <c r="D31" s="16" t="str">
        <f>IFERROR(__xludf.DUMMYFUNCTION("""COMPUTED_VALUE"""),"No")</f>
        <v>No</v>
      </c>
      <c r="E31" s="16" t="str">
        <f>IFERROR(__xludf.DUMMYFUNCTION("""COMPUTED_VALUE"""),"p_46f60cb57172a73a2d625e013f377fe9eff804b5@inbound.aiesec.org")</f>
        <v>p_46f60cb57172a73a2d625e013f377fe9eff804b5@inbound.aiesec.org</v>
      </c>
      <c r="F31" s="16">
        <f>IFERROR(__xludf.DUMMYFUNCTION("""COMPUTED_VALUE"""),2.7538956E7)</f>
        <v>27538956</v>
      </c>
      <c r="G31" s="16" t="str">
        <f>IFERROR(__xludf.DUMMYFUNCTION("""COMPUTED_VALUE"""),"Tunisia")</f>
        <v>Tunisia</v>
      </c>
      <c r="H31" s="16" t="str">
        <f>IFERROR(__xludf.DUMMYFUNCTION("""COMPUTED_VALUE"""),"THYNA")</f>
        <v>THYNA</v>
      </c>
      <c r="I31" s="16" t="str">
        <f>IFERROR(__xludf.DUMMYFUNCTION("""COMPUTED_VALUE"""),"Turkey")</f>
        <v>Turkey</v>
      </c>
      <c r="J31" s="16" t="str">
        <f>IFERROR(__xludf.DUMMYFUNCTION("""COMPUTED_VALUE"""),"ISTANBUL ASIA")</f>
        <v>ISTANBUL ASIA</v>
      </c>
      <c r="K31" s="17" t="str">
        <f>IFERROR(__xludf.DUMMYFUNCTION("""COMPUTED_VALUE"""),"https://expa.aiesec.org/opportunities/1287226")</f>
        <v>https://expa.aiesec.org/opportunities/1287226</v>
      </c>
      <c r="L31" s="16" t="str">
        <f>IFERROR(__xludf.DUMMYFUNCTION("""COMPUTED_VALUE"""),"GV")</f>
        <v>GV</v>
      </c>
      <c r="M31" s="16" t="str">
        <f>IFERROR(__xludf.DUMMYFUNCTION("""COMPUTED_VALUE"""),"short")</f>
        <v>short</v>
      </c>
      <c r="N31" s="18">
        <f>IFERROR(__xludf.DUMMYFUNCTION("""COMPUTED_VALUE"""),44867.0)</f>
        <v>44867</v>
      </c>
      <c r="O31" s="18">
        <f>IFERROR(__xludf.DUMMYFUNCTION("""COMPUTED_VALUE"""),44886.0)</f>
        <v>44886</v>
      </c>
      <c r="P31" s="18">
        <f>IFERROR(__xludf.DUMMYFUNCTION("""COMPUTED_VALUE"""),44928.0)</f>
        <v>44928</v>
      </c>
      <c r="Q31" s="18"/>
      <c r="R31" s="18"/>
      <c r="S31" s="16"/>
      <c r="T31" s="16"/>
      <c r="U31" s="16" t="str">
        <f>IFERROR(__xludf.DUMMYFUNCTION("""COMPUTED_VALUE"""),"Global Classroom")</f>
        <v>Global Classroom</v>
      </c>
      <c r="V31" s="16" t="str">
        <f>IFERROR(__xludf.DUMMYFUNCTION("""COMPUTED_VALUE"""),"ISAM Sfax")</f>
        <v>ISAM Sfax</v>
      </c>
      <c r="W31" s="16" t="str">
        <f>IFERROR(__xludf.DUMMYFUNCTION("""COMPUTED_VALUE"""),"2022-09-02T11:21:35Z")</f>
        <v>2022-09-02T11:21:35Z</v>
      </c>
      <c r="X31" s="16"/>
      <c r="Y31" s="16"/>
      <c r="Z31" s="16"/>
    </row>
    <row r="32">
      <c r="A32" s="16" t="str">
        <f>IFERROR(__xludf.DUMMYFUNCTION("""COMPUTED_VALUE"""),"5145456_1289505")</f>
        <v>5145456_1289505</v>
      </c>
      <c r="B32" s="16" t="str">
        <f>IFERROR(__xludf.DUMMYFUNCTION("""COMPUTED_VALUE"""),"zaghdoudi louay")</f>
        <v>zaghdoudi louay</v>
      </c>
      <c r="C32" s="16" t="str">
        <f>IFERROR(__xludf.DUMMYFUNCTION("""COMPUTED_VALUE"""),"approved")</f>
        <v>approved</v>
      </c>
      <c r="D32" s="16" t="str">
        <f>IFERROR(__xludf.DUMMYFUNCTION("""COMPUTED_VALUE"""),"No")</f>
        <v>No</v>
      </c>
      <c r="E32" s="16" t="str">
        <f>IFERROR(__xludf.DUMMYFUNCTION("""COMPUTED_VALUE"""),"p_1ca6f0a886d6a6d26e3a0718f445e2fc4e7c5c6d@inbound.aiesec.org")</f>
        <v>p_1ca6f0a886d6a6d26e3a0718f445e2fc4e7c5c6d@inbound.aiesec.org</v>
      </c>
      <c r="F32" s="16">
        <f>IFERROR(__xludf.DUMMYFUNCTION("""COMPUTED_VALUE"""),5.4116857E7)</f>
        <v>54116857</v>
      </c>
      <c r="G32" s="16" t="str">
        <f>IFERROR(__xludf.DUMMYFUNCTION("""COMPUTED_VALUE"""),"Tunisia")</f>
        <v>Tunisia</v>
      </c>
      <c r="H32" s="16" t="str">
        <f>IFERROR(__xludf.DUMMYFUNCTION("""COMPUTED_VALUE"""),"NABEL")</f>
        <v>NABEL</v>
      </c>
      <c r="I32" s="16" t="str">
        <f>IFERROR(__xludf.DUMMYFUNCTION("""COMPUTED_VALUE"""),"Turkey")</f>
        <v>Turkey</v>
      </c>
      <c r="J32" s="16" t="str">
        <f>IFERROR(__xludf.DUMMYFUNCTION("""COMPUTED_VALUE"""),"KOCAELI")</f>
        <v>KOCAELI</v>
      </c>
      <c r="K32" s="17" t="str">
        <f>IFERROR(__xludf.DUMMYFUNCTION("""COMPUTED_VALUE"""),"https://expa.aiesec.org/opportunities/1289505")</f>
        <v>https://expa.aiesec.org/opportunities/1289505</v>
      </c>
      <c r="L32" s="16" t="str">
        <f>IFERROR(__xludf.DUMMYFUNCTION("""COMPUTED_VALUE"""),"GV")</f>
        <v>GV</v>
      </c>
      <c r="M32" s="16" t="str">
        <f>IFERROR(__xludf.DUMMYFUNCTION("""COMPUTED_VALUE"""),"short")</f>
        <v>short</v>
      </c>
      <c r="N32" s="18">
        <f>IFERROR(__xludf.DUMMYFUNCTION("""COMPUTED_VALUE"""),44869.0)</f>
        <v>44869</v>
      </c>
      <c r="O32" s="18">
        <f>IFERROR(__xludf.DUMMYFUNCTION("""COMPUTED_VALUE"""),45103.0)</f>
        <v>45103</v>
      </c>
      <c r="P32" s="18">
        <f>IFERROR(__xludf.DUMMYFUNCTION("""COMPUTED_VALUE"""),45145.0)</f>
        <v>45145</v>
      </c>
      <c r="Q32" s="18"/>
      <c r="R32" s="18"/>
      <c r="S32" s="16"/>
      <c r="T32" s="16"/>
      <c r="U32" s="16" t="str">
        <f>IFERROR(__xludf.DUMMYFUNCTION("""COMPUTED_VALUE"""),"Youth 4 Impact")</f>
        <v>Youth 4 Impact</v>
      </c>
      <c r="V32" s="16" t="str">
        <f>IFERROR(__xludf.DUMMYFUNCTION("""COMPUTED_VALUE"""),"-")</f>
        <v>-</v>
      </c>
      <c r="W32" s="16" t="str">
        <f>IFERROR(__xludf.DUMMYFUNCTION("""COMPUTED_VALUE"""),"2022-11-02T20:46:26Z")</f>
        <v>2022-11-02T20:46:26Z</v>
      </c>
      <c r="X32" s="16"/>
      <c r="Y32" s="16"/>
      <c r="Z32" s="16"/>
    </row>
    <row r="33">
      <c r="A33" s="16" t="str">
        <f>IFERROR(__xludf.DUMMYFUNCTION("""COMPUTED_VALUE"""),"5143753_1272564")</f>
        <v>5143753_1272564</v>
      </c>
      <c r="B33" s="16" t="str">
        <f>IFERROR(__xludf.DUMMYFUNCTION("""COMPUTED_VALUE"""),"Hajar El Mchari")</f>
        <v>Hajar El Mchari</v>
      </c>
      <c r="C33" s="16" t="str">
        <f>IFERROR(__xludf.DUMMYFUNCTION("""COMPUTED_VALUE"""),"approved")</f>
        <v>approved</v>
      </c>
      <c r="D33" s="16" t="str">
        <f>IFERROR(__xludf.DUMMYFUNCTION("""COMPUTED_VALUE"""),"No")</f>
        <v>No</v>
      </c>
      <c r="E33" s="16" t="str">
        <f>IFERROR(__xludf.DUMMYFUNCTION("""COMPUTED_VALUE"""),"p_f9582c107ed564ba622b1f439cebe8b7f412d598@inbound.aiesec.org")</f>
        <v>p_f9582c107ed564ba622b1f439cebe8b7f412d598@inbound.aiesec.org</v>
      </c>
      <c r="F33" s="16">
        <f>IFERROR(__xludf.DUMMYFUNCTION("""COMPUTED_VALUE"""),6.57720918E8)</f>
        <v>657720918</v>
      </c>
      <c r="G33" s="16" t="str">
        <f>IFERROR(__xludf.DUMMYFUNCTION("""COMPUTED_VALUE"""),"Morocco")</f>
        <v>Morocco</v>
      </c>
      <c r="H33" s="16" t="str">
        <f>IFERROR(__xludf.DUMMYFUNCTION("""COMPUTED_VALUE"""),"Ifrane")</f>
        <v>Ifrane</v>
      </c>
      <c r="I33" s="16" t="str">
        <f>IFERROR(__xludf.DUMMYFUNCTION("""COMPUTED_VALUE"""),"Turkey")</f>
        <v>Turkey</v>
      </c>
      <c r="J33" s="16" t="str">
        <f>IFERROR(__xludf.DUMMYFUNCTION("""COMPUTED_VALUE"""),"ISTANBUL")</f>
        <v>ISTANBUL</v>
      </c>
      <c r="K33" s="17" t="str">
        <f>IFERROR(__xludf.DUMMYFUNCTION("""COMPUTED_VALUE"""),"https://expa.aiesec.org/opportunities/1272564")</f>
        <v>https://expa.aiesec.org/opportunities/1272564</v>
      </c>
      <c r="L33" s="16" t="str">
        <f>IFERROR(__xludf.DUMMYFUNCTION("""COMPUTED_VALUE"""),"GV")</f>
        <v>GV</v>
      </c>
      <c r="M33" s="16" t="str">
        <f>IFERROR(__xludf.DUMMYFUNCTION("""COMPUTED_VALUE"""),"short")</f>
        <v>short</v>
      </c>
      <c r="N33" s="18">
        <f>IFERROR(__xludf.DUMMYFUNCTION("""COMPUTED_VALUE"""),44869.0)</f>
        <v>44869</v>
      </c>
      <c r="O33" s="18">
        <f>IFERROR(__xludf.DUMMYFUNCTION("""COMPUTED_VALUE"""),44942.0)</f>
        <v>44942</v>
      </c>
      <c r="P33" s="18">
        <f>IFERROR(__xludf.DUMMYFUNCTION("""COMPUTED_VALUE"""),44984.0)</f>
        <v>44984</v>
      </c>
      <c r="Q33" s="18"/>
      <c r="R33" s="18"/>
      <c r="S33" s="16"/>
      <c r="T33" s="16"/>
      <c r="U33" s="16" t="str">
        <f>IFERROR(__xludf.DUMMYFUNCTION("""COMPUTED_VALUE"""),"Global Classroom")</f>
        <v>Global Classroom</v>
      </c>
      <c r="V33" s="16" t="str">
        <f>IFERROR(__xludf.DUMMYFUNCTION("""COMPUTED_VALUE"""),"AL Akhawayn University - AUI")</f>
        <v>AL Akhawayn University - AUI</v>
      </c>
      <c r="W33" s="16" t="str">
        <f>IFERROR(__xludf.DUMMYFUNCTION("""COMPUTED_VALUE"""),"2022-10-31T14:35:22Z")</f>
        <v>2022-10-31T14:35:22Z</v>
      </c>
      <c r="X33" s="16"/>
      <c r="Y33" s="16"/>
      <c r="Z33" s="16"/>
    </row>
    <row r="34">
      <c r="A34" s="16" t="str">
        <f>IFERROR(__xludf.DUMMYFUNCTION("""COMPUTED_VALUE"""),"5145882_1288497")</f>
        <v>5145882_1288497</v>
      </c>
      <c r="B34" s="16" t="str">
        <f>IFERROR(__xludf.DUMMYFUNCTION("""COMPUTED_VALUE"""),"sameh said")</f>
        <v>sameh said</v>
      </c>
      <c r="C34" s="16" t="str">
        <f>IFERROR(__xludf.DUMMYFUNCTION("""COMPUTED_VALUE"""),"approved")</f>
        <v>approved</v>
      </c>
      <c r="D34" s="16" t="str">
        <f>IFERROR(__xludf.DUMMYFUNCTION("""COMPUTED_VALUE"""),"No")</f>
        <v>No</v>
      </c>
      <c r="E34" s="16" t="str">
        <f>IFERROR(__xludf.DUMMYFUNCTION("""COMPUTED_VALUE"""),"p_ddd9e071d6ec18b1c7480d128b7f253f59b84ed2@inbound.aiesec.org")</f>
        <v>p_ddd9e071d6ec18b1c7480d128b7f253f59b84ed2@inbound.aiesec.org</v>
      </c>
      <c r="F34" s="16">
        <f>IFERROR(__xludf.DUMMYFUNCTION("""COMPUTED_VALUE"""),5.1019623E7)</f>
        <v>51019623</v>
      </c>
      <c r="G34" s="16" t="str">
        <f>IFERROR(__xludf.DUMMYFUNCTION("""COMPUTED_VALUE"""),"Tunisia")</f>
        <v>Tunisia</v>
      </c>
      <c r="H34" s="16" t="str">
        <f>IFERROR(__xludf.DUMMYFUNCTION("""COMPUTED_VALUE"""),"HADRUMET")</f>
        <v>HADRUMET</v>
      </c>
      <c r="I34" s="16" t="str">
        <f>IFERROR(__xludf.DUMMYFUNCTION("""COMPUTED_VALUE"""),"Turkey")</f>
        <v>Turkey</v>
      </c>
      <c r="J34" s="16" t="str">
        <f>IFERROR(__xludf.DUMMYFUNCTION("""COMPUTED_VALUE"""),"DENIZLI")</f>
        <v>DENIZLI</v>
      </c>
      <c r="K34" s="17" t="str">
        <f>IFERROR(__xludf.DUMMYFUNCTION("""COMPUTED_VALUE"""),"https://expa.aiesec.org/opportunities/1288497")</f>
        <v>https://expa.aiesec.org/opportunities/1288497</v>
      </c>
      <c r="L34" s="16" t="str">
        <f>IFERROR(__xludf.DUMMYFUNCTION("""COMPUTED_VALUE"""),"GV")</f>
        <v>GV</v>
      </c>
      <c r="M34" s="16" t="str">
        <f>IFERROR(__xludf.DUMMYFUNCTION("""COMPUTED_VALUE"""),"short")</f>
        <v>short</v>
      </c>
      <c r="N34" s="18">
        <f>IFERROR(__xludf.DUMMYFUNCTION("""COMPUTED_VALUE"""),44874.0)</f>
        <v>44874</v>
      </c>
      <c r="O34" s="18">
        <f>IFERROR(__xludf.DUMMYFUNCTION("""COMPUTED_VALUE"""),45117.0)</f>
        <v>45117</v>
      </c>
      <c r="P34" s="18">
        <f>IFERROR(__xludf.DUMMYFUNCTION("""COMPUTED_VALUE"""),45159.0)</f>
        <v>45159</v>
      </c>
      <c r="Q34" s="18"/>
      <c r="R34" s="18"/>
      <c r="S34" s="16"/>
      <c r="T34" s="16"/>
      <c r="U34" s="16" t="str">
        <f>IFERROR(__xludf.DUMMYFUNCTION("""COMPUTED_VALUE"""),"Youth 4 Impact")</f>
        <v>Youth 4 Impact</v>
      </c>
      <c r="V34" s="16" t="str">
        <f>IFERROR(__xludf.DUMMYFUNCTION("""COMPUTED_VALUE"""),"ISSAT Sousse")</f>
        <v>ISSAT Sousse</v>
      </c>
      <c r="W34" s="16" t="str">
        <f>IFERROR(__xludf.DUMMYFUNCTION("""COMPUTED_VALUE"""),"2022-11-03T13:05:44Z")</f>
        <v>2022-11-03T13:05:44Z</v>
      </c>
      <c r="X34" s="16"/>
      <c r="Y34" s="16"/>
      <c r="Z34" s="16"/>
    </row>
    <row r="35">
      <c r="A35" s="16" t="str">
        <f>IFERROR(__xludf.DUMMYFUNCTION("""COMPUTED_VALUE"""),"5147543_1287445")</f>
        <v>5147543_1287445</v>
      </c>
      <c r="B35" s="16" t="str">
        <f>IFERROR(__xludf.DUMMYFUNCTION("""COMPUTED_VALUE"""),"Hafiz Moin Ahmad")</f>
        <v>Hafiz Moin Ahmad</v>
      </c>
      <c r="C35" s="16" t="str">
        <f>IFERROR(__xludf.DUMMYFUNCTION("""COMPUTED_VALUE"""),"approved")</f>
        <v>approved</v>
      </c>
      <c r="D35" s="16" t="str">
        <f>IFERROR(__xludf.DUMMYFUNCTION("""COMPUTED_VALUE"""),"No")</f>
        <v>No</v>
      </c>
      <c r="E35" s="16" t="str">
        <f>IFERROR(__xludf.DUMMYFUNCTION("""COMPUTED_VALUE"""),"p_432f250704e5fa99d5e329dc7e48ad56367e9e11@inbound.aiesec.org")</f>
        <v>p_432f250704e5fa99d5e329dc7e48ad56367e9e11@inbound.aiesec.org</v>
      </c>
      <c r="F35" s="16">
        <f>IFERROR(__xludf.DUMMYFUNCTION("""COMPUTED_VALUE"""),3.134589874E9)</f>
        <v>3134589874</v>
      </c>
      <c r="G35" s="16" t="str">
        <f>IFERROR(__xludf.DUMMYFUNCTION("""COMPUTED_VALUE"""),"Pakistan")</f>
        <v>Pakistan</v>
      </c>
      <c r="H35" s="16" t="str">
        <f>IFERROR(__xludf.DUMMYFUNCTION("""COMPUTED_VALUE"""),"Lahore - Pak")</f>
        <v>Lahore - Pak</v>
      </c>
      <c r="I35" s="16" t="str">
        <f>IFERROR(__xludf.DUMMYFUNCTION("""COMPUTED_VALUE"""),"Turkey")</f>
        <v>Turkey</v>
      </c>
      <c r="J35" s="16" t="str">
        <f>IFERROR(__xludf.DUMMYFUNCTION("""COMPUTED_VALUE"""),"SAKARYA")</f>
        <v>SAKARYA</v>
      </c>
      <c r="K35" s="17" t="str">
        <f>IFERROR(__xludf.DUMMYFUNCTION("""COMPUTED_VALUE"""),"https://expa.aiesec.org/opportunities/1287445")</f>
        <v>https://expa.aiesec.org/opportunities/1287445</v>
      </c>
      <c r="L35" s="16" t="str">
        <f>IFERROR(__xludf.DUMMYFUNCTION("""COMPUTED_VALUE"""),"GV")</f>
        <v>GV</v>
      </c>
      <c r="M35" s="16" t="str">
        <f>IFERROR(__xludf.DUMMYFUNCTION("""COMPUTED_VALUE"""),"short")</f>
        <v>short</v>
      </c>
      <c r="N35" s="18">
        <f>IFERROR(__xludf.DUMMYFUNCTION("""COMPUTED_VALUE"""),44874.0)</f>
        <v>44874</v>
      </c>
      <c r="O35" s="18">
        <f>IFERROR(__xludf.DUMMYFUNCTION("""COMPUTED_VALUE"""),44893.0)</f>
        <v>44893</v>
      </c>
      <c r="P35" s="18">
        <f>IFERROR(__xludf.DUMMYFUNCTION("""COMPUTED_VALUE"""),44935.0)</f>
        <v>44935</v>
      </c>
      <c r="Q35" s="18"/>
      <c r="R35" s="18"/>
      <c r="S35" s="16"/>
      <c r="T35" s="16"/>
      <c r="U35" s="16" t="str">
        <f>IFERROR(__xludf.DUMMYFUNCTION("""COMPUTED_VALUE"""),"Global Classroom")</f>
        <v>Global Classroom</v>
      </c>
      <c r="V35" s="16" t="str">
        <f>IFERROR(__xludf.DUMMYFUNCTION("""COMPUTED_VALUE"""),"Lahore - University of Central Punjab (UCP)")</f>
        <v>Lahore - University of Central Punjab (UCP)</v>
      </c>
      <c r="W35" s="16" t="str">
        <f>IFERROR(__xludf.DUMMYFUNCTION("""COMPUTED_VALUE"""),"2022-11-06T10:09:25Z")</f>
        <v>2022-11-06T10:09:25Z</v>
      </c>
      <c r="X35" s="16"/>
      <c r="Y35" s="16"/>
      <c r="Z35" s="16"/>
    </row>
    <row r="36">
      <c r="A36" s="16" t="str">
        <f>IFERROR(__xludf.DUMMYFUNCTION("""COMPUTED_VALUE"""),"5149539_1285690")</f>
        <v>5149539_1285690</v>
      </c>
      <c r="B36" s="16" t="str">
        <f>IFERROR(__xludf.DUMMYFUNCTION("""COMPUTED_VALUE"""),"Imane Bartine")</f>
        <v>Imane Bartine</v>
      </c>
      <c r="C36" s="16" t="str">
        <f>IFERROR(__xludf.DUMMYFUNCTION("""COMPUTED_VALUE"""),"approved")</f>
        <v>approved</v>
      </c>
      <c r="D36" s="16" t="str">
        <f>IFERROR(__xludf.DUMMYFUNCTION("""COMPUTED_VALUE"""),"No")</f>
        <v>No</v>
      </c>
      <c r="E36" s="16" t="str">
        <f>IFERROR(__xludf.DUMMYFUNCTION("""COMPUTED_VALUE"""),"p_15d8123e2d505d9f56511445897d022c9aeea458@inbound.aiesec.org")</f>
        <v>p_15d8123e2d505d9f56511445897d022c9aeea458@inbound.aiesec.org</v>
      </c>
      <c r="F36" s="16">
        <f>IFERROR(__xludf.DUMMYFUNCTION("""COMPUTED_VALUE"""),6.56141593E8)</f>
        <v>656141593</v>
      </c>
      <c r="G36" s="16" t="str">
        <f>IFERROR(__xludf.DUMMYFUNCTION("""COMPUTED_VALUE"""),"Morocco")</f>
        <v>Morocco</v>
      </c>
      <c r="H36" s="16" t="str">
        <f>IFERROR(__xludf.DUMMYFUNCTION("""COMPUTED_VALUE"""),"Ifrane")</f>
        <v>Ifrane</v>
      </c>
      <c r="I36" s="16" t="str">
        <f>IFERROR(__xludf.DUMMYFUNCTION("""COMPUTED_VALUE"""),"Turkey")</f>
        <v>Turkey</v>
      </c>
      <c r="J36" s="16" t="str">
        <f>IFERROR(__xludf.DUMMYFUNCTION("""COMPUTED_VALUE"""),"ISTANBUL")</f>
        <v>ISTANBUL</v>
      </c>
      <c r="K36" s="17" t="str">
        <f>IFERROR(__xludf.DUMMYFUNCTION("""COMPUTED_VALUE"""),"https://expa.aiesec.org/opportunities/1285690")</f>
        <v>https://expa.aiesec.org/opportunities/1285690</v>
      </c>
      <c r="L36" s="16" t="str">
        <f>IFERROR(__xludf.DUMMYFUNCTION("""COMPUTED_VALUE"""),"GV")</f>
        <v>GV</v>
      </c>
      <c r="M36" s="16" t="str">
        <f>IFERROR(__xludf.DUMMYFUNCTION("""COMPUTED_VALUE"""),"short")</f>
        <v>short</v>
      </c>
      <c r="N36" s="18">
        <f>IFERROR(__xludf.DUMMYFUNCTION("""COMPUTED_VALUE"""),44875.0)</f>
        <v>44875</v>
      </c>
      <c r="O36" s="18">
        <f>IFERROR(__xludf.DUMMYFUNCTION("""COMPUTED_VALUE"""),44942.0)</f>
        <v>44942</v>
      </c>
      <c r="P36" s="18">
        <f>IFERROR(__xludf.DUMMYFUNCTION("""COMPUTED_VALUE"""),44984.0)</f>
        <v>44984</v>
      </c>
      <c r="Q36" s="18"/>
      <c r="R36" s="18"/>
      <c r="S36" s="16"/>
      <c r="T36" s="16"/>
      <c r="U36" s="16" t="str">
        <f>IFERROR(__xludf.DUMMYFUNCTION("""COMPUTED_VALUE"""),"Global Classroom")</f>
        <v>Global Classroom</v>
      </c>
      <c r="V36" s="16" t="str">
        <f>IFERROR(__xludf.DUMMYFUNCTION("""COMPUTED_VALUE"""),"AL Akhawayn University - AUI")</f>
        <v>AL Akhawayn University - AUI</v>
      </c>
      <c r="W36" s="16" t="str">
        <f>IFERROR(__xludf.DUMMYFUNCTION("""COMPUTED_VALUE"""),"2022-11-08T13:54:54Z")</f>
        <v>2022-11-08T13:54:54Z</v>
      </c>
      <c r="X36" s="16"/>
      <c r="Y36" s="16"/>
      <c r="Z36" s="16"/>
    </row>
    <row r="37">
      <c r="A37" s="16" t="str">
        <f>IFERROR(__xludf.DUMMYFUNCTION("""COMPUTED_VALUE"""),"5146021_1288393")</f>
        <v>5146021_1288393</v>
      </c>
      <c r="B37" s="16" t="str">
        <f>IFERROR(__xludf.DUMMYFUNCTION("""COMPUTED_VALUE"""),"Hassan Ahmed")</f>
        <v>Hassan Ahmed</v>
      </c>
      <c r="C37" s="16" t="str">
        <f>IFERROR(__xludf.DUMMYFUNCTION("""COMPUTED_VALUE"""),"approved")</f>
        <v>approved</v>
      </c>
      <c r="D37" s="16" t="str">
        <f>IFERROR(__xludf.DUMMYFUNCTION("""COMPUTED_VALUE"""),"No")</f>
        <v>No</v>
      </c>
      <c r="E37" s="16" t="str">
        <f>IFERROR(__xludf.DUMMYFUNCTION("""COMPUTED_VALUE"""),"p_531859d62ec334374c9c835e06eb35d44149881a@inbound.aiesec.org")</f>
        <v>p_531859d62ec334374c9c835e06eb35d44149881a@inbound.aiesec.org</v>
      </c>
      <c r="F37" s="16">
        <f>IFERROR(__xludf.DUMMYFUNCTION("""COMPUTED_VALUE"""),6.304889813E9)</f>
        <v>6304889813</v>
      </c>
      <c r="G37" s="16" t="str">
        <f>IFERROR(__xludf.DUMMYFUNCTION("""COMPUTED_VALUE"""),"India")</f>
        <v>India</v>
      </c>
      <c r="H37" s="16" t="str">
        <f>IFERROR(__xludf.DUMMYFUNCTION("""COMPUTED_VALUE"""),"Hyderabad")</f>
        <v>Hyderabad</v>
      </c>
      <c r="I37" s="16" t="str">
        <f>IFERROR(__xludf.DUMMYFUNCTION("""COMPUTED_VALUE"""),"Turkey")</f>
        <v>Turkey</v>
      </c>
      <c r="J37" s="16" t="str">
        <f>IFERROR(__xludf.DUMMYFUNCTION("""COMPUTED_VALUE"""),"ISTANBUL")</f>
        <v>ISTANBUL</v>
      </c>
      <c r="K37" s="17" t="str">
        <f>IFERROR(__xludf.DUMMYFUNCTION("""COMPUTED_VALUE"""),"https://expa.aiesec.org/opportunities/1288393")</f>
        <v>https://expa.aiesec.org/opportunities/1288393</v>
      </c>
      <c r="L37" s="16" t="str">
        <f>IFERROR(__xludf.DUMMYFUNCTION("""COMPUTED_VALUE"""),"GV")</f>
        <v>GV</v>
      </c>
      <c r="M37" s="16" t="str">
        <f>IFERROR(__xludf.DUMMYFUNCTION("""COMPUTED_VALUE"""),"short")</f>
        <v>short</v>
      </c>
      <c r="N37" s="18">
        <f>IFERROR(__xludf.DUMMYFUNCTION("""COMPUTED_VALUE"""),44875.0)</f>
        <v>44875</v>
      </c>
      <c r="O37" s="18">
        <f>IFERROR(__xludf.DUMMYFUNCTION("""COMPUTED_VALUE"""),44922.0)</f>
        <v>44922</v>
      </c>
      <c r="P37" s="18">
        <f>IFERROR(__xludf.DUMMYFUNCTION("""COMPUTED_VALUE"""),44964.0)</f>
        <v>44964</v>
      </c>
      <c r="Q37" s="18"/>
      <c r="R37" s="18"/>
      <c r="S37" s="16"/>
      <c r="T37" s="16"/>
      <c r="U37" s="16" t="str">
        <f>IFERROR(__xludf.DUMMYFUNCTION("""COMPUTED_VALUE"""),"Global Classroom")</f>
        <v>Global Classroom</v>
      </c>
      <c r="V37" s="16" t="str">
        <f>IFERROR(__xludf.DUMMYFUNCTION("""COMPUTED_VALUE"""),"Hyderabad")</f>
        <v>Hyderabad</v>
      </c>
      <c r="W37" s="16" t="str">
        <f>IFERROR(__xludf.DUMMYFUNCTION("""COMPUTED_VALUE"""),"2022-11-03T16:07:20Z")</f>
        <v>2022-11-03T16:07:20Z</v>
      </c>
      <c r="X37" s="16"/>
      <c r="Y37" s="16"/>
      <c r="Z37" s="16"/>
    </row>
    <row r="38">
      <c r="A38" s="16" t="str">
        <f>IFERROR(__xludf.DUMMYFUNCTION("""COMPUTED_VALUE"""),"4491528_1287855")</f>
        <v>4491528_1287855</v>
      </c>
      <c r="B38" s="16" t="str">
        <f>IFERROR(__xludf.DUMMYFUNCTION("""COMPUTED_VALUE"""),"Ikram Belmatrik")</f>
        <v>Ikram Belmatrik</v>
      </c>
      <c r="C38" s="16" t="str">
        <f>IFERROR(__xludf.DUMMYFUNCTION("""COMPUTED_VALUE"""),"approved")</f>
        <v>approved</v>
      </c>
      <c r="D38" s="16" t="str">
        <f>IFERROR(__xludf.DUMMYFUNCTION("""COMPUTED_VALUE"""),"No")</f>
        <v>No</v>
      </c>
      <c r="E38" s="16" t="str">
        <f>IFERROR(__xludf.DUMMYFUNCTION("""COMPUTED_VALUE"""),"p_1204a338c934df62831ca98ccb19f53e29af1dd4@inbound.aiesec.org")</f>
        <v>p_1204a338c934df62831ca98ccb19f53e29af1dd4@inbound.aiesec.org</v>
      </c>
      <c r="F38" s="16">
        <f>IFERROR(__xludf.DUMMYFUNCTION("""COMPUTED_VALUE"""),6.36155664E8)</f>
        <v>636155664</v>
      </c>
      <c r="G38" s="16" t="str">
        <f>IFERROR(__xludf.DUMMYFUNCTION("""COMPUTED_VALUE"""),"Morocco")</f>
        <v>Morocco</v>
      </c>
      <c r="H38" s="16" t="str">
        <f>IFERROR(__xludf.DUMMYFUNCTION("""COMPUTED_VALUE"""),"Mohammedia")</f>
        <v>Mohammedia</v>
      </c>
      <c r="I38" s="16" t="str">
        <f>IFERROR(__xludf.DUMMYFUNCTION("""COMPUTED_VALUE"""),"Turkey")</f>
        <v>Turkey</v>
      </c>
      <c r="J38" s="16" t="str">
        <f>IFERROR(__xludf.DUMMYFUNCTION("""COMPUTED_VALUE"""),"İZMİR")</f>
        <v>İZMİR</v>
      </c>
      <c r="K38" s="17" t="str">
        <f>IFERROR(__xludf.DUMMYFUNCTION("""COMPUTED_VALUE"""),"https://expa.aiesec.org/opportunities/1287855")</f>
        <v>https://expa.aiesec.org/opportunities/1287855</v>
      </c>
      <c r="L38" s="16" t="str">
        <f>IFERROR(__xludf.DUMMYFUNCTION("""COMPUTED_VALUE"""),"GV")</f>
        <v>GV</v>
      </c>
      <c r="M38" s="16" t="str">
        <f>IFERROR(__xludf.DUMMYFUNCTION("""COMPUTED_VALUE"""),"short")</f>
        <v>short</v>
      </c>
      <c r="N38" s="18">
        <f>IFERROR(__xludf.DUMMYFUNCTION("""COMPUTED_VALUE"""),44875.0)</f>
        <v>44875</v>
      </c>
      <c r="O38" s="18">
        <f>IFERROR(__xludf.DUMMYFUNCTION("""COMPUTED_VALUE"""),44990.0)</f>
        <v>44990</v>
      </c>
      <c r="P38" s="18">
        <f>IFERROR(__xludf.DUMMYFUNCTION("""COMPUTED_VALUE"""),45032.0)</f>
        <v>45032</v>
      </c>
      <c r="Q38" s="18"/>
      <c r="R38" s="18"/>
      <c r="S38" s="16"/>
      <c r="T38" s="16"/>
      <c r="U38" s="16" t="str">
        <f>IFERROR(__xludf.DUMMYFUNCTION("""COMPUTED_VALUE"""),"Global Classroom")</f>
        <v>Global Classroom</v>
      </c>
      <c r="V38" s="16" t="str">
        <f>IFERROR(__xludf.DUMMYFUNCTION("""COMPUTED_VALUE"""),"Other-MOHAMMEDIA")</f>
        <v>Other-MOHAMMEDIA</v>
      </c>
      <c r="W38" s="16" t="str">
        <f>IFERROR(__xludf.DUMMYFUNCTION("""COMPUTED_VALUE"""),"2020-12-21T01:30:17Z")</f>
        <v>2020-12-21T01:30:17Z</v>
      </c>
      <c r="X38" s="16"/>
      <c r="Y38" s="16"/>
      <c r="Z38" s="16"/>
    </row>
    <row r="39">
      <c r="A39" s="16" t="str">
        <f>IFERROR(__xludf.DUMMYFUNCTION("""COMPUTED_VALUE"""),"5144698_1287338")</f>
        <v>5144698_1287338</v>
      </c>
      <c r="B39" s="16" t="str">
        <f>IFERROR(__xludf.DUMMYFUNCTION("""COMPUTED_VALUE"""),"Zineb Aynan")</f>
        <v>Zineb Aynan</v>
      </c>
      <c r="C39" s="16" t="str">
        <f>IFERROR(__xludf.DUMMYFUNCTION("""COMPUTED_VALUE"""),"approved")</f>
        <v>approved</v>
      </c>
      <c r="D39" s="16" t="str">
        <f>IFERROR(__xludf.DUMMYFUNCTION("""COMPUTED_VALUE"""),"No")</f>
        <v>No</v>
      </c>
      <c r="E39" s="16" t="str">
        <f>IFERROR(__xludf.DUMMYFUNCTION("""COMPUTED_VALUE"""),"p_4618b852e9494c690e406e39e1d5bef547af31d1@inbound.aiesec.org")</f>
        <v>p_4618b852e9494c690e406e39e1d5bef547af31d1@inbound.aiesec.org</v>
      </c>
      <c r="F39" s="16"/>
      <c r="G39" s="16" t="str">
        <f>IFERROR(__xludf.DUMMYFUNCTION("""COMPUTED_VALUE"""),"Morocco")</f>
        <v>Morocco</v>
      </c>
      <c r="H39" s="16" t="str">
        <f>IFERROR(__xludf.DUMMYFUNCTION("""COMPUTED_VALUE"""),"Ifrane")</f>
        <v>Ifrane</v>
      </c>
      <c r="I39" s="16" t="str">
        <f>IFERROR(__xludf.DUMMYFUNCTION("""COMPUTED_VALUE"""),"Turkey")</f>
        <v>Turkey</v>
      </c>
      <c r="J39" s="16" t="str">
        <f>IFERROR(__xludf.DUMMYFUNCTION("""COMPUTED_VALUE"""),"ANKARA")</f>
        <v>ANKARA</v>
      </c>
      <c r="K39" s="17" t="str">
        <f>IFERROR(__xludf.DUMMYFUNCTION("""COMPUTED_VALUE"""),"https://expa.aiesec.org/opportunities/1287338")</f>
        <v>https://expa.aiesec.org/opportunities/1287338</v>
      </c>
      <c r="L39" s="16" t="str">
        <f>IFERROR(__xludf.DUMMYFUNCTION("""COMPUTED_VALUE"""),"GV")</f>
        <v>GV</v>
      </c>
      <c r="M39" s="16" t="str">
        <f>IFERROR(__xludf.DUMMYFUNCTION("""COMPUTED_VALUE"""),"short")</f>
        <v>short</v>
      </c>
      <c r="N39" s="18">
        <f>IFERROR(__xludf.DUMMYFUNCTION("""COMPUTED_VALUE"""),44876.0)</f>
        <v>44876</v>
      </c>
      <c r="O39" s="18">
        <f>IFERROR(__xludf.DUMMYFUNCTION("""COMPUTED_VALUE"""),44909.0)</f>
        <v>44909</v>
      </c>
      <c r="P39" s="18">
        <f>IFERROR(__xludf.DUMMYFUNCTION("""COMPUTED_VALUE"""),44951.0)</f>
        <v>44951</v>
      </c>
      <c r="Q39" s="18"/>
      <c r="R39" s="18"/>
      <c r="S39" s="16"/>
      <c r="T39" s="16"/>
      <c r="U39" s="16" t="str">
        <f>IFERROR(__xludf.DUMMYFUNCTION("""COMPUTED_VALUE"""),"Equify")</f>
        <v>Equify</v>
      </c>
      <c r="V39" s="16" t="str">
        <f>IFERROR(__xludf.DUMMYFUNCTION("""COMPUTED_VALUE"""),"-")</f>
        <v>-</v>
      </c>
      <c r="W39" s="16" t="str">
        <f>IFERROR(__xludf.DUMMYFUNCTION("""COMPUTED_VALUE"""),"2022-11-01T20:19:49Z")</f>
        <v>2022-11-01T20:19:49Z</v>
      </c>
      <c r="X39" s="16"/>
      <c r="Y39" s="16"/>
      <c r="Z39" s="16"/>
    </row>
    <row r="40">
      <c r="A40" s="16" t="str">
        <f>IFERROR(__xludf.DUMMYFUNCTION("""COMPUTED_VALUE"""),"5150752_1289155")</f>
        <v>5150752_1289155</v>
      </c>
      <c r="B40" s="16" t="str">
        <f>IFERROR(__xludf.DUMMYFUNCTION("""COMPUTED_VALUE"""),"Lamia Mchirgui")</f>
        <v>Lamia Mchirgui</v>
      </c>
      <c r="C40" s="16" t="str">
        <f>IFERROR(__xludf.DUMMYFUNCTION("""COMPUTED_VALUE"""),"approved")</f>
        <v>approved</v>
      </c>
      <c r="D40" s="16" t="str">
        <f>IFERROR(__xludf.DUMMYFUNCTION("""COMPUTED_VALUE"""),"No")</f>
        <v>No</v>
      </c>
      <c r="E40" s="16" t="str">
        <f>IFERROR(__xludf.DUMMYFUNCTION("""COMPUTED_VALUE"""),"p_5a0ac942160d28cbd1695955db09eb7a38327d91@inbound.aiesec.org")</f>
        <v>p_5a0ac942160d28cbd1695955db09eb7a38327d91@inbound.aiesec.org</v>
      </c>
      <c r="F40" s="16">
        <f>IFERROR(__xludf.DUMMYFUNCTION("""COMPUTED_VALUE"""),5.5889791E7)</f>
        <v>55889791</v>
      </c>
      <c r="G40" s="16" t="str">
        <f>IFERROR(__xludf.DUMMYFUNCTION("""COMPUTED_VALUE"""),"Tunisia")</f>
        <v>Tunisia</v>
      </c>
      <c r="H40" s="16" t="str">
        <f>IFERROR(__xludf.DUMMYFUNCTION("""COMPUTED_VALUE"""),"HADRUMET")</f>
        <v>HADRUMET</v>
      </c>
      <c r="I40" s="16" t="str">
        <f>IFERROR(__xludf.DUMMYFUNCTION("""COMPUTED_VALUE"""),"Turkey")</f>
        <v>Turkey</v>
      </c>
      <c r="J40" s="16" t="str">
        <f>IFERROR(__xludf.DUMMYFUNCTION("""COMPUTED_VALUE"""),"KONYA")</f>
        <v>KONYA</v>
      </c>
      <c r="K40" s="17" t="str">
        <f>IFERROR(__xludf.DUMMYFUNCTION("""COMPUTED_VALUE"""),"https://expa.aiesec.org/opportunities/1289155")</f>
        <v>https://expa.aiesec.org/opportunities/1289155</v>
      </c>
      <c r="L40" s="16" t="str">
        <f>IFERROR(__xludf.DUMMYFUNCTION("""COMPUTED_VALUE"""),"GV")</f>
        <v>GV</v>
      </c>
      <c r="M40" s="16" t="str">
        <f>IFERROR(__xludf.DUMMYFUNCTION("""COMPUTED_VALUE"""),"short")</f>
        <v>short</v>
      </c>
      <c r="N40" s="18">
        <f>IFERROR(__xludf.DUMMYFUNCTION("""COMPUTED_VALUE"""),44876.0)</f>
        <v>44876</v>
      </c>
      <c r="O40" s="18">
        <f>IFERROR(__xludf.DUMMYFUNCTION("""COMPUTED_VALUE"""),45117.0)</f>
        <v>45117</v>
      </c>
      <c r="P40" s="18">
        <f>IFERROR(__xludf.DUMMYFUNCTION("""COMPUTED_VALUE"""),45159.0)</f>
        <v>45159</v>
      </c>
      <c r="Q40" s="18"/>
      <c r="R40" s="18"/>
      <c r="S40" s="16"/>
      <c r="T40" s="16"/>
      <c r="U40" s="16" t="str">
        <f>IFERROR(__xludf.DUMMYFUNCTION("""COMPUTED_VALUE"""),"Global Classroom")</f>
        <v>Global Classroom</v>
      </c>
      <c r="V40" s="16" t="str">
        <f>IFERROR(__xludf.DUMMYFUNCTION("""COMPUTED_VALUE"""),"FMS (Faculté de Médecine de Sousse)")</f>
        <v>FMS (Faculté de Médecine de Sousse)</v>
      </c>
      <c r="W40" s="16" t="str">
        <f>IFERROR(__xludf.DUMMYFUNCTION("""COMPUTED_VALUE"""),"2022-11-10T11:04:10Z")</f>
        <v>2022-11-10T11:04:10Z</v>
      </c>
      <c r="X40" s="16"/>
      <c r="Y40" s="16"/>
      <c r="Z40" s="16"/>
    </row>
    <row r="41">
      <c r="A41" s="16" t="str">
        <f>IFERROR(__xludf.DUMMYFUNCTION("""COMPUTED_VALUE"""),"5147150_1288991")</f>
        <v>5147150_1288991</v>
      </c>
      <c r="B41" s="16" t="str">
        <f>IFERROR(__xludf.DUMMYFUNCTION("""COMPUTED_VALUE"""),"Faaizah Syed")</f>
        <v>Faaizah Syed</v>
      </c>
      <c r="C41" s="16" t="str">
        <f>IFERROR(__xludf.DUMMYFUNCTION("""COMPUTED_VALUE"""),"approved")</f>
        <v>approved</v>
      </c>
      <c r="D41" s="16" t="str">
        <f>IFERROR(__xludf.DUMMYFUNCTION("""COMPUTED_VALUE"""),"No")</f>
        <v>No</v>
      </c>
      <c r="E41" s="16" t="str">
        <f>IFERROR(__xludf.DUMMYFUNCTION("""COMPUTED_VALUE"""),"p_1645fc4421214b2a3a6786119596b62df495c763@inbound.aiesec.org")</f>
        <v>p_1645fc4421214b2a3a6786119596b62df495c763@inbound.aiesec.org</v>
      </c>
      <c r="F41" s="16">
        <f>IFERROR(__xludf.DUMMYFUNCTION("""COMPUTED_VALUE"""),9.325638651E9)</f>
        <v>9325638651</v>
      </c>
      <c r="G41" s="16" t="str">
        <f>IFERROR(__xludf.DUMMYFUNCTION("""COMPUTED_VALUE"""),"India")</f>
        <v>India</v>
      </c>
      <c r="H41" s="16" t="str">
        <f>IFERROR(__xludf.DUMMYFUNCTION("""COMPUTED_VALUE"""),"Mumbai")</f>
        <v>Mumbai</v>
      </c>
      <c r="I41" s="16" t="str">
        <f>IFERROR(__xludf.DUMMYFUNCTION("""COMPUTED_VALUE"""),"Turkey")</f>
        <v>Turkey</v>
      </c>
      <c r="J41" s="16" t="str">
        <f>IFERROR(__xludf.DUMMYFUNCTION("""COMPUTED_VALUE"""),"ANKARA")</f>
        <v>ANKARA</v>
      </c>
      <c r="K41" s="17" t="str">
        <f>IFERROR(__xludf.DUMMYFUNCTION("""COMPUTED_VALUE"""),"https://expa.aiesec.org/opportunities/1288991")</f>
        <v>https://expa.aiesec.org/opportunities/1288991</v>
      </c>
      <c r="L41" s="16" t="str">
        <f>IFERROR(__xludf.DUMMYFUNCTION("""COMPUTED_VALUE"""),"GV")</f>
        <v>GV</v>
      </c>
      <c r="M41" s="16" t="str">
        <f>IFERROR(__xludf.DUMMYFUNCTION("""COMPUTED_VALUE"""),"short")</f>
        <v>short</v>
      </c>
      <c r="N41" s="18">
        <f>IFERROR(__xludf.DUMMYFUNCTION("""COMPUTED_VALUE"""),44878.0)</f>
        <v>44878</v>
      </c>
      <c r="O41" s="18">
        <f>IFERROR(__xludf.DUMMYFUNCTION("""COMPUTED_VALUE"""),44938.0)</f>
        <v>44938</v>
      </c>
      <c r="P41" s="18">
        <f>IFERROR(__xludf.DUMMYFUNCTION("""COMPUTED_VALUE"""),44980.0)</f>
        <v>44980</v>
      </c>
      <c r="Q41" s="18"/>
      <c r="R41" s="18"/>
      <c r="S41" s="16"/>
      <c r="T41" s="16"/>
      <c r="U41" s="16" t="str">
        <f>IFERROR(__xludf.DUMMYFUNCTION("""COMPUTED_VALUE"""),"Green Leaders")</f>
        <v>Green Leaders</v>
      </c>
      <c r="V41" s="16" t="str">
        <f>IFERROR(__xludf.DUMMYFUNCTION("""COMPUTED_VALUE"""),"Ashoka College of Education, Nashik")</f>
        <v>Ashoka College of Education, Nashik</v>
      </c>
      <c r="W41" s="16" t="str">
        <f>IFERROR(__xludf.DUMMYFUNCTION("""COMPUTED_VALUE"""),"2022-11-05T14:32:24Z")</f>
        <v>2022-11-05T14:32:24Z</v>
      </c>
      <c r="X41" s="16"/>
      <c r="Y41" s="16"/>
      <c r="Z41" s="16"/>
    </row>
    <row r="42">
      <c r="A42" s="16" t="str">
        <f>IFERROR(__xludf.DUMMYFUNCTION("""COMPUTED_VALUE"""),"5140172_1284077")</f>
        <v>5140172_1284077</v>
      </c>
      <c r="B42" s="16" t="str">
        <f>IFERROR(__xludf.DUMMYFUNCTION("""COMPUTED_VALUE"""),"‪Mohamed Youssef‬‏")</f>
        <v>‪Mohamed Youssef‬‏</v>
      </c>
      <c r="C42" s="16" t="str">
        <f>IFERROR(__xludf.DUMMYFUNCTION("""COMPUTED_VALUE"""),"approved")</f>
        <v>approved</v>
      </c>
      <c r="D42" s="16" t="str">
        <f>IFERROR(__xludf.DUMMYFUNCTION("""COMPUTED_VALUE"""),"No")</f>
        <v>No</v>
      </c>
      <c r="E42" s="16" t="str">
        <f>IFERROR(__xludf.DUMMYFUNCTION("""COMPUTED_VALUE"""),"p_efd2091ca4705fd8d78cedd9e74df05f13e27773@inbound.aiesec.org")</f>
        <v>p_efd2091ca4705fd8d78cedd9e74df05f13e27773@inbound.aiesec.org</v>
      </c>
      <c r="F42" s="16">
        <f>IFERROR(__xludf.DUMMYFUNCTION("""COMPUTED_VALUE"""),1.142268085E9)</f>
        <v>1142268085</v>
      </c>
      <c r="G42" s="16" t="str">
        <f>IFERROR(__xludf.DUMMYFUNCTION("""COMPUTED_VALUE"""),"Egypt")</f>
        <v>Egypt</v>
      </c>
      <c r="H42" s="16" t="str">
        <f>IFERROR(__xludf.DUMMYFUNCTION("""COMPUTED_VALUE"""),"6th October University")</f>
        <v>6th October University</v>
      </c>
      <c r="I42" s="16" t="str">
        <f>IFERROR(__xludf.DUMMYFUNCTION("""COMPUTED_VALUE"""),"Turkey")</f>
        <v>Turkey</v>
      </c>
      <c r="J42" s="16" t="str">
        <f>IFERROR(__xludf.DUMMYFUNCTION("""COMPUTED_VALUE"""),"GAZIANTEP")</f>
        <v>GAZIANTEP</v>
      </c>
      <c r="K42" s="17" t="str">
        <f>IFERROR(__xludf.DUMMYFUNCTION("""COMPUTED_VALUE"""),"https://expa.aiesec.org/opportunities/1284077")</f>
        <v>https://expa.aiesec.org/opportunities/1284077</v>
      </c>
      <c r="L42" s="16" t="str">
        <f>IFERROR(__xludf.DUMMYFUNCTION("""COMPUTED_VALUE"""),"GV")</f>
        <v>GV</v>
      </c>
      <c r="M42" s="16" t="str">
        <f>IFERROR(__xludf.DUMMYFUNCTION("""COMPUTED_VALUE"""),"short")</f>
        <v>short</v>
      </c>
      <c r="N42" s="18">
        <f>IFERROR(__xludf.DUMMYFUNCTION("""COMPUTED_VALUE"""),44879.0)</f>
        <v>44879</v>
      </c>
      <c r="O42" s="18">
        <f>IFERROR(__xludf.DUMMYFUNCTION("""COMPUTED_VALUE"""),45122.0)</f>
        <v>45122</v>
      </c>
      <c r="P42" s="18">
        <f>IFERROR(__xludf.DUMMYFUNCTION("""COMPUTED_VALUE"""),45164.0)</f>
        <v>45164</v>
      </c>
      <c r="Q42" s="18"/>
      <c r="R42" s="18"/>
      <c r="S42" s="16"/>
      <c r="T42" s="16"/>
      <c r="U42" s="16" t="str">
        <f>IFERROR(__xludf.DUMMYFUNCTION("""COMPUTED_VALUE"""),"Global Classroom")</f>
        <v>Global Classroom</v>
      </c>
      <c r="V42" s="16" t="str">
        <f>IFERROR(__xludf.DUMMYFUNCTION("""COMPUTED_VALUE"""),"6th of October University")</f>
        <v>6th of October University</v>
      </c>
      <c r="W42" s="16" t="str">
        <f>IFERROR(__xludf.DUMMYFUNCTION("""COMPUTED_VALUE"""),"2022-10-25T12:44:03Z")</f>
        <v>2022-10-25T12:44:03Z</v>
      </c>
      <c r="X42" s="16"/>
      <c r="Y42" s="16"/>
      <c r="Z42" s="16"/>
    </row>
    <row r="43">
      <c r="A43" s="16" t="str">
        <f>IFERROR(__xludf.DUMMYFUNCTION("""COMPUTED_VALUE"""),"5147832_1288991")</f>
        <v>5147832_1288991</v>
      </c>
      <c r="B43" s="16" t="str">
        <f>IFERROR(__xludf.DUMMYFUNCTION("""COMPUTED_VALUE"""),"SAEEDA Qureshey")</f>
        <v>SAEEDA Qureshey</v>
      </c>
      <c r="C43" s="16" t="str">
        <f>IFERROR(__xludf.DUMMYFUNCTION("""COMPUTED_VALUE"""),"approved")</f>
        <v>approved</v>
      </c>
      <c r="D43" s="16" t="str">
        <f>IFERROR(__xludf.DUMMYFUNCTION("""COMPUTED_VALUE"""),"No")</f>
        <v>No</v>
      </c>
      <c r="E43" s="16" t="str">
        <f>IFERROR(__xludf.DUMMYFUNCTION("""COMPUTED_VALUE"""),"p_b785b9bc948663b0267c874bde0b9828131654ff@inbound.aiesec.org")</f>
        <v>p_b785b9bc948663b0267c874bde0b9828131654ff@inbound.aiesec.org</v>
      </c>
      <c r="F43" s="16">
        <f>IFERROR(__xludf.DUMMYFUNCTION("""COMPUTED_VALUE"""),9.173478735E9)</f>
        <v>9173478735</v>
      </c>
      <c r="G43" s="16" t="str">
        <f>IFERROR(__xludf.DUMMYFUNCTION("""COMPUTED_VALUE"""),"India")</f>
        <v>India</v>
      </c>
      <c r="H43" s="16" t="str">
        <f>IFERROR(__xludf.DUMMYFUNCTION("""COMPUTED_VALUE"""),"Mumbai")</f>
        <v>Mumbai</v>
      </c>
      <c r="I43" s="16" t="str">
        <f>IFERROR(__xludf.DUMMYFUNCTION("""COMPUTED_VALUE"""),"Turkey")</f>
        <v>Turkey</v>
      </c>
      <c r="J43" s="16" t="str">
        <f>IFERROR(__xludf.DUMMYFUNCTION("""COMPUTED_VALUE"""),"ANKARA")</f>
        <v>ANKARA</v>
      </c>
      <c r="K43" s="17" t="str">
        <f>IFERROR(__xludf.DUMMYFUNCTION("""COMPUTED_VALUE"""),"https://expa.aiesec.org/opportunities/1288991")</f>
        <v>https://expa.aiesec.org/opportunities/1288991</v>
      </c>
      <c r="L43" s="16" t="str">
        <f>IFERROR(__xludf.DUMMYFUNCTION("""COMPUTED_VALUE"""),"GV")</f>
        <v>GV</v>
      </c>
      <c r="M43" s="16" t="str">
        <f>IFERROR(__xludf.DUMMYFUNCTION("""COMPUTED_VALUE"""),"short")</f>
        <v>short</v>
      </c>
      <c r="N43" s="18">
        <f>IFERROR(__xludf.DUMMYFUNCTION("""COMPUTED_VALUE"""),44879.0)</f>
        <v>44879</v>
      </c>
      <c r="O43" s="18">
        <f>IFERROR(__xludf.DUMMYFUNCTION("""COMPUTED_VALUE"""),44938.0)</f>
        <v>44938</v>
      </c>
      <c r="P43" s="18">
        <f>IFERROR(__xludf.DUMMYFUNCTION("""COMPUTED_VALUE"""),44980.0)</f>
        <v>44980</v>
      </c>
      <c r="Q43" s="18"/>
      <c r="R43" s="18"/>
      <c r="S43" s="16"/>
      <c r="T43" s="16"/>
      <c r="U43" s="16" t="str">
        <f>IFERROR(__xludf.DUMMYFUNCTION("""COMPUTED_VALUE"""),"Green Leaders")</f>
        <v>Green Leaders</v>
      </c>
      <c r="V43" s="16" t="str">
        <f>IFERROR(__xludf.DUMMYFUNCTION("""COMPUTED_VALUE"""),"AICESR, Nashik")</f>
        <v>AICESR, Nashik</v>
      </c>
      <c r="W43" s="16" t="str">
        <f>IFERROR(__xludf.DUMMYFUNCTION("""COMPUTED_VALUE"""),"2022-11-06T13:22:22Z")</f>
        <v>2022-11-06T13:22:22Z</v>
      </c>
      <c r="X43" s="16"/>
      <c r="Y43" s="16"/>
      <c r="Z43" s="16"/>
    </row>
    <row r="44">
      <c r="A44" s="16" t="str">
        <f>IFERROR(__xludf.DUMMYFUNCTION("""COMPUTED_VALUE"""),"5139346_1284077")</f>
        <v>5139346_1284077</v>
      </c>
      <c r="B44" s="16" t="str">
        <f>IFERROR(__xludf.DUMMYFUNCTION("""COMPUTED_VALUE"""),"Mahmoud Mikky")</f>
        <v>Mahmoud Mikky</v>
      </c>
      <c r="C44" s="16" t="str">
        <f>IFERROR(__xludf.DUMMYFUNCTION("""COMPUTED_VALUE"""),"approved")</f>
        <v>approved</v>
      </c>
      <c r="D44" s="16" t="str">
        <f>IFERROR(__xludf.DUMMYFUNCTION("""COMPUTED_VALUE"""),"No")</f>
        <v>No</v>
      </c>
      <c r="E44" s="16" t="str">
        <f>IFERROR(__xludf.DUMMYFUNCTION("""COMPUTED_VALUE"""),"p_c00cd4549b88a41605cf486c4d525b0f0f0e59f9@inbound.aiesec.org")</f>
        <v>p_c00cd4549b88a41605cf486c4d525b0f0f0e59f9@inbound.aiesec.org</v>
      </c>
      <c r="F44" s="16">
        <f>IFERROR(__xludf.DUMMYFUNCTION("""COMPUTED_VALUE"""),1.015564566E9)</f>
        <v>1015564566</v>
      </c>
      <c r="G44" s="16" t="str">
        <f>IFERROR(__xludf.DUMMYFUNCTION("""COMPUTED_VALUE"""),"Egypt")</f>
        <v>Egypt</v>
      </c>
      <c r="H44" s="16" t="str">
        <f>IFERROR(__xludf.DUMMYFUNCTION("""COMPUTED_VALUE"""),"6th October University")</f>
        <v>6th October University</v>
      </c>
      <c r="I44" s="16" t="str">
        <f>IFERROR(__xludf.DUMMYFUNCTION("""COMPUTED_VALUE"""),"Turkey")</f>
        <v>Turkey</v>
      </c>
      <c r="J44" s="16" t="str">
        <f>IFERROR(__xludf.DUMMYFUNCTION("""COMPUTED_VALUE"""),"GAZIANTEP")</f>
        <v>GAZIANTEP</v>
      </c>
      <c r="K44" s="17" t="str">
        <f>IFERROR(__xludf.DUMMYFUNCTION("""COMPUTED_VALUE"""),"https://expa.aiesec.org/opportunities/1284077")</f>
        <v>https://expa.aiesec.org/opportunities/1284077</v>
      </c>
      <c r="L44" s="16" t="str">
        <f>IFERROR(__xludf.DUMMYFUNCTION("""COMPUTED_VALUE"""),"GV")</f>
        <v>GV</v>
      </c>
      <c r="M44" s="16" t="str">
        <f>IFERROR(__xludf.DUMMYFUNCTION("""COMPUTED_VALUE"""),"short")</f>
        <v>short</v>
      </c>
      <c r="N44" s="18">
        <f>IFERROR(__xludf.DUMMYFUNCTION("""COMPUTED_VALUE"""),44881.0)</f>
        <v>44881</v>
      </c>
      <c r="O44" s="18">
        <f>IFERROR(__xludf.DUMMYFUNCTION("""COMPUTED_VALUE"""),45122.0)</f>
        <v>45122</v>
      </c>
      <c r="P44" s="18">
        <f>IFERROR(__xludf.DUMMYFUNCTION("""COMPUTED_VALUE"""),45164.0)</f>
        <v>45164</v>
      </c>
      <c r="Q44" s="18"/>
      <c r="R44" s="18"/>
      <c r="S44" s="16"/>
      <c r="T44" s="16"/>
      <c r="U44" s="16" t="str">
        <f>IFERROR(__xludf.DUMMYFUNCTION("""COMPUTED_VALUE"""),"Global Classroom")</f>
        <v>Global Classroom</v>
      </c>
      <c r="V44" s="16" t="str">
        <f>IFERROR(__xludf.DUMMYFUNCTION("""COMPUTED_VALUE"""),"6th of October University")</f>
        <v>6th of October University</v>
      </c>
      <c r="W44" s="16" t="str">
        <f>IFERROR(__xludf.DUMMYFUNCTION("""COMPUTED_VALUE"""),"2022-10-24T10:15:04Z")</f>
        <v>2022-10-24T10:15:04Z</v>
      </c>
      <c r="X44" s="16"/>
      <c r="Y44" s="16"/>
      <c r="Z44" s="16"/>
    </row>
    <row r="45">
      <c r="A45" s="16" t="str">
        <f>IFERROR(__xludf.DUMMYFUNCTION("""COMPUTED_VALUE"""),"5153645_1284596")</f>
        <v>5153645_1284596</v>
      </c>
      <c r="B45" s="16" t="str">
        <f>IFERROR(__xludf.DUMMYFUNCTION("""COMPUTED_VALUE"""),"Rana Amaidia")</f>
        <v>Rana Amaidia</v>
      </c>
      <c r="C45" s="16" t="str">
        <f>IFERROR(__xludf.DUMMYFUNCTION("""COMPUTED_VALUE"""),"approved")</f>
        <v>approved</v>
      </c>
      <c r="D45" s="16" t="str">
        <f>IFERROR(__xludf.DUMMYFUNCTION("""COMPUTED_VALUE"""),"No")</f>
        <v>No</v>
      </c>
      <c r="E45" s="16" t="str">
        <f>IFERROR(__xludf.DUMMYFUNCTION("""COMPUTED_VALUE"""),"p_b512eb285805520bbce6b5a00ea4a2d39d1cae9a@inbound.aiesec.org")</f>
        <v>p_b512eb285805520bbce6b5a00ea4a2d39d1cae9a@inbound.aiesec.org</v>
      </c>
      <c r="F45" s="16">
        <f>IFERROR(__xludf.DUMMYFUNCTION("""COMPUTED_VALUE"""),5.1019623E7)</f>
        <v>51019623</v>
      </c>
      <c r="G45" s="16" t="str">
        <f>IFERROR(__xludf.DUMMYFUNCTION("""COMPUTED_VALUE"""),"Tunisia")</f>
        <v>Tunisia</v>
      </c>
      <c r="H45" s="16" t="str">
        <f>IFERROR(__xludf.DUMMYFUNCTION("""COMPUTED_VALUE"""),"HADRUMET")</f>
        <v>HADRUMET</v>
      </c>
      <c r="I45" s="16" t="str">
        <f>IFERROR(__xludf.DUMMYFUNCTION("""COMPUTED_VALUE"""),"Turkey")</f>
        <v>Turkey</v>
      </c>
      <c r="J45" s="16" t="str">
        <f>IFERROR(__xludf.DUMMYFUNCTION("""COMPUTED_VALUE"""),"DENIZLI")</f>
        <v>DENIZLI</v>
      </c>
      <c r="K45" s="17" t="str">
        <f>IFERROR(__xludf.DUMMYFUNCTION("""COMPUTED_VALUE"""),"https://expa.aiesec.org/opportunities/1284596")</f>
        <v>https://expa.aiesec.org/opportunities/1284596</v>
      </c>
      <c r="L45" s="16" t="str">
        <f>IFERROR(__xludf.DUMMYFUNCTION("""COMPUTED_VALUE"""),"GV")</f>
        <v>GV</v>
      </c>
      <c r="M45" s="16" t="str">
        <f>IFERROR(__xludf.DUMMYFUNCTION("""COMPUTED_VALUE"""),"short")</f>
        <v>short</v>
      </c>
      <c r="N45" s="18">
        <f>IFERROR(__xludf.DUMMYFUNCTION("""COMPUTED_VALUE"""),44881.0)</f>
        <v>44881</v>
      </c>
      <c r="O45" s="18">
        <f>IFERROR(__xludf.DUMMYFUNCTION("""COMPUTED_VALUE"""),45117.0)</f>
        <v>45117</v>
      </c>
      <c r="P45" s="18">
        <f>IFERROR(__xludf.DUMMYFUNCTION("""COMPUTED_VALUE"""),45159.0)</f>
        <v>45159</v>
      </c>
      <c r="Q45" s="18"/>
      <c r="R45" s="18"/>
      <c r="S45" s="16"/>
      <c r="T45" s="16"/>
      <c r="U45" s="16" t="str">
        <f>IFERROR(__xludf.DUMMYFUNCTION("""COMPUTED_VALUE"""),"Youth 4 Impact")</f>
        <v>Youth 4 Impact</v>
      </c>
      <c r="V45" s="16" t="str">
        <f>IFERROR(__xludf.DUMMYFUNCTION("""COMPUTED_VALUE"""),"FMS (Faculté de Médecine de Sousse)")</f>
        <v>FMS (Faculté de Médecine de Sousse)</v>
      </c>
      <c r="W45" s="16" t="str">
        <f>IFERROR(__xludf.DUMMYFUNCTION("""COMPUTED_VALUE"""),"2022-11-15T19:53:19Z")</f>
        <v>2022-11-15T19:53:19Z</v>
      </c>
      <c r="X45" s="16"/>
      <c r="Y45" s="16"/>
      <c r="Z45" s="16"/>
    </row>
    <row r="46">
      <c r="A46" s="16" t="str">
        <f>IFERROR(__xludf.DUMMYFUNCTION("""COMPUTED_VALUE"""),"5143353_1284077")</f>
        <v>5143353_1284077</v>
      </c>
      <c r="B46" s="16" t="str">
        <f>IFERROR(__xludf.DUMMYFUNCTION("""COMPUTED_VALUE"""),"Hassan Salem")</f>
        <v>Hassan Salem</v>
      </c>
      <c r="C46" s="16" t="str">
        <f>IFERROR(__xludf.DUMMYFUNCTION("""COMPUTED_VALUE"""),"approved")</f>
        <v>approved</v>
      </c>
      <c r="D46" s="16" t="str">
        <f>IFERROR(__xludf.DUMMYFUNCTION("""COMPUTED_VALUE"""),"No")</f>
        <v>No</v>
      </c>
      <c r="E46" s="16" t="str">
        <f>IFERROR(__xludf.DUMMYFUNCTION("""COMPUTED_VALUE"""),"p_5106929f7d1c7e003c5fcca6c4f0a70826346d38@inbound.aiesec.org")</f>
        <v>p_5106929f7d1c7e003c5fcca6c4f0a70826346d38@inbound.aiesec.org</v>
      </c>
      <c r="F46" s="16">
        <f>IFERROR(__xludf.DUMMYFUNCTION("""COMPUTED_VALUE"""),1.092140284E9)</f>
        <v>1092140284</v>
      </c>
      <c r="G46" s="16" t="str">
        <f>IFERROR(__xludf.DUMMYFUNCTION("""COMPUTED_VALUE"""),"Egypt")</f>
        <v>Egypt</v>
      </c>
      <c r="H46" s="16" t="str">
        <f>IFERROR(__xludf.DUMMYFUNCTION("""COMPUTED_VALUE"""),"Ain Shams University")</f>
        <v>Ain Shams University</v>
      </c>
      <c r="I46" s="16" t="str">
        <f>IFERROR(__xludf.DUMMYFUNCTION("""COMPUTED_VALUE"""),"Turkey")</f>
        <v>Turkey</v>
      </c>
      <c r="J46" s="16" t="str">
        <f>IFERROR(__xludf.DUMMYFUNCTION("""COMPUTED_VALUE"""),"GAZIANTEP")</f>
        <v>GAZIANTEP</v>
      </c>
      <c r="K46" s="17" t="str">
        <f>IFERROR(__xludf.DUMMYFUNCTION("""COMPUTED_VALUE"""),"https://expa.aiesec.org/opportunities/1284077")</f>
        <v>https://expa.aiesec.org/opportunities/1284077</v>
      </c>
      <c r="L46" s="16" t="str">
        <f>IFERROR(__xludf.DUMMYFUNCTION("""COMPUTED_VALUE"""),"GV")</f>
        <v>GV</v>
      </c>
      <c r="M46" s="16" t="str">
        <f>IFERROR(__xludf.DUMMYFUNCTION("""COMPUTED_VALUE"""),"short")</f>
        <v>short</v>
      </c>
      <c r="N46" s="18">
        <f>IFERROR(__xludf.DUMMYFUNCTION("""COMPUTED_VALUE"""),44883.0)</f>
        <v>44883</v>
      </c>
      <c r="O46" s="18">
        <f>IFERROR(__xludf.DUMMYFUNCTION("""COMPUTED_VALUE"""),44996.0)</f>
        <v>44996</v>
      </c>
      <c r="P46" s="18">
        <f>IFERROR(__xludf.DUMMYFUNCTION("""COMPUTED_VALUE"""),45038.0)</f>
        <v>45038</v>
      </c>
      <c r="Q46" s="18"/>
      <c r="R46" s="18"/>
      <c r="S46" s="16"/>
      <c r="T46" s="16"/>
      <c r="U46" s="16" t="str">
        <f>IFERROR(__xludf.DUMMYFUNCTION("""COMPUTED_VALUE"""),"Global Classroom")</f>
        <v>Global Classroom</v>
      </c>
      <c r="V46" s="16" t="str">
        <f>IFERROR(__xludf.DUMMYFUNCTION("""COMPUTED_VALUE"""),"Ain Shams University")</f>
        <v>Ain Shams University</v>
      </c>
      <c r="W46" s="16" t="str">
        <f>IFERROR(__xludf.DUMMYFUNCTION("""COMPUTED_VALUE"""),"2022-10-30T19:30:26Z")</f>
        <v>2022-10-30T19:30:26Z</v>
      </c>
      <c r="X46" s="16"/>
      <c r="Y46" s="16"/>
      <c r="Z46" s="16"/>
    </row>
    <row r="47">
      <c r="A47" s="16" t="str">
        <f>IFERROR(__xludf.DUMMYFUNCTION("""COMPUTED_VALUE"""),"5155590_1285713")</f>
        <v>5155590_1285713</v>
      </c>
      <c r="B47" s="16" t="str">
        <f>IFERROR(__xludf.DUMMYFUNCTION("""COMPUTED_VALUE"""),"Cristina Buenaño")</f>
        <v>Cristina Buenaño</v>
      </c>
      <c r="C47" s="16" t="str">
        <f>IFERROR(__xludf.DUMMYFUNCTION("""COMPUTED_VALUE"""),"approved")</f>
        <v>approved</v>
      </c>
      <c r="D47" s="16" t="str">
        <f>IFERROR(__xludf.DUMMYFUNCTION("""COMPUTED_VALUE"""),"No")</f>
        <v>No</v>
      </c>
      <c r="E47" s="16" t="str">
        <f>IFERROR(__xludf.DUMMYFUNCTION("""COMPUTED_VALUE"""),"p_f5427f659f09e06b4c45f8033a76d905913cc191@inbound.aiesec.org")</f>
        <v>p_f5427f659f09e06b4c45f8033a76d905913cc191@inbound.aiesec.org</v>
      </c>
      <c r="F47" s="16">
        <f>IFERROR(__xludf.DUMMYFUNCTION("""COMPUTED_VALUE"""),6.22289089E8)</f>
        <v>622289089</v>
      </c>
      <c r="G47" s="16" t="str">
        <f>IFERROR(__xludf.DUMMYFUNCTION("""COMPUTED_VALUE"""),"Ecuador")</f>
        <v>Ecuador</v>
      </c>
      <c r="H47" s="16" t="str">
        <f>IFERROR(__xludf.DUMMYFUNCTION("""COMPUTED_VALUE"""),"Ambato")</f>
        <v>Ambato</v>
      </c>
      <c r="I47" s="16" t="str">
        <f>IFERROR(__xludf.DUMMYFUNCTION("""COMPUTED_VALUE"""),"Turkey")</f>
        <v>Turkey</v>
      </c>
      <c r="J47" s="16" t="str">
        <f>IFERROR(__xludf.DUMMYFUNCTION("""COMPUTED_VALUE"""),"ISTANBUL")</f>
        <v>ISTANBUL</v>
      </c>
      <c r="K47" s="17" t="str">
        <f>IFERROR(__xludf.DUMMYFUNCTION("""COMPUTED_VALUE"""),"https://expa.aiesec.org/opportunities/1285713")</f>
        <v>https://expa.aiesec.org/opportunities/1285713</v>
      </c>
      <c r="L47" s="16" t="str">
        <f>IFERROR(__xludf.DUMMYFUNCTION("""COMPUTED_VALUE"""),"GV")</f>
        <v>GV</v>
      </c>
      <c r="M47" s="16" t="str">
        <f>IFERROR(__xludf.DUMMYFUNCTION("""COMPUTED_VALUE"""),"short")</f>
        <v>short</v>
      </c>
      <c r="N47" s="18">
        <f>IFERROR(__xludf.DUMMYFUNCTION("""COMPUTED_VALUE"""),44884.0)</f>
        <v>44884</v>
      </c>
      <c r="O47" s="18">
        <f>IFERROR(__xludf.DUMMYFUNCTION("""COMPUTED_VALUE"""),44977.0)</f>
        <v>44977</v>
      </c>
      <c r="P47" s="18">
        <f>IFERROR(__xludf.DUMMYFUNCTION("""COMPUTED_VALUE"""),45019.0)</f>
        <v>45019</v>
      </c>
      <c r="Q47" s="18"/>
      <c r="R47" s="18"/>
      <c r="S47" s="16"/>
      <c r="T47" s="16"/>
      <c r="U47" s="16" t="str">
        <f>IFERROR(__xludf.DUMMYFUNCTION("""COMPUTED_VALUE"""),"Heartbeat")</f>
        <v>Heartbeat</v>
      </c>
      <c r="V47" s="16" t="str">
        <f>IFERROR(__xludf.DUMMYFUNCTION("""COMPUTED_VALUE"""),"UTA - Universidad Técnica de Ambato")</f>
        <v>UTA - Universidad Técnica de Ambato</v>
      </c>
      <c r="W47" s="16" t="str">
        <f>IFERROR(__xludf.DUMMYFUNCTION("""COMPUTED_VALUE"""),"2022-11-19T01:44:08Z")</f>
        <v>2022-11-19T01:44:08Z</v>
      </c>
      <c r="X47" s="16"/>
      <c r="Y47" s="16"/>
      <c r="Z47" s="16"/>
    </row>
    <row r="48">
      <c r="A48" s="16" t="str">
        <f>IFERROR(__xludf.DUMMYFUNCTION("""COMPUTED_VALUE"""),"5156063_1284670")</f>
        <v>5156063_1284670</v>
      </c>
      <c r="B48" s="16" t="str">
        <f>IFERROR(__xludf.DUMMYFUNCTION("""COMPUTED_VALUE"""),"Prateek Sangar")</f>
        <v>Prateek Sangar</v>
      </c>
      <c r="C48" s="16" t="str">
        <f>IFERROR(__xludf.DUMMYFUNCTION("""COMPUTED_VALUE"""),"approved")</f>
        <v>approved</v>
      </c>
      <c r="D48" s="16" t="str">
        <f>IFERROR(__xludf.DUMMYFUNCTION("""COMPUTED_VALUE"""),"No")</f>
        <v>No</v>
      </c>
      <c r="E48" s="16" t="str">
        <f>IFERROR(__xludf.DUMMYFUNCTION("""COMPUTED_VALUE"""),"p_8c9175471747695ae54210ba779c5949cf0cda76@inbound.aiesec.org")</f>
        <v>p_8c9175471747695ae54210ba779c5949cf0cda76@inbound.aiesec.org</v>
      </c>
      <c r="F48" s="16">
        <f>IFERROR(__xludf.DUMMYFUNCTION("""COMPUTED_VALUE"""),8.447306441E9)</f>
        <v>8447306441</v>
      </c>
      <c r="G48" s="16" t="str">
        <f>IFERROR(__xludf.DUMMYFUNCTION("""COMPUTED_VALUE"""),"India")</f>
        <v>India</v>
      </c>
      <c r="H48" s="16" t="str">
        <f>IFERROR(__xludf.DUMMYFUNCTION("""COMPUTED_VALUE"""),"Noida")</f>
        <v>Noida</v>
      </c>
      <c r="I48" s="16" t="str">
        <f>IFERROR(__xludf.DUMMYFUNCTION("""COMPUTED_VALUE"""),"Turkey")</f>
        <v>Turkey</v>
      </c>
      <c r="J48" s="16" t="str">
        <f>IFERROR(__xludf.DUMMYFUNCTION("""COMPUTED_VALUE"""),"ISTANBUL")</f>
        <v>ISTANBUL</v>
      </c>
      <c r="K48" s="17" t="str">
        <f>IFERROR(__xludf.DUMMYFUNCTION("""COMPUTED_VALUE"""),"https://expa.aiesec.org/opportunities/1284670")</f>
        <v>https://expa.aiesec.org/opportunities/1284670</v>
      </c>
      <c r="L48" s="16" t="str">
        <f>IFERROR(__xludf.DUMMYFUNCTION("""COMPUTED_VALUE"""),"GV")</f>
        <v>GV</v>
      </c>
      <c r="M48" s="16" t="str">
        <f>IFERROR(__xludf.DUMMYFUNCTION("""COMPUTED_VALUE"""),"short")</f>
        <v>short</v>
      </c>
      <c r="N48" s="18">
        <f>IFERROR(__xludf.DUMMYFUNCTION("""COMPUTED_VALUE"""),44886.0)</f>
        <v>44886</v>
      </c>
      <c r="O48" s="18">
        <f>IFERROR(__xludf.DUMMYFUNCTION("""COMPUTED_VALUE"""),45111.0)</f>
        <v>45111</v>
      </c>
      <c r="P48" s="18">
        <f>IFERROR(__xludf.DUMMYFUNCTION("""COMPUTED_VALUE"""),45153.0)</f>
        <v>45153</v>
      </c>
      <c r="Q48" s="18"/>
      <c r="R48" s="18"/>
      <c r="S48" s="16"/>
      <c r="T48" s="16"/>
      <c r="U48" s="16" t="str">
        <f>IFERROR(__xludf.DUMMYFUNCTION("""COMPUTED_VALUE"""),"Heartbeat")</f>
        <v>Heartbeat</v>
      </c>
      <c r="V48" s="16" t="str">
        <f>IFERROR(__xludf.DUMMYFUNCTION("""COMPUTED_VALUE"""),"Amity University, Noida")</f>
        <v>Amity University, Noida</v>
      </c>
      <c r="W48" s="16" t="str">
        <f>IFERROR(__xludf.DUMMYFUNCTION("""COMPUTED_VALUE"""),"2022-11-20T08:48:42Z")</f>
        <v>2022-11-20T08:48:42Z</v>
      </c>
      <c r="X48" s="16"/>
      <c r="Y48" s="16"/>
      <c r="Z48" s="16"/>
    </row>
    <row r="49">
      <c r="A49" s="16" t="str">
        <f>IFERROR(__xludf.DUMMYFUNCTION("""COMPUTED_VALUE"""),"2917848_1272564")</f>
        <v>2917848_1272564</v>
      </c>
      <c r="B49" s="16" t="str">
        <f>IFERROR(__xludf.DUMMYFUNCTION("""COMPUTED_VALUE"""),"Neirouz Rawene")</f>
        <v>Neirouz Rawene</v>
      </c>
      <c r="C49" s="16" t="str">
        <f>IFERROR(__xludf.DUMMYFUNCTION("""COMPUTED_VALUE"""),"approved")</f>
        <v>approved</v>
      </c>
      <c r="D49" s="16" t="str">
        <f>IFERROR(__xludf.DUMMYFUNCTION("""COMPUTED_VALUE"""),"No")</f>
        <v>No</v>
      </c>
      <c r="E49" s="16" t="str">
        <f>IFERROR(__xludf.DUMMYFUNCTION("""COMPUTED_VALUE"""),"p_915d3865048f914992d1e34014ff8f653d084e7b@inbound.aiesec.org")</f>
        <v>p_915d3865048f914992d1e34014ff8f653d084e7b@inbound.aiesec.org</v>
      </c>
      <c r="F49" s="16"/>
      <c r="G49" s="16" t="str">
        <f>IFERROR(__xludf.DUMMYFUNCTION("""COMPUTED_VALUE"""),"Tunisia")</f>
        <v>Tunisia</v>
      </c>
      <c r="H49" s="16" t="str">
        <f>IFERROR(__xludf.DUMMYFUNCTION("""COMPUTED_VALUE"""),"SFAX")</f>
        <v>SFAX</v>
      </c>
      <c r="I49" s="16" t="str">
        <f>IFERROR(__xludf.DUMMYFUNCTION("""COMPUTED_VALUE"""),"Turkey")</f>
        <v>Turkey</v>
      </c>
      <c r="J49" s="16" t="str">
        <f>IFERROR(__xludf.DUMMYFUNCTION("""COMPUTED_VALUE"""),"ISTANBUL")</f>
        <v>ISTANBUL</v>
      </c>
      <c r="K49" s="17" t="str">
        <f>IFERROR(__xludf.DUMMYFUNCTION("""COMPUTED_VALUE"""),"https://expa.aiesec.org/opportunities/1272564")</f>
        <v>https://expa.aiesec.org/opportunities/1272564</v>
      </c>
      <c r="L49" s="16" t="str">
        <f>IFERROR(__xludf.DUMMYFUNCTION("""COMPUTED_VALUE"""),"GV")</f>
        <v>GV</v>
      </c>
      <c r="M49" s="16" t="str">
        <f>IFERROR(__xludf.DUMMYFUNCTION("""COMPUTED_VALUE"""),"short")</f>
        <v>short</v>
      </c>
      <c r="N49" s="18">
        <f>IFERROR(__xludf.DUMMYFUNCTION("""COMPUTED_VALUE"""),44888.0)</f>
        <v>44888</v>
      </c>
      <c r="O49" s="18">
        <f>IFERROR(__xludf.DUMMYFUNCTION("""COMPUTED_VALUE"""),45082.0)</f>
        <v>45082</v>
      </c>
      <c r="P49" s="18">
        <f>IFERROR(__xludf.DUMMYFUNCTION("""COMPUTED_VALUE"""),45124.0)</f>
        <v>45124</v>
      </c>
      <c r="Q49" s="18"/>
      <c r="R49" s="18"/>
      <c r="S49" s="16"/>
      <c r="T49" s="16"/>
      <c r="U49" s="16" t="str">
        <f>IFERROR(__xludf.DUMMYFUNCTION("""COMPUTED_VALUE"""),"Global Classroom")</f>
        <v>Global Classroom</v>
      </c>
      <c r="V49" s="16" t="str">
        <f>IFERROR(__xludf.DUMMYFUNCTION("""COMPUTED_VALUE"""),"ENIS")</f>
        <v>ENIS</v>
      </c>
      <c r="W49" s="16" t="str">
        <f>IFERROR(__xludf.DUMMYFUNCTION("""COMPUTED_VALUE"""),"2018-12-03T18:15:40Z")</f>
        <v>2018-12-03T18:15:40Z</v>
      </c>
      <c r="X49" s="16"/>
      <c r="Y49" s="16"/>
      <c r="Z49" s="16"/>
    </row>
    <row r="50">
      <c r="A50" s="16" t="str">
        <f>IFERROR(__xludf.DUMMYFUNCTION("""COMPUTED_VALUE"""),"5158364_1283483")</f>
        <v>5158364_1283483</v>
      </c>
      <c r="B50" s="16" t="str">
        <f>IFERROR(__xludf.DUMMYFUNCTION("""COMPUTED_VALUE"""),"Rayen Ben hassen")</f>
        <v>Rayen Ben hassen</v>
      </c>
      <c r="C50" s="16" t="str">
        <f>IFERROR(__xludf.DUMMYFUNCTION("""COMPUTED_VALUE"""),"approved")</f>
        <v>approved</v>
      </c>
      <c r="D50" s="16" t="str">
        <f>IFERROR(__xludf.DUMMYFUNCTION("""COMPUTED_VALUE"""),"No")</f>
        <v>No</v>
      </c>
      <c r="E50" s="16" t="str">
        <f>IFERROR(__xludf.DUMMYFUNCTION("""COMPUTED_VALUE"""),"p_79caac72b3fbb463a5400c986aa97f4279389aef@inbound.aiesec.org")</f>
        <v>p_79caac72b3fbb463a5400c986aa97f4279389aef@inbound.aiesec.org</v>
      </c>
      <c r="F50" s="16">
        <f>IFERROR(__xludf.DUMMYFUNCTION("""COMPUTED_VALUE"""),9.4398054E7)</f>
        <v>94398054</v>
      </c>
      <c r="G50" s="16" t="str">
        <f>IFERROR(__xludf.DUMMYFUNCTION("""COMPUTED_VALUE"""),"Tunisia")</f>
        <v>Tunisia</v>
      </c>
      <c r="H50" s="16" t="str">
        <f>IFERROR(__xludf.DUMMYFUNCTION("""COMPUTED_VALUE"""),"HADRUMET")</f>
        <v>HADRUMET</v>
      </c>
      <c r="I50" s="16" t="str">
        <f>IFERROR(__xludf.DUMMYFUNCTION("""COMPUTED_VALUE"""),"Turkey")</f>
        <v>Turkey</v>
      </c>
      <c r="J50" s="16" t="str">
        <f>IFERROR(__xludf.DUMMYFUNCTION("""COMPUTED_VALUE"""),"KONYA")</f>
        <v>KONYA</v>
      </c>
      <c r="K50" s="17" t="str">
        <f>IFERROR(__xludf.DUMMYFUNCTION("""COMPUTED_VALUE"""),"https://expa.aiesec.org/opportunities/1283483")</f>
        <v>https://expa.aiesec.org/opportunities/1283483</v>
      </c>
      <c r="L50" s="16" t="str">
        <f>IFERROR(__xludf.DUMMYFUNCTION("""COMPUTED_VALUE"""),"GV")</f>
        <v>GV</v>
      </c>
      <c r="M50" s="16" t="str">
        <f>IFERROR(__xludf.DUMMYFUNCTION("""COMPUTED_VALUE"""),"short")</f>
        <v>short</v>
      </c>
      <c r="N50" s="18">
        <f>IFERROR(__xludf.DUMMYFUNCTION("""COMPUTED_VALUE"""),44889.0)</f>
        <v>44889</v>
      </c>
      <c r="O50" s="18">
        <f>IFERROR(__xludf.DUMMYFUNCTION("""COMPUTED_VALUE"""),45117.0)</f>
        <v>45117</v>
      </c>
      <c r="P50" s="18">
        <f>IFERROR(__xludf.DUMMYFUNCTION("""COMPUTED_VALUE"""),45159.0)</f>
        <v>45159</v>
      </c>
      <c r="Q50" s="18"/>
      <c r="R50" s="18"/>
      <c r="S50" s="16"/>
      <c r="T50" s="16"/>
      <c r="U50" s="16" t="str">
        <f>IFERROR(__xludf.DUMMYFUNCTION("""COMPUTED_VALUE"""),"Global Classroom")</f>
        <v>Global Classroom</v>
      </c>
      <c r="V50" s="16" t="str">
        <f>IFERROR(__xludf.DUMMYFUNCTION("""COMPUTED_VALUE"""),"ISIT COM Sousse")</f>
        <v>ISIT COM Sousse</v>
      </c>
      <c r="W50" s="16" t="str">
        <f>IFERROR(__xludf.DUMMYFUNCTION("""COMPUTED_VALUE"""),"2022-11-24T15:06:54Z")</f>
        <v>2022-11-24T15:06:54Z</v>
      </c>
      <c r="X50" s="16"/>
      <c r="Y50" s="16"/>
      <c r="Z50" s="16"/>
    </row>
    <row r="51">
      <c r="A51" s="16" t="str">
        <f>IFERROR(__xludf.DUMMYFUNCTION("""COMPUTED_VALUE"""),"5157932_1284077")</f>
        <v>5157932_1284077</v>
      </c>
      <c r="B51" s="16" t="str">
        <f>IFERROR(__xludf.DUMMYFUNCTION("""COMPUTED_VALUE"""),"Mohamed Alswaf")</f>
        <v>Mohamed Alswaf</v>
      </c>
      <c r="C51" s="16" t="str">
        <f>IFERROR(__xludf.DUMMYFUNCTION("""COMPUTED_VALUE"""),"approved")</f>
        <v>approved</v>
      </c>
      <c r="D51" s="16" t="str">
        <f>IFERROR(__xludf.DUMMYFUNCTION("""COMPUTED_VALUE"""),"No")</f>
        <v>No</v>
      </c>
      <c r="E51" s="16" t="str">
        <f>IFERROR(__xludf.DUMMYFUNCTION("""COMPUTED_VALUE"""),"p_146234f220ab95235cf708f9237b8a62fa216cfa@inbound.aiesec.org")</f>
        <v>p_146234f220ab95235cf708f9237b8a62fa216cfa@inbound.aiesec.org</v>
      </c>
      <c r="F51" s="16">
        <f>IFERROR(__xludf.DUMMYFUNCTION("""COMPUTED_VALUE"""),1.030731335E9)</f>
        <v>1030731335</v>
      </c>
      <c r="G51" s="16" t="str">
        <f>IFERROR(__xludf.DUMMYFUNCTION("""COMPUTED_VALUE"""),"Egypt")</f>
        <v>Egypt</v>
      </c>
      <c r="H51" s="16" t="str">
        <f>IFERROR(__xludf.DUMMYFUNCTION("""COMPUTED_VALUE"""),"Menofia")</f>
        <v>Menofia</v>
      </c>
      <c r="I51" s="16" t="str">
        <f>IFERROR(__xludf.DUMMYFUNCTION("""COMPUTED_VALUE"""),"Turkey")</f>
        <v>Turkey</v>
      </c>
      <c r="J51" s="16" t="str">
        <f>IFERROR(__xludf.DUMMYFUNCTION("""COMPUTED_VALUE"""),"GAZIANTEP")</f>
        <v>GAZIANTEP</v>
      </c>
      <c r="K51" s="17" t="str">
        <f>IFERROR(__xludf.DUMMYFUNCTION("""COMPUTED_VALUE"""),"https://expa.aiesec.org/opportunities/1284077")</f>
        <v>https://expa.aiesec.org/opportunities/1284077</v>
      </c>
      <c r="L51" s="16" t="str">
        <f>IFERROR(__xludf.DUMMYFUNCTION("""COMPUTED_VALUE"""),"GV")</f>
        <v>GV</v>
      </c>
      <c r="M51" s="16" t="str">
        <f>IFERROR(__xludf.DUMMYFUNCTION("""COMPUTED_VALUE"""),"short")</f>
        <v>short</v>
      </c>
      <c r="N51" s="18">
        <f>IFERROR(__xludf.DUMMYFUNCTION("""COMPUTED_VALUE"""),44889.0)</f>
        <v>44889</v>
      </c>
      <c r="O51" s="18">
        <f>IFERROR(__xludf.DUMMYFUNCTION("""COMPUTED_VALUE"""),45122.0)</f>
        <v>45122</v>
      </c>
      <c r="P51" s="18">
        <f>IFERROR(__xludf.DUMMYFUNCTION("""COMPUTED_VALUE"""),45164.0)</f>
        <v>45164</v>
      </c>
      <c r="Q51" s="18"/>
      <c r="R51" s="18"/>
      <c r="S51" s="16"/>
      <c r="T51" s="16"/>
      <c r="U51" s="16" t="str">
        <f>IFERROR(__xludf.DUMMYFUNCTION("""COMPUTED_VALUE"""),"Global Classroom")</f>
        <v>Global Classroom</v>
      </c>
      <c r="V51" s="16" t="str">
        <f>IFERROR(__xludf.DUMMYFUNCTION("""COMPUTED_VALUE"""),"Menofia")</f>
        <v>Menofia</v>
      </c>
      <c r="W51" s="16" t="str">
        <f>IFERROR(__xludf.DUMMYFUNCTION("""COMPUTED_VALUE"""),"2022-11-23T17:50:22Z")</f>
        <v>2022-11-23T17:50:22Z</v>
      </c>
      <c r="X51" s="16"/>
      <c r="Y51" s="16"/>
      <c r="Z51" s="16"/>
    </row>
    <row r="52">
      <c r="A52" s="16" t="str">
        <f>IFERROR(__xludf.DUMMYFUNCTION("""COMPUTED_VALUE"""),"5158066_1286034")</f>
        <v>5158066_1286034</v>
      </c>
      <c r="B52" s="16" t="str">
        <f>IFERROR(__xludf.DUMMYFUNCTION("""COMPUTED_VALUE"""),"Thiago Palomino de Bem")</f>
        <v>Thiago Palomino de Bem</v>
      </c>
      <c r="C52" s="16" t="str">
        <f>IFERROR(__xludf.DUMMYFUNCTION("""COMPUTED_VALUE"""),"approved")</f>
        <v>approved</v>
      </c>
      <c r="D52" s="16" t="str">
        <f>IFERROR(__xludf.DUMMYFUNCTION("""COMPUTED_VALUE"""),"No")</f>
        <v>No</v>
      </c>
      <c r="E52" s="16" t="str">
        <f>IFERROR(__xludf.DUMMYFUNCTION("""COMPUTED_VALUE"""),"p_4965e058a94c335e1ceaf19bbc9788d3b06dec2e@inbound.aiesec.org")</f>
        <v>p_4965e058a94c335e1ceaf19bbc9788d3b06dec2e@inbound.aiesec.org</v>
      </c>
      <c r="F52" s="16">
        <f>IFERROR(__xludf.DUMMYFUNCTION("""COMPUTED_VALUE"""),5.3999383438E10)</f>
        <v>53999383438</v>
      </c>
      <c r="G52" s="16" t="str">
        <f>IFERROR(__xludf.DUMMYFUNCTION("""COMPUTED_VALUE"""),"Brazil")</f>
        <v>Brazil</v>
      </c>
      <c r="H52" s="16" t="str">
        <f>IFERROR(__xludf.DUMMYFUNCTION("""COMPUTED_VALUE"""),"SANTA MARIA")</f>
        <v>SANTA MARIA</v>
      </c>
      <c r="I52" s="16" t="str">
        <f>IFERROR(__xludf.DUMMYFUNCTION("""COMPUTED_VALUE"""),"Turkey")</f>
        <v>Turkey</v>
      </c>
      <c r="J52" s="16" t="str">
        <f>IFERROR(__xludf.DUMMYFUNCTION("""COMPUTED_VALUE"""),"ANTALYA")</f>
        <v>ANTALYA</v>
      </c>
      <c r="K52" s="17" t="str">
        <f>IFERROR(__xludf.DUMMYFUNCTION("""COMPUTED_VALUE"""),"https://expa.aiesec.org/opportunities/1286034")</f>
        <v>https://expa.aiesec.org/opportunities/1286034</v>
      </c>
      <c r="L52" s="16" t="str">
        <f>IFERROR(__xludf.DUMMYFUNCTION("""COMPUTED_VALUE"""),"GV")</f>
        <v>GV</v>
      </c>
      <c r="M52" s="16" t="str">
        <f>IFERROR(__xludf.DUMMYFUNCTION("""COMPUTED_VALUE"""),"short")</f>
        <v>short</v>
      </c>
      <c r="N52" s="18">
        <f>IFERROR(__xludf.DUMMYFUNCTION("""COMPUTED_VALUE"""),44891.0)</f>
        <v>44891</v>
      </c>
      <c r="O52" s="18">
        <f>IFERROR(__xludf.DUMMYFUNCTION("""COMPUTED_VALUE"""),44970.0)</f>
        <v>44970</v>
      </c>
      <c r="P52" s="18">
        <f>IFERROR(__xludf.DUMMYFUNCTION("""COMPUTED_VALUE"""),45012.0)</f>
        <v>45012</v>
      </c>
      <c r="Q52" s="18"/>
      <c r="R52" s="18"/>
      <c r="S52" s="16"/>
      <c r="T52" s="16"/>
      <c r="U52" s="16" t="str">
        <f>IFERROR(__xludf.DUMMYFUNCTION("""COMPUTED_VALUE"""),"Global Classroom")</f>
        <v>Global Classroom</v>
      </c>
      <c r="V52" s="16" t="str">
        <f>IFERROR(__xludf.DUMMYFUNCTION("""COMPUTED_VALUE"""),"Santa Maria")</f>
        <v>Santa Maria</v>
      </c>
      <c r="W52" s="16" t="str">
        <f>IFERROR(__xludf.DUMMYFUNCTION("""COMPUTED_VALUE"""),"2022-11-23T21:59:11Z")</f>
        <v>2022-11-23T21:59:11Z</v>
      </c>
      <c r="X52" s="16"/>
      <c r="Y52" s="16"/>
      <c r="Z52" s="16"/>
    </row>
    <row r="53">
      <c r="A53" s="16" t="str">
        <f>IFERROR(__xludf.DUMMYFUNCTION("""COMPUTED_VALUE"""),"5157996_1286034")</f>
        <v>5157996_1286034</v>
      </c>
      <c r="B53" s="16" t="str">
        <f>IFERROR(__xludf.DUMMYFUNCTION("""COMPUTED_VALUE"""),"Camila Lamberti")</f>
        <v>Camila Lamberti</v>
      </c>
      <c r="C53" s="16" t="str">
        <f>IFERROR(__xludf.DUMMYFUNCTION("""COMPUTED_VALUE"""),"approved")</f>
        <v>approved</v>
      </c>
      <c r="D53" s="16" t="str">
        <f>IFERROR(__xludf.DUMMYFUNCTION("""COMPUTED_VALUE"""),"No")</f>
        <v>No</v>
      </c>
      <c r="E53" s="16" t="str">
        <f>IFERROR(__xludf.DUMMYFUNCTION("""COMPUTED_VALUE"""),"p_e8a02a4a385310e7696d4cccdbba096d2fc097d9@inbound.aiesec.org")</f>
        <v>p_e8a02a4a385310e7696d4cccdbba096d2fc097d9@inbound.aiesec.org</v>
      </c>
      <c r="F53" s="16"/>
      <c r="G53" s="16" t="str">
        <f>IFERROR(__xludf.DUMMYFUNCTION("""COMPUTED_VALUE"""),"Brazil")</f>
        <v>Brazil</v>
      </c>
      <c r="H53" s="16" t="str">
        <f>IFERROR(__xludf.DUMMYFUNCTION("""COMPUTED_VALUE"""),"SANTA MARIA")</f>
        <v>SANTA MARIA</v>
      </c>
      <c r="I53" s="16" t="str">
        <f>IFERROR(__xludf.DUMMYFUNCTION("""COMPUTED_VALUE"""),"Turkey")</f>
        <v>Turkey</v>
      </c>
      <c r="J53" s="16" t="str">
        <f>IFERROR(__xludf.DUMMYFUNCTION("""COMPUTED_VALUE"""),"ANTALYA")</f>
        <v>ANTALYA</v>
      </c>
      <c r="K53" s="17" t="str">
        <f>IFERROR(__xludf.DUMMYFUNCTION("""COMPUTED_VALUE"""),"https://expa.aiesec.org/opportunities/1286034")</f>
        <v>https://expa.aiesec.org/opportunities/1286034</v>
      </c>
      <c r="L53" s="16" t="str">
        <f>IFERROR(__xludf.DUMMYFUNCTION("""COMPUTED_VALUE"""),"GV")</f>
        <v>GV</v>
      </c>
      <c r="M53" s="16" t="str">
        <f>IFERROR(__xludf.DUMMYFUNCTION("""COMPUTED_VALUE"""),"short")</f>
        <v>short</v>
      </c>
      <c r="N53" s="18">
        <f>IFERROR(__xludf.DUMMYFUNCTION("""COMPUTED_VALUE"""),44891.0)</f>
        <v>44891</v>
      </c>
      <c r="O53" s="18">
        <f>IFERROR(__xludf.DUMMYFUNCTION("""COMPUTED_VALUE"""),44970.0)</f>
        <v>44970</v>
      </c>
      <c r="P53" s="18">
        <f>IFERROR(__xludf.DUMMYFUNCTION("""COMPUTED_VALUE"""),45012.0)</f>
        <v>45012</v>
      </c>
      <c r="Q53" s="18"/>
      <c r="R53" s="18"/>
      <c r="S53" s="16"/>
      <c r="T53" s="16"/>
      <c r="U53" s="16" t="str">
        <f>IFERROR(__xludf.DUMMYFUNCTION("""COMPUTED_VALUE"""),"Global Classroom")</f>
        <v>Global Classroom</v>
      </c>
      <c r="V53" s="16" t="str">
        <f>IFERROR(__xludf.DUMMYFUNCTION("""COMPUTED_VALUE"""),"-")</f>
        <v>-</v>
      </c>
      <c r="W53" s="16" t="str">
        <f>IFERROR(__xludf.DUMMYFUNCTION("""COMPUTED_VALUE"""),"2022-11-23T19:15:16Z")</f>
        <v>2022-11-23T19:15:16Z</v>
      </c>
      <c r="X53" s="16"/>
      <c r="Y53" s="16"/>
      <c r="Z53" s="16"/>
    </row>
    <row r="54">
      <c r="A54" s="16" t="str">
        <f>IFERROR(__xludf.DUMMYFUNCTION("""COMPUTED_VALUE"""),"5065107_1287101")</f>
        <v>5065107_1287101</v>
      </c>
      <c r="B54" s="16" t="str">
        <f>IFERROR(__xludf.DUMMYFUNCTION("""COMPUTED_VALUE"""),"Zeina Abualkasem")</f>
        <v>Zeina Abualkasem</v>
      </c>
      <c r="C54" s="16" t="str">
        <f>IFERROR(__xludf.DUMMYFUNCTION("""COMPUTED_VALUE"""),"approved")</f>
        <v>approved</v>
      </c>
      <c r="D54" s="16" t="str">
        <f>IFERROR(__xludf.DUMMYFUNCTION("""COMPUTED_VALUE"""),"No")</f>
        <v>No</v>
      </c>
      <c r="E54" s="16" t="str">
        <f>IFERROR(__xludf.DUMMYFUNCTION("""COMPUTED_VALUE"""),"p_f9c2179270eb7f662d48a13d631f0121d8555a0b@inbound.aiesec.org")</f>
        <v>p_f9c2179270eb7f662d48a13d631f0121d8555a0b@inbound.aiesec.org</v>
      </c>
      <c r="F54" s="16">
        <f>IFERROR(__xludf.DUMMYFUNCTION("""COMPUTED_VALUE"""),1.207260397E9)</f>
        <v>1207260397</v>
      </c>
      <c r="G54" s="16" t="str">
        <f>IFERROR(__xludf.DUMMYFUNCTION("""COMPUTED_VALUE"""),"Egypt")</f>
        <v>Egypt</v>
      </c>
      <c r="H54" s="16" t="str">
        <f>IFERROR(__xludf.DUMMYFUNCTION("""COMPUTED_VALUE"""),"Helwan")</f>
        <v>Helwan</v>
      </c>
      <c r="I54" s="16" t="str">
        <f>IFERROR(__xludf.DUMMYFUNCTION("""COMPUTED_VALUE"""),"Turkey")</f>
        <v>Turkey</v>
      </c>
      <c r="J54" s="16" t="str">
        <f>IFERROR(__xludf.DUMMYFUNCTION("""COMPUTED_VALUE"""),"İZMİR")</f>
        <v>İZMİR</v>
      </c>
      <c r="K54" s="17" t="str">
        <f>IFERROR(__xludf.DUMMYFUNCTION("""COMPUTED_VALUE"""),"https://expa.aiesec.org/opportunities/1287101")</f>
        <v>https://expa.aiesec.org/opportunities/1287101</v>
      </c>
      <c r="L54" s="16" t="str">
        <f>IFERROR(__xludf.DUMMYFUNCTION("""COMPUTED_VALUE"""),"GV")</f>
        <v>GV</v>
      </c>
      <c r="M54" s="16" t="str">
        <f>IFERROR(__xludf.DUMMYFUNCTION("""COMPUTED_VALUE"""),"short")</f>
        <v>short</v>
      </c>
      <c r="N54" s="18">
        <f>IFERROR(__xludf.DUMMYFUNCTION("""COMPUTED_VALUE"""),44891.0)</f>
        <v>44891</v>
      </c>
      <c r="O54" s="18">
        <f>IFERROR(__xludf.DUMMYFUNCTION("""COMPUTED_VALUE"""),45102.0)</f>
        <v>45102</v>
      </c>
      <c r="P54" s="18">
        <f>IFERROR(__xludf.DUMMYFUNCTION("""COMPUTED_VALUE"""),45144.0)</f>
        <v>45144</v>
      </c>
      <c r="Q54" s="18"/>
      <c r="R54" s="18"/>
      <c r="S54" s="16"/>
      <c r="T54" s="16"/>
      <c r="U54" s="16" t="str">
        <f>IFERROR(__xludf.DUMMYFUNCTION("""COMPUTED_VALUE"""),"Global Classroom")</f>
        <v>Global Classroom</v>
      </c>
      <c r="V54" s="16" t="str">
        <f>IFERROR(__xludf.DUMMYFUNCTION("""COMPUTED_VALUE"""),"Helwan University")</f>
        <v>Helwan University</v>
      </c>
      <c r="W54" s="16" t="str">
        <f>IFERROR(__xludf.DUMMYFUNCTION("""COMPUTED_VALUE"""),"2022-05-28T00:22:30Z")</f>
        <v>2022-05-28T00:22:30Z</v>
      </c>
      <c r="X54" s="16"/>
      <c r="Y54" s="16"/>
      <c r="Z54" s="16"/>
    </row>
    <row r="55">
      <c r="A55" s="16" t="str">
        <f>IFERROR(__xludf.DUMMYFUNCTION("""COMPUTED_VALUE"""),"5159482_1272564")</f>
        <v>5159482_1272564</v>
      </c>
      <c r="B55" s="16" t="str">
        <f>IFERROR(__xludf.DUMMYFUNCTION("""COMPUTED_VALUE"""),"Jaweher Abdellaoui")</f>
        <v>Jaweher Abdellaoui</v>
      </c>
      <c r="C55" s="16" t="str">
        <f>IFERROR(__xludf.DUMMYFUNCTION("""COMPUTED_VALUE"""),"approved")</f>
        <v>approved</v>
      </c>
      <c r="D55" s="16" t="str">
        <f>IFERROR(__xludf.DUMMYFUNCTION("""COMPUTED_VALUE"""),"No")</f>
        <v>No</v>
      </c>
      <c r="E55" s="16" t="str">
        <f>IFERROR(__xludf.DUMMYFUNCTION("""COMPUTED_VALUE"""),"p_f7e433d0aad5a1ab566836f8d1c3e7f96b079e3f@inbound.aiesec.org")</f>
        <v>p_f7e433d0aad5a1ab566836f8d1c3e7f96b079e3f@inbound.aiesec.org</v>
      </c>
      <c r="F55" s="16">
        <f>IFERROR(__xludf.DUMMYFUNCTION("""COMPUTED_VALUE"""),2.8591727E7)</f>
        <v>28591727</v>
      </c>
      <c r="G55" s="16" t="str">
        <f>IFERROR(__xludf.DUMMYFUNCTION("""COMPUTED_VALUE"""),"Tunisia")</f>
        <v>Tunisia</v>
      </c>
      <c r="H55" s="16" t="str">
        <f>IFERROR(__xludf.DUMMYFUNCTION("""COMPUTED_VALUE"""),"SFAX")</f>
        <v>SFAX</v>
      </c>
      <c r="I55" s="16" t="str">
        <f>IFERROR(__xludf.DUMMYFUNCTION("""COMPUTED_VALUE"""),"Turkey")</f>
        <v>Turkey</v>
      </c>
      <c r="J55" s="16" t="str">
        <f>IFERROR(__xludf.DUMMYFUNCTION("""COMPUTED_VALUE"""),"ISTANBUL")</f>
        <v>ISTANBUL</v>
      </c>
      <c r="K55" s="17" t="str">
        <f>IFERROR(__xludf.DUMMYFUNCTION("""COMPUTED_VALUE"""),"https://expa.aiesec.org/opportunities/1272564")</f>
        <v>https://expa.aiesec.org/opportunities/1272564</v>
      </c>
      <c r="L55" s="16" t="str">
        <f>IFERROR(__xludf.DUMMYFUNCTION("""COMPUTED_VALUE"""),"GV")</f>
        <v>GV</v>
      </c>
      <c r="M55" s="16" t="str">
        <f>IFERROR(__xludf.DUMMYFUNCTION("""COMPUTED_VALUE"""),"short")</f>
        <v>short</v>
      </c>
      <c r="N55" s="18">
        <f>IFERROR(__xludf.DUMMYFUNCTION("""COMPUTED_VALUE"""),44892.0)</f>
        <v>44892</v>
      </c>
      <c r="O55" s="18">
        <f>IFERROR(__xludf.DUMMYFUNCTION("""COMPUTED_VALUE"""),45117.0)</f>
        <v>45117</v>
      </c>
      <c r="P55" s="18">
        <f>IFERROR(__xludf.DUMMYFUNCTION("""COMPUTED_VALUE"""),45159.0)</f>
        <v>45159</v>
      </c>
      <c r="Q55" s="18"/>
      <c r="R55" s="18"/>
      <c r="S55" s="16"/>
      <c r="T55" s="16"/>
      <c r="U55" s="16" t="str">
        <f>IFERROR(__xludf.DUMMYFUNCTION("""COMPUTED_VALUE"""),"Global Classroom")</f>
        <v>Global Classroom</v>
      </c>
      <c r="V55" s="16" t="str">
        <f>IFERROR(__xludf.DUMMYFUNCTION("""COMPUTED_VALUE"""),"IHEC Sfax")</f>
        <v>IHEC Sfax</v>
      </c>
      <c r="W55" s="16" t="str">
        <f>IFERROR(__xludf.DUMMYFUNCTION("""COMPUTED_VALUE"""),"2022-11-27T14:43:59Z")</f>
        <v>2022-11-27T14:43:59Z</v>
      </c>
      <c r="X55" s="16"/>
      <c r="Y55" s="16"/>
      <c r="Z55" s="16"/>
    </row>
    <row r="56">
      <c r="A56" s="16" t="str">
        <f>IFERROR(__xludf.DUMMYFUNCTION("""COMPUTED_VALUE"""),"5159479_1272564")</f>
        <v>5159479_1272564</v>
      </c>
      <c r="B56" s="16" t="str">
        <f>IFERROR(__xludf.DUMMYFUNCTION("""COMPUTED_VALUE"""),"Nour Hached")</f>
        <v>Nour Hached</v>
      </c>
      <c r="C56" s="16" t="str">
        <f>IFERROR(__xludf.DUMMYFUNCTION("""COMPUTED_VALUE"""),"approved")</f>
        <v>approved</v>
      </c>
      <c r="D56" s="16" t="str">
        <f>IFERROR(__xludf.DUMMYFUNCTION("""COMPUTED_VALUE"""),"No")</f>
        <v>No</v>
      </c>
      <c r="E56" s="16" t="str">
        <f>IFERROR(__xludf.DUMMYFUNCTION("""COMPUTED_VALUE"""),"p_d50227dd6f9188b80d6f7de1b7f93bca4e55d338@inbound.aiesec.org")</f>
        <v>p_d50227dd6f9188b80d6f7de1b7f93bca4e55d338@inbound.aiesec.org</v>
      </c>
      <c r="F56" s="16"/>
      <c r="G56" s="16" t="str">
        <f>IFERROR(__xludf.DUMMYFUNCTION("""COMPUTED_VALUE"""),"Tunisia")</f>
        <v>Tunisia</v>
      </c>
      <c r="H56" s="16" t="str">
        <f>IFERROR(__xludf.DUMMYFUNCTION("""COMPUTED_VALUE"""),"SFAX")</f>
        <v>SFAX</v>
      </c>
      <c r="I56" s="16" t="str">
        <f>IFERROR(__xludf.DUMMYFUNCTION("""COMPUTED_VALUE"""),"Turkey")</f>
        <v>Turkey</v>
      </c>
      <c r="J56" s="16" t="str">
        <f>IFERROR(__xludf.DUMMYFUNCTION("""COMPUTED_VALUE"""),"ISTANBUL")</f>
        <v>ISTANBUL</v>
      </c>
      <c r="K56" s="17" t="str">
        <f>IFERROR(__xludf.DUMMYFUNCTION("""COMPUTED_VALUE"""),"https://expa.aiesec.org/opportunities/1272564")</f>
        <v>https://expa.aiesec.org/opportunities/1272564</v>
      </c>
      <c r="L56" s="16" t="str">
        <f>IFERROR(__xludf.DUMMYFUNCTION("""COMPUTED_VALUE"""),"GV")</f>
        <v>GV</v>
      </c>
      <c r="M56" s="16" t="str">
        <f>IFERROR(__xludf.DUMMYFUNCTION("""COMPUTED_VALUE"""),"short")</f>
        <v>short</v>
      </c>
      <c r="N56" s="18">
        <f>IFERROR(__xludf.DUMMYFUNCTION("""COMPUTED_VALUE"""),44892.0)</f>
        <v>44892</v>
      </c>
      <c r="O56" s="18">
        <f>IFERROR(__xludf.DUMMYFUNCTION("""COMPUTED_VALUE"""),45117.0)</f>
        <v>45117</v>
      </c>
      <c r="P56" s="18">
        <f>IFERROR(__xludf.DUMMYFUNCTION("""COMPUTED_VALUE"""),45159.0)</f>
        <v>45159</v>
      </c>
      <c r="Q56" s="18"/>
      <c r="R56" s="18"/>
      <c r="S56" s="16"/>
      <c r="T56" s="16"/>
      <c r="U56" s="16" t="str">
        <f>IFERROR(__xludf.DUMMYFUNCTION("""COMPUTED_VALUE"""),"Global Classroom")</f>
        <v>Global Classroom</v>
      </c>
      <c r="V56" s="16" t="str">
        <f>IFERROR(__xludf.DUMMYFUNCTION("""COMPUTED_VALUE"""),"IHEC Sfax")</f>
        <v>IHEC Sfax</v>
      </c>
      <c r="W56" s="16" t="str">
        <f>IFERROR(__xludf.DUMMYFUNCTION("""COMPUTED_VALUE"""),"2022-11-27T14:32:05Z")</f>
        <v>2022-11-27T14:32:05Z</v>
      </c>
      <c r="X56" s="16"/>
      <c r="Y56" s="16"/>
      <c r="Z56" s="16"/>
    </row>
    <row r="57">
      <c r="A57" s="16" t="str">
        <f>IFERROR(__xludf.DUMMYFUNCTION("""COMPUTED_VALUE"""),"4656894_1289536")</f>
        <v>4656894_1289536</v>
      </c>
      <c r="B57" s="16" t="str">
        <f>IFERROR(__xludf.DUMMYFUNCTION("""COMPUTED_VALUE"""),"Samar Maazoul")</f>
        <v>Samar Maazoul</v>
      </c>
      <c r="C57" s="16" t="str">
        <f>IFERROR(__xludf.DUMMYFUNCTION("""COMPUTED_VALUE"""),"approved")</f>
        <v>approved</v>
      </c>
      <c r="D57" s="16" t="str">
        <f>IFERROR(__xludf.DUMMYFUNCTION("""COMPUTED_VALUE"""),"No")</f>
        <v>No</v>
      </c>
      <c r="E57" s="16" t="str">
        <f>IFERROR(__xludf.DUMMYFUNCTION("""COMPUTED_VALUE"""),"p_2f75fc92ef1cbcf00dcd4d87ef01ccab26ff52fc@inbound.aiesec.org")</f>
        <v>p_2f75fc92ef1cbcf00dcd4d87ef01ccab26ff52fc@inbound.aiesec.org</v>
      </c>
      <c r="F57" s="16">
        <f>IFERROR(__xludf.DUMMYFUNCTION("""COMPUTED_VALUE"""),5.8616787E7)</f>
        <v>58616787</v>
      </c>
      <c r="G57" s="16" t="str">
        <f>IFERROR(__xludf.DUMMYFUNCTION("""COMPUTED_VALUE"""),"Tunisia")</f>
        <v>Tunisia</v>
      </c>
      <c r="H57" s="16" t="str">
        <f>IFERROR(__xludf.DUMMYFUNCTION("""COMPUTED_VALUE"""),"SFAX")</f>
        <v>SFAX</v>
      </c>
      <c r="I57" s="16" t="str">
        <f>IFERROR(__xludf.DUMMYFUNCTION("""COMPUTED_VALUE"""),"Turkey")</f>
        <v>Turkey</v>
      </c>
      <c r="J57" s="16" t="str">
        <f>IFERROR(__xludf.DUMMYFUNCTION("""COMPUTED_VALUE"""),"ISTANBUL")</f>
        <v>ISTANBUL</v>
      </c>
      <c r="K57" s="17" t="str">
        <f>IFERROR(__xludf.DUMMYFUNCTION("""COMPUTED_VALUE"""),"https://expa.aiesec.org/opportunities/1289536")</f>
        <v>https://expa.aiesec.org/opportunities/1289536</v>
      </c>
      <c r="L57" s="16" t="str">
        <f>IFERROR(__xludf.DUMMYFUNCTION("""COMPUTED_VALUE"""),"GV")</f>
        <v>GV</v>
      </c>
      <c r="M57" s="16" t="str">
        <f>IFERROR(__xludf.DUMMYFUNCTION("""COMPUTED_VALUE"""),"short")</f>
        <v>short</v>
      </c>
      <c r="N57" s="18">
        <f>IFERROR(__xludf.DUMMYFUNCTION("""COMPUTED_VALUE"""),44892.0)</f>
        <v>44892</v>
      </c>
      <c r="O57" s="18">
        <f>IFERROR(__xludf.DUMMYFUNCTION("""COMPUTED_VALUE"""),45132.0)</f>
        <v>45132</v>
      </c>
      <c r="P57" s="18">
        <f>IFERROR(__xludf.DUMMYFUNCTION("""COMPUTED_VALUE"""),45174.0)</f>
        <v>45174</v>
      </c>
      <c r="Q57" s="18"/>
      <c r="R57" s="18"/>
      <c r="S57" s="16"/>
      <c r="T57" s="16"/>
      <c r="U57" s="16" t="str">
        <f>IFERROR(__xludf.DUMMYFUNCTION("""COMPUTED_VALUE"""),"Global Classroom")</f>
        <v>Global Classroom</v>
      </c>
      <c r="V57" s="16" t="str">
        <f>IFERROR(__xludf.DUMMYFUNCTION("""COMPUTED_VALUE"""),"IHEC Sfax")</f>
        <v>IHEC Sfax</v>
      </c>
      <c r="W57" s="16" t="str">
        <f>IFERROR(__xludf.DUMMYFUNCTION("""COMPUTED_VALUE"""),"2021-05-29T17:59:02Z")</f>
        <v>2021-05-29T17:59:02Z</v>
      </c>
      <c r="X57" s="16"/>
      <c r="Y57" s="16"/>
      <c r="Z57" s="16"/>
    </row>
    <row r="58">
      <c r="A58" s="16" t="str">
        <f>IFERROR(__xludf.DUMMYFUNCTION("""COMPUTED_VALUE"""),"5160087_1284414")</f>
        <v>5160087_1284414</v>
      </c>
      <c r="B58" s="16" t="str">
        <f>IFERROR(__xludf.DUMMYFUNCTION("""COMPUTED_VALUE"""),"Eduardo Hale García")</f>
        <v>Eduardo Hale García</v>
      </c>
      <c r="C58" s="16" t="str">
        <f>IFERROR(__xludf.DUMMYFUNCTION("""COMPUTED_VALUE"""),"approved")</f>
        <v>approved</v>
      </c>
      <c r="D58" s="16" t="str">
        <f>IFERROR(__xludf.DUMMYFUNCTION("""COMPUTED_VALUE"""),"No")</f>
        <v>No</v>
      </c>
      <c r="E58" s="16" t="str">
        <f>IFERROR(__xludf.DUMMYFUNCTION("""COMPUTED_VALUE"""),"p_518ed490a4e09029fba2dbb64e22c4eaa10b676d@inbound.aiesec.org")</f>
        <v>p_518ed490a4e09029fba2dbb64e22c4eaa10b676d@inbound.aiesec.org</v>
      </c>
      <c r="F58" s="16">
        <f>IFERROR(__xludf.DUMMYFUNCTION("""COMPUTED_VALUE"""),5.52905601E9)</f>
        <v>5529056010</v>
      </c>
      <c r="G58" s="16" t="str">
        <f>IFERROR(__xludf.DUMMYFUNCTION("""COMPUTED_VALUE"""),"Mexico")</f>
        <v>Mexico</v>
      </c>
      <c r="H58" s="16" t="str">
        <f>IFERROR(__xludf.DUMMYFUNCTION("""COMPUTED_VALUE"""),"UP")</f>
        <v>UP</v>
      </c>
      <c r="I58" s="16" t="str">
        <f>IFERROR(__xludf.DUMMYFUNCTION("""COMPUTED_VALUE"""),"Turkey")</f>
        <v>Turkey</v>
      </c>
      <c r="J58" s="16" t="str">
        <f>IFERROR(__xludf.DUMMYFUNCTION("""COMPUTED_VALUE"""),"ISTANBUL")</f>
        <v>ISTANBUL</v>
      </c>
      <c r="K58" s="17" t="str">
        <f>IFERROR(__xludf.DUMMYFUNCTION("""COMPUTED_VALUE"""),"https://expa.aiesec.org/opportunities/1284414")</f>
        <v>https://expa.aiesec.org/opportunities/1284414</v>
      </c>
      <c r="L58" s="16" t="str">
        <f>IFERROR(__xludf.DUMMYFUNCTION("""COMPUTED_VALUE"""),"GV")</f>
        <v>GV</v>
      </c>
      <c r="M58" s="16" t="str">
        <f>IFERROR(__xludf.DUMMYFUNCTION("""COMPUTED_VALUE"""),"short")</f>
        <v>short</v>
      </c>
      <c r="N58" s="18">
        <f>IFERROR(__xludf.DUMMYFUNCTION("""COMPUTED_VALUE"""),44894.0)</f>
        <v>44894</v>
      </c>
      <c r="O58" s="18">
        <f>IFERROR(__xludf.DUMMYFUNCTION("""COMPUTED_VALUE"""),45103.0)</f>
        <v>45103</v>
      </c>
      <c r="P58" s="18">
        <f>IFERROR(__xludf.DUMMYFUNCTION("""COMPUTED_VALUE"""),45145.0)</f>
        <v>45145</v>
      </c>
      <c r="Q58" s="18"/>
      <c r="R58" s="18"/>
      <c r="S58" s="16"/>
      <c r="T58" s="16"/>
      <c r="U58" s="16" t="str">
        <f>IFERROR(__xludf.DUMMYFUNCTION("""COMPUTED_VALUE"""),"Equify")</f>
        <v>Equify</v>
      </c>
      <c r="V58" s="16" t="str">
        <f>IFERROR(__xludf.DUMMYFUNCTION("""COMPUTED_VALUE"""),"CDMX - Universidad Panamericana (UP)")</f>
        <v>CDMX - Universidad Panamericana (UP)</v>
      </c>
      <c r="W58" s="16" t="str">
        <f>IFERROR(__xludf.DUMMYFUNCTION("""COMPUTED_VALUE"""),"2022-11-28T20:04:41Z")</f>
        <v>2022-11-28T20:04:41Z</v>
      </c>
      <c r="X58" s="16"/>
      <c r="Y58" s="16"/>
      <c r="Z58" s="16"/>
    </row>
    <row r="59">
      <c r="A59" s="16" t="str">
        <f>IFERROR(__xludf.DUMMYFUNCTION("""COMPUTED_VALUE"""),"5161138_1285687")</f>
        <v>5161138_1285687</v>
      </c>
      <c r="B59" s="16" t="str">
        <f>IFERROR(__xludf.DUMMYFUNCTION("""COMPUTED_VALUE"""),"Wissal Gdaym")</f>
        <v>Wissal Gdaym</v>
      </c>
      <c r="C59" s="16" t="str">
        <f>IFERROR(__xludf.DUMMYFUNCTION("""COMPUTED_VALUE"""),"approved")</f>
        <v>approved</v>
      </c>
      <c r="D59" s="16" t="str">
        <f>IFERROR(__xludf.DUMMYFUNCTION("""COMPUTED_VALUE"""),"No")</f>
        <v>No</v>
      </c>
      <c r="E59" s="16" t="str">
        <f>IFERROR(__xludf.DUMMYFUNCTION("""COMPUTED_VALUE"""),"p_1adc244f5282296aad5da172dcebef4854c0956f@inbound.aiesec.org")</f>
        <v>p_1adc244f5282296aad5da172dcebef4854c0956f@inbound.aiesec.org</v>
      </c>
      <c r="F59" s="16">
        <f>IFERROR(__xludf.DUMMYFUNCTION("""COMPUTED_VALUE"""),2.2037812E7)</f>
        <v>22037812</v>
      </c>
      <c r="G59" s="16" t="str">
        <f>IFERROR(__xludf.DUMMYFUNCTION("""COMPUTED_VALUE"""),"Tunisia")</f>
        <v>Tunisia</v>
      </c>
      <c r="H59" s="16" t="str">
        <f>IFERROR(__xludf.DUMMYFUNCTION("""COMPUTED_VALUE"""),"SFAX")</f>
        <v>SFAX</v>
      </c>
      <c r="I59" s="16" t="str">
        <f>IFERROR(__xludf.DUMMYFUNCTION("""COMPUTED_VALUE"""),"Turkey")</f>
        <v>Turkey</v>
      </c>
      <c r="J59" s="16" t="str">
        <f>IFERROR(__xludf.DUMMYFUNCTION("""COMPUTED_VALUE"""),"ISTANBUL")</f>
        <v>ISTANBUL</v>
      </c>
      <c r="K59" s="17" t="str">
        <f>IFERROR(__xludf.DUMMYFUNCTION("""COMPUTED_VALUE"""),"https://expa.aiesec.org/opportunities/1285687")</f>
        <v>https://expa.aiesec.org/opportunities/1285687</v>
      </c>
      <c r="L59" s="16" t="str">
        <f>IFERROR(__xludf.DUMMYFUNCTION("""COMPUTED_VALUE"""),"GV")</f>
        <v>GV</v>
      </c>
      <c r="M59" s="16" t="str">
        <f>IFERROR(__xludf.DUMMYFUNCTION("""COMPUTED_VALUE"""),"short")</f>
        <v>short</v>
      </c>
      <c r="N59" s="18">
        <f>IFERROR(__xludf.DUMMYFUNCTION("""COMPUTED_VALUE"""),44895.0)</f>
        <v>44895</v>
      </c>
      <c r="O59" s="18">
        <f>IFERROR(__xludf.DUMMYFUNCTION("""COMPUTED_VALUE"""),45124.0)</f>
        <v>45124</v>
      </c>
      <c r="P59" s="18">
        <f>IFERROR(__xludf.DUMMYFUNCTION("""COMPUTED_VALUE"""),45166.0)</f>
        <v>45166</v>
      </c>
      <c r="Q59" s="18"/>
      <c r="R59" s="18"/>
      <c r="S59" s="16"/>
      <c r="T59" s="16"/>
      <c r="U59" s="16" t="str">
        <f>IFERROR(__xludf.DUMMYFUNCTION("""COMPUTED_VALUE"""),"Youth 4 Impact")</f>
        <v>Youth 4 Impact</v>
      </c>
      <c r="V59" s="16" t="str">
        <f>IFERROR(__xludf.DUMMYFUNCTION("""COMPUTED_VALUE"""),"IHEC Sfax")</f>
        <v>IHEC Sfax</v>
      </c>
      <c r="W59" s="16" t="str">
        <f>IFERROR(__xludf.DUMMYFUNCTION("""COMPUTED_VALUE"""),"2022-11-30T20:01:47Z")</f>
        <v>2022-11-30T20:01:47Z</v>
      </c>
      <c r="X59" s="16"/>
      <c r="Y59" s="16"/>
      <c r="Z59" s="16"/>
    </row>
    <row r="60">
      <c r="A60" s="16" t="str">
        <f>IFERROR(__xludf.DUMMYFUNCTION("""COMPUTED_VALUE"""),"5152819_1286958")</f>
        <v>5152819_1286958</v>
      </c>
      <c r="B60" s="16" t="str">
        <f>IFERROR(__xludf.DUMMYFUNCTION("""COMPUTED_VALUE"""),"Silvija Zivkovic")</f>
        <v>Silvija Zivkovic</v>
      </c>
      <c r="C60" s="16" t="str">
        <f>IFERROR(__xludf.DUMMYFUNCTION("""COMPUTED_VALUE"""),"approved")</f>
        <v>approved</v>
      </c>
      <c r="D60" s="16" t="str">
        <f>IFERROR(__xludf.DUMMYFUNCTION("""COMPUTED_VALUE"""),"No")</f>
        <v>No</v>
      </c>
      <c r="E60" s="16" t="str">
        <f>IFERROR(__xludf.DUMMYFUNCTION("""COMPUTED_VALUE"""),"p_7a9db233ddf6cd80b4a99919604258c8297a7f1e@inbound.aiesec.org")</f>
        <v>p_7a9db233ddf6cd80b4a99919604258c8297a7f1e@inbound.aiesec.org</v>
      </c>
      <c r="F60" s="16">
        <f>IFERROR(__xludf.DUMMYFUNCTION("""COMPUTED_VALUE"""),6.12980389E8)</f>
        <v>612980389</v>
      </c>
      <c r="G60" s="16" t="str">
        <f>IFERROR(__xludf.DUMMYFUNCTION("""COMPUTED_VALUE"""),"Serbia")</f>
        <v>Serbia</v>
      </c>
      <c r="H60" s="16" t="str">
        <f>IFERROR(__xludf.DUMMYFUNCTION("""COMPUTED_VALUE"""),"NIS")</f>
        <v>NIS</v>
      </c>
      <c r="I60" s="16" t="str">
        <f>IFERROR(__xludf.DUMMYFUNCTION("""COMPUTED_VALUE"""),"Turkey")</f>
        <v>Turkey</v>
      </c>
      <c r="J60" s="16" t="str">
        <f>IFERROR(__xludf.DUMMYFUNCTION("""COMPUTED_VALUE"""),"KONYA")</f>
        <v>KONYA</v>
      </c>
      <c r="K60" s="17" t="str">
        <f>IFERROR(__xludf.DUMMYFUNCTION("""COMPUTED_VALUE"""),"https://expa.aiesec.org/opportunities/1286958")</f>
        <v>https://expa.aiesec.org/opportunities/1286958</v>
      </c>
      <c r="L60" s="16" t="str">
        <f>IFERROR(__xludf.DUMMYFUNCTION("""COMPUTED_VALUE"""),"GV")</f>
        <v>GV</v>
      </c>
      <c r="M60" s="16" t="str">
        <f>IFERROR(__xludf.DUMMYFUNCTION("""COMPUTED_VALUE"""),"short")</f>
        <v>short</v>
      </c>
      <c r="N60" s="18">
        <f>IFERROR(__xludf.DUMMYFUNCTION("""COMPUTED_VALUE"""),44899.0)</f>
        <v>44899</v>
      </c>
      <c r="O60" s="18">
        <f>IFERROR(__xludf.DUMMYFUNCTION("""COMPUTED_VALUE"""),45117.0)</f>
        <v>45117</v>
      </c>
      <c r="P60" s="18">
        <f>IFERROR(__xludf.DUMMYFUNCTION("""COMPUTED_VALUE"""),45159.0)</f>
        <v>45159</v>
      </c>
      <c r="Q60" s="18"/>
      <c r="R60" s="18"/>
      <c r="S60" s="16"/>
      <c r="T60" s="16"/>
      <c r="U60" s="16" t="str">
        <f>IFERROR(__xludf.DUMMYFUNCTION("""COMPUTED_VALUE"""),"Global Classroom")</f>
        <v>Global Classroom</v>
      </c>
      <c r="V60" s="16" t="str">
        <f>IFERROR(__xludf.DUMMYFUNCTION("""COMPUTED_VALUE"""),"University of Nis")</f>
        <v>University of Nis</v>
      </c>
      <c r="W60" s="16" t="str">
        <f>IFERROR(__xludf.DUMMYFUNCTION("""COMPUTED_VALUE"""),"2022-11-14T16:52:15Z")</f>
        <v>2022-11-14T16:52:15Z</v>
      </c>
      <c r="X60" s="16"/>
      <c r="Y60" s="16"/>
      <c r="Z60" s="16"/>
    </row>
    <row r="61">
      <c r="A61" s="16" t="str">
        <f>IFERROR(__xludf.DUMMYFUNCTION("""COMPUTED_VALUE"""),"5158510_1289505")</f>
        <v>5158510_1289505</v>
      </c>
      <c r="B61" s="16" t="str">
        <f>IFERROR(__xludf.DUMMYFUNCTION("""COMPUTED_VALUE"""),"Gorea Marina")</f>
        <v>Gorea Marina</v>
      </c>
      <c r="C61" s="16" t="str">
        <f>IFERROR(__xludf.DUMMYFUNCTION("""COMPUTED_VALUE"""),"approved")</f>
        <v>approved</v>
      </c>
      <c r="D61" s="16" t="str">
        <f>IFERROR(__xludf.DUMMYFUNCTION("""COMPUTED_VALUE"""),"No")</f>
        <v>No</v>
      </c>
      <c r="E61" s="16" t="str">
        <f>IFERROR(__xludf.DUMMYFUNCTION("""COMPUTED_VALUE"""),"p_40e811cf8b4446210e38160a7f5dcb2f948250bc@inbound.aiesec.org")</f>
        <v>p_40e811cf8b4446210e38160a7f5dcb2f948250bc@inbound.aiesec.org</v>
      </c>
      <c r="F61" s="16">
        <f>IFERROR(__xludf.DUMMYFUNCTION("""COMPUTED_VALUE"""),7.49559456E8)</f>
        <v>749559456</v>
      </c>
      <c r="G61" s="16" t="str">
        <f>IFERROR(__xludf.DUMMYFUNCTION("""COMPUTED_VALUE"""),"Romania")</f>
        <v>Romania</v>
      </c>
      <c r="H61" s="16" t="str">
        <f>IFERROR(__xludf.DUMMYFUNCTION("""COMPUTED_VALUE"""),"IASI")</f>
        <v>IASI</v>
      </c>
      <c r="I61" s="16" t="str">
        <f>IFERROR(__xludf.DUMMYFUNCTION("""COMPUTED_VALUE"""),"Turkey")</f>
        <v>Turkey</v>
      </c>
      <c r="J61" s="16" t="str">
        <f>IFERROR(__xludf.DUMMYFUNCTION("""COMPUTED_VALUE"""),"KOCAELI")</f>
        <v>KOCAELI</v>
      </c>
      <c r="K61" s="17" t="str">
        <f>IFERROR(__xludf.DUMMYFUNCTION("""COMPUTED_VALUE"""),"https://expa.aiesec.org/opportunities/1289505")</f>
        <v>https://expa.aiesec.org/opportunities/1289505</v>
      </c>
      <c r="L61" s="16" t="str">
        <f>IFERROR(__xludf.DUMMYFUNCTION("""COMPUTED_VALUE"""),"GV")</f>
        <v>GV</v>
      </c>
      <c r="M61" s="16" t="str">
        <f>IFERROR(__xludf.DUMMYFUNCTION("""COMPUTED_VALUE"""),"short")</f>
        <v>short</v>
      </c>
      <c r="N61" s="18">
        <f>IFERROR(__xludf.DUMMYFUNCTION("""COMPUTED_VALUE"""),44899.0)</f>
        <v>44899</v>
      </c>
      <c r="O61" s="18">
        <f>IFERROR(__xludf.DUMMYFUNCTION("""COMPUTED_VALUE"""),45117.0)</f>
        <v>45117</v>
      </c>
      <c r="P61" s="18">
        <f>IFERROR(__xludf.DUMMYFUNCTION("""COMPUTED_VALUE"""),45159.0)</f>
        <v>45159</v>
      </c>
      <c r="Q61" s="18"/>
      <c r="R61" s="18"/>
      <c r="S61" s="16"/>
      <c r="T61" s="16"/>
      <c r="U61" s="16" t="str">
        <f>IFERROR(__xludf.DUMMYFUNCTION("""COMPUTED_VALUE"""),"Youth 4 Impact")</f>
        <v>Youth 4 Impact</v>
      </c>
      <c r="V61" s="16" t="str">
        <f>IFERROR(__xludf.DUMMYFUNCTION("""COMPUTED_VALUE"""),"Iasi")</f>
        <v>Iasi</v>
      </c>
      <c r="W61" s="16" t="str">
        <f>IFERROR(__xludf.DUMMYFUNCTION("""COMPUTED_VALUE"""),"2022-11-24T21:01:53Z")</f>
        <v>2022-11-24T21:01:53Z</v>
      </c>
      <c r="X61" s="16"/>
      <c r="Y61" s="16"/>
      <c r="Z61" s="16"/>
    </row>
    <row r="62">
      <c r="A62" s="16" t="str">
        <f>IFERROR(__xludf.DUMMYFUNCTION("""COMPUTED_VALUE"""),"5157434_1289505")</f>
        <v>5157434_1289505</v>
      </c>
      <c r="B62" s="16" t="str">
        <f>IFERROR(__xludf.DUMMYFUNCTION("""COMPUTED_VALUE"""),"Vidrașco Nicolae")</f>
        <v>Vidrașco Nicolae</v>
      </c>
      <c r="C62" s="16" t="str">
        <f>IFERROR(__xludf.DUMMYFUNCTION("""COMPUTED_VALUE"""),"approved")</f>
        <v>approved</v>
      </c>
      <c r="D62" s="16" t="str">
        <f>IFERROR(__xludf.DUMMYFUNCTION("""COMPUTED_VALUE"""),"No")</f>
        <v>No</v>
      </c>
      <c r="E62" s="16" t="str">
        <f>IFERROR(__xludf.DUMMYFUNCTION("""COMPUTED_VALUE"""),"p_83247794db4ad4c5205658602df0adab908b392b@inbound.aiesec.org")</f>
        <v>p_83247794db4ad4c5205658602df0adab908b392b@inbound.aiesec.org</v>
      </c>
      <c r="F62" s="16">
        <f>IFERROR(__xludf.DUMMYFUNCTION("""COMPUTED_VALUE"""),7.37752809E8)</f>
        <v>737752809</v>
      </c>
      <c r="G62" s="16" t="str">
        <f>IFERROR(__xludf.DUMMYFUNCTION("""COMPUTED_VALUE"""),"Romania")</f>
        <v>Romania</v>
      </c>
      <c r="H62" s="16" t="str">
        <f>IFERROR(__xludf.DUMMYFUNCTION("""COMPUTED_VALUE"""),"IASI")</f>
        <v>IASI</v>
      </c>
      <c r="I62" s="16" t="str">
        <f>IFERROR(__xludf.DUMMYFUNCTION("""COMPUTED_VALUE"""),"Turkey")</f>
        <v>Turkey</v>
      </c>
      <c r="J62" s="16" t="str">
        <f>IFERROR(__xludf.DUMMYFUNCTION("""COMPUTED_VALUE"""),"KOCAELI")</f>
        <v>KOCAELI</v>
      </c>
      <c r="K62" s="17" t="str">
        <f>IFERROR(__xludf.DUMMYFUNCTION("""COMPUTED_VALUE"""),"https://expa.aiesec.org/opportunities/1289505")</f>
        <v>https://expa.aiesec.org/opportunities/1289505</v>
      </c>
      <c r="L62" s="16" t="str">
        <f>IFERROR(__xludf.DUMMYFUNCTION("""COMPUTED_VALUE"""),"GV")</f>
        <v>GV</v>
      </c>
      <c r="M62" s="16" t="str">
        <f>IFERROR(__xludf.DUMMYFUNCTION("""COMPUTED_VALUE"""),"short")</f>
        <v>short</v>
      </c>
      <c r="N62" s="18">
        <f>IFERROR(__xludf.DUMMYFUNCTION("""COMPUTED_VALUE"""),44899.0)</f>
        <v>44899</v>
      </c>
      <c r="O62" s="18">
        <f>IFERROR(__xludf.DUMMYFUNCTION("""COMPUTED_VALUE"""),45117.0)</f>
        <v>45117</v>
      </c>
      <c r="P62" s="18">
        <f>IFERROR(__xludf.DUMMYFUNCTION("""COMPUTED_VALUE"""),45159.0)</f>
        <v>45159</v>
      </c>
      <c r="Q62" s="18"/>
      <c r="R62" s="18"/>
      <c r="S62" s="16"/>
      <c r="T62" s="16"/>
      <c r="U62" s="16" t="str">
        <f>IFERROR(__xludf.DUMMYFUNCTION("""COMPUTED_VALUE"""),"Youth 4 Impact")</f>
        <v>Youth 4 Impact</v>
      </c>
      <c r="V62" s="16" t="str">
        <f>IFERROR(__xludf.DUMMYFUNCTION("""COMPUTED_VALUE"""),"Iasi - Technical University of Iasi")</f>
        <v>Iasi - Technical University of Iasi</v>
      </c>
      <c r="W62" s="16" t="str">
        <f>IFERROR(__xludf.DUMMYFUNCTION("""COMPUTED_VALUE"""),"2022-11-22T19:31:24Z")</f>
        <v>2022-11-22T19:31:24Z</v>
      </c>
      <c r="X62" s="16"/>
      <c r="Y62" s="16"/>
      <c r="Z62" s="16"/>
    </row>
    <row r="63">
      <c r="A63" s="16" t="str">
        <f>IFERROR(__xludf.DUMMYFUNCTION("""COMPUTED_VALUE"""),"5146537_1289505")</f>
        <v>5146537_1289505</v>
      </c>
      <c r="B63" s="16" t="str">
        <f>IFERROR(__xludf.DUMMYFUNCTION("""COMPUTED_VALUE"""),"Ana Girla")</f>
        <v>Ana Girla</v>
      </c>
      <c r="C63" s="16" t="str">
        <f>IFERROR(__xludf.DUMMYFUNCTION("""COMPUTED_VALUE"""),"approved")</f>
        <v>approved</v>
      </c>
      <c r="D63" s="16" t="str">
        <f>IFERROR(__xludf.DUMMYFUNCTION("""COMPUTED_VALUE"""),"No")</f>
        <v>No</v>
      </c>
      <c r="E63" s="16" t="str">
        <f>IFERROR(__xludf.DUMMYFUNCTION("""COMPUTED_VALUE"""),"p_9ad7886c7daf9d06333dafbab4f7452334c56ff3@inbound.aiesec.org")</f>
        <v>p_9ad7886c7daf9d06333dafbab4f7452334c56ff3@inbound.aiesec.org</v>
      </c>
      <c r="F63" s="16"/>
      <c r="G63" s="16" t="str">
        <f>IFERROR(__xludf.DUMMYFUNCTION("""COMPUTED_VALUE"""),"Romania")</f>
        <v>Romania</v>
      </c>
      <c r="H63" s="16" t="str">
        <f>IFERROR(__xludf.DUMMYFUNCTION("""COMPUTED_VALUE"""),"IASI")</f>
        <v>IASI</v>
      </c>
      <c r="I63" s="16" t="str">
        <f>IFERROR(__xludf.DUMMYFUNCTION("""COMPUTED_VALUE"""),"Turkey")</f>
        <v>Turkey</v>
      </c>
      <c r="J63" s="16" t="str">
        <f>IFERROR(__xludf.DUMMYFUNCTION("""COMPUTED_VALUE"""),"KOCAELI")</f>
        <v>KOCAELI</v>
      </c>
      <c r="K63" s="17" t="str">
        <f>IFERROR(__xludf.DUMMYFUNCTION("""COMPUTED_VALUE"""),"https://expa.aiesec.org/opportunities/1289505")</f>
        <v>https://expa.aiesec.org/opportunities/1289505</v>
      </c>
      <c r="L63" s="16" t="str">
        <f>IFERROR(__xludf.DUMMYFUNCTION("""COMPUTED_VALUE"""),"GV")</f>
        <v>GV</v>
      </c>
      <c r="M63" s="16" t="str">
        <f>IFERROR(__xludf.DUMMYFUNCTION("""COMPUTED_VALUE"""),"short")</f>
        <v>short</v>
      </c>
      <c r="N63" s="18">
        <f>IFERROR(__xludf.DUMMYFUNCTION("""COMPUTED_VALUE"""),44899.0)</f>
        <v>44899</v>
      </c>
      <c r="O63" s="18">
        <f>IFERROR(__xludf.DUMMYFUNCTION("""COMPUTED_VALUE"""),45117.0)</f>
        <v>45117</v>
      </c>
      <c r="P63" s="18">
        <f>IFERROR(__xludf.DUMMYFUNCTION("""COMPUTED_VALUE"""),45159.0)</f>
        <v>45159</v>
      </c>
      <c r="Q63" s="18"/>
      <c r="R63" s="18"/>
      <c r="S63" s="16"/>
      <c r="T63" s="16"/>
      <c r="U63" s="16" t="str">
        <f>IFERROR(__xludf.DUMMYFUNCTION("""COMPUTED_VALUE"""),"Youth 4 Impact")</f>
        <v>Youth 4 Impact</v>
      </c>
      <c r="V63" s="16" t="str">
        <f>IFERROR(__xludf.DUMMYFUNCTION("""COMPUTED_VALUE"""),"-")</f>
        <v>-</v>
      </c>
      <c r="W63" s="16" t="str">
        <f>IFERROR(__xludf.DUMMYFUNCTION("""COMPUTED_VALUE"""),"2022-11-04T13:20:01Z")</f>
        <v>2022-11-04T13:20:01Z</v>
      </c>
      <c r="X63" s="16"/>
      <c r="Y63" s="16"/>
      <c r="Z63" s="16"/>
    </row>
    <row r="64">
      <c r="A64" s="16" t="str">
        <f>IFERROR(__xludf.DUMMYFUNCTION("""COMPUTED_VALUE"""),"5162948_1289505")</f>
        <v>5162948_1289505</v>
      </c>
      <c r="B64" s="16" t="str">
        <f>IFERROR(__xludf.DUMMYFUNCTION("""COMPUTED_VALUE"""),"Arwa Ben amar")</f>
        <v>Arwa Ben amar</v>
      </c>
      <c r="C64" s="16" t="str">
        <f>IFERROR(__xludf.DUMMYFUNCTION("""COMPUTED_VALUE"""),"approved")</f>
        <v>approved</v>
      </c>
      <c r="D64" s="16" t="str">
        <f>IFERROR(__xludf.DUMMYFUNCTION("""COMPUTED_VALUE"""),"No")</f>
        <v>No</v>
      </c>
      <c r="E64" s="16" t="str">
        <f>IFERROR(__xludf.DUMMYFUNCTION("""COMPUTED_VALUE"""),"p_4c457612819a71f013d783a621a059a2ba141ce8@inbound.aiesec.org")</f>
        <v>p_4c457612819a71f013d783a621a059a2ba141ce8@inbound.aiesec.org</v>
      </c>
      <c r="F64" s="16">
        <f>IFERROR(__xludf.DUMMYFUNCTION("""COMPUTED_VALUE"""),2.5545173E7)</f>
        <v>25545173</v>
      </c>
      <c r="G64" s="16" t="str">
        <f>IFERROR(__xludf.DUMMYFUNCTION("""COMPUTED_VALUE"""),"Tunisia")</f>
        <v>Tunisia</v>
      </c>
      <c r="H64" s="16" t="str">
        <f>IFERROR(__xludf.DUMMYFUNCTION("""COMPUTED_VALUE"""),"HADRUMET")</f>
        <v>HADRUMET</v>
      </c>
      <c r="I64" s="16" t="str">
        <f>IFERROR(__xludf.DUMMYFUNCTION("""COMPUTED_VALUE"""),"Turkey")</f>
        <v>Turkey</v>
      </c>
      <c r="J64" s="16" t="str">
        <f>IFERROR(__xludf.DUMMYFUNCTION("""COMPUTED_VALUE"""),"KOCAELI")</f>
        <v>KOCAELI</v>
      </c>
      <c r="K64" s="17" t="str">
        <f>IFERROR(__xludf.DUMMYFUNCTION("""COMPUTED_VALUE"""),"https://expa.aiesec.org/opportunities/1289505")</f>
        <v>https://expa.aiesec.org/opportunities/1289505</v>
      </c>
      <c r="L64" s="16" t="str">
        <f>IFERROR(__xludf.DUMMYFUNCTION("""COMPUTED_VALUE"""),"GV")</f>
        <v>GV</v>
      </c>
      <c r="M64" s="16" t="str">
        <f>IFERROR(__xludf.DUMMYFUNCTION("""COMPUTED_VALUE"""),"short")</f>
        <v>short</v>
      </c>
      <c r="N64" s="18">
        <f>IFERROR(__xludf.DUMMYFUNCTION("""COMPUTED_VALUE"""),44900.0)</f>
        <v>44900</v>
      </c>
      <c r="O64" s="18">
        <f>IFERROR(__xludf.DUMMYFUNCTION("""COMPUTED_VALUE"""),45103.0)</f>
        <v>45103</v>
      </c>
      <c r="P64" s="18">
        <f>IFERROR(__xludf.DUMMYFUNCTION("""COMPUTED_VALUE"""),45145.0)</f>
        <v>45145</v>
      </c>
      <c r="Q64" s="18"/>
      <c r="R64" s="18"/>
      <c r="S64" s="16"/>
      <c r="T64" s="16"/>
      <c r="U64" s="16" t="str">
        <f>IFERROR(__xludf.DUMMYFUNCTION("""COMPUTED_VALUE"""),"Youth 4 Impact")</f>
        <v>Youth 4 Impact</v>
      </c>
      <c r="V64" s="16" t="str">
        <f>IFERROR(__xludf.DUMMYFUNCTION("""COMPUTED_VALUE"""),"ESSTHS")</f>
        <v>ESSTHS</v>
      </c>
      <c r="W64" s="16" t="str">
        <f>IFERROR(__xludf.DUMMYFUNCTION("""COMPUTED_VALUE"""),"2022-12-05T16:20:47Z")</f>
        <v>2022-12-05T16:20:47Z</v>
      </c>
      <c r="X64" s="16"/>
      <c r="Y64" s="16"/>
      <c r="Z64" s="16"/>
    </row>
    <row r="65">
      <c r="A65" s="16" t="str">
        <f>IFERROR(__xludf.DUMMYFUNCTION("""COMPUTED_VALUE"""),"4254682_1279126")</f>
        <v>4254682_1279126</v>
      </c>
      <c r="B65" s="16" t="str">
        <f>IFERROR(__xludf.DUMMYFUNCTION("""COMPUTED_VALUE"""),"Sarra Belhabib")</f>
        <v>Sarra Belhabib</v>
      </c>
      <c r="C65" s="16" t="str">
        <f>IFERROR(__xludf.DUMMYFUNCTION("""COMPUTED_VALUE"""),"approved")</f>
        <v>approved</v>
      </c>
      <c r="D65" s="16" t="str">
        <f>IFERROR(__xludf.DUMMYFUNCTION("""COMPUTED_VALUE"""),"No")</f>
        <v>No</v>
      </c>
      <c r="E65" s="16" t="str">
        <f>IFERROR(__xludf.DUMMYFUNCTION("""COMPUTED_VALUE"""),"p_74748c14631d78a967adc7b8e2ede9b50b80e005@inbound.aiesec.org")</f>
        <v>p_74748c14631d78a967adc7b8e2ede9b50b80e005@inbound.aiesec.org</v>
      </c>
      <c r="F65" s="16">
        <f>IFERROR(__xludf.DUMMYFUNCTION("""COMPUTED_VALUE"""),5.3879706E7)</f>
        <v>53879706</v>
      </c>
      <c r="G65" s="16" t="str">
        <f>IFERROR(__xludf.DUMMYFUNCTION("""COMPUTED_VALUE"""),"Tunisia")</f>
        <v>Tunisia</v>
      </c>
      <c r="H65" s="16" t="str">
        <f>IFERROR(__xludf.DUMMYFUNCTION("""COMPUTED_VALUE"""),"NABEL")</f>
        <v>NABEL</v>
      </c>
      <c r="I65" s="16" t="str">
        <f>IFERROR(__xludf.DUMMYFUNCTION("""COMPUTED_VALUE"""),"Turkey")</f>
        <v>Turkey</v>
      </c>
      <c r="J65" s="16" t="str">
        <f>IFERROR(__xludf.DUMMYFUNCTION("""COMPUTED_VALUE"""),"KOCAELI")</f>
        <v>KOCAELI</v>
      </c>
      <c r="K65" s="17" t="str">
        <f>IFERROR(__xludf.DUMMYFUNCTION("""COMPUTED_VALUE"""),"https://expa.aiesec.org/opportunities/1279126")</f>
        <v>https://expa.aiesec.org/opportunities/1279126</v>
      </c>
      <c r="L65" s="16" t="str">
        <f>IFERROR(__xludf.DUMMYFUNCTION("""COMPUTED_VALUE"""),"GV")</f>
        <v>GV</v>
      </c>
      <c r="M65" s="16" t="str">
        <f>IFERROR(__xludf.DUMMYFUNCTION("""COMPUTED_VALUE"""),"short")</f>
        <v>short</v>
      </c>
      <c r="N65" s="18">
        <f>IFERROR(__xludf.DUMMYFUNCTION("""COMPUTED_VALUE"""),44902.0)</f>
        <v>44902</v>
      </c>
      <c r="O65" s="18">
        <f>IFERROR(__xludf.DUMMYFUNCTION("""COMPUTED_VALUE"""),45110.0)</f>
        <v>45110</v>
      </c>
      <c r="P65" s="18">
        <f>IFERROR(__xludf.DUMMYFUNCTION("""COMPUTED_VALUE"""),45152.0)</f>
        <v>45152</v>
      </c>
      <c r="Q65" s="18"/>
      <c r="R65" s="18"/>
      <c r="S65" s="16"/>
      <c r="T65" s="16"/>
      <c r="U65" s="16" t="str">
        <f>IFERROR(__xludf.DUMMYFUNCTION("""COMPUTED_VALUE"""),"Global Classroom")</f>
        <v>Global Classroom</v>
      </c>
      <c r="V65" s="16" t="str">
        <f>IFERROR(__xludf.DUMMYFUNCTION("""COMPUTED_VALUE"""),"ISLN")</f>
        <v>ISLN</v>
      </c>
      <c r="W65" s="16" t="str">
        <f>IFERROR(__xludf.DUMMYFUNCTION("""COMPUTED_VALUE"""),"2020-03-12T21:23:44Z")</f>
        <v>2020-03-12T21:23:44Z</v>
      </c>
      <c r="X65" s="16"/>
      <c r="Y65" s="16"/>
      <c r="Z65" s="16"/>
    </row>
    <row r="66">
      <c r="A66" s="16" t="str">
        <f>IFERROR(__xludf.DUMMYFUNCTION("""COMPUTED_VALUE"""),"5159918_1272564")</f>
        <v>5159918_1272564</v>
      </c>
      <c r="B66" s="16" t="str">
        <f>IFERROR(__xludf.DUMMYFUNCTION("""COMPUTED_VALUE"""),"Ouezguan Maryam")</f>
        <v>Ouezguan Maryam</v>
      </c>
      <c r="C66" s="16" t="str">
        <f>IFERROR(__xludf.DUMMYFUNCTION("""COMPUTED_VALUE"""),"approved")</f>
        <v>approved</v>
      </c>
      <c r="D66" s="16" t="str">
        <f>IFERROR(__xludf.DUMMYFUNCTION("""COMPUTED_VALUE"""),"No")</f>
        <v>No</v>
      </c>
      <c r="E66" s="16" t="str">
        <f>IFERROR(__xludf.DUMMYFUNCTION("""COMPUTED_VALUE"""),"p_ea0b9cc85dd818c3c5d43eb97e2446e7925be70a@inbound.aiesec.org")</f>
        <v>p_ea0b9cc85dd818c3c5d43eb97e2446e7925be70a@inbound.aiesec.org</v>
      </c>
      <c r="F66" s="16">
        <f>IFERROR(__xludf.DUMMYFUNCTION("""COMPUTED_VALUE"""),6.8445253E8)</f>
        <v>684452530</v>
      </c>
      <c r="G66" s="16" t="str">
        <f>IFERROR(__xludf.DUMMYFUNCTION("""COMPUTED_VALUE"""),"Morocco")</f>
        <v>Morocco</v>
      </c>
      <c r="H66" s="16" t="str">
        <f>IFERROR(__xludf.DUMMYFUNCTION("""COMPUTED_VALUE"""),"Tangier")</f>
        <v>Tangier</v>
      </c>
      <c r="I66" s="16" t="str">
        <f>IFERROR(__xludf.DUMMYFUNCTION("""COMPUTED_VALUE"""),"Turkey")</f>
        <v>Turkey</v>
      </c>
      <c r="J66" s="16" t="str">
        <f>IFERROR(__xludf.DUMMYFUNCTION("""COMPUTED_VALUE"""),"ISTANBUL")</f>
        <v>ISTANBUL</v>
      </c>
      <c r="K66" s="17" t="str">
        <f>IFERROR(__xludf.DUMMYFUNCTION("""COMPUTED_VALUE"""),"https://expa.aiesec.org/opportunities/1272564")</f>
        <v>https://expa.aiesec.org/opportunities/1272564</v>
      </c>
      <c r="L66" s="16" t="str">
        <f>IFERROR(__xludf.DUMMYFUNCTION("""COMPUTED_VALUE"""),"GV")</f>
        <v>GV</v>
      </c>
      <c r="M66" s="16" t="str">
        <f>IFERROR(__xludf.DUMMYFUNCTION("""COMPUTED_VALUE"""),"short")</f>
        <v>short</v>
      </c>
      <c r="N66" s="18">
        <f>IFERROR(__xludf.DUMMYFUNCTION("""COMPUTED_VALUE"""),44903.0)</f>
        <v>44903</v>
      </c>
      <c r="O66" s="18">
        <f>IFERROR(__xludf.DUMMYFUNCTION("""COMPUTED_VALUE"""),45117.0)</f>
        <v>45117</v>
      </c>
      <c r="P66" s="18">
        <f>IFERROR(__xludf.DUMMYFUNCTION("""COMPUTED_VALUE"""),45159.0)</f>
        <v>45159</v>
      </c>
      <c r="Q66" s="18"/>
      <c r="R66" s="18"/>
      <c r="S66" s="16"/>
      <c r="T66" s="16"/>
      <c r="U66" s="16" t="str">
        <f>IFERROR(__xludf.DUMMYFUNCTION("""COMPUTED_VALUE"""),"Global Classroom")</f>
        <v>Global Classroom</v>
      </c>
      <c r="V66" s="16" t="str">
        <f>IFERROR(__xludf.DUMMYFUNCTION("""COMPUTED_VALUE"""),"-")</f>
        <v>-</v>
      </c>
      <c r="W66" s="16" t="str">
        <f>IFERROR(__xludf.DUMMYFUNCTION("""COMPUTED_VALUE"""),"2022-11-28T14:56:20Z")</f>
        <v>2022-11-28T14:56:20Z</v>
      </c>
      <c r="X66" s="16"/>
      <c r="Y66" s="16"/>
      <c r="Z66" s="16"/>
    </row>
    <row r="67">
      <c r="A67" s="16" t="str">
        <f>IFERROR(__xludf.DUMMYFUNCTION("""COMPUTED_VALUE"""),"5160062_1290078")</f>
        <v>5160062_1290078</v>
      </c>
      <c r="B67" s="16" t="str">
        <f>IFERROR(__xludf.DUMMYFUNCTION("""COMPUTED_VALUE"""),"Asad Zangi")</f>
        <v>Asad Zangi</v>
      </c>
      <c r="C67" s="16" t="str">
        <f>IFERROR(__xludf.DUMMYFUNCTION("""COMPUTED_VALUE"""),"approved")</f>
        <v>approved</v>
      </c>
      <c r="D67" s="16" t="str">
        <f>IFERROR(__xludf.DUMMYFUNCTION("""COMPUTED_VALUE"""),"No")</f>
        <v>No</v>
      </c>
      <c r="E67" s="16" t="str">
        <f>IFERROR(__xludf.DUMMYFUNCTION("""COMPUTED_VALUE"""),"p_cfe8111e7d5e478e56b2dab10d44e85057771486@inbound.aiesec.org")</f>
        <v>p_cfe8111e7d5e478e56b2dab10d44e85057771486@inbound.aiesec.org</v>
      </c>
      <c r="F67" s="16">
        <f>IFERROR(__xludf.DUMMYFUNCTION("""COMPUTED_VALUE"""),3.372116871E9)</f>
        <v>3372116871</v>
      </c>
      <c r="G67" s="16" t="str">
        <f>IFERROR(__xludf.DUMMYFUNCTION("""COMPUTED_VALUE"""),"Pakistan")</f>
        <v>Pakistan</v>
      </c>
      <c r="H67" s="16" t="str">
        <f>IFERROR(__xludf.DUMMYFUNCTION("""COMPUTED_VALUE"""),"Karachi")</f>
        <v>Karachi</v>
      </c>
      <c r="I67" s="16" t="str">
        <f>IFERROR(__xludf.DUMMYFUNCTION("""COMPUTED_VALUE"""),"Turkey")</f>
        <v>Turkey</v>
      </c>
      <c r="J67" s="16" t="str">
        <f>IFERROR(__xludf.DUMMYFUNCTION("""COMPUTED_VALUE"""),"SAMSUN [Closed]")</f>
        <v>SAMSUN [Closed]</v>
      </c>
      <c r="K67" s="17" t="str">
        <f>IFERROR(__xludf.DUMMYFUNCTION("""COMPUTED_VALUE"""),"https://expa.aiesec.org/opportunities/1290078")</f>
        <v>https://expa.aiesec.org/opportunities/1290078</v>
      </c>
      <c r="L67" s="16" t="str">
        <f>IFERROR(__xludf.DUMMYFUNCTION("""COMPUTED_VALUE"""),"GV")</f>
        <v>GV</v>
      </c>
      <c r="M67" s="16" t="str">
        <f>IFERROR(__xludf.DUMMYFUNCTION("""COMPUTED_VALUE"""),"short")</f>
        <v>short</v>
      </c>
      <c r="N67" s="18">
        <f>IFERROR(__xludf.DUMMYFUNCTION("""COMPUTED_VALUE"""),44903.0)</f>
        <v>44903</v>
      </c>
      <c r="O67" s="18">
        <f>IFERROR(__xludf.DUMMYFUNCTION("""COMPUTED_VALUE"""),44949.0)</f>
        <v>44949</v>
      </c>
      <c r="P67" s="18">
        <f>IFERROR(__xludf.DUMMYFUNCTION("""COMPUTED_VALUE"""),44991.0)</f>
        <v>44991</v>
      </c>
      <c r="Q67" s="18"/>
      <c r="R67" s="18"/>
      <c r="S67" s="16"/>
      <c r="T67" s="16"/>
      <c r="U67" s="16" t="str">
        <f>IFERROR(__xludf.DUMMYFUNCTION("""COMPUTED_VALUE"""),"Global Classroom")</f>
        <v>Global Classroom</v>
      </c>
      <c r="V67" s="16" t="str">
        <f>IFERROR(__xludf.DUMMYFUNCTION("""COMPUTED_VALUE"""),"Karachi - Other")</f>
        <v>Karachi - Other</v>
      </c>
      <c r="W67" s="16" t="str">
        <f>IFERROR(__xludf.DUMMYFUNCTION("""COMPUTED_VALUE"""),"2022-11-28T19:20:17Z")</f>
        <v>2022-11-28T19:20:17Z</v>
      </c>
      <c r="X67" s="16"/>
      <c r="Y67" s="16"/>
      <c r="Z67" s="16"/>
    </row>
    <row r="68">
      <c r="A68" s="16" t="str">
        <f>IFERROR(__xludf.DUMMYFUNCTION("""COMPUTED_VALUE"""),"5161032_1288970")</f>
        <v>5161032_1288970</v>
      </c>
      <c r="B68" s="16" t="str">
        <f>IFERROR(__xludf.DUMMYFUNCTION("""COMPUTED_VALUE"""),"Antonio Chelaru")</f>
        <v>Antonio Chelaru</v>
      </c>
      <c r="C68" s="16" t="str">
        <f>IFERROR(__xludf.DUMMYFUNCTION("""COMPUTED_VALUE"""),"approved")</f>
        <v>approved</v>
      </c>
      <c r="D68" s="16" t="str">
        <f>IFERROR(__xludf.DUMMYFUNCTION("""COMPUTED_VALUE"""),"No")</f>
        <v>No</v>
      </c>
      <c r="E68" s="16" t="str">
        <f>IFERROR(__xludf.DUMMYFUNCTION("""COMPUTED_VALUE"""),"p_dc13b02e5b08b7b0ae33dc6ca31927cbc19e16cf@inbound.aiesec.org")</f>
        <v>p_dc13b02e5b08b7b0ae33dc6ca31927cbc19e16cf@inbound.aiesec.org</v>
      </c>
      <c r="F68" s="16"/>
      <c r="G68" s="16" t="str">
        <f>IFERROR(__xludf.DUMMYFUNCTION("""COMPUTED_VALUE"""),"Romania")</f>
        <v>Romania</v>
      </c>
      <c r="H68" s="16" t="str">
        <f>IFERROR(__xludf.DUMMYFUNCTION("""COMPUTED_VALUE"""),"BUCURESTI")</f>
        <v>BUCURESTI</v>
      </c>
      <c r="I68" s="16" t="str">
        <f>IFERROR(__xludf.DUMMYFUNCTION("""COMPUTED_VALUE"""),"Turkey")</f>
        <v>Turkey</v>
      </c>
      <c r="J68" s="16" t="str">
        <f>IFERROR(__xludf.DUMMYFUNCTION("""COMPUTED_VALUE"""),"İZMİR")</f>
        <v>İZMİR</v>
      </c>
      <c r="K68" s="17" t="str">
        <f>IFERROR(__xludf.DUMMYFUNCTION("""COMPUTED_VALUE"""),"https://expa.aiesec.org/opportunities/1288970")</f>
        <v>https://expa.aiesec.org/opportunities/1288970</v>
      </c>
      <c r="L68" s="16" t="str">
        <f>IFERROR(__xludf.DUMMYFUNCTION("""COMPUTED_VALUE"""),"GV")</f>
        <v>GV</v>
      </c>
      <c r="M68" s="16" t="str">
        <f>IFERROR(__xludf.DUMMYFUNCTION("""COMPUTED_VALUE"""),"short")</f>
        <v>short</v>
      </c>
      <c r="N68" s="18">
        <f>IFERROR(__xludf.DUMMYFUNCTION("""COMPUTED_VALUE"""),44903.0)</f>
        <v>44903</v>
      </c>
      <c r="O68" s="18">
        <f>IFERROR(__xludf.DUMMYFUNCTION("""COMPUTED_VALUE"""),45123.0)</f>
        <v>45123</v>
      </c>
      <c r="P68" s="18">
        <f>IFERROR(__xludf.DUMMYFUNCTION("""COMPUTED_VALUE"""),45165.0)</f>
        <v>45165</v>
      </c>
      <c r="Q68" s="18"/>
      <c r="R68" s="18"/>
      <c r="S68" s="16"/>
      <c r="T68" s="16"/>
      <c r="U68" s="16" t="str">
        <f>IFERROR(__xludf.DUMMYFUNCTION("""COMPUTED_VALUE"""),"Fingerprint")</f>
        <v>Fingerprint</v>
      </c>
      <c r="V68" s="16" t="str">
        <f>IFERROR(__xludf.DUMMYFUNCTION("""COMPUTED_VALUE"""),"-")</f>
        <v>-</v>
      </c>
      <c r="W68" s="16" t="str">
        <f>IFERROR(__xludf.DUMMYFUNCTION("""COMPUTED_VALUE"""),"2022-11-30T16:03:59Z")</f>
        <v>2022-11-30T16:03:59Z</v>
      </c>
      <c r="X68" s="16"/>
      <c r="Y68" s="16"/>
      <c r="Z68" s="16"/>
    </row>
    <row r="69">
      <c r="A69" s="16" t="str">
        <f>IFERROR(__xludf.DUMMYFUNCTION("""COMPUTED_VALUE"""),"5138393_1284596")</f>
        <v>5138393_1284596</v>
      </c>
      <c r="B69" s="16" t="str">
        <f>IFERROR(__xludf.DUMMYFUNCTION("""COMPUTED_VALUE"""),"Rana Amaidia")</f>
        <v>Rana Amaidia</v>
      </c>
      <c r="C69" s="16" t="str">
        <f>IFERROR(__xludf.DUMMYFUNCTION("""COMPUTED_VALUE"""),"approved")</f>
        <v>approved</v>
      </c>
      <c r="D69" s="16" t="str">
        <f>IFERROR(__xludf.DUMMYFUNCTION("""COMPUTED_VALUE"""),"No")</f>
        <v>No</v>
      </c>
      <c r="E69" s="16" t="str">
        <f>IFERROR(__xludf.DUMMYFUNCTION("""COMPUTED_VALUE"""),"p_ab9a2cbc1df7131a107b2953bb1f7a1c4a11cfaf@inbound.aiesec.org")</f>
        <v>p_ab9a2cbc1df7131a107b2953bb1f7a1c4a11cfaf@inbound.aiesec.org</v>
      </c>
      <c r="F69" s="16"/>
      <c r="G69" s="16" t="str">
        <f>IFERROR(__xludf.DUMMYFUNCTION("""COMPUTED_VALUE"""),"Tunisia")</f>
        <v>Tunisia</v>
      </c>
      <c r="H69" s="16" t="str">
        <f>IFERROR(__xludf.DUMMYFUNCTION("""COMPUTED_VALUE"""),"HADRUMET")</f>
        <v>HADRUMET</v>
      </c>
      <c r="I69" s="16" t="str">
        <f>IFERROR(__xludf.DUMMYFUNCTION("""COMPUTED_VALUE"""),"Turkey")</f>
        <v>Turkey</v>
      </c>
      <c r="J69" s="16" t="str">
        <f>IFERROR(__xludf.DUMMYFUNCTION("""COMPUTED_VALUE"""),"DENIZLI")</f>
        <v>DENIZLI</v>
      </c>
      <c r="K69" s="17" t="str">
        <f>IFERROR(__xludf.DUMMYFUNCTION("""COMPUTED_VALUE"""),"https://expa.aiesec.org/opportunities/1284596")</f>
        <v>https://expa.aiesec.org/opportunities/1284596</v>
      </c>
      <c r="L69" s="16" t="str">
        <f>IFERROR(__xludf.DUMMYFUNCTION("""COMPUTED_VALUE"""),"GV")</f>
        <v>GV</v>
      </c>
      <c r="M69" s="16" t="str">
        <f>IFERROR(__xludf.DUMMYFUNCTION("""COMPUTED_VALUE"""),"short")</f>
        <v>short</v>
      </c>
      <c r="N69" s="18">
        <f>IFERROR(__xludf.DUMMYFUNCTION("""COMPUTED_VALUE"""),44903.0)</f>
        <v>44903</v>
      </c>
      <c r="O69" s="18">
        <f>IFERROR(__xludf.DUMMYFUNCTION("""COMPUTED_VALUE"""),45117.0)</f>
        <v>45117</v>
      </c>
      <c r="P69" s="18">
        <f>IFERROR(__xludf.DUMMYFUNCTION("""COMPUTED_VALUE"""),45159.0)</f>
        <v>45159</v>
      </c>
      <c r="Q69" s="18"/>
      <c r="R69" s="18"/>
      <c r="S69" s="16"/>
      <c r="T69" s="16"/>
      <c r="U69" s="16" t="str">
        <f>IFERROR(__xludf.DUMMYFUNCTION("""COMPUTED_VALUE"""),"Youth 4 Impact")</f>
        <v>Youth 4 Impact</v>
      </c>
      <c r="V69" s="16" t="str">
        <f>IFERROR(__xludf.DUMMYFUNCTION("""COMPUTED_VALUE"""),"-")</f>
        <v>-</v>
      </c>
      <c r="W69" s="16" t="str">
        <f>IFERROR(__xludf.DUMMYFUNCTION("""COMPUTED_VALUE"""),"2022-10-22T09:48:17Z")</f>
        <v>2022-10-22T09:48:17Z</v>
      </c>
      <c r="X69" s="16"/>
      <c r="Y69" s="16"/>
      <c r="Z69" s="16"/>
    </row>
    <row r="70">
      <c r="A70" s="16" t="str">
        <f>IFERROR(__xludf.DUMMYFUNCTION("""COMPUTED_VALUE"""),"5158674_1272564")</f>
        <v>5158674_1272564</v>
      </c>
      <c r="B70" s="16" t="str">
        <f>IFERROR(__xludf.DUMMYFUNCTION("""COMPUTED_VALUE"""),"Moldir Agzamova")</f>
        <v>Moldir Agzamova</v>
      </c>
      <c r="C70" s="16" t="str">
        <f>IFERROR(__xludf.DUMMYFUNCTION("""COMPUTED_VALUE"""),"approved")</f>
        <v>approved</v>
      </c>
      <c r="D70" s="16" t="str">
        <f>IFERROR(__xludf.DUMMYFUNCTION("""COMPUTED_VALUE"""),"No")</f>
        <v>No</v>
      </c>
      <c r="E70" s="16" t="str">
        <f>IFERROR(__xludf.DUMMYFUNCTION("""COMPUTED_VALUE"""),"p_7705c4578d5b4df3c3dc27397d5463669db4ae92@inbound.aiesec.org")</f>
        <v>p_7705c4578d5b4df3c3dc27397d5463669db4ae92@inbound.aiesec.org</v>
      </c>
      <c r="F70" s="16">
        <f>IFERROR(__xludf.DUMMYFUNCTION("""COMPUTED_VALUE"""),7.475181157E9)</f>
        <v>7475181157</v>
      </c>
      <c r="G70" s="16" t="str">
        <f>IFERROR(__xludf.DUMMYFUNCTION("""COMPUTED_VALUE"""),"Kazakhstan")</f>
        <v>Kazakhstan</v>
      </c>
      <c r="H70" s="16" t="str">
        <f>IFERROR(__xludf.DUMMYFUNCTION("""COMPUTED_VALUE"""),"Astana")</f>
        <v>Astana</v>
      </c>
      <c r="I70" s="16" t="str">
        <f>IFERROR(__xludf.DUMMYFUNCTION("""COMPUTED_VALUE"""),"Turkey")</f>
        <v>Turkey</v>
      </c>
      <c r="J70" s="16" t="str">
        <f>IFERROR(__xludf.DUMMYFUNCTION("""COMPUTED_VALUE"""),"ISTANBUL")</f>
        <v>ISTANBUL</v>
      </c>
      <c r="K70" s="17" t="str">
        <f>IFERROR(__xludf.DUMMYFUNCTION("""COMPUTED_VALUE"""),"https://expa.aiesec.org/opportunities/1272564")</f>
        <v>https://expa.aiesec.org/opportunities/1272564</v>
      </c>
      <c r="L70" s="16" t="str">
        <f>IFERROR(__xludf.DUMMYFUNCTION("""COMPUTED_VALUE"""),"GV")</f>
        <v>GV</v>
      </c>
      <c r="M70" s="16" t="str">
        <f>IFERROR(__xludf.DUMMYFUNCTION("""COMPUTED_VALUE"""),"short")</f>
        <v>short</v>
      </c>
      <c r="N70" s="18">
        <f>IFERROR(__xludf.DUMMYFUNCTION("""COMPUTED_VALUE"""),44904.0)</f>
        <v>44904</v>
      </c>
      <c r="O70" s="18">
        <f>IFERROR(__xludf.DUMMYFUNCTION("""COMPUTED_VALUE"""),45082.0)</f>
        <v>45082</v>
      </c>
      <c r="P70" s="18">
        <f>IFERROR(__xludf.DUMMYFUNCTION("""COMPUTED_VALUE"""),45124.0)</f>
        <v>45124</v>
      </c>
      <c r="Q70" s="18"/>
      <c r="R70" s="18"/>
      <c r="S70" s="16"/>
      <c r="T70" s="16"/>
      <c r="U70" s="16" t="str">
        <f>IFERROR(__xludf.DUMMYFUNCTION("""COMPUTED_VALUE"""),"Global Classroom")</f>
        <v>Global Classroom</v>
      </c>
      <c r="V70" s="16" t="str">
        <f>IFERROR(__xludf.DUMMYFUNCTION("""COMPUTED_VALUE"""),"Astana")</f>
        <v>Astana</v>
      </c>
      <c r="W70" s="16" t="str">
        <f>IFERROR(__xludf.DUMMYFUNCTION("""COMPUTED_VALUE"""),"2022-11-25T09:31:15Z")</f>
        <v>2022-11-25T09:31:15Z</v>
      </c>
      <c r="X70" s="16"/>
      <c r="Y70" s="16"/>
      <c r="Z70" s="16"/>
    </row>
    <row r="71">
      <c r="A71" s="16" t="str">
        <f>IFERROR(__xludf.DUMMYFUNCTION("""COMPUTED_VALUE"""),"5164619_1288393")</f>
        <v>5164619_1288393</v>
      </c>
      <c r="B71" s="16" t="str">
        <f>IFERROR(__xludf.DUMMYFUNCTION("""COMPUTED_VALUE"""),"Lakshay Satija")</f>
        <v>Lakshay Satija</v>
      </c>
      <c r="C71" s="16" t="str">
        <f>IFERROR(__xludf.DUMMYFUNCTION("""COMPUTED_VALUE"""),"approved")</f>
        <v>approved</v>
      </c>
      <c r="D71" s="16" t="str">
        <f>IFERROR(__xludf.DUMMYFUNCTION("""COMPUTED_VALUE"""),"No")</f>
        <v>No</v>
      </c>
      <c r="E71" s="16" t="str">
        <f>IFERROR(__xludf.DUMMYFUNCTION("""COMPUTED_VALUE"""),"p_92ce4e08a9b42497f8f795d4eacb655774bb9d38@inbound.aiesec.org")</f>
        <v>p_92ce4e08a9b42497f8f795d4eacb655774bb9d38@inbound.aiesec.org</v>
      </c>
      <c r="F71" s="16">
        <f>IFERROR(__xludf.DUMMYFUNCTION("""COMPUTED_VALUE"""),9.971761051E9)</f>
        <v>9971761051</v>
      </c>
      <c r="G71" s="16" t="str">
        <f>IFERROR(__xludf.DUMMYFUNCTION("""COMPUTED_VALUE"""),"India")</f>
        <v>India</v>
      </c>
      <c r="H71" s="16" t="str">
        <f>IFERROR(__xludf.DUMMYFUNCTION("""COMPUTED_VALUE"""),"Noida")</f>
        <v>Noida</v>
      </c>
      <c r="I71" s="16" t="str">
        <f>IFERROR(__xludf.DUMMYFUNCTION("""COMPUTED_VALUE"""),"Turkey")</f>
        <v>Turkey</v>
      </c>
      <c r="J71" s="16" t="str">
        <f>IFERROR(__xludf.DUMMYFUNCTION("""COMPUTED_VALUE"""),"ISTANBUL")</f>
        <v>ISTANBUL</v>
      </c>
      <c r="K71" s="17" t="str">
        <f>IFERROR(__xludf.DUMMYFUNCTION("""COMPUTED_VALUE"""),"https://expa.aiesec.org/opportunities/1288393")</f>
        <v>https://expa.aiesec.org/opportunities/1288393</v>
      </c>
      <c r="L71" s="16" t="str">
        <f>IFERROR(__xludf.DUMMYFUNCTION("""COMPUTED_VALUE"""),"GV")</f>
        <v>GV</v>
      </c>
      <c r="M71" s="16" t="str">
        <f>IFERROR(__xludf.DUMMYFUNCTION("""COMPUTED_VALUE"""),"short")</f>
        <v>short</v>
      </c>
      <c r="N71" s="18">
        <f>IFERROR(__xludf.DUMMYFUNCTION("""COMPUTED_VALUE"""),44905.0)</f>
        <v>44905</v>
      </c>
      <c r="O71" s="18">
        <f>IFERROR(__xludf.DUMMYFUNCTION("""COMPUTED_VALUE"""),45117.0)</f>
        <v>45117</v>
      </c>
      <c r="P71" s="18">
        <f>IFERROR(__xludf.DUMMYFUNCTION("""COMPUTED_VALUE"""),45159.0)</f>
        <v>45159</v>
      </c>
      <c r="Q71" s="18"/>
      <c r="R71" s="18"/>
      <c r="S71" s="16"/>
      <c r="T71" s="16"/>
      <c r="U71" s="16" t="str">
        <f>IFERROR(__xludf.DUMMYFUNCTION("""COMPUTED_VALUE"""),"Global Classroom")</f>
        <v>Global Classroom</v>
      </c>
      <c r="V71" s="16" t="str">
        <f>IFERROR(__xludf.DUMMYFUNCTION("""COMPUTED_VALUE"""),"Amity University, Noida")</f>
        <v>Amity University, Noida</v>
      </c>
      <c r="W71" s="16" t="str">
        <f>IFERROR(__xludf.DUMMYFUNCTION("""COMPUTED_VALUE"""),"2022-12-09T15:50:42Z")</f>
        <v>2022-12-09T15:50:42Z</v>
      </c>
      <c r="X71" s="16"/>
      <c r="Y71" s="16"/>
      <c r="Z71" s="16"/>
    </row>
    <row r="72">
      <c r="A72" s="16" t="str">
        <f>IFERROR(__xludf.DUMMYFUNCTION("""COMPUTED_VALUE"""),"3328718_1289261")</f>
        <v>3328718_1289261</v>
      </c>
      <c r="B72" s="16" t="str">
        <f>IFERROR(__xludf.DUMMYFUNCTION("""COMPUTED_VALUE"""),"Sakshi Chauhan")</f>
        <v>Sakshi Chauhan</v>
      </c>
      <c r="C72" s="16" t="str">
        <f>IFERROR(__xludf.DUMMYFUNCTION("""COMPUTED_VALUE"""),"approved")</f>
        <v>approved</v>
      </c>
      <c r="D72" s="16" t="str">
        <f>IFERROR(__xludf.DUMMYFUNCTION("""COMPUTED_VALUE"""),"No")</f>
        <v>No</v>
      </c>
      <c r="E72" s="16" t="str">
        <f>IFERROR(__xludf.DUMMYFUNCTION("""COMPUTED_VALUE"""),"p_6314508adf57109e78fceaf019e45e5a85519c5e@inbound.aiesec.org")</f>
        <v>p_6314508adf57109e78fceaf019e45e5a85519c5e@inbound.aiesec.org</v>
      </c>
      <c r="F72" s="16">
        <f>IFERROR(__xludf.DUMMYFUNCTION("""COMPUTED_VALUE"""),9.920798149E9)</f>
        <v>9920798149</v>
      </c>
      <c r="G72" s="16" t="str">
        <f>IFERROR(__xludf.DUMMYFUNCTION("""COMPUTED_VALUE"""),"India")</f>
        <v>India</v>
      </c>
      <c r="H72" s="16" t="str">
        <f>IFERROR(__xludf.DUMMYFUNCTION("""COMPUTED_VALUE"""),"Navi Mumbai")</f>
        <v>Navi Mumbai</v>
      </c>
      <c r="I72" s="16" t="str">
        <f>IFERROR(__xludf.DUMMYFUNCTION("""COMPUTED_VALUE"""),"Turkey")</f>
        <v>Turkey</v>
      </c>
      <c r="J72" s="16" t="str">
        <f>IFERROR(__xludf.DUMMYFUNCTION("""COMPUTED_VALUE"""),"İZMİR")</f>
        <v>İZMİR</v>
      </c>
      <c r="K72" s="17" t="str">
        <f>IFERROR(__xludf.DUMMYFUNCTION("""COMPUTED_VALUE"""),"https://expa.aiesec.org/opportunities/1289261")</f>
        <v>https://expa.aiesec.org/opportunities/1289261</v>
      </c>
      <c r="L72" s="16" t="str">
        <f>IFERROR(__xludf.DUMMYFUNCTION("""COMPUTED_VALUE"""),"GV")</f>
        <v>GV</v>
      </c>
      <c r="M72" s="16" t="str">
        <f>IFERROR(__xludf.DUMMYFUNCTION("""COMPUTED_VALUE"""),"short")</f>
        <v>short</v>
      </c>
      <c r="N72" s="18">
        <f>IFERROR(__xludf.DUMMYFUNCTION("""COMPUTED_VALUE"""),44905.0)</f>
        <v>44905</v>
      </c>
      <c r="O72" s="18">
        <f>IFERROR(__xludf.DUMMYFUNCTION("""COMPUTED_VALUE"""),45025.0)</f>
        <v>45025</v>
      </c>
      <c r="P72" s="18">
        <f>IFERROR(__xludf.DUMMYFUNCTION("""COMPUTED_VALUE"""),45067.0)</f>
        <v>45067</v>
      </c>
      <c r="Q72" s="18"/>
      <c r="R72" s="18"/>
      <c r="S72" s="16"/>
      <c r="T72" s="16"/>
      <c r="U72" s="16" t="str">
        <f>IFERROR(__xludf.DUMMYFUNCTION("""COMPUTED_VALUE"""),"Global Classroom")</f>
        <v>Global Classroom</v>
      </c>
      <c r="V72" s="16" t="str">
        <f>IFERROR(__xludf.DUMMYFUNCTION("""COMPUTED_VALUE"""),"Navi Mumbai")</f>
        <v>Navi Mumbai</v>
      </c>
      <c r="W72" s="16" t="str">
        <f>IFERROR(__xludf.DUMMYFUNCTION("""COMPUTED_VALUE"""),"2019-04-14T05:41:23Z")</f>
        <v>2019-04-14T05:41:23Z</v>
      </c>
      <c r="X72" s="16"/>
      <c r="Y72" s="16"/>
      <c r="Z72" s="16"/>
    </row>
    <row r="73">
      <c r="A73" s="16" t="str">
        <f>IFERROR(__xludf.DUMMYFUNCTION("""COMPUTED_VALUE"""),"5146021_1289536")</f>
        <v>5146021_1289536</v>
      </c>
      <c r="B73" s="16" t="str">
        <f>IFERROR(__xludf.DUMMYFUNCTION("""COMPUTED_VALUE"""),"Hassan Ahmed")</f>
        <v>Hassan Ahmed</v>
      </c>
      <c r="C73" s="16" t="str">
        <f>IFERROR(__xludf.DUMMYFUNCTION("""COMPUTED_VALUE"""),"approved")</f>
        <v>approved</v>
      </c>
      <c r="D73" s="16" t="str">
        <f>IFERROR(__xludf.DUMMYFUNCTION("""COMPUTED_VALUE"""),"No")</f>
        <v>No</v>
      </c>
      <c r="E73" s="16" t="str">
        <f>IFERROR(__xludf.DUMMYFUNCTION("""COMPUTED_VALUE"""),"p_531859d62ec334374c9c835e06eb35d44149881a@inbound.aiesec.org")</f>
        <v>p_531859d62ec334374c9c835e06eb35d44149881a@inbound.aiesec.org</v>
      </c>
      <c r="F73" s="16">
        <f>IFERROR(__xludf.DUMMYFUNCTION("""COMPUTED_VALUE"""),6.304889813E9)</f>
        <v>6304889813</v>
      </c>
      <c r="G73" s="16" t="str">
        <f>IFERROR(__xludf.DUMMYFUNCTION("""COMPUTED_VALUE"""),"India")</f>
        <v>India</v>
      </c>
      <c r="H73" s="16" t="str">
        <f>IFERROR(__xludf.DUMMYFUNCTION("""COMPUTED_VALUE"""),"Hyderabad")</f>
        <v>Hyderabad</v>
      </c>
      <c r="I73" s="16" t="str">
        <f>IFERROR(__xludf.DUMMYFUNCTION("""COMPUTED_VALUE"""),"Turkey")</f>
        <v>Turkey</v>
      </c>
      <c r="J73" s="16" t="str">
        <f>IFERROR(__xludf.DUMMYFUNCTION("""COMPUTED_VALUE"""),"ISTANBUL")</f>
        <v>ISTANBUL</v>
      </c>
      <c r="K73" s="17" t="str">
        <f>IFERROR(__xludf.DUMMYFUNCTION("""COMPUTED_VALUE"""),"https://expa.aiesec.org/opportunities/1289536")</f>
        <v>https://expa.aiesec.org/opportunities/1289536</v>
      </c>
      <c r="L73" s="16" t="str">
        <f>IFERROR(__xludf.DUMMYFUNCTION("""COMPUTED_VALUE"""),"GV")</f>
        <v>GV</v>
      </c>
      <c r="M73" s="16" t="str">
        <f>IFERROR(__xludf.DUMMYFUNCTION("""COMPUTED_VALUE"""),"short")</f>
        <v>short</v>
      </c>
      <c r="N73" s="18">
        <f>IFERROR(__xludf.DUMMYFUNCTION("""COMPUTED_VALUE"""),44909.0)</f>
        <v>44909</v>
      </c>
      <c r="O73" s="18">
        <f>IFERROR(__xludf.DUMMYFUNCTION("""COMPUTED_VALUE"""),45005.0)</f>
        <v>45005</v>
      </c>
      <c r="P73" s="18">
        <f>IFERROR(__xludf.DUMMYFUNCTION("""COMPUTED_VALUE"""),45047.0)</f>
        <v>45047</v>
      </c>
      <c r="Q73" s="18"/>
      <c r="R73" s="18"/>
      <c r="S73" s="16"/>
      <c r="T73" s="16"/>
      <c r="U73" s="16" t="str">
        <f>IFERROR(__xludf.DUMMYFUNCTION("""COMPUTED_VALUE"""),"Global Classroom")</f>
        <v>Global Classroom</v>
      </c>
      <c r="V73" s="16" t="str">
        <f>IFERROR(__xludf.DUMMYFUNCTION("""COMPUTED_VALUE"""),"Hyderabad")</f>
        <v>Hyderabad</v>
      </c>
      <c r="W73" s="16" t="str">
        <f>IFERROR(__xludf.DUMMYFUNCTION("""COMPUTED_VALUE"""),"2022-11-03T16:07:20Z")</f>
        <v>2022-11-03T16:07:20Z</v>
      </c>
      <c r="X73" s="16"/>
      <c r="Y73" s="16"/>
      <c r="Z73" s="16"/>
    </row>
    <row r="74">
      <c r="A74" s="16" t="str">
        <f>IFERROR(__xludf.DUMMYFUNCTION("""COMPUTED_VALUE"""),"5165099_1272564")</f>
        <v>5165099_1272564</v>
      </c>
      <c r="B74" s="16" t="str">
        <f>IFERROR(__xludf.DUMMYFUNCTION("""COMPUTED_VALUE"""),"Rakshita Rastogi")</f>
        <v>Rakshita Rastogi</v>
      </c>
      <c r="C74" s="16" t="str">
        <f>IFERROR(__xludf.DUMMYFUNCTION("""COMPUTED_VALUE"""),"approved")</f>
        <v>approved</v>
      </c>
      <c r="D74" s="16" t="str">
        <f>IFERROR(__xludf.DUMMYFUNCTION("""COMPUTED_VALUE"""),"No")</f>
        <v>No</v>
      </c>
      <c r="E74" s="16" t="str">
        <f>IFERROR(__xludf.DUMMYFUNCTION("""COMPUTED_VALUE"""),"p_a3957c2e0f55338c9226da60dc9b172070d05934@inbound.aiesec.org")</f>
        <v>p_a3957c2e0f55338c9226da60dc9b172070d05934@inbound.aiesec.org</v>
      </c>
      <c r="F74" s="16">
        <f>IFERROR(__xludf.DUMMYFUNCTION("""COMPUTED_VALUE"""),9.654295958E9)</f>
        <v>9654295958</v>
      </c>
      <c r="G74" s="16" t="str">
        <f>IFERROR(__xludf.DUMMYFUNCTION("""COMPUTED_VALUE"""),"India")</f>
        <v>India</v>
      </c>
      <c r="H74" s="16" t="str">
        <f>IFERROR(__xludf.DUMMYFUNCTION("""COMPUTED_VALUE"""),"Delhi University")</f>
        <v>Delhi University</v>
      </c>
      <c r="I74" s="16" t="str">
        <f>IFERROR(__xludf.DUMMYFUNCTION("""COMPUTED_VALUE"""),"Turkey")</f>
        <v>Turkey</v>
      </c>
      <c r="J74" s="16" t="str">
        <f>IFERROR(__xludf.DUMMYFUNCTION("""COMPUTED_VALUE"""),"ISTANBUL")</f>
        <v>ISTANBUL</v>
      </c>
      <c r="K74" s="17" t="str">
        <f>IFERROR(__xludf.DUMMYFUNCTION("""COMPUTED_VALUE"""),"https://expa.aiesec.org/opportunities/1272564")</f>
        <v>https://expa.aiesec.org/opportunities/1272564</v>
      </c>
      <c r="L74" s="16" t="str">
        <f>IFERROR(__xludf.DUMMYFUNCTION("""COMPUTED_VALUE"""),"GV")</f>
        <v>GV</v>
      </c>
      <c r="M74" s="16" t="str">
        <f>IFERROR(__xludf.DUMMYFUNCTION("""COMPUTED_VALUE"""),"short")</f>
        <v>short</v>
      </c>
      <c r="N74" s="18">
        <f>IFERROR(__xludf.DUMMYFUNCTION("""COMPUTED_VALUE"""),44909.0)</f>
        <v>44909</v>
      </c>
      <c r="O74" s="18">
        <f>IFERROR(__xludf.DUMMYFUNCTION("""COMPUTED_VALUE"""),45082.0)</f>
        <v>45082</v>
      </c>
      <c r="P74" s="18">
        <f>IFERROR(__xludf.DUMMYFUNCTION("""COMPUTED_VALUE"""),45124.0)</f>
        <v>45124</v>
      </c>
      <c r="Q74" s="18"/>
      <c r="R74" s="18"/>
      <c r="S74" s="16"/>
      <c r="T74" s="16"/>
      <c r="U74" s="16" t="str">
        <f>IFERROR(__xludf.DUMMYFUNCTION("""COMPUTED_VALUE"""),"Global Classroom")</f>
        <v>Global Classroom</v>
      </c>
      <c r="V74" s="16" t="str">
        <f>IFERROR(__xludf.DUMMYFUNCTION("""COMPUTED_VALUE"""),"Satyawati College, Delhi")</f>
        <v>Satyawati College, Delhi</v>
      </c>
      <c r="W74" s="16" t="str">
        <f>IFERROR(__xludf.DUMMYFUNCTION("""COMPUTED_VALUE"""),"2022-12-11T17:17:12Z")</f>
        <v>2022-12-11T17:17:12Z</v>
      </c>
      <c r="X74" s="16"/>
      <c r="Y74" s="16"/>
      <c r="Z74" s="16"/>
    </row>
    <row r="75">
      <c r="A75" s="16" t="str">
        <f>IFERROR(__xludf.DUMMYFUNCTION("""COMPUTED_VALUE"""),"5166401_1272564")</f>
        <v>5166401_1272564</v>
      </c>
      <c r="B75" s="16" t="str">
        <f>IFERROR(__xludf.DUMMYFUNCTION("""COMPUTED_VALUE"""),"Tanya Thakur")</f>
        <v>Tanya Thakur</v>
      </c>
      <c r="C75" s="16" t="str">
        <f>IFERROR(__xludf.DUMMYFUNCTION("""COMPUTED_VALUE"""),"approved")</f>
        <v>approved</v>
      </c>
      <c r="D75" s="16" t="str">
        <f>IFERROR(__xludf.DUMMYFUNCTION("""COMPUTED_VALUE"""),"No")</f>
        <v>No</v>
      </c>
      <c r="E75" s="16" t="str">
        <f>IFERROR(__xludf.DUMMYFUNCTION("""COMPUTED_VALUE"""),"p_6c317708930ea03b9d64692ae2b207bce240dac4@inbound.aiesec.org")</f>
        <v>p_6c317708930ea03b9d64692ae2b207bce240dac4@inbound.aiesec.org</v>
      </c>
      <c r="F75" s="16"/>
      <c r="G75" s="16" t="str">
        <f>IFERROR(__xludf.DUMMYFUNCTION("""COMPUTED_VALUE"""),"India")</f>
        <v>India</v>
      </c>
      <c r="H75" s="16" t="str">
        <f>IFERROR(__xludf.DUMMYFUNCTION("""COMPUTED_VALUE"""),"Delhi University")</f>
        <v>Delhi University</v>
      </c>
      <c r="I75" s="16" t="str">
        <f>IFERROR(__xludf.DUMMYFUNCTION("""COMPUTED_VALUE"""),"Turkey")</f>
        <v>Turkey</v>
      </c>
      <c r="J75" s="16" t="str">
        <f>IFERROR(__xludf.DUMMYFUNCTION("""COMPUTED_VALUE"""),"ISTANBUL")</f>
        <v>ISTANBUL</v>
      </c>
      <c r="K75" s="17" t="str">
        <f>IFERROR(__xludf.DUMMYFUNCTION("""COMPUTED_VALUE"""),"https://expa.aiesec.org/opportunities/1272564")</f>
        <v>https://expa.aiesec.org/opportunities/1272564</v>
      </c>
      <c r="L75" s="16" t="str">
        <f>IFERROR(__xludf.DUMMYFUNCTION("""COMPUTED_VALUE"""),"GV")</f>
        <v>GV</v>
      </c>
      <c r="M75" s="16" t="str">
        <f>IFERROR(__xludf.DUMMYFUNCTION("""COMPUTED_VALUE"""),"short")</f>
        <v>short</v>
      </c>
      <c r="N75" s="18">
        <f>IFERROR(__xludf.DUMMYFUNCTION("""COMPUTED_VALUE"""),44910.0)</f>
        <v>44910</v>
      </c>
      <c r="O75" s="18">
        <f>IFERROR(__xludf.DUMMYFUNCTION("""COMPUTED_VALUE"""),45071.0)</f>
        <v>45071</v>
      </c>
      <c r="P75" s="18">
        <f>IFERROR(__xludf.DUMMYFUNCTION("""COMPUTED_VALUE"""),45113.0)</f>
        <v>45113</v>
      </c>
      <c r="Q75" s="18"/>
      <c r="R75" s="18"/>
      <c r="S75" s="16"/>
      <c r="T75" s="16"/>
      <c r="U75" s="16" t="str">
        <f>IFERROR(__xludf.DUMMYFUNCTION("""COMPUTED_VALUE"""),"Global Classroom")</f>
        <v>Global Classroom</v>
      </c>
      <c r="V75" s="16" t="str">
        <f>IFERROR(__xludf.DUMMYFUNCTION("""COMPUTED_VALUE"""),"-")</f>
        <v>-</v>
      </c>
      <c r="W75" s="16" t="str">
        <f>IFERROR(__xludf.DUMMYFUNCTION("""COMPUTED_VALUE"""),"2022-12-15T06:56:37Z")</f>
        <v>2022-12-15T06:56:37Z</v>
      </c>
      <c r="X75" s="16"/>
      <c r="Y75" s="16"/>
      <c r="Z75" s="16"/>
    </row>
    <row r="76">
      <c r="A76" s="16" t="str">
        <f>IFERROR(__xludf.DUMMYFUNCTION("""COMPUTED_VALUE"""),"5110925_1289536")</f>
        <v>5110925_1289536</v>
      </c>
      <c r="B76" s="16" t="str">
        <f>IFERROR(__xludf.DUMMYFUNCTION("""COMPUTED_VALUE"""),"Mupparapu Vamshi Krishna")</f>
        <v>Mupparapu Vamshi Krishna</v>
      </c>
      <c r="C76" s="16" t="str">
        <f>IFERROR(__xludf.DUMMYFUNCTION("""COMPUTED_VALUE"""),"approved")</f>
        <v>approved</v>
      </c>
      <c r="D76" s="16" t="str">
        <f>IFERROR(__xludf.DUMMYFUNCTION("""COMPUTED_VALUE"""),"No")</f>
        <v>No</v>
      </c>
      <c r="E76" s="16" t="str">
        <f>IFERROR(__xludf.DUMMYFUNCTION("""COMPUTED_VALUE"""),"p_223fb65cab0635c5e96a62a4483e6bbcc8fc0d5d@inbound.aiesec.org")</f>
        <v>p_223fb65cab0635c5e96a62a4483e6bbcc8fc0d5d@inbound.aiesec.org</v>
      </c>
      <c r="F76" s="16">
        <f>IFERROR(__xludf.DUMMYFUNCTION("""COMPUTED_VALUE"""),9.15477611E9)</f>
        <v>9154776110</v>
      </c>
      <c r="G76" s="16" t="str">
        <f>IFERROR(__xludf.DUMMYFUNCTION("""COMPUTED_VALUE"""),"India")</f>
        <v>India</v>
      </c>
      <c r="H76" s="16" t="str">
        <f>IFERROR(__xludf.DUMMYFUNCTION("""COMPUTED_VALUE"""),"Hyderabad")</f>
        <v>Hyderabad</v>
      </c>
      <c r="I76" s="16" t="str">
        <f>IFERROR(__xludf.DUMMYFUNCTION("""COMPUTED_VALUE"""),"Turkey")</f>
        <v>Turkey</v>
      </c>
      <c r="J76" s="16" t="str">
        <f>IFERROR(__xludf.DUMMYFUNCTION("""COMPUTED_VALUE"""),"ISTANBUL")</f>
        <v>ISTANBUL</v>
      </c>
      <c r="K76" s="17" t="str">
        <f>IFERROR(__xludf.DUMMYFUNCTION("""COMPUTED_VALUE"""),"https://expa.aiesec.org/opportunities/1289536")</f>
        <v>https://expa.aiesec.org/opportunities/1289536</v>
      </c>
      <c r="L76" s="16" t="str">
        <f>IFERROR(__xludf.DUMMYFUNCTION("""COMPUTED_VALUE"""),"GV")</f>
        <v>GV</v>
      </c>
      <c r="M76" s="16" t="str">
        <f>IFERROR(__xludf.DUMMYFUNCTION("""COMPUTED_VALUE"""),"short")</f>
        <v>short</v>
      </c>
      <c r="N76" s="18">
        <f>IFERROR(__xludf.DUMMYFUNCTION("""COMPUTED_VALUE"""),44910.0)</f>
        <v>44910</v>
      </c>
      <c r="O76" s="18">
        <f>IFERROR(__xludf.DUMMYFUNCTION("""COMPUTED_VALUE"""),45132.0)</f>
        <v>45132</v>
      </c>
      <c r="P76" s="18">
        <f>IFERROR(__xludf.DUMMYFUNCTION("""COMPUTED_VALUE"""),45174.0)</f>
        <v>45174</v>
      </c>
      <c r="Q76" s="18"/>
      <c r="R76" s="18"/>
      <c r="S76" s="16"/>
      <c r="T76" s="16"/>
      <c r="U76" s="16" t="str">
        <f>IFERROR(__xludf.DUMMYFUNCTION("""COMPUTED_VALUE"""),"Global Classroom")</f>
        <v>Global Classroom</v>
      </c>
      <c r="V76" s="16" t="str">
        <f>IFERROR(__xludf.DUMMYFUNCTION("""COMPUTED_VALUE"""),"Hyderabad")</f>
        <v>Hyderabad</v>
      </c>
      <c r="W76" s="16" t="str">
        <f>IFERROR(__xludf.DUMMYFUNCTION("""COMPUTED_VALUE"""),"2022-09-12T17:52:00Z")</f>
        <v>2022-09-12T17:52:00Z</v>
      </c>
      <c r="X76" s="16"/>
      <c r="Y76" s="16"/>
      <c r="Z76" s="16"/>
    </row>
    <row r="77">
      <c r="A77" s="16" t="str">
        <f>IFERROR(__xludf.DUMMYFUNCTION("""COMPUTED_VALUE"""),"5157603_1289505")</f>
        <v>5157603_1289505</v>
      </c>
      <c r="B77" s="16" t="str">
        <f>IFERROR(__xludf.DUMMYFUNCTION("""COMPUTED_VALUE"""),"Islem Jlassi")</f>
        <v>Islem Jlassi</v>
      </c>
      <c r="C77" s="16" t="str">
        <f>IFERROR(__xludf.DUMMYFUNCTION("""COMPUTED_VALUE"""),"approved")</f>
        <v>approved</v>
      </c>
      <c r="D77" s="16" t="str">
        <f>IFERROR(__xludf.DUMMYFUNCTION("""COMPUTED_VALUE"""),"No")</f>
        <v>No</v>
      </c>
      <c r="E77" s="16" t="str">
        <f>IFERROR(__xludf.DUMMYFUNCTION("""COMPUTED_VALUE"""),"p_c2312fd6221cc4e973bd21c2508fbff181d8b2ce@inbound.aiesec.org")</f>
        <v>p_c2312fd6221cc4e973bd21c2508fbff181d8b2ce@inbound.aiesec.org</v>
      </c>
      <c r="F77" s="16"/>
      <c r="G77" s="16" t="str">
        <f>IFERROR(__xludf.DUMMYFUNCTION("""COMPUTED_VALUE"""),"Tunisia")</f>
        <v>Tunisia</v>
      </c>
      <c r="H77" s="16" t="str">
        <f>IFERROR(__xludf.DUMMYFUNCTION("""COMPUTED_VALUE"""),"NABEL")</f>
        <v>NABEL</v>
      </c>
      <c r="I77" s="16" t="str">
        <f>IFERROR(__xludf.DUMMYFUNCTION("""COMPUTED_VALUE"""),"Turkey")</f>
        <v>Turkey</v>
      </c>
      <c r="J77" s="16" t="str">
        <f>IFERROR(__xludf.DUMMYFUNCTION("""COMPUTED_VALUE"""),"KOCAELI")</f>
        <v>KOCAELI</v>
      </c>
      <c r="K77" s="17" t="str">
        <f>IFERROR(__xludf.DUMMYFUNCTION("""COMPUTED_VALUE"""),"https://expa.aiesec.org/opportunities/1289505")</f>
        <v>https://expa.aiesec.org/opportunities/1289505</v>
      </c>
      <c r="L77" s="16" t="str">
        <f>IFERROR(__xludf.DUMMYFUNCTION("""COMPUTED_VALUE"""),"GV")</f>
        <v>GV</v>
      </c>
      <c r="M77" s="16" t="str">
        <f>IFERROR(__xludf.DUMMYFUNCTION("""COMPUTED_VALUE"""),"short")</f>
        <v>short</v>
      </c>
      <c r="N77" s="18">
        <f>IFERROR(__xludf.DUMMYFUNCTION("""COMPUTED_VALUE"""),44911.0)</f>
        <v>44911</v>
      </c>
      <c r="O77" s="18">
        <f>IFERROR(__xludf.DUMMYFUNCTION("""COMPUTED_VALUE"""),45103.0)</f>
        <v>45103</v>
      </c>
      <c r="P77" s="18">
        <f>IFERROR(__xludf.DUMMYFUNCTION("""COMPUTED_VALUE"""),45145.0)</f>
        <v>45145</v>
      </c>
      <c r="Q77" s="18"/>
      <c r="R77" s="18"/>
      <c r="S77" s="16"/>
      <c r="T77" s="16"/>
      <c r="U77" s="16" t="str">
        <f>IFERROR(__xludf.DUMMYFUNCTION("""COMPUTED_VALUE"""),"Youth 4 Impact")</f>
        <v>Youth 4 Impact</v>
      </c>
      <c r="V77" s="16" t="str">
        <f>IFERROR(__xludf.DUMMYFUNCTION("""COMPUTED_VALUE"""),"-")</f>
        <v>-</v>
      </c>
      <c r="W77" s="16" t="str">
        <f>IFERROR(__xludf.DUMMYFUNCTION("""COMPUTED_VALUE"""),"2022-11-23T09:09:13Z")</f>
        <v>2022-11-23T09:09:13Z</v>
      </c>
      <c r="X77" s="16"/>
      <c r="Y77" s="16"/>
      <c r="Z77" s="16"/>
    </row>
    <row r="78">
      <c r="A78" s="16" t="str">
        <f>IFERROR(__xludf.DUMMYFUNCTION("""COMPUTED_VALUE"""),"5165701_1272564")</f>
        <v>5165701_1272564</v>
      </c>
      <c r="B78" s="16" t="str">
        <f>IFERROR(__xludf.DUMMYFUNCTION("""COMPUTED_VALUE"""),"Emil Miriyev")</f>
        <v>Emil Miriyev</v>
      </c>
      <c r="C78" s="16" t="str">
        <f>IFERROR(__xludf.DUMMYFUNCTION("""COMPUTED_VALUE"""),"approved")</f>
        <v>approved</v>
      </c>
      <c r="D78" s="16" t="str">
        <f>IFERROR(__xludf.DUMMYFUNCTION("""COMPUTED_VALUE"""),"No")</f>
        <v>No</v>
      </c>
      <c r="E78" s="16" t="str">
        <f>IFERROR(__xludf.DUMMYFUNCTION("""COMPUTED_VALUE"""),"p_77a304a3511ea528405ef58b2f2328c8d074bf94@inbound.aiesec.org")</f>
        <v>p_77a304a3511ea528405ef58b2f2328c8d074bf94@inbound.aiesec.org</v>
      </c>
      <c r="F78" s="16">
        <f>IFERROR(__xludf.DUMMYFUNCTION("""COMPUTED_VALUE"""),5.57967362E8)</f>
        <v>557967362</v>
      </c>
      <c r="G78" s="16" t="str">
        <f>IFERROR(__xludf.DUMMYFUNCTION("""COMPUTED_VALUE"""),"Azerbaijan")</f>
        <v>Azerbaijan</v>
      </c>
      <c r="H78" s="16" t="str">
        <f>IFERROR(__xludf.DUMMYFUNCTION("""COMPUTED_VALUE"""),"Baku Synergy")</f>
        <v>Baku Synergy</v>
      </c>
      <c r="I78" s="16" t="str">
        <f>IFERROR(__xludf.DUMMYFUNCTION("""COMPUTED_VALUE"""),"Turkey")</f>
        <v>Turkey</v>
      </c>
      <c r="J78" s="16" t="str">
        <f>IFERROR(__xludf.DUMMYFUNCTION("""COMPUTED_VALUE"""),"ISTANBUL")</f>
        <v>ISTANBUL</v>
      </c>
      <c r="K78" s="17" t="str">
        <f>IFERROR(__xludf.DUMMYFUNCTION("""COMPUTED_VALUE"""),"https://expa.aiesec.org/opportunities/1272564")</f>
        <v>https://expa.aiesec.org/opportunities/1272564</v>
      </c>
      <c r="L78" s="16" t="str">
        <f>IFERROR(__xludf.DUMMYFUNCTION("""COMPUTED_VALUE"""),"GV")</f>
        <v>GV</v>
      </c>
      <c r="M78" s="16" t="str">
        <f>IFERROR(__xludf.DUMMYFUNCTION("""COMPUTED_VALUE"""),"short")</f>
        <v>short</v>
      </c>
      <c r="N78" s="18">
        <f>IFERROR(__xludf.DUMMYFUNCTION("""COMPUTED_VALUE"""),44915.0)</f>
        <v>44915</v>
      </c>
      <c r="O78" s="18">
        <f>IFERROR(__xludf.DUMMYFUNCTION("""COMPUTED_VALUE"""),45122.0)</f>
        <v>45122</v>
      </c>
      <c r="P78" s="18">
        <f>IFERROR(__xludf.DUMMYFUNCTION("""COMPUTED_VALUE"""),45164.0)</f>
        <v>45164</v>
      </c>
      <c r="Q78" s="18"/>
      <c r="R78" s="18"/>
      <c r="S78" s="16"/>
      <c r="T78" s="16"/>
      <c r="U78" s="16" t="str">
        <f>IFERROR(__xludf.DUMMYFUNCTION("""COMPUTED_VALUE"""),"Global Classroom")</f>
        <v>Global Classroom</v>
      </c>
      <c r="V78" s="16" t="str">
        <f>IFERROR(__xludf.DUMMYFUNCTION("""COMPUTED_VALUE"""),"Azerbaijan State University of Economics")</f>
        <v>Azerbaijan State University of Economics</v>
      </c>
      <c r="W78" s="16" t="str">
        <f>IFERROR(__xludf.DUMMYFUNCTION("""COMPUTED_VALUE"""),"2022-12-13T13:59:45Z")</f>
        <v>2022-12-13T13:59:45Z</v>
      </c>
      <c r="X78" s="16"/>
      <c r="Y78" s="16"/>
      <c r="Z78" s="16"/>
    </row>
    <row r="79">
      <c r="A79" s="16" t="str">
        <f>IFERROR(__xludf.DUMMYFUNCTION("""COMPUTED_VALUE"""),"4681370_1287101")</f>
        <v>4681370_1287101</v>
      </c>
      <c r="B79" s="16" t="str">
        <f>IFERROR(__xludf.DUMMYFUNCTION("""COMPUTED_VALUE"""),"dridi selim")</f>
        <v>dridi selim</v>
      </c>
      <c r="C79" s="16" t="str">
        <f>IFERROR(__xludf.DUMMYFUNCTION("""COMPUTED_VALUE"""),"approved")</f>
        <v>approved</v>
      </c>
      <c r="D79" s="16" t="str">
        <f>IFERROR(__xludf.DUMMYFUNCTION("""COMPUTED_VALUE"""),"No")</f>
        <v>No</v>
      </c>
      <c r="E79" s="16" t="str">
        <f>IFERROR(__xludf.DUMMYFUNCTION("""COMPUTED_VALUE"""),"p_5d6b7855ef2ddcc2bbfda12b45e01d6d93652e54@inbound.aiesec.org")</f>
        <v>p_5d6b7855ef2ddcc2bbfda12b45e01d6d93652e54@inbound.aiesec.org</v>
      </c>
      <c r="F79" s="16">
        <f>IFERROR(__xludf.DUMMYFUNCTION("""COMPUTED_VALUE"""),9.0122599E7)</f>
        <v>90122599</v>
      </c>
      <c r="G79" s="16" t="str">
        <f>IFERROR(__xludf.DUMMYFUNCTION("""COMPUTED_VALUE"""),"Tunisia")</f>
        <v>Tunisia</v>
      </c>
      <c r="H79" s="16" t="str">
        <f>IFERROR(__xludf.DUMMYFUNCTION("""COMPUTED_VALUE"""),"UNIVERSITY")</f>
        <v>UNIVERSITY</v>
      </c>
      <c r="I79" s="16" t="str">
        <f>IFERROR(__xludf.DUMMYFUNCTION("""COMPUTED_VALUE"""),"Turkey")</f>
        <v>Turkey</v>
      </c>
      <c r="J79" s="16" t="str">
        <f>IFERROR(__xludf.DUMMYFUNCTION("""COMPUTED_VALUE"""),"İZMİR")</f>
        <v>İZMİR</v>
      </c>
      <c r="K79" s="17" t="str">
        <f>IFERROR(__xludf.DUMMYFUNCTION("""COMPUTED_VALUE"""),"https://expa.aiesec.org/opportunities/1287101")</f>
        <v>https://expa.aiesec.org/opportunities/1287101</v>
      </c>
      <c r="L79" s="16" t="str">
        <f>IFERROR(__xludf.DUMMYFUNCTION("""COMPUTED_VALUE"""),"GV")</f>
        <v>GV</v>
      </c>
      <c r="M79" s="16" t="str">
        <f>IFERROR(__xludf.DUMMYFUNCTION("""COMPUTED_VALUE"""),"short")</f>
        <v>short</v>
      </c>
      <c r="N79" s="18">
        <f>IFERROR(__xludf.DUMMYFUNCTION("""COMPUTED_VALUE"""),44916.0)</f>
        <v>44916</v>
      </c>
      <c r="O79" s="18">
        <f>IFERROR(__xludf.DUMMYFUNCTION("""COMPUTED_VALUE"""),45102.0)</f>
        <v>45102</v>
      </c>
      <c r="P79" s="18">
        <f>IFERROR(__xludf.DUMMYFUNCTION("""COMPUTED_VALUE"""),45144.0)</f>
        <v>45144</v>
      </c>
      <c r="Q79" s="18"/>
      <c r="R79" s="18"/>
      <c r="S79" s="16"/>
      <c r="T79" s="16"/>
      <c r="U79" s="16" t="str">
        <f>IFERROR(__xludf.DUMMYFUNCTION("""COMPUTED_VALUE"""),"Global Classroom")</f>
        <v>Global Classroom</v>
      </c>
      <c r="V79" s="16" t="str">
        <f>IFERROR(__xludf.DUMMYFUNCTION("""COMPUTED_VALUE"""),"Institut supérieur des technologies médicales de Tunis ISTMT")</f>
        <v>Institut supérieur des technologies médicales de Tunis ISTMT</v>
      </c>
      <c r="W79" s="16" t="str">
        <f>IFERROR(__xludf.DUMMYFUNCTION("""COMPUTED_VALUE"""),"2021-07-01T20:03:07Z")</f>
        <v>2021-07-01T20:03:07Z</v>
      </c>
      <c r="X79" s="16"/>
      <c r="Y79" s="16"/>
      <c r="Z79" s="16"/>
    </row>
    <row r="80">
      <c r="A80" s="16" t="str">
        <f>IFERROR(__xludf.DUMMYFUNCTION("""COMPUTED_VALUE"""),"5133307_1288970")</f>
        <v>5133307_1288970</v>
      </c>
      <c r="B80" s="16" t="str">
        <f>IFERROR(__xludf.DUMMYFUNCTION("""COMPUTED_VALUE"""),"Rutu Kansagra")</f>
        <v>Rutu Kansagra</v>
      </c>
      <c r="C80" s="16" t="str">
        <f>IFERROR(__xludf.DUMMYFUNCTION("""COMPUTED_VALUE"""),"approved")</f>
        <v>approved</v>
      </c>
      <c r="D80" s="16" t="str">
        <f>IFERROR(__xludf.DUMMYFUNCTION("""COMPUTED_VALUE"""),"No")</f>
        <v>No</v>
      </c>
      <c r="E80" s="16" t="str">
        <f>IFERROR(__xludf.DUMMYFUNCTION("""COMPUTED_VALUE"""),"p_8caa96b8828f02d1c814370cee3d0508dda54051@inbound.aiesec.org")</f>
        <v>p_8caa96b8828f02d1c814370cee3d0508dda54051@inbound.aiesec.org</v>
      </c>
      <c r="F80" s="16">
        <f>IFERROR(__xludf.DUMMYFUNCTION("""COMPUTED_VALUE"""),9.978698098E9)</f>
        <v>9978698098</v>
      </c>
      <c r="G80" s="16" t="str">
        <f>IFERROR(__xludf.DUMMYFUNCTION("""COMPUTED_VALUE"""),"India")</f>
        <v>India</v>
      </c>
      <c r="H80" s="16" t="str">
        <f>IFERROR(__xludf.DUMMYFUNCTION("""COMPUTED_VALUE"""),"Surat")</f>
        <v>Surat</v>
      </c>
      <c r="I80" s="16" t="str">
        <f>IFERROR(__xludf.DUMMYFUNCTION("""COMPUTED_VALUE"""),"Turkey")</f>
        <v>Turkey</v>
      </c>
      <c r="J80" s="16" t="str">
        <f>IFERROR(__xludf.DUMMYFUNCTION("""COMPUTED_VALUE"""),"İZMİR")</f>
        <v>İZMİR</v>
      </c>
      <c r="K80" s="17" t="str">
        <f>IFERROR(__xludf.DUMMYFUNCTION("""COMPUTED_VALUE"""),"https://expa.aiesec.org/opportunities/1288970")</f>
        <v>https://expa.aiesec.org/opportunities/1288970</v>
      </c>
      <c r="L80" s="16" t="str">
        <f>IFERROR(__xludf.DUMMYFUNCTION("""COMPUTED_VALUE"""),"GV")</f>
        <v>GV</v>
      </c>
      <c r="M80" s="16" t="str">
        <f>IFERROR(__xludf.DUMMYFUNCTION("""COMPUTED_VALUE"""),"short")</f>
        <v>short</v>
      </c>
      <c r="N80" s="18">
        <f>IFERROR(__xludf.DUMMYFUNCTION("""COMPUTED_VALUE"""),44921.0)</f>
        <v>44921</v>
      </c>
      <c r="O80" s="18">
        <f>IFERROR(__xludf.DUMMYFUNCTION("""COMPUTED_VALUE"""),45081.0)</f>
        <v>45081</v>
      </c>
      <c r="P80" s="18">
        <f>IFERROR(__xludf.DUMMYFUNCTION("""COMPUTED_VALUE"""),45123.0)</f>
        <v>45123</v>
      </c>
      <c r="Q80" s="18"/>
      <c r="R80" s="18"/>
      <c r="S80" s="16"/>
      <c r="T80" s="16"/>
      <c r="U80" s="16" t="str">
        <f>IFERROR(__xludf.DUMMYFUNCTION("""COMPUTED_VALUE"""),"Fingerprint")</f>
        <v>Fingerprint</v>
      </c>
      <c r="V80" s="16" t="str">
        <f>IFERROR(__xludf.DUMMYFUNCTION("""COMPUTED_VALUE"""),"Auro University, Surat")</f>
        <v>Auro University, Surat</v>
      </c>
      <c r="W80" s="16" t="str">
        <f>IFERROR(__xludf.DUMMYFUNCTION("""COMPUTED_VALUE"""),"2022-10-15T11:14:00Z")</f>
        <v>2022-10-15T11:14:00Z</v>
      </c>
      <c r="X80" s="16"/>
      <c r="Y80" s="16"/>
      <c r="Z80" s="16"/>
    </row>
    <row r="81">
      <c r="A81" s="16" t="str">
        <f>IFERROR(__xludf.DUMMYFUNCTION("""COMPUTED_VALUE"""),"4703280_1288991")</f>
        <v>4703280_1288991</v>
      </c>
      <c r="B81" s="16" t="str">
        <f>IFERROR(__xludf.DUMMYFUNCTION("""COMPUTED_VALUE"""),"Randy asante")</f>
        <v>Randy asante</v>
      </c>
      <c r="C81" s="16" t="str">
        <f>IFERROR(__xludf.DUMMYFUNCTION("""COMPUTED_VALUE"""),"approved")</f>
        <v>approved</v>
      </c>
      <c r="D81" s="16" t="str">
        <f>IFERROR(__xludf.DUMMYFUNCTION("""COMPUTED_VALUE"""),"No")</f>
        <v>No</v>
      </c>
      <c r="E81" s="16" t="str">
        <f>IFERROR(__xludf.DUMMYFUNCTION("""COMPUTED_VALUE"""),"p_ccb84ae7d4cf1a2e058958f437d1b2cb3076a3e0@inbound.aiesec.org")</f>
        <v>p_ccb84ae7d4cf1a2e058958f437d1b2cb3076a3e0@inbound.aiesec.org</v>
      </c>
      <c r="F81" s="16">
        <f>IFERROR(__xludf.DUMMYFUNCTION("""COMPUTED_VALUE"""),2.01545712E8)</f>
        <v>201545712</v>
      </c>
      <c r="G81" s="16" t="str">
        <f>IFERROR(__xludf.DUMMYFUNCTION("""COMPUTED_VALUE"""),"India")</f>
        <v>India</v>
      </c>
      <c r="H81" s="16" t="str">
        <f>IFERROR(__xludf.DUMMYFUNCTION("""COMPUTED_VALUE"""),"Chandigarh")</f>
        <v>Chandigarh</v>
      </c>
      <c r="I81" s="16" t="str">
        <f>IFERROR(__xludf.DUMMYFUNCTION("""COMPUTED_VALUE"""),"Turkey")</f>
        <v>Turkey</v>
      </c>
      <c r="J81" s="16" t="str">
        <f>IFERROR(__xludf.DUMMYFUNCTION("""COMPUTED_VALUE"""),"ANKARA")</f>
        <v>ANKARA</v>
      </c>
      <c r="K81" s="17" t="str">
        <f>IFERROR(__xludf.DUMMYFUNCTION("""COMPUTED_VALUE"""),"https://expa.aiesec.org/opportunities/1288991")</f>
        <v>https://expa.aiesec.org/opportunities/1288991</v>
      </c>
      <c r="L81" s="16" t="str">
        <f>IFERROR(__xludf.DUMMYFUNCTION("""COMPUTED_VALUE"""),"GV")</f>
        <v>GV</v>
      </c>
      <c r="M81" s="16" t="str">
        <f>IFERROR(__xludf.DUMMYFUNCTION("""COMPUTED_VALUE"""),"short")</f>
        <v>short</v>
      </c>
      <c r="N81" s="18">
        <f>IFERROR(__xludf.DUMMYFUNCTION("""COMPUTED_VALUE"""),44923.0)</f>
        <v>44923</v>
      </c>
      <c r="O81" s="18">
        <f>IFERROR(__xludf.DUMMYFUNCTION("""COMPUTED_VALUE"""),44938.0)</f>
        <v>44938</v>
      </c>
      <c r="P81" s="18">
        <f>IFERROR(__xludf.DUMMYFUNCTION("""COMPUTED_VALUE"""),44980.0)</f>
        <v>44980</v>
      </c>
      <c r="Q81" s="18"/>
      <c r="R81" s="18"/>
      <c r="S81" s="16"/>
      <c r="T81" s="16"/>
      <c r="U81" s="16" t="str">
        <f>IFERROR(__xludf.DUMMYFUNCTION("""COMPUTED_VALUE"""),"Green Leaders")</f>
        <v>Green Leaders</v>
      </c>
      <c r="V81" s="16" t="str">
        <f>IFERROR(__xludf.DUMMYFUNCTION("""COMPUTED_VALUE"""),"Rayat Bahra University, Mohali")</f>
        <v>Rayat Bahra University, Mohali</v>
      </c>
      <c r="W81" s="16" t="str">
        <f>IFERROR(__xludf.DUMMYFUNCTION("""COMPUTED_VALUE"""),"2021-08-03T12:50:11Z")</f>
        <v>2021-08-03T12:50:11Z</v>
      </c>
      <c r="X81" s="16"/>
      <c r="Y81" s="16"/>
      <c r="Z81" s="16"/>
    </row>
    <row r="82">
      <c r="A82" s="16" t="str">
        <f>IFERROR(__xludf.DUMMYFUNCTION("""COMPUTED_VALUE"""),"5170426_1287445")</f>
        <v>5170426_1287445</v>
      </c>
      <c r="B82" s="16" t="str">
        <f>IFERROR(__xludf.DUMMYFUNCTION("""COMPUTED_VALUE"""),"Nouran Osama")</f>
        <v>Nouran Osama</v>
      </c>
      <c r="C82" s="16" t="str">
        <f>IFERROR(__xludf.DUMMYFUNCTION("""COMPUTED_VALUE"""),"approved")</f>
        <v>approved</v>
      </c>
      <c r="D82" s="16" t="str">
        <f>IFERROR(__xludf.DUMMYFUNCTION("""COMPUTED_VALUE"""),"No")</f>
        <v>No</v>
      </c>
      <c r="E82" s="16" t="str">
        <f>IFERROR(__xludf.DUMMYFUNCTION("""COMPUTED_VALUE"""),"p_c63f8611940877c752768f2f73da1a4da03e2516@inbound.aiesec.org")</f>
        <v>p_c63f8611940877c752768f2f73da1a4da03e2516@inbound.aiesec.org</v>
      </c>
      <c r="F82" s="16">
        <f>IFERROR(__xludf.DUMMYFUNCTION("""COMPUTED_VALUE"""),1.093169849E9)</f>
        <v>1093169849</v>
      </c>
      <c r="G82" s="16" t="str">
        <f>IFERROR(__xludf.DUMMYFUNCTION("""COMPUTED_VALUE"""),"Egypt")</f>
        <v>Egypt</v>
      </c>
      <c r="H82" s="16" t="str">
        <f>IFERROR(__xludf.DUMMYFUNCTION("""COMPUTED_VALUE"""),"Cairo University")</f>
        <v>Cairo University</v>
      </c>
      <c r="I82" s="16" t="str">
        <f>IFERROR(__xludf.DUMMYFUNCTION("""COMPUTED_VALUE"""),"Turkey")</f>
        <v>Turkey</v>
      </c>
      <c r="J82" s="16" t="str">
        <f>IFERROR(__xludf.DUMMYFUNCTION("""COMPUTED_VALUE"""),"SAKARYA")</f>
        <v>SAKARYA</v>
      </c>
      <c r="K82" s="17" t="str">
        <f>IFERROR(__xludf.DUMMYFUNCTION("""COMPUTED_VALUE"""),"https://expa.aiesec.org/opportunities/1287445")</f>
        <v>https://expa.aiesec.org/opportunities/1287445</v>
      </c>
      <c r="L82" s="16" t="str">
        <f>IFERROR(__xludf.DUMMYFUNCTION("""COMPUTED_VALUE"""),"GV")</f>
        <v>GV</v>
      </c>
      <c r="M82" s="16" t="str">
        <f>IFERROR(__xludf.DUMMYFUNCTION("""COMPUTED_VALUE"""),"short")</f>
        <v>short</v>
      </c>
      <c r="N82" s="18">
        <f>IFERROR(__xludf.DUMMYFUNCTION("""COMPUTED_VALUE"""),44925.0)</f>
        <v>44925</v>
      </c>
      <c r="O82" s="18">
        <f>IFERROR(__xludf.DUMMYFUNCTION("""COMPUTED_VALUE"""),44970.0)</f>
        <v>44970</v>
      </c>
      <c r="P82" s="18">
        <f>IFERROR(__xludf.DUMMYFUNCTION("""COMPUTED_VALUE"""),45012.0)</f>
        <v>45012</v>
      </c>
      <c r="Q82" s="18"/>
      <c r="R82" s="18"/>
      <c r="S82" s="16"/>
      <c r="T82" s="16"/>
      <c r="U82" s="16" t="str">
        <f>IFERROR(__xludf.DUMMYFUNCTION("""COMPUTED_VALUE"""),"Global Classroom")</f>
        <v>Global Classroom</v>
      </c>
      <c r="V82" s="16" t="str">
        <f>IFERROR(__xludf.DUMMYFUNCTION("""COMPUTED_VALUE"""),"Cairo Univeristy")</f>
        <v>Cairo Univeristy</v>
      </c>
      <c r="W82" s="16" t="str">
        <f>IFERROR(__xludf.DUMMYFUNCTION("""COMPUTED_VALUE"""),"2022-12-26T18:09:20Z")</f>
        <v>2022-12-26T18:09:20Z</v>
      </c>
      <c r="X82" s="16"/>
      <c r="Y82" s="16"/>
      <c r="Z82" s="16"/>
    </row>
    <row r="83">
      <c r="A83" s="16" t="str">
        <f>IFERROR(__xludf.DUMMYFUNCTION("""COMPUTED_VALUE"""),"3828170_1289347")</f>
        <v>3828170_1289347</v>
      </c>
      <c r="B83" s="16" t="str">
        <f>IFERROR(__xludf.DUMMYFUNCTION("""COMPUTED_VALUE"""),"Stacey Giselle Coutinho")</f>
        <v>Stacey Giselle Coutinho</v>
      </c>
      <c r="C83" s="16" t="str">
        <f>IFERROR(__xludf.DUMMYFUNCTION("""COMPUTED_VALUE"""),"approved")</f>
        <v>approved</v>
      </c>
      <c r="D83" s="16" t="str">
        <f>IFERROR(__xludf.DUMMYFUNCTION("""COMPUTED_VALUE"""),"No")</f>
        <v>No</v>
      </c>
      <c r="E83" s="16" t="str">
        <f>IFERROR(__xludf.DUMMYFUNCTION("""COMPUTED_VALUE"""),"p_7782674f4e7af9129b9f22b1c7e2c85f029d8e20@inbound.aiesec.org")</f>
        <v>p_7782674f4e7af9129b9f22b1c7e2c85f029d8e20@inbound.aiesec.org</v>
      </c>
      <c r="F83" s="16">
        <f>IFERROR(__xludf.DUMMYFUNCTION("""COMPUTED_VALUE"""),9.742067693E9)</f>
        <v>9742067693</v>
      </c>
      <c r="G83" s="16" t="str">
        <f>IFERROR(__xludf.DUMMYFUNCTION("""COMPUTED_VALUE"""),"India")</f>
        <v>India</v>
      </c>
      <c r="H83" s="16" t="str">
        <f>IFERROR(__xludf.DUMMYFUNCTION("""COMPUTED_VALUE"""),"Bengaluru")</f>
        <v>Bengaluru</v>
      </c>
      <c r="I83" s="16" t="str">
        <f>IFERROR(__xludf.DUMMYFUNCTION("""COMPUTED_VALUE"""),"Turkey")</f>
        <v>Turkey</v>
      </c>
      <c r="J83" s="16" t="str">
        <f>IFERROR(__xludf.DUMMYFUNCTION("""COMPUTED_VALUE"""),"ADANA")</f>
        <v>ADANA</v>
      </c>
      <c r="K83" s="17" t="str">
        <f>IFERROR(__xludf.DUMMYFUNCTION("""COMPUTED_VALUE"""),"https://expa.aiesec.org/opportunities/1289347")</f>
        <v>https://expa.aiesec.org/opportunities/1289347</v>
      </c>
      <c r="L83" s="16" t="str">
        <f>IFERROR(__xludf.DUMMYFUNCTION("""COMPUTED_VALUE"""),"GV")</f>
        <v>GV</v>
      </c>
      <c r="M83" s="16" t="str">
        <f>IFERROR(__xludf.DUMMYFUNCTION("""COMPUTED_VALUE"""),"short")</f>
        <v>short</v>
      </c>
      <c r="N83" s="18">
        <f>IFERROR(__xludf.DUMMYFUNCTION("""COMPUTED_VALUE"""),44926.0)</f>
        <v>44926</v>
      </c>
      <c r="O83" s="18">
        <f>IFERROR(__xludf.DUMMYFUNCTION("""COMPUTED_VALUE"""),45103.0)</f>
        <v>45103</v>
      </c>
      <c r="P83" s="18">
        <f>IFERROR(__xludf.DUMMYFUNCTION("""COMPUTED_VALUE"""),45149.0)</f>
        <v>45149</v>
      </c>
      <c r="Q83" s="18"/>
      <c r="R83" s="18"/>
      <c r="S83" s="16"/>
      <c r="T83" s="16"/>
      <c r="U83" s="16" t="str">
        <f>IFERROR(__xludf.DUMMYFUNCTION("""COMPUTED_VALUE"""),"Global Classroom")</f>
        <v>Global Classroom</v>
      </c>
      <c r="V83" s="16" t="str">
        <f>IFERROR(__xludf.DUMMYFUNCTION("""COMPUTED_VALUE"""),"Christ University (Main Campus), Bangalore")</f>
        <v>Christ University (Main Campus), Bangalore</v>
      </c>
      <c r="W83" s="16" t="str">
        <f>IFERROR(__xludf.DUMMYFUNCTION("""COMPUTED_VALUE"""),"2019-09-12T10:34:40Z")</f>
        <v>2019-09-12T10:34:40Z</v>
      </c>
      <c r="X83" s="16"/>
      <c r="Y83" s="16"/>
      <c r="Z83" s="16"/>
    </row>
    <row r="84">
      <c r="A84" s="16" t="str">
        <f>IFERROR(__xludf.DUMMYFUNCTION("""COMPUTED_VALUE"""),"5167917_1289347")</f>
        <v>5167917_1289347</v>
      </c>
      <c r="B84" s="16" t="str">
        <f>IFERROR(__xludf.DUMMYFUNCTION("""COMPUTED_VALUE"""),"Dawn Kuttaiah")</f>
        <v>Dawn Kuttaiah</v>
      </c>
      <c r="C84" s="16" t="str">
        <f>IFERROR(__xludf.DUMMYFUNCTION("""COMPUTED_VALUE"""),"approved")</f>
        <v>approved</v>
      </c>
      <c r="D84" s="16" t="str">
        <f>IFERROR(__xludf.DUMMYFUNCTION("""COMPUTED_VALUE"""),"No")</f>
        <v>No</v>
      </c>
      <c r="E84" s="16" t="str">
        <f>IFERROR(__xludf.DUMMYFUNCTION("""COMPUTED_VALUE"""),"p_fe84a19962221a5334d54fbef846639ad4223987@inbound.aiesec.org")</f>
        <v>p_fe84a19962221a5334d54fbef846639ad4223987@inbound.aiesec.org</v>
      </c>
      <c r="F84" s="16">
        <f>IFERROR(__xludf.DUMMYFUNCTION("""COMPUTED_VALUE"""),8.762430199E9)</f>
        <v>8762430199</v>
      </c>
      <c r="G84" s="16" t="str">
        <f>IFERROR(__xludf.DUMMYFUNCTION("""COMPUTED_VALUE"""),"India")</f>
        <v>India</v>
      </c>
      <c r="H84" s="16" t="str">
        <f>IFERROR(__xludf.DUMMYFUNCTION("""COMPUTED_VALUE"""),"Bengaluru")</f>
        <v>Bengaluru</v>
      </c>
      <c r="I84" s="16" t="str">
        <f>IFERROR(__xludf.DUMMYFUNCTION("""COMPUTED_VALUE"""),"Turkey")</f>
        <v>Turkey</v>
      </c>
      <c r="J84" s="16" t="str">
        <f>IFERROR(__xludf.DUMMYFUNCTION("""COMPUTED_VALUE"""),"ADANA")</f>
        <v>ADANA</v>
      </c>
      <c r="K84" s="17" t="str">
        <f>IFERROR(__xludf.DUMMYFUNCTION("""COMPUTED_VALUE"""),"https://expa.aiesec.org/opportunities/1289347")</f>
        <v>https://expa.aiesec.org/opportunities/1289347</v>
      </c>
      <c r="L84" s="16" t="str">
        <f>IFERROR(__xludf.DUMMYFUNCTION("""COMPUTED_VALUE"""),"GV")</f>
        <v>GV</v>
      </c>
      <c r="M84" s="16" t="str">
        <f>IFERROR(__xludf.DUMMYFUNCTION("""COMPUTED_VALUE"""),"short")</f>
        <v>short</v>
      </c>
      <c r="N84" s="18">
        <f>IFERROR(__xludf.DUMMYFUNCTION("""COMPUTED_VALUE"""),44926.0)</f>
        <v>44926</v>
      </c>
      <c r="O84" s="18">
        <f>IFERROR(__xludf.DUMMYFUNCTION("""COMPUTED_VALUE"""),45103.0)</f>
        <v>45103</v>
      </c>
      <c r="P84" s="18">
        <f>IFERROR(__xludf.DUMMYFUNCTION("""COMPUTED_VALUE"""),45149.0)</f>
        <v>45149</v>
      </c>
      <c r="Q84" s="18"/>
      <c r="R84" s="18"/>
      <c r="S84" s="16"/>
      <c r="T84" s="16"/>
      <c r="U84" s="16" t="str">
        <f>IFERROR(__xludf.DUMMYFUNCTION("""COMPUTED_VALUE"""),"Global Classroom")</f>
        <v>Global Classroom</v>
      </c>
      <c r="V84" s="16" t="str">
        <f>IFERROR(__xludf.DUMMYFUNCTION("""COMPUTED_VALUE"""),"Bangalore")</f>
        <v>Bangalore</v>
      </c>
      <c r="W84" s="16" t="str">
        <f>IFERROR(__xludf.DUMMYFUNCTION("""COMPUTED_VALUE"""),"2022-12-19T14:08:01Z")</f>
        <v>2022-12-19T14:08:01Z</v>
      </c>
      <c r="X84" s="16"/>
      <c r="Y84" s="16"/>
      <c r="Z84" s="16"/>
    </row>
    <row r="85">
      <c r="A85" s="16" t="str">
        <f>IFERROR(__xludf.DUMMYFUNCTION("""COMPUTED_VALUE"""),"4426836_1285713")</f>
        <v>4426836_1285713</v>
      </c>
      <c r="B85" s="16" t="str">
        <f>IFERROR(__xludf.DUMMYFUNCTION("""COMPUTED_VALUE"""),"Ujjwal Vasudevan Ujjwal Vasudevan")</f>
        <v>Ujjwal Vasudevan Ujjwal Vasudevan</v>
      </c>
      <c r="C85" s="16" t="str">
        <f>IFERROR(__xludf.DUMMYFUNCTION("""COMPUTED_VALUE"""),"approved")</f>
        <v>approved</v>
      </c>
      <c r="D85" s="16" t="str">
        <f>IFERROR(__xludf.DUMMYFUNCTION("""COMPUTED_VALUE"""),"No")</f>
        <v>No</v>
      </c>
      <c r="E85" s="16" t="str">
        <f>IFERROR(__xludf.DUMMYFUNCTION("""COMPUTED_VALUE"""),"p_2c28bd2ec5a24b84e39abc65511c8d18857f95bb@inbound.aiesec.org")</f>
        <v>p_2c28bd2ec5a24b84e39abc65511c8d18857f95bb@inbound.aiesec.org</v>
      </c>
      <c r="F85" s="16">
        <f>IFERROR(__xludf.DUMMYFUNCTION("""COMPUTED_VALUE"""),9.78627176E8)</f>
        <v>978627176</v>
      </c>
      <c r="G85" s="16" t="str">
        <f>IFERROR(__xludf.DUMMYFUNCTION("""COMPUTED_VALUE"""),"India")</f>
        <v>India</v>
      </c>
      <c r="H85" s="16" t="str">
        <f>IFERROR(__xludf.DUMMYFUNCTION("""COMPUTED_VALUE"""),"Bengaluru")</f>
        <v>Bengaluru</v>
      </c>
      <c r="I85" s="16" t="str">
        <f>IFERROR(__xludf.DUMMYFUNCTION("""COMPUTED_VALUE"""),"Turkey")</f>
        <v>Turkey</v>
      </c>
      <c r="J85" s="16" t="str">
        <f>IFERROR(__xludf.DUMMYFUNCTION("""COMPUTED_VALUE"""),"ISTANBUL")</f>
        <v>ISTANBUL</v>
      </c>
      <c r="K85" s="17" t="str">
        <f>IFERROR(__xludf.DUMMYFUNCTION("""COMPUTED_VALUE"""),"https://expa.aiesec.org/opportunities/1285713")</f>
        <v>https://expa.aiesec.org/opportunities/1285713</v>
      </c>
      <c r="L85" s="16" t="str">
        <f>IFERROR(__xludf.DUMMYFUNCTION("""COMPUTED_VALUE"""),"GV")</f>
        <v>GV</v>
      </c>
      <c r="M85" s="16" t="str">
        <f>IFERROR(__xludf.DUMMYFUNCTION("""COMPUTED_VALUE"""),"short")</f>
        <v>short</v>
      </c>
      <c r="N85" s="18">
        <f>IFERROR(__xludf.DUMMYFUNCTION("""COMPUTED_VALUE"""),44926.0)</f>
        <v>44926</v>
      </c>
      <c r="O85" s="18">
        <f>IFERROR(__xludf.DUMMYFUNCTION("""COMPUTED_VALUE"""),45117.0)</f>
        <v>45117</v>
      </c>
      <c r="P85" s="18">
        <f>IFERROR(__xludf.DUMMYFUNCTION("""COMPUTED_VALUE"""),45159.0)</f>
        <v>45159</v>
      </c>
      <c r="Q85" s="18"/>
      <c r="R85" s="18"/>
      <c r="S85" s="16"/>
      <c r="T85" s="16"/>
      <c r="U85" s="16" t="str">
        <f>IFERROR(__xludf.DUMMYFUNCTION("""COMPUTED_VALUE"""),"Heartbeat")</f>
        <v>Heartbeat</v>
      </c>
      <c r="V85" s="16" t="str">
        <f>IFERROR(__xludf.DUMMYFUNCTION("""COMPUTED_VALUE"""),"Christ University (Bannerghatta Campus), Bangalore")</f>
        <v>Christ University (Bannerghatta Campus), Bangalore</v>
      </c>
      <c r="W85" s="16" t="str">
        <f>IFERROR(__xludf.DUMMYFUNCTION("""COMPUTED_VALUE"""),"2020-11-17T03:28:08Z")</f>
        <v>2020-11-17T03:28:08Z</v>
      </c>
      <c r="X85" s="16"/>
      <c r="Y85" s="16"/>
      <c r="Z85" s="16"/>
    </row>
    <row r="86">
      <c r="A86" s="16" t="str">
        <f>IFERROR(__xludf.DUMMYFUNCTION("""COMPUTED_VALUE"""),"5166985_1279126")</f>
        <v>5166985_1279126</v>
      </c>
      <c r="B86" s="16" t="str">
        <f>IFERROR(__xludf.DUMMYFUNCTION("""COMPUTED_VALUE"""),"Andreea Minea")</f>
        <v>Andreea Minea</v>
      </c>
      <c r="C86" s="16" t="str">
        <f>IFERROR(__xludf.DUMMYFUNCTION("""COMPUTED_VALUE"""),"approved")</f>
        <v>approved</v>
      </c>
      <c r="D86" s="16" t="str">
        <f>IFERROR(__xludf.DUMMYFUNCTION("""COMPUTED_VALUE"""),"No")</f>
        <v>No</v>
      </c>
      <c r="E86" s="16" t="str">
        <f>IFERROR(__xludf.DUMMYFUNCTION("""COMPUTED_VALUE"""),"p_33852283c18d491a36b60024c5ab6a6933931189@inbound.aiesec.org")</f>
        <v>p_33852283c18d491a36b60024c5ab6a6933931189@inbound.aiesec.org</v>
      </c>
      <c r="F86" s="16">
        <f>IFERROR(__xludf.DUMMYFUNCTION("""COMPUTED_VALUE"""),7.71676033E8)</f>
        <v>771676033</v>
      </c>
      <c r="G86" s="16" t="str">
        <f>IFERROR(__xludf.DUMMYFUNCTION("""COMPUTED_VALUE"""),"Romania")</f>
        <v>Romania</v>
      </c>
      <c r="H86" s="16" t="str">
        <f>IFERROR(__xludf.DUMMYFUNCTION("""COMPUTED_VALUE"""),"BUCURESTI")</f>
        <v>BUCURESTI</v>
      </c>
      <c r="I86" s="16" t="str">
        <f>IFERROR(__xludf.DUMMYFUNCTION("""COMPUTED_VALUE"""),"Turkey")</f>
        <v>Turkey</v>
      </c>
      <c r="J86" s="16" t="str">
        <f>IFERROR(__xludf.DUMMYFUNCTION("""COMPUTED_VALUE"""),"KOCAELI")</f>
        <v>KOCAELI</v>
      </c>
      <c r="K86" s="17" t="str">
        <f>IFERROR(__xludf.DUMMYFUNCTION("""COMPUTED_VALUE"""),"https://expa.aiesec.org/opportunities/1279126")</f>
        <v>https://expa.aiesec.org/opportunities/1279126</v>
      </c>
      <c r="L86" s="16" t="str">
        <f>IFERROR(__xludf.DUMMYFUNCTION("""COMPUTED_VALUE"""),"GV")</f>
        <v>GV</v>
      </c>
      <c r="M86" s="16" t="str">
        <f>IFERROR(__xludf.DUMMYFUNCTION("""COMPUTED_VALUE"""),"short")</f>
        <v>short</v>
      </c>
      <c r="N86" s="18">
        <f>IFERROR(__xludf.DUMMYFUNCTION("""COMPUTED_VALUE"""),44930.0)</f>
        <v>44930</v>
      </c>
      <c r="O86" s="18">
        <f>IFERROR(__xludf.DUMMYFUNCTION("""COMPUTED_VALUE"""),45110.0)</f>
        <v>45110</v>
      </c>
      <c r="P86" s="18">
        <f>IFERROR(__xludf.DUMMYFUNCTION("""COMPUTED_VALUE"""),45152.0)</f>
        <v>45152</v>
      </c>
      <c r="Q86" s="18"/>
      <c r="R86" s="18"/>
      <c r="S86" s="16"/>
      <c r="T86" s="16"/>
      <c r="U86" s="16" t="str">
        <f>IFERROR(__xludf.DUMMYFUNCTION("""COMPUTED_VALUE"""),"Global Classroom")</f>
        <v>Global Classroom</v>
      </c>
      <c r="V86" s="16" t="str">
        <f>IFERROR(__xludf.DUMMYFUNCTION("""COMPUTED_VALUE"""),"Ploiesti")</f>
        <v>Ploiesti</v>
      </c>
      <c r="W86" s="16" t="str">
        <f>IFERROR(__xludf.DUMMYFUNCTION("""COMPUTED_VALUE"""),"2022-12-16T18:14:14Z")</f>
        <v>2022-12-16T18:14:14Z</v>
      </c>
      <c r="X86" s="16"/>
      <c r="Y86" s="16"/>
      <c r="Z86" s="16"/>
    </row>
    <row r="87">
      <c r="A87" s="16" t="str">
        <f>IFERROR(__xludf.DUMMYFUNCTION("""COMPUTED_VALUE"""),"4530311_1291055")</f>
        <v>4530311_1291055</v>
      </c>
      <c r="B87" s="16" t="str">
        <f>IFERROR(__xludf.DUMMYFUNCTION("""COMPUTED_VALUE"""),"Rasika Gharpure")</f>
        <v>Rasika Gharpure</v>
      </c>
      <c r="C87" s="16" t="str">
        <f>IFERROR(__xludf.DUMMYFUNCTION("""COMPUTED_VALUE"""),"approved")</f>
        <v>approved</v>
      </c>
      <c r="D87" s="16" t="str">
        <f>IFERROR(__xludf.DUMMYFUNCTION("""COMPUTED_VALUE"""),"No")</f>
        <v>No</v>
      </c>
      <c r="E87" s="16" t="str">
        <f>IFERROR(__xludf.DUMMYFUNCTION("""COMPUTED_VALUE"""),"p_5a82eafe47693091f8a294a96224711ab0b1fb79@inbound.aiesec.org")</f>
        <v>p_5a82eafe47693091f8a294a96224711ab0b1fb79@inbound.aiesec.org</v>
      </c>
      <c r="F87" s="16">
        <f>IFERROR(__xludf.DUMMYFUNCTION("""COMPUTED_VALUE"""),9.765731171E9)</f>
        <v>9765731171</v>
      </c>
      <c r="G87" s="16" t="str">
        <f>IFERROR(__xludf.DUMMYFUNCTION("""COMPUTED_VALUE"""),"India")</f>
        <v>India</v>
      </c>
      <c r="H87" s="16" t="str">
        <f>IFERROR(__xludf.DUMMYFUNCTION("""COMPUTED_VALUE"""),"Pune")</f>
        <v>Pune</v>
      </c>
      <c r="I87" s="16" t="str">
        <f>IFERROR(__xludf.DUMMYFUNCTION("""COMPUTED_VALUE"""),"Turkey")</f>
        <v>Turkey</v>
      </c>
      <c r="J87" s="16" t="str">
        <f>IFERROR(__xludf.DUMMYFUNCTION("""COMPUTED_VALUE"""),"SAKARYA")</f>
        <v>SAKARYA</v>
      </c>
      <c r="K87" s="17" t="str">
        <f>IFERROR(__xludf.DUMMYFUNCTION("""COMPUTED_VALUE"""),"https://expa.aiesec.org/opportunities/1291055")</f>
        <v>https://expa.aiesec.org/opportunities/1291055</v>
      </c>
      <c r="L87" s="16" t="str">
        <f>IFERROR(__xludf.DUMMYFUNCTION("""COMPUTED_VALUE"""),"GV")</f>
        <v>GV</v>
      </c>
      <c r="M87" s="16" t="str">
        <f>IFERROR(__xludf.DUMMYFUNCTION("""COMPUTED_VALUE"""),"short")</f>
        <v>short</v>
      </c>
      <c r="N87" s="18">
        <f>IFERROR(__xludf.DUMMYFUNCTION("""COMPUTED_VALUE"""),44936.0)</f>
        <v>44936</v>
      </c>
      <c r="O87" s="18">
        <f>IFERROR(__xludf.DUMMYFUNCTION("""COMPUTED_VALUE"""),45116.0)</f>
        <v>45116</v>
      </c>
      <c r="P87" s="18">
        <f>IFERROR(__xludf.DUMMYFUNCTION("""COMPUTED_VALUE"""),45163.0)</f>
        <v>45163</v>
      </c>
      <c r="Q87" s="18"/>
      <c r="R87" s="18"/>
      <c r="S87" s="16"/>
      <c r="T87" s="16"/>
      <c r="U87" s="16" t="str">
        <f>IFERROR(__xludf.DUMMYFUNCTION("""COMPUTED_VALUE"""),"Youth 4 Impact")</f>
        <v>Youth 4 Impact</v>
      </c>
      <c r="V87" s="16" t="str">
        <f>IFERROR(__xludf.DUMMYFUNCTION("""COMPUTED_VALUE"""),"BMCC, Pune")</f>
        <v>BMCC, Pune</v>
      </c>
      <c r="W87" s="16" t="str">
        <f>IFERROR(__xludf.DUMMYFUNCTION("""COMPUTED_VALUE"""),"2021-02-01T21:46:03Z")</f>
        <v>2021-02-01T21:46:03Z</v>
      </c>
      <c r="X87" s="16"/>
      <c r="Y87" s="16"/>
      <c r="Z87" s="16"/>
    </row>
    <row r="88">
      <c r="A88" s="16" t="str">
        <f>IFERROR(__xludf.DUMMYFUNCTION("""COMPUTED_VALUE"""),"5174327_1291634")</f>
        <v>5174327_1291634</v>
      </c>
      <c r="B88" s="16" t="str">
        <f>IFERROR(__xludf.DUMMYFUNCTION("""COMPUTED_VALUE"""),"Ali Sameh Mousa")</f>
        <v>Ali Sameh Mousa</v>
      </c>
      <c r="C88" s="16" t="str">
        <f>IFERROR(__xludf.DUMMYFUNCTION("""COMPUTED_VALUE"""),"approved")</f>
        <v>approved</v>
      </c>
      <c r="D88" s="16" t="str">
        <f>IFERROR(__xludf.DUMMYFUNCTION("""COMPUTED_VALUE"""),"No")</f>
        <v>No</v>
      </c>
      <c r="E88" s="16" t="str">
        <f>IFERROR(__xludf.DUMMYFUNCTION("""COMPUTED_VALUE"""),"p_491429fc0e84fce3dd40137290b683c92de0b662@inbound.aiesec.org")</f>
        <v>p_491429fc0e84fce3dd40137290b683c92de0b662@inbound.aiesec.org</v>
      </c>
      <c r="F88" s="16">
        <f>IFERROR(__xludf.DUMMYFUNCTION("""COMPUTED_VALUE"""),1.013632142E9)</f>
        <v>1013632142</v>
      </c>
      <c r="G88" s="16" t="str">
        <f>IFERROR(__xludf.DUMMYFUNCTION("""COMPUTED_VALUE"""),"Egypt")</f>
        <v>Egypt</v>
      </c>
      <c r="H88" s="16" t="str">
        <f>IFERROR(__xludf.DUMMYFUNCTION("""COMPUTED_VALUE"""),"AAST In CAIRO")</f>
        <v>AAST In CAIRO</v>
      </c>
      <c r="I88" s="16" t="str">
        <f>IFERROR(__xludf.DUMMYFUNCTION("""COMPUTED_VALUE"""),"Turkey")</f>
        <v>Turkey</v>
      </c>
      <c r="J88" s="16" t="str">
        <f>IFERROR(__xludf.DUMMYFUNCTION("""COMPUTED_VALUE"""),"İZMİR")</f>
        <v>İZMİR</v>
      </c>
      <c r="K88" s="17" t="str">
        <f>IFERROR(__xludf.DUMMYFUNCTION("""COMPUTED_VALUE"""),"https://expa.aiesec.org/opportunities/1291634")</f>
        <v>https://expa.aiesec.org/opportunities/1291634</v>
      </c>
      <c r="L88" s="16" t="str">
        <f>IFERROR(__xludf.DUMMYFUNCTION("""COMPUTED_VALUE"""),"GV")</f>
        <v>GV</v>
      </c>
      <c r="M88" s="16" t="str">
        <f>IFERROR(__xludf.DUMMYFUNCTION("""COMPUTED_VALUE"""),"short")</f>
        <v>short</v>
      </c>
      <c r="N88" s="18">
        <f>IFERROR(__xludf.DUMMYFUNCTION("""COMPUTED_VALUE"""),44939.0)</f>
        <v>44939</v>
      </c>
      <c r="O88" s="18">
        <f>IFERROR(__xludf.DUMMYFUNCTION("""COMPUTED_VALUE"""),45110.0)</f>
        <v>45110</v>
      </c>
      <c r="P88" s="18">
        <f>IFERROR(__xludf.DUMMYFUNCTION("""COMPUTED_VALUE"""),45152.0)</f>
        <v>45152</v>
      </c>
      <c r="Q88" s="18"/>
      <c r="R88" s="18"/>
      <c r="S88" s="16"/>
      <c r="T88" s="16"/>
      <c r="U88" s="16" t="str">
        <f>IFERROR(__xludf.DUMMYFUNCTION("""COMPUTED_VALUE"""),"Fingerprint")</f>
        <v>Fingerprint</v>
      </c>
      <c r="V88" s="16" t="str">
        <f>IFERROR(__xludf.DUMMYFUNCTION("""COMPUTED_VALUE"""),"AAST in Cairo Univeristy")</f>
        <v>AAST in Cairo Univeristy</v>
      </c>
      <c r="W88" s="16" t="str">
        <f>IFERROR(__xludf.DUMMYFUNCTION("""COMPUTED_VALUE"""),"2023-01-08T14:20:22Z")</f>
        <v>2023-01-08T14:20:22Z</v>
      </c>
      <c r="X88" s="16"/>
      <c r="Y88" s="16"/>
      <c r="Z88" s="16"/>
    </row>
    <row r="89">
      <c r="A89" s="16" t="str">
        <f>IFERROR(__xludf.DUMMYFUNCTION("""COMPUTED_VALUE"""),"5137075_1288582")</f>
        <v>5137075_1288582</v>
      </c>
      <c r="B89" s="16" t="str">
        <f>IFERROR(__xludf.DUMMYFUNCTION("""COMPUTED_VALUE"""),"Nour Khaled")</f>
        <v>Nour Khaled</v>
      </c>
      <c r="C89" s="16" t="str">
        <f>IFERROR(__xludf.DUMMYFUNCTION("""COMPUTED_VALUE"""),"approved")</f>
        <v>approved</v>
      </c>
      <c r="D89" s="16" t="str">
        <f>IFERROR(__xludf.DUMMYFUNCTION("""COMPUTED_VALUE"""),"No")</f>
        <v>No</v>
      </c>
      <c r="E89" s="16" t="str">
        <f>IFERROR(__xludf.DUMMYFUNCTION("""COMPUTED_VALUE"""),"p_191f116b5756acbc0bfe15678bfc2a30990ad94a@inbound.aiesec.org")</f>
        <v>p_191f116b5756acbc0bfe15678bfc2a30990ad94a@inbound.aiesec.org</v>
      </c>
      <c r="F89" s="16">
        <f>IFERROR(__xludf.DUMMYFUNCTION("""COMPUTED_VALUE"""),1.117281431E9)</f>
        <v>1117281431</v>
      </c>
      <c r="G89" s="16" t="str">
        <f>IFERROR(__xludf.DUMMYFUNCTION("""COMPUTED_VALUE"""),"Egypt")</f>
        <v>Egypt</v>
      </c>
      <c r="H89" s="16" t="str">
        <f>IFERROR(__xludf.DUMMYFUNCTION("""COMPUTED_VALUE"""),"Helwan")</f>
        <v>Helwan</v>
      </c>
      <c r="I89" s="16" t="str">
        <f>IFERROR(__xludf.DUMMYFUNCTION("""COMPUTED_VALUE"""),"Turkey")</f>
        <v>Turkey</v>
      </c>
      <c r="J89" s="16" t="str">
        <f>IFERROR(__xludf.DUMMYFUNCTION("""COMPUTED_VALUE"""),"GAZIANTEP")</f>
        <v>GAZIANTEP</v>
      </c>
      <c r="K89" s="17" t="str">
        <f>IFERROR(__xludf.DUMMYFUNCTION("""COMPUTED_VALUE"""),"https://expa.aiesec.org/opportunities/1288582")</f>
        <v>https://expa.aiesec.org/opportunities/1288582</v>
      </c>
      <c r="L89" s="16" t="str">
        <f>IFERROR(__xludf.DUMMYFUNCTION("""COMPUTED_VALUE"""),"GV")</f>
        <v>GV</v>
      </c>
      <c r="M89" s="16" t="str">
        <f>IFERROR(__xludf.DUMMYFUNCTION("""COMPUTED_VALUE"""),"short")</f>
        <v>short</v>
      </c>
      <c r="N89" s="18">
        <f>IFERROR(__xludf.DUMMYFUNCTION("""COMPUTED_VALUE"""),44942.0)</f>
        <v>44942</v>
      </c>
      <c r="O89" s="18">
        <f>IFERROR(__xludf.DUMMYFUNCTION("""COMPUTED_VALUE"""),45097.0)</f>
        <v>45097</v>
      </c>
      <c r="P89" s="18">
        <f>IFERROR(__xludf.DUMMYFUNCTION("""COMPUTED_VALUE"""),45139.0)</f>
        <v>45139</v>
      </c>
      <c r="Q89" s="18"/>
      <c r="R89" s="18"/>
      <c r="S89" s="16"/>
      <c r="T89" s="16"/>
      <c r="U89" s="16" t="str">
        <f>IFERROR(__xludf.DUMMYFUNCTION("""COMPUTED_VALUE"""),"Global Classroom")</f>
        <v>Global Classroom</v>
      </c>
      <c r="V89" s="16" t="str">
        <f>IFERROR(__xludf.DUMMYFUNCTION("""COMPUTED_VALUE"""),"Helwan University")</f>
        <v>Helwan University</v>
      </c>
      <c r="W89" s="16" t="str">
        <f>IFERROR(__xludf.DUMMYFUNCTION("""COMPUTED_VALUE"""),"2022-10-19T18:44:13Z")</f>
        <v>2022-10-19T18:44:13Z</v>
      </c>
      <c r="X89" s="16"/>
      <c r="Y89" s="16"/>
      <c r="Z89" s="16"/>
    </row>
    <row r="90">
      <c r="A90" s="16" t="str">
        <f>IFERROR(__xludf.DUMMYFUNCTION("""COMPUTED_VALUE"""),"5170717_1285713")</f>
        <v>5170717_1285713</v>
      </c>
      <c r="B90" s="16" t="str">
        <f>IFERROR(__xludf.DUMMYFUNCTION("""COMPUTED_VALUE"""),"Cahan Huseynli")</f>
        <v>Cahan Huseynli</v>
      </c>
      <c r="C90" s="16" t="str">
        <f>IFERROR(__xludf.DUMMYFUNCTION("""COMPUTED_VALUE"""),"approved")</f>
        <v>approved</v>
      </c>
      <c r="D90" s="16" t="str">
        <f>IFERROR(__xludf.DUMMYFUNCTION("""COMPUTED_VALUE"""),"No")</f>
        <v>No</v>
      </c>
      <c r="E90" s="16" t="str">
        <f>IFERROR(__xludf.DUMMYFUNCTION("""COMPUTED_VALUE"""),"p_5a9662cf6370af69dc936d542017bc3461c082b1@inbound.aiesec.org")</f>
        <v>p_5a9662cf6370af69dc936d542017bc3461c082b1@inbound.aiesec.org</v>
      </c>
      <c r="F90" s="16">
        <f>IFERROR(__xludf.DUMMYFUNCTION("""COMPUTED_VALUE"""),5.0777221E8)</f>
        <v>507772210</v>
      </c>
      <c r="G90" s="16" t="str">
        <f>IFERROR(__xludf.DUMMYFUNCTION("""COMPUTED_VALUE"""),"Azerbaijan")</f>
        <v>Azerbaijan</v>
      </c>
      <c r="H90" s="16" t="str">
        <f>IFERROR(__xludf.DUMMYFUNCTION("""COMPUTED_VALUE"""),"Baku Qafqaz")</f>
        <v>Baku Qafqaz</v>
      </c>
      <c r="I90" s="16" t="str">
        <f>IFERROR(__xludf.DUMMYFUNCTION("""COMPUTED_VALUE"""),"Turkey")</f>
        <v>Turkey</v>
      </c>
      <c r="J90" s="16" t="str">
        <f>IFERROR(__xludf.DUMMYFUNCTION("""COMPUTED_VALUE"""),"ISTANBUL")</f>
        <v>ISTANBUL</v>
      </c>
      <c r="K90" s="17" t="str">
        <f>IFERROR(__xludf.DUMMYFUNCTION("""COMPUTED_VALUE"""),"https://expa.aiesec.org/opportunities/1285713")</f>
        <v>https://expa.aiesec.org/opportunities/1285713</v>
      </c>
      <c r="L90" s="16" t="str">
        <f>IFERROR(__xludf.DUMMYFUNCTION("""COMPUTED_VALUE"""),"GV")</f>
        <v>GV</v>
      </c>
      <c r="M90" s="16" t="str">
        <f>IFERROR(__xludf.DUMMYFUNCTION("""COMPUTED_VALUE"""),"short")</f>
        <v>short</v>
      </c>
      <c r="N90" s="18">
        <f>IFERROR(__xludf.DUMMYFUNCTION("""COMPUTED_VALUE"""),44945.0)</f>
        <v>44945</v>
      </c>
      <c r="O90" s="18">
        <f>IFERROR(__xludf.DUMMYFUNCTION("""COMPUTED_VALUE"""),45117.0)</f>
        <v>45117</v>
      </c>
      <c r="P90" s="18">
        <f>IFERROR(__xludf.DUMMYFUNCTION("""COMPUTED_VALUE"""),45159.0)</f>
        <v>45159</v>
      </c>
      <c r="Q90" s="18"/>
      <c r="R90" s="18"/>
      <c r="S90" s="16"/>
      <c r="T90" s="16"/>
      <c r="U90" s="16" t="str">
        <f>IFERROR(__xludf.DUMMYFUNCTION("""COMPUTED_VALUE"""),"Heartbeat")</f>
        <v>Heartbeat</v>
      </c>
      <c r="V90" s="16" t="str">
        <f>IFERROR(__xludf.DUMMYFUNCTION("""COMPUTED_VALUE"""),"Azerbaijan Medical University")</f>
        <v>Azerbaijan Medical University</v>
      </c>
      <c r="W90" s="16" t="str">
        <f>IFERROR(__xludf.DUMMYFUNCTION("""COMPUTED_VALUE"""),"2022-12-27T14:28:52Z")</f>
        <v>2022-12-27T14:28:52Z</v>
      </c>
      <c r="X90" s="16"/>
      <c r="Y90" s="16"/>
      <c r="Z90" s="16"/>
    </row>
    <row r="91">
      <c r="A91" s="16" t="str">
        <f>IFERROR(__xludf.DUMMYFUNCTION("""COMPUTED_VALUE"""),"5083152_1289261")</f>
        <v>5083152_1289261</v>
      </c>
      <c r="B91" s="16" t="str">
        <f>IFERROR(__xludf.DUMMYFUNCTION("""COMPUTED_VALUE"""),"Alisha Batada")</f>
        <v>Alisha Batada</v>
      </c>
      <c r="C91" s="16" t="str">
        <f>IFERROR(__xludf.DUMMYFUNCTION("""COMPUTED_VALUE"""),"approved")</f>
        <v>approved</v>
      </c>
      <c r="D91" s="16" t="str">
        <f>IFERROR(__xludf.DUMMYFUNCTION("""COMPUTED_VALUE"""),"No")</f>
        <v>No</v>
      </c>
      <c r="E91" s="16" t="str">
        <f>IFERROR(__xludf.DUMMYFUNCTION("""COMPUTED_VALUE"""),"p_e07ba0429b4851762d9141c9ea2df5838b446123@inbound.aiesec.org")</f>
        <v>p_e07ba0429b4851762d9141c9ea2df5838b446123@inbound.aiesec.org</v>
      </c>
      <c r="F91" s="16">
        <f>IFERROR(__xludf.DUMMYFUNCTION("""COMPUTED_VALUE"""),8.866450236E9)</f>
        <v>8866450236</v>
      </c>
      <c r="G91" s="16" t="str">
        <f>IFERROR(__xludf.DUMMYFUNCTION("""COMPUTED_VALUE"""),"India")</f>
        <v>India</v>
      </c>
      <c r="H91" s="16" t="str">
        <f>IFERROR(__xludf.DUMMYFUNCTION("""COMPUTED_VALUE"""),"Surat")</f>
        <v>Surat</v>
      </c>
      <c r="I91" s="16" t="str">
        <f>IFERROR(__xludf.DUMMYFUNCTION("""COMPUTED_VALUE"""),"Turkey")</f>
        <v>Turkey</v>
      </c>
      <c r="J91" s="16" t="str">
        <f>IFERROR(__xludf.DUMMYFUNCTION("""COMPUTED_VALUE"""),"İZMİR")</f>
        <v>İZMİR</v>
      </c>
      <c r="K91" s="17" t="str">
        <f>IFERROR(__xludf.DUMMYFUNCTION("""COMPUTED_VALUE"""),"https://expa.aiesec.org/opportunities/1289261")</f>
        <v>https://expa.aiesec.org/opportunities/1289261</v>
      </c>
      <c r="L91" s="16" t="str">
        <f>IFERROR(__xludf.DUMMYFUNCTION("""COMPUTED_VALUE"""),"GV")</f>
        <v>GV</v>
      </c>
      <c r="M91" s="16" t="str">
        <f>IFERROR(__xludf.DUMMYFUNCTION("""COMPUTED_VALUE"""),"short")</f>
        <v>short</v>
      </c>
      <c r="N91" s="18">
        <f>IFERROR(__xludf.DUMMYFUNCTION("""COMPUTED_VALUE"""),44949.0)</f>
        <v>44949</v>
      </c>
      <c r="O91" s="18">
        <f>IFERROR(__xludf.DUMMYFUNCTION("""COMPUTED_VALUE"""),44983.0)</f>
        <v>44983</v>
      </c>
      <c r="P91" s="18">
        <f>IFERROR(__xludf.DUMMYFUNCTION("""COMPUTED_VALUE"""),45025.0)</f>
        <v>45025</v>
      </c>
      <c r="Q91" s="18"/>
      <c r="R91" s="18"/>
      <c r="S91" s="16"/>
      <c r="T91" s="16"/>
      <c r="U91" s="16" t="str">
        <f>IFERROR(__xludf.DUMMYFUNCTION("""COMPUTED_VALUE"""),"Global Classroom")</f>
        <v>Global Classroom</v>
      </c>
      <c r="V91" s="16" t="str">
        <f>IFERROR(__xludf.DUMMYFUNCTION("""COMPUTED_VALUE"""),"V.N.S.G.U, Surat")</f>
        <v>V.N.S.G.U, Surat</v>
      </c>
      <c r="W91" s="16" t="str">
        <f>IFERROR(__xludf.DUMMYFUNCTION("""COMPUTED_VALUE"""),"2022-07-16T07:41:47Z")</f>
        <v>2022-07-16T07:41:47Z</v>
      </c>
      <c r="X91" s="16"/>
      <c r="Y91" s="16"/>
      <c r="Z91" s="16"/>
    </row>
    <row r="92">
      <c r="A92" s="16" t="str">
        <f>IFERROR(__xludf.DUMMYFUNCTION("""COMPUTED_VALUE"""),"5173144_1287445")</f>
        <v>5173144_1287445</v>
      </c>
      <c r="B92" s="16" t="str">
        <f>IFERROR(__xludf.DUMMYFUNCTION("""COMPUTED_VALUE"""),"Saud Zafar")</f>
        <v>Saud Zafar</v>
      </c>
      <c r="C92" s="16" t="str">
        <f>IFERROR(__xludf.DUMMYFUNCTION("""COMPUTED_VALUE"""),"approved")</f>
        <v>approved</v>
      </c>
      <c r="D92" s="16" t="str">
        <f>IFERROR(__xludf.DUMMYFUNCTION("""COMPUTED_VALUE"""),"No")</f>
        <v>No</v>
      </c>
      <c r="E92" s="16" t="str">
        <f>IFERROR(__xludf.DUMMYFUNCTION("""COMPUTED_VALUE"""),"p_a9391ff97e0bd3b1a9a56a1326786c542ad772a8@inbound.aiesec.org")</f>
        <v>p_a9391ff97e0bd3b1a9a56a1326786c542ad772a8@inbound.aiesec.org</v>
      </c>
      <c r="F92" s="16">
        <f>IFERROR(__xludf.DUMMYFUNCTION("""COMPUTED_VALUE"""),3.007666634E9)</f>
        <v>3007666634</v>
      </c>
      <c r="G92" s="16" t="str">
        <f>IFERROR(__xludf.DUMMYFUNCTION("""COMPUTED_VALUE"""),"Pakistan")</f>
        <v>Pakistan</v>
      </c>
      <c r="H92" s="16" t="str">
        <f>IFERROR(__xludf.DUMMYFUNCTION("""COMPUTED_VALUE"""),"Lahore - Pak")</f>
        <v>Lahore - Pak</v>
      </c>
      <c r="I92" s="16" t="str">
        <f>IFERROR(__xludf.DUMMYFUNCTION("""COMPUTED_VALUE"""),"Turkey")</f>
        <v>Turkey</v>
      </c>
      <c r="J92" s="16" t="str">
        <f>IFERROR(__xludf.DUMMYFUNCTION("""COMPUTED_VALUE"""),"SAKARYA")</f>
        <v>SAKARYA</v>
      </c>
      <c r="K92" s="17" t="str">
        <f>IFERROR(__xludf.DUMMYFUNCTION("""COMPUTED_VALUE"""),"https://expa.aiesec.org/opportunities/1287445")</f>
        <v>https://expa.aiesec.org/opportunities/1287445</v>
      </c>
      <c r="L92" s="16" t="str">
        <f>IFERROR(__xludf.DUMMYFUNCTION("""COMPUTED_VALUE"""),"GV")</f>
        <v>GV</v>
      </c>
      <c r="M92" s="16" t="str">
        <f>IFERROR(__xludf.DUMMYFUNCTION("""COMPUTED_VALUE"""),"short")</f>
        <v>short</v>
      </c>
      <c r="N92" s="18">
        <f>IFERROR(__xludf.DUMMYFUNCTION("""COMPUTED_VALUE"""),44950.0)</f>
        <v>44950</v>
      </c>
      <c r="O92" s="18">
        <f>IFERROR(__xludf.DUMMYFUNCTION("""COMPUTED_VALUE"""),44970.0)</f>
        <v>44970</v>
      </c>
      <c r="P92" s="18">
        <f>IFERROR(__xludf.DUMMYFUNCTION("""COMPUTED_VALUE"""),45012.0)</f>
        <v>45012</v>
      </c>
      <c r="Q92" s="18"/>
      <c r="R92" s="18"/>
      <c r="S92" s="16"/>
      <c r="T92" s="16"/>
      <c r="U92" s="16" t="str">
        <f>IFERROR(__xludf.DUMMYFUNCTION("""COMPUTED_VALUE"""),"Global Classroom")</f>
        <v>Global Classroom</v>
      </c>
      <c r="V92" s="16" t="str">
        <f>IFERROR(__xludf.DUMMYFUNCTION("""COMPUTED_VALUE"""),"Lahore - Punjab University ")</f>
        <v>Lahore - Punjab University </v>
      </c>
      <c r="W92" s="16" t="str">
        <f>IFERROR(__xludf.DUMMYFUNCTION("""COMPUTED_VALUE"""),"2023-01-04T18:00:35Z")</f>
        <v>2023-01-04T18:00:35Z</v>
      </c>
      <c r="X92" s="16"/>
      <c r="Y92" s="16"/>
      <c r="Z92" s="16"/>
    </row>
    <row r="93">
      <c r="A93" s="16" t="str">
        <f>IFERROR(__xludf.DUMMYFUNCTION("""COMPUTED_VALUE"""),"4058734_1272564")</f>
        <v>4058734_1272564</v>
      </c>
      <c r="B93" s="16" t="str">
        <f>IFERROR(__xludf.DUMMYFUNCTION("""COMPUTED_VALUE"""),"Mahnoor Lodhi")</f>
        <v>Mahnoor Lodhi</v>
      </c>
      <c r="C93" s="16" t="str">
        <f>IFERROR(__xludf.DUMMYFUNCTION("""COMPUTED_VALUE"""),"approved")</f>
        <v>approved</v>
      </c>
      <c r="D93" s="16" t="str">
        <f>IFERROR(__xludf.DUMMYFUNCTION("""COMPUTED_VALUE"""),"No")</f>
        <v>No</v>
      </c>
      <c r="E93" s="16" t="str">
        <f>IFERROR(__xludf.DUMMYFUNCTION("""COMPUTED_VALUE"""),"p_1aaa7d631f7b67370e993ef00b90f9f8fc675e08@inbound.aiesec.org")</f>
        <v>p_1aaa7d631f7b67370e993ef00b90f9f8fc675e08@inbound.aiesec.org</v>
      </c>
      <c r="F93" s="16">
        <f>IFERROR(__xludf.DUMMYFUNCTION("""COMPUTED_VALUE"""),3.368803244E9)</f>
        <v>3368803244</v>
      </c>
      <c r="G93" s="16" t="str">
        <f>IFERROR(__xludf.DUMMYFUNCTION("""COMPUTED_VALUE"""),"Pakistan")</f>
        <v>Pakistan</v>
      </c>
      <c r="H93" s="16" t="str">
        <f>IFERROR(__xludf.DUMMYFUNCTION("""COMPUTED_VALUE"""),"SG")</f>
        <v>SG</v>
      </c>
      <c r="I93" s="16" t="str">
        <f>IFERROR(__xludf.DUMMYFUNCTION("""COMPUTED_VALUE"""),"Turkey")</f>
        <v>Turkey</v>
      </c>
      <c r="J93" s="16" t="str">
        <f>IFERROR(__xludf.DUMMYFUNCTION("""COMPUTED_VALUE"""),"ISTANBUL")</f>
        <v>ISTANBUL</v>
      </c>
      <c r="K93" s="17" t="str">
        <f>IFERROR(__xludf.DUMMYFUNCTION("""COMPUTED_VALUE"""),"https://expa.aiesec.org/opportunities/1272564")</f>
        <v>https://expa.aiesec.org/opportunities/1272564</v>
      </c>
      <c r="L93" s="16" t="str">
        <f>IFERROR(__xludf.DUMMYFUNCTION("""COMPUTED_VALUE"""),"GV")</f>
        <v>GV</v>
      </c>
      <c r="M93" s="16" t="str">
        <f>IFERROR(__xludf.DUMMYFUNCTION("""COMPUTED_VALUE"""),"short")</f>
        <v>short</v>
      </c>
      <c r="N93" s="18">
        <f>IFERROR(__xludf.DUMMYFUNCTION("""COMPUTED_VALUE"""),44951.0)</f>
        <v>44951</v>
      </c>
      <c r="O93" s="18">
        <f>IFERROR(__xludf.DUMMYFUNCTION("""COMPUTED_VALUE"""),45122.0)</f>
        <v>45122</v>
      </c>
      <c r="P93" s="18">
        <f>IFERROR(__xludf.DUMMYFUNCTION("""COMPUTED_VALUE"""),45164.0)</f>
        <v>45164</v>
      </c>
      <c r="Q93" s="18"/>
      <c r="R93" s="18"/>
      <c r="S93" s="16"/>
      <c r="T93" s="16"/>
      <c r="U93" s="16" t="str">
        <f>IFERROR(__xludf.DUMMYFUNCTION("""COMPUTED_VALUE"""),"Global Classroom")</f>
        <v>Global Classroom</v>
      </c>
      <c r="V93" s="16" t="str">
        <f>IFERROR(__xludf.DUMMYFUNCTION("""COMPUTED_VALUE"""),"-")</f>
        <v>-</v>
      </c>
      <c r="W93" s="16" t="str">
        <f>IFERROR(__xludf.DUMMYFUNCTION("""COMPUTED_VALUE"""),"2019-11-28T17:38:49Z")</f>
        <v>2019-11-28T17:38:49Z</v>
      </c>
      <c r="X93" s="16"/>
      <c r="Y93" s="16"/>
      <c r="Z93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</hyperlinks>
  <drawing r:id="rId9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&gt;=date'2021-02-01' and N &lt;date'2023-02-01' and C = 'approved' and G = 'Turkey' and L = 'GV' and O &lt;=date'2023-08-01' 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IFERROR(__xludf.DUMMYFUNCTION("""COMPUTED_VALUE"""),"5077765_1283949")</f>
        <v>5077765_1283949</v>
      </c>
      <c r="B2" s="16" t="str">
        <f>IFERROR(__xludf.DUMMYFUNCTION("""COMPUTED_VALUE"""),"benannur doğan")</f>
        <v>benannur doğan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IFERROR(__xludf.DUMMYFUNCTION("""COMPUTED_VALUE"""),"p_c80034536720cf562111164e9e06c7568c51f62a@inbound.aiesec.org")</f>
        <v>p_c80034536720cf562111164e9e06c7568c51f62a@inbound.aiesec.org</v>
      </c>
      <c r="F2" s="16"/>
      <c r="G2" s="16" t="str">
        <f>IFERROR(__xludf.DUMMYFUNCTION("""COMPUTED_VALUE"""),"Turkey")</f>
        <v>Turkey</v>
      </c>
      <c r="H2" s="16" t="str">
        <f>IFERROR(__xludf.DUMMYFUNCTION("""COMPUTED_VALUE"""),"KOCAELI")</f>
        <v>KOCAELI</v>
      </c>
      <c r="I2" s="16" t="str">
        <f>IFERROR(__xludf.DUMMYFUNCTION("""COMPUTED_VALUE"""),"Costa Rica")</f>
        <v>Costa Rica</v>
      </c>
      <c r="J2" s="16" t="str">
        <f>IFERROR(__xludf.DUMMYFUNCTION("""COMPUTED_VALUE"""),"MC Costa Rica")</f>
        <v>MC Costa Rica</v>
      </c>
      <c r="K2" s="17" t="str">
        <f>IFERROR(__xludf.DUMMYFUNCTION("""COMPUTED_VALUE"""),"https://expa.aiesec.org/opportunities/1283949")</f>
        <v>https://expa.aiesec.org/opportunities/1283949</v>
      </c>
      <c r="L2" s="16" t="str">
        <f>IFERROR(__xludf.DUMMYFUNCTION("""COMPUTED_VALUE"""),"GV")</f>
        <v>GV</v>
      </c>
      <c r="M2" s="16" t="str">
        <f>IFERROR(__xludf.DUMMYFUNCTION("""COMPUTED_VALUE"""),"short")</f>
        <v>short</v>
      </c>
      <c r="N2" s="18">
        <f>IFERROR(__xludf.DUMMYFUNCTION("""COMPUTED_VALUE"""),44747.0)</f>
        <v>44747</v>
      </c>
      <c r="O2" s="18">
        <f>IFERROR(__xludf.DUMMYFUNCTION("""COMPUTED_VALUE"""),44900.0)</f>
        <v>44900</v>
      </c>
      <c r="P2" s="18">
        <f>IFERROR(__xludf.DUMMYFUNCTION("""COMPUTED_VALUE"""),44942.0)</f>
        <v>44942</v>
      </c>
      <c r="Q2" s="18"/>
      <c r="R2" s="18"/>
      <c r="S2" s="16"/>
      <c r="T2" s="16"/>
      <c r="U2" s="16" t="str">
        <f>IFERROR(__xludf.DUMMYFUNCTION("""COMPUTED_VALUE"""),"Green Leaders")</f>
        <v>Green Leaders</v>
      </c>
      <c r="V2" s="16" t="str">
        <f>IFERROR(__xludf.DUMMYFUNCTION("""COMPUTED_VALUE"""),"KOCAELI")</f>
        <v>KOCAELI</v>
      </c>
      <c r="W2" s="16" t="str">
        <f>IFERROR(__xludf.DUMMYFUNCTION("""COMPUTED_VALUE"""),"2022-06-28T22:32:19Z")</f>
        <v>2022-06-28T22:32:19Z</v>
      </c>
      <c r="X2" s="16"/>
      <c r="Y2" s="16"/>
      <c r="Z2" s="16"/>
    </row>
    <row r="3">
      <c r="A3" s="16" t="str">
        <f>IFERROR(__xludf.DUMMYFUNCTION("""COMPUTED_VALUE"""),"5082699_1284485")</f>
        <v>5082699_1284485</v>
      </c>
      <c r="B3" s="16" t="str">
        <f>IFERROR(__xludf.DUMMYFUNCTION("""COMPUTED_VALUE"""),"Elif Tezgel")</f>
        <v>Elif Tezgel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IFERROR(__xludf.DUMMYFUNCTION("""COMPUTED_VALUE"""),"p_340ae36783e7899a63b9165306bd094e6cb84936@inbound.aiesec.org")</f>
        <v>p_340ae36783e7899a63b9165306bd094e6cb84936@inbound.aiesec.org</v>
      </c>
      <c r="F3" s="16"/>
      <c r="G3" s="16" t="str">
        <f>IFERROR(__xludf.DUMMYFUNCTION("""COMPUTED_VALUE"""),"Turkey")</f>
        <v>Turkey</v>
      </c>
      <c r="H3" s="16" t="str">
        <f>IFERROR(__xludf.DUMMYFUNCTION("""COMPUTED_VALUE"""),"KONYA")</f>
        <v>KONYA</v>
      </c>
      <c r="I3" s="16" t="str">
        <f>IFERROR(__xludf.DUMMYFUNCTION("""COMPUTED_VALUE"""),"India")</f>
        <v>India</v>
      </c>
      <c r="J3" s="16" t="str">
        <f>IFERROR(__xludf.DUMMYFUNCTION("""COMPUTED_VALUE"""),"Dehradun")</f>
        <v>Dehradun</v>
      </c>
      <c r="K3" s="17" t="str">
        <f>IFERROR(__xludf.DUMMYFUNCTION("""COMPUTED_VALUE"""),"https://expa.aiesec.org/opportunities/1284485")</f>
        <v>https://expa.aiesec.org/opportunities/1284485</v>
      </c>
      <c r="L3" s="16" t="str">
        <f>IFERROR(__xludf.DUMMYFUNCTION("""COMPUTED_VALUE"""),"GV")</f>
        <v>GV</v>
      </c>
      <c r="M3" s="16" t="str">
        <f>IFERROR(__xludf.DUMMYFUNCTION("""COMPUTED_VALUE"""),"short")</f>
        <v>short</v>
      </c>
      <c r="N3" s="18">
        <f>IFERROR(__xludf.DUMMYFUNCTION("""COMPUTED_VALUE"""),44756.0)</f>
        <v>44756</v>
      </c>
      <c r="O3" s="18">
        <f>IFERROR(__xludf.DUMMYFUNCTION("""COMPUTED_VALUE"""),44910.0)</f>
        <v>44910</v>
      </c>
      <c r="P3" s="18">
        <f>IFERROR(__xludf.DUMMYFUNCTION("""COMPUTED_VALUE"""),44952.0)</f>
        <v>44952</v>
      </c>
      <c r="Q3" s="18"/>
      <c r="R3" s="18"/>
      <c r="S3" s="16"/>
      <c r="T3" s="16"/>
      <c r="U3" s="16" t="str">
        <f>IFERROR(__xludf.DUMMYFUNCTION("""COMPUTED_VALUE"""),"Global Classroom")</f>
        <v>Global Classroom</v>
      </c>
      <c r="V3" s="16" t="str">
        <f>IFERROR(__xludf.DUMMYFUNCTION("""COMPUTED_VALUE"""),"KONYA")</f>
        <v>KONYA</v>
      </c>
      <c r="W3" s="16" t="str">
        <f>IFERROR(__xludf.DUMMYFUNCTION("""COMPUTED_VALUE"""),"2022-07-14T15:12:49Z")</f>
        <v>2022-07-14T15:12:49Z</v>
      </c>
      <c r="X3" s="16"/>
      <c r="Y3" s="16"/>
      <c r="Z3" s="16"/>
    </row>
    <row r="4">
      <c r="A4" s="16" t="str">
        <f>IFERROR(__xludf.DUMMYFUNCTION("""COMPUTED_VALUE"""),"5082494_1284485")</f>
        <v>5082494_1284485</v>
      </c>
      <c r="B4" s="16" t="str">
        <f>IFERROR(__xludf.DUMMYFUNCTION("""COMPUTED_VALUE"""),"rumeysa kazdal")</f>
        <v>rumeysa kazdal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IFERROR(__xludf.DUMMYFUNCTION("""COMPUTED_VALUE"""),"p_f9f450f5dbaff8f6274f124b53a06d0b41ede6b0@inbound.aiesec.org")</f>
        <v>p_f9f450f5dbaff8f6274f124b53a06d0b41ede6b0@inbound.aiesec.org</v>
      </c>
      <c r="F4" s="16">
        <f>IFERROR(__xludf.DUMMYFUNCTION("""COMPUTED_VALUE"""),5.313382596E9)</f>
        <v>5313382596</v>
      </c>
      <c r="G4" s="16" t="str">
        <f>IFERROR(__xludf.DUMMYFUNCTION("""COMPUTED_VALUE"""),"Turkey")</f>
        <v>Turkey</v>
      </c>
      <c r="H4" s="16" t="str">
        <f>IFERROR(__xludf.DUMMYFUNCTION("""COMPUTED_VALUE"""),"KONYA")</f>
        <v>KONYA</v>
      </c>
      <c r="I4" s="16" t="str">
        <f>IFERROR(__xludf.DUMMYFUNCTION("""COMPUTED_VALUE"""),"India")</f>
        <v>India</v>
      </c>
      <c r="J4" s="16" t="str">
        <f>IFERROR(__xludf.DUMMYFUNCTION("""COMPUTED_VALUE"""),"Dehradun")</f>
        <v>Dehradun</v>
      </c>
      <c r="K4" s="17" t="str">
        <f>IFERROR(__xludf.DUMMYFUNCTION("""COMPUTED_VALUE"""),"https://expa.aiesec.org/opportunities/1284485")</f>
        <v>https://expa.aiesec.org/opportunities/1284485</v>
      </c>
      <c r="L4" s="16" t="str">
        <f>IFERROR(__xludf.DUMMYFUNCTION("""COMPUTED_VALUE"""),"GV")</f>
        <v>GV</v>
      </c>
      <c r="M4" s="16" t="str">
        <f>IFERROR(__xludf.DUMMYFUNCTION("""COMPUTED_VALUE"""),"short")</f>
        <v>short</v>
      </c>
      <c r="N4" s="18">
        <f>IFERROR(__xludf.DUMMYFUNCTION("""COMPUTED_VALUE"""),44756.0)</f>
        <v>44756</v>
      </c>
      <c r="O4" s="18">
        <f>IFERROR(__xludf.DUMMYFUNCTION("""COMPUTED_VALUE"""),44910.0)</f>
        <v>44910</v>
      </c>
      <c r="P4" s="18">
        <f>IFERROR(__xludf.DUMMYFUNCTION("""COMPUTED_VALUE"""),44952.0)</f>
        <v>44952</v>
      </c>
      <c r="Q4" s="18"/>
      <c r="R4" s="18"/>
      <c r="S4" s="16"/>
      <c r="T4" s="16"/>
      <c r="U4" s="16" t="str">
        <f>IFERROR(__xludf.DUMMYFUNCTION("""COMPUTED_VALUE"""),"Global Classroom")</f>
        <v>Global Classroom</v>
      </c>
      <c r="V4" s="16" t="str">
        <f>IFERROR(__xludf.DUMMYFUNCTION("""COMPUTED_VALUE"""),"KONYA")</f>
        <v>KONYA</v>
      </c>
      <c r="W4" s="16" t="str">
        <f>IFERROR(__xludf.DUMMYFUNCTION("""COMPUTED_VALUE"""),"2022-07-13T22:11:12Z")</f>
        <v>2022-07-13T22:11:12Z</v>
      </c>
      <c r="X4" s="16"/>
      <c r="Y4" s="16"/>
      <c r="Z4" s="16"/>
    </row>
    <row r="5">
      <c r="A5" s="16" t="str">
        <f>IFERROR(__xludf.DUMMYFUNCTION("""COMPUTED_VALUE"""),"3851753_1284485")</f>
        <v>3851753_1284485</v>
      </c>
      <c r="B5" s="16" t="str">
        <f>IFERROR(__xludf.DUMMYFUNCTION("""COMPUTED_VALUE"""),"Elif Tezgel")</f>
        <v>Elif Tezgel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IFERROR(__xludf.DUMMYFUNCTION("""COMPUTED_VALUE"""),"p_9abfae5d791ab7545561e091044dbfb2d5eddff1@inbound.aiesec.org")</f>
        <v>p_9abfae5d791ab7545561e091044dbfb2d5eddff1@inbound.aiesec.org</v>
      </c>
      <c r="F5" s="16">
        <f>IFERROR(__xludf.DUMMYFUNCTION("""COMPUTED_VALUE"""),5.346026053E9)</f>
        <v>5346026053</v>
      </c>
      <c r="G5" s="16" t="str">
        <f>IFERROR(__xludf.DUMMYFUNCTION("""COMPUTED_VALUE"""),"Turkey")</f>
        <v>Turkey</v>
      </c>
      <c r="H5" s="16" t="str">
        <f>IFERROR(__xludf.DUMMYFUNCTION("""COMPUTED_VALUE"""),"ISTANBUL ASIA")</f>
        <v>ISTANBUL ASIA</v>
      </c>
      <c r="I5" s="16" t="str">
        <f>IFERROR(__xludf.DUMMYFUNCTION("""COMPUTED_VALUE"""),"India")</f>
        <v>India</v>
      </c>
      <c r="J5" s="16" t="str">
        <f>IFERROR(__xludf.DUMMYFUNCTION("""COMPUTED_VALUE"""),"Dehradun")</f>
        <v>Dehradun</v>
      </c>
      <c r="K5" s="17" t="str">
        <f>IFERROR(__xludf.DUMMYFUNCTION("""COMPUTED_VALUE"""),"https://expa.aiesec.org/opportunities/1284485")</f>
        <v>https://expa.aiesec.org/opportunities/1284485</v>
      </c>
      <c r="L5" s="16" t="str">
        <f>IFERROR(__xludf.DUMMYFUNCTION("""COMPUTED_VALUE"""),"GV")</f>
        <v>GV</v>
      </c>
      <c r="M5" s="16" t="str">
        <f>IFERROR(__xludf.DUMMYFUNCTION("""COMPUTED_VALUE"""),"short")</f>
        <v>short</v>
      </c>
      <c r="N5" s="18">
        <f>IFERROR(__xludf.DUMMYFUNCTION("""COMPUTED_VALUE"""),44756.0)</f>
        <v>44756</v>
      </c>
      <c r="O5" s="18">
        <f>IFERROR(__xludf.DUMMYFUNCTION("""COMPUTED_VALUE"""),44910.0)</f>
        <v>44910</v>
      </c>
      <c r="P5" s="18">
        <f>IFERROR(__xludf.DUMMYFUNCTION("""COMPUTED_VALUE"""),44952.0)</f>
        <v>44952</v>
      </c>
      <c r="Q5" s="18"/>
      <c r="R5" s="18"/>
      <c r="S5" s="16"/>
      <c r="T5" s="16"/>
      <c r="U5" s="16" t="str">
        <f>IFERROR(__xludf.DUMMYFUNCTION("""COMPUTED_VALUE"""),"Global Classroom")</f>
        <v>Global Classroom</v>
      </c>
      <c r="V5" s="16" t="str">
        <f>IFERROR(__xludf.DUMMYFUNCTION("""COMPUTED_VALUE"""),"ISTANBUL ASIA")</f>
        <v>ISTANBUL ASIA</v>
      </c>
      <c r="W5" s="16" t="str">
        <f>IFERROR(__xludf.DUMMYFUNCTION("""COMPUTED_VALUE"""),"2019-09-24T16:27:34Z")</f>
        <v>2019-09-24T16:27:34Z</v>
      </c>
      <c r="X5" s="16"/>
      <c r="Y5" s="16"/>
      <c r="Z5" s="16"/>
    </row>
    <row r="6">
      <c r="A6" s="16" t="str">
        <f>IFERROR(__xludf.DUMMYFUNCTION("""COMPUTED_VALUE"""),"5078362_1281236")</f>
        <v>5078362_1281236</v>
      </c>
      <c r="B6" s="16" t="str">
        <f>IFERROR(__xludf.DUMMYFUNCTION("""COMPUTED_VALUE"""),"gaye baysal")</f>
        <v>gaye baysal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IFERROR(__xludf.DUMMYFUNCTION("""COMPUTED_VALUE"""),"p_854a8e8139c7d132f786a8f6114b34b16148a35f@inbound.aiesec.org")</f>
        <v>p_854a8e8139c7d132f786a8f6114b34b16148a35f@inbound.aiesec.org</v>
      </c>
      <c r="F6" s="16">
        <f>IFERROR(__xludf.DUMMYFUNCTION("""COMPUTED_VALUE"""),5.415356296E9)</f>
        <v>5415356296</v>
      </c>
      <c r="G6" s="16" t="str">
        <f>IFERROR(__xludf.DUMMYFUNCTION("""COMPUTED_VALUE"""),"Turkey")</f>
        <v>Turkey</v>
      </c>
      <c r="H6" s="16" t="str">
        <f>IFERROR(__xludf.DUMMYFUNCTION("""COMPUTED_VALUE"""),"KONYA")</f>
        <v>KONYA</v>
      </c>
      <c r="I6" s="16" t="str">
        <f>IFERROR(__xludf.DUMMYFUNCTION("""COMPUTED_VALUE"""),"India")</f>
        <v>India</v>
      </c>
      <c r="J6" s="16" t="str">
        <f>IFERROR(__xludf.DUMMYFUNCTION("""COMPUTED_VALUE"""),"Dehradun")</f>
        <v>Dehradun</v>
      </c>
      <c r="K6" s="17" t="str">
        <f>IFERROR(__xludf.DUMMYFUNCTION("""COMPUTED_VALUE"""),"https://expa.aiesec.org/opportunities/1281236")</f>
        <v>https://expa.aiesec.org/opportunities/1281236</v>
      </c>
      <c r="L6" s="16" t="str">
        <f>IFERROR(__xludf.DUMMYFUNCTION("""COMPUTED_VALUE"""),"GV")</f>
        <v>GV</v>
      </c>
      <c r="M6" s="16" t="str">
        <f>IFERROR(__xludf.DUMMYFUNCTION("""COMPUTED_VALUE"""),"short")</f>
        <v>short</v>
      </c>
      <c r="N6" s="18">
        <f>IFERROR(__xludf.DUMMYFUNCTION("""COMPUTED_VALUE"""),44756.0)</f>
        <v>44756</v>
      </c>
      <c r="O6" s="18">
        <f>IFERROR(__xludf.DUMMYFUNCTION("""COMPUTED_VALUE"""),44941.0)</f>
        <v>44941</v>
      </c>
      <c r="P6" s="18">
        <f>IFERROR(__xludf.DUMMYFUNCTION("""COMPUTED_VALUE"""),44983.0)</f>
        <v>44983</v>
      </c>
      <c r="Q6" s="18"/>
      <c r="R6" s="18"/>
      <c r="S6" s="16"/>
      <c r="T6" s="16"/>
      <c r="U6" s="16" t="str">
        <f>IFERROR(__xludf.DUMMYFUNCTION("""COMPUTED_VALUE"""),"Skill Up!")</f>
        <v>Skill Up!</v>
      </c>
      <c r="V6" s="16" t="str">
        <f>IFERROR(__xludf.DUMMYFUNCTION("""COMPUTED_VALUE"""),"KONYA")</f>
        <v>KONYA</v>
      </c>
      <c r="W6" s="16" t="str">
        <f>IFERROR(__xludf.DUMMYFUNCTION("""COMPUTED_VALUE"""),"2022-06-30T12:53:53Z")</f>
        <v>2022-06-30T12:53:53Z</v>
      </c>
      <c r="X6" s="16"/>
      <c r="Y6" s="16"/>
      <c r="Z6" s="16"/>
    </row>
    <row r="7">
      <c r="A7" s="16" t="str">
        <f>IFERROR(__xludf.DUMMYFUNCTION("""COMPUTED_VALUE"""),"5085409_1281061")</f>
        <v>5085409_1281061</v>
      </c>
      <c r="B7" s="16" t="str">
        <f>IFERROR(__xludf.DUMMYFUNCTION("""COMPUTED_VALUE"""),"Aysen Degirmen")</f>
        <v>Aysen Degirmen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IFERROR(__xludf.DUMMYFUNCTION("""COMPUTED_VALUE"""),"p_f686f6fa72fbf129e100bb35bebd17fd6ddb58b9@inbound.aiesec.org")</f>
        <v>p_f686f6fa72fbf129e100bb35bebd17fd6ddb58b9@inbound.aiesec.org</v>
      </c>
      <c r="F7" s="16">
        <f>IFERROR(__xludf.DUMMYFUNCTION("""COMPUTED_VALUE"""),5.536307299E9)</f>
        <v>5536307299</v>
      </c>
      <c r="G7" s="16" t="str">
        <f>IFERROR(__xludf.DUMMYFUNCTION("""COMPUTED_VALUE"""),"Turkey")</f>
        <v>Turkey</v>
      </c>
      <c r="H7" s="16" t="str">
        <f>IFERROR(__xludf.DUMMYFUNCTION("""COMPUTED_VALUE"""),"KONYA")</f>
        <v>KONYA</v>
      </c>
      <c r="I7" s="16" t="str">
        <f>IFERROR(__xludf.DUMMYFUNCTION("""COMPUTED_VALUE"""),"India")</f>
        <v>India</v>
      </c>
      <c r="J7" s="16" t="str">
        <f>IFERROR(__xludf.DUMMYFUNCTION("""COMPUTED_VALUE"""),"Mumbai")</f>
        <v>Mumbai</v>
      </c>
      <c r="K7" s="17" t="str">
        <f>IFERROR(__xludf.DUMMYFUNCTION("""COMPUTED_VALUE"""),"https://expa.aiesec.org/opportunities/1281061")</f>
        <v>https://expa.aiesec.org/opportunities/1281061</v>
      </c>
      <c r="L7" s="16" t="str">
        <f>IFERROR(__xludf.DUMMYFUNCTION("""COMPUTED_VALUE"""),"GV")</f>
        <v>GV</v>
      </c>
      <c r="M7" s="16" t="str">
        <f>IFERROR(__xludf.DUMMYFUNCTION("""COMPUTED_VALUE"""),"short")</f>
        <v>short</v>
      </c>
      <c r="N7" s="18">
        <f>IFERROR(__xludf.DUMMYFUNCTION("""COMPUTED_VALUE"""),44768.0)</f>
        <v>44768</v>
      </c>
      <c r="O7" s="18">
        <f>IFERROR(__xludf.DUMMYFUNCTION("""COMPUTED_VALUE"""),44941.0)</f>
        <v>44941</v>
      </c>
      <c r="P7" s="18">
        <f>IFERROR(__xludf.DUMMYFUNCTION("""COMPUTED_VALUE"""),44983.0)</f>
        <v>44983</v>
      </c>
      <c r="Q7" s="18"/>
      <c r="R7" s="18"/>
      <c r="S7" s="16"/>
      <c r="T7" s="16"/>
      <c r="U7" s="16" t="str">
        <f>IFERROR(__xludf.DUMMYFUNCTION("""COMPUTED_VALUE"""),"Youth 4 Impact")</f>
        <v>Youth 4 Impact</v>
      </c>
      <c r="V7" s="16" t="str">
        <f>IFERROR(__xludf.DUMMYFUNCTION("""COMPUTED_VALUE"""),"KONYA")</f>
        <v>KONYA</v>
      </c>
      <c r="W7" s="16" t="str">
        <f>IFERROR(__xludf.DUMMYFUNCTION("""COMPUTED_VALUE"""),"2022-07-24T11:06:22Z")</f>
        <v>2022-07-24T11:06:22Z</v>
      </c>
      <c r="X7" s="16"/>
      <c r="Y7" s="16"/>
      <c r="Z7" s="16"/>
    </row>
    <row r="8">
      <c r="A8" s="16" t="str">
        <f>IFERROR(__xludf.DUMMYFUNCTION("""COMPUTED_VALUE"""),"5084996_1281061")</f>
        <v>5084996_1281061</v>
      </c>
      <c r="B8" s="16" t="str">
        <f>IFERROR(__xludf.DUMMYFUNCTION("""COMPUTED_VALUE"""),"Berat Bozkır")</f>
        <v>Berat Bozkır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IFERROR(__xludf.DUMMYFUNCTION("""COMPUTED_VALUE"""),"p_8c3484e008dce12d31de75b3e2713caf6436a411@inbound.aiesec.org")</f>
        <v>p_8c3484e008dce12d31de75b3e2713caf6436a411@inbound.aiesec.org</v>
      </c>
      <c r="F8" s="16">
        <f>IFERROR(__xludf.DUMMYFUNCTION("""COMPUTED_VALUE"""),5.539038688E9)</f>
        <v>5539038688</v>
      </c>
      <c r="G8" s="16" t="str">
        <f>IFERROR(__xludf.DUMMYFUNCTION("""COMPUTED_VALUE"""),"Turkey")</f>
        <v>Turkey</v>
      </c>
      <c r="H8" s="16" t="str">
        <f>IFERROR(__xludf.DUMMYFUNCTION("""COMPUTED_VALUE"""),"KONYA")</f>
        <v>KONYA</v>
      </c>
      <c r="I8" s="16" t="str">
        <f>IFERROR(__xludf.DUMMYFUNCTION("""COMPUTED_VALUE"""),"India")</f>
        <v>India</v>
      </c>
      <c r="J8" s="16" t="str">
        <f>IFERROR(__xludf.DUMMYFUNCTION("""COMPUTED_VALUE"""),"Mumbai")</f>
        <v>Mumbai</v>
      </c>
      <c r="K8" s="17" t="str">
        <f>IFERROR(__xludf.DUMMYFUNCTION("""COMPUTED_VALUE"""),"https://expa.aiesec.org/opportunities/1281061")</f>
        <v>https://expa.aiesec.org/opportunities/1281061</v>
      </c>
      <c r="L8" s="16" t="str">
        <f>IFERROR(__xludf.DUMMYFUNCTION("""COMPUTED_VALUE"""),"GV")</f>
        <v>GV</v>
      </c>
      <c r="M8" s="16" t="str">
        <f>IFERROR(__xludf.DUMMYFUNCTION("""COMPUTED_VALUE"""),"short")</f>
        <v>short</v>
      </c>
      <c r="N8" s="18">
        <f>IFERROR(__xludf.DUMMYFUNCTION("""COMPUTED_VALUE"""),44772.0)</f>
        <v>44772</v>
      </c>
      <c r="O8" s="18">
        <f>IFERROR(__xludf.DUMMYFUNCTION("""COMPUTED_VALUE"""),44941.0)</f>
        <v>44941</v>
      </c>
      <c r="P8" s="18">
        <f>IFERROR(__xludf.DUMMYFUNCTION("""COMPUTED_VALUE"""),44983.0)</f>
        <v>44983</v>
      </c>
      <c r="Q8" s="18"/>
      <c r="R8" s="18"/>
      <c r="S8" s="16"/>
      <c r="T8" s="16"/>
      <c r="U8" s="16" t="str">
        <f>IFERROR(__xludf.DUMMYFUNCTION("""COMPUTED_VALUE"""),"Youth 4 Impact")</f>
        <v>Youth 4 Impact</v>
      </c>
      <c r="V8" s="16" t="str">
        <f>IFERROR(__xludf.DUMMYFUNCTION("""COMPUTED_VALUE"""),"KONYA")</f>
        <v>KONYA</v>
      </c>
      <c r="W8" s="16" t="str">
        <f>IFERROR(__xludf.DUMMYFUNCTION("""COMPUTED_VALUE"""),"2022-07-22T12:13:06Z")</f>
        <v>2022-07-22T12:13:06Z</v>
      </c>
      <c r="X8" s="16"/>
      <c r="Y8" s="16"/>
      <c r="Z8" s="16"/>
    </row>
    <row r="9">
      <c r="A9" s="16" t="str">
        <f>IFERROR(__xludf.DUMMYFUNCTION("""COMPUTED_VALUE"""),"4637396_1286113")</f>
        <v>4637396_1286113</v>
      </c>
      <c r="B9" s="16" t="str">
        <f>IFERROR(__xludf.DUMMYFUNCTION("""COMPUTED_VALUE"""),"Mohamed Ali")</f>
        <v>Mohamed Ali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IFERROR(__xludf.DUMMYFUNCTION("""COMPUTED_VALUE"""),"p_acc2d035a95b43b0599aa429851883b46546e366@inbound.aiesec.org")</f>
        <v>p_acc2d035a95b43b0599aa429851883b46546e366@inbound.aiesec.org</v>
      </c>
      <c r="F9" s="16">
        <f>IFERROR(__xludf.DUMMYFUNCTION("""COMPUTED_VALUE"""),5.33859324E9)</f>
        <v>5338593240</v>
      </c>
      <c r="G9" s="16" t="str">
        <f>IFERROR(__xludf.DUMMYFUNCTION("""COMPUTED_VALUE"""),"Turkey")</f>
        <v>Turkey</v>
      </c>
      <c r="H9" s="16" t="str">
        <f>IFERROR(__xludf.DUMMYFUNCTION("""COMPUTED_VALUE"""),"EASTERN MEDITERRANEAN")</f>
        <v>EASTERN MEDITERRANEAN</v>
      </c>
      <c r="I9" s="16" t="str">
        <f>IFERROR(__xludf.DUMMYFUNCTION("""COMPUTED_VALUE"""),"India")</f>
        <v>India</v>
      </c>
      <c r="J9" s="16" t="str">
        <f>IFERROR(__xludf.DUMMYFUNCTION("""COMPUTED_VALUE"""),"Dehradun")</f>
        <v>Dehradun</v>
      </c>
      <c r="K9" s="17" t="str">
        <f>IFERROR(__xludf.DUMMYFUNCTION("""COMPUTED_VALUE"""),"https://expa.aiesec.org/opportunities/1286113")</f>
        <v>https://expa.aiesec.org/opportunities/1286113</v>
      </c>
      <c r="L9" s="16" t="str">
        <f>IFERROR(__xludf.DUMMYFUNCTION("""COMPUTED_VALUE"""),"GV")</f>
        <v>GV</v>
      </c>
      <c r="M9" s="16" t="str">
        <f>IFERROR(__xludf.DUMMYFUNCTION("""COMPUTED_VALUE"""),"short")</f>
        <v>short</v>
      </c>
      <c r="N9" s="18">
        <f>IFERROR(__xludf.DUMMYFUNCTION("""COMPUTED_VALUE"""),44775.0)</f>
        <v>44775</v>
      </c>
      <c r="O9" s="18">
        <f>IFERROR(__xludf.DUMMYFUNCTION("""COMPUTED_VALUE"""),44958.0)</f>
        <v>44958</v>
      </c>
      <c r="P9" s="18">
        <f>IFERROR(__xludf.DUMMYFUNCTION("""COMPUTED_VALUE"""),45000.0)</f>
        <v>45000</v>
      </c>
      <c r="Q9" s="18"/>
      <c r="R9" s="18"/>
      <c r="S9" s="16"/>
      <c r="T9" s="16"/>
      <c r="U9" s="16" t="str">
        <f>IFERROR(__xludf.DUMMYFUNCTION("""COMPUTED_VALUE"""),"Skill Up!")</f>
        <v>Skill Up!</v>
      </c>
      <c r="V9" s="16" t="str">
        <f>IFERROR(__xludf.DUMMYFUNCTION("""COMPUTED_VALUE"""),"NORTH CYPRUS")</f>
        <v>NORTH CYPRUS</v>
      </c>
      <c r="W9" s="16" t="str">
        <f>IFERROR(__xludf.DUMMYFUNCTION("""COMPUTED_VALUE"""),"2021-05-05T12:56:45Z")</f>
        <v>2021-05-05T12:56:45Z</v>
      </c>
      <c r="X9" s="16"/>
      <c r="Y9" s="16"/>
      <c r="Z9" s="16"/>
    </row>
    <row r="10">
      <c r="A10" s="16" t="str">
        <f>IFERROR(__xludf.DUMMYFUNCTION("""COMPUTED_VALUE"""),"4623036_1288283")</f>
        <v>4623036_1288283</v>
      </c>
      <c r="B10" s="16" t="str">
        <f>IFERROR(__xludf.DUMMYFUNCTION("""COMPUTED_VALUE"""),"Muhammet Mert Seçkin")</f>
        <v>Muhammet Mert Seçkin</v>
      </c>
      <c r="C10" s="16" t="str">
        <f>IFERROR(__xludf.DUMMYFUNCTION("""COMPUTED_VALUE"""),"approved")</f>
        <v>approved</v>
      </c>
      <c r="D10" s="16" t="str">
        <f>IFERROR(__xludf.DUMMYFUNCTION("""COMPUTED_VALUE"""),"No")</f>
        <v>No</v>
      </c>
      <c r="E10" s="16" t="str">
        <f>IFERROR(__xludf.DUMMYFUNCTION("""COMPUTED_VALUE"""),"p_0580c1c5aeb89832dca7dc9cbbe16f6ebfd7e4a7@inbound.aiesec.org")</f>
        <v>p_0580c1c5aeb89832dca7dc9cbbe16f6ebfd7e4a7@inbound.aiesec.org</v>
      </c>
      <c r="F10" s="16">
        <f>IFERROR(__xludf.DUMMYFUNCTION("""COMPUTED_VALUE"""),5.052667525E9)</f>
        <v>5052667525</v>
      </c>
      <c r="G10" s="16" t="str">
        <f>IFERROR(__xludf.DUMMYFUNCTION("""COMPUTED_VALUE"""),"Turkey")</f>
        <v>Turkey</v>
      </c>
      <c r="H10" s="16" t="str">
        <f>IFERROR(__xludf.DUMMYFUNCTION("""COMPUTED_VALUE"""),"KONYA")</f>
        <v>KONYA</v>
      </c>
      <c r="I10" s="16" t="str">
        <f>IFERROR(__xludf.DUMMYFUNCTION("""COMPUTED_VALUE"""),"Portugal")</f>
        <v>Portugal</v>
      </c>
      <c r="J10" s="16" t="str">
        <f>IFERROR(__xludf.DUMMYFUNCTION("""COMPUTED_VALUE"""),"UMINHO")</f>
        <v>UMINHO</v>
      </c>
      <c r="K10" s="17" t="str">
        <f>IFERROR(__xludf.DUMMYFUNCTION("""COMPUTED_VALUE"""),"https://expa.aiesec.org/opportunities/1288283")</f>
        <v>https://expa.aiesec.org/opportunities/1288283</v>
      </c>
      <c r="L10" s="16" t="str">
        <f>IFERROR(__xludf.DUMMYFUNCTION("""COMPUTED_VALUE"""),"GV")</f>
        <v>GV</v>
      </c>
      <c r="M10" s="16" t="str">
        <f>IFERROR(__xludf.DUMMYFUNCTION("""COMPUTED_VALUE"""),"short")</f>
        <v>short</v>
      </c>
      <c r="N10" s="18">
        <f>IFERROR(__xludf.DUMMYFUNCTION("""COMPUTED_VALUE"""),44779.0)</f>
        <v>44779</v>
      </c>
      <c r="O10" s="18">
        <f>IFERROR(__xludf.DUMMYFUNCTION("""COMPUTED_VALUE"""),44935.0)</f>
        <v>44935</v>
      </c>
      <c r="P10" s="18">
        <f>IFERROR(__xludf.DUMMYFUNCTION("""COMPUTED_VALUE"""),44977.0)</f>
        <v>44977</v>
      </c>
      <c r="Q10" s="18"/>
      <c r="R10" s="18"/>
      <c r="S10" s="16"/>
      <c r="T10" s="16"/>
      <c r="U10" s="16" t="str">
        <f>IFERROR(__xludf.DUMMYFUNCTION("""COMPUTED_VALUE"""),"Green Leaders")</f>
        <v>Green Leaders</v>
      </c>
      <c r="V10" s="16" t="str">
        <f>IFERROR(__xludf.DUMMYFUNCTION("""COMPUTED_VALUE"""),"KONYA")</f>
        <v>KONYA</v>
      </c>
      <c r="W10" s="16" t="str">
        <f>IFERROR(__xludf.DUMMYFUNCTION("""COMPUTED_VALUE"""),"2021-04-20T12:56:18Z")</f>
        <v>2021-04-20T12:56:18Z</v>
      </c>
      <c r="X10" s="16"/>
      <c r="Y10" s="16"/>
      <c r="Z10" s="16"/>
    </row>
    <row r="11">
      <c r="A11" s="16" t="str">
        <f>IFERROR(__xludf.DUMMYFUNCTION("""COMPUTED_VALUE"""),"5097992_1289076")</f>
        <v>5097992_1289076</v>
      </c>
      <c r="B11" s="16" t="str">
        <f>IFERROR(__xludf.DUMMYFUNCTION("""COMPUTED_VALUE"""),"SARA PASDAR")</f>
        <v>SARA PASDAR</v>
      </c>
      <c r="C11" s="16" t="str">
        <f>IFERROR(__xludf.DUMMYFUNCTION("""COMPUTED_VALUE"""),"approved")</f>
        <v>approved</v>
      </c>
      <c r="D11" s="16" t="str">
        <f>IFERROR(__xludf.DUMMYFUNCTION("""COMPUTED_VALUE"""),"No")</f>
        <v>No</v>
      </c>
      <c r="E11" s="16" t="str">
        <f>IFERROR(__xludf.DUMMYFUNCTION("""COMPUTED_VALUE"""),"p_0e5777fb86e1ae46a9e5c566093f24d8d5f6bc72@inbound.aiesec.org")</f>
        <v>p_0e5777fb86e1ae46a9e5c566093f24d8d5f6bc72@inbound.aiesec.org</v>
      </c>
      <c r="F11" s="16"/>
      <c r="G11" s="16" t="str">
        <f>IFERROR(__xludf.DUMMYFUNCTION("""COMPUTED_VALUE"""),"Turkey")</f>
        <v>Turkey</v>
      </c>
      <c r="H11" s="16" t="str">
        <f>IFERROR(__xludf.DUMMYFUNCTION("""COMPUTED_VALUE"""),"SAKARYA")</f>
        <v>SAKARYA</v>
      </c>
      <c r="I11" s="16" t="str">
        <f>IFERROR(__xludf.DUMMYFUNCTION("""COMPUTED_VALUE"""),"Czech Republic")</f>
        <v>Czech Republic</v>
      </c>
      <c r="J11" s="16" t="str">
        <f>IFERROR(__xludf.DUMMYFUNCTION("""COMPUTED_VALUE"""),"ČZU Praha")</f>
        <v>ČZU Praha</v>
      </c>
      <c r="K11" s="17" t="str">
        <f>IFERROR(__xludf.DUMMYFUNCTION("""COMPUTED_VALUE"""),"https://expa.aiesec.org/opportunities/1289076")</f>
        <v>https://expa.aiesec.org/opportunities/1289076</v>
      </c>
      <c r="L11" s="16" t="str">
        <f>IFERROR(__xludf.DUMMYFUNCTION("""COMPUTED_VALUE"""),"GV")</f>
        <v>GV</v>
      </c>
      <c r="M11" s="16" t="str">
        <f>IFERROR(__xludf.DUMMYFUNCTION("""COMPUTED_VALUE"""),"short")</f>
        <v>short</v>
      </c>
      <c r="N11" s="18">
        <f>IFERROR(__xludf.DUMMYFUNCTION("""COMPUTED_VALUE"""),44799.0)</f>
        <v>44799</v>
      </c>
      <c r="O11" s="18">
        <f>IFERROR(__xludf.DUMMYFUNCTION("""COMPUTED_VALUE"""),44938.0)</f>
        <v>44938</v>
      </c>
      <c r="P11" s="18">
        <f>IFERROR(__xludf.DUMMYFUNCTION("""COMPUTED_VALUE"""),44980.0)</f>
        <v>44980</v>
      </c>
      <c r="Q11" s="18"/>
      <c r="R11" s="18"/>
      <c r="S11" s="16"/>
      <c r="T11" s="16"/>
      <c r="U11" s="16" t="str">
        <f>IFERROR(__xludf.DUMMYFUNCTION("""COMPUTED_VALUE"""),"Youth 4 Impact")</f>
        <v>Youth 4 Impact</v>
      </c>
      <c r="V11" s="16" t="str">
        <f>IFERROR(__xludf.DUMMYFUNCTION("""COMPUTED_VALUE"""),"SAKARYA")</f>
        <v>SAKARYA</v>
      </c>
      <c r="W11" s="16" t="str">
        <f>IFERROR(__xludf.DUMMYFUNCTION("""COMPUTED_VALUE"""),"2022-08-23T12:50:40Z")</f>
        <v>2022-08-23T12:50:40Z</v>
      </c>
      <c r="X11" s="16"/>
      <c r="Y11" s="16"/>
      <c r="Z11" s="16"/>
    </row>
    <row r="12">
      <c r="A12" s="16" t="str">
        <f>IFERROR(__xludf.DUMMYFUNCTION("""COMPUTED_VALUE"""),"5100031_1282247")</f>
        <v>5100031_1282247</v>
      </c>
      <c r="B12" s="16" t="str">
        <f>IFERROR(__xludf.DUMMYFUNCTION("""COMPUTED_VALUE"""),"MUSTAFA SEMİH YILMAZ")</f>
        <v>MUSTAFA SEMİH YILMAZ</v>
      </c>
      <c r="C12" s="16" t="str">
        <f>IFERROR(__xludf.DUMMYFUNCTION("""COMPUTED_VALUE"""),"approved")</f>
        <v>approved</v>
      </c>
      <c r="D12" s="16" t="str">
        <f>IFERROR(__xludf.DUMMYFUNCTION("""COMPUTED_VALUE"""),"No")</f>
        <v>No</v>
      </c>
      <c r="E12" s="16" t="str">
        <f>IFERROR(__xludf.DUMMYFUNCTION("""COMPUTED_VALUE"""),"p_b546e8fc9b7563b7f96c894d4f2cd157127e99ee@inbound.aiesec.org")</f>
        <v>p_b546e8fc9b7563b7f96c894d4f2cd157127e99ee@inbound.aiesec.org</v>
      </c>
      <c r="F12" s="16"/>
      <c r="G12" s="16" t="str">
        <f>IFERROR(__xludf.DUMMYFUNCTION("""COMPUTED_VALUE"""),"Turkey")</f>
        <v>Turkey</v>
      </c>
      <c r="H12" s="16" t="str">
        <f>IFERROR(__xludf.DUMMYFUNCTION("""COMPUTED_VALUE"""),"SAKARYA")</f>
        <v>SAKARYA</v>
      </c>
      <c r="I12" s="16" t="str">
        <f>IFERROR(__xludf.DUMMYFUNCTION("""COMPUTED_VALUE"""),"India")</f>
        <v>India</v>
      </c>
      <c r="J12" s="16" t="str">
        <f>IFERROR(__xludf.DUMMYFUNCTION("""COMPUTED_VALUE"""),"Hyderabad")</f>
        <v>Hyderabad</v>
      </c>
      <c r="K12" s="17" t="str">
        <f>IFERROR(__xludf.DUMMYFUNCTION("""COMPUTED_VALUE"""),"https://expa.aiesec.org/opportunities/1282247")</f>
        <v>https://expa.aiesec.org/opportunities/1282247</v>
      </c>
      <c r="L12" s="16" t="str">
        <f>IFERROR(__xludf.DUMMYFUNCTION("""COMPUTED_VALUE"""),"GV")</f>
        <v>GV</v>
      </c>
      <c r="M12" s="16" t="str">
        <f>IFERROR(__xludf.DUMMYFUNCTION("""COMPUTED_VALUE"""),"short")</f>
        <v>short</v>
      </c>
      <c r="N12" s="18">
        <f>IFERROR(__xludf.DUMMYFUNCTION("""COMPUTED_VALUE"""),44800.0)</f>
        <v>44800</v>
      </c>
      <c r="O12" s="18">
        <f>IFERROR(__xludf.DUMMYFUNCTION("""COMPUTED_VALUE"""),44888.0)</f>
        <v>44888</v>
      </c>
      <c r="P12" s="18">
        <f>IFERROR(__xludf.DUMMYFUNCTION("""COMPUTED_VALUE"""),44930.0)</f>
        <v>44930</v>
      </c>
      <c r="Q12" s="18"/>
      <c r="R12" s="18"/>
      <c r="S12" s="16"/>
      <c r="T12" s="16"/>
      <c r="U12" s="16" t="str">
        <f>IFERROR(__xludf.DUMMYFUNCTION("""COMPUTED_VALUE"""),"Scale Up!")</f>
        <v>Scale Up!</v>
      </c>
      <c r="V12" s="16" t="str">
        <f>IFERROR(__xludf.DUMMYFUNCTION("""COMPUTED_VALUE"""),"-")</f>
        <v>-</v>
      </c>
      <c r="W12" s="16" t="str">
        <f>IFERROR(__xludf.DUMMYFUNCTION("""COMPUTED_VALUE"""),"2022-08-26T12:21:44Z")</f>
        <v>2022-08-26T12:21:44Z</v>
      </c>
      <c r="X12" s="16"/>
      <c r="Y12" s="16"/>
      <c r="Z12" s="16"/>
    </row>
    <row r="13">
      <c r="A13" s="16" t="str">
        <f>IFERROR(__xludf.DUMMYFUNCTION("""COMPUTED_VALUE"""),"5101707_1289076")</f>
        <v>5101707_1289076</v>
      </c>
      <c r="B13" s="16" t="str">
        <f>IFERROR(__xludf.DUMMYFUNCTION("""COMPUTED_VALUE"""),"Berat Kerim Topcuoglu")</f>
        <v>Berat Kerim Topcuoglu</v>
      </c>
      <c r="C13" s="16" t="str">
        <f>IFERROR(__xludf.DUMMYFUNCTION("""COMPUTED_VALUE"""),"approved")</f>
        <v>approved</v>
      </c>
      <c r="D13" s="16" t="str">
        <f>IFERROR(__xludf.DUMMYFUNCTION("""COMPUTED_VALUE"""),"No")</f>
        <v>No</v>
      </c>
      <c r="E13" s="16" t="str">
        <f>IFERROR(__xludf.DUMMYFUNCTION("""COMPUTED_VALUE"""),"p_dc87488445338fe1a72238e0f1d73addc8dddc4c@inbound.aiesec.org")</f>
        <v>p_dc87488445338fe1a72238e0f1d73addc8dddc4c@inbound.aiesec.org</v>
      </c>
      <c r="F13" s="16">
        <f>IFERROR(__xludf.DUMMYFUNCTION("""COMPUTED_VALUE"""),5.422533165E9)</f>
        <v>5422533165</v>
      </c>
      <c r="G13" s="16" t="str">
        <f>IFERROR(__xludf.DUMMYFUNCTION("""COMPUTED_VALUE"""),"Turkey")</f>
        <v>Turkey</v>
      </c>
      <c r="H13" s="16" t="str">
        <f>IFERROR(__xludf.DUMMYFUNCTION("""COMPUTED_VALUE"""),"SAKARYA")</f>
        <v>SAKARYA</v>
      </c>
      <c r="I13" s="16" t="str">
        <f>IFERROR(__xludf.DUMMYFUNCTION("""COMPUTED_VALUE"""),"Czech Republic")</f>
        <v>Czech Republic</v>
      </c>
      <c r="J13" s="16" t="str">
        <f>IFERROR(__xludf.DUMMYFUNCTION("""COMPUTED_VALUE"""),"ČZU Praha")</f>
        <v>ČZU Praha</v>
      </c>
      <c r="K13" s="17" t="str">
        <f>IFERROR(__xludf.DUMMYFUNCTION("""COMPUTED_VALUE"""),"https://expa.aiesec.org/opportunities/1289076")</f>
        <v>https://expa.aiesec.org/opportunities/1289076</v>
      </c>
      <c r="L13" s="16" t="str">
        <f>IFERROR(__xludf.DUMMYFUNCTION("""COMPUTED_VALUE"""),"GV")</f>
        <v>GV</v>
      </c>
      <c r="M13" s="16" t="str">
        <f>IFERROR(__xludf.DUMMYFUNCTION("""COMPUTED_VALUE"""),"short")</f>
        <v>short</v>
      </c>
      <c r="N13" s="18">
        <f>IFERROR(__xludf.DUMMYFUNCTION("""COMPUTED_VALUE"""),44803.0)</f>
        <v>44803</v>
      </c>
      <c r="O13" s="18">
        <f>IFERROR(__xludf.DUMMYFUNCTION("""COMPUTED_VALUE"""),44938.0)</f>
        <v>44938</v>
      </c>
      <c r="P13" s="18">
        <f>IFERROR(__xludf.DUMMYFUNCTION("""COMPUTED_VALUE"""),44980.0)</f>
        <v>44980</v>
      </c>
      <c r="Q13" s="18"/>
      <c r="R13" s="18"/>
      <c r="S13" s="16"/>
      <c r="T13" s="16"/>
      <c r="U13" s="16" t="str">
        <f>IFERROR(__xludf.DUMMYFUNCTION("""COMPUTED_VALUE"""),"Youth 4 Impact")</f>
        <v>Youth 4 Impact</v>
      </c>
      <c r="V13" s="16" t="str">
        <f>IFERROR(__xludf.DUMMYFUNCTION("""COMPUTED_VALUE"""),"SAKARYA")</f>
        <v>SAKARYA</v>
      </c>
      <c r="W13" s="16" t="str">
        <f>IFERROR(__xludf.DUMMYFUNCTION("""COMPUTED_VALUE"""),"2022-08-29T14:34:09Z")</f>
        <v>2022-08-29T14:34:09Z</v>
      </c>
      <c r="X13" s="16"/>
      <c r="Y13" s="16"/>
      <c r="Z13" s="16"/>
    </row>
    <row r="14">
      <c r="A14" s="16" t="str">
        <f>IFERROR(__xludf.DUMMYFUNCTION("""COMPUTED_VALUE"""),"5103790_1289076")</f>
        <v>5103790_1289076</v>
      </c>
      <c r="B14" s="16" t="str">
        <f>IFERROR(__xludf.DUMMYFUNCTION("""COMPUTED_VALUE"""),"Yusuf Kaya")</f>
        <v>Yusuf Kaya</v>
      </c>
      <c r="C14" s="16" t="str">
        <f>IFERROR(__xludf.DUMMYFUNCTION("""COMPUTED_VALUE"""),"approved")</f>
        <v>approved</v>
      </c>
      <c r="D14" s="16" t="str">
        <f>IFERROR(__xludf.DUMMYFUNCTION("""COMPUTED_VALUE"""),"No")</f>
        <v>No</v>
      </c>
      <c r="E14" s="16" t="str">
        <f>IFERROR(__xludf.DUMMYFUNCTION("""COMPUTED_VALUE"""),"p_50507a0cfca572f52293e312da5429a6eb9ceacb@inbound.aiesec.org")</f>
        <v>p_50507a0cfca572f52293e312da5429a6eb9ceacb@inbound.aiesec.org</v>
      </c>
      <c r="F14" s="16">
        <f>IFERROR(__xludf.DUMMYFUNCTION("""COMPUTED_VALUE"""),5.385625551E9)</f>
        <v>5385625551</v>
      </c>
      <c r="G14" s="16" t="str">
        <f>IFERROR(__xludf.DUMMYFUNCTION("""COMPUTED_VALUE"""),"Turkey")</f>
        <v>Turkey</v>
      </c>
      <c r="H14" s="16" t="str">
        <f>IFERROR(__xludf.DUMMYFUNCTION("""COMPUTED_VALUE"""),"KOCAELI")</f>
        <v>KOCAELI</v>
      </c>
      <c r="I14" s="16" t="str">
        <f>IFERROR(__xludf.DUMMYFUNCTION("""COMPUTED_VALUE"""),"Czech Republic")</f>
        <v>Czech Republic</v>
      </c>
      <c r="J14" s="16" t="str">
        <f>IFERROR(__xludf.DUMMYFUNCTION("""COMPUTED_VALUE"""),"ČZU Praha")</f>
        <v>ČZU Praha</v>
      </c>
      <c r="K14" s="17" t="str">
        <f>IFERROR(__xludf.DUMMYFUNCTION("""COMPUTED_VALUE"""),"https://expa.aiesec.org/opportunities/1289076")</f>
        <v>https://expa.aiesec.org/opportunities/1289076</v>
      </c>
      <c r="L14" s="16" t="str">
        <f>IFERROR(__xludf.DUMMYFUNCTION("""COMPUTED_VALUE"""),"GV")</f>
        <v>GV</v>
      </c>
      <c r="M14" s="16" t="str">
        <f>IFERROR(__xludf.DUMMYFUNCTION("""COMPUTED_VALUE"""),"short")</f>
        <v>short</v>
      </c>
      <c r="N14" s="18">
        <f>IFERROR(__xludf.DUMMYFUNCTION("""COMPUTED_VALUE"""),44812.0)</f>
        <v>44812</v>
      </c>
      <c r="O14" s="18">
        <f>IFERROR(__xludf.DUMMYFUNCTION("""COMPUTED_VALUE"""),44938.0)</f>
        <v>44938</v>
      </c>
      <c r="P14" s="18">
        <f>IFERROR(__xludf.DUMMYFUNCTION("""COMPUTED_VALUE"""),44980.0)</f>
        <v>44980</v>
      </c>
      <c r="Q14" s="18"/>
      <c r="R14" s="18"/>
      <c r="S14" s="16"/>
      <c r="T14" s="16"/>
      <c r="U14" s="16" t="str">
        <f>IFERROR(__xludf.DUMMYFUNCTION("""COMPUTED_VALUE"""),"Youth 4 Impact")</f>
        <v>Youth 4 Impact</v>
      </c>
      <c r="V14" s="16" t="str">
        <f>IFERROR(__xludf.DUMMYFUNCTION("""COMPUTED_VALUE"""),"ISTANBUL ASIA")</f>
        <v>ISTANBUL ASIA</v>
      </c>
      <c r="W14" s="16" t="str">
        <f>IFERROR(__xludf.DUMMYFUNCTION("""COMPUTED_VALUE"""),"2022-09-01T19:35:32Z")</f>
        <v>2022-09-01T19:35:32Z</v>
      </c>
      <c r="X14" s="16"/>
      <c r="Y14" s="16"/>
      <c r="Z14" s="16"/>
    </row>
    <row r="15">
      <c r="A15" s="16" t="str">
        <f>IFERROR(__xludf.DUMMYFUNCTION("""COMPUTED_VALUE"""),"5104878_1288745")</f>
        <v>5104878_1288745</v>
      </c>
      <c r="B15" s="16" t="str">
        <f>IFERROR(__xludf.DUMMYFUNCTION("""COMPUTED_VALUE"""),"EBRAR BOZKURT")</f>
        <v>EBRAR BOZKURT</v>
      </c>
      <c r="C15" s="16" t="str">
        <f>IFERROR(__xludf.DUMMYFUNCTION("""COMPUTED_VALUE"""),"approved")</f>
        <v>approved</v>
      </c>
      <c r="D15" s="16" t="str">
        <f>IFERROR(__xludf.DUMMYFUNCTION("""COMPUTED_VALUE"""),"No")</f>
        <v>No</v>
      </c>
      <c r="E15" s="16" t="str">
        <f>IFERROR(__xludf.DUMMYFUNCTION("""COMPUTED_VALUE"""),"p_2354d869ae435c55ac1f43bdb25a0a4bf3efedaa@inbound.aiesec.org")</f>
        <v>p_2354d869ae435c55ac1f43bdb25a0a4bf3efedaa@inbound.aiesec.org</v>
      </c>
      <c r="F15" s="16">
        <f>IFERROR(__xludf.DUMMYFUNCTION("""COMPUTED_VALUE"""),5.46534369E9)</f>
        <v>5465343690</v>
      </c>
      <c r="G15" s="16" t="str">
        <f>IFERROR(__xludf.DUMMYFUNCTION("""COMPUTED_VALUE"""),"Turkey")</f>
        <v>Turkey</v>
      </c>
      <c r="H15" s="16" t="str">
        <f>IFERROR(__xludf.DUMMYFUNCTION("""COMPUTED_VALUE"""),"ISTANBUL WEST")</f>
        <v>ISTANBUL WEST</v>
      </c>
      <c r="I15" s="16" t="str">
        <f>IFERROR(__xludf.DUMMYFUNCTION("""COMPUTED_VALUE"""),"Egypt")</f>
        <v>Egypt</v>
      </c>
      <c r="J15" s="16" t="str">
        <f>IFERROR(__xludf.DUMMYFUNCTION("""COMPUTED_VALUE"""),"6th October University")</f>
        <v>6th October University</v>
      </c>
      <c r="K15" s="17" t="str">
        <f>IFERROR(__xludf.DUMMYFUNCTION("""COMPUTED_VALUE"""),"https://expa.aiesec.org/opportunities/1288745")</f>
        <v>https://expa.aiesec.org/opportunities/1288745</v>
      </c>
      <c r="L15" s="16" t="str">
        <f>IFERROR(__xludf.DUMMYFUNCTION("""COMPUTED_VALUE"""),"GV")</f>
        <v>GV</v>
      </c>
      <c r="M15" s="16" t="str">
        <f>IFERROR(__xludf.DUMMYFUNCTION("""COMPUTED_VALUE"""),"short")</f>
        <v>short</v>
      </c>
      <c r="N15" s="18">
        <f>IFERROR(__xludf.DUMMYFUNCTION("""COMPUTED_VALUE"""),44819.0)</f>
        <v>44819</v>
      </c>
      <c r="O15" s="18">
        <f>IFERROR(__xludf.DUMMYFUNCTION("""COMPUTED_VALUE"""),44919.0)</f>
        <v>44919</v>
      </c>
      <c r="P15" s="18">
        <f>IFERROR(__xludf.DUMMYFUNCTION("""COMPUTED_VALUE"""),44961.0)</f>
        <v>44961</v>
      </c>
      <c r="Q15" s="18"/>
      <c r="R15" s="18"/>
      <c r="S15" s="16"/>
      <c r="T15" s="16"/>
      <c r="U15" s="16" t="str">
        <f>IFERROR(__xludf.DUMMYFUNCTION("""COMPUTED_VALUE"""),"Fingerprint")</f>
        <v>Fingerprint</v>
      </c>
      <c r="V15" s="16" t="str">
        <f>IFERROR(__xludf.DUMMYFUNCTION("""COMPUTED_VALUE"""),"ISTANBUL - BEYOGLU")</f>
        <v>ISTANBUL - BEYOGLU</v>
      </c>
      <c r="W15" s="16" t="str">
        <f>IFERROR(__xludf.DUMMYFUNCTION("""COMPUTED_VALUE"""),"2022-09-03T14:35:27Z")</f>
        <v>2022-09-03T14:35:27Z</v>
      </c>
      <c r="X15" s="16"/>
      <c r="Y15" s="16"/>
      <c r="Z15" s="16"/>
    </row>
    <row r="16">
      <c r="A16" s="16" t="str">
        <f>IFERROR(__xludf.DUMMYFUNCTION("""COMPUTED_VALUE"""),"4970486_1289752")</f>
        <v>4970486_1289752</v>
      </c>
      <c r="B16" s="16" t="str">
        <f>IFERROR(__xludf.DUMMYFUNCTION("""COMPUTED_VALUE"""),"Bora Taşçı")</f>
        <v>Bora Taşçı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IFERROR(__xludf.DUMMYFUNCTION("""COMPUTED_VALUE"""),"p_4723a9afd9b62314ec9005010bbe8b8da42b0d80@inbound.aiesec.org")</f>
        <v>p_4723a9afd9b62314ec9005010bbe8b8da42b0d80@inbound.aiesec.org</v>
      </c>
      <c r="F16" s="16">
        <f>IFERROR(__xludf.DUMMYFUNCTION("""COMPUTED_VALUE"""),5.053885117E9)</f>
        <v>5053885117</v>
      </c>
      <c r="G16" s="16" t="str">
        <f>IFERROR(__xludf.DUMMYFUNCTION("""COMPUTED_VALUE"""),"Turkey")</f>
        <v>Turkey</v>
      </c>
      <c r="H16" s="16" t="str">
        <f>IFERROR(__xludf.DUMMYFUNCTION("""COMPUTED_VALUE"""),"KUTAHYA")</f>
        <v>KUTAHYA</v>
      </c>
      <c r="I16" s="16" t="str">
        <f>IFERROR(__xludf.DUMMYFUNCTION("""COMPUTED_VALUE"""),"Italy")</f>
        <v>Italy</v>
      </c>
      <c r="J16" s="16" t="str">
        <f>IFERROR(__xludf.DUMMYFUNCTION("""COMPUTED_VALUE"""),"Venezia")</f>
        <v>Venezia</v>
      </c>
      <c r="K16" s="17" t="str">
        <f>IFERROR(__xludf.DUMMYFUNCTION("""COMPUTED_VALUE"""),"https://expa.aiesec.org/opportunities/1289752")</f>
        <v>https://expa.aiesec.org/opportunities/1289752</v>
      </c>
      <c r="L16" s="16" t="str">
        <f>IFERROR(__xludf.DUMMYFUNCTION("""COMPUTED_VALUE"""),"GV")</f>
        <v>GV</v>
      </c>
      <c r="M16" s="16" t="str">
        <f>IFERROR(__xludf.DUMMYFUNCTION("""COMPUTED_VALUE"""),"short")</f>
        <v>short</v>
      </c>
      <c r="N16" s="18">
        <f>IFERROR(__xludf.DUMMYFUNCTION("""COMPUTED_VALUE"""),44832.0)</f>
        <v>44832</v>
      </c>
      <c r="O16" s="18">
        <f>IFERROR(__xludf.DUMMYFUNCTION("""COMPUTED_VALUE"""),44935.0)</f>
        <v>44935</v>
      </c>
      <c r="P16" s="18">
        <f>IFERROR(__xludf.DUMMYFUNCTION("""COMPUTED_VALUE"""),44977.0)</f>
        <v>44977</v>
      </c>
      <c r="Q16" s="18"/>
      <c r="R16" s="18"/>
      <c r="S16" s="16"/>
      <c r="T16" s="16"/>
      <c r="U16" s="16" t="str">
        <f>IFERROR(__xludf.DUMMYFUNCTION("""COMPUTED_VALUE"""),"Youth 4 Impact")</f>
        <v>Youth 4 Impact</v>
      </c>
      <c r="V16" s="16" t="str">
        <f>IFERROR(__xludf.DUMMYFUNCTION("""COMPUTED_VALUE"""),"KUTAHYA")</f>
        <v>KUTAHYA</v>
      </c>
      <c r="W16" s="16" t="str">
        <f>IFERROR(__xludf.DUMMYFUNCTION("""COMPUTED_VALUE"""),"2022-03-08T08:31:35Z")</f>
        <v>2022-03-08T08:31:35Z</v>
      </c>
      <c r="X16" s="16"/>
      <c r="Y16" s="16"/>
      <c r="Z16" s="16"/>
    </row>
    <row r="17">
      <c r="A17" s="16" t="str">
        <f>IFERROR(__xludf.DUMMYFUNCTION("""COMPUTED_VALUE"""),"5072791_1287990")</f>
        <v>5072791_1287990</v>
      </c>
      <c r="B17" s="16" t="str">
        <f>IFERROR(__xludf.DUMMYFUNCTION("""COMPUTED_VALUE"""),"Melike KISMET")</f>
        <v>Melike KISMET</v>
      </c>
      <c r="C17" s="16" t="str">
        <f>IFERROR(__xludf.DUMMYFUNCTION("""COMPUTED_VALUE"""),"approved")</f>
        <v>approved</v>
      </c>
      <c r="D17" s="16" t="str">
        <f>IFERROR(__xludf.DUMMYFUNCTION("""COMPUTED_VALUE"""),"No")</f>
        <v>No</v>
      </c>
      <c r="E17" s="16" t="str">
        <f>IFERROR(__xludf.DUMMYFUNCTION("""COMPUTED_VALUE"""),"p_fb50cf48f5a29a6931aa0de60c5449267a64fefa@inbound.aiesec.org")</f>
        <v>p_fb50cf48f5a29a6931aa0de60c5449267a64fefa@inbound.aiesec.org</v>
      </c>
      <c r="F17" s="16">
        <f>IFERROR(__xludf.DUMMYFUNCTION("""COMPUTED_VALUE"""),5.315409716E9)</f>
        <v>5315409716</v>
      </c>
      <c r="G17" s="16" t="str">
        <f>IFERROR(__xludf.DUMMYFUNCTION("""COMPUTED_VALUE"""),"Turkey")</f>
        <v>Turkey</v>
      </c>
      <c r="H17" s="16" t="str">
        <f>IFERROR(__xludf.DUMMYFUNCTION("""COMPUTED_VALUE"""),"KOCAELI")</f>
        <v>KOCAELI</v>
      </c>
      <c r="I17" s="16" t="str">
        <f>IFERROR(__xludf.DUMMYFUNCTION("""COMPUTED_VALUE"""),"India")</f>
        <v>India</v>
      </c>
      <c r="J17" s="16" t="str">
        <f>IFERROR(__xludf.DUMMYFUNCTION("""COMPUTED_VALUE"""),"JAIPUR ")</f>
        <v>JAIPUR </v>
      </c>
      <c r="K17" s="17" t="str">
        <f>IFERROR(__xludf.DUMMYFUNCTION("""COMPUTED_VALUE"""),"https://expa.aiesec.org/opportunities/1287990")</f>
        <v>https://expa.aiesec.org/opportunities/1287990</v>
      </c>
      <c r="L17" s="16" t="str">
        <f>IFERROR(__xludf.DUMMYFUNCTION("""COMPUTED_VALUE"""),"GV")</f>
        <v>GV</v>
      </c>
      <c r="M17" s="16" t="str">
        <f>IFERROR(__xludf.DUMMYFUNCTION("""COMPUTED_VALUE"""),"short")</f>
        <v>short</v>
      </c>
      <c r="N17" s="18">
        <f>IFERROR(__xludf.DUMMYFUNCTION("""COMPUTED_VALUE"""),44833.0)</f>
        <v>44833</v>
      </c>
      <c r="O17" s="18">
        <f>IFERROR(__xludf.DUMMYFUNCTION("""COMPUTED_VALUE"""),45114.0)</f>
        <v>45114</v>
      </c>
      <c r="P17" s="18">
        <f>IFERROR(__xludf.DUMMYFUNCTION("""COMPUTED_VALUE"""),45156.0)</f>
        <v>45156</v>
      </c>
      <c r="Q17" s="18"/>
      <c r="R17" s="18"/>
      <c r="S17" s="16"/>
      <c r="T17" s="16"/>
      <c r="U17" s="16" t="str">
        <f>IFERROR(__xludf.DUMMYFUNCTION("""COMPUTED_VALUE"""),"Skill Up!")</f>
        <v>Skill Up!</v>
      </c>
      <c r="V17" s="16" t="str">
        <f>IFERROR(__xludf.DUMMYFUNCTION("""COMPUTED_VALUE"""),"KOCAELI")</f>
        <v>KOCAELI</v>
      </c>
      <c r="W17" s="16" t="str">
        <f>IFERROR(__xludf.DUMMYFUNCTION("""COMPUTED_VALUE"""),"2022-06-15T10:31:51Z")</f>
        <v>2022-06-15T10:31:51Z</v>
      </c>
      <c r="X17" s="16"/>
      <c r="Y17" s="16"/>
      <c r="Z17" s="16"/>
    </row>
    <row r="18">
      <c r="A18" s="16" t="str">
        <f>IFERROR(__xludf.DUMMYFUNCTION("""COMPUTED_VALUE"""),"3929422_1288840")</f>
        <v>3929422_1288840</v>
      </c>
      <c r="B18" s="16" t="str">
        <f>IFERROR(__xludf.DUMMYFUNCTION("""COMPUTED_VALUE"""),"Kondwani Banda")</f>
        <v>Kondwani Banda</v>
      </c>
      <c r="C18" s="16" t="str">
        <f>IFERROR(__xludf.DUMMYFUNCTION("""COMPUTED_VALUE"""),"approved")</f>
        <v>approved</v>
      </c>
      <c r="D18" s="16" t="str">
        <f>IFERROR(__xludf.DUMMYFUNCTION("""COMPUTED_VALUE"""),"No")</f>
        <v>No</v>
      </c>
      <c r="E18" s="16" t="str">
        <f>IFERROR(__xludf.DUMMYFUNCTION("""COMPUTED_VALUE"""),"p_21bdde1103db4b879cc7a404dfafafb5be55f9a4@inbound.aiesec.org")</f>
        <v>p_21bdde1103db4b879cc7a404dfafafb5be55f9a4@inbound.aiesec.org</v>
      </c>
      <c r="F18" s="16">
        <f>IFERROR(__xludf.DUMMYFUNCTION("""COMPUTED_VALUE"""),5.367214718E9)</f>
        <v>5367214718</v>
      </c>
      <c r="G18" s="16" t="str">
        <f>IFERROR(__xludf.DUMMYFUNCTION("""COMPUTED_VALUE"""),"Turkey")</f>
        <v>Turkey</v>
      </c>
      <c r="H18" s="16" t="str">
        <f>IFERROR(__xludf.DUMMYFUNCTION("""COMPUTED_VALUE"""),"ANKARA")</f>
        <v>ANKARA</v>
      </c>
      <c r="I18" s="16" t="str">
        <f>IFERROR(__xludf.DUMMYFUNCTION("""COMPUTED_VALUE"""),"Georgia")</f>
        <v>Georgia</v>
      </c>
      <c r="J18" s="16" t="str">
        <f>IFERROR(__xludf.DUMMYFUNCTION("""COMPUTED_VALUE"""),"The University of Georgia")</f>
        <v>The University of Georgia</v>
      </c>
      <c r="K18" s="17" t="str">
        <f>IFERROR(__xludf.DUMMYFUNCTION("""COMPUTED_VALUE"""),"https://expa.aiesec.org/opportunities/1288840")</f>
        <v>https://expa.aiesec.org/opportunities/1288840</v>
      </c>
      <c r="L18" s="16" t="str">
        <f>IFERROR(__xludf.DUMMYFUNCTION("""COMPUTED_VALUE"""),"GV")</f>
        <v>GV</v>
      </c>
      <c r="M18" s="16" t="str">
        <f>IFERROR(__xludf.DUMMYFUNCTION("""COMPUTED_VALUE"""),"short")</f>
        <v>short</v>
      </c>
      <c r="N18" s="18">
        <f>IFERROR(__xludf.DUMMYFUNCTION("""COMPUTED_VALUE"""),44833.0)</f>
        <v>44833</v>
      </c>
      <c r="O18" s="18">
        <f>IFERROR(__xludf.DUMMYFUNCTION("""COMPUTED_VALUE"""),44903.0)</f>
        <v>44903</v>
      </c>
      <c r="P18" s="18">
        <f>IFERROR(__xludf.DUMMYFUNCTION("""COMPUTED_VALUE"""),44945.0)</f>
        <v>44945</v>
      </c>
      <c r="Q18" s="18"/>
      <c r="R18" s="18"/>
      <c r="S18" s="16"/>
      <c r="T18" s="16"/>
      <c r="U18" s="16" t="str">
        <f>IFERROR(__xludf.DUMMYFUNCTION("""COMPUTED_VALUE"""),"Global Classroom")</f>
        <v>Global Classroom</v>
      </c>
      <c r="V18" s="16" t="str">
        <f>IFERROR(__xludf.DUMMYFUNCTION("""COMPUTED_VALUE"""),"ANKARA")</f>
        <v>ANKARA</v>
      </c>
      <c r="W18" s="16" t="str">
        <f>IFERROR(__xludf.DUMMYFUNCTION("""COMPUTED_VALUE"""),"2019-10-27T14:50:35Z")</f>
        <v>2019-10-27T14:50:35Z</v>
      </c>
      <c r="X18" s="16"/>
      <c r="Y18" s="16"/>
      <c r="Z18" s="16"/>
    </row>
    <row r="19">
      <c r="A19" s="16" t="str">
        <f>IFERROR(__xludf.DUMMYFUNCTION("""COMPUTED_VALUE"""),"5108541_1289281")</f>
        <v>5108541_1289281</v>
      </c>
      <c r="B19" s="16" t="str">
        <f>IFERROR(__xludf.DUMMYFUNCTION("""COMPUTED_VALUE"""),"feride sena erbil")</f>
        <v>feride sena erbil</v>
      </c>
      <c r="C19" s="16" t="str">
        <f>IFERROR(__xludf.DUMMYFUNCTION("""COMPUTED_VALUE"""),"approved")</f>
        <v>approved</v>
      </c>
      <c r="D19" s="16" t="str">
        <f>IFERROR(__xludf.DUMMYFUNCTION("""COMPUTED_VALUE"""),"No")</f>
        <v>No</v>
      </c>
      <c r="E19" s="16" t="str">
        <f>IFERROR(__xludf.DUMMYFUNCTION("""COMPUTED_VALUE"""),"p_e5f9d9300a13de6d0b24745ff9e9508d932be8fe@inbound.aiesec.org")</f>
        <v>p_e5f9d9300a13de6d0b24745ff9e9508d932be8fe@inbound.aiesec.org</v>
      </c>
      <c r="F19" s="16">
        <f>IFERROR(__xludf.DUMMYFUNCTION("""COMPUTED_VALUE"""),5.079948777E9)</f>
        <v>5079948777</v>
      </c>
      <c r="G19" s="16" t="str">
        <f>IFERROR(__xludf.DUMMYFUNCTION("""COMPUTED_VALUE"""),"Turkey")</f>
        <v>Turkey</v>
      </c>
      <c r="H19" s="16" t="str">
        <f>IFERROR(__xludf.DUMMYFUNCTION("""COMPUTED_VALUE"""),"ADANA")</f>
        <v>ADANA</v>
      </c>
      <c r="I19" s="16" t="str">
        <f>IFERROR(__xludf.DUMMYFUNCTION("""COMPUTED_VALUE"""),"Romania")</f>
        <v>Romania</v>
      </c>
      <c r="J19" s="16" t="str">
        <f>IFERROR(__xludf.DUMMYFUNCTION("""COMPUTED_VALUE"""),"PITESTI")</f>
        <v>PITESTI</v>
      </c>
      <c r="K19" s="17" t="str">
        <f>IFERROR(__xludf.DUMMYFUNCTION("""COMPUTED_VALUE"""),"https://expa.aiesec.org/opportunities/1289281")</f>
        <v>https://expa.aiesec.org/opportunities/1289281</v>
      </c>
      <c r="L19" s="16" t="str">
        <f>IFERROR(__xludf.DUMMYFUNCTION("""COMPUTED_VALUE"""),"GV")</f>
        <v>GV</v>
      </c>
      <c r="M19" s="16" t="str">
        <f>IFERROR(__xludf.DUMMYFUNCTION("""COMPUTED_VALUE"""),"short")</f>
        <v>short</v>
      </c>
      <c r="N19" s="18">
        <f>IFERROR(__xludf.DUMMYFUNCTION("""COMPUTED_VALUE"""),44833.0)</f>
        <v>44833</v>
      </c>
      <c r="O19" s="18">
        <f>IFERROR(__xludf.DUMMYFUNCTION("""COMPUTED_VALUE"""),45108.0)</f>
        <v>45108</v>
      </c>
      <c r="P19" s="18">
        <f>IFERROR(__xludf.DUMMYFUNCTION("""COMPUTED_VALUE"""),45156.0)</f>
        <v>45156</v>
      </c>
      <c r="Q19" s="18"/>
      <c r="R19" s="18"/>
      <c r="S19" s="16"/>
      <c r="T19" s="16"/>
      <c r="U19" s="16" t="str">
        <f>IFERROR(__xludf.DUMMYFUNCTION("""COMPUTED_VALUE"""),"Global Classroom")</f>
        <v>Global Classroom</v>
      </c>
      <c r="V19" s="16" t="str">
        <f>IFERROR(__xludf.DUMMYFUNCTION("""COMPUTED_VALUE"""),"ADANA")</f>
        <v>ADANA</v>
      </c>
      <c r="W19" s="16" t="str">
        <f>IFERROR(__xludf.DUMMYFUNCTION("""COMPUTED_VALUE"""),"2022-09-09T11:08:38Z")</f>
        <v>2022-09-09T11:08:38Z</v>
      </c>
      <c r="X19" s="16"/>
      <c r="Y19" s="16"/>
      <c r="Z19" s="16"/>
    </row>
    <row r="20">
      <c r="A20" s="16" t="str">
        <f>IFERROR(__xludf.DUMMYFUNCTION("""COMPUTED_VALUE"""),"5117309_1287243")</f>
        <v>5117309_1287243</v>
      </c>
      <c r="B20" s="16" t="str">
        <f>IFERROR(__xludf.DUMMYFUNCTION("""COMPUTED_VALUE"""),"Sena Dikilitas")</f>
        <v>Sena Dikilitas</v>
      </c>
      <c r="C20" s="16" t="str">
        <f>IFERROR(__xludf.DUMMYFUNCTION("""COMPUTED_VALUE"""),"approved")</f>
        <v>approved</v>
      </c>
      <c r="D20" s="16" t="str">
        <f>IFERROR(__xludf.DUMMYFUNCTION("""COMPUTED_VALUE"""),"No")</f>
        <v>No</v>
      </c>
      <c r="E20" s="16" t="str">
        <f>IFERROR(__xludf.DUMMYFUNCTION("""COMPUTED_VALUE"""),"p_b94b5c48fa9d5535d5377a2b260c213879996da3@inbound.aiesec.org")</f>
        <v>p_b94b5c48fa9d5535d5377a2b260c213879996da3@inbound.aiesec.org</v>
      </c>
      <c r="F20" s="16">
        <f>IFERROR(__xludf.DUMMYFUNCTION("""COMPUTED_VALUE"""),5.369488488E9)</f>
        <v>5369488488</v>
      </c>
      <c r="G20" s="16" t="str">
        <f>IFERROR(__xludf.DUMMYFUNCTION("""COMPUTED_VALUE"""),"Turkey")</f>
        <v>Turkey</v>
      </c>
      <c r="H20" s="16" t="str">
        <f>IFERROR(__xludf.DUMMYFUNCTION("""COMPUTED_VALUE"""),"ANKARA")</f>
        <v>ANKARA</v>
      </c>
      <c r="I20" s="16" t="str">
        <f>IFERROR(__xludf.DUMMYFUNCTION("""COMPUTED_VALUE"""),"India")</f>
        <v>India</v>
      </c>
      <c r="J20" s="16" t="str">
        <f>IFERROR(__xludf.DUMMYFUNCTION("""COMPUTED_VALUE"""),"Ahmedabad")</f>
        <v>Ahmedabad</v>
      </c>
      <c r="K20" s="17" t="str">
        <f>IFERROR(__xludf.DUMMYFUNCTION("""COMPUTED_VALUE"""),"https://expa.aiesec.org/opportunities/1287243")</f>
        <v>https://expa.aiesec.org/opportunities/1287243</v>
      </c>
      <c r="L20" s="16" t="str">
        <f>IFERROR(__xludf.DUMMYFUNCTION("""COMPUTED_VALUE"""),"GV")</f>
        <v>GV</v>
      </c>
      <c r="M20" s="16" t="str">
        <f>IFERROR(__xludf.DUMMYFUNCTION("""COMPUTED_VALUE"""),"short")</f>
        <v>short</v>
      </c>
      <c r="N20" s="18">
        <f>IFERROR(__xludf.DUMMYFUNCTION("""COMPUTED_VALUE"""),44834.0)</f>
        <v>44834</v>
      </c>
      <c r="O20" s="18">
        <f>IFERROR(__xludf.DUMMYFUNCTION("""COMPUTED_VALUE"""),44942.0)</f>
        <v>44942</v>
      </c>
      <c r="P20" s="18">
        <f>IFERROR(__xludf.DUMMYFUNCTION("""COMPUTED_VALUE"""),44986.0)</f>
        <v>44986</v>
      </c>
      <c r="Q20" s="18"/>
      <c r="R20" s="18"/>
      <c r="S20" s="16"/>
      <c r="T20" s="16"/>
      <c r="U20" s="16" t="str">
        <f>IFERROR(__xludf.DUMMYFUNCTION("""COMPUTED_VALUE"""),"Raise Your Voice")</f>
        <v>Raise Your Voice</v>
      </c>
      <c r="V20" s="16" t="str">
        <f>IFERROR(__xludf.DUMMYFUNCTION("""COMPUTED_VALUE"""),"ANKARA")</f>
        <v>ANKARA</v>
      </c>
      <c r="W20" s="16" t="str">
        <f>IFERROR(__xludf.DUMMYFUNCTION("""COMPUTED_VALUE"""),"2022-09-22T02:27:00Z")</f>
        <v>2022-09-22T02:27:00Z</v>
      </c>
      <c r="X20" s="16"/>
      <c r="Y20" s="16"/>
      <c r="Z20" s="16"/>
    </row>
    <row r="21">
      <c r="A21" s="16" t="str">
        <f>IFERROR(__xludf.DUMMYFUNCTION("""COMPUTED_VALUE"""),"5093655_1287243")</f>
        <v>5093655_1287243</v>
      </c>
      <c r="B21" s="16" t="str">
        <f>IFERROR(__xludf.DUMMYFUNCTION("""COMPUTED_VALUE"""),"Dilara Demirel")</f>
        <v>Dilara Demirel</v>
      </c>
      <c r="C21" s="16" t="str">
        <f>IFERROR(__xludf.DUMMYFUNCTION("""COMPUTED_VALUE"""),"approved")</f>
        <v>approved</v>
      </c>
      <c r="D21" s="16" t="str">
        <f>IFERROR(__xludf.DUMMYFUNCTION("""COMPUTED_VALUE"""),"No")</f>
        <v>No</v>
      </c>
      <c r="E21" s="16" t="str">
        <f>IFERROR(__xludf.DUMMYFUNCTION("""COMPUTED_VALUE"""),"p_23ad0058f7d6fa5a48d348ed3470e3aac75b1460@inbound.aiesec.org")</f>
        <v>p_23ad0058f7d6fa5a48d348ed3470e3aac75b1460@inbound.aiesec.org</v>
      </c>
      <c r="F21" s="16">
        <f>IFERROR(__xludf.DUMMYFUNCTION("""COMPUTED_VALUE"""),5.456727185E9)</f>
        <v>5456727185</v>
      </c>
      <c r="G21" s="16" t="str">
        <f>IFERROR(__xludf.DUMMYFUNCTION("""COMPUTED_VALUE"""),"Turkey")</f>
        <v>Turkey</v>
      </c>
      <c r="H21" s="16" t="str">
        <f>IFERROR(__xludf.DUMMYFUNCTION("""COMPUTED_VALUE"""),"ANKARA")</f>
        <v>ANKARA</v>
      </c>
      <c r="I21" s="16" t="str">
        <f>IFERROR(__xludf.DUMMYFUNCTION("""COMPUTED_VALUE"""),"India")</f>
        <v>India</v>
      </c>
      <c r="J21" s="16" t="str">
        <f>IFERROR(__xludf.DUMMYFUNCTION("""COMPUTED_VALUE"""),"Ahmedabad")</f>
        <v>Ahmedabad</v>
      </c>
      <c r="K21" s="17" t="str">
        <f>IFERROR(__xludf.DUMMYFUNCTION("""COMPUTED_VALUE"""),"https://expa.aiesec.org/opportunities/1287243")</f>
        <v>https://expa.aiesec.org/opportunities/1287243</v>
      </c>
      <c r="L21" s="16" t="str">
        <f>IFERROR(__xludf.DUMMYFUNCTION("""COMPUTED_VALUE"""),"GV")</f>
        <v>GV</v>
      </c>
      <c r="M21" s="16" t="str">
        <f>IFERROR(__xludf.DUMMYFUNCTION("""COMPUTED_VALUE"""),"short")</f>
        <v>short</v>
      </c>
      <c r="N21" s="18">
        <f>IFERROR(__xludf.DUMMYFUNCTION("""COMPUTED_VALUE"""),44834.0)</f>
        <v>44834</v>
      </c>
      <c r="O21" s="18">
        <f>IFERROR(__xludf.DUMMYFUNCTION("""COMPUTED_VALUE"""),44942.0)</f>
        <v>44942</v>
      </c>
      <c r="P21" s="18">
        <f>IFERROR(__xludf.DUMMYFUNCTION("""COMPUTED_VALUE"""),44986.0)</f>
        <v>44986</v>
      </c>
      <c r="Q21" s="18"/>
      <c r="R21" s="18"/>
      <c r="S21" s="16"/>
      <c r="T21" s="16"/>
      <c r="U21" s="16" t="str">
        <f>IFERROR(__xludf.DUMMYFUNCTION("""COMPUTED_VALUE"""),"Raise Your Voice")</f>
        <v>Raise Your Voice</v>
      </c>
      <c r="V21" s="16" t="str">
        <f>IFERROR(__xludf.DUMMYFUNCTION("""COMPUTED_VALUE"""),"ANKARA")</f>
        <v>ANKARA</v>
      </c>
      <c r="W21" s="16" t="str">
        <f>IFERROR(__xludf.DUMMYFUNCTION("""COMPUTED_VALUE"""),"2022-08-15T17:49:52Z")</f>
        <v>2022-08-15T17:49:52Z</v>
      </c>
      <c r="X21" s="16"/>
      <c r="Y21" s="16"/>
      <c r="Z21" s="16"/>
    </row>
    <row r="22">
      <c r="A22" s="16" t="str">
        <f>IFERROR(__xludf.DUMMYFUNCTION("""COMPUTED_VALUE"""),"5127063_1288419")</f>
        <v>5127063_1288419</v>
      </c>
      <c r="B22" s="16" t="str">
        <f>IFERROR(__xludf.DUMMYFUNCTION("""COMPUTED_VALUE"""),"gizem yalçın")</f>
        <v>gizem yalçın</v>
      </c>
      <c r="C22" s="16" t="str">
        <f>IFERROR(__xludf.DUMMYFUNCTION("""COMPUTED_VALUE"""),"approved")</f>
        <v>approved</v>
      </c>
      <c r="D22" s="16" t="str">
        <f>IFERROR(__xludf.DUMMYFUNCTION("""COMPUTED_VALUE"""),"No")</f>
        <v>No</v>
      </c>
      <c r="E22" s="16" t="str">
        <f>IFERROR(__xludf.DUMMYFUNCTION("""COMPUTED_VALUE"""),"p_d6fcb22a1fdd5f0bdd565ce5d7f0d258f33b6d16@inbound.aiesec.org")</f>
        <v>p_d6fcb22a1fdd5f0bdd565ce5d7f0d258f33b6d16@inbound.aiesec.org</v>
      </c>
      <c r="F22" s="16">
        <f>IFERROR(__xludf.DUMMYFUNCTION("""COMPUTED_VALUE"""),5.456020827E9)</f>
        <v>5456020827</v>
      </c>
      <c r="G22" s="16" t="str">
        <f>IFERROR(__xludf.DUMMYFUNCTION("""COMPUTED_VALUE"""),"Turkey")</f>
        <v>Turkey</v>
      </c>
      <c r="H22" s="16" t="str">
        <f>IFERROR(__xludf.DUMMYFUNCTION("""COMPUTED_VALUE"""),"KOCAELI")</f>
        <v>KOCAELI</v>
      </c>
      <c r="I22" s="16" t="str">
        <f>IFERROR(__xludf.DUMMYFUNCTION("""COMPUTED_VALUE"""),"India")</f>
        <v>India</v>
      </c>
      <c r="J22" s="16" t="str">
        <f>IFERROR(__xludf.DUMMYFUNCTION("""COMPUTED_VALUE"""),"JAIPUR ")</f>
        <v>JAIPUR </v>
      </c>
      <c r="K22" s="17" t="str">
        <f>IFERROR(__xludf.DUMMYFUNCTION("""COMPUTED_VALUE"""),"https://expa.aiesec.org/opportunities/1288419")</f>
        <v>https://expa.aiesec.org/opportunities/1288419</v>
      </c>
      <c r="L22" s="16" t="str">
        <f>IFERROR(__xludf.DUMMYFUNCTION("""COMPUTED_VALUE"""),"GV")</f>
        <v>GV</v>
      </c>
      <c r="M22" s="16" t="str">
        <f>IFERROR(__xludf.DUMMYFUNCTION("""COMPUTED_VALUE"""),"short")</f>
        <v>short</v>
      </c>
      <c r="N22" s="18">
        <f>IFERROR(__xludf.DUMMYFUNCTION("""COMPUTED_VALUE"""),44841.0)</f>
        <v>44841</v>
      </c>
      <c r="O22" s="18">
        <f>IFERROR(__xludf.DUMMYFUNCTION("""COMPUTED_VALUE"""),45108.0)</f>
        <v>45108</v>
      </c>
      <c r="P22" s="18">
        <f>IFERROR(__xludf.DUMMYFUNCTION("""COMPUTED_VALUE"""),45150.0)</f>
        <v>45150</v>
      </c>
      <c r="Q22" s="18"/>
      <c r="R22" s="18"/>
      <c r="S22" s="16"/>
      <c r="T22" s="16"/>
      <c r="U22" s="16" t="str">
        <f>IFERROR(__xludf.DUMMYFUNCTION("""COMPUTED_VALUE"""),"On The Map")</f>
        <v>On The Map</v>
      </c>
      <c r="V22" s="16" t="str">
        <f>IFERROR(__xludf.DUMMYFUNCTION("""COMPUTED_VALUE"""),"BURSA")</f>
        <v>BURSA</v>
      </c>
      <c r="W22" s="16" t="str">
        <f>IFERROR(__xludf.DUMMYFUNCTION("""COMPUTED_VALUE"""),"2022-10-07T11:21:47Z")</f>
        <v>2022-10-07T11:21:47Z</v>
      </c>
      <c r="X22" s="16"/>
      <c r="Y22" s="16"/>
      <c r="Z22" s="16"/>
    </row>
    <row r="23">
      <c r="A23" s="16" t="str">
        <f>IFERROR(__xludf.DUMMYFUNCTION("""COMPUTED_VALUE"""),"5101712_1289850")</f>
        <v>5101712_1289850</v>
      </c>
      <c r="B23" s="16" t="str">
        <f>IFERROR(__xludf.DUMMYFUNCTION("""COMPUTED_VALUE"""),"Selin Asikiraz")</f>
        <v>Selin Asikiraz</v>
      </c>
      <c r="C23" s="16" t="str">
        <f>IFERROR(__xludf.DUMMYFUNCTION("""COMPUTED_VALUE"""),"approved")</f>
        <v>approved</v>
      </c>
      <c r="D23" s="16" t="str">
        <f>IFERROR(__xludf.DUMMYFUNCTION("""COMPUTED_VALUE"""),"No")</f>
        <v>No</v>
      </c>
      <c r="E23" s="16" t="str">
        <f>IFERROR(__xludf.DUMMYFUNCTION("""COMPUTED_VALUE"""),"p_cb23cb0ad67d38bda03f96f60d83915bc59da1c0@inbound.aiesec.org")</f>
        <v>p_cb23cb0ad67d38bda03f96f60d83915bc59da1c0@inbound.aiesec.org</v>
      </c>
      <c r="F23" s="16"/>
      <c r="G23" s="16" t="str">
        <f>IFERROR(__xludf.DUMMYFUNCTION("""COMPUTED_VALUE"""),"Turkey")</f>
        <v>Turkey</v>
      </c>
      <c r="H23" s="16" t="str">
        <f>IFERROR(__xludf.DUMMYFUNCTION("""COMPUTED_VALUE"""),"ISTANBUL")</f>
        <v>ISTANBUL</v>
      </c>
      <c r="I23" s="16" t="str">
        <f>IFERROR(__xludf.DUMMYFUNCTION("""COMPUTED_VALUE"""),"India")</f>
        <v>India</v>
      </c>
      <c r="J23" s="16" t="str">
        <f>IFERROR(__xludf.DUMMYFUNCTION("""COMPUTED_VALUE"""),"Mumbai")</f>
        <v>Mumbai</v>
      </c>
      <c r="K23" s="17" t="str">
        <f>IFERROR(__xludf.DUMMYFUNCTION("""COMPUTED_VALUE"""),"https://expa.aiesec.org/opportunities/1289850")</f>
        <v>https://expa.aiesec.org/opportunities/1289850</v>
      </c>
      <c r="L23" s="16" t="str">
        <f>IFERROR(__xludf.DUMMYFUNCTION("""COMPUTED_VALUE"""),"GV")</f>
        <v>GV</v>
      </c>
      <c r="M23" s="16" t="str">
        <f>IFERROR(__xludf.DUMMYFUNCTION("""COMPUTED_VALUE"""),"short")</f>
        <v>short</v>
      </c>
      <c r="N23" s="18">
        <f>IFERROR(__xludf.DUMMYFUNCTION("""COMPUTED_VALUE"""),44848.0)</f>
        <v>44848</v>
      </c>
      <c r="O23" s="18">
        <f>IFERROR(__xludf.DUMMYFUNCTION("""COMPUTED_VALUE"""),45108.0)</f>
        <v>45108</v>
      </c>
      <c r="P23" s="18">
        <f>IFERROR(__xludf.DUMMYFUNCTION("""COMPUTED_VALUE"""),45150.0)</f>
        <v>45150</v>
      </c>
      <c r="Q23" s="18"/>
      <c r="R23" s="18"/>
      <c r="S23" s="16"/>
      <c r="T23" s="16"/>
      <c r="U23" s="16" t="str">
        <f>IFERROR(__xludf.DUMMYFUNCTION("""COMPUTED_VALUE"""),"Global Classroom")</f>
        <v>Global Classroom</v>
      </c>
      <c r="V23" s="16" t="str">
        <f>IFERROR(__xludf.DUMMYFUNCTION("""COMPUTED_VALUE"""),"-")</f>
        <v>-</v>
      </c>
      <c r="W23" s="16" t="str">
        <f>IFERROR(__xludf.DUMMYFUNCTION("""COMPUTED_VALUE"""),"2022-08-29T14:36:28Z")</f>
        <v>2022-08-29T14:36:28Z</v>
      </c>
      <c r="X23" s="16"/>
      <c r="Y23" s="16"/>
      <c r="Z23" s="16"/>
    </row>
    <row r="24">
      <c r="A24" s="16" t="str">
        <f>IFERROR(__xludf.DUMMYFUNCTION("""COMPUTED_VALUE"""),"5137135_1287990")</f>
        <v>5137135_1287990</v>
      </c>
      <c r="B24" s="16" t="str">
        <f>IFERROR(__xludf.DUMMYFUNCTION("""COMPUTED_VALUE"""),"Toygun Çakır")</f>
        <v>Toygun Çakır</v>
      </c>
      <c r="C24" s="16" t="str">
        <f>IFERROR(__xludf.DUMMYFUNCTION("""COMPUTED_VALUE"""),"approved")</f>
        <v>approved</v>
      </c>
      <c r="D24" s="16" t="str">
        <f>IFERROR(__xludf.DUMMYFUNCTION("""COMPUTED_VALUE"""),"No")</f>
        <v>No</v>
      </c>
      <c r="E24" s="16" t="str">
        <f>IFERROR(__xludf.DUMMYFUNCTION("""COMPUTED_VALUE"""),"p_b73a8ca3ae358c0a73f70ae210fb357d278c1511@inbound.aiesec.org")</f>
        <v>p_b73a8ca3ae358c0a73f70ae210fb357d278c1511@inbound.aiesec.org</v>
      </c>
      <c r="F24" s="16">
        <f>IFERROR(__xludf.DUMMYFUNCTION("""COMPUTED_VALUE"""),5.456824156E9)</f>
        <v>5456824156</v>
      </c>
      <c r="G24" s="16" t="str">
        <f>IFERROR(__xludf.DUMMYFUNCTION("""COMPUTED_VALUE"""),"Turkey")</f>
        <v>Turkey</v>
      </c>
      <c r="H24" s="16" t="str">
        <f>IFERROR(__xludf.DUMMYFUNCTION("""COMPUTED_VALUE"""),"KOCAELI")</f>
        <v>KOCAELI</v>
      </c>
      <c r="I24" s="16" t="str">
        <f>IFERROR(__xludf.DUMMYFUNCTION("""COMPUTED_VALUE"""),"India")</f>
        <v>India</v>
      </c>
      <c r="J24" s="16" t="str">
        <f>IFERROR(__xludf.DUMMYFUNCTION("""COMPUTED_VALUE"""),"JAIPUR ")</f>
        <v>JAIPUR </v>
      </c>
      <c r="K24" s="17" t="str">
        <f>IFERROR(__xludf.DUMMYFUNCTION("""COMPUTED_VALUE"""),"https://expa.aiesec.org/opportunities/1287990")</f>
        <v>https://expa.aiesec.org/opportunities/1287990</v>
      </c>
      <c r="L24" s="16" t="str">
        <f>IFERROR(__xludf.DUMMYFUNCTION("""COMPUTED_VALUE"""),"GV")</f>
        <v>GV</v>
      </c>
      <c r="M24" s="16" t="str">
        <f>IFERROR(__xludf.DUMMYFUNCTION("""COMPUTED_VALUE"""),"short")</f>
        <v>short</v>
      </c>
      <c r="N24" s="18">
        <f>IFERROR(__xludf.DUMMYFUNCTION("""COMPUTED_VALUE"""),44861.0)</f>
        <v>44861</v>
      </c>
      <c r="O24" s="18">
        <f>IFERROR(__xludf.DUMMYFUNCTION("""COMPUTED_VALUE"""),45114.0)</f>
        <v>45114</v>
      </c>
      <c r="P24" s="18">
        <f>IFERROR(__xludf.DUMMYFUNCTION("""COMPUTED_VALUE"""),45156.0)</f>
        <v>45156</v>
      </c>
      <c r="Q24" s="18"/>
      <c r="R24" s="18"/>
      <c r="S24" s="16"/>
      <c r="T24" s="16"/>
      <c r="U24" s="16" t="str">
        <f>IFERROR(__xludf.DUMMYFUNCTION("""COMPUTED_VALUE"""),"Skill Up!")</f>
        <v>Skill Up!</v>
      </c>
      <c r="V24" s="16" t="str">
        <f>IFERROR(__xludf.DUMMYFUNCTION("""COMPUTED_VALUE"""),"KOCAELI")</f>
        <v>KOCAELI</v>
      </c>
      <c r="W24" s="16" t="str">
        <f>IFERROR(__xludf.DUMMYFUNCTION("""COMPUTED_VALUE"""),"2022-10-19T20:47:59Z")</f>
        <v>2022-10-19T20:47:59Z</v>
      </c>
      <c r="X24" s="16"/>
      <c r="Y24" s="16"/>
      <c r="Z24" s="16"/>
    </row>
    <row r="25">
      <c r="A25" s="16" t="str">
        <f>IFERROR(__xludf.DUMMYFUNCTION("""COMPUTED_VALUE"""),"5114287_1284487")</f>
        <v>5114287_1284487</v>
      </c>
      <c r="B25" s="16" t="str">
        <f>IFERROR(__xludf.DUMMYFUNCTION("""COMPUTED_VALUE"""),"Tuana Aydınlı")</f>
        <v>Tuana Aydınlı</v>
      </c>
      <c r="C25" s="16" t="str">
        <f>IFERROR(__xludf.DUMMYFUNCTION("""COMPUTED_VALUE"""),"approved")</f>
        <v>approved</v>
      </c>
      <c r="D25" s="16" t="str">
        <f>IFERROR(__xludf.DUMMYFUNCTION("""COMPUTED_VALUE"""),"No")</f>
        <v>No</v>
      </c>
      <c r="E25" s="16" t="str">
        <f>IFERROR(__xludf.DUMMYFUNCTION("""COMPUTED_VALUE"""),"p_693cf319fcace90e696ddc0454260d3ffc4ea0e8@inbound.aiesec.org")</f>
        <v>p_693cf319fcace90e696ddc0454260d3ffc4ea0e8@inbound.aiesec.org</v>
      </c>
      <c r="F25" s="16">
        <f>IFERROR(__xludf.DUMMYFUNCTION("""COMPUTED_VALUE"""),5.439638708E9)</f>
        <v>5439638708</v>
      </c>
      <c r="G25" s="16" t="str">
        <f>IFERROR(__xludf.DUMMYFUNCTION("""COMPUTED_VALUE"""),"Turkey")</f>
        <v>Turkey</v>
      </c>
      <c r="H25" s="16" t="str">
        <f>IFERROR(__xludf.DUMMYFUNCTION("""COMPUTED_VALUE"""),"ESKISEHIR")</f>
        <v>ESKISEHIR</v>
      </c>
      <c r="I25" s="16" t="str">
        <f>IFERROR(__xludf.DUMMYFUNCTION("""COMPUTED_VALUE"""),"India")</f>
        <v>India</v>
      </c>
      <c r="J25" s="16" t="str">
        <f>IFERROR(__xludf.DUMMYFUNCTION("""COMPUTED_VALUE"""),"Dehradun")</f>
        <v>Dehradun</v>
      </c>
      <c r="K25" s="17" t="str">
        <f>IFERROR(__xludf.DUMMYFUNCTION("""COMPUTED_VALUE"""),"https://expa.aiesec.org/opportunities/1284487")</f>
        <v>https://expa.aiesec.org/opportunities/1284487</v>
      </c>
      <c r="L25" s="16" t="str">
        <f>IFERROR(__xludf.DUMMYFUNCTION("""COMPUTED_VALUE"""),"GV")</f>
        <v>GV</v>
      </c>
      <c r="M25" s="16" t="str">
        <f>IFERROR(__xludf.DUMMYFUNCTION("""COMPUTED_VALUE"""),"short")</f>
        <v>short</v>
      </c>
      <c r="N25" s="18">
        <f>IFERROR(__xludf.DUMMYFUNCTION("""COMPUTED_VALUE"""),44861.0)</f>
        <v>44861</v>
      </c>
      <c r="O25" s="18">
        <f>IFERROR(__xludf.DUMMYFUNCTION("""COMPUTED_VALUE"""),45122.0)</f>
        <v>45122</v>
      </c>
      <c r="P25" s="18">
        <f>IFERROR(__xludf.DUMMYFUNCTION("""COMPUTED_VALUE"""),45164.0)</f>
        <v>45164</v>
      </c>
      <c r="Q25" s="18"/>
      <c r="R25" s="18"/>
      <c r="S25" s="16"/>
      <c r="T25" s="16"/>
      <c r="U25" s="16" t="str">
        <f>IFERROR(__xludf.DUMMYFUNCTION("""COMPUTED_VALUE"""),"Global Classroom")</f>
        <v>Global Classroom</v>
      </c>
      <c r="V25" s="16" t="str">
        <f>IFERROR(__xludf.DUMMYFUNCTION("""COMPUTED_VALUE"""),"ESKISEHIR")</f>
        <v>ESKISEHIR</v>
      </c>
      <c r="W25" s="16" t="str">
        <f>IFERROR(__xludf.DUMMYFUNCTION("""COMPUTED_VALUE"""),"2022-09-17T15:27:34Z")</f>
        <v>2022-09-17T15:27:34Z</v>
      </c>
      <c r="X25" s="16"/>
      <c r="Y25" s="16"/>
      <c r="Z25" s="16"/>
    </row>
    <row r="26">
      <c r="A26" s="16" t="str">
        <f>IFERROR(__xludf.DUMMYFUNCTION("""COMPUTED_VALUE"""),"5139578_1289855")</f>
        <v>5139578_1289855</v>
      </c>
      <c r="B26" s="16" t="str">
        <f>IFERROR(__xludf.DUMMYFUNCTION("""COMPUTED_VALUE"""),"deleted 5139578")</f>
        <v>deleted 5139578</v>
      </c>
      <c r="C26" s="16" t="str">
        <f>IFERROR(__xludf.DUMMYFUNCTION("""COMPUTED_VALUE"""),"approved")</f>
        <v>approved</v>
      </c>
      <c r="D26" s="16" t="str">
        <f>IFERROR(__xludf.DUMMYFUNCTION("""COMPUTED_VALUE"""),"No")</f>
        <v>No</v>
      </c>
      <c r="E26" s="16" t="str">
        <f>IFERROR(__xludf.DUMMYFUNCTION("""COMPUTED_VALUE"""),"p_c135ceaf04bd4fa15f68078824d3af0ab992b43a@inbound.aiesec.org")</f>
        <v>p_c135ceaf04bd4fa15f68078824d3af0ab992b43a@inbound.aiesec.org</v>
      </c>
      <c r="F26" s="16"/>
      <c r="G26" s="16" t="str">
        <f>IFERROR(__xludf.DUMMYFUNCTION("""COMPUTED_VALUE"""),"Turkey")</f>
        <v>Turkey</v>
      </c>
      <c r="H26" s="16" t="str">
        <f>IFERROR(__xludf.DUMMYFUNCTION("""COMPUTED_VALUE"""),"ANKARA")</f>
        <v>ANKARA</v>
      </c>
      <c r="I26" s="16" t="str">
        <f>IFERROR(__xludf.DUMMYFUNCTION("""COMPUTED_VALUE"""),"India")</f>
        <v>India</v>
      </c>
      <c r="J26" s="16" t="str">
        <f>IFERROR(__xludf.DUMMYFUNCTION("""COMPUTED_VALUE"""),"Mumbai")</f>
        <v>Mumbai</v>
      </c>
      <c r="K26" s="17" t="str">
        <f>IFERROR(__xludf.DUMMYFUNCTION("""COMPUTED_VALUE"""),"https://expa.aiesec.org/opportunities/1289855")</f>
        <v>https://expa.aiesec.org/opportunities/1289855</v>
      </c>
      <c r="L26" s="16" t="str">
        <f>IFERROR(__xludf.DUMMYFUNCTION("""COMPUTED_VALUE"""),"GV")</f>
        <v>GV</v>
      </c>
      <c r="M26" s="16" t="str">
        <f>IFERROR(__xludf.DUMMYFUNCTION("""COMPUTED_VALUE"""),"short")</f>
        <v>short</v>
      </c>
      <c r="N26" s="18">
        <f>IFERROR(__xludf.DUMMYFUNCTION("""COMPUTED_VALUE"""),44867.0)</f>
        <v>44867</v>
      </c>
      <c r="O26" s="18">
        <f>IFERROR(__xludf.DUMMYFUNCTION("""COMPUTED_VALUE"""),45127.0)</f>
        <v>45127</v>
      </c>
      <c r="P26" s="18">
        <f>IFERROR(__xludf.DUMMYFUNCTION("""COMPUTED_VALUE"""),45169.0)</f>
        <v>45169</v>
      </c>
      <c r="Q26" s="18"/>
      <c r="R26" s="18"/>
      <c r="S26" s="16"/>
      <c r="T26" s="16"/>
      <c r="U26" s="16" t="str">
        <f>IFERROR(__xludf.DUMMYFUNCTION("""COMPUTED_VALUE"""),"Scale Up!")</f>
        <v>Scale Up!</v>
      </c>
      <c r="V26" s="16" t="str">
        <f>IFERROR(__xludf.DUMMYFUNCTION("""COMPUTED_VALUE"""),"ANKARA")</f>
        <v>ANKARA</v>
      </c>
      <c r="W26" s="16" t="str">
        <f>IFERROR(__xludf.DUMMYFUNCTION("""COMPUTED_VALUE"""),"2022-10-24T14:50:10Z")</f>
        <v>2022-10-24T14:50:10Z</v>
      </c>
      <c r="X26" s="16"/>
      <c r="Y26" s="16"/>
      <c r="Z26" s="16"/>
    </row>
    <row r="27">
      <c r="A27" s="16" t="str">
        <f>IFERROR(__xludf.DUMMYFUNCTION("""COMPUTED_VALUE"""),"5102382_1290259")</f>
        <v>5102382_1290259</v>
      </c>
      <c r="B27" s="16" t="str">
        <f>IFERROR(__xludf.DUMMYFUNCTION("""COMPUTED_VALUE"""),"mehmet ali özel")</f>
        <v>mehmet ali özel</v>
      </c>
      <c r="C27" s="16" t="str">
        <f>IFERROR(__xludf.DUMMYFUNCTION("""COMPUTED_VALUE"""),"approved")</f>
        <v>approved</v>
      </c>
      <c r="D27" s="16" t="str">
        <f>IFERROR(__xludf.DUMMYFUNCTION("""COMPUTED_VALUE"""),"No")</f>
        <v>No</v>
      </c>
      <c r="E27" s="16" t="str">
        <f>IFERROR(__xludf.DUMMYFUNCTION("""COMPUTED_VALUE"""),"p_12f95f72c5ef4bcbd96cd8bf7542cd8059a42179@inbound.aiesec.org")</f>
        <v>p_12f95f72c5ef4bcbd96cd8bf7542cd8059a42179@inbound.aiesec.org</v>
      </c>
      <c r="F27" s="16">
        <f>IFERROR(__xludf.DUMMYFUNCTION("""COMPUTED_VALUE"""),5.059794547E9)</f>
        <v>5059794547</v>
      </c>
      <c r="G27" s="16" t="str">
        <f>IFERROR(__xludf.DUMMYFUNCTION("""COMPUTED_VALUE"""),"Turkey")</f>
        <v>Turkey</v>
      </c>
      <c r="H27" s="16" t="str">
        <f>IFERROR(__xludf.DUMMYFUNCTION("""COMPUTED_VALUE"""),"ADANA")</f>
        <v>ADANA</v>
      </c>
      <c r="I27" s="16" t="str">
        <f>IFERROR(__xludf.DUMMYFUNCTION("""COMPUTED_VALUE"""),"Croatia")</f>
        <v>Croatia</v>
      </c>
      <c r="J27" s="16" t="str">
        <f>IFERROR(__xludf.DUMMYFUNCTION("""COMPUTED_VALUE"""),"OSIJEK")</f>
        <v>OSIJEK</v>
      </c>
      <c r="K27" s="17" t="str">
        <f>IFERROR(__xludf.DUMMYFUNCTION("""COMPUTED_VALUE"""),"https://expa.aiesec.org/opportunities/1290259")</f>
        <v>https://expa.aiesec.org/opportunities/1290259</v>
      </c>
      <c r="L27" s="16" t="str">
        <f>IFERROR(__xludf.DUMMYFUNCTION("""COMPUTED_VALUE"""),"GV")</f>
        <v>GV</v>
      </c>
      <c r="M27" s="16" t="str">
        <f>IFERROR(__xludf.DUMMYFUNCTION("""COMPUTED_VALUE"""),"short")</f>
        <v>short</v>
      </c>
      <c r="N27" s="18">
        <f>IFERROR(__xludf.DUMMYFUNCTION("""COMPUTED_VALUE"""),44868.0)</f>
        <v>44868</v>
      </c>
      <c r="O27" s="18">
        <f>IFERROR(__xludf.DUMMYFUNCTION("""COMPUTED_VALUE"""),44935.0)</f>
        <v>44935</v>
      </c>
      <c r="P27" s="18">
        <f>IFERROR(__xludf.DUMMYFUNCTION("""COMPUTED_VALUE"""),44983.0)</f>
        <v>44983</v>
      </c>
      <c r="Q27" s="18"/>
      <c r="R27" s="18"/>
      <c r="S27" s="16"/>
      <c r="T27" s="16"/>
      <c r="U27" s="16" t="str">
        <f>IFERROR(__xludf.DUMMYFUNCTION("""COMPUTED_VALUE"""),"On The Map")</f>
        <v>On The Map</v>
      </c>
      <c r="V27" s="16" t="str">
        <f>IFERROR(__xludf.DUMMYFUNCTION("""COMPUTED_VALUE"""),"HATAY")</f>
        <v>HATAY</v>
      </c>
      <c r="W27" s="16" t="str">
        <f>IFERROR(__xludf.DUMMYFUNCTION("""COMPUTED_VALUE"""),"2022-08-30T15:00:05Z")</f>
        <v>2022-08-30T15:00:05Z</v>
      </c>
      <c r="X27" s="16"/>
      <c r="Y27" s="16"/>
      <c r="Z27" s="16"/>
    </row>
    <row r="28">
      <c r="A28" s="16" t="str">
        <f>IFERROR(__xludf.DUMMYFUNCTION("""COMPUTED_VALUE"""),"5139260_1287244")</f>
        <v>5139260_1287244</v>
      </c>
      <c r="B28" s="16" t="str">
        <f>IFERROR(__xludf.DUMMYFUNCTION("""COMPUTED_VALUE"""),"Melis Karslıgil")</f>
        <v>Melis Karslıgil</v>
      </c>
      <c r="C28" s="16" t="str">
        <f>IFERROR(__xludf.DUMMYFUNCTION("""COMPUTED_VALUE"""),"approved")</f>
        <v>approved</v>
      </c>
      <c r="D28" s="16" t="str">
        <f>IFERROR(__xludf.DUMMYFUNCTION("""COMPUTED_VALUE"""),"No")</f>
        <v>No</v>
      </c>
      <c r="E28" s="16" t="str">
        <f>IFERROR(__xludf.DUMMYFUNCTION("""COMPUTED_VALUE"""),"p_5fab9a4a351f6f1f70afd6f12e7bba99ef10168f@inbound.aiesec.org")</f>
        <v>p_5fab9a4a351f6f1f70afd6f12e7bba99ef10168f@inbound.aiesec.org</v>
      </c>
      <c r="F28" s="16">
        <f>IFERROR(__xludf.DUMMYFUNCTION("""COMPUTED_VALUE"""),5.330328104E9)</f>
        <v>5330328104</v>
      </c>
      <c r="G28" s="16" t="str">
        <f>IFERROR(__xludf.DUMMYFUNCTION("""COMPUTED_VALUE"""),"Turkey")</f>
        <v>Turkey</v>
      </c>
      <c r="H28" s="16" t="str">
        <f>IFERROR(__xludf.DUMMYFUNCTION("""COMPUTED_VALUE"""),"ANKARA")</f>
        <v>ANKARA</v>
      </c>
      <c r="I28" s="16" t="str">
        <f>IFERROR(__xludf.DUMMYFUNCTION("""COMPUTED_VALUE"""),"India")</f>
        <v>India</v>
      </c>
      <c r="J28" s="16" t="str">
        <f>IFERROR(__xludf.DUMMYFUNCTION("""COMPUTED_VALUE"""),"Ahmedabad")</f>
        <v>Ahmedabad</v>
      </c>
      <c r="K28" s="17" t="str">
        <f>IFERROR(__xludf.DUMMYFUNCTION("""COMPUTED_VALUE"""),"https://expa.aiesec.org/opportunities/1287244")</f>
        <v>https://expa.aiesec.org/opportunities/1287244</v>
      </c>
      <c r="L28" s="16" t="str">
        <f>IFERROR(__xludf.DUMMYFUNCTION("""COMPUTED_VALUE"""),"GV")</f>
        <v>GV</v>
      </c>
      <c r="M28" s="16" t="str">
        <f>IFERROR(__xludf.DUMMYFUNCTION("""COMPUTED_VALUE"""),"short")</f>
        <v>short</v>
      </c>
      <c r="N28" s="18">
        <f>IFERROR(__xludf.DUMMYFUNCTION("""COMPUTED_VALUE"""),44871.0)</f>
        <v>44871</v>
      </c>
      <c r="O28" s="18">
        <f>IFERROR(__xludf.DUMMYFUNCTION("""COMPUTED_VALUE"""),45078.0)</f>
        <v>45078</v>
      </c>
      <c r="P28" s="18">
        <f>IFERROR(__xludf.DUMMYFUNCTION("""COMPUTED_VALUE"""),45120.0)</f>
        <v>45120</v>
      </c>
      <c r="Q28" s="18"/>
      <c r="R28" s="18"/>
      <c r="S28" s="16"/>
      <c r="T28" s="16"/>
      <c r="U28" s="16" t="str">
        <f>IFERROR(__xludf.DUMMYFUNCTION("""COMPUTED_VALUE"""),"Fingerprint")</f>
        <v>Fingerprint</v>
      </c>
      <c r="V28" s="16" t="str">
        <f>IFERROR(__xludf.DUMMYFUNCTION("""COMPUTED_VALUE"""),"ANKARA")</f>
        <v>ANKARA</v>
      </c>
      <c r="W28" s="16" t="str">
        <f>IFERROR(__xludf.DUMMYFUNCTION("""COMPUTED_VALUE"""),"2022-10-24T07:37:39Z")</f>
        <v>2022-10-24T07:37:39Z</v>
      </c>
      <c r="X28" s="16"/>
      <c r="Y28" s="16"/>
      <c r="Z28" s="16"/>
    </row>
    <row r="29">
      <c r="A29" s="16" t="str">
        <f>IFERROR(__xludf.DUMMYFUNCTION("""COMPUTED_VALUE"""),"5150417_1290024")</f>
        <v>5150417_1290024</v>
      </c>
      <c r="B29" s="16" t="str">
        <f>IFERROR(__xludf.DUMMYFUNCTION("""COMPUTED_VALUE"""),"ataberk gül")</f>
        <v>ataberk gül</v>
      </c>
      <c r="C29" s="16" t="str">
        <f>IFERROR(__xludf.DUMMYFUNCTION("""COMPUTED_VALUE"""),"approved")</f>
        <v>approved</v>
      </c>
      <c r="D29" s="16" t="str">
        <f>IFERROR(__xludf.DUMMYFUNCTION("""COMPUTED_VALUE"""),"No")</f>
        <v>No</v>
      </c>
      <c r="E29" s="16" t="str">
        <f>IFERROR(__xludf.DUMMYFUNCTION("""COMPUTED_VALUE"""),"p_622c6f542988d7ae234c56bf74d1a3f2645c5cd0@inbound.aiesec.org")</f>
        <v>p_622c6f542988d7ae234c56bf74d1a3f2645c5cd0@inbound.aiesec.org</v>
      </c>
      <c r="F29" s="16">
        <f>IFERROR(__xludf.DUMMYFUNCTION("""COMPUTED_VALUE"""),5.305445916E9)</f>
        <v>5305445916</v>
      </c>
      <c r="G29" s="16" t="str">
        <f>IFERROR(__xludf.DUMMYFUNCTION("""COMPUTED_VALUE"""),"Turkey")</f>
        <v>Turkey</v>
      </c>
      <c r="H29" s="16" t="str">
        <f>IFERROR(__xludf.DUMMYFUNCTION("""COMPUTED_VALUE"""),"KOCAELI")</f>
        <v>KOCAELI</v>
      </c>
      <c r="I29" s="16" t="str">
        <f>IFERROR(__xludf.DUMMYFUNCTION("""COMPUTED_VALUE"""),"Egypt")</f>
        <v>Egypt</v>
      </c>
      <c r="J29" s="16" t="str">
        <f>IFERROR(__xludf.DUMMYFUNCTION("""COMPUTED_VALUE"""),"Ain Shams University")</f>
        <v>Ain Shams University</v>
      </c>
      <c r="K29" s="17" t="str">
        <f>IFERROR(__xludf.DUMMYFUNCTION("""COMPUTED_VALUE"""),"https://expa.aiesec.org/opportunities/1290024")</f>
        <v>https://expa.aiesec.org/opportunities/1290024</v>
      </c>
      <c r="L29" s="16" t="str">
        <f>IFERROR(__xludf.DUMMYFUNCTION("""COMPUTED_VALUE"""),"GV")</f>
        <v>GV</v>
      </c>
      <c r="M29" s="16" t="str">
        <f>IFERROR(__xludf.DUMMYFUNCTION("""COMPUTED_VALUE"""),"short")</f>
        <v>short</v>
      </c>
      <c r="N29" s="18">
        <f>IFERROR(__xludf.DUMMYFUNCTION("""COMPUTED_VALUE"""),44875.0)</f>
        <v>44875</v>
      </c>
      <c r="O29" s="18">
        <f>IFERROR(__xludf.DUMMYFUNCTION("""COMPUTED_VALUE"""),45108.0)</f>
        <v>45108</v>
      </c>
      <c r="P29" s="18">
        <f>IFERROR(__xludf.DUMMYFUNCTION("""COMPUTED_VALUE"""),45150.0)</f>
        <v>45150</v>
      </c>
      <c r="Q29" s="18"/>
      <c r="R29" s="18"/>
      <c r="S29" s="16"/>
      <c r="T29" s="16"/>
      <c r="U29" s="16" t="str">
        <f>IFERROR(__xludf.DUMMYFUNCTION("""COMPUTED_VALUE"""),"On The Map")</f>
        <v>On The Map</v>
      </c>
      <c r="V29" s="16" t="str">
        <f>IFERROR(__xludf.DUMMYFUNCTION("""COMPUTED_VALUE"""),"KOCAELI")</f>
        <v>KOCAELI</v>
      </c>
      <c r="W29" s="16" t="str">
        <f>IFERROR(__xludf.DUMMYFUNCTION("""COMPUTED_VALUE"""),"2022-11-09T19:29:59Z")</f>
        <v>2022-11-09T19:29:59Z</v>
      </c>
      <c r="X29" s="16"/>
      <c r="Y29" s="16"/>
      <c r="Z29" s="16"/>
    </row>
    <row r="30">
      <c r="A30" s="16" t="str">
        <f>IFERROR(__xludf.DUMMYFUNCTION("""COMPUTED_VALUE"""),"5150354_1290024")</f>
        <v>5150354_1290024</v>
      </c>
      <c r="B30" s="16" t="str">
        <f>IFERROR(__xludf.DUMMYFUNCTION("""COMPUTED_VALUE"""),"Yusuf Kanbur")</f>
        <v>Yusuf Kanbur</v>
      </c>
      <c r="C30" s="16" t="str">
        <f>IFERROR(__xludf.DUMMYFUNCTION("""COMPUTED_VALUE"""),"approved")</f>
        <v>approved</v>
      </c>
      <c r="D30" s="16" t="str">
        <f>IFERROR(__xludf.DUMMYFUNCTION("""COMPUTED_VALUE"""),"No")</f>
        <v>No</v>
      </c>
      <c r="E30" s="16" t="str">
        <f>IFERROR(__xludf.DUMMYFUNCTION("""COMPUTED_VALUE"""),"p_3e4c698efa665ff4587005840b9fd93364d163ce@inbound.aiesec.org")</f>
        <v>p_3e4c698efa665ff4587005840b9fd93364d163ce@inbound.aiesec.org</v>
      </c>
      <c r="F30" s="16">
        <f>IFERROR(__xludf.DUMMYFUNCTION("""COMPUTED_VALUE"""),5.439603453E9)</f>
        <v>5439603453</v>
      </c>
      <c r="G30" s="16" t="str">
        <f>IFERROR(__xludf.DUMMYFUNCTION("""COMPUTED_VALUE"""),"Turkey")</f>
        <v>Turkey</v>
      </c>
      <c r="H30" s="16" t="str">
        <f>IFERROR(__xludf.DUMMYFUNCTION("""COMPUTED_VALUE"""),"KOCAELI")</f>
        <v>KOCAELI</v>
      </c>
      <c r="I30" s="16" t="str">
        <f>IFERROR(__xludf.DUMMYFUNCTION("""COMPUTED_VALUE"""),"Egypt")</f>
        <v>Egypt</v>
      </c>
      <c r="J30" s="16" t="str">
        <f>IFERROR(__xludf.DUMMYFUNCTION("""COMPUTED_VALUE"""),"Ain Shams University")</f>
        <v>Ain Shams University</v>
      </c>
      <c r="K30" s="17" t="str">
        <f>IFERROR(__xludf.DUMMYFUNCTION("""COMPUTED_VALUE"""),"https://expa.aiesec.org/opportunities/1290024")</f>
        <v>https://expa.aiesec.org/opportunities/1290024</v>
      </c>
      <c r="L30" s="16" t="str">
        <f>IFERROR(__xludf.DUMMYFUNCTION("""COMPUTED_VALUE"""),"GV")</f>
        <v>GV</v>
      </c>
      <c r="M30" s="16" t="str">
        <f>IFERROR(__xludf.DUMMYFUNCTION("""COMPUTED_VALUE"""),"short")</f>
        <v>short</v>
      </c>
      <c r="N30" s="18">
        <f>IFERROR(__xludf.DUMMYFUNCTION("""COMPUTED_VALUE"""),44875.0)</f>
        <v>44875</v>
      </c>
      <c r="O30" s="18">
        <f>IFERROR(__xludf.DUMMYFUNCTION("""COMPUTED_VALUE"""),45108.0)</f>
        <v>45108</v>
      </c>
      <c r="P30" s="18">
        <f>IFERROR(__xludf.DUMMYFUNCTION("""COMPUTED_VALUE"""),45150.0)</f>
        <v>45150</v>
      </c>
      <c r="Q30" s="18"/>
      <c r="R30" s="18"/>
      <c r="S30" s="16"/>
      <c r="T30" s="16"/>
      <c r="U30" s="16" t="str">
        <f>IFERROR(__xludf.DUMMYFUNCTION("""COMPUTED_VALUE"""),"On The Map")</f>
        <v>On The Map</v>
      </c>
      <c r="V30" s="16" t="str">
        <f>IFERROR(__xludf.DUMMYFUNCTION("""COMPUTED_VALUE"""),"KOCAELI")</f>
        <v>KOCAELI</v>
      </c>
      <c r="W30" s="16" t="str">
        <f>IFERROR(__xludf.DUMMYFUNCTION("""COMPUTED_VALUE"""),"2022-11-09T17:39:46Z")</f>
        <v>2022-11-09T17:39:46Z</v>
      </c>
      <c r="X30" s="16"/>
      <c r="Y30" s="16"/>
      <c r="Z30" s="16"/>
    </row>
    <row r="31">
      <c r="A31" s="16" t="str">
        <f>IFERROR(__xludf.DUMMYFUNCTION("""COMPUTED_VALUE"""),"5150204_1289852")</f>
        <v>5150204_1289852</v>
      </c>
      <c r="B31" s="16" t="str">
        <f>IFERROR(__xludf.DUMMYFUNCTION("""COMPUTED_VALUE"""),"Furkan Buğra KARCI")</f>
        <v>Furkan Buğra KARCI</v>
      </c>
      <c r="C31" s="16" t="str">
        <f>IFERROR(__xludf.DUMMYFUNCTION("""COMPUTED_VALUE"""),"approved")</f>
        <v>approved</v>
      </c>
      <c r="D31" s="16" t="str">
        <f>IFERROR(__xludf.DUMMYFUNCTION("""COMPUTED_VALUE"""),"No")</f>
        <v>No</v>
      </c>
      <c r="E31" s="16" t="str">
        <f>IFERROR(__xludf.DUMMYFUNCTION("""COMPUTED_VALUE"""),"p_19d97b4174286f7c9a3234dabbfd6be9d08da693@inbound.aiesec.org")</f>
        <v>p_19d97b4174286f7c9a3234dabbfd6be9d08da693@inbound.aiesec.org</v>
      </c>
      <c r="F31" s="16">
        <f>IFERROR(__xludf.DUMMYFUNCTION("""COMPUTED_VALUE"""),5.531609839E9)</f>
        <v>5531609839</v>
      </c>
      <c r="G31" s="16" t="str">
        <f>IFERROR(__xludf.DUMMYFUNCTION("""COMPUTED_VALUE"""),"Turkey")</f>
        <v>Turkey</v>
      </c>
      <c r="H31" s="16" t="str">
        <f>IFERROR(__xludf.DUMMYFUNCTION("""COMPUTED_VALUE"""),"İZMİR")</f>
        <v>İZMİR</v>
      </c>
      <c r="I31" s="16" t="str">
        <f>IFERROR(__xludf.DUMMYFUNCTION("""COMPUTED_VALUE"""),"India")</f>
        <v>India</v>
      </c>
      <c r="J31" s="16" t="str">
        <f>IFERROR(__xludf.DUMMYFUNCTION("""COMPUTED_VALUE"""),"Mumbai")</f>
        <v>Mumbai</v>
      </c>
      <c r="K31" s="17" t="str">
        <f>IFERROR(__xludf.DUMMYFUNCTION("""COMPUTED_VALUE"""),"https://expa.aiesec.org/opportunities/1289852")</f>
        <v>https://expa.aiesec.org/opportunities/1289852</v>
      </c>
      <c r="L31" s="16" t="str">
        <f>IFERROR(__xludf.DUMMYFUNCTION("""COMPUTED_VALUE"""),"GV")</f>
        <v>GV</v>
      </c>
      <c r="M31" s="16" t="str">
        <f>IFERROR(__xludf.DUMMYFUNCTION("""COMPUTED_VALUE"""),"short")</f>
        <v>short</v>
      </c>
      <c r="N31" s="18">
        <f>IFERROR(__xludf.DUMMYFUNCTION("""COMPUTED_VALUE"""),44876.0)</f>
        <v>44876</v>
      </c>
      <c r="O31" s="18">
        <f>IFERROR(__xludf.DUMMYFUNCTION("""COMPUTED_VALUE"""),45108.0)</f>
        <v>45108</v>
      </c>
      <c r="P31" s="18">
        <f>IFERROR(__xludf.DUMMYFUNCTION("""COMPUTED_VALUE"""),45150.0)</f>
        <v>45150</v>
      </c>
      <c r="Q31" s="18"/>
      <c r="R31" s="18"/>
      <c r="S31" s="16"/>
      <c r="T31" s="16"/>
      <c r="U31" s="16" t="str">
        <f>IFERROR(__xludf.DUMMYFUNCTION("""COMPUTED_VALUE"""),"Explorer")</f>
        <v>Explorer</v>
      </c>
      <c r="V31" s="16" t="str">
        <f>IFERROR(__xludf.DUMMYFUNCTION("""COMPUTED_VALUE"""),"MANISA")</f>
        <v>MANISA</v>
      </c>
      <c r="W31" s="16" t="str">
        <f>IFERROR(__xludf.DUMMYFUNCTION("""COMPUTED_VALUE"""),"2022-11-09T13:17:06Z")</f>
        <v>2022-11-09T13:17:06Z</v>
      </c>
      <c r="X31" s="16"/>
      <c r="Y31" s="16"/>
      <c r="Z31" s="16"/>
    </row>
    <row r="32">
      <c r="A32" s="16" t="str">
        <f>IFERROR(__xludf.DUMMYFUNCTION("""COMPUTED_VALUE"""),"5146566_1287459")</f>
        <v>5146566_1287459</v>
      </c>
      <c r="B32" s="16" t="str">
        <f>IFERROR(__xludf.DUMMYFUNCTION("""COMPUTED_VALUE"""),"Mehmet Ateş Yanar")</f>
        <v>Mehmet Ateş Yanar</v>
      </c>
      <c r="C32" s="16" t="str">
        <f>IFERROR(__xludf.DUMMYFUNCTION("""COMPUTED_VALUE"""),"approved")</f>
        <v>approved</v>
      </c>
      <c r="D32" s="16" t="str">
        <f>IFERROR(__xludf.DUMMYFUNCTION("""COMPUTED_VALUE"""),"No")</f>
        <v>No</v>
      </c>
      <c r="E32" s="16" t="str">
        <f>IFERROR(__xludf.DUMMYFUNCTION("""COMPUTED_VALUE"""),"p_8d73ea7454299d6ec08024e05f2345061a331e75@inbound.aiesec.org")</f>
        <v>p_8d73ea7454299d6ec08024e05f2345061a331e75@inbound.aiesec.org</v>
      </c>
      <c r="F32" s="16">
        <f>IFERROR(__xludf.DUMMYFUNCTION("""COMPUTED_VALUE"""),5.435827901E9)</f>
        <v>5435827901</v>
      </c>
      <c r="G32" s="16" t="str">
        <f>IFERROR(__xludf.DUMMYFUNCTION("""COMPUTED_VALUE"""),"Turkey")</f>
        <v>Turkey</v>
      </c>
      <c r="H32" s="16" t="str">
        <f>IFERROR(__xludf.DUMMYFUNCTION("""COMPUTED_VALUE"""),"ISTANBUL")</f>
        <v>ISTANBUL</v>
      </c>
      <c r="I32" s="16" t="str">
        <f>IFERROR(__xludf.DUMMYFUNCTION("""COMPUTED_VALUE"""),"Sri Lanka")</f>
        <v>Sri Lanka</v>
      </c>
      <c r="J32" s="16" t="str">
        <f>IFERROR(__xludf.DUMMYFUNCTION("""COMPUTED_VALUE"""),"SLIIT")</f>
        <v>SLIIT</v>
      </c>
      <c r="K32" s="17" t="str">
        <f>IFERROR(__xludf.DUMMYFUNCTION("""COMPUTED_VALUE"""),"https://expa.aiesec.org/opportunities/1287459")</f>
        <v>https://expa.aiesec.org/opportunities/1287459</v>
      </c>
      <c r="L32" s="16" t="str">
        <f>IFERROR(__xludf.DUMMYFUNCTION("""COMPUTED_VALUE"""),"GV")</f>
        <v>GV</v>
      </c>
      <c r="M32" s="16" t="str">
        <f>IFERROR(__xludf.DUMMYFUNCTION("""COMPUTED_VALUE"""),"short")</f>
        <v>short</v>
      </c>
      <c r="N32" s="18">
        <f>IFERROR(__xludf.DUMMYFUNCTION("""COMPUTED_VALUE"""),44876.0)</f>
        <v>44876</v>
      </c>
      <c r="O32" s="18">
        <f>IFERROR(__xludf.DUMMYFUNCTION("""COMPUTED_VALUE"""),45139.0)</f>
        <v>45139</v>
      </c>
      <c r="P32" s="18">
        <f>IFERROR(__xludf.DUMMYFUNCTION("""COMPUTED_VALUE"""),45181.0)</f>
        <v>45181</v>
      </c>
      <c r="Q32" s="18"/>
      <c r="R32" s="18"/>
      <c r="S32" s="16"/>
      <c r="T32" s="16"/>
      <c r="U32" s="16" t="str">
        <f>IFERROR(__xludf.DUMMYFUNCTION("""COMPUTED_VALUE"""),"Aquatica")</f>
        <v>Aquatica</v>
      </c>
      <c r="V32" s="16" t="str">
        <f>IFERROR(__xludf.DUMMYFUNCTION("""COMPUTED_VALUE"""),"ISTANBUL - BEYOGLU")</f>
        <v>ISTANBUL - BEYOGLU</v>
      </c>
      <c r="W32" s="16" t="str">
        <f>IFERROR(__xludf.DUMMYFUNCTION("""COMPUTED_VALUE"""),"2022-11-04T13:51:18Z")</f>
        <v>2022-11-04T13:51:18Z</v>
      </c>
      <c r="X32" s="16"/>
      <c r="Y32" s="16"/>
      <c r="Z32" s="16"/>
    </row>
    <row r="33">
      <c r="A33" s="16" t="str">
        <f>IFERROR(__xludf.DUMMYFUNCTION("""COMPUTED_VALUE"""),"5153143_1290418")</f>
        <v>5153143_1290418</v>
      </c>
      <c r="B33" s="16" t="str">
        <f>IFERROR(__xludf.DUMMYFUNCTION("""COMPUTED_VALUE"""),"Naimatulllah Samadi")</f>
        <v>Naimatulllah Samadi</v>
      </c>
      <c r="C33" s="16" t="str">
        <f>IFERROR(__xludf.DUMMYFUNCTION("""COMPUTED_VALUE"""),"approved")</f>
        <v>approved</v>
      </c>
      <c r="D33" s="16" t="str">
        <f>IFERROR(__xludf.DUMMYFUNCTION("""COMPUTED_VALUE"""),"No")</f>
        <v>No</v>
      </c>
      <c r="E33" s="16" t="str">
        <f>IFERROR(__xludf.DUMMYFUNCTION("""COMPUTED_VALUE"""),"p_a5aba6635fe1e6b3ae4ecc5754a304a879fbdd50@inbound.aiesec.org")</f>
        <v>p_a5aba6635fe1e6b3ae4ecc5754a304a879fbdd50@inbound.aiesec.org</v>
      </c>
      <c r="F33" s="16"/>
      <c r="G33" s="16" t="str">
        <f>IFERROR(__xludf.DUMMYFUNCTION("""COMPUTED_VALUE"""),"Turkey")</f>
        <v>Turkey</v>
      </c>
      <c r="H33" s="16" t="str">
        <f>IFERROR(__xludf.DUMMYFUNCTION("""COMPUTED_VALUE"""),"SAKARYA")</f>
        <v>SAKARYA</v>
      </c>
      <c r="I33" s="16" t="str">
        <f>IFERROR(__xludf.DUMMYFUNCTION("""COMPUTED_VALUE"""),"Romania")</f>
        <v>Romania</v>
      </c>
      <c r="J33" s="16" t="str">
        <f>IFERROR(__xludf.DUMMYFUNCTION("""COMPUTED_VALUE"""),"BRASOV")</f>
        <v>BRASOV</v>
      </c>
      <c r="K33" s="17" t="str">
        <f>IFERROR(__xludf.DUMMYFUNCTION("""COMPUTED_VALUE"""),"https://expa.aiesec.org/opportunities/1290418")</f>
        <v>https://expa.aiesec.org/opportunities/1290418</v>
      </c>
      <c r="L33" s="16" t="str">
        <f>IFERROR(__xludf.DUMMYFUNCTION("""COMPUTED_VALUE"""),"GV")</f>
        <v>GV</v>
      </c>
      <c r="M33" s="16" t="str">
        <f>IFERROR(__xludf.DUMMYFUNCTION("""COMPUTED_VALUE"""),"short")</f>
        <v>short</v>
      </c>
      <c r="N33" s="18">
        <f>IFERROR(__xludf.DUMMYFUNCTION("""COMPUTED_VALUE"""),44881.0)</f>
        <v>44881</v>
      </c>
      <c r="O33" s="18">
        <f>IFERROR(__xludf.DUMMYFUNCTION("""COMPUTED_VALUE"""),44970.0)</f>
        <v>44970</v>
      </c>
      <c r="P33" s="18">
        <f>IFERROR(__xludf.DUMMYFUNCTION("""COMPUTED_VALUE"""),45012.0)</f>
        <v>45012</v>
      </c>
      <c r="Q33" s="18"/>
      <c r="R33" s="18"/>
      <c r="S33" s="16"/>
      <c r="T33" s="16"/>
      <c r="U33" s="16" t="str">
        <f>IFERROR(__xludf.DUMMYFUNCTION("""COMPUTED_VALUE"""),"Eat 4 Change")</f>
        <v>Eat 4 Change</v>
      </c>
      <c r="V33" s="16" t="str">
        <f>IFERROR(__xludf.DUMMYFUNCTION("""COMPUTED_VALUE"""),"SAKARYA")</f>
        <v>SAKARYA</v>
      </c>
      <c r="W33" s="16" t="str">
        <f>IFERROR(__xludf.DUMMYFUNCTION("""COMPUTED_VALUE"""),"2022-11-15T07:07:43Z")</f>
        <v>2022-11-15T07:07:43Z</v>
      </c>
      <c r="X33" s="16"/>
      <c r="Y33" s="16"/>
      <c r="Z33" s="16"/>
    </row>
    <row r="34">
      <c r="A34" s="16" t="str">
        <f>IFERROR(__xludf.DUMMYFUNCTION("""COMPUTED_VALUE"""),"5146979_1287309")</f>
        <v>5146979_1287309</v>
      </c>
      <c r="B34" s="16" t="str">
        <f>IFERROR(__xludf.DUMMYFUNCTION("""COMPUTED_VALUE"""),"Duygu Şaşmaz")</f>
        <v>Duygu Şaşmaz</v>
      </c>
      <c r="C34" s="16" t="str">
        <f>IFERROR(__xludf.DUMMYFUNCTION("""COMPUTED_VALUE"""),"approved")</f>
        <v>approved</v>
      </c>
      <c r="D34" s="16" t="str">
        <f>IFERROR(__xludf.DUMMYFUNCTION("""COMPUTED_VALUE"""),"No")</f>
        <v>No</v>
      </c>
      <c r="E34" s="16" t="str">
        <f>IFERROR(__xludf.DUMMYFUNCTION("""COMPUTED_VALUE"""),"p_a5958479cafa57eb85964d2632d8b869bfcadb01@inbound.aiesec.org")</f>
        <v>p_a5958479cafa57eb85964d2632d8b869bfcadb01@inbound.aiesec.org</v>
      </c>
      <c r="F34" s="16">
        <f>IFERROR(__xludf.DUMMYFUNCTION("""COMPUTED_VALUE"""),5.078792272E9)</f>
        <v>5078792272</v>
      </c>
      <c r="G34" s="16" t="str">
        <f>IFERROR(__xludf.DUMMYFUNCTION("""COMPUTED_VALUE"""),"Turkey")</f>
        <v>Turkey</v>
      </c>
      <c r="H34" s="16" t="str">
        <f>IFERROR(__xludf.DUMMYFUNCTION("""COMPUTED_VALUE"""),"GAZIANTEP")</f>
        <v>GAZIANTEP</v>
      </c>
      <c r="I34" s="16" t="str">
        <f>IFERROR(__xludf.DUMMYFUNCTION("""COMPUTED_VALUE"""),"Tunisia")</f>
        <v>Tunisia</v>
      </c>
      <c r="J34" s="16" t="str">
        <f>IFERROR(__xludf.DUMMYFUNCTION("""COMPUTED_VALUE"""),"Tacapes")</f>
        <v>Tacapes</v>
      </c>
      <c r="K34" s="17" t="str">
        <f>IFERROR(__xludf.DUMMYFUNCTION("""COMPUTED_VALUE"""),"https://expa.aiesec.org/opportunities/1287309")</f>
        <v>https://expa.aiesec.org/opportunities/1287309</v>
      </c>
      <c r="L34" s="16" t="str">
        <f>IFERROR(__xludf.DUMMYFUNCTION("""COMPUTED_VALUE"""),"GV")</f>
        <v>GV</v>
      </c>
      <c r="M34" s="16" t="str">
        <f>IFERROR(__xludf.DUMMYFUNCTION("""COMPUTED_VALUE"""),"short")</f>
        <v>short</v>
      </c>
      <c r="N34" s="18">
        <f>IFERROR(__xludf.DUMMYFUNCTION("""COMPUTED_VALUE"""),44882.0)</f>
        <v>44882</v>
      </c>
      <c r="O34" s="18">
        <f>IFERROR(__xludf.DUMMYFUNCTION("""COMPUTED_VALUE"""),45086.0)</f>
        <v>45086</v>
      </c>
      <c r="P34" s="18">
        <f>IFERROR(__xludf.DUMMYFUNCTION("""COMPUTED_VALUE"""),45128.0)</f>
        <v>45128</v>
      </c>
      <c r="Q34" s="18"/>
      <c r="R34" s="18"/>
      <c r="S34" s="16"/>
      <c r="T34" s="16"/>
      <c r="U34" s="16" t="str">
        <f>IFERROR(__xludf.DUMMYFUNCTION("""COMPUTED_VALUE"""),"Green Leaders")</f>
        <v>Green Leaders</v>
      </c>
      <c r="V34" s="16" t="str">
        <f>IFERROR(__xludf.DUMMYFUNCTION("""COMPUTED_VALUE"""),"GAZIANTEP")</f>
        <v>GAZIANTEP</v>
      </c>
      <c r="W34" s="16" t="str">
        <f>IFERROR(__xludf.DUMMYFUNCTION("""COMPUTED_VALUE"""),"2022-11-05T09:39:53Z")</f>
        <v>2022-11-05T09:39:53Z</v>
      </c>
      <c r="X34" s="16"/>
      <c r="Y34" s="16"/>
      <c r="Z34" s="16"/>
    </row>
    <row r="35">
      <c r="A35" s="16" t="str">
        <f>IFERROR(__xludf.DUMMYFUNCTION("""COMPUTED_VALUE"""),"5144505_1290690")</f>
        <v>5144505_1290690</v>
      </c>
      <c r="B35" s="16" t="str">
        <f>IFERROR(__xludf.DUMMYFUNCTION("""COMPUTED_VALUE"""),"Elif inci Develioğlu")</f>
        <v>Elif inci Develioğlu</v>
      </c>
      <c r="C35" s="16" t="str">
        <f>IFERROR(__xludf.DUMMYFUNCTION("""COMPUTED_VALUE"""),"approved")</f>
        <v>approved</v>
      </c>
      <c r="D35" s="16" t="str">
        <f>IFERROR(__xludf.DUMMYFUNCTION("""COMPUTED_VALUE"""),"No")</f>
        <v>No</v>
      </c>
      <c r="E35" s="16" t="str">
        <f>IFERROR(__xludf.DUMMYFUNCTION("""COMPUTED_VALUE"""),"p_44bc1a46f9004960408e2704ca62cd32428f232c@inbound.aiesec.org")</f>
        <v>p_44bc1a46f9004960408e2704ca62cd32428f232c@inbound.aiesec.org</v>
      </c>
      <c r="F35" s="16"/>
      <c r="G35" s="16" t="str">
        <f>IFERROR(__xludf.DUMMYFUNCTION("""COMPUTED_VALUE"""),"Turkey")</f>
        <v>Turkey</v>
      </c>
      <c r="H35" s="16" t="str">
        <f>IFERROR(__xludf.DUMMYFUNCTION("""COMPUTED_VALUE"""),"ISTANBUL WEST")</f>
        <v>ISTANBUL WEST</v>
      </c>
      <c r="I35" s="16" t="str">
        <f>IFERROR(__xludf.DUMMYFUNCTION("""COMPUTED_VALUE"""),"Egypt")</f>
        <v>Egypt</v>
      </c>
      <c r="J35" s="16" t="str">
        <f>IFERROR(__xludf.DUMMYFUNCTION("""COMPUTED_VALUE"""),"Helwan")</f>
        <v>Helwan</v>
      </c>
      <c r="K35" s="17" t="str">
        <f>IFERROR(__xludf.DUMMYFUNCTION("""COMPUTED_VALUE"""),"https://expa.aiesec.org/opportunities/1290690")</f>
        <v>https://expa.aiesec.org/opportunities/1290690</v>
      </c>
      <c r="L35" s="16" t="str">
        <f>IFERROR(__xludf.DUMMYFUNCTION("""COMPUTED_VALUE"""),"GV")</f>
        <v>GV</v>
      </c>
      <c r="M35" s="16" t="str">
        <f>IFERROR(__xludf.DUMMYFUNCTION("""COMPUTED_VALUE"""),"short")</f>
        <v>short</v>
      </c>
      <c r="N35" s="18">
        <f>IFERROR(__xludf.DUMMYFUNCTION("""COMPUTED_VALUE"""),44884.0)</f>
        <v>44884</v>
      </c>
      <c r="O35" s="18">
        <f>IFERROR(__xludf.DUMMYFUNCTION("""COMPUTED_VALUE"""),45078.0)</f>
        <v>45078</v>
      </c>
      <c r="P35" s="18">
        <f>IFERROR(__xludf.DUMMYFUNCTION("""COMPUTED_VALUE"""),45120.0)</f>
        <v>45120</v>
      </c>
      <c r="Q35" s="18"/>
      <c r="R35" s="18"/>
      <c r="S35" s="16"/>
      <c r="T35" s="16"/>
      <c r="U35" s="16" t="str">
        <f>IFERROR(__xludf.DUMMYFUNCTION("""COMPUTED_VALUE"""),"Heartbeat")</f>
        <v>Heartbeat</v>
      </c>
      <c r="V35" s="16" t="str">
        <f>IFERROR(__xludf.DUMMYFUNCTION("""COMPUTED_VALUE"""),"ISTANBUL ASIA")</f>
        <v>ISTANBUL ASIA</v>
      </c>
      <c r="W35" s="16" t="str">
        <f>IFERROR(__xludf.DUMMYFUNCTION("""COMPUTED_VALUE"""),"2022-11-01T16:07:33Z")</f>
        <v>2022-11-01T16:07:33Z</v>
      </c>
      <c r="X35" s="16"/>
      <c r="Y35" s="16"/>
      <c r="Z35" s="16"/>
    </row>
    <row r="36">
      <c r="A36" s="16" t="str">
        <f>IFERROR(__xludf.DUMMYFUNCTION("""COMPUTED_VALUE"""),"4981782_1290024")</f>
        <v>4981782_1290024</v>
      </c>
      <c r="B36" s="16" t="str">
        <f>IFERROR(__xludf.DUMMYFUNCTION("""COMPUTED_VALUE"""),"Ayşenur Sertoğlu")</f>
        <v>Ayşenur Sertoğlu</v>
      </c>
      <c r="C36" s="16" t="str">
        <f>IFERROR(__xludf.DUMMYFUNCTION("""COMPUTED_VALUE"""),"approved")</f>
        <v>approved</v>
      </c>
      <c r="D36" s="16" t="str">
        <f>IFERROR(__xludf.DUMMYFUNCTION("""COMPUTED_VALUE"""),"No")</f>
        <v>No</v>
      </c>
      <c r="E36" s="16" t="str">
        <f>IFERROR(__xludf.DUMMYFUNCTION("""COMPUTED_VALUE"""),"p_76330fbd734fe6f72669c6c7f3c4e9a70386b522@inbound.aiesec.org")</f>
        <v>p_76330fbd734fe6f72669c6c7f3c4e9a70386b522@inbound.aiesec.org</v>
      </c>
      <c r="F36" s="16">
        <f>IFERROR(__xludf.DUMMYFUNCTION("""COMPUTED_VALUE"""),5.443628501E9)</f>
        <v>5443628501</v>
      </c>
      <c r="G36" s="16" t="str">
        <f>IFERROR(__xludf.DUMMYFUNCTION("""COMPUTED_VALUE"""),"Turkey")</f>
        <v>Turkey</v>
      </c>
      <c r="H36" s="16" t="str">
        <f>IFERROR(__xludf.DUMMYFUNCTION("""COMPUTED_VALUE"""),"ISTANBUL")</f>
        <v>ISTANBUL</v>
      </c>
      <c r="I36" s="16" t="str">
        <f>IFERROR(__xludf.DUMMYFUNCTION("""COMPUTED_VALUE"""),"Egypt")</f>
        <v>Egypt</v>
      </c>
      <c r="J36" s="16" t="str">
        <f>IFERROR(__xludf.DUMMYFUNCTION("""COMPUTED_VALUE"""),"Ain Shams University")</f>
        <v>Ain Shams University</v>
      </c>
      <c r="K36" s="17" t="str">
        <f>IFERROR(__xludf.DUMMYFUNCTION("""COMPUTED_VALUE"""),"https://expa.aiesec.org/opportunities/1290024")</f>
        <v>https://expa.aiesec.org/opportunities/1290024</v>
      </c>
      <c r="L36" s="16" t="str">
        <f>IFERROR(__xludf.DUMMYFUNCTION("""COMPUTED_VALUE"""),"GV")</f>
        <v>GV</v>
      </c>
      <c r="M36" s="16" t="str">
        <f>IFERROR(__xludf.DUMMYFUNCTION("""COMPUTED_VALUE"""),"short")</f>
        <v>short</v>
      </c>
      <c r="N36" s="18">
        <f>IFERROR(__xludf.DUMMYFUNCTION("""COMPUTED_VALUE"""),44886.0)</f>
        <v>44886</v>
      </c>
      <c r="O36" s="18">
        <f>IFERROR(__xludf.DUMMYFUNCTION("""COMPUTED_VALUE"""),45108.0)</f>
        <v>45108</v>
      </c>
      <c r="P36" s="18">
        <f>IFERROR(__xludf.DUMMYFUNCTION("""COMPUTED_VALUE"""),45150.0)</f>
        <v>45150</v>
      </c>
      <c r="Q36" s="18"/>
      <c r="R36" s="18"/>
      <c r="S36" s="16"/>
      <c r="T36" s="16"/>
      <c r="U36" s="16" t="str">
        <f>IFERROR(__xludf.DUMMYFUNCTION("""COMPUTED_VALUE"""),"On The Map")</f>
        <v>On The Map</v>
      </c>
      <c r="V36" s="16" t="str">
        <f>IFERROR(__xludf.DUMMYFUNCTION("""COMPUTED_VALUE"""),"ISTANBUL - BEYOGLU")</f>
        <v>ISTANBUL - BEYOGLU</v>
      </c>
      <c r="W36" s="16" t="str">
        <f>IFERROR(__xludf.DUMMYFUNCTION("""COMPUTED_VALUE"""),"2022-03-13T13:21:06Z")</f>
        <v>2022-03-13T13:21:06Z</v>
      </c>
      <c r="X36" s="16"/>
      <c r="Y36" s="16"/>
      <c r="Z36" s="16"/>
    </row>
    <row r="37">
      <c r="A37" s="16" t="str">
        <f>IFERROR(__xludf.DUMMYFUNCTION("""COMPUTED_VALUE"""),"5134365_1286442")</f>
        <v>5134365_1286442</v>
      </c>
      <c r="B37" s="16" t="str">
        <f>IFERROR(__xludf.DUMMYFUNCTION("""COMPUTED_VALUE"""),"Mustafa Görkem Kavak")</f>
        <v>Mustafa Görkem Kavak</v>
      </c>
      <c r="C37" s="16" t="str">
        <f>IFERROR(__xludf.DUMMYFUNCTION("""COMPUTED_VALUE"""),"approved")</f>
        <v>approved</v>
      </c>
      <c r="D37" s="16" t="str">
        <f>IFERROR(__xludf.DUMMYFUNCTION("""COMPUTED_VALUE"""),"No")</f>
        <v>No</v>
      </c>
      <c r="E37" s="16" t="str">
        <f>IFERROR(__xludf.DUMMYFUNCTION("""COMPUTED_VALUE"""),"p_f8706b9a81549d4bd6f4bb1e343bd72bfa1bea82@inbound.aiesec.org")</f>
        <v>p_f8706b9a81549d4bd6f4bb1e343bd72bfa1bea82@inbound.aiesec.org</v>
      </c>
      <c r="F37" s="16">
        <f>IFERROR(__xludf.DUMMYFUNCTION("""COMPUTED_VALUE"""),5.013171682E9)</f>
        <v>5013171682</v>
      </c>
      <c r="G37" s="16" t="str">
        <f>IFERROR(__xludf.DUMMYFUNCTION("""COMPUTED_VALUE"""),"Turkey")</f>
        <v>Turkey</v>
      </c>
      <c r="H37" s="16" t="str">
        <f>IFERROR(__xludf.DUMMYFUNCTION("""COMPUTED_VALUE"""),"ADANA")</f>
        <v>ADANA</v>
      </c>
      <c r="I37" s="16" t="str">
        <f>IFERROR(__xludf.DUMMYFUNCTION("""COMPUTED_VALUE"""),"Czech Republic")</f>
        <v>Czech Republic</v>
      </c>
      <c r="J37" s="16" t="str">
        <f>IFERROR(__xludf.DUMMYFUNCTION("""COMPUTED_VALUE"""),"PRAGUE")</f>
        <v>PRAGUE</v>
      </c>
      <c r="K37" s="17" t="str">
        <f>IFERROR(__xludf.DUMMYFUNCTION("""COMPUTED_VALUE"""),"https://expa.aiesec.org/opportunities/1286442")</f>
        <v>https://expa.aiesec.org/opportunities/1286442</v>
      </c>
      <c r="L37" s="16" t="str">
        <f>IFERROR(__xludf.DUMMYFUNCTION("""COMPUTED_VALUE"""),"GV")</f>
        <v>GV</v>
      </c>
      <c r="M37" s="16" t="str">
        <f>IFERROR(__xludf.DUMMYFUNCTION("""COMPUTED_VALUE"""),"short")</f>
        <v>short</v>
      </c>
      <c r="N37" s="18">
        <f>IFERROR(__xludf.DUMMYFUNCTION("""COMPUTED_VALUE"""),44887.0)</f>
        <v>44887</v>
      </c>
      <c r="O37" s="18">
        <f>IFERROR(__xludf.DUMMYFUNCTION("""COMPUTED_VALUE"""),44942.0)</f>
        <v>44942</v>
      </c>
      <c r="P37" s="18">
        <f>IFERROR(__xludf.DUMMYFUNCTION("""COMPUTED_VALUE"""),44984.0)</f>
        <v>44984</v>
      </c>
      <c r="Q37" s="18"/>
      <c r="R37" s="18"/>
      <c r="S37" s="16"/>
      <c r="T37" s="16"/>
      <c r="U37" s="16" t="str">
        <f>IFERROR(__xludf.DUMMYFUNCTION("""COMPUTED_VALUE"""),"Youth 4 Impact")</f>
        <v>Youth 4 Impact</v>
      </c>
      <c r="V37" s="16" t="str">
        <f>IFERROR(__xludf.DUMMYFUNCTION("""COMPUTED_VALUE"""),"ADANA")</f>
        <v>ADANA</v>
      </c>
      <c r="W37" s="16" t="str">
        <f>IFERROR(__xludf.DUMMYFUNCTION("""COMPUTED_VALUE"""),"2022-10-17T09:17:14Z")</f>
        <v>2022-10-17T09:17:14Z</v>
      </c>
      <c r="X37" s="16"/>
      <c r="Y37" s="16"/>
      <c r="Z37" s="16"/>
    </row>
    <row r="38">
      <c r="A38" s="16" t="str">
        <f>IFERROR(__xludf.DUMMYFUNCTION("""COMPUTED_VALUE"""),"5118712_1290024")</f>
        <v>5118712_1290024</v>
      </c>
      <c r="B38" s="16" t="str">
        <f>IFERROR(__xludf.DUMMYFUNCTION("""COMPUTED_VALUE"""),"Birgül Kaba")</f>
        <v>Birgül Kaba</v>
      </c>
      <c r="C38" s="16" t="str">
        <f>IFERROR(__xludf.DUMMYFUNCTION("""COMPUTED_VALUE"""),"approved")</f>
        <v>approved</v>
      </c>
      <c r="D38" s="16" t="str">
        <f>IFERROR(__xludf.DUMMYFUNCTION("""COMPUTED_VALUE"""),"No")</f>
        <v>No</v>
      </c>
      <c r="E38" s="16" t="str">
        <f>IFERROR(__xludf.DUMMYFUNCTION("""COMPUTED_VALUE"""),"p_6a47d8f705f2326bbe70f6ef5fd480e270d8f25f@inbound.aiesec.org")</f>
        <v>p_6a47d8f705f2326bbe70f6ef5fd480e270d8f25f@inbound.aiesec.org</v>
      </c>
      <c r="F38" s="16"/>
      <c r="G38" s="16" t="str">
        <f>IFERROR(__xludf.DUMMYFUNCTION("""COMPUTED_VALUE"""),"Turkey")</f>
        <v>Turkey</v>
      </c>
      <c r="H38" s="16" t="str">
        <f>IFERROR(__xludf.DUMMYFUNCTION("""COMPUTED_VALUE"""),"KOCAELI")</f>
        <v>KOCAELI</v>
      </c>
      <c r="I38" s="16" t="str">
        <f>IFERROR(__xludf.DUMMYFUNCTION("""COMPUTED_VALUE"""),"Egypt")</f>
        <v>Egypt</v>
      </c>
      <c r="J38" s="16" t="str">
        <f>IFERROR(__xludf.DUMMYFUNCTION("""COMPUTED_VALUE"""),"Ain Shams University")</f>
        <v>Ain Shams University</v>
      </c>
      <c r="K38" s="17" t="str">
        <f>IFERROR(__xludf.DUMMYFUNCTION("""COMPUTED_VALUE"""),"https://expa.aiesec.org/opportunities/1290024")</f>
        <v>https://expa.aiesec.org/opportunities/1290024</v>
      </c>
      <c r="L38" s="16" t="str">
        <f>IFERROR(__xludf.DUMMYFUNCTION("""COMPUTED_VALUE"""),"GV")</f>
        <v>GV</v>
      </c>
      <c r="M38" s="16" t="str">
        <f>IFERROR(__xludf.DUMMYFUNCTION("""COMPUTED_VALUE"""),"short")</f>
        <v>short</v>
      </c>
      <c r="N38" s="18">
        <f>IFERROR(__xludf.DUMMYFUNCTION("""COMPUTED_VALUE"""),44889.0)</f>
        <v>44889</v>
      </c>
      <c r="O38" s="18">
        <f>IFERROR(__xludf.DUMMYFUNCTION("""COMPUTED_VALUE"""),45108.0)</f>
        <v>45108</v>
      </c>
      <c r="P38" s="18">
        <f>IFERROR(__xludf.DUMMYFUNCTION("""COMPUTED_VALUE"""),45150.0)</f>
        <v>45150</v>
      </c>
      <c r="Q38" s="18"/>
      <c r="R38" s="18"/>
      <c r="S38" s="16"/>
      <c r="T38" s="16"/>
      <c r="U38" s="16" t="str">
        <f>IFERROR(__xludf.DUMMYFUNCTION("""COMPUTED_VALUE"""),"On The Map")</f>
        <v>On The Map</v>
      </c>
      <c r="V38" s="16" t="str">
        <f>IFERROR(__xludf.DUMMYFUNCTION("""COMPUTED_VALUE"""),"-")</f>
        <v>-</v>
      </c>
      <c r="W38" s="16" t="str">
        <f>IFERROR(__xludf.DUMMYFUNCTION("""COMPUTED_VALUE"""),"2022-09-24T12:08:24Z")</f>
        <v>2022-09-24T12:08:24Z</v>
      </c>
      <c r="X38" s="16"/>
      <c r="Y38" s="16"/>
      <c r="Z38" s="16"/>
    </row>
    <row r="39">
      <c r="A39" s="16" t="str">
        <f>IFERROR(__xludf.DUMMYFUNCTION("""COMPUTED_VALUE"""),"5158417_1288412")</f>
        <v>5158417_1288412</v>
      </c>
      <c r="B39" s="16" t="str">
        <f>IFERROR(__xludf.DUMMYFUNCTION("""COMPUTED_VALUE"""),"Nazmiye Demirbaş")</f>
        <v>Nazmiye Demirbaş</v>
      </c>
      <c r="C39" s="16" t="str">
        <f>IFERROR(__xludf.DUMMYFUNCTION("""COMPUTED_VALUE"""),"approved")</f>
        <v>approved</v>
      </c>
      <c r="D39" s="16" t="str">
        <f>IFERROR(__xludf.DUMMYFUNCTION("""COMPUTED_VALUE"""),"No")</f>
        <v>No</v>
      </c>
      <c r="E39" s="16" t="str">
        <f>IFERROR(__xludf.DUMMYFUNCTION("""COMPUTED_VALUE"""),"p_6f24d861eb06daf900c398d94057c054f1333d99@inbound.aiesec.org")</f>
        <v>p_6f24d861eb06daf900c398d94057c054f1333d99@inbound.aiesec.org</v>
      </c>
      <c r="F39" s="16"/>
      <c r="G39" s="16" t="str">
        <f>IFERROR(__xludf.DUMMYFUNCTION("""COMPUTED_VALUE"""),"Turkey")</f>
        <v>Turkey</v>
      </c>
      <c r="H39" s="16" t="str">
        <f>IFERROR(__xludf.DUMMYFUNCTION("""COMPUTED_VALUE"""),"KOCAELI")</f>
        <v>KOCAELI</v>
      </c>
      <c r="I39" s="16" t="str">
        <f>IFERROR(__xludf.DUMMYFUNCTION("""COMPUTED_VALUE"""),"India")</f>
        <v>India</v>
      </c>
      <c r="J39" s="16" t="str">
        <f>IFERROR(__xludf.DUMMYFUNCTION("""COMPUTED_VALUE"""),"JAIPUR ")</f>
        <v>JAIPUR </v>
      </c>
      <c r="K39" s="17" t="str">
        <f>IFERROR(__xludf.DUMMYFUNCTION("""COMPUTED_VALUE"""),"https://expa.aiesec.org/opportunities/1288412")</f>
        <v>https://expa.aiesec.org/opportunities/1288412</v>
      </c>
      <c r="L39" s="16" t="str">
        <f>IFERROR(__xludf.DUMMYFUNCTION("""COMPUTED_VALUE"""),"GV")</f>
        <v>GV</v>
      </c>
      <c r="M39" s="16" t="str">
        <f>IFERROR(__xludf.DUMMYFUNCTION("""COMPUTED_VALUE"""),"short")</f>
        <v>short</v>
      </c>
      <c r="N39" s="18">
        <f>IFERROR(__xludf.DUMMYFUNCTION("""COMPUTED_VALUE"""),44890.0)</f>
        <v>44890</v>
      </c>
      <c r="O39" s="18">
        <f>IFERROR(__xludf.DUMMYFUNCTION("""COMPUTED_VALUE"""),45115.0)</f>
        <v>45115</v>
      </c>
      <c r="P39" s="18">
        <f>IFERROR(__xludf.DUMMYFUNCTION("""COMPUTED_VALUE"""),45157.0)</f>
        <v>45157</v>
      </c>
      <c r="Q39" s="18"/>
      <c r="R39" s="18"/>
      <c r="S39" s="16"/>
      <c r="T39" s="16"/>
      <c r="U39" s="16" t="str">
        <f>IFERROR(__xludf.DUMMYFUNCTION("""COMPUTED_VALUE"""),"Skill Up!")</f>
        <v>Skill Up!</v>
      </c>
      <c r="V39" s="16" t="str">
        <f>IFERROR(__xludf.DUMMYFUNCTION("""COMPUTED_VALUE"""),"-")</f>
        <v>-</v>
      </c>
      <c r="W39" s="16" t="str">
        <f>IFERROR(__xludf.DUMMYFUNCTION("""COMPUTED_VALUE"""),"2022-11-24T16:39:04Z")</f>
        <v>2022-11-24T16:39:04Z</v>
      </c>
      <c r="X39" s="16"/>
      <c r="Y39" s="16"/>
      <c r="Z39" s="16"/>
    </row>
    <row r="40">
      <c r="A40" s="16" t="str">
        <f>IFERROR(__xludf.DUMMYFUNCTION("""COMPUTED_VALUE"""),"5087590_1288609")</f>
        <v>5087590_1288609</v>
      </c>
      <c r="B40" s="16" t="str">
        <f>IFERROR(__xludf.DUMMYFUNCTION("""COMPUTED_VALUE"""),"Eren Esmer")</f>
        <v>Eren Esmer</v>
      </c>
      <c r="C40" s="16" t="str">
        <f>IFERROR(__xludf.DUMMYFUNCTION("""COMPUTED_VALUE"""),"approved")</f>
        <v>approved</v>
      </c>
      <c r="D40" s="16" t="str">
        <f>IFERROR(__xludf.DUMMYFUNCTION("""COMPUTED_VALUE"""),"No")</f>
        <v>No</v>
      </c>
      <c r="E40" s="16" t="str">
        <f>IFERROR(__xludf.DUMMYFUNCTION("""COMPUTED_VALUE"""),"p_076273b53e5106dd6395970974ef3949558212a9@inbound.aiesec.org")</f>
        <v>p_076273b53e5106dd6395970974ef3949558212a9@inbound.aiesec.org</v>
      </c>
      <c r="F40" s="16"/>
      <c r="G40" s="16" t="str">
        <f>IFERROR(__xludf.DUMMYFUNCTION("""COMPUTED_VALUE"""),"Turkey")</f>
        <v>Turkey</v>
      </c>
      <c r="H40" s="16" t="str">
        <f>IFERROR(__xludf.DUMMYFUNCTION("""COMPUTED_VALUE"""),"ISTANBUL WEST")</f>
        <v>ISTANBUL WEST</v>
      </c>
      <c r="I40" s="16" t="str">
        <f>IFERROR(__xludf.DUMMYFUNCTION("""COMPUTED_VALUE"""),"Egypt")</f>
        <v>Egypt</v>
      </c>
      <c r="J40" s="16" t="str">
        <f>IFERROR(__xludf.DUMMYFUNCTION("""COMPUTED_VALUE"""),"Tanta")</f>
        <v>Tanta</v>
      </c>
      <c r="K40" s="17" t="str">
        <f>IFERROR(__xludf.DUMMYFUNCTION("""COMPUTED_VALUE"""),"https://expa.aiesec.org/opportunities/1288609")</f>
        <v>https://expa.aiesec.org/opportunities/1288609</v>
      </c>
      <c r="L40" s="16" t="str">
        <f>IFERROR(__xludf.DUMMYFUNCTION("""COMPUTED_VALUE"""),"GV")</f>
        <v>GV</v>
      </c>
      <c r="M40" s="16" t="str">
        <f>IFERROR(__xludf.DUMMYFUNCTION("""COMPUTED_VALUE"""),"short")</f>
        <v>short</v>
      </c>
      <c r="N40" s="18">
        <f>IFERROR(__xludf.DUMMYFUNCTION("""COMPUTED_VALUE"""),44891.0)</f>
        <v>44891</v>
      </c>
      <c r="O40" s="18">
        <f>IFERROR(__xludf.DUMMYFUNCTION("""COMPUTED_VALUE"""),45108.0)</f>
        <v>45108</v>
      </c>
      <c r="P40" s="18">
        <f>IFERROR(__xludf.DUMMYFUNCTION("""COMPUTED_VALUE"""),45150.0)</f>
        <v>45150</v>
      </c>
      <c r="Q40" s="18"/>
      <c r="R40" s="18"/>
      <c r="S40" s="16"/>
      <c r="T40" s="16"/>
      <c r="U40" s="16" t="str">
        <f>IFERROR(__xludf.DUMMYFUNCTION("""COMPUTED_VALUE"""),"On The Map")</f>
        <v>On The Map</v>
      </c>
      <c r="V40" s="16" t="str">
        <f>IFERROR(__xludf.DUMMYFUNCTION("""COMPUTED_VALUE"""),"-")</f>
        <v>-</v>
      </c>
      <c r="W40" s="16" t="str">
        <f>IFERROR(__xludf.DUMMYFUNCTION("""COMPUTED_VALUE"""),"2022-07-31T15:40:41Z")</f>
        <v>2022-07-31T15:40:41Z</v>
      </c>
      <c r="X40" s="16"/>
      <c r="Y40" s="16"/>
      <c r="Z40" s="16"/>
    </row>
    <row r="41">
      <c r="A41" s="16" t="str">
        <f>IFERROR(__xludf.DUMMYFUNCTION("""COMPUTED_VALUE"""),"4381156_1284485")</f>
        <v>4381156_1284485</v>
      </c>
      <c r="B41" s="16" t="str">
        <f>IFERROR(__xludf.DUMMYFUNCTION("""COMPUTED_VALUE"""),"Muhammed Almaz")</f>
        <v>Muhammed Almaz</v>
      </c>
      <c r="C41" s="16" t="str">
        <f>IFERROR(__xludf.DUMMYFUNCTION("""COMPUTED_VALUE"""),"approved")</f>
        <v>approved</v>
      </c>
      <c r="D41" s="16" t="str">
        <f>IFERROR(__xludf.DUMMYFUNCTION("""COMPUTED_VALUE"""),"No")</f>
        <v>No</v>
      </c>
      <c r="E41" s="16" t="str">
        <f>IFERROR(__xludf.DUMMYFUNCTION("""COMPUTED_VALUE"""),"p_d21c730205b890b168b350a7cac73948cd7277fa@inbound.aiesec.org")</f>
        <v>p_d21c730205b890b168b350a7cac73948cd7277fa@inbound.aiesec.org</v>
      </c>
      <c r="F41" s="16">
        <f>IFERROR(__xludf.DUMMYFUNCTION("""COMPUTED_VALUE"""),5.453382441E9)</f>
        <v>5453382441</v>
      </c>
      <c r="G41" s="16" t="str">
        <f>IFERROR(__xludf.DUMMYFUNCTION("""COMPUTED_VALUE"""),"Turkey")</f>
        <v>Turkey</v>
      </c>
      <c r="H41" s="16" t="str">
        <f>IFERROR(__xludf.DUMMYFUNCTION("""COMPUTED_VALUE"""),"SAKARYA")</f>
        <v>SAKARYA</v>
      </c>
      <c r="I41" s="16" t="str">
        <f>IFERROR(__xludf.DUMMYFUNCTION("""COMPUTED_VALUE"""),"India")</f>
        <v>India</v>
      </c>
      <c r="J41" s="16" t="str">
        <f>IFERROR(__xludf.DUMMYFUNCTION("""COMPUTED_VALUE"""),"Dehradun")</f>
        <v>Dehradun</v>
      </c>
      <c r="K41" s="17" t="str">
        <f>IFERROR(__xludf.DUMMYFUNCTION("""COMPUTED_VALUE"""),"https://expa.aiesec.org/opportunities/1284485")</f>
        <v>https://expa.aiesec.org/opportunities/1284485</v>
      </c>
      <c r="L41" s="16" t="str">
        <f>IFERROR(__xludf.DUMMYFUNCTION("""COMPUTED_VALUE"""),"GV")</f>
        <v>GV</v>
      </c>
      <c r="M41" s="16" t="str">
        <f>IFERROR(__xludf.DUMMYFUNCTION("""COMPUTED_VALUE"""),"short")</f>
        <v>short</v>
      </c>
      <c r="N41" s="18">
        <f>IFERROR(__xludf.DUMMYFUNCTION("""COMPUTED_VALUE"""),44892.0)</f>
        <v>44892</v>
      </c>
      <c r="O41" s="18">
        <f>IFERROR(__xludf.DUMMYFUNCTION("""COMPUTED_VALUE"""),45122.0)</f>
        <v>45122</v>
      </c>
      <c r="P41" s="18">
        <f>IFERROR(__xludf.DUMMYFUNCTION("""COMPUTED_VALUE"""),45164.0)</f>
        <v>45164</v>
      </c>
      <c r="Q41" s="18"/>
      <c r="R41" s="18"/>
      <c r="S41" s="16"/>
      <c r="T41" s="16"/>
      <c r="U41" s="16" t="str">
        <f>IFERROR(__xludf.DUMMYFUNCTION("""COMPUTED_VALUE"""),"Global Classroom")</f>
        <v>Global Classroom</v>
      </c>
      <c r="V41" s="16" t="str">
        <f>IFERROR(__xludf.DUMMYFUNCTION("""COMPUTED_VALUE"""),"ADIYAMAN")</f>
        <v>ADIYAMAN</v>
      </c>
      <c r="W41" s="16" t="str">
        <f>IFERROR(__xludf.DUMMYFUNCTION("""COMPUTED_VALUE"""),"2020-09-28T17:35:49Z")</f>
        <v>2020-09-28T17:35:49Z</v>
      </c>
      <c r="X41" s="16"/>
      <c r="Y41" s="16"/>
      <c r="Z41" s="16"/>
    </row>
    <row r="42">
      <c r="A42" s="16" t="str">
        <f>IFERROR(__xludf.DUMMYFUNCTION("""COMPUTED_VALUE"""),"5156108_1288609")</f>
        <v>5156108_1288609</v>
      </c>
      <c r="B42" s="16" t="str">
        <f>IFERROR(__xludf.DUMMYFUNCTION("""COMPUTED_VALUE"""),"Melek Aydemir")</f>
        <v>Melek Aydemir</v>
      </c>
      <c r="C42" s="16" t="str">
        <f>IFERROR(__xludf.DUMMYFUNCTION("""COMPUTED_VALUE"""),"approved")</f>
        <v>approved</v>
      </c>
      <c r="D42" s="16" t="str">
        <f>IFERROR(__xludf.DUMMYFUNCTION("""COMPUTED_VALUE"""),"No")</f>
        <v>No</v>
      </c>
      <c r="E42" s="16" t="str">
        <f>IFERROR(__xludf.DUMMYFUNCTION("""COMPUTED_VALUE"""),"p_33daf0efce53274bf4a2c842c7309aed4bde8e98@inbound.aiesec.org")</f>
        <v>p_33daf0efce53274bf4a2c842c7309aed4bde8e98@inbound.aiesec.org</v>
      </c>
      <c r="F42" s="16">
        <f>IFERROR(__xludf.DUMMYFUNCTION("""COMPUTED_VALUE"""),5.398940376E9)</f>
        <v>5398940376</v>
      </c>
      <c r="G42" s="16" t="str">
        <f>IFERROR(__xludf.DUMMYFUNCTION("""COMPUTED_VALUE"""),"Turkey")</f>
        <v>Turkey</v>
      </c>
      <c r="H42" s="16" t="str">
        <f>IFERROR(__xludf.DUMMYFUNCTION("""COMPUTED_VALUE"""),"ISPARTA")</f>
        <v>ISPARTA</v>
      </c>
      <c r="I42" s="16" t="str">
        <f>IFERROR(__xludf.DUMMYFUNCTION("""COMPUTED_VALUE"""),"Egypt")</f>
        <v>Egypt</v>
      </c>
      <c r="J42" s="16" t="str">
        <f>IFERROR(__xludf.DUMMYFUNCTION("""COMPUTED_VALUE"""),"Tanta")</f>
        <v>Tanta</v>
      </c>
      <c r="K42" s="17" t="str">
        <f>IFERROR(__xludf.DUMMYFUNCTION("""COMPUTED_VALUE"""),"https://expa.aiesec.org/opportunities/1288609")</f>
        <v>https://expa.aiesec.org/opportunities/1288609</v>
      </c>
      <c r="L42" s="16" t="str">
        <f>IFERROR(__xludf.DUMMYFUNCTION("""COMPUTED_VALUE"""),"GV")</f>
        <v>GV</v>
      </c>
      <c r="M42" s="16" t="str">
        <f>IFERROR(__xludf.DUMMYFUNCTION("""COMPUTED_VALUE"""),"short")</f>
        <v>short</v>
      </c>
      <c r="N42" s="18">
        <f>IFERROR(__xludf.DUMMYFUNCTION("""COMPUTED_VALUE"""),44893.0)</f>
        <v>44893</v>
      </c>
      <c r="O42" s="18">
        <f>IFERROR(__xludf.DUMMYFUNCTION("""COMPUTED_VALUE"""),45108.0)</f>
        <v>45108</v>
      </c>
      <c r="P42" s="18">
        <f>IFERROR(__xludf.DUMMYFUNCTION("""COMPUTED_VALUE"""),45150.0)</f>
        <v>45150</v>
      </c>
      <c r="Q42" s="18"/>
      <c r="R42" s="18"/>
      <c r="S42" s="16"/>
      <c r="T42" s="16"/>
      <c r="U42" s="16" t="str">
        <f>IFERROR(__xludf.DUMMYFUNCTION("""COMPUTED_VALUE"""),"On The Map")</f>
        <v>On The Map</v>
      </c>
      <c r="V42" s="16" t="str">
        <f>IFERROR(__xludf.DUMMYFUNCTION("""COMPUTED_VALUE"""),"ISPARTA")</f>
        <v>ISPARTA</v>
      </c>
      <c r="W42" s="16" t="str">
        <f>IFERROR(__xludf.DUMMYFUNCTION("""COMPUTED_VALUE"""),"2022-11-20T12:15:11Z")</f>
        <v>2022-11-20T12:15:11Z</v>
      </c>
      <c r="X42" s="16"/>
      <c r="Y42" s="16"/>
      <c r="Z42" s="16"/>
    </row>
    <row r="43">
      <c r="A43" s="16" t="str">
        <f>IFERROR(__xludf.DUMMYFUNCTION("""COMPUTED_VALUE"""),"5155757_1288843")</f>
        <v>5155757_1288843</v>
      </c>
      <c r="B43" s="16" t="str">
        <f>IFERROR(__xludf.DUMMYFUNCTION("""COMPUTED_VALUE"""),"Hazim Ali")</f>
        <v>Hazim Ali</v>
      </c>
      <c r="C43" s="16" t="str">
        <f>IFERROR(__xludf.DUMMYFUNCTION("""COMPUTED_VALUE"""),"approved")</f>
        <v>approved</v>
      </c>
      <c r="D43" s="16" t="str">
        <f>IFERROR(__xludf.DUMMYFUNCTION("""COMPUTED_VALUE"""),"No")</f>
        <v>No</v>
      </c>
      <c r="E43" s="16" t="str">
        <f>IFERROR(__xludf.DUMMYFUNCTION("""COMPUTED_VALUE"""),"p_3a0ccb44b74b1e610b3218323cc45ca89cff1000@inbound.aiesec.org")</f>
        <v>p_3a0ccb44b74b1e610b3218323cc45ca89cff1000@inbound.aiesec.org</v>
      </c>
      <c r="F43" s="16"/>
      <c r="G43" s="16" t="str">
        <f>IFERROR(__xludf.DUMMYFUNCTION("""COMPUTED_VALUE"""),"Turkey")</f>
        <v>Turkey</v>
      </c>
      <c r="H43" s="16" t="str">
        <f>IFERROR(__xludf.DUMMYFUNCTION("""COMPUTED_VALUE"""),"EASTERN MEDITERRANEAN")</f>
        <v>EASTERN MEDITERRANEAN</v>
      </c>
      <c r="I43" s="16" t="str">
        <f>IFERROR(__xludf.DUMMYFUNCTION("""COMPUTED_VALUE"""),"Sri Lanka")</f>
        <v>Sri Lanka</v>
      </c>
      <c r="J43" s="16" t="str">
        <f>IFERROR(__xludf.DUMMYFUNCTION("""COMPUTED_VALUE"""),"COLOMBO NORTH")</f>
        <v>COLOMBO NORTH</v>
      </c>
      <c r="K43" s="17" t="str">
        <f>IFERROR(__xludf.DUMMYFUNCTION("""COMPUTED_VALUE"""),"https://expa.aiesec.org/opportunities/1288843")</f>
        <v>https://expa.aiesec.org/opportunities/1288843</v>
      </c>
      <c r="L43" s="16" t="str">
        <f>IFERROR(__xludf.DUMMYFUNCTION("""COMPUTED_VALUE"""),"GV")</f>
        <v>GV</v>
      </c>
      <c r="M43" s="16" t="str">
        <f>IFERROR(__xludf.DUMMYFUNCTION("""COMPUTED_VALUE"""),"short")</f>
        <v>short</v>
      </c>
      <c r="N43" s="18">
        <f>IFERROR(__xludf.DUMMYFUNCTION("""COMPUTED_VALUE"""),44893.0)</f>
        <v>44893</v>
      </c>
      <c r="O43" s="18">
        <f>IFERROR(__xludf.DUMMYFUNCTION("""COMPUTED_VALUE"""),45122.0)</f>
        <v>45122</v>
      </c>
      <c r="P43" s="18">
        <f>IFERROR(__xludf.DUMMYFUNCTION("""COMPUTED_VALUE"""),45164.0)</f>
        <v>45164</v>
      </c>
      <c r="Q43" s="18"/>
      <c r="R43" s="18"/>
      <c r="S43" s="16"/>
      <c r="T43" s="16"/>
      <c r="U43" s="16" t="str">
        <f>IFERROR(__xludf.DUMMYFUNCTION("""COMPUTED_VALUE"""),"Green Leaders")</f>
        <v>Green Leaders</v>
      </c>
      <c r="V43" s="16" t="str">
        <f>IFERROR(__xludf.DUMMYFUNCTION("""COMPUTED_VALUE"""),"NORTH CYPRUS")</f>
        <v>NORTH CYPRUS</v>
      </c>
      <c r="W43" s="16" t="str">
        <f>IFERROR(__xludf.DUMMYFUNCTION("""COMPUTED_VALUE"""),"2022-11-19T13:06:26Z")</f>
        <v>2022-11-19T13:06:26Z</v>
      </c>
      <c r="X43" s="16"/>
      <c r="Y43" s="16"/>
      <c r="Z43" s="16"/>
    </row>
    <row r="44">
      <c r="A44" s="16" t="str">
        <f>IFERROR(__xludf.DUMMYFUNCTION("""COMPUTED_VALUE"""),"5086316_1287894")</f>
        <v>5086316_1287894</v>
      </c>
      <c r="B44" s="16" t="str">
        <f>IFERROR(__xludf.DUMMYFUNCTION("""COMPUTED_VALUE"""),"Ozan Semih Doğan")</f>
        <v>Ozan Semih Doğan</v>
      </c>
      <c r="C44" s="16" t="str">
        <f>IFERROR(__xludf.DUMMYFUNCTION("""COMPUTED_VALUE"""),"approved")</f>
        <v>approved</v>
      </c>
      <c r="D44" s="16" t="str">
        <f>IFERROR(__xludf.DUMMYFUNCTION("""COMPUTED_VALUE"""),"No")</f>
        <v>No</v>
      </c>
      <c r="E44" s="16" t="str">
        <f>IFERROR(__xludf.DUMMYFUNCTION("""COMPUTED_VALUE"""),"p_3187dc630442836b978009af966624bdf41ae7bb@inbound.aiesec.org")</f>
        <v>p_3187dc630442836b978009af966624bdf41ae7bb@inbound.aiesec.org</v>
      </c>
      <c r="F44" s="16"/>
      <c r="G44" s="16" t="str">
        <f>IFERROR(__xludf.DUMMYFUNCTION("""COMPUTED_VALUE"""),"Turkey")</f>
        <v>Turkey</v>
      </c>
      <c r="H44" s="16" t="str">
        <f>IFERROR(__xludf.DUMMYFUNCTION("""COMPUTED_VALUE"""),"ISTANBUL")</f>
        <v>ISTANBUL</v>
      </c>
      <c r="I44" s="16" t="str">
        <f>IFERROR(__xludf.DUMMYFUNCTION("""COMPUTED_VALUE"""),"Spain")</f>
        <v>Spain</v>
      </c>
      <c r="J44" s="16" t="str">
        <f>IFERROR(__xludf.DUMMYFUNCTION("""COMPUTED_VALUE"""),"Pompeu Fabra Barcelona")</f>
        <v>Pompeu Fabra Barcelona</v>
      </c>
      <c r="K44" s="17" t="str">
        <f>IFERROR(__xludf.DUMMYFUNCTION("""COMPUTED_VALUE"""),"https://expa.aiesec.org/opportunities/1287894")</f>
        <v>https://expa.aiesec.org/opportunities/1287894</v>
      </c>
      <c r="L44" s="16" t="str">
        <f>IFERROR(__xludf.DUMMYFUNCTION("""COMPUTED_VALUE"""),"GV")</f>
        <v>GV</v>
      </c>
      <c r="M44" s="16" t="str">
        <f>IFERROR(__xludf.DUMMYFUNCTION("""COMPUTED_VALUE"""),"short")</f>
        <v>short</v>
      </c>
      <c r="N44" s="18">
        <f>IFERROR(__xludf.DUMMYFUNCTION("""COMPUTED_VALUE"""),44893.0)</f>
        <v>44893</v>
      </c>
      <c r="O44" s="18">
        <f>IFERROR(__xludf.DUMMYFUNCTION("""COMPUTED_VALUE"""),44963.0)</f>
        <v>44963</v>
      </c>
      <c r="P44" s="18">
        <f>IFERROR(__xludf.DUMMYFUNCTION("""COMPUTED_VALUE"""),45005.0)</f>
        <v>45005</v>
      </c>
      <c r="Q44" s="18"/>
      <c r="R44" s="18"/>
      <c r="S44" s="16"/>
      <c r="T44" s="16"/>
      <c r="U44" s="16" t="str">
        <f>IFERROR(__xludf.DUMMYFUNCTION("""COMPUTED_VALUE"""),"Youth 4 Impact")</f>
        <v>Youth 4 Impact</v>
      </c>
      <c r="V44" s="16" t="str">
        <f>IFERROR(__xludf.DUMMYFUNCTION("""COMPUTED_VALUE"""),"-")</f>
        <v>-</v>
      </c>
      <c r="W44" s="16" t="str">
        <f>IFERROR(__xludf.DUMMYFUNCTION("""COMPUTED_VALUE"""),"2022-07-27T10:05:03Z")</f>
        <v>2022-07-27T10:05:03Z</v>
      </c>
      <c r="X44" s="16"/>
      <c r="Y44" s="16"/>
      <c r="Z44" s="16"/>
    </row>
    <row r="45">
      <c r="A45" s="16" t="str">
        <f>IFERROR(__xludf.DUMMYFUNCTION("""COMPUTED_VALUE"""),"5160098_1288609")</f>
        <v>5160098_1288609</v>
      </c>
      <c r="B45" s="16" t="str">
        <f>IFERROR(__xludf.DUMMYFUNCTION("""COMPUTED_VALUE"""),"ALIREZA KASHANINIA")</f>
        <v>ALIREZA KASHANINIA</v>
      </c>
      <c r="C45" s="16" t="str">
        <f>IFERROR(__xludf.DUMMYFUNCTION("""COMPUTED_VALUE"""),"approved")</f>
        <v>approved</v>
      </c>
      <c r="D45" s="16" t="str">
        <f>IFERROR(__xludf.DUMMYFUNCTION("""COMPUTED_VALUE"""),"No")</f>
        <v>No</v>
      </c>
      <c r="E45" s="16" t="str">
        <f>IFERROR(__xludf.DUMMYFUNCTION("""COMPUTED_VALUE"""),"p_5eb9bcd65f96510f290e647afb05c8a50ac4a730@inbound.aiesec.org")</f>
        <v>p_5eb9bcd65f96510f290e647afb05c8a50ac4a730@inbound.aiesec.org</v>
      </c>
      <c r="F45" s="16"/>
      <c r="G45" s="16" t="str">
        <f>IFERROR(__xludf.DUMMYFUNCTION("""COMPUTED_VALUE"""),"Turkey")</f>
        <v>Turkey</v>
      </c>
      <c r="H45" s="16" t="str">
        <f>IFERROR(__xludf.DUMMYFUNCTION("""COMPUTED_VALUE"""),"ISTANBUL WEST")</f>
        <v>ISTANBUL WEST</v>
      </c>
      <c r="I45" s="16" t="str">
        <f>IFERROR(__xludf.DUMMYFUNCTION("""COMPUTED_VALUE"""),"Egypt")</f>
        <v>Egypt</v>
      </c>
      <c r="J45" s="16" t="str">
        <f>IFERROR(__xludf.DUMMYFUNCTION("""COMPUTED_VALUE"""),"Tanta")</f>
        <v>Tanta</v>
      </c>
      <c r="K45" s="17" t="str">
        <f>IFERROR(__xludf.DUMMYFUNCTION("""COMPUTED_VALUE"""),"https://expa.aiesec.org/opportunities/1288609")</f>
        <v>https://expa.aiesec.org/opportunities/1288609</v>
      </c>
      <c r="L45" s="16" t="str">
        <f>IFERROR(__xludf.DUMMYFUNCTION("""COMPUTED_VALUE"""),"GV")</f>
        <v>GV</v>
      </c>
      <c r="M45" s="16" t="str">
        <f>IFERROR(__xludf.DUMMYFUNCTION("""COMPUTED_VALUE"""),"short")</f>
        <v>short</v>
      </c>
      <c r="N45" s="18">
        <f>IFERROR(__xludf.DUMMYFUNCTION("""COMPUTED_VALUE"""),44894.0)</f>
        <v>44894</v>
      </c>
      <c r="O45" s="18">
        <f>IFERROR(__xludf.DUMMYFUNCTION("""COMPUTED_VALUE"""),45108.0)</f>
        <v>45108</v>
      </c>
      <c r="P45" s="18">
        <f>IFERROR(__xludf.DUMMYFUNCTION("""COMPUTED_VALUE"""),45150.0)</f>
        <v>45150</v>
      </c>
      <c r="Q45" s="18"/>
      <c r="R45" s="18"/>
      <c r="S45" s="16"/>
      <c r="T45" s="16"/>
      <c r="U45" s="16" t="str">
        <f>IFERROR(__xludf.DUMMYFUNCTION("""COMPUTED_VALUE"""),"On The Map")</f>
        <v>On The Map</v>
      </c>
      <c r="V45" s="16" t="str">
        <f>IFERROR(__xludf.DUMMYFUNCTION("""COMPUTED_VALUE"""),"ISTANBUL - BAKIRKOY")</f>
        <v>ISTANBUL - BAKIRKOY</v>
      </c>
      <c r="W45" s="16" t="str">
        <f>IFERROR(__xludf.DUMMYFUNCTION("""COMPUTED_VALUE"""),"2022-11-28T20:16:46Z")</f>
        <v>2022-11-28T20:16:46Z</v>
      </c>
      <c r="X45" s="16"/>
      <c r="Y45" s="16"/>
      <c r="Z45" s="16"/>
    </row>
    <row r="46">
      <c r="A46" s="16" t="str">
        <f>IFERROR(__xludf.DUMMYFUNCTION("""COMPUTED_VALUE"""),"5158763_1290024")</f>
        <v>5158763_1290024</v>
      </c>
      <c r="B46" s="16" t="str">
        <f>IFERROR(__xludf.DUMMYFUNCTION("""COMPUTED_VALUE"""),"Hümeyra Çetin")</f>
        <v>Hümeyra Çetin</v>
      </c>
      <c r="C46" s="16" t="str">
        <f>IFERROR(__xludf.DUMMYFUNCTION("""COMPUTED_VALUE"""),"approved")</f>
        <v>approved</v>
      </c>
      <c r="D46" s="16" t="str">
        <f>IFERROR(__xludf.DUMMYFUNCTION("""COMPUTED_VALUE"""),"No")</f>
        <v>No</v>
      </c>
      <c r="E46" s="16" t="str">
        <f>IFERROR(__xludf.DUMMYFUNCTION("""COMPUTED_VALUE"""),"p_9bfab27d0950a9b3e64734f80d771d50a872c35e@inbound.aiesec.org")</f>
        <v>p_9bfab27d0950a9b3e64734f80d771d50a872c35e@inbound.aiesec.org</v>
      </c>
      <c r="F46" s="16">
        <f>IFERROR(__xludf.DUMMYFUNCTION("""COMPUTED_VALUE"""),5.413931854E9)</f>
        <v>5413931854</v>
      </c>
      <c r="G46" s="16" t="str">
        <f>IFERROR(__xludf.DUMMYFUNCTION("""COMPUTED_VALUE"""),"Turkey")</f>
        <v>Turkey</v>
      </c>
      <c r="H46" s="16" t="str">
        <f>IFERROR(__xludf.DUMMYFUNCTION("""COMPUTED_VALUE"""),"İZMİR")</f>
        <v>İZMİR</v>
      </c>
      <c r="I46" s="16" t="str">
        <f>IFERROR(__xludf.DUMMYFUNCTION("""COMPUTED_VALUE"""),"Egypt")</f>
        <v>Egypt</v>
      </c>
      <c r="J46" s="16" t="str">
        <f>IFERROR(__xludf.DUMMYFUNCTION("""COMPUTED_VALUE"""),"Ain Shams University")</f>
        <v>Ain Shams University</v>
      </c>
      <c r="K46" s="17" t="str">
        <f>IFERROR(__xludf.DUMMYFUNCTION("""COMPUTED_VALUE"""),"https://expa.aiesec.org/opportunities/1290024")</f>
        <v>https://expa.aiesec.org/opportunities/1290024</v>
      </c>
      <c r="L46" s="16" t="str">
        <f>IFERROR(__xludf.DUMMYFUNCTION("""COMPUTED_VALUE"""),"GV")</f>
        <v>GV</v>
      </c>
      <c r="M46" s="16" t="str">
        <f>IFERROR(__xludf.DUMMYFUNCTION("""COMPUTED_VALUE"""),"short")</f>
        <v>short</v>
      </c>
      <c r="N46" s="18">
        <f>IFERROR(__xludf.DUMMYFUNCTION("""COMPUTED_VALUE"""),44894.0)</f>
        <v>44894</v>
      </c>
      <c r="O46" s="18">
        <f>IFERROR(__xludf.DUMMYFUNCTION("""COMPUTED_VALUE"""),45108.0)</f>
        <v>45108</v>
      </c>
      <c r="P46" s="18">
        <f>IFERROR(__xludf.DUMMYFUNCTION("""COMPUTED_VALUE"""),45150.0)</f>
        <v>45150</v>
      </c>
      <c r="Q46" s="18"/>
      <c r="R46" s="18"/>
      <c r="S46" s="16"/>
      <c r="T46" s="16"/>
      <c r="U46" s="16" t="str">
        <f>IFERROR(__xludf.DUMMYFUNCTION("""COMPUTED_VALUE"""),"On The Map")</f>
        <v>On The Map</v>
      </c>
      <c r="V46" s="16" t="str">
        <f>IFERROR(__xludf.DUMMYFUNCTION("""COMPUTED_VALUE"""),"IZMIR")</f>
        <v>IZMIR</v>
      </c>
      <c r="W46" s="16" t="str">
        <f>IFERROR(__xludf.DUMMYFUNCTION("""COMPUTED_VALUE"""),"2022-11-25T12:28:21Z")</f>
        <v>2022-11-25T12:28:21Z</v>
      </c>
      <c r="X46" s="16"/>
      <c r="Y46" s="16"/>
      <c r="Z46" s="16"/>
    </row>
    <row r="47">
      <c r="A47" s="16" t="str">
        <f>IFERROR(__xludf.DUMMYFUNCTION("""COMPUTED_VALUE"""),"5158764_1290024")</f>
        <v>5158764_1290024</v>
      </c>
      <c r="B47" s="16" t="str">
        <f>IFERROR(__xludf.DUMMYFUNCTION("""COMPUTED_VALUE"""),"Büşra Nur Özdemir")</f>
        <v>Büşra Nur Özdemir</v>
      </c>
      <c r="C47" s="16" t="str">
        <f>IFERROR(__xludf.DUMMYFUNCTION("""COMPUTED_VALUE"""),"approved")</f>
        <v>approved</v>
      </c>
      <c r="D47" s="16" t="str">
        <f>IFERROR(__xludf.DUMMYFUNCTION("""COMPUTED_VALUE"""),"No")</f>
        <v>No</v>
      </c>
      <c r="E47" s="16" t="str">
        <f>IFERROR(__xludf.DUMMYFUNCTION("""COMPUTED_VALUE"""),"p_387e91422a8a0fe3704b1587f5124abe4d78f975@inbound.aiesec.org")</f>
        <v>p_387e91422a8a0fe3704b1587f5124abe4d78f975@inbound.aiesec.org</v>
      </c>
      <c r="F47" s="16">
        <f>IFERROR(__xludf.DUMMYFUNCTION("""COMPUTED_VALUE"""),5.413834807E9)</f>
        <v>5413834807</v>
      </c>
      <c r="G47" s="16" t="str">
        <f>IFERROR(__xludf.DUMMYFUNCTION("""COMPUTED_VALUE"""),"Turkey")</f>
        <v>Turkey</v>
      </c>
      <c r="H47" s="16" t="str">
        <f>IFERROR(__xludf.DUMMYFUNCTION("""COMPUTED_VALUE"""),"İZMİR")</f>
        <v>İZMİR</v>
      </c>
      <c r="I47" s="16" t="str">
        <f>IFERROR(__xludf.DUMMYFUNCTION("""COMPUTED_VALUE"""),"Egypt")</f>
        <v>Egypt</v>
      </c>
      <c r="J47" s="16" t="str">
        <f>IFERROR(__xludf.DUMMYFUNCTION("""COMPUTED_VALUE"""),"Ain Shams University")</f>
        <v>Ain Shams University</v>
      </c>
      <c r="K47" s="17" t="str">
        <f>IFERROR(__xludf.DUMMYFUNCTION("""COMPUTED_VALUE"""),"https://expa.aiesec.org/opportunities/1290024")</f>
        <v>https://expa.aiesec.org/opportunities/1290024</v>
      </c>
      <c r="L47" s="16" t="str">
        <f>IFERROR(__xludf.DUMMYFUNCTION("""COMPUTED_VALUE"""),"GV")</f>
        <v>GV</v>
      </c>
      <c r="M47" s="16" t="str">
        <f>IFERROR(__xludf.DUMMYFUNCTION("""COMPUTED_VALUE"""),"short")</f>
        <v>short</v>
      </c>
      <c r="N47" s="18">
        <f>IFERROR(__xludf.DUMMYFUNCTION("""COMPUTED_VALUE"""),44894.0)</f>
        <v>44894</v>
      </c>
      <c r="O47" s="18">
        <f>IFERROR(__xludf.DUMMYFUNCTION("""COMPUTED_VALUE"""),45108.0)</f>
        <v>45108</v>
      </c>
      <c r="P47" s="18">
        <f>IFERROR(__xludf.DUMMYFUNCTION("""COMPUTED_VALUE"""),45150.0)</f>
        <v>45150</v>
      </c>
      <c r="Q47" s="18"/>
      <c r="R47" s="18"/>
      <c r="S47" s="16"/>
      <c r="T47" s="16"/>
      <c r="U47" s="16" t="str">
        <f>IFERROR(__xludf.DUMMYFUNCTION("""COMPUTED_VALUE"""),"On The Map")</f>
        <v>On The Map</v>
      </c>
      <c r="V47" s="16" t="str">
        <f>IFERROR(__xludf.DUMMYFUNCTION("""COMPUTED_VALUE"""),"IZMIR")</f>
        <v>IZMIR</v>
      </c>
      <c r="W47" s="16" t="str">
        <f>IFERROR(__xludf.DUMMYFUNCTION("""COMPUTED_VALUE"""),"2022-11-25T12:28:21Z")</f>
        <v>2022-11-25T12:28:21Z</v>
      </c>
      <c r="X47" s="16"/>
      <c r="Y47" s="16"/>
      <c r="Z47" s="16"/>
    </row>
    <row r="48">
      <c r="A48" s="16" t="str">
        <f>IFERROR(__xludf.DUMMYFUNCTION("""COMPUTED_VALUE"""),"5160826_1288609")</f>
        <v>5160826_1288609</v>
      </c>
      <c r="B48" s="16" t="str">
        <f>IFERROR(__xludf.DUMMYFUNCTION("""COMPUTED_VALUE"""),"Fatima Şeyh")</f>
        <v>Fatima Şeyh</v>
      </c>
      <c r="C48" s="16" t="str">
        <f>IFERROR(__xludf.DUMMYFUNCTION("""COMPUTED_VALUE"""),"approved")</f>
        <v>approved</v>
      </c>
      <c r="D48" s="16" t="str">
        <f>IFERROR(__xludf.DUMMYFUNCTION("""COMPUTED_VALUE"""),"No")</f>
        <v>No</v>
      </c>
      <c r="E48" s="16" t="str">
        <f>IFERROR(__xludf.DUMMYFUNCTION("""COMPUTED_VALUE"""),"p_5b6eb54a0557953aab4e9b032ce88145be0b185d@inbound.aiesec.org")</f>
        <v>p_5b6eb54a0557953aab4e9b032ce88145be0b185d@inbound.aiesec.org</v>
      </c>
      <c r="F48" s="16"/>
      <c r="G48" s="16" t="str">
        <f>IFERROR(__xludf.DUMMYFUNCTION("""COMPUTED_VALUE"""),"Turkey")</f>
        <v>Turkey</v>
      </c>
      <c r="H48" s="16" t="str">
        <f>IFERROR(__xludf.DUMMYFUNCTION("""COMPUTED_VALUE"""),"ISTANBUL WEST")</f>
        <v>ISTANBUL WEST</v>
      </c>
      <c r="I48" s="16" t="str">
        <f>IFERROR(__xludf.DUMMYFUNCTION("""COMPUTED_VALUE"""),"Egypt")</f>
        <v>Egypt</v>
      </c>
      <c r="J48" s="16" t="str">
        <f>IFERROR(__xludf.DUMMYFUNCTION("""COMPUTED_VALUE"""),"Tanta")</f>
        <v>Tanta</v>
      </c>
      <c r="K48" s="17" t="str">
        <f>IFERROR(__xludf.DUMMYFUNCTION("""COMPUTED_VALUE"""),"https://expa.aiesec.org/opportunities/1288609")</f>
        <v>https://expa.aiesec.org/opportunities/1288609</v>
      </c>
      <c r="L48" s="16" t="str">
        <f>IFERROR(__xludf.DUMMYFUNCTION("""COMPUTED_VALUE"""),"GV")</f>
        <v>GV</v>
      </c>
      <c r="M48" s="16" t="str">
        <f>IFERROR(__xludf.DUMMYFUNCTION("""COMPUTED_VALUE"""),"short")</f>
        <v>short</v>
      </c>
      <c r="N48" s="18">
        <f>IFERROR(__xludf.DUMMYFUNCTION("""COMPUTED_VALUE"""),44895.0)</f>
        <v>44895</v>
      </c>
      <c r="O48" s="18">
        <f>IFERROR(__xludf.DUMMYFUNCTION("""COMPUTED_VALUE"""),45108.0)</f>
        <v>45108</v>
      </c>
      <c r="P48" s="18">
        <f>IFERROR(__xludf.DUMMYFUNCTION("""COMPUTED_VALUE"""),45150.0)</f>
        <v>45150</v>
      </c>
      <c r="Q48" s="18"/>
      <c r="R48" s="18"/>
      <c r="S48" s="16"/>
      <c r="T48" s="16"/>
      <c r="U48" s="16" t="str">
        <f>IFERROR(__xludf.DUMMYFUNCTION("""COMPUTED_VALUE"""),"On The Map")</f>
        <v>On The Map</v>
      </c>
      <c r="V48" s="16" t="str">
        <f>IFERROR(__xludf.DUMMYFUNCTION("""COMPUTED_VALUE"""),"ISTANBUL - BAKIRKOY")</f>
        <v>ISTANBUL - BAKIRKOY</v>
      </c>
      <c r="W48" s="16" t="str">
        <f>IFERROR(__xludf.DUMMYFUNCTION("""COMPUTED_VALUE"""),"2022-11-30T09:18:26Z")</f>
        <v>2022-11-30T09:18:26Z</v>
      </c>
      <c r="X48" s="16"/>
      <c r="Y48" s="16"/>
      <c r="Z48" s="16"/>
    </row>
    <row r="49">
      <c r="A49" s="16" t="str">
        <f>IFERROR(__xludf.DUMMYFUNCTION("""COMPUTED_VALUE"""),"5153186_1287477")</f>
        <v>5153186_1287477</v>
      </c>
      <c r="B49" s="16" t="str">
        <f>IFERROR(__xludf.DUMMYFUNCTION("""COMPUTED_VALUE"""),"Melike İşbilen")</f>
        <v>Melike İşbilen</v>
      </c>
      <c r="C49" s="16" t="str">
        <f>IFERROR(__xludf.DUMMYFUNCTION("""COMPUTED_VALUE"""),"approved")</f>
        <v>approved</v>
      </c>
      <c r="D49" s="16" t="str">
        <f>IFERROR(__xludf.DUMMYFUNCTION("""COMPUTED_VALUE"""),"No")</f>
        <v>No</v>
      </c>
      <c r="E49" s="16" t="str">
        <f>IFERROR(__xludf.DUMMYFUNCTION("""COMPUTED_VALUE"""),"p_83a8dcf19d73db42653a516b58687ee84019bfd9@inbound.aiesec.org")</f>
        <v>p_83a8dcf19d73db42653a516b58687ee84019bfd9@inbound.aiesec.org</v>
      </c>
      <c r="F49" s="16">
        <f>IFERROR(__xludf.DUMMYFUNCTION("""COMPUTED_VALUE"""),5.469765042E9)</f>
        <v>5469765042</v>
      </c>
      <c r="G49" s="16" t="str">
        <f>IFERROR(__xludf.DUMMYFUNCTION("""COMPUTED_VALUE"""),"Turkey")</f>
        <v>Turkey</v>
      </c>
      <c r="H49" s="16" t="str">
        <f>IFERROR(__xludf.DUMMYFUNCTION("""COMPUTED_VALUE"""),"KOCAELI")</f>
        <v>KOCAELI</v>
      </c>
      <c r="I49" s="16" t="str">
        <f>IFERROR(__xludf.DUMMYFUNCTION("""COMPUTED_VALUE"""),"India")</f>
        <v>India</v>
      </c>
      <c r="J49" s="16" t="str">
        <f>IFERROR(__xludf.DUMMYFUNCTION("""COMPUTED_VALUE"""),"JAIPUR ")</f>
        <v>JAIPUR </v>
      </c>
      <c r="K49" s="17" t="str">
        <f>IFERROR(__xludf.DUMMYFUNCTION("""COMPUTED_VALUE"""),"https://expa.aiesec.org/opportunities/1287477")</f>
        <v>https://expa.aiesec.org/opportunities/1287477</v>
      </c>
      <c r="L49" s="16" t="str">
        <f>IFERROR(__xludf.DUMMYFUNCTION("""COMPUTED_VALUE"""),"GV")</f>
        <v>GV</v>
      </c>
      <c r="M49" s="16" t="str">
        <f>IFERROR(__xludf.DUMMYFUNCTION("""COMPUTED_VALUE"""),"short")</f>
        <v>short</v>
      </c>
      <c r="N49" s="18">
        <f>IFERROR(__xludf.DUMMYFUNCTION("""COMPUTED_VALUE"""),44895.0)</f>
        <v>44895</v>
      </c>
      <c r="O49" s="18">
        <f>IFERROR(__xludf.DUMMYFUNCTION("""COMPUTED_VALUE"""),45115.0)</f>
        <v>45115</v>
      </c>
      <c r="P49" s="18">
        <f>IFERROR(__xludf.DUMMYFUNCTION("""COMPUTED_VALUE"""),45157.0)</f>
        <v>45157</v>
      </c>
      <c r="Q49" s="18"/>
      <c r="R49" s="18"/>
      <c r="S49" s="16"/>
      <c r="T49" s="16"/>
      <c r="U49" s="16" t="str">
        <f>IFERROR(__xludf.DUMMYFUNCTION("""COMPUTED_VALUE"""),"Skill Up!")</f>
        <v>Skill Up!</v>
      </c>
      <c r="V49" s="16" t="str">
        <f>IFERROR(__xludf.DUMMYFUNCTION("""COMPUTED_VALUE"""),"KOCAELI")</f>
        <v>KOCAELI</v>
      </c>
      <c r="W49" s="16" t="str">
        <f>IFERROR(__xludf.DUMMYFUNCTION("""COMPUTED_VALUE"""),"2022-11-15T09:05:17Z")</f>
        <v>2022-11-15T09:05:17Z</v>
      </c>
      <c r="X49" s="16"/>
      <c r="Y49" s="16"/>
      <c r="Z49" s="16"/>
    </row>
    <row r="50">
      <c r="A50" s="16" t="str">
        <f>IFERROR(__xludf.DUMMYFUNCTION("""COMPUTED_VALUE"""),"5159093_1286442")</f>
        <v>5159093_1286442</v>
      </c>
      <c r="B50" s="16" t="str">
        <f>IFERROR(__xludf.DUMMYFUNCTION("""COMPUTED_VALUE"""),"Hilal Sümbüllü")</f>
        <v>Hilal Sümbüllü</v>
      </c>
      <c r="C50" s="16" t="str">
        <f>IFERROR(__xludf.DUMMYFUNCTION("""COMPUTED_VALUE"""),"approved")</f>
        <v>approved</v>
      </c>
      <c r="D50" s="16" t="str">
        <f>IFERROR(__xludf.DUMMYFUNCTION("""COMPUTED_VALUE"""),"No")</f>
        <v>No</v>
      </c>
      <c r="E50" s="16" t="str">
        <f>IFERROR(__xludf.DUMMYFUNCTION("""COMPUTED_VALUE"""),"p_86b1ada083170a8bd8a8aa94356f87a9acb2c28f@inbound.aiesec.org")</f>
        <v>p_86b1ada083170a8bd8a8aa94356f87a9acb2c28f@inbound.aiesec.org</v>
      </c>
      <c r="F50" s="16">
        <f>IFERROR(__xludf.DUMMYFUNCTION("""COMPUTED_VALUE"""),5.432508358E9)</f>
        <v>5432508358</v>
      </c>
      <c r="G50" s="16" t="str">
        <f>IFERROR(__xludf.DUMMYFUNCTION("""COMPUTED_VALUE"""),"Turkey")</f>
        <v>Turkey</v>
      </c>
      <c r="H50" s="16" t="str">
        <f>IFERROR(__xludf.DUMMYFUNCTION("""COMPUTED_VALUE"""),"ADANA")</f>
        <v>ADANA</v>
      </c>
      <c r="I50" s="16" t="str">
        <f>IFERROR(__xludf.DUMMYFUNCTION("""COMPUTED_VALUE"""),"Czech Republic")</f>
        <v>Czech Republic</v>
      </c>
      <c r="J50" s="16" t="str">
        <f>IFERROR(__xludf.DUMMYFUNCTION("""COMPUTED_VALUE"""),"PRAGUE")</f>
        <v>PRAGUE</v>
      </c>
      <c r="K50" s="17" t="str">
        <f>IFERROR(__xludf.DUMMYFUNCTION("""COMPUTED_VALUE"""),"https://expa.aiesec.org/opportunities/1286442")</f>
        <v>https://expa.aiesec.org/opportunities/1286442</v>
      </c>
      <c r="L50" s="16" t="str">
        <f>IFERROR(__xludf.DUMMYFUNCTION("""COMPUTED_VALUE"""),"GV")</f>
        <v>GV</v>
      </c>
      <c r="M50" s="16" t="str">
        <f>IFERROR(__xludf.DUMMYFUNCTION("""COMPUTED_VALUE"""),"short")</f>
        <v>short</v>
      </c>
      <c r="N50" s="18">
        <f>IFERROR(__xludf.DUMMYFUNCTION("""COMPUTED_VALUE"""),44895.0)</f>
        <v>44895</v>
      </c>
      <c r="O50" s="18">
        <f>IFERROR(__xludf.DUMMYFUNCTION("""COMPUTED_VALUE"""),45053.0)</f>
        <v>45053</v>
      </c>
      <c r="P50" s="18">
        <f>IFERROR(__xludf.DUMMYFUNCTION("""COMPUTED_VALUE"""),45095.0)</f>
        <v>45095</v>
      </c>
      <c r="Q50" s="18"/>
      <c r="R50" s="18"/>
      <c r="S50" s="16"/>
      <c r="T50" s="16"/>
      <c r="U50" s="16" t="str">
        <f>IFERROR(__xludf.DUMMYFUNCTION("""COMPUTED_VALUE"""),"Youth 4 Impact")</f>
        <v>Youth 4 Impact</v>
      </c>
      <c r="V50" s="16" t="str">
        <f>IFERROR(__xludf.DUMMYFUNCTION("""COMPUTED_VALUE"""),"ADANA")</f>
        <v>ADANA</v>
      </c>
      <c r="W50" s="16" t="str">
        <f>IFERROR(__xludf.DUMMYFUNCTION("""COMPUTED_VALUE"""),"2022-11-26T11:41:53Z")</f>
        <v>2022-11-26T11:41:53Z</v>
      </c>
      <c r="X50" s="16"/>
      <c r="Y50" s="16"/>
      <c r="Z50" s="16"/>
    </row>
    <row r="51">
      <c r="A51" s="16" t="str">
        <f>IFERROR(__xludf.DUMMYFUNCTION("""COMPUTED_VALUE"""),"5155511_1290024")</f>
        <v>5155511_1290024</v>
      </c>
      <c r="B51" s="16" t="str">
        <f>IFERROR(__xludf.DUMMYFUNCTION("""COMPUTED_VALUE"""),"süleyman Tekin")</f>
        <v>süleyman Tekin</v>
      </c>
      <c r="C51" s="16" t="str">
        <f>IFERROR(__xludf.DUMMYFUNCTION("""COMPUTED_VALUE"""),"approved")</f>
        <v>approved</v>
      </c>
      <c r="D51" s="16" t="str">
        <f>IFERROR(__xludf.DUMMYFUNCTION("""COMPUTED_VALUE"""),"No")</f>
        <v>No</v>
      </c>
      <c r="E51" s="16" t="str">
        <f>IFERROR(__xludf.DUMMYFUNCTION("""COMPUTED_VALUE"""),"p_08bc65250130c2597fe9329e84afb99b001e7d1f@inbound.aiesec.org")</f>
        <v>p_08bc65250130c2597fe9329e84afb99b001e7d1f@inbound.aiesec.org</v>
      </c>
      <c r="F51" s="16"/>
      <c r="G51" s="16" t="str">
        <f>IFERROR(__xludf.DUMMYFUNCTION("""COMPUTED_VALUE"""),"Turkey")</f>
        <v>Turkey</v>
      </c>
      <c r="H51" s="16" t="str">
        <f>IFERROR(__xludf.DUMMYFUNCTION("""COMPUTED_VALUE"""),"ISTANBUL")</f>
        <v>ISTANBUL</v>
      </c>
      <c r="I51" s="16" t="str">
        <f>IFERROR(__xludf.DUMMYFUNCTION("""COMPUTED_VALUE"""),"Egypt")</f>
        <v>Egypt</v>
      </c>
      <c r="J51" s="16" t="str">
        <f>IFERROR(__xludf.DUMMYFUNCTION("""COMPUTED_VALUE"""),"Ain Shams University")</f>
        <v>Ain Shams University</v>
      </c>
      <c r="K51" s="17" t="str">
        <f>IFERROR(__xludf.DUMMYFUNCTION("""COMPUTED_VALUE"""),"https://expa.aiesec.org/opportunities/1290024")</f>
        <v>https://expa.aiesec.org/opportunities/1290024</v>
      </c>
      <c r="L51" s="16" t="str">
        <f>IFERROR(__xludf.DUMMYFUNCTION("""COMPUTED_VALUE"""),"GV")</f>
        <v>GV</v>
      </c>
      <c r="M51" s="16" t="str">
        <f>IFERROR(__xludf.DUMMYFUNCTION("""COMPUTED_VALUE"""),"short")</f>
        <v>short</v>
      </c>
      <c r="N51" s="18">
        <f>IFERROR(__xludf.DUMMYFUNCTION("""COMPUTED_VALUE"""),44895.0)</f>
        <v>44895</v>
      </c>
      <c r="O51" s="18">
        <f>IFERROR(__xludf.DUMMYFUNCTION("""COMPUTED_VALUE"""),45108.0)</f>
        <v>45108</v>
      </c>
      <c r="P51" s="18">
        <f>IFERROR(__xludf.DUMMYFUNCTION("""COMPUTED_VALUE"""),45150.0)</f>
        <v>45150</v>
      </c>
      <c r="Q51" s="18"/>
      <c r="R51" s="18"/>
      <c r="S51" s="16"/>
      <c r="T51" s="16"/>
      <c r="U51" s="16" t="str">
        <f>IFERROR(__xludf.DUMMYFUNCTION("""COMPUTED_VALUE"""),"On The Map")</f>
        <v>On The Map</v>
      </c>
      <c r="V51" s="16" t="str">
        <f>IFERROR(__xludf.DUMMYFUNCTION("""COMPUTED_VALUE"""),"-")</f>
        <v>-</v>
      </c>
      <c r="W51" s="16" t="str">
        <f>IFERROR(__xludf.DUMMYFUNCTION("""COMPUTED_VALUE"""),"2022-11-18T20:59:12Z")</f>
        <v>2022-11-18T20:59:12Z</v>
      </c>
      <c r="X51" s="16"/>
      <c r="Y51" s="16"/>
      <c r="Z51" s="16"/>
    </row>
    <row r="52">
      <c r="A52" s="16" t="str">
        <f>IFERROR(__xludf.DUMMYFUNCTION("""COMPUTED_VALUE"""),"5159877_1281901")</f>
        <v>5159877_1281901</v>
      </c>
      <c r="B52" s="16" t="str">
        <f>IFERROR(__xludf.DUMMYFUNCTION("""COMPUTED_VALUE"""),"Zeki Kaan Paksoy")</f>
        <v>Zeki Kaan Paksoy</v>
      </c>
      <c r="C52" s="16" t="str">
        <f>IFERROR(__xludf.DUMMYFUNCTION("""COMPUTED_VALUE"""),"approved")</f>
        <v>approved</v>
      </c>
      <c r="D52" s="16" t="str">
        <f>IFERROR(__xludf.DUMMYFUNCTION("""COMPUTED_VALUE"""),"No")</f>
        <v>No</v>
      </c>
      <c r="E52" s="16" t="str">
        <f>IFERROR(__xludf.DUMMYFUNCTION("""COMPUTED_VALUE"""),"p_077e2f89d5e5aad57cc098321a6281d8c4b9ae17@inbound.aiesec.org")</f>
        <v>p_077e2f89d5e5aad57cc098321a6281d8c4b9ae17@inbound.aiesec.org</v>
      </c>
      <c r="F52" s="16">
        <f>IFERROR(__xludf.DUMMYFUNCTION("""COMPUTED_VALUE"""),5.309366651E9)</f>
        <v>5309366651</v>
      </c>
      <c r="G52" s="16" t="str">
        <f>IFERROR(__xludf.DUMMYFUNCTION("""COMPUTED_VALUE"""),"Turkey")</f>
        <v>Turkey</v>
      </c>
      <c r="H52" s="16" t="str">
        <f>IFERROR(__xludf.DUMMYFUNCTION("""COMPUTED_VALUE"""),"ISTANBUL ASIA")</f>
        <v>ISTANBUL ASIA</v>
      </c>
      <c r="I52" s="16" t="str">
        <f>IFERROR(__xludf.DUMMYFUNCTION("""COMPUTED_VALUE"""),"Sri Lanka")</f>
        <v>Sri Lanka</v>
      </c>
      <c r="J52" s="16" t="str">
        <f>IFERROR(__xludf.DUMMYFUNCTION("""COMPUTED_VALUE"""),"COLOMBO SOUTH")</f>
        <v>COLOMBO SOUTH</v>
      </c>
      <c r="K52" s="17" t="str">
        <f>IFERROR(__xludf.DUMMYFUNCTION("""COMPUTED_VALUE"""),"https://expa.aiesec.org/opportunities/1281901")</f>
        <v>https://expa.aiesec.org/opportunities/1281901</v>
      </c>
      <c r="L52" s="16" t="str">
        <f>IFERROR(__xludf.DUMMYFUNCTION("""COMPUTED_VALUE"""),"GV")</f>
        <v>GV</v>
      </c>
      <c r="M52" s="16" t="str">
        <f>IFERROR(__xludf.DUMMYFUNCTION("""COMPUTED_VALUE"""),"short")</f>
        <v>short</v>
      </c>
      <c r="N52" s="18">
        <f>IFERROR(__xludf.DUMMYFUNCTION("""COMPUTED_VALUE"""),44897.0)</f>
        <v>44897</v>
      </c>
      <c r="O52" s="18">
        <f>IFERROR(__xludf.DUMMYFUNCTION("""COMPUTED_VALUE"""),45089.0)</f>
        <v>45089</v>
      </c>
      <c r="P52" s="18">
        <f>IFERROR(__xludf.DUMMYFUNCTION("""COMPUTED_VALUE"""),45131.0)</f>
        <v>45131</v>
      </c>
      <c r="Q52" s="18"/>
      <c r="R52" s="18"/>
      <c r="S52" s="16"/>
      <c r="T52" s="16"/>
      <c r="U52" s="16" t="str">
        <f>IFERROR(__xludf.DUMMYFUNCTION("""COMPUTED_VALUE"""),"Aquatica")</f>
        <v>Aquatica</v>
      </c>
      <c r="V52" s="16" t="str">
        <f>IFERROR(__xludf.DUMMYFUNCTION("""COMPUTED_VALUE"""),"ISTANBUL ASIA")</f>
        <v>ISTANBUL ASIA</v>
      </c>
      <c r="W52" s="16" t="str">
        <f>IFERROR(__xludf.DUMMYFUNCTION("""COMPUTED_VALUE"""),"2022-11-28T13:30:53Z")</f>
        <v>2022-11-28T13:30:53Z</v>
      </c>
      <c r="X52" s="16"/>
      <c r="Y52" s="16"/>
      <c r="Z52" s="16"/>
    </row>
    <row r="53">
      <c r="A53" s="16" t="str">
        <f>IFERROR(__xludf.DUMMYFUNCTION("""COMPUTED_VALUE"""),"5161520_1289617")</f>
        <v>5161520_1289617</v>
      </c>
      <c r="B53" s="16" t="str">
        <f>IFERROR(__xludf.DUMMYFUNCTION("""COMPUTED_VALUE"""),"seda eşen")</f>
        <v>seda eşen</v>
      </c>
      <c r="C53" s="16" t="str">
        <f>IFERROR(__xludf.DUMMYFUNCTION("""COMPUTED_VALUE"""),"approved")</f>
        <v>approved</v>
      </c>
      <c r="D53" s="16" t="str">
        <f>IFERROR(__xludf.DUMMYFUNCTION("""COMPUTED_VALUE"""),"No")</f>
        <v>No</v>
      </c>
      <c r="E53" s="16" t="str">
        <f>IFERROR(__xludf.DUMMYFUNCTION("""COMPUTED_VALUE"""),"p_d9188c9d8d35ed3e6c25a21bb92035484a9a068d@inbound.aiesec.org")</f>
        <v>p_d9188c9d8d35ed3e6c25a21bb92035484a9a068d@inbound.aiesec.org</v>
      </c>
      <c r="F53" s="16">
        <f>IFERROR(__xludf.DUMMYFUNCTION("""COMPUTED_VALUE"""),5.435303473E9)</f>
        <v>5435303473</v>
      </c>
      <c r="G53" s="16" t="str">
        <f>IFERROR(__xludf.DUMMYFUNCTION("""COMPUTED_VALUE"""),"Turkey")</f>
        <v>Turkey</v>
      </c>
      <c r="H53" s="16" t="str">
        <f>IFERROR(__xludf.DUMMYFUNCTION("""COMPUTED_VALUE"""),"ANKARA")</f>
        <v>ANKARA</v>
      </c>
      <c r="I53" s="16" t="str">
        <f>IFERROR(__xludf.DUMMYFUNCTION("""COMPUTED_VALUE"""),"Egypt")</f>
        <v>Egypt</v>
      </c>
      <c r="J53" s="16" t="str">
        <f>IFERROR(__xludf.DUMMYFUNCTION("""COMPUTED_VALUE"""),"Helwan")</f>
        <v>Helwan</v>
      </c>
      <c r="K53" s="17" t="str">
        <f>IFERROR(__xludf.DUMMYFUNCTION("""COMPUTED_VALUE"""),"https://expa.aiesec.org/opportunities/1289617")</f>
        <v>https://expa.aiesec.org/opportunities/1289617</v>
      </c>
      <c r="L53" s="16" t="str">
        <f>IFERROR(__xludf.DUMMYFUNCTION("""COMPUTED_VALUE"""),"GV")</f>
        <v>GV</v>
      </c>
      <c r="M53" s="16" t="str">
        <f>IFERROR(__xludf.DUMMYFUNCTION("""COMPUTED_VALUE"""),"short")</f>
        <v>short</v>
      </c>
      <c r="N53" s="18">
        <f>IFERROR(__xludf.DUMMYFUNCTION("""COMPUTED_VALUE"""),44898.0)</f>
        <v>44898</v>
      </c>
      <c r="O53" s="18">
        <f>IFERROR(__xludf.DUMMYFUNCTION("""COMPUTED_VALUE"""),45100.0)</f>
        <v>45100</v>
      </c>
      <c r="P53" s="18">
        <f>IFERROR(__xludf.DUMMYFUNCTION("""COMPUTED_VALUE"""),45142.0)</f>
        <v>45142</v>
      </c>
      <c r="Q53" s="18"/>
      <c r="R53" s="18"/>
      <c r="S53" s="16"/>
      <c r="T53" s="16"/>
      <c r="U53" s="16" t="str">
        <f>IFERROR(__xludf.DUMMYFUNCTION("""COMPUTED_VALUE"""),"Fingerprint")</f>
        <v>Fingerprint</v>
      </c>
      <c r="V53" s="16" t="str">
        <f>IFERROR(__xludf.DUMMYFUNCTION("""COMPUTED_VALUE"""),"ANKARA")</f>
        <v>ANKARA</v>
      </c>
      <c r="W53" s="16" t="str">
        <f>IFERROR(__xludf.DUMMYFUNCTION("""COMPUTED_VALUE"""),"2022-12-01T16:40:07Z")</f>
        <v>2022-12-01T16:40:07Z</v>
      </c>
      <c r="X53" s="16"/>
      <c r="Y53" s="16"/>
      <c r="Z53" s="16"/>
    </row>
    <row r="54">
      <c r="A54" s="16" t="str">
        <f>IFERROR(__xludf.DUMMYFUNCTION("""COMPUTED_VALUE"""),"5157351_1284485")</f>
        <v>5157351_1284485</v>
      </c>
      <c r="B54" s="16" t="str">
        <f>IFERROR(__xludf.DUMMYFUNCTION("""COMPUTED_VALUE"""),"elif tezgel")</f>
        <v>elif tezgel</v>
      </c>
      <c r="C54" s="16" t="str">
        <f>IFERROR(__xludf.DUMMYFUNCTION("""COMPUTED_VALUE"""),"approved")</f>
        <v>approved</v>
      </c>
      <c r="D54" s="16" t="str">
        <f>IFERROR(__xludf.DUMMYFUNCTION("""COMPUTED_VALUE"""),"No")</f>
        <v>No</v>
      </c>
      <c r="E54" s="16" t="str">
        <f>IFERROR(__xludf.DUMMYFUNCTION("""COMPUTED_VALUE"""),"p_0a16d24e284f6472f3e5407e0a33238856f4f6fd@inbound.aiesec.org")</f>
        <v>p_0a16d24e284f6472f3e5407e0a33238856f4f6fd@inbound.aiesec.org</v>
      </c>
      <c r="F54" s="16">
        <f>IFERROR(__xludf.DUMMYFUNCTION("""COMPUTED_VALUE"""),5.346026053E9)</f>
        <v>5346026053</v>
      </c>
      <c r="G54" s="16" t="str">
        <f>IFERROR(__xludf.DUMMYFUNCTION("""COMPUTED_VALUE"""),"Turkey")</f>
        <v>Turkey</v>
      </c>
      <c r="H54" s="16" t="str">
        <f>IFERROR(__xludf.DUMMYFUNCTION("""COMPUTED_VALUE"""),"KONYA")</f>
        <v>KONYA</v>
      </c>
      <c r="I54" s="16" t="str">
        <f>IFERROR(__xludf.DUMMYFUNCTION("""COMPUTED_VALUE"""),"India")</f>
        <v>India</v>
      </c>
      <c r="J54" s="16" t="str">
        <f>IFERROR(__xludf.DUMMYFUNCTION("""COMPUTED_VALUE"""),"Dehradun")</f>
        <v>Dehradun</v>
      </c>
      <c r="K54" s="17" t="str">
        <f>IFERROR(__xludf.DUMMYFUNCTION("""COMPUTED_VALUE"""),"https://expa.aiesec.org/opportunities/1284485")</f>
        <v>https://expa.aiesec.org/opportunities/1284485</v>
      </c>
      <c r="L54" s="16" t="str">
        <f>IFERROR(__xludf.DUMMYFUNCTION("""COMPUTED_VALUE"""),"GV")</f>
        <v>GV</v>
      </c>
      <c r="M54" s="16" t="str">
        <f>IFERROR(__xludf.DUMMYFUNCTION("""COMPUTED_VALUE"""),"short")</f>
        <v>short</v>
      </c>
      <c r="N54" s="18">
        <f>IFERROR(__xludf.DUMMYFUNCTION("""COMPUTED_VALUE"""),44899.0)</f>
        <v>44899</v>
      </c>
      <c r="O54" s="18">
        <f>IFERROR(__xludf.DUMMYFUNCTION("""COMPUTED_VALUE"""),44962.0)</f>
        <v>44962</v>
      </c>
      <c r="P54" s="18">
        <f>IFERROR(__xludf.DUMMYFUNCTION("""COMPUTED_VALUE"""),45004.0)</f>
        <v>45004</v>
      </c>
      <c r="Q54" s="18"/>
      <c r="R54" s="18"/>
      <c r="S54" s="16"/>
      <c r="T54" s="16"/>
      <c r="U54" s="16" t="str">
        <f>IFERROR(__xludf.DUMMYFUNCTION("""COMPUTED_VALUE"""),"Global Classroom")</f>
        <v>Global Classroom</v>
      </c>
      <c r="V54" s="16" t="str">
        <f>IFERROR(__xludf.DUMMYFUNCTION("""COMPUTED_VALUE"""),"KONYA")</f>
        <v>KONYA</v>
      </c>
      <c r="W54" s="16" t="str">
        <f>IFERROR(__xludf.DUMMYFUNCTION("""COMPUTED_VALUE"""),"2022-11-22T17:03:03Z")</f>
        <v>2022-11-22T17:03:03Z</v>
      </c>
      <c r="X54" s="16"/>
      <c r="Y54" s="16"/>
      <c r="Z54" s="16"/>
    </row>
    <row r="55">
      <c r="A55" s="16" t="str">
        <f>IFERROR(__xludf.DUMMYFUNCTION("""COMPUTED_VALUE"""),"5145849_1290649")</f>
        <v>5145849_1290649</v>
      </c>
      <c r="B55" s="16" t="str">
        <f>IFERROR(__xludf.DUMMYFUNCTION("""COMPUTED_VALUE"""),"Serdar Akyüz")</f>
        <v>Serdar Akyüz</v>
      </c>
      <c r="C55" s="16" t="str">
        <f>IFERROR(__xludf.DUMMYFUNCTION("""COMPUTED_VALUE"""),"approved")</f>
        <v>approved</v>
      </c>
      <c r="D55" s="16" t="str">
        <f>IFERROR(__xludf.DUMMYFUNCTION("""COMPUTED_VALUE"""),"No")</f>
        <v>No</v>
      </c>
      <c r="E55" s="16" t="str">
        <f>IFERROR(__xludf.DUMMYFUNCTION("""COMPUTED_VALUE"""),"p_4273fcbc4e43477d0365592ff0d548a56f2e856d@inbound.aiesec.org")</f>
        <v>p_4273fcbc4e43477d0365592ff0d548a56f2e856d@inbound.aiesec.org</v>
      </c>
      <c r="F55" s="16">
        <f>IFERROR(__xludf.DUMMYFUNCTION("""COMPUTED_VALUE"""),5.322426176E9)</f>
        <v>5322426176</v>
      </c>
      <c r="G55" s="16" t="str">
        <f>IFERROR(__xludf.DUMMYFUNCTION("""COMPUTED_VALUE"""),"Turkey")</f>
        <v>Turkey</v>
      </c>
      <c r="H55" s="16" t="str">
        <f>IFERROR(__xludf.DUMMYFUNCTION("""COMPUTED_VALUE"""),"ISTANBUL WEST")</f>
        <v>ISTANBUL WEST</v>
      </c>
      <c r="I55" s="16" t="str">
        <f>IFERROR(__xludf.DUMMYFUNCTION("""COMPUTED_VALUE"""),"Tunisia")</f>
        <v>Tunisia</v>
      </c>
      <c r="J55" s="16" t="str">
        <f>IFERROR(__xludf.DUMMYFUNCTION("""COMPUTED_VALUE"""),"MEDINA")</f>
        <v>MEDINA</v>
      </c>
      <c r="K55" s="17" t="str">
        <f>IFERROR(__xludf.DUMMYFUNCTION("""COMPUTED_VALUE"""),"https://expa.aiesec.org/opportunities/1290649")</f>
        <v>https://expa.aiesec.org/opportunities/1290649</v>
      </c>
      <c r="L55" s="16" t="str">
        <f>IFERROR(__xludf.DUMMYFUNCTION("""COMPUTED_VALUE"""),"GV")</f>
        <v>GV</v>
      </c>
      <c r="M55" s="16" t="str">
        <f>IFERROR(__xludf.DUMMYFUNCTION("""COMPUTED_VALUE"""),"short")</f>
        <v>short</v>
      </c>
      <c r="N55" s="18">
        <f>IFERROR(__xludf.DUMMYFUNCTION("""COMPUTED_VALUE"""),44900.0)</f>
        <v>44900</v>
      </c>
      <c r="O55" s="18">
        <f>IFERROR(__xludf.DUMMYFUNCTION("""COMPUTED_VALUE"""),44915.0)</f>
        <v>44915</v>
      </c>
      <c r="P55" s="18">
        <f>IFERROR(__xludf.DUMMYFUNCTION("""COMPUTED_VALUE"""),44957.0)</f>
        <v>44957</v>
      </c>
      <c r="Q55" s="18"/>
      <c r="R55" s="18"/>
      <c r="S55" s="16"/>
      <c r="T55" s="16"/>
      <c r="U55" s="16" t="str">
        <f>IFERROR(__xludf.DUMMYFUNCTION("""COMPUTED_VALUE"""),"On The Map")</f>
        <v>On The Map</v>
      </c>
      <c r="V55" s="16" t="str">
        <f>IFERROR(__xludf.DUMMYFUNCTION("""COMPUTED_VALUE"""),"ISTANBUL - BAKIRKOY")</f>
        <v>ISTANBUL - BAKIRKOY</v>
      </c>
      <c r="W55" s="16" t="str">
        <f>IFERROR(__xludf.DUMMYFUNCTION("""COMPUTED_VALUE"""),"2022-11-03T12:33:56Z")</f>
        <v>2022-11-03T12:33:56Z</v>
      </c>
      <c r="X55" s="16"/>
      <c r="Y55" s="16"/>
      <c r="Z55" s="16"/>
    </row>
    <row r="56">
      <c r="A56" s="16" t="str">
        <f>IFERROR(__xludf.DUMMYFUNCTION("""COMPUTED_VALUE"""),"5160921_1284485")</f>
        <v>5160921_1284485</v>
      </c>
      <c r="B56" s="16" t="str">
        <f>IFERROR(__xludf.DUMMYFUNCTION("""COMPUTED_VALUE"""),"rumeysa kazdal")</f>
        <v>rumeysa kazdal</v>
      </c>
      <c r="C56" s="16" t="str">
        <f>IFERROR(__xludf.DUMMYFUNCTION("""COMPUTED_VALUE"""),"approved")</f>
        <v>approved</v>
      </c>
      <c r="D56" s="16" t="str">
        <f>IFERROR(__xludf.DUMMYFUNCTION("""COMPUTED_VALUE"""),"No")</f>
        <v>No</v>
      </c>
      <c r="E56" s="16" t="str">
        <f>IFERROR(__xludf.DUMMYFUNCTION("""COMPUTED_VALUE"""),"p_36488157a9e711cdc8d19caa2f92a66a672d61eb@inbound.aiesec.org")</f>
        <v>p_36488157a9e711cdc8d19caa2f92a66a672d61eb@inbound.aiesec.org</v>
      </c>
      <c r="F56" s="16">
        <f>IFERROR(__xludf.DUMMYFUNCTION("""COMPUTED_VALUE"""),5.313382596E9)</f>
        <v>5313382596</v>
      </c>
      <c r="G56" s="16" t="str">
        <f>IFERROR(__xludf.DUMMYFUNCTION("""COMPUTED_VALUE"""),"Turkey")</f>
        <v>Turkey</v>
      </c>
      <c r="H56" s="16" t="str">
        <f>IFERROR(__xludf.DUMMYFUNCTION("""COMPUTED_VALUE"""),"KONYA")</f>
        <v>KONYA</v>
      </c>
      <c r="I56" s="16" t="str">
        <f>IFERROR(__xludf.DUMMYFUNCTION("""COMPUTED_VALUE"""),"India")</f>
        <v>India</v>
      </c>
      <c r="J56" s="16" t="str">
        <f>IFERROR(__xludf.DUMMYFUNCTION("""COMPUTED_VALUE"""),"Dehradun")</f>
        <v>Dehradun</v>
      </c>
      <c r="K56" s="17" t="str">
        <f>IFERROR(__xludf.DUMMYFUNCTION("""COMPUTED_VALUE"""),"https://expa.aiesec.org/opportunities/1284485")</f>
        <v>https://expa.aiesec.org/opportunities/1284485</v>
      </c>
      <c r="L56" s="16" t="str">
        <f>IFERROR(__xludf.DUMMYFUNCTION("""COMPUTED_VALUE"""),"GV")</f>
        <v>GV</v>
      </c>
      <c r="M56" s="16" t="str">
        <f>IFERROR(__xludf.DUMMYFUNCTION("""COMPUTED_VALUE"""),"short")</f>
        <v>short</v>
      </c>
      <c r="N56" s="18">
        <f>IFERROR(__xludf.DUMMYFUNCTION("""COMPUTED_VALUE"""),44901.0)</f>
        <v>44901</v>
      </c>
      <c r="O56" s="18">
        <f>IFERROR(__xludf.DUMMYFUNCTION("""COMPUTED_VALUE"""),44962.0)</f>
        <v>44962</v>
      </c>
      <c r="P56" s="18">
        <f>IFERROR(__xludf.DUMMYFUNCTION("""COMPUTED_VALUE"""),45004.0)</f>
        <v>45004</v>
      </c>
      <c r="Q56" s="18"/>
      <c r="R56" s="18"/>
      <c r="S56" s="16"/>
      <c r="T56" s="16"/>
      <c r="U56" s="16" t="str">
        <f>IFERROR(__xludf.DUMMYFUNCTION("""COMPUTED_VALUE"""),"Global Classroom")</f>
        <v>Global Classroom</v>
      </c>
      <c r="V56" s="16" t="str">
        <f>IFERROR(__xludf.DUMMYFUNCTION("""COMPUTED_VALUE"""),"ISTANBUL - BEYOGLU")</f>
        <v>ISTANBUL - BEYOGLU</v>
      </c>
      <c r="W56" s="16" t="str">
        <f>IFERROR(__xludf.DUMMYFUNCTION("""COMPUTED_VALUE"""),"2022-11-30T12:06:08Z")</f>
        <v>2022-11-30T12:06:08Z</v>
      </c>
      <c r="X56" s="16"/>
      <c r="Y56" s="16"/>
      <c r="Z56" s="16"/>
    </row>
    <row r="57">
      <c r="A57" s="16" t="str">
        <f>IFERROR(__xludf.DUMMYFUNCTION("""COMPUTED_VALUE"""),"5164523_1291250")</f>
        <v>5164523_1291250</v>
      </c>
      <c r="B57" s="16" t="str">
        <f>IFERROR(__xludf.DUMMYFUNCTION("""COMPUTED_VALUE"""),"Mehmet Cihangir Yırgal")</f>
        <v>Mehmet Cihangir Yırgal</v>
      </c>
      <c r="C57" s="16" t="str">
        <f>IFERROR(__xludf.DUMMYFUNCTION("""COMPUTED_VALUE"""),"approved")</f>
        <v>approved</v>
      </c>
      <c r="D57" s="16" t="str">
        <f>IFERROR(__xludf.DUMMYFUNCTION("""COMPUTED_VALUE"""),"No")</f>
        <v>No</v>
      </c>
      <c r="E57" s="16" t="str">
        <f>IFERROR(__xludf.DUMMYFUNCTION("""COMPUTED_VALUE"""),"p_da7d511588c73f76648c8a6949655f260cf542da@inbound.aiesec.org")</f>
        <v>p_da7d511588c73f76648c8a6949655f260cf542da@inbound.aiesec.org</v>
      </c>
      <c r="F57" s="16">
        <f>IFERROR(__xludf.DUMMYFUNCTION("""COMPUTED_VALUE"""),5.431836289E9)</f>
        <v>5431836289</v>
      </c>
      <c r="G57" s="16" t="str">
        <f>IFERROR(__xludf.DUMMYFUNCTION("""COMPUTED_VALUE"""),"Turkey")</f>
        <v>Turkey</v>
      </c>
      <c r="H57" s="16" t="str">
        <f>IFERROR(__xludf.DUMMYFUNCTION("""COMPUTED_VALUE"""),"ANKARA")</f>
        <v>ANKARA</v>
      </c>
      <c r="I57" s="16" t="str">
        <f>IFERROR(__xludf.DUMMYFUNCTION("""COMPUTED_VALUE"""),"India")</f>
        <v>India</v>
      </c>
      <c r="J57" s="16" t="str">
        <f>IFERROR(__xludf.DUMMYFUNCTION("""COMPUTED_VALUE"""),"Mumbai")</f>
        <v>Mumbai</v>
      </c>
      <c r="K57" s="17" t="str">
        <f>IFERROR(__xludf.DUMMYFUNCTION("""COMPUTED_VALUE"""),"https://expa.aiesec.org/opportunities/1291250")</f>
        <v>https://expa.aiesec.org/opportunities/1291250</v>
      </c>
      <c r="L57" s="16" t="str">
        <f>IFERROR(__xludf.DUMMYFUNCTION("""COMPUTED_VALUE"""),"GV")</f>
        <v>GV</v>
      </c>
      <c r="M57" s="16" t="str">
        <f>IFERROR(__xludf.DUMMYFUNCTION("""COMPUTED_VALUE"""),"short")</f>
        <v>short</v>
      </c>
      <c r="N57" s="18">
        <f>IFERROR(__xludf.DUMMYFUNCTION("""COMPUTED_VALUE"""),44907.0)</f>
        <v>44907</v>
      </c>
      <c r="O57" s="18">
        <f>IFERROR(__xludf.DUMMYFUNCTION("""COMPUTED_VALUE"""),45109.0)</f>
        <v>45109</v>
      </c>
      <c r="P57" s="18">
        <f>IFERROR(__xludf.DUMMYFUNCTION("""COMPUTED_VALUE"""),45151.0)</f>
        <v>45151</v>
      </c>
      <c r="Q57" s="18"/>
      <c r="R57" s="18"/>
      <c r="S57" s="16"/>
      <c r="T57" s="16"/>
      <c r="U57" s="16" t="str">
        <f>IFERROR(__xludf.DUMMYFUNCTION("""COMPUTED_VALUE"""),"Skill Up!")</f>
        <v>Skill Up!</v>
      </c>
      <c r="V57" s="16" t="str">
        <f>IFERROR(__xludf.DUMMYFUNCTION("""COMPUTED_VALUE"""),"ANKARA")</f>
        <v>ANKARA</v>
      </c>
      <c r="W57" s="16" t="str">
        <f>IFERROR(__xludf.DUMMYFUNCTION("""COMPUTED_VALUE"""),"2022-12-09T10:55:19Z")</f>
        <v>2022-12-09T10:55:19Z</v>
      </c>
      <c r="X57" s="16"/>
      <c r="Y57" s="16"/>
      <c r="Z57" s="16"/>
    </row>
    <row r="58">
      <c r="A58" s="16" t="str">
        <f>IFERROR(__xludf.DUMMYFUNCTION("""COMPUTED_VALUE"""),"4341168_1291200")</f>
        <v>4341168_1291200</v>
      </c>
      <c r="B58" s="16" t="str">
        <f>IFERROR(__xludf.DUMMYFUNCTION("""COMPUTED_VALUE"""),"Melike Meryem GÖ")</f>
        <v>Melike Meryem GÖ</v>
      </c>
      <c r="C58" s="16" t="str">
        <f>IFERROR(__xludf.DUMMYFUNCTION("""COMPUTED_VALUE"""),"approved")</f>
        <v>approved</v>
      </c>
      <c r="D58" s="16" t="str">
        <f>IFERROR(__xludf.DUMMYFUNCTION("""COMPUTED_VALUE"""),"No")</f>
        <v>No</v>
      </c>
      <c r="E58" s="16" t="str">
        <f>IFERROR(__xludf.DUMMYFUNCTION("""COMPUTED_VALUE"""),"p_292cb12504753f861174b5788f3032587a605fb6@inbound.aiesec.org")</f>
        <v>p_292cb12504753f861174b5788f3032587a605fb6@inbound.aiesec.org</v>
      </c>
      <c r="F58" s="16">
        <f>IFERROR(__xludf.DUMMYFUNCTION("""COMPUTED_VALUE"""),5.458242554E9)</f>
        <v>5458242554</v>
      </c>
      <c r="G58" s="16" t="str">
        <f>IFERROR(__xludf.DUMMYFUNCTION("""COMPUTED_VALUE"""),"Turkey")</f>
        <v>Turkey</v>
      </c>
      <c r="H58" s="16" t="str">
        <f>IFERROR(__xludf.DUMMYFUNCTION("""COMPUTED_VALUE"""),"ISTANBUL")</f>
        <v>ISTANBUL</v>
      </c>
      <c r="I58" s="16" t="str">
        <f>IFERROR(__xludf.DUMMYFUNCTION("""COMPUTED_VALUE"""),"Egypt")</f>
        <v>Egypt</v>
      </c>
      <c r="J58" s="16" t="str">
        <f>IFERROR(__xludf.DUMMYFUNCTION("""COMPUTED_VALUE"""),"GUC")</f>
        <v>GUC</v>
      </c>
      <c r="K58" s="17" t="str">
        <f>IFERROR(__xludf.DUMMYFUNCTION("""COMPUTED_VALUE"""),"https://expa.aiesec.org/opportunities/1291200")</f>
        <v>https://expa.aiesec.org/opportunities/1291200</v>
      </c>
      <c r="L58" s="16" t="str">
        <f>IFERROR(__xludf.DUMMYFUNCTION("""COMPUTED_VALUE"""),"GV")</f>
        <v>GV</v>
      </c>
      <c r="M58" s="16" t="str">
        <f>IFERROR(__xludf.DUMMYFUNCTION("""COMPUTED_VALUE"""),"short")</f>
        <v>short</v>
      </c>
      <c r="N58" s="18">
        <f>IFERROR(__xludf.DUMMYFUNCTION("""COMPUTED_VALUE"""),44909.0)</f>
        <v>44909</v>
      </c>
      <c r="O58" s="18">
        <f>IFERROR(__xludf.DUMMYFUNCTION("""COMPUTED_VALUE"""),45108.0)</f>
        <v>45108</v>
      </c>
      <c r="P58" s="18">
        <f>IFERROR(__xludf.DUMMYFUNCTION("""COMPUTED_VALUE"""),45153.0)</f>
        <v>45153</v>
      </c>
      <c r="Q58" s="18"/>
      <c r="R58" s="18"/>
      <c r="S58" s="16"/>
      <c r="T58" s="16"/>
      <c r="U58" s="16" t="str">
        <f>IFERROR(__xludf.DUMMYFUNCTION("""COMPUTED_VALUE"""),"Raise Your Voice")</f>
        <v>Raise Your Voice</v>
      </c>
      <c r="V58" s="16" t="str">
        <f>IFERROR(__xludf.DUMMYFUNCTION("""COMPUTED_VALUE"""),"ISTANBUL - BEYOGLU")</f>
        <v>ISTANBUL - BEYOGLU</v>
      </c>
      <c r="W58" s="16" t="str">
        <f>IFERROR(__xludf.DUMMYFUNCTION("""COMPUTED_VALUE"""),"2020-08-10T20:44:06Z")</f>
        <v>2020-08-10T20:44:06Z</v>
      </c>
      <c r="X58" s="16"/>
      <c r="Y58" s="16"/>
      <c r="Z58" s="16"/>
    </row>
    <row r="59">
      <c r="A59" s="16" t="str">
        <f>IFERROR(__xludf.DUMMYFUNCTION("""COMPUTED_VALUE"""),"3947334_1291200")</f>
        <v>3947334_1291200</v>
      </c>
      <c r="B59" s="16" t="str">
        <f>IFERROR(__xludf.DUMMYFUNCTION("""COMPUTED_VALUE"""),"ece pirli")</f>
        <v>ece pirli</v>
      </c>
      <c r="C59" s="16" t="str">
        <f>IFERROR(__xludf.DUMMYFUNCTION("""COMPUTED_VALUE"""),"approved")</f>
        <v>approved</v>
      </c>
      <c r="D59" s="16" t="str">
        <f>IFERROR(__xludf.DUMMYFUNCTION("""COMPUTED_VALUE"""),"No")</f>
        <v>No</v>
      </c>
      <c r="E59" s="16" t="str">
        <f>IFERROR(__xludf.DUMMYFUNCTION("""COMPUTED_VALUE"""),"p_0b7dd0cc2a204e6e37ff0d50af277e71ba99f289@inbound.aiesec.org")</f>
        <v>p_0b7dd0cc2a204e6e37ff0d50af277e71ba99f289@inbound.aiesec.org</v>
      </c>
      <c r="F59" s="16">
        <f>IFERROR(__xludf.DUMMYFUNCTION("""COMPUTED_VALUE"""),5.36997245E9)</f>
        <v>5369972450</v>
      </c>
      <c r="G59" s="16" t="str">
        <f>IFERROR(__xludf.DUMMYFUNCTION("""COMPUTED_VALUE"""),"Turkey")</f>
        <v>Turkey</v>
      </c>
      <c r="H59" s="16" t="str">
        <f>IFERROR(__xludf.DUMMYFUNCTION("""COMPUTED_VALUE"""),"ISTANBUL")</f>
        <v>ISTANBUL</v>
      </c>
      <c r="I59" s="16" t="str">
        <f>IFERROR(__xludf.DUMMYFUNCTION("""COMPUTED_VALUE"""),"Egypt")</f>
        <v>Egypt</v>
      </c>
      <c r="J59" s="16" t="str">
        <f>IFERROR(__xludf.DUMMYFUNCTION("""COMPUTED_VALUE"""),"GUC")</f>
        <v>GUC</v>
      </c>
      <c r="K59" s="17" t="str">
        <f>IFERROR(__xludf.DUMMYFUNCTION("""COMPUTED_VALUE"""),"https://expa.aiesec.org/opportunities/1291200")</f>
        <v>https://expa.aiesec.org/opportunities/1291200</v>
      </c>
      <c r="L59" s="16" t="str">
        <f>IFERROR(__xludf.DUMMYFUNCTION("""COMPUTED_VALUE"""),"GV")</f>
        <v>GV</v>
      </c>
      <c r="M59" s="16" t="str">
        <f>IFERROR(__xludf.DUMMYFUNCTION("""COMPUTED_VALUE"""),"short")</f>
        <v>short</v>
      </c>
      <c r="N59" s="18">
        <f>IFERROR(__xludf.DUMMYFUNCTION("""COMPUTED_VALUE"""),44909.0)</f>
        <v>44909</v>
      </c>
      <c r="O59" s="18">
        <f>IFERROR(__xludf.DUMMYFUNCTION("""COMPUTED_VALUE"""),45108.0)</f>
        <v>45108</v>
      </c>
      <c r="P59" s="18">
        <f>IFERROR(__xludf.DUMMYFUNCTION("""COMPUTED_VALUE"""),45153.0)</f>
        <v>45153</v>
      </c>
      <c r="Q59" s="18"/>
      <c r="R59" s="18"/>
      <c r="S59" s="16"/>
      <c r="T59" s="16"/>
      <c r="U59" s="16" t="str">
        <f>IFERROR(__xludf.DUMMYFUNCTION("""COMPUTED_VALUE"""),"Raise Your Voice")</f>
        <v>Raise Your Voice</v>
      </c>
      <c r="V59" s="16" t="str">
        <f>IFERROR(__xludf.DUMMYFUNCTION("""COMPUTED_VALUE"""),"ISTANBUL - BEYOGLU")</f>
        <v>ISTANBUL - BEYOGLU</v>
      </c>
      <c r="W59" s="16" t="str">
        <f>IFERROR(__xludf.DUMMYFUNCTION("""COMPUTED_VALUE"""),"2019-11-03T15:02:18Z")</f>
        <v>2019-11-03T15:02:18Z</v>
      </c>
      <c r="X59" s="16"/>
      <c r="Y59" s="16"/>
      <c r="Z59" s="16"/>
    </row>
    <row r="60">
      <c r="A60" s="16" t="str">
        <f>IFERROR(__xludf.DUMMYFUNCTION("""COMPUTED_VALUE"""),"5105860_1291029")</f>
        <v>5105860_1291029</v>
      </c>
      <c r="B60" s="16" t="str">
        <f>IFERROR(__xludf.DUMMYFUNCTION("""COMPUTED_VALUE"""),"Ezgi Engindeniz")</f>
        <v>Ezgi Engindeniz</v>
      </c>
      <c r="C60" s="16" t="str">
        <f>IFERROR(__xludf.DUMMYFUNCTION("""COMPUTED_VALUE"""),"approved")</f>
        <v>approved</v>
      </c>
      <c r="D60" s="16" t="str">
        <f>IFERROR(__xludf.DUMMYFUNCTION("""COMPUTED_VALUE"""),"No")</f>
        <v>No</v>
      </c>
      <c r="E60" s="16" t="str">
        <f>IFERROR(__xludf.DUMMYFUNCTION("""COMPUTED_VALUE"""),"p_faa1a18df9a70bff31f278f85d0d0543722bdaad@inbound.aiesec.org")</f>
        <v>p_faa1a18df9a70bff31f278f85d0d0543722bdaad@inbound.aiesec.org</v>
      </c>
      <c r="F60" s="16">
        <f>IFERROR(__xludf.DUMMYFUNCTION("""COMPUTED_VALUE"""),5.425672996E9)</f>
        <v>5425672996</v>
      </c>
      <c r="G60" s="16" t="str">
        <f>IFERROR(__xludf.DUMMYFUNCTION("""COMPUTED_VALUE"""),"Turkey")</f>
        <v>Turkey</v>
      </c>
      <c r="H60" s="16" t="str">
        <f>IFERROR(__xludf.DUMMYFUNCTION("""COMPUTED_VALUE"""),"ISTANBUL")</f>
        <v>ISTANBUL</v>
      </c>
      <c r="I60" s="16" t="str">
        <f>IFERROR(__xludf.DUMMYFUNCTION("""COMPUTED_VALUE"""),"Brazil")</f>
        <v>Brazil</v>
      </c>
      <c r="J60" s="16" t="str">
        <f>IFERROR(__xludf.DUMMYFUNCTION("""COMPUTED_VALUE"""),"FLORIANÓPOLIS")</f>
        <v>FLORIANÓPOLIS</v>
      </c>
      <c r="K60" s="17" t="str">
        <f>IFERROR(__xludf.DUMMYFUNCTION("""COMPUTED_VALUE"""),"https://expa.aiesec.org/opportunities/1291029")</f>
        <v>https://expa.aiesec.org/opportunities/1291029</v>
      </c>
      <c r="L60" s="16" t="str">
        <f>IFERROR(__xludf.DUMMYFUNCTION("""COMPUTED_VALUE"""),"GV")</f>
        <v>GV</v>
      </c>
      <c r="M60" s="16" t="str">
        <f>IFERROR(__xludf.DUMMYFUNCTION("""COMPUTED_VALUE"""),"short")</f>
        <v>short</v>
      </c>
      <c r="N60" s="18">
        <f>IFERROR(__xludf.DUMMYFUNCTION("""COMPUTED_VALUE"""),44910.0)</f>
        <v>44910</v>
      </c>
      <c r="O60" s="18">
        <f>IFERROR(__xludf.DUMMYFUNCTION("""COMPUTED_VALUE"""),45124.0)</f>
        <v>45124</v>
      </c>
      <c r="P60" s="18">
        <f>IFERROR(__xludf.DUMMYFUNCTION("""COMPUTED_VALUE"""),45166.0)</f>
        <v>45166</v>
      </c>
      <c r="Q60" s="18"/>
      <c r="R60" s="18"/>
      <c r="S60" s="16"/>
      <c r="T60" s="16"/>
      <c r="U60" s="16" t="str">
        <f>IFERROR(__xludf.DUMMYFUNCTION("""COMPUTED_VALUE"""),"Eco City")</f>
        <v>Eco City</v>
      </c>
      <c r="V60" s="16" t="str">
        <f>IFERROR(__xludf.DUMMYFUNCTION("""COMPUTED_VALUE"""),"ISTANBUL ASIA")</f>
        <v>ISTANBUL ASIA</v>
      </c>
      <c r="W60" s="16" t="str">
        <f>IFERROR(__xludf.DUMMYFUNCTION("""COMPUTED_VALUE"""),"2022-09-05T10:45:53Z")</f>
        <v>2022-09-05T10:45:53Z</v>
      </c>
      <c r="X60" s="16"/>
      <c r="Y60" s="16"/>
      <c r="Z60" s="16"/>
    </row>
    <row r="61">
      <c r="A61" s="16" t="str">
        <f>IFERROR(__xludf.DUMMYFUNCTION("""COMPUTED_VALUE"""),"5162579_1289851")</f>
        <v>5162579_1289851</v>
      </c>
      <c r="B61" s="16" t="str">
        <f>IFERROR(__xludf.DUMMYFUNCTION("""COMPUTED_VALUE"""),"ırmak taşdan")</f>
        <v>ırmak taşdan</v>
      </c>
      <c r="C61" s="16" t="str">
        <f>IFERROR(__xludf.DUMMYFUNCTION("""COMPUTED_VALUE"""),"approved")</f>
        <v>approved</v>
      </c>
      <c r="D61" s="16" t="str">
        <f>IFERROR(__xludf.DUMMYFUNCTION("""COMPUTED_VALUE"""),"No")</f>
        <v>No</v>
      </c>
      <c r="E61" s="16" t="str">
        <f>IFERROR(__xludf.DUMMYFUNCTION("""COMPUTED_VALUE"""),"p_3435c595527310f6886d95c8bff71bbf8be698b2@inbound.aiesec.org")</f>
        <v>p_3435c595527310f6886d95c8bff71bbf8be698b2@inbound.aiesec.org</v>
      </c>
      <c r="F61" s="16">
        <f>IFERROR(__xludf.DUMMYFUNCTION("""COMPUTED_VALUE"""),5.349621005E9)</f>
        <v>5349621005</v>
      </c>
      <c r="G61" s="16" t="str">
        <f>IFERROR(__xludf.DUMMYFUNCTION("""COMPUTED_VALUE"""),"Turkey")</f>
        <v>Turkey</v>
      </c>
      <c r="H61" s="16" t="str">
        <f>IFERROR(__xludf.DUMMYFUNCTION("""COMPUTED_VALUE"""),"ISTANBUL ASIA")</f>
        <v>ISTANBUL ASIA</v>
      </c>
      <c r="I61" s="16" t="str">
        <f>IFERROR(__xludf.DUMMYFUNCTION("""COMPUTED_VALUE"""),"India")</f>
        <v>India</v>
      </c>
      <c r="J61" s="16" t="str">
        <f>IFERROR(__xludf.DUMMYFUNCTION("""COMPUTED_VALUE"""),"Mumbai")</f>
        <v>Mumbai</v>
      </c>
      <c r="K61" s="17" t="str">
        <f>IFERROR(__xludf.DUMMYFUNCTION("""COMPUTED_VALUE"""),"https://expa.aiesec.org/opportunities/1289851")</f>
        <v>https://expa.aiesec.org/opportunities/1289851</v>
      </c>
      <c r="L61" s="16" t="str">
        <f>IFERROR(__xludf.DUMMYFUNCTION("""COMPUTED_VALUE"""),"GV")</f>
        <v>GV</v>
      </c>
      <c r="M61" s="16" t="str">
        <f>IFERROR(__xludf.DUMMYFUNCTION("""COMPUTED_VALUE"""),"short")</f>
        <v>short</v>
      </c>
      <c r="N61" s="18">
        <f>IFERROR(__xludf.DUMMYFUNCTION("""COMPUTED_VALUE"""),44915.0)</f>
        <v>44915</v>
      </c>
      <c r="O61" s="18">
        <f>IFERROR(__xludf.DUMMYFUNCTION("""COMPUTED_VALUE"""),45139.0)</f>
        <v>45139</v>
      </c>
      <c r="P61" s="18">
        <f>IFERROR(__xludf.DUMMYFUNCTION("""COMPUTED_VALUE"""),45181.0)</f>
        <v>45181</v>
      </c>
      <c r="Q61" s="18"/>
      <c r="R61" s="18"/>
      <c r="S61" s="16"/>
      <c r="T61" s="16"/>
      <c r="U61" s="16" t="str">
        <f>IFERROR(__xludf.DUMMYFUNCTION("""COMPUTED_VALUE"""),"Fingerprint")</f>
        <v>Fingerprint</v>
      </c>
      <c r="V61" s="16" t="str">
        <f>IFERROR(__xludf.DUMMYFUNCTION("""COMPUTED_VALUE"""),"ISTANBUL ASIA")</f>
        <v>ISTANBUL ASIA</v>
      </c>
      <c r="W61" s="16" t="str">
        <f>IFERROR(__xludf.DUMMYFUNCTION("""COMPUTED_VALUE"""),"2022-12-04T16:27:33Z")</f>
        <v>2022-12-04T16:27:33Z</v>
      </c>
      <c r="X61" s="16"/>
      <c r="Y61" s="16"/>
      <c r="Z61" s="16"/>
    </row>
    <row r="62">
      <c r="A62" s="16" t="str">
        <f>IFERROR(__xludf.DUMMYFUNCTION("""COMPUTED_VALUE"""),"5162975_1291020")</f>
        <v>5162975_1291020</v>
      </c>
      <c r="B62" s="16" t="str">
        <f>IFERROR(__xludf.DUMMYFUNCTION("""COMPUTED_VALUE"""),"Ezgi Yılmaz")</f>
        <v>Ezgi Yılmaz</v>
      </c>
      <c r="C62" s="16" t="str">
        <f>IFERROR(__xludf.DUMMYFUNCTION("""COMPUTED_VALUE"""),"approved")</f>
        <v>approved</v>
      </c>
      <c r="D62" s="16" t="str">
        <f>IFERROR(__xludf.DUMMYFUNCTION("""COMPUTED_VALUE"""),"No")</f>
        <v>No</v>
      </c>
      <c r="E62" s="16" t="str">
        <f>IFERROR(__xludf.DUMMYFUNCTION("""COMPUTED_VALUE"""),"p_d3ce0ac48cd488f6ae605841ecd9477208d38eee@inbound.aiesec.org")</f>
        <v>p_d3ce0ac48cd488f6ae605841ecd9477208d38eee@inbound.aiesec.org</v>
      </c>
      <c r="F62" s="16"/>
      <c r="G62" s="16" t="str">
        <f>IFERROR(__xludf.DUMMYFUNCTION("""COMPUTED_VALUE"""),"Turkey")</f>
        <v>Turkey</v>
      </c>
      <c r="H62" s="16" t="str">
        <f>IFERROR(__xludf.DUMMYFUNCTION("""COMPUTED_VALUE"""),"ANKARA")</f>
        <v>ANKARA</v>
      </c>
      <c r="I62" s="16" t="str">
        <f>IFERROR(__xludf.DUMMYFUNCTION("""COMPUTED_VALUE"""),"Romania")</f>
        <v>Romania</v>
      </c>
      <c r="J62" s="16" t="str">
        <f>IFERROR(__xludf.DUMMYFUNCTION("""COMPUTED_VALUE"""),"BUCURESTI")</f>
        <v>BUCURESTI</v>
      </c>
      <c r="K62" s="17" t="str">
        <f>IFERROR(__xludf.DUMMYFUNCTION("""COMPUTED_VALUE"""),"https://expa.aiesec.org/opportunities/1291020")</f>
        <v>https://expa.aiesec.org/opportunities/1291020</v>
      </c>
      <c r="L62" s="16" t="str">
        <f>IFERROR(__xludf.DUMMYFUNCTION("""COMPUTED_VALUE"""),"GV")</f>
        <v>GV</v>
      </c>
      <c r="M62" s="16" t="str">
        <f>IFERROR(__xludf.DUMMYFUNCTION("""COMPUTED_VALUE"""),"short")</f>
        <v>short</v>
      </c>
      <c r="N62" s="18">
        <f>IFERROR(__xludf.DUMMYFUNCTION("""COMPUTED_VALUE"""),44918.0)</f>
        <v>44918</v>
      </c>
      <c r="O62" s="18">
        <f>IFERROR(__xludf.DUMMYFUNCTION("""COMPUTED_VALUE"""),45096.0)</f>
        <v>45096</v>
      </c>
      <c r="P62" s="18">
        <f>IFERROR(__xludf.DUMMYFUNCTION("""COMPUTED_VALUE"""),45138.0)</f>
        <v>45138</v>
      </c>
      <c r="Q62" s="18"/>
      <c r="R62" s="18"/>
      <c r="S62" s="16"/>
      <c r="T62" s="16"/>
      <c r="U62" s="16" t="str">
        <f>IFERROR(__xludf.DUMMYFUNCTION("""COMPUTED_VALUE"""),"Global Classroom")</f>
        <v>Global Classroom</v>
      </c>
      <c r="V62" s="16" t="str">
        <f>IFERROR(__xludf.DUMMYFUNCTION("""COMPUTED_VALUE"""),"-")</f>
        <v>-</v>
      </c>
      <c r="W62" s="16" t="str">
        <f>IFERROR(__xludf.DUMMYFUNCTION("""COMPUTED_VALUE"""),"2022-12-05T17:37:19Z")</f>
        <v>2022-12-05T17:37:19Z</v>
      </c>
      <c r="X62" s="16"/>
      <c r="Y62" s="16"/>
      <c r="Z62" s="16"/>
    </row>
    <row r="63">
      <c r="A63" s="16" t="str">
        <f>IFERROR(__xludf.DUMMYFUNCTION("""COMPUTED_VALUE"""),"5171724_1284312")</f>
        <v>5171724_1284312</v>
      </c>
      <c r="B63" s="16" t="str">
        <f>IFERROR(__xludf.DUMMYFUNCTION("""COMPUTED_VALUE"""),"İbrahim Baran Yanık")</f>
        <v>İbrahim Baran Yanık</v>
      </c>
      <c r="C63" s="16" t="str">
        <f>IFERROR(__xludf.DUMMYFUNCTION("""COMPUTED_VALUE"""),"approved")</f>
        <v>approved</v>
      </c>
      <c r="D63" s="16" t="str">
        <f>IFERROR(__xludf.DUMMYFUNCTION("""COMPUTED_VALUE"""),"No")</f>
        <v>No</v>
      </c>
      <c r="E63" s="16" t="str">
        <f>IFERROR(__xludf.DUMMYFUNCTION("""COMPUTED_VALUE"""),"p_e861b858725a2e15b0ad1d228438bf01790dd17e@inbound.aiesec.org")</f>
        <v>p_e861b858725a2e15b0ad1d228438bf01790dd17e@inbound.aiesec.org</v>
      </c>
      <c r="F63" s="16">
        <f>IFERROR(__xludf.DUMMYFUNCTION("""COMPUTED_VALUE"""),5.392350279E9)</f>
        <v>5392350279</v>
      </c>
      <c r="G63" s="16" t="str">
        <f>IFERROR(__xludf.DUMMYFUNCTION("""COMPUTED_VALUE"""),"Turkey")</f>
        <v>Turkey</v>
      </c>
      <c r="H63" s="16" t="str">
        <f>IFERROR(__xludf.DUMMYFUNCTION("""COMPUTED_VALUE"""),"SAKARYA")</f>
        <v>SAKARYA</v>
      </c>
      <c r="I63" s="16" t="str">
        <f>IFERROR(__xludf.DUMMYFUNCTION("""COMPUTED_VALUE"""),"Sri Lanka")</f>
        <v>Sri Lanka</v>
      </c>
      <c r="J63" s="16" t="str">
        <f>IFERROR(__xludf.DUMMYFUNCTION("""COMPUTED_VALUE"""),"SLIIT")</f>
        <v>SLIIT</v>
      </c>
      <c r="K63" s="17" t="str">
        <f>IFERROR(__xludf.DUMMYFUNCTION("""COMPUTED_VALUE"""),"https://expa.aiesec.org/opportunities/1284312")</f>
        <v>https://expa.aiesec.org/opportunities/1284312</v>
      </c>
      <c r="L63" s="16" t="str">
        <f>IFERROR(__xludf.DUMMYFUNCTION("""COMPUTED_VALUE"""),"GV")</f>
        <v>GV</v>
      </c>
      <c r="M63" s="16" t="str">
        <f>IFERROR(__xludf.DUMMYFUNCTION("""COMPUTED_VALUE"""),"short")</f>
        <v>short</v>
      </c>
      <c r="N63" s="18">
        <f>IFERROR(__xludf.DUMMYFUNCTION("""COMPUTED_VALUE"""),44929.0)</f>
        <v>44929</v>
      </c>
      <c r="O63" s="18">
        <f>IFERROR(__xludf.DUMMYFUNCTION("""COMPUTED_VALUE"""),45119.0)</f>
        <v>45119</v>
      </c>
      <c r="P63" s="18">
        <f>IFERROR(__xludf.DUMMYFUNCTION("""COMPUTED_VALUE"""),45161.0)</f>
        <v>45161</v>
      </c>
      <c r="Q63" s="18"/>
      <c r="R63" s="18"/>
      <c r="S63" s="16"/>
      <c r="T63" s="16"/>
      <c r="U63" s="16" t="str">
        <f>IFERROR(__xludf.DUMMYFUNCTION("""COMPUTED_VALUE"""),"On The Map")</f>
        <v>On The Map</v>
      </c>
      <c r="V63" s="16" t="str">
        <f>IFERROR(__xludf.DUMMYFUNCTION("""COMPUTED_VALUE"""),"SAKARYA")</f>
        <v>SAKARYA</v>
      </c>
      <c r="W63" s="16" t="str">
        <f>IFERROR(__xludf.DUMMYFUNCTION("""COMPUTED_VALUE"""),"2022-12-30T21:31:47Z")</f>
        <v>2022-12-30T21:31:47Z</v>
      </c>
      <c r="X63" s="16"/>
      <c r="Y63" s="16"/>
      <c r="Z63" s="16"/>
    </row>
    <row r="64">
      <c r="A64" s="16" t="str">
        <f>IFERROR(__xludf.DUMMYFUNCTION("""COMPUTED_VALUE"""),"4686677_1291553")</f>
        <v>4686677_1291553</v>
      </c>
      <c r="B64" s="16" t="str">
        <f>IFERROR(__xludf.DUMMYFUNCTION("""COMPUTED_VALUE"""),"Aylin Çağlayan")</f>
        <v>Aylin Çağlayan</v>
      </c>
      <c r="C64" s="16" t="str">
        <f>IFERROR(__xludf.DUMMYFUNCTION("""COMPUTED_VALUE"""),"approved")</f>
        <v>approved</v>
      </c>
      <c r="D64" s="16" t="str">
        <f>IFERROR(__xludf.DUMMYFUNCTION("""COMPUTED_VALUE"""),"No")</f>
        <v>No</v>
      </c>
      <c r="E64" s="16" t="str">
        <f>IFERROR(__xludf.DUMMYFUNCTION("""COMPUTED_VALUE"""),"p_bf42a827ea9c840a4c6d2e7bd8c5406abf7c9f09@inbound.aiesec.org")</f>
        <v>p_bf42a827ea9c840a4c6d2e7bd8c5406abf7c9f09@inbound.aiesec.org</v>
      </c>
      <c r="F64" s="16"/>
      <c r="G64" s="16" t="str">
        <f>IFERROR(__xludf.DUMMYFUNCTION("""COMPUTED_VALUE"""),"Turkey")</f>
        <v>Turkey</v>
      </c>
      <c r="H64" s="16" t="str">
        <f>IFERROR(__xludf.DUMMYFUNCTION("""COMPUTED_VALUE"""),"ISTANBUL")</f>
        <v>ISTANBUL</v>
      </c>
      <c r="I64" s="16" t="str">
        <f>IFERROR(__xludf.DUMMYFUNCTION("""COMPUTED_VALUE"""),"Romania")</f>
        <v>Romania</v>
      </c>
      <c r="J64" s="16" t="str">
        <f>IFERROR(__xludf.DUMMYFUNCTION("""COMPUTED_VALUE"""),"BUCURESTI")</f>
        <v>BUCURESTI</v>
      </c>
      <c r="K64" s="17" t="str">
        <f>IFERROR(__xludf.DUMMYFUNCTION("""COMPUTED_VALUE"""),"https://expa.aiesec.org/opportunities/1291553")</f>
        <v>https://expa.aiesec.org/opportunities/1291553</v>
      </c>
      <c r="L64" s="16" t="str">
        <f>IFERROR(__xludf.DUMMYFUNCTION("""COMPUTED_VALUE"""),"GV")</f>
        <v>GV</v>
      </c>
      <c r="M64" s="16" t="str">
        <f>IFERROR(__xludf.DUMMYFUNCTION("""COMPUTED_VALUE"""),"short")</f>
        <v>short</v>
      </c>
      <c r="N64" s="18">
        <f>IFERROR(__xludf.DUMMYFUNCTION("""COMPUTED_VALUE"""),44935.0)</f>
        <v>44935</v>
      </c>
      <c r="O64" s="18">
        <f>IFERROR(__xludf.DUMMYFUNCTION("""COMPUTED_VALUE"""),45096.0)</f>
        <v>45096</v>
      </c>
      <c r="P64" s="18">
        <f>IFERROR(__xludf.DUMMYFUNCTION("""COMPUTED_VALUE"""),45138.0)</f>
        <v>45138</v>
      </c>
      <c r="Q64" s="18"/>
      <c r="R64" s="18"/>
      <c r="S64" s="16"/>
      <c r="T64" s="16"/>
      <c r="U64" s="16" t="str">
        <f>IFERROR(__xludf.DUMMYFUNCTION("""COMPUTED_VALUE"""),"Green Leaders")</f>
        <v>Green Leaders</v>
      </c>
      <c r="V64" s="16" t="str">
        <f>IFERROR(__xludf.DUMMYFUNCTION("""COMPUTED_VALUE"""),"YALOVA")</f>
        <v>YALOVA</v>
      </c>
      <c r="W64" s="16" t="str">
        <f>IFERROR(__xludf.DUMMYFUNCTION("""COMPUTED_VALUE"""),"2021-07-12T14:20:19Z")</f>
        <v>2021-07-12T14:20:19Z</v>
      </c>
      <c r="X64" s="16"/>
      <c r="Y64" s="16"/>
      <c r="Z64" s="16"/>
    </row>
    <row r="65">
      <c r="A65" s="16" t="str">
        <f>IFERROR(__xludf.DUMMYFUNCTION("""COMPUTED_VALUE"""),"5175145_1290806")</f>
        <v>5175145_1290806</v>
      </c>
      <c r="B65" s="16" t="str">
        <f>IFERROR(__xludf.DUMMYFUNCTION("""COMPUTED_VALUE"""),"Canberk Başduran")</f>
        <v>Canberk Başduran</v>
      </c>
      <c r="C65" s="16" t="str">
        <f>IFERROR(__xludf.DUMMYFUNCTION("""COMPUTED_VALUE"""),"approved")</f>
        <v>approved</v>
      </c>
      <c r="D65" s="16" t="str">
        <f>IFERROR(__xludf.DUMMYFUNCTION("""COMPUTED_VALUE"""),"No")</f>
        <v>No</v>
      </c>
      <c r="E65" s="16" t="str">
        <f>IFERROR(__xludf.DUMMYFUNCTION("""COMPUTED_VALUE"""),"p_f444b8640f009a882732dc8e0e75bc79cc7f26bd@inbound.aiesec.org")</f>
        <v>p_f444b8640f009a882732dc8e0e75bc79cc7f26bd@inbound.aiesec.org</v>
      </c>
      <c r="F65" s="16">
        <f>IFERROR(__xludf.DUMMYFUNCTION("""COMPUTED_VALUE"""),5.438107759E9)</f>
        <v>5438107759</v>
      </c>
      <c r="G65" s="16" t="str">
        <f>IFERROR(__xludf.DUMMYFUNCTION("""COMPUTED_VALUE"""),"Turkey")</f>
        <v>Turkey</v>
      </c>
      <c r="H65" s="16" t="str">
        <f>IFERROR(__xludf.DUMMYFUNCTION("""COMPUTED_VALUE"""),"ISTANBUL")</f>
        <v>ISTANBUL</v>
      </c>
      <c r="I65" s="16" t="str">
        <f>IFERROR(__xludf.DUMMYFUNCTION("""COMPUTED_VALUE"""),"Sri Lanka")</f>
        <v>Sri Lanka</v>
      </c>
      <c r="J65" s="16" t="str">
        <f>IFERROR(__xludf.DUMMYFUNCTION("""COMPUTED_VALUE"""),"KANDY")</f>
        <v>KANDY</v>
      </c>
      <c r="K65" s="17" t="str">
        <f>IFERROR(__xludf.DUMMYFUNCTION("""COMPUTED_VALUE"""),"https://expa.aiesec.org/opportunities/1290806")</f>
        <v>https://expa.aiesec.org/opportunities/1290806</v>
      </c>
      <c r="L65" s="16" t="str">
        <f>IFERROR(__xludf.DUMMYFUNCTION("""COMPUTED_VALUE"""),"GV")</f>
        <v>GV</v>
      </c>
      <c r="M65" s="16" t="str">
        <f>IFERROR(__xludf.DUMMYFUNCTION("""COMPUTED_VALUE"""),"short")</f>
        <v>short</v>
      </c>
      <c r="N65" s="18">
        <f>IFERROR(__xludf.DUMMYFUNCTION("""COMPUTED_VALUE"""),44937.0)</f>
        <v>44937</v>
      </c>
      <c r="O65" s="18">
        <f>IFERROR(__xludf.DUMMYFUNCTION("""COMPUTED_VALUE"""),45110.0)</f>
        <v>45110</v>
      </c>
      <c r="P65" s="18">
        <f>IFERROR(__xludf.DUMMYFUNCTION("""COMPUTED_VALUE"""),45152.0)</f>
        <v>45152</v>
      </c>
      <c r="Q65" s="18"/>
      <c r="R65" s="18"/>
      <c r="S65" s="16"/>
      <c r="T65" s="16"/>
      <c r="U65" s="16" t="str">
        <f>IFERROR(__xludf.DUMMYFUNCTION("""COMPUTED_VALUE"""),"Happy Bus")</f>
        <v>Happy Bus</v>
      </c>
      <c r="V65" s="16" t="str">
        <f>IFERROR(__xludf.DUMMYFUNCTION("""COMPUTED_VALUE"""),"ISTANBUL - BEYOGLU")</f>
        <v>ISTANBUL - BEYOGLU</v>
      </c>
      <c r="W65" s="16" t="str">
        <f>IFERROR(__xludf.DUMMYFUNCTION("""COMPUTED_VALUE"""),"2023-01-10T17:08:16Z")</f>
        <v>2023-01-10T17:08:16Z</v>
      </c>
      <c r="X65" s="16"/>
      <c r="Y65" s="16"/>
      <c r="Z65" s="16"/>
    </row>
    <row r="66">
      <c r="A66" s="16" t="str">
        <f>IFERROR(__xludf.DUMMYFUNCTION("""COMPUTED_VALUE"""),"5173715_1290243")</f>
        <v>5173715_1290243</v>
      </c>
      <c r="B66" s="16" t="str">
        <f>IFERROR(__xludf.DUMMYFUNCTION("""COMPUTED_VALUE"""),"Betül Kelel")</f>
        <v>Betül Kelel</v>
      </c>
      <c r="C66" s="16" t="str">
        <f>IFERROR(__xludf.DUMMYFUNCTION("""COMPUTED_VALUE"""),"approved")</f>
        <v>approved</v>
      </c>
      <c r="D66" s="16" t="str">
        <f>IFERROR(__xludf.DUMMYFUNCTION("""COMPUTED_VALUE"""),"No")</f>
        <v>No</v>
      </c>
      <c r="E66" s="16" t="str">
        <f>IFERROR(__xludf.DUMMYFUNCTION("""COMPUTED_VALUE"""),"p_395d6684d5aa8a8c93bc939ee02f95faf5fe5930@inbound.aiesec.org")</f>
        <v>p_395d6684d5aa8a8c93bc939ee02f95faf5fe5930@inbound.aiesec.org</v>
      </c>
      <c r="F66" s="16"/>
      <c r="G66" s="16" t="str">
        <f>IFERROR(__xludf.DUMMYFUNCTION("""COMPUTED_VALUE"""),"Turkey")</f>
        <v>Turkey</v>
      </c>
      <c r="H66" s="16" t="str">
        <f>IFERROR(__xludf.DUMMYFUNCTION("""COMPUTED_VALUE"""),"ISTANBUL")</f>
        <v>ISTANBUL</v>
      </c>
      <c r="I66" s="16" t="str">
        <f>IFERROR(__xludf.DUMMYFUNCTION("""COMPUTED_VALUE"""),"Egypt")</f>
        <v>Egypt</v>
      </c>
      <c r="J66" s="16" t="str">
        <f>IFERROR(__xludf.DUMMYFUNCTION("""COMPUTED_VALUE"""),"GUC")</f>
        <v>GUC</v>
      </c>
      <c r="K66" s="17" t="str">
        <f>IFERROR(__xludf.DUMMYFUNCTION("""COMPUTED_VALUE"""),"https://expa.aiesec.org/opportunities/1290243")</f>
        <v>https://expa.aiesec.org/opportunities/1290243</v>
      </c>
      <c r="L66" s="16" t="str">
        <f>IFERROR(__xludf.DUMMYFUNCTION("""COMPUTED_VALUE"""),"GV")</f>
        <v>GV</v>
      </c>
      <c r="M66" s="16" t="str">
        <f>IFERROR(__xludf.DUMMYFUNCTION("""COMPUTED_VALUE"""),"short")</f>
        <v>short</v>
      </c>
      <c r="N66" s="18">
        <f>IFERROR(__xludf.DUMMYFUNCTION("""COMPUTED_VALUE"""),44937.0)</f>
        <v>44937</v>
      </c>
      <c r="O66" s="18">
        <f>IFERROR(__xludf.DUMMYFUNCTION("""COMPUTED_VALUE"""),45139.0)</f>
        <v>45139</v>
      </c>
      <c r="P66" s="18">
        <f>IFERROR(__xludf.DUMMYFUNCTION("""COMPUTED_VALUE"""),45181.0)</f>
        <v>45181</v>
      </c>
      <c r="Q66" s="18"/>
      <c r="R66" s="18"/>
      <c r="S66" s="16"/>
      <c r="T66" s="16"/>
      <c r="U66" s="16" t="str">
        <f>IFERROR(__xludf.DUMMYFUNCTION("""COMPUTED_VALUE"""),"On The Map")</f>
        <v>On The Map</v>
      </c>
      <c r="V66" s="16" t="str">
        <f>IFERROR(__xludf.DUMMYFUNCTION("""COMPUTED_VALUE"""),"-")</f>
        <v>-</v>
      </c>
      <c r="W66" s="16" t="str">
        <f>IFERROR(__xludf.DUMMYFUNCTION("""COMPUTED_VALUE"""),"2023-01-06T13:28:30Z")</f>
        <v>2023-01-06T13:28:30Z</v>
      </c>
      <c r="X66" s="16"/>
      <c r="Y66" s="16"/>
      <c r="Z66" s="16"/>
    </row>
    <row r="67">
      <c r="A67" s="16" t="str">
        <f>IFERROR(__xludf.DUMMYFUNCTION("""COMPUTED_VALUE"""),"5174165_1287990")</f>
        <v>5174165_1287990</v>
      </c>
      <c r="B67" s="16" t="str">
        <f>IFERROR(__xludf.DUMMYFUNCTION("""COMPUTED_VALUE"""),"Elif Görgen")</f>
        <v>Elif Görgen</v>
      </c>
      <c r="C67" s="16" t="str">
        <f>IFERROR(__xludf.DUMMYFUNCTION("""COMPUTED_VALUE"""),"approved")</f>
        <v>approved</v>
      </c>
      <c r="D67" s="16" t="str">
        <f>IFERROR(__xludf.DUMMYFUNCTION("""COMPUTED_VALUE"""),"No")</f>
        <v>No</v>
      </c>
      <c r="E67" s="16" t="str">
        <f>IFERROR(__xludf.DUMMYFUNCTION("""COMPUTED_VALUE"""),"p_ea92169dcd63f1ba8a64b2d97e968d17c67ba2f9@inbound.aiesec.org")</f>
        <v>p_ea92169dcd63f1ba8a64b2d97e968d17c67ba2f9@inbound.aiesec.org</v>
      </c>
      <c r="F67" s="16">
        <f>IFERROR(__xludf.DUMMYFUNCTION("""COMPUTED_VALUE"""),5.359455234E9)</f>
        <v>5359455234</v>
      </c>
      <c r="G67" s="16" t="str">
        <f>IFERROR(__xludf.DUMMYFUNCTION("""COMPUTED_VALUE"""),"Turkey")</f>
        <v>Turkey</v>
      </c>
      <c r="H67" s="16" t="str">
        <f>IFERROR(__xludf.DUMMYFUNCTION("""COMPUTED_VALUE"""),"KOCAELI")</f>
        <v>KOCAELI</v>
      </c>
      <c r="I67" s="16" t="str">
        <f>IFERROR(__xludf.DUMMYFUNCTION("""COMPUTED_VALUE"""),"India")</f>
        <v>India</v>
      </c>
      <c r="J67" s="16" t="str">
        <f>IFERROR(__xludf.DUMMYFUNCTION("""COMPUTED_VALUE"""),"JAIPUR ")</f>
        <v>JAIPUR </v>
      </c>
      <c r="K67" s="17" t="str">
        <f>IFERROR(__xludf.DUMMYFUNCTION("""COMPUTED_VALUE"""),"https://expa.aiesec.org/opportunities/1287990")</f>
        <v>https://expa.aiesec.org/opportunities/1287990</v>
      </c>
      <c r="L67" s="16" t="str">
        <f>IFERROR(__xludf.DUMMYFUNCTION("""COMPUTED_VALUE"""),"GV")</f>
        <v>GV</v>
      </c>
      <c r="M67" s="16" t="str">
        <f>IFERROR(__xludf.DUMMYFUNCTION("""COMPUTED_VALUE"""),"short")</f>
        <v>short</v>
      </c>
      <c r="N67" s="18">
        <f>IFERROR(__xludf.DUMMYFUNCTION("""COMPUTED_VALUE"""),44939.0)</f>
        <v>44939</v>
      </c>
      <c r="O67" s="18">
        <f>IFERROR(__xludf.DUMMYFUNCTION("""COMPUTED_VALUE"""),45114.0)</f>
        <v>45114</v>
      </c>
      <c r="P67" s="18">
        <f>IFERROR(__xludf.DUMMYFUNCTION("""COMPUTED_VALUE"""),45156.0)</f>
        <v>45156</v>
      </c>
      <c r="Q67" s="18"/>
      <c r="R67" s="18"/>
      <c r="S67" s="16"/>
      <c r="T67" s="16"/>
      <c r="U67" s="16" t="str">
        <f>IFERROR(__xludf.DUMMYFUNCTION("""COMPUTED_VALUE"""),"Skill Up!")</f>
        <v>Skill Up!</v>
      </c>
      <c r="V67" s="16" t="str">
        <f>IFERROR(__xludf.DUMMYFUNCTION("""COMPUTED_VALUE"""),"KOCAELI")</f>
        <v>KOCAELI</v>
      </c>
      <c r="W67" s="16" t="str">
        <f>IFERROR(__xludf.DUMMYFUNCTION("""COMPUTED_VALUE"""),"2023-01-07T20:17:09Z")</f>
        <v>2023-01-07T20:17:09Z</v>
      </c>
      <c r="X67" s="16"/>
      <c r="Y67" s="16"/>
      <c r="Z67" s="16"/>
    </row>
    <row r="68">
      <c r="A68" s="16" t="str">
        <f>IFERROR(__xludf.DUMMYFUNCTION("""COMPUTED_VALUE"""),"2899747_1288330")</f>
        <v>2899747_1288330</v>
      </c>
      <c r="B68" s="16" t="str">
        <f>IFERROR(__xludf.DUMMYFUNCTION("""COMPUTED_VALUE"""),"Gülsu Çağıran")</f>
        <v>Gülsu Çağıran</v>
      </c>
      <c r="C68" s="16" t="str">
        <f>IFERROR(__xludf.DUMMYFUNCTION("""COMPUTED_VALUE"""),"approved")</f>
        <v>approved</v>
      </c>
      <c r="D68" s="16" t="str">
        <f>IFERROR(__xludf.DUMMYFUNCTION("""COMPUTED_VALUE"""),"No")</f>
        <v>No</v>
      </c>
      <c r="E68" s="16" t="str">
        <f>IFERROR(__xludf.DUMMYFUNCTION("""COMPUTED_VALUE"""),"p_59724d172bf5cb5e149f99ba893f924e7540c971@inbound.aiesec.org")</f>
        <v>p_59724d172bf5cb5e149f99ba893f924e7540c971@inbound.aiesec.org</v>
      </c>
      <c r="F68" s="16">
        <f>IFERROR(__xludf.DUMMYFUNCTION("""COMPUTED_VALUE"""),5.073517826E9)</f>
        <v>5073517826</v>
      </c>
      <c r="G68" s="16" t="str">
        <f>IFERROR(__xludf.DUMMYFUNCTION("""COMPUTED_VALUE"""),"Turkey")</f>
        <v>Turkey</v>
      </c>
      <c r="H68" s="16" t="str">
        <f>IFERROR(__xludf.DUMMYFUNCTION("""COMPUTED_VALUE"""),"ISTANBUL ASIA")</f>
        <v>ISTANBUL ASIA</v>
      </c>
      <c r="I68" s="16" t="str">
        <f>IFERROR(__xludf.DUMMYFUNCTION("""COMPUTED_VALUE"""),"Sri Lanka")</f>
        <v>Sri Lanka</v>
      </c>
      <c r="J68" s="16" t="str">
        <f>IFERROR(__xludf.DUMMYFUNCTION("""COMPUTED_VALUE"""),"COLOMBO NORTH")</f>
        <v>COLOMBO NORTH</v>
      </c>
      <c r="K68" s="17" t="str">
        <f>IFERROR(__xludf.DUMMYFUNCTION("""COMPUTED_VALUE"""),"https://expa.aiesec.org/opportunities/1288330")</f>
        <v>https://expa.aiesec.org/opportunities/1288330</v>
      </c>
      <c r="L68" s="16" t="str">
        <f>IFERROR(__xludf.DUMMYFUNCTION("""COMPUTED_VALUE"""),"GV")</f>
        <v>GV</v>
      </c>
      <c r="M68" s="16" t="str">
        <f>IFERROR(__xludf.DUMMYFUNCTION("""COMPUTED_VALUE"""),"short")</f>
        <v>short</v>
      </c>
      <c r="N68" s="18">
        <f>IFERROR(__xludf.DUMMYFUNCTION("""COMPUTED_VALUE"""),44939.0)</f>
        <v>44939</v>
      </c>
      <c r="O68" s="18">
        <f>IFERROR(__xludf.DUMMYFUNCTION("""COMPUTED_VALUE"""),45115.0)</f>
        <v>45115</v>
      </c>
      <c r="P68" s="18">
        <f>IFERROR(__xludf.DUMMYFUNCTION("""COMPUTED_VALUE"""),45157.0)</f>
        <v>45157</v>
      </c>
      <c r="Q68" s="18"/>
      <c r="R68" s="18"/>
      <c r="S68" s="16"/>
      <c r="T68" s="16"/>
      <c r="U68" s="16" t="str">
        <f>IFERROR(__xludf.DUMMYFUNCTION("""COMPUTED_VALUE"""),"Aquatica")</f>
        <v>Aquatica</v>
      </c>
      <c r="V68" s="16" t="str">
        <f>IFERROR(__xludf.DUMMYFUNCTION("""COMPUTED_VALUE"""),"ISTANBUL ASIA")</f>
        <v>ISTANBUL ASIA</v>
      </c>
      <c r="W68" s="16" t="str">
        <f>IFERROR(__xludf.DUMMYFUNCTION("""COMPUTED_VALUE"""),"2018-11-23T22:17:19Z")</f>
        <v>2018-11-23T22:17:19Z</v>
      </c>
      <c r="X68" s="16"/>
      <c r="Y68" s="16"/>
      <c r="Z68" s="16"/>
    </row>
    <row r="69">
      <c r="A69" s="16" t="str">
        <f>IFERROR(__xludf.DUMMYFUNCTION("""COMPUTED_VALUE"""),"5174568_1286442")</f>
        <v>5174568_1286442</v>
      </c>
      <c r="B69" s="16" t="str">
        <f>IFERROR(__xludf.DUMMYFUNCTION("""COMPUTED_VALUE"""),"Mevlüthan Çiftçi")</f>
        <v>Mevlüthan Çiftçi</v>
      </c>
      <c r="C69" s="16" t="str">
        <f>IFERROR(__xludf.DUMMYFUNCTION("""COMPUTED_VALUE"""),"approved")</f>
        <v>approved</v>
      </c>
      <c r="D69" s="16" t="str">
        <f>IFERROR(__xludf.DUMMYFUNCTION("""COMPUTED_VALUE"""),"No")</f>
        <v>No</v>
      </c>
      <c r="E69" s="16" t="str">
        <f>IFERROR(__xludf.DUMMYFUNCTION("""COMPUTED_VALUE"""),"p_16fad21f2876de9c287ec53df56df7bfbfd960cb@inbound.aiesec.org")</f>
        <v>p_16fad21f2876de9c287ec53df56df7bfbfd960cb@inbound.aiesec.org</v>
      </c>
      <c r="F69" s="16">
        <f>IFERROR(__xludf.DUMMYFUNCTION("""COMPUTED_VALUE"""),5.078551745E9)</f>
        <v>5078551745</v>
      </c>
      <c r="G69" s="16" t="str">
        <f>IFERROR(__xludf.DUMMYFUNCTION("""COMPUTED_VALUE"""),"Turkey")</f>
        <v>Turkey</v>
      </c>
      <c r="H69" s="16" t="str">
        <f>IFERROR(__xludf.DUMMYFUNCTION("""COMPUTED_VALUE"""),"ISTANBUL WEST")</f>
        <v>ISTANBUL WEST</v>
      </c>
      <c r="I69" s="16" t="str">
        <f>IFERROR(__xludf.DUMMYFUNCTION("""COMPUTED_VALUE"""),"Czech Republic")</f>
        <v>Czech Republic</v>
      </c>
      <c r="J69" s="16" t="str">
        <f>IFERROR(__xludf.DUMMYFUNCTION("""COMPUTED_VALUE"""),"PRAGUE")</f>
        <v>PRAGUE</v>
      </c>
      <c r="K69" s="17" t="str">
        <f>IFERROR(__xludf.DUMMYFUNCTION("""COMPUTED_VALUE"""),"https://expa.aiesec.org/opportunities/1286442")</f>
        <v>https://expa.aiesec.org/opportunities/1286442</v>
      </c>
      <c r="L69" s="16" t="str">
        <f>IFERROR(__xludf.DUMMYFUNCTION("""COMPUTED_VALUE"""),"GV")</f>
        <v>GV</v>
      </c>
      <c r="M69" s="16" t="str">
        <f>IFERROR(__xludf.DUMMYFUNCTION("""COMPUTED_VALUE"""),"short")</f>
        <v>short</v>
      </c>
      <c r="N69" s="18">
        <f>IFERROR(__xludf.DUMMYFUNCTION("""COMPUTED_VALUE"""),44940.0)</f>
        <v>44940</v>
      </c>
      <c r="O69" s="18">
        <f>IFERROR(__xludf.DUMMYFUNCTION("""COMPUTED_VALUE"""),45053.0)</f>
        <v>45053</v>
      </c>
      <c r="P69" s="18">
        <f>IFERROR(__xludf.DUMMYFUNCTION("""COMPUTED_VALUE"""),45095.0)</f>
        <v>45095</v>
      </c>
      <c r="Q69" s="18"/>
      <c r="R69" s="18"/>
      <c r="S69" s="16"/>
      <c r="T69" s="16"/>
      <c r="U69" s="16" t="str">
        <f>IFERROR(__xludf.DUMMYFUNCTION("""COMPUTED_VALUE"""),"Youth 4 Impact")</f>
        <v>Youth 4 Impact</v>
      </c>
      <c r="V69" s="16" t="str">
        <f>IFERROR(__xludf.DUMMYFUNCTION("""COMPUTED_VALUE"""),"ISTANBUL - BAKIRKOY")</f>
        <v>ISTANBUL - BAKIRKOY</v>
      </c>
      <c r="W69" s="16" t="str">
        <f>IFERROR(__xludf.DUMMYFUNCTION("""COMPUTED_VALUE"""),"2023-01-09T08:28:53Z")</f>
        <v>2023-01-09T08:28:53Z</v>
      </c>
      <c r="X69" s="16"/>
      <c r="Y69" s="16"/>
      <c r="Z69" s="16"/>
    </row>
    <row r="70">
      <c r="A70" s="16" t="str">
        <f>IFERROR(__xludf.DUMMYFUNCTION("""COMPUTED_VALUE"""),"5173420_1290277")</f>
        <v>5173420_1290277</v>
      </c>
      <c r="B70" s="16" t="str">
        <f>IFERROR(__xludf.DUMMYFUNCTION("""COMPUTED_VALUE"""),"abdullah turhan")</f>
        <v>abdullah turhan</v>
      </c>
      <c r="C70" s="16" t="str">
        <f>IFERROR(__xludf.DUMMYFUNCTION("""COMPUTED_VALUE"""),"approved")</f>
        <v>approved</v>
      </c>
      <c r="D70" s="16" t="str">
        <f>IFERROR(__xludf.DUMMYFUNCTION("""COMPUTED_VALUE"""),"No")</f>
        <v>No</v>
      </c>
      <c r="E70" s="16" t="str">
        <f>IFERROR(__xludf.DUMMYFUNCTION("""COMPUTED_VALUE"""),"p_581eda9baefcfe2c528f79bd78947d5922cb14f9@inbound.aiesec.org")</f>
        <v>p_581eda9baefcfe2c528f79bd78947d5922cb14f9@inbound.aiesec.org</v>
      </c>
      <c r="F70" s="16">
        <f>IFERROR(__xludf.DUMMYFUNCTION("""COMPUTED_VALUE"""),5.3752081E9)</f>
        <v>5375208100</v>
      </c>
      <c r="G70" s="16" t="str">
        <f>IFERROR(__xludf.DUMMYFUNCTION("""COMPUTED_VALUE"""),"Turkey")</f>
        <v>Turkey</v>
      </c>
      <c r="H70" s="16" t="str">
        <f>IFERROR(__xludf.DUMMYFUNCTION("""COMPUTED_VALUE"""),"SAKARYA")</f>
        <v>SAKARYA</v>
      </c>
      <c r="I70" s="16" t="str">
        <f>IFERROR(__xludf.DUMMYFUNCTION("""COMPUTED_VALUE"""),"Egypt")</f>
        <v>Egypt</v>
      </c>
      <c r="J70" s="16" t="str">
        <f>IFERROR(__xludf.DUMMYFUNCTION("""COMPUTED_VALUE"""),"Mansoura")</f>
        <v>Mansoura</v>
      </c>
      <c r="K70" s="17" t="str">
        <f>IFERROR(__xludf.DUMMYFUNCTION("""COMPUTED_VALUE"""),"https://expa.aiesec.org/opportunities/1290277")</f>
        <v>https://expa.aiesec.org/opportunities/1290277</v>
      </c>
      <c r="L70" s="16" t="str">
        <f>IFERROR(__xludf.DUMMYFUNCTION("""COMPUTED_VALUE"""),"GV")</f>
        <v>GV</v>
      </c>
      <c r="M70" s="16" t="str">
        <f>IFERROR(__xludf.DUMMYFUNCTION("""COMPUTED_VALUE"""),"short")</f>
        <v>short</v>
      </c>
      <c r="N70" s="18">
        <f>IFERROR(__xludf.DUMMYFUNCTION("""COMPUTED_VALUE"""),44948.0)</f>
        <v>44948</v>
      </c>
      <c r="O70" s="18">
        <f>IFERROR(__xludf.DUMMYFUNCTION("""COMPUTED_VALUE"""),45108.0)</f>
        <v>45108</v>
      </c>
      <c r="P70" s="18">
        <f>IFERROR(__xludf.DUMMYFUNCTION("""COMPUTED_VALUE"""),45150.0)</f>
        <v>45150</v>
      </c>
      <c r="Q70" s="18"/>
      <c r="R70" s="18"/>
      <c r="S70" s="16"/>
      <c r="T70" s="16"/>
      <c r="U70" s="16" t="str">
        <f>IFERROR(__xludf.DUMMYFUNCTION("""COMPUTED_VALUE"""),"On The Map")</f>
        <v>On The Map</v>
      </c>
      <c r="V70" s="16" t="str">
        <f>IFERROR(__xludf.DUMMYFUNCTION("""COMPUTED_VALUE"""),"DUZCE")</f>
        <v>DUZCE</v>
      </c>
      <c r="W70" s="16" t="str">
        <f>IFERROR(__xludf.DUMMYFUNCTION("""COMPUTED_VALUE"""),"2023-01-05T17:28:59Z")</f>
        <v>2023-01-05T17:28:59Z</v>
      </c>
      <c r="X70" s="16"/>
      <c r="Y70" s="16"/>
      <c r="Z70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</hyperlinks>
  <drawing r:id="rId7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&gt;=date'2021-02-01' and N &lt;date'2023-02-01' and C = 'approved' and G = 'Turkey' and ( L = 'GTa' or L = 'GTe' ) and O &lt;=date'2023-07-15'"",1)"),"EP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IFERROR(__xludf.DUMMYFUNCTION("""COMPUTED_VALUE"""),"3869747_1283180")</f>
        <v>3869747_1283180</v>
      </c>
      <c r="B2" s="16" t="str">
        <f>IFERROR(__xludf.DUMMYFUNCTION("""COMPUTED_VALUE"""),"Gökçe Güder")</f>
        <v>Gökçe Güder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IFERROR(__xludf.DUMMYFUNCTION("""COMPUTED_VALUE"""),"p_8ae1491d5ce5da9a7d70168753d5d07ca56a720f@inbound.aiesec.org")</f>
        <v>p_8ae1491d5ce5da9a7d70168753d5d07ca56a720f@inbound.aiesec.org</v>
      </c>
      <c r="F2" s="16"/>
      <c r="G2" s="16" t="str">
        <f>IFERROR(__xludf.DUMMYFUNCTION("""COMPUTED_VALUE"""),"Turkey")</f>
        <v>Turkey</v>
      </c>
      <c r="H2" s="16" t="str">
        <f>IFERROR(__xludf.DUMMYFUNCTION("""COMPUTED_VALUE"""),"ISPARTA")</f>
        <v>ISPARTA</v>
      </c>
      <c r="I2" s="16" t="str">
        <f>IFERROR(__xludf.DUMMYFUNCTION("""COMPUTED_VALUE"""),"Hungary")</f>
        <v>Hungary</v>
      </c>
      <c r="J2" s="16" t="str">
        <f>IFERROR(__xludf.DUMMYFUNCTION("""COMPUTED_VALUE"""),"Budapest Business School - KÜLKER")</f>
        <v>Budapest Business School - KÜLKER</v>
      </c>
      <c r="K2" s="17" t="str">
        <f>IFERROR(__xludf.DUMMYFUNCTION("""COMPUTED_VALUE"""),"https://expa.aiesec.org/opportunities/1283180")</f>
        <v>https://expa.aiesec.org/opportunities/1283180</v>
      </c>
      <c r="L2" s="16" t="str">
        <f>IFERROR(__xludf.DUMMYFUNCTION("""COMPUTED_VALUE"""),"GTa")</f>
        <v>GTa</v>
      </c>
      <c r="M2" s="16" t="str">
        <f>IFERROR(__xludf.DUMMYFUNCTION("""COMPUTED_VALUE"""),"long")</f>
        <v>long</v>
      </c>
      <c r="N2" s="18">
        <f>IFERROR(__xludf.DUMMYFUNCTION("""COMPUTED_VALUE"""),44856.0)</f>
        <v>44856</v>
      </c>
      <c r="O2" s="18">
        <f>IFERROR(__xludf.DUMMYFUNCTION("""COMPUTED_VALUE"""),44964.0)</f>
        <v>44964</v>
      </c>
      <c r="P2" s="18">
        <f>IFERROR(__xludf.DUMMYFUNCTION("""COMPUTED_VALUE"""),45237.0)</f>
        <v>45237</v>
      </c>
      <c r="Q2" s="18"/>
      <c r="R2" s="18"/>
      <c r="S2" s="16"/>
      <c r="T2" s="16" t="str">
        <f>IFERROR(__xludf.DUMMYFUNCTION("""COMPUTED_VALUE"""),"Finance")</f>
        <v>Finance</v>
      </c>
      <c r="U2" s="16" t="str">
        <f>IFERROR(__xludf.DUMMYFUNCTION("""COMPUTED_VALUE"""),"Turkish Financial Accountant ")</f>
        <v>Turkish Financial Accountant </v>
      </c>
      <c r="V2" s="16" t="str">
        <f>IFERROR(__xludf.DUMMYFUNCTION("""COMPUTED_VALUE"""),"ISPARTA")</f>
        <v>ISPARTA</v>
      </c>
      <c r="W2" s="16" t="str">
        <f>IFERROR(__xludf.DUMMYFUNCTION("""COMPUTED_VALUE"""),"2019-10-03T11:17:30Z")</f>
        <v>2019-10-03T11:17:30Z</v>
      </c>
      <c r="X2" s="16"/>
      <c r="Y2" s="16"/>
      <c r="Z2" s="16"/>
    </row>
    <row r="3">
      <c r="A3" s="16" t="str">
        <f>IFERROR(__xludf.DUMMYFUNCTION("""COMPUTED_VALUE"""),"5160308_1288662")</f>
        <v>5160308_1288662</v>
      </c>
      <c r="B3" s="16" t="str">
        <f>IFERROR(__xludf.DUMMYFUNCTION("""COMPUTED_VALUE"""),"Penny Kapusuzoglu")</f>
        <v>Penny Kapusuzoglu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IFERROR(__xludf.DUMMYFUNCTION("""COMPUTED_VALUE"""),"p_aa8de19e8ac12b196e14d406c6d2d80dfd1c9f3e@inbound.aiesec.org")</f>
        <v>p_aa8de19e8ac12b196e14d406c6d2d80dfd1c9f3e@inbound.aiesec.org</v>
      </c>
      <c r="F3" s="16">
        <f>IFERROR(__xludf.DUMMYFUNCTION("""COMPUTED_VALUE"""),5.339739702E9)</f>
        <v>5339739702</v>
      </c>
      <c r="G3" s="16" t="str">
        <f>IFERROR(__xludf.DUMMYFUNCTION("""COMPUTED_VALUE"""),"Turkey")</f>
        <v>Turkey</v>
      </c>
      <c r="H3" s="16" t="str">
        <f>IFERROR(__xludf.DUMMYFUNCTION("""COMPUTED_VALUE"""),"ISTANBUL")</f>
        <v>ISTANBUL</v>
      </c>
      <c r="I3" s="16" t="str">
        <f>IFERROR(__xludf.DUMMYFUNCTION("""COMPUTED_VALUE"""),"Belgium")</f>
        <v>Belgium</v>
      </c>
      <c r="J3" s="16" t="str">
        <f>IFERROR(__xludf.DUMMYFUNCTION("""COMPUTED_VALUE"""),"Belgium (National) ")</f>
        <v>Belgium (National) </v>
      </c>
      <c r="K3" s="17" t="str">
        <f>IFERROR(__xludf.DUMMYFUNCTION("""COMPUTED_VALUE"""),"https://expa.aiesec.org/opportunities/1288662")</f>
        <v>https://expa.aiesec.org/opportunities/1288662</v>
      </c>
      <c r="L3" s="16" t="str">
        <f>IFERROR(__xludf.DUMMYFUNCTION("""COMPUTED_VALUE"""),"GTa")</f>
        <v>GTa</v>
      </c>
      <c r="M3" s="16" t="str">
        <f>IFERROR(__xludf.DUMMYFUNCTION("""COMPUTED_VALUE"""),"long")</f>
        <v>long</v>
      </c>
      <c r="N3" s="18">
        <f>IFERROR(__xludf.DUMMYFUNCTION("""COMPUTED_VALUE"""),44894.0)</f>
        <v>44894</v>
      </c>
      <c r="O3" s="18">
        <f>IFERROR(__xludf.DUMMYFUNCTION("""COMPUTED_VALUE"""),45017.0)</f>
        <v>45017</v>
      </c>
      <c r="P3" s="18">
        <f>IFERROR(__xludf.DUMMYFUNCTION("""COMPUTED_VALUE"""),45382.0)</f>
        <v>45382</v>
      </c>
      <c r="Q3" s="18"/>
      <c r="R3" s="18"/>
      <c r="S3" s="16"/>
      <c r="T3" s="16" t="str">
        <f>IFERROR(__xludf.DUMMYFUNCTION("""COMPUTED_VALUE"""),"Other")</f>
        <v>Other</v>
      </c>
      <c r="U3" s="16" t="str">
        <f>IFERROR(__xludf.DUMMYFUNCTION("""COMPUTED_VALUE"""),"Sustainability Reporting Trainee")</f>
        <v>Sustainability Reporting Trainee</v>
      </c>
      <c r="V3" s="16" t="str">
        <f>IFERROR(__xludf.DUMMYFUNCTION("""COMPUTED_VALUE"""),"ISTANBUL - BEYOGLU")</f>
        <v>ISTANBUL - BEYOGLU</v>
      </c>
      <c r="W3" s="16" t="str">
        <f>IFERROR(__xludf.DUMMYFUNCTION("""COMPUTED_VALUE"""),"2022-11-29T11:20:35Z")</f>
        <v>2022-11-29T11:20:35Z</v>
      </c>
      <c r="X3" s="16"/>
      <c r="Y3" s="16"/>
      <c r="Z3" s="16"/>
    </row>
    <row r="4">
      <c r="A4" s="16" t="str">
        <f>IFERROR(__xludf.DUMMYFUNCTION("""COMPUTED_VALUE"""),"5160850_1291199")</f>
        <v>5160850_1291199</v>
      </c>
      <c r="B4" s="16" t="str">
        <f>IFERROR(__xludf.DUMMYFUNCTION("""COMPUTED_VALUE"""),"Numanhan Duran")</f>
        <v>Numanhan Duran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IFERROR(__xludf.DUMMYFUNCTION("""COMPUTED_VALUE"""),"p_8c3ef23f43776a14a38072dc350d1d5ec734e016@inbound.aiesec.org")</f>
        <v>p_8c3ef23f43776a14a38072dc350d1d5ec734e016@inbound.aiesec.org</v>
      </c>
      <c r="F4" s="16">
        <f>IFERROR(__xludf.DUMMYFUNCTION("""COMPUTED_VALUE"""),1.713527951E9)</f>
        <v>1713527951</v>
      </c>
      <c r="G4" s="16" t="str">
        <f>IFERROR(__xludf.DUMMYFUNCTION("""COMPUTED_VALUE"""),"Turkey")</f>
        <v>Turkey</v>
      </c>
      <c r="H4" s="16" t="str">
        <f>IFERROR(__xludf.DUMMYFUNCTION("""COMPUTED_VALUE"""),"ISTANBUL")</f>
        <v>ISTANBUL</v>
      </c>
      <c r="I4" s="16" t="str">
        <f>IFERROR(__xludf.DUMMYFUNCTION("""COMPUTED_VALUE"""),"Germany")</f>
        <v>Germany</v>
      </c>
      <c r="J4" s="16" t="str">
        <f>IFERROR(__xludf.DUMMYFUNCTION("""COMPUTED_VALUE"""),"KOELN")</f>
        <v>KOELN</v>
      </c>
      <c r="K4" s="17" t="str">
        <f>IFERROR(__xludf.DUMMYFUNCTION("""COMPUTED_VALUE"""),"https://expa.aiesec.org/opportunities/1291199")</f>
        <v>https://expa.aiesec.org/opportunities/1291199</v>
      </c>
      <c r="L4" s="16" t="str">
        <f>IFERROR(__xludf.DUMMYFUNCTION("""COMPUTED_VALUE"""),"GTa")</f>
        <v>GTa</v>
      </c>
      <c r="M4" s="16" t="str">
        <f>IFERROR(__xludf.DUMMYFUNCTION("""COMPUTED_VALUE"""),"long")</f>
        <v>long</v>
      </c>
      <c r="N4" s="18">
        <f>IFERROR(__xludf.DUMMYFUNCTION("""COMPUTED_VALUE"""),44895.0)</f>
        <v>44895</v>
      </c>
      <c r="O4" s="18">
        <f>IFERROR(__xludf.DUMMYFUNCTION("""COMPUTED_VALUE"""),44927.0)</f>
        <v>44927</v>
      </c>
      <c r="P4" s="18">
        <f>IFERROR(__xludf.DUMMYFUNCTION("""COMPUTED_VALUE"""),45291.0)</f>
        <v>45291</v>
      </c>
      <c r="Q4" s="18"/>
      <c r="R4" s="18"/>
      <c r="S4" s="16"/>
      <c r="T4" s="16" t="str">
        <f>IFERROR(__xludf.DUMMYFUNCTION("""COMPUTED_VALUE"""),"Information Technology")</f>
        <v>Information Technology</v>
      </c>
      <c r="U4" s="16" t="str">
        <f>IFERROR(__xludf.DUMMYFUNCTION("""COMPUTED_VALUE"""),"Business Analyst")</f>
        <v>Business Analyst</v>
      </c>
      <c r="V4" s="16" t="str">
        <f>IFERROR(__xludf.DUMMYFUNCTION("""COMPUTED_VALUE"""),"ISTANBUL - BEYOGLU")</f>
        <v>ISTANBUL - BEYOGLU</v>
      </c>
      <c r="W4" s="16" t="str">
        <f>IFERROR(__xludf.DUMMYFUNCTION("""COMPUTED_VALUE"""),"2022-11-30T09:59:50Z")</f>
        <v>2022-11-30T09:59:50Z</v>
      </c>
      <c r="X4" s="16"/>
      <c r="Y4" s="16"/>
      <c r="Z4" s="16"/>
    </row>
    <row r="5">
      <c r="A5" s="16" t="str">
        <f>IFERROR(__xludf.DUMMYFUNCTION("""COMPUTED_VALUE"""),"4613280_1290648")</f>
        <v>4613280_1290648</v>
      </c>
      <c r="B5" s="16" t="str">
        <f>IFERROR(__xludf.DUMMYFUNCTION("""COMPUTED_VALUE"""),"Rukiye Hanilçe")</f>
        <v>Rukiye Hanilçe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IFERROR(__xludf.DUMMYFUNCTION("""COMPUTED_VALUE"""),"p_8c07115e52b9d4595d8d59f08dbcfeb34d4775b1@inbound.aiesec.org")</f>
        <v>p_8c07115e52b9d4595d8d59f08dbcfeb34d4775b1@inbound.aiesec.org</v>
      </c>
      <c r="F5" s="16"/>
      <c r="G5" s="16" t="str">
        <f>IFERROR(__xludf.DUMMYFUNCTION("""COMPUTED_VALUE"""),"Turkey")</f>
        <v>Turkey</v>
      </c>
      <c r="H5" s="16" t="str">
        <f>IFERROR(__xludf.DUMMYFUNCTION("""COMPUTED_VALUE"""),"ISTANBUL ASIA")</f>
        <v>ISTANBUL ASIA</v>
      </c>
      <c r="I5" s="16" t="str">
        <f>IFERROR(__xludf.DUMMYFUNCTION("""COMPUTED_VALUE"""),"Egypt")</f>
        <v>Egypt</v>
      </c>
      <c r="J5" s="16" t="str">
        <f>IFERROR(__xludf.DUMMYFUNCTION("""COMPUTED_VALUE"""),"Helwan")</f>
        <v>Helwan</v>
      </c>
      <c r="K5" s="17" t="str">
        <f>IFERROR(__xludf.DUMMYFUNCTION("""COMPUTED_VALUE"""),"https://expa.aiesec.org/opportunities/1290648")</f>
        <v>https://expa.aiesec.org/opportunities/1290648</v>
      </c>
      <c r="L5" s="16" t="str">
        <f>IFERROR(__xludf.DUMMYFUNCTION("""COMPUTED_VALUE"""),"GTe")</f>
        <v>GTe</v>
      </c>
      <c r="M5" s="16" t="str">
        <f>IFERROR(__xludf.DUMMYFUNCTION("""COMPUTED_VALUE"""),"short")</f>
        <v>short</v>
      </c>
      <c r="N5" s="18">
        <f>IFERROR(__xludf.DUMMYFUNCTION("""COMPUTED_VALUE"""),44895.0)</f>
        <v>44895</v>
      </c>
      <c r="O5" s="18">
        <f>IFERROR(__xludf.DUMMYFUNCTION("""COMPUTED_VALUE"""),45118.0)</f>
        <v>45118</v>
      </c>
      <c r="P5" s="18">
        <f>IFERROR(__xludf.DUMMYFUNCTION("""COMPUTED_VALUE"""),45181.0)</f>
        <v>45181</v>
      </c>
      <c r="Q5" s="18"/>
      <c r="R5" s="18"/>
      <c r="S5" s="16"/>
      <c r="T5" s="16"/>
      <c r="U5" s="16" t="str">
        <f>IFERROR(__xludf.DUMMYFUNCTION("""COMPUTED_VALUE"""),"English Teacher")</f>
        <v>English Teacher</v>
      </c>
      <c r="V5" s="16" t="str">
        <f>IFERROR(__xludf.DUMMYFUNCTION("""COMPUTED_VALUE"""),"ISTANBUL ASIA")</f>
        <v>ISTANBUL ASIA</v>
      </c>
      <c r="W5" s="16" t="str">
        <f>IFERROR(__xludf.DUMMYFUNCTION("""COMPUTED_VALUE"""),"2021-04-11T19:07:44Z")</f>
        <v>2021-04-11T19:07:44Z</v>
      </c>
      <c r="X5" s="16"/>
      <c r="Y5" s="16"/>
      <c r="Z5" s="16"/>
    </row>
    <row r="6">
      <c r="A6" s="16" t="str">
        <f>IFERROR(__xludf.DUMMYFUNCTION("""COMPUTED_VALUE"""),"5170091_1287487")</f>
        <v>5170091_1287487</v>
      </c>
      <c r="B6" s="16" t="str">
        <f>IFERROR(__xludf.DUMMYFUNCTION("""COMPUTED_VALUE"""),"Bushra Gurer")</f>
        <v>Bushra Gurer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IFERROR(__xludf.DUMMYFUNCTION("""COMPUTED_VALUE"""),"p_62dafe648144c219273b4350aafeeb2bd1db1e49@inbound.aiesec.org")</f>
        <v>p_62dafe648144c219273b4350aafeeb2bd1db1e49@inbound.aiesec.org</v>
      </c>
      <c r="F6" s="16">
        <f>IFERROR(__xludf.DUMMYFUNCTION("""COMPUTED_VALUE"""),5.535706835E9)</f>
        <v>5535706835</v>
      </c>
      <c r="G6" s="16" t="str">
        <f>IFERROR(__xludf.DUMMYFUNCTION("""COMPUTED_VALUE"""),"Turkey")</f>
        <v>Turkey</v>
      </c>
      <c r="H6" s="16" t="str">
        <f>IFERROR(__xludf.DUMMYFUNCTION("""COMPUTED_VALUE"""),"BURSA")</f>
        <v>BURSA</v>
      </c>
      <c r="I6" s="16" t="str">
        <f>IFERROR(__xludf.DUMMYFUNCTION("""COMPUTED_VALUE"""),"Cambodia")</f>
        <v>Cambodia</v>
      </c>
      <c r="J6" s="16" t="str">
        <f>IFERROR(__xludf.DUMMYFUNCTION("""COMPUTED_VALUE"""),"IFL")</f>
        <v>IFL</v>
      </c>
      <c r="K6" s="17" t="str">
        <f>IFERROR(__xludf.DUMMYFUNCTION("""COMPUTED_VALUE"""),"https://expa.aiesec.org/opportunities/1287487")</f>
        <v>https://expa.aiesec.org/opportunities/1287487</v>
      </c>
      <c r="L6" s="16" t="str">
        <f>IFERROR(__xludf.DUMMYFUNCTION("""COMPUTED_VALUE"""),"GTe")</f>
        <v>GTe</v>
      </c>
      <c r="M6" s="16" t="str">
        <f>IFERROR(__xludf.DUMMYFUNCTION("""COMPUTED_VALUE"""),"medium")</f>
        <v>medium</v>
      </c>
      <c r="N6" s="18">
        <f>IFERROR(__xludf.DUMMYFUNCTION("""COMPUTED_VALUE"""),44923.0)</f>
        <v>44923</v>
      </c>
      <c r="O6" s="18">
        <f>IFERROR(__xludf.DUMMYFUNCTION("""COMPUTED_VALUE"""),44971.0)</f>
        <v>44971</v>
      </c>
      <c r="P6" s="18">
        <f>IFERROR(__xludf.DUMMYFUNCTION("""COMPUTED_VALUE"""),45062.0)</f>
        <v>45062</v>
      </c>
      <c r="Q6" s="18"/>
      <c r="R6" s="18"/>
      <c r="S6" s="16"/>
      <c r="T6" s="16"/>
      <c r="U6" s="16" t="str">
        <f>IFERROR(__xludf.DUMMYFUNCTION("""COMPUTED_VALUE"""),"English Teacher at BECS")</f>
        <v>English Teacher at BECS</v>
      </c>
      <c r="V6" s="16" t="str">
        <f>IFERROR(__xludf.DUMMYFUNCTION("""COMPUTED_VALUE"""),"BURSA")</f>
        <v>BURSA</v>
      </c>
      <c r="W6" s="16" t="str">
        <f>IFERROR(__xludf.DUMMYFUNCTION("""COMPUTED_VALUE"""),"2022-12-25T11:37:20Z")</f>
        <v>2022-12-25T11:37:20Z</v>
      </c>
      <c r="X6" s="16"/>
      <c r="Y6" s="16"/>
      <c r="Z6" s="16"/>
    </row>
    <row r="7">
      <c r="A7" s="16" t="str">
        <f>IFERROR(__xludf.DUMMYFUNCTION("""COMPUTED_VALUE"""),"5173665_1278558")</f>
        <v>5173665_1278558</v>
      </c>
      <c r="B7" s="16" t="str">
        <f>IFERROR(__xludf.DUMMYFUNCTION("""COMPUTED_VALUE"""),"Kaoutar Bouziani Idrissi")</f>
        <v>Kaoutar Bouziani Idrissi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IFERROR(__xludf.DUMMYFUNCTION("""COMPUTED_VALUE"""),"p_cb0c20565947f882f8c72e4607f5d49c737579b5@inbound.aiesec.org")</f>
        <v>p_cb0c20565947f882f8c72e4607f5d49c737579b5@inbound.aiesec.org</v>
      </c>
      <c r="F7" s="16"/>
      <c r="G7" s="16" t="str">
        <f>IFERROR(__xludf.DUMMYFUNCTION("""COMPUTED_VALUE"""),"Turkey")</f>
        <v>Turkey</v>
      </c>
      <c r="H7" s="16" t="str">
        <f>IFERROR(__xludf.DUMMYFUNCTION("""COMPUTED_VALUE"""),"ANKARA")</f>
        <v>ANKARA</v>
      </c>
      <c r="I7" s="16" t="str">
        <f>IFERROR(__xludf.DUMMYFUNCTION("""COMPUTED_VALUE"""),"Hungary")</f>
        <v>Hungary</v>
      </c>
      <c r="J7" s="16" t="str">
        <f>IFERROR(__xludf.DUMMYFUNCTION("""COMPUTED_VALUE"""),"Budapest Business School - KÜLKER")</f>
        <v>Budapest Business School - KÜLKER</v>
      </c>
      <c r="K7" s="17" t="str">
        <f>IFERROR(__xludf.DUMMYFUNCTION("""COMPUTED_VALUE"""),"https://expa.aiesec.org/opportunities/1278558")</f>
        <v>https://expa.aiesec.org/opportunities/1278558</v>
      </c>
      <c r="L7" s="16" t="str">
        <f>IFERROR(__xludf.DUMMYFUNCTION("""COMPUTED_VALUE"""),"GTa")</f>
        <v>GTa</v>
      </c>
      <c r="M7" s="16" t="str">
        <f>IFERROR(__xludf.DUMMYFUNCTION("""COMPUTED_VALUE"""),"long")</f>
        <v>long</v>
      </c>
      <c r="N7" s="18">
        <f>IFERROR(__xludf.DUMMYFUNCTION("""COMPUTED_VALUE"""),44939.0)</f>
        <v>44939</v>
      </c>
      <c r="O7" s="18">
        <f>IFERROR(__xludf.DUMMYFUNCTION("""COMPUTED_VALUE"""),45006.0)</f>
        <v>45006</v>
      </c>
      <c r="P7" s="18">
        <f>IFERROR(__xludf.DUMMYFUNCTION("""COMPUTED_VALUE"""),45281.0)</f>
        <v>45281</v>
      </c>
      <c r="Q7" s="18"/>
      <c r="R7" s="18"/>
      <c r="S7" s="16"/>
      <c r="T7" s="16" t="str">
        <f>IFERROR(__xludf.DUMMYFUNCTION("""COMPUTED_VALUE"""),"Business Administration")</f>
        <v>Business Administration</v>
      </c>
      <c r="U7" s="16" t="str">
        <f>IFERROR(__xludf.DUMMYFUNCTION("""COMPUTED_VALUE""")," French Speaking Service Desk Analyst")</f>
        <v> French Speaking Service Desk Analyst</v>
      </c>
      <c r="V7" s="16" t="str">
        <f>IFERROR(__xludf.DUMMYFUNCTION("""COMPUTED_VALUE"""),"-")</f>
        <v>-</v>
      </c>
      <c r="W7" s="16" t="str">
        <f>IFERROR(__xludf.DUMMYFUNCTION("""COMPUTED_VALUE"""),"2023-01-06T11:19:32Z")</f>
        <v>2023-01-06T11:19:32Z</v>
      </c>
      <c r="X7" s="16"/>
      <c r="Y7" s="16"/>
      <c r="Z7" s="16"/>
    </row>
    <row r="8">
      <c r="A8" s="16" t="str">
        <f>IFERROR(__xludf.DUMMYFUNCTION("""COMPUTED_VALUE"""),"5181192_1289446")</f>
        <v>5181192_1289446</v>
      </c>
      <c r="B8" s="16" t="str">
        <f>IFERROR(__xludf.DUMMYFUNCTION("""COMPUTED_VALUE"""),"sena nur çobann")</f>
        <v>sena nur çobann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IFERROR(__xludf.DUMMYFUNCTION("""COMPUTED_VALUE"""),"p_36be78d5b48378409bf45419739112b1df57f01c@inbound.aiesec.org")</f>
        <v>p_36be78d5b48378409bf45419739112b1df57f01c@inbound.aiesec.org</v>
      </c>
      <c r="F8" s="16">
        <f>IFERROR(__xludf.DUMMYFUNCTION("""COMPUTED_VALUE"""),4.38271947298E11)</f>
        <v>438271947298</v>
      </c>
      <c r="G8" s="16" t="str">
        <f>IFERROR(__xludf.DUMMYFUNCTION("""COMPUTED_VALUE"""),"Turkey")</f>
        <v>Turkey</v>
      </c>
      <c r="H8" s="16" t="str">
        <f>IFERROR(__xludf.DUMMYFUNCTION("""COMPUTED_VALUE"""),"ADANA")</f>
        <v>ADANA</v>
      </c>
      <c r="I8" s="16" t="str">
        <f>IFERROR(__xludf.DUMMYFUNCTION("""COMPUTED_VALUE"""),"Egypt")</f>
        <v>Egypt</v>
      </c>
      <c r="J8" s="16" t="str">
        <f>IFERROR(__xludf.DUMMYFUNCTION("""COMPUTED_VALUE"""),"Suez")</f>
        <v>Suez</v>
      </c>
      <c r="K8" s="17" t="str">
        <f>IFERROR(__xludf.DUMMYFUNCTION("""COMPUTED_VALUE"""),"https://expa.aiesec.org/opportunities/1289446")</f>
        <v>https://expa.aiesec.org/opportunities/1289446</v>
      </c>
      <c r="L8" s="16" t="str">
        <f>IFERROR(__xludf.DUMMYFUNCTION("""COMPUTED_VALUE"""),"GTe")</f>
        <v>GTe</v>
      </c>
      <c r="M8" s="16" t="str">
        <f>IFERROR(__xludf.DUMMYFUNCTION("""COMPUTED_VALUE"""),"short")</f>
        <v>short</v>
      </c>
      <c r="N8" s="18">
        <f>IFERROR(__xludf.DUMMYFUNCTION("""COMPUTED_VALUE"""),44954.0)</f>
        <v>44954</v>
      </c>
      <c r="O8" s="18">
        <f>IFERROR(__xludf.DUMMYFUNCTION("""COMPUTED_VALUE"""),45103.0)</f>
        <v>45103</v>
      </c>
      <c r="P8" s="18">
        <f>IFERROR(__xludf.DUMMYFUNCTION("""COMPUTED_VALUE"""),45186.0)</f>
        <v>45186</v>
      </c>
      <c r="Q8" s="18"/>
      <c r="R8" s="18"/>
      <c r="S8" s="16"/>
      <c r="T8" s="16"/>
      <c r="U8" s="16" t="str">
        <f>IFERROR(__xludf.DUMMYFUNCTION("""COMPUTED_VALUE"""),"English Teacher")</f>
        <v>English Teacher</v>
      </c>
      <c r="V8" s="16" t="str">
        <f>IFERROR(__xludf.DUMMYFUNCTION("""COMPUTED_VALUE"""),"ADANA")</f>
        <v>ADANA</v>
      </c>
      <c r="W8" s="16" t="str">
        <f>IFERROR(__xludf.DUMMYFUNCTION("""COMPUTED_VALUE"""),"2023-01-27T10:15:18Z")</f>
        <v>2023-01-27T10:15:18Z</v>
      </c>
      <c r="X8" s="16"/>
      <c r="Y8" s="16"/>
      <c r="Z8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</hyperlinks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&gt;=date'2021-02-01' and N &lt;date'2023-02-01' and C = 'approved' and I = 'Turkey' and ( L = 'GTa' or L = 'GTe' ) and O &lt;=date'2023-07-15' 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IFERROR(__xludf.DUMMYFUNCTION("""COMPUTED_VALUE"""),"1897427_1284289")</f>
        <v>1897427_1284289</v>
      </c>
      <c r="B2" s="16" t="str">
        <f>IFERROR(__xludf.DUMMYFUNCTION("""COMPUTED_VALUE"""),"Ewurafua Biney")</f>
        <v>Ewurafua Biney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IFERROR(__xludf.DUMMYFUNCTION("""COMPUTED_VALUE"""),"p_b8bee7cf36eb1e84520b3c8b8303c9abf62ed0f5@inbound.aiesec.org")</f>
        <v>p_b8bee7cf36eb1e84520b3c8b8303c9abf62ed0f5@inbound.aiesec.org</v>
      </c>
      <c r="F2" s="16">
        <f>IFERROR(__xludf.DUMMYFUNCTION("""COMPUTED_VALUE"""),2.76033865E8)</f>
        <v>276033865</v>
      </c>
      <c r="G2" s="16" t="str">
        <f>IFERROR(__xludf.DUMMYFUNCTION("""COMPUTED_VALUE"""),"Ghana")</f>
        <v>Ghana</v>
      </c>
      <c r="H2" s="16" t="str">
        <f>IFERROR(__xludf.DUMMYFUNCTION("""COMPUTED_VALUE"""),"Member Committee Ghana")</f>
        <v>Member Committee Ghana</v>
      </c>
      <c r="I2" s="16" t="str">
        <f>IFERROR(__xludf.DUMMYFUNCTION("""COMPUTED_VALUE"""),"Turkey")</f>
        <v>Turkey</v>
      </c>
      <c r="J2" s="16" t="str">
        <f>IFERROR(__xludf.DUMMYFUNCTION("""COMPUTED_VALUE"""),"KOCAELI")</f>
        <v>KOCAELI</v>
      </c>
      <c r="K2" s="17" t="str">
        <f>IFERROR(__xludf.DUMMYFUNCTION("""COMPUTED_VALUE"""),"https://expa.aiesec.org/opportunities/1284289")</f>
        <v>https://expa.aiesec.org/opportunities/1284289</v>
      </c>
      <c r="L2" s="16" t="str">
        <f>IFERROR(__xludf.DUMMYFUNCTION("""COMPUTED_VALUE"""),"GTe")</f>
        <v>GTe</v>
      </c>
      <c r="M2" s="16" t="str">
        <f>IFERROR(__xludf.DUMMYFUNCTION("""COMPUTED_VALUE"""),"long")</f>
        <v>long</v>
      </c>
      <c r="N2" s="18">
        <f>IFERROR(__xludf.DUMMYFUNCTION("""COMPUTED_VALUE"""),44770.0)</f>
        <v>44770</v>
      </c>
      <c r="O2" s="18">
        <f>IFERROR(__xludf.DUMMYFUNCTION("""COMPUTED_VALUE"""),44805.0)</f>
        <v>44805</v>
      </c>
      <c r="P2" s="18">
        <f>IFERROR(__xludf.DUMMYFUNCTION("""COMPUTED_VALUE"""),45107.0)</f>
        <v>45107</v>
      </c>
      <c r="Q2" s="18"/>
      <c r="R2" s="18"/>
      <c r="S2" s="16"/>
      <c r="T2" s="16"/>
      <c r="U2" s="16" t="str">
        <f>IFERROR(__xludf.DUMMYFUNCTION("""COMPUTED_VALUE"""),"English Teacher in Limon Ağacı Kindergarten")</f>
        <v>English Teacher in Limon Ağacı Kindergarten</v>
      </c>
      <c r="V2" s="16" t="str">
        <f>IFERROR(__xludf.DUMMYFUNCTION("""COMPUTED_VALUE"""),"-")</f>
        <v>-</v>
      </c>
      <c r="W2" s="16" t="str">
        <f>IFERROR(__xludf.DUMMYFUNCTION("""COMPUTED_VALUE"""),"2017-11-27T22:01:20Z")</f>
        <v>2017-11-27T22:01:20Z</v>
      </c>
      <c r="X2" s="16"/>
      <c r="Y2" s="16"/>
      <c r="Z2" s="16"/>
    </row>
    <row r="3">
      <c r="A3" s="16" t="str">
        <f>IFERROR(__xludf.DUMMYFUNCTION("""COMPUTED_VALUE"""),"5098670_1289441")</f>
        <v>5098670_1289441</v>
      </c>
      <c r="B3" s="16" t="str">
        <f>IFERROR(__xludf.DUMMYFUNCTION("""COMPUTED_VALUE"""),"Dariia Pulyk")</f>
        <v>Dariia Pulyk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IFERROR(__xludf.DUMMYFUNCTION("""COMPUTED_VALUE"""),"p_dca41fff5ca6457807e58103de3c8590bb1ba167@inbound.aiesec.org")</f>
        <v>p_dca41fff5ca6457807e58103de3c8590bb1ba167@inbound.aiesec.org</v>
      </c>
      <c r="F3" s="16">
        <f>IFERROR(__xludf.DUMMYFUNCTION("""COMPUTED_VALUE"""),9.89920553E8)</f>
        <v>989920553</v>
      </c>
      <c r="G3" s="16" t="str">
        <f>IFERROR(__xludf.DUMMYFUNCTION("""COMPUTED_VALUE"""),"Ukraine")</f>
        <v>Ukraine</v>
      </c>
      <c r="H3" s="16" t="str">
        <f>IFERROR(__xludf.DUMMYFUNCTION("""COMPUTED_VALUE"""),"CHERNIVTSI")</f>
        <v>CHERNIVTSI</v>
      </c>
      <c r="I3" s="16" t="str">
        <f>IFERROR(__xludf.DUMMYFUNCTION("""COMPUTED_VALUE"""),"Turkey")</f>
        <v>Turkey</v>
      </c>
      <c r="J3" s="16" t="str">
        <f>IFERROR(__xludf.DUMMYFUNCTION("""COMPUTED_VALUE"""),"İZMİR")</f>
        <v>İZMİR</v>
      </c>
      <c r="K3" s="17" t="str">
        <f>IFERROR(__xludf.DUMMYFUNCTION("""COMPUTED_VALUE"""),"https://expa.aiesec.org/opportunities/1289441")</f>
        <v>https://expa.aiesec.org/opportunities/1289441</v>
      </c>
      <c r="L3" s="16" t="str">
        <f>IFERROR(__xludf.DUMMYFUNCTION("""COMPUTED_VALUE"""),"GTa")</f>
        <v>GTa</v>
      </c>
      <c r="M3" s="16" t="str">
        <f>IFERROR(__xludf.DUMMYFUNCTION("""COMPUTED_VALUE"""),"short")</f>
        <v>short</v>
      </c>
      <c r="N3" s="18">
        <f>IFERROR(__xludf.DUMMYFUNCTION("""COMPUTED_VALUE"""),44823.0)</f>
        <v>44823</v>
      </c>
      <c r="O3" s="18">
        <f>IFERROR(__xludf.DUMMYFUNCTION("""COMPUTED_VALUE"""),44880.0)</f>
        <v>44880</v>
      </c>
      <c r="P3" s="18">
        <f>IFERROR(__xludf.DUMMYFUNCTION("""COMPUTED_VALUE"""),44941.0)</f>
        <v>44941</v>
      </c>
      <c r="Q3" s="18"/>
      <c r="R3" s="18"/>
      <c r="S3" s="16"/>
      <c r="T3" s="16" t="str">
        <f>IFERROR(__xludf.DUMMYFUNCTION("""COMPUTED_VALUE"""),"Marketing")</f>
        <v>Marketing</v>
      </c>
      <c r="U3" s="16" t="str">
        <f>IFERROR(__xludf.DUMMYFUNCTION("""COMPUTED_VALUE"""),"International Market Expansion in Izmir (Russian/Ukrainian Speaker)")</f>
        <v>International Market Expansion in Izmir (Russian/Ukrainian Speaker)</v>
      </c>
      <c r="V3" s="16" t="str">
        <f>IFERROR(__xludf.DUMMYFUNCTION("""COMPUTED_VALUE"""),"Chernivtsi")</f>
        <v>Chernivtsi</v>
      </c>
      <c r="W3" s="16" t="str">
        <f>IFERROR(__xludf.DUMMYFUNCTION("""COMPUTED_VALUE"""),"2022-08-24T13:47:16Z")</f>
        <v>2022-08-24T13:47:16Z</v>
      </c>
      <c r="X3" s="16"/>
      <c r="Y3" s="16"/>
      <c r="Z3" s="16"/>
    </row>
    <row r="4">
      <c r="A4" s="16" t="str">
        <f>IFERROR(__xludf.DUMMYFUNCTION("""COMPUTED_VALUE"""),"4081388_1289803")</f>
        <v>4081388_1289803</v>
      </c>
      <c r="B4" s="16" t="str">
        <f>IFERROR(__xludf.DUMMYFUNCTION("""COMPUTED_VALUE"""),"Yafa Natour")</f>
        <v>Yafa Natour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IFERROR(__xludf.DUMMYFUNCTION("""COMPUTED_VALUE"""),"p_fca74f15b3bb04e40483b0ef52ffc6d5bd176112@inbound.aiesec.org")</f>
        <v>p_fca74f15b3bb04e40483b0ef52ffc6d5bd176112@inbound.aiesec.org</v>
      </c>
      <c r="F4" s="16">
        <f>IFERROR(__xludf.DUMMYFUNCTION("""COMPUTED_VALUE"""),7.97431792E8)</f>
        <v>797431792</v>
      </c>
      <c r="G4" s="16" t="str">
        <f>IFERROR(__xludf.DUMMYFUNCTION("""COMPUTED_VALUE"""),"Jordan")</f>
        <v>Jordan</v>
      </c>
      <c r="H4" s="16" t="str">
        <f>IFERROR(__xludf.DUMMYFUNCTION("""COMPUTED_VALUE"""),"AMMAN")</f>
        <v>AMMAN</v>
      </c>
      <c r="I4" s="16" t="str">
        <f>IFERROR(__xludf.DUMMYFUNCTION("""COMPUTED_VALUE"""),"Turkey")</f>
        <v>Turkey</v>
      </c>
      <c r="J4" s="16" t="str">
        <f>IFERROR(__xludf.DUMMYFUNCTION("""COMPUTED_VALUE"""),"ANKARA")</f>
        <v>ANKARA</v>
      </c>
      <c r="K4" s="17" t="str">
        <f>IFERROR(__xludf.DUMMYFUNCTION("""COMPUTED_VALUE"""),"https://expa.aiesec.org/opportunities/1289803")</f>
        <v>https://expa.aiesec.org/opportunities/1289803</v>
      </c>
      <c r="L4" s="16" t="str">
        <f>IFERROR(__xludf.DUMMYFUNCTION("""COMPUTED_VALUE"""),"GTa")</f>
        <v>GTa</v>
      </c>
      <c r="M4" s="16" t="str">
        <f>IFERROR(__xludf.DUMMYFUNCTION("""COMPUTED_VALUE"""),"medium")</f>
        <v>medium</v>
      </c>
      <c r="N4" s="18">
        <f>IFERROR(__xludf.DUMMYFUNCTION("""COMPUTED_VALUE"""),44837.0)</f>
        <v>44837</v>
      </c>
      <c r="O4" s="18">
        <f>IFERROR(__xludf.DUMMYFUNCTION("""COMPUTED_VALUE"""),44845.0)</f>
        <v>44845</v>
      </c>
      <c r="P4" s="18">
        <f>IFERROR(__xludf.DUMMYFUNCTION("""COMPUTED_VALUE"""),44957.0)</f>
        <v>44957</v>
      </c>
      <c r="Q4" s="18"/>
      <c r="R4" s="18"/>
      <c r="S4" s="16"/>
      <c r="T4" s="16" t="str">
        <f>IFERROR(__xludf.DUMMYFUNCTION("""COMPUTED_VALUE"""),"Business Administration")</f>
        <v>Business Administration</v>
      </c>
      <c r="U4" s="16" t="str">
        <f>IFERROR(__xludf.DUMMYFUNCTION("""COMPUTED_VALUE"""),"Export Manager")</f>
        <v>Export Manager</v>
      </c>
      <c r="V4" s="16" t="str">
        <f>IFERROR(__xludf.DUMMYFUNCTION("""COMPUTED_VALUE"""),"University of Jordan")</f>
        <v>University of Jordan</v>
      </c>
      <c r="W4" s="16" t="str">
        <f>IFERROR(__xludf.DUMMYFUNCTION("""COMPUTED_VALUE"""),"2019-12-08T15:56:36Z")</f>
        <v>2019-12-08T15:56:36Z</v>
      </c>
      <c r="X4" s="16"/>
      <c r="Y4" s="16"/>
      <c r="Z4" s="16"/>
    </row>
    <row r="5">
      <c r="A5" s="16" t="str">
        <f>IFERROR(__xludf.DUMMYFUNCTION("""COMPUTED_VALUE"""),"2988809_1279327")</f>
        <v>2988809_1279327</v>
      </c>
      <c r="B5" s="16" t="str">
        <f>IFERROR(__xludf.DUMMYFUNCTION("""COMPUTED_VALUE"""),"sofia ghellam")</f>
        <v>sofia ghellam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IFERROR(__xludf.DUMMYFUNCTION("""COMPUTED_VALUE"""),"p_bd1b5eb36885dfec711f987cc816adef677fdc6c@inbound.aiesec.org")</f>
        <v>p_bd1b5eb36885dfec711f987cc816adef677fdc6c@inbound.aiesec.org</v>
      </c>
      <c r="F5" s="16">
        <f>IFERROR(__xludf.DUMMYFUNCTION("""COMPUTED_VALUE"""),7.90946665E8)</f>
        <v>790946665</v>
      </c>
      <c r="G5" s="16" t="str">
        <f>IFERROR(__xludf.DUMMYFUNCTION("""COMPUTED_VALUE"""),"Algeria")</f>
        <v>Algeria</v>
      </c>
      <c r="H5" s="16" t="str">
        <f>IFERROR(__xludf.DUMMYFUNCTION("""COMPUTED_VALUE"""),"Constantine")</f>
        <v>Constantine</v>
      </c>
      <c r="I5" s="16" t="str">
        <f>IFERROR(__xludf.DUMMYFUNCTION("""COMPUTED_VALUE"""),"Turkey")</f>
        <v>Turkey</v>
      </c>
      <c r="J5" s="16" t="str">
        <f>IFERROR(__xludf.DUMMYFUNCTION("""COMPUTED_VALUE"""),"KOCAELI")</f>
        <v>KOCAELI</v>
      </c>
      <c r="K5" s="17" t="str">
        <f>IFERROR(__xludf.DUMMYFUNCTION("""COMPUTED_VALUE"""),"https://expa.aiesec.org/opportunities/1279327")</f>
        <v>https://expa.aiesec.org/opportunities/1279327</v>
      </c>
      <c r="L5" s="16" t="str">
        <f>IFERROR(__xludf.DUMMYFUNCTION("""COMPUTED_VALUE"""),"GTe")</f>
        <v>GTe</v>
      </c>
      <c r="M5" s="16" t="str">
        <f>IFERROR(__xludf.DUMMYFUNCTION("""COMPUTED_VALUE"""),"long")</f>
        <v>long</v>
      </c>
      <c r="N5" s="18">
        <f>IFERROR(__xludf.DUMMYFUNCTION("""COMPUTED_VALUE"""),44840.0)</f>
        <v>44840</v>
      </c>
      <c r="O5" s="18">
        <f>IFERROR(__xludf.DUMMYFUNCTION("""COMPUTED_VALUE"""),44854.0)</f>
        <v>44854</v>
      </c>
      <c r="P5" s="18">
        <f>IFERROR(__xludf.DUMMYFUNCTION("""COMPUTED_VALUE"""),45107.0)</f>
        <v>45107</v>
      </c>
      <c r="Q5" s="18"/>
      <c r="R5" s="18"/>
      <c r="S5" s="16"/>
      <c r="T5" s="16"/>
      <c r="U5" s="16" t="str">
        <f>IFERROR(__xludf.DUMMYFUNCTION("""COMPUTED_VALUE"""),"English Teacher in DİLKO")</f>
        <v>English Teacher in DİLKO</v>
      </c>
      <c r="V5" s="16" t="str">
        <f>IFERROR(__xludf.DUMMYFUNCTION("""COMPUTED_VALUE"""),"AIESEC in Babez")</f>
        <v>AIESEC in Babez</v>
      </c>
      <c r="W5" s="16" t="str">
        <f>IFERROR(__xludf.DUMMYFUNCTION("""COMPUTED_VALUE"""),"2018-12-19T19:57:26Z")</f>
        <v>2018-12-19T19:57:26Z</v>
      </c>
      <c r="X5" s="16"/>
      <c r="Y5" s="16"/>
      <c r="Z5" s="16"/>
    </row>
    <row r="6">
      <c r="A6" s="16" t="str">
        <f>IFERROR(__xludf.DUMMYFUNCTION("""COMPUTED_VALUE"""),"4368449_1286821")</f>
        <v>4368449_1286821</v>
      </c>
      <c r="B6" s="16" t="str">
        <f>IFERROR(__xludf.DUMMYFUNCTION("""COMPUTED_VALUE"""),"Zahra'a Selmy")</f>
        <v>Zahra'a Selmy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IFERROR(__xludf.DUMMYFUNCTION("""COMPUTED_VALUE"""),"p_bf83c50d44251386659ceb81623e81df2ca3cf7b@inbound.aiesec.org")</f>
        <v>p_bf83c50d44251386659ceb81623e81df2ca3cf7b@inbound.aiesec.org</v>
      </c>
      <c r="F6" s="16"/>
      <c r="G6" s="16" t="str">
        <f>IFERROR(__xludf.DUMMYFUNCTION("""COMPUTED_VALUE"""),"Tunisia")</f>
        <v>Tunisia</v>
      </c>
      <c r="H6" s="16" t="str">
        <f>IFERROR(__xludf.DUMMYFUNCTION("""COMPUTED_VALUE"""),"UNIVERSITY")</f>
        <v>UNIVERSITY</v>
      </c>
      <c r="I6" s="16" t="str">
        <f>IFERROR(__xludf.DUMMYFUNCTION("""COMPUTED_VALUE"""),"Turkey")</f>
        <v>Turkey</v>
      </c>
      <c r="J6" s="16" t="str">
        <f>IFERROR(__xludf.DUMMYFUNCTION("""COMPUTED_VALUE"""),"ISTANBUL ASIA")</f>
        <v>ISTANBUL ASIA</v>
      </c>
      <c r="K6" s="17" t="str">
        <f>IFERROR(__xludf.DUMMYFUNCTION("""COMPUTED_VALUE"""),"https://expa.aiesec.org/opportunities/1286821")</f>
        <v>https://expa.aiesec.org/opportunities/1286821</v>
      </c>
      <c r="L6" s="16" t="str">
        <f>IFERROR(__xludf.DUMMYFUNCTION("""COMPUTED_VALUE"""),"GTa")</f>
        <v>GTa</v>
      </c>
      <c r="M6" s="16" t="str">
        <f>IFERROR(__xludf.DUMMYFUNCTION("""COMPUTED_VALUE"""),"short")</f>
        <v>short</v>
      </c>
      <c r="N6" s="18">
        <f>IFERROR(__xludf.DUMMYFUNCTION("""COMPUTED_VALUE"""),44855.0)</f>
        <v>44855</v>
      </c>
      <c r="O6" s="18">
        <f>IFERROR(__xludf.DUMMYFUNCTION("""COMPUTED_VALUE"""),44928.0)</f>
        <v>44928</v>
      </c>
      <c r="P6" s="18">
        <f>IFERROR(__xludf.DUMMYFUNCTION("""COMPUTED_VALUE"""),45011.0)</f>
        <v>45011</v>
      </c>
      <c r="Q6" s="18"/>
      <c r="R6" s="18"/>
      <c r="S6" s="16"/>
      <c r="T6" s="16" t="str">
        <f>IFERROR(__xludf.DUMMYFUNCTION("""COMPUTED_VALUE"""),"Business Development")</f>
        <v>Business Development</v>
      </c>
      <c r="U6" s="16" t="str">
        <f>IFERROR(__xludf.DUMMYFUNCTION("""COMPUTED_VALUE"""),"International Relationship Director")</f>
        <v>International Relationship Director</v>
      </c>
      <c r="V6" s="16" t="str">
        <f>IFERROR(__xludf.DUMMYFUNCTION("""COMPUTED_VALUE"""),"-")</f>
        <v>-</v>
      </c>
      <c r="W6" s="16" t="str">
        <f>IFERROR(__xludf.DUMMYFUNCTION("""COMPUTED_VALUE"""),"2020-09-14T15:03:21Z")</f>
        <v>2020-09-14T15:03:21Z</v>
      </c>
      <c r="X6" s="16"/>
      <c r="Y6" s="16"/>
      <c r="Z6" s="16"/>
    </row>
    <row r="7">
      <c r="A7" s="16" t="str">
        <f>IFERROR(__xludf.DUMMYFUNCTION("""COMPUTED_VALUE"""),"3198991_1288838")</f>
        <v>3198991_1288838</v>
      </c>
      <c r="B7" s="16" t="str">
        <f>IFERROR(__xludf.DUMMYFUNCTION("""COMPUTED_VALUE"""),"Maimoun Zakarya")</f>
        <v>Maimoun Zakarya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IFERROR(__xludf.DUMMYFUNCTION("""COMPUTED_VALUE"""),"p_c12c555e1d27445f019c260ef1a3fa3825c391b1@inbound.aiesec.org")</f>
        <v>p_c12c555e1d27445f019c260ef1a3fa3825c391b1@inbound.aiesec.org</v>
      </c>
      <c r="F7" s="16">
        <f>IFERROR(__xludf.DUMMYFUNCTION("""COMPUTED_VALUE"""),5.57115707E8)</f>
        <v>557115707</v>
      </c>
      <c r="G7" s="16" t="str">
        <f>IFERROR(__xludf.DUMMYFUNCTION("""COMPUTED_VALUE"""),"Algeria")</f>
        <v>Algeria</v>
      </c>
      <c r="H7" s="16" t="str">
        <f>IFERROR(__xludf.DUMMYFUNCTION("""COMPUTED_VALUE"""),"Babez")</f>
        <v>Babez</v>
      </c>
      <c r="I7" s="16" t="str">
        <f>IFERROR(__xludf.DUMMYFUNCTION("""COMPUTED_VALUE"""),"Turkey")</f>
        <v>Turkey</v>
      </c>
      <c r="J7" s="16" t="str">
        <f>IFERROR(__xludf.DUMMYFUNCTION("""COMPUTED_VALUE"""),"İZMİR")</f>
        <v>İZMİR</v>
      </c>
      <c r="K7" s="17" t="str">
        <f>IFERROR(__xludf.DUMMYFUNCTION("""COMPUTED_VALUE"""),"https://expa.aiesec.org/opportunities/1288838")</f>
        <v>https://expa.aiesec.org/opportunities/1288838</v>
      </c>
      <c r="L7" s="16" t="str">
        <f>IFERROR(__xludf.DUMMYFUNCTION("""COMPUTED_VALUE"""),"GTe")</f>
        <v>GTe</v>
      </c>
      <c r="M7" s="16" t="str">
        <f>IFERROR(__xludf.DUMMYFUNCTION("""COMPUTED_VALUE"""),"long")</f>
        <v>long</v>
      </c>
      <c r="N7" s="18">
        <f>IFERROR(__xludf.DUMMYFUNCTION("""COMPUTED_VALUE"""),44866.0)</f>
        <v>44866</v>
      </c>
      <c r="O7" s="18">
        <f>IFERROR(__xludf.DUMMYFUNCTION("""COMPUTED_VALUE"""),44895.0)</f>
        <v>44895</v>
      </c>
      <c r="P7" s="18">
        <f>IFERROR(__xludf.DUMMYFUNCTION("""COMPUTED_VALUE"""),45137.0)</f>
        <v>45137</v>
      </c>
      <c r="Q7" s="18"/>
      <c r="R7" s="18"/>
      <c r="S7" s="16"/>
      <c r="T7" s="16"/>
      <c r="U7" s="16" t="str">
        <f>IFERROR(__xludf.DUMMYFUNCTION("""COMPUTED_VALUE"""),"English Teacher in İzmir")</f>
        <v>English Teacher in İzmir</v>
      </c>
      <c r="V7" s="16" t="str">
        <f>IFERROR(__xludf.DUMMYFUNCTION("""COMPUTED_VALUE"""),"-")</f>
        <v>-</v>
      </c>
      <c r="W7" s="16" t="str">
        <f>IFERROR(__xludf.DUMMYFUNCTION("""COMPUTED_VALUE"""),"2019-03-09T20:23:29Z")</f>
        <v>2019-03-09T20:23:29Z</v>
      </c>
      <c r="X7" s="16"/>
      <c r="Y7" s="16"/>
      <c r="Z7" s="16"/>
    </row>
    <row r="8">
      <c r="A8" s="16" t="str">
        <f>IFERROR(__xludf.DUMMYFUNCTION("""COMPUTED_VALUE"""),"5161077_1289686")</f>
        <v>5161077_1289686</v>
      </c>
      <c r="B8" s="16" t="str">
        <f>IFERROR(__xludf.DUMMYFUNCTION("""COMPUTED_VALUE"""),"ameni ben hannechi")</f>
        <v>ameni ben hannechi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IFERROR(__xludf.DUMMYFUNCTION("""COMPUTED_VALUE"""),"p_784ca450324555043b83ce2704109c3bf0d13738@inbound.aiesec.org")</f>
        <v>p_784ca450324555043b83ce2704109c3bf0d13738@inbound.aiesec.org</v>
      </c>
      <c r="F8" s="16">
        <f>IFERROR(__xludf.DUMMYFUNCTION("""COMPUTED_VALUE"""),2.1857177E7)</f>
        <v>21857177</v>
      </c>
      <c r="G8" s="16" t="str">
        <f>IFERROR(__xludf.DUMMYFUNCTION("""COMPUTED_VALUE"""),"Tunisia")</f>
        <v>Tunisia</v>
      </c>
      <c r="H8" s="16" t="str">
        <f>IFERROR(__xludf.DUMMYFUNCTION("""COMPUTED_VALUE"""),"MEDINA")</f>
        <v>MEDINA</v>
      </c>
      <c r="I8" s="16" t="str">
        <f>IFERROR(__xludf.DUMMYFUNCTION("""COMPUTED_VALUE"""),"Turkey")</f>
        <v>Turkey</v>
      </c>
      <c r="J8" s="16" t="str">
        <f>IFERROR(__xludf.DUMMYFUNCTION("""COMPUTED_VALUE"""),"SAKARYA")</f>
        <v>SAKARYA</v>
      </c>
      <c r="K8" s="17" t="str">
        <f>IFERROR(__xludf.DUMMYFUNCTION("""COMPUTED_VALUE"""),"https://expa.aiesec.org/opportunities/1289686")</f>
        <v>https://expa.aiesec.org/opportunities/1289686</v>
      </c>
      <c r="L8" s="16" t="str">
        <f>IFERROR(__xludf.DUMMYFUNCTION("""COMPUTED_VALUE"""),"GTe")</f>
        <v>GTe</v>
      </c>
      <c r="M8" s="16" t="str">
        <f>IFERROR(__xludf.DUMMYFUNCTION("""COMPUTED_VALUE"""),"long")</f>
        <v>long</v>
      </c>
      <c r="N8" s="18">
        <f>IFERROR(__xludf.DUMMYFUNCTION("""COMPUTED_VALUE"""),44895.0)</f>
        <v>44895</v>
      </c>
      <c r="O8" s="18">
        <f>IFERROR(__xludf.DUMMYFUNCTION("""COMPUTED_VALUE"""),44913.0)</f>
        <v>44913</v>
      </c>
      <c r="P8" s="18">
        <f>IFERROR(__xludf.DUMMYFUNCTION("""COMPUTED_VALUE"""),45169.0)</f>
        <v>45169</v>
      </c>
      <c r="Q8" s="18"/>
      <c r="R8" s="18"/>
      <c r="S8" s="16"/>
      <c r="T8" s="16"/>
      <c r="U8" s="16" t="str">
        <f>IFERROR(__xludf.DUMMYFUNCTION("""COMPUTED_VALUE"""),"English Language Teacher | American Culture")</f>
        <v>English Language Teacher | American Culture</v>
      </c>
      <c r="V8" s="16" t="str">
        <f>IFERROR(__xludf.DUMMYFUNCTION("""COMPUTED_VALUE"""),"FLAH")</f>
        <v>FLAH</v>
      </c>
      <c r="W8" s="16" t="str">
        <f>IFERROR(__xludf.DUMMYFUNCTION("""COMPUTED_VALUE"""),"2022-11-30T17:54:25Z")</f>
        <v>2022-11-30T17:54:25Z</v>
      </c>
      <c r="X8" s="16"/>
      <c r="Y8" s="16"/>
      <c r="Z8" s="16"/>
    </row>
    <row r="9">
      <c r="A9" s="16" t="str">
        <f>IFERROR(__xludf.DUMMYFUNCTION("""COMPUTED_VALUE"""),"5160661_1291229")</f>
        <v>5160661_1291229</v>
      </c>
      <c r="B9" s="16" t="str">
        <f>IFERROR(__xludf.DUMMYFUNCTION("""COMPUTED_VALUE"""),"Doaa Nosir")</f>
        <v>Doaa Nosir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IFERROR(__xludf.DUMMYFUNCTION("""COMPUTED_VALUE"""),"p_1d103a23b3f1c47cae9414260f0be8ed63a8ab5e@inbound.aiesec.org")</f>
        <v>p_1d103a23b3f1c47cae9414260f0be8ed63a8ab5e@inbound.aiesec.org</v>
      </c>
      <c r="F9" s="16">
        <f>IFERROR(__xludf.DUMMYFUNCTION("""COMPUTED_VALUE"""),1.0650511E9)</f>
        <v>1065051100</v>
      </c>
      <c r="G9" s="16" t="str">
        <f>IFERROR(__xludf.DUMMYFUNCTION("""COMPUTED_VALUE"""),"Egypt")</f>
        <v>Egypt</v>
      </c>
      <c r="H9" s="16" t="str">
        <f>IFERROR(__xludf.DUMMYFUNCTION("""COMPUTED_VALUE"""),"Cairo University")</f>
        <v>Cairo University</v>
      </c>
      <c r="I9" s="16" t="str">
        <f>IFERROR(__xludf.DUMMYFUNCTION("""COMPUTED_VALUE"""),"Turkey")</f>
        <v>Turkey</v>
      </c>
      <c r="J9" s="16" t="str">
        <f>IFERROR(__xludf.DUMMYFUNCTION("""COMPUTED_VALUE"""),"GAZIANTEP")</f>
        <v>GAZIANTEP</v>
      </c>
      <c r="K9" s="17" t="str">
        <f>IFERROR(__xludf.DUMMYFUNCTION("""COMPUTED_VALUE"""),"https://expa.aiesec.org/opportunities/1291229")</f>
        <v>https://expa.aiesec.org/opportunities/1291229</v>
      </c>
      <c r="L9" s="16" t="str">
        <f>IFERROR(__xludf.DUMMYFUNCTION("""COMPUTED_VALUE"""),"GTa")</f>
        <v>GTa</v>
      </c>
      <c r="M9" s="16" t="str">
        <f>IFERROR(__xludf.DUMMYFUNCTION("""COMPUTED_VALUE"""),"long")</f>
        <v>long</v>
      </c>
      <c r="N9" s="18">
        <f>IFERROR(__xludf.DUMMYFUNCTION("""COMPUTED_VALUE"""),44895.0)</f>
        <v>44895</v>
      </c>
      <c r="O9" s="18">
        <f>IFERROR(__xludf.DUMMYFUNCTION("""COMPUTED_VALUE"""),44958.0)</f>
        <v>44958</v>
      </c>
      <c r="P9" s="18">
        <f>IFERROR(__xludf.DUMMYFUNCTION("""COMPUTED_VALUE"""),45323.0)</f>
        <v>45323</v>
      </c>
      <c r="Q9" s="18"/>
      <c r="R9" s="18"/>
      <c r="S9" s="16"/>
      <c r="T9" s="16" t="str">
        <f>IFERROR(__xludf.DUMMYFUNCTION("""COMPUTED_VALUE"""),"Marketing")</f>
        <v>Marketing</v>
      </c>
      <c r="U9" s="16" t="str">
        <f>IFERROR(__xludf.DUMMYFUNCTION("""COMPUTED_VALUE"""),"DIGITAL MARKETING")</f>
        <v>DIGITAL MARKETING</v>
      </c>
      <c r="V9" s="16" t="str">
        <f>IFERROR(__xludf.DUMMYFUNCTION("""COMPUTED_VALUE"""),"Cairo Univeristy")</f>
        <v>Cairo Univeristy</v>
      </c>
      <c r="W9" s="16" t="str">
        <f>IFERROR(__xludf.DUMMYFUNCTION("""COMPUTED_VALUE"""),"2022-11-29T21:22:48Z")</f>
        <v>2022-11-29T21:22:48Z</v>
      </c>
      <c r="X9" s="16"/>
      <c r="Y9" s="16"/>
      <c r="Z9" s="16"/>
    </row>
    <row r="10">
      <c r="A10" s="16" t="str">
        <f>IFERROR(__xludf.DUMMYFUNCTION("""COMPUTED_VALUE"""),"5140493_1290669")</f>
        <v>5140493_1290669</v>
      </c>
      <c r="B10" s="16" t="str">
        <f>IFERROR(__xludf.DUMMYFUNCTION("""COMPUTED_VALUE"""),"soukaina koumani")</f>
        <v>soukaina koumani</v>
      </c>
      <c r="C10" s="16" t="str">
        <f>IFERROR(__xludf.DUMMYFUNCTION("""COMPUTED_VALUE"""),"approved")</f>
        <v>approved</v>
      </c>
      <c r="D10" s="16" t="str">
        <f>IFERROR(__xludf.DUMMYFUNCTION("""COMPUTED_VALUE"""),"No")</f>
        <v>No</v>
      </c>
      <c r="E10" s="16" t="str">
        <f>IFERROR(__xludf.DUMMYFUNCTION("""COMPUTED_VALUE"""),"p_7b8cdaafeffb565522a18a67c4c159e6d993344f@inbound.aiesec.org")</f>
        <v>p_7b8cdaafeffb565522a18a67c4c159e6d993344f@inbound.aiesec.org</v>
      </c>
      <c r="F10" s="16"/>
      <c r="G10" s="16" t="str">
        <f>IFERROR(__xludf.DUMMYFUNCTION("""COMPUTED_VALUE"""),"Morocco")</f>
        <v>Morocco</v>
      </c>
      <c r="H10" s="16" t="str">
        <f>IFERROR(__xludf.DUMMYFUNCTION("""COMPUTED_VALUE"""),"Agadir")</f>
        <v>Agadir</v>
      </c>
      <c r="I10" s="16" t="str">
        <f>IFERROR(__xludf.DUMMYFUNCTION("""COMPUTED_VALUE"""),"Turkey")</f>
        <v>Turkey</v>
      </c>
      <c r="J10" s="16" t="str">
        <f>IFERROR(__xludf.DUMMYFUNCTION("""COMPUTED_VALUE"""),"KOCAELI")</f>
        <v>KOCAELI</v>
      </c>
      <c r="K10" s="17" t="str">
        <f>IFERROR(__xludf.DUMMYFUNCTION("""COMPUTED_VALUE"""),"https://expa.aiesec.org/opportunities/1290669")</f>
        <v>https://expa.aiesec.org/opportunities/1290669</v>
      </c>
      <c r="L10" s="16" t="str">
        <f>IFERROR(__xludf.DUMMYFUNCTION("""COMPUTED_VALUE"""),"GTe")</f>
        <v>GTe</v>
      </c>
      <c r="M10" s="16" t="str">
        <f>IFERROR(__xludf.DUMMYFUNCTION("""COMPUTED_VALUE"""),"medium")</f>
        <v>medium</v>
      </c>
      <c r="N10" s="18">
        <f>IFERROR(__xludf.DUMMYFUNCTION("""COMPUTED_VALUE"""),44896.0)</f>
        <v>44896</v>
      </c>
      <c r="O10" s="18">
        <f>IFERROR(__xludf.DUMMYFUNCTION("""COMPUTED_VALUE"""),44920.0)</f>
        <v>44920</v>
      </c>
      <c r="P10" s="18">
        <f>IFERROR(__xludf.DUMMYFUNCTION("""COMPUTED_VALUE"""),45101.0)</f>
        <v>45101</v>
      </c>
      <c r="Q10" s="18"/>
      <c r="R10" s="18"/>
      <c r="S10" s="16"/>
      <c r="T10" s="16"/>
      <c r="U10" s="16" t="str">
        <f>IFERROR(__xludf.DUMMYFUNCTION("""COMPUTED_VALUE"""),"English Teacher in ODTÜ-KYÖV Schools")</f>
        <v>English Teacher in ODTÜ-KYÖV Schools</v>
      </c>
      <c r="V10" s="16" t="str">
        <f>IFERROR(__xludf.DUMMYFUNCTION("""COMPUTED_VALUE"""),"-")</f>
        <v>-</v>
      </c>
      <c r="W10" s="16" t="str">
        <f>IFERROR(__xludf.DUMMYFUNCTION("""COMPUTED_VALUE"""),"2022-10-25T21:33:52Z")</f>
        <v>2022-10-25T21:33:52Z</v>
      </c>
      <c r="X10" s="16"/>
      <c r="Y10" s="16"/>
      <c r="Z10" s="16"/>
    </row>
    <row r="11">
      <c r="A11" s="16" t="str">
        <f>IFERROR(__xludf.DUMMYFUNCTION("""COMPUTED_VALUE"""),"5163374_1289255")</f>
        <v>5163374_1289255</v>
      </c>
      <c r="B11" s="16" t="str">
        <f>IFERROR(__xludf.DUMMYFUNCTION("""COMPUTED_VALUE"""),"sabrine achouri")</f>
        <v>sabrine achouri</v>
      </c>
      <c r="C11" s="16" t="str">
        <f>IFERROR(__xludf.DUMMYFUNCTION("""COMPUTED_VALUE"""),"approved")</f>
        <v>approved</v>
      </c>
      <c r="D11" s="16" t="str">
        <f>IFERROR(__xludf.DUMMYFUNCTION("""COMPUTED_VALUE"""),"No")</f>
        <v>No</v>
      </c>
      <c r="E11" s="16" t="str">
        <f>IFERROR(__xludf.DUMMYFUNCTION("""COMPUTED_VALUE"""),"p_47acd092d2e794ca944025c752e827b7e96a7e9f@inbound.aiesec.org")</f>
        <v>p_47acd092d2e794ca944025c752e827b7e96a7e9f@inbound.aiesec.org</v>
      </c>
      <c r="F11" s="16">
        <f>IFERROR(__xludf.DUMMYFUNCTION("""COMPUTED_VALUE"""),5.3723914E7)</f>
        <v>53723914</v>
      </c>
      <c r="G11" s="16" t="str">
        <f>IFERROR(__xludf.DUMMYFUNCTION("""COMPUTED_VALUE"""),"Tunisia")</f>
        <v>Tunisia</v>
      </c>
      <c r="H11" s="16" t="str">
        <f>IFERROR(__xludf.DUMMYFUNCTION("""COMPUTED_VALUE"""),"NABEL")</f>
        <v>NABEL</v>
      </c>
      <c r="I11" s="16" t="str">
        <f>IFERROR(__xludf.DUMMYFUNCTION("""COMPUTED_VALUE"""),"Turkey")</f>
        <v>Turkey</v>
      </c>
      <c r="J11" s="16" t="str">
        <f>IFERROR(__xludf.DUMMYFUNCTION("""COMPUTED_VALUE"""),"ISTANBUL")</f>
        <v>ISTANBUL</v>
      </c>
      <c r="K11" s="17" t="str">
        <f>IFERROR(__xludf.DUMMYFUNCTION("""COMPUTED_VALUE"""),"https://expa.aiesec.org/opportunities/1289255")</f>
        <v>https://expa.aiesec.org/opportunities/1289255</v>
      </c>
      <c r="L11" s="16" t="str">
        <f>IFERROR(__xludf.DUMMYFUNCTION("""COMPUTED_VALUE"""),"GTa")</f>
        <v>GTa</v>
      </c>
      <c r="M11" s="16" t="str">
        <f>IFERROR(__xludf.DUMMYFUNCTION("""COMPUTED_VALUE"""),"long")</f>
        <v>long</v>
      </c>
      <c r="N11" s="18">
        <f>IFERROR(__xludf.DUMMYFUNCTION("""COMPUTED_VALUE"""),44901.0)</f>
        <v>44901</v>
      </c>
      <c r="O11" s="18">
        <f>IFERROR(__xludf.DUMMYFUNCTION("""COMPUTED_VALUE"""),44935.0)</f>
        <v>44935</v>
      </c>
      <c r="P11" s="18">
        <f>IFERROR(__xludf.DUMMYFUNCTION("""COMPUTED_VALUE"""),45474.0)</f>
        <v>45474</v>
      </c>
      <c r="Q11" s="18"/>
      <c r="R11" s="18"/>
      <c r="S11" s="16"/>
      <c r="T11" s="16" t="str">
        <f>IFERROR(__xludf.DUMMYFUNCTION("""COMPUTED_VALUE"""),"Business Administration")</f>
        <v>Business Administration</v>
      </c>
      <c r="U11" s="16" t="str">
        <f>IFERROR(__xludf.DUMMYFUNCTION("""COMPUTED_VALUE"""),"Telesales Specialist in Istanbul (French Speaker)")</f>
        <v>Telesales Specialist in Istanbul (French Speaker)</v>
      </c>
      <c r="V11" s="16" t="str">
        <f>IFERROR(__xludf.DUMMYFUNCTION("""COMPUTED_VALUE"""),"ISSTE Borj Cedria")</f>
        <v>ISSTE Borj Cedria</v>
      </c>
      <c r="W11" s="16" t="str">
        <f>IFERROR(__xludf.DUMMYFUNCTION("""COMPUTED_VALUE"""),"2022-12-06T15:32:42Z")</f>
        <v>2022-12-06T15:32:42Z</v>
      </c>
      <c r="X11" s="16"/>
      <c r="Y11" s="16"/>
      <c r="Z11" s="16"/>
    </row>
    <row r="12">
      <c r="A12" s="16" t="str">
        <f>IFERROR(__xludf.DUMMYFUNCTION("""COMPUTED_VALUE"""),"4781636_1289689")</f>
        <v>4781636_1289689</v>
      </c>
      <c r="B12" s="16" t="str">
        <f>IFERROR(__xludf.DUMMYFUNCTION("""COMPUTED_VALUE"""),"Nacera Djemai")</f>
        <v>Nacera Djemai</v>
      </c>
      <c r="C12" s="16" t="str">
        <f>IFERROR(__xludf.DUMMYFUNCTION("""COMPUTED_VALUE"""),"approved")</f>
        <v>approved</v>
      </c>
      <c r="D12" s="16" t="str">
        <f>IFERROR(__xludf.DUMMYFUNCTION("""COMPUTED_VALUE"""),"No")</f>
        <v>No</v>
      </c>
      <c r="E12" s="16" t="str">
        <f>IFERROR(__xludf.DUMMYFUNCTION("""COMPUTED_VALUE"""),"p_ad37c3c2635e30a936f9fbb97ce7472ff85f6dc1@inbound.aiesec.org")</f>
        <v>p_ad37c3c2635e30a936f9fbb97ce7472ff85f6dc1@inbound.aiesec.org</v>
      </c>
      <c r="F12" s="16">
        <f>IFERROR(__xludf.DUMMYFUNCTION("""COMPUTED_VALUE"""),7.92131965E8)</f>
        <v>792131965</v>
      </c>
      <c r="G12" s="16" t="str">
        <f>IFERROR(__xludf.DUMMYFUNCTION("""COMPUTED_VALUE"""),"Algeria")</f>
        <v>Algeria</v>
      </c>
      <c r="H12" s="16" t="str">
        <f>IFERROR(__xludf.DUMMYFUNCTION("""COMPUTED_VALUE"""),"Blida")</f>
        <v>Blida</v>
      </c>
      <c r="I12" s="16" t="str">
        <f>IFERROR(__xludf.DUMMYFUNCTION("""COMPUTED_VALUE"""),"Turkey")</f>
        <v>Turkey</v>
      </c>
      <c r="J12" s="16" t="str">
        <f>IFERROR(__xludf.DUMMYFUNCTION("""COMPUTED_VALUE"""),"SAKARYA")</f>
        <v>SAKARYA</v>
      </c>
      <c r="K12" s="17" t="str">
        <f>IFERROR(__xludf.DUMMYFUNCTION("""COMPUTED_VALUE"""),"https://expa.aiesec.org/opportunities/1289689")</f>
        <v>https://expa.aiesec.org/opportunities/1289689</v>
      </c>
      <c r="L12" s="16" t="str">
        <f>IFERROR(__xludf.DUMMYFUNCTION("""COMPUTED_VALUE"""),"GTe")</f>
        <v>GTe</v>
      </c>
      <c r="M12" s="16" t="str">
        <f>IFERROR(__xludf.DUMMYFUNCTION("""COMPUTED_VALUE"""),"medium")</f>
        <v>medium</v>
      </c>
      <c r="N12" s="18">
        <f>IFERROR(__xludf.DUMMYFUNCTION("""COMPUTED_VALUE"""),44923.0)</f>
        <v>44923</v>
      </c>
      <c r="O12" s="18">
        <f>IFERROR(__xludf.DUMMYFUNCTION("""COMPUTED_VALUE"""),44972.0)</f>
        <v>44972</v>
      </c>
      <c r="P12" s="18">
        <f>IFERROR(__xludf.DUMMYFUNCTION("""COMPUTED_VALUE"""),45153.0)</f>
        <v>45153</v>
      </c>
      <c r="Q12" s="18"/>
      <c r="R12" s="18"/>
      <c r="S12" s="16"/>
      <c r="T12" s="16"/>
      <c r="U12" s="16" t="str">
        <f>IFERROR(__xludf.DUMMYFUNCTION("""COMPUTED_VALUE"""),"English Language Teacher | Makrodil Universal Language Academy")</f>
        <v>English Language Teacher | Makrodil Universal Language Academy</v>
      </c>
      <c r="V12" s="16" t="str">
        <f>IFERROR(__xludf.DUMMYFUNCTION("""COMPUTED_VALUE"""),"-")</f>
        <v>-</v>
      </c>
      <c r="W12" s="16" t="str">
        <f>IFERROR(__xludf.DUMMYFUNCTION("""COMPUTED_VALUE"""),"2021-11-01T20:48:32Z")</f>
        <v>2021-11-01T20:48:32Z</v>
      </c>
      <c r="X12" s="16"/>
      <c r="Y12" s="16"/>
      <c r="Z12" s="16"/>
    </row>
    <row r="13">
      <c r="A13" s="16" t="str">
        <f>IFERROR(__xludf.DUMMYFUNCTION("""COMPUTED_VALUE"""),"5170486_1289689")</f>
        <v>5170486_1289689</v>
      </c>
      <c r="B13" s="16" t="str">
        <f>IFERROR(__xludf.DUMMYFUNCTION("""COMPUTED_VALUE"""),"Shahd Gadallah")</f>
        <v>Shahd Gadallah</v>
      </c>
      <c r="C13" s="16" t="str">
        <f>IFERROR(__xludf.DUMMYFUNCTION("""COMPUTED_VALUE"""),"approved")</f>
        <v>approved</v>
      </c>
      <c r="D13" s="16" t="str">
        <f>IFERROR(__xludf.DUMMYFUNCTION("""COMPUTED_VALUE"""),"No")</f>
        <v>No</v>
      </c>
      <c r="E13" s="16" t="str">
        <f>IFERROR(__xludf.DUMMYFUNCTION("""COMPUTED_VALUE"""),"p_ea675307404ce92333f64752b794d54cf0ef12ca@inbound.aiesec.org")</f>
        <v>p_ea675307404ce92333f64752b794d54cf0ef12ca@inbound.aiesec.org</v>
      </c>
      <c r="F13" s="16">
        <f>IFERROR(__xludf.DUMMYFUNCTION("""COMPUTED_VALUE"""),1.200887239E9)</f>
        <v>1200887239</v>
      </c>
      <c r="G13" s="16" t="str">
        <f>IFERROR(__xludf.DUMMYFUNCTION("""COMPUTED_VALUE"""),"Egypt")</f>
        <v>Egypt</v>
      </c>
      <c r="H13" s="16" t="str">
        <f>IFERROR(__xludf.DUMMYFUNCTION("""COMPUTED_VALUE"""),"Ain Shams University")</f>
        <v>Ain Shams University</v>
      </c>
      <c r="I13" s="16" t="str">
        <f>IFERROR(__xludf.DUMMYFUNCTION("""COMPUTED_VALUE"""),"Turkey")</f>
        <v>Turkey</v>
      </c>
      <c r="J13" s="16" t="str">
        <f>IFERROR(__xludf.DUMMYFUNCTION("""COMPUTED_VALUE"""),"SAKARYA")</f>
        <v>SAKARYA</v>
      </c>
      <c r="K13" s="17" t="str">
        <f>IFERROR(__xludf.DUMMYFUNCTION("""COMPUTED_VALUE"""),"https://expa.aiesec.org/opportunities/1289689")</f>
        <v>https://expa.aiesec.org/opportunities/1289689</v>
      </c>
      <c r="L13" s="16" t="str">
        <f>IFERROR(__xludf.DUMMYFUNCTION("""COMPUTED_VALUE"""),"GTe")</f>
        <v>GTe</v>
      </c>
      <c r="M13" s="16" t="str">
        <f>IFERROR(__xludf.DUMMYFUNCTION("""COMPUTED_VALUE"""),"medium")</f>
        <v>medium</v>
      </c>
      <c r="N13" s="18">
        <f>IFERROR(__xludf.DUMMYFUNCTION("""COMPUTED_VALUE"""),44925.0)</f>
        <v>44925</v>
      </c>
      <c r="O13" s="18">
        <f>IFERROR(__xludf.DUMMYFUNCTION("""COMPUTED_VALUE"""),44972.0)</f>
        <v>44972</v>
      </c>
      <c r="P13" s="18">
        <f>IFERROR(__xludf.DUMMYFUNCTION("""COMPUTED_VALUE"""),45153.0)</f>
        <v>45153</v>
      </c>
      <c r="Q13" s="18"/>
      <c r="R13" s="18"/>
      <c r="S13" s="16"/>
      <c r="T13" s="16"/>
      <c r="U13" s="16" t="str">
        <f>IFERROR(__xludf.DUMMYFUNCTION("""COMPUTED_VALUE"""),"English Language Teacher | Makrodil Universal Language Academy")</f>
        <v>English Language Teacher | Makrodil Universal Language Academy</v>
      </c>
      <c r="V13" s="16" t="str">
        <f>IFERROR(__xludf.DUMMYFUNCTION("""COMPUTED_VALUE"""),"Ain Shams University")</f>
        <v>Ain Shams University</v>
      </c>
      <c r="W13" s="16" t="str">
        <f>IFERROR(__xludf.DUMMYFUNCTION("""COMPUTED_VALUE"""),"2022-12-26T21:37:03Z")</f>
        <v>2022-12-26T21:37:03Z</v>
      </c>
      <c r="X13" s="16"/>
      <c r="Y13" s="16"/>
      <c r="Z13" s="16"/>
    </row>
    <row r="14">
      <c r="A14" s="16" t="str">
        <f>IFERROR(__xludf.DUMMYFUNCTION("""COMPUTED_VALUE"""),"1876795_1291482")</f>
        <v>1876795_1291482</v>
      </c>
      <c r="B14" s="16" t="str">
        <f>IFERROR(__xludf.DUMMYFUNCTION("""COMPUTED_VALUE"""),"Aya OUARIAGLY")</f>
        <v>Aya OUARIAGLY</v>
      </c>
      <c r="C14" s="16" t="str">
        <f>IFERROR(__xludf.DUMMYFUNCTION("""COMPUTED_VALUE"""),"approved")</f>
        <v>approved</v>
      </c>
      <c r="D14" s="16" t="str">
        <f>IFERROR(__xludf.DUMMYFUNCTION("""COMPUTED_VALUE"""),"No")</f>
        <v>No</v>
      </c>
      <c r="E14" s="16" t="str">
        <f>IFERROR(__xludf.DUMMYFUNCTION("""COMPUTED_VALUE"""),"p_df78cae3f3f6161b85aa79708146a92a75578437@inbound.aiesec.org")</f>
        <v>p_df78cae3f3f6161b85aa79708146a92a75578437@inbound.aiesec.org</v>
      </c>
      <c r="F14" s="16">
        <f>IFERROR(__xludf.DUMMYFUNCTION("""COMPUTED_VALUE"""),6.38280864E8)</f>
        <v>638280864</v>
      </c>
      <c r="G14" s="16" t="str">
        <f>IFERROR(__xludf.DUMMYFUNCTION("""COMPUTED_VALUE"""),"Morocco")</f>
        <v>Morocco</v>
      </c>
      <c r="H14" s="16" t="str">
        <f>IFERROR(__xludf.DUMMYFUNCTION("""COMPUTED_VALUE"""),"Morocco (MC)")</f>
        <v>Morocco (MC)</v>
      </c>
      <c r="I14" s="16" t="str">
        <f>IFERROR(__xludf.DUMMYFUNCTION("""COMPUTED_VALUE"""),"Turkey")</f>
        <v>Turkey</v>
      </c>
      <c r="J14" s="16" t="str">
        <f>IFERROR(__xludf.DUMMYFUNCTION("""COMPUTED_VALUE"""),"TRABZON")</f>
        <v>TRABZON</v>
      </c>
      <c r="K14" s="17" t="str">
        <f>IFERROR(__xludf.DUMMYFUNCTION("""COMPUTED_VALUE"""),"https://expa.aiesec.org/opportunities/1291482")</f>
        <v>https://expa.aiesec.org/opportunities/1291482</v>
      </c>
      <c r="L14" s="16" t="str">
        <f>IFERROR(__xludf.DUMMYFUNCTION("""COMPUTED_VALUE"""),"GTe")</f>
        <v>GTe</v>
      </c>
      <c r="M14" s="16" t="str">
        <f>IFERROR(__xludf.DUMMYFUNCTION("""COMPUTED_VALUE"""),"long")</f>
        <v>long</v>
      </c>
      <c r="N14" s="18">
        <f>IFERROR(__xludf.DUMMYFUNCTION("""COMPUTED_VALUE"""),44929.0)</f>
        <v>44929</v>
      </c>
      <c r="O14" s="18">
        <f>IFERROR(__xludf.DUMMYFUNCTION("""COMPUTED_VALUE"""),44958.0)</f>
        <v>44958</v>
      </c>
      <c r="P14" s="18">
        <f>IFERROR(__xludf.DUMMYFUNCTION("""COMPUTED_VALUE"""),45323.0)</f>
        <v>45323</v>
      </c>
      <c r="Q14" s="18"/>
      <c r="R14" s="18"/>
      <c r="S14" s="16"/>
      <c r="T14" s="16"/>
      <c r="U14" s="16" t="str">
        <f>IFERROR(__xludf.DUMMYFUNCTION("""COMPUTED_VALUE"""),"English Teacher in TEOL")</f>
        <v>English Teacher in TEOL</v>
      </c>
      <c r="V14" s="16" t="str">
        <f>IFERROR(__xludf.DUMMYFUNCTION("""COMPUTED_VALUE"""),"-")</f>
        <v>-</v>
      </c>
      <c r="W14" s="16" t="str">
        <f>IFERROR(__xludf.DUMMYFUNCTION("""COMPUTED_VALUE"""),"2017-11-18T15:05:11Z")</f>
        <v>2017-11-18T15:05:11Z</v>
      </c>
      <c r="X14" s="16"/>
      <c r="Y14" s="16"/>
      <c r="Z14" s="16"/>
    </row>
    <row r="15">
      <c r="A15" s="16" t="str">
        <f>IFERROR(__xludf.DUMMYFUNCTION("""COMPUTED_VALUE"""),"4936673_1278791")</f>
        <v>4936673_1278791</v>
      </c>
      <c r="B15" s="16" t="str">
        <f>IFERROR(__xludf.DUMMYFUNCTION("""COMPUTED_VALUE"""),"Ramzi Ben Abid")</f>
        <v>Ramzi Ben Abid</v>
      </c>
      <c r="C15" s="16" t="str">
        <f>IFERROR(__xludf.DUMMYFUNCTION("""COMPUTED_VALUE"""),"approved")</f>
        <v>approved</v>
      </c>
      <c r="D15" s="16" t="str">
        <f>IFERROR(__xludf.DUMMYFUNCTION("""COMPUTED_VALUE"""),"No")</f>
        <v>No</v>
      </c>
      <c r="E15" s="16" t="str">
        <f>IFERROR(__xludf.DUMMYFUNCTION("""COMPUTED_VALUE"""),"p_56d5a8dae64dc5ff6e82b485c4fe1ccf09347e30@inbound.aiesec.org")</f>
        <v>p_56d5a8dae64dc5ff6e82b485c4fe1ccf09347e30@inbound.aiesec.org</v>
      </c>
      <c r="F15" s="16"/>
      <c r="G15" s="16" t="str">
        <f>IFERROR(__xludf.DUMMYFUNCTION("""COMPUTED_VALUE"""),"Tunisia")</f>
        <v>Tunisia</v>
      </c>
      <c r="H15" s="16" t="str">
        <f>IFERROR(__xludf.DUMMYFUNCTION("""COMPUTED_VALUE"""),"BARDO")</f>
        <v>BARDO</v>
      </c>
      <c r="I15" s="16" t="str">
        <f>IFERROR(__xludf.DUMMYFUNCTION("""COMPUTED_VALUE"""),"Turkey")</f>
        <v>Turkey</v>
      </c>
      <c r="J15" s="16" t="str">
        <f>IFERROR(__xludf.DUMMYFUNCTION("""COMPUTED_VALUE"""),"KOCAELI")</f>
        <v>KOCAELI</v>
      </c>
      <c r="K15" s="17" t="str">
        <f>IFERROR(__xludf.DUMMYFUNCTION("""COMPUTED_VALUE"""),"https://expa.aiesec.org/opportunities/1278791")</f>
        <v>https://expa.aiesec.org/opportunities/1278791</v>
      </c>
      <c r="L15" s="16" t="str">
        <f>IFERROR(__xludf.DUMMYFUNCTION("""COMPUTED_VALUE"""),"GTa")</f>
        <v>GTa</v>
      </c>
      <c r="M15" s="16" t="str">
        <f>IFERROR(__xludf.DUMMYFUNCTION("""COMPUTED_VALUE"""),"long")</f>
        <v>long</v>
      </c>
      <c r="N15" s="18">
        <f>IFERROR(__xludf.DUMMYFUNCTION("""COMPUTED_VALUE"""),44929.0)</f>
        <v>44929</v>
      </c>
      <c r="O15" s="18">
        <f>IFERROR(__xludf.DUMMYFUNCTION("""COMPUTED_VALUE"""),44928.0)</f>
        <v>44928</v>
      </c>
      <c r="P15" s="18">
        <f>IFERROR(__xludf.DUMMYFUNCTION("""COMPUTED_VALUE"""),45293.0)</f>
        <v>45293</v>
      </c>
      <c r="Q15" s="18"/>
      <c r="R15" s="18"/>
      <c r="S15" s="16"/>
      <c r="T15" s="16" t="str">
        <f>IFERROR(__xludf.DUMMYFUNCTION("""COMPUTED_VALUE"""),"Business Development")</f>
        <v>Business Development</v>
      </c>
      <c r="U15" s="16" t="str">
        <f>IFERROR(__xludf.DUMMYFUNCTION("""COMPUTED_VALUE"""),"Export Sales and Marketing Specialist in ABS Madencilik")</f>
        <v>Export Sales and Marketing Specialist in ABS Madencilik</v>
      </c>
      <c r="V15" s="16" t="str">
        <f>IFERROR(__xludf.DUMMYFUNCTION("""COMPUTED_VALUE"""),"-")</f>
        <v>-</v>
      </c>
      <c r="W15" s="16" t="str">
        <f>IFERROR(__xludf.DUMMYFUNCTION("""COMPUTED_VALUE"""),"2022-02-18T15:49:25Z")</f>
        <v>2022-02-18T15:49:25Z</v>
      </c>
      <c r="X15" s="16"/>
      <c r="Y15" s="16"/>
      <c r="Z15" s="16"/>
    </row>
    <row r="16">
      <c r="A16" s="16" t="str">
        <f>IFERROR(__xludf.DUMMYFUNCTION("""COMPUTED_VALUE"""),"1748934_1280733")</f>
        <v>1748934_1280733</v>
      </c>
      <c r="B16" s="16" t="str">
        <f>IFERROR(__xludf.DUMMYFUNCTION("""COMPUTED_VALUE"""),"Salma Ben Khelifa")</f>
        <v>Salma Ben Khelifa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IFERROR(__xludf.DUMMYFUNCTION("""COMPUTED_VALUE"""),"p_6f54f1162d0beb523ccbd0f4959b5d4f8fafc111@inbound.aiesec.org")</f>
        <v>p_6f54f1162d0beb523ccbd0f4959b5d4f8fafc111@inbound.aiesec.org</v>
      </c>
      <c r="F16" s="16">
        <f>IFERROR(__xludf.DUMMYFUNCTION("""COMPUTED_VALUE"""),2.4487642E7)</f>
        <v>24487642</v>
      </c>
      <c r="G16" s="16" t="str">
        <f>IFERROR(__xludf.DUMMYFUNCTION("""COMPUTED_VALUE"""),"Tunisia")</f>
        <v>Tunisia</v>
      </c>
      <c r="H16" s="16" t="str">
        <f>IFERROR(__xludf.DUMMYFUNCTION("""COMPUTED_VALUE"""),"BARDO")</f>
        <v>BARDO</v>
      </c>
      <c r="I16" s="16" t="str">
        <f>IFERROR(__xludf.DUMMYFUNCTION("""COMPUTED_VALUE"""),"Turkey")</f>
        <v>Turkey</v>
      </c>
      <c r="J16" s="16" t="str">
        <f>IFERROR(__xludf.DUMMYFUNCTION("""COMPUTED_VALUE"""),"ANTALYA")</f>
        <v>ANTALYA</v>
      </c>
      <c r="K16" s="17" t="str">
        <f>IFERROR(__xludf.DUMMYFUNCTION("""COMPUTED_VALUE"""),"https://expa.aiesec.org/opportunities/1280733")</f>
        <v>https://expa.aiesec.org/opportunities/1280733</v>
      </c>
      <c r="L16" s="16" t="str">
        <f>IFERROR(__xludf.DUMMYFUNCTION("""COMPUTED_VALUE"""),"GTa")</f>
        <v>GTa</v>
      </c>
      <c r="M16" s="16" t="str">
        <f>IFERROR(__xludf.DUMMYFUNCTION("""COMPUTED_VALUE"""),"long")</f>
        <v>long</v>
      </c>
      <c r="N16" s="18">
        <f>IFERROR(__xludf.DUMMYFUNCTION("""COMPUTED_VALUE"""),44951.0)</f>
        <v>44951</v>
      </c>
      <c r="O16" s="18">
        <f>IFERROR(__xludf.DUMMYFUNCTION("""COMPUTED_VALUE"""),44920.0)</f>
        <v>44920</v>
      </c>
      <c r="P16" s="18">
        <f>IFERROR(__xludf.DUMMYFUNCTION("""COMPUTED_VALUE"""),45285.0)</f>
        <v>45285</v>
      </c>
      <c r="Q16" s="18"/>
      <c r="R16" s="18"/>
      <c r="S16" s="16"/>
      <c r="T16" s="16" t="str">
        <f>IFERROR(__xludf.DUMMYFUNCTION("""COMPUTED_VALUE"""),"Other")</f>
        <v>Other</v>
      </c>
      <c r="U16" s="16" t="str">
        <f>IFERROR(__xludf.DUMMYFUNCTION("""COMPUTED_VALUE"""),"Public Relations w/Meet2Talk")</f>
        <v>Public Relations w/Meet2Talk</v>
      </c>
      <c r="V16" s="16" t="str">
        <f>IFERROR(__xludf.DUMMYFUNCTION("""COMPUTED_VALUE"""),"-")</f>
        <v>-</v>
      </c>
      <c r="W16" s="16" t="str">
        <f>IFERROR(__xludf.DUMMYFUNCTION("""COMPUTED_VALUE"""),"2017-09-21T23:05:45Z")</f>
        <v>2017-09-21T23:05:45Z</v>
      </c>
      <c r="X16" s="16"/>
      <c r="Y16" s="16"/>
      <c r="Z16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</hyperlinks>
  <drawing r:id="rId1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&gt;=date'2023-02-01' and N &lt;date'2023-07-01' and C = 'approved' and I = 'Turkey' and ( L = 'GTa' or L = 'GTe' ) and O &gt;=date'2023-07-16'and O &lt;=date'2023-09-25' 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IFERROR(__xludf.DUMMYFUNCTION("""COMPUTED_VALUE"""),"5163333_1291606")</f>
        <v>5163333_1291606</v>
      </c>
      <c r="B2" s="16" t="str">
        <f>IFERROR(__xludf.DUMMYFUNCTION("""COMPUTED_VALUE"""),"Summer K.")</f>
        <v>Summer K.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IFERROR(__xludf.DUMMYFUNCTION("""COMPUTED_VALUE"""),"p_fe3a4973cf2ecf0b6340f3e630e1fe4590b2b10d@inbound.aiesec.org")</f>
        <v>p_fe3a4973cf2ecf0b6340f3e630e1fe4590b2b10d@inbound.aiesec.org</v>
      </c>
      <c r="F2" s="16">
        <f>IFERROR(__xludf.DUMMYFUNCTION("""COMPUTED_VALUE"""),1.126512088E9)</f>
        <v>1126512088</v>
      </c>
      <c r="G2" s="16" t="str">
        <f>IFERROR(__xludf.DUMMYFUNCTION("""COMPUTED_VALUE"""),"Egypt")</f>
        <v>Egypt</v>
      </c>
      <c r="H2" s="16" t="str">
        <f>IFERROR(__xludf.DUMMYFUNCTION("""COMPUTED_VALUE"""),"Mansoura")</f>
        <v>Mansoura</v>
      </c>
      <c r="I2" s="16" t="str">
        <f>IFERROR(__xludf.DUMMYFUNCTION("""COMPUTED_VALUE"""),"Turkey")</f>
        <v>Turkey</v>
      </c>
      <c r="J2" s="16" t="str">
        <f>IFERROR(__xludf.DUMMYFUNCTION("""COMPUTED_VALUE"""),"BURSA")</f>
        <v>BURSA</v>
      </c>
      <c r="K2" s="17" t="str">
        <f>IFERROR(__xludf.DUMMYFUNCTION("""COMPUTED_VALUE"""),"https://expa.aiesec.org/opportunities/1291606")</f>
        <v>https://expa.aiesec.org/opportunities/1291606</v>
      </c>
      <c r="L2" s="16" t="str">
        <f>IFERROR(__xludf.DUMMYFUNCTION("""COMPUTED_VALUE"""),"GTe")</f>
        <v>GTe</v>
      </c>
      <c r="M2" s="16" t="str">
        <f>IFERROR(__xludf.DUMMYFUNCTION("""COMPUTED_VALUE"""),"long")</f>
        <v>long</v>
      </c>
      <c r="N2" s="18">
        <f>IFERROR(__xludf.DUMMYFUNCTION("""COMPUTED_VALUE"""),44972.0)</f>
        <v>44972</v>
      </c>
      <c r="O2" s="18">
        <f>IFERROR(__xludf.DUMMYFUNCTION("""COMPUTED_VALUE"""),45170.0)</f>
        <v>45170</v>
      </c>
      <c r="P2" s="18">
        <f>IFERROR(__xludf.DUMMYFUNCTION("""COMPUTED_VALUE"""),45536.0)</f>
        <v>45536</v>
      </c>
      <c r="Q2" s="18"/>
      <c r="R2" s="18"/>
      <c r="S2" s="16"/>
      <c r="T2" s="16"/>
      <c r="U2" s="16" t="str">
        <f>IFERROR(__xludf.DUMMYFUNCTION("""COMPUTED_VALUE"""),"Teacher")</f>
        <v>Teacher</v>
      </c>
      <c r="V2" s="16" t="str">
        <f>IFERROR(__xludf.DUMMYFUNCTION("""COMPUTED_VALUE"""),"New Mansoura University")</f>
        <v>New Mansoura University</v>
      </c>
      <c r="W2" s="16" t="str">
        <f>IFERROR(__xludf.DUMMYFUNCTION("""COMPUTED_VALUE"""),"2022-12-06T14:04:02Z")</f>
        <v>2022-12-06T14:04:02Z</v>
      </c>
      <c r="X2" s="16"/>
      <c r="Y2" s="16"/>
      <c r="Z2" s="16"/>
    </row>
    <row r="3">
      <c r="A3" s="16" t="str">
        <f>IFERROR(__xludf.DUMMYFUNCTION("""COMPUTED_VALUE"""),"5198688_1281195")</f>
        <v>5198688_1281195</v>
      </c>
      <c r="B3" s="16" t="str">
        <f>IFERROR(__xludf.DUMMYFUNCTION("""COMPUTED_VALUE"""),"Allen Nsajuli")</f>
        <v>Allen Nsajuli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IFERROR(__xludf.DUMMYFUNCTION("""COMPUTED_VALUE"""),"p_d32a8c08bc2984e41c99fac1e9e3475fc92229f9@inbound.aiesec.org")</f>
        <v>p_d32a8c08bc2984e41c99fac1e9e3475fc92229f9@inbound.aiesec.org</v>
      </c>
      <c r="F3" s="16">
        <f>IFERROR(__xludf.DUMMYFUNCTION("""COMPUTED_VALUE"""),7.05673338E8)</f>
        <v>705673338</v>
      </c>
      <c r="G3" s="16" t="str">
        <f>IFERROR(__xludf.DUMMYFUNCTION("""COMPUTED_VALUE"""),"Uganda")</f>
        <v>Uganda</v>
      </c>
      <c r="H3" s="16" t="str">
        <f>IFERROR(__xludf.DUMMYFUNCTION("""COMPUTED_VALUE"""),"Makerere University Kampala")</f>
        <v>Makerere University Kampala</v>
      </c>
      <c r="I3" s="16" t="str">
        <f>IFERROR(__xludf.DUMMYFUNCTION("""COMPUTED_VALUE"""),"Turkey")</f>
        <v>Turkey</v>
      </c>
      <c r="J3" s="16" t="str">
        <f>IFERROR(__xludf.DUMMYFUNCTION("""COMPUTED_VALUE"""),"BURSA")</f>
        <v>BURSA</v>
      </c>
      <c r="K3" s="17" t="str">
        <f>IFERROR(__xludf.DUMMYFUNCTION("""COMPUTED_VALUE"""),"https://expa.aiesec.org/opportunities/1281195")</f>
        <v>https://expa.aiesec.org/opportunities/1281195</v>
      </c>
      <c r="L3" s="16" t="str">
        <f>IFERROR(__xludf.DUMMYFUNCTION("""COMPUTED_VALUE"""),"GTe")</f>
        <v>GTe</v>
      </c>
      <c r="M3" s="16" t="str">
        <f>IFERROR(__xludf.DUMMYFUNCTION("""COMPUTED_VALUE"""),"long")</f>
        <v>long</v>
      </c>
      <c r="N3" s="18">
        <f>IFERROR(__xludf.DUMMYFUNCTION("""COMPUTED_VALUE"""),44985.0)</f>
        <v>44985</v>
      </c>
      <c r="O3" s="18">
        <f>IFERROR(__xludf.DUMMYFUNCTION("""COMPUTED_VALUE"""),45157.0)</f>
        <v>45157</v>
      </c>
      <c r="P3" s="18">
        <f>IFERROR(__xludf.DUMMYFUNCTION("""COMPUTED_VALUE"""),45523.0)</f>
        <v>45523</v>
      </c>
      <c r="Q3" s="18"/>
      <c r="R3" s="18"/>
      <c r="S3" s="16"/>
      <c r="T3" s="16"/>
      <c r="U3" s="16" t="str">
        <f>IFERROR(__xludf.DUMMYFUNCTION("""COMPUTED_VALUE"""),"ENGLISH TEACHING")</f>
        <v>ENGLISH TEACHING</v>
      </c>
      <c r="V3" s="16" t="str">
        <f>IFERROR(__xludf.DUMMYFUNCTION("""COMPUTED_VALUE"""),"Makerere University")</f>
        <v>Makerere University</v>
      </c>
      <c r="W3" s="16" t="str">
        <f>IFERROR(__xludf.DUMMYFUNCTION("""COMPUTED_VALUE"""),"2023-02-24T21:22:10Z")</f>
        <v>2023-02-24T21:22:10Z</v>
      </c>
      <c r="X3" s="16"/>
      <c r="Y3" s="16"/>
      <c r="Z3" s="16"/>
    </row>
    <row r="4">
      <c r="A4" s="16" t="str">
        <f>IFERROR(__xludf.DUMMYFUNCTION("""COMPUTED_VALUE"""),"1168987_1292678")</f>
        <v>1168987_1292678</v>
      </c>
      <c r="B4" s="16" t="str">
        <f>IFERROR(__xludf.DUMMYFUNCTION("""COMPUTED_VALUE"""),"Luiza Marina Reis Carvalho")</f>
        <v>Luiza Marina Reis Carvalho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IFERROR(__xludf.DUMMYFUNCTION("""COMPUTED_VALUE"""),"p_44120f7cbdc6c15cb82a13ba9c8e3c0d2285510c@inbound.aiesec.org")</f>
        <v>p_44120f7cbdc6c15cb82a13ba9c8e3c0d2285510c@inbound.aiesec.org</v>
      </c>
      <c r="F4" s="16">
        <f>IFERROR(__xludf.DUMMYFUNCTION("""COMPUTED_VALUE"""),6.1992755445E10)</f>
        <v>61992755445</v>
      </c>
      <c r="G4" s="16" t="str">
        <f>IFERROR(__xludf.DUMMYFUNCTION("""COMPUTED_VALUE"""),"Brazil")</f>
        <v>Brazil</v>
      </c>
      <c r="H4" s="16" t="str">
        <f>IFERROR(__xludf.DUMMYFUNCTION("""COMPUTED_VALUE"""),"BRASÍLIA")</f>
        <v>BRASÍLIA</v>
      </c>
      <c r="I4" s="16" t="str">
        <f>IFERROR(__xludf.DUMMYFUNCTION("""COMPUTED_VALUE"""),"Turkey")</f>
        <v>Turkey</v>
      </c>
      <c r="J4" s="16" t="str">
        <f>IFERROR(__xludf.DUMMYFUNCTION("""COMPUTED_VALUE"""),"ISTANBUL WEST")</f>
        <v>ISTANBUL WEST</v>
      </c>
      <c r="K4" s="17" t="str">
        <f>IFERROR(__xludf.DUMMYFUNCTION("""COMPUTED_VALUE"""),"https://expa.aiesec.org/opportunities/1292678")</f>
        <v>https://expa.aiesec.org/opportunities/1292678</v>
      </c>
      <c r="L4" s="16" t="str">
        <f>IFERROR(__xludf.DUMMYFUNCTION("""COMPUTED_VALUE"""),"GTa")</f>
        <v>GTa</v>
      </c>
      <c r="M4" s="16" t="str">
        <f>IFERROR(__xludf.DUMMYFUNCTION("""COMPUTED_VALUE"""),"long")</f>
        <v>long</v>
      </c>
      <c r="N4" s="18">
        <f>IFERROR(__xludf.DUMMYFUNCTION("""COMPUTED_VALUE"""),45008.0)</f>
        <v>45008</v>
      </c>
      <c r="O4" s="18">
        <f>IFERROR(__xludf.DUMMYFUNCTION("""COMPUTED_VALUE"""),45184.0)</f>
        <v>45184</v>
      </c>
      <c r="P4" s="18">
        <f>IFERROR(__xludf.DUMMYFUNCTION("""COMPUTED_VALUE"""),45548.0)</f>
        <v>45548</v>
      </c>
      <c r="Q4" s="18"/>
      <c r="R4" s="18"/>
      <c r="S4" s="16"/>
      <c r="T4" s="16" t="str">
        <f>IFERROR(__xludf.DUMMYFUNCTION("""COMPUTED_VALUE"""),"Marketing")</f>
        <v>Marketing</v>
      </c>
      <c r="U4" s="16" t="str">
        <f>IFERROR(__xludf.DUMMYFUNCTION("""COMPUTED_VALUE"""),"Sales - Marketing Represantative")</f>
        <v>Sales - Marketing Represantative</v>
      </c>
      <c r="V4" s="16" t="str">
        <f>IFERROR(__xludf.DUMMYFUNCTION("""COMPUTED_VALUE"""),"-")</f>
        <v>-</v>
      </c>
      <c r="W4" s="16" t="str">
        <f>IFERROR(__xludf.DUMMYFUNCTION("""COMPUTED_VALUE"""),"2016-09-29T19:21:52Z")</f>
        <v>2016-09-29T19:21:52Z</v>
      </c>
      <c r="X4" s="16"/>
      <c r="Y4" s="16"/>
      <c r="Z4" s="16"/>
    </row>
    <row r="5">
      <c r="A5" s="16" t="str">
        <f>IFERROR(__xludf.DUMMYFUNCTION("""COMPUTED_VALUE"""),"5230564_1281195")</f>
        <v>5230564_1281195</v>
      </c>
      <c r="B5" s="16" t="str">
        <f>IFERROR(__xludf.DUMMYFUNCTION("""COMPUTED_VALUE"""),"Sowayba Haggag")</f>
        <v>Sowayba Haggag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IFERROR(__xludf.DUMMYFUNCTION("""COMPUTED_VALUE"""),"p_428decfd02eb6483260ad586f7e686fc7bf26bf1@inbound.aiesec.org")</f>
        <v>p_428decfd02eb6483260ad586f7e686fc7bf26bf1@inbound.aiesec.org</v>
      </c>
      <c r="F5" s="16"/>
      <c r="G5" s="16" t="str">
        <f>IFERROR(__xludf.DUMMYFUNCTION("""COMPUTED_VALUE"""),"Egypt")</f>
        <v>Egypt</v>
      </c>
      <c r="H5" s="16" t="str">
        <f>IFERROR(__xludf.DUMMYFUNCTION("""COMPUTED_VALUE"""),"Alexandria")</f>
        <v>Alexandria</v>
      </c>
      <c r="I5" s="16" t="str">
        <f>IFERROR(__xludf.DUMMYFUNCTION("""COMPUTED_VALUE"""),"Turkey")</f>
        <v>Turkey</v>
      </c>
      <c r="J5" s="16" t="str">
        <f>IFERROR(__xludf.DUMMYFUNCTION("""COMPUTED_VALUE"""),"BURSA")</f>
        <v>BURSA</v>
      </c>
      <c r="K5" s="17" t="str">
        <f>IFERROR(__xludf.DUMMYFUNCTION("""COMPUTED_VALUE"""),"https://expa.aiesec.org/opportunities/1281195")</f>
        <v>https://expa.aiesec.org/opportunities/1281195</v>
      </c>
      <c r="L5" s="16" t="str">
        <f>IFERROR(__xludf.DUMMYFUNCTION("""COMPUTED_VALUE"""),"GTe")</f>
        <v>GTe</v>
      </c>
      <c r="M5" s="16" t="str">
        <f>IFERROR(__xludf.DUMMYFUNCTION("""COMPUTED_VALUE"""),"long")</f>
        <v>long</v>
      </c>
      <c r="N5" s="18">
        <f>IFERROR(__xludf.DUMMYFUNCTION("""COMPUTED_VALUE"""),45016.0)</f>
        <v>45016</v>
      </c>
      <c r="O5" s="18">
        <f>IFERROR(__xludf.DUMMYFUNCTION("""COMPUTED_VALUE"""),45171.0)</f>
        <v>45171</v>
      </c>
      <c r="P5" s="18">
        <f>IFERROR(__xludf.DUMMYFUNCTION("""COMPUTED_VALUE"""),45473.0)</f>
        <v>45473</v>
      </c>
      <c r="Q5" s="18"/>
      <c r="R5" s="18"/>
      <c r="S5" s="16"/>
      <c r="T5" s="16"/>
      <c r="U5" s="16" t="str">
        <f>IFERROR(__xludf.DUMMYFUNCTION("""COMPUTED_VALUE"""),"ENGLISH TEACHING")</f>
        <v>ENGLISH TEACHING</v>
      </c>
      <c r="V5" s="16" t="str">
        <f>IFERROR(__xludf.DUMMYFUNCTION("""COMPUTED_VALUE"""),"Alexandria University")</f>
        <v>Alexandria University</v>
      </c>
      <c r="W5" s="16" t="str">
        <f>IFERROR(__xludf.DUMMYFUNCTION("""COMPUTED_VALUE"""),"2023-03-29T22:54:56Z")</f>
        <v>2023-03-29T22:54:56Z</v>
      </c>
      <c r="X5" s="16"/>
      <c r="Y5" s="16"/>
      <c r="Z5" s="16"/>
    </row>
    <row r="6">
      <c r="A6" s="16" t="str">
        <f>IFERROR(__xludf.DUMMYFUNCTION("""COMPUTED_VALUE"""),"5224897_1291648")</f>
        <v>5224897_1291648</v>
      </c>
      <c r="B6" s="16" t="str">
        <f>IFERROR(__xludf.DUMMYFUNCTION("""COMPUTED_VALUE"""),"Madina İbragimova")</f>
        <v>Madina İbragimova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IFERROR(__xludf.DUMMYFUNCTION("""COMPUTED_VALUE"""),"p_9c143b3735d04026f39cc34ad950dc200986931d@inbound.aiesec.org")</f>
        <v>p_9c143b3735d04026f39cc34ad950dc200986931d@inbound.aiesec.org</v>
      </c>
      <c r="F6" s="16">
        <f>IFERROR(__xludf.DUMMYFUNCTION("""COMPUTED_VALUE"""),5.58148731E8)</f>
        <v>558148731</v>
      </c>
      <c r="G6" s="16" t="str">
        <f>IFERROR(__xludf.DUMMYFUNCTION("""COMPUTED_VALUE"""),"Azerbaijan")</f>
        <v>Azerbaijan</v>
      </c>
      <c r="H6" s="16" t="str">
        <f>IFERROR(__xludf.DUMMYFUNCTION("""COMPUTED_VALUE"""),"Baku Synergy")</f>
        <v>Baku Synergy</v>
      </c>
      <c r="I6" s="16" t="str">
        <f>IFERROR(__xludf.DUMMYFUNCTION("""COMPUTED_VALUE"""),"Turkey")</f>
        <v>Turkey</v>
      </c>
      <c r="J6" s="16" t="str">
        <f>IFERROR(__xludf.DUMMYFUNCTION("""COMPUTED_VALUE"""),"ESKISEHIR")</f>
        <v>ESKISEHIR</v>
      </c>
      <c r="K6" s="17" t="str">
        <f>IFERROR(__xludf.DUMMYFUNCTION("""COMPUTED_VALUE"""),"https://expa.aiesec.org/opportunities/1291648")</f>
        <v>https://expa.aiesec.org/opportunities/1291648</v>
      </c>
      <c r="L6" s="16" t="str">
        <f>IFERROR(__xludf.DUMMYFUNCTION("""COMPUTED_VALUE"""),"GTa")</f>
        <v>GTa</v>
      </c>
      <c r="M6" s="16" t="str">
        <f>IFERROR(__xludf.DUMMYFUNCTION("""COMPUTED_VALUE"""),"short")</f>
        <v>short</v>
      </c>
      <c r="N6" s="18">
        <f>IFERROR(__xludf.DUMMYFUNCTION("""COMPUTED_VALUE"""),45017.0)</f>
        <v>45017</v>
      </c>
      <c r="O6" s="18">
        <f>IFERROR(__xludf.DUMMYFUNCTION("""COMPUTED_VALUE"""),45139.0)</f>
        <v>45139</v>
      </c>
      <c r="P6" s="18">
        <f>IFERROR(__xludf.DUMMYFUNCTION("""COMPUTED_VALUE"""),45215.0)</f>
        <v>45215</v>
      </c>
      <c r="Q6" s="18"/>
      <c r="R6" s="18"/>
      <c r="S6" s="16"/>
      <c r="T6" s="16" t="str">
        <f>IFERROR(__xludf.DUMMYFUNCTION("""COMPUTED_VALUE"""),"Business Development")</f>
        <v>Business Development</v>
      </c>
      <c r="U6" s="16" t="str">
        <f>IFERROR(__xludf.DUMMYFUNCTION("""COMPUTED_VALUE"""),"Digital Brand Ambassador")</f>
        <v>Digital Brand Ambassador</v>
      </c>
      <c r="V6" s="16" t="str">
        <f>IFERROR(__xludf.DUMMYFUNCTION("""COMPUTED_VALUE"""),"Azerbaijan State University of Economics")</f>
        <v>Azerbaijan State University of Economics</v>
      </c>
      <c r="W6" s="16" t="str">
        <f>IFERROR(__xludf.DUMMYFUNCTION("""COMPUTED_VALUE"""),"2023-03-23T13:29:29Z")</f>
        <v>2023-03-23T13:29:29Z</v>
      </c>
      <c r="X6" s="16"/>
      <c r="Y6" s="16"/>
      <c r="Z6" s="16"/>
    </row>
    <row r="7">
      <c r="A7" s="16" t="str">
        <f>IFERROR(__xludf.DUMMYFUNCTION("""COMPUTED_VALUE"""),"4629194_1293755")</f>
        <v>4629194_1293755</v>
      </c>
      <c r="B7" s="16" t="str">
        <f>IFERROR(__xludf.DUMMYFUNCTION("""COMPUTED_VALUE"""),"deleted 4629194")</f>
        <v>deleted 4629194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IFERROR(__xludf.DUMMYFUNCTION("""COMPUTED_VALUE"""),"p_cd141043026bfb6ac28c2585c156eb2c59f83f36@inbound.aiesec.org")</f>
        <v>p_cd141043026bfb6ac28c2585c156eb2c59f83f36@inbound.aiesec.org</v>
      </c>
      <c r="F7" s="16"/>
      <c r="G7" s="16" t="str">
        <f>IFERROR(__xludf.DUMMYFUNCTION("""COMPUTED_VALUE"""),"Egypt")</f>
        <v>Egypt</v>
      </c>
      <c r="H7" s="16" t="str">
        <f>IFERROR(__xludf.DUMMYFUNCTION("""COMPUTED_VALUE"""),"Zagazig")</f>
        <v>Zagazig</v>
      </c>
      <c r="I7" s="16" t="str">
        <f>IFERROR(__xludf.DUMMYFUNCTION("""COMPUTED_VALUE"""),"Turkey")</f>
        <v>Turkey</v>
      </c>
      <c r="J7" s="16" t="str">
        <f>IFERROR(__xludf.DUMMYFUNCTION("""COMPUTED_VALUE"""),"DENIZLI")</f>
        <v>DENIZLI</v>
      </c>
      <c r="K7" s="17" t="str">
        <f>IFERROR(__xludf.DUMMYFUNCTION("""COMPUTED_VALUE"""),"https://expa.aiesec.org/opportunities/1293755")</f>
        <v>https://expa.aiesec.org/opportunities/1293755</v>
      </c>
      <c r="L7" s="16" t="str">
        <f>IFERROR(__xludf.DUMMYFUNCTION("""COMPUTED_VALUE"""),"GTe")</f>
        <v>GTe</v>
      </c>
      <c r="M7" s="16" t="str">
        <f>IFERROR(__xludf.DUMMYFUNCTION("""COMPUTED_VALUE"""),"long")</f>
        <v>long</v>
      </c>
      <c r="N7" s="18">
        <f>IFERROR(__xludf.DUMMYFUNCTION("""COMPUTED_VALUE"""),45034.0)</f>
        <v>45034</v>
      </c>
      <c r="O7" s="18">
        <f>IFERROR(__xludf.DUMMYFUNCTION("""COMPUTED_VALUE"""),45139.0)</f>
        <v>45139</v>
      </c>
      <c r="P7" s="18">
        <f>IFERROR(__xludf.DUMMYFUNCTION("""COMPUTED_VALUE"""),45505.0)</f>
        <v>45505</v>
      </c>
      <c r="Q7" s="18"/>
      <c r="R7" s="18"/>
      <c r="S7" s="16"/>
      <c r="T7" s="16"/>
      <c r="U7" s="16" t="str">
        <f>IFERROR(__xludf.DUMMYFUNCTION("""COMPUTED_VALUE"""),"TEACHER/SEÇKİN 0 6 YAŞ")</f>
        <v>TEACHER/SEÇKİN 0 6 YAŞ</v>
      </c>
      <c r="V7" s="16" t="str">
        <f>IFERROR(__xludf.DUMMYFUNCTION("""COMPUTED_VALUE"""),"Zagazig")</f>
        <v>Zagazig</v>
      </c>
      <c r="W7" s="16" t="str">
        <f>IFERROR(__xludf.DUMMYFUNCTION("""COMPUTED_VALUE"""),"2021-04-26T00:47:21Z")</f>
        <v>2021-04-26T00:47:21Z</v>
      </c>
      <c r="X7" s="16"/>
      <c r="Y7" s="16"/>
      <c r="Z7" s="16"/>
    </row>
    <row r="8">
      <c r="A8" s="16" t="str">
        <f>IFERROR(__xludf.DUMMYFUNCTION("""COMPUTED_VALUE"""),"4827247_1277661")</f>
        <v>4827247_1277661</v>
      </c>
      <c r="B8" s="16" t="str">
        <f>IFERROR(__xludf.DUMMYFUNCTION("""COMPUTED_VALUE"""),"Nezar Rashed")</f>
        <v>Nezar Rashed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IFERROR(__xludf.DUMMYFUNCTION("""COMPUTED_VALUE"""),"p_73d3b7d80c30ac9d15d46e2fba15f3a1aa5a120a@inbound.aiesec.org")</f>
        <v>p_73d3b7d80c30ac9d15d46e2fba15f3a1aa5a120a@inbound.aiesec.org</v>
      </c>
      <c r="F8" s="16">
        <f>IFERROR(__xludf.DUMMYFUNCTION("""COMPUTED_VALUE"""),1.0227197E9)</f>
        <v>1022719700</v>
      </c>
      <c r="G8" s="16" t="str">
        <f>IFERROR(__xludf.DUMMYFUNCTION("""COMPUTED_VALUE"""),"Egypt")</f>
        <v>Egypt</v>
      </c>
      <c r="H8" s="16" t="str">
        <f>IFERROR(__xludf.DUMMYFUNCTION("""COMPUTED_VALUE"""),"Cairo University")</f>
        <v>Cairo University</v>
      </c>
      <c r="I8" s="16" t="str">
        <f>IFERROR(__xludf.DUMMYFUNCTION("""COMPUTED_VALUE"""),"Turkey")</f>
        <v>Turkey</v>
      </c>
      <c r="J8" s="16" t="str">
        <f>IFERROR(__xludf.DUMMYFUNCTION("""COMPUTED_VALUE"""),"KOCAELI")</f>
        <v>KOCAELI</v>
      </c>
      <c r="K8" s="17" t="str">
        <f>IFERROR(__xludf.DUMMYFUNCTION("""COMPUTED_VALUE"""),"https://expa.aiesec.org/opportunities/1277661")</f>
        <v>https://expa.aiesec.org/opportunities/1277661</v>
      </c>
      <c r="L8" s="16" t="str">
        <f>IFERROR(__xludf.DUMMYFUNCTION("""COMPUTED_VALUE"""),"GTe")</f>
        <v>GTe</v>
      </c>
      <c r="M8" s="16" t="str">
        <f>IFERROR(__xludf.DUMMYFUNCTION("""COMPUTED_VALUE"""),"long")</f>
        <v>long</v>
      </c>
      <c r="N8" s="18">
        <f>IFERROR(__xludf.DUMMYFUNCTION("""COMPUTED_VALUE"""),45043.0)</f>
        <v>45043</v>
      </c>
      <c r="O8" s="18">
        <f>IFERROR(__xludf.DUMMYFUNCTION("""COMPUTED_VALUE"""),45158.0)</f>
        <v>45158</v>
      </c>
      <c r="P8" s="18">
        <f>IFERROR(__xludf.DUMMYFUNCTION("""COMPUTED_VALUE"""),45458.0)</f>
        <v>45458</v>
      </c>
      <c r="Q8" s="18"/>
      <c r="R8" s="18"/>
      <c r="S8" s="16"/>
      <c r="T8" s="16"/>
      <c r="U8" s="16" t="str">
        <f>IFERROR(__xludf.DUMMYFUNCTION("""COMPUTED_VALUE"""),"English Teacher in Körfez Uğur Okulları")</f>
        <v>English Teacher in Körfez Uğur Okulları</v>
      </c>
      <c r="V8" s="16" t="str">
        <f>IFERROR(__xludf.DUMMYFUNCTION("""COMPUTED_VALUE"""),"Cairo Univeristy")</f>
        <v>Cairo Univeristy</v>
      </c>
      <c r="W8" s="16" t="str">
        <f>IFERROR(__xludf.DUMMYFUNCTION("""COMPUTED_VALUE"""),"2021-12-02T12:54:39Z")</f>
        <v>2021-12-02T12:54:39Z</v>
      </c>
      <c r="X8" s="16"/>
      <c r="Y8" s="16"/>
      <c r="Z8" s="16"/>
    </row>
    <row r="9">
      <c r="A9" s="16" t="str">
        <f>IFERROR(__xludf.DUMMYFUNCTION("""COMPUTED_VALUE"""),"5260054_1294332")</f>
        <v>5260054_1294332</v>
      </c>
      <c r="B9" s="16" t="str">
        <f>IFERROR(__xludf.DUMMYFUNCTION("""COMPUTED_VALUE"""),"Sarah Ahmed Abdelghany")</f>
        <v>Sarah Ahmed Abdelghany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IFERROR(__xludf.DUMMYFUNCTION("""COMPUTED_VALUE"""),"p_75830273b6e0a1605b0766a1aaed5fa41230fa4e@inbound.aiesec.org")</f>
        <v>p_75830273b6e0a1605b0766a1aaed5fa41230fa4e@inbound.aiesec.org</v>
      </c>
      <c r="F9" s="16">
        <f>IFERROR(__xludf.DUMMYFUNCTION("""COMPUTED_VALUE"""),1.026175273E9)</f>
        <v>1026175273</v>
      </c>
      <c r="G9" s="16" t="str">
        <f>IFERROR(__xludf.DUMMYFUNCTION("""COMPUTED_VALUE"""),"Egypt")</f>
        <v>Egypt</v>
      </c>
      <c r="H9" s="16" t="str">
        <f>IFERROR(__xludf.DUMMYFUNCTION("""COMPUTED_VALUE"""),"Alexandria")</f>
        <v>Alexandria</v>
      </c>
      <c r="I9" s="16" t="str">
        <f>IFERROR(__xludf.DUMMYFUNCTION("""COMPUTED_VALUE"""),"Turkey")</f>
        <v>Turkey</v>
      </c>
      <c r="J9" s="16" t="str">
        <f>IFERROR(__xludf.DUMMYFUNCTION("""COMPUTED_VALUE"""),"ISTANBUL WEST")</f>
        <v>ISTANBUL WEST</v>
      </c>
      <c r="K9" s="17" t="str">
        <f>IFERROR(__xludf.DUMMYFUNCTION("""COMPUTED_VALUE"""),"https://expa.aiesec.org/opportunities/1294332")</f>
        <v>https://expa.aiesec.org/opportunities/1294332</v>
      </c>
      <c r="L9" s="16" t="str">
        <f>IFERROR(__xludf.DUMMYFUNCTION("""COMPUTED_VALUE"""),"GTa")</f>
        <v>GTa</v>
      </c>
      <c r="M9" s="16" t="str">
        <f>IFERROR(__xludf.DUMMYFUNCTION("""COMPUTED_VALUE"""),"long")</f>
        <v>long</v>
      </c>
      <c r="N9" s="18">
        <f>IFERROR(__xludf.DUMMYFUNCTION("""COMPUTED_VALUE"""),45058.0)</f>
        <v>45058</v>
      </c>
      <c r="O9" s="18">
        <f>IFERROR(__xludf.DUMMYFUNCTION("""COMPUTED_VALUE"""),45139.0)</f>
        <v>45139</v>
      </c>
      <c r="P9" s="18">
        <f>IFERROR(__xludf.DUMMYFUNCTION("""COMPUTED_VALUE"""),45504.0)</f>
        <v>45504</v>
      </c>
      <c r="Q9" s="18"/>
      <c r="R9" s="18"/>
      <c r="S9" s="16"/>
      <c r="T9" s="16" t="str">
        <f>IFERROR(__xludf.DUMMYFUNCTION("""COMPUTED_VALUE"""),"Business Administration")</f>
        <v>Business Administration</v>
      </c>
      <c r="U9" s="16" t="str">
        <f>IFERROR(__xludf.DUMMYFUNCTION("""COMPUTED_VALUE"""),"Sales Consultant ( Customer Service )")</f>
        <v>Sales Consultant ( Customer Service )</v>
      </c>
      <c r="V9" s="16" t="str">
        <f>IFERROR(__xludf.DUMMYFUNCTION("""COMPUTED_VALUE"""),"Alexandria University")</f>
        <v>Alexandria University</v>
      </c>
      <c r="W9" s="16" t="str">
        <f>IFERROR(__xludf.DUMMYFUNCTION("""COMPUTED_VALUE"""),"2023-05-12T15:12:22Z")</f>
        <v>2023-05-12T15:12:22Z</v>
      </c>
      <c r="X9" s="16"/>
      <c r="Y9" s="16"/>
      <c r="Z9" s="16"/>
    </row>
    <row r="10">
      <c r="A10" s="16" t="str">
        <f>IFERROR(__xludf.DUMMYFUNCTION("""COMPUTED_VALUE"""),"5270960_1280733")</f>
        <v>5270960_1280733</v>
      </c>
      <c r="B10" s="16" t="str">
        <f>IFERROR(__xludf.DUMMYFUNCTION("""COMPUTED_VALUE"""),"Hesham Mohamed")</f>
        <v>Hesham Mohamed</v>
      </c>
      <c r="C10" s="16" t="str">
        <f>IFERROR(__xludf.DUMMYFUNCTION("""COMPUTED_VALUE"""),"approved")</f>
        <v>approved</v>
      </c>
      <c r="D10" s="16" t="str">
        <f>IFERROR(__xludf.DUMMYFUNCTION("""COMPUTED_VALUE"""),"No")</f>
        <v>No</v>
      </c>
      <c r="E10" s="16" t="str">
        <f>IFERROR(__xludf.DUMMYFUNCTION("""COMPUTED_VALUE"""),"p_9883af8cfc579b16350dae7812b99afce5fc6ca1@inbound.aiesec.org")</f>
        <v>p_9883af8cfc579b16350dae7812b99afce5fc6ca1@inbound.aiesec.org</v>
      </c>
      <c r="F10" s="16">
        <f>IFERROR(__xludf.DUMMYFUNCTION("""COMPUTED_VALUE"""),1.066336886E9)</f>
        <v>1066336886</v>
      </c>
      <c r="G10" s="16" t="str">
        <f>IFERROR(__xludf.DUMMYFUNCTION("""COMPUTED_VALUE"""),"Egypt")</f>
        <v>Egypt</v>
      </c>
      <c r="H10" s="16" t="str">
        <f>IFERROR(__xludf.DUMMYFUNCTION("""COMPUTED_VALUE"""),"Cairo University")</f>
        <v>Cairo University</v>
      </c>
      <c r="I10" s="16" t="str">
        <f>IFERROR(__xludf.DUMMYFUNCTION("""COMPUTED_VALUE"""),"Turkey")</f>
        <v>Turkey</v>
      </c>
      <c r="J10" s="16" t="str">
        <f>IFERROR(__xludf.DUMMYFUNCTION("""COMPUTED_VALUE"""),"ANTALYA")</f>
        <v>ANTALYA</v>
      </c>
      <c r="K10" s="17" t="str">
        <f>IFERROR(__xludf.DUMMYFUNCTION("""COMPUTED_VALUE"""),"https://expa.aiesec.org/opportunities/1280733")</f>
        <v>https://expa.aiesec.org/opportunities/1280733</v>
      </c>
      <c r="L10" s="16" t="str">
        <f>IFERROR(__xludf.DUMMYFUNCTION("""COMPUTED_VALUE"""),"GTa")</f>
        <v>GTa</v>
      </c>
      <c r="M10" s="16" t="str">
        <f>IFERROR(__xludf.DUMMYFUNCTION("""COMPUTED_VALUE"""),"long")</f>
        <v>long</v>
      </c>
      <c r="N10" s="18">
        <f>IFERROR(__xludf.DUMMYFUNCTION("""COMPUTED_VALUE"""),45082.0)</f>
        <v>45082</v>
      </c>
      <c r="O10" s="18">
        <f>IFERROR(__xludf.DUMMYFUNCTION("""COMPUTED_VALUE"""),45139.0)</f>
        <v>45139</v>
      </c>
      <c r="P10" s="18">
        <f>IFERROR(__xludf.DUMMYFUNCTION("""COMPUTED_VALUE"""),45505.0)</f>
        <v>45505</v>
      </c>
      <c r="Q10" s="18"/>
      <c r="R10" s="18"/>
      <c r="S10" s="16"/>
      <c r="T10" s="16" t="str">
        <f>IFERROR(__xludf.DUMMYFUNCTION("""COMPUTED_VALUE"""),"Other")</f>
        <v>Other</v>
      </c>
      <c r="U10" s="16" t="str">
        <f>IFERROR(__xludf.DUMMYFUNCTION("""COMPUTED_VALUE"""),"Public Relations w/Meet2Talk")</f>
        <v>Public Relations w/Meet2Talk</v>
      </c>
      <c r="V10" s="16" t="str">
        <f>IFERROR(__xludf.DUMMYFUNCTION("""COMPUTED_VALUE"""),"Cairo Univeristy")</f>
        <v>Cairo Univeristy</v>
      </c>
      <c r="W10" s="16" t="str">
        <f>IFERROR(__xludf.DUMMYFUNCTION("""COMPUTED_VALUE"""),"2023-06-03T10:40:40Z")</f>
        <v>2023-06-03T10:40:40Z</v>
      </c>
      <c r="X10" s="16"/>
      <c r="Y10" s="16"/>
      <c r="Z10" s="16"/>
    </row>
    <row r="11">
      <c r="A11" s="16" t="str">
        <f>IFERROR(__xludf.DUMMYFUNCTION("""COMPUTED_VALUE"""),"5271280_1259741")</f>
        <v>5271280_1259741</v>
      </c>
      <c r="B11" s="16" t="str">
        <f>IFERROR(__xludf.DUMMYFUNCTION("""COMPUTED_VALUE"""),"Hamza Ahmed")</f>
        <v>Hamza Ahmed</v>
      </c>
      <c r="C11" s="16" t="str">
        <f>IFERROR(__xludf.DUMMYFUNCTION("""COMPUTED_VALUE"""),"approved")</f>
        <v>approved</v>
      </c>
      <c r="D11" s="16" t="str">
        <f>IFERROR(__xludf.DUMMYFUNCTION("""COMPUTED_VALUE"""),"No")</f>
        <v>No</v>
      </c>
      <c r="E11" s="16" t="str">
        <f>IFERROR(__xludf.DUMMYFUNCTION("""COMPUTED_VALUE"""),"p_4521412a0f8772ccbecb3acbeaa33f1e343d523f@inbound.aiesec.org")</f>
        <v>p_4521412a0f8772ccbecb3acbeaa33f1e343d523f@inbound.aiesec.org</v>
      </c>
      <c r="F11" s="16">
        <f>IFERROR(__xludf.DUMMYFUNCTION("""COMPUTED_VALUE"""),1.09220376E9)</f>
        <v>1092203760</v>
      </c>
      <c r="G11" s="16" t="str">
        <f>IFERROR(__xludf.DUMMYFUNCTION("""COMPUTED_VALUE"""),"Egypt")</f>
        <v>Egypt</v>
      </c>
      <c r="H11" s="16" t="str">
        <f>IFERROR(__xludf.DUMMYFUNCTION("""COMPUTED_VALUE"""),"MUST")</f>
        <v>MUST</v>
      </c>
      <c r="I11" s="16" t="str">
        <f>IFERROR(__xludf.DUMMYFUNCTION("""COMPUTED_VALUE"""),"Turkey")</f>
        <v>Turkey</v>
      </c>
      <c r="J11" s="16" t="str">
        <f>IFERROR(__xludf.DUMMYFUNCTION("""COMPUTED_VALUE"""),"KONYA")</f>
        <v>KONYA</v>
      </c>
      <c r="K11" s="17" t="str">
        <f>IFERROR(__xludf.DUMMYFUNCTION("""COMPUTED_VALUE"""),"https://expa.aiesec.org/opportunities/1259741")</f>
        <v>https://expa.aiesec.org/opportunities/1259741</v>
      </c>
      <c r="L11" s="16" t="str">
        <f>IFERROR(__xludf.DUMMYFUNCTION("""COMPUTED_VALUE"""),"GTe")</f>
        <v>GTe</v>
      </c>
      <c r="M11" s="16" t="str">
        <f>IFERROR(__xludf.DUMMYFUNCTION("""COMPUTED_VALUE"""),"long")</f>
        <v>long</v>
      </c>
      <c r="N11" s="18">
        <f>IFERROR(__xludf.DUMMYFUNCTION("""COMPUTED_VALUE"""),45084.0)</f>
        <v>45084</v>
      </c>
      <c r="O11" s="18">
        <f>IFERROR(__xludf.DUMMYFUNCTION("""COMPUTED_VALUE"""),45139.0)</f>
        <v>45139</v>
      </c>
      <c r="P11" s="18">
        <f>IFERROR(__xludf.DUMMYFUNCTION("""COMPUTED_VALUE"""),45505.0)</f>
        <v>45505</v>
      </c>
      <c r="Q11" s="18"/>
      <c r="R11" s="18"/>
      <c r="S11" s="16"/>
      <c r="T11" s="16"/>
      <c r="U11" s="16" t="str">
        <f>IFERROR(__xludf.DUMMYFUNCTION("""COMPUTED_VALUE"""),"English Teacher")</f>
        <v>English Teacher</v>
      </c>
      <c r="V11" s="16" t="str">
        <f>IFERROR(__xludf.DUMMYFUNCTION("""COMPUTED_VALUE"""),"MUST University")</f>
        <v>MUST University</v>
      </c>
      <c r="W11" s="16" t="str">
        <f>IFERROR(__xludf.DUMMYFUNCTION("""COMPUTED_VALUE"""),"2023-06-04T11:51:23Z")</f>
        <v>2023-06-04T11:51:23Z</v>
      </c>
      <c r="X11" s="16"/>
      <c r="Y11" s="16"/>
      <c r="Z11" s="16"/>
    </row>
    <row r="12">
      <c r="A12" s="16" t="str">
        <f>IFERROR(__xludf.DUMMYFUNCTION("""COMPUTED_VALUE"""),"5268269_1278703")</f>
        <v>5268269_1278703</v>
      </c>
      <c r="B12" s="16" t="str">
        <f>IFERROR(__xludf.DUMMYFUNCTION("""COMPUTED_VALUE"""),"Valeria Efimova")</f>
        <v>Valeria Efimova</v>
      </c>
      <c r="C12" s="16" t="str">
        <f>IFERROR(__xludf.DUMMYFUNCTION("""COMPUTED_VALUE"""),"approved")</f>
        <v>approved</v>
      </c>
      <c r="D12" s="16" t="str">
        <f>IFERROR(__xludf.DUMMYFUNCTION("""COMPUTED_VALUE"""),"No")</f>
        <v>No</v>
      </c>
      <c r="E12" s="16" t="str">
        <f>IFERROR(__xludf.DUMMYFUNCTION("""COMPUTED_VALUE"""),"p_0630582a0b962d49fe9cd6cfedbf7316731a50e6@inbound.aiesec.org")</f>
        <v>p_0630582a0b962d49fe9cd6cfedbf7316731a50e6@inbound.aiesec.org</v>
      </c>
      <c r="F12" s="16"/>
      <c r="G12" s="16" t="str">
        <f>IFERROR(__xludf.DUMMYFUNCTION("""COMPUTED_VALUE"""),"Russia")</f>
        <v>Russia</v>
      </c>
      <c r="H12" s="16" t="str">
        <f>IFERROR(__xludf.DUMMYFUNCTION("""COMPUTED_VALUE"""),"ENGEC-GUAP, Saint-Petersburg")</f>
        <v>ENGEC-GUAP, Saint-Petersburg</v>
      </c>
      <c r="I12" s="16" t="str">
        <f>IFERROR(__xludf.DUMMYFUNCTION("""COMPUTED_VALUE"""),"Turkey")</f>
        <v>Turkey</v>
      </c>
      <c r="J12" s="16" t="str">
        <f>IFERROR(__xludf.DUMMYFUNCTION("""COMPUTED_VALUE"""),"KOCAELI")</f>
        <v>KOCAELI</v>
      </c>
      <c r="K12" s="17" t="str">
        <f>IFERROR(__xludf.DUMMYFUNCTION("""COMPUTED_VALUE"""),"https://expa.aiesec.org/opportunities/1278703")</f>
        <v>https://expa.aiesec.org/opportunities/1278703</v>
      </c>
      <c r="L12" s="16" t="str">
        <f>IFERROR(__xludf.DUMMYFUNCTION("""COMPUTED_VALUE"""),"GTe")</f>
        <v>GTe</v>
      </c>
      <c r="M12" s="16" t="str">
        <f>IFERROR(__xludf.DUMMYFUNCTION("""COMPUTED_VALUE"""),"long")</f>
        <v>long</v>
      </c>
      <c r="N12" s="18">
        <f>IFERROR(__xludf.DUMMYFUNCTION("""COMPUTED_VALUE"""),45084.0)</f>
        <v>45084</v>
      </c>
      <c r="O12" s="18">
        <f>IFERROR(__xludf.DUMMYFUNCTION("""COMPUTED_VALUE"""),45173.0)</f>
        <v>45173</v>
      </c>
      <c r="P12" s="18">
        <f>IFERROR(__xludf.DUMMYFUNCTION("""COMPUTED_VALUE"""),45515.0)</f>
        <v>45515</v>
      </c>
      <c r="Q12" s="18"/>
      <c r="R12" s="18"/>
      <c r="S12" s="16"/>
      <c r="T12" s="16"/>
      <c r="U12" s="16" t="str">
        <f>IFERROR(__xludf.DUMMYFUNCTION("""COMPUTED_VALUE"""),"Kindergarden Teacher in Rengin  Anaokulu")</f>
        <v>Kindergarden Teacher in Rengin  Anaokulu</v>
      </c>
      <c r="V12" s="16" t="str">
        <f>IFERROR(__xludf.DUMMYFUNCTION("""COMPUTED_VALUE"""),"-")</f>
        <v>-</v>
      </c>
      <c r="W12" s="16" t="str">
        <f>IFERROR(__xludf.DUMMYFUNCTION("""COMPUTED_VALUE"""),"2023-05-29T12:48:21Z")</f>
        <v>2023-05-29T12:48:21Z</v>
      </c>
      <c r="X12" s="16"/>
      <c r="Y12" s="16"/>
      <c r="Z12" s="16"/>
    </row>
    <row r="13">
      <c r="A13" s="16" t="str">
        <f>IFERROR(__xludf.DUMMYFUNCTION("""COMPUTED_VALUE"""),"5267479_1293407")</f>
        <v>5267479_1293407</v>
      </c>
      <c r="B13" s="16" t="str">
        <f>IFERROR(__xludf.DUMMYFUNCTION("""COMPUTED_VALUE"""),"Hasna Bard")</f>
        <v>Hasna Bard</v>
      </c>
      <c r="C13" s="16" t="str">
        <f>IFERROR(__xludf.DUMMYFUNCTION("""COMPUTED_VALUE"""),"approved")</f>
        <v>approved</v>
      </c>
      <c r="D13" s="16" t="str">
        <f>IFERROR(__xludf.DUMMYFUNCTION("""COMPUTED_VALUE"""),"No")</f>
        <v>No</v>
      </c>
      <c r="E13" s="16" t="str">
        <f>IFERROR(__xludf.DUMMYFUNCTION("""COMPUTED_VALUE"""),"p_fc0779984339118fc1fa188eba38fa4df8b06827@inbound.aiesec.org")</f>
        <v>p_fc0779984339118fc1fa188eba38fa4df8b06827@inbound.aiesec.org</v>
      </c>
      <c r="F13" s="16"/>
      <c r="G13" s="16" t="str">
        <f>IFERROR(__xludf.DUMMYFUNCTION("""COMPUTED_VALUE"""),"Morocco")</f>
        <v>Morocco</v>
      </c>
      <c r="H13" s="16" t="str">
        <f>IFERROR(__xludf.DUMMYFUNCTION("""COMPUTED_VALUE"""),"Morocco (MC)")</f>
        <v>Morocco (MC)</v>
      </c>
      <c r="I13" s="16" t="str">
        <f>IFERROR(__xludf.DUMMYFUNCTION("""COMPUTED_VALUE"""),"Turkey")</f>
        <v>Turkey</v>
      </c>
      <c r="J13" s="16" t="str">
        <f>IFERROR(__xludf.DUMMYFUNCTION("""COMPUTED_VALUE"""),"ISTANBUL ASIA")</f>
        <v>ISTANBUL ASIA</v>
      </c>
      <c r="K13" s="17" t="str">
        <f>IFERROR(__xludf.DUMMYFUNCTION("""COMPUTED_VALUE"""),"https://expa.aiesec.org/opportunities/1293407")</f>
        <v>https://expa.aiesec.org/opportunities/1293407</v>
      </c>
      <c r="L13" s="16" t="str">
        <f>IFERROR(__xludf.DUMMYFUNCTION("""COMPUTED_VALUE"""),"GTe")</f>
        <v>GTe</v>
      </c>
      <c r="M13" s="16" t="str">
        <f>IFERROR(__xludf.DUMMYFUNCTION("""COMPUTED_VALUE"""),"long")</f>
        <v>long</v>
      </c>
      <c r="N13" s="18">
        <f>IFERROR(__xludf.DUMMYFUNCTION("""COMPUTED_VALUE"""),45085.0)</f>
        <v>45085</v>
      </c>
      <c r="O13" s="18">
        <f>IFERROR(__xludf.DUMMYFUNCTION("""COMPUTED_VALUE"""),45166.0)</f>
        <v>45166</v>
      </c>
      <c r="P13" s="18">
        <f>IFERROR(__xludf.DUMMYFUNCTION("""COMPUTED_VALUE"""),45534.0)</f>
        <v>45534</v>
      </c>
      <c r="Q13" s="18"/>
      <c r="R13" s="18"/>
      <c r="S13" s="16"/>
      <c r="T13" s="16"/>
      <c r="U13" s="16" t="str">
        <f>IFERROR(__xludf.DUMMYFUNCTION("""COMPUTED_VALUE"""),"English Teacher ")</f>
        <v>English Teacher </v>
      </c>
      <c r="V13" s="16" t="str">
        <f>IFERROR(__xludf.DUMMYFUNCTION("""COMPUTED_VALUE"""),"-")</f>
        <v>-</v>
      </c>
      <c r="W13" s="16" t="str">
        <f>IFERROR(__xludf.DUMMYFUNCTION("""COMPUTED_VALUE"""),"2023-05-27T12:06:44Z")</f>
        <v>2023-05-27T12:06:44Z</v>
      </c>
      <c r="X13" s="16"/>
      <c r="Y13" s="16"/>
      <c r="Z13" s="16"/>
    </row>
    <row r="14">
      <c r="A14" s="16" t="str">
        <f>IFERROR(__xludf.DUMMYFUNCTION("""COMPUTED_VALUE"""),"4663622_1264946")</f>
        <v>4663622_1264946</v>
      </c>
      <c r="B14" s="16" t="str">
        <f>IFERROR(__xludf.DUMMYFUNCTION("""COMPUTED_VALUE"""),"Monika Marshela Tiurnauli Simbolon")</f>
        <v>Monika Marshela Tiurnauli Simbolon</v>
      </c>
      <c r="C14" s="16" t="str">
        <f>IFERROR(__xludf.DUMMYFUNCTION("""COMPUTED_VALUE"""),"approved")</f>
        <v>approved</v>
      </c>
      <c r="D14" s="16" t="str">
        <f>IFERROR(__xludf.DUMMYFUNCTION("""COMPUTED_VALUE"""),"No")</f>
        <v>No</v>
      </c>
      <c r="E14" s="16" t="str">
        <f>IFERROR(__xludf.DUMMYFUNCTION("""COMPUTED_VALUE"""),"p_25feeddc1f2c1f43170a109442ec6ec66359d75d@inbound.aiesec.org")</f>
        <v>p_25feeddc1f2c1f43170a109442ec6ec66359d75d@inbound.aiesec.org</v>
      </c>
      <c r="F14" s="16">
        <f>IFERROR(__xludf.DUMMYFUNCTION("""COMPUTED_VALUE"""),8.2335641448E10)</f>
        <v>82335641448</v>
      </c>
      <c r="G14" s="16" t="str">
        <f>IFERROR(__xludf.DUMMYFUNCTION("""COMPUTED_VALUE"""),"Indonesia")</f>
        <v>Indonesia</v>
      </c>
      <c r="H14" s="16" t="str">
        <f>IFERROR(__xludf.DUMMYFUNCTION("""COMPUTED_VALUE"""),"Semarang")</f>
        <v>Semarang</v>
      </c>
      <c r="I14" s="16" t="str">
        <f>IFERROR(__xludf.DUMMYFUNCTION("""COMPUTED_VALUE"""),"Turkey")</f>
        <v>Turkey</v>
      </c>
      <c r="J14" s="16" t="str">
        <f>IFERROR(__xludf.DUMMYFUNCTION("""COMPUTED_VALUE"""),"KOCAELI")</f>
        <v>KOCAELI</v>
      </c>
      <c r="K14" s="17" t="str">
        <f>IFERROR(__xludf.DUMMYFUNCTION("""COMPUTED_VALUE"""),"https://expa.aiesec.org/opportunities/1264946")</f>
        <v>https://expa.aiesec.org/opportunities/1264946</v>
      </c>
      <c r="L14" s="16" t="str">
        <f>IFERROR(__xludf.DUMMYFUNCTION("""COMPUTED_VALUE"""),"GTe")</f>
        <v>GTe</v>
      </c>
      <c r="M14" s="16" t="str">
        <f>IFERROR(__xludf.DUMMYFUNCTION("""COMPUTED_VALUE"""),"long")</f>
        <v>long</v>
      </c>
      <c r="N14" s="18">
        <f>IFERROR(__xludf.DUMMYFUNCTION("""COMPUTED_VALUE"""),45088.0)</f>
        <v>45088</v>
      </c>
      <c r="O14" s="18">
        <f>IFERROR(__xludf.DUMMYFUNCTION("""COMPUTED_VALUE"""),45166.0)</f>
        <v>45166</v>
      </c>
      <c r="P14" s="18">
        <f>IFERROR(__xludf.DUMMYFUNCTION("""COMPUTED_VALUE"""),45473.0)</f>
        <v>45473</v>
      </c>
      <c r="Q14" s="18"/>
      <c r="R14" s="18"/>
      <c r="S14" s="16"/>
      <c r="T14" s="16"/>
      <c r="U14" s="16" t="str">
        <f>IFERROR(__xludf.DUMMYFUNCTION("""COMPUTED_VALUE"""),"English Teacher in Boutique Kindergarden ")</f>
        <v>English Teacher in Boutique Kindergarden </v>
      </c>
      <c r="V14" s="16" t="str">
        <f>IFERROR(__xludf.DUMMYFUNCTION("""COMPUTED_VALUE"""),"Universitas Diponegoro")</f>
        <v>Universitas Diponegoro</v>
      </c>
      <c r="W14" s="16" t="str">
        <f>IFERROR(__xludf.DUMMYFUNCTION("""COMPUTED_VALUE"""),"2021-06-09T12:49:36Z")</f>
        <v>2021-06-09T12:49:36Z</v>
      </c>
      <c r="X14" s="16"/>
      <c r="Y14" s="16"/>
      <c r="Z14" s="16"/>
    </row>
    <row r="15">
      <c r="A15" s="16" t="str">
        <f>IFERROR(__xludf.DUMMYFUNCTION("""COMPUTED_VALUE"""),"5273583_1289255")</f>
        <v>5273583_1289255</v>
      </c>
      <c r="B15" s="16" t="str">
        <f>IFERROR(__xludf.DUMMYFUNCTION("""COMPUTED_VALUE"""),"Naseer Ali Awan")</f>
        <v>Naseer Ali Awan</v>
      </c>
      <c r="C15" s="16" t="str">
        <f>IFERROR(__xludf.DUMMYFUNCTION("""COMPUTED_VALUE"""),"approved")</f>
        <v>approved</v>
      </c>
      <c r="D15" s="16" t="str">
        <f>IFERROR(__xludf.DUMMYFUNCTION("""COMPUTED_VALUE"""),"No")</f>
        <v>No</v>
      </c>
      <c r="E15" s="16" t="str">
        <f>IFERROR(__xludf.DUMMYFUNCTION("""COMPUTED_VALUE"""),"p_451d785d923dce4ae0d7cc523b5c6ce2969f0053@inbound.aiesec.org")</f>
        <v>p_451d785d923dce4ae0d7cc523b5c6ce2969f0053@inbound.aiesec.org</v>
      </c>
      <c r="F15" s="16">
        <f>IFERROR(__xludf.DUMMYFUNCTION("""COMPUTED_VALUE"""),3.327921782E9)</f>
        <v>3327921782</v>
      </c>
      <c r="G15" s="16" t="str">
        <f>IFERROR(__xludf.DUMMYFUNCTION("""COMPUTED_VALUE"""),"Pakistan")</f>
        <v>Pakistan</v>
      </c>
      <c r="H15" s="16" t="str">
        <f>IFERROR(__xludf.DUMMYFUNCTION("""COMPUTED_VALUE"""),"Karachi")</f>
        <v>Karachi</v>
      </c>
      <c r="I15" s="16" t="str">
        <f>IFERROR(__xludf.DUMMYFUNCTION("""COMPUTED_VALUE"""),"Turkey")</f>
        <v>Turkey</v>
      </c>
      <c r="J15" s="16" t="str">
        <f>IFERROR(__xludf.DUMMYFUNCTION("""COMPUTED_VALUE"""),"ISTANBUL")</f>
        <v>ISTANBUL</v>
      </c>
      <c r="K15" s="17" t="str">
        <f>IFERROR(__xludf.DUMMYFUNCTION("""COMPUTED_VALUE"""),"https://expa.aiesec.org/opportunities/1289255")</f>
        <v>https://expa.aiesec.org/opportunities/1289255</v>
      </c>
      <c r="L15" s="16" t="str">
        <f>IFERROR(__xludf.DUMMYFUNCTION("""COMPUTED_VALUE"""),"GTa")</f>
        <v>GTa</v>
      </c>
      <c r="M15" s="16" t="str">
        <f>IFERROR(__xludf.DUMMYFUNCTION("""COMPUTED_VALUE"""),"long")</f>
        <v>long</v>
      </c>
      <c r="N15" s="18">
        <f>IFERROR(__xludf.DUMMYFUNCTION("""COMPUTED_VALUE"""),45090.0)</f>
        <v>45090</v>
      </c>
      <c r="O15" s="18">
        <f>IFERROR(__xludf.DUMMYFUNCTION("""COMPUTED_VALUE"""),45138.0)</f>
        <v>45138</v>
      </c>
      <c r="P15" s="18">
        <f>IFERROR(__xludf.DUMMYFUNCTION("""COMPUTED_VALUE"""),45660.0)</f>
        <v>45660</v>
      </c>
      <c r="Q15" s="18"/>
      <c r="R15" s="18"/>
      <c r="S15" s="16"/>
      <c r="T15" s="16" t="str">
        <f>IFERROR(__xludf.DUMMYFUNCTION("""COMPUTED_VALUE"""),"Business Administration")</f>
        <v>Business Administration</v>
      </c>
      <c r="U15" s="16" t="str">
        <f>IFERROR(__xludf.DUMMYFUNCTION("""COMPUTED_VALUE"""),"Telesales Specialist in Istanbul (French Speaker)")</f>
        <v>Telesales Specialist in Istanbul (French Speaker)</v>
      </c>
      <c r="V15" s="16" t="str">
        <f>IFERROR(__xludf.DUMMYFUNCTION("""COMPUTED_VALUE"""),"Karachi - University of Karachi")</f>
        <v>Karachi - University of Karachi</v>
      </c>
      <c r="W15" s="16" t="str">
        <f>IFERROR(__xludf.DUMMYFUNCTION("""COMPUTED_VALUE"""),"2023-06-10T09:08:40Z")</f>
        <v>2023-06-10T09:08:40Z</v>
      </c>
      <c r="X15" s="16"/>
      <c r="Y15" s="16"/>
      <c r="Z15" s="16"/>
    </row>
    <row r="16">
      <c r="A16" s="16" t="str">
        <f>IFERROR(__xludf.DUMMYFUNCTION("""COMPUTED_VALUE"""),"5275701_1286840")</f>
        <v>5275701_1286840</v>
      </c>
      <c r="B16" s="16" t="str">
        <f>IFERROR(__xludf.DUMMYFUNCTION("""COMPUTED_VALUE"""),"Ahlem Ben Yaflah")</f>
        <v>Ahlem Ben Yaflah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IFERROR(__xludf.DUMMYFUNCTION("""COMPUTED_VALUE"""),"p_9d8dcb8b7c01cb966fcb564c03751dc7b0f98174@inbound.aiesec.org")</f>
        <v>p_9d8dcb8b7c01cb966fcb564c03751dc7b0f98174@inbound.aiesec.org</v>
      </c>
      <c r="F16" s="16">
        <f>IFERROR(__xludf.DUMMYFUNCTION("""COMPUTED_VALUE"""),5.4924353E7)</f>
        <v>54924353</v>
      </c>
      <c r="G16" s="16" t="str">
        <f>IFERROR(__xludf.DUMMYFUNCTION("""COMPUTED_VALUE"""),"Tunisia")</f>
        <v>Tunisia</v>
      </c>
      <c r="H16" s="16" t="str">
        <f>IFERROR(__xludf.DUMMYFUNCTION("""COMPUTED_VALUE"""),"BARDO")</f>
        <v>BARDO</v>
      </c>
      <c r="I16" s="16" t="str">
        <f>IFERROR(__xludf.DUMMYFUNCTION("""COMPUTED_VALUE"""),"Turkey")</f>
        <v>Turkey</v>
      </c>
      <c r="J16" s="16" t="str">
        <f>IFERROR(__xludf.DUMMYFUNCTION("""COMPUTED_VALUE"""),"ISTANBUL WEST")</f>
        <v>ISTANBUL WEST</v>
      </c>
      <c r="K16" s="17" t="str">
        <f>IFERROR(__xludf.DUMMYFUNCTION("""COMPUTED_VALUE"""),"https://expa.aiesec.org/opportunities/1286840")</f>
        <v>https://expa.aiesec.org/opportunities/1286840</v>
      </c>
      <c r="L16" s="16" t="str">
        <f>IFERROR(__xludf.DUMMYFUNCTION("""COMPUTED_VALUE"""),"GTe")</f>
        <v>GTe</v>
      </c>
      <c r="M16" s="16" t="str">
        <f>IFERROR(__xludf.DUMMYFUNCTION("""COMPUTED_VALUE"""),"long")</f>
        <v>long</v>
      </c>
      <c r="N16" s="18">
        <f>IFERROR(__xludf.DUMMYFUNCTION("""COMPUTED_VALUE"""),45093.0)</f>
        <v>45093</v>
      </c>
      <c r="O16" s="18">
        <f>IFERROR(__xludf.DUMMYFUNCTION("""COMPUTED_VALUE"""),45153.0)</f>
        <v>45153</v>
      </c>
      <c r="P16" s="18">
        <f>IFERROR(__xludf.DUMMYFUNCTION("""COMPUTED_VALUE"""),45518.0)</f>
        <v>45518</v>
      </c>
      <c r="Q16" s="18"/>
      <c r="R16" s="18"/>
      <c r="S16" s="16"/>
      <c r="T16" s="16" t="str">
        <f>IFERROR(__xludf.DUMMYFUNCTION("""COMPUTED_VALUE"""),"Business Development")</f>
        <v>Business Development</v>
      </c>
      <c r="U16" s="16" t="str">
        <f>IFERROR(__xludf.DUMMYFUNCTION("""COMPUTED_VALUE"""),"Pre-School Teacher at Istanbul AIKA/Büyükçekmece")</f>
        <v>Pre-School Teacher at Istanbul AIKA/Büyükçekmece</v>
      </c>
      <c r="V16" s="16" t="str">
        <f>IFERROR(__xludf.DUMMYFUNCTION("""COMPUTED_VALUE"""),"FSHS Tunis")</f>
        <v>FSHS Tunis</v>
      </c>
      <c r="W16" s="16" t="str">
        <f>IFERROR(__xludf.DUMMYFUNCTION("""COMPUTED_VALUE"""),"2023-06-15T14:51:21Z")</f>
        <v>2023-06-15T14:51:21Z</v>
      </c>
      <c r="X16" s="16"/>
      <c r="Y16" s="16"/>
      <c r="Z16" s="16"/>
    </row>
    <row r="17">
      <c r="A17" s="16" t="str">
        <f>IFERROR(__xludf.DUMMYFUNCTION("""COMPUTED_VALUE"""),"5059224_1294941")</f>
        <v>5059224_1294941</v>
      </c>
      <c r="B17" s="16" t="str">
        <f>IFERROR(__xludf.DUMMYFUNCTION("""COMPUTED_VALUE"""),"Mohamed Nibras")</f>
        <v>Mohamed Nibras</v>
      </c>
      <c r="C17" s="16" t="str">
        <f>IFERROR(__xludf.DUMMYFUNCTION("""COMPUTED_VALUE"""),"approved")</f>
        <v>approved</v>
      </c>
      <c r="D17" s="16" t="str">
        <f>IFERROR(__xludf.DUMMYFUNCTION("""COMPUTED_VALUE"""),"No")</f>
        <v>No</v>
      </c>
      <c r="E17" s="16" t="str">
        <f>IFERROR(__xludf.DUMMYFUNCTION("""COMPUTED_VALUE"""),"p_a76946262732720fa03a46ad625776443ba1c139@inbound.aiesec.org")</f>
        <v>p_a76946262732720fa03a46ad625776443ba1c139@inbound.aiesec.org</v>
      </c>
      <c r="F17" s="16">
        <f>IFERROR(__xludf.DUMMYFUNCTION("""COMPUTED_VALUE"""),7.74980864E8)</f>
        <v>774980864</v>
      </c>
      <c r="G17" s="16" t="str">
        <f>IFERROR(__xludf.DUMMYFUNCTION("""COMPUTED_VALUE"""),"Sri Lanka")</f>
        <v>Sri Lanka</v>
      </c>
      <c r="H17" s="16" t="str">
        <f>IFERROR(__xludf.DUMMYFUNCTION("""COMPUTED_VALUE"""),"COLOMBO CENTRAL")</f>
        <v>COLOMBO CENTRAL</v>
      </c>
      <c r="I17" s="16" t="str">
        <f>IFERROR(__xludf.DUMMYFUNCTION("""COMPUTED_VALUE"""),"Turkey")</f>
        <v>Turkey</v>
      </c>
      <c r="J17" s="16" t="str">
        <f>IFERROR(__xludf.DUMMYFUNCTION("""COMPUTED_VALUE"""),"ADANA")</f>
        <v>ADANA</v>
      </c>
      <c r="K17" s="17" t="str">
        <f>IFERROR(__xludf.DUMMYFUNCTION("""COMPUTED_VALUE"""),"https://expa.aiesec.org/opportunities/1294941")</f>
        <v>https://expa.aiesec.org/opportunities/1294941</v>
      </c>
      <c r="L17" s="16" t="str">
        <f>IFERROR(__xludf.DUMMYFUNCTION("""COMPUTED_VALUE"""),"GTe")</f>
        <v>GTe</v>
      </c>
      <c r="M17" s="16" t="str">
        <f>IFERROR(__xludf.DUMMYFUNCTION("""COMPUTED_VALUE"""),"long")</f>
        <v>long</v>
      </c>
      <c r="N17" s="18">
        <f>IFERROR(__xludf.DUMMYFUNCTION("""COMPUTED_VALUE"""),45097.0)</f>
        <v>45097</v>
      </c>
      <c r="O17" s="18">
        <f>IFERROR(__xludf.DUMMYFUNCTION("""COMPUTED_VALUE"""),45153.0)</f>
        <v>45153</v>
      </c>
      <c r="P17" s="18">
        <f>IFERROR(__xludf.DUMMYFUNCTION("""COMPUTED_VALUE"""),45474.0)</f>
        <v>45474</v>
      </c>
      <c r="Q17" s="18"/>
      <c r="R17" s="18"/>
      <c r="S17" s="16"/>
      <c r="T17" s="16"/>
      <c r="U17" s="16" t="str">
        <f>IFERROR(__xludf.DUMMYFUNCTION("""COMPUTED_VALUE"""),"English Teaching in Diyarbakır TED")</f>
        <v>English Teaching in Diyarbakır TED</v>
      </c>
      <c r="V17" s="16" t="str">
        <f>IFERROR(__xludf.DUMMYFUNCTION("""COMPUTED_VALUE"""),"University of Colombo")</f>
        <v>University of Colombo</v>
      </c>
      <c r="W17" s="16" t="str">
        <f>IFERROR(__xludf.DUMMYFUNCTION("""COMPUTED_VALUE"""),"2022-05-18T11:15:16Z")</f>
        <v>2022-05-18T11:15:16Z</v>
      </c>
      <c r="X17" s="16"/>
      <c r="Y17" s="16"/>
      <c r="Z17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</hyperlinks>
  <drawing r:id="rId1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&gt;=date'2023-02-01' and N &lt;date'2023-07-01' and C = 'approved' and G = 'Turkey' and ( L = 'GTa' or L = 'GTe' ) and O &gt;=date'2023-07-16'and O &lt;=date'2023-09-25'"",1)"),"EP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IFERROR(__xludf.DUMMYFUNCTION("""COMPUTED_VALUE"""),"5228897_1289161")</f>
        <v>5228897_1289161</v>
      </c>
      <c r="B2" s="16" t="str">
        <f>IFERROR(__xludf.DUMMYFUNCTION("""COMPUTED_VALUE"""),"mehdi ahmad")</f>
        <v>mehdi ahmad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IFERROR(__xludf.DUMMYFUNCTION("""COMPUTED_VALUE"""),"p_61fcc11e518f0c5f380636a20240d4a30ed3aed5@inbound.aiesec.org")</f>
        <v>p_61fcc11e518f0c5f380636a20240d4a30ed3aed5@inbound.aiesec.org</v>
      </c>
      <c r="F2" s="16">
        <f>IFERROR(__xludf.DUMMYFUNCTION("""COMPUTED_VALUE"""),3.3818893E7)</f>
        <v>33818893</v>
      </c>
      <c r="G2" s="16" t="str">
        <f>IFERROR(__xludf.DUMMYFUNCTION("""COMPUTED_VALUE"""),"Turkey")</f>
        <v>Turkey</v>
      </c>
      <c r="H2" s="16" t="str">
        <f>IFERROR(__xludf.DUMMYFUNCTION("""COMPUTED_VALUE"""),"EASTERN MEDITERRANEAN")</f>
        <v>EASTERN MEDITERRANEAN</v>
      </c>
      <c r="I2" s="16" t="str">
        <f>IFERROR(__xludf.DUMMYFUNCTION("""COMPUTED_VALUE"""),"India")</f>
        <v>India</v>
      </c>
      <c r="J2" s="16" t="str">
        <f>IFERROR(__xludf.DUMMYFUNCTION("""COMPUTED_VALUE"""),"VIT")</f>
        <v>VIT</v>
      </c>
      <c r="K2" s="17" t="str">
        <f>IFERROR(__xludf.DUMMYFUNCTION("""COMPUTED_VALUE"""),"https://expa.aiesec.org/opportunities/1289161")</f>
        <v>https://expa.aiesec.org/opportunities/1289161</v>
      </c>
      <c r="L2" s="16" t="str">
        <f>IFERROR(__xludf.DUMMYFUNCTION("""COMPUTED_VALUE"""),"GTa")</f>
        <v>GTa</v>
      </c>
      <c r="M2" s="16" t="str">
        <f>IFERROR(__xludf.DUMMYFUNCTION("""COMPUTED_VALUE"""),"short")</f>
        <v>short</v>
      </c>
      <c r="N2" s="18">
        <f>IFERROR(__xludf.DUMMYFUNCTION("""COMPUTED_VALUE"""),45014.0)</f>
        <v>45014</v>
      </c>
      <c r="O2" s="18">
        <f>IFERROR(__xludf.DUMMYFUNCTION("""COMPUTED_VALUE"""),45124.0)</f>
        <v>45124</v>
      </c>
      <c r="P2" s="18">
        <f>IFERROR(__xludf.DUMMYFUNCTION("""COMPUTED_VALUE"""),45179.0)</f>
        <v>45179</v>
      </c>
      <c r="Q2" s="18"/>
      <c r="R2" s="18"/>
      <c r="S2" s="16"/>
      <c r="T2" s="16" t="str">
        <f>IFERROR(__xludf.DUMMYFUNCTION("""COMPUTED_VALUE"""),"Engineering")</f>
        <v>Engineering</v>
      </c>
      <c r="U2" s="16" t="str">
        <f>IFERROR(__xludf.DUMMYFUNCTION("""COMPUTED_VALUE"""),"Research Intern | Automotive Engineering| In India  ")</f>
        <v>Research Intern | Automotive Engineering| In India  </v>
      </c>
      <c r="V2" s="16" t="str">
        <f>IFERROR(__xludf.DUMMYFUNCTION("""COMPUTED_VALUE"""),"NORTH CYPRUS")</f>
        <v>NORTH CYPRUS</v>
      </c>
      <c r="W2" s="16" t="str">
        <f>IFERROR(__xludf.DUMMYFUNCTION("""COMPUTED_VALUE"""),"2023-03-28T10:57:12Z")</f>
        <v>2023-03-28T10:57:12Z</v>
      </c>
      <c r="X2" s="16"/>
      <c r="Y2" s="16"/>
      <c r="Z2" s="16"/>
    </row>
    <row r="3">
      <c r="A3" s="16" t="str">
        <f>IFERROR(__xludf.DUMMYFUNCTION("""COMPUTED_VALUE"""),"5260607_1290077")</f>
        <v>5260607_1290077</v>
      </c>
      <c r="B3" s="16" t="str">
        <f>IFERROR(__xludf.DUMMYFUNCTION("""COMPUTED_VALUE"""),"Gamze Öncü")</f>
        <v>Gamze Öncü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IFERROR(__xludf.DUMMYFUNCTION("""COMPUTED_VALUE"""),"p_04887dfcdcfe40bb6088242bff2137b7f0cbbdf1@inbound.aiesec.org")</f>
        <v>p_04887dfcdcfe40bb6088242bff2137b7f0cbbdf1@inbound.aiesec.org</v>
      </c>
      <c r="F3" s="16"/>
      <c r="G3" s="16" t="str">
        <f>IFERROR(__xludf.DUMMYFUNCTION("""COMPUTED_VALUE"""),"Turkey")</f>
        <v>Turkey</v>
      </c>
      <c r="H3" s="16" t="str">
        <f>IFERROR(__xludf.DUMMYFUNCTION("""COMPUTED_VALUE"""),"KONYA")</f>
        <v>KONYA</v>
      </c>
      <c r="I3" s="16" t="str">
        <f>IFERROR(__xludf.DUMMYFUNCTION("""COMPUTED_VALUE"""),"Sri Lanka")</f>
        <v>Sri Lanka</v>
      </c>
      <c r="J3" s="16" t="str">
        <f>IFERROR(__xludf.DUMMYFUNCTION("""COMPUTED_VALUE"""),"COLOMBO SOUTH")</f>
        <v>COLOMBO SOUTH</v>
      </c>
      <c r="K3" s="17" t="str">
        <f>IFERROR(__xludf.DUMMYFUNCTION("""COMPUTED_VALUE"""),"https://expa.aiesec.org/opportunities/1290077")</f>
        <v>https://expa.aiesec.org/opportunities/1290077</v>
      </c>
      <c r="L3" s="16" t="str">
        <f>IFERROR(__xludf.DUMMYFUNCTION("""COMPUTED_VALUE"""),"GTe")</f>
        <v>GTe</v>
      </c>
      <c r="M3" s="16" t="str">
        <f>IFERROR(__xludf.DUMMYFUNCTION("""COMPUTED_VALUE"""),"medium")</f>
        <v>medium</v>
      </c>
      <c r="N3" s="18">
        <f>IFERROR(__xludf.DUMMYFUNCTION("""COMPUTED_VALUE"""),45061.0)</f>
        <v>45061</v>
      </c>
      <c r="O3" s="18">
        <f>IFERROR(__xludf.DUMMYFUNCTION("""COMPUTED_VALUE"""),45173.0)</f>
        <v>45173</v>
      </c>
      <c r="P3" s="18">
        <f>IFERROR(__xludf.DUMMYFUNCTION("""COMPUTED_VALUE"""),45327.0)</f>
        <v>45327</v>
      </c>
      <c r="Q3" s="18"/>
      <c r="R3" s="18"/>
      <c r="S3" s="16"/>
      <c r="T3" s="16"/>
      <c r="U3" s="16" t="str">
        <f>IFERROR(__xludf.DUMMYFUNCTION("""COMPUTED_VALUE"""),"English Teacher")</f>
        <v>English Teacher</v>
      </c>
      <c r="V3" s="16" t="str">
        <f>IFERROR(__xludf.DUMMYFUNCTION("""COMPUTED_VALUE"""),"KONYA")</f>
        <v>KONYA</v>
      </c>
      <c r="W3" s="16" t="str">
        <f>IFERROR(__xludf.DUMMYFUNCTION("""COMPUTED_VALUE"""),"2023-05-13T16:42:50Z")</f>
        <v>2023-05-13T16:42:50Z</v>
      </c>
      <c r="X3" s="16"/>
      <c r="Y3" s="16"/>
      <c r="Z3" s="16"/>
    </row>
    <row r="4">
      <c r="A4" s="16" t="str">
        <f>IFERROR(__xludf.DUMMYFUNCTION("""COMPUTED_VALUE"""),"5273114_1296108")</f>
        <v>5273114_1296108</v>
      </c>
      <c r="B4" s="16" t="str">
        <f>IFERROR(__xludf.DUMMYFUNCTION("""COMPUTED_VALUE"""),"furkan mutlu")</f>
        <v>furkan mutlu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IFERROR(__xludf.DUMMYFUNCTION("""COMPUTED_VALUE"""),"p_045d1ee2ff886974e70cbd919e02633bc4bf3a5f@inbound.aiesec.org")</f>
        <v>p_045d1ee2ff886974e70cbd919e02633bc4bf3a5f@inbound.aiesec.org</v>
      </c>
      <c r="F4" s="16">
        <f>IFERROR(__xludf.DUMMYFUNCTION("""COMPUTED_VALUE"""),1.7615082928E10)</f>
        <v>17615082928</v>
      </c>
      <c r="G4" s="16" t="str">
        <f>IFERROR(__xludf.DUMMYFUNCTION("""COMPUTED_VALUE"""),"Turkey")</f>
        <v>Turkey</v>
      </c>
      <c r="H4" s="16" t="str">
        <f>IFERROR(__xludf.DUMMYFUNCTION("""COMPUTED_VALUE"""),"ISTANBUL")</f>
        <v>ISTANBUL</v>
      </c>
      <c r="I4" s="16" t="str">
        <f>IFERROR(__xludf.DUMMYFUNCTION("""COMPUTED_VALUE"""),"Germany")</f>
        <v>Germany</v>
      </c>
      <c r="J4" s="16" t="str">
        <f>IFERROR(__xludf.DUMMYFUNCTION("""COMPUTED_VALUE"""),"KOELN")</f>
        <v>KOELN</v>
      </c>
      <c r="K4" s="17" t="str">
        <f>IFERROR(__xludf.DUMMYFUNCTION("""COMPUTED_VALUE"""),"https://expa.aiesec.org/opportunities/1296108")</f>
        <v>https://expa.aiesec.org/opportunities/1296108</v>
      </c>
      <c r="L4" s="16" t="str">
        <f>IFERROR(__xludf.DUMMYFUNCTION("""COMPUTED_VALUE"""),"GTa")</f>
        <v>GTa</v>
      </c>
      <c r="M4" s="16" t="str">
        <f>IFERROR(__xludf.DUMMYFUNCTION("""COMPUTED_VALUE"""),"long")</f>
        <v>long</v>
      </c>
      <c r="N4" s="18">
        <f>IFERROR(__xludf.DUMMYFUNCTION("""COMPUTED_VALUE"""),45085.0)</f>
        <v>45085</v>
      </c>
      <c r="O4" s="18">
        <f>IFERROR(__xludf.DUMMYFUNCTION("""COMPUTED_VALUE"""),45170.0)</f>
        <v>45170</v>
      </c>
      <c r="P4" s="18">
        <f>IFERROR(__xludf.DUMMYFUNCTION("""COMPUTED_VALUE"""),45535.0)</f>
        <v>45535</v>
      </c>
      <c r="Q4" s="18"/>
      <c r="R4" s="18"/>
      <c r="S4" s="16"/>
      <c r="T4" s="16" t="str">
        <f>IFERROR(__xludf.DUMMYFUNCTION("""COMPUTED_VALUE"""),"Information Technology")</f>
        <v>Information Technology</v>
      </c>
      <c r="U4" s="16" t="str">
        <f>IFERROR(__xludf.DUMMYFUNCTION("""COMPUTED_VALUE"""),"Industrial Engineering")</f>
        <v>Industrial Engineering</v>
      </c>
      <c r="V4" s="16" t="str">
        <f>IFERROR(__xludf.DUMMYFUNCTION("""COMPUTED_VALUE"""),"ISTANBUL - BEYOGLU")</f>
        <v>ISTANBUL - BEYOGLU</v>
      </c>
      <c r="W4" s="16" t="str">
        <f>IFERROR(__xludf.DUMMYFUNCTION("""COMPUTED_VALUE"""),"2023-06-08T20:54:38Z")</f>
        <v>2023-06-08T20:54:38Z</v>
      </c>
      <c r="X4" s="16"/>
      <c r="Y4" s="16"/>
      <c r="Z4" s="16"/>
    </row>
    <row r="5">
      <c r="A5" s="16" t="str">
        <f>IFERROR(__xludf.DUMMYFUNCTION("""COMPUTED_VALUE"""),"5273837_1295364")</f>
        <v>5273837_1295364</v>
      </c>
      <c r="B5" s="16" t="str">
        <f>IFERROR(__xludf.DUMMYFUNCTION("""COMPUTED_VALUE"""),"Harun Alma")</f>
        <v>Harun Alma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IFERROR(__xludf.DUMMYFUNCTION("""COMPUTED_VALUE"""),"p_7a3ae0d718e1081370d2c839ed63f4d739ed8e2a@inbound.aiesec.org")</f>
        <v>p_7a3ae0d718e1081370d2c839ed63f4d739ed8e2a@inbound.aiesec.org</v>
      </c>
      <c r="F5" s="16">
        <f>IFERROR(__xludf.DUMMYFUNCTION("""COMPUTED_VALUE"""),5.462747518E9)</f>
        <v>5462747518</v>
      </c>
      <c r="G5" s="16" t="str">
        <f>IFERROR(__xludf.DUMMYFUNCTION("""COMPUTED_VALUE"""),"Turkey")</f>
        <v>Turkey</v>
      </c>
      <c r="H5" s="16" t="str">
        <f>IFERROR(__xludf.DUMMYFUNCTION("""COMPUTED_VALUE"""),"GAZIANTEP")</f>
        <v>GAZIANTEP</v>
      </c>
      <c r="I5" s="16" t="str">
        <f>IFERROR(__xludf.DUMMYFUNCTION("""COMPUTED_VALUE"""),"Tunisia")</f>
        <v>Tunisia</v>
      </c>
      <c r="J5" s="16" t="str">
        <f>IFERROR(__xludf.DUMMYFUNCTION("""COMPUTED_VALUE"""),"Bizerte")</f>
        <v>Bizerte</v>
      </c>
      <c r="K5" s="17" t="str">
        <f>IFERROR(__xludf.DUMMYFUNCTION("""COMPUTED_VALUE"""),"https://expa.aiesec.org/opportunities/1295364")</f>
        <v>https://expa.aiesec.org/opportunities/1295364</v>
      </c>
      <c r="L5" s="16" t="str">
        <f>IFERROR(__xludf.DUMMYFUNCTION("""COMPUTED_VALUE"""),"GTe")</f>
        <v>GTe</v>
      </c>
      <c r="M5" s="16" t="str">
        <f>IFERROR(__xludf.DUMMYFUNCTION("""COMPUTED_VALUE"""),"short")</f>
        <v>short</v>
      </c>
      <c r="N5" s="18">
        <f>IFERROR(__xludf.DUMMYFUNCTION("""COMPUTED_VALUE"""),45093.0)</f>
        <v>45093</v>
      </c>
      <c r="O5" s="18">
        <f>IFERROR(__xludf.DUMMYFUNCTION("""COMPUTED_VALUE"""),45124.0)</f>
        <v>45124</v>
      </c>
      <c r="P5" s="18">
        <f>IFERROR(__xludf.DUMMYFUNCTION("""COMPUTED_VALUE"""),45187.0)</f>
        <v>45187</v>
      </c>
      <c r="Q5" s="18"/>
      <c r="R5" s="18"/>
      <c r="S5" s="16"/>
      <c r="T5" s="16"/>
      <c r="U5" s="16" t="str">
        <f>IFERROR(__xludf.DUMMYFUNCTION("""COMPUTED_VALUE"""),"Turkish Teaching")</f>
        <v>Turkish Teaching</v>
      </c>
      <c r="V5" s="16" t="str">
        <f>IFERROR(__xludf.DUMMYFUNCTION("""COMPUTED_VALUE"""),"SANLIURFA")</f>
        <v>SANLIURFA</v>
      </c>
      <c r="W5" s="16" t="str">
        <f>IFERROR(__xludf.DUMMYFUNCTION("""COMPUTED_VALUE"""),"2023-06-11T08:19:44Z")</f>
        <v>2023-06-11T08:19:44Z</v>
      </c>
      <c r="X5" s="16"/>
      <c r="Y5" s="16"/>
      <c r="Z5" s="16"/>
    </row>
  </sheetData>
  <hyperlinks>
    <hyperlink r:id="rId1" ref="K2"/>
    <hyperlink r:id="rId2" ref="K3"/>
    <hyperlink r:id="rId3" ref="K4"/>
    <hyperlink r:id="rId4" ref="K5"/>
  </hyperlinks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Realizations'!A1:Z1000,""Select * Where N &gt;=date'2023-02-01' and N &lt;date'2023-07-01' and C = 'approved' and G = 'Turkey' and L = 'GV' and O &gt;=date'2023-07-16'and O &lt;=date'2023-09-25' 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IFERROR(__xludf.DUMMYFUNCTION("""COMPUTED_VALUE"""),"5179090_1291372")</f>
        <v>5179090_1291372</v>
      </c>
      <c r="B2" s="16" t="str">
        <f>IFERROR(__xludf.DUMMYFUNCTION("""COMPUTED_VALUE"""),"Hazar Yazgan Hacıahmetoğlu")</f>
        <v>Hazar Yazgan Hacıahmetoğlu</v>
      </c>
      <c r="C2" s="16" t="str">
        <f>IFERROR(__xludf.DUMMYFUNCTION("""COMPUTED_VALUE"""),"approved")</f>
        <v>approved</v>
      </c>
      <c r="D2" s="16" t="str">
        <f>IFERROR(__xludf.DUMMYFUNCTION("""COMPUTED_VALUE"""),"No")</f>
        <v>No</v>
      </c>
      <c r="E2" s="16" t="str">
        <f>IFERROR(__xludf.DUMMYFUNCTION("""COMPUTED_VALUE"""),"p_8a374a0e134cfb22c5152e2bde7f09fbe77ed7cd@inbound.aiesec.org")</f>
        <v>p_8a374a0e134cfb22c5152e2bde7f09fbe77ed7cd@inbound.aiesec.org</v>
      </c>
      <c r="F2" s="16">
        <f>IFERROR(__xludf.DUMMYFUNCTION("""COMPUTED_VALUE"""),5.385477061E9)</f>
        <v>5385477061</v>
      </c>
      <c r="G2" s="16" t="str">
        <f>IFERROR(__xludf.DUMMYFUNCTION("""COMPUTED_VALUE"""),"Turkey")</f>
        <v>Turkey</v>
      </c>
      <c r="H2" s="16" t="str">
        <f>IFERROR(__xludf.DUMMYFUNCTION("""COMPUTED_VALUE"""),"ISTANBUL")</f>
        <v>ISTANBUL</v>
      </c>
      <c r="I2" s="16" t="str">
        <f>IFERROR(__xludf.DUMMYFUNCTION("""COMPUTED_VALUE"""),"Brazil")</f>
        <v>Brazil</v>
      </c>
      <c r="J2" s="16" t="str">
        <f>IFERROR(__xludf.DUMMYFUNCTION("""COMPUTED_VALUE"""),"FLORIANÓPOLIS")</f>
        <v>FLORIANÓPOLIS</v>
      </c>
      <c r="K2" s="17" t="str">
        <f>IFERROR(__xludf.DUMMYFUNCTION("""COMPUTED_VALUE"""),"https://expa.aiesec.org/opportunities/1291372")</f>
        <v>https://expa.aiesec.org/opportunities/1291372</v>
      </c>
      <c r="L2" s="16" t="str">
        <f>IFERROR(__xludf.DUMMYFUNCTION("""COMPUTED_VALUE"""),"GV")</f>
        <v>GV</v>
      </c>
      <c r="M2" s="16" t="str">
        <f>IFERROR(__xludf.DUMMYFUNCTION("""COMPUTED_VALUE"""),"short")</f>
        <v>short</v>
      </c>
      <c r="N2" s="18">
        <f>IFERROR(__xludf.DUMMYFUNCTION("""COMPUTED_VALUE"""),44963.0)</f>
        <v>44963</v>
      </c>
      <c r="O2" s="18">
        <f>IFERROR(__xludf.DUMMYFUNCTION("""COMPUTED_VALUE"""),45131.0)</f>
        <v>45131</v>
      </c>
      <c r="P2" s="18">
        <f>IFERROR(__xludf.DUMMYFUNCTION("""COMPUTED_VALUE"""),45173.0)</f>
        <v>45173</v>
      </c>
      <c r="Q2" s="18"/>
      <c r="R2" s="18"/>
      <c r="S2" s="16"/>
      <c r="T2" s="16"/>
      <c r="U2" s="16" t="str">
        <f>IFERROR(__xludf.DUMMYFUNCTION("""COMPUTED_VALUE"""),"Youth 4 Impact")</f>
        <v>Youth 4 Impact</v>
      </c>
      <c r="V2" s="16" t="str">
        <f>IFERROR(__xludf.DUMMYFUNCTION("""COMPUTED_VALUE"""),"ISTANBUL - BEYOGLU")</f>
        <v>ISTANBUL - BEYOGLU</v>
      </c>
      <c r="W2" s="16" t="str">
        <f>IFERROR(__xludf.DUMMYFUNCTION("""COMPUTED_VALUE"""),"2023-01-21T14:22:33Z")</f>
        <v>2023-01-21T14:22:33Z</v>
      </c>
      <c r="X2" s="16"/>
      <c r="Y2" s="16"/>
      <c r="Z2" s="16"/>
    </row>
    <row r="3">
      <c r="A3" s="16" t="str">
        <f>IFERROR(__xludf.DUMMYFUNCTION("""COMPUTED_VALUE"""),"5176078_1290799")</f>
        <v>5176078_1290799</v>
      </c>
      <c r="B3" s="16" t="str">
        <f>IFERROR(__xludf.DUMMYFUNCTION("""COMPUTED_VALUE"""),"Başak Kazan")</f>
        <v>Başak Kazan</v>
      </c>
      <c r="C3" s="16" t="str">
        <f>IFERROR(__xludf.DUMMYFUNCTION("""COMPUTED_VALUE"""),"approved")</f>
        <v>approved</v>
      </c>
      <c r="D3" s="16" t="str">
        <f>IFERROR(__xludf.DUMMYFUNCTION("""COMPUTED_VALUE"""),"No")</f>
        <v>No</v>
      </c>
      <c r="E3" s="16" t="str">
        <f>IFERROR(__xludf.DUMMYFUNCTION("""COMPUTED_VALUE"""),"p_ef193f2cfcb6a8a67212249e5331eefb28577019@inbound.aiesec.org")</f>
        <v>p_ef193f2cfcb6a8a67212249e5331eefb28577019@inbound.aiesec.org</v>
      </c>
      <c r="F3" s="16">
        <f>IFERROR(__xludf.DUMMYFUNCTION("""COMPUTED_VALUE"""),5.360559139E9)</f>
        <v>5360559139</v>
      </c>
      <c r="G3" s="16" t="str">
        <f>IFERROR(__xludf.DUMMYFUNCTION("""COMPUTED_VALUE"""),"Turkey")</f>
        <v>Turkey</v>
      </c>
      <c r="H3" s="16" t="str">
        <f>IFERROR(__xludf.DUMMYFUNCTION("""COMPUTED_VALUE"""),"KOCAELI")</f>
        <v>KOCAELI</v>
      </c>
      <c r="I3" s="16" t="str">
        <f>IFERROR(__xludf.DUMMYFUNCTION("""COMPUTED_VALUE"""),"Romania")</f>
        <v>Romania</v>
      </c>
      <c r="J3" s="16" t="str">
        <f>IFERROR(__xludf.DUMMYFUNCTION("""COMPUTED_VALUE"""),"BUCURESTI")</f>
        <v>BUCURESTI</v>
      </c>
      <c r="K3" s="17" t="str">
        <f>IFERROR(__xludf.DUMMYFUNCTION("""COMPUTED_VALUE"""),"https://expa.aiesec.org/opportunities/1290799")</f>
        <v>https://expa.aiesec.org/opportunities/1290799</v>
      </c>
      <c r="L3" s="16" t="str">
        <f>IFERROR(__xludf.DUMMYFUNCTION("""COMPUTED_VALUE"""),"GV")</f>
        <v>GV</v>
      </c>
      <c r="M3" s="16" t="str">
        <f>IFERROR(__xludf.DUMMYFUNCTION("""COMPUTED_VALUE"""),"short")</f>
        <v>short</v>
      </c>
      <c r="N3" s="18">
        <f>IFERROR(__xludf.DUMMYFUNCTION("""COMPUTED_VALUE"""),44965.0)</f>
        <v>44965</v>
      </c>
      <c r="O3" s="18">
        <f>IFERROR(__xludf.DUMMYFUNCTION("""COMPUTED_VALUE"""),45131.0)</f>
        <v>45131</v>
      </c>
      <c r="P3" s="18">
        <f>IFERROR(__xludf.DUMMYFUNCTION("""COMPUTED_VALUE"""),45173.0)</f>
        <v>45173</v>
      </c>
      <c r="Q3" s="18"/>
      <c r="R3" s="18"/>
      <c r="S3" s="16"/>
      <c r="T3" s="16"/>
      <c r="U3" s="16" t="str">
        <f>IFERROR(__xludf.DUMMYFUNCTION("""COMPUTED_VALUE"""),"Fingerprint")</f>
        <v>Fingerprint</v>
      </c>
      <c r="V3" s="16" t="str">
        <f>IFERROR(__xludf.DUMMYFUNCTION("""COMPUTED_VALUE"""),"KOCAELI")</f>
        <v>KOCAELI</v>
      </c>
      <c r="W3" s="16" t="str">
        <f>IFERROR(__xludf.DUMMYFUNCTION("""COMPUTED_VALUE"""),"2023-01-12T22:03:28Z")</f>
        <v>2023-01-12T22:03:28Z</v>
      </c>
      <c r="X3" s="16"/>
      <c r="Y3" s="16"/>
      <c r="Z3" s="16"/>
    </row>
    <row r="4">
      <c r="A4" s="16" t="str">
        <f>IFERROR(__xludf.DUMMYFUNCTION("""COMPUTED_VALUE"""),"5184328_1292342")</f>
        <v>5184328_1292342</v>
      </c>
      <c r="B4" s="16" t="str">
        <f>IFERROR(__xludf.DUMMYFUNCTION("""COMPUTED_VALUE"""),"Ezgi Beydilli")</f>
        <v>Ezgi Beydilli</v>
      </c>
      <c r="C4" s="16" t="str">
        <f>IFERROR(__xludf.DUMMYFUNCTION("""COMPUTED_VALUE"""),"approved")</f>
        <v>approved</v>
      </c>
      <c r="D4" s="16" t="str">
        <f>IFERROR(__xludf.DUMMYFUNCTION("""COMPUTED_VALUE"""),"No")</f>
        <v>No</v>
      </c>
      <c r="E4" s="16" t="str">
        <f>IFERROR(__xludf.DUMMYFUNCTION("""COMPUTED_VALUE"""),"p_12aeeca495903564a4153dc7e2a5f7cb4d8ff548@inbound.aiesec.org")</f>
        <v>p_12aeeca495903564a4153dc7e2a5f7cb4d8ff548@inbound.aiesec.org</v>
      </c>
      <c r="F4" s="16">
        <f>IFERROR(__xludf.DUMMYFUNCTION("""COMPUTED_VALUE"""),5.435019541E9)</f>
        <v>5435019541</v>
      </c>
      <c r="G4" s="16" t="str">
        <f>IFERROR(__xludf.DUMMYFUNCTION("""COMPUTED_VALUE"""),"Turkey")</f>
        <v>Turkey</v>
      </c>
      <c r="H4" s="16" t="str">
        <f>IFERROR(__xludf.DUMMYFUNCTION("""COMPUTED_VALUE"""),"ANKARA")</f>
        <v>ANKARA</v>
      </c>
      <c r="I4" s="16" t="str">
        <f>IFERROR(__xludf.DUMMYFUNCTION("""COMPUTED_VALUE"""),"Romania")</f>
        <v>Romania</v>
      </c>
      <c r="J4" s="16" t="str">
        <f>IFERROR(__xludf.DUMMYFUNCTION("""COMPUTED_VALUE"""),"BUCURESTI")</f>
        <v>BUCURESTI</v>
      </c>
      <c r="K4" s="17" t="str">
        <f>IFERROR(__xludf.DUMMYFUNCTION("""COMPUTED_VALUE"""),"https://expa.aiesec.org/opportunities/1292342")</f>
        <v>https://expa.aiesec.org/opportunities/1292342</v>
      </c>
      <c r="L4" s="16" t="str">
        <f>IFERROR(__xludf.DUMMYFUNCTION("""COMPUTED_VALUE"""),"GV")</f>
        <v>GV</v>
      </c>
      <c r="M4" s="16" t="str">
        <f>IFERROR(__xludf.DUMMYFUNCTION("""COMPUTED_VALUE"""),"short")</f>
        <v>short</v>
      </c>
      <c r="N4" s="18">
        <f>IFERROR(__xludf.DUMMYFUNCTION("""COMPUTED_VALUE"""),44978.0)</f>
        <v>44978</v>
      </c>
      <c r="O4" s="18">
        <f>IFERROR(__xludf.DUMMYFUNCTION("""COMPUTED_VALUE"""),45124.0)</f>
        <v>45124</v>
      </c>
      <c r="P4" s="18">
        <f>IFERROR(__xludf.DUMMYFUNCTION("""COMPUTED_VALUE"""),45166.0)</f>
        <v>45166</v>
      </c>
      <c r="Q4" s="18"/>
      <c r="R4" s="18"/>
      <c r="S4" s="16"/>
      <c r="T4" s="16"/>
      <c r="U4" s="16" t="str">
        <f>IFERROR(__xludf.DUMMYFUNCTION("""COMPUTED_VALUE"""),"Global Classroom")</f>
        <v>Global Classroom</v>
      </c>
      <c r="V4" s="16" t="str">
        <f>IFERROR(__xludf.DUMMYFUNCTION("""COMPUTED_VALUE"""),"ANKARA")</f>
        <v>ANKARA</v>
      </c>
      <c r="W4" s="16" t="str">
        <f>IFERROR(__xludf.DUMMYFUNCTION("""COMPUTED_VALUE"""),"2023-02-02T17:09:38Z")</f>
        <v>2023-02-02T17:09:38Z</v>
      </c>
      <c r="X4" s="16"/>
      <c r="Y4" s="16"/>
      <c r="Z4" s="16"/>
    </row>
    <row r="5">
      <c r="A5" s="16" t="str">
        <f>IFERROR(__xludf.DUMMYFUNCTION("""COMPUTED_VALUE"""),"5072323_1289985")</f>
        <v>5072323_1289985</v>
      </c>
      <c r="B5" s="16" t="str">
        <f>IFERROR(__xludf.DUMMYFUNCTION("""COMPUTED_VALUE"""),"ELİF TEZGEL")</f>
        <v>ELİF TEZGEL</v>
      </c>
      <c r="C5" s="16" t="str">
        <f>IFERROR(__xludf.DUMMYFUNCTION("""COMPUTED_VALUE"""),"approved")</f>
        <v>approved</v>
      </c>
      <c r="D5" s="16" t="str">
        <f>IFERROR(__xludf.DUMMYFUNCTION("""COMPUTED_VALUE"""),"No")</f>
        <v>No</v>
      </c>
      <c r="E5" s="16" t="str">
        <f>IFERROR(__xludf.DUMMYFUNCTION("""COMPUTED_VALUE"""),"p_25deac57555de63670cf00e838e91e3d925f75fe@inbound.aiesec.org")</f>
        <v>p_25deac57555de63670cf00e838e91e3d925f75fe@inbound.aiesec.org</v>
      </c>
      <c r="F5" s="16"/>
      <c r="G5" s="16" t="str">
        <f>IFERROR(__xludf.DUMMYFUNCTION("""COMPUTED_VALUE"""),"Turkey")</f>
        <v>Turkey</v>
      </c>
      <c r="H5" s="16" t="str">
        <f>IFERROR(__xludf.DUMMYFUNCTION("""COMPUTED_VALUE"""),"KONYA")</f>
        <v>KONYA</v>
      </c>
      <c r="I5" s="16" t="str">
        <f>IFERROR(__xludf.DUMMYFUNCTION("""COMPUTED_VALUE"""),"India")</f>
        <v>India</v>
      </c>
      <c r="J5" s="16" t="str">
        <f>IFERROR(__xludf.DUMMYFUNCTION("""COMPUTED_VALUE"""),"Mumbai")</f>
        <v>Mumbai</v>
      </c>
      <c r="K5" s="17" t="str">
        <f>IFERROR(__xludf.DUMMYFUNCTION("""COMPUTED_VALUE"""),"https://expa.aiesec.org/opportunities/1289985")</f>
        <v>https://expa.aiesec.org/opportunities/1289985</v>
      </c>
      <c r="L5" s="16" t="str">
        <f>IFERROR(__xludf.DUMMYFUNCTION("""COMPUTED_VALUE"""),"GV")</f>
        <v>GV</v>
      </c>
      <c r="M5" s="16" t="str">
        <f>IFERROR(__xludf.DUMMYFUNCTION("""COMPUTED_VALUE"""),"short")</f>
        <v>short</v>
      </c>
      <c r="N5" s="18">
        <f>IFERROR(__xludf.DUMMYFUNCTION("""COMPUTED_VALUE"""),44979.0)</f>
        <v>44979</v>
      </c>
      <c r="O5" s="18">
        <f>IFERROR(__xludf.DUMMYFUNCTION("""COMPUTED_VALUE"""),45139.0)</f>
        <v>45139</v>
      </c>
      <c r="P5" s="18">
        <f>IFERROR(__xludf.DUMMYFUNCTION("""COMPUTED_VALUE"""),45181.0)</f>
        <v>45181</v>
      </c>
      <c r="Q5" s="18"/>
      <c r="R5" s="18"/>
      <c r="S5" s="16"/>
      <c r="T5" s="16"/>
      <c r="U5" s="16" t="str">
        <f>IFERROR(__xludf.DUMMYFUNCTION("""COMPUTED_VALUE"""),"Raise Your Voice")</f>
        <v>Raise Your Voice</v>
      </c>
      <c r="V5" s="16" t="str">
        <f>IFERROR(__xludf.DUMMYFUNCTION("""COMPUTED_VALUE"""),"-")</f>
        <v>-</v>
      </c>
      <c r="W5" s="16" t="str">
        <f>IFERROR(__xludf.DUMMYFUNCTION("""COMPUTED_VALUE"""),"2022-06-14T11:27:11Z")</f>
        <v>2022-06-14T11:27:11Z</v>
      </c>
      <c r="X5" s="16"/>
      <c r="Y5" s="16"/>
      <c r="Z5" s="16"/>
    </row>
    <row r="6">
      <c r="A6" s="16" t="str">
        <f>IFERROR(__xludf.DUMMYFUNCTION("""COMPUTED_VALUE"""),"4623036_1289985")</f>
        <v>4623036_1289985</v>
      </c>
      <c r="B6" s="16" t="str">
        <f>IFERROR(__xludf.DUMMYFUNCTION("""COMPUTED_VALUE"""),"Muhammet Mert Seçkin")</f>
        <v>Muhammet Mert Seçkin</v>
      </c>
      <c r="C6" s="16" t="str">
        <f>IFERROR(__xludf.DUMMYFUNCTION("""COMPUTED_VALUE"""),"approved")</f>
        <v>approved</v>
      </c>
      <c r="D6" s="16" t="str">
        <f>IFERROR(__xludf.DUMMYFUNCTION("""COMPUTED_VALUE"""),"No")</f>
        <v>No</v>
      </c>
      <c r="E6" s="16" t="str">
        <f>IFERROR(__xludf.DUMMYFUNCTION("""COMPUTED_VALUE"""),"p_0580c1c5aeb89832dca7dc9cbbe16f6ebfd7e4a7@inbound.aiesec.org")</f>
        <v>p_0580c1c5aeb89832dca7dc9cbbe16f6ebfd7e4a7@inbound.aiesec.org</v>
      </c>
      <c r="F6" s="16">
        <f>IFERROR(__xludf.DUMMYFUNCTION("""COMPUTED_VALUE"""),5.052667525E9)</f>
        <v>5052667525</v>
      </c>
      <c r="G6" s="16" t="str">
        <f>IFERROR(__xludf.DUMMYFUNCTION("""COMPUTED_VALUE"""),"Turkey")</f>
        <v>Turkey</v>
      </c>
      <c r="H6" s="16" t="str">
        <f>IFERROR(__xludf.DUMMYFUNCTION("""COMPUTED_VALUE"""),"KONYA")</f>
        <v>KONYA</v>
      </c>
      <c r="I6" s="16" t="str">
        <f>IFERROR(__xludf.DUMMYFUNCTION("""COMPUTED_VALUE"""),"India")</f>
        <v>India</v>
      </c>
      <c r="J6" s="16" t="str">
        <f>IFERROR(__xludf.DUMMYFUNCTION("""COMPUTED_VALUE"""),"Mumbai")</f>
        <v>Mumbai</v>
      </c>
      <c r="K6" s="17" t="str">
        <f>IFERROR(__xludf.DUMMYFUNCTION("""COMPUTED_VALUE"""),"https://expa.aiesec.org/opportunities/1289985")</f>
        <v>https://expa.aiesec.org/opportunities/1289985</v>
      </c>
      <c r="L6" s="16" t="str">
        <f>IFERROR(__xludf.DUMMYFUNCTION("""COMPUTED_VALUE"""),"GV")</f>
        <v>GV</v>
      </c>
      <c r="M6" s="16" t="str">
        <f>IFERROR(__xludf.DUMMYFUNCTION("""COMPUTED_VALUE"""),"short")</f>
        <v>short</v>
      </c>
      <c r="N6" s="18">
        <f>IFERROR(__xludf.DUMMYFUNCTION("""COMPUTED_VALUE"""),44979.0)</f>
        <v>44979</v>
      </c>
      <c r="O6" s="18">
        <f>IFERROR(__xludf.DUMMYFUNCTION("""COMPUTED_VALUE"""),45170.0)</f>
        <v>45170</v>
      </c>
      <c r="P6" s="18">
        <f>IFERROR(__xludf.DUMMYFUNCTION("""COMPUTED_VALUE"""),45212.0)</f>
        <v>45212</v>
      </c>
      <c r="Q6" s="18"/>
      <c r="R6" s="18"/>
      <c r="S6" s="16"/>
      <c r="T6" s="16"/>
      <c r="U6" s="16" t="str">
        <f>IFERROR(__xludf.DUMMYFUNCTION("""COMPUTED_VALUE"""),"Raise Your Voice")</f>
        <v>Raise Your Voice</v>
      </c>
      <c r="V6" s="16" t="str">
        <f>IFERROR(__xludf.DUMMYFUNCTION("""COMPUTED_VALUE"""),"KONYA")</f>
        <v>KONYA</v>
      </c>
      <c r="W6" s="16" t="str">
        <f>IFERROR(__xludf.DUMMYFUNCTION("""COMPUTED_VALUE"""),"2021-04-20T12:56:18Z")</f>
        <v>2021-04-20T12:56:18Z</v>
      </c>
      <c r="X6" s="16"/>
      <c r="Y6" s="16"/>
      <c r="Z6" s="16"/>
    </row>
    <row r="7">
      <c r="A7" s="16" t="str">
        <f>IFERROR(__xludf.DUMMYFUNCTION("""COMPUTED_VALUE"""),"5199634_1292728")</f>
        <v>5199634_1292728</v>
      </c>
      <c r="B7" s="16" t="str">
        <f>IFERROR(__xludf.DUMMYFUNCTION("""COMPUTED_VALUE"""),"Elif Ataoğuz")</f>
        <v>Elif Ataoğuz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IFERROR(__xludf.DUMMYFUNCTION("""COMPUTED_VALUE"""),"p_728f65b82b2ffd2ec4085e5d6f8ba57474e14e1d@inbound.aiesec.org")</f>
        <v>p_728f65b82b2ffd2ec4085e5d6f8ba57474e14e1d@inbound.aiesec.org</v>
      </c>
      <c r="F7" s="16"/>
      <c r="G7" s="16" t="str">
        <f>IFERROR(__xludf.DUMMYFUNCTION("""COMPUTED_VALUE"""),"Turkey")</f>
        <v>Turkey</v>
      </c>
      <c r="H7" s="16" t="str">
        <f>IFERROR(__xludf.DUMMYFUNCTION("""COMPUTED_VALUE"""),"ANKARA")</f>
        <v>ANKARA</v>
      </c>
      <c r="I7" s="16" t="str">
        <f>IFERROR(__xludf.DUMMYFUNCTION("""COMPUTED_VALUE"""),"Tunisia")</f>
        <v>Tunisia</v>
      </c>
      <c r="J7" s="16" t="str">
        <f>IFERROR(__xludf.DUMMYFUNCTION("""COMPUTED_VALUE"""),"NABEL")</f>
        <v>NABEL</v>
      </c>
      <c r="K7" s="17" t="str">
        <f>IFERROR(__xludf.DUMMYFUNCTION("""COMPUTED_VALUE"""),"https://expa.aiesec.org/opportunities/1292728")</f>
        <v>https://expa.aiesec.org/opportunities/1292728</v>
      </c>
      <c r="L7" s="16" t="str">
        <f>IFERROR(__xludf.DUMMYFUNCTION("""COMPUTED_VALUE"""),"GV")</f>
        <v>GV</v>
      </c>
      <c r="M7" s="16" t="str">
        <f>IFERROR(__xludf.DUMMYFUNCTION("""COMPUTED_VALUE"""),"short")</f>
        <v>short</v>
      </c>
      <c r="N7" s="18">
        <f>IFERROR(__xludf.DUMMYFUNCTION("""COMPUTED_VALUE"""),44985.0)</f>
        <v>44985</v>
      </c>
      <c r="O7" s="18">
        <f>IFERROR(__xludf.DUMMYFUNCTION("""COMPUTED_VALUE"""),45139.0)</f>
        <v>45139</v>
      </c>
      <c r="P7" s="18">
        <f>IFERROR(__xludf.DUMMYFUNCTION("""COMPUTED_VALUE"""),45181.0)</f>
        <v>45181</v>
      </c>
      <c r="Q7" s="18"/>
      <c r="R7" s="18"/>
      <c r="S7" s="16"/>
      <c r="T7" s="16"/>
      <c r="U7" s="16" t="str">
        <f>IFERROR(__xludf.DUMMYFUNCTION("""COMPUTED_VALUE"""),"Global Classroom")</f>
        <v>Global Classroom</v>
      </c>
      <c r="V7" s="16" t="str">
        <f>IFERROR(__xludf.DUMMYFUNCTION("""COMPUTED_VALUE"""),"-")</f>
        <v>-</v>
      </c>
      <c r="W7" s="16" t="str">
        <f>IFERROR(__xludf.DUMMYFUNCTION("""COMPUTED_VALUE"""),"2023-02-26T14:18:36Z")</f>
        <v>2023-02-26T14:18:36Z</v>
      </c>
      <c r="X7" s="16"/>
      <c r="Y7" s="16"/>
      <c r="Z7" s="16"/>
    </row>
    <row r="8">
      <c r="A8" s="16" t="str">
        <f>IFERROR(__xludf.DUMMYFUNCTION("""COMPUTED_VALUE"""),"5207690_1291369")</f>
        <v>5207690_1291369</v>
      </c>
      <c r="B8" s="16" t="str">
        <f>IFERROR(__xludf.DUMMYFUNCTION("""COMPUTED_VALUE"""),"SELİN DEMİRKÖPRÜ")</f>
        <v>SELİN DEMİRKÖPRÜ</v>
      </c>
      <c r="C8" s="16" t="str">
        <f>IFERROR(__xludf.DUMMYFUNCTION("""COMPUTED_VALUE"""),"approved")</f>
        <v>approved</v>
      </c>
      <c r="D8" s="16" t="str">
        <f>IFERROR(__xludf.DUMMYFUNCTION("""COMPUTED_VALUE"""),"No")</f>
        <v>No</v>
      </c>
      <c r="E8" s="16" t="str">
        <f>IFERROR(__xludf.DUMMYFUNCTION("""COMPUTED_VALUE"""),"p_3073af8a438630a21e19171e870e5159746bfcea@inbound.aiesec.org")</f>
        <v>p_3073af8a438630a21e19171e870e5159746bfcea@inbound.aiesec.org</v>
      </c>
      <c r="F8" s="16">
        <f>IFERROR(__xludf.DUMMYFUNCTION("""COMPUTED_VALUE"""),5.516507822E9)</f>
        <v>5516507822</v>
      </c>
      <c r="G8" s="16" t="str">
        <f>IFERROR(__xludf.DUMMYFUNCTION("""COMPUTED_VALUE"""),"Turkey")</f>
        <v>Turkey</v>
      </c>
      <c r="H8" s="16" t="str">
        <f>IFERROR(__xludf.DUMMYFUNCTION("""COMPUTED_VALUE"""),"ISTANBUL")</f>
        <v>ISTANBUL</v>
      </c>
      <c r="I8" s="16" t="str">
        <f>IFERROR(__xludf.DUMMYFUNCTION("""COMPUTED_VALUE"""),"Egypt")</f>
        <v>Egypt</v>
      </c>
      <c r="J8" s="16" t="str">
        <f>IFERROR(__xludf.DUMMYFUNCTION("""COMPUTED_VALUE"""),"GUC")</f>
        <v>GUC</v>
      </c>
      <c r="K8" s="17" t="str">
        <f>IFERROR(__xludf.DUMMYFUNCTION("""COMPUTED_VALUE"""),"https://expa.aiesec.org/opportunities/1291369")</f>
        <v>https://expa.aiesec.org/opportunities/1291369</v>
      </c>
      <c r="L8" s="16" t="str">
        <f>IFERROR(__xludf.DUMMYFUNCTION("""COMPUTED_VALUE"""),"GV")</f>
        <v>GV</v>
      </c>
      <c r="M8" s="16" t="str">
        <f>IFERROR(__xludf.DUMMYFUNCTION("""COMPUTED_VALUE"""),"short")</f>
        <v>short</v>
      </c>
      <c r="N8" s="18">
        <f>IFERROR(__xludf.DUMMYFUNCTION("""COMPUTED_VALUE"""),44993.0)</f>
        <v>44993</v>
      </c>
      <c r="O8" s="18">
        <f>IFERROR(__xludf.DUMMYFUNCTION("""COMPUTED_VALUE"""),45153.0)</f>
        <v>45153</v>
      </c>
      <c r="P8" s="18">
        <f>IFERROR(__xludf.DUMMYFUNCTION("""COMPUTED_VALUE"""),45195.0)</f>
        <v>45195</v>
      </c>
      <c r="Q8" s="18"/>
      <c r="R8" s="18"/>
      <c r="S8" s="16"/>
      <c r="T8" s="16"/>
      <c r="U8" s="16" t="str">
        <f>IFERROR(__xludf.DUMMYFUNCTION("""COMPUTED_VALUE"""),"Green Leaders")</f>
        <v>Green Leaders</v>
      </c>
      <c r="V8" s="16" t="str">
        <f>IFERROR(__xludf.DUMMYFUNCTION("""COMPUTED_VALUE"""),"ISTANBUL - BEYOGLU")</f>
        <v>ISTANBUL - BEYOGLU</v>
      </c>
      <c r="W8" s="16" t="str">
        <f>IFERROR(__xludf.DUMMYFUNCTION("""COMPUTED_VALUE"""),"2023-03-06T17:21:57Z")</f>
        <v>2023-03-06T17:21:57Z</v>
      </c>
      <c r="X8" s="16"/>
      <c r="Y8" s="16"/>
      <c r="Z8" s="16"/>
    </row>
    <row r="9">
      <c r="A9" s="16" t="str">
        <f>IFERROR(__xludf.DUMMYFUNCTION("""COMPUTED_VALUE"""),"5208795_1288843")</f>
        <v>5208795_1288843</v>
      </c>
      <c r="B9" s="16" t="str">
        <f>IFERROR(__xludf.DUMMYFUNCTION("""COMPUTED_VALUE"""),"Arda Çırpanlı")</f>
        <v>Arda Çırpanlı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IFERROR(__xludf.DUMMYFUNCTION("""COMPUTED_VALUE"""),"p_a507f2b1bb4102c4070bf118759747a405baaead@inbound.aiesec.org")</f>
        <v>p_a507f2b1bb4102c4070bf118759747a405baaead@inbound.aiesec.org</v>
      </c>
      <c r="F9" s="16">
        <f>IFERROR(__xludf.DUMMYFUNCTION("""COMPUTED_VALUE"""),5.35323605E9)</f>
        <v>5353236050</v>
      </c>
      <c r="G9" s="16" t="str">
        <f>IFERROR(__xludf.DUMMYFUNCTION("""COMPUTED_VALUE"""),"Turkey")</f>
        <v>Turkey</v>
      </c>
      <c r="H9" s="16" t="str">
        <f>IFERROR(__xludf.DUMMYFUNCTION("""COMPUTED_VALUE"""),"ISTANBUL WEST")</f>
        <v>ISTANBUL WEST</v>
      </c>
      <c r="I9" s="16" t="str">
        <f>IFERROR(__xludf.DUMMYFUNCTION("""COMPUTED_VALUE"""),"Sri Lanka")</f>
        <v>Sri Lanka</v>
      </c>
      <c r="J9" s="16" t="str">
        <f>IFERROR(__xludf.DUMMYFUNCTION("""COMPUTED_VALUE"""),"COLOMBO NORTH")</f>
        <v>COLOMBO NORTH</v>
      </c>
      <c r="K9" s="17" t="str">
        <f>IFERROR(__xludf.DUMMYFUNCTION("""COMPUTED_VALUE"""),"https://expa.aiesec.org/opportunities/1288843")</f>
        <v>https://expa.aiesec.org/opportunities/1288843</v>
      </c>
      <c r="L9" s="16" t="str">
        <f>IFERROR(__xludf.DUMMYFUNCTION("""COMPUTED_VALUE"""),"GV")</f>
        <v>GV</v>
      </c>
      <c r="M9" s="16" t="str">
        <f>IFERROR(__xludf.DUMMYFUNCTION("""COMPUTED_VALUE"""),"short")</f>
        <v>short</v>
      </c>
      <c r="N9" s="18">
        <f>IFERROR(__xludf.DUMMYFUNCTION("""COMPUTED_VALUE"""),44994.0)</f>
        <v>44994</v>
      </c>
      <c r="O9" s="18">
        <f>IFERROR(__xludf.DUMMYFUNCTION("""COMPUTED_VALUE"""),45185.0)</f>
        <v>45185</v>
      </c>
      <c r="P9" s="18">
        <f>IFERROR(__xludf.DUMMYFUNCTION("""COMPUTED_VALUE"""),45227.0)</f>
        <v>45227</v>
      </c>
      <c r="Q9" s="18"/>
      <c r="R9" s="18"/>
      <c r="S9" s="16"/>
      <c r="T9" s="16"/>
      <c r="U9" s="16" t="str">
        <f>IFERROR(__xludf.DUMMYFUNCTION("""COMPUTED_VALUE"""),"Green Leaders")</f>
        <v>Green Leaders</v>
      </c>
      <c r="V9" s="16" t="str">
        <f>IFERROR(__xludf.DUMMYFUNCTION("""COMPUTED_VALUE"""),"ISTANBUL - BAKIRKOY")</f>
        <v>ISTANBUL - BAKIRKOY</v>
      </c>
      <c r="W9" s="16" t="str">
        <f>IFERROR(__xludf.DUMMYFUNCTION("""COMPUTED_VALUE"""),"2023-03-07T15:19:09Z")</f>
        <v>2023-03-07T15:19:09Z</v>
      </c>
      <c r="X9" s="16"/>
      <c r="Y9" s="16"/>
      <c r="Z9" s="16"/>
    </row>
    <row r="10">
      <c r="A10" s="16" t="str">
        <f>IFERROR(__xludf.DUMMYFUNCTION("""COMPUTED_VALUE"""),"5208509_1284312")</f>
        <v>5208509_1284312</v>
      </c>
      <c r="B10" s="16" t="str">
        <f>IFERROR(__xludf.DUMMYFUNCTION("""COMPUTED_VALUE"""),"İkra Yağmur Koç")</f>
        <v>İkra Yağmur Koç</v>
      </c>
      <c r="C10" s="16" t="str">
        <f>IFERROR(__xludf.DUMMYFUNCTION("""COMPUTED_VALUE"""),"approved")</f>
        <v>approved</v>
      </c>
      <c r="D10" s="16" t="str">
        <f>IFERROR(__xludf.DUMMYFUNCTION("""COMPUTED_VALUE"""),"No")</f>
        <v>No</v>
      </c>
      <c r="E10" s="16" t="str">
        <f>IFERROR(__xludf.DUMMYFUNCTION("""COMPUTED_VALUE"""),"p_937d7b509fc7ec441262b1ef344c5ce76806a21c@inbound.aiesec.org")</f>
        <v>p_937d7b509fc7ec441262b1ef344c5ce76806a21c@inbound.aiesec.org</v>
      </c>
      <c r="F10" s="16"/>
      <c r="G10" s="16" t="str">
        <f>IFERROR(__xludf.DUMMYFUNCTION("""COMPUTED_VALUE"""),"Turkey")</f>
        <v>Turkey</v>
      </c>
      <c r="H10" s="16" t="str">
        <f>IFERROR(__xludf.DUMMYFUNCTION("""COMPUTED_VALUE"""),"ISTANBUL WEST")</f>
        <v>ISTANBUL WEST</v>
      </c>
      <c r="I10" s="16" t="str">
        <f>IFERROR(__xludf.DUMMYFUNCTION("""COMPUTED_VALUE"""),"Sri Lanka")</f>
        <v>Sri Lanka</v>
      </c>
      <c r="J10" s="16" t="str">
        <f>IFERROR(__xludf.DUMMYFUNCTION("""COMPUTED_VALUE"""),"SLIIT")</f>
        <v>SLIIT</v>
      </c>
      <c r="K10" s="17" t="str">
        <f>IFERROR(__xludf.DUMMYFUNCTION("""COMPUTED_VALUE"""),"https://expa.aiesec.org/opportunities/1284312")</f>
        <v>https://expa.aiesec.org/opportunities/1284312</v>
      </c>
      <c r="L10" s="16" t="str">
        <f>IFERROR(__xludf.DUMMYFUNCTION("""COMPUTED_VALUE"""),"GV")</f>
        <v>GV</v>
      </c>
      <c r="M10" s="16" t="str">
        <f>IFERROR(__xludf.DUMMYFUNCTION("""COMPUTED_VALUE"""),"short")</f>
        <v>short</v>
      </c>
      <c r="N10" s="18">
        <f>IFERROR(__xludf.DUMMYFUNCTION("""COMPUTED_VALUE"""),44994.0)</f>
        <v>44994</v>
      </c>
      <c r="O10" s="18">
        <f>IFERROR(__xludf.DUMMYFUNCTION("""COMPUTED_VALUE"""),45170.0)</f>
        <v>45170</v>
      </c>
      <c r="P10" s="18">
        <f>IFERROR(__xludf.DUMMYFUNCTION("""COMPUTED_VALUE"""),45212.0)</f>
        <v>45212</v>
      </c>
      <c r="Q10" s="18"/>
      <c r="R10" s="18"/>
      <c r="S10" s="16"/>
      <c r="T10" s="16"/>
      <c r="U10" s="16" t="str">
        <f>IFERROR(__xludf.DUMMYFUNCTION("""COMPUTED_VALUE"""),"On The Map")</f>
        <v>On The Map</v>
      </c>
      <c r="V10" s="16" t="str">
        <f>IFERROR(__xludf.DUMMYFUNCTION("""COMPUTED_VALUE"""),"-")</f>
        <v>-</v>
      </c>
      <c r="W10" s="16" t="str">
        <f>IFERROR(__xludf.DUMMYFUNCTION("""COMPUTED_VALUE"""),"2023-03-07T11:31:49Z")</f>
        <v>2023-03-07T11:31:49Z</v>
      </c>
      <c r="X10" s="16"/>
      <c r="Y10" s="16"/>
      <c r="Z10" s="16"/>
    </row>
    <row r="11">
      <c r="A11" s="16" t="str">
        <f>IFERROR(__xludf.DUMMYFUNCTION("""COMPUTED_VALUE"""),"5208477_1286585")</f>
        <v>5208477_1286585</v>
      </c>
      <c r="B11" s="16" t="str">
        <f>IFERROR(__xludf.DUMMYFUNCTION("""COMPUTED_VALUE"""),"sinem asırlı")</f>
        <v>sinem asırlı</v>
      </c>
      <c r="C11" s="16" t="str">
        <f>IFERROR(__xludf.DUMMYFUNCTION("""COMPUTED_VALUE"""),"approved")</f>
        <v>approved</v>
      </c>
      <c r="D11" s="16" t="str">
        <f>IFERROR(__xludf.DUMMYFUNCTION("""COMPUTED_VALUE"""),"No")</f>
        <v>No</v>
      </c>
      <c r="E11" s="16" t="str">
        <f>IFERROR(__xludf.DUMMYFUNCTION("""COMPUTED_VALUE"""),"p_03fd91305870d33ea5d5d900ca1f376ab0b2ac26@inbound.aiesec.org")</f>
        <v>p_03fd91305870d33ea5d5d900ca1f376ab0b2ac26@inbound.aiesec.org</v>
      </c>
      <c r="F11" s="16">
        <f>IFERROR(__xludf.DUMMYFUNCTION("""COMPUTED_VALUE"""),5.061155409E9)</f>
        <v>5061155409</v>
      </c>
      <c r="G11" s="16" t="str">
        <f>IFERROR(__xludf.DUMMYFUNCTION("""COMPUTED_VALUE"""),"Turkey")</f>
        <v>Turkey</v>
      </c>
      <c r="H11" s="16" t="str">
        <f>IFERROR(__xludf.DUMMYFUNCTION("""COMPUTED_VALUE"""),"ANTALYA")</f>
        <v>ANTALYA</v>
      </c>
      <c r="I11" s="16" t="str">
        <f>IFERROR(__xludf.DUMMYFUNCTION("""COMPUTED_VALUE"""),"Sri Lanka")</f>
        <v>Sri Lanka</v>
      </c>
      <c r="J11" s="16" t="str">
        <f>IFERROR(__xludf.DUMMYFUNCTION("""COMPUTED_VALUE"""),"COLOMBO NORTH")</f>
        <v>COLOMBO NORTH</v>
      </c>
      <c r="K11" s="17" t="str">
        <f>IFERROR(__xludf.DUMMYFUNCTION("""COMPUTED_VALUE"""),"https://expa.aiesec.org/opportunities/1286585")</f>
        <v>https://expa.aiesec.org/opportunities/1286585</v>
      </c>
      <c r="L11" s="16" t="str">
        <f>IFERROR(__xludf.DUMMYFUNCTION("""COMPUTED_VALUE"""),"GV")</f>
        <v>GV</v>
      </c>
      <c r="M11" s="16" t="str">
        <f>IFERROR(__xludf.DUMMYFUNCTION("""COMPUTED_VALUE"""),"short")</f>
        <v>short</v>
      </c>
      <c r="N11" s="18">
        <f>IFERROR(__xludf.DUMMYFUNCTION("""COMPUTED_VALUE"""),44996.0)</f>
        <v>44996</v>
      </c>
      <c r="O11" s="18">
        <f>IFERROR(__xludf.DUMMYFUNCTION("""COMPUTED_VALUE"""),45152.0)</f>
        <v>45152</v>
      </c>
      <c r="P11" s="18">
        <f>IFERROR(__xludf.DUMMYFUNCTION("""COMPUTED_VALUE"""),45194.0)</f>
        <v>45194</v>
      </c>
      <c r="Q11" s="18"/>
      <c r="R11" s="18"/>
      <c r="S11" s="16"/>
      <c r="T11" s="16"/>
      <c r="U11" s="16" t="str">
        <f>IFERROR(__xludf.DUMMYFUNCTION("""COMPUTED_VALUE"""),"On The Map")</f>
        <v>On The Map</v>
      </c>
      <c r="V11" s="16" t="str">
        <f>IFERROR(__xludf.DUMMYFUNCTION("""COMPUTED_VALUE"""),"ANTALYA")</f>
        <v>ANTALYA</v>
      </c>
      <c r="W11" s="16" t="str">
        <f>IFERROR(__xludf.DUMMYFUNCTION("""COMPUTED_VALUE"""),"2023-03-07T10:58:48Z")</f>
        <v>2023-03-07T10:58:48Z</v>
      </c>
      <c r="X11" s="16"/>
      <c r="Y11" s="16"/>
      <c r="Z11" s="16"/>
    </row>
    <row r="12">
      <c r="A12" s="16" t="str">
        <f>IFERROR(__xludf.DUMMYFUNCTION("""COMPUTED_VALUE"""),"5213562_1293021")</f>
        <v>5213562_1293021</v>
      </c>
      <c r="B12" s="16" t="str">
        <f>IFERROR(__xludf.DUMMYFUNCTION("""COMPUTED_VALUE"""),"HİKMET İNCEARIK")</f>
        <v>HİKMET İNCEARIK</v>
      </c>
      <c r="C12" s="16" t="str">
        <f>IFERROR(__xludf.DUMMYFUNCTION("""COMPUTED_VALUE"""),"approved")</f>
        <v>approved</v>
      </c>
      <c r="D12" s="16" t="str">
        <f>IFERROR(__xludf.DUMMYFUNCTION("""COMPUTED_VALUE"""),"No")</f>
        <v>No</v>
      </c>
      <c r="E12" s="16" t="str">
        <f>IFERROR(__xludf.DUMMYFUNCTION("""COMPUTED_VALUE"""),"p_87d30114d3896a2af5527d5c5642e23a4dbce81e@inbound.aiesec.org")</f>
        <v>p_87d30114d3896a2af5527d5c5642e23a4dbce81e@inbound.aiesec.org</v>
      </c>
      <c r="F12" s="16">
        <f>IFERROR(__xludf.DUMMYFUNCTION("""COMPUTED_VALUE"""),5.317836428E9)</f>
        <v>5317836428</v>
      </c>
      <c r="G12" s="16" t="str">
        <f>IFERROR(__xludf.DUMMYFUNCTION("""COMPUTED_VALUE"""),"Turkey")</f>
        <v>Turkey</v>
      </c>
      <c r="H12" s="16" t="str">
        <f>IFERROR(__xludf.DUMMYFUNCTION("""COMPUTED_VALUE"""),"GAZIANTEP")</f>
        <v>GAZIANTEP</v>
      </c>
      <c r="I12" s="16" t="str">
        <f>IFERROR(__xludf.DUMMYFUNCTION("""COMPUTED_VALUE"""),"India")</f>
        <v>India</v>
      </c>
      <c r="J12" s="16" t="str">
        <f>IFERROR(__xludf.DUMMYFUNCTION("""COMPUTED_VALUE"""),"JAIPUR ")</f>
        <v>JAIPUR </v>
      </c>
      <c r="K12" s="17" t="str">
        <f>IFERROR(__xludf.DUMMYFUNCTION("""COMPUTED_VALUE"""),"https://expa.aiesec.org/opportunities/1293021")</f>
        <v>https://expa.aiesec.org/opportunities/1293021</v>
      </c>
      <c r="L12" s="16" t="str">
        <f>IFERROR(__xludf.DUMMYFUNCTION("""COMPUTED_VALUE"""),"GV")</f>
        <v>GV</v>
      </c>
      <c r="M12" s="16" t="str">
        <f>IFERROR(__xludf.DUMMYFUNCTION("""COMPUTED_VALUE"""),"short")</f>
        <v>short</v>
      </c>
      <c r="N12" s="18">
        <f>IFERROR(__xludf.DUMMYFUNCTION("""COMPUTED_VALUE"""),44998.0)</f>
        <v>44998</v>
      </c>
      <c r="O12" s="18">
        <f>IFERROR(__xludf.DUMMYFUNCTION("""COMPUTED_VALUE"""),45154.0)</f>
        <v>45154</v>
      </c>
      <c r="P12" s="18">
        <f>IFERROR(__xludf.DUMMYFUNCTION("""COMPUTED_VALUE"""),45196.0)</f>
        <v>45196</v>
      </c>
      <c r="Q12" s="18"/>
      <c r="R12" s="18"/>
      <c r="S12" s="16"/>
      <c r="T12" s="16"/>
      <c r="U12" s="16" t="str">
        <f>IFERROR(__xludf.DUMMYFUNCTION("""COMPUTED_VALUE"""),"Raise Your Voice")</f>
        <v>Raise Your Voice</v>
      </c>
      <c r="V12" s="16" t="str">
        <f>IFERROR(__xludf.DUMMYFUNCTION("""COMPUTED_VALUE"""),"GAZIANTEP")</f>
        <v>GAZIANTEP</v>
      </c>
      <c r="W12" s="16" t="str">
        <f>IFERROR(__xludf.DUMMYFUNCTION("""COMPUTED_VALUE"""),"2023-03-12T09:24:12Z")</f>
        <v>2023-03-12T09:24:12Z</v>
      </c>
      <c r="X12" s="16"/>
      <c r="Y12" s="16"/>
      <c r="Z12" s="16"/>
    </row>
    <row r="13">
      <c r="A13" s="16" t="str">
        <f>IFERROR(__xludf.DUMMYFUNCTION("""COMPUTED_VALUE"""),"5016356_1290024")</f>
        <v>5016356_1290024</v>
      </c>
      <c r="B13" s="16" t="str">
        <f>IFERROR(__xludf.DUMMYFUNCTION("""COMPUTED_VALUE"""),"Melisa Tuncer")</f>
        <v>Melisa Tuncer</v>
      </c>
      <c r="C13" s="16" t="str">
        <f>IFERROR(__xludf.DUMMYFUNCTION("""COMPUTED_VALUE"""),"approved")</f>
        <v>approved</v>
      </c>
      <c r="D13" s="16" t="str">
        <f>IFERROR(__xludf.DUMMYFUNCTION("""COMPUTED_VALUE"""),"No")</f>
        <v>No</v>
      </c>
      <c r="E13" s="16" t="str">
        <f>IFERROR(__xludf.DUMMYFUNCTION("""COMPUTED_VALUE"""),"p_a95a77128a552a7a0edc22b10ec43c46fc39a87f@inbound.aiesec.org")</f>
        <v>p_a95a77128a552a7a0edc22b10ec43c46fc39a87f@inbound.aiesec.org</v>
      </c>
      <c r="F13" s="16">
        <f>IFERROR(__xludf.DUMMYFUNCTION("""COMPUTED_VALUE"""),5.3504829E9)</f>
        <v>5350482900</v>
      </c>
      <c r="G13" s="16" t="str">
        <f>IFERROR(__xludf.DUMMYFUNCTION("""COMPUTED_VALUE"""),"Turkey")</f>
        <v>Turkey</v>
      </c>
      <c r="H13" s="16" t="str">
        <f>IFERROR(__xludf.DUMMYFUNCTION("""COMPUTED_VALUE"""),"İZMİR")</f>
        <v>İZMİR</v>
      </c>
      <c r="I13" s="16" t="str">
        <f>IFERROR(__xludf.DUMMYFUNCTION("""COMPUTED_VALUE"""),"Egypt")</f>
        <v>Egypt</v>
      </c>
      <c r="J13" s="16" t="str">
        <f>IFERROR(__xludf.DUMMYFUNCTION("""COMPUTED_VALUE"""),"Ain Shams University")</f>
        <v>Ain Shams University</v>
      </c>
      <c r="K13" s="17" t="str">
        <f>IFERROR(__xludf.DUMMYFUNCTION("""COMPUTED_VALUE"""),"https://expa.aiesec.org/opportunities/1290024")</f>
        <v>https://expa.aiesec.org/opportunities/1290024</v>
      </c>
      <c r="L13" s="16" t="str">
        <f>IFERROR(__xludf.DUMMYFUNCTION("""COMPUTED_VALUE"""),"GV")</f>
        <v>GV</v>
      </c>
      <c r="M13" s="16" t="str">
        <f>IFERROR(__xludf.DUMMYFUNCTION("""COMPUTED_VALUE"""),"short")</f>
        <v>short</v>
      </c>
      <c r="N13" s="18">
        <f>IFERROR(__xludf.DUMMYFUNCTION("""COMPUTED_VALUE"""),45006.0)</f>
        <v>45006</v>
      </c>
      <c r="O13" s="18">
        <f>IFERROR(__xludf.DUMMYFUNCTION("""COMPUTED_VALUE"""),45139.0)</f>
        <v>45139</v>
      </c>
      <c r="P13" s="18">
        <f>IFERROR(__xludf.DUMMYFUNCTION("""COMPUTED_VALUE"""),45181.0)</f>
        <v>45181</v>
      </c>
      <c r="Q13" s="18"/>
      <c r="R13" s="18"/>
      <c r="S13" s="16"/>
      <c r="T13" s="16"/>
      <c r="U13" s="16" t="str">
        <f>IFERROR(__xludf.DUMMYFUNCTION("""COMPUTED_VALUE"""),"On The Map")</f>
        <v>On The Map</v>
      </c>
      <c r="V13" s="16" t="str">
        <f>IFERROR(__xludf.DUMMYFUNCTION("""COMPUTED_VALUE"""),"IZMIR")</f>
        <v>IZMIR</v>
      </c>
      <c r="W13" s="16" t="str">
        <f>IFERROR(__xludf.DUMMYFUNCTION("""COMPUTED_VALUE"""),"2022-03-30T20:45:33Z")</f>
        <v>2022-03-30T20:45:33Z</v>
      </c>
      <c r="X13" s="16"/>
      <c r="Y13" s="16"/>
      <c r="Z13" s="16"/>
    </row>
    <row r="14">
      <c r="A14" s="16" t="str">
        <f>IFERROR(__xludf.DUMMYFUNCTION("""COMPUTED_VALUE"""),"4431073_1286585")</f>
        <v>4431073_1286585</v>
      </c>
      <c r="B14" s="16" t="str">
        <f>IFERROR(__xludf.DUMMYFUNCTION("""COMPUTED_VALUE"""),"Ahmet Koçak")</f>
        <v>Ahmet Koçak</v>
      </c>
      <c r="C14" s="16" t="str">
        <f>IFERROR(__xludf.DUMMYFUNCTION("""COMPUTED_VALUE"""),"approved")</f>
        <v>approved</v>
      </c>
      <c r="D14" s="16" t="str">
        <f>IFERROR(__xludf.DUMMYFUNCTION("""COMPUTED_VALUE"""),"No")</f>
        <v>No</v>
      </c>
      <c r="E14" s="16" t="str">
        <f>IFERROR(__xludf.DUMMYFUNCTION("""COMPUTED_VALUE"""),"p_d99b9bd0e5cf5404d92091f72acf1b59b3487a83@inbound.aiesec.org")</f>
        <v>p_d99b9bd0e5cf5404d92091f72acf1b59b3487a83@inbound.aiesec.org</v>
      </c>
      <c r="F14" s="16">
        <f>IFERROR(__xludf.DUMMYFUNCTION("""COMPUTED_VALUE"""),5.455513406E9)</f>
        <v>5455513406</v>
      </c>
      <c r="G14" s="16" t="str">
        <f>IFERROR(__xludf.DUMMYFUNCTION("""COMPUTED_VALUE"""),"Turkey")</f>
        <v>Turkey</v>
      </c>
      <c r="H14" s="16" t="str">
        <f>IFERROR(__xludf.DUMMYFUNCTION("""COMPUTED_VALUE"""),"ISTANBUL")</f>
        <v>ISTANBUL</v>
      </c>
      <c r="I14" s="16" t="str">
        <f>IFERROR(__xludf.DUMMYFUNCTION("""COMPUTED_VALUE"""),"Sri Lanka")</f>
        <v>Sri Lanka</v>
      </c>
      <c r="J14" s="16" t="str">
        <f>IFERROR(__xludf.DUMMYFUNCTION("""COMPUTED_VALUE"""),"COLOMBO NORTH")</f>
        <v>COLOMBO NORTH</v>
      </c>
      <c r="K14" s="17" t="str">
        <f>IFERROR(__xludf.DUMMYFUNCTION("""COMPUTED_VALUE"""),"https://expa.aiesec.org/opportunities/1286585")</f>
        <v>https://expa.aiesec.org/opportunities/1286585</v>
      </c>
      <c r="L14" s="16" t="str">
        <f>IFERROR(__xludf.DUMMYFUNCTION("""COMPUTED_VALUE"""),"GV")</f>
        <v>GV</v>
      </c>
      <c r="M14" s="16" t="str">
        <f>IFERROR(__xludf.DUMMYFUNCTION("""COMPUTED_VALUE"""),"short")</f>
        <v>short</v>
      </c>
      <c r="N14" s="18">
        <f>IFERROR(__xludf.DUMMYFUNCTION("""COMPUTED_VALUE"""),45012.0)</f>
        <v>45012</v>
      </c>
      <c r="O14" s="18">
        <f>IFERROR(__xludf.DUMMYFUNCTION("""COMPUTED_VALUE"""),45192.0)</f>
        <v>45192</v>
      </c>
      <c r="P14" s="18">
        <f>IFERROR(__xludf.DUMMYFUNCTION("""COMPUTED_VALUE"""),45234.0)</f>
        <v>45234</v>
      </c>
      <c r="Q14" s="18"/>
      <c r="R14" s="18"/>
      <c r="S14" s="16"/>
      <c r="T14" s="16"/>
      <c r="U14" s="16" t="str">
        <f>IFERROR(__xludf.DUMMYFUNCTION("""COMPUTED_VALUE"""),"On The Map")</f>
        <v>On The Map</v>
      </c>
      <c r="V14" s="16" t="str">
        <f>IFERROR(__xludf.DUMMYFUNCTION("""COMPUTED_VALUE"""),"ISTANBUL - BEYOGLU")</f>
        <v>ISTANBUL - BEYOGLU</v>
      </c>
      <c r="W14" s="16" t="str">
        <f>IFERROR(__xludf.DUMMYFUNCTION("""COMPUTED_VALUE"""),"2020-11-20T22:03:36Z")</f>
        <v>2020-11-20T22:03:36Z</v>
      </c>
      <c r="X14" s="16"/>
      <c r="Y14" s="16"/>
      <c r="Z14" s="16"/>
    </row>
    <row r="15">
      <c r="A15" s="16" t="str">
        <f>IFERROR(__xludf.DUMMYFUNCTION("""COMPUTED_VALUE"""),"5178855_1293586")</f>
        <v>5178855_1293586</v>
      </c>
      <c r="B15" s="16" t="str">
        <f>IFERROR(__xludf.DUMMYFUNCTION("""COMPUTED_VALUE"""),"Ayşegül Ecer")</f>
        <v>Ayşegül Ecer</v>
      </c>
      <c r="C15" s="16" t="str">
        <f>IFERROR(__xludf.DUMMYFUNCTION("""COMPUTED_VALUE"""),"approved")</f>
        <v>approved</v>
      </c>
      <c r="D15" s="16" t="str">
        <f>IFERROR(__xludf.DUMMYFUNCTION("""COMPUTED_VALUE"""),"No")</f>
        <v>No</v>
      </c>
      <c r="E15" s="16" t="str">
        <f>IFERROR(__xludf.DUMMYFUNCTION("""COMPUTED_VALUE"""),"p_0b95870163de77a9499b8e843350eddfb84ecc87@inbound.aiesec.org")</f>
        <v>p_0b95870163de77a9499b8e843350eddfb84ecc87@inbound.aiesec.org</v>
      </c>
      <c r="F15" s="16">
        <f>IFERROR(__xludf.DUMMYFUNCTION("""COMPUTED_VALUE"""),5.469731535E9)</f>
        <v>5469731535</v>
      </c>
      <c r="G15" s="16" t="str">
        <f>IFERROR(__xludf.DUMMYFUNCTION("""COMPUTED_VALUE"""),"Turkey")</f>
        <v>Turkey</v>
      </c>
      <c r="H15" s="16" t="str">
        <f>IFERROR(__xludf.DUMMYFUNCTION("""COMPUTED_VALUE"""),"DENIZLI")</f>
        <v>DENIZLI</v>
      </c>
      <c r="I15" s="16" t="str">
        <f>IFERROR(__xludf.DUMMYFUNCTION("""COMPUTED_VALUE"""),"Egypt")</f>
        <v>Egypt</v>
      </c>
      <c r="J15" s="16" t="str">
        <f>IFERROR(__xludf.DUMMYFUNCTION("""COMPUTED_VALUE"""),"MUST")</f>
        <v>MUST</v>
      </c>
      <c r="K15" s="17" t="str">
        <f>IFERROR(__xludf.DUMMYFUNCTION("""COMPUTED_VALUE"""),"https://expa.aiesec.org/opportunities/1293586")</f>
        <v>https://expa.aiesec.org/opportunities/1293586</v>
      </c>
      <c r="L15" s="16" t="str">
        <f>IFERROR(__xludf.DUMMYFUNCTION("""COMPUTED_VALUE"""),"GV")</f>
        <v>GV</v>
      </c>
      <c r="M15" s="16" t="str">
        <f>IFERROR(__xludf.DUMMYFUNCTION("""COMPUTED_VALUE"""),"short")</f>
        <v>short</v>
      </c>
      <c r="N15" s="18">
        <f>IFERROR(__xludf.DUMMYFUNCTION("""COMPUTED_VALUE"""),45013.0)</f>
        <v>45013</v>
      </c>
      <c r="O15" s="18">
        <f>IFERROR(__xludf.DUMMYFUNCTION("""COMPUTED_VALUE"""),45123.0)</f>
        <v>45123</v>
      </c>
      <c r="P15" s="18">
        <f>IFERROR(__xludf.DUMMYFUNCTION("""COMPUTED_VALUE"""),45167.0)</f>
        <v>45167</v>
      </c>
      <c r="Q15" s="18"/>
      <c r="R15" s="18"/>
      <c r="S15" s="16"/>
      <c r="T15" s="16"/>
      <c r="U15" s="16" t="str">
        <f>IFERROR(__xludf.DUMMYFUNCTION("""COMPUTED_VALUE"""),"Rooted")</f>
        <v>Rooted</v>
      </c>
      <c r="V15" s="16" t="str">
        <f>IFERROR(__xludf.DUMMYFUNCTION("""COMPUTED_VALUE"""),"MUGLA")</f>
        <v>MUGLA</v>
      </c>
      <c r="W15" s="16" t="str">
        <f>IFERROR(__xludf.DUMMYFUNCTION("""COMPUTED_VALUE"""),"2023-01-20T18:27:05Z")</f>
        <v>2023-01-20T18:27:05Z</v>
      </c>
      <c r="X15" s="16"/>
      <c r="Y15" s="16"/>
      <c r="Z15" s="16"/>
    </row>
    <row r="16">
      <c r="A16" s="16" t="str">
        <f>IFERROR(__xludf.DUMMYFUNCTION("""COMPUTED_VALUE"""),"5232011_1288798")</f>
        <v>5232011_1288798</v>
      </c>
      <c r="B16" s="16" t="str">
        <f>IFERROR(__xludf.DUMMYFUNCTION("""COMPUTED_VALUE"""),"Busra Nesliturk")</f>
        <v>Busra Nesliturk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IFERROR(__xludf.DUMMYFUNCTION("""COMPUTED_VALUE"""),"p_2bb40f6a95c5566e773181e7825c4d38ac03425a@inbound.aiesec.org")</f>
        <v>p_2bb40f6a95c5566e773181e7825c4d38ac03425a@inbound.aiesec.org</v>
      </c>
      <c r="F16" s="16"/>
      <c r="G16" s="16" t="str">
        <f>IFERROR(__xludf.DUMMYFUNCTION("""COMPUTED_VALUE"""),"Turkey")</f>
        <v>Turkey</v>
      </c>
      <c r="H16" s="16" t="str">
        <f>IFERROR(__xludf.DUMMYFUNCTION("""COMPUTED_VALUE"""),"ISTANBUL")</f>
        <v>ISTANBUL</v>
      </c>
      <c r="I16" s="16" t="str">
        <f>IFERROR(__xludf.DUMMYFUNCTION("""COMPUTED_VALUE"""),"Sri Lanka")</f>
        <v>Sri Lanka</v>
      </c>
      <c r="J16" s="16" t="str">
        <f>IFERROR(__xludf.DUMMYFUNCTION("""COMPUTED_VALUE"""),"COLOMBO SOUTH")</f>
        <v>COLOMBO SOUTH</v>
      </c>
      <c r="K16" s="17" t="str">
        <f>IFERROR(__xludf.DUMMYFUNCTION("""COMPUTED_VALUE"""),"https://expa.aiesec.org/opportunities/1288798")</f>
        <v>https://expa.aiesec.org/opportunities/1288798</v>
      </c>
      <c r="L16" s="16" t="str">
        <f>IFERROR(__xludf.DUMMYFUNCTION("""COMPUTED_VALUE"""),"GV")</f>
        <v>GV</v>
      </c>
      <c r="M16" s="16" t="str">
        <f>IFERROR(__xludf.DUMMYFUNCTION("""COMPUTED_VALUE"""),"short")</f>
        <v>short</v>
      </c>
      <c r="N16" s="18">
        <f>IFERROR(__xludf.DUMMYFUNCTION("""COMPUTED_VALUE"""),45021.0)</f>
        <v>45021</v>
      </c>
      <c r="O16" s="18">
        <f>IFERROR(__xludf.DUMMYFUNCTION("""COMPUTED_VALUE"""),45187.0)</f>
        <v>45187</v>
      </c>
      <c r="P16" s="18">
        <f>IFERROR(__xludf.DUMMYFUNCTION("""COMPUTED_VALUE"""),45229.0)</f>
        <v>45229</v>
      </c>
      <c r="Q16" s="18"/>
      <c r="R16" s="18"/>
      <c r="S16" s="16"/>
      <c r="T16" s="16"/>
      <c r="U16" s="16" t="str">
        <f>IFERROR(__xludf.DUMMYFUNCTION("""COMPUTED_VALUE"""),"Heartbeat")</f>
        <v>Heartbeat</v>
      </c>
      <c r="V16" s="16" t="str">
        <f>IFERROR(__xludf.DUMMYFUNCTION("""COMPUTED_VALUE"""),"-")</f>
        <v>-</v>
      </c>
      <c r="W16" s="16" t="str">
        <f>IFERROR(__xludf.DUMMYFUNCTION("""COMPUTED_VALUE"""),"2023-03-31T12:39:04Z")</f>
        <v>2023-03-31T12:39:04Z</v>
      </c>
      <c r="X16" s="16"/>
      <c r="Y16" s="16"/>
      <c r="Z16" s="16"/>
    </row>
    <row r="17">
      <c r="A17" s="16" t="str">
        <f>IFERROR(__xludf.DUMMYFUNCTION("""COMPUTED_VALUE"""),"5236508_1286039")</f>
        <v>5236508_1286039</v>
      </c>
      <c r="B17" s="16" t="str">
        <f>IFERROR(__xludf.DUMMYFUNCTION("""COMPUTED_VALUE"""),"Leyla Orak")</f>
        <v>Leyla Orak</v>
      </c>
      <c r="C17" s="16" t="str">
        <f>IFERROR(__xludf.DUMMYFUNCTION("""COMPUTED_VALUE"""),"approved")</f>
        <v>approved</v>
      </c>
      <c r="D17" s="16" t="str">
        <f>IFERROR(__xludf.DUMMYFUNCTION("""COMPUTED_VALUE"""),"No")</f>
        <v>No</v>
      </c>
      <c r="E17" s="16" t="str">
        <f>IFERROR(__xludf.DUMMYFUNCTION("""COMPUTED_VALUE"""),"p_5bcb3e4bb0d868f9f5bfa684acb641dfb5ac13e0@inbound.aiesec.org")</f>
        <v>p_5bcb3e4bb0d868f9f5bfa684acb641dfb5ac13e0@inbound.aiesec.org</v>
      </c>
      <c r="F17" s="16"/>
      <c r="G17" s="16" t="str">
        <f>IFERROR(__xludf.DUMMYFUNCTION("""COMPUTED_VALUE"""),"Turkey")</f>
        <v>Turkey</v>
      </c>
      <c r="H17" s="16" t="str">
        <f>IFERROR(__xludf.DUMMYFUNCTION("""COMPUTED_VALUE"""),"KONYA")</f>
        <v>KONYA</v>
      </c>
      <c r="I17" s="16" t="str">
        <f>IFERROR(__xludf.DUMMYFUNCTION("""COMPUTED_VALUE"""),"Egypt")</f>
        <v>Egypt</v>
      </c>
      <c r="J17" s="16" t="str">
        <f>IFERROR(__xludf.DUMMYFUNCTION("""COMPUTED_VALUE"""),"Zagazig")</f>
        <v>Zagazig</v>
      </c>
      <c r="K17" s="17" t="str">
        <f>IFERROR(__xludf.DUMMYFUNCTION("""COMPUTED_VALUE"""),"https://expa.aiesec.org/opportunities/1286039")</f>
        <v>https://expa.aiesec.org/opportunities/1286039</v>
      </c>
      <c r="L17" s="16" t="str">
        <f>IFERROR(__xludf.DUMMYFUNCTION("""COMPUTED_VALUE"""),"GV")</f>
        <v>GV</v>
      </c>
      <c r="M17" s="16" t="str">
        <f>IFERROR(__xludf.DUMMYFUNCTION("""COMPUTED_VALUE"""),"short")</f>
        <v>short</v>
      </c>
      <c r="N17" s="18">
        <f>IFERROR(__xludf.DUMMYFUNCTION("""COMPUTED_VALUE"""),45023.0)</f>
        <v>45023</v>
      </c>
      <c r="O17" s="18">
        <f>IFERROR(__xludf.DUMMYFUNCTION("""COMPUTED_VALUE"""),45139.0)</f>
        <v>45139</v>
      </c>
      <c r="P17" s="18">
        <f>IFERROR(__xludf.DUMMYFUNCTION("""COMPUTED_VALUE"""),45181.0)</f>
        <v>45181</v>
      </c>
      <c r="Q17" s="18"/>
      <c r="R17" s="18"/>
      <c r="S17" s="16"/>
      <c r="T17" s="16"/>
      <c r="U17" s="16" t="str">
        <f>IFERROR(__xludf.DUMMYFUNCTION("""COMPUTED_VALUE"""),"Heartbeat")</f>
        <v>Heartbeat</v>
      </c>
      <c r="V17" s="16" t="str">
        <f>IFERROR(__xludf.DUMMYFUNCTION("""COMPUTED_VALUE"""),"KONYA")</f>
        <v>KONYA</v>
      </c>
      <c r="W17" s="16" t="str">
        <f>IFERROR(__xludf.DUMMYFUNCTION("""COMPUTED_VALUE"""),"2023-04-06T17:28:27Z")</f>
        <v>2023-04-06T17:28:27Z</v>
      </c>
      <c r="X17" s="16"/>
      <c r="Y17" s="16"/>
      <c r="Z17" s="16"/>
    </row>
    <row r="18">
      <c r="A18" s="16" t="str">
        <f>IFERROR(__xludf.DUMMYFUNCTION("""COMPUTED_VALUE"""),"5233012_1293019")</f>
        <v>5233012_1293019</v>
      </c>
      <c r="B18" s="16" t="str">
        <f>IFERROR(__xludf.DUMMYFUNCTION("""COMPUTED_VALUE"""),"Zeynep Yaren Sarıgeçili")</f>
        <v>Zeynep Yaren Sarıgeçili</v>
      </c>
      <c r="C18" s="16" t="str">
        <f>IFERROR(__xludf.DUMMYFUNCTION("""COMPUTED_VALUE"""),"approved")</f>
        <v>approved</v>
      </c>
      <c r="D18" s="16" t="str">
        <f>IFERROR(__xludf.DUMMYFUNCTION("""COMPUTED_VALUE"""),"No")</f>
        <v>No</v>
      </c>
      <c r="E18" s="16" t="str">
        <f>IFERROR(__xludf.DUMMYFUNCTION("""COMPUTED_VALUE"""),"p_3d64ef33f86f69a88aa9f274c097774ca4933b96@inbound.aiesec.org")</f>
        <v>p_3d64ef33f86f69a88aa9f274c097774ca4933b96@inbound.aiesec.org</v>
      </c>
      <c r="F18" s="16"/>
      <c r="G18" s="16" t="str">
        <f>IFERROR(__xludf.DUMMYFUNCTION("""COMPUTED_VALUE"""),"Turkey")</f>
        <v>Turkey</v>
      </c>
      <c r="H18" s="16" t="str">
        <f>IFERROR(__xludf.DUMMYFUNCTION("""COMPUTED_VALUE"""),"ISTANBUL")</f>
        <v>ISTANBUL</v>
      </c>
      <c r="I18" s="16" t="str">
        <f>IFERROR(__xludf.DUMMYFUNCTION("""COMPUTED_VALUE"""),"India")</f>
        <v>India</v>
      </c>
      <c r="J18" s="16" t="str">
        <f>IFERROR(__xludf.DUMMYFUNCTION("""COMPUTED_VALUE"""),"Mumbai")</f>
        <v>Mumbai</v>
      </c>
      <c r="K18" s="17" t="str">
        <f>IFERROR(__xludf.DUMMYFUNCTION("""COMPUTED_VALUE"""),"https://expa.aiesec.org/opportunities/1293019")</f>
        <v>https://expa.aiesec.org/opportunities/1293019</v>
      </c>
      <c r="L18" s="16" t="str">
        <f>IFERROR(__xludf.DUMMYFUNCTION("""COMPUTED_VALUE"""),"GV")</f>
        <v>GV</v>
      </c>
      <c r="M18" s="16" t="str">
        <f>IFERROR(__xludf.DUMMYFUNCTION("""COMPUTED_VALUE"""),"short")</f>
        <v>short</v>
      </c>
      <c r="N18" s="18">
        <f>IFERROR(__xludf.DUMMYFUNCTION("""COMPUTED_VALUE"""),45027.0)</f>
        <v>45027</v>
      </c>
      <c r="O18" s="18">
        <f>IFERROR(__xludf.DUMMYFUNCTION("""COMPUTED_VALUE"""),45158.0)</f>
        <v>45158</v>
      </c>
      <c r="P18" s="18">
        <f>IFERROR(__xludf.DUMMYFUNCTION("""COMPUTED_VALUE"""),45204.0)</f>
        <v>45204</v>
      </c>
      <c r="Q18" s="18"/>
      <c r="R18" s="18"/>
      <c r="S18" s="16"/>
      <c r="T18" s="16"/>
      <c r="U18" s="16" t="str">
        <f>IFERROR(__xludf.DUMMYFUNCTION("""COMPUTED_VALUE"""),"Scale Up!")</f>
        <v>Scale Up!</v>
      </c>
      <c r="V18" s="16" t="str">
        <f>IFERROR(__xludf.DUMMYFUNCTION("""COMPUTED_VALUE"""),"-")</f>
        <v>-</v>
      </c>
      <c r="W18" s="16" t="str">
        <f>IFERROR(__xludf.DUMMYFUNCTION("""COMPUTED_VALUE"""),"2023-04-01T23:48:44Z")</f>
        <v>2023-04-01T23:48:44Z</v>
      </c>
      <c r="X18" s="16"/>
      <c r="Y18" s="16"/>
      <c r="Z18" s="16"/>
    </row>
    <row r="19">
      <c r="A19" s="16" t="str">
        <f>IFERROR(__xludf.DUMMYFUNCTION("""COMPUTED_VALUE"""),"4778763_1284312")</f>
        <v>4778763_1284312</v>
      </c>
      <c r="B19" s="16" t="str">
        <f>IFERROR(__xludf.DUMMYFUNCTION("""COMPUTED_VALUE"""),"Kübra Acevit")</f>
        <v>Kübra Acevit</v>
      </c>
      <c r="C19" s="16" t="str">
        <f>IFERROR(__xludf.DUMMYFUNCTION("""COMPUTED_VALUE"""),"approved")</f>
        <v>approved</v>
      </c>
      <c r="D19" s="16" t="str">
        <f>IFERROR(__xludf.DUMMYFUNCTION("""COMPUTED_VALUE"""),"No")</f>
        <v>No</v>
      </c>
      <c r="E19" s="16" t="str">
        <f>IFERROR(__xludf.DUMMYFUNCTION("""COMPUTED_VALUE"""),"p_e7a6517cf0086d5b222e204c756660be620b4618@inbound.aiesec.org")</f>
        <v>p_e7a6517cf0086d5b222e204c756660be620b4618@inbound.aiesec.org</v>
      </c>
      <c r="F19" s="16">
        <f>IFERROR(__xludf.DUMMYFUNCTION("""COMPUTED_VALUE"""),5.316297165E9)</f>
        <v>5316297165</v>
      </c>
      <c r="G19" s="16" t="str">
        <f>IFERROR(__xludf.DUMMYFUNCTION("""COMPUTED_VALUE"""),"Turkey")</f>
        <v>Turkey</v>
      </c>
      <c r="H19" s="16" t="str">
        <f>IFERROR(__xludf.DUMMYFUNCTION("""COMPUTED_VALUE"""),"SAKARYA")</f>
        <v>SAKARYA</v>
      </c>
      <c r="I19" s="16" t="str">
        <f>IFERROR(__xludf.DUMMYFUNCTION("""COMPUTED_VALUE"""),"Sri Lanka")</f>
        <v>Sri Lanka</v>
      </c>
      <c r="J19" s="16" t="str">
        <f>IFERROR(__xludf.DUMMYFUNCTION("""COMPUTED_VALUE"""),"SLIIT")</f>
        <v>SLIIT</v>
      </c>
      <c r="K19" s="17" t="str">
        <f>IFERROR(__xludf.DUMMYFUNCTION("""COMPUTED_VALUE"""),"https://expa.aiesec.org/opportunities/1284312")</f>
        <v>https://expa.aiesec.org/opportunities/1284312</v>
      </c>
      <c r="L19" s="16" t="str">
        <f>IFERROR(__xludf.DUMMYFUNCTION("""COMPUTED_VALUE"""),"GV")</f>
        <v>GV</v>
      </c>
      <c r="M19" s="16" t="str">
        <f>IFERROR(__xludf.DUMMYFUNCTION("""COMPUTED_VALUE"""),"short")</f>
        <v>short</v>
      </c>
      <c r="N19" s="18">
        <f>IFERROR(__xludf.DUMMYFUNCTION("""COMPUTED_VALUE"""),45028.0)</f>
        <v>45028</v>
      </c>
      <c r="O19" s="18">
        <f>IFERROR(__xludf.DUMMYFUNCTION("""COMPUTED_VALUE"""),45139.0)</f>
        <v>45139</v>
      </c>
      <c r="P19" s="18">
        <f>IFERROR(__xludf.DUMMYFUNCTION("""COMPUTED_VALUE"""),45181.0)</f>
        <v>45181</v>
      </c>
      <c r="Q19" s="18"/>
      <c r="R19" s="18"/>
      <c r="S19" s="16"/>
      <c r="T19" s="16"/>
      <c r="U19" s="16" t="str">
        <f>IFERROR(__xludf.DUMMYFUNCTION("""COMPUTED_VALUE"""),"On The Map")</f>
        <v>On The Map</v>
      </c>
      <c r="V19" s="16" t="str">
        <f>IFERROR(__xludf.DUMMYFUNCTION("""COMPUTED_VALUE"""),"SAKARYA")</f>
        <v>SAKARYA</v>
      </c>
      <c r="W19" s="16" t="str">
        <f>IFERROR(__xludf.DUMMYFUNCTION("""COMPUTED_VALUE"""),"2021-10-30T19:20:37Z")</f>
        <v>2021-10-30T19:20:37Z</v>
      </c>
      <c r="X19" s="16"/>
      <c r="Y19" s="16"/>
      <c r="Z19" s="16"/>
    </row>
    <row r="20">
      <c r="A20" s="16" t="str">
        <f>IFERROR(__xludf.DUMMYFUNCTION("""COMPUTED_VALUE"""),"5241961_1292298")</f>
        <v>5241961_1292298</v>
      </c>
      <c r="B20" s="16" t="str">
        <f>IFERROR(__xludf.DUMMYFUNCTION("""COMPUTED_VALUE"""),"Cem Erün")</f>
        <v>Cem Erün</v>
      </c>
      <c r="C20" s="16" t="str">
        <f>IFERROR(__xludf.DUMMYFUNCTION("""COMPUTED_VALUE"""),"approved")</f>
        <v>approved</v>
      </c>
      <c r="D20" s="16" t="str">
        <f>IFERROR(__xludf.DUMMYFUNCTION("""COMPUTED_VALUE"""),"No")</f>
        <v>No</v>
      </c>
      <c r="E20" s="16" t="str">
        <f>IFERROR(__xludf.DUMMYFUNCTION("""COMPUTED_VALUE"""),"p_45f41a2ffb75b18056a7789532b5659b48d3b9c8@inbound.aiesec.org")</f>
        <v>p_45f41a2ffb75b18056a7789532b5659b48d3b9c8@inbound.aiesec.org</v>
      </c>
      <c r="F20" s="16">
        <f>IFERROR(__xludf.DUMMYFUNCTION("""COMPUTED_VALUE"""),5.549641049E9)</f>
        <v>5549641049</v>
      </c>
      <c r="G20" s="16" t="str">
        <f>IFERROR(__xludf.DUMMYFUNCTION("""COMPUTED_VALUE"""),"Turkey")</f>
        <v>Turkey</v>
      </c>
      <c r="H20" s="16" t="str">
        <f>IFERROR(__xludf.DUMMYFUNCTION("""COMPUTED_VALUE"""),"TRABZON")</f>
        <v>TRABZON</v>
      </c>
      <c r="I20" s="16" t="str">
        <f>IFERROR(__xludf.DUMMYFUNCTION("""COMPUTED_VALUE"""),"Egypt")</f>
        <v>Egypt</v>
      </c>
      <c r="J20" s="16" t="str">
        <f>IFERROR(__xludf.DUMMYFUNCTION("""COMPUTED_VALUE"""),"Cairo University")</f>
        <v>Cairo University</v>
      </c>
      <c r="K20" s="17" t="str">
        <f>IFERROR(__xludf.DUMMYFUNCTION("""COMPUTED_VALUE"""),"https://expa.aiesec.org/opportunities/1292298")</f>
        <v>https://expa.aiesec.org/opportunities/1292298</v>
      </c>
      <c r="L20" s="16" t="str">
        <f>IFERROR(__xludf.DUMMYFUNCTION("""COMPUTED_VALUE"""),"GV")</f>
        <v>GV</v>
      </c>
      <c r="M20" s="16" t="str">
        <f>IFERROR(__xludf.DUMMYFUNCTION("""COMPUTED_VALUE"""),"short")</f>
        <v>short</v>
      </c>
      <c r="N20" s="18">
        <f>IFERROR(__xludf.DUMMYFUNCTION("""COMPUTED_VALUE"""),45031.0)</f>
        <v>45031</v>
      </c>
      <c r="O20" s="18">
        <f>IFERROR(__xludf.DUMMYFUNCTION("""COMPUTED_VALUE"""),45153.0)</f>
        <v>45153</v>
      </c>
      <c r="P20" s="18">
        <f>IFERROR(__xludf.DUMMYFUNCTION("""COMPUTED_VALUE"""),45197.0)</f>
        <v>45197</v>
      </c>
      <c r="Q20" s="18"/>
      <c r="R20" s="18"/>
      <c r="S20" s="16"/>
      <c r="T20" s="16"/>
      <c r="U20" s="16" t="str">
        <f>IFERROR(__xludf.DUMMYFUNCTION("""COMPUTED_VALUE"""),"Fingerprint")</f>
        <v>Fingerprint</v>
      </c>
      <c r="V20" s="16" t="str">
        <f>IFERROR(__xludf.DUMMYFUNCTION("""COMPUTED_VALUE"""),"TRABZON")</f>
        <v>TRABZON</v>
      </c>
      <c r="W20" s="16" t="str">
        <f>IFERROR(__xludf.DUMMYFUNCTION("""COMPUTED_VALUE"""),"2023-04-14T11:59:19Z")</f>
        <v>2023-04-14T11:59:19Z</v>
      </c>
      <c r="X20" s="16"/>
      <c r="Y20" s="16"/>
      <c r="Z20" s="16"/>
    </row>
    <row r="21">
      <c r="A21" s="16" t="str">
        <f>IFERROR(__xludf.DUMMYFUNCTION("""COMPUTED_VALUE"""),"5242955_1292990")</f>
        <v>5242955_1292990</v>
      </c>
      <c r="B21" s="16" t="str">
        <f>IFERROR(__xludf.DUMMYFUNCTION("""COMPUTED_VALUE"""),"Hüseyin Avni Çuvalcı")</f>
        <v>Hüseyin Avni Çuvalcı</v>
      </c>
      <c r="C21" s="16" t="str">
        <f>IFERROR(__xludf.DUMMYFUNCTION("""COMPUTED_VALUE"""),"approved")</f>
        <v>approved</v>
      </c>
      <c r="D21" s="16" t="str">
        <f>IFERROR(__xludf.DUMMYFUNCTION("""COMPUTED_VALUE"""),"No")</f>
        <v>No</v>
      </c>
      <c r="E21" s="16" t="str">
        <f>IFERROR(__xludf.DUMMYFUNCTION("""COMPUTED_VALUE"""),"p_74f27a88fce65c125dfd5bf306161f100dcfc1cb@inbound.aiesec.org")</f>
        <v>p_74f27a88fce65c125dfd5bf306161f100dcfc1cb@inbound.aiesec.org</v>
      </c>
      <c r="F21" s="16">
        <f>IFERROR(__xludf.DUMMYFUNCTION("""COMPUTED_VALUE"""),5.414484461E9)</f>
        <v>5414484461</v>
      </c>
      <c r="G21" s="16" t="str">
        <f>IFERROR(__xludf.DUMMYFUNCTION("""COMPUTED_VALUE"""),"Turkey")</f>
        <v>Turkey</v>
      </c>
      <c r="H21" s="16" t="str">
        <f>IFERROR(__xludf.DUMMYFUNCTION("""COMPUTED_VALUE"""),"ISTANBUL")</f>
        <v>ISTANBUL</v>
      </c>
      <c r="I21" s="16" t="str">
        <f>IFERROR(__xludf.DUMMYFUNCTION("""COMPUTED_VALUE"""),"India")</f>
        <v>India</v>
      </c>
      <c r="J21" s="16" t="str">
        <f>IFERROR(__xludf.DUMMYFUNCTION("""COMPUTED_VALUE"""),"Mumbai")</f>
        <v>Mumbai</v>
      </c>
      <c r="K21" s="17" t="str">
        <f>IFERROR(__xludf.DUMMYFUNCTION("""COMPUTED_VALUE"""),"https://expa.aiesec.org/opportunities/1292990")</f>
        <v>https://expa.aiesec.org/opportunities/1292990</v>
      </c>
      <c r="L21" s="16" t="str">
        <f>IFERROR(__xludf.DUMMYFUNCTION("""COMPUTED_VALUE"""),"GV")</f>
        <v>GV</v>
      </c>
      <c r="M21" s="16" t="str">
        <f>IFERROR(__xludf.DUMMYFUNCTION("""COMPUTED_VALUE"""),"short")</f>
        <v>short</v>
      </c>
      <c r="N21" s="18">
        <f>IFERROR(__xludf.DUMMYFUNCTION("""COMPUTED_VALUE"""),45032.0)</f>
        <v>45032</v>
      </c>
      <c r="O21" s="18">
        <f>IFERROR(__xludf.DUMMYFUNCTION("""COMPUTED_VALUE"""),45139.0)</f>
        <v>45139</v>
      </c>
      <c r="P21" s="18">
        <f>IFERROR(__xludf.DUMMYFUNCTION("""COMPUTED_VALUE"""),45183.0)</f>
        <v>45183</v>
      </c>
      <c r="Q21" s="18"/>
      <c r="R21" s="18"/>
      <c r="S21" s="16"/>
      <c r="T21" s="16"/>
      <c r="U21" s="16" t="str">
        <f>IFERROR(__xludf.DUMMYFUNCTION("""COMPUTED_VALUE"""),"On The Map")</f>
        <v>On The Map</v>
      </c>
      <c r="V21" s="16" t="str">
        <f>IFERROR(__xludf.DUMMYFUNCTION("""COMPUTED_VALUE"""),"ISTANBUL - BEYOGLU")</f>
        <v>ISTANBUL - BEYOGLU</v>
      </c>
      <c r="W21" s="16" t="str">
        <f>IFERROR(__xludf.DUMMYFUNCTION("""COMPUTED_VALUE"""),"2023-04-16T09:34:02Z")</f>
        <v>2023-04-16T09:34:02Z</v>
      </c>
      <c r="X21" s="16"/>
      <c r="Y21" s="16"/>
      <c r="Z21" s="16"/>
    </row>
    <row r="22">
      <c r="A22" s="16" t="str">
        <f>IFERROR(__xludf.DUMMYFUNCTION("""COMPUTED_VALUE"""),"5241962_1293683")</f>
        <v>5241962_1293683</v>
      </c>
      <c r="B22" s="16" t="str">
        <f>IFERROR(__xludf.DUMMYFUNCTION("""COMPUTED_VALUE"""),"Mizgin Beyza Karadağ")</f>
        <v>Mizgin Beyza Karadağ</v>
      </c>
      <c r="C22" s="16" t="str">
        <f>IFERROR(__xludf.DUMMYFUNCTION("""COMPUTED_VALUE"""),"approved")</f>
        <v>approved</v>
      </c>
      <c r="D22" s="16" t="str">
        <f>IFERROR(__xludf.DUMMYFUNCTION("""COMPUTED_VALUE"""),"No")</f>
        <v>No</v>
      </c>
      <c r="E22" s="16" t="str">
        <f>IFERROR(__xludf.DUMMYFUNCTION("""COMPUTED_VALUE"""),"p_4e1fa8fabc27a969acab432af23a2ee4cc7948d4@inbound.aiesec.org")</f>
        <v>p_4e1fa8fabc27a969acab432af23a2ee4cc7948d4@inbound.aiesec.org</v>
      </c>
      <c r="F22" s="16">
        <f>IFERROR(__xludf.DUMMYFUNCTION("""COMPUTED_VALUE"""),5.413964891E9)</f>
        <v>5413964891</v>
      </c>
      <c r="G22" s="16" t="str">
        <f>IFERROR(__xludf.DUMMYFUNCTION("""COMPUTED_VALUE"""),"Turkey")</f>
        <v>Turkey</v>
      </c>
      <c r="H22" s="16" t="str">
        <f>IFERROR(__xludf.DUMMYFUNCTION("""COMPUTED_VALUE"""),"ISTANBUL ASIA")</f>
        <v>ISTANBUL ASIA</v>
      </c>
      <c r="I22" s="16" t="str">
        <f>IFERROR(__xludf.DUMMYFUNCTION("""COMPUTED_VALUE"""),"Sri Lanka")</f>
        <v>Sri Lanka</v>
      </c>
      <c r="J22" s="16" t="str">
        <f>IFERROR(__xludf.DUMMYFUNCTION("""COMPUTED_VALUE"""),"Ruhuna")</f>
        <v>Ruhuna</v>
      </c>
      <c r="K22" s="17" t="str">
        <f>IFERROR(__xludf.DUMMYFUNCTION("""COMPUTED_VALUE"""),"https://expa.aiesec.org/opportunities/1293683")</f>
        <v>https://expa.aiesec.org/opportunities/1293683</v>
      </c>
      <c r="L22" s="16" t="str">
        <f>IFERROR(__xludf.DUMMYFUNCTION("""COMPUTED_VALUE"""),"GV")</f>
        <v>GV</v>
      </c>
      <c r="M22" s="16" t="str">
        <f>IFERROR(__xludf.DUMMYFUNCTION("""COMPUTED_VALUE"""),"short")</f>
        <v>short</v>
      </c>
      <c r="N22" s="18">
        <f>IFERROR(__xludf.DUMMYFUNCTION("""COMPUTED_VALUE"""),45033.0)</f>
        <v>45033</v>
      </c>
      <c r="O22" s="18">
        <f>IFERROR(__xludf.DUMMYFUNCTION("""COMPUTED_VALUE"""),45150.0)</f>
        <v>45150</v>
      </c>
      <c r="P22" s="18">
        <f>IFERROR(__xludf.DUMMYFUNCTION("""COMPUTED_VALUE"""),45192.0)</f>
        <v>45192</v>
      </c>
      <c r="Q22" s="18"/>
      <c r="R22" s="18"/>
      <c r="S22" s="16"/>
      <c r="T22" s="16"/>
      <c r="U22" s="16" t="str">
        <f>IFERROR(__xludf.DUMMYFUNCTION("""COMPUTED_VALUE"""),"Aquatica")</f>
        <v>Aquatica</v>
      </c>
      <c r="V22" s="16" t="str">
        <f>IFERROR(__xludf.DUMMYFUNCTION("""COMPUTED_VALUE"""),"ISTANBUL ASIA")</f>
        <v>ISTANBUL ASIA</v>
      </c>
      <c r="W22" s="16" t="str">
        <f>IFERROR(__xludf.DUMMYFUNCTION("""COMPUTED_VALUE"""),"2023-04-14T12:00:25Z")</f>
        <v>2023-04-14T12:00:25Z</v>
      </c>
      <c r="X22" s="16"/>
      <c r="Y22" s="16"/>
      <c r="Z22" s="16"/>
    </row>
    <row r="23">
      <c r="A23" s="16" t="str">
        <f>IFERROR(__xludf.DUMMYFUNCTION("""COMPUTED_VALUE"""),"5238951_1293866")</f>
        <v>5238951_1293866</v>
      </c>
      <c r="B23" s="16" t="str">
        <f>IFERROR(__xludf.DUMMYFUNCTION("""COMPUTED_VALUE"""),"Kaan Yaman")</f>
        <v>Kaan Yaman</v>
      </c>
      <c r="C23" s="16" t="str">
        <f>IFERROR(__xludf.DUMMYFUNCTION("""COMPUTED_VALUE"""),"approved")</f>
        <v>approved</v>
      </c>
      <c r="D23" s="16" t="str">
        <f>IFERROR(__xludf.DUMMYFUNCTION("""COMPUTED_VALUE"""),"No")</f>
        <v>No</v>
      </c>
      <c r="E23" s="16" t="str">
        <f>IFERROR(__xludf.DUMMYFUNCTION("""COMPUTED_VALUE"""),"p_b7af84d5e00e1c05ec30b90ee3364834c99ef9d0@inbound.aiesec.org")</f>
        <v>p_b7af84d5e00e1c05ec30b90ee3364834c99ef9d0@inbound.aiesec.org</v>
      </c>
      <c r="F23" s="16"/>
      <c r="G23" s="16" t="str">
        <f>IFERROR(__xludf.DUMMYFUNCTION("""COMPUTED_VALUE"""),"Turkey")</f>
        <v>Turkey</v>
      </c>
      <c r="H23" s="16" t="str">
        <f>IFERROR(__xludf.DUMMYFUNCTION("""COMPUTED_VALUE"""),"ISTANBUL")</f>
        <v>ISTANBUL</v>
      </c>
      <c r="I23" s="16" t="str">
        <f>IFERROR(__xludf.DUMMYFUNCTION("""COMPUTED_VALUE"""),"Italy")</f>
        <v>Italy</v>
      </c>
      <c r="J23" s="16" t="str">
        <f>IFERROR(__xludf.DUMMYFUNCTION("""COMPUTED_VALUE"""),"Napoli Federico II")</f>
        <v>Napoli Federico II</v>
      </c>
      <c r="K23" s="17" t="str">
        <f>IFERROR(__xludf.DUMMYFUNCTION("""COMPUTED_VALUE"""),"https://expa.aiesec.org/opportunities/1293866")</f>
        <v>https://expa.aiesec.org/opportunities/1293866</v>
      </c>
      <c r="L23" s="16" t="str">
        <f>IFERROR(__xludf.DUMMYFUNCTION("""COMPUTED_VALUE"""),"GV")</f>
        <v>GV</v>
      </c>
      <c r="M23" s="16" t="str">
        <f>IFERROR(__xludf.DUMMYFUNCTION("""COMPUTED_VALUE"""),"short")</f>
        <v>short</v>
      </c>
      <c r="N23" s="18">
        <f>IFERROR(__xludf.DUMMYFUNCTION("""COMPUTED_VALUE"""),45034.0)</f>
        <v>45034</v>
      </c>
      <c r="O23" s="18">
        <f>IFERROR(__xludf.DUMMYFUNCTION("""COMPUTED_VALUE"""),45159.0)</f>
        <v>45159</v>
      </c>
      <c r="P23" s="18">
        <f>IFERROR(__xludf.DUMMYFUNCTION("""COMPUTED_VALUE"""),45201.0)</f>
        <v>45201</v>
      </c>
      <c r="Q23" s="18"/>
      <c r="R23" s="18"/>
      <c r="S23" s="16"/>
      <c r="T23" s="16"/>
      <c r="U23" s="16" t="str">
        <f>IFERROR(__xludf.DUMMYFUNCTION("""COMPUTED_VALUE"""),"Youth 4 Impact")</f>
        <v>Youth 4 Impact</v>
      </c>
      <c r="V23" s="16" t="str">
        <f>IFERROR(__xludf.DUMMYFUNCTION("""COMPUTED_VALUE"""),"-")</f>
        <v>-</v>
      </c>
      <c r="W23" s="16" t="str">
        <f>IFERROR(__xludf.DUMMYFUNCTION("""COMPUTED_VALUE"""),"2023-04-10T15:11:40Z")</f>
        <v>2023-04-10T15:11:40Z</v>
      </c>
      <c r="X23" s="16"/>
      <c r="Y23" s="16"/>
      <c r="Z23" s="16"/>
    </row>
    <row r="24">
      <c r="A24" s="16" t="str">
        <f>IFERROR(__xludf.DUMMYFUNCTION("""COMPUTED_VALUE"""),"5244614_1287602")</f>
        <v>5244614_1287602</v>
      </c>
      <c r="B24" s="16" t="str">
        <f>IFERROR(__xludf.DUMMYFUNCTION("""COMPUTED_VALUE"""),"Türkan Keloğulları")</f>
        <v>Türkan Keloğulları</v>
      </c>
      <c r="C24" s="16" t="str">
        <f>IFERROR(__xludf.DUMMYFUNCTION("""COMPUTED_VALUE"""),"approved")</f>
        <v>approved</v>
      </c>
      <c r="D24" s="16" t="str">
        <f>IFERROR(__xludf.DUMMYFUNCTION("""COMPUTED_VALUE"""),"No")</f>
        <v>No</v>
      </c>
      <c r="E24" s="16" t="str">
        <f>IFERROR(__xludf.DUMMYFUNCTION("""COMPUTED_VALUE"""),"p_2d9e9554321cc7ff6295eb1995e76248bde09a2f@inbound.aiesec.org")</f>
        <v>p_2d9e9554321cc7ff6295eb1995e76248bde09a2f@inbound.aiesec.org</v>
      </c>
      <c r="F24" s="16">
        <f>IFERROR(__xludf.DUMMYFUNCTION("""COMPUTED_VALUE"""),5.435460309E9)</f>
        <v>5435460309</v>
      </c>
      <c r="G24" s="16" t="str">
        <f>IFERROR(__xludf.DUMMYFUNCTION("""COMPUTED_VALUE"""),"Turkey")</f>
        <v>Turkey</v>
      </c>
      <c r="H24" s="16" t="str">
        <f>IFERROR(__xludf.DUMMYFUNCTION("""COMPUTED_VALUE"""),"ISTANBUL")</f>
        <v>ISTANBUL</v>
      </c>
      <c r="I24" s="16" t="str">
        <f>IFERROR(__xludf.DUMMYFUNCTION("""COMPUTED_VALUE"""),"Sri Lanka")</f>
        <v>Sri Lanka</v>
      </c>
      <c r="J24" s="16" t="str">
        <f>IFERROR(__xludf.DUMMYFUNCTION("""COMPUTED_VALUE"""),"COLOMBO NORTH")</f>
        <v>COLOMBO NORTH</v>
      </c>
      <c r="K24" s="17" t="str">
        <f>IFERROR(__xludf.DUMMYFUNCTION("""COMPUTED_VALUE"""),"https://expa.aiesec.org/opportunities/1287602")</f>
        <v>https://expa.aiesec.org/opportunities/1287602</v>
      </c>
      <c r="L24" s="16" t="str">
        <f>IFERROR(__xludf.DUMMYFUNCTION("""COMPUTED_VALUE"""),"GV")</f>
        <v>GV</v>
      </c>
      <c r="M24" s="16" t="str">
        <f>IFERROR(__xludf.DUMMYFUNCTION("""COMPUTED_VALUE"""),"short")</f>
        <v>short</v>
      </c>
      <c r="N24" s="18">
        <f>IFERROR(__xludf.DUMMYFUNCTION("""COMPUTED_VALUE"""),45036.0)</f>
        <v>45036</v>
      </c>
      <c r="O24" s="18">
        <f>IFERROR(__xludf.DUMMYFUNCTION("""COMPUTED_VALUE"""),45151.0)</f>
        <v>45151</v>
      </c>
      <c r="P24" s="18">
        <f>IFERROR(__xludf.DUMMYFUNCTION("""COMPUTED_VALUE"""),45193.0)</f>
        <v>45193</v>
      </c>
      <c r="Q24" s="18"/>
      <c r="R24" s="18"/>
      <c r="S24" s="16"/>
      <c r="T24" s="16"/>
      <c r="U24" s="16" t="str">
        <f>IFERROR(__xludf.DUMMYFUNCTION("""COMPUTED_VALUE"""),"Rooted")</f>
        <v>Rooted</v>
      </c>
      <c r="V24" s="16" t="str">
        <f>IFERROR(__xludf.DUMMYFUNCTION("""COMPUTED_VALUE"""),"ISTANBUL - BEYOGLU")</f>
        <v>ISTANBUL - BEYOGLU</v>
      </c>
      <c r="W24" s="16" t="str">
        <f>IFERROR(__xludf.DUMMYFUNCTION("""COMPUTED_VALUE"""),"2023-04-18T14:09:04Z")</f>
        <v>2023-04-18T14:09:04Z</v>
      </c>
      <c r="X24" s="16"/>
      <c r="Y24" s="16"/>
      <c r="Z24" s="16"/>
    </row>
    <row r="25">
      <c r="A25" s="16" t="str">
        <f>IFERROR(__xludf.DUMMYFUNCTION("""COMPUTED_VALUE"""),"5233944_1293284")</f>
        <v>5233944_1293284</v>
      </c>
      <c r="B25" s="16" t="str">
        <f>IFERROR(__xludf.DUMMYFUNCTION("""COMPUTED_VALUE"""),"Elif Gülsüm Karapolat")</f>
        <v>Elif Gülsüm Karapolat</v>
      </c>
      <c r="C25" s="16" t="str">
        <f>IFERROR(__xludf.DUMMYFUNCTION("""COMPUTED_VALUE"""),"approved")</f>
        <v>approved</v>
      </c>
      <c r="D25" s="16" t="str">
        <f>IFERROR(__xludf.DUMMYFUNCTION("""COMPUTED_VALUE"""),"No")</f>
        <v>No</v>
      </c>
      <c r="E25" s="16" t="str">
        <f>IFERROR(__xludf.DUMMYFUNCTION("""COMPUTED_VALUE"""),"p_672556044e01ba0bbfcbed396aea39498ad7608d@inbound.aiesec.org")</f>
        <v>p_672556044e01ba0bbfcbed396aea39498ad7608d@inbound.aiesec.org</v>
      </c>
      <c r="F25" s="16"/>
      <c r="G25" s="16" t="str">
        <f>IFERROR(__xludf.DUMMYFUNCTION("""COMPUTED_VALUE"""),"Turkey")</f>
        <v>Turkey</v>
      </c>
      <c r="H25" s="16" t="str">
        <f>IFERROR(__xludf.DUMMYFUNCTION("""COMPUTED_VALUE"""),"ISTANBUL")</f>
        <v>ISTANBUL</v>
      </c>
      <c r="I25" s="16" t="str">
        <f>IFERROR(__xludf.DUMMYFUNCTION("""COMPUTED_VALUE"""),"Czech Republic")</f>
        <v>Czech Republic</v>
      </c>
      <c r="J25" s="16" t="str">
        <f>IFERROR(__xludf.DUMMYFUNCTION("""COMPUTED_VALUE"""),"PILSEN")</f>
        <v>PILSEN</v>
      </c>
      <c r="K25" s="17" t="str">
        <f>IFERROR(__xludf.DUMMYFUNCTION("""COMPUTED_VALUE"""),"https://expa.aiesec.org/opportunities/1293284")</f>
        <v>https://expa.aiesec.org/opportunities/1293284</v>
      </c>
      <c r="L25" s="16" t="str">
        <f>IFERROR(__xludf.DUMMYFUNCTION("""COMPUTED_VALUE"""),"GV")</f>
        <v>GV</v>
      </c>
      <c r="M25" s="16" t="str">
        <f>IFERROR(__xludf.DUMMYFUNCTION("""COMPUTED_VALUE"""),"short")</f>
        <v>short</v>
      </c>
      <c r="N25" s="18">
        <f>IFERROR(__xludf.DUMMYFUNCTION("""COMPUTED_VALUE"""),45040.0)</f>
        <v>45040</v>
      </c>
      <c r="O25" s="18">
        <f>IFERROR(__xludf.DUMMYFUNCTION("""COMPUTED_VALUE"""),45173.0)</f>
        <v>45173</v>
      </c>
      <c r="P25" s="18">
        <f>IFERROR(__xludf.DUMMYFUNCTION("""COMPUTED_VALUE"""),45215.0)</f>
        <v>45215</v>
      </c>
      <c r="Q25" s="18"/>
      <c r="R25" s="18"/>
      <c r="S25" s="16"/>
      <c r="T25" s="16"/>
      <c r="U25" s="16" t="str">
        <f>IFERROR(__xludf.DUMMYFUNCTION("""COMPUTED_VALUE"""),"Youth 4 Impact")</f>
        <v>Youth 4 Impact</v>
      </c>
      <c r="V25" s="16" t="str">
        <f>IFERROR(__xludf.DUMMYFUNCTION("""COMPUTED_VALUE"""),"-")</f>
        <v>-</v>
      </c>
      <c r="W25" s="16" t="str">
        <f>IFERROR(__xludf.DUMMYFUNCTION("""COMPUTED_VALUE"""),"2023-04-03T11:45:16Z")</f>
        <v>2023-04-03T11:45:16Z</v>
      </c>
      <c r="X25" s="16"/>
      <c r="Y25" s="16"/>
      <c r="Z25" s="16"/>
    </row>
    <row r="26">
      <c r="A26" s="16" t="str">
        <f>IFERROR(__xludf.DUMMYFUNCTION("""COMPUTED_VALUE"""),"4238956_1294458")</f>
        <v>4238956_1294458</v>
      </c>
      <c r="B26" s="16" t="str">
        <f>IFERROR(__xludf.DUMMYFUNCTION("""COMPUTED_VALUE"""),"Alisa Durmaz")</f>
        <v>Alisa Durmaz</v>
      </c>
      <c r="C26" s="16" t="str">
        <f>IFERROR(__xludf.DUMMYFUNCTION("""COMPUTED_VALUE"""),"approved")</f>
        <v>approved</v>
      </c>
      <c r="D26" s="16" t="str">
        <f>IFERROR(__xludf.DUMMYFUNCTION("""COMPUTED_VALUE"""),"No")</f>
        <v>No</v>
      </c>
      <c r="E26" s="16" t="str">
        <f>IFERROR(__xludf.DUMMYFUNCTION("""COMPUTED_VALUE"""),"p_fcad2495c4508b69b23c0d4d3a89f0d9aaa4ba7b@inbound.aiesec.org")</f>
        <v>p_fcad2495c4508b69b23c0d4d3a89f0d9aaa4ba7b@inbound.aiesec.org</v>
      </c>
      <c r="F26" s="16">
        <f>IFERROR(__xludf.DUMMYFUNCTION("""COMPUTED_VALUE"""),5.338489489E9)</f>
        <v>5338489489</v>
      </c>
      <c r="G26" s="16" t="str">
        <f>IFERROR(__xludf.DUMMYFUNCTION("""COMPUTED_VALUE"""),"Turkey")</f>
        <v>Turkey</v>
      </c>
      <c r="H26" s="16" t="str">
        <f>IFERROR(__xludf.DUMMYFUNCTION("""COMPUTED_VALUE"""),"ADANA")</f>
        <v>ADANA</v>
      </c>
      <c r="I26" s="16" t="str">
        <f>IFERROR(__xludf.DUMMYFUNCTION("""COMPUTED_VALUE"""),"Egypt")</f>
        <v>Egypt</v>
      </c>
      <c r="J26" s="16" t="str">
        <f>IFERROR(__xludf.DUMMYFUNCTION("""COMPUTED_VALUE"""),"Ain Shams University")</f>
        <v>Ain Shams University</v>
      </c>
      <c r="K26" s="17" t="str">
        <f>IFERROR(__xludf.DUMMYFUNCTION("""COMPUTED_VALUE"""),"https://expa.aiesec.org/opportunities/1294458")</f>
        <v>https://expa.aiesec.org/opportunities/1294458</v>
      </c>
      <c r="L26" s="16" t="str">
        <f>IFERROR(__xludf.DUMMYFUNCTION("""COMPUTED_VALUE"""),"GV")</f>
        <v>GV</v>
      </c>
      <c r="M26" s="16" t="str">
        <f>IFERROR(__xludf.DUMMYFUNCTION("""COMPUTED_VALUE"""),"short")</f>
        <v>short</v>
      </c>
      <c r="N26" s="18">
        <f>IFERROR(__xludf.DUMMYFUNCTION("""COMPUTED_VALUE"""),45042.0)</f>
        <v>45042</v>
      </c>
      <c r="O26" s="18">
        <f>IFERROR(__xludf.DUMMYFUNCTION("""COMPUTED_VALUE"""),45152.0)</f>
        <v>45152</v>
      </c>
      <c r="P26" s="18">
        <f>IFERROR(__xludf.DUMMYFUNCTION("""COMPUTED_VALUE"""),45194.0)</f>
        <v>45194</v>
      </c>
      <c r="Q26" s="18"/>
      <c r="R26" s="18"/>
      <c r="S26" s="16"/>
      <c r="T26" s="16"/>
      <c r="U26" s="16" t="str">
        <f>IFERROR(__xludf.DUMMYFUNCTION("""COMPUTED_VALUE"""),"Scale Up!")</f>
        <v>Scale Up!</v>
      </c>
      <c r="V26" s="16" t="str">
        <f>IFERROR(__xludf.DUMMYFUNCTION("""COMPUTED_VALUE"""),"NORTH CYPRUS")</f>
        <v>NORTH CYPRUS</v>
      </c>
      <c r="W26" s="16" t="str">
        <f>IFERROR(__xludf.DUMMYFUNCTION("""COMPUTED_VALUE"""),"2020-03-06T11:05:38Z")</f>
        <v>2020-03-06T11:05:38Z</v>
      </c>
      <c r="X26" s="16"/>
      <c r="Y26" s="16"/>
      <c r="Z26" s="16"/>
    </row>
    <row r="27">
      <c r="A27" s="16" t="str">
        <f>IFERROR(__xludf.DUMMYFUNCTION("""COMPUTED_VALUE"""),"5246419_1284922")</f>
        <v>5246419_1284922</v>
      </c>
      <c r="B27" s="16" t="str">
        <f>IFERROR(__xludf.DUMMYFUNCTION("""COMPUTED_VALUE"""),"Merve Nur Erol")</f>
        <v>Merve Nur Erol</v>
      </c>
      <c r="C27" s="16" t="str">
        <f>IFERROR(__xludf.DUMMYFUNCTION("""COMPUTED_VALUE"""),"approved")</f>
        <v>approved</v>
      </c>
      <c r="D27" s="16" t="str">
        <f>IFERROR(__xludf.DUMMYFUNCTION("""COMPUTED_VALUE"""),"No")</f>
        <v>No</v>
      </c>
      <c r="E27" s="16" t="str">
        <f>IFERROR(__xludf.DUMMYFUNCTION("""COMPUTED_VALUE"""),"p_1e29562b61cb919dd6b171171e937a052b6f2cd4@inbound.aiesec.org")</f>
        <v>p_1e29562b61cb919dd6b171171e937a052b6f2cd4@inbound.aiesec.org</v>
      </c>
      <c r="F27" s="16"/>
      <c r="G27" s="16" t="str">
        <f>IFERROR(__xludf.DUMMYFUNCTION("""COMPUTED_VALUE"""),"Turkey")</f>
        <v>Turkey</v>
      </c>
      <c r="H27" s="16" t="str">
        <f>IFERROR(__xludf.DUMMYFUNCTION("""COMPUTED_VALUE"""),"ANKARA")</f>
        <v>ANKARA</v>
      </c>
      <c r="I27" s="16" t="str">
        <f>IFERROR(__xludf.DUMMYFUNCTION("""COMPUTED_VALUE"""),"Sri Lanka")</f>
        <v>Sri Lanka</v>
      </c>
      <c r="J27" s="16" t="str">
        <f>IFERROR(__xludf.DUMMYFUNCTION("""COMPUTED_VALUE"""),"COLOMBO CENTRAL")</f>
        <v>COLOMBO CENTRAL</v>
      </c>
      <c r="K27" s="17" t="str">
        <f>IFERROR(__xludf.DUMMYFUNCTION("""COMPUTED_VALUE"""),"https://expa.aiesec.org/opportunities/1284922")</f>
        <v>https://expa.aiesec.org/opportunities/1284922</v>
      </c>
      <c r="L27" s="16" t="str">
        <f>IFERROR(__xludf.DUMMYFUNCTION("""COMPUTED_VALUE"""),"GV")</f>
        <v>GV</v>
      </c>
      <c r="M27" s="16" t="str">
        <f>IFERROR(__xludf.DUMMYFUNCTION("""COMPUTED_VALUE"""),"short")</f>
        <v>short</v>
      </c>
      <c r="N27" s="18">
        <f>IFERROR(__xludf.DUMMYFUNCTION("""COMPUTED_VALUE"""),45043.0)</f>
        <v>45043</v>
      </c>
      <c r="O27" s="18">
        <f>IFERROR(__xludf.DUMMYFUNCTION("""COMPUTED_VALUE"""),45124.0)</f>
        <v>45124</v>
      </c>
      <c r="P27" s="18">
        <f>IFERROR(__xludf.DUMMYFUNCTION("""COMPUTED_VALUE"""),45166.0)</f>
        <v>45166</v>
      </c>
      <c r="Q27" s="18"/>
      <c r="R27" s="18"/>
      <c r="S27" s="16"/>
      <c r="T27" s="16"/>
      <c r="U27" s="16" t="str">
        <f>IFERROR(__xludf.DUMMYFUNCTION("""COMPUTED_VALUE"""),"Aquatica")</f>
        <v>Aquatica</v>
      </c>
      <c r="V27" s="16" t="str">
        <f>IFERROR(__xludf.DUMMYFUNCTION("""COMPUTED_VALUE"""),"-")</f>
        <v>-</v>
      </c>
      <c r="W27" s="16" t="str">
        <f>IFERROR(__xludf.DUMMYFUNCTION("""COMPUTED_VALUE"""),"2023-04-20T18:22:39Z")</f>
        <v>2023-04-20T18:22:39Z</v>
      </c>
      <c r="X27" s="16"/>
      <c r="Y27" s="16"/>
      <c r="Z27" s="16"/>
    </row>
    <row r="28">
      <c r="A28" s="16" t="str">
        <f>IFERROR(__xludf.DUMMYFUNCTION("""COMPUTED_VALUE"""),"4125603_1294063")</f>
        <v>4125603_1294063</v>
      </c>
      <c r="B28" s="16" t="str">
        <f>IFERROR(__xludf.DUMMYFUNCTION("""COMPUTED_VALUE"""),"AHMET GÖKDOĞAN")</f>
        <v>AHMET GÖKDOĞAN</v>
      </c>
      <c r="C28" s="16" t="str">
        <f>IFERROR(__xludf.DUMMYFUNCTION("""COMPUTED_VALUE"""),"approved")</f>
        <v>approved</v>
      </c>
      <c r="D28" s="16" t="str">
        <f>IFERROR(__xludf.DUMMYFUNCTION("""COMPUTED_VALUE"""),"No")</f>
        <v>No</v>
      </c>
      <c r="E28" s="16" t="str">
        <f>IFERROR(__xludf.DUMMYFUNCTION("""COMPUTED_VALUE"""),"p_502565e528682f5c9eed19d99ccd112c2d8a0ac2@inbound.aiesec.org")</f>
        <v>p_502565e528682f5c9eed19d99ccd112c2d8a0ac2@inbound.aiesec.org</v>
      </c>
      <c r="F28" s="16">
        <f>IFERROR(__xludf.DUMMYFUNCTION("""COMPUTED_VALUE"""),5.415426326E9)</f>
        <v>5415426326</v>
      </c>
      <c r="G28" s="16" t="str">
        <f>IFERROR(__xludf.DUMMYFUNCTION("""COMPUTED_VALUE"""),"Turkey")</f>
        <v>Turkey</v>
      </c>
      <c r="H28" s="16" t="str">
        <f>IFERROR(__xludf.DUMMYFUNCTION("""COMPUTED_VALUE"""),"GAZIANTEP")</f>
        <v>GAZIANTEP</v>
      </c>
      <c r="I28" s="16" t="str">
        <f>IFERROR(__xludf.DUMMYFUNCTION("""COMPUTED_VALUE"""),"Egypt")</f>
        <v>Egypt</v>
      </c>
      <c r="J28" s="16" t="str">
        <f>IFERROR(__xludf.DUMMYFUNCTION("""COMPUTED_VALUE"""),"Ain Shams University")</f>
        <v>Ain Shams University</v>
      </c>
      <c r="K28" s="17" t="str">
        <f>IFERROR(__xludf.DUMMYFUNCTION("""COMPUTED_VALUE"""),"https://expa.aiesec.org/opportunities/1294063")</f>
        <v>https://expa.aiesec.org/opportunities/1294063</v>
      </c>
      <c r="L28" s="16" t="str">
        <f>IFERROR(__xludf.DUMMYFUNCTION("""COMPUTED_VALUE"""),"GV")</f>
        <v>GV</v>
      </c>
      <c r="M28" s="16" t="str">
        <f>IFERROR(__xludf.DUMMYFUNCTION("""COMPUTED_VALUE"""),"short")</f>
        <v>short</v>
      </c>
      <c r="N28" s="18">
        <f>IFERROR(__xludf.DUMMYFUNCTION("""COMPUTED_VALUE"""),45046.0)</f>
        <v>45046</v>
      </c>
      <c r="O28" s="18">
        <f>IFERROR(__xludf.DUMMYFUNCTION("""COMPUTED_VALUE"""),45139.0)</f>
        <v>45139</v>
      </c>
      <c r="P28" s="18">
        <f>IFERROR(__xludf.DUMMYFUNCTION("""COMPUTED_VALUE"""),45181.0)</f>
        <v>45181</v>
      </c>
      <c r="Q28" s="18"/>
      <c r="R28" s="18"/>
      <c r="S28" s="16"/>
      <c r="T28" s="16"/>
      <c r="U28" s="16" t="str">
        <f>IFERROR(__xludf.DUMMYFUNCTION("""COMPUTED_VALUE"""),"On The Map")</f>
        <v>On The Map</v>
      </c>
      <c r="V28" s="16" t="str">
        <f>IFERROR(__xludf.DUMMYFUNCTION("""COMPUTED_VALUE"""),"GAZIANTEP")</f>
        <v>GAZIANTEP</v>
      </c>
      <c r="W28" s="16" t="str">
        <f>IFERROR(__xludf.DUMMYFUNCTION("""COMPUTED_VALUE"""),"2020-01-06T13:32:42Z")</f>
        <v>2020-01-06T13:32:42Z</v>
      </c>
      <c r="X28" s="16"/>
      <c r="Y28" s="16"/>
      <c r="Z28" s="16"/>
    </row>
    <row r="29">
      <c r="A29" s="16" t="str">
        <f>IFERROR(__xludf.DUMMYFUNCTION("""COMPUTED_VALUE"""),"5253891_1293463")</f>
        <v>5253891_1293463</v>
      </c>
      <c r="B29" s="16" t="str">
        <f>IFERROR(__xludf.DUMMYFUNCTION("""COMPUTED_VALUE"""),"Fathi hassan Mohamed")</f>
        <v>Fathi hassan Mohamed</v>
      </c>
      <c r="C29" s="16" t="str">
        <f>IFERROR(__xludf.DUMMYFUNCTION("""COMPUTED_VALUE"""),"approved")</f>
        <v>approved</v>
      </c>
      <c r="D29" s="16" t="str">
        <f>IFERROR(__xludf.DUMMYFUNCTION("""COMPUTED_VALUE"""),"No")</f>
        <v>No</v>
      </c>
      <c r="E29" s="16" t="str">
        <f>IFERROR(__xludf.DUMMYFUNCTION("""COMPUTED_VALUE"""),"p_d843a8c40e1e9f6e8cdd4d9f7884a0c56c1532cf@inbound.aiesec.org")</f>
        <v>p_d843a8c40e1e9f6e8cdd4d9f7884a0c56c1532cf@inbound.aiesec.org</v>
      </c>
      <c r="F29" s="16">
        <f>IFERROR(__xludf.DUMMYFUNCTION("""COMPUTED_VALUE"""),5.050479081E9)</f>
        <v>5050479081</v>
      </c>
      <c r="G29" s="16" t="str">
        <f>IFERROR(__xludf.DUMMYFUNCTION("""COMPUTED_VALUE"""),"Turkey")</f>
        <v>Turkey</v>
      </c>
      <c r="H29" s="16" t="str">
        <f>IFERROR(__xludf.DUMMYFUNCTION("""COMPUTED_VALUE"""),"KONYA")</f>
        <v>KONYA</v>
      </c>
      <c r="I29" s="16" t="str">
        <f>IFERROR(__xludf.DUMMYFUNCTION("""COMPUTED_VALUE"""),"Egypt")</f>
        <v>Egypt</v>
      </c>
      <c r="J29" s="16" t="str">
        <f>IFERROR(__xludf.DUMMYFUNCTION("""COMPUTED_VALUE"""),"Tanta")</f>
        <v>Tanta</v>
      </c>
      <c r="K29" s="17" t="str">
        <f>IFERROR(__xludf.DUMMYFUNCTION("""COMPUTED_VALUE"""),"https://expa.aiesec.org/opportunities/1293463")</f>
        <v>https://expa.aiesec.org/opportunities/1293463</v>
      </c>
      <c r="L29" s="16" t="str">
        <f>IFERROR(__xludf.DUMMYFUNCTION("""COMPUTED_VALUE"""),"GV")</f>
        <v>GV</v>
      </c>
      <c r="M29" s="16" t="str">
        <f>IFERROR(__xludf.DUMMYFUNCTION("""COMPUTED_VALUE"""),"short")</f>
        <v>short</v>
      </c>
      <c r="N29" s="18">
        <f>IFERROR(__xludf.DUMMYFUNCTION("""COMPUTED_VALUE"""),45047.0)</f>
        <v>45047</v>
      </c>
      <c r="O29" s="18">
        <f>IFERROR(__xludf.DUMMYFUNCTION("""COMPUTED_VALUE"""),45139.0)</f>
        <v>45139</v>
      </c>
      <c r="P29" s="18">
        <f>IFERROR(__xludf.DUMMYFUNCTION("""COMPUTED_VALUE"""),45181.0)</f>
        <v>45181</v>
      </c>
      <c r="Q29" s="18"/>
      <c r="R29" s="18"/>
      <c r="S29" s="16"/>
      <c r="T29" s="16"/>
      <c r="U29" s="16" t="str">
        <f>IFERROR(__xludf.DUMMYFUNCTION("""COMPUTED_VALUE"""),"Green Leaders")</f>
        <v>Green Leaders</v>
      </c>
      <c r="V29" s="16" t="str">
        <f>IFERROR(__xludf.DUMMYFUNCTION("""COMPUTED_VALUE"""),"KONYA")</f>
        <v>KONYA</v>
      </c>
      <c r="W29" s="16" t="str">
        <f>IFERROR(__xludf.DUMMYFUNCTION("""COMPUTED_VALUE"""),"2023-05-01T19:37:39Z")</f>
        <v>2023-05-01T19:37:39Z</v>
      </c>
      <c r="X29" s="16"/>
      <c r="Y29" s="16"/>
      <c r="Z29" s="16"/>
    </row>
    <row r="30">
      <c r="A30" s="16" t="str">
        <f>IFERROR(__xludf.DUMMYFUNCTION("""COMPUTED_VALUE"""),"5253152_1290024")</f>
        <v>5253152_1290024</v>
      </c>
      <c r="B30" s="16" t="str">
        <f>IFERROR(__xludf.DUMMYFUNCTION("""COMPUTED_VALUE"""),"Hakan Güner")</f>
        <v>Hakan Güner</v>
      </c>
      <c r="C30" s="16" t="str">
        <f>IFERROR(__xludf.DUMMYFUNCTION("""COMPUTED_VALUE"""),"approved")</f>
        <v>approved</v>
      </c>
      <c r="D30" s="16" t="str">
        <f>IFERROR(__xludf.DUMMYFUNCTION("""COMPUTED_VALUE"""),"No")</f>
        <v>No</v>
      </c>
      <c r="E30" s="16" t="str">
        <f>IFERROR(__xludf.DUMMYFUNCTION("""COMPUTED_VALUE"""),"p_324be67163fc5c48e3d7c243608af77fc3165627@inbound.aiesec.org")</f>
        <v>p_324be67163fc5c48e3d7c243608af77fc3165627@inbound.aiesec.org</v>
      </c>
      <c r="F30" s="16"/>
      <c r="G30" s="16" t="str">
        <f>IFERROR(__xludf.DUMMYFUNCTION("""COMPUTED_VALUE"""),"Turkey")</f>
        <v>Turkey</v>
      </c>
      <c r="H30" s="16" t="str">
        <f>IFERROR(__xludf.DUMMYFUNCTION("""COMPUTED_VALUE"""),"ISTANBUL")</f>
        <v>ISTANBUL</v>
      </c>
      <c r="I30" s="16" t="str">
        <f>IFERROR(__xludf.DUMMYFUNCTION("""COMPUTED_VALUE"""),"Egypt")</f>
        <v>Egypt</v>
      </c>
      <c r="J30" s="16" t="str">
        <f>IFERROR(__xludf.DUMMYFUNCTION("""COMPUTED_VALUE"""),"Ain Shams University")</f>
        <v>Ain Shams University</v>
      </c>
      <c r="K30" s="17" t="str">
        <f>IFERROR(__xludf.DUMMYFUNCTION("""COMPUTED_VALUE"""),"https://expa.aiesec.org/opportunities/1290024")</f>
        <v>https://expa.aiesec.org/opportunities/1290024</v>
      </c>
      <c r="L30" s="16" t="str">
        <f>IFERROR(__xludf.DUMMYFUNCTION("""COMPUTED_VALUE"""),"GV")</f>
        <v>GV</v>
      </c>
      <c r="M30" s="16" t="str">
        <f>IFERROR(__xludf.DUMMYFUNCTION("""COMPUTED_VALUE"""),"short")</f>
        <v>short</v>
      </c>
      <c r="N30" s="18">
        <f>IFERROR(__xludf.DUMMYFUNCTION("""COMPUTED_VALUE"""),45047.0)</f>
        <v>45047</v>
      </c>
      <c r="O30" s="18">
        <f>IFERROR(__xludf.DUMMYFUNCTION("""COMPUTED_VALUE"""),45170.0)</f>
        <v>45170</v>
      </c>
      <c r="P30" s="18">
        <f>IFERROR(__xludf.DUMMYFUNCTION("""COMPUTED_VALUE"""),45212.0)</f>
        <v>45212</v>
      </c>
      <c r="Q30" s="18"/>
      <c r="R30" s="18"/>
      <c r="S30" s="16"/>
      <c r="T30" s="16"/>
      <c r="U30" s="16" t="str">
        <f>IFERROR(__xludf.DUMMYFUNCTION("""COMPUTED_VALUE"""),"On The Map")</f>
        <v>On The Map</v>
      </c>
      <c r="V30" s="16" t="str">
        <f>IFERROR(__xludf.DUMMYFUNCTION("""COMPUTED_VALUE"""),"-")</f>
        <v>-</v>
      </c>
      <c r="W30" s="16" t="str">
        <f>IFERROR(__xludf.DUMMYFUNCTION("""COMPUTED_VALUE"""),"2023-04-30T14:24:06Z")</f>
        <v>2023-04-30T14:24:06Z</v>
      </c>
      <c r="X30" s="16"/>
      <c r="Y30" s="16"/>
      <c r="Z30" s="16"/>
    </row>
    <row r="31">
      <c r="A31" s="16" t="str">
        <f>IFERROR(__xludf.DUMMYFUNCTION("""COMPUTED_VALUE"""),"5252146_1286658")</f>
        <v>5252146_1286658</v>
      </c>
      <c r="B31" s="16" t="str">
        <f>IFERROR(__xludf.DUMMYFUNCTION("""COMPUTED_VALUE"""),"Nurana Gurbanli")</f>
        <v>Nurana Gurbanli</v>
      </c>
      <c r="C31" s="16" t="str">
        <f>IFERROR(__xludf.DUMMYFUNCTION("""COMPUTED_VALUE"""),"approved")</f>
        <v>approved</v>
      </c>
      <c r="D31" s="16" t="str">
        <f>IFERROR(__xludf.DUMMYFUNCTION("""COMPUTED_VALUE"""),"No")</f>
        <v>No</v>
      </c>
      <c r="E31" s="16" t="str">
        <f>IFERROR(__xludf.DUMMYFUNCTION("""COMPUTED_VALUE"""),"p_090dd6a65ad6d695571a50390ddf0a45daa8f19e@inbound.aiesec.org")</f>
        <v>p_090dd6a65ad6d695571a50390ddf0a45daa8f19e@inbound.aiesec.org</v>
      </c>
      <c r="F31" s="16">
        <f>IFERROR(__xludf.DUMMYFUNCTION("""COMPUTED_VALUE"""),5.347187163E9)</f>
        <v>5347187163</v>
      </c>
      <c r="G31" s="16" t="str">
        <f>IFERROR(__xludf.DUMMYFUNCTION("""COMPUTED_VALUE"""),"Turkey")</f>
        <v>Turkey</v>
      </c>
      <c r="H31" s="16" t="str">
        <f>IFERROR(__xludf.DUMMYFUNCTION("""COMPUTED_VALUE"""),"ISTANBUL")</f>
        <v>ISTANBUL</v>
      </c>
      <c r="I31" s="16" t="str">
        <f>IFERROR(__xludf.DUMMYFUNCTION("""COMPUTED_VALUE"""),"Egypt")</f>
        <v>Egypt</v>
      </c>
      <c r="J31" s="16" t="str">
        <f>IFERROR(__xludf.DUMMYFUNCTION("""COMPUTED_VALUE"""),"Cairo University")</f>
        <v>Cairo University</v>
      </c>
      <c r="K31" s="17" t="str">
        <f>IFERROR(__xludf.DUMMYFUNCTION("""COMPUTED_VALUE"""),"https://expa.aiesec.org/opportunities/1286658")</f>
        <v>https://expa.aiesec.org/opportunities/1286658</v>
      </c>
      <c r="L31" s="16" t="str">
        <f>IFERROR(__xludf.DUMMYFUNCTION("""COMPUTED_VALUE"""),"GV")</f>
        <v>GV</v>
      </c>
      <c r="M31" s="16" t="str">
        <f>IFERROR(__xludf.DUMMYFUNCTION("""COMPUTED_VALUE"""),"short")</f>
        <v>short</v>
      </c>
      <c r="N31" s="18">
        <f>IFERROR(__xludf.DUMMYFUNCTION("""COMPUTED_VALUE"""),45047.0)</f>
        <v>45047</v>
      </c>
      <c r="O31" s="18">
        <f>IFERROR(__xludf.DUMMYFUNCTION("""COMPUTED_VALUE"""),45159.0)</f>
        <v>45159</v>
      </c>
      <c r="P31" s="18">
        <f>IFERROR(__xludf.DUMMYFUNCTION("""COMPUTED_VALUE"""),45204.0)</f>
        <v>45204</v>
      </c>
      <c r="Q31" s="18"/>
      <c r="R31" s="18"/>
      <c r="S31" s="16"/>
      <c r="T31" s="16"/>
      <c r="U31" s="16" t="str">
        <f>IFERROR(__xludf.DUMMYFUNCTION("""COMPUTED_VALUE"""),"Global Classroom")</f>
        <v>Global Classroom</v>
      </c>
      <c r="V31" s="16" t="str">
        <f>IFERROR(__xludf.DUMMYFUNCTION("""COMPUTED_VALUE"""),"ISTANBUL - BEYOGLU")</f>
        <v>ISTANBUL - BEYOGLU</v>
      </c>
      <c r="W31" s="16" t="str">
        <f>IFERROR(__xludf.DUMMYFUNCTION("""COMPUTED_VALUE"""),"2023-04-28T21:20:31Z")</f>
        <v>2023-04-28T21:20:31Z</v>
      </c>
      <c r="X31" s="16"/>
      <c r="Y31" s="16"/>
      <c r="Z31" s="16"/>
    </row>
    <row r="32">
      <c r="A32" s="16" t="str">
        <f>IFERROR(__xludf.DUMMYFUNCTION("""COMPUTED_VALUE"""),"5253297_1293477")</f>
        <v>5253297_1293477</v>
      </c>
      <c r="B32" s="16" t="str">
        <f>IFERROR(__xludf.DUMMYFUNCTION("""COMPUTED_VALUE"""),"Halil Emin Sezer")</f>
        <v>Halil Emin Sezer</v>
      </c>
      <c r="C32" s="16" t="str">
        <f>IFERROR(__xludf.DUMMYFUNCTION("""COMPUTED_VALUE"""),"approved")</f>
        <v>approved</v>
      </c>
      <c r="D32" s="16" t="str">
        <f>IFERROR(__xludf.DUMMYFUNCTION("""COMPUTED_VALUE"""),"No")</f>
        <v>No</v>
      </c>
      <c r="E32" s="16" t="str">
        <f>IFERROR(__xludf.DUMMYFUNCTION("""COMPUTED_VALUE"""),"p_d4fde0d93ab97c4c37d7b188c7b95d0156818e3c@inbound.aiesec.org")</f>
        <v>p_d4fde0d93ab97c4c37d7b188c7b95d0156818e3c@inbound.aiesec.org</v>
      </c>
      <c r="F32" s="16">
        <f>IFERROR(__xludf.DUMMYFUNCTION("""COMPUTED_VALUE"""),5.347703654E9)</f>
        <v>5347703654</v>
      </c>
      <c r="G32" s="16" t="str">
        <f>IFERROR(__xludf.DUMMYFUNCTION("""COMPUTED_VALUE"""),"Turkey")</f>
        <v>Turkey</v>
      </c>
      <c r="H32" s="16" t="str">
        <f>IFERROR(__xludf.DUMMYFUNCTION("""COMPUTED_VALUE"""),"ADANA")</f>
        <v>ADANA</v>
      </c>
      <c r="I32" s="16" t="str">
        <f>IFERROR(__xludf.DUMMYFUNCTION("""COMPUTED_VALUE"""),"Egypt")</f>
        <v>Egypt</v>
      </c>
      <c r="J32" s="16" t="str">
        <f>IFERROR(__xludf.DUMMYFUNCTION("""COMPUTED_VALUE"""),"GUC")</f>
        <v>GUC</v>
      </c>
      <c r="K32" s="17" t="str">
        <f>IFERROR(__xludf.DUMMYFUNCTION("""COMPUTED_VALUE"""),"https://expa.aiesec.org/opportunities/1293477")</f>
        <v>https://expa.aiesec.org/opportunities/1293477</v>
      </c>
      <c r="L32" s="16" t="str">
        <f>IFERROR(__xludf.DUMMYFUNCTION("""COMPUTED_VALUE"""),"GV")</f>
        <v>GV</v>
      </c>
      <c r="M32" s="16" t="str">
        <f>IFERROR(__xludf.DUMMYFUNCTION("""COMPUTED_VALUE"""),"short")</f>
        <v>short</v>
      </c>
      <c r="N32" s="18">
        <f>IFERROR(__xludf.DUMMYFUNCTION("""COMPUTED_VALUE"""),45048.0)</f>
        <v>45048</v>
      </c>
      <c r="O32" s="18">
        <f>IFERROR(__xludf.DUMMYFUNCTION("""COMPUTED_VALUE"""),45139.0)</f>
        <v>45139</v>
      </c>
      <c r="P32" s="18">
        <f>IFERROR(__xludf.DUMMYFUNCTION("""COMPUTED_VALUE"""),45181.0)</f>
        <v>45181</v>
      </c>
      <c r="Q32" s="18"/>
      <c r="R32" s="18"/>
      <c r="S32" s="16"/>
      <c r="T32" s="16"/>
      <c r="U32" s="16" t="str">
        <f>IFERROR(__xludf.DUMMYFUNCTION("""COMPUTED_VALUE"""),"Raise Your Voice")</f>
        <v>Raise Your Voice</v>
      </c>
      <c r="V32" s="16" t="str">
        <f>IFERROR(__xludf.DUMMYFUNCTION("""COMPUTED_VALUE"""),"ADANA")</f>
        <v>ADANA</v>
      </c>
      <c r="W32" s="16" t="str">
        <f>IFERROR(__xludf.DUMMYFUNCTION("""COMPUTED_VALUE"""),"2023-04-30T19:07:10Z")</f>
        <v>2023-04-30T19:07:10Z</v>
      </c>
      <c r="X32" s="16"/>
      <c r="Y32" s="16"/>
      <c r="Z32" s="16"/>
    </row>
    <row r="33">
      <c r="A33" s="16" t="str">
        <f>IFERROR(__xludf.DUMMYFUNCTION("""COMPUTED_VALUE"""),"5229078_1293284")</f>
        <v>5229078_1293284</v>
      </c>
      <c r="B33" s="16" t="str">
        <f>IFERROR(__xludf.DUMMYFUNCTION("""COMPUTED_VALUE"""),"Nefise Nur Yıldız")</f>
        <v>Nefise Nur Yıldız</v>
      </c>
      <c r="C33" s="16" t="str">
        <f>IFERROR(__xludf.DUMMYFUNCTION("""COMPUTED_VALUE"""),"approved")</f>
        <v>approved</v>
      </c>
      <c r="D33" s="16" t="str">
        <f>IFERROR(__xludf.DUMMYFUNCTION("""COMPUTED_VALUE"""),"No")</f>
        <v>No</v>
      </c>
      <c r="E33" s="16" t="str">
        <f>IFERROR(__xludf.DUMMYFUNCTION("""COMPUTED_VALUE"""),"p_da1aeb987b995024f83cdfe903c185ccd107775d@inbound.aiesec.org")</f>
        <v>p_da1aeb987b995024f83cdfe903c185ccd107775d@inbound.aiesec.org</v>
      </c>
      <c r="F33" s="16">
        <f>IFERROR(__xludf.DUMMYFUNCTION("""COMPUTED_VALUE"""),5.515515264E9)</f>
        <v>5515515264</v>
      </c>
      <c r="G33" s="16" t="str">
        <f>IFERROR(__xludf.DUMMYFUNCTION("""COMPUTED_VALUE"""),"Turkey")</f>
        <v>Turkey</v>
      </c>
      <c r="H33" s="16" t="str">
        <f>IFERROR(__xludf.DUMMYFUNCTION("""COMPUTED_VALUE"""),"ISTANBUL")</f>
        <v>ISTANBUL</v>
      </c>
      <c r="I33" s="16" t="str">
        <f>IFERROR(__xludf.DUMMYFUNCTION("""COMPUTED_VALUE"""),"Czech Republic")</f>
        <v>Czech Republic</v>
      </c>
      <c r="J33" s="16" t="str">
        <f>IFERROR(__xludf.DUMMYFUNCTION("""COMPUTED_VALUE"""),"PILSEN")</f>
        <v>PILSEN</v>
      </c>
      <c r="K33" s="17" t="str">
        <f>IFERROR(__xludf.DUMMYFUNCTION("""COMPUTED_VALUE"""),"https://expa.aiesec.org/opportunities/1293284")</f>
        <v>https://expa.aiesec.org/opportunities/1293284</v>
      </c>
      <c r="L33" s="16" t="str">
        <f>IFERROR(__xludf.DUMMYFUNCTION("""COMPUTED_VALUE"""),"GV")</f>
        <v>GV</v>
      </c>
      <c r="M33" s="16" t="str">
        <f>IFERROR(__xludf.DUMMYFUNCTION("""COMPUTED_VALUE"""),"short")</f>
        <v>short</v>
      </c>
      <c r="N33" s="18">
        <f>IFERROR(__xludf.DUMMYFUNCTION("""COMPUTED_VALUE"""),45048.0)</f>
        <v>45048</v>
      </c>
      <c r="O33" s="18">
        <f>IFERROR(__xludf.DUMMYFUNCTION("""COMPUTED_VALUE"""),45173.0)</f>
        <v>45173</v>
      </c>
      <c r="P33" s="18">
        <f>IFERROR(__xludf.DUMMYFUNCTION("""COMPUTED_VALUE"""),45215.0)</f>
        <v>45215</v>
      </c>
      <c r="Q33" s="18"/>
      <c r="R33" s="18"/>
      <c r="S33" s="16"/>
      <c r="T33" s="16"/>
      <c r="U33" s="16" t="str">
        <f>IFERROR(__xludf.DUMMYFUNCTION("""COMPUTED_VALUE"""),"Youth 4 Impact")</f>
        <v>Youth 4 Impact</v>
      </c>
      <c r="V33" s="16" t="str">
        <f>IFERROR(__xludf.DUMMYFUNCTION("""COMPUTED_VALUE"""),"ISTANBUL - BEYOGLU")</f>
        <v>ISTANBUL - BEYOGLU</v>
      </c>
      <c r="W33" s="16" t="str">
        <f>IFERROR(__xludf.DUMMYFUNCTION("""COMPUTED_VALUE"""),"2023-03-28T14:13:24Z")</f>
        <v>2023-03-28T14:13:24Z</v>
      </c>
      <c r="X33" s="16"/>
      <c r="Y33" s="16"/>
      <c r="Z33" s="16"/>
    </row>
    <row r="34">
      <c r="A34" s="16" t="str">
        <f>IFERROR(__xludf.DUMMYFUNCTION("""COMPUTED_VALUE"""),"5252402_1294825")</f>
        <v>5252402_1294825</v>
      </c>
      <c r="B34" s="16" t="str">
        <f>IFERROR(__xludf.DUMMYFUNCTION("""COMPUTED_VALUE"""),"Yusuf Ziya Kaplan")</f>
        <v>Yusuf Ziya Kaplan</v>
      </c>
      <c r="C34" s="16" t="str">
        <f>IFERROR(__xludf.DUMMYFUNCTION("""COMPUTED_VALUE"""),"approved")</f>
        <v>approved</v>
      </c>
      <c r="D34" s="16" t="str">
        <f>IFERROR(__xludf.DUMMYFUNCTION("""COMPUTED_VALUE"""),"No")</f>
        <v>No</v>
      </c>
      <c r="E34" s="16" t="str">
        <f>IFERROR(__xludf.DUMMYFUNCTION("""COMPUTED_VALUE"""),"p_d2a097e23bd161250f8838a76a7a8b21b6ee180b@inbound.aiesec.org")</f>
        <v>p_d2a097e23bd161250f8838a76a7a8b21b6ee180b@inbound.aiesec.org</v>
      </c>
      <c r="F34" s="16">
        <f>IFERROR(__xludf.DUMMYFUNCTION("""COMPUTED_VALUE"""),5.376113575E9)</f>
        <v>5376113575</v>
      </c>
      <c r="G34" s="16" t="str">
        <f>IFERROR(__xludf.DUMMYFUNCTION("""COMPUTED_VALUE"""),"Turkey")</f>
        <v>Turkey</v>
      </c>
      <c r="H34" s="16" t="str">
        <f>IFERROR(__xludf.DUMMYFUNCTION("""COMPUTED_VALUE"""),"ADANA")</f>
        <v>ADANA</v>
      </c>
      <c r="I34" s="16" t="str">
        <f>IFERROR(__xludf.DUMMYFUNCTION("""COMPUTED_VALUE"""),"Egypt")</f>
        <v>Egypt</v>
      </c>
      <c r="J34" s="16" t="str">
        <f>IFERROR(__xludf.DUMMYFUNCTION("""COMPUTED_VALUE"""),"GUC")</f>
        <v>GUC</v>
      </c>
      <c r="K34" s="17" t="str">
        <f>IFERROR(__xludf.DUMMYFUNCTION("""COMPUTED_VALUE"""),"https://expa.aiesec.org/opportunities/1294825")</f>
        <v>https://expa.aiesec.org/opportunities/1294825</v>
      </c>
      <c r="L34" s="16" t="str">
        <f>IFERROR(__xludf.DUMMYFUNCTION("""COMPUTED_VALUE"""),"GV")</f>
        <v>GV</v>
      </c>
      <c r="M34" s="16" t="str">
        <f>IFERROR(__xludf.DUMMYFUNCTION("""COMPUTED_VALUE"""),"short")</f>
        <v>short</v>
      </c>
      <c r="N34" s="18">
        <f>IFERROR(__xludf.DUMMYFUNCTION("""COMPUTED_VALUE"""),45049.0)</f>
        <v>45049</v>
      </c>
      <c r="O34" s="18">
        <f>IFERROR(__xludf.DUMMYFUNCTION("""COMPUTED_VALUE"""),45139.0)</f>
        <v>45139</v>
      </c>
      <c r="P34" s="18">
        <f>IFERROR(__xludf.DUMMYFUNCTION("""COMPUTED_VALUE"""),45181.0)</f>
        <v>45181</v>
      </c>
      <c r="Q34" s="18"/>
      <c r="R34" s="18"/>
      <c r="S34" s="16"/>
      <c r="T34" s="16"/>
      <c r="U34" s="16" t="str">
        <f>IFERROR(__xludf.DUMMYFUNCTION("""COMPUTED_VALUE"""),"Scale Up!")</f>
        <v>Scale Up!</v>
      </c>
      <c r="V34" s="16" t="str">
        <f>IFERROR(__xludf.DUMMYFUNCTION("""COMPUTED_VALUE"""),"ADANA")</f>
        <v>ADANA</v>
      </c>
      <c r="W34" s="16" t="str">
        <f>IFERROR(__xludf.DUMMYFUNCTION("""COMPUTED_VALUE"""),"2023-04-29T10:46:50Z")</f>
        <v>2023-04-29T10:46:50Z</v>
      </c>
      <c r="X34" s="16"/>
      <c r="Y34" s="16"/>
      <c r="Z34" s="16"/>
    </row>
    <row r="35">
      <c r="A35" s="16" t="str">
        <f>IFERROR(__xludf.DUMMYFUNCTION("""COMPUTED_VALUE"""),"5239156_1292298")</f>
        <v>5239156_1292298</v>
      </c>
      <c r="B35" s="16" t="str">
        <f>IFERROR(__xludf.DUMMYFUNCTION("""COMPUTED_VALUE"""),"Medine Rümeysa Önel")</f>
        <v>Medine Rümeysa Önel</v>
      </c>
      <c r="C35" s="16" t="str">
        <f>IFERROR(__xludf.DUMMYFUNCTION("""COMPUTED_VALUE"""),"approved")</f>
        <v>approved</v>
      </c>
      <c r="D35" s="16" t="str">
        <f>IFERROR(__xludf.DUMMYFUNCTION("""COMPUTED_VALUE"""),"No")</f>
        <v>No</v>
      </c>
      <c r="E35" s="16" t="str">
        <f>IFERROR(__xludf.DUMMYFUNCTION("""COMPUTED_VALUE"""),"p_0f3bda8486a3a599755fd9057e4e7b2e528bc8d2@inbound.aiesec.org")</f>
        <v>p_0f3bda8486a3a599755fd9057e4e7b2e528bc8d2@inbound.aiesec.org</v>
      </c>
      <c r="F35" s="16"/>
      <c r="G35" s="16" t="str">
        <f>IFERROR(__xludf.DUMMYFUNCTION("""COMPUTED_VALUE"""),"Turkey")</f>
        <v>Turkey</v>
      </c>
      <c r="H35" s="16" t="str">
        <f>IFERROR(__xludf.DUMMYFUNCTION("""COMPUTED_VALUE"""),"TRABZON")</f>
        <v>TRABZON</v>
      </c>
      <c r="I35" s="16" t="str">
        <f>IFERROR(__xludf.DUMMYFUNCTION("""COMPUTED_VALUE"""),"Egypt")</f>
        <v>Egypt</v>
      </c>
      <c r="J35" s="16" t="str">
        <f>IFERROR(__xludf.DUMMYFUNCTION("""COMPUTED_VALUE"""),"Cairo University")</f>
        <v>Cairo University</v>
      </c>
      <c r="K35" s="17" t="str">
        <f>IFERROR(__xludf.DUMMYFUNCTION("""COMPUTED_VALUE"""),"https://expa.aiesec.org/opportunities/1292298")</f>
        <v>https://expa.aiesec.org/opportunities/1292298</v>
      </c>
      <c r="L35" s="16" t="str">
        <f>IFERROR(__xludf.DUMMYFUNCTION("""COMPUTED_VALUE"""),"GV")</f>
        <v>GV</v>
      </c>
      <c r="M35" s="16" t="str">
        <f>IFERROR(__xludf.DUMMYFUNCTION("""COMPUTED_VALUE"""),"short")</f>
        <v>short</v>
      </c>
      <c r="N35" s="18">
        <f>IFERROR(__xludf.DUMMYFUNCTION("""COMPUTED_VALUE"""),45049.0)</f>
        <v>45049</v>
      </c>
      <c r="O35" s="18">
        <f>IFERROR(__xludf.DUMMYFUNCTION("""COMPUTED_VALUE"""),45153.0)</f>
        <v>45153</v>
      </c>
      <c r="P35" s="18">
        <f>IFERROR(__xludf.DUMMYFUNCTION("""COMPUTED_VALUE"""),45197.0)</f>
        <v>45197</v>
      </c>
      <c r="Q35" s="18"/>
      <c r="R35" s="18"/>
      <c r="S35" s="16"/>
      <c r="T35" s="16"/>
      <c r="U35" s="16" t="str">
        <f>IFERROR(__xludf.DUMMYFUNCTION("""COMPUTED_VALUE"""),"Fingerprint")</f>
        <v>Fingerprint</v>
      </c>
      <c r="V35" s="16" t="str">
        <f>IFERROR(__xludf.DUMMYFUNCTION("""COMPUTED_VALUE"""),"-")</f>
        <v>-</v>
      </c>
      <c r="W35" s="16" t="str">
        <f>IFERROR(__xludf.DUMMYFUNCTION("""COMPUTED_VALUE"""),"2023-04-10T22:00:59Z")</f>
        <v>2023-04-10T22:00:59Z</v>
      </c>
      <c r="X35" s="16"/>
      <c r="Y35" s="16"/>
      <c r="Z35" s="16"/>
    </row>
    <row r="36">
      <c r="A36" s="16" t="str">
        <f>IFERROR(__xludf.DUMMYFUNCTION("""COMPUTED_VALUE"""),"5254464_1286929")</f>
        <v>5254464_1286929</v>
      </c>
      <c r="B36" s="16" t="str">
        <f>IFERROR(__xludf.DUMMYFUNCTION("""COMPUTED_VALUE"""),"Kıymet Nur Çelik")</f>
        <v>Kıymet Nur Çelik</v>
      </c>
      <c r="C36" s="16" t="str">
        <f>IFERROR(__xludf.DUMMYFUNCTION("""COMPUTED_VALUE"""),"approved")</f>
        <v>approved</v>
      </c>
      <c r="D36" s="16" t="str">
        <f>IFERROR(__xludf.DUMMYFUNCTION("""COMPUTED_VALUE"""),"No")</f>
        <v>No</v>
      </c>
      <c r="E36" s="16" t="str">
        <f>IFERROR(__xludf.DUMMYFUNCTION("""COMPUTED_VALUE"""),"p_032e0ea3670d2028be308ba30c89b733faf44c3f@inbound.aiesec.org")</f>
        <v>p_032e0ea3670d2028be308ba30c89b733faf44c3f@inbound.aiesec.org</v>
      </c>
      <c r="F36" s="16"/>
      <c r="G36" s="16" t="str">
        <f>IFERROR(__xludf.DUMMYFUNCTION("""COMPUTED_VALUE"""),"Turkey")</f>
        <v>Turkey</v>
      </c>
      <c r="H36" s="16" t="str">
        <f>IFERROR(__xludf.DUMMYFUNCTION("""COMPUTED_VALUE"""),"KOCAELI")</f>
        <v>KOCAELI</v>
      </c>
      <c r="I36" s="16" t="str">
        <f>IFERROR(__xludf.DUMMYFUNCTION("""COMPUTED_VALUE"""),"Egypt")</f>
        <v>Egypt</v>
      </c>
      <c r="J36" s="16" t="str">
        <f>IFERROR(__xludf.DUMMYFUNCTION("""COMPUTED_VALUE"""),"Ain Shams University")</f>
        <v>Ain Shams University</v>
      </c>
      <c r="K36" s="17" t="str">
        <f>IFERROR(__xludf.DUMMYFUNCTION("""COMPUTED_VALUE"""),"https://expa.aiesec.org/opportunities/1286929")</f>
        <v>https://expa.aiesec.org/opportunities/1286929</v>
      </c>
      <c r="L36" s="16" t="str">
        <f>IFERROR(__xludf.DUMMYFUNCTION("""COMPUTED_VALUE"""),"GV")</f>
        <v>GV</v>
      </c>
      <c r="M36" s="16" t="str">
        <f>IFERROR(__xludf.DUMMYFUNCTION("""COMPUTED_VALUE"""),"short")</f>
        <v>short</v>
      </c>
      <c r="N36" s="18">
        <f>IFERROR(__xludf.DUMMYFUNCTION("""COMPUTED_VALUE"""),45049.0)</f>
        <v>45049</v>
      </c>
      <c r="O36" s="18">
        <f>IFERROR(__xludf.DUMMYFUNCTION("""COMPUTED_VALUE"""),45153.0)</f>
        <v>45153</v>
      </c>
      <c r="P36" s="18">
        <f>IFERROR(__xludf.DUMMYFUNCTION("""COMPUTED_VALUE"""),45195.0)</f>
        <v>45195</v>
      </c>
      <c r="Q36" s="18"/>
      <c r="R36" s="18"/>
      <c r="S36" s="16"/>
      <c r="T36" s="16"/>
      <c r="U36" s="16" t="str">
        <f>IFERROR(__xludf.DUMMYFUNCTION("""COMPUTED_VALUE"""),"Global Classroom")</f>
        <v>Global Classroom</v>
      </c>
      <c r="V36" s="16" t="str">
        <f>IFERROR(__xludf.DUMMYFUNCTION("""COMPUTED_VALUE"""),"-")</f>
        <v>-</v>
      </c>
      <c r="W36" s="16" t="str">
        <f>IFERROR(__xludf.DUMMYFUNCTION("""COMPUTED_VALUE"""),"2023-05-02T17:45:29Z")</f>
        <v>2023-05-02T17:45:29Z</v>
      </c>
      <c r="X36" s="16"/>
      <c r="Y36" s="16"/>
      <c r="Z36" s="16"/>
    </row>
    <row r="37">
      <c r="A37" s="16" t="str">
        <f>IFERROR(__xludf.DUMMYFUNCTION("""COMPUTED_VALUE"""),"5191990_1294459")</f>
        <v>5191990_1294459</v>
      </c>
      <c r="B37" s="16" t="str">
        <f>IFERROR(__xludf.DUMMYFUNCTION("""COMPUTED_VALUE"""),"Zeynep Sena Akşehirli")</f>
        <v>Zeynep Sena Akşehirli</v>
      </c>
      <c r="C37" s="16" t="str">
        <f>IFERROR(__xludf.DUMMYFUNCTION("""COMPUTED_VALUE"""),"approved")</f>
        <v>approved</v>
      </c>
      <c r="D37" s="16" t="str">
        <f>IFERROR(__xludf.DUMMYFUNCTION("""COMPUTED_VALUE"""),"No")</f>
        <v>No</v>
      </c>
      <c r="E37" s="16" t="str">
        <f>IFERROR(__xludf.DUMMYFUNCTION("""COMPUTED_VALUE"""),"p_17146e10f8352697aec8c2e64347bfc735455a78@inbound.aiesec.org")</f>
        <v>p_17146e10f8352697aec8c2e64347bfc735455a78@inbound.aiesec.org</v>
      </c>
      <c r="F37" s="16">
        <f>IFERROR(__xludf.DUMMYFUNCTION("""COMPUTED_VALUE"""),5.528228975E9)</f>
        <v>5528228975</v>
      </c>
      <c r="G37" s="16" t="str">
        <f>IFERROR(__xludf.DUMMYFUNCTION("""COMPUTED_VALUE"""),"Turkey")</f>
        <v>Turkey</v>
      </c>
      <c r="H37" s="16" t="str">
        <f>IFERROR(__xludf.DUMMYFUNCTION("""COMPUTED_VALUE"""),"ISTANBUL")</f>
        <v>ISTANBUL</v>
      </c>
      <c r="I37" s="16" t="str">
        <f>IFERROR(__xludf.DUMMYFUNCTION("""COMPUTED_VALUE"""),"Egypt")</f>
        <v>Egypt</v>
      </c>
      <c r="J37" s="16" t="str">
        <f>IFERROR(__xludf.DUMMYFUNCTION("""COMPUTED_VALUE"""),"Cairo University")</f>
        <v>Cairo University</v>
      </c>
      <c r="K37" s="17" t="str">
        <f>IFERROR(__xludf.DUMMYFUNCTION("""COMPUTED_VALUE"""),"https://expa.aiesec.org/opportunities/1294459")</f>
        <v>https://expa.aiesec.org/opportunities/1294459</v>
      </c>
      <c r="L37" s="16" t="str">
        <f>IFERROR(__xludf.DUMMYFUNCTION("""COMPUTED_VALUE"""),"GV")</f>
        <v>GV</v>
      </c>
      <c r="M37" s="16" t="str">
        <f>IFERROR(__xludf.DUMMYFUNCTION("""COMPUTED_VALUE"""),"short")</f>
        <v>short</v>
      </c>
      <c r="N37" s="18">
        <f>IFERROR(__xludf.DUMMYFUNCTION("""COMPUTED_VALUE"""),45049.0)</f>
        <v>45049</v>
      </c>
      <c r="O37" s="18">
        <f>IFERROR(__xludf.DUMMYFUNCTION("""COMPUTED_VALUE"""),45159.0)</f>
        <v>45159</v>
      </c>
      <c r="P37" s="18">
        <f>IFERROR(__xludf.DUMMYFUNCTION("""COMPUTED_VALUE"""),45203.0)</f>
        <v>45203</v>
      </c>
      <c r="Q37" s="18"/>
      <c r="R37" s="18"/>
      <c r="S37" s="16"/>
      <c r="T37" s="16"/>
      <c r="U37" s="16" t="str">
        <f>IFERROR(__xludf.DUMMYFUNCTION("""COMPUTED_VALUE"""),"Global Classroom")</f>
        <v>Global Classroom</v>
      </c>
      <c r="V37" s="16" t="str">
        <f>IFERROR(__xludf.DUMMYFUNCTION("""COMPUTED_VALUE"""),"KAYSERI")</f>
        <v>KAYSERI</v>
      </c>
      <c r="W37" s="16" t="str">
        <f>IFERROR(__xludf.DUMMYFUNCTION("""COMPUTED_VALUE"""),"2023-02-16T10:00:43Z")</f>
        <v>2023-02-16T10:00:43Z</v>
      </c>
      <c r="X37" s="16"/>
      <c r="Y37" s="16"/>
      <c r="Z37" s="16"/>
    </row>
    <row r="38">
      <c r="A38" s="16" t="str">
        <f>IFERROR(__xludf.DUMMYFUNCTION("""COMPUTED_VALUE"""),"5255704_1291395")</f>
        <v>5255704_1291395</v>
      </c>
      <c r="B38" s="16" t="str">
        <f>IFERROR(__xludf.DUMMYFUNCTION("""COMPUTED_VALUE"""),"Ramazan Şahin")</f>
        <v>Ramazan Şahin</v>
      </c>
      <c r="C38" s="16" t="str">
        <f>IFERROR(__xludf.DUMMYFUNCTION("""COMPUTED_VALUE"""),"approved")</f>
        <v>approved</v>
      </c>
      <c r="D38" s="16" t="str">
        <f>IFERROR(__xludf.DUMMYFUNCTION("""COMPUTED_VALUE"""),"No")</f>
        <v>No</v>
      </c>
      <c r="E38" s="16" t="str">
        <f>IFERROR(__xludf.DUMMYFUNCTION("""COMPUTED_VALUE"""),"p_f0d033fbd70554fc0c7d2721578860136af93c72@inbound.aiesec.org")</f>
        <v>p_f0d033fbd70554fc0c7d2721578860136af93c72@inbound.aiesec.org</v>
      </c>
      <c r="F38" s="16">
        <f>IFERROR(__xludf.DUMMYFUNCTION("""COMPUTED_VALUE"""),5.466632166E9)</f>
        <v>5466632166</v>
      </c>
      <c r="G38" s="16" t="str">
        <f>IFERROR(__xludf.DUMMYFUNCTION("""COMPUTED_VALUE"""),"Turkey")</f>
        <v>Turkey</v>
      </c>
      <c r="H38" s="16" t="str">
        <f>IFERROR(__xludf.DUMMYFUNCTION("""COMPUTED_VALUE"""),"İZMİR")</f>
        <v>İZMİR</v>
      </c>
      <c r="I38" s="16" t="str">
        <f>IFERROR(__xludf.DUMMYFUNCTION("""COMPUTED_VALUE"""),"Egypt")</f>
        <v>Egypt</v>
      </c>
      <c r="J38" s="16" t="str">
        <f>IFERROR(__xludf.DUMMYFUNCTION("""COMPUTED_VALUE"""),"Menofia")</f>
        <v>Menofia</v>
      </c>
      <c r="K38" s="17" t="str">
        <f>IFERROR(__xludf.DUMMYFUNCTION("""COMPUTED_VALUE"""),"https://expa.aiesec.org/opportunities/1291395")</f>
        <v>https://expa.aiesec.org/opportunities/1291395</v>
      </c>
      <c r="L38" s="16" t="str">
        <f>IFERROR(__xludf.DUMMYFUNCTION("""COMPUTED_VALUE"""),"GV")</f>
        <v>GV</v>
      </c>
      <c r="M38" s="16" t="str">
        <f>IFERROR(__xludf.DUMMYFUNCTION("""COMPUTED_VALUE"""),"short")</f>
        <v>short</v>
      </c>
      <c r="N38" s="18">
        <f>IFERROR(__xludf.DUMMYFUNCTION("""COMPUTED_VALUE"""),45050.0)</f>
        <v>45050</v>
      </c>
      <c r="O38" s="18">
        <f>IFERROR(__xludf.DUMMYFUNCTION("""COMPUTED_VALUE"""),45184.0)</f>
        <v>45184</v>
      </c>
      <c r="P38" s="18">
        <f>IFERROR(__xludf.DUMMYFUNCTION("""COMPUTED_VALUE"""),45226.0)</f>
        <v>45226</v>
      </c>
      <c r="Q38" s="18"/>
      <c r="R38" s="18"/>
      <c r="S38" s="16"/>
      <c r="T38" s="16"/>
      <c r="U38" s="16" t="str">
        <f>IFERROR(__xludf.DUMMYFUNCTION("""COMPUTED_VALUE"""),"Global Classroom")</f>
        <v>Global Classroom</v>
      </c>
      <c r="V38" s="16" t="str">
        <f>IFERROR(__xludf.DUMMYFUNCTION("""COMPUTED_VALUE"""),"IZMIR")</f>
        <v>IZMIR</v>
      </c>
      <c r="W38" s="16" t="str">
        <f>IFERROR(__xludf.DUMMYFUNCTION("""COMPUTED_VALUE"""),"2023-05-04T12:12:20Z")</f>
        <v>2023-05-04T12:12:20Z</v>
      </c>
      <c r="X38" s="16"/>
      <c r="Y38" s="16"/>
      <c r="Z38" s="16"/>
    </row>
    <row r="39">
      <c r="A39" s="16" t="str">
        <f>IFERROR(__xludf.DUMMYFUNCTION("""COMPUTED_VALUE"""),"5255015_1293463")</f>
        <v>5255015_1293463</v>
      </c>
      <c r="B39" s="16" t="str">
        <f>IFERROR(__xludf.DUMMYFUNCTION("""COMPUTED_VALUE"""),"Fatma Nur Uzun")</f>
        <v>Fatma Nur Uzun</v>
      </c>
      <c r="C39" s="16" t="str">
        <f>IFERROR(__xludf.DUMMYFUNCTION("""COMPUTED_VALUE"""),"approved")</f>
        <v>approved</v>
      </c>
      <c r="D39" s="16" t="str">
        <f>IFERROR(__xludf.DUMMYFUNCTION("""COMPUTED_VALUE"""),"No")</f>
        <v>No</v>
      </c>
      <c r="E39" s="16" t="str">
        <f>IFERROR(__xludf.DUMMYFUNCTION("""COMPUTED_VALUE"""),"p_7d19e2913fd7a04a5bd20ca15be6a928aa2a5e75@inbound.aiesec.org")</f>
        <v>p_7d19e2913fd7a04a5bd20ca15be6a928aa2a5e75@inbound.aiesec.org</v>
      </c>
      <c r="F39" s="16">
        <f>IFERROR(__xludf.DUMMYFUNCTION("""COMPUTED_VALUE"""),5.053597711E9)</f>
        <v>5053597711</v>
      </c>
      <c r="G39" s="16" t="str">
        <f>IFERROR(__xludf.DUMMYFUNCTION("""COMPUTED_VALUE"""),"Turkey")</f>
        <v>Turkey</v>
      </c>
      <c r="H39" s="16" t="str">
        <f>IFERROR(__xludf.DUMMYFUNCTION("""COMPUTED_VALUE"""),"KONYA")</f>
        <v>KONYA</v>
      </c>
      <c r="I39" s="16" t="str">
        <f>IFERROR(__xludf.DUMMYFUNCTION("""COMPUTED_VALUE"""),"Egypt")</f>
        <v>Egypt</v>
      </c>
      <c r="J39" s="16" t="str">
        <f>IFERROR(__xludf.DUMMYFUNCTION("""COMPUTED_VALUE"""),"Tanta")</f>
        <v>Tanta</v>
      </c>
      <c r="K39" s="17" t="str">
        <f>IFERROR(__xludf.DUMMYFUNCTION("""COMPUTED_VALUE"""),"https://expa.aiesec.org/opportunities/1293463")</f>
        <v>https://expa.aiesec.org/opportunities/1293463</v>
      </c>
      <c r="L39" s="16" t="str">
        <f>IFERROR(__xludf.DUMMYFUNCTION("""COMPUTED_VALUE"""),"GV")</f>
        <v>GV</v>
      </c>
      <c r="M39" s="16" t="str">
        <f>IFERROR(__xludf.DUMMYFUNCTION("""COMPUTED_VALUE"""),"short")</f>
        <v>short</v>
      </c>
      <c r="N39" s="18">
        <f>IFERROR(__xludf.DUMMYFUNCTION("""COMPUTED_VALUE"""),45050.0)</f>
        <v>45050</v>
      </c>
      <c r="O39" s="18">
        <f>IFERROR(__xludf.DUMMYFUNCTION("""COMPUTED_VALUE"""),45139.0)</f>
        <v>45139</v>
      </c>
      <c r="P39" s="18">
        <f>IFERROR(__xludf.DUMMYFUNCTION("""COMPUTED_VALUE"""),45181.0)</f>
        <v>45181</v>
      </c>
      <c r="Q39" s="18"/>
      <c r="R39" s="18"/>
      <c r="S39" s="16"/>
      <c r="T39" s="16"/>
      <c r="U39" s="16" t="str">
        <f>IFERROR(__xludf.DUMMYFUNCTION("""COMPUTED_VALUE"""),"Green Leaders")</f>
        <v>Green Leaders</v>
      </c>
      <c r="V39" s="16" t="str">
        <f>IFERROR(__xludf.DUMMYFUNCTION("""COMPUTED_VALUE"""),"KONYA")</f>
        <v>KONYA</v>
      </c>
      <c r="W39" s="16" t="str">
        <f>IFERROR(__xludf.DUMMYFUNCTION("""COMPUTED_VALUE"""),"2023-05-03T11:42:32Z")</f>
        <v>2023-05-03T11:42:32Z</v>
      </c>
      <c r="X39" s="16"/>
      <c r="Y39" s="16"/>
      <c r="Z39" s="16"/>
    </row>
    <row r="40">
      <c r="A40" s="16" t="str">
        <f>IFERROR(__xludf.DUMMYFUNCTION("""COMPUTED_VALUE"""),"5248900_1294522")</f>
        <v>5248900_1294522</v>
      </c>
      <c r="B40" s="16" t="str">
        <f>IFERROR(__xludf.DUMMYFUNCTION("""COMPUTED_VALUE"""),"Utku Taha Tokgöz")</f>
        <v>Utku Taha Tokgöz</v>
      </c>
      <c r="C40" s="16" t="str">
        <f>IFERROR(__xludf.DUMMYFUNCTION("""COMPUTED_VALUE"""),"approved")</f>
        <v>approved</v>
      </c>
      <c r="D40" s="16" t="str">
        <f>IFERROR(__xludf.DUMMYFUNCTION("""COMPUTED_VALUE"""),"No")</f>
        <v>No</v>
      </c>
      <c r="E40" s="16" t="str">
        <f>IFERROR(__xludf.DUMMYFUNCTION("""COMPUTED_VALUE"""),"p_9d44c4fcfea3e89388317f6690b048b8f80c5300@inbound.aiesec.org")</f>
        <v>p_9d44c4fcfea3e89388317f6690b048b8f80c5300@inbound.aiesec.org</v>
      </c>
      <c r="F40" s="16"/>
      <c r="G40" s="16" t="str">
        <f>IFERROR(__xludf.DUMMYFUNCTION("""COMPUTED_VALUE"""),"Turkey")</f>
        <v>Turkey</v>
      </c>
      <c r="H40" s="16" t="str">
        <f>IFERROR(__xludf.DUMMYFUNCTION("""COMPUTED_VALUE"""),"ADANA")</f>
        <v>ADANA</v>
      </c>
      <c r="I40" s="16" t="str">
        <f>IFERROR(__xludf.DUMMYFUNCTION("""COMPUTED_VALUE"""),"Egypt")</f>
        <v>Egypt</v>
      </c>
      <c r="J40" s="16" t="str">
        <f>IFERROR(__xludf.DUMMYFUNCTION("""COMPUTED_VALUE"""),"GUC")</f>
        <v>GUC</v>
      </c>
      <c r="K40" s="17" t="str">
        <f>IFERROR(__xludf.DUMMYFUNCTION("""COMPUTED_VALUE"""),"https://expa.aiesec.org/opportunities/1294522")</f>
        <v>https://expa.aiesec.org/opportunities/1294522</v>
      </c>
      <c r="L40" s="16" t="str">
        <f>IFERROR(__xludf.DUMMYFUNCTION("""COMPUTED_VALUE"""),"GV")</f>
        <v>GV</v>
      </c>
      <c r="M40" s="16" t="str">
        <f>IFERROR(__xludf.DUMMYFUNCTION("""COMPUTED_VALUE"""),"short")</f>
        <v>short</v>
      </c>
      <c r="N40" s="18">
        <f>IFERROR(__xludf.DUMMYFUNCTION("""COMPUTED_VALUE"""),45050.0)</f>
        <v>45050</v>
      </c>
      <c r="O40" s="18">
        <f>IFERROR(__xludf.DUMMYFUNCTION("""COMPUTED_VALUE"""),45139.0)</f>
        <v>45139</v>
      </c>
      <c r="P40" s="18">
        <f>IFERROR(__xludf.DUMMYFUNCTION("""COMPUTED_VALUE"""),45181.0)</f>
        <v>45181</v>
      </c>
      <c r="Q40" s="18"/>
      <c r="R40" s="18"/>
      <c r="S40" s="16"/>
      <c r="T40" s="16"/>
      <c r="U40" s="16" t="str">
        <f>IFERROR(__xludf.DUMMYFUNCTION("""COMPUTED_VALUE"""),"Global Classroom")</f>
        <v>Global Classroom</v>
      </c>
      <c r="V40" s="16" t="str">
        <f>IFERROR(__xludf.DUMMYFUNCTION("""COMPUTED_VALUE"""),"-")</f>
        <v>-</v>
      </c>
      <c r="W40" s="16" t="str">
        <f>IFERROR(__xludf.DUMMYFUNCTION("""COMPUTED_VALUE"""),"2023-04-25T08:45:11Z")</f>
        <v>2023-04-25T08:45:11Z</v>
      </c>
      <c r="X40" s="16"/>
      <c r="Y40" s="16"/>
      <c r="Z40" s="16"/>
    </row>
    <row r="41">
      <c r="A41" s="16" t="str">
        <f>IFERROR(__xludf.DUMMYFUNCTION("""COMPUTED_VALUE"""),"5253931_1288609")</f>
        <v>5253931_1288609</v>
      </c>
      <c r="B41" s="16" t="str">
        <f>IFERROR(__xludf.DUMMYFUNCTION("""COMPUTED_VALUE"""),"Eray Tunç")</f>
        <v>Eray Tunç</v>
      </c>
      <c r="C41" s="16" t="str">
        <f>IFERROR(__xludf.DUMMYFUNCTION("""COMPUTED_VALUE"""),"approved")</f>
        <v>approved</v>
      </c>
      <c r="D41" s="16" t="str">
        <f>IFERROR(__xludf.DUMMYFUNCTION("""COMPUTED_VALUE"""),"No")</f>
        <v>No</v>
      </c>
      <c r="E41" s="16" t="str">
        <f>IFERROR(__xludf.DUMMYFUNCTION("""COMPUTED_VALUE"""),"p_789f86b1c447e3bef2d094185baba596eb5f50e7@inbound.aiesec.org")</f>
        <v>p_789f86b1c447e3bef2d094185baba596eb5f50e7@inbound.aiesec.org</v>
      </c>
      <c r="F41" s="16"/>
      <c r="G41" s="16" t="str">
        <f>IFERROR(__xludf.DUMMYFUNCTION("""COMPUTED_VALUE"""),"Turkey")</f>
        <v>Turkey</v>
      </c>
      <c r="H41" s="16" t="str">
        <f>IFERROR(__xludf.DUMMYFUNCTION("""COMPUTED_VALUE"""),"ISTANBUL")</f>
        <v>ISTANBUL</v>
      </c>
      <c r="I41" s="16" t="str">
        <f>IFERROR(__xludf.DUMMYFUNCTION("""COMPUTED_VALUE"""),"Egypt")</f>
        <v>Egypt</v>
      </c>
      <c r="J41" s="16" t="str">
        <f>IFERROR(__xludf.DUMMYFUNCTION("""COMPUTED_VALUE"""),"Tanta")</f>
        <v>Tanta</v>
      </c>
      <c r="K41" s="17" t="str">
        <f>IFERROR(__xludf.DUMMYFUNCTION("""COMPUTED_VALUE"""),"https://expa.aiesec.org/opportunities/1288609")</f>
        <v>https://expa.aiesec.org/opportunities/1288609</v>
      </c>
      <c r="L41" s="16" t="str">
        <f>IFERROR(__xludf.DUMMYFUNCTION("""COMPUTED_VALUE"""),"GV")</f>
        <v>GV</v>
      </c>
      <c r="M41" s="16" t="str">
        <f>IFERROR(__xludf.DUMMYFUNCTION("""COMPUTED_VALUE"""),"short")</f>
        <v>short</v>
      </c>
      <c r="N41" s="18">
        <f>IFERROR(__xludf.DUMMYFUNCTION("""COMPUTED_VALUE"""),45050.0)</f>
        <v>45050</v>
      </c>
      <c r="O41" s="18">
        <f>IFERROR(__xludf.DUMMYFUNCTION("""COMPUTED_VALUE"""),45139.0)</f>
        <v>45139</v>
      </c>
      <c r="P41" s="18">
        <f>IFERROR(__xludf.DUMMYFUNCTION("""COMPUTED_VALUE"""),45181.0)</f>
        <v>45181</v>
      </c>
      <c r="Q41" s="18"/>
      <c r="R41" s="18"/>
      <c r="S41" s="16"/>
      <c r="T41" s="16"/>
      <c r="U41" s="16" t="str">
        <f>IFERROR(__xludf.DUMMYFUNCTION("""COMPUTED_VALUE"""),"On The Map")</f>
        <v>On The Map</v>
      </c>
      <c r="V41" s="16" t="str">
        <f>IFERROR(__xludf.DUMMYFUNCTION("""COMPUTED_VALUE"""),"-")</f>
        <v>-</v>
      </c>
      <c r="W41" s="16" t="str">
        <f>IFERROR(__xludf.DUMMYFUNCTION("""COMPUTED_VALUE"""),"2023-05-01T21:21:01Z")</f>
        <v>2023-05-01T21:21:01Z</v>
      </c>
      <c r="X41" s="16"/>
      <c r="Y41" s="16"/>
      <c r="Z41" s="16"/>
    </row>
    <row r="42">
      <c r="A42" s="16" t="str">
        <f>IFERROR(__xludf.DUMMYFUNCTION("""COMPUTED_VALUE"""),"4720267_1288609")</f>
        <v>4720267_1288609</v>
      </c>
      <c r="B42" s="16" t="str">
        <f>IFERROR(__xludf.DUMMYFUNCTION("""COMPUTED_VALUE"""),"GAYE SILA GÜDER")</f>
        <v>GAYE SILA GÜDER</v>
      </c>
      <c r="C42" s="16" t="str">
        <f>IFERROR(__xludf.DUMMYFUNCTION("""COMPUTED_VALUE"""),"approved")</f>
        <v>approved</v>
      </c>
      <c r="D42" s="16" t="str">
        <f>IFERROR(__xludf.DUMMYFUNCTION("""COMPUTED_VALUE"""),"No")</f>
        <v>No</v>
      </c>
      <c r="E42" s="16" t="str">
        <f>IFERROR(__xludf.DUMMYFUNCTION("""COMPUTED_VALUE"""),"p_88ab8face7b4ce4f38a1c2798de9879debcf95b5@inbound.aiesec.org")</f>
        <v>p_88ab8face7b4ce4f38a1c2798de9879debcf95b5@inbound.aiesec.org</v>
      </c>
      <c r="F42" s="16">
        <f>IFERROR(__xludf.DUMMYFUNCTION("""COMPUTED_VALUE"""),5.43765999E9)</f>
        <v>5437659990</v>
      </c>
      <c r="G42" s="16" t="str">
        <f>IFERROR(__xludf.DUMMYFUNCTION("""COMPUTED_VALUE"""),"Turkey")</f>
        <v>Turkey</v>
      </c>
      <c r="H42" s="16" t="str">
        <f>IFERROR(__xludf.DUMMYFUNCTION("""COMPUTED_VALUE"""),"ESKISEHIR")</f>
        <v>ESKISEHIR</v>
      </c>
      <c r="I42" s="16" t="str">
        <f>IFERROR(__xludf.DUMMYFUNCTION("""COMPUTED_VALUE"""),"Egypt")</f>
        <v>Egypt</v>
      </c>
      <c r="J42" s="16" t="str">
        <f>IFERROR(__xludf.DUMMYFUNCTION("""COMPUTED_VALUE"""),"Tanta")</f>
        <v>Tanta</v>
      </c>
      <c r="K42" s="17" t="str">
        <f>IFERROR(__xludf.DUMMYFUNCTION("""COMPUTED_VALUE"""),"https://expa.aiesec.org/opportunities/1288609")</f>
        <v>https://expa.aiesec.org/opportunities/1288609</v>
      </c>
      <c r="L42" s="16" t="str">
        <f>IFERROR(__xludf.DUMMYFUNCTION("""COMPUTED_VALUE"""),"GV")</f>
        <v>GV</v>
      </c>
      <c r="M42" s="16" t="str">
        <f>IFERROR(__xludf.DUMMYFUNCTION("""COMPUTED_VALUE"""),"short")</f>
        <v>short</v>
      </c>
      <c r="N42" s="18">
        <f>IFERROR(__xludf.DUMMYFUNCTION("""COMPUTED_VALUE"""),45050.0)</f>
        <v>45050</v>
      </c>
      <c r="O42" s="18">
        <f>IFERROR(__xludf.DUMMYFUNCTION("""COMPUTED_VALUE"""),45139.0)</f>
        <v>45139</v>
      </c>
      <c r="P42" s="18">
        <f>IFERROR(__xludf.DUMMYFUNCTION("""COMPUTED_VALUE"""),45181.0)</f>
        <v>45181</v>
      </c>
      <c r="Q42" s="18"/>
      <c r="R42" s="18"/>
      <c r="S42" s="16"/>
      <c r="T42" s="16"/>
      <c r="U42" s="16" t="str">
        <f>IFERROR(__xludf.DUMMYFUNCTION("""COMPUTED_VALUE"""),"On The Map")</f>
        <v>On The Map</v>
      </c>
      <c r="V42" s="16" t="str">
        <f>IFERROR(__xludf.DUMMYFUNCTION("""COMPUTED_VALUE"""),"ESKISEHIR")</f>
        <v>ESKISEHIR</v>
      </c>
      <c r="W42" s="16" t="str">
        <f>IFERROR(__xludf.DUMMYFUNCTION("""COMPUTED_VALUE"""),"2021-08-26T14:21:37Z")</f>
        <v>2021-08-26T14:21:37Z</v>
      </c>
      <c r="X42" s="16"/>
      <c r="Y42" s="16"/>
      <c r="Z42" s="16"/>
    </row>
    <row r="43">
      <c r="A43" s="16" t="str">
        <f>IFERROR(__xludf.DUMMYFUNCTION("""COMPUTED_VALUE"""),"5255042_1294811")</f>
        <v>5255042_1294811</v>
      </c>
      <c r="B43" s="16" t="str">
        <f>IFERROR(__xludf.DUMMYFUNCTION("""COMPUTED_VALUE"""),"İrem Aydoğdu")</f>
        <v>İrem Aydoğdu</v>
      </c>
      <c r="C43" s="16" t="str">
        <f>IFERROR(__xludf.DUMMYFUNCTION("""COMPUTED_VALUE"""),"approved")</f>
        <v>approved</v>
      </c>
      <c r="D43" s="16" t="str">
        <f>IFERROR(__xludf.DUMMYFUNCTION("""COMPUTED_VALUE"""),"No")</f>
        <v>No</v>
      </c>
      <c r="E43" s="16" t="str">
        <f>IFERROR(__xludf.DUMMYFUNCTION("""COMPUTED_VALUE"""),"p_4a135c061aa494449688361a7d14dae2a6f044d7@inbound.aiesec.org")</f>
        <v>p_4a135c061aa494449688361a7d14dae2a6f044d7@inbound.aiesec.org</v>
      </c>
      <c r="F43" s="16">
        <f>IFERROR(__xludf.DUMMYFUNCTION("""COMPUTED_VALUE"""),5.413204059E9)</f>
        <v>5413204059</v>
      </c>
      <c r="G43" s="16" t="str">
        <f>IFERROR(__xludf.DUMMYFUNCTION("""COMPUTED_VALUE"""),"Turkey")</f>
        <v>Turkey</v>
      </c>
      <c r="H43" s="16" t="str">
        <f>IFERROR(__xludf.DUMMYFUNCTION("""COMPUTED_VALUE"""),"ISTANBUL")</f>
        <v>ISTANBUL</v>
      </c>
      <c r="I43" s="16" t="str">
        <f>IFERROR(__xludf.DUMMYFUNCTION("""COMPUTED_VALUE"""),"Tunisia")</f>
        <v>Tunisia</v>
      </c>
      <c r="J43" s="16" t="str">
        <f>IFERROR(__xludf.DUMMYFUNCTION("""COMPUTED_VALUE"""),"UNIVERSITY")</f>
        <v>UNIVERSITY</v>
      </c>
      <c r="K43" s="17" t="str">
        <f>IFERROR(__xludf.DUMMYFUNCTION("""COMPUTED_VALUE"""),"https://expa.aiesec.org/opportunities/1294811")</f>
        <v>https://expa.aiesec.org/opportunities/1294811</v>
      </c>
      <c r="L43" s="16" t="str">
        <f>IFERROR(__xludf.DUMMYFUNCTION("""COMPUTED_VALUE"""),"GV")</f>
        <v>GV</v>
      </c>
      <c r="M43" s="16" t="str">
        <f>IFERROR(__xludf.DUMMYFUNCTION("""COMPUTED_VALUE"""),"short")</f>
        <v>short</v>
      </c>
      <c r="N43" s="18">
        <f>IFERROR(__xludf.DUMMYFUNCTION("""COMPUTED_VALUE"""),45051.0)</f>
        <v>45051</v>
      </c>
      <c r="O43" s="18">
        <f>IFERROR(__xludf.DUMMYFUNCTION("""COMPUTED_VALUE"""),45170.0)</f>
        <v>45170</v>
      </c>
      <c r="P43" s="18">
        <f>IFERROR(__xludf.DUMMYFUNCTION("""COMPUTED_VALUE"""),45214.0)</f>
        <v>45214</v>
      </c>
      <c r="Q43" s="18"/>
      <c r="R43" s="18"/>
      <c r="S43" s="16"/>
      <c r="T43" s="16"/>
      <c r="U43" s="16" t="str">
        <f>IFERROR(__xludf.DUMMYFUNCTION("""COMPUTED_VALUE"""),"Global Classroom")</f>
        <v>Global Classroom</v>
      </c>
      <c r="V43" s="16" t="str">
        <f>IFERROR(__xludf.DUMMYFUNCTION("""COMPUTED_VALUE"""),"TEKIRDAG")</f>
        <v>TEKIRDAG</v>
      </c>
      <c r="W43" s="16" t="str">
        <f>IFERROR(__xludf.DUMMYFUNCTION("""COMPUTED_VALUE"""),"2023-05-03T12:07:23Z")</f>
        <v>2023-05-03T12:07:23Z</v>
      </c>
      <c r="X43" s="16"/>
      <c r="Y43" s="16"/>
      <c r="Z43" s="16"/>
    </row>
    <row r="44">
      <c r="A44" s="16" t="str">
        <f>IFERROR(__xludf.DUMMYFUNCTION("""COMPUTED_VALUE"""),"5251998_1294848")</f>
        <v>5251998_1294848</v>
      </c>
      <c r="B44" s="16" t="str">
        <f>IFERROR(__xludf.DUMMYFUNCTION("""COMPUTED_VALUE"""),"Ceri Ne")</f>
        <v>Ceri Ne</v>
      </c>
      <c r="C44" s="16" t="str">
        <f>IFERROR(__xludf.DUMMYFUNCTION("""COMPUTED_VALUE"""),"approved")</f>
        <v>approved</v>
      </c>
      <c r="D44" s="16" t="str">
        <f>IFERROR(__xludf.DUMMYFUNCTION("""COMPUTED_VALUE"""),"No")</f>
        <v>No</v>
      </c>
      <c r="E44" s="16" t="str">
        <f>IFERROR(__xludf.DUMMYFUNCTION("""COMPUTED_VALUE"""),"p_278fafffe818e834e82da358b6f933f2bebb13fd@inbound.aiesec.org")</f>
        <v>p_278fafffe818e834e82da358b6f933f2bebb13fd@inbound.aiesec.org</v>
      </c>
      <c r="F44" s="16"/>
      <c r="G44" s="16" t="str">
        <f>IFERROR(__xludf.DUMMYFUNCTION("""COMPUTED_VALUE"""),"Turkey")</f>
        <v>Turkey</v>
      </c>
      <c r="H44" s="16" t="str">
        <f>IFERROR(__xludf.DUMMYFUNCTION("""COMPUTED_VALUE"""),"ISTANBUL")</f>
        <v>ISTANBUL</v>
      </c>
      <c r="I44" s="16" t="str">
        <f>IFERROR(__xludf.DUMMYFUNCTION("""COMPUTED_VALUE"""),"Egypt")</f>
        <v>Egypt</v>
      </c>
      <c r="J44" s="16" t="str">
        <f>IFERROR(__xludf.DUMMYFUNCTION("""COMPUTED_VALUE"""),"GUC")</f>
        <v>GUC</v>
      </c>
      <c r="K44" s="17" t="str">
        <f>IFERROR(__xludf.DUMMYFUNCTION("""COMPUTED_VALUE"""),"https://expa.aiesec.org/opportunities/1294848")</f>
        <v>https://expa.aiesec.org/opportunities/1294848</v>
      </c>
      <c r="L44" s="16" t="str">
        <f>IFERROR(__xludf.DUMMYFUNCTION("""COMPUTED_VALUE"""),"GV")</f>
        <v>GV</v>
      </c>
      <c r="M44" s="16" t="str">
        <f>IFERROR(__xludf.DUMMYFUNCTION("""COMPUTED_VALUE"""),"short")</f>
        <v>short</v>
      </c>
      <c r="N44" s="18">
        <f>IFERROR(__xludf.DUMMYFUNCTION("""COMPUTED_VALUE"""),45053.0)</f>
        <v>45053</v>
      </c>
      <c r="O44" s="18">
        <f>IFERROR(__xludf.DUMMYFUNCTION("""COMPUTED_VALUE"""),45152.0)</f>
        <v>45152</v>
      </c>
      <c r="P44" s="18">
        <f>IFERROR(__xludf.DUMMYFUNCTION("""COMPUTED_VALUE"""),45194.0)</f>
        <v>45194</v>
      </c>
      <c r="Q44" s="18"/>
      <c r="R44" s="18"/>
      <c r="S44" s="16"/>
      <c r="T44" s="16"/>
      <c r="U44" s="16" t="str">
        <f>IFERROR(__xludf.DUMMYFUNCTION("""COMPUTED_VALUE"""),"Skill Up!")</f>
        <v>Skill Up!</v>
      </c>
      <c r="V44" s="16" t="str">
        <f>IFERROR(__xludf.DUMMYFUNCTION("""COMPUTED_VALUE"""),"-")</f>
        <v>-</v>
      </c>
      <c r="W44" s="16" t="str">
        <f>IFERROR(__xludf.DUMMYFUNCTION("""COMPUTED_VALUE"""),"2023-04-28T16:53:04Z")</f>
        <v>2023-04-28T16:53:04Z</v>
      </c>
      <c r="X44" s="16"/>
      <c r="Y44" s="16"/>
      <c r="Z44" s="16"/>
    </row>
    <row r="45">
      <c r="A45" s="16" t="str">
        <f>IFERROR(__xludf.DUMMYFUNCTION("""COMPUTED_VALUE"""),"5256952_1288609")</f>
        <v>5256952_1288609</v>
      </c>
      <c r="B45" s="16" t="str">
        <f>IFERROR(__xludf.DUMMYFUNCTION("""COMPUTED_VALUE"""),"DEMET DİREYBATOĞULLARI")</f>
        <v>DEMET DİREYBATOĞULLARI</v>
      </c>
      <c r="C45" s="16" t="str">
        <f>IFERROR(__xludf.DUMMYFUNCTION("""COMPUTED_VALUE"""),"approved")</f>
        <v>approved</v>
      </c>
      <c r="D45" s="16" t="str">
        <f>IFERROR(__xludf.DUMMYFUNCTION("""COMPUTED_VALUE"""),"No")</f>
        <v>No</v>
      </c>
      <c r="E45" s="16" t="str">
        <f>IFERROR(__xludf.DUMMYFUNCTION("""COMPUTED_VALUE"""),"p_e22aa1c44bb4082d5b3f2a16a34d54e34a0d51cb@inbound.aiesec.org")</f>
        <v>p_e22aa1c44bb4082d5b3f2a16a34d54e34a0d51cb@inbound.aiesec.org</v>
      </c>
      <c r="F45" s="16">
        <f>IFERROR(__xludf.DUMMYFUNCTION("""COMPUTED_VALUE"""),5.396063735E9)</f>
        <v>5396063735</v>
      </c>
      <c r="G45" s="16" t="str">
        <f>IFERROR(__xludf.DUMMYFUNCTION("""COMPUTED_VALUE"""),"Turkey")</f>
        <v>Turkey</v>
      </c>
      <c r="H45" s="16" t="str">
        <f>IFERROR(__xludf.DUMMYFUNCTION("""COMPUTED_VALUE"""),"ISTANBUL ASIA")</f>
        <v>ISTANBUL ASIA</v>
      </c>
      <c r="I45" s="16" t="str">
        <f>IFERROR(__xludf.DUMMYFUNCTION("""COMPUTED_VALUE"""),"Egypt")</f>
        <v>Egypt</v>
      </c>
      <c r="J45" s="16" t="str">
        <f>IFERROR(__xludf.DUMMYFUNCTION("""COMPUTED_VALUE"""),"Tanta")</f>
        <v>Tanta</v>
      </c>
      <c r="K45" s="17" t="str">
        <f>IFERROR(__xludf.DUMMYFUNCTION("""COMPUTED_VALUE"""),"https://expa.aiesec.org/opportunities/1288609")</f>
        <v>https://expa.aiesec.org/opportunities/1288609</v>
      </c>
      <c r="L45" s="16" t="str">
        <f>IFERROR(__xludf.DUMMYFUNCTION("""COMPUTED_VALUE"""),"GV")</f>
        <v>GV</v>
      </c>
      <c r="M45" s="16" t="str">
        <f>IFERROR(__xludf.DUMMYFUNCTION("""COMPUTED_VALUE"""),"short")</f>
        <v>short</v>
      </c>
      <c r="N45" s="18">
        <f>IFERROR(__xludf.DUMMYFUNCTION("""COMPUTED_VALUE"""),45055.0)</f>
        <v>45055</v>
      </c>
      <c r="O45" s="18">
        <f>IFERROR(__xludf.DUMMYFUNCTION("""COMPUTED_VALUE"""),45139.0)</f>
        <v>45139</v>
      </c>
      <c r="P45" s="18">
        <f>IFERROR(__xludf.DUMMYFUNCTION("""COMPUTED_VALUE"""),45181.0)</f>
        <v>45181</v>
      </c>
      <c r="Q45" s="18"/>
      <c r="R45" s="18"/>
      <c r="S45" s="16"/>
      <c r="T45" s="16"/>
      <c r="U45" s="16" t="str">
        <f>IFERROR(__xludf.DUMMYFUNCTION("""COMPUTED_VALUE"""),"On The Map")</f>
        <v>On The Map</v>
      </c>
      <c r="V45" s="16" t="str">
        <f>IFERROR(__xludf.DUMMYFUNCTION("""COMPUTED_VALUE"""),"HATAY")</f>
        <v>HATAY</v>
      </c>
      <c r="W45" s="16" t="str">
        <f>IFERROR(__xludf.DUMMYFUNCTION("""COMPUTED_VALUE"""),"2023-05-06T23:12:12Z")</f>
        <v>2023-05-06T23:12:12Z</v>
      </c>
      <c r="X45" s="16"/>
      <c r="Y45" s="16"/>
      <c r="Z45" s="16"/>
    </row>
    <row r="46">
      <c r="A46" s="16" t="str">
        <f>IFERROR(__xludf.DUMMYFUNCTION("""COMPUTED_VALUE"""),"5256718_1288609")</f>
        <v>5256718_1288609</v>
      </c>
      <c r="B46" s="16" t="str">
        <f>IFERROR(__xludf.DUMMYFUNCTION("""COMPUTED_VALUE"""),"Hasan Bedir ATEŞ")</f>
        <v>Hasan Bedir ATEŞ</v>
      </c>
      <c r="C46" s="16" t="str">
        <f>IFERROR(__xludf.DUMMYFUNCTION("""COMPUTED_VALUE"""),"approved")</f>
        <v>approved</v>
      </c>
      <c r="D46" s="16" t="str">
        <f>IFERROR(__xludf.DUMMYFUNCTION("""COMPUTED_VALUE"""),"No")</f>
        <v>No</v>
      </c>
      <c r="E46" s="16" t="str">
        <f>IFERROR(__xludf.DUMMYFUNCTION("""COMPUTED_VALUE"""),"p_bbded4773e8ad1e068be10492c77f8fd0e71557d@inbound.aiesec.org")</f>
        <v>p_bbded4773e8ad1e068be10492c77f8fd0e71557d@inbound.aiesec.org</v>
      </c>
      <c r="F46" s="16">
        <f>IFERROR(__xludf.DUMMYFUNCTION("""COMPUTED_VALUE"""),5.383735623E9)</f>
        <v>5383735623</v>
      </c>
      <c r="G46" s="16" t="str">
        <f>IFERROR(__xludf.DUMMYFUNCTION("""COMPUTED_VALUE"""),"Turkey")</f>
        <v>Turkey</v>
      </c>
      <c r="H46" s="16" t="str">
        <f>IFERROR(__xludf.DUMMYFUNCTION("""COMPUTED_VALUE"""),"GAZIANTEP")</f>
        <v>GAZIANTEP</v>
      </c>
      <c r="I46" s="16" t="str">
        <f>IFERROR(__xludf.DUMMYFUNCTION("""COMPUTED_VALUE"""),"Egypt")</f>
        <v>Egypt</v>
      </c>
      <c r="J46" s="16" t="str">
        <f>IFERROR(__xludf.DUMMYFUNCTION("""COMPUTED_VALUE"""),"Tanta")</f>
        <v>Tanta</v>
      </c>
      <c r="K46" s="17" t="str">
        <f>IFERROR(__xludf.DUMMYFUNCTION("""COMPUTED_VALUE"""),"https://expa.aiesec.org/opportunities/1288609")</f>
        <v>https://expa.aiesec.org/opportunities/1288609</v>
      </c>
      <c r="L46" s="16" t="str">
        <f>IFERROR(__xludf.DUMMYFUNCTION("""COMPUTED_VALUE"""),"GV")</f>
        <v>GV</v>
      </c>
      <c r="M46" s="16" t="str">
        <f>IFERROR(__xludf.DUMMYFUNCTION("""COMPUTED_VALUE"""),"short")</f>
        <v>short</v>
      </c>
      <c r="N46" s="18">
        <f>IFERROR(__xludf.DUMMYFUNCTION("""COMPUTED_VALUE"""),45055.0)</f>
        <v>45055</v>
      </c>
      <c r="O46" s="18">
        <f>IFERROR(__xludf.DUMMYFUNCTION("""COMPUTED_VALUE"""),45139.0)</f>
        <v>45139</v>
      </c>
      <c r="P46" s="18">
        <f>IFERROR(__xludf.DUMMYFUNCTION("""COMPUTED_VALUE"""),45181.0)</f>
        <v>45181</v>
      </c>
      <c r="Q46" s="18"/>
      <c r="R46" s="18"/>
      <c r="S46" s="16"/>
      <c r="T46" s="16"/>
      <c r="U46" s="16" t="str">
        <f>IFERROR(__xludf.DUMMYFUNCTION("""COMPUTED_VALUE"""),"On The Map")</f>
        <v>On The Map</v>
      </c>
      <c r="V46" s="16" t="str">
        <f>IFERROR(__xludf.DUMMYFUNCTION("""COMPUTED_VALUE"""),"HATAY")</f>
        <v>HATAY</v>
      </c>
      <c r="W46" s="16" t="str">
        <f>IFERROR(__xludf.DUMMYFUNCTION("""COMPUTED_VALUE"""),"2023-05-06T11:23:01Z")</f>
        <v>2023-05-06T11:23:01Z</v>
      </c>
      <c r="X46" s="16"/>
      <c r="Y46" s="16"/>
      <c r="Z46" s="16"/>
    </row>
    <row r="47">
      <c r="A47" s="16" t="str">
        <f>IFERROR(__xludf.DUMMYFUNCTION("""COMPUTED_VALUE"""),"5258382_1294209")</f>
        <v>5258382_1294209</v>
      </c>
      <c r="B47" s="16" t="str">
        <f>IFERROR(__xludf.DUMMYFUNCTION("""COMPUTED_VALUE"""),"fatmanur tanrıkulu")</f>
        <v>fatmanur tanrıkulu</v>
      </c>
      <c r="C47" s="16" t="str">
        <f>IFERROR(__xludf.DUMMYFUNCTION("""COMPUTED_VALUE"""),"approved")</f>
        <v>approved</v>
      </c>
      <c r="D47" s="16" t="str">
        <f>IFERROR(__xludf.DUMMYFUNCTION("""COMPUTED_VALUE"""),"No")</f>
        <v>No</v>
      </c>
      <c r="E47" s="16" t="str">
        <f>IFERROR(__xludf.DUMMYFUNCTION("""COMPUTED_VALUE"""),"p_1902a9112c55b8452c50cd9d6d8ca60f2d71a7fb@inbound.aiesec.org")</f>
        <v>p_1902a9112c55b8452c50cd9d6d8ca60f2d71a7fb@inbound.aiesec.org</v>
      </c>
      <c r="F47" s="16">
        <f>IFERROR(__xludf.DUMMYFUNCTION("""COMPUTED_VALUE"""),5.304647961E9)</f>
        <v>5304647961</v>
      </c>
      <c r="G47" s="16" t="str">
        <f>IFERROR(__xludf.DUMMYFUNCTION("""COMPUTED_VALUE"""),"Turkey")</f>
        <v>Turkey</v>
      </c>
      <c r="H47" s="16" t="str">
        <f>IFERROR(__xludf.DUMMYFUNCTION("""COMPUTED_VALUE"""),"ANKARA")</f>
        <v>ANKARA</v>
      </c>
      <c r="I47" s="16" t="str">
        <f>IFERROR(__xludf.DUMMYFUNCTION("""COMPUTED_VALUE"""),"Moldova")</f>
        <v>Moldova</v>
      </c>
      <c r="J47" s="16" t="str">
        <f>IFERROR(__xludf.DUMMYFUNCTION("""COMPUTED_VALUE"""),"CHISINAU")</f>
        <v>CHISINAU</v>
      </c>
      <c r="K47" s="17" t="str">
        <f>IFERROR(__xludf.DUMMYFUNCTION("""COMPUTED_VALUE"""),"https://expa.aiesec.org/opportunities/1294209")</f>
        <v>https://expa.aiesec.org/opportunities/1294209</v>
      </c>
      <c r="L47" s="16" t="str">
        <f>IFERROR(__xludf.DUMMYFUNCTION("""COMPUTED_VALUE"""),"GV")</f>
        <v>GV</v>
      </c>
      <c r="M47" s="16" t="str">
        <f>IFERROR(__xludf.DUMMYFUNCTION("""COMPUTED_VALUE"""),"short")</f>
        <v>short</v>
      </c>
      <c r="N47" s="18">
        <f>IFERROR(__xludf.DUMMYFUNCTION("""COMPUTED_VALUE"""),45061.0)</f>
        <v>45061</v>
      </c>
      <c r="O47" s="18">
        <f>IFERROR(__xludf.DUMMYFUNCTION("""COMPUTED_VALUE"""),45124.0)</f>
        <v>45124</v>
      </c>
      <c r="P47" s="18">
        <f>IFERROR(__xludf.DUMMYFUNCTION("""COMPUTED_VALUE"""),45166.0)</f>
        <v>45166</v>
      </c>
      <c r="Q47" s="18"/>
      <c r="R47" s="18"/>
      <c r="S47" s="16"/>
      <c r="T47" s="16"/>
      <c r="U47" s="16" t="str">
        <f>IFERROR(__xludf.DUMMYFUNCTION("""COMPUTED_VALUE"""),"On The Map")</f>
        <v>On The Map</v>
      </c>
      <c r="V47" s="16" t="str">
        <f>IFERROR(__xludf.DUMMYFUNCTION("""COMPUTED_VALUE"""),"CANKIRI")</f>
        <v>CANKIRI</v>
      </c>
      <c r="W47" s="16" t="str">
        <f>IFERROR(__xludf.DUMMYFUNCTION("""COMPUTED_VALUE"""),"2023-05-09T15:16:04Z")</f>
        <v>2023-05-09T15:16:04Z</v>
      </c>
      <c r="X47" s="16"/>
      <c r="Y47" s="16"/>
      <c r="Z47" s="16"/>
    </row>
    <row r="48">
      <c r="A48" s="16" t="str">
        <f>IFERROR(__xludf.DUMMYFUNCTION("""COMPUTED_VALUE"""),"5261798_1294209")</f>
        <v>5261798_1294209</v>
      </c>
      <c r="B48" s="16" t="str">
        <f>IFERROR(__xludf.DUMMYFUNCTION("""COMPUTED_VALUE"""),"AYŞEGÜL TANRIKULU")</f>
        <v>AYŞEGÜL TANRIKULU</v>
      </c>
      <c r="C48" s="16" t="str">
        <f>IFERROR(__xludf.DUMMYFUNCTION("""COMPUTED_VALUE"""),"approved")</f>
        <v>approved</v>
      </c>
      <c r="D48" s="16" t="str">
        <f>IFERROR(__xludf.DUMMYFUNCTION("""COMPUTED_VALUE"""),"No")</f>
        <v>No</v>
      </c>
      <c r="E48" s="16" t="str">
        <f>IFERROR(__xludf.DUMMYFUNCTION("""COMPUTED_VALUE"""),"p_8f844fe75151e661471dd9bc3378bfbe233a0aa0@inbound.aiesec.org")</f>
        <v>p_8f844fe75151e661471dd9bc3378bfbe233a0aa0@inbound.aiesec.org</v>
      </c>
      <c r="F48" s="16">
        <f>IFERROR(__xludf.DUMMYFUNCTION("""COMPUTED_VALUE"""),5.309674709E9)</f>
        <v>5309674709</v>
      </c>
      <c r="G48" s="16" t="str">
        <f>IFERROR(__xludf.DUMMYFUNCTION("""COMPUTED_VALUE"""),"Turkey")</f>
        <v>Turkey</v>
      </c>
      <c r="H48" s="16" t="str">
        <f>IFERROR(__xludf.DUMMYFUNCTION("""COMPUTED_VALUE"""),"ISTANBUL WEST")</f>
        <v>ISTANBUL WEST</v>
      </c>
      <c r="I48" s="16" t="str">
        <f>IFERROR(__xludf.DUMMYFUNCTION("""COMPUTED_VALUE"""),"Moldova")</f>
        <v>Moldova</v>
      </c>
      <c r="J48" s="16" t="str">
        <f>IFERROR(__xludf.DUMMYFUNCTION("""COMPUTED_VALUE"""),"CHISINAU")</f>
        <v>CHISINAU</v>
      </c>
      <c r="K48" s="17" t="str">
        <f>IFERROR(__xludf.DUMMYFUNCTION("""COMPUTED_VALUE"""),"https://expa.aiesec.org/opportunities/1294209")</f>
        <v>https://expa.aiesec.org/opportunities/1294209</v>
      </c>
      <c r="L48" s="16" t="str">
        <f>IFERROR(__xludf.DUMMYFUNCTION("""COMPUTED_VALUE"""),"GV")</f>
        <v>GV</v>
      </c>
      <c r="M48" s="16" t="str">
        <f>IFERROR(__xludf.DUMMYFUNCTION("""COMPUTED_VALUE"""),"short")</f>
        <v>short</v>
      </c>
      <c r="N48" s="18">
        <f>IFERROR(__xludf.DUMMYFUNCTION("""COMPUTED_VALUE"""),45062.0)</f>
        <v>45062</v>
      </c>
      <c r="O48" s="18">
        <f>IFERROR(__xludf.DUMMYFUNCTION("""COMPUTED_VALUE"""),45124.0)</f>
        <v>45124</v>
      </c>
      <c r="P48" s="18">
        <f>IFERROR(__xludf.DUMMYFUNCTION("""COMPUTED_VALUE"""),45166.0)</f>
        <v>45166</v>
      </c>
      <c r="Q48" s="18"/>
      <c r="R48" s="18"/>
      <c r="S48" s="16"/>
      <c r="T48" s="16"/>
      <c r="U48" s="16" t="str">
        <f>IFERROR(__xludf.DUMMYFUNCTION("""COMPUTED_VALUE"""),"On The Map")</f>
        <v>On The Map</v>
      </c>
      <c r="V48" s="16" t="str">
        <f>IFERROR(__xludf.DUMMYFUNCTION("""COMPUTED_VALUE"""),"ISTANBUL - BAKIRKOY")</f>
        <v>ISTANBUL - BAKIRKOY</v>
      </c>
      <c r="W48" s="16" t="str">
        <f>IFERROR(__xludf.DUMMYFUNCTION("""COMPUTED_VALUE"""),"2023-05-16T10:24:10Z")</f>
        <v>2023-05-16T10:24:10Z</v>
      </c>
      <c r="X48" s="16"/>
      <c r="Y48" s="16"/>
      <c r="Z48" s="16"/>
    </row>
    <row r="49">
      <c r="A49" s="16" t="str">
        <f>IFERROR(__xludf.DUMMYFUNCTION("""COMPUTED_VALUE"""),"5264257_1290024")</f>
        <v>5264257_1290024</v>
      </c>
      <c r="B49" s="16" t="str">
        <f>IFERROR(__xludf.DUMMYFUNCTION("""COMPUTED_VALUE"""),"Ayşe Betül Avcu")</f>
        <v>Ayşe Betül Avcu</v>
      </c>
      <c r="C49" s="16" t="str">
        <f>IFERROR(__xludf.DUMMYFUNCTION("""COMPUTED_VALUE"""),"approved")</f>
        <v>approved</v>
      </c>
      <c r="D49" s="16" t="str">
        <f>IFERROR(__xludf.DUMMYFUNCTION("""COMPUTED_VALUE"""),"No")</f>
        <v>No</v>
      </c>
      <c r="E49" s="16" t="str">
        <f>IFERROR(__xludf.DUMMYFUNCTION("""COMPUTED_VALUE"""),"p_4bafa0a431c0a10ad026067a5f632536b5840efb@inbound.aiesec.org")</f>
        <v>p_4bafa0a431c0a10ad026067a5f632536b5840efb@inbound.aiesec.org</v>
      </c>
      <c r="F49" s="16">
        <f>IFERROR(__xludf.DUMMYFUNCTION("""COMPUTED_VALUE"""),5.550792937E9)</f>
        <v>5550792937</v>
      </c>
      <c r="G49" s="16" t="str">
        <f>IFERROR(__xludf.DUMMYFUNCTION("""COMPUTED_VALUE"""),"Turkey")</f>
        <v>Turkey</v>
      </c>
      <c r="H49" s="16" t="str">
        <f>IFERROR(__xludf.DUMMYFUNCTION("""COMPUTED_VALUE"""),"ISTANBUL")</f>
        <v>ISTANBUL</v>
      </c>
      <c r="I49" s="16" t="str">
        <f>IFERROR(__xludf.DUMMYFUNCTION("""COMPUTED_VALUE"""),"Egypt")</f>
        <v>Egypt</v>
      </c>
      <c r="J49" s="16" t="str">
        <f>IFERROR(__xludf.DUMMYFUNCTION("""COMPUTED_VALUE"""),"Ain Shams University")</f>
        <v>Ain Shams University</v>
      </c>
      <c r="K49" s="17" t="str">
        <f>IFERROR(__xludf.DUMMYFUNCTION("""COMPUTED_VALUE"""),"https://expa.aiesec.org/opportunities/1290024")</f>
        <v>https://expa.aiesec.org/opportunities/1290024</v>
      </c>
      <c r="L49" s="16" t="str">
        <f>IFERROR(__xludf.DUMMYFUNCTION("""COMPUTED_VALUE"""),"GV")</f>
        <v>GV</v>
      </c>
      <c r="M49" s="16" t="str">
        <f>IFERROR(__xludf.DUMMYFUNCTION("""COMPUTED_VALUE"""),"short")</f>
        <v>short</v>
      </c>
      <c r="N49" s="18">
        <f>IFERROR(__xludf.DUMMYFUNCTION("""COMPUTED_VALUE"""),45067.0)</f>
        <v>45067</v>
      </c>
      <c r="O49" s="18">
        <f>IFERROR(__xludf.DUMMYFUNCTION("""COMPUTED_VALUE"""),45170.0)</f>
        <v>45170</v>
      </c>
      <c r="P49" s="18">
        <f>IFERROR(__xludf.DUMMYFUNCTION("""COMPUTED_VALUE"""),45212.0)</f>
        <v>45212</v>
      </c>
      <c r="Q49" s="18"/>
      <c r="R49" s="18"/>
      <c r="S49" s="16"/>
      <c r="T49" s="16"/>
      <c r="U49" s="16" t="str">
        <f>IFERROR(__xludf.DUMMYFUNCTION("""COMPUTED_VALUE"""),"On The Map")</f>
        <v>On The Map</v>
      </c>
      <c r="V49" s="16" t="str">
        <f>IFERROR(__xludf.DUMMYFUNCTION("""COMPUTED_VALUE"""),"ISTANBUL - BEYOGLU")</f>
        <v>ISTANBUL - BEYOGLU</v>
      </c>
      <c r="W49" s="16" t="str">
        <f>IFERROR(__xludf.DUMMYFUNCTION("""COMPUTED_VALUE"""),"2023-05-20T19:57:32Z")</f>
        <v>2023-05-20T19:57:32Z</v>
      </c>
      <c r="X49" s="16"/>
      <c r="Y49" s="16"/>
      <c r="Z49" s="16"/>
    </row>
    <row r="50">
      <c r="A50" s="16" t="str">
        <f>IFERROR(__xludf.DUMMYFUNCTION("""COMPUTED_VALUE"""),"5268226_1294063")</f>
        <v>5268226_1294063</v>
      </c>
      <c r="B50" s="16" t="str">
        <f>IFERROR(__xludf.DUMMYFUNCTION("""COMPUTED_VALUE"""),"Ahmet Gökdoğan")</f>
        <v>Ahmet Gökdoğan</v>
      </c>
      <c r="C50" s="16" t="str">
        <f>IFERROR(__xludf.DUMMYFUNCTION("""COMPUTED_VALUE"""),"approved")</f>
        <v>approved</v>
      </c>
      <c r="D50" s="16" t="str">
        <f>IFERROR(__xludf.DUMMYFUNCTION("""COMPUTED_VALUE"""),"No")</f>
        <v>No</v>
      </c>
      <c r="E50" s="16" t="str">
        <f>IFERROR(__xludf.DUMMYFUNCTION("""COMPUTED_VALUE"""),"p_de4f55509b34760bb28ab7f492daf5420cd15547@inbound.aiesec.org")</f>
        <v>p_de4f55509b34760bb28ab7f492daf5420cd15547@inbound.aiesec.org</v>
      </c>
      <c r="F50" s="16">
        <f>IFERROR(__xludf.DUMMYFUNCTION("""COMPUTED_VALUE"""),5.415426326E9)</f>
        <v>5415426326</v>
      </c>
      <c r="G50" s="16" t="str">
        <f>IFERROR(__xludf.DUMMYFUNCTION("""COMPUTED_VALUE"""),"Turkey")</f>
        <v>Turkey</v>
      </c>
      <c r="H50" s="16" t="str">
        <f>IFERROR(__xludf.DUMMYFUNCTION("""COMPUTED_VALUE"""),"ISTANBUL")</f>
        <v>ISTANBUL</v>
      </c>
      <c r="I50" s="16" t="str">
        <f>IFERROR(__xludf.DUMMYFUNCTION("""COMPUTED_VALUE"""),"Egypt")</f>
        <v>Egypt</v>
      </c>
      <c r="J50" s="16" t="str">
        <f>IFERROR(__xludf.DUMMYFUNCTION("""COMPUTED_VALUE"""),"Ain Shams University")</f>
        <v>Ain Shams University</v>
      </c>
      <c r="K50" s="17" t="str">
        <f>IFERROR(__xludf.DUMMYFUNCTION("""COMPUTED_VALUE"""),"https://expa.aiesec.org/opportunities/1294063")</f>
        <v>https://expa.aiesec.org/opportunities/1294063</v>
      </c>
      <c r="L50" s="16" t="str">
        <f>IFERROR(__xludf.DUMMYFUNCTION("""COMPUTED_VALUE"""),"GV")</f>
        <v>GV</v>
      </c>
      <c r="M50" s="16" t="str">
        <f>IFERROR(__xludf.DUMMYFUNCTION("""COMPUTED_VALUE"""),"short")</f>
        <v>short</v>
      </c>
      <c r="N50" s="18">
        <f>IFERROR(__xludf.DUMMYFUNCTION("""COMPUTED_VALUE"""),45075.0)</f>
        <v>45075</v>
      </c>
      <c r="O50" s="18">
        <f>IFERROR(__xludf.DUMMYFUNCTION("""COMPUTED_VALUE"""),45139.0)</f>
        <v>45139</v>
      </c>
      <c r="P50" s="18">
        <f>IFERROR(__xludf.DUMMYFUNCTION("""COMPUTED_VALUE"""),45181.0)</f>
        <v>45181</v>
      </c>
      <c r="Q50" s="18"/>
      <c r="R50" s="18"/>
      <c r="S50" s="16"/>
      <c r="T50" s="16"/>
      <c r="U50" s="16" t="str">
        <f>IFERROR(__xludf.DUMMYFUNCTION("""COMPUTED_VALUE"""),"On The Map")</f>
        <v>On The Map</v>
      </c>
      <c r="V50" s="16" t="str">
        <f>IFERROR(__xludf.DUMMYFUNCTION("""COMPUTED_VALUE"""),"ISTANBUL - BEYOGLU")</f>
        <v>ISTANBUL - BEYOGLU</v>
      </c>
      <c r="W50" s="16" t="str">
        <f>IFERROR(__xludf.DUMMYFUNCTION("""COMPUTED_VALUE"""),"2023-05-29T11:27:17Z")</f>
        <v>2023-05-29T11:27:17Z</v>
      </c>
      <c r="X50" s="16"/>
      <c r="Y50" s="16"/>
      <c r="Z50" s="16"/>
    </row>
    <row r="51">
      <c r="A51" s="16" t="str">
        <f>IFERROR(__xludf.DUMMYFUNCTION("""COMPUTED_VALUE"""),"5261893_1287990")</f>
        <v>5261893_1287990</v>
      </c>
      <c r="B51" s="16" t="str">
        <f>IFERROR(__xludf.DUMMYFUNCTION("""COMPUTED_VALUE"""),"Muhammed Safa Sonkaya")</f>
        <v>Muhammed Safa Sonkaya</v>
      </c>
      <c r="C51" s="16" t="str">
        <f>IFERROR(__xludf.DUMMYFUNCTION("""COMPUTED_VALUE"""),"approved")</f>
        <v>approved</v>
      </c>
      <c r="D51" s="16" t="str">
        <f>IFERROR(__xludf.DUMMYFUNCTION("""COMPUTED_VALUE"""),"No")</f>
        <v>No</v>
      </c>
      <c r="E51" s="16" t="str">
        <f>IFERROR(__xludf.DUMMYFUNCTION("""COMPUTED_VALUE"""),"p_c8eea8510f51e165acaf9f1a86283558608a227f@inbound.aiesec.org")</f>
        <v>p_c8eea8510f51e165acaf9f1a86283558608a227f@inbound.aiesec.org</v>
      </c>
      <c r="F51" s="16">
        <f>IFERROR(__xludf.DUMMYFUNCTION("""COMPUTED_VALUE"""),5.323042643E9)</f>
        <v>5323042643</v>
      </c>
      <c r="G51" s="16" t="str">
        <f>IFERROR(__xludf.DUMMYFUNCTION("""COMPUTED_VALUE"""),"Turkey")</f>
        <v>Turkey</v>
      </c>
      <c r="H51" s="16" t="str">
        <f>IFERROR(__xludf.DUMMYFUNCTION("""COMPUTED_VALUE"""),"TRABZON")</f>
        <v>TRABZON</v>
      </c>
      <c r="I51" s="16" t="str">
        <f>IFERROR(__xludf.DUMMYFUNCTION("""COMPUTED_VALUE"""),"India")</f>
        <v>India</v>
      </c>
      <c r="J51" s="16" t="str">
        <f>IFERROR(__xludf.DUMMYFUNCTION("""COMPUTED_VALUE"""),"JAIPUR ")</f>
        <v>JAIPUR </v>
      </c>
      <c r="K51" s="17" t="str">
        <f>IFERROR(__xludf.DUMMYFUNCTION("""COMPUTED_VALUE"""),"https://expa.aiesec.org/opportunities/1287990")</f>
        <v>https://expa.aiesec.org/opportunities/1287990</v>
      </c>
      <c r="L51" s="16" t="str">
        <f>IFERROR(__xludf.DUMMYFUNCTION("""COMPUTED_VALUE"""),"GV")</f>
        <v>GV</v>
      </c>
      <c r="M51" s="16" t="str">
        <f>IFERROR(__xludf.DUMMYFUNCTION("""COMPUTED_VALUE"""),"short")</f>
        <v>short</v>
      </c>
      <c r="N51" s="18">
        <f>IFERROR(__xludf.DUMMYFUNCTION("""COMPUTED_VALUE"""),45075.0)</f>
        <v>45075</v>
      </c>
      <c r="O51" s="18">
        <f>IFERROR(__xludf.DUMMYFUNCTION("""COMPUTED_VALUE"""),45158.0)</f>
        <v>45158</v>
      </c>
      <c r="P51" s="18">
        <f>IFERROR(__xludf.DUMMYFUNCTION("""COMPUTED_VALUE"""),45200.0)</f>
        <v>45200</v>
      </c>
      <c r="Q51" s="18"/>
      <c r="R51" s="18"/>
      <c r="S51" s="16"/>
      <c r="T51" s="16"/>
      <c r="U51" s="16" t="str">
        <f>IFERROR(__xludf.DUMMYFUNCTION("""COMPUTED_VALUE"""),"Skill Up!")</f>
        <v>Skill Up!</v>
      </c>
      <c r="V51" s="16" t="str">
        <f>IFERROR(__xludf.DUMMYFUNCTION("""COMPUTED_VALUE"""),"ORDU")</f>
        <v>ORDU</v>
      </c>
      <c r="W51" s="16" t="str">
        <f>IFERROR(__xludf.DUMMYFUNCTION("""COMPUTED_VALUE"""),"2023-05-16T12:37:39Z")</f>
        <v>2023-05-16T12:37:39Z</v>
      </c>
      <c r="X51" s="16"/>
      <c r="Y51" s="16"/>
      <c r="Z51" s="16"/>
    </row>
    <row r="52">
      <c r="A52" s="16" t="str">
        <f>IFERROR(__xludf.DUMMYFUNCTION("""COMPUTED_VALUE"""),"5245233_1294062")</f>
        <v>5245233_1294062</v>
      </c>
      <c r="B52" s="16" t="str">
        <f>IFERROR(__xludf.DUMMYFUNCTION("""COMPUTED_VALUE"""),"Mehmet Kucukdag")</f>
        <v>Mehmet Kucukdag</v>
      </c>
      <c r="C52" s="16" t="str">
        <f>IFERROR(__xludf.DUMMYFUNCTION("""COMPUTED_VALUE"""),"approved")</f>
        <v>approved</v>
      </c>
      <c r="D52" s="16" t="str">
        <f>IFERROR(__xludf.DUMMYFUNCTION("""COMPUTED_VALUE"""),"No")</f>
        <v>No</v>
      </c>
      <c r="E52" s="16" t="str">
        <f>IFERROR(__xludf.DUMMYFUNCTION("""COMPUTED_VALUE"""),"p_8bf4ee302a7b07669f036add248cc40e65b11b8a@inbound.aiesec.org")</f>
        <v>p_8bf4ee302a7b07669f036add248cc40e65b11b8a@inbound.aiesec.org</v>
      </c>
      <c r="F52" s="16"/>
      <c r="G52" s="16" t="str">
        <f>IFERROR(__xludf.DUMMYFUNCTION("""COMPUTED_VALUE"""),"Turkey")</f>
        <v>Turkey</v>
      </c>
      <c r="H52" s="16" t="str">
        <f>IFERROR(__xludf.DUMMYFUNCTION("""COMPUTED_VALUE"""),"ANKARA")</f>
        <v>ANKARA</v>
      </c>
      <c r="I52" s="16" t="str">
        <f>IFERROR(__xludf.DUMMYFUNCTION("""COMPUTED_VALUE"""),"Tunisia")</f>
        <v>Tunisia</v>
      </c>
      <c r="J52" s="16" t="str">
        <f>IFERROR(__xludf.DUMMYFUNCTION("""COMPUTED_VALUE"""),"THYNA")</f>
        <v>THYNA</v>
      </c>
      <c r="K52" s="17" t="str">
        <f>IFERROR(__xludf.DUMMYFUNCTION("""COMPUTED_VALUE"""),"https://expa.aiesec.org/opportunities/1294062")</f>
        <v>https://expa.aiesec.org/opportunities/1294062</v>
      </c>
      <c r="L52" s="16" t="str">
        <f>IFERROR(__xludf.DUMMYFUNCTION("""COMPUTED_VALUE"""),"GV")</f>
        <v>GV</v>
      </c>
      <c r="M52" s="16" t="str">
        <f>IFERROR(__xludf.DUMMYFUNCTION("""COMPUTED_VALUE"""),"short")</f>
        <v>short</v>
      </c>
      <c r="N52" s="18">
        <f>IFERROR(__xludf.DUMMYFUNCTION("""COMPUTED_VALUE"""),45076.0)</f>
        <v>45076</v>
      </c>
      <c r="O52" s="18">
        <f>IFERROR(__xludf.DUMMYFUNCTION("""COMPUTED_VALUE"""),45131.0)</f>
        <v>45131</v>
      </c>
      <c r="P52" s="18">
        <f>IFERROR(__xludf.DUMMYFUNCTION("""COMPUTED_VALUE"""),45173.0)</f>
        <v>45173</v>
      </c>
      <c r="Q52" s="18"/>
      <c r="R52" s="18"/>
      <c r="S52" s="16"/>
      <c r="T52" s="16"/>
      <c r="U52" s="16" t="str">
        <f>IFERROR(__xludf.DUMMYFUNCTION("""COMPUTED_VALUE"""),"Aquatica")</f>
        <v>Aquatica</v>
      </c>
      <c r="V52" s="16" t="str">
        <f>IFERROR(__xludf.DUMMYFUNCTION("""COMPUTED_VALUE"""),"-")</f>
        <v>-</v>
      </c>
      <c r="W52" s="16" t="str">
        <f>IFERROR(__xludf.DUMMYFUNCTION("""COMPUTED_VALUE"""),"2023-04-19T10:55:49Z")</f>
        <v>2023-04-19T10:55:49Z</v>
      </c>
      <c r="X52" s="16"/>
      <c r="Y52" s="16"/>
      <c r="Z52" s="16"/>
    </row>
    <row r="53">
      <c r="A53" s="16" t="str">
        <f>IFERROR(__xludf.DUMMYFUNCTION("""COMPUTED_VALUE"""),"5257651_1294209")</f>
        <v>5257651_1294209</v>
      </c>
      <c r="B53" s="16" t="str">
        <f>IFERROR(__xludf.DUMMYFUNCTION("""COMPUTED_VALUE"""),"Yaren tp")</f>
        <v>Yaren tp</v>
      </c>
      <c r="C53" s="16" t="str">
        <f>IFERROR(__xludf.DUMMYFUNCTION("""COMPUTED_VALUE"""),"approved")</f>
        <v>approved</v>
      </c>
      <c r="D53" s="16" t="str">
        <f>IFERROR(__xludf.DUMMYFUNCTION("""COMPUTED_VALUE"""),"No")</f>
        <v>No</v>
      </c>
      <c r="E53" s="16" t="str">
        <f>IFERROR(__xludf.DUMMYFUNCTION("""COMPUTED_VALUE"""),"p_1b0015e54fa5bbc279b2d5503a66b01c74144d23@inbound.aiesec.org")</f>
        <v>p_1b0015e54fa5bbc279b2d5503a66b01c74144d23@inbound.aiesec.org</v>
      </c>
      <c r="F53" s="16"/>
      <c r="G53" s="16" t="str">
        <f>IFERROR(__xludf.DUMMYFUNCTION("""COMPUTED_VALUE"""),"Turkey")</f>
        <v>Turkey</v>
      </c>
      <c r="H53" s="16" t="str">
        <f>IFERROR(__xludf.DUMMYFUNCTION("""COMPUTED_VALUE"""),"ESKISEHIR")</f>
        <v>ESKISEHIR</v>
      </c>
      <c r="I53" s="16" t="str">
        <f>IFERROR(__xludf.DUMMYFUNCTION("""COMPUTED_VALUE"""),"Moldova")</f>
        <v>Moldova</v>
      </c>
      <c r="J53" s="16" t="str">
        <f>IFERROR(__xludf.DUMMYFUNCTION("""COMPUTED_VALUE"""),"CHISINAU")</f>
        <v>CHISINAU</v>
      </c>
      <c r="K53" s="17" t="str">
        <f>IFERROR(__xludf.DUMMYFUNCTION("""COMPUTED_VALUE"""),"https://expa.aiesec.org/opportunities/1294209")</f>
        <v>https://expa.aiesec.org/opportunities/1294209</v>
      </c>
      <c r="L53" s="16" t="str">
        <f>IFERROR(__xludf.DUMMYFUNCTION("""COMPUTED_VALUE"""),"GV")</f>
        <v>GV</v>
      </c>
      <c r="M53" s="16" t="str">
        <f>IFERROR(__xludf.DUMMYFUNCTION("""COMPUTED_VALUE"""),"short")</f>
        <v>short</v>
      </c>
      <c r="N53" s="18">
        <f>IFERROR(__xludf.DUMMYFUNCTION("""COMPUTED_VALUE"""),45077.0)</f>
        <v>45077</v>
      </c>
      <c r="O53" s="18">
        <f>IFERROR(__xludf.DUMMYFUNCTION("""COMPUTED_VALUE"""),45124.0)</f>
        <v>45124</v>
      </c>
      <c r="P53" s="18">
        <f>IFERROR(__xludf.DUMMYFUNCTION("""COMPUTED_VALUE"""),45166.0)</f>
        <v>45166</v>
      </c>
      <c r="Q53" s="18"/>
      <c r="R53" s="18"/>
      <c r="S53" s="16"/>
      <c r="T53" s="16"/>
      <c r="U53" s="16" t="str">
        <f>IFERROR(__xludf.DUMMYFUNCTION("""COMPUTED_VALUE"""),"On The Map")</f>
        <v>On The Map</v>
      </c>
      <c r="V53" s="16" t="str">
        <f>IFERROR(__xludf.DUMMYFUNCTION("""COMPUTED_VALUE"""),"-")</f>
        <v>-</v>
      </c>
      <c r="W53" s="16" t="str">
        <f>IFERROR(__xludf.DUMMYFUNCTION("""COMPUTED_VALUE"""),"2023-05-08T13:31:44Z")</f>
        <v>2023-05-08T13:31:44Z</v>
      </c>
      <c r="X53" s="16"/>
      <c r="Y53" s="16"/>
      <c r="Z53" s="16"/>
    </row>
    <row r="54">
      <c r="A54" s="16" t="str">
        <f>IFERROR(__xludf.DUMMYFUNCTION("""COMPUTED_VALUE"""),"5246986_1294062")</f>
        <v>5246986_1294062</v>
      </c>
      <c r="B54" s="16" t="str">
        <f>IFERROR(__xludf.DUMMYFUNCTION("""COMPUTED_VALUE"""),"Arda Taşyakan")</f>
        <v>Arda Taşyakan</v>
      </c>
      <c r="C54" s="16" t="str">
        <f>IFERROR(__xludf.DUMMYFUNCTION("""COMPUTED_VALUE"""),"approved")</f>
        <v>approved</v>
      </c>
      <c r="D54" s="16" t="str">
        <f>IFERROR(__xludf.DUMMYFUNCTION("""COMPUTED_VALUE"""),"No")</f>
        <v>No</v>
      </c>
      <c r="E54" s="16" t="str">
        <f>IFERROR(__xludf.DUMMYFUNCTION("""COMPUTED_VALUE"""),"p_d9079ceec3a9ca527ebb5923a9fd73437ff9579f@inbound.aiesec.org")</f>
        <v>p_d9079ceec3a9ca527ebb5923a9fd73437ff9579f@inbound.aiesec.org</v>
      </c>
      <c r="F54" s="16">
        <f>IFERROR(__xludf.DUMMYFUNCTION("""COMPUTED_VALUE"""),5.385719964E9)</f>
        <v>5385719964</v>
      </c>
      <c r="G54" s="16" t="str">
        <f>IFERROR(__xludf.DUMMYFUNCTION("""COMPUTED_VALUE"""),"Turkey")</f>
        <v>Turkey</v>
      </c>
      <c r="H54" s="16" t="str">
        <f>IFERROR(__xludf.DUMMYFUNCTION("""COMPUTED_VALUE"""),"ANKARA")</f>
        <v>ANKARA</v>
      </c>
      <c r="I54" s="16" t="str">
        <f>IFERROR(__xludf.DUMMYFUNCTION("""COMPUTED_VALUE"""),"Tunisia")</f>
        <v>Tunisia</v>
      </c>
      <c r="J54" s="16" t="str">
        <f>IFERROR(__xludf.DUMMYFUNCTION("""COMPUTED_VALUE"""),"THYNA")</f>
        <v>THYNA</v>
      </c>
      <c r="K54" s="17" t="str">
        <f>IFERROR(__xludf.DUMMYFUNCTION("""COMPUTED_VALUE"""),"https://expa.aiesec.org/opportunities/1294062")</f>
        <v>https://expa.aiesec.org/opportunities/1294062</v>
      </c>
      <c r="L54" s="16" t="str">
        <f>IFERROR(__xludf.DUMMYFUNCTION("""COMPUTED_VALUE"""),"GV")</f>
        <v>GV</v>
      </c>
      <c r="M54" s="16" t="str">
        <f>IFERROR(__xludf.DUMMYFUNCTION("""COMPUTED_VALUE"""),"short")</f>
        <v>short</v>
      </c>
      <c r="N54" s="18">
        <f>IFERROR(__xludf.DUMMYFUNCTION("""COMPUTED_VALUE"""),45077.0)</f>
        <v>45077</v>
      </c>
      <c r="O54" s="18">
        <f>IFERROR(__xludf.DUMMYFUNCTION("""COMPUTED_VALUE"""),45131.0)</f>
        <v>45131</v>
      </c>
      <c r="P54" s="18">
        <f>IFERROR(__xludf.DUMMYFUNCTION("""COMPUTED_VALUE"""),45173.0)</f>
        <v>45173</v>
      </c>
      <c r="Q54" s="18"/>
      <c r="R54" s="18"/>
      <c r="S54" s="16"/>
      <c r="T54" s="16"/>
      <c r="U54" s="16" t="str">
        <f>IFERROR(__xludf.DUMMYFUNCTION("""COMPUTED_VALUE"""),"Aquatica")</f>
        <v>Aquatica</v>
      </c>
      <c r="V54" s="16" t="str">
        <f>IFERROR(__xludf.DUMMYFUNCTION("""COMPUTED_VALUE"""),"ANKARA")</f>
        <v>ANKARA</v>
      </c>
      <c r="W54" s="16" t="str">
        <f>IFERROR(__xludf.DUMMYFUNCTION("""COMPUTED_VALUE"""),"2023-04-21T19:06:00Z")</f>
        <v>2023-04-21T19:06:00Z</v>
      </c>
      <c r="X54" s="16"/>
      <c r="Y54" s="16"/>
      <c r="Z54" s="16"/>
    </row>
    <row r="55">
      <c r="A55" s="16" t="str">
        <f>IFERROR(__xludf.DUMMYFUNCTION("""COMPUTED_VALUE"""),"5267553_1266530")</f>
        <v>5267553_1266530</v>
      </c>
      <c r="B55" s="16" t="str">
        <f>IFERROR(__xludf.DUMMYFUNCTION("""COMPUTED_VALUE"""),"Büşra poçan")</f>
        <v>Büşra poçan</v>
      </c>
      <c r="C55" s="16" t="str">
        <f>IFERROR(__xludf.DUMMYFUNCTION("""COMPUTED_VALUE"""),"approved")</f>
        <v>approved</v>
      </c>
      <c r="D55" s="16" t="str">
        <f>IFERROR(__xludf.DUMMYFUNCTION("""COMPUTED_VALUE"""),"No")</f>
        <v>No</v>
      </c>
      <c r="E55" s="16" t="str">
        <f>IFERROR(__xludf.DUMMYFUNCTION("""COMPUTED_VALUE"""),"p_68f6eb88ce959fdd683103bec8488e5ea6d90a80@inbound.aiesec.org")</f>
        <v>p_68f6eb88ce959fdd683103bec8488e5ea6d90a80@inbound.aiesec.org</v>
      </c>
      <c r="F55" s="16">
        <f>IFERROR(__xludf.DUMMYFUNCTION("""COMPUTED_VALUE"""),5.437836072E9)</f>
        <v>5437836072</v>
      </c>
      <c r="G55" s="16" t="str">
        <f>IFERROR(__xludf.DUMMYFUNCTION("""COMPUTED_VALUE"""),"Turkey")</f>
        <v>Turkey</v>
      </c>
      <c r="H55" s="16" t="str">
        <f>IFERROR(__xludf.DUMMYFUNCTION("""COMPUTED_VALUE"""),"KONYA")</f>
        <v>KONYA</v>
      </c>
      <c r="I55" s="16" t="str">
        <f>IFERROR(__xludf.DUMMYFUNCTION("""COMPUTED_VALUE"""),"Lithuania")</f>
        <v>Lithuania</v>
      </c>
      <c r="J55" s="16" t="str">
        <f>IFERROR(__xludf.DUMMYFUNCTION("""COMPUTED_VALUE"""),"KTU")</f>
        <v>KTU</v>
      </c>
      <c r="K55" s="17" t="str">
        <f>IFERROR(__xludf.DUMMYFUNCTION("""COMPUTED_VALUE"""),"https://expa.aiesec.org/opportunities/1266530")</f>
        <v>https://expa.aiesec.org/opportunities/1266530</v>
      </c>
      <c r="L55" s="16" t="str">
        <f>IFERROR(__xludf.DUMMYFUNCTION("""COMPUTED_VALUE"""),"GV")</f>
        <v>GV</v>
      </c>
      <c r="M55" s="16" t="str">
        <f>IFERROR(__xludf.DUMMYFUNCTION("""COMPUTED_VALUE"""),"short")</f>
        <v>short</v>
      </c>
      <c r="N55" s="18">
        <f>IFERROR(__xludf.DUMMYFUNCTION("""COMPUTED_VALUE"""),45078.0)</f>
        <v>45078</v>
      </c>
      <c r="O55" s="18">
        <f>IFERROR(__xludf.DUMMYFUNCTION("""COMPUTED_VALUE"""),45131.0)</f>
        <v>45131</v>
      </c>
      <c r="P55" s="18">
        <f>IFERROR(__xludf.DUMMYFUNCTION("""COMPUTED_VALUE"""),45173.0)</f>
        <v>45173</v>
      </c>
      <c r="Q55" s="18"/>
      <c r="R55" s="18"/>
      <c r="S55" s="16"/>
      <c r="T55" s="16"/>
      <c r="U55" s="16" t="str">
        <f>IFERROR(__xludf.DUMMYFUNCTION("""COMPUTED_VALUE"""),"Global Classroom")</f>
        <v>Global Classroom</v>
      </c>
      <c r="V55" s="16" t="str">
        <f>IFERROR(__xludf.DUMMYFUNCTION("""COMPUTED_VALUE"""),"KONYA")</f>
        <v>KONYA</v>
      </c>
      <c r="W55" s="16" t="str">
        <f>IFERROR(__xludf.DUMMYFUNCTION("""COMPUTED_VALUE"""),"2023-05-27T14:44:14Z")</f>
        <v>2023-05-27T14:44:14Z</v>
      </c>
      <c r="X55" s="16"/>
      <c r="Y55" s="16"/>
      <c r="Z55" s="16"/>
    </row>
    <row r="56">
      <c r="A56" s="16" t="str">
        <f>IFERROR(__xludf.DUMMYFUNCTION("""COMPUTED_VALUE"""),"5266921_1294209")</f>
        <v>5266921_1294209</v>
      </c>
      <c r="B56" s="16" t="str">
        <f>IFERROR(__xludf.DUMMYFUNCTION("""COMPUTED_VALUE"""),"Seyfi Alp Arslan")</f>
        <v>Seyfi Alp Arslan</v>
      </c>
      <c r="C56" s="16" t="str">
        <f>IFERROR(__xludf.DUMMYFUNCTION("""COMPUTED_VALUE"""),"approved")</f>
        <v>approved</v>
      </c>
      <c r="D56" s="16" t="str">
        <f>IFERROR(__xludf.DUMMYFUNCTION("""COMPUTED_VALUE"""),"No")</f>
        <v>No</v>
      </c>
      <c r="E56" s="16" t="str">
        <f>IFERROR(__xludf.DUMMYFUNCTION("""COMPUTED_VALUE"""),"p_bfc5d334ea1cb6fe7dfa7a1a96fb784645870cd3@inbound.aiesec.org")</f>
        <v>p_bfc5d334ea1cb6fe7dfa7a1a96fb784645870cd3@inbound.aiesec.org</v>
      </c>
      <c r="F56" s="16">
        <f>IFERROR(__xludf.DUMMYFUNCTION("""COMPUTED_VALUE"""),5.362358652E9)</f>
        <v>5362358652</v>
      </c>
      <c r="G56" s="16" t="str">
        <f>IFERROR(__xludf.DUMMYFUNCTION("""COMPUTED_VALUE"""),"Turkey")</f>
        <v>Turkey</v>
      </c>
      <c r="H56" s="16" t="str">
        <f>IFERROR(__xludf.DUMMYFUNCTION("""COMPUTED_VALUE"""),"ISTANBUL")</f>
        <v>ISTANBUL</v>
      </c>
      <c r="I56" s="16" t="str">
        <f>IFERROR(__xludf.DUMMYFUNCTION("""COMPUTED_VALUE"""),"Moldova")</f>
        <v>Moldova</v>
      </c>
      <c r="J56" s="16" t="str">
        <f>IFERROR(__xludf.DUMMYFUNCTION("""COMPUTED_VALUE"""),"CHISINAU")</f>
        <v>CHISINAU</v>
      </c>
      <c r="K56" s="17" t="str">
        <f>IFERROR(__xludf.DUMMYFUNCTION("""COMPUTED_VALUE"""),"https://expa.aiesec.org/opportunities/1294209")</f>
        <v>https://expa.aiesec.org/opportunities/1294209</v>
      </c>
      <c r="L56" s="16" t="str">
        <f>IFERROR(__xludf.DUMMYFUNCTION("""COMPUTED_VALUE"""),"GV")</f>
        <v>GV</v>
      </c>
      <c r="M56" s="16" t="str">
        <f>IFERROR(__xludf.DUMMYFUNCTION("""COMPUTED_VALUE"""),"short")</f>
        <v>short</v>
      </c>
      <c r="N56" s="18">
        <f>IFERROR(__xludf.DUMMYFUNCTION("""COMPUTED_VALUE"""),45078.0)</f>
        <v>45078</v>
      </c>
      <c r="O56" s="18">
        <f>IFERROR(__xludf.DUMMYFUNCTION("""COMPUTED_VALUE"""),45159.0)</f>
        <v>45159</v>
      </c>
      <c r="P56" s="18">
        <f>IFERROR(__xludf.DUMMYFUNCTION("""COMPUTED_VALUE"""),45201.0)</f>
        <v>45201</v>
      </c>
      <c r="Q56" s="18"/>
      <c r="R56" s="18"/>
      <c r="S56" s="16"/>
      <c r="T56" s="16"/>
      <c r="U56" s="16" t="str">
        <f>IFERROR(__xludf.DUMMYFUNCTION("""COMPUTED_VALUE"""),"On The Map")</f>
        <v>On The Map</v>
      </c>
      <c r="V56" s="16" t="str">
        <f>IFERROR(__xludf.DUMMYFUNCTION("""COMPUTED_VALUE"""),"ISTANBUL - BEYOGLU")</f>
        <v>ISTANBUL - BEYOGLU</v>
      </c>
      <c r="W56" s="16" t="str">
        <f>IFERROR(__xludf.DUMMYFUNCTION("""COMPUTED_VALUE"""),"2023-05-26T09:44:38Z")</f>
        <v>2023-05-26T09:44:38Z</v>
      </c>
      <c r="X56" s="16"/>
      <c r="Y56" s="16"/>
      <c r="Z56" s="16"/>
    </row>
    <row r="57">
      <c r="A57" s="16" t="str">
        <f>IFERROR(__xludf.DUMMYFUNCTION("""COMPUTED_VALUE"""),"5266920_1294209")</f>
        <v>5266920_1294209</v>
      </c>
      <c r="B57" s="16" t="str">
        <f>IFERROR(__xludf.DUMMYFUNCTION("""COMPUTED_VALUE"""),"Deniz Demirtaş")</f>
        <v>Deniz Demirtaş</v>
      </c>
      <c r="C57" s="16" t="str">
        <f>IFERROR(__xludf.DUMMYFUNCTION("""COMPUTED_VALUE"""),"approved")</f>
        <v>approved</v>
      </c>
      <c r="D57" s="16" t="str">
        <f>IFERROR(__xludf.DUMMYFUNCTION("""COMPUTED_VALUE"""),"No")</f>
        <v>No</v>
      </c>
      <c r="E57" s="16" t="str">
        <f>IFERROR(__xludf.DUMMYFUNCTION("""COMPUTED_VALUE"""),"p_063c56023c07618ba98e6492782f6125bdcabaaa@inbound.aiesec.org")</f>
        <v>p_063c56023c07618ba98e6492782f6125bdcabaaa@inbound.aiesec.org</v>
      </c>
      <c r="F57" s="16">
        <f>IFERROR(__xludf.DUMMYFUNCTION("""COMPUTED_VALUE"""),5.319167313E9)</f>
        <v>5319167313</v>
      </c>
      <c r="G57" s="16" t="str">
        <f>IFERROR(__xludf.DUMMYFUNCTION("""COMPUTED_VALUE"""),"Turkey")</f>
        <v>Turkey</v>
      </c>
      <c r="H57" s="16" t="str">
        <f>IFERROR(__xludf.DUMMYFUNCTION("""COMPUTED_VALUE"""),"ISTANBUL")</f>
        <v>ISTANBUL</v>
      </c>
      <c r="I57" s="16" t="str">
        <f>IFERROR(__xludf.DUMMYFUNCTION("""COMPUTED_VALUE"""),"Moldova")</f>
        <v>Moldova</v>
      </c>
      <c r="J57" s="16" t="str">
        <f>IFERROR(__xludf.DUMMYFUNCTION("""COMPUTED_VALUE"""),"CHISINAU")</f>
        <v>CHISINAU</v>
      </c>
      <c r="K57" s="17" t="str">
        <f>IFERROR(__xludf.DUMMYFUNCTION("""COMPUTED_VALUE"""),"https://expa.aiesec.org/opportunities/1294209")</f>
        <v>https://expa.aiesec.org/opportunities/1294209</v>
      </c>
      <c r="L57" s="16" t="str">
        <f>IFERROR(__xludf.DUMMYFUNCTION("""COMPUTED_VALUE"""),"GV")</f>
        <v>GV</v>
      </c>
      <c r="M57" s="16" t="str">
        <f>IFERROR(__xludf.DUMMYFUNCTION("""COMPUTED_VALUE"""),"short")</f>
        <v>short</v>
      </c>
      <c r="N57" s="18">
        <f>IFERROR(__xludf.DUMMYFUNCTION("""COMPUTED_VALUE"""),45079.0)</f>
        <v>45079</v>
      </c>
      <c r="O57" s="18">
        <f>IFERROR(__xludf.DUMMYFUNCTION("""COMPUTED_VALUE"""),45159.0)</f>
        <v>45159</v>
      </c>
      <c r="P57" s="18">
        <f>IFERROR(__xludf.DUMMYFUNCTION("""COMPUTED_VALUE"""),45201.0)</f>
        <v>45201</v>
      </c>
      <c r="Q57" s="18"/>
      <c r="R57" s="18"/>
      <c r="S57" s="16"/>
      <c r="T57" s="16"/>
      <c r="U57" s="16" t="str">
        <f>IFERROR(__xludf.DUMMYFUNCTION("""COMPUTED_VALUE"""),"On The Map")</f>
        <v>On The Map</v>
      </c>
      <c r="V57" s="16" t="str">
        <f>IFERROR(__xludf.DUMMYFUNCTION("""COMPUTED_VALUE"""),"ISTANBUL - BEYOGLU")</f>
        <v>ISTANBUL - BEYOGLU</v>
      </c>
      <c r="W57" s="16" t="str">
        <f>IFERROR(__xludf.DUMMYFUNCTION("""COMPUTED_VALUE"""),"2023-05-26T09:44:28Z")</f>
        <v>2023-05-26T09:44:28Z</v>
      </c>
      <c r="X57" s="16"/>
      <c r="Y57" s="16"/>
      <c r="Z57" s="16"/>
    </row>
    <row r="58">
      <c r="A58" s="16" t="str">
        <f>IFERROR(__xludf.DUMMYFUNCTION("""COMPUTED_VALUE"""),"5262773_1292709")</f>
        <v>5262773_1292709</v>
      </c>
      <c r="B58" s="16" t="str">
        <f>IFERROR(__xludf.DUMMYFUNCTION("""COMPUTED_VALUE"""),"eylül karadeveci")</f>
        <v>eylül karadeveci</v>
      </c>
      <c r="C58" s="16" t="str">
        <f>IFERROR(__xludf.DUMMYFUNCTION("""COMPUTED_VALUE"""),"approved")</f>
        <v>approved</v>
      </c>
      <c r="D58" s="16" t="str">
        <f>IFERROR(__xludf.DUMMYFUNCTION("""COMPUTED_VALUE"""),"No")</f>
        <v>No</v>
      </c>
      <c r="E58" s="16" t="str">
        <f>IFERROR(__xludf.DUMMYFUNCTION("""COMPUTED_VALUE"""),"p_af2dc5f58972c25f5633e5f24fe1bc0526d2c32e@inbound.aiesec.org")</f>
        <v>p_af2dc5f58972c25f5633e5f24fe1bc0526d2c32e@inbound.aiesec.org</v>
      </c>
      <c r="F58" s="16"/>
      <c r="G58" s="16" t="str">
        <f>IFERROR(__xludf.DUMMYFUNCTION("""COMPUTED_VALUE"""),"Turkey")</f>
        <v>Turkey</v>
      </c>
      <c r="H58" s="16" t="str">
        <f>IFERROR(__xludf.DUMMYFUNCTION("""COMPUTED_VALUE"""),"İZMİR")</f>
        <v>İZMİR</v>
      </c>
      <c r="I58" s="16" t="str">
        <f>IFERROR(__xludf.DUMMYFUNCTION("""COMPUTED_VALUE"""),"Czech Republic")</f>
        <v>Czech Republic</v>
      </c>
      <c r="J58" s="16" t="str">
        <f>IFERROR(__xludf.DUMMYFUNCTION("""COMPUTED_VALUE"""),"OLOMOUC")</f>
        <v>OLOMOUC</v>
      </c>
      <c r="K58" s="17" t="str">
        <f>IFERROR(__xludf.DUMMYFUNCTION("""COMPUTED_VALUE"""),"https://expa.aiesec.org/opportunities/1292709")</f>
        <v>https://expa.aiesec.org/opportunities/1292709</v>
      </c>
      <c r="L58" s="16" t="str">
        <f>IFERROR(__xludf.DUMMYFUNCTION("""COMPUTED_VALUE"""),"GV")</f>
        <v>GV</v>
      </c>
      <c r="M58" s="16" t="str">
        <f>IFERROR(__xludf.DUMMYFUNCTION("""COMPUTED_VALUE"""),"short")</f>
        <v>short</v>
      </c>
      <c r="N58" s="18">
        <f>IFERROR(__xludf.DUMMYFUNCTION("""COMPUTED_VALUE"""),45083.0)</f>
        <v>45083</v>
      </c>
      <c r="O58" s="18">
        <f>IFERROR(__xludf.DUMMYFUNCTION("""COMPUTED_VALUE"""),45173.0)</f>
        <v>45173</v>
      </c>
      <c r="P58" s="18">
        <f>IFERROR(__xludf.DUMMYFUNCTION("""COMPUTED_VALUE"""),45215.0)</f>
        <v>45215</v>
      </c>
      <c r="Q58" s="18"/>
      <c r="R58" s="18"/>
      <c r="S58" s="16"/>
      <c r="T58" s="16"/>
      <c r="U58" s="16" t="str">
        <f>IFERROR(__xludf.DUMMYFUNCTION("""COMPUTED_VALUE"""),"Youth 4 Impact")</f>
        <v>Youth 4 Impact</v>
      </c>
      <c r="V58" s="16" t="str">
        <f>IFERROR(__xludf.DUMMYFUNCTION("""COMPUTED_VALUE"""),"-")</f>
        <v>-</v>
      </c>
      <c r="W58" s="16" t="str">
        <f>IFERROR(__xludf.DUMMYFUNCTION("""COMPUTED_VALUE"""),"2023-05-18T09:09:51Z")</f>
        <v>2023-05-18T09:09:51Z</v>
      </c>
      <c r="X58" s="16"/>
      <c r="Y58" s="16"/>
      <c r="Z58" s="16"/>
    </row>
    <row r="59">
      <c r="A59" s="16" t="str">
        <f>IFERROR(__xludf.DUMMYFUNCTION("""COMPUTED_VALUE"""),"5272128_1292482")</f>
        <v>5272128_1292482</v>
      </c>
      <c r="B59" s="16" t="str">
        <f>IFERROR(__xludf.DUMMYFUNCTION("""COMPUTED_VALUE"""),"Şevval Köse")</f>
        <v>Şevval Köse</v>
      </c>
      <c r="C59" s="16" t="str">
        <f>IFERROR(__xludf.DUMMYFUNCTION("""COMPUTED_VALUE"""),"approved")</f>
        <v>approved</v>
      </c>
      <c r="D59" s="16" t="str">
        <f>IFERROR(__xludf.DUMMYFUNCTION("""COMPUTED_VALUE"""),"No")</f>
        <v>No</v>
      </c>
      <c r="E59" s="16" t="str">
        <f>IFERROR(__xludf.DUMMYFUNCTION("""COMPUTED_VALUE"""),"p_ce514c1aa1cae42c4e63a1c9c55d1b9c26e5ffb7@inbound.aiesec.org")</f>
        <v>p_ce514c1aa1cae42c4e63a1c9c55d1b9c26e5ffb7@inbound.aiesec.org</v>
      </c>
      <c r="F59" s="16">
        <f>IFERROR(__xludf.DUMMYFUNCTION("""COMPUTED_VALUE"""),5.389718726E9)</f>
        <v>5389718726</v>
      </c>
      <c r="G59" s="16" t="str">
        <f>IFERROR(__xludf.DUMMYFUNCTION("""COMPUTED_VALUE"""),"Turkey")</f>
        <v>Turkey</v>
      </c>
      <c r="H59" s="16" t="str">
        <f>IFERROR(__xludf.DUMMYFUNCTION("""COMPUTED_VALUE"""),"KONYA")</f>
        <v>KONYA</v>
      </c>
      <c r="I59" s="16" t="str">
        <f>IFERROR(__xludf.DUMMYFUNCTION("""COMPUTED_VALUE"""),"Egypt")</f>
        <v>Egypt</v>
      </c>
      <c r="J59" s="16" t="str">
        <f>IFERROR(__xludf.DUMMYFUNCTION("""COMPUTED_VALUE"""),"Zagazig")</f>
        <v>Zagazig</v>
      </c>
      <c r="K59" s="17" t="str">
        <f>IFERROR(__xludf.DUMMYFUNCTION("""COMPUTED_VALUE"""),"https://expa.aiesec.org/opportunities/1292482")</f>
        <v>https://expa.aiesec.org/opportunities/1292482</v>
      </c>
      <c r="L59" s="16" t="str">
        <f>IFERROR(__xludf.DUMMYFUNCTION("""COMPUTED_VALUE"""),"GV")</f>
        <v>GV</v>
      </c>
      <c r="M59" s="16" t="str">
        <f>IFERROR(__xludf.DUMMYFUNCTION("""COMPUTED_VALUE"""),"short")</f>
        <v>short</v>
      </c>
      <c r="N59" s="18">
        <f>IFERROR(__xludf.DUMMYFUNCTION("""COMPUTED_VALUE"""),45086.0)</f>
        <v>45086</v>
      </c>
      <c r="O59" s="18">
        <f>IFERROR(__xludf.DUMMYFUNCTION("""COMPUTED_VALUE"""),45170.0)</f>
        <v>45170</v>
      </c>
      <c r="P59" s="18">
        <f>IFERROR(__xludf.DUMMYFUNCTION("""COMPUTED_VALUE"""),45212.0)</f>
        <v>45212</v>
      </c>
      <c r="Q59" s="18"/>
      <c r="R59" s="18"/>
      <c r="S59" s="16"/>
      <c r="T59" s="16"/>
      <c r="U59" s="16" t="str">
        <f>IFERROR(__xludf.DUMMYFUNCTION("""COMPUTED_VALUE"""),"Global Classroom")</f>
        <v>Global Classroom</v>
      </c>
      <c r="V59" s="16" t="str">
        <f>IFERROR(__xludf.DUMMYFUNCTION("""COMPUTED_VALUE"""),"KONYA")</f>
        <v>KONYA</v>
      </c>
      <c r="W59" s="16" t="str">
        <f>IFERROR(__xludf.DUMMYFUNCTION("""COMPUTED_VALUE"""),"2023-06-06T17:03:04Z")</f>
        <v>2023-06-06T17:03:04Z</v>
      </c>
      <c r="X59" s="16"/>
      <c r="Y59" s="16"/>
      <c r="Z59" s="16"/>
    </row>
    <row r="60">
      <c r="A60" s="16" t="str">
        <f>IFERROR(__xludf.DUMMYFUNCTION("""COMPUTED_VALUE"""),"3105269_1291068")</f>
        <v>3105269_1291068</v>
      </c>
      <c r="B60" s="16" t="str">
        <f>IFERROR(__xludf.DUMMYFUNCTION("""COMPUTED_VALUE"""),"Yaren Yakar")</f>
        <v>Yaren Yakar</v>
      </c>
      <c r="C60" s="16" t="str">
        <f>IFERROR(__xludf.DUMMYFUNCTION("""COMPUTED_VALUE"""),"approved")</f>
        <v>approved</v>
      </c>
      <c r="D60" s="16" t="str">
        <f>IFERROR(__xludf.DUMMYFUNCTION("""COMPUTED_VALUE"""),"No")</f>
        <v>No</v>
      </c>
      <c r="E60" s="16" t="str">
        <f>IFERROR(__xludf.DUMMYFUNCTION("""COMPUTED_VALUE"""),"p_51dadd93d8cbcc6fc412cd9f9730fbdfff0c82b4@inbound.aiesec.org")</f>
        <v>p_51dadd93d8cbcc6fc412cd9f9730fbdfff0c82b4@inbound.aiesec.org</v>
      </c>
      <c r="F60" s="16">
        <f>IFERROR(__xludf.DUMMYFUNCTION("""COMPUTED_VALUE"""),5.31025046E9)</f>
        <v>5310250460</v>
      </c>
      <c r="G60" s="16" t="str">
        <f>IFERROR(__xludf.DUMMYFUNCTION("""COMPUTED_VALUE"""),"Turkey")</f>
        <v>Turkey</v>
      </c>
      <c r="H60" s="16" t="str">
        <f>IFERROR(__xludf.DUMMYFUNCTION("""COMPUTED_VALUE"""),"İZMİR")</f>
        <v>İZMİR</v>
      </c>
      <c r="I60" s="16" t="str">
        <f>IFERROR(__xludf.DUMMYFUNCTION("""COMPUTED_VALUE"""),"Italy")</f>
        <v>Italy</v>
      </c>
      <c r="J60" s="16" t="str">
        <f>IFERROR(__xludf.DUMMYFUNCTION("""COMPUTED_VALUE"""),"Napoli Federico II")</f>
        <v>Napoli Federico II</v>
      </c>
      <c r="K60" s="17" t="str">
        <f>IFERROR(__xludf.DUMMYFUNCTION("""COMPUTED_VALUE"""),"https://expa.aiesec.org/opportunities/1291068")</f>
        <v>https://expa.aiesec.org/opportunities/1291068</v>
      </c>
      <c r="L60" s="16" t="str">
        <f>IFERROR(__xludf.DUMMYFUNCTION("""COMPUTED_VALUE"""),"GV")</f>
        <v>GV</v>
      </c>
      <c r="M60" s="16" t="str">
        <f>IFERROR(__xludf.DUMMYFUNCTION("""COMPUTED_VALUE"""),"short")</f>
        <v>short</v>
      </c>
      <c r="N60" s="18">
        <f>IFERROR(__xludf.DUMMYFUNCTION("""COMPUTED_VALUE"""),45097.0)</f>
        <v>45097</v>
      </c>
      <c r="O60" s="18">
        <f>IFERROR(__xludf.DUMMYFUNCTION("""COMPUTED_VALUE"""),45159.0)</f>
        <v>45159</v>
      </c>
      <c r="P60" s="18">
        <f>IFERROR(__xludf.DUMMYFUNCTION("""COMPUTED_VALUE"""),45201.0)</f>
        <v>45201</v>
      </c>
      <c r="Q60" s="18"/>
      <c r="R60" s="18"/>
      <c r="S60" s="16"/>
      <c r="T60" s="16"/>
      <c r="U60" s="16" t="str">
        <f>IFERROR(__xludf.DUMMYFUNCTION("""COMPUTED_VALUE"""),"Equify")</f>
        <v>Equify</v>
      </c>
      <c r="V60" s="16" t="str">
        <f>IFERROR(__xludf.DUMMYFUNCTION("""COMPUTED_VALUE"""),"IZMIR")</f>
        <v>IZMIR</v>
      </c>
      <c r="W60" s="16" t="str">
        <f>IFERROR(__xludf.DUMMYFUNCTION("""COMPUTED_VALUE"""),"2019-02-22T09:21:48Z")</f>
        <v>2019-02-22T09:21:48Z</v>
      </c>
      <c r="X60" s="16"/>
      <c r="Y60" s="16"/>
      <c r="Z60" s="16"/>
    </row>
    <row r="61">
      <c r="A61" s="16" t="str">
        <f>IFERROR(__xludf.DUMMYFUNCTION("""COMPUTED_VALUE"""),"5275267_1281901")</f>
        <v>5275267_1281901</v>
      </c>
      <c r="B61" s="16" t="str">
        <f>IFERROR(__xludf.DUMMYFUNCTION("""COMPUTED_VALUE"""),"Duygu Semizoğlu")</f>
        <v>Duygu Semizoğlu</v>
      </c>
      <c r="C61" s="16" t="str">
        <f>IFERROR(__xludf.DUMMYFUNCTION("""COMPUTED_VALUE"""),"approved")</f>
        <v>approved</v>
      </c>
      <c r="D61" s="16" t="str">
        <f>IFERROR(__xludf.DUMMYFUNCTION("""COMPUTED_VALUE"""),"No")</f>
        <v>No</v>
      </c>
      <c r="E61" s="16" t="str">
        <f>IFERROR(__xludf.DUMMYFUNCTION("""COMPUTED_VALUE"""),"p_337ea0dafb7226afa793106d2b792fb2234f7df1@inbound.aiesec.org")</f>
        <v>p_337ea0dafb7226afa793106d2b792fb2234f7df1@inbound.aiesec.org</v>
      </c>
      <c r="F61" s="16">
        <f>IFERROR(__xludf.DUMMYFUNCTION("""COMPUTED_VALUE"""),5.456977095E9)</f>
        <v>5456977095</v>
      </c>
      <c r="G61" s="16" t="str">
        <f>IFERROR(__xludf.DUMMYFUNCTION("""COMPUTED_VALUE"""),"Turkey")</f>
        <v>Turkey</v>
      </c>
      <c r="H61" s="16" t="str">
        <f>IFERROR(__xludf.DUMMYFUNCTION("""COMPUTED_VALUE"""),"BURSA")</f>
        <v>BURSA</v>
      </c>
      <c r="I61" s="16" t="str">
        <f>IFERROR(__xludf.DUMMYFUNCTION("""COMPUTED_VALUE"""),"Sri Lanka")</f>
        <v>Sri Lanka</v>
      </c>
      <c r="J61" s="16" t="str">
        <f>IFERROR(__xludf.DUMMYFUNCTION("""COMPUTED_VALUE"""),"COLOMBO SOUTH")</f>
        <v>COLOMBO SOUTH</v>
      </c>
      <c r="K61" s="17" t="str">
        <f>IFERROR(__xludf.DUMMYFUNCTION("""COMPUTED_VALUE"""),"https://expa.aiesec.org/opportunities/1281901")</f>
        <v>https://expa.aiesec.org/opportunities/1281901</v>
      </c>
      <c r="L61" s="16" t="str">
        <f>IFERROR(__xludf.DUMMYFUNCTION("""COMPUTED_VALUE"""),"GV")</f>
        <v>GV</v>
      </c>
      <c r="M61" s="16" t="str">
        <f>IFERROR(__xludf.DUMMYFUNCTION("""COMPUTED_VALUE"""),"short")</f>
        <v>short</v>
      </c>
      <c r="N61" s="18">
        <f>IFERROR(__xludf.DUMMYFUNCTION("""COMPUTED_VALUE"""),45098.0)</f>
        <v>45098</v>
      </c>
      <c r="O61" s="18">
        <f>IFERROR(__xludf.DUMMYFUNCTION("""COMPUTED_VALUE"""),45138.0)</f>
        <v>45138</v>
      </c>
      <c r="P61" s="18">
        <f>IFERROR(__xludf.DUMMYFUNCTION("""COMPUTED_VALUE"""),45180.0)</f>
        <v>45180</v>
      </c>
      <c r="Q61" s="18"/>
      <c r="R61" s="18"/>
      <c r="S61" s="16"/>
      <c r="T61" s="16"/>
      <c r="U61" s="16" t="str">
        <f>IFERROR(__xludf.DUMMYFUNCTION("""COMPUTED_VALUE"""),"Aquatica")</f>
        <v>Aquatica</v>
      </c>
      <c r="V61" s="16" t="str">
        <f>IFERROR(__xludf.DUMMYFUNCTION("""COMPUTED_VALUE"""),"BURSA")</f>
        <v>BURSA</v>
      </c>
      <c r="W61" s="16" t="str">
        <f>IFERROR(__xludf.DUMMYFUNCTION("""COMPUTED_VALUE"""),"2023-06-14T14:37:37Z")</f>
        <v>2023-06-14T14:37:37Z</v>
      </c>
      <c r="X61" s="16"/>
      <c r="Y61" s="16"/>
      <c r="Z61" s="16"/>
    </row>
    <row r="62">
      <c r="A62" s="16" t="str">
        <f>IFERROR(__xludf.DUMMYFUNCTION("""COMPUTED_VALUE"""),"5273771_1281901")</f>
        <v>5273771_1281901</v>
      </c>
      <c r="B62" s="16" t="str">
        <f>IFERROR(__xludf.DUMMYFUNCTION("""COMPUTED_VALUE"""),"Tüge Gündoğdu")</f>
        <v>Tüge Gündoğdu</v>
      </c>
      <c r="C62" s="16" t="str">
        <f>IFERROR(__xludf.DUMMYFUNCTION("""COMPUTED_VALUE"""),"approved")</f>
        <v>approved</v>
      </c>
      <c r="D62" s="16" t="str">
        <f>IFERROR(__xludf.DUMMYFUNCTION("""COMPUTED_VALUE"""),"No")</f>
        <v>No</v>
      </c>
      <c r="E62" s="16" t="str">
        <f>IFERROR(__xludf.DUMMYFUNCTION("""COMPUTED_VALUE"""),"p_a008f727838d1bffb44925a681e6c4f54f6cc92e@inbound.aiesec.org")</f>
        <v>p_a008f727838d1bffb44925a681e6c4f54f6cc92e@inbound.aiesec.org</v>
      </c>
      <c r="F62" s="16">
        <f>IFERROR(__xludf.DUMMYFUNCTION("""COMPUTED_VALUE"""),5.415102604E9)</f>
        <v>5415102604</v>
      </c>
      <c r="G62" s="16" t="str">
        <f>IFERROR(__xludf.DUMMYFUNCTION("""COMPUTED_VALUE"""),"Turkey")</f>
        <v>Turkey</v>
      </c>
      <c r="H62" s="16" t="str">
        <f>IFERROR(__xludf.DUMMYFUNCTION("""COMPUTED_VALUE"""),"ANKARA")</f>
        <v>ANKARA</v>
      </c>
      <c r="I62" s="16" t="str">
        <f>IFERROR(__xludf.DUMMYFUNCTION("""COMPUTED_VALUE"""),"Sri Lanka")</f>
        <v>Sri Lanka</v>
      </c>
      <c r="J62" s="16" t="str">
        <f>IFERROR(__xludf.DUMMYFUNCTION("""COMPUTED_VALUE"""),"COLOMBO SOUTH")</f>
        <v>COLOMBO SOUTH</v>
      </c>
      <c r="K62" s="17" t="str">
        <f>IFERROR(__xludf.DUMMYFUNCTION("""COMPUTED_VALUE"""),"https://expa.aiesec.org/opportunities/1281901")</f>
        <v>https://expa.aiesec.org/opportunities/1281901</v>
      </c>
      <c r="L62" s="16" t="str">
        <f>IFERROR(__xludf.DUMMYFUNCTION("""COMPUTED_VALUE"""),"GV")</f>
        <v>GV</v>
      </c>
      <c r="M62" s="16" t="str">
        <f>IFERROR(__xludf.DUMMYFUNCTION("""COMPUTED_VALUE"""),"short")</f>
        <v>short</v>
      </c>
      <c r="N62" s="18">
        <f>IFERROR(__xludf.DUMMYFUNCTION("""COMPUTED_VALUE"""),45101.0)</f>
        <v>45101</v>
      </c>
      <c r="O62" s="18">
        <f>IFERROR(__xludf.DUMMYFUNCTION("""COMPUTED_VALUE"""),45138.0)</f>
        <v>45138</v>
      </c>
      <c r="P62" s="18">
        <f>IFERROR(__xludf.DUMMYFUNCTION("""COMPUTED_VALUE"""),45180.0)</f>
        <v>45180</v>
      </c>
      <c r="Q62" s="18"/>
      <c r="R62" s="18"/>
      <c r="S62" s="16"/>
      <c r="T62" s="16"/>
      <c r="U62" s="16" t="str">
        <f>IFERROR(__xludf.DUMMYFUNCTION("""COMPUTED_VALUE"""),"Aquatica")</f>
        <v>Aquatica</v>
      </c>
      <c r="V62" s="16" t="str">
        <f>IFERROR(__xludf.DUMMYFUNCTION("""COMPUTED_VALUE"""),"ANKARA")</f>
        <v>ANKARA</v>
      </c>
      <c r="W62" s="16" t="str">
        <f>IFERROR(__xludf.DUMMYFUNCTION("""COMPUTED_VALUE"""),"2023-06-10T20:17:02Z")</f>
        <v>2023-06-10T20:17:02Z</v>
      </c>
      <c r="X62" s="16"/>
      <c r="Y62" s="16"/>
      <c r="Z62" s="16"/>
    </row>
    <row r="63">
      <c r="A63" s="16" t="str">
        <f>IFERROR(__xludf.DUMMYFUNCTION("""COMPUTED_VALUE"""),"5279486_1292990")</f>
        <v>5279486_1292990</v>
      </c>
      <c r="B63" s="16" t="str">
        <f>IFERROR(__xludf.DUMMYFUNCTION("""COMPUTED_VALUE"""),"müçteba anıl koyutürk")</f>
        <v>müçteba anıl koyutürk</v>
      </c>
      <c r="C63" s="16" t="str">
        <f>IFERROR(__xludf.DUMMYFUNCTION("""COMPUTED_VALUE"""),"approved")</f>
        <v>approved</v>
      </c>
      <c r="D63" s="16" t="str">
        <f>IFERROR(__xludf.DUMMYFUNCTION("""COMPUTED_VALUE"""),"No")</f>
        <v>No</v>
      </c>
      <c r="E63" s="16" t="str">
        <f>IFERROR(__xludf.DUMMYFUNCTION("""COMPUTED_VALUE"""),"p_15c18cffc196647118e9eeae81357fe53285d8ef@inbound.aiesec.org")</f>
        <v>p_15c18cffc196647118e9eeae81357fe53285d8ef@inbound.aiesec.org</v>
      </c>
      <c r="F63" s="16">
        <f>IFERROR(__xludf.DUMMYFUNCTION("""COMPUTED_VALUE"""),5.380224718E9)</f>
        <v>5380224718</v>
      </c>
      <c r="G63" s="16" t="str">
        <f>IFERROR(__xludf.DUMMYFUNCTION("""COMPUTED_VALUE"""),"Turkey")</f>
        <v>Turkey</v>
      </c>
      <c r="H63" s="16" t="str">
        <f>IFERROR(__xludf.DUMMYFUNCTION("""COMPUTED_VALUE"""),"BURSA")</f>
        <v>BURSA</v>
      </c>
      <c r="I63" s="16" t="str">
        <f>IFERROR(__xludf.DUMMYFUNCTION("""COMPUTED_VALUE"""),"India")</f>
        <v>India</v>
      </c>
      <c r="J63" s="16" t="str">
        <f>IFERROR(__xludf.DUMMYFUNCTION("""COMPUTED_VALUE"""),"Mumbai")</f>
        <v>Mumbai</v>
      </c>
      <c r="K63" s="17" t="str">
        <f>IFERROR(__xludf.DUMMYFUNCTION("""COMPUTED_VALUE"""),"https://expa.aiesec.org/opportunities/1292990")</f>
        <v>https://expa.aiesec.org/opportunities/1292990</v>
      </c>
      <c r="L63" s="16" t="str">
        <f>IFERROR(__xludf.DUMMYFUNCTION("""COMPUTED_VALUE"""),"GV")</f>
        <v>GV</v>
      </c>
      <c r="M63" s="16" t="str">
        <f>IFERROR(__xludf.DUMMYFUNCTION("""COMPUTED_VALUE"""),"short")</f>
        <v>short</v>
      </c>
      <c r="N63" s="18">
        <f>IFERROR(__xludf.DUMMYFUNCTION("""COMPUTED_VALUE"""),45104.0)</f>
        <v>45104</v>
      </c>
      <c r="O63" s="18">
        <f>IFERROR(__xludf.DUMMYFUNCTION("""COMPUTED_VALUE"""),45184.0)</f>
        <v>45184</v>
      </c>
      <c r="P63" s="18">
        <f>IFERROR(__xludf.DUMMYFUNCTION("""COMPUTED_VALUE"""),45226.0)</f>
        <v>45226</v>
      </c>
      <c r="Q63" s="18"/>
      <c r="R63" s="18"/>
      <c r="S63" s="16"/>
      <c r="T63" s="16"/>
      <c r="U63" s="16" t="str">
        <f>IFERROR(__xludf.DUMMYFUNCTION("""COMPUTED_VALUE"""),"On The Map")</f>
        <v>On The Map</v>
      </c>
      <c r="V63" s="16" t="str">
        <f>IFERROR(__xludf.DUMMYFUNCTION("""COMPUTED_VALUE"""),"BURSA")</f>
        <v>BURSA</v>
      </c>
      <c r="W63" s="16" t="str">
        <f>IFERROR(__xludf.DUMMYFUNCTION("""COMPUTED_VALUE"""),"2023-06-26T10:45:18Z")</f>
        <v>2023-06-26T10:45:18Z</v>
      </c>
      <c r="X63" s="16"/>
      <c r="Y63" s="16"/>
      <c r="Z63" s="16"/>
    </row>
    <row r="64">
      <c r="A64" s="16" t="str">
        <f>IFERROR(__xludf.DUMMYFUNCTION("""COMPUTED_VALUE"""),"5273657_1296060")</f>
        <v>5273657_1296060</v>
      </c>
      <c r="B64" s="16" t="str">
        <f>IFERROR(__xludf.DUMMYFUNCTION("""COMPUTED_VALUE"""),"Elif Gündüzalp")</f>
        <v>Elif Gündüzalp</v>
      </c>
      <c r="C64" s="16" t="str">
        <f>IFERROR(__xludf.DUMMYFUNCTION("""COMPUTED_VALUE"""),"approved")</f>
        <v>approved</v>
      </c>
      <c r="D64" s="16" t="str">
        <f>IFERROR(__xludf.DUMMYFUNCTION("""COMPUTED_VALUE"""),"No")</f>
        <v>No</v>
      </c>
      <c r="E64" s="16" t="str">
        <f>IFERROR(__xludf.DUMMYFUNCTION("""COMPUTED_VALUE"""),"p_48e4662bfeb57ac7f409b2c12f57ea37c3fa1d5b@inbound.aiesec.org")</f>
        <v>p_48e4662bfeb57ac7f409b2c12f57ea37c3fa1d5b@inbound.aiesec.org</v>
      </c>
      <c r="F64" s="16">
        <f>IFERROR(__xludf.DUMMYFUNCTION("""COMPUTED_VALUE"""),5.426195345E9)</f>
        <v>5426195345</v>
      </c>
      <c r="G64" s="16" t="str">
        <f>IFERROR(__xludf.DUMMYFUNCTION("""COMPUTED_VALUE"""),"Turkey")</f>
        <v>Turkey</v>
      </c>
      <c r="H64" s="16" t="str">
        <f>IFERROR(__xludf.DUMMYFUNCTION("""COMPUTED_VALUE"""),"ISTANBUL")</f>
        <v>ISTANBUL</v>
      </c>
      <c r="I64" s="16" t="str">
        <f>IFERROR(__xludf.DUMMYFUNCTION("""COMPUTED_VALUE"""),"Brazil")</f>
        <v>Brazil</v>
      </c>
      <c r="J64" s="16" t="str">
        <f>IFERROR(__xludf.DUMMYFUNCTION("""COMPUTED_VALUE"""),"FORTALEZA")</f>
        <v>FORTALEZA</v>
      </c>
      <c r="K64" s="17" t="str">
        <f>IFERROR(__xludf.DUMMYFUNCTION("""COMPUTED_VALUE"""),"https://expa.aiesec.org/opportunities/1296060")</f>
        <v>https://expa.aiesec.org/opportunities/1296060</v>
      </c>
      <c r="L64" s="16" t="str">
        <f>IFERROR(__xludf.DUMMYFUNCTION("""COMPUTED_VALUE"""),"GV")</f>
        <v>GV</v>
      </c>
      <c r="M64" s="16" t="str">
        <f>IFERROR(__xludf.DUMMYFUNCTION("""COMPUTED_VALUE"""),"short")</f>
        <v>short</v>
      </c>
      <c r="N64" s="18">
        <f>IFERROR(__xludf.DUMMYFUNCTION("""COMPUTED_VALUE"""),45104.0)</f>
        <v>45104</v>
      </c>
      <c r="O64" s="18">
        <f>IFERROR(__xludf.DUMMYFUNCTION("""COMPUTED_VALUE"""),45180.0)</f>
        <v>45180</v>
      </c>
      <c r="P64" s="18">
        <f>IFERROR(__xludf.DUMMYFUNCTION("""COMPUTED_VALUE"""),45222.0)</f>
        <v>45222</v>
      </c>
      <c r="Q64" s="18"/>
      <c r="R64" s="18"/>
      <c r="S64" s="16"/>
      <c r="T64" s="16"/>
      <c r="U64" s="16" t="str">
        <f>IFERROR(__xludf.DUMMYFUNCTION("""COMPUTED_VALUE"""),"Global Classroom")</f>
        <v>Global Classroom</v>
      </c>
      <c r="V64" s="16" t="str">
        <f>IFERROR(__xludf.DUMMYFUNCTION("""COMPUTED_VALUE"""),"ISTANBUL - BEYOGLU")</f>
        <v>ISTANBUL - BEYOGLU</v>
      </c>
      <c r="W64" s="16" t="str">
        <f>IFERROR(__xludf.DUMMYFUNCTION("""COMPUTED_VALUE"""),"2023-06-10T13:46:24Z")</f>
        <v>2023-06-10T13:46:24Z</v>
      </c>
      <c r="X64" s="16"/>
      <c r="Y64" s="16"/>
      <c r="Z64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</hyperlinks>
  <drawing r:id="rId6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63"/>
    <col customWidth="1" min="10" max="10" width="17.38"/>
    <col customWidth="1" min="11" max="11" width="12.25"/>
    <col customWidth="1" min="12" max="12" width="9.63"/>
  </cols>
  <sheetData>
    <row r="1">
      <c r="A1" s="19"/>
      <c r="B1" s="20" t="s">
        <v>19730</v>
      </c>
      <c r="C1" s="21"/>
      <c r="D1" s="22" t="s">
        <v>19731</v>
      </c>
      <c r="E1" s="21"/>
      <c r="F1" s="20" t="s">
        <v>19732</v>
      </c>
      <c r="G1" s="21"/>
      <c r="H1" s="23" t="s">
        <v>19733</v>
      </c>
      <c r="I1" s="21"/>
      <c r="J1" s="24" t="s">
        <v>19734</v>
      </c>
      <c r="K1" s="25" t="s">
        <v>19735</v>
      </c>
      <c r="L1" s="26"/>
    </row>
    <row r="2">
      <c r="A2" s="27"/>
      <c r="B2" s="28">
        <f>SUM(B5:B23)</f>
        <v>79</v>
      </c>
      <c r="D2" s="29">
        <f>SUM(D5:D23)</f>
        <v>12</v>
      </c>
      <c r="F2" s="28">
        <f>SUM(F5:F23)</f>
        <v>37</v>
      </c>
      <c r="H2" s="30">
        <f>SUM(H5:H23)</f>
        <v>4</v>
      </c>
      <c r="K2" s="31">
        <f>SUM(K5:K23)</f>
        <v>128</v>
      </c>
      <c r="L2" s="32"/>
    </row>
    <row r="3">
      <c r="A3" s="27"/>
      <c r="L3" s="32"/>
    </row>
    <row r="4">
      <c r="A4" s="33" t="s">
        <v>19736</v>
      </c>
      <c r="B4" s="34" t="s">
        <v>19730</v>
      </c>
      <c r="D4" s="34" t="s">
        <v>19731</v>
      </c>
      <c r="F4" s="34" t="s">
        <v>19732</v>
      </c>
      <c r="H4" s="34" t="s">
        <v>19733</v>
      </c>
      <c r="J4" s="35">
        <f>SUM(J5:J23)</f>
        <v>4</v>
      </c>
      <c r="K4" s="34" t="s">
        <v>19735</v>
      </c>
      <c r="L4" s="32"/>
    </row>
    <row r="5">
      <c r="A5" s="36" t="str">
        <f>IFERROR(__xludf.DUMMYFUNCTION("UNIQUE(OGV!H2:H525)"),"KOCAELI")</f>
        <v>KOCAELI</v>
      </c>
      <c r="B5" s="37">
        <v>12.0</v>
      </c>
      <c r="D5" s="37">
        <v>4.0</v>
      </c>
      <c r="F5" s="37">
        <f>COUNTIFS('Feb from 15th July oGv to 25th '!$H:$H,A5)</f>
        <v>2</v>
      </c>
      <c r="H5" s="37">
        <f>COUNTIFS('Feb from 15th July oGT to 25th '!$H:$H,A5)</f>
        <v>0</v>
      </c>
      <c r="J5" s="38">
        <v>0.0</v>
      </c>
      <c r="K5" s="39">
        <f t="shared" ref="K5:K23" si="1">SUM(B5,D5,F5,H5)-J5</f>
        <v>18</v>
      </c>
      <c r="L5" s="32"/>
    </row>
    <row r="6">
      <c r="A6" s="36" t="str">
        <f>IFERROR(__xludf.DUMMYFUNCTION("""COMPUTED_VALUE"""),"ANKARA")</f>
        <v>ANKARA</v>
      </c>
      <c r="B6" s="37">
        <v>3.0</v>
      </c>
      <c r="D6" s="37">
        <f>COUNTIFS('Feb from 15th July IGT to 25th '!$J:$J,A6)</f>
        <v>0</v>
      </c>
      <c r="F6" s="37">
        <v>4.0</v>
      </c>
      <c r="H6" s="37">
        <f>COUNTIFS('Feb from 15th July oGT to 25th '!$H:$H,A6)</f>
        <v>0</v>
      </c>
      <c r="J6" s="38">
        <v>0.0</v>
      </c>
      <c r="K6" s="39">
        <f t="shared" si="1"/>
        <v>7</v>
      </c>
      <c r="L6" s="32"/>
    </row>
    <row r="7">
      <c r="A7" s="36" t="str">
        <f>IFERROR(__xludf.DUMMYFUNCTION("""COMPUTED_VALUE"""),"ISTANBUL")</f>
        <v>ISTANBUL</v>
      </c>
      <c r="B7" s="37">
        <f>COUNTIFS('Feb from 15th July IGV to 25th '!$J:$J,A7)</f>
        <v>8</v>
      </c>
      <c r="D7" s="37">
        <f>COUNTIFS('Feb from 15th July IGT to 25th '!$J:$J,A7)</f>
        <v>1</v>
      </c>
      <c r="F7" s="37">
        <v>15.0</v>
      </c>
      <c r="H7" s="37">
        <f>COUNTIFS('Feb from 15th July oGT to 25th '!$H:$H,A7)</f>
        <v>1</v>
      </c>
      <c r="J7" s="38">
        <v>2.0</v>
      </c>
      <c r="K7" s="39">
        <f t="shared" si="1"/>
        <v>23</v>
      </c>
      <c r="L7" s="32"/>
    </row>
    <row r="8">
      <c r="A8" s="36" t="str">
        <f>IFERROR(__xludf.DUMMYFUNCTION("""COMPUTED_VALUE"""),"ISTANBUL ASIA")</f>
        <v>ISTANBUL ASIA</v>
      </c>
      <c r="B8" s="37">
        <v>0.0</v>
      </c>
      <c r="D8" s="37">
        <f>COUNTIFS('Feb from 15th July IGT to 25th '!$J:$J,A8)</f>
        <v>1</v>
      </c>
      <c r="F8" s="37">
        <v>0.0</v>
      </c>
      <c r="H8" s="37">
        <f>COUNTIFS('Feb from 15th July oGT to 25th '!$H:$H,A8)</f>
        <v>0</v>
      </c>
      <c r="J8" s="38">
        <v>0.0</v>
      </c>
      <c r="K8" s="39">
        <f t="shared" si="1"/>
        <v>1</v>
      </c>
      <c r="L8" s="32"/>
    </row>
    <row r="9">
      <c r="A9" s="36" t="str">
        <f>IFERROR(__xludf.DUMMYFUNCTION("""COMPUTED_VALUE"""),"KONYA")</f>
        <v>KONYA</v>
      </c>
      <c r="B9" s="37">
        <f>COUNTIFS('Feb from 15th July IGV to 25th '!$J:$J,A9)</f>
        <v>2</v>
      </c>
      <c r="D9" s="37">
        <f>COUNTIFS('Feb from 15th July IGT to 25th '!$J:$J,A9)</f>
        <v>1</v>
      </c>
      <c r="F9" s="37">
        <v>5.0</v>
      </c>
      <c r="H9" s="37">
        <f>COUNTIFS('Feb from 15th July oGT to 25th '!$H:$H,A9)</f>
        <v>1</v>
      </c>
      <c r="J9" s="38">
        <v>0.0</v>
      </c>
      <c r="K9" s="39">
        <f t="shared" si="1"/>
        <v>9</v>
      </c>
      <c r="L9" s="32"/>
    </row>
    <row r="10">
      <c r="A10" s="36" t="str">
        <f>IFERROR(__xludf.DUMMYFUNCTION("""COMPUTED_VALUE"""),"ESKISEHIR")</f>
        <v>ESKISEHIR</v>
      </c>
      <c r="B10" s="37">
        <v>6.0</v>
      </c>
      <c r="D10" s="37">
        <v>0.0</v>
      </c>
      <c r="F10" s="37">
        <v>1.0</v>
      </c>
      <c r="H10" s="37">
        <f>COUNTIFS('Feb from 15th July oGT to 25th '!$H:$H,A10)</f>
        <v>0</v>
      </c>
      <c r="J10" s="38">
        <v>0.0</v>
      </c>
      <c r="K10" s="39">
        <f t="shared" si="1"/>
        <v>7</v>
      </c>
      <c r="L10" s="32"/>
    </row>
    <row r="11">
      <c r="A11" s="36" t="str">
        <f>IFERROR(__xludf.DUMMYFUNCTION("""COMPUTED_VALUE"""),"ISTANBUL WEST")</f>
        <v>ISTANBUL WEST</v>
      </c>
      <c r="B11" s="37">
        <f>COUNTIFS('Feb from 15th July IGV to 25th '!$J:$J,A11)</f>
        <v>8</v>
      </c>
      <c r="D11" s="37">
        <v>0.0</v>
      </c>
      <c r="F11" s="37">
        <f>COUNTIFS('Feb from 15th July oGv to 25th '!$H:$H,A11)</f>
        <v>3</v>
      </c>
      <c r="H11" s="37">
        <f>COUNTIFS('Feb from 15th July oGT to 25th '!$H:$H,A11)</f>
        <v>0</v>
      </c>
      <c r="J11" s="38">
        <v>1.0</v>
      </c>
      <c r="K11" s="39">
        <f t="shared" si="1"/>
        <v>10</v>
      </c>
      <c r="L11" s="32"/>
    </row>
    <row r="12">
      <c r="A12" s="36" t="str">
        <f>IFERROR(__xludf.DUMMYFUNCTION("""COMPUTED_VALUE"""),"İZMİR")</f>
        <v>İZMİR</v>
      </c>
      <c r="B12" s="37">
        <v>14.0</v>
      </c>
      <c r="D12" s="37">
        <f>COUNTIFS('Feb from 15th July IGT to 25th '!$J:$J,A12)</f>
        <v>0</v>
      </c>
      <c r="F12" s="37">
        <v>2.0</v>
      </c>
      <c r="H12" s="37">
        <f>COUNTIFS('Feb from 15th July oGT to 25th '!$H:$H,A12)</f>
        <v>0</v>
      </c>
      <c r="J12" s="38">
        <v>0.0</v>
      </c>
      <c r="K12" s="39">
        <f t="shared" si="1"/>
        <v>16</v>
      </c>
      <c r="L12" s="32"/>
    </row>
    <row r="13">
      <c r="A13" s="36" t="str">
        <f>IFERROR(__xludf.DUMMYFUNCTION("""COMPUTED_VALUE"""),"ANTALYA")</f>
        <v>ANTALYA</v>
      </c>
      <c r="B13" s="37">
        <f>COUNTIFS('Feb from 15th July IGV to 25th '!$J:$J,A13)</f>
        <v>1</v>
      </c>
      <c r="D13" s="37">
        <f>COUNTIFS('Feb from 15th July IGT to 25th '!$J:$J,A13)</f>
        <v>1</v>
      </c>
      <c r="F13" s="37">
        <f>COUNTIFS('Feb from 15th July oGv to 25th '!$H:$H,A13)</f>
        <v>1</v>
      </c>
      <c r="H13" s="37">
        <f>COUNTIFS('Feb from 15th July oGT to 25th '!$H:$H,A13)</f>
        <v>0</v>
      </c>
      <c r="J13" s="38">
        <v>0.0</v>
      </c>
      <c r="K13" s="39">
        <f t="shared" si="1"/>
        <v>3</v>
      </c>
      <c r="L13" s="32"/>
    </row>
    <row r="14">
      <c r="A14" s="36" t="str">
        <f>IFERROR(__xludf.DUMMYFUNCTION("""COMPUTED_VALUE"""),"SAMSUN [Closed]")</f>
        <v>SAMSUN [Closed]</v>
      </c>
      <c r="B14" s="37">
        <f>COUNTIFS('Feb from 15th July IGV to 25th '!$J:$J,A14)</f>
        <v>0</v>
      </c>
      <c r="D14" s="37">
        <f>COUNTIFS('Feb from 15th July IGT to 25th '!$J:$J,A14)</f>
        <v>0</v>
      </c>
      <c r="F14" s="37">
        <f>COUNTIFS('Feb from 15th July oGv to 25th '!$H:$H,A14)</f>
        <v>0</v>
      </c>
      <c r="H14" s="37">
        <f>COUNTIFS('Feb from 15th July oGT to 25th '!$H:$H,A14)</f>
        <v>0</v>
      </c>
      <c r="J14" s="38">
        <v>0.0</v>
      </c>
      <c r="K14" s="39">
        <f t="shared" si="1"/>
        <v>0</v>
      </c>
      <c r="L14" s="32"/>
    </row>
    <row r="15">
      <c r="A15" s="36" t="str">
        <f>IFERROR(__xludf.DUMMYFUNCTION("""COMPUTED_VALUE"""),"SAKARYA")</f>
        <v>SAKARYA</v>
      </c>
      <c r="B15" s="37">
        <f>COUNTIFS('Feb from 15th July IGV to 25th '!$J:$J,A15)</f>
        <v>1</v>
      </c>
      <c r="D15" s="37">
        <f>COUNTIFS('Feb from 15th July IGT to 25th '!$J:$J,A15)</f>
        <v>0</v>
      </c>
      <c r="F15" s="37">
        <v>0.0</v>
      </c>
      <c r="H15" s="37">
        <f>COUNTIFS('Feb from 15th July oGT to 25th '!$H:$H,A15)</f>
        <v>0</v>
      </c>
      <c r="J15" s="38">
        <v>0.0</v>
      </c>
      <c r="K15" s="39">
        <f t="shared" si="1"/>
        <v>1</v>
      </c>
      <c r="L15" s="32"/>
    </row>
    <row r="16">
      <c r="A16" s="36" t="str">
        <f>IFERROR(__xludf.DUMMYFUNCTION("""COMPUTED_VALUE"""),"EASTERN MEDITERRANEAN")</f>
        <v>EASTERN MEDITERRANEAN</v>
      </c>
      <c r="B16" s="37">
        <f>COUNTIFS('Feb from 15th July IGV to 25th '!$J:$J,A16)</f>
        <v>0</v>
      </c>
      <c r="D16" s="37">
        <f>COUNTIFS('Feb from 15th July IGT to 25th '!$J:$J,A16)</f>
        <v>0</v>
      </c>
      <c r="F16" s="37">
        <f>COUNTIFS('Feb from 15th July oGv to 25th '!$H:$H,A16)</f>
        <v>0</v>
      </c>
      <c r="H16" s="37">
        <f>COUNTIFS('Feb from 15th July oGT to 25th '!$H:$H,A16)</f>
        <v>1</v>
      </c>
      <c r="J16" s="38">
        <v>0.0</v>
      </c>
      <c r="K16" s="39">
        <f t="shared" si="1"/>
        <v>1</v>
      </c>
      <c r="L16" s="32"/>
    </row>
    <row r="17">
      <c r="A17" s="36" t="str">
        <f>IFERROR(__xludf.DUMMYFUNCTION("""COMPUTED_VALUE"""),"BURSA")</f>
        <v>BURSA</v>
      </c>
      <c r="B17" s="37">
        <f>COUNTIFS('Feb from 15th July IGV to 25th '!$J:$J,A17)</f>
        <v>3</v>
      </c>
      <c r="D17" s="37">
        <v>2.0</v>
      </c>
      <c r="F17" s="37">
        <v>1.0</v>
      </c>
      <c r="H17" s="37">
        <f>COUNTIFS('Feb from 15th July oGT to 25th '!$H:$H,A17)</f>
        <v>0</v>
      </c>
      <c r="J17" s="38">
        <v>0.0</v>
      </c>
      <c r="K17" s="39">
        <f t="shared" si="1"/>
        <v>6</v>
      </c>
      <c r="L17" s="32"/>
    </row>
    <row r="18">
      <c r="A18" s="36" t="str">
        <f>IFERROR(__xludf.DUMMYFUNCTION("""COMPUTED_VALUE"""),"KUTAHYA")</f>
        <v>KUTAHYA</v>
      </c>
      <c r="B18" s="37">
        <f>COUNTIFS('Feb from 15th July IGV to 25th '!$J:$J,A18)</f>
        <v>0</v>
      </c>
      <c r="D18" s="37">
        <f>COUNTIFS('Feb from 15th July IGT to 25th '!$J:$J,A18)</f>
        <v>0</v>
      </c>
      <c r="F18" s="37">
        <f>COUNTIFS('Feb from 15th July oGv to 25th '!$H:$H,A18)</f>
        <v>0</v>
      </c>
      <c r="H18" s="37">
        <f>COUNTIFS('Feb from 15th July oGT to 25th '!$H:$H,A18)</f>
        <v>0</v>
      </c>
      <c r="J18" s="38">
        <v>0.0</v>
      </c>
      <c r="K18" s="39">
        <f t="shared" si="1"/>
        <v>0</v>
      </c>
      <c r="L18" s="32"/>
    </row>
    <row r="19">
      <c r="A19" s="36" t="str">
        <f>IFERROR(__xludf.DUMMYFUNCTION("""COMPUTED_VALUE"""),"ISPARTA")</f>
        <v>ISPARTA</v>
      </c>
      <c r="B19" s="37">
        <v>1.0</v>
      </c>
      <c r="D19" s="37">
        <f>COUNTIFS('Feb from 15th July IGT to 25th '!$J:$J,A19)</f>
        <v>0</v>
      </c>
      <c r="F19" s="37">
        <f>COUNTIFS('Feb from 15th July oGv to 25th '!$H:$H,A19)</f>
        <v>0</v>
      </c>
      <c r="H19" s="37">
        <f>COUNTIFS('Feb from 15th July oGT to 25th '!$H:$H,A19)</f>
        <v>0</v>
      </c>
      <c r="J19" s="38">
        <v>0.0</v>
      </c>
      <c r="K19" s="39">
        <f t="shared" si="1"/>
        <v>1</v>
      </c>
      <c r="L19" s="32"/>
    </row>
    <row r="20">
      <c r="A20" s="36" t="str">
        <f>IFERROR(__xludf.DUMMYFUNCTION("""COMPUTED_VALUE"""),"ADANA")</f>
        <v>ADANA</v>
      </c>
      <c r="B20" s="37">
        <v>12.0</v>
      </c>
      <c r="D20" s="37">
        <f>COUNTIFS('Feb from 15th July IGT to 25th '!$J:$J,A20)</f>
        <v>1</v>
      </c>
      <c r="F20" s="37">
        <v>1.0</v>
      </c>
      <c r="H20" s="37">
        <f>COUNTIFS('Feb from 15th July oGT to 25th '!$H:$H,A20)</f>
        <v>0</v>
      </c>
      <c r="J20" s="38">
        <v>1.0</v>
      </c>
      <c r="K20" s="39">
        <f t="shared" si="1"/>
        <v>13</v>
      </c>
      <c r="L20" s="32"/>
    </row>
    <row r="21">
      <c r="A21" s="36" t="str">
        <f>IFERROR(__xludf.DUMMYFUNCTION("""COMPUTED_VALUE"""),"GAZIANTEP")</f>
        <v>GAZIANTEP</v>
      </c>
      <c r="B21" s="37">
        <v>1.0</v>
      </c>
      <c r="D21" s="37">
        <f>COUNTIFS('Feb from 15th July IGT to 25th '!$J:$J,A21)</f>
        <v>0</v>
      </c>
      <c r="F21" s="37">
        <v>1.0</v>
      </c>
      <c r="H21" s="37">
        <f>COUNTIFS('Feb from 15th July oGT to 25th '!$H:$H,A21)</f>
        <v>1</v>
      </c>
      <c r="J21" s="38">
        <v>0.0</v>
      </c>
      <c r="K21" s="39">
        <f t="shared" si="1"/>
        <v>3</v>
      </c>
      <c r="L21" s="32"/>
    </row>
    <row r="22">
      <c r="A22" s="36" t="str">
        <f>IFERROR(__xludf.DUMMYFUNCTION("""COMPUTED_VALUE"""),"DENIZLI")</f>
        <v>DENIZLI</v>
      </c>
      <c r="B22" s="37">
        <v>3.0</v>
      </c>
      <c r="D22" s="37">
        <f>COUNTIFS('Feb from 15th July IGT to 25th '!$J:$J,A22)</f>
        <v>1</v>
      </c>
      <c r="F22" s="37">
        <v>0.0</v>
      </c>
      <c r="H22" s="37">
        <f>COUNTIFS('Feb from 15th July oGT to 25th '!$H:$H,A22)</f>
        <v>0</v>
      </c>
      <c r="J22" s="38">
        <v>0.0</v>
      </c>
      <c r="K22" s="39">
        <f t="shared" si="1"/>
        <v>4</v>
      </c>
      <c r="L22" s="32"/>
    </row>
    <row r="23" ht="17.25" customHeight="1">
      <c r="A23" s="40" t="str">
        <f>IFERROR(__xludf.DUMMYFUNCTION("""COMPUTED_VALUE"""),"TRABZON")</f>
        <v>TRABZON</v>
      </c>
      <c r="B23" s="37">
        <v>4.0</v>
      </c>
      <c r="D23" s="37">
        <f>COUNTIFS('Feb from 15th July IGT to 25th '!$J:$J,A23)</f>
        <v>0</v>
      </c>
      <c r="F23" s="37">
        <v>1.0</v>
      </c>
      <c r="H23" s="37">
        <f>COUNTIFS('Feb from 15th July oGT to 25th '!$H:$H,A23)</f>
        <v>0</v>
      </c>
      <c r="J23" s="38">
        <v>0.0</v>
      </c>
      <c r="K23" s="39">
        <f t="shared" si="1"/>
        <v>5</v>
      </c>
      <c r="L23" s="32"/>
    </row>
    <row r="24" ht="17.25" customHeight="1">
      <c r="A24" s="41" t="str">
        <f>IFERROR(__xludf.DUMMYFUNCTION("""COMPUTED_VALUE"""),"SAMSUN")</f>
        <v>SAMSUN</v>
      </c>
      <c r="B24" s="37"/>
      <c r="C24" s="37"/>
      <c r="D24" s="37"/>
      <c r="E24" s="37"/>
      <c r="F24" s="37"/>
      <c r="G24" s="37"/>
      <c r="H24" s="37"/>
      <c r="I24" s="37"/>
      <c r="J24" s="38"/>
      <c r="K24" s="39"/>
      <c r="L24" s="39"/>
    </row>
    <row r="25" ht="17.25" customHeight="1">
      <c r="A25" s="41"/>
      <c r="B25" s="37"/>
      <c r="C25" s="37"/>
      <c r="D25" s="37"/>
      <c r="E25" s="37"/>
      <c r="F25" s="37"/>
      <c r="G25" s="37"/>
      <c r="H25" s="37"/>
      <c r="I25" s="37"/>
      <c r="J25" s="38"/>
      <c r="K25" s="39"/>
      <c r="L25" s="39"/>
    </row>
    <row r="26" ht="17.25" customHeight="1">
      <c r="A26" s="41"/>
      <c r="B26" s="37"/>
      <c r="C26" s="37"/>
      <c r="D26" s="37"/>
      <c r="E26" s="37"/>
      <c r="F26" s="37"/>
      <c r="G26" s="37"/>
      <c r="H26" s="37"/>
      <c r="I26" s="37"/>
      <c r="J26" s="38"/>
      <c r="K26" s="39"/>
      <c r="L26" s="39"/>
    </row>
    <row r="27" ht="17.25" customHeight="1">
      <c r="A27" s="41"/>
      <c r="B27" s="37"/>
      <c r="C27" s="37"/>
      <c r="D27" s="37"/>
      <c r="E27" s="37"/>
      <c r="F27" s="37"/>
      <c r="G27" s="37"/>
      <c r="H27" s="37"/>
      <c r="I27" s="37"/>
      <c r="J27" s="38"/>
      <c r="K27" s="39"/>
      <c r="L27" s="39"/>
    </row>
    <row r="28" ht="17.25" customHeight="1">
      <c r="A28" s="41"/>
      <c r="B28" s="37"/>
      <c r="C28" s="37"/>
      <c r="D28" s="37"/>
      <c r="E28" s="37"/>
      <c r="F28" s="37"/>
      <c r="G28" s="37"/>
      <c r="H28" s="37"/>
      <c r="I28" s="37"/>
      <c r="J28" s="38"/>
      <c r="K28" s="39"/>
      <c r="L28" s="39"/>
    </row>
    <row r="29" ht="17.25" customHeight="1">
      <c r="A29" s="41"/>
      <c r="B29" s="37"/>
      <c r="C29" s="37"/>
      <c r="D29" s="37"/>
      <c r="E29" s="37"/>
      <c r="F29" s="37"/>
      <c r="G29" s="37"/>
      <c r="H29" s="37"/>
      <c r="I29" s="37"/>
      <c r="J29" s="38"/>
      <c r="K29" s="39"/>
      <c r="L29" s="39"/>
    </row>
    <row r="30" ht="17.25" customHeight="1">
      <c r="A30" s="41"/>
      <c r="B30" s="37"/>
      <c r="C30" s="37"/>
      <c r="D30" s="37"/>
      <c r="E30" s="37"/>
      <c r="F30" s="37"/>
      <c r="G30" s="37"/>
      <c r="H30" s="37"/>
      <c r="I30" s="37"/>
      <c r="J30" s="38"/>
      <c r="K30" s="39"/>
      <c r="L30" s="39"/>
    </row>
    <row r="31" ht="17.25" customHeight="1">
      <c r="A31" s="41"/>
      <c r="B31" s="37"/>
      <c r="C31" s="37"/>
      <c r="D31" s="37"/>
      <c r="E31" s="37"/>
      <c r="F31" s="37"/>
      <c r="G31" s="37"/>
      <c r="H31" s="37"/>
      <c r="I31" s="37"/>
      <c r="J31" s="38"/>
      <c r="K31" s="39"/>
      <c r="L31" s="39"/>
    </row>
    <row r="32" ht="17.25" customHeight="1">
      <c r="A32" s="41"/>
      <c r="B32" s="37"/>
      <c r="C32" s="37"/>
      <c r="D32" s="37"/>
      <c r="E32" s="37"/>
      <c r="F32" s="37"/>
      <c r="G32" s="37"/>
      <c r="H32" s="37"/>
      <c r="I32" s="37"/>
      <c r="J32" s="38"/>
      <c r="K32" s="39"/>
      <c r="L32" s="39"/>
    </row>
    <row r="33" ht="17.25" customHeight="1">
      <c r="A33" s="41"/>
      <c r="B33" s="37"/>
      <c r="C33" s="37"/>
      <c r="D33" s="37"/>
      <c r="E33" s="37"/>
      <c r="F33" s="37"/>
      <c r="G33" s="37"/>
      <c r="H33" s="37"/>
      <c r="I33" s="37"/>
      <c r="J33" s="38"/>
      <c r="K33" s="39"/>
      <c r="L33" s="39"/>
    </row>
    <row r="34" ht="17.25" customHeight="1">
      <c r="A34" s="41"/>
      <c r="B34" s="37"/>
      <c r="C34" s="37"/>
      <c r="D34" s="37"/>
      <c r="E34" s="37"/>
      <c r="F34" s="37"/>
      <c r="G34" s="37"/>
      <c r="H34" s="37"/>
      <c r="I34" s="37"/>
      <c r="J34" s="38"/>
      <c r="K34" s="39"/>
      <c r="L34" s="39"/>
    </row>
    <row r="35" ht="17.25" customHeight="1">
      <c r="A35" s="41"/>
      <c r="B35" s="37"/>
      <c r="C35" s="37"/>
      <c r="D35" s="37"/>
      <c r="E35" s="37"/>
      <c r="F35" s="37"/>
      <c r="G35" s="37"/>
      <c r="H35" s="37"/>
      <c r="I35" s="37"/>
      <c r="J35" s="38"/>
      <c r="K35" s="39"/>
      <c r="L35" s="39"/>
    </row>
    <row r="36" ht="17.25" customHeight="1">
      <c r="A36" s="41"/>
      <c r="B36" s="37"/>
      <c r="C36" s="37"/>
      <c r="D36" s="37"/>
      <c r="E36" s="37"/>
      <c r="F36" s="37"/>
      <c r="G36" s="37"/>
      <c r="H36" s="37"/>
      <c r="I36" s="37"/>
      <c r="J36" s="38"/>
      <c r="K36" s="39"/>
      <c r="L36" s="39"/>
    </row>
    <row r="37" ht="17.25" customHeight="1">
      <c r="A37" s="41"/>
      <c r="B37" s="37"/>
      <c r="C37" s="37"/>
      <c r="D37" s="37"/>
      <c r="E37" s="37"/>
      <c r="F37" s="37"/>
      <c r="G37" s="37"/>
      <c r="H37" s="37"/>
      <c r="I37" s="37"/>
      <c r="J37" s="38"/>
      <c r="K37" s="39"/>
      <c r="L37" s="39"/>
    </row>
    <row r="38" ht="17.25" customHeight="1">
      <c r="A38" s="41"/>
      <c r="B38" s="37"/>
      <c r="C38" s="37"/>
      <c r="D38" s="37"/>
      <c r="E38" s="37"/>
      <c r="F38" s="37"/>
      <c r="G38" s="37"/>
      <c r="H38" s="37"/>
      <c r="I38" s="37"/>
      <c r="J38" s="38"/>
      <c r="K38" s="39"/>
      <c r="L38" s="39"/>
    </row>
    <row r="39" ht="17.25" customHeight="1">
      <c r="A39" s="41"/>
      <c r="B39" s="37"/>
      <c r="C39" s="37"/>
      <c r="D39" s="37"/>
      <c r="E39" s="37"/>
      <c r="F39" s="37"/>
      <c r="G39" s="37"/>
      <c r="H39" s="37"/>
      <c r="I39" s="37"/>
      <c r="J39" s="38"/>
      <c r="K39" s="39"/>
      <c r="L39" s="39"/>
    </row>
    <row r="40" ht="17.25" customHeight="1">
      <c r="A40" s="41"/>
      <c r="B40" s="37"/>
      <c r="C40" s="37"/>
      <c r="D40" s="37"/>
      <c r="E40" s="37"/>
      <c r="F40" s="37"/>
      <c r="G40" s="37"/>
      <c r="H40" s="37"/>
      <c r="I40" s="37"/>
      <c r="J40" s="38"/>
      <c r="K40" s="39"/>
      <c r="L40" s="39"/>
    </row>
    <row r="41" ht="17.25" customHeight="1">
      <c r="A41" s="41"/>
      <c r="B41" s="37"/>
      <c r="C41" s="37"/>
      <c r="D41" s="37"/>
      <c r="E41" s="37"/>
      <c r="F41" s="37"/>
      <c r="G41" s="37"/>
      <c r="H41" s="37"/>
      <c r="I41" s="37"/>
      <c r="J41" s="38"/>
      <c r="K41" s="39"/>
      <c r="L41" s="39"/>
    </row>
    <row r="42" ht="17.25" customHeight="1">
      <c r="A42" s="41"/>
      <c r="B42" s="37"/>
      <c r="C42" s="37"/>
      <c r="D42" s="37"/>
      <c r="E42" s="37"/>
      <c r="F42" s="37"/>
      <c r="G42" s="37"/>
      <c r="H42" s="37"/>
      <c r="I42" s="37"/>
      <c r="J42" s="38"/>
      <c r="K42" s="39"/>
      <c r="L42" s="39"/>
    </row>
    <row r="43" ht="17.25" customHeight="1">
      <c r="A43" s="41"/>
      <c r="B43" s="37"/>
      <c r="C43" s="37"/>
      <c r="D43" s="37"/>
      <c r="E43" s="37"/>
      <c r="F43" s="37"/>
      <c r="G43" s="37"/>
      <c r="H43" s="37"/>
      <c r="I43" s="37"/>
      <c r="J43" s="38"/>
      <c r="K43" s="39"/>
      <c r="L43" s="39"/>
    </row>
    <row r="44" ht="17.25" customHeight="1">
      <c r="A44" s="41"/>
      <c r="B44" s="37"/>
      <c r="C44" s="37"/>
      <c r="D44" s="37"/>
      <c r="E44" s="37"/>
      <c r="F44" s="37"/>
      <c r="G44" s="37"/>
      <c r="H44" s="37"/>
      <c r="I44" s="37"/>
      <c r="J44" s="38"/>
      <c r="K44" s="39"/>
      <c r="L44" s="39"/>
    </row>
    <row r="45" ht="17.25" customHeight="1">
      <c r="A45" s="41"/>
      <c r="B45" s="37"/>
      <c r="C45" s="37"/>
      <c r="D45" s="37"/>
      <c r="E45" s="37"/>
      <c r="F45" s="37"/>
      <c r="G45" s="37"/>
      <c r="H45" s="37"/>
      <c r="I45" s="37"/>
      <c r="J45" s="38"/>
      <c r="K45" s="39"/>
      <c r="L45" s="39"/>
    </row>
    <row r="46" ht="17.25" customHeight="1">
      <c r="A46" s="41"/>
      <c r="B46" s="37"/>
      <c r="C46" s="37"/>
      <c r="D46" s="37"/>
      <c r="E46" s="37"/>
      <c r="F46" s="37"/>
      <c r="G46" s="37"/>
      <c r="H46" s="37"/>
      <c r="I46" s="37"/>
      <c r="J46" s="38"/>
      <c r="K46" s="39"/>
      <c r="L46" s="39"/>
    </row>
    <row r="47" ht="17.25" customHeight="1">
      <c r="A47" s="41"/>
      <c r="B47" s="37"/>
      <c r="C47" s="37"/>
      <c r="D47" s="37"/>
      <c r="E47" s="37"/>
      <c r="F47" s="37"/>
      <c r="G47" s="37"/>
      <c r="H47" s="37"/>
      <c r="I47" s="37"/>
      <c r="J47" s="38"/>
      <c r="K47" s="39"/>
      <c r="L47" s="39"/>
    </row>
    <row r="48" ht="17.25" customHeight="1">
      <c r="A48" s="41"/>
      <c r="B48" s="37"/>
      <c r="C48" s="37"/>
      <c r="D48" s="37"/>
      <c r="E48" s="37"/>
      <c r="F48" s="37"/>
      <c r="G48" s="37"/>
      <c r="H48" s="37"/>
      <c r="I48" s="37"/>
      <c r="J48" s="38"/>
      <c r="K48" s="39"/>
      <c r="L48" s="39"/>
    </row>
    <row r="49" ht="17.25" customHeight="1">
      <c r="A49" s="41"/>
      <c r="B49" s="37"/>
      <c r="C49" s="37"/>
      <c r="D49" s="37"/>
      <c r="E49" s="37"/>
      <c r="F49" s="37"/>
      <c r="G49" s="37"/>
      <c r="H49" s="37"/>
      <c r="I49" s="37"/>
      <c r="J49" s="38"/>
      <c r="K49" s="39"/>
      <c r="L49" s="39"/>
    </row>
    <row r="50" ht="17.25" customHeight="1">
      <c r="A50" s="41"/>
      <c r="B50" s="37"/>
      <c r="C50" s="37"/>
      <c r="D50" s="37"/>
      <c r="E50" s="37"/>
      <c r="F50" s="37"/>
      <c r="G50" s="37"/>
      <c r="H50" s="37"/>
      <c r="I50" s="37"/>
      <c r="J50" s="38"/>
      <c r="K50" s="39"/>
      <c r="L50" s="39"/>
    </row>
    <row r="51" ht="17.25" customHeight="1">
      <c r="A51" s="41"/>
      <c r="B51" s="37"/>
      <c r="C51" s="37"/>
      <c r="D51" s="37"/>
      <c r="E51" s="37"/>
      <c r="F51" s="37"/>
      <c r="G51" s="37"/>
      <c r="H51" s="37"/>
      <c r="I51" s="37"/>
      <c r="J51" s="38"/>
      <c r="K51" s="39"/>
      <c r="L51" s="39"/>
    </row>
    <row r="52" ht="17.25" customHeight="1">
      <c r="A52" s="41"/>
      <c r="B52" s="37"/>
      <c r="C52" s="37"/>
      <c r="D52" s="37"/>
      <c r="E52" s="37"/>
      <c r="F52" s="37"/>
      <c r="G52" s="37"/>
      <c r="H52" s="37"/>
      <c r="I52" s="37"/>
      <c r="J52" s="38"/>
      <c r="K52" s="39"/>
      <c r="L52" s="39"/>
    </row>
    <row r="53" ht="17.25" customHeight="1">
      <c r="A53" s="41"/>
      <c r="B53" s="37"/>
      <c r="C53" s="37"/>
      <c r="D53" s="37"/>
      <c r="E53" s="37"/>
      <c r="F53" s="37"/>
      <c r="G53" s="37"/>
      <c r="H53" s="37"/>
      <c r="I53" s="37"/>
      <c r="J53" s="38"/>
      <c r="K53" s="39"/>
      <c r="L53" s="39"/>
    </row>
    <row r="54" ht="17.25" customHeight="1">
      <c r="A54" s="41"/>
      <c r="B54" s="37"/>
      <c r="C54" s="37"/>
      <c r="D54" s="37"/>
      <c r="E54" s="37"/>
      <c r="F54" s="37"/>
      <c r="G54" s="37"/>
      <c r="H54" s="37"/>
      <c r="I54" s="37"/>
      <c r="J54" s="38"/>
      <c r="K54" s="39"/>
      <c r="L54" s="39"/>
    </row>
    <row r="55" ht="17.25" customHeight="1">
      <c r="A55" s="41"/>
      <c r="B55" s="37"/>
      <c r="C55" s="37"/>
      <c r="D55" s="37"/>
      <c r="E55" s="37"/>
      <c r="F55" s="37"/>
      <c r="G55" s="37"/>
      <c r="H55" s="37"/>
      <c r="I55" s="37"/>
      <c r="J55" s="38"/>
      <c r="K55" s="39"/>
      <c r="L55" s="39"/>
    </row>
    <row r="56" ht="17.25" customHeight="1">
      <c r="A56" s="41"/>
      <c r="B56" s="37"/>
      <c r="C56" s="37"/>
      <c r="D56" s="37"/>
      <c r="E56" s="37"/>
      <c r="F56" s="37"/>
      <c r="G56" s="37"/>
      <c r="H56" s="37"/>
      <c r="I56" s="37"/>
      <c r="J56" s="38"/>
      <c r="K56" s="39"/>
      <c r="L56" s="39"/>
    </row>
    <row r="57" ht="17.25" customHeight="1">
      <c r="A57" s="41"/>
      <c r="B57" s="37"/>
      <c r="C57" s="37"/>
      <c r="D57" s="37"/>
      <c r="E57" s="37"/>
      <c r="F57" s="37"/>
      <c r="G57" s="37"/>
      <c r="H57" s="37"/>
      <c r="I57" s="37"/>
      <c r="J57" s="38"/>
      <c r="K57" s="39"/>
      <c r="L57" s="39"/>
    </row>
    <row r="58" ht="17.25" customHeight="1">
      <c r="A58" s="41"/>
      <c r="B58" s="37"/>
      <c r="C58" s="37"/>
      <c r="D58" s="37"/>
      <c r="E58" s="37"/>
      <c r="F58" s="37"/>
      <c r="G58" s="37"/>
      <c r="H58" s="37"/>
      <c r="I58" s="37"/>
      <c r="J58" s="38"/>
      <c r="K58" s="39"/>
      <c r="L58" s="39"/>
    </row>
    <row r="59" ht="17.25" customHeight="1">
      <c r="A59" s="41"/>
      <c r="B59" s="37"/>
      <c r="C59" s="37"/>
      <c r="D59" s="37"/>
      <c r="E59" s="37"/>
      <c r="F59" s="37"/>
      <c r="G59" s="37"/>
      <c r="H59" s="37"/>
      <c r="I59" s="37"/>
      <c r="J59" s="38"/>
      <c r="K59" s="39"/>
      <c r="L59" s="39"/>
    </row>
    <row r="60" ht="17.25" customHeight="1">
      <c r="A60" s="41"/>
      <c r="B60" s="37"/>
      <c r="C60" s="37"/>
      <c r="D60" s="37"/>
      <c r="E60" s="37"/>
      <c r="F60" s="37"/>
      <c r="G60" s="37"/>
      <c r="H60" s="37"/>
      <c r="I60" s="37"/>
      <c r="J60" s="38"/>
      <c r="K60" s="39"/>
      <c r="L60" s="39"/>
    </row>
    <row r="61" ht="17.25" customHeight="1">
      <c r="A61" s="41"/>
      <c r="B61" s="37"/>
      <c r="C61" s="37"/>
      <c r="D61" s="37"/>
      <c r="E61" s="37"/>
      <c r="F61" s="37"/>
      <c r="G61" s="37"/>
      <c r="H61" s="37"/>
      <c r="I61" s="37"/>
      <c r="J61" s="38"/>
      <c r="K61" s="39"/>
      <c r="L61" s="39"/>
    </row>
    <row r="62" ht="17.25" customHeight="1">
      <c r="A62" s="41"/>
      <c r="B62" s="37"/>
      <c r="C62" s="37"/>
      <c r="D62" s="37"/>
      <c r="E62" s="37"/>
      <c r="F62" s="37"/>
      <c r="G62" s="37"/>
      <c r="H62" s="37"/>
      <c r="I62" s="37"/>
      <c r="J62" s="38"/>
      <c r="K62" s="39"/>
      <c r="L62" s="39"/>
    </row>
    <row r="63" ht="17.25" customHeight="1">
      <c r="A63" s="41"/>
      <c r="B63" s="37"/>
      <c r="C63" s="37"/>
      <c r="D63" s="37"/>
      <c r="E63" s="37"/>
      <c r="F63" s="37"/>
      <c r="G63" s="37"/>
      <c r="H63" s="37"/>
      <c r="I63" s="37"/>
      <c r="J63" s="38"/>
      <c r="K63" s="39"/>
      <c r="L63" s="39"/>
    </row>
    <row r="64" ht="17.25" customHeight="1">
      <c r="A64" s="41"/>
      <c r="B64" s="37"/>
      <c r="C64" s="37"/>
      <c r="D64" s="37"/>
      <c r="E64" s="37"/>
      <c r="F64" s="37"/>
      <c r="G64" s="37"/>
      <c r="H64" s="37"/>
      <c r="I64" s="37"/>
      <c r="J64" s="38"/>
      <c r="K64" s="39"/>
      <c r="L64" s="39"/>
    </row>
    <row r="65" ht="17.25" customHeight="1">
      <c r="A65" s="41"/>
      <c r="B65" s="37"/>
      <c r="C65" s="37"/>
      <c r="D65" s="37"/>
      <c r="E65" s="37"/>
      <c r="F65" s="37"/>
      <c r="G65" s="37"/>
      <c r="H65" s="37"/>
      <c r="I65" s="37"/>
      <c r="J65" s="38"/>
      <c r="K65" s="39"/>
      <c r="L65" s="39"/>
    </row>
    <row r="66" ht="17.25" customHeight="1">
      <c r="A66" s="41"/>
      <c r="B66" s="37"/>
      <c r="C66" s="37"/>
      <c r="D66" s="37"/>
      <c r="E66" s="37"/>
      <c r="F66" s="37"/>
      <c r="G66" s="37"/>
      <c r="H66" s="37"/>
      <c r="I66" s="37"/>
      <c r="J66" s="38"/>
      <c r="K66" s="39"/>
      <c r="L66" s="39"/>
    </row>
    <row r="67" ht="17.25" customHeight="1">
      <c r="A67" s="41"/>
      <c r="B67" s="37"/>
      <c r="C67" s="37"/>
      <c r="D67" s="37"/>
      <c r="E67" s="37"/>
      <c r="F67" s="37"/>
      <c r="G67" s="37"/>
      <c r="H67" s="37"/>
      <c r="I67" s="37"/>
      <c r="J67" s="38"/>
      <c r="K67" s="39"/>
      <c r="L67" s="39"/>
    </row>
    <row r="68" ht="17.25" customHeight="1">
      <c r="A68" s="41"/>
      <c r="B68" s="37"/>
      <c r="C68" s="37"/>
      <c r="D68" s="37"/>
      <c r="E68" s="37"/>
      <c r="F68" s="37"/>
      <c r="G68" s="37"/>
      <c r="H68" s="37"/>
      <c r="I68" s="37"/>
      <c r="J68" s="38"/>
      <c r="K68" s="39"/>
      <c r="L68" s="39"/>
    </row>
    <row r="69" ht="17.25" customHeight="1">
      <c r="A69" s="41"/>
      <c r="B69" s="37"/>
      <c r="C69" s="37"/>
      <c r="D69" s="37"/>
      <c r="E69" s="37"/>
      <c r="F69" s="37"/>
      <c r="G69" s="37"/>
      <c r="H69" s="37"/>
      <c r="I69" s="37"/>
      <c r="J69" s="38"/>
      <c r="K69" s="39"/>
      <c r="L69" s="39"/>
    </row>
    <row r="70" ht="17.25" customHeight="1">
      <c r="A70" s="41"/>
      <c r="B70" s="37"/>
      <c r="C70" s="37"/>
      <c r="D70" s="37"/>
      <c r="E70" s="37"/>
      <c r="F70" s="37"/>
      <c r="G70" s="37"/>
      <c r="H70" s="37"/>
      <c r="I70" s="37"/>
      <c r="J70" s="38"/>
      <c r="K70" s="39"/>
      <c r="L70" s="39"/>
    </row>
    <row r="71" ht="17.25" customHeight="1">
      <c r="A71" s="41"/>
      <c r="B71" s="37"/>
      <c r="C71" s="37"/>
      <c r="D71" s="37"/>
      <c r="E71" s="37"/>
      <c r="F71" s="37"/>
      <c r="G71" s="37"/>
      <c r="H71" s="37"/>
      <c r="I71" s="37"/>
      <c r="J71" s="38"/>
      <c r="K71" s="39"/>
      <c r="L71" s="39"/>
    </row>
    <row r="72" ht="17.25" customHeight="1">
      <c r="A72" s="41"/>
      <c r="B72" s="37"/>
      <c r="C72" s="37"/>
      <c r="D72" s="37"/>
      <c r="E72" s="37"/>
      <c r="F72" s="37"/>
      <c r="G72" s="37"/>
      <c r="H72" s="37"/>
      <c r="I72" s="37"/>
      <c r="J72" s="38"/>
      <c r="K72" s="39"/>
      <c r="L72" s="39"/>
    </row>
    <row r="73" ht="17.25" customHeight="1">
      <c r="A73" s="41"/>
      <c r="B73" s="37"/>
      <c r="C73" s="37"/>
      <c r="D73" s="37"/>
      <c r="E73" s="37"/>
      <c r="F73" s="37"/>
      <c r="G73" s="37"/>
      <c r="H73" s="37"/>
      <c r="I73" s="37"/>
      <c r="J73" s="38"/>
      <c r="K73" s="39"/>
      <c r="L73" s="39"/>
    </row>
    <row r="74" ht="17.25" customHeight="1">
      <c r="A74" s="41"/>
      <c r="B74" s="37"/>
      <c r="C74" s="37"/>
      <c r="D74" s="37"/>
      <c r="E74" s="37"/>
      <c r="F74" s="37"/>
      <c r="G74" s="37"/>
      <c r="H74" s="37"/>
      <c r="I74" s="37"/>
      <c r="J74" s="38"/>
      <c r="K74" s="39"/>
      <c r="L74" s="39"/>
    </row>
    <row r="75" ht="17.25" customHeight="1">
      <c r="A75" s="41"/>
      <c r="B75" s="37"/>
      <c r="C75" s="37"/>
      <c r="D75" s="37"/>
      <c r="E75" s="37"/>
      <c r="F75" s="37"/>
      <c r="G75" s="37"/>
      <c r="H75" s="37"/>
      <c r="I75" s="37"/>
      <c r="J75" s="38"/>
      <c r="K75" s="39"/>
      <c r="L75" s="39"/>
    </row>
    <row r="76" ht="17.25" customHeight="1">
      <c r="A76" s="41"/>
      <c r="B76" s="37"/>
      <c r="C76" s="37"/>
      <c r="D76" s="37"/>
      <c r="E76" s="37"/>
      <c r="F76" s="37"/>
      <c r="G76" s="37"/>
      <c r="H76" s="37"/>
      <c r="I76" s="37"/>
      <c r="J76" s="38"/>
      <c r="K76" s="39"/>
      <c r="L76" s="39"/>
    </row>
    <row r="77" ht="17.25" customHeight="1">
      <c r="A77" s="41"/>
      <c r="B77" s="37"/>
      <c r="C77" s="37"/>
      <c r="D77" s="37"/>
      <c r="E77" s="37"/>
      <c r="F77" s="37"/>
      <c r="G77" s="37"/>
      <c r="H77" s="37"/>
      <c r="I77" s="37"/>
      <c r="J77" s="38"/>
      <c r="K77" s="39"/>
      <c r="L77" s="39"/>
    </row>
    <row r="78" ht="17.25" customHeight="1">
      <c r="A78" s="41"/>
      <c r="B78" s="37"/>
      <c r="C78" s="37"/>
      <c r="D78" s="37"/>
      <c r="E78" s="37"/>
      <c r="F78" s="37"/>
      <c r="G78" s="37"/>
      <c r="H78" s="37"/>
      <c r="I78" s="37"/>
      <c r="J78" s="38"/>
      <c r="K78" s="39"/>
      <c r="L78" s="39"/>
    </row>
    <row r="79" ht="17.25" customHeight="1">
      <c r="A79" s="41"/>
      <c r="B79" s="37"/>
      <c r="C79" s="37"/>
      <c r="D79" s="37"/>
      <c r="E79" s="37"/>
      <c r="F79" s="37"/>
      <c r="G79" s="37"/>
      <c r="H79" s="37"/>
      <c r="I79" s="37"/>
      <c r="J79" s="38"/>
      <c r="K79" s="39"/>
      <c r="L79" s="39"/>
    </row>
    <row r="80" ht="17.25" customHeight="1">
      <c r="A80" s="41"/>
      <c r="B80" s="37"/>
      <c r="C80" s="37"/>
      <c r="D80" s="37"/>
      <c r="E80" s="37"/>
      <c r="F80" s="37"/>
      <c r="G80" s="37"/>
      <c r="H80" s="37"/>
      <c r="I80" s="37"/>
      <c r="J80" s="38"/>
      <c r="K80" s="39"/>
      <c r="L80" s="39"/>
    </row>
    <row r="81" ht="17.25" customHeight="1">
      <c r="A81" s="41"/>
      <c r="B81" s="37"/>
      <c r="C81" s="37"/>
      <c r="D81" s="37"/>
      <c r="E81" s="37"/>
      <c r="F81" s="37"/>
      <c r="G81" s="37"/>
      <c r="H81" s="37"/>
      <c r="I81" s="37"/>
      <c r="J81" s="38"/>
      <c r="K81" s="39"/>
      <c r="L81" s="39"/>
    </row>
    <row r="82" ht="17.25" customHeight="1">
      <c r="A82" s="41"/>
      <c r="B82" s="37"/>
      <c r="C82" s="37"/>
      <c r="D82" s="37"/>
      <c r="E82" s="37"/>
      <c r="F82" s="37"/>
      <c r="G82" s="37"/>
      <c r="H82" s="37"/>
      <c r="I82" s="37"/>
      <c r="J82" s="38"/>
      <c r="K82" s="39"/>
      <c r="L82" s="39"/>
    </row>
    <row r="83" ht="17.25" customHeight="1">
      <c r="A83" s="41"/>
      <c r="B83" s="37"/>
      <c r="C83" s="37"/>
      <c r="D83" s="37"/>
      <c r="E83" s="37"/>
      <c r="F83" s="37"/>
      <c r="G83" s="37"/>
      <c r="H83" s="37"/>
      <c r="I83" s="37"/>
      <c r="J83" s="38"/>
      <c r="K83" s="39"/>
      <c r="L83" s="39"/>
    </row>
    <row r="84" ht="17.25" customHeight="1">
      <c r="A84" s="41"/>
      <c r="B84" s="37"/>
      <c r="C84" s="37"/>
      <c r="D84" s="37"/>
      <c r="E84" s="37"/>
      <c r="F84" s="37"/>
      <c r="G84" s="37"/>
      <c r="H84" s="37"/>
      <c r="I84" s="37"/>
      <c r="J84" s="38"/>
      <c r="K84" s="39"/>
      <c r="L84" s="39"/>
    </row>
    <row r="85" ht="17.25" customHeight="1">
      <c r="A85" s="41"/>
      <c r="B85" s="37"/>
      <c r="C85" s="37"/>
      <c r="D85" s="37"/>
      <c r="E85" s="37"/>
      <c r="F85" s="37"/>
      <c r="G85" s="37"/>
      <c r="H85" s="37"/>
      <c r="I85" s="37"/>
      <c r="J85" s="38"/>
      <c r="K85" s="39"/>
      <c r="L85" s="39"/>
    </row>
    <row r="86" ht="17.25" customHeight="1">
      <c r="A86" s="41"/>
      <c r="B86" s="37"/>
      <c r="C86" s="37"/>
      <c r="D86" s="37"/>
      <c r="E86" s="37"/>
      <c r="F86" s="37"/>
      <c r="G86" s="37"/>
      <c r="H86" s="37"/>
      <c r="I86" s="37"/>
      <c r="J86" s="38"/>
      <c r="K86" s="39"/>
      <c r="L86" s="39"/>
    </row>
    <row r="87" ht="17.25" customHeight="1">
      <c r="A87" s="41"/>
      <c r="B87" s="37"/>
      <c r="C87" s="37"/>
      <c r="D87" s="37"/>
      <c r="E87" s="37"/>
      <c r="F87" s="37"/>
      <c r="G87" s="37"/>
      <c r="H87" s="37"/>
      <c r="I87" s="37"/>
      <c r="J87" s="38"/>
      <c r="K87" s="39"/>
      <c r="L87" s="39"/>
    </row>
    <row r="88" ht="17.25" customHeight="1">
      <c r="A88" s="41"/>
      <c r="B88" s="37"/>
      <c r="C88" s="37"/>
      <c r="D88" s="37"/>
      <c r="E88" s="37"/>
      <c r="F88" s="37"/>
      <c r="G88" s="37"/>
      <c r="H88" s="37"/>
      <c r="I88" s="37"/>
      <c r="J88" s="38"/>
      <c r="K88" s="39"/>
      <c r="L88" s="39"/>
    </row>
    <row r="89" ht="17.25" customHeight="1">
      <c r="A89" s="41"/>
      <c r="B89" s="37"/>
      <c r="C89" s="37"/>
      <c r="D89" s="37"/>
      <c r="E89" s="37"/>
      <c r="F89" s="37"/>
      <c r="G89" s="37"/>
      <c r="H89" s="37"/>
      <c r="I89" s="37"/>
      <c r="J89" s="38"/>
      <c r="K89" s="39"/>
      <c r="L89" s="39"/>
    </row>
    <row r="90" ht="17.25" customHeight="1">
      <c r="A90" s="41"/>
      <c r="B90" s="37"/>
      <c r="C90" s="37"/>
      <c r="D90" s="37"/>
      <c r="E90" s="37"/>
      <c r="F90" s="37"/>
      <c r="G90" s="37"/>
      <c r="H90" s="37"/>
      <c r="I90" s="37"/>
      <c r="J90" s="38"/>
      <c r="K90" s="39"/>
      <c r="L90" s="39"/>
    </row>
    <row r="91" ht="17.25" customHeight="1">
      <c r="A91" s="41"/>
      <c r="B91" s="37"/>
      <c r="C91" s="37"/>
      <c r="D91" s="37"/>
      <c r="E91" s="37"/>
      <c r="F91" s="37"/>
      <c r="G91" s="37"/>
      <c r="H91" s="37"/>
      <c r="I91" s="37"/>
      <c r="J91" s="38"/>
      <c r="K91" s="39"/>
      <c r="L91" s="39"/>
    </row>
    <row r="92" ht="17.25" customHeight="1">
      <c r="A92" s="41"/>
      <c r="B92" s="37"/>
      <c r="C92" s="37"/>
      <c r="D92" s="37"/>
      <c r="E92" s="37"/>
      <c r="F92" s="37"/>
      <c r="G92" s="37"/>
      <c r="H92" s="37"/>
      <c r="I92" s="37"/>
      <c r="J92" s="38"/>
      <c r="K92" s="39"/>
      <c r="L92" s="39"/>
    </row>
    <row r="93" ht="17.25" customHeight="1">
      <c r="A93" s="41"/>
      <c r="B93" s="37"/>
      <c r="C93" s="37"/>
      <c r="D93" s="37"/>
      <c r="E93" s="37"/>
      <c r="F93" s="37"/>
      <c r="G93" s="37"/>
      <c r="H93" s="37"/>
      <c r="I93" s="37"/>
      <c r="J93" s="38"/>
      <c r="K93" s="39"/>
      <c r="L93" s="39"/>
    </row>
    <row r="94" ht="17.25" customHeight="1">
      <c r="A94" s="41"/>
      <c r="B94" s="37"/>
      <c r="C94" s="37"/>
      <c r="D94" s="37"/>
      <c r="E94" s="37"/>
      <c r="F94" s="37"/>
      <c r="G94" s="37"/>
      <c r="H94" s="37"/>
      <c r="I94" s="37"/>
      <c r="J94" s="38"/>
      <c r="K94" s="39"/>
      <c r="L94" s="39"/>
    </row>
    <row r="95" ht="17.25" customHeight="1">
      <c r="A95" s="41"/>
      <c r="B95" s="37"/>
      <c r="C95" s="37"/>
      <c r="D95" s="37"/>
      <c r="E95" s="37"/>
      <c r="F95" s="37"/>
      <c r="G95" s="37"/>
      <c r="H95" s="37"/>
      <c r="I95" s="37"/>
      <c r="J95" s="38"/>
      <c r="K95" s="39"/>
      <c r="L95" s="39"/>
    </row>
    <row r="96" ht="17.25" customHeight="1">
      <c r="A96" s="41"/>
      <c r="B96" s="37"/>
      <c r="C96" s="37"/>
      <c r="D96" s="37"/>
      <c r="E96" s="37"/>
      <c r="F96" s="37"/>
      <c r="G96" s="37"/>
      <c r="H96" s="37"/>
      <c r="I96" s="37"/>
      <c r="J96" s="38"/>
      <c r="K96" s="39"/>
      <c r="L96" s="39"/>
    </row>
    <row r="97" ht="17.25" customHeight="1">
      <c r="A97" s="41"/>
      <c r="B97" s="37"/>
      <c r="C97" s="37"/>
      <c r="D97" s="37"/>
      <c r="E97" s="37"/>
      <c r="F97" s="37"/>
      <c r="G97" s="37"/>
      <c r="H97" s="37"/>
      <c r="I97" s="37"/>
      <c r="J97" s="38"/>
      <c r="K97" s="39"/>
      <c r="L97" s="39"/>
    </row>
    <row r="98" ht="17.25" customHeight="1">
      <c r="A98" s="41"/>
      <c r="B98" s="37"/>
      <c r="C98" s="37"/>
      <c r="D98" s="37"/>
      <c r="E98" s="37"/>
      <c r="F98" s="37"/>
      <c r="G98" s="37"/>
      <c r="H98" s="37"/>
      <c r="I98" s="37"/>
      <c r="J98" s="38"/>
      <c r="K98" s="39"/>
      <c r="L98" s="39"/>
    </row>
    <row r="99" ht="17.25" customHeight="1">
      <c r="A99" s="41"/>
      <c r="B99" s="37"/>
      <c r="C99" s="37"/>
      <c r="D99" s="37"/>
      <c r="E99" s="37"/>
      <c r="F99" s="37"/>
      <c r="G99" s="37"/>
      <c r="H99" s="37"/>
      <c r="I99" s="37"/>
      <c r="J99" s="38"/>
      <c r="K99" s="39"/>
      <c r="L99" s="39"/>
    </row>
    <row r="100" ht="17.25" customHeight="1">
      <c r="A100" s="41"/>
      <c r="B100" s="37"/>
      <c r="C100" s="37"/>
      <c r="D100" s="37"/>
      <c r="E100" s="37"/>
      <c r="F100" s="37"/>
      <c r="G100" s="37"/>
      <c r="H100" s="37"/>
      <c r="I100" s="37"/>
      <c r="J100" s="38"/>
      <c r="K100" s="39"/>
      <c r="L100" s="39"/>
    </row>
    <row r="101" ht="17.25" customHeight="1">
      <c r="A101" s="41"/>
      <c r="B101" s="37"/>
      <c r="C101" s="37"/>
      <c r="D101" s="37"/>
      <c r="E101" s="37"/>
      <c r="F101" s="37"/>
      <c r="G101" s="37"/>
      <c r="H101" s="37"/>
      <c r="I101" s="37"/>
      <c r="J101" s="38"/>
      <c r="K101" s="39"/>
      <c r="L101" s="39"/>
    </row>
    <row r="102" ht="17.25" customHeight="1">
      <c r="A102" s="41"/>
      <c r="B102" s="37"/>
      <c r="C102" s="37"/>
      <c r="D102" s="37"/>
      <c r="E102" s="37"/>
      <c r="F102" s="37"/>
      <c r="G102" s="37"/>
      <c r="H102" s="37"/>
      <c r="I102" s="37"/>
      <c r="J102" s="38"/>
      <c r="K102" s="39"/>
      <c r="L102" s="39"/>
    </row>
    <row r="103" ht="17.25" customHeight="1">
      <c r="A103" s="41"/>
      <c r="B103" s="37"/>
      <c r="C103" s="37"/>
      <c r="D103" s="37"/>
      <c r="E103" s="37"/>
      <c r="F103" s="37"/>
      <c r="G103" s="37"/>
      <c r="H103" s="37"/>
      <c r="I103" s="37"/>
      <c r="J103" s="38"/>
      <c r="K103" s="39"/>
      <c r="L103" s="39"/>
    </row>
    <row r="104" ht="17.25" customHeight="1">
      <c r="A104" s="41"/>
      <c r="B104" s="37"/>
      <c r="C104" s="37"/>
      <c r="D104" s="37"/>
      <c r="E104" s="37"/>
      <c r="F104" s="37"/>
      <c r="G104" s="37"/>
      <c r="H104" s="37"/>
      <c r="I104" s="37"/>
      <c r="J104" s="38"/>
      <c r="K104" s="39"/>
      <c r="L104" s="39"/>
    </row>
    <row r="105" ht="17.25" customHeight="1">
      <c r="A105" s="41"/>
      <c r="B105" s="37"/>
      <c r="C105" s="37"/>
      <c r="D105" s="37"/>
      <c r="E105" s="37"/>
      <c r="F105" s="37"/>
      <c r="G105" s="37"/>
      <c r="H105" s="37"/>
      <c r="I105" s="37"/>
      <c r="J105" s="38"/>
      <c r="K105" s="39"/>
      <c r="L105" s="39"/>
    </row>
    <row r="106" ht="17.25" customHeight="1">
      <c r="A106" s="41"/>
      <c r="B106" s="37"/>
      <c r="C106" s="37"/>
      <c r="D106" s="37"/>
      <c r="E106" s="37"/>
      <c r="F106" s="37"/>
      <c r="G106" s="37"/>
      <c r="H106" s="37"/>
      <c r="I106" s="37"/>
      <c r="J106" s="38"/>
      <c r="K106" s="39"/>
      <c r="L106" s="39"/>
    </row>
    <row r="107" ht="17.25" customHeight="1">
      <c r="A107" s="41"/>
      <c r="B107" s="37"/>
      <c r="C107" s="37"/>
      <c r="D107" s="37"/>
      <c r="E107" s="37"/>
      <c r="F107" s="37"/>
      <c r="G107" s="37"/>
      <c r="H107" s="37"/>
      <c r="I107" s="37"/>
      <c r="J107" s="38"/>
      <c r="K107" s="39"/>
      <c r="L107" s="39"/>
    </row>
    <row r="108" ht="17.25" customHeight="1">
      <c r="A108" s="41"/>
      <c r="B108" s="37"/>
      <c r="C108" s="37"/>
      <c r="D108" s="37"/>
      <c r="E108" s="37"/>
      <c r="F108" s="37"/>
      <c r="G108" s="37"/>
      <c r="H108" s="37"/>
      <c r="I108" s="37"/>
      <c r="J108" s="38"/>
      <c r="K108" s="39"/>
      <c r="L108" s="39"/>
    </row>
    <row r="109" ht="17.25" customHeight="1">
      <c r="A109" s="41"/>
      <c r="B109" s="37"/>
      <c r="C109" s="37"/>
      <c r="D109" s="37"/>
      <c r="E109" s="37"/>
      <c r="F109" s="37"/>
      <c r="G109" s="37"/>
      <c r="H109" s="37"/>
      <c r="I109" s="37"/>
      <c r="J109" s="38"/>
      <c r="K109" s="39"/>
      <c r="L109" s="39"/>
    </row>
    <row r="110" ht="17.25" customHeight="1">
      <c r="A110" s="41"/>
      <c r="B110" s="37"/>
      <c r="C110" s="37"/>
      <c r="D110" s="37"/>
      <c r="E110" s="37"/>
      <c r="F110" s="37"/>
      <c r="G110" s="37"/>
      <c r="H110" s="37"/>
      <c r="I110" s="37"/>
      <c r="J110" s="38"/>
      <c r="K110" s="39"/>
      <c r="L110" s="39"/>
    </row>
    <row r="111" ht="17.25" customHeight="1">
      <c r="A111" s="41"/>
      <c r="B111" s="37"/>
      <c r="C111" s="37"/>
      <c r="D111" s="37"/>
      <c r="E111" s="37"/>
      <c r="F111" s="37"/>
      <c r="G111" s="37"/>
      <c r="H111" s="37"/>
      <c r="I111" s="37"/>
      <c r="J111" s="38"/>
      <c r="K111" s="39"/>
      <c r="L111" s="39"/>
    </row>
    <row r="112" ht="17.25" customHeight="1">
      <c r="A112" s="41"/>
      <c r="B112" s="37"/>
      <c r="C112" s="37"/>
      <c r="D112" s="37"/>
      <c r="E112" s="37"/>
      <c r="F112" s="37"/>
      <c r="G112" s="37"/>
      <c r="H112" s="37"/>
      <c r="I112" s="37"/>
      <c r="J112" s="38"/>
      <c r="K112" s="39"/>
      <c r="L112" s="39"/>
    </row>
    <row r="113" ht="17.25" customHeight="1">
      <c r="A113" s="41"/>
      <c r="B113" s="37"/>
      <c r="C113" s="37"/>
      <c r="D113" s="37"/>
      <c r="E113" s="37"/>
      <c r="F113" s="37"/>
      <c r="G113" s="37"/>
      <c r="H113" s="37"/>
      <c r="I113" s="37"/>
      <c r="J113" s="38"/>
      <c r="K113" s="39"/>
      <c r="L113" s="39"/>
    </row>
    <row r="114" ht="17.25" customHeight="1">
      <c r="A114" s="41"/>
      <c r="B114" s="37"/>
      <c r="C114" s="37"/>
      <c r="D114" s="37"/>
      <c r="E114" s="37"/>
      <c r="F114" s="37"/>
      <c r="G114" s="37"/>
      <c r="H114" s="37"/>
      <c r="I114" s="37"/>
      <c r="J114" s="38"/>
      <c r="K114" s="39"/>
      <c r="L114" s="39"/>
    </row>
    <row r="115" ht="17.25" customHeight="1">
      <c r="A115" s="41"/>
      <c r="B115" s="37"/>
      <c r="C115" s="37"/>
      <c r="D115" s="37"/>
      <c r="E115" s="37"/>
      <c r="F115" s="37"/>
      <c r="G115" s="37"/>
      <c r="H115" s="37"/>
      <c r="I115" s="37"/>
      <c r="J115" s="38"/>
      <c r="K115" s="39"/>
      <c r="L115" s="39"/>
    </row>
    <row r="116" ht="17.25" customHeight="1">
      <c r="A116" s="41"/>
      <c r="B116" s="37"/>
      <c r="C116" s="37"/>
      <c r="D116" s="37"/>
      <c r="E116" s="37"/>
      <c r="F116" s="37"/>
      <c r="G116" s="37"/>
      <c r="H116" s="37"/>
      <c r="I116" s="37"/>
      <c r="J116" s="38"/>
      <c r="K116" s="39"/>
      <c r="L116" s="39"/>
    </row>
    <row r="117" ht="17.25" customHeight="1">
      <c r="A117" s="41"/>
      <c r="B117" s="37"/>
      <c r="C117" s="37"/>
      <c r="D117" s="37"/>
      <c r="E117" s="37"/>
      <c r="F117" s="37"/>
      <c r="G117" s="37"/>
      <c r="H117" s="37"/>
      <c r="I117" s="37"/>
      <c r="J117" s="38"/>
      <c r="K117" s="39"/>
      <c r="L117" s="39"/>
    </row>
    <row r="118" ht="17.25" customHeight="1">
      <c r="A118" s="41"/>
      <c r="B118" s="37"/>
      <c r="C118" s="37"/>
      <c r="D118" s="37"/>
      <c r="E118" s="37"/>
      <c r="F118" s="37"/>
      <c r="G118" s="37"/>
      <c r="H118" s="37"/>
      <c r="I118" s="37"/>
      <c r="J118" s="38"/>
      <c r="K118" s="39"/>
      <c r="L118" s="39"/>
    </row>
    <row r="119" ht="17.25" customHeight="1">
      <c r="A119" s="41"/>
      <c r="B119" s="37"/>
      <c r="C119" s="37"/>
      <c r="D119" s="37"/>
      <c r="E119" s="37"/>
      <c r="F119" s="37"/>
      <c r="G119" s="37"/>
      <c r="H119" s="37"/>
      <c r="I119" s="37"/>
      <c r="J119" s="38"/>
      <c r="K119" s="39"/>
      <c r="L119" s="39"/>
    </row>
    <row r="120" ht="17.25" customHeight="1">
      <c r="A120" s="41"/>
      <c r="B120" s="37"/>
      <c r="C120" s="37"/>
      <c r="D120" s="37"/>
      <c r="E120" s="37"/>
      <c r="F120" s="37"/>
      <c r="G120" s="37"/>
      <c r="H120" s="37"/>
      <c r="I120" s="37"/>
      <c r="J120" s="38"/>
      <c r="K120" s="39"/>
      <c r="L120" s="39"/>
    </row>
    <row r="121" ht="17.25" customHeight="1">
      <c r="A121" s="41"/>
      <c r="B121" s="37"/>
      <c r="C121" s="37"/>
      <c r="D121" s="37"/>
      <c r="E121" s="37"/>
      <c r="F121" s="37"/>
      <c r="G121" s="37"/>
      <c r="H121" s="37"/>
      <c r="I121" s="37"/>
      <c r="J121" s="38"/>
      <c r="K121" s="39"/>
      <c r="L121" s="39"/>
    </row>
    <row r="122" ht="17.25" customHeight="1">
      <c r="A122" s="41"/>
      <c r="B122" s="37"/>
      <c r="C122" s="37"/>
      <c r="D122" s="37"/>
      <c r="E122" s="37"/>
      <c r="F122" s="37"/>
      <c r="G122" s="37"/>
      <c r="H122" s="37"/>
      <c r="I122" s="37"/>
      <c r="J122" s="38"/>
      <c r="K122" s="39"/>
      <c r="L122" s="39"/>
    </row>
    <row r="123" ht="17.25" customHeight="1">
      <c r="A123" s="41"/>
      <c r="B123" s="37"/>
      <c r="C123" s="37"/>
      <c r="D123" s="37"/>
      <c r="E123" s="37"/>
      <c r="F123" s="37"/>
      <c r="G123" s="37"/>
      <c r="H123" s="37"/>
      <c r="I123" s="37"/>
      <c r="J123" s="38"/>
      <c r="K123" s="39"/>
      <c r="L123" s="39"/>
    </row>
    <row r="124" ht="17.25" customHeight="1">
      <c r="A124" s="41"/>
      <c r="B124" s="37"/>
      <c r="C124" s="37"/>
      <c r="D124" s="37"/>
      <c r="E124" s="37"/>
      <c r="F124" s="37"/>
      <c r="G124" s="37"/>
      <c r="H124" s="37"/>
      <c r="I124" s="37"/>
      <c r="J124" s="38"/>
      <c r="K124" s="39"/>
      <c r="L124" s="39"/>
    </row>
    <row r="125" ht="17.25" customHeight="1">
      <c r="A125" s="41"/>
      <c r="B125" s="37"/>
      <c r="C125" s="37"/>
      <c r="D125" s="37"/>
      <c r="E125" s="37"/>
      <c r="F125" s="37"/>
      <c r="G125" s="37"/>
      <c r="H125" s="37"/>
      <c r="I125" s="37"/>
      <c r="J125" s="38"/>
      <c r="K125" s="39"/>
      <c r="L125" s="39"/>
    </row>
    <row r="126" ht="17.25" customHeight="1">
      <c r="A126" s="41"/>
      <c r="B126" s="37"/>
      <c r="C126" s="37"/>
      <c r="D126" s="37"/>
      <c r="E126" s="37"/>
      <c r="F126" s="37"/>
      <c r="G126" s="37"/>
      <c r="H126" s="37"/>
      <c r="I126" s="37"/>
      <c r="J126" s="38"/>
      <c r="K126" s="39"/>
      <c r="L126" s="39"/>
    </row>
    <row r="127" ht="17.25" customHeight="1">
      <c r="A127" s="41"/>
      <c r="B127" s="37"/>
      <c r="C127" s="37"/>
      <c r="D127" s="37"/>
      <c r="E127" s="37"/>
      <c r="F127" s="37"/>
      <c r="G127" s="37"/>
      <c r="H127" s="37"/>
      <c r="I127" s="37"/>
      <c r="J127" s="38"/>
      <c r="K127" s="39"/>
      <c r="L127" s="39"/>
    </row>
    <row r="128" ht="17.25" customHeight="1">
      <c r="A128" s="41"/>
      <c r="B128" s="37"/>
      <c r="C128" s="37"/>
      <c r="D128" s="37"/>
      <c r="E128" s="37"/>
      <c r="F128" s="37"/>
      <c r="G128" s="37"/>
      <c r="H128" s="37"/>
      <c r="I128" s="37"/>
      <c r="J128" s="38"/>
      <c r="K128" s="39"/>
      <c r="L128" s="39"/>
    </row>
    <row r="129" ht="17.25" customHeight="1">
      <c r="A129" s="41"/>
      <c r="B129" s="37"/>
      <c r="C129" s="37"/>
      <c r="D129" s="37"/>
      <c r="E129" s="37"/>
      <c r="F129" s="37"/>
      <c r="G129" s="37"/>
      <c r="H129" s="37"/>
      <c r="I129" s="37"/>
      <c r="J129" s="38"/>
      <c r="K129" s="39"/>
      <c r="L129" s="39"/>
    </row>
    <row r="130" ht="17.25" customHeight="1">
      <c r="A130" s="41"/>
      <c r="B130" s="37"/>
      <c r="C130" s="37"/>
      <c r="D130" s="37"/>
      <c r="E130" s="37"/>
      <c r="F130" s="37"/>
      <c r="G130" s="37"/>
      <c r="H130" s="37"/>
      <c r="I130" s="37"/>
      <c r="J130" s="38"/>
      <c r="K130" s="39"/>
      <c r="L130" s="39"/>
    </row>
    <row r="131" ht="17.25" customHeight="1">
      <c r="A131" s="41"/>
      <c r="B131" s="37"/>
      <c r="C131" s="37"/>
      <c r="D131" s="37"/>
      <c r="E131" s="37"/>
      <c r="F131" s="37"/>
      <c r="G131" s="37"/>
      <c r="H131" s="37"/>
      <c r="I131" s="37"/>
      <c r="J131" s="38"/>
      <c r="K131" s="39"/>
      <c r="L131" s="39"/>
    </row>
    <row r="132" ht="17.25" customHeight="1">
      <c r="A132" s="41"/>
      <c r="B132" s="37"/>
      <c r="C132" s="37"/>
      <c r="D132" s="37"/>
      <c r="E132" s="37"/>
      <c r="F132" s="37"/>
      <c r="G132" s="37"/>
      <c r="H132" s="37"/>
      <c r="I132" s="37"/>
      <c r="J132" s="38"/>
      <c r="K132" s="39"/>
      <c r="L132" s="39"/>
    </row>
    <row r="133" ht="17.25" customHeight="1">
      <c r="A133" s="41"/>
      <c r="B133" s="37"/>
      <c r="C133" s="37"/>
      <c r="D133" s="37"/>
      <c r="E133" s="37"/>
      <c r="F133" s="37"/>
      <c r="G133" s="37"/>
      <c r="H133" s="37"/>
      <c r="I133" s="37"/>
      <c r="J133" s="38"/>
      <c r="K133" s="39"/>
      <c r="L133" s="39"/>
    </row>
    <row r="134" ht="17.25" customHeight="1">
      <c r="A134" s="41"/>
      <c r="B134" s="37"/>
      <c r="C134" s="37"/>
      <c r="D134" s="37"/>
      <c r="E134" s="37"/>
      <c r="F134" s="37"/>
      <c r="G134" s="37"/>
      <c r="H134" s="37"/>
      <c r="I134" s="37"/>
      <c r="J134" s="38"/>
      <c r="K134" s="39"/>
      <c r="L134" s="39"/>
    </row>
    <row r="135" ht="17.25" customHeight="1">
      <c r="A135" s="41"/>
      <c r="B135" s="37"/>
      <c r="C135" s="37"/>
      <c r="D135" s="37"/>
      <c r="E135" s="37"/>
      <c r="F135" s="37"/>
      <c r="G135" s="37"/>
      <c r="H135" s="37"/>
      <c r="I135" s="37"/>
      <c r="J135" s="38"/>
      <c r="K135" s="39"/>
      <c r="L135" s="39"/>
    </row>
    <row r="136" ht="17.25" customHeight="1">
      <c r="A136" s="41"/>
      <c r="B136" s="37"/>
      <c r="C136" s="37"/>
      <c r="D136" s="37"/>
      <c r="E136" s="37"/>
      <c r="F136" s="37"/>
      <c r="G136" s="37"/>
      <c r="H136" s="37"/>
      <c r="I136" s="37"/>
      <c r="J136" s="38"/>
      <c r="K136" s="39"/>
      <c r="L136" s="39"/>
    </row>
    <row r="137" ht="17.25" customHeight="1">
      <c r="A137" s="41"/>
      <c r="B137" s="37"/>
      <c r="C137" s="37"/>
      <c r="D137" s="37"/>
      <c r="E137" s="37"/>
      <c r="F137" s="37"/>
      <c r="G137" s="37"/>
      <c r="H137" s="37"/>
      <c r="I137" s="37"/>
      <c r="J137" s="38"/>
      <c r="K137" s="39"/>
      <c r="L137" s="39"/>
    </row>
    <row r="138" ht="17.25" customHeight="1">
      <c r="A138" s="41"/>
      <c r="B138" s="37"/>
      <c r="C138" s="37"/>
      <c r="D138" s="37"/>
      <c r="E138" s="37"/>
      <c r="F138" s="37"/>
      <c r="G138" s="37"/>
      <c r="H138" s="37"/>
      <c r="I138" s="37"/>
      <c r="J138" s="38"/>
      <c r="K138" s="39"/>
      <c r="L138" s="39"/>
    </row>
    <row r="139" ht="17.25" customHeight="1">
      <c r="A139" s="41"/>
      <c r="B139" s="37"/>
      <c r="C139" s="37"/>
      <c r="D139" s="37"/>
      <c r="E139" s="37"/>
      <c r="F139" s="37"/>
      <c r="G139" s="37"/>
      <c r="H139" s="37"/>
      <c r="I139" s="37"/>
      <c r="J139" s="38"/>
      <c r="K139" s="39"/>
      <c r="L139" s="39"/>
    </row>
    <row r="140" ht="17.25" customHeight="1">
      <c r="A140" s="41"/>
      <c r="B140" s="37"/>
      <c r="C140" s="37"/>
      <c r="D140" s="37"/>
      <c r="E140" s="37"/>
      <c r="F140" s="37"/>
      <c r="G140" s="37"/>
      <c r="H140" s="37"/>
      <c r="I140" s="37"/>
      <c r="J140" s="38"/>
      <c r="K140" s="39"/>
      <c r="L140" s="39"/>
    </row>
    <row r="141" ht="17.25" customHeight="1">
      <c r="A141" s="41"/>
      <c r="B141" s="37"/>
      <c r="C141" s="37"/>
      <c r="D141" s="37"/>
      <c r="E141" s="37"/>
      <c r="F141" s="37"/>
      <c r="G141" s="37"/>
      <c r="H141" s="37"/>
      <c r="I141" s="37"/>
      <c r="J141" s="38"/>
      <c r="K141" s="39"/>
      <c r="L141" s="39"/>
    </row>
    <row r="142" ht="17.25" customHeight="1">
      <c r="A142" s="41"/>
      <c r="B142" s="37"/>
      <c r="C142" s="37"/>
      <c r="D142" s="37"/>
      <c r="E142" s="37"/>
      <c r="F142" s="37"/>
      <c r="G142" s="37"/>
      <c r="H142" s="37"/>
      <c r="I142" s="37"/>
      <c r="J142" s="38"/>
      <c r="K142" s="39"/>
      <c r="L142" s="39"/>
    </row>
    <row r="143" ht="17.25" customHeight="1">
      <c r="A143" s="41"/>
      <c r="B143" s="37"/>
      <c r="C143" s="37"/>
      <c r="D143" s="37"/>
      <c r="E143" s="37"/>
      <c r="F143" s="37"/>
      <c r="G143" s="37"/>
      <c r="H143" s="37"/>
      <c r="I143" s="37"/>
      <c r="J143" s="38"/>
      <c r="K143" s="39"/>
      <c r="L143" s="39"/>
    </row>
    <row r="144" ht="17.25" customHeight="1">
      <c r="A144" s="41"/>
      <c r="B144" s="37"/>
      <c r="C144" s="37"/>
      <c r="D144" s="37"/>
      <c r="E144" s="37"/>
      <c r="F144" s="37"/>
      <c r="G144" s="37"/>
      <c r="H144" s="37"/>
      <c r="I144" s="37"/>
      <c r="J144" s="38"/>
      <c r="K144" s="39"/>
      <c r="L144" s="39"/>
    </row>
    <row r="145" ht="17.25" customHeight="1">
      <c r="A145" s="41"/>
      <c r="B145" s="37"/>
      <c r="C145" s="37"/>
      <c r="D145" s="37"/>
      <c r="E145" s="37"/>
      <c r="F145" s="37"/>
      <c r="G145" s="37"/>
      <c r="H145" s="37"/>
      <c r="I145" s="37"/>
      <c r="J145" s="38"/>
      <c r="K145" s="39"/>
      <c r="L145" s="39"/>
    </row>
    <row r="146" ht="17.25" customHeight="1">
      <c r="A146" s="41"/>
      <c r="B146" s="37"/>
      <c r="C146" s="37"/>
      <c r="D146" s="37"/>
      <c r="E146" s="37"/>
      <c r="F146" s="37"/>
      <c r="G146" s="37"/>
      <c r="H146" s="37"/>
      <c r="I146" s="37"/>
      <c r="J146" s="38"/>
      <c r="K146" s="39"/>
      <c r="L146" s="39"/>
    </row>
    <row r="147" ht="17.25" customHeight="1">
      <c r="A147" s="41"/>
      <c r="B147" s="37"/>
      <c r="C147" s="37"/>
      <c r="D147" s="37"/>
      <c r="E147" s="37"/>
      <c r="F147" s="37"/>
      <c r="G147" s="37"/>
      <c r="H147" s="37"/>
      <c r="I147" s="37"/>
      <c r="J147" s="38"/>
      <c r="K147" s="39"/>
      <c r="L147" s="39"/>
    </row>
    <row r="148" ht="17.25" customHeight="1">
      <c r="A148" s="41"/>
      <c r="B148" s="37"/>
      <c r="C148" s="37"/>
      <c r="D148" s="37"/>
      <c r="E148" s="37"/>
      <c r="F148" s="37"/>
      <c r="G148" s="37"/>
      <c r="H148" s="37"/>
      <c r="I148" s="37"/>
      <c r="J148" s="38"/>
      <c r="K148" s="39"/>
      <c r="L148" s="39"/>
    </row>
    <row r="149" ht="17.25" customHeight="1">
      <c r="A149" s="41"/>
      <c r="B149" s="37"/>
      <c r="C149" s="37"/>
      <c r="D149" s="37"/>
      <c r="E149" s="37"/>
      <c r="F149" s="37"/>
      <c r="G149" s="37"/>
      <c r="H149" s="37"/>
      <c r="I149" s="37"/>
      <c r="J149" s="38"/>
      <c r="K149" s="39"/>
      <c r="L149" s="39"/>
    </row>
    <row r="150" ht="17.25" customHeight="1">
      <c r="A150" s="41"/>
      <c r="B150" s="37"/>
      <c r="C150" s="37"/>
      <c r="D150" s="37"/>
      <c r="E150" s="37"/>
      <c r="F150" s="37"/>
      <c r="G150" s="37"/>
      <c r="H150" s="37"/>
      <c r="I150" s="37"/>
      <c r="J150" s="38"/>
      <c r="K150" s="39"/>
      <c r="L150" s="39"/>
    </row>
    <row r="151" ht="17.25" customHeight="1">
      <c r="A151" s="41"/>
      <c r="B151" s="37"/>
      <c r="C151" s="37"/>
      <c r="D151" s="37"/>
      <c r="E151" s="37"/>
      <c r="F151" s="37"/>
      <c r="G151" s="37"/>
      <c r="H151" s="37"/>
      <c r="I151" s="37"/>
      <c r="J151" s="38"/>
      <c r="K151" s="39"/>
      <c r="L151" s="39"/>
    </row>
    <row r="152" ht="17.25" customHeight="1">
      <c r="A152" s="41"/>
      <c r="B152" s="37"/>
      <c r="C152" s="37"/>
      <c r="D152" s="37"/>
      <c r="E152" s="37"/>
      <c r="F152" s="37"/>
      <c r="G152" s="37"/>
      <c r="H152" s="37"/>
      <c r="I152" s="37"/>
      <c r="J152" s="38"/>
      <c r="K152" s="39"/>
      <c r="L152" s="39"/>
    </row>
    <row r="153" ht="17.25" customHeight="1">
      <c r="A153" s="41"/>
      <c r="B153" s="37"/>
      <c r="C153" s="37"/>
      <c r="D153" s="37"/>
      <c r="E153" s="37"/>
      <c r="F153" s="37"/>
      <c r="G153" s="37"/>
      <c r="H153" s="37"/>
      <c r="I153" s="37"/>
      <c r="J153" s="38"/>
      <c r="K153" s="39"/>
      <c r="L153" s="39"/>
    </row>
    <row r="154" ht="17.25" customHeight="1">
      <c r="A154" s="41"/>
      <c r="B154" s="37"/>
      <c r="C154" s="37"/>
      <c r="D154" s="37"/>
      <c r="E154" s="37"/>
      <c r="F154" s="37"/>
      <c r="G154" s="37"/>
      <c r="H154" s="37"/>
      <c r="I154" s="37"/>
      <c r="J154" s="38"/>
      <c r="K154" s="39"/>
      <c r="L154" s="39"/>
    </row>
    <row r="155" ht="17.25" customHeight="1">
      <c r="A155" s="41"/>
      <c r="B155" s="37"/>
      <c r="C155" s="37"/>
      <c r="D155" s="37"/>
      <c r="E155" s="37"/>
      <c r="F155" s="37"/>
      <c r="G155" s="37"/>
      <c r="H155" s="37"/>
      <c r="I155" s="37"/>
      <c r="J155" s="38"/>
      <c r="K155" s="39"/>
      <c r="L155" s="39"/>
    </row>
    <row r="156" ht="17.25" customHeight="1">
      <c r="A156" s="41"/>
      <c r="B156" s="37"/>
      <c r="C156" s="37"/>
      <c r="D156" s="37"/>
      <c r="E156" s="37"/>
      <c r="F156" s="37"/>
      <c r="G156" s="37"/>
      <c r="H156" s="37"/>
      <c r="I156" s="37"/>
      <c r="J156" s="38"/>
      <c r="K156" s="39"/>
      <c r="L156" s="39"/>
    </row>
    <row r="157" ht="17.25" customHeight="1">
      <c r="A157" s="41"/>
      <c r="B157" s="37"/>
      <c r="C157" s="37"/>
      <c r="D157" s="37"/>
      <c r="E157" s="37"/>
      <c r="F157" s="37"/>
      <c r="G157" s="37"/>
      <c r="H157" s="37"/>
      <c r="I157" s="37"/>
      <c r="J157" s="38"/>
      <c r="K157" s="39"/>
      <c r="L157" s="39"/>
    </row>
    <row r="158" ht="17.25" customHeight="1">
      <c r="A158" s="41"/>
      <c r="B158" s="37"/>
      <c r="C158" s="37"/>
      <c r="D158" s="37"/>
      <c r="E158" s="37"/>
      <c r="F158" s="37"/>
      <c r="G158" s="37"/>
      <c r="H158" s="37"/>
      <c r="I158" s="37"/>
      <c r="J158" s="38"/>
      <c r="K158" s="39"/>
      <c r="L158" s="39"/>
    </row>
    <row r="159" ht="17.25" customHeight="1">
      <c r="A159" s="41"/>
      <c r="B159" s="37"/>
      <c r="C159" s="37"/>
      <c r="D159" s="37"/>
      <c r="E159" s="37"/>
      <c r="F159" s="37"/>
      <c r="G159" s="37"/>
      <c r="H159" s="37"/>
      <c r="I159" s="37"/>
      <c r="J159" s="38"/>
      <c r="K159" s="39"/>
      <c r="L159" s="39"/>
    </row>
    <row r="160" ht="17.25" customHeight="1">
      <c r="A160" s="41"/>
      <c r="B160" s="37"/>
      <c r="C160" s="37"/>
      <c r="D160" s="37"/>
      <c r="E160" s="37"/>
      <c r="F160" s="37"/>
      <c r="G160" s="37"/>
      <c r="H160" s="37"/>
      <c r="I160" s="37"/>
      <c r="J160" s="38"/>
      <c r="K160" s="39"/>
      <c r="L160" s="39"/>
    </row>
    <row r="161" ht="17.25" customHeight="1">
      <c r="A161" s="41"/>
      <c r="B161" s="37"/>
      <c r="C161" s="37"/>
      <c r="D161" s="37"/>
      <c r="E161" s="37"/>
      <c r="F161" s="37"/>
      <c r="G161" s="37"/>
      <c r="H161" s="37"/>
      <c r="I161" s="37"/>
      <c r="J161" s="38"/>
      <c r="K161" s="39"/>
      <c r="L161" s="39"/>
    </row>
    <row r="162" ht="17.25" customHeight="1">
      <c r="A162" s="41"/>
      <c r="B162" s="37"/>
      <c r="C162" s="37"/>
      <c r="D162" s="37"/>
      <c r="E162" s="37"/>
      <c r="F162" s="37"/>
      <c r="G162" s="37"/>
      <c r="H162" s="37"/>
      <c r="I162" s="37"/>
      <c r="J162" s="38"/>
      <c r="K162" s="39"/>
      <c r="L162" s="39"/>
    </row>
    <row r="163" ht="17.25" customHeight="1">
      <c r="A163" s="41"/>
      <c r="B163" s="37"/>
      <c r="C163" s="37"/>
      <c r="D163" s="37"/>
      <c r="E163" s="37"/>
      <c r="F163" s="37"/>
      <c r="G163" s="37"/>
      <c r="H163" s="37"/>
      <c r="I163" s="37"/>
      <c r="J163" s="38"/>
      <c r="K163" s="39"/>
      <c r="L163" s="39"/>
    </row>
    <row r="164" ht="17.25" customHeight="1">
      <c r="A164" s="41"/>
      <c r="B164" s="37"/>
      <c r="C164" s="37"/>
      <c r="D164" s="37"/>
      <c r="E164" s="37"/>
      <c r="F164" s="37"/>
      <c r="G164" s="37"/>
      <c r="H164" s="37"/>
      <c r="I164" s="37"/>
      <c r="J164" s="38"/>
      <c r="K164" s="39"/>
      <c r="L164" s="39"/>
    </row>
    <row r="165" ht="17.25" customHeight="1">
      <c r="A165" s="41"/>
      <c r="B165" s="37"/>
      <c r="C165" s="37"/>
      <c r="D165" s="37"/>
      <c r="E165" s="37"/>
      <c r="F165" s="37"/>
      <c r="G165" s="37"/>
      <c r="H165" s="37"/>
      <c r="I165" s="37"/>
      <c r="J165" s="38"/>
      <c r="K165" s="39"/>
      <c r="L165" s="39"/>
    </row>
    <row r="166" ht="17.25" customHeight="1">
      <c r="A166" s="41"/>
      <c r="B166" s="37"/>
      <c r="C166" s="37"/>
      <c r="D166" s="37"/>
      <c r="E166" s="37"/>
      <c r="F166" s="37"/>
      <c r="G166" s="37"/>
      <c r="H166" s="37"/>
      <c r="I166" s="37"/>
      <c r="J166" s="38"/>
      <c r="K166" s="39"/>
      <c r="L166" s="39"/>
    </row>
    <row r="167" ht="17.25" customHeight="1">
      <c r="A167" s="41"/>
      <c r="B167" s="37"/>
      <c r="C167" s="37"/>
      <c r="D167" s="37"/>
      <c r="E167" s="37"/>
      <c r="F167" s="37"/>
      <c r="G167" s="37"/>
      <c r="H167" s="37"/>
      <c r="I167" s="37"/>
      <c r="J167" s="38"/>
      <c r="K167" s="39"/>
      <c r="L167" s="39"/>
    </row>
    <row r="168" ht="17.25" customHeight="1">
      <c r="A168" s="41"/>
      <c r="B168" s="37"/>
      <c r="C168" s="37"/>
      <c r="D168" s="37"/>
      <c r="E168" s="37"/>
      <c r="F168" s="37"/>
      <c r="G168" s="37"/>
      <c r="H168" s="37"/>
      <c r="I168" s="37"/>
      <c r="J168" s="38"/>
      <c r="K168" s="39"/>
      <c r="L168" s="39"/>
    </row>
    <row r="169" ht="17.25" customHeight="1">
      <c r="A169" s="41"/>
      <c r="B169" s="37"/>
      <c r="C169" s="37"/>
      <c r="D169" s="37"/>
      <c r="E169" s="37"/>
      <c r="F169" s="37"/>
      <c r="G169" s="37"/>
      <c r="H169" s="37"/>
      <c r="I169" s="37"/>
      <c r="J169" s="38"/>
      <c r="K169" s="39"/>
      <c r="L169" s="39"/>
    </row>
    <row r="170" ht="17.25" customHeight="1">
      <c r="A170" s="41"/>
      <c r="B170" s="37"/>
      <c r="C170" s="37"/>
      <c r="D170" s="37"/>
      <c r="E170" s="37"/>
      <c r="F170" s="37"/>
      <c r="G170" s="37"/>
      <c r="H170" s="37"/>
      <c r="I170" s="37"/>
      <c r="J170" s="38"/>
      <c r="K170" s="39"/>
      <c r="L170" s="39"/>
    </row>
    <row r="171" ht="17.25" customHeight="1">
      <c r="A171" s="41"/>
      <c r="B171" s="37"/>
      <c r="C171" s="37"/>
      <c r="D171" s="37"/>
      <c r="E171" s="37"/>
      <c r="F171" s="37"/>
      <c r="G171" s="37"/>
      <c r="H171" s="37"/>
      <c r="I171" s="37"/>
      <c r="J171" s="38"/>
      <c r="K171" s="39"/>
      <c r="L171" s="39"/>
    </row>
    <row r="172" ht="17.25" customHeight="1">
      <c r="A172" s="41"/>
      <c r="B172" s="37"/>
      <c r="C172" s="37"/>
      <c r="D172" s="37"/>
      <c r="E172" s="37"/>
      <c r="F172" s="37"/>
      <c r="G172" s="37"/>
      <c r="H172" s="37"/>
      <c r="I172" s="37"/>
      <c r="J172" s="38"/>
      <c r="K172" s="39"/>
      <c r="L172" s="39"/>
    </row>
    <row r="173" ht="17.25" customHeight="1">
      <c r="A173" s="41"/>
      <c r="B173" s="37"/>
      <c r="C173" s="37"/>
      <c r="D173" s="37"/>
      <c r="E173" s="37"/>
      <c r="F173" s="37"/>
      <c r="G173" s="37"/>
      <c r="H173" s="37"/>
      <c r="I173" s="37"/>
      <c r="J173" s="38"/>
      <c r="K173" s="39"/>
      <c r="L173" s="39"/>
    </row>
    <row r="174" ht="17.25" customHeight="1">
      <c r="A174" s="41"/>
      <c r="B174" s="37"/>
      <c r="C174" s="37"/>
      <c r="D174" s="37"/>
      <c r="E174" s="37"/>
      <c r="F174" s="37"/>
      <c r="G174" s="37"/>
      <c r="H174" s="37"/>
      <c r="I174" s="37"/>
      <c r="J174" s="38"/>
      <c r="K174" s="39"/>
      <c r="L174" s="39"/>
    </row>
    <row r="175" ht="17.25" customHeight="1">
      <c r="A175" s="41"/>
      <c r="B175" s="37"/>
      <c r="C175" s="37"/>
      <c r="D175" s="37"/>
      <c r="E175" s="37"/>
      <c r="F175" s="37"/>
      <c r="G175" s="37"/>
      <c r="H175" s="37"/>
      <c r="I175" s="37"/>
      <c r="J175" s="38"/>
      <c r="K175" s="39"/>
      <c r="L175" s="39"/>
    </row>
    <row r="176" ht="17.25" customHeight="1">
      <c r="A176" s="41"/>
      <c r="B176" s="37"/>
      <c r="C176" s="37"/>
      <c r="D176" s="37"/>
      <c r="E176" s="37"/>
      <c r="F176" s="37"/>
      <c r="G176" s="37"/>
      <c r="H176" s="37"/>
      <c r="I176" s="37"/>
      <c r="J176" s="38"/>
      <c r="K176" s="39"/>
      <c r="L176" s="39"/>
    </row>
    <row r="177" ht="17.25" customHeight="1">
      <c r="A177" s="41"/>
      <c r="B177" s="37"/>
      <c r="C177" s="37"/>
      <c r="D177" s="37"/>
      <c r="E177" s="37"/>
      <c r="F177" s="37"/>
      <c r="G177" s="37"/>
      <c r="H177" s="37"/>
      <c r="I177" s="37"/>
      <c r="J177" s="38"/>
      <c r="K177" s="39"/>
      <c r="L177" s="39"/>
    </row>
    <row r="178" ht="17.25" customHeight="1">
      <c r="A178" s="41"/>
      <c r="B178" s="37"/>
      <c r="C178" s="37"/>
      <c r="D178" s="37"/>
      <c r="E178" s="37"/>
      <c r="F178" s="37"/>
      <c r="G178" s="37"/>
      <c r="H178" s="37"/>
      <c r="I178" s="37"/>
      <c r="J178" s="38"/>
      <c r="K178" s="39"/>
      <c r="L178" s="39"/>
    </row>
    <row r="179" ht="17.25" customHeight="1">
      <c r="A179" s="41"/>
      <c r="B179" s="37"/>
      <c r="C179" s="37"/>
      <c r="D179" s="37"/>
      <c r="E179" s="37"/>
      <c r="F179" s="37"/>
      <c r="G179" s="37"/>
      <c r="H179" s="37"/>
      <c r="I179" s="37"/>
      <c r="J179" s="38"/>
      <c r="K179" s="39"/>
      <c r="L179" s="39"/>
    </row>
    <row r="180" ht="17.25" customHeight="1">
      <c r="A180" s="41"/>
      <c r="B180" s="37"/>
      <c r="C180" s="37"/>
      <c r="D180" s="37"/>
      <c r="E180" s="37"/>
      <c r="F180" s="37"/>
      <c r="G180" s="37"/>
      <c r="H180" s="37"/>
      <c r="I180" s="37"/>
      <c r="J180" s="38"/>
      <c r="K180" s="39"/>
      <c r="L180" s="39"/>
    </row>
    <row r="181" ht="17.25" customHeight="1">
      <c r="A181" s="41"/>
      <c r="B181" s="37"/>
      <c r="C181" s="37"/>
      <c r="D181" s="37"/>
      <c r="E181" s="37"/>
      <c r="F181" s="37"/>
      <c r="G181" s="37"/>
      <c r="H181" s="37"/>
      <c r="I181" s="37"/>
      <c r="J181" s="38"/>
      <c r="K181" s="39"/>
      <c r="L181" s="39"/>
    </row>
    <row r="182" ht="17.25" customHeight="1">
      <c r="A182" s="41"/>
      <c r="B182" s="37"/>
      <c r="C182" s="37"/>
      <c r="D182" s="37"/>
      <c r="E182" s="37"/>
      <c r="F182" s="37"/>
      <c r="G182" s="37"/>
      <c r="H182" s="37"/>
      <c r="I182" s="37"/>
      <c r="J182" s="38"/>
      <c r="K182" s="39"/>
      <c r="L182" s="39"/>
    </row>
    <row r="183" ht="17.25" customHeight="1">
      <c r="A183" s="41"/>
      <c r="B183" s="37"/>
      <c r="C183" s="37"/>
      <c r="D183" s="37"/>
      <c r="E183" s="37"/>
      <c r="F183" s="37"/>
      <c r="G183" s="37"/>
      <c r="H183" s="37"/>
      <c r="I183" s="37"/>
      <c r="J183" s="38"/>
      <c r="K183" s="39"/>
      <c r="L183" s="39"/>
    </row>
    <row r="184" ht="17.25" customHeight="1">
      <c r="A184" s="41"/>
      <c r="B184" s="37"/>
      <c r="C184" s="37"/>
      <c r="D184" s="37"/>
      <c r="E184" s="37"/>
      <c r="F184" s="37"/>
      <c r="G184" s="37"/>
      <c r="H184" s="37"/>
      <c r="I184" s="37"/>
      <c r="J184" s="38"/>
      <c r="K184" s="39"/>
      <c r="L184" s="39"/>
    </row>
    <row r="185" ht="17.25" customHeight="1">
      <c r="A185" s="41"/>
      <c r="B185" s="37"/>
      <c r="C185" s="37"/>
      <c r="D185" s="37"/>
      <c r="E185" s="37"/>
      <c r="F185" s="37"/>
      <c r="G185" s="37"/>
      <c r="H185" s="37"/>
      <c r="I185" s="37"/>
      <c r="J185" s="38"/>
      <c r="K185" s="39"/>
      <c r="L185" s="39"/>
    </row>
    <row r="186" ht="17.25" customHeight="1">
      <c r="A186" s="41"/>
      <c r="B186" s="37"/>
      <c r="C186" s="37"/>
      <c r="D186" s="37"/>
      <c r="E186" s="37"/>
      <c r="F186" s="37"/>
      <c r="G186" s="37"/>
      <c r="H186" s="37"/>
      <c r="I186" s="37"/>
      <c r="J186" s="38"/>
      <c r="K186" s="39"/>
      <c r="L186" s="39"/>
    </row>
    <row r="187" ht="17.25" customHeight="1">
      <c r="A187" s="41"/>
      <c r="B187" s="37"/>
      <c r="C187" s="37"/>
      <c r="D187" s="37"/>
      <c r="E187" s="37"/>
      <c r="F187" s="37"/>
      <c r="G187" s="37"/>
      <c r="H187" s="37"/>
      <c r="I187" s="37"/>
      <c r="J187" s="38"/>
      <c r="K187" s="39"/>
      <c r="L187" s="39"/>
    </row>
    <row r="188" ht="17.25" customHeight="1">
      <c r="A188" s="41"/>
      <c r="B188" s="37"/>
      <c r="C188" s="37"/>
      <c r="D188" s="37"/>
      <c r="E188" s="37"/>
      <c r="F188" s="37"/>
      <c r="G188" s="37"/>
      <c r="H188" s="37"/>
      <c r="I188" s="37"/>
      <c r="J188" s="38"/>
      <c r="K188" s="39"/>
      <c r="L188" s="39"/>
    </row>
    <row r="189" ht="17.25" customHeight="1">
      <c r="A189" s="41"/>
      <c r="B189" s="37"/>
      <c r="C189" s="37"/>
      <c r="D189" s="37"/>
      <c r="E189" s="37"/>
      <c r="F189" s="37"/>
      <c r="G189" s="37"/>
      <c r="H189" s="37"/>
      <c r="I189" s="37"/>
      <c r="J189" s="38"/>
      <c r="K189" s="39"/>
      <c r="L189" s="39"/>
    </row>
    <row r="190" ht="17.25" customHeight="1">
      <c r="A190" s="41"/>
      <c r="B190" s="37"/>
      <c r="C190" s="37"/>
      <c r="D190" s="37"/>
      <c r="E190" s="37"/>
      <c r="F190" s="37"/>
      <c r="G190" s="37"/>
      <c r="H190" s="37"/>
      <c r="I190" s="37"/>
      <c r="J190" s="38"/>
      <c r="K190" s="39"/>
      <c r="L190" s="39"/>
    </row>
    <row r="191" ht="17.25" customHeight="1">
      <c r="A191" s="41"/>
      <c r="B191" s="37"/>
      <c r="C191" s="37"/>
      <c r="D191" s="37"/>
      <c r="E191" s="37"/>
      <c r="F191" s="37"/>
      <c r="G191" s="37"/>
      <c r="H191" s="37"/>
      <c r="I191" s="37"/>
      <c r="J191" s="38"/>
      <c r="K191" s="39"/>
      <c r="L191" s="39"/>
    </row>
    <row r="192" ht="17.25" customHeight="1">
      <c r="A192" s="41"/>
      <c r="B192" s="37"/>
      <c r="C192" s="37"/>
      <c r="D192" s="37"/>
      <c r="E192" s="37"/>
      <c r="F192" s="37"/>
      <c r="G192" s="37"/>
      <c r="H192" s="37"/>
      <c r="I192" s="37"/>
      <c r="J192" s="38"/>
      <c r="K192" s="39"/>
      <c r="L192" s="39"/>
    </row>
    <row r="193" ht="17.25" customHeight="1">
      <c r="A193" s="41"/>
      <c r="B193" s="37"/>
      <c r="C193" s="37"/>
      <c r="D193" s="37"/>
      <c r="E193" s="37"/>
      <c r="F193" s="37"/>
      <c r="G193" s="37"/>
      <c r="H193" s="37"/>
      <c r="I193" s="37"/>
      <c r="J193" s="38"/>
      <c r="K193" s="39"/>
      <c r="L193" s="39"/>
    </row>
    <row r="194" ht="17.25" customHeight="1">
      <c r="A194" s="41"/>
      <c r="B194" s="37"/>
      <c r="C194" s="37"/>
      <c r="D194" s="37"/>
      <c r="E194" s="37"/>
      <c r="F194" s="37"/>
      <c r="G194" s="37"/>
      <c r="H194" s="37"/>
      <c r="I194" s="37"/>
      <c r="J194" s="38"/>
      <c r="K194" s="39"/>
      <c r="L194" s="39"/>
    </row>
    <row r="195" ht="17.25" customHeight="1">
      <c r="A195" s="41"/>
      <c r="B195" s="37"/>
      <c r="C195" s="37"/>
      <c r="D195" s="37"/>
      <c r="E195" s="37"/>
      <c r="F195" s="37"/>
      <c r="G195" s="37"/>
      <c r="H195" s="37"/>
      <c r="I195" s="37"/>
      <c r="J195" s="38"/>
      <c r="K195" s="39"/>
      <c r="L195" s="39"/>
    </row>
    <row r="196" ht="17.25" customHeight="1">
      <c r="A196" s="41"/>
      <c r="B196" s="37"/>
      <c r="C196" s="37"/>
      <c r="D196" s="37"/>
      <c r="E196" s="37"/>
      <c r="F196" s="37"/>
      <c r="G196" s="37"/>
      <c r="H196" s="37"/>
      <c r="I196" s="37"/>
      <c r="J196" s="38"/>
      <c r="K196" s="39"/>
      <c r="L196" s="39"/>
    </row>
    <row r="197" ht="17.25" customHeight="1">
      <c r="A197" s="41"/>
      <c r="B197" s="37"/>
      <c r="C197" s="37"/>
      <c r="D197" s="37"/>
      <c r="E197" s="37"/>
      <c r="F197" s="37"/>
      <c r="G197" s="37"/>
      <c r="H197" s="37"/>
      <c r="I197" s="37"/>
      <c r="J197" s="38"/>
      <c r="K197" s="39"/>
      <c r="L197" s="39"/>
    </row>
    <row r="198" ht="17.25" customHeight="1">
      <c r="A198" s="41"/>
      <c r="B198" s="37"/>
      <c r="C198" s="37"/>
      <c r="D198" s="37"/>
      <c r="E198" s="37"/>
      <c r="F198" s="37"/>
      <c r="G198" s="37"/>
      <c r="H198" s="37"/>
      <c r="I198" s="37"/>
      <c r="J198" s="38"/>
      <c r="K198" s="39"/>
      <c r="L198" s="39"/>
    </row>
    <row r="199" ht="17.25" customHeight="1">
      <c r="A199" s="41"/>
      <c r="B199" s="37"/>
      <c r="C199" s="37"/>
      <c r="D199" s="37"/>
      <c r="E199" s="37"/>
      <c r="F199" s="37"/>
      <c r="G199" s="37"/>
      <c r="H199" s="37"/>
      <c r="I199" s="37"/>
      <c r="J199" s="38"/>
      <c r="K199" s="39"/>
      <c r="L199" s="39"/>
    </row>
    <row r="200" ht="17.25" customHeight="1">
      <c r="A200" s="41"/>
      <c r="B200" s="37"/>
      <c r="C200" s="37"/>
      <c r="D200" s="37"/>
      <c r="E200" s="37"/>
      <c r="F200" s="37"/>
      <c r="G200" s="37"/>
      <c r="H200" s="37"/>
      <c r="I200" s="37"/>
      <c r="J200" s="38"/>
      <c r="K200" s="39"/>
      <c r="L200" s="39"/>
    </row>
    <row r="201" ht="17.25" customHeight="1">
      <c r="A201" s="41"/>
      <c r="B201" s="37"/>
      <c r="C201" s="37"/>
      <c r="D201" s="37"/>
      <c r="E201" s="37"/>
      <c r="F201" s="37"/>
      <c r="G201" s="37"/>
      <c r="H201" s="37"/>
      <c r="I201" s="37"/>
      <c r="J201" s="38"/>
      <c r="K201" s="39"/>
      <c r="L201" s="39"/>
    </row>
    <row r="202" ht="17.25" customHeight="1">
      <c r="A202" s="41"/>
      <c r="B202" s="37"/>
      <c r="C202" s="37"/>
      <c r="D202" s="37"/>
      <c r="E202" s="37"/>
      <c r="F202" s="37"/>
      <c r="G202" s="37"/>
      <c r="H202" s="37"/>
      <c r="I202" s="37"/>
      <c r="J202" s="38"/>
      <c r="K202" s="39"/>
      <c r="L202" s="39"/>
    </row>
    <row r="203" ht="17.25" customHeight="1">
      <c r="A203" s="41"/>
      <c r="B203" s="37"/>
      <c r="C203" s="37"/>
      <c r="D203" s="37"/>
      <c r="E203" s="37"/>
      <c r="F203" s="37"/>
      <c r="G203" s="37"/>
      <c r="H203" s="37"/>
      <c r="I203" s="37"/>
      <c r="J203" s="38"/>
      <c r="K203" s="39"/>
      <c r="L203" s="39"/>
    </row>
    <row r="204" ht="17.25" customHeight="1">
      <c r="A204" s="41"/>
      <c r="B204" s="37"/>
      <c r="C204" s="37"/>
      <c r="D204" s="37"/>
      <c r="E204" s="37"/>
      <c r="F204" s="37"/>
      <c r="G204" s="37"/>
      <c r="H204" s="37"/>
      <c r="I204" s="37"/>
      <c r="J204" s="38"/>
      <c r="K204" s="39"/>
      <c r="L204" s="39"/>
    </row>
    <row r="205" ht="17.25" customHeight="1">
      <c r="A205" s="41"/>
      <c r="B205" s="37"/>
      <c r="C205" s="37"/>
      <c r="D205" s="37"/>
      <c r="E205" s="37"/>
      <c r="F205" s="37"/>
      <c r="G205" s="37"/>
      <c r="H205" s="37"/>
      <c r="I205" s="37"/>
      <c r="J205" s="38"/>
      <c r="K205" s="39"/>
      <c r="L205" s="39"/>
    </row>
    <row r="206" ht="17.25" customHeight="1">
      <c r="A206" s="41"/>
      <c r="B206" s="37"/>
      <c r="C206" s="37"/>
      <c r="D206" s="37"/>
      <c r="E206" s="37"/>
      <c r="F206" s="37"/>
      <c r="G206" s="37"/>
      <c r="H206" s="37"/>
      <c r="I206" s="37"/>
      <c r="J206" s="38"/>
      <c r="K206" s="39"/>
      <c r="L206" s="39"/>
    </row>
    <row r="207" ht="17.25" customHeight="1">
      <c r="A207" s="41"/>
      <c r="B207" s="37"/>
      <c r="C207" s="37"/>
      <c r="D207" s="37"/>
      <c r="E207" s="37"/>
      <c r="F207" s="37"/>
      <c r="G207" s="37"/>
      <c r="H207" s="37"/>
      <c r="I207" s="37"/>
      <c r="J207" s="38"/>
      <c r="K207" s="39"/>
      <c r="L207" s="39"/>
    </row>
    <row r="208" ht="17.25" customHeight="1">
      <c r="A208" s="41"/>
      <c r="B208" s="37"/>
      <c r="C208" s="37"/>
      <c r="D208" s="37"/>
      <c r="E208" s="37"/>
      <c r="F208" s="37"/>
      <c r="G208" s="37"/>
      <c r="H208" s="37"/>
      <c r="I208" s="37"/>
      <c r="J208" s="38"/>
      <c r="K208" s="39"/>
      <c r="L208" s="39"/>
    </row>
    <row r="209" ht="17.25" customHeight="1">
      <c r="A209" s="41"/>
      <c r="B209" s="37"/>
      <c r="C209" s="37"/>
      <c r="D209" s="37"/>
      <c r="E209" s="37"/>
      <c r="F209" s="37"/>
      <c r="G209" s="37"/>
      <c r="H209" s="37"/>
      <c r="I209" s="37"/>
      <c r="J209" s="38"/>
      <c r="K209" s="39"/>
      <c r="L209" s="39"/>
    </row>
    <row r="210" ht="17.25" customHeight="1">
      <c r="A210" s="41"/>
      <c r="B210" s="37"/>
      <c r="C210" s="37"/>
      <c r="D210" s="37"/>
      <c r="E210" s="37"/>
      <c r="F210" s="37"/>
      <c r="G210" s="37"/>
      <c r="H210" s="37"/>
      <c r="I210" s="37"/>
      <c r="J210" s="38"/>
      <c r="K210" s="39"/>
      <c r="L210" s="39"/>
    </row>
    <row r="211" ht="17.25" customHeight="1">
      <c r="A211" s="41"/>
      <c r="B211" s="37"/>
      <c r="C211" s="37"/>
      <c r="D211" s="37"/>
      <c r="E211" s="37"/>
      <c r="F211" s="37"/>
      <c r="G211" s="37"/>
      <c r="H211" s="37"/>
      <c r="I211" s="37"/>
      <c r="J211" s="38"/>
      <c r="K211" s="39"/>
      <c r="L211" s="39"/>
    </row>
    <row r="212" ht="17.25" customHeight="1">
      <c r="A212" s="41"/>
      <c r="B212" s="37"/>
      <c r="C212" s="37"/>
      <c r="D212" s="37"/>
      <c r="E212" s="37"/>
      <c r="F212" s="37"/>
      <c r="G212" s="37"/>
      <c r="H212" s="37"/>
      <c r="I212" s="37"/>
      <c r="J212" s="38"/>
      <c r="K212" s="39"/>
      <c r="L212" s="39"/>
    </row>
    <row r="213" ht="17.25" customHeight="1">
      <c r="A213" s="41"/>
      <c r="B213" s="37"/>
      <c r="C213" s="37"/>
      <c r="D213" s="37"/>
      <c r="E213" s="37"/>
      <c r="F213" s="37"/>
      <c r="G213" s="37"/>
      <c r="H213" s="37"/>
      <c r="I213" s="37"/>
      <c r="J213" s="38"/>
      <c r="K213" s="39"/>
      <c r="L213" s="39"/>
    </row>
    <row r="214" ht="17.25" customHeight="1">
      <c r="A214" s="41"/>
      <c r="B214" s="37"/>
      <c r="C214" s="37"/>
      <c r="D214" s="37"/>
      <c r="E214" s="37"/>
      <c r="F214" s="37"/>
      <c r="G214" s="37"/>
      <c r="H214" s="37"/>
      <c r="I214" s="37"/>
      <c r="J214" s="38"/>
      <c r="K214" s="39"/>
      <c r="L214" s="39"/>
    </row>
    <row r="215" ht="17.25" customHeight="1">
      <c r="A215" s="41"/>
      <c r="B215" s="37"/>
      <c r="C215" s="37"/>
      <c r="D215" s="37"/>
      <c r="E215" s="37"/>
      <c r="F215" s="37"/>
      <c r="G215" s="37"/>
      <c r="H215" s="37"/>
      <c r="I215" s="37"/>
      <c r="J215" s="38"/>
      <c r="K215" s="39"/>
      <c r="L215" s="39"/>
    </row>
    <row r="216" ht="17.25" customHeight="1">
      <c r="A216" s="41"/>
      <c r="B216" s="37"/>
      <c r="C216" s="37"/>
      <c r="D216" s="37"/>
      <c r="E216" s="37"/>
      <c r="F216" s="37"/>
      <c r="G216" s="37"/>
      <c r="H216" s="37"/>
      <c r="I216" s="37"/>
      <c r="J216" s="38"/>
      <c r="K216" s="39"/>
      <c r="L216" s="39"/>
    </row>
    <row r="217" ht="17.25" customHeight="1">
      <c r="A217" s="41"/>
      <c r="B217" s="37"/>
      <c r="C217" s="37"/>
      <c r="D217" s="37"/>
      <c r="E217" s="37"/>
      <c r="F217" s="37"/>
      <c r="G217" s="37"/>
      <c r="H217" s="37"/>
      <c r="I217" s="37"/>
      <c r="J217" s="38"/>
      <c r="K217" s="39"/>
      <c r="L217" s="39"/>
    </row>
    <row r="218" ht="17.25" customHeight="1">
      <c r="A218" s="41"/>
      <c r="B218" s="37"/>
      <c r="C218" s="37"/>
      <c r="D218" s="37"/>
      <c r="E218" s="37"/>
      <c r="F218" s="37"/>
      <c r="G218" s="37"/>
      <c r="H218" s="37"/>
      <c r="I218" s="37"/>
      <c r="J218" s="38"/>
      <c r="K218" s="39"/>
      <c r="L218" s="39"/>
    </row>
    <row r="219" ht="17.25" customHeight="1">
      <c r="A219" s="41"/>
      <c r="B219" s="37"/>
      <c r="C219" s="37"/>
      <c r="D219" s="37"/>
      <c r="E219" s="37"/>
      <c r="F219" s="37"/>
      <c r="G219" s="37"/>
      <c r="H219" s="37"/>
      <c r="I219" s="37"/>
      <c r="J219" s="38"/>
      <c r="K219" s="39"/>
      <c r="L219" s="39"/>
    </row>
    <row r="220" ht="17.25" customHeight="1">
      <c r="A220" s="41"/>
      <c r="B220" s="37"/>
      <c r="C220" s="37"/>
      <c r="D220" s="37"/>
      <c r="E220" s="37"/>
      <c r="F220" s="37"/>
      <c r="G220" s="37"/>
      <c r="H220" s="37"/>
      <c r="I220" s="37"/>
      <c r="J220" s="38"/>
      <c r="K220" s="39"/>
      <c r="L220" s="39"/>
    </row>
    <row r="221" ht="17.25" customHeight="1">
      <c r="A221" s="41"/>
      <c r="B221" s="37"/>
      <c r="C221" s="37"/>
      <c r="D221" s="37"/>
      <c r="E221" s="37"/>
      <c r="F221" s="37"/>
      <c r="G221" s="37"/>
      <c r="H221" s="37"/>
      <c r="I221" s="37"/>
      <c r="J221" s="38"/>
      <c r="K221" s="39"/>
      <c r="L221" s="39"/>
    </row>
    <row r="222" ht="17.25" customHeight="1">
      <c r="A222" s="41"/>
      <c r="B222" s="37"/>
      <c r="C222" s="37"/>
      <c r="D222" s="37"/>
      <c r="E222" s="37"/>
      <c r="F222" s="37"/>
      <c r="G222" s="37"/>
      <c r="H222" s="37"/>
      <c r="I222" s="37"/>
      <c r="J222" s="38"/>
      <c r="K222" s="39"/>
      <c r="L222" s="39"/>
    </row>
    <row r="223" ht="17.25" customHeight="1">
      <c r="A223" s="41"/>
      <c r="B223" s="37"/>
      <c r="C223" s="37"/>
      <c r="D223" s="37"/>
      <c r="E223" s="37"/>
      <c r="F223" s="37"/>
      <c r="G223" s="37"/>
      <c r="H223" s="37"/>
      <c r="I223" s="37"/>
      <c r="J223" s="38"/>
      <c r="K223" s="39"/>
      <c r="L223" s="39"/>
    </row>
    <row r="224" ht="17.25" customHeight="1">
      <c r="A224" s="41"/>
      <c r="B224" s="37"/>
      <c r="C224" s="37"/>
      <c r="D224" s="37"/>
      <c r="E224" s="37"/>
      <c r="F224" s="37"/>
      <c r="G224" s="37"/>
      <c r="H224" s="37"/>
      <c r="I224" s="37"/>
      <c r="J224" s="38"/>
      <c r="K224" s="39"/>
      <c r="L224" s="39"/>
    </row>
    <row r="225" ht="17.25" customHeight="1">
      <c r="A225" s="41"/>
      <c r="B225" s="37"/>
      <c r="C225" s="37"/>
      <c r="D225" s="37"/>
      <c r="E225" s="37"/>
      <c r="F225" s="37"/>
      <c r="G225" s="37"/>
      <c r="H225" s="37"/>
      <c r="I225" s="37"/>
      <c r="J225" s="38"/>
      <c r="K225" s="39"/>
      <c r="L225" s="39"/>
    </row>
    <row r="226" ht="17.25" customHeight="1">
      <c r="A226" s="41"/>
      <c r="B226" s="37"/>
      <c r="C226" s="37"/>
      <c r="D226" s="37"/>
      <c r="E226" s="37"/>
      <c r="F226" s="37"/>
      <c r="G226" s="37"/>
      <c r="H226" s="37"/>
      <c r="I226" s="37"/>
      <c r="J226" s="38"/>
      <c r="K226" s="39"/>
      <c r="L226" s="39"/>
    </row>
    <row r="227" ht="17.25" customHeight="1">
      <c r="A227" s="41"/>
      <c r="B227" s="37"/>
      <c r="C227" s="37"/>
      <c r="D227" s="37"/>
      <c r="E227" s="37"/>
      <c r="F227" s="37"/>
      <c r="G227" s="37"/>
      <c r="H227" s="37"/>
      <c r="I227" s="37"/>
      <c r="J227" s="38"/>
      <c r="K227" s="39"/>
      <c r="L227" s="39"/>
    </row>
    <row r="228" ht="17.25" customHeight="1">
      <c r="A228" s="41"/>
      <c r="B228" s="37"/>
      <c r="C228" s="37"/>
      <c r="D228" s="37"/>
      <c r="E228" s="37"/>
      <c r="F228" s="37"/>
      <c r="G228" s="37"/>
      <c r="H228" s="37"/>
      <c r="I228" s="37"/>
      <c r="J228" s="38"/>
      <c r="K228" s="39"/>
      <c r="L228" s="39"/>
    </row>
    <row r="229" ht="17.25" customHeight="1">
      <c r="A229" s="41"/>
      <c r="B229" s="37"/>
      <c r="C229" s="37"/>
      <c r="D229" s="37"/>
      <c r="E229" s="37"/>
      <c r="F229" s="37"/>
      <c r="G229" s="37"/>
      <c r="H229" s="37"/>
      <c r="I229" s="37"/>
      <c r="J229" s="38"/>
      <c r="K229" s="39"/>
      <c r="L229" s="39"/>
    </row>
    <row r="230" ht="17.25" customHeight="1">
      <c r="A230" s="41"/>
      <c r="B230" s="37"/>
      <c r="C230" s="37"/>
      <c r="D230" s="37"/>
      <c r="E230" s="37"/>
      <c r="F230" s="37"/>
      <c r="G230" s="37"/>
      <c r="H230" s="37"/>
      <c r="I230" s="37"/>
      <c r="J230" s="38"/>
      <c r="K230" s="39"/>
      <c r="L230" s="39"/>
    </row>
    <row r="231" ht="17.25" customHeight="1">
      <c r="A231" s="41"/>
      <c r="B231" s="37"/>
      <c r="C231" s="37"/>
      <c r="D231" s="37"/>
      <c r="E231" s="37"/>
      <c r="F231" s="37"/>
      <c r="G231" s="37"/>
      <c r="H231" s="37"/>
      <c r="I231" s="37"/>
      <c r="J231" s="38"/>
      <c r="K231" s="39"/>
      <c r="L231" s="39"/>
    </row>
    <row r="232" ht="17.25" customHeight="1">
      <c r="A232" s="41"/>
      <c r="B232" s="37"/>
      <c r="C232" s="37"/>
      <c r="D232" s="37"/>
      <c r="E232" s="37"/>
      <c r="F232" s="37"/>
      <c r="G232" s="37"/>
      <c r="H232" s="37"/>
      <c r="I232" s="37"/>
      <c r="J232" s="38"/>
      <c r="K232" s="39"/>
      <c r="L232" s="39"/>
    </row>
    <row r="233" ht="17.25" customHeight="1">
      <c r="A233" s="41"/>
      <c r="B233" s="37"/>
      <c r="C233" s="37"/>
      <c r="D233" s="37"/>
      <c r="E233" s="37"/>
      <c r="F233" s="37"/>
      <c r="G233" s="37"/>
      <c r="H233" s="37"/>
      <c r="I233" s="37"/>
      <c r="J233" s="38"/>
      <c r="K233" s="39"/>
      <c r="L233" s="39"/>
    </row>
    <row r="234" ht="17.25" customHeight="1">
      <c r="A234" s="41"/>
      <c r="B234" s="37"/>
      <c r="C234" s="37"/>
      <c r="D234" s="37"/>
      <c r="E234" s="37"/>
      <c r="F234" s="37"/>
      <c r="G234" s="37"/>
      <c r="H234" s="37"/>
      <c r="I234" s="37"/>
      <c r="J234" s="38"/>
      <c r="K234" s="39"/>
      <c r="L234" s="39"/>
    </row>
    <row r="235" ht="17.25" customHeight="1">
      <c r="A235" s="41"/>
      <c r="B235" s="37"/>
      <c r="C235" s="37"/>
      <c r="D235" s="37"/>
      <c r="E235" s="37"/>
      <c r="F235" s="37"/>
      <c r="G235" s="37"/>
      <c r="H235" s="37"/>
      <c r="I235" s="37"/>
      <c r="J235" s="38"/>
      <c r="K235" s="39"/>
      <c r="L235" s="39"/>
    </row>
    <row r="236" ht="17.25" customHeight="1">
      <c r="A236" s="41"/>
      <c r="B236" s="37"/>
      <c r="C236" s="37"/>
      <c r="D236" s="37"/>
      <c r="E236" s="37"/>
      <c r="F236" s="37"/>
      <c r="G236" s="37"/>
      <c r="H236" s="37"/>
      <c r="I236" s="37"/>
      <c r="J236" s="38"/>
      <c r="K236" s="39"/>
      <c r="L236" s="39"/>
    </row>
    <row r="237" ht="17.25" customHeight="1">
      <c r="A237" s="41"/>
      <c r="B237" s="37"/>
      <c r="C237" s="37"/>
      <c r="D237" s="37"/>
      <c r="E237" s="37"/>
      <c r="F237" s="37"/>
      <c r="G237" s="37"/>
      <c r="H237" s="37"/>
      <c r="I237" s="37"/>
      <c r="J237" s="38"/>
      <c r="K237" s="39"/>
      <c r="L237" s="39"/>
    </row>
    <row r="238" ht="17.25" customHeight="1">
      <c r="A238" s="41"/>
      <c r="B238" s="37"/>
      <c r="C238" s="37"/>
      <c r="D238" s="37"/>
      <c r="E238" s="37"/>
      <c r="F238" s="37"/>
      <c r="G238" s="37"/>
      <c r="H238" s="37"/>
      <c r="I238" s="37"/>
      <c r="J238" s="38"/>
      <c r="K238" s="39"/>
      <c r="L238" s="39"/>
    </row>
    <row r="239" ht="17.25" customHeight="1">
      <c r="A239" s="41"/>
      <c r="B239" s="37"/>
      <c r="C239" s="37"/>
      <c r="D239" s="37"/>
      <c r="E239" s="37"/>
      <c r="F239" s="37"/>
      <c r="G239" s="37"/>
      <c r="H239" s="37"/>
      <c r="I239" s="37"/>
      <c r="J239" s="38"/>
      <c r="K239" s="39"/>
      <c r="L239" s="39"/>
    </row>
    <row r="240" ht="17.25" customHeight="1">
      <c r="A240" s="41"/>
      <c r="B240" s="37"/>
      <c r="C240" s="37"/>
      <c r="D240" s="37"/>
      <c r="E240" s="37"/>
      <c r="F240" s="37"/>
      <c r="G240" s="37"/>
      <c r="H240" s="37"/>
      <c r="I240" s="37"/>
      <c r="J240" s="38"/>
      <c r="K240" s="39"/>
      <c r="L240" s="39"/>
    </row>
    <row r="241" ht="17.25" customHeight="1">
      <c r="A241" s="41"/>
      <c r="B241" s="37"/>
      <c r="C241" s="37"/>
      <c r="D241" s="37"/>
      <c r="E241" s="37"/>
      <c r="F241" s="37"/>
      <c r="G241" s="37"/>
      <c r="H241" s="37"/>
      <c r="I241" s="37"/>
      <c r="J241" s="38"/>
      <c r="K241" s="39"/>
      <c r="L241" s="39"/>
    </row>
    <row r="242" ht="17.25" customHeight="1">
      <c r="A242" s="41"/>
      <c r="B242" s="37"/>
      <c r="C242" s="37"/>
      <c r="D242" s="37"/>
      <c r="E242" s="37"/>
      <c r="F242" s="37"/>
      <c r="G242" s="37"/>
      <c r="H242" s="37"/>
      <c r="I242" s="37"/>
      <c r="J242" s="38"/>
      <c r="K242" s="39"/>
      <c r="L242" s="39"/>
    </row>
    <row r="243" ht="17.25" customHeight="1">
      <c r="A243" s="41"/>
      <c r="B243" s="37"/>
      <c r="C243" s="37"/>
      <c r="D243" s="37"/>
      <c r="E243" s="37"/>
      <c r="F243" s="37"/>
      <c r="G243" s="37"/>
      <c r="H243" s="37"/>
      <c r="I243" s="37"/>
      <c r="J243" s="38"/>
      <c r="K243" s="39"/>
      <c r="L243" s="39"/>
    </row>
    <row r="244" ht="17.25" customHeight="1">
      <c r="A244" s="41"/>
      <c r="B244" s="37"/>
      <c r="C244" s="37"/>
      <c r="D244" s="37"/>
      <c r="E244" s="37"/>
      <c r="F244" s="37"/>
      <c r="G244" s="37"/>
      <c r="H244" s="37"/>
      <c r="I244" s="37"/>
      <c r="J244" s="38"/>
      <c r="K244" s="39"/>
      <c r="L244" s="39"/>
    </row>
    <row r="245" ht="17.25" customHeight="1">
      <c r="A245" s="41"/>
      <c r="B245" s="37"/>
      <c r="C245" s="37"/>
      <c r="D245" s="37"/>
      <c r="E245" s="37"/>
      <c r="F245" s="37"/>
      <c r="G245" s="37"/>
      <c r="H245" s="37"/>
      <c r="I245" s="37"/>
      <c r="J245" s="38"/>
      <c r="K245" s="39"/>
      <c r="L245" s="39"/>
    </row>
    <row r="246" ht="17.25" customHeight="1">
      <c r="A246" s="41"/>
      <c r="B246" s="37"/>
      <c r="C246" s="37"/>
      <c r="D246" s="37"/>
      <c r="E246" s="37"/>
      <c r="F246" s="37"/>
      <c r="G246" s="37"/>
      <c r="H246" s="37"/>
      <c r="I246" s="37"/>
      <c r="J246" s="38"/>
      <c r="K246" s="39"/>
      <c r="L246" s="39"/>
    </row>
    <row r="247" ht="17.25" customHeight="1">
      <c r="A247" s="41"/>
      <c r="B247" s="37"/>
      <c r="C247" s="37"/>
      <c r="D247" s="37"/>
      <c r="E247" s="37"/>
      <c r="F247" s="37"/>
      <c r="G247" s="37"/>
      <c r="H247" s="37"/>
      <c r="I247" s="37"/>
      <c r="J247" s="38"/>
      <c r="K247" s="39"/>
      <c r="L247" s="39"/>
    </row>
    <row r="248" ht="17.25" customHeight="1">
      <c r="A248" s="41"/>
      <c r="B248" s="37"/>
      <c r="C248" s="37"/>
      <c r="D248" s="37"/>
      <c r="E248" s="37"/>
      <c r="F248" s="37"/>
      <c r="G248" s="37"/>
      <c r="H248" s="37"/>
      <c r="I248" s="37"/>
      <c r="J248" s="38"/>
      <c r="K248" s="39"/>
      <c r="L248" s="39"/>
    </row>
    <row r="249" ht="17.25" customHeight="1">
      <c r="A249" s="41"/>
      <c r="B249" s="37"/>
      <c r="C249" s="37"/>
      <c r="D249" s="37"/>
      <c r="E249" s="37"/>
      <c r="F249" s="37"/>
      <c r="G249" s="37"/>
      <c r="H249" s="37"/>
      <c r="I249" s="37"/>
      <c r="J249" s="38"/>
      <c r="K249" s="39"/>
      <c r="L249" s="39"/>
    </row>
    <row r="250" ht="17.25" customHeight="1">
      <c r="A250" s="41"/>
      <c r="B250" s="37"/>
      <c r="C250" s="37"/>
      <c r="D250" s="37"/>
      <c r="E250" s="37"/>
      <c r="F250" s="37"/>
      <c r="G250" s="37"/>
      <c r="H250" s="37"/>
      <c r="I250" s="37"/>
      <c r="J250" s="38"/>
      <c r="K250" s="39"/>
      <c r="L250" s="39"/>
    </row>
    <row r="251" ht="17.25" customHeight="1">
      <c r="A251" s="41"/>
      <c r="B251" s="37"/>
      <c r="C251" s="37"/>
      <c r="D251" s="37"/>
      <c r="E251" s="37"/>
      <c r="F251" s="37"/>
      <c r="G251" s="37"/>
      <c r="H251" s="37"/>
      <c r="I251" s="37"/>
      <c r="J251" s="38"/>
      <c r="K251" s="39"/>
      <c r="L251" s="39"/>
    </row>
    <row r="252" ht="17.25" customHeight="1">
      <c r="A252" s="41"/>
      <c r="B252" s="37"/>
      <c r="C252" s="37"/>
      <c r="D252" s="37"/>
      <c r="E252" s="37"/>
      <c r="F252" s="37"/>
      <c r="G252" s="37"/>
      <c r="H252" s="37"/>
      <c r="I252" s="37"/>
      <c r="J252" s="38"/>
      <c r="K252" s="39"/>
      <c r="L252" s="39"/>
    </row>
    <row r="253" ht="17.25" customHeight="1">
      <c r="A253" s="41"/>
      <c r="B253" s="37"/>
      <c r="C253" s="37"/>
      <c r="D253" s="37"/>
      <c r="E253" s="37"/>
      <c r="F253" s="37"/>
      <c r="G253" s="37"/>
      <c r="H253" s="37"/>
      <c r="I253" s="37"/>
      <c r="J253" s="38"/>
      <c r="K253" s="39"/>
      <c r="L253" s="39"/>
    </row>
    <row r="254" ht="17.25" customHeight="1">
      <c r="A254" s="41"/>
      <c r="B254" s="37"/>
      <c r="C254" s="37"/>
      <c r="D254" s="37"/>
      <c r="E254" s="37"/>
      <c r="F254" s="37"/>
      <c r="G254" s="37"/>
      <c r="H254" s="37"/>
      <c r="I254" s="37"/>
      <c r="J254" s="38"/>
      <c r="K254" s="39"/>
      <c r="L254" s="39"/>
    </row>
    <row r="255" ht="17.25" customHeight="1">
      <c r="A255" s="41"/>
      <c r="B255" s="37"/>
      <c r="C255" s="37"/>
      <c r="D255" s="37"/>
      <c r="E255" s="37"/>
      <c r="F255" s="37"/>
      <c r="G255" s="37"/>
      <c r="H255" s="37"/>
      <c r="I255" s="37"/>
      <c r="J255" s="38"/>
      <c r="K255" s="39"/>
      <c r="L255" s="39"/>
    </row>
    <row r="256" ht="17.25" customHeight="1">
      <c r="A256" s="41"/>
      <c r="B256" s="37"/>
      <c r="C256" s="37"/>
      <c r="D256" s="37"/>
      <c r="E256" s="37"/>
      <c r="F256" s="37"/>
      <c r="G256" s="37"/>
      <c r="H256" s="37"/>
      <c r="I256" s="37"/>
      <c r="J256" s="38"/>
      <c r="K256" s="39"/>
      <c r="L256" s="39"/>
    </row>
    <row r="257" ht="17.25" customHeight="1">
      <c r="A257" s="41"/>
      <c r="B257" s="37"/>
      <c r="C257" s="37"/>
      <c r="D257" s="37"/>
      <c r="E257" s="37"/>
      <c r="F257" s="37"/>
      <c r="G257" s="37"/>
      <c r="H257" s="37"/>
      <c r="I257" s="37"/>
      <c r="J257" s="38"/>
      <c r="K257" s="39"/>
      <c r="L257" s="39"/>
    </row>
    <row r="258" ht="17.25" customHeight="1">
      <c r="A258" s="41"/>
      <c r="B258" s="37"/>
      <c r="C258" s="37"/>
      <c r="D258" s="37"/>
      <c r="E258" s="37"/>
      <c r="F258" s="37"/>
      <c r="G258" s="37"/>
      <c r="H258" s="37"/>
      <c r="I258" s="37"/>
      <c r="J258" s="38"/>
      <c r="K258" s="39"/>
      <c r="L258" s="39"/>
    </row>
    <row r="259" ht="17.25" customHeight="1">
      <c r="A259" s="41"/>
      <c r="B259" s="37"/>
      <c r="C259" s="37"/>
      <c r="D259" s="37"/>
      <c r="E259" s="37"/>
      <c r="F259" s="37"/>
      <c r="G259" s="37"/>
      <c r="H259" s="37"/>
      <c r="I259" s="37"/>
      <c r="J259" s="38"/>
      <c r="K259" s="39"/>
      <c r="L259" s="39"/>
    </row>
    <row r="260" ht="17.25" customHeight="1">
      <c r="A260" s="41"/>
      <c r="B260" s="37"/>
      <c r="C260" s="37"/>
      <c r="D260" s="37"/>
      <c r="E260" s="37"/>
      <c r="F260" s="37"/>
      <c r="G260" s="37"/>
      <c r="H260" s="37"/>
      <c r="I260" s="37"/>
      <c r="J260" s="38"/>
      <c r="K260" s="39"/>
      <c r="L260" s="39"/>
    </row>
    <row r="261" ht="17.25" customHeight="1">
      <c r="A261" s="41"/>
      <c r="B261" s="37"/>
      <c r="C261" s="37"/>
      <c r="D261" s="37"/>
      <c r="E261" s="37"/>
      <c r="F261" s="37"/>
      <c r="G261" s="37"/>
      <c r="H261" s="37"/>
      <c r="I261" s="37"/>
      <c r="J261" s="38"/>
      <c r="K261" s="39"/>
      <c r="L261" s="39"/>
    </row>
    <row r="262" ht="17.25" customHeight="1">
      <c r="A262" s="41"/>
      <c r="B262" s="37"/>
      <c r="C262" s="37"/>
      <c r="D262" s="37"/>
      <c r="E262" s="37"/>
      <c r="F262" s="37"/>
      <c r="G262" s="37"/>
      <c r="H262" s="37"/>
      <c r="I262" s="37"/>
      <c r="J262" s="38"/>
      <c r="K262" s="39"/>
      <c r="L262" s="39"/>
    </row>
    <row r="263" ht="17.25" customHeight="1">
      <c r="A263" s="41"/>
      <c r="B263" s="37"/>
      <c r="C263" s="37"/>
      <c r="D263" s="37"/>
      <c r="E263" s="37"/>
      <c r="F263" s="37"/>
      <c r="G263" s="37"/>
      <c r="H263" s="37"/>
      <c r="I263" s="37"/>
      <c r="J263" s="38"/>
      <c r="K263" s="39"/>
      <c r="L263" s="39"/>
    </row>
    <row r="264" ht="17.25" customHeight="1">
      <c r="A264" s="41"/>
      <c r="B264" s="37"/>
      <c r="C264" s="37"/>
      <c r="D264" s="37"/>
      <c r="E264" s="37"/>
      <c r="F264" s="37"/>
      <c r="G264" s="37"/>
      <c r="H264" s="37"/>
      <c r="I264" s="37"/>
      <c r="J264" s="38"/>
      <c r="K264" s="39"/>
      <c r="L264" s="39"/>
    </row>
    <row r="265" ht="17.25" customHeight="1">
      <c r="A265" s="41"/>
      <c r="B265" s="37"/>
      <c r="C265" s="37"/>
      <c r="D265" s="37"/>
      <c r="E265" s="37"/>
      <c r="F265" s="37"/>
      <c r="G265" s="37"/>
      <c r="H265" s="37"/>
      <c r="I265" s="37"/>
      <c r="J265" s="38"/>
      <c r="K265" s="39"/>
      <c r="L265" s="39"/>
    </row>
    <row r="266" ht="17.25" customHeight="1">
      <c r="A266" s="41"/>
      <c r="B266" s="37"/>
      <c r="C266" s="37"/>
      <c r="D266" s="37"/>
      <c r="E266" s="37"/>
      <c r="F266" s="37"/>
      <c r="G266" s="37"/>
      <c r="H266" s="37"/>
      <c r="I266" s="37"/>
      <c r="J266" s="38"/>
      <c r="K266" s="39"/>
      <c r="L266" s="39"/>
    </row>
    <row r="267" ht="17.25" customHeight="1">
      <c r="A267" s="41"/>
      <c r="B267" s="37"/>
      <c r="C267" s="37"/>
      <c r="D267" s="37"/>
      <c r="E267" s="37"/>
      <c r="F267" s="37"/>
      <c r="G267" s="37"/>
      <c r="H267" s="37"/>
      <c r="I267" s="37"/>
      <c r="J267" s="38"/>
      <c r="K267" s="39"/>
      <c r="L267" s="39"/>
    </row>
    <row r="268" ht="17.25" customHeight="1">
      <c r="A268" s="41"/>
      <c r="B268" s="37"/>
      <c r="C268" s="37"/>
      <c r="D268" s="37"/>
      <c r="E268" s="37"/>
      <c r="F268" s="37"/>
      <c r="G268" s="37"/>
      <c r="H268" s="37"/>
      <c r="I268" s="37"/>
      <c r="J268" s="38"/>
      <c r="K268" s="39"/>
      <c r="L268" s="39"/>
    </row>
    <row r="269" ht="17.25" customHeight="1">
      <c r="A269" s="41"/>
      <c r="B269" s="37"/>
      <c r="C269" s="37"/>
      <c r="D269" s="37"/>
      <c r="E269" s="37"/>
      <c r="F269" s="37"/>
      <c r="G269" s="37"/>
      <c r="H269" s="37"/>
      <c r="I269" s="37"/>
      <c r="J269" s="38"/>
      <c r="K269" s="39"/>
      <c r="L269" s="39"/>
    </row>
    <row r="270" ht="17.25" customHeight="1">
      <c r="A270" s="41"/>
      <c r="B270" s="37"/>
      <c r="C270" s="37"/>
      <c r="D270" s="37"/>
      <c r="E270" s="37"/>
      <c r="F270" s="37"/>
      <c r="G270" s="37"/>
      <c r="H270" s="37"/>
      <c r="I270" s="37"/>
      <c r="J270" s="38"/>
      <c r="K270" s="39"/>
      <c r="L270" s="39"/>
    </row>
    <row r="271" ht="17.25" customHeight="1">
      <c r="A271" s="41"/>
      <c r="B271" s="37"/>
      <c r="C271" s="37"/>
      <c r="D271" s="37"/>
      <c r="E271" s="37"/>
      <c r="F271" s="37"/>
      <c r="G271" s="37"/>
      <c r="H271" s="37"/>
      <c r="I271" s="37"/>
      <c r="J271" s="38"/>
      <c r="K271" s="39"/>
      <c r="L271" s="39"/>
    </row>
    <row r="272" ht="17.25" customHeight="1">
      <c r="A272" s="41"/>
      <c r="B272" s="37"/>
      <c r="C272" s="37"/>
      <c r="D272" s="37"/>
      <c r="E272" s="37"/>
      <c r="F272" s="37"/>
      <c r="G272" s="37"/>
      <c r="H272" s="37"/>
      <c r="I272" s="37"/>
      <c r="J272" s="38"/>
      <c r="K272" s="39"/>
      <c r="L272" s="39"/>
    </row>
    <row r="273" ht="17.25" customHeight="1">
      <c r="A273" s="41"/>
      <c r="B273" s="37"/>
      <c r="C273" s="37"/>
      <c r="D273" s="37"/>
      <c r="E273" s="37"/>
      <c r="F273" s="37"/>
      <c r="G273" s="37"/>
      <c r="H273" s="37"/>
      <c r="I273" s="37"/>
      <c r="J273" s="38"/>
      <c r="K273" s="39"/>
      <c r="L273" s="39"/>
    </row>
    <row r="274" ht="17.25" customHeight="1">
      <c r="A274" s="41"/>
      <c r="B274" s="37"/>
      <c r="C274" s="37"/>
      <c r="D274" s="37"/>
      <c r="E274" s="37"/>
      <c r="F274" s="37"/>
      <c r="G274" s="37"/>
      <c r="H274" s="37"/>
      <c r="I274" s="37"/>
      <c r="J274" s="38"/>
      <c r="K274" s="39"/>
      <c r="L274" s="39"/>
    </row>
    <row r="275" ht="17.25" customHeight="1">
      <c r="A275" s="41"/>
      <c r="B275" s="37"/>
      <c r="C275" s="37"/>
      <c r="D275" s="37"/>
      <c r="E275" s="37"/>
      <c r="F275" s="37"/>
      <c r="G275" s="37"/>
      <c r="H275" s="37"/>
      <c r="I275" s="37"/>
      <c r="J275" s="38"/>
      <c r="K275" s="39"/>
      <c r="L275" s="39"/>
    </row>
    <row r="276" ht="17.25" customHeight="1">
      <c r="A276" s="41"/>
      <c r="B276" s="37"/>
      <c r="C276" s="37"/>
      <c r="D276" s="37"/>
      <c r="E276" s="37"/>
      <c r="F276" s="37"/>
      <c r="G276" s="37"/>
      <c r="H276" s="37"/>
      <c r="I276" s="37"/>
      <c r="J276" s="38"/>
      <c r="K276" s="39"/>
      <c r="L276" s="39"/>
    </row>
    <row r="277" ht="17.25" customHeight="1">
      <c r="A277" s="41"/>
      <c r="B277" s="37"/>
      <c r="C277" s="37"/>
      <c r="D277" s="37"/>
      <c r="E277" s="37"/>
      <c r="F277" s="37"/>
      <c r="G277" s="37"/>
      <c r="H277" s="37"/>
      <c r="I277" s="37"/>
      <c r="J277" s="38"/>
      <c r="K277" s="39"/>
      <c r="L277" s="39"/>
    </row>
    <row r="278" ht="17.25" customHeight="1">
      <c r="A278" s="41"/>
      <c r="B278" s="37"/>
      <c r="C278" s="37"/>
      <c r="D278" s="37"/>
      <c r="E278" s="37"/>
      <c r="F278" s="37"/>
      <c r="G278" s="37"/>
      <c r="H278" s="37"/>
      <c r="I278" s="37"/>
      <c r="J278" s="38"/>
      <c r="K278" s="39"/>
      <c r="L278" s="39"/>
    </row>
    <row r="279" ht="17.25" customHeight="1">
      <c r="A279" s="41"/>
      <c r="B279" s="37"/>
      <c r="C279" s="37"/>
      <c r="D279" s="37"/>
      <c r="E279" s="37"/>
      <c r="F279" s="37"/>
      <c r="G279" s="37"/>
      <c r="H279" s="37"/>
      <c r="I279" s="37"/>
      <c r="J279" s="38"/>
      <c r="K279" s="39"/>
      <c r="L279" s="39"/>
    </row>
    <row r="280" ht="17.25" customHeight="1">
      <c r="A280" s="41"/>
      <c r="B280" s="37"/>
      <c r="C280" s="37"/>
      <c r="D280" s="37"/>
      <c r="E280" s="37"/>
      <c r="F280" s="37"/>
      <c r="G280" s="37"/>
      <c r="H280" s="37"/>
      <c r="I280" s="37"/>
      <c r="J280" s="38"/>
      <c r="K280" s="39"/>
      <c r="L280" s="39"/>
    </row>
    <row r="281" ht="17.25" customHeight="1">
      <c r="A281" s="41"/>
      <c r="B281" s="37"/>
      <c r="C281" s="37"/>
      <c r="D281" s="37"/>
      <c r="E281" s="37"/>
      <c r="F281" s="37"/>
      <c r="G281" s="37"/>
      <c r="H281" s="37"/>
      <c r="I281" s="37"/>
      <c r="J281" s="38"/>
      <c r="K281" s="39"/>
      <c r="L281" s="39"/>
    </row>
    <row r="282" ht="17.25" customHeight="1">
      <c r="A282" s="41"/>
      <c r="B282" s="37"/>
      <c r="C282" s="37"/>
      <c r="D282" s="37"/>
      <c r="E282" s="37"/>
      <c r="F282" s="37"/>
      <c r="G282" s="37"/>
      <c r="H282" s="37"/>
      <c r="I282" s="37"/>
      <c r="J282" s="38"/>
      <c r="K282" s="39"/>
      <c r="L282" s="39"/>
    </row>
    <row r="283" ht="17.25" customHeight="1">
      <c r="A283" s="41"/>
      <c r="B283" s="37"/>
      <c r="C283" s="37"/>
      <c r="D283" s="37"/>
      <c r="E283" s="37"/>
      <c r="F283" s="37"/>
      <c r="G283" s="37"/>
      <c r="H283" s="37"/>
      <c r="I283" s="37"/>
      <c r="J283" s="38"/>
      <c r="K283" s="39"/>
      <c r="L283" s="39"/>
    </row>
    <row r="284" ht="17.25" customHeight="1">
      <c r="A284" s="41"/>
      <c r="B284" s="37"/>
      <c r="C284" s="37"/>
      <c r="D284" s="37"/>
      <c r="E284" s="37"/>
      <c r="F284" s="37"/>
      <c r="G284" s="37"/>
      <c r="H284" s="37"/>
      <c r="I284" s="37"/>
      <c r="J284" s="38"/>
      <c r="K284" s="39"/>
      <c r="L284" s="39"/>
    </row>
    <row r="285" ht="17.25" customHeight="1">
      <c r="A285" s="41"/>
      <c r="B285" s="37"/>
      <c r="C285" s="37"/>
      <c r="D285" s="37"/>
      <c r="E285" s="37"/>
      <c r="F285" s="37"/>
      <c r="G285" s="37"/>
      <c r="H285" s="37"/>
      <c r="I285" s="37"/>
      <c r="J285" s="38"/>
      <c r="K285" s="39"/>
      <c r="L285" s="39"/>
    </row>
    <row r="286" ht="17.25" customHeight="1">
      <c r="A286" s="41"/>
      <c r="B286" s="37"/>
      <c r="C286" s="37"/>
      <c r="D286" s="37"/>
      <c r="E286" s="37"/>
      <c r="F286" s="37"/>
      <c r="G286" s="37"/>
      <c r="H286" s="37"/>
      <c r="I286" s="37"/>
      <c r="J286" s="38"/>
      <c r="K286" s="39"/>
      <c r="L286" s="39"/>
    </row>
    <row r="287" ht="17.25" customHeight="1">
      <c r="A287" s="41"/>
      <c r="B287" s="37"/>
      <c r="C287" s="37"/>
      <c r="D287" s="37"/>
      <c r="E287" s="37"/>
      <c r="F287" s="37"/>
      <c r="G287" s="37"/>
      <c r="H287" s="37"/>
      <c r="I287" s="37"/>
      <c r="J287" s="38"/>
      <c r="K287" s="39"/>
      <c r="L287" s="39"/>
    </row>
    <row r="288" ht="17.25" customHeight="1">
      <c r="A288" s="41"/>
      <c r="B288" s="37"/>
      <c r="C288" s="37"/>
      <c r="D288" s="37"/>
      <c r="E288" s="37"/>
      <c r="F288" s="37"/>
      <c r="G288" s="37"/>
      <c r="H288" s="37"/>
      <c r="I288" s="37"/>
      <c r="J288" s="38"/>
      <c r="K288" s="39"/>
      <c r="L288" s="39"/>
    </row>
    <row r="289" ht="17.25" customHeight="1">
      <c r="A289" s="41"/>
      <c r="B289" s="37"/>
      <c r="C289" s="37"/>
      <c r="D289" s="37"/>
      <c r="E289" s="37"/>
      <c r="F289" s="37"/>
      <c r="G289" s="37"/>
      <c r="H289" s="37"/>
      <c r="I289" s="37"/>
      <c r="J289" s="38"/>
      <c r="K289" s="39"/>
      <c r="L289" s="39"/>
    </row>
    <row r="290" ht="17.25" customHeight="1">
      <c r="A290" s="41"/>
      <c r="B290" s="37"/>
      <c r="C290" s="37"/>
      <c r="D290" s="37"/>
      <c r="E290" s="37"/>
      <c r="F290" s="37"/>
      <c r="G290" s="37"/>
      <c r="H290" s="37"/>
      <c r="I290" s="37"/>
      <c r="J290" s="38"/>
      <c r="K290" s="39"/>
      <c r="L290" s="39"/>
    </row>
    <row r="291" ht="17.25" customHeight="1">
      <c r="A291" s="41"/>
      <c r="B291" s="37"/>
      <c r="C291" s="37"/>
      <c r="D291" s="37"/>
      <c r="E291" s="37"/>
      <c r="F291" s="37"/>
      <c r="G291" s="37"/>
      <c r="H291" s="37"/>
      <c r="I291" s="37"/>
      <c r="J291" s="38"/>
      <c r="K291" s="39"/>
      <c r="L291" s="39"/>
    </row>
    <row r="292" ht="17.25" customHeight="1">
      <c r="A292" s="41"/>
      <c r="B292" s="37"/>
      <c r="C292" s="37"/>
      <c r="D292" s="37"/>
      <c r="E292" s="37"/>
      <c r="F292" s="37"/>
      <c r="G292" s="37"/>
      <c r="H292" s="37"/>
      <c r="I292" s="37"/>
      <c r="J292" s="38"/>
      <c r="K292" s="39"/>
      <c r="L292" s="39"/>
    </row>
    <row r="293" ht="17.25" customHeight="1">
      <c r="A293" s="41"/>
      <c r="B293" s="37"/>
      <c r="C293" s="37"/>
      <c r="D293" s="37"/>
      <c r="E293" s="37"/>
      <c r="F293" s="37"/>
      <c r="G293" s="37"/>
      <c r="H293" s="37"/>
      <c r="I293" s="37"/>
      <c r="J293" s="38"/>
      <c r="K293" s="39"/>
      <c r="L293" s="39"/>
    </row>
    <row r="294" ht="17.25" customHeight="1">
      <c r="A294" s="41"/>
      <c r="B294" s="37"/>
      <c r="C294" s="37"/>
      <c r="D294" s="37"/>
      <c r="E294" s="37"/>
      <c r="F294" s="37"/>
      <c r="G294" s="37"/>
      <c r="H294" s="37"/>
      <c r="I294" s="37"/>
      <c r="J294" s="38"/>
      <c r="K294" s="39"/>
      <c r="L294" s="39"/>
    </row>
    <row r="295" ht="17.25" customHeight="1">
      <c r="A295" s="41"/>
      <c r="B295" s="37"/>
      <c r="C295" s="37"/>
      <c r="D295" s="37"/>
      <c r="E295" s="37"/>
      <c r="F295" s="37"/>
      <c r="G295" s="37"/>
      <c r="H295" s="37"/>
      <c r="I295" s="37"/>
      <c r="J295" s="38"/>
      <c r="K295" s="39"/>
      <c r="L295" s="39"/>
    </row>
    <row r="296" ht="17.25" customHeight="1">
      <c r="A296" s="41"/>
      <c r="B296" s="37"/>
      <c r="C296" s="37"/>
      <c r="D296" s="37"/>
      <c r="E296" s="37"/>
      <c r="F296" s="37"/>
      <c r="G296" s="37"/>
      <c r="H296" s="37"/>
      <c r="I296" s="37"/>
      <c r="J296" s="38"/>
      <c r="K296" s="39"/>
      <c r="L296" s="39"/>
    </row>
    <row r="297" ht="17.25" customHeight="1">
      <c r="A297" s="41"/>
      <c r="B297" s="37"/>
      <c r="C297" s="37"/>
      <c r="D297" s="37"/>
      <c r="E297" s="37"/>
      <c r="F297" s="37"/>
      <c r="G297" s="37"/>
      <c r="H297" s="37"/>
      <c r="I297" s="37"/>
      <c r="J297" s="38"/>
      <c r="K297" s="39"/>
      <c r="L297" s="39"/>
    </row>
    <row r="298" ht="17.25" customHeight="1">
      <c r="A298" s="41"/>
      <c r="B298" s="37"/>
      <c r="C298" s="37"/>
      <c r="D298" s="37"/>
      <c r="E298" s="37"/>
      <c r="F298" s="37"/>
      <c r="G298" s="37"/>
      <c r="H298" s="37"/>
      <c r="I298" s="37"/>
      <c r="J298" s="38"/>
      <c r="K298" s="39"/>
      <c r="L298" s="39"/>
    </row>
    <row r="299" ht="17.25" customHeight="1">
      <c r="A299" s="41"/>
      <c r="B299" s="37"/>
      <c r="C299" s="37"/>
      <c r="D299" s="37"/>
      <c r="E299" s="37"/>
      <c r="F299" s="37"/>
      <c r="G299" s="37"/>
      <c r="H299" s="37"/>
      <c r="I299" s="37"/>
      <c r="J299" s="38"/>
      <c r="K299" s="39"/>
      <c r="L299" s="39"/>
    </row>
    <row r="300" ht="17.25" customHeight="1">
      <c r="A300" s="41"/>
      <c r="B300" s="37"/>
      <c r="C300" s="37"/>
      <c r="D300" s="37"/>
      <c r="E300" s="37"/>
      <c r="F300" s="37"/>
      <c r="G300" s="37"/>
      <c r="H300" s="37"/>
      <c r="I300" s="37"/>
      <c r="J300" s="38"/>
      <c r="K300" s="39"/>
      <c r="L300" s="39"/>
    </row>
    <row r="301" ht="17.25" customHeight="1">
      <c r="A301" s="41"/>
      <c r="B301" s="37"/>
      <c r="C301" s="37"/>
      <c r="D301" s="37"/>
      <c r="E301" s="37"/>
      <c r="F301" s="37"/>
      <c r="G301" s="37"/>
      <c r="H301" s="37"/>
      <c r="I301" s="37"/>
      <c r="J301" s="38"/>
      <c r="K301" s="39"/>
      <c r="L301" s="39"/>
    </row>
    <row r="302" ht="17.25" customHeight="1">
      <c r="A302" s="41"/>
      <c r="B302" s="37"/>
      <c r="C302" s="37"/>
      <c r="D302" s="37"/>
      <c r="E302" s="37"/>
      <c r="F302" s="37"/>
      <c r="G302" s="37"/>
      <c r="H302" s="37"/>
      <c r="I302" s="37"/>
      <c r="J302" s="38"/>
      <c r="K302" s="39"/>
      <c r="L302" s="39"/>
    </row>
    <row r="303" ht="17.25" customHeight="1">
      <c r="A303" s="41"/>
      <c r="B303" s="37"/>
      <c r="C303" s="37"/>
      <c r="D303" s="37"/>
      <c r="E303" s="37"/>
      <c r="F303" s="37"/>
      <c r="G303" s="37"/>
      <c r="H303" s="37"/>
      <c r="I303" s="37"/>
      <c r="J303" s="38"/>
      <c r="K303" s="39"/>
      <c r="L303" s="39"/>
    </row>
    <row r="304" ht="17.25" customHeight="1">
      <c r="A304" s="41"/>
      <c r="B304" s="37"/>
      <c r="C304" s="37"/>
      <c r="D304" s="37"/>
      <c r="E304" s="37"/>
      <c r="F304" s="37"/>
      <c r="G304" s="37"/>
      <c r="H304" s="37"/>
      <c r="I304" s="37"/>
      <c r="J304" s="38"/>
      <c r="K304" s="39"/>
      <c r="L304" s="39"/>
    </row>
    <row r="305" ht="17.25" customHeight="1">
      <c r="A305" s="41"/>
      <c r="B305" s="37"/>
      <c r="C305" s="37"/>
      <c r="D305" s="37"/>
      <c r="E305" s="37"/>
      <c r="F305" s="37"/>
      <c r="G305" s="37"/>
      <c r="H305" s="37"/>
      <c r="I305" s="37"/>
      <c r="J305" s="38"/>
      <c r="K305" s="39"/>
      <c r="L305" s="39"/>
    </row>
    <row r="306" ht="17.25" customHeight="1">
      <c r="A306" s="41"/>
      <c r="B306" s="37"/>
      <c r="C306" s="37"/>
      <c r="D306" s="37"/>
      <c r="E306" s="37"/>
      <c r="F306" s="37"/>
      <c r="G306" s="37"/>
      <c r="H306" s="37"/>
      <c r="I306" s="37"/>
      <c r="J306" s="38"/>
      <c r="K306" s="39"/>
      <c r="L306" s="39"/>
    </row>
    <row r="307" ht="17.25" customHeight="1">
      <c r="A307" s="41"/>
      <c r="B307" s="37"/>
      <c r="C307" s="37"/>
      <c r="D307" s="37"/>
      <c r="E307" s="37"/>
      <c r="F307" s="37"/>
      <c r="G307" s="37"/>
      <c r="H307" s="37"/>
      <c r="I307" s="37"/>
      <c r="J307" s="38"/>
      <c r="K307" s="39"/>
      <c r="L307" s="39"/>
    </row>
    <row r="308" ht="17.25" customHeight="1">
      <c r="A308" s="41"/>
      <c r="B308" s="37"/>
      <c r="C308" s="37"/>
      <c r="D308" s="37"/>
      <c r="E308" s="37"/>
      <c r="F308" s="37"/>
      <c r="G308" s="37"/>
      <c r="H308" s="37"/>
      <c r="I308" s="37"/>
      <c r="J308" s="38"/>
      <c r="K308" s="39"/>
      <c r="L308" s="39"/>
    </row>
    <row r="309" ht="17.25" customHeight="1">
      <c r="A309" s="41"/>
      <c r="B309" s="37"/>
      <c r="C309" s="37"/>
      <c r="D309" s="37"/>
      <c r="E309" s="37"/>
      <c r="F309" s="37"/>
      <c r="G309" s="37"/>
      <c r="H309" s="37"/>
      <c r="I309" s="37"/>
      <c r="J309" s="38"/>
      <c r="K309" s="39"/>
      <c r="L309" s="39"/>
    </row>
    <row r="310" ht="17.25" customHeight="1">
      <c r="A310" s="41"/>
      <c r="B310" s="37"/>
      <c r="C310" s="37"/>
      <c r="D310" s="37"/>
      <c r="E310" s="37"/>
      <c r="F310" s="37"/>
      <c r="G310" s="37"/>
      <c r="H310" s="37"/>
      <c r="I310" s="37"/>
      <c r="J310" s="38"/>
      <c r="K310" s="39"/>
      <c r="L310" s="39"/>
    </row>
    <row r="311" ht="17.25" customHeight="1">
      <c r="A311" s="41"/>
      <c r="B311" s="37"/>
      <c r="C311" s="37"/>
      <c r="D311" s="37"/>
      <c r="E311" s="37"/>
      <c r="F311" s="37"/>
      <c r="G311" s="37"/>
      <c r="H311" s="37"/>
      <c r="I311" s="37"/>
      <c r="J311" s="38"/>
      <c r="K311" s="39"/>
      <c r="L311" s="39"/>
    </row>
    <row r="312" ht="17.25" customHeight="1">
      <c r="A312" s="41"/>
      <c r="B312" s="37"/>
      <c r="C312" s="37"/>
      <c r="D312" s="37"/>
      <c r="E312" s="37"/>
      <c r="F312" s="37"/>
      <c r="G312" s="37"/>
      <c r="H312" s="37"/>
      <c r="I312" s="37"/>
      <c r="J312" s="38"/>
      <c r="K312" s="39"/>
      <c r="L312" s="39"/>
    </row>
    <row r="313" ht="17.25" customHeight="1">
      <c r="A313" s="41"/>
      <c r="B313" s="37"/>
      <c r="C313" s="37"/>
      <c r="D313" s="37"/>
      <c r="E313" s="37"/>
      <c r="F313" s="37"/>
      <c r="G313" s="37"/>
      <c r="H313" s="37"/>
      <c r="I313" s="37"/>
      <c r="J313" s="38"/>
      <c r="K313" s="39"/>
      <c r="L313" s="39"/>
    </row>
    <row r="314" ht="17.25" customHeight="1">
      <c r="A314" s="41"/>
      <c r="B314" s="37"/>
      <c r="C314" s="37"/>
      <c r="D314" s="37"/>
      <c r="E314" s="37"/>
      <c r="F314" s="37"/>
      <c r="G314" s="37"/>
      <c r="H314" s="37"/>
      <c r="I314" s="37"/>
      <c r="J314" s="38"/>
      <c r="K314" s="39"/>
      <c r="L314" s="39"/>
    </row>
    <row r="315" ht="17.25" customHeight="1">
      <c r="A315" s="41"/>
      <c r="B315" s="37"/>
      <c r="C315" s="37"/>
      <c r="D315" s="37"/>
      <c r="E315" s="37"/>
      <c r="F315" s="37"/>
      <c r="G315" s="37"/>
      <c r="H315" s="37"/>
      <c r="I315" s="37"/>
      <c r="J315" s="38"/>
      <c r="K315" s="39"/>
      <c r="L315" s="39"/>
    </row>
    <row r="316" ht="17.25" customHeight="1">
      <c r="A316" s="41"/>
      <c r="B316" s="37"/>
      <c r="C316" s="37"/>
      <c r="D316" s="37"/>
      <c r="E316" s="37"/>
      <c r="F316" s="37"/>
      <c r="G316" s="37"/>
      <c r="H316" s="37"/>
      <c r="I316" s="37"/>
      <c r="J316" s="38"/>
      <c r="K316" s="39"/>
      <c r="L316" s="39"/>
    </row>
    <row r="317" ht="17.25" customHeight="1">
      <c r="A317" s="41"/>
      <c r="B317" s="37"/>
      <c r="C317" s="37"/>
      <c r="D317" s="37"/>
      <c r="E317" s="37"/>
      <c r="F317" s="37"/>
      <c r="G317" s="37"/>
      <c r="H317" s="37"/>
      <c r="I317" s="37"/>
      <c r="J317" s="38"/>
      <c r="K317" s="39"/>
      <c r="L317" s="39"/>
    </row>
    <row r="318" ht="17.25" customHeight="1">
      <c r="A318" s="41"/>
      <c r="B318" s="37"/>
      <c r="C318" s="37"/>
      <c r="D318" s="37"/>
      <c r="E318" s="37"/>
      <c r="F318" s="37"/>
      <c r="G318" s="37"/>
      <c r="H318" s="37"/>
      <c r="I318" s="37"/>
      <c r="J318" s="38"/>
      <c r="K318" s="39"/>
      <c r="L318" s="39"/>
    </row>
    <row r="319" ht="17.25" customHeight="1">
      <c r="A319" s="41"/>
      <c r="B319" s="37"/>
      <c r="C319" s="37"/>
      <c r="D319" s="37"/>
      <c r="E319" s="37"/>
      <c r="F319" s="37"/>
      <c r="G319" s="37"/>
      <c r="H319" s="37"/>
      <c r="I319" s="37"/>
      <c r="J319" s="38"/>
      <c r="K319" s="39"/>
      <c r="L319" s="39"/>
    </row>
    <row r="320" ht="17.25" customHeight="1">
      <c r="A320" s="41"/>
      <c r="B320" s="37"/>
      <c r="C320" s="37"/>
      <c r="D320" s="37"/>
      <c r="E320" s="37"/>
      <c r="F320" s="37"/>
      <c r="G320" s="37"/>
      <c r="H320" s="37"/>
      <c r="I320" s="37"/>
      <c r="J320" s="38"/>
      <c r="K320" s="39"/>
      <c r="L320" s="39"/>
    </row>
    <row r="321" ht="17.25" customHeight="1">
      <c r="A321" s="41"/>
      <c r="B321" s="37"/>
      <c r="C321" s="37"/>
      <c r="D321" s="37"/>
      <c r="E321" s="37"/>
      <c r="F321" s="37"/>
      <c r="G321" s="37"/>
      <c r="H321" s="37"/>
      <c r="I321" s="37"/>
      <c r="J321" s="38"/>
      <c r="K321" s="39"/>
      <c r="L321" s="39"/>
    </row>
    <row r="322" ht="17.25" customHeight="1">
      <c r="A322" s="41"/>
      <c r="B322" s="37"/>
      <c r="C322" s="37"/>
      <c r="D322" s="37"/>
      <c r="E322" s="37"/>
      <c r="F322" s="37"/>
      <c r="G322" s="37"/>
      <c r="H322" s="37"/>
      <c r="I322" s="37"/>
      <c r="J322" s="38"/>
      <c r="K322" s="39"/>
      <c r="L322" s="39"/>
    </row>
    <row r="323" ht="17.25" customHeight="1">
      <c r="A323" s="41"/>
      <c r="B323" s="37"/>
      <c r="C323" s="37"/>
      <c r="D323" s="37"/>
      <c r="E323" s="37"/>
      <c r="F323" s="37"/>
      <c r="G323" s="37"/>
      <c r="H323" s="37"/>
      <c r="I323" s="37"/>
      <c r="J323" s="38"/>
      <c r="K323" s="39"/>
      <c r="L323" s="39"/>
    </row>
    <row r="324" ht="17.25" customHeight="1">
      <c r="A324" s="41"/>
      <c r="B324" s="37"/>
      <c r="C324" s="37"/>
      <c r="D324" s="37"/>
      <c r="E324" s="37"/>
      <c r="F324" s="37"/>
      <c r="G324" s="37"/>
      <c r="H324" s="37"/>
      <c r="I324" s="37"/>
      <c r="J324" s="38"/>
      <c r="K324" s="39"/>
      <c r="L324" s="39"/>
    </row>
    <row r="325" ht="17.25" customHeight="1">
      <c r="A325" s="41"/>
      <c r="B325" s="37"/>
      <c r="C325" s="37"/>
      <c r="D325" s="37"/>
      <c r="E325" s="37"/>
      <c r="F325" s="37"/>
      <c r="G325" s="37"/>
      <c r="H325" s="37"/>
      <c r="I325" s="37"/>
      <c r="J325" s="38"/>
      <c r="K325" s="39"/>
      <c r="L325" s="39"/>
    </row>
    <row r="326" ht="17.25" customHeight="1">
      <c r="A326" s="41"/>
      <c r="B326" s="37"/>
      <c r="C326" s="37"/>
      <c r="D326" s="37"/>
      <c r="E326" s="37"/>
      <c r="F326" s="37"/>
      <c r="G326" s="37"/>
      <c r="H326" s="37"/>
      <c r="I326" s="37"/>
      <c r="J326" s="38"/>
      <c r="K326" s="39"/>
      <c r="L326" s="39"/>
    </row>
    <row r="327" ht="17.25" customHeight="1">
      <c r="A327" s="41"/>
      <c r="B327" s="37"/>
      <c r="C327" s="37"/>
      <c r="D327" s="37"/>
      <c r="E327" s="37"/>
      <c r="F327" s="37"/>
      <c r="G327" s="37"/>
      <c r="H327" s="37"/>
      <c r="I327" s="37"/>
      <c r="J327" s="38"/>
      <c r="K327" s="39"/>
      <c r="L327" s="39"/>
    </row>
    <row r="328" ht="17.25" customHeight="1">
      <c r="A328" s="41"/>
      <c r="B328" s="37"/>
      <c r="C328" s="37"/>
      <c r="D328" s="37"/>
      <c r="E328" s="37"/>
      <c r="F328" s="37"/>
      <c r="G328" s="37"/>
      <c r="H328" s="37"/>
      <c r="I328" s="37"/>
      <c r="J328" s="38"/>
      <c r="K328" s="39"/>
      <c r="L328" s="39"/>
    </row>
    <row r="329" ht="17.25" customHeight="1">
      <c r="A329" s="41"/>
      <c r="B329" s="37"/>
      <c r="C329" s="37"/>
      <c r="D329" s="37"/>
      <c r="E329" s="37"/>
      <c r="F329" s="37"/>
      <c r="G329" s="37"/>
      <c r="H329" s="37"/>
      <c r="I329" s="37"/>
      <c r="J329" s="38"/>
      <c r="K329" s="39"/>
      <c r="L329" s="39"/>
    </row>
    <row r="330" ht="17.25" customHeight="1">
      <c r="A330" s="41"/>
      <c r="B330" s="37"/>
      <c r="C330" s="37"/>
      <c r="D330" s="37"/>
      <c r="E330" s="37"/>
      <c r="F330" s="37"/>
      <c r="G330" s="37"/>
      <c r="H330" s="37"/>
      <c r="I330" s="37"/>
      <c r="J330" s="38"/>
      <c r="K330" s="39"/>
      <c r="L330" s="39"/>
    </row>
    <row r="331" ht="17.25" customHeight="1">
      <c r="A331" s="41"/>
      <c r="B331" s="37"/>
      <c r="C331" s="37"/>
      <c r="D331" s="37"/>
      <c r="E331" s="37"/>
      <c r="F331" s="37"/>
      <c r="G331" s="37"/>
      <c r="H331" s="37"/>
      <c r="I331" s="37"/>
      <c r="J331" s="38"/>
      <c r="K331" s="39"/>
      <c r="L331" s="39"/>
    </row>
    <row r="332" ht="17.25" customHeight="1">
      <c r="A332" s="41"/>
      <c r="B332" s="37"/>
      <c r="C332" s="37"/>
      <c r="D332" s="37"/>
      <c r="E332" s="37"/>
      <c r="F332" s="37"/>
      <c r="G332" s="37"/>
      <c r="H332" s="37"/>
      <c r="I332" s="37"/>
      <c r="J332" s="38"/>
      <c r="K332" s="39"/>
      <c r="L332" s="39"/>
    </row>
    <row r="333" ht="17.25" customHeight="1">
      <c r="A333" s="41"/>
      <c r="B333" s="37"/>
      <c r="C333" s="37"/>
      <c r="D333" s="37"/>
      <c r="E333" s="37"/>
      <c r="F333" s="37"/>
      <c r="G333" s="37"/>
      <c r="H333" s="37"/>
      <c r="I333" s="37"/>
      <c r="J333" s="38"/>
      <c r="K333" s="39"/>
      <c r="L333" s="39"/>
    </row>
    <row r="334" ht="17.25" customHeight="1">
      <c r="A334" s="41"/>
      <c r="B334" s="37"/>
      <c r="C334" s="37"/>
      <c r="D334" s="37"/>
      <c r="E334" s="37"/>
      <c r="F334" s="37"/>
      <c r="G334" s="37"/>
      <c r="H334" s="37"/>
      <c r="I334" s="37"/>
      <c r="J334" s="38"/>
      <c r="K334" s="39"/>
      <c r="L334" s="39"/>
    </row>
    <row r="335" ht="17.25" customHeight="1">
      <c r="A335" s="41"/>
      <c r="B335" s="37"/>
      <c r="C335" s="37"/>
      <c r="D335" s="37"/>
      <c r="E335" s="37"/>
      <c r="F335" s="37"/>
      <c r="G335" s="37"/>
      <c r="H335" s="37"/>
      <c r="I335" s="37"/>
      <c r="J335" s="38"/>
      <c r="K335" s="39"/>
      <c r="L335" s="39"/>
    </row>
    <row r="336" ht="17.25" customHeight="1">
      <c r="A336" s="41"/>
      <c r="B336" s="37"/>
      <c r="C336" s="37"/>
      <c r="D336" s="37"/>
      <c r="E336" s="37"/>
      <c r="F336" s="37"/>
      <c r="G336" s="37"/>
      <c r="H336" s="37"/>
      <c r="I336" s="37"/>
      <c r="J336" s="38"/>
      <c r="K336" s="39"/>
      <c r="L336" s="39"/>
    </row>
    <row r="337" ht="17.25" customHeight="1">
      <c r="A337" s="41"/>
      <c r="B337" s="37"/>
      <c r="C337" s="37"/>
      <c r="D337" s="37"/>
      <c r="E337" s="37"/>
      <c r="F337" s="37"/>
      <c r="G337" s="37"/>
      <c r="H337" s="37"/>
      <c r="I337" s="37"/>
      <c r="J337" s="38"/>
      <c r="K337" s="39"/>
      <c r="L337" s="39"/>
    </row>
    <row r="338" ht="17.25" customHeight="1">
      <c r="A338" s="41"/>
      <c r="B338" s="37"/>
      <c r="C338" s="37"/>
      <c r="D338" s="37"/>
      <c r="E338" s="37"/>
      <c r="F338" s="37"/>
      <c r="G338" s="37"/>
      <c r="H338" s="37"/>
      <c r="I338" s="37"/>
      <c r="J338" s="38"/>
      <c r="K338" s="39"/>
      <c r="L338" s="39"/>
    </row>
    <row r="339" ht="17.25" customHeight="1">
      <c r="A339" s="41"/>
      <c r="B339" s="37"/>
      <c r="C339" s="37"/>
      <c r="D339" s="37"/>
      <c r="E339" s="37"/>
      <c r="F339" s="37"/>
      <c r="G339" s="37"/>
      <c r="H339" s="37"/>
      <c r="I339" s="37"/>
      <c r="J339" s="38"/>
      <c r="K339" s="39"/>
      <c r="L339" s="39"/>
    </row>
    <row r="340" ht="17.25" customHeight="1">
      <c r="A340" s="41"/>
      <c r="B340" s="37"/>
      <c r="C340" s="37"/>
      <c r="D340" s="37"/>
      <c r="E340" s="37"/>
      <c r="F340" s="37"/>
      <c r="G340" s="37"/>
      <c r="H340" s="37"/>
      <c r="I340" s="37"/>
      <c r="J340" s="38"/>
      <c r="K340" s="39"/>
      <c r="L340" s="39"/>
    </row>
    <row r="341" ht="17.25" customHeight="1">
      <c r="A341" s="41"/>
      <c r="B341" s="37"/>
      <c r="C341" s="37"/>
      <c r="D341" s="37"/>
      <c r="E341" s="37"/>
      <c r="F341" s="37"/>
      <c r="G341" s="37"/>
      <c r="H341" s="37"/>
      <c r="I341" s="37"/>
      <c r="J341" s="38"/>
      <c r="K341" s="39"/>
      <c r="L341" s="39"/>
    </row>
    <row r="342" ht="17.25" customHeight="1">
      <c r="A342" s="41"/>
      <c r="B342" s="37"/>
      <c r="C342" s="37"/>
      <c r="D342" s="37"/>
      <c r="E342" s="37"/>
      <c r="F342" s="37"/>
      <c r="G342" s="37"/>
      <c r="H342" s="37"/>
      <c r="I342" s="37"/>
      <c r="J342" s="38"/>
      <c r="K342" s="39"/>
      <c r="L342" s="39"/>
    </row>
    <row r="343" ht="17.25" customHeight="1">
      <c r="A343" s="41"/>
      <c r="B343" s="37"/>
      <c r="C343" s="37"/>
      <c r="D343" s="37"/>
      <c r="E343" s="37"/>
      <c r="F343" s="37"/>
      <c r="G343" s="37"/>
      <c r="H343" s="37"/>
      <c r="I343" s="37"/>
      <c r="J343" s="38"/>
      <c r="K343" s="39"/>
      <c r="L343" s="39"/>
    </row>
    <row r="344" ht="17.25" customHeight="1">
      <c r="A344" s="41"/>
      <c r="B344" s="37"/>
      <c r="C344" s="37"/>
      <c r="D344" s="37"/>
      <c r="E344" s="37"/>
      <c r="F344" s="37"/>
      <c r="G344" s="37"/>
      <c r="H344" s="37"/>
      <c r="I344" s="37"/>
      <c r="J344" s="38"/>
      <c r="K344" s="39"/>
      <c r="L344" s="39"/>
    </row>
    <row r="345" ht="17.25" customHeight="1">
      <c r="A345" s="41"/>
      <c r="B345" s="37"/>
      <c r="C345" s="37"/>
      <c r="D345" s="37"/>
      <c r="E345" s="37"/>
      <c r="F345" s="37"/>
      <c r="G345" s="37"/>
      <c r="H345" s="37"/>
      <c r="I345" s="37"/>
      <c r="J345" s="38"/>
      <c r="K345" s="39"/>
      <c r="L345" s="39"/>
    </row>
    <row r="346" ht="17.25" customHeight="1">
      <c r="A346" s="41"/>
      <c r="B346" s="37"/>
      <c r="C346" s="37"/>
      <c r="D346" s="37"/>
      <c r="E346" s="37"/>
      <c r="F346" s="37"/>
      <c r="G346" s="37"/>
      <c r="H346" s="37"/>
      <c r="I346" s="37"/>
      <c r="J346" s="38"/>
      <c r="K346" s="39"/>
      <c r="L346" s="39"/>
    </row>
    <row r="347" ht="17.25" customHeight="1">
      <c r="A347" s="41"/>
      <c r="B347" s="37"/>
      <c r="C347" s="37"/>
      <c r="D347" s="37"/>
      <c r="E347" s="37"/>
      <c r="F347" s="37"/>
      <c r="G347" s="37"/>
      <c r="H347" s="37"/>
      <c r="I347" s="37"/>
      <c r="J347" s="38"/>
      <c r="K347" s="39"/>
      <c r="L347" s="39"/>
    </row>
    <row r="348" ht="17.25" customHeight="1">
      <c r="A348" s="41"/>
      <c r="B348" s="37"/>
      <c r="C348" s="37"/>
      <c r="D348" s="37"/>
      <c r="E348" s="37"/>
      <c r="F348" s="37"/>
      <c r="G348" s="37"/>
      <c r="H348" s="37"/>
      <c r="I348" s="37"/>
      <c r="J348" s="38"/>
      <c r="K348" s="39"/>
      <c r="L348" s="39"/>
    </row>
    <row r="349" ht="17.25" customHeight="1">
      <c r="A349" s="41"/>
      <c r="B349" s="37"/>
      <c r="C349" s="37"/>
      <c r="D349" s="37"/>
      <c r="E349" s="37"/>
      <c r="F349" s="37"/>
      <c r="G349" s="37"/>
      <c r="H349" s="37"/>
      <c r="I349" s="37"/>
      <c r="J349" s="38"/>
      <c r="K349" s="39"/>
      <c r="L349" s="39"/>
    </row>
    <row r="350" ht="17.25" customHeight="1">
      <c r="A350" s="41"/>
      <c r="B350" s="37"/>
      <c r="C350" s="37"/>
      <c r="D350" s="37"/>
      <c r="E350" s="37"/>
      <c r="F350" s="37"/>
      <c r="G350" s="37"/>
      <c r="H350" s="37"/>
      <c r="I350" s="37"/>
      <c r="J350" s="38"/>
      <c r="K350" s="39"/>
      <c r="L350" s="39"/>
    </row>
    <row r="351" ht="17.25" customHeight="1">
      <c r="A351" s="41"/>
      <c r="B351" s="37"/>
      <c r="C351" s="37"/>
      <c r="D351" s="37"/>
      <c r="E351" s="37"/>
      <c r="F351" s="37"/>
      <c r="G351" s="37"/>
      <c r="H351" s="37"/>
      <c r="I351" s="37"/>
      <c r="J351" s="38"/>
      <c r="K351" s="39"/>
      <c r="L351" s="39"/>
    </row>
    <row r="352" ht="17.25" customHeight="1">
      <c r="A352" s="41"/>
      <c r="B352" s="37"/>
      <c r="C352" s="37"/>
      <c r="D352" s="37"/>
      <c r="E352" s="37"/>
      <c r="F352" s="37"/>
      <c r="G352" s="37"/>
      <c r="H352" s="37"/>
      <c r="I352" s="37"/>
      <c r="J352" s="38"/>
      <c r="K352" s="39"/>
      <c r="L352" s="39"/>
    </row>
    <row r="353" ht="17.25" customHeight="1">
      <c r="A353" s="41"/>
      <c r="B353" s="37"/>
      <c r="C353" s="37"/>
      <c r="D353" s="37"/>
      <c r="E353" s="37"/>
      <c r="F353" s="37"/>
      <c r="G353" s="37"/>
      <c r="H353" s="37"/>
      <c r="I353" s="37"/>
      <c r="J353" s="38"/>
      <c r="K353" s="39"/>
      <c r="L353" s="39"/>
    </row>
    <row r="354" ht="17.25" customHeight="1">
      <c r="A354" s="41"/>
      <c r="B354" s="37"/>
      <c r="C354" s="37"/>
      <c r="D354" s="37"/>
      <c r="E354" s="37"/>
      <c r="F354" s="37"/>
      <c r="G354" s="37"/>
      <c r="H354" s="37"/>
      <c r="I354" s="37"/>
      <c r="J354" s="38"/>
      <c r="K354" s="39"/>
      <c r="L354" s="39"/>
    </row>
    <row r="355" ht="17.25" customHeight="1">
      <c r="A355" s="41"/>
      <c r="B355" s="37"/>
      <c r="C355" s="37"/>
      <c r="D355" s="37"/>
      <c r="E355" s="37"/>
      <c r="F355" s="37"/>
      <c r="G355" s="37"/>
      <c r="H355" s="37"/>
      <c r="I355" s="37"/>
      <c r="J355" s="38"/>
      <c r="K355" s="39"/>
      <c r="L355" s="39"/>
    </row>
    <row r="356" ht="17.25" customHeight="1">
      <c r="A356" s="41"/>
      <c r="B356" s="37"/>
      <c r="C356" s="37"/>
      <c r="D356" s="37"/>
      <c r="E356" s="37"/>
      <c r="F356" s="37"/>
      <c r="G356" s="37"/>
      <c r="H356" s="37"/>
      <c r="I356" s="37"/>
      <c r="J356" s="38"/>
      <c r="K356" s="39"/>
      <c r="L356" s="39"/>
    </row>
    <row r="357" ht="17.25" customHeight="1">
      <c r="A357" s="41"/>
      <c r="B357" s="37"/>
      <c r="C357" s="37"/>
      <c r="D357" s="37"/>
      <c r="E357" s="37"/>
      <c r="F357" s="37"/>
      <c r="G357" s="37"/>
      <c r="H357" s="37"/>
      <c r="I357" s="37"/>
      <c r="J357" s="38"/>
      <c r="K357" s="39"/>
      <c r="L357" s="39"/>
    </row>
    <row r="358" ht="17.25" customHeight="1">
      <c r="A358" s="41"/>
      <c r="B358" s="37"/>
      <c r="C358" s="37"/>
      <c r="D358" s="37"/>
      <c r="E358" s="37"/>
      <c r="F358" s="37"/>
      <c r="G358" s="37"/>
      <c r="H358" s="37"/>
      <c r="I358" s="37"/>
      <c r="J358" s="38"/>
      <c r="K358" s="39"/>
      <c r="L358" s="39"/>
    </row>
    <row r="359" ht="17.25" customHeight="1">
      <c r="A359" s="41"/>
      <c r="B359" s="37"/>
      <c r="C359" s="37"/>
      <c r="D359" s="37"/>
      <c r="E359" s="37"/>
      <c r="F359" s="37"/>
      <c r="G359" s="37"/>
      <c r="H359" s="37"/>
      <c r="I359" s="37"/>
      <c r="J359" s="38"/>
      <c r="K359" s="39"/>
      <c r="L359" s="39"/>
    </row>
    <row r="360" ht="17.25" customHeight="1">
      <c r="A360" s="41"/>
      <c r="B360" s="37"/>
      <c r="C360" s="37"/>
      <c r="D360" s="37"/>
      <c r="E360" s="37"/>
      <c r="F360" s="37"/>
      <c r="G360" s="37"/>
      <c r="H360" s="37"/>
      <c r="I360" s="37"/>
      <c r="J360" s="38"/>
      <c r="K360" s="39"/>
      <c r="L360" s="39"/>
    </row>
    <row r="361" ht="17.25" customHeight="1">
      <c r="A361" s="41"/>
      <c r="B361" s="37"/>
      <c r="C361" s="37"/>
      <c r="D361" s="37"/>
      <c r="E361" s="37"/>
      <c r="F361" s="37"/>
      <c r="G361" s="37"/>
      <c r="H361" s="37"/>
      <c r="I361" s="37"/>
      <c r="J361" s="38"/>
      <c r="K361" s="39"/>
      <c r="L361" s="39"/>
    </row>
    <row r="362" ht="17.25" customHeight="1">
      <c r="A362" s="41"/>
      <c r="B362" s="37"/>
      <c r="C362" s="37"/>
      <c r="D362" s="37"/>
      <c r="E362" s="37"/>
      <c r="F362" s="37"/>
      <c r="G362" s="37"/>
      <c r="H362" s="37"/>
      <c r="I362" s="37"/>
      <c r="J362" s="38"/>
      <c r="K362" s="39"/>
      <c r="L362" s="39"/>
    </row>
    <row r="363" ht="17.25" customHeight="1">
      <c r="A363" s="41"/>
      <c r="B363" s="37"/>
      <c r="C363" s="37"/>
      <c r="D363" s="37"/>
      <c r="E363" s="37"/>
      <c r="F363" s="37"/>
      <c r="G363" s="37"/>
      <c r="H363" s="37"/>
      <c r="I363" s="37"/>
      <c r="J363" s="38"/>
      <c r="K363" s="39"/>
      <c r="L363" s="39"/>
    </row>
    <row r="364" ht="17.25" customHeight="1">
      <c r="A364" s="41"/>
      <c r="B364" s="37"/>
      <c r="C364" s="37"/>
      <c r="D364" s="37"/>
      <c r="E364" s="37"/>
      <c r="F364" s="37"/>
      <c r="G364" s="37"/>
      <c r="H364" s="37"/>
      <c r="I364" s="37"/>
      <c r="J364" s="38"/>
      <c r="K364" s="39"/>
      <c r="L364" s="39"/>
    </row>
    <row r="365" ht="17.25" customHeight="1">
      <c r="A365" s="41"/>
      <c r="B365" s="37"/>
      <c r="C365" s="37"/>
      <c r="D365" s="37"/>
      <c r="E365" s="37"/>
      <c r="F365" s="37"/>
      <c r="G365" s="37"/>
      <c r="H365" s="37"/>
      <c r="I365" s="37"/>
      <c r="J365" s="38"/>
      <c r="K365" s="39"/>
      <c r="L365" s="39"/>
    </row>
    <row r="366" ht="17.25" customHeight="1">
      <c r="A366" s="41"/>
      <c r="B366" s="37"/>
      <c r="C366" s="37"/>
      <c r="D366" s="37"/>
      <c r="E366" s="37"/>
      <c r="F366" s="37"/>
      <c r="G366" s="37"/>
      <c r="H366" s="37"/>
      <c r="I366" s="37"/>
      <c r="J366" s="38"/>
      <c r="K366" s="39"/>
      <c r="L366" s="39"/>
    </row>
    <row r="367" ht="17.25" customHeight="1">
      <c r="A367" s="41"/>
      <c r="B367" s="37"/>
      <c r="C367" s="37"/>
      <c r="D367" s="37"/>
      <c r="E367" s="37"/>
      <c r="F367" s="37"/>
      <c r="G367" s="37"/>
      <c r="H367" s="37"/>
      <c r="I367" s="37"/>
      <c r="J367" s="38"/>
      <c r="K367" s="39"/>
      <c r="L367" s="39"/>
    </row>
    <row r="368" ht="17.25" customHeight="1">
      <c r="A368" s="41"/>
      <c r="B368" s="37"/>
      <c r="C368" s="37"/>
      <c r="D368" s="37"/>
      <c r="E368" s="37"/>
      <c r="F368" s="37"/>
      <c r="G368" s="37"/>
      <c r="H368" s="37"/>
      <c r="I368" s="37"/>
      <c r="J368" s="38"/>
      <c r="K368" s="39"/>
      <c r="L368" s="39"/>
    </row>
    <row r="369" ht="17.25" customHeight="1">
      <c r="A369" s="41"/>
      <c r="B369" s="37"/>
      <c r="C369" s="37"/>
      <c r="D369" s="37"/>
      <c r="E369" s="37"/>
      <c r="F369" s="37"/>
      <c r="G369" s="37"/>
      <c r="H369" s="37"/>
      <c r="I369" s="37"/>
      <c r="J369" s="38"/>
      <c r="K369" s="39"/>
      <c r="L369" s="39"/>
    </row>
    <row r="370" ht="17.25" customHeight="1">
      <c r="A370" s="41"/>
      <c r="B370" s="37"/>
      <c r="C370" s="37"/>
      <c r="D370" s="37"/>
      <c r="E370" s="37"/>
      <c r="F370" s="37"/>
      <c r="G370" s="37"/>
      <c r="H370" s="37"/>
      <c r="I370" s="37"/>
      <c r="J370" s="38"/>
      <c r="K370" s="39"/>
      <c r="L370" s="39"/>
    </row>
    <row r="371" ht="17.25" customHeight="1">
      <c r="A371" s="41"/>
      <c r="B371" s="37"/>
      <c r="C371" s="37"/>
      <c r="D371" s="37"/>
      <c r="E371" s="37"/>
      <c r="F371" s="37"/>
      <c r="G371" s="37"/>
      <c r="H371" s="37"/>
      <c r="I371" s="37"/>
      <c r="J371" s="38"/>
      <c r="K371" s="39"/>
      <c r="L371" s="39"/>
    </row>
    <row r="372" ht="17.25" customHeight="1">
      <c r="A372" s="41"/>
      <c r="B372" s="37"/>
      <c r="C372" s="37"/>
      <c r="D372" s="37"/>
      <c r="E372" s="37"/>
      <c r="F372" s="37"/>
      <c r="G372" s="37"/>
      <c r="H372" s="37"/>
      <c r="I372" s="37"/>
      <c r="J372" s="38"/>
      <c r="K372" s="39"/>
      <c r="L372" s="39"/>
    </row>
    <row r="373" ht="17.25" customHeight="1">
      <c r="A373" s="41"/>
      <c r="B373" s="37"/>
      <c r="C373" s="37"/>
      <c r="D373" s="37"/>
      <c r="E373" s="37"/>
      <c r="F373" s="37"/>
      <c r="G373" s="37"/>
      <c r="H373" s="37"/>
      <c r="I373" s="37"/>
      <c r="J373" s="38"/>
      <c r="K373" s="39"/>
      <c r="L373" s="39"/>
    </row>
    <row r="374" ht="17.25" customHeight="1">
      <c r="A374" s="41"/>
      <c r="B374" s="37"/>
      <c r="C374" s="37"/>
      <c r="D374" s="37"/>
      <c r="E374" s="37"/>
      <c r="F374" s="37"/>
      <c r="G374" s="37"/>
      <c r="H374" s="37"/>
      <c r="I374" s="37"/>
      <c r="J374" s="38"/>
      <c r="K374" s="39"/>
      <c r="L374" s="39"/>
    </row>
    <row r="375" ht="17.25" customHeight="1">
      <c r="A375" s="41"/>
      <c r="B375" s="37"/>
      <c r="C375" s="37"/>
      <c r="D375" s="37"/>
      <c r="E375" s="37"/>
      <c r="F375" s="37"/>
      <c r="G375" s="37"/>
      <c r="H375" s="37"/>
      <c r="I375" s="37"/>
      <c r="J375" s="38"/>
      <c r="K375" s="39"/>
      <c r="L375" s="39"/>
    </row>
    <row r="376" ht="17.25" customHeight="1">
      <c r="A376" s="41"/>
      <c r="B376" s="37"/>
      <c r="C376" s="37"/>
      <c r="D376" s="37"/>
      <c r="E376" s="37"/>
      <c r="F376" s="37"/>
      <c r="G376" s="37"/>
      <c r="H376" s="37"/>
      <c r="I376" s="37"/>
      <c r="J376" s="38"/>
      <c r="K376" s="39"/>
      <c r="L376" s="39"/>
    </row>
    <row r="377" ht="17.25" customHeight="1">
      <c r="A377" s="41"/>
      <c r="B377" s="37"/>
      <c r="C377" s="37"/>
      <c r="D377" s="37"/>
      <c r="E377" s="37"/>
      <c r="F377" s="37"/>
      <c r="G377" s="37"/>
      <c r="H377" s="37"/>
      <c r="I377" s="37"/>
      <c r="J377" s="38"/>
      <c r="K377" s="39"/>
      <c r="L377" s="39"/>
    </row>
    <row r="378" ht="17.25" customHeight="1">
      <c r="A378" s="41"/>
      <c r="B378" s="37"/>
      <c r="C378" s="37"/>
      <c r="D378" s="37"/>
      <c r="E378" s="37"/>
      <c r="F378" s="37"/>
      <c r="G378" s="37"/>
      <c r="H378" s="37"/>
      <c r="I378" s="37"/>
      <c r="J378" s="38"/>
      <c r="K378" s="39"/>
      <c r="L378" s="39"/>
    </row>
    <row r="379" ht="17.25" customHeight="1">
      <c r="A379" s="41"/>
      <c r="B379" s="37"/>
      <c r="C379" s="37"/>
      <c r="D379" s="37"/>
      <c r="E379" s="37"/>
      <c r="F379" s="37"/>
      <c r="G379" s="37"/>
      <c r="H379" s="37"/>
      <c r="I379" s="37"/>
      <c r="J379" s="38"/>
      <c r="K379" s="39"/>
      <c r="L379" s="39"/>
    </row>
    <row r="380" ht="17.25" customHeight="1">
      <c r="A380" s="41"/>
      <c r="B380" s="37"/>
      <c r="C380" s="37"/>
      <c r="D380" s="37"/>
      <c r="E380" s="37"/>
      <c r="F380" s="37"/>
      <c r="G380" s="37"/>
      <c r="H380" s="37"/>
      <c r="I380" s="37"/>
      <c r="J380" s="38"/>
      <c r="K380" s="39"/>
      <c r="L380" s="39"/>
    </row>
    <row r="381" ht="17.25" customHeight="1">
      <c r="A381" s="41"/>
      <c r="B381" s="37"/>
      <c r="C381" s="37"/>
      <c r="D381" s="37"/>
      <c r="E381" s="37"/>
      <c r="F381" s="37"/>
      <c r="G381" s="37"/>
      <c r="H381" s="37"/>
      <c r="I381" s="37"/>
      <c r="J381" s="38"/>
      <c r="K381" s="39"/>
      <c r="L381" s="39"/>
    </row>
    <row r="382" ht="17.25" customHeight="1">
      <c r="A382" s="41"/>
      <c r="B382" s="37"/>
      <c r="C382" s="37"/>
      <c r="D382" s="37"/>
      <c r="E382" s="37"/>
      <c r="F382" s="37"/>
      <c r="G382" s="37"/>
      <c r="H382" s="37"/>
      <c r="I382" s="37"/>
      <c r="J382" s="38"/>
      <c r="K382" s="39"/>
      <c r="L382" s="39"/>
    </row>
    <row r="383" ht="17.25" customHeight="1">
      <c r="A383" s="41"/>
      <c r="B383" s="37"/>
      <c r="C383" s="37"/>
      <c r="D383" s="37"/>
      <c r="E383" s="37"/>
      <c r="F383" s="37"/>
      <c r="G383" s="37"/>
      <c r="H383" s="37"/>
      <c r="I383" s="37"/>
      <c r="J383" s="38"/>
      <c r="K383" s="39"/>
      <c r="L383" s="39"/>
    </row>
    <row r="384" ht="17.25" customHeight="1">
      <c r="A384" s="41"/>
      <c r="B384" s="37"/>
      <c r="C384" s="37"/>
      <c r="D384" s="37"/>
      <c r="E384" s="37"/>
      <c r="F384" s="37"/>
      <c r="G384" s="37"/>
      <c r="H384" s="37"/>
      <c r="I384" s="37"/>
      <c r="J384" s="38"/>
      <c r="K384" s="39"/>
      <c r="L384" s="39"/>
    </row>
    <row r="385" ht="17.25" customHeight="1">
      <c r="A385" s="41"/>
      <c r="B385" s="37"/>
      <c r="C385" s="37"/>
      <c r="D385" s="37"/>
      <c r="E385" s="37"/>
      <c r="F385" s="37"/>
      <c r="G385" s="37"/>
      <c r="H385" s="37"/>
      <c r="I385" s="37"/>
      <c r="J385" s="38"/>
      <c r="K385" s="39"/>
      <c r="L385" s="39"/>
    </row>
    <row r="386" ht="17.25" customHeight="1">
      <c r="A386" s="41"/>
      <c r="B386" s="37"/>
      <c r="C386" s="37"/>
      <c r="D386" s="37"/>
      <c r="E386" s="37"/>
      <c r="F386" s="37"/>
      <c r="G386" s="37"/>
      <c r="H386" s="37"/>
      <c r="I386" s="37"/>
      <c r="J386" s="38"/>
      <c r="K386" s="39"/>
      <c r="L386" s="39"/>
    </row>
    <row r="387" ht="17.25" customHeight="1">
      <c r="A387" s="41"/>
      <c r="B387" s="37"/>
      <c r="C387" s="37"/>
      <c r="D387" s="37"/>
      <c r="E387" s="37"/>
      <c r="F387" s="37"/>
      <c r="G387" s="37"/>
      <c r="H387" s="37"/>
      <c r="I387" s="37"/>
      <c r="J387" s="38"/>
      <c r="K387" s="39"/>
      <c r="L387" s="39"/>
    </row>
    <row r="388" ht="17.25" customHeight="1">
      <c r="A388" s="41"/>
      <c r="B388" s="37"/>
      <c r="C388" s="37"/>
      <c r="D388" s="37"/>
      <c r="E388" s="37"/>
      <c r="F388" s="37"/>
      <c r="G388" s="37"/>
      <c r="H388" s="37"/>
      <c r="I388" s="37"/>
      <c r="J388" s="38"/>
      <c r="K388" s="39"/>
      <c r="L388" s="39"/>
    </row>
    <row r="389" ht="17.25" customHeight="1">
      <c r="A389" s="41"/>
      <c r="B389" s="37"/>
      <c r="C389" s="37"/>
      <c r="D389" s="37"/>
      <c r="E389" s="37"/>
      <c r="F389" s="37"/>
      <c r="G389" s="37"/>
      <c r="H389" s="37"/>
      <c r="I389" s="37"/>
      <c r="J389" s="38"/>
      <c r="K389" s="39"/>
      <c r="L389" s="39"/>
    </row>
    <row r="390" ht="17.25" customHeight="1">
      <c r="A390" s="41"/>
      <c r="B390" s="37"/>
      <c r="C390" s="37"/>
      <c r="D390" s="37"/>
      <c r="E390" s="37"/>
      <c r="F390" s="37"/>
      <c r="G390" s="37"/>
      <c r="H390" s="37"/>
      <c r="I390" s="37"/>
      <c r="J390" s="38"/>
      <c r="K390" s="39"/>
      <c r="L390" s="39"/>
    </row>
    <row r="391" ht="17.25" customHeight="1">
      <c r="A391" s="41"/>
      <c r="B391" s="37"/>
      <c r="C391" s="37"/>
      <c r="D391" s="37"/>
      <c r="E391" s="37"/>
      <c r="F391" s="37"/>
      <c r="G391" s="37"/>
      <c r="H391" s="37"/>
      <c r="I391" s="37"/>
      <c r="J391" s="38"/>
      <c r="K391" s="39"/>
      <c r="L391" s="39"/>
    </row>
    <row r="392" ht="17.25" customHeight="1">
      <c r="A392" s="41"/>
      <c r="B392" s="37"/>
      <c r="C392" s="37"/>
      <c r="D392" s="37"/>
      <c r="E392" s="37"/>
      <c r="F392" s="37"/>
      <c r="G392" s="37"/>
      <c r="H392" s="37"/>
      <c r="I392" s="37"/>
      <c r="J392" s="38"/>
      <c r="K392" s="39"/>
      <c r="L392" s="39"/>
    </row>
    <row r="393" ht="17.25" customHeight="1">
      <c r="A393" s="41"/>
      <c r="B393" s="37"/>
      <c r="C393" s="37"/>
      <c r="D393" s="37"/>
      <c r="E393" s="37"/>
      <c r="F393" s="37"/>
      <c r="G393" s="37"/>
      <c r="H393" s="37"/>
      <c r="I393" s="37"/>
      <c r="J393" s="38"/>
      <c r="K393" s="39"/>
      <c r="L393" s="39"/>
    </row>
    <row r="394" ht="17.25" customHeight="1">
      <c r="A394" s="41"/>
      <c r="B394" s="37"/>
      <c r="C394" s="37"/>
      <c r="D394" s="37"/>
      <c r="E394" s="37"/>
      <c r="F394" s="37"/>
      <c r="G394" s="37"/>
      <c r="H394" s="37"/>
      <c r="I394" s="37"/>
      <c r="J394" s="38"/>
      <c r="K394" s="39"/>
      <c r="L394" s="39"/>
    </row>
    <row r="395" ht="17.25" customHeight="1">
      <c r="A395" s="41"/>
      <c r="B395" s="37"/>
      <c r="C395" s="37"/>
      <c r="D395" s="37"/>
      <c r="E395" s="37"/>
      <c r="F395" s="37"/>
      <c r="G395" s="37"/>
      <c r="H395" s="37"/>
      <c r="I395" s="37"/>
      <c r="J395" s="38"/>
      <c r="K395" s="39"/>
      <c r="L395" s="39"/>
    </row>
    <row r="396" ht="17.25" customHeight="1">
      <c r="A396" s="41"/>
      <c r="B396" s="37"/>
      <c r="C396" s="37"/>
      <c r="D396" s="37"/>
      <c r="E396" s="37"/>
      <c r="F396" s="37"/>
      <c r="G396" s="37"/>
      <c r="H396" s="37"/>
      <c r="I396" s="37"/>
      <c r="J396" s="38"/>
      <c r="K396" s="39"/>
      <c r="L396" s="39"/>
    </row>
    <row r="397" ht="17.25" customHeight="1">
      <c r="A397" s="41"/>
      <c r="B397" s="37"/>
      <c r="C397" s="37"/>
      <c r="D397" s="37"/>
      <c r="E397" s="37"/>
      <c r="F397" s="37"/>
      <c r="G397" s="37"/>
      <c r="H397" s="37"/>
      <c r="I397" s="37"/>
      <c r="J397" s="38"/>
      <c r="K397" s="39"/>
      <c r="L397" s="39"/>
    </row>
    <row r="398" ht="17.25" customHeight="1">
      <c r="A398" s="41"/>
      <c r="B398" s="37"/>
      <c r="C398" s="37"/>
      <c r="D398" s="37"/>
      <c r="E398" s="37"/>
      <c r="F398" s="37"/>
      <c r="G398" s="37"/>
      <c r="H398" s="37"/>
      <c r="I398" s="37"/>
      <c r="J398" s="38"/>
      <c r="K398" s="39"/>
      <c r="L398" s="39"/>
    </row>
    <row r="399" ht="17.25" customHeight="1">
      <c r="A399" s="41"/>
      <c r="B399" s="37"/>
      <c r="C399" s="37"/>
      <c r="D399" s="37"/>
      <c r="E399" s="37"/>
      <c r="F399" s="37"/>
      <c r="G399" s="37"/>
      <c r="H399" s="37"/>
      <c r="I399" s="37"/>
      <c r="J399" s="38"/>
      <c r="K399" s="39"/>
      <c r="L399" s="39"/>
    </row>
    <row r="400" ht="17.25" customHeight="1">
      <c r="A400" s="41"/>
      <c r="B400" s="37"/>
      <c r="C400" s="37"/>
      <c r="D400" s="37"/>
      <c r="E400" s="37"/>
      <c r="F400" s="37"/>
      <c r="G400" s="37"/>
      <c r="H400" s="37"/>
      <c r="I400" s="37"/>
      <c r="J400" s="38"/>
      <c r="K400" s="39"/>
      <c r="L400" s="39"/>
    </row>
    <row r="401" ht="17.25" customHeight="1">
      <c r="A401" s="41"/>
      <c r="B401" s="37"/>
      <c r="C401" s="37"/>
      <c r="D401" s="37"/>
      <c r="E401" s="37"/>
      <c r="F401" s="37"/>
      <c r="G401" s="37"/>
      <c r="H401" s="37"/>
      <c r="I401" s="37"/>
      <c r="J401" s="38"/>
      <c r="K401" s="39"/>
      <c r="L401" s="39"/>
    </row>
    <row r="402" ht="17.25" customHeight="1">
      <c r="A402" s="41"/>
      <c r="B402" s="37"/>
      <c r="C402" s="37"/>
      <c r="D402" s="37"/>
      <c r="E402" s="37"/>
      <c r="F402" s="37"/>
      <c r="G402" s="37"/>
      <c r="H402" s="37"/>
      <c r="I402" s="37"/>
      <c r="J402" s="38"/>
      <c r="K402" s="39"/>
      <c r="L402" s="39"/>
    </row>
    <row r="403" ht="17.25" customHeight="1">
      <c r="A403" s="41"/>
      <c r="B403" s="37"/>
      <c r="C403" s="37"/>
      <c r="D403" s="37"/>
      <c r="E403" s="37"/>
      <c r="F403" s="37"/>
      <c r="G403" s="37"/>
      <c r="H403" s="37"/>
      <c r="I403" s="37"/>
      <c r="J403" s="38"/>
      <c r="K403" s="39"/>
      <c r="L403" s="39"/>
    </row>
    <row r="404" ht="17.25" customHeight="1">
      <c r="A404" s="41"/>
      <c r="B404" s="37"/>
      <c r="C404" s="37"/>
      <c r="D404" s="37"/>
      <c r="E404" s="37"/>
      <c r="F404" s="37"/>
      <c r="G404" s="37"/>
      <c r="H404" s="37"/>
      <c r="I404" s="37"/>
      <c r="J404" s="38"/>
      <c r="K404" s="39"/>
      <c r="L404" s="39"/>
    </row>
    <row r="405" ht="17.25" customHeight="1">
      <c r="A405" s="41"/>
      <c r="B405" s="37"/>
      <c r="C405" s="37"/>
      <c r="D405" s="37"/>
      <c r="E405" s="37"/>
      <c r="F405" s="37"/>
      <c r="G405" s="37"/>
      <c r="H405" s="37"/>
      <c r="I405" s="37"/>
      <c r="J405" s="38"/>
      <c r="K405" s="39"/>
      <c r="L405" s="39"/>
    </row>
    <row r="406" ht="17.25" customHeight="1">
      <c r="A406" s="41"/>
      <c r="B406" s="37"/>
      <c r="C406" s="37"/>
      <c r="D406" s="37"/>
      <c r="E406" s="37"/>
      <c r="F406" s="37"/>
      <c r="G406" s="37"/>
      <c r="H406" s="37"/>
      <c r="I406" s="37"/>
      <c r="J406" s="38"/>
      <c r="K406" s="39"/>
      <c r="L406" s="39"/>
    </row>
    <row r="407" ht="17.25" customHeight="1">
      <c r="A407" s="41"/>
      <c r="B407" s="37"/>
      <c r="C407" s="37"/>
      <c r="D407" s="37"/>
      <c r="E407" s="37"/>
      <c r="F407" s="37"/>
      <c r="G407" s="37"/>
      <c r="H407" s="37"/>
      <c r="I407" s="37"/>
      <c r="J407" s="38"/>
      <c r="K407" s="39"/>
      <c r="L407" s="39"/>
    </row>
    <row r="408" ht="17.25" customHeight="1">
      <c r="A408" s="41"/>
      <c r="B408" s="37"/>
      <c r="C408" s="37"/>
      <c r="D408" s="37"/>
      <c r="E408" s="37"/>
      <c r="F408" s="37"/>
      <c r="G408" s="37"/>
      <c r="H408" s="37"/>
      <c r="I408" s="37"/>
      <c r="J408" s="38"/>
      <c r="K408" s="39"/>
      <c r="L408" s="39"/>
    </row>
    <row r="409" ht="17.25" customHeight="1">
      <c r="A409" s="41"/>
      <c r="B409" s="37"/>
      <c r="C409" s="37"/>
      <c r="D409" s="37"/>
      <c r="E409" s="37"/>
      <c r="F409" s="37"/>
      <c r="G409" s="37"/>
      <c r="H409" s="37"/>
      <c r="I409" s="37"/>
      <c r="J409" s="38"/>
      <c r="K409" s="39"/>
      <c r="L409" s="39"/>
    </row>
    <row r="410" ht="17.25" customHeight="1">
      <c r="A410" s="41"/>
      <c r="B410" s="37"/>
      <c r="C410" s="37"/>
      <c r="D410" s="37"/>
      <c r="E410" s="37"/>
      <c r="F410" s="37"/>
      <c r="G410" s="37"/>
      <c r="H410" s="37"/>
      <c r="I410" s="37"/>
      <c r="J410" s="38"/>
      <c r="K410" s="39"/>
      <c r="L410" s="39"/>
    </row>
    <row r="411" ht="17.25" customHeight="1">
      <c r="A411" s="41"/>
      <c r="B411" s="37"/>
      <c r="C411" s="37"/>
      <c r="D411" s="37"/>
      <c r="E411" s="37"/>
      <c r="F411" s="37"/>
      <c r="G411" s="37"/>
      <c r="H411" s="37"/>
      <c r="I411" s="37"/>
      <c r="J411" s="38"/>
      <c r="K411" s="39"/>
      <c r="L411" s="39"/>
    </row>
    <row r="412" ht="17.25" customHeight="1">
      <c r="A412" s="41"/>
      <c r="B412" s="37"/>
      <c r="C412" s="37"/>
      <c r="D412" s="37"/>
      <c r="E412" s="37"/>
      <c r="F412" s="37"/>
      <c r="G412" s="37"/>
      <c r="H412" s="37"/>
      <c r="I412" s="37"/>
      <c r="J412" s="38"/>
      <c r="K412" s="39"/>
      <c r="L412" s="39"/>
    </row>
    <row r="413" ht="17.25" customHeight="1">
      <c r="A413" s="41"/>
      <c r="B413" s="37"/>
      <c r="C413" s="37"/>
      <c r="D413" s="37"/>
      <c r="E413" s="37"/>
      <c r="F413" s="37"/>
      <c r="G413" s="37"/>
      <c r="H413" s="37"/>
      <c r="I413" s="37"/>
      <c r="J413" s="38"/>
      <c r="K413" s="39"/>
      <c r="L413" s="39"/>
    </row>
    <row r="414" ht="17.25" customHeight="1">
      <c r="A414" s="41"/>
      <c r="B414" s="37"/>
      <c r="C414" s="37"/>
      <c r="D414" s="37"/>
      <c r="E414" s="37"/>
      <c r="F414" s="37"/>
      <c r="G414" s="37"/>
      <c r="H414" s="37"/>
      <c r="I414" s="37"/>
      <c r="J414" s="38"/>
      <c r="K414" s="39"/>
      <c r="L414" s="39"/>
    </row>
    <row r="415" ht="17.25" customHeight="1">
      <c r="A415" s="41"/>
      <c r="B415" s="37"/>
      <c r="C415" s="37"/>
      <c r="D415" s="37"/>
      <c r="E415" s="37"/>
      <c r="F415" s="37"/>
      <c r="G415" s="37"/>
      <c r="H415" s="37"/>
      <c r="I415" s="37"/>
      <c r="J415" s="38"/>
      <c r="K415" s="39"/>
      <c r="L415" s="39"/>
    </row>
    <row r="416" ht="17.25" customHeight="1">
      <c r="A416" s="41"/>
      <c r="B416" s="37"/>
      <c r="C416" s="37"/>
      <c r="D416" s="37"/>
      <c r="E416" s="37"/>
      <c r="F416" s="37"/>
      <c r="G416" s="37"/>
      <c r="H416" s="37"/>
      <c r="I416" s="37"/>
      <c r="J416" s="38"/>
      <c r="K416" s="39"/>
      <c r="L416" s="39"/>
    </row>
    <row r="417" ht="17.25" customHeight="1">
      <c r="A417" s="41"/>
      <c r="B417" s="37"/>
      <c r="C417" s="37"/>
      <c r="D417" s="37"/>
      <c r="E417" s="37"/>
      <c r="F417" s="37"/>
      <c r="G417" s="37"/>
      <c r="H417" s="37"/>
      <c r="I417" s="37"/>
      <c r="J417" s="38"/>
      <c r="K417" s="39"/>
      <c r="L417" s="39"/>
    </row>
    <row r="418" ht="17.25" customHeight="1">
      <c r="A418" s="41"/>
      <c r="B418" s="37"/>
      <c r="C418" s="37"/>
      <c r="D418" s="37"/>
      <c r="E418" s="37"/>
      <c r="F418" s="37"/>
      <c r="G418" s="37"/>
      <c r="H418" s="37"/>
      <c r="I418" s="37"/>
      <c r="J418" s="38"/>
      <c r="K418" s="39"/>
      <c r="L418" s="39"/>
    </row>
    <row r="419" ht="17.25" customHeight="1">
      <c r="A419" s="41"/>
      <c r="B419" s="37"/>
      <c r="C419" s="37"/>
      <c r="D419" s="37"/>
      <c r="E419" s="37"/>
      <c r="F419" s="37"/>
      <c r="G419" s="37"/>
      <c r="H419" s="37"/>
      <c r="I419" s="37"/>
      <c r="J419" s="38"/>
      <c r="K419" s="39"/>
      <c r="L419" s="39"/>
    </row>
    <row r="420" ht="17.25" customHeight="1">
      <c r="A420" s="41"/>
      <c r="B420" s="37"/>
      <c r="C420" s="37"/>
      <c r="D420" s="37"/>
      <c r="E420" s="37"/>
      <c r="F420" s="37"/>
      <c r="G420" s="37"/>
      <c r="H420" s="37"/>
      <c r="I420" s="37"/>
      <c r="J420" s="38"/>
      <c r="K420" s="39"/>
      <c r="L420" s="39"/>
    </row>
    <row r="421" ht="17.25" customHeight="1">
      <c r="A421" s="41"/>
      <c r="B421" s="37"/>
      <c r="C421" s="37"/>
      <c r="D421" s="37"/>
      <c r="E421" s="37"/>
      <c r="F421" s="37"/>
      <c r="G421" s="37"/>
      <c r="H421" s="37"/>
      <c r="I421" s="37"/>
      <c r="J421" s="38"/>
      <c r="K421" s="39"/>
      <c r="L421" s="39"/>
    </row>
    <row r="422" ht="17.25" customHeight="1">
      <c r="A422" s="41"/>
      <c r="B422" s="37"/>
      <c r="C422" s="37"/>
      <c r="D422" s="37"/>
      <c r="E422" s="37"/>
      <c r="F422" s="37"/>
      <c r="G422" s="37"/>
      <c r="H422" s="37"/>
      <c r="I422" s="37"/>
      <c r="J422" s="38"/>
      <c r="K422" s="39"/>
      <c r="L422" s="39"/>
    </row>
    <row r="423" ht="17.25" customHeight="1">
      <c r="A423" s="41"/>
      <c r="B423" s="37"/>
      <c r="C423" s="37"/>
      <c r="D423" s="37"/>
      <c r="E423" s="37"/>
      <c r="F423" s="37"/>
      <c r="G423" s="37"/>
      <c r="H423" s="37"/>
      <c r="I423" s="37"/>
      <c r="J423" s="38"/>
      <c r="K423" s="39"/>
      <c r="L423" s="39"/>
    </row>
    <row r="424" ht="17.25" customHeight="1">
      <c r="A424" s="41"/>
      <c r="B424" s="37"/>
      <c r="C424" s="37"/>
      <c r="D424" s="37"/>
      <c r="E424" s="37"/>
      <c r="F424" s="37"/>
      <c r="G424" s="37"/>
      <c r="H424" s="37"/>
      <c r="I424" s="37"/>
      <c r="J424" s="38"/>
      <c r="K424" s="39"/>
      <c r="L424" s="39"/>
    </row>
    <row r="425" ht="17.25" customHeight="1">
      <c r="A425" s="41"/>
      <c r="B425" s="37"/>
      <c r="C425" s="37"/>
      <c r="D425" s="37"/>
      <c r="E425" s="37"/>
      <c r="F425" s="37"/>
      <c r="G425" s="37"/>
      <c r="H425" s="37"/>
      <c r="I425" s="37"/>
      <c r="J425" s="38"/>
      <c r="K425" s="39"/>
      <c r="L425" s="39"/>
    </row>
    <row r="426" ht="17.25" customHeight="1">
      <c r="A426" s="41"/>
      <c r="B426" s="37"/>
      <c r="C426" s="37"/>
      <c r="D426" s="37"/>
      <c r="E426" s="37"/>
      <c r="F426" s="37"/>
      <c r="G426" s="37"/>
      <c r="H426" s="37"/>
      <c r="I426" s="37"/>
      <c r="J426" s="38"/>
      <c r="K426" s="39"/>
      <c r="L426" s="39"/>
    </row>
    <row r="427" ht="17.25" customHeight="1">
      <c r="A427" s="41"/>
      <c r="B427" s="37"/>
      <c r="C427" s="37"/>
      <c r="D427" s="37"/>
      <c r="E427" s="37"/>
      <c r="F427" s="37"/>
      <c r="G427" s="37"/>
      <c r="H427" s="37"/>
      <c r="I427" s="37"/>
      <c r="J427" s="38"/>
      <c r="K427" s="39"/>
      <c r="L427" s="39"/>
    </row>
    <row r="428" ht="17.25" customHeight="1">
      <c r="A428" s="41"/>
      <c r="B428" s="37"/>
      <c r="C428" s="37"/>
      <c r="D428" s="37"/>
      <c r="E428" s="37"/>
      <c r="F428" s="37"/>
      <c r="G428" s="37"/>
      <c r="H428" s="37"/>
      <c r="I428" s="37"/>
      <c r="J428" s="38"/>
      <c r="K428" s="39"/>
      <c r="L428" s="39"/>
    </row>
    <row r="429" ht="17.25" customHeight="1">
      <c r="A429" s="41"/>
      <c r="B429" s="37"/>
      <c r="C429" s="37"/>
      <c r="D429" s="37"/>
      <c r="E429" s="37"/>
      <c r="F429" s="37"/>
      <c r="G429" s="37"/>
      <c r="H429" s="37"/>
      <c r="I429" s="37"/>
      <c r="J429" s="38"/>
      <c r="K429" s="39"/>
      <c r="L429" s="39"/>
    </row>
    <row r="430" ht="17.25" customHeight="1">
      <c r="A430" s="41"/>
      <c r="B430" s="37"/>
      <c r="C430" s="37"/>
      <c r="D430" s="37"/>
      <c r="E430" s="37"/>
      <c r="F430" s="37"/>
      <c r="G430" s="37"/>
      <c r="H430" s="37"/>
      <c r="I430" s="37"/>
      <c r="J430" s="38"/>
      <c r="K430" s="39"/>
      <c r="L430" s="39"/>
    </row>
    <row r="431" ht="17.25" customHeight="1">
      <c r="A431" s="41"/>
      <c r="B431" s="37"/>
      <c r="C431" s="37"/>
      <c r="D431" s="37"/>
      <c r="E431" s="37"/>
      <c r="F431" s="37"/>
      <c r="G431" s="37"/>
      <c r="H431" s="37"/>
      <c r="I431" s="37"/>
      <c r="J431" s="38"/>
      <c r="K431" s="39"/>
      <c r="L431" s="39"/>
    </row>
    <row r="432" ht="17.25" customHeight="1">
      <c r="A432" s="41"/>
      <c r="B432" s="37"/>
      <c r="C432" s="37"/>
      <c r="D432" s="37"/>
      <c r="E432" s="37"/>
      <c r="F432" s="37"/>
      <c r="G432" s="37"/>
      <c r="H432" s="37"/>
      <c r="I432" s="37"/>
      <c r="J432" s="38"/>
      <c r="K432" s="39"/>
      <c r="L432" s="39"/>
    </row>
    <row r="433" ht="17.25" customHeight="1">
      <c r="A433" s="41"/>
      <c r="B433" s="37"/>
      <c r="C433" s="37"/>
      <c r="D433" s="37"/>
      <c r="E433" s="37"/>
      <c r="F433" s="37"/>
      <c r="G433" s="37"/>
      <c r="H433" s="37"/>
      <c r="I433" s="37"/>
      <c r="J433" s="38"/>
      <c r="K433" s="39"/>
      <c r="L433" s="39"/>
    </row>
    <row r="434" ht="17.25" customHeight="1">
      <c r="A434" s="41"/>
      <c r="B434" s="37"/>
      <c r="C434" s="37"/>
      <c r="D434" s="37"/>
      <c r="E434" s="37"/>
      <c r="F434" s="37"/>
      <c r="G434" s="37"/>
      <c r="H434" s="37"/>
      <c r="I434" s="37"/>
      <c r="J434" s="38"/>
      <c r="K434" s="39"/>
      <c r="L434" s="39"/>
    </row>
    <row r="435" ht="17.25" customHeight="1">
      <c r="A435" s="41"/>
      <c r="B435" s="37"/>
      <c r="C435" s="37"/>
      <c r="D435" s="37"/>
      <c r="E435" s="37"/>
      <c r="F435" s="37"/>
      <c r="G435" s="37"/>
      <c r="H435" s="37"/>
      <c r="I435" s="37"/>
      <c r="J435" s="38"/>
      <c r="K435" s="39"/>
      <c r="L435" s="39"/>
    </row>
    <row r="436" ht="17.25" customHeight="1">
      <c r="A436" s="41"/>
      <c r="B436" s="37"/>
      <c r="C436" s="37"/>
      <c r="D436" s="37"/>
      <c r="E436" s="37"/>
      <c r="F436" s="37"/>
      <c r="G436" s="37"/>
      <c r="H436" s="37"/>
      <c r="I436" s="37"/>
      <c r="J436" s="38"/>
      <c r="K436" s="39"/>
      <c r="L436" s="39"/>
    </row>
    <row r="437" ht="17.25" customHeight="1">
      <c r="A437" s="41"/>
      <c r="B437" s="37"/>
      <c r="C437" s="37"/>
      <c r="D437" s="37"/>
      <c r="E437" s="37"/>
      <c r="F437" s="37"/>
      <c r="G437" s="37"/>
      <c r="H437" s="37"/>
      <c r="I437" s="37"/>
      <c r="J437" s="38"/>
      <c r="K437" s="39"/>
      <c r="L437" s="39"/>
    </row>
    <row r="438" ht="17.25" customHeight="1">
      <c r="A438" s="41"/>
      <c r="B438" s="37"/>
      <c r="C438" s="37"/>
      <c r="D438" s="37"/>
      <c r="E438" s="37"/>
      <c r="F438" s="37"/>
      <c r="G438" s="37"/>
      <c r="H438" s="37"/>
      <c r="I438" s="37"/>
      <c r="J438" s="38"/>
      <c r="K438" s="39"/>
      <c r="L438" s="39"/>
    </row>
    <row r="439" ht="17.25" customHeight="1">
      <c r="A439" s="41"/>
      <c r="B439" s="37"/>
      <c r="C439" s="37"/>
      <c r="D439" s="37"/>
      <c r="E439" s="37"/>
      <c r="F439" s="37"/>
      <c r="G439" s="37"/>
      <c r="H439" s="37"/>
      <c r="I439" s="37"/>
      <c r="J439" s="38"/>
      <c r="K439" s="39"/>
      <c r="L439" s="39"/>
    </row>
    <row r="440" ht="17.25" customHeight="1">
      <c r="A440" s="41"/>
      <c r="B440" s="37"/>
      <c r="C440" s="37"/>
      <c r="D440" s="37"/>
      <c r="E440" s="37"/>
      <c r="F440" s="37"/>
      <c r="G440" s="37"/>
      <c r="H440" s="37"/>
      <c r="I440" s="37"/>
      <c r="J440" s="38"/>
      <c r="K440" s="39"/>
      <c r="L440" s="39"/>
    </row>
    <row r="441" ht="17.25" customHeight="1">
      <c r="A441" s="41"/>
      <c r="B441" s="37"/>
      <c r="C441" s="37"/>
      <c r="D441" s="37"/>
      <c r="E441" s="37"/>
      <c r="F441" s="37"/>
      <c r="G441" s="37"/>
      <c r="H441" s="37"/>
      <c r="I441" s="37"/>
      <c r="J441" s="38"/>
      <c r="K441" s="39"/>
      <c r="L441" s="39"/>
    </row>
    <row r="442" ht="17.25" customHeight="1">
      <c r="A442" s="41"/>
      <c r="B442" s="37"/>
      <c r="C442" s="37"/>
      <c r="D442" s="37"/>
      <c r="E442" s="37"/>
      <c r="F442" s="37"/>
      <c r="G442" s="37"/>
      <c r="H442" s="37"/>
      <c r="I442" s="37"/>
      <c r="J442" s="38"/>
      <c r="K442" s="39"/>
      <c r="L442" s="39"/>
    </row>
    <row r="443" ht="17.25" customHeight="1">
      <c r="A443" s="41"/>
      <c r="B443" s="37"/>
      <c r="C443" s="37"/>
      <c r="D443" s="37"/>
      <c r="E443" s="37"/>
      <c r="F443" s="37"/>
      <c r="G443" s="37"/>
      <c r="H443" s="37"/>
      <c r="I443" s="37"/>
      <c r="J443" s="38"/>
      <c r="K443" s="39"/>
      <c r="L443" s="39"/>
    </row>
    <row r="444" ht="17.25" customHeight="1">
      <c r="A444" s="41"/>
      <c r="B444" s="37"/>
      <c r="C444" s="37"/>
      <c r="D444" s="37"/>
      <c r="E444" s="37"/>
      <c r="F444" s="37"/>
      <c r="G444" s="37"/>
      <c r="H444" s="37"/>
      <c r="I444" s="37"/>
      <c r="J444" s="38"/>
      <c r="K444" s="39"/>
      <c r="L444" s="39"/>
    </row>
    <row r="445" ht="17.25" customHeight="1">
      <c r="A445" s="41"/>
      <c r="B445" s="37"/>
      <c r="C445" s="37"/>
      <c r="D445" s="37"/>
      <c r="E445" s="37"/>
      <c r="F445" s="37"/>
      <c r="G445" s="37"/>
      <c r="H445" s="37"/>
      <c r="I445" s="37"/>
      <c r="J445" s="38"/>
      <c r="K445" s="39"/>
      <c r="L445" s="39"/>
    </row>
    <row r="446" ht="17.25" customHeight="1">
      <c r="A446" s="41"/>
      <c r="B446" s="37"/>
      <c r="C446" s="37"/>
      <c r="D446" s="37"/>
      <c r="E446" s="37"/>
      <c r="F446" s="37"/>
      <c r="G446" s="37"/>
      <c r="H446" s="37"/>
      <c r="I446" s="37"/>
      <c r="J446" s="38"/>
      <c r="K446" s="39"/>
      <c r="L446" s="39"/>
    </row>
    <row r="447" ht="17.25" customHeight="1">
      <c r="A447" s="41"/>
      <c r="B447" s="37"/>
      <c r="C447" s="37"/>
      <c r="D447" s="37"/>
      <c r="E447" s="37"/>
      <c r="F447" s="37"/>
      <c r="G447" s="37"/>
      <c r="H447" s="37"/>
      <c r="I447" s="37"/>
      <c r="J447" s="38"/>
      <c r="K447" s="39"/>
      <c r="L447" s="39"/>
    </row>
    <row r="448" ht="17.25" customHeight="1">
      <c r="A448" s="41"/>
      <c r="B448" s="37"/>
      <c r="C448" s="37"/>
      <c r="D448" s="37"/>
      <c r="E448" s="37"/>
      <c r="F448" s="37"/>
      <c r="G448" s="37"/>
      <c r="H448" s="37"/>
      <c r="I448" s="37"/>
      <c r="J448" s="38"/>
      <c r="K448" s="39"/>
      <c r="L448" s="39"/>
    </row>
    <row r="449" ht="17.25" customHeight="1">
      <c r="A449" s="41"/>
      <c r="B449" s="37"/>
      <c r="C449" s="37"/>
      <c r="D449" s="37"/>
      <c r="E449" s="37"/>
      <c r="F449" s="37"/>
      <c r="G449" s="37"/>
      <c r="H449" s="37"/>
      <c r="I449" s="37"/>
      <c r="J449" s="38"/>
      <c r="K449" s="39"/>
      <c r="L449" s="39"/>
    </row>
    <row r="450" ht="17.25" customHeight="1">
      <c r="A450" s="41"/>
      <c r="B450" s="37"/>
      <c r="C450" s="37"/>
      <c r="D450" s="37"/>
      <c r="E450" s="37"/>
      <c r="F450" s="37"/>
      <c r="G450" s="37"/>
      <c r="H450" s="37"/>
      <c r="I450" s="37"/>
      <c r="J450" s="38"/>
      <c r="K450" s="39"/>
      <c r="L450" s="39"/>
    </row>
    <row r="451" ht="17.25" customHeight="1">
      <c r="A451" s="41"/>
      <c r="B451" s="37"/>
      <c r="C451" s="37"/>
      <c r="D451" s="37"/>
      <c r="E451" s="37"/>
      <c r="F451" s="37"/>
      <c r="G451" s="37"/>
      <c r="H451" s="37"/>
      <c r="I451" s="37"/>
      <c r="J451" s="38"/>
      <c r="K451" s="39"/>
      <c r="L451" s="39"/>
    </row>
    <row r="452" ht="17.25" customHeight="1">
      <c r="A452" s="41"/>
      <c r="B452" s="37"/>
      <c r="C452" s="37"/>
      <c r="D452" s="37"/>
      <c r="E452" s="37"/>
      <c r="F452" s="37"/>
      <c r="G452" s="37"/>
      <c r="H452" s="37"/>
      <c r="I452" s="37"/>
      <c r="J452" s="38"/>
      <c r="K452" s="39"/>
      <c r="L452" s="39"/>
    </row>
    <row r="453" ht="17.25" customHeight="1">
      <c r="A453" s="41"/>
      <c r="B453" s="37"/>
      <c r="C453" s="37"/>
      <c r="D453" s="37"/>
      <c r="E453" s="37"/>
      <c r="F453" s="37"/>
      <c r="G453" s="37"/>
      <c r="H453" s="37"/>
      <c r="I453" s="37"/>
      <c r="J453" s="38"/>
      <c r="K453" s="39"/>
      <c r="L453" s="39"/>
    </row>
    <row r="454" ht="17.25" customHeight="1">
      <c r="A454" s="41"/>
      <c r="B454" s="37"/>
      <c r="C454" s="37"/>
      <c r="D454" s="37"/>
      <c r="E454" s="37"/>
      <c r="F454" s="37"/>
      <c r="G454" s="37"/>
      <c r="H454" s="37"/>
      <c r="I454" s="37"/>
      <c r="J454" s="38"/>
      <c r="K454" s="39"/>
      <c r="L454" s="39"/>
    </row>
    <row r="455" ht="17.25" customHeight="1">
      <c r="A455" s="41"/>
      <c r="B455" s="37"/>
      <c r="C455" s="37"/>
      <c r="D455" s="37"/>
      <c r="E455" s="37"/>
      <c r="F455" s="37"/>
      <c r="G455" s="37"/>
      <c r="H455" s="37"/>
      <c r="I455" s="37"/>
      <c r="J455" s="38"/>
      <c r="K455" s="39"/>
      <c r="L455" s="39"/>
    </row>
    <row r="456" ht="17.25" customHeight="1">
      <c r="A456" s="41"/>
      <c r="B456" s="37"/>
      <c r="C456" s="37"/>
      <c r="D456" s="37"/>
      <c r="E456" s="37"/>
      <c r="F456" s="37"/>
      <c r="G456" s="37"/>
      <c r="H456" s="37"/>
      <c r="I456" s="37"/>
      <c r="J456" s="38"/>
      <c r="K456" s="39"/>
      <c r="L456" s="39"/>
    </row>
    <row r="457" ht="17.25" customHeight="1">
      <c r="A457" s="41"/>
      <c r="B457" s="37"/>
      <c r="C457" s="37"/>
      <c r="D457" s="37"/>
      <c r="E457" s="37"/>
      <c r="F457" s="37"/>
      <c r="G457" s="37"/>
      <c r="H457" s="37"/>
      <c r="I457" s="37"/>
      <c r="J457" s="38"/>
      <c r="K457" s="39"/>
      <c r="L457" s="39"/>
    </row>
    <row r="458" ht="17.25" customHeight="1">
      <c r="A458" s="41"/>
      <c r="B458" s="37"/>
      <c r="C458" s="37"/>
      <c r="D458" s="37"/>
      <c r="E458" s="37"/>
      <c r="F458" s="37"/>
      <c r="G458" s="37"/>
      <c r="H458" s="37"/>
      <c r="I458" s="37"/>
      <c r="J458" s="38"/>
      <c r="K458" s="39"/>
      <c r="L458" s="39"/>
    </row>
    <row r="459" ht="17.25" customHeight="1">
      <c r="A459" s="41"/>
      <c r="B459" s="37"/>
      <c r="C459" s="37"/>
      <c r="D459" s="37"/>
      <c r="E459" s="37"/>
      <c r="F459" s="37"/>
      <c r="G459" s="37"/>
      <c r="H459" s="37"/>
      <c r="I459" s="37"/>
      <c r="J459" s="38"/>
      <c r="K459" s="39"/>
      <c r="L459" s="39"/>
    </row>
    <row r="460" ht="17.25" customHeight="1">
      <c r="A460" s="41"/>
      <c r="B460" s="37"/>
      <c r="C460" s="37"/>
      <c r="D460" s="37"/>
      <c r="E460" s="37"/>
      <c r="F460" s="37"/>
      <c r="G460" s="37"/>
      <c r="H460" s="37"/>
      <c r="I460" s="37"/>
      <c r="J460" s="38"/>
      <c r="K460" s="39"/>
      <c r="L460" s="39"/>
    </row>
    <row r="461" ht="17.25" customHeight="1">
      <c r="A461" s="41"/>
      <c r="B461" s="37"/>
      <c r="C461" s="37"/>
      <c r="D461" s="37"/>
      <c r="E461" s="37"/>
      <c r="F461" s="37"/>
      <c r="G461" s="37"/>
      <c r="H461" s="37"/>
      <c r="I461" s="37"/>
      <c r="J461" s="38"/>
      <c r="K461" s="39"/>
      <c r="L461" s="39"/>
    </row>
    <row r="462" ht="17.25" customHeight="1">
      <c r="A462" s="41"/>
      <c r="B462" s="37"/>
      <c r="C462" s="37"/>
      <c r="D462" s="37"/>
      <c r="E462" s="37"/>
      <c r="F462" s="37"/>
      <c r="G462" s="37"/>
      <c r="H462" s="37"/>
      <c r="I462" s="37"/>
      <c r="J462" s="38"/>
      <c r="K462" s="39"/>
      <c r="L462" s="39"/>
    </row>
    <row r="463" ht="17.25" customHeight="1">
      <c r="A463" s="41"/>
      <c r="B463" s="37"/>
      <c r="C463" s="37"/>
      <c r="D463" s="37"/>
      <c r="E463" s="37"/>
      <c r="F463" s="37"/>
      <c r="G463" s="37"/>
      <c r="H463" s="37"/>
      <c r="I463" s="37"/>
      <c r="J463" s="38"/>
      <c r="K463" s="39"/>
      <c r="L463" s="39"/>
    </row>
    <row r="464" ht="17.25" customHeight="1">
      <c r="A464" s="41"/>
      <c r="B464" s="37"/>
      <c r="C464" s="37"/>
      <c r="D464" s="37"/>
      <c r="E464" s="37"/>
      <c r="F464" s="37"/>
      <c r="G464" s="37"/>
      <c r="H464" s="37"/>
      <c r="I464" s="37"/>
      <c r="J464" s="38"/>
      <c r="K464" s="39"/>
      <c r="L464" s="39"/>
    </row>
    <row r="465" ht="17.25" customHeight="1">
      <c r="A465" s="41"/>
      <c r="B465" s="37"/>
      <c r="C465" s="37"/>
      <c r="D465" s="37"/>
      <c r="E465" s="37"/>
      <c r="F465" s="37"/>
      <c r="G465" s="37"/>
      <c r="H465" s="37"/>
      <c r="I465" s="37"/>
      <c r="J465" s="38"/>
      <c r="K465" s="39"/>
      <c r="L465" s="39"/>
    </row>
    <row r="466" ht="17.25" customHeight="1">
      <c r="A466" s="41"/>
      <c r="B466" s="37"/>
      <c r="C466" s="37"/>
      <c r="D466" s="37"/>
      <c r="E466" s="37"/>
      <c r="F466" s="37"/>
      <c r="G466" s="37"/>
      <c r="H466" s="37"/>
      <c r="I466" s="37"/>
      <c r="J466" s="38"/>
      <c r="K466" s="39"/>
      <c r="L466" s="39"/>
    </row>
    <row r="467" ht="17.25" customHeight="1">
      <c r="A467" s="41"/>
      <c r="B467" s="37"/>
      <c r="C467" s="37"/>
      <c r="D467" s="37"/>
      <c r="E467" s="37"/>
      <c r="F467" s="37"/>
      <c r="G467" s="37"/>
      <c r="H467" s="37"/>
      <c r="I467" s="37"/>
      <c r="J467" s="38"/>
      <c r="K467" s="39"/>
      <c r="L467" s="39"/>
    </row>
    <row r="468" ht="17.25" customHeight="1">
      <c r="A468" s="41"/>
      <c r="B468" s="37"/>
      <c r="C468" s="37"/>
      <c r="D468" s="37"/>
      <c r="E468" s="37"/>
      <c r="F468" s="37"/>
      <c r="G468" s="37"/>
      <c r="H468" s="37"/>
      <c r="I468" s="37"/>
      <c r="J468" s="38"/>
      <c r="K468" s="39"/>
      <c r="L468" s="39"/>
    </row>
    <row r="469" ht="17.25" customHeight="1">
      <c r="A469" s="41"/>
      <c r="B469" s="37"/>
      <c r="C469" s="37"/>
      <c r="D469" s="37"/>
      <c r="E469" s="37"/>
      <c r="F469" s="37"/>
      <c r="G469" s="37"/>
      <c r="H469" s="37"/>
      <c r="I469" s="37"/>
      <c r="J469" s="38"/>
      <c r="K469" s="39"/>
      <c r="L469" s="39"/>
    </row>
    <row r="470" ht="17.25" customHeight="1">
      <c r="A470" s="41"/>
      <c r="B470" s="37"/>
      <c r="C470" s="37"/>
      <c r="D470" s="37"/>
      <c r="E470" s="37"/>
      <c r="F470" s="37"/>
      <c r="G470" s="37"/>
      <c r="H470" s="37"/>
      <c r="I470" s="37"/>
      <c r="J470" s="38"/>
      <c r="K470" s="39"/>
      <c r="L470" s="39"/>
    </row>
    <row r="471" ht="17.25" customHeight="1">
      <c r="A471" s="41"/>
      <c r="B471" s="37"/>
      <c r="C471" s="37"/>
      <c r="D471" s="37"/>
      <c r="E471" s="37"/>
      <c r="F471" s="37"/>
      <c r="G471" s="37"/>
      <c r="H471" s="37"/>
      <c r="I471" s="37"/>
      <c r="J471" s="38"/>
      <c r="K471" s="39"/>
      <c r="L471" s="39"/>
    </row>
    <row r="472" ht="17.25" customHeight="1">
      <c r="A472" s="41"/>
      <c r="B472" s="37"/>
      <c r="C472" s="37"/>
      <c r="D472" s="37"/>
      <c r="E472" s="37"/>
      <c r="F472" s="37"/>
      <c r="G472" s="37"/>
      <c r="H472" s="37"/>
      <c r="I472" s="37"/>
      <c r="J472" s="38"/>
      <c r="K472" s="39"/>
      <c r="L472" s="39"/>
    </row>
    <row r="473" ht="17.25" customHeight="1">
      <c r="A473" s="41"/>
      <c r="B473" s="37"/>
      <c r="C473" s="37"/>
      <c r="D473" s="37"/>
      <c r="E473" s="37"/>
      <c r="F473" s="37"/>
      <c r="G473" s="37"/>
      <c r="H473" s="37"/>
      <c r="I473" s="37"/>
      <c r="J473" s="38"/>
      <c r="K473" s="39"/>
      <c r="L473" s="39"/>
    </row>
    <row r="474" ht="17.25" customHeight="1">
      <c r="A474" s="41"/>
      <c r="B474" s="37"/>
      <c r="C474" s="37"/>
      <c r="D474" s="37"/>
      <c r="E474" s="37"/>
      <c r="F474" s="37"/>
      <c r="G474" s="37"/>
      <c r="H474" s="37"/>
      <c r="I474" s="37"/>
      <c r="J474" s="38"/>
      <c r="K474" s="39"/>
      <c r="L474" s="39"/>
    </row>
    <row r="475" ht="17.25" customHeight="1">
      <c r="A475" s="41"/>
      <c r="B475" s="37"/>
      <c r="C475" s="37"/>
      <c r="D475" s="37"/>
      <c r="E475" s="37"/>
      <c r="F475" s="37"/>
      <c r="G475" s="37"/>
      <c r="H475" s="37"/>
      <c r="I475" s="37"/>
      <c r="J475" s="38"/>
      <c r="K475" s="39"/>
      <c r="L475" s="39"/>
    </row>
    <row r="476" ht="17.25" customHeight="1">
      <c r="A476" s="41"/>
      <c r="B476" s="37"/>
      <c r="C476" s="37"/>
      <c r="D476" s="37"/>
      <c r="E476" s="37"/>
      <c r="F476" s="37"/>
      <c r="G476" s="37"/>
      <c r="H476" s="37"/>
      <c r="I476" s="37"/>
      <c r="J476" s="38"/>
      <c r="K476" s="39"/>
      <c r="L476" s="39"/>
    </row>
    <row r="477" ht="17.25" customHeight="1">
      <c r="A477" s="41"/>
      <c r="B477" s="37"/>
      <c r="C477" s="37"/>
      <c r="D477" s="37"/>
      <c r="E477" s="37"/>
      <c r="F477" s="37"/>
      <c r="G477" s="37"/>
      <c r="H477" s="37"/>
      <c r="I477" s="37"/>
      <c r="J477" s="38"/>
      <c r="K477" s="39"/>
      <c r="L477" s="39"/>
    </row>
    <row r="478" ht="17.25" customHeight="1">
      <c r="A478" s="41"/>
      <c r="B478" s="37"/>
      <c r="C478" s="37"/>
      <c r="D478" s="37"/>
      <c r="E478" s="37"/>
      <c r="F478" s="37"/>
      <c r="G478" s="37"/>
      <c r="H478" s="37"/>
      <c r="I478" s="37"/>
      <c r="J478" s="38"/>
      <c r="K478" s="39"/>
      <c r="L478" s="39"/>
    </row>
    <row r="479" ht="17.25" customHeight="1">
      <c r="A479" s="41"/>
      <c r="B479" s="37"/>
      <c r="C479" s="37"/>
      <c r="D479" s="37"/>
      <c r="E479" s="37"/>
      <c r="F479" s="37"/>
      <c r="G479" s="37"/>
      <c r="H479" s="37"/>
      <c r="I479" s="37"/>
      <c r="J479" s="38"/>
      <c r="K479" s="39"/>
      <c r="L479" s="39"/>
    </row>
    <row r="480" ht="17.25" customHeight="1">
      <c r="A480" s="41"/>
      <c r="B480" s="37"/>
      <c r="C480" s="37"/>
      <c r="D480" s="37"/>
      <c r="E480" s="37"/>
      <c r="F480" s="37"/>
      <c r="G480" s="37"/>
      <c r="H480" s="37"/>
      <c r="I480" s="37"/>
      <c r="J480" s="38"/>
      <c r="K480" s="39"/>
      <c r="L480" s="39"/>
    </row>
    <row r="481" ht="17.25" customHeight="1">
      <c r="A481" s="41"/>
      <c r="B481" s="37"/>
      <c r="C481" s="37"/>
      <c r="D481" s="37"/>
      <c r="E481" s="37"/>
      <c r="F481" s="37"/>
      <c r="G481" s="37"/>
      <c r="H481" s="37"/>
      <c r="I481" s="37"/>
      <c r="J481" s="38"/>
      <c r="K481" s="39"/>
      <c r="L481" s="39"/>
    </row>
    <row r="482" ht="17.25" customHeight="1">
      <c r="A482" s="41"/>
      <c r="B482" s="37"/>
      <c r="C482" s="37"/>
      <c r="D482" s="37"/>
      <c r="E482" s="37"/>
      <c r="F482" s="37"/>
      <c r="G482" s="37"/>
      <c r="H482" s="37"/>
      <c r="I482" s="37"/>
      <c r="J482" s="38"/>
      <c r="K482" s="39"/>
      <c r="L482" s="39"/>
    </row>
    <row r="483" ht="17.25" customHeight="1">
      <c r="A483" s="41"/>
      <c r="B483" s="37"/>
      <c r="C483" s="37"/>
      <c r="D483" s="37"/>
      <c r="E483" s="37"/>
      <c r="F483" s="37"/>
      <c r="G483" s="37"/>
      <c r="H483" s="37"/>
      <c r="I483" s="37"/>
      <c r="J483" s="38"/>
      <c r="K483" s="39"/>
      <c r="L483" s="39"/>
    </row>
    <row r="484" ht="17.25" customHeight="1">
      <c r="A484" s="41"/>
      <c r="B484" s="37"/>
      <c r="C484" s="37"/>
      <c r="D484" s="37"/>
      <c r="E484" s="37"/>
      <c r="F484" s="37"/>
      <c r="G484" s="37"/>
      <c r="H484" s="37"/>
      <c r="I484" s="37"/>
      <c r="J484" s="38"/>
      <c r="K484" s="39"/>
      <c r="L484" s="39"/>
    </row>
    <row r="485" ht="17.25" customHeight="1">
      <c r="A485" s="41"/>
      <c r="B485" s="37"/>
      <c r="C485" s="37"/>
      <c r="D485" s="37"/>
      <c r="E485" s="37"/>
      <c r="F485" s="37"/>
      <c r="G485" s="37"/>
      <c r="H485" s="37"/>
      <c r="I485" s="37"/>
      <c r="J485" s="38"/>
      <c r="K485" s="39"/>
      <c r="L485" s="39"/>
    </row>
    <row r="486" ht="17.25" customHeight="1">
      <c r="A486" s="41"/>
      <c r="B486" s="37"/>
      <c r="C486" s="37"/>
      <c r="D486" s="37"/>
      <c r="E486" s="37"/>
      <c r="F486" s="37"/>
      <c r="G486" s="37"/>
      <c r="H486" s="37"/>
      <c r="I486" s="37"/>
      <c r="J486" s="38"/>
      <c r="K486" s="39"/>
      <c r="L486" s="39"/>
    </row>
    <row r="487" ht="17.25" customHeight="1">
      <c r="A487" s="41"/>
      <c r="B487" s="37"/>
      <c r="C487" s="37"/>
      <c r="D487" s="37"/>
      <c r="E487" s="37"/>
      <c r="F487" s="37"/>
      <c r="G487" s="37"/>
      <c r="H487" s="37"/>
      <c r="I487" s="37"/>
      <c r="J487" s="38"/>
      <c r="K487" s="39"/>
      <c r="L487" s="39"/>
    </row>
    <row r="488" ht="17.25" customHeight="1">
      <c r="A488" s="41"/>
      <c r="B488" s="37"/>
      <c r="C488" s="37"/>
      <c r="D488" s="37"/>
      <c r="E488" s="37"/>
      <c r="F488" s="37"/>
      <c r="G488" s="37"/>
      <c r="H488" s="37"/>
      <c r="I488" s="37"/>
      <c r="J488" s="38"/>
      <c r="K488" s="39"/>
      <c r="L488" s="39"/>
    </row>
    <row r="489" ht="17.25" customHeight="1">
      <c r="A489" s="41"/>
      <c r="B489" s="37"/>
      <c r="C489" s="37"/>
      <c r="D489" s="37"/>
      <c r="E489" s="37"/>
      <c r="F489" s="37"/>
      <c r="G489" s="37"/>
      <c r="H489" s="37"/>
      <c r="I489" s="37"/>
      <c r="J489" s="38"/>
      <c r="K489" s="39"/>
      <c r="L489" s="39"/>
    </row>
    <row r="490" ht="17.25" customHeight="1">
      <c r="A490" s="41"/>
      <c r="B490" s="37"/>
      <c r="C490" s="37"/>
      <c r="D490" s="37"/>
      <c r="E490" s="37"/>
      <c r="F490" s="37"/>
      <c r="G490" s="37"/>
      <c r="H490" s="37"/>
      <c r="I490" s="37"/>
      <c r="J490" s="38"/>
      <c r="K490" s="39"/>
      <c r="L490" s="39"/>
    </row>
    <row r="491" ht="17.25" customHeight="1">
      <c r="A491" s="41"/>
      <c r="B491" s="37"/>
      <c r="C491" s="37"/>
      <c r="D491" s="37"/>
      <c r="E491" s="37"/>
      <c r="F491" s="37"/>
      <c r="G491" s="37"/>
      <c r="H491" s="37"/>
      <c r="I491" s="37"/>
      <c r="J491" s="38"/>
      <c r="K491" s="39"/>
      <c r="L491" s="39"/>
    </row>
    <row r="492" ht="17.25" customHeight="1">
      <c r="A492" s="41"/>
      <c r="B492" s="37"/>
      <c r="C492" s="37"/>
      <c r="D492" s="37"/>
      <c r="E492" s="37"/>
      <c r="F492" s="37"/>
      <c r="G492" s="37"/>
      <c r="H492" s="37"/>
      <c r="I492" s="37"/>
      <c r="J492" s="38"/>
      <c r="K492" s="39"/>
      <c r="L492" s="39"/>
    </row>
    <row r="493" ht="17.25" customHeight="1">
      <c r="A493" s="41"/>
      <c r="B493" s="37"/>
      <c r="C493" s="37"/>
      <c r="D493" s="37"/>
      <c r="E493" s="37"/>
      <c r="F493" s="37"/>
      <c r="G493" s="37"/>
      <c r="H493" s="37"/>
      <c r="I493" s="37"/>
      <c r="J493" s="38"/>
      <c r="K493" s="39"/>
      <c r="L493" s="39"/>
    </row>
    <row r="494" ht="17.25" customHeight="1">
      <c r="A494" s="41"/>
      <c r="B494" s="37"/>
      <c r="C494" s="37"/>
      <c r="D494" s="37"/>
      <c r="E494" s="37"/>
      <c r="F494" s="37"/>
      <c r="G494" s="37"/>
      <c r="H494" s="37"/>
      <c r="I494" s="37"/>
      <c r="J494" s="38"/>
      <c r="K494" s="39"/>
      <c r="L494" s="39"/>
    </row>
    <row r="495" ht="17.25" customHeight="1">
      <c r="A495" s="41"/>
      <c r="B495" s="37"/>
      <c r="C495" s="37"/>
      <c r="D495" s="37"/>
      <c r="E495" s="37"/>
      <c r="F495" s="37"/>
      <c r="G495" s="37"/>
      <c r="H495" s="37"/>
      <c r="I495" s="37"/>
      <c r="J495" s="38"/>
      <c r="K495" s="39"/>
      <c r="L495" s="39"/>
    </row>
    <row r="496" ht="17.25" customHeight="1">
      <c r="A496" s="41"/>
      <c r="B496" s="37"/>
      <c r="C496" s="37"/>
      <c r="D496" s="37"/>
      <c r="E496" s="37"/>
      <c r="F496" s="37"/>
      <c r="G496" s="37"/>
      <c r="H496" s="37"/>
      <c r="I496" s="37"/>
      <c r="J496" s="38"/>
      <c r="K496" s="39"/>
      <c r="L496" s="39"/>
    </row>
    <row r="497" ht="17.25" customHeight="1">
      <c r="A497" s="41"/>
      <c r="B497" s="37"/>
      <c r="C497" s="37"/>
      <c r="D497" s="37"/>
      <c r="E497" s="37"/>
      <c r="F497" s="37"/>
      <c r="G497" s="37"/>
      <c r="H497" s="37"/>
      <c r="I497" s="37"/>
      <c r="J497" s="38"/>
      <c r="K497" s="39"/>
      <c r="L497" s="39"/>
    </row>
    <row r="498" ht="17.25" customHeight="1">
      <c r="A498" s="41"/>
      <c r="B498" s="37"/>
      <c r="C498" s="37"/>
      <c r="D498" s="37"/>
      <c r="E498" s="37"/>
      <c r="F498" s="37"/>
      <c r="G498" s="37"/>
      <c r="H498" s="37"/>
      <c r="I498" s="37"/>
      <c r="J498" s="38"/>
      <c r="K498" s="39"/>
      <c r="L498" s="39"/>
    </row>
    <row r="499" ht="17.25" customHeight="1">
      <c r="A499" s="41"/>
      <c r="B499" s="37"/>
      <c r="C499" s="37"/>
      <c r="D499" s="37"/>
      <c r="E499" s="37"/>
      <c r="F499" s="37"/>
      <c r="G499" s="37"/>
      <c r="H499" s="37"/>
      <c r="I499" s="37"/>
      <c r="J499" s="38"/>
      <c r="K499" s="39"/>
      <c r="L499" s="39"/>
    </row>
    <row r="500" ht="17.25" customHeight="1">
      <c r="A500" s="41"/>
      <c r="B500" s="37"/>
      <c r="C500" s="37"/>
      <c r="D500" s="37"/>
      <c r="E500" s="37"/>
      <c r="F500" s="37"/>
      <c r="G500" s="37"/>
      <c r="H500" s="37"/>
      <c r="I500" s="37"/>
      <c r="J500" s="38"/>
      <c r="K500" s="39"/>
      <c r="L500" s="39"/>
    </row>
    <row r="501" ht="17.25" customHeight="1">
      <c r="A501" s="41"/>
      <c r="B501" s="37"/>
      <c r="C501" s="37"/>
      <c r="D501" s="37"/>
      <c r="E501" s="37"/>
      <c r="F501" s="37"/>
      <c r="G501" s="37"/>
      <c r="H501" s="37"/>
      <c r="I501" s="37"/>
      <c r="J501" s="38"/>
      <c r="K501" s="39"/>
      <c r="L501" s="39"/>
    </row>
    <row r="502" ht="17.25" customHeight="1">
      <c r="A502" s="41"/>
      <c r="B502" s="37"/>
      <c r="C502" s="37"/>
      <c r="D502" s="37"/>
      <c r="E502" s="37"/>
      <c r="F502" s="37"/>
      <c r="G502" s="37"/>
      <c r="H502" s="37"/>
      <c r="I502" s="37"/>
      <c r="J502" s="38"/>
      <c r="K502" s="39"/>
      <c r="L502" s="39"/>
    </row>
    <row r="503" ht="17.25" customHeight="1">
      <c r="A503" s="41"/>
      <c r="B503" s="37"/>
      <c r="C503" s="37"/>
      <c r="D503" s="37"/>
      <c r="E503" s="37"/>
      <c r="F503" s="37"/>
      <c r="G503" s="37"/>
      <c r="H503" s="37"/>
      <c r="I503" s="37"/>
      <c r="J503" s="38"/>
      <c r="K503" s="39"/>
      <c r="L503" s="39"/>
    </row>
    <row r="504" ht="17.25" customHeight="1">
      <c r="A504" s="41"/>
      <c r="B504" s="37"/>
      <c r="C504" s="37"/>
      <c r="D504" s="37"/>
      <c r="E504" s="37"/>
      <c r="F504" s="37"/>
      <c r="G504" s="37"/>
      <c r="H504" s="37"/>
      <c r="I504" s="37"/>
      <c r="J504" s="38"/>
      <c r="K504" s="39"/>
      <c r="L504" s="39"/>
    </row>
    <row r="505" ht="17.25" customHeight="1">
      <c r="A505" s="41"/>
      <c r="B505" s="37"/>
      <c r="C505" s="37"/>
      <c r="D505" s="37"/>
      <c r="E505" s="37"/>
      <c r="F505" s="37"/>
      <c r="G505" s="37"/>
      <c r="H505" s="37"/>
      <c r="I505" s="37"/>
      <c r="J505" s="38"/>
      <c r="K505" s="39"/>
      <c r="L505" s="39"/>
    </row>
    <row r="506" ht="17.25" customHeight="1">
      <c r="A506" s="41"/>
      <c r="B506" s="37"/>
      <c r="C506" s="37"/>
      <c r="D506" s="37"/>
      <c r="E506" s="37"/>
      <c r="F506" s="37"/>
      <c r="G506" s="37"/>
      <c r="H506" s="37"/>
      <c r="I506" s="37"/>
      <c r="J506" s="38"/>
      <c r="K506" s="39"/>
      <c r="L506" s="39"/>
    </row>
    <row r="507" ht="17.25" customHeight="1">
      <c r="A507" s="41"/>
      <c r="B507" s="37"/>
      <c r="C507" s="37"/>
      <c r="D507" s="37"/>
      <c r="E507" s="37"/>
      <c r="F507" s="37"/>
      <c r="G507" s="37"/>
      <c r="H507" s="37"/>
      <c r="I507" s="37"/>
      <c r="J507" s="38"/>
      <c r="K507" s="39"/>
      <c r="L507" s="39"/>
    </row>
    <row r="508" ht="17.25" customHeight="1">
      <c r="A508" s="41"/>
      <c r="B508" s="37"/>
      <c r="C508" s="37"/>
      <c r="D508" s="37"/>
      <c r="E508" s="37"/>
      <c r="F508" s="37"/>
      <c r="G508" s="37"/>
      <c r="H508" s="37"/>
      <c r="I508" s="37"/>
      <c r="J508" s="38"/>
      <c r="K508" s="39"/>
      <c r="L508" s="39"/>
    </row>
    <row r="509" ht="17.25" customHeight="1">
      <c r="A509" s="41"/>
      <c r="B509" s="37"/>
      <c r="C509" s="37"/>
      <c r="D509" s="37"/>
      <c r="E509" s="37"/>
      <c r="F509" s="37"/>
      <c r="G509" s="37"/>
      <c r="H509" s="37"/>
      <c r="I509" s="37"/>
      <c r="J509" s="38"/>
      <c r="K509" s="39"/>
      <c r="L509" s="39"/>
    </row>
    <row r="510" ht="17.25" customHeight="1">
      <c r="A510" s="41"/>
      <c r="B510" s="37"/>
      <c r="C510" s="37"/>
      <c r="D510" s="37"/>
      <c r="E510" s="37"/>
      <c r="F510" s="37"/>
      <c r="G510" s="37"/>
      <c r="H510" s="37"/>
      <c r="I510" s="37"/>
      <c r="J510" s="38"/>
      <c r="K510" s="39"/>
      <c r="L510" s="39"/>
    </row>
    <row r="511" ht="17.25" customHeight="1">
      <c r="A511" s="41"/>
      <c r="B511" s="37"/>
      <c r="C511" s="37"/>
      <c r="D511" s="37"/>
      <c r="E511" s="37"/>
      <c r="F511" s="37"/>
      <c r="G511" s="37"/>
      <c r="H511" s="37"/>
      <c r="I511" s="37"/>
      <c r="J511" s="38"/>
      <c r="K511" s="39"/>
      <c r="L511" s="39"/>
    </row>
    <row r="512" ht="17.25" customHeight="1">
      <c r="A512" s="41"/>
      <c r="B512" s="37"/>
      <c r="C512" s="37"/>
      <c r="D512" s="37"/>
      <c r="E512" s="37"/>
      <c r="F512" s="37"/>
      <c r="G512" s="37"/>
      <c r="H512" s="37"/>
      <c r="I512" s="37"/>
      <c r="J512" s="38"/>
      <c r="K512" s="39"/>
      <c r="L512" s="39"/>
    </row>
    <row r="513" ht="17.25" customHeight="1">
      <c r="A513" s="41"/>
      <c r="B513" s="37"/>
      <c r="C513" s="37"/>
      <c r="D513" s="37"/>
      <c r="E513" s="37"/>
      <c r="F513" s="37"/>
      <c r="G513" s="37"/>
      <c r="H513" s="37"/>
      <c r="I513" s="37"/>
      <c r="J513" s="38"/>
      <c r="K513" s="39"/>
      <c r="L513" s="39"/>
    </row>
    <row r="514" ht="17.25" customHeight="1">
      <c r="A514" s="41"/>
      <c r="B514" s="37"/>
      <c r="C514" s="37"/>
      <c r="D514" s="37"/>
      <c r="E514" s="37"/>
      <c r="F514" s="37"/>
      <c r="G514" s="37"/>
      <c r="H514" s="37"/>
      <c r="I514" s="37"/>
      <c r="J514" s="38"/>
      <c r="K514" s="39"/>
      <c r="L514" s="39"/>
    </row>
    <row r="515" ht="17.25" customHeight="1">
      <c r="A515" s="41"/>
      <c r="B515" s="37"/>
      <c r="C515" s="37"/>
      <c r="D515" s="37"/>
      <c r="E515" s="37"/>
      <c r="F515" s="37"/>
      <c r="G515" s="37"/>
      <c r="H515" s="37"/>
      <c r="I515" s="37"/>
      <c r="J515" s="38"/>
      <c r="K515" s="39"/>
      <c r="L515" s="39"/>
    </row>
    <row r="516" ht="17.25" customHeight="1">
      <c r="A516" s="41"/>
      <c r="B516" s="37"/>
      <c r="C516" s="37"/>
      <c r="D516" s="37"/>
      <c r="E516" s="37"/>
      <c r="F516" s="37"/>
      <c r="G516" s="37"/>
      <c r="H516" s="37"/>
      <c r="I516" s="37"/>
      <c r="J516" s="38"/>
      <c r="K516" s="39"/>
      <c r="L516" s="39"/>
    </row>
    <row r="517" ht="17.25" customHeight="1">
      <c r="A517" s="41"/>
      <c r="B517" s="37"/>
      <c r="C517" s="37"/>
      <c r="D517" s="37"/>
      <c r="E517" s="37"/>
      <c r="F517" s="37"/>
      <c r="G517" s="37"/>
      <c r="H517" s="37"/>
      <c r="I517" s="37"/>
      <c r="J517" s="38"/>
      <c r="K517" s="39"/>
      <c r="L517" s="39"/>
    </row>
    <row r="518" ht="17.25" customHeight="1">
      <c r="A518" s="41"/>
      <c r="B518" s="37"/>
      <c r="C518" s="37"/>
      <c r="D518" s="37"/>
      <c r="E518" s="37"/>
      <c r="F518" s="37"/>
      <c r="G518" s="37"/>
      <c r="H518" s="37"/>
      <c r="I518" s="37"/>
      <c r="J518" s="38"/>
      <c r="K518" s="39"/>
      <c r="L518" s="39"/>
    </row>
    <row r="519" ht="17.25" customHeight="1">
      <c r="A519" s="41"/>
      <c r="B519" s="37"/>
      <c r="C519" s="37"/>
      <c r="D519" s="37"/>
      <c r="E519" s="37"/>
      <c r="F519" s="37"/>
      <c r="G519" s="37"/>
      <c r="H519" s="37"/>
      <c r="I519" s="37"/>
      <c r="J519" s="38"/>
      <c r="K519" s="39"/>
      <c r="L519" s="39"/>
    </row>
    <row r="520" ht="17.25" customHeight="1">
      <c r="A520" s="41"/>
      <c r="B520" s="37"/>
      <c r="C520" s="37"/>
      <c r="D520" s="37"/>
      <c r="E520" s="37"/>
      <c r="F520" s="37"/>
      <c r="G520" s="37"/>
      <c r="H520" s="37"/>
      <c r="I520" s="37"/>
      <c r="J520" s="38"/>
      <c r="K520" s="39"/>
      <c r="L520" s="39"/>
    </row>
    <row r="521" ht="17.25" customHeight="1">
      <c r="A521" s="41"/>
      <c r="B521" s="37"/>
      <c r="C521" s="37"/>
      <c r="D521" s="37"/>
      <c r="E521" s="37"/>
      <c r="F521" s="37"/>
      <c r="G521" s="37"/>
      <c r="H521" s="37"/>
      <c r="I521" s="37"/>
      <c r="J521" s="38"/>
      <c r="K521" s="39"/>
      <c r="L521" s="39"/>
    </row>
    <row r="522" ht="17.25" customHeight="1">
      <c r="A522" s="41"/>
      <c r="B522" s="37"/>
      <c r="C522" s="37"/>
      <c r="D522" s="37"/>
      <c r="E522" s="37"/>
      <c r="F522" s="37"/>
      <c r="G522" s="37"/>
      <c r="H522" s="37"/>
      <c r="I522" s="37"/>
      <c r="J522" s="38"/>
      <c r="K522" s="39"/>
      <c r="L522" s="39"/>
    </row>
    <row r="523" ht="17.25" customHeight="1">
      <c r="A523" s="41"/>
      <c r="B523" s="37"/>
      <c r="C523" s="37"/>
      <c r="D523" s="37"/>
      <c r="E523" s="37"/>
      <c r="F523" s="37"/>
      <c r="G523" s="37"/>
      <c r="H523" s="37"/>
      <c r="I523" s="37"/>
      <c r="J523" s="38"/>
      <c r="K523" s="39"/>
      <c r="L523" s="39"/>
    </row>
    <row r="524" ht="17.25" customHeight="1">
      <c r="A524" s="41"/>
      <c r="B524" s="37"/>
      <c r="C524" s="37"/>
      <c r="D524" s="37"/>
      <c r="E524" s="37"/>
      <c r="F524" s="37"/>
      <c r="G524" s="37"/>
      <c r="H524" s="37"/>
      <c r="I524" s="37"/>
      <c r="J524" s="38"/>
      <c r="K524" s="39"/>
      <c r="L524" s="39"/>
    </row>
    <row r="525" ht="17.25" customHeight="1">
      <c r="A525" s="41"/>
      <c r="B525" s="37"/>
      <c r="C525" s="37"/>
      <c r="D525" s="37"/>
      <c r="E525" s="37"/>
      <c r="F525" s="37"/>
      <c r="G525" s="37"/>
      <c r="H525" s="37"/>
      <c r="I525" s="37"/>
      <c r="J525" s="38"/>
      <c r="K525" s="39"/>
      <c r="L525" s="39"/>
    </row>
  </sheetData>
  <mergeCells count="112">
    <mergeCell ref="F11:G11"/>
    <mergeCell ref="H11:I11"/>
    <mergeCell ref="B10:C10"/>
    <mergeCell ref="D10:E10"/>
    <mergeCell ref="F10:G10"/>
    <mergeCell ref="H10:I10"/>
    <mergeCell ref="K10:L10"/>
    <mergeCell ref="D11:E11"/>
    <mergeCell ref="K11:L11"/>
    <mergeCell ref="A1:A3"/>
    <mergeCell ref="B1:C1"/>
    <mergeCell ref="D1:E1"/>
    <mergeCell ref="F1:G1"/>
    <mergeCell ref="H1:I1"/>
    <mergeCell ref="J1:J3"/>
    <mergeCell ref="K1:L1"/>
    <mergeCell ref="K2:L3"/>
    <mergeCell ref="F5:G5"/>
    <mergeCell ref="F6:G6"/>
    <mergeCell ref="H6:I6"/>
    <mergeCell ref="K6:L6"/>
    <mergeCell ref="F7:G7"/>
    <mergeCell ref="H7:I7"/>
    <mergeCell ref="K7:L7"/>
    <mergeCell ref="F2:G3"/>
    <mergeCell ref="H2:I3"/>
    <mergeCell ref="F4:G4"/>
    <mergeCell ref="H4:I4"/>
    <mergeCell ref="K4:L4"/>
    <mergeCell ref="H5:I5"/>
    <mergeCell ref="K5:L5"/>
    <mergeCell ref="D7:E7"/>
    <mergeCell ref="D8:E8"/>
    <mergeCell ref="F8:G8"/>
    <mergeCell ref="H8:I8"/>
    <mergeCell ref="K8:L8"/>
    <mergeCell ref="K9:L9"/>
    <mergeCell ref="B2:C3"/>
    <mergeCell ref="D2:E3"/>
    <mergeCell ref="B4:C4"/>
    <mergeCell ref="D4:E4"/>
    <mergeCell ref="B5:C5"/>
    <mergeCell ref="D5:E5"/>
    <mergeCell ref="D6:E6"/>
    <mergeCell ref="B6:C6"/>
    <mergeCell ref="B7:C7"/>
    <mergeCell ref="B8:C8"/>
    <mergeCell ref="B9:C9"/>
    <mergeCell ref="D9:E9"/>
    <mergeCell ref="F9:G9"/>
    <mergeCell ref="H9:I9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18:L18"/>
    <mergeCell ref="B18:C18"/>
    <mergeCell ref="D18:E18"/>
    <mergeCell ref="F18:G18"/>
    <mergeCell ref="H18:I18"/>
    <mergeCell ref="D19:E19"/>
    <mergeCell ref="F19:G19"/>
    <mergeCell ref="H19:I19"/>
    <mergeCell ref="B19:C19"/>
    <mergeCell ref="B20:C20"/>
    <mergeCell ref="D20:E20"/>
    <mergeCell ref="F20:G20"/>
    <mergeCell ref="H20:I20"/>
    <mergeCell ref="B21:C21"/>
    <mergeCell ref="D21:E21"/>
    <mergeCell ref="D13:E13"/>
    <mergeCell ref="F13:G13"/>
    <mergeCell ref="B11:C11"/>
    <mergeCell ref="B12:C12"/>
    <mergeCell ref="D12:E12"/>
    <mergeCell ref="F12:G12"/>
    <mergeCell ref="H12:I12"/>
    <mergeCell ref="B13:C13"/>
    <mergeCell ref="H13:I13"/>
    <mergeCell ref="B14:C14"/>
    <mergeCell ref="D14:E14"/>
    <mergeCell ref="F14:G14"/>
    <mergeCell ref="H14:I14"/>
    <mergeCell ref="D15:E15"/>
    <mergeCell ref="F15:G15"/>
    <mergeCell ref="H15:I15"/>
    <mergeCell ref="F17:G17"/>
    <mergeCell ref="H17:I17"/>
    <mergeCell ref="B15:C15"/>
    <mergeCell ref="B16:C16"/>
    <mergeCell ref="D16:E16"/>
    <mergeCell ref="F16:G16"/>
    <mergeCell ref="H16:I16"/>
    <mergeCell ref="B17:C17"/>
    <mergeCell ref="D17:E17"/>
    <mergeCell ref="F21:G21"/>
    <mergeCell ref="H21:I21"/>
    <mergeCell ref="B22:C22"/>
    <mergeCell ref="D22:E22"/>
    <mergeCell ref="F22:G22"/>
    <mergeCell ref="H22:I22"/>
    <mergeCell ref="B23:C23"/>
    <mergeCell ref="D23:E23"/>
    <mergeCell ref="F23:G23"/>
    <mergeCell ref="H23:I23"/>
  </mergeCells>
  <conditionalFormatting sqref="J5:L525">
    <cfRule type="cellIs" dxfId="0" priority="1" operator="between">
      <formula>5</formula>
      <formula>10</formula>
    </cfRule>
  </conditionalFormatting>
  <conditionalFormatting sqref="J5:L525">
    <cfRule type="cellIs" dxfId="1" priority="2" operator="greaterThan">
      <formula>10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2" t="str">
        <f>IFERROR(__xludf.DUMMYFUNCTION("QUERY('Expected Realizations'!A1:Z2099 ,""Select * Where L Contains 'GV' and I Contains 'Turkey'"",1)"),"EP ID_Opp ID")</f>
        <v>EP ID_Opp ID</v>
      </c>
      <c r="B1" s="43" t="str">
        <f>IFERROR(__xludf.DUMMYFUNCTION("""COMPUTED_VALUE"""),"Full Name")</f>
        <v>Full Name</v>
      </c>
      <c r="C1" s="43" t="str">
        <f>IFERROR(__xludf.DUMMYFUNCTION("""COMPUTED_VALUE"""),"Status")</f>
        <v>Status</v>
      </c>
      <c r="D1" s="43" t="str">
        <f>IFERROR(__xludf.DUMMYFUNCTION("""COMPUTED_VALUE"""),"Remote Realized?")</f>
        <v>Remote Realized?</v>
      </c>
      <c r="E1" s="43" t="str">
        <f>IFERROR(__xludf.DUMMYFUNCTION("""COMPUTED_VALUE"""),"Email")</f>
        <v>Email</v>
      </c>
      <c r="F1" s="43" t="str">
        <f>IFERROR(__xludf.DUMMYFUNCTION("""COMPUTED_VALUE"""),"Phone Number")</f>
        <v>Phone Number</v>
      </c>
      <c r="G1" s="43" t="str">
        <f>IFERROR(__xludf.DUMMYFUNCTION("""COMPUTED_VALUE"""),"Home MC")</f>
        <v>Home MC</v>
      </c>
      <c r="H1" s="43" t="str">
        <f>IFERROR(__xludf.DUMMYFUNCTION("""COMPUTED_VALUE"""),"Home LC")</f>
        <v>Home LC</v>
      </c>
      <c r="I1" s="43" t="str">
        <f>IFERROR(__xludf.DUMMYFUNCTION("""COMPUTED_VALUE"""),"Host MC")</f>
        <v>Host MC</v>
      </c>
      <c r="J1" s="43" t="str">
        <f>IFERROR(__xludf.DUMMYFUNCTION("""COMPUTED_VALUE"""),"Host LC")</f>
        <v>Host LC</v>
      </c>
      <c r="K1" s="43" t="str">
        <f>IFERROR(__xludf.DUMMYFUNCTION("""COMPUTED_VALUE"""),"Oppprtunity")</f>
        <v>Oppprtunity</v>
      </c>
      <c r="L1" s="43" t="str">
        <f>IFERROR(__xludf.DUMMYFUNCTION("""COMPUTED_VALUE"""),"Product")</f>
        <v>Product</v>
      </c>
      <c r="M1" s="43" t="str">
        <f>IFERROR(__xludf.DUMMYFUNCTION("""COMPUTED_VALUE"""),"Duration Type")</f>
        <v>Duration Type</v>
      </c>
      <c r="N1" s="43" t="str">
        <f>IFERROR(__xludf.DUMMYFUNCTION("""COMPUTED_VALUE"""),"Date Approved")</f>
        <v>Date Approved</v>
      </c>
      <c r="O1" s="43" t="str">
        <f>IFERROR(__xludf.DUMMYFUNCTION("""COMPUTED_VALUE"""),"Slot Start Date")</f>
        <v>Slot Start Date</v>
      </c>
      <c r="P1" s="43" t="str">
        <f>IFERROR(__xludf.DUMMYFUNCTION("""COMPUTED_VALUE"""),"Slot End Date")</f>
        <v>Slot End Date</v>
      </c>
      <c r="Q1" s="43" t="str">
        <f>IFERROR(__xludf.DUMMYFUNCTION("""COMPUTED_VALUE"""),"Date Realized")</f>
        <v>Date Realized</v>
      </c>
      <c r="R1" s="43" t="str">
        <f>IFERROR(__xludf.DUMMYFUNCTION("""COMPUTED_VALUE"""),"Experience End Date")</f>
        <v>Experience End Date</v>
      </c>
      <c r="S1" s="43" t="str">
        <f>IFERROR(__xludf.DUMMYFUNCTION("""COMPUTED_VALUE"""),"Remote Realized Date")</f>
        <v>Remote Realized Date</v>
      </c>
      <c r="T1" s="43" t="str">
        <f>IFERROR(__xludf.DUMMYFUNCTION("""COMPUTED_VALUE"""),"Sub Product")</f>
        <v>Sub Product</v>
      </c>
      <c r="U1" s="43" t="str">
        <f>IFERROR(__xludf.DUMMYFUNCTION("""COMPUTED_VALUE"""),"Title")</f>
        <v>Title</v>
      </c>
      <c r="V1" s="43" t="str">
        <f>IFERROR(__xludf.DUMMYFUNCTION("""COMPUTED_VALUE"""),"Campus")</f>
        <v>Campus</v>
      </c>
      <c r="W1" s="43" t="str">
        <f>IFERROR(__xludf.DUMMYFUNCTION("""COMPUTED_VALUE"""),"Signup Date")</f>
        <v>Signup Date</v>
      </c>
      <c r="X1" s="43" t="str">
        <f>IFERROR(__xludf.DUMMYFUNCTION("""COMPUTED_VALUE"""),"")</f>
        <v/>
      </c>
      <c r="Y1" s="43" t="str">
        <f>IFERROR(__xludf.DUMMYFUNCTION("""COMPUTED_VALUE"""),"")</f>
        <v/>
      </c>
      <c r="Z1" s="43" t="str">
        <f>IFERROR(__xludf.DUMMYFUNCTION("""COMPUTED_VALUE"""),"")</f>
        <v/>
      </c>
    </row>
    <row r="2" hidden="1">
      <c r="A2" s="43" t="str">
        <f>IFERROR(__xludf.DUMMYFUNCTION("""COMPUTED_VALUE"""),"5078045_1281351")</f>
        <v>5078045_1281351</v>
      </c>
      <c r="B2" s="43" t="str">
        <f>IFERROR(__xludf.DUMMYFUNCTION("""COMPUTED_VALUE"""),"KHAOULA CHAKROUN")</f>
        <v>KHAOULA CHAKROUN</v>
      </c>
      <c r="C2" s="43" t="str">
        <f>IFERROR(__xludf.DUMMYFUNCTION("""COMPUTED_VALUE"""),"completed")</f>
        <v>completed</v>
      </c>
      <c r="D2" s="43" t="str">
        <f>IFERROR(__xludf.DUMMYFUNCTION("""COMPUTED_VALUE"""),"No")</f>
        <v>No</v>
      </c>
      <c r="E2" s="43" t="str">
        <f>IFERROR(__xludf.DUMMYFUNCTION("""COMPUTED_VALUE"""),"p_f35905ce8e69fa90620e1c64f9f4d259ba0f730c@inbound.aiesec.org")</f>
        <v>p_f35905ce8e69fa90620e1c64f9f4d259ba0f730c@inbound.aiesec.org</v>
      </c>
      <c r="F2" s="43">
        <f>IFERROR(__xludf.DUMMYFUNCTION("""COMPUTED_VALUE"""),5.8831233E7)</f>
        <v>58831233</v>
      </c>
      <c r="G2" s="43" t="str">
        <f>IFERROR(__xludf.DUMMYFUNCTION("""COMPUTED_VALUE"""),"Tunisia")</f>
        <v>Tunisia</v>
      </c>
      <c r="H2" s="43" t="str">
        <f>IFERROR(__xludf.DUMMYFUNCTION("""COMPUTED_VALUE"""),"MEDINA")</f>
        <v>MEDINA</v>
      </c>
      <c r="I2" s="43" t="str">
        <f>IFERROR(__xludf.DUMMYFUNCTION("""COMPUTED_VALUE"""),"Turkey")</f>
        <v>Turkey</v>
      </c>
      <c r="J2" s="43" t="str">
        <f>IFERROR(__xludf.DUMMYFUNCTION("""COMPUTED_VALUE"""),"ANKARA")</f>
        <v>ANKARA</v>
      </c>
      <c r="K2" s="44" t="str">
        <f>IFERROR(__xludf.DUMMYFUNCTION("""COMPUTED_VALUE"""),"https://expa.aiesec.org/opportunities/1281351")</f>
        <v>https://expa.aiesec.org/opportunities/1281351</v>
      </c>
      <c r="L2" s="43" t="str">
        <f>IFERROR(__xludf.DUMMYFUNCTION("""COMPUTED_VALUE"""),"GV")</f>
        <v>GV</v>
      </c>
      <c r="M2" s="43" t="str">
        <f>IFERROR(__xludf.DUMMYFUNCTION("""COMPUTED_VALUE"""),"short")</f>
        <v>short</v>
      </c>
      <c r="N2" s="45">
        <f>IFERROR(__xludf.DUMMYFUNCTION("""COMPUTED_VALUE"""),44743.0)</f>
        <v>44743</v>
      </c>
      <c r="O2" s="45">
        <f>IFERROR(__xludf.DUMMYFUNCTION("""COMPUTED_VALUE"""),44809.0)</f>
        <v>44809</v>
      </c>
      <c r="P2" s="45">
        <f>IFERROR(__xludf.DUMMYFUNCTION("""COMPUTED_VALUE"""),44851.0)</f>
        <v>44851</v>
      </c>
      <c r="Q2" s="45">
        <f>IFERROR(__xludf.DUMMYFUNCTION("""COMPUTED_VALUE"""),44808.0)</f>
        <v>44808</v>
      </c>
      <c r="R2" s="45">
        <f>IFERROR(__xludf.DUMMYFUNCTION("""COMPUTED_VALUE"""),44851.0)</f>
        <v>44851</v>
      </c>
      <c r="S2" s="43"/>
      <c r="T2" s="43"/>
      <c r="U2" s="43" t="str">
        <f>IFERROR(__xludf.DUMMYFUNCTION("""COMPUTED_VALUE"""),"Global Classroom")</f>
        <v>Global Classroom</v>
      </c>
      <c r="V2" s="43" t="str">
        <f>IFERROR(__xludf.DUMMYFUNCTION("""COMPUTED_VALUE"""),"FLAH")</f>
        <v>FLAH</v>
      </c>
      <c r="W2" s="43" t="str">
        <f>IFERROR(__xludf.DUMMYFUNCTION("""COMPUTED_VALUE"""),"2022-06-29T15:13:08Z")</f>
        <v>2022-06-29T15:13:08Z</v>
      </c>
      <c r="X2" s="43"/>
      <c r="Y2" s="43"/>
      <c r="Z2" s="43"/>
    </row>
    <row r="3" hidden="1">
      <c r="A3" s="43" t="str">
        <f>IFERROR(__xludf.DUMMYFUNCTION("""COMPUTED_VALUE"""),"4847131_1287628")</f>
        <v>4847131_1287628</v>
      </c>
      <c r="B3" s="43" t="str">
        <f>IFERROR(__xludf.DUMMYFUNCTION("""COMPUTED_VALUE"""),"Eya Rouissi")</f>
        <v>Eya Rouissi</v>
      </c>
      <c r="C3" s="43" t="str">
        <f>IFERROR(__xludf.DUMMYFUNCTION("""COMPUTED_VALUE"""),"completed")</f>
        <v>completed</v>
      </c>
      <c r="D3" s="43" t="str">
        <f>IFERROR(__xludf.DUMMYFUNCTION("""COMPUTED_VALUE"""),"No")</f>
        <v>No</v>
      </c>
      <c r="E3" s="43" t="str">
        <f>IFERROR(__xludf.DUMMYFUNCTION("""COMPUTED_VALUE"""),"p_11d495f0fa2365741b7cae2e8bb121fa2b889458@inbound.aiesec.org")</f>
        <v>p_11d495f0fa2365741b7cae2e8bb121fa2b889458@inbound.aiesec.org</v>
      </c>
      <c r="F3" s="43">
        <f>IFERROR(__xludf.DUMMYFUNCTION("""COMPUTED_VALUE"""),9.3724251E7)</f>
        <v>93724251</v>
      </c>
      <c r="G3" s="43" t="str">
        <f>IFERROR(__xludf.DUMMYFUNCTION("""COMPUTED_VALUE"""),"Tunisia")</f>
        <v>Tunisia</v>
      </c>
      <c r="H3" s="43" t="str">
        <f>IFERROR(__xludf.DUMMYFUNCTION("""COMPUTED_VALUE"""),"Carthage")</f>
        <v>Carthage</v>
      </c>
      <c r="I3" s="43" t="str">
        <f>IFERROR(__xludf.DUMMYFUNCTION("""COMPUTED_VALUE"""),"Turkey")</f>
        <v>Turkey</v>
      </c>
      <c r="J3" s="43" t="str">
        <f>IFERROR(__xludf.DUMMYFUNCTION("""COMPUTED_VALUE"""),"KOCAELI")</f>
        <v>KOCAELI</v>
      </c>
      <c r="K3" s="44" t="str">
        <f>IFERROR(__xludf.DUMMYFUNCTION("""COMPUTED_VALUE"""),"https://expa.aiesec.org/opportunities/1287628")</f>
        <v>https://expa.aiesec.org/opportunities/1287628</v>
      </c>
      <c r="L3" s="43" t="str">
        <f>IFERROR(__xludf.DUMMYFUNCTION("""COMPUTED_VALUE"""),"GV")</f>
        <v>GV</v>
      </c>
      <c r="M3" s="43" t="str">
        <f>IFERROR(__xludf.DUMMYFUNCTION("""COMPUTED_VALUE"""),"short")</f>
        <v>short</v>
      </c>
      <c r="N3" s="45">
        <f>IFERROR(__xludf.DUMMYFUNCTION("""COMPUTED_VALUE"""),44743.0)</f>
        <v>44743</v>
      </c>
      <c r="O3" s="45">
        <f>IFERROR(__xludf.DUMMYFUNCTION("""COMPUTED_VALUE"""),44767.0)</f>
        <v>44767</v>
      </c>
      <c r="P3" s="45">
        <f>IFERROR(__xludf.DUMMYFUNCTION("""COMPUTED_VALUE"""),44809.0)</f>
        <v>44809</v>
      </c>
      <c r="Q3" s="45">
        <f>IFERROR(__xludf.DUMMYFUNCTION("""COMPUTED_VALUE"""),44767.0)</f>
        <v>44767</v>
      </c>
      <c r="R3" s="45">
        <f>IFERROR(__xludf.DUMMYFUNCTION("""COMPUTED_VALUE"""),44807.0)</f>
        <v>44807</v>
      </c>
      <c r="S3" s="43"/>
      <c r="T3" s="43"/>
      <c r="U3" s="43" t="str">
        <f>IFERROR(__xludf.DUMMYFUNCTION("""COMPUTED_VALUE"""),"Global Classroom")</f>
        <v>Global Classroom</v>
      </c>
      <c r="V3" s="43" t="str">
        <f>IFERROR(__xludf.DUMMYFUNCTION("""COMPUTED_VALUE"""),"MSB")</f>
        <v>MSB</v>
      </c>
      <c r="W3" s="43" t="str">
        <f>IFERROR(__xludf.DUMMYFUNCTION("""COMPUTED_VALUE"""),"2021-12-17T12:53:12Z")</f>
        <v>2021-12-17T12:53:12Z</v>
      </c>
      <c r="X3" s="43"/>
      <c r="Y3" s="43"/>
      <c r="Z3" s="43"/>
    </row>
    <row r="4" hidden="1">
      <c r="A4" s="43" t="str">
        <f>IFERROR(__xludf.DUMMYFUNCTION("""COMPUTED_VALUE"""),"5034294_1285687")</f>
        <v>5034294_1285687</v>
      </c>
      <c r="B4" s="43" t="str">
        <f>IFERROR(__xludf.DUMMYFUNCTION("""COMPUTED_VALUE"""),"Fatima-Ezzahra ABOUNASR")</f>
        <v>Fatima-Ezzahra ABOUNASR</v>
      </c>
      <c r="C4" s="43" t="str">
        <f>IFERROR(__xludf.DUMMYFUNCTION("""COMPUTED_VALUE"""),"completed")</f>
        <v>completed</v>
      </c>
      <c r="D4" s="43" t="str">
        <f>IFERROR(__xludf.DUMMYFUNCTION("""COMPUTED_VALUE"""),"No")</f>
        <v>No</v>
      </c>
      <c r="E4" s="43" t="str">
        <f>IFERROR(__xludf.DUMMYFUNCTION("""COMPUTED_VALUE"""),"p_472534dee3a45602d4403493634c6ec770164176@inbound.aiesec.org")</f>
        <v>p_472534dee3a45602d4403493634c6ec770164176@inbound.aiesec.org</v>
      </c>
      <c r="F4" s="43">
        <f>IFERROR(__xludf.DUMMYFUNCTION("""COMPUTED_VALUE"""),6.9301991E8)</f>
        <v>693019910</v>
      </c>
      <c r="G4" s="43" t="str">
        <f>IFERROR(__xludf.DUMMYFUNCTION("""COMPUTED_VALUE"""),"Morocco")</f>
        <v>Morocco</v>
      </c>
      <c r="H4" s="43" t="str">
        <f>IFERROR(__xludf.DUMMYFUNCTION("""COMPUTED_VALUE"""),"Casablanca")</f>
        <v>Casablanca</v>
      </c>
      <c r="I4" s="43" t="str">
        <f>IFERROR(__xludf.DUMMYFUNCTION("""COMPUTED_VALUE"""),"Turkey")</f>
        <v>Turkey</v>
      </c>
      <c r="J4" s="43" t="str">
        <f>IFERROR(__xludf.DUMMYFUNCTION("""COMPUTED_VALUE"""),"ISTANBUL")</f>
        <v>ISTANBUL</v>
      </c>
      <c r="K4" s="44" t="str">
        <f>IFERROR(__xludf.DUMMYFUNCTION("""COMPUTED_VALUE"""),"https://expa.aiesec.org/opportunities/1285687")</f>
        <v>https://expa.aiesec.org/opportunities/1285687</v>
      </c>
      <c r="L4" s="43" t="str">
        <f>IFERROR(__xludf.DUMMYFUNCTION("""COMPUTED_VALUE"""),"GV")</f>
        <v>GV</v>
      </c>
      <c r="M4" s="43" t="str">
        <f>IFERROR(__xludf.DUMMYFUNCTION("""COMPUTED_VALUE"""),"short")</f>
        <v>short</v>
      </c>
      <c r="N4" s="45">
        <f>IFERROR(__xludf.DUMMYFUNCTION("""COMPUTED_VALUE"""),44743.0)</f>
        <v>44743</v>
      </c>
      <c r="O4" s="45">
        <f>IFERROR(__xludf.DUMMYFUNCTION("""COMPUTED_VALUE"""),44837.0)</f>
        <v>44837</v>
      </c>
      <c r="P4" s="45">
        <f>IFERROR(__xludf.DUMMYFUNCTION("""COMPUTED_VALUE"""),44879.0)</f>
        <v>44879</v>
      </c>
      <c r="Q4" s="45">
        <f>IFERROR(__xludf.DUMMYFUNCTION("""COMPUTED_VALUE"""),44837.0)</f>
        <v>44837</v>
      </c>
      <c r="R4" s="45">
        <f>IFERROR(__xludf.DUMMYFUNCTION("""COMPUTED_VALUE"""),44876.0)</f>
        <v>44876</v>
      </c>
      <c r="S4" s="43"/>
      <c r="T4" s="43"/>
      <c r="U4" s="43" t="str">
        <f>IFERROR(__xludf.DUMMYFUNCTION("""COMPUTED_VALUE"""),"Youth 4 Impact")</f>
        <v>Youth 4 Impact</v>
      </c>
      <c r="V4" s="43" t="str">
        <f>IFERROR(__xludf.DUMMYFUNCTION("""COMPUTED_VALUE"""),"ISCAE Casablanca")</f>
        <v>ISCAE Casablanca</v>
      </c>
      <c r="W4" s="43" t="str">
        <f>IFERROR(__xludf.DUMMYFUNCTION("""COMPUTED_VALUE"""),"2022-04-10T17:45:56Z")</f>
        <v>2022-04-10T17:45:56Z</v>
      </c>
      <c r="X4" s="43"/>
      <c r="Y4" s="43"/>
      <c r="Z4" s="43"/>
    </row>
    <row r="5" hidden="1">
      <c r="A5" s="43" t="str">
        <f>IFERROR(__xludf.DUMMYFUNCTION("""COMPUTED_VALUE"""),"5034285_1287380")</f>
        <v>5034285_1287380</v>
      </c>
      <c r="B5" s="43" t="str">
        <f>IFERROR(__xludf.DUMMYFUNCTION("""COMPUTED_VALUE"""),"Mouhamed Oussama Hidri")</f>
        <v>Mouhamed Oussama Hidri</v>
      </c>
      <c r="C5" s="43" t="str">
        <f>IFERROR(__xludf.DUMMYFUNCTION("""COMPUTED_VALUE"""),"completed")</f>
        <v>completed</v>
      </c>
      <c r="D5" s="43" t="str">
        <f>IFERROR(__xludf.DUMMYFUNCTION("""COMPUTED_VALUE"""),"No")</f>
        <v>No</v>
      </c>
      <c r="E5" s="43" t="str">
        <f>IFERROR(__xludf.DUMMYFUNCTION("""COMPUTED_VALUE"""),"p_5bfdf83e459068e97b9df245c856126cc9f62ecf@inbound.aiesec.org")</f>
        <v>p_5bfdf83e459068e97b9df245c856126cc9f62ecf@inbound.aiesec.org</v>
      </c>
      <c r="F5" s="43">
        <f>IFERROR(__xludf.DUMMYFUNCTION("""COMPUTED_VALUE"""),5.4190975E7)</f>
        <v>54190975</v>
      </c>
      <c r="G5" s="43" t="str">
        <f>IFERROR(__xludf.DUMMYFUNCTION("""COMPUTED_VALUE"""),"Tunisia")</f>
        <v>Tunisia</v>
      </c>
      <c r="H5" s="43" t="str">
        <f>IFERROR(__xludf.DUMMYFUNCTION("""COMPUTED_VALUE"""),"MEDINA")</f>
        <v>MEDINA</v>
      </c>
      <c r="I5" s="43" t="str">
        <f>IFERROR(__xludf.DUMMYFUNCTION("""COMPUTED_VALUE"""),"Turkey")</f>
        <v>Turkey</v>
      </c>
      <c r="J5" s="43" t="str">
        <f>IFERROR(__xludf.DUMMYFUNCTION("""COMPUTED_VALUE"""),"KOCAELI")</f>
        <v>KOCAELI</v>
      </c>
      <c r="K5" s="44" t="str">
        <f>IFERROR(__xludf.DUMMYFUNCTION("""COMPUTED_VALUE"""),"https://expa.aiesec.org/opportunities/1287380")</f>
        <v>https://expa.aiesec.org/opportunities/1287380</v>
      </c>
      <c r="L5" s="43" t="str">
        <f>IFERROR(__xludf.DUMMYFUNCTION("""COMPUTED_VALUE"""),"GV")</f>
        <v>GV</v>
      </c>
      <c r="M5" s="43" t="str">
        <f>IFERROR(__xludf.DUMMYFUNCTION("""COMPUTED_VALUE"""),"short")</f>
        <v>short</v>
      </c>
      <c r="N5" s="45">
        <f>IFERROR(__xludf.DUMMYFUNCTION("""COMPUTED_VALUE"""),44744.0)</f>
        <v>44744</v>
      </c>
      <c r="O5" s="45">
        <f>IFERROR(__xludf.DUMMYFUNCTION("""COMPUTED_VALUE"""),44760.0)</f>
        <v>44760</v>
      </c>
      <c r="P5" s="45">
        <f>IFERROR(__xludf.DUMMYFUNCTION("""COMPUTED_VALUE"""),44802.0)</f>
        <v>44802</v>
      </c>
      <c r="Q5" s="45">
        <f>IFERROR(__xludf.DUMMYFUNCTION("""COMPUTED_VALUE"""),44760.0)</f>
        <v>44760</v>
      </c>
      <c r="R5" s="45">
        <f>IFERROR(__xludf.DUMMYFUNCTION("""COMPUTED_VALUE"""),44801.0)</f>
        <v>44801</v>
      </c>
      <c r="S5" s="43"/>
      <c r="T5" s="43"/>
      <c r="U5" s="43" t="str">
        <f>IFERROR(__xludf.DUMMYFUNCTION("""COMPUTED_VALUE"""),"Global Classroom")</f>
        <v>Global Classroom</v>
      </c>
      <c r="V5" s="43" t="str">
        <f>IFERROR(__xludf.DUMMYFUNCTION("""COMPUTED_VALUE"""),"ISSEP")</f>
        <v>ISSEP</v>
      </c>
      <c r="W5" s="43" t="str">
        <f>IFERROR(__xludf.DUMMYFUNCTION("""COMPUTED_VALUE"""),"2022-04-10T17:29:30Z")</f>
        <v>2022-04-10T17:29:30Z</v>
      </c>
      <c r="X5" s="43"/>
      <c r="Y5" s="43"/>
      <c r="Z5" s="43"/>
    </row>
    <row r="6" hidden="1">
      <c r="A6" s="43" t="str">
        <f>IFERROR(__xludf.DUMMYFUNCTION("""COMPUTED_VALUE"""),"5076772_1287558")</f>
        <v>5076772_1287558</v>
      </c>
      <c r="B6" s="43" t="str">
        <f>IFERROR(__xludf.DUMMYFUNCTION("""COMPUTED_VALUE"""),"Sabrina Maffeo Sideris")</f>
        <v>Sabrina Maffeo Sideris</v>
      </c>
      <c r="C6" s="43" t="str">
        <f>IFERROR(__xludf.DUMMYFUNCTION("""COMPUTED_VALUE"""),"finished")</f>
        <v>finished</v>
      </c>
      <c r="D6" s="43" t="str">
        <f>IFERROR(__xludf.DUMMYFUNCTION("""COMPUTED_VALUE"""),"No")</f>
        <v>No</v>
      </c>
      <c r="E6" s="43" t="str">
        <f>IFERROR(__xludf.DUMMYFUNCTION("""COMPUTED_VALUE"""),"p_0ad6c00c86416f804d50aa8fd5f7046f29a38004@inbound.aiesec.org")</f>
        <v>p_0ad6c00c86416f804d50aa8fd5f7046f29a38004@inbound.aiesec.org</v>
      </c>
      <c r="F6" s="43">
        <f>IFERROR(__xludf.DUMMYFUNCTION("""COMPUTED_VALUE"""),6.25246611E8)</f>
        <v>625246611</v>
      </c>
      <c r="G6" s="43" t="str">
        <f>IFERROR(__xludf.DUMMYFUNCTION("""COMPUTED_VALUE"""),"Spain")</f>
        <v>Spain</v>
      </c>
      <c r="H6" s="43" t="str">
        <f>IFERROR(__xludf.DUMMYFUNCTION("""COMPUTED_VALUE"""),"Madrid")</f>
        <v>Madrid</v>
      </c>
      <c r="I6" s="43" t="str">
        <f>IFERROR(__xludf.DUMMYFUNCTION("""COMPUTED_VALUE"""),"Turkey")</f>
        <v>Turkey</v>
      </c>
      <c r="J6" s="43" t="str">
        <f>IFERROR(__xludf.DUMMYFUNCTION("""COMPUTED_VALUE"""),"ANTALYA")</f>
        <v>ANTALYA</v>
      </c>
      <c r="K6" s="44" t="str">
        <f>IFERROR(__xludf.DUMMYFUNCTION("""COMPUTED_VALUE"""),"https://expa.aiesec.org/opportunities/1287558")</f>
        <v>https://expa.aiesec.org/opportunities/1287558</v>
      </c>
      <c r="L6" s="43" t="str">
        <f>IFERROR(__xludf.DUMMYFUNCTION("""COMPUTED_VALUE"""),"GV")</f>
        <v>GV</v>
      </c>
      <c r="M6" s="43" t="str">
        <f>IFERROR(__xludf.DUMMYFUNCTION("""COMPUTED_VALUE"""),"short")</f>
        <v>short</v>
      </c>
      <c r="N6" s="45">
        <f>IFERROR(__xludf.DUMMYFUNCTION("""COMPUTED_VALUE"""),44744.0)</f>
        <v>44744</v>
      </c>
      <c r="O6" s="45">
        <f>IFERROR(__xludf.DUMMYFUNCTION("""COMPUTED_VALUE"""),44760.0)</f>
        <v>44760</v>
      </c>
      <c r="P6" s="45">
        <f>IFERROR(__xludf.DUMMYFUNCTION("""COMPUTED_VALUE"""),44802.0)</f>
        <v>44802</v>
      </c>
      <c r="Q6" s="45">
        <f>IFERROR(__xludf.DUMMYFUNCTION("""COMPUTED_VALUE"""),44761.0)</f>
        <v>44761</v>
      </c>
      <c r="R6" s="45">
        <f>IFERROR(__xludf.DUMMYFUNCTION("""COMPUTED_VALUE"""),44804.0)</f>
        <v>44804</v>
      </c>
      <c r="S6" s="43"/>
      <c r="T6" s="43"/>
      <c r="U6" s="43" t="str">
        <f>IFERROR(__xludf.DUMMYFUNCTION("""COMPUTED_VALUE"""),"Global Classroom")</f>
        <v>Global Classroom</v>
      </c>
      <c r="V6" s="43" t="str">
        <f>IFERROR(__xludf.DUMMYFUNCTION("""COMPUTED_VALUE"""),"Madrid - Graduados otros")</f>
        <v>Madrid - Graduados otros</v>
      </c>
      <c r="W6" s="43" t="str">
        <f>IFERROR(__xludf.DUMMYFUNCTION("""COMPUTED_VALUE"""),"2022-06-26T13:47:47Z")</f>
        <v>2022-06-26T13:47:47Z</v>
      </c>
      <c r="X6" s="43"/>
      <c r="Y6" s="43"/>
      <c r="Z6" s="43"/>
    </row>
    <row r="7" hidden="1">
      <c r="A7" s="43" t="str">
        <f>IFERROR(__xludf.DUMMYFUNCTION("""COMPUTED_VALUE"""),"4519311_1287137")</f>
        <v>4519311_1287137</v>
      </c>
      <c r="B7" s="43" t="str">
        <f>IFERROR(__xludf.DUMMYFUNCTION("""COMPUTED_VALUE"""),"Luiza Emanuela Batochi Galante")</f>
        <v>Luiza Emanuela Batochi Galante</v>
      </c>
      <c r="C7" s="43" t="str">
        <f>IFERROR(__xludf.DUMMYFUNCTION("""COMPUTED_VALUE"""),"finished")</f>
        <v>finished</v>
      </c>
      <c r="D7" s="43" t="str">
        <f>IFERROR(__xludf.DUMMYFUNCTION("""COMPUTED_VALUE"""),"No")</f>
        <v>No</v>
      </c>
      <c r="E7" s="43" t="str">
        <f>IFERROR(__xludf.DUMMYFUNCTION("""COMPUTED_VALUE"""),"p_3dcd323bfcbf91fc75cee46ae7b10ab0d7edb923@inbound.aiesec.org")</f>
        <v>p_3dcd323bfcbf91fc75cee46ae7b10ab0d7edb923@inbound.aiesec.org</v>
      </c>
      <c r="F7" s="43">
        <f>IFERROR(__xludf.DUMMYFUNCTION("""COMPUTED_VALUE"""),1.1964004332E10)</f>
        <v>11964004332</v>
      </c>
      <c r="G7" s="43" t="str">
        <f>IFERROR(__xludf.DUMMYFUNCTION("""COMPUTED_VALUE"""),"Brazil")</f>
        <v>Brazil</v>
      </c>
      <c r="H7" s="43" t="str">
        <f>IFERROR(__xludf.DUMMYFUNCTION("""COMPUTED_VALUE"""),"RIO DE JANEIRO")</f>
        <v>RIO DE JANEIRO</v>
      </c>
      <c r="I7" s="43" t="str">
        <f>IFERROR(__xludf.DUMMYFUNCTION("""COMPUTED_VALUE"""),"Turkey")</f>
        <v>Turkey</v>
      </c>
      <c r="J7" s="43" t="str">
        <f>IFERROR(__xludf.DUMMYFUNCTION("""COMPUTED_VALUE"""),"ISTANBUL ASIA")</f>
        <v>ISTANBUL ASIA</v>
      </c>
      <c r="K7" s="44" t="str">
        <f>IFERROR(__xludf.DUMMYFUNCTION("""COMPUTED_VALUE"""),"https://expa.aiesec.org/opportunities/1287137")</f>
        <v>https://expa.aiesec.org/opportunities/1287137</v>
      </c>
      <c r="L7" s="43" t="str">
        <f>IFERROR(__xludf.DUMMYFUNCTION("""COMPUTED_VALUE"""),"GV")</f>
        <v>GV</v>
      </c>
      <c r="M7" s="43" t="str">
        <f>IFERROR(__xludf.DUMMYFUNCTION("""COMPUTED_VALUE"""),"short")</f>
        <v>short</v>
      </c>
      <c r="N7" s="45">
        <f>IFERROR(__xludf.DUMMYFUNCTION("""COMPUTED_VALUE"""),44744.0)</f>
        <v>44744</v>
      </c>
      <c r="O7" s="45">
        <f>IFERROR(__xludf.DUMMYFUNCTION("""COMPUTED_VALUE"""),44913.0)</f>
        <v>44913</v>
      </c>
      <c r="P7" s="45">
        <f>IFERROR(__xludf.DUMMYFUNCTION("""COMPUTED_VALUE"""),44955.0)</f>
        <v>44955</v>
      </c>
      <c r="Q7" s="45">
        <f>IFERROR(__xludf.DUMMYFUNCTION("""COMPUTED_VALUE"""),44950.0)</f>
        <v>44950</v>
      </c>
      <c r="R7" s="45">
        <f>IFERROR(__xludf.DUMMYFUNCTION("""COMPUTED_VALUE"""),44991.0)</f>
        <v>44991</v>
      </c>
      <c r="S7" s="43"/>
      <c r="T7" s="43"/>
      <c r="U7" s="43" t="str">
        <f>IFERROR(__xludf.DUMMYFUNCTION("""COMPUTED_VALUE"""),"Youth 4 Impact")</f>
        <v>Youth 4 Impact</v>
      </c>
      <c r="V7" s="43" t="str">
        <f>IFERROR(__xludf.DUMMYFUNCTION("""COMPUTED_VALUE"""),"Volta Redonda")</f>
        <v>Volta Redonda</v>
      </c>
      <c r="W7" s="43" t="str">
        <f>IFERROR(__xludf.DUMMYFUNCTION("""COMPUTED_VALUE"""),"2021-01-18T19:01:14Z")</f>
        <v>2021-01-18T19:01:14Z</v>
      </c>
      <c r="X7" s="43"/>
      <c r="Y7" s="43"/>
      <c r="Z7" s="43"/>
    </row>
    <row r="8" hidden="1">
      <c r="A8" s="43" t="str">
        <f>IFERROR(__xludf.DUMMYFUNCTION("""COMPUTED_VALUE"""),"4580563_1284976")</f>
        <v>4580563_1284976</v>
      </c>
      <c r="B8" s="43" t="str">
        <f>IFERROR(__xludf.DUMMYFUNCTION("""COMPUTED_VALUE"""),"Yomna Khedhira")</f>
        <v>Yomna Khedhira</v>
      </c>
      <c r="C8" s="43" t="str">
        <f>IFERROR(__xludf.DUMMYFUNCTION("""COMPUTED_VALUE"""),"finished")</f>
        <v>finished</v>
      </c>
      <c r="D8" s="43" t="str">
        <f>IFERROR(__xludf.DUMMYFUNCTION("""COMPUTED_VALUE"""),"No")</f>
        <v>No</v>
      </c>
      <c r="E8" s="43" t="str">
        <f>IFERROR(__xludf.DUMMYFUNCTION("""COMPUTED_VALUE"""),"p_871a950354c3b41495d1cf83f1ecf16407929b34@inbound.aiesec.org")</f>
        <v>p_871a950354c3b41495d1cf83f1ecf16407929b34@inbound.aiesec.org</v>
      </c>
      <c r="F8" s="43">
        <f>IFERROR(__xludf.DUMMYFUNCTION("""COMPUTED_VALUE"""),5.0076066E7)</f>
        <v>50076066</v>
      </c>
      <c r="G8" s="43" t="str">
        <f>IFERROR(__xludf.DUMMYFUNCTION("""COMPUTED_VALUE"""),"Tunisia")</f>
        <v>Tunisia</v>
      </c>
      <c r="H8" s="43" t="str">
        <f>IFERROR(__xludf.DUMMYFUNCTION("""COMPUTED_VALUE"""),"BARDO")</f>
        <v>BARDO</v>
      </c>
      <c r="I8" s="43" t="str">
        <f>IFERROR(__xludf.DUMMYFUNCTION("""COMPUTED_VALUE"""),"Turkey")</f>
        <v>Turkey</v>
      </c>
      <c r="J8" s="43" t="str">
        <f>IFERROR(__xludf.DUMMYFUNCTION("""COMPUTED_VALUE"""),"ISPARTA")</f>
        <v>ISPARTA</v>
      </c>
      <c r="K8" s="44" t="str">
        <f>IFERROR(__xludf.DUMMYFUNCTION("""COMPUTED_VALUE"""),"https://expa.aiesec.org/opportunities/1284976")</f>
        <v>https://expa.aiesec.org/opportunities/1284976</v>
      </c>
      <c r="L8" s="43" t="str">
        <f>IFERROR(__xludf.DUMMYFUNCTION("""COMPUTED_VALUE"""),"GV")</f>
        <v>GV</v>
      </c>
      <c r="M8" s="43" t="str">
        <f>IFERROR(__xludf.DUMMYFUNCTION("""COMPUTED_VALUE"""),"short")</f>
        <v>short</v>
      </c>
      <c r="N8" s="45">
        <f>IFERROR(__xludf.DUMMYFUNCTION("""COMPUTED_VALUE"""),44746.0)</f>
        <v>44746</v>
      </c>
      <c r="O8" s="45">
        <f>IFERROR(__xludf.DUMMYFUNCTION("""COMPUTED_VALUE"""),44767.0)</f>
        <v>44767</v>
      </c>
      <c r="P8" s="45">
        <f>IFERROR(__xludf.DUMMYFUNCTION("""COMPUTED_VALUE"""),44809.0)</f>
        <v>44809</v>
      </c>
      <c r="Q8" s="45">
        <f>IFERROR(__xludf.DUMMYFUNCTION("""COMPUTED_VALUE"""),44767.0)</f>
        <v>44767</v>
      </c>
      <c r="R8" s="45">
        <f>IFERROR(__xludf.DUMMYFUNCTION("""COMPUTED_VALUE"""),44809.0)</f>
        <v>44809</v>
      </c>
      <c r="S8" s="43"/>
      <c r="T8" s="43"/>
      <c r="U8" s="43" t="str">
        <f>IFERROR(__xludf.DUMMYFUNCTION("""COMPUTED_VALUE"""),"Youth 4 Impact")</f>
        <v>Youth 4 Impact</v>
      </c>
      <c r="V8" s="43" t="str">
        <f>IFERROR(__xludf.DUMMYFUNCTION("""COMPUTED_VALUE"""),"TBS")</f>
        <v>TBS</v>
      </c>
      <c r="W8" s="43" t="str">
        <f>IFERROR(__xludf.DUMMYFUNCTION("""COMPUTED_VALUE"""),"2021-03-16T13:14:11Z")</f>
        <v>2021-03-16T13:14:11Z</v>
      </c>
      <c r="X8" s="43"/>
      <c r="Y8" s="43"/>
      <c r="Z8" s="43"/>
    </row>
    <row r="9" hidden="1">
      <c r="A9" s="43" t="str">
        <f>IFERROR(__xludf.DUMMYFUNCTION("""COMPUTED_VALUE"""),"2829359_1287851")</f>
        <v>2829359_1287851</v>
      </c>
      <c r="B9" s="43" t="str">
        <f>IFERROR(__xludf.DUMMYFUNCTION("""COMPUTED_VALUE"""),"Nezha Imane Mchaouar")</f>
        <v>Nezha Imane Mchaouar</v>
      </c>
      <c r="C9" s="43" t="str">
        <f>IFERROR(__xludf.DUMMYFUNCTION("""COMPUTED_VALUE"""),"completed")</f>
        <v>completed</v>
      </c>
      <c r="D9" s="43" t="str">
        <f>IFERROR(__xludf.DUMMYFUNCTION("""COMPUTED_VALUE"""),"No")</f>
        <v>No</v>
      </c>
      <c r="E9" s="43" t="str">
        <f>IFERROR(__xludf.DUMMYFUNCTION("""COMPUTED_VALUE"""),"p_1c7a2359e80fe1e4a098ef6ea0d7259812c413d7@inbound.aiesec.org")</f>
        <v>p_1c7a2359e80fe1e4a098ef6ea0d7259812c413d7@inbound.aiesec.org</v>
      </c>
      <c r="F9" s="43">
        <f>IFERROR(__xludf.DUMMYFUNCTION("""COMPUTED_VALUE"""),7.0468792E8)</f>
        <v>704687920</v>
      </c>
      <c r="G9" s="43" t="str">
        <f>IFERROR(__xludf.DUMMYFUNCTION("""COMPUTED_VALUE"""),"Morocco")</f>
        <v>Morocco</v>
      </c>
      <c r="H9" s="43" t="str">
        <f>IFERROR(__xludf.DUMMYFUNCTION("""COMPUTED_VALUE"""),"CLOSED ( Rabat )")</f>
        <v>CLOSED ( Rabat )</v>
      </c>
      <c r="I9" s="43" t="str">
        <f>IFERROR(__xludf.DUMMYFUNCTION("""COMPUTED_VALUE"""),"Turkey")</f>
        <v>Turkey</v>
      </c>
      <c r="J9" s="43" t="str">
        <f>IFERROR(__xludf.DUMMYFUNCTION("""COMPUTED_VALUE"""),"KOCAELI")</f>
        <v>KOCAELI</v>
      </c>
      <c r="K9" s="44" t="str">
        <f>IFERROR(__xludf.DUMMYFUNCTION("""COMPUTED_VALUE"""),"https://expa.aiesec.org/opportunities/1287851")</f>
        <v>https://expa.aiesec.org/opportunities/1287851</v>
      </c>
      <c r="L9" s="43" t="str">
        <f>IFERROR(__xludf.DUMMYFUNCTION("""COMPUTED_VALUE"""),"GV")</f>
        <v>GV</v>
      </c>
      <c r="M9" s="43" t="str">
        <f>IFERROR(__xludf.DUMMYFUNCTION("""COMPUTED_VALUE"""),"short")</f>
        <v>short</v>
      </c>
      <c r="N9" s="45">
        <f>IFERROR(__xludf.DUMMYFUNCTION("""COMPUTED_VALUE"""),44747.0)</f>
        <v>44747</v>
      </c>
      <c r="O9" s="45">
        <f>IFERROR(__xludf.DUMMYFUNCTION("""COMPUTED_VALUE"""),44781.0)</f>
        <v>44781</v>
      </c>
      <c r="P9" s="45">
        <f>IFERROR(__xludf.DUMMYFUNCTION("""COMPUTED_VALUE"""),44823.0)</f>
        <v>44823</v>
      </c>
      <c r="Q9" s="45">
        <f>IFERROR(__xludf.DUMMYFUNCTION("""COMPUTED_VALUE"""),44783.0)</f>
        <v>44783</v>
      </c>
      <c r="R9" s="45">
        <f>IFERROR(__xludf.DUMMYFUNCTION("""COMPUTED_VALUE"""),44821.0)</f>
        <v>44821</v>
      </c>
      <c r="S9" s="43"/>
      <c r="T9" s="43"/>
      <c r="U9" s="43" t="str">
        <f>IFERROR(__xludf.DUMMYFUNCTION("""COMPUTED_VALUE"""),"Heartbeat")</f>
        <v>Heartbeat</v>
      </c>
      <c r="V9" s="43" t="str">
        <f>IFERROR(__xludf.DUMMYFUNCTION("""COMPUTED_VALUE"""),"Other-RABAT")</f>
        <v>Other-RABAT</v>
      </c>
      <c r="W9" s="43" t="str">
        <f>IFERROR(__xludf.DUMMYFUNCTION("""COMPUTED_VALUE"""),"2018-11-03T11:01:56Z")</f>
        <v>2018-11-03T11:01:56Z</v>
      </c>
      <c r="X9" s="43"/>
      <c r="Y9" s="43"/>
      <c r="Z9" s="43"/>
    </row>
    <row r="10" hidden="1">
      <c r="A10" s="43" t="str">
        <f>IFERROR(__xludf.DUMMYFUNCTION("""COMPUTED_VALUE"""),"4325716_1285681")</f>
        <v>4325716_1285681</v>
      </c>
      <c r="B10" s="43" t="str">
        <f>IFERROR(__xludf.DUMMYFUNCTION("""COMPUTED_VALUE"""),"Luis Henrique Fernandes da Silva")</f>
        <v>Luis Henrique Fernandes da Silva</v>
      </c>
      <c r="C10" s="43" t="str">
        <f>IFERROR(__xludf.DUMMYFUNCTION("""COMPUTED_VALUE"""),"finished")</f>
        <v>finished</v>
      </c>
      <c r="D10" s="43" t="str">
        <f>IFERROR(__xludf.DUMMYFUNCTION("""COMPUTED_VALUE"""),"No")</f>
        <v>No</v>
      </c>
      <c r="E10" s="43" t="str">
        <f>IFERROR(__xludf.DUMMYFUNCTION("""COMPUTED_VALUE"""),"p_0e3456a82b77d3b3d43a6597fc6e4b347afeb269@inbound.aiesec.org")</f>
        <v>p_0e3456a82b77d3b3d43a6597fc6e4b347afeb269@inbound.aiesec.org</v>
      </c>
      <c r="F10" s="43">
        <f>IFERROR(__xludf.DUMMYFUNCTION("""COMPUTED_VALUE"""),1.3991643317E10)</f>
        <v>13991643317</v>
      </c>
      <c r="G10" s="43" t="str">
        <f>IFERROR(__xludf.DUMMYFUNCTION("""COMPUTED_VALUE"""),"Brazil")</f>
        <v>Brazil</v>
      </c>
      <c r="H10" s="43" t="str">
        <f>IFERROR(__xludf.DUMMYFUNCTION("""COMPUTED_VALUE"""),"SANTOS")</f>
        <v>SANTOS</v>
      </c>
      <c r="I10" s="43" t="str">
        <f>IFERROR(__xludf.DUMMYFUNCTION("""COMPUTED_VALUE"""),"Turkey")</f>
        <v>Turkey</v>
      </c>
      <c r="J10" s="43" t="str">
        <f>IFERROR(__xludf.DUMMYFUNCTION("""COMPUTED_VALUE"""),"DENIZLI")</f>
        <v>DENIZLI</v>
      </c>
      <c r="K10" s="44" t="str">
        <f>IFERROR(__xludf.DUMMYFUNCTION("""COMPUTED_VALUE"""),"https://expa.aiesec.org/opportunities/1285681")</f>
        <v>https://expa.aiesec.org/opportunities/1285681</v>
      </c>
      <c r="L10" s="43" t="str">
        <f>IFERROR(__xludf.DUMMYFUNCTION("""COMPUTED_VALUE"""),"GV")</f>
        <v>GV</v>
      </c>
      <c r="M10" s="43" t="str">
        <f>IFERROR(__xludf.DUMMYFUNCTION("""COMPUTED_VALUE"""),"short")</f>
        <v>short</v>
      </c>
      <c r="N10" s="45">
        <f>IFERROR(__xludf.DUMMYFUNCTION("""COMPUTED_VALUE"""),44747.0)</f>
        <v>44747</v>
      </c>
      <c r="O10" s="45">
        <f>IFERROR(__xludf.DUMMYFUNCTION("""COMPUTED_VALUE"""),44760.0)</f>
        <v>44760</v>
      </c>
      <c r="P10" s="45">
        <f>IFERROR(__xludf.DUMMYFUNCTION("""COMPUTED_VALUE"""),44802.0)</f>
        <v>44802</v>
      </c>
      <c r="Q10" s="45">
        <f>IFERROR(__xludf.DUMMYFUNCTION("""COMPUTED_VALUE"""),44760.0)</f>
        <v>44760</v>
      </c>
      <c r="R10" s="45">
        <f>IFERROR(__xludf.DUMMYFUNCTION("""COMPUTED_VALUE"""),44802.0)</f>
        <v>44802</v>
      </c>
      <c r="S10" s="43"/>
      <c r="T10" s="43"/>
      <c r="U10" s="43" t="str">
        <f>IFERROR(__xludf.DUMMYFUNCTION("""COMPUTED_VALUE"""),"Equify")</f>
        <v>Equify</v>
      </c>
      <c r="V10" s="43" t="str">
        <f>IFERROR(__xludf.DUMMYFUNCTION("""COMPUTED_VALUE"""),"Santos")</f>
        <v>Santos</v>
      </c>
      <c r="W10" s="43" t="str">
        <f>IFERROR(__xludf.DUMMYFUNCTION("""COMPUTED_VALUE"""),"2020-07-08T12:12:05Z")</f>
        <v>2020-07-08T12:12:05Z</v>
      </c>
      <c r="X10" s="43"/>
      <c r="Y10" s="43"/>
      <c r="Z10" s="43"/>
    </row>
    <row r="11" hidden="1">
      <c r="A11" s="43" t="str">
        <f>IFERROR(__xludf.DUMMYFUNCTION("""COMPUTED_VALUE"""),"5069119_1287558")</f>
        <v>5069119_1287558</v>
      </c>
      <c r="B11" s="43" t="str">
        <f>IFERROR(__xludf.DUMMYFUNCTION("""COMPUTED_VALUE"""),"Mohamed Amine Dakhlia")</f>
        <v>Mohamed Amine Dakhlia</v>
      </c>
      <c r="C11" s="43" t="str">
        <f>IFERROR(__xludf.DUMMYFUNCTION("""COMPUTED_VALUE"""),"finished")</f>
        <v>finished</v>
      </c>
      <c r="D11" s="43" t="str">
        <f>IFERROR(__xludf.DUMMYFUNCTION("""COMPUTED_VALUE"""),"No")</f>
        <v>No</v>
      </c>
      <c r="E11" s="43" t="str">
        <f>IFERROR(__xludf.DUMMYFUNCTION("""COMPUTED_VALUE"""),"p_2a4b3b61df6232dceefc53eca1aff65a04371a48@inbound.aiesec.org")</f>
        <v>p_2a4b3b61df6232dceefc53eca1aff65a04371a48@inbound.aiesec.org</v>
      </c>
      <c r="F11" s="43">
        <f>IFERROR(__xludf.DUMMYFUNCTION("""COMPUTED_VALUE"""),5.3666979E7)</f>
        <v>53666979</v>
      </c>
      <c r="G11" s="43" t="str">
        <f>IFERROR(__xludf.DUMMYFUNCTION("""COMPUTED_VALUE"""),"Tunisia")</f>
        <v>Tunisia</v>
      </c>
      <c r="H11" s="43" t="str">
        <f>IFERROR(__xludf.DUMMYFUNCTION("""COMPUTED_VALUE"""),"BARDO")</f>
        <v>BARDO</v>
      </c>
      <c r="I11" s="43" t="str">
        <f>IFERROR(__xludf.DUMMYFUNCTION("""COMPUTED_VALUE"""),"Turkey")</f>
        <v>Turkey</v>
      </c>
      <c r="J11" s="43" t="str">
        <f>IFERROR(__xludf.DUMMYFUNCTION("""COMPUTED_VALUE"""),"ANTALYA")</f>
        <v>ANTALYA</v>
      </c>
      <c r="K11" s="44" t="str">
        <f>IFERROR(__xludf.DUMMYFUNCTION("""COMPUTED_VALUE"""),"https://expa.aiesec.org/opportunities/1287558")</f>
        <v>https://expa.aiesec.org/opportunities/1287558</v>
      </c>
      <c r="L11" s="43" t="str">
        <f>IFERROR(__xludf.DUMMYFUNCTION("""COMPUTED_VALUE"""),"GV")</f>
        <v>GV</v>
      </c>
      <c r="M11" s="43" t="str">
        <f>IFERROR(__xludf.DUMMYFUNCTION("""COMPUTED_VALUE"""),"short")</f>
        <v>short</v>
      </c>
      <c r="N11" s="45">
        <f>IFERROR(__xludf.DUMMYFUNCTION("""COMPUTED_VALUE"""),44747.0)</f>
        <v>44747</v>
      </c>
      <c r="O11" s="45">
        <f>IFERROR(__xludf.DUMMYFUNCTION("""COMPUTED_VALUE"""),44760.0)</f>
        <v>44760</v>
      </c>
      <c r="P11" s="45">
        <f>IFERROR(__xludf.DUMMYFUNCTION("""COMPUTED_VALUE"""),44802.0)</f>
        <v>44802</v>
      </c>
      <c r="Q11" s="45">
        <f>IFERROR(__xludf.DUMMYFUNCTION("""COMPUTED_VALUE"""),44760.0)</f>
        <v>44760</v>
      </c>
      <c r="R11" s="45">
        <f>IFERROR(__xludf.DUMMYFUNCTION("""COMPUTED_VALUE"""),44803.0)</f>
        <v>44803</v>
      </c>
      <c r="S11" s="43"/>
      <c r="T11" s="43"/>
      <c r="U11" s="43" t="str">
        <f>IFERROR(__xludf.DUMMYFUNCTION("""COMPUTED_VALUE"""),"Global Classroom")</f>
        <v>Global Classroom</v>
      </c>
      <c r="V11" s="43" t="str">
        <f>IFERROR(__xludf.DUMMYFUNCTION("""COMPUTED_VALUE"""),"ESPRIT El Ghazela ")</f>
        <v>ESPRIT El Ghazela </v>
      </c>
      <c r="W11" s="43" t="str">
        <f>IFERROR(__xludf.DUMMYFUNCTION("""COMPUTED_VALUE"""),"2022-06-06T00:05:19Z")</f>
        <v>2022-06-06T00:05:19Z</v>
      </c>
      <c r="X11" s="43"/>
      <c r="Y11" s="43"/>
      <c r="Z11" s="43"/>
    </row>
    <row r="12" hidden="1">
      <c r="A12" s="43" t="str">
        <f>IFERROR(__xludf.DUMMYFUNCTION("""COMPUTED_VALUE"""),"4732594_1287628")</f>
        <v>4732594_1287628</v>
      </c>
      <c r="B12" s="43" t="str">
        <f>IFERROR(__xludf.DUMMYFUNCTION("""COMPUTED_VALUE"""),"Sheima Grami")</f>
        <v>Sheima Grami</v>
      </c>
      <c r="C12" s="43" t="str">
        <f>IFERROR(__xludf.DUMMYFUNCTION("""COMPUTED_VALUE"""),"finished")</f>
        <v>finished</v>
      </c>
      <c r="D12" s="43" t="str">
        <f>IFERROR(__xludf.DUMMYFUNCTION("""COMPUTED_VALUE"""),"No")</f>
        <v>No</v>
      </c>
      <c r="E12" s="43" t="str">
        <f>IFERROR(__xludf.DUMMYFUNCTION("""COMPUTED_VALUE"""),"p_80aa70de8e49db9f480205e1ca053af1d6460878@inbound.aiesec.org")</f>
        <v>p_80aa70de8e49db9f480205e1ca053af1d6460878@inbound.aiesec.org</v>
      </c>
      <c r="F12" s="43">
        <f>IFERROR(__xludf.DUMMYFUNCTION("""COMPUTED_VALUE"""),5.8633298E7)</f>
        <v>58633298</v>
      </c>
      <c r="G12" s="43" t="str">
        <f>IFERROR(__xludf.DUMMYFUNCTION("""COMPUTED_VALUE"""),"Tunisia")</f>
        <v>Tunisia</v>
      </c>
      <c r="H12" s="43" t="str">
        <f>IFERROR(__xludf.DUMMYFUNCTION("""COMPUTED_VALUE"""),"MEDINA")</f>
        <v>MEDINA</v>
      </c>
      <c r="I12" s="43" t="str">
        <f>IFERROR(__xludf.DUMMYFUNCTION("""COMPUTED_VALUE"""),"Turkey")</f>
        <v>Turkey</v>
      </c>
      <c r="J12" s="43" t="str">
        <f>IFERROR(__xludf.DUMMYFUNCTION("""COMPUTED_VALUE"""),"KOCAELI")</f>
        <v>KOCAELI</v>
      </c>
      <c r="K12" s="44" t="str">
        <f>IFERROR(__xludf.DUMMYFUNCTION("""COMPUTED_VALUE"""),"https://expa.aiesec.org/opportunities/1287628")</f>
        <v>https://expa.aiesec.org/opportunities/1287628</v>
      </c>
      <c r="L12" s="43" t="str">
        <f>IFERROR(__xludf.DUMMYFUNCTION("""COMPUTED_VALUE"""),"GV")</f>
        <v>GV</v>
      </c>
      <c r="M12" s="43" t="str">
        <f>IFERROR(__xludf.DUMMYFUNCTION("""COMPUTED_VALUE"""),"short")</f>
        <v>short</v>
      </c>
      <c r="N12" s="45">
        <f>IFERROR(__xludf.DUMMYFUNCTION("""COMPUTED_VALUE"""),44748.0)</f>
        <v>44748</v>
      </c>
      <c r="O12" s="45">
        <f>IFERROR(__xludf.DUMMYFUNCTION("""COMPUTED_VALUE"""),44810.0)</f>
        <v>44810</v>
      </c>
      <c r="P12" s="45">
        <f>IFERROR(__xludf.DUMMYFUNCTION("""COMPUTED_VALUE"""),44852.0)</f>
        <v>44852</v>
      </c>
      <c r="Q12" s="45">
        <f>IFERROR(__xludf.DUMMYFUNCTION("""COMPUTED_VALUE"""),44813.0)</f>
        <v>44813</v>
      </c>
      <c r="R12" s="45">
        <f>IFERROR(__xludf.DUMMYFUNCTION("""COMPUTED_VALUE"""),44849.0)</f>
        <v>44849</v>
      </c>
      <c r="S12" s="43"/>
      <c r="T12" s="43"/>
      <c r="U12" s="43" t="str">
        <f>IFERROR(__xludf.DUMMYFUNCTION("""COMPUTED_VALUE"""),"Global Classroom")</f>
        <v>Global Classroom</v>
      </c>
      <c r="V12" s="43" t="str">
        <f>IFERROR(__xludf.DUMMYFUNCTION("""COMPUTED_VALUE"""),"ISAM Manouba")</f>
        <v>ISAM Manouba</v>
      </c>
      <c r="W12" s="43" t="str">
        <f>IFERROR(__xludf.DUMMYFUNCTION("""COMPUTED_VALUE"""),"2021-09-09T00:22:54Z")</f>
        <v>2021-09-09T00:22:54Z</v>
      </c>
      <c r="X12" s="43"/>
      <c r="Y12" s="43"/>
      <c r="Z12" s="43"/>
    </row>
    <row r="13" hidden="1">
      <c r="A13" s="43" t="str">
        <f>IFERROR(__xludf.DUMMYFUNCTION("""COMPUTED_VALUE"""),"4628140_1287854")</f>
        <v>4628140_1287854</v>
      </c>
      <c r="B13" s="43" t="str">
        <f>IFERROR(__xludf.DUMMYFUNCTION("""COMPUTED_VALUE"""),"Yasmine Zaatour")</f>
        <v>Yasmine Zaatour</v>
      </c>
      <c r="C13" s="43" t="str">
        <f>IFERROR(__xludf.DUMMYFUNCTION("""COMPUTED_VALUE"""),"completed")</f>
        <v>completed</v>
      </c>
      <c r="D13" s="43" t="str">
        <f>IFERROR(__xludf.DUMMYFUNCTION("""COMPUTED_VALUE"""),"No")</f>
        <v>No</v>
      </c>
      <c r="E13" s="43" t="str">
        <f>IFERROR(__xludf.DUMMYFUNCTION("""COMPUTED_VALUE"""),"p_0ae8dfb02c6fec2b7495617792b4b2ef0d30a013@inbound.aiesec.org")</f>
        <v>p_0ae8dfb02c6fec2b7495617792b4b2ef0d30a013@inbound.aiesec.org</v>
      </c>
      <c r="F13" s="43"/>
      <c r="G13" s="43" t="str">
        <f>IFERROR(__xludf.DUMMYFUNCTION("""COMPUTED_VALUE"""),"Tunisia")</f>
        <v>Tunisia</v>
      </c>
      <c r="H13" s="43" t="str">
        <f>IFERROR(__xludf.DUMMYFUNCTION("""COMPUTED_VALUE"""),"SFAX")</f>
        <v>SFAX</v>
      </c>
      <c r="I13" s="43" t="str">
        <f>IFERROR(__xludf.DUMMYFUNCTION("""COMPUTED_VALUE"""),"Turkey")</f>
        <v>Turkey</v>
      </c>
      <c r="J13" s="43" t="str">
        <f>IFERROR(__xludf.DUMMYFUNCTION("""COMPUTED_VALUE"""),"İZMİR")</f>
        <v>İZMİR</v>
      </c>
      <c r="K13" s="44" t="str">
        <f>IFERROR(__xludf.DUMMYFUNCTION("""COMPUTED_VALUE"""),"https://expa.aiesec.org/opportunities/1287854")</f>
        <v>https://expa.aiesec.org/opportunities/1287854</v>
      </c>
      <c r="L13" s="43" t="str">
        <f>IFERROR(__xludf.DUMMYFUNCTION("""COMPUTED_VALUE"""),"GV")</f>
        <v>GV</v>
      </c>
      <c r="M13" s="43" t="str">
        <f>IFERROR(__xludf.DUMMYFUNCTION("""COMPUTED_VALUE"""),"short")</f>
        <v>short</v>
      </c>
      <c r="N13" s="45">
        <f>IFERROR(__xludf.DUMMYFUNCTION("""COMPUTED_VALUE"""),44749.0)</f>
        <v>44749</v>
      </c>
      <c r="O13" s="45">
        <f>IFERROR(__xludf.DUMMYFUNCTION("""COMPUTED_VALUE"""),44822.0)</f>
        <v>44822</v>
      </c>
      <c r="P13" s="45">
        <f>IFERROR(__xludf.DUMMYFUNCTION("""COMPUTED_VALUE"""),44864.0)</f>
        <v>44864</v>
      </c>
      <c r="Q13" s="45">
        <f>IFERROR(__xludf.DUMMYFUNCTION("""COMPUTED_VALUE"""),44824.0)</f>
        <v>44824</v>
      </c>
      <c r="R13" s="45">
        <f>IFERROR(__xludf.DUMMYFUNCTION("""COMPUTED_VALUE"""),44864.0)</f>
        <v>44864</v>
      </c>
      <c r="S13" s="43"/>
      <c r="T13" s="43"/>
      <c r="U13" s="43" t="str">
        <f>IFERROR(__xludf.DUMMYFUNCTION("""COMPUTED_VALUE"""),"Global Classroom")</f>
        <v>Global Classroom</v>
      </c>
      <c r="V13" s="43" t="str">
        <f>IFERROR(__xludf.DUMMYFUNCTION("""COMPUTED_VALUE"""),"ISIMS")</f>
        <v>ISIMS</v>
      </c>
      <c r="W13" s="43" t="str">
        <f>IFERROR(__xludf.DUMMYFUNCTION("""COMPUTED_VALUE"""),"2021-04-24T18:25:35Z")</f>
        <v>2021-04-24T18:25:35Z</v>
      </c>
      <c r="X13" s="43"/>
      <c r="Y13" s="43"/>
      <c r="Z13" s="43"/>
    </row>
    <row r="14" hidden="1">
      <c r="A14" s="43" t="str">
        <f>IFERROR(__xludf.DUMMYFUNCTION("""COMPUTED_VALUE"""),"3856876_1284307")</f>
        <v>3856876_1284307</v>
      </c>
      <c r="B14" s="43" t="str">
        <f>IFERROR(__xludf.DUMMYFUNCTION("""COMPUTED_VALUE"""),"Abigail La Fuente")</f>
        <v>Abigail La Fuente</v>
      </c>
      <c r="C14" s="43" t="str">
        <f>IFERROR(__xludf.DUMMYFUNCTION("""COMPUTED_VALUE"""),"finished")</f>
        <v>finished</v>
      </c>
      <c r="D14" s="43" t="str">
        <f>IFERROR(__xludf.DUMMYFUNCTION("""COMPUTED_VALUE"""),"No")</f>
        <v>No</v>
      </c>
      <c r="E14" s="43" t="str">
        <f>IFERROR(__xludf.DUMMYFUNCTION("""COMPUTED_VALUE"""),"p_bd0aa69850ed2dec38eeffd67a45734634ad1b86@inbound.aiesec.org")</f>
        <v>p_bd0aa69850ed2dec38eeffd67a45734634ad1b86@inbound.aiesec.org</v>
      </c>
      <c r="F14" s="43">
        <f>IFERROR(__xludf.DUMMYFUNCTION("""COMPUTED_VALUE"""),7.8829805E7)</f>
        <v>78829805</v>
      </c>
      <c r="G14" s="43" t="str">
        <f>IFERROR(__xludf.DUMMYFUNCTION("""COMPUTED_VALUE"""),"Bolivia")</f>
        <v>Bolivia</v>
      </c>
      <c r="H14" s="43" t="str">
        <f>IFERROR(__xludf.DUMMYFUNCTION("""COMPUTED_VALUE"""),"LA PAZ")</f>
        <v>LA PAZ</v>
      </c>
      <c r="I14" s="43" t="str">
        <f>IFERROR(__xludf.DUMMYFUNCTION("""COMPUTED_VALUE"""),"Turkey")</f>
        <v>Turkey</v>
      </c>
      <c r="J14" s="43" t="str">
        <f>IFERROR(__xludf.DUMMYFUNCTION("""COMPUTED_VALUE"""),"SAMSUN [Closed]")</f>
        <v>SAMSUN [Closed]</v>
      </c>
      <c r="K14" s="44" t="str">
        <f>IFERROR(__xludf.DUMMYFUNCTION("""COMPUTED_VALUE"""),"https://expa.aiesec.org/opportunities/1284307")</f>
        <v>https://expa.aiesec.org/opportunities/1284307</v>
      </c>
      <c r="L14" s="43" t="str">
        <f>IFERROR(__xludf.DUMMYFUNCTION("""COMPUTED_VALUE"""),"GV")</f>
        <v>GV</v>
      </c>
      <c r="M14" s="43" t="str">
        <f>IFERROR(__xludf.DUMMYFUNCTION("""COMPUTED_VALUE"""),"short")</f>
        <v>short</v>
      </c>
      <c r="N14" s="45">
        <f>IFERROR(__xludf.DUMMYFUNCTION("""COMPUTED_VALUE"""),44749.0)</f>
        <v>44749</v>
      </c>
      <c r="O14" s="45">
        <f>IFERROR(__xludf.DUMMYFUNCTION("""COMPUTED_VALUE"""),44823.0)</f>
        <v>44823</v>
      </c>
      <c r="P14" s="45">
        <f>IFERROR(__xludf.DUMMYFUNCTION("""COMPUTED_VALUE"""),44865.0)</f>
        <v>44865</v>
      </c>
      <c r="Q14" s="45">
        <f>IFERROR(__xludf.DUMMYFUNCTION("""COMPUTED_VALUE"""),44829.0)</f>
        <v>44829</v>
      </c>
      <c r="R14" s="45">
        <f>IFERROR(__xludf.DUMMYFUNCTION("""COMPUTED_VALUE"""),44870.0)</f>
        <v>44870</v>
      </c>
      <c r="S14" s="43"/>
      <c r="T14" s="43"/>
      <c r="U14" s="43" t="str">
        <f>IFERROR(__xludf.DUMMYFUNCTION("""COMPUTED_VALUE"""),"Global Classroom")</f>
        <v>Global Classroom</v>
      </c>
      <c r="V14" s="43" t="str">
        <f>IFERROR(__xludf.DUMMYFUNCTION("""COMPUTED_VALUE"""),"La Paz - Universidad Privada del Valle (UNIVALLE)")</f>
        <v>La Paz - Universidad Privada del Valle (UNIVALLE)</v>
      </c>
      <c r="W14" s="43" t="str">
        <f>IFERROR(__xludf.DUMMYFUNCTION("""COMPUTED_VALUE"""),"2019-09-26T19:01:32Z")</f>
        <v>2019-09-26T19:01:32Z</v>
      </c>
      <c r="X14" s="43"/>
      <c r="Y14" s="43"/>
      <c r="Z14" s="43"/>
    </row>
    <row r="15" hidden="1">
      <c r="A15" s="43" t="str">
        <f>IFERROR(__xludf.DUMMYFUNCTION("""COMPUTED_VALUE"""),"5076506_1287855")</f>
        <v>5076506_1287855</v>
      </c>
      <c r="B15" s="43" t="str">
        <f>IFERROR(__xludf.DUMMYFUNCTION("""COMPUTED_VALUE"""),"Yehia Saleh")</f>
        <v>Yehia Saleh</v>
      </c>
      <c r="C15" s="43" t="str">
        <f>IFERROR(__xludf.DUMMYFUNCTION("""COMPUTED_VALUE"""),"finished")</f>
        <v>finished</v>
      </c>
      <c r="D15" s="43" t="str">
        <f>IFERROR(__xludf.DUMMYFUNCTION("""COMPUTED_VALUE"""),"No")</f>
        <v>No</v>
      </c>
      <c r="E15" s="43" t="str">
        <f>IFERROR(__xludf.DUMMYFUNCTION("""COMPUTED_VALUE"""),"p_3f984c4719e16455745934ae17b2d8b97034eb2c@inbound.aiesec.org")</f>
        <v>p_3f984c4719e16455745934ae17b2d8b97034eb2c@inbound.aiesec.org</v>
      </c>
      <c r="F15" s="43">
        <f>IFERROR(__xludf.DUMMYFUNCTION("""COMPUTED_VALUE"""),1.01808546E9)</f>
        <v>1018085460</v>
      </c>
      <c r="G15" s="43" t="str">
        <f>IFERROR(__xludf.DUMMYFUNCTION("""COMPUTED_VALUE"""),"Egypt")</f>
        <v>Egypt</v>
      </c>
      <c r="H15" s="43" t="str">
        <f>IFERROR(__xludf.DUMMYFUNCTION("""COMPUTED_VALUE"""),"Tanta")</f>
        <v>Tanta</v>
      </c>
      <c r="I15" s="43" t="str">
        <f>IFERROR(__xludf.DUMMYFUNCTION("""COMPUTED_VALUE"""),"Turkey")</f>
        <v>Turkey</v>
      </c>
      <c r="J15" s="43" t="str">
        <f>IFERROR(__xludf.DUMMYFUNCTION("""COMPUTED_VALUE"""),"İZMİR")</f>
        <v>İZMİR</v>
      </c>
      <c r="K15" s="44" t="str">
        <f>IFERROR(__xludf.DUMMYFUNCTION("""COMPUTED_VALUE"""),"https://expa.aiesec.org/opportunities/1287855")</f>
        <v>https://expa.aiesec.org/opportunities/1287855</v>
      </c>
      <c r="L15" s="43" t="str">
        <f>IFERROR(__xludf.DUMMYFUNCTION("""COMPUTED_VALUE"""),"GV")</f>
        <v>GV</v>
      </c>
      <c r="M15" s="43" t="str">
        <f>IFERROR(__xludf.DUMMYFUNCTION("""COMPUTED_VALUE"""),"short")</f>
        <v>short</v>
      </c>
      <c r="N15" s="45">
        <f>IFERROR(__xludf.DUMMYFUNCTION("""COMPUTED_VALUE"""),44749.0)</f>
        <v>44749</v>
      </c>
      <c r="O15" s="45">
        <f>IFERROR(__xludf.DUMMYFUNCTION("""COMPUTED_VALUE"""),44822.0)</f>
        <v>44822</v>
      </c>
      <c r="P15" s="45">
        <f>IFERROR(__xludf.DUMMYFUNCTION("""COMPUTED_VALUE"""),44864.0)</f>
        <v>44864</v>
      </c>
      <c r="Q15" s="45">
        <f>IFERROR(__xludf.DUMMYFUNCTION("""COMPUTED_VALUE"""),44826.0)</f>
        <v>44826</v>
      </c>
      <c r="R15" s="45">
        <f>IFERROR(__xludf.DUMMYFUNCTION("""COMPUTED_VALUE"""),44868.0)</f>
        <v>44868</v>
      </c>
      <c r="S15" s="43"/>
      <c r="T15" s="43"/>
      <c r="U15" s="43" t="str">
        <f>IFERROR(__xludf.DUMMYFUNCTION("""COMPUTED_VALUE"""),"Global Classroom")</f>
        <v>Global Classroom</v>
      </c>
      <c r="V15" s="43" t="str">
        <f>IFERROR(__xludf.DUMMYFUNCTION("""COMPUTED_VALUE"""),"Tanta")</f>
        <v>Tanta</v>
      </c>
      <c r="W15" s="43" t="str">
        <f>IFERROR(__xludf.DUMMYFUNCTION("""COMPUTED_VALUE"""),"2022-06-25T12:42:04Z")</f>
        <v>2022-06-25T12:42:04Z</v>
      </c>
      <c r="X15" s="43"/>
      <c r="Y15" s="43"/>
      <c r="Z15" s="43"/>
    </row>
    <row r="16" hidden="1">
      <c r="A16" s="43" t="str">
        <f>IFERROR(__xludf.DUMMYFUNCTION("""COMPUTED_VALUE"""),"4991598_1287226")</f>
        <v>4991598_1287226</v>
      </c>
      <c r="B16" s="43" t="str">
        <f>IFERROR(__xludf.DUMMYFUNCTION("""COMPUTED_VALUE"""),"oueslati feryel")</f>
        <v>oueslati feryel</v>
      </c>
      <c r="C16" s="43" t="str">
        <f>IFERROR(__xludf.DUMMYFUNCTION("""COMPUTED_VALUE"""),"completed")</f>
        <v>completed</v>
      </c>
      <c r="D16" s="43" t="str">
        <f>IFERROR(__xludf.DUMMYFUNCTION("""COMPUTED_VALUE"""),"No")</f>
        <v>No</v>
      </c>
      <c r="E16" s="43" t="str">
        <f>IFERROR(__xludf.DUMMYFUNCTION("""COMPUTED_VALUE"""),"p_54e43e323d4ac84f4d6a42d78b52714f8b025966@inbound.aiesec.org")</f>
        <v>p_54e43e323d4ac84f4d6a42d78b52714f8b025966@inbound.aiesec.org</v>
      </c>
      <c r="F16" s="43">
        <f>IFERROR(__xludf.DUMMYFUNCTION("""COMPUTED_VALUE"""),5.4218872E7)</f>
        <v>54218872</v>
      </c>
      <c r="G16" s="43" t="str">
        <f>IFERROR(__xludf.DUMMYFUNCTION("""COMPUTED_VALUE"""),"Tunisia")</f>
        <v>Tunisia</v>
      </c>
      <c r="H16" s="43" t="str">
        <f>IFERROR(__xludf.DUMMYFUNCTION("""COMPUTED_VALUE"""),"Carthage")</f>
        <v>Carthage</v>
      </c>
      <c r="I16" s="43" t="str">
        <f>IFERROR(__xludf.DUMMYFUNCTION("""COMPUTED_VALUE"""),"Turkey")</f>
        <v>Turkey</v>
      </c>
      <c r="J16" s="43" t="str">
        <f>IFERROR(__xludf.DUMMYFUNCTION("""COMPUTED_VALUE"""),"ISTANBUL ASIA")</f>
        <v>ISTANBUL ASIA</v>
      </c>
      <c r="K16" s="44" t="str">
        <f>IFERROR(__xludf.DUMMYFUNCTION("""COMPUTED_VALUE"""),"https://expa.aiesec.org/opportunities/1287226")</f>
        <v>https://expa.aiesec.org/opportunities/1287226</v>
      </c>
      <c r="L16" s="43" t="str">
        <f>IFERROR(__xludf.DUMMYFUNCTION("""COMPUTED_VALUE"""),"GV")</f>
        <v>GV</v>
      </c>
      <c r="M16" s="43" t="str">
        <f>IFERROR(__xludf.DUMMYFUNCTION("""COMPUTED_VALUE"""),"short")</f>
        <v>short</v>
      </c>
      <c r="N16" s="45">
        <f>IFERROR(__xludf.DUMMYFUNCTION("""COMPUTED_VALUE"""),44751.0)</f>
        <v>44751</v>
      </c>
      <c r="O16" s="45">
        <f>IFERROR(__xludf.DUMMYFUNCTION("""COMPUTED_VALUE"""),44767.0)</f>
        <v>44767</v>
      </c>
      <c r="P16" s="45">
        <f>IFERROR(__xludf.DUMMYFUNCTION("""COMPUTED_VALUE"""),44809.0)</f>
        <v>44809</v>
      </c>
      <c r="Q16" s="45">
        <f>IFERROR(__xludf.DUMMYFUNCTION("""COMPUTED_VALUE"""),44769.0)</f>
        <v>44769</v>
      </c>
      <c r="R16" s="45">
        <f>IFERROR(__xludf.DUMMYFUNCTION("""COMPUTED_VALUE"""),44809.0)</f>
        <v>44809</v>
      </c>
      <c r="S16" s="43"/>
      <c r="T16" s="43"/>
      <c r="U16" s="43" t="str">
        <f>IFERROR(__xludf.DUMMYFUNCTION("""COMPUTED_VALUE"""),"Global Classroom")</f>
        <v>Global Classroom</v>
      </c>
      <c r="V16" s="43" t="str">
        <f>IFERROR(__xludf.DUMMYFUNCTION("""COMPUTED_VALUE"""),"IHEC Carthage")</f>
        <v>IHEC Carthage</v>
      </c>
      <c r="W16" s="43" t="str">
        <f>IFERROR(__xludf.DUMMYFUNCTION("""COMPUTED_VALUE"""),"2022-03-18T12:33:04Z")</f>
        <v>2022-03-18T12:33:04Z</v>
      </c>
      <c r="X16" s="43"/>
      <c r="Y16" s="43"/>
      <c r="Z16" s="43"/>
    </row>
    <row r="17" hidden="1">
      <c r="A17" s="43" t="str">
        <f>IFERROR(__xludf.DUMMYFUNCTION("""COMPUTED_VALUE"""),"4198493_1286917")</f>
        <v>4198493_1286917</v>
      </c>
      <c r="B17" s="43" t="str">
        <f>IFERROR(__xludf.DUMMYFUNCTION("""COMPUTED_VALUE"""),"Anh Hoang")</f>
        <v>Anh Hoang</v>
      </c>
      <c r="C17" s="43" t="str">
        <f>IFERROR(__xludf.DUMMYFUNCTION("""COMPUTED_VALUE"""),"approval_broken")</f>
        <v>approval_broken</v>
      </c>
      <c r="D17" s="43" t="str">
        <f>IFERROR(__xludf.DUMMYFUNCTION("""COMPUTED_VALUE"""),"No")</f>
        <v>No</v>
      </c>
      <c r="E17" s="43" t="str">
        <f>IFERROR(__xludf.DUMMYFUNCTION("""COMPUTED_VALUE"""),"p_7c9285f83dba0c1556db18a73acb0066fd8ec870@inbound.aiesec.org")</f>
        <v>p_7c9285f83dba0c1556db18a73acb0066fd8ec870@inbound.aiesec.org</v>
      </c>
      <c r="F17" s="43">
        <f>IFERROR(__xludf.DUMMYFUNCTION("""COMPUTED_VALUE"""),1.5153298816E10)</f>
        <v>15153298816</v>
      </c>
      <c r="G17" s="43" t="str">
        <f>IFERROR(__xludf.DUMMYFUNCTION("""COMPUTED_VALUE"""),"Germany")</f>
        <v>Germany</v>
      </c>
      <c r="H17" s="43" t="str">
        <f>IFERROR(__xludf.DUMMYFUNCTION("""COMPUTED_VALUE"""),"HAMBURG")</f>
        <v>HAMBURG</v>
      </c>
      <c r="I17" s="43" t="str">
        <f>IFERROR(__xludf.DUMMYFUNCTION("""COMPUTED_VALUE"""),"Turkey")</f>
        <v>Turkey</v>
      </c>
      <c r="J17" s="43" t="str">
        <f>IFERROR(__xludf.DUMMYFUNCTION("""COMPUTED_VALUE"""),"ISTANBUL ASIA")</f>
        <v>ISTANBUL ASIA</v>
      </c>
      <c r="K17" s="44" t="str">
        <f>IFERROR(__xludf.DUMMYFUNCTION("""COMPUTED_VALUE"""),"https://expa.aiesec.org/opportunities/1286917")</f>
        <v>https://expa.aiesec.org/opportunities/1286917</v>
      </c>
      <c r="L17" s="43" t="str">
        <f>IFERROR(__xludf.DUMMYFUNCTION("""COMPUTED_VALUE"""),"GV")</f>
        <v>GV</v>
      </c>
      <c r="M17" s="43" t="str">
        <f>IFERROR(__xludf.DUMMYFUNCTION("""COMPUTED_VALUE"""),"short")</f>
        <v>short</v>
      </c>
      <c r="N17" s="45">
        <f>IFERROR(__xludf.DUMMYFUNCTION("""COMPUTED_VALUE"""),45138.0)</f>
        <v>45138</v>
      </c>
      <c r="O17" s="45">
        <f>IFERROR(__xludf.DUMMYFUNCTION("""COMPUTED_VALUE"""),44896.0)</f>
        <v>44896</v>
      </c>
      <c r="P17" s="45">
        <f>IFERROR(__xludf.DUMMYFUNCTION("""COMPUTED_VALUE"""),44938.0)</f>
        <v>44938</v>
      </c>
      <c r="Q17" s="45"/>
      <c r="R17" s="45"/>
      <c r="S17" s="43"/>
      <c r="T17" s="43"/>
      <c r="U17" s="43" t="str">
        <f>IFERROR(__xludf.DUMMYFUNCTION("""COMPUTED_VALUE"""),"Rooted")</f>
        <v>Rooted</v>
      </c>
      <c r="V17" s="43" t="str">
        <f>IFERROR(__xludf.DUMMYFUNCTION("""COMPUTED_VALUE"""),"Hamburg")</f>
        <v>Hamburg</v>
      </c>
      <c r="W17" s="43" t="str">
        <f>IFERROR(__xludf.DUMMYFUNCTION("""COMPUTED_VALUE"""),"2020-02-19T14:45:29Z")</f>
        <v>2020-02-19T14:45:29Z</v>
      </c>
      <c r="X17" s="43"/>
      <c r="Y17" s="43"/>
      <c r="Z17" s="43"/>
    </row>
    <row r="18" hidden="1">
      <c r="A18" s="43" t="str">
        <f>IFERROR(__xludf.DUMMYFUNCTION("""COMPUTED_VALUE"""),"5074143_1283891")</f>
        <v>5074143_1283891</v>
      </c>
      <c r="B18" s="43" t="str">
        <f>IFERROR(__xludf.DUMMYFUNCTION("""COMPUTED_VALUE"""),"sirine amri")</f>
        <v>sirine amri</v>
      </c>
      <c r="C18" s="43" t="str">
        <f>IFERROR(__xludf.DUMMYFUNCTION("""COMPUTED_VALUE"""),"finished")</f>
        <v>finished</v>
      </c>
      <c r="D18" s="43" t="str">
        <f>IFERROR(__xludf.DUMMYFUNCTION("""COMPUTED_VALUE"""),"No")</f>
        <v>No</v>
      </c>
      <c r="E18" s="43" t="str">
        <f>IFERROR(__xludf.DUMMYFUNCTION("""COMPUTED_VALUE"""),"p_56a8357b73d0a44e85280b92fb22562aec8bb1e5@inbound.aiesec.org")</f>
        <v>p_56a8357b73d0a44e85280b92fb22562aec8bb1e5@inbound.aiesec.org</v>
      </c>
      <c r="F18" s="43">
        <f>IFERROR(__xludf.DUMMYFUNCTION("""COMPUTED_VALUE"""),2.9102769E7)</f>
        <v>29102769</v>
      </c>
      <c r="G18" s="43" t="str">
        <f>IFERROR(__xludf.DUMMYFUNCTION("""COMPUTED_VALUE"""),"Tunisia")</f>
        <v>Tunisia</v>
      </c>
      <c r="H18" s="43" t="str">
        <f>IFERROR(__xludf.DUMMYFUNCTION("""COMPUTED_VALUE"""),"BARDO")</f>
        <v>BARDO</v>
      </c>
      <c r="I18" s="43" t="str">
        <f>IFERROR(__xludf.DUMMYFUNCTION("""COMPUTED_VALUE"""),"Turkey")</f>
        <v>Turkey</v>
      </c>
      <c r="J18" s="43" t="str">
        <f>IFERROR(__xludf.DUMMYFUNCTION("""COMPUTED_VALUE"""),"ISTANBUL ASIA")</f>
        <v>ISTANBUL ASIA</v>
      </c>
      <c r="K18" s="44" t="str">
        <f>IFERROR(__xludf.DUMMYFUNCTION("""COMPUTED_VALUE"""),"https://expa.aiesec.org/opportunities/1283891")</f>
        <v>https://expa.aiesec.org/opportunities/1283891</v>
      </c>
      <c r="L18" s="43" t="str">
        <f>IFERROR(__xludf.DUMMYFUNCTION("""COMPUTED_VALUE"""),"GV")</f>
        <v>GV</v>
      </c>
      <c r="M18" s="43" t="str">
        <f>IFERROR(__xludf.DUMMYFUNCTION("""COMPUTED_VALUE"""),"short")</f>
        <v>short</v>
      </c>
      <c r="N18" s="45">
        <f>IFERROR(__xludf.DUMMYFUNCTION("""COMPUTED_VALUE"""),44753.0)</f>
        <v>44753</v>
      </c>
      <c r="O18" s="45">
        <f>IFERROR(__xludf.DUMMYFUNCTION("""COMPUTED_VALUE"""),44760.0)</f>
        <v>44760</v>
      </c>
      <c r="P18" s="45">
        <f>IFERROR(__xludf.DUMMYFUNCTION("""COMPUTED_VALUE"""),44802.0)</f>
        <v>44802</v>
      </c>
      <c r="Q18" s="45">
        <f>IFERROR(__xludf.DUMMYFUNCTION("""COMPUTED_VALUE"""),44761.0)</f>
        <v>44761</v>
      </c>
      <c r="R18" s="45">
        <f>IFERROR(__xludf.DUMMYFUNCTION("""COMPUTED_VALUE"""),44802.0)</f>
        <v>44802</v>
      </c>
      <c r="S18" s="43"/>
      <c r="T18" s="43"/>
      <c r="U18" s="43" t="str">
        <f>IFERROR(__xludf.DUMMYFUNCTION("""COMPUTED_VALUE"""),"Global Classroom")</f>
        <v>Global Classroom</v>
      </c>
      <c r="V18" s="43" t="str">
        <f>IFERROR(__xludf.DUMMYFUNCTION("""COMPUTED_VALUE"""),"Institut Supérieur des Études Appliquées en Humanités de Zaghouan")</f>
        <v>Institut Supérieur des Études Appliquées en Humanités de Zaghouan</v>
      </c>
      <c r="W18" s="43" t="str">
        <f>IFERROR(__xludf.DUMMYFUNCTION("""COMPUTED_VALUE"""),"2022-06-18T14:36:31Z")</f>
        <v>2022-06-18T14:36:31Z</v>
      </c>
      <c r="X18" s="43"/>
      <c r="Y18" s="43"/>
      <c r="Z18" s="43"/>
    </row>
    <row r="19" hidden="1">
      <c r="A19" s="43" t="str">
        <f>IFERROR(__xludf.DUMMYFUNCTION("""COMPUTED_VALUE"""),"4584872_1285932")</f>
        <v>4584872_1285932</v>
      </c>
      <c r="B19" s="43" t="str">
        <f>IFERROR(__xludf.DUMMYFUNCTION("""COMPUTED_VALUE"""),"Imene Tanabene")</f>
        <v>Imene Tanabene</v>
      </c>
      <c r="C19" s="43" t="str">
        <f>IFERROR(__xludf.DUMMYFUNCTION("""COMPUTED_VALUE"""),"completed")</f>
        <v>completed</v>
      </c>
      <c r="D19" s="43" t="str">
        <f>IFERROR(__xludf.DUMMYFUNCTION("""COMPUTED_VALUE"""),"No")</f>
        <v>No</v>
      </c>
      <c r="E19" s="43" t="str">
        <f>IFERROR(__xludf.DUMMYFUNCTION("""COMPUTED_VALUE"""),"p_d1932c54ccee1cfc369e5956698cdcaa16839b8b@inbound.aiesec.org")</f>
        <v>p_d1932c54ccee1cfc369e5956698cdcaa16839b8b@inbound.aiesec.org</v>
      </c>
      <c r="F19" s="43"/>
      <c r="G19" s="43" t="str">
        <f>IFERROR(__xludf.DUMMYFUNCTION("""COMPUTED_VALUE"""),"Tunisia")</f>
        <v>Tunisia</v>
      </c>
      <c r="H19" s="43" t="str">
        <f>IFERROR(__xludf.DUMMYFUNCTION("""COMPUTED_VALUE"""),"BARDO")</f>
        <v>BARDO</v>
      </c>
      <c r="I19" s="43" t="str">
        <f>IFERROR(__xludf.DUMMYFUNCTION("""COMPUTED_VALUE"""),"Turkey")</f>
        <v>Turkey</v>
      </c>
      <c r="J19" s="43" t="str">
        <f>IFERROR(__xludf.DUMMYFUNCTION("""COMPUTED_VALUE"""),"ANKARA")</f>
        <v>ANKARA</v>
      </c>
      <c r="K19" s="44" t="str">
        <f>IFERROR(__xludf.DUMMYFUNCTION("""COMPUTED_VALUE"""),"https://expa.aiesec.org/opportunities/1285932")</f>
        <v>https://expa.aiesec.org/opportunities/1285932</v>
      </c>
      <c r="L19" s="43" t="str">
        <f>IFERROR(__xludf.DUMMYFUNCTION("""COMPUTED_VALUE"""),"GV")</f>
        <v>GV</v>
      </c>
      <c r="M19" s="43" t="str">
        <f>IFERROR(__xludf.DUMMYFUNCTION("""COMPUTED_VALUE"""),"short")</f>
        <v>short</v>
      </c>
      <c r="N19" s="45">
        <f>IFERROR(__xludf.DUMMYFUNCTION("""COMPUTED_VALUE"""),44753.0)</f>
        <v>44753</v>
      </c>
      <c r="O19" s="45">
        <f>IFERROR(__xludf.DUMMYFUNCTION("""COMPUTED_VALUE"""),44760.0)</f>
        <v>44760</v>
      </c>
      <c r="P19" s="45">
        <f>IFERROR(__xludf.DUMMYFUNCTION("""COMPUTED_VALUE"""),44802.0)</f>
        <v>44802</v>
      </c>
      <c r="Q19" s="45">
        <f>IFERROR(__xludf.DUMMYFUNCTION("""COMPUTED_VALUE"""),44759.0)</f>
        <v>44759</v>
      </c>
      <c r="R19" s="45">
        <f>IFERROR(__xludf.DUMMYFUNCTION("""COMPUTED_VALUE"""),44802.0)</f>
        <v>44802</v>
      </c>
      <c r="S19" s="43"/>
      <c r="T19" s="43"/>
      <c r="U19" s="43" t="str">
        <f>IFERROR(__xludf.DUMMYFUNCTION("""COMPUTED_VALUE"""),"Equify")</f>
        <v>Equify</v>
      </c>
      <c r="V19" s="43" t="str">
        <f>IFERROR(__xludf.DUMMYFUNCTION("""COMPUTED_VALUE"""),"ISG Tunis")</f>
        <v>ISG Tunis</v>
      </c>
      <c r="W19" s="43" t="str">
        <f>IFERROR(__xludf.DUMMYFUNCTION("""COMPUTED_VALUE"""),"2021-03-19T20:25:11Z")</f>
        <v>2021-03-19T20:25:11Z</v>
      </c>
      <c r="X19" s="43"/>
      <c r="Y19" s="43"/>
      <c r="Z19" s="43"/>
    </row>
    <row r="20" hidden="1">
      <c r="A20" s="43" t="str">
        <f>IFERROR(__xludf.DUMMYFUNCTION("""COMPUTED_VALUE"""),"2910825_1282450")</f>
        <v>2910825_1282450</v>
      </c>
      <c r="B20" s="43" t="str">
        <f>IFERROR(__xludf.DUMMYFUNCTION("""COMPUTED_VALUE"""),"Ameni Maaroufi")</f>
        <v>Ameni Maaroufi</v>
      </c>
      <c r="C20" s="43" t="str">
        <f>IFERROR(__xludf.DUMMYFUNCTION("""COMPUTED_VALUE"""),"finished")</f>
        <v>finished</v>
      </c>
      <c r="D20" s="43" t="str">
        <f>IFERROR(__xludf.DUMMYFUNCTION("""COMPUTED_VALUE"""),"No")</f>
        <v>No</v>
      </c>
      <c r="E20" s="43" t="str">
        <f>IFERROR(__xludf.DUMMYFUNCTION("""COMPUTED_VALUE"""),"p_bbf906b8ff2fd48edb4768b37591adaf51074e43@inbound.aiesec.org")</f>
        <v>p_bbf906b8ff2fd48edb4768b37591adaf51074e43@inbound.aiesec.org</v>
      </c>
      <c r="F20" s="43">
        <f>IFERROR(__xludf.DUMMYFUNCTION("""COMPUTED_VALUE"""),5.0753242E7)</f>
        <v>50753242</v>
      </c>
      <c r="G20" s="43" t="str">
        <f>IFERROR(__xludf.DUMMYFUNCTION("""COMPUTED_VALUE"""),"Tunisia")</f>
        <v>Tunisia</v>
      </c>
      <c r="H20" s="43" t="str">
        <f>IFERROR(__xludf.DUMMYFUNCTION("""COMPUTED_VALUE"""),"BARDO")</f>
        <v>BARDO</v>
      </c>
      <c r="I20" s="43" t="str">
        <f>IFERROR(__xludf.DUMMYFUNCTION("""COMPUTED_VALUE"""),"Turkey")</f>
        <v>Turkey</v>
      </c>
      <c r="J20" s="43" t="str">
        <f>IFERROR(__xludf.DUMMYFUNCTION("""COMPUTED_VALUE"""),"KOCAELI")</f>
        <v>KOCAELI</v>
      </c>
      <c r="K20" s="44" t="str">
        <f>IFERROR(__xludf.DUMMYFUNCTION("""COMPUTED_VALUE"""),"https://expa.aiesec.org/opportunities/1282450")</f>
        <v>https://expa.aiesec.org/opportunities/1282450</v>
      </c>
      <c r="L20" s="43" t="str">
        <f>IFERROR(__xludf.DUMMYFUNCTION("""COMPUTED_VALUE"""),"GV")</f>
        <v>GV</v>
      </c>
      <c r="M20" s="43" t="str">
        <f>IFERROR(__xludf.DUMMYFUNCTION("""COMPUTED_VALUE"""),"short")</f>
        <v>short</v>
      </c>
      <c r="N20" s="45">
        <f>IFERROR(__xludf.DUMMYFUNCTION("""COMPUTED_VALUE"""),44753.0)</f>
        <v>44753</v>
      </c>
      <c r="O20" s="45">
        <f>IFERROR(__xludf.DUMMYFUNCTION("""COMPUTED_VALUE"""),44767.0)</f>
        <v>44767</v>
      </c>
      <c r="P20" s="45">
        <f>IFERROR(__xludf.DUMMYFUNCTION("""COMPUTED_VALUE"""),44809.0)</f>
        <v>44809</v>
      </c>
      <c r="Q20" s="45">
        <f>IFERROR(__xludf.DUMMYFUNCTION("""COMPUTED_VALUE"""),44767.0)</f>
        <v>44767</v>
      </c>
      <c r="R20" s="45">
        <f>IFERROR(__xludf.DUMMYFUNCTION("""COMPUTED_VALUE"""),44807.0)</f>
        <v>44807</v>
      </c>
      <c r="S20" s="43"/>
      <c r="T20" s="43"/>
      <c r="U20" s="43" t="str">
        <f>IFERROR(__xludf.DUMMYFUNCTION("""COMPUTED_VALUE"""),"Heartbeat")</f>
        <v>Heartbeat</v>
      </c>
      <c r="V20" s="43" t="str">
        <f>IFERROR(__xludf.DUMMYFUNCTION("""COMPUTED_VALUE"""),"FSHS Tunis")</f>
        <v>FSHS Tunis</v>
      </c>
      <c r="W20" s="43" t="str">
        <f>IFERROR(__xludf.DUMMYFUNCTION("""COMPUTED_VALUE"""),"2018-11-29T11:33:44Z")</f>
        <v>2018-11-29T11:33:44Z</v>
      </c>
      <c r="X20" s="43"/>
      <c r="Y20" s="43"/>
      <c r="Z20" s="43"/>
    </row>
    <row r="21" hidden="1">
      <c r="A21" s="43" t="str">
        <f>IFERROR(__xludf.DUMMYFUNCTION("""COMPUTED_VALUE"""),"5069917_1287475")</f>
        <v>5069917_1287475</v>
      </c>
      <c r="B21" s="43" t="str">
        <f>IFERROR(__xludf.DUMMYFUNCTION("""COMPUTED_VALUE"""),"Dhia Eddine mahdaoui")</f>
        <v>Dhia Eddine mahdaoui</v>
      </c>
      <c r="C21" s="43" t="str">
        <f>IFERROR(__xludf.DUMMYFUNCTION("""COMPUTED_VALUE"""),"completed")</f>
        <v>completed</v>
      </c>
      <c r="D21" s="43" t="str">
        <f>IFERROR(__xludf.DUMMYFUNCTION("""COMPUTED_VALUE"""),"No")</f>
        <v>No</v>
      </c>
      <c r="E21" s="43" t="str">
        <f>IFERROR(__xludf.DUMMYFUNCTION("""COMPUTED_VALUE"""),"p_bcaff9eca7c48e3a29c3f9a75f674d8677c251b1@inbound.aiesec.org")</f>
        <v>p_bcaff9eca7c48e3a29c3f9a75f674d8677c251b1@inbound.aiesec.org</v>
      </c>
      <c r="F21" s="43">
        <f>IFERROR(__xludf.DUMMYFUNCTION("""COMPUTED_VALUE"""),2.7957038E7)</f>
        <v>27957038</v>
      </c>
      <c r="G21" s="43" t="str">
        <f>IFERROR(__xludf.DUMMYFUNCTION("""COMPUTED_VALUE"""),"Tunisia")</f>
        <v>Tunisia</v>
      </c>
      <c r="H21" s="43" t="str">
        <f>IFERROR(__xludf.DUMMYFUNCTION("""COMPUTED_VALUE"""),"Bizerte")</f>
        <v>Bizerte</v>
      </c>
      <c r="I21" s="43" t="str">
        <f>IFERROR(__xludf.DUMMYFUNCTION("""COMPUTED_VALUE"""),"Turkey")</f>
        <v>Turkey</v>
      </c>
      <c r="J21" s="43" t="str">
        <f>IFERROR(__xludf.DUMMYFUNCTION("""COMPUTED_VALUE"""),"ANKARA")</f>
        <v>ANKARA</v>
      </c>
      <c r="K21" s="44" t="str">
        <f>IFERROR(__xludf.DUMMYFUNCTION("""COMPUTED_VALUE"""),"https://expa.aiesec.org/opportunities/1287475")</f>
        <v>https://expa.aiesec.org/opportunities/1287475</v>
      </c>
      <c r="L21" s="43" t="str">
        <f>IFERROR(__xludf.DUMMYFUNCTION("""COMPUTED_VALUE"""),"GV")</f>
        <v>GV</v>
      </c>
      <c r="M21" s="43" t="str">
        <f>IFERROR(__xludf.DUMMYFUNCTION("""COMPUTED_VALUE"""),"short")</f>
        <v>short</v>
      </c>
      <c r="N21" s="45">
        <f>IFERROR(__xludf.DUMMYFUNCTION("""COMPUTED_VALUE"""),44753.0)</f>
        <v>44753</v>
      </c>
      <c r="O21" s="45">
        <f>IFERROR(__xludf.DUMMYFUNCTION("""COMPUTED_VALUE"""),44787.0)</f>
        <v>44787</v>
      </c>
      <c r="P21" s="45">
        <f>IFERROR(__xludf.DUMMYFUNCTION("""COMPUTED_VALUE"""),44829.0)</f>
        <v>44829</v>
      </c>
      <c r="Q21" s="45">
        <f>IFERROR(__xludf.DUMMYFUNCTION("""COMPUTED_VALUE"""),44787.0)</f>
        <v>44787</v>
      </c>
      <c r="R21" s="45">
        <f>IFERROR(__xludf.DUMMYFUNCTION("""COMPUTED_VALUE"""),44829.0)</f>
        <v>44829</v>
      </c>
      <c r="S21" s="43"/>
      <c r="T21" s="43"/>
      <c r="U21" s="43" t="str">
        <f>IFERROR(__xludf.DUMMYFUNCTION("""COMPUTED_VALUE"""),"Skill Up!")</f>
        <v>Skill Up!</v>
      </c>
      <c r="V21" s="43" t="str">
        <f>IFERROR(__xludf.DUMMYFUNCTION("""COMPUTED_VALUE"""),"FSB")</f>
        <v>FSB</v>
      </c>
      <c r="W21" s="43" t="str">
        <f>IFERROR(__xludf.DUMMYFUNCTION("""COMPUTED_VALUE"""),"2022-06-07T22:29:27Z")</f>
        <v>2022-06-07T22:29:27Z</v>
      </c>
      <c r="X21" s="43"/>
      <c r="Y21" s="43"/>
      <c r="Z21" s="43"/>
    </row>
    <row r="22" hidden="1">
      <c r="A22" s="43" t="str">
        <f>IFERROR(__xludf.DUMMYFUNCTION("""COMPUTED_VALUE"""),"5081828_1285681")</f>
        <v>5081828_1285681</v>
      </c>
      <c r="B22" s="43" t="str">
        <f>IFERROR(__xludf.DUMMYFUNCTION("""COMPUTED_VALUE"""),"Maram Awadi")</f>
        <v>Maram Awadi</v>
      </c>
      <c r="C22" s="43" t="str">
        <f>IFERROR(__xludf.DUMMYFUNCTION("""COMPUTED_VALUE"""),"finished")</f>
        <v>finished</v>
      </c>
      <c r="D22" s="43" t="str">
        <f>IFERROR(__xludf.DUMMYFUNCTION("""COMPUTED_VALUE"""),"No")</f>
        <v>No</v>
      </c>
      <c r="E22" s="43" t="str">
        <f>IFERROR(__xludf.DUMMYFUNCTION("""COMPUTED_VALUE"""),"p_a3dd6a52aae1f5811e2cf0b1cd65b9e4b60b7db0@inbound.aiesec.org")</f>
        <v>p_a3dd6a52aae1f5811e2cf0b1cd65b9e4b60b7db0@inbound.aiesec.org</v>
      </c>
      <c r="F22" s="43">
        <f>IFERROR(__xludf.DUMMYFUNCTION("""COMPUTED_VALUE"""),2.3997189E7)</f>
        <v>23997189</v>
      </c>
      <c r="G22" s="43" t="str">
        <f>IFERROR(__xludf.DUMMYFUNCTION("""COMPUTED_VALUE"""),"Tunisia")</f>
        <v>Tunisia</v>
      </c>
      <c r="H22" s="43" t="str">
        <f>IFERROR(__xludf.DUMMYFUNCTION("""COMPUTED_VALUE"""),"HADRUMET")</f>
        <v>HADRUMET</v>
      </c>
      <c r="I22" s="43" t="str">
        <f>IFERROR(__xludf.DUMMYFUNCTION("""COMPUTED_VALUE"""),"Turkey")</f>
        <v>Turkey</v>
      </c>
      <c r="J22" s="43" t="str">
        <f>IFERROR(__xludf.DUMMYFUNCTION("""COMPUTED_VALUE"""),"DENIZLI")</f>
        <v>DENIZLI</v>
      </c>
      <c r="K22" s="44" t="str">
        <f>IFERROR(__xludf.DUMMYFUNCTION("""COMPUTED_VALUE"""),"https://expa.aiesec.org/opportunities/1285681")</f>
        <v>https://expa.aiesec.org/opportunities/1285681</v>
      </c>
      <c r="L22" s="43" t="str">
        <f>IFERROR(__xludf.DUMMYFUNCTION("""COMPUTED_VALUE"""),"GV")</f>
        <v>GV</v>
      </c>
      <c r="M22" s="43" t="str">
        <f>IFERROR(__xludf.DUMMYFUNCTION("""COMPUTED_VALUE"""),"short")</f>
        <v>short</v>
      </c>
      <c r="N22" s="45">
        <f>IFERROR(__xludf.DUMMYFUNCTION("""COMPUTED_VALUE"""),44754.0)</f>
        <v>44754</v>
      </c>
      <c r="O22" s="45">
        <f>IFERROR(__xludf.DUMMYFUNCTION("""COMPUTED_VALUE"""),44760.0)</f>
        <v>44760</v>
      </c>
      <c r="P22" s="45">
        <f>IFERROR(__xludf.DUMMYFUNCTION("""COMPUTED_VALUE"""),44802.0)</f>
        <v>44802</v>
      </c>
      <c r="Q22" s="45">
        <f>IFERROR(__xludf.DUMMYFUNCTION("""COMPUTED_VALUE"""),44760.0)</f>
        <v>44760</v>
      </c>
      <c r="R22" s="45">
        <f>IFERROR(__xludf.DUMMYFUNCTION("""COMPUTED_VALUE"""),44802.0)</f>
        <v>44802</v>
      </c>
      <c r="S22" s="43"/>
      <c r="T22" s="43"/>
      <c r="U22" s="43" t="str">
        <f>IFERROR(__xludf.DUMMYFUNCTION("""COMPUTED_VALUE"""),"Equify")</f>
        <v>Equify</v>
      </c>
      <c r="V22" s="43" t="str">
        <f>IFERROR(__xludf.DUMMYFUNCTION("""COMPUTED_VALUE"""),"ISET Sousse")</f>
        <v>ISET Sousse</v>
      </c>
      <c r="W22" s="43" t="str">
        <f>IFERROR(__xludf.DUMMYFUNCTION("""COMPUTED_VALUE"""),"2022-07-11T23:25:45Z")</f>
        <v>2022-07-11T23:25:45Z</v>
      </c>
      <c r="X22" s="43"/>
      <c r="Y22" s="43"/>
      <c r="Z22" s="43"/>
    </row>
    <row r="23" hidden="1">
      <c r="A23" s="43" t="str">
        <f>IFERROR(__xludf.DUMMYFUNCTION("""COMPUTED_VALUE"""),"5081804_1288279")</f>
        <v>5081804_1288279</v>
      </c>
      <c r="B23" s="43" t="str">
        <f>IFERROR(__xludf.DUMMYFUNCTION("""COMPUTED_VALUE"""),"Roua Khiari")</f>
        <v>Roua Khiari</v>
      </c>
      <c r="C23" s="43" t="str">
        <f>IFERROR(__xludf.DUMMYFUNCTION("""COMPUTED_VALUE"""),"completed")</f>
        <v>completed</v>
      </c>
      <c r="D23" s="43" t="str">
        <f>IFERROR(__xludf.DUMMYFUNCTION("""COMPUTED_VALUE"""),"No")</f>
        <v>No</v>
      </c>
      <c r="E23" s="43" t="str">
        <f>IFERROR(__xludf.DUMMYFUNCTION("""COMPUTED_VALUE"""),"p_59bcf091ba7c188f84c1fcd9d33ce507de82b609@inbound.aiesec.org")</f>
        <v>p_59bcf091ba7c188f84c1fcd9d33ce507de82b609@inbound.aiesec.org</v>
      </c>
      <c r="F23" s="43">
        <f>IFERROR(__xludf.DUMMYFUNCTION("""COMPUTED_VALUE"""),5.8017552E7)</f>
        <v>58017552</v>
      </c>
      <c r="G23" s="43" t="str">
        <f>IFERROR(__xludf.DUMMYFUNCTION("""COMPUTED_VALUE"""),"Tunisia")</f>
        <v>Tunisia</v>
      </c>
      <c r="H23" s="43" t="str">
        <f>IFERROR(__xludf.DUMMYFUNCTION("""COMPUTED_VALUE"""),"SFAX")</f>
        <v>SFAX</v>
      </c>
      <c r="I23" s="43" t="str">
        <f>IFERROR(__xludf.DUMMYFUNCTION("""COMPUTED_VALUE"""),"Turkey")</f>
        <v>Turkey</v>
      </c>
      <c r="J23" s="43" t="str">
        <f>IFERROR(__xludf.DUMMYFUNCTION("""COMPUTED_VALUE"""),"İZMİR")</f>
        <v>İZMİR</v>
      </c>
      <c r="K23" s="44" t="str">
        <f>IFERROR(__xludf.DUMMYFUNCTION("""COMPUTED_VALUE"""),"https://expa.aiesec.org/opportunities/1288279")</f>
        <v>https://expa.aiesec.org/opportunities/1288279</v>
      </c>
      <c r="L23" s="43" t="str">
        <f>IFERROR(__xludf.DUMMYFUNCTION("""COMPUTED_VALUE"""),"GV")</f>
        <v>GV</v>
      </c>
      <c r="M23" s="43" t="str">
        <f>IFERROR(__xludf.DUMMYFUNCTION("""COMPUTED_VALUE"""),"short")</f>
        <v>short</v>
      </c>
      <c r="N23" s="45">
        <f>IFERROR(__xludf.DUMMYFUNCTION("""COMPUTED_VALUE"""),44754.0)</f>
        <v>44754</v>
      </c>
      <c r="O23" s="45">
        <f>IFERROR(__xludf.DUMMYFUNCTION("""COMPUTED_VALUE"""),44794.0)</f>
        <v>44794</v>
      </c>
      <c r="P23" s="45">
        <f>IFERROR(__xludf.DUMMYFUNCTION("""COMPUTED_VALUE"""),44836.0)</f>
        <v>44836</v>
      </c>
      <c r="Q23" s="45">
        <f>IFERROR(__xludf.DUMMYFUNCTION("""COMPUTED_VALUE"""),44796.0)</f>
        <v>44796</v>
      </c>
      <c r="R23" s="45">
        <f>IFERROR(__xludf.DUMMYFUNCTION("""COMPUTED_VALUE"""),44836.0)</f>
        <v>44836</v>
      </c>
      <c r="S23" s="43"/>
      <c r="T23" s="43"/>
      <c r="U23" s="43" t="str">
        <f>IFERROR(__xludf.DUMMYFUNCTION("""COMPUTED_VALUE"""),"Youth 4 Impact")</f>
        <v>Youth 4 Impact</v>
      </c>
      <c r="V23" s="43" t="str">
        <f>IFERROR(__xludf.DUMMYFUNCTION("""COMPUTED_VALUE"""),"FSEG sfax")</f>
        <v>FSEG sfax</v>
      </c>
      <c r="W23" s="43" t="str">
        <f>IFERROR(__xludf.DUMMYFUNCTION("""COMPUTED_VALUE"""),"2022-07-11T20:54:06Z")</f>
        <v>2022-07-11T20:54:06Z</v>
      </c>
      <c r="X23" s="43"/>
      <c r="Y23" s="43"/>
      <c r="Z23" s="43"/>
    </row>
    <row r="24" hidden="1">
      <c r="A24" s="43" t="str">
        <f>IFERROR(__xludf.DUMMYFUNCTION("""COMPUTED_VALUE"""),"4674622_1287966")</f>
        <v>4674622_1287966</v>
      </c>
      <c r="B24" s="43" t="str">
        <f>IFERROR(__xludf.DUMMYFUNCTION("""COMPUTED_VALUE"""),"Ben Nasr Ahlem")</f>
        <v>Ben Nasr Ahlem</v>
      </c>
      <c r="C24" s="43" t="str">
        <f>IFERROR(__xludf.DUMMYFUNCTION("""COMPUTED_VALUE"""),"completed")</f>
        <v>completed</v>
      </c>
      <c r="D24" s="43" t="str">
        <f>IFERROR(__xludf.DUMMYFUNCTION("""COMPUTED_VALUE"""),"No")</f>
        <v>No</v>
      </c>
      <c r="E24" s="43" t="str">
        <f>IFERROR(__xludf.DUMMYFUNCTION("""COMPUTED_VALUE"""),"p_4424908118f8a541ddac68b3c31051b8d09fb3ba@inbound.aiesec.org")</f>
        <v>p_4424908118f8a541ddac68b3c31051b8d09fb3ba@inbound.aiesec.org</v>
      </c>
      <c r="F24" s="43"/>
      <c r="G24" s="43" t="str">
        <f>IFERROR(__xludf.DUMMYFUNCTION("""COMPUTED_VALUE"""),"Tunisia")</f>
        <v>Tunisia</v>
      </c>
      <c r="H24" s="43" t="str">
        <f>IFERROR(__xludf.DUMMYFUNCTION("""COMPUTED_VALUE"""),"Carthage")</f>
        <v>Carthage</v>
      </c>
      <c r="I24" s="43" t="str">
        <f>IFERROR(__xludf.DUMMYFUNCTION("""COMPUTED_VALUE"""),"Turkey")</f>
        <v>Turkey</v>
      </c>
      <c r="J24" s="43" t="str">
        <f>IFERROR(__xludf.DUMMYFUNCTION("""COMPUTED_VALUE"""),"ISTANBUL")</f>
        <v>ISTANBUL</v>
      </c>
      <c r="K24" s="44" t="str">
        <f>IFERROR(__xludf.DUMMYFUNCTION("""COMPUTED_VALUE"""),"https://expa.aiesec.org/opportunities/1287966")</f>
        <v>https://expa.aiesec.org/opportunities/1287966</v>
      </c>
      <c r="L24" s="43" t="str">
        <f>IFERROR(__xludf.DUMMYFUNCTION("""COMPUTED_VALUE"""),"GV")</f>
        <v>GV</v>
      </c>
      <c r="M24" s="43" t="str">
        <f>IFERROR(__xludf.DUMMYFUNCTION("""COMPUTED_VALUE"""),"short")</f>
        <v>short</v>
      </c>
      <c r="N24" s="45">
        <f>IFERROR(__xludf.DUMMYFUNCTION("""COMPUTED_VALUE"""),44754.0)</f>
        <v>44754</v>
      </c>
      <c r="O24" s="45">
        <f>IFERROR(__xludf.DUMMYFUNCTION("""COMPUTED_VALUE"""),44760.0)</f>
        <v>44760</v>
      </c>
      <c r="P24" s="45">
        <f>IFERROR(__xludf.DUMMYFUNCTION("""COMPUTED_VALUE"""),44802.0)</f>
        <v>44802</v>
      </c>
      <c r="Q24" s="45">
        <f>IFERROR(__xludf.DUMMYFUNCTION("""COMPUTED_VALUE"""),44760.0)</f>
        <v>44760</v>
      </c>
      <c r="R24" s="45">
        <f>IFERROR(__xludf.DUMMYFUNCTION("""COMPUTED_VALUE"""),44802.0)</f>
        <v>44802</v>
      </c>
      <c r="S24" s="43"/>
      <c r="T24" s="43"/>
      <c r="U24" s="43" t="str">
        <f>IFERROR(__xludf.DUMMYFUNCTION("""COMPUTED_VALUE"""),"Heartbeat")</f>
        <v>Heartbeat</v>
      </c>
      <c r="V24" s="43" t="str">
        <f>IFERROR(__xludf.DUMMYFUNCTION("""COMPUTED_VALUE"""),"-")</f>
        <v>-</v>
      </c>
      <c r="W24" s="43" t="str">
        <f>IFERROR(__xludf.DUMMYFUNCTION("""COMPUTED_VALUE"""),"2021-06-23T14:03:43Z")</f>
        <v>2021-06-23T14:03:43Z</v>
      </c>
      <c r="X24" s="43"/>
      <c r="Y24" s="43"/>
      <c r="Z24" s="43"/>
    </row>
    <row r="25" hidden="1">
      <c r="A25" s="43" t="str">
        <f>IFERROR(__xludf.DUMMYFUNCTION("""COMPUTED_VALUE"""),"5047807_1286236")</f>
        <v>5047807_1286236</v>
      </c>
      <c r="B25" s="43" t="str">
        <f>IFERROR(__xludf.DUMMYFUNCTION("""COMPUTED_VALUE"""),"Lynda Ben Hadj Kacem")</f>
        <v>Lynda Ben Hadj Kacem</v>
      </c>
      <c r="C25" s="43" t="str">
        <f>IFERROR(__xludf.DUMMYFUNCTION("""COMPUTED_VALUE"""),"finished")</f>
        <v>finished</v>
      </c>
      <c r="D25" s="43" t="str">
        <f>IFERROR(__xludf.DUMMYFUNCTION("""COMPUTED_VALUE"""),"No")</f>
        <v>No</v>
      </c>
      <c r="E25" s="43" t="str">
        <f>IFERROR(__xludf.DUMMYFUNCTION("""COMPUTED_VALUE"""),"p_d233f2a619bc84734cdb3482a425d028c82827e1@inbound.aiesec.org")</f>
        <v>p_d233f2a619bc84734cdb3482a425d028c82827e1@inbound.aiesec.org</v>
      </c>
      <c r="F25" s="43"/>
      <c r="G25" s="43" t="str">
        <f>IFERROR(__xludf.DUMMYFUNCTION("""COMPUTED_VALUE"""),"Tunisia")</f>
        <v>Tunisia</v>
      </c>
      <c r="H25" s="43" t="str">
        <f>IFERROR(__xludf.DUMMYFUNCTION("""COMPUTED_VALUE"""),"BARDO")</f>
        <v>BARDO</v>
      </c>
      <c r="I25" s="43" t="str">
        <f>IFERROR(__xludf.DUMMYFUNCTION("""COMPUTED_VALUE"""),"Turkey")</f>
        <v>Turkey</v>
      </c>
      <c r="J25" s="43" t="str">
        <f>IFERROR(__xludf.DUMMYFUNCTION("""COMPUTED_VALUE"""),"ISPARTA")</f>
        <v>ISPARTA</v>
      </c>
      <c r="K25" s="44" t="str">
        <f>IFERROR(__xludf.DUMMYFUNCTION("""COMPUTED_VALUE"""),"https://expa.aiesec.org/opportunities/1286236")</f>
        <v>https://expa.aiesec.org/opportunities/1286236</v>
      </c>
      <c r="L25" s="43" t="str">
        <f>IFERROR(__xludf.DUMMYFUNCTION("""COMPUTED_VALUE"""),"GV")</f>
        <v>GV</v>
      </c>
      <c r="M25" s="43" t="str">
        <f>IFERROR(__xludf.DUMMYFUNCTION("""COMPUTED_VALUE"""),"short")</f>
        <v>short</v>
      </c>
      <c r="N25" s="45">
        <f>IFERROR(__xludf.DUMMYFUNCTION("""COMPUTED_VALUE"""),44754.0)</f>
        <v>44754</v>
      </c>
      <c r="O25" s="45">
        <f>IFERROR(__xludf.DUMMYFUNCTION("""COMPUTED_VALUE"""),44774.0)</f>
        <v>44774</v>
      </c>
      <c r="P25" s="45">
        <f>IFERROR(__xludf.DUMMYFUNCTION("""COMPUTED_VALUE"""),44816.0)</f>
        <v>44816</v>
      </c>
      <c r="Q25" s="45">
        <f>IFERROR(__xludf.DUMMYFUNCTION("""COMPUTED_VALUE"""),44804.0)</f>
        <v>44804</v>
      </c>
      <c r="R25" s="45">
        <f>IFERROR(__xludf.DUMMYFUNCTION("""COMPUTED_VALUE"""),44816.0)</f>
        <v>44816</v>
      </c>
      <c r="S25" s="43"/>
      <c r="T25" s="43"/>
      <c r="U25" s="43" t="str">
        <f>IFERROR(__xludf.DUMMYFUNCTION("""COMPUTED_VALUE"""),"Global Classroom")</f>
        <v>Global Classroom</v>
      </c>
      <c r="V25" s="43" t="str">
        <f>IFERROR(__xludf.DUMMYFUNCTION("""COMPUTED_VALUE"""),"-")</f>
        <v>-</v>
      </c>
      <c r="W25" s="43" t="str">
        <f>IFERROR(__xludf.DUMMYFUNCTION("""COMPUTED_VALUE"""),"2022-04-28T11:02:58Z")</f>
        <v>2022-04-28T11:02:58Z</v>
      </c>
      <c r="X25" s="43"/>
      <c r="Y25" s="43"/>
      <c r="Z25" s="43"/>
    </row>
    <row r="26" hidden="1">
      <c r="A26" s="43" t="str">
        <f>IFERROR(__xludf.DUMMYFUNCTION("""COMPUTED_VALUE"""),"5057100_1287251")</f>
        <v>5057100_1287251</v>
      </c>
      <c r="B26" s="43" t="str">
        <f>IFERROR(__xludf.DUMMYFUNCTION("""COMPUTED_VALUE"""),"Amila Purić")</f>
        <v>Amila Purić</v>
      </c>
      <c r="C26" s="43" t="str">
        <f>IFERROR(__xludf.DUMMYFUNCTION("""COMPUTED_VALUE"""),"finished")</f>
        <v>finished</v>
      </c>
      <c r="D26" s="43" t="str">
        <f>IFERROR(__xludf.DUMMYFUNCTION("""COMPUTED_VALUE"""),"No")</f>
        <v>No</v>
      </c>
      <c r="E26" s="43" t="str">
        <f>IFERROR(__xludf.DUMMYFUNCTION("""COMPUTED_VALUE"""),"p_ed2ea44a2da65e53e64e2e3868677163cac56f92@inbound.aiesec.org")</f>
        <v>p_ed2ea44a2da65e53e64e2e3868677163cac56f92@inbound.aiesec.org</v>
      </c>
      <c r="F26" s="43">
        <f>IFERROR(__xludf.DUMMYFUNCTION("""COMPUTED_VALUE"""),6.44366054E8)</f>
        <v>644366054</v>
      </c>
      <c r="G26" s="43" t="str">
        <f>IFERROR(__xludf.DUMMYFUNCTION("""COMPUTED_VALUE"""),"Bosnia and Herzegovina")</f>
        <v>Bosnia and Herzegovina</v>
      </c>
      <c r="H26" s="43" t="str">
        <f>IFERROR(__xludf.DUMMYFUNCTION("""COMPUTED_VALUE"""),"SARAJEVO")</f>
        <v>SARAJEVO</v>
      </c>
      <c r="I26" s="43" t="str">
        <f>IFERROR(__xludf.DUMMYFUNCTION("""COMPUTED_VALUE"""),"Turkey")</f>
        <v>Turkey</v>
      </c>
      <c r="J26" s="43" t="str">
        <f>IFERROR(__xludf.DUMMYFUNCTION("""COMPUTED_VALUE"""),"KOCAELI")</f>
        <v>KOCAELI</v>
      </c>
      <c r="K26" s="44" t="str">
        <f>IFERROR(__xludf.DUMMYFUNCTION("""COMPUTED_VALUE"""),"https://expa.aiesec.org/opportunities/1287251")</f>
        <v>https://expa.aiesec.org/opportunities/1287251</v>
      </c>
      <c r="L26" s="43" t="str">
        <f>IFERROR(__xludf.DUMMYFUNCTION("""COMPUTED_VALUE"""),"GV")</f>
        <v>GV</v>
      </c>
      <c r="M26" s="43" t="str">
        <f>IFERROR(__xludf.DUMMYFUNCTION("""COMPUTED_VALUE"""),"short")</f>
        <v>short</v>
      </c>
      <c r="N26" s="45">
        <f>IFERROR(__xludf.DUMMYFUNCTION("""COMPUTED_VALUE"""),44754.0)</f>
        <v>44754</v>
      </c>
      <c r="O26" s="45">
        <f>IFERROR(__xludf.DUMMYFUNCTION("""COMPUTED_VALUE"""),44802.0)</f>
        <v>44802</v>
      </c>
      <c r="P26" s="45">
        <f>IFERROR(__xludf.DUMMYFUNCTION("""COMPUTED_VALUE"""),44844.0)</f>
        <v>44844</v>
      </c>
      <c r="Q26" s="45">
        <f>IFERROR(__xludf.DUMMYFUNCTION("""COMPUTED_VALUE"""),44804.0)</f>
        <v>44804</v>
      </c>
      <c r="R26" s="45">
        <f>IFERROR(__xludf.DUMMYFUNCTION("""COMPUTED_VALUE"""),44842.0)</f>
        <v>44842</v>
      </c>
      <c r="S26" s="43"/>
      <c r="T26" s="43"/>
      <c r="U26" s="43" t="str">
        <f>IFERROR(__xludf.DUMMYFUNCTION("""COMPUTED_VALUE"""),"Heartbeat")</f>
        <v>Heartbeat</v>
      </c>
      <c r="V26" s="43" t="str">
        <f>IFERROR(__xludf.DUMMYFUNCTION("""COMPUTED_VALUE"""),"Sarajevo")</f>
        <v>Sarajevo</v>
      </c>
      <c r="W26" s="43" t="str">
        <f>IFERROR(__xludf.DUMMYFUNCTION("""COMPUTED_VALUE"""),"2022-05-14T21:43:33Z")</f>
        <v>2022-05-14T21:43:33Z</v>
      </c>
      <c r="X26" s="43"/>
      <c r="Y26" s="43"/>
      <c r="Z26" s="43"/>
    </row>
    <row r="27" hidden="1">
      <c r="A27" s="43" t="str">
        <f>IFERROR(__xludf.DUMMYFUNCTION("""COMPUTED_VALUE"""),"3114061_1272564")</f>
        <v>3114061_1272564</v>
      </c>
      <c r="B27" s="43" t="str">
        <f>IFERROR(__xludf.DUMMYFUNCTION("""COMPUTED_VALUE"""),"Isuru Dissanayake")</f>
        <v>Isuru Dissanayake</v>
      </c>
      <c r="C27" s="43" t="str">
        <f>IFERROR(__xludf.DUMMYFUNCTION("""COMPUTED_VALUE"""),"completed")</f>
        <v>completed</v>
      </c>
      <c r="D27" s="43" t="str">
        <f>IFERROR(__xludf.DUMMYFUNCTION("""COMPUTED_VALUE"""),"No")</f>
        <v>No</v>
      </c>
      <c r="E27" s="43" t="str">
        <f>IFERROR(__xludf.DUMMYFUNCTION("""COMPUTED_VALUE"""),"p_b0fbab2fd83d65a1baec5a37df9c2213bdcab3a3@inbound.aiesec.org")</f>
        <v>p_b0fbab2fd83d65a1baec5a37df9c2213bdcab3a3@inbound.aiesec.org</v>
      </c>
      <c r="F27" s="43">
        <f>IFERROR(__xludf.DUMMYFUNCTION("""COMPUTED_VALUE"""),7.75538018E8)</f>
        <v>775538018</v>
      </c>
      <c r="G27" s="43" t="str">
        <f>IFERROR(__xludf.DUMMYFUNCTION("""COMPUTED_VALUE"""),"Sri Lanka")</f>
        <v>Sri Lanka</v>
      </c>
      <c r="H27" s="43" t="str">
        <f>IFERROR(__xludf.DUMMYFUNCTION("""COMPUTED_VALUE"""),"COLOMBO NORTH")</f>
        <v>COLOMBO NORTH</v>
      </c>
      <c r="I27" s="43" t="str">
        <f>IFERROR(__xludf.DUMMYFUNCTION("""COMPUTED_VALUE"""),"Turkey")</f>
        <v>Turkey</v>
      </c>
      <c r="J27" s="43" t="str">
        <f>IFERROR(__xludf.DUMMYFUNCTION("""COMPUTED_VALUE"""),"ISTANBUL")</f>
        <v>ISTANBUL</v>
      </c>
      <c r="K27" s="44" t="str">
        <f>IFERROR(__xludf.DUMMYFUNCTION("""COMPUTED_VALUE"""),"https://expa.aiesec.org/opportunities/1272564")</f>
        <v>https://expa.aiesec.org/opportunities/1272564</v>
      </c>
      <c r="L27" s="43" t="str">
        <f>IFERROR(__xludf.DUMMYFUNCTION("""COMPUTED_VALUE"""),"GV")</f>
        <v>GV</v>
      </c>
      <c r="M27" s="43" t="str">
        <f>IFERROR(__xludf.DUMMYFUNCTION("""COMPUTED_VALUE"""),"short")</f>
        <v>short</v>
      </c>
      <c r="N27" s="45">
        <f>IFERROR(__xludf.DUMMYFUNCTION("""COMPUTED_VALUE"""),44754.0)</f>
        <v>44754</v>
      </c>
      <c r="O27" s="45">
        <f>IFERROR(__xludf.DUMMYFUNCTION("""COMPUTED_VALUE"""),44794.0)</f>
        <v>44794</v>
      </c>
      <c r="P27" s="45">
        <f>IFERROR(__xludf.DUMMYFUNCTION("""COMPUTED_VALUE"""),44836.0)</f>
        <v>44836</v>
      </c>
      <c r="Q27" s="45">
        <f>IFERROR(__xludf.DUMMYFUNCTION("""COMPUTED_VALUE"""),44816.0)</f>
        <v>44816</v>
      </c>
      <c r="R27" s="45">
        <f>IFERROR(__xludf.DUMMYFUNCTION("""COMPUTED_VALUE"""),44855.0)</f>
        <v>44855</v>
      </c>
      <c r="S27" s="43"/>
      <c r="T27" s="43"/>
      <c r="U27" s="43" t="str">
        <f>IFERROR(__xludf.DUMMYFUNCTION("""COMPUTED_VALUE"""),"Global Classroom")</f>
        <v>Global Classroom</v>
      </c>
      <c r="V27" s="43" t="str">
        <f>IFERROR(__xludf.DUMMYFUNCTION("""COMPUTED_VALUE"""),"University of Kelaniya")</f>
        <v>University of Kelaniya</v>
      </c>
      <c r="W27" s="43" t="str">
        <f>IFERROR(__xludf.DUMMYFUNCTION("""COMPUTED_VALUE"""),"2019-02-25T11:23:43Z")</f>
        <v>2019-02-25T11:23:43Z</v>
      </c>
      <c r="X27" s="43"/>
      <c r="Y27" s="43"/>
      <c r="Z27" s="43"/>
    </row>
    <row r="28" hidden="1">
      <c r="A28" s="43" t="str">
        <f>IFERROR(__xludf.DUMMYFUNCTION("""COMPUTED_VALUE"""),"3828811_1287851")</f>
        <v>3828811_1287851</v>
      </c>
      <c r="B28" s="43" t="str">
        <f>IFERROR(__xludf.DUMMYFUNCTION("""COMPUTED_VALUE"""),"Mayssa Bazine")</f>
        <v>Mayssa Bazine</v>
      </c>
      <c r="C28" s="43" t="str">
        <f>IFERROR(__xludf.DUMMYFUNCTION("""COMPUTED_VALUE"""),"completed")</f>
        <v>completed</v>
      </c>
      <c r="D28" s="43" t="str">
        <f>IFERROR(__xludf.DUMMYFUNCTION("""COMPUTED_VALUE"""),"No")</f>
        <v>No</v>
      </c>
      <c r="E28" s="43" t="str">
        <f>IFERROR(__xludf.DUMMYFUNCTION("""COMPUTED_VALUE"""),"p_cb04b9c5388a01df42e28984172471ab75ce174f@inbound.aiesec.org")</f>
        <v>p_cb04b9c5388a01df42e28984172471ab75ce174f@inbound.aiesec.org</v>
      </c>
      <c r="F28" s="43">
        <f>IFERROR(__xludf.DUMMYFUNCTION("""COMPUTED_VALUE"""),9.0170702E7)</f>
        <v>90170702</v>
      </c>
      <c r="G28" s="43" t="str">
        <f>IFERROR(__xludf.DUMMYFUNCTION("""COMPUTED_VALUE"""),"Tunisia")</f>
        <v>Tunisia</v>
      </c>
      <c r="H28" s="43" t="str">
        <f>IFERROR(__xludf.DUMMYFUNCTION("""COMPUTED_VALUE"""),"UNIVERSITY")</f>
        <v>UNIVERSITY</v>
      </c>
      <c r="I28" s="43" t="str">
        <f>IFERROR(__xludf.DUMMYFUNCTION("""COMPUTED_VALUE"""),"Turkey")</f>
        <v>Turkey</v>
      </c>
      <c r="J28" s="43" t="str">
        <f>IFERROR(__xludf.DUMMYFUNCTION("""COMPUTED_VALUE"""),"KOCAELI")</f>
        <v>KOCAELI</v>
      </c>
      <c r="K28" s="44" t="str">
        <f>IFERROR(__xludf.DUMMYFUNCTION("""COMPUTED_VALUE"""),"https://expa.aiesec.org/opportunities/1287851")</f>
        <v>https://expa.aiesec.org/opportunities/1287851</v>
      </c>
      <c r="L28" s="43" t="str">
        <f>IFERROR(__xludf.DUMMYFUNCTION("""COMPUTED_VALUE"""),"GV")</f>
        <v>GV</v>
      </c>
      <c r="M28" s="43" t="str">
        <f>IFERROR(__xludf.DUMMYFUNCTION("""COMPUTED_VALUE"""),"short")</f>
        <v>short</v>
      </c>
      <c r="N28" s="45">
        <f>IFERROR(__xludf.DUMMYFUNCTION("""COMPUTED_VALUE"""),44755.0)</f>
        <v>44755</v>
      </c>
      <c r="O28" s="45">
        <f>IFERROR(__xludf.DUMMYFUNCTION("""COMPUTED_VALUE"""),44781.0)</f>
        <v>44781</v>
      </c>
      <c r="P28" s="45">
        <f>IFERROR(__xludf.DUMMYFUNCTION("""COMPUTED_VALUE"""),44823.0)</f>
        <v>44823</v>
      </c>
      <c r="Q28" s="45">
        <f>IFERROR(__xludf.DUMMYFUNCTION("""COMPUTED_VALUE"""),44781.0)</f>
        <v>44781</v>
      </c>
      <c r="R28" s="45">
        <f>IFERROR(__xludf.DUMMYFUNCTION("""COMPUTED_VALUE"""),44821.0)</f>
        <v>44821</v>
      </c>
      <c r="S28" s="43"/>
      <c r="T28" s="43"/>
      <c r="U28" s="43" t="str">
        <f>IFERROR(__xludf.DUMMYFUNCTION("""COMPUTED_VALUE"""),"Heartbeat")</f>
        <v>Heartbeat</v>
      </c>
      <c r="V28" s="43" t="str">
        <f>IFERROR(__xludf.DUMMYFUNCTION("""COMPUTED_VALUE"""),"Central Santé ")</f>
        <v>Central Santé </v>
      </c>
      <c r="W28" s="43" t="str">
        <f>IFERROR(__xludf.DUMMYFUNCTION("""COMPUTED_VALUE"""),"2019-09-12T19:28:20Z")</f>
        <v>2019-09-12T19:28:20Z</v>
      </c>
      <c r="X28" s="43"/>
      <c r="Y28" s="43"/>
      <c r="Z28" s="43"/>
    </row>
    <row r="29" hidden="1">
      <c r="A29" s="43" t="str">
        <f>IFERROR(__xludf.DUMMYFUNCTION("""COMPUTED_VALUE"""),"2277166_1287097")</f>
        <v>2277166_1287097</v>
      </c>
      <c r="B29" s="43" t="str">
        <f>IFERROR(__xludf.DUMMYFUNCTION("""COMPUTED_VALUE"""),"Franyili Payano valdez")</f>
        <v>Franyili Payano valdez</v>
      </c>
      <c r="C29" s="43" t="str">
        <f>IFERROR(__xludf.DUMMYFUNCTION("""COMPUTED_VALUE"""),"finished")</f>
        <v>finished</v>
      </c>
      <c r="D29" s="43" t="str">
        <f>IFERROR(__xludf.DUMMYFUNCTION("""COMPUTED_VALUE"""),"No")</f>
        <v>No</v>
      </c>
      <c r="E29" s="43" t="str">
        <f>IFERROR(__xludf.DUMMYFUNCTION("""COMPUTED_VALUE"""),"p_13abb2f2507126bf658156247fa68aa3d1576764@inbound.aiesec.org")</f>
        <v>p_13abb2f2507126bf658156247fa68aa3d1576764@inbound.aiesec.org</v>
      </c>
      <c r="F29" s="43">
        <f>IFERROR(__xludf.DUMMYFUNCTION("""COMPUTED_VALUE"""),4030141.0)</f>
        <v>4030141</v>
      </c>
      <c r="G29" s="43" t="str">
        <f>IFERROR(__xludf.DUMMYFUNCTION("""COMPUTED_VALUE"""),"Dominican Republic")</f>
        <v>Dominican Republic</v>
      </c>
      <c r="H29" s="43" t="str">
        <f>IFERROR(__xludf.DUMMYFUNCTION("""COMPUTED_VALUE"""),"PUCMM")</f>
        <v>PUCMM</v>
      </c>
      <c r="I29" s="43" t="str">
        <f>IFERROR(__xludf.DUMMYFUNCTION("""COMPUTED_VALUE"""),"Turkey")</f>
        <v>Turkey</v>
      </c>
      <c r="J29" s="43" t="str">
        <f>IFERROR(__xludf.DUMMYFUNCTION("""COMPUTED_VALUE"""),"ESKISEHIR")</f>
        <v>ESKISEHIR</v>
      </c>
      <c r="K29" s="44" t="str">
        <f>IFERROR(__xludf.DUMMYFUNCTION("""COMPUTED_VALUE"""),"https://expa.aiesec.org/opportunities/1287097")</f>
        <v>https://expa.aiesec.org/opportunities/1287097</v>
      </c>
      <c r="L29" s="43" t="str">
        <f>IFERROR(__xludf.DUMMYFUNCTION("""COMPUTED_VALUE"""),"GV")</f>
        <v>GV</v>
      </c>
      <c r="M29" s="43" t="str">
        <f>IFERROR(__xludf.DUMMYFUNCTION("""COMPUTED_VALUE"""),"short")</f>
        <v>short</v>
      </c>
      <c r="N29" s="45">
        <f>IFERROR(__xludf.DUMMYFUNCTION("""COMPUTED_VALUE"""),44755.0)</f>
        <v>44755</v>
      </c>
      <c r="O29" s="45">
        <f>IFERROR(__xludf.DUMMYFUNCTION("""COMPUTED_VALUE"""),44837.0)</f>
        <v>44837</v>
      </c>
      <c r="P29" s="45">
        <f>IFERROR(__xludf.DUMMYFUNCTION("""COMPUTED_VALUE"""),44879.0)</f>
        <v>44879</v>
      </c>
      <c r="Q29" s="45">
        <f>IFERROR(__xludf.DUMMYFUNCTION("""COMPUTED_VALUE"""),44853.0)</f>
        <v>44853</v>
      </c>
      <c r="R29" s="45">
        <f>IFERROR(__xludf.DUMMYFUNCTION("""COMPUTED_VALUE"""),44879.0)</f>
        <v>44879</v>
      </c>
      <c r="S29" s="43"/>
      <c r="T29" s="43"/>
      <c r="U29" s="43" t="str">
        <f>IFERROR(__xludf.DUMMYFUNCTION("""COMPUTED_VALUE"""),"Global Classroom")</f>
        <v>Global Classroom</v>
      </c>
      <c r="V29" s="43" t="str">
        <f>IFERROR(__xludf.DUMMYFUNCTION("""COMPUTED_VALUE"""),"Universidad Tecnológica de Santiago (UTESA)")</f>
        <v>Universidad Tecnológica de Santiago (UTESA)</v>
      </c>
      <c r="W29" s="43" t="str">
        <f>IFERROR(__xludf.DUMMYFUNCTION("""COMPUTED_VALUE"""),"2018-05-04T00:02:48Z")</f>
        <v>2018-05-04T00:02:48Z</v>
      </c>
      <c r="X29" s="43"/>
      <c r="Y29" s="43"/>
      <c r="Z29" s="43"/>
    </row>
    <row r="30" hidden="1">
      <c r="A30" s="43" t="str">
        <f>IFERROR(__xludf.DUMMYFUNCTION("""COMPUTED_VALUE"""),"4758512_1287488")</f>
        <v>4758512_1287488</v>
      </c>
      <c r="B30" s="43" t="str">
        <f>IFERROR(__xludf.DUMMYFUNCTION("""COMPUTED_VALUE"""),"Adolfo Isaac Segovia Poncelis")</f>
        <v>Adolfo Isaac Segovia Poncelis</v>
      </c>
      <c r="C30" s="43" t="str">
        <f>IFERROR(__xludf.DUMMYFUNCTION("""COMPUTED_VALUE"""),"completed")</f>
        <v>completed</v>
      </c>
      <c r="D30" s="43" t="str">
        <f>IFERROR(__xludf.DUMMYFUNCTION("""COMPUTED_VALUE"""),"No")</f>
        <v>No</v>
      </c>
      <c r="E30" s="43" t="str">
        <f>IFERROR(__xludf.DUMMYFUNCTION("""COMPUTED_VALUE"""),"p_548f5c9bf5fb68df3e75629e66a0710746621a59@inbound.aiesec.org")</f>
        <v>p_548f5c9bf5fb68df3e75629e66a0710746621a59@inbound.aiesec.org</v>
      </c>
      <c r="F30" s="43">
        <f>IFERROR(__xludf.DUMMYFUNCTION("""COMPUTED_VALUE"""),5.525061925E9)</f>
        <v>5525061925</v>
      </c>
      <c r="G30" s="43" t="str">
        <f>IFERROR(__xludf.DUMMYFUNCTION("""COMPUTED_VALUE"""),"Mexico")</f>
        <v>Mexico</v>
      </c>
      <c r="H30" s="43" t="str">
        <f>IFERROR(__xludf.DUMMYFUNCTION("""COMPUTED_VALUE"""),"UNAM")</f>
        <v>UNAM</v>
      </c>
      <c r="I30" s="43" t="str">
        <f>IFERROR(__xludf.DUMMYFUNCTION("""COMPUTED_VALUE"""),"Turkey")</f>
        <v>Turkey</v>
      </c>
      <c r="J30" s="43" t="str">
        <f>IFERROR(__xludf.DUMMYFUNCTION("""COMPUTED_VALUE"""),"ISTANBUL ASIA")</f>
        <v>ISTANBUL ASIA</v>
      </c>
      <c r="K30" s="44" t="str">
        <f>IFERROR(__xludf.DUMMYFUNCTION("""COMPUTED_VALUE"""),"https://expa.aiesec.org/opportunities/1287488")</f>
        <v>https://expa.aiesec.org/opportunities/1287488</v>
      </c>
      <c r="L30" s="43" t="str">
        <f>IFERROR(__xludf.DUMMYFUNCTION("""COMPUTED_VALUE"""),"GV")</f>
        <v>GV</v>
      </c>
      <c r="M30" s="43" t="str">
        <f>IFERROR(__xludf.DUMMYFUNCTION("""COMPUTED_VALUE"""),"short")</f>
        <v>short</v>
      </c>
      <c r="N30" s="45">
        <f>IFERROR(__xludf.DUMMYFUNCTION("""COMPUTED_VALUE"""),44756.0)</f>
        <v>44756</v>
      </c>
      <c r="O30" s="45">
        <f>IFERROR(__xludf.DUMMYFUNCTION("""COMPUTED_VALUE"""),44941.0)</f>
        <v>44941</v>
      </c>
      <c r="P30" s="45">
        <f>IFERROR(__xludf.DUMMYFUNCTION("""COMPUTED_VALUE"""),44983.0)</f>
        <v>44983</v>
      </c>
      <c r="Q30" s="45">
        <f>IFERROR(__xludf.DUMMYFUNCTION("""COMPUTED_VALUE"""),44969.0)</f>
        <v>44969</v>
      </c>
      <c r="R30" s="45">
        <f>IFERROR(__xludf.DUMMYFUNCTION("""COMPUTED_VALUE"""),45009.0)</f>
        <v>45009</v>
      </c>
      <c r="S30" s="43"/>
      <c r="T30" s="43"/>
      <c r="U30" s="43" t="str">
        <f>IFERROR(__xludf.DUMMYFUNCTION("""COMPUTED_VALUE"""),"Global Classroom")</f>
        <v>Global Classroom</v>
      </c>
      <c r="V30" s="43" t="str">
        <f>IFERROR(__xludf.DUMMYFUNCTION("""COMPUTED_VALUE"""),"-")</f>
        <v>-</v>
      </c>
      <c r="W30" s="43" t="str">
        <f>IFERROR(__xludf.DUMMYFUNCTION("""COMPUTED_VALUE"""),"2021-10-05T15:38:02Z")</f>
        <v>2021-10-05T15:38:02Z</v>
      </c>
      <c r="X30" s="43"/>
      <c r="Y30" s="43"/>
      <c r="Z30" s="43"/>
    </row>
    <row r="31" hidden="1">
      <c r="A31" s="43" t="str">
        <f>IFERROR(__xludf.DUMMYFUNCTION("""COMPUTED_VALUE"""),"3248900_1288245")</f>
        <v>3248900_1288245</v>
      </c>
      <c r="B31" s="43" t="str">
        <f>IFERROR(__xludf.DUMMYFUNCTION("""COMPUTED_VALUE"""),"Asmaa Hosni")</f>
        <v>Asmaa Hosni</v>
      </c>
      <c r="C31" s="43" t="str">
        <f>IFERROR(__xludf.DUMMYFUNCTION("""COMPUTED_VALUE"""),"finished")</f>
        <v>finished</v>
      </c>
      <c r="D31" s="43" t="str">
        <f>IFERROR(__xludf.DUMMYFUNCTION("""COMPUTED_VALUE"""),"No")</f>
        <v>No</v>
      </c>
      <c r="E31" s="43" t="str">
        <f>IFERROR(__xludf.DUMMYFUNCTION("""COMPUTED_VALUE"""),"p_763ae9bdeba195bdd5da37ea9f5b1598aeb12929@inbound.aiesec.org")</f>
        <v>p_763ae9bdeba195bdd5da37ea9f5b1598aeb12929@inbound.aiesec.org</v>
      </c>
      <c r="F31" s="43"/>
      <c r="G31" s="43" t="str">
        <f>IFERROR(__xludf.DUMMYFUNCTION("""COMPUTED_VALUE"""),"Egypt")</f>
        <v>Egypt</v>
      </c>
      <c r="H31" s="43" t="str">
        <f>IFERROR(__xludf.DUMMYFUNCTION("""COMPUTED_VALUE"""),"Zagazig")</f>
        <v>Zagazig</v>
      </c>
      <c r="I31" s="43" t="str">
        <f>IFERROR(__xludf.DUMMYFUNCTION("""COMPUTED_VALUE"""),"Turkey")</f>
        <v>Turkey</v>
      </c>
      <c r="J31" s="43" t="str">
        <f>IFERROR(__xludf.DUMMYFUNCTION("""COMPUTED_VALUE"""),"İZMİR")</f>
        <v>İZMİR</v>
      </c>
      <c r="K31" s="44" t="str">
        <f>IFERROR(__xludf.DUMMYFUNCTION("""COMPUTED_VALUE"""),"https://expa.aiesec.org/opportunities/1288245")</f>
        <v>https://expa.aiesec.org/opportunities/1288245</v>
      </c>
      <c r="L31" s="43" t="str">
        <f>IFERROR(__xludf.DUMMYFUNCTION("""COMPUTED_VALUE"""),"GV")</f>
        <v>GV</v>
      </c>
      <c r="M31" s="43" t="str">
        <f>IFERROR(__xludf.DUMMYFUNCTION("""COMPUTED_VALUE"""),"short")</f>
        <v>short</v>
      </c>
      <c r="N31" s="45">
        <f>IFERROR(__xludf.DUMMYFUNCTION("""COMPUTED_VALUE"""),44756.0)</f>
        <v>44756</v>
      </c>
      <c r="O31" s="45">
        <f>IFERROR(__xludf.DUMMYFUNCTION("""COMPUTED_VALUE"""),44787.0)</f>
        <v>44787</v>
      </c>
      <c r="P31" s="45">
        <f>IFERROR(__xludf.DUMMYFUNCTION("""COMPUTED_VALUE"""),44829.0)</f>
        <v>44829</v>
      </c>
      <c r="Q31" s="45">
        <f>IFERROR(__xludf.DUMMYFUNCTION("""COMPUTED_VALUE"""),44790.0)</f>
        <v>44790</v>
      </c>
      <c r="R31" s="45">
        <f>IFERROR(__xludf.DUMMYFUNCTION("""COMPUTED_VALUE"""),44829.0)</f>
        <v>44829</v>
      </c>
      <c r="S31" s="43"/>
      <c r="T31" s="43"/>
      <c r="U31" s="43" t="str">
        <f>IFERROR(__xludf.DUMMYFUNCTION("""COMPUTED_VALUE"""),"Global Classroom")</f>
        <v>Global Classroom</v>
      </c>
      <c r="V31" s="43" t="str">
        <f>IFERROR(__xludf.DUMMYFUNCTION("""COMPUTED_VALUE"""),"-")</f>
        <v>-</v>
      </c>
      <c r="W31" s="43" t="str">
        <f>IFERROR(__xludf.DUMMYFUNCTION("""COMPUTED_VALUE"""),"2019-03-21T10:34:50Z")</f>
        <v>2019-03-21T10:34:50Z</v>
      </c>
      <c r="X31" s="43"/>
      <c r="Y31" s="43"/>
      <c r="Z31" s="43"/>
    </row>
    <row r="32" hidden="1">
      <c r="A32" s="43" t="str">
        <f>IFERROR(__xludf.DUMMYFUNCTION("""COMPUTED_VALUE"""),"5068182_1287226")</f>
        <v>5068182_1287226</v>
      </c>
      <c r="B32" s="43" t="str">
        <f>IFERROR(__xludf.DUMMYFUNCTION("""COMPUTED_VALUE"""),"Anushe Khan")</f>
        <v>Anushe Khan</v>
      </c>
      <c r="C32" s="43" t="str">
        <f>IFERROR(__xludf.DUMMYFUNCTION("""COMPUTED_VALUE"""),"finished")</f>
        <v>finished</v>
      </c>
      <c r="D32" s="43" t="str">
        <f>IFERROR(__xludf.DUMMYFUNCTION("""COMPUTED_VALUE"""),"No")</f>
        <v>No</v>
      </c>
      <c r="E32" s="43" t="str">
        <f>IFERROR(__xludf.DUMMYFUNCTION("""COMPUTED_VALUE"""),"p_c605bc9a244357c516a97c2102713a04de3f1160@inbound.aiesec.org")</f>
        <v>p_c605bc9a244357c516a97c2102713a04de3f1160@inbound.aiesec.org</v>
      </c>
      <c r="F32" s="43">
        <f>IFERROR(__xludf.DUMMYFUNCTION("""COMPUTED_VALUE"""),3.238474447E9)</f>
        <v>3238474447</v>
      </c>
      <c r="G32" s="43" t="str">
        <f>IFERROR(__xludf.DUMMYFUNCTION("""COMPUTED_VALUE"""),"Pakistan")</f>
        <v>Pakistan</v>
      </c>
      <c r="H32" s="43" t="str">
        <f>IFERROR(__xludf.DUMMYFUNCTION("""COMPUTED_VALUE"""),"LUMS")</f>
        <v>LUMS</v>
      </c>
      <c r="I32" s="43" t="str">
        <f>IFERROR(__xludf.DUMMYFUNCTION("""COMPUTED_VALUE"""),"Turkey")</f>
        <v>Turkey</v>
      </c>
      <c r="J32" s="43" t="str">
        <f>IFERROR(__xludf.DUMMYFUNCTION("""COMPUTED_VALUE"""),"ISTANBUL ASIA")</f>
        <v>ISTANBUL ASIA</v>
      </c>
      <c r="K32" s="44" t="str">
        <f>IFERROR(__xludf.DUMMYFUNCTION("""COMPUTED_VALUE"""),"https://expa.aiesec.org/opportunities/1287226")</f>
        <v>https://expa.aiesec.org/opportunities/1287226</v>
      </c>
      <c r="L32" s="43" t="str">
        <f>IFERROR(__xludf.DUMMYFUNCTION("""COMPUTED_VALUE"""),"GV")</f>
        <v>GV</v>
      </c>
      <c r="M32" s="43" t="str">
        <f>IFERROR(__xludf.DUMMYFUNCTION("""COMPUTED_VALUE"""),"short")</f>
        <v>short</v>
      </c>
      <c r="N32" s="45">
        <f>IFERROR(__xludf.DUMMYFUNCTION("""COMPUTED_VALUE"""),44756.0)</f>
        <v>44756</v>
      </c>
      <c r="O32" s="45">
        <f>IFERROR(__xludf.DUMMYFUNCTION("""COMPUTED_VALUE"""),44767.0)</f>
        <v>44767</v>
      </c>
      <c r="P32" s="45">
        <f>IFERROR(__xludf.DUMMYFUNCTION("""COMPUTED_VALUE"""),44809.0)</f>
        <v>44809</v>
      </c>
      <c r="Q32" s="45">
        <f>IFERROR(__xludf.DUMMYFUNCTION("""COMPUTED_VALUE"""),44769.0)</f>
        <v>44769</v>
      </c>
      <c r="R32" s="45">
        <f>IFERROR(__xludf.DUMMYFUNCTION("""COMPUTED_VALUE"""),44809.0)</f>
        <v>44809</v>
      </c>
      <c r="S32" s="43"/>
      <c r="T32" s="43"/>
      <c r="U32" s="43" t="str">
        <f>IFERROR(__xludf.DUMMYFUNCTION("""COMPUTED_VALUE"""),"Global Classroom")</f>
        <v>Global Classroom</v>
      </c>
      <c r="V32" s="43" t="str">
        <f>IFERROR(__xludf.DUMMYFUNCTION("""COMPUTED_VALUE"""),"Lahore - LUMS ")</f>
        <v>Lahore - LUMS </v>
      </c>
      <c r="W32" s="43" t="str">
        <f>IFERROR(__xludf.DUMMYFUNCTION("""COMPUTED_VALUE"""),"2022-06-03T16:23:09Z")</f>
        <v>2022-06-03T16:23:09Z</v>
      </c>
      <c r="X32" s="43"/>
      <c r="Y32" s="43"/>
      <c r="Z32" s="43"/>
    </row>
    <row r="33" hidden="1">
      <c r="A33" s="43" t="str">
        <f>IFERROR(__xludf.DUMMYFUNCTION("""COMPUTED_VALUE"""),"4601157_1287662")</f>
        <v>4601157_1287662</v>
      </c>
      <c r="B33" s="43" t="str">
        <f>IFERROR(__xludf.DUMMYFUNCTION("""COMPUTED_VALUE"""),"Yomna Emad Abdalla Mohamed")</f>
        <v>Yomna Emad Abdalla Mohamed</v>
      </c>
      <c r="C33" s="43" t="str">
        <f>IFERROR(__xludf.DUMMYFUNCTION("""COMPUTED_VALUE"""),"finished")</f>
        <v>finished</v>
      </c>
      <c r="D33" s="43" t="str">
        <f>IFERROR(__xludf.DUMMYFUNCTION("""COMPUTED_VALUE"""),"No")</f>
        <v>No</v>
      </c>
      <c r="E33" s="43" t="str">
        <f>IFERROR(__xludf.DUMMYFUNCTION("""COMPUTED_VALUE"""),"p_2426436311664fbfe00bb636ba401846feb15d70@inbound.aiesec.org")</f>
        <v>p_2426436311664fbfe00bb636ba401846feb15d70@inbound.aiesec.org</v>
      </c>
      <c r="F33" s="43">
        <f>IFERROR(__xludf.DUMMYFUNCTION("""COMPUTED_VALUE"""),1.021244268E9)</f>
        <v>1021244268</v>
      </c>
      <c r="G33" s="43" t="str">
        <f>IFERROR(__xludf.DUMMYFUNCTION("""COMPUTED_VALUE"""),"Egypt")</f>
        <v>Egypt</v>
      </c>
      <c r="H33" s="43" t="str">
        <f>IFERROR(__xludf.DUMMYFUNCTION("""COMPUTED_VALUE"""),"Zagazig")</f>
        <v>Zagazig</v>
      </c>
      <c r="I33" s="43" t="str">
        <f>IFERROR(__xludf.DUMMYFUNCTION("""COMPUTED_VALUE"""),"Turkey")</f>
        <v>Turkey</v>
      </c>
      <c r="J33" s="43" t="str">
        <f>IFERROR(__xludf.DUMMYFUNCTION("""COMPUTED_VALUE"""),"İZMİR")</f>
        <v>İZMİR</v>
      </c>
      <c r="K33" s="44" t="str">
        <f>IFERROR(__xludf.DUMMYFUNCTION("""COMPUTED_VALUE"""),"https://expa.aiesec.org/opportunities/1287662")</f>
        <v>https://expa.aiesec.org/opportunities/1287662</v>
      </c>
      <c r="L33" s="43" t="str">
        <f>IFERROR(__xludf.DUMMYFUNCTION("""COMPUTED_VALUE"""),"GV")</f>
        <v>GV</v>
      </c>
      <c r="M33" s="43" t="str">
        <f>IFERROR(__xludf.DUMMYFUNCTION("""COMPUTED_VALUE"""),"short")</f>
        <v>short</v>
      </c>
      <c r="N33" s="45">
        <f>IFERROR(__xludf.DUMMYFUNCTION("""COMPUTED_VALUE"""),44757.0)</f>
        <v>44757</v>
      </c>
      <c r="O33" s="45">
        <f>IFERROR(__xludf.DUMMYFUNCTION("""COMPUTED_VALUE"""),44773.0)</f>
        <v>44773</v>
      </c>
      <c r="P33" s="45">
        <f>IFERROR(__xludf.DUMMYFUNCTION("""COMPUTED_VALUE"""),44815.0)</f>
        <v>44815</v>
      </c>
      <c r="Q33" s="45">
        <f>IFERROR(__xludf.DUMMYFUNCTION("""COMPUTED_VALUE"""),44796.0)</f>
        <v>44796</v>
      </c>
      <c r="R33" s="45">
        <f>IFERROR(__xludf.DUMMYFUNCTION("""COMPUTED_VALUE"""),44837.0)</f>
        <v>44837</v>
      </c>
      <c r="S33" s="43"/>
      <c r="T33" s="43"/>
      <c r="U33" s="43" t="str">
        <f>IFERROR(__xludf.DUMMYFUNCTION("""COMPUTED_VALUE"""),"Heartbeat")</f>
        <v>Heartbeat</v>
      </c>
      <c r="V33" s="43" t="str">
        <f>IFERROR(__xludf.DUMMYFUNCTION("""COMPUTED_VALUE"""),"Zagazig")</f>
        <v>Zagazig</v>
      </c>
      <c r="W33" s="43" t="str">
        <f>IFERROR(__xludf.DUMMYFUNCTION("""COMPUTED_VALUE"""),"2021-03-31T17:18:39Z")</f>
        <v>2021-03-31T17:18:39Z</v>
      </c>
      <c r="X33" s="43"/>
      <c r="Y33" s="43"/>
      <c r="Z33" s="43"/>
    </row>
    <row r="34" hidden="1">
      <c r="A34" s="43" t="str">
        <f>IFERROR(__xludf.DUMMYFUNCTION("""COMPUTED_VALUE"""),"5064175_1288257")</f>
        <v>5064175_1288257</v>
      </c>
      <c r="B34" s="43" t="str">
        <f>IFERROR(__xludf.DUMMYFUNCTION("""COMPUTED_VALUE"""),"Zainam Naushad")</f>
        <v>Zainam Naushad</v>
      </c>
      <c r="C34" s="43" t="str">
        <f>IFERROR(__xludf.DUMMYFUNCTION("""COMPUTED_VALUE"""),"completed")</f>
        <v>completed</v>
      </c>
      <c r="D34" s="43" t="str">
        <f>IFERROR(__xludf.DUMMYFUNCTION("""COMPUTED_VALUE"""),"No")</f>
        <v>No</v>
      </c>
      <c r="E34" s="43" t="str">
        <f>IFERROR(__xludf.DUMMYFUNCTION("""COMPUTED_VALUE"""),"p_01c0a314856acb32d76752389b46d698ee4b2fc0@inbound.aiesec.org")</f>
        <v>p_01c0a314856acb32d76752389b46d698ee4b2fc0@inbound.aiesec.org</v>
      </c>
      <c r="F34" s="43">
        <f>IFERROR(__xludf.DUMMYFUNCTION("""COMPUTED_VALUE"""),7.68896339E8)</f>
        <v>768896339</v>
      </c>
      <c r="G34" s="43" t="str">
        <f>IFERROR(__xludf.DUMMYFUNCTION("""COMPUTED_VALUE"""),"Sri Lanka")</f>
        <v>Sri Lanka</v>
      </c>
      <c r="H34" s="43" t="str">
        <f>IFERROR(__xludf.DUMMYFUNCTION("""COMPUTED_VALUE"""),"NSBM")</f>
        <v>NSBM</v>
      </c>
      <c r="I34" s="43" t="str">
        <f>IFERROR(__xludf.DUMMYFUNCTION("""COMPUTED_VALUE"""),"Turkey")</f>
        <v>Turkey</v>
      </c>
      <c r="J34" s="43" t="str">
        <f>IFERROR(__xludf.DUMMYFUNCTION("""COMPUTED_VALUE"""),"ISTANBUL ASIA")</f>
        <v>ISTANBUL ASIA</v>
      </c>
      <c r="K34" s="44" t="str">
        <f>IFERROR(__xludf.DUMMYFUNCTION("""COMPUTED_VALUE"""),"https://expa.aiesec.org/opportunities/1288257")</f>
        <v>https://expa.aiesec.org/opportunities/1288257</v>
      </c>
      <c r="L34" s="43" t="str">
        <f>IFERROR(__xludf.DUMMYFUNCTION("""COMPUTED_VALUE"""),"GV")</f>
        <v>GV</v>
      </c>
      <c r="M34" s="43" t="str">
        <f>IFERROR(__xludf.DUMMYFUNCTION("""COMPUTED_VALUE"""),"short")</f>
        <v>short</v>
      </c>
      <c r="N34" s="45">
        <f>IFERROR(__xludf.DUMMYFUNCTION("""COMPUTED_VALUE"""),44758.0)</f>
        <v>44758</v>
      </c>
      <c r="O34" s="45">
        <f>IFERROR(__xludf.DUMMYFUNCTION("""COMPUTED_VALUE"""),44809.0)</f>
        <v>44809</v>
      </c>
      <c r="P34" s="45">
        <f>IFERROR(__xludf.DUMMYFUNCTION("""COMPUTED_VALUE"""),44851.0)</f>
        <v>44851</v>
      </c>
      <c r="Q34" s="45">
        <f>IFERROR(__xludf.DUMMYFUNCTION("""COMPUTED_VALUE"""),44809.0)</f>
        <v>44809</v>
      </c>
      <c r="R34" s="45">
        <f>IFERROR(__xludf.DUMMYFUNCTION("""COMPUTED_VALUE"""),44851.0)</f>
        <v>44851</v>
      </c>
      <c r="S34" s="43"/>
      <c r="T34" s="43"/>
      <c r="U34" s="43" t="str">
        <f>IFERROR(__xludf.DUMMYFUNCTION("""COMPUTED_VALUE"""),"Global Classroom")</f>
        <v>Global Classroom</v>
      </c>
      <c r="V34" s="43" t="str">
        <f>IFERROR(__xludf.DUMMYFUNCTION("""COMPUTED_VALUE"""),"NSBM Green University")</f>
        <v>NSBM Green University</v>
      </c>
      <c r="W34" s="43" t="str">
        <f>IFERROR(__xludf.DUMMYFUNCTION("""COMPUTED_VALUE"""),"2022-05-26T12:32:42Z")</f>
        <v>2022-05-26T12:32:42Z</v>
      </c>
      <c r="X34" s="43"/>
      <c r="Y34" s="43"/>
      <c r="Z34" s="43"/>
    </row>
    <row r="35" hidden="1">
      <c r="A35" s="43" t="str">
        <f>IFERROR(__xludf.DUMMYFUNCTION("""COMPUTED_VALUE"""),"4847317_1288280")</f>
        <v>4847317_1288280</v>
      </c>
      <c r="B35" s="43" t="str">
        <f>IFERROR(__xludf.DUMMYFUNCTION("""COMPUTED_VALUE"""),"Rana Hussein")</f>
        <v>Rana Hussein</v>
      </c>
      <c r="C35" s="43" t="str">
        <f>IFERROR(__xludf.DUMMYFUNCTION("""COMPUTED_VALUE"""),"finished")</f>
        <v>finished</v>
      </c>
      <c r="D35" s="43" t="str">
        <f>IFERROR(__xludf.DUMMYFUNCTION("""COMPUTED_VALUE"""),"No")</f>
        <v>No</v>
      </c>
      <c r="E35" s="43" t="str">
        <f>IFERROR(__xludf.DUMMYFUNCTION("""COMPUTED_VALUE"""),"p_f4b6503c0a7882494767eba97656dbf2c383a04b@inbound.aiesec.org")</f>
        <v>p_f4b6503c0a7882494767eba97656dbf2c383a04b@inbound.aiesec.org</v>
      </c>
      <c r="F35" s="43">
        <f>IFERROR(__xludf.DUMMYFUNCTION("""COMPUTED_VALUE"""),1.022474601E9)</f>
        <v>1022474601</v>
      </c>
      <c r="G35" s="43" t="str">
        <f>IFERROR(__xludf.DUMMYFUNCTION("""COMPUTED_VALUE"""),"Egypt")</f>
        <v>Egypt</v>
      </c>
      <c r="H35" s="43" t="str">
        <f>IFERROR(__xludf.DUMMYFUNCTION("""COMPUTED_VALUE"""),"Luxor &amp; Aswan (Closed)")</f>
        <v>Luxor &amp; Aswan (Closed)</v>
      </c>
      <c r="I35" s="43" t="str">
        <f>IFERROR(__xludf.DUMMYFUNCTION("""COMPUTED_VALUE"""),"Turkey")</f>
        <v>Turkey</v>
      </c>
      <c r="J35" s="43" t="str">
        <f>IFERROR(__xludf.DUMMYFUNCTION("""COMPUTED_VALUE"""),"İZMİR")</f>
        <v>İZMİR</v>
      </c>
      <c r="K35" s="44" t="str">
        <f>IFERROR(__xludf.DUMMYFUNCTION("""COMPUTED_VALUE"""),"https://expa.aiesec.org/opportunities/1288280")</f>
        <v>https://expa.aiesec.org/opportunities/1288280</v>
      </c>
      <c r="L35" s="43" t="str">
        <f>IFERROR(__xludf.DUMMYFUNCTION("""COMPUTED_VALUE"""),"GV")</f>
        <v>GV</v>
      </c>
      <c r="M35" s="43" t="str">
        <f>IFERROR(__xludf.DUMMYFUNCTION("""COMPUTED_VALUE"""),"short")</f>
        <v>short</v>
      </c>
      <c r="N35" s="45">
        <f>IFERROR(__xludf.DUMMYFUNCTION("""COMPUTED_VALUE"""),44759.0)</f>
        <v>44759</v>
      </c>
      <c r="O35" s="45">
        <f>IFERROR(__xludf.DUMMYFUNCTION("""COMPUTED_VALUE"""),44794.0)</f>
        <v>44794</v>
      </c>
      <c r="P35" s="45">
        <f>IFERROR(__xludf.DUMMYFUNCTION("""COMPUTED_VALUE"""),44836.0)</f>
        <v>44836</v>
      </c>
      <c r="Q35" s="45">
        <f>IFERROR(__xludf.DUMMYFUNCTION("""COMPUTED_VALUE"""),44817.0)</f>
        <v>44817</v>
      </c>
      <c r="R35" s="45">
        <f>IFERROR(__xludf.DUMMYFUNCTION("""COMPUTED_VALUE"""),44862.0)</f>
        <v>44862</v>
      </c>
      <c r="S35" s="43"/>
      <c r="T35" s="43"/>
      <c r="U35" s="43" t="str">
        <f>IFERROR(__xludf.DUMMYFUNCTION("""COMPUTED_VALUE"""),"Global Classroom")</f>
        <v>Global Classroom</v>
      </c>
      <c r="V35" s="43" t="str">
        <f>IFERROR(__xludf.DUMMYFUNCTION("""COMPUTED_VALUE"""),"Aswan")</f>
        <v>Aswan</v>
      </c>
      <c r="W35" s="43" t="str">
        <f>IFERROR(__xludf.DUMMYFUNCTION("""COMPUTED_VALUE"""),"2021-12-18T03:28:18Z")</f>
        <v>2021-12-18T03:28:18Z</v>
      </c>
      <c r="X35" s="43"/>
      <c r="Y35" s="43"/>
      <c r="Z35" s="43"/>
    </row>
    <row r="36" hidden="1">
      <c r="A36" s="43" t="str">
        <f>IFERROR(__xludf.DUMMYFUNCTION("""COMPUTED_VALUE"""),"5077294_1272564")</f>
        <v>5077294_1272564</v>
      </c>
      <c r="B36" s="43" t="str">
        <f>IFERROR(__xludf.DUMMYFUNCTION("""COMPUTED_VALUE"""),"Arwa Ahmed")</f>
        <v>Arwa Ahmed</v>
      </c>
      <c r="C36" s="43" t="str">
        <f>IFERROR(__xludf.DUMMYFUNCTION("""COMPUTED_VALUE"""),"finished")</f>
        <v>finished</v>
      </c>
      <c r="D36" s="43" t="str">
        <f>IFERROR(__xludf.DUMMYFUNCTION("""COMPUTED_VALUE"""),"No")</f>
        <v>No</v>
      </c>
      <c r="E36" s="43" t="str">
        <f>IFERROR(__xludf.DUMMYFUNCTION("""COMPUTED_VALUE"""),"p_196ec912f3d9ed6e6944ae92a104ec24999248a2@inbound.aiesec.org")</f>
        <v>p_196ec912f3d9ed6e6944ae92a104ec24999248a2@inbound.aiesec.org</v>
      </c>
      <c r="F36" s="43">
        <f>IFERROR(__xludf.DUMMYFUNCTION("""COMPUTED_VALUE"""),1.124557987E9)</f>
        <v>1124557987</v>
      </c>
      <c r="G36" s="43" t="str">
        <f>IFERROR(__xludf.DUMMYFUNCTION("""COMPUTED_VALUE"""),"Egypt")</f>
        <v>Egypt</v>
      </c>
      <c r="H36" s="43" t="str">
        <f>IFERROR(__xludf.DUMMYFUNCTION("""COMPUTED_VALUE"""),"Luxor &amp; Aswan (Closed)")</f>
        <v>Luxor &amp; Aswan (Closed)</v>
      </c>
      <c r="I36" s="43" t="str">
        <f>IFERROR(__xludf.DUMMYFUNCTION("""COMPUTED_VALUE"""),"Turkey")</f>
        <v>Turkey</v>
      </c>
      <c r="J36" s="43" t="str">
        <f>IFERROR(__xludf.DUMMYFUNCTION("""COMPUTED_VALUE"""),"ISTANBUL")</f>
        <v>ISTANBUL</v>
      </c>
      <c r="K36" s="44" t="str">
        <f>IFERROR(__xludf.DUMMYFUNCTION("""COMPUTED_VALUE"""),"https://expa.aiesec.org/opportunities/1272564")</f>
        <v>https://expa.aiesec.org/opportunities/1272564</v>
      </c>
      <c r="L36" s="43" t="str">
        <f>IFERROR(__xludf.DUMMYFUNCTION("""COMPUTED_VALUE"""),"GV")</f>
        <v>GV</v>
      </c>
      <c r="M36" s="43" t="str">
        <f>IFERROR(__xludf.DUMMYFUNCTION("""COMPUTED_VALUE"""),"short")</f>
        <v>short</v>
      </c>
      <c r="N36" s="45">
        <f>IFERROR(__xludf.DUMMYFUNCTION("""COMPUTED_VALUE"""),44759.0)</f>
        <v>44759</v>
      </c>
      <c r="O36" s="45">
        <f>IFERROR(__xludf.DUMMYFUNCTION("""COMPUTED_VALUE"""),44794.0)</f>
        <v>44794</v>
      </c>
      <c r="P36" s="45">
        <f>IFERROR(__xludf.DUMMYFUNCTION("""COMPUTED_VALUE"""),44836.0)</f>
        <v>44836</v>
      </c>
      <c r="Q36" s="45">
        <f>IFERROR(__xludf.DUMMYFUNCTION("""COMPUTED_VALUE"""),44794.0)</f>
        <v>44794</v>
      </c>
      <c r="R36" s="45">
        <f>IFERROR(__xludf.DUMMYFUNCTION("""COMPUTED_VALUE"""),44837.0)</f>
        <v>44837</v>
      </c>
      <c r="S36" s="43"/>
      <c r="T36" s="43"/>
      <c r="U36" s="43" t="str">
        <f>IFERROR(__xludf.DUMMYFUNCTION("""COMPUTED_VALUE"""),"Global Classroom")</f>
        <v>Global Classroom</v>
      </c>
      <c r="V36" s="43" t="str">
        <f>IFERROR(__xludf.DUMMYFUNCTION("""COMPUTED_VALUE"""),"Sohag")</f>
        <v>Sohag</v>
      </c>
      <c r="W36" s="43" t="str">
        <f>IFERROR(__xludf.DUMMYFUNCTION("""COMPUTED_VALUE"""),"2022-06-27T21:49:23Z")</f>
        <v>2022-06-27T21:49:23Z</v>
      </c>
      <c r="X36" s="43"/>
      <c r="Y36" s="43"/>
      <c r="Z36" s="43"/>
    </row>
    <row r="37" hidden="1">
      <c r="A37" s="43" t="str">
        <f>IFERROR(__xludf.DUMMYFUNCTION("""COMPUTED_VALUE"""),"4147938_1287181")</f>
        <v>4147938_1287181</v>
      </c>
      <c r="B37" s="43" t="str">
        <f>IFERROR(__xludf.DUMMYFUNCTION("""COMPUTED_VALUE"""),"Emna Ben khalifa")</f>
        <v>Emna Ben khalifa</v>
      </c>
      <c r="C37" s="43" t="str">
        <f>IFERROR(__xludf.DUMMYFUNCTION("""COMPUTED_VALUE"""),"finished")</f>
        <v>finished</v>
      </c>
      <c r="D37" s="43" t="str">
        <f>IFERROR(__xludf.DUMMYFUNCTION("""COMPUTED_VALUE"""),"No")</f>
        <v>No</v>
      </c>
      <c r="E37" s="43" t="str">
        <f>IFERROR(__xludf.DUMMYFUNCTION("""COMPUTED_VALUE"""),"p_0cabefd9516923039c73ccc513c83eaf04a59347@inbound.aiesec.org")</f>
        <v>p_0cabefd9516923039c73ccc513c83eaf04a59347@inbound.aiesec.org</v>
      </c>
      <c r="F37" s="43">
        <f>IFERROR(__xludf.DUMMYFUNCTION("""COMPUTED_VALUE"""),5.6926253E7)</f>
        <v>56926253</v>
      </c>
      <c r="G37" s="43" t="str">
        <f>IFERROR(__xludf.DUMMYFUNCTION("""COMPUTED_VALUE"""),"Tunisia")</f>
        <v>Tunisia</v>
      </c>
      <c r="H37" s="43" t="str">
        <f>IFERROR(__xludf.DUMMYFUNCTION("""COMPUTED_VALUE"""),"Carthage")</f>
        <v>Carthage</v>
      </c>
      <c r="I37" s="43" t="str">
        <f>IFERROR(__xludf.DUMMYFUNCTION("""COMPUTED_VALUE"""),"Turkey")</f>
        <v>Turkey</v>
      </c>
      <c r="J37" s="43" t="str">
        <f>IFERROR(__xludf.DUMMYFUNCTION("""COMPUTED_VALUE"""),"ISTANBUL ASIA")</f>
        <v>ISTANBUL ASIA</v>
      </c>
      <c r="K37" s="44" t="str">
        <f>IFERROR(__xludf.DUMMYFUNCTION("""COMPUTED_VALUE"""),"https://expa.aiesec.org/opportunities/1287181")</f>
        <v>https://expa.aiesec.org/opportunities/1287181</v>
      </c>
      <c r="L37" s="43" t="str">
        <f>IFERROR(__xludf.DUMMYFUNCTION("""COMPUTED_VALUE"""),"GV")</f>
        <v>GV</v>
      </c>
      <c r="M37" s="43" t="str">
        <f>IFERROR(__xludf.DUMMYFUNCTION("""COMPUTED_VALUE"""),"short")</f>
        <v>short</v>
      </c>
      <c r="N37" s="45">
        <f>IFERROR(__xludf.DUMMYFUNCTION("""COMPUTED_VALUE"""),44760.0)</f>
        <v>44760</v>
      </c>
      <c r="O37" s="45">
        <f>IFERROR(__xludf.DUMMYFUNCTION("""COMPUTED_VALUE"""),44774.0)</f>
        <v>44774</v>
      </c>
      <c r="P37" s="45">
        <f>IFERROR(__xludf.DUMMYFUNCTION("""COMPUTED_VALUE"""),44816.0)</f>
        <v>44816</v>
      </c>
      <c r="Q37" s="45">
        <f>IFERROR(__xludf.DUMMYFUNCTION("""COMPUTED_VALUE"""),44776.0)</f>
        <v>44776</v>
      </c>
      <c r="R37" s="45">
        <f>IFERROR(__xludf.DUMMYFUNCTION("""COMPUTED_VALUE"""),44816.0)</f>
        <v>44816</v>
      </c>
      <c r="S37" s="43"/>
      <c r="T37" s="43"/>
      <c r="U37" s="43" t="str">
        <f>IFERROR(__xludf.DUMMYFUNCTION("""COMPUTED_VALUE"""),"Equify")</f>
        <v>Equify</v>
      </c>
      <c r="V37" s="43" t="str">
        <f>IFERROR(__xludf.DUMMYFUNCTION("""COMPUTED_VALUE"""),"FSJPST")</f>
        <v>FSJPST</v>
      </c>
      <c r="W37" s="43" t="str">
        <f>IFERROR(__xludf.DUMMYFUNCTION("""COMPUTED_VALUE"""),"2020-01-20T10:19:35Z")</f>
        <v>2020-01-20T10:19:35Z</v>
      </c>
      <c r="X37" s="43"/>
      <c r="Y37" s="43"/>
      <c r="Z37" s="43"/>
    </row>
    <row r="38" hidden="1">
      <c r="A38" s="43" t="str">
        <f>IFERROR(__xludf.DUMMYFUNCTION("""COMPUTED_VALUE"""),"4827476_1288393")</f>
        <v>4827476_1288393</v>
      </c>
      <c r="B38" s="43" t="str">
        <f>IFERROR(__xludf.DUMMYFUNCTION("""COMPUTED_VALUE"""),"Wassim Cherif")</f>
        <v>Wassim Cherif</v>
      </c>
      <c r="C38" s="43" t="str">
        <f>IFERROR(__xludf.DUMMYFUNCTION("""COMPUTED_VALUE"""),"completed")</f>
        <v>completed</v>
      </c>
      <c r="D38" s="43" t="str">
        <f>IFERROR(__xludf.DUMMYFUNCTION("""COMPUTED_VALUE"""),"No")</f>
        <v>No</v>
      </c>
      <c r="E38" s="43" t="str">
        <f>IFERROR(__xludf.DUMMYFUNCTION("""COMPUTED_VALUE"""),"p_08cecc52398c61a5204a3870b5bb2e0213b68fcb@inbound.aiesec.org")</f>
        <v>p_08cecc52398c61a5204a3870b5bb2e0213b68fcb@inbound.aiesec.org</v>
      </c>
      <c r="F38" s="43">
        <f>IFERROR(__xludf.DUMMYFUNCTION("""COMPUTED_VALUE"""),9.9959801E7)</f>
        <v>99959801</v>
      </c>
      <c r="G38" s="43" t="str">
        <f>IFERROR(__xludf.DUMMYFUNCTION("""COMPUTED_VALUE"""),"Tunisia")</f>
        <v>Tunisia</v>
      </c>
      <c r="H38" s="43" t="str">
        <f>IFERROR(__xludf.DUMMYFUNCTION("""COMPUTED_VALUE"""),"SFAX")</f>
        <v>SFAX</v>
      </c>
      <c r="I38" s="43" t="str">
        <f>IFERROR(__xludf.DUMMYFUNCTION("""COMPUTED_VALUE"""),"Turkey")</f>
        <v>Turkey</v>
      </c>
      <c r="J38" s="43" t="str">
        <f>IFERROR(__xludf.DUMMYFUNCTION("""COMPUTED_VALUE"""),"ISTANBUL")</f>
        <v>ISTANBUL</v>
      </c>
      <c r="K38" s="44" t="str">
        <f>IFERROR(__xludf.DUMMYFUNCTION("""COMPUTED_VALUE"""),"https://expa.aiesec.org/opportunities/1288393")</f>
        <v>https://expa.aiesec.org/opportunities/1288393</v>
      </c>
      <c r="L38" s="43" t="str">
        <f>IFERROR(__xludf.DUMMYFUNCTION("""COMPUTED_VALUE"""),"GV")</f>
        <v>GV</v>
      </c>
      <c r="M38" s="43" t="str">
        <f>IFERROR(__xludf.DUMMYFUNCTION("""COMPUTED_VALUE"""),"short")</f>
        <v>short</v>
      </c>
      <c r="N38" s="45">
        <f>IFERROR(__xludf.DUMMYFUNCTION("""COMPUTED_VALUE"""),44760.0)</f>
        <v>44760</v>
      </c>
      <c r="O38" s="45">
        <f>IFERROR(__xludf.DUMMYFUNCTION("""COMPUTED_VALUE"""),44781.0)</f>
        <v>44781</v>
      </c>
      <c r="P38" s="45">
        <f>IFERROR(__xludf.DUMMYFUNCTION("""COMPUTED_VALUE"""),44823.0)</f>
        <v>44823</v>
      </c>
      <c r="Q38" s="45">
        <f>IFERROR(__xludf.DUMMYFUNCTION("""COMPUTED_VALUE"""),44783.0)</f>
        <v>44783</v>
      </c>
      <c r="R38" s="45">
        <f>IFERROR(__xludf.DUMMYFUNCTION("""COMPUTED_VALUE"""),44822.0)</f>
        <v>44822</v>
      </c>
      <c r="S38" s="43"/>
      <c r="T38" s="43"/>
      <c r="U38" s="43" t="str">
        <f>IFERROR(__xludf.DUMMYFUNCTION("""COMPUTED_VALUE"""),"Global Classroom")</f>
        <v>Global Classroom</v>
      </c>
      <c r="V38" s="43" t="str">
        <f>IFERROR(__xludf.DUMMYFUNCTION("""COMPUTED_VALUE"""),"ISIMS")</f>
        <v>ISIMS</v>
      </c>
      <c r="W38" s="43" t="str">
        <f>IFERROR(__xludf.DUMMYFUNCTION("""COMPUTED_VALUE"""),"2021-12-02T17:42:33Z")</f>
        <v>2021-12-02T17:42:33Z</v>
      </c>
      <c r="X38" s="43"/>
      <c r="Y38" s="43"/>
      <c r="Z38" s="43"/>
    </row>
    <row r="39" hidden="1">
      <c r="A39" s="43" t="str">
        <f>IFERROR(__xludf.DUMMYFUNCTION("""COMPUTED_VALUE"""),"4833859_1286235")</f>
        <v>4833859_1286235</v>
      </c>
      <c r="B39" s="43" t="str">
        <f>IFERROR(__xludf.DUMMYFUNCTION("""COMPUTED_VALUE"""),"Imen Elbouali")</f>
        <v>Imen Elbouali</v>
      </c>
      <c r="C39" s="43" t="str">
        <f>IFERROR(__xludf.DUMMYFUNCTION("""COMPUTED_VALUE"""),"completed")</f>
        <v>completed</v>
      </c>
      <c r="D39" s="43" t="str">
        <f>IFERROR(__xludf.DUMMYFUNCTION("""COMPUTED_VALUE"""),"No")</f>
        <v>No</v>
      </c>
      <c r="E39" s="43" t="str">
        <f>IFERROR(__xludf.DUMMYFUNCTION("""COMPUTED_VALUE"""),"p_6897f74d3db153c7d00f81c82cdf09475bf37073@inbound.aiesec.org")</f>
        <v>p_6897f74d3db153c7d00f81c82cdf09475bf37073@inbound.aiesec.org</v>
      </c>
      <c r="F39" s="43">
        <f>IFERROR(__xludf.DUMMYFUNCTION("""COMPUTED_VALUE"""),2.0484429E7)</f>
        <v>20484429</v>
      </c>
      <c r="G39" s="43" t="str">
        <f>IFERROR(__xludf.DUMMYFUNCTION("""COMPUTED_VALUE"""),"Tunisia")</f>
        <v>Tunisia</v>
      </c>
      <c r="H39" s="43" t="str">
        <f>IFERROR(__xludf.DUMMYFUNCTION("""COMPUTED_VALUE"""),"MEDINA")</f>
        <v>MEDINA</v>
      </c>
      <c r="I39" s="43" t="str">
        <f>IFERROR(__xludf.DUMMYFUNCTION("""COMPUTED_VALUE"""),"Turkey")</f>
        <v>Turkey</v>
      </c>
      <c r="J39" s="43" t="str">
        <f>IFERROR(__xludf.DUMMYFUNCTION("""COMPUTED_VALUE"""),"ISPARTA")</f>
        <v>ISPARTA</v>
      </c>
      <c r="K39" s="44" t="str">
        <f>IFERROR(__xludf.DUMMYFUNCTION("""COMPUTED_VALUE"""),"https://expa.aiesec.org/opportunities/1286235")</f>
        <v>https://expa.aiesec.org/opportunities/1286235</v>
      </c>
      <c r="L39" s="43" t="str">
        <f>IFERROR(__xludf.DUMMYFUNCTION("""COMPUTED_VALUE"""),"GV")</f>
        <v>GV</v>
      </c>
      <c r="M39" s="43" t="str">
        <f>IFERROR(__xludf.DUMMYFUNCTION("""COMPUTED_VALUE"""),"short")</f>
        <v>short</v>
      </c>
      <c r="N39" s="45">
        <f>IFERROR(__xludf.DUMMYFUNCTION("""COMPUTED_VALUE"""),44760.0)</f>
        <v>44760</v>
      </c>
      <c r="O39" s="45">
        <f>IFERROR(__xludf.DUMMYFUNCTION("""COMPUTED_VALUE"""),44760.0)</f>
        <v>44760</v>
      </c>
      <c r="P39" s="45">
        <f>IFERROR(__xludf.DUMMYFUNCTION("""COMPUTED_VALUE"""),44802.0)</f>
        <v>44802</v>
      </c>
      <c r="Q39" s="45">
        <f>IFERROR(__xludf.DUMMYFUNCTION("""COMPUTED_VALUE"""),44767.0)</f>
        <v>44767</v>
      </c>
      <c r="R39" s="45">
        <f>IFERROR(__xludf.DUMMYFUNCTION("""COMPUTED_VALUE"""),44802.0)</f>
        <v>44802</v>
      </c>
      <c r="S39" s="43"/>
      <c r="T39" s="43"/>
      <c r="U39" s="43" t="str">
        <f>IFERROR(__xludf.DUMMYFUNCTION("""COMPUTED_VALUE"""),"Global Classroom")</f>
        <v>Global Classroom</v>
      </c>
      <c r="V39" s="43" t="str">
        <f>IFERROR(__xludf.DUMMYFUNCTION("""COMPUTED_VALUE"""),"ISCAE Mannouba")</f>
        <v>ISCAE Mannouba</v>
      </c>
      <c r="W39" s="43" t="str">
        <f>IFERROR(__xludf.DUMMYFUNCTION("""COMPUTED_VALUE"""),"2021-12-07T17:59:11Z")</f>
        <v>2021-12-07T17:59:11Z</v>
      </c>
      <c r="X39" s="43"/>
      <c r="Y39" s="43"/>
      <c r="Z39" s="43"/>
    </row>
    <row r="40" hidden="1">
      <c r="A40" s="43" t="str">
        <f>IFERROR(__xludf.DUMMYFUNCTION("""COMPUTED_VALUE"""),"5080305_1288299")</f>
        <v>5080305_1288299</v>
      </c>
      <c r="B40" s="43" t="str">
        <f>IFERROR(__xludf.DUMMYFUNCTION("""COMPUTED_VALUE"""),"Menna Hosam")</f>
        <v>Menna Hosam</v>
      </c>
      <c r="C40" s="43" t="str">
        <f>IFERROR(__xludf.DUMMYFUNCTION("""COMPUTED_VALUE"""),"finished")</f>
        <v>finished</v>
      </c>
      <c r="D40" s="43" t="str">
        <f>IFERROR(__xludf.DUMMYFUNCTION("""COMPUTED_VALUE"""),"No")</f>
        <v>No</v>
      </c>
      <c r="E40" s="43" t="str">
        <f>IFERROR(__xludf.DUMMYFUNCTION("""COMPUTED_VALUE"""),"p_3b851a7fb1ce8d951cdb20f75a4fb5506e41dfda@inbound.aiesec.org")</f>
        <v>p_3b851a7fb1ce8d951cdb20f75a4fb5506e41dfda@inbound.aiesec.org</v>
      </c>
      <c r="F40" s="43">
        <f>IFERROR(__xludf.DUMMYFUNCTION("""COMPUTED_VALUE"""),1.117039336E9)</f>
        <v>1117039336</v>
      </c>
      <c r="G40" s="43" t="str">
        <f>IFERROR(__xludf.DUMMYFUNCTION("""COMPUTED_VALUE"""),"Egypt")</f>
        <v>Egypt</v>
      </c>
      <c r="H40" s="43" t="str">
        <f>IFERROR(__xludf.DUMMYFUNCTION("""COMPUTED_VALUE"""),"GUC")</f>
        <v>GUC</v>
      </c>
      <c r="I40" s="43" t="str">
        <f>IFERROR(__xludf.DUMMYFUNCTION("""COMPUTED_VALUE"""),"Turkey")</f>
        <v>Turkey</v>
      </c>
      <c r="J40" s="43" t="str">
        <f>IFERROR(__xludf.DUMMYFUNCTION("""COMPUTED_VALUE"""),"ISTANBUL")</f>
        <v>ISTANBUL</v>
      </c>
      <c r="K40" s="44" t="str">
        <f>IFERROR(__xludf.DUMMYFUNCTION("""COMPUTED_VALUE"""),"https://expa.aiesec.org/opportunities/1288299")</f>
        <v>https://expa.aiesec.org/opportunities/1288299</v>
      </c>
      <c r="L40" s="43" t="str">
        <f>IFERROR(__xludf.DUMMYFUNCTION("""COMPUTED_VALUE"""),"GV")</f>
        <v>GV</v>
      </c>
      <c r="M40" s="43" t="str">
        <f>IFERROR(__xludf.DUMMYFUNCTION("""COMPUTED_VALUE"""),"short")</f>
        <v>short</v>
      </c>
      <c r="N40" s="45">
        <f>IFERROR(__xludf.DUMMYFUNCTION("""COMPUTED_VALUE"""),44760.0)</f>
        <v>44760</v>
      </c>
      <c r="O40" s="45">
        <f>IFERROR(__xludf.DUMMYFUNCTION("""COMPUTED_VALUE"""),44774.0)</f>
        <v>44774</v>
      </c>
      <c r="P40" s="45">
        <f>IFERROR(__xludf.DUMMYFUNCTION("""COMPUTED_VALUE"""),44829.0)</f>
        <v>44829</v>
      </c>
      <c r="Q40" s="45">
        <f>IFERROR(__xludf.DUMMYFUNCTION("""COMPUTED_VALUE"""),44795.0)</f>
        <v>44795</v>
      </c>
      <c r="R40" s="45">
        <f>IFERROR(__xludf.DUMMYFUNCTION("""COMPUTED_VALUE"""),44837.0)</f>
        <v>44837</v>
      </c>
      <c r="S40" s="43"/>
      <c r="T40" s="43"/>
      <c r="U40" s="43" t="str">
        <f>IFERROR(__xludf.DUMMYFUNCTION("""COMPUTED_VALUE"""),"Global Classroom")</f>
        <v>Global Classroom</v>
      </c>
      <c r="V40" s="43" t="str">
        <f>IFERROR(__xludf.DUMMYFUNCTION("""COMPUTED_VALUE"""),"GUC")</f>
        <v>GUC</v>
      </c>
      <c r="W40" s="43" t="str">
        <f>IFERROR(__xludf.DUMMYFUNCTION("""COMPUTED_VALUE"""),"2022-07-06T15:44:40Z")</f>
        <v>2022-07-06T15:44:40Z</v>
      </c>
      <c r="X40" s="43"/>
      <c r="Y40" s="43"/>
      <c r="Z40" s="43"/>
    </row>
    <row r="41" hidden="1">
      <c r="A41" s="43" t="str">
        <f>IFERROR(__xludf.DUMMYFUNCTION("""COMPUTED_VALUE"""),"5079651_1287174")</f>
        <v>5079651_1287174</v>
      </c>
      <c r="B41" s="43" t="str">
        <f>IFERROR(__xludf.DUMMYFUNCTION("""COMPUTED_VALUE"""),"Aydan Mammadli")</f>
        <v>Aydan Mammadli</v>
      </c>
      <c r="C41" s="43" t="str">
        <f>IFERROR(__xludf.DUMMYFUNCTION("""COMPUTED_VALUE"""),"completed")</f>
        <v>completed</v>
      </c>
      <c r="D41" s="43" t="str">
        <f>IFERROR(__xludf.DUMMYFUNCTION("""COMPUTED_VALUE"""),"No")</f>
        <v>No</v>
      </c>
      <c r="E41" s="43" t="str">
        <f>IFERROR(__xludf.DUMMYFUNCTION("""COMPUTED_VALUE"""),"p_615bb4943163ffb666f73bb38d31727f1d1cf49d@inbound.aiesec.org")</f>
        <v>p_615bb4943163ffb666f73bb38d31727f1d1cf49d@inbound.aiesec.org</v>
      </c>
      <c r="F41" s="43">
        <f>IFERROR(__xludf.DUMMYFUNCTION("""COMPUTED_VALUE"""),5.54212259E8)</f>
        <v>554212259</v>
      </c>
      <c r="G41" s="43" t="str">
        <f>IFERROR(__xludf.DUMMYFUNCTION("""COMPUTED_VALUE"""),"Azerbaijan")</f>
        <v>Azerbaijan</v>
      </c>
      <c r="H41" s="43" t="str">
        <f>IFERROR(__xludf.DUMMYFUNCTION("""COMPUTED_VALUE"""),"Baku Qafqaz")</f>
        <v>Baku Qafqaz</v>
      </c>
      <c r="I41" s="43" t="str">
        <f>IFERROR(__xludf.DUMMYFUNCTION("""COMPUTED_VALUE"""),"Turkey")</f>
        <v>Turkey</v>
      </c>
      <c r="J41" s="43" t="str">
        <f>IFERROR(__xludf.DUMMYFUNCTION("""COMPUTED_VALUE"""),"ANKARA")</f>
        <v>ANKARA</v>
      </c>
      <c r="K41" s="44" t="str">
        <f>IFERROR(__xludf.DUMMYFUNCTION("""COMPUTED_VALUE"""),"https://expa.aiesec.org/opportunities/1287174")</f>
        <v>https://expa.aiesec.org/opportunities/1287174</v>
      </c>
      <c r="L41" s="43" t="str">
        <f>IFERROR(__xludf.DUMMYFUNCTION("""COMPUTED_VALUE"""),"GV")</f>
        <v>GV</v>
      </c>
      <c r="M41" s="43" t="str">
        <f>IFERROR(__xludf.DUMMYFUNCTION("""COMPUTED_VALUE"""),"short")</f>
        <v>short</v>
      </c>
      <c r="N41" s="45">
        <f>IFERROR(__xludf.DUMMYFUNCTION("""COMPUTED_VALUE"""),44760.0)</f>
        <v>44760</v>
      </c>
      <c r="O41" s="45">
        <f>IFERROR(__xludf.DUMMYFUNCTION("""COMPUTED_VALUE"""),44774.0)</f>
        <v>44774</v>
      </c>
      <c r="P41" s="45">
        <f>IFERROR(__xludf.DUMMYFUNCTION("""COMPUTED_VALUE"""),44816.0)</f>
        <v>44816</v>
      </c>
      <c r="Q41" s="45">
        <f>IFERROR(__xludf.DUMMYFUNCTION("""COMPUTED_VALUE"""),44777.0)</f>
        <v>44777</v>
      </c>
      <c r="R41" s="45">
        <f>IFERROR(__xludf.DUMMYFUNCTION("""COMPUTED_VALUE"""),44816.0)</f>
        <v>44816</v>
      </c>
      <c r="S41" s="43"/>
      <c r="T41" s="43"/>
      <c r="U41" s="43" t="str">
        <f>IFERROR(__xludf.DUMMYFUNCTION("""COMPUTED_VALUE"""),"Global Classroom")</f>
        <v>Global Classroom</v>
      </c>
      <c r="V41" s="43" t="str">
        <f>IFERROR(__xludf.DUMMYFUNCTION("""COMPUTED_VALUE"""),"Baku Engineering University")</f>
        <v>Baku Engineering University</v>
      </c>
      <c r="W41" s="43" t="str">
        <f>IFERROR(__xludf.DUMMYFUNCTION("""COMPUTED_VALUE"""),"2022-07-04T18:00:57Z")</f>
        <v>2022-07-04T18:00:57Z</v>
      </c>
      <c r="X41" s="43"/>
      <c r="Y41" s="43"/>
      <c r="Z41" s="43"/>
    </row>
    <row r="42" hidden="1">
      <c r="A42" s="43" t="str">
        <f>IFERROR(__xludf.DUMMYFUNCTION("""COMPUTED_VALUE"""),"5073941_1288280")</f>
        <v>5073941_1288280</v>
      </c>
      <c r="B42" s="43" t="str">
        <f>IFERROR(__xludf.DUMMYFUNCTION("""COMPUTED_VALUE"""),"Hareem Fatima")</f>
        <v>Hareem Fatima</v>
      </c>
      <c r="C42" s="43" t="str">
        <f>IFERROR(__xludf.DUMMYFUNCTION("""COMPUTED_VALUE"""),"completed")</f>
        <v>completed</v>
      </c>
      <c r="D42" s="43" t="str">
        <f>IFERROR(__xludf.DUMMYFUNCTION("""COMPUTED_VALUE"""),"No")</f>
        <v>No</v>
      </c>
      <c r="E42" s="43" t="str">
        <f>IFERROR(__xludf.DUMMYFUNCTION("""COMPUTED_VALUE"""),"p_02efc14e6e9efa1bfd1a3834f79e427f653f734b@inbound.aiesec.org")</f>
        <v>p_02efc14e6e9efa1bfd1a3834f79e427f653f734b@inbound.aiesec.org</v>
      </c>
      <c r="F42" s="43">
        <f>IFERROR(__xludf.DUMMYFUNCTION("""COMPUTED_VALUE"""),3.322227561E9)</f>
        <v>3322227561</v>
      </c>
      <c r="G42" s="43" t="str">
        <f>IFERROR(__xludf.DUMMYFUNCTION("""COMPUTED_VALUE"""),"Pakistan")</f>
        <v>Pakistan</v>
      </c>
      <c r="H42" s="43" t="str">
        <f>IFERROR(__xludf.DUMMYFUNCTION("""COMPUTED_VALUE"""),"Islamabad")</f>
        <v>Islamabad</v>
      </c>
      <c r="I42" s="43" t="str">
        <f>IFERROR(__xludf.DUMMYFUNCTION("""COMPUTED_VALUE"""),"Turkey")</f>
        <v>Turkey</v>
      </c>
      <c r="J42" s="43" t="str">
        <f>IFERROR(__xludf.DUMMYFUNCTION("""COMPUTED_VALUE"""),"İZMİR")</f>
        <v>İZMİR</v>
      </c>
      <c r="K42" s="44" t="str">
        <f>IFERROR(__xludf.DUMMYFUNCTION("""COMPUTED_VALUE"""),"https://expa.aiesec.org/opportunities/1288280")</f>
        <v>https://expa.aiesec.org/opportunities/1288280</v>
      </c>
      <c r="L42" s="43" t="str">
        <f>IFERROR(__xludf.DUMMYFUNCTION("""COMPUTED_VALUE"""),"GV")</f>
        <v>GV</v>
      </c>
      <c r="M42" s="43" t="str">
        <f>IFERROR(__xludf.DUMMYFUNCTION("""COMPUTED_VALUE"""),"short")</f>
        <v>short</v>
      </c>
      <c r="N42" s="45">
        <f>IFERROR(__xludf.DUMMYFUNCTION("""COMPUTED_VALUE"""),44760.0)</f>
        <v>44760</v>
      </c>
      <c r="O42" s="45">
        <f>IFERROR(__xludf.DUMMYFUNCTION("""COMPUTED_VALUE"""),44794.0)</f>
        <v>44794</v>
      </c>
      <c r="P42" s="45">
        <f>IFERROR(__xludf.DUMMYFUNCTION("""COMPUTED_VALUE"""),44836.0)</f>
        <v>44836</v>
      </c>
      <c r="Q42" s="45">
        <f>IFERROR(__xludf.DUMMYFUNCTION("""COMPUTED_VALUE"""),44810.0)</f>
        <v>44810</v>
      </c>
      <c r="R42" s="45">
        <f>IFERROR(__xludf.DUMMYFUNCTION("""COMPUTED_VALUE"""),44844.0)</f>
        <v>44844</v>
      </c>
      <c r="S42" s="43"/>
      <c r="T42" s="43"/>
      <c r="U42" s="43" t="str">
        <f>IFERROR(__xludf.DUMMYFUNCTION("""COMPUTED_VALUE"""),"Global Classroom")</f>
        <v>Global Classroom</v>
      </c>
      <c r="V42" s="43" t="str">
        <f>IFERROR(__xludf.DUMMYFUNCTION("""COMPUTED_VALUE"""),"Islamabad - Bahria University ")</f>
        <v>Islamabad - Bahria University </v>
      </c>
      <c r="W42" s="43" t="str">
        <f>IFERROR(__xludf.DUMMYFUNCTION("""COMPUTED_VALUE"""),"2022-06-17T21:16:55Z")</f>
        <v>2022-06-17T21:16:55Z</v>
      </c>
      <c r="X42" s="43"/>
      <c r="Y42" s="43"/>
      <c r="Z42" s="43"/>
    </row>
    <row r="43" hidden="1">
      <c r="A43" s="43" t="str">
        <f>IFERROR(__xludf.DUMMYFUNCTION("""COMPUTED_VALUE"""),"5079425_1287925")</f>
        <v>5079425_1287925</v>
      </c>
      <c r="B43" s="43" t="str">
        <f>IFERROR(__xludf.DUMMYFUNCTION("""COMPUTED_VALUE"""),"Boutaina Atmani")</f>
        <v>Boutaina Atmani</v>
      </c>
      <c r="C43" s="43" t="str">
        <f>IFERROR(__xludf.DUMMYFUNCTION("""COMPUTED_VALUE"""),"completed")</f>
        <v>completed</v>
      </c>
      <c r="D43" s="43" t="str">
        <f>IFERROR(__xludf.DUMMYFUNCTION("""COMPUTED_VALUE"""),"No")</f>
        <v>No</v>
      </c>
      <c r="E43" s="43" t="str">
        <f>IFERROR(__xludf.DUMMYFUNCTION("""COMPUTED_VALUE"""),"p_1e77d70d5e47cde17b97af2282bd5f6b9fa5d62a@inbound.aiesec.org")</f>
        <v>p_1e77d70d5e47cde17b97af2282bd5f6b9fa5d62a@inbound.aiesec.org</v>
      </c>
      <c r="F43" s="43"/>
      <c r="G43" s="43" t="str">
        <f>IFERROR(__xludf.DUMMYFUNCTION("""COMPUTED_VALUE"""),"Morocco")</f>
        <v>Morocco</v>
      </c>
      <c r="H43" s="43" t="str">
        <f>IFERROR(__xludf.DUMMYFUNCTION("""COMPUTED_VALUE"""),"Meknes")</f>
        <v>Meknes</v>
      </c>
      <c r="I43" s="43" t="str">
        <f>IFERROR(__xludf.DUMMYFUNCTION("""COMPUTED_VALUE"""),"Turkey")</f>
        <v>Turkey</v>
      </c>
      <c r="J43" s="43" t="str">
        <f>IFERROR(__xludf.DUMMYFUNCTION("""COMPUTED_VALUE"""),"DENIZLI")</f>
        <v>DENIZLI</v>
      </c>
      <c r="K43" s="44" t="str">
        <f>IFERROR(__xludf.DUMMYFUNCTION("""COMPUTED_VALUE"""),"https://expa.aiesec.org/opportunities/1287925")</f>
        <v>https://expa.aiesec.org/opportunities/1287925</v>
      </c>
      <c r="L43" s="43" t="str">
        <f>IFERROR(__xludf.DUMMYFUNCTION("""COMPUTED_VALUE"""),"GV")</f>
        <v>GV</v>
      </c>
      <c r="M43" s="43" t="str">
        <f>IFERROR(__xludf.DUMMYFUNCTION("""COMPUTED_VALUE"""),"short")</f>
        <v>short</v>
      </c>
      <c r="N43" s="45">
        <f>IFERROR(__xludf.DUMMYFUNCTION("""COMPUTED_VALUE"""),44760.0)</f>
        <v>44760</v>
      </c>
      <c r="O43" s="45">
        <f>IFERROR(__xludf.DUMMYFUNCTION("""COMPUTED_VALUE"""),44774.0)</f>
        <v>44774</v>
      </c>
      <c r="P43" s="45">
        <f>IFERROR(__xludf.DUMMYFUNCTION("""COMPUTED_VALUE"""),44816.0)</f>
        <v>44816</v>
      </c>
      <c r="Q43" s="45">
        <f>IFERROR(__xludf.DUMMYFUNCTION("""COMPUTED_VALUE"""),44774.0)</f>
        <v>44774</v>
      </c>
      <c r="R43" s="45">
        <f>IFERROR(__xludf.DUMMYFUNCTION("""COMPUTED_VALUE"""),44850.0)</f>
        <v>44850</v>
      </c>
      <c r="S43" s="43"/>
      <c r="T43" s="43"/>
      <c r="U43" s="43" t="str">
        <f>IFERROR(__xludf.DUMMYFUNCTION("""COMPUTED_VALUE"""),"Youth 4 Impact")</f>
        <v>Youth 4 Impact</v>
      </c>
      <c r="V43" s="43" t="str">
        <f>IFERROR(__xludf.DUMMYFUNCTION("""COMPUTED_VALUE"""),"-")</f>
        <v>-</v>
      </c>
      <c r="W43" s="43" t="str">
        <f>IFERROR(__xludf.DUMMYFUNCTION("""COMPUTED_VALUE"""),"2022-07-03T23:00:45Z")</f>
        <v>2022-07-03T23:00:45Z</v>
      </c>
      <c r="X43" s="43"/>
      <c r="Y43" s="43"/>
      <c r="Z43" s="43"/>
    </row>
    <row r="44" hidden="1">
      <c r="A44" s="43" t="str">
        <f>IFERROR(__xludf.DUMMYFUNCTION("""COMPUTED_VALUE"""),"5068566_1272564")</f>
        <v>5068566_1272564</v>
      </c>
      <c r="B44" s="43" t="str">
        <f>IFERROR(__xludf.DUMMYFUNCTION("""COMPUTED_VALUE"""),"MAYA ELMASRY")</f>
        <v>MAYA ELMASRY</v>
      </c>
      <c r="C44" s="43" t="str">
        <f>IFERROR(__xludf.DUMMYFUNCTION("""COMPUTED_VALUE"""),"finished")</f>
        <v>finished</v>
      </c>
      <c r="D44" s="43" t="str">
        <f>IFERROR(__xludf.DUMMYFUNCTION("""COMPUTED_VALUE"""),"No")</f>
        <v>No</v>
      </c>
      <c r="E44" s="43" t="str">
        <f>IFERROR(__xludf.DUMMYFUNCTION("""COMPUTED_VALUE"""),"p_e4476e81947c67bfb7a211481af6cc97bdbff19c@inbound.aiesec.org")</f>
        <v>p_e4476e81947c67bfb7a211481af6cc97bdbff19c@inbound.aiesec.org</v>
      </c>
      <c r="F44" s="43">
        <f>IFERROR(__xludf.DUMMYFUNCTION("""COMPUTED_VALUE"""),1.14936969E9)</f>
        <v>1149369690</v>
      </c>
      <c r="G44" s="43" t="str">
        <f>IFERROR(__xludf.DUMMYFUNCTION("""COMPUTED_VALUE"""),"Egypt")</f>
        <v>Egypt</v>
      </c>
      <c r="H44" s="43" t="str">
        <f>IFERROR(__xludf.DUMMYFUNCTION("""COMPUTED_VALUE"""),"MSA")</f>
        <v>MSA</v>
      </c>
      <c r="I44" s="43" t="str">
        <f>IFERROR(__xludf.DUMMYFUNCTION("""COMPUTED_VALUE"""),"Turkey")</f>
        <v>Turkey</v>
      </c>
      <c r="J44" s="43" t="str">
        <f>IFERROR(__xludf.DUMMYFUNCTION("""COMPUTED_VALUE"""),"ISTANBUL")</f>
        <v>ISTANBUL</v>
      </c>
      <c r="K44" s="44" t="str">
        <f>IFERROR(__xludf.DUMMYFUNCTION("""COMPUTED_VALUE"""),"https://expa.aiesec.org/opportunities/1272564")</f>
        <v>https://expa.aiesec.org/opportunities/1272564</v>
      </c>
      <c r="L44" s="43" t="str">
        <f>IFERROR(__xludf.DUMMYFUNCTION("""COMPUTED_VALUE"""),"GV")</f>
        <v>GV</v>
      </c>
      <c r="M44" s="43" t="str">
        <f>IFERROR(__xludf.DUMMYFUNCTION("""COMPUTED_VALUE"""),"short")</f>
        <v>short</v>
      </c>
      <c r="N44" s="45">
        <f>IFERROR(__xludf.DUMMYFUNCTION("""COMPUTED_VALUE"""),44760.0)</f>
        <v>44760</v>
      </c>
      <c r="O44" s="45">
        <f>IFERROR(__xludf.DUMMYFUNCTION("""COMPUTED_VALUE"""),44794.0)</f>
        <v>44794</v>
      </c>
      <c r="P44" s="45">
        <f>IFERROR(__xludf.DUMMYFUNCTION("""COMPUTED_VALUE"""),44836.0)</f>
        <v>44836</v>
      </c>
      <c r="Q44" s="45">
        <f>IFERROR(__xludf.DUMMYFUNCTION("""COMPUTED_VALUE"""),44795.0)</f>
        <v>44795</v>
      </c>
      <c r="R44" s="45">
        <f>IFERROR(__xludf.DUMMYFUNCTION("""COMPUTED_VALUE"""),44838.0)</f>
        <v>44838</v>
      </c>
      <c r="S44" s="43"/>
      <c r="T44" s="43"/>
      <c r="U44" s="43" t="str">
        <f>IFERROR(__xludf.DUMMYFUNCTION("""COMPUTED_VALUE"""),"Global Classroom")</f>
        <v>Global Classroom</v>
      </c>
      <c r="V44" s="43" t="str">
        <f>IFERROR(__xludf.DUMMYFUNCTION("""COMPUTED_VALUE"""),"MSA Univeristy")</f>
        <v>MSA Univeristy</v>
      </c>
      <c r="W44" s="43" t="str">
        <f>IFERROR(__xludf.DUMMYFUNCTION("""COMPUTED_VALUE"""),"2022-06-04T15:08:51Z")</f>
        <v>2022-06-04T15:08:51Z</v>
      </c>
      <c r="X44" s="43"/>
      <c r="Y44" s="43"/>
      <c r="Z44" s="43"/>
    </row>
    <row r="45" hidden="1">
      <c r="A45" s="43" t="str">
        <f>IFERROR(__xludf.DUMMYFUNCTION("""COMPUTED_VALUE"""),"5083511_1288265")</f>
        <v>5083511_1288265</v>
      </c>
      <c r="B45" s="43" t="str">
        <f>IFERROR(__xludf.DUMMYFUNCTION("""COMPUTED_VALUE"""),"Yassine Romdhane")</f>
        <v>Yassine Romdhane</v>
      </c>
      <c r="C45" s="43" t="str">
        <f>IFERROR(__xludf.DUMMYFUNCTION("""COMPUTED_VALUE"""),"completed")</f>
        <v>completed</v>
      </c>
      <c r="D45" s="43" t="str">
        <f>IFERROR(__xludf.DUMMYFUNCTION("""COMPUTED_VALUE"""),"No")</f>
        <v>No</v>
      </c>
      <c r="E45" s="43" t="str">
        <f>IFERROR(__xludf.DUMMYFUNCTION("""COMPUTED_VALUE"""),"p_40c165360edabd6db6a73e21399e33b04d7fb178@inbound.aiesec.org")</f>
        <v>p_40c165360edabd6db6a73e21399e33b04d7fb178@inbound.aiesec.org</v>
      </c>
      <c r="F45" s="43">
        <f>IFERROR(__xludf.DUMMYFUNCTION("""COMPUTED_VALUE"""),9.2813213E7)</f>
        <v>92813213</v>
      </c>
      <c r="G45" s="43" t="str">
        <f>IFERROR(__xludf.DUMMYFUNCTION("""COMPUTED_VALUE"""),"Tunisia")</f>
        <v>Tunisia</v>
      </c>
      <c r="H45" s="43" t="str">
        <f>IFERROR(__xludf.DUMMYFUNCTION("""COMPUTED_VALUE"""),"UNIVERSITY")</f>
        <v>UNIVERSITY</v>
      </c>
      <c r="I45" s="43" t="str">
        <f>IFERROR(__xludf.DUMMYFUNCTION("""COMPUTED_VALUE"""),"Turkey")</f>
        <v>Turkey</v>
      </c>
      <c r="J45" s="43" t="str">
        <f>IFERROR(__xludf.DUMMYFUNCTION("""COMPUTED_VALUE"""),"KOCAELI")</f>
        <v>KOCAELI</v>
      </c>
      <c r="K45" s="44" t="str">
        <f>IFERROR(__xludf.DUMMYFUNCTION("""COMPUTED_VALUE"""),"https://expa.aiesec.org/opportunities/1288265")</f>
        <v>https://expa.aiesec.org/opportunities/1288265</v>
      </c>
      <c r="L45" s="43" t="str">
        <f>IFERROR(__xludf.DUMMYFUNCTION("""COMPUTED_VALUE"""),"GV")</f>
        <v>GV</v>
      </c>
      <c r="M45" s="43" t="str">
        <f>IFERROR(__xludf.DUMMYFUNCTION("""COMPUTED_VALUE"""),"short")</f>
        <v>short</v>
      </c>
      <c r="N45" s="45">
        <f>IFERROR(__xludf.DUMMYFUNCTION("""COMPUTED_VALUE"""),44761.0)</f>
        <v>44761</v>
      </c>
      <c r="O45" s="45">
        <f>IFERROR(__xludf.DUMMYFUNCTION("""COMPUTED_VALUE"""),44774.0)</f>
        <v>44774</v>
      </c>
      <c r="P45" s="45">
        <f>IFERROR(__xludf.DUMMYFUNCTION("""COMPUTED_VALUE"""),44816.0)</f>
        <v>44816</v>
      </c>
      <c r="Q45" s="45">
        <f>IFERROR(__xludf.DUMMYFUNCTION("""COMPUTED_VALUE"""),44774.0)</f>
        <v>44774</v>
      </c>
      <c r="R45" s="45">
        <f>IFERROR(__xludf.DUMMYFUNCTION("""COMPUTED_VALUE"""),44814.0)</f>
        <v>44814</v>
      </c>
      <c r="S45" s="43"/>
      <c r="T45" s="43"/>
      <c r="U45" s="43" t="str">
        <f>IFERROR(__xludf.DUMMYFUNCTION("""COMPUTED_VALUE"""),"Skill Up!")</f>
        <v>Skill Up!</v>
      </c>
      <c r="V45" s="43" t="str">
        <f>IFERROR(__xludf.DUMMYFUNCTION("""COMPUTED_VALUE"""),"Centrale IT")</f>
        <v>Centrale IT</v>
      </c>
      <c r="W45" s="43" t="str">
        <f>IFERROR(__xludf.DUMMYFUNCTION("""COMPUTED_VALUE"""),"2022-07-17T20:42:44Z")</f>
        <v>2022-07-17T20:42:44Z</v>
      </c>
      <c r="X45" s="43"/>
      <c r="Y45" s="43"/>
      <c r="Z45" s="43"/>
    </row>
    <row r="46" hidden="1">
      <c r="A46" s="43" t="str">
        <f>IFERROR(__xludf.DUMMYFUNCTION("""COMPUTED_VALUE"""),"5083298_1286228")</f>
        <v>5083298_1286228</v>
      </c>
      <c r="B46" s="43" t="str">
        <f>IFERROR(__xludf.DUMMYFUNCTION("""COMPUTED_VALUE"""),"Marco Rodrigo Huanqui Cornejo")</f>
        <v>Marco Rodrigo Huanqui Cornejo</v>
      </c>
      <c r="C46" s="43" t="str">
        <f>IFERROR(__xludf.DUMMYFUNCTION("""COMPUTED_VALUE"""),"completed")</f>
        <v>completed</v>
      </c>
      <c r="D46" s="43" t="str">
        <f>IFERROR(__xludf.DUMMYFUNCTION("""COMPUTED_VALUE"""),"No")</f>
        <v>No</v>
      </c>
      <c r="E46" s="43" t="str">
        <f>IFERROR(__xludf.DUMMYFUNCTION("""COMPUTED_VALUE"""),"p_fe5e48e1cc7d3970bf348c9ba77830c994456e6b@inbound.aiesec.org")</f>
        <v>p_fe5e48e1cc7d3970bf348c9ba77830c994456e6b@inbound.aiesec.org</v>
      </c>
      <c r="F46" s="43">
        <f>IFERROR(__xludf.DUMMYFUNCTION("""COMPUTED_VALUE"""),9.4424203E8)</f>
        <v>944242030</v>
      </c>
      <c r="G46" s="43" t="str">
        <f>IFERROR(__xludf.DUMMYFUNCTION("""COMPUTED_VALUE"""),"Peru")</f>
        <v>Peru</v>
      </c>
      <c r="H46" s="43" t="str">
        <f>IFERROR(__xludf.DUMMYFUNCTION("""COMPUTED_VALUE"""),"Arequipa")</f>
        <v>Arequipa</v>
      </c>
      <c r="I46" s="43" t="str">
        <f>IFERROR(__xludf.DUMMYFUNCTION("""COMPUTED_VALUE"""),"Turkey")</f>
        <v>Turkey</v>
      </c>
      <c r="J46" s="43" t="str">
        <f>IFERROR(__xludf.DUMMYFUNCTION("""COMPUTED_VALUE"""),"ISTANBUL WEST")</f>
        <v>ISTANBUL WEST</v>
      </c>
      <c r="K46" s="44" t="str">
        <f>IFERROR(__xludf.DUMMYFUNCTION("""COMPUTED_VALUE"""),"https://expa.aiesec.org/opportunities/1286228")</f>
        <v>https://expa.aiesec.org/opportunities/1286228</v>
      </c>
      <c r="L46" s="43" t="str">
        <f>IFERROR(__xludf.DUMMYFUNCTION("""COMPUTED_VALUE"""),"GV")</f>
        <v>GV</v>
      </c>
      <c r="M46" s="43" t="str">
        <f>IFERROR(__xludf.DUMMYFUNCTION("""COMPUTED_VALUE"""),"short")</f>
        <v>short</v>
      </c>
      <c r="N46" s="45">
        <f>IFERROR(__xludf.DUMMYFUNCTION("""COMPUTED_VALUE"""),44761.0)</f>
        <v>44761</v>
      </c>
      <c r="O46" s="45">
        <f>IFERROR(__xludf.DUMMYFUNCTION("""COMPUTED_VALUE"""),44942.0)</f>
        <v>44942</v>
      </c>
      <c r="P46" s="45">
        <f>IFERROR(__xludf.DUMMYFUNCTION("""COMPUTED_VALUE"""),44984.0)</f>
        <v>44984</v>
      </c>
      <c r="Q46" s="45">
        <f>IFERROR(__xludf.DUMMYFUNCTION("""COMPUTED_VALUE"""),44942.0)</f>
        <v>44942</v>
      </c>
      <c r="R46" s="45">
        <f>IFERROR(__xludf.DUMMYFUNCTION("""COMPUTED_VALUE"""),44984.0)</f>
        <v>44984</v>
      </c>
      <c r="S46" s="43"/>
      <c r="T46" s="43"/>
      <c r="U46" s="43" t="str">
        <f>IFERROR(__xludf.DUMMYFUNCTION("""COMPUTED_VALUE"""),"Global Classroom")</f>
        <v>Global Classroom</v>
      </c>
      <c r="V46" s="43" t="str">
        <f>IFERROR(__xludf.DUMMYFUNCTION("""COMPUTED_VALUE"""),"Arequipa - Universidad Católica de Santa María")</f>
        <v>Arequipa - Universidad Católica de Santa María</v>
      </c>
      <c r="W46" s="43" t="str">
        <f>IFERROR(__xludf.DUMMYFUNCTION("""COMPUTED_VALUE"""),"2022-07-16T19:48:04Z")</f>
        <v>2022-07-16T19:48:04Z</v>
      </c>
      <c r="X46" s="43"/>
      <c r="Y46" s="43"/>
      <c r="Z46" s="43"/>
    </row>
    <row r="47" hidden="1">
      <c r="A47" s="43" t="str">
        <f>IFERROR(__xludf.DUMMYFUNCTION("""COMPUTED_VALUE"""),"5059690_1288299")</f>
        <v>5059690_1288299</v>
      </c>
      <c r="B47" s="43" t="str">
        <f>IFERROR(__xludf.DUMMYFUNCTION("""COMPUTED_VALUE"""),"Elhussein Sabri")</f>
        <v>Elhussein Sabri</v>
      </c>
      <c r="C47" s="43" t="str">
        <f>IFERROR(__xludf.DUMMYFUNCTION("""COMPUTED_VALUE"""),"realization_broken")</f>
        <v>realization_broken</v>
      </c>
      <c r="D47" s="43" t="str">
        <f>IFERROR(__xludf.DUMMYFUNCTION("""COMPUTED_VALUE"""),"No")</f>
        <v>No</v>
      </c>
      <c r="E47" s="43" t="str">
        <f>IFERROR(__xludf.DUMMYFUNCTION("""COMPUTED_VALUE"""),"p_ef05ee51c8a982b96fce3d907ab63f4731729203@inbound.aiesec.org")</f>
        <v>p_ef05ee51c8a982b96fce3d907ab63f4731729203@inbound.aiesec.org</v>
      </c>
      <c r="F47" s="43">
        <f>IFERROR(__xludf.DUMMYFUNCTION("""COMPUTED_VALUE"""),1.202326369E9)</f>
        <v>1202326369</v>
      </c>
      <c r="G47" s="43" t="str">
        <f>IFERROR(__xludf.DUMMYFUNCTION("""COMPUTED_VALUE"""),"Egypt")</f>
        <v>Egypt</v>
      </c>
      <c r="H47" s="43" t="str">
        <f>IFERROR(__xludf.DUMMYFUNCTION("""COMPUTED_VALUE"""),"Alexandria")</f>
        <v>Alexandria</v>
      </c>
      <c r="I47" s="43" t="str">
        <f>IFERROR(__xludf.DUMMYFUNCTION("""COMPUTED_VALUE"""),"Turkey")</f>
        <v>Turkey</v>
      </c>
      <c r="J47" s="43" t="str">
        <f>IFERROR(__xludf.DUMMYFUNCTION("""COMPUTED_VALUE"""),"ISTANBUL")</f>
        <v>ISTANBUL</v>
      </c>
      <c r="K47" s="44" t="str">
        <f>IFERROR(__xludf.DUMMYFUNCTION("""COMPUTED_VALUE"""),"https://expa.aiesec.org/opportunities/1288299")</f>
        <v>https://expa.aiesec.org/opportunities/1288299</v>
      </c>
      <c r="L47" s="43" t="str">
        <f>IFERROR(__xludf.DUMMYFUNCTION("""COMPUTED_VALUE"""),"GV")</f>
        <v>GV</v>
      </c>
      <c r="M47" s="43" t="str">
        <f>IFERROR(__xludf.DUMMYFUNCTION("""COMPUTED_VALUE"""),"short")</f>
        <v>short</v>
      </c>
      <c r="N47" s="45">
        <f>IFERROR(__xludf.DUMMYFUNCTION("""COMPUTED_VALUE"""),44761.0)</f>
        <v>44761</v>
      </c>
      <c r="O47" s="45">
        <f>IFERROR(__xludf.DUMMYFUNCTION("""COMPUTED_VALUE"""),44774.0)</f>
        <v>44774</v>
      </c>
      <c r="P47" s="45">
        <f>IFERROR(__xludf.DUMMYFUNCTION("""COMPUTED_VALUE"""),44829.0)</f>
        <v>44829</v>
      </c>
      <c r="Q47" s="45"/>
      <c r="R47" s="45"/>
      <c r="S47" s="43"/>
      <c r="T47" s="43"/>
      <c r="U47" s="43" t="str">
        <f>IFERROR(__xludf.DUMMYFUNCTION("""COMPUTED_VALUE"""),"Global Classroom")</f>
        <v>Global Classroom</v>
      </c>
      <c r="V47" s="43" t="str">
        <f>IFERROR(__xludf.DUMMYFUNCTION("""COMPUTED_VALUE"""),"Alexandria University")</f>
        <v>Alexandria University</v>
      </c>
      <c r="W47" s="43" t="str">
        <f>IFERROR(__xludf.DUMMYFUNCTION("""COMPUTED_VALUE"""),"2022-05-19T00:59:10Z")</f>
        <v>2022-05-19T00:59:10Z</v>
      </c>
      <c r="X47" s="43"/>
      <c r="Y47" s="43"/>
      <c r="Z47" s="43"/>
    </row>
    <row r="48" hidden="1">
      <c r="A48" s="43" t="str">
        <f>IFERROR(__xludf.DUMMYFUNCTION("""COMPUTED_VALUE"""),"4364060_1287925")</f>
        <v>4364060_1287925</v>
      </c>
      <c r="B48" s="43" t="str">
        <f>IFERROR(__xludf.DUMMYFUNCTION("""COMPUTED_VALUE"""),"Cheima Letaief")</f>
        <v>Cheima Letaief</v>
      </c>
      <c r="C48" s="43" t="str">
        <f>IFERROR(__xludf.DUMMYFUNCTION("""COMPUTED_VALUE"""),"completed")</f>
        <v>completed</v>
      </c>
      <c r="D48" s="43" t="str">
        <f>IFERROR(__xludf.DUMMYFUNCTION("""COMPUTED_VALUE"""),"No")</f>
        <v>No</v>
      </c>
      <c r="E48" s="43" t="str">
        <f>IFERROR(__xludf.DUMMYFUNCTION("""COMPUTED_VALUE"""),"p_48bd9bdfcfd2de393151e8b5a815b7bf44702725@inbound.aiesec.org")</f>
        <v>p_48bd9bdfcfd2de393151e8b5a815b7bf44702725@inbound.aiesec.org</v>
      </c>
      <c r="F48" s="43">
        <f>IFERROR(__xludf.DUMMYFUNCTION("""COMPUTED_VALUE"""),2.6566995E7)</f>
        <v>26566995</v>
      </c>
      <c r="G48" s="43" t="str">
        <f>IFERROR(__xludf.DUMMYFUNCTION("""COMPUTED_VALUE"""),"Tunisia")</f>
        <v>Tunisia</v>
      </c>
      <c r="H48" s="43" t="str">
        <f>IFERROR(__xludf.DUMMYFUNCTION("""COMPUTED_VALUE"""),"HADRUMET")</f>
        <v>HADRUMET</v>
      </c>
      <c r="I48" s="43" t="str">
        <f>IFERROR(__xludf.DUMMYFUNCTION("""COMPUTED_VALUE"""),"Turkey")</f>
        <v>Turkey</v>
      </c>
      <c r="J48" s="43" t="str">
        <f>IFERROR(__xludf.DUMMYFUNCTION("""COMPUTED_VALUE"""),"DENIZLI")</f>
        <v>DENIZLI</v>
      </c>
      <c r="K48" s="44" t="str">
        <f>IFERROR(__xludf.DUMMYFUNCTION("""COMPUTED_VALUE"""),"https://expa.aiesec.org/opportunities/1287925")</f>
        <v>https://expa.aiesec.org/opportunities/1287925</v>
      </c>
      <c r="L48" s="43" t="str">
        <f>IFERROR(__xludf.DUMMYFUNCTION("""COMPUTED_VALUE"""),"GV")</f>
        <v>GV</v>
      </c>
      <c r="M48" s="43" t="str">
        <f>IFERROR(__xludf.DUMMYFUNCTION("""COMPUTED_VALUE"""),"short")</f>
        <v>short</v>
      </c>
      <c r="N48" s="45">
        <f>IFERROR(__xludf.DUMMYFUNCTION("""COMPUTED_VALUE"""),44763.0)</f>
        <v>44763</v>
      </c>
      <c r="O48" s="45">
        <f>IFERROR(__xludf.DUMMYFUNCTION("""COMPUTED_VALUE"""),44774.0)</f>
        <v>44774</v>
      </c>
      <c r="P48" s="45">
        <f>IFERROR(__xludf.DUMMYFUNCTION("""COMPUTED_VALUE"""),44816.0)</f>
        <v>44816</v>
      </c>
      <c r="Q48" s="45">
        <f>IFERROR(__xludf.DUMMYFUNCTION("""COMPUTED_VALUE"""),44774.0)</f>
        <v>44774</v>
      </c>
      <c r="R48" s="45">
        <f>IFERROR(__xludf.DUMMYFUNCTION("""COMPUTED_VALUE"""),44816.0)</f>
        <v>44816</v>
      </c>
      <c r="S48" s="43"/>
      <c r="T48" s="43"/>
      <c r="U48" s="43" t="str">
        <f>IFERROR(__xludf.DUMMYFUNCTION("""COMPUTED_VALUE"""),"Youth 4 Impact")</f>
        <v>Youth 4 Impact</v>
      </c>
      <c r="V48" s="43" t="str">
        <f>IFERROR(__xludf.DUMMYFUNCTION("""COMPUTED_VALUE"""),"ISSAT Sousse")</f>
        <v>ISSAT Sousse</v>
      </c>
      <c r="W48" s="43" t="str">
        <f>IFERROR(__xludf.DUMMYFUNCTION("""COMPUTED_VALUE"""),"2020-09-08T18:05:14Z")</f>
        <v>2020-09-08T18:05:14Z</v>
      </c>
      <c r="X48" s="43"/>
      <c r="Y48" s="43"/>
      <c r="Z48" s="43"/>
    </row>
    <row r="49" hidden="1">
      <c r="A49" s="43" t="str">
        <f>IFERROR(__xludf.DUMMYFUNCTION("""COMPUTED_VALUE"""),"5066803_1288393")</f>
        <v>5066803_1288393</v>
      </c>
      <c r="B49" s="43" t="str">
        <f>IFERROR(__xludf.DUMMYFUNCTION("""COMPUTED_VALUE"""),"Engy Ehab")</f>
        <v>Engy Ehab</v>
      </c>
      <c r="C49" s="43" t="str">
        <f>IFERROR(__xludf.DUMMYFUNCTION("""COMPUTED_VALUE"""),"realization_broken")</f>
        <v>realization_broken</v>
      </c>
      <c r="D49" s="43" t="str">
        <f>IFERROR(__xludf.DUMMYFUNCTION("""COMPUTED_VALUE"""),"No")</f>
        <v>No</v>
      </c>
      <c r="E49" s="43" t="str">
        <f>IFERROR(__xludf.DUMMYFUNCTION("""COMPUTED_VALUE"""),"p_e36b7d1fb7e7ae793a12d2f7a6b01eee630c0c3a@inbound.aiesec.org")</f>
        <v>p_e36b7d1fb7e7ae793a12d2f7a6b01eee630c0c3a@inbound.aiesec.org</v>
      </c>
      <c r="F49" s="43">
        <f>IFERROR(__xludf.DUMMYFUNCTION("""COMPUTED_VALUE"""),1.096425218E9)</f>
        <v>1096425218</v>
      </c>
      <c r="G49" s="43" t="str">
        <f>IFERROR(__xludf.DUMMYFUNCTION("""COMPUTED_VALUE"""),"Egypt")</f>
        <v>Egypt</v>
      </c>
      <c r="H49" s="43" t="str">
        <f>IFERROR(__xludf.DUMMYFUNCTION("""COMPUTED_VALUE"""),"MUST")</f>
        <v>MUST</v>
      </c>
      <c r="I49" s="43" t="str">
        <f>IFERROR(__xludf.DUMMYFUNCTION("""COMPUTED_VALUE"""),"Turkey")</f>
        <v>Turkey</v>
      </c>
      <c r="J49" s="43" t="str">
        <f>IFERROR(__xludf.DUMMYFUNCTION("""COMPUTED_VALUE"""),"ISTANBUL")</f>
        <v>ISTANBUL</v>
      </c>
      <c r="K49" s="44" t="str">
        <f>IFERROR(__xludf.DUMMYFUNCTION("""COMPUTED_VALUE"""),"https://expa.aiesec.org/opportunities/1288393")</f>
        <v>https://expa.aiesec.org/opportunities/1288393</v>
      </c>
      <c r="L49" s="43" t="str">
        <f>IFERROR(__xludf.DUMMYFUNCTION("""COMPUTED_VALUE"""),"GV")</f>
        <v>GV</v>
      </c>
      <c r="M49" s="43" t="str">
        <f>IFERROR(__xludf.DUMMYFUNCTION("""COMPUTED_VALUE"""),"short")</f>
        <v>short</v>
      </c>
      <c r="N49" s="45">
        <f>IFERROR(__xludf.DUMMYFUNCTION("""COMPUTED_VALUE"""),44763.0)</f>
        <v>44763</v>
      </c>
      <c r="O49" s="45">
        <f>IFERROR(__xludf.DUMMYFUNCTION("""COMPUTED_VALUE"""),44781.0)</f>
        <v>44781</v>
      </c>
      <c r="P49" s="45">
        <f>IFERROR(__xludf.DUMMYFUNCTION("""COMPUTED_VALUE"""),44823.0)</f>
        <v>44823</v>
      </c>
      <c r="Q49" s="45"/>
      <c r="R49" s="45"/>
      <c r="S49" s="43"/>
      <c r="T49" s="43"/>
      <c r="U49" s="43" t="str">
        <f>IFERROR(__xludf.DUMMYFUNCTION("""COMPUTED_VALUE"""),"Global Classroom")</f>
        <v>Global Classroom</v>
      </c>
      <c r="V49" s="43" t="str">
        <f>IFERROR(__xludf.DUMMYFUNCTION("""COMPUTED_VALUE"""),"MUST University")</f>
        <v>MUST University</v>
      </c>
      <c r="W49" s="43" t="str">
        <f>IFERROR(__xludf.DUMMYFUNCTION("""COMPUTED_VALUE"""),"2022-05-31T22:04:23Z")</f>
        <v>2022-05-31T22:04:23Z</v>
      </c>
      <c r="X49" s="43"/>
      <c r="Y49" s="43"/>
      <c r="Z49" s="43"/>
    </row>
    <row r="50" hidden="1">
      <c r="A50" s="43" t="str">
        <f>IFERROR(__xludf.DUMMYFUNCTION("""COMPUTED_VALUE"""),"5079042_1287174")</f>
        <v>5079042_1287174</v>
      </c>
      <c r="B50" s="43" t="str">
        <f>IFERROR(__xludf.DUMMYFUNCTION("""COMPUTED_VALUE"""),"Nabi Nabiyev")</f>
        <v>Nabi Nabiyev</v>
      </c>
      <c r="C50" s="43" t="str">
        <f>IFERROR(__xludf.DUMMYFUNCTION("""COMPUTED_VALUE"""),"completed")</f>
        <v>completed</v>
      </c>
      <c r="D50" s="43" t="str">
        <f>IFERROR(__xludf.DUMMYFUNCTION("""COMPUTED_VALUE"""),"No")</f>
        <v>No</v>
      </c>
      <c r="E50" s="43" t="str">
        <f>IFERROR(__xludf.DUMMYFUNCTION("""COMPUTED_VALUE"""),"p_4188970d8fe2dc6caa2f7431560caa7d74e9f35d@inbound.aiesec.org")</f>
        <v>p_4188970d8fe2dc6caa2f7431560caa7d74e9f35d@inbound.aiesec.org</v>
      </c>
      <c r="F50" s="43">
        <f>IFERROR(__xludf.DUMMYFUNCTION("""COMPUTED_VALUE"""),5.02220373E8)</f>
        <v>502220373</v>
      </c>
      <c r="G50" s="43" t="str">
        <f>IFERROR(__xludf.DUMMYFUNCTION("""COMPUTED_VALUE"""),"Azerbaijan")</f>
        <v>Azerbaijan</v>
      </c>
      <c r="H50" s="43" t="str">
        <f>IFERROR(__xludf.DUMMYFUNCTION("""COMPUTED_VALUE"""),"Baku ADA")</f>
        <v>Baku ADA</v>
      </c>
      <c r="I50" s="43" t="str">
        <f>IFERROR(__xludf.DUMMYFUNCTION("""COMPUTED_VALUE"""),"Turkey")</f>
        <v>Turkey</v>
      </c>
      <c r="J50" s="43" t="str">
        <f>IFERROR(__xludf.DUMMYFUNCTION("""COMPUTED_VALUE"""),"ANKARA")</f>
        <v>ANKARA</v>
      </c>
      <c r="K50" s="44" t="str">
        <f>IFERROR(__xludf.DUMMYFUNCTION("""COMPUTED_VALUE"""),"https://expa.aiesec.org/opportunities/1287174")</f>
        <v>https://expa.aiesec.org/opportunities/1287174</v>
      </c>
      <c r="L50" s="43" t="str">
        <f>IFERROR(__xludf.DUMMYFUNCTION("""COMPUTED_VALUE"""),"GV")</f>
        <v>GV</v>
      </c>
      <c r="M50" s="43" t="str">
        <f>IFERROR(__xludf.DUMMYFUNCTION("""COMPUTED_VALUE"""),"short")</f>
        <v>short</v>
      </c>
      <c r="N50" s="45">
        <f>IFERROR(__xludf.DUMMYFUNCTION("""COMPUTED_VALUE"""),44763.0)</f>
        <v>44763</v>
      </c>
      <c r="O50" s="45">
        <f>IFERROR(__xludf.DUMMYFUNCTION("""COMPUTED_VALUE"""),44774.0)</f>
        <v>44774</v>
      </c>
      <c r="P50" s="45">
        <f>IFERROR(__xludf.DUMMYFUNCTION("""COMPUTED_VALUE"""),44816.0)</f>
        <v>44816</v>
      </c>
      <c r="Q50" s="45">
        <f>IFERROR(__xludf.DUMMYFUNCTION("""COMPUTED_VALUE"""),44774.0)</f>
        <v>44774</v>
      </c>
      <c r="R50" s="45">
        <f>IFERROR(__xludf.DUMMYFUNCTION("""COMPUTED_VALUE"""),44816.0)</f>
        <v>44816</v>
      </c>
      <c r="S50" s="43"/>
      <c r="T50" s="43"/>
      <c r="U50" s="43" t="str">
        <f>IFERROR(__xludf.DUMMYFUNCTION("""COMPUTED_VALUE"""),"Global Classroom")</f>
        <v>Global Classroom</v>
      </c>
      <c r="V50" s="43" t="str">
        <f>IFERROR(__xludf.DUMMYFUNCTION("""COMPUTED_VALUE"""),"Azerbaijan State Oil and Industry University")</f>
        <v>Azerbaijan State Oil and Industry University</v>
      </c>
      <c r="W50" s="43" t="str">
        <f>IFERROR(__xludf.DUMMYFUNCTION("""COMPUTED_VALUE"""),"2022-07-02T12:13:42Z")</f>
        <v>2022-07-02T12:13:42Z</v>
      </c>
      <c r="X50" s="43"/>
      <c r="Y50" s="43"/>
      <c r="Z50" s="43"/>
    </row>
    <row r="51" hidden="1">
      <c r="A51" s="43" t="str">
        <f>IFERROR(__xludf.DUMMYFUNCTION("""COMPUTED_VALUE"""),"4901551_1288279")</f>
        <v>4901551_1288279</v>
      </c>
      <c r="B51" s="43" t="str">
        <f>IFERROR(__xludf.DUMMYFUNCTION("""COMPUTED_VALUE"""),"noor ul ain")</f>
        <v>noor ul ain</v>
      </c>
      <c r="C51" s="43" t="str">
        <f>IFERROR(__xludf.DUMMYFUNCTION("""COMPUTED_VALUE"""),"completed")</f>
        <v>completed</v>
      </c>
      <c r="D51" s="43" t="str">
        <f>IFERROR(__xludf.DUMMYFUNCTION("""COMPUTED_VALUE"""),"No")</f>
        <v>No</v>
      </c>
      <c r="E51" s="43" t="str">
        <f>IFERROR(__xludf.DUMMYFUNCTION("""COMPUTED_VALUE"""),"p_49f2b22a58e20984b7c9680937ea217663b6e0de@inbound.aiesec.org")</f>
        <v>p_49f2b22a58e20984b7c9680937ea217663b6e0de@inbound.aiesec.org</v>
      </c>
      <c r="F51" s="43">
        <f>IFERROR(__xludf.DUMMYFUNCTION("""COMPUTED_VALUE"""),3.314110049E9)</f>
        <v>3314110049</v>
      </c>
      <c r="G51" s="43" t="str">
        <f>IFERROR(__xludf.DUMMYFUNCTION("""COMPUTED_VALUE"""),"Pakistan")</f>
        <v>Pakistan</v>
      </c>
      <c r="H51" s="43" t="str">
        <f>IFERROR(__xludf.DUMMYFUNCTION("""COMPUTED_VALUE"""),"Islamabad")</f>
        <v>Islamabad</v>
      </c>
      <c r="I51" s="43" t="str">
        <f>IFERROR(__xludf.DUMMYFUNCTION("""COMPUTED_VALUE"""),"Turkey")</f>
        <v>Turkey</v>
      </c>
      <c r="J51" s="43" t="str">
        <f>IFERROR(__xludf.DUMMYFUNCTION("""COMPUTED_VALUE"""),"İZMİR")</f>
        <v>İZMİR</v>
      </c>
      <c r="K51" s="44" t="str">
        <f>IFERROR(__xludf.DUMMYFUNCTION("""COMPUTED_VALUE"""),"https://expa.aiesec.org/opportunities/1288279")</f>
        <v>https://expa.aiesec.org/opportunities/1288279</v>
      </c>
      <c r="L51" s="43" t="str">
        <f>IFERROR(__xludf.DUMMYFUNCTION("""COMPUTED_VALUE"""),"GV")</f>
        <v>GV</v>
      </c>
      <c r="M51" s="43" t="str">
        <f>IFERROR(__xludf.DUMMYFUNCTION("""COMPUTED_VALUE"""),"short")</f>
        <v>short</v>
      </c>
      <c r="N51" s="45">
        <f>IFERROR(__xludf.DUMMYFUNCTION("""COMPUTED_VALUE"""),44765.0)</f>
        <v>44765</v>
      </c>
      <c r="O51" s="45">
        <f>IFERROR(__xludf.DUMMYFUNCTION("""COMPUTED_VALUE"""),44794.0)</f>
        <v>44794</v>
      </c>
      <c r="P51" s="45">
        <f>IFERROR(__xludf.DUMMYFUNCTION("""COMPUTED_VALUE"""),44836.0)</f>
        <v>44836</v>
      </c>
      <c r="Q51" s="45">
        <f>IFERROR(__xludf.DUMMYFUNCTION("""COMPUTED_VALUE"""),44800.0)</f>
        <v>44800</v>
      </c>
      <c r="R51" s="45">
        <f>IFERROR(__xludf.DUMMYFUNCTION("""COMPUTED_VALUE"""),44840.0)</f>
        <v>44840</v>
      </c>
      <c r="S51" s="43"/>
      <c r="T51" s="43"/>
      <c r="U51" s="43" t="str">
        <f>IFERROR(__xludf.DUMMYFUNCTION("""COMPUTED_VALUE"""),"Youth 4 Impact")</f>
        <v>Youth 4 Impact</v>
      </c>
      <c r="V51" s="43" t="str">
        <f>IFERROR(__xludf.DUMMYFUNCTION("""COMPUTED_VALUE"""),"Islamabad - National Defence University (NDU)")</f>
        <v>Islamabad - National Defence University (NDU)</v>
      </c>
      <c r="W51" s="43" t="str">
        <f>IFERROR(__xludf.DUMMYFUNCTION("""COMPUTED_VALUE"""),"2022-01-27T17:46:12Z")</f>
        <v>2022-01-27T17:46:12Z</v>
      </c>
      <c r="X51" s="43"/>
      <c r="Y51" s="43"/>
      <c r="Z51" s="43"/>
    </row>
    <row r="52" hidden="1">
      <c r="A52" s="43" t="str">
        <f>IFERROR(__xludf.DUMMYFUNCTION("""COMPUTED_VALUE"""),"4744716_1287226")</f>
        <v>4744716_1287226</v>
      </c>
      <c r="B52" s="43" t="str">
        <f>IFERROR(__xludf.DUMMYFUNCTION("""COMPUTED_VALUE"""),"Hafsa El ghouri")</f>
        <v>Hafsa El ghouri</v>
      </c>
      <c r="C52" s="43" t="str">
        <f>IFERROR(__xludf.DUMMYFUNCTION("""COMPUTED_VALUE"""),"finished")</f>
        <v>finished</v>
      </c>
      <c r="D52" s="43" t="str">
        <f>IFERROR(__xludf.DUMMYFUNCTION("""COMPUTED_VALUE"""),"No")</f>
        <v>No</v>
      </c>
      <c r="E52" s="43" t="str">
        <f>IFERROR(__xludf.DUMMYFUNCTION("""COMPUTED_VALUE"""),"p_3e8ae8d255e1372f01e954a06df2567a1d1096b6@inbound.aiesec.org")</f>
        <v>p_3e8ae8d255e1372f01e954a06df2567a1d1096b6@inbound.aiesec.org</v>
      </c>
      <c r="F52" s="43">
        <f>IFERROR(__xludf.DUMMYFUNCTION("""COMPUTED_VALUE"""),6.87592025E8)</f>
        <v>687592025</v>
      </c>
      <c r="G52" s="43" t="str">
        <f>IFERROR(__xludf.DUMMYFUNCTION("""COMPUTED_VALUE"""),"Morocco")</f>
        <v>Morocco</v>
      </c>
      <c r="H52" s="43" t="str">
        <f>IFERROR(__xludf.DUMMYFUNCTION("""COMPUTED_VALUE"""),"Tangier")</f>
        <v>Tangier</v>
      </c>
      <c r="I52" s="43" t="str">
        <f>IFERROR(__xludf.DUMMYFUNCTION("""COMPUTED_VALUE"""),"Turkey")</f>
        <v>Turkey</v>
      </c>
      <c r="J52" s="43" t="str">
        <f>IFERROR(__xludf.DUMMYFUNCTION("""COMPUTED_VALUE"""),"ISTANBUL ASIA")</f>
        <v>ISTANBUL ASIA</v>
      </c>
      <c r="K52" s="44" t="str">
        <f>IFERROR(__xludf.DUMMYFUNCTION("""COMPUTED_VALUE"""),"https://expa.aiesec.org/opportunities/1287226")</f>
        <v>https://expa.aiesec.org/opportunities/1287226</v>
      </c>
      <c r="L52" s="43" t="str">
        <f>IFERROR(__xludf.DUMMYFUNCTION("""COMPUTED_VALUE"""),"GV")</f>
        <v>GV</v>
      </c>
      <c r="M52" s="43" t="str">
        <f>IFERROR(__xludf.DUMMYFUNCTION("""COMPUTED_VALUE"""),"short")</f>
        <v>short</v>
      </c>
      <c r="N52" s="45">
        <f>IFERROR(__xludf.DUMMYFUNCTION("""COMPUTED_VALUE"""),44766.0)</f>
        <v>44766</v>
      </c>
      <c r="O52" s="45">
        <f>IFERROR(__xludf.DUMMYFUNCTION("""COMPUTED_VALUE"""),44767.0)</f>
        <v>44767</v>
      </c>
      <c r="P52" s="45">
        <f>IFERROR(__xludf.DUMMYFUNCTION("""COMPUTED_VALUE"""),44809.0)</f>
        <v>44809</v>
      </c>
      <c r="Q52" s="45">
        <f>IFERROR(__xludf.DUMMYFUNCTION("""COMPUTED_VALUE"""),44769.0)</f>
        <v>44769</v>
      </c>
      <c r="R52" s="45">
        <f>IFERROR(__xludf.DUMMYFUNCTION("""COMPUTED_VALUE"""),44809.0)</f>
        <v>44809</v>
      </c>
      <c r="S52" s="43"/>
      <c r="T52" s="43"/>
      <c r="U52" s="43" t="str">
        <f>IFERROR(__xludf.DUMMYFUNCTION("""COMPUTED_VALUE"""),"Global Classroom")</f>
        <v>Global Classroom</v>
      </c>
      <c r="V52" s="43" t="str">
        <f>IFERROR(__xludf.DUMMYFUNCTION("""COMPUTED_VALUE"""),"FSJES Tanger")</f>
        <v>FSJES Tanger</v>
      </c>
      <c r="W52" s="43" t="str">
        <f>IFERROR(__xludf.DUMMYFUNCTION("""COMPUTED_VALUE"""),"2021-09-21T17:45:28Z")</f>
        <v>2021-09-21T17:45:28Z</v>
      </c>
      <c r="X52" s="43"/>
      <c r="Y52" s="43"/>
      <c r="Z52" s="43"/>
    </row>
    <row r="53" hidden="1">
      <c r="A53" s="43" t="str">
        <f>IFERROR(__xludf.DUMMYFUNCTION("""COMPUTED_VALUE"""),"4222295_1279516")</f>
        <v>4222295_1279516</v>
      </c>
      <c r="B53" s="43" t="str">
        <f>IFERROR(__xludf.DUMMYFUNCTION("""COMPUTED_VALUE"""),"Saiefeddine Azaiez")</f>
        <v>Saiefeddine Azaiez</v>
      </c>
      <c r="C53" s="43" t="str">
        <f>IFERROR(__xludf.DUMMYFUNCTION("""COMPUTED_VALUE"""),"completed")</f>
        <v>completed</v>
      </c>
      <c r="D53" s="43" t="str">
        <f>IFERROR(__xludf.DUMMYFUNCTION("""COMPUTED_VALUE"""),"No")</f>
        <v>No</v>
      </c>
      <c r="E53" s="43" t="str">
        <f>IFERROR(__xludf.DUMMYFUNCTION("""COMPUTED_VALUE"""),"p_2da9c854370784a070383d29c59c8faaceffd810@inbound.aiesec.org")</f>
        <v>p_2da9c854370784a070383d29c59c8faaceffd810@inbound.aiesec.org</v>
      </c>
      <c r="F53" s="43">
        <f>IFERROR(__xludf.DUMMYFUNCTION("""COMPUTED_VALUE"""),5.6598782E7)</f>
        <v>56598782</v>
      </c>
      <c r="G53" s="43" t="str">
        <f>IFERROR(__xludf.DUMMYFUNCTION("""COMPUTED_VALUE"""),"Tunisia")</f>
        <v>Tunisia</v>
      </c>
      <c r="H53" s="43" t="str">
        <f>IFERROR(__xludf.DUMMYFUNCTION("""COMPUTED_VALUE"""),"HADRUMET")</f>
        <v>HADRUMET</v>
      </c>
      <c r="I53" s="43" t="str">
        <f>IFERROR(__xludf.DUMMYFUNCTION("""COMPUTED_VALUE"""),"Turkey")</f>
        <v>Turkey</v>
      </c>
      <c r="J53" s="43" t="str">
        <f>IFERROR(__xludf.DUMMYFUNCTION("""COMPUTED_VALUE"""),"KOCAELI")</f>
        <v>KOCAELI</v>
      </c>
      <c r="K53" s="44" t="str">
        <f>IFERROR(__xludf.DUMMYFUNCTION("""COMPUTED_VALUE"""),"https://expa.aiesec.org/opportunities/1279516")</f>
        <v>https://expa.aiesec.org/opportunities/1279516</v>
      </c>
      <c r="L53" s="43" t="str">
        <f>IFERROR(__xludf.DUMMYFUNCTION("""COMPUTED_VALUE"""),"GV")</f>
        <v>GV</v>
      </c>
      <c r="M53" s="43" t="str">
        <f>IFERROR(__xludf.DUMMYFUNCTION("""COMPUTED_VALUE"""),"short")</f>
        <v>short</v>
      </c>
      <c r="N53" s="45">
        <f>IFERROR(__xludf.DUMMYFUNCTION("""COMPUTED_VALUE"""),44767.0)</f>
        <v>44767</v>
      </c>
      <c r="O53" s="45">
        <f>IFERROR(__xludf.DUMMYFUNCTION("""COMPUTED_VALUE"""),44823.0)</f>
        <v>44823</v>
      </c>
      <c r="P53" s="45">
        <f>IFERROR(__xludf.DUMMYFUNCTION("""COMPUTED_VALUE"""),44865.0)</f>
        <v>44865</v>
      </c>
      <c r="Q53" s="45">
        <f>IFERROR(__xludf.DUMMYFUNCTION("""COMPUTED_VALUE"""),44825.0)</f>
        <v>44825</v>
      </c>
      <c r="R53" s="45">
        <f>IFERROR(__xludf.DUMMYFUNCTION("""COMPUTED_VALUE"""),44863.0)</f>
        <v>44863</v>
      </c>
      <c r="S53" s="43"/>
      <c r="T53" s="43"/>
      <c r="U53" s="43" t="str">
        <f>IFERROR(__xludf.DUMMYFUNCTION("""COMPUTED_VALUE"""),"Global Classroom")</f>
        <v>Global Classroom</v>
      </c>
      <c r="V53" s="43" t="str">
        <f>IFERROR(__xludf.DUMMYFUNCTION("""COMPUTED_VALUE"""),"ESSTHS")</f>
        <v>ESSTHS</v>
      </c>
      <c r="W53" s="43" t="str">
        <f>IFERROR(__xludf.DUMMYFUNCTION("""COMPUTED_VALUE"""),"2020-02-28T12:50:12Z")</f>
        <v>2020-02-28T12:50:12Z</v>
      </c>
      <c r="X53" s="43"/>
      <c r="Y53" s="43"/>
      <c r="Z53" s="43"/>
    </row>
    <row r="54" hidden="1">
      <c r="A54" s="43" t="str">
        <f>IFERROR(__xludf.DUMMYFUNCTION("""COMPUTED_VALUE"""),"5084329_1287251")</f>
        <v>5084329_1287251</v>
      </c>
      <c r="B54" s="43" t="str">
        <f>IFERROR(__xludf.DUMMYFUNCTION("""COMPUTED_VALUE"""),"Hiruni Koralegedara")</f>
        <v>Hiruni Koralegedara</v>
      </c>
      <c r="C54" s="43" t="str">
        <f>IFERROR(__xludf.DUMMYFUNCTION("""COMPUTED_VALUE"""),"completed")</f>
        <v>completed</v>
      </c>
      <c r="D54" s="43" t="str">
        <f>IFERROR(__xludf.DUMMYFUNCTION("""COMPUTED_VALUE"""),"No")</f>
        <v>No</v>
      </c>
      <c r="E54" s="43" t="str">
        <f>IFERROR(__xludf.DUMMYFUNCTION("""COMPUTED_VALUE"""),"p_28fe99dc3f6d05aa8976f9fa340a139d6265771b@inbound.aiesec.org")</f>
        <v>p_28fe99dc3f6d05aa8976f9fa340a139d6265771b@inbound.aiesec.org</v>
      </c>
      <c r="F54" s="43">
        <f>IFERROR(__xludf.DUMMYFUNCTION("""COMPUTED_VALUE"""),7.15193519E8)</f>
        <v>715193519</v>
      </c>
      <c r="G54" s="43" t="str">
        <f>IFERROR(__xludf.DUMMYFUNCTION("""COMPUTED_VALUE"""),"Sri Lanka")</f>
        <v>Sri Lanka</v>
      </c>
      <c r="H54" s="43" t="str">
        <f>IFERROR(__xludf.DUMMYFUNCTION("""COMPUTED_VALUE"""),"COLOMBO NORTH")</f>
        <v>COLOMBO NORTH</v>
      </c>
      <c r="I54" s="43" t="str">
        <f>IFERROR(__xludf.DUMMYFUNCTION("""COMPUTED_VALUE"""),"Turkey")</f>
        <v>Turkey</v>
      </c>
      <c r="J54" s="43" t="str">
        <f>IFERROR(__xludf.DUMMYFUNCTION("""COMPUTED_VALUE"""),"KOCAELI")</f>
        <v>KOCAELI</v>
      </c>
      <c r="K54" s="44" t="str">
        <f>IFERROR(__xludf.DUMMYFUNCTION("""COMPUTED_VALUE"""),"https://expa.aiesec.org/opportunities/1287251")</f>
        <v>https://expa.aiesec.org/opportunities/1287251</v>
      </c>
      <c r="L54" s="43" t="str">
        <f>IFERROR(__xludf.DUMMYFUNCTION("""COMPUTED_VALUE"""),"GV")</f>
        <v>GV</v>
      </c>
      <c r="M54" s="43" t="str">
        <f>IFERROR(__xludf.DUMMYFUNCTION("""COMPUTED_VALUE"""),"short")</f>
        <v>short</v>
      </c>
      <c r="N54" s="45">
        <f>IFERROR(__xludf.DUMMYFUNCTION("""COMPUTED_VALUE"""),44768.0)</f>
        <v>44768</v>
      </c>
      <c r="O54" s="45">
        <f>IFERROR(__xludf.DUMMYFUNCTION("""COMPUTED_VALUE"""),44802.0)</f>
        <v>44802</v>
      </c>
      <c r="P54" s="45">
        <f>IFERROR(__xludf.DUMMYFUNCTION("""COMPUTED_VALUE"""),44844.0)</f>
        <v>44844</v>
      </c>
      <c r="Q54" s="45">
        <f>IFERROR(__xludf.DUMMYFUNCTION("""COMPUTED_VALUE"""),44817.0)</f>
        <v>44817</v>
      </c>
      <c r="R54" s="45">
        <f>IFERROR(__xludf.DUMMYFUNCTION("""COMPUTED_VALUE"""),44849.0)</f>
        <v>44849</v>
      </c>
      <c r="S54" s="43"/>
      <c r="T54" s="43"/>
      <c r="U54" s="43" t="str">
        <f>IFERROR(__xludf.DUMMYFUNCTION("""COMPUTED_VALUE"""),"Heartbeat")</f>
        <v>Heartbeat</v>
      </c>
      <c r="V54" s="43" t="str">
        <f>IFERROR(__xludf.DUMMYFUNCTION("""COMPUTED_VALUE"""),"University of Kelaniya")</f>
        <v>University of Kelaniya</v>
      </c>
      <c r="W54" s="43" t="str">
        <f>IFERROR(__xludf.DUMMYFUNCTION("""COMPUTED_VALUE"""),"2022-07-20T09:17:05Z")</f>
        <v>2022-07-20T09:17:05Z</v>
      </c>
      <c r="X54" s="43"/>
      <c r="Y54" s="43"/>
      <c r="Z54" s="43"/>
    </row>
    <row r="55" hidden="1">
      <c r="A55" s="43" t="str">
        <f>IFERROR(__xludf.DUMMYFUNCTION("""COMPUTED_VALUE"""),"5083421_1287181")</f>
        <v>5083421_1287181</v>
      </c>
      <c r="B55" s="43" t="str">
        <f>IFERROR(__xludf.DUMMYFUNCTION("""COMPUTED_VALUE"""),"Adem Zarrouk")</f>
        <v>Adem Zarrouk</v>
      </c>
      <c r="C55" s="43" t="str">
        <f>IFERROR(__xludf.DUMMYFUNCTION("""COMPUTED_VALUE"""),"completed")</f>
        <v>completed</v>
      </c>
      <c r="D55" s="43" t="str">
        <f>IFERROR(__xludf.DUMMYFUNCTION("""COMPUTED_VALUE"""),"No")</f>
        <v>No</v>
      </c>
      <c r="E55" s="43" t="str">
        <f>IFERROR(__xludf.DUMMYFUNCTION("""COMPUTED_VALUE"""),"p_7fc8d02498cffaa5025a19d17a91025c09b3fd8e@inbound.aiesec.org")</f>
        <v>p_7fc8d02498cffaa5025a19d17a91025c09b3fd8e@inbound.aiesec.org</v>
      </c>
      <c r="F55" s="43">
        <f>IFERROR(__xludf.DUMMYFUNCTION("""COMPUTED_VALUE"""),5.5370293E7)</f>
        <v>55370293</v>
      </c>
      <c r="G55" s="43" t="str">
        <f>IFERROR(__xludf.DUMMYFUNCTION("""COMPUTED_VALUE"""),"Tunisia")</f>
        <v>Tunisia</v>
      </c>
      <c r="H55" s="43" t="str">
        <f>IFERROR(__xludf.DUMMYFUNCTION("""COMPUTED_VALUE"""),"BARDO")</f>
        <v>BARDO</v>
      </c>
      <c r="I55" s="43" t="str">
        <f>IFERROR(__xludf.DUMMYFUNCTION("""COMPUTED_VALUE"""),"Turkey")</f>
        <v>Turkey</v>
      </c>
      <c r="J55" s="43" t="str">
        <f>IFERROR(__xludf.DUMMYFUNCTION("""COMPUTED_VALUE"""),"ISTANBUL ASIA")</f>
        <v>ISTANBUL ASIA</v>
      </c>
      <c r="K55" s="44" t="str">
        <f>IFERROR(__xludf.DUMMYFUNCTION("""COMPUTED_VALUE"""),"https://expa.aiesec.org/opportunities/1287181")</f>
        <v>https://expa.aiesec.org/opportunities/1287181</v>
      </c>
      <c r="L55" s="43" t="str">
        <f>IFERROR(__xludf.DUMMYFUNCTION("""COMPUTED_VALUE"""),"GV")</f>
        <v>GV</v>
      </c>
      <c r="M55" s="43" t="str">
        <f>IFERROR(__xludf.DUMMYFUNCTION("""COMPUTED_VALUE"""),"short")</f>
        <v>short</v>
      </c>
      <c r="N55" s="45">
        <f>IFERROR(__xludf.DUMMYFUNCTION("""COMPUTED_VALUE"""),44768.0)</f>
        <v>44768</v>
      </c>
      <c r="O55" s="45">
        <f>IFERROR(__xludf.DUMMYFUNCTION("""COMPUTED_VALUE"""),44774.0)</f>
        <v>44774</v>
      </c>
      <c r="P55" s="45">
        <f>IFERROR(__xludf.DUMMYFUNCTION("""COMPUTED_VALUE"""),44816.0)</f>
        <v>44816</v>
      </c>
      <c r="Q55" s="45">
        <f>IFERROR(__xludf.DUMMYFUNCTION("""COMPUTED_VALUE"""),44776.0)</f>
        <v>44776</v>
      </c>
      <c r="R55" s="45">
        <f>IFERROR(__xludf.DUMMYFUNCTION("""COMPUTED_VALUE"""),44816.0)</f>
        <v>44816</v>
      </c>
      <c r="S55" s="43"/>
      <c r="T55" s="43"/>
      <c r="U55" s="43" t="str">
        <f>IFERROR(__xludf.DUMMYFUNCTION("""COMPUTED_VALUE"""),"Equify")</f>
        <v>Equify</v>
      </c>
      <c r="V55" s="43" t="str">
        <f>IFERROR(__xludf.DUMMYFUNCTION("""COMPUTED_VALUE"""),"ESSECT")</f>
        <v>ESSECT</v>
      </c>
      <c r="W55" s="43" t="str">
        <f>IFERROR(__xludf.DUMMYFUNCTION("""COMPUTED_VALUE"""),"2022-07-17T14:23:26Z")</f>
        <v>2022-07-17T14:23:26Z</v>
      </c>
      <c r="X55" s="43"/>
      <c r="Y55" s="43"/>
      <c r="Z55" s="43"/>
    </row>
    <row r="56" hidden="1">
      <c r="A56" s="43" t="str">
        <f>IFERROR(__xludf.DUMMYFUNCTION("""COMPUTED_VALUE"""),"4406044_1272564")</f>
        <v>4406044_1272564</v>
      </c>
      <c r="B56" s="43" t="str">
        <f>IFERROR(__xludf.DUMMYFUNCTION("""COMPUTED_VALUE"""),"Salma Elsherief")</f>
        <v>Salma Elsherief</v>
      </c>
      <c r="C56" s="43" t="str">
        <f>IFERROR(__xludf.DUMMYFUNCTION("""COMPUTED_VALUE"""),"finished")</f>
        <v>finished</v>
      </c>
      <c r="D56" s="43" t="str">
        <f>IFERROR(__xludf.DUMMYFUNCTION("""COMPUTED_VALUE"""),"No")</f>
        <v>No</v>
      </c>
      <c r="E56" s="43" t="str">
        <f>IFERROR(__xludf.DUMMYFUNCTION("""COMPUTED_VALUE"""),"p_859daad9762a1c5f88652d0fa57c5fe4d57eb15a@inbound.aiesec.org")</f>
        <v>p_859daad9762a1c5f88652d0fa57c5fe4d57eb15a@inbound.aiesec.org</v>
      </c>
      <c r="F56" s="43">
        <f>IFERROR(__xludf.DUMMYFUNCTION("""COMPUTED_VALUE"""),1.06167339E9)</f>
        <v>1061673390</v>
      </c>
      <c r="G56" s="43" t="str">
        <f>IFERROR(__xludf.DUMMYFUNCTION("""COMPUTED_VALUE"""),"Egypt")</f>
        <v>Egypt</v>
      </c>
      <c r="H56" s="43" t="str">
        <f>IFERROR(__xludf.DUMMYFUNCTION("""COMPUTED_VALUE"""),"Luxor &amp; Aswan (Closed)")</f>
        <v>Luxor &amp; Aswan (Closed)</v>
      </c>
      <c r="I56" s="43" t="str">
        <f>IFERROR(__xludf.DUMMYFUNCTION("""COMPUTED_VALUE"""),"Turkey")</f>
        <v>Turkey</v>
      </c>
      <c r="J56" s="43" t="str">
        <f>IFERROR(__xludf.DUMMYFUNCTION("""COMPUTED_VALUE"""),"ISTANBUL")</f>
        <v>ISTANBUL</v>
      </c>
      <c r="K56" s="44" t="str">
        <f>IFERROR(__xludf.DUMMYFUNCTION("""COMPUTED_VALUE"""),"https://expa.aiesec.org/opportunities/1272564")</f>
        <v>https://expa.aiesec.org/opportunities/1272564</v>
      </c>
      <c r="L56" s="43" t="str">
        <f>IFERROR(__xludf.DUMMYFUNCTION("""COMPUTED_VALUE"""),"GV")</f>
        <v>GV</v>
      </c>
      <c r="M56" s="43" t="str">
        <f>IFERROR(__xludf.DUMMYFUNCTION("""COMPUTED_VALUE"""),"short")</f>
        <v>short</v>
      </c>
      <c r="N56" s="45">
        <f>IFERROR(__xludf.DUMMYFUNCTION("""COMPUTED_VALUE"""),44768.0)</f>
        <v>44768</v>
      </c>
      <c r="O56" s="45">
        <f>IFERROR(__xludf.DUMMYFUNCTION("""COMPUTED_VALUE"""),44899.0)</f>
        <v>44899</v>
      </c>
      <c r="P56" s="45">
        <f>IFERROR(__xludf.DUMMYFUNCTION("""COMPUTED_VALUE"""),44941.0)</f>
        <v>44941</v>
      </c>
      <c r="Q56" s="45">
        <f>IFERROR(__xludf.DUMMYFUNCTION("""COMPUTED_VALUE"""),44905.0)</f>
        <v>44905</v>
      </c>
      <c r="R56" s="45">
        <f>IFERROR(__xludf.DUMMYFUNCTION("""COMPUTED_VALUE"""),44946.0)</f>
        <v>44946</v>
      </c>
      <c r="S56" s="43"/>
      <c r="T56" s="43"/>
      <c r="U56" s="43" t="str">
        <f>IFERROR(__xludf.DUMMYFUNCTION("""COMPUTED_VALUE"""),"Global Classroom")</f>
        <v>Global Classroom</v>
      </c>
      <c r="V56" s="43" t="str">
        <f>IFERROR(__xludf.DUMMYFUNCTION("""COMPUTED_VALUE"""),"Aswan")</f>
        <v>Aswan</v>
      </c>
      <c r="W56" s="43" t="str">
        <f>IFERROR(__xludf.DUMMYFUNCTION("""COMPUTED_VALUE"""),"2020-10-24T17:05:13Z")</f>
        <v>2020-10-24T17:05:13Z</v>
      </c>
      <c r="X56" s="43"/>
      <c r="Y56" s="43"/>
      <c r="Z56" s="43"/>
    </row>
    <row r="57" hidden="1">
      <c r="A57" s="43" t="str">
        <f>IFERROR(__xludf.DUMMYFUNCTION("""COMPUTED_VALUE"""),"4378743_1286326")</f>
        <v>4378743_1286326</v>
      </c>
      <c r="B57" s="43" t="str">
        <f>IFERROR(__xludf.DUMMYFUNCTION("""COMPUTED_VALUE"""),"Anass MOUSSAOUI")</f>
        <v>Anass MOUSSAOUI</v>
      </c>
      <c r="C57" s="43" t="str">
        <f>IFERROR(__xludf.DUMMYFUNCTION("""COMPUTED_VALUE"""),"finished")</f>
        <v>finished</v>
      </c>
      <c r="D57" s="43" t="str">
        <f>IFERROR(__xludf.DUMMYFUNCTION("""COMPUTED_VALUE"""),"No")</f>
        <v>No</v>
      </c>
      <c r="E57" s="43" t="str">
        <f>IFERROR(__xludf.DUMMYFUNCTION("""COMPUTED_VALUE"""),"p_f625fd49710bbe3415747163732db1e9ec8dc745@inbound.aiesec.org")</f>
        <v>p_f625fd49710bbe3415747163732db1e9ec8dc745@inbound.aiesec.org</v>
      </c>
      <c r="F57" s="43">
        <f>IFERROR(__xludf.DUMMYFUNCTION("""COMPUTED_VALUE"""),6.66534883E8)</f>
        <v>666534883</v>
      </c>
      <c r="G57" s="43" t="str">
        <f>IFERROR(__xludf.DUMMYFUNCTION("""COMPUTED_VALUE"""),"France")</f>
        <v>France</v>
      </c>
      <c r="H57" s="43" t="str">
        <f>IFERROR(__xludf.DUMMYFUNCTION("""COMPUTED_VALUE"""),"MC France")</f>
        <v>MC France</v>
      </c>
      <c r="I57" s="43" t="str">
        <f>IFERROR(__xludf.DUMMYFUNCTION("""COMPUTED_VALUE"""),"Turkey")</f>
        <v>Turkey</v>
      </c>
      <c r="J57" s="43" t="str">
        <f>IFERROR(__xludf.DUMMYFUNCTION("""COMPUTED_VALUE"""),"ADANA")</f>
        <v>ADANA</v>
      </c>
      <c r="K57" s="44" t="str">
        <f>IFERROR(__xludf.DUMMYFUNCTION("""COMPUTED_VALUE"""),"https://expa.aiesec.org/opportunities/1286326")</f>
        <v>https://expa.aiesec.org/opportunities/1286326</v>
      </c>
      <c r="L57" s="43" t="str">
        <f>IFERROR(__xludf.DUMMYFUNCTION("""COMPUTED_VALUE"""),"GV")</f>
        <v>GV</v>
      </c>
      <c r="M57" s="43" t="str">
        <f>IFERROR(__xludf.DUMMYFUNCTION("""COMPUTED_VALUE"""),"short")</f>
        <v>short</v>
      </c>
      <c r="N57" s="45">
        <f>IFERROR(__xludf.DUMMYFUNCTION("""COMPUTED_VALUE"""),44768.0)</f>
        <v>44768</v>
      </c>
      <c r="O57" s="45">
        <f>IFERROR(__xludf.DUMMYFUNCTION("""COMPUTED_VALUE"""),44865.0)</f>
        <v>44865</v>
      </c>
      <c r="P57" s="45">
        <f>IFERROR(__xludf.DUMMYFUNCTION("""COMPUTED_VALUE"""),44911.0)</f>
        <v>44911</v>
      </c>
      <c r="Q57" s="45">
        <f>IFERROR(__xludf.DUMMYFUNCTION("""COMPUTED_VALUE"""),44869.0)</f>
        <v>44869</v>
      </c>
      <c r="R57" s="45">
        <f>IFERROR(__xludf.DUMMYFUNCTION("""COMPUTED_VALUE"""),44911.0)</f>
        <v>44911</v>
      </c>
      <c r="S57" s="43"/>
      <c r="T57" s="43"/>
      <c r="U57" s="43" t="str">
        <f>IFERROR(__xludf.DUMMYFUNCTION("""COMPUTED_VALUE"""),"Equify")</f>
        <v>Equify</v>
      </c>
      <c r="V57" s="43" t="str">
        <f>IFERROR(__xludf.DUMMYFUNCTION("""COMPUTED_VALUE"""),"Bordeaux - KEDGE Bordeaux")</f>
        <v>Bordeaux - KEDGE Bordeaux</v>
      </c>
      <c r="W57" s="43" t="str">
        <f>IFERROR(__xludf.DUMMYFUNCTION("""COMPUTED_VALUE"""),"2020-09-25T13:12:51Z")</f>
        <v>2020-09-25T13:12:51Z</v>
      </c>
      <c r="X57" s="43"/>
      <c r="Y57" s="43"/>
      <c r="Z57" s="43"/>
    </row>
    <row r="58" hidden="1">
      <c r="A58" s="43" t="str">
        <f>IFERROR(__xludf.DUMMYFUNCTION("""COMPUTED_VALUE"""),"5046074_1287137")</f>
        <v>5046074_1287137</v>
      </c>
      <c r="B58" s="43" t="str">
        <f>IFERROR(__xludf.DUMMYFUNCTION("""COMPUTED_VALUE"""),"Houssam Chouai")</f>
        <v>Houssam Chouai</v>
      </c>
      <c r="C58" s="43" t="str">
        <f>IFERROR(__xludf.DUMMYFUNCTION("""COMPUTED_VALUE"""),"finished")</f>
        <v>finished</v>
      </c>
      <c r="D58" s="43" t="str">
        <f>IFERROR(__xludf.DUMMYFUNCTION("""COMPUTED_VALUE"""),"No")</f>
        <v>No</v>
      </c>
      <c r="E58" s="43" t="str">
        <f>IFERROR(__xludf.DUMMYFUNCTION("""COMPUTED_VALUE"""),"p_f9b384477d22bcf438d1753327e023cbf29374bf@inbound.aiesec.org")</f>
        <v>p_f9b384477d22bcf438d1753327e023cbf29374bf@inbound.aiesec.org</v>
      </c>
      <c r="F58" s="43"/>
      <c r="G58" s="43" t="str">
        <f>IFERROR(__xludf.DUMMYFUNCTION("""COMPUTED_VALUE"""),"Morocco")</f>
        <v>Morocco</v>
      </c>
      <c r="H58" s="43" t="str">
        <f>IFERROR(__xludf.DUMMYFUNCTION("""COMPUTED_VALUE"""),"Morocco (MC)")</f>
        <v>Morocco (MC)</v>
      </c>
      <c r="I58" s="43" t="str">
        <f>IFERROR(__xludf.DUMMYFUNCTION("""COMPUTED_VALUE"""),"Turkey")</f>
        <v>Turkey</v>
      </c>
      <c r="J58" s="43" t="str">
        <f>IFERROR(__xludf.DUMMYFUNCTION("""COMPUTED_VALUE"""),"ISTANBUL ASIA")</f>
        <v>ISTANBUL ASIA</v>
      </c>
      <c r="K58" s="44" t="str">
        <f>IFERROR(__xludf.DUMMYFUNCTION("""COMPUTED_VALUE"""),"https://expa.aiesec.org/opportunities/1287137")</f>
        <v>https://expa.aiesec.org/opportunities/1287137</v>
      </c>
      <c r="L58" s="43" t="str">
        <f>IFERROR(__xludf.DUMMYFUNCTION("""COMPUTED_VALUE"""),"GV")</f>
        <v>GV</v>
      </c>
      <c r="M58" s="43" t="str">
        <f>IFERROR(__xludf.DUMMYFUNCTION("""COMPUTED_VALUE"""),"short")</f>
        <v>short</v>
      </c>
      <c r="N58" s="45">
        <f>IFERROR(__xludf.DUMMYFUNCTION("""COMPUTED_VALUE"""),44769.0)</f>
        <v>44769</v>
      </c>
      <c r="O58" s="45">
        <f>IFERROR(__xludf.DUMMYFUNCTION("""COMPUTED_VALUE"""),44783.0)</f>
        <v>44783</v>
      </c>
      <c r="P58" s="45">
        <f>IFERROR(__xludf.DUMMYFUNCTION("""COMPUTED_VALUE"""),44825.0)</f>
        <v>44825</v>
      </c>
      <c r="Q58" s="45">
        <f>IFERROR(__xludf.DUMMYFUNCTION("""COMPUTED_VALUE"""),44769.0)</f>
        <v>44769</v>
      </c>
      <c r="R58" s="45">
        <f>IFERROR(__xludf.DUMMYFUNCTION("""COMPUTED_VALUE"""),44809.0)</f>
        <v>44809</v>
      </c>
      <c r="S58" s="43"/>
      <c r="T58" s="43"/>
      <c r="U58" s="43" t="str">
        <f>IFERROR(__xludf.DUMMYFUNCTION("""COMPUTED_VALUE"""),"Youth 4 Impact")</f>
        <v>Youth 4 Impact</v>
      </c>
      <c r="V58" s="43" t="str">
        <f>IFERROR(__xludf.DUMMYFUNCTION("""COMPUTED_VALUE"""),"-")</f>
        <v>-</v>
      </c>
      <c r="W58" s="43" t="str">
        <f>IFERROR(__xludf.DUMMYFUNCTION("""COMPUTED_VALUE"""),"2022-04-26T00:24:07Z")</f>
        <v>2022-04-26T00:24:07Z</v>
      </c>
      <c r="X58" s="43"/>
      <c r="Y58" s="43"/>
      <c r="Z58" s="43"/>
    </row>
    <row r="59" hidden="1">
      <c r="A59" s="43" t="str">
        <f>IFERROR(__xludf.DUMMYFUNCTION("""COMPUTED_VALUE"""),"5085768_1286344")</f>
        <v>5085768_1286344</v>
      </c>
      <c r="B59" s="43" t="str">
        <f>IFERROR(__xludf.DUMMYFUNCTION("""COMPUTED_VALUE"""),"hana olwy")</f>
        <v>hana olwy</v>
      </c>
      <c r="C59" s="43" t="str">
        <f>IFERROR(__xludf.DUMMYFUNCTION("""COMPUTED_VALUE"""),"finished")</f>
        <v>finished</v>
      </c>
      <c r="D59" s="43" t="str">
        <f>IFERROR(__xludf.DUMMYFUNCTION("""COMPUTED_VALUE"""),"No")</f>
        <v>No</v>
      </c>
      <c r="E59" s="43" t="str">
        <f>IFERROR(__xludf.DUMMYFUNCTION("""COMPUTED_VALUE"""),"p_20381113238744b261886b2b6fc601b5e9e3e457@inbound.aiesec.org")</f>
        <v>p_20381113238744b261886b2b6fc601b5e9e3e457@inbound.aiesec.org</v>
      </c>
      <c r="F59" s="43">
        <f>IFERROR(__xludf.DUMMYFUNCTION("""COMPUTED_VALUE"""),1.122258997E9)</f>
        <v>1122258997</v>
      </c>
      <c r="G59" s="43" t="str">
        <f>IFERROR(__xludf.DUMMYFUNCTION("""COMPUTED_VALUE"""),"Egypt")</f>
        <v>Egypt</v>
      </c>
      <c r="H59" s="43" t="str">
        <f>IFERROR(__xludf.DUMMYFUNCTION("""COMPUTED_VALUE"""),"Cairo University")</f>
        <v>Cairo University</v>
      </c>
      <c r="I59" s="43" t="str">
        <f>IFERROR(__xludf.DUMMYFUNCTION("""COMPUTED_VALUE"""),"Turkey")</f>
        <v>Turkey</v>
      </c>
      <c r="J59" s="43" t="str">
        <f>IFERROR(__xludf.DUMMYFUNCTION("""COMPUTED_VALUE"""),"İZMİR")</f>
        <v>İZMİR</v>
      </c>
      <c r="K59" s="44" t="str">
        <f>IFERROR(__xludf.DUMMYFUNCTION("""COMPUTED_VALUE"""),"https://expa.aiesec.org/opportunities/1286344")</f>
        <v>https://expa.aiesec.org/opportunities/1286344</v>
      </c>
      <c r="L59" s="43" t="str">
        <f>IFERROR(__xludf.DUMMYFUNCTION("""COMPUTED_VALUE"""),"GV")</f>
        <v>GV</v>
      </c>
      <c r="M59" s="43" t="str">
        <f>IFERROR(__xludf.DUMMYFUNCTION("""COMPUTED_VALUE"""),"short")</f>
        <v>short</v>
      </c>
      <c r="N59" s="45">
        <f>IFERROR(__xludf.DUMMYFUNCTION("""COMPUTED_VALUE"""),44769.0)</f>
        <v>44769</v>
      </c>
      <c r="O59" s="45">
        <f>IFERROR(__xludf.DUMMYFUNCTION("""COMPUTED_VALUE"""),44871.0)</f>
        <v>44871</v>
      </c>
      <c r="P59" s="45">
        <f>IFERROR(__xludf.DUMMYFUNCTION("""COMPUTED_VALUE"""),44913.0)</f>
        <v>44913</v>
      </c>
      <c r="Q59" s="45">
        <f>IFERROR(__xludf.DUMMYFUNCTION("""COMPUTED_VALUE"""),44875.0)</f>
        <v>44875</v>
      </c>
      <c r="R59" s="45">
        <f>IFERROR(__xludf.DUMMYFUNCTION("""COMPUTED_VALUE"""),44915.0)</f>
        <v>44915</v>
      </c>
      <c r="S59" s="43"/>
      <c r="T59" s="43"/>
      <c r="U59" s="43" t="str">
        <f>IFERROR(__xludf.DUMMYFUNCTION("""COMPUTED_VALUE"""),"Global Classroom")</f>
        <v>Global Classroom</v>
      </c>
      <c r="V59" s="43" t="str">
        <f>IFERROR(__xludf.DUMMYFUNCTION("""COMPUTED_VALUE"""),"Cairo Univeristy")</f>
        <v>Cairo Univeristy</v>
      </c>
      <c r="W59" s="43" t="str">
        <f>IFERROR(__xludf.DUMMYFUNCTION("""COMPUTED_VALUE"""),"2022-07-25T16:31:43Z")</f>
        <v>2022-07-25T16:31:43Z</v>
      </c>
      <c r="X59" s="43"/>
      <c r="Y59" s="43"/>
      <c r="Z59" s="43"/>
    </row>
    <row r="60" hidden="1">
      <c r="A60" s="43" t="str">
        <f>IFERROR(__xludf.DUMMYFUNCTION("""COMPUTED_VALUE"""),"5083420_1287181")</f>
        <v>5083420_1287181</v>
      </c>
      <c r="B60" s="43" t="str">
        <f>IFERROR(__xludf.DUMMYFUNCTION("""COMPUTED_VALUE"""),"Oumaima Kochat")</f>
        <v>Oumaima Kochat</v>
      </c>
      <c r="C60" s="43" t="str">
        <f>IFERROR(__xludf.DUMMYFUNCTION("""COMPUTED_VALUE"""),"finished")</f>
        <v>finished</v>
      </c>
      <c r="D60" s="43" t="str">
        <f>IFERROR(__xludf.DUMMYFUNCTION("""COMPUTED_VALUE"""),"No")</f>
        <v>No</v>
      </c>
      <c r="E60" s="43" t="str">
        <f>IFERROR(__xludf.DUMMYFUNCTION("""COMPUTED_VALUE"""),"p_e3ec8a928d253ff2cf6b9d5efb0b3ef7eb0160b5@inbound.aiesec.org")</f>
        <v>p_e3ec8a928d253ff2cf6b9d5efb0b3ef7eb0160b5@inbound.aiesec.org</v>
      </c>
      <c r="F60" s="43">
        <f>IFERROR(__xludf.DUMMYFUNCTION("""COMPUTED_VALUE"""),9.3244679E7)</f>
        <v>93244679</v>
      </c>
      <c r="G60" s="43" t="str">
        <f>IFERROR(__xludf.DUMMYFUNCTION("""COMPUTED_VALUE"""),"Tunisia")</f>
        <v>Tunisia</v>
      </c>
      <c r="H60" s="43" t="str">
        <f>IFERROR(__xludf.DUMMYFUNCTION("""COMPUTED_VALUE"""),"BARDO")</f>
        <v>BARDO</v>
      </c>
      <c r="I60" s="43" t="str">
        <f>IFERROR(__xludf.DUMMYFUNCTION("""COMPUTED_VALUE"""),"Turkey")</f>
        <v>Turkey</v>
      </c>
      <c r="J60" s="43" t="str">
        <f>IFERROR(__xludf.DUMMYFUNCTION("""COMPUTED_VALUE"""),"ISTANBUL ASIA")</f>
        <v>ISTANBUL ASIA</v>
      </c>
      <c r="K60" s="44" t="str">
        <f>IFERROR(__xludf.DUMMYFUNCTION("""COMPUTED_VALUE"""),"https://expa.aiesec.org/opportunities/1287181")</f>
        <v>https://expa.aiesec.org/opportunities/1287181</v>
      </c>
      <c r="L60" s="43" t="str">
        <f>IFERROR(__xludf.DUMMYFUNCTION("""COMPUTED_VALUE"""),"GV")</f>
        <v>GV</v>
      </c>
      <c r="M60" s="43" t="str">
        <f>IFERROR(__xludf.DUMMYFUNCTION("""COMPUTED_VALUE"""),"short")</f>
        <v>short</v>
      </c>
      <c r="N60" s="45">
        <f>IFERROR(__xludf.DUMMYFUNCTION("""COMPUTED_VALUE"""),44769.0)</f>
        <v>44769</v>
      </c>
      <c r="O60" s="45">
        <f>IFERROR(__xludf.DUMMYFUNCTION("""COMPUTED_VALUE"""),44774.0)</f>
        <v>44774</v>
      </c>
      <c r="P60" s="45">
        <f>IFERROR(__xludf.DUMMYFUNCTION("""COMPUTED_VALUE"""),44816.0)</f>
        <v>44816</v>
      </c>
      <c r="Q60" s="45">
        <f>IFERROR(__xludf.DUMMYFUNCTION("""COMPUTED_VALUE"""),44776.0)</f>
        <v>44776</v>
      </c>
      <c r="R60" s="45">
        <f>IFERROR(__xludf.DUMMYFUNCTION("""COMPUTED_VALUE"""),44816.0)</f>
        <v>44816</v>
      </c>
      <c r="S60" s="43"/>
      <c r="T60" s="43"/>
      <c r="U60" s="43" t="str">
        <f>IFERROR(__xludf.DUMMYFUNCTION("""COMPUTED_VALUE"""),"Equify")</f>
        <v>Equify</v>
      </c>
      <c r="V60" s="43" t="str">
        <f>IFERROR(__xludf.DUMMYFUNCTION("""COMPUTED_VALUE"""),"ESSECT")</f>
        <v>ESSECT</v>
      </c>
      <c r="W60" s="43" t="str">
        <f>IFERROR(__xludf.DUMMYFUNCTION("""COMPUTED_VALUE"""),"2022-07-17T14:23:20Z")</f>
        <v>2022-07-17T14:23:20Z</v>
      </c>
      <c r="X60" s="43"/>
      <c r="Y60" s="43"/>
      <c r="Z60" s="43"/>
    </row>
    <row r="61" hidden="1">
      <c r="A61" s="43" t="str">
        <f>IFERROR(__xludf.DUMMYFUNCTION("""COMPUTED_VALUE"""),"5084175_1287475")</f>
        <v>5084175_1287475</v>
      </c>
      <c r="B61" s="43" t="str">
        <f>IFERROR(__xludf.DUMMYFUNCTION("""COMPUTED_VALUE"""),"sfaxi houssem eddine")</f>
        <v>sfaxi houssem eddine</v>
      </c>
      <c r="C61" s="43" t="str">
        <f>IFERROR(__xludf.DUMMYFUNCTION("""COMPUTED_VALUE"""),"completed")</f>
        <v>completed</v>
      </c>
      <c r="D61" s="43" t="str">
        <f>IFERROR(__xludf.DUMMYFUNCTION("""COMPUTED_VALUE"""),"No")</f>
        <v>No</v>
      </c>
      <c r="E61" s="43" t="str">
        <f>IFERROR(__xludf.DUMMYFUNCTION("""COMPUTED_VALUE"""),"p_a1dc547d6344534ad870068be8e8aa364cd63ff2@inbound.aiesec.org")</f>
        <v>p_a1dc547d6344534ad870068be8e8aa364cd63ff2@inbound.aiesec.org</v>
      </c>
      <c r="F61" s="43"/>
      <c r="G61" s="43" t="str">
        <f>IFERROR(__xludf.DUMMYFUNCTION("""COMPUTED_VALUE"""),"Tunisia")</f>
        <v>Tunisia</v>
      </c>
      <c r="H61" s="43" t="str">
        <f>IFERROR(__xludf.DUMMYFUNCTION("""COMPUTED_VALUE"""),"Bizerte")</f>
        <v>Bizerte</v>
      </c>
      <c r="I61" s="43" t="str">
        <f>IFERROR(__xludf.DUMMYFUNCTION("""COMPUTED_VALUE"""),"Turkey")</f>
        <v>Turkey</v>
      </c>
      <c r="J61" s="43" t="str">
        <f>IFERROR(__xludf.DUMMYFUNCTION("""COMPUTED_VALUE"""),"ANKARA")</f>
        <v>ANKARA</v>
      </c>
      <c r="K61" s="44" t="str">
        <f>IFERROR(__xludf.DUMMYFUNCTION("""COMPUTED_VALUE"""),"https://expa.aiesec.org/opportunities/1287475")</f>
        <v>https://expa.aiesec.org/opportunities/1287475</v>
      </c>
      <c r="L61" s="43" t="str">
        <f>IFERROR(__xludf.DUMMYFUNCTION("""COMPUTED_VALUE"""),"GV")</f>
        <v>GV</v>
      </c>
      <c r="M61" s="43" t="str">
        <f>IFERROR(__xludf.DUMMYFUNCTION("""COMPUTED_VALUE"""),"short")</f>
        <v>short</v>
      </c>
      <c r="N61" s="45">
        <f>IFERROR(__xludf.DUMMYFUNCTION("""COMPUTED_VALUE"""),44769.0)</f>
        <v>44769</v>
      </c>
      <c r="O61" s="45">
        <f>IFERROR(__xludf.DUMMYFUNCTION("""COMPUTED_VALUE"""),44787.0)</f>
        <v>44787</v>
      </c>
      <c r="P61" s="45">
        <f>IFERROR(__xludf.DUMMYFUNCTION("""COMPUTED_VALUE"""),44829.0)</f>
        <v>44829</v>
      </c>
      <c r="Q61" s="45">
        <f>IFERROR(__xludf.DUMMYFUNCTION("""COMPUTED_VALUE"""),44787.0)</f>
        <v>44787</v>
      </c>
      <c r="R61" s="45">
        <f>IFERROR(__xludf.DUMMYFUNCTION("""COMPUTED_VALUE"""),44829.0)</f>
        <v>44829</v>
      </c>
      <c r="S61" s="43"/>
      <c r="T61" s="43"/>
      <c r="U61" s="43" t="str">
        <f>IFERROR(__xludf.DUMMYFUNCTION("""COMPUTED_VALUE"""),"Skill Up!")</f>
        <v>Skill Up!</v>
      </c>
      <c r="V61" s="43" t="str">
        <f>IFERROR(__xludf.DUMMYFUNCTION("""COMPUTED_VALUE"""),"-")</f>
        <v>-</v>
      </c>
      <c r="W61" s="43" t="str">
        <f>IFERROR(__xludf.DUMMYFUNCTION("""COMPUTED_VALUE"""),"2022-07-19T20:42:04Z")</f>
        <v>2022-07-19T20:42:04Z</v>
      </c>
      <c r="X61" s="43"/>
      <c r="Y61" s="43"/>
      <c r="Z61" s="43"/>
    </row>
    <row r="62">
      <c r="A62" s="43" t="str">
        <f>IFERROR(__xludf.DUMMYFUNCTION("""COMPUTED_VALUE"""),"4534111_1286326")</f>
        <v>4534111_1286326</v>
      </c>
      <c r="B62" s="43" t="str">
        <f>IFERROR(__xludf.DUMMYFUNCTION("""COMPUTED_VALUE"""),"Kelvin Santos Oliveira")</f>
        <v>Kelvin Santos Oliveira</v>
      </c>
      <c r="C62" s="43" t="str">
        <f>IFERROR(__xludf.DUMMYFUNCTION("""COMPUTED_VALUE"""),"approved")</f>
        <v>approved</v>
      </c>
      <c r="D62" s="43" t="str">
        <f>IFERROR(__xludf.DUMMYFUNCTION("""COMPUTED_VALUE"""),"No")</f>
        <v>No</v>
      </c>
      <c r="E62" s="43" t="str">
        <f>IFERROR(__xludf.DUMMYFUNCTION("""COMPUTED_VALUE"""),"p_2acaeafa25004a0a7de1d6b197ad0fcd2cedc866@inbound.aiesec.org")</f>
        <v>p_2acaeafa25004a0a7de1d6b197ad0fcd2cedc866@inbound.aiesec.org</v>
      </c>
      <c r="F62" s="43"/>
      <c r="G62" s="43" t="str">
        <f>IFERROR(__xludf.DUMMYFUNCTION("""COMPUTED_VALUE"""),"Brazil")</f>
        <v>Brazil</v>
      </c>
      <c r="H62" s="43" t="str">
        <f>IFERROR(__xludf.DUMMYFUNCTION("""COMPUTED_VALUE"""),"CURITIBA")</f>
        <v>CURITIBA</v>
      </c>
      <c r="I62" s="43" t="str">
        <f>IFERROR(__xludf.DUMMYFUNCTION("""COMPUTED_VALUE"""),"Turkey")</f>
        <v>Turkey</v>
      </c>
      <c r="J62" s="43" t="str">
        <f>IFERROR(__xludf.DUMMYFUNCTION("""COMPUTED_VALUE"""),"ADANA")</f>
        <v>ADANA</v>
      </c>
      <c r="K62" s="44" t="str">
        <f>IFERROR(__xludf.DUMMYFUNCTION("""COMPUTED_VALUE"""),"https://expa.aiesec.org/opportunities/1286326")</f>
        <v>https://expa.aiesec.org/opportunities/1286326</v>
      </c>
      <c r="L62" s="43" t="str">
        <f>IFERROR(__xludf.DUMMYFUNCTION("""COMPUTED_VALUE"""),"GV")</f>
        <v>GV</v>
      </c>
      <c r="M62" s="43" t="str">
        <f>IFERROR(__xludf.DUMMYFUNCTION("""COMPUTED_VALUE"""),"short")</f>
        <v>short</v>
      </c>
      <c r="N62" s="45">
        <f>IFERROR(__xludf.DUMMYFUNCTION("""COMPUTED_VALUE"""),44769.0)</f>
        <v>44769</v>
      </c>
      <c r="O62" s="45">
        <f>IFERROR(__xludf.DUMMYFUNCTION("""COMPUTED_VALUE"""),45061.0)</f>
        <v>45061</v>
      </c>
      <c r="P62" s="45">
        <f>IFERROR(__xludf.DUMMYFUNCTION("""COMPUTED_VALUE"""),45107.0)</f>
        <v>45107</v>
      </c>
      <c r="Q62" s="45"/>
      <c r="R62" s="45"/>
      <c r="S62" s="43"/>
      <c r="T62" s="43"/>
      <c r="U62" s="43" t="str">
        <f>IFERROR(__xludf.DUMMYFUNCTION("""COMPUTED_VALUE"""),"Equify")</f>
        <v>Equify</v>
      </c>
      <c r="V62" s="43" t="str">
        <f>IFERROR(__xludf.DUMMYFUNCTION("""COMPUTED_VALUE"""),"Curitiba")</f>
        <v>Curitiba</v>
      </c>
      <c r="W62" s="43" t="str">
        <f>IFERROR(__xludf.DUMMYFUNCTION("""COMPUTED_VALUE"""),"2021-02-05T00:56:38Z")</f>
        <v>2021-02-05T00:56:38Z</v>
      </c>
      <c r="X62" s="43"/>
      <c r="Y62" s="43"/>
      <c r="Z62" s="43"/>
    </row>
    <row r="63" hidden="1">
      <c r="A63" s="43" t="str">
        <f>IFERROR(__xludf.DUMMYFUNCTION("""COMPUTED_VALUE"""),"5082648_1288497")</f>
        <v>5082648_1288497</v>
      </c>
      <c r="B63" s="43" t="str">
        <f>IFERROR(__xludf.DUMMYFUNCTION("""COMPUTED_VALUE"""),"Kouassi Ange Brou")</f>
        <v>Kouassi Ange Brou</v>
      </c>
      <c r="C63" s="43" t="str">
        <f>IFERROR(__xludf.DUMMYFUNCTION("""COMPUTED_VALUE"""),"finished")</f>
        <v>finished</v>
      </c>
      <c r="D63" s="43" t="str">
        <f>IFERROR(__xludf.DUMMYFUNCTION("""COMPUTED_VALUE"""),"No")</f>
        <v>No</v>
      </c>
      <c r="E63" s="43" t="str">
        <f>IFERROR(__xludf.DUMMYFUNCTION("""COMPUTED_VALUE"""),"p_063a75ba7e290f6b785f465df87b32093aa88847@inbound.aiesec.org")</f>
        <v>p_063a75ba7e290f6b785f465df87b32093aa88847@inbound.aiesec.org</v>
      </c>
      <c r="F63" s="43">
        <f>IFERROR(__xludf.DUMMYFUNCTION("""COMPUTED_VALUE"""),1.02233329E8)</f>
        <v>102233329</v>
      </c>
      <c r="G63" s="43" t="str">
        <f>IFERROR(__xludf.DUMMYFUNCTION("""COMPUTED_VALUE"""),"Cote D'Ivoire")</f>
        <v>Cote D'Ivoire</v>
      </c>
      <c r="H63" s="43" t="str">
        <f>IFERROR(__xludf.DUMMYFUNCTION("""COMPUTED_VALUE"""),"COCODY-ABIDJAN")</f>
        <v>COCODY-ABIDJAN</v>
      </c>
      <c r="I63" s="43" t="str">
        <f>IFERROR(__xludf.DUMMYFUNCTION("""COMPUTED_VALUE"""),"Turkey")</f>
        <v>Turkey</v>
      </c>
      <c r="J63" s="43" t="str">
        <f>IFERROR(__xludf.DUMMYFUNCTION("""COMPUTED_VALUE"""),"DENIZLI")</f>
        <v>DENIZLI</v>
      </c>
      <c r="K63" s="44" t="str">
        <f>IFERROR(__xludf.DUMMYFUNCTION("""COMPUTED_VALUE"""),"https://expa.aiesec.org/opportunities/1288497")</f>
        <v>https://expa.aiesec.org/opportunities/1288497</v>
      </c>
      <c r="L63" s="43" t="str">
        <f>IFERROR(__xludf.DUMMYFUNCTION("""COMPUTED_VALUE"""),"GV")</f>
        <v>GV</v>
      </c>
      <c r="M63" s="43" t="str">
        <f>IFERROR(__xludf.DUMMYFUNCTION("""COMPUTED_VALUE"""),"short")</f>
        <v>short</v>
      </c>
      <c r="N63" s="45">
        <f>IFERROR(__xludf.DUMMYFUNCTION("""COMPUTED_VALUE"""),44770.0)</f>
        <v>44770</v>
      </c>
      <c r="O63" s="45">
        <f>IFERROR(__xludf.DUMMYFUNCTION("""COMPUTED_VALUE"""),44781.0)</f>
        <v>44781</v>
      </c>
      <c r="P63" s="45">
        <f>IFERROR(__xludf.DUMMYFUNCTION("""COMPUTED_VALUE"""),44823.0)</f>
        <v>44823</v>
      </c>
      <c r="Q63" s="45">
        <f>IFERROR(__xludf.DUMMYFUNCTION("""COMPUTED_VALUE"""),44785.0)</f>
        <v>44785</v>
      </c>
      <c r="R63" s="45">
        <f>IFERROR(__xludf.DUMMYFUNCTION("""COMPUTED_VALUE"""),44823.0)</f>
        <v>44823</v>
      </c>
      <c r="S63" s="43"/>
      <c r="T63" s="43"/>
      <c r="U63" s="43" t="str">
        <f>IFERROR(__xludf.DUMMYFUNCTION("""COMPUTED_VALUE"""),"Youth 4 Impact")</f>
        <v>Youth 4 Impact</v>
      </c>
      <c r="V63" s="43" t="str">
        <f>IFERROR(__xludf.DUMMYFUNCTION("""COMPUTED_VALUE"""),"LC COCODY")</f>
        <v>LC COCODY</v>
      </c>
      <c r="W63" s="43" t="str">
        <f>IFERROR(__xludf.DUMMYFUNCTION("""COMPUTED_VALUE"""),"2022-07-14T12:18:19Z")</f>
        <v>2022-07-14T12:18:19Z</v>
      </c>
      <c r="X63" s="43"/>
      <c r="Y63" s="43"/>
      <c r="Z63" s="43"/>
    </row>
    <row r="64" hidden="1">
      <c r="A64" s="43" t="str">
        <f>IFERROR(__xludf.DUMMYFUNCTION("""COMPUTED_VALUE"""),"2983105_1288279")</f>
        <v>2983105_1288279</v>
      </c>
      <c r="B64" s="43" t="str">
        <f>IFERROR(__xludf.DUMMYFUNCTION("""COMPUTED_VALUE"""),"sanaa saidi")</f>
        <v>sanaa saidi</v>
      </c>
      <c r="C64" s="43" t="str">
        <f>IFERROR(__xludf.DUMMYFUNCTION("""COMPUTED_VALUE"""),"completed")</f>
        <v>completed</v>
      </c>
      <c r="D64" s="43" t="str">
        <f>IFERROR(__xludf.DUMMYFUNCTION("""COMPUTED_VALUE"""),"No")</f>
        <v>No</v>
      </c>
      <c r="E64" s="43" t="str">
        <f>IFERROR(__xludf.DUMMYFUNCTION("""COMPUTED_VALUE"""),"p_70dd886e56abeffba83441752ad6a9f16d5dcf25@inbound.aiesec.org")</f>
        <v>p_70dd886e56abeffba83441752ad6a9f16d5dcf25@inbound.aiesec.org</v>
      </c>
      <c r="F64" s="43">
        <f>IFERROR(__xludf.DUMMYFUNCTION("""COMPUTED_VALUE"""),7.6736163E8)</f>
        <v>767361630</v>
      </c>
      <c r="G64" s="43" t="str">
        <f>IFERROR(__xludf.DUMMYFUNCTION("""COMPUTED_VALUE"""),"Morocco")</f>
        <v>Morocco</v>
      </c>
      <c r="H64" s="43" t="str">
        <f>IFERROR(__xludf.DUMMYFUNCTION("""COMPUTED_VALUE"""),"Morocco (MC)")</f>
        <v>Morocco (MC)</v>
      </c>
      <c r="I64" s="43" t="str">
        <f>IFERROR(__xludf.DUMMYFUNCTION("""COMPUTED_VALUE"""),"Turkey")</f>
        <v>Turkey</v>
      </c>
      <c r="J64" s="43" t="str">
        <f>IFERROR(__xludf.DUMMYFUNCTION("""COMPUTED_VALUE"""),"İZMİR")</f>
        <v>İZMİR</v>
      </c>
      <c r="K64" s="44" t="str">
        <f>IFERROR(__xludf.DUMMYFUNCTION("""COMPUTED_VALUE"""),"https://expa.aiesec.org/opportunities/1288279")</f>
        <v>https://expa.aiesec.org/opportunities/1288279</v>
      </c>
      <c r="L64" s="43" t="str">
        <f>IFERROR(__xludf.DUMMYFUNCTION("""COMPUTED_VALUE"""),"GV")</f>
        <v>GV</v>
      </c>
      <c r="M64" s="43" t="str">
        <f>IFERROR(__xludf.DUMMYFUNCTION("""COMPUTED_VALUE"""),"short")</f>
        <v>short</v>
      </c>
      <c r="N64" s="45">
        <f>IFERROR(__xludf.DUMMYFUNCTION("""COMPUTED_VALUE"""),44770.0)</f>
        <v>44770</v>
      </c>
      <c r="O64" s="45">
        <f>IFERROR(__xludf.DUMMYFUNCTION("""COMPUTED_VALUE"""),44794.0)</f>
        <v>44794</v>
      </c>
      <c r="P64" s="45">
        <f>IFERROR(__xludf.DUMMYFUNCTION("""COMPUTED_VALUE"""),44836.0)</f>
        <v>44836</v>
      </c>
      <c r="Q64" s="45">
        <f>IFERROR(__xludf.DUMMYFUNCTION("""COMPUTED_VALUE"""),44800.0)</f>
        <v>44800</v>
      </c>
      <c r="R64" s="45">
        <f>IFERROR(__xludf.DUMMYFUNCTION("""COMPUTED_VALUE"""),44840.0)</f>
        <v>44840</v>
      </c>
      <c r="S64" s="43"/>
      <c r="T64" s="43"/>
      <c r="U64" s="43" t="str">
        <f>IFERROR(__xludf.DUMMYFUNCTION("""COMPUTED_VALUE"""),"Youth 4 Impact")</f>
        <v>Youth 4 Impact</v>
      </c>
      <c r="V64" s="43" t="str">
        <f>IFERROR(__xludf.DUMMYFUNCTION("""COMPUTED_VALUE"""),"Z- Autre ville / Other city")</f>
        <v>Z- Autre ville / Other city</v>
      </c>
      <c r="W64" s="43" t="str">
        <f>IFERROR(__xludf.DUMMYFUNCTION("""COMPUTED_VALUE"""),"2018-12-15T08:22:20Z")</f>
        <v>2018-12-15T08:22:20Z</v>
      </c>
      <c r="X64" s="43"/>
      <c r="Y64" s="43"/>
      <c r="Z64" s="43"/>
    </row>
    <row r="65" hidden="1">
      <c r="A65" s="43" t="str">
        <f>IFERROR(__xludf.DUMMYFUNCTION("""COMPUTED_VALUE"""),"4685943_1287925")</f>
        <v>4685943_1287925</v>
      </c>
      <c r="B65" s="43" t="str">
        <f>IFERROR(__xludf.DUMMYFUNCTION("""COMPUTED_VALUE"""),"Teodora Hodoroga")</f>
        <v>Teodora Hodoroga</v>
      </c>
      <c r="C65" s="43" t="str">
        <f>IFERROR(__xludf.DUMMYFUNCTION("""COMPUTED_VALUE"""),"finished")</f>
        <v>finished</v>
      </c>
      <c r="D65" s="43" t="str">
        <f>IFERROR(__xludf.DUMMYFUNCTION("""COMPUTED_VALUE"""),"No")</f>
        <v>No</v>
      </c>
      <c r="E65" s="43" t="str">
        <f>IFERROR(__xludf.DUMMYFUNCTION("""COMPUTED_VALUE"""),"p_a5fba363ca4964d316bf2b815986dd6d7c9cd7c7@inbound.aiesec.org")</f>
        <v>p_a5fba363ca4964d316bf2b815986dd6d7c9cd7c7@inbound.aiesec.org</v>
      </c>
      <c r="F65" s="43"/>
      <c r="G65" s="43" t="str">
        <f>IFERROR(__xludf.DUMMYFUNCTION("""COMPUTED_VALUE"""),"Romania")</f>
        <v>Romania</v>
      </c>
      <c r="H65" s="43" t="str">
        <f>IFERROR(__xludf.DUMMYFUNCTION("""COMPUTED_VALUE"""),"Cluj-Napoca")</f>
        <v>Cluj-Napoca</v>
      </c>
      <c r="I65" s="43" t="str">
        <f>IFERROR(__xludf.DUMMYFUNCTION("""COMPUTED_VALUE"""),"Turkey")</f>
        <v>Turkey</v>
      </c>
      <c r="J65" s="43" t="str">
        <f>IFERROR(__xludf.DUMMYFUNCTION("""COMPUTED_VALUE"""),"DENIZLI")</f>
        <v>DENIZLI</v>
      </c>
      <c r="K65" s="44" t="str">
        <f>IFERROR(__xludf.DUMMYFUNCTION("""COMPUTED_VALUE"""),"https://expa.aiesec.org/opportunities/1287925")</f>
        <v>https://expa.aiesec.org/opportunities/1287925</v>
      </c>
      <c r="L65" s="43" t="str">
        <f>IFERROR(__xludf.DUMMYFUNCTION("""COMPUTED_VALUE"""),"GV")</f>
        <v>GV</v>
      </c>
      <c r="M65" s="43" t="str">
        <f>IFERROR(__xludf.DUMMYFUNCTION("""COMPUTED_VALUE"""),"short")</f>
        <v>short</v>
      </c>
      <c r="N65" s="45">
        <f>IFERROR(__xludf.DUMMYFUNCTION("""COMPUTED_VALUE"""),44770.0)</f>
        <v>44770</v>
      </c>
      <c r="O65" s="45">
        <f>IFERROR(__xludf.DUMMYFUNCTION("""COMPUTED_VALUE"""),44774.0)</f>
        <v>44774</v>
      </c>
      <c r="P65" s="45">
        <f>IFERROR(__xludf.DUMMYFUNCTION("""COMPUTED_VALUE"""),44816.0)</f>
        <v>44816</v>
      </c>
      <c r="Q65" s="45">
        <f>IFERROR(__xludf.DUMMYFUNCTION("""COMPUTED_VALUE"""),44782.0)</f>
        <v>44782</v>
      </c>
      <c r="R65" s="45">
        <f>IFERROR(__xludf.DUMMYFUNCTION("""COMPUTED_VALUE"""),44816.0)</f>
        <v>44816</v>
      </c>
      <c r="S65" s="43"/>
      <c r="T65" s="43"/>
      <c r="U65" s="43" t="str">
        <f>IFERROR(__xludf.DUMMYFUNCTION("""COMPUTED_VALUE"""),"Youth 4 Impact")</f>
        <v>Youth 4 Impact</v>
      </c>
      <c r="V65" s="43" t="str">
        <f>IFERROR(__xludf.DUMMYFUNCTION("""COMPUTED_VALUE"""),"Cluj-Napoca")</f>
        <v>Cluj-Napoca</v>
      </c>
      <c r="W65" s="43" t="str">
        <f>IFERROR(__xludf.DUMMYFUNCTION("""COMPUTED_VALUE"""),"2021-07-11T14:43:46Z")</f>
        <v>2021-07-11T14:43:46Z</v>
      </c>
      <c r="X65" s="43"/>
      <c r="Y65" s="43"/>
      <c r="Z65" s="43"/>
    </row>
    <row r="66" hidden="1">
      <c r="A66" s="43" t="str">
        <f>IFERROR(__xludf.DUMMYFUNCTION("""COMPUTED_VALUE"""),"5084169_1286344")</f>
        <v>5084169_1286344</v>
      </c>
      <c r="B66" s="43" t="str">
        <f>IFERROR(__xludf.DUMMYFUNCTION("""COMPUTED_VALUE"""),"Mariana Kawamorita de Souza")</f>
        <v>Mariana Kawamorita de Souza</v>
      </c>
      <c r="C66" s="43" t="str">
        <f>IFERROR(__xludf.DUMMYFUNCTION("""COMPUTED_VALUE"""),"completed")</f>
        <v>completed</v>
      </c>
      <c r="D66" s="43" t="str">
        <f>IFERROR(__xludf.DUMMYFUNCTION("""COMPUTED_VALUE"""),"No")</f>
        <v>No</v>
      </c>
      <c r="E66" s="43" t="str">
        <f>IFERROR(__xludf.DUMMYFUNCTION("""COMPUTED_VALUE"""),"p_f9298cbc86e24c5af507bbb677d1f1110ff2b1ae@inbound.aiesec.org")</f>
        <v>p_f9298cbc86e24c5af507bbb677d1f1110ff2b1ae@inbound.aiesec.org</v>
      </c>
      <c r="F66" s="43"/>
      <c r="G66" s="43" t="str">
        <f>IFERROR(__xludf.DUMMYFUNCTION("""COMPUTED_VALUE"""),"Brazil")</f>
        <v>Brazil</v>
      </c>
      <c r="H66" s="43" t="str">
        <f>IFERROR(__xludf.DUMMYFUNCTION("""COMPUTED_VALUE"""),"SAO CARLOS")</f>
        <v>SAO CARLOS</v>
      </c>
      <c r="I66" s="43" t="str">
        <f>IFERROR(__xludf.DUMMYFUNCTION("""COMPUTED_VALUE"""),"Turkey")</f>
        <v>Turkey</v>
      </c>
      <c r="J66" s="43" t="str">
        <f>IFERROR(__xludf.DUMMYFUNCTION("""COMPUTED_VALUE"""),"İZMİR")</f>
        <v>İZMİR</v>
      </c>
      <c r="K66" s="44" t="str">
        <f>IFERROR(__xludf.DUMMYFUNCTION("""COMPUTED_VALUE"""),"https://expa.aiesec.org/opportunities/1286344")</f>
        <v>https://expa.aiesec.org/opportunities/1286344</v>
      </c>
      <c r="L66" s="43" t="str">
        <f>IFERROR(__xludf.DUMMYFUNCTION("""COMPUTED_VALUE"""),"GV")</f>
        <v>GV</v>
      </c>
      <c r="M66" s="43" t="str">
        <f>IFERROR(__xludf.DUMMYFUNCTION("""COMPUTED_VALUE"""),"short")</f>
        <v>short</v>
      </c>
      <c r="N66" s="45">
        <f>IFERROR(__xludf.DUMMYFUNCTION("""COMPUTED_VALUE"""),44771.0)</f>
        <v>44771</v>
      </c>
      <c r="O66" s="45">
        <f>IFERROR(__xludf.DUMMYFUNCTION("""COMPUTED_VALUE"""),45025.0)</f>
        <v>45025</v>
      </c>
      <c r="P66" s="45">
        <f>IFERROR(__xludf.DUMMYFUNCTION("""COMPUTED_VALUE"""),45067.0)</f>
        <v>45067</v>
      </c>
      <c r="Q66" s="45">
        <f>IFERROR(__xludf.DUMMYFUNCTION("""COMPUTED_VALUE"""),45026.0)</f>
        <v>45026</v>
      </c>
      <c r="R66" s="45">
        <f>IFERROR(__xludf.DUMMYFUNCTION("""COMPUTED_VALUE"""),45067.0)</f>
        <v>45067</v>
      </c>
      <c r="S66" s="43"/>
      <c r="T66" s="43"/>
      <c r="U66" s="43" t="str">
        <f>IFERROR(__xludf.DUMMYFUNCTION("""COMPUTED_VALUE"""),"Global Classroom")</f>
        <v>Global Classroom</v>
      </c>
      <c r="V66" s="43" t="str">
        <f>IFERROR(__xludf.DUMMYFUNCTION("""COMPUTED_VALUE"""),"-")</f>
        <v>-</v>
      </c>
      <c r="W66" s="43" t="str">
        <f>IFERROR(__xludf.DUMMYFUNCTION("""COMPUTED_VALUE"""),"2022-07-19T20:13:27Z")</f>
        <v>2022-07-19T20:13:27Z</v>
      </c>
      <c r="X66" s="43"/>
      <c r="Y66" s="43"/>
      <c r="Z66" s="43"/>
    </row>
    <row r="67" hidden="1">
      <c r="A67" s="43" t="str">
        <f>IFERROR(__xludf.DUMMYFUNCTION("""COMPUTED_VALUE"""),"5044197_1288299")</f>
        <v>5044197_1288299</v>
      </c>
      <c r="B67" s="43" t="str">
        <f>IFERROR(__xludf.DUMMYFUNCTION("""COMPUTED_VALUE"""),"Sarah Hossam")</f>
        <v>Sarah Hossam</v>
      </c>
      <c r="C67" s="43" t="str">
        <f>IFERROR(__xludf.DUMMYFUNCTION("""COMPUTED_VALUE"""),"realization_broken")</f>
        <v>realization_broken</v>
      </c>
      <c r="D67" s="43" t="str">
        <f>IFERROR(__xludf.DUMMYFUNCTION("""COMPUTED_VALUE"""),"No")</f>
        <v>No</v>
      </c>
      <c r="E67" s="43" t="str">
        <f>IFERROR(__xludf.DUMMYFUNCTION("""COMPUTED_VALUE"""),"p_500f58ee4f4f0f55ded5639e474d97192994f3e8@inbound.aiesec.org")</f>
        <v>p_500f58ee4f4f0f55ded5639e474d97192994f3e8@inbound.aiesec.org</v>
      </c>
      <c r="F67" s="43">
        <f>IFERROR(__xludf.DUMMYFUNCTION("""COMPUTED_VALUE"""),1.22992772E9)</f>
        <v>1229927720</v>
      </c>
      <c r="G67" s="43" t="str">
        <f>IFERROR(__xludf.DUMMYFUNCTION("""COMPUTED_VALUE"""),"Egypt")</f>
        <v>Egypt</v>
      </c>
      <c r="H67" s="43" t="str">
        <f>IFERROR(__xludf.DUMMYFUNCTION("""COMPUTED_VALUE"""),"Ain Shams University")</f>
        <v>Ain Shams University</v>
      </c>
      <c r="I67" s="43" t="str">
        <f>IFERROR(__xludf.DUMMYFUNCTION("""COMPUTED_VALUE"""),"Turkey")</f>
        <v>Turkey</v>
      </c>
      <c r="J67" s="43" t="str">
        <f>IFERROR(__xludf.DUMMYFUNCTION("""COMPUTED_VALUE"""),"ISTANBUL")</f>
        <v>ISTANBUL</v>
      </c>
      <c r="K67" s="44" t="str">
        <f>IFERROR(__xludf.DUMMYFUNCTION("""COMPUTED_VALUE"""),"https://expa.aiesec.org/opportunities/1288299")</f>
        <v>https://expa.aiesec.org/opportunities/1288299</v>
      </c>
      <c r="L67" s="43" t="str">
        <f>IFERROR(__xludf.DUMMYFUNCTION("""COMPUTED_VALUE"""),"GV")</f>
        <v>GV</v>
      </c>
      <c r="M67" s="43" t="str">
        <f>IFERROR(__xludf.DUMMYFUNCTION("""COMPUTED_VALUE"""),"short")</f>
        <v>short</v>
      </c>
      <c r="N67" s="45">
        <f>IFERROR(__xludf.DUMMYFUNCTION("""COMPUTED_VALUE"""),44773.0)</f>
        <v>44773</v>
      </c>
      <c r="O67" s="45">
        <f>IFERROR(__xludf.DUMMYFUNCTION("""COMPUTED_VALUE"""),44774.0)</f>
        <v>44774</v>
      </c>
      <c r="P67" s="45">
        <f>IFERROR(__xludf.DUMMYFUNCTION("""COMPUTED_VALUE"""),44829.0)</f>
        <v>44829</v>
      </c>
      <c r="Q67" s="45"/>
      <c r="R67" s="45"/>
      <c r="S67" s="43"/>
      <c r="T67" s="43"/>
      <c r="U67" s="43" t="str">
        <f>IFERROR(__xludf.DUMMYFUNCTION("""COMPUTED_VALUE"""),"Global Classroom")</f>
        <v>Global Classroom</v>
      </c>
      <c r="V67" s="43" t="str">
        <f>IFERROR(__xludf.DUMMYFUNCTION("""COMPUTED_VALUE"""),"Ain Shams University")</f>
        <v>Ain Shams University</v>
      </c>
      <c r="W67" s="43" t="str">
        <f>IFERROR(__xludf.DUMMYFUNCTION("""COMPUTED_VALUE"""),"2022-04-22T21:32:29Z")</f>
        <v>2022-04-22T21:32:29Z</v>
      </c>
      <c r="X67" s="43"/>
      <c r="Y67" s="43"/>
      <c r="Z67" s="43"/>
    </row>
    <row r="68" hidden="1">
      <c r="A68" s="43" t="str">
        <f>IFERROR(__xludf.DUMMYFUNCTION("""COMPUTED_VALUE"""),"5001855_1283891")</f>
        <v>5001855_1283891</v>
      </c>
      <c r="B68" s="43" t="str">
        <f>IFERROR(__xludf.DUMMYFUNCTION("""COMPUTED_VALUE"""),"Mayssa Nasraoui")</f>
        <v>Mayssa Nasraoui</v>
      </c>
      <c r="C68" s="43" t="str">
        <f>IFERROR(__xludf.DUMMYFUNCTION("""COMPUTED_VALUE"""),"finished")</f>
        <v>finished</v>
      </c>
      <c r="D68" s="43" t="str">
        <f>IFERROR(__xludf.DUMMYFUNCTION("""COMPUTED_VALUE"""),"No")</f>
        <v>No</v>
      </c>
      <c r="E68" s="43" t="str">
        <f>IFERROR(__xludf.DUMMYFUNCTION("""COMPUTED_VALUE"""),"p_910b8c5b38d2a01ed23e96c37a621f4c6f3ff43c@inbound.aiesec.org")</f>
        <v>p_910b8c5b38d2a01ed23e96c37a621f4c6f3ff43c@inbound.aiesec.org</v>
      </c>
      <c r="F68" s="43">
        <f>IFERROR(__xludf.DUMMYFUNCTION("""COMPUTED_VALUE"""),2.9229756E7)</f>
        <v>29229756</v>
      </c>
      <c r="G68" s="43" t="str">
        <f>IFERROR(__xludf.DUMMYFUNCTION("""COMPUTED_VALUE"""),"Tunisia")</f>
        <v>Tunisia</v>
      </c>
      <c r="H68" s="43" t="str">
        <f>IFERROR(__xludf.DUMMYFUNCTION("""COMPUTED_VALUE"""),"BARDO")</f>
        <v>BARDO</v>
      </c>
      <c r="I68" s="43" t="str">
        <f>IFERROR(__xludf.DUMMYFUNCTION("""COMPUTED_VALUE"""),"Turkey")</f>
        <v>Turkey</v>
      </c>
      <c r="J68" s="43" t="str">
        <f>IFERROR(__xludf.DUMMYFUNCTION("""COMPUTED_VALUE"""),"ISTANBUL ASIA")</f>
        <v>ISTANBUL ASIA</v>
      </c>
      <c r="K68" s="44" t="str">
        <f>IFERROR(__xludf.DUMMYFUNCTION("""COMPUTED_VALUE"""),"https://expa.aiesec.org/opportunities/1283891")</f>
        <v>https://expa.aiesec.org/opportunities/1283891</v>
      </c>
      <c r="L68" s="43" t="str">
        <f>IFERROR(__xludf.DUMMYFUNCTION("""COMPUTED_VALUE"""),"GV")</f>
        <v>GV</v>
      </c>
      <c r="M68" s="43" t="str">
        <f>IFERROR(__xludf.DUMMYFUNCTION("""COMPUTED_VALUE"""),"short")</f>
        <v>short</v>
      </c>
      <c r="N68" s="45">
        <f>IFERROR(__xludf.DUMMYFUNCTION("""COMPUTED_VALUE"""),44773.0)</f>
        <v>44773</v>
      </c>
      <c r="O68" s="45">
        <f>IFERROR(__xludf.DUMMYFUNCTION("""COMPUTED_VALUE"""),44783.0)</f>
        <v>44783</v>
      </c>
      <c r="P68" s="45">
        <f>IFERROR(__xludf.DUMMYFUNCTION("""COMPUTED_VALUE"""),44825.0)</f>
        <v>44825</v>
      </c>
      <c r="Q68" s="45">
        <f>IFERROR(__xludf.DUMMYFUNCTION("""COMPUTED_VALUE"""),44773.0)</f>
        <v>44773</v>
      </c>
      <c r="R68" s="45">
        <f>IFERROR(__xludf.DUMMYFUNCTION("""COMPUTED_VALUE"""),44814.0)</f>
        <v>44814</v>
      </c>
      <c r="S68" s="43"/>
      <c r="T68" s="43"/>
      <c r="U68" s="43" t="str">
        <f>IFERROR(__xludf.DUMMYFUNCTION("""COMPUTED_VALUE"""),"Global Classroom")</f>
        <v>Global Classroom</v>
      </c>
      <c r="V68" s="43" t="str">
        <f>IFERROR(__xludf.DUMMYFUNCTION("""COMPUTED_VALUE"""),"TBS")</f>
        <v>TBS</v>
      </c>
      <c r="W68" s="43" t="str">
        <f>IFERROR(__xludf.DUMMYFUNCTION("""COMPUTED_VALUE"""),"2022-03-23T15:47:33Z")</f>
        <v>2022-03-23T15:47:33Z</v>
      </c>
      <c r="X68" s="43"/>
      <c r="Y68" s="43"/>
      <c r="Z68" s="43"/>
    </row>
    <row r="69" hidden="1">
      <c r="A69" s="43" t="str">
        <f>IFERROR(__xludf.DUMMYFUNCTION("""COMPUTED_VALUE"""),"5002113_1283891")</f>
        <v>5002113_1283891</v>
      </c>
      <c r="B69" s="43" t="str">
        <f>IFERROR(__xludf.DUMMYFUNCTION("""COMPUTED_VALUE"""),"Mariem Nasraoui")</f>
        <v>Mariem Nasraoui</v>
      </c>
      <c r="C69" s="43" t="str">
        <f>IFERROR(__xludf.DUMMYFUNCTION("""COMPUTED_VALUE"""),"finished")</f>
        <v>finished</v>
      </c>
      <c r="D69" s="43" t="str">
        <f>IFERROR(__xludf.DUMMYFUNCTION("""COMPUTED_VALUE"""),"No")</f>
        <v>No</v>
      </c>
      <c r="E69" s="43" t="str">
        <f>IFERROR(__xludf.DUMMYFUNCTION("""COMPUTED_VALUE"""),"p_e97d339b6a05addf0e158494caaed737295d8e42@inbound.aiesec.org")</f>
        <v>p_e97d339b6a05addf0e158494caaed737295d8e42@inbound.aiesec.org</v>
      </c>
      <c r="F69" s="43">
        <f>IFERROR(__xludf.DUMMYFUNCTION("""COMPUTED_VALUE"""),9.3905742E7)</f>
        <v>93905742</v>
      </c>
      <c r="G69" s="43" t="str">
        <f>IFERROR(__xludf.DUMMYFUNCTION("""COMPUTED_VALUE"""),"Tunisia")</f>
        <v>Tunisia</v>
      </c>
      <c r="H69" s="43" t="str">
        <f>IFERROR(__xludf.DUMMYFUNCTION("""COMPUTED_VALUE"""),"BARDO")</f>
        <v>BARDO</v>
      </c>
      <c r="I69" s="43" t="str">
        <f>IFERROR(__xludf.DUMMYFUNCTION("""COMPUTED_VALUE"""),"Turkey")</f>
        <v>Turkey</v>
      </c>
      <c r="J69" s="43" t="str">
        <f>IFERROR(__xludf.DUMMYFUNCTION("""COMPUTED_VALUE"""),"ISTANBUL ASIA")</f>
        <v>ISTANBUL ASIA</v>
      </c>
      <c r="K69" s="44" t="str">
        <f>IFERROR(__xludf.DUMMYFUNCTION("""COMPUTED_VALUE"""),"https://expa.aiesec.org/opportunities/1283891")</f>
        <v>https://expa.aiesec.org/opportunities/1283891</v>
      </c>
      <c r="L69" s="43" t="str">
        <f>IFERROR(__xludf.DUMMYFUNCTION("""COMPUTED_VALUE"""),"GV")</f>
        <v>GV</v>
      </c>
      <c r="M69" s="43" t="str">
        <f>IFERROR(__xludf.DUMMYFUNCTION("""COMPUTED_VALUE"""),"short")</f>
        <v>short</v>
      </c>
      <c r="N69" s="45">
        <f>IFERROR(__xludf.DUMMYFUNCTION("""COMPUTED_VALUE"""),44773.0)</f>
        <v>44773</v>
      </c>
      <c r="O69" s="45">
        <f>IFERROR(__xludf.DUMMYFUNCTION("""COMPUTED_VALUE"""),44783.0)</f>
        <v>44783</v>
      </c>
      <c r="P69" s="45">
        <f>IFERROR(__xludf.DUMMYFUNCTION("""COMPUTED_VALUE"""),44825.0)</f>
        <v>44825</v>
      </c>
      <c r="Q69" s="45">
        <f>IFERROR(__xludf.DUMMYFUNCTION("""COMPUTED_VALUE"""),44773.0)</f>
        <v>44773</v>
      </c>
      <c r="R69" s="45">
        <f>IFERROR(__xludf.DUMMYFUNCTION("""COMPUTED_VALUE"""),44814.0)</f>
        <v>44814</v>
      </c>
      <c r="S69" s="43"/>
      <c r="T69" s="43"/>
      <c r="U69" s="43" t="str">
        <f>IFERROR(__xludf.DUMMYFUNCTION("""COMPUTED_VALUE"""),"Global Classroom")</f>
        <v>Global Classroom</v>
      </c>
      <c r="V69" s="43" t="str">
        <f>IFERROR(__xludf.DUMMYFUNCTION("""COMPUTED_VALUE"""),"TBS")</f>
        <v>TBS</v>
      </c>
      <c r="W69" s="43" t="str">
        <f>IFERROR(__xludf.DUMMYFUNCTION("""COMPUTED_VALUE"""),"2022-03-23T20:27:46Z")</f>
        <v>2022-03-23T20:27:46Z</v>
      </c>
      <c r="X69" s="43"/>
      <c r="Y69" s="43"/>
      <c r="Z69" s="43"/>
    </row>
    <row r="70" hidden="1">
      <c r="A70" s="43" t="str">
        <f>IFERROR(__xludf.DUMMYFUNCTION("""COMPUTED_VALUE"""),"5086126_1288279")</f>
        <v>5086126_1288279</v>
      </c>
      <c r="B70" s="43" t="str">
        <f>IFERROR(__xludf.DUMMYFUNCTION("""COMPUTED_VALUE"""),"Seif allah Osama Ahmed Ismail")</f>
        <v>Seif allah Osama Ahmed Ismail</v>
      </c>
      <c r="C70" s="43" t="str">
        <f>IFERROR(__xludf.DUMMYFUNCTION("""COMPUTED_VALUE"""),"completed")</f>
        <v>completed</v>
      </c>
      <c r="D70" s="43" t="str">
        <f>IFERROR(__xludf.DUMMYFUNCTION("""COMPUTED_VALUE"""),"No")</f>
        <v>No</v>
      </c>
      <c r="E70" s="43" t="str">
        <f>IFERROR(__xludf.DUMMYFUNCTION("""COMPUTED_VALUE"""),"p_02f88ea5169c728c0a33f64ed83e7e6077a05eb6@inbound.aiesec.org")</f>
        <v>p_02f88ea5169c728c0a33f64ed83e7e6077a05eb6@inbound.aiesec.org</v>
      </c>
      <c r="F70" s="43">
        <f>IFERROR(__xludf.DUMMYFUNCTION("""COMPUTED_VALUE"""),1.11292322E9)</f>
        <v>1112923220</v>
      </c>
      <c r="G70" s="43" t="str">
        <f>IFERROR(__xludf.DUMMYFUNCTION("""COMPUTED_VALUE"""),"Egypt")</f>
        <v>Egypt</v>
      </c>
      <c r="H70" s="43" t="str">
        <f>IFERROR(__xludf.DUMMYFUNCTION("""COMPUTED_VALUE"""),"Ain Shams University")</f>
        <v>Ain Shams University</v>
      </c>
      <c r="I70" s="43" t="str">
        <f>IFERROR(__xludf.DUMMYFUNCTION("""COMPUTED_VALUE"""),"Turkey")</f>
        <v>Turkey</v>
      </c>
      <c r="J70" s="43" t="str">
        <f>IFERROR(__xludf.DUMMYFUNCTION("""COMPUTED_VALUE"""),"İZMİR")</f>
        <v>İZMİR</v>
      </c>
      <c r="K70" s="44" t="str">
        <f>IFERROR(__xludf.DUMMYFUNCTION("""COMPUTED_VALUE"""),"https://expa.aiesec.org/opportunities/1288279")</f>
        <v>https://expa.aiesec.org/opportunities/1288279</v>
      </c>
      <c r="L70" s="43" t="str">
        <f>IFERROR(__xludf.DUMMYFUNCTION("""COMPUTED_VALUE"""),"GV")</f>
        <v>GV</v>
      </c>
      <c r="M70" s="43" t="str">
        <f>IFERROR(__xludf.DUMMYFUNCTION("""COMPUTED_VALUE"""),"short")</f>
        <v>short</v>
      </c>
      <c r="N70" s="45">
        <f>IFERROR(__xludf.DUMMYFUNCTION("""COMPUTED_VALUE"""),44773.0)</f>
        <v>44773</v>
      </c>
      <c r="O70" s="45">
        <f>IFERROR(__xludf.DUMMYFUNCTION("""COMPUTED_VALUE"""),44794.0)</f>
        <v>44794</v>
      </c>
      <c r="P70" s="45">
        <f>IFERROR(__xludf.DUMMYFUNCTION("""COMPUTED_VALUE"""),44836.0)</f>
        <v>44836</v>
      </c>
      <c r="Q70" s="45">
        <f>IFERROR(__xludf.DUMMYFUNCTION("""COMPUTED_VALUE"""),44800.0)</f>
        <v>44800</v>
      </c>
      <c r="R70" s="45">
        <f>IFERROR(__xludf.DUMMYFUNCTION("""COMPUTED_VALUE"""),44842.0)</f>
        <v>44842</v>
      </c>
      <c r="S70" s="43"/>
      <c r="T70" s="43"/>
      <c r="U70" s="43" t="str">
        <f>IFERROR(__xludf.DUMMYFUNCTION("""COMPUTED_VALUE"""),"Youth 4 Impact")</f>
        <v>Youth 4 Impact</v>
      </c>
      <c r="V70" s="43" t="str">
        <f>IFERROR(__xludf.DUMMYFUNCTION("""COMPUTED_VALUE"""),"Ain Shams University")</f>
        <v>Ain Shams University</v>
      </c>
      <c r="W70" s="43" t="str">
        <f>IFERROR(__xludf.DUMMYFUNCTION("""COMPUTED_VALUE"""),"2022-07-26T18:25:26Z")</f>
        <v>2022-07-26T18:25:26Z</v>
      </c>
      <c r="X70" s="43"/>
      <c r="Y70" s="43"/>
      <c r="Z70" s="43"/>
    </row>
    <row r="71" hidden="1">
      <c r="A71" s="43" t="str">
        <f>IFERROR(__xludf.DUMMYFUNCTION("""COMPUTED_VALUE"""),"1611880_1288497")</f>
        <v>1611880_1288497</v>
      </c>
      <c r="B71" s="43" t="str">
        <f>IFERROR(__xludf.DUMMYFUNCTION("""COMPUTED_VALUE"""),"Abdelrahman Alhijjawi")</f>
        <v>Abdelrahman Alhijjawi</v>
      </c>
      <c r="C71" s="43" t="str">
        <f>IFERROR(__xludf.DUMMYFUNCTION("""COMPUTED_VALUE"""),"finished")</f>
        <v>finished</v>
      </c>
      <c r="D71" s="43" t="str">
        <f>IFERROR(__xludf.DUMMYFUNCTION("""COMPUTED_VALUE"""),"No")</f>
        <v>No</v>
      </c>
      <c r="E71" s="43" t="str">
        <f>IFERROR(__xludf.DUMMYFUNCTION("""COMPUTED_VALUE"""),"p_05631cc5f483b561859cc92ac9730fa8c4b41bcc@inbound.aiesec.org")</f>
        <v>p_05631cc5f483b561859cc92ac9730fa8c4b41bcc@inbound.aiesec.org</v>
      </c>
      <c r="F71" s="43">
        <f>IFERROR(__xludf.DUMMYFUNCTION("""COMPUTED_VALUE"""),7.7777461E8)</f>
        <v>777774610</v>
      </c>
      <c r="G71" s="43" t="str">
        <f>IFERROR(__xludf.DUMMYFUNCTION("""COMPUTED_VALUE"""),"Jordan")</f>
        <v>Jordan</v>
      </c>
      <c r="H71" s="43" t="str">
        <f>IFERROR(__xludf.DUMMYFUNCTION("""COMPUTED_VALUE"""),"AMMAN")</f>
        <v>AMMAN</v>
      </c>
      <c r="I71" s="43" t="str">
        <f>IFERROR(__xludf.DUMMYFUNCTION("""COMPUTED_VALUE"""),"Turkey")</f>
        <v>Turkey</v>
      </c>
      <c r="J71" s="43" t="str">
        <f>IFERROR(__xludf.DUMMYFUNCTION("""COMPUTED_VALUE"""),"DENIZLI")</f>
        <v>DENIZLI</v>
      </c>
      <c r="K71" s="44" t="str">
        <f>IFERROR(__xludf.DUMMYFUNCTION("""COMPUTED_VALUE"""),"https://expa.aiesec.org/opportunities/1288497")</f>
        <v>https://expa.aiesec.org/opportunities/1288497</v>
      </c>
      <c r="L71" s="43" t="str">
        <f>IFERROR(__xludf.DUMMYFUNCTION("""COMPUTED_VALUE"""),"GV")</f>
        <v>GV</v>
      </c>
      <c r="M71" s="43" t="str">
        <f>IFERROR(__xludf.DUMMYFUNCTION("""COMPUTED_VALUE"""),"short")</f>
        <v>short</v>
      </c>
      <c r="N71" s="45">
        <f>IFERROR(__xludf.DUMMYFUNCTION("""COMPUTED_VALUE"""),44775.0)</f>
        <v>44775</v>
      </c>
      <c r="O71" s="45">
        <f>IFERROR(__xludf.DUMMYFUNCTION("""COMPUTED_VALUE"""),44781.0)</f>
        <v>44781</v>
      </c>
      <c r="P71" s="45">
        <f>IFERROR(__xludf.DUMMYFUNCTION("""COMPUTED_VALUE"""),44823.0)</f>
        <v>44823</v>
      </c>
      <c r="Q71" s="45">
        <f>IFERROR(__xludf.DUMMYFUNCTION("""COMPUTED_VALUE"""),44782.0)</f>
        <v>44782</v>
      </c>
      <c r="R71" s="45">
        <f>IFERROR(__xludf.DUMMYFUNCTION("""COMPUTED_VALUE"""),44816.0)</f>
        <v>44816</v>
      </c>
      <c r="S71" s="43"/>
      <c r="T71" s="43"/>
      <c r="U71" s="43" t="str">
        <f>IFERROR(__xludf.DUMMYFUNCTION("""COMPUTED_VALUE"""),"Youth 4 Impact")</f>
        <v>Youth 4 Impact</v>
      </c>
      <c r="V71" s="43" t="str">
        <f>IFERROR(__xludf.DUMMYFUNCTION("""COMPUTED_VALUE"""),"-")</f>
        <v>-</v>
      </c>
      <c r="W71" s="43" t="str">
        <f>IFERROR(__xludf.DUMMYFUNCTION("""COMPUTED_VALUE"""),"2017-06-09T23:50:20Z")</f>
        <v>2017-06-09T23:50:20Z</v>
      </c>
      <c r="X71" s="43"/>
      <c r="Y71" s="43"/>
      <c r="Z71" s="43"/>
    </row>
    <row r="72" hidden="1">
      <c r="A72" s="43" t="str">
        <f>IFERROR(__xludf.DUMMYFUNCTION("""COMPUTED_VALUE"""),"5084738_1286344")</f>
        <v>5084738_1286344</v>
      </c>
      <c r="B72" s="43" t="str">
        <f>IFERROR(__xludf.DUMMYFUNCTION("""COMPUTED_VALUE"""),"beatriz leal")</f>
        <v>beatriz leal</v>
      </c>
      <c r="C72" s="43" t="str">
        <f>IFERROR(__xludf.DUMMYFUNCTION("""COMPUTED_VALUE"""),"completed")</f>
        <v>completed</v>
      </c>
      <c r="D72" s="43" t="str">
        <f>IFERROR(__xludf.DUMMYFUNCTION("""COMPUTED_VALUE"""),"No")</f>
        <v>No</v>
      </c>
      <c r="E72" s="43" t="str">
        <f>IFERROR(__xludf.DUMMYFUNCTION("""COMPUTED_VALUE"""),"p_3b1e506afed65979af34695b2ee46b8573828ca9@inbound.aiesec.org")</f>
        <v>p_3b1e506afed65979af34695b2ee46b8573828ca9@inbound.aiesec.org</v>
      </c>
      <c r="F72" s="43">
        <f>IFERROR(__xludf.DUMMYFUNCTION("""COMPUTED_VALUE"""),1.498801756E10)</f>
        <v>14988017560</v>
      </c>
      <c r="G72" s="43" t="str">
        <f>IFERROR(__xludf.DUMMYFUNCTION("""COMPUTED_VALUE"""),"Brazil")</f>
        <v>Brazil</v>
      </c>
      <c r="H72" s="43" t="str">
        <f>IFERROR(__xludf.DUMMYFUNCTION("""COMPUTED_VALUE"""),"SAO CARLOS")</f>
        <v>SAO CARLOS</v>
      </c>
      <c r="I72" s="43" t="str">
        <f>IFERROR(__xludf.DUMMYFUNCTION("""COMPUTED_VALUE"""),"Turkey")</f>
        <v>Turkey</v>
      </c>
      <c r="J72" s="43" t="str">
        <f>IFERROR(__xludf.DUMMYFUNCTION("""COMPUTED_VALUE"""),"İZMİR")</f>
        <v>İZMİR</v>
      </c>
      <c r="K72" s="44" t="str">
        <f>IFERROR(__xludf.DUMMYFUNCTION("""COMPUTED_VALUE"""),"https://expa.aiesec.org/opportunities/1286344")</f>
        <v>https://expa.aiesec.org/opportunities/1286344</v>
      </c>
      <c r="L72" s="43" t="str">
        <f>IFERROR(__xludf.DUMMYFUNCTION("""COMPUTED_VALUE"""),"GV")</f>
        <v>GV</v>
      </c>
      <c r="M72" s="43" t="str">
        <f>IFERROR(__xludf.DUMMYFUNCTION("""COMPUTED_VALUE"""),"short")</f>
        <v>short</v>
      </c>
      <c r="N72" s="45">
        <f>IFERROR(__xludf.DUMMYFUNCTION("""COMPUTED_VALUE"""),44775.0)</f>
        <v>44775</v>
      </c>
      <c r="O72" s="45">
        <f>IFERROR(__xludf.DUMMYFUNCTION("""COMPUTED_VALUE"""),45025.0)</f>
        <v>45025</v>
      </c>
      <c r="P72" s="45">
        <f>IFERROR(__xludf.DUMMYFUNCTION("""COMPUTED_VALUE"""),45067.0)</f>
        <v>45067</v>
      </c>
      <c r="Q72" s="45">
        <f>IFERROR(__xludf.DUMMYFUNCTION("""COMPUTED_VALUE"""),45026.0)</f>
        <v>45026</v>
      </c>
      <c r="R72" s="45">
        <f>IFERROR(__xludf.DUMMYFUNCTION("""COMPUTED_VALUE"""),45067.0)</f>
        <v>45067</v>
      </c>
      <c r="S72" s="43"/>
      <c r="T72" s="43"/>
      <c r="U72" s="43" t="str">
        <f>IFERROR(__xludf.DUMMYFUNCTION("""COMPUTED_VALUE"""),"Global Classroom")</f>
        <v>Global Classroom</v>
      </c>
      <c r="V72" s="43" t="str">
        <f>IFERROR(__xludf.DUMMYFUNCTION("""COMPUTED_VALUE"""),"São Carlos")</f>
        <v>São Carlos</v>
      </c>
      <c r="W72" s="43" t="str">
        <f>IFERROR(__xludf.DUMMYFUNCTION("""COMPUTED_VALUE"""),"2022-07-21T17:51:07Z")</f>
        <v>2022-07-21T17:51:07Z</v>
      </c>
      <c r="X72" s="43"/>
      <c r="Y72" s="43"/>
      <c r="Z72" s="43"/>
    </row>
    <row r="73" hidden="1">
      <c r="A73" s="43" t="str">
        <f>IFERROR(__xludf.DUMMYFUNCTION("""COMPUTED_VALUE"""),"5086050_1287181")</f>
        <v>5086050_1287181</v>
      </c>
      <c r="B73" s="43" t="str">
        <f>IFERROR(__xludf.DUMMYFUNCTION("""COMPUTED_VALUE"""),"sayma karoui")</f>
        <v>sayma karoui</v>
      </c>
      <c r="C73" s="43" t="str">
        <f>IFERROR(__xludf.DUMMYFUNCTION("""COMPUTED_VALUE"""),"completed")</f>
        <v>completed</v>
      </c>
      <c r="D73" s="43" t="str">
        <f>IFERROR(__xludf.DUMMYFUNCTION("""COMPUTED_VALUE"""),"No")</f>
        <v>No</v>
      </c>
      <c r="E73" s="43" t="str">
        <f>IFERROR(__xludf.DUMMYFUNCTION("""COMPUTED_VALUE"""),"p_43909a6b43fca3412613e4785986f0762f2af40d@inbound.aiesec.org")</f>
        <v>p_43909a6b43fca3412613e4785986f0762f2af40d@inbound.aiesec.org</v>
      </c>
      <c r="F73" s="43">
        <f>IFERROR(__xludf.DUMMYFUNCTION("""COMPUTED_VALUE"""),2.2501009E7)</f>
        <v>22501009</v>
      </c>
      <c r="G73" s="43" t="str">
        <f>IFERROR(__xludf.DUMMYFUNCTION("""COMPUTED_VALUE"""),"Tunisia")</f>
        <v>Tunisia</v>
      </c>
      <c r="H73" s="43" t="str">
        <f>IFERROR(__xludf.DUMMYFUNCTION("""COMPUTED_VALUE"""),"Carthage")</f>
        <v>Carthage</v>
      </c>
      <c r="I73" s="43" t="str">
        <f>IFERROR(__xludf.DUMMYFUNCTION("""COMPUTED_VALUE"""),"Turkey")</f>
        <v>Turkey</v>
      </c>
      <c r="J73" s="43" t="str">
        <f>IFERROR(__xludf.DUMMYFUNCTION("""COMPUTED_VALUE"""),"ISTANBUL ASIA")</f>
        <v>ISTANBUL ASIA</v>
      </c>
      <c r="K73" s="44" t="str">
        <f>IFERROR(__xludf.DUMMYFUNCTION("""COMPUTED_VALUE"""),"https://expa.aiesec.org/opportunities/1287181")</f>
        <v>https://expa.aiesec.org/opportunities/1287181</v>
      </c>
      <c r="L73" s="43" t="str">
        <f>IFERROR(__xludf.DUMMYFUNCTION("""COMPUTED_VALUE"""),"GV")</f>
        <v>GV</v>
      </c>
      <c r="M73" s="43" t="str">
        <f>IFERROR(__xludf.DUMMYFUNCTION("""COMPUTED_VALUE"""),"short")</f>
        <v>short</v>
      </c>
      <c r="N73" s="45">
        <f>IFERROR(__xludf.DUMMYFUNCTION("""COMPUTED_VALUE"""),44776.0)</f>
        <v>44776</v>
      </c>
      <c r="O73" s="45">
        <f>IFERROR(__xludf.DUMMYFUNCTION("""COMPUTED_VALUE"""),44788.0)</f>
        <v>44788</v>
      </c>
      <c r="P73" s="45">
        <f>IFERROR(__xludf.DUMMYFUNCTION("""COMPUTED_VALUE"""),44830.0)</f>
        <v>44830</v>
      </c>
      <c r="Q73" s="45">
        <f>IFERROR(__xludf.DUMMYFUNCTION("""COMPUTED_VALUE"""),44781.0)</f>
        <v>44781</v>
      </c>
      <c r="R73" s="45">
        <f>IFERROR(__xludf.DUMMYFUNCTION("""COMPUTED_VALUE"""),44816.0)</f>
        <v>44816</v>
      </c>
      <c r="S73" s="43"/>
      <c r="T73" s="43"/>
      <c r="U73" s="43" t="str">
        <f>IFERROR(__xludf.DUMMYFUNCTION("""COMPUTED_VALUE"""),"Equify")</f>
        <v>Equify</v>
      </c>
      <c r="V73" s="43" t="str">
        <f>IFERROR(__xludf.DUMMYFUNCTION("""COMPUTED_VALUE"""),"ENICarthage")</f>
        <v>ENICarthage</v>
      </c>
      <c r="W73" s="43" t="str">
        <f>IFERROR(__xludf.DUMMYFUNCTION("""COMPUTED_VALUE"""),"2022-07-26T14:32:10Z")</f>
        <v>2022-07-26T14:32:10Z</v>
      </c>
      <c r="X73" s="43"/>
      <c r="Y73" s="43"/>
      <c r="Z73" s="43"/>
    </row>
    <row r="74" hidden="1">
      <c r="A74" s="43" t="str">
        <f>IFERROR(__xludf.DUMMYFUNCTION("""COMPUTED_VALUE"""),"5049853_1287101")</f>
        <v>5049853_1287101</v>
      </c>
      <c r="B74" s="43" t="str">
        <f>IFERROR(__xludf.DUMMYFUNCTION("""COMPUTED_VALUE"""),"Marisa Eiben")</f>
        <v>Marisa Eiben</v>
      </c>
      <c r="C74" s="43" t="str">
        <f>IFERROR(__xludf.DUMMYFUNCTION("""COMPUTED_VALUE"""),"realization_broken")</f>
        <v>realization_broken</v>
      </c>
      <c r="D74" s="43" t="str">
        <f>IFERROR(__xludf.DUMMYFUNCTION("""COMPUTED_VALUE"""),"No")</f>
        <v>No</v>
      </c>
      <c r="E74" s="43" t="str">
        <f>IFERROR(__xludf.DUMMYFUNCTION("""COMPUTED_VALUE"""),"p_8604000e2e61db4b0054b2a498a5547d2b8e357b@inbound.aiesec.org")</f>
        <v>p_8604000e2e61db4b0054b2a498a5547d2b8e357b@inbound.aiesec.org</v>
      </c>
      <c r="F74" s="43">
        <f>IFERROR(__xludf.DUMMYFUNCTION("""COMPUTED_VALUE"""),1.5232007084E10)</f>
        <v>15232007084</v>
      </c>
      <c r="G74" s="43" t="str">
        <f>IFERROR(__xludf.DUMMYFUNCTION("""COMPUTED_VALUE"""),"Germany")</f>
        <v>Germany</v>
      </c>
      <c r="H74" s="43" t="str">
        <f>IFERROR(__xludf.DUMMYFUNCTION("""COMPUTED_VALUE"""),"AACHEN")</f>
        <v>AACHEN</v>
      </c>
      <c r="I74" s="43" t="str">
        <f>IFERROR(__xludf.DUMMYFUNCTION("""COMPUTED_VALUE"""),"Turkey")</f>
        <v>Turkey</v>
      </c>
      <c r="J74" s="43" t="str">
        <f>IFERROR(__xludf.DUMMYFUNCTION("""COMPUTED_VALUE"""),"İZMİR")</f>
        <v>İZMİR</v>
      </c>
      <c r="K74" s="44" t="str">
        <f>IFERROR(__xludf.DUMMYFUNCTION("""COMPUTED_VALUE"""),"https://expa.aiesec.org/opportunities/1287101")</f>
        <v>https://expa.aiesec.org/opportunities/1287101</v>
      </c>
      <c r="L74" s="43" t="str">
        <f>IFERROR(__xludf.DUMMYFUNCTION("""COMPUTED_VALUE"""),"GV")</f>
        <v>GV</v>
      </c>
      <c r="M74" s="43" t="str">
        <f>IFERROR(__xludf.DUMMYFUNCTION("""COMPUTED_VALUE"""),"short")</f>
        <v>short</v>
      </c>
      <c r="N74" s="45">
        <f>IFERROR(__xludf.DUMMYFUNCTION("""COMPUTED_VALUE"""),44776.0)</f>
        <v>44776</v>
      </c>
      <c r="O74" s="45">
        <f>IFERROR(__xludf.DUMMYFUNCTION("""COMPUTED_VALUE"""),44857.0)</f>
        <v>44857</v>
      </c>
      <c r="P74" s="45">
        <f>IFERROR(__xludf.DUMMYFUNCTION("""COMPUTED_VALUE"""),44899.0)</f>
        <v>44899</v>
      </c>
      <c r="Q74" s="45"/>
      <c r="R74" s="45"/>
      <c r="S74" s="43"/>
      <c r="T74" s="43"/>
      <c r="U74" s="43" t="str">
        <f>IFERROR(__xludf.DUMMYFUNCTION("""COMPUTED_VALUE"""),"Global Classroom")</f>
        <v>Global Classroom</v>
      </c>
      <c r="V74" s="43" t="str">
        <f>IFERROR(__xludf.DUMMYFUNCTION("""COMPUTED_VALUE"""),"Goettingen")</f>
        <v>Goettingen</v>
      </c>
      <c r="W74" s="43" t="str">
        <f>IFERROR(__xludf.DUMMYFUNCTION("""COMPUTED_VALUE"""),"2022-05-02T08:45:25Z")</f>
        <v>2022-05-02T08:45:25Z</v>
      </c>
      <c r="X74" s="43"/>
      <c r="Y74" s="43"/>
      <c r="Z74" s="43"/>
    </row>
    <row r="75" hidden="1">
      <c r="A75" s="43" t="str">
        <f>IFERROR(__xludf.DUMMYFUNCTION("""COMPUTED_VALUE"""),"1127724_1286034")</f>
        <v>1127724_1286034</v>
      </c>
      <c r="B75" s="43" t="str">
        <f>IFERROR(__xludf.DUMMYFUNCTION("""COMPUTED_VALUE"""),"Aizaaz Saeed")</f>
        <v>Aizaaz Saeed</v>
      </c>
      <c r="C75" s="43" t="str">
        <f>IFERROR(__xludf.DUMMYFUNCTION("""COMPUTED_VALUE"""),"realization_broken")</f>
        <v>realization_broken</v>
      </c>
      <c r="D75" s="43" t="str">
        <f>IFERROR(__xludf.DUMMYFUNCTION("""COMPUTED_VALUE"""),"No")</f>
        <v>No</v>
      </c>
      <c r="E75" s="43" t="str">
        <f>IFERROR(__xludf.DUMMYFUNCTION("""COMPUTED_VALUE"""),"p_8399480d5bee80af81a0c31dab9330213c39b46a@inbound.aiesec.org")</f>
        <v>p_8399480d5bee80af81a0c31dab9330213c39b46a@inbound.aiesec.org</v>
      </c>
      <c r="F75" s="43">
        <f>IFERROR(__xludf.DUMMYFUNCTION("""COMPUTED_VALUE"""),4.375528997E9)</f>
        <v>4375528997</v>
      </c>
      <c r="G75" s="43" t="str">
        <f>IFERROR(__xludf.DUMMYFUNCTION("""COMPUTED_VALUE"""),"Pakistan")</f>
        <v>Pakistan</v>
      </c>
      <c r="H75" s="43" t="str">
        <f>IFERROR(__xludf.DUMMYFUNCTION("""COMPUTED_VALUE"""),"Islamabad")</f>
        <v>Islamabad</v>
      </c>
      <c r="I75" s="43" t="str">
        <f>IFERROR(__xludf.DUMMYFUNCTION("""COMPUTED_VALUE"""),"Turkey")</f>
        <v>Turkey</v>
      </c>
      <c r="J75" s="43" t="str">
        <f>IFERROR(__xludf.DUMMYFUNCTION("""COMPUTED_VALUE"""),"ANTALYA")</f>
        <v>ANTALYA</v>
      </c>
      <c r="K75" s="44" t="str">
        <f>IFERROR(__xludf.DUMMYFUNCTION("""COMPUTED_VALUE"""),"https://expa.aiesec.org/opportunities/1286034")</f>
        <v>https://expa.aiesec.org/opportunities/1286034</v>
      </c>
      <c r="L75" s="43" t="str">
        <f>IFERROR(__xludf.DUMMYFUNCTION("""COMPUTED_VALUE"""),"GV")</f>
        <v>GV</v>
      </c>
      <c r="M75" s="43" t="str">
        <f>IFERROR(__xludf.DUMMYFUNCTION("""COMPUTED_VALUE"""),"short")</f>
        <v>short</v>
      </c>
      <c r="N75" s="45">
        <f>IFERROR(__xludf.DUMMYFUNCTION("""COMPUTED_VALUE"""),44777.0)</f>
        <v>44777</v>
      </c>
      <c r="O75" s="45">
        <f>IFERROR(__xludf.DUMMYFUNCTION("""COMPUTED_VALUE"""),44837.0)</f>
        <v>44837</v>
      </c>
      <c r="P75" s="45">
        <f>IFERROR(__xludf.DUMMYFUNCTION("""COMPUTED_VALUE"""),44879.0)</f>
        <v>44879</v>
      </c>
      <c r="Q75" s="45"/>
      <c r="R75" s="45"/>
      <c r="S75" s="43"/>
      <c r="T75" s="43"/>
      <c r="U75" s="43" t="str">
        <f>IFERROR(__xludf.DUMMYFUNCTION("""COMPUTED_VALUE"""),"Global Classroom")</f>
        <v>Global Classroom</v>
      </c>
      <c r="V75" s="43" t="str">
        <f>IFERROR(__xludf.DUMMYFUNCTION("""COMPUTED_VALUE"""),"-")</f>
        <v>-</v>
      </c>
      <c r="W75" s="43" t="str">
        <f>IFERROR(__xludf.DUMMYFUNCTION("""COMPUTED_VALUE"""),"2016-08-29T17:20:27Z")</f>
        <v>2016-08-29T17:20:27Z</v>
      </c>
      <c r="X75" s="43"/>
      <c r="Y75" s="43"/>
      <c r="Z75" s="43"/>
    </row>
    <row r="76" hidden="1">
      <c r="A76" s="43" t="str">
        <f>IFERROR(__xludf.DUMMYFUNCTION("""COMPUTED_VALUE"""),"4569373_1288497")</f>
        <v>4569373_1288497</v>
      </c>
      <c r="B76" s="43" t="str">
        <f>IFERROR(__xludf.DUMMYFUNCTION("""COMPUTED_VALUE"""),"Aya Farsi")</f>
        <v>Aya Farsi</v>
      </c>
      <c r="C76" s="43" t="str">
        <f>IFERROR(__xludf.DUMMYFUNCTION("""COMPUTED_VALUE"""),"completed")</f>
        <v>completed</v>
      </c>
      <c r="D76" s="43" t="str">
        <f>IFERROR(__xludf.DUMMYFUNCTION("""COMPUTED_VALUE"""),"No")</f>
        <v>No</v>
      </c>
      <c r="E76" s="43" t="str">
        <f>IFERROR(__xludf.DUMMYFUNCTION("""COMPUTED_VALUE"""),"p_64079d4cf6c1aad983e3fad62738bdbd67b584db@inbound.aiesec.org")</f>
        <v>p_64079d4cf6c1aad983e3fad62738bdbd67b584db@inbound.aiesec.org</v>
      </c>
      <c r="F76" s="43">
        <f>IFERROR(__xludf.DUMMYFUNCTION("""COMPUTED_VALUE"""),7.62363981E8)</f>
        <v>762363981</v>
      </c>
      <c r="G76" s="43" t="str">
        <f>IFERROR(__xludf.DUMMYFUNCTION("""COMPUTED_VALUE"""),"Morocco")</f>
        <v>Morocco</v>
      </c>
      <c r="H76" s="43" t="str">
        <f>IFERROR(__xludf.DUMMYFUNCTION("""COMPUTED_VALUE"""),"Ben Guerir")</f>
        <v>Ben Guerir</v>
      </c>
      <c r="I76" s="43" t="str">
        <f>IFERROR(__xludf.DUMMYFUNCTION("""COMPUTED_VALUE"""),"Turkey")</f>
        <v>Turkey</v>
      </c>
      <c r="J76" s="43" t="str">
        <f>IFERROR(__xludf.DUMMYFUNCTION("""COMPUTED_VALUE"""),"DENIZLI")</f>
        <v>DENIZLI</v>
      </c>
      <c r="K76" s="44" t="str">
        <f>IFERROR(__xludf.DUMMYFUNCTION("""COMPUTED_VALUE"""),"https://expa.aiesec.org/opportunities/1288497")</f>
        <v>https://expa.aiesec.org/opportunities/1288497</v>
      </c>
      <c r="L76" s="43" t="str">
        <f>IFERROR(__xludf.DUMMYFUNCTION("""COMPUTED_VALUE"""),"GV")</f>
        <v>GV</v>
      </c>
      <c r="M76" s="43" t="str">
        <f>IFERROR(__xludf.DUMMYFUNCTION("""COMPUTED_VALUE"""),"short")</f>
        <v>short</v>
      </c>
      <c r="N76" s="45">
        <f>IFERROR(__xludf.DUMMYFUNCTION("""COMPUTED_VALUE"""),44779.0)</f>
        <v>44779</v>
      </c>
      <c r="O76" s="45">
        <f>IFERROR(__xludf.DUMMYFUNCTION("""COMPUTED_VALUE"""),44781.0)</f>
        <v>44781</v>
      </c>
      <c r="P76" s="45">
        <f>IFERROR(__xludf.DUMMYFUNCTION("""COMPUTED_VALUE"""),44823.0)</f>
        <v>44823</v>
      </c>
      <c r="Q76" s="45">
        <f>IFERROR(__xludf.DUMMYFUNCTION("""COMPUTED_VALUE"""),44785.0)</f>
        <v>44785</v>
      </c>
      <c r="R76" s="45">
        <f>IFERROR(__xludf.DUMMYFUNCTION("""COMPUTED_VALUE"""),44823.0)</f>
        <v>44823</v>
      </c>
      <c r="S76" s="43"/>
      <c r="T76" s="43"/>
      <c r="U76" s="43" t="str">
        <f>IFERROR(__xludf.DUMMYFUNCTION("""COMPUTED_VALUE"""),"Youth 4 Impact")</f>
        <v>Youth 4 Impact</v>
      </c>
      <c r="V76" s="43" t="str">
        <f>IFERROR(__xludf.DUMMYFUNCTION("""COMPUTED_VALUE"""),"Other-BEN GUERIR")</f>
        <v>Other-BEN GUERIR</v>
      </c>
      <c r="W76" s="43" t="str">
        <f>IFERROR(__xludf.DUMMYFUNCTION("""COMPUTED_VALUE"""),"2021-03-06T11:57:49Z")</f>
        <v>2021-03-06T11:57:49Z</v>
      </c>
      <c r="X76" s="43"/>
      <c r="Y76" s="43"/>
      <c r="Z76" s="43"/>
    </row>
    <row r="77" hidden="1">
      <c r="A77" s="43" t="str">
        <f>IFERROR(__xludf.DUMMYFUNCTION("""COMPUTED_VALUE"""),"5084179_1288497")</f>
        <v>5084179_1288497</v>
      </c>
      <c r="B77" s="43" t="str">
        <f>IFERROR(__xludf.DUMMYFUNCTION("""COMPUTED_VALUE"""),"Nurym Nurakhan")</f>
        <v>Nurym Nurakhan</v>
      </c>
      <c r="C77" s="43" t="str">
        <f>IFERROR(__xludf.DUMMYFUNCTION("""COMPUTED_VALUE"""),"completed")</f>
        <v>completed</v>
      </c>
      <c r="D77" s="43" t="str">
        <f>IFERROR(__xludf.DUMMYFUNCTION("""COMPUTED_VALUE"""),"No")</f>
        <v>No</v>
      </c>
      <c r="E77" s="43" t="str">
        <f>IFERROR(__xludf.DUMMYFUNCTION("""COMPUTED_VALUE"""),"p_59dca1b7bc2a6b390ade0d708ba973adfdc7d8a9@inbound.aiesec.org")</f>
        <v>p_59dca1b7bc2a6b390ade0d708ba973adfdc7d8a9@inbound.aiesec.org</v>
      </c>
      <c r="F77" s="43">
        <f>IFERROR(__xludf.DUMMYFUNCTION("""COMPUTED_VALUE"""),7.08367917E9)</f>
        <v>7083679170</v>
      </c>
      <c r="G77" s="43" t="str">
        <f>IFERROR(__xludf.DUMMYFUNCTION("""COMPUTED_VALUE"""),"Kazakhstan")</f>
        <v>Kazakhstan</v>
      </c>
      <c r="H77" s="43" t="str">
        <f>IFERROR(__xludf.DUMMYFUNCTION("""COMPUTED_VALUE"""),"ALMATY")</f>
        <v>ALMATY</v>
      </c>
      <c r="I77" s="43" t="str">
        <f>IFERROR(__xludf.DUMMYFUNCTION("""COMPUTED_VALUE"""),"Turkey")</f>
        <v>Turkey</v>
      </c>
      <c r="J77" s="43" t="str">
        <f>IFERROR(__xludf.DUMMYFUNCTION("""COMPUTED_VALUE"""),"DENIZLI")</f>
        <v>DENIZLI</v>
      </c>
      <c r="K77" s="44" t="str">
        <f>IFERROR(__xludf.DUMMYFUNCTION("""COMPUTED_VALUE"""),"https://expa.aiesec.org/opportunities/1288497")</f>
        <v>https://expa.aiesec.org/opportunities/1288497</v>
      </c>
      <c r="L77" s="43" t="str">
        <f>IFERROR(__xludf.DUMMYFUNCTION("""COMPUTED_VALUE"""),"GV")</f>
        <v>GV</v>
      </c>
      <c r="M77" s="43" t="str">
        <f>IFERROR(__xludf.DUMMYFUNCTION("""COMPUTED_VALUE"""),"short")</f>
        <v>short</v>
      </c>
      <c r="N77" s="45">
        <f>IFERROR(__xludf.DUMMYFUNCTION("""COMPUTED_VALUE"""),44779.0)</f>
        <v>44779</v>
      </c>
      <c r="O77" s="45">
        <f>IFERROR(__xludf.DUMMYFUNCTION("""COMPUTED_VALUE"""),44781.0)</f>
        <v>44781</v>
      </c>
      <c r="P77" s="45">
        <f>IFERROR(__xludf.DUMMYFUNCTION("""COMPUTED_VALUE"""),44823.0)</f>
        <v>44823</v>
      </c>
      <c r="Q77" s="45">
        <f>IFERROR(__xludf.DUMMYFUNCTION("""COMPUTED_VALUE"""),44782.0)</f>
        <v>44782</v>
      </c>
      <c r="R77" s="45">
        <f>IFERROR(__xludf.DUMMYFUNCTION("""COMPUTED_VALUE"""),44816.0)</f>
        <v>44816</v>
      </c>
      <c r="S77" s="43"/>
      <c r="T77" s="43"/>
      <c r="U77" s="43" t="str">
        <f>IFERROR(__xludf.DUMMYFUNCTION("""COMPUTED_VALUE"""),"Youth 4 Impact")</f>
        <v>Youth 4 Impact</v>
      </c>
      <c r="V77" s="43" t="str">
        <f>IFERROR(__xludf.DUMMYFUNCTION("""COMPUTED_VALUE"""),"Almaty")</f>
        <v>Almaty</v>
      </c>
      <c r="W77" s="43" t="str">
        <f>IFERROR(__xludf.DUMMYFUNCTION("""COMPUTED_VALUE"""),"2022-07-19T21:01:12Z")</f>
        <v>2022-07-19T21:01:12Z</v>
      </c>
      <c r="X77" s="43"/>
      <c r="Y77" s="43"/>
      <c r="Z77" s="43"/>
    </row>
    <row r="78" hidden="1">
      <c r="A78" s="43" t="str">
        <f>IFERROR(__xludf.DUMMYFUNCTION("""COMPUTED_VALUE"""),"4163001_1287925")</f>
        <v>4163001_1287925</v>
      </c>
      <c r="B78" s="43" t="str">
        <f>IFERROR(__xludf.DUMMYFUNCTION("""COMPUTED_VALUE"""),"Ibad Ur Rahman")</f>
        <v>Ibad Ur Rahman</v>
      </c>
      <c r="C78" s="43" t="str">
        <f>IFERROR(__xludf.DUMMYFUNCTION("""COMPUTED_VALUE"""),"completed")</f>
        <v>completed</v>
      </c>
      <c r="D78" s="43" t="str">
        <f>IFERROR(__xludf.DUMMYFUNCTION("""COMPUTED_VALUE"""),"No")</f>
        <v>No</v>
      </c>
      <c r="E78" s="43" t="str">
        <f>IFERROR(__xludf.DUMMYFUNCTION("""COMPUTED_VALUE"""),"p_d9e7c8c777960a39a1efadea3ec3965dc5c25293@inbound.aiesec.org")</f>
        <v>p_d9e7c8c777960a39a1efadea3ec3965dc5c25293@inbound.aiesec.org</v>
      </c>
      <c r="F78" s="43">
        <f>IFERROR(__xludf.DUMMYFUNCTION("""COMPUTED_VALUE"""),3.149129007E9)</f>
        <v>3149129007</v>
      </c>
      <c r="G78" s="43" t="str">
        <f>IFERROR(__xludf.DUMMYFUNCTION("""COMPUTED_VALUE"""),"Pakistan")</f>
        <v>Pakistan</v>
      </c>
      <c r="H78" s="43" t="str">
        <f>IFERROR(__xludf.DUMMYFUNCTION("""COMPUTED_VALUE"""),"Islamabad")</f>
        <v>Islamabad</v>
      </c>
      <c r="I78" s="43" t="str">
        <f>IFERROR(__xludf.DUMMYFUNCTION("""COMPUTED_VALUE"""),"Turkey")</f>
        <v>Turkey</v>
      </c>
      <c r="J78" s="43" t="str">
        <f>IFERROR(__xludf.DUMMYFUNCTION("""COMPUTED_VALUE"""),"DENIZLI")</f>
        <v>DENIZLI</v>
      </c>
      <c r="K78" s="44" t="str">
        <f>IFERROR(__xludf.DUMMYFUNCTION("""COMPUTED_VALUE"""),"https://expa.aiesec.org/opportunities/1287925")</f>
        <v>https://expa.aiesec.org/opportunities/1287925</v>
      </c>
      <c r="L78" s="43" t="str">
        <f>IFERROR(__xludf.DUMMYFUNCTION("""COMPUTED_VALUE"""),"GV")</f>
        <v>GV</v>
      </c>
      <c r="M78" s="43" t="str">
        <f>IFERROR(__xludf.DUMMYFUNCTION("""COMPUTED_VALUE"""),"short")</f>
        <v>short</v>
      </c>
      <c r="N78" s="45">
        <f>IFERROR(__xludf.DUMMYFUNCTION("""COMPUTED_VALUE"""),44783.0)</f>
        <v>44783</v>
      </c>
      <c r="O78" s="45">
        <f>IFERROR(__xludf.DUMMYFUNCTION("""COMPUTED_VALUE"""),44816.0)</f>
        <v>44816</v>
      </c>
      <c r="P78" s="45">
        <f>IFERROR(__xludf.DUMMYFUNCTION("""COMPUTED_VALUE"""),44858.0)</f>
        <v>44858</v>
      </c>
      <c r="Q78" s="45">
        <f>IFERROR(__xludf.DUMMYFUNCTION("""COMPUTED_VALUE"""),44815.0)</f>
        <v>44815</v>
      </c>
      <c r="R78" s="45">
        <f>IFERROR(__xludf.DUMMYFUNCTION("""COMPUTED_VALUE"""),44858.0)</f>
        <v>44858</v>
      </c>
      <c r="S78" s="43"/>
      <c r="T78" s="43"/>
      <c r="U78" s="43" t="str">
        <f>IFERROR(__xludf.DUMMYFUNCTION("""COMPUTED_VALUE"""),"Youth 4 Impact")</f>
        <v>Youth 4 Impact</v>
      </c>
      <c r="V78" s="43" t="str">
        <f>IFERROR(__xludf.DUMMYFUNCTION("""COMPUTED_VALUE"""),"-")</f>
        <v>-</v>
      </c>
      <c r="W78" s="43" t="str">
        <f>IFERROR(__xludf.DUMMYFUNCTION("""COMPUTED_VALUE"""),"2020-02-01T16:57:34Z")</f>
        <v>2020-02-01T16:57:34Z</v>
      </c>
      <c r="X78" s="43"/>
      <c r="Y78" s="43"/>
      <c r="Z78" s="43"/>
    </row>
    <row r="79" hidden="1">
      <c r="A79" s="43" t="str">
        <f>IFERROR(__xludf.DUMMYFUNCTION("""COMPUTED_VALUE"""),"4987825_1288713")</f>
        <v>4987825_1288713</v>
      </c>
      <c r="B79" s="43" t="str">
        <f>IFERROR(__xludf.DUMMYFUNCTION("""COMPUTED_VALUE"""),"Maysoura Zouaoui")</f>
        <v>Maysoura Zouaoui</v>
      </c>
      <c r="C79" s="43" t="str">
        <f>IFERROR(__xludf.DUMMYFUNCTION("""COMPUTED_VALUE"""),"finished")</f>
        <v>finished</v>
      </c>
      <c r="D79" s="43" t="str">
        <f>IFERROR(__xludf.DUMMYFUNCTION("""COMPUTED_VALUE"""),"No")</f>
        <v>No</v>
      </c>
      <c r="E79" s="43" t="str">
        <f>IFERROR(__xludf.DUMMYFUNCTION("""COMPUTED_VALUE"""),"p_c4b697a32d3f276e655b51a3a39bb704f15f5ee2@inbound.aiesec.org")</f>
        <v>p_c4b697a32d3f276e655b51a3a39bb704f15f5ee2@inbound.aiesec.org</v>
      </c>
      <c r="F79" s="43">
        <f>IFERROR(__xludf.DUMMYFUNCTION("""COMPUTED_VALUE"""),5.2928269E7)</f>
        <v>52928269</v>
      </c>
      <c r="G79" s="43" t="str">
        <f>IFERROR(__xludf.DUMMYFUNCTION("""COMPUTED_VALUE"""),"Tunisia")</f>
        <v>Tunisia</v>
      </c>
      <c r="H79" s="43" t="str">
        <f>IFERROR(__xludf.DUMMYFUNCTION("""COMPUTED_VALUE"""),"UNIVERSITY")</f>
        <v>UNIVERSITY</v>
      </c>
      <c r="I79" s="43" t="str">
        <f>IFERROR(__xludf.DUMMYFUNCTION("""COMPUTED_VALUE"""),"Turkey")</f>
        <v>Turkey</v>
      </c>
      <c r="J79" s="43" t="str">
        <f>IFERROR(__xludf.DUMMYFUNCTION("""COMPUTED_VALUE"""),"ISTANBUL WEST")</f>
        <v>ISTANBUL WEST</v>
      </c>
      <c r="K79" s="44" t="str">
        <f>IFERROR(__xludf.DUMMYFUNCTION("""COMPUTED_VALUE"""),"https://expa.aiesec.org/opportunities/1288713")</f>
        <v>https://expa.aiesec.org/opportunities/1288713</v>
      </c>
      <c r="L79" s="43" t="str">
        <f>IFERROR(__xludf.DUMMYFUNCTION("""COMPUTED_VALUE"""),"GV")</f>
        <v>GV</v>
      </c>
      <c r="M79" s="43" t="str">
        <f>IFERROR(__xludf.DUMMYFUNCTION("""COMPUTED_VALUE"""),"short")</f>
        <v>short</v>
      </c>
      <c r="N79" s="45">
        <f>IFERROR(__xludf.DUMMYFUNCTION("""COMPUTED_VALUE"""),44783.0)</f>
        <v>44783</v>
      </c>
      <c r="O79" s="45">
        <f>IFERROR(__xludf.DUMMYFUNCTION("""COMPUTED_VALUE"""),44809.0)</f>
        <v>44809</v>
      </c>
      <c r="P79" s="45">
        <f>IFERROR(__xludf.DUMMYFUNCTION("""COMPUTED_VALUE"""),44851.0)</f>
        <v>44851</v>
      </c>
      <c r="Q79" s="45">
        <f>IFERROR(__xludf.DUMMYFUNCTION("""COMPUTED_VALUE"""),44868.0)</f>
        <v>44868</v>
      </c>
      <c r="R79" s="45">
        <f>IFERROR(__xludf.DUMMYFUNCTION("""COMPUTED_VALUE"""),44910.0)</f>
        <v>44910</v>
      </c>
      <c r="S79" s="43"/>
      <c r="T79" s="43"/>
      <c r="U79" s="43" t="str">
        <f>IFERROR(__xludf.DUMMYFUNCTION("""COMPUTED_VALUE"""),"Global Classroom")</f>
        <v>Global Classroom</v>
      </c>
      <c r="V79" s="43" t="str">
        <f>IFERROR(__xludf.DUMMYFUNCTION("""COMPUTED_VALUE"""),"FSEGT")</f>
        <v>FSEGT</v>
      </c>
      <c r="W79" s="43" t="str">
        <f>IFERROR(__xludf.DUMMYFUNCTION("""COMPUTED_VALUE"""),"2022-03-16T15:25:13Z")</f>
        <v>2022-03-16T15:25:13Z</v>
      </c>
      <c r="X79" s="43"/>
      <c r="Y79" s="43"/>
      <c r="Z79" s="43"/>
    </row>
    <row r="80" hidden="1">
      <c r="A80" s="43" t="str">
        <f>IFERROR(__xludf.DUMMYFUNCTION("""COMPUTED_VALUE"""),"5034314_1272564")</f>
        <v>5034314_1272564</v>
      </c>
      <c r="B80" s="43" t="str">
        <f>IFERROR(__xludf.DUMMYFUNCTION("""COMPUTED_VALUE"""),"Khush Bakht Fatima")</f>
        <v>Khush Bakht Fatima</v>
      </c>
      <c r="C80" s="43" t="str">
        <f>IFERROR(__xludf.DUMMYFUNCTION("""COMPUTED_VALUE"""),"completed")</f>
        <v>completed</v>
      </c>
      <c r="D80" s="43" t="str">
        <f>IFERROR(__xludf.DUMMYFUNCTION("""COMPUTED_VALUE"""),"No")</f>
        <v>No</v>
      </c>
      <c r="E80" s="43" t="str">
        <f>IFERROR(__xludf.DUMMYFUNCTION("""COMPUTED_VALUE"""),"p_166cc50f332dc529e7f04652fe93b36145d9329e@inbound.aiesec.org")</f>
        <v>p_166cc50f332dc529e7f04652fe93b36145d9329e@inbound.aiesec.org</v>
      </c>
      <c r="F80" s="43">
        <f>IFERROR(__xludf.DUMMYFUNCTION("""COMPUTED_VALUE"""),3.204567622E9)</f>
        <v>3204567622</v>
      </c>
      <c r="G80" s="43" t="str">
        <f>IFERROR(__xludf.DUMMYFUNCTION("""COMPUTED_VALUE"""),"Pakistan")</f>
        <v>Pakistan</v>
      </c>
      <c r="H80" s="43" t="str">
        <f>IFERROR(__xludf.DUMMYFUNCTION("""COMPUTED_VALUE"""),"Lahore - Pak")</f>
        <v>Lahore - Pak</v>
      </c>
      <c r="I80" s="43" t="str">
        <f>IFERROR(__xludf.DUMMYFUNCTION("""COMPUTED_VALUE"""),"Turkey")</f>
        <v>Turkey</v>
      </c>
      <c r="J80" s="43" t="str">
        <f>IFERROR(__xludf.DUMMYFUNCTION("""COMPUTED_VALUE"""),"ISTANBUL")</f>
        <v>ISTANBUL</v>
      </c>
      <c r="K80" s="44" t="str">
        <f>IFERROR(__xludf.DUMMYFUNCTION("""COMPUTED_VALUE"""),"https://expa.aiesec.org/opportunities/1272564")</f>
        <v>https://expa.aiesec.org/opportunities/1272564</v>
      </c>
      <c r="L80" s="43" t="str">
        <f>IFERROR(__xludf.DUMMYFUNCTION("""COMPUTED_VALUE"""),"GV")</f>
        <v>GV</v>
      </c>
      <c r="M80" s="43" t="str">
        <f>IFERROR(__xludf.DUMMYFUNCTION("""COMPUTED_VALUE"""),"short")</f>
        <v>short</v>
      </c>
      <c r="N80" s="45">
        <f>IFERROR(__xludf.DUMMYFUNCTION("""COMPUTED_VALUE"""),44783.0)</f>
        <v>44783</v>
      </c>
      <c r="O80" s="45">
        <f>IFERROR(__xludf.DUMMYFUNCTION("""COMPUTED_VALUE"""),44836.0)</f>
        <v>44836</v>
      </c>
      <c r="P80" s="45">
        <f>IFERROR(__xludf.DUMMYFUNCTION("""COMPUTED_VALUE"""),44878.0)</f>
        <v>44878</v>
      </c>
      <c r="Q80" s="45">
        <f>IFERROR(__xludf.DUMMYFUNCTION("""COMPUTED_VALUE"""),44837.0)</f>
        <v>44837</v>
      </c>
      <c r="R80" s="45">
        <f>IFERROR(__xludf.DUMMYFUNCTION("""COMPUTED_VALUE"""),44876.0)</f>
        <v>44876</v>
      </c>
      <c r="S80" s="43"/>
      <c r="T80" s="43"/>
      <c r="U80" s="43" t="str">
        <f>IFERROR(__xludf.DUMMYFUNCTION("""COMPUTED_VALUE"""),"Global Classroom")</f>
        <v>Global Classroom</v>
      </c>
      <c r="V80" s="43" t="str">
        <f>IFERROR(__xludf.DUMMYFUNCTION("""COMPUTED_VALUE"""),"Lahore - Other")</f>
        <v>Lahore - Other</v>
      </c>
      <c r="W80" s="43" t="str">
        <f>IFERROR(__xludf.DUMMYFUNCTION("""COMPUTED_VALUE"""),"2022-04-10T18:54:35Z")</f>
        <v>2022-04-10T18:54:35Z</v>
      </c>
      <c r="X80" s="43"/>
      <c r="Y80" s="43"/>
      <c r="Z80" s="43"/>
    </row>
    <row r="81" hidden="1">
      <c r="A81" s="43" t="str">
        <f>IFERROR(__xludf.DUMMYFUNCTION("""COMPUTED_VALUE"""),"3846131_1287925")</f>
        <v>3846131_1287925</v>
      </c>
      <c r="B81" s="43" t="str">
        <f>IFERROR(__xludf.DUMMYFUNCTION("""COMPUTED_VALUE"""),"Milos Vesic")</f>
        <v>Milos Vesic</v>
      </c>
      <c r="C81" s="43" t="str">
        <f>IFERROR(__xludf.DUMMYFUNCTION("""COMPUTED_VALUE"""),"completed")</f>
        <v>completed</v>
      </c>
      <c r="D81" s="43" t="str">
        <f>IFERROR(__xludf.DUMMYFUNCTION("""COMPUTED_VALUE"""),"No")</f>
        <v>No</v>
      </c>
      <c r="E81" s="43" t="str">
        <f>IFERROR(__xludf.DUMMYFUNCTION("""COMPUTED_VALUE"""),"p_4b096c9bdb0ef4078efb7c55f6d16ca281f46f68@inbound.aiesec.org")</f>
        <v>p_4b096c9bdb0ef4078efb7c55f6d16ca281f46f68@inbound.aiesec.org</v>
      </c>
      <c r="F81" s="43">
        <f>IFERROR(__xludf.DUMMYFUNCTION("""COMPUTED_VALUE"""),6.2192011E8)</f>
        <v>621920110</v>
      </c>
      <c r="G81" s="43" t="str">
        <f>IFERROR(__xludf.DUMMYFUNCTION("""COMPUTED_VALUE"""),"Serbia")</f>
        <v>Serbia</v>
      </c>
      <c r="H81" s="43" t="str">
        <f>IFERROR(__xludf.DUMMYFUNCTION("""COMPUTED_VALUE"""),"KRAGUJEVAC")</f>
        <v>KRAGUJEVAC</v>
      </c>
      <c r="I81" s="43" t="str">
        <f>IFERROR(__xludf.DUMMYFUNCTION("""COMPUTED_VALUE"""),"Turkey")</f>
        <v>Turkey</v>
      </c>
      <c r="J81" s="43" t="str">
        <f>IFERROR(__xludf.DUMMYFUNCTION("""COMPUTED_VALUE"""),"DENIZLI")</f>
        <v>DENIZLI</v>
      </c>
      <c r="K81" s="44" t="str">
        <f>IFERROR(__xludf.DUMMYFUNCTION("""COMPUTED_VALUE"""),"https://expa.aiesec.org/opportunities/1287925")</f>
        <v>https://expa.aiesec.org/opportunities/1287925</v>
      </c>
      <c r="L81" s="43" t="str">
        <f>IFERROR(__xludf.DUMMYFUNCTION("""COMPUTED_VALUE"""),"GV")</f>
        <v>GV</v>
      </c>
      <c r="M81" s="43" t="str">
        <f>IFERROR(__xludf.DUMMYFUNCTION("""COMPUTED_VALUE"""),"short")</f>
        <v>short</v>
      </c>
      <c r="N81" s="45">
        <f>IFERROR(__xludf.DUMMYFUNCTION("""COMPUTED_VALUE"""),44783.0)</f>
        <v>44783</v>
      </c>
      <c r="O81" s="45">
        <f>IFERROR(__xludf.DUMMYFUNCTION("""COMPUTED_VALUE"""),44816.0)</f>
        <v>44816</v>
      </c>
      <c r="P81" s="45">
        <f>IFERROR(__xludf.DUMMYFUNCTION("""COMPUTED_VALUE"""),44858.0)</f>
        <v>44858</v>
      </c>
      <c r="Q81" s="45">
        <f>IFERROR(__xludf.DUMMYFUNCTION("""COMPUTED_VALUE"""),44815.0)</f>
        <v>44815</v>
      </c>
      <c r="R81" s="45">
        <f>IFERROR(__xludf.DUMMYFUNCTION("""COMPUTED_VALUE"""),44858.0)</f>
        <v>44858</v>
      </c>
      <c r="S81" s="43"/>
      <c r="T81" s="43"/>
      <c r="U81" s="43" t="str">
        <f>IFERROR(__xludf.DUMMYFUNCTION("""COMPUTED_VALUE"""),"Youth 4 Impact")</f>
        <v>Youth 4 Impact</v>
      </c>
      <c r="V81" s="43" t="str">
        <f>IFERROR(__xludf.DUMMYFUNCTION("""COMPUTED_VALUE"""),"University of Kragujevac")</f>
        <v>University of Kragujevac</v>
      </c>
      <c r="W81" s="43" t="str">
        <f>IFERROR(__xludf.DUMMYFUNCTION("""COMPUTED_VALUE"""),"2019-09-21T16:18:53Z")</f>
        <v>2019-09-21T16:18:53Z</v>
      </c>
      <c r="X81" s="43"/>
      <c r="Y81" s="43"/>
      <c r="Z81" s="43"/>
    </row>
    <row r="82" hidden="1">
      <c r="A82" s="43" t="str">
        <f>IFERROR(__xludf.DUMMYFUNCTION("""COMPUTED_VALUE"""),"4756120_1285161")</f>
        <v>4756120_1285161</v>
      </c>
      <c r="B82" s="43" t="str">
        <f>IFERROR(__xludf.DUMMYFUNCTION("""COMPUTED_VALUE"""),"deleted 4756120")</f>
        <v>deleted 4756120</v>
      </c>
      <c r="C82" s="43" t="str">
        <f>IFERROR(__xludf.DUMMYFUNCTION("""COMPUTED_VALUE"""),"completed")</f>
        <v>completed</v>
      </c>
      <c r="D82" s="43" t="str">
        <f>IFERROR(__xludf.DUMMYFUNCTION("""COMPUTED_VALUE"""),"No")</f>
        <v>No</v>
      </c>
      <c r="E82" s="43" t="str">
        <f>IFERROR(__xludf.DUMMYFUNCTION("""COMPUTED_VALUE"""),"p_28c67e18284170345330a26058182b6cd5201220@inbound.aiesec.org")</f>
        <v>p_28c67e18284170345330a26058182b6cd5201220@inbound.aiesec.org</v>
      </c>
      <c r="F82" s="43"/>
      <c r="G82" s="43" t="str">
        <f>IFERROR(__xludf.DUMMYFUNCTION("""COMPUTED_VALUE"""),"Morocco")</f>
        <v>Morocco</v>
      </c>
      <c r="H82" s="43" t="str">
        <f>IFERROR(__xludf.DUMMYFUNCTION("""COMPUTED_VALUE"""),"Mohammedia")</f>
        <v>Mohammedia</v>
      </c>
      <c r="I82" s="43" t="str">
        <f>IFERROR(__xludf.DUMMYFUNCTION("""COMPUTED_VALUE"""),"Turkey")</f>
        <v>Turkey</v>
      </c>
      <c r="J82" s="43" t="str">
        <f>IFERROR(__xludf.DUMMYFUNCTION("""COMPUTED_VALUE"""),"KOCAELI")</f>
        <v>KOCAELI</v>
      </c>
      <c r="K82" s="44" t="str">
        <f>IFERROR(__xludf.DUMMYFUNCTION("""COMPUTED_VALUE"""),"https://expa.aiesec.org/opportunities/1285161")</f>
        <v>https://expa.aiesec.org/opportunities/1285161</v>
      </c>
      <c r="L82" s="43" t="str">
        <f>IFERROR(__xludf.DUMMYFUNCTION("""COMPUTED_VALUE"""),"GV")</f>
        <v>GV</v>
      </c>
      <c r="M82" s="43" t="str">
        <f>IFERROR(__xludf.DUMMYFUNCTION("""COMPUTED_VALUE"""),"short")</f>
        <v>short</v>
      </c>
      <c r="N82" s="45">
        <f>IFERROR(__xludf.DUMMYFUNCTION("""COMPUTED_VALUE"""),44785.0)</f>
        <v>44785</v>
      </c>
      <c r="O82" s="45">
        <f>IFERROR(__xludf.DUMMYFUNCTION("""COMPUTED_VALUE"""),44823.0)</f>
        <v>44823</v>
      </c>
      <c r="P82" s="45">
        <f>IFERROR(__xludf.DUMMYFUNCTION("""COMPUTED_VALUE"""),44865.0)</f>
        <v>44865</v>
      </c>
      <c r="Q82" s="45">
        <f>IFERROR(__xludf.DUMMYFUNCTION("""COMPUTED_VALUE"""),44825.0)</f>
        <v>44825</v>
      </c>
      <c r="R82" s="45">
        <f>IFERROR(__xludf.DUMMYFUNCTION("""COMPUTED_VALUE"""),44863.0)</f>
        <v>44863</v>
      </c>
      <c r="S82" s="43"/>
      <c r="T82" s="43"/>
      <c r="U82" s="43" t="str">
        <f>IFERROR(__xludf.DUMMYFUNCTION("""COMPUTED_VALUE"""),"Global Classroom")</f>
        <v>Global Classroom</v>
      </c>
      <c r="V82" s="43" t="str">
        <f>IFERROR(__xludf.DUMMYFUNCTION("""COMPUTED_VALUE"""),"FST Mohammedia")</f>
        <v>FST Mohammedia</v>
      </c>
      <c r="W82" s="43" t="str">
        <f>IFERROR(__xludf.DUMMYFUNCTION("""COMPUTED_VALUE"""),"2021-10-02T21:00:22Z")</f>
        <v>2021-10-02T21:00:22Z</v>
      </c>
      <c r="X82" s="43"/>
      <c r="Y82" s="43"/>
      <c r="Z82" s="43"/>
    </row>
    <row r="83" hidden="1">
      <c r="A83" s="43" t="str">
        <f>IFERROR(__xludf.DUMMYFUNCTION("""COMPUTED_VALUE"""),"5091969_1283823")</f>
        <v>5091969_1283823</v>
      </c>
      <c r="B83" s="43" t="str">
        <f>IFERROR(__xludf.DUMMYFUNCTION("""COMPUTED_VALUE"""),"Eman Ragab Mohamed Hamed Dawood")</f>
        <v>Eman Ragab Mohamed Hamed Dawood</v>
      </c>
      <c r="C83" s="43" t="str">
        <f>IFERROR(__xludf.DUMMYFUNCTION("""COMPUTED_VALUE"""),"completed")</f>
        <v>completed</v>
      </c>
      <c r="D83" s="43" t="str">
        <f>IFERROR(__xludf.DUMMYFUNCTION("""COMPUTED_VALUE"""),"No")</f>
        <v>No</v>
      </c>
      <c r="E83" s="43" t="str">
        <f>IFERROR(__xludf.DUMMYFUNCTION("""COMPUTED_VALUE"""),"p_4ce0a430695f34f9fff8e3651047321f7fef361f@inbound.aiesec.org")</f>
        <v>p_4ce0a430695f34f9fff8e3651047321f7fef361f@inbound.aiesec.org</v>
      </c>
      <c r="F83" s="43">
        <f>IFERROR(__xludf.DUMMYFUNCTION("""COMPUTED_VALUE"""),1.060458133E9)</f>
        <v>1060458133</v>
      </c>
      <c r="G83" s="43" t="str">
        <f>IFERROR(__xludf.DUMMYFUNCTION("""COMPUTED_VALUE"""),"Egypt")</f>
        <v>Egypt</v>
      </c>
      <c r="H83" s="43" t="str">
        <f>IFERROR(__xludf.DUMMYFUNCTION("""COMPUTED_VALUE"""),"AAST In CAIRO")</f>
        <v>AAST In CAIRO</v>
      </c>
      <c r="I83" s="43" t="str">
        <f>IFERROR(__xludf.DUMMYFUNCTION("""COMPUTED_VALUE"""),"Turkey")</f>
        <v>Turkey</v>
      </c>
      <c r="J83" s="43" t="str">
        <f>IFERROR(__xludf.DUMMYFUNCTION("""COMPUTED_VALUE"""),"BURSA")</f>
        <v>BURSA</v>
      </c>
      <c r="K83" s="44" t="str">
        <f>IFERROR(__xludf.DUMMYFUNCTION("""COMPUTED_VALUE"""),"https://expa.aiesec.org/opportunities/1283823")</f>
        <v>https://expa.aiesec.org/opportunities/1283823</v>
      </c>
      <c r="L83" s="43" t="str">
        <f>IFERROR(__xludf.DUMMYFUNCTION("""COMPUTED_VALUE"""),"GV")</f>
        <v>GV</v>
      </c>
      <c r="M83" s="43" t="str">
        <f>IFERROR(__xludf.DUMMYFUNCTION("""COMPUTED_VALUE"""),"short")</f>
        <v>short</v>
      </c>
      <c r="N83" s="45">
        <f>IFERROR(__xludf.DUMMYFUNCTION("""COMPUTED_VALUE"""),44785.0)</f>
        <v>44785</v>
      </c>
      <c r="O83" s="45">
        <f>IFERROR(__xludf.DUMMYFUNCTION("""COMPUTED_VALUE"""),44797.0)</f>
        <v>44797</v>
      </c>
      <c r="P83" s="45">
        <f>IFERROR(__xludf.DUMMYFUNCTION("""COMPUTED_VALUE"""),44839.0)</f>
        <v>44839</v>
      </c>
      <c r="Q83" s="45">
        <f>IFERROR(__xludf.DUMMYFUNCTION("""COMPUTED_VALUE"""),44790.0)</f>
        <v>44790</v>
      </c>
      <c r="R83" s="45">
        <f>IFERROR(__xludf.DUMMYFUNCTION("""COMPUTED_VALUE"""),44830.0)</f>
        <v>44830</v>
      </c>
      <c r="S83" s="43"/>
      <c r="T83" s="43"/>
      <c r="U83" s="43" t="str">
        <f>IFERROR(__xludf.DUMMYFUNCTION("""COMPUTED_VALUE"""),"Youth 4 Impact")</f>
        <v>Youth 4 Impact</v>
      </c>
      <c r="V83" s="43" t="str">
        <f>IFERROR(__xludf.DUMMYFUNCTION("""COMPUTED_VALUE"""),"BUE University")</f>
        <v>BUE University</v>
      </c>
      <c r="W83" s="43" t="str">
        <f>IFERROR(__xludf.DUMMYFUNCTION("""COMPUTED_VALUE"""),"2022-08-10T18:48:20Z")</f>
        <v>2022-08-10T18:48:20Z</v>
      </c>
      <c r="X83" s="43"/>
      <c r="Y83" s="43"/>
      <c r="Z83" s="43"/>
    </row>
    <row r="84" hidden="1">
      <c r="A84" s="43" t="str">
        <f>IFERROR(__xludf.DUMMYFUNCTION("""COMPUTED_VALUE"""),"5084122_1286326")</f>
        <v>5084122_1286326</v>
      </c>
      <c r="B84" s="43" t="str">
        <f>IFERROR(__xludf.DUMMYFUNCTION("""COMPUTED_VALUE"""),"Sushmita daimari")</f>
        <v>Sushmita daimari</v>
      </c>
      <c r="C84" s="43" t="str">
        <f>IFERROR(__xludf.DUMMYFUNCTION("""COMPUTED_VALUE"""),"completed")</f>
        <v>completed</v>
      </c>
      <c r="D84" s="43" t="str">
        <f>IFERROR(__xludf.DUMMYFUNCTION("""COMPUTED_VALUE"""),"No")</f>
        <v>No</v>
      </c>
      <c r="E84" s="43" t="str">
        <f>IFERROR(__xludf.DUMMYFUNCTION("""COMPUTED_VALUE"""),"p_731249c0a88b68caa3f0da969c26625cdc5af433@inbound.aiesec.org")</f>
        <v>p_731249c0a88b68caa3f0da969c26625cdc5af433@inbound.aiesec.org</v>
      </c>
      <c r="F84" s="43">
        <f>IFERROR(__xludf.DUMMYFUNCTION("""COMPUTED_VALUE"""),6.30951446E9)</f>
        <v>6309514460</v>
      </c>
      <c r="G84" s="43" t="str">
        <f>IFERROR(__xludf.DUMMYFUNCTION("""COMPUTED_VALUE"""),"India")</f>
        <v>India</v>
      </c>
      <c r="H84" s="43" t="str">
        <f>IFERROR(__xludf.DUMMYFUNCTION("""COMPUTED_VALUE"""),"Bengaluru")</f>
        <v>Bengaluru</v>
      </c>
      <c r="I84" s="43" t="str">
        <f>IFERROR(__xludf.DUMMYFUNCTION("""COMPUTED_VALUE"""),"Turkey")</f>
        <v>Turkey</v>
      </c>
      <c r="J84" s="43" t="str">
        <f>IFERROR(__xludf.DUMMYFUNCTION("""COMPUTED_VALUE"""),"ADANA")</f>
        <v>ADANA</v>
      </c>
      <c r="K84" s="44" t="str">
        <f>IFERROR(__xludf.DUMMYFUNCTION("""COMPUTED_VALUE"""),"https://expa.aiesec.org/opportunities/1286326")</f>
        <v>https://expa.aiesec.org/opportunities/1286326</v>
      </c>
      <c r="L84" s="43" t="str">
        <f>IFERROR(__xludf.DUMMYFUNCTION("""COMPUTED_VALUE"""),"GV")</f>
        <v>GV</v>
      </c>
      <c r="M84" s="43" t="str">
        <f>IFERROR(__xludf.DUMMYFUNCTION("""COMPUTED_VALUE"""),"short")</f>
        <v>short</v>
      </c>
      <c r="N84" s="45">
        <f>IFERROR(__xludf.DUMMYFUNCTION("""COMPUTED_VALUE"""),44785.0)</f>
        <v>44785</v>
      </c>
      <c r="O84" s="45">
        <f>IFERROR(__xludf.DUMMYFUNCTION("""COMPUTED_VALUE"""),44865.0)</f>
        <v>44865</v>
      </c>
      <c r="P84" s="45">
        <f>IFERROR(__xludf.DUMMYFUNCTION("""COMPUTED_VALUE"""),44911.0)</f>
        <v>44911</v>
      </c>
      <c r="Q84" s="45">
        <f>IFERROR(__xludf.DUMMYFUNCTION("""COMPUTED_VALUE"""),44869.0)</f>
        <v>44869</v>
      </c>
      <c r="R84" s="45">
        <f>IFERROR(__xludf.DUMMYFUNCTION("""COMPUTED_VALUE"""),44911.0)</f>
        <v>44911</v>
      </c>
      <c r="S84" s="43"/>
      <c r="T84" s="43"/>
      <c r="U84" s="43" t="str">
        <f>IFERROR(__xludf.DUMMYFUNCTION("""COMPUTED_VALUE"""),"Equify")</f>
        <v>Equify</v>
      </c>
      <c r="V84" s="43" t="str">
        <f>IFERROR(__xludf.DUMMYFUNCTION("""COMPUTED_VALUE"""),"IFIM Business College, Bangalore")</f>
        <v>IFIM Business College, Bangalore</v>
      </c>
      <c r="W84" s="43" t="str">
        <f>IFERROR(__xludf.DUMMYFUNCTION("""COMPUTED_VALUE"""),"2022-07-19T17:10:15Z")</f>
        <v>2022-07-19T17:10:15Z</v>
      </c>
      <c r="X84" s="43"/>
      <c r="Y84" s="43"/>
      <c r="Z84" s="43"/>
    </row>
    <row r="85" hidden="1">
      <c r="A85" s="43" t="str">
        <f>IFERROR(__xludf.DUMMYFUNCTION("""COMPUTED_VALUE"""),"5079374_1287097")</f>
        <v>5079374_1287097</v>
      </c>
      <c r="B85" s="43" t="str">
        <f>IFERROR(__xludf.DUMMYFUNCTION("""COMPUTED_VALUE"""),"zain rustom")</f>
        <v>zain rustom</v>
      </c>
      <c r="C85" s="43" t="str">
        <f>IFERROR(__xludf.DUMMYFUNCTION("""COMPUTED_VALUE"""),"finished")</f>
        <v>finished</v>
      </c>
      <c r="D85" s="43" t="str">
        <f>IFERROR(__xludf.DUMMYFUNCTION("""COMPUTED_VALUE"""),"No")</f>
        <v>No</v>
      </c>
      <c r="E85" s="43" t="str">
        <f>IFERROR(__xludf.DUMMYFUNCTION("""COMPUTED_VALUE"""),"p_a3344dcca731f59468a2a95b1cceb75b3d81ccb6@inbound.aiesec.org")</f>
        <v>p_a3344dcca731f59468a2a95b1cceb75b3d81ccb6@inbound.aiesec.org</v>
      </c>
      <c r="F85" s="43">
        <f>IFERROR(__xludf.DUMMYFUNCTION("""COMPUTED_VALUE"""),7.98444023E8)</f>
        <v>798444023</v>
      </c>
      <c r="G85" s="43" t="str">
        <f>IFERROR(__xludf.DUMMYFUNCTION("""COMPUTED_VALUE"""),"Jordan")</f>
        <v>Jordan</v>
      </c>
      <c r="H85" s="43" t="str">
        <f>IFERROR(__xludf.DUMMYFUNCTION("""COMPUTED_VALUE"""),"AMMAN")</f>
        <v>AMMAN</v>
      </c>
      <c r="I85" s="43" t="str">
        <f>IFERROR(__xludf.DUMMYFUNCTION("""COMPUTED_VALUE"""),"Turkey")</f>
        <v>Turkey</v>
      </c>
      <c r="J85" s="43" t="str">
        <f>IFERROR(__xludf.DUMMYFUNCTION("""COMPUTED_VALUE"""),"ESKISEHIR")</f>
        <v>ESKISEHIR</v>
      </c>
      <c r="K85" s="44" t="str">
        <f>IFERROR(__xludf.DUMMYFUNCTION("""COMPUTED_VALUE"""),"https://expa.aiesec.org/opportunities/1287097")</f>
        <v>https://expa.aiesec.org/opportunities/1287097</v>
      </c>
      <c r="L85" s="43" t="str">
        <f>IFERROR(__xludf.DUMMYFUNCTION("""COMPUTED_VALUE"""),"GV")</f>
        <v>GV</v>
      </c>
      <c r="M85" s="43" t="str">
        <f>IFERROR(__xludf.DUMMYFUNCTION("""COMPUTED_VALUE"""),"short")</f>
        <v>short</v>
      </c>
      <c r="N85" s="45">
        <f>IFERROR(__xludf.DUMMYFUNCTION("""COMPUTED_VALUE"""),44787.0)</f>
        <v>44787</v>
      </c>
      <c r="O85" s="45">
        <f>IFERROR(__xludf.DUMMYFUNCTION("""COMPUTED_VALUE"""),44837.0)</f>
        <v>44837</v>
      </c>
      <c r="P85" s="45">
        <f>IFERROR(__xludf.DUMMYFUNCTION("""COMPUTED_VALUE"""),44879.0)</f>
        <v>44879</v>
      </c>
      <c r="Q85" s="45">
        <f>IFERROR(__xludf.DUMMYFUNCTION("""COMPUTED_VALUE"""),44841.0)</f>
        <v>44841</v>
      </c>
      <c r="R85" s="45">
        <f>IFERROR(__xludf.DUMMYFUNCTION("""COMPUTED_VALUE"""),44879.0)</f>
        <v>44879</v>
      </c>
      <c r="S85" s="43"/>
      <c r="T85" s="43"/>
      <c r="U85" s="43" t="str">
        <f>IFERROR(__xludf.DUMMYFUNCTION("""COMPUTED_VALUE"""),"Global Classroom")</f>
        <v>Global Classroom</v>
      </c>
      <c r="V85" s="43" t="str">
        <f>IFERROR(__xludf.DUMMYFUNCTION("""COMPUTED_VALUE"""),"University of Jordan")</f>
        <v>University of Jordan</v>
      </c>
      <c r="W85" s="43" t="str">
        <f>IFERROR(__xludf.DUMMYFUNCTION("""COMPUTED_VALUE"""),"2022-07-03T17:52:30Z")</f>
        <v>2022-07-03T17:52:30Z</v>
      </c>
      <c r="X85" s="43"/>
      <c r="Y85" s="43"/>
      <c r="Z85" s="43"/>
    </row>
    <row r="86" hidden="1">
      <c r="A86" s="43" t="str">
        <f>IFERROR(__xludf.DUMMYFUNCTION("""COMPUTED_VALUE"""),"5087112_1287925")</f>
        <v>5087112_1287925</v>
      </c>
      <c r="B86" s="43" t="str">
        <f>IFERROR(__xludf.DUMMYFUNCTION("""COMPUTED_VALUE"""),"Omar Ghaith")</f>
        <v>Omar Ghaith</v>
      </c>
      <c r="C86" s="43" t="str">
        <f>IFERROR(__xludf.DUMMYFUNCTION("""COMPUTED_VALUE"""),"finished")</f>
        <v>finished</v>
      </c>
      <c r="D86" s="43" t="str">
        <f>IFERROR(__xludf.DUMMYFUNCTION("""COMPUTED_VALUE"""),"No")</f>
        <v>No</v>
      </c>
      <c r="E86" s="43" t="str">
        <f>IFERROR(__xludf.DUMMYFUNCTION("""COMPUTED_VALUE"""),"p_4a1c467e701058f1272e5052bcb2410bd79f1156@inbound.aiesec.org")</f>
        <v>p_4a1c467e701058f1272e5052bcb2410bd79f1156@inbound.aiesec.org</v>
      </c>
      <c r="F86" s="43"/>
      <c r="G86" s="43" t="str">
        <f>IFERROR(__xludf.DUMMYFUNCTION("""COMPUTED_VALUE"""),"Egypt")</f>
        <v>Egypt</v>
      </c>
      <c r="H86" s="43" t="str">
        <f>IFERROR(__xludf.DUMMYFUNCTION("""COMPUTED_VALUE"""),"AUC")</f>
        <v>AUC</v>
      </c>
      <c r="I86" s="43" t="str">
        <f>IFERROR(__xludf.DUMMYFUNCTION("""COMPUTED_VALUE"""),"Turkey")</f>
        <v>Turkey</v>
      </c>
      <c r="J86" s="43" t="str">
        <f>IFERROR(__xludf.DUMMYFUNCTION("""COMPUTED_VALUE"""),"DENIZLI")</f>
        <v>DENIZLI</v>
      </c>
      <c r="K86" s="44" t="str">
        <f>IFERROR(__xludf.DUMMYFUNCTION("""COMPUTED_VALUE"""),"https://expa.aiesec.org/opportunities/1287925")</f>
        <v>https://expa.aiesec.org/opportunities/1287925</v>
      </c>
      <c r="L86" s="43" t="str">
        <f>IFERROR(__xludf.DUMMYFUNCTION("""COMPUTED_VALUE"""),"GV")</f>
        <v>GV</v>
      </c>
      <c r="M86" s="43" t="str">
        <f>IFERROR(__xludf.DUMMYFUNCTION("""COMPUTED_VALUE"""),"short")</f>
        <v>short</v>
      </c>
      <c r="N86" s="45">
        <f>IFERROR(__xludf.DUMMYFUNCTION("""COMPUTED_VALUE"""),44787.0)</f>
        <v>44787</v>
      </c>
      <c r="O86" s="45">
        <f>IFERROR(__xludf.DUMMYFUNCTION("""COMPUTED_VALUE"""),44816.0)</f>
        <v>44816</v>
      </c>
      <c r="P86" s="45">
        <f>IFERROR(__xludf.DUMMYFUNCTION("""COMPUTED_VALUE"""),44858.0)</f>
        <v>44858</v>
      </c>
      <c r="Q86" s="45">
        <f>IFERROR(__xludf.DUMMYFUNCTION("""COMPUTED_VALUE"""),44815.0)</f>
        <v>44815</v>
      </c>
      <c r="R86" s="45">
        <f>IFERROR(__xludf.DUMMYFUNCTION("""COMPUTED_VALUE"""),44858.0)</f>
        <v>44858</v>
      </c>
      <c r="S86" s="43"/>
      <c r="T86" s="43"/>
      <c r="U86" s="43" t="str">
        <f>IFERROR(__xludf.DUMMYFUNCTION("""COMPUTED_VALUE"""),"Youth 4 Impact")</f>
        <v>Youth 4 Impact</v>
      </c>
      <c r="V86" s="43" t="str">
        <f>IFERROR(__xludf.DUMMYFUNCTION("""COMPUTED_VALUE"""),"-")</f>
        <v>-</v>
      </c>
      <c r="W86" s="43" t="str">
        <f>IFERROR(__xludf.DUMMYFUNCTION("""COMPUTED_VALUE"""),"2022-07-29T15:48:13Z")</f>
        <v>2022-07-29T15:48:13Z</v>
      </c>
      <c r="X86" s="43"/>
      <c r="Y86" s="43"/>
      <c r="Z86" s="43"/>
    </row>
    <row r="87" hidden="1">
      <c r="A87" s="43" t="str">
        <f>IFERROR(__xludf.DUMMYFUNCTION("""COMPUTED_VALUE"""),"4826239_1288488")</f>
        <v>4826239_1288488</v>
      </c>
      <c r="B87" s="43" t="str">
        <f>IFERROR(__xludf.DUMMYFUNCTION("""COMPUTED_VALUE"""),"Ahmed Mostafa")</f>
        <v>Ahmed Mostafa</v>
      </c>
      <c r="C87" s="43" t="str">
        <f>IFERROR(__xludf.DUMMYFUNCTION("""COMPUTED_VALUE"""),"realization_broken")</f>
        <v>realization_broken</v>
      </c>
      <c r="D87" s="43" t="str">
        <f>IFERROR(__xludf.DUMMYFUNCTION("""COMPUTED_VALUE"""),"No")</f>
        <v>No</v>
      </c>
      <c r="E87" s="43" t="str">
        <f>IFERROR(__xludf.DUMMYFUNCTION("""COMPUTED_VALUE"""),"p_364ddea984b261f5de24f916d3a0db247aab77e5@inbound.aiesec.org")</f>
        <v>p_364ddea984b261f5de24f916d3a0db247aab77e5@inbound.aiesec.org</v>
      </c>
      <c r="F87" s="43">
        <f>IFERROR(__xludf.DUMMYFUNCTION("""COMPUTED_VALUE"""),1.009451674E9)</f>
        <v>1009451674</v>
      </c>
      <c r="G87" s="43" t="str">
        <f>IFERROR(__xludf.DUMMYFUNCTION("""COMPUTED_VALUE"""),"Egypt")</f>
        <v>Egypt</v>
      </c>
      <c r="H87" s="43" t="str">
        <f>IFERROR(__xludf.DUMMYFUNCTION("""COMPUTED_VALUE"""),"Ain Shams University")</f>
        <v>Ain Shams University</v>
      </c>
      <c r="I87" s="43" t="str">
        <f>IFERROR(__xludf.DUMMYFUNCTION("""COMPUTED_VALUE"""),"Turkey")</f>
        <v>Turkey</v>
      </c>
      <c r="J87" s="43" t="str">
        <f>IFERROR(__xludf.DUMMYFUNCTION("""COMPUTED_VALUE"""),"ISPARTA")</f>
        <v>ISPARTA</v>
      </c>
      <c r="K87" s="44" t="str">
        <f>IFERROR(__xludf.DUMMYFUNCTION("""COMPUTED_VALUE"""),"https://expa.aiesec.org/opportunities/1288488")</f>
        <v>https://expa.aiesec.org/opportunities/1288488</v>
      </c>
      <c r="L87" s="43" t="str">
        <f>IFERROR(__xludf.DUMMYFUNCTION("""COMPUTED_VALUE"""),"GV")</f>
        <v>GV</v>
      </c>
      <c r="M87" s="43" t="str">
        <f>IFERROR(__xludf.DUMMYFUNCTION("""COMPUTED_VALUE"""),"short")</f>
        <v>short</v>
      </c>
      <c r="N87" s="45">
        <f>IFERROR(__xludf.DUMMYFUNCTION("""COMPUTED_VALUE"""),44791.0)</f>
        <v>44791</v>
      </c>
      <c r="O87" s="45">
        <f>IFERROR(__xludf.DUMMYFUNCTION("""COMPUTED_VALUE"""),44956.0)</f>
        <v>44956</v>
      </c>
      <c r="P87" s="45">
        <f>IFERROR(__xludf.DUMMYFUNCTION("""COMPUTED_VALUE"""),44998.0)</f>
        <v>44998</v>
      </c>
      <c r="Q87" s="45"/>
      <c r="R87" s="45"/>
      <c r="S87" s="43"/>
      <c r="T87" s="43"/>
      <c r="U87" s="43" t="str">
        <f>IFERROR(__xludf.DUMMYFUNCTION("""COMPUTED_VALUE"""),"Global Classroom")</f>
        <v>Global Classroom</v>
      </c>
      <c r="V87" s="43" t="str">
        <f>IFERROR(__xludf.DUMMYFUNCTION("""COMPUTED_VALUE"""),"Azhar University")</f>
        <v>Azhar University</v>
      </c>
      <c r="W87" s="43" t="str">
        <f>IFERROR(__xludf.DUMMYFUNCTION("""COMPUTED_VALUE"""),"2021-12-01T13:12:43Z")</f>
        <v>2021-12-01T13:12:43Z</v>
      </c>
      <c r="X87" s="43"/>
      <c r="Y87" s="43"/>
      <c r="Z87" s="43"/>
    </row>
    <row r="88" hidden="1">
      <c r="A88" s="43" t="str">
        <f>IFERROR(__xludf.DUMMYFUNCTION("""COMPUTED_VALUE"""),"4869477_1288488")</f>
        <v>4869477_1288488</v>
      </c>
      <c r="B88" s="43" t="str">
        <f>IFERROR(__xludf.DUMMYFUNCTION("""COMPUTED_VALUE"""),"Hagar Mostafa")</f>
        <v>Hagar Mostafa</v>
      </c>
      <c r="C88" s="43" t="str">
        <f>IFERROR(__xludf.DUMMYFUNCTION("""COMPUTED_VALUE"""),"realization_broken")</f>
        <v>realization_broken</v>
      </c>
      <c r="D88" s="43" t="str">
        <f>IFERROR(__xludf.DUMMYFUNCTION("""COMPUTED_VALUE"""),"No")</f>
        <v>No</v>
      </c>
      <c r="E88" s="43" t="str">
        <f>IFERROR(__xludf.DUMMYFUNCTION("""COMPUTED_VALUE"""),"p_c1436b172a94fcda34c4eeb642f2eaff1a0abdd0@inbound.aiesec.org")</f>
        <v>p_c1436b172a94fcda34c4eeb642f2eaff1a0abdd0@inbound.aiesec.org</v>
      </c>
      <c r="F88" s="43">
        <f>IFERROR(__xludf.DUMMYFUNCTION("""COMPUTED_VALUE"""),1.014288483E9)</f>
        <v>1014288483</v>
      </c>
      <c r="G88" s="43" t="str">
        <f>IFERROR(__xludf.DUMMYFUNCTION("""COMPUTED_VALUE"""),"Egypt")</f>
        <v>Egypt</v>
      </c>
      <c r="H88" s="43" t="str">
        <f>IFERROR(__xludf.DUMMYFUNCTION("""COMPUTED_VALUE"""),"Ain Shams University")</f>
        <v>Ain Shams University</v>
      </c>
      <c r="I88" s="43" t="str">
        <f>IFERROR(__xludf.DUMMYFUNCTION("""COMPUTED_VALUE"""),"Turkey")</f>
        <v>Turkey</v>
      </c>
      <c r="J88" s="43" t="str">
        <f>IFERROR(__xludf.DUMMYFUNCTION("""COMPUTED_VALUE"""),"ISPARTA")</f>
        <v>ISPARTA</v>
      </c>
      <c r="K88" s="44" t="str">
        <f>IFERROR(__xludf.DUMMYFUNCTION("""COMPUTED_VALUE"""),"https://expa.aiesec.org/opportunities/1288488")</f>
        <v>https://expa.aiesec.org/opportunities/1288488</v>
      </c>
      <c r="L88" s="43" t="str">
        <f>IFERROR(__xludf.DUMMYFUNCTION("""COMPUTED_VALUE"""),"GV")</f>
        <v>GV</v>
      </c>
      <c r="M88" s="43" t="str">
        <f>IFERROR(__xludf.DUMMYFUNCTION("""COMPUTED_VALUE"""),"short")</f>
        <v>short</v>
      </c>
      <c r="N88" s="45">
        <f>IFERROR(__xludf.DUMMYFUNCTION("""COMPUTED_VALUE"""),44791.0)</f>
        <v>44791</v>
      </c>
      <c r="O88" s="45">
        <f>IFERROR(__xludf.DUMMYFUNCTION("""COMPUTED_VALUE"""),44956.0)</f>
        <v>44956</v>
      </c>
      <c r="P88" s="45">
        <f>IFERROR(__xludf.DUMMYFUNCTION("""COMPUTED_VALUE"""),44998.0)</f>
        <v>44998</v>
      </c>
      <c r="Q88" s="45"/>
      <c r="R88" s="45"/>
      <c r="S88" s="43"/>
      <c r="T88" s="43"/>
      <c r="U88" s="43" t="str">
        <f>IFERROR(__xludf.DUMMYFUNCTION("""COMPUTED_VALUE"""),"Global Classroom")</f>
        <v>Global Classroom</v>
      </c>
      <c r="V88" s="43" t="str">
        <f>IFERROR(__xludf.DUMMYFUNCTION("""COMPUTED_VALUE"""),"Ain Shams University")</f>
        <v>Ain Shams University</v>
      </c>
      <c r="W88" s="43" t="str">
        <f>IFERROR(__xludf.DUMMYFUNCTION("""COMPUTED_VALUE"""),"2022-01-06T16:17:46Z")</f>
        <v>2022-01-06T16:17:46Z</v>
      </c>
      <c r="X88" s="43"/>
      <c r="Y88" s="43"/>
      <c r="Z88" s="43"/>
    </row>
    <row r="89" hidden="1">
      <c r="A89" s="43" t="str">
        <f>IFERROR(__xludf.DUMMYFUNCTION("""COMPUTED_VALUE"""),"5071785_1287566")</f>
        <v>5071785_1287566</v>
      </c>
      <c r="B89" s="43" t="str">
        <f>IFERROR(__xludf.DUMMYFUNCTION("""COMPUTED_VALUE"""),"Jolie Makram")</f>
        <v>Jolie Makram</v>
      </c>
      <c r="C89" s="43" t="str">
        <f>IFERROR(__xludf.DUMMYFUNCTION("""COMPUTED_VALUE"""),"completed")</f>
        <v>completed</v>
      </c>
      <c r="D89" s="43" t="str">
        <f>IFERROR(__xludf.DUMMYFUNCTION("""COMPUTED_VALUE"""),"No")</f>
        <v>No</v>
      </c>
      <c r="E89" s="43" t="str">
        <f>IFERROR(__xludf.DUMMYFUNCTION("""COMPUTED_VALUE"""),"p_7dc342579e74a6e955c226528d7a9c06fedfd4ed@inbound.aiesec.org")</f>
        <v>p_7dc342579e74a6e955c226528d7a9c06fedfd4ed@inbound.aiesec.org</v>
      </c>
      <c r="F89" s="43">
        <f>IFERROR(__xludf.DUMMYFUNCTION("""COMPUTED_VALUE"""),1.211408566E9)</f>
        <v>1211408566</v>
      </c>
      <c r="G89" s="43" t="str">
        <f>IFERROR(__xludf.DUMMYFUNCTION("""COMPUTED_VALUE"""),"Egypt")</f>
        <v>Egypt</v>
      </c>
      <c r="H89" s="43" t="str">
        <f>IFERROR(__xludf.DUMMYFUNCTION("""COMPUTED_VALUE"""),"Helwan")</f>
        <v>Helwan</v>
      </c>
      <c r="I89" s="43" t="str">
        <f>IFERROR(__xludf.DUMMYFUNCTION("""COMPUTED_VALUE"""),"Turkey")</f>
        <v>Turkey</v>
      </c>
      <c r="J89" s="43" t="str">
        <f>IFERROR(__xludf.DUMMYFUNCTION("""COMPUTED_VALUE"""),"KUTAHYA")</f>
        <v>KUTAHYA</v>
      </c>
      <c r="K89" s="44" t="str">
        <f>IFERROR(__xludf.DUMMYFUNCTION("""COMPUTED_VALUE"""),"https://expa.aiesec.org/opportunities/1287566")</f>
        <v>https://expa.aiesec.org/opportunities/1287566</v>
      </c>
      <c r="L89" s="43" t="str">
        <f>IFERROR(__xludf.DUMMYFUNCTION("""COMPUTED_VALUE"""),"GV")</f>
        <v>GV</v>
      </c>
      <c r="M89" s="43" t="str">
        <f>IFERROR(__xludf.DUMMYFUNCTION("""COMPUTED_VALUE"""),"short")</f>
        <v>short</v>
      </c>
      <c r="N89" s="45">
        <f>IFERROR(__xludf.DUMMYFUNCTION("""COMPUTED_VALUE"""),44791.0)</f>
        <v>44791</v>
      </c>
      <c r="O89" s="45">
        <f>IFERROR(__xludf.DUMMYFUNCTION("""COMPUTED_VALUE"""),44798.0)</f>
        <v>44798</v>
      </c>
      <c r="P89" s="45">
        <f>IFERROR(__xludf.DUMMYFUNCTION("""COMPUTED_VALUE"""),44840.0)</f>
        <v>44840</v>
      </c>
      <c r="Q89" s="45">
        <f>IFERROR(__xludf.DUMMYFUNCTION("""COMPUTED_VALUE"""),44798.0)</f>
        <v>44798</v>
      </c>
      <c r="R89" s="45">
        <f>IFERROR(__xludf.DUMMYFUNCTION("""COMPUTED_VALUE"""),44827.0)</f>
        <v>44827</v>
      </c>
      <c r="S89" s="43"/>
      <c r="T89" s="43"/>
      <c r="U89" s="43" t="str">
        <f>IFERROR(__xludf.DUMMYFUNCTION("""COMPUTED_VALUE"""),"Global Classroom")</f>
        <v>Global Classroom</v>
      </c>
      <c r="V89" s="43" t="str">
        <f>IFERROR(__xludf.DUMMYFUNCTION("""COMPUTED_VALUE"""),"Helwan University")</f>
        <v>Helwan University</v>
      </c>
      <c r="W89" s="43" t="str">
        <f>IFERROR(__xludf.DUMMYFUNCTION("""COMPUTED_VALUE"""),"2022-06-12T21:13:24Z")</f>
        <v>2022-06-12T21:13:24Z</v>
      </c>
      <c r="X89" s="43"/>
      <c r="Y89" s="43"/>
      <c r="Z89" s="43"/>
    </row>
    <row r="90" hidden="1">
      <c r="A90" s="43" t="str">
        <f>IFERROR(__xludf.DUMMYFUNCTION("""COMPUTED_VALUE"""),"5028260_1287851")</f>
        <v>5028260_1287851</v>
      </c>
      <c r="B90" s="43" t="str">
        <f>IFERROR(__xludf.DUMMYFUNCTION("""COMPUTED_VALUE"""),"Salma Mourad")</f>
        <v>Salma Mourad</v>
      </c>
      <c r="C90" s="43" t="str">
        <f>IFERROR(__xludf.DUMMYFUNCTION("""COMPUTED_VALUE"""),"completed")</f>
        <v>completed</v>
      </c>
      <c r="D90" s="43" t="str">
        <f>IFERROR(__xludf.DUMMYFUNCTION("""COMPUTED_VALUE"""),"No")</f>
        <v>No</v>
      </c>
      <c r="E90" s="43" t="str">
        <f>IFERROR(__xludf.DUMMYFUNCTION("""COMPUTED_VALUE"""),"p_200f47087b6baad6f71428227a18c8f9b166e4ec@inbound.aiesec.org")</f>
        <v>p_200f47087b6baad6f71428227a18c8f9b166e4ec@inbound.aiesec.org</v>
      </c>
      <c r="F90" s="43">
        <f>IFERROR(__xludf.DUMMYFUNCTION("""COMPUTED_VALUE"""),1.0997427E9)</f>
        <v>1099742700</v>
      </c>
      <c r="G90" s="43" t="str">
        <f>IFERROR(__xludf.DUMMYFUNCTION("""COMPUTED_VALUE"""),"Egypt")</f>
        <v>Egypt</v>
      </c>
      <c r="H90" s="43" t="str">
        <f>IFERROR(__xludf.DUMMYFUNCTION("""COMPUTED_VALUE"""),"Cairo University")</f>
        <v>Cairo University</v>
      </c>
      <c r="I90" s="43" t="str">
        <f>IFERROR(__xludf.DUMMYFUNCTION("""COMPUTED_VALUE"""),"Turkey")</f>
        <v>Turkey</v>
      </c>
      <c r="J90" s="43" t="str">
        <f>IFERROR(__xludf.DUMMYFUNCTION("""COMPUTED_VALUE"""),"KOCAELI")</f>
        <v>KOCAELI</v>
      </c>
      <c r="K90" s="44" t="str">
        <f>IFERROR(__xludf.DUMMYFUNCTION("""COMPUTED_VALUE"""),"https://expa.aiesec.org/opportunities/1287851")</f>
        <v>https://expa.aiesec.org/opportunities/1287851</v>
      </c>
      <c r="L90" s="43" t="str">
        <f>IFERROR(__xludf.DUMMYFUNCTION("""COMPUTED_VALUE"""),"GV")</f>
        <v>GV</v>
      </c>
      <c r="M90" s="43" t="str">
        <f>IFERROR(__xludf.DUMMYFUNCTION("""COMPUTED_VALUE"""),"short")</f>
        <v>short</v>
      </c>
      <c r="N90" s="45">
        <f>IFERROR(__xludf.DUMMYFUNCTION("""COMPUTED_VALUE"""),44791.0)</f>
        <v>44791</v>
      </c>
      <c r="O90" s="45">
        <f>IFERROR(__xludf.DUMMYFUNCTION("""COMPUTED_VALUE"""),44865.0)</f>
        <v>44865</v>
      </c>
      <c r="P90" s="45">
        <f>IFERROR(__xludf.DUMMYFUNCTION("""COMPUTED_VALUE"""),44907.0)</f>
        <v>44907</v>
      </c>
      <c r="Q90" s="45">
        <f>IFERROR(__xludf.DUMMYFUNCTION("""COMPUTED_VALUE"""),44870.0)</f>
        <v>44870</v>
      </c>
      <c r="R90" s="45">
        <f>IFERROR(__xludf.DUMMYFUNCTION("""COMPUTED_VALUE"""),44912.0)</f>
        <v>44912</v>
      </c>
      <c r="S90" s="43"/>
      <c r="T90" s="43"/>
      <c r="U90" s="43" t="str">
        <f>IFERROR(__xludf.DUMMYFUNCTION("""COMPUTED_VALUE"""),"Heartbeat")</f>
        <v>Heartbeat</v>
      </c>
      <c r="V90" s="43" t="str">
        <f>IFERROR(__xludf.DUMMYFUNCTION("""COMPUTED_VALUE"""),"Cairo Univeristy")</f>
        <v>Cairo Univeristy</v>
      </c>
      <c r="W90" s="43" t="str">
        <f>IFERROR(__xludf.DUMMYFUNCTION("""COMPUTED_VALUE"""),"2022-04-07T08:39:35Z")</f>
        <v>2022-04-07T08:39:35Z</v>
      </c>
      <c r="X90" s="43"/>
      <c r="Y90" s="43"/>
      <c r="Z90" s="43"/>
    </row>
    <row r="91" hidden="1">
      <c r="A91" s="43" t="str">
        <f>IFERROR(__xludf.DUMMYFUNCTION("""COMPUTED_VALUE"""),"4757118_1287966")</f>
        <v>4757118_1287966</v>
      </c>
      <c r="B91" s="43" t="str">
        <f>IFERROR(__xludf.DUMMYFUNCTION("""COMPUTED_VALUE"""),"Charu priya Churamani")</f>
        <v>Charu priya Churamani</v>
      </c>
      <c r="C91" s="43" t="str">
        <f>IFERROR(__xludf.DUMMYFUNCTION("""COMPUTED_VALUE"""),"finished")</f>
        <v>finished</v>
      </c>
      <c r="D91" s="43" t="str">
        <f>IFERROR(__xludf.DUMMYFUNCTION("""COMPUTED_VALUE"""),"No")</f>
        <v>No</v>
      </c>
      <c r="E91" s="43" t="str">
        <f>IFERROR(__xludf.DUMMYFUNCTION("""COMPUTED_VALUE"""),"p_db6472d72c56e6f4669d15841045bb5697c1f30d@inbound.aiesec.org")</f>
        <v>p_db6472d72c56e6f4669d15841045bb5697c1f30d@inbound.aiesec.org</v>
      </c>
      <c r="F91" s="43">
        <f>IFERROR(__xludf.DUMMYFUNCTION("""COMPUTED_VALUE"""),8.770099493E9)</f>
        <v>8770099493</v>
      </c>
      <c r="G91" s="43" t="str">
        <f>IFERROR(__xludf.DUMMYFUNCTION("""COMPUTED_VALUE"""),"India")</f>
        <v>India</v>
      </c>
      <c r="H91" s="43" t="str">
        <f>IFERROR(__xludf.DUMMYFUNCTION("""COMPUTED_VALUE"""),"Noida")</f>
        <v>Noida</v>
      </c>
      <c r="I91" s="43" t="str">
        <f>IFERROR(__xludf.DUMMYFUNCTION("""COMPUTED_VALUE"""),"Turkey")</f>
        <v>Turkey</v>
      </c>
      <c r="J91" s="43" t="str">
        <f>IFERROR(__xludf.DUMMYFUNCTION("""COMPUTED_VALUE"""),"ISTANBUL")</f>
        <v>ISTANBUL</v>
      </c>
      <c r="K91" s="44" t="str">
        <f>IFERROR(__xludf.DUMMYFUNCTION("""COMPUTED_VALUE"""),"https://expa.aiesec.org/opportunities/1287966")</f>
        <v>https://expa.aiesec.org/opportunities/1287966</v>
      </c>
      <c r="L91" s="43" t="str">
        <f>IFERROR(__xludf.DUMMYFUNCTION("""COMPUTED_VALUE"""),"GV")</f>
        <v>GV</v>
      </c>
      <c r="M91" s="43" t="str">
        <f>IFERROR(__xludf.DUMMYFUNCTION("""COMPUTED_VALUE"""),"short")</f>
        <v>short</v>
      </c>
      <c r="N91" s="45">
        <f>IFERROR(__xludf.DUMMYFUNCTION("""COMPUTED_VALUE"""),44791.0)</f>
        <v>44791</v>
      </c>
      <c r="O91" s="45">
        <f>IFERROR(__xludf.DUMMYFUNCTION("""COMPUTED_VALUE"""),44823.0)</f>
        <v>44823</v>
      </c>
      <c r="P91" s="45">
        <f>IFERROR(__xludf.DUMMYFUNCTION("""COMPUTED_VALUE"""),44865.0)</f>
        <v>44865</v>
      </c>
      <c r="Q91" s="45">
        <f>IFERROR(__xludf.DUMMYFUNCTION("""COMPUTED_VALUE"""),44823.0)</f>
        <v>44823</v>
      </c>
      <c r="R91" s="45">
        <f>IFERROR(__xludf.DUMMYFUNCTION("""COMPUTED_VALUE"""),44863.0)</f>
        <v>44863</v>
      </c>
      <c r="S91" s="43"/>
      <c r="T91" s="43"/>
      <c r="U91" s="43" t="str">
        <f>IFERROR(__xludf.DUMMYFUNCTION("""COMPUTED_VALUE"""),"Heartbeat")</f>
        <v>Heartbeat</v>
      </c>
      <c r="V91" s="43" t="str">
        <f>IFERROR(__xludf.DUMMYFUNCTION("""COMPUTED_VALUE"""),"AAFT, Noida")</f>
        <v>AAFT, Noida</v>
      </c>
      <c r="W91" s="43" t="str">
        <f>IFERROR(__xludf.DUMMYFUNCTION("""COMPUTED_VALUE"""),"2021-10-04T06:39:50Z")</f>
        <v>2021-10-04T06:39:50Z</v>
      </c>
      <c r="X91" s="43"/>
      <c r="Y91" s="43"/>
      <c r="Z91" s="43"/>
    </row>
    <row r="92" hidden="1">
      <c r="A92" s="43" t="str">
        <f>IFERROR(__xludf.DUMMYFUNCTION("""COMPUTED_VALUE"""),"2913552_1272564")</f>
        <v>2913552_1272564</v>
      </c>
      <c r="B92" s="43" t="str">
        <f>IFERROR(__xludf.DUMMYFUNCTION("""COMPUTED_VALUE"""),"Magdalena Fiba")</f>
        <v>Magdalena Fiba</v>
      </c>
      <c r="C92" s="43" t="str">
        <f>IFERROR(__xludf.DUMMYFUNCTION("""COMPUTED_VALUE"""),"completed")</f>
        <v>completed</v>
      </c>
      <c r="D92" s="43" t="str">
        <f>IFERROR(__xludf.DUMMYFUNCTION("""COMPUTED_VALUE"""),"No")</f>
        <v>No</v>
      </c>
      <c r="E92" s="43" t="str">
        <f>IFERROR(__xludf.DUMMYFUNCTION("""COMPUTED_VALUE"""),"p_aad419c848945ac18827f3932ae8c26c7370329a@inbound.aiesec.org")</f>
        <v>p_aad419c848945ac18827f3932ae8c26c7370329a@inbound.aiesec.org</v>
      </c>
      <c r="F92" s="43">
        <f>IFERROR(__xludf.DUMMYFUNCTION("""COMPUTED_VALUE"""),5.00121154E8)</f>
        <v>500121154</v>
      </c>
      <c r="G92" s="43" t="str">
        <f>IFERROR(__xludf.DUMMYFUNCTION("""COMPUTED_VALUE"""),"Poland")</f>
        <v>Poland</v>
      </c>
      <c r="H92" s="43" t="str">
        <f>IFERROR(__xludf.DUMMYFUNCTION("""COMPUTED_VALUE"""),"KRAKOW")</f>
        <v>KRAKOW</v>
      </c>
      <c r="I92" s="43" t="str">
        <f>IFERROR(__xludf.DUMMYFUNCTION("""COMPUTED_VALUE"""),"Turkey")</f>
        <v>Turkey</v>
      </c>
      <c r="J92" s="43" t="str">
        <f>IFERROR(__xludf.DUMMYFUNCTION("""COMPUTED_VALUE"""),"ISTANBUL")</f>
        <v>ISTANBUL</v>
      </c>
      <c r="K92" s="44" t="str">
        <f>IFERROR(__xludf.DUMMYFUNCTION("""COMPUTED_VALUE"""),"https://expa.aiesec.org/opportunities/1272564")</f>
        <v>https://expa.aiesec.org/opportunities/1272564</v>
      </c>
      <c r="L92" s="43" t="str">
        <f>IFERROR(__xludf.DUMMYFUNCTION("""COMPUTED_VALUE"""),"GV")</f>
        <v>GV</v>
      </c>
      <c r="M92" s="43" t="str">
        <f>IFERROR(__xludf.DUMMYFUNCTION("""COMPUTED_VALUE"""),"short")</f>
        <v>short</v>
      </c>
      <c r="N92" s="45">
        <f>IFERROR(__xludf.DUMMYFUNCTION("""COMPUTED_VALUE"""),44791.0)</f>
        <v>44791</v>
      </c>
      <c r="O92" s="45">
        <f>IFERROR(__xludf.DUMMYFUNCTION("""COMPUTED_VALUE"""),44899.0)</f>
        <v>44899</v>
      </c>
      <c r="P92" s="45">
        <f>IFERROR(__xludf.DUMMYFUNCTION("""COMPUTED_VALUE"""),44941.0)</f>
        <v>44941</v>
      </c>
      <c r="Q92" s="45">
        <f>IFERROR(__xludf.DUMMYFUNCTION("""COMPUTED_VALUE"""),44900.0)</f>
        <v>44900</v>
      </c>
      <c r="R92" s="45">
        <f>IFERROR(__xludf.DUMMYFUNCTION("""COMPUTED_VALUE"""),44941.0)</f>
        <v>44941</v>
      </c>
      <c r="S92" s="43"/>
      <c r="T92" s="43"/>
      <c r="U92" s="43" t="str">
        <f>IFERROR(__xludf.DUMMYFUNCTION("""COMPUTED_VALUE"""),"Global Classroom")</f>
        <v>Global Classroom</v>
      </c>
      <c r="V92" s="43" t="str">
        <f>IFERROR(__xludf.DUMMYFUNCTION("""COMPUTED_VALUE"""),"Kraków")</f>
        <v>Kraków</v>
      </c>
      <c r="W92" s="43" t="str">
        <f>IFERROR(__xludf.DUMMYFUNCTION("""COMPUTED_VALUE"""),"2018-11-30T17:00:00Z")</f>
        <v>2018-11-30T17:00:00Z</v>
      </c>
      <c r="X92" s="43"/>
      <c r="Y92" s="43"/>
      <c r="Z92" s="43"/>
    </row>
    <row r="93" hidden="1">
      <c r="A93" s="43" t="str">
        <f>IFERROR(__xludf.DUMMYFUNCTION("""COMPUTED_VALUE"""),"5094095_1288663")</f>
        <v>5094095_1288663</v>
      </c>
      <c r="B93" s="43" t="str">
        <f>IFERROR(__xludf.DUMMYFUNCTION("""COMPUTED_VALUE"""),"Rana Mounir")</f>
        <v>Rana Mounir</v>
      </c>
      <c r="C93" s="43" t="str">
        <f>IFERROR(__xludf.DUMMYFUNCTION("""COMPUTED_VALUE"""),"finished")</f>
        <v>finished</v>
      </c>
      <c r="D93" s="43" t="str">
        <f>IFERROR(__xludf.DUMMYFUNCTION("""COMPUTED_VALUE"""),"No")</f>
        <v>No</v>
      </c>
      <c r="E93" s="43" t="str">
        <f>IFERROR(__xludf.DUMMYFUNCTION("""COMPUTED_VALUE"""),"p_bc40a69240ee7789941d6398706cac237a8347e4@inbound.aiesec.org")</f>
        <v>p_bc40a69240ee7789941d6398706cac237a8347e4@inbound.aiesec.org</v>
      </c>
      <c r="F93" s="43"/>
      <c r="G93" s="43" t="str">
        <f>IFERROR(__xludf.DUMMYFUNCTION("""COMPUTED_VALUE"""),"Egypt")</f>
        <v>Egypt</v>
      </c>
      <c r="H93" s="43" t="str">
        <f>IFERROR(__xludf.DUMMYFUNCTION("""COMPUTED_VALUE"""),"Suez")</f>
        <v>Suez</v>
      </c>
      <c r="I93" s="43" t="str">
        <f>IFERROR(__xludf.DUMMYFUNCTION("""COMPUTED_VALUE"""),"Turkey")</f>
        <v>Turkey</v>
      </c>
      <c r="J93" s="43" t="str">
        <f>IFERROR(__xludf.DUMMYFUNCTION("""COMPUTED_VALUE"""),"İZMİR")</f>
        <v>İZMİR</v>
      </c>
      <c r="K93" s="44" t="str">
        <f>IFERROR(__xludf.DUMMYFUNCTION("""COMPUTED_VALUE"""),"https://expa.aiesec.org/opportunities/1288663")</f>
        <v>https://expa.aiesec.org/opportunities/1288663</v>
      </c>
      <c r="L93" s="43" t="str">
        <f>IFERROR(__xludf.DUMMYFUNCTION("""COMPUTED_VALUE"""),"GV")</f>
        <v>GV</v>
      </c>
      <c r="M93" s="43" t="str">
        <f>IFERROR(__xludf.DUMMYFUNCTION("""COMPUTED_VALUE"""),"short")</f>
        <v>short</v>
      </c>
      <c r="N93" s="45">
        <f>IFERROR(__xludf.DUMMYFUNCTION("""COMPUTED_VALUE"""),44792.0)</f>
        <v>44792</v>
      </c>
      <c r="O93" s="45">
        <f>IFERROR(__xludf.DUMMYFUNCTION("""COMPUTED_VALUE"""),44857.0)</f>
        <v>44857</v>
      </c>
      <c r="P93" s="45">
        <f>IFERROR(__xludf.DUMMYFUNCTION("""COMPUTED_VALUE"""),44899.0)</f>
        <v>44899</v>
      </c>
      <c r="Q93" s="45">
        <f>IFERROR(__xludf.DUMMYFUNCTION("""COMPUTED_VALUE"""),44860.0)</f>
        <v>44860</v>
      </c>
      <c r="R93" s="45">
        <f>IFERROR(__xludf.DUMMYFUNCTION("""COMPUTED_VALUE"""),44902.0)</f>
        <v>44902</v>
      </c>
      <c r="S93" s="43"/>
      <c r="T93" s="43"/>
      <c r="U93" s="43" t="str">
        <f>IFERROR(__xludf.DUMMYFUNCTION("""COMPUTED_VALUE"""),"Global Classroom")</f>
        <v>Global Classroom</v>
      </c>
      <c r="V93" s="43" t="str">
        <f>IFERROR(__xludf.DUMMYFUNCTION("""COMPUTED_VALUE"""),"-")</f>
        <v>-</v>
      </c>
      <c r="W93" s="43" t="str">
        <f>IFERROR(__xludf.DUMMYFUNCTION("""COMPUTED_VALUE"""),"2022-08-16T18:51:07Z")</f>
        <v>2022-08-16T18:51:07Z</v>
      </c>
      <c r="X93" s="43"/>
      <c r="Y93" s="43"/>
      <c r="Z93" s="43"/>
    </row>
    <row r="94" hidden="1">
      <c r="A94" s="43" t="str">
        <f>IFERROR(__xludf.DUMMYFUNCTION("""COMPUTED_VALUE"""),"5090828_1287382")</f>
        <v>5090828_1287382</v>
      </c>
      <c r="B94" s="43" t="str">
        <f>IFERROR(__xludf.DUMMYFUNCTION("""COMPUTED_VALUE"""),"Anas El azzazi")</f>
        <v>Anas El azzazi</v>
      </c>
      <c r="C94" s="43" t="str">
        <f>IFERROR(__xludf.DUMMYFUNCTION("""COMPUTED_VALUE"""),"completed")</f>
        <v>completed</v>
      </c>
      <c r="D94" s="43" t="str">
        <f>IFERROR(__xludf.DUMMYFUNCTION("""COMPUTED_VALUE"""),"No")</f>
        <v>No</v>
      </c>
      <c r="E94" s="43" t="str">
        <f>IFERROR(__xludf.DUMMYFUNCTION("""COMPUTED_VALUE"""),"p_da4168bea6d55552f743654aaea159a5a3065777@inbound.aiesec.org")</f>
        <v>p_da4168bea6d55552f743654aaea159a5a3065777@inbound.aiesec.org</v>
      </c>
      <c r="F94" s="43">
        <f>IFERROR(__xludf.DUMMYFUNCTION("""COMPUTED_VALUE"""),6.88298004E8)</f>
        <v>688298004</v>
      </c>
      <c r="G94" s="43" t="str">
        <f>IFERROR(__xludf.DUMMYFUNCTION("""COMPUTED_VALUE"""),"Morocco")</f>
        <v>Morocco</v>
      </c>
      <c r="H94" s="43" t="str">
        <f>IFERROR(__xludf.DUMMYFUNCTION("""COMPUTED_VALUE"""),"Morocco (MC)")</f>
        <v>Morocco (MC)</v>
      </c>
      <c r="I94" s="43" t="str">
        <f>IFERROR(__xludf.DUMMYFUNCTION("""COMPUTED_VALUE"""),"Turkey")</f>
        <v>Turkey</v>
      </c>
      <c r="J94" s="43" t="str">
        <f>IFERROR(__xludf.DUMMYFUNCTION("""COMPUTED_VALUE"""),"ANKARA")</f>
        <v>ANKARA</v>
      </c>
      <c r="K94" s="44" t="str">
        <f>IFERROR(__xludf.DUMMYFUNCTION("""COMPUTED_VALUE"""),"https://expa.aiesec.org/opportunities/1287382")</f>
        <v>https://expa.aiesec.org/opportunities/1287382</v>
      </c>
      <c r="L94" s="43" t="str">
        <f>IFERROR(__xludf.DUMMYFUNCTION("""COMPUTED_VALUE"""),"GV")</f>
        <v>GV</v>
      </c>
      <c r="M94" s="43" t="str">
        <f>IFERROR(__xludf.DUMMYFUNCTION("""COMPUTED_VALUE"""),"short")</f>
        <v>short</v>
      </c>
      <c r="N94" s="45">
        <f>IFERROR(__xludf.DUMMYFUNCTION("""COMPUTED_VALUE"""),44792.0)</f>
        <v>44792</v>
      </c>
      <c r="O94" s="45">
        <f>IFERROR(__xludf.DUMMYFUNCTION("""COMPUTED_VALUE"""),44785.0)</f>
        <v>44785</v>
      </c>
      <c r="P94" s="45">
        <f>IFERROR(__xludf.DUMMYFUNCTION("""COMPUTED_VALUE"""),44827.0)</f>
        <v>44827</v>
      </c>
      <c r="Q94" s="45">
        <f>IFERROR(__xludf.DUMMYFUNCTION("""COMPUTED_VALUE"""),44792.0)</f>
        <v>44792</v>
      </c>
      <c r="R94" s="45">
        <f>IFERROR(__xludf.DUMMYFUNCTION("""COMPUTED_VALUE"""),44827.0)</f>
        <v>44827</v>
      </c>
      <c r="S94" s="43"/>
      <c r="T94" s="43"/>
      <c r="U94" s="43" t="str">
        <f>IFERROR(__xludf.DUMMYFUNCTION("""COMPUTED_VALUE"""),"Fingerprint")</f>
        <v>Fingerprint</v>
      </c>
      <c r="V94" s="43" t="str">
        <f>IFERROR(__xludf.DUMMYFUNCTION("""COMPUTED_VALUE"""),"École nationale d'architecture Rabat (ENA)  ")</f>
        <v>École nationale d'architecture Rabat (ENA)  </v>
      </c>
      <c r="W94" s="43" t="str">
        <f>IFERROR(__xludf.DUMMYFUNCTION("""COMPUTED_VALUE"""),"2022-08-07T21:07:54Z")</f>
        <v>2022-08-07T21:07:54Z</v>
      </c>
      <c r="X94" s="43"/>
      <c r="Y94" s="43"/>
      <c r="Z94" s="43"/>
    </row>
    <row r="95" hidden="1">
      <c r="A95" s="43" t="str">
        <f>IFERROR(__xludf.DUMMYFUNCTION("""COMPUTED_VALUE"""),"4058556_1288245")</f>
        <v>4058556_1288245</v>
      </c>
      <c r="B95" s="43" t="str">
        <f>IFERROR(__xludf.DUMMYFUNCTION("""COMPUTED_VALUE"""),"Rohan Verma")</f>
        <v>Rohan Verma</v>
      </c>
      <c r="C95" s="43" t="str">
        <f>IFERROR(__xludf.DUMMYFUNCTION("""COMPUTED_VALUE"""),"finished")</f>
        <v>finished</v>
      </c>
      <c r="D95" s="43" t="str">
        <f>IFERROR(__xludf.DUMMYFUNCTION("""COMPUTED_VALUE"""),"No")</f>
        <v>No</v>
      </c>
      <c r="E95" s="43" t="str">
        <f>IFERROR(__xludf.DUMMYFUNCTION("""COMPUTED_VALUE"""),"p_ecf5b55cd1f71ae4733a2e4d6bf7b422c7261873@inbound.aiesec.org")</f>
        <v>p_ecf5b55cd1f71ae4733a2e4d6bf7b422c7261873@inbound.aiesec.org</v>
      </c>
      <c r="F95" s="43">
        <f>IFERROR(__xludf.DUMMYFUNCTION("""COMPUTED_VALUE"""),9.335013714E9)</f>
        <v>9335013714</v>
      </c>
      <c r="G95" s="43" t="str">
        <f>IFERROR(__xludf.DUMMYFUNCTION("""COMPUTED_VALUE"""),"India")</f>
        <v>India</v>
      </c>
      <c r="H95" s="43" t="str">
        <f>IFERROR(__xludf.DUMMYFUNCTION("""COMPUTED_VALUE"""),"Bengaluru")</f>
        <v>Bengaluru</v>
      </c>
      <c r="I95" s="43" t="str">
        <f>IFERROR(__xludf.DUMMYFUNCTION("""COMPUTED_VALUE"""),"Turkey")</f>
        <v>Turkey</v>
      </c>
      <c r="J95" s="43" t="str">
        <f>IFERROR(__xludf.DUMMYFUNCTION("""COMPUTED_VALUE"""),"İZMİR")</f>
        <v>İZMİR</v>
      </c>
      <c r="K95" s="44" t="str">
        <f>IFERROR(__xludf.DUMMYFUNCTION("""COMPUTED_VALUE"""),"https://expa.aiesec.org/opportunities/1288245")</f>
        <v>https://expa.aiesec.org/opportunities/1288245</v>
      </c>
      <c r="L95" s="43" t="str">
        <f>IFERROR(__xludf.DUMMYFUNCTION("""COMPUTED_VALUE"""),"GV")</f>
        <v>GV</v>
      </c>
      <c r="M95" s="43" t="str">
        <f>IFERROR(__xludf.DUMMYFUNCTION("""COMPUTED_VALUE"""),"short")</f>
        <v>short</v>
      </c>
      <c r="N95" s="45">
        <f>IFERROR(__xludf.DUMMYFUNCTION("""COMPUTED_VALUE"""),44793.0)</f>
        <v>44793</v>
      </c>
      <c r="O95" s="45">
        <f>IFERROR(__xludf.DUMMYFUNCTION("""COMPUTED_VALUE"""),44829.0)</f>
        <v>44829</v>
      </c>
      <c r="P95" s="45">
        <f>IFERROR(__xludf.DUMMYFUNCTION("""COMPUTED_VALUE"""),44871.0)</f>
        <v>44871</v>
      </c>
      <c r="Q95" s="45">
        <f>IFERROR(__xludf.DUMMYFUNCTION("""COMPUTED_VALUE"""),44834.0)</f>
        <v>44834</v>
      </c>
      <c r="R95" s="45">
        <f>IFERROR(__xludf.DUMMYFUNCTION("""COMPUTED_VALUE"""),44876.0)</f>
        <v>44876</v>
      </c>
      <c r="S95" s="43"/>
      <c r="T95" s="43"/>
      <c r="U95" s="43" t="str">
        <f>IFERROR(__xludf.DUMMYFUNCTION("""COMPUTED_VALUE"""),"Global Classroom")</f>
        <v>Global Classroom</v>
      </c>
      <c r="V95" s="43" t="str">
        <f>IFERROR(__xludf.DUMMYFUNCTION("""COMPUTED_VALUE"""),"Bangalore")</f>
        <v>Bangalore</v>
      </c>
      <c r="W95" s="43" t="str">
        <f>IFERROR(__xludf.DUMMYFUNCTION("""COMPUTED_VALUE"""),"2019-11-28T17:07:11Z")</f>
        <v>2019-11-28T17:07:11Z</v>
      </c>
      <c r="X95" s="43"/>
      <c r="Y95" s="43"/>
      <c r="Z95" s="43"/>
    </row>
    <row r="96" hidden="1">
      <c r="A96" s="43" t="str">
        <f>IFERROR(__xludf.DUMMYFUNCTION("""COMPUTED_VALUE"""),"4661384_1288279")</f>
        <v>4661384_1288279</v>
      </c>
      <c r="B96" s="43" t="str">
        <f>IFERROR(__xludf.DUMMYFUNCTION("""COMPUTED_VALUE"""),"‪Anas Ali‬‏ Alyahri")</f>
        <v>‪Anas Ali‬‏ Alyahri</v>
      </c>
      <c r="C96" s="43" t="str">
        <f>IFERROR(__xludf.DUMMYFUNCTION("""COMPUTED_VALUE"""),"finished")</f>
        <v>finished</v>
      </c>
      <c r="D96" s="43" t="str">
        <f>IFERROR(__xludf.DUMMYFUNCTION("""COMPUTED_VALUE"""),"No")</f>
        <v>No</v>
      </c>
      <c r="E96" s="43" t="str">
        <f>IFERROR(__xludf.DUMMYFUNCTION("""COMPUTED_VALUE"""),"p_b658a7e473791106bfac00c07505a0f3e8d49678@inbound.aiesec.org")</f>
        <v>p_b658a7e473791106bfac00c07505a0f3e8d49678@inbound.aiesec.org</v>
      </c>
      <c r="F96" s="43">
        <f>IFERROR(__xludf.DUMMYFUNCTION("""COMPUTED_VALUE"""),7.72267765E8)</f>
        <v>772267765</v>
      </c>
      <c r="G96" s="43" t="str">
        <f>IFERROR(__xludf.DUMMYFUNCTION("""COMPUTED_VALUE"""),"Romania")</f>
        <v>Romania</v>
      </c>
      <c r="H96" s="43" t="str">
        <f>IFERROR(__xludf.DUMMYFUNCTION("""COMPUTED_VALUE"""),"BUCURESTI")</f>
        <v>BUCURESTI</v>
      </c>
      <c r="I96" s="43" t="str">
        <f>IFERROR(__xludf.DUMMYFUNCTION("""COMPUTED_VALUE"""),"Turkey")</f>
        <v>Turkey</v>
      </c>
      <c r="J96" s="43" t="str">
        <f>IFERROR(__xludf.DUMMYFUNCTION("""COMPUTED_VALUE"""),"İZMİR")</f>
        <v>İZMİR</v>
      </c>
      <c r="K96" s="44" t="str">
        <f>IFERROR(__xludf.DUMMYFUNCTION("""COMPUTED_VALUE"""),"https://expa.aiesec.org/opportunities/1288279")</f>
        <v>https://expa.aiesec.org/opportunities/1288279</v>
      </c>
      <c r="L96" s="43" t="str">
        <f>IFERROR(__xludf.DUMMYFUNCTION("""COMPUTED_VALUE"""),"GV")</f>
        <v>GV</v>
      </c>
      <c r="M96" s="43" t="str">
        <f>IFERROR(__xludf.DUMMYFUNCTION("""COMPUTED_VALUE"""),"short")</f>
        <v>short</v>
      </c>
      <c r="N96" s="45">
        <f>IFERROR(__xludf.DUMMYFUNCTION("""COMPUTED_VALUE"""),44793.0)</f>
        <v>44793</v>
      </c>
      <c r="O96" s="45">
        <f>IFERROR(__xludf.DUMMYFUNCTION("""COMPUTED_VALUE"""),44794.0)</f>
        <v>44794</v>
      </c>
      <c r="P96" s="45">
        <f>IFERROR(__xludf.DUMMYFUNCTION("""COMPUTED_VALUE"""),44836.0)</f>
        <v>44836</v>
      </c>
      <c r="Q96" s="45">
        <f>IFERROR(__xludf.DUMMYFUNCTION("""COMPUTED_VALUE"""),44796.0)</f>
        <v>44796</v>
      </c>
      <c r="R96" s="45">
        <f>IFERROR(__xludf.DUMMYFUNCTION("""COMPUTED_VALUE"""),44836.0)</f>
        <v>44836</v>
      </c>
      <c r="S96" s="43"/>
      <c r="T96" s="43"/>
      <c r="U96" s="43" t="str">
        <f>IFERROR(__xludf.DUMMYFUNCTION("""COMPUTED_VALUE"""),"Youth 4 Impact")</f>
        <v>Youth 4 Impact</v>
      </c>
      <c r="V96" s="43" t="str">
        <f>IFERROR(__xludf.DUMMYFUNCTION("""COMPUTED_VALUE"""),"Bucuresti")</f>
        <v>Bucuresti</v>
      </c>
      <c r="W96" s="43" t="str">
        <f>IFERROR(__xludf.DUMMYFUNCTION("""COMPUTED_VALUE"""),"2021-06-06T10:11:02Z")</f>
        <v>2021-06-06T10:11:02Z</v>
      </c>
      <c r="X96" s="43"/>
      <c r="Y96" s="43"/>
      <c r="Z96" s="43"/>
    </row>
    <row r="97" hidden="1">
      <c r="A97" s="43" t="str">
        <f>IFERROR(__xludf.DUMMYFUNCTION("""COMPUTED_VALUE"""),"5084580_1272564")</f>
        <v>5084580_1272564</v>
      </c>
      <c r="B97" s="43" t="str">
        <f>IFERROR(__xludf.DUMMYFUNCTION("""COMPUTED_VALUE"""),"Fotis Tzimos")</f>
        <v>Fotis Tzimos</v>
      </c>
      <c r="C97" s="43" t="str">
        <f>IFERROR(__xludf.DUMMYFUNCTION("""COMPUTED_VALUE"""),"completed")</f>
        <v>completed</v>
      </c>
      <c r="D97" s="43" t="str">
        <f>IFERROR(__xludf.DUMMYFUNCTION("""COMPUTED_VALUE"""),"No")</f>
        <v>No</v>
      </c>
      <c r="E97" s="43" t="str">
        <f>IFERROR(__xludf.DUMMYFUNCTION("""COMPUTED_VALUE"""),"p_3fda70712055e3f51206813b9a1e6bc9b21773bd@inbound.aiesec.org")</f>
        <v>p_3fda70712055e3f51206813b9a1e6bc9b21773bd@inbound.aiesec.org</v>
      </c>
      <c r="F97" s="43">
        <f>IFERROR(__xludf.DUMMYFUNCTION("""COMPUTED_VALUE"""),6.978223879E9)</f>
        <v>6978223879</v>
      </c>
      <c r="G97" s="43" t="str">
        <f>IFERROR(__xludf.DUMMYFUNCTION("""COMPUTED_VALUE"""),"Greece")</f>
        <v>Greece</v>
      </c>
      <c r="H97" s="43" t="str">
        <f>IFERROR(__xludf.DUMMYFUNCTION("""COMPUTED_VALUE"""),"UoM THESSALONIKI")</f>
        <v>UoM THESSALONIKI</v>
      </c>
      <c r="I97" s="43" t="str">
        <f>IFERROR(__xludf.DUMMYFUNCTION("""COMPUTED_VALUE"""),"Turkey")</f>
        <v>Turkey</v>
      </c>
      <c r="J97" s="43" t="str">
        <f>IFERROR(__xludf.DUMMYFUNCTION("""COMPUTED_VALUE"""),"ISTANBUL")</f>
        <v>ISTANBUL</v>
      </c>
      <c r="K97" s="44" t="str">
        <f>IFERROR(__xludf.DUMMYFUNCTION("""COMPUTED_VALUE"""),"https://expa.aiesec.org/opportunities/1272564")</f>
        <v>https://expa.aiesec.org/opportunities/1272564</v>
      </c>
      <c r="L97" s="43" t="str">
        <f>IFERROR(__xludf.DUMMYFUNCTION("""COMPUTED_VALUE"""),"GV")</f>
        <v>GV</v>
      </c>
      <c r="M97" s="43" t="str">
        <f>IFERROR(__xludf.DUMMYFUNCTION("""COMPUTED_VALUE"""),"short")</f>
        <v>short</v>
      </c>
      <c r="N97" s="45">
        <f>IFERROR(__xludf.DUMMYFUNCTION("""COMPUTED_VALUE"""),44794.0)</f>
        <v>44794</v>
      </c>
      <c r="O97" s="45">
        <f>IFERROR(__xludf.DUMMYFUNCTION("""COMPUTED_VALUE"""),44836.0)</f>
        <v>44836</v>
      </c>
      <c r="P97" s="45">
        <f>IFERROR(__xludf.DUMMYFUNCTION("""COMPUTED_VALUE"""),44878.0)</f>
        <v>44878</v>
      </c>
      <c r="Q97" s="45">
        <f>IFERROR(__xludf.DUMMYFUNCTION("""COMPUTED_VALUE"""),44837.0)</f>
        <v>44837</v>
      </c>
      <c r="R97" s="45">
        <f>IFERROR(__xludf.DUMMYFUNCTION("""COMPUTED_VALUE"""),44876.0)</f>
        <v>44876</v>
      </c>
      <c r="S97" s="43"/>
      <c r="T97" s="43"/>
      <c r="U97" s="43" t="str">
        <f>IFERROR(__xludf.DUMMYFUNCTION("""COMPUTED_VALUE"""),"Global Classroom")</f>
        <v>Global Classroom</v>
      </c>
      <c r="V97" s="43" t="str">
        <f>IFERROR(__xludf.DUMMYFUNCTION("""COMPUTED_VALUE"""),"University of Macedonia")</f>
        <v>University of Macedonia</v>
      </c>
      <c r="W97" s="43" t="str">
        <f>IFERROR(__xludf.DUMMYFUNCTION("""COMPUTED_VALUE"""),"2022-07-21T06:15:41Z")</f>
        <v>2022-07-21T06:15:41Z</v>
      </c>
      <c r="X97" s="43"/>
      <c r="Y97" s="43"/>
      <c r="Z97" s="43"/>
    </row>
    <row r="98" hidden="1">
      <c r="A98" s="43" t="str">
        <f>IFERROR(__xludf.DUMMYFUNCTION("""COMPUTED_VALUE"""),"1234665_1288663")</f>
        <v>1234665_1288663</v>
      </c>
      <c r="B98" s="43" t="str">
        <f>IFERROR(__xludf.DUMMYFUNCTION("""COMPUTED_VALUE"""),"sirine sarraj")</f>
        <v>sirine sarraj</v>
      </c>
      <c r="C98" s="43" t="str">
        <f>IFERROR(__xludf.DUMMYFUNCTION("""COMPUTED_VALUE"""),"realization_broken")</f>
        <v>realization_broken</v>
      </c>
      <c r="D98" s="43" t="str">
        <f>IFERROR(__xludf.DUMMYFUNCTION("""COMPUTED_VALUE"""),"No")</f>
        <v>No</v>
      </c>
      <c r="E98" s="43" t="str">
        <f>IFERROR(__xludf.DUMMYFUNCTION("""COMPUTED_VALUE"""),"p_560093325f8e1a10d17db1d3e7abf2b2f1c89747@inbound.aiesec.org")</f>
        <v>p_560093325f8e1a10d17db1d3e7abf2b2f1c89747@inbound.aiesec.org</v>
      </c>
      <c r="F98" s="43"/>
      <c r="G98" s="43" t="str">
        <f>IFERROR(__xludf.DUMMYFUNCTION("""COMPUTED_VALUE"""),"Tunisia")</f>
        <v>Tunisia</v>
      </c>
      <c r="H98" s="43" t="str">
        <f>IFERROR(__xludf.DUMMYFUNCTION("""COMPUTED_VALUE"""),"UNIVERSITY")</f>
        <v>UNIVERSITY</v>
      </c>
      <c r="I98" s="43" t="str">
        <f>IFERROR(__xludf.DUMMYFUNCTION("""COMPUTED_VALUE"""),"Turkey")</f>
        <v>Turkey</v>
      </c>
      <c r="J98" s="43" t="str">
        <f>IFERROR(__xludf.DUMMYFUNCTION("""COMPUTED_VALUE"""),"İZMİR")</f>
        <v>İZMİR</v>
      </c>
      <c r="K98" s="44" t="str">
        <f>IFERROR(__xludf.DUMMYFUNCTION("""COMPUTED_VALUE"""),"https://expa.aiesec.org/opportunities/1288663")</f>
        <v>https://expa.aiesec.org/opportunities/1288663</v>
      </c>
      <c r="L98" s="43" t="str">
        <f>IFERROR(__xludf.DUMMYFUNCTION("""COMPUTED_VALUE"""),"GV")</f>
        <v>GV</v>
      </c>
      <c r="M98" s="43" t="str">
        <f>IFERROR(__xludf.DUMMYFUNCTION("""COMPUTED_VALUE"""),"short")</f>
        <v>short</v>
      </c>
      <c r="N98" s="45">
        <f>IFERROR(__xludf.DUMMYFUNCTION("""COMPUTED_VALUE"""),44795.0)</f>
        <v>44795</v>
      </c>
      <c r="O98" s="45">
        <f>IFERROR(__xludf.DUMMYFUNCTION("""COMPUTED_VALUE"""),44815.0)</f>
        <v>44815</v>
      </c>
      <c r="P98" s="45">
        <f>IFERROR(__xludf.DUMMYFUNCTION("""COMPUTED_VALUE"""),44857.0)</f>
        <v>44857</v>
      </c>
      <c r="Q98" s="45"/>
      <c r="R98" s="45"/>
      <c r="S98" s="43"/>
      <c r="T98" s="43"/>
      <c r="U98" s="43" t="str">
        <f>IFERROR(__xludf.DUMMYFUNCTION("""COMPUTED_VALUE"""),"Global Classroom")</f>
        <v>Global Classroom</v>
      </c>
      <c r="V98" s="43" t="str">
        <f>IFERROR(__xludf.DUMMYFUNCTION("""COMPUTED_VALUE"""),"-")</f>
        <v>-</v>
      </c>
      <c r="W98" s="43" t="str">
        <f>IFERROR(__xludf.DUMMYFUNCTION("""COMPUTED_VALUE"""),"2016-11-11T12:58:24Z")</f>
        <v>2016-11-11T12:58:24Z</v>
      </c>
      <c r="X98" s="43"/>
      <c r="Y98" s="43"/>
      <c r="Z98" s="43"/>
    </row>
    <row r="99" hidden="1">
      <c r="A99" s="43" t="str">
        <f>IFERROR(__xludf.DUMMYFUNCTION("""COMPUTED_VALUE"""),"3934680_1283891")</f>
        <v>3934680_1283891</v>
      </c>
      <c r="B99" s="43" t="str">
        <f>IFERROR(__xludf.DUMMYFUNCTION("""COMPUTED_VALUE"""),"Edward Lee")</f>
        <v>Edward Lee</v>
      </c>
      <c r="C99" s="43" t="str">
        <f>IFERROR(__xludf.DUMMYFUNCTION("""COMPUTED_VALUE"""),"finished")</f>
        <v>finished</v>
      </c>
      <c r="D99" s="43" t="str">
        <f>IFERROR(__xludf.DUMMYFUNCTION("""COMPUTED_VALUE"""),"No")</f>
        <v>No</v>
      </c>
      <c r="E99" s="43" t="str">
        <f>IFERROR(__xludf.DUMMYFUNCTION("""COMPUTED_VALUE"""),"p_23dd83d383ed54364b210bf057a2818c63494257@inbound.aiesec.org")</f>
        <v>p_23dd83d383ed54364b210bf057a2818c63494257@inbound.aiesec.org</v>
      </c>
      <c r="F99" s="43">
        <f>IFERROR(__xludf.DUMMYFUNCTION("""COMPUTED_VALUE"""),3.435503232E9)</f>
        <v>3435503232</v>
      </c>
      <c r="G99" s="43" t="str">
        <f>IFERROR(__xludf.DUMMYFUNCTION("""COMPUTED_VALUE"""),"Canada")</f>
        <v>Canada</v>
      </c>
      <c r="H99" s="43" t="str">
        <f>IFERROR(__xludf.DUMMYFUNCTION("""COMPUTED_VALUE"""),"OTTAWA")</f>
        <v>OTTAWA</v>
      </c>
      <c r="I99" s="43" t="str">
        <f>IFERROR(__xludf.DUMMYFUNCTION("""COMPUTED_VALUE"""),"Turkey")</f>
        <v>Turkey</v>
      </c>
      <c r="J99" s="43" t="str">
        <f>IFERROR(__xludf.DUMMYFUNCTION("""COMPUTED_VALUE"""),"ISTANBUL ASIA")</f>
        <v>ISTANBUL ASIA</v>
      </c>
      <c r="K99" s="44" t="str">
        <f>IFERROR(__xludf.DUMMYFUNCTION("""COMPUTED_VALUE"""),"https://expa.aiesec.org/opportunities/1283891")</f>
        <v>https://expa.aiesec.org/opportunities/1283891</v>
      </c>
      <c r="L99" s="43" t="str">
        <f>IFERROR(__xludf.DUMMYFUNCTION("""COMPUTED_VALUE"""),"GV")</f>
        <v>GV</v>
      </c>
      <c r="M99" s="43" t="str">
        <f>IFERROR(__xludf.DUMMYFUNCTION("""COMPUTED_VALUE"""),"short")</f>
        <v>short</v>
      </c>
      <c r="N99" s="45">
        <f>IFERROR(__xludf.DUMMYFUNCTION("""COMPUTED_VALUE"""),44796.0)</f>
        <v>44796</v>
      </c>
      <c r="O99" s="45">
        <f>IFERROR(__xludf.DUMMYFUNCTION("""COMPUTED_VALUE"""),44783.0)</f>
        <v>44783</v>
      </c>
      <c r="P99" s="45">
        <f>IFERROR(__xludf.DUMMYFUNCTION("""COMPUTED_VALUE"""),44825.0)</f>
        <v>44825</v>
      </c>
      <c r="Q99" s="45">
        <f>IFERROR(__xludf.DUMMYFUNCTION("""COMPUTED_VALUE"""),44796.0)</f>
        <v>44796</v>
      </c>
      <c r="R99" s="45">
        <f>IFERROR(__xludf.DUMMYFUNCTION("""COMPUTED_VALUE"""),44837.0)</f>
        <v>44837</v>
      </c>
      <c r="S99" s="43"/>
      <c r="T99" s="43"/>
      <c r="U99" s="43" t="str">
        <f>IFERROR(__xludf.DUMMYFUNCTION("""COMPUTED_VALUE"""),"Global Classroom")</f>
        <v>Global Classroom</v>
      </c>
      <c r="V99" s="43" t="str">
        <f>IFERROR(__xludf.DUMMYFUNCTION("""COMPUTED_VALUE"""),"University of Ottawa / Université d'Ottawa")</f>
        <v>University of Ottawa / Université d'Ottawa</v>
      </c>
      <c r="W99" s="43" t="str">
        <f>IFERROR(__xludf.DUMMYFUNCTION("""COMPUTED_VALUE"""),"2019-10-29T18:28:51Z")</f>
        <v>2019-10-29T18:28:51Z</v>
      </c>
      <c r="X99" s="43"/>
      <c r="Y99" s="43"/>
      <c r="Z99" s="43"/>
    </row>
    <row r="100" hidden="1">
      <c r="A100" s="43" t="str">
        <f>IFERROR(__xludf.DUMMYFUNCTION("""COMPUTED_VALUE"""),"5021684_1287226")</f>
        <v>5021684_1287226</v>
      </c>
      <c r="B100" s="43" t="str">
        <f>IFERROR(__xludf.DUMMYFUNCTION("""COMPUTED_VALUE"""),"Hana Anter")</f>
        <v>Hana Anter</v>
      </c>
      <c r="C100" s="43" t="str">
        <f>IFERROR(__xludf.DUMMYFUNCTION("""COMPUTED_VALUE"""),"completed")</f>
        <v>completed</v>
      </c>
      <c r="D100" s="43" t="str">
        <f>IFERROR(__xludf.DUMMYFUNCTION("""COMPUTED_VALUE"""),"No")</f>
        <v>No</v>
      </c>
      <c r="E100" s="43" t="str">
        <f>IFERROR(__xludf.DUMMYFUNCTION("""COMPUTED_VALUE"""),"p_22fbd06401edbe617d27d94c3de6338ad65f5e74@inbound.aiesec.org")</f>
        <v>p_22fbd06401edbe617d27d94c3de6338ad65f5e74@inbound.aiesec.org</v>
      </c>
      <c r="F100" s="43">
        <f>IFERROR(__xludf.DUMMYFUNCTION("""COMPUTED_VALUE"""),1.096077055E9)</f>
        <v>1096077055</v>
      </c>
      <c r="G100" s="43" t="str">
        <f>IFERROR(__xludf.DUMMYFUNCTION("""COMPUTED_VALUE"""),"Egypt")</f>
        <v>Egypt</v>
      </c>
      <c r="H100" s="43" t="str">
        <f>IFERROR(__xludf.DUMMYFUNCTION("""COMPUTED_VALUE"""),"Luxor &amp; Aswan (Closed)")</f>
        <v>Luxor &amp; Aswan (Closed)</v>
      </c>
      <c r="I100" s="43" t="str">
        <f>IFERROR(__xludf.DUMMYFUNCTION("""COMPUTED_VALUE"""),"Turkey")</f>
        <v>Turkey</v>
      </c>
      <c r="J100" s="43" t="str">
        <f>IFERROR(__xludf.DUMMYFUNCTION("""COMPUTED_VALUE"""),"ISTANBUL ASIA")</f>
        <v>ISTANBUL ASIA</v>
      </c>
      <c r="K100" s="44" t="str">
        <f>IFERROR(__xludf.DUMMYFUNCTION("""COMPUTED_VALUE"""),"https://expa.aiesec.org/opportunities/1287226")</f>
        <v>https://expa.aiesec.org/opportunities/1287226</v>
      </c>
      <c r="L100" s="43" t="str">
        <f>IFERROR(__xludf.DUMMYFUNCTION("""COMPUTED_VALUE"""),"GV")</f>
        <v>GV</v>
      </c>
      <c r="M100" s="43" t="str">
        <f>IFERROR(__xludf.DUMMYFUNCTION("""COMPUTED_VALUE"""),"short")</f>
        <v>short</v>
      </c>
      <c r="N100" s="45">
        <f>IFERROR(__xludf.DUMMYFUNCTION("""COMPUTED_VALUE"""),44796.0)</f>
        <v>44796</v>
      </c>
      <c r="O100" s="45">
        <f>IFERROR(__xludf.DUMMYFUNCTION("""COMPUTED_VALUE"""),44767.0)</f>
        <v>44767</v>
      </c>
      <c r="P100" s="45">
        <f>IFERROR(__xludf.DUMMYFUNCTION("""COMPUTED_VALUE"""),44809.0)</f>
        <v>44809</v>
      </c>
      <c r="Q100" s="45">
        <f>IFERROR(__xludf.DUMMYFUNCTION("""COMPUTED_VALUE"""),44796.0)</f>
        <v>44796</v>
      </c>
      <c r="R100" s="45">
        <f>IFERROR(__xludf.DUMMYFUNCTION("""COMPUTED_VALUE"""),44837.0)</f>
        <v>44837</v>
      </c>
      <c r="S100" s="43"/>
      <c r="T100" s="43"/>
      <c r="U100" s="43" t="str">
        <f>IFERROR(__xludf.DUMMYFUNCTION("""COMPUTED_VALUE"""),"Global Classroom")</f>
        <v>Global Classroom</v>
      </c>
      <c r="V100" s="43" t="str">
        <f>IFERROR(__xludf.DUMMYFUNCTION("""COMPUTED_VALUE"""),"AAST Aswan")</f>
        <v>AAST Aswan</v>
      </c>
      <c r="W100" s="43" t="str">
        <f>IFERROR(__xludf.DUMMYFUNCTION("""COMPUTED_VALUE"""),"2022-04-02T21:12:40Z")</f>
        <v>2022-04-02T21:12:40Z</v>
      </c>
      <c r="X100" s="43"/>
      <c r="Y100" s="43"/>
      <c r="Z100" s="43"/>
    </row>
    <row r="101" hidden="1">
      <c r="A101" s="43" t="str">
        <f>IFERROR(__xludf.DUMMYFUNCTION("""COMPUTED_VALUE"""),"5032599_1272564")</f>
        <v>5032599_1272564</v>
      </c>
      <c r="B101" s="43" t="str">
        <f>IFERROR(__xludf.DUMMYFUNCTION("""COMPUTED_VALUE"""),"Yara Hesham Negm El Deen")</f>
        <v>Yara Hesham Negm El Deen</v>
      </c>
      <c r="C101" s="43" t="str">
        <f>IFERROR(__xludf.DUMMYFUNCTION("""COMPUTED_VALUE"""),"realization_broken")</f>
        <v>realization_broken</v>
      </c>
      <c r="D101" s="43" t="str">
        <f>IFERROR(__xludf.DUMMYFUNCTION("""COMPUTED_VALUE"""),"No")</f>
        <v>No</v>
      </c>
      <c r="E101" s="43" t="str">
        <f>IFERROR(__xludf.DUMMYFUNCTION("""COMPUTED_VALUE"""),"p_0333cea77868233e8c6aafb287a6c79d380c1842@inbound.aiesec.org")</f>
        <v>p_0333cea77868233e8c6aafb287a6c79d380c1842@inbound.aiesec.org</v>
      </c>
      <c r="F101" s="43">
        <f>IFERROR(__xludf.DUMMYFUNCTION("""COMPUTED_VALUE"""),1.1116142E9)</f>
        <v>1111614200</v>
      </c>
      <c r="G101" s="43" t="str">
        <f>IFERROR(__xludf.DUMMYFUNCTION("""COMPUTED_VALUE"""),"Egypt")</f>
        <v>Egypt</v>
      </c>
      <c r="H101" s="43" t="str">
        <f>IFERROR(__xludf.DUMMYFUNCTION("""COMPUTED_VALUE"""),"Helwan")</f>
        <v>Helwan</v>
      </c>
      <c r="I101" s="43" t="str">
        <f>IFERROR(__xludf.DUMMYFUNCTION("""COMPUTED_VALUE"""),"Turkey")</f>
        <v>Turkey</v>
      </c>
      <c r="J101" s="43" t="str">
        <f>IFERROR(__xludf.DUMMYFUNCTION("""COMPUTED_VALUE"""),"ISTANBUL")</f>
        <v>ISTANBUL</v>
      </c>
      <c r="K101" s="44" t="str">
        <f>IFERROR(__xludf.DUMMYFUNCTION("""COMPUTED_VALUE"""),"https://expa.aiesec.org/opportunities/1272564")</f>
        <v>https://expa.aiesec.org/opportunities/1272564</v>
      </c>
      <c r="L101" s="43" t="str">
        <f>IFERROR(__xludf.DUMMYFUNCTION("""COMPUTED_VALUE"""),"GV")</f>
        <v>GV</v>
      </c>
      <c r="M101" s="43" t="str">
        <f>IFERROR(__xludf.DUMMYFUNCTION("""COMPUTED_VALUE"""),"short")</f>
        <v>short</v>
      </c>
      <c r="N101" s="45">
        <f>IFERROR(__xludf.DUMMYFUNCTION("""COMPUTED_VALUE"""),44797.0)</f>
        <v>44797</v>
      </c>
      <c r="O101" s="45">
        <f>IFERROR(__xludf.DUMMYFUNCTION("""COMPUTED_VALUE"""),44810.0)</f>
        <v>44810</v>
      </c>
      <c r="P101" s="45">
        <f>IFERROR(__xludf.DUMMYFUNCTION("""COMPUTED_VALUE"""),44852.0)</f>
        <v>44852</v>
      </c>
      <c r="Q101" s="45"/>
      <c r="R101" s="45"/>
      <c r="S101" s="43"/>
      <c r="T101" s="43"/>
      <c r="U101" s="43" t="str">
        <f>IFERROR(__xludf.DUMMYFUNCTION("""COMPUTED_VALUE"""),"Global Classroom")</f>
        <v>Global Classroom</v>
      </c>
      <c r="V101" s="43" t="str">
        <f>IFERROR(__xludf.DUMMYFUNCTION("""COMPUTED_VALUE"""),"Helwan University")</f>
        <v>Helwan University</v>
      </c>
      <c r="W101" s="43" t="str">
        <f>IFERROR(__xludf.DUMMYFUNCTION("""COMPUTED_VALUE"""),"2022-04-09T21:01:42Z")</f>
        <v>2022-04-09T21:01:42Z</v>
      </c>
      <c r="X101" s="43"/>
      <c r="Y101" s="43"/>
      <c r="Z101" s="43"/>
    </row>
    <row r="102" hidden="1">
      <c r="A102" s="43" t="str">
        <f>IFERROR(__xludf.DUMMYFUNCTION("""COMPUTED_VALUE"""),"5010168_1288299")</f>
        <v>5010168_1288299</v>
      </c>
      <c r="B102" s="43" t="str">
        <f>IFERROR(__xludf.DUMMYFUNCTION("""COMPUTED_VALUE"""),"Yassmin Barakat")</f>
        <v>Yassmin Barakat</v>
      </c>
      <c r="C102" s="43" t="str">
        <f>IFERROR(__xludf.DUMMYFUNCTION("""COMPUTED_VALUE"""),"realization_broken")</f>
        <v>realization_broken</v>
      </c>
      <c r="D102" s="43" t="str">
        <f>IFERROR(__xludf.DUMMYFUNCTION("""COMPUTED_VALUE"""),"No")</f>
        <v>No</v>
      </c>
      <c r="E102" s="43" t="str">
        <f>IFERROR(__xludf.DUMMYFUNCTION("""COMPUTED_VALUE"""),"p_00a0b3ece6ad4bc4dd861791091808b26cb3d192@inbound.aiesec.org")</f>
        <v>p_00a0b3ece6ad4bc4dd861791091808b26cb3d192@inbound.aiesec.org</v>
      </c>
      <c r="F102" s="43">
        <f>IFERROR(__xludf.DUMMYFUNCTION("""COMPUTED_VALUE"""),1.000158629E9)</f>
        <v>1000158629</v>
      </c>
      <c r="G102" s="43" t="str">
        <f>IFERROR(__xludf.DUMMYFUNCTION("""COMPUTED_VALUE"""),"Egypt")</f>
        <v>Egypt</v>
      </c>
      <c r="H102" s="43" t="str">
        <f>IFERROR(__xludf.DUMMYFUNCTION("""COMPUTED_VALUE"""),"Helwan")</f>
        <v>Helwan</v>
      </c>
      <c r="I102" s="43" t="str">
        <f>IFERROR(__xludf.DUMMYFUNCTION("""COMPUTED_VALUE"""),"Turkey")</f>
        <v>Turkey</v>
      </c>
      <c r="J102" s="43" t="str">
        <f>IFERROR(__xludf.DUMMYFUNCTION("""COMPUTED_VALUE"""),"ISTANBUL")</f>
        <v>ISTANBUL</v>
      </c>
      <c r="K102" s="44" t="str">
        <f>IFERROR(__xludf.DUMMYFUNCTION("""COMPUTED_VALUE"""),"https://expa.aiesec.org/opportunities/1288299")</f>
        <v>https://expa.aiesec.org/opportunities/1288299</v>
      </c>
      <c r="L102" s="43" t="str">
        <f>IFERROR(__xludf.DUMMYFUNCTION("""COMPUTED_VALUE"""),"GV")</f>
        <v>GV</v>
      </c>
      <c r="M102" s="43" t="str">
        <f>IFERROR(__xludf.DUMMYFUNCTION("""COMPUTED_VALUE"""),"short")</f>
        <v>short</v>
      </c>
      <c r="N102" s="45">
        <f>IFERROR(__xludf.DUMMYFUNCTION("""COMPUTED_VALUE"""),44797.0)</f>
        <v>44797</v>
      </c>
      <c r="O102" s="45">
        <f>IFERROR(__xludf.DUMMYFUNCTION("""COMPUTED_VALUE"""),44810.0)</f>
        <v>44810</v>
      </c>
      <c r="P102" s="45">
        <f>IFERROR(__xludf.DUMMYFUNCTION("""COMPUTED_VALUE"""),44865.0)</f>
        <v>44865</v>
      </c>
      <c r="Q102" s="45"/>
      <c r="R102" s="45"/>
      <c r="S102" s="43"/>
      <c r="T102" s="43"/>
      <c r="U102" s="43" t="str">
        <f>IFERROR(__xludf.DUMMYFUNCTION("""COMPUTED_VALUE"""),"Global Classroom")</f>
        <v>Global Classroom</v>
      </c>
      <c r="V102" s="43" t="str">
        <f>IFERROR(__xludf.DUMMYFUNCTION("""COMPUTED_VALUE"""),"Helwan University")</f>
        <v>Helwan University</v>
      </c>
      <c r="W102" s="43" t="str">
        <f>IFERROR(__xludf.DUMMYFUNCTION("""COMPUTED_VALUE"""),"2022-03-28T09:13:02Z")</f>
        <v>2022-03-28T09:13:02Z</v>
      </c>
      <c r="X102" s="43"/>
      <c r="Y102" s="43"/>
      <c r="Z102" s="43"/>
    </row>
    <row r="103" hidden="1">
      <c r="A103" s="43" t="str">
        <f>IFERROR(__xludf.DUMMYFUNCTION("""COMPUTED_VALUE"""),"5034246_1288299")</f>
        <v>5034246_1288299</v>
      </c>
      <c r="B103" s="43" t="str">
        <f>IFERROR(__xludf.DUMMYFUNCTION("""COMPUTED_VALUE"""),"Alaa Abdel Hafez")</f>
        <v>Alaa Abdel Hafez</v>
      </c>
      <c r="C103" s="43" t="str">
        <f>IFERROR(__xludf.DUMMYFUNCTION("""COMPUTED_VALUE"""),"realization_broken")</f>
        <v>realization_broken</v>
      </c>
      <c r="D103" s="43" t="str">
        <f>IFERROR(__xludf.DUMMYFUNCTION("""COMPUTED_VALUE"""),"No")</f>
        <v>No</v>
      </c>
      <c r="E103" s="43" t="str">
        <f>IFERROR(__xludf.DUMMYFUNCTION("""COMPUTED_VALUE"""),"p_cdcab67a8d8e2f9b9b929bb89b5856746173491d@inbound.aiesec.org")</f>
        <v>p_cdcab67a8d8e2f9b9b929bb89b5856746173491d@inbound.aiesec.org</v>
      </c>
      <c r="F103" s="43">
        <f>IFERROR(__xludf.DUMMYFUNCTION("""COMPUTED_VALUE"""),1.120023363E9)</f>
        <v>1120023363</v>
      </c>
      <c r="G103" s="43" t="str">
        <f>IFERROR(__xludf.DUMMYFUNCTION("""COMPUTED_VALUE"""),"Egypt")</f>
        <v>Egypt</v>
      </c>
      <c r="H103" s="43" t="str">
        <f>IFERROR(__xludf.DUMMYFUNCTION("""COMPUTED_VALUE"""),"Helwan")</f>
        <v>Helwan</v>
      </c>
      <c r="I103" s="43" t="str">
        <f>IFERROR(__xludf.DUMMYFUNCTION("""COMPUTED_VALUE"""),"Turkey")</f>
        <v>Turkey</v>
      </c>
      <c r="J103" s="43" t="str">
        <f>IFERROR(__xludf.DUMMYFUNCTION("""COMPUTED_VALUE"""),"ISTANBUL")</f>
        <v>ISTANBUL</v>
      </c>
      <c r="K103" s="44" t="str">
        <f>IFERROR(__xludf.DUMMYFUNCTION("""COMPUTED_VALUE"""),"https://expa.aiesec.org/opportunities/1288299")</f>
        <v>https://expa.aiesec.org/opportunities/1288299</v>
      </c>
      <c r="L103" s="43" t="str">
        <f>IFERROR(__xludf.DUMMYFUNCTION("""COMPUTED_VALUE"""),"GV")</f>
        <v>GV</v>
      </c>
      <c r="M103" s="43" t="str">
        <f>IFERROR(__xludf.DUMMYFUNCTION("""COMPUTED_VALUE"""),"short")</f>
        <v>short</v>
      </c>
      <c r="N103" s="45">
        <f>IFERROR(__xludf.DUMMYFUNCTION("""COMPUTED_VALUE"""),44797.0)</f>
        <v>44797</v>
      </c>
      <c r="O103" s="45">
        <f>IFERROR(__xludf.DUMMYFUNCTION("""COMPUTED_VALUE"""),44810.0)</f>
        <v>44810</v>
      </c>
      <c r="P103" s="45">
        <f>IFERROR(__xludf.DUMMYFUNCTION("""COMPUTED_VALUE"""),44865.0)</f>
        <v>44865</v>
      </c>
      <c r="Q103" s="45"/>
      <c r="R103" s="45"/>
      <c r="S103" s="43"/>
      <c r="T103" s="43"/>
      <c r="U103" s="43" t="str">
        <f>IFERROR(__xludf.DUMMYFUNCTION("""COMPUTED_VALUE"""),"Global Classroom")</f>
        <v>Global Classroom</v>
      </c>
      <c r="V103" s="43" t="str">
        <f>IFERROR(__xludf.DUMMYFUNCTION("""COMPUTED_VALUE"""),"Helwan University")</f>
        <v>Helwan University</v>
      </c>
      <c r="W103" s="43" t="str">
        <f>IFERROR(__xludf.DUMMYFUNCTION("""COMPUTED_VALUE"""),"2022-04-10T16:06:36Z")</f>
        <v>2022-04-10T16:06:36Z</v>
      </c>
      <c r="X103" s="43"/>
      <c r="Y103" s="43"/>
      <c r="Z103" s="43"/>
    </row>
    <row r="104" hidden="1">
      <c r="A104" s="43" t="str">
        <f>IFERROR(__xludf.DUMMYFUNCTION("""COMPUTED_VALUE"""),"4816287_1287668")</f>
        <v>4816287_1287668</v>
      </c>
      <c r="B104" s="43" t="str">
        <f>IFERROR(__xludf.DUMMYFUNCTION("""COMPUTED_VALUE"""),"Guy Alain Betranou Kouakou")</f>
        <v>Guy Alain Betranou Kouakou</v>
      </c>
      <c r="C104" s="43" t="str">
        <f>IFERROR(__xludf.DUMMYFUNCTION("""COMPUTED_VALUE"""),"finished")</f>
        <v>finished</v>
      </c>
      <c r="D104" s="43" t="str">
        <f>IFERROR(__xludf.DUMMYFUNCTION("""COMPUTED_VALUE"""),"No")</f>
        <v>No</v>
      </c>
      <c r="E104" s="43" t="str">
        <f>IFERROR(__xludf.DUMMYFUNCTION("""COMPUTED_VALUE"""),"p_f866f7393fb45da60a843140f85eb1bf7768f11b@inbound.aiesec.org")</f>
        <v>p_f866f7393fb45da60a843140f85eb1bf7768f11b@inbound.aiesec.org</v>
      </c>
      <c r="F104" s="43">
        <f>IFERROR(__xludf.DUMMYFUNCTION("""COMPUTED_VALUE"""),7.47256058E8)</f>
        <v>747256058</v>
      </c>
      <c r="G104" s="43" t="str">
        <f>IFERROR(__xludf.DUMMYFUNCTION("""COMPUTED_VALUE"""),"Cote D'Ivoire")</f>
        <v>Cote D'Ivoire</v>
      </c>
      <c r="H104" s="43" t="str">
        <f>IFERROR(__xludf.DUMMYFUNCTION("""COMPUTED_VALUE"""),"COCODY-ABIDJAN")</f>
        <v>COCODY-ABIDJAN</v>
      </c>
      <c r="I104" s="43" t="str">
        <f>IFERROR(__xludf.DUMMYFUNCTION("""COMPUTED_VALUE"""),"Turkey")</f>
        <v>Turkey</v>
      </c>
      <c r="J104" s="43" t="str">
        <f>IFERROR(__xludf.DUMMYFUNCTION("""COMPUTED_VALUE"""),"İZMİR")</f>
        <v>İZMİR</v>
      </c>
      <c r="K104" s="44" t="str">
        <f>IFERROR(__xludf.DUMMYFUNCTION("""COMPUTED_VALUE"""),"https://expa.aiesec.org/opportunities/1287668")</f>
        <v>https://expa.aiesec.org/opportunities/1287668</v>
      </c>
      <c r="L104" s="43" t="str">
        <f>IFERROR(__xludf.DUMMYFUNCTION("""COMPUTED_VALUE"""),"GV")</f>
        <v>GV</v>
      </c>
      <c r="M104" s="43" t="str">
        <f>IFERROR(__xludf.DUMMYFUNCTION("""COMPUTED_VALUE"""),"short")</f>
        <v>short</v>
      </c>
      <c r="N104" s="45">
        <f>IFERROR(__xludf.DUMMYFUNCTION("""COMPUTED_VALUE"""),44799.0)</f>
        <v>44799</v>
      </c>
      <c r="O104" s="45">
        <f>IFERROR(__xludf.DUMMYFUNCTION("""COMPUTED_VALUE"""),44823.0)</f>
        <v>44823</v>
      </c>
      <c r="P104" s="45">
        <f>IFERROR(__xludf.DUMMYFUNCTION("""COMPUTED_VALUE"""),44865.0)</f>
        <v>44865</v>
      </c>
      <c r="Q104" s="45">
        <f>IFERROR(__xludf.DUMMYFUNCTION("""COMPUTED_VALUE"""),44855.0)</f>
        <v>44855</v>
      </c>
      <c r="R104" s="45">
        <f>IFERROR(__xludf.DUMMYFUNCTION("""COMPUTED_VALUE"""),44897.0)</f>
        <v>44897</v>
      </c>
      <c r="S104" s="43"/>
      <c r="T104" s="43"/>
      <c r="U104" s="43" t="str">
        <f>IFERROR(__xludf.DUMMYFUNCTION("""COMPUTED_VALUE"""),"Global Classroom")</f>
        <v>Global Classroom</v>
      </c>
      <c r="V104" s="43" t="str">
        <f>IFERROR(__xludf.DUMMYFUNCTION("""COMPUTED_VALUE"""),"LC COCODY")</f>
        <v>LC COCODY</v>
      </c>
      <c r="W104" s="43" t="str">
        <f>IFERROR(__xludf.DUMMYFUNCTION("""COMPUTED_VALUE"""),"2021-11-25T09:18:54Z")</f>
        <v>2021-11-25T09:18:54Z</v>
      </c>
      <c r="X104" s="43"/>
      <c r="Y104" s="43"/>
      <c r="Z104" s="43"/>
    </row>
    <row r="105" hidden="1">
      <c r="A105" s="43" t="str">
        <f>IFERROR(__xludf.DUMMYFUNCTION("""COMPUTED_VALUE"""),"5100768_1281010")</f>
        <v>5100768_1281010</v>
      </c>
      <c r="B105" s="43" t="str">
        <f>IFERROR(__xludf.DUMMYFUNCTION("""COMPUTED_VALUE"""),"ZAYNEB BEN ABDALLAH")</f>
        <v>ZAYNEB BEN ABDALLAH</v>
      </c>
      <c r="C105" s="43" t="str">
        <f>IFERROR(__xludf.DUMMYFUNCTION("""COMPUTED_VALUE"""),"completed")</f>
        <v>completed</v>
      </c>
      <c r="D105" s="43" t="str">
        <f>IFERROR(__xludf.DUMMYFUNCTION("""COMPUTED_VALUE"""),"No")</f>
        <v>No</v>
      </c>
      <c r="E105" s="43" t="str">
        <f>IFERROR(__xludf.DUMMYFUNCTION("""COMPUTED_VALUE"""),"p_c65024361767f1720368df8318de16f85338d88a@inbound.aiesec.org")</f>
        <v>p_c65024361767f1720368df8318de16f85338d88a@inbound.aiesec.org</v>
      </c>
      <c r="F105" s="43">
        <f>IFERROR(__xludf.DUMMYFUNCTION("""COMPUTED_VALUE"""),5.2101125E7)</f>
        <v>52101125</v>
      </c>
      <c r="G105" s="43" t="str">
        <f>IFERROR(__xludf.DUMMYFUNCTION("""COMPUTED_VALUE"""),"Tunisia")</f>
        <v>Tunisia</v>
      </c>
      <c r="H105" s="43" t="str">
        <f>IFERROR(__xludf.DUMMYFUNCTION("""COMPUTED_VALUE"""),"NABEL")</f>
        <v>NABEL</v>
      </c>
      <c r="I105" s="43" t="str">
        <f>IFERROR(__xludf.DUMMYFUNCTION("""COMPUTED_VALUE"""),"Turkey")</f>
        <v>Turkey</v>
      </c>
      <c r="J105" s="43" t="str">
        <f>IFERROR(__xludf.DUMMYFUNCTION("""COMPUTED_VALUE"""),"KOCAELI")</f>
        <v>KOCAELI</v>
      </c>
      <c r="K105" s="44" t="str">
        <f>IFERROR(__xludf.DUMMYFUNCTION("""COMPUTED_VALUE"""),"https://expa.aiesec.org/opportunities/1281010")</f>
        <v>https://expa.aiesec.org/opportunities/1281010</v>
      </c>
      <c r="L105" s="43" t="str">
        <f>IFERROR(__xludf.DUMMYFUNCTION("""COMPUTED_VALUE"""),"GV")</f>
        <v>GV</v>
      </c>
      <c r="M105" s="43" t="str">
        <f>IFERROR(__xludf.DUMMYFUNCTION("""COMPUTED_VALUE"""),"short")</f>
        <v>short</v>
      </c>
      <c r="N105" s="45">
        <f>IFERROR(__xludf.DUMMYFUNCTION("""COMPUTED_VALUE"""),44800.0)</f>
        <v>44800</v>
      </c>
      <c r="O105" s="45">
        <f>IFERROR(__xludf.DUMMYFUNCTION("""COMPUTED_VALUE"""),44817.0)</f>
        <v>44817</v>
      </c>
      <c r="P105" s="45">
        <f>IFERROR(__xludf.DUMMYFUNCTION("""COMPUTED_VALUE"""),44859.0)</f>
        <v>44859</v>
      </c>
      <c r="Q105" s="45">
        <f>IFERROR(__xludf.DUMMYFUNCTION("""COMPUTED_VALUE"""),44820.0)</f>
        <v>44820</v>
      </c>
      <c r="R105" s="45">
        <f>IFERROR(__xludf.DUMMYFUNCTION("""COMPUTED_VALUE"""),44863.0)</f>
        <v>44863</v>
      </c>
      <c r="S105" s="43"/>
      <c r="T105" s="43"/>
      <c r="U105" s="43" t="str">
        <f>IFERROR(__xludf.DUMMYFUNCTION("""COMPUTED_VALUE"""),"Global Classroom")</f>
        <v>Global Classroom</v>
      </c>
      <c r="V105" s="43" t="str">
        <f>IFERROR(__xludf.DUMMYFUNCTION("""COMPUTED_VALUE"""),"ISLN")</f>
        <v>ISLN</v>
      </c>
      <c r="W105" s="43" t="str">
        <f>IFERROR(__xludf.DUMMYFUNCTION("""COMPUTED_VALUE"""),"2022-08-27T18:00:44Z")</f>
        <v>2022-08-27T18:00:44Z</v>
      </c>
      <c r="X105" s="43"/>
      <c r="Y105" s="43"/>
      <c r="Z105" s="43"/>
    </row>
    <row r="106" hidden="1">
      <c r="A106" s="43" t="str">
        <f>IFERROR(__xludf.DUMMYFUNCTION("""COMPUTED_VALUE"""),"4752066_1281010")</f>
        <v>4752066_1281010</v>
      </c>
      <c r="B106" s="43" t="str">
        <f>IFERROR(__xludf.DUMMYFUNCTION("""COMPUTED_VALUE"""),"Liza Kravchenko")</f>
        <v>Liza Kravchenko</v>
      </c>
      <c r="C106" s="43" t="str">
        <f>IFERROR(__xludf.DUMMYFUNCTION("""COMPUTED_VALUE"""),"completed")</f>
        <v>completed</v>
      </c>
      <c r="D106" s="43" t="str">
        <f>IFERROR(__xludf.DUMMYFUNCTION("""COMPUTED_VALUE"""),"No")</f>
        <v>No</v>
      </c>
      <c r="E106" s="43" t="str">
        <f>IFERROR(__xludf.DUMMYFUNCTION("""COMPUTED_VALUE"""),"p_9eb1693642e762eefbee7a9e2f18c72b50c09b0b@inbound.aiesec.org")</f>
        <v>p_9eb1693642e762eefbee7a9e2f18c72b50c09b0b@inbound.aiesec.org</v>
      </c>
      <c r="F106" s="43"/>
      <c r="G106" s="43" t="str">
        <f>IFERROR(__xludf.DUMMYFUNCTION("""COMPUTED_VALUE"""),"Ukraine")</f>
        <v>Ukraine</v>
      </c>
      <c r="H106" s="43" t="str">
        <f>IFERROR(__xludf.DUMMYFUNCTION("""COMPUTED_VALUE"""),"KHARKIV")</f>
        <v>KHARKIV</v>
      </c>
      <c r="I106" s="43" t="str">
        <f>IFERROR(__xludf.DUMMYFUNCTION("""COMPUTED_VALUE"""),"Turkey")</f>
        <v>Turkey</v>
      </c>
      <c r="J106" s="43" t="str">
        <f>IFERROR(__xludf.DUMMYFUNCTION("""COMPUTED_VALUE"""),"KOCAELI")</f>
        <v>KOCAELI</v>
      </c>
      <c r="K106" s="44" t="str">
        <f>IFERROR(__xludf.DUMMYFUNCTION("""COMPUTED_VALUE"""),"https://expa.aiesec.org/opportunities/1281010")</f>
        <v>https://expa.aiesec.org/opportunities/1281010</v>
      </c>
      <c r="L106" s="43" t="str">
        <f>IFERROR(__xludf.DUMMYFUNCTION("""COMPUTED_VALUE"""),"GV")</f>
        <v>GV</v>
      </c>
      <c r="M106" s="43" t="str">
        <f>IFERROR(__xludf.DUMMYFUNCTION("""COMPUTED_VALUE"""),"short")</f>
        <v>short</v>
      </c>
      <c r="N106" s="45">
        <f>IFERROR(__xludf.DUMMYFUNCTION("""COMPUTED_VALUE"""),44802.0)</f>
        <v>44802</v>
      </c>
      <c r="O106" s="45">
        <f>IFERROR(__xludf.DUMMYFUNCTION("""COMPUTED_VALUE"""),44817.0)</f>
        <v>44817</v>
      </c>
      <c r="P106" s="45">
        <f>IFERROR(__xludf.DUMMYFUNCTION("""COMPUTED_VALUE"""),44859.0)</f>
        <v>44859</v>
      </c>
      <c r="Q106" s="45">
        <f>IFERROR(__xludf.DUMMYFUNCTION("""COMPUTED_VALUE"""),44817.0)</f>
        <v>44817</v>
      </c>
      <c r="R106" s="45">
        <f>IFERROR(__xludf.DUMMYFUNCTION("""COMPUTED_VALUE"""),44856.0)</f>
        <v>44856</v>
      </c>
      <c r="S106" s="43"/>
      <c r="T106" s="43"/>
      <c r="U106" s="43" t="str">
        <f>IFERROR(__xludf.DUMMYFUNCTION("""COMPUTED_VALUE"""),"Global Classroom")</f>
        <v>Global Classroom</v>
      </c>
      <c r="V106" s="43" t="str">
        <f>IFERROR(__xludf.DUMMYFUNCTION("""COMPUTED_VALUE"""),"-")</f>
        <v>-</v>
      </c>
      <c r="W106" s="43" t="str">
        <f>IFERROR(__xludf.DUMMYFUNCTION("""COMPUTED_VALUE"""),"2021-09-28T19:15:28Z")</f>
        <v>2021-09-28T19:15:28Z</v>
      </c>
      <c r="X106" s="43"/>
      <c r="Y106" s="43"/>
      <c r="Z106" s="43"/>
    </row>
    <row r="107" hidden="1">
      <c r="A107" s="43" t="str">
        <f>IFERROR(__xludf.DUMMYFUNCTION("""COMPUTED_VALUE"""),"5099299_1288989")</f>
        <v>5099299_1288989</v>
      </c>
      <c r="B107" s="43" t="str">
        <f>IFERROR(__xludf.DUMMYFUNCTION("""COMPUTED_VALUE"""),"Amal Krayem")</f>
        <v>Amal Krayem</v>
      </c>
      <c r="C107" s="43" t="str">
        <f>IFERROR(__xludf.DUMMYFUNCTION("""COMPUTED_VALUE"""),"completed")</f>
        <v>completed</v>
      </c>
      <c r="D107" s="43" t="str">
        <f>IFERROR(__xludf.DUMMYFUNCTION("""COMPUTED_VALUE"""),"No")</f>
        <v>No</v>
      </c>
      <c r="E107" s="43" t="str">
        <f>IFERROR(__xludf.DUMMYFUNCTION("""COMPUTED_VALUE"""),"p_da1e500a77c9785a145c969bed217f3188733a7f@inbound.aiesec.org")</f>
        <v>p_da1e500a77c9785a145c969bed217f3188733a7f@inbound.aiesec.org</v>
      </c>
      <c r="F107" s="43">
        <f>IFERROR(__xludf.DUMMYFUNCTION("""COMPUTED_VALUE"""),2.8072199E7)</f>
        <v>28072199</v>
      </c>
      <c r="G107" s="43" t="str">
        <f>IFERROR(__xludf.DUMMYFUNCTION("""COMPUTED_VALUE"""),"Tunisia")</f>
        <v>Tunisia</v>
      </c>
      <c r="H107" s="43" t="str">
        <f>IFERROR(__xludf.DUMMYFUNCTION("""COMPUTED_VALUE"""),"Tacapes")</f>
        <v>Tacapes</v>
      </c>
      <c r="I107" s="43" t="str">
        <f>IFERROR(__xludf.DUMMYFUNCTION("""COMPUTED_VALUE"""),"Turkey")</f>
        <v>Turkey</v>
      </c>
      <c r="J107" s="43" t="str">
        <f>IFERROR(__xludf.DUMMYFUNCTION("""COMPUTED_VALUE"""),"KUTAHYA")</f>
        <v>KUTAHYA</v>
      </c>
      <c r="K107" s="44" t="str">
        <f>IFERROR(__xludf.DUMMYFUNCTION("""COMPUTED_VALUE"""),"https://expa.aiesec.org/opportunities/1288989")</f>
        <v>https://expa.aiesec.org/opportunities/1288989</v>
      </c>
      <c r="L107" s="43" t="str">
        <f>IFERROR(__xludf.DUMMYFUNCTION("""COMPUTED_VALUE"""),"GV")</f>
        <v>GV</v>
      </c>
      <c r="M107" s="43" t="str">
        <f>IFERROR(__xludf.DUMMYFUNCTION("""COMPUTED_VALUE"""),"short")</f>
        <v>short</v>
      </c>
      <c r="N107" s="45">
        <f>IFERROR(__xludf.DUMMYFUNCTION("""COMPUTED_VALUE"""),44802.0)</f>
        <v>44802</v>
      </c>
      <c r="O107" s="45">
        <f>IFERROR(__xludf.DUMMYFUNCTION("""COMPUTED_VALUE"""),44823.0)</f>
        <v>44823</v>
      </c>
      <c r="P107" s="45">
        <f>IFERROR(__xludf.DUMMYFUNCTION("""COMPUTED_VALUE"""),44865.0)</f>
        <v>44865</v>
      </c>
      <c r="Q107" s="45">
        <f>IFERROR(__xludf.DUMMYFUNCTION("""COMPUTED_VALUE"""),44827.0)</f>
        <v>44827</v>
      </c>
      <c r="R107" s="45">
        <f>IFERROR(__xludf.DUMMYFUNCTION("""COMPUTED_VALUE"""),44861.0)</f>
        <v>44861</v>
      </c>
      <c r="S107" s="43"/>
      <c r="T107" s="43"/>
      <c r="U107" s="43" t="str">
        <f>IFERROR(__xludf.DUMMYFUNCTION("""COMPUTED_VALUE"""),"Green Leaders")</f>
        <v>Green Leaders</v>
      </c>
      <c r="V107" s="43" t="str">
        <f>IFERROR(__xludf.DUMMYFUNCTION("""COMPUTED_VALUE"""),"ENIG")</f>
        <v>ENIG</v>
      </c>
      <c r="W107" s="43" t="str">
        <f>IFERROR(__xludf.DUMMYFUNCTION("""COMPUTED_VALUE"""),"2022-08-25T11:54:59Z")</f>
        <v>2022-08-25T11:54:59Z</v>
      </c>
      <c r="X107" s="43"/>
      <c r="Y107" s="43"/>
      <c r="Z107" s="43"/>
    </row>
    <row r="108" hidden="1">
      <c r="A108" s="43" t="str">
        <f>IFERROR(__xludf.DUMMYFUNCTION("""COMPUTED_VALUE"""),"5095033_1288995")</f>
        <v>5095033_1288995</v>
      </c>
      <c r="B108" s="43" t="str">
        <f>IFERROR(__xludf.DUMMYFUNCTION("""COMPUTED_VALUE"""),"Eleftheria Litsardaki")</f>
        <v>Eleftheria Litsardaki</v>
      </c>
      <c r="C108" s="43" t="str">
        <f>IFERROR(__xludf.DUMMYFUNCTION("""COMPUTED_VALUE"""),"finished")</f>
        <v>finished</v>
      </c>
      <c r="D108" s="43" t="str">
        <f>IFERROR(__xludf.DUMMYFUNCTION("""COMPUTED_VALUE"""),"No")</f>
        <v>No</v>
      </c>
      <c r="E108" s="43" t="str">
        <f>IFERROR(__xludf.DUMMYFUNCTION("""COMPUTED_VALUE"""),"p_d5c7062ca00120c3bb5c44120b110f0e274d7c5a@inbound.aiesec.org")</f>
        <v>p_d5c7062ca00120c3bb5c44120b110f0e274d7c5a@inbound.aiesec.org</v>
      </c>
      <c r="F108" s="43">
        <f>IFERROR(__xludf.DUMMYFUNCTION("""COMPUTED_VALUE"""),6.942779538E9)</f>
        <v>6942779538</v>
      </c>
      <c r="G108" s="43" t="str">
        <f>IFERROR(__xludf.DUMMYFUNCTION("""COMPUTED_VALUE"""),"Greece")</f>
        <v>Greece</v>
      </c>
      <c r="H108" s="43" t="str">
        <f>IFERROR(__xludf.DUMMYFUNCTION("""COMPUTED_VALUE"""),"UoM THESSALONIKI")</f>
        <v>UoM THESSALONIKI</v>
      </c>
      <c r="I108" s="43" t="str">
        <f>IFERROR(__xludf.DUMMYFUNCTION("""COMPUTED_VALUE"""),"Turkey")</f>
        <v>Turkey</v>
      </c>
      <c r="J108" s="43" t="str">
        <f>IFERROR(__xludf.DUMMYFUNCTION("""COMPUTED_VALUE"""),"ISTANBUL WEST")</f>
        <v>ISTANBUL WEST</v>
      </c>
      <c r="K108" s="44" t="str">
        <f>IFERROR(__xludf.DUMMYFUNCTION("""COMPUTED_VALUE"""),"https://expa.aiesec.org/opportunities/1288995")</f>
        <v>https://expa.aiesec.org/opportunities/1288995</v>
      </c>
      <c r="L108" s="43" t="str">
        <f>IFERROR(__xludf.DUMMYFUNCTION("""COMPUTED_VALUE"""),"GV")</f>
        <v>GV</v>
      </c>
      <c r="M108" s="43" t="str">
        <f>IFERROR(__xludf.DUMMYFUNCTION("""COMPUTED_VALUE"""),"short")</f>
        <v>short</v>
      </c>
      <c r="N108" s="45">
        <f>IFERROR(__xludf.DUMMYFUNCTION("""COMPUTED_VALUE"""),44802.0)</f>
        <v>44802</v>
      </c>
      <c r="O108" s="45">
        <f>IFERROR(__xludf.DUMMYFUNCTION("""COMPUTED_VALUE"""),44837.0)</f>
        <v>44837</v>
      </c>
      <c r="P108" s="45">
        <f>IFERROR(__xludf.DUMMYFUNCTION("""COMPUTED_VALUE"""),44879.0)</f>
        <v>44879</v>
      </c>
      <c r="Q108" s="45">
        <f>IFERROR(__xludf.DUMMYFUNCTION("""COMPUTED_VALUE"""),44868.0)</f>
        <v>44868</v>
      </c>
      <c r="R108" s="45">
        <f>IFERROR(__xludf.DUMMYFUNCTION("""COMPUTED_VALUE"""),44910.0)</f>
        <v>44910</v>
      </c>
      <c r="S108" s="43"/>
      <c r="T108" s="43"/>
      <c r="U108" s="43" t="str">
        <f>IFERROR(__xludf.DUMMYFUNCTION("""COMPUTED_VALUE"""),"Global Classroom")</f>
        <v>Global Classroom</v>
      </c>
      <c r="V108" s="43" t="str">
        <f>IFERROR(__xludf.DUMMYFUNCTION("""COMPUTED_VALUE"""),"INTERNATIONAL HELLENIC UNIVERSITY")</f>
        <v>INTERNATIONAL HELLENIC UNIVERSITY</v>
      </c>
      <c r="W108" s="43" t="str">
        <f>IFERROR(__xludf.DUMMYFUNCTION("""COMPUTED_VALUE"""),"2022-08-18T13:03:44Z")</f>
        <v>2022-08-18T13:03:44Z</v>
      </c>
      <c r="X108" s="43"/>
      <c r="Y108" s="43"/>
      <c r="Z108" s="43"/>
    </row>
    <row r="109" hidden="1">
      <c r="A109" s="43" t="str">
        <f>IFERROR(__xludf.DUMMYFUNCTION("""COMPUTED_VALUE"""),"5095286_1288989")</f>
        <v>5095286_1288989</v>
      </c>
      <c r="B109" s="43" t="str">
        <f>IFERROR(__xludf.DUMMYFUNCTION("""COMPUTED_VALUE"""),"Asma Krayem")</f>
        <v>Asma Krayem</v>
      </c>
      <c r="C109" s="43" t="str">
        <f>IFERROR(__xludf.DUMMYFUNCTION("""COMPUTED_VALUE"""),"completed")</f>
        <v>completed</v>
      </c>
      <c r="D109" s="43" t="str">
        <f>IFERROR(__xludf.DUMMYFUNCTION("""COMPUTED_VALUE"""),"No")</f>
        <v>No</v>
      </c>
      <c r="E109" s="43" t="str">
        <f>IFERROR(__xludf.DUMMYFUNCTION("""COMPUTED_VALUE"""),"p_a4d35ca6517523159f7e9efd39112d1c1270e878@inbound.aiesec.org")</f>
        <v>p_a4d35ca6517523159f7e9efd39112d1c1270e878@inbound.aiesec.org</v>
      </c>
      <c r="F109" s="43">
        <f>IFERROR(__xludf.DUMMYFUNCTION("""COMPUTED_VALUE"""),2.0946364E7)</f>
        <v>20946364</v>
      </c>
      <c r="G109" s="43" t="str">
        <f>IFERROR(__xludf.DUMMYFUNCTION("""COMPUTED_VALUE"""),"Tunisia")</f>
        <v>Tunisia</v>
      </c>
      <c r="H109" s="43" t="str">
        <f>IFERROR(__xludf.DUMMYFUNCTION("""COMPUTED_VALUE"""),"Tacapes")</f>
        <v>Tacapes</v>
      </c>
      <c r="I109" s="43" t="str">
        <f>IFERROR(__xludf.DUMMYFUNCTION("""COMPUTED_VALUE"""),"Turkey")</f>
        <v>Turkey</v>
      </c>
      <c r="J109" s="43" t="str">
        <f>IFERROR(__xludf.DUMMYFUNCTION("""COMPUTED_VALUE"""),"KUTAHYA")</f>
        <v>KUTAHYA</v>
      </c>
      <c r="K109" s="44" t="str">
        <f>IFERROR(__xludf.DUMMYFUNCTION("""COMPUTED_VALUE"""),"https://expa.aiesec.org/opportunities/1288989")</f>
        <v>https://expa.aiesec.org/opportunities/1288989</v>
      </c>
      <c r="L109" s="43" t="str">
        <f>IFERROR(__xludf.DUMMYFUNCTION("""COMPUTED_VALUE"""),"GV")</f>
        <v>GV</v>
      </c>
      <c r="M109" s="43" t="str">
        <f>IFERROR(__xludf.DUMMYFUNCTION("""COMPUTED_VALUE"""),"short")</f>
        <v>short</v>
      </c>
      <c r="N109" s="45">
        <f>IFERROR(__xludf.DUMMYFUNCTION("""COMPUTED_VALUE"""),44802.0)</f>
        <v>44802</v>
      </c>
      <c r="O109" s="45">
        <f>IFERROR(__xludf.DUMMYFUNCTION("""COMPUTED_VALUE"""),44823.0)</f>
        <v>44823</v>
      </c>
      <c r="P109" s="45">
        <f>IFERROR(__xludf.DUMMYFUNCTION("""COMPUTED_VALUE"""),44865.0)</f>
        <v>44865</v>
      </c>
      <c r="Q109" s="45">
        <f>IFERROR(__xludf.DUMMYFUNCTION("""COMPUTED_VALUE"""),44827.0)</f>
        <v>44827</v>
      </c>
      <c r="R109" s="45">
        <f>IFERROR(__xludf.DUMMYFUNCTION("""COMPUTED_VALUE"""),44862.0)</f>
        <v>44862</v>
      </c>
      <c r="S109" s="43"/>
      <c r="T109" s="43"/>
      <c r="U109" s="43" t="str">
        <f>IFERROR(__xludf.DUMMYFUNCTION("""COMPUTED_VALUE"""),"Green Leaders")</f>
        <v>Green Leaders</v>
      </c>
      <c r="V109" s="43" t="str">
        <f>IFERROR(__xludf.DUMMYFUNCTION("""COMPUTED_VALUE"""),"ISG Gabes")</f>
        <v>ISG Gabes</v>
      </c>
      <c r="W109" s="43" t="str">
        <f>IFERROR(__xludf.DUMMYFUNCTION("""COMPUTED_VALUE"""),"2022-08-18T20:31:57Z")</f>
        <v>2022-08-18T20:31:57Z</v>
      </c>
      <c r="X109" s="43"/>
      <c r="Y109" s="43"/>
      <c r="Z109" s="43"/>
    </row>
    <row r="110" hidden="1">
      <c r="A110" s="43" t="str">
        <f>IFERROR(__xludf.DUMMYFUNCTION("""COMPUTED_VALUE"""),"4863492_1279516")</f>
        <v>4863492_1279516</v>
      </c>
      <c r="B110" s="43" t="str">
        <f>IFERROR(__xludf.DUMMYFUNCTION("""COMPUTED_VALUE"""),"Faten Helmi")</f>
        <v>Faten Helmi</v>
      </c>
      <c r="C110" s="43" t="str">
        <f>IFERROR(__xludf.DUMMYFUNCTION("""COMPUTED_VALUE"""),"finished")</f>
        <v>finished</v>
      </c>
      <c r="D110" s="43" t="str">
        <f>IFERROR(__xludf.DUMMYFUNCTION("""COMPUTED_VALUE"""),"No")</f>
        <v>No</v>
      </c>
      <c r="E110" s="43" t="str">
        <f>IFERROR(__xludf.DUMMYFUNCTION("""COMPUTED_VALUE"""),"p_1ebe547b5625211c91b7574d718dea3b493953e7@inbound.aiesec.org")</f>
        <v>p_1ebe547b5625211c91b7574d718dea3b493953e7@inbound.aiesec.org</v>
      </c>
      <c r="F110" s="43">
        <f>IFERROR(__xludf.DUMMYFUNCTION("""COMPUTED_VALUE"""),2.0026222E7)</f>
        <v>20026222</v>
      </c>
      <c r="G110" s="43" t="str">
        <f>IFERROR(__xludf.DUMMYFUNCTION("""COMPUTED_VALUE"""),"Tunisia")</f>
        <v>Tunisia</v>
      </c>
      <c r="H110" s="43" t="str">
        <f>IFERROR(__xludf.DUMMYFUNCTION("""COMPUTED_VALUE"""),"Tacapes")</f>
        <v>Tacapes</v>
      </c>
      <c r="I110" s="43" t="str">
        <f>IFERROR(__xludf.DUMMYFUNCTION("""COMPUTED_VALUE"""),"Turkey")</f>
        <v>Turkey</v>
      </c>
      <c r="J110" s="43" t="str">
        <f>IFERROR(__xludf.DUMMYFUNCTION("""COMPUTED_VALUE"""),"KOCAELI")</f>
        <v>KOCAELI</v>
      </c>
      <c r="K110" s="44" t="str">
        <f>IFERROR(__xludf.DUMMYFUNCTION("""COMPUTED_VALUE"""),"https://expa.aiesec.org/opportunities/1279516")</f>
        <v>https://expa.aiesec.org/opportunities/1279516</v>
      </c>
      <c r="L110" s="43" t="str">
        <f>IFERROR(__xludf.DUMMYFUNCTION("""COMPUTED_VALUE"""),"GV")</f>
        <v>GV</v>
      </c>
      <c r="M110" s="43" t="str">
        <f>IFERROR(__xludf.DUMMYFUNCTION("""COMPUTED_VALUE"""),"short")</f>
        <v>short</v>
      </c>
      <c r="N110" s="45">
        <f>IFERROR(__xludf.DUMMYFUNCTION("""COMPUTED_VALUE"""),44802.0)</f>
        <v>44802</v>
      </c>
      <c r="O110" s="45">
        <f>IFERROR(__xludf.DUMMYFUNCTION("""COMPUTED_VALUE"""),44823.0)</f>
        <v>44823</v>
      </c>
      <c r="P110" s="45">
        <f>IFERROR(__xludf.DUMMYFUNCTION("""COMPUTED_VALUE"""),44865.0)</f>
        <v>44865</v>
      </c>
      <c r="Q110" s="45">
        <f>IFERROR(__xludf.DUMMYFUNCTION("""COMPUTED_VALUE"""),44859.0)</f>
        <v>44859</v>
      </c>
      <c r="R110" s="45">
        <f>IFERROR(__xludf.DUMMYFUNCTION("""COMPUTED_VALUE"""),44898.0)</f>
        <v>44898</v>
      </c>
      <c r="S110" s="43"/>
      <c r="T110" s="43"/>
      <c r="U110" s="43" t="str">
        <f>IFERROR(__xludf.DUMMYFUNCTION("""COMPUTED_VALUE"""),"Global Classroom")</f>
        <v>Global Classroom</v>
      </c>
      <c r="V110" s="43" t="str">
        <f>IFERROR(__xludf.DUMMYFUNCTION("""COMPUTED_VALUE"""),"ESSAT GABES")</f>
        <v>ESSAT GABES</v>
      </c>
      <c r="W110" s="43" t="str">
        <f>IFERROR(__xludf.DUMMYFUNCTION("""COMPUTED_VALUE"""),"2022-01-02T02:19:00Z")</f>
        <v>2022-01-02T02:19:00Z</v>
      </c>
      <c r="X110" s="43"/>
      <c r="Y110" s="43"/>
      <c r="Z110" s="43"/>
    </row>
    <row r="111" hidden="1">
      <c r="A111" s="43" t="str">
        <f>IFERROR(__xludf.DUMMYFUNCTION("""COMPUTED_VALUE"""),"5077400_1288916")</f>
        <v>5077400_1288916</v>
      </c>
      <c r="B111" s="43" t="str">
        <f>IFERROR(__xludf.DUMMYFUNCTION("""COMPUTED_VALUE"""),"Khulud Nurani")</f>
        <v>Khulud Nurani</v>
      </c>
      <c r="C111" s="43" t="str">
        <f>IFERROR(__xludf.DUMMYFUNCTION("""COMPUTED_VALUE"""),"finished")</f>
        <v>finished</v>
      </c>
      <c r="D111" s="43" t="str">
        <f>IFERROR(__xludf.DUMMYFUNCTION("""COMPUTED_VALUE"""),"No")</f>
        <v>No</v>
      </c>
      <c r="E111" s="43" t="str">
        <f>IFERROR(__xludf.DUMMYFUNCTION("""COMPUTED_VALUE"""),"p_a7af176186dcec77bcf13d15eb62d5834439411e@inbound.aiesec.org")</f>
        <v>p_a7af176186dcec77bcf13d15eb62d5834439411e@inbound.aiesec.org</v>
      </c>
      <c r="F111" s="43">
        <f>IFERROR(__xludf.DUMMYFUNCTION("""COMPUTED_VALUE"""),7.00075019E8)</f>
        <v>700075019</v>
      </c>
      <c r="G111" s="43" t="str">
        <f>IFERROR(__xludf.DUMMYFUNCTION("""COMPUTED_VALUE"""),"Kenya")</f>
        <v>Kenya</v>
      </c>
      <c r="H111" s="43" t="str">
        <f>IFERROR(__xludf.DUMMYFUNCTION("""COMPUTED_VALUE"""),"UoN")</f>
        <v>UoN</v>
      </c>
      <c r="I111" s="43" t="str">
        <f>IFERROR(__xludf.DUMMYFUNCTION("""COMPUTED_VALUE"""),"Turkey")</f>
        <v>Turkey</v>
      </c>
      <c r="J111" s="43" t="str">
        <f>IFERROR(__xludf.DUMMYFUNCTION("""COMPUTED_VALUE"""),"KOCAELI")</f>
        <v>KOCAELI</v>
      </c>
      <c r="K111" s="44" t="str">
        <f>IFERROR(__xludf.DUMMYFUNCTION("""COMPUTED_VALUE"""),"https://expa.aiesec.org/opportunities/1288916")</f>
        <v>https://expa.aiesec.org/opportunities/1288916</v>
      </c>
      <c r="L111" s="43" t="str">
        <f>IFERROR(__xludf.DUMMYFUNCTION("""COMPUTED_VALUE"""),"GV")</f>
        <v>GV</v>
      </c>
      <c r="M111" s="43" t="str">
        <f>IFERROR(__xludf.DUMMYFUNCTION("""COMPUTED_VALUE"""),"short")</f>
        <v>short</v>
      </c>
      <c r="N111" s="45">
        <f>IFERROR(__xludf.DUMMYFUNCTION("""COMPUTED_VALUE"""),44803.0)</f>
        <v>44803</v>
      </c>
      <c r="O111" s="45">
        <f>IFERROR(__xludf.DUMMYFUNCTION("""COMPUTED_VALUE"""),44851.0)</f>
        <v>44851</v>
      </c>
      <c r="P111" s="45">
        <f>IFERROR(__xludf.DUMMYFUNCTION("""COMPUTED_VALUE"""),44893.0)</f>
        <v>44893</v>
      </c>
      <c r="Q111" s="45">
        <f>IFERROR(__xludf.DUMMYFUNCTION("""COMPUTED_VALUE"""),44870.0)</f>
        <v>44870</v>
      </c>
      <c r="R111" s="45">
        <f>IFERROR(__xludf.DUMMYFUNCTION("""COMPUTED_VALUE"""),44905.0)</f>
        <v>44905</v>
      </c>
      <c r="S111" s="43"/>
      <c r="T111" s="43"/>
      <c r="U111" s="43" t="str">
        <f>IFERROR(__xludf.DUMMYFUNCTION("""COMPUTED_VALUE"""),"Heartbeat")</f>
        <v>Heartbeat</v>
      </c>
      <c r="V111" s="43" t="str">
        <f>IFERROR(__xludf.DUMMYFUNCTION("""COMPUTED_VALUE"""),"University of Nairobi")</f>
        <v>University of Nairobi</v>
      </c>
      <c r="W111" s="43" t="str">
        <f>IFERROR(__xludf.DUMMYFUNCTION("""COMPUTED_VALUE"""),"2022-06-28T08:18:05Z")</f>
        <v>2022-06-28T08:18:05Z</v>
      </c>
      <c r="X111" s="43"/>
      <c r="Y111" s="43"/>
      <c r="Z111" s="43"/>
    </row>
    <row r="112">
      <c r="A112" s="43" t="str">
        <f>IFERROR(__xludf.DUMMYFUNCTION("""COMPUTED_VALUE"""),"5094398_1289016")</f>
        <v>5094398_1289016</v>
      </c>
      <c r="B112" s="43" t="str">
        <f>IFERROR(__xludf.DUMMYFUNCTION("""COMPUTED_VALUE"""),"Eranga Bowatte")</f>
        <v>Eranga Bowatte</v>
      </c>
      <c r="C112" s="43" t="str">
        <f>IFERROR(__xludf.DUMMYFUNCTION("""COMPUTED_VALUE"""),"approved")</f>
        <v>approved</v>
      </c>
      <c r="D112" s="43" t="str">
        <f>IFERROR(__xludf.DUMMYFUNCTION("""COMPUTED_VALUE"""),"No")</f>
        <v>No</v>
      </c>
      <c r="E112" s="43" t="str">
        <f>IFERROR(__xludf.DUMMYFUNCTION("""COMPUTED_VALUE"""),"p_fbb20fdc68db522fab411da2e1e38b17a08207ae@inbound.aiesec.org")</f>
        <v>p_fbb20fdc68db522fab411da2e1e38b17a08207ae@inbound.aiesec.org</v>
      </c>
      <c r="F112" s="43">
        <f>IFERROR(__xludf.DUMMYFUNCTION("""COMPUTED_VALUE"""),7.65900817E8)</f>
        <v>765900817</v>
      </c>
      <c r="G112" s="43" t="str">
        <f>IFERROR(__xludf.DUMMYFUNCTION("""COMPUTED_VALUE"""),"Sri Lanka")</f>
        <v>Sri Lanka</v>
      </c>
      <c r="H112" s="43" t="str">
        <f>IFERROR(__xludf.DUMMYFUNCTION("""COMPUTED_VALUE"""),"SLIIT")</f>
        <v>SLIIT</v>
      </c>
      <c r="I112" s="43" t="str">
        <f>IFERROR(__xludf.DUMMYFUNCTION("""COMPUTED_VALUE"""),"Turkey")</f>
        <v>Turkey</v>
      </c>
      <c r="J112" s="43" t="str">
        <f>IFERROR(__xludf.DUMMYFUNCTION("""COMPUTED_VALUE"""),"KUTAHYA")</f>
        <v>KUTAHYA</v>
      </c>
      <c r="K112" s="44" t="str">
        <f>IFERROR(__xludf.DUMMYFUNCTION("""COMPUTED_VALUE"""),"https://expa.aiesec.org/opportunities/1289016")</f>
        <v>https://expa.aiesec.org/opportunities/1289016</v>
      </c>
      <c r="L112" s="43" t="str">
        <f>IFERROR(__xludf.DUMMYFUNCTION("""COMPUTED_VALUE"""),"GV")</f>
        <v>GV</v>
      </c>
      <c r="M112" s="43" t="str">
        <f>IFERROR(__xludf.DUMMYFUNCTION("""COMPUTED_VALUE"""),"short")</f>
        <v>short</v>
      </c>
      <c r="N112" s="45">
        <f>IFERROR(__xludf.DUMMYFUNCTION("""COMPUTED_VALUE"""),44806.0)</f>
        <v>44806</v>
      </c>
      <c r="O112" s="45">
        <f>IFERROR(__xludf.DUMMYFUNCTION("""COMPUTED_VALUE"""),44924.0)</f>
        <v>44924</v>
      </c>
      <c r="P112" s="45">
        <f>IFERROR(__xludf.DUMMYFUNCTION("""COMPUTED_VALUE"""),44966.0)</f>
        <v>44966</v>
      </c>
      <c r="Q112" s="45"/>
      <c r="R112" s="45"/>
      <c r="S112" s="43"/>
      <c r="T112" s="43"/>
      <c r="U112" s="43" t="str">
        <f>IFERROR(__xludf.DUMMYFUNCTION("""COMPUTED_VALUE"""),"Global Classroom")</f>
        <v>Global Classroom</v>
      </c>
      <c r="V112" s="43" t="str">
        <f>IFERROR(__xludf.DUMMYFUNCTION("""COMPUTED_VALUE"""),"SLIIT")</f>
        <v>SLIIT</v>
      </c>
      <c r="W112" s="43" t="str">
        <f>IFERROR(__xludf.DUMMYFUNCTION("""COMPUTED_VALUE"""),"2022-08-17T12:03:00Z")</f>
        <v>2022-08-17T12:03:00Z</v>
      </c>
      <c r="X112" s="43"/>
      <c r="Y112" s="43"/>
      <c r="Z112" s="43"/>
    </row>
    <row r="113" hidden="1">
      <c r="A113" s="43" t="str">
        <f>IFERROR(__xludf.DUMMYFUNCTION("""COMPUTED_VALUE"""),"5097064_1288663")</f>
        <v>5097064_1288663</v>
      </c>
      <c r="B113" s="43" t="str">
        <f>IFERROR(__xludf.DUMMYFUNCTION("""COMPUTED_VALUE"""),"MADHUPRIYA C N")</f>
        <v>MADHUPRIYA C N</v>
      </c>
      <c r="C113" s="43" t="str">
        <f>IFERROR(__xludf.DUMMYFUNCTION("""COMPUTED_VALUE"""),"completed")</f>
        <v>completed</v>
      </c>
      <c r="D113" s="43" t="str">
        <f>IFERROR(__xludf.DUMMYFUNCTION("""COMPUTED_VALUE"""),"No")</f>
        <v>No</v>
      </c>
      <c r="E113" s="43" t="str">
        <f>IFERROR(__xludf.DUMMYFUNCTION("""COMPUTED_VALUE"""),"p_9c47fd75ff3366b9dcaedec6ce65d8933722796b@inbound.aiesec.org")</f>
        <v>p_9c47fd75ff3366b9dcaedec6ce65d8933722796b@inbound.aiesec.org</v>
      </c>
      <c r="F113" s="43"/>
      <c r="G113" s="43" t="str">
        <f>IFERROR(__xludf.DUMMYFUNCTION("""COMPUTED_VALUE"""),"India")</f>
        <v>India</v>
      </c>
      <c r="H113" s="43" t="str">
        <f>IFERROR(__xludf.DUMMYFUNCTION("""COMPUTED_VALUE"""),"Bengaluru")</f>
        <v>Bengaluru</v>
      </c>
      <c r="I113" s="43" t="str">
        <f>IFERROR(__xludf.DUMMYFUNCTION("""COMPUTED_VALUE"""),"Turkey")</f>
        <v>Turkey</v>
      </c>
      <c r="J113" s="43" t="str">
        <f>IFERROR(__xludf.DUMMYFUNCTION("""COMPUTED_VALUE"""),"İZMİR")</f>
        <v>İZMİR</v>
      </c>
      <c r="K113" s="44" t="str">
        <f>IFERROR(__xludf.DUMMYFUNCTION("""COMPUTED_VALUE"""),"https://expa.aiesec.org/opportunities/1288663")</f>
        <v>https://expa.aiesec.org/opportunities/1288663</v>
      </c>
      <c r="L113" s="43" t="str">
        <f>IFERROR(__xludf.DUMMYFUNCTION("""COMPUTED_VALUE"""),"GV")</f>
        <v>GV</v>
      </c>
      <c r="M113" s="43" t="str">
        <f>IFERROR(__xludf.DUMMYFUNCTION("""COMPUTED_VALUE"""),"short")</f>
        <v>short</v>
      </c>
      <c r="N113" s="45">
        <f>IFERROR(__xludf.DUMMYFUNCTION("""COMPUTED_VALUE"""),44807.0)</f>
        <v>44807</v>
      </c>
      <c r="O113" s="45">
        <f>IFERROR(__xludf.DUMMYFUNCTION("""COMPUTED_VALUE"""),44857.0)</f>
        <v>44857</v>
      </c>
      <c r="P113" s="45">
        <f>IFERROR(__xludf.DUMMYFUNCTION("""COMPUTED_VALUE"""),44899.0)</f>
        <v>44899</v>
      </c>
      <c r="Q113" s="45">
        <f>IFERROR(__xludf.DUMMYFUNCTION("""COMPUTED_VALUE"""),44868.0)</f>
        <v>44868</v>
      </c>
      <c r="R113" s="45">
        <f>IFERROR(__xludf.DUMMYFUNCTION("""COMPUTED_VALUE"""),44911.0)</f>
        <v>44911</v>
      </c>
      <c r="S113" s="43"/>
      <c r="T113" s="43"/>
      <c r="U113" s="43" t="str">
        <f>IFERROR(__xludf.DUMMYFUNCTION("""COMPUTED_VALUE"""),"Global Classroom")</f>
        <v>Global Classroom</v>
      </c>
      <c r="V113" s="43" t="str">
        <f>IFERROR(__xludf.DUMMYFUNCTION("""COMPUTED_VALUE"""),"-")</f>
        <v>-</v>
      </c>
      <c r="W113" s="43" t="str">
        <f>IFERROR(__xludf.DUMMYFUNCTION("""COMPUTED_VALUE"""),"2022-08-22T04:10:06Z")</f>
        <v>2022-08-22T04:10:06Z</v>
      </c>
      <c r="X113" s="43"/>
      <c r="Y113" s="43"/>
      <c r="Z113" s="43"/>
    </row>
    <row r="114" hidden="1">
      <c r="A114" s="43" t="str">
        <f>IFERROR(__xludf.DUMMYFUNCTION("""COMPUTED_VALUE"""),"5104417_1288991")</f>
        <v>5104417_1288991</v>
      </c>
      <c r="B114" s="43" t="str">
        <f>IFERROR(__xludf.DUMMYFUNCTION("""COMPUTED_VALUE"""),"Farha Elsafy")</f>
        <v>Farha Elsafy</v>
      </c>
      <c r="C114" s="43" t="str">
        <f>IFERROR(__xludf.DUMMYFUNCTION("""COMPUTED_VALUE"""),"completed")</f>
        <v>completed</v>
      </c>
      <c r="D114" s="43" t="str">
        <f>IFERROR(__xludf.DUMMYFUNCTION("""COMPUTED_VALUE"""),"No")</f>
        <v>No</v>
      </c>
      <c r="E114" s="43" t="str">
        <f>IFERROR(__xludf.DUMMYFUNCTION("""COMPUTED_VALUE"""),"p_411016031e0062d1a6280160ae59b0d93003d943@inbound.aiesec.org")</f>
        <v>p_411016031e0062d1a6280160ae59b0d93003d943@inbound.aiesec.org</v>
      </c>
      <c r="F114" s="43">
        <f>IFERROR(__xludf.DUMMYFUNCTION("""COMPUTED_VALUE"""),1.211311115E9)</f>
        <v>1211311115</v>
      </c>
      <c r="G114" s="43" t="str">
        <f>IFERROR(__xludf.DUMMYFUNCTION("""COMPUTED_VALUE"""),"Egypt")</f>
        <v>Egypt</v>
      </c>
      <c r="H114" s="43" t="str">
        <f>IFERROR(__xludf.DUMMYFUNCTION("""COMPUTED_VALUE"""),"AAST Alexandria")</f>
        <v>AAST Alexandria</v>
      </c>
      <c r="I114" s="43" t="str">
        <f>IFERROR(__xludf.DUMMYFUNCTION("""COMPUTED_VALUE"""),"Turkey")</f>
        <v>Turkey</v>
      </c>
      <c r="J114" s="43" t="str">
        <f>IFERROR(__xludf.DUMMYFUNCTION("""COMPUTED_VALUE"""),"ANKARA")</f>
        <v>ANKARA</v>
      </c>
      <c r="K114" s="44" t="str">
        <f>IFERROR(__xludf.DUMMYFUNCTION("""COMPUTED_VALUE"""),"https://expa.aiesec.org/opportunities/1288991")</f>
        <v>https://expa.aiesec.org/opportunities/1288991</v>
      </c>
      <c r="L114" s="43" t="str">
        <f>IFERROR(__xludf.DUMMYFUNCTION("""COMPUTED_VALUE"""),"GV")</f>
        <v>GV</v>
      </c>
      <c r="M114" s="43" t="str">
        <f>IFERROR(__xludf.DUMMYFUNCTION("""COMPUTED_VALUE"""),"short")</f>
        <v>short</v>
      </c>
      <c r="N114" s="45">
        <f>IFERROR(__xludf.DUMMYFUNCTION("""COMPUTED_VALUE"""),44808.0)</f>
        <v>44808</v>
      </c>
      <c r="O114" s="45">
        <f>IFERROR(__xludf.DUMMYFUNCTION("""COMPUTED_VALUE"""),44886.0)</f>
        <v>44886</v>
      </c>
      <c r="P114" s="45">
        <f>IFERROR(__xludf.DUMMYFUNCTION("""COMPUTED_VALUE"""),44928.0)</f>
        <v>44928</v>
      </c>
      <c r="Q114" s="45">
        <f>IFERROR(__xludf.DUMMYFUNCTION("""COMPUTED_VALUE"""),44908.0)</f>
        <v>44908</v>
      </c>
      <c r="R114" s="45">
        <f>IFERROR(__xludf.DUMMYFUNCTION("""COMPUTED_VALUE"""),44950.0)</f>
        <v>44950</v>
      </c>
      <c r="S114" s="43"/>
      <c r="T114" s="43"/>
      <c r="U114" s="43" t="str">
        <f>IFERROR(__xludf.DUMMYFUNCTION("""COMPUTED_VALUE"""),"Green Leaders")</f>
        <v>Green Leaders</v>
      </c>
      <c r="V114" s="43" t="str">
        <f>IFERROR(__xludf.DUMMYFUNCTION("""COMPUTED_VALUE"""),"AAST in Alexandria")</f>
        <v>AAST in Alexandria</v>
      </c>
      <c r="W114" s="43" t="str">
        <f>IFERROR(__xludf.DUMMYFUNCTION("""COMPUTED_VALUE"""),"2022-09-02T17:05:14Z")</f>
        <v>2022-09-02T17:05:14Z</v>
      </c>
      <c r="X114" s="43"/>
      <c r="Y114" s="43"/>
      <c r="Z114" s="43"/>
    </row>
    <row r="115" hidden="1">
      <c r="A115" s="43" t="str">
        <f>IFERROR(__xludf.DUMMYFUNCTION("""COMPUTED_VALUE"""),"5101776_1289155")</f>
        <v>5101776_1289155</v>
      </c>
      <c r="B115" s="43" t="str">
        <f>IFERROR(__xludf.DUMMYFUNCTION("""COMPUTED_VALUE"""),"Șerban Barbu")</f>
        <v>Șerban Barbu</v>
      </c>
      <c r="C115" s="43" t="str">
        <f>IFERROR(__xludf.DUMMYFUNCTION("""COMPUTED_VALUE"""),"realization_broken")</f>
        <v>realization_broken</v>
      </c>
      <c r="D115" s="43" t="str">
        <f>IFERROR(__xludf.DUMMYFUNCTION("""COMPUTED_VALUE"""),"No")</f>
        <v>No</v>
      </c>
      <c r="E115" s="43" t="str">
        <f>IFERROR(__xludf.DUMMYFUNCTION("""COMPUTED_VALUE"""),"p_230feed1054eb347219ec11b3772f45461c21886@inbound.aiesec.org")</f>
        <v>p_230feed1054eb347219ec11b3772f45461c21886@inbound.aiesec.org</v>
      </c>
      <c r="F115" s="43">
        <f>IFERROR(__xludf.DUMMYFUNCTION("""COMPUTED_VALUE"""),7.70368221E8)</f>
        <v>770368221</v>
      </c>
      <c r="G115" s="43" t="str">
        <f>IFERROR(__xludf.DUMMYFUNCTION("""COMPUTED_VALUE"""),"Romania")</f>
        <v>Romania</v>
      </c>
      <c r="H115" s="43" t="str">
        <f>IFERROR(__xludf.DUMMYFUNCTION("""COMPUTED_VALUE"""),"University of Bucharest")</f>
        <v>University of Bucharest</v>
      </c>
      <c r="I115" s="43" t="str">
        <f>IFERROR(__xludf.DUMMYFUNCTION("""COMPUTED_VALUE"""),"Turkey")</f>
        <v>Turkey</v>
      </c>
      <c r="J115" s="43" t="str">
        <f>IFERROR(__xludf.DUMMYFUNCTION("""COMPUTED_VALUE"""),"KONYA")</f>
        <v>KONYA</v>
      </c>
      <c r="K115" s="44" t="str">
        <f>IFERROR(__xludf.DUMMYFUNCTION("""COMPUTED_VALUE"""),"https://expa.aiesec.org/opportunities/1289155")</f>
        <v>https://expa.aiesec.org/opportunities/1289155</v>
      </c>
      <c r="L115" s="43" t="str">
        <f>IFERROR(__xludf.DUMMYFUNCTION("""COMPUTED_VALUE"""),"GV")</f>
        <v>GV</v>
      </c>
      <c r="M115" s="43" t="str">
        <f>IFERROR(__xludf.DUMMYFUNCTION("""COMPUTED_VALUE"""),"short")</f>
        <v>short</v>
      </c>
      <c r="N115" s="45">
        <f>IFERROR(__xludf.DUMMYFUNCTION("""COMPUTED_VALUE"""),44808.0)</f>
        <v>44808</v>
      </c>
      <c r="O115" s="45">
        <f>IFERROR(__xludf.DUMMYFUNCTION("""COMPUTED_VALUE"""),45117.0)</f>
        <v>45117</v>
      </c>
      <c r="P115" s="45">
        <f>IFERROR(__xludf.DUMMYFUNCTION("""COMPUTED_VALUE"""),45159.0)</f>
        <v>45159</v>
      </c>
      <c r="Q115" s="45"/>
      <c r="R115" s="45"/>
      <c r="S115" s="43"/>
      <c r="T115" s="43"/>
      <c r="U115" s="43" t="str">
        <f>IFERROR(__xludf.DUMMYFUNCTION("""COMPUTED_VALUE"""),"Global Classroom")</f>
        <v>Global Classroom</v>
      </c>
      <c r="V115" s="43" t="str">
        <f>IFERROR(__xludf.DUMMYFUNCTION("""COMPUTED_VALUE"""),"Bucuresti")</f>
        <v>Bucuresti</v>
      </c>
      <c r="W115" s="43" t="str">
        <f>IFERROR(__xludf.DUMMYFUNCTION("""COMPUTED_VALUE"""),"2022-08-29T15:57:19Z")</f>
        <v>2022-08-29T15:57:19Z</v>
      </c>
      <c r="X115" s="43"/>
      <c r="Y115" s="43"/>
      <c r="Z115" s="43"/>
    </row>
    <row r="116" hidden="1">
      <c r="A116" s="43" t="str">
        <f>IFERROR(__xludf.DUMMYFUNCTION("""COMPUTED_VALUE"""),"5039210_1285597")</f>
        <v>5039210_1285597</v>
      </c>
      <c r="B116" s="43" t="str">
        <f>IFERROR(__xludf.DUMMYFUNCTION("""COMPUTED_VALUE"""),"Ilhem Sefi")</f>
        <v>Ilhem Sefi</v>
      </c>
      <c r="C116" s="43" t="str">
        <f>IFERROR(__xludf.DUMMYFUNCTION("""COMPUTED_VALUE"""),"completed")</f>
        <v>completed</v>
      </c>
      <c r="D116" s="43" t="str">
        <f>IFERROR(__xludf.DUMMYFUNCTION("""COMPUTED_VALUE"""),"No")</f>
        <v>No</v>
      </c>
      <c r="E116" s="43" t="str">
        <f>IFERROR(__xludf.DUMMYFUNCTION("""COMPUTED_VALUE"""),"p_faf0678034199dd20c30590af89097441eb9838f@inbound.aiesec.org")</f>
        <v>p_faf0678034199dd20c30590af89097441eb9838f@inbound.aiesec.org</v>
      </c>
      <c r="F116" s="43">
        <f>IFERROR(__xludf.DUMMYFUNCTION("""COMPUTED_VALUE"""),9.9020599E7)</f>
        <v>99020599</v>
      </c>
      <c r="G116" s="43" t="str">
        <f>IFERROR(__xludf.DUMMYFUNCTION("""COMPUTED_VALUE"""),"Tunisia")</f>
        <v>Tunisia</v>
      </c>
      <c r="H116" s="43" t="str">
        <f>IFERROR(__xludf.DUMMYFUNCTION("""COMPUTED_VALUE"""),"SFAX")</f>
        <v>SFAX</v>
      </c>
      <c r="I116" s="43" t="str">
        <f>IFERROR(__xludf.DUMMYFUNCTION("""COMPUTED_VALUE"""),"Turkey")</f>
        <v>Turkey</v>
      </c>
      <c r="J116" s="43" t="str">
        <f>IFERROR(__xludf.DUMMYFUNCTION("""COMPUTED_VALUE"""),"BURSA")</f>
        <v>BURSA</v>
      </c>
      <c r="K116" s="44" t="str">
        <f>IFERROR(__xludf.DUMMYFUNCTION("""COMPUTED_VALUE"""),"https://expa.aiesec.org/opportunities/1285597")</f>
        <v>https://expa.aiesec.org/opportunities/1285597</v>
      </c>
      <c r="L116" s="43" t="str">
        <f>IFERROR(__xludf.DUMMYFUNCTION("""COMPUTED_VALUE"""),"GV")</f>
        <v>GV</v>
      </c>
      <c r="M116" s="43" t="str">
        <f>IFERROR(__xludf.DUMMYFUNCTION("""COMPUTED_VALUE"""),"short")</f>
        <v>short</v>
      </c>
      <c r="N116" s="45">
        <f>IFERROR(__xludf.DUMMYFUNCTION("""COMPUTED_VALUE"""),44809.0)</f>
        <v>44809</v>
      </c>
      <c r="O116" s="45">
        <f>IFERROR(__xludf.DUMMYFUNCTION("""COMPUTED_VALUE"""),44820.0)</f>
        <v>44820</v>
      </c>
      <c r="P116" s="45">
        <f>IFERROR(__xludf.DUMMYFUNCTION("""COMPUTED_VALUE"""),44862.0)</f>
        <v>44862</v>
      </c>
      <c r="Q116" s="45">
        <f>IFERROR(__xludf.DUMMYFUNCTION("""COMPUTED_VALUE"""),44830.0)</f>
        <v>44830</v>
      </c>
      <c r="R116" s="45">
        <f>IFERROR(__xludf.DUMMYFUNCTION("""COMPUTED_VALUE"""),44862.0)</f>
        <v>44862</v>
      </c>
      <c r="S116" s="43"/>
      <c r="T116" s="43"/>
      <c r="U116" s="43" t="str">
        <f>IFERROR(__xludf.DUMMYFUNCTION("""COMPUTED_VALUE"""),"Youth 4 Impact")</f>
        <v>Youth 4 Impact</v>
      </c>
      <c r="V116" s="43" t="str">
        <f>IFERROR(__xludf.DUMMYFUNCTION("""COMPUTED_VALUE"""),"FLSH sfax ")</f>
        <v>FLSH sfax </v>
      </c>
      <c r="W116" s="43" t="str">
        <f>IFERROR(__xludf.DUMMYFUNCTION("""COMPUTED_VALUE"""),"2022-04-14T19:36:23Z")</f>
        <v>2022-04-14T19:36:23Z</v>
      </c>
      <c r="X116" s="43"/>
      <c r="Y116" s="43"/>
      <c r="Z116" s="43"/>
    </row>
    <row r="117" hidden="1">
      <c r="A117" s="43" t="str">
        <f>IFERROR(__xludf.DUMMYFUNCTION("""COMPUTED_VALUE"""),"3775645_1288663")</f>
        <v>3775645_1288663</v>
      </c>
      <c r="B117" s="43" t="str">
        <f>IFERROR(__xludf.DUMMYFUNCTION("""COMPUTED_VALUE"""),"Asmaa Hesham")</f>
        <v>Asmaa Hesham</v>
      </c>
      <c r="C117" s="43" t="str">
        <f>IFERROR(__xludf.DUMMYFUNCTION("""COMPUTED_VALUE"""),"realization_broken")</f>
        <v>realization_broken</v>
      </c>
      <c r="D117" s="43" t="str">
        <f>IFERROR(__xludf.DUMMYFUNCTION("""COMPUTED_VALUE"""),"No")</f>
        <v>No</v>
      </c>
      <c r="E117" s="43" t="str">
        <f>IFERROR(__xludf.DUMMYFUNCTION("""COMPUTED_VALUE"""),"p_71b2679f5fc79195fa47e0b6c83ed3f877191847@inbound.aiesec.org")</f>
        <v>p_71b2679f5fc79195fa47e0b6c83ed3f877191847@inbound.aiesec.org</v>
      </c>
      <c r="F117" s="43">
        <f>IFERROR(__xludf.DUMMYFUNCTION("""COMPUTED_VALUE"""),1.121485035E9)</f>
        <v>1121485035</v>
      </c>
      <c r="G117" s="43" t="str">
        <f>IFERROR(__xludf.DUMMYFUNCTION("""COMPUTED_VALUE"""),"Egypt")</f>
        <v>Egypt</v>
      </c>
      <c r="H117" s="43" t="str">
        <f>IFERROR(__xludf.DUMMYFUNCTION("""COMPUTED_VALUE"""),"Cairo University")</f>
        <v>Cairo University</v>
      </c>
      <c r="I117" s="43" t="str">
        <f>IFERROR(__xludf.DUMMYFUNCTION("""COMPUTED_VALUE"""),"Turkey")</f>
        <v>Turkey</v>
      </c>
      <c r="J117" s="43" t="str">
        <f>IFERROR(__xludf.DUMMYFUNCTION("""COMPUTED_VALUE"""),"İZMİR")</f>
        <v>İZMİR</v>
      </c>
      <c r="K117" s="44" t="str">
        <f>IFERROR(__xludf.DUMMYFUNCTION("""COMPUTED_VALUE"""),"https://expa.aiesec.org/opportunities/1288663")</f>
        <v>https://expa.aiesec.org/opportunities/1288663</v>
      </c>
      <c r="L117" s="43" t="str">
        <f>IFERROR(__xludf.DUMMYFUNCTION("""COMPUTED_VALUE"""),"GV")</f>
        <v>GV</v>
      </c>
      <c r="M117" s="43" t="str">
        <f>IFERROR(__xludf.DUMMYFUNCTION("""COMPUTED_VALUE"""),"short")</f>
        <v>short</v>
      </c>
      <c r="N117" s="45">
        <f>IFERROR(__xludf.DUMMYFUNCTION("""COMPUTED_VALUE"""),44809.0)</f>
        <v>44809</v>
      </c>
      <c r="O117" s="45">
        <f>IFERROR(__xludf.DUMMYFUNCTION("""COMPUTED_VALUE"""),44899.0)</f>
        <v>44899</v>
      </c>
      <c r="P117" s="45">
        <f>IFERROR(__xludf.DUMMYFUNCTION("""COMPUTED_VALUE"""),44941.0)</f>
        <v>44941</v>
      </c>
      <c r="Q117" s="45"/>
      <c r="R117" s="45"/>
      <c r="S117" s="43"/>
      <c r="T117" s="43"/>
      <c r="U117" s="43" t="str">
        <f>IFERROR(__xludf.DUMMYFUNCTION("""COMPUTED_VALUE"""),"Global Classroom")</f>
        <v>Global Classroom</v>
      </c>
      <c r="V117" s="43" t="str">
        <f>IFERROR(__xludf.DUMMYFUNCTION("""COMPUTED_VALUE"""),"Cairo Univeristy")</f>
        <v>Cairo Univeristy</v>
      </c>
      <c r="W117" s="43" t="str">
        <f>IFERROR(__xludf.DUMMYFUNCTION("""COMPUTED_VALUE"""),"2019-08-18T21:03:03Z")</f>
        <v>2019-08-18T21:03:03Z</v>
      </c>
      <c r="X117" s="43"/>
      <c r="Y117" s="43"/>
      <c r="Z117" s="43"/>
    </row>
    <row r="118">
      <c r="A118" s="43" t="str">
        <f>IFERROR(__xludf.DUMMYFUNCTION("""COMPUTED_VALUE"""),"5089140_1288663")</f>
        <v>5089140_1288663</v>
      </c>
      <c r="B118" s="43" t="str">
        <f>IFERROR(__xludf.DUMMYFUNCTION("""COMPUTED_VALUE"""),"Hafssa Chtouki")</f>
        <v>Hafssa Chtouki</v>
      </c>
      <c r="C118" s="43" t="str">
        <f>IFERROR(__xludf.DUMMYFUNCTION("""COMPUTED_VALUE"""),"approved")</f>
        <v>approved</v>
      </c>
      <c r="D118" s="43" t="str">
        <f>IFERROR(__xludf.DUMMYFUNCTION("""COMPUTED_VALUE"""),"No")</f>
        <v>No</v>
      </c>
      <c r="E118" s="43" t="str">
        <f>IFERROR(__xludf.DUMMYFUNCTION("""COMPUTED_VALUE"""),"p_74b19c33df765c266f177989cae39c74f17b44b6@inbound.aiesec.org")</f>
        <v>p_74b19c33df765c266f177989cae39c74f17b44b6@inbound.aiesec.org</v>
      </c>
      <c r="F118" s="43">
        <f>IFERROR(__xludf.DUMMYFUNCTION("""COMPUTED_VALUE"""),7.00503287E8)</f>
        <v>700503287</v>
      </c>
      <c r="G118" s="43" t="str">
        <f>IFERROR(__xludf.DUMMYFUNCTION("""COMPUTED_VALUE"""),"Morocco")</f>
        <v>Morocco</v>
      </c>
      <c r="H118" s="43" t="str">
        <f>IFERROR(__xludf.DUMMYFUNCTION("""COMPUTED_VALUE"""),"Tangier")</f>
        <v>Tangier</v>
      </c>
      <c r="I118" s="43" t="str">
        <f>IFERROR(__xludf.DUMMYFUNCTION("""COMPUTED_VALUE"""),"Turkey")</f>
        <v>Turkey</v>
      </c>
      <c r="J118" s="43" t="str">
        <f>IFERROR(__xludf.DUMMYFUNCTION("""COMPUTED_VALUE"""),"İZMİR")</f>
        <v>İZMİR</v>
      </c>
      <c r="K118" s="44" t="str">
        <f>IFERROR(__xludf.DUMMYFUNCTION("""COMPUTED_VALUE"""),"https://expa.aiesec.org/opportunities/1288663")</f>
        <v>https://expa.aiesec.org/opportunities/1288663</v>
      </c>
      <c r="L118" s="43" t="str">
        <f>IFERROR(__xludf.DUMMYFUNCTION("""COMPUTED_VALUE"""),"GV")</f>
        <v>GV</v>
      </c>
      <c r="M118" s="43" t="str">
        <f>IFERROR(__xludf.DUMMYFUNCTION("""COMPUTED_VALUE"""),"short")</f>
        <v>short</v>
      </c>
      <c r="N118" s="45">
        <f>IFERROR(__xludf.DUMMYFUNCTION("""COMPUTED_VALUE"""),44809.0)</f>
        <v>44809</v>
      </c>
      <c r="O118" s="45">
        <f>IFERROR(__xludf.DUMMYFUNCTION("""COMPUTED_VALUE"""),44983.0)</f>
        <v>44983</v>
      </c>
      <c r="P118" s="45">
        <f>IFERROR(__xludf.DUMMYFUNCTION("""COMPUTED_VALUE"""),45025.0)</f>
        <v>45025</v>
      </c>
      <c r="Q118" s="45"/>
      <c r="R118" s="45"/>
      <c r="S118" s="43"/>
      <c r="T118" s="43"/>
      <c r="U118" s="43" t="str">
        <f>IFERROR(__xludf.DUMMYFUNCTION("""COMPUTED_VALUE"""),"Global Classroom")</f>
        <v>Global Classroom</v>
      </c>
      <c r="V118" s="43" t="str">
        <f>IFERROR(__xludf.DUMMYFUNCTION("""COMPUTED_VALUE"""),"ISIT Tanger")</f>
        <v>ISIT Tanger</v>
      </c>
      <c r="W118" s="43" t="str">
        <f>IFERROR(__xludf.DUMMYFUNCTION("""COMPUTED_VALUE"""),"2022-08-04T10:15:26Z")</f>
        <v>2022-08-04T10:15:26Z</v>
      </c>
      <c r="X118" s="43"/>
      <c r="Y118" s="43"/>
      <c r="Z118" s="43"/>
    </row>
    <row r="119" hidden="1">
      <c r="A119" s="43" t="str">
        <f>IFERROR(__xludf.DUMMYFUNCTION("""COMPUTED_VALUE"""),"5088960_1288970")</f>
        <v>5088960_1288970</v>
      </c>
      <c r="B119" s="43" t="str">
        <f>IFERROR(__xludf.DUMMYFUNCTION("""COMPUTED_VALUE"""),"Jelena Brajević")</f>
        <v>Jelena Brajević</v>
      </c>
      <c r="C119" s="43" t="str">
        <f>IFERROR(__xludf.DUMMYFUNCTION("""COMPUTED_VALUE"""),"finished")</f>
        <v>finished</v>
      </c>
      <c r="D119" s="43" t="str">
        <f>IFERROR(__xludf.DUMMYFUNCTION("""COMPUTED_VALUE"""),"No")</f>
        <v>No</v>
      </c>
      <c r="E119" s="43" t="str">
        <f>IFERROR(__xludf.DUMMYFUNCTION("""COMPUTED_VALUE"""),"p_71ff21b15af7bbedb9d970440b09ba0f21f89f4c@inbound.aiesec.org")</f>
        <v>p_71ff21b15af7bbedb9d970440b09ba0f21f89f4c@inbound.aiesec.org</v>
      </c>
      <c r="F119" s="43">
        <f>IFERROR(__xludf.DUMMYFUNCTION("""COMPUTED_VALUE"""),6.54710253E8)</f>
        <v>654710253</v>
      </c>
      <c r="G119" s="43" t="str">
        <f>IFERROR(__xludf.DUMMYFUNCTION("""COMPUTED_VALUE"""),"Serbia")</f>
        <v>Serbia</v>
      </c>
      <c r="H119" s="43" t="str">
        <f>IFERROR(__xludf.DUMMYFUNCTION("""COMPUTED_VALUE"""),"Bg")</f>
        <v>Bg</v>
      </c>
      <c r="I119" s="43" t="str">
        <f>IFERROR(__xludf.DUMMYFUNCTION("""COMPUTED_VALUE"""),"Turkey")</f>
        <v>Turkey</v>
      </c>
      <c r="J119" s="43" t="str">
        <f>IFERROR(__xludf.DUMMYFUNCTION("""COMPUTED_VALUE"""),"İZMİR")</f>
        <v>İZMİR</v>
      </c>
      <c r="K119" s="44" t="str">
        <f>IFERROR(__xludf.DUMMYFUNCTION("""COMPUTED_VALUE"""),"https://expa.aiesec.org/opportunities/1288970")</f>
        <v>https://expa.aiesec.org/opportunities/1288970</v>
      </c>
      <c r="L119" s="43" t="str">
        <f>IFERROR(__xludf.DUMMYFUNCTION("""COMPUTED_VALUE"""),"GV")</f>
        <v>GV</v>
      </c>
      <c r="M119" s="43" t="str">
        <f>IFERROR(__xludf.DUMMYFUNCTION("""COMPUTED_VALUE"""),"short")</f>
        <v>short</v>
      </c>
      <c r="N119" s="45">
        <f>IFERROR(__xludf.DUMMYFUNCTION("""COMPUTED_VALUE"""),44809.0)</f>
        <v>44809</v>
      </c>
      <c r="O119" s="45">
        <f>IFERROR(__xludf.DUMMYFUNCTION("""COMPUTED_VALUE"""),44955.0)</f>
        <v>44955</v>
      </c>
      <c r="P119" s="45">
        <f>IFERROR(__xludf.DUMMYFUNCTION("""COMPUTED_VALUE"""),44997.0)</f>
        <v>44997</v>
      </c>
      <c r="Q119" s="45">
        <f>IFERROR(__xludf.DUMMYFUNCTION("""COMPUTED_VALUE"""),44958.0)</f>
        <v>44958</v>
      </c>
      <c r="R119" s="45">
        <f>IFERROR(__xludf.DUMMYFUNCTION("""COMPUTED_VALUE"""),45000.0)</f>
        <v>45000</v>
      </c>
      <c r="S119" s="43"/>
      <c r="T119" s="43"/>
      <c r="U119" s="43" t="str">
        <f>IFERROR(__xludf.DUMMYFUNCTION("""COMPUTED_VALUE"""),"Fingerprint")</f>
        <v>Fingerprint</v>
      </c>
      <c r="V119" s="43" t="str">
        <f>IFERROR(__xludf.DUMMYFUNCTION("""COMPUTED_VALUE"""),"Other")</f>
        <v>Other</v>
      </c>
      <c r="W119" s="43" t="str">
        <f>IFERROR(__xludf.DUMMYFUNCTION("""COMPUTED_VALUE"""),"2022-08-04T00:30:29Z")</f>
        <v>2022-08-04T00:30:29Z</v>
      </c>
      <c r="X119" s="43"/>
      <c r="Y119" s="43"/>
      <c r="Z119" s="43"/>
    </row>
    <row r="120" hidden="1">
      <c r="A120" s="43" t="str">
        <f>IFERROR(__xludf.DUMMYFUNCTION("""COMPUTED_VALUE"""),"5053544_1288533")</f>
        <v>5053544_1288533</v>
      </c>
      <c r="B120" s="43" t="str">
        <f>IFERROR(__xludf.DUMMYFUNCTION("""COMPUTED_VALUE"""),"Ayesha Shahwar")</f>
        <v>Ayesha Shahwar</v>
      </c>
      <c r="C120" s="43" t="str">
        <f>IFERROR(__xludf.DUMMYFUNCTION("""COMPUTED_VALUE"""),"realization_broken")</f>
        <v>realization_broken</v>
      </c>
      <c r="D120" s="43" t="str">
        <f>IFERROR(__xludf.DUMMYFUNCTION("""COMPUTED_VALUE"""),"No")</f>
        <v>No</v>
      </c>
      <c r="E120" s="43" t="str">
        <f>IFERROR(__xludf.DUMMYFUNCTION("""COMPUTED_VALUE"""),"p_24aaac31ae16dc4b87e5b7308e8a3c1a062eaf76@inbound.aiesec.org")</f>
        <v>p_24aaac31ae16dc4b87e5b7308e8a3c1a062eaf76@inbound.aiesec.org</v>
      </c>
      <c r="F120" s="43">
        <f>IFERROR(__xludf.DUMMYFUNCTION("""COMPUTED_VALUE"""),3.412837323E9)</f>
        <v>3412837323</v>
      </c>
      <c r="G120" s="43" t="str">
        <f>IFERROR(__xludf.DUMMYFUNCTION("""COMPUTED_VALUE"""),"Pakistan")</f>
        <v>Pakistan</v>
      </c>
      <c r="H120" s="43" t="str">
        <f>IFERROR(__xludf.DUMMYFUNCTION("""COMPUTED_VALUE"""),"LUMS")</f>
        <v>LUMS</v>
      </c>
      <c r="I120" s="43" t="str">
        <f>IFERROR(__xludf.DUMMYFUNCTION("""COMPUTED_VALUE"""),"Turkey")</f>
        <v>Turkey</v>
      </c>
      <c r="J120" s="43" t="str">
        <f>IFERROR(__xludf.DUMMYFUNCTION("""COMPUTED_VALUE"""),"ISTANBUL ASIA")</f>
        <v>ISTANBUL ASIA</v>
      </c>
      <c r="K120" s="44" t="str">
        <f>IFERROR(__xludf.DUMMYFUNCTION("""COMPUTED_VALUE"""),"https://expa.aiesec.org/opportunities/1288533")</f>
        <v>https://expa.aiesec.org/opportunities/1288533</v>
      </c>
      <c r="L120" s="43" t="str">
        <f>IFERROR(__xludf.DUMMYFUNCTION("""COMPUTED_VALUE"""),"GV")</f>
        <v>GV</v>
      </c>
      <c r="M120" s="43" t="str">
        <f>IFERROR(__xludf.DUMMYFUNCTION("""COMPUTED_VALUE"""),"short")</f>
        <v>short</v>
      </c>
      <c r="N120" s="45">
        <f>IFERROR(__xludf.DUMMYFUNCTION("""COMPUTED_VALUE"""),44809.0)</f>
        <v>44809</v>
      </c>
      <c r="O120" s="45">
        <f>IFERROR(__xludf.DUMMYFUNCTION("""COMPUTED_VALUE"""),44809.0)</f>
        <v>44809</v>
      </c>
      <c r="P120" s="45">
        <f>IFERROR(__xludf.DUMMYFUNCTION("""COMPUTED_VALUE"""),44851.0)</f>
        <v>44851</v>
      </c>
      <c r="Q120" s="45"/>
      <c r="R120" s="45"/>
      <c r="S120" s="43"/>
      <c r="T120" s="43"/>
      <c r="U120" s="43" t="str">
        <f>IFERROR(__xludf.DUMMYFUNCTION("""COMPUTED_VALUE"""),"Global Classroom")</f>
        <v>Global Classroom</v>
      </c>
      <c r="V120" s="43" t="str">
        <f>IFERROR(__xludf.DUMMYFUNCTION("""COMPUTED_VALUE"""),"Lahore - LUMS ")</f>
        <v>Lahore - LUMS </v>
      </c>
      <c r="W120" s="43" t="str">
        <f>IFERROR(__xludf.DUMMYFUNCTION("""COMPUTED_VALUE"""),"2022-05-09T12:04:04Z")</f>
        <v>2022-05-09T12:04:04Z</v>
      </c>
      <c r="X120" s="43"/>
      <c r="Y120" s="43"/>
      <c r="Z120" s="43"/>
    </row>
    <row r="121" hidden="1">
      <c r="A121" s="43" t="str">
        <f>IFERROR(__xludf.DUMMYFUNCTION("""COMPUTED_VALUE"""),"5098576_1288916")</f>
        <v>5098576_1288916</v>
      </c>
      <c r="B121" s="43" t="str">
        <f>IFERROR(__xludf.DUMMYFUNCTION("""COMPUTED_VALUE"""),"Mwanaidi Maarifa")</f>
        <v>Mwanaidi Maarifa</v>
      </c>
      <c r="C121" s="43" t="str">
        <f>IFERROR(__xludf.DUMMYFUNCTION("""COMPUTED_VALUE"""),"finished")</f>
        <v>finished</v>
      </c>
      <c r="D121" s="43" t="str">
        <f>IFERROR(__xludf.DUMMYFUNCTION("""COMPUTED_VALUE"""),"No")</f>
        <v>No</v>
      </c>
      <c r="E121" s="43" t="str">
        <f>IFERROR(__xludf.DUMMYFUNCTION("""COMPUTED_VALUE"""),"p_45acbbdf1640a2dd4fe92b519c35c541ee5731c8@inbound.aiesec.org")</f>
        <v>p_45acbbdf1640a2dd4fe92b519c35c541ee5731c8@inbound.aiesec.org</v>
      </c>
      <c r="F121" s="43">
        <f>IFERROR(__xludf.DUMMYFUNCTION("""COMPUTED_VALUE"""),7.91590781E8)</f>
        <v>791590781</v>
      </c>
      <c r="G121" s="43" t="str">
        <f>IFERROR(__xludf.DUMMYFUNCTION("""COMPUTED_VALUE"""),"Kenya")</f>
        <v>Kenya</v>
      </c>
      <c r="H121" s="43" t="str">
        <f>IFERROR(__xludf.DUMMYFUNCTION("""COMPUTED_VALUE"""),"UoN")</f>
        <v>UoN</v>
      </c>
      <c r="I121" s="43" t="str">
        <f>IFERROR(__xludf.DUMMYFUNCTION("""COMPUTED_VALUE"""),"Turkey")</f>
        <v>Turkey</v>
      </c>
      <c r="J121" s="43" t="str">
        <f>IFERROR(__xludf.DUMMYFUNCTION("""COMPUTED_VALUE"""),"KOCAELI")</f>
        <v>KOCAELI</v>
      </c>
      <c r="K121" s="44" t="str">
        <f>IFERROR(__xludf.DUMMYFUNCTION("""COMPUTED_VALUE"""),"https://expa.aiesec.org/opportunities/1288916")</f>
        <v>https://expa.aiesec.org/opportunities/1288916</v>
      </c>
      <c r="L121" s="43" t="str">
        <f>IFERROR(__xludf.DUMMYFUNCTION("""COMPUTED_VALUE"""),"GV")</f>
        <v>GV</v>
      </c>
      <c r="M121" s="43" t="str">
        <f>IFERROR(__xludf.DUMMYFUNCTION("""COMPUTED_VALUE"""),"short")</f>
        <v>short</v>
      </c>
      <c r="N121" s="45">
        <f>IFERROR(__xludf.DUMMYFUNCTION("""COMPUTED_VALUE"""),44809.0)</f>
        <v>44809</v>
      </c>
      <c r="O121" s="45">
        <f>IFERROR(__xludf.DUMMYFUNCTION("""COMPUTED_VALUE"""),44851.0)</f>
        <v>44851</v>
      </c>
      <c r="P121" s="45">
        <f>IFERROR(__xludf.DUMMYFUNCTION("""COMPUTED_VALUE"""),44893.0)</f>
        <v>44893</v>
      </c>
      <c r="Q121" s="45">
        <f>IFERROR(__xludf.DUMMYFUNCTION("""COMPUTED_VALUE"""),44870.0)</f>
        <v>44870</v>
      </c>
      <c r="R121" s="45">
        <f>IFERROR(__xludf.DUMMYFUNCTION("""COMPUTED_VALUE"""),44905.0)</f>
        <v>44905</v>
      </c>
      <c r="S121" s="43"/>
      <c r="T121" s="43"/>
      <c r="U121" s="43" t="str">
        <f>IFERROR(__xludf.DUMMYFUNCTION("""COMPUTED_VALUE"""),"Heartbeat")</f>
        <v>Heartbeat</v>
      </c>
      <c r="V121" s="43" t="str">
        <f>IFERROR(__xludf.DUMMYFUNCTION("""COMPUTED_VALUE"""),"University of Nairobi")</f>
        <v>University of Nairobi</v>
      </c>
      <c r="W121" s="43" t="str">
        <f>IFERROR(__xludf.DUMMYFUNCTION("""COMPUTED_VALUE"""),"2022-08-24T10:21:44Z")</f>
        <v>2022-08-24T10:21:44Z</v>
      </c>
      <c r="X121" s="43"/>
      <c r="Y121" s="43"/>
      <c r="Z121" s="43"/>
    </row>
    <row r="122" hidden="1">
      <c r="A122" s="43" t="str">
        <f>IFERROR(__xludf.DUMMYFUNCTION("""COMPUTED_VALUE"""),"3801424_1288245")</f>
        <v>3801424_1288245</v>
      </c>
      <c r="B122" s="43" t="str">
        <f>IFERROR(__xludf.DUMMYFUNCTION("""COMPUTED_VALUE"""),"Yusra Laiq")</f>
        <v>Yusra Laiq</v>
      </c>
      <c r="C122" s="43" t="str">
        <f>IFERROR(__xludf.DUMMYFUNCTION("""COMPUTED_VALUE"""),"completed")</f>
        <v>completed</v>
      </c>
      <c r="D122" s="43" t="str">
        <f>IFERROR(__xludf.DUMMYFUNCTION("""COMPUTED_VALUE"""),"No")</f>
        <v>No</v>
      </c>
      <c r="E122" s="43" t="str">
        <f>IFERROR(__xludf.DUMMYFUNCTION("""COMPUTED_VALUE"""),"p_de98cb22771e1046c330be16138e84acacc635b2@inbound.aiesec.org")</f>
        <v>p_de98cb22771e1046c330be16138e84acacc635b2@inbound.aiesec.org</v>
      </c>
      <c r="F122" s="43">
        <f>IFERROR(__xludf.DUMMYFUNCTION("""COMPUTED_VALUE"""),3.238228487E9)</f>
        <v>3238228487</v>
      </c>
      <c r="G122" s="43" t="str">
        <f>IFERROR(__xludf.DUMMYFUNCTION("""COMPUTED_VALUE"""),"Pakistan")</f>
        <v>Pakistan</v>
      </c>
      <c r="H122" s="43" t="str">
        <f>IFERROR(__xludf.DUMMYFUNCTION("""COMPUTED_VALUE"""),"Karachi")</f>
        <v>Karachi</v>
      </c>
      <c r="I122" s="43" t="str">
        <f>IFERROR(__xludf.DUMMYFUNCTION("""COMPUTED_VALUE"""),"Turkey")</f>
        <v>Turkey</v>
      </c>
      <c r="J122" s="43" t="str">
        <f>IFERROR(__xludf.DUMMYFUNCTION("""COMPUTED_VALUE"""),"İZMİR")</f>
        <v>İZMİR</v>
      </c>
      <c r="K122" s="44" t="str">
        <f>IFERROR(__xludf.DUMMYFUNCTION("""COMPUTED_VALUE"""),"https://expa.aiesec.org/opportunities/1288245")</f>
        <v>https://expa.aiesec.org/opportunities/1288245</v>
      </c>
      <c r="L122" s="43" t="str">
        <f>IFERROR(__xludf.DUMMYFUNCTION("""COMPUTED_VALUE"""),"GV")</f>
        <v>GV</v>
      </c>
      <c r="M122" s="43" t="str">
        <f>IFERROR(__xludf.DUMMYFUNCTION("""COMPUTED_VALUE"""),"short")</f>
        <v>short</v>
      </c>
      <c r="N122" s="45">
        <f>IFERROR(__xludf.DUMMYFUNCTION("""COMPUTED_VALUE"""),44809.0)</f>
        <v>44809</v>
      </c>
      <c r="O122" s="45">
        <f>IFERROR(__xludf.DUMMYFUNCTION("""COMPUTED_VALUE"""),44871.0)</f>
        <v>44871</v>
      </c>
      <c r="P122" s="45">
        <f>IFERROR(__xludf.DUMMYFUNCTION("""COMPUTED_VALUE"""),44913.0)</f>
        <v>44913</v>
      </c>
      <c r="Q122" s="45">
        <f>IFERROR(__xludf.DUMMYFUNCTION("""COMPUTED_VALUE"""),44875.0)</f>
        <v>44875</v>
      </c>
      <c r="R122" s="45">
        <f>IFERROR(__xludf.DUMMYFUNCTION("""COMPUTED_VALUE"""),44876.0)</f>
        <v>44876</v>
      </c>
      <c r="S122" s="43"/>
      <c r="T122" s="43"/>
      <c r="U122" s="43" t="str">
        <f>IFERROR(__xludf.DUMMYFUNCTION("""COMPUTED_VALUE"""),"Global Classroom")</f>
        <v>Global Classroom</v>
      </c>
      <c r="V122" s="43" t="str">
        <f>IFERROR(__xludf.DUMMYFUNCTION("""COMPUTED_VALUE"""),"Karachi - Other")</f>
        <v>Karachi - Other</v>
      </c>
      <c r="W122" s="43" t="str">
        <f>IFERROR(__xludf.DUMMYFUNCTION("""COMPUTED_VALUE"""),"2019-08-29T15:23:19Z")</f>
        <v>2019-08-29T15:23:19Z</v>
      </c>
      <c r="X122" s="43"/>
      <c r="Y122" s="43"/>
      <c r="Z122" s="43"/>
    </row>
    <row r="123" hidden="1">
      <c r="A123" s="43" t="str">
        <f>IFERROR(__xludf.DUMMYFUNCTION("""COMPUTED_VALUE"""),"4209144_1279516")</f>
        <v>4209144_1279516</v>
      </c>
      <c r="B123" s="43" t="str">
        <f>IFERROR(__xludf.DUMMYFUNCTION("""COMPUTED_VALUE"""),"Andres Gomez rubio")</f>
        <v>Andres Gomez rubio</v>
      </c>
      <c r="C123" s="43" t="str">
        <f>IFERROR(__xludf.DUMMYFUNCTION("""COMPUTED_VALUE"""),"finished")</f>
        <v>finished</v>
      </c>
      <c r="D123" s="43" t="str">
        <f>IFERROR(__xludf.DUMMYFUNCTION("""COMPUTED_VALUE"""),"No")</f>
        <v>No</v>
      </c>
      <c r="E123" s="43" t="str">
        <f>IFERROR(__xludf.DUMMYFUNCTION("""COMPUTED_VALUE"""),"p_81574303c09407c62f760eb4268e9b67de6e6d54@inbound.aiesec.org")</f>
        <v>p_81574303c09407c62f760eb4268e9b67de6e6d54@inbound.aiesec.org</v>
      </c>
      <c r="F123" s="43">
        <f>IFERROR(__xludf.DUMMYFUNCTION("""COMPUTED_VALUE"""),3.124328487E9)</f>
        <v>3124328487</v>
      </c>
      <c r="G123" s="43" t="str">
        <f>IFERROR(__xludf.DUMMYFUNCTION("""COMPUTED_VALUE"""),"Colombia")</f>
        <v>Colombia</v>
      </c>
      <c r="H123" s="43" t="str">
        <f>IFERROR(__xludf.DUMMYFUNCTION("""COMPUTED_VALUE"""),"ECI")</f>
        <v>ECI</v>
      </c>
      <c r="I123" s="43" t="str">
        <f>IFERROR(__xludf.DUMMYFUNCTION("""COMPUTED_VALUE"""),"Turkey")</f>
        <v>Turkey</v>
      </c>
      <c r="J123" s="43" t="str">
        <f>IFERROR(__xludf.DUMMYFUNCTION("""COMPUTED_VALUE"""),"KOCAELI")</f>
        <v>KOCAELI</v>
      </c>
      <c r="K123" s="44" t="str">
        <f>IFERROR(__xludf.DUMMYFUNCTION("""COMPUTED_VALUE"""),"https://expa.aiesec.org/opportunities/1279516")</f>
        <v>https://expa.aiesec.org/opportunities/1279516</v>
      </c>
      <c r="L123" s="43" t="str">
        <f>IFERROR(__xludf.DUMMYFUNCTION("""COMPUTED_VALUE"""),"GV")</f>
        <v>GV</v>
      </c>
      <c r="M123" s="43" t="str">
        <f>IFERROR(__xludf.DUMMYFUNCTION("""COMPUTED_VALUE"""),"short")</f>
        <v>short</v>
      </c>
      <c r="N123" s="45">
        <f>IFERROR(__xludf.DUMMYFUNCTION("""COMPUTED_VALUE"""),44809.0)</f>
        <v>44809</v>
      </c>
      <c r="O123" s="45">
        <f>IFERROR(__xludf.DUMMYFUNCTION("""COMPUTED_VALUE"""),44907.0)</f>
        <v>44907</v>
      </c>
      <c r="P123" s="45">
        <f>IFERROR(__xludf.DUMMYFUNCTION("""COMPUTED_VALUE"""),44949.0)</f>
        <v>44949</v>
      </c>
      <c r="Q123" s="45">
        <f>IFERROR(__xludf.DUMMYFUNCTION("""COMPUTED_VALUE"""),44909.0)</f>
        <v>44909</v>
      </c>
      <c r="R123" s="45">
        <f>IFERROR(__xludf.DUMMYFUNCTION("""COMPUTED_VALUE"""),44949.0)</f>
        <v>44949</v>
      </c>
      <c r="S123" s="43"/>
      <c r="T123" s="43"/>
      <c r="U123" s="43" t="str">
        <f>IFERROR(__xludf.DUMMYFUNCTION("""COMPUTED_VALUE"""),"Global Classroom")</f>
        <v>Global Classroom</v>
      </c>
      <c r="V123" s="43" t="str">
        <f>IFERROR(__xludf.DUMMYFUNCTION("""COMPUTED_VALUE"""),"Bogotá - Universidad de la Sabana")</f>
        <v>Bogotá - Universidad de la Sabana</v>
      </c>
      <c r="W123" s="43" t="str">
        <f>IFERROR(__xludf.DUMMYFUNCTION("""COMPUTED_VALUE"""),"2020-02-23T15:41:07Z")</f>
        <v>2020-02-23T15:41:07Z</v>
      </c>
      <c r="X123" s="43"/>
      <c r="Y123" s="43"/>
      <c r="Z123" s="43"/>
    </row>
    <row r="124" hidden="1">
      <c r="A124" s="43" t="str">
        <f>IFERROR(__xludf.DUMMYFUNCTION("""COMPUTED_VALUE"""),"4448413_1288989")</f>
        <v>4448413_1288989</v>
      </c>
      <c r="B124" s="43" t="str">
        <f>IFERROR(__xludf.DUMMYFUNCTION("""COMPUTED_VALUE"""),"Ghada Saidi")</f>
        <v>Ghada Saidi</v>
      </c>
      <c r="C124" s="43" t="str">
        <f>IFERROR(__xludf.DUMMYFUNCTION("""COMPUTED_VALUE"""),"completed")</f>
        <v>completed</v>
      </c>
      <c r="D124" s="43" t="str">
        <f>IFERROR(__xludf.DUMMYFUNCTION("""COMPUTED_VALUE"""),"No")</f>
        <v>No</v>
      </c>
      <c r="E124" s="43" t="str">
        <f>IFERROR(__xludf.DUMMYFUNCTION("""COMPUTED_VALUE"""),"p_25fb42d20a331c548e9496c9c94afad510af8ff0@inbound.aiesec.org")</f>
        <v>p_25fb42d20a331c548e9496c9c94afad510af8ff0@inbound.aiesec.org</v>
      </c>
      <c r="F124" s="43">
        <f>IFERROR(__xludf.DUMMYFUNCTION("""COMPUTED_VALUE"""),5.2320756E7)</f>
        <v>52320756</v>
      </c>
      <c r="G124" s="43" t="str">
        <f>IFERROR(__xludf.DUMMYFUNCTION("""COMPUTED_VALUE"""),"Tunisia")</f>
        <v>Tunisia</v>
      </c>
      <c r="H124" s="43" t="str">
        <f>IFERROR(__xludf.DUMMYFUNCTION("""COMPUTED_VALUE"""),"BARDO")</f>
        <v>BARDO</v>
      </c>
      <c r="I124" s="43" t="str">
        <f>IFERROR(__xludf.DUMMYFUNCTION("""COMPUTED_VALUE"""),"Turkey")</f>
        <v>Turkey</v>
      </c>
      <c r="J124" s="43" t="str">
        <f>IFERROR(__xludf.DUMMYFUNCTION("""COMPUTED_VALUE"""),"KUTAHYA")</f>
        <v>KUTAHYA</v>
      </c>
      <c r="K124" s="44" t="str">
        <f>IFERROR(__xludf.DUMMYFUNCTION("""COMPUTED_VALUE"""),"https://expa.aiesec.org/opportunities/1288989")</f>
        <v>https://expa.aiesec.org/opportunities/1288989</v>
      </c>
      <c r="L124" s="43" t="str">
        <f>IFERROR(__xludf.DUMMYFUNCTION("""COMPUTED_VALUE"""),"GV")</f>
        <v>GV</v>
      </c>
      <c r="M124" s="43" t="str">
        <f>IFERROR(__xludf.DUMMYFUNCTION("""COMPUTED_VALUE"""),"short")</f>
        <v>short</v>
      </c>
      <c r="N124" s="45">
        <f>IFERROR(__xludf.DUMMYFUNCTION("""COMPUTED_VALUE"""),44810.0)</f>
        <v>44810</v>
      </c>
      <c r="O124" s="45">
        <f>IFERROR(__xludf.DUMMYFUNCTION("""COMPUTED_VALUE"""),44823.0)</f>
        <v>44823</v>
      </c>
      <c r="P124" s="45">
        <f>IFERROR(__xludf.DUMMYFUNCTION("""COMPUTED_VALUE"""),44865.0)</f>
        <v>44865</v>
      </c>
      <c r="Q124" s="45">
        <f>IFERROR(__xludf.DUMMYFUNCTION("""COMPUTED_VALUE"""),44827.0)</f>
        <v>44827</v>
      </c>
      <c r="R124" s="45">
        <f>IFERROR(__xludf.DUMMYFUNCTION("""COMPUTED_VALUE"""),44862.0)</f>
        <v>44862</v>
      </c>
      <c r="S124" s="43"/>
      <c r="T124" s="43"/>
      <c r="U124" s="43" t="str">
        <f>IFERROR(__xludf.DUMMYFUNCTION("""COMPUTED_VALUE"""),"Green Leaders")</f>
        <v>Green Leaders</v>
      </c>
      <c r="V124" s="43" t="str">
        <f>IFERROR(__xludf.DUMMYFUNCTION("""COMPUTED_VALUE"""),"ISG Tunis")</f>
        <v>ISG Tunis</v>
      </c>
      <c r="W124" s="43" t="str">
        <f>IFERROR(__xludf.DUMMYFUNCTION("""COMPUTED_VALUE"""),"2020-11-27T19:16:26Z")</f>
        <v>2020-11-27T19:16:26Z</v>
      </c>
      <c r="X124" s="43"/>
      <c r="Y124" s="43"/>
      <c r="Z124" s="43"/>
    </row>
    <row r="125">
      <c r="A125" s="43" t="str">
        <f>IFERROR(__xludf.DUMMYFUNCTION("""COMPUTED_VALUE"""),"4936082_1288533")</f>
        <v>4936082_1288533</v>
      </c>
      <c r="B125" s="43" t="str">
        <f>IFERROR(__xludf.DUMMYFUNCTION("""COMPUTED_VALUE"""),"Vanshika Mahajan")</f>
        <v>Vanshika Mahajan</v>
      </c>
      <c r="C125" s="43" t="str">
        <f>IFERROR(__xludf.DUMMYFUNCTION("""COMPUTED_VALUE"""),"approved")</f>
        <v>approved</v>
      </c>
      <c r="D125" s="43" t="str">
        <f>IFERROR(__xludf.DUMMYFUNCTION("""COMPUTED_VALUE"""),"No")</f>
        <v>No</v>
      </c>
      <c r="E125" s="43" t="str">
        <f>IFERROR(__xludf.DUMMYFUNCTION("""COMPUTED_VALUE"""),"p_34755868942d5a66e5865b268f2add78cc2668a6@inbound.aiesec.org")</f>
        <v>p_34755868942d5a66e5865b268f2add78cc2668a6@inbound.aiesec.org</v>
      </c>
      <c r="F125" s="43"/>
      <c r="G125" s="43" t="str">
        <f>IFERROR(__xludf.DUMMYFUNCTION("""COMPUTED_VALUE"""),"India")</f>
        <v>India</v>
      </c>
      <c r="H125" s="43" t="str">
        <f>IFERROR(__xludf.DUMMYFUNCTION("""COMPUTED_VALUE"""),"Delhi University")</f>
        <v>Delhi University</v>
      </c>
      <c r="I125" s="43" t="str">
        <f>IFERROR(__xludf.DUMMYFUNCTION("""COMPUTED_VALUE"""),"Turkey")</f>
        <v>Turkey</v>
      </c>
      <c r="J125" s="43" t="str">
        <f>IFERROR(__xludf.DUMMYFUNCTION("""COMPUTED_VALUE"""),"ISTANBUL ASIA")</f>
        <v>ISTANBUL ASIA</v>
      </c>
      <c r="K125" s="44" t="str">
        <f>IFERROR(__xludf.DUMMYFUNCTION("""COMPUTED_VALUE"""),"https://expa.aiesec.org/opportunities/1288533")</f>
        <v>https://expa.aiesec.org/opportunities/1288533</v>
      </c>
      <c r="L125" s="43" t="str">
        <f>IFERROR(__xludf.DUMMYFUNCTION("""COMPUTED_VALUE"""),"GV")</f>
        <v>GV</v>
      </c>
      <c r="M125" s="43" t="str">
        <f>IFERROR(__xludf.DUMMYFUNCTION("""COMPUTED_VALUE"""),"short")</f>
        <v>short</v>
      </c>
      <c r="N125" s="45">
        <f>IFERROR(__xludf.DUMMYFUNCTION("""COMPUTED_VALUE"""),44810.0)</f>
        <v>44810</v>
      </c>
      <c r="O125" s="45">
        <f>IFERROR(__xludf.DUMMYFUNCTION("""COMPUTED_VALUE"""),44935.0)</f>
        <v>44935</v>
      </c>
      <c r="P125" s="45">
        <f>IFERROR(__xludf.DUMMYFUNCTION("""COMPUTED_VALUE"""),44977.0)</f>
        <v>44977</v>
      </c>
      <c r="Q125" s="45"/>
      <c r="R125" s="45"/>
      <c r="S125" s="43"/>
      <c r="T125" s="43"/>
      <c r="U125" s="43" t="str">
        <f>IFERROR(__xludf.DUMMYFUNCTION("""COMPUTED_VALUE"""),"Global Classroom")</f>
        <v>Global Classroom</v>
      </c>
      <c r="V125" s="43" t="str">
        <f>IFERROR(__xludf.DUMMYFUNCTION("""COMPUTED_VALUE"""),"-")</f>
        <v>-</v>
      </c>
      <c r="W125" s="43" t="str">
        <f>IFERROR(__xludf.DUMMYFUNCTION("""COMPUTED_VALUE"""),"2022-02-18T10:03:45Z")</f>
        <v>2022-02-18T10:03:45Z</v>
      </c>
      <c r="X125" s="43"/>
      <c r="Y125" s="43"/>
      <c r="Z125" s="43"/>
    </row>
    <row r="126" hidden="1">
      <c r="A126" s="43" t="str">
        <f>IFERROR(__xludf.DUMMYFUNCTION("""COMPUTED_VALUE"""),"5103004_1288970")</f>
        <v>5103004_1288970</v>
      </c>
      <c r="B126" s="43" t="str">
        <f>IFERROR(__xludf.DUMMYFUNCTION("""COMPUTED_VALUE"""),"Nathalia Kleber")</f>
        <v>Nathalia Kleber</v>
      </c>
      <c r="C126" s="43" t="str">
        <f>IFERROR(__xludf.DUMMYFUNCTION("""COMPUTED_VALUE"""),"approved")</f>
        <v>approved</v>
      </c>
      <c r="D126" s="43" t="str">
        <f>IFERROR(__xludf.DUMMYFUNCTION("""COMPUTED_VALUE"""),"No")</f>
        <v>No</v>
      </c>
      <c r="E126" s="43" t="str">
        <f>IFERROR(__xludf.DUMMYFUNCTION("""COMPUTED_VALUE"""),"p_121a6e8a80cc13ef7f58b4818cba0c9fa1a89d63@inbound.aiesec.org")</f>
        <v>p_121a6e8a80cc13ef7f58b4818cba0c9fa1a89d63@inbound.aiesec.org</v>
      </c>
      <c r="F126" s="43"/>
      <c r="G126" s="43" t="str">
        <f>IFERROR(__xludf.DUMMYFUNCTION("""COMPUTED_VALUE"""),"Brazil")</f>
        <v>Brazil</v>
      </c>
      <c r="H126" s="43" t="str">
        <f>IFERROR(__xludf.DUMMYFUNCTION("""COMPUTED_VALUE"""),"USP")</f>
        <v>USP</v>
      </c>
      <c r="I126" s="43" t="str">
        <f>IFERROR(__xludf.DUMMYFUNCTION("""COMPUTED_VALUE"""),"Turkey")</f>
        <v>Turkey</v>
      </c>
      <c r="J126" s="43" t="str">
        <f>IFERROR(__xludf.DUMMYFUNCTION("""COMPUTED_VALUE"""),"İZMİR")</f>
        <v>İZMİR</v>
      </c>
      <c r="K126" s="44" t="str">
        <f>IFERROR(__xludf.DUMMYFUNCTION("""COMPUTED_VALUE"""),"https://expa.aiesec.org/opportunities/1288970")</f>
        <v>https://expa.aiesec.org/opportunities/1288970</v>
      </c>
      <c r="L126" s="43" t="str">
        <f>IFERROR(__xludf.DUMMYFUNCTION("""COMPUTED_VALUE"""),"GV")</f>
        <v>GV</v>
      </c>
      <c r="M126" s="43" t="str">
        <f>IFERROR(__xludf.DUMMYFUNCTION("""COMPUTED_VALUE"""),"short")</f>
        <v>short</v>
      </c>
      <c r="N126" s="45">
        <f>IFERROR(__xludf.DUMMYFUNCTION("""COMPUTED_VALUE"""),44811.0)</f>
        <v>44811</v>
      </c>
      <c r="O126" s="45">
        <f>IFERROR(__xludf.DUMMYFUNCTION("""COMPUTED_VALUE"""),45123.0)</f>
        <v>45123</v>
      </c>
      <c r="P126" s="45">
        <f>IFERROR(__xludf.DUMMYFUNCTION("""COMPUTED_VALUE"""),45165.0)</f>
        <v>45165</v>
      </c>
      <c r="Q126" s="45"/>
      <c r="R126" s="45"/>
      <c r="S126" s="43"/>
      <c r="T126" s="43"/>
      <c r="U126" s="43" t="str">
        <f>IFERROR(__xludf.DUMMYFUNCTION("""COMPUTED_VALUE"""),"Fingerprint")</f>
        <v>Fingerprint</v>
      </c>
      <c r="V126" s="43" t="str">
        <f>IFERROR(__xludf.DUMMYFUNCTION("""COMPUTED_VALUE"""),"-")</f>
        <v>-</v>
      </c>
      <c r="W126" s="43" t="str">
        <f>IFERROR(__xludf.DUMMYFUNCTION("""COMPUTED_VALUE"""),"2022-08-31T14:13:07Z")</f>
        <v>2022-08-31T14:13:07Z</v>
      </c>
      <c r="X126" s="43"/>
      <c r="Y126" s="43"/>
      <c r="Z126" s="43"/>
    </row>
    <row r="127" hidden="1">
      <c r="A127" s="43" t="str">
        <f>IFERROR(__xludf.DUMMYFUNCTION("""COMPUTED_VALUE"""),"4168443_1288916")</f>
        <v>4168443_1288916</v>
      </c>
      <c r="B127" s="43" t="str">
        <f>IFERROR(__xludf.DUMMYFUNCTION("""COMPUTED_VALUE"""),"Mariem Ben Aissa")</f>
        <v>Mariem Ben Aissa</v>
      </c>
      <c r="C127" s="43" t="str">
        <f>IFERROR(__xludf.DUMMYFUNCTION("""COMPUTED_VALUE"""),"finished")</f>
        <v>finished</v>
      </c>
      <c r="D127" s="43" t="str">
        <f>IFERROR(__xludf.DUMMYFUNCTION("""COMPUTED_VALUE"""),"No")</f>
        <v>No</v>
      </c>
      <c r="E127" s="43" t="str">
        <f>IFERROR(__xludf.DUMMYFUNCTION("""COMPUTED_VALUE"""),"p_f7e1945657deb713bd41498838211351caaaba1c@inbound.aiesec.org")</f>
        <v>p_f7e1945657deb713bd41498838211351caaaba1c@inbound.aiesec.org</v>
      </c>
      <c r="F127" s="43">
        <f>IFERROR(__xludf.DUMMYFUNCTION("""COMPUTED_VALUE"""),5.5342777E7)</f>
        <v>55342777</v>
      </c>
      <c r="G127" s="43" t="str">
        <f>IFERROR(__xludf.DUMMYFUNCTION("""COMPUTED_VALUE"""),"Tunisia")</f>
        <v>Tunisia</v>
      </c>
      <c r="H127" s="43" t="str">
        <f>IFERROR(__xludf.DUMMYFUNCTION("""COMPUTED_VALUE"""),"BARDO")</f>
        <v>BARDO</v>
      </c>
      <c r="I127" s="43" t="str">
        <f>IFERROR(__xludf.DUMMYFUNCTION("""COMPUTED_VALUE"""),"Turkey")</f>
        <v>Turkey</v>
      </c>
      <c r="J127" s="43" t="str">
        <f>IFERROR(__xludf.DUMMYFUNCTION("""COMPUTED_VALUE"""),"KOCAELI")</f>
        <v>KOCAELI</v>
      </c>
      <c r="K127" s="44" t="str">
        <f>IFERROR(__xludf.DUMMYFUNCTION("""COMPUTED_VALUE"""),"https://expa.aiesec.org/opportunities/1288916")</f>
        <v>https://expa.aiesec.org/opportunities/1288916</v>
      </c>
      <c r="L127" s="43" t="str">
        <f>IFERROR(__xludf.DUMMYFUNCTION("""COMPUTED_VALUE"""),"GV")</f>
        <v>GV</v>
      </c>
      <c r="M127" s="43" t="str">
        <f>IFERROR(__xludf.DUMMYFUNCTION("""COMPUTED_VALUE"""),"short")</f>
        <v>short</v>
      </c>
      <c r="N127" s="45">
        <f>IFERROR(__xludf.DUMMYFUNCTION("""COMPUTED_VALUE"""),44812.0)</f>
        <v>44812</v>
      </c>
      <c r="O127" s="45">
        <f>IFERROR(__xludf.DUMMYFUNCTION("""COMPUTED_VALUE"""),44851.0)</f>
        <v>44851</v>
      </c>
      <c r="P127" s="45">
        <f>IFERROR(__xludf.DUMMYFUNCTION("""COMPUTED_VALUE"""),44893.0)</f>
        <v>44893</v>
      </c>
      <c r="Q127" s="45">
        <f>IFERROR(__xludf.DUMMYFUNCTION("""COMPUTED_VALUE"""),44853.0)</f>
        <v>44853</v>
      </c>
      <c r="R127" s="45">
        <f>IFERROR(__xludf.DUMMYFUNCTION("""COMPUTED_VALUE"""),44891.0)</f>
        <v>44891</v>
      </c>
      <c r="S127" s="43"/>
      <c r="T127" s="43"/>
      <c r="U127" s="43" t="str">
        <f>IFERROR(__xludf.DUMMYFUNCTION("""COMPUTED_VALUE"""),"Heartbeat")</f>
        <v>Heartbeat</v>
      </c>
      <c r="V127" s="43" t="str">
        <f>IFERROR(__xludf.DUMMYFUNCTION("""COMPUTED_VALUE"""),"TBS")</f>
        <v>TBS</v>
      </c>
      <c r="W127" s="43" t="str">
        <f>IFERROR(__xludf.DUMMYFUNCTION("""COMPUTED_VALUE"""),"2020-02-05T16:58:41Z")</f>
        <v>2020-02-05T16:58:41Z</v>
      </c>
      <c r="X127" s="43"/>
      <c r="Y127" s="43"/>
      <c r="Z127" s="43"/>
    </row>
    <row r="128" hidden="1">
      <c r="A128" s="43" t="str">
        <f>IFERROR(__xludf.DUMMYFUNCTION("""COMPUTED_VALUE"""),"5102307_1287925")</f>
        <v>5102307_1287925</v>
      </c>
      <c r="B128" s="43" t="str">
        <f>IFERROR(__xludf.DUMMYFUNCTION("""COMPUTED_VALUE"""),"Radhouene Machfar")</f>
        <v>Radhouene Machfar</v>
      </c>
      <c r="C128" s="43" t="str">
        <f>IFERROR(__xludf.DUMMYFUNCTION("""COMPUTED_VALUE"""),"finished")</f>
        <v>finished</v>
      </c>
      <c r="D128" s="43" t="str">
        <f>IFERROR(__xludf.DUMMYFUNCTION("""COMPUTED_VALUE"""),"No")</f>
        <v>No</v>
      </c>
      <c r="E128" s="43" t="str">
        <f>IFERROR(__xludf.DUMMYFUNCTION("""COMPUTED_VALUE"""),"p_0199e2a880c1fb05faa35acf2dcfab1f311d5464@inbound.aiesec.org")</f>
        <v>p_0199e2a880c1fb05faa35acf2dcfab1f311d5464@inbound.aiesec.org</v>
      </c>
      <c r="F128" s="43">
        <f>IFERROR(__xludf.DUMMYFUNCTION("""COMPUTED_VALUE"""),2.8127021E7)</f>
        <v>28127021</v>
      </c>
      <c r="G128" s="43" t="str">
        <f>IFERROR(__xludf.DUMMYFUNCTION("""COMPUTED_VALUE"""),"Tunisia")</f>
        <v>Tunisia</v>
      </c>
      <c r="H128" s="43" t="str">
        <f>IFERROR(__xludf.DUMMYFUNCTION("""COMPUTED_VALUE"""),"THYNA")</f>
        <v>THYNA</v>
      </c>
      <c r="I128" s="43" t="str">
        <f>IFERROR(__xludf.DUMMYFUNCTION("""COMPUTED_VALUE"""),"Turkey")</f>
        <v>Turkey</v>
      </c>
      <c r="J128" s="43" t="str">
        <f>IFERROR(__xludf.DUMMYFUNCTION("""COMPUTED_VALUE"""),"DENIZLI")</f>
        <v>DENIZLI</v>
      </c>
      <c r="K128" s="44" t="str">
        <f>IFERROR(__xludf.DUMMYFUNCTION("""COMPUTED_VALUE"""),"https://expa.aiesec.org/opportunities/1287925")</f>
        <v>https://expa.aiesec.org/opportunities/1287925</v>
      </c>
      <c r="L128" s="43" t="str">
        <f>IFERROR(__xludf.DUMMYFUNCTION("""COMPUTED_VALUE"""),"GV")</f>
        <v>GV</v>
      </c>
      <c r="M128" s="43" t="str">
        <f>IFERROR(__xludf.DUMMYFUNCTION("""COMPUTED_VALUE"""),"short")</f>
        <v>short</v>
      </c>
      <c r="N128" s="45">
        <f>IFERROR(__xludf.DUMMYFUNCTION("""COMPUTED_VALUE"""),44814.0)</f>
        <v>44814</v>
      </c>
      <c r="O128" s="45">
        <f>IFERROR(__xludf.DUMMYFUNCTION("""COMPUTED_VALUE"""),44816.0)</f>
        <v>44816</v>
      </c>
      <c r="P128" s="45">
        <f>IFERROR(__xludf.DUMMYFUNCTION("""COMPUTED_VALUE"""),44858.0)</f>
        <v>44858</v>
      </c>
      <c r="Q128" s="45">
        <f>IFERROR(__xludf.DUMMYFUNCTION("""COMPUTED_VALUE"""),44815.0)</f>
        <v>44815</v>
      </c>
      <c r="R128" s="45">
        <f>IFERROR(__xludf.DUMMYFUNCTION("""COMPUTED_VALUE"""),44858.0)</f>
        <v>44858</v>
      </c>
      <c r="S128" s="43"/>
      <c r="T128" s="43"/>
      <c r="U128" s="43" t="str">
        <f>IFERROR(__xludf.DUMMYFUNCTION("""COMPUTED_VALUE"""),"Youth 4 Impact")</f>
        <v>Youth 4 Impact</v>
      </c>
      <c r="V128" s="43" t="str">
        <f>IFERROR(__xludf.DUMMYFUNCTION("""COMPUTED_VALUE"""),"ISAAS")</f>
        <v>ISAAS</v>
      </c>
      <c r="W128" s="43" t="str">
        <f>IFERROR(__xludf.DUMMYFUNCTION("""COMPUTED_VALUE"""),"2022-08-30T13:28:26Z")</f>
        <v>2022-08-30T13:28:26Z</v>
      </c>
      <c r="X128" s="43"/>
      <c r="Y128" s="43"/>
      <c r="Z128" s="43"/>
    </row>
    <row r="129" hidden="1">
      <c r="A129" s="43" t="str">
        <f>IFERROR(__xludf.DUMMYFUNCTION("""COMPUTED_VALUE"""),"4964683_1288970")</f>
        <v>4964683_1288970</v>
      </c>
      <c r="B129" s="43" t="str">
        <f>IFERROR(__xludf.DUMMYFUNCTION("""COMPUTED_VALUE"""),"Ahmed Adly")</f>
        <v>Ahmed Adly</v>
      </c>
      <c r="C129" s="43" t="str">
        <f>IFERROR(__xludf.DUMMYFUNCTION("""COMPUTED_VALUE"""),"approved")</f>
        <v>approved</v>
      </c>
      <c r="D129" s="43" t="str">
        <f>IFERROR(__xludf.DUMMYFUNCTION("""COMPUTED_VALUE"""),"No")</f>
        <v>No</v>
      </c>
      <c r="E129" s="43" t="str">
        <f>IFERROR(__xludf.DUMMYFUNCTION("""COMPUTED_VALUE"""),"p_902ea0c76e1d7c5af399f7dc35667f15b1e7949a@inbound.aiesec.org")</f>
        <v>p_902ea0c76e1d7c5af399f7dc35667f15b1e7949a@inbound.aiesec.org</v>
      </c>
      <c r="F129" s="43">
        <f>IFERROR(__xludf.DUMMYFUNCTION("""COMPUTED_VALUE"""),1.0005685E9)</f>
        <v>1000568500</v>
      </c>
      <c r="G129" s="43" t="str">
        <f>IFERROR(__xludf.DUMMYFUNCTION("""COMPUTED_VALUE"""),"Egypt")</f>
        <v>Egypt</v>
      </c>
      <c r="H129" s="43" t="str">
        <f>IFERROR(__xludf.DUMMYFUNCTION("""COMPUTED_VALUE"""),"GUC")</f>
        <v>GUC</v>
      </c>
      <c r="I129" s="43" t="str">
        <f>IFERROR(__xludf.DUMMYFUNCTION("""COMPUTED_VALUE"""),"Turkey")</f>
        <v>Turkey</v>
      </c>
      <c r="J129" s="43" t="str">
        <f>IFERROR(__xludf.DUMMYFUNCTION("""COMPUTED_VALUE"""),"İZMİR")</f>
        <v>İZMİR</v>
      </c>
      <c r="K129" s="44" t="str">
        <f>IFERROR(__xludf.DUMMYFUNCTION("""COMPUTED_VALUE"""),"https://expa.aiesec.org/opportunities/1288970")</f>
        <v>https://expa.aiesec.org/opportunities/1288970</v>
      </c>
      <c r="L129" s="43" t="str">
        <f>IFERROR(__xludf.DUMMYFUNCTION("""COMPUTED_VALUE"""),"GV")</f>
        <v>GV</v>
      </c>
      <c r="M129" s="43" t="str">
        <f>IFERROR(__xludf.DUMMYFUNCTION("""COMPUTED_VALUE"""),"short")</f>
        <v>short</v>
      </c>
      <c r="N129" s="45">
        <f>IFERROR(__xludf.DUMMYFUNCTION("""COMPUTED_VALUE"""),44814.0)</f>
        <v>44814</v>
      </c>
      <c r="O129" s="45">
        <f>IFERROR(__xludf.DUMMYFUNCTION("""COMPUTED_VALUE"""),45123.0)</f>
        <v>45123</v>
      </c>
      <c r="P129" s="45">
        <f>IFERROR(__xludf.DUMMYFUNCTION("""COMPUTED_VALUE"""),45165.0)</f>
        <v>45165</v>
      </c>
      <c r="Q129" s="45"/>
      <c r="R129" s="45"/>
      <c r="S129" s="43"/>
      <c r="T129" s="43"/>
      <c r="U129" s="43" t="str">
        <f>IFERROR(__xludf.DUMMYFUNCTION("""COMPUTED_VALUE"""),"Fingerprint")</f>
        <v>Fingerprint</v>
      </c>
      <c r="V129" s="43" t="str">
        <f>IFERROR(__xludf.DUMMYFUNCTION("""COMPUTED_VALUE"""),"GUC")</f>
        <v>GUC</v>
      </c>
      <c r="W129" s="43" t="str">
        <f>IFERROR(__xludf.DUMMYFUNCTION("""COMPUTED_VALUE"""),"2022-03-05T13:08:37Z")</f>
        <v>2022-03-05T13:08:37Z</v>
      </c>
      <c r="X129" s="43"/>
      <c r="Y129" s="43"/>
      <c r="Z129" s="43"/>
    </row>
    <row r="130">
      <c r="A130" s="43" t="str">
        <f>IFERROR(__xludf.DUMMYFUNCTION("""COMPUTED_VALUE"""),"5106370_1287854")</f>
        <v>5106370_1287854</v>
      </c>
      <c r="B130" s="43" t="str">
        <f>IFERROR(__xludf.DUMMYFUNCTION("""COMPUTED_VALUE"""),"Tainá Pinto")</f>
        <v>Tainá Pinto</v>
      </c>
      <c r="C130" s="43" t="str">
        <f>IFERROR(__xludf.DUMMYFUNCTION("""COMPUTED_VALUE"""),"approved")</f>
        <v>approved</v>
      </c>
      <c r="D130" s="43" t="str">
        <f>IFERROR(__xludf.DUMMYFUNCTION("""COMPUTED_VALUE"""),"No")</f>
        <v>No</v>
      </c>
      <c r="E130" s="43" t="str">
        <f>IFERROR(__xludf.DUMMYFUNCTION("""COMPUTED_VALUE"""),"p_32decb57665a39eca5ee3bcd9d6745d0d0fb0acf@inbound.aiesec.org")</f>
        <v>p_32decb57665a39eca5ee3bcd9d6745d0d0fb0acf@inbound.aiesec.org</v>
      </c>
      <c r="F130" s="43">
        <f>IFERROR(__xludf.DUMMYFUNCTION("""COMPUTED_VALUE"""),1.9993584506E10)</f>
        <v>19993584506</v>
      </c>
      <c r="G130" s="43" t="str">
        <f>IFERROR(__xludf.DUMMYFUNCTION("""COMPUTED_VALUE"""),"Brazil")</f>
        <v>Brazil</v>
      </c>
      <c r="H130" s="43" t="str">
        <f>IFERROR(__xludf.DUMMYFUNCTION("""COMPUTED_VALUE"""),"ARACAJU")</f>
        <v>ARACAJU</v>
      </c>
      <c r="I130" s="43" t="str">
        <f>IFERROR(__xludf.DUMMYFUNCTION("""COMPUTED_VALUE"""),"Turkey")</f>
        <v>Turkey</v>
      </c>
      <c r="J130" s="43" t="str">
        <f>IFERROR(__xludf.DUMMYFUNCTION("""COMPUTED_VALUE"""),"İZMİR")</f>
        <v>İZMİR</v>
      </c>
      <c r="K130" s="44" t="str">
        <f>IFERROR(__xludf.DUMMYFUNCTION("""COMPUTED_VALUE"""),"https://expa.aiesec.org/opportunities/1287854")</f>
        <v>https://expa.aiesec.org/opportunities/1287854</v>
      </c>
      <c r="L130" s="43" t="str">
        <f>IFERROR(__xludf.DUMMYFUNCTION("""COMPUTED_VALUE"""),"GV")</f>
        <v>GV</v>
      </c>
      <c r="M130" s="43" t="str">
        <f>IFERROR(__xludf.DUMMYFUNCTION("""COMPUTED_VALUE"""),"short")</f>
        <v>short</v>
      </c>
      <c r="N130" s="45">
        <f>IFERROR(__xludf.DUMMYFUNCTION("""COMPUTED_VALUE"""),44814.0)</f>
        <v>44814</v>
      </c>
      <c r="O130" s="45">
        <f>IFERROR(__xludf.DUMMYFUNCTION("""COMPUTED_VALUE"""),44990.0)</f>
        <v>44990</v>
      </c>
      <c r="P130" s="45">
        <f>IFERROR(__xludf.DUMMYFUNCTION("""COMPUTED_VALUE"""),45032.0)</f>
        <v>45032</v>
      </c>
      <c r="Q130" s="45"/>
      <c r="R130" s="45"/>
      <c r="S130" s="43"/>
      <c r="T130" s="43"/>
      <c r="U130" s="43" t="str">
        <f>IFERROR(__xludf.DUMMYFUNCTION("""COMPUTED_VALUE"""),"Global Classroom")</f>
        <v>Global Classroom</v>
      </c>
      <c r="V130" s="43" t="str">
        <f>IFERROR(__xludf.DUMMYFUNCTION("""COMPUTED_VALUE"""),"Aracaju")</f>
        <v>Aracaju</v>
      </c>
      <c r="W130" s="43" t="str">
        <f>IFERROR(__xludf.DUMMYFUNCTION("""COMPUTED_VALUE"""),"2022-09-06T01:15:53Z")</f>
        <v>2022-09-06T01:15:53Z</v>
      </c>
      <c r="X130" s="43"/>
      <c r="Y130" s="43"/>
      <c r="Z130" s="43"/>
    </row>
    <row r="131" hidden="1">
      <c r="A131" s="43" t="str">
        <f>IFERROR(__xludf.DUMMYFUNCTION("""COMPUTED_VALUE"""),"5077115_1286326")</f>
        <v>5077115_1286326</v>
      </c>
      <c r="B131" s="43" t="str">
        <f>IFERROR(__xludf.DUMMYFUNCTION("""COMPUTED_VALUE"""),"Firdaws Ouquessiss")</f>
        <v>Firdaws Ouquessiss</v>
      </c>
      <c r="C131" s="43" t="str">
        <f>IFERROR(__xludf.DUMMYFUNCTION("""COMPUTED_VALUE"""),"finished")</f>
        <v>finished</v>
      </c>
      <c r="D131" s="43" t="str">
        <f>IFERROR(__xludf.DUMMYFUNCTION("""COMPUTED_VALUE"""),"No")</f>
        <v>No</v>
      </c>
      <c r="E131" s="43" t="str">
        <f>IFERROR(__xludf.DUMMYFUNCTION("""COMPUTED_VALUE"""),"p_cfb536cf5e19be1ee06f7d48587a04caae7a839a@inbound.aiesec.org")</f>
        <v>p_cfb536cf5e19be1ee06f7d48587a04caae7a839a@inbound.aiesec.org</v>
      </c>
      <c r="F131" s="43">
        <f>IFERROR(__xludf.DUMMYFUNCTION("""COMPUTED_VALUE"""),6.60604322E8)</f>
        <v>660604322</v>
      </c>
      <c r="G131" s="43" t="str">
        <f>IFERROR(__xludf.DUMMYFUNCTION("""COMPUTED_VALUE"""),"France")</f>
        <v>France</v>
      </c>
      <c r="H131" s="43" t="str">
        <f>IFERROR(__xludf.DUMMYFUNCTION("""COMPUTED_VALUE"""),"Universités de Paris")</f>
        <v>Universités de Paris</v>
      </c>
      <c r="I131" s="43" t="str">
        <f>IFERROR(__xludf.DUMMYFUNCTION("""COMPUTED_VALUE"""),"Turkey")</f>
        <v>Turkey</v>
      </c>
      <c r="J131" s="43" t="str">
        <f>IFERROR(__xludf.DUMMYFUNCTION("""COMPUTED_VALUE"""),"ADANA")</f>
        <v>ADANA</v>
      </c>
      <c r="K131" s="44" t="str">
        <f>IFERROR(__xludf.DUMMYFUNCTION("""COMPUTED_VALUE"""),"https://expa.aiesec.org/opportunities/1286326")</f>
        <v>https://expa.aiesec.org/opportunities/1286326</v>
      </c>
      <c r="L131" s="43" t="str">
        <f>IFERROR(__xludf.DUMMYFUNCTION("""COMPUTED_VALUE"""),"GV")</f>
        <v>GV</v>
      </c>
      <c r="M131" s="43" t="str">
        <f>IFERROR(__xludf.DUMMYFUNCTION("""COMPUTED_VALUE"""),"short")</f>
        <v>short</v>
      </c>
      <c r="N131" s="45">
        <f>IFERROR(__xludf.DUMMYFUNCTION("""COMPUTED_VALUE"""),44814.0)</f>
        <v>44814</v>
      </c>
      <c r="O131" s="45">
        <f>IFERROR(__xludf.DUMMYFUNCTION("""COMPUTED_VALUE"""),44816.0)</f>
        <v>44816</v>
      </c>
      <c r="P131" s="45">
        <f>IFERROR(__xludf.DUMMYFUNCTION("""COMPUTED_VALUE"""),44862.0)</f>
        <v>44862</v>
      </c>
      <c r="Q131" s="45">
        <f>IFERROR(__xludf.DUMMYFUNCTION("""COMPUTED_VALUE"""),44816.0)</f>
        <v>44816</v>
      </c>
      <c r="R131" s="45">
        <f>IFERROR(__xludf.DUMMYFUNCTION("""COMPUTED_VALUE"""),44862.0)</f>
        <v>44862</v>
      </c>
      <c r="S131" s="43"/>
      <c r="T131" s="43"/>
      <c r="U131" s="43" t="str">
        <f>IFERROR(__xludf.DUMMYFUNCTION("""COMPUTED_VALUE"""),"Equify")</f>
        <v>Equify</v>
      </c>
      <c r="V131" s="43" t="str">
        <f>IFERROR(__xludf.DUMMYFUNCTION("""COMPUTED_VALUE"""),"Paris - other University")</f>
        <v>Paris - other University</v>
      </c>
      <c r="W131" s="43" t="str">
        <f>IFERROR(__xludf.DUMMYFUNCTION("""COMPUTED_VALUE"""),"2022-06-27T13:48:46Z")</f>
        <v>2022-06-27T13:48:46Z</v>
      </c>
      <c r="X131" s="43"/>
      <c r="Y131" s="43"/>
      <c r="Z131" s="43"/>
    </row>
    <row r="132" hidden="1">
      <c r="A132" s="43" t="str">
        <f>IFERROR(__xludf.DUMMYFUNCTION("""COMPUTED_VALUE"""),"5106900_1288245")</f>
        <v>5106900_1288245</v>
      </c>
      <c r="B132" s="43" t="str">
        <f>IFERROR(__xludf.DUMMYFUNCTION("""COMPUTED_VALUE"""),"Sohila Omar")</f>
        <v>Sohila Omar</v>
      </c>
      <c r="C132" s="43" t="str">
        <f>IFERROR(__xludf.DUMMYFUNCTION("""COMPUTED_VALUE"""),"completed")</f>
        <v>completed</v>
      </c>
      <c r="D132" s="43" t="str">
        <f>IFERROR(__xludf.DUMMYFUNCTION("""COMPUTED_VALUE"""),"No")</f>
        <v>No</v>
      </c>
      <c r="E132" s="43" t="str">
        <f>IFERROR(__xludf.DUMMYFUNCTION("""COMPUTED_VALUE"""),"p_e52ddc8fcd6ced0f091c4ce407c88eecd0092da2@inbound.aiesec.org")</f>
        <v>p_e52ddc8fcd6ced0f091c4ce407c88eecd0092da2@inbound.aiesec.org</v>
      </c>
      <c r="F132" s="43">
        <f>IFERROR(__xludf.DUMMYFUNCTION("""COMPUTED_VALUE"""),1.151516239E9)</f>
        <v>1151516239</v>
      </c>
      <c r="G132" s="43" t="str">
        <f>IFERROR(__xludf.DUMMYFUNCTION("""COMPUTED_VALUE"""),"Egypt")</f>
        <v>Egypt</v>
      </c>
      <c r="H132" s="43" t="str">
        <f>IFERROR(__xludf.DUMMYFUNCTION("""COMPUTED_VALUE"""),"MSA")</f>
        <v>MSA</v>
      </c>
      <c r="I132" s="43" t="str">
        <f>IFERROR(__xludf.DUMMYFUNCTION("""COMPUTED_VALUE"""),"Turkey")</f>
        <v>Turkey</v>
      </c>
      <c r="J132" s="43" t="str">
        <f>IFERROR(__xludf.DUMMYFUNCTION("""COMPUTED_VALUE"""),"İZMİR")</f>
        <v>İZMİR</v>
      </c>
      <c r="K132" s="44" t="str">
        <f>IFERROR(__xludf.DUMMYFUNCTION("""COMPUTED_VALUE"""),"https://expa.aiesec.org/opportunities/1288245")</f>
        <v>https://expa.aiesec.org/opportunities/1288245</v>
      </c>
      <c r="L132" s="43" t="str">
        <f>IFERROR(__xludf.DUMMYFUNCTION("""COMPUTED_VALUE"""),"GV")</f>
        <v>GV</v>
      </c>
      <c r="M132" s="43" t="str">
        <f>IFERROR(__xludf.DUMMYFUNCTION("""COMPUTED_VALUE"""),"short")</f>
        <v>short</v>
      </c>
      <c r="N132" s="45">
        <f>IFERROR(__xludf.DUMMYFUNCTION("""COMPUTED_VALUE"""),44815.0)</f>
        <v>44815</v>
      </c>
      <c r="O132" s="45">
        <f>IFERROR(__xludf.DUMMYFUNCTION("""COMPUTED_VALUE"""),44871.0)</f>
        <v>44871</v>
      </c>
      <c r="P132" s="45">
        <f>IFERROR(__xludf.DUMMYFUNCTION("""COMPUTED_VALUE"""),44913.0)</f>
        <v>44913</v>
      </c>
      <c r="Q132" s="45">
        <f>IFERROR(__xludf.DUMMYFUNCTION("""COMPUTED_VALUE"""),44875.0)</f>
        <v>44875</v>
      </c>
      <c r="R132" s="45">
        <f>IFERROR(__xludf.DUMMYFUNCTION("""COMPUTED_VALUE"""),44913.0)</f>
        <v>44913</v>
      </c>
      <c r="S132" s="43"/>
      <c r="T132" s="43"/>
      <c r="U132" s="43" t="str">
        <f>IFERROR(__xludf.DUMMYFUNCTION("""COMPUTED_VALUE"""),"Global Classroom")</f>
        <v>Global Classroom</v>
      </c>
      <c r="V132" s="43" t="str">
        <f>IFERROR(__xludf.DUMMYFUNCTION("""COMPUTED_VALUE"""),"MSA Univeristy")</f>
        <v>MSA Univeristy</v>
      </c>
      <c r="W132" s="43" t="str">
        <f>IFERROR(__xludf.DUMMYFUNCTION("""COMPUTED_VALUE"""),"2022-09-06T18:05:33Z")</f>
        <v>2022-09-06T18:05:33Z</v>
      </c>
      <c r="X132" s="43"/>
      <c r="Y132" s="43"/>
      <c r="Z132" s="43"/>
    </row>
    <row r="133">
      <c r="A133" s="43" t="str">
        <f>IFERROR(__xludf.DUMMYFUNCTION("""COMPUTED_VALUE"""),"5101301_1289020")</f>
        <v>5101301_1289020</v>
      </c>
      <c r="B133" s="43" t="str">
        <f>IFERROR(__xludf.DUMMYFUNCTION("""COMPUTED_VALUE"""),"Kamshat Bolegenova")</f>
        <v>Kamshat Bolegenova</v>
      </c>
      <c r="C133" s="43" t="str">
        <f>IFERROR(__xludf.DUMMYFUNCTION("""COMPUTED_VALUE"""),"approved")</f>
        <v>approved</v>
      </c>
      <c r="D133" s="43" t="str">
        <f>IFERROR(__xludf.DUMMYFUNCTION("""COMPUTED_VALUE"""),"No")</f>
        <v>No</v>
      </c>
      <c r="E133" s="43" t="str">
        <f>IFERROR(__xludf.DUMMYFUNCTION("""COMPUTED_VALUE"""),"p_f85be7c25d620b28d1c34e4b150c4fed465ebbaf@inbound.aiesec.org")</f>
        <v>p_f85be7c25d620b28d1c34e4b150c4fed465ebbaf@inbound.aiesec.org</v>
      </c>
      <c r="F133" s="43">
        <f>IFERROR(__xludf.DUMMYFUNCTION("""COMPUTED_VALUE"""),7.786611528E9)</f>
        <v>7786611528</v>
      </c>
      <c r="G133" s="43" t="str">
        <f>IFERROR(__xludf.DUMMYFUNCTION("""COMPUTED_VALUE"""),"Kazakhstan")</f>
        <v>Kazakhstan</v>
      </c>
      <c r="H133" s="43" t="str">
        <f>IFERROR(__xludf.DUMMYFUNCTION("""COMPUTED_VALUE"""),"ALMATY")</f>
        <v>ALMATY</v>
      </c>
      <c r="I133" s="43" t="str">
        <f>IFERROR(__xludf.DUMMYFUNCTION("""COMPUTED_VALUE"""),"Turkey")</f>
        <v>Turkey</v>
      </c>
      <c r="J133" s="43" t="str">
        <f>IFERROR(__xludf.DUMMYFUNCTION("""COMPUTED_VALUE"""),"DENIZLI")</f>
        <v>DENIZLI</v>
      </c>
      <c r="K133" s="44" t="str">
        <f>IFERROR(__xludf.DUMMYFUNCTION("""COMPUTED_VALUE"""),"https://expa.aiesec.org/opportunities/1289020")</f>
        <v>https://expa.aiesec.org/opportunities/1289020</v>
      </c>
      <c r="L133" s="43" t="str">
        <f>IFERROR(__xludf.DUMMYFUNCTION("""COMPUTED_VALUE"""),"GV")</f>
        <v>GV</v>
      </c>
      <c r="M133" s="43" t="str">
        <f>IFERROR(__xludf.DUMMYFUNCTION("""COMPUTED_VALUE"""),"short")</f>
        <v>short</v>
      </c>
      <c r="N133" s="45">
        <f>IFERROR(__xludf.DUMMYFUNCTION("""COMPUTED_VALUE"""),44816.0)</f>
        <v>44816</v>
      </c>
      <c r="O133" s="45">
        <f>IFERROR(__xludf.DUMMYFUNCTION("""COMPUTED_VALUE"""),44914.0)</f>
        <v>44914</v>
      </c>
      <c r="P133" s="45">
        <f>IFERROR(__xludf.DUMMYFUNCTION("""COMPUTED_VALUE"""),44956.0)</f>
        <v>44956</v>
      </c>
      <c r="Q133" s="45"/>
      <c r="R133" s="45"/>
      <c r="S133" s="43"/>
      <c r="T133" s="43"/>
      <c r="U133" s="43" t="str">
        <f>IFERROR(__xludf.DUMMYFUNCTION("""COMPUTED_VALUE"""),"Global Classroom")</f>
        <v>Global Classroom</v>
      </c>
      <c r="V133" s="43" t="str">
        <f>IFERROR(__xludf.DUMMYFUNCTION("""COMPUTED_VALUE"""),"Almaty")</f>
        <v>Almaty</v>
      </c>
      <c r="W133" s="43" t="str">
        <f>IFERROR(__xludf.DUMMYFUNCTION("""COMPUTED_VALUE"""),"2022-08-28T20:05:18Z")</f>
        <v>2022-08-28T20:05:18Z</v>
      </c>
      <c r="X133" s="43"/>
      <c r="Y133" s="43"/>
      <c r="Z133" s="43"/>
    </row>
    <row r="134">
      <c r="A134" s="43" t="str">
        <f>IFERROR(__xludf.DUMMYFUNCTION("""COMPUTED_VALUE"""),"5104127_1288533")</f>
        <v>5104127_1288533</v>
      </c>
      <c r="B134" s="43" t="str">
        <f>IFERROR(__xludf.DUMMYFUNCTION("""COMPUTED_VALUE"""),"Slim Ben mansour")</f>
        <v>Slim Ben mansour</v>
      </c>
      <c r="C134" s="43" t="str">
        <f>IFERROR(__xludf.DUMMYFUNCTION("""COMPUTED_VALUE"""),"approved")</f>
        <v>approved</v>
      </c>
      <c r="D134" s="43" t="str">
        <f>IFERROR(__xludf.DUMMYFUNCTION("""COMPUTED_VALUE"""),"No")</f>
        <v>No</v>
      </c>
      <c r="E134" s="43" t="str">
        <f>IFERROR(__xludf.DUMMYFUNCTION("""COMPUTED_VALUE"""),"p_46f60cb57172a73a2d625e013f377fe9eff804b5@inbound.aiesec.org")</f>
        <v>p_46f60cb57172a73a2d625e013f377fe9eff804b5@inbound.aiesec.org</v>
      </c>
      <c r="F134" s="43">
        <f>IFERROR(__xludf.DUMMYFUNCTION("""COMPUTED_VALUE"""),2.7538956E7)</f>
        <v>27538956</v>
      </c>
      <c r="G134" s="43" t="str">
        <f>IFERROR(__xludf.DUMMYFUNCTION("""COMPUTED_VALUE"""),"Tunisia")</f>
        <v>Tunisia</v>
      </c>
      <c r="H134" s="43" t="str">
        <f>IFERROR(__xludf.DUMMYFUNCTION("""COMPUTED_VALUE"""),"THYNA")</f>
        <v>THYNA</v>
      </c>
      <c r="I134" s="43" t="str">
        <f>IFERROR(__xludf.DUMMYFUNCTION("""COMPUTED_VALUE"""),"Turkey")</f>
        <v>Turkey</v>
      </c>
      <c r="J134" s="43" t="str">
        <f>IFERROR(__xludf.DUMMYFUNCTION("""COMPUTED_VALUE"""),"ISTANBUL ASIA")</f>
        <v>ISTANBUL ASIA</v>
      </c>
      <c r="K134" s="44" t="str">
        <f>IFERROR(__xludf.DUMMYFUNCTION("""COMPUTED_VALUE"""),"https://expa.aiesec.org/opportunities/1288533")</f>
        <v>https://expa.aiesec.org/opportunities/1288533</v>
      </c>
      <c r="L134" s="43" t="str">
        <f>IFERROR(__xludf.DUMMYFUNCTION("""COMPUTED_VALUE"""),"GV")</f>
        <v>GV</v>
      </c>
      <c r="M134" s="43" t="str">
        <f>IFERROR(__xludf.DUMMYFUNCTION("""COMPUTED_VALUE"""),"short")</f>
        <v>short</v>
      </c>
      <c r="N134" s="45">
        <f>IFERROR(__xludf.DUMMYFUNCTION("""COMPUTED_VALUE"""),44817.0)</f>
        <v>44817</v>
      </c>
      <c r="O134" s="45">
        <f>IFERROR(__xludf.DUMMYFUNCTION("""COMPUTED_VALUE"""),44893.0)</f>
        <v>44893</v>
      </c>
      <c r="P134" s="45">
        <f>IFERROR(__xludf.DUMMYFUNCTION("""COMPUTED_VALUE"""),44935.0)</f>
        <v>44935</v>
      </c>
      <c r="Q134" s="45"/>
      <c r="R134" s="45"/>
      <c r="S134" s="43"/>
      <c r="T134" s="43"/>
      <c r="U134" s="43" t="str">
        <f>IFERROR(__xludf.DUMMYFUNCTION("""COMPUTED_VALUE"""),"Global Classroom")</f>
        <v>Global Classroom</v>
      </c>
      <c r="V134" s="43" t="str">
        <f>IFERROR(__xludf.DUMMYFUNCTION("""COMPUTED_VALUE"""),"ISAM Sfax")</f>
        <v>ISAM Sfax</v>
      </c>
      <c r="W134" s="43" t="str">
        <f>IFERROR(__xludf.DUMMYFUNCTION("""COMPUTED_VALUE"""),"2022-09-02T11:21:35Z")</f>
        <v>2022-09-02T11:21:35Z</v>
      </c>
      <c r="X134" s="43"/>
      <c r="Y134" s="43"/>
      <c r="Z134" s="43"/>
    </row>
    <row r="135" hidden="1">
      <c r="A135" s="43" t="str">
        <f>IFERROR(__xludf.DUMMYFUNCTION("""COMPUTED_VALUE"""),"5069717_1288393")</f>
        <v>5069717_1288393</v>
      </c>
      <c r="B135" s="43" t="str">
        <f>IFERROR(__xludf.DUMMYFUNCTION("""COMPUTED_VALUE"""),"rishibha goyal")</f>
        <v>rishibha goyal</v>
      </c>
      <c r="C135" s="43" t="str">
        <f>IFERROR(__xludf.DUMMYFUNCTION("""COMPUTED_VALUE"""),"finished")</f>
        <v>finished</v>
      </c>
      <c r="D135" s="43" t="str">
        <f>IFERROR(__xludf.DUMMYFUNCTION("""COMPUTED_VALUE"""),"No")</f>
        <v>No</v>
      </c>
      <c r="E135" s="43" t="str">
        <f>IFERROR(__xludf.DUMMYFUNCTION("""COMPUTED_VALUE"""),"p_4a23a80fc7f50ddc9ec0f5d71c35b88dd10ac608@inbound.aiesec.org")</f>
        <v>p_4a23a80fc7f50ddc9ec0f5d71c35b88dd10ac608@inbound.aiesec.org</v>
      </c>
      <c r="F135" s="43">
        <f>IFERROR(__xludf.DUMMYFUNCTION("""COMPUTED_VALUE"""),9.821717795E9)</f>
        <v>9821717795</v>
      </c>
      <c r="G135" s="43" t="str">
        <f>IFERROR(__xludf.DUMMYFUNCTION("""COMPUTED_VALUE"""),"India")</f>
        <v>India</v>
      </c>
      <c r="H135" s="43" t="str">
        <f>IFERROR(__xludf.DUMMYFUNCTION("""COMPUTED_VALUE"""),"Delhi University")</f>
        <v>Delhi University</v>
      </c>
      <c r="I135" s="43" t="str">
        <f>IFERROR(__xludf.DUMMYFUNCTION("""COMPUTED_VALUE"""),"Turkey")</f>
        <v>Turkey</v>
      </c>
      <c r="J135" s="43" t="str">
        <f>IFERROR(__xludf.DUMMYFUNCTION("""COMPUTED_VALUE"""),"ISTANBUL")</f>
        <v>ISTANBUL</v>
      </c>
      <c r="K135" s="44" t="str">
        <f>IFERROR(__xludf.DUMMYFUNCTION("""COMPUTED_VALUE"""),"https://expa.aiesec.org/opportunities/1288393")</f>
        <v>https://expa.aiesec.org/opportunities/1288393</v>
      </c>
      <c r="L135" s="43" t="str">
        <f>IFERROR(__xludf.DUMMYFUNCTION("""COMPUTED_VALUE"""),"GV")</f>
        <v>GV</v>
      </c>
      <c r="M135" s="43" t="str">
        <f>IFERROR(__xludf.DUMMYFUNCTION("""COMPUTED_VALUE"""),"short")</f>
        <v>short</v>
      </c>
      <c r="N135" s="45">
        <f>IFERROR(__xludf.DUMMYFUNCTION("""COMPUTED_VALUE"""),44819.0)</f>
        <v>44819</v>
      </c>
      <c r="O135" s="45">
        <f>IFERROR(__xludf.DUMMYFUNCTION("""COMPUTED_VALUE"""),44922.0)</f>
        <v>44922</v>
      </c>
      <c r="P135" s="45">
        <f>IFERROR(__xludf.DUMMYFUNCTION("""COMPUTED_VALUE"""),44964.0)</f>
        <v>44964</v>
      </c>
      <c r="Q135" s="45">
        <f>IFERROR(__xludf.DUMMYFUNCTION("""COMPUTED_VALUE"""),44922.0)</f>
        <v>44922</v>
      </c>
      <c r="R135" s="45">
        <f>IFERROR(__xludf.DUMMYFUNCTION("""COMPUTED_VALUE"""),44964.0)</f>
        <v>44964</v>
      </c>
      <c r="S135" s="43"/>
      <c r="T135" s="43"/>
      <c r="U135" s="43" t="str">
        <f>IFERROR(__xludf.DUMMYFUNCTION("""COMPUTED_VALUE"""),"Global Classroom")</f>
        <v>Global Classroom</v>
      </c>
      <c r="V135" s="43" t="str">
        <f>IFERROR(__xludf.DUMMYFUNCTION("""COMPUTED_VALUE"""),"North Campus, Delhi University")</f>
        <v>North Campus, Delhi University</v>
      </c>
      <c r="W135" s="43" t="str">
        <f>IFERROR(__xludf.DUMMYFUNCTION("""COMPUTED_VALUE"""),"2022-06-07T14:29:00Z")</f>
        <v>2022-06-07T14:29:00Z</v>
      </c>
      <c r="X135" s="43"/>
      <c r="Y135" s="43"/>
      <c r="Z135" s="43"/>
    </row>
    <row r="136" hidden="1">
      <c r="A136" s="43" t="str">
        <f>IFERROR(__xludf.DUMMYFUNCTION("""COMPUTED_VALUE"""),"5107246_1288393")</f>
        <v>5107246_1288393</v>
      </c>
      <c r="B136" s="43" t="str">
        <f>IFERROR(__xludf.DUMMYFUNCTION("""COMPUTED_VALUE"""),"Shahab-Uddin Khan")</f>
        <v>Shahab-Uddin Khan</v>
      </c>
      <c r="C136" s="43" t="str">
        <f>IFERROR(__xludf.DUMMYFUNCTION("""COMPUTED_VALUE"""),"finished")</f>
        <v>finished</v>
      </c>
      <c r="D136" s="43" t="str">
        <f>IFERROR(__xludf.DUMMYFUNCTION("""COMPUTED_VALUE"""),"No")</f>
        <v>No</v>
      </c>
      <c r="E136" s="43" t="str">
        <f>IFERROR(__xludf.DUMMYFUNCTION("""COMPUTED_VALUE"""),"p_0f25f1cd7979e375b6ad7921b92840723821b148@inbound.aiesec.org")</f>
        <v>p_0f25f1cd7979e375b6ad7921b92840723821b148@inbound.aiesec.org</v>
      </c>
      <c r="F136" s="43">
        <f>IFERROR(__xludf.DUMMYFUNCTION("""COMPUTED_VALUE"""),6.477038331E9)</f>
        <v>6477038331</v>
      </c>
      <c r="G136" s="43" t="str">
        <f>IFERROR(__xludf.DUMMYFUNCTION("""COMPUTED_VALUE"""),"Canada")</f>
        <v>Canada</v>
      </c>
      <c r="H136" s="43" t="str">
        <f>IFERROR(__xludf.DUMMYFUNCTION("""COMPUTED_VALUE"""),"OSHAWA")</f>
        <v>OSHAWA</v>
      </c>
      <c r="I136" s="43" t="str">
        <f>IFERROR(__xludf.DUMMYFUNCTION("""COMPUTED_VALUE"""),"Turkey")</f>
        <v>Turkey</v>
      </c>
      <c r="J136" s="43" t="str">
        <f>IFERROR(__xludf.DUMMYFUNCTION("""COMPUTED_VALUE"""),"ISTANBUL")</f>
        <v>ISTANBUL</v>
      </c>
      <c r="K136" s="44" t="str">
        <f>IFERROR(__xludf.DUMMYFUNCTION("""COMPUTED_VALUE"""),"https://expa.aiesec.org/opportunities/1288393")</f>
        <v>https://expa.aiesec.org/opportunities/1288393</v>
      </c>
      <c r="L136" s="43" t="str">
        <f>IFERROR(__xludf.DUMMYFUNCTION("""COMPUTED_VALUE"""),"GV")</f>
        <v>GV</v>
      </c>
      <c r="M136" s="43" t="str">
        <f>IFERROR(__xludf.DUMMYFUNCTION("""COMPUTED_VALUE"""),"short")</f>
        <v>short</v>
      </c>
      <c r="N136" s="45">
        <f>IFERROR(__xludf.DUMMYFUNCTION("""COMPUTED_VALUE"""),44819.0)</f>
        <v>44819</v>
      </c>
      <c r="O136" s="45">
        <f>IFERROR(__xludf.DUMMYFUNCTION("""COMPUTED_VALUE"""),44880.0)</f>
        <v>44880</v>
      </c>
      <c r="P136" s="45">
        <f>IFERROR(__xludf.DUMMYFUNCTION("""COMPUTED_VALUE"""),44922.0)</f>
        <v>44922</v>
      </c>
      <c r="Q136" s="45">
        <f>IFERROR(__xludf.DUMMYFUNCTION("""COMPUTED_VALUE"""),44879.0)</f>
        <v>44879</v>
      </c>
      <c r="R136" s="45">
        <f>IFERROR(__xludf.DUMMYFUNCTION("""COMPUTED_VALUE"""),44921.0)</f>
        <v>44921</v>
      </c>
      <c r="S136" s="43"/>
      <c r="T136" s="43"/>
      <c r="U136" s="43" t="str">
        <f>IFERROR(__xludf.DUMMYFUNCTION("""COMPUTED_VALUE"""),"Global Classroom")</f>
        <v>Global Classroom</v>
      </c>
      <c r="V136" s="43" t="str">
        <f>IFERROR(__xludf.DUMMYFUNCTION("""COMPUTED_VALUE"""),"Ontario Tech University")</f>
        <v>Ontario Tech University</v>
      </c>
      <c r="W136" s="43" t="str">
        <f>IFERROR(__xludf.DUMMYFUNCTION("""COMPUTED_VALUE"""),"2022-09-07T21:18:19Z")</f>
        <v>2022-09-07T21:18:19Z</v>
      </c>
      <c r="X136" s="43"/>
      <c r="Y136" s="43"/>
      <c r="Z136" s="43"/>
    </row>
    <row r="137" hidden="1">
      <c r="A137" s="43" t="str">
        <f>IFERROR(__xludf.DUMMYFUNCTION("""COMPUTED_VALUE"""),"5085757_1287851")</f>
        <v>5085757_1287851</v>
      </c>
      <c r="B137" s="43" t="str">
        <f>IFERROR(__xludf.DUMMYFUNCTION("""COMPUTED_VALUE"""),"Lynn Maina")</f>
        <v>Lynn Maina</v>
      </c>
      <c r="C137" s="43" t="str">
        <f>IFERROR(__xludf.DUMMYFUNCTION("""COMPUTED_VALUE"""),"finished")</f>
        <v>finished</v>
      </c>
      <c r="D137" s="43" t="str">
        <f>IFERROR(__xludf.DUMMYFUNCTION("""COMPUTED_VALUE"""),"No")</f>
        <v>No</v>
      </c>
      <c r="E137" s="43" t="str">
        <f>IFERROR(__xludf.DUMMYFUNCTION("""COMPUTED_VALUE"""),"p_f2861628985cf68225709e82c9f44e44675664e3@inbound.aiesec.org")</f>
        <v>p_f2861628985cf68225709e82c9f44e44675664e3@inbound.aiesec.org</v>
      </c>
      <c r="F137" s="43">
        <f>IFERROR(__xludf.DUMMYFUNCTION("""COMPUTED_VALUE"""),7.27051358E8)</f>
        <v>727051358</v>
      </c>
      <c r="G137" s="43" t="str">
        <f>IFERROR(__xludf.DUMMYFUNCTION("""COMPUTED_VALUE"""),"Kenya")</f>
        <v>Kenya</v>
      </c>
      <c r="H137" s="43" t="str">
        <f>IFERROR(__xludf.DUMMYFUNCTION("""COMPUTED_VALUE"""),"UoN")</f>
        <v>UoN</v>
      </c>
      <c r="I137" s="43" t="str">
        <f>IFERROR(__xludf.DUMMYFUNCTION("""COMPUTED_VALUE"""),"Turkey")</f>
        <v>Turkey</v>
      </c>
      <c r="J137" s="43" t="str">
        <f>IFERROR(__xludf.DUMMYFUNCTION("""COMPUTED_VALUE"""),"KOCAELI")</f>
        <v>KOCAELI</v>
      </c>
      <c r="K137" s="44" t="str">
        <f>IFERROR(__xludf.DUMMYFUNCTION("""COMPUTED_VALUE"""),"https://expa.aiesec.org/opportunities/1287851")</f>
        <v>https://expa.aiesec.org/opportunities/1287851</v>
      </c>
      <c r="L137" s="43" t="str">
        <f>IFERROR(__xludf.DUMMYFUNCTION("""COMPUTED_VALUE"""),"GV")</f>
        <v>GV</v>
      </c>
      <c r="M137" s="43" t="str">
        <f>IFERROR(__xludf.DUMMYFUNCTION("""COMPUTED_VALUE"""),"short")</f>
        <v>short</v>
      </c>
      <c r="N137" s="45">
        <f>IFERROR(__xludf.DUMMYFUNCTION("""COMPUTED_VALUE"""),44820.0)</f>
        <v>44820</v>
      </c>
      <c r="O137" s="45">
        <f>IFERROR(__xludf.DUMMYFUNCTION("""COMPUTED_VALUE"""),44865.0)</f>
        <v>44865</v>
      </c>
      <c r="P137" s="45">
        <f>IFERROR(__xludf.DUMMYFUNCTION("""COMPUTED_VALUE"""),44907.0)</f>
        <v>44907</v>
      </c>
      <c r="Q137" s="45">
        <f>IFERROR(__xludf.DUMMYFUNCTION("""COMPUTED_VALUE"""),44870.0)</f>
        <v>44870</v>
      </c>
      <c r="R137" s="45">
        <f>IFERROR(__xludf.DUMMYFUNCTION("""COMPUTED_VALUE"""),44905.0)</f>
        <v>44905</v>
      </c>
      <c r="S137" s="43"/>
      <c r="T137" s="43"/>
      <c r="U137" s="43" t="str">
        <f>IFERROR(__xludf.DUMMYFUNCTION("""COMPUTED_VALUE"""),"Heartbeat")</f>
        <v>Heartbeat</v>
      </c>
      <c r="V137" s="43" t="str">
        <f>IFERROR(__xludf.DUMMYFUNCTION("""COMPUTED_VALUE"""),"University of Nairobi")</f>
        <v>University of Nairobi</v>
      </c>
      <c r="W137" s="43" t="str">
        <f>IFERROR(__xludf.DUMMYFUNCTION("""COMPUTED_VALUE"""),"2022-07-25T15:36:43Z")</f>
        <v>2022-07-25T15:36:43Z</v>
      </c>
      <c r="X137" s="43"/>
      <c r="Y137" s="43"/>
      <c r="Z137" s="43"/>
    </row>
    <row r="138" hidden="1">
      <c r="A138" s="43" t="str">
        <f>IFERROR(__xludf.DUMMYFUNCTION("""COMPUTED_VALUE"""),"5113482_1289214")</f>
        <v>5113482_1289214</v>
      </c>
      <c r="B138" s="43" t="str">
        <f>IFERROR(__xludf.DUMMYFUNCTION("""COMPUTED_VALUE"""),"Ritvik Agarwal")</f>
        <v>Ritvik Agarwal</v>
      </c>
      <c r="C138" s="43" t="str">
        <f>IFERROR(__xludf.DUMMYFUNCTION("""COMPUTED_VALUE"""),"realization_broken")</f>
        <v>realization_broken</v>
      </c>
      <c r="D138" s="43" t="str">
        <f>IFERROR(__xludf.DUMMYFUNCTION("""COMPUTED_VALUE"""),"No")</f>
        <v>No</v>
      </c>
      <c r="E138" s="43" t="str">
        <f>IFERROR(__xludf.DUMMYFUNCTION("""COMPUTED_VALUE"""),"p_f31fed77da6a9e23d337e9d2a0726457caab4564@inbound.aiesec.org")</f>
        <v>p_f31fed77da6a9e23d337e9d2a0726457caab4564@inbound.aiesec.org</v>
      </c>
      <c r="F138" s="43"/>
      <c r="G138" s="43" t="str">
        <f>IFERROR(__xludf.DUMMYFUNCTION("""COMPUTED_VALUE"""),"India")</f>
        <v>India</v>
      </c>
      <c r="H138" s="43" t="str">
        <f>IFERROR(__xludf.DUMMYFUNCTION("""COMPUTED_VALUE"""),"Pune")</f>
        <v>Pune</v>
      </c>
      <c r="I138" s="43" t="str">
        <f>IFERROR(__xludf.DUMMYFUNCTION("""COMPUTED_VALUE"""),"Turkey")</f>
        <v>Turkey</v>
      </c>
      <c r="J138" s="43" t="str">
        <f>IFERROR(__xludf.DUMMYFUNCTION("""COMPUTED_VALUE"""),"DENIZLI")</f>
        <v>DENIZLI</v>
      </c>
      <c r="K138" s="44" t="str">
        <f>IFERROR(__xludf.DUMMYFUNCTION("""COMPUTED_VALUE"""),"https://expa.aiesec.org/opportunities/1289214")</f>
        <v>https://expa.aiesec.org/opportunities/1289214</v>
      </c>
      <c r="L138" s="43" t="str">
        <f>IFERROR(__xludf.DUMMYFUNCTION("""COMPUTED_VALUE"""),"GV")</f>
        <v>GV</v>
      </c>
      <c r="M138" s="43" t="str">
        <f>IFERROR(__xludf.DUMMYFUNCTION("""COMPUTED_VALUE"""),"short")</f>
        <v>short</v>
      </c>
      <c r="N138" s="45">
        <f>IFERROR(__xludf.DUMMYFUNCTION("""COMPUTED_VALUE"""),44821.0)</f>
        <v>44821</v>
      </c>
      <c r="O138" s="45">
        <f>IFERROR(__xludf.DUMMYFUNCTION("""COMPUTED_VALUE"""),44879.0)</f>
        <v>44879</v>
      </c>
      <c r="P138" s="45">
        <f>IFERROR(__xludf.DUMMYFUNCTION("""COMPUTED_VALUE"""),44921.0)</f>
        <v>44921</v>
      </c>
      <c r="Q138" s="45"/>
      <c r="R138" s="45"/>
      <c r="S138" s="43"/>
      <c r="T138" s="43"/>
      <c r="U138" s="43" t="str">
        <f>IFERROR(__xludf.DUMMYFUNCTION("""COMPUTED_VALUE"""),"Youth 4 Impact")</f>
        <v>Youth 4 Impact</v>
      </c>
      <c r="V138" s="43" t="str">
        <f>IFERROR(__xludf.DUMMYFUNCTION("""COMPUTED_VALUE"""),"-")</f>
        <v>-</v>
      </c>
      <c r="W138" s="43" t="str">
        <f>IFERROR(__xludf.DUMMYFUNCTION("""COMPUTED_VALUE"""),"2022-09-16T06:01:06Z")</f>
        <v>2022-09-16T06:01:06Z</v>
      </c>
      <c r="X138" s="43"/>
      <c r="Y138" s="43"/>
      <c r="Z138" s="43"/>
    </row>
    <row r="139" hidden="1">
      <c r="A139" s="43" t="str">
        <f>IFERROR(__xludf.DUMMYFUNCTION("""COMPUTED_VALUE"""),"5096690_1288393")</f>
        <v>5096690_1288393</v>
      </c>
      <c r="B139" s="43" t="str">
        <f>IFERROR(__xludf.DUMMYFUNCTION("""COMPUTED_VALUE"""),"Valentina Cvetković")</f>
        <v>Valentina Cvetković</v>
      </c>
      <c r="C139" s="43" t="str">
        <f>IFERROR(__xludf.DUMMYFUNCTION("""COMPUTED_VALUE"""),"completed")</f>
        <v>completed</v>
      </c>
      <c r="D139" s="43" t="str">
        <f>IFERROR(__xludf.DUMMYFUNCTION("""COMPUTED_VALUE"""),"No")</f>
        <v>No</v>
      </c>
      <c r="E139" s="43" t="str">
        <f>IFERROR(__xludf.DUMMYFUNCTION("""COMPUTED_VALUE"""),"p_43c06c601cbdc93eede602450a36777715a77b76@inbound.aiesec.org")</f>
        <v>p_43c06c601cbdc93eede602450a36777715a77b76@inbound.aiesec.org</v>
      </c>
      <c r="F139" s="43">
        <f>IFERROR(__xludf.DUMMYFUNCTION("""COMPUTED_VALUE"""),6.28461733E8)</f>
        <v>628461733</v>
      </c>
      <c r="G139" s="43" t="str">
        <f>IFERROR(__xludf.DUMMYFUNCTION("""COMPUTED_VALUE"""),"Serbia")</f>
        <v>Serbia</v>
      </c>
      <c r="H139" s="43" t="str">
        <f>IFERROR(__xludf.DUMMYFUNCTION("""COMPUTED_VALUE"""),"Bg")</f>
        <v>Bg</v>
      </c>
      <c r="I139" s="43" t="str">
        <f>IFERROR(__xludf.DUMMYFUNCTION("""COMPUTED_VALUE"""),"Turkey")</f>
        <v>Turkey</v>
      </c>
      <c r="J139" s="43" t="str">
        <f>IFERROR(__xludf.DUMMYFUNCTION("""COMPUTED_VALUE"""),"ISTANBUL")</f>
        <v>ISTANBUL</v>
      </c>
      <c r="K139" s="44" t="str">
        <f>IFERROR(__xludf.DUMMYFUNCTION("""COMPUTED_VALUE"""),"https://expa.aiesec.org/opportunities/1288393")</f>
        <v>https://expa.aiesec.org/opportunities/1288393</v>
      </c>
      <c r="L139" s="43" t="str">
        <f>IFERROR(__xludf.DUMMYFUNCTION("""COMPUTED_VALUE"""),"GV")</f>
        <v>GV</v>
      </c>
      <c r="M139" s="43" t="str">
        <f>IFERROR(__xludf.DUMMYFUNCTION("""COMPUTED_VALUE"""),"short")</f>
        <v>short</v>
      </c>
      <c r="N139" s="45">
        <f>IFERROR(__xludf.DUMMYFUNCTION("""COMPUTED_VALUE"""),44821.0)</f>
        <v>44821</v>
      </c>
      <c r="O139" s="45">
        <f>IFERROR(__xludf.DUMMYFUNCTION("""COMPUTED_VALUE"""),44880.0)</f>
        <v>44880</v>
      </c>
      <c r="P139" s="45">
        <f>IFERROR(__xludf.DUMMYFUNCTION("""COMPUTED_VALUE"""),44922.0)</f>
        <v>44922</v>
      </c>
      <c r="Q139" s="45">
        <f>IFERROR(__xludf.DUMMYFUNCTION("""COMPUTED_VALUE"""),44879.0)</f>
        <v>44879</v>
      </c>
      <c r="R139" s="45">
        <f>IFERROR(__xludf.DUMMYFUNCTION("""COMPUTED_VALUE"""),44890.0)</f>
        <v>44890</v>
      </c>
      <c r="S139" s="43"/>
      <c r="T139" s="43"/>
      <c r="U139" s="43" t="str">
        <f>IFERROR(__xludf.DUMMYFUNCTION("""COMPUTED_VALUE"""),"Global Classroom")</f>
        <v>Global Classroom</v>
      </c>
      <c r="V139" s="43" t="str">
        <f>IFERROR(__xludf.DUMMYFUNCTION("""COMPUTED_VALUE"""),"Faculty of Philology, Belgrade")</f>
        <v>Faculty of Philology, Belgrade</v>
      </c>
      <c r="W139" s="43" t="str">
        <f>IFERROR(__xludf.DUMMYFUNCTION("""COMPUTED_VALUE"""),"2022-08-21T12:54:16Z")</f>
        <v>2022-08-21T12:54:16Z</v>
      </c>
      <c r="X139" s="43"/>
      <c r="Y139" s="43"/>
      <c r="Z139" s="43"/>
    </row>
    <row r="140" hidden="1">
      <c r="A140" s="43" t="str">
        <f>IFERROR(__xludf.DUMMYFUNCTION("""COMPUTED_VALUE"""),"5099129_1289016")</f>
        <v>5099129_1289016</v>
      </c>
      <c r="B140" s="43" t="str">
        <f>IFERROR(__xludf.DUMMYFUNCTION("""COMPUTED_VALUE"""),"Maha Hourani")</f>
        <v>Maha Hourani</v>
      </c>
      <c r="C140" s="43" t="str">
        <f>IFERROR(__xludf.DUMMYFUNCTION("""COMPUTED_VALUE"""),"completed")</f>
        <v>completed</v>
      </c>
      <c r="D140" s="43" t="str">
        <f>IFERROR(__xludf.DUMMYFUNCTION("""COMPUTED_VALUE"""),"No")</f>
        <v>No</v>
      </c>
      <c r="E140" s="43" t="str">
        <f>IFERROR(__xludf.DUMMYFUNCTION("""COMPUTED_VALUE"""),"p_0db720603803d65cd90ee2972a5eb7e8a62e7f3b@inbound.aiesec.org")</f>
        <v>p_0db720603803d65cd90ee2972a5eb7e8a62e7f3b@inbound.aiesec.org</v>
      </c>
      <c r="F140" s="43">
        <f>IFERROR(__xludf.DUMMYFUNCTION("""COMPUTED_VALUE"""),1.026850868E9)</f>
        <v>1026850868</v>
      </c>
      <c r="G140" s="43" t="str">
        <f>IFERROR(__xludf.DUMMYFUNCTION("""COMPUTED_VALUE"""),"Egypt")</f>
        <v>Egypt</v>
      </c>
      <c r="H140" s="43" t="str">
        <f>IFERROR(__xludf.DUMMYFUNCTION("""COMPUTED_VALUE"""),"Mansoura")</f>
        <v>Mansoura</v>
      </c>
      <c r="I140" s="43" t="str">
        <f>IFERROR(__xludf.DUMMYFUNCTION("""COMPUTED_VALUE"""),"Turkey")</f>
        <v>Turkey</v>
      </c>
      <c r="J140" s="43" t="str">
        <f>IFERROR(__xludf.DUMMYFUNCTION("""COMPUTED_VALUE"""),"KUTAHYA")</f>
        <v>KUTAHYA</v>
      </c>
      <c r="K140" s="44" t="str">
        <f>IFERROR(__xludf.DUMMYFUNCTION("""COMPUTED_VALUE"""),"https://expa.aiesec.org/opportunities/1289016")</f>
        <v>https://expa.aiesec.org/opportunities/1289016</v>
      </c>
      <c r="L140" s="43" t="str">
        <f>IFERROR(__xludf.DUMMYFUNCTION("""COMPUTED_VALUE"""),"GV")</f>
        <v>GV</v>
      </c>
      <c r="M140" s="43" t="str">
        <f>IFERROR(__xludf.DUMMYFUNCTION("""COMPUTED_VALUE"""),"short")</f>
        <v>short</v>
      </c>
      <c r="N140" s="45">
        <f>IFERROR(__xludf.DUMMYFUNCTION("""COMPUTED_VALUE"""),44821.0)</f>
        <v>44821</v>
      </c>
      <c r="O140" s="45">
        <f>IFERROR(__xludf.DUMMYFUNCTION("""COMPUTED_VALUE"""),44882.0)</f>
        <v>44882</v>
      </c>
      <c r="P140" s="45">
        <f>IFERROR(__xludf.DUMMYFUNCTION("""COMPUTED_VALUE"""),44924.0)</f>
        <v>44924</v>
      </c>
      <c r="Q140" s="45">
        <f>IFERROR(__xludf.DUMMYFUNCTION("""COMPUTED_VALUE"""),44901.0)</f>
        <v>44901</v>
      </c>
      <c r="R140" s="45">
        <f>IFERROR(__xludf.DUMMYFUNCTION("""COMPUTED_VALUE"""),44943.0)</f>
        <v>44943</v>
      </c>
      <c r="S140" s="43"/>
      <c r="T140" s="43"/>
      <c r="U140" s="43" t="str">
        <f>IFERROR(__xludf.DUMMYFUNCTION("""COMPUTED_VALUE"""),"Global Classroom")</f>
        <v>Global Classroom</v>
      </c>
      <c r="V140" s="43" t="str">
        <f>IFERROR(__xludf.DUMMYFUNCTION("""COMPUTED_VALUE"""),"Mansoura")</f>
        <v>Mansoura</v>
      </c>
      <c r="W140" s="43" t="str">
        <f>IFERROR(__xludf.DUMMYFUNCTION("""COMPUTED_VALUE"""),"2022-08-25T06:12:13Z")</f>
        <v>2022-08-25T06:12:13Z</v>
      </c>
      <c r="X140" s="43"/>
      <c r="Y140" s="43"/>
      <c r="Z140" s="43"/>
    </row>
    <row r="141" hidden="1">
      <c r="A141" s="43" t="str">
        <f>IFERROR(__xludf.DUMMYFUNCTION("""COMPUTED_VALUE"""),"4633436_1289502")</f>
        <v>4633436_1289502</v>
      </c>
      <c r="B141" s="43" t="str">
        <f>IFERROR(__xludf.DUMMYFUNCTION("""COMPUTED_VALUE"""),"Asma Dahak")</f>
        <v>Asma Dahak</v>
      </c>
      <c r="C141" s="43" t="str">
        <f>IFERROR(__xludf.DUMMYFUNCTION("""COMPUTED_VALUE"""),"finished")</f>
        <v>finished</v>
      </c>
      <c r="D141" s="43" t="str">
        <f>IFERROR(__xludf.DUMMYFUNCTION("""COMPUTED_VALUE"""),"No")</f>
        <v>No</v>
      </c>
      <c r="E141" s="43" t="str">
        <f>IFERROR(__xludf.DUMMYFUNCTION("""COMPUTED_VALUE"""),"p_44cf24cb2ca5a32f307dc97adb51d56ce6830419@inbound.aiesec.org")</f>
        <v>p_44cf24cb2ca5a32f307dc97adb51d56ce6830419@inbound.aiesec.org</v>
      </c>
      <c r="F141" s="43">
        <f>IFERROR(__xludf.DUMMYFUNCTION("""COMPUTED_VALUE"""),5.2396909E7)</f>
        <v>52396909</v>
      </c>
      <c r="G141" s="43" t="str">
        <f>IFERROR(__xludf.DUMMYFUNCTION("""COMPUTED_VALUE"""),"Tunisia")</f>
        <v>Tunisia</v>
      </c>
      <c r="H141" s="43" t="str">
        <f>IFERROR(__xludf.DUMMYFUNCTION("""COMPUTED_VALUE"""),"Tacapes")</f>
        <v>Tacapes</v>
      </c>
      <c r="I141" s="43" t="str">
        <f>IFERROR(__xludf.DUMMYFUNCTION("""COMPUTED_VALUE"""),"Turkey")</f>
        <v>Turkey</v>
      </c>
      <c r="J141" s="43" t="str">
        <f>IFERROR(__xludf.DUMMYFUNCTION("""COMPUTED_VALUE"""),"BURSA")</f>
        <v>BURSA</v>
      </c>
      <c r="K141" s="44" t="str">
        <f>IFERROR(__xludf.DUMMYFUNCTION("""COMPUTED_VALUE"""),"https://expa.aiesec.org/opportunities/1289502")</f>
        <v>https://expa.aiesec.org/opportunities/1289502</v>
      </c>
      <c r="L141" s="43" t="str">
        <f>IFERROR(__xludf.DUMMYFUNCTION("""COMPUTED_VALUE"""),"GV")</f>
        <v>GV</v>
      </c>
      <c r="M141" s="43" t="str">
        <f>IFERROR(__xludf.DUMMYFUNCTION("""COMPUTED_VALUE"""),"short")</f>
        <v>short</v>
      </c>
      <c r="N141" s="45">
        <f>IFERROR(__xludf.DUMMYFUNCTION("""COMPUTED_VALUE"""),44821.0)</f>
        <v>44821</v>
      </c>
      <c r="O141" s="45">
        <f>IFERROR(__xludf.DUMMYFUNCTION("""COMPUTED_VALUE"""),44827.0)</f>
        <v>44827</v>
      </c>
      <c r="P141" s="45">
        <f>IFERROR(__xludf.DUMMYFUNCTION("""COMPUTED_VALUE"""),44869.0)</f>
        <v>44869</v>
      </c>
      <c r="Q141" s="45">
        <f>IFERROR(__xludf.DUMMYFUNCTION("""COMPUTED_VALUE"""),44876.0)</f>
        <v>44876</v>
      </c>
      <c r="R141" s="45">
        <f>IFERROR(__xludf.DUMMYFUNCTION("""COMPUTED_VALUE"""),44876.0)</f>
        <v>44876</v>
      </c>
      <c r="S141" s="43"/>
      <c r="T141" s="43"/>
      <c r="U141" s="43" t="str">
        <f>IFERROR(__xludf.DUMMYFUNCTION("""COMPUTED_VALUE"""),"Youth 4 Impact")</f>
        <v>Youth 4 Impact</v>
      </c>
      <c r="V141" s="43" t="str">
        <f>IFERROR(__xludf.DUMMYFUNCTION("""COMPUTED_VALUE"""),"ISG Gabes")</f>
        <v>ISG Gabes</v>
      </c>
      <c r="W141" s="43" t="str">
        <f>IFERROR(__xludf.DUMMYFUNCTION("""COMPUTED_VALUE"""),"2021-04-30T16:16:59Z")</f>
        <v>2021-04-30T16:16:59Z</v>
      </c>
      <c r="X141" s="43"/>
      <c r="Y141" s="43"/>
      <c r="Z141" s="43"/>
    </row>
    <row r="142" hidden="1">
      <c r="A142" s="43" t="str">
        <f>IFERROR(__xludf.DUMMYFUNCTION("""COMPUTED_VALUE"""),"4633447_1289502")</f>
        <v>4633447_1289502</v>
      </c>
      <c r="B142" s="43" t="str">
        <f>IFERROR(__xludf.DUMMYFUNCTION("""COMPUTED_VALUE"""),"Chayma Najjar")</f>
        <v>Chayma Najjar</v>
      </c>
      <c r="C142" s="43" t="str">
        <f>IFERROR(__xludf.DUMMYFUNCTION("""COMPUTED_VALUE"""),"finished")</f>
        <v>finished</v>
      </c>
      <c r="D142" s="43" t="str">
        <f>IFERROR(__xludf.DUMMYFUNCTION("""COMPUTED_VALUE"""),"No")</f>
        <v>No</v>
      </c>
      <c r="E142" s="43" t="str">
        <f>IFERROR(__xludf.DUMMYFUNCTION("""COMPUTED_VALUE"""),"p_2aeb20bdc2ae3348801faf801f607c18b2465533@inbound.aiesec.org")</f>
        <v>p_2aeb20bdc2ae3348801faf801f607c18b2465533@inbound.aiesec.org</v>
      </c>
      <c r="F142" s="43"/>
      <c r="G142" s="43" t="str">
        <f>IFERROR(__xludf.DUMMYFUNCTION("""COMPUTED_VALUE"""),"Tunisia")</f>
        <v>Tunisia</v>
      </c>
      <c r="H142" s="43" t="str">
        <f>IFERROR(__xludf.DUMMYFUNCTION("""COMPUTED_VALUE"""),"Tacapes")</f>
        <v>Tacapes</v>
      </c>
      <c r="I142" s="43" t="str">
        <f>IFERROR(__xludf.DUMMYFUNCTION("""COMPUTED_VALUE"""),"Turkey")</f>
        <v>Turkey</v>
      </c>
      <c r="J142" s="43" t="str">
        <f>IFERROR(__xludf.DUMMYFUNCTION("""COMPUTED_VALUE"""),"BURSA")</f>
        <v>BURSA</v>
      </c>
      <c r="K142" s="44" t="str">
        <f>IFERROR(__xludf.DUMMYFUNCTION("""COMPUTED_VALUE"""),"https://expa.aiesec.org/opportunities/1289502")</f>
        <v>https://expa.aiesec.org/opportunities/1289502</v>
      </c>
      <c r="L142" s="43" t="str">
        <f>IFERROR(__xludf.DUMMYFUNCTION("""COMPUTED_VALUE"""),"GV")</f>
        <v>GV</v>
      </c>
      <c r="M142" s="43" t="str">
        <f>IFERROR(__xludf.DUMMYFUNCTION("""COMPUTED_VALUE"""),"short")</f>
        <v>short</v>
      </c>
      <c r="N142" s="45">
        <f>IFERROR(__xludf.DUMMYFUNCTION("""COMPUTED_VALUE"""),44821.0)</f>
        <v>44821</v>
      </c>
      <c r="O142" s="45">
        <f>IFERROR(__xludf.DUMMYFUNCTION("""COMPUTED_VALUE"""),44827.0)</f>
        <v>44827</v>
      </c>
      <c r="P142" s="45">
        <f>IFERROR(__xludf.DUMMYFUNCTION("""COMPUTED_VALUE"""),44869.0)</f>
        <v>44869</v>
      </c>
      <c r="Q142" s="45">
        <f>IFERROR(__xludf.DUMMYFUNCTION("""COMPUTED_VALUE"""),44876.0)</f>
        <v>44876</v>
      </c>
      <c r="R142" s="45">
        <f>IFERROR(__xludf.DUMMYFUNCTION("""COMPUTED_VALUE"""),44876.0)</f>
        <v>44876</v>
      </c>
      <c r="S142" s="43"/>
      <c r="T142" s="43"/>
      <c r="U142" s="43" t="str">
        <f>IFERROR(__xludf.DUMMYFUNCTION("""COMPUTED_VALUE"""),"Youth 4 Impact")</f>
        <v>Youth 4 Impact</v>
      </c>
      <c r="V142" s="43" t="str">
        <f>IFERROR(__xludf.DUMMYFUNCTION("""COMPUTED_VALUE"""),"ISG Gabes")</f>
        <v>ISG Gabes</v>
      </c>
      <c r="W142" s="43" t="str">
        <f>IFERROR(__xludf.DUMMYFUNCTION("""COMPUTED_VALUE"""),"2021-04-30T16:33:28Z")</f>
        <v>2021-04-30T16:33:28Z</v>
      </c>
      <c r="X142" s="43"/>
      <c r="Y142" s="43"/>
      <c r="Z142" s="43"/>
    </row>
    <row r="143" hidden="1">
      <c r="A143" s="43" t="str">
        <f>IFERROR(__xludf.DUMMYFUNCTION("""COMPUTED_VALUE"""),"5066069_1289095")</f>
        <v>5066069_1289095</v>
      </c>
      <c r="B143" s="43" t="str">
        <f>IFERROR(__xludf.DUMMYFUNCTION("""COMPUTED_VALUE"""),"Nada Nasreldin")</f>
        <v>Nada Nasreldin</v>
      </c>
      <c r="C143" s="43" t="str">
        <f>IFERROR(__xludf.DUMMYFUNCTION("""COMPUTED_VALUE"""),"finished")</f>
        <v>finished</v>
      </c>
      <c r="D143" s="43" t="str">
        <f>IFERROR(__xludf.DUMMYFUNCTION("""COMPUTED_VALUE"""),"No")</f>
        <v>No</v>
      </c>
      <c r="E143" s="43" t="str">
        <f>IFERROR(__xludf.DUMMYFUNCTION("""COMPUTED_VALUE"""),"p_de5ca6225b83dce6c6c5d7f4243127175c8fac44@inbound.aiesec.org")</f>
        <v>p_de5ca6225b83dce6c6c5d7f4243127175c8fac44@inbound.aiesec.org</v>
      </c>
      <c r="F143" s="43">
        <f>IFERROR(__xludf.DUMMYFUNCTION("""COMPUTED_VALUE"""),1.145673645E9)</f>
        <v>1145673645</v>
      </c>
      <c r="G143" s="43" t="str">
        <f>IFERROR(__xludf.DUMMYFUNCTION("""COMPUTED_VALUE"""),"Egypt")</f>
        <v>Egypt</v>
      </c>
      <c r="H143" s="43" t="str">
        <f>IFERROR(__xludf.DUMMYFUNCTION("""COMPUTED_VALUE"""),"Ain Shams University")</f>
        <v>Ain Shams University</v>
      </c>
      <c r="I143" s="43" t="str">
        <f>IFERROR(__xludf.DUMMYFUNCTION("""COMPUTED_VALUE"""),"Turkey")</f>
        <v>Turkey</v>
      </c>
      <c r="J143" s="43" t="str">
        <f>IFERROR(__xludf.DUMMYFUNCTION("""COMPUTED_VALUE"""),"BURSA")</f>
        <v>BURSA</v>
      </c>
      <c r="K143" s="44" t="str">
        <f>IFERROR(__xludf.DUMMYFUNCTION("""COMPUTED_VALUE"""),"https://expa.aiesec.org/opportunities/1289095")</f>
        <v>https://expa.aiesec.org/opportunities/1289095</v>
      </c>
      <c r="L143" s="43" t="str">
        <f>IFERROR(__xludf.DUMMYFUNCTION("""COMPUTED_VALUE"""),"GV")</f>
        <v>GV</v>
      </c>
      <c r="M143" s="43" t="str">
        <f>IFERROR(__xludf.DUMMYFUNCTION("""COMPUTED_VALUE"""),"short")</f>
        <v>short</v>
      </c>
      <c r="N143" s="45">
        <f>IFERROR(__xludf.DUMMYFUNCTION("""COMPUTED_VALUE"""),44821.0)</f>
        <v>44821</v>
      </c>
      <c r="O143" s="45">
        <f>IFERROR(__xludf.DUMMYFUNCTION("""COMPUTED_VALUE"""),44886.0)</f>
        <v>44886</v>
      </c>
      <c r="P143" s="45">
        <f>IFERROR(__xludf.DUMMYFUNCTION("""COMPUTED_VALUE"""),44928.0)</f>
        <v>44928</v>
      </c>
      <c r="Q143" s="45">
        <f>IFERROR(__xludf.DUMMYFUNCTION("""COMPUTED_VALUE"""),44888.0)</f>
        <v>44888</v>
      </c>
      <c r="R143" s="45">
        <f>IFERROR(__xludf.DUMMYFUNCTION("""COMPUTED_VALUE"""),44929.0)</f>
        <v>44929</v>
      </c>
      <c r="S143" s="43"/>
      <c r="T143" s="43"/>
      <c r="U143" s="43" t="str">
        <f>IFERROR(__xludf.DUMMYFUNCTION("""COMPUTED_VALUE"""),"Global Classroom")</f>
        <v>Global Classroom</v>
      </c>
      <c r="V143" s="43" t="str">
        <f>IFERROR(__xludf.DUMMYFUNCTION("""COMPUTED_VALUE"""),"Ain Shams University")</f>
        <v>Ain Shams University</v>
      </c>
      <c r="W143" s="43" t="str">
        <f>IFERROR(__xludf.DUMMYFUNCTION("""COMPUTED_VALUE"""),"2022-05-30T15:34:39Z")</f>
        <v>2022-05-30T15:34:39Z</v>
      </c>
      <c r="X143" s="43"/>
      <c r="Y143" s="43"/>
      <c r="Z143" s="43"/>
    </row>
    <row r="144" hidden="1">
      <c r="A144" s="43" t="str">
        <f>IFERROR(__xludf.DUMMYFUNCTION("""COMPUTED_VALUE"""),"5103162_1288393")</f>
        <v>5103162_1288393</v>
      </c>
      <c r="B144" s="43" t="str">
        <f>IFERROR(__xludf.DUMMYFUNCTION("""COMPUTED_VALUE"""),"Lucas Roque")</f>
        <v>Lucas Roque</v>
      </c>
      <c r="C144" s="43" t="str">
        <f>IFERROR(__xludf.DUMMYFUNCTION("""COMPUTED_VALUE"""),"completed")</f>
        <v>completed</v>
      </c>
      <c r="D144" s="43" t="str">
        <f>IFERROR(__xludf.DUMMYFUNCTION("""COMPUTED_VALUE"""),"No")</f>
        <v>No</v>
      </c>
      <c r="E144" s="43" t="str">
        <f>IFERROR(__xludf.DUMMYFUNCTION("""COMPUTED_VALUE"""),"p_0e558551eef2e3ba01e4d1ff4be3c62f4753c958@inbound.aiesec.org")</f>
        <v>p_0e558551eef2e3ba01e4d1ff4be3c62f4753c958@inbound.aiesec.org</v>
      </c>
      <c r="F144" s="43"/>
      <c r="G144" s="43" t="str">
        <f>IFERROR(__xludf.DUMMYFUNCTION("""COMPUTED_VALUE"""),"Brazil")</f>
        <v>Brazil</v>
      </c>
      <c r="H144" s="43" t="str">
        <f>IFERROR(__xludf.DUMMYFUNCTION("""COMPUTED_VALUE"""),"USP")</f>
        <v>USP</v>
      </c>
      <c r="I144" s="43" t="str">
        <f>IFERROR(__xludf.DUMMYFUNCTION("""COMPUTED_VALUE"""),"Turkey")</f>
        <v>Turkey</v>
      </c>
      <c r="J144" s="43" t="str">
        <f>IFERROR(__xludf.DUMMYFUNCTION("""COMPUTED_VALUE"""),"ISTANBUL")</f>
        <v>ISTANBUL</v>
      </c>
      <c r="K144" s="44" t="str">
        <f>IFERROR(__xludf.DUMMYFUNCTION("""COMPUTED_VALUE"""),"https://expa.aiesec.org/opportunities/1288393")</f>
        <v>https://expa.aiesec.org/opportunities/1288393</v>
      </c>
      <c r="L144" s="43" t="str">
        <f>IFERROR(__xludf.DUMMYFUNCTION("""COMPUTED_VALUE"""),"GV")</f>
        <v>GV</v>
      </c>
      <c r="M144" s="43" t="str">
        <f>IFERROR(__xludf.DUMMYFUNCTION("""COMPUTED_VALUE"""),"short")</f>
        <v>short</v>
      </c>
      <c r="N144" s="45">
        <f>IFERROR(__xludf.DUMMYFUNCTION("""COMPUTED_VALUE"""),44822.0)</f>
        <v>44822</v>
      </c>
      <c r="O144" s="45">
        <f>IFERROR(__xludf.DUMMYFUNCTION("""COMPUTED_VALUE"""),44922.0)</f>
        <v>44922</v>
      </c>
      <c r="P144" s="45">
        <f>IFERROR(__xludf.DUMMYFUNCTION("""COMPUTED_VALUE"""),44964.0)</f>
        <v>44964</v>
      </c>
      <c r="Q144" s="45">
        <f>IFERROR(__xludf.DUMMYFUNCTION("""COMPUTED_VALUE"""),44922.0)</f>
        <v>44922</v>
      </c>
      <c r="R144" s="45">
        <f>IFERROR(__xludf.DUMMYFUNCTION("""COMPUTED_VALUE"""),44964.0)</f>
        <v>44964</v>
      </c>
      <c r="S144" s="43"/>
      <c r="T144" s="43"/>
      <c r="U144" s="43" t="str">
        <f>IFERROR(__xludf.DUMMYFUNCTION("""COMPUTED_VALUE"""),"Global Classroom")</f>
        <v>Global Classroom</v>
      </c>
      <c r="V144" s="43" t="str">
        <f>IFERROR(__xludf.DUMMYFUNCTION("""COMPUTED_VALUE"""),"-")</f>
        <v>-</v>
      </c>
      <c r="W144" s="43" t="str">
        <f>IFERROR(__xludf.DUMMYFUNCTION("""COMPUTED_VALUE"""),"2022-08-31T17:39:10Z")</f>
        <v>2022-08-31T17:39:10Z</v>
      </c>
      <c r="X144" s="43"/>
      <c r="Y144" s="43"/>
      <c r="Z144" s="43"/>
    </row>
    <row r="145" hidden="1">
      <c r="A145" s="43" t="str">
        <f>IFERROR(__xludf.DUMMYFUNCTION("""COMPUTED_VALUE"""),"5102267_1272564")</f>
        <v>5102267_1272564</v>
      </c>
      <c r="B145" s="43" t="str">
        <f>IFERROR(__xludf.DUMMYFUNCTION("""COMPUTED_VALUE"""),"Umar Ahamed")</f>
        <v>Umar Ahamed</v>
      </c>
      <c r="C145" s="43" t="str">
        <f>IFERROR(__xludf.DUMMYFUNCTION("""COMPUTED_VALUE"""),"realization_broken")</f>
        <v>realization_broken</v>
      </c>
      <c r="D145" s="43" t="str">
        <f>IFERROR(__xludf.DUMMYFUNCTION("""COMPUTED_VALUE"""),"No")</f>
        <v>No</v>
      </c>
      <c r="E145" s="43" t="str">
        <f>IFERROR(__xludf.DUMMYFUNCTION("""COMPUTED_VALUE"""),"p_647f07cb8940f8fffa32fe7a4a629240ca2b49b3@inbound.aiesec.org")</f>
        <v>p_647f07cb8940f8fffa32fe7a4a629240ca2b49b3@inbound.aiesec.org</v>
      </c>
      <c r="F145" s="43">
        <f>IFERROR(__xludf.DUMMYFUNCTION("""COMPUTED_VALUE"""),9.871624668E9)</f>
        <v>9871624668</v>
      </c>
      <c r="G145" s="43" t="str">
        <f>IFERROR(__xludf.DUMMYFUNCTION("""COMPUTED_VALUE"""),"India")</f>
        <v>India</v>
      </c>
      <c r="H145" s="43" t="str">
        <f>IFERROR(__xludf.DUMMYFUNCTION("""COMPUTED_VALUE"""),"Delhi University")</f>
        <v>Delhi University</v>
      </c>
      <c r="I145" s="43" t="str">
        <f>IFERROR(__xludf.DUMMYFUNCTION("""COMPUTED_VALUE"""),"Turkey")</f>
        <v>Turkey</v>
      </c>
      <c r="J145" s="43" t="str">
        <f>IFERROR(__xludf.DUMMYFUNCTION("""COMPUTED_VALUE"""),"ISTANBUL")</f>
        <v>ISTANBUL</v>
      </c>
      <c r="K145" s="44" t="str">
        <f>IFERROR(__xludf.DUMMYFUNCTION("""COMPUTED_VALUE"""),"https://expa.aiesec.org/opportunities/1272564")</f>
        <v>https://expa.aiesec.org/opportunities/1272564</v>
      </c>
      <c r="L145" s="43" t="str">
        <f>IFERROR(__xludf.DUMMYFUNCTION("""COMPUTED_VALUE"""),"GV")</f>
        <v>GV</v>
      </c>
      <c r="M145" s="43" t="str">
        <f>IFERROR(__xludf.DUMMYFUNCTION("""COMPUTED_VALUE"""),"short")</f>
        <v>short</v>
      </c>
      <c r="N145" s="45">
        <f>IFERROR(__xludf.DUMMYFUNCTION("""COMPUTED_VALUE"""),44823.0)</f>
        <v>44823</v>
      </c>
      <c r="O145" s="45">
        <f>IFERROR(__xludf.DUMMYFUNCTION("""COMPUTED_VALUE"""),44836.0)</f>
        <v>44836</v>
      </c>
      <c r="P145" s="45">
        <f>IFERROR(__xludf.DUMMYFUNCTION("""COMPUTED_VALUE"""),44878.0)</f>
        <v>44878</v>
      </c>
      <c r="Q145" s="45"/>
      <c r="R145" s="45"/>
      <c r="S145" s="43"/>
      <c r="T145" s="43"/>
      <c r="U145" s="43" t="str">
        <f>IFERROR(__xludf.DUMMYFUNCTION("""COMPUTED_VALUE"""),"Global Classroom")</f>
        <v>Global Classroom</v>
      </c>
      <c r="V145" s="43" t="str">
        <f>IFERROR(__xludf.DUMMYFUNCTION("""COMPUTED_VALUE"""),"St. Stephen's College, Delhi")</f>
        <v>St. Stephen's College, Delhi</v>
      </c>
      <c r="W145" s="43" t="str">
        <f>IFERROR(__xludf.DUMMYFUNCTION("""COMPUTED_VALUE"""),"2022-08-30T12:23:45Z")</f>
        <v>2022-08-30T12:23:45Z</v>
      </c>
      <c r="X145" s="43"/>
      <c r="Y145" s="43"/>
      <c r="Z145" s="43"/>
    </row>
    <row r="146" hidden="1">
      <c r="A146" s="43" t="str">
        <f>IFERROR(__xludf.DUMMYFUNCTION("""COMPUTED_VALUE"""),"5083007_1285687")</f>
        <v>5083007_1285687</v>
      </c>
      <c r="B146" s="43" t="str">
        <f>IFERROR(__xludf.DUMMYFUNCTION("""COMPUTED_VALUE"""),"Tamara Tapkhasova")</f>
        <v>Tamara Tapkhasova</v>
      </c>
      <c r="C146" s="43" t="str">
        <f>IFERROR(__xludf.DUMMYFUNCTION("""COMPUTED_VALUE"""),"completed")</f>
        <v>completed</v>
      </c>
      <c r="D146" s="43" t="str">
        <f>IFERROR(__xludf.DUMMYFUNCTION("""COMPUTED_VALUE"""),"No")</f>
        <v>No</v>
      </c>
      <c r="E146" s="43" t="str">
        <f>IFERROR(__xludf.DUMMYFUNCTION("""COMPUTED_VALUE"""),"p_d52ad116a38446e55def982aee49b4daab2a20f4@inbound.aiesec.org")</f>
        <v>p_d52ad116a38446e55def982aee49b4daab2a20f4@inbound.aiesec.org</v>
      </c>
      <c r="F146" s="43">
        <f>IFERROR(__xludf.DUMMYFUNCTION("""COMPUTED_VALUE"""),9.151547033E9)</f>
        <v>9151547033</v>
      </c>
      <c r="G146" s="43" t="str">
        <f>IFERROR(__xludf.DUMMYFUNCTION("""COMPUTED_VALUE"""),"Kazakhstan")</f>
        <v>Kazakhstan</v>
      </c>
      <c r="H146" s="43" t="str">
        <f>IFERROR(__xludf.DUMMYFUNCTION("""COMPUTED_VALUE"""),"Astana")</f>
        <v>Astana</v>
      </c>
      <c r="I146" s="43" t="str">
        <f>IFERROR(__xludf.DUMMYFUNCTION("""COMPUTED_VALUE"""),"Turkey")</f>
        <v>Turkey</v>
      </c>
      <c r="J146" s="43" t="str">
        <f>IFERROR(__xludf.DUMMYFUNCTION("""COMPUTED_VALUE"""),"ISTANBUL")</f>
        <v>ISTANBUL</v>
      </c>
      <c r="K146" s="44" t="str">
        <f>IFERROR(__xludf.DUMMYFUNCTION("""COMPUTED_VALUE"""),"https://expa.aiesec.org/opportunities/1285687")</f>
        <v>https://expa.aiesec.org/opportunities/1285687</v>
      </c>
      <c r="L146" s="43" t="str">
        <f>IFERROR(__xludf.DUMMYFUNCTION("""COMPUTED_VALUE"""),"GV")</f>
        <v>GV</v>
      </c>
      <c r="M146" s="43" t="str">
        <f>IFERROR(__xludf.DUMMYFUNCTION("""COMPUTED_VALUE"""),"short")</f>
        <v>short</v>
      </c>
      <c r="N146" s="45">
        <f>IFERROR(__xludf.DUMMYFUNCTION("""COMPUTED_VALUE"""),44823.0)</f>
        <v>44823</v>
      </c>
      <c r="O146" s="45">
        <f>IFERROR(__xludf.DUMMYFUNCTION("""COMPUTED_VALUE"""),44837.0)</f>
        <v>44837</v>
      </c>
      <c r="P146" s="45">
        <f>IFERROR(__xludf.DUMMYFUNCTION("""COMPUTED_VALUE"""),44879.0)</f>
        <v>44879</v>
      </c>
      <c r="Q146" s="45">
        <f>IFERROR(__xludf.DUMMYFUNCTION("""COMPUTED_VALUE"""),44844.0)</f>
        <v>44844</v>
      </c>
      <c r="R146" s="45">
        <f>IFERROR(__xludf.DUMMYFUNCTION("""COMPUTED_VALUE"""),44886.0)</f>
        <v>44886</v>
      </c>
      <c r="S146" s="43"/>
      <c r="T146" s="43"/>
      <c r="U146" s="43" t="str">
        <f>IFERROR(__xludf.DUMMYFUNCTION("""COMPUTED_VALUE"""),"Youth 4 Impact")</f>
        <v>Youth 4 Impact</v>
      </c>
      <c r="V146" s="43" t="str">
        <f>IFERROR(__xludf.DUMMYFUNCTION("""COMPUTED_VALUE"""),"Astana")</f>
        <v>Astana</v>
      </c>
      <c r="W146" s="43" t="str">
        <f>IFERROR(__xludf.DUMMYFUNCTION("""COMPUTED_VALUE"""),"2022-07-15T17:15:35Z")</f>
        <v>2022-07-15T17:15:35Z</v>
      </c>
      <c r="X146" s="43"/>
      <c r="Y146" s="43"/>
      <c r="Z146" s="43"/>
    </row>
    <row r="147" hidden="1">
      <c r="A147" s="43" t="str">
        <f>IFERROR(__xludf.DUMMYFUNCTION("""COMPUTED_VALUE"""),"5113344_1287854")</f>
        <v>5113344_1287854</v>
      </c>
      <c r="B147" s="43" t="str">
        <f>IFERROR(__xludf.DUMMYFUNCTION("""COMPUTED_VALUE"""),"Lara Leiro")</f>
        <v>Lara Leiro</v>
      </c>
      <c r="C147" s="43" t="str">
        <f>IFERROR(__xludf.DUMMYFUNCTION("""COMPUTED_VALUE"""),"completed")</f>
        <v>completed</v>
      </c>
      <c r="D147" s="43" t="str">
        <f>IFERROR(__xludf.DUMMYFUNCTION("""COMPUTED_VALUE"""),"No")</f>
        <v>No</v>
      </c>
      <c r="E147" s="43" t="str">
        <f>IFERROR(__xludf.DUMMYFUNCTION("""COMPUTED_VALUE"""),"p_289160f8905e853ffebcff56531a9ad04568a498@inbound.aiesec.org")</f>
        <v>p_289160f8905e853ffebcff56531a9ad04568a498@inbound.aiesec.org</v>
      </c>
      <c r="F147" s="43"/>
      <c r="G147" s="43" t="str">
        <f>IFERROR(__xludf.DUMMYFUNCTION("""COMPUTED_VALUE"""),"Brazil")</f>
        <v>Brazil</v>
      </c>
      <c r="H147" s="43" t="str">
        <f>IFERROR(__xludf.DUMMYFUNCTION("""COMPUTED_VALUE"""),"USP")</f>
        <v>USP</v>
      </c>
      <c r="I147" s="43" t="str">
        <f>IFERROR(__xludf.DUMMYFUNCTION("""COMPUTED_VALUE"""),"Turkey")</f>
        <v>Turkey</v>
      </c>
      <c r="J147" s="43" t="str">
        <f>IFERROR(__xludf.DUMMYFUNCTION("""COMPUTED_VALUE"""),"İZMİR")</f>
        <v>İZMİR</v>
      </c>
      <c r="K147" s="44" t="str">
        <f>IFERROR(__xludf.DUMMYFUNCTION("""COMPUTED_VALUE"""),"https://expa.aiesec.org/opportunities/1287854")</f>
        <v>https://expa.aiesec.org/opportunities/1287854</v>
      </c>
      <c r="L147" s="43" t="str">
        <f>IFERROR(__xludf.DUMMYFUNCTION("""COMPUTED_VALUE"""),"GV")</f>
        <v>GV</v>
      </c>
      <c r="M147" s="43" t="str">
        <f>IFERROR(__xludf.DUMMYFUNCTION("""COMPUTED_VALUE"""),"short")</f>
        <v>short</v>
      </c>
      <c r="N147" s="45">
        <f>IFERROR(__xludf.DUMMYFUNCTION("""COMPUTED_VALUE"""),44824.0)</f>
        <v>44824</v>
      </c>
      <c r="O147" s="45">
        <f>IFERROR(__xludf.DUMMYFUNCTION("""COMPUTED_VALUE"""),44906.0)</f>
        <v>44906</v>
      </c>
      <c r="P147" s="45">
        <f>IFERROR(__xludf.DUMMYFUNCTION("""COMPUTED_VALUE"""),44948.0)</f>
        <v>44948</v>
      </c>
      <c r="Q147" s="45">
        <f>IFERROR(__xludf.DUMMYFUNCTION("""COMPUTED_VALUE"""),44916.0)</f>
        <v>44916</v>
      </c>
      <c r="R147" s="45">
        <f>IFERROR(__xludf.DUMMYFUNCTION("""COMPUTED_VALUE"""),44958.0)</f>
        <v>44958</v>
      </c>
      <c r="S147" s="43"/>
      <c r="T147" s="43"/>
      <c r="U147" s="43" t="str">
        <f>IFERROR(__xludf.DUMMYFUNCTION("""COMPUTED_VALUE"""),"Global Classroom")</f>
        <v>Global Classroom</v>
      </c>
      <c r="V147" s="43" t="str">
        <f>IFERROR(__xludf.DUMMYFUNCTION("""COMPUTED_VALUE"""),"São Paulo - USP")</f>
        <v>São Paulo - USP</v>
      </c>
      <c r="W147" s="43" t="str">
        <f>IFERROR(__xludf.DUMMYFUNCTION("""COMPUTED_VALUE"""),"2022-09-15T20:37:19Z")</f>
        <v>2022-09-15T20:37:19Z</v>
      </c>
      <c r="X147" s="43"/>
      <c r="Y147" s="43"/>
      <c r="Z147" s="43"/>
    </row>
    <row r="148" hidden="1">
      <c r="A148" s="43" t="str">
        <f>IFERROR(__xludf.DUMMYFUNCTION("""COMPUTED_VALUE"""),"5050625_1288256")</f>
        <v>5050625_1288256</v>
      </c>
      <c r="B148" s="43" t="str">
        <f>IFERROR(__xludf.DUMMYFUNCTION("""COMPUTED_VALUE"""),"Sarah Ben Hammouda")</f>
        <v>Sarah Ben Hammouda</v>
      </c>
      <c r="C148" s="43" t="str">
        <f>IFERROR(__xludf.DUMMYFUNCTION("""COMPUTED_VALUE"""),"completed")</f>
        <v>completed</v>
      </c>
      <c r="D148" s="43" t="str">
        <f>IFERROR(__xludf.DUMMYFUNCTION("""COMPUTED_VALUE"""),"No")</f>
        <v>No</v>
      </c>
      <c r="E148" s="43" t="str">
        <f>IFERROR(__xludf.DUMMYFUNCTION("""COMPUTED_VALUE"""),"p_1eac0ce888cab5d300a0698aef93ed6c07f976ab@inbound.aiesec.org")</f>
        <v>p_1eac0ce888cab5d300a0698aef93ed6c07f976ab@inbound.aiesec.org</v>
      </c>
      <c r="F148" s="43">
        <f>IFERROR(__xludf.DUMMYFUNCTION("""COMPUTED_VALUE"""),2.2541979E7)</f>
        <v>22541979</v>
      </c>
      <c r="G148" s="43" t="str">
        <f>IFERROR(__xludf.DUMMYFUNCTION("""COMPUTED_VALUE"""),"Tunisia")</f>
        <v>Tunisia</v>
      </c>
      <c r="H148" s="43" t="str">
        <f>IFERROR(__xludf.DUMMYFUNCTION("""COMPUTED_VALUE"""),"UNIVERSITY")</f>
        <v>UNIVERSITY</v>
      </c>
      <c r="I148" s="43" t="str">
        <f>IFERROR(__xludf.DUMMYFUNCTION("""COMPUTED_VALUE"""),"Turkey")</f>
        <v>Turkey</v>
      </c>
      <c r="J148" s="43" t="str">
        <f>IFERROR(__xludf.DUMMYFUNCTION("""COMPUTED_VALUE"""),"ISTANBUL ASIA")</f>
        <v>ISTANBUL ASIA</v>
      </c>
      <c r="K148" s="44" t="str">
        <f>IFERROR(__xludf.DUMMYFUNCTION("""COMPUTED_VALUE"""),"https://expa.aiesec.org/opportunities/1288256")</f>
        <v>https://expa.aiesec.org/opportunities/1288256</v>
      </c>
      <c r="L148" s="43" t="str">
        <f>IFERROR(__xludf.DUMMYFUNCTION("""COMPUTED_VALUE"""),"GV")</f>
        <v>GV</v>
      </c>
      <c r="M148" s="43" t="str">
        <f>IFERROR(__xludf.DUMMYFUNCTION("""COMPUTED_VALUE"""),"short")</f>
        <v>short</v>
      </c>
      <c r="N148" s="45">
        <f>IFERROR(__xludf.DUMMYFUNCTION("""COMPUTED_VALUE"""),44824.0)</f>
        <v>44824</v>
      </c>
      <c r="O148" s="45">
        <f>IFERROR(__xludf.DUMMYFUNCTION("""COMPUTED_VALUE"""),44809.0)</f>
        <v>44809</v>
      </c>
      <c r="P148" s="45">
        <f>IFERROR(__xludf.DUMMYFUNCTION("""COMPUTED_VALUE"""),44851.0)</f>
        <v>44851</v>
      </c>
      <c r="Q148" s="45">
        <f>IFERROR(__xludf.DUMMYFUNCTION("""COMPUTED_VALUE"""),44824.0)</f>
        <v>44824</v>
      </c>
      <c r="R148" s="45">
        <f>IFERROR(__xludf.DUMMYFUNCTION("""COMPUTED_VALUE"""),44865.0)</f>
        <v>44865</v>
      </c>
      <c r="S148" s="43"/>
      <c r="T148" s="43"/>
      <c r="U148" s="43" t="str">
        <f>IFERROR(__xludf.DUMMYFUNCTION("""COMPUTED_VALUE"""),"Global Classroom")</f>
        <v>Global Classroom</v>
      </c>
      <c r="V148" s="43" t="str">
        <f>IFERROR(__xludf.DUMMYFUNCTION("""COMPUTED_VALUE"""),"Institut supérieur des technologies médicales de Tunis ISTMT")</f>
        <v>Institut supérieur des technologies médicales de Tunis ISTMT</v>
      </c>
      <c r="W148" s="43" t="str">
        <f>IFERROR(__xludf.DUMMYFUNCTION("""COMPUTED_VALUE"""),"2022-05-03T22:45:43Z")</f>
        <v>2022-05-03T22:45:43Z</v>
      </c>
      <c r="X148" s="43"/>
      <c r="Y148" s="43"/>
      <c r="Z148" s="43"/>
    </row>
    <row r="149" hidden="1">
      <c r="A149" s="43" t="str">
        <f>IFERROR(__xludf.DUMMYFUNCTION("""COMPUTED_VALUE"""),"5116839_1289155")</f>
        <v>5116839_1289155</v>
      </c>
      <c r="B149" s="43" t="str">
        <f>IFERROR(__xludf.DUMMYFUNCTION("""COMPUTED_VALUE"""),"leila braham")</f>
        <v>leila braham</v>
      </c>
      <c r="C149" s="43" t="str">
        <f>IFERROR(__xludf.DUMMYFUNCTION("""COMPUTED_VALUE"""),"approved")</f>
        <v>approved</v>
      </c>
      <c r="D149" s="43" t="str">
        <f>IFERROR(__xludf.DUMMYFUNCTION("""COMPUTED_VALUE"""),"No")</f>
        <v>No</v>
      </c>
      <c r="E149" s="43" t="str">
        <f>IFERROR(__xludf.DUMMYFUNCTION("""COMPUTED_VALUE"""),"p_0fba94d06cec56ed28dab2584584749ab9ca8849@inbound.aiesec.org")</f>
        <v>p_0fba94d06cec56ed28dab2584584749ab9ca8849@inbound.aiesec.org</v>
      </c>
      <c r="F149" s="43">
        <f>IFERROR(__xludf.DUMMYFUNCTION("""COMPUTED_VALUE"""),5.2800012E7)</f>
        <v>52800012</v>
      </c>
      <c r="G149" s="43" t="str">
        <f>IFERROR(__xludf.DUMMYFUNCTION("""COMPUTED_VALUE"""),"Tunisia")</f>
        <v>Tunisia</v>
      </c>
      <c r="H149" s="43" t="str">
        <f>IFERROR(__xludf.DUMMYFUNCTION("""COMPUTED_VALUE"""),"HADRUMET")</f>
        <v>HADRUMET</v>
      </c>
      <c r="I149" s="43" t="str">
        <f>IFERROR(__xludf.DUMMYFUNCTION("""COMPUTED_VALUE"""),"Turkey")</f>
        <v>Turkey</v>
      </c>
      <c r="J149" s="43" t="str">
        <f>IFERROR(__xludf.DUMMYFUNCTION("""COMPUTED_VALUE"""),"KONYA")</f>
        <v>KONYA</v>
      </c>
      <c r="K149" s="44" t="str">
        <f>IFERROR(__xludf.DUMMYFUNCTION("""COMPUTED_VALUE"""),"https://expa.aiesec.org/opportunities/1289155")</f>
        <v>https://expa.aiesec.org/opportunities/1289155</v>
      </c>
      <c r="L149" s="43" t="str">
        <f>IFERROR(__xludf.DUMMYFUNCTION("""COMPUTED_VALUE"""),"GV")</f>
        <v>GV</v>
      </c>
      <c r="M149" s="43" t="str">
        <f>IFERROR(__xludf.DUMMYFUNCTION("""COMPUTED_VALUE"""),"short")</f>
        <v>short</v>
      </c>
      <c r="N149" s="45">
        <f>IFERROR(__xludf.DUMMYFUNCTION("""COMPUTED_VALUE"""),44826.0)</f>
        <v>44826</v>
      </c>
      <c r="O149" s="45">
        <f>IFERROR(__xludf.DUMMYFUNCTION("""COMPUTED_VALUE"""),45145.0)</f>
        <v>45145</v>
      </c>
      <c r="P149" s="45">
        <f>IFERROR(__xludf.DUMMYFUNCTION("""COMPUTED_VALUE"""),45187.0)</f>
        <v>45187</v>
      </c>
      <c r="Q149" s="45"/>
      <c r="R149" s="45"/>
      <c r="S149" s="43"/>
      <c r="T149" s="43"/>
      <c r="U149" s="43" t="str">
        <f>IFERROR(__xludf.DUMMYFUNCTION("""COMPUTED_VALUE"""),"Global Classroom")</f>
        <v>Global Classroom</v>
      </c>
      <c r="V149" s="43" t="str">
        <f>IFERROR(__xludf.DUMMYFUNCTION("""COMPUTED_VALUE"""),"ISG Sousse")</f>
        <v>ISG Sousse</v>
      </c>
      <c r="W149" s="43" t="str">
        <f>IFERROR(__xludf.DUMMYFUNCTION("""COMPUTED_VALUE"""),"2022-09-21T10:34:27Z")</f>
        <v>2022-09-21T10:34:27Z</v>
      </c>
      <c r="X149" s="43"/>
      <c r="Y149" s="43"/>
      <c r="Z149" s="43"/>
    </row>
    <row r="150" hidden="1">
      <c r="A150" s="43" t="str">
        <f>IFERROR(__xludf.DUMMYFUNCTION("""COMPUTED_VALUE"""),"5109367_1289330")</f>
        <v>5109367_1289330</v>
      </c>
      <c r="B150" s="43" t="str">
        <f>IFERROR(__xludf.DUMMYFUNCTION("""COMPUTED_VALUE"""),"Hattaf Ayub")</f>
        <v>Hattaf Ayub</v>
      </c>
      <c r="C150" s="43" t="str">
        <f>IFERROR(__xludf.DUMMYFUNCTION("""COMPUTED_VALUE"""),"finished")</f>
        <v>finished</v>
      </c>
      <c r="D150" s="43" t="str">
        <f>IFERROR(__xludf.DUMMYFUNCTION("""COMPUTED_VALUE"""),"No")</f>
        <v>No</v>
      </c>
      <c r="E150" s="43" t="str">
        <f>IFERROR(__xludf.DUMMYFUNCTION("""COMPUTED_VALUE"""),"p_dacce8a32c69364dec96cb585ffbd40ba740cf80@inbound.aiesec.org")</f>
        <v>p_dacce8a32c69364dec96cb585ffbd40ba740cf80@inbound.aiesec.org</v>
      </c>
      <c r="F150" s="43">
        <f>IFERROR(__xludf.DUMMYFUNCTION("""COMPUTED_VALUE"""),3.124969425E9)</f>
        <v>3124969425</v>
      </c>
      <c r="G150" s="43" t="str">
        <f>IFERROR(__xludf.DUMMYFUNCTION("""COMPUTED_VALUE"""),"Pakistan")</f>
        <v>Pakistan</v>
      </c>
      <c r="H150" s="43" t="str">
        <f>IFERROR(__xludf.DUMMYFUNCTION("""COMPUTED_VALUE"""),"LUMS")</f>
        <v>LUMS</v>
      </c>
      <c r="I150" s="43" t="str">
        <f>IFERROR(__xludf.DUMMYFUNCTION("""COMPUTED_VALUE"""),"Turkey")</f>
        <v>Turkey</v>
      </c>
      <c r="J150" s="43" t="str">
        <f>IFERROR(__xludf.DUMMYFUNCTION("""COMPUTED_VALUE"""),"BURSA")</f>
        <v>BURSA</v>
      </c>
      <c r="K150" s="44" t="str">
        <f>IFERROR(__xludf.DUMMYFUNCTION("""COMPUTED_VALUE"""),"https://expa.aiesec.org/opportunities/1289330")</f>
        <v>https://expa.aiesec.org/opportunities/1289330</v>
      </c>
      <c r="L150" s="43" t="str">
        <f>IFERROR(__xludf.DUMMYFUNCTION("""COMPUTED_VALUE"""),"GV")</f>
        <v>GV</v>
      </c>
      <c r="M150" s="43" t="str">
        <f>IFERROR(__xludf.DUMMYFUNCTION("""COMPUTED_VALUE"""),"short")</f>
        <v>short</v>
      </c>
      <c r="N150" s="45">
        <f>IFERROR(__xludf.DUMMYFUNCTION("""COMPUTED_VALUE"""),44826.0)</f>
        <v>44826</v>
      </c>
      <c r="O150" s="45">
        <f>IFERROR(__xludf.DUMMYFUNCTION("""COMPUTED_VALUE"""),44830.0)</f>
        <v>44830</v>
      </c>
      <c r="P150" s="45">
        <f>IFERROR(__xludf.DUMMYFUNCTION("""COMPUTED_VALUE"""),44872.0)</f>
        <v>44872</v>
      </c>
      <c r="Q150" s="45">
        <f>IFERROR(__xludf.DUMMYFUNCTION("""COMPUTED_VALUE"""),44839.0)</f>
        <v>44839</v>
      </c>
      <c r="R150" s="45">
        <f>IFERROR(__xludf.DUMMYFUNCTION("""COMPUTED_VALUE"""),44872.0)</f>
        <v>44872</v>
      </c>
      <c r="S150" s="43"/>
      <c r="T150" s="43"/>
      <c r="U150" s="43" t="str">
        <f>IFERROR(__xludf.DUMMYFUNCTION("""COMPUTED_VALUE"""),"Global Classroom")</f>
        <v>Global Classroom</v>
      </c>
      <c r="V150" s="43" t="str">
        <f>IFERROR(__xludf.DUMMYFUNCTION("""COMPUTED_VALUE"""),"Lahore - LUMS ")</f>
        <v>Lahore - LUMS </v>
      </c>
      <c r="W150" s="43" t="str">
        <f>IFERROR(__xludf.DUMMYFUNCTION("""COMPUTED_VALUE"""),"2022-09-10T12:23:34Z")</f>
        <v>2022-09-10T12:23:34Z</v>
      </c>
      <c r="X150" s="43"/>
      <c r="Y150" s="43"/>
      <c r="Z150" s="43"/>
    </row>
    <row r="151" hidden="1">
      <c r="A151" s="43" t="str">
        <f>IFERROR(__xludf.DUMMYFUNCTION("""COMPUTED_VALUE"""),"5114186_1287854")</f>
        <v>5114186_1287854</v>
      </c>
      <c r="B151" s="43" t="str">
        <f>IFERROR(__xludf.DUMMYFUNCTION("""COMPUTED_VALUE"""),"Seif Alaa Eldeen")</f>
        <v>Seif Alaa Eldeen</v>
      </c>
      <c r="C151" s="43" t="str">
        <f>IFERROR(__xludf.DUMMYFUNCTION("""COMPUTED_VALUE"""),"finished")</f>
        <v>finished</v>
      </c>
      <c r="D151" s="43" t="str">
        <f>IFERROR(__xludf.DUMMYFUNCTION("""COMPUTED_VALUE"""),"No")</f>
        <v>No</v>
      </c>
      <c r="E151" s="43" t="str">
        <f>IFERROR(__xludf.DUMMYFUNCTION("""COMPUTED_VALUE"""),"p_749f10d4ebc252d591d9a4c11a48c6b500af946a@inbound.aiesec.org")</f>
        <v>p_749f10d4ebc252d591d9a4c11a48c6b500af946a@inbound.aiesec.org</v>
      </c>
      <c r="F151" s="43"/>
      <c r="G151" s="43" t="str">
        <f>IFERROR(__xludf.DUMMYFUNCTION("""COMPUTED_VALUE"""),"Egypt")</f>
        <v>Egypt</v>
      </c>
      <c r="H151" s="43" t="str">
        <f>IFERROR(__xludf.DUMMYFUNCTION("""COMPUTED_VALUE"""),"6th October University")</f>
        <v>6th October University</v>
      </c>
      <c r="I151" s="43" t="str">
        <f>IFERROR(__xludf.DUMMYFUNCTION("""COMPUTED_VALUE"""),"Turkey")</f>
        <v>Turkey</v>
      </c>
      <c r="J151" s="43" t="str">
        <f>IFERROR(__xludf.DUMMYFUNCTION("""COMPUTED_VALUE"""),"İZMİR")</f>
        <v>İZMİR</v>
      </c>
      <c r="K151" s="44" t="str">
        <f>IFERROR(__xludf.DUMMYFUNCTION("""COMPUTED_VALUE"""),"https://expa.aiesec.org/opportunities/1287854")</f>
        <v>https://expa.aiesec.org/opportunities/1287854</v>
      </c>
      <c r="L151" s="43" t="str">
        <f>IFERROR(__xludf.DUMMYFUNCTION("""COMPUTED_VALUE"""),"GV")</f>
        <v>GV</v>
      </c>
      <c r="M151" s="43" t="str">
        <f>IFERROR(__xludf.DUMMYFUNCTION("""COMPUTED_VALUE"""),"short")</f>
        <v>short</v>
      </c>
      <c r="N151" s="45">
        <f>IFERROR(__xludf.DUMMYFUNCTION("""COMPUTED_VALUE"""),44826.0)</f>
        <v>44826</v>
      </c>
      <c r="O151" s="45">
        <f>IFERROR(__xludf.DUMMYFUNCTION("""COMPUTED_VALUE"""),44906.0)</f>
        <v>44906</v>
      </c>
      <c r="P151" s="45">
        <f>IFERROR(__xludf.DUMMYFUNCTION("""COMPUTED_VALUE"""),44948.0)</f>
        <v>44948</v>
      </c>
      <c r="Q151" s="45">
        <f>IFERROR(__xludf.DUMMYFUNCTION("""COMPUTED_VALUE"""),44921.0)</f>
        <v>44921</v>
      </c>
      <c r="R151" s="45">
        <f>IFERROR(__xludf.DUMMYFUNCTION("""COMPUTED_VALUE"""),44963.0)</f>
        <v>44963</v>
      </c>
      <c r="S151" s="43"/>
      <c r="T151" s="43"/>
      <c r="U151" s="43" t="str">
        <f>IFERROR(__xludf.DUMMYFUNCTION("""COMPUTED_VALUE"""),"Global Classroom")</f>
        <v>Global Classroom</v>
      </c>
      <c r="V151" s="43" t="str">
        <f>IFERROR(__xludf.DUMMYFUNCTION("""COMPUTED_VALUE"""),"6th of October University")</f>
        <v>6th of October University</v>
      </c>
      <c r="W151" s="43" t="str">
        <f>IFERROR(__xludf.DUMMYFUNCTION("""COMPUTED_VALUE"""),"2022-09-17T12:21:42Z")</f>
        <v>2022-09-17T12:21:42Z</v>
      </c>
      <c r="X151" s="43"/>
      <c r="Y151" s="43"/>
      <c r="Z151" s="43"/>
    </row>
    <row r="152" hidden="1">
      <c r="A152" s="43" t="str">
        <f>IFERROR(__xludf.DUMMYFUNCTION("""COMPUTED_VALUE"""),"5064486_1287101")</f>
        <v>5064486_1287101</v>
      </c>
      <c r="B152" s="43" t="str">
        <f>IFERROR(__xludf.DUMMYFUNCTION("""COMPUTED_VALUE"""),"Mohamed Elneny")</f>
        <v>Mohamed Elneny</v>
      </c>
      <c r="C152" s="43" t="str">
        <f>IFERROR(__xludf.DUMMYFUNCTION("""COMPUTED_VALUE"""),"realization_broken")</f>
        <v>realization_broken</v>
      </c>
      <c r="D152" s="43" t="str">
        <f>IFERROR(__xludf.DUMMYFUNCTION("""COMPUTED_VALUE"""),"No")</f>
        <v>No</v>
      </c>
      <c r="E152" s="43" t="str">
        <f>IFERROR(__xludf.DUMMYFUNCTION("""COMPUTED_VALUE"""),"p_5a296e1d62607e0cee699fa20bb4f8fe732dfba8@inbound.aiesec.org")</f>
        <v>p_5a296e1d62607e0cee699fa20bb4f8fe732dfba8@inbound.aiesec.org</v>
      </c>
      <c r="F152" s="43">
        <f>IFERROR(__xludf.DUMMYFUNCTION("""COMPUTED_VALUE"""),1.012570007E9)</f>
        <v>1012570007</v>
      </c>
      <c r="G152" s="43" t="str">
        <f>IFERROR(__xludf.DUMMYFUNCTION("""COMPUTED_VALUE"""),"Egypt")</f>
        <v>Egypt</v>
      </c>
      <c r="H152" s="43" t="str">
        <f>IFERROR(__xludf.DUMMYFUNCTION("""COMPUTED_VALUE"""),"Tanta")</f>
        <v>Tanta</v>
      </c>
      <c r="I152" s="43" t="str">
        <f>IFERROR(__xludf.DUMMYFUNCTION("""COMPUTED_VALUE"""),"Turkey")</f>
        <v>Turkey</v>
      </c>
      <c r="J152" s="43" t="str">
        <f>IFERROR(__xludf.DUMMYFUNCTION("""COMPUTED_VALUE"""),"İZMİR")</f>
        <v>İZMİR</v>
      </c>
      <c r="K152" s="44" t="str">
        <f>IFERROR(__xludf.DUMMYFUNCTION("""COMPUTED_VALUE"""),"https://expa.aiesec.org/opportunities/1287101")</f>
        <v>https://expa.aiesec.org/opportunities/1287101</v>
      </c>
      <c r="L152" s="43" t="str">
        <f>IFERROR(__xludf.DUMMYFUNCTION("""COMPUTED_VALUE"""),"GV")</f>
        <v>GV</v>
      </c>
      <c r="M152" s="43" t="str">
        <f>IFERROR(__xludf.DUMMYFUNCTION("""COMPUTED_VALUE"""),"short")</f>
        <v>short</v>
      </c>
      <c r="N152" s="45">
        <f>IFERROR(__xludf.DUMMYFUNCTION("""COMPUTED_VALUE"""),44826.0)</f>
        <v>44826</v>
      </c>
      <c r="O152" s="45">
        <f>IFERROR(__xludf.DUMMYFUNCTION("""COMPUTED_VALUE"""),44906.0)</f>
        <v>44906</v>
      </c>
      <c r="P152" s="45">
        <f>IFERROR(__xludf.DUMMYFUNCTION("""COMPUTED_VALUE"""),44948.0)</f>
        <v>44948</v>
      </c>
      <c r="Q152" s="45"/>
      <c r="R152" s="45"/>
      <c r="S152" s="43"/>
      <c r="T152" s="43"/>
      <c r="U152" s="43" t="str">
        <f>IFERROR(__xludf.DUMMYFUNCTION("""COMPUTED_VALUE"""),"Global Classroom")</f>
        <v>Global Classroom</v>
      </c>
      <c r="V152" s="43" t="str">
        <f>IFERROR(__xludf.DUMMYFUNCTION("""COMPUTED_VALUE"""),"Tanta")</f>
        <v>Tanta</v>
      </c>
      <c r="W152" s="43" t="str">
        <f>IFERROR(__xludf.DUMMYFUNCTION("""COMPUTED_VALUE"""),"2022-05-27T01:46:13Z")</f>
        <v>2022-05-27T01:46:13Z</v>
      </c>
      <c r="X152" s="43"/>
      <c r="Y152" s="43"/>
      <c r="Z152" s="43"/>
    </row>
    <row r="153" hidden="1">
      <c r="A153" s="43" t="str">
        <f>IFERROR(__xludf.DUMMYFUNCTION("""COMPUTED_VALUE"""),"4597623_1288256")</f>
        <v>4597623_1288256</v>
      </c>
      <c r="B153" s="43" t="str">
        <f>IFERROR(__xludf.DUMMYFUNCTION("""COMPUTED_VALUE"""),"Sara Alaa")</f>
        <v>Sara Alaa</v>
      </c>
      <c r="C153" s="43" t="str">
        <f>IFERROR(__xludf.DUMMYFUNCTION("""COMPUTED_VALUE"""),"completed")</f>
        <v>completed</v>
      </c>
      <c r="D153" s="43" t="str">
        <f>IFERROR(__xludf.DUMMYFUNCTION("""COMPUTED_VALUE"""),"No")</f>
        <v>No</v>
      </c>
      <c r="E153" s="43" t="str">
        <f>IFERROR(__xludf.DUMMYFUNCTION("""COMPUTED_VALUE"""),"p_f526380cb2f29769759f90fa6232ed59d8e585ce@inbound.aiesec.org")</f>
        <v>p_f526380cb2f29769759f90fa6232ed59d8e585ce@inbound.aiesec.org</v>
      </c>
      <c r="F153" s="43">
        <f>IFERROR(__xludf.DUMMYFUNCTION("""COMPUTED_VALUE"""),1.092278181E9)</f>
        <v>1092278181</v>
      </c>
      <c r="G153" s="43" t="str">
        <f>IFERROR(__xludf.DUMMYFUNCTION("""COMPUTED_VALUE"""),"Egypt")</f>
        <v>Egypt</v>
      </c>
      <c r="H153" s="43" t="str">
        <f>IFERROR(__xludf.DUMMYFUNCTION("""COMPUTED_VALUE"""),"Mansoura")</f>
        <v>Mansoura</v>
      </c>
      <c r="I153" s="43" t="str">
        <f>IFERROR(__xludf.DUMMYFUNCTION("""COMPUTED_VALUE"""),"Turkey")</f>
        <v>Turkey</v>
      </c>
      <c r="J153" s="43" t="str">
        <f>IFERROR(__xludf.DUMMYFUNCTION("""COMPUTED_VALUE"""),"ISTANBUL ASIA")</f>
        <v>ISTANBUL ASIA</v>
      </c>
      <c r="K153" s="44" t="str">
        <f>IFERROR(__xludf.DUMMYFUNCTION("""COMPUTED_VALUE"""),"https://expa.aiesec.org/opportunities/1288256")</f>
        <v>https://expa.aiesec.org/opportunities/1288256</v>
      </c>
      <c r="L153" s="43" t="str">
        <f>IFERROR(__xludf.DUMMYFUNCTION("""COMPUTED_VALUE"""),"GV")</f>
        <v>GV</v>
      </c>
      <c r="M153" s="43" t="str">
        <f>IFERROR(__xludf.DUMMYFUNCTION("""COMPUTED_VALUE"""),"short")</f>
        <v>short</v>
      </c>
      <c r="N153" s="45">
        <f>IFERROR(__xludf.DUMMYFUNCTION("""COMPUTED_VALUE"""),44827.0)</f>
        <v>44827</v>
      </c>
      <c r="O153" s="45">
        <f>IFERROR(__xludf.DUMMYFUNCTION("""COMPUTED_VALUE"""),44809.0)</f>
        <v>44809</v>
      </c>
      <c r="P153" s="45">
        <f>IFERROR(__xludf.DUMMYFUNCTION("""COMPUTED_VALUE"""),44851.0)</f>
        <v>44851</v>
      </c>
      <c r="Q153" s="45">
        <f>IFERROR(__xludf.DUMMYFUNCTION("""COMPUTED_VALUE"""),44827.0)</f>
        <v>44827</v>
      </c>
      <c r="R153" s="45">
        <f>IFERROR(__xludf.DUMMYFUNCTION("""COMPUTED_VALUE"""),44867.0)</f>
        <v>44867</v>
      </c>
      <c r="S153" s="43"/>
      <c r="T153" s="43"/>
      <c r="U153" s="43" t="str">
        <f>IFERROR(__xludf.DUMMYFUNCTION("""COMPUTED_VALUE"""),"Global Classroom")</f>
        <v>Global Classroom</v>
      </c>
      <c r="V153" s="43" t="str">
        <f>IFERROR(__xludf.DUMMYFUNCTION("""COMPUTED_VALUE"""),"Mansoura")</f>
        <v>Mansoura</v>
      </c>
      <c r="W153" s="43" t="str">
        <f>IFERROR(__xludf.DUMMYFUNCTION("""COMPUTED_VALUE"""),"2021-03-30T04:36:15Z")</f>
        <v>2021-03-30T04:36:15Z</v>
      </c>
      <c r="X153" s="43"/>
      <c r="Y153" s="43"/>
      <c r="Z153" s="43"/>
    </row>
    <row r="154" hidden="1">
      <c r="A154" s="43" t="str">
        <f>IFERROR(__xludf.DUMMYFUNCTION("""COMPUTED_VALUE"""),"4569070_1283483")</f>
        <v>4569070_1283483</v>
      </c>
      <c r="B154" s="43" t="str">
        <f>IFERROR(__xludf.DUMMYFUNCTION("""COMPUTED_VALUE"""),"Laura De Conto")</f>
        <v>Laura De Conto</v>
      </c>
      <c r="C154" s="43" t="str">
        <f>IFERROR(__xludf.DUMMYFUNCTION("""COMPUTED_VALUE"""),"approved")</f>
        <v>approved</v>
      </c>
      <c r="D154" s="43" t="str">
        <f>IFERROR(__xludf.DUMMYFUNCTION("""COMPUTED_VALUE"""),"No")</f>
        <v>No</v>
      </c>
      <c r="E154" s="43" t="str">
        <f>IFERROR(__xludf.DUMMYFUNCTION("""COMPUTED_VALUE"""),"p_2ad3501eefa566ce2f71bb3b693eee7b1a04c520@inbound.aiesec.org")</f>
        <v>p_2ad3501eefa566ce2f71bb3b693eee7b1a04c520@inbound.aiesec.org</v>
      </c>
      <c r="F154" s="43"/>
      <c r="G154" s="43" t="str">
        <f>IFERROR(__xludf.DUMMYFUNCTION("""COMPUTED_VALUE"""),"Brazil")</f>
        <v>Brazil</v>
      </c>
      <c r="H154" s="43" t="str">
        <f>IFERROR(__xludf.DUMMYFUNCTION("""COMPUTED_VALUE"""),"CURITIBA")</f>
        <v>CURITIBA</v>
      </c>
      <c r="I154" s="43" t="str">
        <f>IFERROR(__xludf.DUMMYFUNCTION("""COMPUTED_VALUE"""),"Turkey")</f>
        <v>Turkey</v>
      </c>
      <c r="J154" s="43" t="str">
        <f>IFERROR(__xludf.DUMMYFUNCTION("""COMPUTED_VALUE"""),"KONYA")</f>
        <v>KONYA</v>
      </c>
      <c r="K154" s="44" t="str">
        <f>IFERROR(__xludf.DUMMYFUNCTION("""COMPUTED_VALUE"""),"https://expa.aiesec.org/opportunities/1283483")</f>
        <v>https://expa.aiesec.org/opportunities/1283483</v>
      </c>
      <c r="L154" s="43" t="str">
        <f>IFERROR(__xludf.DUMMYFUNCTION("""COMPUTED_VALUE"""),"GV")</f>
        <v>GV</v>
      </c>
      <c r="M154" s="43" t="str">
        <f>IFERROR(__xludf.DUMMYFUNCTION("""COMPUTED_VALUE"""),"short")</f>
        <v>short</v>
      </c>
      <c r="N154" s="45">
        <f>IFERROR(__xludf.DUMMYFUNCTION("""COMPUTED_VALUE"""),44828.0)</f>
        <v>44828</v>
      </c>
      <c r="O154" s="45">
        <f>IFERROR(__xludf.DUMMYFUNCTION("""COMPUTED_VALUE"""),45145.0)</f>
        <v>45145</v>
      </c>
      <c r="P154" s="45">
        <f>IFERROR(__xludf.DUMMYFUNCTION("""COMPUTED_VALUE"""),45187.0)</f>
        <v>45187</v>
      </c>
      <c r="Q154" s="45"/>
      <c r="R154" s="45"/>
      <c r="S154" s="43"/>
      <c r="T154" s="43"/>
      <c r="U154" s="43" t="str">
        <f>IFERROR(__xludf.DUMMYFUNCTION("""COMPUTED_VALUE"""),"Global Classroom")</f>
        <v>Global Classroom</v>
      </c>
      <c r="V154" s="43" t="str">
        <f>IFERROR(__xludf.DUMMYFUNCTION("""COMPUTED_VALUE"""),"Curitiba")</f>
        <v>Curitiba</v>
      </c>
      <c r="W154" s="43" t="str">
        <f>IFERROR(__xludf.DUMMYFUNCTION("""COMPUTED_VALUE"""),"2021-03-06T01:32:13Z")</f>
        <v>2021-03-06T01:32:13Z</v>
      </c>
      <c r="X154" s="43"/>
      <c r="Y154" s="43"/>
      <c r="Z154" s="43"/>
    </row>
    <row r="155" hidden="1">
      <c r="A155" s="43" t="str">
        <f>IFERROR(__xludf.DUMMYFUNCTION("""COMPUTED_VALUE"""),"3877030_1279516")</f>
        <v>3877030_1279516</v>
      </c>
      <c r="B155" s="43" t="str">
        <f>IFERROR(__xludf.DUMMYFUNCTION("""COMPUTED_VALUE"""),"Bhakti Garje Bhakti Garje")</f>
        <v>Bhakti Garje Bhakti Garje</v>
      </c>
      <c r="C155" s="43" t="str">
        <f>IFERROR(__xludf.DUMMYFUNCTION("""COMPUTED_VALUE"""),"finished")</f>
        <v>finished</v>
      </c>
      <c r="D155" s="43" t="str">
        <f>IFERROR(__xludf.DUMMYFUNCTION("""COMPUTED_VALUE"""),"No")</f>
        <v>No</v>
      </c>
      <c r="E155" s="43" t="str">
        <f>IFERROR(__xludf.DUMMYFUNCTION("""COMPUTED_VALUE"""),"p_21f4bb422da210aa21acd1c3a9429239ac10875e@inbound.aiesec.org")</f>
        <v>p_21f4bb422da210aa21acd1c3a9429239ac10875e@inbound.aiesec.org</v>
      </c>
      <c r="F155" s="43">
        <f>IFERROR(__xludf.DUMMYFUNCTION("""COMPUTED_VALUE"""),9.92031201E9)</f>
        <v>9920312010</v>
      </c>
      <c r="G155" s="43" t="str">
        <f>IFERROR(__xludf.DUMMYFUNCTION("""COMPUTED_VALUE"""),"India")</f>
        <v>India</v>
      </c>
      <c r="H155" s="43" t="str">
        <f>IFERROR(__xludf.DUMMYFUNCTION("""COMPUTED_VALUE"""),"Closed")</f>
        <v>Closed</v>
      </c>
      <c r="I155" s="43" t="str">
        <f>IFERROR(__xludf.DUMMYFUNCTION("""COMPUTED_VALUE"""),"Turkey")</f>
        <v>Turkey</v>
      </c>
      <c r="J155" s="43" t="str">
        <f>IFERROR(__xludf.DUMMYFUNCTION("""COMPUTED_VALUE"""),"KOCAELI")</f>
        <v>KOCAELI</v>
      </c>
      <c r="K155" s="44" t="str">
        <f>IFERROR(__xludf.DUMMYFUNCTION("""COMPUTED_VALUE"""),"https://expa.aiesec.org/opportunities/1279516")</f>
        <v>https://expa.aiesec.org/opportunities/1279516</v>
      </c>
      <c r="L155" s="43" t="str">
        <f>IFERROR(__xludf.DUMMYFUNCTION("""COMPUTED_VALUE"""),"GV")</f>
        <v>GV</v>
      </c>
      <c r="M155" s="43" t="str">
        <f>IFERROR(__xludf.DUMMYFUNCTION("""COMPUTED_VALUE"""),"short")</f>
        <v>short</v>
      </c>
      <c r="N155" s="45">
        <f>IFERROR(__xludf.DUMMYFUNCTION("""COMPUTED_VALUE"""),44828.0)</f>
        <v>44828</v>
      </c>
      <c r="O155" s="45">
        <f>IFERROR(__xludf.DUMMYFUNCTION("""COMPUTED_VALUE"""),44865.0)</f>
        <v>44865</v>
      </c>
      <c r="P155" s="45">
        <f>IFERROR(__xludf.DUMMYFUNCTION("""COMPUTED_VALUE"""),44907.0)</f>
        <v>44907</v>
      </c>
      <c r="Q155" s="45">
        <f>IFERROR(__xludf.DUMMYFUNCTION("""COMPUTED_VALUE"""),44866.0)</f>
        <v>44866</v>
      </c>
      <c r="R155" s="45">
        <f>IFERROR(__xludf.DUMMYFUNCTION("""COMPUTED_VALUE"""),44905.0)</f>
        <v>44905</v>
      </c>
      <c r="S155" s="43"/>
      <c r="T155" s="43"/>
      <c r="U155" s="43" t="str">
        <f>IFERROR(__xludf.DUMMYFUNCTION("""COMPUTED_VALUE"""),"Global Classroom")</f>
        <v>Global Classroom</v>
      </c>
      <c r="V155" s="43" t="str">
        <f>IFERROR(__xludf.DUMMYFUNCTION("""COMPUTED_VALUE"""),"Sophia College for Women, Mumbai")</f>
        <v>Sophia College for Women, Mumbai</v>
      </c>
      <c r="W155" s="43" t="str">
        <f>IFERROR(__xludf.DUMMYFUNCTION("""COMPUTED_VALUE"""),"2019-10-06T14:51:10Z")</f>
        <v>2019-10-06T14:51:10Z</v>
      </c>
      <c r="X155" s="43"/>
      <c r="Y155" s="43"/>
      <c r="Z155" s="43"/>
    </row>
    <row r="156">
      <c r="A156" s="43" t="str">
        <f>IFERROR(__xludf.DUMMYFUNCTION("""COMPUTED_VALUE"""),"2094739_1288299")</f>
        <v>2094739_1288299</v>
      </c>
      <c r="B156" s="43" t="str">
        <f>IFERROR(__xludf.DUMMYFUNCTION("""COMPUTED_VALUE"""),"Gabriela Villegas")</f>
        <v>Gabriela Villegas</v>
      </c>
      <c r="C156" s="43" t="str">
        <f>IFERROR(__xludf.DUMMYFUNCTION("""COMPUTED_VALUE"""),"approved")</f>
        <v>approved</v>
      </c>
      <c r="D156" s="43" t="str">
        <f>IFERROR(__xludf.DUMMYFUNCTION("""COMPUTED_VALUE"""),"No")</f>
        <v>No</v>
      </c>
      <c r="E156" s="43" t="str">
        <f>IFERROR(__xludf.DUMMYFUNCTION("""COMPUTED_VALUE"""),"p_9af1d64cd71247a07997551b1d866869b2f3d2f6@inbound.aiesec.org")</f>
        <v>p_9af1d64cd71247a07997551b1d866869b2f3d2f6@inbound.aiesec.org</v>
      </c>
      <c r="F156" s="43">
        <f>IFERROR(__xludf.DUMMYFUNCTION("""COMPUTED_VALUE"""),9.74601105E8)</f>
        <v>974601105</v>
      </c>
      <c r="G156" s="43" t="str">
        <f>IFERROR(__xludf.DUMMYFUNCTION("""COMPUTED_VALUE"""),"Peru")</f>
        <v>Peru</v>
      </c>
      <c r="H156" s="43" t="str">
        <f>IFERROR(__xludf.DUMMYFUNCTION("""COMPUTED_VALUE"""),"Pacifico")</f>
        <v>Pacifico</v>
      </c>
      <c r="I156" s="43" t="str">
        <f>IFERROR(__xludf.DUMMYFUNCTION("""COMPUTED_VALUE"""),"Turkey")</f>
        <v>Turkey</v>
      </c>
      <c r="J156" s="43" t="str">
        <f>IFERROR(__xludf.DUMMYFUNCTION("""COMPUTED_VALUE"""),"ISTANBUL")</f>
        <v>ISTANBUL</v>
      </c>
      <c r="K156" s="44" t="str">
        <f>IFERROR(__xludf.DUMMYFUNCTION("""COMPUTED_VALUE"""),"https://expa.aiesec.org/opportunities/1288299")</f>
        <v>https://expa.aiesec.org/opportunities/1288299</v>
      </c>
      <c r="L156" s="43" t="str">
        <f>IFERROR(__xludf.DUMMYFUNCTION("""COMPUTED_VALUE"""),"GV")</f>
        <v>GV</v>
      </c>
      <c r="M156" s="43" t="str">
        <f>IFERROR(__xludf.DUMMYFUNCTION("""COMPUTED_VALUE"""),"short")</f>
        <v>short</v>
      </c>
      <c r="N156" s="45">
        <f>IFERROR(__xludf.DUMMYFUNCTION("""COMPUTED_VALUE"""),44830.0)</f>
        <v>44830</v>
      </c>
      <c r="O156" s="45">
        <f>IFERROR(__xludf.DUMMYFUNCTION("""COMPUTED_VALUE"""),44998.0)</f>
        <v>44998</v>
      </c>
      <c r="P156" s="45">
        <f>IFERROR(__xludf.DUMMYFUNCTION("""COMPUTED_VALUE"""),45053.0)</f>
        <v>45053</v>
      </c>
      <c r="Q156" s="45"/>
      <c r="R156" s="45"/>
      <c r="S156" s="43"/>
      <c r="T156" s="43"/>
      <c r="U156" s="43" t="str">
        <f>IFERROR(__xludf.DUMMYFUNCTION("""COMPUTED_VALUE"""),"Global Classroom")</f>
        <v>Global Classroom</v>
      </c>
      <c r="V156" s="43" t="str">
        <f>IFERROR(__xludf.DUMMYFUNCTION("""COMPUTED_VALUE"""),"-")</f>
        <v>-</v>
      </c>
      <c r="W156" s="43" t="str">
        <f>IFERROR(__xludf.DUMMYFUNCTION("""COMPUTED_VALUE"""),"2018-03-08T21:37:59Z")</f>
        <v>2018-03-08T21:37:59Z</v>
      </c>
      <c r="X156" s="43"/>
      <c r="Y156" s="43"/>
      <c r="Z156" s="43"/>
    </row>
    <row r="157" hidden="1">
      <c r="A157" s="43" t="str">
        <f>IFERROR(__xludf.DUMMYFUNCTION("""COMPUTED_VALUE"""),"5079692_1289502")</f>
        <v>5079692_1289502</v>
      </c>
      <c r="B157" s="43" t="str">
        <f>IFERROR(__xludf.DUMMYFUNCTION("""COMPUTED_VALUE"""),"Yara Elsayed")</f>
        <v>Yara Elsayed</v>
      </c>
      <c r="C157" s="43" t="str">
        <f>IFERROR(__xludf.DUMMYFUNCTION("""COMPUTED_VALUE"""),"completed")</f>
        <v>completed</v>
      </c>
      <c r="D157" s="43" t="str">
        <f>IFERROR(__xludf.DUMMYFUNCTION("""COMPUTED_VALUE"""),"No")</f>
        <v>No</v>
      </c>
      <c r="E157" s="43" t="str">
        <f>IFERROR(__xludf.DUMMYFUNCTION("""COMPUTED_VALUE"""),"p_2c636d3aff292674219ab16ce4d718e3680d5609@inbound.aiesec.org")</f>
        <v>p_2c636d3aff292674219ab16ce4d718e3680d5609@inbound.aiesec.org</v>
      </c>
      <c r="F157" s="43"/>
      <c r="G157" s="43" t="str">
        <f>IFERROR(__xludf.DUMMYFUNCTION("""COMPUTED_VALUE"""),"Egypt")</f>
        <v>Egypt</v>
      </c>
      <c r="H157" s="43" t="str">
        <f>IFERROR(__xludf.DUMMYFUNCTION("""COMPUTED_VALUE"""),"Ain Shams University")</f>
        <v>Ain Shams University</v>
      </c>
      <c r="I157" s="43" t="str">
        <f>IFERROR(__xludf.DUMMYFUNCTION("""COMPUTED_VALUE"""),"Turkey")</f>
        <v>Turkey</v>
      </c>
      <c r="J157" s="43" t="str">
        <f>IFERROR(__xludf.DUMMYFUNCTION("""COMPUTED_VALUE"""),"BURSA")</f>
        <v>BURSA</v>
      </c>
      <c r="K157" s="44" t="str">
        <f>IFERROR(__xludf.DUMMYFUNCTION("""COMPUTED_VALUE"""),"https://expa.aiesec.org/opportunities/1289502")</f>
        <v>https://expa.aiesec.org/opportunities/1289502</v>
      </c>
      <c r="L157" s="43" t="str">
        <f>IFERROR(__xludf.DUMMYFUNCTION("""COMPUTED_VALUE"""),"GV")</f>
        <v>GV</v>
      </c>
      <c r="M157" s="43" t="str">
        <f>IFERROR(__xludf.DUMMYFUNCTION("""COMPUTED_VALUE"""),"short")</f>
        <v>short</v>
      </c>
      <c r="N157" s="45">
        <f>IFERROR(__xludf.DUMMYFUNCTION("""COMPUTED_VALUE"""),44831.0)</f>
        <v>44831</v>
      </c>
      <c r="O157" s="45">
        <f>IFERROR(__xludf.DUMMYFUNCTION("""COMPUTED_VALUE"""),44865.0)</f>
        <v>44865</v>
      </c>
      <c r="P157" s="45">
        <f>IFERROR(__xludf.DUMMYFUNCTION("""COMPUTED_VALUE"""),44907.0)</f>
        <v>44907</v>
      </c>
      <c r="Q157" s="45">
        <f>IFERROR(__xludf.DUMMYFUNCTION("""COMPUTED_VALUE"""),44868.0)</f>
        <v>44868</v>
      </c>
      <c r="R157" s="45">
        <f>IFERROR(__xludf.DUMMYFUNCTION("""COMPUTED_VALUE"""),44907.0)</f>
        <v>44907</v>
      </c>
      <c r="S157" s="43"/>
      <c r="T157" s="43"/>
      <c r="U157" s="43" t="str">
        <f>IFERROR(__xludf.DUMMYFUNCTION("""COMPUTED_VALUE"""),"Youth 4 Impact")</f>
        <v>Youth 4 Impact</v>
      </c>
      <c r="V157" s="43" t="str">
        <f>IFERROR(__xludf.DUMMYFUNCTION("""COMPUTED_VALUE"""),"-")</f>
        <v>-</v>
      </c>
      <c r="W157" s="43" t="str">
        <f>IFERROR(__xludf.DUMMYFUNCTION("""COMPUTED_VALUE"""),"2022-07-04T20:28:28Z")</f>
        <v>2022-07-04T20:28:28Z</v>
      </c>
      <c r="X157" s="43"/>
      <c r="Y157" s="43"/>
      <c r="Z157" s="43"/>
    </row>
    <row r="158" hidden="1">
      <c r="A158" s="43" t="str">
        <f>IFERROR(__xludf.DUMMYFUNCTION("""COMPUTED_VALUE"""),"5121591_1288497")</f>
        <v>5121591_1288497</v>
      </c>
      <c r="B158" s="43" t="str">
        <f>IFERROR(__xludf.DUMMYFUNCTION("""COMPUTED_VALUE"""),"Firas Zouari")</f>
        <v>Firas Zouari</v>
      </c>
      <c r="C158" s="43" t="str">
        <f>IFERROR(__xludf.DUMMYFUNCTION("""COMPUTED_VALUE"""),"completed")</f>
        <v>completed</v>
      </c>
      <c r="D158" s="43" t="str">
        <f>IFERROR(__xludf.DUMMYFUNCTION("""COMPUTED_VALUE"""),"No")</f>
        <v>No</v>
      </c>
      <c r="E158" s="43" t="str">
        <f>IFERROR(__xludf.DUMMYFUNCTION("""COMPUTED_VALUE"""),"p_88a22bfbdd8af213a2e0f0b26fb6720558debfc8@inbound.aiesec.org")</f>
        <v>p_88a22bfbdd8af213a2e0f0b26fb6720558debfc8@inbound.aiesec.org</v>
      </c>
      <c r="F158" s="43">
        <f>IFERROR(__xludf.DUMMYFUNCTION("""COMPUTED_VALUE"""),9.6674503E7)</f>
        <v>96674503</v>
      </c>
      <c r="G158" s="43" t="str">
        <f>IFERROR(__xludf.DUMMYFUNCTION("""COMPUTED_VALUE"""),"Tunisia")</f>
        <v>Tunisia</v>
      </c>
      <c r="H158" s="43" t="str">
        <f>IFERROR(__xludf.DUMMYFUNCTION("""COMPUTED_VALUE"""),"HADRUMET")</f>
        <v>HADRUMET</v>
      </c>
      <c r="I158" s="43" t="str">
        <f>IFERROR(__xludf.DUMMYFUNCTION("""COMPUTED_VALUE"""),"Turkey")</f>
        <v>Turkey</v>
      </c>
      <c r="J158" s="43" t="str">
        <f>IFERROR(__xludf.DUMMYFUNCTION("""COMPUTED_VALUE"""),"DENIZLI")</f>
        <v>DENIZLI</v>
      </c>
      <c r="K158" s="44" t="str">
        <f>IFERROR(__xludf.DUMMYFUNCTION("""COMPUTED_VALUE"""),"https://expa.aiesec.org/opportunities/1288497")</f>
        <v>https://expa.aiesec.org/opportunities/1288497</v>
      </c>
      <c r="L158" s="43" t="str">
        <f>IFERROR(__xludf.DUMMYFUNCTION("""COMPUTED_VALUE"""),"GV")</f>
        <v>GV</v>
      </c>
      <c r="M158" s="43" t="str">
        <f>IFERROR(__xludf.DUMMYFUNCTION("""COMPUTED_VALUE"""),"short")</f>
        <v>short</v>
      </c>
      <c r="N158" s="45">
        <f>IFERROR(__xludf.DUMMYFUNCTION("""COMPUTED_VALUE"""),44832.0)</f>
        <v>44832</v>
      </c>
      <c r="O158" s="45">
        <f>IFERROR(__xludf.DUMMYFUNCTION("""COMPUTED_VALUE"""),45117.0)</f>
        <v>45117</v>
      </c>
      <c r="P158" s="45">
        <f>IFERROR(__xludf.DUMMYFUNCTION("""COMPUTED_VALUE"""),45159.0)</f>
        <v>45159</v>
      </c>
      <c r="Q158" s="45">
        <f>IFERROR(__xludf.DUMMYFUNCTION("""COMPUTED_VALUE"""),45118.0)</f>
        <v>45118</v>
      </c>
      <c r="R158" s="45">
        <f>IFERROR(__xludf.DUMMYFUNCTION("""COMPUTED_VALUE"""),45159.0)</f>
        <v>45159</v>
      </c>
      <c r="S158" s="43"/>
      <c r="T158" s="43"/>
      <c r="U158" s="43" t="str">
        <f>IFERROR(__xludf.DUMMYFUNCTION("""COMPUTED_VALUE"""),"Youth 4 Impact")</f>
        <v>Youth 4 Impact</v>
      </c>
      <c r="V158" s="43" t="str">
        <f>IFERROR(__xludf.DUMMYFUNCTION("""COMPUTED_VALUE"""),"FMS (Faculté de Médecine de Sousse)")</f>
        <v>FMS (Faculté de Médecine de Sousse)</v>
      </c>
      <c r="W158" s="43" t="str">
        <f>IFERROR(__xludf.DUMMYFUNCTION("""COMPUTED_VALUE"""),"2022-09-28T17:57:38Z")</f>
        <v>2022-09-28T17:57:38Z</v>
      </c>
      <c r="X158" s="43"/>
      <c r="Y158" s="43"/>
      <c r="Z158" s="43"/>
    </row>
    <row r="159" hidden="1">
      <c r="A159" s="43" t="str">
        <f>IFERROR(__xludf.DUMMYFUNCTION("""COMPUTED_VALUE"""),"5121587_1288497")</f>
        <v>5121587_1288497</v>
      </c>
      <c r="B159" s="43" t="str">
        <f>IFERROR(__xludf.DUMMYFUNCTION("""COMPUTED_VALUE"""),"Yasmine Mhedhebi")</f>
        <v>Yasmine Mhedhebi</v>
      </c>
      <c r="C159" s="43" t="str">
        <f>IFERROR(__xludf.DUMMYFUNCTION("""COMPUTED_VALUE"""),"completed")</f>
        <v>completed</v>
      </c>
      <c r="D159" s="43" t="str">
        <f>IFERROR(__xludf.DUMMYFUNCTION("""COMPUTED_VALUE"""),"No")</f>
        <v>No</v>
      </c>
      <c r="E159" s="43" t="str">
        <f>IFERROR(__xludf.DUMMYFUNCTION("""COMPUTED_VALUE"""),"p_f3cf9b11b9b0c148cd2ac3955c2d6abffaf0a03c@inbound.aiesec.org")</f>
        <v>p_f3cf9b11b9b0c148cd2ac3955c2d6abffaf0a03c@inbound.aiesec.org</v>
      </c>
      <c r="F159" s="43">
        <f>IFERROR(__xludf.DUMMYFUNCTION("""COMPUTED_VALUE"""),5.3204667E7)</f>
        <v>53204667</v>
      </c>
      <c r="G159" s="43" t="str">
        <f>IFERROR(__xludf.DUMMYFUNCTION("""COMPUTED_VALUE"""),"Tunisia")</f>
        <v>Tunisia</v>
      </c>
      <c r="H159" s="43" t="str">
        <f>IFERROR(__xludf.DUMMYFUNCTION("""COMPUTED_VALUE"""),"HADRUMET")</f>
        <v>HADRUMET</v>
      </c>
      <c r="I159" s="43" t="str">
        <f>IFERROR(__xludf.DUMMYFUNCTION("""COMPUTED_VALUE"""),"Turkey")</f>
        <v>Turkey</v>
      </c>
      <c r="J159" s="43" t="str">
        <f>IFERROR(__xludf.DUMMYFUNCTION("""COMPUTED_VALUE"""),"DENIZLI")</f>
        <v>DENIZLI</v>
      </c>
      <c r="K159" s="44" t="str">
        <f>IFERROR(__xludf.DUMMYFUNCTION("""COMPUTED_VALUE"""),"https://expa.aiesec.org/opportunities/1288497")</f>
        <v>https://expa.aiesec.org/opportunities/1288497</v>
      </c>
      <c r="L159" s="43" t="str">
        <f>IFERROR(__xludf.DUMMYFUNCTION("""COMPUTED_VALUE"""),"GV")</f>
        <v>GV</v>
      </c>
      <c r="M159" s="43" t="str">
        <f>IFERROR(__xludf.DUMMYFUNCTION("""COMPUTED_VALUE"""),"short")</f>
        <v>short</v>
      </c>
      <c r="N159" s="45">
        <f>IFERROR(__xludf.DUMMYFUNCTION("""COMPUTED_VALUE"""),44832.0)</f>
        <v>44832</v>
      </c>
      <c r="O159" s="45">
        <f>IFERROR(__xludf.DUMMYFUNCTION("""COMPUTED_VALUE"""),45117.0)</f>
        <v>45117</v>
      </c>
      <c r="P159" s="45">
        <f>IFERROR(__xludf.DUMMYFUNCTION("""COMPUTED_VALUE"""),45159.0)</f>
        <v>45159</v>
      </c>
      <c r="Q159" s="45">
        <f>IFERROR(__xludf.DUMMYFUNCTION("""COMPUTED_VALUE"""),45118.0)</f>
        <v>45118</v>
      </c>
      <c r="R159" s="45">
        <f>IFERROR(__xludf.DUMMYFUNCTION("""COMPUTED_VALUE"""),45159.0)</f>
        <v>45159</v>
      </c>
      <c r="S159" s="43"/>
      <c r="T159" s="43"/>
      <c r="U159" s="43" t="str">
        <f>IFERROR(__xludf.DUMMYFUNCTION("""COMPUTED_VALUE"""),"Youth 4 Impact")</f>
        <v>Youth 4 Impact</v>
      </c>
      <c r="V159" s="43" t="str">
        <f>IFERROR(__xludf.DUMMYFUNCTION("""COMPUTED_VALUE"""),"FMS (Faculté de Médecine de Sousse)")</f>
        <v>FMS (Faculté de Médecine de Sousse)</v>
      </c>
      <c r="W159" s="43" t="str">
        <f>IFERROR(__xludf.DUMMYFUNCTION("""COMPUTED_VALUE"""),"2022-09-28T17:55:41Z")</f>
        <v>2022-09-28T17:55:41Z</v>
      </c>
      <c r="X159" s="43"/>
      <c r="Y159" s="43"/>
      <c r="Z159" s="43"/>
    </row>
    <row r="160" hidden="1">
      <c r="A160" s="43" t="str">
        <f>IFERROR(__xludf.DUMMYFUNCTION("""COMPUTED_VALUE"""),"5121589_1288497")</f>
        <v>5121589_1288497</v>
      </c>
      <c r="B160" s="43" t="str">
        <f>IFERROR(__xludf.DUMMYFUNCTION("""COMPUTED_VALUE"""),"Ahmed Bouazizi")</f>
        <v>Ahmed Bouazizi</v>
      </c>
      <c r="C160" s="43" t="str">
        <f>IFERROR(__xludf.DUMMYFUNCTION("""COMPUTED_VALUE"""),"completed")</f>
        <v>completed</v>
      </c>
      <c r="D160" s="43" t="str">
        <f>IFERROR(__xludf.DUMMYFUNCTION("""COMPUTED_VALUE"""),"No")</f>
        <v>No</v>
      </c>
      <c r="E160" s="43" t="str">
        <f>IFERROR(__xludf.DUMMYFUNCTION("""COMPUTED_VALUE"""),"p_910c1e765e3d1a9fb4ec8223974734248f7057c0@inbound.aiesec.org")</f>
        <v>p_910c1e765e3d1a9fb4ec8223974734248f7057c0@inbound.aiesec.org</v>
      </c>
      <c r="F160" s="43">
        <f>IFERROR(__xludf.DUMMYFUNCTION("""COMPUTED_VALUE"""),4.0311313E7)</f>
        <v>40311313</v>
      </c>
      <c r="G160" s="43" t="str">
        <f>IFERROR(__xludf.DUMMYFUNCTION("""COMPUTED_VALUE"""),"Tunisia")</f>
        <v>Tunisia</v>
      </c>
      <c r="H160" s="43" t="str">
        <f>IFERROR(__xludf.DUMMYFUNCTION("""COMPUTED_VALUE"""),"HADRUMET")</f>
        <v>HADRUMET</v>
      </c>
      <c r="I160" s="43" t="str">
        <f>IFERROR(__xludf.DUMMYFUNCTION("""COMPUTED_VALUE"""),"Turkey")</f>
        <v>Turkey</v>
      </c>
      <c r="J160" s="43" t="str">
        <f>IFERROR(__xludf.DUMMYFUNCTION("""COMPUTED_VALUE"""),"DENIZLI")</f>
        <v>DENIZLI</v>
      </c>
      <c r="K160" s="44" t="str">
        <f>IFERROR(__xludf.DUMMYFUNCTION("""COMPUTED_VALUE"""),"https://expa.aiesec.org/opportunities/1288497")</f>
        <v>https://expa.aiesec.org/opportunities/1288497</v>
      </c>
      <c r="L160" s="43" t="str">
        <f>IFERROR(__xludf.DUMMYFUNCTION("""COMPUTED_VALUE"""),"GV")</f>
        <v>GV</v>
      </c>
      <c r="M160" s="43" t="str">
        <f>IFERROR(__xludf.DUMMYFUNCTION("""COMPUTED_VALUE"""),"short")</f>
        <v>short</v>
      </c>
      <c r="N160" s="45">
        <f>IFERROR(__xludf.DUMMYFUNCTION("""COMPUTED_VALUE"""),44832.0)</f>
        <v>44832</v>
      </c>
      <c r="O160" s="45">
        <f>IFERROR(__xludf.DUMMYFUNCTION("""COMPUTED_VALUE"""),45117.0)</f>
        <v>45117</v>
      </c>
      <c r="P160" s="45">
        <f>IFERROR(__xludf.DUMMYFUNCTION("""COMPUTED_VALUE"""),45159.0)</f>
        <v>45159</v>
      </c>
      <c r="Q160" s="45">
        <f>IFERROR(__xludf.DUMMYFUNCTION("""COMPUTED_VALUE"""),45118.0)</f>
        <v>45118</v>
      </c>
      <c r="R160" s="45">
        <f>IFERROR(__xludf.DUMMYFUNCTION("""COMPUTED_VALUE"""),45159.0)</f>
        <v>45159</v>
      </c>
      <c r="S160" s="43"/>
      <c r="T160" s="43"/>
      <c r="U160" s="43" t="str">
        <f>IFERROR(__xludf.DUMMYFUNCTION("""COMPUTED_VALUE"""),"Youth 4 Impact")</f>
        <v>Youth 4 Impact</v>
      </c>
      <c r="V160" s="43" t="str">
        <f>IFERROR(__xludf.DUMMYFUNCTION("""COMPUTED_VALUE"""),"FMS (Faculté de Médecine de Sousse)")</f>
        <v>FMS (Faculté de Médecine de Sousse)</v>
      </c>
      <c r="W160" s="43" t="str">
        <f>IFERROR(__xludf.DUMMYFUNCTION("""COMPUTED_VALUE"""),"2022-09-28T17:57:00Z")</f>
        <v>2022-09-28T17:57:00Z</v>
      </c>
      <c r="X160" s="43"/>
      <c r="Y160" s="43"/>
      <c r="Z160" s="43"/>
    </row>
    <row r="161" hidden="1">
      <c r="A161" s="43" t="str">
        <f>IFERROR(__xludf.DUMMYFUNCTION("""COMPUTED_VALUE"""),"5121597_1288497")</f>
        <v>5121597_1288497</v>
      </c>
      <c r="B161" s="43" t="str">
        <f>IFERROR(__xludf.DUMMYFUNCTION("""COMPUTED_VALUE"""),"Ahmed Laifi")</f>
        <v>Ahmed Laifi</v>
      </c>
      <c r="C161" s="43" t="str">
        <f>IFERROR(__xludf.DUMMYFUNCTION("""COMPUTED_VALUE"""),"approved")</f>
        <v>approved</v>
      </c>
      <c r="D161" s="43" t="str">
        <f>IFERROR(__xludf.DUMMYFUNCTION("""COMPUTED_VALUE"""),"No")</f>
        <v>No</v>
      </c>
      <c r="E161" s="43" t="str">
        <f>IFERROR(__xludf.DUMMYFUNCTION("""COMPUTED_VALUE"""),"p_a1f65c470c7561db971c63d193b1233170698d23@inbound.aiesec.org")</f>
        <v>p_a1f65c470c7561db971c63d193b1233170698d23@inbound.aiesec.org</v>
      </c>
      <c r="F161" s="43">
        <f>IFERROR(__xludf.DUMMYFUNCTION("""COMPUTED_VALUE"""),5.8764575E7)</f>
        <v>58764575</v>
      </c>
      <c r="G161" s="43" t="str">
        <f>IFERROR(__xludf.DUMMYFUNCTION("""COMPUTED_VALUE"""),"Tunisia")</f>
        <v>Tunisia</v>
      </c>
      <c r="H161" s="43" t="str">
        <f>IFERROR(__xludf.DUMMYFUNCTION("""COMPUTED_VALUE"""),"HADRUMET")</f>
        <v>HADRUMET</v>
      </c>
      <c r="I161" s="43" t="str">
        <f>IFERROR(__xludf.DUMMYFUNCTION("""COMPUTED_VALUE"""),"Turkey")</f>
        <v>Turkey</v>
      </c>
      <c r="J161" s="43" t="str">
        <f>IFERROR(__xludf.DUMMYFUNCTION("""COMPUTED_VALUE"""),"DENIZLI")</f>
        <v>DENIZLI</v>
      </c>
      <c r="K161" s="44" t="str">
        <f>IFERROR(__xludf.DUMMYFUNCTION("""COMPUTED_VALUE"""),"https://expa.aiesec.org/opportunities/1288497")</f>
        <v>https://expa.aiesec.org/opportunities/1288497</v>
      </c>
      <c r="L161" s="43" t="str">
        <f>IFERROR(__xludf.DUMMYFUNCTION("""COMPUTED_VALUE"""),"GV")</f>
        <v>GV</v>
      </c>
      <c r="M161" s="43" t="str">
        <f>IFERROR(__xludf.DUMMYFUNCTION("""COMPUTED_VALUE"""),"short")</f>
        <v>short</v>
      </c>
      <c r="N161" s="45">
        <f>IFERROR(__xludf.DUMMYFUNCTION("""COMPUTED_VALUE"""),44832.0)</f>
        <v>44832</v>
      </c>
      <c r="O161" s="45">
        <f>IFERROR(__xludf.DUMMYFUNCTION("""COMPUTED_VALUE"""),45117.0)</f>
        <v>45117</v>
      </c>
      <c r="P161" s="45">
        <f>IFERROR(__xludf.DUMMYFUNCTION("""COMPUTED_VALUE"""),45159.0)</f>
        <v>45159</v>
      </c>
      <c r="Q161" s="45"/>
      <c r="R161" s="45"/>
      <c r="S161" s="43"/>
      <c r="T161" s="43"/>
      <c r="U161" s="43" t="str">
        <f>IFERROR(__xludf.DUMMYFUNCTION("""COMPUTED_VALUE"""),"Youth 4 Impact")</f>
        <v>Youth 4 Impact</v>
      </c>
      <c r="V161" s="43" t="str">
        <f>IFERROR(__xludf.DUMMYFUNCTION("""COMPUTED_VALUE"""),"FMS (Faculté de Médecine de Sousse)")</f>
        <v>FMS (Faculté de Médecine de Sousse)</v>
      </c>
      <c r="W161" s="43" t="str">
        <f>IFERROR(__xludf.DUMMYFUNCTION("""COMPUTED_VALUE"""),"2022-09-28T18:01:32Z")</f>
        <v>2022-09-28T18:01:32Z</v>
      </c>
      <c r="X161" s="43"/>
      <c r="Y161" s="43"/>
      <c r="Z161" s="43"/>
    </row>
    <row r="162" hidden="1">
      <c r="A162" s="43" t="str">
        <f>IFERROR(__xludf.DUMMYFUNCTION("""COMPUTED_VALUE"""),"4535786_1288497")</f>
        <v>4535786_1288497</v>
      </c>
      <c r="B162" s="43" t="str">
        <f>IFERROR(__xludf.DUMMYFUNCTION("""COMPUTED_VALUE"""),"Valentina Pieropan")</f>
        <v>Valentina Pieropan</v>
      </c>
      <c r="C162" s="43" t="str">
        <f>IFERROR(__xludf.DUMMYFUNCTION("""COMPUTED_VALUE"""),"completed")</f>
        <v>completed</v>
      </c>
      <c r="D162" s="43" t="str">
        <f>IFERROR(__xludf.DUMMYFUNCTION("""COMPUTED_VALUE"""),"No")</f>
        <v>No</v>
      </c>
      <c r="E162" s="43" t="str">
        <f>IFERROR(__xludf.DUMMYFUNCTION("""COMPUTED_VALUE"""),"p_257fa674c92c2971789ead12518c4967a7c30e23@inbound.aiesec.org")</f>
        <v>p_257fa674c92c2971789ead12518c4967a7c30e23@inbound.aiesec.org</v>
      </c>
      <c r="F162" s="43">
        <f>IFERROR(__xludf.DUMMYFUNCTION("""COMPUTED_VALUE"""),3.468229187E9)</f>
        <v>3468229187</v>
      </c>
      <c r="G162" s="43" t="str">
        <f>IFERROR(__xludf.DUMMYFUNCTION("""COMPUTED_VALUE"""),"Italy")</f>
        <v>Italy</v>
      </c>
      <c r="H162" s="43" t="str">
        <f>IFERROR(__xludf.DUMMYFUNCTION("""COMPUTED_VALUE"""),"Torino")</f>
        <v>Torino</v>
      </c>
      <c r="I162" s="43" t="str">
        <f>IFERROR(__xludf.DUMMYFUNCTION("""COMPUTED_VALUE"""),"Turkey")</f>
        <v>Turkey</v>
      </c>
      <c r="J162" s="43" t="str">
        <f>IFERROR(__xludf.DUMMYFUNCTION("""COMPUTED_VALUE"""),"DENIZLI")</f>
        <v>DENIZLI</v>
      </c>
      <c r="K162" s="44" t="str">
        <f>IFERROR(__xludf.DUMMYFUNCTION("""COMPUTED_VALUE"""),"https://expa.aiesec.org/opportunities/1288497")</f>
        <v>https://expa.aiesec.org/opportunities/1288497</v>
      </c>
      <c r="L162" s="43" t="str">
        <f>IFERROR(__xludf.DUMMYFUNCTION("""COMPUTED_VALUE"""),"GV")</f>
        <v>GV</v>
      </c>
      <c r="M162" s="43" t="str">
        <f>IFERROR(__xludf.DUMMYFUNCTION("""COMPUTED_VALUE"""),"short")</f>
        <v>short</v>
      </c>
      <c r="N162" s="45">
        <f>IFERROR(__xludf.DUMMYFUNCTION("""COMPUTED_VALUE"""),44832.0)</f>
        <v>44832</v>
      </c>
      <c r="O162" s="45">
        <f>IFERROR(__xludf.DUMMYFUNCTION("""COMPUTED_VALUE"""),45117.0)</f>
        <v>45117</v>
      </c>
      <c r="P162" s="45">
        <f>IFERROR(__xludf.DUMMYFUNCTION("""COMPUTED_VALUE"""),45159.0)</f>
        <v>45159</v>
      </c>
      <c r="Q162" s="45">
        <f>IFERROR(__xludf.DUMMYFUNCTION("""COMPUTED_VALUE"""),45118.0)</f>
        <v>45118</v>
      </c>
      <c r="R162" s="45">
        <f>IFERROR(__xludf.DUMMYFUNCTION("""COMPUTED_VALUE"""),45159.0)</f>
        <v>45159</v>
      </c>
      <c r="S162" s="43"/>
      <c r="T162" s="43"/>
      <c r="U162" s="43" t="str">
        <f>IFERROR(__xludf.DUMMYFUNCTION("""COMPUTED_VALUE"""),"Youth 4 Impact")</f>
        <v>Youth 4 Impact</v>
      </c>
      <c r="V162" s="43" t="str">
        <f>IFERROR(__xludf.DUMMYFUNCTION("""COMPUTED_VALUE"""),"-")</f>
        <v>-</v>
      </c>
      <c r="W162" s="43" t="str">
        <f>IFERROR(__xludf.DUMMYFUNCTION("""COMPUTED_VALUE"""),"2021-02-06T21:38:36Z")</f>
        <v>2021-02-06T21:38:36Z</v>
      </c>
      <c r="X162" s="43"/>
      <c r="Y162" s="43"/>
      <c r="Z162" s="43"/>
    </row>
    <row r="163" hidden="1">
      <c r="A163" s="43" t="str">
        <f>IFERROR(__xludf.DUMMYFUNCTION("""COMPUTED_VALUE"""),"4974527_1287137")</f>
        <v>4974527_1287137</v>
      </c>
      <c r="B163" s="43" t="str">
        <f>IFERROR(__xludf.DUMMYFUNCTION("""COMPUTED_VALUE"""),"Yasmine Achouri")</f>
        <v>Yasmine Achouri</v>
      </c>
      <c r="C163" s="43" t="str">
        <f>IFERROR(__xludf.DUMMYFUNCTION("""COMPUTED_VALUE"""),"completed")</f>
        <v>completed</v>
      </c>
      <c r="D163" s="43" t="str">
        <f>IFERROR(__xludf.DUMMYFUNCTION("""COMPUTED_VALUE"""),"No")</f>
        <v>No</v>
      </c>
      <c r="E163" s="43" t="str">
        <f>IFERROR(__xludf.DUMMYFUNCTION("""COMPUTED_VALUE"""),"p_562c828d18961d80e58d4e9418be44799b99c708@inbound.aiesec.org")</f>
        <v>p_562c828d18961d80e58d4e9418be44799b99c708@inbound.aiesec.org</v>
      </c>
      <c r="F163" s="43">
        <f>IFERROR(__xludf.DUMMYFUNCTION("""COMPUTED_VALUE"""),2.0518245E7)</f>
        <v>20518245</v>
      </c>
      <c r="G163" s="43" t="str">
        <f>IFERROR(__xludf.DUMMYFUNCTION("""COMPUTED_VALUE"""),"Tunisia")</f>
        <v>Tunisia</v>
      </c>
      <c r="H163" s="43" t="str">
        <f>IFERROR(__xludf.DUMMYFUNCTION("""COMPUTED_VALUE"""),"BARDO")</f>
        <v>BARDO</v>
      </c>
      <c r="I163" s="43" t="str">
        <f>IFERROR(__xludf.DUMMYFUNCTION("""COMPUTED_VALUE"""),"Turkey")</f>
        <v>Turkey</v>
      </c>
      <c r="J163" s="43" t="str">
        <f>IFERROR(__xludf.DUMMYFUNCTION("""COMPUTED_VALUE"""),"ISTANBUL ASIA")</f>
        <v>ISTANBUL ASIA</v>
      </c>
      <c r="K163" s="44" t="str">
        <f>IFERROR(__xludf.DUMMYFUNCTION("""COMPUTED_VALUE"""),"https://expa.aiesec.org/opportunities/1287137")</f>
        <v>https://expa.aiesec.org/opportunities/1287137</v>
      </c>
      <c r="L163" s="43" t="str">
        <f>IFERROR(__xludf.DUMMYFUNCTION("""COMPUTED_VALUE"""),"GV")</f>
        <v>GV</v>
      </c>
      <c r="M163" s="43" t="str">
        <f>IFERROR(__xludf.DUMMYFUNCTION("""COMPUTED_VALUE"""),"short")</f>
        <v>short</v>
      </c>
      <c r="N163" s="45">
        <f>IFERROR(__xludf.DUMMYFUNCTION("""COMPUTED_VALUE"""),44832.0)</f>
        <v>44832</v>
      </c>
      <c r="O163" s="45">
        <f>IFERROR(__xludf.DUMMYFUNCTION("""COMPUTED_VALUE"""),44913.0)</f>
        <v>44913</v>
      </c>
      <c r="P163" s="45">
        <f>IFERROR(__xludf.DUMMYFUNCTION("""COMPUTED_VALUE"""),44955.0)</f>
        <v>44955</v>
      </c>
      <c r="Q163" s="45">
        <f>IFERROR(__xludf.DUMMYFUNCTION("""COMPUTED_VALUE"""),44950.0)</f>
        <v>44950</v>
      </c>
      <c r="R163" s="45">
        <f>IFERROR(__xludf.DUMMYFUNCTION("""COMPUTED_VALUE"""),44991.0)</f>
        <v>44991</v>
      </c>
      <c r="S163" s="43"/>
      <c r="T163" s="43"/>
      <c r="U163" s="43" t="str">
        <f>IFERROR(__xludf.DUMMYFUNCTION("""COMPUTED_VALUE"""),"Youth 4 Impact")</f>
        <v>Youth 4 Impact</v>
      </c>
      <c r="V163" s="43" t="str">
        <f>IFERROR(__xludf.DUMMYFUNCTION("""COMPUTED_VALUE"""),"ISG Tunis")</f>
        <v>ISG Tunis</v>
      </c>
      <c r="W163" s="43" t="str">
        <f>IFERROR(__xludf.DUMMYFUNCTION("""COMPUTED_VALUE"""),"2022-03-09T21:07:40Z")</f>
        <v>2022-03-09T21:07:40Z</v>
      </c>
      <c r="X163" s="43"/>
      <c r="Y163" s="43"/>
      <c r="Z163" s="43"/>
    </row>
    <row r="164">
      <c r="A164" s="43" t="str">
        <f>IFERROR(__xludf.DUMMYFUNCTION("""COMPUTED_VALUE"""),"5122423_1286326")</f>
        <v>5122423_1286326</v>
      </c>
      <c r="B164" s="43" t="str">
        <f>IFERROR(__xludf.DUMMYFUNCTION("""COMPUTED_VALUE"""),"Iris Cristal")</f>
        <v>Iris Cristal</v>
      </c>
      <c r="C164" s="43" t="str">
        <f>IFERROR(__xludf.DUMMYFUNCTION("""COMPUTED_VALUE"""),"approved")</f>
        <v>approved</v>
      </c>
      <c r="D164" s="43" t="str">
        <f>IFERROR(__xludf.DUMMYFUNCTION("""COMPUTED_VALUE"""),"No")</f>
        <v>No</v>
      </c>
      <c r="E164" s="43" t="str">
        <f>IFERROR(__xludf.DUMMYFUNCTION("""COMPUTED_VALUE"""),"p_77956c7f2923ba733f7131c8e44bd249c172d658@inbound.aiesec.org")</f>
        <v>p_77956c7f2923ba733f7131c8e44bd249c172d658@inbound.aiesec.org</v>
      </c>
      <c r="F164" s="43">
        <f>IFERROR(__xludf.DUMMYFUNCTION("""COMPUTED_VALUE"""),7.1984735292E10)</f>
        <v>71984735292</v>
      </c>
      <c r="G164" s="43" t="str">
        <f>IFERROR(__xludf.DUMMYFUNCTION("""COMPUTED_VALUE"""),"Brazil")</f>
        <v>Brazil</v>
      </c>
      <c r="H164" s="43" t="str">
        <f>IFERROR(__xludf.DUMMYFUNCTION("""COMPUTED_VALUE"""),"SALVADOR")</f>
        <v>SALVADOR</v>
      </c>
      <c r="I164" s="43" t="str">
        <f>IFERROR(__xludf.DUMMYFUNCTION("""COMPUTED_VALUE"""),"Turkey")</f>
        <v>Turkey</v>
      </c>
      <c r="J164" s="43" t="str">
        <f>IFERROR(__xludf.DUMMYFUNCTION("""COMPUTED_VALUE"""),"ADANA")</f>
        <v>ADANA</v>
      </c>
      <c r="K164" s="44" t="str">
        <f>IFERROR(__xludf.DUMMYFUNCTION("""COMPUTED_VALUE"""),"https://expa.aiesec.org/opportunities/1286326")</f>
        <v>https://expa.aiesec.org/opportunities/1286326</v>
      </c>
      <c r="L164" s="43" t="str">
        <f>IFERROR(__xludf.DUMMYFUNCTION("""COMPUTED_VALUE"""),"GV")</f>
        <v>GV</v>
      </c>
      <c r="M164" s="43" t="str">
        <f>IFERROR(__xludf.DUMMYFUNCTION("""COMPUTED_VALUE"""),"short")</f>
        <v>short</v>
      </c>
      <c r="N164" s="45">
        <f>IFERROR(__xludf.DUMMYFUNCTION("""COMPUTED_VALUE"""),44833.0)</f>
        <v>44833</v>
      </c>
      <c r="O164" s="45">
        <f>IFERROR(__xludf.DUMMYFUNCTION("""COMPUTED_VALUE"""),45012.0)</f>
        <v>45012</v>
      </c>
      <c r="P164" s="45">
        <f>IFERROR(__xludf.DUMMYFUNCTION("""COMPUTED_VALUE"""),45058.0)</f>
        <v>45058</v>
      </c>
      <c r="Q164" s="45"/>
      <c r="R164" s="45"/>
      <c r="S164" s="43"/>
      <c r="T164" s="43"/>
      <c r="U164" s="43" t="str">
        <f>IFERROR(__xludf.DUMMYFUNCTION("""COMPUTED_VALUE"""),"Equify")</f>
        <v>Equify</v>
      </c>
      <c r="V164" s="43" t="str">
        <f>IFERROR(__xludf.DUMMYFUNCTION("""COMPUTED_VALUE"""),"Salvador")</f>
        <v>Salvador</v>
      </c>
      <c r="W164" s="43" t="str">
        <f>IFERROR(__xludf.DUMMYFUNCTION("""COMPUTED_VALUE"""),"2022-09-29T18:39:09Z")</f>
        <v>2022-09-29T18:39:09Z</v>
      </c>
      <c r="X164" s="43"/>
      <c r="Y164" s="43"/>
      <c r="Z164" s="43"/>
    </row>
    <row r="165" hidden="1">
      <c r="A165" s="43" t="str">
        <f>IFERROR(__xludf.DUMMYFUNCTION("""COMPUTED_VALUE"""),"4116634_1287966")</f>
        <v>4116634_1287966</v>
      </c>
      <c r="B165" s="43" t="str">
        <f>IFERROR(__xludf.DUMMYFUNCTION("""COMPUTED_VALUE"""),"Israa Maharem")</f>
        <v>Israa Maharem</v>
      </c>
      <c r="C165" s="43" t="str">
        <f>IFERROR(__xludf.DUMMYFUNCTION("""COMPUTED_VALUE"""),"realization_broken")</f>
        <v>realization_broken</v>
      </c>
      <c r="D165" s="43" t="str">
        <f>IFERROR(__xludf.DUMMYFUNCTION("""COMPUTED_VALUE"""),"No")</f>
        <v>No</v>
      </c>
      <c r="E165" s="43" t="str">
        <f>IFERROR(__xludf.DUMMYFUNCTION("""COMPUTED_VALUE"""),"p_90d8e6096da557aa7f684f4d8d02cd6351027d57@inbound.aiesec.org")</f>
        <v>p_90d8e6096da557aa7f684f4d8d02cd6351027d57@inbound.aiesec.org</v>
      </c>
      <c r="F165" s="43">
        <f>IFERROR(__xludf.DUMMYFUNCTION("""COMPUTED_VALUE"""),1.206753341E9)</f>
        <v>1206753341</v>
      </c>
      <c r="G165" s="43" t="str">
        <f>IFERROR(__xludf.DUMMYFUNCTION("""COMPUTED_VALUE"""),"Egypt")</f>
        <v>Egypt</v>
      </c>
      <c r="H165" s="43" t="str">
        <f>IFERROR(__xludf.DUMMYFUNCTION("""COMPUTED_VALUE"""),"Alexandria")</f>
        <v>Alexandria</v>
      </c>
      <c r="I165" s="43" t="str">
        <f>IFERROR(__xludf.DUMMYFUNCTION("""COMPUTED_VALUE"""),"Turkey")</f>
        <v>Turkey</v>
      </c>
      <c r="J165" s="43" t="str">
        <f>IFERROR(__xludf.DUMMYFUNCTION("""COMPUTED_VALUE"""),"ISTANBUL")</f>
        <v>ISTANBUL</v>
      </c>
      <c r="K165" s="44" t="str">
        <f>IFERROR(__xludf.DUMMYFUNCTION("""COMPUTED_VALUE"""),"https://expa.aiesec.org/opportunities/1287966")</f>
        <v>https://expa.aiesec.org/opportunities/1287966</v>
      </c>
      <c r="L165" s="43" t="str">
        <f>IFERROR(__xludf.DUMMYFUNCTION("""COMPUTED_VALUE"""),"GV")</f>
        <v>GV</v>
      </c>
      <c r="M165" s="43" t="str">
        <f>IFERROR(__xludf.DUMMYFUNCTION("""COMPUTED_VALUE"""),"short")</f>
        <v>short</v>
      </c>
      <c r="N165" s="45">
        <f>IFERROR(__xludf.DUMMYFUNCTION("""COMPUTED_VALUE"""),44833.0)</f>
        <v>44833</v>
      </c>
      <c r="O165" s="45">
        <f>IFERROR(__xludf.DUMMYFUNCTION("""COMPUTED_VALUE"""),44852.0)</f>
        <v>44852</v>
      </c>
      <c r="P165" s="45">
        <f>IFERROR(__xludf.DUMMYFUNCTION("""COMPUTED_VALUE"""),44894.0)</f>
        <v>44894</v>
      </c>
      <c r="Q165" s="45"/>
      <c r="R165" s="45"/>
      <c r="S165" s="43"/>
      <c r="T165" s="43"/>
      <c r="U165" s="43" t="str">
        <f>IFERROR(__xludf.DUMMYFUNCTION("""COMPUTED_VALUE"""),"Heartbeat")</f>
        <v>Heartbeat</v>
      </c>
      <c r="V165" s="43" t="str">
        <f>IFERROR(__xludf.DUMMYFUNCTION("""COMPUTED_VALUE"""),"Alexandria University")</f>
        <v>Alexandria University</v>
      </c>
      <c r="W165" s="43" t="str">
        <f>IFERROR(__xludf.DUMMYFUNCTION("""COMPUTED_VALUE"""),"2019-12-28T20:40:52Z")</f>
        <v>2019-12-28T20:40:52Z</v>
      </c>
      <c r="X165" s="43"/>
      <c r="Y165" s="43"/>
      <c r="Z165" s="43"/>
    </row>
    <row r="166" hidden="1">
      <c r="A166" s="43" t="str">
        <f>IFERROR(__xludf.DUMMYFUNCTION("""COMPUTED_VALUE"""),"5097907_1286345")</f>
        <v>5097907_1286345</v>
      </c>
      <c r="B166" s="43" t="str">
        <f>IFERROR(__xludf.DUMMYFUNCTION("""COMPUTED_VALUE"""),"Jeya Kumari")</f>
        <v>Jeya Kumari</v>
      </c>
      <c r="C166" s="43" t="str">
        <f>IFERROR(__xludf.DUMMYFUNCTION("""COMPUTED_VALUE"""),"finished")</f>
        <v>finished</v>
      </c>
      <c r="D166" s="43" t="str">
        <f>IFERROR(__xludf.DUMMYFUNCTION("""COMPUTED_VALUE"""),"No")</f>
        <v>No</v>
      </c>
      <c r="E166" s="43" t="str">
        <f>IFERROR(__xludf.DUMMYFUNCTION("""COMPUTED_VALUE"""),"p_5335888af3d14cafb64a048698581836b1e41ff7@inbound.aiesec.org")</f>
        <v>p_5335888af3d14cafb64a048698581836b1e41ff7@inbound.aiesec.org</v>
      </c>
      <c r="F166" s="43"/>
      <c r="G166" s="43" t="str">
        <f>IFERROR(__xludf.DUMMYFUNCTION("""COMPUTED_VALUE"""),"Pakistan")</f>
        <v>Pakistan</v>
      </c>
      <c r="H166" s="43" t="str">
        <f>IFERROR(__xludf.DUMMYFUNCTION("""COMPUTED_VALUE"""),"Karachi")</f>
        <v>Karachi</v>
      </c>
      <c r="I166" s="43" t="str">
        <f>IFERROR(__xludf.DUMMYFUNCTION("""COMPUTED_VALUE"""),"Turkey")</f>
        <v>Turkey</v>
      </c>
      <c r="J166" s="43" t="str">
        <f>IFERROR(__xludf.DUMMYFUNCTION("""COMPUTED_VALUE"""),"DENIZLI")</f>
        <v>DENIZLI</v>
      </c>
      <c r="K166" s="44" t="str">
        <f>IFERROR(__xludf.DUMMYFUNCTION("""COMPUTED_VALUE"""),"https://expa.aiesec.org/opportunities/1286345")</f>
        <v>https://expa.aiesec.org/opportunities/1286345</v>
      </c>
      <c r="L166" s="43" t="str">
        <f>IFERROR(__xludf.DUMMYFUNCTION("""COMPUTED_VALUE"""),"GV")</f>
        <v>GV</v>
      </c>
      <c r="M166" s="43" t="str">
        <f>IFERROR(__xludf.DUMMYFUNCTION("""COMPUTED_VALUE"""),"short")</f>
        <v>short</v>
      </c>
      <c r="N166" s="45">
        <f>IFERROR(__xludf.DUMMYFUNCTION("""COMPUTED_VALUE"""),44833.0)</f>
        <v>44833</v>
      </c>
      <c r="O166" s="45">
        <f>IFERROR(__xludf.DUMMYFUNCTION("""COMPUTED_VALUE"""),44900.0)</f>
        <v>44900</v>
      </c>
      <c r="P166" s="45">
        <f>IFERROR(__xludf.DUMMYFUNCTION("""COMPUTED_VALUE"""),44942.0)</f>
        <v>44942</v>
      </c>
      <c r="Q166" s="45">
        <f>IFERROR(__xludf.DUMMYFUNCTION("""COMPUTED_VALUE"""),44901.0)</f>
        <v>44901</v>
      </c>
      <c r="R166" s="45">
        <f>IFERROR(__xludf.DUMMYFUNCTION("""COMPUTED_VALUE"""),44942.0)</f>
        <v>44942</v>
      </c>
      <c r="S166" s="43"/>
      <c r="T166" s="43"/>
      <c r="U166" s="43" t="str">
        <f>IFERROR(__xludf.DUMMYFUNCTION("""COMPUTED_VALUE"""),"Global Classroom")</f>
        <v>Global Classroom</v>
      </c>
      <c r="V166" s="43" t="str">
        <f>IFERROR(__xludf.DUMMYFUNCTION("""COMPUTED_VALUE"""),"Karachi - Aga Khan University")</f>
        <v>Karachi - Aga Khan University</v>
      </c>
      <c r="W166" s="43" t="str">
        <f>IFERROR(__xludf.DUMMYFUNCTION("""COMPUTED_VALUE"""),"2022-08-23T10:34:10Z")</f>
        <v>2022-08-23T10:34:10Z</v>
      </c>
      <c r="X166" s="43"/>
      <c r="Y166" s="43"/>
      <c r="Z166" s="43"/>
    </row>
    <row r="167" hidden="1">
      <c r="A167" s="43" t="str">
        <f>IFERROR(__xludf.DUMMYFUNCTION("""COMPUTED_VALUE"""),"5103627_1289596")</f>
        <v>5103627_1289596</v>
      </c>
      <c r="B167" s="43" t="str">
        <f>IFERROR(__xludf.DUMMYFUNCTION("""COMPUTED_VALUE"""),"Mariana Mancini")</f>
        <v>Mariana Mancini</v>
      </c>
      <c r="C167" s="43" t="str">
        <f>IFERROR(__xludf.DUMMYFUNCTION("""COMPUTED_VALUE"""),"approved")</f>
        <v>approved</v>
      </c>
      <c r="D167" s="43" t="str">
        <f>IFERROR(__xludf.DUMMYFUNCTION("""COMPUTED_VALUE"""),"No")</f>
        <v>No</v>
      </c>
      <c r="E167" s="43" t="str">
        <f>IFERROR(__xludf.DUMMYFUNCTION("""COMPUTED_VALUE"""),"p_4b669afc0f1257fb125a8029f90010a0718a58e8@inbound.aiesec.org")</f>
        <v>p_4b669afc0f1257fb125a8029f90010a0718a58e8@inbound.aiesec.org</v>
      </c>
      <c r="F167" s="43">
        <f>IFERROR(__xludf.DUMMYFUNCTION("""COMPUTED_VALUE"""),9.91373444E8)</f>
        <v>991373444</v>
      </c>
      <c r="G167" s="43" t="str">
        <f>IFERROR(__xludf.DUMMYFUNCTION("""COMPUTED_VALUE"""),"Brazil")</f>
        <v>Brazil</v>
      </c>
      <c r="H167" s="43" t="str">
        <f>IFERROR(__xludf.DUMMYFUNCTION("""COMPUTED_VALUE"""),"CURITIBA")</f>
        <v>CURITIBA</v>
      </c>
      <c r="I167" s="43" t="str">
        <f>IFERROR(__xludf.DUMMYFUNCTION("""COMPUTED_VALUE"""),"Turkey")</f>
        <v>Turkey</v>
      </c>
      <c r="J167" s="43" t="str">
        <f>IFERROR(__xludf.DUMMYFUNCTION("""COMPUTED_VALUE"""),"ISPARTA")</f>
        <v>ISPARTA</v>
      </c>
      <c r="K167" s="44" t="str">
        <f>IFERROR(__xludf.DUMMYFUNCTION("""COMPUTED_VALUE"""),"https://expa.aiesec.org/opportunities/1289596")</f>
        <v>https://expa.aiesec.org/opportunities/1289596</v>
      </c>
      <c r="L167" s="43" t="str">
        <f>IFERROR(__xludf.DUMMYFUNCTION("""COMPUTED_VALUE"""),"GV")</f>
        <v>GV</v>
      </c>
      <c r="M167" s="43" t="str">
        <f>IFERROR(__xludf.DUMMYFUNCTION("""COMPUTED_VALUE"""),"short")</f>
        <v>short</v>
      </c>
      <c r="N167" s="45">
        <f>IFERROR(__xludf.DUMMYFUNCTION("""COMPUTED_VALUE"""),44834.0)</f>
        <v>44834</v>
      </c>
      <c r="O167" s="45">
        <f>IFERROR(__xludf.DUMMYFUNCTION("""COMPUTED_VALUE"""),45299.0)</f>
        <v>45299</v>
      </c>
      <c r="P167" s="45">
        <f>IFERROR(__xludf.DUMMYFUNCTION("""COMPUTED_VALUE"""),45341.0)</f>
        <v>45341</v>
      </c>
      <c r="Q167" s="45"/>
      <c r="R167" s="45"/>
      <c r="S167" s="43"/>
      <c r="T167" s="43"/>
      <c r="U167" s="43" t="str">
        <f>IFERROR(__xludf.DUMMYFUNCTION("""COMPUTED_VALUE"""),"Global Classroom")</f>
        <v>Global Classroom</v>
      </c>
      <c r="V167" s="43" t="str">
        <f>IFERROR(__xludf.DUMMYFUNCTION("""COMPUTED_VALUE"""),"Curitiba")</f>
        <v>Curitiba</v>
      </c>
      <c r="W167" s="43" t="str">
        <f>IFERROR(__xludf.DUMMYFUNCTION("""COMPUTED_VALUE"""),"2022-09-01T14:40:26Z")</f>
        <v>2022-09-01T14:40:26Z</v>
      </c>
      <c r="X167" s="43"/>
      <c r="Y167" s="43"/>
      <c r="Z167" s="43"/>
    </row>
    <row r="168" hidden="1">
      <c r="A168" s="43" t="str">
        <f>IFERROR(__xludf.DUMMYFUNCTION("""COMPUTED_VALUE"""),"5120166_1289228")</f>
        <v>5120166_1289228</v>
      </c>
      <c r="B168" s="43" t="str">
        <f>IFERROR(__xludf.DUMMYFUNCTION("""COMPUTED_VALUE"""),"Luciana Heller")</f>
        <v>Luciana Heller</v>
      </c>
      <c r="C168" s="43" t="str">
        <f>IFERROR(__xludf.DUMMYFUNCTION("""COMPUTED_VALUE"""),"completed")</f>
        <v>completed</v>
      </c>
      <c r="D168" s="43" t="str">
        <f>IFERROR(__xludf.DUMMYFUNCTION("""COMPUTED_VALUE"""),"No")</f>
        <v>No</v>
      </c>
      <c r="E168" s="43" t="str">
        <f>IFERROR(__xludf.DUMMYFUNCTION("""COMPUTED_VALUE"""),"p_08e034522c09abadee69b04f4713c9f9374d7539@inbound.aiesec.org")</f>
        <v>p_08e034522c09abadee69b04f4713c9f9374d7539@inbound.aiesec.org</v>
      </c>
      <c r="F168" s="43">
        <f>IFERROR(__xludf.DUMMYFUNCTION("""COMPUTED_VALUE"""),4.4999681596E10)</f>
        <v>44999681596</v>
      </c>
      <c r="G168" s="43" t="str">
        <f>IFERROR(__xludf.DUMMYFUNCTION("""COMPUTED_VALUE"""),"Brazil")</f>
        <v>Brazil</v>
      </c>
      <c r="H168" s="43" t="str">
        <f>IFERROR(__xludf.DUMMYFUNCTION("""COMPUTED_VALUE"""),"UBERLÂNDIA")</f>
        <v>UBERLÂNDIA</v>
      </c>
      <c r="I168" s="43" t="str">
        <f>IFERROR(__xludf.DUMMYFUNCTION("""COMPUTED_VALUE"""),"Turkey")</f>
        <v>Turkey</v>
      </c>
      <c r="J168" s="43" t="str">
        <f>IFERROR(__xludf.DUMMYFUNCTION("""COMPUTED_VALUE"""),"ISTANBUL WEST")</f>
        <v>ISTANBUL WEST</v>
      </c>
      <c r="K168" s="44" t="str">
        <f>IFERROR(__xludf.DUMMYFUNCTION("""COMPUTED_VALUE"""),"https://expa.aiesec.org/opportunities/1289228")</f>
        <v>https://expa.aiesec.org/opportunities/1289228</v>
      </c>
      <c r="L168" s="43" t="str">
        <f>IFERROR(__xludf.DUMMYFUNCTION("""COMPUTED_VALUE"""),"GV")</f>
        <v>GV</v>
      </c>
      <c r="M168" s="43" t="str">
        <f>IFERROR(__xludf.DUMMYFUNCTION("""COMPUTED_VALUE"""),"short")</f>
        <v>short</v>
      </c>
      <c r="N168" s="45">
        <f>IFERROR(__xludf.DUMMYFUNCTION("""COMPUTED_VALUE"""),44834.0)</f>
        <v>44834</v>
      </c>
      <c r="O168" s="45">
        <f>IFERROR(__xludf.DUMMYFUNCTION("""COMPUTED_VALUE"""),45061.0)</f>
        <v>45061</v>
      </c>
      <c r="P168" s="45">
        <f>IFERROR(__xludf.DUMMYFUNCTION("""COMPUTED_VALUE"""),45103.0)</f>
        <v>45103</v>
      </c>
      <c r="Q168" s="45">
        <f>IFERROR(__xludf.DUMMYFUNCTION("""COMPUTED_VALUE"""),45061.0)</f>
        <v>45061</v>
      </c>
      <c r="R168" s="45">
        <f>IFERROR(__xludf.DUMMYFUNCTION("""COMPUTED_VALUE"""),45103.0)</f>
        <v>45103</v>
      </c>
      <c r="S168" s="43"/>
      <c r="T168" s="43"/>
      <c r="U168" s="43" t="str">
        <f>IFERROR(__xludf.DUMMYFUNCTION("""COMPUTED_VALUE"""),"Global Classroom")</f>
        <v>Global Classroom</v>
      </c>
      <c r="V168" s="43" t="str">
        <f>IFERROR(__xludf.DUMMYFUNCTION("""COMPUTED_VALUE"""),"Uberlândia")</f>
        <v>Uberlândia</v>
      </c>
      <c r="W168" s="43" t="str">
        <f>IFERROR(__xludf.DUMMYFUNCTION("""COMPUTED_VALUE"""),"2022-09-27T01:00:21Z")</f>
        <v>2022-09-27T01:00:21Z</v>
      </c>
      <c r="X168" s="43"/>
      <c r="Y168" s="43"/>
      <c r="Z168" s="43"/>
    </row>
    <row r="169" hidden="1">
      <c r="A169" s="43" t="str">
        <f>IFERROR(__xludf.DUMMYFUNCTION("""COMPUTED_VALUE"""),"3936756_1288970")</f>
        <v>3936756_1288970</v>
      </c>
      <c r="B169" s="43" t="str">
        <f>IFERROR(__xludf.DUMMYFUNCTION("""COMPUTED_VALUE"""),"Nicolli Sebastião Heidemann")</f>
        <v>Nicolli Sebastião Heidemann</v>
      </c>
      <c r="C169" s="43" t="str">
        <f>IFERROR(__xludf.DUMMYFUNCTION("""COMPUTED_VALUE"""),"completed")</f>
        <v>completed</v>
      </c>
      <c r="D169" s="43" t="str">
        <f>IFERROR(__xludf.DUMMYFUNCTION("""COMPUTED_VALUE"""),"No")</f>
        <v>No</v>
      </c>
      <c r="E169" s="43" t="str">
        <f>IFERROR(__xludf.DUMMYFUNCTION("""COMPUTED_VALUE"""),"p_2f6da0ff46dd24c9d6e6fe50f51e1b60aa938f8d@inbound.aiesec.org")</f>
        <v>p_2f6da0ff46dd24c9d6e6fe50f51e1b60aa938f8d@inbound.aiesec.org</v>
      </c>
      <c r="F169" s="43">
        <f>IFERROR(__xludf.DUMMYFUNCTION("""COMPUTED_VALUE"""),4.8998595904E10)</f>
        <v>48998595904</v>
      </c>
      <c r="G169" s="43" t="str">
        <f>IFERROR(__xludf.DUMMYFUNCTION("""COMPUTED_VALUE"""),"Brazil")</f>
        <v>Brazil</v>
      </c>
      <c r="H169" s="43" t="str">
        <f>IFERROR(__xludf.DUMMYFUNCTION("""COMPUTED_VALUE"""),"BLUMENAU")</f>
        <v>BLUMENAU</v>
      </c>
      <c r="I169" s="43" t="str">
        <f>IFERROR(__xludf.DUMMYFUNCTION("""COMPUTED_VALUE"""),"Turkey")</f>
        <v>Turkey</v>
      </c>
      <c r="J169" s="43" t="str">
        <f>IFERROR(__xludf.DUMMYFUNCTION("""COMPUTED_VALUE"""),"İZMİR")</f>
        <v>İZMİR</v>
      </c>
      <c r="K169" s="44" t="str">
        <f>IFERROR(__xludf.DUMMYFUNCTION("""COMPUTED_VALUE"""),"https://expa.aiesec.org/opportunities/1288970")</f>
        <v>https://expa.aiesec.org/opportunities/1288970</v>
      </c>
      <c r="L169" s="43" t="str">
        <f>IFERROR(__xludf.DUMMYFUNCTION("""COMPUTED_VALUE"""),"GV")</f>
        <v>GV</v>
      </c>
      <c r="M169" s="43" t="str">
        <f>IFERROR(__xludf.DUMMYFUNCTION("""COMPUTED_VALUE"""),"short")</f>
        <v>short</v>
      </c>
      <c r="N169" s="45">
        <f>IFERROR(__xludf.DUMMYFUNCTION("""COMPUTED_VALUE"""),44834.0)</f>
        <v>44834</v>
      </c>
      <c r="O169" s="45">
        <f>IFERROR(__xludf.DUMMYFUNCTION("""COMPUTED_VALUE"""),44913.0)</f>
        <v>44913</v>
      </c>
      <c r="P169" s="45">
        <f>IFERROR(__xludf.DUMMYFUNCTION("""COMPUTED_VALUE"""),44955.0)</f>
        <v>44955</v>
      </c>
      <c r="Q169" s="45">
        <f>IFERROR(__xludf.DUMMYFUNCTION("""COMPUTED_VALUE"""),44916.0)</f>
        <v>44916</v>
      </c>
      <c r="R169" s="45">
        <f>IFERROR(__xludf.DUMMYFUNCTION("""COMPUTED_VALUE"""),44958.0)</f>
        <v>44958</v>
      </c>
      <c r="S169" s="43"/>
      <c r="T169" s="43"/>
      <c r="U169" s="43" t="str">
        <f>IFERROR(__xludf.DUMMYFUNCTION("""COMPUTED_VALUE"""),"Fingerprint")</f>
        <v>Fingerprint</v>
      </c>
      <c r="V169" s="43" t="str">
        <f>IFERROR(__xludf.DUMMYFUNCTION("""COMPUTED_VALUE"""),"-")</f>
        <v>-</v>
      </c>
      <c r="W169" s="43" t="str">
        <f>IFERROR(__xludf.DUMMYFUNCTION("""COMPUTED_VALUE"""),"2019-10-30T13:28:57Z")</f>
        <v>2019-10-30T13:28:57Z</v>
      </c>
      <c r="X169" s="43"/>
      <c r="Y169" s="43"/>
      <c r="Z169" s="43"/>
    </row>
    <row r="170" hidden="1">
      <c r="A170" s="43" t="str">
        <f>IFERROR(__xludf.DUMMYFUNCTION("""COMPUTED_VALUE"""),"5123911_1289100")</f>
        <v>5123911_1289100</v>
      </c>
      <c r="B170" s="43" t="str">
        <f>IFERROR(__xludf.DUMMYFUNCTION("""COMPUTED_VALUE"""),"Aysha Ajward")</f>
        <v>Aysha Ajward</v>
      </c>
      <c r="C170" s="43" t="str">
        <f>IFERROR(__xludf.DUMMYFUNCTION("""COMPUTED_VALUE"""),"completed")</f>
        <v>completed</v>
      </c>
      <c r="D170" s="43" t="str">
        <f>IFERROR(__xludf.DUMMYFUNCTION("""COMPUTED_VALUE"""),"No")</f>
        <v>No</v>
      </c>
      <c r="E170" s="43" t="str">
        <f>IFERROR(__xludf.DUMMYFUNCTION("""COMPUTED_VALUE"""),"p_737a972da4bfffa404f83cda30aaae7aaa821098@inbound.aiesec.org")</f>
        <v>p_737a972da4bfffa404f83cda30aaae7aaa821098@inbound.aiesec.org</v>
      </c>
      <c r="F170" s="43">
        <f>IFERROR(__xludf.DUMMYFUNCTION("""COMPUTED_VALUE"""),7.65822431E8)</f>
        <v>765822431</v>
      </c>
      <c r="G170" s="43" t="str">
        <f>IFERROR(__xludf.DUMMYFUNCTION("""COMPUTED_VALUE"""),"Sri Lanka")</f>
        <v>Sri Lanka</v>
      </c>
      <c r="H170" s="43" t="str">
        <f>IFERROR(__xludf.DUMMYFUNCTION("""COMPUTED_VALUE"""),"RUHUNA")</f>
        <v>RUHUNA</v>
      </c>
      <c r="I170" s="43" t="str">
        <f>IFERROR(__xludf.DUMMYFUNCTION("""COMPUTED_VALUE"""),"Turkey")</f>
        <v>Turkey</v>
      </c>
      <c r="J170" s="43" t="str">
        <f>IFERROR(__xludf.DUMMYFUNCTION("""COMPUTED_VALUE"""),"KOCAELI")</f>
        <v>KOCAELI</v>
      </c>
      <c r="K170" s="44" t="str">
        <f>IFERROR(__xludf.DUMMYFUNCTION("""COMPUTED_VALUE"""),"https://expa.aiesec.org/opportunities/1289100")</f>
        <v>https://expa.aiesec.org/opportunities/1289100</v>
      </c>
      <c r="L170" s="43" t="str">
        <f>IFERROR(__xludf.DUMMYFUNCTION("""COMPUTED_VALUE"""),"GV")</f>
        <v>GV</v>
      </c>
      <c r="M170" s="43" t="str">
        <f>IFERROR(__xludf.DUMMYFUNCTION("""COMPUTED_VALUE"""),"short")</f>
        <v>short</v>
      </c>
      <c r="N170" s="45">
        <f>IFERROR(__xludf.DUMMYFUNCTION("""COMPUTED_VALUE"""),44837.0)</f>
        <v>44837</v>
      </c>
      <c r="O170" s="45">
        <f>IFERROR(__xludf.DUMMYFUNCTION("""COMPUTED_VALUE"""),44837.0)</f>
        <v>44837</v>
      </c>
      <c r="P170" s="45">
        <f>IFERROR(__xludf.DUMMYFUNCTION("""COMPUTED_VALUE"""),44879.0)</f>
        <v>44879</v>
      </c>
      <c r="Q170" s="45">
        <f>IFERROR(__xludf.DUMMYFUNCTION("""COMPUTED_VALUE"""),44847.0)</f>
        <v>44847</v>
      </c>
      <c r="R170" s="45">
        <f>IFERROR(__xludf.DUMMYFUNCTION("""COMPUTED_VALUE"""),44884.0)</f>
        <v>44884</v>
      </c>
      <c r="S170" s="43"/>
      <c r="T170" s="43"/>
      <c r="U170" s="43" t="str">
        <f>IFERROR(__xludf.DUMMYFUNCTION("""COMPUTED_VALUE"""),"Global Classroom")</f>
        <v>Global Classroom</v>
      </c>
      <c r="V170" s="43" t="str">
        <f>IFERROR(__xludf.DUMMYFUNCTION("""COMPUTED_VALUE"""),"University of Ruhuna")</f>
        <v>University of Ruhuna</v>
      </c>
      <c r="W170" s="43" t="str">
        <f>IFERROR(__xludf.DUMMYFUNCTION("""COMPUTED_VALUE"""),"2022-10-02T14:30:19Z")</f>
        <v>2022-10-02T14:30:19Z</v>
      </c>
      <c r="X170" s="43"/>
      <c r="Y170" s="43"/>
      <c r="Z170" s="43"/>
    </row>
    <row r="171" hidden="1">
      <c r="A171" s="43" t="str">
        <f>IFERROR(__xludf.DUMMYFUNCTION("""COMPUTED_VALUE"""),"4637420_1283483")</f>
        <v>4637420_1283483</v>
      </c>
      <c r="B171" s="43" t="str">
        <f>IFERROR(__xludf.DUMMYFUNCTION("""COMPUTED_VALUE"""),"Chaiane Ferreira de Souza")</f>
        <v>Chaiane Ferreira de Souza</v>
      </c>
      <c r="C171" s="43" t="str">
        <f>IFERROR(__xludf.DUMMYFUNCTION("""COMPUTED_VALUE"""),"finished")</f>
        <v>finished</v>
      </c>
      <c r="D171" s="43" t="str">
        <f>IFERROR(__xludf.DUMMYFUNCTION("""COMPUTED_VALUE"""),"No")</f>
        <v>No</v>
      </c>
      <c r="E171" s="43" t="str">
        <f>IFERROR(__xludf.DUMMYFUNCTION("""COMPUTED_VALUE"""),"p_4e7a3ee9fd5d5163af2c1f0a65889e957b8fa856@inbound.aiesec.org")</f>
        <v>p_4e7a3ee9fd5d5163af2c1f0a65889e957b8fa856@inbound.aiesec.org</v>
      </c>
      <c r="F171" s="43">
        <f>IFERROR(__xludf.DUMMYFUNCTION("""COMPUTED_VALUE"""),4.6999243701E10)</f>
        <v>46999243701</v>
      </c>
      <c r="G171" s="43" t="str">
        <f>IFERROR(__xludf.DUMMYFUNCTION("""COMPUTED_VALUE"""),"Brazil")</f>
        <v>Brazil</v>
      </c>
      <c r="H171" s="43" t="str">
        <f>IFERROR(__xludf.DUMMYFUNCTION("""COMPUTED_VALUE"""),"CURITIBA")</f>
        <v>CURITIBA</v>
      </c>
      <c r="I171" s="43" t="str">
        <f>IFERROR(__xludf.DUMMYFUNCTION("""COMPUTED_VALUE"""),"Turkey")</f>
        <v>Turkey</v>
      </c>
      <c r="J171" s="43" t="str">
        <f>IFERROR(__xludf.DUMMYFUNCTION("""COMPUTED_VALUE"""),"KONYA")</f>
        <v>KONYA</v>
      </c>
      <c r="K171" s="44" t="str">
        <f>IFERROR(__xludf.DUMMYFUNCTION("""COMPUTED_VALUE"""),"https://expa.aiesec.org/opportunities/1283483")</f>
        <v>https://expa.aiesec.org/opportunities/1283483</v>
      </c>
      <c r="L171" s="43" t="str">
        <f>IFERROR(__xludf.DUMMYFUNCTION("""COMPUTED_VALUE"""),"GV")</f>
        <v>GV</v>
      </c>
      <c r="M171" s="43" t="str">
        <f>IFERROR(__xludf.DUMMYFUNCTION("""COMPUTED_VALUE"""),"short")</f>
        <v>short</v>
      </c>
      <c r="N171" s="45">
        <f>IFERROR(__xludf.DUMMYFUNCTION("""COMPUTED_VALUE"""),44838.0)</f>
        <v>44838</v>
      </c>
      <c r="O171" s="45">
        <f>IFERROR(__xludf.DUMMYFUNCTION("""COMPUTED_VALUE"""),45243.0)</f>
        <v>45243</v>
      </c>
      <c r="P171" s="45">
        <f>IFERROR(__xludf.DUMMYFUNCTION("""COMPUTED_VALUE"""),45285.0)</f>
        <v>45285</v>
      </c>
      <c r="Q171" s="45">
        <f>IFERROR(__xludf.DUMMYFUNCTION("""COMPUTED_VALUE"""),45244.0)</f>
        <v>45244</v>
      </c>
      <c r="R171" s="45">
        <f>IFERROR(__xludf.DUMMYFUNCTION("""COMPUTED_VALUE"""),45285.0)</f>
        <v>45285</v>
      </c>
      <c r="S171" s="43"/>
      <c r="T171" s="43"/>
      <c r="U171" s="43" t="str">
        <f>IFERROR(__xludf.DUMMYFUNCTION("""COMPUTED_VALUE"""),"Global Classroom")</f>
        <v>Global Classroom</v>
      </c>
      <c r="V171" s="43" t="str">
        <f>IFERROR(__xludf.DUMMYFUNCTION("""COMPUTED_VALUE"""),"Curitiba")</f>
        <v>Curitiba</v>
      </c>
      <c r="W171" s="43" t="str">
        <f>IFERROR(__xludf.DUMMYFUNCTION("""COMPUTED_VALUE"""),"2021-05-05T13:25:48Z")</f>
        <v>2021-05-05T13:25:48Z</v>
      </c>
      <c r="X171" s="43"/>
      <c r="Y171" s="43"/>
      <c r="Z171" s="43"/>
    </row>
    <row r="172">
      <c r="A172" s="43" t="str">
        <f>IFERROR(__xludf.DUMMYFUNCTION("""COMPUTED_VALUE"""),"4712139_1288970")</f>
        <v>4712139_1288970</v>
      </c>
      <c r="B172" s="43" t="str">
        <f>IFERROR(__xludf.DUMMYFUNCTION("""COMPUTED_VALUE"""),"Jonathas de Medeiros Ferreira")</f>
        <v>Jonathas de Medeiros Ferreira</v>
      </c>
      <c r="C172" s="43" t="str">
        <f>IFERROR(__xludf.DUMMYFUNCTION("""COMPUTED_VALUE"""),"approved")</f>
        <v>approved</v>
      </c>
      <c r="D172" s="43" t="str">
        <f>IFERROR(__xludf.DUMMYFUNCTION("""COMPUTED_VALUE"""),"No")</f>
        <v>No</v>
      </c>
      <c r="E172" s="43" t="str">
        <f>IFERROR(__xludf.DUMMYFUNCTION("""COMPUTED_VALUE"""),"p_67b0f925913bc92811816373d0ab60b79d0bda6a@inbound.aiesec.org")</f>
        <v>p_67b0f925913bc92811816373d0ab60b79d0bda6a@inbound.aiesec.org</v>
      </c>
      <c r="F172" s="43"/>
      <c r="G172" s="43" t="str">
        <f>IFERROR(__xludf.DUMMYFUNCTION("""COMPUTED_VALUE"""),"Brazil")</f>
        <v>Brazil</v>
      </c>
      <c r="H172" s="43" t="str">
        <f>IFERROR(__xludf.DUMMYFUNCTION("""COMPUTED_VALUE"""),"SAO CARLOS")</f>
        <v>SAO CARLOS</v>
      </c>
      <c r="I172" s="43" t="str">
        <f>IFERROR(__xludf.DUMMYFUNCTION("""COMPUTED_VALUE"""),"Turkey")</f>
        <v>Turkey</v>
      </c>
      <c r="J172" s="43" t="str">
        <f>IFERROR(__xludf.DUMMYFUNCTION("""COMPUTED_VALUE"""),"İZMİR")</f>
        <v>İZMİR</v>
      </c>
      <c r="K172" s="44" t="str">
        <f>IFERROR(__xludf.DUMMYFUNCTION("""COMPUTED_VALUE"""),"https://expa.aiesec.org/opportunities/1288970")</f>
        <v>https://expa.aiesec.org/opportunities/1288970</v>
      </c>
      <c r="L172" s="43" t="str">
        <f>IFERROR(__xludf.DUMMYFUNCTION("""COMPUTED_VALUE"""),"GV")</f>
        <v>GV</v>
      </c>
      <c r="M172" s="43" t="str">
        <f>IFERROR(__xludf.DUMMYFUNCTION("""COMPUTED_VALUE"""),"short")</f>
        <v>short</v>
      </c>
      <c r="N172" s="45">
        <f>IFERROR(__xludf.DUMMYFUNCTION("""COMPUTED_VALUE"""),44838.0)</f>
        <v>44838</v>
      </c>
      <c r="O172" s="45">
        <f>IFERROR(__xludf.DUMMYFUNCTION("""COMPUTED_VALUE"""),45081.0)</f>
        <v>45081</v>
      </c>
      <c r="P172" s="45">
        <f>IFERROR(__xludf.DUMMYFUNCTION("""COMPUTED_VALUE"""),45123.0)</f>
        <v>45123</v>
      </c>
      <c r="Q172" s="45"/>
      <c r="R172" s="45"/>
      <c r="S172" s="43"/>
      <c r="T172" s="43"/>
      <c r="U172" s="43" t="str">
        <f>IFERROR(__xludf.DUMMYFUNCTION("""COMPUTED_VALUE"""),"Fingerprint")</f>
        <v>Fingerprint</v>
      </c>
      <c r="V172" s="43" t="str">
        <f>IFERROR(__xludf.DUMMYFUNCTION("""COMPUTED_VALUE"""),"-")</f>
        <v>-</v>
      </c>
      <c r="W172" s="43" t="str">
        <f>IFERROR(__xludf.DUMMYFUNCTION("""COMPUTED_VALUE"""),"2021-08-15T18:32:30Z")</f>
        <v>2021-08-15T18:32:30Z</v>
      </c>
      <c r="X172" s="43"/>
      <c r="Y172" s="43"/>
      <c r="Z172" s="43"/>
    </row>
    <row r="173" hidden="1">
      <c r="A173" s="43" t="str">
        <f>IFERROR(__xludf.DUMMYFUNCTION("""COMPUTED_VALUE"""),"5101316_1287628")</f>
        <v>5101316_1287628</v>
      </c>
      <c r="B173" s="43" t="str">
        <f>IFERROR(__xludf.DUMMYFUNCTION("""COMPUTED_VALUE"""),"Salvatore Cocco")</f>
        <v>Salvatore Cocco</v>
      </c>
      <c r="C173" s="43" t="str">
        <f>IFERROR(__xludf.DUMMYFUNCTION("""COMPUTED_VALUE"""),"completed")</f>
        <v>completed</v>
      </c>
      <c r="D173" s="43" t="str">
        <f>IFERROR(__xludf.DUMMYFUNCTION("""COMPUTED_VALUE"""),"No")</f>
        <v>No</v>
      </c>
      <c r="E173" s="43" t="str">
        <f>IFERROR(__xludf.DUMMYFUNCTION("""COMPUTED_VALUE"""),"p_79b7499ba7b790df08406e19e1c63a4398f169ac@inbound.aiesec.org")</f>
        <v>p_79b7499ba7b790df08406e19e1c63a4398f169ac@inbound.aiesec.org</v>
      </c>
      <c r="F173" s="43"/>
      <c r="G173" s="43" t="str">
        <f>IFERROR(__xludf.DUMMYFUNCTION("""COMPUTED_VALUE"""),"Italy")</f>
        <v>Italy</v>
      </c>
      <c r="H173" s="43" t="str">
        <f>IFERROR(__xludf.DUMMYFUNCTION("""COMPUTED_VALUE"""),"Napoli Federico II")</f>
        <v>Napoli Federico II</v>
      </c>
      <c r="I173" s="43" t="str">
        <f>IFERROR(__xludf.DUMMYFUNCTION("""COMPUTED_VALUE"""),"Turkey")</f>
        <v>Turkey</v>
      </c>
      <c r="J173" s="43" t="str">
        <f>IFERROR(__xludf.DUMMYFUNCTION("""COMPUTED_VALUE"""),"KOCAELI")</f>
        <v>KOCAELI</v>
      </c>
      <c r="K173" s="44" t="str">
        <f>IFERROR(__xludf.DUMMYFUNCTION("""COMPUTED_VALUE"""),"https://expa.aiesec.org/opportunities/1287628")</f>
        <v>https://expa.aiesec.org/opportunities/1287628</v>
      </c>
      <c r="L173" s="43" t="str">
        <f>IFERROR(__xludf.DUMMYFUNCTION("""COMPUTED_VALUE"""),"GV")</f>
        <v>GV</v>
      </c>
      <c r="M173" s="43" t="str">
        <f>IFERROR(__xludf.DUMMYFUNCTION("""COMPUTED_VALUE"""),"short")</f>
        <v>short</v>
      </c>
      <c r="N173" s="45">
        <f>IFERROR(__xludf.DUMMYFUNCTION("""COMPUTED_VALUE"""),44838.0)</f>
        <v>44838</v>
      </c>
      <c r="O173" s="45">
        <f>IFERROR(__xludf.DUMMYFUNCTION("""COMPUTED_VALUE"""),44844.0)</f>
        <v>44844</v>
      </c>
      <c r="P173" s="45">
        <f>IFERROR(__xludf.DUMMYFUNCTION("""COMPUTED_VALUE"""),44886.0)</f>
        <v>44886</v>
      </c>
      <c r="Q173" s="45">
        <f>IFERROR(__xludf.DUMMYFUNCTION("""COMPUTED_VALUE"""),44847.0)</f>
        <v>44847</v>
      </c>
      <c r="R173" s="45">
        <f>IFERROR(__xludf.DUMMYFUNCTION("""COMPUTED_VALUE"""),44884.0)</f>
        <v>44884</v>
      </c>
      <c r="S173" s="43"/>
      <c r="T173" s="43"/>
      <c r="U173" s="43" t="str">
        <f>IFERROR(__xludf.DUMMYFUNCTION("""COMPUTED_VALUE"""),"Global Classroom")</f>
        <v>Global Classroom</v>
      </c>
      <c r="V173" s="43" t="str">
        <f>IFERROR(__xludf.DUMMYFUNCTION("""COMPUTED_VALUE"""),"-")</f>
        <v>-</v>
      </c>
      <c r="W173" s="43" t="str">
        <f>IFERROR(__xludf.DUMMYFUNCTION("""COMPUTED_VALUE"""),"2022-08-28T21:14:30Z")</f>
        <v>2022-08-28T21:14:30Z</v>
      </c>
      <c r="X173" s="43"/>
      <c r="Y173" s="43"/>
      <c r="Z173" s="43"/>
    </row>
    <row r="174" hidden="1">
      <c r="A174" s="43" t="str">
        <f>IFERROR(__xludf.DUMMYFUNCTION("""COMPUTED_VALUE"""),"5125963_1289536")</f>
        <v>5125963_1289536</v>
      </c>
      <c r="B174" s="43" t="str">
        <f>IFERROR(__xludf.DUMMYFUNCTION("""COMPUTED_VALUE"""),"Jáchym Lebeda")</f>
        <v>Jáchym Lebeda</v>
      </c>
      <c r="C174" s="43" t="str">
        <f>IFERROR(__xludf.DUMMYFUNCTION("""COMPUTED_VALUE"""),"finished")</f>
        <v>finished</v>
      </c>
      <c r="D174" s="43" t="str">
        <f>IFERROR(__xludf.DUMMYFUNCTION("""COMPUTED_VALUE"""),"No")</f>
        <v>No</v>
      </c>
      <c r="E174" s="43" t="str">
        <f>IFERROR(__xludf.DUMMYFUNCTION("""COMPUTED_VALUE"""),"p_50fd24010794e5442a67dcc29e0699ad26948c1c@inbound.aiesec.org")</f>
        <v>p_50fd24010794e5442a67dcc29e0699ad26948c1c@inbound.aiesec.org</v>
      </c>
      <c r="F174" s="43">
        <f>IFERROR(__xludf.DUMMYFUNCTION("""COMPUTED_VALUE"""),6.08315553E8)</f>
        <v>608315553</v>
      </c>
      <c r="G174" s="43" t="str">
        <f>IFERROR(__xludf.DUMMYFUNCTION("""COMPUTED_VALUE"""),"Czech Republic")</f>
        <v>Czech Republic</v>
      </c>
      <c r="H174" s="43" t="str">
        <f>IFERROR(__xludf.DUMMYFUNCTION("""COMPUTED_VALUE"""),"PRAGUE")</f>
        <v>PRAGUE</v>
      </c>
      <c r="I174" s="43" t="str">
        <f>IFERROR(__xludf.DUMMYFUNCTION("""COMPUTED_VALUE"""),"Turkey")</f>
        <v>Turkey</v>
      </c>
      <c r="J174" s="43" t="str">
        <f>IFERROR(__xludf.DUMMYFUNCTION("""COMPUTED_VALUE"""),"ISTANBUL")</f>
        <v>ISTANBUL</v>
      </c>
      <c r="K174" s="44" t="str">
        <f>IFERROR(__xludf.DUMMYFUNCTION("""COMPUTED_VALUE"""),"https://expa.aiesec.org/opportunities/1289536")</f>
        <v>https://expa.aiesec.org/opportunities/1289536</v>
      </c>
      <c r="L174" s="43" t="str">
        <f>IFERROR(__xludf.DUMMYFUNCTION("""COMPUTED_VALUE"""),"GV")</f>
        <v>GV</v>
      </c>
      <c r="M174" s="43" t="str">
        <f>IFERROR(__xludf.DUMMYFUNCTION("""COMPUTED_VALUE"""),"short")</f>
        <v>short</v>
      </c>
      <c r="N174" s="45">
        <f>IFERROR(__xludf.DUMMYFUNCTION("""COMPUTED_VALUE"""),44839.0)</f>
        <v>44839</v>
      </c>
      <c r="O174" s="45">
        <f>IFERROR(__xludf.DUMMYFUNCTION("""COMPUTED_VALUE"""),44879.0)</f>
        <v>44879</v>
      </c>
      <c r="P174" s="45">
        <f>IFERROR(__xludf.DUMMYFUNCTION("""COMPUTED_VALUE"""),44921.0)</f>
        <v>44921</v>
      </c>
      <c r="Q174" s="45">
        <f>IFERROR(__xludf.DUMMYFUNCTION("""COMPUTED_VALUE"""),44877.0)</f>
        <v>44877</v>
      </c>
      <c r="R174" s="45">
        <f>IFERROR(__xludf.DUMMYFUNCTION("""COMPUTED_VALUE"""),44920.0)</f>
        <v>44920</v>
      </c>
      <c r="S174" s="43"/>
      <c r="T174" s="43"/>
      <c r="U174" s="43" t="str">
        <f>IFERROR(__xludf.DUMMYFUNCTION("""COMPUTED_VALUE"""),"Global Classroom")</f>
        <v>Global Classroom</v>
      </c>
      <c r="V174" s="43" t="str">
        <f>IFERROR(__xludf.DUMMYFUNCTION("""COMPUTED_VALUE"""),"-")</f>
        <v>-</v>
      </c>
      <c r="W174" s="43" t="str">
        <f>IFERROR(__xludf.DUMMYFUNCTION("""COMPUTED_VALUE"""),"2022-10-05T18:23:40Z")</f>
        <v>2022-10-05T18:23:40Z</v>
      </c>
      <c r="X174" s="43"/>
      <c r="Y174" s="43"/>
      <c r="Z174" s="43"/>
    </row>
    <row r="175" hidden="1">
      <c r="A175" s="43" t="str">
        <f>IFERROR(__xludf.DUMMYFUNCTION("""COMPUTED_VALUE"""),"3789893_1289261")</f>
        <v>3789893_1289261</v>
      </c>
      <c r="B175" s="43" t="str">
        <f>IFERROR(__xludf.DUMMYFUNCTION("""COMPUTED_VALUE"""),"Prathammesh Karnavat")</f>
        <v>Prathammesh Karnavat</v>
      </c>
      <c r="C175" s="43" t="str">
        <f>IFERROR(__xludf.DUMMYFUNCTION("""COMPUTED_VALUE"""),"finished")</f>
        <v>finished</v>
      </c>
      <c r="D175" s="43" t="str">
        <f>IFERROR(__xludf.DUMMYFUNCTION("""COMPUTED_VALUE"""),"No")</f>
        <v>No</v>
      </c>
      <c r="E175" s="43" t="str">
        <f>IFERROR(__xludf.DUMMYFUNCTION("""COMPUTED_VALUE"""),"p_75d3b2a117276fa8ac29d956a6e2136f4a8ccf2b@inbound.aiesec.org")</f>
        <v>p_75d3b2a117276fa8ac29d956a6e2136f4a8ccf2b@inbound.aiesec.org</v>
      </c>
      <c r="F175" s="43">
        <f>IFERROR(__xludf.DUMMYFUNCTION("""COMPUTED_VALUE"""),9.405983787E9)</f>
        <v>9405983787</v>
      </c>
      <c r="G175" s="43" t="str">
        <f>IFERROR(__xludf.DUMMYFUNCTION("""COMPUTED_VALUE"""),"India")</f>
        <v>India</v>
      </c>
      <c r="H175" s="43" t="str">
        <f>IFERROR(__xludf.DUMMYFUNCTION("""COMPUTED_VALUE"""),"Pune")</f>
        <v>Pune</v>
      </c>
      <c r="I175" s="43" t="str">
        <f>IFERROR(__xludf.DUMMYFUNCTION("""COMPUTED_VALUE"""),"Turkey")</f>
        <v>Turkey</v>
      </c>
      <c r="J175" s="43" t="str">
        <f>IFERROR(__xludf.DUMMYFUNCTION("""COMPUTED_VALUE"""),"İZMİR")</f>
        <v>İZMİR</v>
      </c>
      <c r="K175" s="44" t="str">
        <f>IFERROR(__xludf.DUMMYFUNCTION("""COMPUTED_VALUE"""),"https://expa.aiesec.org/opportunities/1289261")</f>
        <v>https://expa.aiesec.org/opportunities/1289261</v>
      </c>
      <c r="L175" s="43" t="str">
        <f>IFERROR(__xludf.DUMMYFUNCTION("""COMPUTED_VALUE"""),"GV")</f>
        <v>GV</v>
      </c>
      <c r="M175" s="43" t="str">
        <f>IFERROR(__xludf.DUMMYFUNCTION("""COMPUTED_VALUE"""),"short")</f>
        <v>short</v>
      </c>
      <c r="N175" s="45">
        <f>IFERROR(__xludf.DUMMYFUNCTION("""COMPUTED_VALUE"""),44839.0)</f>
        <v>44839</v>
      </c>
      <c r="O175" s="45">
        <f>IFERROR(__xludf.DUMMYFUNCTION("""COMPUTED_VALUE"""),44857.0)</f>
        <v>44857</v>
      </c>
      <c r="P175" s="45">
        <f>IFERROR(__xludf.DUMMYFUNCTION("""COMPUTED_VALUE"""),44899.0)</f>
        <v>44899</v>
      </c>
      <c r="Q175" s="45">
        <f>IFERROR(__xludf.DUMMYFUNCTION("""COMPUTED_VALUE"""),44868.0)</f>
        <v>44868</v>
      </c>
      <c r="R175" s="45">
        <f>IFERROR(__xludf.DUMMYFUNCTION("""COMPUTED_VALUE"""),44908.0)</f>
        <v>44908</v>
      </c>
      <c r="S175" s="43"/>
      <c r="T175" s="43"/>
      <c r="U175" s="43" t="str">
        <f>IFERROR(__xludf.DUMMYFUNCTION("""COMPUTED_VALUE"""),"Global Classroom")</f>
        <v>Global Classroom</v>
      </c>
      <c r="V175" s="43" t="str">
        <f>IFERROR(__xludf.DUMMYFUNCTION("""COMPUTED_VALUE"""),"MIT WPU, Pune")</f>
        <v>MIT WPU, Pune</v>
      </c>
      <c r="W175" s="43" t="str">
        <f>IFERROR(__xludf.DUMMYFUNCTION("""COMPUTED_VALUE"""),"2019-08-25T03:31:00Z")</f>
        <v>2019-08-25T03:31:00Z</v>
      </c>
      <c r="X175" s="43"/>
      <c r="Y175" s="43"/>
      <c r="Z175" s="43"/>
    </row>
    <row r="176" hidden="1">
      <c r="A176" s="43" t="str">
        <f>IFERROR(__xludf.DUMMYFUNCTION("""COMPUTED_VALUE"""),"5123622_1289596")</f>
        <v>5123622_1289596</v>
      </c>
      <c r="B176" s="43" t="str">
        <f>IFERROR(__xludf.DUMMYFUNCTION("""COMPUTED_VALUE"""),"Juliana Bomtorin")</f>
        <v>Juliana Bomtorin</v>
      </c>
      <c r="C176" s="43" t="str">
        <f>IFERROR(__xludf.DUMMYFUNCTION("""COMPUTED_VALUE"""),"approved")</f>
        <v>approved</v>
      </c>
      <c r="D176" s="43" t="str">
        <f>IFERROR(__xludf.DUMMYFUNCTION("""COMPUTED_VALUE"""),"No")</f>
        <v>No</v>
      </c>
      <c r="E176" s="43" t="str">
        <f>IFERROR(__xludf.DUMMYFUNCTION("""COMPUTED_VALUE"""),"p_aaa5f5e2c13fdfada101e99bc977b661a302ef61@inbound.aiesec.org")</f>
        <v>p_aaa5f5e2c13fdfada101e99bc977b661a302ef61@inbound.aiesec.org</v>
      </c>
      <c r="F176" s="43"/>
      <c r="G176" s="43" t="str">
        <f>IFERROR(__xludf.DUMMYFUNCTION("""COMPUTED_VALUE"""),"Brazil")</f>
        <v>Brazil</v>
      </c>
      <c r="H176" s="43" t="str">
        <f>IFERROR(__xludf.DUMMYFUNCTION("""COMPUTED_VALUE"""),"CURITIBA")</f>
        <v>CURITIBA</v>
      </c>
      <c r="I176" s="43" t="str">
        <f>IFERROR(__xludf.DUMMYFUNCTION("""COMPUTED_VALUE"""),"Turkey")</f>
        <v>Turkey</v>
      </c>
      <c r="J176" s="43" t="str">
        <f>IFERROR(__xludf.DUMMYFUNCTION("""COMPUTED_VALUE"""),"ISPARTA")</f>
        <v>ISPARTA</v>
      </c>
      <c r="K176" s="44" t="str">
        <f>IFERROR(__xludf.DUMMYFUNCTION("""COMPUTED_VALUE"""),"https://expa.aiesec.org/opportunities/1289596")</f>
        <v>https://expa.aiesec.org/opportunities/1289596</v>
      </c>
      <c r="L176" s="43" t="str">
        <f>IFERROR(__xludf.DUMMYFUNCTION("""COMPUTED_VALUE"""),"GV")</f>
        <v>GV</v>
      </c>
      <c r="M176" s="43" t="str">
        <f>IFERROR(__xludf.DUMMYFUNCTION("""COMPUTED_VALUE"""),"short")</f>
        <v>short</v>
      </c>
      <c r="N176" s="45">
        <f>IFERROR(__xludf.DUMMYFUNCTION("""COMPUTED_VALUE"""),44840.0)</f>
        <v>44840</v>
      </c>
      <c r="O176" s="45">
        <f>IFERROR(__xludf.DUMMYFUNCTION("""COMPUTED_VALUE"""),45299.0)</f>
        <v>45299</v>
      </c>
      <c r="P176" s="45">
        <f>IFERROR(__xludf.DUMMYFUNCTION("""COMPUTED_VALUE"""),45341.0)</f>
        <v>45341</v>
      </c>
      <c r="Q176" s="45"/>
      <c r="R176" s="45"/>
      <c r="S176" s="43"/>
      <c r="T176" s="43"/>
      <c r="U176" s="43" t="str">
        <f>IFERROR(__xludf.DUMMYFUNCTION("""COMPUTED_VALUE"""),"Global Classroom")</f>
        <v>Global Classroom</v>
      </c>
      <c r="V176" s="43" t="str">
        <f>IFERROR(__xludf.DUMMYFUNCTION("""COMPUTED_VALUE"""),"-")</f>
        <v>-</v>
      </c>
      <c r="W176" s="43" t="str">
        <f>IFERROR(__xludf.DUMMYFUNCTION("""COMPUTED_VALUE"""),"2022-10-01T22:40:31Z")</f>
        <v>2022-10-01T22:40:31Z</v>
      </c>
      <c r="X176" s="43"/>
      <c r="Y176" s="43"/>
      <c r="Z176" s="43"/>
    </row>
    <row r="177" hidden="1">
      <c r="A177" s="43" t="str">
        <f>IFERROR(__xludf.DUMMYFUNCTION("""COMPUTED_VALUE"""),"5090633_1288393")</f>
        <v>5090633_1288393</v>
      </c>
      <c r="B177" s="43" t="str">
        <f>IFERROR(__xludf.DUMMYFUNCTION("""COMPUTED_VALUE"""),"Ajeesh Varghees")</f>
        <v>Ajeesh Varghees</v>
      </c>
      <c r="C177" s="43" t="str">
        <f>IFERROR(__xludf.DUMMYFUNCTION("""COMPUTED_VALUE"""),"completed")</f>
        <v>completed</v>
      </c>
      <c r="D177" s="43" t="str">
        <f>IFERROR(__xludf.DUMMYFUNCTION("""COMPUTED_VALUE"""),"No")</f>
        <v>No</v>
      </c>
      <c r="E177" s="43" t="str">
        <f>IFERROR(__xludf.DUMMYFUNCTION("""COMPUTED_VALUE"""),"p_33d0af653e546e14c96076909d7b4ff447c05131@inbound.aiesec.org")</f>
        <v>p_33d0af653e546e14c96076909d7b4ff447c05131@inbound.aiesec.org</v>
      </c>
      <c r="F177" s="43">
        <f>IFERROR(__xludf.DUMMYFUNCTION("""COMPUTED_VALUE"""),9.867984001E9)</f>
        <v>9867984001</v>
      </c>
      <c r="G177" s="43" t="str">
        <f>IFERROR(__xludf.DUMMYFUNCTION("""COMPUTED_VALUE"""),"India")</f>
        <v>India</v>
      </c>
      <c r="H177" s="43" t="str">
        <f>IFERROR(__xludf.DUMMYFUNCTION("""COMPUTED_VALUE"""),"Mumbai")</f>
        <v>Mumbai</v>
      </c>
      <c r="I177" s="43" t="str">
        <f>IFERROR(__xludf.DUMMYFUNCTION("""COMPUTED_VALUE"""),"Turkey")</f>
        <v>Turkey</v>
      </c>
      <c r="J177" s="43" t="str">
        <f>IFERROR(__xludf.DUMMYFUNCTION("""COMPUTED_VALUE"""),"ISTANBUL")</f>
        <v>ISTANBUL</v>
      </c>
      <c r="K177" s="44" t="str">
        <f>IFERROR(__xludf.DUMMYFUNCTION("""COMPUTED_VALUE"""),"https://expa.aiesec.org/opportunities/1288393")</f>
        <v>https://expa.aiesec.org/opportunities/1288393</v>
      </c>
      <c r="L177" s="43" t="str">
        <f>IFERROR(__xludf.DUMMYFUNCTION("""COMPUTED_VALUE"""),"GV")</f>
        <v>GV</v>
      </c>
      <c r="M177" s="43" t="str">
        <f>IFERROR(__xludf.DUMMYFUNCTION("""COMPUTED_VALUE"""),"short")</f>
        <v>short</v>
      </c>
      <c r="N177" s="45">
        <f>IFERROR(__xludf.DUMMYFUNCTION("""COMPUTED_VALUE"""),44841.0)</f>
        <v>44841</v>
      </c>
      <c r="O177" s="45">
        <f>IFERROR(__xludf.DUMMYFUNCTION("""COMPUTED_VALUE"""),45054.0)</f>
        <v>45054</v>
      </c>
      <c r="P177" s="45">
        <f>IFERROR(__xludf.DUMMYFUNCTION("""COMPUTED_VALUE"""),45096.0)</f>
        <v>45096</v>
      </c>
      <c r="Q177" s="45">
        <f>IFERROR(__xludf.DUMMYFUNCTION("""COMPUTED_VALUE"""),45061.0)</f>
        <v>45061</v>
      </c>
      <c r="R177" s="45">
        <f>IFERROR(__xludf.DUMMYFUNCTION("""COMPUTED_VALUE"""),45103.0)</f>
        <v>45103</v>
      </c>
      <c r="S177" s="43"/>
      <c r="T177" s="43"/>
      <c r="U177" s="43" t="str">
        <f>IFERROR(__xludf.DUMMYFUNCTION("""COMPUTED_VALUE"""),"Global Classroom")</f>
        <v>Global Classroom</v>
      </c>
      <c r="V177" s="43" t="str">
        <f>IFERROR(__xludf.DUMMYFUNCTION("""COMPUTED_VALUE"""),"St.Andrews College, Bandra")</f>
        <v>St.Andrews College, Bandra</v>
      </c>
      <c r="W177" s="43" t="str">
        <f>IFERROR(__xludf.DUMMYFUNCTION("""COMPUTED_VALUE"""),"2022-08-07T11:40:08Z")</f>
        <v>2022-08-07T11:40:08Z</v>
      </c>
      <c r="X177" s="43"/>
      <c r="Y177" s="43"/>
      <c r="Z177" s="43"/>
    </row>
    <row r="178" hidden="1">
      <c r="A178" s="43" t="str">
        <f>IFERROR(__xludf.DUMMYFUNCTION("""COMPUTED_VALUE"""),"4966073_1289505")</f>
        <v>4966073_1289505</v>
      </c>
      <c r="B178" s="43" t="str">
        <f>IFERROR(__xludf.DUMMYFUNCTION("""COMPUTED_VALUE"""),"deleted 4966073")</f>
        <v>deleted 4966073</v>
      </c>
      <c r="C178" s="43" t="str">
        <f>IFERROR(__xludf.DUMMYFUNCTION("""COMPUTED_VALUE"""),"completed")</f>
        <v>completed</v>
      </c>
      <c r="D178" s="43" t="str">
        <f>IFERROR(__xludf.DUMMYFUNCTION("""COMPUTED_VALUE"""),"No")</f>
        <v>No</v>
      </c>
      <c r="E178" s="43" t="str">
        <f>IFERROR(__xludf.DUMMYFUNCTION("""COMPUTED_VALUE"""),"p_64d9885b7c610b55f337e4486c702ee3386d76b2@inbound.aiesec.org")</f>
        <v>p_64d9885b7c610b55f337e4486c702ee3386d76b2@inbound.aiesec.org</v>
      </c>
      <c r="F178" s="43"/>
      <c r="G178" s="43" t="str">
        <f>IFERROR(__xludf.DUMMYFUNCTION("""COMPUTED_VALUE"""),"India")</f>
        <v>India</v>
      </c>
      <c r="H178" s="43" t="str">
        <f>IFERROR(__xludf.DUMMYFUNCTION("""COMPUTED_VALUE"""),"Ahmedabad")</f>
        <v>Ahmedabad</v>
      </c>
      <c r="I178" s="43" t="str">
        <f>IFERROR(__xludf.DUMMYFUNCTION("""COMPUTED_VALUE"""),"Turkey")</f>
        <v>Turkey</v>
      </c>
      <c r="J178" s="43" t="str">
        <f>IFERROR(__xludf.DUMMYFUNCTION("""COMPUTED_VALUE"""),"KOCAELI")</f>
        <v>KOCAELI</v>
      </c>
      <c r="K178" s="44" t="str">
        <f>IFERROR(__xludf.DUMMYFUNCTION("""COMPUTED_VALUE"""),"https://expa.aiesec.org/opportunities/1289505")</f>
        <v>https://expa.aiesec.org/opportunities/1289505</v>
      </c>
      <c r="L178" s="43" t="str">
        <f>IFERROR(__xludf.DUMMYFUNCTION("""COMPUTED_VALUE"""),"GV")</f>
        <v>GV</v>
      </c>
      <c r="M178" s="43" t="str">
        <f>IFERROR(__xludf.DUMMYFUNCTION("""COMPUTED_VALUE"""),"short")</f>
        <v>short</v>
      </c>
      <c r="N178" s="45">
        <f>IFERROR(__xludf.DUMMYFUNCTION("""COMPUTED_VALUE"""),44842.0)</f>
        <v>44842</v>
      </c>
      <c r="O178" s="45">
        <f>IFERROR(__xludf.DUMMYFUNCTION("""COMPUTED_VALUE"""),44907.0)</f>
        <v>44907</v>
      </c>
      <c r="P178" s="45">
        <f>IFERROR(__xludf.DUMMYFUNCTION("""COMPUTED_VALUE"""),44949.0)</f>
        <v>44949</v>
      </c>
      <c r="Q178" s="45">
        <f>IFERROR(__xludf.DUMMYFUNCTION("""COMPUTED_VALUE"""),44918.0)</f>
        <v>44918</v>
      </c>
      <c r="R178" s="45">
        <f>IFERROR(__xludf.DUMMYFUNCTION("""COMPUTED_VALUE"""),44960.0)</f>
        <v>44960</v>
      </c>
      <c r="S178" s="43"/>
      <c r="T178" s="43"/>
      <c r="U178" s="43" t="str">
        <f>IFERROR(__xludf.DUMMYFUNCTION("""COMPUTED_VALUE"""),"Youth 4 Impact")</f>
        <v>Youth 4 Impact</v>
      </c>
      <c r="V178" s="43" t="str">
        <f>IFERROR(__xludf.DUMMYFUNCTION("""COMPUTED_VALUE"""),"-")</f>
        <v>-</v>
      </c>
      <c r="W178" s="43" t="str">
        <f>IFERROR(__xludf.DUMMYFUNCTION("""COMPUTED_VALUE"""),"2022-03-06T10:49:47Z")</f>
        <v>2022-03-06T10:49:47Z</v>
      </c>
      <c r="X178" s="43"/>
      <c r="Y178" s="43"/>
      <c r="Z178" s="43"/>
    </row>
    <row r="179" hidden="1">
      <c r="A179" s="43" t="str">
        <f>IFERROR(__xludf.DUMMYFUNCTION("""COMPUTED_VALUE"""),"4734343_1287854")</f>
        <v>4734343_1287854</v>
      </c>
      <c r="B179" s="43" t="str">
        <f>IFERROR(__xludf.DUMMYFUNCTION("""COMPUTED_VALUE"""),"Aya Ahmed Nagy")</f>
        <v>Aya Ahmed Nagy</v>
      </c>
      <c r="C179" s="43" t="str">
        <f>IFERROR(__xludf.DUMMYFUNCTION("""COMPUTED_VALUE"""),"finished")</f>
        <v>finished</v>
      </c>
      <c r="D179" s="43" t="str">
        <f>IFERROR(__xludf.DUMMYFUNCTION("""COMPUTED_VALUE"""),"No")</f>
        <v>No</v>
      </c>
      <c r="E179" s="43" t="str">
        <f>IFERROR(__xludf.DUMMYFUNCTION("""COMPUTED_VALUE"""),"p_ce3432ef54f95297590f6732b42e49b7cbec2079@inbound.aiesec.org")</f>
        <v>p_ce3432ef54f95297590f6732b42e49b7cbec2079@inbound.aiesec.org</v>
      </c>
      <c r="F179" s="43"/>
      <c r="G179" s="43" t="str">
        <f>IFERROR(__xludf.DUMMYFUNCTION("""COMPUTED_VALUE"""),"Egypt")</f>
        <v>Egypt</v>
      </c>
      <c r="H179" s="43" t="str">
        <f>IFERROR(__xludf.DUMMYFUNCTION("""COMPUTED_VALUE"""),"Tanta")</f>
        <v>Tanta</v>
      </c>
      <c r="I179" s="43" t="str">
        <f>IFERROR(__xludf.DUMMYFUNCTION("""COMPUTED_VALUE"""),"Turkey")</f>
        <v>Turkey</v>
      </c>
      <c r="J179" s="43" t="str">
        <f>IFERROR(__xludf.DUMMYFUNCTION("""COMPUTED_VALUE"""),"İZMİR")</f>
        <v>İZMİR</v>
      </c>
      <c r="K179" s="44" t="str">
        <f>IFERROR(__xludf.DUMMYFUNCTION("""COMPUTED_VALUE"""),"https://expa.aiesec.org/opportunities/1287854")</f>
        <v>https://expa.aiesec.org/opportunities/1287854</v>
      </c>
      <c r="L179" s="43" t="str">
        <f>IFERROR(__xludf.DUMMYFUNCTION("""COMPUTED_VALUE"""),"GV")</f>
        <v>GV</v>
      </c>
      <c r="M179" s="43" t="str">
        <f>IFERROR(__xludf.DUMMYFUNCTION("""COMPUTED_VALUE"""),"short")</f>
        <v>short</v>
      </c>
      <c r="N179" s="45">
        <f>IFERROR(__xludf.DUMMYFUNCTION("""COMPUTED_VALUE"""),44842.0)</f>
        <v>44842</v>
      </c>
      <c r="O179" s="45">
        <f>IFERROR(__xludf.DUMMYFUNCTION("""COMPUTED_VALUE"""),44990.0)</f>
        <v>44990</v>
      </c>
      <c r="P179" s="45">
        <f>IFERROR(__xludf.DUMMYFUNCTION("""COMPUTED_VALUE"""),45032.0)</f>
        <v>45032</v>
      </c>
      <c r="Q179" s="45">
        <f>IFERROR(__xludf.DUMMYFUNCTION("""COMPUTED_VALUE"""),44998.0)</f>
        <v>44998</v>
      </c>
      <c r="R179" s="45">
        <f>IFERROR(__xludf.DUMMYFUNCTION("""COMPUTED_VALUE"""),45040.0)</f>
        <v>45040</v>
      </c>
      <c r="S179" s="43"/>
      <c r="T179" s="43"/>
      <c r="U179" s="43" t="str">
        <f>IFERROR(__xludf.DUMMYFUNCTION("""COMPUTED_VALUE"""),"Global Classroom")</f>
        <v>Global Classroom</v>
      </c>
      <c r="V179" s="43" t="str">
        <f>IFERROR(__xludf.DUMMYFUNCTION("""COMPUTED_VALUE"""),"-")</f>
        <v>-</v>
      </c>
      <c r="W179" s="43" t="str">
        <f>IFERROR(__xludf.DUMMYFUNCTION("""COMPUTED_VALUE"""),"2021-09-11T03:02:14Z")</f>
        <v>2021-09-11T03:02:14Z</v>
      </c>
      <c r="X179" s="43"/>
      <c r="Y179" s="43"/>
      <c r="Z179" s="43"/>
    </row>
    <row r="180" hidden="1">
      <c r="A180" s="43" t="str">
        <f>IFERROR(__xludf.DUMMYFUNCTION("""COMPUTED_VALUE"""),"4673687_1288393")</f>
        <v>4673687_1288393</v>
      </c>
      <c r="B180" s="43" t="str">
        <f>IFERROR(__xludf.DUMMYFUNCTION("""COMPUTED_VALUE"""),"Talha Ahmed")</f>
        <v>Talha Ahmed</v>
      </c>
      <c r="C180" s="43" t="str">
        <f>IFERROR(__xludf.DUMMYFUNCTION("""COMPUTED_VALUE"""),"completed")</f>
        <v>completed</v>
      </c>
      <c r="D180" s="43" t="str">
        <f>IFERROR(__xludf.DUMMYFUNCTION("""COMPUTED_VALUE"""),"No")</f>
        <v>No</v>
      </c>
      <c r="E180" s="43" t="str">
        <f>IFERROR(__xludf.DUMMYFUNCTION("""COMPUTED_VALUE"""),"p_f5492547dccbc7a5765851c066fd7e75774bf64f@inbound.aiesec.org")</f>
        <v>p_f5492547dccbc7a5765851c066fd7e75774bf64f@inbound.aiesec.org</v>
      </c>
      <c r="F180" s="43">
        <f>IFERROR(__xludf.DUMMYFUNCTION("""COMPUTED_VALUE"""),3.442204898E9)</f>
        <v>3442204898</v>
      </c>
      <c r="G180" s="43" t="str">
        <f>IFERROR(__xludf.DUMMYFUNCTION("""COMPUTED_VALUE"""),"Pakistan")</f>
        <v>Pakistan</v>
      </c>
      <c r="H180" s="43" t="str">
        <f>IFERROR(__xludf.DUMMYFUNCTION("""COMPUTED_VALUE"""),"Karachi")</f>
        <v>Karachi</v>
      </c>
      <c r="I180" s="43" t="str">
        <f>IFERROR(__xludf.DUMMYFUNCTION("""COMPUTED_VALUE"""),"Turkey")</f>
        <v>Turkey</v>
      </c>
      <c r="J180" s="43" t="str">
        <f>IFERROR(__xludf.DUMMYFUNCTION("""COMPUTED_VALUE"""),"ISTANBUL")</f>
        <v>ISTANBUL</v>
      </c>
      <c r="K180" s="44" t="str">
        <f>IFERROR(__xludf.DUMMYFUNCTION("""COMPUTED_VALUE"""),"https://expa.aiesec.org/opportunities/1288393")</f>
        <v>https://expa.aiesec.org/opportunities/1288393</v>
      </c>
      <c r="L180" s="43" t="str">
        <f>IFERROR(__xludf.DUMMYFUNCTION("""COMPUTED_VALUE"""),"GV")</f>
        <v>GV</v>
      </c>
      <c r="M180" s="43" t="str">
        <f>IFERROR(__xludf.DUMMYFUNCTION("""COMPUTED_VALUE"""),"short")</f>
        <v>short</v>
      </c>
      <c r="N180" s="45">
        <f>IFERROR(__xludf.DUMMYFUNCTION("""COMPUTED_VALUE"""),44843.0)</f>
        <v>44843</v>
      </c>
      <c r="O180" s="45">
        <f>IFERROR(__xludf.DUMMYFUNCTION("""COMPUTED_VALUE"""),44922.0)</f>
        <v>44922</v>
      </c>
      <c r="P180" s="45">
        <f>IFERROR(__xludf.DUMMYFUNCTION("""COMPUTED_VALUE"""),44964.0)</f>
        <v>44964</v>
      </c>
      <c r="Q180" s="45">
        <f>IFERROR(__xludf.DUMMYFUNCTION("""COMPUTED_VALUE"""),44922.0)</f>
        <v>44922</v>
      </c>
      <c r="R180" s="45">
        <f>IFERROR(__xludf.DUMMYFUNCTION("""COMPUTED_VALUE"""),44964.0)</f>
        <v>44964</v>
      </c>
      <c r="S180" s="43"/>
      <c r="T180" s="43"/>
      <c r="U180" s="43" t="str">
        <f>IFERROR(__xludf.DUMMYFUNCTION("""COMPUTED_VALUE"""),"Global Classroom")</f>
        <v>Global Classroom</v>
      </c>
      <c r="V180" s="43" t="str">
        <f>IFERROR(__xludf.DUMMYFUNCTION("""COMPUTED_VALUE"""),"Karachi - University of Karachi")</f>
        <v>Karachi - University of Karachi</v>
      </c>
      <c r="W180" s="43" t="str">
        <f>IFERROR(__xludf.DUMMYFUNCTION("""COMPUTED_VALUE"""),"2021-06-22T10:00:51Z")</f>
        <v>2021-06-22T10:00:51Z</v>
      </c>
      <c r="X180" s="43"/>
      <c r="Y180" s="43"/>
      <c r="Z180" s="43"/>
    </row>
    <row r="181" hidden="1">
      <c r="A181" s="43" t="str">
        <f>IFERROR(__xludf.DUMMYFUNCTION("""COMPUTED_VALUE"""),"5066679_1280872")</f>
        <v>5066679_1280872</v>
      </c>
      <c r="B181" s="43" t="str">
        <f>IFERROR(__xludf.DUMMYFUNCTION("""COMPUTED_VALUE"""),"Deev Rathod")</f>
        <v>Deev Rathod</v>
      </c>
      <c r="C181" s="43" t="str">
        <f>IFERROR(__xludf.DUMMYFUNCTION("""COMPUTED_VALUE"""),"finished")</f>
        <v>finished</v>
      </c>
      <c r="D181" s="43" t="str">
        <f>IFERROR(__xludf.DUMMYFUNCTION("""COMPUTED_VALUE"""),"No")</f>
        <v>No</v>
      </c>
      <c r="E181" s="43" t="str">
        <f>IFERROR(__xludf.DUMMYFUNCTION("""COMPUTED_VALUE"""),"p_bbd723ce8950948ac0cc4694ca0a2cd9134b96ec@inbound.aiesec.org")</f>
        <v>p_bbd723ce8950948ac0cc4694ca0a2cd9134b96ec@inbound.aiesec.org</v>
      </c>
      <c r="F181" s="43">
        <f>IFERROR(__xludf.DUMMYFUNCTION("""COMPUTED_VALUE"""),8.879289203E9)</f>
        <v>8879289203</v>
      </c>
      <c r="G181" s="43" t="str">
        <f>IFERROR(__xludf.DUMMYFUNCTION("""COMPUTED_VALUE"""),"India")</f>
        <v>India</v>
      </c>
      <c r="H181" s="43" t="str">
        <f>IFERROR(__xludf.DUMMYFUNCTION("""COMPUTED_VALUE"""),"Closed")</f>
        <v>Closed</v>
      </c>
      <c r="I181" s="43" t="str">
        <f>IFERROR(__xludf.DUMMYFUNCTION("""COMPUTED_VALUE"""),"Turkey")</f>
        <v>Turkey</v>
      </c>
      <c r="J181" s="43" t="str">
        <f>IFERROR(__xludf.DUMMYFUNCTION("""COMPUTED_VALUE"""),"KOCAELI")</f>
        <v>KOCAELI</v>
      </c>
      <c r="K181" s="44" t="str">
        <f>IFERROR(__xludf.DUMMYFUNCTION("""COMPUTED_VALUE"""),"https://expa.aiesec.org/opportunities/1280872")</f>
        <v>https://expa.aiesec.org/opportunities/1280872</v>
      </c>
      <c r="L181" s="43" t="str">
        <f>IFERROR(__xludf.DUMMYFUNCTION("""COMPUTED_VALUE"""),"GV")</f>
        <v>GV</v>
      </c>
      <c r="M181" s="43" t="str">
        <f>IFERROR(__xludf.DUMMYFUNCTION("""COMPUTED_VALUE"""),"short")</f>
        <v>short</v>
      </c>
      <c r="N181" s="45">
        <f>IFERROR(__xludf.DUMMYFUNCTION("""COMPUTED_VALUE"""),44844.0)</f>
        <v>44844</v>
      </c>
      <c r="O181" s="45">
        <f>IFERROR(__xludf.DUMMYFUNCTION("""COMPUTED_VALUE"""),44893.0)</f>
        <v>44893</v>
      </c>
      <c r="P181" s="45">
        <f>IFERROR(__xludf.DUMMYFUNCTION("""COMPUTED_VALUE"""),44935.0)</f>
        <v>44935</v>
      </c>
      <c r="Q181" s="45">
        <f>IFERROR(__xludf.DUMMYFUNCTION("""COMPUTED_VALUE"""),44895.0)</f>
        <v>44895</v>
      </c>
      <c r="R181" s="45">
        <f>IFERROR(__xludf.DUMMYFUNCTION("""COMPUTED_VALUE"""),44937.0)</f>
        <v>44937</v>
      </c>
      <c r="S181" s="43"/>
      <c r="T181" s="43"/>
      <c r="U181" s="43" t="str">
        <f>IFERROR(__xludf.DUMMYFUNCTION("""COMPUTED_VALUE"""),"Skill Up!")</f>
        <v>Skill Up!</v>
      </c>
      <c r="V181" s="43" t="str">
        <f>IFERROR(__xludf.DUMMYFUNCTION("""COMPUTED_VALUE"""),"K.C. College, Mumbai")</f>
        <v>K.C. College, Mumbai</v>
      </c>
      <c r="W181" s="43" t="str">
        <f>IFERROR(__xludf.DUMMYFUNCTION("""COMPUTED_VALUE"""),"2022-05-31T17:28:21Z")</f>
        <v>2022-05-31T17:28:21Z</v>
      </c>
      <c r="X181" s="43"/>
      <c r="Y181" s="43"/>
      <c r="Z181" s="43"/>
    </row>
    <row r="182" hidden="1">
      <c r="A182" s="43" t="str">
        <f>IFERROR(__xludf.DUMMYFUNCTION("""COMPUTED_VALUE"""),"5123072_1288991")</f>
        <v>5123072_1288991</v>
      </c>
      <c r="B182" s="43" t="str">
        <f>IFERROR(__xludf.DUMMYFUNCTION("""COMPUTED_VALUE"""),"Amany Sakr")</f>
        <v>Amany Sakr</v>
      </c>
      <c r="C182" s="43" t="str">
        <f>IFERROR(__xludf.DUMMYFUNCTION("""COMPUTED_VALUE"""),"realization_broken")</f>
        <v>realization_broken</v>
      </c>
      <c r="D182" s="43" t="str">
        <f>IFERROR(__xludf.DUMMYFUNCTION("""COMPUTED_VALUE"""),"No")</f>
        <v>No</v>
      </c>
      <c r="E182" s="43" t="str">
        <f>IFERROR(__xludf.DUMMYFUNCTION("""COMPUTED_VALUE"""),"p_d0e706c051f509be7b49564a7e5226d13fb0edad@inbound.aiesec.org")</f>
        <v>p_d0e706c051f509be7b49564a7e5226d13fb0edad@inbound.aiesec.org</v>
      </c>
      <c r="F182" s="43">
        <f>IFERROR(__xludf.DUMMYFUNCTION("""COMPUTED_VALUE"""),1.008456342E9)</f>
        <v>1008456342</v>
      </c>
      <c r="G182" s="43" t="str">
        <f>IFERROR(__xludf.DUMMYFUNCTION("""COMPUTED_VALUE"""),"Egypt")</f>
        <v>Egypt</v>
      </c>
      <c r="H182" s="43" t="str">
        <f>IFERROR(__xludf.DUMMYFUNCTION("""COMPUTED_VALUE"""),"AAST Alexandria")</f>
        <v>AAST Alexandria</v>
      </c>
      <c r="I182" s="43" t="str">
        <f>IFERROR(__xludf.DUMMYFUNCTION("""COMPUTED_VALUE"""),"Turkey")</f>
        <v>Turkey</v>
      </c>
      <c r="J182" s="43" t="str">
        <f>IFERROR(__xludf.DUMMYFUNCTION("""COMPUTED_VALUE"""),"ANKARA")</f>
        <v>ANKARA</v>
      </c>
      <c r="K182" s="44" t="str">
        <f>IFERROR(__xludf.DUMMYFUNCTION("""COMPUTED_VALUE"""),"https://expa.aiesec.org/opportunities/1288991")</f>
        <v>https://expa.aiesec.org/opportunities/1288991</v>
      </c>
      <c r="L182" s="43" t="str">
        <f>IFERROR(__xludf.DUMMYFUNCTION("""COMPUTED_VALUE"""),"GV")</f>
        <v>GV</v>
      </c>
      <c r="M182" s="43" t="str">
        <f>IFERROR(__xludf.DUMMYFUNCTION("""COMPUTED_VALUE"""),"short")</f>
        <v>short</v>
      </c>
      <c r="N182" s="45">
        <f>IFERROR(__xludf.DUMMYFUNCTION("""COMPUTED_VALUE"""),44844.0)</f>
        <v>44844</v>
      </c>
      <c r="O182" s="45">
        <f>IFERROR(__xludf.DUMMYFUNCTION("""COMPUTED_VALUE"""),44886.0)</f>
        <v>44886</v>
      </c>
      <c r="P182" s="45">
        <f>IFERROR(__xludf.DUMMYFUNCTION("""COMPUTED_VALUE"""),44928.0)</f>
        <v>44928</v>
      </c>
      <c r="Q182" s="45"/>
      <c r="R182" s="45"/>
      <c r="S182" s="43"/>
      <c r="T182" s="43"/>
      <c r="U182" s="43" t="str">
        <f>IFERROR(__xludf.DUMMYFUNCTION("""COMPUTED_VALUE"""),"Green Leaders")</f>
        <v>Green Leaders</v>
      </c>
      <c r="V182" s="43" t="str">
        <f>IFERROR(__xludf.DUMMYFUNCTION("""COMPUTED_VALUE"""),"AAST in Alexandria")</f>
        <v>AAST in Alexandria</v>
      </c>
      <c r="W182" s="43" t="str">
        <f>IFERROR(__xludf.DUMMYFUNCTION("""COMPUTED_VALUE"""),"2022-09-30T21:25:16Z")</f>
        <v>2022-09-30T21:25:16Z</v>
      </c>
      <c r="X182" s="43"/>
      <c r="Y182" s="43"/>
      <c r="Z182" s="43"/>
    </row>
    <row r="183">
      <c r="A183" s="43" t="str">
        <f>IFERROR(__xludf.DUMMYFUNCTION("""COMPUTED_VALUE"""),"2368515_1283683")</f>
        <v>2368515_1283683</v>
      </c>
      <c r="B183" s="43" t="str">
        <f>IFERROR(__xludf.DUMMYFUNCTION("""COMPUTED_VALUE"""),"Abdul Wahid")</f>
        <v>Abdul Wahid</v>
      </c>
      <c r="C183" s="43" t="str">
        <f>IFERROR(__xludf.DUMMYFUNCTION("""COMPUTED_VALUE"""),"approved")</f>
        <v>approved</v>
      </c>
      <c r="D183" s="43" t="str">
        <f>IFERROR(__xludf.DUMMYFUNCTION("""COMPUTED_VALUE"""),"No")</f>
        <v>No</v>
      </c>
      <c r="E183" s="43" t="str">
        <f>IFERROR(__xludf.DUMMYFUNCTION("""COMPUTED_VALUE"""),"p_598f729a0efc4315ed515a092a966c7ddb796f2a@inbound.aiesec.org")</f>
        <v>p_598f729a0efc4315ed515a092a966c7ddb796f2a@inbound.aiesec.org</v>
      </c>
      <c r="F183" s="43">
        <f>IFERROR(__xludf.DUMMYFUNCTION("""COMPUTED_VALUE"""),3.410210321E9)</f>
        <v>3410210321</v>
      </c>
      <c r="G183" s="43" t="str">
        <f>IFERROR(__xludf.DUMMYFUNCTION("""COMPUTED_VALUE"""),"Pakistan")</f>
        <v>Pakistan</v>
      </c>
      <c r="H183" s="43" t="str">
        <f>IFERROR(__xludf.DUMMYFUNCTION("""COMPUTED_VALUE"""),"Karachi")</f>
        <v>Karachi</v>
      </c>
      <c r="I183" s="43" t="str">
        <f>IFERROR(__xludf.DUMMYFUNCTION("""COMPUTED_VALUE"""),"Turkey")</f>
        <v>Turkey</v>
      </c>
      <c r="J183" s="43" t="str">
        <f>IFERROR(__xludf.DUMMYFUNCTION("""COMPUTED_VALUE"""),"GAZIANTEP")</f>
        <v>GAZIANTEP</v>
      </c>
      <c r="K183" s="44" t="str">
        <f>IFERROR(__xludf.DUMMYFUNCTION("""COMPUTED_VALUE"""),"https://expa.aiesec.org/opportunities/1283683")</f>
        <v>https://expa.aiesec.org/opportunities/1283683</v>
      </c>
      <c r="L183" s="43" t="str">
        <f>IFERROR(__xludf.DUMMYFUNCTION("""COMPUTED_VALUE"""),"GV")</f>
        <v>GV</v>
      </c>
      <c r="M183" s="43" t="str">
        <f>IFERROR(__xludf.DUMMYFUNCTION("""COMPUTED_VALUE"""),"short")</f>
        <v>short</v>
      </c>
      <c r="N183" s="45">
        <f>IFERROR(__xludf.DUMMYFUNCTION("""COMPUTED_VALUE"""),44845.0)</f>
        <v>44845</v>
      </c>
      <c r="O183" s="45">
        <f>IFERROR(__xludf.DUMMYFUNCTION("""COMPUTED_VALUE"""),44915.0)</f>
        <v>44915</v>
      </c>
      <c r="P183" s="45">
        <f>IFERROR(__xludf.DUMMYFUNCTION("""COMPUTED_VALUE"""),44957.0)</f>
        <v>44957</v>
      </c>
      <c r="Q183" s="45"/>
      <c r="R183" s="45"/>
      <c r="S183" s="43"/>
      <c r="T183" s="43"/>
      <c r="U183" s="43" t="str">
        <f>IFERROR(__xludf.DUMMYFUNCTION("""COMPUTED_VALUE"""),"Global Classroom")</f>
        <v>Global Classroom</v>
      </c>
      <c r="V183" s="43" t="str">
        <f>IFERROR(__xludf.DUMMYFUNCTION("""COMPUTED_VALUE"""),"Karachi - Other")</f>
        <v>Karachi - Other</v>
      </c>
      <c r="W183" s="43" t="str">
        <f>IFERROR(__xludf.DUMMYFUNCTION("""COMPUTED_VALUE"""),"2018-06-19T08:40:52Z")</f>
        <v>2018-06-19T08:40:52Z</v>
      </c>
      <c r="X183" s="43"/>
      <c r="Y183" s="43"/>
      <c r="Z183" s="43"/>
    </row>
    <row r="184" hidden="1">
      <c r="A184" s="43" t="str">
        <f>IFERROR(__xludf.DUMMYFUNCTION("""COMPUTED_VALUE"""),"5078149_1283483")</f>
        <v>5078149_1283483</v>
      </c>
      <c r="B184" s="43" t="str">
        <f>IFERROR(__xludf.DUMMYFUNCTION("""COMPUTED_VALUE"""),"Caroline Kamidai")</f>
        <v>Caroline Kamidai</v>
      </c>
      <c r="C184" s="43" t="str">
        <f>IFERROR(__xludf.DUMMYFUNCTION("""COMPUTED_VALUE"""),"approved")</f>
        <v>approved</v>
      </c>
      <c r="D184" s="43" t="str">
        <f>IFERROR(__xludf.DUMMYFUNCTION("""COMPUTED_VALUE"""),"No")</f>
        <v>No</v>
      </c>
      <c r="E184" s="43" t="str">
        <f>IFERROR(__xludf.DUMMYFUNCTION("""COMPUTED_VALUE"""),"p_c89ead87ddcf0989298c038a120625d400e779ca@inbound.aiesec.org")</f>
        <v>p_c89ead87ddcf0989298c038a120625d400e779ca@inbound.aiesec.org</v>
      </c>
      <c r="F184" s="43">
        <f>IFERROR(__xludf.DUMMYFUNCTION("""COMPUTED_VALUE"""),9.96279372E8)</f>
        <v>996279372</v>
      </c>
      <c r="G184" s="43" t="str">
        <f>IFERROR(__xludf.DUMMYFUNCTION("""COMPUTED_VALUE"""),"Brazil")</f>
        <v>Brazil</v>
      </c>
      <c r="H184" s="43" t="str">
        <f>IFERROR(__xludf.DUMMYFUNCTION("""COMPUTED_VALUE"""),"USP")</f>
        <v>USP</v>
      </c>
      <c r="I184" s="43" t="str">
        <f>IFERROR(__xludf.DUMMYFUNCTION("""COMPUTED_VALUE"""),"Turkey")</f>
        <v>Turkey</v>
      </c>
      <c r="J184" s="43" t="str">
        <f>IFERROR(__xludf.DUMMYFUNCTION("""COMPUTED_VALUE"""),"KONYA")</f>
        <v>KONYA</v>
      </c>
      <c r="K184" s="44" t="str">
        <f>IFERROR(__xludf.DUMMYFUNCTION("""COMPUTED_VALUE"""),"https://expa.aiesec.org/opportunities/1283483")</f>
        <v>https://expa.aiesec.org/opportunities/1283483</v>
      </c>
      <c r="L184" s="43" t="str">
        <f>IFERROR(__xludf.DUMMYFUNCTION("""COMPUTED_VALUE"""),"GV")</f>
        <v>GV</v>
      </c>
      <c r="M184" s="43" t="str">
        <f>IFERROR(__xludf.DUMMYFUNCTION("""COMPUTED_VALUE"""),"short")</f>
        <v>short</v>
      </c>
      <c r="N184" s="45">
        <f>IFERROR(__xludf.DUMMYFUNCTION("""COMPUTED_VALUE"""),44845.0)</f>
        <v>44845</v>
      </c>
      <c r="O184" s="45">
        <f>IFERROR(__xludf.DUMMYFUNCTION("""COMPUTED_VALUE"""),45117.0)</f>
        <v>45117</v>
      </c>
      <c r="P184" s="45">
        <f>IFERROR(__xludf.DUMMYFUNCTION("""COMPUTED_VALUE"""),45159.0)</f>
        <v>45159</v>
      </c>
      <c r="Q184" s="45"/>
      <c r="R184" s="45"/>
      <c r="S184" s="43"/>
      <c r="T184" s="43"/>
      <c r="U184" s="43" t="str">
        <f>IFERROR(__xludf.DUMMYFUNCTION("""COMPUTED_VALUE"""),"Global Classroom")</f>
        <v>Global Classroom</v>
      </c>
      <c r="V184" s="43" t="str">
        <f>IFERROR(__xludf.DUMMYFUNCTION("""COMPUTED_VALUE"""),"São Paulo - USP")</f>
        <v>São Paulo - USP</v>
      </c>
      <c r="W184" s="43" t="str">
        <f>IFERROR(__xludf.DUMMYFUNCTION("""COMPUTED_VALUE"""),"2022-06-29T18:57:11Z")</f>
        <v>2022-06-29T18:57:11Z</v>
      </c>
      <c r="X184" s="43"/>
      <c r="Y184" s="43"/>
      <c r="Z184" s="43"/>
    </row>
    <row r="185" hidden="1">
      <c r="A185" s="43" t="str">
        <f>IFERROR(__xludf.DUMMYFUNCTION("""COMPUTED_VALUE"""),"5096767_1287855")</f>
        <v>5096767_1287855</v>
      </c>
      <c r="B185" s="43" t="str">
        <f>IFERROR(__xludf.DUMMYFUNCTION("""COMPUTED_VALUE"""),"Chorouk Elkhoumssi")</f>
        <v>Chorouk Elkhoumssi</v>
      </c>
      <c r="C185" s="43" t="str">
        <f>IFERROR(__xludf.DUMMYFUNCTION("""COMPUTED_VALUE"""),"finished")</f>
        <v>finished</v>
      </c>
      <c r="D185" s="43" t="str">
        <f>IFERROR(__xludf.DUMMYFUNCTION("""COMPUTED_VALUE"""),"No")</f>
        <v>No</v>
      </c>
      <c r="E185" s="43" t="str">
        <f>IFERROR(__xludf.DUMMYFUNCTION("""COMPUTED_VALUE"""),"p_92dbd2665d8f596a6cc4a2fda8b4002bddf9d56e@inbound.aiesec.org")</f>
        <v>p_92dbd2665d8f596a6cc4a2fda8b4002bddf9d56e@inbound.aiesec.org</v>
      </c>
      <c r="F185" s="43"/>
      <c r="G185" s="43" t="str">
        <f>IFERROR(__xludf.DUMMYFUNCTION("""COMPUTED_VALUE"""),"Morocco")</f>
        <v>Morocco</v>
      </c>
      <c r="H185" s="43" t="str">
        <f>IFERROR(__xludf.DUMMYFUNCTION("""COMPUTED_VALUE"""),"Casablanca")</f>
        <v>Casablanca</v>
      </c>
      <c r="I185" s="43" t="str">
        <f>IFERROR(__xludf.DUMMYFUNCTION("""COMPUTED_VALUE"""),"Turkey")</f>
        <v>Turkey</v>
      </c>
      <c r="J185" s="43" t="str">
        <f>IFERROR(__xludf.DUMMYFUNCTION("""COMPUTED_VALUE"""),"İZMİR")</f>
        <v>İZMİR</v>
      </c>
      <c r="K185" s="44" t="str">
        <f>IFERROR(__xludf.DUMMYFUNCTION("""COMPUTED_VALUE"""),"https://expa.aiesec.org/opportunities/1287855")</f>
        <v>https://expa.aiesec.org/opportunities/1287855</v>
      </c>
      <c r="L185" s="43" t="str">
        <f>IFERROR(__xludf.DUMMYFUNCTION("""COMPUTED_VALUE"""),"GV")</f>
        <v>GV</v>
      </c>
      <c r="M185" s="43" t="str">
        <f>IFERROR(__xludf.DUMMYFUNCTION("""COMPUTED_VALUE"""),"short")</f>
        <v>short</v>
      </c>
      <c r="N185" s="45">
        <f>IFERROR(__xludf.DUMMYFUNCTION("""COMPUTED_VALUE"""),44846.0)</f>
        <v>44846</v>
      </c>
      <c r="O185" s="45">
        <f>IFERROR(__xludf.DUMMYFUNCTION("""COMPUTED_VALUE"""),44864.0)</f>
        <v>44864</v>
      </c>
      <c r="P185" s="45">
        <f>IFERROR(__xludf.DUMMYFUNCTION("""COMPUTED_VALUE"""),44906.0)</f>
        <v>44906</v>
      </c>
      <c r="Q185" s="45">
        <f>IFERROR(__xludf.DUMMYFUNCTION("""COMPUTED_VALUE"""),44875.0)</f>
        <v>44875</v>
      </c>
      <c r="R185" s="45">
        <f>IFERROR(__xludf.DUMMYFUNCTION("""COMPUTED_VALUE"""),44906.0)</f>
        <v>44906</v>
      </c>
      <c r="S185" s="43"/>
      <c r="T185" s="43"/>
      <c r="U185" s="43" t="str">
        <f>IFERROR(__xludf.DUMMYFUNCTION("""COMPUTED_VALUE"""),"Global Classroom")</f>
        <v>Global Classroom</v>
      </c>
      <c r="V185" s="43" t="str">
        <f>IFERROR(__xludf.DUMMYFUNCTION("""COMPUTED_VALUE"""),"-")</f>
        <v>-</v>
      </c>
      <c r="W185" s="43" t="str">
        <f>IFERROR(__xludf.DUMMYFUNCTION("""COMPUTED_VALUE"""),"2022-08-21T14:30:12Z")</f>
        <v>2022-08-21T14:30:12Z</v>
      </c>
      <c r="X185" s="43"/>
      <c r="Y185" s="43"/>
      <c r="Z185" s="43"/>
    </row>
    <row r="186" hidden="1">
      <c r="A186" s="43" t="str">
        <f>IFERROR(__xludf.DUMMYFUNCTION("""COMPUTED_VALUE"""),"5128412_1288995")</f>
        <v>5128412_1288995</v>
      </c>
      <c r="B186" s="43" t="str">
        <f>IFERROR(__xludf.DUMMYFUNCTION("""COMPUTED_VALUE"""),"Yasmena Mohamed")</f>
        <v>Yasmena Mohamed</v>
      </c>
      <c r="C186" s="43" t="str">
        <f>IFERROR(__xludf.DUMMYFUNCTION("""COMPUTED_VALUE"""),"completed")</f>
        <v>completed</v>
      </c>
      <c r="D186" s="43" t="str">
        <f>IFERROR(__xludf.DUMMYFUNCTION("""COMPUTED_VALUE"""),"No")</f>
        <v>No</v>
      </c>
      <c r="E186" s="43" t="str">
        <f>IFERROR(__xludf.DUMMYFUNCTION("""COMPUTED_VALUE"""),"p_3f1f799f7a47b0dcb4a2868d8c12f4faccc642be@inbound.aiesec.org")</f>
        <v>p_3f1f799f7a47b0dcb4a2868d8c12f4faccc642be@inbound.aiesec.org</v>
      </c>
      <c r="F186" s="43">
        <f>IFERROR(__xludf.DUMMYFUNCTION("""COMPUTED_VALUE"""),1.027595439E9)</f>
        <v>1027595439</v>
      </c>
      <c r="G186" s="43" t="str">
        <f>IFERROR(__xludf.DUMMYFUNCTION("""COMPUTED_VALUE"""),"Egypt")</f>
        <v>Egypt</v>
      </c>
      <c r="H186" s="43" t="str">
        <f>IFERROR(__xludf.DUMMYFUNCTION("""COMPUTED_VALUE"""),"Ain Shams University")</f>
        <v>Ain Shams University</v>
      </c>
      <c r="I186" s="43" t="str">
        <f>IFERROR(__xludf.DUMMYFUNCTION("""COMPUTED_VALUE"""),"Turkey")</f>
        <v>Turkey</v>
      </c>
      <c r="J186" s="43" t="str">
        <f>IFERROR(__xludf.DUMMYFUNCTION("""COMPUTED_VALUE"""),"ISTANBUL WEST")</f>
        <v>ISTANBUL WEST</v>
      </c>
      <c r="K186" s="44" t="str">
        <f>IFERROR(__xludf.DUMMYFUNCTION("""COMPUTED_VALUE"""),"https://expa.aiesec.org/opportunities/1288995")</f>
        <v>https://expa.aiesec.org/opportunities/1288995</v>
      </c>
      <c r="L186" s="43" t="str">
        <f>IFERROR(__xludf.DUMMYFUNCTION("""COMPUTED_VALUE"""),"GV")</f>
        <v>GV</v>
      </c>
      <c r="M186" s="43" t="str">
        <f>IFERROR(__xludf.DUMMYFUNCTION("""COMPUTED_VALUE"""),"short")</f>
        <v>short</v>
      </c>
      <c r="N186" s="45">
        <f>IFERROR(__xludf.DUMMYFUNCTION("""COMPUTED_VALUE"""),44846.0)</f>
        <v>44846</v>
      </c>
      <c r="O186" s="45">
        <f>IFERROR(__xludf.DUMMYFUNCTION("""COMPUTED_VALUE"""),44935.0)</f>
        <v>44935</v>
      </c>
      <c r="P186" s="45">
        <f>IFERROR(__xludf.DUMMYFUNCTION("""COMPUTED_VALUE"""),44977.0)</f>
        <v>44977</v>
      </c>
      <c r="Q186" s="45">
        <f>IFERROR(__xludf.DUMMYFUNCTION("""COMPUTED_VALUE"""),44935.0)</f>
        <v>44935</v>
      </c>
      <c r="R186" s="45">
        <f>IFERROR(__xludf.DUMMYFUNCTION("""COMPUTED_VALUE"""),44977.0)</f>
        <v>44977</v>
      </c>
      <c r="S186" s="43"/>
      <c r="T186" s="43"/>
      <c r="U186" s="43" t="str">
        <f>IFERROR(__xludf.DUMMYFUNCTION("""COMPUTED_VALUE"""),"Global Classroom")</f>
        <v>Global Classroom</v>
      </c>
      <c r="V186" s="43" t="str">
        <f>IFERROR(__xludf.DUMMYFUNCTION("""COMPUTED_VALUE"""),"Ain Shams University")</f>
        <v>Ain Shams University</v>
      </c>
      <c r="W186" s="43" t="str">
        <f>IFERROR(__xludf.DUMMYFUNCTION("""COMPUTED_VALUE"""),"2022-10-09T16:16:08Z")</f>
        <v>2022-10-09T16:16:08Z</v>
      </c>
      <c r="X186" s="43"/>
      <c r="Y186" s="43"/>
      <c r="Z186" s="43"/>
    </row>
    <row r="187" hidden="1">
      <c r="A187" s="43" t="str">
        <f>IFERROR(__xludf.DUMMYFUNCTION("""COMPUTED_VALUE"""),"5116463_1289502")</f>
        <v>5116463_1289502</v>
      </c>
      <c r="B187" s="43" t="str">
        <f>IFERROR(__xludf.DUMMYFUNCTION("""COMPUTED_VALUE"""),"Cheila Fernandes")</f>
        <v>Cheila Fernandes</v>
      </c>
      <c r="C187" s="43" t="str">
        <f>IFERROR(__xludf.DUMMYFUNCTION("""COMPUTED_VALUE"""),"finished")</f>
        <v>finished</v>
      </c>
      <c r="D187" s="43" t="str">
        <f>IFERROR(__xludf.DUMMYFUNCTION("""COMPUTED_VALUE"""),"No")</f>
        <v>No</v>
      </c>
      <c r="E187" s="43" t="str">
        <f>IFERROR(__xludf.DUMMYFUNCTION("""COMPUTED_VALUE"""),"p_535d7a29f04fb452a978176444bc2992547c1421@inbound.aiesec.org")</f>
        <v>p_535d7a29f04fb452a978176444bc2992547c1421@inbound.aiesec.org</v>
      </c>
      <c r="F187" s="43"/>
      <c r="G187" s="43" t="str">
        <f>IFERROR(__xludf.DUMMYFUNCTION("""COMPUTED_VALUE"""),"Portugal")</f>
        <v>Portugal</v>
      </c>
      <c r="H187" s="43" t="str">
        <f>IFERROR(__xludf.DUMMYFUNCTION("""COMPUTED_VALUE"""),"PORTO FEP")</f>
        <v>PORTO FEP</v>
      </c>
      <c r="I187" s="43" t="str">
        <f>IFERROR(__xludf.DUMMYFUNCTION("""COMPUTED_VALUE"""),"Turkey")</f>
        <v>Turkey</v>
      </c>
      <c r="J187" s="43" t="str">
        <f>IFERROR(__xludf.DUMMYFUNCTION("""COMPUTED_VALUE"""),"BURSA")</f>
        <v>BURSA</v>
      </c>
      <c r="K187" s="44" t="str">
        <f>IFERROR(__xludf.DUMMYFUNCTION("""COMPUTED_VALUE"""),"https://expa.aiesec.org/opportunities/1289502")</f>
        <v>https://expa.aiesec.org/opportunities/1289502</v>
      </c>
      <c r="L187" s="43" t="str">
        <f>IFERROR(__xludf.DUMMYFUNCTION("""COMPUTED_VALUE"""),"GV")</f>
        <v>GV</v>
      </c>
      <c r="M187" s="43" t="str">
        <f>IFERROR(__xludf.DUMMYFUNCTION("""COMPUTED_VALUE"""),"short")</f>
        <v>short</v>
      </c>
      <c r="N187" s="45">
        <f>IFERROR(__xludf.DUMMYFUNCTION("""COMPUTED_VALUE"""),44846.0)</f>
        <v>44846</v>
      </c>
      <c r="O187" s="45">
        <f>IFERROR(__xludf.DUMMYFUNCTION("""COMPUTED_VALUE"""),44865.0)</f>
        <v>44865</v>
      </c>
      <c r="P187" s="45">
        <f>IFERROR(__xludf.DUMMYFUNCTION("""COMPUTED_VALUE"""),44907.0)</f>
        <v>44907</v>
      </c>
      <c r="Q187" s="45">
        <f>IFERROR(__xludf.DUMMYFUNCTION("""COMPUTED_VALUE"""),44868.0)</f>
        <v>44868</v>
      </c>
      <c r="R187" s="45">
        <f>IFERROR(__xludf.DUMMYFUNCTION("""COMPUTED_VALUE"""),44907.0)</f>
        <v>44907</v>
      </c>
      <c r="S187" s="43"/>
      <c r="T187" s="43"/>
      <c r="U187" s="43" t="str">
        <f>IFERROR(__xludf.DUMMYFUNCTION("""COMPUTED_VALUE"""),"Youth 4 Impact")</f>
        <v>Youth 4 Impact</v>
      </c>
      <c r="V187" s="43" t="str">
        <f>IFERROR(__xludf.DUMMYFUNCTION("""COMPUTED_VALUE"""),"Não frequento uma instituição de ensino superior, mas moro no distrito do Porto, sendo mais cómodo deslocar-me fisicamente à zona do Pólo Universitário")</f>
        <v>Não frequento uma instituição de ensino superior, mas moro no distrito do Porto, sendo mais cómodo deslocar-me fisicamente à zona do Pólo Universitário</v>
      </c>
      <c r="W187" s="43" t="str">
        <f>IFERROR(__xludf.DUMMYFUNCTION("""COMPUTED_VALUE"""),"2022-09-20T17:27:23Z")</f>
        <v>2022-09-20T17:27:23Z</v>
      </c>
      <c r="X187" s="43"/>
      <c r="Y187" s="43"/>
      <c r="Z187" s="43"/>
    </row>
    <row r="188" hidden="1">
      <c r="A188" s="43" t="str">
        <f>IFERROR(__xludf.DUMMYFUNCTION("""COMPUTED_VALUE"""),"5127556_1288497")</f>
        <v>5127556_1288497</v>
      </c>
      <c r="B188" s="43" t="str">
        <f>IFERROR(__xludf.DUMMYFUNCTION("""COMPUTED_VALUE"""),"sirine senkez sirine senkez")</f>
        <v>sirine senkez sirine senkez</v>
      </c>
      <c r="C188" s="43" t="str">
        <f>IFERROR(__xludf.DUMMYFUNCTION("""COMPUTED_VALUE"""),"completed")</f>
        <v>completed</v>
      </c>
      <c r="D188" s="43" t="str">
        <f>IFERROR(__xludf.DUMMYFUNCTION("""COMPUTED_VALUE"""),"No")</f>
        <v>No</v>
      </c>
      <c r="E188" s="43" t="str">
        <f>IFERROR(__xludf.DUMMYFUNCTION("""COMPUTED_VALUE"""),"p_85231bd08e16197a42c29d0cbec21640401202be@inbound.aiesec.org")</f>
        <v>p_85231bd08e16197a42c29d0cbec21640401202be@inbound.aiesec.org</v>
      </c>
      <c r="F188" s="43"/>
      <c r="G188" s="43" t="str">
        <f>IFERROR(__xludf.DUMMYFUNCTION("""COMPUTED_VALUE"""),"Tunisia")</f>
        <v>Tunisia</v>
      </c>
      <c r="H188" s="43" t="str">
        <f>IFERROR(__xludf.DUMMYFUNCTION("""COMPUTED_VALUE"""),"MEDINA")</f>
        <v>MEDINA</v>
      </c>
      <c r="I188" s="43" t="str">
        <f>IFERROR(__xludf.DUMMYFUNCTION("""COMPUTED_VALUE"""),"Turkey")</f>
        <v>Turkey</v>
      </c>
      <c r="J188" s="43" t="str">
        <f>IFERROR(__xludf.DUMMYFUNCTION("""COMPUTED_VALUE"""),"DENIZLI")</f>
        <v>DENIZLI</v>
      </c>
      <c r="K188" s="44" t="str">
        <f>IFERROR(__xludf.DUMMYFUNCTION("""COMPUTED_VALUE"""),"https://expa.aiesec.org/opportunities/1288497")</f>
        <v>https://expa.aiesec.org/opportunities/1288497</v>
      </c>
      <c r="L188" s="43" t="str">
        <f>IFERROR(__xludf.DUMMYFUNCTION("""COMPUTED_VALUE"""),"GV")</f>
        <v>GV</v>
      </c>
      <c r="M188" s="43" t="str">
        <f>IFERROR(__xludf.DUMMYFUNCTION("""COMPUTED_VALUE"""),"short")</f>
        <v>short</v>
      </c>
      <c r="N188" s="45">
        <f>IFERROR(__xludf.DUMMYFUNCTION("""COMPUTED_VALUE"""),44847.0)</f>
        <v>44847</v>
      </c>
      <c r="O188" s="45">
        <f>IFERROR(__xludf.DUMMYFUNCTION("""COMPUTED_VALUE"""),45117.0)</f>
        <v>45117</v>
      </c>
      <c r="P188" s="45">
        <f>IFERROR(__xludf.DUMMYFUNCTION("""COMPUTED_VALUE"""),45159.0)</f>
        <v>45159</v>
      </c>
      <c r="Q188" s="45">
        <f>IFERROR(__xludf.DUMMYFUNCTION("""COMPUTED_VALUE"""),45118.0)</f>
        <v>45118</v>
      </c>
      <c r="R188" s="45">
        <f>IFERROR(__xludf.DUMMYFUNCTION("""COMPUTED_VALUE"""),45159.0)</f>
        <v>45159</v>
      </c>
      <c r="S188" s="43"/>
      <c r="T188" s="43"/>
      <c r="U188" s="43" t="str">
        <f>IFERROR(__xludf.DUMMYFUNCTION("""COMPUTED_VALUE"""),"Youth 4 Impact")</f>
        <v>Youth 4 Impact</v>
      </c>
      <c r="V188" s="43" t="str">
        <f>IFERROR(__xludf.DUMMYFUNCTION("""COMPUTED_VALUE"""),"-")</f>
        <v>-</v>
      </c>
      <c r="W188" s="43" t="str">
        <f>IFERROR(__xludf.DUMMYFUNCTION("""COMPUTED_VALUE"""),"2022-10-08T10:04:15Z")</f>
        <v>2022-10-08T10:04:15Z</v>
      </c>
      <c r="X188" s="43"/>
      <c r="Y188" s="43"/>
      <c r="Z188" s="43"/>
    </row>
    <row r="189" hidden="1">
      <c r="A189" s="43" t="str">
        <f>IFERROR(__xludf.DUMMYFUNCTION("""COMPUTED_VALUE"""),"5121768_1288497")</f>
        <v>5121768_1288497</v>
      </c>
      <c r="B189" s="43" t="str">
        <f>IFERROR(__xludf.DUMMYFUNCTION("""COMPUTED_VALUE"""),"Darien Soliman")</f>
        <v>Darien Soliman</v>
      </c>
      <c r="C189" s="43" t="str">
        <f>IFERROR(__xludf.DUMMYFUNCTION("""COMPUTED_VALUE"""),"approved")</f>
        <v>approved</v>
      </c>
      <c r="D189" s="43" t="str">
        <f>IFERROR(__xludf.DUMMYFUNCTION("""COMPUTED_VALUE"""),"No")</f>
        <v>No</v>
      </c>
      <c r="E189" s="43" t="str">
        <f>IFERROR(__xludf.DUMMYFUNCTION("""COMPUTED_VALUE"""),"p_46ca7649b09d1fb467aa033f62763cd2add3c6b6@inbound.aiesec.org")</f>
        <v>p_46ca7649b09d1fb467aa033f62763cd2add3c6b6@inbound.aiesec.org</v>
      </c>
      <c r="F189" s="43">
        <f>IFERROR(__xludf.DUMMYFUNCTION("""COMPUTED_VALUE"""),1.14400383E9)</f>
        <v>1144003830</v>
      </c>
      <c r="G189" s="43" t="str">
        <f>IFERROR(__xludf.DUMMYFUNCTION("""COMPUTED_VALUE"""),"Egypt")</f>
        <v>Egypt</v>
      </c>
      <c r="H189" s="43" t="str">
        <f>IFERROR(__xludf.DUMMYFUNCTION("""COMPUTED_VALUE"""),"MUST")</f>
        <v>MUST</v>
      </c>
      <c r="I189" s="43" t="str">
        <f>IFERROR(__xludf.DUMMYFUNCTION("""COMPUTED_VALUE"""),"Turkey")</f>
        <v>Turkey</v>
      </c>
      <c r="J189" s="43" t="str">
        <f>IFERROR(__xludf.DUMMYFUNCTION("""COMPUTED_VALUE"""),"DENIZLI")</f>
        <v>DENIZLI</v>
      </c>
      <c r="K189" s="44" t="str">
        <f>IFERROR(__xludf.DUMMYFUNCTION("""COMPUTED_VALUE"""),"https://expa.aiesec.org/opportunities/1288497")</f>
        <v>https://expa.aiesec.org/opportunities/1288497</v>
      </c>
      <c r="L189" s="43" t="str">
        <f>IFERROR(__xludf.DUMMYFUNCTION("""COMPUTED_VALUE"""),"GV")</f>
        <v>GV</v>
      </c>
      <c r="M189" s="43" t="str">
        <f>IFERROR(__xludf.DUMMYFUNCTION("""COMPUTED_VALUE"""),"short")</f>
        <v>short</v>
      </c>
      <c r="N189" s="45">
        <f>IFERROR(__xludf.DUMMYFUNCTION("""COMPUTED_VALUE"""),44847.0)</f>
        <v>44847</v>
      </c>
      <c r="O189" s="45">
        <f>IFERROR(__xludf.DUMMYFUNCTION("""COMPUTED_VALUE"""),45117.0)</f>
        <v>45117</v>
      </c>
      <c r="P189" s="45">
        <f>IFERROR(__xludf.DUMMYFUNCTION("""COMPUTED_VALUE"""),45159.0)</f>
        <v>45159</v>
      </c>
      <c r="Q189" s="45"/>
      <c r="R189" s="45"/>
      <c r="S189" s="43"/>
      <c r="T189" s="43"/>
      <c r="U189" s="43" t="str">
        <f>IFERROR(__xludf.DUMMYFUNCTION("""COMPUTED_VALUE"""),"Youth 4 Impact")</f>
        <v>Youth 4 Impact</v>
      </c>
      <c r="V189" s="43" t="str">
        <f>IFERROR(__xludf.DUMMYFUNCTION("""COMPUTED_VALUE"""),"MUST University")</f>
        <v>MUST University</v>
      </c>
      <c r="W189" s="43" t="str">
        <f>IFERROR(__xludf.DUMMYFUNCTION("""COMPUTED_VALUE"""),"2022-09-28T22:55:52Z")</f>
        <v>2022-09-28T22:55:52Z</v>
      </c>
      <c r="X189" s="43"/>
      <c r="Y189" s="43"/>
      <c r="Z189" s="43"/>
    </row>
    <row r="190" hidden="1">
      <c r="A190" s="43" t="str">
        <f>IFERROR(__xludf.DUMMYFUNCTION("""COMPUTED_VALUE"""),"5127807_1289536")</f>
        <v>5127807_1289536</v>
      </c>
      <c r="B190" s="43" t="str">
        <f>IFERROR(__xludf.DUMMYFUNCTION("""COMPUTED_VALUE"""),"eya dhaouadi")</f>
        <v>eya dhaouadi</v>
      </c>
      <c r="C190" s="43" t="str">
        <f>IFERROR(__xludf.DUMMYFUNCTION("""COMPUTED_VALUE"""),"finished")</f>
        <v>finished</v>
      </c>
      <c r="D190" s="43" t="str">
        <f>IFERROR(__xludf.DUMMYFUNCTION("""COMPUTED_VALUE"""),"No")</f>
        <v>No</v>
      </c>
      <c r="E190" s="43" t="str">
        <f>IFERROR(__xludf.DUMMYFUNCTION("""COMPUTED_VALUE"""),"p_2b2c38cb7cde6a915eb6b95345b70fe3bea20719@inbound.aiesec.org")</f>
        <v>p_2b2c38cb7cde6a915eb6b95345b70fe3bea20719@inbound.aiesec.org</v>
      </c>
      <c r="F190" s="43">
        <f>IFERROR(__xludf.DUMMYFUNCTION("""COMPUTED_VALUE"""),9.6281976E7)</f>
        <v>96281976</v>
      </c>
      <c r="G190" s="43" t="str">
        <f>IFERROR(__xludf.DUMMYFUNCTION("""COMPUTED_VALUE"""),"Tunisia")</f>
        <v>Tunisia</v>
      </c>
      <c r="H190" s="43" t="str">
        <f>IFERROR(__xludf.DUMMYFUNCTION("""COMPUTED_VALUE"""),"BARDO")</f>
        <v>BARDO</v>
      </c>
      <c r="I190" s="43" t="str">
        <f>IFERROR(__xludf.DUMMYFUNCTION("""COMPUTED_VALUE"""),"Turkey")</f>
        <v>Turkey</v>
      </c>
      <c r="J190" s="43" t="str">
        <f>IFERROR(__xludf.DUMMYFUNCTION("""COMPUTED_VALUE"""),"ISTANBUL")</f>
        <v>ISTANBUL</v>
      </c>
      <c r="K190" s="44" t="str">
        <f>IFERROR(__xludf.DUMMYFUNCTION("""COMPUTED_VALUE"""),"https://expa.aiesec.org/opportunities/1289536")</f>
        <v>https://expa.aiesec.org/opportunities/1289536</v>
      </c>
      <c r="L190" s="43" t="str">
        <f>IFERROR(__xludf.DUMMYFUNCTION("""COMPUTED_VALUE"""),"GV")</f>
        <v>GV</v>
      </c>
      <c r="M190" s="43" t="str">
        <f>IFERROR(__xludf.DUMMYFUNCTION("""COMPUTED_VALUE"""),"short")</f>
        <v>short</v>
      </c>
      <c r="N190" s="45">
        <f>IFERROR(__xludf.DUMMYFUNCTION("""COMPUTED_VALUE"""),44848.0)</f>
        <v>44848</v>
      </c>
      <c r="O190" s="45">
        <f>IFERROR(__xludf.DUMMYFUNCTION("""COMPUTED_VALUE"""),44879.0)</f>
        <v>44879</v>
      </c>
      <c r="P190" s="45">
        <f>IFERROR(__xludf.DUMMYFUNCTION("""COMPUTED_VALUE"""),44921.0)</f>
        <v>44921</v>
      </c>
      <c r="Q190" s="45">
        <f>IFERROR(__xludf.DUMMYFUNCTION("""COMPUTED_VALUE"""),44879.0)</f>
        <v>44879</v>
      </c>
      <c r="R190" s="45">
        <f>IFERROR(__xludf.DUMMYFUNCTION("""COMPUTED_VALUE"""),44921.0)</f>
        <v>44921</v>
      </c>
      <c r="S190" s="43"/>
      <c r="T190" s="43"/>
      <c r="U190" s="43" t="str">
        <f>IFERROR(__xludf.DUMMYFUNCTION("""COMPUTED_VALUE"""),"Global Classroom")</f>
        <v>Global Classroom</v>
      </c>
      <c r="V190" s="43" t="str">
        <f>IFERROR(__xludf.DUMMYFUNCTION("""COMPUTED_VALUE"""),"ISEAHT")</f>
        <v>ISEAHT</v>
      </c>
      <c r="W190" s="43" t="str">
        <f>IFERROR(__xludf.DUMMYFUNCTION("""COMPUTED_VALUE"""),"2022-10-08T19:44:02Z")</f>
        <v>2022-10-08T19:44:02Z</v>
      </c>
      <c r="X190" s="43"/>
      <c r="Y190" s="43"/>
      <c r="Z190" s="43"/>
    </row>
    <row r="191" hidden="1">
      <c r="A191" s="43" t="str">
        <f>IFERROR(__xludf.DUMMYFUNCTION("""COMPUTED_VALUE"""),"5125245_1287097")</f>
        <v>5125245_1287097</v>
      </c>
      <c r="B191" s="43" t="str">
        <f>IFERROR(__xludf.DUMMYFUNCTION("""COMPUTED_VALUE"""),"Sameel Ashfaq")</f>
        <v>Sameel Ashfaq</v>
      </c>
      <c r="C191" s="43" t="str">
        <f>IFERROR(__xludf.DUMMYFUNCTION("""COMPUTED_VALUE"""),"completed")</f>
        <v>completed</v>
      </c>
      <c r="D191" s="43" t="str">
        <f>IFERROR(__xludf.DUMMYFUNCTION("""COMPUTED_VALUE"""),"No")</f>
        <v>No</v>
      </c>
      <c r="E191" s="43" t="str">
        <f>IFERROR(__xludf.DUMMYFUNCTION("""COMPUTED_VALUE"""),"p_e90d555c07ae259323de668fc7dab914eeb8016e@inbound.aiesec.org")</f>
        <v>p_e90d555c07ae259323de668fc7dab914eeb8016e@inbound.aiesec.org</v>
      </c>
      <c r="F191" s="43"/>
      <c r="G191" s="43" t="str">
        <f>IFERROR(__xludf.DUMMYFUNCTION("""COMPUTED_VALUE"""),"Pakistan")</f>
        <v>Pakistan</v>
      </c>
      <c r="H191" s="43" t="str">
        <f>IFERROR(__xludf.DUMMYFUNCTION("""COMPUTED_VALUE"""),"Lahore - Pak")</f>
        <v>Lahore - Pak</v>
      </c>
      <c r="I191" s="43" t="str">
        <f>IFERROR(__xludf.DUMMYFUNCTION("""COMPUTED_VALUE"""),"Turkey")</f>
        <v>Turkey</v>
      </c>
      <c r="J191" s="43" t="str">
        <f>IFERROR(__xludf.DUMMYFUNCTION("""COMPUTED_VALUE"""),"ESKISEHIR")</f>
        <v>ESKISEHIR</v>
      </c>
      <c r="K191" s="44" t="str">
        <f>IFERROR(__xludf.DUMMYFUNCTION("""COMPUTED_VALUE"""),"https://expa.aiesec.org/opportunities/1287097")</f>
        <v>https://expa.aiesec.org/opportunities/1287097</v>
      </c>
      <c r="L191" s="43" t="str">
        <f>IFERROR(__xludf.DUMMYFUNCTION("""COMPUTED_VALUE"""),"GV")</f>
        <v>GV</v>
      </c>
      <c r="M191" s="43" t="str">
        <f>IFERROR(__xludf.DUMMYFUNCTION("""COMPUTED_VALUE"""),"short")</f>
        <v>short</v>
      </c>
      <c r="N191" s="45">
        <f>IFERROR(__xludf.DUMMYFUNCTION("""COMPUTED_VALUE"""),44848.0)</f>
        <v>44848</v>
      </c>
      <c r="O191" s="45">
        <f>IFERROR(__xludf.DUMMYFUNCTION("""COMPUTED_VALUE"""),44886.0)</f>
        <v>44886</v>
      </c>
      <c r="P191" s="45">
        <f>IFERROR(__xludf.DUMMYFUNCTION("""COMPUTED_VALUE"""),44928.0)</f>
        <v>44928</v>
      </c>
      <c r="Q191" s="45">
        <f>IFERROR(__xludf.DUMMYFUNCTION("""COMPUTED_VALUE"""),44884.0)</f>
        <v>44884</v>
      </c>
      <c r="R191" s="45">
        <f>IFERROR(__xludf.DUMMYFUNCTION("""COMPUTED_VALUE"""),44928.0)</f>
        <v>44928</v>
      </c>
      <c r="S191" s="43"/>
      <c r="T191" s="43"/>
      <c r="U191" s="43" t="str">
        <f>IFERROR(__xludf.DUMMYFUNCTION("""COMPUTED_VALUE"""),"Global Classroom")</f>
        <v>Global Classroom</v>
      </c>
      <c r="V191" s="43" t="str">
        <f>IFERROR(__xludf.DUMMYFUNCTION("""COMPUTED_VALUE"""),"-")</f>
        <v>-</v>
      </c>
      <c r="W191" s="43" t="str">
        <f>IFERROR(__xludf.DUMMYFUNCTION("""COMPUTED_VALUE"""),"2022-10-04T19:51:27Z")</f>
        <v>2022-10-04T19:51:27Z</v>
      </c>
      <c r="X191" s="43"/>
      <c r="Y191" s="43"/>
      <c r="Z191" s="43"/>
    </row>
    <row r="192" hidden="1">
      <c r="A192" s="43" t="str">
        <f>IFERROR(__xludf.DUMMYFUNCTION("""COMPUTED_VALUE"""),"5120685_1288393")</f>
        <v>5120685_1288393</v>
      </c>
      <c r="B192" s="43" t="str">
        <f>IFERROR(__xludf.DUMMYFUNCTION("""COMPUTED_VALUE"""),"Mariem Ayadi")</f>
        <v>Mariem Ayadi</v>
      </c>
      <c r="C192" s="43" t="str">
        <f>IFERROR(__xludf.DUMMYFUNCTION("""COMPUTED_VALUE"""),"completed")</f>
        <v>completed</v>
      </c>
      <c r="D192" s="43" t="str">
        <f>IFERROR(__xludf.DUMMYFUNCTION("""COMPUTED_VALUE"""),"No")</f>
        <v>No</v>
      </c>
      <c r="E192" s="43" t="str">
        <f>IFERROR(__xludf.DUMMYFUNCTION("""COMPUTED_VALUE"""),"p_7f718bc6911846af897542b2ce4514578cf7287f@inbound.aiesec.org")</f>
        <v>p_7f718bc6911846af897542b2ce4514578cf7287f@inbound.aiesec.org</v>
      </c>
      <c r="F192" s="43">
        <f>IFERROR(__xludf.DUMMYFUNCTION("""COMPUTED_VALUE"""),9.9151431E7)</f>
        <v>99151431</v>
      </c>
      <c r="G192" s="43" t="str">
        <f>IFERROR(__xludf.DUMMYFUNCTION("""COMPUTED_VALUE"""),"Tunisia")</f>
        <v>Tunisia</v>
      </c>
      <c r="H192" s="43" t="str">
        <f>IFERROR(__xludf.DUMMYFUNCTION("""COMPUTED_VALUE"""),"UNIVERSITY")</f>
        <v>UNIVERSITY</v>
      </c>
      <c r="I192" s="43" t="str">
        <f>IFERROR(__xludf.DUMMYFUNCTION("""COMPUTED_VALUE"""),"Turkey")</f>
        <v>Turkey</v>
      </c>
      <c r="J192" s="43" t="str">
        <f>IFERROR(__xludf.DUMMYFUNCTION("""COMPUTED_VALUE"""),"ISTANBUL")</f>
        <v>ISTANBUL</v>
      </c>
      <c r="K192" s="44" t="str">
        <f>IFERROR(__xludf.DUMMYFUNCTION("""COMPUTED_VALUE"""),"https://expa.aiesec.org/opportunities/1288393")</f>
        <v>https://expa.aiesec.org/opportunities/1288393</v>
      </c>
      <c r="L192" s="43" t="str">
        <f>IFERROR(__xludf.DUMMYFUNCTION("""COMPUTED_VALUE"""),"GV")</f>
        <v>GV</v>
      </c>
      <c r="M192" s="43" t="str">
        <f>IFERROR(__xludf.DUMMYFUNCTION("""COMPUTED_VALUE"""),"short")</f>
        <v>short</v>
      </c>
      <c r="N192" s="45">
        <f>IFERROR(__xludf.DUMMYFUNCTION("""COMPUTED_VALUE"""),44848.0)</f>
        <v>44848</v>
      </c>
      <c r="O192" s="45">
        <f>IFERROR(__xludf.DUMMYFUNCTION("""COMPUTED_VALUE"""),44852.0)</f>
        <v>44852</v>
      </c>
      <c r="P192" s="45">
        <f>IFERROR(__xludf.DUMMYFUNCTION("""COMPUTED_VALUE"""),44894.0)</f>
        <v>44894</v>
      </c>
      <c r="Q192" s="45">
        <f>IFERROR(__xludf.DUMMYFUNCTION("""COMPUTED_VALUE"""),44854.0)</f>
        <v>44854</v>
      </c>
      <c r="R192" s="45">
        <f>IFERROR(__xludf.DUMMYFUNCTION("""COMPUTED_VALUE"""),44895.0)</f>
        <v>44895</v>
      </c>
      <c r="S192" s="43"/>
      <c r="T192" s="43"/>
      <c r="U192" s="43" t="str">
        <f>IFERROR(__xludf.DUMMYFUNCTION("""COMPUTED_VALUE"""),"Global Classroom")</f>
        <v>Global Classroom</v>
      </c>
      <c r="V192" s="43" t="str">
        <f>IFERROR(__xludf.DUMMYFUNCTION("""COMPUTED_VALUE"""),"Central Santé ")</f>
        <v>Central Santé </v>
      </c>
      <c r="W192" s="43" t="str">
        <f>IFERROR(__xludf.DUMMYFUNCTION("""COMPUTED_VALUE"""),"2022-09-27T17:16:32Z")</f>
        <v>2022-09-27T17:16:32Z</v>
      </c>
      <c r="X192" s="43"/>
      <c r="Y192" s="43"/>
      <c r="Z192" s="43"/>
    </row>
    <row r="193" hidden="1">
      <c r="A193" s="43" t="str">
        <f>IFERROR(__xludf.DUMMYFUNCTION("""COMPUTED_VALUE"""),"5131071_1287925")</f>
        <v>5131071_1287925</v>
      </c>
      <c r="B193" s="43" t="str">
        <f>IFERROR(__xludf.DUMMYFUNCTION("""COMPUTED_VALUE"""),"Oleg Kudryashov")</f>
        <v>Oleg Kudryashov</v>
      </c>
      <c r="C193" s="43" t="str">
        <f>IFERROR(__xludf.DUMMYFUNCTION("""COMPUTED_VALUE"""),"finished")</f>
        <v>finished</v>
      </c>
      <c r="D193" s="43" t="str">
        <f>IFERROR(__xludf.DUMMYFUNCTION("""COMPUTED_VALUE"""),"No")</f>
        <v>No</v>
      </c>
      <c r="E193" s="43" t="str">
        <f>IFERROR(__xludf.DUMMYFUNCTION("""COMPUTED_VALUE"""),"p_a0c22ff3ffe1870774050fc023110af9c09015ec@inbound.aiesec.org")</f>
        <v>p_a0c22ff3ffe1870774050fc023110af9c09015ec@inbound.aiesec.org</v>
      </c>
      <c r="F193" s="43"/>
      <c r="G193" s="43" t="str">
        <f>IFERROR(__xludf.DUMMYFUNCTION("""COMPUTED_VALUE"""),"Georgia")</f>
        <v>Georgia</v>
      </c>
      <c r="H193" s="43" t="str">
        <f>IFERROR(__xludf.DUMMYFUNCTION("""COMPUTED_VALUE"""),"TBILISI")</f>
        <v>TBILISI</v>
      </c>
      <c r="I193" s="43" t="str">
        <f>IFERROR(__xludf.DUMMYFUNCTION("""COMPUTED_VALUE"""),"Turkey")</f>
        <v>Turkey</v>
      </c>
      <c r="J193" s="43" t="str">
        <f>IFERROR(__xludf.DUMMYFUNCTION("""COMPUTED_VALUE"""),"DENIZLI")</f>
        <v>DENIZLI</v>
      </c>
      <c r="K193" s="44" t="str">
        <f>IFERROR(__xludf.DUMMYFUNCTION("""COMPUTED_VALUE"""),"https://expa.aiesec.org/opportunities/1287925")</f>
        <v>https://expa.aiesec.org/opportunities/1287925</v>
      </c>
      <c r="L193" s="43" t="str">
        <f>IFERROR(__xludf.DUMMYFUNCTION("""COMPUTED_VALUE"""),"GV")</f>
        <v>GV</v>
      </c>
      <c r="M193" s="43" t="str">
        <f>IFERROR(__xludf.DUMMYFUNCTION("""COMPUTED_VALUE"""),"short")</f>
        <v>short</v>
      </c>
      <c r="N193" s="45">
        <f>IFERROR(__xludf.DUMMYFUNCTION("""COMPUTED_VALUE"""),44849.0)</f>
        <v>44849</v>
      </c>
      <c r="O193" s="45">
        <f>IFERROR(__xludf.DUMMYFUNCTION("""COMPUTED_VALUE"""),44851.0)</f>
        <v>44851</v>
      </c>
      <c r="P193" s="45">
        <f>IFERROR(__xludf.DUMMYFUNCTION("""COMPUTED_VALUE"""),44893.0)</f>
        <v>44893</v>
      </c>
      <c r="Q193" s="45">
        <f>IFERROR(__xludf.DUMMYFUNCTION("""COMPUTED_VALUE"""),44852.0)</f>
        <v>44852</v>
      </c>
      <c r="R193" s="45">
        <f>IFERROR(__xludf.DUMMYFUNCTION("""COMPUTED_VALUE"""),44887.0)</f>
        <v>44887</v>
      </c>
      <c r="S193" s="43"/>
      <c r="T193" s="43"/>
      <c r="U193" s="43" t="str">
        <f>IFERROR(__xludf.DUMMYFUNCTION("""COMPUTED_VALUE"""),"Youth 4 Impact")</f>
        <v>Youth 4 Impact</v>
      </c>
      <c r="V193" s="43" t="str">
        <f>IFERROR(__xludf.DUMMYFUNCTION("""COMPUTED_VALUE"""),"-")</f>
        <v>-</v>
      </c>
      <c r="W193" s="43" t="str">
        <f>IFERROR(__xludf.DUMMYFUNCTION("""COMPUTED_VALUE"""),"2022-10-12T12:48:26Z")</f>
        <v>2022-10-12T12:48:26Z</v>
      </c>
      <c r="X193" s="43"/>
      <c r="Y193" s="43"/>
      <c r="Z193" s="43"/>
    </row>
    <row r="194" hidden="1">
      <c r="A194" s="43" t="str">
        <f>IFERROR(__xludf.DUMMYFUNCTION("""COMPUTED_VALUE"""),"5134140_1288970")</f>
        <v>5134140_1288970</v>
      </c>
      <c r="B194" s="43" t="str">
        <f>IFERROR(__xludf.DUMMYFUNCTION("""COMPUTED_VALUE"""),"Tasnim Latrach")</f>
        <v>Tasnim Latrach</v>
      </c>
      <c r="C194" s="43" t="str">
        <f>IFERROR(__xludf.DUMMYFUNCTION("""COMPUTED_VALUE"""),"finished")</f>
        <v>finished</v>
      </c>
      <c r="D194" s="43" t="str">
        <f>IFERROR(__xludf.DUMMYFUNCTION("""COMPUTED_VALUE"""),"No")</f>
        <v>No</v>
      </c>
      <c r="E194" s="43" t="str">
        <f>IFERROR(__xludf.DUMMYFUNCTION("""COMPUTED_VALUE"""),"p_6e7f6847f20620b610ae7eb75c7155d169dda118@inbound.aiesec.org")</f>
        <v>p_6e7f6847f20620b610ae7eb75c7155d169dda118@inbound.aiesec.org</v>
      </c>
      <c r="F194" s="43">
        <f>IFERROR(__xludf.DUMMYFUNCTION("""COMPUTED_VALUE"""),2.6207405E7)</f>
        <v>26207405</v>
      </c>
      <c r="G194" s="43" t="str">
        <f>IFERROR(__xludf.DUMMYFUNCTION("""COMPUTED_VALUE"""),"Tunisia")</f>
        <v>Tunisia</v>
      </c>
      <c r="H194" s="43" t="str">
        <f>IFERROR(__xludf.DUMMYFUNCTION("""COMPUTED_VALUE"""),"SFAX")</f>
        <v>SFAX</v>
      </c>
      <c r="I194" s="43" t="str">
        <f>IFERROR(__xludf.DUMMYFUNCTION("""COMPUTED_VALUE"""),"Turkey")</f>
        <v>Turkey</v>
      </c>
      <c r="J194" s="43" t="str">
        <f>IFERROR(__xludf.DUMMYFUNCTION("""COMPUTED_VALUE"""),"İZMİR")</f>
        <v>İZMİR</v>
      </c>
      <c r="K194" s="44" t="str">
        <f>IFERROR(__xludf.DUMMYFUNCTION("""COMPUTED_VALUE"""),"https://expa.aiesec.org/opportunities/1288970")</f>
        <v>https://expa.aiesec.org/opportunities/1288970</v>
      </c>
      <c r="L194" s="43" t="str">
        <f>IFERROR(__xludf.DUMMYFUNCTION("""COMPUTED_VALUE"""),"GV")</f>
        <v>GV</v>
      </c>
      <c r="M194" s="43" t="str">
        <f>IFERROR(__xludf.DUMMYFUNCTION("""COMPUTED_VALUE"""),"short")</f>
        <v>short</v>
      </c>
      <c r="N194" s="45">
        <f>IFERROR(__xludf.DUMMYFUNCTION("""COMPUTED_VALUE"""),44850.0)</f>
        <v>44850</v>
      </c>
      <c r="O194" s="45">
        <f>IFERROR(__xludf.DUMMYFUNCTION("""COMPUTED_VALUE"""),45081.0)</f>
        <v>45081</v>
      </c>
      <c r="P194" s="45">
        <f>IFERROR(__xludf.DUMMYFUNCTION("""COMPUTED_VALUE"""),45123.0)</f>
        <v>45123</v>
      </c>
      <c r="Q194" s="45">
        <f>IFERROR(__xludf.DUMMYFUNCTION("""COMPUTED_VALUE"""),45089.0)</f>
        <v>45089</v>
      </c>
      <c r="R194" s="45">
        <f>IFERROR(__xludf.DUMMYFUNCTION("""COMPUTED_VALUE"""),45131.0)</f>
        <v>45131</v>
      </c>
      <c r="S194" s="43"/>
      <c r="T194" s="43"/>
      <c r="U194" s="43" t="str">
        <f>IFERROR(__xludf.DUMMYFUNCTION("""COMPUTED_VALUE"""),"Fingerprint")</f>
        <v>Fingerprint</v>
      </c>
      <c r="V194" s="43" t="str">
        <f>IFERROR(__xludf.DUMMYFUNCTION("""COMPUTED_VALUE"""),"FSEG sfax")</f>
        <v>FSEG sfax</v>
      </c>
      <c r="W194" s="43" t="str">
        <f>IFERROR(__xludf.DUMMYFUNCTION("""COMPUTED_VALUE"""),"2022-10-16T19:27:03Z")</f>
        <v>2022-10-16T19:27:03Z</v>
      </c>
      <c r="X194" s="43"/>
      <c r="Y194" s="43"/>
      <c r="Z194" s="43"/>
    </row>
    <row r="195" hidden="1">
      <c r="A195" s="43" t="str">
        <f>IFERROR(__xludf.DUMMYFUNCTION("""COMPUTED_VALUE"""),"2792788_1289505")</f>
        <v>2792788_1289505</v>
      </c>
      <c r="B195" s="43" t="str">
        <f>IFERROR(__xludf.DUMMYFUNCTION("""COMPUTED_VALUE"""),"Kiranjot Kaur")</f>
        <v>Kiranjot Kaur</v>
      </c>
      <c r="C195" s="43" t="str">
        <f>IFERROR(__xludf.DUMMYFUNCTION("""COMPUTED_VALUE"""),"completed")</f>
        <v>completed</v>
      </c>
      <c r="D195" s="43" t="str">
        <f>IFERROR(__xludf.DUMMYFUNCTION("""COMPUTED_VALUE"""),"No")</f>
        <v>No</v>
      </c>
      <c r="E195" s="43" t="str">
        <f>IFERROR(__xludf.DUMMYFUNCTION("""COMPUTED_VALUE"""),"p_b967bd00397c3802185070f3bf1bebf8939ec2ad@inbound.aiesec.org")</f>
        <v>p_b967bd00397c3802185070f3bf1bebf8939ec2ad@inbound.aiesec.org</v>
      </c>
      <c r="F195" s="43">
        <f>IFERROR(__xludf.DUMMYFUNCTION("""COMPUTED_VALUE"""),9.892579836E9)</f>
        <v>9892579836</v>
      </c>
      <c r="G195" s="43" t="str">
        <f>IFERROR(__xludf.DUMMYFUNCTION("""COMPUTED_VALUE"""),"India")</f>
        <v>India</v>
      </c>
      <c r="H195" s="43" t="str">
        <f>IFERROR(__xludf.DUMMYFUNCTION("""COMPUTED_VALUE"""),"Mumbai")</f>
        <v>Mumbai</v>
      </c>
      <c r="I195" s="43" t="str">
        <f>IFERROR(__xludf.DUMMYFUNCTION("""COMPUTED_VALUE"""),"Turkey")</f>
        <v>Turkey</v>
      </c>
      <c r="J195" s="43" t="str">
        <f>IFERROR(__xludf.DUMMYFUNCTION("""COMPUTED_VALUE"""),"KOCAELI")</f>
        <v>KOCAELI</v>
      </c>
      <c r="K195" s="44" t="str">
        <f>IFERROR(__xludf.DUMMYFUNCTION("""COMPUTED_VALUE"""),"https://expa.aiesec.org/opportunities/1289505")</f>
        <v>https://expa.aiesec.org/opportunities/1289505</v>
      </c>
      <c r="L195" s="43" t="str">
        <f>IFERROR(__xludf.DUMMYFUNCTION("""COMPUTED_VALUE"""),"GV")</f>
        <v>GV</v>
      </c>
      <c r="M195" s="43" t="str">
        <f>IFERROR(__xludf.DUMMYFUNCTION("""COMPUTED_VALUE"""),"short")</f>
        <v>short</v>
      </c>
      <c r="N195" s="45">
        <f>IFERROR(__xludf.DUMMYFUNCTION("""COMPUTED_VALUE"""),44850.0)</f>
        <v>44850</v>
      </c>
      <c r="O195" s="45">
        <f>IFERROR(__xludf.DUMMYFUNCTION("""COMPUTED_VALUE"""),44907.0)</f>
        <v>44907</v>
      </c>
      <c r="P195" s="45">
        <f>IFERROR(__xludf.DUMMYFUNCTION("""COMPUTED_VALUE"""),44949.0)</f>
        <v>44949</v>
      </c>
      <c r="Q195" s="45">
        <f>IFERROR(__xludf.DUMMYFUNCTION("""COMPUTED_VALUE"""),44909.0)</f>
        <v>44909</v>
      </c>
      <c r="R195" s="45">
        <f>IFERROR(__xludf.DUMMYFUNCTION("""COMPUTED_VALUE"""),44949.0)</f>
        <v>44949</v>
      </c>
      <c r="S195" s="43"/>
      <c r="T195" s="43"/>
      <c r="U195" s="43" t="str">
        <f>IFERROR(__xludf.DUMMYFUNCTION("""COMPUTED_VALUE"""),"Youth 4 Impact")</f>
        <v>Youth 4 Impact</v>
      </c>
      <c r="V195" s="43" t="str">
        <f>IFERROR(__xludf.DUMMYFUNCTION("""COMPUTED_VALUE"""),"Mumbai")</f>
        <v>Mumbai</v>
      </c>
      <c r="W195" s="43" t="str">
        <f>IFERROR(__xludf.DUMMYFUNCTION("""COMPUTED_VALUE"""),"2018-10-30T08:49:20Z")</f>
        <v>2018-10-30T08:49:20Z</v>
      </c>
      <c r="X195" s="43"/>
      <c r="Y195" s="43"/>
      <c r="Z195" s="43"/>
    </row>
    <row r="196" hidden="1">
      <c r="A196" s="43" t="str">
        <f>IFERROR(__xludf.DUMMYFUNCTION("""COMPUTED_VALUE"""),"5108455_1288711")</f>
        <v>5108455_1288711</v>
      </c>
      <c r="B196" s="43" t="str">
        <f>IFERROR(__xludf.DUMMYFUNCTION("""COMPUTED_VALUE"""),"Mila Arandjelovic")</f>
        <v>Mila Arandjelovic</v>
      </c>
      <c r="C196" s="43" t="str">
        <f>IFERROR(__xludf.DUMMYFUNCTION("""COMPUTED_VALUE"""),"approved")</f>
        <v>approved</v>
      </c>
      <c r="D196" s="43" t="str">
        <f>IFERROR(__xludf.DUMMYFUNCTION("""COMPUTED_VALUE"""),"No")</f>
        <v>No</v>
      </c>
      <c r="E196" s="43" t="str">
        <f>IFERROR(__xludf.DUMMYFUNCTION("""COMPUTED_VALUE"""),"p_b999dd0ca5b2fc7ee5f93c60db311deb0ecbc8fc@inbound.aiesec.org")</f>
        <v>p_b999dd0ca5b2fc7ee5f93c60db311deb0ecbc8fc@inbound.aiesec.org</v>
      </c>
      <c r="F196" s="43">
        <f>IFERROR(__xludf.DUMMYFUNCTION("""COMPUTED_VALUE"""),6.29720481E8)</f>
        <v>629720481</v>
      </c>
      <c r="G196" s="43" t="str">
        <f>IFERROR(__xludf.DUMMYFUNCTION("""COMPUTED_VALUE"""),"Serbia")</f>
        <v>Serbia</v>
      </c>
      <c r="H196" s="43" t="str">
        <f>IFERROR(__xludf.DUMMYFUNCTION("""COMPUTED_VALUE"""),"NIS")</f>
        <v>NIS</v>
      </c>
      <c r="I196" s="43" t="str">
        <f>IFERROR(__xludf.DUMMYFUNCTION("""COMPUTED_VALUE"""),"Turkey")</f>
        <v>Turkey</v>
      </c>
      <c r="J196" s="43" t="str">
        <f>IFERROR(__xludf.DUMMYFUNCTION("""COMPUTED_VALUE"""),"TRABZON")</f>
        <v>TRABZON</v>
      </c>
      <c r="K196" s="44" t="str">
        <f>IFERROR(__xludf.DUMMYFUNCTION("""COMPUTED_VALUE"""),"https://expa.aiesec.org/opportunities/1288711")</f>
        <v>https://expa.aiesec.org/opportunities/1288711</v>
      </c>
      <c r="L196" s="43" t="str">
        <f>IFERROR(__xludf.DUMMYFUNCTION("""COMPUTED_VALUE"""),"GV")</f>
        <v>GV</v>
      </c>
      <c r="M196" s="43" t="str">
        <f>IFERROR(__xludf.DUMMYFUNCTION("""COMPUTED_VALUE"""),"short")</f>
        <v>short</v>
      </c>
      <c r="N196" s="45">
        <f>IFERROR(__xludf.DUMMYFUNCTION("""COMPUTED_VALUE"""),44850.0)</f>
        <v>44850</v>
      </c>
      <c r="O196" s="45">
        <f>IFERROR(__xludf.DUMMYFUNCTION("""COMPUTED_VALUE"""),45109.0)</f>
        <v>45109</v>
      </c>
      <c r="P196" s="45">
        <f>IFERROR(__xludf.DUMMYFUNCTION("""COMPUTED_VALUE"""),45151.0)</f>
        <v>45151</v>
      </c>
      <c r="Q196" s="45"/>
      <c r="R196" s="45"/>
      <c r="S196" s="43"/>
      <c r="T196" s="43"/>
      <c r="U196" s="43" t="str">
        <f>IFERROR(__xludf.DUMMYFUNCTION("""COMPUTED_VALUE"""),"Global Classroom")</f>
        <v>Global Classroom</v>
      </c>
      <c r="V196" s="43" t="str">
        <f>IFERROR(__xludf.DUMMYFUNCTION("""COMPUTED_VALUE"""),"University of Nis")</f>
        <v>University of Nis</v>
      </c>
      <c r="W196" s="43" t="str">
        <f>IFERROR(__xludf.DUMMYFUNCTION("""COMPUTED_VALUE"""),"2022-09-09T09:37:28Z")</f>
        <v>2022-09-09T09:37:28Z</v>
      </c>
      <c r="X196" s="43"/>
      <c r="Y196" s="43"/>
      <c r="Z196" s="43"/>
    </row>
    <row r="197">
      <c r="A197" s="43" t="str">
        <f>IFERROR(__xludf.DUMMYFUNCTION("""COMPUTED_VALUE"""),"3260229_1289502")</f>
        <v>3260229_1289502</v>
      </c>
      <c r="B197" s="43" t="str">
        <f>IFERROR(__xludf.DUMMYFUNCTION("""COMPUTED_VALUE"""),"Amanda Haubert Rosa")</f>
        <v>Amanda Haubert Rosa</v>
      </c>
      <c r="C197" s="43" t="str">
        <f>IFERROR(__xludf.DUMMYFUNCTION("""COMPUTED_VALUE"""),"approved")</f>
        <v>approved</v>
      </c>
      <c r="D197" s="43" t="str">
        <f>IFERROR(__xludf.DUMMYFUNCTION("""COMPUTED_VALUE"""),"No")</f>
        <v>No</v>
      </c>
      <c r="E197" s="43" t="str">
        <f>IFERROR(__xludf.DUMMYFUNCTION("""COMPUTED_VALUE"""),"p_d9176a9536210b5cf6cbfda2aa9d8e633771abe7@inbound.aiesec.org")</f>
        <v>p_d9176a9536210b5cf6cbfda2aa9d8e633771abe7@inbound.aiesec.org</v>
      </c>
      <c r="F197" s="43">
        <f>IFERROR(__xludf.DUMMYFUNCTION("""COMPUTED_VALUE"""),5.1999154241E10)</f>
        <v>51999154241</v>
      </c>
      <c r="G197" s="43" t="str">
        <f>IFERROR(__xludf.DUMMYFUNCTION("""COMPUTED_VALUE"""),"Brazil")</f>
        <v>Brazil</v>
      </c>
      <c r="H197" s="43" t="str">
        <f>IFERROR(__xludf.DUMMYFUNCTION("""COMPUTED_VALUE"""),"PORTO ALEGRE")</f>
        <v>PORTO ALEGRE</v>
      </c>
      <c r="I197" s="43" t="str">
        <f>IFERROR(__xludf.DUMMYFUNCTION("""COMPUTED_VALUE"""),"Turkey")</f>
        <v>Turkey</v>
      </c>
      <c r="J197" s="43" t="str">
        <f>IFERROR(__xludf.DUMMYFUNCTION("""COMPUTED_VALUE"""),"BURSA")</f>
        <v>BURSA</v>
      </c>
      <c r="K197" s="44" t="str">
        <f>IFERROR(__xludf.DUMMYFUNCTION("""COMPUTED_VALUE"""),"https://expa.aiesec.org/opportunities/1289502")</f>
        <v>https://expa.aiesec.org/opportunities/1289502</v>
      </c>
      <c r="L197" s="43" t="str">
        <f>IFERROR(__xludf.DUMMYFUNCTION("""COMPUTED_VALUE"""),"GV")</f>
        <v>GV</v>
      </c>
      <c r="M197" s="43" t="str">
        <f>IFERROR(__xludf.DUMMYFUNCTION("""COMPUTED_VALUE"""),"short")</f>
        <v>short</v>
      </c>
      <c r="N197" s="45">
        <f>IFERROR(__xludf.DUMMYFUNCTION("""COMPUTED_VALUE"""),44851.0)</f>
        <v>44851</v>
      </c>
      <c r="O197" s="45">
        <f>IFERROR(__xludf.DUMMYFUNCTION("""COMPUTED_VALUE"""),45033.0)</f>
        <v>45033</v>
      </c>
      <c r="P197" s="45">
        <f>IFERROR(__xludf.DUMMYFUNCTION("""COMPUTED_VALUE"""),45075.0)</f>
        <v>45075</v>
      </c>
      <c r="Q197" s="45"/>
      <c r="R197" s="45"/>
      <c r="S197" s="43"/>
      <c r="T197" s="43"/>
      <c r="U197" s="43" t="str">
        <f>IFERROR(__xludf.DUMMYFUNCTION("""COMPUTED_VALUE"""),"Youth 4 Impact")</f>
        <v>Youth 4 Impact</v>
      </c>
      <c r="V197" s="43" t="str">
        <f>IFERROR(__xludf.DUMMYFUNCTION("""COMPUTED_VALUE"""),"-")</f>
        <v>-</v>
      </c>
      <c r="W197" s="43" t="str">
        <f>IFERROR(__xludf.DUMMYFUNCTION("""COMPUTED_VALUE"""),"2019-03-24T00:29:59Z")</f>
        <v>2019-03-24T00:29:59Z</v>
      </c>
      <c r="X197" s="43"/>
      <c r="Y197" s="43"/>
      <c r="Z197" s="43"/>
    </row>
    <row r="198" hidden="1">
      <c r="A198" s="43" t="str">
        <f>IFERROR(__xludf.DUMMYFUNCTION("""COMPUTED_VALUE"""),"5108911_1288970")</f>
        <v>5108911_1288970</v>
      </c>
      <c r="B198" s="43" t="str">
        <f>IFERROR(__xludf.DUMMYFUNCTION("""COMPUTED_VALUE"""),"Tijana Stevanović")</f>
        <v>Tijana Stevanović</v>
      </c>
      <c r="C198" s="43" t="str">
        <f>IFERROR(__xludf.DUMMYFUNCTION("""COMPUTED_VALUE"""),"finished")</f>
        <v>finished</v>
      </c>
      <c r="D198" s="43" t="str">
        <f>IFERROR(__xludf.DUMMYFUNCTION("""COMPUTED_VALUE"""),"No")</f>
        <v>No</v>
      </c>
      <c r="E198" s="43" t="str">
        <f>IFERROR(__xludf.DUMMYFUNCTION("""COMPUTED_VALUE"""),"p_a860e145c914b535eaeee7a66f39f096cfc830f0@inbound.aiesec.org")</f>
        <v>p_a860e145c914b535eaeee7a66f39f096cfc830f0@inbound.aiesec.org</v>
      </c>
      <c r="F198" s="43">
        <f>IFERROR(__xludf.DUMMYFUNCTION("""COMPUTED_VALUE"""),6.0131433E8)</f>
        <v>601314330</v>
      </c>
      <c r="G198" s="43" t="str">
        <f>IFERROR(__xludf.DUMMYFUNCTION("""COMPUTED_VALUE"""),"Serbia")</f>
        <v>Serbia</v>
      </c>
      <c r="H198" s="43" t="str">
        <f>IFERROR(__xludf.DUMMYFUNCTION("""COMPUTED_VALUE"""),"Singidunum")</f>
        <v>Singidunum</v>
      </c>
      <c r="I198" s="43" t="str">
        <f>IFERROR(__xludf.DUMMYFUNCTION("""COMPUTED_VALUE"""),"Turkey")</f>
        <v>Turkey</v>
      </c>
      <c r="J198" s="43" t="str">
        <f>IFERROR(__xludf.DUMMYFUNCTION("""COMPUTED_VALUE"""),"İZMİR")</f>
        <v>İZMİR</v>
      </c>
      <c r="K198" s="44" t="str">
        <f>IFERROR(__xludf.DUMMYFUNCTION("""COMPUTED_VALUE"""),"https://expa.aiesec.org/opportunities/1288970")</f>
        <v>https://expa.aiesec.org/opportunities/1288970</v>
      </c>
      <c r="L198" s="43" t="str">
        <f>IFERROR(__xludf.DUMMYFUNCTION("""COMPUTED_VALUE"""),"GV")</f>
        <v>GV</v>
      </c>
      <c r="M198" s="43" t="str">
        <f>IFERROR(__xludf.DUMMYFUNCTION("""COMPUTED_VALUE"""),"short")</f>
        <v>short</v>
      </c>
      <c r="N198" s="45">
        <f>IFERROR(__xludf.DUMMYFUNCTION("""COMPUTED_VALUE"""),44851.0)</f>
        <v>44851</v>
      </c>
      <c r="O198" s="45">
        <f>IFERROR(__xludf.DUMMYFUNCTION("""COMPUTED_VALUE"""),45123.0)</f>
        <v>45123</v>
      </c>
      <c r="P198" s="45">
        <f>IFERROR(__xludf.DUMMYFUNCTION("""COMPUTED_VALUE"""),45165.0)</f>
        <v>45165</v>
      </c>
      <c r="Q198" s="45">
        <f>IFERROR(__xludf.DUMMYFUNCTION("""COMPUTED_VALUE"""),45124.0)</f>
        <v>45124</v>
      </c>
      <c r="R198" s="45">
        <f>IFERROR(__xludf.DUMMYFUNCTION("""COMPUTED_VALUE"""),45166.0)</f>
        <v>45166</v>
      </c>
      <c r="S198" s="43"/>
      <c r="T198" s="43"/>
      <c r="U198" s="43" t="str">
        <f>IFERROR(__xludf.DUMMYFUNCTION("""COMPUTED_VALUE"""),"Fingerprint")</f>
        <v>Fingerprint</v>
      </c>
      <c r="V198" s="43" t="str">
        <f>IFERROR(__xludf.DUMMYFUNCTION("""COMPUTED_VALUE"""),"Singidunum University, Belgrade")</f>
        <v>Singidunum University, Belgrade</v>
      </c>
      <c r="W198" s="43" t="str">
        <f>IFERROR(__xludf.DUMMYFUNCTION("""COMPUTED_VALUE"""),"2022-09-09T17:16:04Z")</f>
        <v>2022-09-09T17:16:04Z</v>
      </c>
      <c r="X198" s="43"/>
      <c r="Y198" s="43"/>
      <c r="Z198" s="43"/>
    </row>
    <row r="199" hidden="1">
      <c r="A199" s="43" t="str">
        <f>IFERROR(__xludf.DUMMYFUNCTION("""COMPUTED_VALUE"""),"5133045_1288970")</f>
        <v>5133045_1288970</v>
      </c>
      <c r="B199" s="43" t="str">
        <f>IFERROR(__xludf.DUMMYFUNCTION("""COMPUTED_VALUE"""),"mohamed magdy")</f>
        <v>mohamed magdy</v>
      </c>
      <c r="C199" s="43" t="str">
        <f>IFERROR(__xludf.DUMMYFUNCTION("""COMPUTED_VALUE"""),"finished")</f>
        <v>finished</v>
      </c>
      <c r="D199" s="43" t="str">
        <f>IFERROR(__xludf.DUMMYFUNCTION("""COMPUTED_VALUE"""),"No")</f>
        <v>No</v>
      </c>
      <c r="E199" s="43" t="str">
        <f>IFERROR(__xludf.DUMMYFUNCTION("""COMPUTED_VALUE"""),"p_c577faaa353972b1efa14823bce980bf5192d5ac@inbound.aiesec.org")</f>
        <v>p_c577faaa353972b1efa14823bce980bf5192d5ac@inbound.aiesec.org</v>
      </c>
      <c r="F199" s="43">
        <f>IFERROR(__xludf.DUMMYFUNCTION("""COMPUTED_VALUE"""),1.121060419E9)</f>
        <v>1121060419</v>
      </c>
      <c r="G199" s="43" t="str">
        <f>IFERROR(__xludf.DUMMYFUNCTION("""COMPUTED_VALUE"""),"Egypt")</f>
        <v>Egypt</v>
      </c>
      <c r="H199" s="43" t="str">
        <f>IFERROR(__xludf.DUMMYFUNCTION("""COMPUTED_VALUE"""),"6th October University")</f>
        <v>6th October University</v>
      </c>
      <c r="I199" s="43" t="str">
        <f>IFERROR(__xludf.DUMMYFUNCTION("""COMPUTED_VALUE"""),"Turkey")</f>
        <v>Turkey</v>
      </c>
      <c r="J199" s="43" t="str">
        <f>IFERROR(__xludf.DUMMYFUNCTION("""COMPUTED_VALUE"""),"İZMİR")</f>
        <v>İZMİR</v>
      </c>
      <c r="K199" s="44" t="str">
        <f>IFERROR(__xludf.DUMMYFUNCTION("""COMPUTED_VALUE"""),"https://expa.aiesec.org/opportunities/1288970")</f>
        <v>https://expa.aiesec.org/opportunities/1288970</v>
      </c>
      <c r="L199" s="43" t="str">
        <f>IFERROR(__xludf.DUMMYFUNCTION("""COMPUTED_VALUE"""),"GV")</f>
        <v>GV</v>
      </c>
      <c r="M199" s="43" t="str">
        <f>IFERROR(__xludf.DUMMYFUNCTION("""COMPUTED_VALUE"""),"short")</f>
        <v>short</v>
      </c>
      <c r="N199" s="45">
        <f>IFERROR(__xludf.DUMMYFUNCTION("""COMPUTED_VALUE"""),44852.0)</f>
        <v>44852</v>
      </c>
      <c r="O199" s="45">
        <f>IFERROR(__xludf.DUMMYFUNCTION("""COMPUTED_VALUE"""),44913.0)</f>
        <v>44913</v>
      </c>
      <c r="P199" s="45">
        <f>IFERROR(__xludf.DUMMYFUNCTION("""COMPUTED_VALUE"""),44955.0)</f>
        <v>44955</v>
      </c>
      <c r="Q199" s="45">
        <f>IFERROR(__xludf.DUMMYFUNCTION("""COMPUTED_VALUE"""),44921.0)</f>
        <v>44921</v>
      </c>
      <c r="R199" s="45">
        <f>IFERROR(__xludf.DUMMYFUNCTION("""COMPUTED_VALUE"""),44963.0)</f>
        <v>44963</v>
      </c>
      <c r="S199" s="43"/>
      <c r="T199" s="43"/>
      <c r="U199" s="43" t="str">
        <f>IFERROR(__xludf.DUMMYFUNCTION("""COMPUTED_VALUE"""),"Fingerprint")</f>
        <v>Fingerprint</v>
      </c>
      <c r="V199" s="43" t="str">
        <f>IFERROR(__xludf.DUMMYFUNCTION("""COMPUTED_VALUE"""),"6th of October University")</f>
        <v>6th of October University</v>
      </c>
      <c r="W199" s="43" t="str">
        <f>IFERROR(__xludf.DUMMYFUNCTION("""COMPUTED_VALUE"""),"2022-10-14T18:44:43Z")</f>
        <v>2022-10-14T18:44:43Z</v>
      </c>
      <c r="X199" s="43"/>
      <c r="Y199" s="43"/>
      <c r="Z199" s="43"/>
    </row>
    <row r="200" hidden="1">
      <c r="A200" s="43" t="str">
        <f>IFERROR(__xludf.DUMMYFUNCTION("""COMPUTED_VALUE"""),"5133352_1281357")</f>
        <v>5133352_1281357</v>
      </c>
      <c r="B200" s="43" t="str">
        <f>IFERROR(__xludf.DUMMYFUNCTION("""COMPUTED_VALUE"""),"Venera Temirkhan")</f>
        <v>Venera Temirkhan</v>
      </c>
      <c r="C200" s="43" t="str">
        <f>IFERROR(__xludf.DUMMYFUNCTION("""COMPUTED_VALUE"""),"completed")</f>
        <v>completed</v>
      </c>
      <c r="D200" s="43" t="str">
        <f>IFERROR(__xludf.DUMMYFUNCTION("""COMPUTED_VALUE"""),"No")</f>
        <v>No</v>
      </c>
      <c r="E200" s="43" t="str">
        <f>IFERROR(__xludf.DUMMYFUNCTION("""COMPUTED_VALUE"""),"p_42e7268206ccb51df1d41c330780c48b77685e6f@inbound.aiesec.org")</f>
        <v>p_42e7268206ccb51df1d41c330780c48b77685e6f@inbound.aiesec.org</v>
      </c>
      <c r="F200" s="43">
        <f>IFERROR(__xludf.DUMMYFUNCTION("""COMPUTED_VALUE"""),7.073606037E9)</f>
        <v>7073606037</v>
      </c>
      <c r="G200" s="43" t="str">
        <f>IFERROR(__xludf.DUMMYFUNCTION("""COMPUTED_VALUE"""),"Kazakhstan")</f>
        <v>Kazakhstan</v>
      </c>
      <c r="H200" s="43" t="str">
        <f>IFERROR(__xludf.DUMMYFUNCTION("""COMPUTED_VALUE"""),"Astana")</f>
        <v>Astana</v>
      </c>
      <c r="I200" s="43" t="str">
        <f>IFERROR(__xludf.DUMMYFUNCTION("""COMPUTED_VALUE"""),"Turkey")</f>
        <v>Turkey</v>
      </c>
      <c r="J200" s="43" t="str">
        <f>IFERROR(__xludf.DUMMYFUNCTION("""COMPUTED_VALUE"""),"GAZIANTEP")</f>
        <v>GAZIANTEP</v>
      </c>
      <c r="K200" s="44" t="str">
        <f>IFERROR(__xludf.DUMMYFUNCTION("""COMPUTED_VALUE"""),"https://expa.aiesec.org/opportunities/1281357")</f>
        <v>https://expa.aiesec.org/opportunities/1281357</v>
      </c>
      <c r="L200" s="43" t="str">
        <f>IFERROR(__xludf.DUMMYFUNCTION("""COMPUTED_VALUE"""),"GV")</f>
        <v>GV</v>
      </c>
      <c r="M200" s="43" t="str">
        <f>IFERROR(__xludf.DUMMYFUNCTION("""COMPUTED_VALUE"""),"short")</f>
        <v>short</v>
      </c>
      <c r="N200" s="45">
        <f>IFERROR(__xludf.DUMMYFUNCTION("""COMPUTED_VALUE"""),44852.0)</f>
        <v>44852</v>
      </c>
      <c r="O200" s="45">
        <f>IFERROR(__xludf.DUMMYFUNCTION("""COMPUTED_VALUE"""),44923.0)</f>
        <v>44923</v>
      </c>
      <c r="P200" s="45">
        <f>IFERROR(__xludf.DUMMYFUNCTION("""COMPUTED_VALUE"""),44965.0)</f>
        <v>44965</v>
      </c>
      <c r="Q200" s="45">
        <f>IFERROR(__xludf.DUMMYFUNCTION("""COMPUTED_VALUE"""),44924.0)</f>
        <v>44924</v>
      </c>
      <c r="R200" s="45">
        <f>IFERROR(__xludf.DUMMYFUNCTION("""COMPUTED_VALUE"""),44965.0)</f>
        <v>44965</v>
      </c>
      <c r="S200" s="43"/>
      <c r="T200" s="43"/>
      <c r="U200" s="43" t="str">
        <f>IFERROR(__xludf.DUMMYFUNCTION("""COMPUTED_VALUE"""),"Global Classroom")</f>
        <v>Global Classroom</v>
      </c>
      <c r="V200" s="43" t="str">
        <f>IFERROR(__xludf.DUMMYFUNCTION("""COMPUTED_VALUE"""),"Ust'-Kamenogorsk")</f>
        <v>Ust'-Kamenogorsk</v>
      </c>
      <c r="W200" s="43" t="str">
        <f>IFERROR(__xludf.DUMMYFUNCTION("""COMPUTED_VALUE"""),"2022-10-15T12:00:04Z")</f>
        <v>2022-10-15T12:00:04Z</v>
      </c>
      <c r="X200" s="43"/>
      <c r="Y200" s="43"/>
      <c r="Z200" s="43"/>
    </row>
    <row r="201">
      <c r="A201" s="43" t="str">
        <f>IFERROR(__xludf.DUMMYFUNCTION("""COMPUTED_VALUE"""),"5129219_1285687")</f>
        <v>5129219_1285687</v>
      </c>
      <c r="B201" s="43" t="str">
        <f>IFERROR(__xludf.DUMMYFUNCTION("""COMPUTED_VALUE"""),"coline MAUPAS")</f>
        <v>coline MAUPAS</v>
      </c>
      <c r="C201" s="43" t="str">
        <f>IFERROR(__xludf.DUMMYFUNCTION("""COMPUTED_VALUE"""),"approved")</f>
        <v>approved</v>
      </c>
      <c r="D201" s="43" t="str">
        <f>IFERROR(__xludf.DUMMYFUNCTION("""COMPUTED_VALUE"""),"No")</f>
        <v>No</v>
      </c>
      <c r="E201" s="43" t="str">
        <f>IFERROR(__xludf.DUMMYFUNCTION("""COMPUTED_VALUE"""),"p_178011dd307713b562d77c6b101a2337ecb3bc75@inbound.aiesec.org")</f>
        <v>p_178011dd307713b562d77c6b101a2337ecb3bc75@inbound.aiesec.org</v>
      </c>
      <c r="F201" s="43">
        <f>IFERROR(__xludf.DUMMYFUNCTION("""COMPUTED_VALUE"""),6.52415088E8)</f>
        <v>652415088</v>
      </c>
      <c r="G201" s="43" t="str">
        <f>IFERROR(__xludf.DUMMYFUNCTION("""COMPUTED_VALUE"""),"France")</f>
        <v>France</v>
      </c>
      <c r="H201" s="43" t="str">
        <f>IFERROR(__xludf.DUMMYFUNCTION("""COMPUTED_VALUE"""),"MC France")</f>
        <v>MC France</v>
      </c>
      <c r="I201" s="43" t="str">
        <f>IFERROR(__xludf.DUMMYFUNCTION("""COMPUTED_VALUE"""),"Turkey")</f>
        <v>Turkey</v>
      </c>
      <c r="J201" s="43" t="str">
        <f>IFERROR(__xludf.DUMMYFUNCTION("""COMPUTED_VALUE"""),"ISTANBUL")</f>
        <v>ISTANBUL</v>
      </c>
      <c r="K201" s="44" t="str">
        <f>IFERROR(__xludf.DUMMYFUNCTION("""COMPUTED_VALUE"""),"https://expa.aiesec.org/opportunities/1285687")</f>
        <v>https://expa.aiesec.org/opportunities/1285687</v>
      </c>
      <c r="L201" s="43" t="str">
        <f>IFERROR(__xludf.DUMMYFUNCTION("""COMPUTED_VALUE"""),"GV")</f>
        <v>GV</v>
      </c>
      <c r="M201" s="43" t="str">
        <f>IFERROR(__xludf.DUMMYFUNCTION("""COMPUTED_VALUE"""),"short")</f>
        <v>short</v>
      </c>
      <c r="N201" s="45">
        <f>IFERROR(__xludf.DUMMYFUNCTION("""COMPUTED_VALUE"""),44852.0)</f>
        <v>44852</v>
      </c>
      <c r="O201" s="45">
        <f>IFERROR(__xludf.DUMMYFUNCTION("""COMPUTED_VALUE"""),44956.0)</f>
        <v>44956</v>
      </c>
      <c r="P201" s="45">
        <f>IFERROR(__xludf.DUMMYFUNCTION("""COMPUTED_VALUE"""),44998.0)</f>
        <v>44998</v>
      </c>
      <c r="Q201" s="45"/>
      <c r="R201" s="45"/>
      <c r="S201" s="43"/>
      <c r="T201" s="43"/>
      <c r="U201" s="43" t="str">
        <f>IFERROR(__xludf.DUMMYFUNCTION("""COMPUTED_VALUE"""),"Youth 4 Impact")</f>
        <v>Youth 4 Impact</v>
      </c>
      <c r="V201" s="43" t="str">
        <f>IFERROR(__xludf.DUMMYFUNCTION("""COMPUTED_VALUE"""),"Bordeaux - other University")</f>
        <v>Bordeaux - other University</v>
      </c>
      <c r="W201" s="43" t="str">
        <f>IFERROR(__xludf.DUMMYFUNCTION("""COMPUTED_VALUE"""),"2022-10-10T14:52:03Z")</f>
        <v>2022-10-10T14:52:03Z</v>
      </c>
      <c r="X201" s="43"/>
      <c r="Y201" s="43"/>
      <c r="Z201" s="43"/>
    </row>
    <row r="202" hidden="1">
      <c r="A202" s="43" t="str">
        <f>IFERROR(__xludf.DUMMYFUNCTION("""COMPUTED_VALUE"""),"5130616_1289228")</f>
        <v>5130616_1289228</v>
      </c>
      <c r="B202" s="43" t="str">
        <f>IFERROR(__xludf.DUMMYFUNCTION("""COMPUTED_VALUE"""),"Haidy Habash")</f>
        <v>Haidy Habash</v>
      </c>
      <c r="C202" s="43" t="str">
        <f>IFERROR(__xludf.DUMMYFUNCTION("""COMPUTED_VALUE"""),"approved")</f>
        <v>approved</v>
      </c>
      <c r="D202" s="43" t="str">
        <f>IFERROR(__xludf.DUMMYFUNCTION("""COMPUTED_VALUE"""),"No")</f>
        <v>No</v>
      </c>
      <c r="E202" s="43" t="str">
        <f>IFERROR(__xludf.DUMMYFUNCTION("""COMPUTED_VALUE"""),"p_c0bcef803cd76d2a1ef1c4801382f17ae518fb10@inbound.aiesec.org")</f>
        <v>p_c0bcef803cd76d2a1ef1c4801382f17ae518fb10@inbound.aiesec.org</v>
      </c>
      <c r="F202" s="43">
        <f>IFERROR(__xludf.DUMMYFUNCTION("""COMPUTED_VALUE"""),1.022428713E9)</f>
        <v>1022428713</v>
      </c>
      <c r="G202" s="43" t="str">
        <f>IFERROR(__xludf.DUMMYFUNCTION("""COMPUTED_VALUE"""),"Egypt")</f>
        <v>Egypt</v>
      </c>
      <c r="H202" s="43" t="str">
        <f>IFERROR(__xludf.DUMMYFUNCTION("""COMPUTED_VALUE"""),"Ain Shams University")</f>
        <v>Ain Shams University</v>
      </c>
      <c r="I202" s="43" t="str">
        <f>IFERROR(__xludf.DUMMYFUNCTION("""COMPUTED_VALUE"""),"Turkey")</f>
        <v>Turkey</v>
      </c>
      <c r="J202" s="43" t="str">
        <f>IFERROR(__xludf.DUMMYFUNCTION("""COMPUTED_VALUE"""),"ISTANBUL WEST")</f>
        <v>ISTANBUL WEST</v>
      </c>
      <c r="K202" s="44" t="str">
        <f>IFERROR(__xludf.DUMMYFUNCTION("""COMPUTED_VALUE"""),"https://expa.aiesec.org/opportunities/1289228")</f>
        <v>https://expa.aiesec.org/opportunities/1289228</v>
      </c>
      <c r="L202" s="43" t="str">
        <f>IFERROR(__xludf.DUMMYFUNCTION("""COMPUTED_VALUE"""),"GV")</f>
        <v>GV</v>
      </c>
      <c r="M202" s="43" t="str">
        <f>IFERROR(__xludf.DUMMYFUNCTION("""COMPUTED_VALUE"""),"short")</f>
        <v>short</v>
      </c>
      <c r="N202" s="45">
        <f>IFERROR(__xludf.DUMMYFUNCTION("""COMPUTED_VALUE"""),44853.0)</f>
        <v>44853</v>
      </c>
      <c r="O202" s="45">
        <f>IFERROR(__xludf.DUMMYFUNCTION("""COMPUTED_VALUE"""),45187.0)</f>
        <v>45187</v>
      </c>
      <c r="P202" s="45">
        <f>IFERROR(__xludf.DUMMYFUNCTION("""COMPUTED_VALUE"""),45229.0)</f>
        <v>45229</v>
      </c>
      <c r="Q202" s="45"/>
      <c r="R202" s="45"/>
      <c r="S202" s="43"/>
      <c r="T202" s="43"/>
      <c r="U202" s="43" t="str">
        <f>IFERROR(__xludf.DUMMYFUNCTION("""COMPUTED_VALUE"""),"Global Classroom")</f>
        <v>Global Classroom</v>
      </c>
      <c r="V202" s="43" t="str">
        <f>IFERROR(__xludf.DUMMYFUNCTION("""COMPUTED_VALUE"""),"Ain Shams University")</f>
        <v>Ain Shams University</v>
      </c>
      <c r="W202" s="43" t="str">
        <f>IFERROR(__xludf.DUMMYFUNCTION("""COMPUTED_VALUE"""),"2022-10-12T08:37:53Z")</f>
        <v>2022-10-12T08:37:53Z</v>
      </c>
      <c r="X202" s="43"/>
      <c r="Y202" s="43"/>
      <c r="Z202" s="43"/>
    </row>
    <row r="203" hidden="1">
      <c r="A203" s="43" t="str">
        <f>IFERROR(__xludf.DUMMYFUNCTION("""COMPUTED_VALUE"""),"5138069_1288970")</f>
        <v>5138069_1288970</v>
      </c>
      <c r="B203" s="43" t="str">
        <f>IFERROR(__xludf.DUMMYFUNCTION("""COMPUTED_VALUE"""),"yasmine abid")</f>
        <v>yasmine abid</v>
      </c>
      <c r="C203" s="43" t="str">
        <f>IFERROR(__xludf.DUMMYFUNCTION("""COMPUTED_VALUE"""),"completed")</f>
        <v>completed</v>
      </c>
      <c r="D203" s="43" t="str">
        <f>IFERROR(__xludf.DUMMYFUNCTION("""COMPUTED_VALUE"""),"No")</f>
        <v>No</v>
      </c>
      <c r="E203" s="43" t="str">
        <f>IFERROR(__xludf.DUMMYFUNCTION("""COMPUTED_VALUE"""),"p_2212c6976635a917694e6f8e806cbbaea72e53e4@inbound.aiesec.org")</f>
        <v>p_2212c6976635a917694e6f8e806cbbaea72e53e4@inbound.aiesec.org</v>
      </c>
      <c r="F203" s="43">
        <f>IFERROR(__xludf.DUMMYFUNCTION("""COMPUTED_VALUE"""),5.4229095E7)</f>
        <v>54229095</v>
      </c>
      <c r="G203" s="43" t="str">
        <f>IFERROR(__xludf.DUMMYFUNCTION("""COMPUTED_VALUE"""),"Tunisia")</f>
        <v>Tunisia</v>
      </c>
      <c r="H203" s="43" t="str">
        <f>IFERROR(__xludf.DUMMYFUNCTION("""COMPUTED_VALUE"""),"SFAX")</f>
        <v>SFAX</v>
      </c>
      <c r="I203" s="43" t="str">
        <f>IFERROR(__xludf.DUMMYFUNCTION("""COMPUTED_VALUE"""),"Turkey")</f>
        <v>Turkey</v>
      </c>
      <c r="J203" s="43" t="str">
        <f>IFERROR(__xludf.DUMMYFUNCTION("""COMPUTED_VALUE"""),"İZMİR")</f>
        <v>İZMİR</v>
      </c>
      <c r="K203" s="44" t="str">
        <f>IFERROR(__xludf.DUMMYFUNCTION("""COMPUTED_VALUE"""),"https://expa.aiesec.org/opportunities/1288970")</f>
        <v>https://expa.aiesec.org/opportunities/1288970</v>
      </c>
      <c r="L203" s="43" t="str">
        <f>IFERROR(__xludf.DUMMYFUNCTION("""COMPUTED_VALUE"""),"GV")</f>
        <v>GV</v>
      </c>
      <c r="M203" s="43" t="str">
        <f>IFERROR(__xludf.DUMMYFUNCTION("""COMPUTED_VALUE"""),"short")</f>
        <v>short</v>
      </c>
      <c r="N203" s="45">
        <f>IFERROR(__xludf.DUMMYFUNCTION("""COMPUTED_VALUE"""),44855.0)</f>
        <v>44855</v>
      </c>
      <c r="O203" s="45">
        <f>IFERROR(__xludf.DUMMYFUNCTION("""COMPUTED_VALUE"""),44871.0)</f>
        <v>44871</v>
      </c>
      <c r="P203" s="45">
        <f>IFERROR(__xludf.DUMMYFUNCTION("""COMPUTED_VALUE"""),44913.0)</f>
        <v>44913</v>
      </c>
      <c r="Q203" s="45">
        <f>IFERROR(__xludf.DUMMYFUNCTION("""COMPUTED_VALUE"""),44880.0)</f>
        <v>44880</v>
      </c>
      <c r="R203" s="45">
        <f>IFERROR(__xludf.DUMMYFUNCTION("""COMPUTED_VALUE"""),44922.0)</f>
        <v>44922</v>
      </c>
      <c r="S203" s="43"/>
      <c r="T203" s="43"/>
      <c r="U203" s="43" t="str">
        <f>IFERROR(__xludf.DUMMYFUNCTION("""COMPUTED_VALUE"""),"Fingerprint")</f>
        <v>Fingerprint</v>
      </c>
      <c r="V203" s="43" t="str">
        <f>IFERROR(__xludf.DUMMYFUNCTION("""COMPUTED_VALUE"""),"FSEG sfax")</f>
        <v>FSEG sfax</v>
      </c>
      <c r="W203" s="43" t="str">
        <f>IFERROR(__xludf.DUMMYFUNCTION("""COMPUTED_VALUE"""),"2022-10-21T13:09:49Z")</f>
        <v>2022-10-21T13:09:49Z</v>
      </c>
      <c r="X203" s="43"/>
      <c r="Y203" s="43"/>
      <c r="Z203" s="43"/>
    </row>
    <row r="204" hidden="1">
      <c r="A204" s="43" t="str">
        <f>IFERROR(__xludf.DUMMYFUNCTION("""COMPUTED_VALUE"""),"5138176_1288711")</f>
        <v>5138176_1288711</v>
      </c>
      <c r="B204" s="43" t="str">
        <f>IFERROR(__xludf.DUMMYFUNCTION("""COMPUTED_VALUE"""),"yoldez bouali")</f>
        <v>yoldez bouali</v>
      </c>
      <c r="C204" s="43" t="str">
        <f>IFERROR(__xludf.DUMMYFUNCTION("""COMPUTED_VALUE"""),"approved")</f>
        <v>approved</v>
      </c>
      <c r="D204" s="43" t="str">
        <f>IFERROR(__xludf.DUMMYFUNCTION("""COMPUTED_VALUE"""),"No")</f>
        <v>No</v>
      </c>
      <c r="E204" s="43" t="str">
        <f>IFERROR(__xludf.DUMMYFUNCTION("""COMPUTED_VALUE"""),"p_7807d9c950ad25164227597f9e716284745b03d7@inbound.aiesec.org")</f>
        <v>p_7807d9c950ad25164227597f9e716284745b03d7@inbound.aiesec.org</v>
      </c>
      <c r="F204" s="43">
        <f>IFERROR(__xludf.DUMMYFUNCTION("""COMPUTED_VALUE"""),5.256089E7)</f>
        <v>52560890</v>
      </c>
      <c r="G204" s="43" t="str">
        <f>IFERROR(__xludf.DUMMYFUNCTION("""COMPUTED_VALUE"""),"Tunisia")</f>
        <v>Tunisia</v>
      </c>
      <c r="H204" s="43" t="str">
        <f>IFERROR(__xludf.DUMMYFUNCTION("""COMPUTED_VALUE"""),"HADRUMET")</f>
        <v>HADRUMET</v>
      </c>
      <c r="I204" s="43" t="str">
        <f>IFERROR(__xludf.DUMMYFUNCTION("""COMPUTED_VALUE"""),"Turkey")</f>
        <v>Turkey</v>
      </c>
      <c r="J204" s="43" t="str">
        <f>IFERROR(__xludf.DUMMYFUNCTION("""COMPUTED_VALUE"""),"TRABZON")</f>
        <v>TRABZON</v>
      </c>
      <c r="K204" s="44" t="str">
        <f>IFERROR(__xludf.DUMMYFUNCTION("""COMPUTED_VALUE"""),"https://expa.aiesec.org/opportunities/1288711")</f>
        <v>https://expa.aiesec.org/opportunities/1288711</v>
      </c>
      <c r="L204" s="43" t="str">
        <f>IFERROR(__xludf.DUMMYFUNCTION("""COMPUTED_VALUE"""),"GV")</f>
        <v>GV</v>
      </c>
      <c r="M204" s="43" t="str">
        <f>IFERROR(__xludf.DUMMYFUNCTION("""COMPUTED_VALUE"""),"short")</f>
        <v>short</v>
      </c>
      <c r="N204" s="45">
        <f>IFERROR(__xludf.DUMMYFUNCTION("""COMPUTED_VALUE"""),44855.0)</f>
        <v>44855</v>
      </c>
      <c r="O204" s="45">
        <f>IFERROR(__xludf.DUMMYFUNCTION("""COMPUTED_VALUE"""),45109.0)</f>
        <v>45109</v>
      </c>
      <c r="P204" s="45">
        <f>IFERROR(__xludf.DUMMYFUNCTION("""COMPUTED_VALUE"""),45151.0)</f>
        <v>45151</v>
      </c>
      <c r="Q204" s="45"/>
      <c r="R204" s="45"/>
      <c r="S204" s="43"/>
      <c r="T204" s="43"/>
      <c r="U204" s="43" t="str">
        <f>IFERROR(__xludf.DUMMYFUNCTION("""COMPUTED_VALUE"""),"Global Classroom")</f>
        <v>Global Classroom</v>
      </c>
      <c r="V204" s="43" t="str">
        <f>IFERROR(__xludf.DUMMYFUNCTION("""COMPUTED_VALUE"""),"IHEC Sousse")</f>
        <v>IHEC Sousse</v>
      </c>
      <c r="W204" s="43" t="str">
        <f>IFERROR(__xludf.DUMMYFUNCTION("""COMPUTED_VALUE"""),"2022-10-21T16:29:42Z")</f>
        <v>2022-10-21T16:29:42Z</v>
      </c>
      <c r="X204" s="43"/>
      <c r="Y204" s="43"/>
      <c r="Z204" s="43"/>
    </row>
    <row r="205" hidden="1">
      <c r="A205" s="43" t="str">
        <f>IFERROR(__xludf.DUMMYFUNCTION("""COMPUTED_VALUE"""),"5138173_1288711")</f>
        <v>5138173_1288711</v>
      </c>
      <c r="B205" s="43" t="str">
        <f>IFERROR(__xludf.DUMMYFUNCTION("""COMPUTED_VALUE"""),"nouhe mathlouthi")</f>
        <v>nouhe mathlouthi</v>
      </c>
      <c r="C205" s="43" t="str">
        <f>IFERROR(__xludf.DUMMYFUNCTION("""COMPUTED_VALUE"""),"approved")</f>
        <v>approved</v>
      </c>
      <c r="D205" s="43" t="str">
        <f>IFERROR(__xludf.DUMMYFUNCTION("""COMPUTED_VALUE"""),"No")</f>
        <v>No</v>
      </c>
      <c r="E205" s="43" t="str">
        <f>IFERROR(__xludf.DUMMYFUNCTION("""COMPUTED_VALUE"""),"p_16b82ac3f173d44e812ae0fc75af6541502bed96@inbound.aiesec.org")</f>
        <v>p_16b82ac3f173d44e812ae0fc75af6541502bed96@inbound.aiesec.org</v>
      </c>
      <c r="F205" s="43">
        <f>IFERROR(__xludf.DUMMYFUNCTION("""COMPUTED_VALUE"""),5.593906E7)</f>
        <v>55939060</v>
      </c>
      <c r="G205" s="43" t="str">
        <f>IFERROR(__xludf.DUMMYFUNCTION("""COMPUTED_VALUE"""),"Tunisia")</f>
        <v>Tunisia</v>
      </c>
      <c r="H205" s="43" t="str">
        <f>IFERROR(__xludf.DUMMYFUNCTION("""COMPUTED_VALUE"""),"HADRUMET")</f>
        <v>HADRUMET</v>
      </c>
      <c r="I205" s="43" t="str">
        <f>IFERROR(__xludf.DUMMYFUNCTION("""COMPUTED_VALUE"""),"Turkey")</f>
        <v>Turkey</v>
      </c>
      <c r="J205" s="43" t="str">
        <f>IFERROR(__xludf.DUMMYFUNCTION("""COMPUTED_VALUE"""),"TRABZON")</f>
        <v>TRABZON</v>
      </c>
      <c r="K205" s="44" t="str">
        <f>IFERROR(__xludf.DUMMYFUNCTION("""COMPUTED_VALUE"""),"https://expa.aiesec.org/opportunities/1288711")</f>
        <v>https://expa.aiesec.org/opportunities/1288711</v>
      </c>
      <c r="L205" s="43" t="str">
        <f>IFERROR(__xludf.DUMMYFUNCTION("""COMPUTED_VALUE"""),"GV")</f>
        <v>GV</v>
      </c>
      <c r="M205" s="43" t="str">
        <f>IFERROR(__xludf.DUMMYFUNCTION("""COMPUTED_VALUE"""),"short")</f>
        <v>short</v>
      </c>
      <c r="N205" s="45">
        <f>IFERROR(__xludf.DUMMYFUNCTION("""COMPUTED_VALUE"""),44855.0)</f>
        <v>44855</v>
      </c>
      <c r="O205" s="45">
        <f>IFERROR(__xludf.DUMMYFUNCTION("""COMPUTED_VALUE"""),45109.0)</f>
        <v>45109</v>
      </c>
      <c r="P205" s="45">
        <f>IFERROR(__xludf.DUMMYFUNCTION("""COMPUTED_VALUE"""),45151.0)</f>
        <v>45151</v>
      </c>
      <c r="Q205" s="45"/>
      <c r="R205" s="45"/>
      <c r="S205" s="43"/>
      <c r="T205" s="43"/>
      <c r="U205" s="43" t="str">
        <f>IFERROR(__xludf.DUMMYFUNCTION("""COMPUTED_VALUE"""),"Global Classroom")</f>
        <v>Global Classroom</v>
      </c>
      <c r="V205" s="43" t="str">
        <f>IFERROR(__xludf.DUMMYFUNCTION("""COMPUTED_VALUE"""),"IHEC Sousse")</f>
        <v>IHEC Sousse</v>
      </c>
      <c r="W205" s="43" t="str">
        <f>IFERROR(__xludf.DUMMYFUNCTION("""COMPUTED_VALUE"""),"2022-10-21T16:26:05Z")</f>
        <v>2022-10-21T16:26:05Z</v>
      </c>
      <c r="X205" s="43"/>
      <c r="Y205" s="43"/>
      <c r="Z205" s="43"/>
    </row>
    <row r="206" hidden="1">
      <c r="A206" s="43" t="str">
        <f>IFERROR(__xludf.DUMMYFUNCTION("""COMPUTED_VALUE"""),"5130648_1288711")</f>
        <v>5130648_1288711</v>
      </c>
      <c r="B206" s="43" t="str">
        <f>IFERROR(__xludf.DUMMYFUNCTION("""COMPUTED_VALUE"""),"MOHAMMED TAHA SADAD LACHHEB")</f>
        <v>MOHAMMED TAHA SADAD LACHHEB</v>
      </c>
      <c r="C206" s="43" t="str">
        <f>IFERROR(__xludf.DUMMYFUNCTION("""COMPUTED_VALUE"""),"approved")</f>
        <v>approved</v>
      </c>
      <c r="D206" s="43" t="str">
        <f>IFERROR(__xludf.DUMMYFUNCTION("""COMPUTED_VALUE"""),"No")</f>
        <v>No</v>
      </c>
      <c r="E206" s="43" t="str">
        <f>IFERROR(__xludf.DUMMYFUNCTION("""COMPUTED_VALUE"""),"p_1b9e95e8050dda85f088a30b56364b23731ec135@inbound.aiesec.org")</f>
        <v>p_1b9e95e8050dda85f088a30b56364b23731ec135@inbound.aiesec.org</v>
      </c>
      <c r="F206" s="43">
        <f>IFERROR(__xludf.DUMMYFUNCTION("""COMPUTED_VALUE"""),6.00980486E8)</f>
        <v>600980486</v>
      </c>
      <c r="G206" s="43" t="str">
        <f>IFERROR(__xludf.DUMMYFUNCTION("""COMPUTED_VALUE"""),"Morocco")</f>
        <v>Morocco</v>
      </c>
      <c r="H206" s="43" t="str">
        <f>IFERROR(__xludf.DUMMYFUNCTION("""COMPUTED_VALUE"""),"Fez")</f>
        <v>Fez</v>
      </c>
      <c r="I206" s="43" t="str">
        <f>IFERROR(__xludf.DUMMYFUNCTION("""COMPUTED_VALUE"""),"Turkey")</f>
        <v>Turkey</v>
      </c>
      <c r="J206" s="43" t="str">
        <f>IFERROR(__xludf.DUMMYFUNCTION("""COMPUTED_VALUE"""),"TRABZON")</f>
        <v>TRABZON</v>
      </c>
      <c r="K206" s="44" t="str">
        <f>IFERROR(__xludf.DUMMYFUNCTION("""COMPUTED_VALUE"""),"https://expa.aiesec.org/opportunities/1288711")</f>
        <v>https://expa.aiesec.org/opportunities/1288711</v>
      </c>
      <c r="L206" s="43" t="str">
        <f>IFERROR(__xludf.DUMMYFUNCTION("""COMPUTED_VALUE"""),"GV")</f>
        <v>GV</v>
      </c>
      <c r="M206" s="43" t="str">
        <f>IFERROR(__xludf.DUMMYFUNCTION("""COMPUTED_VALUE"""),"short")</f>
        <v>short</v>
      </c>
      <c r="N206" s="45">
        <f>IFERROR(__xludf.DUMMYFUNCTION("""COMPUTED_VALUE"""),44857.0)</f>
        <v>44857</v>
      </c>
      <c r="O206" s="45">
        <f>IFERROR(__xludf.DUMMYFUNCTION("""COMPUTED_VALUE"""),45109.0)</f>
        <v>45109</v>
      </c>
      <c r="P206" s="45">
        <f>IFERROR(__xludf.DUMMYFUNCTION("""COMPUTED_VALUE"""),45151.0)</f>
        <v>45151</v>
      </c>
      <c r="Q206" s="45"/>
      <c r="R206" s="45"/>
      <c r="S206" s="43"/>
      <c r="T206" s="43"/>
      <c r="U206" s="43" t="str">
        <f>IFERROR(__xludf.DUMMYFUNCTION("""COMPUTED_VALUE"""),"Global Classroom")</f>
        <v>Global Classroom</v>
      </c>
      <c r="V206" s="43" t="str">
        <f>IFERROR(__xludf.DUMMYFUNCTION("""COMPUTED_VALUE"""),"Ecole Nationale De Commerce Et De Gestion Fès (ENCGF)")</f>
        <v>Ecole Nationale De Commerce Et De Gestion Fès (ENCGF)</v>
      </c>
      <c r="W206" s="43" t="str">
        <f>IFERROR(__xludf.DUMMYFUNCTION("""COMPUTED_VALUE"""),"2022-10-12T09:08:44Z")</f>
        <v>2022-10-12T09:08:44Z</v>
      </c>
      <c r="X206" s="43"/>
      <c r="Y206" s="43"/>
      <c r="Z206" s="43"/>
    </row>
    <row r="207" hidden="1">
      <c r="A207" s="43" t="str">
        <f>IFERROR(__xludf.DUMMYFUNCTION("""COMPUTED_VALUE"""),"4035621_1287925")</f>
        <v>4035621_1287925</v>
      </c>
      <c r="B207" s="43" t="str">
        <f>IFERROR(__xludf.DUMMYFUNCTION("""COMPUTED_VALUE"""),"zahra didi")</f>
        <v>zahra didi</v>
      </c>
      <c r="C207" s="43" t="str">
        <f>IFERROR(__xludf.DUMMYFUNCTION("""COMPUTED_VALUE"""),"finished")</f>
        <v>finished</v>
      </c>
      <c r="D207" s="43" t="str">
        <f>IFERROR(__xludf.DUMMYFUNCTION("""COMPUTED_VALUE"""),"No")</f>
        <v>No</v>
      </c>
      <c r="E207" s="43" t="str">
        <f>IFERROR(__xludf.DUMMYFUNCTION("""COMPUTED_VALUE"""),"p_ceaf002c2f6d078c704814ecc649307d128f3078@inbound.aiesec.org")</f>
        <v>p_ceaf002c2f6d078c704814ecc649307d128f3078@inbound.aiesec.org</v>
      </c>
      <c r="F207" s="43">
        <f>IFERROR(__xludf.DUMMYFUNCTION("""COMPUTED_VALUE"""),7.06018796E8)</f>
        <v>706018796</v>
      </c>
      <c r="G207" s="43" t="str">
        <f>IFERROR(__xludf.DUMMYFUNCTION("""COMPUTED_VALUE"""),"Morocco")</f>
        <v>Morocco</v>
      </c>
      <c r="H207" s="43" t="str">
        <f>IFERROR(__xludf.DUMMYFUNCTION("""COMPUTED_VALUE"""),"Morocco (MC)")</f>
        <v>Morocco (MC)</v>
      </c>
      <c r="I207" s="43" t="str">
        <f>IFERROR(__xludf.DUMMYFUNCTION("""COMPUTED_VALUE"""),"Turkey")</f>
        <v>Turkey</v>
      </c>
      <c r="J207" s="43" t="str">
        <f>IFERROR(__xludf.DUMMYFUNCTION("""COMPUTED_VALUE"""),"DENIZLI")</f>
        <v>DENIZLI</v>
      </c>
      <c r="K207" s="44" t="str">
        <f>IFERROR(__xludf.DUMMYFUNCTION("""COMPUTED_VALUE"""),"https://expa.aiesec.org/opportunities/1287925")</f>
        <v>https://expa.aiesec.org/opportunities/1287925</v>
      </c>
      <c r="L207" s="43" t="str">
        <f>IFERROR(__xludf.DUMMYFUNCTION("""COMPUTED_VALUE"""),"GV")</f>
        <v>GV</v>
      </c>
      <c r="M207" s="43" t="str">
        <f>IFERROR(__xludf.DUMMYFUNCTION("""COMPUTED_VALUE"""),"short")</f>
        <v>short</v>
      </c>
      <c r="N207" s="45">
        <f>IFERROR(__xludf.DUMMYFUNCTION("""COMPUTED_VALUE"""),44859.0)</f>
        <v>44859</v>
      </c>
      <c r="O207" s="45">
        <f>IFERROR(__xludf.DUMMYFUNCTION("""COMPUTED_VALUE"""),44851.0)</f>
        <v>44851</v>
      </c>
      <c r="P207" s="45">
        <f>IFERROR(__xludf.DUMMYFUNCTION("""COMPUTED_VALUE"""),44893.0)</f>
        <v>44893</v>
      </c>
      <c r="Q207" s="45">
        <f>IFERROR(__xludf.DUMMYFUNCTION("""COMPUTED_VALUE"""),44868.0)</f>
        <v>44868</v>
      </c>
      <c r="R207" s="45">
        <f>IFERROR(__xludf.DUMMYFUNCTION("""COMPUTED_VALUE"""),44900.0)</f>
        <v>44900</v>
      </c>
      <c r="S207" s="43"/>
      <c r="T207" s="43"/>
      <c r="U207" s="43" t="str">
        <f>IFERROR(__xludf.DUMMYFUNCTION("""COMPUTED_VALUE"""),"Youth 4 Impact")</f>
        <v>Youth 4 Impact</v>
      </c>
      <c r="V207" s="43" t="str">
        <f>IFERROR(__xludf.DUMMYFUNCTION("""COMPUTED_VALUE"""),"Other-MARRAKECH")</f>
        <v>Other-MARRAKECH</v>
      </c>
      <c r="W207" s="43" t="str">
        <f>IFERROR(__xludf.DUMMYFUNCTION("""COMPUTED_VALUE"""),"2019-11-23T10:29:45Z")</f>
        <v>2019-11-23T10:29:45Z</v>
      </c>
      <c r="X207" s="43"/>
      <c r="Y207" s="43"/>
      <c r="Z207" s="43"/>
    </row>
    <row r="208">
      <c r="A208" s="43" t="str">
        <f>IFERROR(__xludf.DUMMYFUNCTION("""COMPUTED_VALUE"""),"5141705_1289347")</f>
        <v>5141705_1289347</v>
      </c>
      <c r="B208" s="43" t="str">
        <f>IFERROR(__xludf.DUMMYFUNCTION("""COMPUTED_VALUE"""),"Ayoub Dhaouadi")</f>
        <v>Ayoub Dhaouadi</v>
      </c>
      <c r="C208" s="43" t="str">
        <f>IFERROR(__xludf.DUMMYFUNCTION("""COMPUTED_VALUE"""),"approved")</f>
        <v>approved</v>
      </c>
      <c r="D208" s="43" t="str">
        <f>IFERROR(__xludf.DUMMYFUNCTION("""COMPUTED_VALUE"""),"No")</f>
        <v>No</v>
      </c>
      <c r="E208" s="43" t="str">
        <f>IFERROR(__xludf.DUMMYFUNCTION("""COMPUTED_VALUE"""),"p_31551f77179ba1e7648f630e4914a849498581a0@inbound.aiesec.org")</f>
        <v>p_31551f77179ba1e7648f630e4914a849498581a0@inbound.aiesec.org</v>
      </c>
      <c r="F208" s="43">
        <f>IFERROR(__xludf.DUMMYFUNCTION("""COMPUTED_VALUE"""),5.3003253E7)</f>
        <v>53003253</v>
      </c>
      <c r="G208" s="43" t="str">
        <f>IFERROR(__xludf.DUMMYFUNCTION("""COMPUTED_VALUE"""),"Tunisia")</f>
        <v>Tunisia</v>
      </c>
      <c r="H208" s="43" t="str">
        <f>IFERROR(__xludf.DUMMYFUNCTION("""COMPUTED_VALUE"""),"HADRUMET")</f>
        <v>HADRUMET</v>
      </c>
      <c r="I208" s="43" t="str">
        <f>IFERROR(__xludf.DUMMYFUNCTION("""COMPUTED_VALUE"""),"Turkey")</f>
        <v>Turkey</v>
      </c>
      <c r="J208" s="43" t="str">
        <f>IFERROR(__xludf.DUMMYFUNCTION("""COMPUTED_VALUE"""),"ADANA")</f>
        <v>ADANA</v>
      </c>
      <c r="K208" s="44" t="str">
        <f>IFERROR(__xludf.DUMMYFUNCTION("""COMPUTED_VALUE"""),"https://expa.aiesec.org/opportunities/1289347")</f>
        <v>https://expa.aiesec.org/opportunities/1289347</v>
      </c>
      <c r="L208" s="43" t="str">
        <f>IFERROR(__xludf.DUMMYFUNCTION("""COMPUTED_VALUE"""),"GV")</f>
        <v>GV</v>
      </c>
      <c r="M208" s="43" t="str">
        <f>IFERROR(__xludf.DUMMYFUNCTION("""COMPUTED_VALUE"""),"short")</f>
        <v>short</v>
      </c>
      <c r="N208" s="45">
        <f>IFERROR(__xludf.DUMMYFUNCTION("""COMPUTED_VALUE"""),44861.0)</f>
        <v>44861</v>
      </c>
      <c r="O208" s="45">
        <f>IFERROR(__xludf.DUMMYFUNCTION("""COMPUTED_VALUE"""),45103.0)</f>
        <v>45103</v>
      </c>
      <c r="P208" s="45">
        <f>IFERROR(__xludf.DUMMYFUNCTION("""COMPUTED_VALUE"""),45149.0)</f>
        <v>45149</v>
      </c>
      <c r="Q208" s="45"/>
      <c r="R208" s="45"/>
      <c r="S208" s="43"/>
      <c r="T208" s="43"/>
      <c r="U208" s="43" t="str">
        <f>IFERROR(__xludf.DUMMYFUNCTION("""COMPUTED_VALUE"""),"Global Classroom")</f>
        <v>Global Classroom</v>
      </c>
      <c r="V208" s="43" t="str">
        <f>IFERROR(__xludf.DUMMYFUNCTION("""COMPUTED_VALUE"""),"ESSTHS")</f>
        <v>ESSTHS</v>
      </c>
      <c r="W208" s="43" t="str">
        <f>IFERROR(__xludf.DUMMYFUNCTION("""COMPUTED_VALUE"""),"2022-10-27T17:33:27Z")</f>
        <v>2022-10-27T17:33:27Z</v>
      </c>
      <c r="X208" s="43"/>
      <c r="Y208" s="43"/>
      <c r="Z208" s="43"/>
    </row>
    <row r="209" hidden="1">
      <c r="A209" s="43" t="str">
        <f>IFERROR(__xludf.DUMMYFUNCTION("""COMPUTED_VALUE"""),"4004319_1285681")</f>
        <v>4004319_1285681</v>
      </c>
      <c r="B209" s="43" t="str">
        <f>IFERROR(__xludf.DUMMYFUNCTION("""COMPUTED_VALUE"""),"Lidia Machado Gomes")</f>
        <v>Lidia Machado Gomes</v>
      </c>
      <c r="C209" s="43" t="str">
        <f>IFERROR(__xludf.DUMMYFUNCTION("""COMPUTED_VALUE"""),"approved")</f>
        <v>approved</v>
      </c>
      <c r="D209" s="43" t="str">
        <f>IFERROR(__xludf.DUMMYFUNCTION("""COMPUTED_VALUE"""),"No")</f>
        <v>No</v>
      </c>
      <c r="E209" s="43" t="str">
        <f>IFERROR(__xludf.DUMMYFUNCTION("""COMPUTED_VALUE"""),"p_b5cf361cf2f92a909e205d987f2ea9d3c6a2680f@inbound.aiesec.org")</f>
        <v>p_b5cf361cf2f92a909e205d987f2ea9d3c6a2680f@inbound.aiesec.org</v>
      </c>
      <c r="F209" s="43">
        <f>IFERROR(__xludf.DUMMYFUNCTION("""COMPUTED_VALUE"""),3.4998686597E10)</f>
        <v>34998686597</v>
      </c>
      <c r="G209" s="43" t="str">
        <f>IFERROR(__xludf.DUMMYFUNCTION("""COMPUTED_VALUE"""),"Brazil")</f>
        <v>Brazil</v>
      </c>
      <c r="H209" s="43" t="str">
        <f>IFERROR(__xludf.DUMMYFUNCTION("""COMPUTED_VALUE"""),"UBERLÂNDIA")</f>
        <v>UBERLÂNDIA</v>
      </c>
      <c r="I209" s="43" t="str">
        <f>IFERROR(__xludf.DUMMYFUNCTION("""COMPUTED_VALUE"""),"Turkey")</f>
        <v>Turkey</v>
      </c>
      <c r="J209" s="43" t="str">
        <f>IFERROR(__xludf.DUMMYFUNCTION("""COMPUTED_VALUE"""),"DENIZLI")</f>
        <v>DENIZLI</v>
      </c>
      <c r="K209" s="44" t="str">
        <f>IFERROR(__xludf.DUMMYFUNCTION("""COMPUTED_VALUE"""),"https://expa.aiesec.org/opportunities/1285681")</f>
        <v>https://expa.aiesec.org/opportunities/1285681</v>
      </c>
      <c r="L209" s="43" t="str">
        <f>IFERROR(__xludf.DUMMYFUNCTION("""COMPUTED_VALUE"""),"GV")</f>
        <v>GV</v>
      </c>
      <c r="M209" s="43" t="str">
        <f>IFERROR(__xludf.DUMMYFUNCTION("""COMPUTED_VALUE"""),"short")</f>
        <v>short</v>
      </c>
      <c r="N209" s="45">
        <f>IFERROR(__xludf.DUMMYFUNCTION("""COMPUTED_VALUE"""),44862.0)</f>
        <v>44862</v>
      </c>
      <c r="O209" s="45">
        <f>IFERROR(__xludf.DUMMYFUNCTION("""COMPUTED_VALUE"""),45117.0)</f>
        <v>45117</v>
      </c>
      <c r="P209" s="45">
        <f>IFERROR(__xludf.DUMMYFUNCTION("""COMPUTED_VALUE"""),45159.0)</f>
        <v>45159</v>
      </c>
      <c r="Q209" s="45"/>
      <c r="R209" s="45"/>
      <c r="S209" s="43"/>
      <c r="T209" s="43"/>
      <c r="U209" s="43" t="str">
        <f>IFERROR(__xludf.DUMMYFUNCTION("""COMPUTED_VALUE"""),"Equify")</f>
        <v>Equify</v>
      </c>
      <c r="V209" s="43" t="str">
        <f>IFERROR(__xludf.DUMMYFUNCTION("""COMPUTED_VALUE"""),"Uberlândia")</f>
        <v>Uberlândia</v>
      </c>
      <c r="W209" s="43" t="str">
        <f>IFERROR(__xludf.DUMMYFUNCTION("""COMPUTED_VALUE"""),"2019-11-16T22:20:46Z")</f>
        <v>2019-11-16T22:20:46Z</v>
      </c>
      <c r="X209" s="43"/>
      <c r="Y209" s="43"/>
      <c r="Z209" s="43"/>
    </row>
    <row r="210" hidden="1">
      <c r="A210" s="43" t="str">
        <f>IFERROR(__xludf.DUMMYFUNCTION("""COMPUTED_VALUE"""),"4582453_1288995")</f>
        <v>4582453_1288995</v>
      </c>
      <c r="B210" s="43" t="str">
        <f>IFERROR(__xludf.DUMMYFUNCTION("""COMPUTED_VALUE"""),"ons yahyaoui")</f>
        <v>ons yahyaoui</v>
      </c>
      <c r="C210" s="43" t="str">
        <f>IFERROR(__xludf.DUMMYFUNCTION("""COMPUTED_VALUE"""),"completed")</f>
        <v>completed</v>
      </c>
      <c r="D210" s="43" t="str">
        <f>IFERROR(__xludf.DUMMYFUNCTION("""COMPUTED_VALUE"""),"No")</f>
        <v>No</v>
      </c>
      <c r="E210" s="43" t="str">
        <f>IFERROR(__xludf.DUMMYFUNCTION("""COMPUTED_VALUE"""),"p_fc6f93148f59b7ce837b87352a8d0e914dd9ad21@inbound.aiesec.org")</f>
        <v>p_fc6f93148f59b7ce837b87352a8d0e914dd9ad21@inbound.aiesec.org</v>
      </c>
      <c r="F210" s="43">
        <f>IFERROR(__xludf.DUMMYFUNCTION("""COMPUTED_VALUE"""),5.3849754E7)</f>
        <v>53849754</v>
      </c>
      <c r="G210" s="43" t="str">
        <f>IFERROR(__xludf.DUMMYFUNCTION("""COMPUTED_VALUE"""),"Tunisia")</f>
        <v>Tunisia</v>
      </c>
      <c r="H210" s="43" t="str">
        <f>IFERROR(__xludf.DUMMYFUNCTION("""COMPUTED_VALUE"""),"NABEL")</f>
        <v>NABEL</v>
      </c>
      <c r="I210" s="43" t="str">
        <f>IFERROR(__xludf.DUMMYFUNCTION("""COMPUTED_VALUE"""),"Turkey")</f>
        <v>Turkey</v>
      </c>
      <c r="J210" s="43" t="str">
        <f>IFERROR(__xludf.DUMMYFUNCTION("""COMPUTED_VALUE"""),"ISTANBUL WEST")</f>
        <v>ISTANBUL WEST</v>
      </c>
      <c r="K210" s="44" t="str">
        <f>IFERROR(__xludf.DUMMYFUNCTION("""COMPUTED_VALUE"""),"https://expa.aiesec.org/opportunities/1288995")</f>
        <v>https://expa.aiesec.org/opportunities/1288995</v>
      </c>
      <c r="L210" s="43" t="str">
        <f>IFERROR(__xludf.DUMMYFUNCTION("""COMPUTED_VALUE"""),"GV")</f>
        <v>GV</v>
      </c>
      <c r="M210" s="43" t="str">
        <f>IFERROR(__xludf.DUMMYFUNCTION("""COMPUTED_VALUE"""),"short")</f>
        <v>short</v>
      </c>
      <c r="N210" s="45">
        <f>IFERROR(__xludf.DUMMYFUNCTION("""COMPUTED_VALUE"""),44863.0)</f>
        <v>44863</v>
      </c>
      <c r="O210" s="45">
        <f>IFERROR(__xludf.DUMMYFUNCTION("""COMPUTED_VALUE"""),44935.0)</f>
        <v>44935</v>
      </c>
      <c r="P210" s="45">
        <f>IFERROR(__xludf.DUMMYFUNCTION("""COMPUTED_VALUE"""),44977.0)</f>
        <v>44977</v>
      </c>
      <c r="Q210" s="45">
        <f>IFERROR(__xludf.DUMMYFUNCTION("""COMPUTED_VALUE"""),44936.0)</f>
        <v>44936</v>
      </c>
      <c r="R210" s="45">
        <f>IFERROR(__xludf.DUMMYFUNCTION("""COMPUTED_VALUE"""),44977.0)</f>
        <v>44977</v>
      </c>
      <c r="S210" s="43"/>
      <c r="T210" s="43"/>
      <c r="U210" s="43" t="str">
        <f>IFERROR(__xludf.DUMMYFUNCTION("""COMPUTED_VALUE"""),"Global Classroom")</f>
        <v>Global Classroom</v>
      </c>
      <c r="V210" s="43" t="str">
        <f>IFERROR(__xludf.DUMMYFUNCTION("""COMPUTED_VALUE"""),"ISET Nabel")</f>
        <v>ISET Nabel</v>
      </c>
      <c r="W210" s="43" t="str">
        <f>IFERROR(__xludf.DUMMYFUNCTION("""COMPUTED_VALUE"""),"2021-03-17T21:28:11Z")</f>
        <v>2021-03-17T21:28:11Z</v>
      </c>
      <c r="X210" s="43"/>
      <c r="Y210" s="43"/>
      <c r="Z210" s="43"/>
    </row>
    <row r="211" hidden="1">
      <c r="A211" s="43" t="str">
        <f>IFERROR(__xludf.DUMMYFUNCTION("""COMPUTED_VALUE"""),"5142204_1288280")</f>
        <v>5142204_1288280</v>
      </c>
      <c r="B211" s="43" t="str">
        <f>IFERROR(__xludf.DUMMYFUNCTION("""COMPUTED_VALUE"""),"Hamza Saeed")</f>
        <v>Hamza Saeed</v>
      </c>
      <c r="C211" s="43" t="str">
        <f>IFERROR(__xludf.DUMMYFUNCTION("""COMPUTED_VALUE"""),"realization_broken")</f>
        <v>realization_broken</v>
      </c>
      <c r="D211" s="43" t="str">
        <f>IFERROR(__xludf.DUMMYFUNCTION("""COMPUTED_VALUE"""),"No")</f>
        <v>No</v>
      </c>
      <c r="E211" s="43" t="str">
        <f>IFERROR(__xludf.DUMMYFUNCTION("""COMPUTED_VALUE"""),"p_8ac9b254bbd35219f1a5b29066d0d4d078121c9a@inbound.aiesec.org")</f>
        <v>p_8ac9b254bbd35219f1a5b29066d0d4d078121c9a@inbound.aiesec.org</v>
      </c>
      <c r="F211" s="43">
        <f>IFERROR(__xludf.DUMMYFUNCTION("""COMPUTED_VALUE"""),3.349915915E9)</f>
        <v>3349915915</v>
      </c>
      <c r="G211" s="43" t="str">
        <f>IFERROR(__xludf.DUMMYFUNCTION("""COMPUTED_VALUE"""),"Pakistan")</f>
        <v>Pakistan</v>
      </c>
      <c r="H211" s="43" t="str">
        <f>IFERROR(__xludf.DUMMYFUNCTION("""COMPUTED_VALUE"""),"Islamabad")</f>
        <v>Islamabad</v>
      </c>
      <c r="I211" s="43" t="str">
        <f>IFERROR(__xludf.DUMMYFUNCTION("""COMPUTED_VALUE"""),"Turkey")</f>
        <v>Turkey</v>
      </c>
      <c r="J211" s="43" t="str">
        <f>IFERROR(__xludf.DUMMYFUNCTION("""COMPUTED_VALUE"""),"İZMİR")</f>
        <v>İZMİR</v>
      </c>
      <c r="K211" s="44" t="str">
        <f>IFERROR(__xludf.DUMMYFUNCTION("""COMPUTED_VALUE"""),"https://expa.aiesec.org/opportunities/1288280")</f>
        <v>https://expa.aiesec.org/opportunities/1288280</v>
      </c>
      <c r="L211" s="43" t="str">
        <f>IFERROR(__xludf.DUMMYFUNCTION("""COMPUTED_VALUE"""),"GV")</f>
        <v>GV</v>
      </c>
      <c r="M211" s="43" t="str">
        <f>IFERROR(__xludf.DUMMYFUNCTION("""COMPUTED_VALUE"""),"short")</f>
        <v>short</v>
      </c>
      <c r="N211" s="45">
        <f>IFERROR(__xludf.DUMMYFUNCTION("""COMPUTED_VALUE"""),44863.0)</f>
        <v>44863</v>
      </c>
      <c r="O211" s="45">
        <f>IFERROR(__xludf.DUMMYFUNCTION("""COMPUTED_VALUE"""),44983.0)</f>
        <v>44983</v>
      </c>
      <c r="P211" s="45">
        <f>IFERROR(__xludf.DUMMYFUNCTION("""COMPUTED_VALUE"""),45025.0)</f>
        <v>45025</v>
      </c>
      <c r="Q211" s="45"/>
      <c r="R211" s="45"/>
      <c r="S211" s="43"/>
      <c r="T211" s="43"/>
      <c r="U211" s="43" t="str">
        <f>IFERROR(__xludf.DUMMYFUNCTION("""COMPUTED_VALUE"""),"Global Classroom")</f>
        <v>Global Classroom</v>
      </c>
      <c r="V211" s="43" t="str">
        <f>IFERROR(__xludf.DUMMYFUNCTION("""COMPUTED_VALUE"""),"Islamabad - Other")</f>
        <v>Islamabad - Other</v>
      </c>
      <c r="W211" s="43" t="str">
        <f>IFERROR(__xludf.DUMMYFUNCTION("""COMPUTED_VALUE"""),"2022-10-28T16:28:38Z")</f>
        <v>2022-10-28T16:28:38Z</v>
      </c>
      <c r="X211" s="43"/>
      <c r="Y211" s="43"/>
      <c r="Z211" s="43"/>
    </row>
    <row r="212" hidden="1">
      <c r="A212" s="43" t="str">
        <f>IFERROR(__xludf.DUMMYFUNCTION("""COMPUTED_VALUE"""),"5137027_1288711")</f>
        <v>5137027_1288711</v>
      </c>
      <c r="B212" s="43" t="str">
        <f>IFERROR(__xludf.DUMMYFUNCTION("""COMPUTED_VALUE"""),"Mereke Kumarova")</f>
        <v>Mereke Kumarova</v>
      </c>
      <c r="C212" s="43" t="str">
        <f>IFERROR(__xludf.DUMMYFUNCTION("""COMPUTED_VALUE"""),"completed")</f>
        <v>completed</v>
      </c>
      <c r="D212" s="43" t="str">
        <f>IFERROR(__xludf.DUMMYFUNCTION("""COMPUTED_VALUE"""),"No")</f>
        <v>No</v>
      </c>
      <c r="E212" s="43" t="str">
        <f>IFERROR(__xludf.DUMMYFUNCTION("""COMPUTED_VALUE"""),"p_73af28a07664e63e6bd4ea72fab572d5baed5eed@inbound.aiesec.org")</f>
        <v>p_73af28a07664e63e6bd4ea72fab572d5baed5eed@inbound.aiesec.org</v>
      </c>
      <c r="F212" s="43">
        <f>IFERROR(__xludf.DUMMYFUNCTION("""COMPUTED_VALUE"""),7.025755941E9)</f>
        <v>7025755941</v>
      </c>
      <c r="G212" s="43" t="str">
        <f>IFERROR(__xludf.DUMMYFUNCTION("""COMPUTED_VALUE"""),"Kazakhstan")</f>
        <v>Kazakhstan</v>
      </c>
      <c r="H212" s="43" t="str">
        <f>IFERROR(__xludf.DUMMYFUNCTION("""COMPUTED_VALUE"""),"Astana")</f>
        <v>Astana</v>
      </c>
      <c r="I212" s="43" t="str">
        <f>IFERROR(__xludf.DUMMYFUNCTION("""COMPUTED_VALUE"""),"Turkey")</f>
        <v>Turkey</v>
      </c>
      <c r="J212" s="43" t="str">
        <f>IFERROR(__xludf.DUMMYFUNCTION("""COMPUTED_VALUE"""),"TRABZON")</f>
        <v>TRABZON</v>
      </c>
      <c r="K212" s="44" t="str">
        <f>IFERROR(__xludf.DUMMYFUNCTION("""COMPUTED_VALUE"""),"https://expa.aiesec.org/opportunities/1288711")</f>
        <v>https://expa.aiesec.org/opportunities/1288711</v>
      </c>
      <c r="L212" s="43" t="str">
        <f>IFERROR(__xludf.DUMMYFUNCTION("""COMPUTED_VALUE"""),"GV")</f>
        <v>GV</v>
      </c>
      <c r="M212" s="43" t="str">
        <f>IFERROR(__xludf.DUMMYFUNCTION("""COMPUTED_VALUE"""),"short")</f>
        <v>short</v>
      </c>
      <c r="N212" s="45">
        <f>IFERROR(__xludf.DUMMYFUNCTION("""COMPUTED_VALUE"""),44863.0)</f>
        <v>44863</v>
      </c>
      <c r="O212" s="45">
        <f>IFERROR(__xludf.DUMMYFUNCTION("""COMPUTED_VALUE"""),45109.0)</f>
        <v>45109</v>
      </c>
      <c r="P212" s="45">
        <f>IFERROR(__xludf.DUMMYFUNCTION("""COMPUTED_VALUE"""),45151.0)</f>
        <v>45151</v>
      </c>
      <c r="Q212" s="45">
        <f>IFERROR(__xludf.DUMMYFUNCTION("""COMPUTED_VALUE"""),45106.0)</f>
        <v>45106</v>
      </c>
      <c r="R212" s="45">
        <f>IFERROR(__xludf.DUMMYFUNCTION("""COMPUTED_VALUE"""),45151.0)</f>
        <v>45151</v>
      </c>
      <c r="S212" s="43"/>
      <c r="T212" s="43"/>
      <c r="U212" s="43" t="str">
        <f>IFERROR(__xludf.DUMMYFUNCTION("""COMPUTED_VALUE"""),"Global Classroom")</f>
        <v>Global Classroom</v>
      </c>
      <c r="V212" s="43" t="str">
        <f>IFERROR(__xludf.DUMMYFUNCTION("""COMPUTED_VALUE"""),"Ust'-Kamenogorsk")</f>
        <v>Ust'-Kamenogorsk</v>
      </c>
      <c r="W212" s="43" t="str">
        <f>IFERROR(__xludf.DUMMYFUNCTION("""COMPUTED_VALUE"""),"2022-10-19T17:44:37Z")</f>
        <v>2022-10-19T17:44:37Z</v>
      </c>
      <c r="X212" s="43"/>
      <c r="Y212" s="43"/>
      <c r="Z212" s="43"/>
    </row>
    <row r="213" hidden="1">
      <c r="A213" s="43" t="str">
        <f>IFERROR(__xludf.DUMMYFUNCTION("""COMPUTED_VALUE"""),"5137033_1288711")</f>
        <v>5137033_1288711</v>
      </c>
      <c r="B213" s="43" t="str">
        <f>IFERROR(__xludf.DUMMYFUNCTION("""COMPUTED_VALUE"""),"Aktoty Niyazbekova")</f>
        <v>Aktoty Niyazbekova</v>
      </c>
      <c r="C213" s="43" t="str">
        <f>IFERROR(__xludf.DUMMYFUNCTION("""COMPUTED_VALUE"""),"completed")</f>
        <v>completed</v>
      </c>
      <c r="D213" s="43" t="str">
        <f>IFERROR(__xludf.DUMMYFUNCTION("""COMPUTED_VALUE"""),"No")</f>
        <v>No</v>
      </c>
      <c r="E213" s="43" t="str">
        <f>IFERROR(__xludf.DUMMYFUNCTION("""COMPUTED_VALUE"""),"p_9d46d1c0de70427c7f5df35b73c9cee7cecf5614@inbound.aiesec.org")</f>
        <v>p_9d46d1c0de70427c7f5df35b73c9cee7cecf5614@inbound.aiesec.org</v>
      </c>
      <c r="F213" s="43">
        <f>IFERROR(__xludf.DUMMYFUNCTION("""COMPUTED_VALUE"""),7.761409158E9)</f>
        <v>7761409158</v>
      </c>
      <c r="G213" s="43" t="str">
        <f>IFERROR(__xludf.DUMMYFUNCTION("""COMPUTED_VALUE"""),"Kazakhstan")</f>
        <v>Kazakhstan</v>
      </c>
      <c r="H213" s="43" t="str">
        <f>IFERROR(__xludf.DUMMYFUNCTION("""COMPUTED_VALUE"""),"Astana")</f>
        <v>Astana</v>
      </c>
      <c r="I213" s="43" t="str">
        <f>IFERROR(__xludf.DUMMYFUNCTION("""COMPUTED_VALUE"""),"Turkey")</f>
        <v>Turkey</v>
      </c>
      <c r="J213" s="43" t="str">
        <f>IFERROR(__xludf.DUMMYFUNCTION("""COMPUTED_VALUE"""),"TRABZON")</f>
        <v>TRABZON</v>
      </c>
      <c r="K213" s="44" t="str">
        <f>IFERROR(__xludf.DUMMYFUNCTION("""COMPUTED_VALUE"""),"https://expa.aiesec.org/opportunities/1288711")</f>
        <v>https://expa.aiesec.org/opportunities/1288711</v>
      </c>
      <c r="L213" s="43" t="str">
        <f>IFERROR(__xludf.DUMMYFUNCTION("""COMPUTED_VALUE"""),"GV")</f>
        <v>GV</v>
      </c>
      <c r="M213" s="43" t="str">
        <f>IFERROR(__xludf.DUMMYFUNCTION("""COMPUTED_VALUE"""),"short")</f>
        <v>short</v>
      </c>
      <c r="N213" s="45">
        <f>IFERROR(__xludf.DUMMYFUNCTION("""COMPUTED_VALUE"""),44863.0)</f>
        <v>44863</v>
      </c>
      <c r="O213" s="45">
        <f>IFERROR(__xludf.DUMMYFUNCTION("""COMPUTED_VALUE"""),45109.0)</f>
        <v>45109</v>
      </c>
      <c r="P213" s="45">
        <f>IFERROR(__xludf.DUMMYFUNCTION("""COMPUTED_VALUE"""),45151.0)</f>
        <v>45151</v>
      </c>
      <c r="Q213" s="45">
        <f>IFERROR(__xludf.DUMMYFUNCTION("""COMPUTED_VALUE"""),45106.0)</f>
        <v>45106</v>
      </c>
      <c r="R213" s="45">
        <f>IFERROR(__xludf.DUMMYFUNCTION("""COMPUTED_VALUE"""),45151.0)</f>
        <v>45151</v>
      </c>
      <c r="S213" s="43"/>
      <c r="T213" s="43"/>
      <c r="U213" s="43" t="str">
        <f>IFERROR(__xludf.DUMMYFUNCTION("""COMPUTED_VALUE"""),"Global Classroom")</f>
        <v>Global Classroom</v>
      </c>
      <c r="V213" s="43" t="str">
        <f>IFERROR(__xludf.DUMMYFUNCTION("""COMPUTED_VALUE"""),"Ust'-Kamenogorsk")</f>
        <v>Ust'-Kamenogorsk</v>
      </c>
      <c r="W213" s="43" t="str">
        <f>IFERROR(__xludf.DUMMYFUNCTION("""COMPUTED_VALUE"""),"2022-10-19T17:49:52Z")</f>
        <v>2022-10-19T17:49:52Z</v>
      </c>
      <c r="X213" s="43"/>
      <c r="Y213" s="43"/>
      <c r="Z213" s="43"/>
    </row>
    <row r="214" hidden="1">
      <c r="A214" s="43" t="str">
        <f>IFERROR(__xludf.DUMMYFUNCTION("""COMPUTED_VALUE"""),"5143899_1283483")</f>
        <v>5143899_1283483</v>
      </c>
      <c r="B214" s="43" t="str">
        <f>IFERROR(__xludf.DUMMYFUNCTION("""COMPUTED_VALUE"""),"ameni hwimdi")</f>
        <v>ameni hwimdi</v>
      </c>
      <c r="C214" s="43" t="str">
        <f>IFERROR(__xludf.DUMMYFUNCTION("""COMPUTED_VALUE"""),"approved")</f>
        <v>approved</v>
      </c>
      <c r="D214" s="43" t="str">
        <f>IFERROR(__xludf.DUMMYFUNCTION("""COMPUTED_VALUE"""),"No")</f>
        <v>No</v>
      </c>
      <c r="E214" s="43" t="str">
        <f>IFERROR(__xludf.DUMMYFUNCTION("""COMPUTED_VALUE"""),"p_d0e40c346cd96343d8cdb74b0bda4c04db973808@inbound.aiesec.org")</f>
        <v>p_d0e40c346cd96343d8cdb74b0bda4c04db973808@inbound.aiesec.org</v>
      </c>
      <c r="F214" s="43">
        <f>IFERROR(__xludf.DUMMYFUNCTION("""COMPUTED_VALUE"""),2.6426455E7)</f>
        <v>26426455</v>
      </c>
      <c r="G214" s="43" t="str">
        <f>IFERROR(__xludf.DUMMYFUNCTION("""COMPUTED_VALUE"""),"Tunisia")</f>
        <v>Tunisia</v>
      </c>
      <c r="H214" s="43" t="str">
        <f>IFERROR(__xludf.DUMMYFUNCTION("""COMPUTED_VALUE"""),"HADRUMET")</f>
        <v>HADRUMET</v>
      </c>
      <c r="I214" s="43" t="str">
        <f>IFERROR(__xludf.DUMMYFUNCTION("""COMPUTED_VALUE"""),"Turkey")</f>
        <v>Turkey</v>
      </c>
      <c r="J214" s="43" t="str">
        <f>IFERROR(__xludf.DUMMYFUNCTION("""COMPUTED_VALUE"""),"KONYA")</f>
        <v>KONYA</v>
      </c>
      <c r="K214" s="44" t="str">
        <f>IFERROR(__xludf.DUMMYFUNCTION("""COMPUTED_VALUE"""),"https://expa.aiesec.org/opportunities/1283483")</f>
        <v>https://expa.aiesec.org/opportunities/1283483</v>
      </c>
      <c r="L214" s="43" t="str">
        <f>IFERROR(__xludf.DUMMYFUNCTION("""COMPUTED_VALUE"""),"GV")</f>
        <v>GV</v>
      </c>
      <c r="M214" s="43" t="str">
        <f>IFERROR(__xludf.DUMMYFUNCTION("""COMPUTED_VALUE"""),"short")</f>
        <v>short</v>
      </c>
      <c r="N214" s="45">
        <f>IFERROR(__xludf.DUMMYFUNCTION("""COMPUTED_VALUE"""),44865.0)</f>
        <v>44865</v>
      </c>
      <c r="O214" s="45">
        <f>IFERROR(__xludf.DUMMYFUNCTION("""COMPUTED_VALUE"""),45117.0)</f>
        <v>45117</v>
      </c>
      <c r="P214" s="45">
        <f>IFERROR(__xludf.DUMMYFUNCTION("""COMPUTED_VALUE"""),45159.0)</f>
        <v>45159</v>
      </c>
      <c r="Q214" s="45"/>
      <c r="R214" s="45"/>
      <c r="S214" s="43"/>
      <c r="T214" s="43"/>
      <c r="U214" s="43" t="str">
        <f>IFERROR(__xludf.DUMMYFUNCTION("""COMPUTED_VALUE"""),"Global Classroom")</f>
        <v>Global Classroom</v>
      </c>
      <c r="V214" s="43" t="str">
        <f>IFERROR(__xludf.DUMMYFUNCTION("""COMPUTED_VALUE"""),"FSEG Sousse")</f>
        <v>FSEG Sousse</v>
      </c>
      <c r="W214" s="43" t="str">
        <f>IFERROR(__xludf.DUMMYFUNCTION("""COMPUTED_VALUE"""),"2022-10-31T17:55:32Z")</f>
        <v>2022-10-31T17:55:32Z</v>
      </c>
      <c r="X214" s="43"/>
      <c r="Y214" s="43"/>
      <c r="Z214" s="43"/>
    </row>
    <row r="215">
      <c r="A215" s="43" t="str">
        <f>IFERROR(__xludf.DUMMYFUNCTION("""COMPUTED_VALUE"""),"4905864_1287855")</f>
        <v>4905864_1287855</v>
      </c>
      <c r="B215" s="43" t="str">
        <f>IFERROR(__xludf.DUMMYFUNCTION("""COMPUTED_VALUE"""),"Teodora Jovanović")</f>
        <v>Teodora Jovanović</v>
      </c>
      <c r="C215" s="43" t="str">
        <f>IFERROR(__xludf.DUMMYFUNCTION("""COMPUTED_VALUE"""),"approved")</f>
        <v>approved</v>
      </c>
      <c r="D215" s="43" t="str">
        <f>IFERROR(__xludf.DUMMYFUNCTION("""COMPUTED_VALUE"""),"No")</f>
        <v>No</v>
      </c>
      <c r="E215" s="43" t="str">
        <f>IFERROR(__xludf.DUMMYFUNCTION("""COMPUTED_VALUE"""),"p_2309dabe3a8dd6c5694d931488fc6996c01b9641@inbound.aiesec.org")</f>
        <v>p_2309dabe3a8dd6c5694d931488fc6996c01b9641@inbound.aiesec.org</v>
      </c>
      <c r="F215" s="43">
        <f>IFERROR(__xludf.DUMMYFUNCTION("""COMPUTED_VALUE"""),6.65084848E8)</f>
        <v>665084848</v>
      </c>
      <c r="G215" s="43" t="str">
        <f>IFERROR(__xludf.DUMMYFUNCTION("""COMPUTED_VALUE"""),"Serbia")</f>
        <v>Serbia</v>
      </c>
      <c r="H215" s="43" t="str">
        <f>IFERROR(__xludf.DUMMYFUNCTION("""COMPUTED_VALUE"""),"BELGRADE FON")</f>
        <v>BELGRADE FON</v>
      </c>
      <c r="I215" s="43" t="str">
        <f>IFERROR(__xludf.DUMMYFUNCTION("""COMPUTED_VALUE"""),"Turkey")</f>
        <v>Turkey</v>
      </c>
      <c r="J215" s="43" t="str">
        <f>IFERROR(__xludf.DUMMYFUNCTION("""COMPUTED_VALUE"""),"İZMİR")</f>
        <v>İZMİR</v>
      </c>
      <c r="K215" s="44" t="str">
        <f>IFERROR(__xludf.DUMMYFUNCTION("""COMPUTED_VALUE"""),"https://expa.aiesec.org/opportunities/1287855")</f>
        <v>https://expa.aiesec.org/opportunities/1287855</v>
      </c>
      <c r="L215" s="43" t="str">
        <f>IFERROR(__xludf.DUMMYFUNCTION("""COMPUTED_VALUE"""),"GV")</f>
        <v>GV</v>
      </c>
      <c r="M215" s="43" t="str">
        <f>IFERROR(__xludf.DUMMYFUNCTION("""COMPUTED_VALUE"""),"short")</f>
        <v>short</v>
      </c>
      <c r="N215" s="45">
        <f>IFERROR(__xludf.DUMMYFUNCTION("""COMPUTED_VALUE"""),44865.0)</f>
        <v>44865</v>
      </c>
      <c r="O215" s="45">
        <f>IFERROR(__xludf.DUMMYFUNCTION("""COMPUTED_VALUE"""),44990.0)</f>
        <v>44990</v>
      </c>
      <c r="P215" s="45">
        <f>IFERROR(__xludf.DUMMYFUNCTION("""COMPUTED_VALUE"""),45032.0)</f>
        <v>45032</v>
      </c>
      <c r="Q215" s="45"/>
      <c r="R215" s="45"/>
      <c r="S215" s="43"/>
      <c r="T215" s="43"/>
      <c r="U215" s="43" t="str">
        <f>IFERROR(__xludf.DUMMYFUNCTION("""COMPUTED_VALUE"""),"Global Classroom")</f>
        <v>Global Classroom</v>
      </c>
      <c r="V215" s="43" t="str">
        <f>IFERROR(__xludf.DUMMYFUNCTION("""COMPUTED_VALUE"""),"Faculty of Philology, Belgrade")</f>
        <v>Faculty of Philology, Belgrade</v>
      </c>
      <c r="W215" s="43" t="str">
        <f>IFERROR(__xludf.DUMMYFUNCTION("""COMPUTED_VALUE"""),"2022-01-30T14:56:45Z")</f>
        <v>2022-01-30T14:56:45Z</v>
      </c>
      <c r="X215" s="43"/>
      <c r="Y215" s="43"/>
      <c r="Z215" s="43"/>
    </row>
    <row r="216" hidden="1">
      <c r="A216" s="43" t="str">
        <f>IFERROR(__xludf.DUMMYFUNCTION("""COMPUTED_VALUE"""),"5143883_1284596")</f>
        <v>5143883_1284596</v>
      </c>
      <c r="B216" s="43" t="str">
        <f>IFERROR(__xludf.DUMMYFUNCTION("""COMPUTED_VALUE"""),"Fatma Guent")</f>
        <v>Fatma Guent</v>
      </c>
      <c r="C216" s="43" t="str">
        <f>IFERROR(__xludf.DUMMYFUNCTION("""COMPUTED_VALUE"""),"finished")</f>
        <v>finished</v>
      </c>
      <c r="D216" s="43" t="str">
        <f>IFERROR(__xludf.DUMMYFUNCTION("""COMPUTED_VALUE"""),"No")</f>
        <v>No</v>
      </c>
      <c r="E216" s="43" t="str">
        <f>IFERROR(__xludf.DUMMYFUNCTION("""COMPUTED_VALUE"""),"p_2d24b900cde02fdb05dc0d455fb9cec08d63168c@inbound.aiesec.org")</f>
        <v>p_2d24b900cde02fdb05dc0d455fb9cec08d63168c@inbound.aiesec.org</v>
      </c>
      <c r="F216" s="43">
        <f>IFERROR(__xludf.DUMMYFUNCTION("""COMPUTED_VALUE"""),2.2156803E7)</f>
        <v>22156803</v>
      </c>
      <c r="G216" s="43" t="str">
        <f>IFERROR(__xludf.DUMMYFUNCTION("""COMPUTED_VALUE"""),"Tunisia")</f>
        <v>Tunisia</v>
      </c>
      <c r="H216" s="43" t="str">
        <f>IFERROR(__xludf.DUMMYFUNCTION("""COMPUTED_VALUE"""),"NABEL")</f>
        <v>NABEL</v>
      </c>
      <c r="I216" s="43" t="str">
        <f>IFERROR(__xludf.DUMMYFUNCTION("""COMPUTED_VALUE"""),"Turkey")</f>
        <v>Turkey</v>
      </c>
      <c r="J216" s="43" t="str">
        <f>IFERROR(__xludf.DUMMYFUNCTION("""COMPUTED_VALUE"""),"DENIZLI")</f>
        <v>DENIZLI</v>
      </c>
      <c r="K216" s="44" t="str">
        <f>IFERROR(__xludf.DUMMYFUNCTION("""COMPUTED_VALUE"""),"https://expa.aiesec.org/opportunities/1284596")</f>
        <v>https://expa.aiesec.org/opportunities/1284596</v>
      </c>
      <c r="L216" s="43" t="str">
        <f>IFERROR(__xludf.DUMMYFUNCTION("""COMPUTED_VALUE"""),"GV")</f>
        <v>GV</v>
      </c>
      <c r="M216" s="43" t="str">
        <f>IFERROR(__xludf.DUMMYFUNCTION("""COMPUTED_VALUE"""),"short")</f>
        <v>short</v>
      </c>
      <c r="N216" s="45">
        <f>IFERROR(__xludf.DUMMYFUNCTION("""COMPUTED_VALUE"""),44866.0)</f>
        <v>44866</v>
      </c>
      <c r="O216" s="45">
        <f>IFERROR(__xludf.DUMMYFUNCTION("""COMPUTED_VALUE"""),45117.0)</f>
        <v>45117</v>
      </c>
      <c r="P216" s="45">
        <f>IFERROR(__xludf.DUMMYFUNCTION("""COMPUTED_VALUE"""),45159.0)</f>
        <v>45159</v>
      </c>
      <c r="Q216" s="45">
        <f>IFERROR(__xludf.DUMMYFUNCTION("""COMPUTED_VALUE"""),45118.0)</f>
        <v>45118</v>
      </c>
      <c r="R216" s="45">
        <f>IFERROR(__xludf.DUMMYFUNCTION("""COMPUTED_VALUE"""),45159.0)</f>
        <v>45159</v>
      </c>
      <c r="S216" s="43"/>
      <c r="T216" s="43"/>
      <c r="U216" s="43" t="str">
        <f>IFERROR(__xludf.DUMMYFUNCTION("""COMPUTED_VALUE"""),"Youth 4 Impact")</f>
        <v>Youth 4 Impact</v>
      </c>
      <c r="V216" s="43" t="str">
        <f>IFERROR(__xludf.DUMMYFUNCTION("""COMPUTED_VALUE"""),"ISET Nabel")</f>
        <v>ISET Nabel</v>
      </c>
      <c r="W216" s="43" t="str">
        <f>IFERROR(__xludf.DUMMYFUNCTION("""COMPUTED_VALUE"""),"2022-10-31T17:23:48Z")</f>
        <v>2022-10-31T17:23:48Z</v>
      </c>
      <c r="X216" s="43"/>
      <c r="Y216" s="43"/>
      <c r="Z216" s="43"/>
    </row>
    <row r="217">
      <c r="A217" s="43" t="str">
        <f>IFERROR(__xludf.DUMMYFUNCTION("""COMPUTED_VALUE"""),"4410090_1287101")</f>
        <v>4410090_1287101</v>
      </c>
      <c r="B217" s="43" t="str">
        <f>IFERROR(__xludf.DUMMYFUNCTION("""COMPUTED_VALUE"""),"Ashwini Chauhan")</f>
        <v>Ashwini Chauhan</v>
      </c>
      <c r="C217" s="43" t="str">
        <f>IFERROR(__xludf.DUMMYFUNCTION("""COMPUTED_VALUE"""),"approved")</f>
        <v>approved</v>
      </c>
      <c r="D217" s="43" t="str">
        <f>IFERROR(__xludf.DUMMYFUNCTION("""COMPUTED_VALUE"""),"No")</f>
        <v>No</v>
      </c>
      <c r="E217" s="43" t="str">
        <f>IFERROR(__xludf.DUMMYFUNCTION("""COMPUTED_VALUE"""),"p_0d9fbbcc223cca1f47ab1e57b0b794315ca6c7ef@inbound.aiesec.org")</f>
        <v>p_0d9fbbcc223cca1f47ab1e57b0b794315ca6c7ef@inbound.aiesec.org</v>
      </c>
      <c r="F217" s="43">
        <f>IFERROR(__xludf.DUMMYFUNCTION("""COMPUTED_VALUE"""),7.255064834E9)</f>
        <v>7255064834</v>
      </c>
      <c r="G217" s="43" t="str">
        <f>IFERROR(__xludf.DUMMYFUNCTION("""COMPUTED_VALUE"""),"India")</f>
        <v>India</v>
      </c>
      <c r="H217" s="43" t="str">
        <f>IFERROR(__xludf.DUMMYFUNCTION("""COMPUTED_VALUE"""),"Chennai")</f>
        <v>Chennai</v>
      </c>
      <c r="I217" s="43" t="str">
        <f>IFERROR(__xludf.DUMMYFUNCTION("""COMPUTED_VALUE"""),"Turkey")</f>
        <v>Turkey</v>
      </c>
      <c r="J217" s="43" t="str">
        <f>IFERROR(__xludf.DUMMYFUNCTION("""COMPUTED_VALUE"""),"İZMİR")</f>
        <v>İZMİR</v>
      </c>
      <c r="K217" s="44" t="str">
        <f>IFERROR(__xludf.DUMMYFUNCTION("""COMPUTED_VALUE"""),"https://expa.aiesec.org/opportunities/1287101")</f>
        <v>https://expa.aiesec.org/opportunities/1287101</v>
      </c>
      <c r="L217" s="43" t="str">
        <f>IFERROR(__xludf.DUMMYFUNCTION("""COMPUTED_VALUE"""),"GV")</f>
        <v>GV</v>
      </c>
      <c r="M217" s="43" t="str">
        <f>IFERROR(__xludf.DUMMYFUNCTION("""COMPUTED_VALUE"""),"short")</f>
        <v>short</v>
      </c>
      <c r="N217" s="45">
        <f>IFERROR(__xludf.DUMMYFUNCTION("""COMPUTED_VALUE"""),44866.0)</f>
        <v>44866</v>
      </c>
      <c r="O217" s="45">
        <f>IFERROR(__xludf.DUMMYFUNCTION("""COMPUTED_VALUE"""),44906.0)</f>
        <v>44906</v>
      </c>
      <c r="P217" s="45">
        <f>IFERROR(__xludf.DUMMYFUNCTION("""COMPUTED_VALUE"""),44948.0)</f>
        <v>44948</v>
      </c>
      <c r="Q217" s="45"/>
      <c r="R217" s="45"/>
      <c r="S217" s="43"/>
      <c r="T217" s="43"/>
      <c r="U217" s="43" t="str">
        <f>IFERROR(__xludf.DUMMYFUNCTION("""COMPUTED_VALUE"""),"Global Classroom")</f>
        <v>Global Classroom</v>
      </c>
      <c r="V217" s="43" t="str">
        <f>IFERROR(__xludf.DUMMYFUNCTION("""COMPUTED_VALUE"""),"Chennai")</f>
        <v>Chennai</v>
      </c>
      <c r="W217" s="43" t="str">
        <f>IFERROR(__xludf.DUMMYFUNCTION("""COMPUTED_VALUE"""),"2020-10-29T16:43:16Z")</f>
        <v>2020-10-29T16:43:16Z</v>
      </c>
      <c r="X217" s="43"/>
      <c r="Y217" s="43"/>
      <c r="Z217" s="43"/>
    </row>
    <row r="218" hidden="1">
      <c r="A218" s="43" t="str">
        <f>IFERROR(__xludf.DUMMYFUNCTION("""COMPUTED_VALUE"""),"5122362_1289228")</f>
        <v>5122362_1289228</v>
      </c>
      <c r="B218" s="43" t="str">
        <f>IFERROR(__xludf.DUMMYFUNCTION("""COMPUTED_VALUE"""),"Elisabeta Skenderović")</f>
        <v>Elisabeta Skenderović</v>
      </c>
      <c r="C218" s="43" t="str">
        <f>IFERROR(__xludf.DUMMYFUNCTION("""COMPUTED_VALUE"""),"completed")</f>
        <v>completed</v>
      </c>
      <c r="D218" s="43" t="str">
        <f>IFERROR(__xludf.DUMMYFUNCTION("""COMPUTED_VALUE"""),"No")</f>
        <v>No</v>
      </c>
      <c r="E218" s="43" t="str">
        <f>IFERROR(__xludf.DUMMYFUNCTION("""COMPUTED_VALUE"""),"p_58179253f3fc78ee74e00f21199e4d7f49eaf619@inbound.aiesec.org")</f>
        <v>p_58179253f3fc78ee74e00f21199e4d7f49eaf619@inbound.aiesec.org</v>
      </c>
      <c r="F218" s="43">
        <f>IFERROR(__xludf.DUMMYFUNCTION("""COMPUTED_VALUE"""),6.29641071E8)</f>
        <v>629641071</v>
      </c>
      <c r="G218" s="43" t="str">
        <f>IFERROR(__xludf.DUMMYFUNCTION("""COMPUTED_VALUE"""),"Serbia")</f>
        <v>Serbia</v>
      </c>
      <c r="H218" s="43" t="str">
        <f>IFERROR(__xludf.DUMMYFUNCTION("""COMPUTED_VALUE"""),"Subotica")</f>
        <v>Subotica</v>
      </c>
      <c r="I218" s="43" t="str">
        <f>IFERROR(__xludf.DUMMYFUNCTION("""COMPUTED_VALUE"""),"Turkey")</f>
        <v>Turkey</v>
      </c>
      <c r="J218" s="43" t="str">
        <f>IFERROR(__xludf.DUMMYFUNCTION("""COMPUTED_VALUE"""),"ISTANBUL WEST")</f>
        <v>ISTANBUL WEST</v>
      </c>
      <c r="K218" s="44" t="str">
        <f>IFERROR(__xludf.DUMMYFUNCTION("""COMPUTED_VALUE"""),"https://expa.aiesec.org/opportunities/1289228")</f>
        <v>https://expa.aiesec.org/opportunities/1289228</v>
      </c>
      <c r="L218" s="43" t="str">
        <f>IFERROR(__xludf.DUMMYFUNCTION("""COMPUTED_VALUE"""),"GV")</f>
        <v>GV</v>
      </c>
      <c r="M218" s="43" t="str">
        <f>IFERROR(__xludf.DUMMYFUNCTION("""COMPUTED_VALUE"""),"short")</f>
        <v>short</v>
      </c>
      <c r="N218" s="45">
        <f>IFERROR(__xludf.DUMMYFUNCTION("""COMPUTED_VALUE"""),44866.0)</f>
        <v>44866</v>
      </c>
      <c r="O218" s="45">
        <f>IFERROR(__xludf.DUMMYFUNCTION("""COMPUTED_VALUE"""),44900.0)</f>
        <v>44900</v>
      </c>
      <c r="P218" s="45">
        <f>IFERROR(__xludf.DUMMYFUNCTION("""COMPUTED_VALUE"""),44942.0)</f>
        <v>44942</v>
      </c>
      <c r="Q218" s="45">
        <f>IFERROR(__xludf.DUMMYFUNCTION("""COMPUTED_VALUE"""),44900.0)</f>
        <v>44900</v>
      </c>
      <c r="R218" s="45">
        <f>IFERROR(__xludf.DUMMYFUNCTION("""COMPUTED_VALUE"""),44942.0)</f>
        <v>44942</v>
      </c>
      <c r="S218" s="43"/>
      <c r="T218" s="43"/>
      <c r="U218" s="43" t="str">
        <f>IFERROR(__xludf.DUMMYFUNCTION("""COMPUTED_VALUE"""),"Global Classroom")</f>
        <v>Global Classroom</v>
      </c>
      <c r="V218" s="43" t="str">
        <f>IFERROR(__xludf.DUMMYFUNCTION("""COMPUTED_VALUE"""),"Subotica")</f>
        <v>Subotica</v>
      </c>
      <c r="W218" s="43" t="str">
        <f>IFERROR(__xludf.DUMMYFUNCTION("""COMPUTED_VALUE"""),"2022-09-29T17:29:55Z")</f>
        <v>2022-09-29T17:29:55Z</v>
      </c>
      <c r="X218" s="43"/>
      <c r="Y218" s="43"/>
      <c r="Z218" s="43"/>
    </row>
    <row r="219" hidden="1">
      <c r="A219" s="43" t="str">
        <f>IFERROR(__xludf.DUMMYFUNCTION("""COMPUTED_VALUE"""),"5138457_1289596")</f>
        <v>5138457_1289596</v>
      </c>
      <c r="B219" s="43" t="str">
        <f>IFERROR(__xludf.DUMMYFUNCTION("""COMPUTED_VALUE"""),"Apoorva Sishtla")</f>
        <v>Apoorva Sishtla</v>
      </c>
      <c r="C219" s="43" t="str">
        <f>IFERROR(__xludf.DUMMYFUNCTION("""COMPUTED_VALUE"""),"completed")</f>
        <v>completed</v>
      </c>
      <c r="D219" s="43" t="str">
        <f>IFERROR(__xludf.DUMMYFUNCTION("""COMPUTED_VALUE"""),"No")</f>
        <v>No</v>
      </c>
      <c r="E219" s="43" t="str">
        <f>IFERROR(__xludf.DUMMYFUNCTION("""COMPUTED_VALUE"""),"p_f9427c817c5ef1cfdf9e89e08bd7d4f1467dbc59@inbound.aiesec.org")</f>
        <v>p_f9427c817c5ef1cfdf9e89e08bd7d4f1467dbc59@inbound.aiesec.org</v>
      </c>
      <c r="F219" s="43">
        <f>IFERROR(__xludf.DUMMYFUNCTION("""COMPUTED_VALUE"""),9.618132898E9)</f>
        <v>9618132898</v>
      </c>
      <c r="G219" s="43" t="str">
        <f>IFERROR(__xludf.DUMMYFUNCTION("""COMPUTED_VALUE"""),"India")</f>
        <v>India</v>
      </c>
      <c r="H219" s="43" t="str">
        <f>IFERROR(__xludf.DUMMYFUNCTION("""COMPUTED_VALUE"""),"Hyderabad")</f>
        <v>Hyderabad</v>
      </c>
      <c r="I219" s="43" t="str">
        <f>IFERROR(__xludf.DUMMYFUNCTION("""COMPUTED_VALUE"""),"Turkey")</f>
        <v>Turkey</v>
      </c>
      <c r="J219" s="43" t="str">
        <f>IFERROR(__xludf.DUMMYFUNCTION("""COMPUTED_VALUE"""),"ISPARTA")</f>
        <v>ISPARTA</v>
      </c>
      <c r="K219" s="44" t="str">
        <f>IFERROR(__xludf.DUMMYFUNCTION("""COMPUTED_VALUE"""),"https://expa.aiesec.org/opportunities/1289596")</f>
        <v>https://expa.aiesec.org/opportunities/1289596</v>
      </c>
      <c r="L219" s="43" t="str">
        <f>IFERROR(__xludf.DUMMYFUNCTION("""COMPUTED_VALUE"""),"GV")</f>
        <v>GV</v>
      </c>
      <c r="M219" s="43" t="str">
        <f>IFERROR(__xludf.DUMMYFUNCTION("""COMPUTED_VALUE"""),"short")</f>
        <v>short</v>
      </c>
      <c r="N219" s="45">
        <f>IFERROR(__xludf.DUMMYFUNCTION("""COMPUTED_VALUE"""),44866.0)</f>
        <v>44866</v>
      </c>
      <c r="O219" s="45">
        <f>IFERROR(__xludf.DUMMYFUNCTION("""COMPUTED_VALUE"""),45173.0)</f>
        <v>45173</v>
      </c>
      <c r="P219" s="45">
        <f>IFERROR(__xludf.DUMMYFUNCTION("""COMPUTED_VALUE"""),45215.0)</f>
        <v>45215</v>
      </c>
      <c r="Q219" s="45">
        <f>IFERROR(__xludf.DUMMYFUNCTION("""COMPUTED_VALUE"""),45173.0)</f>
        <v>45173</v>
      </c>
      <c r="R219" s="45">
        <f>IFERROR(__xludf.DUMMYFUNCTION("""COMPUTED_VALUE"""),45215.0)</f>
        <v>45215</v>
      </c>
      <c r="S219" s="43"/>
      <c r="T219" s="43"/>
      <c r="U219" s="43" t="str">
        <f>IFERROR(__xludf.DUMMYFUNCTION("""COMPUTED_VALUE"""),"Global Classroom")</f>
        <v>Global Classroom</v>
      </c>
      <c r="V219" s="43" t="str">
        <f>IFERROR(__xludf.DUMMYFUNCTION("""COMPUTED_VALUE"""),"Mahindra Ecole Centrale, Hyderabad")</f>
        <v>Mahindra Ecole Centrale, Hyderabad</v>
      </c>
      <c r="W219" s="43" t="str">
        <f>IFERROR(__xludf.DUMMYFUNCTION("""COMPUTED_VALUE"""),"2022-10-22T13:04:59Z")</f>
        <v>2022-10-22T13:04:59Z</v>
      </c>
      <c r="X219" s="43"/>
      <c r="Y219" s="43"/>
      <c r="Z219" s="43"/>
    </row>
    <row r="220">
      <c r="A220" s="43" t="str">
        <f>IFERROR(__xludf.DUMMYFUNCTION("""COMPUTED_VALUE"""),"5144460_1288970")</f>
        <v>5144460_1288970</v>
      </c>
      <c r="B220" s="43" t="str">
        <f>IFERROR(__xludf.DUMMYFUNCTION("""COMPUTED_VALUE"""),"salma ouchguir")</f>
        <v>salma ouchguir</v>
      </c>
      <c r="C220" s="43" t="str">
        <f>IFERROR(__xludf.DUMMYFUNCTION("""COMPUTED_VALUE"""),"approved")</f>
        <v>approved</v>
      </c>
      <c r="D220" s="43" t="str">
        <f>IFERROR(__xludf.DUMMYFUNCTION("""COMPUTED_VALUE"""),"No")</f>
        <v>No</v>
      </c>
      <c r="E220" s="43" t="str">
        <f>IFERROR(__xludf.DUMMYFUNCTION("""COMPUTED_VALUE"""),"p_ac9876359c3a78be36ee2a83ed20cba1fc6da2c1@inbound.aiesec.org")</f>
        <v>p_ac9876359c3a78be36ee2a83ed20cba1fc6da2c1@inbound.aiesec.org</v>
      </c>
      <c r="F220" s="43">
        <f>IFERROR(__xludf.DUMMYFUNCTION("""COMPUTED_VALUE"""),6.43485257E8)</f>
        <v>643485257</v>
      </c>
      <c r="G220" s="43" t="str">
        <f>IFERROR(__xludf.DUMMYFUNCTION("""COMPUTED_VALUE"""),"Morocco")</f>
        <v>Morocco</v>
      </c>
      <c r="H220" s="43" t="str">
        <f>IFERROR(__xludf.DUMMYFUNCTION("""COMPUTED_VALUE"""),"Tangier")</f>
        <v>Tangier</v>
      </c>
      <c r="I220" s="43" t="str">
        <f>IFERROR(__xludf.DUMMYFUNCTION("""COMPUTED_VALUE"""),"Turkey")</f>
        <v>Turkey</v>
      </c>
      <c r="J220" s="43" t="str">
        <f>IFERROR(__xludf.DUMMYFUNCTION("""COMPUTED_VALUE"""),"İZMİR")</f>
        <v>İZMİR</v>
      </c>
      <c r="K220" s="44" t="str">
        <f>IFERROR(__xludf.DUMMYFUNCTION("""COMPUTED_VALUE"""),"https://expa.aiesec.org/opportunities/1288970")</f>
        <v>https://expa.aiesec.org/opportunities/1288970</v>
      </c>
      <c r="L220" s="43" t="str">
        <f>IFERROR(__xludf.DUMMYFUNCTION("""COMPUTED_VALUE"""),"GV")</f>
        <v>GV</v>
      </c>
      <c r="M220" s="43" t="str">
        <f>IFERROR(__xludf.DUMMYFUNCTION("""COMPUTED_VALUE"""),"short")</f>
        <v>short</v>
      </c>
      <c r="N220" s="45">
        <f>IFERROR(__xludf.DUMMYFUNCTION("""COMPUTED_VALUE"""),44867.0)</f>
        <v>44867</v>
      </c>
      <c r="O220" s="45">
        <f>IFERROR(__xludf.DUMMYFUNCTION("""COMPUTED_VALUE"""),44871.0)</f>
        <v>44871</v>
      </c>
      <c r="P220" s="45">
        <f>IFERROR(__xludf.DUMMYFUNCTION("""COMPUTED_VALUE"""),44913.0)</f>
        <v>44913</v>
      </c>
      <c r="Q220" s="45"/>
      <c r="R220" s="45"/>
      <c r="S220" s="43"/>
      <c r="T220" s="43"/>
      <c r="U220" s="43" t="str">
        <f>IFERROR(__xludf.DUMMYFUNCTION("""COMPUTED_VALUE"""),"Fingerprint")</f>
        <v>Fingerprint</v>
      </c>
      <c r="V220" s="43" t="str">
        <f>IFERROR(__xludf.DUMMYFUNCTION("""COMPUTED_VALUE"""),"INAS Tanger")</f>
        <v>INAS Tanger</v>
      </c>
      <c r="W220" s="43" t="str">
        <f>IFERROR(__xludf.DUMMYFUNCTION("""COMPUTED_VALUE"""),"2022-11-01T15:06:55Z")</f>
        <v>2022-11-01T15:06:55Z</v>
      </c>
      <c r="X220" s="43"/>
      <c r="Y220" s="43"/>
      <c r="Z220" s="43"/>
    </row>
    <row r="221" hidden="1">
      <c r="A221" s="43" t="str">
        <f>IFERROR(__xludf.DUMMYFUNCTION("""COMPUTED_VALUE"""),"5142272_1285687")</f>
        <v>5142272_1285687</v>
      </c>
      <c r="B221" s="43" t="str">
        <f>IFERROR(__xludf.DUMMYFUNCTION("""COMPUTED_VALUE"""),"Tiago Luís Romão")</f>
        <v>Tiago Luís Romão</v>
      </c>
      <c r="C221" s="43" t="str">
        <f>IFERROR(__xludf.DUMMYFUNCTION("""COMPUTED_VALUE"""),"finished")</f>
        <v>finished</v>
      </c>
      <c r="D221" s="43" t="str">
        <f>IFERROR(__xludf.DUMMYFUNCTION("""COMPUTED_VALUE"""),"No")</f>
        <v>No</v>
      </c>
      <c r="E221" s="43" t="str">
        <f>IFERROR(__xludf.DUMMYFUNCTION("""COMPUTED_VALUE"""),"p_26cebfaad5bbe7a77cc669ec38959bc8fbeedbad@inbound.aiesec.org")</f>
        <v>p_26cebfaad5bbe7a77cc669ec38959bc8fbeedbad@inbound.aiesec.org</v>
      </c>
      <c r="F221" s="43">
        <f>IFERROR(__xludf.DUMMYFUNCTION("""COMPUTED_VALUE"""),9.36297698E8)</f>
        <v>936297698</v>
      </c>
      <c r="G221" s="43" t="str">
        <f>IFERROR(__xludf.DUMMYFUNCTION("""COMPUTED_VALUE"""),"Portugal")</f>
        <v>Portugal</v>
      </c>
      <c r="H221" s="43" t="str">
        <f>IFERROR(__xludf.DUMMYFUNCTION("""COMPUTED_VALUE"""),"Lisboa ISEG")</f>
        <v>Lisboa ISEG</v>
      </c>
      <c r="I221" s="43" t="str">
        <f>IFERROR(__xludf.DUMMYFUNCTION("""COMPUTED_VALUE"""),"Turkey")</f>
        <v>Turkey</v>
      </c>
      <c r="J221" s="43" t="str">
        <f>IFERROR(__xludf.DUMMYFUNCTION("""COMPUTED_VALUE"""),"ISTANBUL")</f>
        <v>ISTANBUL</v>
      </c>
      <c r="K221" s="44" t="str">
        <f>IFERROR(__xludf.DUMMYFUNCTION("""COMPUTED_VALUE"""),"https://expa.aiesec.org/opportunities/1285687")</f>
        <v>https://expa.aiesec.org/opportunities/1285687</v>
      </c>
      <c r="L221" s="43" t="str">
        <f>IFERROR(__xludf.DUMMYFUNCTION("""COMPUTED_VALUE"""),"GV")</f>
        <v>GV</v>
      </c>
      <c r="M221" s="43" t="str">
        <f>IFERROR(__xludf.DUMMYFUNCTION("""COMPUTED_VALUE"""),"short")</f>
        <v>short</v>
      </c>
      <c r="N221" s="45">
        <f>IFERROR(__xludf.DUMMYFUNCTION("""COMPUTED_VALUE"""),44867.0)</f>
        <v>44867</v>
      </c>
      <c r="O221" s="45">
        <f>IFERROR(__xludf.DUMMYFUNCTION("""COMPUTED_VALUE"""),44879.0)</f>
        <v>44879</v>
      </c>
      <c r="P221" s="45">
        <f>IFERROR(__xludf.DUMMYFUNCTION("""COMPUTED_VALUE"""),44921.0)</f>
        <v>44921</v>
      </c>
      <c r="Q221" s="45">
        <f>IFERROR(__xludf.DUMMYFUNCTION("""COMPUTED_VALUE"""),44879.0)</f>
        <v>44879</v>
      </c>
      <c r="R221" s="45">
        <f>IFERROR(__xludf.DUMMYFUNCTION("""COMPUTED_VALUE"""),44921.0)</f>
        <v>44921</v>
      </c>
      <c r="S221" s="43"/>
      <c r="T221" s="43"/>
      <c r="U221" s="43" t="str">
        <f>IFERROR(__xludf.DUMMYFUNCTION("""COMPUTED_VALUE"""),"Youth 4 Impact")</f>
        <v>Youth 4 Impact</v>
      </c>
      <c r="V221" s="43" t="str">
        <f>IFERROR(__xludf.DUMMYFUNCTION("""COMPUTED_VALUE"""),"ISCTE – Instituto Universitário de Lisboa")</f>
        <v>ISCTE – Instituto Universitário de Lisboa</v>
      </c>
      <c r="W221" s="43" t="str">
        <f>IFERROR(__xludf.DUMMYFUNCTION("""COMPUTED_VALUE"""),"2022-10-28T18:46:16Z")</f>
        <v>2022-10-28T18:46:16Z</v>
      </c>
      <c r="X221" s="43"/>
      <c r="Y221" s="43"/>
      <c r="Z221" s="43"/>
    </row>
    <row r="222">
      <c r="A222" s="43" t="str">
        <f>IFERROR(__xludf.DUMMYFUNCTION("""COMPUTED_VALUE"""),"5138548_1288970")</f>
        <v>5138548_1288970</v>
      </c>
      <c r="B222" s="43" t="str">
        <f>IFERROR(__xludf.DUMMYFUNCTION("""COMPUTED_VALUE"""),"Ines Barasevic")</f>
        <v>Ines Barasevic</v>
      </c>
      <c r="C222" s="43" t="str">
        <f>IFERROR(__xludf.DUMMYFUNCTION("""COMPUTED_VALUE"""),"approved")</f>
        <v>approved</v>
      </c>
      <c r="D222" s="43" t="str">
        <f>IFERROR(__xludf.DUMMYFUNCTION("""COMPUTED_VALUE"""),"No")</f>
        <v>No</v>
      </c>
      <c r="E222" s="43" t="str">
        <f>IFERROR(__xludf.DUMMYFUNCTION("""COMPUTED_VALUE"""),"p_a24156db465053c475182c0dc140962bbae7884e@inbound.aiesec.org")</f>
        <v>p_a24156db465053c475182c0dc140962bbae7884e@inbound.aiesec.org</v>
      </c>
      <c r="F222" s="43">
        <f>IFERROR(__xludf.DUMMYFUNCTION("""COMPUTED_VALUE"""),6.29670026E8)</f>
        <v>629670026</v>
      </c>
      <c r="G222" s="43" t="str">
        <f>IFERROR(__xludf.DUMMYFUNCTION("""COMPUTED_VALUE"""),"Serbia")</f>
        <v>Serbia</v>
      </c>
      <c r="H222" s="43" t="str">
        <f>IFERROR(__xludf.DUMMYFUNCTION("""COMPUTED_VALUE"""),"Subotica")</f>
        <v>Subotica</v>
      </c>
      <c r="I222" s="43" t="str">
        <f>IFERROR(__xludf.DUMMYFUNCTION("""COMPUTED_VALUE"""),"Turkey")</f>
        <v>Turkey</v>
      </c>
      <c r="J222" s="43" t="str">
        <f>IFERROR(__xludf.DUMMYFUNCTION("""COMPUTED_VALUE"""),"İZMİR")</f>
        <v>İZMİR</v>
      </c>
      <c r="K222" s="44" t="str">
        <f>IFERROR(__xludf.DUMMYFUNCTION("""COMPUTED_VALUE"""),"https://expa.aiesec.org/opportunities/1288970")</f>
        <v>https://expa.aiesec.org/opportunities/1288970</v>
      </c>
      <c r="L222" s="43" t="str">
        <f>IFERROR(__xludf.DUMMYFUNCTION("""COMPUTED_VALUE"""),"GV")</f>
        <v>GV</v>
      </c>
      <c r="M222" s="43" t="str">
        <f>IFERROR(__xludf.DUMMYFUNCTION("""COMPUTED_VALUE"""),"short")</f>
        <v>short</v>
      </c>
      <c r="N222" s="45">
        <f>IFERROR(__xludf.DUMMYFUNCTION("""COMPUTED_VALUE"""),44867.0)</f>
        <v>44867</v>
      </c>
      <c r="O222" s="45">
        <f>IFERROR(__xludf.DUMMYFUNCTION("""COMPUTED_VALUE"""),44913.0)</f>
        <v>44913</v>
      </c>
      <c r="P222" s="45">
        <f>IFERROR(__xludf.DUMMYFUNCTION("""COMPUTED_VALUE"""),44955.0)</f>
        <v>44955</v>
      </c>
      <c r="Q222" s="45"/>
      <c r="R222" s="45"/>
      <c r="S222" s="43"/>
      <c r="T222" s="43"/>
      <c r="U222" s="43" t="str">
        <f>IFERROR(__xludf.DUMMYFUNCTION("""COMPUTED_VALUE"""),"Fingerprint")</f>
        <v>Fingerprint</v>
      </c>
      <c r="V222" s="43" t="str">
        <f>IFERROR(__xludf.DUMMYFUNCTION("""COMPUTED_VALUE"""),"Subotica")</f>
        <v>Subotica</v>
      </c>
      <c r="W222" s="43" t="str">
        <f>IFERROR(__xludf.DUMMYFUNCTION("""COMPUTED_VALUE"""),"2022-10-22T16:13:37Z")</f>
        <v>2022-10-22T16:13:37Z</v>
      </c>
      <c r="X222" s="43"/>
      <c r="Y222" s="43"/>
      <c r="Z222" s="43"/>
    </row>
    <row r="223">
      <c r="A223" s="43" t="str">
        <f>IFERROR(__xludf.DUMMYFUNCTION("""COMPUTED_VALUE"""),"5104127_1287226")</f>
        <v>5104127_1287226</v>
      </c>
      <c r="B223" s="43" t="str">
        <f>IFERROR(__xludf.DUMMYFUNCTION("""COMPUTED_VALUE"""),"Slim Ben mansour")</f>
        <v>Slim Ben mansour</v>
      </c>
      <c r="C223" s="43" t="str">
        <f>IFERROR(__xludf.DUMMYFUNCTION("""COMPUTED_VALUE"""),"approved")</f>
        <v>approved</v>
      </c>
      <c r="D223" s="43" t="str">
        <f>IFERROR(__xludf.DUMMYFUNCTION("""COMPUTED_VALUE"""),"No")</f>
        <v>No</v>
      </c>
      <c r="E223" s="43" t="str">
        <f>IFERROR(__xludf.DUMMYFUNCTION("""COMPUTED_VALUE"""),"p_46f60cb57172a73a2d625e013f377fe9eff804b5@inbound.aiesec.org")</f>
        <v>p_46f60cb57172a73a2d625e013f377fe9eff804b5@inbound.aiesec.org</v>
      </c>
      <c r="F223" s="43">
        <f>IFERROR(__xludf.DUMMYFUNCTION("""COMPUTED_VALUE"""),2.7538956E7)</f>
        <v>27538956</v>
      </c>
      <c r="G223" s="43" t="str">
        <f>IFERROR(__xludf.DUMMYFUNCTION("""COMPUTED_VALUE"""),"Tunisia")</f>
        <v>Tunisia</v>
      </c>
      <c r="H223" s="43" t="str">
        <f>IFERROR(__xludf.DUMMYFUNCTION("""COMPUTED_VALUE"""),"THYNA")</f>
        <v>THYNA</v>
      </c>
      <c r="I223" s="43" t="str">
        <f>IFERROR(__xludf.DUMMYFUNCTION("""COMPUTED_VALUE"""),"Turkey")</f>
        <v>Turkey</v>
      </c>
      <c r="J223" s="43" t="str">
        <f>IFERROR(__xludf.DUMMYFUNCTION("""COMPUTED_VALUE"""),"ISTANBUL ASIA")</f>
        <v>ISTANBUL ASIA</v>
      </c>
      <c r="K223" s="44" t="str">
        <f>IFERROR(__xludf.DUMMYFUNCTION("""COMPUTED_VALUE"""),"https://expa.aiesec.org/opportunities/1287226")</f>
        <v>https://expa.aiesec.org/opportunities/1287226</v>
      </c>
      <c r="L223" s="43" t="str">
        <f>IFERROR(__xludf.DUMMYFUNCTION("""COMPUTED_VALUE"""),"GV")</f>
        <v>GV</v>
      </c>
      <c r="M223" s="43" t="str">
        <f>IFERROR(__xludf.DUMMYFUNCTION("""COMPUTED_VALUE"""),"short")</f>
        <v>short</v>
      </c>
      <c r="N223" s="45">
        <f>IFERROR(__xludf.DUMMYFUNCTION("""COMPUTED_VALUE"""),44867.0)</f>
        <v>44867</v>
      </c>
      <c r="O223" s="45">
        <f>IFERROR(__xludf.DUMMYFUNCTION("""COMPUTED_VALUE"""),44886.0)</f>
        <v>44886</v>
      </c>
      <c r="P223" s="45">
        <f>IFERROR(__xludf.DUMMYFUNCTION("""COMPUTED_VALUE"""),44928.0)</f>
        <v>44928</v>
      </c>
      <c r="Q223" s="45"/>
      <c r="R223" s="45"/>
      <c r="S223" s="43"/>
      <c r="T223" s="43"/>
      <c r="U223" s="43" t="str">
        <f>IFERROR(__xludf.DUMMYFUNCTION("""COMPUTED_VALUE"""),"Global Classroom")</f>
        <v>Global Classroom</v>
      </c>
      <c r="V223" s="43" t="str">
        <f>IFERROR(__xludf.DUMMYFUNCTION("""COMPUTED_VALUE"""),"ISAM Sfax")</f>
        <v>ISAM Sfax</v>
      </c>
      <c r="W223" s="43" t="str">
        <f>IFERROR(__xludf.DUMMYFUNCTION("""COMPUTED_VALUE"""),"2022-09-02T11:21:35Z")</f>
        <v>2022-09-02T11:21:35Z</v>
      </c>
      <c r="X223" s="43"/>
      <c r="Y223" s="43"/>
      <c r="Z223" s="43"/>
    </row>
    <row r="224" hidden="1">
      <c r="A224" s="43" t="str">
        <f>IFERROR(__xludf.DUMMYFUNCTION("""COMPUTED_VALUE"""),"4606868_1288970")</f>
        <v>4606868_1288970</v>
      </c>
      <c r="B224" s="43" t="str">
        <f>IFERROR(__xludf.DUMMYFUNCTION("""COMPUTED_VALUE"""),"Reem Ahmed")</f>
        <v>Reem Ahmed</v>
      </c>
      <c r="C224" s="43" t="str">
        <f>IFERROR(__xludf.DUMMYFUNCTION("""COMPUTED_VALUE"""),"realization_broken")</f>
        <v>realization_broken</v>
      </c>
      <c r="D224" s="43" t="str">
        <f>IFERROR(__xludf.DUMMYFUNCTION("""COMPUTED_VALUE"""),"No")</f>
        <v>No</v>
      </c>
      <c r="E224" s="43" t="str">
        <f>IFERROR(__xludf.DUMMYFUNCTION("""COMPUTED_VALUE"""),"p_d855318b571d80d2b094d4faf37d77c7297a2048@inbound.aiesec.org")</f>
        <v>p_d855318b571d80d2b094d4faf37d77c7297a2048@inbound.aiesec.org</v>
      </c>
      <c r="F224" s="43">
        <f>IFERROR(__xludf.DUMMYFUNCTION("""COMPUTED_VALUE"""),1.12932017E9)</f>
        <v>1129320170</v>
      </c>
      <c r="G224" s="43" t="str">
        <f>IFERROR(__xludf.DUMMYFUNCTION("""COMPUTED_VALUE"""),"Egypt")</f>
        <v>Egypt</v>
      </c>
      <c r="H224" s="43" t="str">
        <f>IFERROR(__xludf.DUMMYFUNCTION("""COMPUTED_VALUE"""),"Alexandria")</f>
        <v>Alexandria</v>
      </c>
      <c r="I224" s="43" t="str">
        <f>IFERROR(__xludf.DUMMYFUNCTION("""COMPUTED_VALUE"""),"Turkey")</f>
        <v>Turkey</v>
      </c>
      <c r="J224" s="43" t="str">
        <f>IFERROR(__xludf.DUMMYFUNCTION("""COMPUTED_VALUE"""),"İZMİR")</f>
        <v>İZMİR</v>
      </c>
      <c r="K224" s="44" t="str">
        <f>IFERROR(__xludf.DUMMYFUNCTION("""COMPUTED_VALUE"""),"https://expa.aiesec.org/opportunities/1288970")</f>
        <v>https://expa.aiesec.org/opportunities/1288970</v>
      </c>
      <c r="L224" s="43" t="str">
        <f>IFERROR(__xludf.DUMMYFUNCTION("""COMPUTED_VALUE"""),"GV")</f>
        <v>GV</v>
      </c>
      <c r="M224" s="43" t="str">
        <f>IFERROR(__xludf.DUMMYFUNCTION("""COMPUTED_VALUE"""),"short")</f>
        <v>short</v>
      </c>
      <c r="N224" s="45">
        <f>IFERROR(__xludf.DUMMYFUNCTION("""COMPUTED_VALUE"""),44868.0)</f>
        <v>44868</v>
      </c>
      <c r="O224" s="45">
        <f>IFERROR(__xludf.DUMMYFUNCTION("""COMPUTED_VALUE"""),44955.0)</f>
        <v>44955</v>
      </c>
      <c r="P224" s="45">
        <f>IFERROR(__xludf.DUMMYFUNCTION("""COMPUTED_VALUE"""),44997.0)</f>
        <v>44997</v>
      </c>
      <c r="Q224" s="45"/>
      <c r="R224" s="45"/>
      <c r="S224" s="43"/>
      <c r="T224" s="43"/>
      <c r="U224" s="43" t="str">
        <f>IFERROR(__xludf.DUMMYFUNCTION("""COMPUTED_VALUE"""),"Fingerprint")</f>
        <v>Fingerprint</v>
      </c>
      <c r="V224" s="43" t="str">
        <f>IFERROR(__xludf.DUMMYFUNCTION("""COMPUTED_VALUE"""),"Alexandria University")</f>
        <v>Alexandria University</v>
      </c>
      <c r="W224" s="43" t="str">
        <f>IFERROR(__xludf.DUMMYFUNCTION("""COMPUTED_VALUE"""),"2021-04-05T15:49:18Z")</f>
        <v>2021-04-05T15:49:18Z</v>
      </c>
      <c r="X224" s="43"/>
      <c r="Y224" s="43"/>
      <c r="Z224" s="43"/>
    </row>
    <row r="225" hidden="1">
      <c r="A225" s="43" t="str">
        <f>IFERROR(__xludf.DUMMYFUNCTION("""COMPUTED_VALUE"""),"5044147_1283483")</f>
        <v>5044147_1283483</v>
      </c>
      <c r="B225" s="43" t="str">
        <f>IFERROR(__xludf.DUMMYFUNCTION("""COMPUTED_VALUE"""),"Angie Katherine Bonilla Suarez")</f>
        <v>Angie Katherine Bonilla Suarez</v>
      </c>
      <c r="C225" s="43" t="str">
        <f>IFERROR(__xludf.DUMMYFUNCTION("""COMPUTED_VALUE"""),"completed")</f>
        <v>completed</v>
      </c>
      <c r="D225" s="43" t="str">
        <f>IFERROR(__xludf.DUMMYFUNCTION("""COMPUTED_VALUE"""),"No")</f>
        <v>No</v>
      </c>
      <c r="E225" s="43" t="str">
        <f>IFERROR(__xludf.DUMMYFUNCTION("""COMPUTED_VALUE"""),"p_7d6a98eae671f26fc1f8655a2e5fb197685427f4@inbound.aiesec.org")</f>
        <v>p_7d6a98eae671f26fc1f8655a2e5fb197685427f4@inbound.aiesec.org</v>
      </c>
      <c r="F225" s="43">
        <f>IFERROR(__xludf.DUMMYFUNCTION("""COMPUTED_VALUE"""),3.115845613E9)</f>
        <v>3115845613</v>
      </c>
      <c r="G225" s="43" t="str">
        <f>IFERROR(__xludf.DUMMYFUNCTION("""COMPUTED_VALUE"""),"Colombia")</f>
        <v>Colombia</v>
      </c>
      <c r="H225" s="43" t="str">
        <f>IFERROR(__xludf.DUMMYFUNCTION("""COMPUTED_VALUE"""),"ROSARIO")</f>
        <v>ROSARIO</v>
      </c>
      <c r="I225" s="43" t="str">
        <f>IFERROR(__xludf.DUMMYFUNCTION("""COMPUTED_VALUE"""),"Turkey")</f>
        <v>Turkey</v>
      </c>
      <c r="J225" s="43" t="str">
        <f>IFERROR(__xludf.DUMMYFUNCTION("""COMPUTED_VALUE"""),"KONYA")</f>
        <v>KONYA</v>
      </c>
      <c r="K225" s="44" t="str">
        <f>IFERROR(__xludf.DUMMYFUNCTION("""COMPUTED_VALUE"""),"https://expa.aiesec.org/opportunities/1283483")</f>
        <v>https://expa.aiesec.org/opportunities/1283483</v>
      </c>
      <c r="L225" s="43" t="str">
        <f>IFERROR(__xludf.DUMMYFUNCTION("""COMPUTED_VALUE"""),"GV")</f>
        <v>GV</v>
      </c>
      <c r="M225" s="43" t="str">
        <f>IFERROR(__xludf.DUMMYFUNCTION("""COMPUTED_VALUE"""),"short")</f>
        <v>short</v>
      </c>
      <c r="N225" s="45">
        <f>IFERROR(__xludf.DUMMYFUNCTION("""COMPUTED_VALUE"""),44868.0)</f>
        <v>44868</v>
      </c>
      <c r="O225" s="45">
        <f>IFERROR(__xludf.DUMMYFUNCTION("""COMPUTED_VALUE"""),45061.0)</f>
        <v>45061</v>
      </c>
      <c r="P225" s="45">
        <f>IFERROR(__xludf.DUMMYFUNCTION("""COMPUTED_VALUE"""),45103.0)</f>
        <v>45103</v>
      </c>
      <c r="Q225" s="45">
        <f>IFERROR(__xludf.DUMMYFUNCTION("""COMPUTED_VALUE"""),45065.0)</f>
        <v>45065</v>
      </c>
      <c r="R225" s="45">
        <f>IFERROR(__xludf.DUMMYFUNCTION("""COMPUTED_VALUE"""),45107.0)</f>
        <v>45107</v>
      </c>
      <c r="S225" s="43"/>
      <c r="T225" s="43"/>
      <c r="U225" s="43" t="str">
        <f>IFERROR(__xludf.DUMMYFUNCTION("""COMPUTED_VALUE"""),"Global Classroom")</f>
        <v>Global Classroom</v>
      </c>
      <c r="V225" s="43" t="str">
        <f>IFERROR(__xludf.DUMMYFUNCTION("""COMPUTED_VALUE"""),"-")</f>
        <v>-</v>
      </c>
      <c r="W225" s="43" t="str">
        <f>IFERROR(__xludf.DUMMYFUNCTION("""COMPUTED_VALUE"""),"2022-04-22T20:39:42Z")</f>
        <v>2022-04-22T20:39:42Z</v>
      </c>
      <c r="X225" s="43"/>
      <c r="Y225" s="43"/>
      <c r="Z225" s="43"/>
    </row>
    <row r="226">
      <c r="A226" s="43" t="str">
        <f>IFERROR(__xludf.DUMMYFUNCTION("""COMPUTED_VALUE"""),"5145456_1289505")</f>
        <v>5145456_1289505</v>
      </c>
      <c r="B226" s="43" t="str">
        <f>IFERROR(__xludf.DUMMYFUNCTION("""COMPUTED_VALUE"""),"zaghdoudi louay")</f>
        <v>zaghdoudi louay</v>
      </c>
      <c r="C226" s="43" t="str">
        <f>IFERROR(__xludf.DUMMYFUNCTION("""COMPUTED_VALUE"""),"approved")</f>
        <v>approved</v>
      </c>
      <c r="D226" s="43" t="str">
        <f>IFERROR(__xludf.DUMMYFUNCTION("""COMPUTED_VALUE"""),"No")</f>
        <v>No</v>
      </c>
      <c r="E226" s="43" t="str">
        <f>IFERROR(__xludf.DUMMYFUNCTION("""COMPUTED_VALUE"""),"p_1ca6f0a886d6a6d26e3a0718f445e2fc4e7c5c6d@inbound.aiesec.org")</f>
        <v>p_1ca6f0a886d6a6d26e3a0718f445e2fc4e7c5c6d@inbound.aiesec.org</v>
      </c>
      <c r="F226" s="43">
        <f>IFERROR(__xludf.DUMMYFUNCTION("""COMPUTED_VALUE"""),5.4116857E7)</f>
        <v>54116857</v>
      </c>
      <c r="G226" s="43" t="str">
        <f>IFERROR(__xludf.DUMMYFUNCTION("""COMPUTED_VALUE"""),"Tunisia")</f>
        <v>Tunisia</v>
      </c>
      <c r="H226" s="43" t="str">
        <f>IFERROR(__xludf.DUMMYFUNCTION("""COMPUTED_VALUE"""),"NABEL")</f>
        <v>NABEL</v>
      </c>
      <c r="I226" s="43" t="str">
        <f>IFERROR(__xludf.DUMMYFUNCTION("""COMPUTED_VALUE"""),"Turkey")</f>
        <v>Turkey</v>
      </c>
      <c r="J226" s="43" t="str">
        <f>IFERROR(__xludf.DUMMYFUNCTION("""COMPUTED_VALUE"""),"KOCAELI")</f>
        <v>KOCAELI</v>
      </c>
      <c r="K226" s="44" t="str">
        <f>IFERROR(__xludf.DUMMYFUNCTION("""COMPUTED_VALUE"""),"https://expa.aiesec.org/opportunities/1289505")</f>
        <v>https://expa.aiesec.org/opportunities/1289505</v>
      </c>
      <c r="L226" s="43" t="str">
        <f>IFERROR(__xludf.DUMMYFUNCTION("""COMPUTED_VALUE"""),"GV")</f>
        <v>GV</v>
      </c>
      <c r="M226" s="43" t="str">
        <f>IFERROR(__xludf.DUMMYFUNCTION("""COMPUTED_VALUE"""),"short")</f>
        <v>short</v>
      </c>
      <c r="N226" s="45">
        <f>IFERROR(__xludf.DUMMYFUNCTION("""COMPUTED_VALUE"""),44869.0)</f>
        <v>44869</v>
      </c>
      <c r="O226" s="45">
        <f>IFERROR(__xludf.DUMMYFUNCTION("""COMPUTED_VALUE"""),45103.0)</f>
        <v>45103</v>
      </c>
      <c r="P226" s="45">
        <f>IFERROR(__xludf.DUMMYFUNCTION("""COMPUTED_VALUE"""),45145.0)</f>
        <v>45145</v>
      </c>
      <c r="Q226" s="45"/>
      <c r="R226" s="45"/>
      <c r="S226" s="43"/>
      <c r="T226" s="43"/>
      <c r="U226" s="43" t="str">
        <f>IFERROR(__xludf.DUMMYFUNCTION("""COMPUTED_VALUE"""),"Youth 4 Impact")</f>
        <v>Youth 4 Impact</v>
      </c>
      <c r="V226" s="43" t="str">
        <f>IFERROR(__xludf.DUMMYFUNCTION("""COMPUTED_VALUE"""),"-")</f>
        <v>-</v>
      </c>
      <c r="W226" s="43" t="str">
        <f>IFERROR(__xludf.DUMMYFUNCTION("""COMPUTED_VALUE"""),"2022-11-02T20:46:26Z")</f>
        <v>2022-11-02T20:46:26Z</v>
      </c>
      <c r="X226" s="43"/>
      <c r="Y226" s="43"/>
      <c r="Z226" s="43"/>
    </row>
    <row r="227" hidden="1">
      <c r="A227" s="43" t="str">
        <f>IFERROR(__xludf.DUMMYFUNCTION("""COMPUTED_VALUE"""),"4668377_1289228")</f>
        <v>4668377_1289228</v>
      </c>
      <c r="B227" s="43" t="str">
        <f>IFERROR(__xludf.DUMMYFUNCTION("""COMPUTED_VALUE"""),"Βασιλική Παπαροϊδάμη")</f>
        <v>Βασιλική Παπαροϊδάμη</v>
      </c>
      <c r="C227" s="43" t="str">
        <f>IFERROR(__xludf.DUMMYFUNCTION("""COMPUTED_VALUE"""),"finished")</f>
        <v>finished</v>
      </c>
      <c r="D227" s="43" t="str">
        <f>IFERROR(__xludf.DUMMYFUNCTION("""COMPUTED_VALUE"""),"No")</f>
        <v>No</v>
      </c>
      <c r="E227" s="43" t="str">
        <f>IFERROR(__xludf.DUMMYFUNCTION("""COMPUTED_VALUE"""),"p_3cbe1e5d4cdfd269f715ef5dabd1c5b0010dd9c0@inbound.aiesec.org")</f>
        <v>p_3cbe1e5d4cdfd269f715ef5dabd1c5b0010dd9c0@inbound.aiesec.org</v>
      </c>
      <c r="F227" s="43">
        <f>IFERROR(__xludf.DUMMYFUNCTION("""COMPUTED_VALUE"""),6.987280304E9)</f>
        <v>6987280304</v>
      </c>
      <c r="G227" s="43" t="str">
        <f>IFERROR(__xludf.DUMMYFUNCTION("""COMPUTED_VALUE"""),"Greece")</f>
        <v>Greece</v>
      </c>
      <c r="H227" s="43" t="str">
        <f>IFERROR(__xludf.DUMMYFUNCTION("""COMPUTED_VALUE"""),"NKUA")</f>
        <v>NKUA</v>
      </c>
      <c r="I227" s="43" t="str">
        <f>IFERROR(__xludf.DUMMYFUNCTION("""COMPUTED_VALUE"""),"Turkey")</f>
        <v>Turkey</v>
      </c>
      <c r="J227" s="43" t="str">
        <f>IFERROR(__xludf.DUMMYFUNCTION("""COMPUTED_VALUE"""),"ISTANBUL WEST")</f>
        <v>ISTANBUL WEST</v>
      </c>
      <c r="K227" s="44" t="str">
        <f>IFERROR(__xludf.DUMMYFUNCTION("""COMPUTED_VALUE"""),"https://expa.aiesec.org/opportunities/1289228")</f>
        <v>https://expa.aiesec.org/opportunities/1289228</v>
      </c>
      <c r="L227" s="43" t="str">
        <f>IFERROR(__xludf.DUMMYFUNCTION("""COMPUTED_VALUE"""),"GV")</f>
        <v>GV</v>
      </c>
      <c r="M227" s="43" t="str">
        <f>IFERROR(__xludf.DUMMYFUNCTION("""COMPUTED_VALUE"""),"short")</f>
        <v>short</v>
      </c>
      <c r="N227" s="45">
        <f>IFERROR(__xludf.DUMMYFUNCTION("""COMPUTED_VALUE"""),44869.0)</f>
        <v>44869</v>
      </c>
      <c r="O227" s="45">
        <f>IFERROR(__xludf.DUMMYFUNCTION("""COMPUTED_VALUE"""),45187.0)</f>
        <v>45187</v>
      </c>
      <c r="P227" s="45">
        <f>IFERROR(__xludf.DUMMYFUNCTION("""COMPUTED_VALUE"""),45229.0)</f>
        <v>45229</v>
      </c>
      <c r="Q227" s="45">
        <f>IFERROR(__xludf.DUMMYFUNCTION("""COMPUTED_VALUE"""),45188.0)</f>
        <v>45188</v>
      </c>
      <c r="R227" s="45">
        <f>IFERROR(__xludf.DUMMYFUNCTION("""COMPUTED_VALUE"""),45229.0)</f>
        <v>45229</v>
      </c>
      <c r="S227" s="43"/>
      <c r="T227" s="43"/>
      <c r="U227" s="43" t="str">
        <f>IFERROR(__xludf.DUMMYFUNCTION("""COMPUTED_VALUE"""),"Global Classroom")</f>
        <v>Global Classroom</v>
      </c>
      <c r="V227" s="43" t="str">
        <f>IFERROR(__xludf.DUMMYFUNCTION("""COMPUTED_VALUE"""),"-")</f>
        <v>-</v>
      </c>
      <c r="W227" s="43" t="str">
        <f>IFERROR(__xludf.DUMMYFUNCTION("""COMPUTED_VALUE"""),"2021-06-15T13:39:12Z")</f>
        <v>2021-06-15T13:39:12Z</v>
      </c>
      <c r="X227" s="43"/>
      <c r="Y227" s="43"/>
      <c r="Z227" s="43"/>
    </row>
    <row r="228">
      <c r="A228" s="43" t="str">
        <f>IFERROR(__xludf.DUMMYFUNCTION("""COMPUTED_VALUE"""),"5143753_1272564")</f>
        <v>5143753_1272564</v>
      </c>
      <c r="B228" s="43" t="str">
        <f>IFERROR(__xludf.DUMMYFUNCTION("""COMPUTED_VALUE"""),"Hajar El Mchari")</f>
        <v>Hajar El Mchari</v>
      </c>
      <c r="C228" s="43" t="str">
        <f>IFERROR(__xludf.DUMMYFUNCTION("""COMPUTED_VALUE"""),"approved")</f>
        <v>approved</v>
      </c>
      <c r="D228" s="43" t="str">
        <f>IFERROR(__xludf.DUMMYFUNCTION("""COMPUTED_VALUE"""),"No")</f>
        <v>No</v>
      </c>
      <c r="E228" s="43" t="str">
        <f>IFERROR(__xludf.DUMMYFUNCTION("""COMPUTED_VALUE"""),"p_f9582c107ed564ba622b1f439cebe8b7f412d598@inbound.aiesec.org")</f>
        <v>p_f9582c107ed564ba622b1f439cebe8b7f412d598@inbound.aiesec.org</v>
      </c>
      <c r="F228" s="43">
        <f>IFERROR(__xludf.DUMMYFUNCTION("""COMPUTED_VALUE"""),6.57720918E8)</f>
        <v>657720918</v>
      </c>
      <c r="G228" s="43" t="str">
        <f>IFERROR(__xludf.DUMMYFUNCTION("""COMPUTED_VALUE"""),"Morocco")</f>
        <v>Morocco</v>
      </c>
      <c r="H228" s="43" t="str">
        <f>IFERROR(__xludf.DUMMYFUNCTION("""COMPUTED_VALUE"""),"Ifrane")</f>
        <v>Ifrane</v>
      </c>
      <c r="I228" s="43" t="str">
        <f>IFERROR(__xludf.DUMMYFUNCTION("""COMPUTED_VALUE"""),"Turkey")</f>
        <v>Turkey</v>
      </c>
      <c r="J228" s="43" t="str">
        <f>IFERROR(__xludf.DUMMYFUNCTION("""COMPUTED_VALUE"""),"ISTANBUL")</f>
        <v>ISTANBUL</v>
      </c>
      <c r="K228" s="44" t="str">
        <f>IFERROR(__xludf.DUMMYFUNCTION("""COMPUTED_VALUE"""),"https://expa.aiesec.org/opportunities/1272564")</f>
        <v>https://expa.aiesec.org/opportunities/1272564</v>
      </c>
      <c r="L228" s="43" t="str">
        <f>IFERROR(__xludf.DUMMYFUNCTION("""COMPUTED_VALUE"""),"GV")</f>
        <v>GV</v>
      </c>
      <c r="M228" s="43" t="str">
        <f>IFERROR(__xludf.DUMMYFUNCTION("""COMPUTED_VALUE"""),"short")</f>
        <v>short</v>
      </c>
      <c r="N228" s="45">
        <f>IFERROR(__xludf.DUMMYFUNCTION("""COMPUTED_VALUE"""),44869.0)</f>
        <v>44869</v>
      </c>
      <c r="O228" s="45">
        <f>IFERROR(__xludf.DUMMYFUNCTION("""COMPUTED_VALUE"""),44942.0)</f>
        <v>44942</v>
      </c>
      <c r="P228" s="45">
        <f>IFERROR(__xludf.DUMMYFUNCTION("""COMPUTED_VALUE"""),44984.0)</f>
        <v>44984</v>
      </c>
      <c r="Q228" s="45"/>
      <c r="R228" s="45"/>
      <c r="S228" s="43"/>
      <c r="T228" s="43"/>
      <c r="U228" s="43" t="str">
        <f>IFERROR(__xludf.DUMMYFUNCTION("""COMPUTED_VALUE"""),"Global Classroom")</f>
        <v>Global Classroom</v>
      </c>
      <c r="V228" s="43" t="str">
        <f>IFERROR(__xludf.DUMMYFUNCTION("""COMPUTED_VALUE"""),"AL Akhawayn University - AUI")</f>
        <v>AL Akhawayn University - AUI</v>
      </c>
      <c r="W228" s="43" t="str">
        <f>IFERROR(__xludf.DUMMYFUNCTION("""COMPUTED_VALUE"""),"2022-10-31T14:35:22Z")</f>
        <v>2022-10-31T14:35:22Z</v>
      </c>
      <c r="X228" s="43"/>
      <c r="Y228" s="43"/>
      <c r="Z228" s="43"/>
    </row>
    <row r="229" hidden="1">
      <c r="A229" s="43" t="str">
        <f>IFERROR(__xludf.DUMMYFUNCTION("""COMPUTED_VALUE"""),"5145266_1288616")</f>
        <v>5145266_1288616</v>
      </c>
      <c r="B229" s="43" t="str">
        <f>IFERROR(__xludf.DUMMYFUNCTION("""COMPUTED_VALUE"""),"Saniya Patel")</f>
        <v>Saniya Patel</v>
      </c>
      <c r="C229" s="43" t="str">
        <f>IFERROR(__xludf.DUMMYFUNCTION("""COMPUTED_VALUE"""),"completed")</f>
        <v>completed</v>
      </c>
      <c r="D229" s="43" t="str">
        <f>IFERROR(__xludf.DUMMYFUNCTION("""COMPUTED_VALUE"""),"No")</f>
        <v>No</v>
      </c>
      <c r="E229" s="43" t="str">
        <f>IFERROR(__xludf.DUMMYFUNCTION("""COMPUTED_VALUE"""),"p_d038d58670131e8900a790373c141b3a20b5c2a8@inbound.aiesec.org")</f>
        <v>p_d038d58670131e8900a790373c141b3a20b5c2a8@inbound.aiesec.org</v>
      </c>
      <c r="F229" s="43">
        <f>IFERROR(__xludf.DUMMYFUNCTION("""COMPUTED_VALUE"""),9.924277111E9)</f>
        <v>9924277111</v>
      </c>
      <c r="G229" s="43" t="str">
        <f>IFERROR(__xludf.DUMMYFUNCTION("""COMPUTED_VALUE"""),"India")</f>
        <v>India</v>
      </c>
      <c r="H229" s="43" t="str">
        <f>IFERROR(__xludf.DUMMYFUNCTION("""COMPUTED_VALUE"""),"Ahmedabad")</f>
        <v>Ahmedabad</v>
      </c>
      <c r="I229" s="43" t="str">
        <f>IFERROR(__xludf.DUMMYFUNCTION("""COMPUTED_VALUE"""),"Turkey")</f>
        <v>Turkey</v>
      </c>
      <c r="J229" s="43" t="str">
        <f>IFERROR(__xludf.DUMMYFUNCTION("""COMPUTED_VALUE"""),"ANKARA")</f>
        <v>ANKARA</v>
      </c>
      <c r="K229" s="44" t="str">
        <f>IFERROR(__xludf.DUMMYFUNCTION("""COMPUTED_VALUE"""),"https://expa.aiesec.org/opportunities/1288616")</f>
        <v>https://expa.aiesec.org/opportunities/1288616</v>
      </c>
      <c r="L229" s="43" t="str">
        <f>IFERROR(__xludf.DUMMYFUNCTION("""COMPUTED_VALUE"""),"GV")</f>
        <v>GV</v>
      </c>
      <c r="M229" s="43" t="str">
        <f>IFERROR(__xludf.DUMMYFUNCTION("""COMPUTED_VALUE"""),"short")</f>
        <v>short</v>
      </c>
      <c r="N229" s="45">
        <f>IFERROR(__xludf.DUMMYFUNCTION("""COMPUTED_VALUE"""),44871.0)</f>
        <v>44871</v>
      </c>
      <c r="O229" s="45">
        <f>IFERROR(__xludf.DUMMYFUNCTION("""COMPUTED_VALUE"""),44912.0)</f>
        <v>44912</v>
      </c>
      <c r="P229" s="45">
        <f>IFERROR(__xludf.DUMMYFUNCTION("""COMPUTED_VALUE"""),44954.0)</f>
        <v>44954</v>
      </c>
      <c r="Q229" s="45">
        <f>IFERROR(__xludf.DUMMYFUNCTION("""COMPUTED_VALUE"""),44911.0)</f>
        <v>44911</v>
      </c>
      <c r="R229" s="45">
        <f>IFERROR(__xludf.DUMMYFUNCTION("""COMPUTED_VALUE"""),44956.0)</f>
        <v>44956</v>
      </c>
      <c r="S229" s="43"/>
      <c r="T229" s="43"/>
      <c r="U229" s="43" t="str">
        <f>IFERROR(__xludf.DUMMYFUNCTION("""COMPUTED_VALUE"""),"Global Classroom")</f>
        <v>Global Classroom</v>
      </c>
      <c r="V229" s="43" t="str">
        <f>IFERROR(__xludf.DUMMYFUNCTION("""COMPUTED_VALUE"""),"Pandit Deendayal Petroleum University (PDPU), Ahmedabad")</f>
        <v>Pandit Deendayal Petroleum University (PDPU), Ahmedabad</v>
      </c>
      <c r="W229" s="43" t="str">
        <f>IFERROR(__xludf.DUMMYFUNCTION("""COMPUTED_VALUE"""),"2022-11-02T17:09:47Z")</f>
        <v>2022-11-02T17:09:47Z</v>
      </c>
      <c r="X229" s="43"/>
      <c r="Y229" s="43"/>
      <c r="Z229" s="43"/>
    </row>
    <row r="230" hidden="1">
      <c r="A230" s="43" t="str">
        <f>IFERROR(__xludf.DUMMYFUNCTION("""COMPUTED_VALUE"""),"4889973_1288616")</f>
        <v>4889973_1288616</v>
      </c>
      <c r="B230" s="43" t="str">
        <f>IFERROR(__xludf.DUMMYFUNCTION("""COMPUTED_VALUE"""),"Sweni desai")</f>
        <v>Sweni desai</v>
      </c>
      <c r="C230" s="43" t="str">
        <f>IFERROR(__xludf.DUMMYFUNCTION("""COMPUTED_VALUE"""),"completed")</f>
        <v>completed</v>
      </c>
      <c r="D230" s="43" t="str">
        <f>IFERROR(__xludf.DUMMYFUNCTION("""COMPUTED_VALUE"""),"No")</f>
        <v>No</v>
      </c>
      <c r="E230" s="43" t="str">
        <f>IFERROR(__xludf.DUMMYFUNCTION("""COMPUTED_VALUE"""),"p_013363c054e9ffa734e537e2bc86a2a9c81c3e48@inbound.aiesec.org")</f>
        <v>p_013363c054e9ffa734e537e2bc86a2a9c81c3e48@inbound.aiesec.org</v>
      </c>
      <c r="F230" s="43">
        <f>IFERROR(__xludf.DUMMYFUNCTION("""COMPUTED_VALUE"""),8.780940538E9)</f>
        <v>8780940538</v>
      </c>
      <c r="G230" s="43" t="str">
        <f>IFERROR(__xludf.DUMMYFUNCTION("""COMPUTED_VALUE"""),"India")</f>
        <v>India</v>
      </c>
      <c r="H230" s="43" t="str">
        <f>IFERROR(__xludf.DUMMYFUNCTION("""COMPUTED_VALUE"""),"Ahmedabad")</f>
        <v>Ahmedabad</v>
      </c>
      <c r="I230" s="43" t="str">
        <f>IFERROR(__xludf.DUMMYFUNCTION("""COMPUTED_VALUE"""),"Turkey")</f>
        <v>Turkey</v>
      </c>
      <c r="J230" s="43" t="str">
        <f>IFERROR(__xludf.DUMMYFUNCTION("""COMPUTED_VALUE"""),"ANKARA")</f>
        <v>ANKARA</v>
      </c>
      <c r="K230" s="44" t="str">
        <f>IFERROR(__xludf.DUMMYFUNCTION("""COMPUTED_VALUE"""),"https://expa.aiesec.org/opportunities/1288616")</f>
        <v>https://expa.aiesec.org/opportunities/1288616</v>
      </c>
      <c r="L230" s="43" t="str">
        <f>IFERROR(__xludf.DUMMYFUNCTION("""COMPUTED_VALUE"""),"GV")</f>
        <v>GV</v>
      </c>
      <c r="M230" s="43" t="str">
        <f>IFERROR(__xludf.DUMMYFUNCTION("""COMPUTED_VALUE"""),"short")</f>
        <v>short</v>
      </c>
      <c r="N230" s="45">
        <f>IFERROR(__xludf.DUMMYFUNCTION("""COMPUTED_VALUE"""),44871.0)</f>
        <v>44871</v>
      </c>
      <c r="O230" s="45">
        <f>IFERROR(__xludf.DUMMYFUNCTION("""COMPUTED_VALUE"""),44912.0)</f>
        <v>44912</v>
      </c>
      <c r="P230" s="45">
        <f>IFERROR(__xludf.DUMMYFUNCTION("""COMPUTED_VALUE"""),44954.0)</f>
        <v>44954</v>
      </c>
      <c r="Q230" s="45">
        <f>IFERROR(__xludf.DUMMYFUNCTION("""COMPUTED_VALUE"""),44911.0)</f>
        <v>44911</v>
      </c>
      <c r="R230" s="45">
        <f>IFERROR(__xludf.DUMMYFUNCTION("""COMPUTED_VALUE"""),44956.0)</f>
        <v>44956</v>
      </c>
      <c r="S230" s="43"/>
      <c r="T230" s="43"/>
      <c r="U230" s="43" t="str">
        <f>IFERROR(__xludf.DUMMYFUNCTION("""COMPUTED_VALUE"""),"Global Classroom")</f>
        <v>Global Classroom</v>
      </c>
      <c r="V230" s="43" t="str">
        <f>IFERROR(__xludf.DUMMYFUNCTION("""COMPUTED_VALUE"""),"Pandit Deendayal Petroleum University (PDPU), Ahmedabad")</f>
        <v>Pandit Deendayal Petroleum University (PDPU), Ahmedabad</v>
      </c>
      <c r="W230" s="43" t="str">
        <f>IFERROR(__xludf.DUMMYFUNCTION("""COMPUTED_VALUE"""),"2022-01-19T22:30:03Z")</f>
        <v>2022-01-19T22:30:03Z</v>
      </c>
      <c r="X230" s="43"/>
      <c r="Y230" s="43"/>
      <c r="Z230" s="43"/>
    </row>
    <row r="231" hidden="1">
      <c r="A231" s="43" t="str">
        <f>IFERROR(__xludf.DUMMYFUNCTION("""COMPUTED_VALUE"""),"5144521_1288711")</f>
        <v>5144521_1288711</v>
      </c>
      <c r="B231" s="43" t="str">
        <f>IFERROR(__xludf.DUMMYFUNCTION("""COMPUTED_VALUE"""),"deleted 5144521")</f>
        <v>deleted 5144521</v>
      </c>
      <c r="C231" s="43" t="str">
        <f>IFERROR(__xludf.DUMMYFUNCTION("""COMPUTED_VALUE"""),"completed")</f>
        <v>completed</v>
      </c>
      <c r="D231" s="43" t="str">
        <f>IFERROR(__xludf.DUMMYFUNCTION("""COMPUTED_VALUE"""),"No")</f>
        <v>No</v>
      </c>
      <c r="E231" s="43" t="str">
        <f>IFERROR(__xludf.DUMMYFUNCTION("""COMPUTED_VALUE"""),"p_3ccec2d9a841ca02223809ce1994482bf0e05d30@inbound.aiesec.org")</f>
        <v>p_3ccec2d9a841ca02223809ce1994482bf0e05d30@inbound.aiesec.org</v>
      </c>
      <c r="F231" s="43"/>
      <c r="G231" s="43" t="str">
        <f>IFERROR(__xludf.DUMMYFUNCTION("""COMPUTED_VALUE"""),"Portugal")</f>
        <v>Portugal</v>
      </c>
      <c r="H231" s="43" t="str">
        <f>IFERROR(__xludf.DUMMYFUNCTION("""COMPUTED_VALUE"""),"UMINHO")</f>
        <v>UMINHO</v>
      </c>
      <c r="I231" s="43" t="str">
        <f>IFERROR(__xludf.DUMMYFUNCTION("""COMPUTED_VALUE"""),"Turkey")</f>
        <v>Turkey</v>
      </c>
      <c r="J231" s="43" t="str">
        <f>IFERROR(__xludf.DUMMYFUNCTION("""COMPUTED_VALUE"""),"TRABZON")</f>
        <v>TRABZON</v>
      </c>
      <c r="K231" s="44" t="str">
        <f>IFERROR(__xludf.DUMMYFUNCTION("""COMPUTED_VALUE"""),"https://expa.aiesec.org/opportunities/1288711")</f>
        <v>https://expa.aiesec.org/opportunities/1288711</v>
      </c>
      <c r="L231" s="43" t="str">
        <f>IFERROR(__xludf.DUMMYFUNCTION("""COMPUTED_VALUE"""),"GV")</f>
        <v>GV</v>
      </c>
      <c r="M231" s="43" t="str">
        <f>IFERROR(__xludf.DUMMYFUNCTION("""COMPUTED_VALUE"""),"short")</f>
        <v>short</v>
      </c>
      <c r="N231" s="45">
        <f>IFERROR(__xludf.DUMMYFUNCTION("""COMPUTED_VALUE"""),44871.0)</f>
        <v>44871</v>
      </c>
      <c r="O231" s="45">
        <f>IFERROR(__xludf.DUMMYFUNCTION("""COMPUTED_VALUE"""),45109.0)</f>
        <v>45109</v>
      </c>
      <c r="P231" s="45">
        <f>IFERROR(__xludf.DUMMYFUNCTION("""COMPUTED_VALUE"""),45151.0)</f>
        <v>45151</v>
      </c>
      <c r="Q231" s="45">
        <f>IFERROR(__xludf.DUMMYFUNCTION("""COMPUTED_VALUE"""),45106.0)</f>
        <v>45106</v>
      </c>
      <c r="R231" s="45">
        <f>IFERROR(__xludf.DUMMYFUNCTION("""COMPUTED_VALUE"""),45151.0)</f>
        <v>45151</v>
      </c>
      <c r="S231" s="43"/>
      <c r="T231" s="43"/>
      <c r="U231" s="43" t="str">
        <f>IFERROR(__xludf.DUMMYFUNCTION("""COMPUTED_VALUE"""),"Global Classroom")</f>
        <v>Global Classroom</v>
      </c>
      <c r="V231" s="43" t="str">
        <f>IFERROR(__xludf.DUMMYFUNCTION("""COMPUTED_VALUE"""),"Universidade do Minho - Instituto de Letras e Ciências Humanas (ILCH)")</f>
        <v>Universidade do Minho - Instituto de Letras e Ciências Humanas (ILCH)</v>
      </c>
      <c r="W231" s="43" t="str">
        <f>IFERROR(__xludf.DUMMYFUNCTION("""COMPUTED_VALUE"""),"2022-11-01T16:28:41Z")</f>
        <v>2022-11-01T16:28:41Z</v>
      </c>
      <c r="X231" s="43"/>
      <c r="Y231" s="43"/>
      <c r="Z231" s="43"/>
    </row>
    <row r="232" hidden="1">
      <c r="A232" s="43" t="str">
        <f>IFERROR(__xludf.DUMMYFUNCTION("""COMPUTED_VALUE"""),"5144164_1287855")</f>
        <v>5144164_1287855</v>
      </c>
      <c r="B232" s="43" t="str">
        <f>IFERROR(__xludf.DUMMYFUNCTION("""COMPUTED_VALUE"""),"Laila Bakkar")</f>
        <v>Laila Bakkar</v>
      </c>
      <c r="C232" s="43" t="str">
        <f>IFERROR(__xludf.DUMMYFUNCTION("""COMPUTED_VALUE"""),"realization_broken")</f>
        <v>realization_broken</v>
      </c>
      <c r="D232" s="43" t="str">
        <f>IFERROR(__xludf.DUMMYFUNCTION("""COMPUTED_VALUE"""),"No")</f>
        <v>No</v>
      </c>
      <c r="E232" s="43" t="str">
        <f>IFERROR(__xludf.DUMMYFUNCTION("""COMPUTED_VALUE"""),"p_3d0da91428457a62067055f2b8765ca04090f66c@inbound.aiesec.org")</f>
        <v>p_3d0da91428457a62067055f2b8765ca04090f66c@inbound.aiesec.org</v>
      </c>
      <c r="F232" s="43">
        <f>IFERROR(__xludf.DUMMYFUNCTION("""COMPUTED_VALUE"""),6.51421383E8)</f>
        <v>651421383</v>
      </c>
      <c r="G232" s="43" t="str">
        <f>IFERROR(__xludf.DUMMYFUNCTION("""COMPUTED_VALUE"""),"Morocco")</f>
        <v>Morocco</v>
      </c>
      <c r="H232" s="43" t="str">
        <f>IFERROR(__xludf.DUMMYFUNCTION("""COMPUTED_VALUE"""),"Tangier")</f>
        <v>Tangier</v>
      </c>
      <c r="I232" s="43" t="str">
        <f>IFERROR(__xludf.DUMMYFUNCTION("""COMPUTED_VALUE"""),"Turkey")</f>
        <v>Turkey</v>
      </c>
      <c r="J232" s="43" t="str">
        <f>IFERROR(__xludf.DUMMYFUNCTION("""COMPUTED_VALUE"""),"İZMİR")</f>
        <v>İZMİR</v>
      </c>
      <c r="K232" s="44" t="str">
        <f>IFERROR(__xludf.DUMMYFUNCTION("""COMPUTED_VALUE"""),"https://expa.aiesec.org/opportunities/1287855")</f>
        <v>https://expa.aiesec.org/opportunities/1287855</v>
      </c>
      <c r="L232" s="43" t="str">
        <f>IFERROR(__xludf.DUMMYFUNCTION("""COMPUTED_VALUE"""),"GV")</f>
        <v>GV</v>
      </c>
      <c r="M232" s="43" t="str">
        <f>IFERROR(__xludf.DUMMYFUNCTION("""COMPUTED_VALUE"""),"short")</f>
        <v>short</v>
      </c>
      <c r="N232" s="45">
        <f>IFERROR(__xludf.DUMMYFUNCTION("""COMPUTED_VALUE"""),44872.0)</f>
        <v>44872</v>
      </c>
      <c r="O232" s="45">
        <f>IFERROR(__xludf.DUMMYFUNCTION("""COMPUTED_VALUE"""),44948.0)</f>
        <v>44948</v>
      </c>
      <c r="P232" s="45">
        <f>IFERROR(__xludf.DUMMYFUNCTION("""COMPUTED_VALUE"""),44990.0)</f>
        <v>44990</v>
      </c>
      <c r="Q232" s="45"/>
      <c r="R232" s="45"/>
      <c r="S232" s="43"/>
      <c r="T232" s="43"/>
      <c r="U232" s="43" t="str">
        <f>IFERROR(__xludf.DUMMYFUNCTION("""COMPUTED_VALUE"""),"Global Classroom")</f>
        <v>Global Classroom</v>
      </c>
      <c r="V232" s="43" t="str">
        <f>IFERROR(__xludf.DUMMYFUNCTION("""COMPUTED_VALUE"""),"Ecole Nationale De Commerce Et De Gestion Tanger (ENCGT)")</f>
        <v>Ecole Nationale De Commerce Et De Gestion Tanger (ENCGT)</v>
      </c>
      <c r="W232" s="43" t="str">
        <f>IFERROR(__xludf.DUMMYFUNCTION("""COMPUTED_VALUE"""),"2022-11-01T01:24:49Z")</f>
        <v>2022-11-01T01:24:49Z</v>
      </c>
      <c r="X232" s="43"/>
      <c r="Y232" s="43"/>
      <c r="Z232" s="43"/>
    </row>
    <row r="233" hidden="1">
      <c r="A233" s="43" t="str">
        <f>IFERROR(__xludf.DUMMYFUNCTION("""COMPUTED_VALUE"""),"5085080_1287966")</f>
        <v>5085080_1287966</v>
      </c>
      <c r="B233" s="43" t="str">
        <f>IFERROR(__xludf.DUMMYFUNCTION("""COMPUTED_VALUE"""),"Shereen Ashraf Ali")</f>
        <v>Shereen Ashraf Ali</v>
      </c>
      <c r="C233" s="43" t="str">
        <f>IFERROR(__xludf.DUMMYFUNCTION("""COMPUTED_VALUE"""),"finished")</f>
        <v>finished</v>
      </c>
      <c r="D233" s="43" t="str">
        <f>IFERROR(__xludf.DUMMYFUNCTION("""COMPUTED_VALUE"""),"No")</f>
        <v>No</v>
      </c>
      <c r="E233" s="43" t="str">
        <f>IFERROR(__xludf.DUMMYFUNCTION("""COMPUTED_VALUE"""),"p_c705522062ee2ba8b692b22118ec669212872c70@inbound.aiesec.org")</f>
        <v>p_c705522062ee2ba8b692b22118ec669212872c70@inbound.aiesec.org</v>
      </c>
      <c r="F233" s="43">
        <f>IFERROR(__xludf.DUMMYFUNCTION("""COMPUTED_VALUE"""),1.063004721E9)</f>
        <v>1063004721</v>
      </c>
      <c r="G233" s="43" t="str">
        <f>IFERROR(__xludf.DUMMYFUNCTION("""COMPUTED_VALUE"""),"Egypt")</f>
        <v>Egypt</v>
      </c>
      <c r="H233" s="43" t="str">
        <f>IFERROR(__xludf.DUMMYFUNCTION("""COMPUTED_VALUE"""),"Tanta")</f>
        <v>Tanta</v>
      </c>
      <c r="I233" s="43" t="str">
        <f>IFERROR(__xludf.DUMMYFUNCTION("""COMPUTED_VALUE"""),"Turkey")</f>
        <v>Turkey</v>
      </c>
      <c r="J233" s="43" t="str">
        <f>IFERROR(__xludf.DUMMYFUNCTION("""COMPUTED_VALUE"""),"ISTANBUL")</f>
        <v>ISTANBUL</v>
      </c>
      <c r="K233" s="44" t="str">
        <f>IFERROR(__xludf.DUMMYFUNCTION("""COMPUTED_VALUE"""),"https://expa.aiesec.org/opportunities/1287966")</f>
        <v>https://expa.aiesec.org/opportunities/1287966</v>
      </c>
      <c r="L233" s="43" t="str">
        <f>IFERROR(__xludf.DUMMYFUNCTION("""COMPUTED_VALUE"""),"GV")</f>
        <v>GV</v>
      </c>
      <c r="M233" s="43" t="str">
        <f>IFERROR(__xludf.DUMMYFUNCTION("""COMPUTED_VALUE"""),"short")</f>
        <v>short</v>
      </c>
      <c r="N233" s="45">
        <f>IFERROR(__xludf.DUMMYFUNCTION("""COMPUTED_VALUE"""),44873.0)</f>
        <v>44873</v>
      </c>
      <c r="O233" s="45">
        <f>IFERROR(__xludf.DUMMYFUNCTION("""COMPUTED_VALUE"""),44900.0)</f>
        <v>44900</v>
      </c>
      <c r="P233" s="45">
        <f>IFERROR(__xludf.DUMMYFUNCTION("""COMPUTED_VALUE"""),44942.0)</f>
        <v>44942</v>
      </c>
      <c r="Q233" s="45">
        <f>IFERROR(__xludf.DUMMYFUNCTION("""COMPUTED_VALUE"""),44915.0)</f>
        <v>44915</v>
      </c>
      <c r="R233" s="45">
        <f>IFERROR(__xludf.DUMMYFUNCTION("""COMPUTED_VALUE"""),44957.0)</f>
        <v>44957</v>
      </c>
      <c r="S233" s="43"/>
      <c r="T233" s="43"/>
      <c r="U233" s="43" t="str">
        <f>IFERROR(__xludf.DUMMYFUNCTION("""COMPUTED_VALUE"""),"Heartbeat")</f>
        <v>Heartbeat</v>
      </c>
      <c r="V233" s="43" t="str">
        <f>IFERROR(__xludf.DUMMYFUNCTION("""COMPUTED_VALUE"""),"Tanta")</f>
        <v>Tanta</v>
      </c>
      <c r="W233" s="43" t="str">
        <f>IFERROR(__xludf.DUMMYFUNCTION("""COMPUTED_VALUE"""),"2022-07-22T17:33:28Z")</f>
        <v>2022-07-22T17:33:28Z</v>
      </c>
      <c r="X233" s="43"/>
      <c r="Y233" s="43"/>
      <c r="Z233" s="43"/>
    </row>
    <row r="234" hidden="1">
      <c r="A234" s="43" t="str">
        <f>IFERROR(__xludf.DUMMYFUNCTION("""COMPUTED_VALUE"""),"5144315_1288711")</f>
        <v>5144315_1288711</v>
      </c>
      <c r="B234" s="43" t="str">
        <f>IFERROR(__xludf.DUMMYFUNCTION("""COMPUTED_VALUE"""),"Beatriz Silva")</f>
        <v>Beatriz Silva</v>
      </c>
      <c r="C234" s="43" t="str">
        <f>IFERROR(__xludf.DUMMYFUNCTION("""COMPUTED_VALUE"""),"completed")</f>
        <v>completed</v>
      </c>
      <c r="D234" s="43" t="str">
        <f>IFERROR(__xludf.DUMMYFUNCTION("""COMPUTED_VALUE"""),"No")</f>
        <v>No</v>
      </c>
      <c r="E234" s="43" t="str">
        <f>IFERROR(__xludf.DUMMYFUNCTION("""COMPUTED_VALUE"""),"p_0cdc0b39183a6e519d26c4832374a96c6ed96694@inbound.aiesec.org")</f>
        <v>p_0cdc0b39183a6e519d26c4832374a96c6ed96694@inbound.aiesec.org</v>
      </c>
      <c r="F234" s="43"/>
      <c r="G234" s="43" t="str">
        <f>IFERROR(__xludf.DUMMYFUNCTION("""COMPUTED_VALUE"""),"Portugal")</f>
        <v>Portugal</v>
      </c>
      <c r="H234" s="43" t="str">
        <f>IFERROR(__xludf.DUMMYFUNCTION("""COMPUTED_VALUE"""),"UMINHO")</f>
        <v>UMINHO</v>
      </c>
      <c r="I234" s="43" t="str">
        <f>IFERROR(__xludf.DUMMYFUNCTION("""COMPUTED_VALUE"""),"Turkey")</f>
        <v>Turkey</v>
      </c>
      <c r="J234" s="43" t="str">
        <f>IFERROR(__xludf.DUMMYFUNCTION("""COMPUTED_VALUE"""),"TRABZON")</f>
        <v>TRABZON</v>
      </c>
      <c r="K234" s="44" t="str">
        <f>IFERROR(__xludf.DUMMYFUNCTION("""COMPUTED_VALUE"""),"https://expa.aiesec.org/opportunities/1288711")</f>
        <v>https://expa.aiesec.org/opportunities/1288711</v>
      </c>
      <c r="L234" s="43" t="str">
        <f>IFERROR(__xludf.DUMMYFUNCTION("""COMPUTED_VALUE"""),"GV")</f>
        <v>GV</v>
      </c>
      <c r="M234" s="43" t="str">
        <f>IFERROR(__xludf.DUMMYFUNCTION("""COMPUTED_VALUE"""),"short")</f>
        <v>short</v>
      </c>
      <c r="N234" s="45">
        <f>IFERROR(__xludf.DUMMYFUNCTION("""COMPUTED_VALUE"""),44873.0)</f>
        <v>44873</v>
      </c>
      <c r="O234" s="45">
        <f>IFERROR(__xludf.DUMMYFUNCTION("""COMPUTED_VALUE"""),45109.0)</f>
        <v>45109</v>
      </c>
      <c r="P234" s="45">
        <f>IFERROR(__xludf.DUMMYFUNCTION("""COMPUTED_VALUE"""),45151.0)</f>
        <v>45151</v>
      </c>
      <c r="Q234" s="45">
        <f>IFERROR(__xludf.DUMMYFUNCTION("""COMPUTED_VALUE"""),45113.0)</f>
        <v>45113</v>
      </c>
      <c r="R234" s="45">
        <f>IFERROR(__xludf.DUMMYFUNCTION("""COMPUTED_VALUE"""),45155.0)</f>
        <v>45155</v>
      </c>
      <c r="S234" s="43"/>
      <c r="T234" s="43"/>
      <c r="U234" s="43" t="str">
        <f>IFERROR(__xludf.DUMMYFUNCTION("""COMPUTED_VALUE"""),"Global Classroom")</f>
        <v>Global Classroom</v>
      </c>
      <c r="V234" s="43" t="str">
        <f>IFERROR(__xludf.DUMMYFUNCTION("""COMPUTED_VALUE"""),"Universidade do Minho - Escola de Engenharia (EEUM)")</f>
        <v>Universidade do Minho - Escola de Engenharia (EEUM)</v>
      </c>
      <c r="W234" s="43" t="str">
        <f>IFERROR(__xludf.DUMMYFUNCTION("""COMPUTED_VALUE"""),"2022-11-01T11:31:13Z")</f>
        <v>2022-11-01T11:31:13Z</v>
      </c>
      <c r="X234" s="43"/>
      <c r="Y234" s="43"/>
      <c r="Z234" s="43"/>
    </row>
    <row r="235" hidden="1">
      <c r="A235" s="43" t="str">
        <f>IFERROR(__xludf.DUMMYFUNCTION("""COMPUTED_VALUE"""),"5139734_1284081")</f>
        <v>5139734_1284081</v>
      </c>
      <c r="B235" s="43" t="str">
        <f>IFERROR(__xludf.DUMMYFUNCTION("""COMPUTED_VALUE"""),"Laura Gonçalves Patricio")</f>
        <v>Laura Gonçalves Patricio</v>
      </c>
      <c r="C235" s="43" t="str">
        <f>IFERROR(__xludf.DUMMYFUNCTION("""COMPUTED_VALUE"""),"finished")</f>
        <v>finished</v>
      </c>
      <c r="D235" s="43" t="str">
        <f>IFERROR(__xludf.DUMMYFUNCTION("""COMPUTED_VALUE"""),"No")</f>
        <v>No</v>
      </c>
      <c r="E235" s="43" t="str">
        <f>IFERROR(__xludf.DUMMYFUNCTION("""COMPUTED_VALUE"""),"p_ada0d1fedfc7e9a7185447e793fb11104b29236a@inbound.aiesec.org")</f>
        <v>p_ada0d1fedfc7e9a7185447e793fb11104b29236a@inbound.aiesec.org</v>
      </c>
      <c r="F235" s="43"/>
      <c r="G235" s="43" t="str">
        <f>IFERROR(__xludf.DUMMYFUNCTION("""COMPUTED_VALUE"""),"Brazil")</f>
        <v>Brazil</v>
      </c>
      <c r="H235" s="43" t="str">
        <f>IFERROR(__xludf.DUMMYFUNCTION("""COMPUTED_VALUE"""),"PORTO ALEGRE")</f>
        <v>PORTO ALEGRE</v>
      </c>
      <c r="I235" s="43" t="str">
        <f>IFERROR(__xludf.DUMMYFUNCTION("""COMPUTED_VALUE"""),"Turkey")</f>
        <v>Turkey</v>
      </c>
      <c r="J235" s="43" t="str">
        <f>IFERROR(__xludf.DUMMYFUNCTION("""COMPUTED_VALUE"""),"KOCAELI")</f>
        <v>KOCAELI</v>
      </c>
      <c r="K235" s="44" t="str">
        <f>IFERROR(__xludf.DUMMYFUNCTION("""COMPUTED_VALUE"""),"https://expa.aiesec.org/opportunities/1284081")</f>
        <v>https://expa.aiesec.org/opportunities/1284081</v>
      </c>
      <c r="L235" s="43" t="str">
        <f>IFERROR(__xludf.DUMMYFUNCTION("""COMPUTED_VALUE"""),"GV")</f>
        <v>GV</v>
      </c>
      <c r="M235" s="43" t="str">
        <f>IFERROR(__xludf.DUMMYFUNCTION("""COMPUTED_VALUE"""),"short")</f>
        <v>short</v>
      </c>
      <c r="N235" s="45">
        <f>IFERROR(__xludf.DUMMYFUNCTION("""COMPUTED_VALUE"""),44873.0)</f>
        <v>44873</v>
      </c>
      <c r="O235" s="45">
        <f>IFERROR(__xludf.DUMMYFUNCTION("""COMPUTED_VALUE"""),45040.0)</f>
        <v>45040</v>
      </c>
      <c r="P235" s="45">
        <f>IFERROR(__xludf.DUMMYFUNCTION("""COMPUTED_VALUE"""),45082.0)</f>
        <v>45082</v>
      </c>
      <c r="Q235" s="45">
        <f>IFERROR(__xludf.DUMMYFUNCTION("""COMPUTED_VALUE"""),45040.0)</f>
        <v>45040</v>
      </c>
      <c r="R235" s="45">
        <f>IFERROR(__xludf.DUMMYFUNCTION("""COMPUTED_VALUE"""),45082.0)</f>
        <v>45082</v>
      </c>
      <c r="S235" s="43"/>
      <c r="T235" s="43"/>
      <c r="U235" s="43" t="str">
        <f>IFERROR(__xludf.DUMMYFUNCTION("""COMPUTED_VALUE"""),"Global Classroom")</f>
        <v>Global Classroom</v>
      </c>
      <c r="V235" s="43" t="str">
        <f>IFERROR(__xludf.DUMMYFUNCTION("""COMPUTED_VALUE"""),"Porto Alegre")</f>
        <v>Porto Alegre</v>
      </c>
      <c r="W235" s="43" t="str">
        <f>IFERROR(__xludf.DUMMYFUNCTION("""COMPUTED_VALUE"""),"2022-10-24T19:54:56Z")</f>
        <v>2022-10-24T19:54:56Z</v>
      </c>
      <c r="X235" s="43"/>
      <c r="Y235" s="43"/>
      <c r="Z235" s="43"/>
    </row>
    <row r="236" hidden="1">
      <c r="A236" s="43" t="str">
        <f>IFERROR(__xludf.DUMMYFUNCTION("""COMPUTED_VALUE"""),"5145882_1288497")</f>
        <v>5145882_1288497</v>
      </c>
      <c r="B236" s="43" t="str">
        <f>IFERROR(__xludf.DUMMYFUNCTION("""COMPUTED_VALUE"""),"sameh said")</f>
        <v>sameh said</v>
      </c>
      <c r="C236" s="43" t="str">
        <f>IFERROR(__xludf.DUMMYFUNCTION("""COMPUTED_VALUE"""),"approved")</f>
        <v>approved</v>
      </c>
      <c r="D236" s="43" t="str">
        <f>IFERROR(__xludf.DUMMYFUNCTION("""COMPUTED_VALUE"""),"No")</f>
        <v>No</v>
      </c>
      <c r="E236" s="43" t="str">
        <f>IFERROR(__xludf.DUMMYFUNCTION("""COMPUTED_VALUE"""),"p_ddd9e071d6ec18b1c7480d128b7f253f59b84ed2@inbound.aiesec.org")</f>
        <v>p_ddd9e071d6ec18b1c7480d128b7f253f59b84ed2@inbound.aiesec.org</v>
      </c>
      <c r="F236" s="43">
        <f>IFERROR(__xludf.DUMMYFUNCTION("""COMPUTED_VALUE"""),5.1019623E7)</f>
        <v>51019623</v>
      </c>
      <c r="G236" s="43" t="str">
        <f>IFERROR(__xludf.DUMMYFUNCTION("""COMPUTED_VALUE"""),"Tunisia")</f>
        <v>Tunisia</v>
      </c>
      <c r="H236" s="43" t="str">
        <f>IFERROR(__xludf.DUMMYFUNCTION("""COMPUTED_VALUE"""),"HADRUMET")</f>
        <v>HADRUMET</v>
      </c>
      <c r="I236" s="43" t="str">
        <f>IFERROR(__xludf.DUMMYFUNCTION("""COMPUTED_VALUE"""),"Turkey")</f>
        <v>Turkey</v>
      </c>
      <c r="J236" s="43" t="str">
        <f>IFERROR(__xludf.DUMMYFUNCTION("""COMPUTED_VALUE"""),"DENIZLI")</f>
        <v>DENIZLI</v>
      </c>
      <c r="K236" s="44" t="str">
        <f>IFERROR(__xludf.DUMMYFUNCTION("""COMPUTED_VALUE"""),"https://expa.aiesec.org/opportunities/1288497")</f>
        <v>https://expa.aiesec.org/opportunities/1288497</v>
      </c>
      <c r="L236" s="43" t="str">
        <f>IFERROR(__xludf.DUMMYFUNCTION("""COMPUTED_VALUE"""),"GV")</f>
        <v>GV</v>
      </c>
      <c r="M236" s="43" t="str">
        <f>IFERROR(__xludf.DUMMYFUNCTION("""COMPUTED_VALUE"""),"short")</f>
        <v>short</v>
      </c>
      <c r="N236" s="45">
        <f>IFERROR(__xludf.DUMMYFUNCTION("""COMPUTED_VALUE"""),44874.0)</f>
        <v>44874</v>
      </c>
      <c r="O236" s="45">
        <f>IFERROR(__xludf.DUMMYFUNCTION("""COMPUTED_VALUE"""),45117.0)</f>
        <v>45117</v>
      </c>
      <c r="P236" s="45">
        <f>IFERROR(__xludf.DUMMYFUNCTION("""COMPUTED_VALUE"""),45159.0)</f>
        <v>45159</v>
      </c>
      <c r="Q236" s="45"/>
      <c r="R236" s="45"/>
      <c r="S236" s="43"/>
      <c r="T236" s="43"/>
      <c r="U236" s="43" t="str">
        <f>IFERROR(__xludf.DUMMYFUNCTION("""COMPUTED_VALUE"""),"Youth 4 Impact")</f>
        <v>Youth 4 Impact</v>
      </c>
      <c r="V236" s="43" t="str">
        <f>IFERROR(__xludf.DUMMYFUNCTION("""COMPUTED_VALUE"""),"ISSAT Sousse")</f>
        <v>ISSAT Sousse</v>
      </c>
      <c r="W236" s="43" t="str">
        <f>IFERROR(__xludf.DUMMYFUNCTION("""COMPUTED_VALUE"""),"2022-11-03T13:05:44Z")</f>
        <v>2022-11-03T13:05:44Z</v>
      </c>
      <c r="X236" s="43"/>
      <c r="Y236" s="43"/>
      <c r="Z236" s="43"/>
    </row>
    <row r="237">
      <c r="A237" s="43" t="str">
        <f>IFERROR(__xludf.DUMMYFUNCTION("""COMPUTED_VALUE"""),"5147543_1287445")</f>
        <v>5147543_1287445</v>
      </c>
      <c r="B237" s="43" t="str">
        <f>IFERROR(__xludf.DUMMYFUNCTION("""COMPUTED_VALUE"""),"Hafiz Moin Ahmad")</f>
        <v>Hafiz Moin Ahmad</v>
      </c>
      <c r="C237" s="43" t="str">
        <f>IFERROR(__xludf.DUMMYFUNCTION("""COMPUTED_VALUE"""),"approved")</f>
        <v>approved</v>
      </c>
      <c r="D237" s="43" t="str">
        <f>IFERROR(__xludf.DUMMYFUNCTION("""COMPUTED_VALUE"""),"No")</f>
        <v>No</v>
      </c>
      <c r="E237" s="43" t="str">
        <f>IFERROR(__xludf.DUMMYFUNCTION("""COMPUTED_VALUE"""),"p_432f250704e5fa99d5e329dc7e48ad56367e9e11@inbound.aiesec.org")</f>
        <v>p_432f250704e5fa99d5e329dc7e48ad56367e9e11@inbound.aiesec.org</v>
      </c>
      <c r="F237" s="43">
        <f>IFERROR(__xludf.DUMMYFUNCTION("""COMPUTED_VALUE"""),3.134589874E9)</f>
        <v>3134589874</v>
      </c>
      <c r="G237" s="43" t="str">
        <f>IFERROR(__xludf.DUMMYFUNCTION("""COMPUTED_VALUE"""),"Pakistan")</f>
        <v>Pakistan</v>
      </c>
      <c r="H237" s="43" t="str">
        <f>IFERROR(__xludf.DUMMYFUNCTION("""COMPUTED_VALUE"""),"Lahore - Pak")</f>
        <v>Lahore - Pak</v>
      </c>
      <c r="I237" s="43" t="str">
        <f>IFERROR(__xludf.DUMMYFUNCTION("""COMPUTED_VALUE"""),"Turkey")</f>
        <v>Turkey</v>
      </c>
      <c r="J237" s="43" t="str">
        <f>IFERROR(__xludf.DUMMYFUNCTION("""COMPUTED_VALUE"""),"SAKARYA")</f>
        <v>SAKARYA</v>
      </c>
      <c r="K237" s="44" t="str">
        <f>IFERROR(__xludf.DUMMYFUNCTION("""COMPUTED_VALUE"""),"https://expa.aiesec.org/opportunities/1287445")</f>
        <v>https://expa.aiesec.org/opportunities/1287445</v>
      </c>
      <c r="L237" s="43" t="str">
        <f>IFERROR(__xludf.DUMMYFUNCTION("""COMPUTED_VALUE"""),"GV")</f>
        <v>GV</v>
      </c>
      <c r="M237" s="43" t="str">
        <f>IFERROR(__xludf.DUMMYFUNCTION("""COMPUTED_VALUE"""),"short")</f>
        <v>short</v>
      </c>
      <c r="N237" s="45">
        <f>IFERROR(__xludf.DUMMYFUNCTION("""COMPUTED_VALUE"""),44874.0)</f>
        <v>44874</v>
      </c>
      <c r="O237" s="45">
        <f>IFERROR(__xludf.DUMMYFUNCTION("""COMPUTED_VALUE"""),44893.0)</f>
        <v>44893</v>
      </c>
      <c r="P237" s="45">
        <f>IFERROR(__xludf.DUMMYFUNCTION("""COMPUTED_VALUE"""),44935.0)</f>
        <v>44935</v>
      </c>
      <c r="Q237" s="45"/>
      <c r="R237" s="45"/>
      <c r="S237" s="43"/>
      <c r="T237" s="43"/>
      <c r="U237" s="43" t="str">
        <f>IFERROR(__xludf.DUMMYFUNCTION("""COMPUTED_VALUE"""),"Global Classroom")</f>
        <v>Global Classroom</v>
      </c>
      <c r="V237" s="43" t="str">
        <f>IFERROR(__xludf.DUMMYFUNCTION("""COMPUTED_VALUE"""),"Lahore - University of Central Punjab (UCP)")</f>
        <v>Lahore - University of Central Punjab (UCP)</v>
      </c>
      <c r="W237" s="43" t="str">
        <f>IFERROR(__xludf.DUMMYFUNCTION("""COMPUTED_VALUE"""),"2022-11-06T10:09:25Z")</f>
        <v>2022-11-06T10:09:25Z</v>
      </c>
      <c r="X237" s="43"/>
      <c r="Y237" s="43"/>
      <c r="Z237" s="43"/>
    </row>
    <row r="238" hidden="1">
      <c r="A238" s="43" t="str">
        <f>IFERROR(__xludf.DUMMYFUNCTION("""COMPUTED_VALUE"""),"5150922_1289505")</f>
        <v>5150922_1289505</v>
      </c>
      <c r="B238" s="43" t="str">
        <f>IFERROR(__xludf.DUMMYFUNCTION("""COMPUTED_VALUE"""),"Isra Hamila")</f>
        <v>Isra Hamila</v>
      </c>
      <c r="C238" s="43" t="str">
        <f>IFERROR(__xludf.DUMMYFUNCTION("""COMPUTED_VALUE"""),"completed")</f>
        <v>completed</v>
      </c>
      <c r="D238" s="43" t="str">
        <f>IFERROR(__xludf.DUMMYFUNCTION("""COMPUTED_VALUE"""),"No")</f>
        <v>No</v>
      </c>
      <c r="E238" s="43" t="str">
        <f>IFERROR(__xludf.DUMMYFUNCTION("""COMPUTED_VALUE"""),"p_f2c1b544da569ccd1a8d07a14c2e04ff6ab0f09d@inbound.aiesec.org")</f>
        <v>p_f2c1b544da569ccd1a8d07a14c2e04ff6ab0f09d@inbound.aiesec.org</v>
      </c>
      <c r="F238" s="43">
        <f>IFERROR(__xludf.DUMMYFUNCTION("""COMPUTED_VALUE"""),9.9081669E7)</f>
        <v>99081669</v>
      </c>
      <c r="G238" s="43" t="str">
        <f>IFERROR(__xludf.DUMMYFUNCTION("""COMPUTED_VALUE"""),"Tunisia")</f>
        <v>Tunisia</v>
      </c>
      <c r="H238" s="43" t="str">
        <f>IFERROR(__xludf.DUMMYFUNCTION("""COMPUTED_VALUE"""),"HADRUMET")</f>
        <v>HADRUMET</v>
      </c>
      <c r="I238" s="43" t="str">
        <f>IFERROR(__xludf.DUMMYFUNCTION("""COMPUTED_VALUE"""),"Turkey")</f>
        <v>Turkey</v>
      </c>
      <c r="J238" s="43" t="str">
        <f>IFERROR(__xludf.DUMMYFUNCTION("""COMPUTED_VALUE"""),"KOCAELI")</f>
        <v>KOCAELI</v>
      </c>
      <c r="K238" s="44" t="str">
        <f>IFERROR(__xludf.DUMMYFUNCTION("""COMPUTED_VALUE"""),"https://expa.aiesec.org/opportunities/1289505")</f>
        <v>https://expa.aiesec.org/opportunities/1289505</v>
      </c>
      <c r="L238" s="43" t="str">
        <f>IFERROR(__xludf.DUMMYFUNCTION("""COMPUTED_VALUE"""),"GV")</f>
        <v>GV</v>
      </c>
      <c r="M238" s="43" t="str">
        <f>IFERROR(__xludf.DUMMYFUNCTION("""COMPUTED_VALUE"""),"short")</f>
        <v>short</v>
      </c>
      <c r="N238" s="45">
        <f>IFERROR(__xludf.DUMMYFUNCTION("""COMPUTED_VALUE"""),44875.0)</f>
        <v>44875</v>
      </c>
      <c r="O238" s="45">
        <f>IFERROR(__xludf.DUMMYFUNCTION("""COMPUTED_VALUE"""),45103.0)</f>
        <v>45103</v>
      </c>
      <c r="P238" s="45">
        <f>IFERROR(__xludf.DUMMYFUNCTION("""COMPUTED_VALUE"""),45145.0)</f>
        <v>45145</v>
      </c>
      <c r="Q238" s="45">
        <f>IFERROR(__xludf.DUMMYFUNCTION("""COMPUTED_VALUE"""),45102.0)</f>
        <v>45102</v>
      </c>
      <c r="R238" s="45">
        <f>IFERROR(__xludf.DUMMYFUNCTION("""COMPUTED_VALUE"""),45145.0)</f>
        <v>45145</v>
      </c>
      <c r="S238" s="43"/>
      <c r="T238" s="43"/>
      <c r="U238" s="43" t="str">
        <f>IFERROR(__xludf.DUMMYFUNCTION("""COMPUTED_VALUE"""),"Youth 4 Impact")</f>
        <v>Youth 4 Impact</v>
      </c>
      <c r="V238" s="43" t="str">
        <f>IFERROR(__xludf.DUMMYFUNCTION("""COMPUTED_VALUE"""),"ISIT COM Sousse")</f>
        <v>ISIT COM Sousse</v>
      </c>
      <c r="W238" s="43" t="str">
        <f>IFERROR(__xludf.DUMMYFUNCTION("""COMPUTED_VALUE"""),"2022-11-10T14:48:25Z")</f>
        <v>2022-11-10T14:48:25Z</v>
      </c>
      <c r="X238" s="43"/>
      <c r="Y238" s="43"/>
      <c r="Z238" s="43"/>
    </row>
    <row r="239">
      <c r="A239" s="43" t="str">
        <f>IFERROR(__xludf.DUMMYFUNCTION("""COMPUTED_VALUE"""),"5149539_1285690")</f>
        <v>5149539_1285690</v>
      </c>
      <c r="B239" s="43" t="str">
        <f>IFERROR(__xludf.DUMMYFUNCTION("""COMPUTED_VALUE"""),"Imane Bartine")</f>
        <v>Imane Bartine</v>
      </c>
      <c r="C239" s="43" t="str">
        <f>IFERROR(__xludf.DUMMYFUNCTION("""COMPUTED_VALUE"""),"approved")</f>
        <v>approved</v>
      </c>
      <c r="D239" s="43" t="str">
        <f>IFERROR(__xludf.DUMMYFUNCTION("""COMPUTED_VALUE"""),"No")</f>
        <v>No</v>
      </c>
      <c r="E239" s="43" t="str">
        <f>IFERROR(__xludf.DUMMYFUNCTION("""COMPUTED_VALUE"""),"p_15d8123e2d505d9f56511445897d022c9aeea458@inbound.aiesec.org")</f>
        <v>p_15d8123e2d505d9f56511445897d022c9aeea458@inbound.aiesec.org</v>
      </c>
      <c r="F239" s="43">
        <f>IFERROR(__xludf.DUMMYFUNCTION("""COMPUTED_VALUE"""),6.56141593E8)</f>
        <v>656141593</v>
      </c>
      <c r="G239" s="43" t="str">
        <f>IFERROR(__xludf.DUMMYFUNCTION("""COMPUTED_VALUE"""),"Morocco")</f>
        <v>Morocco</v>
      </c>
      <c r="H239" s="43" t="str">
        <f>IFERROR(__xludf.DUMMYFUNCTION("""COMPUTED_VALUE"""),"Ifrane")</f>
        <v>Ifrane</v>
      </c>
      <c r="I239" s="43" t="str">
        <f>IFERROR(__xludf.DUMMYFUNCTION("""COMPUTED_VALUE"""),"Turkey")</f>
        <v>Turkey</v>
      </c>
      <c r="J239" s="43" t="str">
        <f>IFERROR(__xludf.DUMMYFUNCTION("""COMPUTED_VALUE"""),"ISTANBUL")</f>
        <v>ISTANBUL</v>
      </c>
      <c r="K239" s="44" t="str">
        <f>IFERROR(__xludf.DUMMYFUNCTION("""COMPUTED_VALUE"""),"https://expa.aiesec.org/opportunities/1285690")</f>
        <v>https://expa.aiesec.org/opportunities/1285690</v>
      </c>
      <c r="L239" s="43" t="str">
        <f>IFERROR(__xludf.DUMMYFUNCTION("""COMPUTED_VALUE"""),"GV")</f>
        <v>GV</v>
      </c>
      <c r="M239" s="43" t="str">
        <f>IFERROR(__xludf.DUMMYFUNCTION("""COMPUTED_VALUE"""),"short")</f>
        <v>short</v>
      </c>
      <c r="N239" s="45">
        <f>IFERROR(__xludf.DUMMYFUNCTION("""COMPUTED_VALUE"""),44875.0)</f>
        <v>44875</v>
      </c>
      <c r="O239" s="45">
        <f>IFERROR(__xludf.DUMMYFUNCTION("""COMPUTED_VALUE"""),44942.0)</f>
        <v>44942</v>
      </c>
      <c r="P239" s="45">
        <f>IFERROR(__xludf.DUMMYFUNCTION("""COMPUTED_VALUE"""),44984.0)</f>
        <v>44984</v>
      </c>
      <c r="Q239" s="45"/>
      <c r="R239" s="45"/>
      <c r="S239" s="43"/>
      <c r="T239" s="43"/>
      <c r="U239" s="43" t="str">
        <f>IFERROR(__xludf.DUMMYFUNCTION("""COMPUTED_VALUE"""),"Global Classroom")</f>
        <v>Global Classroom</v>
      </c>
      <c r="V239" s="43" t="str">
        <f>IFERROR(__xludf.DUMMYFUNCTION("""COMPUTED_VALUE"""),"AL Akhawayn University - AUI")</f>
        <v>AL Akhawayn University - AUI</v>
      </c>
      <c r="W239" s="43" t="str">
        <f>IFERROR(__xludf.DUMMYFUNCTION("""COMPUTED_VALUE"""),"2022-11-08T13:54:54Z")</f>
        <v>2022-11-08T13:54:54Z</v>
      </c>
      <c r="X239" s="43"/>
      <c r="Y239" s="43"/>
      <c r="Z239" s="43"/>
    </row>
    <row r="240">
      <c r="A240" s="43" t="str">
        <f>IFERROR(__xludf.DUMMYFUNCTION("""COMPUTED_VALUE"""),"5146021_1288393")</f>
        <v>5146021_1288393</v>
      </c>
      <c r="B240" s="43" t="str">
        <f>IFERROR(__xludf.DUMMYFUNCTION("""COMPUTED_VALUE"""),"Hassan Ahmed")</f>
        <v>Hassan Ahmed</v>
      </c>
      <c r="C240" s="43" t="str">
        <f>IFERROR(__xludf.DUMMYFUNCTION("""COMPUTED_VALUE"""),"approved")</f>
        <v>approved</v>
      </c>
      <c r="D240" s="43" t="str">
        <f>IFERROR(__xludf.DUMMYFUNCTION("""COMPUTED_VALUE"""),"No")</f>
        <v>No</v>
      </c>
      <c r="E240" s="43" t="str">
        <f>IFERROR(__xludf.DUMMYFUNCTION("""COMPUTED_VALUE"""),"p_531859d62ec334374c9c835e06eb35d44149881a@inbound.aiesec.org")</f>
        <v>p_531859d62ec334374c9c835e06eb35d44149881a@inbound.aiesec.org</v>
      </c>
      <c r="F240" s="43">
        <f>IFERROR(__xludf.DUMMYFUNCTION("""COMPUTED_VALUE"""),6.304889813E9)</f>
        <v>6304889813</v>
      </c>
      <c r="G240" s="43" t="str">
        <f>IFERROR(__xludf.DUMMYFUNCTION("""COMPUTED_VALUE"""),"India")</f>
        <v>India</v>
      </c>
      <c r="H240" s="43" t="str">
        <f>IFERROR(__xludf.DUMMYFUNCTION("""COMPUTED_VALUE"""),"Hyderabad")</f>
        <v>Hyderabad</v>
      </c>
      <c r="I240" s="43" t="str">
        <f>IFERROR(__xludf.DUMMYFUNCTION("""COMPUTED_VALUE"""),"Turkey")</f>
        <v>Turkey</v>
      </c>
      <c r="J240" s="43" t="str">
        <f>IFERROR(__xludf.DUMMYFUNCTION("""COMPUTED_VALUE"""),"ISTANBUL")</f>
        <v>ISTANBUL</v>
      </c>
      <c r="K240" s="44" t="str">
        <f>IFERROR(__xludf.DUMMYFUNCTION("""COMPUTED_VALUE"""),"https://expa.aiesec.org/opportunities/1288393")</f>
        <v>https://expa.aiesec.org/opportunities/1288393</v>
      </c>
      <c r="L240" s="43" t="str">
        <f>IFERROR(__xludf.DUMMYFUNCTION("""COMPUTED_VALUE"""),"GV")</f>
        <v>GV</v>
      </c>
      <c r="M240" s="43" t="str">
        <f>IFERROR(__xludf.DUMMYFUNCTION("""COMPUTED_VALUE"""),"short")</f>
        <v>short</v>
      </c>
      <c r="N240" s="45">
        <f>IFERROR(__xludf.DUMMYFUNCTION("""COMPUTED_VALUE"""),44875.0)</f>
        <v>44875</v>
      </c>
      <c r="O240" s="45">
        <f>IFERROR(__xludf.DUMMYFUNCTION("""COMPUTED_VALUE"""),44922.0)</f>
        <v>44922</v>
      </c>
      <c r="P240" s="45">
        <f>IFERROR(__xludf.DUMMYFUNCTION("""COMPUTED_VALUE"""),44964.0)</f>
        <v>44964</v>
      </c>
      <c r="Q240" s="45"/>
      <c r="R240" s="45"/>
      <c r="S240" s="43"/>
      <c r="T240" s="43"/>
      <c r="U240" s="43" t="str">
        <f>IFERROR(__xludf.DUMMYFUNCTION("""COMPUTED_VALUE"""),"Global Classroom")</f>
        <v>Global Classroom</v>
      </c>
      <c r="V240" s="43" t="str">
        <f>IFERROR(__xludf.DUMMYFUNCTION("""COMPUTED_VALUE"""),"Hyderabad")</f>
        <v>Hyderabad</v>
      </c>
      <c r="W240" s="43" t="str">
        <f>IFERROR(__xludf.DUMMYFUNCTION("""COMPUTED_VALUE"""),"2022-11-03T16:07:20Z")</f>
        <v>2022-11-03T16:07:20Z</v>
      </c>
      <c r="X240" s="43"/>
      <c r="Y240" s="43"/>
      <c r="Z240" s="43"/>
    </row>
    <row r="241" hidden="1">
      <c r="A241" s="43" t="str">
        <f>IFERROR(__xludf.DUMMYFUNCTION("""COMPUTED_VALUE"""),"3101237_1287338")</f>
        <v>3101237_1287338</v>
      </c>
      <c r="B241" s="43" t="str">
        <f>IFERROR(__xludf.DUMMYFUNCTION("""COMPUTED_VALUE"""),"Farha El safy")</f>
        <v>Farha El safy</v>
      </c>
      <c r="C241" s="43" t="str">
        <f>IFERROR(__xludf.DUMMYFUNCTION("""COMPUTED_VALUE"""),"finished")</f>
        <v>finished</v>
      </c>
      <c r="D241" s="43" t="str">
        <f>IFERROR(__xludf.DUMMYFUNCTION("""COMPUTED_VALUE"""),"No")</f>
        <v>No</v>
      </c>
      <c r="E241" s="43" t="str">
        <f>IFERROR(__xludf.DUMMYFUNCTION("""COMPUTED_VALUE"""),"p_fabff5d356fae51db107c5a87ae5111fc17b1f37@inbound.aiesec.org")</f>
        <v>p_fabff5d356fae51db107c5a87ae5111fc17b1f37@inbound.aiesec.org</v>
      </c>
      <c r="F241" s="43">
        <f>IFERROR(__xludf.DUMMYFUNCTION("""COMPUTED_VALUE"""),1.229048713E9)</f>
        <v>1229048713</v>
      </c>
      <c r="G241" s="43" t="str">
        <f>IFERROR(__xludf.DUMMYFUNCTION("""COMPUTED_VALUE"""),"Egypt")</f>
        <v>Egypt</v>
      </c>
      <c r="H241" s="43" t="str">
        <f>IFERROR(__xludf.DUMMYFUNCTION("""COMPUTED_VALUE"""),"AAST Alexandria")</f>
        <v>AAST Alexandria</v>
      </c>
      <c r="I241" s="43" t="str">
        <f>IFERROR(__xludf.DUMMYFUNCTION("""COMPUTED_VALUE"""),"Turkey")</f>
        <v>Turkey</v>
      </c>
      <c r="J241" s="43" t="str">
        <f>IFERROR(__xludf.DUMMYFUNCTION("""COMPUTED_VALUE"""),"ANKARA")</f>
        <v>ANKARA</v>
      </c>
      <c r="K241" s="44" t="str">
        <f>IFERROR(__xludf.DUMMYFUNCTION("""COMPUTED_VALUE"""),"https://expa.aiesec.org/opportunities/1287338")</f>
        <v>https://expa.aiesec.org/opportunities/1287338</v>
      </c>
      <c r="L241" s="43" t="str">
        <f>IFERROR(__xludf.DUMMYFUNCTION("""COMPUTED_VALUE"""),"GV")</f>
        <v>GV</v>
      </c>
      <c r="M241" s="43" t="str">
        <f>IFERROR(__xludf.DUMMYFUNCTION("""COMPUTED_VALUE"""),"short")</f>
        <v>short</v>
      </c>
      <c r="N241" s="45">
        <f>IFERROR(__xludf.DUMMYFUNCTION("""COMPUTED_VALUE"""),44875.0)</f>
        <v>44875</v>
      </c>
      <c r="O241" s="45">
        <f>IFERROR(__xludf.DUMMYFUNCTION("""COMPUTED_VALUE"""),44909.0)</f>
        <v>44909</v>
      </c>
      <c r="P241" s="45">
        <f>IFERROR(__xludf.DUMMYFUNCTION("""COMPUTED_VALUE"""),44951.0)</f>
        <v>44951</v>
      </c>
      <c r="Q241" s="45">
        <f>IFERROR(__xludf.DUMMYFUNCTION("""COMPUTED_VALUE"""),44911.0)</f>
        <v>44911</v>
      </c>
      <c r="R241" s="45">
        <f>IFERROR(__xludf.DUMMYFUNCTION("""COMPUTED_VALUE"""),44988.0)</f>
        <v>44988</v>
      </c>
      <c r="S241" s="43"/>
      <c r="T241" s="43"/>
      <c r="U241" s="43" t="str">
        <f>IFERROR(__xludf.DUMMYFUNCTION("""COMPUTED_VALUE"""),"Equify")</f>
        <v>Equify</v>
      </c>
      <c r="V241" s="43" t="str">
        <f>IFERROR(__xludf.DUMMYFUNCTION("""COMPUTED_VALUE"""),"AAST in Alexandria")</f>
        <v>AAST in Alexandria</v>
      </c>
      <c r="W241" s="43" t="str">
        <f>IFERROR(__xludf.DUMMYFUNCTION("""COMPUTED_VALUE"""),"2019-02-21T09:37:01Z")</f>
        <v>2019-02-21T09:37:01Z</v>
      </c>
      <c r="X241" s="43"/>
      <c r="Y241" s="43"/>
      <c r="Z241" s="43"/>
    </row>
    <row r="242">
      <c r="A242" s="43" t="str">
        <f>IFERROR(__xludf.DUMMYFUNCTION("""COMPUTED_VALUE"""),"4491528_1287855")</f>
        <v>4491528_1287855</v>
      </c>
      <c r="B242" s="43" t="str">
        <f>IFERROR(__xludf.DUMMYFUNCTION("""COMPUTED_VALUE"""),"Ikram Belmatrik")</f>
        <v>Ikram Belmatrik</v>
      </c>
      <c r="C242" s="43" t="str">
        <f>IFERROR(__xludf.DUMMYFUNCTION("""COMPUTED_VALUE"""),"approved")</f>
        <v>approved</v>
      </c>
      <c r="D242" s="43" t="str">
        <f>IFERROR(__xludf.DUMMYFUNCTION("""COMPUTED_VALUE"""),"No")</f>
        <v>No</v>
      </c>
      <c r="E242" s="43" t="str">
        <f>IFERROR(__xludf.DUMMYFUNCTION("""COMPUTED_VALUE"""),"p_1204a338c934df62831ca98ccb19f53e29af1dd4@inbound.aiesec.org")</f>
        <v>p_1204a338c934df62831ca98ccb19f53e29af1dd4@inbound.aiesec.org</v>
      </c>
      <c r="F242" s="43">
        <f>IFERROR(__xludf.DUMMYFUNCTION("""COMPUTED_VALUE"""),6.36155664E8)</f>
        <v>636155664</v>
      </c>
      <c r="G242" s="43" t="str">
        <f>IFERROR(__xludf.DUMMYFUNCTION("""COMPUTED_VALUE"""),"Morocco")</f>
        <v>Morocco</v>
      </c>
      <c r="H242" s="43" t="str">
        <f>IFERROR(__xludf.DUMMYFUNCTION("""COMPUTED_VALUE"""),"Mohammedia")</f>
        <v>Mohammedia</v>
      </c>
      <c r="I242" s="43" t="str">
        <f>IFERROR(__xludf.DUMMYFUNCTION("""COMPUTED_VALUE"""),"Turkey")</f>
        <v>Turkey</v>
      </c>
      <c r="J242" s="43" t="str">
        <f>IFERROR(__xludf.DUMMYFUNCTION("""COMPUTED_VALUE"""),"İZMİR")</f>
        <v>İZMİR</v>
      </c>
      <c r="K242" s="44" t="str">
        <f>IFERROR(__xludf.DUMMYFUNCTION("""COMPUTED_VALUE"""),"https://expa.aiesec.org/opportunities/1287855")</f>
        <v>https://expa.aiesec.org/opportunities/1287855</v>
      </c>
      <c r="L242" s="43" t="str">
        <f>IFERROR(__xludf.DUMMYFUNCTION("""COMPUTED_VALUE"""),"GV")</f>
        <v>GV</v>
      </c>
      <c r="M242" s="43" t="str">
        <f>IFERROR(__xludf.DUMMYFUNCTION("""COMPUTED_VALUE"""),"short")</f>
        <v>short</v>
      </c>
      <c r="N242" s="45">
        <f>IFERROR(__xludf.DUMMYFUNCTION("""COMPUTED_VALUE"""),44875.0)</f>
        <v>44875</v>
      </c>
      <c r="O242" s="45">
        <f>IFERROR(__xludf.DUMMYFUNCTION("""COMPUTED_VALUE"""),44990.0)</f>
        <v>44990</v>
      </c>
      <c r="P242" s="45">
        <f>IFERROR(__xludf.DUMMYFUNCTION("""COMPUTED_VALUE"""),45032.0)</f>
        <v>45032</v>
      </c>
      <c r="Q242" s="45"/>
      <c r="R242" s="45"/>
      <c r="S242" s="43"/>
      <c r="T242" s="43"/>
      <c r="U242" s="43" t="str">
        <f>IFERROR(__xludf.DUMMYFUNCTION("""COMPUTED_VALUE"""),"Global Classroom")</f>
        <v>Global Classroom</v>
      </c>
      <c r="V242" s="43" t="str">
        <f>IFERROR(__xludf.DUMMYFUNCTION("""COMPUTED_VALUE"""),"Other-MOHAMMEDIA")</f>
        <v>Other-MOHAMMEDIA</v>
      </c>
      <c r="W242" s="43" t="str">
        <f>IFERROR(__xludf.DUMMYFUNCTION("""COMPUTED_VALUE"""),"2020-12-21T01:30:17Z")</f>
        <v>2020-12-21T01:30:17Z</v>
      </c>
      <c r="X242" s="43"/>
      <c r="Y242" s="43"/>
      <c r="Z242" s="43"/>
    </row>
    <row r="243" hidden="1">
      <c r="A243" s="43" t="str">
        <f>IFERROR(__xludf.DUMMYFUNCTION("""COMPUTED_VALUE"""),"5032678_1290646")</f>
        <v>5032678_1290646</v>
      </c>
      <c r="B243" s="43" t="str">
        <f>IFERROR(__xludf.DUMMYFUNCTION("""COMPUTED_VALUE"""),"Sofía Name Parada")</f>
        <v>Sofía Name Parada</v>
      </c>
      <c r="C243" s="43" t="str">
        <f>IFERROR(__xludf.DUMMYFUNCTION("""COMPUTED_VALUE"""),"completed")</f>
        <v>completed</v>
      </c>
      <c r="D243" s="43" t="str">
        <f>IFERROR(__xludf.DUMMYFUNCTION("""COMPUTED_VALUE"""),"No")</f>
        <v>No</v>
      </c>
      <c r="E243" s="43" t="str">
        <f>IFERROR(__xludf.DUMMYFUNCTION("""COMPUTED_VALUE"""),"p_3d8416d77bade452fe5b5728efa68ab34b543576@inbound.aiesec.org")</f>
        <v>p_3d8416d77bade452fe5b5728efa68ab34b543576@inbound.aiesec.org</v>
      </c>
      <c r="F243" s="43"/>
      <c r="G243" s="43" t="str">
        <f>IFERROR(__xludf.DUMMYFUNCTION("""COMPUTED_VALUE"""),"Colombia")</f>
        <v>Colombia</v>
      </c>
      <c r="H243" s="43" t="str">
        <f>IFERROR(__xludf.DUMMYFUNCTION("""COMPUTED_VALUE"""),"ROSARIO")</f>
        <v>ROSARIO</v>
      </c>
      <c r="I243" s="43" t="str">
        <f>IFERROR(__xludf.DUMMYFUNCTION("""COMPUTED_VALUE"""),"Turkey")</f>
        <v>Turkey</v>
      </c>
      <c r="J243" s="43" t="str">
        <f>IFERROR(__xludf.DUMMYFUNCTION("""COMPUTED_VALUE"""),"BURSA")</f>
        <v>BURSA</v>
      </c>
      <c r="K243" s="44" t="str">
        <f>IFERROR(__xludf.DUMMYFUNCTION("""COMPUTED_VALUE"""),"https://expa.aiesec.org/opportunities/1290646")</f>
        <v>https://expa.aiesec.org/opportunities/1290646</v>
      </c>
      <c r="L243" s="43" t="str">
        <f>IFERROR(__xludf.DUMMYFUNCTION("""COMPUTED_VALUE"""),"GV")</f>
        <v>GV</v>
      </c>
      <c r="M243" s="43" t="str">
        <f>IFERROR(__xludf.DUMMYFUNCTION("""COMPUTED_VALUE"""),"short")</f>
        <v>short</v>
      </c>
      <c r="N243" s="45">
        <f>IFERROR(__xludf.DUMMYFUNCTION("""COMPUTED_VALUE"""),44875.0)</f>
        <v>44875</v>
      </c>
      <c r="O243" s="45">
        <f>IFERROR(__xludf.DUMMYFUNCTION("""COMPUTED_VALUE"""),44900.0)</f>
        <v>44900</v>
      </c>
      <c r="P243" s="45">
        <f>IFERROR(__xludf.DUMMYFUNCTION("""COMPUTED_VALUE"""),44942.0)</f>
        <v>44942</v>
      </c>
      <c r="Q243" s="45">
        <f>IFERROR(__xludf.DUMMYFUNCTION("""COMPUTED_VALUE"""),44901.0)</f>
        <v>44901</v>
      </c>
      <c r="R243" s="45">
        <f>IFERROR(__xludf.DUMMYFUNCTION("""COMPUTED_VALUE"""),44942.0)</f>
        <v>44942</v>
      </c>
      <c r="S243" s="43"/>
      <c r="T243" s="43"/>
      <c r="U243" s="43" t="str">
        <f>IFERROR(__xludf.DUMMYFUNCTION("""COMPUTED_VALUE"""),"Youth 4 Impact")</f>
        <v>Youth 4 Impact</v>
      </c>
      <c r="V243" s="43" t="str">
        <f>IFERROR(__xludf.DUMMYFUNCTION("""COMPUTED_VALUE"""),"-")</f>
        <v>-</v>
      </c>
      <c r="W243" s="43" t="str">
        <f>IFERROR(__xludf.DUMMYFUNCTION("""COMPUTED_VALUE"""),"2022-04-10T02:14:12Z")</f>
        <v>2022-04-10T02:14:12Z</v>
      </c>
      <c r="X243" s="43"/>
      <c r="Y243" s="43"/>
      <c r="Z243" s="43"/>
    </row>
    <row r="244" hidden="1">
      <c r="A244" s="43" t="str">
        <f>IFERROR(__xludf.DUMMYFUNCTION("""COMPUTED_VALUE"""),"5015849_1290646")</f>
        <v>5015849_1290646</v>
      </c>
      <c r="B244" s="43" t="str">
        <f>IFERROR(__xludf.DUMMYFUNCTION("""COMPUTED_VALUE"""),"Gisselle Valeria Leaño Diaz")</f>
        <v>Gisselle Valeria Leaño Diaz</v>
      </c>
      <c r="C244" s="43" t="str">
        <f>IFERROR(__xludf.DUMMYFUNCTION("""COMPUTED_VALUE"""),"completed")</f>
        <v>completed</v>
      </c>
      <c r="D244" s="43" t="str">
        <f>IFERROR(__xludf.DUMMYFUNCTION("""COMPUTED_VALUE"""),"No")</f>
        <v>No</v>
      </c>
      <c r="E244" s="43" t="str">
        <f>IFERROR(__xludf.DUMMYFUNCTION("""COMPUTED_VALUE"""),"p_b488b3b96e77c374d8ce43fe3567ce5dfd7431a7@inbound.aiesec.org")</f>
        <v>p_b488b3b96e77c374d8ce43fe3567ce5dfd7431a7@inbound.aiesec.org</v>
      </c>
      <c r="F244" s="43"/>
      <c r="G244" s="43" t="str">
        <f>IFERROR(__xludf.DUMMYFUNCTION("""COMPUTED_VALUE"""),"Colombia")</f>
        <v>Colombia</v>
      </c>
      <c r="H244" s="43" t="str">
        <f>IFERROR(__xludf.DUMMYFUNCTION("""COMPUTED_VALUE"""),"ROSARIO")</f>
        <v>ROSARIO</v>
      </c>
      <c r="I244" s="43" t="str">
        <f>IFERROR(__xludf.DUMMYFUNCTION("""COMPUTED_VALUE"""),"Turkey")</f>
        <v>Turkey</v>
      </c>
      <c r="J244" s="43" t="str">
        <f>IFERROR(__xludf.DUMMYFUNCTION("""COMPUTED_VALUE"""),"BURSA")</f>
        <v>BURSA</v>
      </c>
      <c r="K244" s="44" t="str">
        <f>IFERROR(__xludf.DUMMYFUNCTION("""COMPUTED_VALUE"""),"https://expa.aiesec.org/opportunities/1290646")</f>
        <v>https://expa.aiesec.org/opportunities/1290646</v>
      </c>
      <c r="L244" s="43" t="str">
        <f>IFERROR(__xludf.DUMMYFUNCTION("""COMPUTED_VALUE"""),"GV")</f>
        <v>GV</v>
      </c>
      <c r="M244" s="43" t="str">
        <f>IFERROR(__xludf.DUMMYFUNCTION("""COMPUTED_VALUE"""),"short")</f>
        <v>short</v>
      </c>
      <c r="N244" s="45">
        <f>IFERROR(__xludf.DUMMYFUNCTION("""COMPUTED_VALUE"""),44875.0)</f>
        <v>44875</v>
      </c>
      <c r="O244" s="45">
        <f>IFERROR(__xludf.DUMMYFUNCTION("""COMPUTED_VALUE"""),44900.0)</f>
        <v>44900</v>
      </c>
      <c r="P244" s="45">
        <f>IFERROR(__xludf.DUMMYFUNCTION("""COMPUTED_VALUE"""),44942.0)</f>
        <v>44942</v>
      </c>
      <c r="Q244" s="45">
        <f>IFERROR(__xludf.DUMMYFUNCTION("""COMPUTED_VALUE"""),44901.0)</f>
        <v>44901</v>
      </c>
      <c r="R244" s="45">
        <f>IFERROR(__xludf.DUMMYFUNCTION("""COMPUTED_VALUE"""),44942.0)</f>
        <v>44942</v>
      </c>
      <c r="S244" s="43"/>
      <c r="T244" s="43"/>
      <c r="U244" s="43" t="str">
        <f>IFERROR(__xludf.DUMMYFUNCTION("""COMPUTED_VALUE"""),"Youth 4 Impact")</f>
        <v>Youth 4 Impact</v>
      </c>
      <c r="V244" s="43" t="str">
        <f>IFERROR(__xludf.DUMMYFUNCTION("""COMPUTED_VALUE"""),"-")</f>
        <v>-</v>
      </c>
      <c r="W244" s="43" t="str">
        <f>IFERROR(__xludf.DUMMYFUNCTION("""COMPUTED_VALUE"""),"2022-03-30T14:48:14Z")</f>
        <v>2022-03-30T14:48:14Z</v>
      </c>
      <c r="X244" s="43"/>
      <c r="Y244" s="43"/>
      <c r="Z244" s="43"/>
    </row>
    <row r="245">
      <c r="A245" s="43" t="str">
        <f>IFERROR(__xludf.DUMMYFUNCTION("""COMPUTED_VALUE"""),"5144698_1287338")</f>
        <v>5144698_1287338</v>
      </c>
      <c r="B245" s="43" t="str">
        <f>IFERROR(__xludf.DUMMYFUNCTION("""COMPUTED_VALUE"""),"Zineb Aynan")</f>
        <v>Zineb Aynan</v>
      </c>
      <c r="C245" s="43" t="str">
        <f>IFERROR(__xludf.DUMMYFUNCTION("""COMPUTED_VALUE"""),"approved")</f>
        <v>approved</v>
      </c>
      <c r="D245" s="43" t="str">
        <f>IFERROR(__xludf.DUMMYFUNCTION("""COMPUTED_VALUE"""),"No")</f>
        <v>No</v>
      </c>
      <c r="E245" s="43" t="str">
        <f>IFERROR(__xludf.DUMMYFUNCTION("""COMPUTED_VALUE"""),"p_4618b852e9494c690e406e39e1d5bef547af31d1@inbound.aiesec.org")</f>
        <v>p_4618b852e9494c690e406e39e1d5bef547af31d1@inbound.aiesec.org</v>
      </c>
      <c r="F245" s="43"/>
      <c r="G245" s="43" t="str">
        <f>IFERROR(__xludf.DUMMYFUNCTION("""COMPUTED_VALUE"""),"Morocco")</f>
        <v>Morocco</v>
      </c>
      <c r="H245" s="43" t="str">
        <f>IFERROR(__xludf.DUMMYFUNCTION("""COMPUTED_VALUE"""),"Ifrane")</f>
        <v>Ifrane</v>
      </c>
      <c r="I245" s="43" t="str">
        <f>IFERROR(__xludf.DUMMYFUNCTION("""COMPUTED_VALUE"""),"Turkey")</f>
        <v>Turkey</v>
      </c>
      <c r="J245" s="43" t="str">
        <f>IFERROR(__xludf.DUMMYFUNCTION("""COMPUTED_VALUE"""),"ANKARA")</f>
        <v>ANKARA</v>
      </c>
      <c r="K245" s="44" t="str">
        <f>IFERROR(__xludf.DUMMYFUNCTION("""COMPUTED_VALUE"""),"https://expa.aiesec.org/opportunities/1287338")</f>
        <v>https://expa.aiesec.org/opportunities/1287338</v>
      </c>
      <c r="L245" s="43" t="str">
        <f>IFERROR(__xludf.DUMMYFUNCTION("""COMPUTED_VALUE"""),"GV")</f>
        <v>GV</v>
      </c>
      <c r="M245" s="43" t="str">
        <f>IFERROR(__xludf.DUMMYFUNCTION("""COMPUTED_VALUE"""),"short")</f>
        <v>short</v>
      </c>
      <c r="N245" s="45">
        <f>IFERROR(__xludf.DUMMYFUNCTION("""COMPUTED_VALUE"""),44876.0)</f>
        <v>44876</v>
      </c>
      <c r="O245" s="45">
        <f>IFERROR(__xludf.DUMMYFUNCTION("""COMPUTED_VALUE"""),44909.0)</f>
        <v>44909</v>
      </c>
      <c r="P245" s="45">
        <f>IFERROR(__xludf.DUMMYFUNCTION("""COMPUTED_VALUE"""),44951.0)</f>
        <v>44951</v>
      </c>
      <c r="Q245" s="45"/>
      <c r="R245" s="45"/>
      <c r="S245" s="43"/>
      <c r="T245" s="43"/>
      <c r="U245" s="43" t="str">
        <f>IFERROR(__xludf.DUMMYFUNCTION("""COMPUTED_VALUE"""),"Equify")</f>
        <v>Equify</v>
      </c>
      <c r="V245" s="43" t="str">
        <f>IFERROR(__xludf.DUMMYFUNCTION("""COMPUTED_VALUE"""),"-")</f>
        <v>-</v>
      </c>
      <c r="W245" s="43" t="str">
        <f>IFERROR(__xludf.DUMMYFUNCTION("""COMPUTED_VALUE"""),"2022-11-01T20:19:49Z")</f>
        <v>2022-11-01T20:19:49Z</v>
      </c>
      <c r="X245" s="43"/>
      <c r="Y245" s="43"/>
      <c r="Z245" s="43"/>
    </row>
    <row r="246" hidden="1">
      <c r="A246" s="43" t="str">
        <f>IFERROR(__xludf.DUMMYFUNCTION("""COMPUTED_VALUE"""),"5150752_1289155")</f>
        <v>5150752_1289155</v>
      </c>
      <c r="B246" s="43" t="str">
        <f>IFERROR(__xludf.DUMMYFUNCTION("""COMPUTED_VALUE"""),"Lamia Mchirgui")</f>
        <v>Lamia Mchirgui</v>
      </c>
      <c r="C246" s="43" t="str">
        <f>IFERROR(__xludf.DUMMYFUNCTION("""COMPUTED_VALUE"""),"approved")</f>
        <v>approved</v>
      </c>
      <c r="D246" s="43" t="str">
        <f>IFERROR(__xludf.DUMMYFUNCTION("""COMPUTED_VALUE"""),"No")</f>
        <v>No</v>
      </c>
      <c r="E246" s="43" t="str">
        <f>IFERROR(__xludf.DUMMYFUNCTION("""COMPUTED_VALUE"""),"p_5a0ac942160d28cbd1695955db09eb7a38327d91@inbound.aiesec.org")</f>
        <v>p_5a0ac942160d28cbd1695955db09eb7a38327d91@inbound.aiesec.org</v>
      </c>
      <c r="F246" s="43">
        <f>IFERROR(__xludf.DUMMYFUNCTION("""COMPUTED_VALUE"""),5.5889791E7)</f>
        <v>55889791</v>
      </c>
      <c r="G246" s="43" t="str">
        <f>IFERROR(__xludf.DUMMYFUNCTION("""COMPUTED_VALUE"""),"Tunisia")</f>
        <v>Tunisia</v>
      </c>
      <c r="H246" s="43" t="str">
        <f>IFERROR(__xludf.DUMMYFUNCTION("""COMPUTED_VALUE"""),"HADRUMET")</f>
        <v>HADRUMET</v>
      </c>
      <c r="I246" s="43" t="str">
        <f>IFERROR(__xludf.DUMMYFUNCTION("""COMPUTED_VALUE"""),"Turkey")</f>
        <v>Turkey</v>
      </c>
      <c r="J246" s="43" t="str">
        <f>IFERROR(__xludf.DUMMYFUNCTION("""COMPUTED_VALUE"""),"KONYA")</f>
        <v>KONYA</v>
      </c>
      <c r="K246" s="44" t="str">
        <f>IFERROR(__xludf.DUMMYFUNCTION("""COMPUTED_VALUE"""),"https://expa.aiesec.org/opportunities/1289155")</f>
        <v>https://expa.aiesec.org/opportunities/1289155</v>
      </c>
      <c r="L246" s="43" t="str">
        <f>IFERROR(__xludf.DUMMYFUNCTION("""COMPUTED_VALUE"""),"GV")</f>
        <v>GV</v>
      </c>
      <c r="M246" s="43" t="str">
        <f>IFERROR(__xludf.DUMMYFUNCTION("""COMPUTED_VALUE"""),"short")</f>
        <v>short</v>
      </c>
      <c r="N246" s="45">
        <f>IFERROR(__xludf.DUMMYFUNCTION("""COMPUTED_VALUE"""),44876.0)</f>
        <v>44876</v>
      </c>
      <c r="O246" s="45">
        <f>IFERROR(__xludf.DUMMYFUNCTION("""COMPUTED_VALUE"""),45117.0)</f>
        <v>45117</v>
      </c>
      <c r="P246" s="45">
        <f>IFERROR(__xludf.DUMMYFUNCTION("""COMPUTED_VALUE"""),45159.0)</f>
        <v>45159</v>
      </c>
      <c r="Q246" s="45"/>
      <c r="R246" s="45"/>
      <c r="S246" s="43"/>
      <c r="T246" s="43"/>
      <c r="U246" s="43" t="str">
        <f>IFERROR(__xludf.DUMMYFUNCTION("""COMPUTED_VALUE"""),"Global Classroom")</f>
        <v>Global Classroom</v>
      </c>
      <c r="V246" s="43" t="str">
        <f>IFERROR(__xludf.DUMMYFUNCTION("""COMPUTED_VALUE"""),"FMS (Faculté de Médecine de Sousse)")</f>
        <v>FMS (Faculté de Médecine de Sousse)</v>
      </c>
      <c r="W246" s="43" t="str">
        <f>IFERROR(__xludf.DUMMYFUNCTION("""COMPUTED_VALUE"""),"2022-11-10T11:04:10Z")</f>
        <v>2022-11-10T11:04:10Z</v>
      </c>
      <c r="X246" s="43"/>
      <c r="Y246" s="43"/>
      <c r="Z246" s="43"/>
    </row>
    <row r="247" hidden="1">
      <c r="A247" s="43" t="str">
        <f>IFERROR(__xludf.DUMMYFUNCTION("""COMPUTED_VALUE"""),"5139013_1286326")</f>
        <v>5139013_1286326</v>
      </c>
      <c r="B247" s="43" t="str">
        <f>IFERROR(__xludf.DUMMYFUNCTION("""COMPUTED_VALUE"""),"Angelica Vampo")</f>
        <v>Angelica Vampo</v>
      </c>
      <c r="C247" s="43" t="str">
        <f>IFERROR(__xludf.DUMMYFUNCTION("""COMPUTED_VALUE"""),"realization_broken")</f>
        <v>realization_broken</v>
      </c>
      <c r="D247" s="43" t="str">
        <f>IFERROR(__xludf.DUMMYFUNCTION("""COMPUTED_VALUE"""),"No")</f>
        <v>No</v>
      </c>
      <c r="E247" s="43" t="str">
        <f>IFERROR(__xludf.DUMMYFUNCTION("""COMPUTED_VALUE"""),"p_a1d359bd1735cabe1e4418b0b00f8ffd597c1502@inbound.aiesec.org")</f>
        <v>p_a1d359bd1735cabe1e4418b0b00f8ffd597c1502@inbound.aiesec.org</v>
      </c>
      <c r="F247" s="43">
        <f>IFERROR(__xludf.DUMMYFUNCTION("""COMPUTED_VALUE"""),3.914096105E9)</f>
        <v>3914096105</v>
      </c>
      <c r="G247" s="43" t="str">
        <f>IFERROR(__xludf.DUMMYFUNCTION("""COMPUTED_VALUE"""),"Italy")</f>
        <v>Italy</v>
      </c>
      <c r="H247" s="43" t="str">
        <f>IFERROR(__xludf.DUMMYFUNCTION("""COMPUTED_VALUE"""),"Torino")</f>
        <v>Torino</v>
      </c>
      <c r="I247" s="43" t="str">
        <f>IFERROR(__xludf.DUMMYFUNCTION("""COMPUTED_VALUE"""),"Turkey")</f>
        <v>Turkey</v>
      </c>
      <c r="J247" s="43" t="str">
        <f>IFERROR(__xludf.DUMMYFUNCTION("""COMPUTED_VALUE"""),"ADANA")</f>
        <v>ADANA</v>
      </c>
      <c r="K247" s="44" t="str">
        <f>IFERROR(__xludf.DUMMYFUNCTION("""COMPUTED_VALUE"""),"https://expa.aiesec.org/opportunities/1286326")</f>
        <v>https://expa.aiesec.org/opportunities/1286326</v>
      </c>
      <c r="L247" s="43" t="str">
        <f>IFERROR(__xludf.DUMMYFUNCTION("""COMPUTED_VALUE"""),"GV")</f>
        <v>GV</v>
      </c>
      <c r="M247" s="43" t="str">
        <f>IFERROR(__xludf.DUMMYFUNCTION("""COMPUTED_VALUE"""),"short")</f>
        <v>short</v>
      </c>
      <c r="N247" s="45">
        <f>IFERROR(__xludf.DUMMYFUNCTION("""COMPUTED_VALUE"""),44876.0)</f>
        <v>44876</v>
      </c>
      <c r="O247" s="45">
        <f>IFERROR(__xludf.DUMMYFUNCTION("""COMPUTED_VALUE"""),44963.0)</f>
        <v>44963</v>
      </c>
      <c r="P247" s="45">
        <f>IFERROR(__xludf.DUMMYFUNCTION("""COMPUTED_VALUE"""),45009.0)</f>
        <v>45009</v>
      </c>
      <c r="Q247" s="45"/>
      <c r="R247" s="45"/>
      <c r="S247" s="43"/>
      <c r="T247" s="43"/>
      <c r="U247" s="43" t="str">
        <f>IFERROR(__xludf.DUMMYFUNCTION("""COMPUTED_VALUE"""),"Equify")</f>
        <v>Equify</v>
      </c>
      <c r="V247" s="43" t="str">
        <f>IFERROR(__xludf.DUMMYFUNCTION("""COMPUTED_VALUE"""),"-")</f>
        <v>-</v>
      </c>
      <c r="W247" s="43" t="str">
        <f>IFERROR(__xludf.DUMMYFUNCTION("""COMPUTED_VALUE"""),"2022-10-23T15:59:46Z")</f>
        <v>2022-10-23T15:59:46Z</v>
      </c>
      <c r="X247" s="43"/>
      <c r="Y247" s="43"/>
      <c r="Z247" s="43"/>
    </row>
    <row r="248" hidden="1">
      <c r="A248" s="43" t="str">
        <f>IFERROR(__xludf.DUMMYFUNCTION("""COMPUTED_VALUE"""),"4936082_1287488")</f>
        <v>4936082_1287488</v>
      </c>
      <c r="B248" s="43" t="str">
        <f>IFERROR(__xludf.DUMMYFUNCTION("""COMPUTED_VALUE"""),"Vanshika Mahajan")</f>
        <v>Vanshika Mahajan</v>
      </c>
      <c r="C248" s="43" t="str">
        <f>IFERROR(__xludf.DUMMYFUNCTION("""COMPUTED_VALUE"""),"completed")</f>
        <v>completed</v>
      </c>
      <c r="D248" s="43" t="str">
        <f>IFERROR(__xludf.DUMMYFUNCTION("""COMPUTED_VALUE"""),"No")</f>
        <v>No</v>
      </c>
      <c r="E248" s="43" t="str">
        <f>IFERROR(__xludf.DUMMYFUNCTION("""COMPUTED_VALUE"""),"p_34755868942d5a66e5865b268f2add78cc2668a6@inbound.aiesec.org")</f>
        <v>p_34755868942d5a66e5865b268f2add78cc2668a6@inbound.aiesec.org</v>
      </c>
      <c r="F248" s="43"/>
      <c r="G248" s="43" t="str">
        <f>IFERROR(__xludf.DUMMYFUNCTION("""COMPUTED_VALUE"""),"India")</f>
        <v>India</v>
      </c>
      <c r="H248" s="43" t="str">
        <f>IFERROR(__xludf.DUMMYFUNCTION("""COMPUTED_VALUE"""),"Delhi University")</f>
        <v>Delhi University</v>
      </c>
      <c r="I248" s="43" t="str">
        <f>IFERROR(__xludf.DUMMYFUNCTION("""COMPUTED_VALUE"""),"Turkey")</f>
        <v>Turkey</v>
      </c>
      <c r="J248" s="43" t="str">
        <f>IFERROR(__xludf.DUMMYFUNCTION("""COMPUTED_VALUE"""),"ISTANBUL ASIA")</f>
        <v>ISTANBUL ASIA</v>
      </c>
      <c r="K248" s="44" t="str">
        <f>IFERROR(__xludf.DUMMYFUNCTION("""COMPUTED_VALUE"""),"https://expa.aiesec.org/opportunities/1287488")</f>
        <v>https://expa.aiesec.org/opportunities/1287488</v>
      </c>
      <c r="L248" s="43" t="str">
        <f>IFERROR(__xludf.DUMMYFUNCTION("""COMPUTED_VALUE"""),"GV")</f>
        <v>GV</v>
      </c>
      <c r="M248" s="43" t="str">
        <f>IFERROR(__xludf.DUMMYFUNCTION("""COMPUTED_VALUE"""),"short")</f>
        <v>short</v>
      </c>
      <c r="N248" s="45">
        <f>IFERROR(__xludf.DUMMYFUNCTION("""COMPUTED_VALUE"""),44877.0)</f>
        <v>44877</v>
      </c>
      <c r="O248" s="45">
        <f>IFERROR(__xludf.DUMMYFUNCTION("""COMPUTED_VALUE"""),44941.0)</f>
        <v>44941</v>
      </c>
      <c r="P248" s="45">
        <f>IFERROR(__xludf.DUMMYFUNCTION("""COMPUTED_VALUE"""),44983.0)</f>
        <v>44983</v>
      </c>
      <c r="Q248" s="45">
        <f>IFERROR(__xludf.DUMMYFUNCTION("""COMPUTED_VALUE"""),44969.0)</f>
        <v>44969</v>
      </c>
      <c r="R248" s="45">
        <f>IFERROR(__xludf.DUMMYFUNCTION("""COMPUTED_VALUE"""),45009.0)</f>
        <v>45009</v>
      </c>
      <c r="S248" s="43"/>
      <c r="T248" s="43"/>
      <c r="U248" s="43" t="str">
        <f>IFERROR(__xludf.DUMMYFUNCTION("""COMPUTED_VALUE"""),"Global Classroom")</f>
        <v>Global Classroom</v>
      </c>
      <c r="V248" s="43" t="str">
        <f>IFERROR(__xludf.DUMMYFUNCTION("""COMPUTED_VALUE"""),"-")</f>
        <v>-</v>
      </c>
      <c r="W248" s="43" t="str">
        <f>IFERROR(__xludf.DUMMYFUNCTION("""COMPUTED_VALUE"""),"2022-02-18T10:03:45Z")</f>
        <v>2022-02-18T10:03:45Z</v>
      </c>
      <c r="X248" s="43"/>
      <c r="Y248" s="43"/>
      <c r="Z248" s="43"/>
    </row>
    <row r="249" hidden="1">
      <c r="A249" s="43" t="str">
        <f>IFERROR(__xludf.DUMMYFUNCTION("""COMPUTED_VALUE"""),"5065717_1289155")</f>
        <v>5065717_1289155</v>
      </c>
      <c r="B249" s="43" t="str">
        <f>IFERROR(__xludf.DUMMYFUNCTION("""COMPUTED_VALUE"""),"ahmed hchaichi")</f>
        <v>ahmed hchaichi</v>
      </c>
      <c r="C249" s="43" t="str">
        <f>IFERROR(__xludf.DUMMYFUNCTION("""COMPUTED_VALUE"""),"approved")</f>
        <v>approved</v>
      </c>
      <c r="D249" s="43" t="str">
        <f>IFERROR(__xludf.DUMMYFUNCTION("""COMPUTED_VALUE"""),"No")</f>
        <v>No</v>
      </c>
      <c r="E249" s="43" t="str">
        <f>IFERROR(__xludf.DUMMYFUNCTION("""COMPUTED_VALUE"""),"p_cb94fce175ed92b4cc52647685e75fa9c21aad5e@inbound.aiesec.org")</f>
        <v>p_cb94fce175ed92b4cc52647685e75fa9c21aad5e@inbound.aiesec.org</v>
      </c>
      <c r="F249" s="43">
        <f>IFERROR(__xludf.DUMMYFUNCTION("""COMPUTED_VALUE"""),9.6014188E7)</f>
        <v>96014188</v>
      </c>
      <c r="G249" s="43" t="str">
        <f>IFERROR(__xludf.DUMMYFUNCTION("""COMPUTED_VALUE"""),"Tunisia")</f>
        <v>Tunisia</v>
      </c>
      <c r="H249" s="43" t="str">
        <f>IFERROR(__xludf.DUMMYFUNCTION("""COMPUTED_VALUE"""),"BARDO")</f>
        <v>BARDO</v>
      </c>
      <c r="I249" s="43" t="str">
        <f>IFERROR(__xludf.DUMMYFUNCTION("""COMPUTED_VALUE"""),"Turkey")</f>
        <v>Turkey</v>
      </c>
      <c r="J249" s="43" t="str">
        <f>IFERROR(__xludf.DUMMYFUNCTION("""COMPUTED_VALUE"""),"KONYA")</f>
        <v>KONYA</v>
      </c>
      <c r="K249" s="44" t="str">
        <f>IFERROR(__xludf.DUMMYFUNCTION("""COMPUTED_VALUE"""),"https://expa.aiesec.org/opportunities/1289155")</f>
        <v>https://expa.aiesec.org/opportunities/1289155</v>
      </c>
      <c r="L249" s="43" t="str">
        <f>IFERROR(__xludf.DUMMYFUNCTION("""COMPUTED_VALUE"""),"GV")</f>
        <v>GV</v>
      </c>
      <c r="M249" s="43" t="str">
        <f>IFERROR(__xludf.DUMMYFUNCTION("""COMPUTED_VALUE"""),"short")</f>
        <v>short</v>
      </c>
      <c r="N249" s="45">
        <f>IFERROR(__xludf.DUMMYFUNCTION("""COMPUTED_VALUE"""),44877.0)</f>
        <v>44877</v>
      </c>
      <c r="O249" s="45">
        <f>IFERROR(__xludf.DUMMYFUNCTION("""COMPUTED_VALUE"""),45145.0)</f>
        <v>45145</v>
      </c>
      <c r="P249" s="45">
        <f>IFERROR(__xludf.DUMMYFUNCTION("""COMPUTED_VALUE"""),45187.0)</f>
        <v>45187</v>
      </c>
      <c r="Q249" s="45"/>
      <c r="R249" s="45"/>
      <c r="S249" s="43"/>
      <c r="T249" s="43"/>
      <c r="U249" s="43" t="str">
        <f>IFERROR(__xludf.DUMMYFUNCTION("""COMPUTED_VALUE"""),"Global Classroom")</f>
        <v>Global Classroom</v>
      </c>
      <c r="V249" s="43" t="str">
        <f>IFERROR(__xludf.DUMMYFUNCTION("""COMPUTED_VALUE"""),"ESPRIT El Ghazela ")</f>
        <v>ESPRIT El Ghazela </v>
      </c>
      <c r="W249" s="43" t="str">
        <f>IFERROR(__xludf.DUMMYFUNCTION("""COMPUTED_VALUE"""),"2022-05-29T17:18:26Z")</f>
        <v>2022-05-29T17:18:26Z</v>
      </c>
      <c r="X249" s="43"/>
      <c r="Y249" s="43"/>
      <c r="Z249" s="43"/>
    </row>
    <row r="250" hidden="1">
      <c r="A250" s="43" t="str">
        <f>IFERROR(__xludf.DUMMYFUNCTION("""COMPUTED_VALUE"""),"5121906_1286326")</f>
        <v>5121906_1286326</v>
      </c>
      <c r="B250" s="43" t="str">
        <f>IFERROR(__xludf.DUMMYFUNCTION("""COMPUTED_VALUE"""),"Federica Mastronicola Federica Mastronicola")</f>
        <v>Federica Mastronicola Federica Mastronicola</v>
      </c>
      <c r="C250" s="43" t="str">
        <f>IFERROR(__xludf.DUMMYFUNCTION("""COMPUTED_VALUE"""),"finished")</f>
        <v>finished</v>
      </c>
      <c r="D250" s="43" t="str">
        <f>IFERROR(__xludf.DUMMYFUNCTION("""COMPUTED_VALUE"""),"No")</f>
        <v>No</v>
      </c>
      <c r="E250" s="43" t="str">
        <f>IFERROR(__xludf.DUMMYFUNCTION("""COMPUTED_VALUE"""),"p_0d587fb164419e46e52c81e47ee6fa066a01ecdc@inbound.aiesec.org")</f>
        <v>p_0d587fb164419e46e52c81e47ee6fa066a01ecdc@inbound.aiesec.org</v>
      </c>
      <c r="F250" s="43"/>
      <c r="G250" s="43" t="str">
        <f>IFERROR(__xludf.DUMMYFUNCTION("""COMPUTED_VALUE"""),"Italy")</f>
        <v>Italy</v>
      </c>
      <c r="H250" s="43" t="str">
        <f>IFERROR(__xludf.DUMMYFUNCTION("""COMPUTED_VALUE"""),"Torino")</f>
        <v>Torino</v>
      </c>
      <c r="I250" s="43" t="str">
        <f>IFERROR(__xludf.DUMMYFUNCTION("""COMPUTED_VALUE"""),"Turkey")</f>
        <v>Turkey</v>
      </c>
      <c r="J250" s="43" t="str">
        <f>IFERROR(__xludf.DUMMYFUNCTION("""COMPUTED_VALUE"""),"ADANA")</f>
        <v>ADANA</v>
      </c>
      <c r="K250" s="44" t="str">
        <f>IFERROR(__xludf.DUMMYFUNCTION("""COMPUTED_VALUE"""),"https://expa.aiesec.org/opportunities/1286326")</f>
        <v>https://expa.aiesec.org/opportunities/1286326</v>
      </c>
      <c r="L250" s="43" t="str">
        <f>IFERROR(__xludf.DUMMYFUNCTION("""COMPUTED_VALUE"""),"GV")</f>
        <v>GV</v>
      </c>
      <c r="M250" s="43" t="str">
        <f>IFERROR(__xludf.DUMMYFUNCTION("""COMPUTED_VALUE"""),"short")</f>
        <v>short</v>
      </c>
      <c r="N250" s="45">
        <f>IFERROR(__xludf.DUMMYFUNCTION("""COMPUTED_VALUE"""),44877.0)</f>
        <v>44877</v>
      </c>
      <c r="O250" s="45">
        <f>IFERROR(__xludf.DUMMYFUNCTION("""COMPUTED_VALUE"""),45061.0)</f>
        <v>45061</v>
      </c>
      <c r="P250" s="45">
        <f>IFERROR(__xludf.DUMMYFUNCTION("""COMPUTED_VALUE"""),45107.0)</f>
        <v>45107</v>
      </c>
      <c r="Q250" s="45">
        <f>IFERROR(__xludf.DUMMYFUNCTION("""COMPUTED_VALUE"""),45063.0)</f>
        <v>45063</v>
      </c>
      <c r="R250" s="45">
        <f>IFERROR(__xludf.DUMMYFUNCTION("""COMPUTED_VALUE"""),45107.0)</f>
        <v>45107</v>
      </c>
      <c r="S250" s="43"/>
      <c r="T250" s="43"/>
      <c r="U250" s="43" t="str">
        <f>IFERROR(__xludf.DUMMYFUNCTION("""COMPUTED_VALUE"""),"Equify")</f>
        <v>Equify</v>
      </c>
      <c r="V250" s="43" t="str">
        <f>IFERROR(__xludf.DUMMYFUNCTION("""COMPUTED_VALUE"""),"-")</f>
        <v>-</v>
      </c>
      <c r="W250" s="43" t="str">
        <f>IFERROR(__xludf.DUMMYFUNCTION("""COMPUTED_VALUE"""),"2022-09-29T06:58:36Z")</f>
        <v>2022-09-29T06:58:36Z</v>
      </c>
      <c r="X250" s="43"/>
      <c r="Y250" s="43"/>
      <c r="Z250" s="43"/>
    </row>
    <row r="251" hidden="1">
      <c r="A251" s="43" t="str">
        <f>IFERROR(__xludf.DUMMYFUNCTION("""COMPUTED_VALUE"""),"4502444_1284125")</f>
        <v>4502444_1284125</v>
      </c>
      <c r="B251" s="43" t="str">
        <f>IFERROR(__xludf.DUMMYFUNCTION("""COMPUTED_VALUE"""),"emna bouaouina")</f>
        <v>emna bouaouina</v>
      </c>
      <c r="C251" s="43" t="str">
        <f>IFERROR(__xludf.DUMMYFUNCTION("""COMPUTED_VALUE"""),"completed")</f>
        <v>completed</v>
      </c>
      <c r="D251" s="43" t="str">
        <f>IFERROR(__xludf.DUMMYFUNCTION("""COMPUTED_VALUE"""),"No")</f>
        <v>No</v>
      </c>
      <c r="E251" s="43" t="str">
        <f>IFERROR(__xludf.DUMMYFUNCTION("""COMPUTED_VALUE"""),"p_0daefe797543d077bb9fe416e65700c690b027aa@inbound.aiesec.org")</f>
        <v>p_0daefe797543d077bb9fe416e65700c690b027aa@inbound.aiesec.org</v>
      </c>
      <c r="F251" s="43">
        <f>IFERROR(__xludf.DUMMYFUNCTION("""COMPUTED_VALUE"""),2.91423E7)</f>
        <v>29142300</v>
      </c>
      <c r="G251" s="43" t="str">
        <f>IFERROR(__xludf.DUMMYFUNCTION("""COMPUTED_VALUE"""),"Tunisia")</f>
        <v>Tunisia</v>
      </c>
      <c r="H251" s="43" t="str">
        <f>IFERROR(__xludf.DUMMYFUNCTION("""COMPUTED_VALUE"""),"NABEL")</f>
        <v>NABEL</v>
      </c>
      <c r="I251" s="43" t="str">
        <f>IFERROR(__xludf.DUMMYFUNCTION("""COMPUTED_VALUE"""),"Turkey")</f>
        <v>Turkey</v>
      </c>
      <c r="J251" s="43" t="str">
        <f>IFERROR(__xludf.DUMMYFUNCTION("""COMPUTED_VALUE"""),"ISTANBUL WEST")</f>
        <v>ISTANBUL WEST</v>
      </c>
      <c r="K251" s="44" t="str">
        <f>IFERROR(__xludf.DUMMYFUNCTION("""COMPUTED_VALUE"""),"https://expa.aiesec.org/opportunities/1284125")</f>
        <v>https://expa.aiesec.org/opportunities/1284125</v>
      </c>
      <c r="L251" s="43" t="str">
        <f>IFERROR(__xludf.DUMMYFUNCTION("""COMPUTED_VALUE"""),"GV")</f>
        <v>GV</v>
      </c>
      <c r="M251" s="43" t="str">
        <f>IFERROR(__xludf.DUMMYFUNCTION("""COMPUTED_VALUE"""),"short")</f>
        <v>short</v>
      </c>
      <c r="N251" s="45">
        <f>IFERROR(__xludf.DUMMYFUNCTION("""COMPUTED_VALUE"""),44878.0)</f>
        <v>44878</v>
      </c>
      <c r="O251" s="45">
        <f>IFERROR(__xludf.DUMMYFUNCTION("""COMPUTED_VALUE"""),44928.0)</f>
        <v>44928</v>
      </c>
      <c r="P251" s="45">
        <f>IFERROR(__xludf.DUMMYFUNCTION("""COMPUTED_VALUE"""),44970.0)</f>
        <v>44970</v>
      </c>
      <c r="Q251" s="45">
        <f>IFERROR(__xludf.DUMMYFUNCTION("""COMPUTED_VALUE"""),44936.0)</f>
        <v>44936</v>
      </c>
      <c r="R251" s="45">
        <f>IFERROR(__xludf.DUMMYFUNCTION("""COMPUTED_VALUE"""),44977.0)</f>
        <v>44977</v>
      </c>
      <c r="S251" s="43"/>
      <c r="T251" s="43"/>
      <c r="U251" s="43" t="str">
        <f>IFERROR(__xludf.DUMMYFUNCTION("""COMPUTED_VALUE"""),"Global Classroom")</f>
        <v>Global Classroom</v>
      </c>
      <c r="V251" s="43" t="str">
        <f>IFERROR(__xludf.DUMMYFUNCTION("""COMPUTED_VALUE"""),"ISET Nabel")</f>
        <v>ISET Nabel</v>
      </c>
      <c r="W251" s="43" t="str">
        <f>IFERROR(__xludf.DUMMYFUNCTION("""COMPUTED_VALUE"""),"2020-12-28T22:36:59Z")</f>
        <v>2020-12-28T22:36:59Z</v>
      </c>
      <c r="X251" s="43"/>
      <c r="Y251" s="43"/>
      <c r="Z251" s="43"/>
    </row>
    <row r="252">
      <c r="A252" s="43" t="str">
        <f>IFERROR(__xludf.DUMMYFUNCTION("""COMPUTED_VALUE"""),"5147150_1288991")</f>
        <v>5147150_1288991</v>
      </c>
      <c r="B252" s="43" t="str">
        <f>IFERROR(__xludf.DUMMYFUNCTION("""COMPUTED_VALUE"""),"Faaizah Syed")</f>
        <v>Faaizah Syed</v>
      </c>
      <c r="C252" s="43" t="str">
        <f>IFERROR(__xludf.DUMMYFUNCTION("""COMPUTED_VALUE"""),"approved")</f>
        <v>approved</v>
      </c>
      <c r="D252" s="43" t="str">
        <f>IFERROR(__xludf.DUMMYFUNCTION("""COMPUTED_VALUE"""),"No")</f>
        <v>No</v>
      </c>
      <c r="E252" s="43" t="str">
        <f>IFERROR(__xludf.DUMMYFUNCTION("""COMPUTED_VALUE"""),"p_1645fc4421214b2a3a6786119596b62df495c763@inbound.aiesec.org")</f>
        <v>p_1645fc4421214b2a3a6786119596b62df495c763@inbound.aiesec.org</v>
      </c>
      <c r="F252" s="43">
        <f>IFERROR(__xludf.DUMMYFUNCTION("""COMPUTED_VALUE"""),9.325638651E9)</f>
        <v>9325638651</v>
      </c>
      <c r="G252" s="43" t="str">
        <f>IFERROR(__xludf.DUMMYFUNCTION("""COMPUTED_VALUE"""),"India")</f>
        <v>India</v>
      </c>
      <c r="H252" s="43" t="str">
        <f>IFERROR(__xludf.DUMMYFUNCTION("""COMPUTED_VALUE"""),"Mumbai")</f>
        <v>Mumbai</v>
      </c>
      <c r="I252" s="43" t="str">
        <f>IFERROR(__xludf.DUMMYFUNCTION("""COMPUTED_VALUE"""),"Turkey")</f>
        <v>Turkey</v>
      </c>
      <c r="J252" s="43" t="str">
        <f>IFERROR(__xludf.DUMMYFUNCTION("""COMPUTED_VALUE"""),"ANKARA")</f>
        <v>ANKARA</v>
      </c>
      <c r="K252" s="44" t="str">
        <f>IFERROR(__xludf.DUMMYFUNCTION("""COMPUTED_VALUE"""),"https://expa.aiesec.org/opportunities/1288991")</f>
        <v>https://expa.aiesec.org/opportunities/1288991</v>
      </c>
      <c r="L252" s="43" t="str">
        <f>IFERROR(__xludf.DUMMYFUNCTION("""COMPUTED_VALUE"""),"GV")</f>
        <v>GV</v>
      </c>
      <c r="M252" s="43" t="str">
        <f>IFERROR(__xludf.DUMMYFUNCTION("""COMPUTED_VALUE"""),"short")</f>
        <v>short</v>
      </c>
      <c r="N252" s="45">
        <f>IFERROR(__xludf.DUMMYFUNCTION("""COMPUTED_VALUE"""),44878.0)</f>
        <v>44878</v>
      </c>
      <c r="O252" s="45">
        <f>IFERROR(__xludf.DUMMYFUNCTION("""COMPUTED_VALUE"""),44938.0)</f>
        <v>44938</v>
      </c>
      <c r="P252" s="45">
        <f>IFERROR(__xludf.DUMMYFUNCTION("""COMPUTED_VALUE"""),44980.0)</f>
        <v>44980</v>
      </c>
      <c r="Q252" s="45"/>
      <c r="R252" s="45"/>
      <c r="S252" s="43"/>
      <c r="T252" s="43"/>
      <c r="U252" s="43" t="str">
        <f>IFERROR(__xludf.DUMMYFUNCTION("""COMPUTED_VALUE"""),"Green Leaders")</f>
        <v>Green Leaders</v>
      </c>
      <c r="V252" s="43" t="str">
        <f>IFERROR(__xludf.DUMMYFUNCTION("""COMPUTED_VALUE"""),"Ashoka College of Education, Nashik")</f>
        <v>Ashoka College of Education, Nashik</v>
      </c>
      <c r="W252" s="43" t="str">
        <f>IFERROR(__xludf.DUMMYFUNCTION("""COMPUTED_VALUE"""),"2022-11-05T14:32:24Z")</f>
        <v>2022-11-05T14:32:24Z</v>
      </c>
      <c r="X252" s="43"/>
      <c r="Y252" s="43"/>
      <c r="Z252" s="43"/>
    </row>
    <row r="253" hidden="1">
      <c r="A253" s="43" t="str">
        <f>IFERROR(__xludf.DUMMYFUNCTION("""COMPUTED_VALUE"""),"5152686_1283483")</f>
        <v>5152686_1283483</v>
      </c>
      <c r="B253" s="43" t="str">
        <f>IFERROR(__xludf.DUMMYFUNCTION("""COMPUTED_VALUE"""),"Hassin Med. nassim")</f>
        <v>Hassin Med. nassim</v>
      </c>
      <c r="C253" s="43" t="str">
        <f>IFERROR(__xludf.DUMMYFUNCTION("""COMPUTED_VALUE"""),"approved")</f>
        <v>approved</v>
      </c>
      <c r="D253" s="43" t="str">
        <f>IFERROR(__xludf.DUMMYFUNCTION("""COMPUTED_VALUE"""),"No")</f>
        <v>No</v>
      </c>
      <c r="E253" s="43" t="str">
        <f>IFERROR(__xludf.DUMMYFUNCTION("""COMPUTED_VALUE"""),"p_8c801b80dcf8f3ebdaad0a4a80e9285047540e0e@inbound.aiesec.org")</f>
        <v>p_8c801b80dcf8f3ebdaad0a4a80e9285047540e0e@inbound.aiesec.org</v>
      </c>
      <c r="F253" s="43">
        <f>IFERROR(__xludf.DUMMYFUNCTION("""COMPUTED_VALUE"""),2.4156052E7)</f>
        <v>24156052</v>
      </c>
      <c r="G253" s="43" t="str">
        <f>IFERROR(__xludf.DUMMYFUNCTION("""COMPUTED_VALUE"""),"Tunisia")</f>
        <v>Tunisia</v>
      </c>
      <c r="H253" s="43" t="str">
        <f>IFERROR(__xludf.DUMMYFUNCTION("""COMPUTED_VALUE"""),"Carthage")</f>
        <v>Carthage</v>
      </c>
      <c r="I253" s="43" t="str">
        <f>IFERROR(__xludf.DUMMYFUNCTION("""COMPUTED_VALUE"""),"Turkey")</f>
        <v>Turkey</v>
      </c>
      <c r="J253" s="43" t="str">
        <f>IFERROR(__xludf.DUMMYFUNCTION("""COMPUTED_VALUE"""),"KONYA")</f>
        <v>KONYA</v>
      </c>
      <c r="K253" s="44" t="str">
        <f>IFERROR(__xludf.DUMMYFUNCTION("""COMPUTED_VALUE"""),"https://expa.aiesec.org/opportunities/1283483")</f>
        <v>https://expa.aiesec.org/opportunities/1283483</v>
      </c>
      <c r="L253" s="43" t="str">
        <f>IFERROR(__xludf.DUMMYFUNCTION("""COMPUTED_VALUE"""),"GV")</f>
        <v>GV</v>
      </c>
      <c r="M253" s="43" t="str">
        <f>IFERROR(__xludf.DUMMYFUNCTION("""COMPUTED_VALUE"""),"short")</f>
        <v>short</v>
      </c>
      <c r="N253" s="45">
        <f>IFERROR(__xludf.DUMMYFUNCTION("""COMPUTED_VALUE"""),44879.0)</f>
        <v>44879</v>
      </c>
      <c r="O253" s="45">
        <f>IFERROR(__xludf.DUMMYFUNCTION("""COMPUTED_VALUE"""),45145.0)</f>
        <v>45145</v>
      </c>
      <c r="P253" s="45">
        <f>IFERROR(__xludf.DUMMYFUNCTION("""COMPUTED_VALUE"""),45187.0)</f>
        <v>45187</v>
      </c>
      <c r="Q253" s="45"/>
      <c r="R253" s="45"/>
      <c r="S253" s="43"/>
      <c r="T253" s="43"/>
      <c r="U253" s="43" t="str">
        <f>IFERROR(__xludf.DUMMYFUNCTION("""COMPUTED_VALUE"""),"Global Classroom")</f>
        <v>Global Classroom</v>
      </c>
      <c r="V253" s="43" t="str">
        <f>IFERROR(__xludf.DUMMYFUNCTION("""COMPUTED_VALUE"""),"IHEC Carthage")</f>
        <v>IHEC Carthage</v>
      </c>
      <c r="W253" s="43" t="str">
        <f>IFERROR(__xludf.DUMMYFUNCTION("""COMPUTED_VALUE"""),"2022-11-14T14:05:05Z")</f>
        <v>2022-11-14T14:05:05Z</v>
      </c>
      <c r="X253" s="43"/>
      <c r="Y253" s="43"/>
      <c r="Z253" s="43"/>
    </row>
    <row r="254" hidden="1">
      <c r="A254" s="43" t="str">
        <f>IFERROR(__xludf.DUMMYFUNCTION("""COMPUTED_VALUE"""),"5140172_1284077")</f>
        <v>5140172_1284077</v>
      </c>
      <c r="B254" s="43" t="str">
        <f>IFERROR(__xludf.DUMMYFUNCTION("""COMPUTED_VALUE"""),"‪Mohamed Youssef‬‏")</f>
        <v>‪Mohamed Youssef‬‏</v>
      </c>
      <c r="C254" s="43" t="str">
        <f>IFERROR(__xludf.DUMMYFUNCTION("""COMPUTED_VALUE"""),"approved")</f>
        <v>approved</v>
      </c>
      <c r="D254" s="43" t="str">
        <f>IFERROR(__xludf.DUMMYFUNCTION("""COMPUTED_VALUE"""),"No")</f>
        <v>No</v>
      </c>
      <c r="E254" s="43" t="str">
        <f>IFERROR(__xludf.DUMMYFUNCTION("""COMPUTED_VALUE"""),"p_efd2091ca4705fd8d78cedd9e74df05f13e27773@inbound.aiesec.org")</f>
        <v>p_efd2091ca4705fd8d78cedd9e74df05f13e27773@inbound.aiesec.org</v>
      </c>
      <c r="F254" s="43">
        <f>IFERROR(__xludf.DUMMYFUNCTION("""COMPUTED_VALUE"""),1.142268085E9)</f>
        <v>1142268085</v>
      </c>
      <c r="G254" s="43" t="str">
        <f>IFERROR(__xludf.DUMMYFUNCTION("""COMPUTED_VALUE"""),"Egypt")</f>
        <v>Egypt</v>
      </c>
      <c r="H254" s="43" t="str">
        <f>IFERROR(__xludf.DUMMYFUNCTION("""COMPUTED_VALUE"""),"6th October University")</f>
        <v>6th October University</v>
      </c>
      <c r="I254" s="43" t="str">
        <f>IFERROR(__xludf.DUMMYFUNCTION("""COMPUTED_VALUE"""),"Turkey")</f>
        <v>Turkey</v>
      </c>
      <c r="J254" s="43" t="str">
        <f>IFERROR(__xludf.DUMMYFUNCTION("""COMPUTED_VALUE"""),"GAZIANTEP")</f>
        <v>GAZIANTEP</v>
      </c>
      <c r="K254" s="44" t="str">
        <f>IFERROR(__xludf.DUMMYFUNCTION("""COMPUTED_VALUE"""),"https://expa.aiesec.org/opportunities/1284077")</f>
        <v>https://expa.aiesec.org/opportunities/1284077</v>
      </c>
      <c r="L254" s="43" t="str">
        <f>IFERROR(__xludf.DUMMYFUNCTION("""COMPUTED_VALUE"""),"GV")</f>
        <v>GV</v>
      </c>
      <c r="M254" s="43" t="str">
        <f>IFERROR(__xludf.DUMMYFUNCTION("""COMPUTED_VALUE"""),"short")</f>
        <v>short</v>
      </c>
      <c r="N254" s="45">
        <f>IFERROR(__xludf.DUMMYFUNCTION("""COMPUTED_VALUE"""),44879.0)</f>
        <v>44879</v>
      </c>
      <c r="O254" s="45">
        <f>IFERROR(__xludf.DUMMYFUNCTION("""COMPUTED_VALUE"""),45122.0)</f>
        <v>45122</v>
      </c>
      <c r="P254" s="45">
        <f>IFERROR(__xludf.DUMMYFUNCTION("""COMPUTED_VALUE"""),45164.0)</f>
        <v>45164</v>
      </c>
      <c r="Q254" s="45"/>
      <c r="R254" s="45"/>
      <c r="S254" s="43"/>
      <c r="T254" s="43"/>
      <c r="U254" s="43" t="str">
        <f>IFERROR(__xludf.DUMMYFUNCTION("""COMPUTED_VALUE"""),"Global Classroom")</f>
        <v>Global Classroom</v>
      </c>
      <c r="V254" s="43" t="str">
        <f>IFERROR(__xludf.DUMMYFUNCTION("""COMPUTED_VALUE"""),"6th of October University")</f>
        <v>6th of October University</v>
      </c>
      <c r="W254" s="43" t="str">
        <f>IFERROR(__xludf.DUMMYFUNCTION("""COMPUTED_VALUE"""),"2022-10-25T12:44:03Z")</f>
        <v>2022-10-25T12:44:03Z</v>
      </c>
      <c r="X254" s="43"/>
      <c r="Y254" s="43"/>
      <c r="Z254" s="43"/>
    </row>
    <row r="255">
      <c r="A255" s="43" t="str">
        <f>IFERROR(__xludf.DUMMYFUNCTION("""COMPUTED_VALUE"""),"5147832_1288991")</f>
        <v>5147832_1288991</v>
      </c>
      <c r="B255" s="43" t="str">
        <f>IFERROR(__xludf.DUMMYFUNCTION("""COMPUTED_VALUE"""),"SAEEDA Qureshey")</f>
        <v>SAEEDA Qureshey</v>
      </c>
      <c r="C255" s="43" t="str">
        <f>IFERROR(__xludf.DUMMYFUNCTION("""COMPUTED_VALUE"""),"approved")</f>
        <v>approved</v>
      </c>
      <c r="D255" s="43" t="str">
        <f>IFERROR(__xludf.DUMMYFUNCTION("""COMPUTED_VALUE"""),"No")</f>
        <v>No</v>
      </c>
      <c r="E255" s="43" t="str">
        <f>IFERROR(__xludf.DUMMYFUNCTION("""COMPUTED_VALUE"""),"p_b785b9bc948663b0267c874bde0b9828131654ff@inbound.aiesec.org")</f>
        <v>p_b785b9bc948663b0267c874bde0b9828131654ff@inbound.aiesec.org</v>
      </c>
      <c r="F255" s="43">
        <f>IFERROR(__xludf.DUMMYFUNCTION("""COMPUTED_VALUE"""),9.173478735E9)</f>
        <v>9173478735</v>
      </c>
      <c r="G255" s="43" t="str">
        <f>IFERROR(__xludf.DUMMYFUNCTION("""COMPUTED_VALUE"""),"India")</f>
        <v>India</v>
      </c>
      <c r="H255" s="43" t="str">
        <f>IFERROR(__xludf.DUMMYFUNCTION("""COMPUTED_VALUE"""),"Mumbai")</f>
        <v>Mumbai</v>
      </c>
      <c r="I255" s="43" t="str">
        <f>IFERROR(__xludf.DUMMYFUNCTION("""COMPUTED_VALUE"""),"Turkey")</f>
        <v>Turkey</v>
      </c>
      <c r="J255" s="43" t="str">
        <f>IFERROR(__xludf.DUMMYFUNCTION("""COMPUTED_VALUE"""),"ANKARA")</f>
        <v>ANKARA</v>
      </c>
      <c r="K255" s="44" t="str">
        <f>IFERROR(__xludf.DUMMYFUNCTION("""COMPUTED_VALUE"""),"https://expa.aiesec.org/opportunities/1288991")</f>
        <v>https://expa.aiesec.org/opportunities/1288991</v>
      </c>
      <c r="L255" s="43" t="str">
        <f>IFERROR(__xludf.DUMMYFUNCTION("""COMPUTED_VALUE"""),"GV")</f>
        <v>GV</v>
      </c>
      <c r="M255" s="43" t="str">
        <f>IFERROR(__xludf.DUMMYFUNCTION("""COMPUTED_VALUE"""),"short")</f>
        <v>short</v>
      </c>
      <c r="N255" s="45">
        <f>IFERROR(__xludf.DUMMYFUNCTION("""COMPUTED_VALUE"""),44879.0)</f>
        <v>44879</v>
      </c>
      <c r="O255" s="45">
        <f>IFERROR(__xludf.DUMMYFUNCTION("""COMPUTED_VALUE"""),44938.0)</f>
        <v>44938</v>
      </c>
      <c r="P255" s="45">
        <f>IFERROR(__xludf.DUMMYFUNCTION("""COMPUTED_VALUE"""),44980.0)</f>
        <v>44980</v>
      </c>
      <c r="Q255" s="45"/>
      <c r="R255" s="45"/>
      <c r="S255" s="43"/>
      <c r="T255" s="43"/>
      <c r="U255" s="43" t="str">
        <f>IFERROR(__xludf.DUMMYFUNCTION("""COMPUTED_VALUE"""),"Green Leaders")</f>
        <v>Green Leaders</v>
      </c>
      <c r="V255" s="43" t="str">
        <f>IFERROR(__xludf.DUMMYFUNCTION("""COMPUTED_VALUE"""),"AICESR, Nashik")</f>
        <v>AICESR, Nashik</v>
      </c>
      <c r="W255" s="43" t="str">
        <f>IFERROR(__xludf.DUMMYFUNCTION("""COMPUTED_VALUE"""),"2022-11-06T13:22:22Z")</f>
        <v>2022-11-06T13:22:22Z</v>
      </c>
      <c r="X255" s="43"/>
      <c r="Y255" s="43"/>
      <c r="Z255" s="43"/>
    </row>
    <row r="256" hidden="1">
      <c r="A256" s="43" t="str">
        <f>IFERROR(__xludf.DUMMYFUNCTION("""COMPUTED_VALUE"""),"4617573_1286917")</f>
        <v>4617573_1286917</v>
      </c>
      <c r="B256" s="43" t="str">
        <f>IFERROR(__xludf.DUMMYFUNCTION("""COMPUTED_VALUE"""),"Ilaria Beatrice")</f>
        <v>Ilaria Beatrice</v>
      </c>
      <c r="C256" s="43" t="str">
        <f>IFERROR(__xludf.DUMMYFUNCTION("""COMPUTED_VALUE"""),"completed")</f>
        <v>completed</v>
      </c>
      <c r="D256" s="43" t="str">
        <f>IFERROR(__xludf.DUMMYFUNCTION("""COMPUTED_VALUE"""),"No")</f>
        <v>No</v>
      </c>
      <c r="E256" s="43" t="str">
        <f>IFERROR(__xludf.DUMMYFUNCTION("""COMPUTED_VALUE"""),"p_8dbc633033791ba8cbf6d8fd53d58616eb3ca54f@inbound.aiesec.org")</f>
        <v>p_8dbc633033791ba8cbf6d8fd53d58616eb3ca54f@inbound.aiesec.org</v>
      </c>
      <c r="F256" s="43"/>
      <c r="G256" s="43" t="str">
        <f>IFERROR(__xludf.DUMMYFUNCTION("""COMPUTED_VALUE"""),"Italy")</f>
        <v>Italy</v>
      </c>
      <c r="H256" s="43" t="str">
        <f>IFERROR(__xludf.DUMMYFUNCTION("""COMPUTED_VALUE"""),"Napoli Federico II")</f>
        <v>Napoli Federico II</v>
      </c>
      <c r="I256" s="43" t="str">
        <f>IFERROR(__xludf.DUMMYFUNCTION("""COMPUTED_VALUE"""),"Turkey")</f>
        <v>Turkey</v>
      </c>
      <c r="J256" s="43" t="str">
        <f>IFERROR(__xludf.DUMMYFUNCTION("""COMPUTED_VALUE"""),"ISTANBUL ASIA")</f>
        <v>ISTANBUL ASIA</v>
      </c>
      <c r="K256" s="44" t="str">
        <f>IFERROR(__xludf.DUMMYFUNCTION("""COMPUTED_VALUE"""),"https://expa.aiesec.org/opportunities/1286917")</f>
        <v>https://expa.aiesec.org/opportunities/1286917</v>
      </c>
      <c r="L256" s="43" t="str">
        <f>IFERROR(__xludf.DUMMYFUNCTION("""COMPUTED_VALUE"""),"GV")</f>
        <v>GV</v>
      </c>
      <c r="M256" s="43" t="str">
        <f>IFERROR(__xludf.DUMMYFUNCTION("""COMPUTED_VALUE"""),"short")</f>
        <v>short</v>
      </c>
      <c r="N256" s="45">
        <f>IFERROR(__xludf.DUMMYFUNCTION("""COMPUTED_VALUE"""),44880.0)</f>
        <v>44880</v>
      </c>
      <c r="O256" s="45">
        <f>IFERROR(__xludf.DUMMYFUNCTION("""COMPUTED_VALUE"""),44881.0)</f>
        <v>44881</v>
      </c>
      <c r="P256" s="45">
        <f>IFERROR(__xludf.DUMMYFUNCTION("""COMPUTED_VALUE"""),44923.0)</f>
        <v>44923</v>
      </c>
      <c r="Q256" s="45">
        <f>IFERROR(__xludf.DUMMYFUNCTION("""COMPUTED_VALUE"""),44880.0)</f>
        <v>44880</v>
      </c>
      <c r="R256" s="45">
        <f>IFERROR(__xludf.DUMMYFUNCTION("""COMPUTED_VALUE"""),44921.0)</f>
        <v>44921</v>
      </c>
      <c r="S256" s="43"/>
      <c r="T256" s="43"/>
      <c r="U256" s="43" t="str">
        <f>IFERROR(__xludf.DUMMYFUNCTION("""COMPUTED_VALUE"""),"Rooted")</f>
        <v>Rooted</v>
      </c>
      <c r="V256" s="43" t="str">
        <f>IFERROR(__xludf.DUMMYFUNCTION("""COMPUTED_VALUE"""),"-")</f>
        <v>-</v>
      </c>
      <c r="W256" s="43" t="str">
        <f>IFERROR(__xludf.DUMMYFUNCTION("""COMPUTED_VALUE"""),"2021-04-15T18:20:36Z")</f>
        <v>2021-04-15T18:20:36Z</v>
      </c>
      <c r="X256" s="43"/>
      <c r="Y256" s="43"/>
      <c r="Z256" s="43"/>
    </row>
    <row r="257" hidden="1">
      <c r="A257" s="43" t="str">
        <f>IFERROR(__xludf.DUMMYFUNCTION("""COMPUTED_VALUE"""),"5062328_1290646")</f>
        <v>5062328_1290646</v>
      </c>
      <c r="B257" s="43" t="str">
        <f>IFERROR(__xludf.DUMMYFUNCTION("""COMPUTED_VALUE"""),"Afifa Qayyum")</f>
        <v>Afifa Qayyum</v>
      </c>
      <c r="C257" s="43" t="str">
        <f>IFERROR(__xludf.DUMMYFUNCTION("""COMPUTED_VALUE"""),"finished")</f>
        <v>finished</v>
      </c>
      <c r="D257" s="43" t="str">
        <f>IFERROR(__xludf.DUMMYFUNCTION("""COMPUTED_VALUE"""),"No")</f>
        <v>No</v>
      </c>
      <c r="E257" s="43" t="str">
        <f>IFERROR(__xludf.DUMMYFUNCTION("""COMPUTED_VALUE"""),"p_fde600b420046e673b35fcc59489c376bf9bfd02@inbound.aiesec.org")</f>
        <v>p_fde600b420046e673b35fcc59489c376bf9bfd02@inbound.aiesec.org</v>
      </c>
      <c r="F257" s="43"/>
      <c r="G257" s="43" t="str">
        <f>IFERROR(__xludf.DUMMYFUNCTION("""COMPUTED_VALUE"""),"Pakistan")</f>
        <v>Pakistan</v>
      </c>
      <c r="H257" s="43" t="str">
        <f>IFERROR(__xludf.DUMMYFUNCTION("""COMPUTED_VALUE"""),"Lahore - Pak")</f>
        <v>Lahore - Pak</v>
      </c>
      <c r="I257" s="43" t="str">
        <f>IFERROR(__xludf.DUMMYFUNCTION("""COMPUTED_VALUE"""),"Turkey")</f>
        <v>Turkey</v>
      </c>
      <c r="J257" s="43" t="str">
        <f>IFERROR(__xludf.DUMMYFUNCTION("""COMPUTED_VALUE"""),"BURSA")</f>
        <v>BURSA</v>
      </c>
      <c r="K257" s="44" t="str">
        <f>IFERROR(__xludf.DUMMYFUNCTION("""COMPUTED_VALUE"""),"https://expa.aiesec.org/opportunities/1290646")</f>
        <v>https://expa.aiesec.org/opportunities/1290646</v>
      </c>
      <c r="L257" s="43" t="str">
        <f>IFERROR(__xludf.DUMMYFUNCTION("""COMPUTED_VALUE"""),"GV")</f>
        <v>GV</v>
      </c>
      <c r="M257" s="43" t="str">
        <f>IFERROR(__xludf.DUMMYFUNCTION("""COMPUTED_VALUE"""),"short")</f>
        <v>short</v>
      </c>
      <c r="N257" s="45">
        <f>IFERROR(__xludf.DUMMYFUNCTION("""COMPUTED_VALUE"""),44880.0)</f>
        <v>44880</v>
      </c>
      <c r="O257" s="45">
        <f>IFERROR(__xludf.DUMMYFUNCTION("""COMPUTED_VALUE"""),44900.0)</f>
        <v>44900</v>
      </c>
      <c r="P257" s="45">
        <f>IFERROR(__xludf.DUMMYFUNCTION("""COMPUTED_VALUE"""),44942.0)</f>
        <v>44942</v>
      </c>
      <c r="Q257" s="45">
        <f>IFERROR(__xludf.DUMMYFUNCTION("""COMPUTED_VALUE"""),44898.0)</f>
        <v>44898</v>
      </c>
      <c r="R257" s="45">
        <f>IFERROR(__xludf.DUMMYFUNCTION("""COMPUTED_VALUE"""),44942.0)</f>
        <v>44942</v>
      </c>
      <c r="S257" s="43"/>
      <c r="T257" s="43"/>
      <c r="U257" s="43" t="str">
        <f>IFERROR(__xludf.DUMMYFUNCTION("""COMPUTED_VALUE"""),"Youth 4 Impact")</f>
        <v>Youth 4 Impact</v>
      </c>
      <c r="V257" s="43" t="str">
        <f>IFERROR(__xludf.DUMMYFUNCTION("""COMPUTED_VALUE"""),"-")</f>
        <v>-</v>
      </c>
      <c r="W257" s="43" t="str">
        <f>IFERROR(__xludf.DUMMYFUNCTION("""COMPUTED_VALUE"""),"2022-05-23T05:02:59Z")</f>
        <v>2022-05-23T05:02:59Z</v>
      </c>
      <c r="X257" s="43"/>
      <c r="Y257" s="43"/>
      <c r="Z257" s="43"/>
    </row>
    <row r="258" hidden="1">
      <c r="A258" s="43" t="str">
        <f>IFERROR(__xludf.DUMMYFUNCTION("""COMPUTED_VALUE"""),"5139346_1284077")</f>
        <v>5139346_1284077</v>
      </c>
      <c r="B258" s="43" t="str">
        <f>IFERROR(__xludf.DUMMYFUNCTION("""COMPUTED_VALUE"""),"Mahmoud Mikky")</f>
        <v>Mahmoud Mikky</v>
      </c>
      <c r="C258" s="43" t="str">
        <f>IFERROR(__xludf.DUMMYFUNCTION("""COMPUTED_VALUE"""),"approved")</f>
        <v>approved</v>
      </c>
      <c r="D258" s="43" t="str">
        <f>IFERROR(__xludf.DUMMYFUNCTION("""COMPUTED_VALUE"""),"No")</f>
        <v>No</v>
      </c>
      <c r="E258" s="43" t="str">
        <f>IFERROR(__xludf.DUMMYFUNCTION("""COMPUTED_VALUE"""),"p_c00cd4549b88a41605cf486c4d525b0f0f0e59f9@inbound.aiesec.org")</f>
        <v>p_c00cd4549b88a41605cf486c4d525b0f0f0e59f9@inbound.aiesec.org</v>
      </c>
      <c r="F258" s="43">
        <f>IFERROR(__xludf.DUMMYFUNCTION("""COMPUTED_VALUE"""),1.015564566E9)</f>
        <v>1015564566</v>
      </c>
      <c r="G258" s="43" t="str">
        <f>IFERROR(__xludf.DUMMYFUNCTION("""COMPUTED_VALUE"""),"Egypt")</f>
        <v>Egypt</v>
      </c>
      <c r="H258" s="43" t="str">
        <f>IFERROR(__xludf.DUMMYFUNCTION("""COMPUTED_VALUE"""),"6th October University")</f>
        <v>6th October University</v>
      </c>
      <c r="I258" s="43" t="str">
        <f>IFERROR(__xludf.DUMMYFUNCTION("""COMPUTED_VALUE"""),"Turkey")</f>
        <v>Turkey</v>
      </c>
      <c r="J258" s="43" t="str">
        <f>IFERROR(__xludf.DUMMYFUNCTION("""COMPUTED_VALUE"""),"GAZIANTEP")</f>
        <v>GAZIANTEP</v>
      </c>
      <c r="K258" s="44" t="str">
        <f>IFERROR(__xludf.DUMMYFUNCTION("""COMPUTED_VALUE"""),"https://expa.aiesec.org/opportunities/1284077")</f>
        <v>https://expa.aiesec.org/opportunities/1284077</v>
      </c>
      <c r="L258" s="43" t="str">
        <f>IFERROR(__xludf.DUMMYFUNCTION("""COMPUTED_VALUE"""),"GV")</f>
        <v>GV</v>
      </c>
      <c r="M258" s="43" t="str">
        <f>IFERROR(__xludf.DUMMYFUNCTION("""COMPUTED_VALUE"""),"short")</f>
        <v>short</v>
      </c>
      <c r="N258" s="45">
        <f>IFERROR(__xludf.DUMMYFUNCTION("""COMPUTED_VALUE"""),44881.0)</f>
        <v>44881</v>
      </c>
      <c r="O258" s="45">
        <f>IFERROR(__xludf.DUMMYFUNCTION("""COMPUTED_VALUE"""),45122.0)</f>
        <v>45122</v>
      </c>
      <c r="P258" s="45">
        <f>IFERROR(__xludf.DUMMYFUNCTION("""COMPUTED_VALUE"""),45164.0)</f>
        <v>45164</v>
      </c>
      <c r="Q258" s="45"/>
      <c r="R258" s="45"/>
      <c r="S258" s="43"/>
      <c r="T258" s="43"/>
      <c r="U258" s="43" t="str">
        <f>IFERROR(__xludf.DUMMYFUNCTION("""COMPUTED_VALUE"""),"Global Classroom")</f>
        <v>Global Classroom</v>
      </c>
      <c r="V258" s="43" t="str">
        <f>IFERROR(__xludf.DUMMYFUNCTION("""COMPUTED_VALUE"""),"6th of October University")</f>
        <v>6th of October University</v>
      </c>
      <c r="W258" s="43" t="str">
        <f>IFERROR(__xludf.DUMMYFUNCTION("""COMPUTED_VALUE"""),"2022-10-24T10:15:04Z")</f>
        <v>2022-10-24T10:15:04Z</v>
      </c>
      <c r="X258" s="43"/>
      <c r="Y258" s="43"/>
      <c r="Z258" s="43"/>
    </row>
    <row r="259" hidden="1">
      <c r="A259" s="43" t="str">
        <f>IFERROR(__xludf.DUMMYFUNCTION("""COMPUTED_VALUE"""),"5153645_1284596")</f>
        <v>5153645_1284596</v>
      </c>
      <c r="B259" s="43" t="str">
        <f>IFERROR(__xludf.DUMMYFUNCTION("""COMPUTED_VALUE"""),"Rana Amaidia")</f>
        <v>Rana Amaidia</v>
      </c>
      <c r="C259" s="43" t="str">
        <f>IFERROR(__xludf.DUMMYFUNCTION("""COMPUTED_VALUE"""),"approved")</f>
        <v>approved</v>
      </c>
      <c r="D259" s="43" t="str">
        <f>IFERROR(__xludf.DUMMYFUNCTION("""COMPUTED_VALUE"""),"No")</f>
        <v>No</v>
      </c>
      <c r="E259" s="43" t="str">
        <f>IFERROR(__xludf.DUMMYFUNCTION("""COMPUTED_VALUE"""),"p_b512eb285805520bbce6b5a00ea4a2d39d1cae9a@inbound.aiesec.org")</f>
        <v>p_b512eb285805520bbce6b5a00ea4a2d39d1cae9a@inbound.aiesec.org</v>
      </c>
      <c r="F259" s="43">
        <f>IFERROR(__xludf.DUMMYFUNCTION("""COMPUTED_VALUE"""),5.1019623E7)</f>
        <v>51019623</v>
      </c>
      <c r="G259" s="43" t="str">
        <f>IFERROR(__xludf.DUMMYFUNCTION("""COMPUTED_VALUE"""),"Tunisia")</f>
        <v>Tunisia</v>
      </c>
      <c r="H259" s="43" t="str">
        <f>IFERROR(__xludf.DUMMYFUNCTION("""COMPUTED_VALUE"""),"HADRUMET")</f>
        <v>HADRUMET</v>
      </c>
      <c r="I259" s="43" t="str">
        <f>IFERROR(__xludf.DUMMYFUNCTION("""COMPUTED_VALUE"""),"Turkey")</f>
        <v>Turkey</v>
      </c>
      <c r="J259" s="43" t="str">
        <f>IFERROR(__xludf.DUMMYFUNCTION("""COMPUTED_VALUE"""),"DENIZLI")</f>
        <v>DENIZLI</v>
      </c>
      <c r="K259" s="44" t="str">
        <f>IFERROR(__xludf.DUMMYFUNCTION("""COMPUTED_VALUE"""),"https://expa.aiesec.org/opportunities/1284596")</f>
        <v>https://expa.aiesec.org/opportunities/1284596</v>
      </c>
      <c r="L259" s="43" t="str">
        <f>IFERROR(__xludf.DUMMYFUNCTION("""COMPUTED_VALUE"""),"GV")</f>
        <v>GV</v>
      </c>
      <c r="M259" s="43" t="str">
        <f>IFERROR(__xludf.DUMMYFUNCTION("""COMPUTED_VALUE"""),"short")</f>
        <v>short</v>
      </c>
      <c r="N259" s="45">
        <f>IFERROR(__xludf.DUMMYFUNCTION("""COMPUTED_VALUE"""),44881.0)</f>
        <v>44881</v>
      </c>
      <c r="O259" s="45">
        <f>IFERROR(__xludf.DUMMYFUNCTION("""COMPUTED_VALUE"""),45117.0)</f>
        <v>45117</v>
      </c>
      <c r="P259" s="45">
        <f>IFERROR(__xludf.DUMMYFUNCTION("""COMPUTED_VALUE"""),45159.0)</f>
        <v>45159</v>
      </c>
      <c r="Q259" s="45"/>
      <c r="R259" s="45"/>
      <c r="S259" s="43"/>
      <c r="T259" s="43"/>
      <c r="U259" s="43" t="str">
        <f>IFERROR(__xludf.DUMMYFUNCTION("""COMPUTED_VALUE"""),"Youth 4 Impact")</f>
        <v>Youth 4 Impact</v>
      </c>
      <c r="V259" s="43" t="str">
        <f>IFERROR(__xludf.DUMMYFUNCTION("""COMPUTED_VALUE"""),"FMS (Faculté de Médecine de Sousse)")</f>
        <v>FMS (Faculté de Médecine de Sousse)</v>
      </c>
      <c r="W259" s="43" t="str">
        <f>IFERROR(__xludf.DUMMYFUNCTION("""COMPUTED_VALUE"""),"2022-11-15T19:53:19Z")</f>
        <v>2022-11-15T19:53:19Z</v>
      </c>
      <c r="X259" s="43"/>
      <c r="Y259" s="43"/>
      <c r="Z259" s="43"/>
    </row>
    <row r="260" hidden="1">
      <c r="A260" s="43" t="str">
        <f>IFERROR(__xludf.DUMMYFUNCTION("""COMPUTED_VALUE"""),"5154669_1289155")</f>
        <v>5154669_1289155</v>
      </c>
      <c r="B260" s="43" t="str">
        <f>IFERROR(__xludf.DUMMYFUNCTION("""COMPUTED_VALUE"""),"Mayssoun Gharbi")</f>
        <v>Mayssoun Gharbi</v>
      </c>
      <c r="C260" s="43" t="str">
        <f>IFERROR(__xludf.DUMMYFUNCTION("""COMPUTED_VALUE"""),"completed")</f>
        <v>completed</v>
      </c>
      <c r="D260" s="43" t="str">
        <f>IFERROR(__xludf.DUMMYFUNCTION("""COMPUTED_VALUE"""),"No")</f>
        <v>No</v>
      </c>
      <c r="E260" s="43" t="str">
        <f>IFERROR(__xludf.DUMMYFUNCTION("""COMPUTED_VALUE"""),"p_1e1e23f3cb7f581c21f5d8a1e8b0d830c34b14b7@inbound.aiesec.org")</f>
        <v>p_1e1e23f3cb7f581c21f5d8a1e8b0d830c34b14b7@inbound.aiesec.org</v>
      </c>
      <c r="F260" s="43">
        <f>IFERROR(__xludf.DUMMYFUNCTION("""COMPUTED_VALUE"""),5.8638787E7)</f>
        <v>58638787</v>
      </c>
      <c r="G260" s="43" t="str">
        <f>IFERROR(__xludf.DUMMYFUNCTION("""COMPUTED_VALUE"""),"Tunisia")</f>
        <v>Tunisia</v>
      </c>
      <c r="H260" s="43" t="str">
        <f>IFERROR(__xludf.DUMMYFUNCTION("""COMPUTED_VALUE"""),"HADRUMET")</f>
        <v>HADRUMET</v>
      </c>
      <c r="I260" s="43" t="str">
        <f>IFERROR(__xludf.DUMMYFUNCTION("""COMPUTED_VALUE"""),"Turkey")</f>
        <v>Turkey</v>
      </c>
      <c r="J260" s="43" t="str">
        <f>IFERROR(__xludf.DUMMYFUNCTION("""COMPUTED_VALUE"""),"KONYA")</f>
        <v>KONYA</v>
      </c>
      <c r="K260" s="44" t="str">
        <f>IFERROR(__xludf.DUMMYFUNCTION("""COMPUTED_VALUE"""),"https://expa.aiesec.org/opportunities/1289155")</f>
        <v>https://expa.aiesec.org/opportunities/1289155</v>
      </c>
      <c r="L260" s="43" t="str">
        <f>IFERROR(__xludf.DUMMYFUNCTION("""COMPUTED_VALUE"""),"GV")</f>
        <v>GV</v>
      </c>
      <c r="M260" s="43" t="str">
        <f>IFERROR(__xludf.DUMMYFUNCTION("""COMPUTED_VALUE"""),"short")</f>
        <v>short</v>
      </c>
      <c r="N260" s="45">
        <f>IFERROR(__xludf.DUMMYFUNCTION("""COMPUTED_VALUE"""),44882.0)</f>
        <v>44882</v>
      </c>
      <c r="O260" s="45">
        <f>IFERROR(__xludf.DUMMYFUNCTION("""COMPUTED_VALUE"""),45145.0)</f>
        <v>45145</v>
      </c>
      <c r="P260" s="45">
        <f>IFERROR(__xludf.DUMMYFUNCTION("""COMPUTED_VALUE"""),45187.0)</f>
        <v>45187</v>
      </c>
      <c r="Q260" s="45">
        <f>IFERROR(__xludf.DUMMYFUNCTION("""COMPUTED_VALUE"""),45178.0)</f>
        <v>45178</v>
      </c>
      <c r="R260" s="45">
        <f>IFERROR(__xludf.DUMMYFUNCTION("""COMPUTED_VALUE"""),45221.0)</f>
        <v>45221</v>
      </c>
      <c r="S260" s="43"/>
      <c r="T260" s="43"/>
      <c r="U260" s="43" t="str">
        <f>IFERROR(__xludf.DUMMYFUNCTION("""COMPUTED_VALUE"""),"Global Classroom")</f>
        <v>Global Classroom</v>
      </c>
      <c r="V260" s="43" t="str">
        <f>IFERROR(__xludf.DUMMYFUNCTION("""COMPUTED_VALUE"""),"ISIT COM Sousse")</f>
        <v>ISIT COM Sousse</v>
      </c>
      <c r="W260" s="43" t="str">
        <f>IFERROR(__xludf.DUMMYFUNCTION("""COMPUTED_VALUE"""),"2022-11-17T11:58:16Z")</f>
        <v>2022-11-17T11:58:16Z</v>
      </c>
      <c r="X260" s="43"/>
      <c r="Y260" s="43"/>
      <c r="Z260" s="43"/>
    </row>
    <row r="261" hidden="1">
      <c r="A261" s="43" t="str">
        <f>IFERROR(__xludf.DUMMYFUNCTION("""COMPUTED_VALUE"""),"5154593_1289155")</f>
        <v>5154593_1289155</v>
      </c>
      <c r="B261" s="43" t="str">
        <f>IFERROR(__xludf.DUMMYFUNCTION("""COMPUTED_VALUE"""),"Yasmina Ben ftima")</f>
        <v>Yasmina Ben ftima</v>
      </c>
      <c r="C261" s="43" t="str">
        <f>IFERROR(__xludf.DUMMYFUNCTION("""COMPUTED_VALUE"""),"completed")</f>
        <v>completed</v>
      </c>
      <c r="D261" s="43" t="str">
        <f>IFERROR(__xludf.DUMMYFUNCTION("""COMPUTED_VALUE"""),"No")</f>
        <v>No</v>
      </c>
      <c r="E261" s="43" t="str">
        <f>IFERROR(__xludf.DUMMYFUNCTION("""COMPUTED_VALUE"""),"p_15778c978fb54c9b4f44da711e58197f09b14ce5@inbound.aiesec.org")</f>
        <v>p_15778c978fb54c9b4f44da711e58197f09b14ce5@inbound.aiesec.org</v>
      </c>
      <c r="F261" s="43"/>
      <c r="G261" s="43" t="str">
        <f>IFERROR(__xludf.DUMMYFUNCTION("""COMPUTED_VALUE"""),"Tunisia")</f>
        <v>Tunisia</v>
      </c>
      <c r="H261" s="43" t="str">
        <f>IFERROR(__xludf.DUMMYFUNCTION("""COMPUTED_VALUE"""),"HADRUMET")</f>
        <v>HADRUMET</v>
      </c>
      <c r="I261" s="43" t="str">
        <f>IFERROR(__xludf.DUMMYFUNCTION("""COMPUTED_VALUE"""),"Turkey")</f>
        <v>Turkey</v>
      </c>
      <c r="J261" s="43" t="str">
        <f>IFERROR(__xludf.DUMMYFUNCTION("""COMPUTED_VALUE"""),"KONYA")</f>
        <v>KONYA</v>
      </c>
      <c r="K261" s="44" t="str">
        <f>IFERROR(__xludf.DUMMYFUNCTION("""COMPUTED_VALUE"""),"https://expa.aiesec.org/opportunities/1289155")</f>
        <v>https://expa.aiesec.org/opportunities/1289155</v>
      </c>
      <c r="L261" s="43" t="str">
        <f>IFERROR(__xludf.DUMMYFUNCTION("""COMPUTED_VALUE"""),"GV")</f>
        <v>GV</v>
      </c>
      <c r="M261" s="43" t="str">
        <f>IFERROR(__xludf.DUMMYFUNCTION("""COMPUTED_VALUE"""),"short")</f>
        <v>short</v>
      </c>
      <c r="N261" s="45">
        <f>IFERROR(__xludf.DUMMYFUNCTION("""COMPUTED_VALUE"""),44882.0)</f>
        <v>44882</v>
      </c>
      <c r="O261" s="45">
        <f>IFERROR(__xludf.DUMMYFUNCTION("""COMPUTED_VALUE"""),45117.0)</f>
        <v>45117</v>
      </c>
      <c r="P261" s="45">
        <f>IFERROR(__xludf.DUMMYFUNCTION("""COMPUTED_VALUE"""),45159.0)</f>
        <v>45159</v>
      </c>
      <c r="Q261" s="45">
        <f>IFERROR(__xludf.DUMMYFUNCTION("""COMPUTED_VALUE"""),45119.0)</f>
        <v>45119</v>
      </c>
      <c r="R261" s="45">
        <f>IFERROR(__xludf.DUMMYFUNCTION("""COMPUTED_VALUE"""),45159.0)</f>
        <v>45159</v>
      </c>
      <c r="S261" s="43"/>
      <c r="T261" s="43"/>
      <c r="U261" s="43" t="str">
        <f>IFERROR(__xludf.DUMMYFUNCTION("""COMPUTED_VALUE"""),"Global Classroom")</f>
        <v>Global Classroom</v>
      </c>
      <c r="V261" s="43" t="str">
        <f>IFERROR(__xludf.DUMMYFUNCTION("""COMPUTED_VALUE"""),"UPSAT Sousse")</f>
        <v>UPSAT Sousse</v>
      </c>
      <c r="W261" s="43" t="str">
        <f>IFERROR(__xludf.DUMMYFUNCTION("""COMPUTED_VALUE"""),"2022-11-17T09:53:24Z")</f>
        <v>2022-11-17T09:53:24Z</v>
      </c>
      <c r="X261" s="43"/>
      <c r="Y261" s="43"/>
      <c r="Z261" s="43"/>
    </row>
    <row r="262" hidden="1">
      <c r="A262" s="43" t="str">
        <f>IFERROR(__xludf.DUMMYFUNCTION("""COMPUTED_VALUE"""),"5153223_1284125")</f>
        <v>5153223_1284125</v>
      </c>
      <c r="B262" s="43" t="str">
        <f>IFERROR(__xludf.DUMMYFUNCTION("""COMPUTED_VALUE"""),"Meriem Taoues")</f>
        <v>Meriem Taoues</v>
      </c>
      <c r="C262" s="43" t="str">
        <f>IFERROR(__xludf.DUMMYFUNCTION("""COMPUTED_VALUE"""),"finished")</f>
        <v>finished</v>
      </c>
      <c r="D262" s="43" t="str">
        <f>IFERROR(__xludf.DUMMYFUNCTION("""COMPUTED_VALUE"""),"No")</f>
        <v>No</v>
      </c>
      <c r="E262" s="43" t="str">
        <f>IFERROR(__xludf.DUMMYFUNCTION("""COMPUTED_VALUE"""),"p_e20b598cc9d208a71a03dda517f35d334ee6dd58@inbound.aiesec.org")</f>
        <v>p_e20b598cc9d208a71a03dda517f35d334ee6dd58@inbound.aiesec.org</v>
      </c>
      <c r="F262" s="43">
        <f>IFERROR(__xludf.DUMMYFUNCTION("""COMPUTED_VALUE"""),2.9753744E7)</f>
        <v>29753744</v>
      </c>
      <c r="G262" s="43" t="str">
        <f>IFERROR(__xludf.DUMMYFUNCTION("""COMPUTED_VALUE"""),"Tunisia")</f>
        <v>Tunisia</v>
      </c>
      <c r="H262" s="43" t="str">
        <f>IFERROR(__xludf.DUMMYFUNCTION("""COMPUTED_VALUE"""),"Carthage")</f>
        <v>Carthage</v>
      </c>
      <c r="I262" s="43" t="str">
        <f>IFERROR(__xludf.DUMMYFUNCTION("""COMPUTED_VALUE"""),"Turkey")</f>
        <v>Turkey</v>
      </c>
      <c r="J262" s="43" t="str">
        <f>IFERROR(__xludf.DUMMYFUNCTION("""COMPUTED_VALUE"""),"ISTANBUL WEST")</f>
        <v>ISTANBUL WEST</v>
      </c>
      <c r="K262" s="44" t="str">
        <f>IFERROR(__xludf.DUMMYFUNCTION("""COMPUTED_VALUE"""),"https://expa.aiesec.org/opportunities/1284125")</f>
        <v>https://expa.aiesec.org/opportunities/1284125</v>
      </c>
      <c r="L262" s="43" t="str">
        <f>IFERROR(__xludf.DUMMYFUNCTION("""COMPUTED_VALUE"""),"GV")</f>
        <v>GV</v>
      </c>
      <c r="M262" s="43" t="str">
        <f>IFERROR(__xludf.DUMMYFUNCTION("""COMPUTED_VALUE"""),"short")</f>
        <v>short</v>
      </c>
      <c r="N262" s="45">
        <f>IFERROR(__xludf.DUMMYFUNCTION("""COMPUTED_VALUE"""),44882.0)</f>
        <v>44882</v>
      </c>
      <c r="O262" s="45">
        <f>IFERROR(__xludf.DUMMYFUNCTION("""COMPUTED_VALUE"""),45110.0)</f>
        <v>45110</v>
      </c>
      <c r="P262" s="45">
        <f>IFERROR(__xludf.DUMMYFUNCTION("""COMPUTED_VALUE"""),45152.0)</f>
        <v>45152</v>
      </c>
      <c r="Q262" s="45">
        <f>IFERROR(__xludf.DUMMYFUNCTION("""COMPUTED_VALUE"""),45111.0)</f>
        <v>45111</v>
      </c>
      <c r="R262" s="45">
        <f>IFERROR(__xludf.DUMMYFUNCTION("""COMPUTED_VALUE"""),45152.0)</f>
        <v>45152</v>
      </c>
      <c r="S262" s="43"/>
      <c r="T262" s="43"/>
      <c r="U262" s="43" t="str">
        <f>IFERROR(__xludf.DUMMYFUNCTION("""COMPUTED_VALUE"""),"Global Classroom")</f>
        <v>Global Classroom</v>
      </c>
      <c r="V262" s="43" t="str">
        <f>IFERROR(__xludf.DUMMYFUNCTION("""COMPUTED_VALUE"""),"INSAT")</f>
        <v>INSAT</v>
      </c>
      <c r="W262" s="43" t="str">
        <f>IFERROR(__xludf.DUMMYFUNCTION("""COMPUTED_VALUE"""),"2022-11-15T10:24:19Z")</f>
        <v>2022-11-15T10:24:19Z</v>
      </c>
      <c r="X262" s="43"/>
      <c r="Y262" s="43"/>
      <c r="Z262" s="43"/>
    </row>
    <row r="263" hidden="1">
      <c r="A263" s="43" t="str">
        <f>IFERROR(__xludf.DUMMYFUNCTION("""COMPUTED_VALUE"""),"5111498_1288970")</f>
        <v>5111498_1288970</v>
      </c>
      <c r="B263" s="43" t="str">
        <f>IFERROR(__xludf.DUMMYFUNCTION("""COMPUTED_VALUE"""),"milica kondic")</f>
        <v>milica kondic</v>
      </c>
      <c r="C263" s="43" t="str">
        <f>IFERROR(__xludf.DUMMYFUNCTION("""COMPUTED_VALUE"""),"finished")</f>
        <v>finished</v>
      </c>
      <c r="D263" s="43" t="str">
        <f>IFERROR(__xludf.DUMMYFUNCTION("""COMPUTED_VALUE"""),"No")</f>
        <v>No</v>
      </c>
      <c r="E263" s="43" t="str">
        <f>IFERROR(__xludf.DUMMYFUNCTION("""COMPUTED_VALUE"""),"p_5e9a03450d4f0e445bf657c62cebb045c549b16a@inbound.aiesec.org")</f>
        <v>p_5e9a03450d4f0e445bf657c62cebb045c549b16a@inbound.aiesec.org</v>
      </c>
      <c r="F263" s="43">
        <f>IFERROR(__xludf.DUMMYFUNCTION("""COMPUTED_VALUE"""),6.05864241E8)</f>
        <v>605864241</v>
      </c>
      <c r="G263" s="43" t="str">
        <f>IFERROR(__xludf.DUMMYFUNCTION("""COMPUTED_VALUE"""),"Serbia")</f>
        <v>Serbia</v>
      </c>
      <c r="H263" s="43" t="str">
        <f>IFERROR(__xludf.DUMMYFUNCTION("""COMPUTED_VALUE"""),"NOVI SAD")</f>
        <v>NOVI SAD</v>
      </c>
      <c r="I263" s="43" t="str">
        <f>IFERROR(__xludf.DUMMYFUNCTION("""COMPUTED_VALUE"""),"Turkey")</f>
        <v>Turkey</v>
      </c>
      <c r="J263" s="43" t="str">
        <f>IFERROR(__xludf.DUMMYFUNCTION("""COMPUTED_VALUE"""),"İZMİR")</f>
        <v>İZMİR</v>
      </c>
      <c r="K263" s="44" t="str">
        <f>IFERROR(__xludf.DUMMYFUNCTION("""COMPUTED_VALUE"""),"https://expa.aiesec.org/opportunities/1288970")</f>
        <v>https://expa.aiesec.org/opportunities/1288970</v>
      </c>
      <c r="L263" s="43" t="str">
        <f>IFERROR(__xludf.DUMMYFUNCTION("""COMPUTED_VALUE"""),"GV")</f>
        <v>GV</v>
      </c>
      <c r="M263" s="43" t="str">
        <f>IFERROR(__xludf.DUMMYFUNCTION("""COMPUTED_VALUE"""),"short")</f>
        <v>short</v>
      </c>
      <c r="N263" s="45">
        <f>IFERROR(__xludf.DUMMYFUNCTION("""COMPUTED_VALUE"""),44882.0)</f>
        <v>44882</v>
      </c>
      <c r="O263" s="45">
        <f>IFERROR(__xludf.DUMMYFUNCTION("""COMPUTED_VALUE"""),45039.0)</f>
        <v>45039</v>
      </c>
      <c r="P263" s="45">
        <f>IFERROR(__xludf.DUMMYFUNCTION("""COMPUTED_VALUE"""),45081.0)</f>
        <v>45081</v>
      </c>
      <c r="Q263" s="45">
        <f>IFERROR(__xludf.DUMMYFUNCTION("""COMPUTED_VALUE"""),45041.0)</f>
        <v>45041</v>
      </c>
      <c r="R263" s="45">
        <f>IFERROR(__xludf.DUMMYFUNCTION("""COMPUTED_VALUE"""),45081.0)</f>
        <v>45081</v>
      </c>
      <c r="S263" s="43"/>
      <c r="T263" s="43"/>
      <c r="U263" s="43" t="str">
        <f>IFERROR(__xludf.DUMMYFUNCTION("""COMPUTED_VALUE"""),"Fingerprint")</f>
        <v>Fingerprint</v>
      </c>
      <c r="V263" s="43" t="str">
        <f>IFERROR(__xludf.DUMMYFUNCTION("""COMPUTED_VALUE"""),"Novi Sad")</f>
        <v>Novi Sad</v>
      </c>
      <c r="W263" s="43" t="str">
        <f>IFERROR(__xludf.DUMMYFUNCTION("""COMPUTED_VALUE"""),"2022-09-13T14:46:49Z")</f>
        <v>2022-09-13T14:46:49Z</v>
      </c>
      <c r="X263" s="43"/>
      <c r="Y263" s="43"/>
      <c r="Z263" s="43"/>
    </row>
    <row r="264" hidden="1">
      <c r="A264" s="43" t="str">
        <f>IFERROR(__xludf.DUMMYFUNCTION("""COMPUTED_VALUE"""),"5106652_1289505")</f>
        <v>5106652_1289505</v>
      </c>
      <c r="B264" s="43" t="str">
        <f>IFERROR(__xludf.DUMMYFUNCTION("""COMPUTED_VALUE"""),"Christine Sedeek")</f>
        <v>Christine Sedeek</v>
      </c>
      <c r="C264" s="43" t="str">
        <f>IFERROR(__xludf.DUMMYFUNCTION("""COMPUTED_VALUE"""),"finished")</f>
        <v>finished</v>
      </c>
      <c r="D264" s="43" t="str">
        <f>IFERROR(__xludf.DUMMYFUNCTION("""COMPUTED_VALUE"""),"No")</f>
        <v>No</v>
      </c>
      <c r="E264" s="43" t="str">
        <f>IFERROR(__xludf.DUMMYFUNCTION("""COMPUTED_VALUE"""),"p_82eb9a4b2408d0acfd739f2f5727237067c90567@inbound.aiesec.org")</f>
        <v>p_82eb9a4b2408d0acfd739f2f5727237067c90567@inbound.aiesec.org</v>
      </c>
      <c r="F264" s="43">
        <f>IFERROR(__xludf.DUMMYFUNCTION("""COMPUTED_VALUE"""),1.210564009E9)</f>
        <v>1210564009</v>
      </c>
      <c r="G264" s="43" t="str">
        <f>IFERROR(__xludf.DUMMYFUNCTION("""COMPUTED_VALUE"""),"Egypt")</f>
        <v>Egypt</v>
      </c>
      <c r="H264" s="43" t="str">
        <f>IFERROR(__xludf.DUMMYFUNCTION("""COMPUTED_VALUE"""),"MSA")</f>
        <v>MSA</v>
      </c>
      <c r="I264" s="43" t="str">
        <f>IFERROR(__xludf.DUMMYFUNCTION("""COMPUTED_VALUE"""),"Turkey")</f>
        <v>Turkey</v>
      </c>
      <c r="J264" s="43" t="str">
        <f>IFERROR(__xludf.DUMMYFUNCTION("""COMPUTED_VALUE"""),"KOCAELI")</f>
        <v>KOCAELI</v>
      </c>
      <c r="K264" s="44" t="str">
        <f>IFERROR(__xludf.DUMMYFUNCTION("""COMPUTED_VALUE"""),"https://expa.aiesec.org/opportunities/1289505")</f>
        <v>https://expa.aiesec.org/opportunities/1289505</v>
      </c>
      <c r="L264" s="43" t="str">
        <f>IFERROR(__xludf.DUMMYFUNCTION("""COMPUTED_VALUE"""),"GV")</f>
        <v>GV</v>
      </c>
      <c r="M264" s="43" t="str">
        <f>IFERROR(__xludf.DUMMYFUNCTION("""COMPUTED_VALUE"""),"short")</f>
        <v>short</v>
      </c>
      <c r="N264" s="45">
        <f>IFERROR(__xludf.DUMMYFUNCTION("""COMPUTED_VALUE"""),44882.0)</f>
        <v>44882</v>
      </c>
      <c r="O264" s="45">
        <f>IFERROR(__xludf.DUMMYFUNCTION("""COMPUTED_VALUE"""),45145.0)</f>
        <v>45145</v>
      </c>
      <c r="P264" s="45">
        <f>IFERROR(__xludf.DUMMYFUNCTION("""COMPUTED_VALUE"""),45187.0)</f>
        <v>45187</v>
      </c>
      <c r="Q264" s="45">
        <f>IFERROR(__xludf.DUMMYFUNCTION("""COMPUTED_VALUE"""),45145.0)</f>
        <v>45145</v>
      </c>
      <c r="R264" s="45">
        <f>IFERROR(__xludf.DUMMYFUNCTION("""COMPUTED_VALUE"""),45187.0)</f>
        <v>45187</v>
      </c>
      <c r="S264" s="43"/>
      <c r="T264" s="43"/>
      <c r="U264" s="43" t="str">
        <f>IFERROR(__xludf.DUMMYFUNCTION("""COMPUTED_VALUE"""),"Youth 4 Impact")</f>
        <v>Youth 4 Impact</v>
      </c>
      <c r="V264" s="43" t="str">
        <f>IFERROR(__xludf.DUMMYFUNCTION("""COMPUTED_VALUE"""),"MSA Univeristy")</f>
        <v>MSA Univeristy</v>
      </c>
      <c r="W264" s="43" t="str">
        <f>IFERROR(__xludf.DUMMYFUNCTION("""COMPUTED_VALUE"""),"2022-09-06T11:33:44Z")</f>
        <v>2022-09-06T11:33:44Z</v>
      </c>
      <c r="X264" s="43"/>
      <c r="Y264" s="43"/>
      <c r="Z264" s="43"/>
    </row>
    <row r="265" hidden="1">
      <c r="A265" s="43" t="str">
        <f>IFERROR(__xludf.DUMMYFUNCTION("""COMPUTED_VALUE"""),"5155439_1289505")</f>
        <v>5155439_1289505</v>
      </c>
      <c r="B265" s="43" t="str">
        <f>IFERROR(__xludf.DUMMYFUNCTION("""COMPUTED_VALUE"""),"Eya Khedher")</f>
        <v>Eya Khedher</v>
      </c>
      <c r="C265" s="43" t="str">
        <f>IFERROR(__xludf.DUMMYFUNCTION("""COMPUTED_VALUE"""),"completed")</f>
        <v>completed</v>
      </c>
      <c r="D265" s="43" t="str">
        <f>IFERROR(__xludf.DUMMYFUNCTION("""COMPUTED_VALUE"""),"No")</f>
        <v>No</v>
      </c>
      <c r="E265" s="43" t="str">
        <f>IFERROR(__xludf.DUMMYFUNCTION("""COMPUTED_VALUE"""),"p_cb452194284546a45f9380156c6d8ef851452258@inbound.aiesec.org")</f>
        <v>p_cb452194284546a45f9380156c6d8ef851452258@inbound.aiesec.org</v>
      </c>
      <c r="F265" s="43">
        <f>IFERROR(__xludf.DUMMYFUNCTION("""COMPUTED_VALUE"""),5.3148697E7)</f>
        <v>53148697</v>
      </c>
      <c r="G265" s="43" t="str">
        <f>IFERROR(__xludf.DUMMYFUNCTION("""COMPUTED_VALUE"""),"Tunisia")</f>
        <v>Tunisia</v>
      </c>
      <c r="H265" s="43" t="str">
        <f>IFERROR(__xludf.DUMMYFUNCTION("""COMPUTED_VALUE"""),"HADRUMET")</f>
        <v>HADRUMET</v>
      </c>
      <c r="I265" s="43" t="str">
        <f>IFERROR(__xludf.DUMMYFUNCTION("""COMPUTED_VALUE"""),"Turkey")</f>
        <v>Turkey</v>
      </c>
      <c r="J265" s="43" t="str">
        <f>IFERROR(__xludf.DUMMYFUNCTION("""COMPUTED_VALUE"""),"KOCAELI")</f>
        <v>KOCAELI</v>
      </c>
      <c r="K265" s="44" t="str">
        <f>IFERROR(__xludf.DUMMYFUNCTION("""COMPUTED_VALUE"""),"https://expa.aiesec.org/opportunities/1289505")</f>
        <v>https://expa.aiesec.org/opportunities/1289505</v>
      </c>
      <c r="L265" s="43" t="str">
        <f>IFERROR(__xludf.DUMMYFUNCTION("""COMPUTED_VALUE"""),"GV")</f>
        <v>GV</v>
      </c>
      <c r="M265" s="43" t="str">
        <f>IFERROR(__xludf.DUMMYFUNCTION("""COMPUTED_VALUE"""),"short")</f>
        <v>short</v>
      </c>
      <c r="N265" s="45">
        <f>IFERROR(__xludf.DUMMYFUNCTION("""COMPUTED_VALUE"""),44883.0)</f>
        <v>44883</v>
      </c>
      <c r="O265" s="45">
        <f>IFERROR(__xludf.DUMMYFUNCTION("""COMPUTED_VALUE"""),45103.0)</f>
        <v>45103</v>
      </c>
      <c r="P265" s="45">
        <f>IFERROR(__xludf.DUMMYFUNCTION("""COMPUTED_VALUE"""),45145.0)</f>
        <v>45145</v>
      </c>
      <c r="Q265" s="45">
        <f>IFERROR(__xludf.DUMMYFUNCTION("""COMPUTED_VALUE"""),45102.0)</f>
        <v>45102</v>
      </c>
      <c r="R265" s="45">
        <f>IFERROR(__xludf.DUMMYFUNCTION("""COMPUTED_VALUE"""),45145.0)</f>
        <v>45145</v>
      </c>
      <c r="S265" s="43"/>
      <c r="T265" s="43"/>
      <c r="U265" s="43" t="str">
        <f>IFERROR(__xludf.DUMMYFUNCTION("""COMPUTED_VALUE"""),"Youth 4 Impact")</f>
        <v>Youth 4 Impact</v>
      </c>
      <c r="V265" s="43" t="str">
        <f>IFERROR(__xludf.DUMMYFUNCTION("""COMPUTED_VALUE"""),"FMS (Faculté de Médecine de Sousse)")</f>
        <v>FMS (Faculté de Médecine de Sousse)</v>
      </c>
      <c r="W265" s="43" t="str">
        <f>IFERROR(__xludf.DUMMYFUNCTION("""COMPUTED_VALUE"""),"2022-11-18T17:51:38Z")</f>
        <v>2022-11-18T17:51:38Z</v>
      </c>
      <c r="X265" s="43"/>
      <c r="Y265" s="43"/>
      <c r="Z265" s="43"/>
    </row>
    <row r="266" hidden="1">
      <c r="A266" s="43" t="str">
        <f>IFERROR(__xludf.DUMMYFUNCTION("""COMPUTED_VALUE"""),"5155370_1289155")</f>
        <v>5155370_1289155</v>
      </c>
      <c r="B266" s="43" t="str">
        <f>IFERROR(__xludf.DUMMYFUNCTION("""COMPUTED_VALUE"""),"Essafi Yassmine")</f>
        <v>Essafi Yassmine</v>
      </c>
      <c r="C266" s="43" t="str">
        <f>IFERROR(__xludf.DUMMYFUNCTION("""COMPUTED_VALUE"""),"completed")</f>
        <v>completed</v>
      </c>
      <c r="D266" s="43" t="str">
        <f>IFERROR(__xludf.DUMMYFUNCTION("""COMPUTED_VALUE"""),"No")</f>
        <v>No</v>
      </c>
      <c r="E266" s="43" t="str">
        <f>IFERROR(__xludf.DUMMYFUNCTION("""COMPUTED_VALUE"""),"p_065feb0d2fc67eebd60a3f84d836fb678bfb391e@inbound.aiesec.org")</f>
        <v>p_065feb0d2fc67eebd60a3f84d836fb678bfb391e@inbound.aiesec.org</v>
      </c>
      <c r="F266" s="43">
        <f>IFERROR(__xludf.DUMMYFUNCTION("""COMPUTED_VALUE"""),2.8401115E7)</f>
        <v>28401115</v>
      </c>
      <c r="G266" s="43" t="str">
        <f>IFERROR(__xludf.DUMMYFUNCTION("""COMPUTED_VALUE"""),"Tunisia")</f>
        <v>Tunisia</v>
      </c>
      <c r="H266" s="43" t="str">
        <f>IFERROR(__xludf.DUMMYFUNCTION("""COMPUTED_VALUE"""),"HADRUMET")</f>
        <v>HADRUMET</v>
      </c>
      <c r="I266" s="43" t="str">
        <f>IFERROR(__xludf.DUMMYFUNCTION("""COMPUTED_VALUE"""),"Turkey")</f>
        <v>Turkey</v>
      </c>
      <c r="J266" s="43" t="str">
        <f>IFERROR(__xludf.DUMMYFUNCTION("""COMPUTED_VALUE"""),"KONYA")</f>
        <v>KONYA</v>
      </c>
      <c r="K266" s="44" t="str">
        <f>IFERROR(__xludf.DUMMYFUNCTION("""COMPUTED_VALUE"""),"https://expa.aiesec.org/opportunities/1289155")</f>
        <v>https://expa.aiesec.org/opportunities/1289155</v>
      </c>
      <c r="L266" s="43" t="str">
        <f>IFERROR(__xludf.DUMMYFUNCTION("""COMPUTED_VALUE"""),"GV")</f>
        <v>GV</v>
      </c>
      <c r="M266" s="43" t="str">
        <f>IFERROR(__xludf.DUMMYFUNCTION("""COMPUTED_VALUE"""),"short")</f>
        <v>short</v>
      </c>
      <c r="N266" s="45">
        <f>IFERROR(__xludf.DUMMYFUNCTION("""COMPUTED_VALUE"""),44883.0)</f>
        <v>44883</v>
      </c>
      <c r="O266" s="45">
        <f>IFERROR(__xludf.DUMMYFUNCTION("""COMPUTED_VALUE"""),45117.0)</f>
        <v>45117</v>
      </c>
      <c r="P266" s="45">
        <f>IFERROR(__xludf.DUMMYFUNCTION("""COMPUTED_VALUE"""),45159.0)</f>
        <v>45159</v>
      </c>
      <c r="Q266" s="45">
        <f>IFERROR(__xludf.DUMMYFUNCTION("""COMPUTED_VALUE"""),45136.0)</f>
        <v>45136</v>
      </c>
      <c r="R266" s="45">
        <f>IFERROR(__xludf.DUMMYFUNCTION("""COMPUTED_VALUE"""),45179.0)</f>
        <v>45179</v>
      </c>
      <c r="S266" s="43"/>
      <c r="T266" s="43"/>
      <c r="U266" s="43" t="str">
        <f>IFERROR(__xludf.DUMMYFUNCTION("""COMPUTED_VALUE"""),"Global Classroom")</f>
        <v>Global Classroom</v>
      </c>
      <c r="V266" s="43" t="str">
        <f>IFERROR(__xludf.DUMMYFUNCTION("""COMPUTED_VALUE"""),"ISIT COM Sousse")</f>
        <v>ISIT COM Sousse</v>
      </c>
      <c r="W266" s="43" t="str">
        <f>IFERROR(__xludf.DUMMYFUNCTION("""COMPUTED_VALUE"""),"2022-11-18T15:45:04Z")</f>
        <v>2022-11-18T15:45:04Z</v>
      </c>
      <c r="X266" s="43"/>
      <c r="Y266" s="43"/>
      <c r="Z266" s="43"/>
    </row>
    <row r="267">
      <c r="A267" s="43" t="str">
        <f>IFERROR(__xludf.DUMMYFUNCTION("""COMPUTED_VALUE"""),"5143353_1284077")</f>
        <v>5143353_1284077</v>
      </c>
      <c r="B267" s="43" t="str">
        <f>IFERROR(__xludf.DUMMYFUNCTION("""COMPUTED_VALUE"""),"Hassan Salem")</f>
        <v>Hassan Salem</v>
      </c>
      <c r="C267" s="43" t="str">
        <f>IFERROR(__xludf.DUMMYFUNCTION("""COMPUTED_VALUE"""),"approved")</f>
        <v>approved</v>
      </c>
      <c r="D267" s="43" t="str">
        <f>IFERROR(__xludf.DUMMYFUNCTION("""COMPUTED_VALUE"""),"No")</f>
        <v>No</v>
      </c>
      <c r="E267" s="43" t="str">
        <f>IFERROR(__xludf.DUMMYFUNCTION("""COMPUTED_VALUE"""),"p_5106929f7d1c7e003c5fcca6c4f0a70826346d38@inbound.aiesec.org")</f>
        <v>p_5106929f7d1c7e003c5fcca6c4f0a70826346d38@inbound.aiesec.org</v>
      </c>
      <c r="F267" s="43">
        <f>IFERROR(__xludf.DUMMYFUNCTION("""COMPUTED_VALUE"""),1.092140284E9)</f>
        <v>1092140284</v>
      </c>
      <c r="G267" s="43" t="str">
        <f>IFERROR(__xludf.DUMMYFUNCTION("""COMPUTED_VALUE"""),"Egypt")</f>
        <v>Egypt</v>
      </c>
      <c r="H267" s="43" t="str">
        <f>IFERROR(__xludf.DUMMYFUNCTION("""COMPUTED_VALUE"""),"Ain Shams University")</f>
        <v>Ain Shams University</v>
      </c>
      <c r="I267" s="43" t="str">
        <f>IFERROR(__xludf.DUMMYFUNCTION("""COMPUTED_VALUE"""),"Turkey")</f>
        <v>Turkey</v>
      </c>
      <c r="J267" s="43" t="str">
        <f>IFERROR(__xludf.DUMMYFUNCTION("""COMPUTED_VALUE"""),"GAZIANTEP")</f>
        <v>GAZIANTEP</v>
      </c>
      <c r="K267" s="44" t="str">
        <f>IFERROR(__xludf.DUMMYFUNCTION("""COMPUTED_VALUE"""),"https://expa.aiesec.org/opportunities/1284077")</f>
        <v>https://expa.aiesec.org/opportunities/1284077</v>
      </c>
      <c r="L267" s="43" t="str">
        <f>IFERROR(__xludf.DUMMYFUNCTION("""COMPUTED_VALUE"""),"GV")</f>
        <v>GV</v>
      </c>
      <c r="M267" s="43" t="str">
        <f>IFERROR(__xludf.DUMMYFUNCTION("""COMPUTED_VALUE"""),"short")</f>
        <v>short</v>
      </c>
      <c r="N267" s="45">
        <f>IFERROR(__xludf.DUMMYFUNCTION("""COMPUTED_VALUE"""),44883.0)</f>
        <v>44883</v>
      </c>
      <c r="O267" s="45">
        <f>IFERROR(__xludf.DUMMYFUNCTION("""COMPUTED_VALUE"""),44996.0)</f>
        <v>44996</v>
      </c>
      <c r="P267" s="45">
        <f>IFERROR(__xludf.DUMMYFUNCTION("""COMPUTED_VALUE"""),45038.0)</f>
        <v>45038</v>
      </c>
      <c r="Q267" s="45"/>
      <c r="R267" s="45"/>
      <c r="S267" s="43"/>
      <c r="T267" s="43"/>
      <c r="U267" s="43" t="str">
        <f>IFERROR(__xludf.DUMMYFUNCTION("""COMPUTED_VALUE"""),"Global Classroom")</f>
        <v>Global Classroom</v>
      </c>
      <c r="V267" s="43" t="str">
        <f>IFERROR(__xludf.DUMMYFUNCTION("""COMPUTED_VALUE"""),"Ain Shams University")</f>
        <v>Ain Shams University</v>
      </c>
      <c r="W267" s="43" t="str">
        <f>IFERROR(__xludf.DUMMYFUNCTION("""COMPUTED_VALUE"""),"2022-10-30T19:30:26Z")</f>
        <v>2022-10-30T19:30:26Z</v>
      </c>
      <c r="X267" s="43"/>
      <c r="Y267" s="43"/>
      <c r="Z267" s="43"/>
    </row>
    <row r="268" hidden="1">
      <c r="A268" s="43" t="str">
        <f>IFERROR(__xludf.DUMMYFUNCTION("""COMPUTED_VALUE"""),"4566949_1286326")</f>
        <v>4566949_1286326</v>
      </c>
      <c r="B268" s="43" t="str">
        <f>IFERROR(__xludf.DUMMYFUNCTION("""COMPUTED_VALUE"""),"Elisa Barlocco")</f>
        <v>Elisa Barlocco</v>
      </c>
      <c r="C268" s="43" t="str">
        <f>IFERROR(__xludf.DUMMYFUNCTION("""COMPUTED_VALUE"""),"realization_broken")</f>
        <v>realization_broken</v>
      </c>
      <c r="D268" s="43" t="str">
        <f>IFERROR(__xludf.DUMMYFUNCTION("""COMPUTED_VALUE"""),"No")</f>
        <v>No</v>
      </c>
      <c r="E268" s="43" t="str">
        <f>IFERROR(__xludf.DUMMYFUNCTION("""COMPUTED_VALUE"""),"p_a6eebd2d4db3a48898048494b595d09830f26f9f@inbound.aiesec.org")</f>
        <v>p_a6eebd2d4db3a48898048494b595d09830f26f9f@inbound.aiesec.org</v>
      </c>
      <c r="F268" s="43"/>
      <c r="G268" s="43" t="str">
        <f>IFERROR(__xludf.DUMMYFUNCTION("""COMPUTED_VALUE"""),"Italy")</f>
        <v>Italy</v>
      </c>
      <c r="H268" s="43" t="str">
        <f>IFERROR(__xludf.DUMMYFUNCTION("""COMPUTED_VALUE"""),"Bologna")</f>
        <v>Bologna</v>
      </c>
      <c r="I268" s="43" t="str">
        <f>IFERROR(__xludf.DUMMYFUNCTION("""COMPUTED_VALUE"""),"Turkey")</f>
        <v>Turkey</v>
      </c>
      <c r="J268" s="43" t="str">
        <f>IFERROR(__xludf.DUMMYFUNCTION("""COMPUTED_VALUE"""),"ADANA")</f>
        <v>ADANA</v>
      </c>
      <c r="K268" s="44" t="str">
        <f>IFERROR(__xludf.DUMMYFUNCTION("""COMPUTED_VALUE"""),"https://expa.aiesec.org/opportunities/1286326")</f>
        <v>https://expa.aiesec.org/opportunities/1286326</v>
      </c>
      <c r="L268" s="43" t="str">
        <f>IFERROR(__xludf.DUMMYFUNCTION("""COMPUTED_VALUE"""),"GV")</f>
        <v>GV</v>
      </c>
      <c r="M268" s="43" t="str">
        <f>IFERROR(__xludf.DUMMYFUNCTION("""COMPUTED_VALUE"""),"short")</f>
        <v>short</v>
      </c>
      <c r="N268" s="45">
        <f>IFERROR(__xludf.DUMMYFUNCTION("""COMPUTED_VALUE"""),44883.0)</f>
        <v>44883</v>
      </c>
      <c r="O268" s="45">
        <f>IFERROR(__xludf.DUMMYFUNCTION("""COMPUTED_VALUE"""),44963.0)</f>
        <v>44963</v>
      </c>
      <c r="P268" s="45">
        <f>IFERROR(__xludf.DUMMYFUNCTION("""COMPUTED_VALUE"""),45009.0)</f>
        <v>45009</v>
      </c>
      <c r="Q268" s="45"/>
      <c r="R268" s="45"/>
      <c r="S268" s="43"/>
      <c r="T268" s="43"/>
      <c r="U268" s="43" t="str">
        <f>IFERROR(__xludf.DUMMYFUNCTION("""COMPUTED_VALUE"""),"Equify")</f>
        <v>Equify</v>
      </c>
      <c r="V268" s="43" t="str">
        <f>IFERROR(__xludf.DUMMYFUNCTION("""COMPUTED_VALUE"""),"-")</f>
        <v>-</v>
      </c>
      <c r="W268" s="43" t="str">
        <f>IFERROR(__xludf.DUMMYFUNCTION("""COMPUTED_VALUE"""),"2021-03-04T08:34:07Z")</f>
        <v>2021-03-04T08:34:07Z</v>
      </c>
      <c r="X268" s="43"/>
      <c r="Y268" s="43"/>
      <c r="Z268" s="43"/>
    </row>
    <row r="269" hidden="1">
      <c r="A269" s="43" t="str">
        <f>IFERROR(__xludf.DUMMYFUNCTION("""COMPUTED_VALUE"""),"2277166_1286917")</f>
        <v>2277166_1286917</v>
      </c>
      <c r="B269" s="43" t="str">
        <f>IFERROR(__xludf.DUMMYFUNCTION("""COMPUTED_VALUE"""),"Franyili Payano valdez")</f>
        <v>Franyili Payano valdez</v>
      </c>
      <c r="C269" s="43" t="str">
        <f>IFERROR(__xludf.DUMMYFUNCTION("""COMPUTED_VALUE"""),"finished")</f>
        <v>finished</v>
      </c>
      <c r="D269" s="43" t="str">
        <f>IFERROR(__xludf.DUMMYFUNCTION("""COMPUTED_VALUE"""),"No")</f>
        <v>No</v>
      </c>
      <c r="E269" s="43" t="str">
        <f>IFERROR(__xludf.DUMMYFUNCTION("""COMPUTED_VALUE"""),"p_13abb2f2507126bf658156247fa68aa3d1576764@inbound.aiesec.org")</f>
        <v>p_13abb2f2507126bf658156247fa68aa3d1576764@inbound.aiesec.org</v>
      </c>
      <c r="F269" s="43">
        <f>IFERROR(__xludf.DUMMYFUNCTION("""COMPUTED_VALUE"""),4030141.0)</f>
        <v>4030141</v>
      </c>
      <c r="G269" s="43" t="str">
        <f>IFERROR(__xludf.DUMMYFUNCTION("""COMPUTED_VALUE"""),"Dominican Republic")</f>
        <v>Dominican Republic</v>
      </c>
      <c r="H269" s="43" t="str">
        <f>IFERROR(__xludf.DUMMYFUNCTION("""COMPUTED_VALUE"""),"PUCMM")</f>
        <v>PUCMM</v>
      </c>
      <c r="I269" s="43" t="str">
        <f>IFERROR(__xludf.DUMMYFUNCTION("""COMPUTED_VALUE"""),"Turkey")</f>
        <v>Turkey</v>
      </c>
      <c r="J269" s="43" t="str">
        <f>IFERROR(__xludf.DUMMYFUNCTION("""COMPUTED_VALUE"""),"ISTANBUL ASIA")</f>
        <v>ISTANBUL ASIA</v>
      </c>
      <c r="K269" s="44" t="str">
        <f>IFERROR(__xludf.DUMMYFUNCTION("""COMPUTED_VALUE"""),"https://expa.aiesec.org/opportunities/1286917")</f>
        <v>https://expa.aiesec.org/opportunities/1286917</v>
      </c>
      <c r="L269" s="43" t="str">
        <f>IFERROR(__xludf.DUMMYFUNCTION("""COMPUTED_VALUE"""),"GV")</f>
        <v>GV</v>
      </c>
      <c r="M269" s="43" t="str">
        <f>IFERROR(__xludf.DUMMYFUNCTION("""COMPUTED_VALUE"""),"short")</f>
        <v>short</v>
      </c>
      <c r="N269" s="45">
        <f>IFERROR(__xludf.DUMMYFUNCTION("""COMPUTED_VALUE"""),44883.0)</f>
        <v>44883</v>
      </c>
      <c r="O269" s="45">
        <f>IFERROR(__xludf.DUMMYFUNCTION("""COMPUTED_VALUE"""),44881.0)</f>
        <v>44881</v>
      </c>
      <c r="P269" s="45">
        <f>IFERROR(__xludf.DUMMYFUNCTION("""COMPUTED_VALUE"""),44923.0)</f>
        <v>44923</v>
      </c>
      <c r="Q269" s="45">
        <f>IFERROR(__xludf.DUMMYFUNCTION("""COMPUTED_VALUE"""),44883.0)</f>
        <v>44883</v>
      </c>
      <c r="R269" s="45">
        <f>IFERROR(__xludf.DUMMYFUNCTION("""COMPUTED_VALUE"""),44923.0)</f>
        <v>44923</v>
      </c>
      <c r="S269" s="43"/>
      <c r="T269" s="43"/>
      <c r="U269" s="43" t="str">
        <f>IFERROR(__xludf.DUMMYFUNCTION("""COMPUTED_VALUE"""),"Rooted")</f>
        <v>Rooted</v>
      </c>
      <c r="V269" s="43" t="str">
        <f>IFERROR(__xludf.DUMMYFUNCTION("""COMPUTED_VALUE"""),"Universidad Tecnológica de Santiago (UTESA)")</f>
        <v>Universidad Tecnológica de Santiago (UTESA)</v>
      </c>
      <c r="W269" s="43" t="str">
        <f>IFERROR(__xludf.DUMMYFUNCTION("""COMPUTED_VALUE"""),"2018-05-04T00:02:48Z")</f>
        <v>2018-05-04T00:02:48Z</v>
      </c>
      <c r="X269" s="43"/>
      <c r="Y269" s="43"/>
      <c r="Z269" s="43"/>
    </row>
    <row r="270">
      <c r="A270" s="43" t="str">
        <f>IFERROR(__xludf.DUMMYFUNCTION("""COMPUTED_VALUE"""),"5155590_1285713")</f>
        <v>5155590_1285713</v>
      </c>
      <c r="B270" s="43" t="str">
        <f>IFERROR(__xludf.DUMMYFUNCTION("""COMPUTED_VALUE"""),"Cristina Buenaño")</f>
        <v>Cristina Buenaño</v>
      </c>
      <c r="C270" s="43" t="str">
        <f>IFERROR(__xludf.DUMMYFUNCTION("""COMPUTED_VALUE"""),"approved")</f>
        <v>approved</v>
      </c>
      <c r="D270" s="43" t="str">
        <f>IFERROR(__xludf.DUMMYFUNCTION("""COMPUTED_VALUE"""),"No")</f>
        <v>No</v>
      </c>
      <c r="E270" s="43" t="str">
        <f>IFERROR(__xludf.DUMMYFUNCTION("""COMPUTED_VALUE"""),"p_f5427f659f09e06b4c45f8033a76d905913cc191@inbound.aiesec.org")</f>
        <v>p_f5427f659f09e06b4c45f8033a76d905913cc191@inbound.aiesec.org</v>
      </c>
      <c r="F270" s="43">
        <f>IFERROR(__xludf.DUMMYFUNCTION("""COMPUTED_VALUE"""),6.22289089E8)</f>
        <v>622289089</v>
      </c>
      <c r="G270" s="43" t="str">
        <f>IFERROR(__xludf.DUMMYFUNCTION("""COMPUTED_VALUE"""),"Ecuador")</f>
        <v>Ecuador</v>
      </c>
      <c r="H270" s="43" t="str">
        <f>IFERROR(__xludf.DUMMYFUNCTION("""COMPUTED_VALUE"""),"Ambato")</f>
        <v>Ambato</v>
      </c>
      <c r="I270" s="43" t="str">
        <f>IFERROR(__xludf.DUMMYFUNCTION("""COMPUTED_VALUE"""),"Turkey")</f>
        <v>Turkey</v>
      </c>
      <c r="J270" s="43" t="str">
        <f>IFERROR(__xludf.DUMMYFUNCTION("""COMPUTED_VALUE"""),"ISTANBUL")</f>
        <v>ISTANBUL</v>
      </c>
      <c r="K270" s="44" t="str">
        <f>IFERROR(__xludf.DUMMYFUNCTION("""COMPUTED_VALUE"""),"https://expa.aiesec.org/opportunities/1285713")</f>
        <v>https://expa.aiesec.org/opportunities/1285713</v>
      </c>
      <c r="L270" s="43" t="str">
        <f>IFERROR(__xludf.DUMMYFUNCTION("""COMPUTED_VALUE"""),"GV")</f>
        <v>GV</v>
      </c>
      <c r="M270" s="43" t="str">
        <f>IFERROR(__xludf.DUMMYFUNCTION("""COMPUTED_VALUE"""),"short")</f>
        <v>short</v>
      </c>
      <c r="N270" s="45">
        <f>IFERROR(__xludf.DUMMYFUNCTION("""COMPUTED_VALUE"""),44884.0)</f>
        <v>44884</v>
      </c>
      <c r="O270" s="45">
        <f>IFERROR(__xludf.DUMMYFUNCTION("""COMPUTED_VALUE"""),44977.0)</f>
        <v>44977</v>
      </c>
      <c r="P270" s="45">
        <f>IFERROR(__xludf.DUMMYFUNCTION("""COMPUTED_VALUE"""),45019.0)</f>
        <v>45019</v>
      </c>
      <c r="Q270" s="45"/>
      <c r="R270" s="45"/>
      <c r="S270" s="43"/>
      <c r="T270" s="43"/>
      <c r="U270" s="43" t="str">
        <f>IFERROR(__xludf.DUMMYFUNCTION("""COMPUTED_VALUE"""),"Heartbeat")</f>
        <v>Heartbeat</v>
      </c>
      <c r="V270" s="43" t="str">
        <f>IFERROR(__xludf.DUMMYFUNCTION("""COMPUTED_VALUE"""),"UTA - Universidad Técnica de Ambato")</f>
        <v>UTA - Universidad Técnica de Ambato</v>
      </c>
      <c r="W270" s="43" t="str">
        <f>IFERROR(__xludf.DUMMYFUNCTION("""COMPUTED_VALUE"""),"2022-11-19T01:44:08Z")</f>
        <v>2022-11-19T01:44:08Z</v>
      </c>
      <c r="X270" s="43"/>
      <c r="Y270" s="43"/>
      <c r="Z270" s="43"/>
    </row>
    <row r="271" hidden="1">
      <c r="A271" s="43" t="str">
        <f>IFERROR(__xludf.DUMMYFUNCTION("""COMPUTED_VALUE"""),"5141340_1289261")</f>
        <v>5141340_1289261</v>
      </c>
      <c r="B271" s="43" t="str">
        <f>IFERROR(__xludf.DUMMYFUNCTION("""COMPUTED_VALUE"""),"Husain Mohamed")</f>
        <v>Husain Mohamed</v>
      </c>
      <c r="C271" s="43" t="str">
        <f>IFERROR(__xludf.DUMMYFUNCTION("""COMPUTED_VALUE"""),"realization_broken")</f>
        <v>realization_broken</v>
      </c>
      <c r="D271" s="43" t="str">
        <f>IFERROR(__xludf.DUMMYFUNCTION("""COMPUTED_VALUE"""),"No")</f>
        <v>No</v>
      </c>
      <c r="E271" s="43" t="str">
        <f>IFERROR(__xludf.DUMMYFUNCTION("""COMPUTED_VALUE"""),"p_063b26c04db41d689501aaa24b49c6519d225ac7@inbound.aiesec.org")</f>
        <v>p_063b26c04db41d689501aaa24b49c6519d225ac7@inbound.aiesec.org</v>
      </c>
      <c r="F271" s="43">
        <f>IFERROR(__xludf.DUMMYFUNCTION("""COMPUTED_VALUE"""),3.3838002E7)</f>
        <v>33838002</v>
      </c>
      <c r="G271" s="43" t="str">
        <f>IFERROR(__xludf.DUMMYFUNCTION("""COMPUTED_VALUE"""),"Bahrain")</f>
        <v>Bahrain</v>
      </c>
      <c r="H271" s="43" t="str">
        <f>IFERROR(__xludf.DUMMYFUNCTION("""COMPUTED_VALUE"""),"Tylos")</f>
        <v>Tylos</v>
      </c>
      <c r="I271" s="43" t="str">
        <f>IFERROR(__xludf.DUMMYFUNCTION("""COMPUTED_VALUE"""),"Turkey")</f>
        <v>Turkey</v>
      </c>
      <c r="J271" s="43" t="str">
        <f>IFERROR(__xludf.DUMMYFUNCTION("""COMPUTED_VALUE"""),"İZMİR")</f>
        <v>İZMİR</v>
      </c>
      <c r="K271" s="44" t="str">
        <f>IFERROR(__xludf.DUMMYFUNCTION("""COMPUTED_VALUE"""),"https://expa.aiesec.org/opportunities/1289261")</f>
        <v>https://expa.aiesec.org/opportunities/1289261</v>
      </c>
      <c r="L271" s="43" t="str">
        <f>IFERROR(__xludf.DUMMYFUNCTION("""COMPUTED_VALUE"""),"GV")</f>
        <v>GV</v>
      </c>
      <c r="M271" s="43" t="str">
        <f>IFERROR(__xludf.DUMMYFUNCTION("""COMPUTED_VALUE"""),"short")</f>
        <v>short</v>
      </c>
      <c r="N271" s="45">
        <f>IFERROR(__xludf.DUMMYFUNCTION("""COMPUTED_VALUE"""),44885.0)</f>
        <v>44885</v>
      </c>
      <c r="O271" s="45">
        <f>IFERROR(__xludf.DUMMYFUNCTION("""COMPUTED_VALUE"""),44941.0)</f>
        <v>44941</v>
      </c>
      <c r="P271" s="45">
        <f>IFERROR(__xludf.DUMMYFUNCTION("""COMPUTED_VALUE"""),44983.0)</f>
        <v>44983</v>
      </c>
      <c r="Q271" s="45"/>
      <c r="R271" s="45"/>
      <c r="S271" s="43"/>
      <c r="T271" s="43"/>
      <c r="U271" s="43" t="str">
        <f>IFERROR(__xludf.DUMMYFUNCTION("""COMPUTED_VALUE"""),"Global Classroom")</f>
        <v>Global Classroom</v>
      </c>
      <c r="V271" s="43" t="str">
        <f>IFERROR(__xludf.DUMMYFUNCTION("""COMPUTED_VALUE"""),"Bahrain Polytechnic")</f>
        <v>Bahrain Polytechnic</v>
      </c>
      <c r="W271" s="43" t="str">
        <f>IFERROR(__xludf.DUMMYFUNCTION("""COMPUTED_VALUE"""),"2022-10-27T08:47:43Z")</f>
        <v>2022-10-27T08:47:43Z</v>
      </c>
      <c r="X271" s="43"/>
      <c r="Y271" s="43"/>
      <c r="Z271" s="43"/>
    </row>
    <row r="272" hidden="1">
      <c r="A272" s="43" t="str">
        <f>IFERROR(__xludf.DUMMYFUNCTION("""COMPUTED_VALUE"""),"5156063_1284670")</f>
        <v>5156063_1284670</v>
      </c>
      <c r="B272" s="43" t="str">
        <f>IFERROR(__xludf.DUMMYFUNCTION("""COMPUTED_VALUE"""),"Prateek Sangar")</f>
        <v>Prateek Sangar</v>
      </c>
      <c r="C272" s="43" t="str">
        <f>IFERROR(__xludf.DUMMYFUNCTION("""COMPUTED_VALUE"""),"approved")</f>
        <v>approved</v>
      </c>
      <c r="D272" s="43" t="str">
        <f>IFERROR(__xludf.DUMMYFUNCTION("""COMPUTED_VALUE"""),"No")</f>
        <v>No</v>
      </c>
      <c r="E272" s="43" t="str">
        <f>IFERROR(__xludf.DUMMYFUNCTION("""COMPUTED_VALUE"""),"p_8c9175471747695ae54210ba779c5949cf0cda76@inbound.aiesec.org")</f>
        <v>p_8c9175471747695ae54210ba779c5949cf0cda76@inbound.aiesec.org</v>
      </c>
      <c r="F272" s="43">
        <f>IFERROR(__xludf.DUMMYFUNCTION("""COMPUTED_VALUE"""),8.447306441E9)</f>
        <v>8447306441</v>
      </c>
      <c r="G272" s="43" t="str">
        <f>IFERROR(__xludf.DUMMYFUNCTION("""COMPUTED_VALUE"""),"India")</f>
        <v>India</v>
      </c>
      <c r="H272" s="43" t="str">
        <f>IFERROR(__xludf.DUMMYFUNCTION("""COMPUTED_VALUE"""),"Noida")</f>
        <v>Noida</v>
      </c>
      <c r="I272" s="43" t="str">
        <f>IFERROR(__xludf.DUMMYFUNCTION("""COMPUTED_VALUE"""),"Turkey")</f>
        <v>Turkey</v>
      </c>
      <c r="J272" s="43" t="str">
        <f>IFERROR(__xludf.DUMMYFUNCTION("""COMPUTED_VALUE"""),"ISTANBUL")</f>
        <v>ISTANBUL</v>
      </c>
      <c r="K272" s="44" t="str">
        <f>IFERROR(__xludf.DUMMYFUNCTION("""COMPUTED_VALUE"""),"https://expa.aiesec.org/opportunities/1284670")</f>
        <v>https://expa.aiesec.org/opportunities/1284670</v>
      </c>
      <c r="L272" s="43" t="str">
        <f>IFERROR(__xludf.DUMMYFUNCTION("""COMPUTED_VALUE"""),"GV")</f>
        <v>GV</v>
      </c>
      <c r="M272" s="43" t="str">
        <f>IFERROR(__xludf.DUMMYFUNCTION("""COMPUTED_VALUE"""),"short")</f>
        <v>short</v>
      </c>
      <c r="N272" s="45">
        <f>IFERROR(__xludf.DUMMYFUNCTION("""COMPUTED_VALUE"""),44886.0)</f>
        <v>44886</v>
      </c>
      <c r="O272" s="45">
        <f>IFERROR(__xludf.DUMMYFUNCTION("""COMPUTED_VALUE"""),45111.0)</f>
        <v>45111</v>
      </c>
      <c r="P272" s="45">
        <f>IFERROR(__xludf.DUMMYFUNCTION("""COMPUTED_VALUE"""),45153.0)</f>
        <v>45153</v>
      </c>
      <c r="Q272" s="45"/>
      <c r="R272" s="45"/>
      <c r="S272" s="43"/>
      <c r="T272" s="43"/>
      <c r="U272" s="43" t="str">
        <f>IFERROR(__xludf.DUMMYFUNCTION("""COMPUTED_VALUE"""),"Heartbeat")</f>
        <v>Heartbeat</v>
      </c>
      <c r="V272" s="43" t="str">
        <f>IFERROR(__xludf.DUMMYFUNCTION("""COMPUTED_VALUE"""),"Amity University, Noida")</f>
        <v>Amity University, Noida</v>
      </c>
      <c r="W272" s="43" t="str">
        <f>IFERROR(__xludf.DUMMYFUNCTION("""COMPUTED_VALUE"""),"2022-11-20T08:48:42Z")</f>
        <v>2022-11-20T08:48:42Z</v>
      </c>
      <c r="X272" s="43"/>
      <c r="Y272" s="43"/>
      <c r="Z272" s="43"/>
    </row>
    <row r="273" hidden="1">
      <c r="A273" s="43" t="str">
        <f>IFERROR(__xludf.DUMMYFUNCTION("""COMPUTED_VALUE"""),"5140871_1289228")</f>
        <v>5140871_1289228</v>
      </c>
      <c r="B273" s="43" t="str">
        <f>IFERROR(__xludf.DUMMYFUNCTION("""COMPUTED_VALUE"""),"Rawan Bamuneef")</f>
        <v>Rawan Bamuneef</v>
      </c>
      <c r="C273" s="43" t="str">
        <f>IFERROR(__xludf.DUMMYFUNCTION("""COMPUTED_VALUE"""),"completed")</f>
        <v>completed</v>
      </c>
      <c r="D273" s="43" t="str">
        <f>IFERROR(__xludf.DUMMYFUNCTION("""COMPUTED_VALUE"""),"No")</f>
        <v>No</v>
      </c>
      <c r="E273" s="43" t="str">
        <f>IFERROR(__xludf.DUMMYFUNCTION("""COMPUTED_VALUE"""),"p_1e22fa5de2e33e9f85b662b20cf9ee1dfc30dd2d@inbound.aiesec.org")</f>
        <v>p_1e22fa5de2e33e9f85b662b20cf9ee1dfc30dd2d@inbound.aiesec.org</v>
      </c>
      <c r="F273" s="43">
        <f>IFERROR(__xludf.DUMMYFUNCTION("""COMPUTED_VALUE"""),5.03129366E8)</f>
        <v>503129366</v>
      </c>
      <c r="G273" s="43" t="str">
        <f>IFERROR(__xludf.DUMMYFUNCTION("""COMPUTED_VALUE"""),"Bahrain")</f>
        <v>Bahrain</v>
      </c>
      <c r="H273" s="43" t="str">
        <f>IFERROR(__xludf.DUMMYFUNCTION("""COMPUTED_VALUE"""),"Awal")</f>
        <v>Awal</v>
      </c>
      <c r="I273" s="43" t="str">
        <f>IFERROR(__xludf.DUMMYFUNCTION("""COMPUTED_VALUE"""),"Turkey")</f>
        <v>Turkey</v>
      </c>
      <c r="J273" s="43" t="str">
        <f>IFERROR(__xludf.DUMMYFUNCTION("""COMPUTED_VALUE"""),"ISTANBUL WEST")</f>
        <v>ISTANBUL WEST</v>
      </c>
      <c r="K273" s="44" t="str">
        <f>IFERROR(__xludf.DUMMYFUNCTION("""COMPUTED_VALUE"""),"https://expa.aiesec.org/opportunities/1289228")</f>
        <v>https://expa.aiesec.org/opportunities/1289228</v>
      </c>
      <c r="L273" s="43" t="str">
        <f>IFERROR(__xludf.DUMMYFUNCTION("""COMPUTED_VALUE"""),"GV")</f>
        <v>GV</v>
      </c>
      <c r="M273" s="43" t="str">
        <f>IFERROR(__xludf.DUMMYFUNCTION("""COMPUTED_VALUE"""),"short")</f>
        <v>short</v>
      </c>
      <c r="N273" s="45">
        <f>IFERROR(__xludf.DUMMYFUNCTION("""COMPUTED_VALUE"""),44886.0)</f>
        <v>44886</v>
      </c>
      <c r="O273" s="45">
        <f>IFERROR(__xludf.DUMMYFUNCTION("""COMPUTED_VALUE"""),44900.0)</f>
        <v>44900</v>
      </c>
      <c r="P273" s="45">
        <f>IFERROR(__xludf.DUMMYFUNCTION("""COMPUTED_VALUE"""),44942.0)</f>
        <v>44942</v>
      </c>
      <c r="Q273" s="45">
        <f>IFERROR(__xludf.DUMMYFUNCTION("""COMPUTED_VALUE"""),44915.0)</f>
        <v>44915</v>
      </c>
      <c r="R273" s="45">
        <f>IFERROR(__xludf.DUMMYFUNCTION("""COMPUTED_VALUE"""),44956.0)</f>
        <v>44956</v>
      </c>
      <c r="S273" s="43"/>
      <c r="T273" s="43"/>
      <c r="U273" s="43" t="str">
        <f>IFERROR(__xludf.DUMMYFUNCTION("""COMPUTED_VALUE"""),"Global Classroom")</f>
        <v>Global Classroom</v>
      </c>
      <c r="V273" s="43" t="str">
        <f>IFERROR(__xludf.DUMMYFUNCTION("""COMPUTED_VALUE"""),"Other (International Universities)")</f>
        <v>Other (International Universities)</v>
      </c>
      <c r="W273" s="43" t="str">
        <f>IFERROR(__xludf.DUMMYFUNCTION("""COMPUTED_VALUE"""),"2022-10-26T14:06:11Z")</f>
        <v>2022-10-26T14:06:11Z</v>
      </c>
      <c r="X273" s="43"/>
      <c r="Y273" s="43"/>
      <c r="Z273" s="43"/>
    </row>
    <row r="274" hidden="1">
      <c r="A274" s="43" t="str">
        <f>IFERROR(__xludf.DUMMYFUNCTION("""COMPUTED_VALUE"""),"5153529_1290646")</f>
        <v>5153529_1290646</v>
      </c>
      <c r="B274" s="43" t="str">
        <f>IFERROR(__xludf.DUMMYFUNCTION("""COMPUTED_VALUE"""),"Harshta Bhatti")</f>
        <v>Harshta Bhatti</v>
      </c>
      <c r="C274" s="43" t="str">
        <f>IFERROR(__xludf.DUMMYFUNCTION("""COMPUTED_VALUE"""),"completed")</f>
        <v>completed</v>
      </c>
      <c r="D274" s="43" t="str">
        <f>IFERROR(__xludf.DUMMYFUNCTION("""COMPUTED_VALUE"""),"No")</f>
        <v>No</v>
      </c>
      <c r="E274" s="43" t="str">
        <f>IFERROR(__xludf.DUMMYFUNCTION("""COMPUTED_VALUE"""),"p_74556d19df7476689711f4276cce74a56bccba19@inbound.aiesec.org")</f>
        <v>p_74556d19df7476689711f4276cce74a56bccba19@inbound.aiesec.org</v>
      </c>
      <c r="F274" s="43">
        <f>IFERROR(__xludf.DUMMYFUNCTION("""COMPUTED_VALUE"""),9.872524459E9)</f>
        <v>9872524459</v>
      </c>
      <c r="G274" s="43" t="str">
        <f>IFERROR(__xludf.DUMMYFUNCTION("""COMPUTED_VALUE"""),"India")</f>
        <v>India</v>
      </c>
      <c r="H274" s="43" t="str">
        <f>IFERROR(__xludf.DUMMYFUNCTION("""COMPUTED_VALUE"""),"Chandigarh")</f>
        <v>Chandigarh</v>
      </c>
      <c r="I274" s="43" t="str">
        <f>IFERROR(__xludf.DUMMYFUNCTION("""COMPUTED_VALUE"""),"Turkey")</f>
        <v>Turkey</v>
      </c>
      <c r="J274" s="43" t="str">
        <f>IFERROR(__xludf.DUMMYFUNCTION("""COMPUTED_VALUE"""),"BURSA")</f>
        <v>BURSA</v>
      </c>
      <c r="K274" s="44" t="str">
        <f>IFERROR(__xludf.DUMMYFUNCTION("""COMPUTED_VALUE"""),"https://expa.aiesec.org/opportunities/1290646")</f>
        <v>https://expa.aiesec.org/opportunities/1290646</v>
      </c>
      <c r="L274" s="43" t="str">
        <f>IFERROR(__xludf.DUMMYFUNCTION("""COMPUTED_VALUE"""),"GV")</f>
        <v>GV</v>
      </c>
      <c r="M274" s="43" t="str">
        <f>IFERROR(__xludf.DUMMYFUNCTION("""COMPUTED_VALUE"""),"short")</f>
        <v>short</v>
      </c>
      <c r="N274" s="45">
        <f>IFERROR(__xludf.DUMMYFUNCTION("""COMPUTED_VALUE"""),44886.0)</f>
        <v>44886</v>
      </c>
      <c r="O274" s="45">
        <f>IFERROR(__xludf.DUMMYFUNCTION("""COMPUTED_VALUE"""),44941.0)</f>
        <v>44941</v>
      </c>
      <c r="P274" s="45">
        <f>IFERROR(__xludf.DUMMYFUNCTION("""COMPUTED_VALUE"""),44983.0)</f>
        <v>44983</v>
      </c>
      <c r="Q274" s="45">
        <f>IFERROR(__xludf.DUMMYFUNCTION("""COMPUTED_VALUE"""),44963.0)</f>
        <v>44963</v>
      </c>
      <c r="R274" s="45">
        <f>IFERROR(__xludf.DUMMYFUNCTION("""COMPUTED_VALUE"""),45028.0)</f>
        <v>45028</v>
      </c>
      <c r="S274" s="43"/>
      <c r="T274" s="43"/>
      <c r="U274" s="43" t="str">
        <f>IFERROR(__xludf.DUMMYFUNCTION("""COMPUTED_VALUE"""),"Youth 4 Impact")</f>
        <v>Youth 4 Impact</v>
      </c>
      <c r="V274" s="43" t="str">
        <f>IFERROR(__xludf.DUMMYFUNCTION("""COMPUTED_VALUE"""),"CGC Jhanjeri, Chandigarh")</f>
        <v>CGC Jhanjeri, Chandigarh</v>
      </c>
      <c r="W274" s="43" t="str">
        <f>IFERROR(__xludf.DUMMYFUNCTION("""COMPUTED_VALUE"""),"2022-11-15T17:16:11Z")</f>
        <v>2022-11-15T17:16:11Z</v>
      </c>
      <c r="X274" s="43"/>
      <c r="Y274" s="43"/>
      <c r="Z274" s="43"/>
    </row>
    <row r="275" hidden="1">
      <c r="A275" s="43" t="str">
        <f>IFERROR(__xludf.DUMMYFUNCTION("""COMPUTED_VALUE"""),"5152138_1288497")</f>
        <v>5152138_1288497</v>
      </c>
      <c r="B275" s="43" t="str">
        <f>IFERROR(__xludf.DUMMYFUNCTION("""COMPUTED_VALUE"""),"Khrystyna Koval")</f>
        <v>Khrystyna Koval</v>
      </c>
      <c r="C275" s="43" t="str">
        <f>IFERROR(__xludf.DUMMYFUNCTION("""COMPUTED_VALUE"""),"completed")</f>
        <v>completed</v>
      </c>
      <c r="D275" s="43" t="str">
        <f>IFERROR(__xludf.DUMMYFUNCTION("""COMPUTED_VALUE"""),"No")</f>
        <v>No</v>
      </c>
      <c r="E275" s="43" t="str">
        <f>IFERROR(__xludf.DUMMYFUNCTION("""COMPUTED_VALUE"""),"p_7e14c492c716846f3ff59576f3626e4a0add1024@inbound.aiesec.org")</f>
        <v>p_7e14c492c716846f3ff59576f3626e4a0add1024@inbound.aiesec.org</v>
      </c>
      <c r="F275" s="43">
        <f>IFERROR(__xludf.DUMMYFUNCTION("""COMPUTED_VALUE"""),9.6901591E8)</f>
        <v>969015910</v>
      </c>
      <c r="G275" s="43" t="str">
        <f>IFERROR(__xludf.DUMMYFUNCTION("""COMPUTED_VALUE"""),"Ukraine")</f>
        <v>Ukraine</v>
      </c>
      <c r="H275" s="43" t="str">
        <f>IFERROR(__xludf.DUMMYFUNCTION("""COMPUTED_VALUE"""),"KYIV")</f>
        <v>KYIV</v>
      </c>
      <c r="I275" s="43" t="str">
        <f>IFERROR(__xludf.DUMMYFUNCTION("""COMPUTED_VALUE"""),"Turkey")</f>
        <v>Turkey</v>
      </c>
      <c r="J275" s="43" t="str">
        <f>IFERROR(__xludf.DUMMYFUNCTION("""COMPUTED_VALUE"""),"DENIZLI")</f>
        <v>DENIZLI</v>
      </c>
      <c r="K275" s="44" t="str">
        <f>IFERROR(__xludf.DUMMYFUNCTION("""COMPUTED_VALUE"""),"https://expa.aiesec.org/opportunities/1288497")</f>
        <v>https://expa.aiesec.org/opportunities/1288497</v>
      </c>
      <c r="L275" s="43" t="str">
        <f>IFERROR(__xludf.DUMMYFUNCTION("""COMPUTED_VALUE"""),"GV")</f>
        <v>GV</v>
      </c>
      <c r="M275" s="43" t="str">
        <f>IFERROR(__xludf.DUMMYFUNCTION("""COMPUTED_VALUE"""),"short")</f>
        <v>short</v>
      </c>
      <c r="N275" s="45">
        <f>IFERROR(__xludf.DUMMYFUNCTION("""COMPUTED_VALUE"""),44886.0)</f>
        <v>44886</v>
      </c>
      <c r="O275" s="45">
        <f>IFERROR(__xludf.DUMMYFUNCTION("""COMPUTED_VALUE"""),45117.0)</f>
        <v>45117</v>
      </c>
      <c r="P275" s="45">
        <f>IFERROR(__xludf.DUMMYFUNCTION("""COMPUTED_VALUE"""),45159.0)</f>
        <v>45159</v>
      </c>
      <c r="Q275" s="45">
        <f>IFERROR(__xludf.DUMMYFUNCTION("""COMPUTED_VALUE"""),45118.0)</f>
        <v>45118</v>
      </c>
      <c r="R275" s="45">
        <f>IFERROR(__xludf.DUMMYFUNCTION("""COMPUTED_VALUE"""),45159.0)</f>
        <v>45159</v>
      </c>
      <c r="S275" s="43"/>
      <c r="T275" s="43"/>
      <c r="U275" s="43" t="str">
        <f>IFERROR(__xludf.DUMMYFUNCTION("""COMPUTED_VALUE"""),"Youth 4 Impact")</f>
        <v>Youth 4 Impact</v>
      </c>
      <c r="V275" s="43" t="str">
        <f>IFERROR(__xludf.DUMMYFUNCTION("""COMPUTED_VALUE"""),"Kyiv")</f>
        <v>Kyiv</v>
      </c>
      <c r="W275" s="43" t="str">
        <f>IFERROR(__xludf.DUMMYFUNCTION("""COMPUTED_VALUE"""),"2022-11-13T15:50:51Z")</f>
        <v>2022-11-13T15:50:51Z</v>
      </c>
      <c r="X275" s="43"/>
      <c r="Y275" s="43"/>
      <c r="Z275" s="43"/>
    </row>
    <row r="276" hidden="1">
      <c r="A276" s="43" t="str">
        <f>IFERROR(__xludf.DUMMYFUNCTION("""COMPUTED_VALUE"""),"5157325_1284831")</f>
        <v>5157325_1284831</v>
      </c>
      <c r="B276" s="43" t="str">
        <f>IFERROR(__xludf.DUMMYFUNCTION("""COMPUTED_VALUE"""),"Arij Rzeigui")</f>
        <v>Arij Rzeigui</v>
      </c>
      <c r="C276" s="43" t="str">
        <f>IFERROR(__xludf.DUMMYFUNCTION("""COMPUTED_VALUE"""),"completed")</f>
        <v>completed</v>
      </c>
      <c r="D276" s="43" t="str">
        <f>IFERROR(__xludf.DUMMYFUNCTION("""COMPUTED_VALUE"""),"No")</f>
        <v>No</v>
      </c>
      <c r="E276" s="43" t="str">
        <f>IFERROR(__xludf.DUMMYFUNCTION("""COMPUTED_VALUE"""),"p_03d9865469aad7c6f14d65e479ac74c9672db287@inbound.aiesec.org")</f>
        <v>p_03d9865469aad7c6f14d65e479ac74c9672db287@inbound.aiesec.org</v>
      </c>
      <c r="F276" s="43">
        <f>IFERROR(__xludf.DUMMYFUNCTION("""COMPUTED_VALUE"""),5.0777121E7)</f>
        <v>50777121</v>
      </c>
      <c r="G276" s="43" t="str">
        <f>IFERROR(__xludf.DUMMYFUNCTION("""COMPUTED_VALUE"""),"Tunisia")</f>
        <v>Tunisia</v>
      </c>
      <c r="H276" s="43" t="str">
        <f>IFERROR(__xludf.DUMMYFUNCTION("""COMPUTED_VALUE"""),"HADRUMET")</f>
        <v>HADRUMET</v>
      </c>
      <c r="I276" s="43" t="str">
        <f>IFERROR(__xludf.DUMMYFUNCTION("""COMPUTED_VALUE"""),"Turkey")</f>
        <v>Turkey</v>
      </c>
      <c r="J276" s="43" t="str">
        <f>IFERROR(__xludf.DUMMYFUNCTION("""COMPUTED_VALUE"""),"TRABZON")</f>
        <v>TRABZON</v>
      </c>
      <c r="K276" s="44" t="str">
        <f>IFERROR(__xludf.DUMMYFUNCTION("""COMPUTED_VALUE"""),"https://expa.aiesec.org/opportunities/1284831")</f>
        <v>https://expa.aiesec.org/opportunities/1284831</v>
      </c>
      <c r="L276" s="43" t="str">
        <f>IFERROR(__xludf.DUMMYFUNCTION("""COMPUTED_VALUE"""),"GV")</f>
        <v>GV</v>
      </c>
      <c r="M276" s="43" t="str">
        <f>IFERROR(__xludf.DUMMYFUNCTION("""COMPUTED_VALUE"""),"short")</f>
        <v>short</v>
      </c>
      <c r="N276" s="45">
        <f>IFERROR(__xludf.DUMMYFUNCTION("""COMPUTED_VALUE"""),44887.0)</f>
        <v>44887</v>
      </c>
      <c r="O276" s="45">
        <f>IFERROR(__xludf.DUMMYFUNCTION("""COMPUTED_VALUE"""),45117.0)</f>
        <v>45117</v>
      </c>
      <c r="P276" s="45">
        <f>IFERROR(__xludf.DUMMYFUNCTION("""COMPUTED_VALUE"""),45159.0)</f>
        <v>45159</v>
      </c>
      <c r="Q276" s="45">
        <f>IFERROR(__xludf.DUMMYFUNCTION("""COMPUTED_VALUE"""),45118.0)</f>
        <v>45118</v>
      </c>
      <c r="R276" s="45">
        <f>IFERROR(__xludf.DUMMYFUNCTION("""COMPUTED_VALUE"""),45159.0)</f>
        <v>45159</v>
      </c>
      <c r="S276" s="43"/>
      <c r="T276" s="43"/>
      <c r="U276" s="43" t="str">
        <f>IFERROR(__xludf.DUMMYFUNCTION("""COMPUTED_VALUE"""),"Global Classroom")</f>
        <v>Global Classroom</v>
      </c>
      <c r="V276" s="43" t="str">
        <f>IFERROR(__xludf.DUMMYFUNCTION("""COMPUTED_VALUE"""),"FMS (Faculté de Médecine de Sousse)")</f>
        <v>FMS (Faculté de Médecine de Sousse)</v>
      </c>
      <c r="W276" s="43" t="str">
        <f>IFERROR(__xludf.DUMMYFUNCTION("""COMPUTED_VALUE"""),"2022-11-22T16:23:28Z")</f>
        <v>2022-11-22T16:23:28Z</v>
      </c>
      <c r="X276" s="43"/>
      <c r="Y276" s="43"/>
      <c r="Z276" s="43"/>
    </row>
    <row r="277" hidden="1">
      <c r="A277" s="43" t="str">
        <f>IFERROR(__xludf.DUMMYFUNCTION("""COMPUTED_VALUE"""),"4749683_1289505")</f>
        <v>4749683_1289505</v>
      </c>
      <c r="B277" s="43" t="str">
        <f>IFERROR(__xludf.DUMMYFUNCTION("""COMPUTED_VALUE"""),"Nawres Arfaoui")</f>
        <v>Nawres Arfaoui</v>
      </c>
      <c r="C277" s="43" t="str">
        <f>IFERROR(__xludf.DUMMYFUNCTION("""COMPUTED_VALUE"""),"completed")</f>
        <v>completed</v>
      </c>
      <c r="D277" s="43" t="str">
        <f>IFERROR(__xludf.DUMMYFUNCTION("""COMPUTED_VALUE"""),"No")</f>
        <v>No</v>
      </c>
      <c r="E277" s="43" t="str">
        <f>IFERROR(__xludf.DUMMYFUNCTION("""COMPUTED_VALUE"""),"p_90f48e285040bdc77e111b2f63677af3dc5003ed@inbound.aiesec.org")</f>
        <v>p_90f48e285040bdc77e111b2f63677af3dc5003ed@inbound.aiesec.org</v>
      </c>
      <c r="F277" s="43">
        <f>IFERROR(__xludf.DUMMYFUNCTION("""COMPUTED_VALUE"""),5.8612138E7)</f>
        <v>58612138</v>
      </c>
      <c r="G277" s="43" t="str">
        <f>IFERROR(__xludf.DUMMYFUNCTION("""COMPUTED_VALUE"""),"Tunisia")</f>
        <v>Tunisia</v>
      </c>
      <c r="H277" s="43" t="str">
        <f>IFERROR(__xludf.DUMMYFUNCTION("""COMPUTED_VALUE"""),"NABEL")</f>
        <v>NABEL</v>
      </c>
      <c r="I277" s="43" t="str">
        <f>IFERROR(__xludf.DUMMYFUNCTION("""COMPUTED_VALUE"""),"Turkey")</f>
        <v>Turkey</v>
      </c>
      <c r="J277" s="43" t="str">
        <f>IFERROR(__xludf.DUMMYFUNCTION("""COMPUTED_VALUE"""),"KOCAELI")</f>
        <v>KOCAELI</v>
      </c>
      <c r="K277" s="44" t="str">
        <f>IFERROR(__xludf.DUMMYFUNCTION("""COMPUTED_VALUE"""),"https://expa.aiesec.org/opportunities/1289505")</f>
        <v>https://expa.aiesec.org/opportunities/1289505</v>
      </c>
      <c r="L277" s="43" t="str">
        <f>IFERROR(__xludf.DUMMYFUNCTION("""COMPUTED_VALUE"""),"GV")</f>
        <v>GV</v>
      </c>
      <c r="M277" s="43" t="str">
        <f>IFERROR(__xludf.DUMMYFUNCTION("""COMPUTED_VALUE"""),"short")</f>
        <v>short</v>
      </c>
      <c r="N277" s="45">
        <f>IFERROR(__xludf.DUMMYFUNCTION("""COMPUTED_VALUE"""),44887.0)</f>
        <v>44887</v>
      </c>
      <c r="O277" s="45">
        <f>IFERROR(__xludf.DUMMYFUNCTION("""COMPUTED_VALUE"""),44907.0)</f>
        <v>44907</v>
      </c>
      <c r="P277" s="45">
        <f>IFERROR(__xludf.DUMMYFUNCTION("""COMPUTED_VALUE"""),44949.0)</f>
        <v>44949</v>
      </c>
      <c r="Q277" s="45">
        <f>IFERROR(__xludf.DUMMYFUNCTION("""COMPUTED_VALUE"""),44907.0)</f>
        <v>44907</v>
      </c>
      <c r="R277" s="45">
        <f>IFERROR(__xludf.DUMMYFUNCTION("""COMPUTED_VALUE"""),44949.0)</f>
        <v>44949</v>
      </c>
      <c r="S277" s="43"/>
      <c r="T277" s="43"/>
      <c r="U277" s="43" t="str">
        <f>IFERROR(__xludf.DUMMYFUNCTION("""COMPUTED_VALUE"""),"Youth 4 Impact")</f>
        <v>Youth 4 Impact</v>
      </c>
      <c r="V277" s="43" t="str">
        <f>IFERROR(__xludf.DUMMYFUNCTION("""COMPUTED_VALUE"""),"Ecole Nationale des Sciences et Technologies Avancées de BorjCédria")</f>
        <v>Ecole Nationale des Sciences et Technologies Avancées de BorjCédria</v>
      </c>
      <c r="W277" s="43" t="str">
        <f>IFERROR(__xludf.DUMMYFUNCTION("""COMPUTED_VALUE"""),"2021-09-26T21:37:03Z")</f>
        <v>2021-09-26T21:37:03Z</v>
      </c>
      <c r="X277" s="43"/>
      <c r="Y277" s="43"/>
      <c r="Z277" s="43"/>
    </row>
    <row r="278" hidden="1">
      <c r="A278" s="43" t="str">
        <f>IFERROR(__xludf.DUMMYFUNCTION("""COMPUTED_VALUE"""),"5157162_1286312")</f>
        <v>5157162_1286312</v>
      </c>
      <c r="B278" s="43" t="str">
        <f>IFERROR(__xludf.DUMMYFUNCTION("""COMPUTED_VALUE"""),"Elaa Sahli")</f>
        <v>Elaa Sahli</v>
      </c>
      <c r="C278" s="43" t="str">
        <f>IFERROR(__xludf.DUMMYFUNCTION("""COMPUTED_VALUE"""),"completed")</f>
        <v>completed</v>
      </c>
      <c r="D278" s="43" t="str">
        <f>IFERROR(__xludf.DUMMYFUNCTION("""COMPUTED_VALUE"""),"No")</f>
        <v>No</v>
      </c>
      <c r="E278" s="43" t="str">
        <f>IFERROR(__xludf.DUMMYFUNCTION("""COMPUTED_VALUE"""),"p_5b9fc480596b33d9622d4de2d4d4b55d9b2eedf6@inbound.aiesec.org")</f>
        <v>p_5b9fc480596b33d9622d4de2d4d4b55d9b2eedf6@inbound.aiesec.org</v>
      </c>
      <c r="F278" s="43">
        <f>IFERROR(__xludf.DUMMYFUNCTION("""COMPUTED_VALUE"""),5.6143891E7)</f>
        <v>56143891</v>
      </c>
      <c r="G278" s="43" t="str">
        <f>IFERROR(__xludf.DUMMYFUNCTION("""COMPUTED_VALUE"""),"Tunisia")</f>
        <v>Tunisia</v>
      </c>
      <c r="H278" s="43" t="str">
        <f>IFERROR(__xludf.DUMMYFUNCTION("""COMPUTED_VALUE"""),"HADRUMET")</f>
        <v>HADRUMET</v>
      </c>
      <c r="I278" s="43" t="str">
        <f>IFERROR(__xludf.DUMMYFUNCTION("""COMPUTED_VALUE"""),"Turkey")</f>
        <v>Turkey</v>
      </c>
      <c r="J278" s="43" t="str">
        <f>IFERROR(__xludf.DUMMYFUNCTION("""COMPUTED_VALUE"""),"KONYA")</f>
        <v>KONYA</v>
      </c>
      <c r="K278" s="44" t="str">
        <f>IFERROR(__xludf.DUMMYFUNCTION("""COMPUTED_VALUE"""),"https://expa.aiesec.org/opportunities/1286312")</f>
        <v>https://expa.aiesec.org/opportunities/1286312</v>
      </c>
      <c r="L278" s="43" t="str">
        <f>IFERROR(__xludf.DUMMYFUNCTION("""COMPUTED_VALUE"""),"GV")</f>
        <v>GV</v>
      </c>
      <c r="M278" s="43" t="str">
        <f>IFERROR(__xludf.DUMMYFUNCTION("""COMPUTED_VALUE"""),"short")</f>
        <v>short</v>
      </c>
      <c r="N278" s="45">
        <f>IFERROR(__xludf.DUMMYFUNCTION("""COMPUTED_VALUE"""),44887.0)</f>
        <v>44887</v>
      </c>
      <c r="O278" s="45">
        <f>IFERROR(__xludf.DUMMYFUNCTION("""COMPUTED_VALUE"""),45117.0)</f>
        <v>45117</v>
      </c>
      <c r="P278" s="45">
        <f>IFERROR(__xludf.DUMMYFUNCTION("""COMPUTED_VALUE"""),45159.0)</f>
        <v>45159</v>
      </c>
      <c r="Q278" s="45">
        <f>IFERROR(__xludf.DUMMYFUNCTION("""COMPUTED_VALUE"""),45119.0)</f>
        <v>45119</v>
      </c>
      <c r="R278" s="45">
        <f>IFERROR(__xludf.DUMMYFUNCTION("""COMPUTED_VALUE"""),45159.0)</f>
        <v>45159</v>
      </c>
      <c r="S278" s="43"/>
      <c r="T278" s="43"/>
      <c r="U278" s="43" t="str">
        <f>IFERROR(__xludf.DUMMYFUNCTION("""COMPUTED_VALUE"""),"Global Classroom")</f>
        <v>Global Classroom</v>
      </c>
      <c r="V278" s="43" t="str">
        <f>IFERROR(__xludf.DUMMYFUNCTION("""COMPUTED_VALUE"""),"ISIT COM Sousse")</f>
        <v>ISIT COM Sousse</v>
      </c>
      <c r="W278" s="43" t="str">
        <f>IFERROR(__xludf.DUMMYFUNCTION("""COMPUTED_VALUE"""),"2022-11-22T12:27:56Z")</f>
        <v>2022-11-22T12:27:56Z</v>
      </c>
      <c r="X278" s="43"/>
      <c r="Y278" s="43"/>
      <c r="Z278" s="43"/>
    </row>
    <row r="279" hidden="1">
      <c r="A279" s="43" t="str">
        <f>IFERROR(__xludf.DUMMYFUNCTION("""COMPUTED_VALUE"""),"5157032_1284670")</f>
        <v>5157032_1284670</v>
      </c>
      <c r="B279" s="43" t="str">
        <f>IFERROR(__xludf.DUMMYFUNCTION("""COMPUTED_VALUE"""),"Kshitij Negi")</f>
        <v>Kshitij Negi</v>
      </c>
      <c r="C279" s="43" t="str">
        <f>IFERROR(__xludf.DUMMYFUNCTION("""COMPUTED_VALUE"""),"finished")</f>
        <v>finished</v>
      </c>
      <c r="D279" s="43" t="str">
        <f>IFERROR(__xludf.DUMMYFUNCTION("""COMPUTED_VALUE"""),"No")</f>
        <v>No</v>
      </c>
      <c r="E279" s="43" t="str">
        <f>IFERROR(__xludf.DUMMYFUNCTION("""COMPUTED_VALUE"""),"p_328acd7a3c1e9e8cb591f76c34e7128a4c615b16@inbound.aiesec.org")</f>
        <v>p_328acd7a3c1e9e8cb591f76c34e7128a4c615b16@inbound.aiesec.org</v>
      </c>
      <c r="F279" s="43">
        <f>IFERROR(__xludf.DUMMYFUNCTION("""COMPUTED_VALUE"""),8.219670398E9)</f>
        <v>8219670398</v>
      </c>
      <c r="G279" s="43" t="str">
        <f>IFERROR(__xludf.DUMMYFUNCTION("""COMPUTED_VALUE"""),"India")</f>
        <v>India</v>
      </c>
      <c r="H279" s="43" t="str">
        <f>IFERROR(__xludf.DUMMYFUNCTION("""COMPUTED_VALUE"""),"Noida")</f>
        <v>Noida</v>
      </c>
      <c r="I279" s="43" t="str">
        <f>IFERROR(__xludf.DUMMYFUNCTION("""COMPUTED_VALUE"""),"Turkey")</f>
        <v>Turkey</v>
      </c>
      <c r="J279" s="43" t="str">
        <f>IFERROR(__xludf.DUMMYFUNCTION("""COMPUTED_VALUE"""),"ISTANBUL")</f>
        <v>ISTANBUL</v>
      </c>
      <c r="K279" s="44" t="str">
        <f>IFERROR(__xludf.DUMMYFUNCTION("""COMPUTED_VALUE"""),"https://expa.aiesec.org/opportunities/1284670")</f>
        <v>https://expa.aiesec.org/opportunities/1284670</v>
      </c>
      <c r="L279" s="43" t="str">
        <f>IFERROR(__xludf.DUMMYFUNCTION("""COMPUTED_VALUE"""),"GV")</f>
        <v>GV</v>
      </c>
      <c r="M279" s="43" t="str">
        <f>IFERROR(__xludf.DUMMYFUNCTION("""COMPUTED_VALUE"""),"short")</f>
        <v>short</v>
      </c>
      <c r="N279" s="45">
        <f>IFERROR(__xludf.DUMMYFUNCTION("""COMPUTED_VALUE"""),44887.0)</f>
        <v>44887</v>
      </c>
      <c r="O279" s="45">
        <f>IFERROR(__xludf.DUMMYFUNCTION("""COMPUTED_VALUE"""),45111.0)</f>
        <v>45111</v>
      </c>
      <c r="P279" s="45">
        <f>IFERROR(__xludf.DUMMYFUNCTION("""COMPUTED_VALUE"""),45153.0)</f>
        <v>45153</v>
      </c>
      <c r="Q279" s="45">
        <f>IFERROR(__xludf.DUMMYFUNCTION("""COMPUTED_VALUE"""),45110.0)</f>
        <v>45110</v>
      </c>
      <c r="R279" s="45">
        <f>IFERROR(__xludf.DUMMYFUNCTION("""COMPUTED_VALUE"""),45153.0)</f>
        <v>45153</v>
      </c>
      <c r="S279" s="43"/>
      <c r="T279" s="43"/>
      <c r="U279" s="43" t="str">
        <f>IFERROR(__xludf.DUMMYFUNCTION("""COMPUTED_VALUE"""),"Heartbeat")</f>
        <v>Heartbeat</v>
      </c>
      <c r="V279" s="43" t="str">
        <f>IFERROR(__xludf.DUMMYFUNCTION("""COMPUTED_VALUE"""),"Amity University, Noida")</f>
        <v>Amity University, Noida</v>
      </c>
      <c r="W279" s="43" t="str">
        <f>IFERROR(__xludf.DUMMYFUNCTION("""COMPUTED_VALUE"""),"2022-11-22T10:08:20Z")</f>
        <v>2022-11-22T10:08:20Z</v>
      </c>
      <c r="X279" s="43"/>
      <c r="Y279" s="43"/>
      <c r="Z279" s="43"/>
    </row>
    <row r="280" hidden="1">
      <c r="A280" s="43" t="str">
        <f>IFERROR(__xludf.DUMMYFUNCTION("""COMPUTED_VALUE"""),"5143068_1287966")</f>
        <v>5143068_1287966</v>
      </c>
      <c r="B280" s="43" t="str">
        <f>IFERROR(__xludf.DUMMYFUNCTION("""COMPUTED_VALUE"""),"Željana Đokić")</f>
        <v>Željana Đokić</v>
      </c>
      <c r="C280" s="43" t="str">
        <f>IFERROR(__xludf.DUMMYFUNCTION("""COMPUTED_VALUE"""),"completed")</f>
        <v>completed</v>
      </c>
      <c r="D280" s="43" t="str">
        <f>IFERROR(__xludf.DUMMYFUNCTION("""COMPUTED_VALUE"""),"No")</f>
        <v>No</v>
      </c>
      <c r="E280" s="43" t="str">
        <f>IFERROR(__xludf.DUMMYFUNCTION("""COMPUTED_VALUE"""),"p_a280f27cfe35c506d35d6e2a23ee4fa9b4921f72@inbound.aiesec.org")</f>
        <v>p_a280f27cfe35c506d35d6e2a23ee4fa9b4921f72@inbound.aiesec.org</v>
      </c>
      <c r="F280" s="43">
        <f>IFERROR(__xludf.DUMMYFUNCTION("""COMPUTED_VALUE"""),6.12033791E8)</f>
        <v>612033791</v>
      </c>
      <c r="G280" s="43" t="str">
        <f>IFERROR(__xludf.DUMMYFUNCTION("""COMPUTED_VALUE"""),"Serbia")</f>
        <v>Serbia</v>
      </c>
      <c r="H280" s="43" t="str">
        <f>IFERROR(__xludf.DUMMYFUNCTION("""COMPUTED_VALUE"""),"NOVI SAD")</f>
        <v>NOVI SAD</v>
      </c>
      <c r="I280" s="43" t="str">
        <f>IFERROR(__xludf.DUMMYFUNCTION("""COMPUTED_VALUE"""),"Turkey")</f>
        <v>Turkey</v>
      </c>
      <c r="J280" s="43" t="str">
        <f>IFERROR(__xludf.DUMMYFUNCTION("""COMPUTED_VALUE"""),"ISTANBUL")</f>
        <v>ISTANBUL</v>
      </c>
      <c r="K280" s="44" t="str">
        <f>IFERROR(__xludf.DUMMYFUNCTION("""COMPUTED_VALUE"""),"https://expa.aiesec.org/opportunities/1287966")</f>
        <v>https://expa.aiesec.org/opportunities/1287966</v>
      </c>
      <c r="L280" s="43" t="str">
        <f>IFERROR(__xludf.DUMMYFUNCTION("""COMPUTED_VALUE"""),"GV")</f>
        <v>GV</v>
      </c>
      <c r="M280" s="43" t="str">
        <f>IFERROR(__xludf.DUMMYFUNCTION("""COMPUTED_VALUE"""),"short")</f>
        <v>short</v>
      </c>
      <c r="N280" s="45">
        <f>IFERROR(__xludf.DUMMYFUNCTION("""COMPUTED_VALUE"""),44887.0)</f>
        <v>44887</v>
      </c>
      <c r="O280" s="45">
        <f>IFERROR(__xludf.DUMMYFUNCTION("""COMPUTED_VALUE"""),44928.0)</f>
        <v>44928</v>
      </c>
      <c r="P280" s="45">
        <f>IFERROR(__xludf.DUMMYFUNCTION("""COMPUTED_VALUE"""),44970.0)</f>
        <v>44970</v>
      </c>
      <c r="Q280" s="45">
        <f>IFERROR(__xludf.DUMMYFUNCTION("""COMPUTED_VALUE"""),44929.0)</f>
        <v>44929</v>
      </c>
      <c r="R280" s="45">
        <f>IFERROR(__xludf.DUMMYFUNCTION("""COMPUTED_VALUE"""),44970.0)</f>
        <v>44970</v>
      </c>
      <c r="S280" s="43"/>
      <c r="T280" s="43"/>
      <c r="U280" s="43" t="str">
        <f>IFERROR(__xludf.DUMMYFUNCTION("""COMPUTED_VALUE"""),"Heartbeat")</f>
        <v>Heartbeat</v>
      </c>
      <c r="V280" s="43" t="str">
        <f>IFERROR(__xludf.DUMMYFUNCTION("""COMPUTED_VALUE"""),"Novi Sad")</f>
        <v>Novi Sad</v>
      </c>
      <c r="W280" s="43" t="str">
        <f>IFERROR(__xludf.DUMMYFUNCTION("""COMPUTED_VALUE"""),"2022-10-30T08:33:52Z")</f>
        <v>2022-10-30T08:33:52Z</v>
      </c>
      <c r="X280" s="43"/>
      <c r="Y280" s="43"/>
      <c r="Z280" s="43"/>
    </row>
    <row r="281" hidden="1">
      <c r="A281" s="43" t="str">
        <f>IFERROR(__xludf.DUMMYFUNCTION("""COMPUTED_VALUE"""),"5149894_1290156")</f>
        <v>5149894_1290156</v>
      </c>
      <c r="B281" s="43" t="str">
        <f>IFERROR(__xludf.DUMMYFUNCTION("""COMPUTED_VALUE"""),"Mariam Mohamed")</f>
        <v>Mariam Mohamed</v>
      </c>
      <c r="C281" s="43" t="str">
        <f>IFERROR(__xludf.DUMMYFUNCTION("""COMPUTED_VALUE"""),"finished")</f>
        <v>finished</v>
      </c>
      <c r="D281" s="43" t="str">
        <f>IFERROR(__xludf.DUMMYFUNCTION("""COMPUTED_VALUE"""),"No")</f>
        <v>No</v>
      </c>
      <c r="E281" s="43" t="str">
        <f>IFERROR(__xludf.DUMMYFUNCTION("""COMPUTED_VALUE"""),"p_45c96a1053cb72a96554e7af4a6628a299e0aaa5@inbound.aiesec.org")</f>
        <v>p_45c96a1053cb72a96554e7af4a6628a299e0aaa5@inbound.aiesec.org</v>
      </c>
      <c r="F281" s="43">
        <f>IFERROR(__xludf.DUMMYFUNCTION("""COMPUTED_VALUE"""),1.063998971E9)</f>
        <v>1063998971</v>
      </c>
      <c r="G281" s="43" t="str">
        <f>IFERROR(__xludf.DUMMYFUNCTION("""COMPUTED_VALUE"""),"Egypt")</f>
        <v>Egypt</v>
      </c>
      <c r="H281" s="43" t="str">
        <f>IFERROR(__xludf.DUMMYFUNCTION("""COMPUTED_VALUE"""),"Cairo University")</f>
        <v>Cairo University</v>
      </c>
      <c r="I281" s="43" t="str">
        <f>IFERROR(__xludf.DUMMYFUNCTION("""COMPUTED_VALUE"""),"Turkey")</f>
        <v>Turkey</v>
      </c>
      <c r="J281" s="43" t="str">
        <f>IFERROR(__xludf.DUMMYFUNCTION("""COMPUTED_VALUE"""),"KOCAELI")</f>
        <v>KOCAELI</v>
      </c>
      <c r="K281" s="44" t="str">
        <f>IFERROR(__xludf.DUMMYFUNCTION("""COMPUTED_VALUE"""),"https://expa.aiesec.org/opportunities/1290156")</f>
        <v>https://expa.aiesec.org/opportunities/1290156</v>
      </c>
      <c r="L281" s="43" t="str">
        <f>IFERROR(__xludf.DUMMYFUNCTION("""COMPUTED_VALUE"""),"GV")</f>
        <v>GV</v>
      </c>
      <c r="M281" s="43" t="str">
        <f>IFERROR(__xludf.DUMMYFUNCTION("""COMPUTED_VALUE"""),"short")</f>
        <v>short</v>
      </c>
      <c r="N281" s="45">
        <f>IFERROR(__xludf.DUMMYFUNCTION("""COMPUTED_VALUE"""),44887.0)</f>
        <v>44887</v>
      </c>
      <c r="O281" s="45">
        <f>IFERROR(__xludf.DUMMYFUNCTION("""COMPUTED_VALUE"""),44907.0)</f>
        <v>44907</v>
      </c>
      <c r="P281" s="45">
        <f>IFERROR(__xludf.DUMMYFUNCTION("""COMPUTED_VALUE"""),44949.0)</f>
        <v>44949</v>
      </c>
      <c r="Q281" s="45">
        <f>IFERROR(__xludf.DUMMYFUNCTION("""COMPUTED_VALUE"""),44909.0)</f>
        <v>44909</v>
      </c>
      <c r="R281" s="45">
        <f>IFERROR(__xludf.DUMMYFUNCTION("""COMPUTED_VALUE"""),44949.0)</f>
        <v>44949</v>
      </c>
      <c r="S281" s="43"/>
      <c r="T281" s="43"/>
      <c r="U281" s="43" t="str">
        <f>IFERROR(__xludf.DUMMYFUNCTION("""COMPUTED_VALUE"""),"Global Classroom")</f>
        <v>Global Classroom</v>
      </c>
      <c r="V281" s="43" t="str">
        <f>IFERROR(__xludf.DUMMYFUNCTION("""COMPUTED_VALUE"""),"Cairo Univeristy")</f>
        <v>Cairo Univeristy</v>
      </c>
      <c r="W281" s="43" t="str">
        <f>IFERROR(__xludf.DUMMYFUNCTION("""COMPUTED_VALUE"""),"2022-11-09T01:48:27Z")</f>
        <v>2022-11-09T01:48:27Z</v>
      </c>
      <c r="X281" s="43"/>
      <c r="Y281" s="43"/>
      <c r="Z281" s="43"/>
    </row>
    <row r="282" hidden="1">
      <c r="A282" s="43" t="str">
        <f>IFERROR(__xludf.DUMMYFUNCTION("""COMPUTED_VALUE"""),"5154643_1288663")</f>
        <v>5154643_1288663</v>
      </c>
      <c r="B282" s="43" t="str">
        <f>IFERROR(__xludf.DUMMYFUNCTION("""COMPUTED_VALUE"""),"Ibrahim Sherif Ibrahim Mahmoud Gabr")</f>
        <v>Ibrahim Sherif Ibrahim Mahmoud Gabr</v>
      </c>
      <c r="C282" s="43" t="str">
        <f>IFERROR(__xludf.DUMMYFUNCTION("""COMPUTED_VALUE"""),"finished")</f>
        <v>finished</v>
      </c>
      <c r="D282" s="43" t="str">
        <f>IFERROR(__xludf.DUMMYFUNCTION("""COMPUTED_VALUE"""),"No")</f>
        <v>No</v>
      </c>
      <c r="E282" s="43" t="str">
        <f>IFERROR(__xludf.DUMMYFUNCTION("""COMPUTED_VALUE"""),"p_d25da261eb2467ffb917c2a469db6a73656bf5cc@inbound.aiesec.org")</f>
        <v>p_d25da261eb2467ffb917c2a469db6a73656bf5cc@inbound.aiesec.org</v>
      </c>
      <c r="F282" s="43"/>
      <c r="G282" s="43" t="str">
        <f>IFERROR(__xludf.DUMMYFUNCTION("""COMPUTED_VALUE"""),"Egypt")</f>
        <v>Egypt</v>
      </c>
      <c r="H282" s="43" t="str">
        <f>IFERROR(__xludf.DUMMYFUNCTION("""COMPUTED_VALUE"""),"MSA")</f>
        <v>MSA</v>
      </c>
      <c r="I282" s="43" t="str">
        <f>IFERROR(__xludf.DUMMYFUNCTION("""COMPUTED_VALUE"""),"Turkey")</f>
        <v>Turkey</v>
      </c>
      <c r="J282" s="43" t="str">
        <f>IFERROR(__xludf.DUMMYFUNCTION("""COMPUTED_VALUE"""),"İZMİR")</f>
        <v>İZMİR</v>
      </c>
      <c r="K282" s="44" t="str">
        <f>IFERROR(__xludf.DUMMYFUNCTION("""COMPUTED_VALUE"""),"https://expa.aiesec.org/opportunities/1288663")</f>
        <v>https://expa.aiesec.org/opportunities/1288663</v>
      </c>
      <c r="L282" s="43" t="str">
        <f>IFERROR(__xludf.DUMMYFUNCTION("""COMPUTED_VALUE"""),"GV")</f>
        <v>GV</v>
      </c>
      <c r="M282" s="43" t="str">
        <f>IFERROR(__xludf.DUMMYFUNCTION("""COMPUTED_VALUE"""),"short")</f>
        <v>short</v>
      </c>
      <c r="N282" s="45">
        <f>IFERROR(__xludf.DUMMYFUNCTION("""COMPUTED_VALUE"""),44887.0)</f>
        <v>44887</v>
      </c>
      <c r="O282" s="45">
        <f>IFERROR(__xludf.DUMMYFUNCTION("""COMPUTED_VALUE"""),44983.0)</f>
        <v>44983</v>
      </c>
      <c r="P282" s="45">
        <f>IFERROR(__xludf.DUMMYFUNCTION("""COMPUTED_VALUE"""),45025.0)</f>
        <v>45025</v>
      </c>
      <c r="Q282" s="45">
        <f>IFERROR(__xludf.DUMMYFUNCTION("""COMPUTED_VALUE"""),44985.0)</f>
        <v>44985</v>
      </c>
      <c r="R282" s="45">
        <f>IFERROR(__xludf.DUMMYFUNCTION("""COMPUTED_VALUE"""),45027.0)</f>
        <v>45027</v>
      </c>
      <c r="S282" s="43"/>
      <c r="T282" s="43"/>
      <c r="U282" s="43" t="str">
        <f>IFERROR(__xludf.DUMMYFUNCTION("""COMPUTED_VALUE"""),"Global Classroom")</f>
        <v>Global Classroom</v>
      </c>
      <c r="V282" s="43" t="str">
        <f>IFERROR(__xludf.DUMMYFUNCTION("""COMPUTED_VALUE"""),"-")</f>
        <v>-</v>
      </c>
      <c r="W282" s="43" t="str">
        <f>IFERROR(__xludf.DUMMYFUNCTION("""COMPUTED_VALUE"""),"2022-11-17T11:31:54Z")</f>
        <v>2022-11-17T11:31:54Z</v>
      </c>
      <c r="X282" s="43"/>
      <c r="Y282" s="43"/>
      <c r="Z282" s="43"/>
    </row>
    <row r="283" hidden="1">
      <c r="A283" s="43" t="str">
        <f>IFERROR(__xludf.DUMMYFUNCTION("""COMPUTED_VALUE"""),"5157813_1279516")</f>
        <v>5157813_1279516</v>
      </c>
      <c r="B283" s="43" t="str">
        <f>IFERROR(__xludf.DUMMYFUNCTION("""COMPUTED_VALUE"""),"alan Kortright")</f>
        <v>alan Kortright</v>
      </c>
      <c r="C283" s="43" t="str">
        <f>IFERROR(__xludf.DUMMYFUNCTION("""COMPUTED_VALUE"""),"completed")</f>
        <v>completed</v>
      </c>
      <c r="D283" s="43" t="str">
        <f>IFERROR(__xludf.DUMMYFUNCTION("""COMPUTED_VALUE"""),"No")</f>
        <v>No</v>
      </c>
      <c r="E283" s="43" t="str">
        <f>IFERROR(__xludf.DUMMYFUNCTION("""COMPUTED_VALUE"""),"p_1eddeffdc02cc615e72c8608d4eadb3fd1bc7016@inbound.aiesec.org")</f>
        <v>p_1eddeffdc02cc615e72c8608d4eadb3fd1bc7016@inbound.aiesec.org</v>
      </c>
      <c r="F283" s="43">
        <f>IFERROR(__xludf.DUMMYFUNCTION("""COMPUTED_VALUE"""),6.563161335E9)</f>
        <v>6563161335</v>
      </c>
      <c r="G283" s="43" t="str">
        <f>IFERROR(__xludf.DUMMYFUNCTION("""COMPUTED_VALUE"""),"Mexico")</f>
        <v>Mexico</v>
      </c>
      <c r="H283" s="43" t="str">
        <f>IFERROR(__xludf.DUMMYFUNCTION("""COMPUTED_VALUE"""),"Ciudad Juárez")</f>
        <v>Ciudad Juárez</v>
      </c>
      <c r="I283" s="43" t="str">
        <f>IFERROR(__xludf.DUMMYFUNCTION("""COMPUTED_VALUE"""),"Turkey")</f>
        <v>Turkey</v>
      </c>
      <c r="J283" s="43" t="str">
        <f>IFERROR(__xludf.DUMMYFUNCTION("""COMPUTED_VALUE"""),"KOCAELI")</f>
        <v>KOCAELI</v>
      </c>
      <c r="K283" s="44" t="str">
        <f>IFERROR(__xludf.DUMMYFUNCTION("""COMPUTED_VALUE"""),"https://expa.aiesec.org/opportunities/1279516")</f>
        <v>https://expa.aiesec.org/opportunities/1279516</v>
      </c>
      <c r="L283" s="43" t="str">
        <f>IFERROR(__xludf.DUMMYFUNCTION("""COMPUTED_VALUE"""),"GV")</f>
        <v>GV</v>
      </c>
      <c r="M283" s="43" t="str">
        <f>IFERROR(__xludf.DUMMYFUNCTION("""COMPUTED_VALUE"""),"short")</f>
        <v>short</v>
      </c>
      <c r="N283" s="45">
        <f>IFERROR(__xludf.DUMMYFUNCTION("""COMPUTED_VALUE"""),44888.0)</f>
        <v>44888</v>
      </c>
      <c r="O283" s="45">
        <f>IFERROR(__xludf.DUMMYFUNCTION("""COMPUTED_VALUE"""),44907.0)</f>
        <v>44907</v>
      </c>
      <c r="P283" s="45">
        <f>IFERROR(__xludf.DUMMYFUNCTION("""COMPUTED_VALUE"""),44949.0)</f>
        <v>44949</v>
      </c>
      <c r="Q283" s="45">
        <f>IFERROR(__xludf.DUMMYFUNCTION("""COMPUTED_VALUE"""),44909.0)</f>
        <v>44909</v>
      </c>
      <c r="R283" s="45">
        <f>IFERROR(__xludf.DUMMYFUNCTION("""COMPUTED_VALUE"""),44949.0)</f>
        <v>44949</v>
      </c>
      <c r="S283" s="43"/>
      <c r="T283" s="43"/>
      <c r="U283" s="43" t="str">
        <f>IFERROR(__xludf.DUMMYFUNCTION("""COMPUTED_VALUE"""),"Global Classroom")</f>
        <v>Global Classroom</v>
      </c>
      <c r="V283" s="43" t="str">
        <f>IFERROR(__xludf.DUMMYFUNCTION("""COMPUTED_VALUE"""),"Chihuahua - Instituto Tecnológico de Ciudad Juárez")</f>
        <v>Chihuahua - Instituto Tecnológico de Ciudad Juárez</v>
      </c>
      <c r="W283" s="43" t="str">
        <f>IFERROR(__xludf.DUMMYFUNCTION("""COMPUTED_VALUE"""),"2022-11-23T15:05:01Z")</f>
        <v>2022-11-23T15:05:01Z</v>
      </c>
      <c r="X283" s="43"/>
      <c r="Y283" s="43"/>
      <c r="Z283" s="43"/>
    </row>
    <row r="284">
      <c r="A284" s="43" t="str">
        <f>IFERROR(__xludf.DUMMYFUNCTION("""COMPUTED_VALUE"""),"2917848_1272564")</f>
        <v>2917848_1272564</v>
      </c>
      <c r="B284" s="43" t="str">
        <f>IFERROR(__xludf.DUMMYFUNCTION("""COMPUTED_VALUE"""),"Neirouz Rawene")</f>
        <v>Neirouz Rawene</v>
      </c>
      <c r="C284" s="43" t="str">
        <f>IFERROR(__xludf.DUMMYFUNCTION("""COMPUTED_VALUE"""),"approved")</f>
        <v>approved</v>
      </c>
      <c r="D284" s="43" t="str">
        <f>IFERROR(__xludf.DUMMYFUNCTION("""COMPUTED_VALUE"""),"No")</f>
        <v>No</v>
      </c>
      <c r="E284" s="43" t="str">
        <f>IFERROR(__xludf.DUMMYFUNCTION("""COMPUTED_VALUE"""),"p_915d3865048f914992d1e34014ff8f653d084e7b@inbound.aiesec.org")</f>
        <v>p_915d3865048f914992d1e34014ff8f653d084e7b@inbound.aiesec.org</v>
      </c>
      <c r="F284" s="43"/>
      <c r="G284" s="43" t="str">
        <f>IFERROR(__xludf.DUMMYFUNCTION("""COMPUTED_VALUE"""),"Tunisia")</f>
        <v>Tunisia</v>
      </c>
      <c r="H284" s="43" t="str">
        <f>IFERROR(__xludf.DUMMYFUNCTION("""COMPUTED_VALUE"""),"SFAX")</f>
        <v>SFAX</v>
      </c>
      <c r="I284" s="43" t="str">
        <f>IFERROR(__xludf.DUMMYFUNCTION("""COMPUTED_VALUE"""),"Turkey")</f>
        <v>Turkey</v>
      </c>
      <c r="J284" s="43" t="str">
        <f>IFERROR(__xludf.DUMMYFUNCTION("""COMPUTED_VALUE"""),"ISTANBUL")</f>
        <v>ISTANBUL</v>
      </c>
      <c r="K284" s="44" t="str">
        <f>IFERROR(__xludf.DUMMYFUNCTION("""COMPUTED_VALUE"""),"https://expa.aiesec.org/opportunities/1272564")</f>
        <v>https://expa.aiesec.org/opportunities/1272564</v>
      </c>
      <c r="L284" s="43" t="str">
        <f>IFERROR(__xludf.DUMMYFUNCTION("""COMPUTED_VALUE"""),"GV")</f>
        <v>GV</v>
      </c>
      <c r="M284" s="43" t="str">
        <f>IFERROR(__xludf.DUMMYFUNCTION("""COMPUTED_VALUE"""),"short")</f>
        <v>short</v>
      </c>
      <c r="N284" s="45">
        <f>IFERROR(__xludf.DUMMYFUNCTION("""COMPUTED_VALUE"""),44888.0)</f>
        <v>44888</v>
      </c>
      <c r="O284" s="45">
        <f>IFERROR(__xludf.DUMMYFUNCTION("""COMPUTED_VALUE"""),45082.0)</f>
        <v>45082</v>
      </c>
      <c r="P284" s="45">
        <f>IFERROR(__xludf.DUMMYFUNCTION("""COMPUTED_VALUE"""),45124.0)</f>
        <v>45124</v>
      </c>
      <c r="Q284" s="45"/>
      <c r="R284" s="45"/>
      <c r="S284" s="43"/>
      <c r="T284" s="43"/>
      <c r="U284" s="43" t="str">
        <f>IFERROR(__xludf.DUMMYFUNCTION("""COMPUTED_VALUE"""),"Global Classroom")</f>
        <v>Global Classroom</v>
      </c>
      <c r="V284" s="43" t="str">
        <f>IFERROR(__xludf.DUMMYFUNCTION("""COMPUTED_VALUE"""),"ENIS")</f>
        <v>ENIS</v>
      </c>
      <c r="W284" s="43" t="str">
        <f>IFERROR(__xludf.DUMMYFUNCTION("""COMPUTED_VALUE"""),"2018-12-03T18:15:40Z")</f>
        <v>2018-12-03T18:15:40Z</v>
      </c>
      <c r="X284" s="43"/>
      <c r="Y284" s="43"/>
      <c r="Z284" s="43"/>
    </row>
    <row r="285" hidden="1">
      <c r="A285" s="43" t="str">
        <f>IFERROR(__xludf.DUMMYFUNCTION("""COMPUTED_VALUE"""),"5157076_1284670")</f>
        <v>5157076_1284670</v>
      </c>
      <c r="B285" s="43" t="str">
        <f>IFERROR(__xludf.DUMMYFUNCTION("""COMPUTED_VALUE"""),"Lavanya gaur")</f>
        <v>Lavanya gaur</v>
      </c>
      <c r="C285" s="43" t="str">
        <f>IFERROR(__xludf.DUMMYFUNCTION("""COMPUTED_VALUE"""),"finished")</f>
        <v>finished</v>
      </c>
      <c r="D285" s="43" t="str">
        <f>IFERROR(__xludf.DUMMYFUNCTION("""COMPUTED_VALUE"""),"No")</f>
        <v>No</v>
      </c>
      <c r="E285" s="43" t="str">
        <f>IFERROR(__xludf.DUMMYFUNCTION("""COMPUTED_VALUE"""),"p_e00828cf6ec97cf15f0ec70e97aa682984c58d78@inbound.aiesec.org")</f>
        <v>p_e00828cf6ec97cf15f0ec70e97aa682984c58d78@inbound.aiesec.org</v>
      </c>
      <c r="F285" s="43">
        <f>IFERROR(__xludf.DUMMYFUNCTION("""COMPUTED_VALUE"""),9.999895287E9)</f>
        <v>9999895287</v>
      </c>
      <c r="G285" s="43" t="str">
        <f>IFERROR(__xludf.DUMMYFUNCTION("""COMPUTED_VALUE"""),"India")</f>
        <v>India</v>
      </c>
      <c r="H285" s="43" t="str">
        <f>IFERROR(__xludf.DUMMYFUNCTION("""COMPUTED_VALUE"""),"Noida")</f>
        <v>Noida</v>
      </c>
      <c r="I285" s="43" t="str">
        <f>IFERROR(__xludf.DUMMYFUNCTION("""COMPUTED_VALUE"""),"Turkey")</f>
        <v>Turkey</v>
      </c>
      <c r="J285" s="43" t="str">
        <f>IFERROR(__xludf.DUMMYFUNCTION("""COMPUTED_VALUE"""),"ISTANBUL")</f>
        <v>ISTANBUL</v>
      </c>
      <c r="K285" s="44" t="str">
        <f>IFERROR(__xludf.DUMMYFUNCTION("""COMPUTED_VALUE"""),"https://expa.aiesec.org/opportunities/1284670")</f>
        <v>https://expa.aiesec.org/opportunities/1284670</v>
      </c>
      <c r="L285" s="43" t="str">
        <f>IFERROR(__xludf.DUMMYFUNCTION("""COMPUTED_VALUE"""),"GV")</f>
        <v>GV</v>
      </c>
      <c r="M285" s="43" t="str">
        <f>IFERROR(__xludf.DUMMYFUNCTION("""COMPUTED_VALUE"""),"short")</f>
        <v>short</v>
      </c>
      <c r="N285" s="45">
        <f>IFERROR(__xludf.DUMMYFUNCTION("""COMPUTED_VALUE"""),44888.0)</f>
        <v>44888</v>
      </c>
      <c r="O285" s="45">
        <f>IFERROR(__xludf.DUMMYFUNCTION("""COMPUTED_VALUE"""),45111.0)</f>
        <v>45111</v>
      </c>
      <c r="P285" s="45">
        <f>IFERROR(__xludf.DUMMYFUNCTION("""COMPUTED_VALUE"""),45153.0)</f>
        <v>45153</v>
      </c>
      <c r="Q285" s="45">
        <f>IFERROR(__xludf.DUMMYFUNCTION("""COMPUTED_VALUE"""),45110.0)</f>
        <v>45110</v>
      </c>
      <c r="R285" s="45">
        <f>IFERROR(__xludf.DUMMYFUNCTION("""COMPUTED_VALUE"""),45153.0)</f>
        <v>45153</v>
      </c>
      <c r="S285" s="43"/>
      <c r="T285" s="43"/>
      <c r="U285" s="43" t="str">
        <f>IFERROR(__xludf.DUMMYFUNCTION("""COMPUTED_VALUE"""),"Heartbeat")</f>
        <v>Heartbeat</v>
      </c>
      <c r="V285" s="43" t="str">
        <f>IFERROR(__xludf.DUMMYFUNCTION("""COMPUTED_VALUE"""),"Amity University, Noida")</f>
        <v>Amity University, Noida</v>
      </c>
      <c r="W285" s="43" t="str">
        <f>IFERROR(__xludf.DUMMYFUNCTION("""COMPUTED_VALUE"""),"2022-11-22T10:52:33Z")</f>
        <v>2022-11-22T10:52:33Z</v>
      </c>
      <c r="X285" s="43"/>
      <c r="Y285" s="43"/>
      <c r="Z285" s="43"/>
    </row>
    <row r="286" hidden="1">
      <c r="A286" s="43" t="str">
        <f>IFERROR(__xludf.DUMMYFUNCTION("""COMPUTED_VALUE"""),"1033206_1288989")</f>
        <v>1033206_1288989</v>
      </c>
      <c r="B286" s="43" t="str">
        <f>IFERROR(__xludf.DUMMYFUNCTION("""COMPUTED_VALUE"""),"Esraa Mostafa")</f>
        <v>Esraa Mostafa</v>
      </c>
      <c r="C286" s="43" t="str">
        <f>IFERROR(__xludf.DUMMYFUNCTION("""COMPUTED_VALUE"""),"finished")</f>
        <v>finished</v>
      </c>
      <c r="D286" s="43" t="str">
        <f>IFERROR(__xludf.DUMMYFUNCTION("""COMPUTED_VALUE"""),"No")</f>
        <v>No</v>
      </c>
      <c r="E286" s="43" t="str">
        <f>IFERROR(__xludf.DUMMYFUNCTION("""COMPUTED_VALUE"""),"p_9525bac8040c72d377cec050e64b7764a71e7cd1@inbound.aiesec.org")</f>
        <v>p_9525bac8040c72d377cec050e64b7764a71e7cd1@inbound.aiesec.org</v>
      </c>
      <c r="F286" s="43"/>
      <c r="G286" s="43" t="str">
        <f>IFERROR(__xludf.DUMMYFUNCTION("""COMPUTED_VALUE"""),"Egypt")</f>
        <v>Egypt</v>
      </c>
      <c r="H286" s="43" t="str">
        <f>IFERROR(__xludf.DUMMYFUNCTION("""COMPUTED_VALUE"""),"Beni Suef")</f>
        <v>Beni Suef</v>
      </c>
      <c r="I286" s="43" t="str">
        <f>IFERROR(__xludf.DUMMYFUNCTION("""COMPUTED_VALUE"""),"Turkey")</f>
        <v>Turkey</v>
      </c>
      <c r="J286" s="43" t="str">
        <f>IFERROR(__xludf.DUMMYFUNCTION("""COMPUTED_VALUE"""),"KUTAHYA")</f>
        <v>KUTAHYA</v>
      </c>
      <c r="K286" s="44" t="str">
        <f>IFERROR(__xludf.DUMMYFUNCTION("""COMPUTED_VALUE"""),"https://expa.aiesec.org/opportunities/1288989")</f>
        <v>https://expa.aiesec.org/opportunities/1288989</v>
      </c>
      <c r="L286" s="43" t="str">
        <f>IFERROR(__xludf.DUMMYFUNCTION("""COMPUTED_VALUE"""),"GV")</f>
        <v>GV</v>
      </c>
      <c r="M286" s="43" t="str">
        <f>IFERROR(__xludf.DUMMYFUNCTION("""COMPUTED_VALUE"""),"short")</f>
        <v>short</v>
      </c>
      <c r="N286" s="45">
        <f>IFERROR(__xludf.DUMMYFUNCTION("""COMPUTED_VALUE"""),44888.0)</f>
        <v>44888</v>
      </c>
      <c r="O286" s="45">
        <f>IFERROR(__xludf.DUMMYFUNCTION("""COMPUTED_VALUE"""),45047.0)</f>
        <v>45047</v>
      </c>
      <c r="P286" s="45">
        <f>IFERROR(__xludf.DUMMYFUNCTION("""COMPUTED_VALUE"""),45089.0)</f>
        <v>45089</v>
      </c>
      <c r="Q286" s="45">
        <f>IFERROR(__xludf.DUMMYFUNCTION("""COMPUTED_VALUE"""),45062.0)</f>
        <v>45062</v>
      </c>
      <c r="R286" s="45">
        <f>IFERROR(__xludf.DUMMYFUNCTION("""COMPUTED_VALUE"""),45102.0)</f>
        <v>45102</v>
      </c>
      <c r="S286" s="43"/>
      <c r="T286" s="43"/>
      <c r="U286" s="43" t="str">
        <f>IFERROR(__xludf.DUMMYFUNCTION("""COMPUTED_VALUE"""),"Green Leaders")</f>
        <v>Green Leaders</v>
      </c>
      <c r="V286" s="43" t="str">
        <f>IFERROR(__xludf.DUMMYFUNCTION("""COMPUTED_VALUE"""),"-")</f>
        <v>-</v>
      </c>
      <c r="W286" s="43" t="str">
        <f>IFERROR(__xludf.DUMMYFUNCTION("""COMPUTED_VALUE"""),"2016-05-21T17:40:15Z")</f>
        <v>2016-05-21T17:40:15Z</v>
      </c>
      <c r="X286" s="43"/>
      <c r="Y286" s="43"/>
      <c r="Z286" s="43"/>
    </row>
    <row r="287" hidden="1">
      <c r="A287" s="43" t="str">
        <f>IFERROR(__xludf.DUMMYFUNCTION("""COMPUTED_VALUE"""),"5158364_1283483")</f>
        <v>5158364_1283483</v>
      </c>
      <c r="B287" s="43" t="str">
        <f>IFERROR(__xludf.DUMMYFUNCTION("""COMPUTED_VALUE"""),"Rayen Ben hassen")</f>
        <v>Rayen Ben hassen</v>
      </c>
      <c r="C287" s="43" t="str">
        <f>IFERROR(__xludf.DUMMYFUNCTION("""COMPUTED_VALUE"""),"approved")</f>
        <v>approved</v>
      </c>
      <c r="D287" s="43" t="str">
        <f>IFERROR(__xludf.DUMMYFUNCTION("""COMPUTED_VALUE"""),"No")</f>
        <v>No</v>
      </c>
      <c r="E287" s="43" t="str">
        <f>IFERROR(__xludf.DUMMYFUNCTION("""COMPUTED_VALUE"""),"p_79caac72b3fbb463a5400c986aa97f4279389aef@inbound.aiesec.org")</f>
        <v>p_79caac72b3fbb463a5400c986aa97f4279389aef@inbound.aiesec.org</v>
      </c>
      <c r="F287" s="43">
        <f>IFERROR(__xludf.DUMMYFUNCTION("""COMPUTED_VALUE"""),9.4398054E7)</f>
        <v>94398054</v>
      </c>
      <c r="G287" s="43" t="str">
        <f>IFERROR(__xludf.DUMMYFUNCTION("""COMPUTED_VALUE"""),"Tunisia")</f>
        <v>Tunisia</v>
      </c>
      <c r="H287" s="43" t="str">
        <f>IFERROR(__xludf.DUMMYFUNCTION("""COMPUTED_VALUE"""),"HADRUMET")</f>
        <v>HADRUMET</v>
      </c>
      <c r="I287" s="43" t="str">
        <f>IFERROR(__xludf.DUMMYFUNCTION("""COMPUTED_VALUE"""),"Turkey")</f>
        <v>Turkey</v>
      </c>
      <c r="J287" s="43" t="str">
        <f>IFERROR(__xludf.DUMMYFUNCTION("""COMPUTED_VALUE"""),"KONYA")</f>
        <v>KONYA</v>
      </c>
      <c r="K287" s="44" t="str">
        <f>IFERROR(__xludf.DUMMYFUNCTION("""COMPUTED_VALUE"""),"https://expa.aiesec.org/opportunities/1283483")</f>
        <v>https://expa.aiesec.org/opportunities/1283483</v>
      </c>
      <c r="L287" s="43" t="str">
        <f>IFERROR(__xludf.DUMMYFUNCTION("""COMPUTED_VALUE"""),"GV")</f>
        <v>GV</v>
      </c>
      <c r="M287" s="43" t="str">
        <f>IFERROR(__xludf.DUMMYFUNCTION("""COMPUTED_VALUE"""),"short")</f>
        <v>short</v>
      </c>
      <c r="N287" s="45">
        <f>IFERROR(__xludf.DUMMYFUNCTION("""COMPUTED_VALUE"""),44889.0)</f>
        <v>44889</v>
      </c>
      <c r="O287" s="45">
        <f>IFERROR(__xludf.DUMMYFUNCTION("""COMPUTED_VALUE"""),45117.0)</f>
        <v>45117</v>
      </c>
      <c r="P287" s="45">
        <f>IFERROR(__xludf.DUMMYFUNCTION("""COMPUTED_VALUE"""),45159.0)</f>
        <v>45159</v>
      </c>
      <c r="Q287" s="45"/>
      <c r="R287" s="45"/>
      <c r="S287" s="43"/>
      <c r="T287" s="43"/>
      <c r="U287" s="43" t="str">
        <f>IFERROR(__xludf.DUMMYFUNCTION("""COMPUTED_VALUE"""),"Global Classroom")</f>
        <v>Global Classroom</v>
      </c>
      <c r="V287" s="43" t="str">
        <f>IFERROR(__xludf.DUMMYFUNCTION("""COMPUTED_VALUE"""),"ISIT COM Sousse")</f>
        <v>ISIT COM Sousse</v>
      </c>
      <c r="W287" s="43" t="str">
        <f>IFERROR(__xludf.DUMMYFUNCTION("""COMPUTED_VALUE"""),"2022-11-24T15:06:54Z")</f>
        <v>2022-11-24T15:06:54Z</v>
      </c>
      <c r="X287" s="43"/>
      <c r="Y287" s="43"/>
      <c r="Z287" s="43"/>
    </row>
    <row r="288" hidden="1">
      <c r="A288" s="43" t="str">
        <f>IFERROR(__xludf.DUMMYFUNCTION("""COMPUTED_VALUE"""),"5157932_1284077")</f>
        <v>5157932_1284077</v>
      </c>
      <c r="B288" s="43" t="str">
        <f>IFERROR(__xludf.DUMMYFUNCTION("""COMPUTED_VALUE"""),"Mohamed Alswaf")</f>
        <v>Mohamed Alswaf</v>
      </c>
      <c r="C288" s="43" t="str">
        <f>IFERROR(__xludf.DUMMYFUNCTION("""COMPUTED_VALUE"""),"approved")</f>
        <v>approved</v>
      </c>
      <c r="D288" s="43" t="str">
        <f>IFERROR(__xludf.DUMMYFUNCTION("""COMPUTED_VALUE"""),"No")</f>
        <v>No</v>
      </c>
      <c r="E288" s="43" t="str">
        <f>IFERROR(__xludf.DUMMYFUNCTION("""COMPUTED_VALUE"""),"p_146234f220ab95235cf708f9237b8a62fa216cfa@inbound.aiesec.org")</f>
        <v>p_146234f220ab95235cf708f9237b8a62fa216cfa@inbound.aiesec.org</v>
      </c>
      <c r="F288" s="43">
        <f>IFERROR(__xludf.DUMMYFUNCTION("""COMPUTED_VALUE"""),1.030731335E9)</f>
        <v>1030731335</v>
      </c>
      <c r="G288" s="43" t="str">
        <f>IFERROR(__xludf.DUMMYFUNCTION("""COMPUTED_VALUE"""),"Egypt")</f>
        <v>Egypt</v>
      </c>
      <c r="H288" s="43" t="str">
        <f>IFERROR(__xludf.DUMMYFUNCTION("""COMPUTED_VALUE"""),"Menofia")</f>
        <v>Menofia</v>
      </c>
      <c r="I288" s="43" t="str">
        <f>IFERROR(__xludf.DUMMYFUNCTION("""COMPUTED_VALUE"""),"Turkey")</f>
        <v>Turkey</v>
      </c>
      <c r="J288" s="43" t="str">
        <f>IFERROR(__xludf.DUMMYFUNCTION("""COMPUTED_VALUE"""),"GAZIANTEP")</f>
        <v>GAZIANTEP</v>
      </c>
      <c r="K288" s="44" t="str">
        <f>IFERROR(__xludf.DUMMYFUNCTION("""COMPUTED_VALUE"""),"https://expa.aiesec.org/opportunities/1284077")</f>
        <v>https://expa.aiesec.org/opportunities/1284077</v>
      </c>
      <c r="L288" s="43" t="str">
        <f>IFERROR(__xludf.DUMMYFUNCTION("""COMPUTED_VALUE"""),"GV")</f>
        <v>GV</v>
      </c>
      <c r="M288" s="43" t="str">
        <f>IFERROR(__xludf.DUMMYFUNCTION("""COMPUTED_VALUE"""),"short")</f>
        <v>short</v>
      </c>
      <c r="N288" s="45">
        <f>IFERROR(__xludf.DUMMYFUNCTION("""COMPUTED_VALUE"""),44889.0)</f>
        <v>44889</v>
      </c>
      <c r="O288" s="45">
        <f>IFERROR(__xludf.DUMMYFUNCTION("""COMPUTED_VALUE"""),45122.0)</f>
        <v>45122</v>
      </c>
      <c r="P288" s="45">
        <f>IFERROR(__xludf.DUMMYFUNCTION("""COMPUTED_VALUE"""),45164.0)</f>
        <v>45164</v>
      </c>
      <c r="Q288" s="45"/>
      <c r="R288" s="45"/>
      <c r="S288" s="43"/>
      <c r="T288" s="43"/>
      <c r="U288" s="43" t="str">
        <f>IFERROR(__xludf.DUMMYFUNCTION("""COMPUTED_VALUE"""),"Global Classroom")</f>
        <v>Global Classroom</v>
      </c>
      <c r="V288" s="43" t="str">
        <f>IFERROR(__xludf.DUMMYFUNCTION("""COMPUTED_VALUE"""),"Menofia")</f>
        <v>Menofia</v>
      </c>
      <c r="W288" s="43" t="str">
        <f>IFERROR(__xludf.DUMMYFUNCTION("""COMPUTED_VALUE"""),"2022-11-23T17:50:22Z")</f>
        <v>2022-11-23T17:50:22Z</v>
      </c>
      <c r="X288" s="43"/>
      <c r="Y288" s="43"/>
      <c r="Z288" s="43"/>
    </row>
    <row r="289" hidden="1">
      <c r="A289" s="43" t="str">
        <f>IFERROR(__xludf.DUMMYFUNCTION("""COMPUTED_VALUE"""),"5135535_1287966")</f>
        <v>5135535_1287966</v>
      </c>
      <c r="B289" s="43" t="str">
        <f>IFERROR(__xludf.DUMMYFUNCTION("""COMPUTED_VALUE"""),"Keshav Madaan")</f>
        <v>Keshav Madaan</v>
      </c>
      <c r="C289" s="43" t="str">
        <f>IFERROR(__xludf.DUMMYFUNCTION("""COMPUTED_VALUE"""),"completed")</f>
        <v>completed</v>
      </c>
      <c r="D289" s="43" t="str">
        <f>IFERROR(__xludf.DUMMYFUNCTION("""COMPUTED_VALUE"""),"No")</f>
        <v>No</v>
      </c>
      <c r="E289" s="43" t="str">
        <f>IFERROR(__xludf.DUMMYFUNCTION("""COMPUTED_VALUE"""),"p_9db377adfa3737aa52c92cf3344938ccaddb490a@inbound.aiesec.org")</f>
        <v>p_9db377adfa3737aa52c92cf3344938ccaddb490a@inbound.aiesec.org</v>
      </c>
      <c r="F289" s="43">
        <f>IFERROR(__xludf.DUMMYFUNCTION("""COMPUTED_VALUE"""),6.28384428E9)</f>
        <v>6283844280</v>
      </c>
      <c r="G289" s="43" t="str">
        <f>IFERROR(__xludf.DUMMYFUNCTION("""COMPUTED_VALUE"""),"India")</f>
        <v>India</v>
      </c>
      <c r="H289" s="43" t="str">
        <f>IFERROR(__xludf.DUMMYFUNCTION("""COMPUTED_VALUE"""),"Ludhiana")</f>
        <v>Ludhiana</v>
      </c>
      <c r="I289" s="43" t="str">
        <f>IFERROR(__xludf.DUMMYFUNCTION("""COMPUTED_VALUE"""),"Turkey")</f>
        <v>Turkey</v>
      </c>
      <c r="J289" s="43" t="str">
        <f>IFERROR(__xludf.DUMMYFUNCTION("""COMPUTED_VALUE"""),"ISTANBUL")</f>
        <v>ISTANBUL</v>
      </c>
      <c r="K289" s="44" t="str">
        <f>IFERROR(__xludf.DUMMYFUNCTION("""COMPUTED_VALUE"""),"https://expa.aiesec.org/opportunities/1287966")</f>
        <v>https://expa.aiesec.org/opportunities/1287966</v>
      </c>
      <c r="L289" s="43" t="str">
        <f>IFERROR(__xludf.DUMMYFUNCTION("""COMPUTED_VALUE"""),"GV")</f>
        <v>GV</v>
      </c>
      <c r="M289" s="43" t="str">
        <f>IFERROR(__xludf.DUMMYFUNCTION("""COMPUTED_VALUE"""),"short")</f>
        <v>short</v>
      </c>
      <c r="N289" s="45">
        <f>IFERROR(__xludf.DUMMYFUNCTION("""COMPUTED_VALUE"""),44890.0)</f>
        <v>44890</v>
      </c>
      <c r="O289" s="45">
        <f>IFERROR(__xludf.DUMMYFUNCTION("""COMPUTED_VALUE"""),44942.0)</f>
        <v>44942</v>
      </c>
      <c r="P289" s="45">
        <f>IFERROR(__xludf.DUMMYFUNCTION("""COMPUTED_VALUE"""),44984.0)</f>
        <v>44984</v>
      </c>
      <c r="Q289" s="45">
        <f>IFERROR(__xludf.DUMMYFUNCTION("""COMPUTED_VALUE"""),44962.0)</f>
        <v>44962</v>
      </c>
      <c r="R289" s="45">
        <f>IFERROR(__xludf.DUMMYFUNCTION("""COMPUTED_VALUE"""),45005.0)</f>
        <v>45005</v>
      </c>
      <c r="S289" s="43"/>
      <c r="T289" s="43"/>
      <c r="U289" s="43" t="str">
        <f>IFERROR(__xludf.DUMMYFUNCTION("""COMPUTED_VALUE"""),"Heartbeat")</f>
        <v>Heartbeat</v>
      </c>
      <c r="V289" s="43" t="str">
        <f>IFERROR(__xludf.DUMMYFUNCTION("""COMPUTED_VALUE"""),"Ludhiana")</f>
        <v>Ludhiana</v>
      </c>
      <c r="W289" s="43" t="str">
        <f>IFERROR(__xludf.DUMMYFUNCTION("""COMPUTED_VALUE"""),"2022-10-18T09:46:43Z")</f>
        <v>2022-10-18T09:46:43Z</v>
      </c>
      <c r="X289" s="43"/>
      <c r="Y289" s="43"/>
      <c r="Z289" s="43"/>
    </row>
    <row r="290" hidden="1">
      <c r="A290" s="43" t="str">
        <f>IFERROR(__xludf.DUMMYFUNCTION("""COMPUTED_VALUE"""),"5151899_1288280")</f>
        <v>5151899_1288280</v>
      </c>
      <c r="B290" s="43" t="str">
        <f>IFERROR(__xludf.DUMMYFUNCTION("""COMPUTED_VALUE"""),"Mohamed Slim Belgaied")</f>
        <v>Mohamed Slim Belgaied</v>
      </c>
      <c r="C290" s="43" t="str">
        <f>IFERROR(__xludf.DUMMYFUNCTION("""COMPUTED_VALUE"""),"realization_broken")</f>
        <v>realization_broken</v>
      </c>
      <c r="D290" s="43" t="str">
        <f>IFERROR(__xludf.DUMMYFUNCTION("""COMPUTED_VALUE"""),"No")</f>
        <v>No</v>
      </c>
      <c r="E290" s="43" t="str">
        <f>IFERROR(__xludf.DUMMYFUNCTION("""COMPUTED_VALUE"""),"p_7f1be319a8f65a6a162e8b5db61c3714841a6490@inbound.aiesec.org")</f>
        <v>p_7f1be319a8f65a6a162e8b5db61c3714841a6490@inbound.aiesec.org</v>
      </c>
      <c r="F290" s="43">
        <f>IFERROR(__xludf.DUMMYFUNCTION("""COMPUTED_VALUE"""),5.4827194E7)</f>
        <v>54827194</v>
      </c>
      <c r="G290" s="43" t="str">
        <f>IFERROR(__xludf.DUMMYFUNCTION("""COMPUTED_VALUE"""),"Tunisia")</f>
        <v>Tunisia</v>
      </c>
      <c r="H290" s="43" t="str">
        <f>IFERROR(__xludf.DUMMYFUNCTION("""COMPUTED_VALUE"""),"Bizerte")</f>
        <v>Bizerte</v>
      </c>
      <c r="I290" s="43" t="str">
        <f>IFERROR(__xludf.DUMMYFUNCTION("""COMPUTED_VALUE"""),"Turkey")</f>
        <v>Turkey</v>
      </c>
      <c r="J290" s="43" t="str">
        <f>IFERROR(__xludf.DUMMYFUNCTION("""COMPUTED_VALUE"""),"İZMİR")</f>
        <v>İZMİR</v>
      </c>
      <c r="K290" s="44" t="str">
        <f>IFERROR(__xludf.DUMMYFUNCTION("""COMPUTED_VALUE"""),"https://expa.aiesec.org/opportunities/1288280")</f>
        <v>https://expa.aiesec.org/opportunities/1288280</v>
      </c>
      <c r="L290" s="43" t="str">
        <f>IFERROR(__xludf.DUMMYFUNCTION("""COMPUTED_VALUE"""),"GV")</f>
        <v>GV</v>
      </c>
      <c r="M290" s="43" t="str">
        <f>IFERROR(__xludf.DUMMYFUNCTION("""COMPUTED_VALUE"""),"short")</f>
        <v>short</v>
      </c>
      <c r="N290" s="45">
        <f>IFERROR(__xludf.DUMMYFUNCTION("""COMPUTED_VALUE"""),44890.0)</f>
        <v>44890</v>
      </c>
      <c r="O290" s="45">
        <f>IFERROR(__xludf.DUMMYFUNCTION("""COMPUTED_VALUE"""),45102.0)</f>
        <v>45102</v>
      </c>
      <c r="P290" s="45">
        <f>IFERROR(__xludf.DUMMYFUNCTION("""COMPUTED_VALUE"""),45144.0)</f>
        <v>45144</v>
      </c>
      <c r="Q290" s="45"/>
      <c r="R290" s="45"/>
      <c r="S290" s="43"/>
      <c r="T290" s="43"/>
      <c r="U290" s="43" t="str">
        <f>IFERROR(__xludf.DUMMYFUNCTION("""COMPUTED_VALUE"""),"Global Classroom")</f>
        <v>Global Classroom</v>
      </c>
      <c r="V290" s="43" t="str">
        <f>IFERROR(__xludf.DUMMYFUNCTION("""COMPUTED_VALUE"""),"FSB")</f>
        <v>FSB</v>
      </c>
      <c r="W290" s="43" t="str">
        <f>IFERROR(__xludf.DUMMYFUNCTION("""COMPUTED_VALUE"""),"2022-11-12T21:09:15Z")</f>
        <v>2022-11-12T21:09:15Z</v>
      </c>
      <c r="X290" s="43"/>
      <c r="Y290" s="43"/>
      <c r="Z290" s="43"/>
    </row>
    <row r="291">
      <c r="A291" s="43" t="str">
        <f>IFERROR(__xludf.DUMMYFUNCTION("""COMPUTED_VALUE"""),"5158066_1286034")</f>
        <v>5158066_1286034</v>
      </c>
      <c r="B291" s="43" t="str">
        <f>IFERROR(__xludf.DUMMYFUNCTION("""COMPUTED_VALUE"""),"Thiago Palomino de Bem")</f>
        <v>Thiago Palomino de Bem</v>
      </c>
      <c r="C291" s="43" t="str">
        <f>IFERROR(__xludf.DUMMYFUNCTION("""COMPUTED_VALUE"""),"approved")</f>
        <v>approved</v>
      </c>
      <c r="D291" s="43" t="str">
        <f>IFERROR(__xludf.DUMMYFUNCTION("""COMPUTED_VALUE"""),"No")</f>
        <v>No</v>
      </c>
      <c r="E291" s="43" t="str">
        <f>IFERROR(__xludf.DUMMYFUNCTION("""COMPUTED_VALUE"""),"p_4965e058a94c335e1ceaf19bbc9788d3b06dec2e@inbound.aiesec.org")</f>
        <v>p_4965e058a94c335e1ceaf19bbc9788d3b06dec2e@inbound.aiesec.org</v>
      </c>
      <c r="F291" s="43">
        <f>IFERROR(__xludf.DUMMYFUNCTION("""COMPUTED_VALUE"""),5.3999383438E10)</f>
        <v>53999383438</v>
      </c>
      <c r="G291" s="43" t="str">
        <f>IFERROR(__xludf.DUMMYFUNCTION("""COMPUTED_VALUE"""),"Brazil")</f>
        <v>Brazil</v>
      </c>
      <c r="H291" s="43" t="str">
        <f>IFERROR(__xludf.DUMMYFUNCTION("""COMPUTED_VALUE"""),"SANTA MARIA")</f>
        <v>SANTA MARIA</v>
      </c>
      <c r="I291" s="43" t="str">
        <f>IFERROR(__xludf.DUMMYFUNCTION("""COMPUTED_VALUE"""),"Turkey")</f>
        <v>Turkey</v>
      </c>
      <c r="J291" s="43" t="str">
        <f>IFERROR(__xludf.DUMMYFUNCTION("""COMPUTED_VALUE"""),"ANTALYA")</f>
        <v>ANTALYA</v>
      </c>
      <c r="K291" s="44" t="str">
        <f>IFERROR(__xludf.DUMMYFUNCTION("""COMPUTED_VALUE"""),"https://expa.aiesec.org/opportunities/1286034")</f>
        <v>https://expa.aiesec.org/opportunities/1286034</v>
      </c>
      <c r="L291" s="43" t="str">
        <f>IFERROR(__xludf.DUMMYFUNCTION("""COMPUTED_VALUE"""),"GV")</f>
        <v>GV</v>
      </c>
      <c r="M291" s="43" t="str">
        <f>IFERROR(__xludf.DUMMYFUNCTION("""COMPUTED_VALUE"""),"short")</f>
        <v>short</v>
      </c>
      <c r="N291" s="45">
        <f>IFERROR(__xludf.DUMMYFUNCTION("""COMPUTED_VALUE"""),44891.0)</f>
        <v>44891</v>
      </c>
      <c r="O291" s="45">
        <f>IFERROR(__xludf.DUMMYFUNCTION("""COMPUTED_VALUE"""),44970.0)</f>
        <v>44970</v>
      </c>
      <c r="P291" s="45">
        <f>IFERROR(__xludf.DUMMYFUNCTION("""COMPUTED_VALUE"""),45012.0)</f>
        <v>45012</v>
      </c>
      <c r="Q291" s="45"/>
      <c r="R291" s="45"/>
      <c r="S291" s="43"/>
      <c r="T291" s="43"/>
      <c r="U291" s="43" t="str">
        <f>IFERROR(__xludf.DUMMYFUNCTION("""COMPUTED_VALUE"""),"Global Classroom")</f>
        <v>Global Classroom</v>
      </c>
      <c r="V291" s="43" t="str">
        <f>IFERROR(__xludf.DUMMYFUNCTION("""COMPUTED_VALUE"""),"Santa Maria")</f>
        <v>Santa Maria</v>
      </c>
      <c r="W291" s="43" t="str">
        <f>IFERROR(__xludf.DUMMYFUNCTION("""COMPUTED_VALUE"""),"2022-11-23T21:59:11Z")</f>
        <v>2022-11-23T21:59:11Z</v>
      </c>
      <c r="X291" s="43"/>
      <c r="Y291" s="43"/>
      <c r="Z291" s="43"/>
    </row>
    <row r="292">
      <c r="A292" s="43" t="str">
        <f>IFERROR(__xludf.DUMMYFUNCTION("""COMPUTED_VALUE"""),"5157996_1286034")</f>
        <v>5157996_1286034</v>
      </c>
      <c r="B292" s="43" t="str">
        <f>IFERROR(__xludf.DUMMYFUNCTION("""COMPUTED_VALUE"""),"Camila Lamberti")</f>
        <v>Camila Lamberti</v>
      </c>
      <c r="C292" s="43" t="str">
        <f>IFERROR(__xludf.DUMMYFUNCTION("""COMPUTED_VALUE"""),"approved")</f>
        <v>approved</v>
      </c>
      <c r="D292" s="43" t="str">
        <f>IFERROR(__xludf.DUMMYFUNCTION("""COMPUTED_VALUE"""),"No")</f>
        <v>No</v>
      </c>
      <c r="E292" s="43" t="str">
        <f>IFERROR(__xludf.DUMMYFUNCTION("""COMPUTED_VALUE"""),"p_e8a02a4a385310e7696d4cccdbba096d2fc097d9@inbound.aiesec.org")</f>
        <v>p_e8a02a4a385310e7696d4cccdbba096d2fc097d9@inbound.aiesec.org</v>
      </c>
      <c r="F292" s="43"/>
      <c r="G292" s="43" t="str">
        <f>IFERROR(__xludf.DUMMYFUNCTION("""COMPUTED_VALUE"""),"Brazil")</f>
        <v>Brazil</v>
      </c>
      <c r="H292" s="43" t="str">
        <f>IFERROR(__xludf.DUMMYFUNCTION("""COMPUTED_VALUE"""),"SANTA MARIA")</f>
        <v>SANTA MARIA</v>
      </c>
      <c r="I292" s="43" t="str">
        <f>IFERROR(__xludf.DUMMYFUNCTION("""COMPUTED_VALUE"""),"Turkey")</f>
        <v>Turkey</v>
      </c>
      <c r="J292" s="43" t="str">
        <f>IFERROR(__xludf.DUMMYFUNCTION("""COMPUTED_VALUE"""),"ANTALYA")</f>
        <v>ANTALYA</v>
      </c>
      <c r="K292" s="44" t="str">
        <f>IFERROR(__xludf.DUMMYFUNCTION("""COMPUTED_VALUE"""),"https://expa.aiesec.org/opportunities/1286034")</f>
        <v>https://expa.aiesec.org/opportunities/1286034</v>
      </c>
      <c r="L292" s="43" t="str">
        <f>IFERROR(__xludf.DUMMYFUNCTION("""COMPUTED_VALUE"""),"GV")</f>
        <v>GV</v>
      </c>
      <c r="M292" s="43" t="str">
        <f>IFERROR(__xludf.DUMMYFUNCTION("""COMPUTED_VALUE"""),"short")</f>
        <v>short</v>
      </c>
      <c r="N292" s="45">
        <f>IFERROR(__xludf.DUMMYFUNCTION("""COMPUTED_VALUE"""),44891.0)</f>
        <v>44891</v>
      </c>
      <c r="O292" s="45">
        <f>IFERROR(__xludf.DUMMYFUNCTION("""COMPUTED_VALUE"""),44970.0)</f>
        <v>44970</v>
      </c>
      <c r="P292" s="45">
        <f>IFERROR(__xludf.DUMMYFUNCTION("""COMPUTED_VALUE"""),45012.0)</f>
        <v>45012</v>
      </c>
      <c r="Q292" s="45"/>
      <c r="R292" s="45"/>
      <c r="S292" s="43"/>
      <c r="T292" s="43"/>
      <c r="U292" s="43" t="str">
        <f>IFERROR(__xludf.DUMMYFUNCTION("""COMPUTED_VALUE"""),"Global Classroom")</f>
        <v>Global Classroom</v>
      </c>
      <c r="V292" s="43" t="str">
        <f>IFERROR(__xludf.DUMMYFUNCTION("""COMPUTED_VALUE"""),"-")</f>
        <v>-</v>
      </c>
      <c r="W292" s="43" t="str">
        <f>IFERROR(__xludf.DUMMYFUNCTION("""COMPUTED_VALUE"""),"2022-11-23T19:15:16Z")</f>
        <v>2022-11-23T19:15:16Z</v>
      </c>
      <c r="X292" s="43"/>
      <c r="Y292" s="43"/>
      <c r="Z292" s="43"/>
    </row>
    <row r="293" hidden="1">
      <c r="A293" s="43" t="str">
        <f>IFERROR(__xludf.DUMMYFUNCTION("""COMPUTED_VALUE"""),"5027525_1290425")</f>
        <v>5027525_1290425</v>
      </c>
      <c r="B293" s="43" t="str">
        <f>IFERROR(__xludf.DUMMYFUNCTION("""COMPUTED_VALUE"""),"Esraa Abdelhamid Mohamed Ahmed Elnaggar")</f>
        <v>Esraa Abdelhamid Mohamed Ahmed Elnaggar</v>
      </c>
      <c r="C293" s="43" t="str">
        <f>IFERROR(__xludf.DUMMYFUNCTION("""COMPUTED_VALUE"""),"completed")</f>
        <v>completed</v>
      </c>
      <c r="D293" s="43" t="str">
        <f>IFERROR(__xludf.DUMMYFUNCTION("""COMPUTED_VALUE"""),"No")</f>
        <v>No</v>
      </c>
      <c r="E293" s="43" t="str">
        <f>IFERROR(__xludf.DUMMYFUNCTION("""COMPUTED_VALUE"""),"p_697657dd816df0efc63f6fb95dc3391229506850@inbound.aiesec.org")</f>
        <v>p_697657dd816df0efc63f6fb95dc3391229506850@inbound.aiesec.org</v>
      </c>
      <c r="F293" s="43">
        <f>IFERROR(__xludf.DUMMYFUNCTION("""COMPUTED_VALUE"""),1.096513508E9)</f>
        <v>1096513508</v>
      </c>
      <c r="G293" s="43" t="str">
        <f>IFERROR(__xludf.DUMMYFUNCTION("""COMPUTED_VALUE"""),"Egypt")</f>
        <v>Egypt</v>
      </c>
      <c r="H293" s="43" t="str">
        <f>IFERROR(__xludf.DUMMYFUNCTION("""COMPUTED_VALUE"""),"Zagazig")</f>
        <v>Zagazig</v>
      </c>
      <c r="I293" s="43" t="str">
        <f>IFERROR(__xludf.DUMMYFUNCTION("""COMPUTED_VALUE"""),"Turkey")</f>
        <v>Turkey</v>
      </c>
      <c r="J293" s="43" t="str">
        <f>IFERROR(__xludf.DUMMYFUNCTION("""COMPUTED_VALUE"""),"KUTAHYA")</f>
        <v>KUTAHYA</v>
      </c>
      <c r="K293" s="44" t="str">
        <f>IFERROR(__xludf.DUMMYFUNCTION("""COMPUTED_VALUE"""),"https://expa.aiesec.org/opportunities/1290425")</f>
        <v>https://expa.aiesec.org/opportunities/1290425</v>
      </c>
      <c r="L293" s="43" t="str">
        <f>IFERROR(__xludf.DUMMYFUNCTION("""COMPUTED_VALUE"""),"GV")</f>
        <v>GV</v>
      </c>
      <c r="M293" s="43" t="str">
        <f>IFERROR(__xludf.DUMMYFUNCTION("""COMPUTED_VALUE"""),"short")</f>
        <v>short</v>
      </c>
      <c r="N293" s="45">
        <f>IFERROR(__xludf.DUMMYFUNCTION("""COMPUTED_VALUE"""),44891.0)</f>
        <v>44891</v>
      </c>
      <c r="O293" s="45">
        <f>IFERROR(__xludf.DUMMYFUNCTION("""COMPUTED_VALUE"""),44924.0)</f>
        <v>44924</v>
      </c>
      <c r="P293" s="45">
        <f>IFERROR(__xludf.DUMMYFUNCTION("""COMPUTED_VALUE"""),44966.0)</f>
        <v>44966</v>
      </c>
      <c r="Q293" s="45">
        <f>IFERROR(__xludf.DUMMYFUNCTION("""COMPUTED_VALUE"""),44928.0)</f>
        <v>44928</v>
      </c>
      <c r="R293" s="45">
        <f>IFERROR(__xludf.DUMMYFUNCTION("""COMPUTED_VALUE"""),44970.0)</f>
        <v>44970</v>
      </c>
      <c r="S293" s="43"/>
      <c r="T293" s="43"/>
      <c r="U293" s="43" t="str">
        <f>IFERROR(__xludf.DUMMYFUNCTION("""COMPUTED_VALUE"""),"Global Classroom")</f>
        <v>Global Classroom</v>
      </c>
      <c r="V293" s="43" t="str">
        <f>IFERROR(__xludf.DUMMYFUNCTION("""COMPUTED_VALUE"""),"Zagazig")</f>
        <v>Zagazig</v>
      </c>
      <c r="W293" s="43" t="str">
        <f>IFERROR(__xludf.DUMMYFUNCTION("""COMPUTED_VALUE"""),"2022-04-07T00:16:24Z")</f>
        <v>2022-04-07T00:16:24Z</v>
      </c>
      <c r="X293" s="43"/>
      <c r="Y293" s="43"/>
      <c r="Z293" s="43"/>
    </row>
    <row r="294">
      <c r="A294" s="43" t="str">
        <f>IFERROR(__xludf.DUMMYFUNCTION("""COMPUTED_VALUE"""),"5065107_1287101")</f>
        <v>5065107_1287101</v>
      </c>
      <c r="B294" s="43" t="str">
        <f>IFERROR(__xludf.DUMMYFUNCTION("""COMPUTED_VALUE"""),"Zeina Abualkasem")</f>
        <v>Zeina Abualkasem</v>
      </c>
      <c r="C294" s="43" t="str">
        <f>IFERROR(__xludf.DUMMYFUNCTION("""COMPUTED_VALUE"""),"approved")</f>
        <v>approved</v>
      </c>
      <c r="D294" s="43" t="str">
        <f>IFERROR(__xludf.DUMMYFUNCTION("""COMPUTED_VALUE"""),"No")</f>
        <v>No</v>
      </c>
      <c r="E294" s="43" t="str">
        <f>IFERROR(__xludf.DUMMYFUNCTION("""COMPUTED_VALUE"""),"p_f9c2179270eb7f662d48a13d631f0121d8555a0b@inbound.aiesec.org")</f>
        <v>p_f9c2179270eb7f662d48a13d631f0121d8555a0b@inbound.aiesec.org</v>
      </c>
      <c r="F294" s="43">
        <f>IFERROR(__xludf.DUMMYFUNCTION("""COMPUTED_VALUE"""),1.207260397E9)</f>
        <v>1207260397</v>
      </c>
      <c r="G294" s="43" t="str">
        <f>IFERROR(__xludf.DUMMYFUNCTION("""COMPUTED_VALUE"""),"Egypt")</f>
        <v>Egypt</v>
      </c>
      <c r="H294" s="43" t="str">
        <f>IFERROR(__xludf.DUMMYFUNCTION("""COMPUTED_VALUE"""),"Helwan")</f>
        <v>Helwan</v>
      </c>
      <c r="I294" s="43" t="str">
        <f>IFERROR(__xludf.DUMMYFUNCTION("""COMPUTED_VALUE"""),"Turkey")</f>
        <v>Turkey</v>
      </c>
      <c r="J294" s="43" t="str">
        <f>IFERROR(__xludf.DUMMYFUNCTION("""COMPUTED_VALUE"""),"İZMİR")</f>
        <v>İZMİR</v>
      </c>
      <c r="K294" s="44" t="str">
        <f>IFERROR(__xludf.DUMMYFUNCTION("""COMPUTED_VALUE"""),"https://expa.aiesec.org/opportunities/1287101")</f>
        <v>https://expa.aiesec.org/opportunities/1287101</v>
      </c>
      <c r="L294" s="43" t="str">
        <f>IFERROR(__xludf.DUMMYFUNCTION("""COMPUTED_VALUE"""),"GV")</f>
        <v>GV</v>
      </c>
      <c r="M294" s="43" t="str">
        <f>IFERROR(__xludf.DUMMYFUNCTION("""COMPUTED_VALUE"""),"short")</f>
        <v>short</v>
      </c>
      <c r="N294" s="45">
        <f>IFERROR(__xludf.DUMMYFUNCTION("""COMPUTED_VALUE"""),44891.0)</f>
        <v>44891</v>
      </c>
      <c r="O294" s="45">
        <f>IFERROR(__xludf.DUMMYFUNCTION("""COMPUTED_VALUE"""),45102.0)</f>
        <v>45102</v>
      </c>
      <c r="P294" s="45">
        <f>IFERROR(__xludf.DUMMYFUNCTION("""COMPUTED_VALUE"""),45144.0)</f>
        <v>45144</v>
      </c>
      <c r="Q294" s="45"/>
      <c r="R294" s="45"/>
      <c r="S294" s="43"/>
      <c r="T294" s="43"/>
      <c r="U294" s="43" t="str">
        <f>IFERROR(__xludf.DUMMYFUNCTION("""COMPUTED_VALUE"""),"Global Classroom")</f>
        <v>Global Classroom</v>
      </c>
      <c r="V294" s="43" t="str">
        <f>IFERROR(__xludf.DUMMYFUNCTION("""COMPUTED_VALUE"""),"Helwan University")</f>
        <v>Helwan University</v>
      </c>
      <c r="W294" s="43" t="str">
        <f>IFERROR(__xludf.DUMMYFUNCTION("""COMPUTED_VALUE"""),"2022-05-28T00:22:30Z")</f>
        <v>2022-05-28T00:22:30Z</v>
      </c>
      <c r="X294" s="43"/>
      <c r="Y294" s="43"/>
      <c r="Z294" s="43"/>
    </row>
    <row r="295" hidden="1">
      <c r="A295" s="43" t="str">
        <f>IFERROR(__xludf.DUMMYFUNCTION("""COMPUTED_VALUE"""),"5139625_1288970")</f>
        <v>5139625_1288970</v>
      </c>
      <c r="B295" s="43" t="str">
        <f>IFERROR(__xludf.DUMMYFUNCTION("""COMPUTED_VALUE"""),"Andreea Prodan")</f>
        <v>Andreea Prodan</v>
      </c>
      <c r="C295" s="43" t="str">
        <f>IFERROR(__xludf.DUMMYFUNCTION("""COMPUTED_VALUE"""),"approved")</f>
        <v>approved</v>
      </c>
      <c r="D295" s="43" t="str">
        <f>IFERROR(__xludf.DUMMYFUNCTION("""COMPUTED_VALUE"""),"No")</f>
        <v>No</v>
      </c>
      <c r="E295" s="43" t="str">
        <f>IFERROR(__xludf.DUMMYFUNCTION("""COMPUTED_VALUE"""),"p_46bc429c7ef1ff480fa1238620b8aec114a03a0a@inbound.aiesec.org")</f>
        <v>p_46bc429c7ef1ff480fa1238620b8aec114a03a0a@inbound.aiesec.org</v>
      </c>
      <c r="F295" s="43"/>
      <c r="G295" s="43" t="str">
        <f>IFERROR(__xludf.DUMMYFUNCTION("""COMPUTED_VALUE"""),"Romania")</f>
        <v>Romania</v>
      </c>
      <c r="H295" s="43" t="str">
        <f>IFERROR(__xludf.DUMMYFUNCTION("""COMPUTED_VALUE"""),"IASI")</f>
        <v>IASI</v>
      </c>
      <c r="I295" s="43" t="str">
        <f>IFERROR(__xludf.DUMMYFUNCTION("""COMPUTED_VALUE"""),"Turkey")</f>
        <v>Turkey</v>
      </c>
      <c r="J295" s="43" t="str">
        <f>IFERROR(__xludf.DUMMYFUNCTION("""COMPUTED_VALUE"""),"İZMİR")</f>
        <v>İZMİR</v>
      </c>
      <c r="K295" s="44" t="str">
        <f>IFERROR(__xludf.DUMMYFUNCTION("""COMPUTED_VALUE"""),"https://expa.aiesec.org/opportunities/1288970")</f>
        <v>https://expa.aiesec.org/opportunities/1288970</v>
      </c>
      <c r="L295" s="43" t="str">
        <f>IFERROR(__xludf.DUMMYFUNCTION("""COMPUTED_VALUE"""),"GV")</f>
        <v>GV</v>
      </c>
      <c r="M295" s="43" t="str">
        <f>IFERROR(__xludf.DUMMYFUNCTION("""COMPUTED_VALUE"""),"short")</f>
        <v>short</v>
      </c>
      <c r="N295" s="45">
        <f>IFERROR(__xludf.DUMMYFUNCTION("""COMPUTED_VALUE"""),44891.0)</f>
        <v>44891</v>
      </c>
      <c r="O295" s="45">
        <f>IFERROR(__xludf.DUMMYFUNCTION("""COMPUTED_VALUE"""),45165.0)</f>
        <v>45165</v>
      </c>
      <c r="P295" s="45">
        <f>IFERROR(__xludf.DUMMYFUNCTION("""COMPUTED_VALUE"""),45207.0)</f>
        <v>45207</v>
      </c>
      <c r="Q295" s="45"/>
      <c r="R295" s="45"/>
      <c r="S295" s="43"/>
      <c r="T295" s="43"/>
      <c r="U295" s="43" t="str">
        <f>IFERROR(__xludf.DUMMYFUNCTION("""COMPUTED_VALUE"""),"Fingerprint")</f>
        <v>Fingerprint</v>
      </c>
      <c r="V295" s="43" t="str">
        <f>IFERROR(__xludf.DUMMYFUNCTION("""COMPUTED_VALUE"""),"-")</f>
        <v>-</v>
      </c>
      <c r="W295" s="43" t="str">
        <f>IFERROR(__xludf.DUMMYFUNCTION("""COMPUTED_VALUE"""),"2022-10-24T16:14:05Z")</f>
        <v>2022-10-24T16:14:05Z</v>
      </c>
      <c r="X295" s="43"/>
      <c r="Y295" s="43"/>
      <c r="Z295" s="43"/>
    </row>
    <row r="296" hidden="1">
      <c r="A296" s="43" t="str">
        <f>IFERROR(__xludf.DUMMYFUNCTION("""COMPUTED_VALUE"""),"5152604_1280973")</f>
        <v>5152604_1280973</v>
      </c>
      <c r="B296" s="43" t="str">
        <f>IFERROR(__xludf.DUMMYFUNCTION("""COMPUTED_VALUE"""),"shiyu ma")</f>
        <v>shiyu ma</v>
      </c>
      <c r="C296" s="43" t="str">
        <f>IFERROR(__xludf.DUMMYFUNCTION("""COMPUTED_VALUE"""),"completed")</f>
        <v>completed</v>
      </c>
      <c r="D296" s="43" t="str">
        <f>IFERROR(__xludf.DUMMYFUNCTION("""COMPUTED_VALUE"""),"No")</f>
        <v>No</v>
      </c>
      <c r="E296" s="43" t="str">
        <f>IFERROR(__xludf.DUMMYFUNCTION("""COMPUTED_VALUE"""),"p_248c5f3e04ae79687fbb92b9a6061569b3c01089@inbound.aiesec.org")</f>
        <v>p_248c5f3e04ae79687fbb92b9a6061569b3c01089@inbound.aiesec.org</v>
      </c>
      <c r="F296" s="43"/>
      <c r="G296" s="43" t="str">
        <f>IFERROR(__xludf.DUMMYFUNCTION("""COMPUTED_VALUE"""),"United Kingdom")</f>
        <v>United Kingdom</v>
      </c>
      <c r="H296" s="43" t="str">
        <f>IFERROR(__xludf.DUMMYFUNCTION("""COMPUTED_VALUE"""),"GLASGOW")</f>
        <v>GLASGOW</v>
      </c>
      <c r="I296" s="43" t="str">
        <f>IFERROR(__xludf.DUMMYFUNCTION("""COMPUTED_VALUE"""),"Turkey")</f>
        <v>Turkey</v>
      </c>
      <c r="J296" s="43" t="str">
        <f>IFERROR(__xludf.DUMMYFUNCTION("""COMPUTED_VALUE"""),"KOCAELI")</f>
        <v>KOCAELI</v>
      </c>
      <c r="K296" s="44" t="str">
        <f>IFERROR(__xludf.DUMMYFUNCTION("""COMPUTED_VALUE"""),"https://expa.aiesec.org/opportunities/1280973")</f>
        <v>https://expa.aiesec.org/opportunities/1280973</v>
      </c>
      <c r="L296" s="43" t="str">
        <f>IFERROR(__xludf.DUMMYFUNCTION("""COMPUTED_VALUE"""),"GV")</f>
        <v>GV</v>
      </c>
      <c r="M296" s="43" t="str">
        <f>IFERROR(__xludf.DUMMYFUNCTION("""COMPUTED_VALUE"""),"short")</f>
        <v>short</v>
      </c>
      <c r="N296" s="45">
        <f>IFERROR(__xludf.DUMMYFUNCTION("""COMPUTED_VALUE"""),44891.0)</f>
        <v>44891</v>
      </c>
      <c r="O296" s="45">
        <f>IFERROR(__xludf.DUMMYFUNCTION("""COMPUTED_VALUE"""),44907.0)</f>
        <v>44907</v>
      </c>
      <c r="P296" s="45">
        <f>IFERROR(__xludf.DUMMYFUNCTION("""COMPUTED_VALUE"""),44949.0)</f>
        <v>44949</v>
      </c>
      <c r="Q296" s="45">
        <f>IFERROR(__xludf.DUMMYFUNCTION("""COMPUTED_VALUE"""),44918.0)</f>
        <v>44918</v>
      </c>
      <c r="R296" s="45">
        <f>IFERROR(__xludf.DUMMYFUNCTION("""COMPUTED_VALUE"""),44960.0)</f>
        <v>44960</v>
      </c>
      <c r="S296" s="43"/>
      <c r="T296" s="43"/>
      <c r="U296" s="43" t="str">
        <f>IFERROR(__xludf.DUMMYFUNCTION("""COMPUTED_VALUE"""),"Global Classroom")</f>
        <v>Global Classroom</v>
      </c>
      <c r="V296" s="43" t="str">
        <f>IFERROR(__xludf.DUMMYFUNCTION("""COMPUTED_VALUE"""),"-")</f>
        <v>-</v>
      </c>
      <c r="W296" s="43" t="str">
        <f>IFERROR(__xludf.DUMMYFUNCTION("""COMPUTED_VALUE"""),"2022-11-14T13:15:17Z")</f>
        <v>2022-11-14T13:15:17Z</v>
      </c>
      <c r="X296" s="43"/>
      <c r="Y296" s="43"/>
      <c r="Z296" s="43"/>
    </row>
    <row r="297" hidden="1">
      <c r="A297" s="43" t="str">
        <f>IFERROR(__xludf.DUMMYFUNCTION("""COMPUTED_VALUE"""),"5159482_1272564")</f>
        <v>5159482_1272564</v>
      </c>
      <c r="B297" s="43" t="str">
        <f>IFERROR(__xludf.DUMMYFUNCTION("""COMPUTED_VALUE"""),"Jaweher Abdellaoui")</f>
        <v>Jaweher Abdellaoui</v>
      </c>
      <c r="C297" s="43" t="str">
        <f>IFERROR(__xludf.DUMMYFUNCTION("""COMPUTED_VALUE"""),"approved")</f>
        <v>approved</v>
      </c>
      <c r="D297" s="43" t="str">
        <f>IFERROR(__xludf.DUMMYFUNCTION("""COMPUTED_VALUE"""),"No")</f>
        <v>No</v>
      </c>
      <c r="E297" s="43" t="str">
        <f>IFERROR(__xludf.DUMMYFUNCTION("""COMPUTED_VALUE"""),"p_f7e433d0aad5a1ab566836f8d1c3e7f96b079e3f@inbound.aiesec.org")</f>
        <v>p_f7e433d0aad5a1ab566836f8d1c3e7f96b079e3f@inbound.aiesec.org</v>
      </c>
      <c r="F297" s="43">
        <f>IFERROR(__xludf.DUMMYFUNCTION("""COMPUTED_VALUE"""),2.8591727E7)</f>
        <v>28591727</v>
      </c>
      <c r="G297" s="43" t="str">
        <f>IFERROR(__xludf.DUMMYFUNCTION("""COMPUTED_VALUE"""),"Tunisia")</f>
        <v>Tunisia</v>
      </c>
      <c r="H297" s="43" t="str">
        <f>IFERROR(__xludf.DUMMYFUNCTION("""COMPUTED_VALUE"""),"SFAX")</f>
        <v>SFAX</v>
      </c>
      <c r="I297" s="43" t="str">
        <f>IFERROR(__xludf.DUMMYFUNCTION("""COMPUTED_VALUE"""),"Turkey")</f>
        <v>Turkey</v>
      </c>
      <c r="J297" s="43" t="str">
        <f>IFERROR(__xludf.DUMMYFUNCTION("""COMPUTED_VALUE"""),"ISTANBUL")</f>
        <v>ISTANBUL</v>
      </c>
      <c r="K297" s="44" t="str">
        <f>IFERROR(__xludf.DUMMYFUNCTION("""COMPUTED_VALUE"""),"https://expa.aiesec.org/opportunities/1272564")</f>
        <v>https://expa.aiesec.org/opportunities/1272564</v>
      </c>
      <c r="L297" s="43" t="str">
        <f>IFERROR(__xludf.DUMMYFUNCTION("""COMPUTED_VALUE"""),"GV")</f>
        <v>GV</v>
      </c>
      <c r="M297" s="43" t="str">
        <f>IFERROR(__xludf.DUMMYFUNCTION("""COMPUTED_VALUE"""),"short")</f>
        <v>short</v>
      </c>
      <c r="N297" s="45">
        <f>IFERROR(__xludf.DUMMYFUNCTION("""COMPUTED_VALUE"""),44892.0)</f>
        <v>44892</v>
      </c>
      <c r="O297" s="45">
        <f>IFERROR(__xludf.DUMMYFUNCTION("""COMPUTED_VALUE"""),45117.0)</f>
        <v>45117</v>
      </c>
      <c r="P297" s="45">
        <f>IFERROR(__xludf.DUMMYFUNCTION("""COMPUTED_VALUE"""),45159.0)</f>
        <v>45159</v>
      </c>
      <c r="Q297" s="45"/>
      <c r="R297" s="45"/>
      <c r="S297" s="43"/>
      <c r="T297" s="43"/>
      <c r="U297" s="43" t="str">
        <f>IFERROR(__xludf.DUMMYFUNCTION("""COMPUTED_VALUE"""),"Global Classroom")</f>
        <v>Global Classroom</v>
      </c>
      <c r="V297" s="43" t="str">
        <f>IFERROR(__xludf.DUMMYFUNCTION("""COMPUTED_VALUE"""),"IHEC Sfax")</f>
        <v>IHEC Sfax</v>
      </c>
      <c r="W297" s="43" t="str">
        <f>IFERROR(__xludf.DUMMYFUNCTION("""COMPUTED_VALUE"""),"2022-11-27T14:43:59Z")</f>
        <v>2022-11-27T14:43:59Z</v>
      </c>
      <c r="X297" s="43"/>
      <c r="Y297" s="43"/>
      <c r="Z297" s="43"/>
    </row>
    <row r="298" hidden="1">
      <c r="A298" s="43" t="str">
        <f>IFERROR(__xludf.DUMMYFUNCTION("""COMPUTED_VALUE"""),"5159479_1272564")</f>
        <v>5159479_1272564</v>
      </c>
      <c r="B298" s="43" t="str">
        <f>IFERROR(__xludf.DUMMYFUNCTION("""COMPUTED_VALUE"""),"Nour Hached")</f>
        <v>Nour Hached</v>
      </c>
      <c r="C298" s="43" t="str">
        <f>IFERROR(__xludf.DUMMYFUNCTION("""COMPUTED_VALUE"""),"approved")</f>
        <v>approved</v>
      </c>
      <c r="D298" s="43" t="str">
        <f>IFERROR(__xludf.DUMMYFUNCTION("""COMPUTED_VALUE"""),"No")</f>
        <v>No</v>
      </c>
      <c r="E298" s="43" t="str">
        <f>IFERROR(__xludf.DUMMYFUNCTION("""COMPUTED_VALUE"""),"p_d50227dd6f9188b80d6f7de1b7f93bca4e55d338@inbound.aiesec.org")</f>
        <v>p_d50227dd6f9188b80d6f7de1b7f93bca4e55d338@inbound.aiesec.org</v>
      </c>
      <c r="F298" s="43"/>
      <c r="G298" s="43" t="str">
        <f>IFERROR(__xludf.DUMMYFUNCTION("""COMPUTED_VALUE"""),"Tunisia")</f>
        <v>Tunisia</v>
      </c>
      <c r="H298" s="43" t="str">
        <f>IFERROR(__xludf.DUMMYFUNCTION("""COMPUTED_VALUE"""),"SFAX")</f>
        <v>SFAX</v>
      </c>
      <c r="I298" s="43" t="str">
        <f>IFERROR(__xludf.DUMMYFUNCTION("""COMPUTED_VALUE"""),"Turkey")</f>
        <v>Turkey</v>
      </c>
      <c r="J298" s="43" t="str">
        <f>IFERROR(__xludf.DUMMYFUNCTION("""COMPUTED_VALUE"""),"ISTANBUL")</f>
        <v>ISTANBUL</v>
      </c>
      <c r="K298" s="44" t="str">
        <f>IFERROR(__xludf.DUMMYFUNCTION("""COMPUTED_VALUE"""),"https://expa.aiesec.org/opportunities/1272564")</f>
        <v>https://expa.aiesec.org/opportunities/1272564</v>
      </c>
      <c r="L298" s="43" t="str">
        <f>IFERROR(__xludf.DUMMYFUNCTION("""COMPUTED_VALUE"""),"GV")</f>
        <v>GV</v>
      </c>
      <c r="M298" s="43" t="str">
        <f>IFERROR(__xludf.DUMMYFUNCTION("""COMPUTED_VALUE"""),"short")</f>
        <v>short</v>
      </c>
      <c r="N298" s="45">
        <f>IFERROR(__xludf.DUMMYFUNCTION("""COMPUTED_VALUE"""),44892.0)</f>
        <v>44892</v>
      </c>
      <c r="O298" s="45">
        <f>IFERROR(__xludf.DUMMYFUNCTION("""COMPUTED_VALUE"""),45117.0)</f>
        <v>45117</v>
      </c>
      <c r="P298" s="45">
        <f>IFERROR(__xludf.DUMMYFUNCTION("""COMPUTED_VALUE"""),45159.0)</f>
        <v>45159</v>
      </c>
      <c r="Q298" s="45"/>
      <c r="R298" s="45"/>
      <c r="S298" s="43"/>
      <c r="T298" s="43"/>
      <c r="U298" s="43" t="str">
        <f>IFERROR(__xludf.DUMMYFUNCTION("""COMPUTED_VALUE"""),"Global Classroom")</f>
        <v>Global Classroom</v>
      </c>
      <c r="V298" s="43" t="str">
        <f>IFERROR(__xludf.DUMMYFUNCTION("""COMPUTED_VALUE"""),"IHEC Sfax")</f>
        <v>IHEC Sfax</v>
      </c>
      <c r="W298" s="43" t="str">
        <f>IFERROR(__xludf.DUMMYFUNCTION("""COMPUTED_VALUE"""),"2022-11-27T14:32:05Z")</f>
        <v>2022-11-27T14:32:05Z</v>
      </c>
      <c r="X298" s="43"/>
      <c r="Y298" s="43"/>
      <c r="Z298" s="43"/>
    </row>
    <row r="299" hidden="1">
      <c r="A299" s="43" t="str">
        <f>IFERROR(__xludf.DUMMYFUNCTION("""COMPUTED_VALUE"""),"4656894_1289536")</f>
        <v>4656894_1289536</v>
      </c>
      <c r="B299" s="43" t="str">
        <f>IFERROR(__xludf.DUMMYFUNCTION("""COMPUTED_VALUE"""),"Samar Maazoul")</f>
        <v>Samar Maazoul</v>
      </c>
      <c r="C299" s="43" t="str">
        <f>IFERROR(__xludf.DUMMYFUNCTION("""COMPUTED_VALUE"""),"approved")</f>
        <v>approved</v>
      </c>
      <c r="D299" s="43" t="str">
        <f>IFERROR(__xludf.DUMMYFUNCTION("""COMPUTED_VALUE"""),"No")</f>
        <v>No</v>
      </c>
      <c r="E299" s="43" t="str">
        <f>IFERROR(__xludf.DUMMYFUNCTION("""COMPUTED_VALUE"""),"p_2f75fc92ef1cbcf00dcd4d87ef01ccab26ff52fc@inbound.aiesec.org")</f>
        <v>p_2f75fc92ef1cbcf00dcd4d87ef01ccab26ff52fc@inbound.aiesec.org</v>
      </c>
      <c r="F299" s="43">
        <f>IFERROR(__xludf.DUMMYFUNCTION("""COMPUTED_VALUE"""),5.8616787E7)</f>
        <v>58616787</v>
      </c>
      <c r="G299" s="43" t="str">
        <f>IFERROR(__xludf.DUMMYFUNCTION("""COMPUTED_VALUE"""),"Tunisia")</f>
        <v>Tunisia</v>
      </c>
      <c r="H299" s="43" t="str">
        <f>IFERROR(__xludf.DUMMYFUNCTION("""COMPUTED_VALUE"""),"SFAX")</f>
        <v>SFAX</v>
      </c>
      <c r="I299" s="43" t="str">
        <f>IFERROR(__xludf.DUMMYFUNCTION("""COMPUTED_VALUE"""),"Turkey")</f>
        <v>Turkey</v>
      </c>
      <c r="J299" s="43" t="str">
        <f>IFERROR(__xludf.DUMMYFUNCTION("""COMPUTED_VALUE"""),"ISTANBUL")</f>
        <v>ISTANBUL</v>
      </c>
      <c r="K299" s="44" t="str">
        <f>IFERROR(__xludf.DUMMYFUNCTION("""COMPUTED_VALUE"""),"https://expa.aiesec.org/opportunities/1289536")</f>
        <v>https://expa.aiesec.org/opportunities/1289536</v>
      </c>
      <c r="L299" s="43" t="str">
        <f>IFERROR(__xludf.DUMMYFUNCTION("""COMPUTED_VALUE"""),"GV")</f>
        <v>GV</v>
      </c>
      <c r="M299" s="43" t="str">
        <f>IFERROR(__xludf.DUMMYFUNCTION("""COMPUTED_VALUE"""),"short")</f>
        <v>short</v>
      </c>
      <c r="N299" s="45">
        <f>IFERROR(__xludf.DUMMYFUNCTION("""COMPUTED_VALUE"""),44892.0)</f>
        <v>44892</v>
      </c>
      <c r="O299" s="45">
        <f>IFERROR(__xludf.DUMMYFUNCTION("""COMPUTED_VALUE"""),45132.0)</f>
        <v>45132</v>
      </c>
      <c r="P299" s="45">
        <f>IFERROR(__xludf.DUMMYFUNCTION("""COMPUTED_VALUE"""),45174.0)</f>
        <v>45174</v>
      </c>
      <c r="Q299" s="45"/>
      <c r="R299" s="45"/>
      <c r="S299" s="43"/>
      <c r="T299" s="43"/>
      <c r="U299" s="43" t="str">
        <f>IFERROR(__xludf.DUMMYFUNCTION("""COMPUTED_VALUE"""),"Global Classroom")</f>
        <v>Global Classroom</v>
      </c>
      <c r="V299" s="43" t="str">
        <f>IFERROR(__xludf.DUMMYFUNCTION("""COMPUTED_VALUE"""),"IHEC Sfax")</f>
        <v>IHEC Sfax</v>
      </c>
      <c r="W299" s="43" t="str">
        <f>IFERROR(__xludf.DUMMYFUNCTION("""COMPUTED_VALUE"""),"2021-05-29T17:59:02Z")</f>
        <v>2021-05-29T17:59:02Z</v>
      </c>
      <c r="X299" s="43"/>
      <c r="Y299" s="43"/>
      <c r="Z299" s="43"/>
    </row>
    <row r="300" hidden="1">
      <c r="A300" s="43" t="str">
        <f>IFERROR(__xludf.DUMMYFUNCTION("""COMPUTED_VALUE"""),"5158185_1284081")</f>
        <v>5158185_1284081</v>
      </c>
      <c r="B300" s="43" t="str">
        <f>IFERROR(__xludf.DUMMYFUNCTION("""COMPUTED_VALUE"""),"Mariam Awad")</f>
        <v>Mariam Awad</v>
      </c>
      <c r="C300" s="43" t="str">
        <f>IFERROR(__xludf.DUMMYFUNCTION("""COMPUTED_VALUE"""),"finished")</f>
        <v>finished</v>
      </c>
      <c r="D300" s="43" t="str">
        <f>IFERROR(__xludf.DUMMYFUNCTION("""COMPUTED_VALUE"""),"No")</f>
        <v>No</v>
      </c>
      <c r="E300" s="43" t="str">
        <f>IFERROR(__xludf.DUMMYFUNCTION("""COMPUTED_VALUE"""),"p_c56f26559266632932daad928b785ff579f8e4f2@inbound.aiesec.org")</f>
        <v>p_c56f26559266632932daad928b785ff579f8e4f2@inbound.aiesec.org</v>
      </c>
      <c r="F300" s="43">
        <f>IFERROR(__xludf.DUMMYFUNCTION("""COMPUTED_VALUE"""),1.142371818E9)</f>
        <v>1142371818</v>
      </c>
      <c r="G300" s="43" t="str">
        <f>IFERROR(__xludf.DUMMYFUNCTION("""COMPUTED_VALUE"""),"Egypt")</f>
        <v>Egypt</v>
      </c>
      <c r="H300" s="43" t="str">
        <f>IFERROR(__xludf.DUMMYFUNCTION("""COMPUTED_VALUE"""),"6th October University")</f>
        <v>6th October University</v>
      </c>
      <c r="I300" s="43" t="str">
        <f>IFERROR(__xludf.DUMMYFUNCTION("""COMPUTED_VALUE"""),"Turkey")</f>
        <v>Turkey</v>
      </c>
      <c r="J300" s="43" t="str">
        <f>IFERROR(__xludf.DUMMYFUNCTION("""COMPUTED_VALUE"""),"KOCAELI")</f>
        <v>KOCAELI</v>
      </c>
      <c r="K300" s="44" t="str">
        <f>IFERROR(__xludf.DUMMYFUNCTION("""COMPUTED_VALUE"""),"https://expa.aiesec.org/opportunities/1284081")</f>
        <v>https://expa.aiesec.org/opportunities/1284081</v>
      </c>
      <c r="L300" s="43" t="str">
        <f>IFERROR(__xludf.DUMMYFUNCTION("""COMPUTED_VALUE"""),"GV")</f>
        <v>GV</v>
      </c>
      <c r="M300" s="43" t="str">
        <f>IFERROR(__xludf.DUMMYFUNCTION("""COMPUTED_VALUE"""),"short")</f>
        <v>short</v>
      </c>
      <c r="N300" s="45">
        <f>IFERROR(__xludf.DUMMYFUNCTION("""COMPUTED_VALUE"""),44892.0)</f>
        <v>44892</v>
      </c>
      <c r="O300" s="45">
        <f>IFERROR(__xludf.DUMMYFUNCTION("""COMPUTED_VALUE"""),44900.0)</f>
        <v>44900</v>
      </c>
      <c r="P300" s="45">
        <f>IFERROR(__xludf.DUMMYFUNCTION("""COMPUTED_VALUE"""),44942.0)</f>
        <v>44942</v>
      </c>
      <c r="Q300" s="45">
        <f>IFERROR(__xludf.DUMMYFUNCTION("""COMPUTED_VALUE"""),44910.0)</f>
        <v>44910</v>
      </c>
      <c r="R300" s="45">
        <f>IFERROR(__xludf.DUMMYFUNCTION("""COMPUTED_VALUE"""),44952.0)</f>
        <v>44952</v>
      </c>
      <c r="S300" s="43"/>
      <c r="T300" s="43"/>
      <c r="U300" s="43" t="str">
        <f>IFERROR(__xludf.DUMMYFUNCTION("""COMPUTED_VALUE"""),"Global Classroom")</f>
        <v>Global Classroom</v>
      </c>
      <c r="V300" s="43" t="str">
        <f>IFERROR(__xludf.DUMMYFUNCTION("""COMPUTED_VALUE"""),"6th of October University")</f>
        <v>6th of October University</v>
      </c>
      <c r="W300" s="43" t="str">
        <f>IFERROR(__xludf.DUMMYFUNCTION("""COMPUTED_VALUE"""),"2022-11-24T06:26:28Z")</f>
        <v>2022-11-24T06:26:28Z</v>
      </c>
      <c r="X300" s="43"/>
      <c r="Y300" s="43"/>
      <c r="Z300" s="43"/>
    </row>
    <row r="301" hidden="1">
      <c r="A301" s="43" t="str">
        <f>IFERROR(__xludf.DUMMYFUNCTION("""COMPUTED_VALUE"""),"5158094_1289596")</f>
        <v>5158094_1289596</v>
      </c>
      <c r="B301" s="43" t="str">
        <f>IFERROR(__xludf.DUMMYFUNCTION("""COMPUTED_VALUE"""),"ANDRIELI THAIS STOEBERL ANDRIELI THAIS STOEBERL")</f>
        <v>ANDRIELI THAIS STOEBERL ANDRIELI THAIS STOEBERL</v>
      </c>
      <c r="C301" s="43" t="str">
        <f>IFERROR(__xludf.DUMMYFUNCTION("""COMPUTED_VALUE"""),"approved")</f>
        <v>approved</v>
      </c>
      <c r="D301" s="43" t="str">
        <f>IFERROR(__xludf.DUMMYFUNCTION("""COMPUTED_VALUE"""),"No")</f>
        <v>No</v>
      </c>
      <c r="E301" s="43" t="str">
        <f>IFERROR(__xludf.DUMMYFUNCTION("""COMPUTED_VALUE"""),"p_c83caadeac94358b1c2194423eb7fac316510833@inbound.aiesec.org")</f>
        <v>p_c83caadeac94358b1c2194423eb7fac316510833@inbound.aiesec.org</v>
      </c>
      <c r="F301" s="43">
        <f>IFERROR(__xludf.DUMMYFUNCTION("""COMPUTED_VALUE"""),4.792863155E9)</f>
        <v>4792863155</v>
      </c>
      <c r="G301" s="43" t="str">
        <f>IFERROR(__xludf.DUMMYFUNCTION("""COMPUTED_VALUE"""),"Brazil")</f>
        <v>Brazil</v>
      </c>
      <c r="H301" s="43" t="str">
        <f>IFERROR(__xludf.DUMMYFUNCTION("""COMPUTED_VALUE"""),"CURITIBA")</f>
        <v>CURITIBA</v>
      </c>
      <c r="I301" s="43" t="str">
        <f>IFERROR(__xludf.DUMMYFUNCTION("""COMPUTED_VALUE"""),"Turkey")</f>
        <v>Turkey</v>
      </c>
      <c r="J301" s="43" t="str">
        <f>IFERROR(__xludf.DUMMYFUNCTION("""COMPUTED_VALUE"""),"ISPARTA")</f>
        <v>ISPARTA</v>
      </c>
      <c r="K301" s="44" t="str">
        <f>IFERROR(__xludf.DUMMYFUNCTION("""COMPUTED_VALUE"""),"https://expa.aiesec.org/opportunities/1289596")</f>
        <v>https://expa.aiesec.org/opportunities/1289596</v>
      </c>
      <c r="L301" s="43" t="str">
        <f>IFERROR(__xludf.DUMMYFUNCTION("""COMPUTED_VALUE"""),"GV")</f>
        <v>GV</v>
      </c>
      <c r="M301" s="43" t="str">
        <f>IFERROR(__xludf.DUMMYFUNCTION("""COMPUTED_VALUE"""),"short")</f>
        <v>short</v>
      </c>
      <c r="N301" s="45">
        <f>IFERROR(__xludf.DUMMYFUNCTION("""COMPUTED_VALUE"""),44892.0)</f>
        <v>44892</v>
      </c>
      <c r="O301" s="45">
        <f>IFERROR(__xludf.DUMMYFUNCTION("""COMPUTED_VALUE"""),45257.0)</f>
        <v>45257</v>
      </c>
      <c r="P301" s="45">
        <f>IFERROR(__xludf.DUMMYFUNCTION("""COMPUTED_VALUE"""),45299.0)</f>
        <v>45299</v>
      </c>
      <c r="Q301" s="45"/>
      <c r="R301" s="45"/>
      <c r="S301" s="43"/>
      <c r="T301" s="43"/>
      <c r="U301" s="43" t="str">
        <f>IFERROR(__xludf.DUMMYFUNCTION("""COMPUTED_VALUE"""),"Global Classroom")</f>
        <v>Global Classroom</v>
      </c>
      <c r="V301" s="43" t="str">
        <f>IFERROR(__xludf.DUMMYFUNCTION("""COMPUTED_VALUE"""),"Curitiba")</f>
        <v>Curitiba</v>
      </c>
      <c r="W301" s="43" t="str">
        <f>IFERROR(__xludf.DUMMYFUNCTION("""COMPUTED_VALUE"""),"2022-11-23T23:29:02Z")</f>
        <v>2022-11-23T23:29:02Z</v>
      </c>
      <c r="X301" s="43"/>
      <c r="Y301" s="43"/>
      <c r="Z301" s="43"/>
    </row>
    <row r="302" hidden="1">
      <c r="A302" s="43" t="str">
        <f>IFERROR(__xludf.DUMMYFUNCTION("""COMPUTED_VALUE"""),"5150336_1281357")</f>
        <v>5150336_1281357</v>
      </c>
      <c r="B302" s="43" t="str">
        <f>IFERROR(__xludf.DUMMYFUNCTION("""COMPUTED_VALUE"""),"Abhi Singla")</f>
        <v>Abhi Singla</v>
      </c>
      <c r="C302" s="43" t="str">
        <f>IFERROR(__xludf.DUMMYFUNCTION("""COMPUTED_VALUE"""),"completed")</f>
        <v>completed</v>
      </c>
      <c r="D302" s="43" t="str">
        <f>IFERROR(__xludf.DUMMYFUNCTION("""COMPUTED_VALUE"""),"No")</f>
        <v>No</v>
      </c>
      <c r="E302" s="43" t="str">
        <f>IFERROR(__xludf.DUMMYFUNCTION("""COMPUTED_VALUE"""),"p_d13409fcfe67c992b361796fe743dbab4de96f0e@inbound.aiesec.org")</f>
        <v>p_d13409fcfe67c992b361796fe743dbab4de96f0e@inbound.aiesec.org</v>
      </c>
      <c r="F302" s="43">
        <f>IFERROR(__xludf.DUMMYFUNCTION("""COMPUTED_VALUE"""),8.295055607E9)</f>
        <v>8295055607</v>
      </c>
      <c r="G302" s="43" t="str">
        <f>IFERROR(__xludf.DUMMYFUNCTION("""COMPUTED_VALUE"""),"India")</f>
        <v>India</v>
      </c>
      <c r="H302" s="43" t="str">
        <f>IFERROR(__xludf.DUMMYFUNCTION("""COMPUTED_VALUE"""),"Patiala")</f>
        <v>Patiala</v>
      </c>
      <c r="I302" s="43" t="str">
        <f>IFERROR(__xludf.DUMMYFUNCTION("""COMPUTED_VALUE"""),"Turkey")</f>
        <v>Turkey</v>
      </c>
      <c r="J302" s="43" t="str">
        <f>IFERROR(__xludf.DUMMYFUNCTION("""COMPUTED_VALUE"""),"GAZIANTEP")</f>
        <v>GAZIANTEP</v>
      </c>
      <c r="K302" s="44" t="str">
        <f>IFERROR(__xludf.DUMMYFUNCTION("""COMPUTED_VALUE"""),"https://expa.aiesec.org/opportunities/1281357")</f>
        <v>https://expa.aiesec.org/opportunities/1281357</v>
      </c>
      <c r="L302" s="43" t="str">
        <f>IFERROR(__xludf.DUMMYFUNCTION("""COMPUTED_VALUE"""),"GV")</f>
        <v>GV</v>
      </c>
      <c r="M302" s="43" t="str">
        <f>IFERROR(__xludf.DUMMYFUNCTION("""COMPUTED_VALUE"""),"short")</f>
        <v>short</v>
      </c>
      <c r="N302" s="45">
        <f>IFERROR(__xludf.DUMMYFUNCTION("""COMPUTED_VALUE"""),44892.0)</f>
        <v>44892</v>
      </c>
      <c r="O302" s="45">
        <f>IFERROR(__xludf.DUMMYFUNCTION("""COMPUTED_VALUE"""),44907.0)</f>
        <v>44907</v>
      </c>
      <c r="P302" s="45">
        <f>IFERROR(__xludf.DUMMYFUNCTION("""COMPUTED_VALUE"""),44949.0)</f>
        <v>44949</v>
      </c>
      <c r="Q302" s="45">
        <f>IFERROR(__xludf.DUMMYFUNCTION("""COMPUTED_VALUE"""),44906.0)</f>
        <v>44906</v>
      </c>
      <c r="R302" s="45">
        <f>IFERROR(__xludf.DUMMYFUNCTION("""COMPUTED_VALUE"""),44949.0)</f>
        <v>44949</v>
      </c>
      <c r="S302" s="43"/>
      <c r="T302" s="43"/>
      <c r="U302" s="43" t="str">
        <f>IFERROR(__xludf.DUMMYFUNCTION("""COMPUTED_VALUE"""),"Global Classroom")</f>
        <v>Global Classroom</v>
      </c>
      <c r="V302" s="43" t="str">
        <f>IFERROR(__xludf.DUMMYFUNCTION("""COMPUTED_VALUE"""),"Patiala")</f>
        <v>Patiala</v>
      </c>
      <c r="W302" s="43" t="str">
        <f>IFERROR(__xludf.DUMMYFUNCTION("""COMPUTED_VALUE"""),"2022-11-09T17:09:20Z")</f>
        <v>2022-11-09T17:09:20Z</v>
      </c>
      <c r="X302" s="43"/>
      <c r="Y302" s="43"/>
      <c r="Z302" s="43"/>
    </row>
    <row r="303" hidden="1">
      <c r="A303" s="43" t="str">
        <f>IFERROR(__xludf.DUMMYFUNCTION("""COMPUTED_VALUE"""),"3828381_1288616")</f>
        <v>3828381_1288616</v>
      </c>
      <c r="B303" s="43" t="str">
        <f>IFERROR(__xludf.DUMMYFUNCTION("""COMPUTED_VALUE"""),"Yusuf Mohideen")</f>
        <v>Yusuf Mohideen</v>
      </c>
      <c r="C303" s="43" t="str">
        <f>IFERROR(__xludf.DUMMYFUNCTION("""COMPUTED_VALUE"""),"finished")</f>
        <v>finished</v>
      </c>
      <c r="D303" s="43" t="str">
        <f>IFERROR(__xludf.DUMMYFUNCTION("""COMPUTED_VALUE"""),"No")</f>
        <v>No</v>
      </c>
      <c r="E303" s="43" t="str">
        <f>IFERROR(__xludf.DUMMYFUNCTION("""COMPUTED_VALUE"""),"p_d004cf7fbc6679e88a1aed8485cc81ff0295be97@inbound.aiesec.org")</f>
        <v>p_d004cf7fbc6679e88a1aed8485cc81ff0295be97@inbound.aiesec.org</v>
      </c>
      <c r="F303" s="43">
        <f>IFERROR(__xludf.DUMMYFUNCTION("""COMPUTED_VALUE"""),6.2225402E7)</f>
        <v>62225402</v>
      </c>
      <c r="G303" s="43" t="str">
        <f>IFERROR(__xludf.DUMMYFUNCTION("""COMPUTED_VALUE"""),"Hong Kong")</f>
        <v>Hong Kong</v>
      </c>
      <c r="H303" s="43" t="str">
        <f>IFERROR(__xludf.DUMMYFUNCTION("""COMPUTED_VALUE"""),"HKU")</f>
        <v>HKU</v>
      </c>
      <c r="I303" s="43" t="str">
        <f>IFERROR(__xludf.DUMMYFUNCTION("""COMPUTED_VALUE"""),"Turkey")</f>
        <v>Turkey</v>
      </c>
      <c r="J303" s="43" t="str">
        <f>IFERROR(__xludf.DUMMYFUNCTION("""COMPUTED_VALUE"""),"ANKARA")</f>
        <v>ANKARA</v>
      </c>
      <c r="K303" s="44" t="str">
        <f>IFERROR(__xludf.DUMMYFUNCTION("""COMPUTED_VALUE"""),"https://expa.aiesec.org/opportunities/1288616")</f>
        <v>https://expa.aiesec.org/opportunities/1288616</v>
      </c>
      <c r="L303" s="43" t="str">
        <f>IFERROR(__xludf.DUMMYFUNCTION("""COMPUTED_VALUE"""),"GV")</f>
        <v>GV</v>
      </c>
      <c r="M303" s="43" t="str">
        <f>IFERROR(__xludf.DUMMYFUNCTION("""COMPUTED_VALUE"""),"short")</f>
        <v>short</v>
      </c>
      <c r="N303" s="45">
        <f>IFERROR(__xludf.DUMMYFUNCTION("""COMPUTED_VALUE"""),44892.0)</f>
        <v>44892</v>
      </c>
      <c r="O303" s="45">
        <f>IFERROR(__xludf.DUMMYFUNCTION("""COMPUTED_VALUE"""),44912.0)</f>
        <v>44912</v>
      </c>
      <c r="P303" s="45">
        <f>IFERROR(__xludf.DUMMYFUNCTION("""COMPUTED_VALUE"""),44954.0)</f>
        <v>44954</v>
      </c>
      <c r="Q303" s="45">
        <f>IFERROR(__xludf.DUMMYFUNCTION("""COMPUTED_VALUE"""),44912.0)</f>
        <v>44912</v>
      </c>
      <c r="R303" s="45">
        <f>IFERROR(__xludf.DUMMYFUNCTION("""COMPUTED_VALUE"""),44955.0)</f>
        <v>44955</v>
      </c>
      <c r="S303" s="43"/>
      <c r="T303" s="43"/>
      <c r="U303" s="43" t="str">
        <f>IFERROR(__xludf.DUMMYFUNCTION("""COMPUTED_VALUE"""),"Global Classroom")</f>
        <v>Global Classroom</v>
      </c>
      <c r="V303" s="43" t="str">
        <f>IFERROR(__xludf.DUMMYFUNCTION("""COMPUTED_VALUE"""),"The University of Hong Kong")</f>
        <v>The University of Hong Kong</v>
      </c>
      <c r="W303" s="43" t="str">
        <f>IFERROR(__xludf.DUMMYFUNCTION("""COMPUTED_VALUE"""),"2019-09-12T13:46:49Z")</f>
        <v>2019-09-12T13:46:49Z</v>
      </c>
      <c r="X303" s="43"/>
      <c r="Y303" s="43"/>
      <c r="Z303" s="43"/>
    </row>
    <row r="304" hidden="1">
      <c r="A304" s="43" t="str">
        <f>IFERROR(__xludf.DUMMYFUNCTION("""COMPUTED_VALUE"""),"3069109_1290826")</f>
        <v>3069109_1290826</v>
      </c>
      <c r="B304" s="43" t="str">
        <f>IFERROR(__xludf.DUMMYFUNCTION("""COMPUTED_VALUE"""),"Rawan Reda")</f>
        <v>Rawan Reda</v>
      </c>
      <c r="C304" s="43" t="str">
        <f>IFERROR(__xludf.DUMMYFUNCTION("""COMPUTED_VALUE"""),"realization_broken")</f>
        <v>realization_broken</v>
      </c>
      <c r="D304" s="43" t="str">
        <f>IFERROR(__xludf.DUMMYFUNCTION("""COMPUTED_VALUE"""),"No")</f>
        <v>No</v>
      </c>
      <c r="E304" s="43" t="str">
        <f>IFERROR(__xludf.DUMMYFUNCTION("""COMPUTED_VALUE"""),"p_745f2faae8d89e3718ea806c46e1bf14e1d84ef5@inbound.aiesec.org")</f>
        <v>p_745f2faae8d89e3718ea806c46e1bf14e1d84ef5@inbound.aiesec.org</v>
      </c>
      <c r="F304" s="43">
        <f>IFERROR(__xludf.DUMMYFUNCTION("""COMPUTED_VALUE"""),1.122532244E9)</f>
        <v>1122532244</v>
      </c>
      <c r="G304" s="43" t="str">
        <f>IFERROR(__xludf.DUMMYFUNCTION("""COMPUTED_VALUE"""),"Egypt")</f>
        <v>Egypt</v>
      </c>
      <c r="H304" s="43" t="str">
        <f>IFERROR(__xludf.DUMMYFUNCTION("""COMPUTED_VALUE"""),"MSA")</f>
        <v>MSA</v>
      </c>
      <c r="I304" s="43" t="str">
        <f>IFERROR(__xludf.DUMMYFUNCTION("""COMPUTED_VALUE"""),"Turkey")</f>
        <v>Turkey</v>
      </c>
      <c r="J304" s="43" t="str">
        <f>IFERROR(__xludf.DUMMYFUNCTION("""COMPUTED_VALUE"""),"KOCAELI")</f>
        <v>KOCAELI</v>
      </c>
      <c r="K304" s="44" t="str">
        <f>IFERROR(__xludf.DUMMYFUNCTION("""COMPUTED_VALUE"""),"https://expa.aiesec.org/opportunities/1290826")</f>
        <v>https://expa.aiesec.org/opportunities/1290826</v>
      </c>
      <c r="L304" s="43" t="str">
        <f>IFERROR(__xludf.DUMMYFUNCTION("""COMPUTED_VALUE"""),"GV")</f>
        <v>GV</v>
      </c>
      <c r="M304" s="43" t="str">
        <f>IFERROR(__xludf.DUMMYFUNCTION("""COMPUTED_VALUE"""),"short")</f>
        <v>short</v>
      </c>
      <c r="N304" s="45">
        <f>IFERROR(__xludf.DUMMYFUNCTION("""COMPUTED_VALUE"""),44893.0)</f>
        <v>44893</v>
      </c>
      <c r="O304" s="45">
        <f>IFERROR(__xludf.DUMMYFUNCTION("""COMPUTED_VALUE"""),44949.0)</f>
        <v>44949</v>
      </c>
      <c r="P304" s="45">
        <f>IFERROR(__xludf.DUMMYFUNCTION("""COMPUTED_VALUE"""),44991.0)</f>
        <v>44991</v>
      </c>
      <c r="Q304" s="45"/>
      <c r="R304" s="45"/>
      <c r="S304" s="43"/>
      <c r="T304" s="43"/>
      <c r="U304" s="43" t="str">
        <f>IFERROR(__xludf.DUMMYFUNCTION("""COMPUTED_VALUE"""),"Global Classroom")</f>
        <v>Global Classroom</v>
      </c>
      <c r="V304" s="43" t="str">
        <f>IFERROR(__xludf.DUMMYFUNCTION("""COMPUTED_VALUE"""),"MSA Univeristy")</f>
        <v>MSA Univeristy</v>
      </c>
      <c r="W304" s="43" t="str">
        <f>IFERROR(__xludf.DUMMYFUNCTION("""COMPUTED_VALUE"""),"2019-02-11T04:04:23Z")</f>
        <v>2019-02-11T04:04:23Z</v>
      </c>
      <c r="X304" s="43"/>
      <c r="Y304" s="43"/>
      <c r="Z304" s="43"/>
    </row>
    <row r="305" hidden="1">
      <c r="A305" s="43" t="str">
        <f>IFERROR(__xludf.DUMMYFUNCTION("""COMPUTED_VALUE"""),"5154868_1285713")</f>
        <v>5154868_1285713</v>
      </c>
      <c r="B305" s="43" t="str">
        <f>IFERROR(__xludf.DUMMYFUNCTION("""COMPUTED_VALUE"""),"Pan Taf")</f>
        <v>Pan Taf</v>
      </c>
      <c r="C305" s="43" t="str">
        <f>IFERROR(__xludf.DUMMYFUNCTION("""COMPUTED_VALUE"""),"realization_broken")</f>
        <v>realization_broken</v>
      </c>
      <c r="D305" s="43" t="str">
        <f>IFERROR(__xludf.DUMMYFUNCTION("""COMPUTED_VALUE"""),"No")</f>
        <v>No</v>
      </c>
      <c r="E305" s="43" t="str">
        <f>IFERROR(__xludf.DUMMYFUNCTION("""COMPUTED_VALUE"""),"p_0194f178a81cb033f4f75f17fee867ddbcb9a3d7@inbound.aiesec.org")</f>
        <v>p_0194f178a81cb033f4f75f17fee867ddbcb9a3d7@inbound.aiesec.org</v>
      </c>
      <c r="F305" s="43"/>
      <c r="G305" s="43" t="str">
        <f>IFERROR(__xludf.DUMMYFUNCTION("""COMPUTED_VALUE"""),"Greece")</f>
        <v>Greece</v>
      </c>
      <c r="H305" s="43" t="str">
        <f>IFERROR(__xludf.DUMMYFUNCTION("""COMPUTED_VALUE"""),"UNIVERSITY OF PATRAS")</f>
        <v>UNIVERSITY OF PATRAS</v>
      </c>
      <c r="I305" s="43" t="str">
        <f>IFERROR(__xludf.DUMMYFUNCTION("""COMPUTED_VALUE"""),"Turkey")</f>
        <v>Turkey</v>
      </c>
      <c r="J305" s="43" t="str">
        <f>IFERROR(__xludf.DUMMYFUNCTION("""COMPUTED_VALUE"""),"ISTANBUL")</f>
        <v>ISTANBUL</v>
      </c>
      <c r="K305" s="44" t="str">
        <f>IFERROR(__xludf.DUMMYFUNCTION("""COMPUTED_VALUE"""),"https://expa.aiesec.org/opportunities/1285713")</f>
        <v>https://expa.aiesec.org/opportunities/1285713</v>
      </c>
      <c r="L305" s="43" t="str">
        <f>IFERROR(__xludf.DUMMYFUNCTION("""COMPUTED_VALUE"""),"GV")</f>
        <v>GV</v>
      </c>
      <c r="M305" s="43" t="str">
        <f>IFERROR(__xludf.DUMMYFUNCTION("""COMPUTED_VALUE"""),"short")</f>
        <v>short</v>
      </c>
      <c r="N305" s="45">
        <f>IFERROR(__xludf.DUMMYFUNCTION("""COMPUTED_VALUE"""),44893.0)</f>
        <v>44893</v>
      </c>
      <c r="O305" s="45">
        <f>IFERROR(__xludf.DUMMYFUNCTION("""COMPUTED_VALUE"""),44914.0)</f>
        <v>44914</v>
      </c>
      <c r="P305" s="45">
        <f>IFERROR(__xludf.DUMMYFUNCTION("""COMPUTED_VALUE"""),44956.0)</f>
        <v>44956</v>
      </c>
      <c r="Q305" s="45"/>
      <c r="R305" s="45"/>
      <c r="S305" s="43"/>
      <c r="T305" s="43"/>
      <c r="U305" s="43" t="str">
        <f>IFERROR(__xludf.DUMMYFUNCTION("""COMPUTED_VALUE"""),"Heartbeat")</f>
        <v>Heartbeat</v>
      </c>
      <c r="V305" s="43" t="str">
        <f>IFERROR(__xludf.DUMMYFUNCTION("""COMPUTED_VALUE"""),"-")</f>
        <v>-</v>
      </c>
      <c r="W305" s="43" t="str">
        <f>IFERROR(__xludf.DUMMYFUNCTION("""COMPUTED_VALUE"""),"2022-11-17T16:30:09Z")</f>
        <v>2022-11-17T16:30:09Z</v>
      </c>
      <c r="X305" s="43"/>
      <c r="Y305" s="43"/>
      <c r="Z305" s="43"/>
    </row>
    <row r="306" hidden="1">
      <c r="A306" s="43" t="str">
        <f>IFERROR(__xludf.DUMMYFUNCTION("""COMPUTED_VALUE"""),"5156125_1285681")</f>
        <v>5156125_1285681</v>
      </c>
      <c r="B306" s="43" t="str">
        <f>IFERROR(__xludf.DUMMYFUNCTION("""COMPUTED_VALUE"""),"Stefan Ropan")</f>
        <v>Stefan Ropan</v>
      </c>
      <c r="C306" s="43" t="str">
        <f>IFERROR(__xludf.DUMMYFUNCTION("""COMPUTED_VALUE"""),"completed")</f>
        <v>completed</v>
      </c>
      <c r="D306" s="43" t="str">
        <f>IFERROR(__xludf.DUMMYFUNCTION("""COMPUTED_VALUE"""),"No")</f>
        <v>No</v>
      </c>
      <c r="E306" s="43" t="str">
        <f>IFERROR(__xludf.DUMMYFUNCTION("""COMPUTED_VALUE"""),"p_ceb1ffad9ebe71b104a96883ea1b6f658f0ce555@inbound.aiesec.org")</f>
        <v>p_ceb1ffad9ebe71b104a96883ea1b6f658f0ce555@inbound.aiesec.org</v>
      </c>
      <c r="F306" s="43">
        <f>IFERROR(__xludf.DUMMYFUNCTION("""COMPUTED_VALUE"""),7.55229674E8)</f>
        <v>755229674</v>
      </c>
      <c r="G306" s="43" t="str">
        <f>IFERROR(__xludf.DUMMYFUNCTION("""COMPUTED_VALUE"""),"Romania")</f>
        <v>Romania</v>
      </c>
      <c r="H306" s="43" t="str">
        <f>IFERROR(__xludf.DUMMYFUNCTION("""COMPUTED_VALUE"""),"Cluj-Napoca")</f>
        <v>Cluj-Napoca</v>
      </c>
      <c r="I306" s="43" t="str">
        <f>IFERROR(__xludf.DUMMYFUNCTION("""COMPUTED_VALUE"""),"Turkey")</f>
        <v>Turkey</v>
      </c>
      <c r="J306" s="43" t="str">
        <f>IFERROR(__xludf.DUMMYFUNCTION("""COMPUTED_VALUE"""),"DENIZLI")</f>
        <v>DENIZLI</v>
      </c>
      <c r="K306" s="44" t="str">
        <f>IFERROR(__xludf.DUMMYFUNCTION("""COMPUTED_VALUE"""),"https://expa.aiesec.org/opportunities/1285681")</f>
        <v>https://expa.aiesec.org/opportunities/1285681</v>
      </c>
      <c r="L306" s="43" t="str">
        <f>IFERROR(__xludf.DUMMYFUNCTION("""COMPUTED_VALUE"""),"GV")</f>
        <v>GV</v>
      </c>
      <c r="M306" s="43" t="str">
        <f>IFERROR(__xludf.DUMMYFUNCTION("""COMPUTED_VALUE"""),"short")</f>
        <v>short</v>
      </c>
      <c r="N306" s="45">
        <f>IFERROR(__xludf.DUMMYFUNCTION("""COMPUTED_VALUE"""),44893.0)</f>
        <v>44893</v>
      </c>
      <c r="O306" s="45">
        <f>IFERROR(__xludf.DUMMYFUNCTION("""COMPUTED_VALUE"""),45117.0)</f>
        <v>45117</v>
      </c>
      <c r="P306" s="45">
        <f>IFERROR(__xludf.DUMMYFUNCTION("""COMPUTED_VALUE"""),45159.0)</f>
        <v>45159</v>
      </c>
      <c r="Q306" s="45">
        <f>IFERROR(__xludf.DUMMYFUNCTION("""COMPUTED_VALUE"""),45118.0)</f>
        <v>45118</v>
      </c>
      <c r="R306" s="45">
        <f>IFERROR(__xludf.DUMMYFUNCTION("""COMPUTED_VALUE"""),45159.0)</f>
        <v>45159</v>
      </c>
      <c r="S306" s="43"/>
      <c r="T306" s="43"/>
      <c r="U306" s="43" t="str">
        <f>IFERROR(__xludf.DUMMYFUNCTION("""COMPUTED_VALUE"""),"Equify")</f>
        <v>Equify</v>
      </c>
      <c r="V306" s="43" t="str">
        <f>IFERROR(__xludf.DUMMYFUNCTION("""COMPUTED_VALUE"""),"Cluj-Napoca")</f>
        <v>Cluj-Napoca</v>
      </c>
      <c r="W306" s="43" t="str">
        <f>IFERROR(__xludf.DUMMYFUNCTION("""COMPUTED_VALUE"""),"2022-11-20T13:23:07Z")</f>
        <v>2022-11-20T13:23:07Z</v>
      </c>
      <c r="X306" s="43"/>
      <c r="Y306" s="43"/>
      <c r="Z306" s="43"/>
    </row>
    <row r="307" hidden="1">
      <c r="A307" s="43" t="str">
        <f>IFERROR(__xludf.DUMMYFUNCTION("""COMPUTED_VALUE"""),"5091543_1287338")</f>
        <v>5091543_1287338</v>
      </c>
      <c r="B307" s="43" t="str">
        <f>IFERROR(__xludf.DUMMYFUNCTION("""COMPUTED_VALUE"""),"María Fernanda Granda Morales")</f>
        <v>María Fernanda Granda Morales</v>
      </c>
      <c r="C307" s="43" t="str">
        <f>IFERROR(__xludf.DUMMYFUNCTION("""COMPUTED_VALUE"""),"finished")</f>
        <v>finished</v>
      </c>
      <c r="D307" s="43" t="str">
        <f>IFERROR(__xludf.DUMMYFUNCTION("""COMPUTED_VALUE"""),"No")</f>
        <v>No</v>
      </c>
      <c r="E307" s="43" t="str">
        <f>IFERROR(__xludf.DUMMYFUNCTION("""COMPUTED_VALUE"""),"p_8de9d28b67db98842b2c7c7af91f725fb1e70f4a@inbound.aiesec.org")</f>
        <v>p_8de9d28b67db98842b2c7c7af91f725fb1e70f4a@inbound.aiesec.org</v>
      </c>
      <c r="F307" s="43"/>
      <c r="G307" s="43" t="str">
        <f>IFERROR(__xludf.DUMMYFUNCTION("""COMPUTED_VALUE"""),"France")</f>
        <v>France</v>
      </c>
      <c r="H307" s="43" t="str">
        <f>IFERROR(__xludf.DUMMYFUNCTION("""COMPUTED_VALUE"""),"Lyon")</f>
        <v>Lyon</v>
      </c>
      <c r="I307" s="43" t="str">
        <f>IFERROR(__xludf.DUMMYFUNCTION("""COMPUTED_VALUE"""),"Turkey")</f>
        <v>Turkey</v>
      </c>
      <c r="J307" s="43" t="str">
        <f>IFERROR(__xludf.DUMMYFUNCTION("""COMPUTED_VALUE"""),"ANKARA")</f>
        <v>ANKARA</v>
      </c>
      <c r="K307" s="44" t="str">
        <f>IFERROR(__xludf.DUMMYFUNCTION("""COMPUTED_VALUE"""),"https://expa.aiesec.org/opportunities/1287338")</f>
        <v>https://expa.aiesec.org/opportunities/1287338</v>
      </c>
      <c r="L307" s="43" t="str">
        <f>IFERROR(__xludf.DUMMYFUNCTION("""COMPUTED_VALUE"""),"GV")</f>
        <v>GV</v>
      </c>
      <c r="M307" s="43" t="str">
        <f>IFERROR(__xludf.DUMMYFUNCTION("""COMPUTED_VALUE"""),"short")</f>
        <v>short</v>
      </c>
      <c r="N307" s="45">
        <f>IFERROR(__xludf.DUMMYFUNCTION("""COMPUTED_VALUE"""),44893.0)</f>
        <v>44893</v>
      </c>
      <c r="O307" s="45">
        <f>IFERROR(__xludf.DUMMYFUNCTION("""COMPUTED_VALUE"""),44909.0)</f>
        <v>44909</v>
      </c>
      <c r="P307" s="45">
        <f>IFERROR(__xludf.DUMMYFUNCTION("""COMPUTED_VALUE"""),44951.0)</f>
        <v>44951</v>
      </c>
      <c r="Q307" s="45">
        <f>IFERROR(__xludf.DUMMYFUNCTION("""COMPUTED_VALUE"""),44912.0)</f>
        <v>44912</v>
      </c>
      <c r="R307" s="45">
        <f>IFERROR(__xludf.DUMMYFUNCTION("""COMPUTED_VALUE"""),44954.0)</f>
        <v>44954</v>
      </c>
      <c r="S307" s="43"/>
      <c r="T307" s="43"/>
      <c r="U307" s="43" t="str">
        <f>IFERROR(__xludf.DUMMYFUNCTION("""COMPUTED_VALUE"""),"Equify")</f>
        <v>Equify</v>
      </c>
      <c r="V307" s="43" t="str">
        <f>IFERROR(__xludf.DUMMYFUNCTION("""COMPUTED_VALUE"""),"-")</f>
        <v>-</v>
      </c>
      <c r="W307" s="43" t="str">
        <f>IFERROR(__xludf.DUMMYFUNCTION("""COMPUTED_VALUE"""),"2022-08-09T14:08:24Z")</f>
        <v>2022-08-09T14:08:24Z</v>
      </c>
      <c r="X307" s="43"/>
      <c r="Y307" s="43"/>
      <c r="Z307" s="43"/>
    </row>
    <row r="308" hidden="1">
      <c r="A308" s="43" t="str">
        <f>IFERROR(__xludf.DUMMYFUNCTION("""COMPUTED_VALUE"""),"5160445_1286920")</f>
        <v>5160445_1286920</v>
      </c>
      <c r="B308" s="43" t="str">
        <f>IFERROR(__xludf.DUMMYFUNCTION("""COMPUTED_VALUE"""),"Nejmeddine Layeb")</f>
        <v>Nejmeddine Layeb</v>
      </c>
      <c r="C308" s="43" t="str">
        <f>IFERROR(__xludf.DUMMYFUNCTION("""COMPUTED_VALUE"""),"completed")</f>
        <v>completed</v>
      </c>
      <c r="D308" s="43" t="str">
        <f>IFERROR(__xludf.DUMMYFUNCTION("""COMPUTED_VALUE"""),"No")</f>
        <v>No</v>
      </c>
      <c r="E308" s="43" t="str">
        <f>IFERROR(__xludf.DUMMYFUNCTION("""COMPUTED_VALUE"""),"p_118eaa849bedf51beb45710e58c78df517b5712d@inbound.aiesec.org")</f>
        <v>p_118eaa849bedf51beb45710e58c78df517b5712d@inbound.aiesec.org</v>
      </c>
      <c r="F308" s="43">
        <f>IFERROR(__xludf.DUMMYFUNCTION("""COMPUTED_VALUE"""),5.3426542E7)</f>
        <v>53426542</v>
      </c>
      <c r="G308" s="43" t="str">
        <f>IFERROR(__xludf.DUMMYFUNCTION("""COMPUTED_VALUE"""),"Tunisia")</f>
        <v>Tunisia</v>
      </c>
      <c r="H308" s="43" t="str">
        <f>IFERROR(__xludf.DUMMYFUNCTION("""COMPUTED_VALUE"""),"HADRUMET")</f>
        <v>HADRUMET</v>
      </c>
      <c r="I308" s="43" t="str">
        <f>IFERROR(__xludf.DUMMYFUNCTION("""COMPUTED_VALUE"""),"Turkey")</f>
        <v>Turkey</v>
      </c>
      <c r="J308" s="43" t="str">
        <f>IFERROR(__xludf.DUMMYFUNCTION("""COMPUTED_VALUE"""),"DENIZLI")</f>
        <v>DENIZLI</v>
      </c>
      <c r="K308" s="44" t="str">
        <f>IFERROR(__xludf.DUMMYFUNCTION("""COMPUTED_VALUE"""),"https://expa.aiesec.org/opportunities/1286920")</f>
        <v>https://expa.aiesec.org/opportunities/1286920</v>
      </c>
      <c r="L308" s="43" t="str">
        <f>IFERROR(__xludf.DUMMYFUNCTION("""COMPUTED_VALUE"""),"GV")</f>
        <v>GV</v>
      </c>
      <c r="M308" s="43" t="str">
        <f>IFERROR(__xludf.DUMMYFUNCTION("""COMPUTED_VALUE"""),"short")</f>
        <v>short</v>
      </c>
      <c r="N308" s="45">
        <f>IFERROR(__xludf.DUMMYFUNCTION("""COMPUTED_VALUE"""),44894.0)</f>
        <v>44894</v>
      </c>
      <c r="O308" s="45">
        <f>IFERROR(__xludf.DUMMYFUNCTION("""COMPUTED_VALUE"""),44907.0)</f>
        <v>44907</v>
      </c>
      <c r="P308" s="45">
        <f>IFERROR(__xludf.DUMMYFUNCTION("""COMPUTED_VALUE"""),44949.0)</f>
        <v>44949</v>
      </c>
      <c r="Q308" s="45">
        <f>IFERROR(__xludf.DUMMYFUNCTION("""COMPUTED_VALUE"""),44915.0)</f>
        <v>44915</v>
      </c>
      <c r="R308" s="45">
        <f>IFERROR(__xludf.DUMMYFUNCTION("""COMPUTED_VALUE"""),44956.0)</f>
        <v>44956</v>
      </c>
      <c r="S308" s="43"/>
      <c r="T308" s="43"/>
      <c r="U308" s="43" t="str">
        <f>IFERROR(__xludf.DUMMYFUNCTION("""COMPUTED_VALUE"""),"Global Classroom")</f>
        <v>Global Classroom</v>
      </c>
      <c r="V308" s="43" t="str">
        <f>IFERROR(__xludf.DUMMYFUNCTION("""COMPUTED_VALUE"""),"ISSAT Sousse")</f>
        <v>ISSAT Sousse</v>
      </c>
      <c r="W308" s="43" t="str">
        <f>IFERROR(__xludf.DUMMYFUNCTION("""COMPUTED_VALUE"""),"2022-11-29T13:50:04Z")</f>
        <v>2022-11-29T13:50:04Z</v>
      </c>
      <c r="X308" s="43"/>
      <c r="Y308" s="43"/>
      <c r="Z308" s="43"/>
    </row>
    <row r="309">
      <c r="A309" s="43" t="str">
        <f>IFERROR(__xludf.DUMMYFUNCTION("""COMPUTED_VALUE"""),"5160087_1284414")</f>
        <v>5160087_1284414</v>
      </c>
      <c r="B309" s="43" t="str">
        <f>IFERROR(__xludf.DUMMYFUNCTION("""COMPUTED_VALUE"""),"Eduardo Hale García")</f>
        <v>Eduardo Hale García</v>
      </c>
      <c r="C309" s="43" t="str">
        <f>IFERROR(__xludf.DUMMYFUNCTION("""COMPUTED_VALUE"""),"approved")</f>
        <v>approved</v>
      </c>
      <c r="D309" s="43" t="str">
        <f>IFERROR(__xludf.DUMMYFUNCTION("""COMPUTED_VALUE"""),"No")</f>
        <v>No</v>
      </c>
      <c r="E309" s="43" t="str">
        <f>IFERROR(__xludf.DUMMYFUNCTION("""COMPUTED_VALUE"""),"p_518ed490a4e09029fba2dbb64e22c4eaa10b676d@inbound.aiesec.org")</f>
        <v>p_518ed490a4e09029fba2dbb64e22c4eaa10b676d@inbound.aiesec.org</v>
      </c>
      <c r="F309" s="43">
        <f>IFERROR(__xludf.DUMMYFUNCTION("""COMPUTED_VALUE"""),5.52905601E9)</f>
        <v>5529056010</v>
      </c>
      <c r="G309" s="43" t="str">
        <f>IFERROR(__xludf.DUMMYFUNCTION("""COMPUTED_VALUE"""),"Mexico")</f>
        <v>Mexico</v>
      </c>
      <c r="H309" s="43" t="str">
        <f>IFERROR(__xludf.DUMMYFUNCTION("""COMPUTED_VALUE"""),"UP")</f>
        <v>UP</v>
      </c>
      <c r="I309" s="43" t="str">
        <f>IFERROR(__xludf.DUMMYFUNCTION("""COMPUTED_VALUE"""),"Turkey")</f>
        <v>Turkey</v>
      </c>
      <c r="J309" s="43" t="str">
        <f>IFERROR(__xludf.DUMMYFUNCTION("""COMPUTED_VALUE"""),"ISTANBUL")</f>
        <v>ISTANBUL</v>
      </c>
      <c r="K309" s="44" t="str">
        <f>IFERROR(__xludf.DUMMYFUNCTION("""COMPUTED_VALUE"""),"https://expa.aiesec.org/opportunities/1284414")</f>
        <v>https://expa.aiesec.org/opportunities/1284414</v>
      </c>
      <c r="L309" s="43" t="str">
        <f>IFERROR(__xludf.DUMMYFUNCTION("""COMPUTED_VALUE"""),"GV")</f>
        <v>GV</v>
      </c>
      <c r="M309" s="43" t="str">
        <f>IFERROR(__xludf.DUMMYFUNCTION("""COMPUTED_VALUE"""),"short")</f>
        <v>short</v>
      </c>
      <c r="N309" s="45">
        <f>IFERROR(__xludf.DUMMYFUNCTION("""COMPUTED_VALUE"""),44894.0)</f>
        <v>44894</v>
      </c>
      <c r="O309" s="45">
        <f>IFERROR(__xludf.DUMMYFUNCTION("""COMPUTED_VALUE"""),45103.0)</f>
        <v>45103</v>
      </c>
      <c r="P309" s="45">
        <f>IFERROR(__xludf.DUMMYFUNCTION("""COMPUTED_VALUE"""),45145.0)</f>
        <v>45145</v>
      </c>
      <c r="Q309" s="45"/>
      <c r="R309" s="45"/>
      <c r="S309" s="43"/>
      <c r="T309" s="43"/>
      <c r="U309" s="43" t="str">
        <f>IFERROR(__xludf.DUMMYFUNCTION("""COMPUTED_VALUE"""),"Equify")</f>
        <v>Equify</v>
      </c>
      <c r="V309" s="43" t="str">
        <f>IFERROR(__xludf.DUMMYFUNCTION("""COMPUTED_VALUE"""),"CDMX - Universidad Panamericana (UP)")</f>
        <v>CDMX - Universidad Panamericana (UP)</v>
      </c>
      <c r="W309" s="43" t="str">
        <f>IFERROR(__xludf.DUMMYFUNCTION("""COMPUTED_VALUE"""),"2022-11-28T20:04:41Z")</f>
        <v>2022-11-28T20:04:41Z</v>
      </c>
      <c r="X309" s="43"/>
      <c r="Y309" s="43"/>
      <c r="Z309" s="43"/>
    </row>
    <row r="310" hidden="1">
      <c r="A310" s="43" t="str">
        <f>IFERROR(__xludf.DUMMYFUNCTION("""COMPUTED_VALUE"""),"5159000_1288989")</f>
        <v>5159000_1288989</v>
      </c>
      <c r="B310" s="43" t="str">
        <f>IFERROR(__xludf.DUMMYFUNCTION("""COMPUTED_VALUE"""),"Pablo Bruno de Paula dos Santos")</f>
        <v>Pablo Bruno de Paula dos Santos</v>
      </c>
      <c r="C310" s="43" t="str">
        <f>IFERROR(__xludf.DUMMYFUNCTION("""COMPUTED_VALUE"""),"completed")</f>
        <v>completed</v>
      </c>
      <c r="D310" s="43" t="str">
        <f>IFERROR(__xludf.DUMMYFUNCTION("""COMPUTED_VALUE"""),"No")</f>
        <v>No</v>
      </c>
      <c r="E310" s="43" t="str">
        <f>IFERROR(__xludf.DUMMYFUNCTION("""COMPUTED_VALUE"""),"p_7596c909e924dd5d4f8ef96e17c59cd20551e147@inbound.aiesec.org")</f>
        <v>p_7596c909e924dd5d4f8ef96e17c59cd20551e147@inbound.aiesec.org</v>
      </c>
      <c r="F310" s="43">
        <f>IFERROR(__xludf.DUMMYFUNCTION("""COMPUTED_VALUE"""),5.514252035E9)</f>
        <v>5514252035</v>
      </c>
      <c r="G310" s="43" t="str">
        <f>IFERROR(__xludf.DUMMYFUNCTION("""COMPUTED_VALUE"""),"Brazil")</f>
        <v>Brazil</v>
      </c>
      <c r="H310" s="43" t="str">
        <f>IFERROR(__xludf.DUMMYFUNCTION("""COMPUTED_VALUE"""),"BRASÍLIA")</f>
        <v>BRASÍLIA</v>
      </c>
      <c r="I310" s="43" t="str">
        <f>IFERROR(__xludf.DUMMYFUNCTION("""COMPUTED_VALUE"""),"Turkey")</f>
        <v>Turkey</v>
      </c>
      <c r="J310" s="43" t="str">
        <f>IFERROR(__xludf.DUMMYFUNCTION("""COMPUTED_VALUE"""),"KUTAHYA")</f>
        <v>KUTAHYA</v>
      </c>
      <c r="K310" s="44" t="str">
        <f>IFERROR(__xludf.DUMMYFUNCTION("""COMPUTED_VALUE"""),"https://expa.aiesec.org/opportunities/1288989")</f>
        <v>https://expa.aiesec.org/opportunities/1288989</v>
      </c>
      <c r="L310" s="43" t="str">
        <f>IFERROR(__xludf.DUMMYFUNCTION("""COMPUTED_VALUE"""),"GV")</f>
        <v>GV</v>
      </c>
      <c r="M310" s="43" t="str">
        <f>IFERROR(__xludf.DUMMYFUNCTION("""COMPUTED_VALUE"""),"short")</f>
        <v>short</v>
      </c>
      <c r="N310" s="45">
        <f>IFERROR(__xludf.DUMMYFUNCTION("""COMPUTED_VALUE"""),44894.0)</f>
        <v>44894</v>
      </c>
      <c r="O310" s="45">
        <f>IFERROR(__xludf.DUMMYFUNCTION("""COMPUTED_VALUE"""),45047.0)</f>
        <v>45047</v>
      </c>
      <c r="P310" s="45">
        <f>IFERROR(__xludf.DUMMYFUNCTION("""COMPUTED_VALUE"""),45089.0)</f>
        <v>45089</v>
      </c>
      <c r="Q310" s="45">
        <f>IFERROR(__xludf.DUMMYFUNCTION("""COMPUTED_VALUE"""),45047.0)</f>
        <v>45047</v>
      </c>
      <c r="R310" s="45">
        <f>IFERROR(__xludf.DUMMYFUNCTION("""COMPUTED_VALUE"""),45089.0)</f>
        <v>45089</v>
      </c>
      <c r="S310" s="43"/>
      <c r="T310" s="43"/>
      <c r="U310" s="43" t="str">
        <f>IFERROR(__xludf.DUMMYFUNCTION("""COMPUTED_VALUE"""),"Green Leaders")</f>
        <v>Green Leaders</v>
      </c>
      <c r="V310" s="43" t="str">
        <f>IFERROR(__xludf.DUMMYFUNCTION("""COMPUTED_VALUE"""),"Brasília")</f>
        <v>Brasília</v>
      </c>
      <c r="W310" s="43" t="str">
        <f>IFERROR(__xludf.DUMMYFUNCTION("""COMPUTED_VALUE"""),"2022-11-26T00:51:53Z")</f>
        <v>2022-11-26T00:51:53Z</v>
      </c>
      <c r="X310" s="43"/>
      <c r="Y310" s="43"/>
      <c r="Z310" s="43"/>
    </row>
    <row r="311" hidden="1">
      <c r="A311" s="43" t="str">
        <f>IFERROR(__xludf.DUMMYFUNCTION("""COMPUTED_VALUE"""),"5023565_1290638")</f>
        <v>5023565_1290638</v>
      </c>
      <c r="B311" s="43" t="str">
        <f>IFERROR(__xludf.DUMMYFUNCTION("""COMPUTED_VALUE"""),"Abdelrahman Eltager")</f>
        <v>Abdelrahman Eltager</v>
      </c>
      <c r="C311" s="43" t="str">
        <f>IFERROR(__xludf.DUMMYFUNCTION("""COMPUTED_VALUE"""),"completed")</f>
        <v>completed</v>
      </c>
      <c r="D311" s="43" t="str">
        <f>IFERROR(__xludf.DUMMYFUNCTION("""COMPUTED_VALUE"""),"No")</f>
        <v>No</v>
      </c>
      <c r="E311" s="43" t="str">
        <f>IFERROR(__xludf.DUMMYFUNCTION("""COMPUTED_VALUE"""),"p_502715429abc9881fb78fd031d73dfbd83682402@inbound.aiesec.org")</f>
        <v>p_502715429abc9881fb78fd031d73dfbd83682402@inbound.aiesec.org</v>
      </c>
      <c r="F311" s="43">
        <f>IFERROR(__xludf.DUMMYFUNCTION("""COMPUTED_VALUE"""),1.271779276E9)</f>
        <v>1271779276</v>
      </c>
      <c r="G311" s="43" t="str">
        <f>IFERROR(__xludf.DUMMYFUNCTION("""COMPUTED_VALUE"""),"Egypt")</f>
        <v>Egypt</v>
      </c>
      <c r="H311" s="43" t="str">
        <f>IFERROR(__xludf.DUMMYFUNCTION("""COMPUTED_VALUE"""),"Cairo University")</f>
        <v>Cairo University</v>
      </c>
      <c r="I311" s="43" t="str">
        <f>IFERROR(__xludf.DUMMYFUNCTION("""COMPUTED_VALUE"""),"Turkey")</f>
        <v>Turkey</v>
      </c>
      <c r="J311" s="43" t="str">
        <f>IFERROR(__xludf.DUMMYFUNCTION("""COMPUTED_VALUE"""),"KUTAHYA")</f>
        <v>KUTAHYA</v>
      </c>
      <c r="K311" s="44" t="str">
        <f>IFERROR(__xludf.DUMMYFUNCTION("""COMPUTED_VALUE"""),"https://expa.aiesec.org/opportunities/1290638")</f>
        <v>https://expa.aiesec.org/opportunities/1290638</v>
      </c>
      <c r="L311" s="43" t="str">
        <f>IFERROR(__xludf.DUMMYFUNCTION("""COMPUTED_VALUE"""),"GV")</f>
        <v>GV</v>
      </c>
      <c r="M311" s="43" t="str">
        <f>IFERROR(__xludf.DUMMYFUNCTION("""COMPUTED_VALUE"""),"short")</f>
        <v>short</v>
      </c>
      <c r="N311" s="45">
        <f>IFERROR(__xludf.DUMMYFUNCTION("""COMPUTED_VALUE"""),44894.0)</f>
        <v>44894</v>
      </c>
      <c r="O311" s="45">
        <f>IFERROR(__xludf.DUMMYFUNCTION("""COMPUTED_VALUE"""),44958.0)</f>
        <v>44958</v>
      </c>
      <c r="P311" s="45">
        <f>IFERROR(__xludf.DUMMYFUNCTION("""COMPUTED_VALUE"""),45000.0)</f>
        <v>45000</v>
      </c>
      <c r="Q311" s="45">
        <f>IFERROR(__xludf.DUMMYFUNCTION("""COMPUTED_VALUE"""),44959.0)</f>
        <v>44959</v>
      </c>
      <c r="R311" s="45">
        <f>IFERROR(__xludf.DUMMYFUNCTION("""COMPUTED_VALUE"""),45000.0)</f>
        <v>45000</v>
      </c>
      <c r="S311" s="43"/>
      <c r="T311" s="43"/>
      <c r="U311" s="43" t="str">
        <f>IFERROR(__xludf.DUMMYFUNCTION("""COMPUTED_VALUE"""),"Rooted")</f>
        <v>Rooted</v>
      </c>
      <c r="V311" s="43" t="str">
        <f>IFERROR(__xludf.DUMMYFUNCTION("""COMPUTED_VALUE"""),"Cairo Univeristy")</f>
        <v>Cairo Univeristy</v>
      </c>
      <c r="W311" s="43" t="str">
        <f>IFERROR(__xludf.DUMMYFUNCTION("""COMPUTED_VALUE"""),"2022-04-03T12:56:33Z")</f>
        <v>2022-04-03T12:56:33Z</v>
      </c>
      <c r="X311" s="43"/>
      <c r="Y311" s="43"/>
      <c r="Z311" s="43"/>
    </row>
    <row r="312" hidden="1">
      <c r="A312" s="43" t="str">
        <f>IFERROR(__xludf.DUMMYFUNCTION("""COMPUTED_VALUE"""),"5037012_1289155")</f>
        <v>5037012_1289155</v>
      </c>
      <c r="B312" s="43" t="str">
        <f>IFERROR(__xludf.DUMMYFUNCTION("""COMPUTED_VALUE"""),"Malak Moustafa")</f>
        <v>Malak Moustafa</v>
      </c>
      <c r="C312" s="43" t="str">
        <f>IFERROR(__xludf.DUMMYFUNCTION("""COMPUTED_VALUE"""),"finished")</f>
        <v>finished</v>
      </c>
      <c r="D312" s="43" t="str">
        <f>IFERROR(__xludf.DUMMYFUNCTION("""COMPUTED_VALUE"""),"No")</f>
        <v>No</v>
      </c>
      <c r="E312" s="43" t="str">
        <f>IFERROR(__xludf.DUMMYFUNCTION("""COMPUTED_VALUE"""),"p_b01f0e407450a448f64297ca2ca2a4bd352215e7@inbound.aiesec.org")</f>
        <v>p_b01f0e407450a448f64297ca2ca2a4bd352215e7@inbound.aiesec.org</v>
      </c>
      <c r="F312" s="43"/>
      <c r="G312" s="43" t="str">
        <f>IFERROR(__xludf.DUMMYFUNCTION("""COMPUTED_VALUE"""),"Egypt")</f>
        <v>Egypt</v>
      </c>
      <c r="H312" s="43" t="str">
        <f>IFERROR(__xludf.DUMMYFUNCTION("""COMPUTED_VALUE"""),"MSA")</f>
        <v>MSA</v>
      </c>
      <c r="I312" s="43" t="str">
        <f>IFERROR(__xludf.DUMMYFUNCTION("""COMPUTED_VALUE"""),"Turkey")</f>
        <v>Turkey</v>
      </c>
      <c r="J312" s="43" t="str">
        <f>IFERROR(__xludf.DUMMYFUNCTION("""COMPUTED_VALUE"""),"KONYA")</f>
        <v>KONYA</v>
      </c>
      <c r="K312" s="44" t="str">
        <f>IFERROR(__xludf.DUMMYFUNCTION("""COMPUTED_VALUE"""),"https://expa.aiesec.org/opportunities/1289155")</f>
        <v>https://expa.aiesec.org/opportunities/1289155</v>
      </c>
      <c r="L312" s="43" t="str">
        <f>IFERROR(__xludf.DUMMYFUNCTION("""COMPUTED_VALUE"""),"GV")</f>
        <v>GV</v>
      </c>
      <c r="M312" s="43" t="str">
        <f>IFERROR(__xludf.DUMMYFUNCTION("""COMPUTED_VALUE"""),"short")</f>
        <v>short</v>
      </c>
      <c r="N312" s="45">
        <f>IFERROR(__xludf.DUMMYFUNCTION("""COMPUTED_VALUE"""),44894.0)</f>
        <v>44894</v>
      </c>
      <c r="O312" s="45">
        <f>IFERROR(__xludf.DUMMYFUNCTION("""COMPUTED_VALUE"""),45117.0)</f>
        <v>45117</v>
      </c>
      <c r="P312" s="45">
        <f>IFERROR(__xludf.DUMMYFUNCTION("""COMPUTED_VALUE"""),45159.0)</f>
        <v>45159</v>
      </c>
      <c r="Q312" s="45">
        <f>IFERROR(__xludf.DUMMYFUNCTION("""COMPUTED_VALUE"""),45136.0)</f>
        <v>45136</v>
      </c>
      <c r="R312" s="45">
        <f>IFERROR(__xludf.DUMMYFUNCTION("""COMPUTED_VALUE"""),45179.0)</f>
        <v>45179</v>
      </c>
      <c r="S312" s="43"/>
      <c r="T312" s="43"/>
      <c r="U312" s="43" t="str">
        <f>IFERROR(__xludf.DUMMYFUNCTION("""COMPUTED_VALUE"""),"Global Classroom")</f>
        <v>Global Classroom</v>
      </c>
      <c r="V312" s="43" t="str">
        <f>IFERROR(__xludf.DUMMYFUNCTION("""COMPUTED_VALUE"""),"-")</f>
        <v>-</v>
      </c>
      <c r="W312" s="43" t="str">
        <f>IFERROR(__xludf.DUMMYFUNCTION("""COMPUTED_VALUE"""),"2022-04-12T09:44:17Z")</f>
        <v>2022-04-12T09:44:17Z</v>
      </c>
      <c r="X312" s="43"/>
      <c r="Y312" s="43"/>
      <c r="Z312" s="43"/>
    </row>
    <row r="313" hidden="1">
      <c r="A313" s="43" t="str">
        <f>IFERROR(__xludf.DUMMYFUNCTION("""COMPUTED_VALUE"""),"5161138_1285687")</f>
        <v>5161138_1285687</v>
      </c>
      <c r="B313" s="43" t="str">
        <f>IFERROR(__xludf.DUMMYFUNCTION("""COMPUTED_VALUE"""),"Wissal Gdaym")</f>
        <v>Wissal Gdaym</v>
      </c>
      <c r="C313" s="43" t="str">
        <f>IFERROR(__xludf.DUMMYFUNCTION("""COMPUTED_VALUE"""),"approved")</f>
        <v>approved</v>
      </c>
      <c r="D313" s="43" t="str">
        <f>IFERROR(__xludf.DUMMYFUNCTION("""COMPUTED_VALUE"""),"No")</f>
        <v>No</v>
      </c>
      <c r="E313" s="43" t="str">
        <f>IFERROR(__xludf.DUMMYFUNCTION("""COMPUTED_VALUE"""),"p_1adc244f5282296aad5da172dcebef4854c0956f@inbound.aiesec.org")</f>
        <v>p_1adc244f5282296aad5da172dcebef4854c0956f@inbound.aiesec.org</v>
      </c>
      <c r="F313" s="43">
        <f>IFERROR(__xludf.DUMMYFUNCTION("""COMPUTED_VALUE"""),2.2037812E7)</f>
        <v>22037812</v>
      </c>
      <c r="G313" s="43" t="str">
        <f>IFERROR(__xludf.DUMMYFUNCTION("""COMPUTED_VALUE"""),"Tunisia")</f>
        <v>Tunisia</v>
      </c>
      <c r="H313" s="43" t="str">
        <f>IFERROR(__xludf.DUMMYFUNCTION("""COMPUTED_VALUE"""),"SFAX")</f>
        <v>SFAX</v>
      </c>
      <c r="I313" s="43" t="str">
        <f>IFERROR(__xludf.DUMMYFUNCTION("""COMPUTED_VALUE"""),"Turkey")</f>
        <v>Turkey</v>
      </c>
      <c r="J313" s="43" t="str">
        <f>IFERROR(__xludf.DUMMYFUNCTION("""COMPUTED_VALUE"""),"ISTANBUL")</f>
        <v>ISTANBUL</v>
      </c>
      <c r="K313" s="44" t="str">
        <f>IFERROR(__xludf.DUMMYFUNCTION("""COMPUTED_VALUE"""),"https://expa.aiesec.org/opportunities/1285687")</f>
        <v>https://expa.aiesec.org/opportunities/1285687</v>
      </c>
      <c r="L313" s="43" t="str">
        <f>IFERROR(__xludf.DUMMYFUNCTION("""COMPUTED_VALUE"""),"GV")</f>
        <v>GV</v>
      </c>
      <c r="M313" s="43" t="str">
        <f>IFERROR(__xludf.DUMMYFUNCTION("""COMPUTED_VALUE"""),"short")</f>
        <v>short</v>
      </c>
      <c r="N313" s="45">
        <f>IFERROR(__xludf.DUMMYFUNCTION("""COMPUTED_VALUE"""),44895.0)</f>
        <v>44895</v>
      </c>
      <c r="O313" s="45">
        <f>IFERROR(__xludf.DUMMYFUNCTION("""COMPUTED_VALUE"""),45124.0)</f>
        <v>45124</v>
      </c>
      <c r="P313" s="45">
        <f>IFERROR(__xludf.DUMMYFUNCTION("""COMPUTED_VALUE"""),45166.0)</f>
        <v>45166</v>
      </c>
      <c r="Q313" s="45"/>
      <c r="R313" s="45"/>
      <c r="S313" s="43"/>
      <c r="T313" s="43"/>
      <c r="U313" s="43" t="str">
        <f>IFERROR(__xludf.DUMMYFUNCTION("""COMPUTED_VALUE"""),"Youth 4 Impact")</f>
        <v>Youth 4 Impact</v>
      </c>
      <c r="V313" s="43" t="str">
        <f>IFERROR(__xludf.DUMMYFUNCTION("""COMPUTED_VALUE"""),"IHEC Sfax")</f>
        <v>IHEC Sfax</v>
      </c>
      <c r="W313" s="43" t="str">
        <f>IFERROR(__xludf.DUMMYFUNCTION("""COMPUTED_VALUE"""),"2022-11-30T20:01:47Z")</f>
        <v>2022-11-30T20:01:47Z</v>
      </c>
      <c r="X313" s="43"/>
      <c r="Y313" s="43"/>
      <c r="Z313" s="43"/>
    </row>
    <row r="314" hidden="1">
      <c r="A314" s="43" t="str">
        <f>IFERROR(__xludf.DUMMYFUNCTION("""COMPUTED_VALUE"""),"5161128_1285687")</f>
        <v>5161128_1285687</v>
      </c>
      <c r="B314" s="43" t="str">
        <f>IFERROR(__xludf.DUMMYFUNCTION("""COMPUTED_VALUE"""),"Nourhene Ayed")</f>
        <v>Nourhene Ayed</v>
      </c>
      <c r="C314" s="43" t="str">
        <f>IFERROR(__xludf.DUMMYFUNCTION("""COMPUTED_VALUE"""),"finished")</f>
        <v>finished</v>
      </c>
      <c r="D314" s="43" t="str">
        <f>IFERROR(__xludf.DUMMYFUNCTION("""COMPUTED_VALUE"""),"No")</f>
        <v>No</v>
      </c>
      <c r="E314" s="43" t="str">
        <f>IFERROR(__xludf.DUMMYFUNCTION("""COMPUTED_VALUE"""),"p_2bafbcc012c114e89d5ca0ec12f73a1acd18784d@inbound.aiesec.org")</f>
        <v>p_2bafbcc012c114e89d5ca0ec12f73a1acd18784d@inbound.aiesec.org</v>
      </c>
      <c r="F314" s="43">
        <f>IFERROR(__xludf.DUMMYFUNCTION("""COMPUTED_VALUE"""),2.6203629E7)</f>
        <v>26203629</v>
      </c>
      <c r="G314" s="43" t="str">
        <f>IFERROR(__xludf.DUMMYFUNCTION("""COMPUTED_VALUE"""),"Tunisia")</f>
        <v>Tunisia</v>
      </c>
      <c r="H314" s="43" t="str">
        <f>IFERROR(__xludf.DUMMYFUNCTION("""COMPUTED_VALUE"""),"SFAX")</f>
        <v>SFAX</v>
      </c>
      <c r="I314" s="43" t="str">
        <f>IFERROR(__xludf.DUMMYFUNCTION("""COMPUTED_VALUE"""),"Turkey")</f>
        <v>Turkey</v>
      </c>
      <c r="J314" s="43" t="str">
        <f>IFERROR(__xludf.DUMMYFUNCTION("""COMPUTED_VALUE"""),"ISTANBUL")</f>
        <v>ISTANBUL</v>
      </c>
      <c r="K314" s="44" t="str">
        <f>IFERROR(__xludf.DUMMYFUNCTION("""COMPUTED_VALUE"""),"https://expa.aiesec.org/opportunities/1285687")</f>
        <v>https://expa.aiesec.org/opportunities/1285687</v>
      </c>
      <c r="L314" s="43" t="str">
        <f>IFERROR(__xludf.DUMMYFUNCTION("""COMPUTED_VALUE"""),"GV")</f>
        <v>GV</v>
      </c>
      <c r="M314" s="43" t="str">
        <f>IFERROR(__xludf.DUMMYFUNCTION("""COMPUTED_VALUE"""),"short")</f>
        <v>short</v>
      </c>
      <c r="N314" s="45">
        <f>IFERROR(__xludf.DUMMYFUNCTION("""COMPUTED_VALUE"""),44895.0)</f>
        <v>44895</v>
      </c>
      <c r="O314" s="45">
        <f>IFERROR(__xludf.DUMMYFUNCTION("""COMPUTED_VALUE"""),45124.0)</f>
        <v>45124</v>
      </c>
      <c r="P314" s="45">
        <f>IFERROR(__xludf.DUMMYFUNCTION("""COMPUTED_VALUE"""),45166.0)</f>
        <v>45166</v>
      </c>
      <c r="Q314" s="45">
        <f>IFERROR(__xludf.DUMMYFUNCTION("""COMPUTED_VALUE"""),45125.0)</f>
        <v>45125</v>
      </c>
      <c r="R314" s="45">
        <f>IFERROR(__xludf.DUMMYFUNCTION("""COMPUTED_VALUE"""),45166.0)</f>
        <v>45166</v>
      </c>
      <c r="S314" s="43"/>
      <c r="T314" s="43"/>
      <c r="U314" s="43" t="str">
        <f>IFERROR(__xludf.DUMMYFUNCTION("""COMPUTED_VALUE"""),"Youth 4 Impact")</f>
        <v>Youth 4 Impact</v>
      </c>
      <c r="V314" s="43" t="str">
        <f>IFERROR(__xludf.DUMMYFUNCTION("""COMPUTED_VALUE"""),"FSEG sfax")</f>
        <v>FSEG sfax</v>
      </c>
      <c r="W314" s="43" t="str">
        <f>IFERROR(__xludf.DUMMYFUNCTION("""COMPUTED_VALUE"""),"2022-11-30T19:27:43Z")</f>
        <v>2022-11-30T19:27:43Z</v>
      </c>
      <c r="X314" s="43"/>
      <c r="Y314" s="43"/>
      <c r="Z314" s="43"/>
    </row>
    <row r="315" hidden="1">
      <c r="A315" s="43" t="str">
        <f>IFERROR(__xludf.DUMMYFUNCTION("""COMPUTED_VALUE"""),"5161028_1286312")</f>
        <v>5161028_1286312</v>
      </c>
      <c r="B315" s="43" t="str">
        <f>IFERROR(__xludf.DUMMYFUNCTION("""COMPUTED_VALUE"""),"Kenza Jaouadi")</f>
        <v>Kenza Jaouadi</v>
      </c>
      <c r="C315" s="43" t="str">
        <f>IFERROR(__xludf.DUMMYFUNCTION("""COMPUTED_VALUE"""),"finished")</f>
        <v>finished</v>
      </c>
      <c r="D315" s="43" t="str">
        <f>IFERROR(__xludf.DUMMYFUNCTION("""COMPUTED_VALUE"""),"No")</f>
        <v>No</v>
      </c>
      <c r="E315" s="43" t="str">
        <f>IFERROR(__xludf.DUMMYFUNCTION("""COMPUTED_VALUE"""),"p_8a182c636cb84b2a0598095baf34aca64e8a55e9@inbound.aiesec.org")</f>
        <v>p_8a182c636cb84b2a0598095baf34aca64e8a55e9@inbound.aiesec.org</v>
      </c>
      <c r="F315" s="43">
        <f>IFERROR(__xludf.DUMMYFUNCTION("""COMPUTED_VALUE"""),2.9322929E7)</f>
        <v>29322929</v>
      </c>
      <c r="G315" s="43" t="str">
        <f>IFERROR(__xludf.DUMMYFUNCTION("""COMPUTED_VALUE"""),"Tunisia")</f>
        <v>Tunisia</v>
      </c>
      <c r="H315" s="43" t="str">
        <f>IFERROR(__xludf.DUMMYFUNCTION("""COMPUTED_VALUE"""),"Carthage")</f>
        <v>Carthage</v>
      </c>
      <c r="I315" s="43" t="str">
        <f>IFERROR(__xludf.DUMMYFUNCTION("""COMPUTED_VALUE"""),"Turkey")</f>
        <v>Turkey</v>
      </c>
      <c r="J315" s="43" t="str">
        <f>IFERROR(__xludf.DUMMYFUNCTION("""COMPUTED_VALUE"""),"KONYA")</f>
        <v>KONYA</v>
      </c>
      <c r="K315" s="44" t="str">
        <f>IFERROR(__xludf.DUMMYFUNCTION("""COMPUTED_VALUE"""),"https://expa.aiesec.org/opportunities/1286312")</f>
        <v>https://expa.aiesec.org/opportunities/1286312</v>
      </c>
      <c r="L315" s="43" t="str">
        <f>IFERROR(__xludf.DUMMYFUNCTION("""COMPUTED_VALUE"""),"GV")</f>
        <v>GV</v>
      </c>
      <c r="M315" s="43" t="str">
        <f>IFERROR(__xludf.DUMMYFUNCTION("""COMPUTED_VALUE"""),"short")</f>
        <v>short</v>
      </c>
      <c r="N315" s="45">
        <f>IFERROR(__xludf.DUMMYFUNCTION("""COMPUTED_VALUE"""),44895.0)</f>
        <v>44895</v>
      </c>
      <c r="O315" s="45">
        <f>IFERROR(__xludf.DUMMYFUNCTION("""COMPUTED_VALUE"""),45117.0)</f>
        <v>45117</v>
      </c>
      <c r="P315" s="45">
        <f>IFERROR(__xludf.DUMMYFUNCTION("""COMPUTED_VALUE"""),45159.0)</f>
        <v>45159</v>
      </c>
      <c r="Q315" s="45">
        <f>IFERROR(__xludf.DUMMYFUNCTION("""COMPUTED_VALUE"""),45119.0)</f>
        <v>45119</v>
      </c>
      <c r="R315" s="45">
        <f>IFERROR(__xludf.DUMMYFUNCTION("""COMPUTED_VALUE"""),45159.0)</f>
        <v>45159</v>
      </c>
      <c r="S315" s="43"/>
      <c r="T315" s="43"/>
      <c r="U315" s="43" t="str">
        <f>IFERROR(__xludf.DUMMYFUNCTION("""COMPUTED_VALUE"""),"Global Classroom")</f>
        <v>Global Classroom</v>
      </c>
      <c r="V315" s="43" t="str">
        <f>IFERROR(__xludf.DUMMYFUNCTION("""COMPUTED_VALUE"""),"MSB")</f>
        <v>MSB</v>
      </c>
      <c r="W315" s="43" t="str">
        <f>IFERROR(__xludf.DUMMYFUNCTION("""COMPUTED_VALUE"""),"2022-11-30T15:56:25Z")</f>
        <v>2022-11-30T15:56:25Z</v>
      </c>
      <c r="X315" s="43"/>
      <c r="Y315" s="43"/>
      <c r="Z315" s="43"/>
    </row>
    <row r="316" hidden="1">
      <c r="A316" s="43" t="str">
        <f>IFERROR(__xludf.DUMMYFUNCTION("""COMPUTED_VALUE"""),"5159036_1272564")</f>
        <v>5159036_1272564</v>
      </c>
      <c r="B316" s="43" t="str">
        <f>IFERROR(__xludf.DUMMYFUNCTION("""COMPUTED_VALUE"""),"Aasis Sethi")</f>
        <v>Aasis Sethi</v>
      </c>
      <c r="C316" s="43" t="str">
        <f>IFERROR(__xludf.DUMMYFUNCTION("""COMPUTED_VALUE"""),"approved")</f>
        <v>approved</v>
      </c>
      <c r="D316" s="43" t="str">
        <f>IFERROR(__xludf.DUMMYFUNCTION("""COMPUTED_VALUE"""),"No")</f>
        <v>No</v>
      </c>
      <c r="E316" s="43" t="str">
        <f>IFERROR(__xludf.DUMMYFUNCTION("""COMPUTED_VALUE"""),"p_bb9d8898a9415116f0e37a482ad1bd4214862986@inbound.aiesec.org")</f>
        <v>p_bb9d8898a9415116f0e37a482ad1bd4214862986@inbound.aiesec.org</v>
      </c>
      <c r="F316" s="43">
        <f>IFERROR(__xludf.DUMMYFUNCTION("""COMPUTED_VALUE"""),8.76620554E9)</f>
        <v>8766205540</v>
      </c>
      <c r="G316" s="43" t="str">
        <f>IFERROR(__xludf.DUMMYFUNCTION("""COMPUTED_VALUE"""),"India")</f>
        <v>India</v>
      </c>
      <c r="H316" s="43" t="str">
        <f>IFERROR(__xludf.DUMMYFUNCTION("""COMPUTED_VALUE"""),"Delhi University")</f>
        <v>Delhi University</v>
      </c>
      <c r="I316" s="43" t="str">
        <f>IFERROR(__xludf.DUMMYFUNCTION("""COMPUTED_VALUE"""),"Turkey")</f>
        <v>Turkey</v>
      </c>
      <c r="J316" s="43" t="str">
        <f>IFERROR(__xludf.DUMMYFUNCTION("""COMPUTED_VALUE"""),"ISTANBUL")</f>
        <v>ISTANBUL</v>
      </c>
      <c r="K316" s="44" t="str">
        <f>IFERROR(__xludf.DUMMYFUNCTION("""COMPUTED_VALUE"""),"https://expa.aiesec.org/opportunities/1272564")</f>
        <v>https://expa.aiesec.org/opportunities/1272564</v>
      </c>
      <c r="L316" s="43" t="str">
        <f>IFERROR(__xludf.DUMMYFUNCTION("""COMPUTED_VALUE"""),"GV")</f>
        <v>GV</v>
      </c>
      <c r="M316" s="43" t="str">
        <f>IFERROR(__xludf.DUMMYFUNCTION("""COMPUTED_VALUE"""),"short")</f>
        <v>short</v>
      </c>
      <c r="N316" s="45">
        <f>IFERROR(__xludf.DUMMYFUNCTION("""COMPUTED_VALUE"""),44895.0)</f>
        <v>44895</v>
      </c>
      <c r="O316" s="45">
        <f>IFERROR(__xludf.DUMMYFUNCTION("""COMPUTED_VALUE"""),45173.0)</f>
        <v>45173</v>
      </c>
      <c r="P316" s="45">
        <f>IFERROR(__xludf.DUMMYFUNCTION("""COMPUTED_VALUE"""),45215.0)</f>
        <v>45215</v>
      </c>
      <c r="Q316" s="45"/>
      <c r="R316" s="45"/>
      <c r="S316" s="43"/>
      <c r="T316" s="43"/>
      <c r="U316" s="43" t="str">
        <f>IFERROR(__xludf.DUMMYFUNCTION("""COMPUTED_VALUE"""),"Global Classroom")</f>
        <v>Global Classroom</v>
      </c>
      <c r="V316" s="43" t="str">
        <f>IFERROR(__xludf.DUMMYFUNCTION("""COMPUTED_VALUE"""),"North Campus, Delhi University")</f>
        <v>North Campus, Delhi University</v>
      </c>
      <c r="W316" s="43" t="str">
        <f>IFERROR(__xludf.DUMMYFUNCTION("""COMPUTED_VALUE"""),"2022-11-26T06:29:07Z")</f>
        <v>2022-11-26T06:29:07Z</v>
      </c>
      <c r="X316" s="43"/>
      <c r="Y316" s="43"/>
      <c r="Z316" s="43"/>
    </row>
    <row r="317" hidden="1">
      <c r="A317" s="43" t="str">
        <f>IFERROR(__xludf.DUMMYFUNCTION("""COMPUTED_VALUE"""),"5133535_1286326")</f>
        <v>5133535_1286326</v>
      </c>
      <c r="B317" s="43" t="str">
        <f>IFERROR(__xludf.DUMMYFUNCTION("""COMPUTED_VALUE"""),"Novita Sari Simorangkir")</f>
        <v>Novita Sari Simorangkir</v>
      </c>
      <c r="C317" s="43" t="str">
        <f>IFERROR(__xludf.DUMMYFUNCTION("""COMPUTED_VALUE"""),"completed")</f>
        <v>completed</v>
      </c>
      <c r="D317" s="43" t="str">
        <f>IFERROR(__xludf.DUMMYFUNCTION("""COMPUTED_VALUE"""),"No")</f>
        <v>No</v>
      </c>
      <c r="E317" s="43" t="str">
        <f>IFERROR(__xludf.DUMMYFUNCTION("""COMPUTED_VALUE"""),"p_ca075b71a0d5d4dc8be677b3a7ecd87c4337a271@inbound.aiesec.org")</f>
        <v>p_ca075b71a0d5d4dc8be677b3a7ecd87c4337a271@inbound.aiesec.org</v>
      </c>
      <c r="F317" s="43">
        <f>IFERROR(__xludf.DUMMYFUNCTION("""COMPUTED_VALUE"""),3.192435536E9)</f>
        <v>3192435536</v>
      </c>
      <c r="G317" s="43" t="str">
        <f>IFERROR(__xludf.DUMMYFUNCTION("""COMPUTED_VALUE"""),"Indonesia")</f>
        <v>Indonesia</v>
      </c>
      <c r="H317" s="43" t="str">
        <f>IFERROR(__xludf.DUMMYFUNCTION("""COMPUTED_VALUE"""),"PU")</f>
        <v>PU</v>
      </c>
      <c r="I317" s="43" t="str">
        <f>IFERROR(__xludf.DUMMYFUNCTION("""COMPUTED_VALUE"""),"Turkey")</f>
        <v>Turkey</v>
      </c>
      <c r="J317" s="43" t="str">
        <f>IFERROR(__xludf.DUMMYFUNCTION("""COMPUTED_VALUE"""),"ADANA")</f>
        <v>ADANA</v>
      </c>
      <c r="K317" s="44" t="str">
        <f>IFERROR(__xludf.DUMMYFUNCTION("""COMPUTED_VALUE"""),"https://expa.aiesec.org/opportunities/1286326")</f>
        <v>https://expa.aiesec.org/opportunities/1286326</v>
      </c>
      <c r="L317" s="43" t="str">
        <f>IFERROR(__xludf.DUMMYFUNCTION("""COMPUTED_VALUE"""),"GV")</f>
        <v>GV</v>
      </c>
      <c r="M317" s="43" t="str">
        <f>IFERROR(__xludf.DUMMYFUNCTION("""COMPUTED_VALUE"""),"short")</f>
        <v>short</v>
      </c>
      <c r="N317" s="45">
        <f>IFERROR(__xludf.DUMMYFUNCTION("""COMPUTED_VALUE"""),44895.0)</f>
        <v>44895</v>
      </c>
      <c r="O317" s="45">
        <f>IFERROR(__xludf.DUMMYFUNCTION("""COMPUTED_VALUE"""),44914.0)</f>
        <v>44914</v>
      </c>
      <c r="P317" s="45">
        <f>IFERROR(__xludf.DUMMYFUNCTION("""COMPUTED_VALUE"""),44960.0)</f>
        <v>44960</v>
      </c>
      <c r="Q317" s="45">
        <f>IFERROR(__xludf.DUMMYFUNCTION("""COMPUTED_VALUE"""),44913.0)</f>
        <v>44913</v>
      </c>
      <c r="R317" s="45">
        <f>IFERROR(__xludf.DUMMYFUNCTION("""COMPUTED_VALUE"""),44960.0)</f>
        <v>44960</v>
      </c>
      <c r="S317" s="43"/>
      <c r="T317" s="43"/>
      <c r="U317" s="43" t="str">
        <f>IFERROR(__xludf.DUMMYFUNCTION("""COMPUTED_VALUE"""),"Equify")</f>
        <v>Equify</v>
      </c>
      <c r="V317" s="43" t="str">
        <f>IFERROR(__xludf.DUMMYFUNCTION("""COMPUTED_VALUE"""),"President University")</f>
        <v>President University</v>
      </c>
      <c r="W317" s="43" t="str">
        <f>IFERROR(__xludf.DUMMYFUNCTION("""COMPUTED_VALUE"""),"2022-10-15T17:09:31Z")</f>
        <v>2022-10-15T17:09:31Z</v>
      </c>
      <c r="X317" s="43"/>
      <c r="Y317" s="43"/>
      <c r="Z317" s="43"/>
    </row>
    <row r="318" hidden="1">
      <c r="A318" s="43" t="str">
        <f>IFERROR(__xludf.DUMMYFUNCTION("""COMPUTED_VALUE"""),"5145954_1279126")</f>
        <v>5145954_1279126</v>
      </c>
      <c r="B318" s="43" t="str">
        <f>IFERROR(__xludf.DUMMYFUNCTION("""COMPUTED_VALUE"""),"Omrani Mohamed louay")</f>
        <v>Omrani Mohamed louay</v>
      </c>
      <c r="C318" s="43" t="str">
        <f>IFERROR(__xludf.DUMMYFUNCTION("""COMPUTED_VALUE"""),"finished")</f>
        <v>finished</v>
      </c>
      <c r="D318" s="43" t="str">
        <f>IFERROR(__xludf.DUMMYFUNCTION("""COMPUTED_VALUE"""),"No")</f>
        <v>No</v>
      </c>
      <c r="E318" s="43" t="str">
        <f>IFERROR(__xludf.DUMMYFUNCTION("""COMPUTED_VALUE"""),"p_ee8b785542f6cf157b4d79d8463063d23556788c@inbound.aiesec.org")</f>
        <v>p_ee8b785542f6cf157b4d79d8463063d23556788c@inbound.aiesec.org</v>
      </c>
      <c r="F318" s="43">
        <f>IFERROR(__xludf.DUMMYFUNCTION("""COMPUTED_VALUE"""),5.1169221E7)</f>
        <v>51169221</v>
      </c>
      <c r="G318" s="43" t="str">
        <f>IFERROR(__xludf.DUMMYFUNCTION("""COMPUTED_VALUE"""),"Tunisia")</f>
        <v>Tunisia</v>
      </c>
      <c r="H318" s="43" t="str">
        <f>IFERROR(__xludf.DUMMYFUNCTION("""COMPUTED_VALUE"""),"NABEL")</f>
        <v>NABEL</v>
      </c>
      <c r="I318" s="43" t="str">
        <f>IFERROR(__xludf.DUMMYFUNCTION("""COMPUTED_VALUE"""),"Turkey")</f>
        <v>Turkey</v>
      </c>
      <c r="J318" s="43" t="str">
        <f>IFERROR(__xludf.DUMMYFUNCTION("""COMPUTED_VALUE"""),"KOCAELI")</f>
        <v>KOCAELI</v>
      </c>
      <c r="K318" s="44" t="str">
        <f>IFERROR(__xludf.DUMMYFUNCTION("""COMPUTED_VALUE"""),"https://expa.aiesec.org/opportunities/1279126")</f>
        <v>https://expa.aiesec.org/opportunities/1279126</v>
      </c>
      <c r="L318" s="43" t="str">
        <f>IFERROR(__xludf.DUMMYFUNCTION("""COMPUTED_VALUE"""),"GV")</f>
        <v>GV</v>
      </c>
      <c r="M318" s="43" t="str">
        <f>IFERROR(__xludf.DUMMYFUNCTION("""COMPUTED_VALUE"""),"short")</f>
        <v>short</v>
      </c>
      <c r="N318" s="45">
        <f>IFERROR(__xludf.DUMMYFUNCTION("""COMPUTED_VALUE"""),44896.0)</f>
        <v>44896</v>
      </c>
      <c r="O318" s="45">
        <f>IFERROR(__xludf.DUMMYFUNCTION("""COMPUTED_VALUE"""),45138.0)</f>
        <v>45138</v>
      </c>
      <c r="P318" s="45">
        <f>IFERROR(__xludf.DUMMYFUNCTION("""COMPUTED_VALUE"""),45180.0)</f>
        <v>45180</v>
      </c>
      <c r="Q318" s="45">
        <f>IFERROR(__xludf.DUMMYFUNCTION("""COMPUTED_VALUE"""),45139.0)</f>
        <v>45139</v>
      </c>
      <c r="R318" s="45">
        <f>IFERROR(__xludf.DUMMYFUNCTION("""COMPUTED_VALUE"""),45180.0)</f>
        <v>45180</v>
      </c>
      <c r="S318" s="43"/>
      <c r="T318" s="43"/>
      <c r="U318" s="43" t="str">
        <f>IFERROR(__xludf.DUMMYFUNCTION("""COMPUTED_VALUE"""),"Global Classroom")</f>
        <v>Global Classroom</v>
      </c>
      <c r="V318" s="43" t="str">
        <f>IFERROR(__xludf.DUMMYFUNCTION("""COMPUTED_VALUE"""),"ISET Nabel")</f>
        <v>ISET Nabel</v>
      </c>
      <c r="W318" s="43" t="str">
        <f>IFERROR(__xludf.DUMMYFUNCTION("""COMPUTED_VALUE"""),"2022-11-03T14:32:14Z")</f>
        <v>2022-11-03T14:32:14Z</v>
      </c>
      <c r="X318" s="43"/>
      <c r="Y318" s="43"/>
      <c r="Z318" s="43"/>
    </row>
    <row r="319" hidden="1">
      <c r="A319" s="43" t="str">
        <f>IFERROR(__xludf.DUMMYFUNCTION("""COMPUTED_VALUE"""),"5159978_1289505")</f>
        <v>5159978_1289505</v>
      </c>
      <c r="B319" s="43" t="str">
        <f>IFERROR(__xludf.DUMMYFUNCTION("""COMPUTED_VALUE"""),"Ferdaws Dridi")</f>
        <v>Ferdaws Dridi</v>
      </c>
      <c r="C319" s="43" t="str">
        <f>IFERROR(__xludf.DUMMYFUNCTION("""COMPUTED_VALUE"""),"finished")</f>
        <v>finished</v>
      </c>
      <c r="D319" s="43" t="str">
        <f>IFERROR(__xludf.DUMMYFUNCTION("""COMPUTED_VALUE"""),"No")</f>
        <v>No</v>
      </c>
      <c r="E319" s="43" t="str">
        <f>IFERROR(__xludf.DUMMYFUNCTION("""COMPUTED_VALUE"""),"p_00c04518d620afc79f41abd0c13eb0b30cdda131@inbound.aiesec.org")</f>
        <v>p_00c04518d620afc79f41abd0c13eb0b30cdda131@inbound.aiesec.org</v>
      </c>
      <c r="F319" s="43">
        <f>IFERROR(__xludf.DUMMYFUNCTION("""COMPUTED_VALUE"""),5.829324E7)</f>
        <v>58293240</v>
      </c>
      <c r="G319" s="43" t="str">
        <f>IFERROR(__xludf.DUMMYFUNCTION("""COMPUTED_VALUE"""),"Tunisia")</f>
        <v>Tunisia</v>
      </c>
      <c r="H319" s="43" t="str">
        <f>IFERROR(__xludf.DUMMYFUNCTION("""COMPUTED_VALUE"""),"NABEL")</f>
        <v>NABEL</v>
      </c>
      <c r="I319" s="43" t="str">
        <f>IFERROR(__xludf.DUMMYFUNCTION("""COMPUTED_VALUE"""),"Turkey")</f>
        <v>Turkey</v>
      </c>
      <c r="J319" s="43" t="str">
        <f>IFERROR(__xludf.DUMMYFUNCTION("""COMPUTED_VALUE"""),"KOCAELI")</f>
        <v>KOCAELI</v>
      </c>
      <c r="K319" s="44" t="str">
        <f>IFERROR(__xludf.DUMMYFUNCTION("""COMPUTED_VALUE"""),"https://expa.aiesec.org/opportunities/1289505")</f>
        <v>https://expa.aiesec.org/opportunities/1289505</v>
      </c>
      <c r="L319" s="43" t="str">
        <f>IFERROR(__xludf.DUMMYFUNCTION("""COMPUTED_VALUE"""),"GV")</f>
        <v>GV</v>
      </c>
      <c r="M319" s="43" t="str">
        <f>IFERROR(__xludf.DUMMYFUNCTION("""COMPUTED_VALUE"""),"short")</f>
        <v>short</v>
      </c>
      <c r="N319" s="45">
        <f>IFERROR(__xludf.DUMMYFUNCTION("""COMPUTED_VALUE"""),44896.0)</f>
        <v>44896</v>
      </c>
      <c r="O319" s="45">
        <f>IFERROR(__xludf.DUMMYFUNCTION("""COMPUTED_VALUE"""),44907.0)</f>
        <v>44907</v>
      </c>
      <c r="P319" s="45">
        <f>IFERROR(__xludf.DUMMYFUNCTION("""COMPUTED_VALUE"""),44949.0)</f>
        <v>44949</v>
      </c>
      <c r="Q319" s="45">
        <f>IFERROR(__xludf.DUMMYFUNCTION("""COMPUTED_VALUE"""),44907.0)</f>
        <v>44907</v>
      </c>
      <c r="R319" s="45">
        <f>IFERROR(__xludf.DUMMYFUNCTION("""COMPUTED_VALUE"""),44949.0)</f>
        <v>44949</v>
      </c>
      <c r="S319" s="43"/>
      <c r="T319" s="43"/>
      <c r="U319" s="43" t="str">
        <f>IFERROR(__xludf.DUMMYFUNCTION("""COMPUTED_VALUE"""),"Youth 4 Impact")</f>
        <v>Youth 4 Impact</v>
      </c>
      <c r="V319" s="43" t="str">
        <f>IFERROR(__xludf.DUMMYFUNCTION("""COMPUTED_VALUE"""),"ISET Nabel")</f>
        <v>ISET Nabel</v>
      </c>
      <c r="W319" s="43" t="str">
        <f>IFERROR(__xludf.DUMMYFUNCTION("""COMPUTED_VALUE"""),"2022-11-28T16:07:42Z")</f>
        <v>2022-11-28T16:07:42Z</v>
      </c>
      <c r="X319" s="43"/>
      <c r="Y319" s="43"/>
      <c r="Z319" s="43"/>
    </row>
    <row r="320" hidden="1">
      <c r="A320" s="43" t="str">
        <f>IFERROR(__xludf.DUMMYFUNCTION("""COMPUTED_VALUE"""),"5158058_1288582")</f>
        <v>5158058_1288582</v>
      </c>
      <c r="B320" s="43" t="str">
        <f>IFERROR(__xludf.DUMMYFUNCTION("""COMPUTED_VALUE"""),"farrah Mekki")</f>
        <v>farrah Mekki</v>
      </c>
      <c r="C320" s="43" t="str">
        <f>IFERROR(__xludf.DUMMYFUNCTION("""COMPUTED_VALUE"""),"approved")</f>
        <v>approved</v>
      </c>
      <c r="D320" s="43" t="str">
        <f>IFERROR(__xludf.DUMMYFUNCTION("""COMPUTED_VALUE"""),"No")</f>
        <v>No</v>
      </c>
      <c r="E320" s="43" t="str">
        <f>IFERROR(__xludf.DUMMYFUNCTION("""COMPUTED_VALUE"""),"p_bd07f2c8f9d748762b3f35c10c607a73f42c471d@inbound.aiesec.org")</f>
        <v>p_bd07f2c8f9d748762b3f35c10c607a73f42c471d@inbound.aiesec.org</v>
      </c>
      <c r="F320" s="43"/>
      <c r="G320" s="43" t="str">
        <f>IFERROR(__xludf.DUMMYFUNCTION("""COMPUTED_VALUE"""),"Egypt")</f>
        <v>Egypt</v>
      </c>
      <c r="H320" s="43" t="str">
        <f>IFERROR(__xludf.DUMMYFUNCTION("""COMPUTED_VALUE"""),"Suez")</f>
        <v>Suez</v>
      </c>
      <c r="I320" s="43" t="str">
        <f>IFERROR(__xludf.DUMMYFUNCTION("""COMPUTED_VALUE"""),"Turkey")</f>
        <v>Turkey</v>
      </c>
      <c r="J320" s="43" t="str">
        <f>IFERROR(__xludf.DUMMYFUNCTION("""COMPUTED_VALUE"""),"GAZIANTEP")</f>
        <v>GAZIANTEP</v>
      </c>
      <c r="K320" s="44" t="str">
        <f>IFERROR(__xludf.DUMMYFUNCTION("""COMPUTED_VALUE"""),"https://expa.aiesec.org/opportunities/1288582")</f>
        <v>https://expa.aiesec.org/opportunities/1288582</v>
      </c>
      <c r="L320" s="43" t="str">
        <f>IFERROR(__xludf.DUMMYFUNCTION("""COMPUTED_VALUE"""),"GV")</f>
        <v>GV</v>
      </c>
      <c r="M320" s="43" t="str">
        <f>IFERROR(__xludf.DUMMYFUNCTION("""COMPUTED_VALUE"""),"short")</f>
        <v>short</v>
      </c>
      <c r="N320" s="45">
        <f>IFERROR(__xludf.DUMMYFUNCTION("""COMPUTED_VALUE"""),44896.0)</f>
        <v>44896</v>
      </c>
      <c r="O320" s="45">
        <f>IFERROR(__xludf.DUMMYFUNCTION("""COMPUTED_VALUE"""),45140.0)</f>
        <v>45140</v>
      </c>
      <c r="P320" s="45">
        <f>IFERROR(__xludf.DUMMYFUNCTION("""COMPUTED_VALUE"""),45182.0)</f>
        <v>45182</v>
      </c>
      <c r="Q320" s="45"/>
      <c r="R320" s="45"/>
      <c r="S320" s="43"/>
      <c r="T320" s="43"/>
      <c r="U320" s="43" t="str">
        <f>IFERROR(__xludf.DUMMYFUNCTION("""COMPUTED_VALUE"""),"Global Classroom")</f>
        <v>Global Classroom</v>
      </c>
      <c r="V320" s="43" t="str">
        <f>IFERROR(__xludf.DUMMYFUNCTION("""COMPUTED_VALUE"""),"-")</f>
        <v>-</v>
      </c>
      <c r="W320" s="43" t="str">
        <f>IFERROR(__xludf.DUMMYFUNCTION("""COMPUTED_VALUE"""),"2022-11-23T21:35:18Z")</f>
        <v>2022-11-23T21:35:18Z</v>
      </c>
      <c r="X320" s="43"/>
      <c r="Y320" s="43"/>
      <c r="Z320" s="43"/>
    </row>
    <row r="321" hidden="1">
      <c r="A321" s="43" t="str">
        <f>IFERROR(__xludf.DUMMYFUNCTION("""COMPUTED_VALUE"""),"4775195_1279126")</f>
        <v>4775195_1279126</v>
      </c>
      <c r="B321" s="43" t="str">
        <f>IFERROR(__xludf.DUMMYFUNCTION("""COMPUTED_VALUE"""),"Costina Cone")</f>
        <v>Costina Cone</v>
      </c>
      <c r="C321" s="43" t="str">
        <f>IFERROR(__xludf.DUMMYFUNCTION("""COMPUTED_VALUE"""),"finished")</f>
        <v>finished</v>
      </c>
      <c r="D321" s="43" t="str">
        <f>IFERROR(__xludf.DUMMYFUNCTION("""COMPUTED_VALUE"""),"No")</f>
        <v>No</v>
      </c>
      <c r="E321" s="43" t="str">
        <f>IFERROR(__xludf.DUMMYFUNCTION("""COMPUTED_VALUE"""),"p_0c7feaef233b67877eb3d375bd96dbd02b025bfe@inbound.aiesec.org")</f>
        <v>p_0c7feaef233b67877eb3d375bd96dbd02b025bfe@inbound.aiesec.org</v>
      </c>
      <c r="F321" s="43"/>
      <c r="G321" s="43" t="str">
        <f>IFERROR(__xludf.DUMMYFUNCTION("""COMPUTED_VALUE"""),"Romania")</f>
        <v>Romania</v>
      </c>
      <c r="H321" s="43" t="str">
        <f>IFERROR(__xludf.DUMMYFUNCTION("""COMPUTED_VALUE"""),"BUCURESTI")</f>
        <v>BUCURESTI</v>
      </c>
      <c r="I321" s="43" t="str">
        <f>IFERROR(__xludf.DUMMYFUNCTION("""COMPUTED_VALUE"""),"Turkey")</f>
        <v>Turkey</v>
      </c>
      <c r="J321" s="43" t="str">
        <f>IFERROR(__xludf.DUMMYFUNCTION("""COMPUTED_VALUE"""),"KOCAELI")</f>
        <v>KOCAELI</v>
      </c>
      <c r="K321" s="44" t="str">
        <f>IFERROR(__xludf.DUMMYFUNCTION("""COMPUTED_VALUE"""),"https://expa.aiesec.org/opportunities/1279126")</f>
        <v>https://expa.aiesec.org/opportunities/1279126</v>
      </c>
      <c r="L321" s="43" t="str">
        <f>IFERROR(__xludf.DUMMYFUNCTION("""COMPUTED_VALUE"""),"GV")</f>
        <v>GV</v>
      </c>
      <c r="M321" s="43" t="str">
        <f>IFERROR(__xludf.DUMMYFUNCTION("""COMPUTED_VALUE"""),"short")</f>
        <v>short</v>
      </c>
      <c r="N321" s="45">
        <f>IFERROR(__xludf.DUMMYFUNCTION("""COMPUTED_VALUE"""),44897.0)</f>
        <v>44897</v>
      </c>
      <c r="O321" s="45">
        <f>IFERROR(__xludf.DUMMYFUNCTION("""COMPUTED_VALUE"""),45138.0)</f>
        <v>45138</v>
      </c>
      <c r="P321" s="45">
        <f>IFERROR(__xludf.DUMMYFUNCTION("""COMPUTED_VALUE"""),45180.0)</f>
        <v>45180</v>
      </c>
      <c r="Q321" s="45">
        <f>IFERROR(__xludf.DUMMYFUNCTION("""COMPUTED_VALUE"""),45138.0)</f>
        <v>45138</v>
      </c>
      <c r="R321" s="45">
        <f>IFERROR(__xludf.DUMMYFUNCTION("""COMPUTED_VALUE"""),45180.0)</f>
        <v>45180</v>
      </c>
      <c r="S321" s="43"/>
      <c r="T321" s="43"/>
      <c r="U321" s="43" t="str">
        <f>IFERROR(__xludf.DUMMYFUNCTION("""COMPUTED_VALUE"""),"Global Classroom")</f>
        <v>Global Classroom</v>
      </c>
      <c r="V321" s="43" t="str">
        <f>IFERROR(__xludf.DUMMYFUNCTION("""COMPUTED_VALUE"""),"-")</f>
        <v>-</v>
      </c>
      <c r="W321" s="43" t="str">
        <f>IFERROR(__xludf.DUMMYFUNCTION("""COMPUTED_VALUE"""),"2021-10-26T13:07:05Z")</f>
        <v>2021-10-26T13:07:05Z</v>
      </c>
      <c r="X321" s="43"/>
      <c r="Y321" s="43"/>
      <c r="Z321" s="43"/>
    </row>
    <row r="322" hidden="1">
      <c r="A322" s="43" t="str">
        <f>IFERROR(__xludf.DUMMYFUNCTION("""COMPUTED_VALUE"""),"5161470_1284077")</f>
        <v>5161470_1284077</v>
      </c>
      <c r="B322" s="43" t="str">
        <f>IFERROR(__xludf.DUMMYFUNCTION("""COMPUTED_VALUE"""),"Sandy Sameh")</f>
        <v>Sandy Sameh</v>
      </c>
      <c r="C322" s="43" t="str">
        <f>IFERROR(__xludf.DUMMYFUNCTION("""COMPUTED_VALUE"""),"approved")</f>
        <v>approved</v>
      </c>
      <c r="D322" s="43" t="str">
        <f>IFERROR(__xludf.DUMMYFUNCTION("""COMPUTED_VALUE"""),"No")</f>
        <v>No</v>
      </c>
      <c r="E322" s="43" t="str">
        <f>IFERROR(__xludf.DUMMYFUNCTION("""COMPUTED_VALUE"""),"p_417f0ab3991a70afd1e1d23d7c47f1260de9fa37@inbound.aiesec.org")</f>
        <v>p_417f0ab3991a70afd1e1d23d7c47f1260de9fa37@inbound.aiesec.org</v>
      </c>
      <c r="F322" s="43">
        <f>IFERROR(__xludf.DUMMYFUNCTION("""COMPUTED_VALUE"""),1.210355628E9)</f>
        <v>1210355628</v>
      </c>
      <c r="G322" s="43" t="str">
        <f>IFERROR(__xludf.DUMMYFUNCTION("""COMPUTED_VALUE"""),"Egypt")</f>
        <v>Egypt</v>
      </c>
      <c r="H322" s="43" t="str">
        <f>IFERROR(__xludf.DUMMYFUNCTION("""COMPUTED_VALUE"""),"Helwan")</f>
        <v>Helwan</v>
      </c>
      <c r="I322" s="43" t="str">
        <f>IFERROR(__xludf.DUMMYFUNCTION("""COMPUTED_VALUE"""),"Turkey")</f>
        <v>Turkey</v>
      </c>
      <c r="J322" s="43" t="str">
        <f>IFERROR(__xludf.DUMMYFUNCTION("""COMPUTED_VALUE"""),"GAZIANTEP")</f>
        <v>GAZIANTEP</v>
      </c>
      <c r="K322" s="44" t="str">
        <f>IFERROR(__xludf.DUMMYFUNCTION("""COMPUTED_VALUE"""),"https://expa.aiesec.org/opportunities/1284077")</f>
        <v>https://expa.aiesec.org/opportunities/1284077</v>
      </c>
      <c r="L322" s="43" t="str">
        <f>IFERROR(__xludf.DUMMYFUNCTION("""COMPUTED_VALUE"""),"GV")</f>
        <v>GV</v>
      </c>
      <c r="M322" s="43" t="str">
        <f>IFERROR(__xludf.DUMMYFUNCTION("""COMPUTED_VALUE"""),"short")</f>
        <v>short</v>
      </c>
      <c r="N322" s="45">
        <f>IFERROR(__xludf.DUMMYFUNCTION("""COMPUTED_VALUE"""),44897.0)</f>
        <v>44897</v>
      </c>
      <c r="O322" s="45">
        <f>IFERROR(__xludf.DUMMYFUNCTION("""COMPUTED_VALUE"""),45141.0)</f>
        <v>45141</v>
      </c>
      <c r="P322" s="45">
        <f>IFERROR(__xludf.DUMMYFUNCTION("""COMPUTED_VALUE"""),45183.0)</f>
        <v>45183</v>
      </c>
      <c r="Q322" s="45"/>
      <c r="R322" s="45"/>
      <c r="S322" s="43"/>
      <c r="T322" s="43"/>
      <c r="U322" s="43" t="str">
        <f>IFERROR(__xludf.DUMMYFUNCTION("""COMPUTED_VALUE"""),"Global Classroom")</f>
        <v>Global Classroom</v>
      </c>
      <c r="V322" s="43" t="str">
        <f>IFERROR(__xludf.DUMMYFUNCTION("""COMPUTED_VALUE"""),"Helwan University")</f>
        <v>Helwan University</v>
      </c>
      <c r="W322" s="43" t="str">
        <f>IFERROR(__xludf.DUMMYFUNCTION("""COMPUTED_VALUE"""),"2022-12-01T14:35:03Z")</f>
        <v>2022-12-01T14:35:03Z</v>
      </c>
      <c r="X322" s="43"/>
      <c r="Y322" s="43"/>
      <c r="Z322" s="43"/>
    </row>
    <row r="323" hidden="1">
      <c r="A323" s="43" t="str">
        <f>IFERROR(__xludf.DUMMYFUNCTION("""COMPUTED_VALUE"""),"5037107_1288488")</f>
        <v>5037107_1288488</v>
      </c>
      <c r="B323" s="43" t="str">
        <f>IFERROR(__xludf.DUMMYFUNCTION("""COMPUTED_VALUE"""),"Reem Mahgoub")</f>
        <v>Reem Mahgoub</v>
      </c>
      <c r="C323" s="43" t="str">
        <f>IFERROR(__xludf.DUMMYFUNCTION("""COMPUTED_VALUE"""),"approved")</f>
        <v>approved</v>
      </c>
      <c r="D323" s="43" t="str">
        <f>IFERROR(__xludf.DUMMYFUNCTION("""COMPUTED_VALUE"""),"No")</f>
        <v>No</v>
      </c>
      <c r="E323" s="43" t="str">
        <f>IFERROR(__xludf.DUMMYFUNCTION("""COMPUTED_VALUE"""),"p_1097e24f40b00266cb784b07049a31140cc3937b@inbound.aiesec.org")</f>
        <v>p_1097e24f40b00266cb784b07049a31140cc3937b@inbound.aiesec.org</v>
      </c>
      <c r="F323" s="43">
        <f>IFERROR(__xludf.DUMMYFUNCTION("""COMPUTED_VALUE"""),1.285029399E9)</f>
        <v>1285029399</v>
      </c>
      <c r="G323" s="43" t="str">
        <f>IFERROR(__xludf.DUMMYFUNCTION("""COMPUTED_VALUE"""),"Egypt")</f>
        <v>Egypt</v>
      </c>
      <c r="H323" s="43" t="str">
        <f>IFERROR(__xludf.DUMMYFUNCTION("""COMPUTED_VALUE"""),"Menofia")</f>
        <v>Menofia</v>
      </c>
      <c r="I323" s="43" t="str">
        <f>IFERROR(__xludf.DUMMYFUNCTION("""COMPUTED_VALUE"""),"Turkey")</f>
        <v>Turkey</v>
      </c>
      <c r="J323" s="43" t="str">
        <f>IFERROR(__xludf.DUMMYFUNCTION("""COMPUTED_VALUE"""),"ISPARTA")</f>
        <v>ISPARTA</v>
      </c>
      <c r="K323" s="44" t="str">
        <f>IFERROR(__xludf.DUMMYFUNCTION("""COMPUTED_VALUE"""),"https://expa.aiesec.org/opportunities/1288488")</f>
        <v>https://expa.aiesec.org/opportunities/1288488</v>
      </c>
      <c r="L323" s="43" t="str">
        <f>IFERROR(__xludf.DUMMYFUNCTION("""COMPUTED_VALUE"""),"GV")</f>
        <v>GV</v>
      </c>
      <c r="M323" s="43" t="str">
        <f>IFERROR(__xludf.DUMMYFUNCTION("""COMPUTED_VALUE"""),"short")</f>
        <v>short</v>
      </c>
      <c r="N323" s="45">
        <f>IFERROR(__xludf.DUMMYFUNCTION("""COMPUTED_VALUE"""),44897.0)</f>
        <v>44897</v>
      </c>
      <c r="O323" s="45">
        <f>IFERROR(__xludf.DUMMYFUNCTION("""COMPUTED_VALUE"""),45173.0)</f>
        <v>45173</v>
      </c>
      <c r="P323" s="45">
        <f>IFERROR(__xludf.DUMMYFUNCTION("""COMPUTED_VALUE"""),45215.0)</f>
        <v>45215</v>
      </c>
      <c r="Q323" s="45"/>
      <c r="R323" s="45"/>
      <c r="S323" s="43"/>
      <c r="T323" s="43"/>
      <c r="U323" s="43" t="str">
        <f>IFERROR(__xludf.DUMMYFUNCTION("""COMPUTED_VALUE"""),"Global Classroom")</f>
        <v>Global Classroom</v>
      </c>
      <c r="V323" s="43" t="str">
        <f>IFERROR(__xludf.DUMMYFUNCTION("""COMPUTED_VALUE"""),"Menofia")</f>
        <v>Menofia</v>
      </c>
      <c r="W323" s="43" t="str">
        <f>IFERROR(__xludf.DUMMYFUNCTION("""COMPUTED_VALUE"""),"2022-04-12T10:13:33Z")</f>
        <v>2022-04-12T10:13:33Z</v>
      </c>
      <c r="X323" s="43"/>
      <c r="Y323" s="43"/>
      <c r="Z323" s="43"/>
    </row>
    <row r="324" hidden="1">
      <c r="A324" s="43" t="str">
        <f>IFERROR(__xludf.DUMMYFUNCTION("""COMPUTED_VALUE"""),"5162133_1289536")</f>
        <v>5162133_1289536</v>
      </c>
      <c r="B324" s="43" t="str">
        <f>IFERROR(__xludf.DUMMYFUNCTION("""COMPUTED_VALUE"""),"Takwa Abed")</f>
        <v>Takwa Abed</v>
      </c>
      <c r="C324" s="43" t="str">
        <f>IFERROR(__xludf.DUMMYFUNCTION("""COMPUTED_VALUE"""),"completed")</f>
        <v>completed</v>
      </c>
      <c r="D324" s="43" t="str">
        <f>IFERROR(__xludf.DUMMYFUNCTION("""COMPUTED_VALUE"""),"No")</f>
        <v>No</v>
      </c>
      <c r="E324" s="43" t="str">
        <f>IFERROR(__xludf.DUMMYFUNCTION("""COMPUTED_VALUE"""),"p_18829ef25fadc0ecce3fc6860cce40330462ce70@inbound.aiesec.org")</f>
        <v>p_18829ef25fadc0ecce3fc6860cce40330462ce70@inbound.aiesec.org</v>
      </c>
      <c r="F324" s="43">
        <f>IFERROR(__xludf.DUMMYFUNCTION("""COMPUTED_VALUE"""),4.6306662E7)</f>
        <v>46306662</v>
      </c>
      <c r="G324" s="43" t="str">
        <f>IFERROR(__xludf.DUMMYFUNCTION("""COMPUTED_VALUE"""),"Tunisia")</f>
        <v>Tunisia</v>
      </c>
      <c r="H324" s="43" t="str">
        <f>IFERROR(__xludf.DUMMYFUNCTION("""COMPUTED_VALUE"""),"SFAX")</f>
        <v>SFAX</v>
      </c>
      <c r="I324" s="43" t="str">
        <f>IFERROR(__xludf.DUMMYFUNCTION("""COMPUTED_VALUE"""),"Turkey")</f>
        <v>Turkey</v>
      </c>
      <c r="J324" s="43" t="str">
        <f>IFERROR(__xludf.DUMMYFUNCTION("""COMPUTED_VALUE"""),"ISTANBUL")</f>
        <v>ISTANBUL</v>
      </c>
      <c r="K324" s="44" t="str">
        <f>IFERROR(__xludf.DUMMYFUNCTION("""COMPUTED_VALUE"""),"https://expa.aiesec.org/opportunities/1289536")</f>
        <v>https://expa.aiesec.org/opportunities/1289536</v>
      </c>
      <c r="L324" s="43" t="str">
        <f>IFERROR(__xludf.DUMMYFUNCTION("""COMPUTED_VALUE"""),"GV")</f>
        <v>GV</v>
      </c>
      <c r="M324" s="43" t="str">
        <f>IFERROR(__xludf.DUMMYFUNCTION("""COMPUTED_VALUE"""),"short")</f>
        <v>short</v>
      </c>
      <c r="N324" s="45">
        <f>IFERROR(__xludf.DUMMYFUNCTION("""COMPUTED_VALUE"""),44898.0)</f>
        <v>44898</v>
      </c>
      <c r="O324" s="45">
        <f>IFERROR(__xludf.DUMMYFUNCTION("""COMPUTED_VALUE"""),45132.0)</f>
        <v>45132</v>
      </c>
      <c r="P324" s="45">
        <f>IFERROR(__xludf.DUMMYFUNCTION("""COMPUTED_VALUE"""),45174.0)</f>
        <v>45174</v>
      </c>
      <c r="Q324" s="45">
        <f>IFERROR(__xludf.DUMMYFUNCTION("""COMPUTED_VALUE"""),45133.0)</f>
        <v>45133</v>
      </c>
      <c r="R324" s="45">
        <f>IFERROR(__xludf.DUMMYFUNCTION("""COMPUTED_VALUE"""),45174.0)</f>
        <v>45174</v>
      </c>
      <c r="S324" s="43"/>
      <c r="T324" s="43"/>
      <c r="U324" s="43" t="str">
        <f>IFERROR(__xludf.DUMMYFUNCTION("""COMPUTED_VALUE"""),"Global Classroom")</f>
        <v>Global Classroom</v>
      </c>
      <c r="V324" s="43" t="str">
        <f>IFERROR(__xludf.DUMMYFUNCTION("""COMPUTED_VALUE"""),"FSEG sfax")</f>
        <v>FSEG sfax</v>
      </c>
      <c r="W324" s="43" t="str">
        <f>IFERROR(__xludf.DUMMYFUNCTION("""COMPUTED_VALUE"""),"2022-12-03T10:18:31Z")</f>
        <v>2022-12-03T10:18:31Z</v>
      </c>
      <c r="X324" s="43"/>
      <c r="Y324" s="43"/>
      <c r="Z324" s="43"/>
    </row>
    <row r="325" hidden="1">
      <c r="A325" s="43" t="str">
        <f>IFERROR(__xludf.DUMMYFUNCTION("""COMPUTED_VALUE"""),"5161486_1279126")</f>
        <v>5161486_1279126</v>
      </c>
      <c r="B325" s="43" t="str">
        <f>IFERROR(__xludf.DUMMYFUNCTION("""COMPUTED_VALUE"""),"Vlad Dinita")</f>
        <v>Vlad Dinita</v>
      </c>
      <c r="C325" s="43" t="str">
        <f>IFERROR(__xludf.DUMMYFUNCTION("""COMPUTED_VALUE"""),"finished")</f>
        <v>finished</v>
      </c>
      <c r="D325" s="43" t="str">
        <f>IFERROR(__xludf.DUMMYFUNCTION("""COMPUTED_VALUE"""),"No")</f>
        <v>No</v>
      </c>
      <c r="E325" s="43" t="str">
        <f>IFERROR(__xludf.DUMMYFUNCTION("""COMPUTED_VALUE"""),"p_0dd7c7bc614491d2433e49104d365cfc1476172e@inbound.aiesec.org")</f>
        <v>p_0dd7c7bc614491d2433e49104d365cfc1476172e@inbound.aiesec.org</v>
      </c>
      <c r="F325" s="43">
        <f>IFERROR(__xludf.DUMMYFUNCTION("""COMPUTED_VALUE"""),7.40159098E8)</f>
        <v>740159098</v>
      </c>
      <c r="G325" s="43" t="str">
        <f>IFERROR(__xludf.DUMMYFUNCTION("""COMPUTED_VALUE"""),"Romania")</f>
        <v>Romania</v>
      </c>
      <c r="H325" s="43" t="str">
        <f>IFERROR(__xludf.DUMMYFUNCTION("""COMPUTED_VALUE"""),"BUCURESTI")</f>
        <v>BUCURESTI</v>
      </c>
      <c r="I325" s="43" t="str">
        <f>IFERROR(__xludf.DUMMYFUNCTION("""COMPUTED_VALUE"""),"Turkey")</f>
        <v>Turkey</v>
      </c>
      <c r="J325" s="43" t="str">
        <f>IFERROR(__xludf.DUMMYFUNCTION("""COMPUTED_VALUE"""),"KOCAELI")</f>
        <v>KOCAELI</v>
      </c>
      <c r="K325" s="44" t="str">
        <f>IFERROR(__xludf.DUMMYFUNCTION("""COMPUTED_VALUE"""),"https://expa.aiesec.org/opportunities/1279126")</f>
        <v>https://expa.aiesec.org/opportunities/1279126</v>
      </c>
      <c r="L325" s="43" t="str">
        <f>IFERROR(__xludf.DUMMYFUNCTION("""COMPUTED_VALUE"""),"GV")</f>
        <v>GV</v>
      </c>
      <c r="M325" s="43" t="str">
        <f>IFERROR(__xludf.DUMMYFUNCTION("""COMPUTED_VALUE"""),"short")</f>
        <v>short</v>
      </c>
      <c r="N325" s="45">
        <f>IFERROR(__xludf.DUMMYFUNCTION("""COMPUTED_VALUE"""),44898.0)</f>
        <v>44898</v>
      </c>
      <c r="O325" s="45">
        <f>IFERROR(__xludf.DUMMYFUNCTION("""COMPUTED_VALUE"""),45138.0)</f>
        <v>45138</v>
      </c>
      <c r="P325" s="45">
        <f>IFERROR(__xludf.DUMMYFUNCTION("""COMPUTED_VALUE"""),45180.0)</f>
        <v>45180</v>
      </c>
      <c r="Q325" s="45">
        <f>IFERROR(__xludf.DUMMYFUNCTION("""COMPUTED_VALUE"""),45138.0)</f>
        <v>45138</v>
      </c>
      <c r="R325" s="45">
        <f>IFERROR(__xludf.DUMMYFUNCTION("""COMPUTED_VALUE"""),45180.0)</f>
        <v>45180</v>
      </c>
      <c r="S325" s="43"/>
      <c r="T325" s="43"/>
      <c r="U325" s="43" t="str">
        <f>IFERROR(__xludf.DUMMYFUNCTION("""COMPUTED_VALUE"""),"Global Classroom")</f>
        <v>Global Classroom</v>
      </c>
      <c r="V325" s="43" t="str">
        <f>IFERROR(__xludf.DUMMYFUNCTION("""COMPUTED_VALUE"""),"Bucuresti")</f>
        <v>Bucuresti</v>
      </c>
      <c r="W325" s="43" t="str">
        <f>IFERROR(__xludf.DUMMYFUNCTION("""COMPUTED_VALUE"""),"2022-12-01T15:14:14Z")</f>
        <v>2022-12-01T15:14:14Z</v>
      </c>
      <c r="X325" s="43"/>
      <c r="Y325" s="43"/>
      <c r="Z325" s="43"/>
    </row>
    <row r="326" hidden="1">
      <c r="A326" s="43" t="str">
        <f>IFERROR(__xludf.DUMMYFUNCTION("""COMPUTED_VALUE"""),"5118165_1288989")</f>
        <v>5118165_1288989</v>
      </c>
      <c r="B326" s="43" t="str">
        <f>IFERROR(__xludf.DUMMYFUNCTION("""COMPUTED_VALUE"""),"Yaryna Kushnir")</f>
        <v>Yaryna Kushnir</v>
      </c>
      <c r="C326" s="43" t="str">
        <f>IFERROR(__xludf.DUMMYFUNCTION("""COMPUTED_VALUE"""),"finished")</f>
        <v>finished</v>
      </c>
      <c r="D326" s="43" t="str">
        <f>IFERROR(__xludf.DUMMYFUNCTION("""COMPUTED_VALUE"""),"No")</f>
        <v>No</v>
      </c>
      <c r="E326" s="43" t="str">
        <f>IFERROR(__xludf.DUMMYFUNCTION("""COMPUTED_VALUE"""),"p_e569ab60c40fb30052688ef3b2058ff2a1b7c4ed@inbound.aiesec.org")</f>
        <v>p_e569ab60c40fb30052688ef3b2058ff2a1b7c4ed@inbound.aiesec.org</v>
      </c>
      <c r="F326" s="43"/>
      <c r="G326" s="43" t="str">
        <f>IFERROR(__xludf.DUMMYFUNCTION("""COMPUTED_VALUE"""),"Ukraine")</f>
        <v>Ukraine</v>
      </c>
      <c r="H326" s="43" t="str">
        <f>IFERROR(__xludf.DUMMYFUNCTION("""COMPUTED_VALUE"""),"LVIV")</f>
        <v>LVIV</v>
      </c>
      <c r="I326" s="43" t="str">
        <f>IFERROR(__xludf.DUMMYFUNCTION("""COMPUTED_VALUE"""),"Turkey")</f>
        <v>Turkey</v>
      </c>
      <c r="J326" s="43" t="str">
        <f>IFERROR(__xludf.DUMMYFUNCTION("""COMPUTED_VALUE"""),"KUTAHYA")</f>
        <v>KUTAHYA</v>
      </c>
      <c r="K326" s="44" t="str">
        <f>IFERROR(__xludf.DUMMYFUNCTION("""COMPUTED_VALUE"""),"https://expa.aiesec.org/opportunities/1288989")</f>
        <v>https://expa.aiesec.org/opportunities/1288989</v>
      </c>
      <c r="L326" s="43" t="str">
        <f>IFERROR(__xludf.DUMMYFUNCTION("""COMPUTED_VALUE"""),"GV")</f>
        <v>GV</v>
      </c>
      <c r="M326" s="43" t="str">
        <f>IFERROR(__xludf.DUMMYFUNCTION("""COMPUTED_VALUE"""),"short")</f>
        <v>short</v>
      </c>
      <c r="N326" s="45">
        <f>IFERROR(__xludf.DUMMYFUNCTION("""COMPUTED_VALUE"""),44898.0)</f>
        <v>44898</v>
      </c>
      <c r="O326" s="45">
        <f>IFERROR(__xludf.DUMMYFUNCTION("""COMPUTED_VALUE"""),45047.0)</f>
        <v>45047</v>
      </c>
      <c r="P326" s="45">
        <f>IFERROR(__xludf.DUMMYFUNCTION("""COMPUTED_VALUE"""),45089.0)</f>
        <v>45089</v>
      </c>
      <c r="Q326" s="45">
        <f>IFERROR(__xludf.DUMMYFUNCTION("""COMPUTED_VALUE"""),45050.0)</f>
        <v>45050</v>
      </c>
      <c r="R326" s="45">
        <f>IFERROR(__xludf.DUMMYFUNCTION("""COMPUTED_VALUE"""),45091.0)</f>
        <v>45091</v>
      </c>
      <c r="S326" s="43"/>
      <c r="T326" s="43"/>
      <c r="U326" s="43" t="str">
        <f>IFERROR(__xludf.DUMMYFUNCTION("""COMPUTED_VALUE"""),"Green Leaders")</f>
        <v>Green Leaders</v>
      </c>
      <c r="V326" s="43" t="str">
        <f>IFERROR(__xludf.DUMMYFUNCTION("""COMPUTED_VALUE"""),"-")</f>
        <v>-</v>
      </c>
      <c r="W326" s="43" t="str">
        <f>IFERROR(__xludf.DUMMYFUNCTION("""COMPUTED_VALUE"""),"2022-09-23T12:23:59Z")</f>
        <v>2022-09-23T12:23:59Z</v>
      </c>
      <c r="X326" s="43"/>
      <c r="Y326" s="43"/>
      <c r="Z326" s="43"/>
    </row>
    <row r="327" hidden="1">
      <c r="A327" s="43" t="str">
        <f>IFERROR(__xludf.DUMMYFUNCTION("""COMPUTED_VALUE"""),"4629535_1288991")</f>
        <v>4629535_1288991</v>
      </c>
      <c r="B327" s="43" t="str">
        <f>IFERROR(__xludf.DUMMYFUNCTION("""COMPUTED_VALUE"""),"won sunhee")</f>
        <v>won sunhee</v>
      </c>
      <c r="C327" s="43" t="str">
        <f>IFERROR(__xludf.DUMMYFUNCTION("""COMPUTED_VALUE"""),"completed")</f>
        <v>completed</v>
      </c>
      <c r="D327" s="43" t="str">
        <f>IFERROR(__xludf.DUMMYFUNCTION("""COMPUTED_VALUE"""),"No")</f>
        <v>No</v>
      </c>
      <c r="E327" s="43" t="str">
        <f>IFERROR(__xludf.DUMMYFUNCTION("""COMPUTED_VALUE"""),"p_534e88ef25cca8a00e61decc2171f19b03a57c4d@inbound.aiesec.org")</f>
        <v>p_534e88ef25cca8a00e61decc2171f19b03a57c4d@inbound.aiesec.org</v>
      </c>
      <c r="F327" s="43">
        <f>IFERROR(__xludf.DUMMYFUNCTION("""COMPUTED_VALUE"""),1.062112953E9)</f>
        <v>1062112953</v>
      </c>
      <c r="G327" s="43" t="str">
        <f>IFERROR(__xludf.DUMMYFUNCTION("""COMPUTED_VALUE"""),"South Korea")</f>
        <v>South Korea</v>
      </c>
      <c r="H327" s="43" t="str">
        <f>IFERROR(__xludf.DUMMYFUNCTION("""COMPUTED_VALUE"""),"SMU")</f>
        <v>SMU</v>
      </c>
      <c r="I327" s="43" t="str">
        <f>IFERROR(__xludf.DUMMYFUNCTION("""COMPUTED_VALUE"""),"Turkey")</f>
        <v>Turkey</v>
      </c>
      <c r="J327" s="43" t="str">
        <f>IFERROR(__xludf.DUMMYFUNCTION("""COMPUTED_VALUE"""),"ANKARA")</f>
        <v>ANKARA</v>
      </c>
      <c r="K327" s="44" t="str">
        <f>IFERROR(__xludf.DUMMYFUNCTION("""COMPUTED_VALUE"""),"https://expa.aiesec.org/opportunities/1288991")</f>
        <v>https://expa.aiesec.org/opportunities/1288991</v>
      </c>
      <c r="L327" s="43" t="str">
        <f>IFERROR(__xludf.DUMMYFUNCTION("""COMPUTED_VALUE"""),"GV")</f>
        <v>GV</v>
      </c>
      <c r="M327" s="43" t="str">
        <f>IFERROR(__xludf.DUMMYFUNCTION("""COMPUTED_VALUE"""),"short")</f>
        <v>short</v>
      </c>
      <c r="N327" s="45">
        <f>IFERROR(__xludf.DUMMYFUNCTION("""COMPUTED_VALUE"""),44898.0)</f>
        <v>44898</v>
      </c>
      <c r="O327" s="45">
        <f>IFERROR(__xludf.DUMMYFUNCTION("""COMPUTED_VALUE"""),44938.0)</f>
        <v>44938</v>
      </c>
      <c r="P327" s="45">
        <f>IFERROR(__xludf.DUMMYFUNCTION("""COMPUTED_VALUE"""),44980.0)</f>
        <v>44980</v>
      </c>
      <c r="Q327" s="45">
        <f>IFERROR(__xludf.DUMMYFUNCTION("""COMPUTED_VALUE"""),44938.0)</f>
        <v>44938</v>
      </c>
      <c r="R327" s="45">
        <f>IFERROR(__xludf.DUMMYFUNCTION("""COMPUTED_VALUE"""),44980.0)</f>
        <v>44980</v>
      </c>
      <c r="S327" s="43"/>
      <c r="T327" s="43"/>
      <c r="U327" s="43" t="str">
        <f>IFERROR(__xludf.DUMMYFUNCTION("""COMPUTED_VALUE"""),"Green Leaders")</f>
        <v>Green Leaders</v>
      </c>
      <c r="V327" s="43" t="str">
        <f>IFERROR(__xludf.DUMMYFUNCTION("""COMPUTED_VALUE"""),"숙명여자대학교 Sookmyung Women's University")</f>
        <v>숙명여자대학교 Sookmyung Women's University</v>
      </c>
      <c r="W327" s="43" t="str">
        <f>IFERROR(__xludf.DUMMYFUNCTION("""COMPUTED_VALUE"""),"2021-04-26T08:45:17Z")</f>
        <v>2021-04-26T08:45:17Z</v>
      </c>
      <c r="X327" s="43"/>
      <c r="Y327" s="43"/>
      <c r="Z327" s="43"/>
    </row>
    <row r="328" hidden="1">
      <c r="A328" s="43" t="str">
        <f>IFERROR(__xludf.DUMMYFUNCTION("""COMPUTED_VALUE"""),"4997269_1289505")</f>
        <v>4997269_1289505</v>
      </c>
      <c r="B328" s="43" t="str">
        <f>IFERROR(__xludf.DUMMYFUNCTION("""COMPUTED_VALUE"""),"Ghada Turki Dit Gara Ali")</f>
        <v>Ghada Turki Dit Gara Ali</v>
      </c>
      <c r="C328" s="43" t="str">
        <f>IFERROR(__xludf.DUMMYFUNCTION("""COMPUTED_VALUE"""),"completed")</f>
        <v>completed</v>
      </c>
      <c r="D328" s="43" t="str">
        <f>IFERROR(__xludf.DUMMYFUNCTION("""COMPUTED_VALUE"""),"No")</f>
        <v>No</v>
      </c>
      <c r="E328" s="43" t="str">
        <f>IFERROR(__xludf.DUMMYFUNCTION("""COMPUTED_VALUE"""),"p_aac5b79abb3dd9cfcb1289a8de031080bca2f6a1@inbound.aiesec.org")</f>
        <v>p_aac5b79abb3dd9cfcb1289a8de031080bca2f6a1@inbound.aiesec.org</v>
      </c>
      <c r="F328" s="43">
        <f>IFERROR(__xludf.DUMMYFUNCTION("""COMPUTED_VALUE"""),2.6016352E7)</f>
        <v>26016352</v>
      </c>
      <c r="G328" s="43" t="str">
        <f>IFERROR(__xludf.DUMMYFUNCTION("""COMPUTED_VALUE"""),"Tunisia")</f>
        <v>Tunisia</v>
      </c>
      <c r="H328" s="43" t="str">
        <f>IFERROR(__xludf.DUMMYFUNCTION("""COMPUTED_VALUE"""),"NABEL")</f>
        <v>NABEL</v>
      </c>
      <c r="I328" s="43" t="str">
        <f>IFERROR(__xludf.DUMMYFUNCTION("""COMPUTED_VALUE"""),"Turkey")</f>
        <v>Turkey</v>
      </c>
      <c r="J328" s="43" t="str">
        <f>IFERROR(__xludf.DUMMYFUNCTION("""COMPUTED_VALUE"""),"KOCAELI")</f>
        <v>KOCAELI</v>
      </c>
      <c r="K328" s="44" t="str">
        <f>IFERROR(__xludf.DUMMYFUNCTION("""COMPUTED_VALUE"""),"https://expa.aiesec.org/opportunities/1289505")</f>
        <v>https://expa.aiesec.org/opportunities/1289505</v>
      </c>
      <c r="L328" s="43" t="str">
        <f>IFERROR(__xludf.DUMMYFUNCTION("""COMPUTED_VALUE"""),"GV")</f>
        <v>GV</v>
      </c>
      <c r="M328" s="43" t="str">
        <f>IFERROR(__xludf.DUMMYFUNCTION("""COMPUTED_VALUE"""),"short")</f>
        <v>short</v>
      </c>
      <c r="N328" s="45">
        <f>IFERROR(__xludf.DUMMYFUNCTION("""COMPUTED_VALUE"""),44899.0)</f>
        <v>44899</v>
      </c>
      <c r="O328" s="45">
        <f>IFERROR(__xludf.DUMMYFUNCTION("""COMPUTED_VALUE"""),45103.0)</f>
        <v>45103</v>
      </c>
      <c r="P328" s="45">
        <f>IFERROR(__xludf.DUMMYFUNCTION("""COMPUTED_VALUE"""),45145.0)</f>
        <v>45145</v>
      </c>
      <c r="Q328" s="45">
        <f>IFERROR(__xludf.DUMMYFUNCTION("""COMPUTED_VALUE"""),45102.0)</f>
        <v>45102</v>
      </c>
      <c r="R328" s="45">
        <f>IFERROR(__xludf.DUMMYFUNCTION("""COMPUTED_VALUE"""),45145.0)</f>
        <v>45145</v>
      </c>
      <c r="S328" s="43"/>
      <c r="T328" s="43"/>
      <c r="U328" s="43" t="str">
        <f>IFERROR(__xludf.DUMMYFUNCTION("""COMPUTED_VALUE"""),"Youth 4 Impact")</f>
        <v>Youth 4 Impact</v>
      </c>
      <c r="V328" s="43" t="str">
        <f>IFERROR(__xludf.DUMMYFUNCTION("""COMPUTED_VALUE"""),"ISET Nabel")</f>
        <v>ISET Nabel</v>
      </c>
      <c r="W328" s="43" t="str">
        <f>IFERROR(__xludf.DUMMYFUNCTION("""COMPUTED_VALUE"""),"2022-03-21T17:30:10Z")</f>
        <v>2022-03-21T17:30:10Z</v>
      </c>
      <c r="X328" s="43"/>
      <c r="Y328" s="43"/>
      <c r="Z328" s="43"/>
    </row>
    <row r="329" hidden="1">
      <c r="A329" s="43" t="str">
        <f>IFERROR(__xludf.DUMMYFUNCTION("""COMPUTED_VALUE"""),"5152819_1286958")</f>
        <v>5152819_1286958</v>
      </c>
      <c r="B329" s="43" t="str">
        <f>IFERROR(__xludf.DUMMYFUNCTION("""COMPUTED_VALUE"""),"Silvija Zivkovic")</f>
        <v>Silvija Zivkovic</v>
      </c>
      <c r="C329" s="43" t="str">
        <f>IFERROR(__xludf.DUMMYFUNCTION("""COMPUTED_VALUE"""),"approved")</f>
        <v>approved</v>
      </c>
      <c r="D329" s="43" t="str">
        <f>IFERROR(__xludf.DUMMYFUNCTION("""COMPUTED_VALUE"""),"No")</f>
        <v>No</v>
      </c>
      <c r="E329" s="43" t="str">
        <f>IFERROR(__xludf.DUMMYFUNCTION("""COMPUTED_VALUE"""),"p_7a9db233ddf6cd80b4a99919604258c8297a7f1e@inbound.aiesec.org")</f>
        <v>p_7a9db233ddf6cd80b4a99919604258c8297a7f1e@inbound.aiesec.org</v>
      </c>
      <c r="F329" s="43">
        <f>IFERROR(__xludf.DUMMYFUNCTION("""COMPUTED_VALUE"""),6.12980389E8)</f>
        <v>612980389</v>
      </c>
      <c r="G329" s="43" t="str">
        <f>IFERROR(__xludf.DUMMYFUNCTION("""COMPUTED_VALUE"""),"Serbia")</f>
        <v>Serbia</v>
      </c>
      <c r="H329" s="43" t="str">
        <f>IFERROR(__xludf.DUMMYFUNCTION("""COMPUTED_VALUE"""),"NIS")</f>
        <v>NIS</v>
      </c>
      <c r="I329" s="43" t="str">
        <f>IFERROR(__xludf.DUMMYFUNCTION("""COMPUTED_VALUE"""),"Turkey")</f>
        <v>Turkey</v>
      </c>
      <c r="J329" s="43" t="str">
        <f>IFERROR(__xludf.DUMMYFUNCTION("""COMPUTED_VALUE"""),"KONYA")</f>
        <v>KONYA</v>
      </c>
      <c r="K329" s="44" t="str">
        <f>IFERROR(__xludf.DUMMYFUNCTION("""COMPUTED_VALUE"""),"https://expa.aiesec.org/opportunities/1286958")</f>
        <v>https://expa.aiesec.org/opportunities/1286958</v>
      </c>
      <c r="L329" s="43" t="str">
        <f>IFERROR(__xludf.DUMMYFUNCTION("""COMPUTED_VALUE"""),"GV")</f>
        <v>GV</v>
      </c>
      <c r="M329" s="43" t="str">
        <f>IFERROR(__xludf.DUMMYFUNCTION("""COMPUTED_VALUE"""),"short")</f>
        <v>short</v>
      </c>
      <c r="N329" s="45">
        <f>IFERROR(__xludf.DUMMYFUNCTION("""COMPUTED_VALUE"""),44899.0)</f>
        <v>44899</v>
      </c>
      <c r="O329" s="45">
        <f>IFERROR(__xludf.DUMMYFUNCTION("""COMPUTED_VALUE"""),45117.0)</f>
        <v>45117</v>
      </c>
      <c r="P329" s="45">
        <f>IFERROR(__xludf.DUMMYFUNCTION("""COMPUTED_VALUE"""),45159.0)</f>
        <v>45159</v>
      </c>
      <c r="Q329" s="45"/>
      <c r="R329" s="45"/>
      <c r="S329" s="43"/>
      <c r="T329" s="43"/>
      <c r="U329" s="43" t="str">
        <f>IFERROR(__xludf.DUMMYFUNCTION("""COMPUTED_VALUE"""),"Global Classroom")</f>
        <v>Global Classroom</v>
      </c>
      <c r="V329" s="43" t="str">
        <f>IFERROR(__xludf.DUMMYFUNCTION("""COMPUTED_VALUE"""),"University of Nis")</f>
        <v>University of Nis</v>
      </c>
      <c r="W329" s="43" t="str">
        <f>IFERROR(__xludf.DUMMYFUNCTION("""COMPUTED_VALUE"""),"2022-11-14T16:52:15Z")</f>
        <v>2022-11-14T16:52:15Z</v>
      </c>
      <c r="X329" s="43"/>
      <c r="Y329" s="43"/>
      <c r="Z329" s="43"/>
    </row>
    <row r="330" hidden="1">
      <c r="A330" s="43" t="str">
        <f>IFERROR(__xludf.DUMMYFUNCTION("""COMPUTED_VALUE"""),"5158510_1289505")</f>
        <v>5158510_1289505</v>
      </c>
      <c r="B330" s="43" t="str">
        <f>IFERROR(__xludf.DUMMYFUNCTION("""COMPUTED_VALUE"""),"Gorea Marina")</f>
        <v>Gorea Marina</v>
      </c>
      <c r="C330" s="43" t="str">
        <f>IFERROR(__xludf.DUMMYFUNCTION("""COMPUTED_VALUE"""),"approved")</f>
        <v>approved</v>
      </c>
      <c r="D330" s="43" t="str">
        <f>IFERROR(__xludf.DUMMYFUNCTION("""COMPUTED_VALUE"""),"No")</f>
        <v>No</v>
      </c>
      <c r="E330" s="43" t="str">
        <f>IFERROR(__xludf.DUMMYFUNCTION("""COMPUTED_VALUE"""),"p_40e811cf8b4446210e38160a7f5dcb2f948250bc@inbound.aiesec.org")</f>
        <v>p_40e811cf8b4446210e38160a7f5dcb2f948250bc@inbound.aiesec.org</v>
      </c>
      <c r="F330" s="43">
        <f>IFERROR(__xludf.DUMMYFUNCTION("""COMPUTED_VALUE"""),7.49559456E8)</f>
        <v>749559456</v>
      </c>
      <c r="G330" s="43" t="str">
        <f>IFERROR(__xludf.DUMMYFUNCTION("""COMPUTED_VALUE"""),"Romania")</f>
        <v>Romania</v>
      </c>
      <c r="H330" s="43" t="str">
        <f>IFERROR(__xludf.DUMMYFUNCTION("""COMPUTED_VALUE"""),"IASI")</f>
        <v>IASI</v>
      </c>
      <c r="I330" s="43" t="str">
        <f>IFERROR(__xludf.DUMMYFUNCTION("""COMPUTED_VALUE"""),"Turkey")</f>
        <v>Turkey</v>
      </c>
      <c r="J330" s="43" t="str">
        <f>IFERROR(__xludf.DUMMYFUNCTION("""COMPUTED_VALUE"""),"KOCAELI")</f>
        <v>KOCAELI</v>
      </c>
      <c r="K330" s="44" t="str">
        <f>IFERROR(__xludf.DUMMYFUNCTION("""COMPUTED_VALUE"""),"https://expa.aiesec.org/opportunities/1289505")</f>
        <v>https://expa.aiesec.org/opportunities/1289505</v>
      </c>
      <c r="L330" s="43" t="str">
        <f>IFERROR(__xludf.DUMMYFUNCTION("""COMPUTED_VALUE"""),"GV")</f>
        <v>GV</v>
      </c>
      <c r="M330" s="43" t="str">
        <f>IFERROR(__xludf.DUMMYFUNCTION("""COMPUTED_VALUE"""),"short")</f>
        <v>short</v>
      </c>
      <c r="N330" s="45">
        <f>IFERROR(__xludf.DUMMYFUNCTION("""COMPUTED_VALUE"""),44899.0)</f>
        <v>44899</v>
      </c>
      <c r="O330" s="45">
        <f>IFERROR(__xludf.DUMMYFUNCTION("""COMPUTED_VALUE"""),45117.0)</f>
        <v>45117</v>
      </c>
      <c r="P330" s="45">
        <f>IFERROR(__xludf.DUMMYFUNCTION("""COMPUTED_VALUE"""),45159.0)</f>
        <v>45159</v>
      </c>
      <c r="Q330" s="45"/>
      <c r="R330" s="45"/>
      <c r="S330" s="43"/>
      <c r="T330" s="43"/>
      <c r="U330" s="43" t="str">
        <f>IFERROR(__xludf.DUMMYFUNCTION("""COMPUTED_VALUE"""),"Youth 4 Impact")</f>
        <v>Youth 4 Impact</v>
      </c>
      <c r="V330" s="43" t="str">
        <f>IFERROR(__xludf.DUMMYFUNCTION("""COMPUTED_VALUE"""),"Iasi")</f>
        <v>Iasi</v>
      </c>
      <c r="W330" s="43" t="str">
        <f>IFERROR(__xludf.DUMMYFUNCTION("""COMPUTED_VALUE"""),"2022-11-24T21:01:53Z")</f>
        <v>2022-11-24T21:01:53Z</v>
      </c>
      <c r="X330" s="43"/>
      <c r="Y330" s="43"/>
      <c r="Z330" s="43"/>
    </row>
    <row r="331" hidden="1">
      <c r="A331" s="43" t="str">
        <f>IFERROR(__xludf.DUMMYFUNCTION("""COMPUTED_VALUE"""),"5157434_1289505")</f>
        <v>5157434_1289505</v>
      </c>
      <c r="B331" s="43" t="str">
        <f>IFERROR(__xludf.DUMMYFUNCTION("""COMPUTED_VALUE"""),"Vidrașco Nicolae")</f>
        <v>Vidrașco Nicolae</v>
      </c>
      <c r="C331" s="43" t="str">
        <f>IFERROR(__xludf.DUMMYFUNCTION("""COMPUTED_VALUE"""),"approved")</f>
        <v>approved</v>
      </c>
      <c r="D331" s="43" t="str">
        <f>IFERROR(__xludf.DUMMYFUNCTION("""COMPUTED_VALUE"""),"No")</f>
        <v>No</v>
      </c>
      <c r="E331" s="43" t="str">
        <f>IFERROR(__xludf.DUMMYFUNCTION("""COMPUTED_VALUE"""),"p_83247794db4ad4c5205658602df0adab908b392b@inbound.aiesec.org")</f>
        <v>p_83247794db4ad4c5205658602df0adab908b392b@inbound.aiesec.org</v>
      </c>
      <c r="F331" s="43">
        <f>IFERROR(__xludf.DUMMYFUNCTION("""COMPUTED_VALUE"""),7.37752809E8)</f>
        <v>737752809</v>
      </c>
      <c r="G331" s="43" t="str">
        <f>IFERROR(__xludf.DUMMYFUNCTION("""COMPUTED_VALUE"""),"Romania")</f>
        <v>Romania</v>
      </c>
      <c r="H331" s="43" t="str">
        <f>IFERROR(__xludf.DUMMYFUNCTION("""COMPUTED_VALUE"""),"IASI")</f>
        <v>IASI</v>
      </c>
      <c r="I331" s="43" t="str">
        <f>IFERROR(__xludf.DUMMYFUNCTION("""COMPUTED_VALUE"""),"Turkey")</f>
        <v>Turkey</v>
      </c>
      <c r="J331" s="43" t="str">
        <f>IFERROR(__xludf.DUMMYFUNCTION("""COMPUTED_VALUE"""),"KOCAELI")</f>
        <v>KOCAELI</v>
      </c>
      <c r="K331" s="44" t="str">
        <f>IFERROR(__xludf.DUMMYFUNCTION("""COMPUTED_VALUE"""),"https://expa.aiesec.org/opportunities/1289505")</f>
        <v>https://expa.aiesec.org/opportunities/1289505</v>
      </c>
      <c r="L331" s="43" t="str">
        <f>IFERROR(__xludf.DUMMYFUNCTION("""COMPUTED_VALUE"""),"GV")</f>
        <v>GV</v>
      </c>
      <c r="M331" s="43" t="str">
        <f>IFERROR(__xludf.DUMMYFUNCTION("""COMPUTED_VALUE"""),"short")</f>
        <v>short</v>
      </c>
      <c r="N331" s="45">
        <f>IFERROR(__xludf.DUMMYFUNCTION("""COMPUTED_VALUE"""),44899.0)</f>
        <v>44899</v>
      </c>
      <c r="O331" s="45">
        <f>IFERROR(__xludf.DUMMYFUNCTION("""COMPUTED_VALUE"""),45117.0)</f>
        <v>45117</v>
      </c>
      <c r="P331" s="45">
        <f>IFERROR(__xludf.DUMMYFUNCTION("""COMPUTED_VALUE"""),45159.0)</f>
        <v>45159</v>
      </c>
      <c r="Q331" s="45"/>
      <c r="R331" s="45"/>
      <c r="S331" s="43"/>
      <c r="T331" s="43"/>
      <c r="U331" s="43" t="str">
        <f>IFERROR(__xludf.DUMMYFUNCTION("""COMPUTED_VALUE"""),"Youth 4 Impact")</f>
        <v>Youth 4 Impact</v>
      </c>
      <c r="V331" s="43" t="str">
        <f>IFERROR(__xludf.DUMMYFUNCTION("""COMPUTED_VALUE"""),"Iasi - Technical University of Iasi")</f>
        <v>Iasi - Technical University of Iasi</v>
      </c>
      <c r="W331" s="43" t="str">
        <f>IFERROR(__xludf.DUMMYFUNCTION("""COMPUTED_VALUE"""),"2022-11-22T19:31:24Z")</f>
        <v>2022-11-22T19:31:24Z</v>
      </c>
      <c r="X331" s="43"/>
      <c r="Y331" s="43"/>
      <c r="Z331" s="43"/>
    </row>
    <row r="332" hidden="1">
      <c r="A332" s="43" t="str">
        <f>IFERROR(__xludf.DUMMYFUNCTION("""COMPUTED_VALUE"""),"5146537_1289505")</f>
        <v>5146537_1289505</v>
      </c>
      <c r="B332" s="43" t="str">
        <f>IFERROR(__xludf.DUMMYFUNCTION("""COMPUTED_VALUE"""),"Ana Girla")</f>
        <v>Ana Girla</v>
      </c>
      <c r="C332" s="43" t="str">
        <f>IFERROR(__xludf.DUMMYFUNCTION("""COMPUTED_VALUE"""),"approved")</f>
        <v>approved</v>
      </c>
      <c r="D332" s="43" t="str">
        <f>IFERROR(__xludf.DUMMYFUNCTION("""COMPUTED_VALUE"""),"No")</f>
        <v>No</v>
      </c>
      <c r="E332" s="43" t="str">
        <f>IFERROR(__xludf.DUMMYFUNCTION("""COMPUTED_VALUE"""),"p_9ad7886c7daf9d06333dafbab4f7452334c56ff3@inbound.aiesec.org")</f>
        <v>p_9ad7886c7daf9d06333dafbab4f7452334c56ff3@inbound.aiesec.org</v>
      </c>
      <c r="F332" s="43"/>
      <c r="G332" s="43" t="str">
        <f>IFERROR(__xludf.DUMMYFUNCTION("""COMPUTED_VALUE"""),"Romania")</f>
        <v>Romania</v>
      </c>
      <c r="H332" s="43" t="str">
        <f>IFERROR(__xludf.DUMMYFUNCTION("""COMPUTED_VALUE"""),"IASI")</f>
        <v>IASI</v>
      </c>
      <c r="I332" s="43" t="str">
        <f>IFERROR(__xludf.DUMMYFUNCTION("""COMPUTED_VALUE"""),"Turkey")</f>
        <v>Turkey</v>
      </c>
      <c r="J332" s="43" t="str">
        <f>IFERROR(__xludf.DUMMYFUNCTION("""COMPUTED_VALUE"""),"KOCAELI")</f>
        <v>KOCAELI</v>
      </c>
      <c r="K332" s="44" t="str">
        <f>IFERROR(__xludf.DUMMYFUNCTION("""COMPUTED_VALUE"""),"https://expa.aiesec.org/opportunities/1289505")</f>
        <v>https://expa.aiesec.org/opportunities/1289505</v>
      </c>
      <c r="L332" s="43" t="str">
        <f>IFERROR(__xludf.DUMMYFUNCTION("""COMPUTED_VALUE"""),"GV")</f>
        <v>GV</v>
      </c>
      <c r="M332" s="43" t="str">
        <f>IFERROR(__xludf.DUMMYFUNCTION("""COMPUTED_VALUE"""),"short")</f>
        <v>short</v>
      </c>
      <c r="N332" s="45">
        <f>IFERROR(__xludf.DUMMYFUNCTION("""COMPUTED_VALUE"""),44899.0)</f>
        <v>44899</v>
      </c>
      <c r="O332" s="45">
        <f>IFERROR(__xludf.DUMMYFUNCTION("""COMPUTED_VALUE"""),45117.0)</f>
        <v>45117</v>
      </c>
      <c r="P332" s="45">
        <f>IFERROR(__xludf.DUMMYFUNCTION("""COMPUTED_VALUE"""),45159.0)</f>
        <v>45159</v>
      </c>
      <c r="Q332" s="45"/>
      <c r="R332" s="45"/>
      <c r="S332" s="43"/>
      <c r="T332" s="43"/>
      <c r="U332" s="43" t="str">
        <f>IFERROR(__xludf.DUMMYFUNCTION("""COMPUTED_VALUE"""),"Youth 4 Impact")</f>
        <v>Youth 4 Impact</v>
      </c>
      <c r="V332" s="43" t="str">
        <f>IFERROR(__xludf.DUMMYFUNCTION("""COMPUTED_VALUE"""),"-")</f>
        <v>-</v>
      </c>
      <c r="W332" s="43" t="str">
        <f>IFERROR(__xludf.DUMMYFUNCTION("""COMPUTED_VALUE"""),"2022-11-04T13:20:01Z")</f>
        <v>2022-11-04T13:20:01Z</v>
      </c>
      <c r="X332" s="43"/>
      <c r="Y332" s="43"/>
      <c r="Z332" s="43"/>
    </row>
    <row r="333">
      <c r="A333" s="43" t="str">
        <f>IFERROR(__xludf.DUMMYFUNCTION("""COMPUTED_VALUE"""),"5162948_1289505")</f>
        <v>5162948_1289505</v>
      </c>
      <c r="B333" s="43" t="str">
        <f>IFERROR(__xludf.DUMMYFUNCTION("""COMPUTED_VALUE"""),"Arwa Ben amar")</f>
        <v>Arwa Ben amar</v>
      </c>
      <c r="C333" s="43" t="str">
        <f>IFERROR(__xludf.DUMMYFUNCTION("""COMPUTED_VALUE"""),"approved")</f>
        <v>approved</v>
      </c>
      <c r="D333" s="43" t="str">
        <f>IFERROR(__xludf.DUMMYFUNCTION("""COMPUTED_VALUE"""),"No")</f>
        <v>No</v>
      </c>
      <c r="E333" s="43" t="str">
        <f>IFERROR(__xludf.DUMMYFUNCTION("""COMPUTED_VALUE"""),"p_4c457612819a71f013d783a621a059a2ba141ce8@inbound.aiesec.org")</f>
        <v>p_4c457612819a71f013d783a621a059a2ba141ce8@inbound.aiesec.org</v>
      </c>
      <c r="F333" s="43">
        <f>IFERROR(__xludf.DUMMYFUNCTION("""COMPUTED_VALUE"""),2.5545173E7)</f>
        <v>25545173</v>
      </c>
      <c r="G333" s="43" t="str">
        <f>IFERROR(__xludf.DUMMYFUNCTION("""COMPUTED_VALUE"""),"Tunisia")</f>
        <v>Tunisia</v>
      </c>
      <c r="H333" s="43" t="str">
        <f>IFERROR(__xludf.DUMMYFUNCTION("""COMPUTED_VALUE"""),"HADRUMET")</f>
        <v>HADRUMET</v>
      </c>
      <c r="I333" s="43" t="str">
        <f>IFERROR(__xludf.DUMMYFUNCTION("""COMPUTED_VALUE"""),"Turkey")</f>
        <v>Turkey</v>
      </c>
      <c r="J333" s="43" t="str">
        <f>IFERROR(__xludf.DUMMYFUNCTION("""COMPUTED_VALUE"""),"KOCAELI")</f>
        <v>KOCAELI</v>
      </c>
      <c r="K333" s="44" t="str">
        <f>IFERROR(__xludf.DUMMYFUNCTION("""COMPUTED_VALUE"""),"https://expa.aiesec.org/opportunities/1289505")</f>
        <v>https://expa.aiesec.org/opportunities/1289505</v>
      </c>
      <c r="L333" s="43" t="str">
        <f>IFERROR(__xludf.DUMMYFUNCTION("""COMPUTED_VALUE"""),"GV")</f>
        <v>GV</v>
      </c>
      <c r="M333" s="43" t="str">
        <f>IFERROR(__xludf.DUMMYFUNCTION("""COMPUTED_VALUE"""),"short")</f>
        <v>short</v>
      </c>
      <c r="N333" s="45">
        <f>IFERROR(__xludf.DUMMYFUNCTION("""COMPUTED_VALUE"""),44900.0)</f>
        <v>44900</v>
      </c>
      <c r="O333" s="45">
        <f>IFERROR(__xludf.DUMMYFUNCTION("""COMPUTED_VALUE"""),45103.0)</f>
        <v>45103</v>
      </c>
      <c r="P333" s="45">
        <f>IFERROR(__xludf.DUMMYFUNCTION("""COMPUTED_VALUE"""),45145.0)</f>
        <v>45145</v>
      </c>
      <c r="Q333" s="45"/>
      <c r="R333" s="45"/>
      <c r="S333" s="43"/>
      <c r="T333" s="43"/>
      <c r="U333" s="43" t="str">
        <f>IFERROR(__xludf.DUMMYFUNCTION("""COMPUTED_VALUE"""),"Youth 4 Impact")</f>
        <v>Youth 4 Impact</v>
      </c>
      <c r="V333" s="43" t="str">
        <f>IFERROR(__xludf.DUMMYFUNCTION("""COMPUTED_VALUE"""),"ESSTHS")</f>
        <v>ESSTHS</v>
      </c>
      <c r="W333" s="43" t="str">
        <f>IFERROR(__xludf.DUMMYFUNCTION("""COMPUTED_VALUE"""),"2022-12-05T16:20:47Z")</f>
        <v>2022-12-05T16:20:47Z</v>
      </c>
      <c r="X333" s="43"/>
      <c r="Y333" s="43"/>
      <c r="Z333" s="43"/>
    </row>
    <row r="334" hidden="1">
      <c r="A334" s="43" t="str">
        <f>IFERROR(__xludf.DUMMYFUNCTION("""COMPUTED_VALUE"""),"5156438_1286312")</f>
        <v>5156438_1286312</v>
      </c>
      <c r="B334" s="43" t="str">
        <f>IFERROR(__xludf.DUMMYFUNCTION("""COMPUTED_VALUE"""),"Petra Stanković")</f>
        <v>Petra Stanković</v>
      </c>
      <c r="C334" s="43" t="str">
        <f>IFERROR(__xludf.DUMMYFUNCTION("""COMPUTED_VALUE"""),"completed")</f>
        <v>completed</v>
      </c>
      <c r="D334" s="43" t="str">
        <f>IFERROR(__xludf.DUMMYFUNCTION("""COMPUTED_VALUE"""),"No")</f>
        <v>No</v>
      </c>
      <c r="E334" s="43" t="str">
        <f>IFERROR(__xludf.DUMMYFUNCTION("""COMPUTED_VALUE"""),"p_5bfe4ff5e7f1178ed5912ef4c85bad75d9efee29@inbound.aiesec.org")</f>
        <v>p_5bfe4ff5e7f1178ed5912ef4c85bad75d9efee29@inbound.aiesec.org</v>
      </c>
      <c r="F334" s="43">
        <f>IFERROR(__xludf.DUMMYFUNCTION("""COMPUTED_VALUE"""),6.01529518E8)</f>
        <v>601529518</v>
      </c>
      <c r="G334" s="43" t="str">
        <f>IFERROR(__xludf.DUMMYFUNCTION("""COMPUTED_VALUE"""),"Serbia")</f>
        <v>Serbia</v>
      </c>
      <c r="H334" s="43" t="str">
        <f>IFERROR(__xludf.DUMMYFUNCTION("""COMPUTED_VALUE"""),"NIS")</f>
        <v>NIS</v>
      </c>
      <c r="I334" s="43" t="str">
        <f>IFERROR(__xludf.DUMMYFUNCTION("""COMPUTED_VALUE"""),"Turkey")</f>
        <v>Turkey</v>
      </c>
      <c r="J334" s="43" t="str">
        <f>IFERROR(__xludf.DUMMYFUNCTION("""COMPUTED_VALUE"""),"KONYA")</f>
        <v>KONYA</v>
      </c>
      <c r="K334" s="44" t="str">
        <f>IFERROR(__xludf.DUMMYFUNCTION("""COMPUTED_VALUE"""),"https://expa.aiesec.org/opportunities/1286312")</f>
        <v>https://expa.aiesec.org/opportunities/1286312</v>
      </c>
      <c r="L334" s="43" t="str">
        <f>IFERROR(__xludf.DUMMYFUNCTION("""COMPUTED_VALUE"""),"GV")</f>
        <v>GV</v>
      </c>
      <c r="M334" s="43" t="str">
        <f>IFERROR(__xludf.DUMMYFUNCTION("""COMPUTED_VALUE"""),"short")</f>
        <v>short</v>
      </c>
      <c r="N334" s="45">
        <f>IFERROR(__xludf.DUMMYFUNCTION("""COMPUTED_VALUE"""),44900.0)</f>
        <v>44900</v>
      </c>
      <c r="O334" s="45">
        <f>IFERROR(__xludf.DUMMYFUNCTION("""COMPUTED_VALUE"""),45117.0)</f>
        <v>45117</v>
      </c>
      <c r="P334" s="45">
        <f>IFERROR(__xludf.DUMMYFUNCTION("""COMPUTED_VALUE"""),45159.0)</f>
        <v>45159</v>
      </c>
      <c r="Q334" s="45">
        <f>IFERROR(__xludf.DUMMYFUNCTION("""COMPUTED_VALUE"""),45119.0)</f>
        <v>45119</v>
      </c>
      <c r="R334" s="45">
        <f>IFERROR(__xludf.DUMMYFUNCTION("""COMPUTED_VALUE"""),45159.0)</f>
        <v>45159</v>
      </c>
      <c r="S334" s="43"/>
      <c r="T334" s="43"/>
      <c r="U334" s="43" t="str">
        <f>IFERROR(__xludf.DUMMYFUNCTION("""COMPUTED_VALUE"""),"Global Classroom")</f>
        <v>Global Classroom</v>
      </c>
      <c r="V334" s="43" t="str">
        <f>IFERROR(__xludf.DUMMYFUNCTION("""COMPUTED_VALUE"""),"University of Nis")</f>
        <v>University of Nis</v>
      </c>
      <c r="W334" s="43" t="str">
        <f>IFERROR(__xludf.DUMMYFUNCTION("""COMPUTED_VALUE"""),"2022-11-21T10:40:53Z")</f>
        <v>2022-11-21T10:40:53Z</v>
      </c>
      <c r="X334" s="43"/>
      <c r="Y334" s="43"/>
      <c r="Z334" s="43"/>
    </row>
    <row r="335" hidden="1">
      <c r="A335" s="43" t="str">
        <f>IFERROR(__xludf.DUMMYFUNCTION("""COMPUTED_VALUE"""),"4487410_1288721")</f>
        <v>4487410_1288721</v>
      </c>
      <c r="B335" s="43" t="str">
        <f>IFERROR(__xludf.DUMMYFUNCTION("""COMPUTED_VALUE"""),"Mahy Elhamzawy")</f>
        <v>Mahy Elhamzawy</v>
      </c>
      <c r="C335" s="43" t="str">
        <f>IFERROR(__xludf.DUMMYFUNCTION("""COMPUTED_VALUE"""),"completed")</f>
        <v>completed</v>
      </c>
      <c r="D335" s="43" t="str">
        <f>IFERROR(__xludf.DUMMYFUNCTION("""COMPUTED_VALUE"""),"No")</f>
        <v>No</v>
      </c>
      <c r="E335" s="43" t="str">
        <f>IFERROR(__xludf.DUMMYFUNCTION("""COMPUTED_VALUE"""),"p_3fcd19a4750f1c80d75744fe0f403bcb4af68936@inbound.aiesec.org")</f>
        <v>p_3fcd19a4750f1c80d75744fe0f403bcb4af68936@inbound.aiesec.org</v>
      </c>
      <c r="F335" s="43">
        <f>IFERROR(__xludf.DUMMYFUNCTION("""COMPUTED_VALUE"""),1.01576784E8)</f>
        <v>101576784</v>
      </c>
      <c r="G335" s="43" t="str">
        <f>IFERROR(__xludf.DUMMYFUNCTION("""COMPUTED_VALUE"""),"Egypt")</f>
        <v>Egypt</v>
      </c>
      <c r="H335" s="43" t="str">
        <f>IFERROR(__xludf.DUMMYFUNCTION("""COMPUTED_VALUE"""),"Ain Shams University")</f>
        <v>Ain Shams University</v>
      </c>
      <c r="I335" s="43" t="str">
        <f>IFERROR(__xludf.DUMMYFUNCTION("""COMPUTED_VALUE"""),"Turkey")</f>
        <v>Turkey</v>
      </c>
      <c r="J335" s="43" t="str">
        <f>IFERROR(__xludf.DUMMYFUNCTION("""COMPUTED_VALUE"""),"KUTAHYA")</f>
        <v>KUTAHYA</v>
      </c>
      <c r="K335" s="44" t="str">
        <f>IFERROR(__xludf.DUMMYFUNCTION("""COMPUTED_VALUE"""),"https://expa.aiesec.org/opportunities/1288721")</f>
        <v>https://expa.aiesec.org/opportunities/1288721</v>
      </c>
      <c r="L335" s="43" t="str">
        <f>IFERROR(__xludf.DUMMYFUNCTION("""COMPUTED_VALUE"""),"GV")</f>
        <v>GV</v>
      </c>
      <c r="M335" s="43" t="str">
        <f>IFERROR(__xludf.DUMMYFUNCTION("""COMPUTED_VALUE"""),"short")</f>
        <v>short</v>
      </c>
      <c r="N335" s="45">
        <f>IFERROR(__xludf.DUMMYFUNCTION("""COMPUTED_VALUE"""),44901.0)</f>
        <v>44901</v>
      </c>
      <c r="O335" s="45">
        <f>IFERROR(__xludf.DUMMYFUNCTION("""COMPUTED_VALUE"""),45096.0)</f>
        <v>45096</v>
      </c>
      <c r="P335" s="45">
        <f>IFERROR(__xludf.DUMMYFUNCTION("""COMPUTED_VALUE"""),45138.0)</f>
        <v>45138</v>
      </c>
      <c r="Q335" s="45">
        <f>IFERROR(__xludf.DUMMYFUNCTION("""COMPUTED_VALUE"""),45097.0)</f>
        <v>45097</v>
      </c>
      <c r="R335" s="45">
        <f>IFERROR(__xludf.DUMMYFUNCTION("""COMPUTED_VALUE"""),45138.0)</f>
        <v>45138</v>
      </c>
      <c r="S335" s="43"/>
      <c r="T335" s="43"/>
      <c r="U335" s="43" t="str">
        <f>IFERROR(__xludf.DUMMYFUNCTION("""COMPUTED_VALUE"""),"On The Map")</f>
        <v>On The Map</v>
      </c>
      <c r="V335" s="43" t="str">
        <f>IFERROR(__xludf.DUMMYFUNCTION("""COMPUTED_VALUE"""),"Ain Shams University")</f>
        <v>Ain Shams University</v>
      </c>
      <c r="W335" s="43" t="str">
        <f>IFERROR(__xludf.DUMMYFUNCTION("""COMPUTED_VALUE"""),"2020-12-17T19:38:29Z")</f>
        <v>2020-12-17T19:38:29Z</v>
      </c>
      <c r="X335" s="43"/>
      <c r="Y335" s="43"/>
      <c r="Z335" s="43"/>
    </row>
    <row r="336" hidden="1">
      <c r="A336" s="43" t="str">
        <f>IFERROR(__xludf.DUMMYFUNCTION("""COMPUTED_VALUE"""),"5159024_1288488")</f>
        <v>5159024_1288488</v>
      </c>
      <c r="B336" s="43" t="str">
        <f>IFERROR(__xludf.DUMMYFUNCTION("""COMPUTED_VALUE"""),"Jana Ramy")</f>
        <v>Jana Ramy</v>
      </c>
      <c r="C336" s="43" t="str">
        <f>IFERROR(__xludf.DUMMYFUNCTION("""COMPUTED_VALUE"""),"approved")</f>
        <v>approved</v>
      </c>
      <c r="D336" s="43" t="str">
        <f>IFERROR(__xludf.DUMMYFUNCTION("""COMPUTED_VALUE"""),"No")</f>
        <v>No</v>
      </c>
      <c r="E336" s="43" t="str">
        <f>IFERROR(__xludf.DUMMYFUNCTION("""COMPUTED_VALUE"""),"p_0a9458f0bd0af184234df264cea570eacb99f757@inbound.aiesec.org")</f>
        <v>p_0a9458f0bd0af184234df264cea570eacb99f757@inbound.aiesec.org</v>
      </c>
      <c r="F336" s="43">
        <f>IFERROR(__xludf.DUMMYFUNCTION("""COMPUTED_VALUE"""),1.100424017E9)</f>
        <v>1100424017</v>
      </c>
      <c r="G336" s="43" t="str">
        <f>IFERROR(__xludf.DUMMYFUNCTION("""COMPUTED_VALUE"""),"Egypt")</f>
        <v>Egypt</v>
      </c>
      <c r="H336" s="43" t="str">
        <f>IFERROR(__xludf.DUMMYFUNCTION("""COMPUTED_VALUE"""),"Ain Shams University")</f>
        <v>Ain Shams University</v>
      </c>
      <c r="I336" s="43" t="str">
        <f>IFERROR(__xludf.DUMMYFUNCTION("""COMPUTED_VALUE"""),"Turkey")</f>
        <v>Turkey</v>
      </c>
      <c r="J336" s="43" t="str">
        <f>IFERROR(__xludf.DUMMYFUNCTION("""COMPUTED_VALUE"""),"ISPARTA")</f>
        <v>ISPARTA</v>
      </c>
      <c r="K336" s="44" t="str">
        <f>IFERROR(__xludf.DUMMYFUNCTION("""COMPUTED_VALUE"""),"https://expa.aiesec.org/opportunities/1288488")</f>
        <v>https://expa.aiesec.org/opportunities/1288488</v>
      </c>
      <c r="L336" s="43" t="str">
        <f>IFERROR(__xludf.DUMMYFUNCTION("""COMPUTED_VALUE"""),"GV")</f>
        <v>GV</v>
      </c>
      <c r="M336" s="43" t="str">
        <f>IFERROR(__xludf.DUMMYFUNCTION("""COMPUTED_VALUE"""),"short")</f>
        <v>short</v>
      </c>
      <c r="N336" s="45">
        <f>IFERROR(__xludf.DUMMYFUNCTION("""COMPUTED_VALUE"""),44901.0)</f>
        <v>44901</v>
      </c>
      <c r="O336" s="45">
        <f>IFERROR(__xludf.DUMMYFUNCTION("""COMPUTED_VALUE"""),45173.0)</f>
        <v>45173</v>
      </c>
      <c r="P336" s="45">
        <f>IFERROR(__xludf.DUMMYFUNCTION("""COMPUTED_VALUE"""),45215.0)</f>
        <v>45215</v>
      </c>
      <c r="Q336" s="45"/>
      <c r="R336" s="45"/>
      <c r="S336" s="43"/>
      <c r="T336" s="43"/>
      <c r="U336" s="43" t="str">
        <f>IFERROR(__xludf.DUMMYFUNCTION("""COMPUTED_VALUE"""),"Global Classroom")</f>
        <v>Global Classroom</v>
      </c>
      <c r="V336" s="43" t="str">
        <f>IFERROR(__xludf.DUMMYFUNCTION("""COMPUTED_VALUE"""),"Ain Shams University")</f>
        <v>Ain Shams University</v>
      </c>
      <c r="W336" s="43" t="str">
        <f>IFERROR(__xludf.DUMMYFUNCTION("""COMPUTED_VALUE"""),"2022-11-26T05:39:12Z")</f>
        <v>2022-11-26T05:39:12Z</v>
      </c>
      <c r="X336" s="43"/>
      <c r="Y336" s="43"/>
      <c r="Z336" s="43"/>
    </row>
    <row r="337" hidden="1">
      <c r="A337" s="43" t="str">
        <f>IFERROR(__xludf.DUMMYFUNCTION("""COMPUTED_VALUE"""),"5163883_1289536")</f>
        <v>5163883_1289536</v>
      </c>
      <c r="B337" s="43" t="str">
        <f>IFERROR(__xludf.DUMMYFUNCTION("""COMPUTED_VALUE"""),"Mohamed Iheb Mnif")</f>
        <v>Mohamed Iheb Mnif</v>
      </c>
      <c r="C337" s="43" t="str">
        <f>IFERROR(__xludf.DUMMYFUNCTION("""COMPUTED_VALUE"""),"completed")</f>
        <v>completed</v>
      </c>
      <c r="D337" s="43" t="str">
        <f>IFERROR(__xludf.DUMMYFUNCTION("""COMPUTED_VALUE"""),"No")</f>
        <v>No</v>
      </c>
      <c r="E337" s="43" t="str">
        <f>IFERROR(__xludf.DUMMYFUNCTION("""COMPUTED_VALUE"""),"p_d09ace111cc4f50174045357f96b32dcfef357b6@inbound.aiesec.org")</f>
        <v>p_d09ace111cc4f50174045357f96b32dcfef357b6@inbound.aiesec.org</v>
      </c>
      <c r="F337" s="43">
        <f>IFERROR(__xludf.DUMMYFUNCTION("""COMPUTED_VALUE"""),2.0002496E7)</f>
        <v>20002496</v>
      </c>
      <c r="G337" s="43" t="str">
        <f>IFERROR(__xludf.DUMMYFUNCTION("""COMPUTED_VALUE"""),"Tunisia")</f>
        <v>Tunisia</v>
      </c>
      <c r="H337" s="43" t="str">
        <f>IFERROR(__xludf.DUMMYFUNCTION("""COMPUTED_VALUE"""),"SFAX")</f>
        <v>SFAX</v>
      </c>
      <c r="I337" s="43" t="str">
        <f>IFERROR(__xludf.DUMMYFUNCTION("""COMPUTED_VALUE"""),"Turkey")</f>
        <v>Turkey</v>
      </c>
      <c r="J337" s="43" t="str">
        <f>IFERROR(__xludf.DUMMYFUNCTION("""COMPUTED_VALUE"""),"ISTANBUL")</f>
        <v>ISTANBUL</v>
      </c>
      <c r="K337" s="44" t="str">
        <f>IFERROR(__xludf.DUMMYFUNCTION("""COMPUTED_VALUE"""),"https://expa.aiesec.org/opportunities/1289536")</f>
        <v>https://expa.aiesec.org/opportunities/1289536</v>
      </c>
      <c r="L337" s="43" t="str">
        <f>IFERROR(__xludf.DUMMYFUNCTION("""COMPUTED_VALUE"""),"GV")</f>
        <v>GV</v>
      </c>
      <c r="M337" s="43" t="str">
        <f>IFERROR(__xludf.DUMMYFUNCTION("""COMPUTED_VALUE"""),"short")</f>
        <v>short</v>
      </c>
      <c r="N337" s="45">
        <f>IFERROR(__xludf.DUMMYFUNCTION("""COMPUTED_VALUE"""),44902.0)</f>
        <v>44902</v>
      </c>
      <c r="O337" s="45">
        <f>IFERROR(__xludf.DUMMYFUNCTION("""COMPUTED_VALUE"""),45132.0)</f>
        <v>45132</v>
      </c>
      <c r="P337" s="45">
        <f>IFERROR(__xludf.DUMMYFUNCTION("""COMPUTED_VALUE"""),45174.0)</f>
        <v>45174</v>
      </c>
      <c r="Q337" s="45">
        <f>IFERROR(__xludf.DUMMYFUNCTION("""COMPUTED_VALUE"""),45133.0)</f>
        <v>45133</v>
      </c>
      <c r="R337" s="45">
        <f>IFERROR(__xludf.DUMMYFUNCTION("""COMPUTED_VALUE"""),45174.0)</f>
        <v>45174</v>
      </c>
      <c r="S337" s="43"/>
      <c r="T337" s="43"/>
      <c r="U337" s="43" t="str">
        <f>IFERROR(__xludf.DUMMYFUNCTION("""COMPUTED_VALUE"""),"Global Classroom")</f>
        <v>Global Classroom</v>
      </c>
      <c r="V337" s="43" t="str">
        <f>IFERROR(__xludf.DUMMYFUNCTION("""COMPUTED_VALUE"""),"IIT")</f>
        <v>IIT</v>
      </c>
      <c r="W337" s="43" t="str">
        <f>IFERROR(__xludf.DUMMYFUNCTION("""COMPUTED_VALUE"""),"2022-12-07T17:43:32Z")</f>
        <v>2022-12-07T17:43:32Z</v>
      </c>
      <c r="X337" s="43"/>
      <c r="Y337" s="43"/>
      <c r="Z337" s="43"/>
    </row>
    <row r="338" hidden="1">
      <c r="A338" s="43" t="str">
        <f>IFERROR(__xludf.DUMMYFUNCTION("""COMPUTED_VALUE"""),"4254682_1279126")</f>
        <v>4254682_1279126</v>
      </c>
      <c r="B338" s="43" t="str">
        <f>IFERROR(__xludf.DUMMYFUNCTION("""COMPUTED_VALUE"""),"Sarra Belhabib")</f>
        <v>Sarra Belhabib</v>
      </c>
      <c r="C338" s="43" t="str">
        <f>IFERROR(__xludf.DUMMYFUNCTION("""COMPUTED_VALUE"""),"approved")</f>
        <v>approved</v>
      </c>
      <c r="D338" s="43" t="str">
        <f>IFERROR(__xludf.DUMMYFUNCTION("""COMPUTED_VALUE"""),"No")</f>
        <v>No</v>
      </c>
      <c r="E338" s="43" t="str">
        <f>IFERROR(__xludf.DUMMYFUNCTION("""COMPUTED_VALUE"""),"p_74748c14631d78a967adc7b8e2ede9b50b80e005@inbound.aiesec.org")</f>
        <v>p_74748c14631d78a967adc7b8e2ede9b50b80e005@inbound.aiesec.org</v>
      </c>
      <c r="F338" s="43">
        <f>IFERROR(__xludf.DUMMYFUNCTION("""COMPUTED_VALUE"""),5.3879706E7)</f>
        <v>53879706</v>
      </c>
      <c r="G338" s="43" t="str">
        <f>IFERROR(__xludf.DUMMYFUNCTION("""COMPUTED_VALUE"""),"Tunisia")</f>
        <v>Tunisia</v>
      </c>
      <c r="H338" s="43" t="str">
        <f>IFERROR(__xludf.DUMMYFUNCTION("""COMPUTED_VALUE"""),"NABEL")</f>
        <v>NABEL</v>
      </c>
      <c r="I338" s="43" t="str">
        <f>IFERROR(__xludf.DUMMYFUNCTION("""COMPUTED_VALUE"""),"Turkey")</f>
        <v>Turkey</v>
      </c>
      <c r="J338" s="43" t="str">
        <f>IFERROR(__xludf.DUMMYFUNCTION("""COMPUTED_VALUE"""),"KOCAELI")</f>
        <v>KOCAELI</v>
      </c>
      <c r="K338" s="44" t="str">
        <f>IFERROR(__xludf.DUMMYFUNCTION("""COMPUTED_VALUE"""),"https://expa.aiesec.org/opportunities/1279126")</f>
        <v>https://expa.aiesec.org/opportunities/1279126</v>
      </c>
      <c r="L338" s="43" t="str">
        <f>IFERROR(__xludf.DUMMYFUNCTION("""COMPUTED_VALUE"""),"GV")</f>
        <v>GV</v>
      </c>
      <c r="M338" s="43" t="str">
        <f>IFERROR(__xludf.DUMMYFUNCTION("""COMPUTED_VALUE"""),"short")</f>
        <v>short</v>
      </c>
      <c r="N338" s="45">
        <f>IFERROR(__xludf.DUMMYFUNCTION("""COMPUTED_VALUE"""),44902.0)</f>
        <v>44902</v>
      </c>
      <c r="O338" s="45">
        <f>IFERROR(__xludf.DUMMYFUNCTION("""COMPUTED_VALUE"""),45110.0)</f>
        <v>45110</v>
      </c>
      <c r="P338" s="45">
        <f>IFERROR(__xludf.DUMMYFUNCTION("""COMPUTED_VALUE"""),45152.0)</f>
        <v>45152</v>
      </c>
      <c r="Q338" s="45"/>
      <c r="R338" s="45"/>
      <c r="S338" s="43"/>
      <c r="T338" s="43"/>
      <c r="U338" s="43" t="str">
        <f>IFERROR(__xludf.DUMMYFUNCTION("""COMPUTED_VALUE"""),"Global Classroom")</f>
        <v>Global Classroom</v>
      </c>
      <c r="V338" s="43" t="str">
        <f>IFERROR(__xludf.DUMMYFUNCTION("""COMPUTED_VALUE"""),"ISLN")</f>
        <v>ISLN</v>
      </c>
      <c r="W338" s="43" t="str">
        <f>IFERROR(__xludf.DUMMYFUNCTION("""COMPUTED_VALUE"""),"2020-03-12T21:23:44Z")</f>
        <v>2020-03-12T21:23:44Z</v>
      </c>
      <c r="X338" s="43"/>
      <c r="Y338" s="43"/>
      <c r="Z338" s="43"/>
    </row>
    <row r="339" hidden="1">
      <c r="A339" s="43" t="str">
        <f>IFERROR(__xludf.DUMMYFUNCTION("""COMPUTED_VALUE"""),"5161518_1272564")</f>
        <v>5161518_1272564</v>
      </c>
      <c r="B339" s="43" t="str">
        <f>IFERROR(__xludf.DUMMYFUNCTION("""COMPUTED_VALUE"""),"ben rhouma maram")</f>
        <v>ben rhouma maram</v>
      </c>
      <c r="C339" s="43" t="str">
        <f>IFERROR(__xludf.DUMMYFUNCTION("""COMPUTED_VALUE"""),"finished")</f>
        <v>finished</v>
      </c>
      <c r="D339" s="43" t="str">
        <f>IFERROR(__xludf.DUMMYFUNCTION("""COMPUTED_VALUE"""),"No")</f>
        <v>No</v>
      </c>
      <c r="E339" s="43" t="str">
        <f>IFERROR(__xludf.DUMMYFUNCTION("""COMPUTED_VALUE"""),"p_27c31ff156e3322aec6fc745784d5b8e9dbf0b5f@inbound.aiesec.org")</f>
        <v>p_27c31ff156e3322aec6fc745784d5b8e9dbf0b5f@inbound.aiesec.org</v>
      </c>
      <c r="F339" s="43"/>
      <c r="G339" s="43" t="str">
        <f>IFERROR(__xludf.DUMMYFUNCTION("""COMPUTED_VALUE"""),"Tunisia")</f>
        <v>Tunisia</v>
      </c>
      <c r="H339" s="43" t="str">
        <f>IFERROR(__xludf.DUMMYFUNCTION("""COMPUTED_VALUE"""),"Carthage")</f>
        <v>Carthage</v>
      </c>
      <c r="I339" s="43" t="str">
        <f>IFERROR(__xludf.DUMMYFUNCTION("""COMPUTED_VALUE"""),"Turkey")</f>
        <v>Turkey</v>
      </c>
      <c r="J339" s="43" t="str">
        <f>IFERROR(__xludf.DUMMYFUNCTION("""COMPUTED_VALUE"""),"ISTANBUL")</f>
        <v>ISTANBUL</v>
      </c>
      <c r="K339" s="44" t="str">
        <f>IFERROR(__xludf.DUMMYFUNCTION("""COMPUTED_VALUE"""),"https://expa.aiesec.org/opportunities/1272564")</f>
        <v>https://expa.aiesec.org/opportunities/1272564</v>
      </c>
      <c r="L339" s="43" t="str">
        <f>IFERROR(__xludf.DUMMYFUNCTION("""COMPUTED_VALUE"""),"GV")</f>
        <v>GV</v>
      </c>
      <c r="M339" s="43" t="str">
        <f>IFERROR(__xludf.DUMMYFUNCTION("""COMPUTED_VALUE"""),"short")</f>
        <v>short</v>
      </c>
      <c r="N339" s="45">
        <f>IFERROR(__xludf.DUMMYFUNCTION("""COMPUTED_VALUE"""),44902.0)</f>
        <v>44902</v>
      </c>
      <c r="O339" s="45">
        <f>IFERROR(__xludf.DUMMYFUNCTION("""COMPUTED_VALUE"""),45117.0)</f>
        <v>45117</v>
      </c>
      <c r="P339" s="45">
        <f>IFERROR(__xludf.DUMMYFUNCTION("""COMPUTED_VALUE"""),45159.0)</f>
        <v>45159</v>
      </c>
      <c r="Q339" s="45">
        <f>IFERROR(__xludf.DUMMYFUNCTION("""COMPUTED_VALUE"""),45117.0)</f>
        <v>45117</v>
      </c>
      <c r="R339" s="45">
        <f>IFERROR(__xludf.DUMMYFUNCTION("""COMPUTED_VALUE"""),45159.0)</f>
        <v>45159</v>
      </c>
      <c r="S339" s="43"/>
      <c r="T339" s="43"/>
      <c r="U339" s="43" t="str">
        <f>IFERROR(__xludf.DUMMYFUNCTION("""COMPUTED_VALUE"""),"Global Classroom")</f>
        <v>Global Classroom</v>
      </c>
      <c r="V339" s="43" t="str">
        <f>IFERROR(__xludf.DUMMYFUNCTION("""COMPUTED_VALUE"""),"-")</f>
        <v>-</v>
      </c>
      <c r="W339" s="43" t="str">
        <f>IFERROR(__xludf.DUMMYFUNCTION("""COMPUTED_VALUE"""),"2022-12-01T16:34:57Z")</f>
        <v>2022-12-01T16:34:57Z</v>
      </c>
      <c r="X339" s="43"/>
      <c r="Y339" s="43"/>
      <c r="Z339" s="43"/>
    </row>
    <row r="340" hidden="1">
      <c r="A340" s="43" t="str">
        <f>IFERROR(__xludf.DUMMYFUNCTION("""COMPUTED_VALUE"""),"5136110_1289596")</f>
        <v>5136110_1289596</v>
      </c>
      <c r="B340" s="43" t="str">
        <f>IFERROR(__xludf.DUMMYFUNCTION("""COMPUTED_VALUE"""),"Tatiana Tavares")</f>
        <v>Tatiana Tavares</v>
      </c>
      <c r="C340" s="43" t="str">
        <f>IFERROR(__xludf.DUMMYFUNCTION("""COMPUTED_VALUE"""),"completed")</f>
        <v>completed</v>
      </c>
      <c r="D340" s="43" t="str">
        <f>IFERROR(__xludf.DUMMYFUNCTION("""COMPUTED_VALUE"""),"No")</f>
        <v>No</v>
      </c>
      <c r="E340" s="43" t="str">
        <f>IFERROR(__xludf.DUMMYFUNCTION("""COMPUTED_VALUE"""),"p_5e8d8e880d0e5361329f12c7501aa4ca4c892f4b@inbound.aiesec.org")</f>
        <v>p_5e8d8e880d0e5361329f12c7501aa4ca4c892f4b@inbound.aiesec.org</v>
      </c>
      <c r="F340" s="43">
        <f>IFERROR(__xludf.DUMMYFUNCTION("""COMPUTED_VALUE"""),9.68135221E8)</f>
        <v>968135221</v>
      </c>
      <c r="G340" s="43" t="str">
        <f>IFERROR(__xludf.DUMMYFUNCTION("""COMPUTED_VALUE"""),"Portugal")</f>
        <v>Portugal</v>
      </c>
      <c r="H340" s="43" t="str">
        <f>IFERROR(__xludf.DUMMYFUNCTION("""COMPUTED_VALUE"""),"Lisboa ISEG")</f>
        <v>Lisboa ISEG</v>
      </c>
      <c r="I340" s="43" t="str">
        <f>IFERROR(__xludf.DUMMYFUNCTION("""COMPUTED_VALUE"""),"Turkey")</f>
        <v>Turkey</v>
      </c>
      <c r="J340" s="43" t="str">
        <f>IFERROR(__xludf.DUMMYFUNCTION("""COMPUTED_VALUE"""),"ISPARTA")</f>
        <v>ISPARTA</v>
      </c>
      <c r="K340" s="44" t="str">
        <f>IFERROR(__xludf.DUMMYFUNCTION("""COMPUTED_VALUE"""),"https://expa.aiesec.org/opportunities/1289596")</f>
        <v>https://expa.aiesec.org/opportunities/1289596</v>
      </c>
      <c r="L340" s="43" t="str">
        <f>IFERROR(__xludf.DUMMYFUNCTION("""COMPUTED_VALUE"""),"GV")</f>
        <v>GV</v>
      </c>
      <c r="M340" s="43" t="str">
        <f>IFERROR(__xludf.DUMMYFUNCTION("""COMPUTED_VALUE"""),"short")</f>
        <v>short</v>
      </c>
      <c r="N340" s="45">
        <f>IFERROR(__xludf.DUMMYFUNCTION("""COMPUTED_VALUE"""),44902.0)</f>
        <v>44902</v>
      </c>
      <c r="O340" s="45">
        <f>IFERROR(__xludf.DUMMYFUNCTION("""COMPUTED_VALUE"""),45173.0)</f>
        <v>45173</v>
      </c>
      <c r="P340" s="45">
        <f>IFERROR(__xludf.DUMMYFUNCTION("""COMPUTED_VALUE"""),45215.0)</f>
        <v>45215</v>
      </c>
      <c r="Q340" s="45">
        <f>IFERROR(__xludf.DUMMYFUNCTION("""COMPUTED_VALUE"""),45173.0)</f>
        <v>45173</v>
      </c>
      <c r="R340" s="45">
        <f>IFERROR(__xludf.DUMMYFUNCTION("""COMPUTED_VALUE"""),45215.0)</f>
        <v>45215</v>
      </c>
      <c r="S340" s="43"/>
      <c r="T340" s="43"/>
      <c r="U340" s="43" t="str">
        <f>IFERROR(__xludf.DUMMYFUNCTION("""COMPUTED_VALUE"""),"Global Classroom")</f>
        <v>Global Classroom</v>
      </c>
      <c r="V340" s="43" t="str">
        <f>IFERROR(__xludf.DUMMYFUNCTION("""COMPUTED_VALUE"""),"Universidade de Lisboa - Faculdade de Motricidade Humana (FMHUL)")</f>
        <v>Universidade de Lisboa - Faculdade de Motricidade Humana (FMHUL)</v>
      </c>
      <c r="W340" s="43" t="str">
        <f>IFERROR(__xludf.DUMMYFUNCTION("""COMPUTED_VALUE"""),"2022-10-18T17:18:08Z")</f>
        <v>2022-10-18T17:18:08Z</v>
      </c>
      <c r="X340" s="43"/>
      <c r="Y340" s="43"/>
      <c r="Z340" s="43"/>
    </row>
    <row r="341" hidden="1">
      <c r="A341" s="43" t="str">
        <f>IFERROR(__xludf.DUMMYFUNCTION("""COMPUTED_VALUE"""),"5083651_1280872")</f>
        <v>5083651_1280872</v>
      </c>
      <c r="B341" s="43" t="str">
        <f>IFERROR(__xludf.DUMMYFUNCTION("""COMPUTED_VALUE"""),"Abderrahim Zouiten")</f>
        <v>Abderrahim Zouiten</v>
      </c>
      <c r="C341" s="43" t="str">
        <f>IFERROR(__xludf.DUMMYFUNCTION("""COMPUTED_VALUE"""),"finished")</f>
        <v>finished</v>
      </c>
      <c r="D341" s="43" t="str">
        <f>IFERROR(__xludf.DUMMYFUNCTION("""COMPUTED_VALUE"""),"No")</f>
        <v>No</v>
      </c>
      <c r="E341" s="43" t="str">
        <f>IFERROR(__xludf.DUMMYFUNCTION("""COMPUTED_VALUE"""),"p_212be0666c808dc45376a04ec77893db43ab8b3f@inbound.aiesec.org")</f>
        <v>p_212be0666c808dc45376a04ec77893db43ab8b3f@inbound.aiesec.org</v>
      </c>
      <c r="F341" s="43"/>
      <c r="G341" s="43" t="str">
        <f>IFERROR(__xludf.DUMMYFUNCTION("""COMPUTED_VALUE"""),"Morocco")</f>
        <v>Morocco</v>
      </c>
      <c r="H341" s="43" t="str">
        <f>IFERROR(__xludf.DUMMYFUNCTION("""COMPUTED_VALUE"""),"Agadir")</f>
        <v>Agadir</v>
      </c>
      <c r="I341" s="43" t="str">
        <f>IFERROR(__xludf.DUMMYFUNCTION("""COMPUTED_VALUE"""),"Turkey")</f>
        <v>Turkey</v>
      </c>
      <c r="J341" s="43" t="str">
        <f>IFERROR(__xludf.DUMMYFUNCTION("""COMPUTED_VALUE"""),"KOCAELI")</f>
        <v>KOCAELI</v>
      </c>
      <c r="K341" s="44" t="str">
        <f>IFERROR(__xludf.DUMMYFUNCTION("""COMPUTED_VALUE"""),"https://expa.aiesec.org/opportunities/1280872")</f>
        <v>https://expa.aiesec.org/opportunities/1280872</v>
      </c>
      <c r="L341" s="43" t="str">
        <f>IFERROR(__xludf.DUMMYFUNCTION("""COMPUTED_VALUE"""),"GV")</f>
        <v>GV</v>
      </c>
      <c r="M341" s="43" t="str">
        <f>IFERROR(__xludf.DUMMYFUNCTION("""COMPUTED_VALUE"""),"short")</f>
        <v>short</v>
      </c>
      <c r="N341" s="45">
        <f>IFERROR(__xludf.DUMMYFUNCTION("""COMPUTED_VALUE"""),44903.0)</f>
        <v>44903</v>
      </c>
      <c r="O341" s="45">
        <f>IFERROR(__xludf.DUMMYFUNCTION("""COMPUTED_VALUE"""),44915.0)</f>
        <v>44915</v>
      </c>
      <c r="P341" s="45">
        <f>IFERROR(__xludf.DUMMYFUNCTION("""COMPUTED_VALUE"""),44957.0)</f>
        <v>44957</v>
      </c>
      <c r="Q341" s="45">
        <f>IFERROR(__xludf.DUMMYFUNCTION("""COMPUTED_VALUE"""),44909.0)</f>
        <v>44909</v>
      </c>
      <c r="R341" s="45">
        <f>IFERROR(__xludf.DUMMYFUNCTION("""COMPUTED_VALUE"""),44957.0)</f>
        <v>44957</v>
      </c>
      <c r="S341" s="43"/>
      <c r="T341" s="43"/>
      <c r="U341" s="43" t="str">
        <f>IFERROR(__xludf.DUMMYFUNCTION("""COMPUTED_VALUE"""),"Skill Up!")</f>
        <v>Skill Up!</v>
      </c>
      <c r="V341" s="43" t="str">
        <f>IFERROR(__xludf.DUMMYFUNCTION("""COMPUTED_VALUE"""),"-")</f>
        <v>-</v>
      </c>
      <c r="W341" s="43" t="str">
        <f>IFERROR(__xludf.DUMMYFUNCTION("""COMPUTED_VALUE"""),"2022-07-18T12:57:05Z")</f>
        <v>2022-07-18T12:57:05Z</v>
      </c>
      <c r="X341" s="43"/>
      <c r="Y341" s="43"/>
      <c r="Z341" s="43"/>
    </row>
    <row r="342" hidden="1">
      <c r="A342" s="43" t="str">
        <f>IFERROR(__xludf.DUMMYFUNCTION("""COMPUTED_VALUE"""),"5038426_1284077")</f>
        <v>5038426_1284077</v>
      </c>
      <c r="B342" s="43" t="str">
        <f>IFERROR(__xludf.DUMMYFUNCTION("""COMPUTED_VALUE"""),"Shabnam Akbarova")</f>
        <v>Shabnam Akbarova</v>
      </c>
      <c r="C342" s="43" t="str">
        <f>IFERROR(__xludf.DUMMYFUNCTION("""COMPUTED_VALUE"""),"approved")</f>
        <v>approved</v>
      </c>
      <c r="D342" s="43" t="str">
        <f>IFERROR(__xludf.DUMMYFUNCTION("""COMPUTED_VALUE"""),"No")</f>
        <v>No</v>
      </c>
      <c r="E342" s="43" t="str">
        <f>IFERROR(__xludf.DUMMYFUNCTION("""COMPUTED_VALUE"""),"p_d5e2fa8d3361493cd72a1391182abcce0a205c3c@inbound.aiesec.org")</f>
        <v>p_d5e2fa8d3361493cd72a1391182abcce0a205c3c@inbound.aiesec.org</v>
      </c>
      <c r="F342" s="43"/>
      <c r="G342" s="43" t="str">
        <f>IFERROR(__xludf.DUMMYFUNCTION("""COMPUTED_VALUE"""),"Azerbaijan")</f>
        <v>Azerbaijan</v>
      </c>
      <c r="H342" s="43" t="str">
        <f>IFERROR(__xludf.DUMMYFUNCTION("""COMPUTED_VALUE"""),"Baku ADA")</f>
        <v>Baku ADA</v>
      </c>
      <c r="I342" s="43" t="str">
        <f>IFERROR(__xludf.DUMMYFUNCTION("""COMPUTED_VALUE"""),"Turkey")</f>
        <v>Turkey</v>
      </c>
      <c r="J342" s="43" t="str">
        <f>IFERROR(__xludf.DUMMYFUNCTION("""COMPUTED_VALUE"""),"GAZIANTEP")</f>
        <v>GAZIANTEP</v>
      </c>
      <c r="K342" s="44" t="str">
        <f>IFERROR(__xludf.DUMMYFUNCTION("""COMPUTED_VALUE"""),"https://expa.aiesec.org/opportunities/1284077")</f>
        <v>https://expa.aiesec.org/opportunities/1284077</v>
      </c>
      <c r="L342" s="43" t="str">
        <f>IFERROR(__xludf.DUMMYFUNCTION("""COMPUTED_VALUE"""),"GV")</f>
        <v>GV</v>
      </c>
      <c r="M342" s="43" t="str">
        <f>IFERROR(__xludf.DUMMYFUNCTION("""COMPUTED_VALUE"""),"short")</f>
        <v>short</v>
      </c>
      <c r="N342" s="45">
        <f>IFERROR(__xludf.DUMMYFUNCTION("""COMPUTED_VALUE"""),44903.0)</f>
        <v>44903</v>
      </c>
      <c r="O342" s="45">
        <f>IFERROR(__xludf.DUMMYFUNCTION("""COMPUTED_VALUE"""),45141.0)</f>
        <v>45141</v>
      </c>
      <c r="P342" s="45">
        <f>IFERROR(__xludf.DUMMYFUNCTION("""COMPUTED_VALUE"""),45183.0)</f>
        <v>45183</v>
      </c>
      <c r="Q342" s="45"/>
      <c r="R342" s="45"/>
      <c r="S342" s="43"/>
      <c r="T342" s="43"/>
      <c r="U342" s="43" t="str">
        <f>IFERROR(__xludf.DUMMYFUNCTION("""COMPUTED_VALUE"""),"Global Classroom")</f>
        <v>Global Classroom</v>
      </c>
      <c r="V342" s="43" t="str">
        <f>IFERROR(__xludf.DUMMYFUNCTION("""COMPUTED_VALUE"""),"-")</f>
        <v>-</v>
      </c>
      <c r="W342" s="43" t="str">
        <f>IFERROR(__xludf.DUMMYFUNCTION("""COMPUTED_VALUE"""),"2022-04-13T13:12:16Z")</f>
        <v>2022-04-13T13:12:16Z</v>
      </c>
      <c r="X342" s="43"/>
      <c r="Y342" s="43"/>
      <c r="Z342" s="43"/>
    </row>
    <row r="343" hidden="1">
      <c r="A343" s="43" t="str">
        <f>IFERROR(__xludf.DUMMYFUNCTION("""COMPUTED_VALUE"""),"4934985_1286920")</f>
        <v>4934985_1286920</v>
      </c>
      <c r="B343" s="43" t="str">
        <f>IFERROR(__xludf.DUMMYFUNCTION("""COMPUTED_VALUE"""),"Mahmud Ahmadzada")</f>
        <v>Mahmud Ahmadzada</v>
      </c>
      <c r="C343" s="43" t="str">
        <f>IFERROR(__xludf.DUMMYFUNCTION("""COMPUTED_VALUE"""),"completed")</f>
        <v>completed</v>
      </c>
      <c r="D343" s="43" t="str">
        <f>IFERROR(__xludf.DUMMYFUNCTION("""COMPUTED_VALUE"""),"No")</f>
        <v>No</v>
      </c>
      <c r="E343" s="43" t="str">
        <f>IFERROR(__xludf.DUMMYFUNCTION("""COMPUTED_VALUE"""),"p_cc8b2b9e7e5b57ca00b284d28b0aa095b8e78131@inbound.aiesec.org")</f>
        <v>p_cc8b2b9e7e5b57ca00b284d28b0aa095b8e78131@inbound.aiesec.org</v>
      </c>
      <c r="F343" s="43">
        <f>IFERROR(__xludf.DUMMYFUNCTION("""COMPUTED_VALUE"""),5.18770603E8)</f>
        <v>518770603</v>
      </c>
      <c r="G343" s="43" t="str">
        <f>IFERROR(__xludf.DUMMYFUNCTION("""COMPUTED_VALUE"""),"Azerbaijan")</f>
        <v>Azerbaijan</v>
      </c>
      <c r="H343" s="43" t="str">
        <f>IFERROR(__xludf.DUMMYFUNCTION("""COMPUTED_VALUE"""),"Baku Synergy")</f>
        <v>Baku Synergy</v>
      </c>
      <c r="I343" s="43" t="str">
        <f>IFERROR(__xludf.DUMMYFUNCTION("""COMPUTED_VALUE"""),"Turkey")</f>
        <v>Turkey</v>
      </c>
      <c r="J343" s="43" t="str">
        <f>IFERROR(__xludf.DUMMYFUNCTION("""COMPUTED_VALUE"""),"DENIZLI")</f>
        <v>DENIZLI</v>
      </c>
      <c r="K343" s="44" t="str">
        <f>IFERROR(__xludf.DUMMYFUNCTION("""COMPUTED_VALUE"""),"https://expa.aiesec.org/opportunities/1286920")</f>
        <v>https://expa.aiesec.org/opportunities/1286920</v>
      </c>
      <c r="L343" s="43" t="str">
        <f>IFERROR(__xludf.DUMMYFUNCTION("""COMPUTED_VALUE"""),"GV")</f>
        <v>GV</v>
      </c>
      <c r="M343" s="43" t="str">
        <f>IFERROR(__xludf.DUMMYFUNCTION("""COMPUTED_VALUE"""),"short")</f>
        <v>short</v>
      </c>
      <c r="N343" s="45">
        <f>IFERROR(__xludf.DUMMYFUNCTION("""COMPUTED_VALUE"""),44903.0)</f>
        <v>44903</v>
      </c>
      <c r="O343" s="45">
        <f>IFERROR(__xludf.DUMMYFUNCTION("""COMPUTED_VALUE"""),45117.0)</f>
        <v>45117</v>
      </c>
      <c r="P343" s="45">
        <f>IFERROR(__xludf.DUMMYFUNCTION("""COMPUTED_VALUE"""),45159.0)</f>
        <v>45159</v>
      </c>
      <c r="Q343" s="45">
        <f>IFERROR(__xludf.DUMMYFUNCTION("""COMPUTED_VALUE"""),45117.0)</f>
        <v>45117</v>
      </c>
      <c r="R343" s="45">
        <f>IFERROR(__xludf.DUMMYFUNCTION("""COMPUTED_VALUE"""),45159.0)</f>
        <v>45159</v>
      </c>
      <c r="S343" s="43"/>
      <c r="T343" s="43"/>
      <c r="U343" s="43" t="str">
        <f>IFERROR(__xludf.DUMMYFUNCTION("""COMPUTED_VALUE"""),"Global Classroom")</f>
        <v>Global Classroom</v>
      </c>
      <c r="V343" s="43" t="str">
        <f>IFERROR(__xludf.DUMMYFUNCTION("""COMPUTED_VALUE"""),"Azerbaijan State University of Economics")</f>
        <v>Azerbaijan State University of Economics</v>
      </c>
      <c r="W343" s="43" t="str">
        <f>IFERROR(__xludf.DUMMYFUNCTION("""COMPUTED_VALUE"""),"2022-02-17T16:12:03Z")</f>
        <v>2022-02-17T16:12:03Z</v>
      </c>
      <c r="X343" s="43"/>
      <c r="Y343" s="43"/>
      <c r="Z343" s="43"/>
    </row>
    <row r="344" hidden="1">
      <c r="A344" s="43" t="str">
        <f>IFERROR(__xludf.DUMMYFUNCTION("""COMPUTED_VALUE"""),"5159918_1272564")</f>
        <v>5159918_1272564</v>
      </c>
      <c r="B344" s="43" t="str">
        <f>IFERROR(__xludf.DUMMYFUNCTION("""COMPUTED_VALUE"""),"Ouezguan Maryam")</f>
        <v>Ouezguan Maryam</v>
      </c>
      <c r="C344" s="43" t="str">
        <f>IFERROR(__xludf.DUMMYFUNCTION("""COMPUTED_VALUE"""),"approved")</f>
        <v>approved</v>
      </c>
      <c r="D344" s="43" t="str">
        <f>IFERROR(__xludf.DUMMYFUNCTION("""COMPUTED_VALUE"""),"No")</f>
        <v>No</v>
      </c>
      <c r="E344" s="43" t="str">
        <f>IFERROR(__xludf.DUMMYFUNCTION("""COMPUTED_VALUE"""),"p_ea0b9cc85dd818c3c5d43eb97e2446e7925be70a@inbound.aiesec.org")</f>
        <v>p_ea0b9cc85dd818c3c5d43eb97e2446e7925be70a@inbound.aiesec.org</v>
      </c>
      <c r="F344" s="43">
        <f>IFERROR(__xludf.DUMMYFUNCTION("""COMPUTED_VALUE"""),6.8445253E8)</f>
        <v>684452530</v>
      </c>
      <c r="G344" s="43" t="str">
        <f>IFERROR(__xludf.DUMMYFUNCTION("""COMPUTED_VALUE"""),"Morocco")</f>
        <v>Morocco</v>
      </c>
      <c r="H344" s="43" t="str">
        <f>IFERROR(__xludf.DUMMYFUNCTION("""COMPUTED_VALUE"""),"Tangier")</f>
        <v>Tangier</v>
      </c>
      <c r="I344" s="43" t="str">
        <f>IFERROR(__xludf.DUMMYFUNCTION("""COMPUTED_VALUE"""),"Turkey")</f>
        <v>Turkey</v>
      </c>
      <c r="J344" s="43" t="str">
        <f>IFERROR(__xludf.DUMMYFUNCTION("""COMPUTED_VALUE"""),"ISTANBUL")</f>
        <v>ISTANBUL</v>
      </c>
      <c r="K344" s="44" t="str">
        <f>IFERROR(__xludf.DUMMYFUNCTION("""COMPUTED_VALUE"""),"https://expa.aiesec.org/opportunities/1272564")</f>
        <v>https://expa.aiesec.org/opportunities/1272564</v>
      </c>
      <c r="L344" s="43" t="str">
        <f>IFERROR(__xludf.DUMMYFUNCTION("""COMPUTED_VALUE"""),"GV")</f>
        <v>GV</v>
      </c>
      <c r="M344" s="43" t="str">
        <f>IFERROR(__xludf.DUMMYFUNCTION("""COMPUTED_VALUE"""),"short")</f>
        <v>short</v>
      </c>
      <c r="N344" s="45">
        <f>IFERROR(__xludf.DUMMYFUNCTION("""COMPUTED_VALUE"""),44903.0)</f>
        <v>44903</v>
      </c>
      <c r="O344" s="45">
        <f>IFERROR(__xludf.DUMMYFUNCTION("""COMPUTED_VALUE"""),45117.0)</f>
        <v>45117</v>
      </c>
      <c r="P344" s="45">
        <f>IFERROR(__xludf.DUMMYFUNCTION("""COMPUTED_VALUE"""),45159.0)</f>
        <v>45159</v>
      </c>
      <c r="Q344" s="45"/>
      <c r="R344" s="45"/>
      <c r="S344" s="43"/>
      <c r="T344" s="43"/>
      <c r="U344" s="43" t="str">
        <f>IFERROR(__xludf.DUMMYFUNCTION("""COMPUTED_VALUE"""),"Global Classroom")</f>
        <v>Global Classroom</v>
      </c>
      <c r="V344" s="43" t="str">
        <f>IFERROR(__xludf.DUMMYFUNCTION("""COMPUTED_VALUE"""),"-")</f>
        <v>-</v>
      </c>
      <c r="W344" s="43" t="str">
        <f>IFERROR(__xludf.DUMMYFUNCTION("""COMPUTED_VALUE"""),"2022-11-28T14:56:20Z")</f>
        <v>2022-11-28T14:56:20Z</v>
      </c>
      <c r="X344" s="43"/>
      <c r="Y344" s="43"/>
      <c r="Z344" s="43"/>
    </row>
    <row r="345">
      <c r="A345" s="43" t="str">
        <f>IFERROR(__xludf.DUMMYFUNCTION("""COMPUTED_VALUE"""),"5160062_1290078")</f>
        <v>5160062_1290078</v>
      </c>
      <c r="B345" s="43" t="str">
        <f>IFERROR(__xludf.DUMMYFUNCTION("""COMPUTED_VALUE"""),"Asad Zangi")</f>
        <v>Asad Zangi</v>
      </c>
      <c r="C345" s="43" t="str">
        <f>IFERROR(__xludf.DUMMYFUNCTION("""COMPUTED_VALUE"""),"approved")</f>
        <v>approved</v>
      </c>
      <c r="D345" s="43" t="str">
        <f>IFERROR(__xludf.DUMMYFUNCTION("""COMPUTED_VALUE"""),"No")</f>
        <v>No</v>
      </c>
      <c r="E345" s="43" t="str">
        <f>IFERROR(__xludf.DUMMYFUNCTION("""COMPUTED_VALUE"""),"p_cfe8111e7d5e478e56b2dab10d44e85057771486@inbound.aiesec.org")</f>
        <v>p_cfe8111e7d5e478e56b2dab10d44e85057771486@inbound.aiesec.org</v>
      </c>
      <c r="F345" s="43">
        <f>IFERROR(__xludf.DUMMYFUNCTION("""COMPUTED_VALUE"""),3.372116871E9)</f>
        <v>3372116871</v>
      </c>
      <c r="G345" s="43" t="str">
        <f>IFERROR(__xludf.DUMMYFUNCTION("""COMPUTED_VALUE"""),"Pakistan")</f>
        <v>Pakistan</v>
      </c>
      <c r="H345" s="43" t="str">
        <f>IFERROR(__xludf.DUMMYFUNCTION("""COMPUTED_VALUE"""),"Karachi")</f>
        <v>Karachi</v>
      </c>
      <c r="I345" s="43" t="str">
        <f>IFERROR(__xludf.DUMMYFUNCTION("""COMPUTED_VALUE"""),"Turkey")</f>
        <v>Turkey</v>
      </c>
      <c r="J345" s="43" t="str">
        <f>IFERROR(__xludf.DUMMYFUNCTION("""COMPUTED_VALUE"""),"SAMSUN [Closed]")</f>
        <v>SAMSUN [Closed]</v>
      </c>
      <c r="K345" s="44" t="str">
        <f>IFERROR(__xludf.DUMMYFUNCTION("""COMPUTED_VALUE"""),"https://expa.aiesec.org/opportunities/1290078")</f>
        <v>https://expa.aiesec.org/opportunities/1290078</v>
      </c>
      <c r="L345" s="43" t="str">
        <f>IFERROR(__xludf.DUMMYFUNCTION("""COMPUTED_VALUE"""),"GV")</f>
        <v>GV</v>
      </c>
      <c r="M345" s="43" t="str">
        <f>IFERROR(__xludf.DUMMYFUNCTION("""COMPUTED_VALUE"""),"short")</f>
        <v>short</v>
      </c>
      <c r="N345" s="45">
        <f>IFERROR(__xludf.DUMMYFUNCTION("""COMPUTED_VALUE"""),44903.0)</f>
        <v>44903</v>
      </c>
      <c r="O345" s="45">
        <f>IFERROR(__xludf.DUMMYFUNCTION("""COMPUTED_VALUE"""),44949.0)</f>
        <v>44949</v>
      </c>
      <c r="P345" s="45">
        <f>IFERROR(__xludf.DUMMYFUNCTION("""COMPUTED_VALUE"""),44991.0)</f>
        <v>44991</v>
      </c>
      <c r="Q345" s="45"/>
      <c r="R345" s="45"/>
      <c r="S345" s="43"/>
      <c r="T345" s="43"/>
      <c r="U345" s="43" t="str">
        <f>IFERROR(__xludf.DUMMYFUNCTION("""COMPUTED_VALUE"""),"Global Classroom")</f>
        <v>Global Classroom</v>
      </c>
      <c r="V345" s="43" t="str">
        <f>IFERROR(__xludf.DUMMYFUNCTION("""COMPUTED_VALUE"""),"Karachi - Other")</f>
        <v>Karachi - Other</v>
      </c>
      <c r="W345" s="43" t="str">
        <f>IFERROR(__xludf.DUMMYFUNCTION("""COMPUTED_VALUE"""),"2022-11-28T19:20:17Z")</f>
        <v>2022-11-28T19:20:17Z</v>
      </c>
      <c r="X345" s="43"/>
      <c r="Y345" s="43"/>
      <c r="Z345" s="43"/>
    </row>
    <row r="346" hidden="1">
      <c r="A346" s="43" t="str">
        <f>IFERROR(__xludf.DUMMYFUNCTION("""COMPUTED_VALUE"""),"5161032_1288970")</f>
        <v>5161032_1288970</v>
      </c>
      <c r="B346" s="43" t="str">
        <f>IFERROR(__xludf.DUMMYFUNCTION("""COMPUTED_VALUE"""),"Antonio Chelaru")</f>
        <v>Antonio Chelaru</v>
      </c>
      <c r="C346" s="43" t="str">
        <f>IFERROR(__xludf.DUMMYFUNCTION("""COMPUTED_VALUE"""),"approved")</f>
        <v>approved</v>
      </c>
      <c r="D346" s="43" t="str">
        <f>IFERROR(__xludf.DUMMYFUNCTION("""COMPUTED_VALUE"""),"No")</f>
        <v>No</v>
      </c>
      <c r="E346" s="43" t="str">
        <f>IFERROR(__xludf.DUMMYFUNCTION("""COMPUTED_VALUE"""),"p_dc13b02e5b08b7b0ae33dc6ca31927cbc19e16cf@inbound.aiesec.org")</f>
        <v>p_dc13b02e5b08b7b0ae33dc6ca31927cbc19e16cf@inbound.aiesec.org</v>
      </c>
      <c r="F346" s="43"/>
      <c r="G346" s="43" t="str">
        <f>IFERROR(__xludf.DUMMYFUNCTION("""COMPUTED_VALUE"""),"Romania")</f>
        <v>Romania</v>
      </c>
      <c r="H346" s="43" t="str">
        <f>IFERROR(__xludf.DUMMYFUNCTION("""COMPUTED_VALUE"""),"BUCURESTI")</f>
        <v>BUCURESTI</v>
      </c>
      <c r="I346" s="43" t="str">
        <f>IFERROR(__xludf.DUMMYFUNCTION("""COMPUTED_VALUE"""),"Turkey")</f>
        <v>Turkey</v>
      </c>
      <c r="J346" s="43" t="str">
        <f>IFERROR(__xludf.DUMMYFUNCTION("""COMPUTED_VALUE"""),"İZMİR")</f>
        <v>İZMİR</v>
      </c>
      <c r="K346" s="44" t="str">
        <f>IFERROR(__xludf.DUMMYFUNCTION("""COMPUTED_VALUE"""),"https://expa.aiesec.org/opportunities/1288970")</f>
        <v>https://expa.aiesec.org/opportunities/1288970</v>
      </c>
      <c r="L346" s="43" t="str">
        <f>IFERROR(__xludf.DUMMYFUNCTION("""COMPUTED_VALUE"""),"GV")</f>
        <v>GV</v>
      </c>
      <c r="M346" s="43" t="str">
        <f>IFERROR(__xludf.DUMMYFUNCTION("""COMPUTED_VALUE"""),"short")</f>
        <v>short</v>
      </c>
      <c r="N346" s="45">
        <f>IFERROR(__xludf.DUMMYFUNCTION("""COMPUTED_VALUE"""),44903.0)</f>
        <v>44903</v>
      </c>
      <c r="O346" s="45">
        <f>IFERROR(__xludf.DUMMYFUNCTION("""COMPUTED_VALUE"""),45123.0)</f>
        <v>45123</v>
      </c>
      <c r="P346" s="45">
        <f>IFERROR(__xludf.DUMMYFUNCTION("""COMPUTED_VALUE"""),45165.0)</f>
        <v>45165</v>
      </c>
      <c r="Q346" s="45"/>
      <c r="R346" s="45"/>
      <c r="S346" s="43"/>
      <c r="T346" s="43"/>
      <c r="U346" s="43" t="str">
        <f>IFERROR(__xludf.DUMMYFUNCTION("""COMPUTED_VALUE"""),"Fingerprint")</f>
        <v>Fingerprint</v>
      </c>
      <c r="V346" s="43" t="str">
        <f>IFERROR(__xludf.DUMMYFUNCTION("""COMPUTED_VALUE"""),"-")</f>
        <v>-</v>
      </c>
      <c r="W346" s="43" t="str">
        <f>IFERROR(__xludf.DUMMYFUNCTION("""COMPUTED_VALUE"""),"2022-11-30T16:03:59Z")</f>
        <v>2022-11-30T16:03:59Z</v>
      </c>
      <c r="X346" s="43"/>
      <c r="Y346" s="43"/>
      <c r="Z346" s="43"/>
    </row>
    <row r="347" hidden="1">
      <c r="A347" s="43" t="str">
        <f>IFERROR(__xludf.DUMMYFUNCTION("""COMPUTED_VALUE"""),"5157681_1288616")</f>
        <v>5157681_1288616</v>
      </c>
      <c r="B347" s="43" t="str">
        <f>IFERROR(__xludf.DUMMYFUNCTION("""COMPUTED_VALUE"""),"Khan Uzma Nisa")</f>
        <v>Khan Uzma Nisa</v>
      </c>
      <c r="C347" s="43" t="str">
        <f>IFERROR(__xludf.DUMMYFUNCTION("""COMPUTED_VALUE"""),"finished")</f>
        <v>finished</v>
      </c>
      <c r="D347" s="43" t="str">
        <f>IFERROR(__xludf.DUMMYFUNCTION("""COMPUTED_VALUE"""),"No")</f>
        <v>No</v>
      </c>
      <c r="E347" s="43" t="str">
        <f>IFERROR(__xludf.DUMMYFUNCTION("""COMPUTED_VALUE"""),"p_fb223ad75ac88f240c49e1ed764c73a937621804@inbound.aiesec.org")</f>
        <v>p_fb223ad75ac88f240c49e1ed764c73a937621804@inbound.aiesec.org</v>
      </c>
      <c r="F347" s="43"/>
      <c r="G347" s="43" t="str">
        <f>IFERROR(__xludf.DUMMYFUNCTION("""COMPUTED_VALUE"""),"Hong Kong")</f>
        <v>Hong Kong</v>
      </c>
      <c r="H347" s="43" t="str">
        <f>IFERROR(__xludf.DUMMYFUNCTION("""COMPUTED_VALUE"""),"HKU")</f>
        <v>HKU</v>
      </c>
      <c r="I347" s="43" t="str">
        <f>IFERROR(__xludf.DUMMYFUNCTION("""COMPUTED_VALUE"""),"Turkey")</f>
        <v>Turkey</v>
      </c>
      <c r="J347" s="43" t="str">
        <f>IFERROR(__xludf.DUMMYFUNCTION("""COMPUTED_VALUE"""),"ANKARA")</f>
        <v>ANKARA</v>
      </c>
      <c r="K347" s="44" t="str">
        <f>IFERROR(__xludf.DUMMYFUNCTION("""COMPUTED_VALUE"""),"https://expa.aiesec.org/opportunities/1288616")</f>
        <v>https://expa.aiesec.org/opportunities/1288616</v>
      </c>
      <c r="L347" s="43" t="str">
        <f>IFERROR(__xludf.DUMMYFUNCTION("""COMPUTED_VALUE"""),"GV")</f>
        <v>GV</v>
      </c>
      <c r="M347" s="43" t="str">
        <f>IFERROR(__xludf.DUMMYFUNCTION("""COMPUTED_VALUE"""),"short")</f>
        <v>short</v>
      </c>
      <c r="N347" s="45">
        <f>IFERROR(__xludf.DUMMYFUNCTION("""COMPUTED_VALUE"""),44903.0)</f>
        <v>44903</v>
      </c>
      <c r="O347" s="45">
        <f>IFERROR(__xludf.DUMMYFUNCTION("""COMPUTED_VALUE"""),44912.0)</f>
        <v>44912</v>
      </c>
      <c r="P347" s="45">
        <f>IFERROR(__xludf.DUMMYFUNCTION("""COMPUTED_VALUE"""),44954.0)</f>
        <v>44954</v>
      </c>
      <c r="Q347" s="45">
        <f>IFERROR(__xludf.DUMMYFUNCTION("""COMPUTED_VALUE"""),44912.0)</f>
        <v>44912</v>
      </c>
      <c r="R347" s="45">
        <f>IFERROR(__xludf.DUMMYFUNCTION("""COMPUTED_VALUE"""),44955.0)</f>
        <v>44955</v>
      </c>
      <c r="S347" s="43"/>
      <c r="T347" s="43"/>
      <c r="U347" s="43" t="str">
        <f>IFERROR(__xludf.DUMMYFUNCTION("""COMPUTED_VALUE"""),"Global Classroom")</f>
        <v>Global Classroom</v>
      </c>
      <c r="V347" s="43" t="str">
        <f>IFERROR(__xludf.DUMMYFUNCTION("""COMPUTED_VALUE"""),"-")</f>
        <v>-</v>
      </c>
      <c r="W347" s="43" t="str">
        <f>IFERROR(__xludf.DUMMYFUNCTION("""COMPUTED_VALUE"""),"2022-11-23T10:54:02Z")</f>
        <v>2022-11-23T10:54:02Z</v>
      </c>
      <c r="X347" s="43"/>
      <c r="Y347" s="43"/>
      <c r="Z347" s="43"/>
    </row>
    <row r="348" hidden="1">
      <c r="A348" s="43" t="str">
        <f>IFERROR(__xludf.DUMMYFUNCTION("""COMPUTED_VALUE"""),"5156228_1289155")</f>
        <v>5156228_1289155</v>
      </c>
      <c r="B348" s="43" t="str">
        <f>IFERROR(__xludf.DUMMYFUNCTION("""COMPUTED_VALUE"""),"Turan Hüseynzadə")</f>
        <v>Turan Hüseynzadə</v>
      </c>
      <c r="C348" s="43" t="str">
        <f>IFERROR(__xludf.DUMMYFUNCTION("""COMPUTED_VALUE"""),"approved")</f>
        <v>approved</v>
      </c>
      <c r="D348" s="43" t="str">
        <f>IFERROR(__xludf.DUMMYFUNCTION("""COMPUTED_VALUE"""),"No")</f>
        <v>No</v>
      </c>
      <c r="E348" s="43" t="str">
        <f>IFERROR(__xludf.DUMMYFUNCTION("""COMPUTED_VALUE"""),"p_aea748d3959b65b4a2bf7f48271f4cdef5e49767@inbound.aiesec.org")</f>
        <v>p_aea748d3959b65b4a2bf7f48271f4cdef5e49767@inbound.aiesec.org</v>
      </c>
      <c r="F348" s="43">
        <f>IFERROR(__xludf.DUMMYFUNCTION("""COMPUTED_VALUE"""),7.73105285E8)</f>
        <v>773105285</v>
      </c>
      <c r="G348" s="43" t="str">
        <f>IFERROR(__xludf.DUMMYFUNCTION("""COMPUTED_VALUE"""),"Azerbaijan")</f>
        <v>Azerbaijan</v>
      </c>
      <c r="H348" s="43" t="str">
        <f>IFERROR(__xludf.DUMMYFUNCTION("""COMPUTED_VALUE"""),"Baku Synergy")</f>
        <v>Baku Synergy</v>
      </c>
      <c r="I348" s="43" t="str">
        <f>IFERROR(__xludf.DUMMYFUNCTION("""COMPUTED_VALUE"""),"Turkey")</f>
        <v>Turkey</v>
      </c>
      <c r="J348" s="43" t="str">
        <f>IFERROR(__xludf.DUMMYFUNCTION("""COMPUTED_VALUE"""),"KONYA")</f>
        <v>KONYA</v>
      </c>
      <c r="K348" s="44" t="str">
        <f>IFERROR(__xludf.DUMMYFUNCTION("""COMPUTED_VALUE"""),"https://expa.aiesec.org/opportunities/1289155")</f>
        <v>https://expa.aiesec.org/opportunities/1289155</v>
      </c>
      <c r="L348" s="43" t="str">
        <f>IFERROR(__xludf.DUMMYFUNCTION("""COMPUTED_VALUE"""),"GV")</f>
        <v>GV</v>
      </c>
      <c r="M348" s="43" t="str">
        <f>IFERROR(__xludf.DUMMYFUNCTION("""COMPUTED_VALUE"""),"short")</f>
        <v>short</v>
      </c>
      <c r="N348" s="45">
        <f>IFERROR(__xludf.DUMMYFUNCTION("""COMPUTED_VALUE"""),44903.0)</f>
        <v>44903</v>
      </c>
      <c r="O348" s="45">
        <f>IFERROR(__xludf.DUMMYFUNCTION("""COMPUTED_VALUE"""),45145.0)</f>
        <v>45145</v>
      </c>
      <c r="P348" s="45">
        <f>IFERROR(__xludf.DUMMYFUNCTION("""COMPUTED_VALUE"""),45187.0)</f>
        <v>45187</v>
      </c>
      <c r="Q348" s="45"/>
      <c r="R348" s="45"/>
      <c r="S348" s="43"/>
      <c r="T348" s="43"/>
      <c r="U348" s="43" t="str">
        <f>IFERROR(__xludf.DUMMYFUNCTION("""COMPUTED_VALUE"""),"Global Classroom")</f>
        <v>Global Classroom</v>
      </c>
      <c r="V348" s="43" t="str">
        <f>IFERROR(__xludf.DUMMYFUNCTION("""COMPUTED_VALUE"""),"Khazar University")</f>
        <v>Khazar University</v>
      </c>
      <c r="W348" s="43" t="str">
        <f>IFERROR(__xludf.DUMMYFUNCTION("""COMPUTED_VALUE"""),"2022-11-20T18:32:38Z")</f>
        <v>2022-11-20T18:32:38Z</v>
      </c>
      <c r="X348" s="43"/>
      <c r="Y348" s="43"/>
      <c r="Z348" s="43"/>
    </row>
    <row r="349" hidden="1">
      <c r="A349" s="43" t="str">
        <f>IFERROR(__xludf.DUMMYFUNCTION("""COMPUTED_VALUE"""),"5138393_1284596")</f>
        <v>5138393_1284596</v>
      </c>
      <c r="B349" s="43" t="str">
        <f>IFERROR(__xludf.DUMMYFUNCTION("""COMPUTED_VALUE"""),"Rana Amaidia")</f>
        <v>Rana Amaidia</v>
      </c>
      <c r="C349" s="43" t="str">
        <f>IFERROR(__xludf.DUMMYFUNCTION("""COMPUTED_VALUE"""),"approved")</f>
        <v>approved</v>
      </c>
      <c r="D349" s="43" t="str">
        <f>IFERROR(__xludf.DUMMYFUNCTION("""COMPUTED_VALUE"""),"No")</f>
        <v>No</v>
      </c>
      <c r="E349" s="43" t="str">
        <f>IFERROR(__xludf.DUMMYFUNCTION("""COMPUTED_VALUE"""),"p_ab9a2cbc1df7131a107b2953bb1f7a1c4a11cfaf@inbound.aiesec.org")</f>
        <v>p_ab9a2cbc1df7131a107b2953bb1f7a1c4a11cfaf@inbound.aiesec.org</v>
      </c>
      <c r="F349" s="43"/>
      <c r="G349" s="43" t="str">
        <f>IFERROR(__xludf.DUMMYFUNCTION("""COMPUTED_VALUE"""),"Tunisia")</f>
        <v>Tunisia</v>
      </c>
      <c r="H349" s="43" t="str">
        <f>IFERROR(__xludf.DUMMYFUNCTION("""COMPUTED_VALUE"""),"HADRUMET")</f>
        <v>HADRUMET</v>
      </c>
      <c r="I349" s="43" t="str">
        <f>IFERROR(__xludf.DUMMYFUNCTION("""COMPUTED_VALUE"""),"Turkey")</f>
        <v>Turkey</v>
      </c>
      <c r="J349" s="43" t="str">
        <f>IFERROR(__xludf.DUMMYFUNCTION("""COMPUTED_VALUE"""),"DENIZLI")</f>
        <v>DENIZLI</v>
      </c>
      <c r="K349" s="44" t="str">
        <f>IFERROR(__xludf.DUMMYFUNCTION("""COMPUTED_VALUE"""),"https://expa.aiesec.org/opportunities/1284596")</f>
        <v>https://expa.aiesec.org/opportunities/1284596</v>
      </c>
      <c r="L349" s="43" t="str">
        <f>IFERROR(__xludf.DUMMYFUNCTION("""COMPUTED_VALUE"""),"GV")</f>
        <v>GV</v>
      </c>
      <c r="M349" s="43" t="str">
        <f>IFERROR(__xludf.DUMMYFUNCTION("""COMPUTED_VALUE"""),"short")</f>
        <v>short</v>
      </c>
      <c r="N349" s="45">
        <f>IFERROR(__xludf.DUMMYFUNCTION("""COMPUTED_VALUE"""),44903.0)</f>
        <v>44903</v>
      </c>
      <c r="O349" s="45">
        <f>IFERROR(__xludf.DUMMYFUNCTION("""COMPUTED_VALUE"""),45117.0)</f>
        <v>45117</v>
      </c>
      <c r="P349" s="45">
        <f>IFERROR(__xludf.DUMMYFUNCTION("""COMPUTED_VALUE"""),45159.0)</f>
        <v>45159</v>
      </c>
      <c r="Q349" s="45"/>
      <c r="R349" s="45"/>
      <c r="S349" s="43"/>
      <c r="T349" s="43"/>
      <c r="U349" s="43" t="str">
        <f>IFERROR(__xludf.DUMMYFUNCTION("""COMPUTED_VALUE"""),"Youth 4 Impact")</f>
        <v>Youth 4 Impact</v>
      </c>
      <c r="V349" s="43" t="str">
        <f>IFERROR(__xludf.DUMMYFUNCTION("""COMPUTED_VALUE"""),"-")</f>
        <v>-</v>
      </c>
      <c r="W349" s="43" t="str">
        <f>IFERROR(__xludf.DUMMYFUNCTION("""COMPUTED_VALUE"""),"2022-10-22T09:48:17Z")</f>
        <v>2022-10-22T09:48:17Z</v>
      </c>
      <c r="X349" s="43"/>
      <c r="Y349" s="43"/>
      <c r="Z349" s="43"/>
    </row>
    <row r="350" hidden="1">
      <c r="A350" s="43" t="str">
        <f>IFERROR(__xludf.DUMMYFUNCTION("""COMPUTED_VALUE"""),"5162824_1287101")</f>
        <v>5162824_1287101</v>
      </c>
      <c r="B350" s="43" t="str">
        <f>IFERROR(__xludf.DUMMYFUNCTION("""COMPUTED_VALUE"""),"Azel Shaimardanova")</f>
        <v>Azel Shaimardanova</v>
      </c>
      <c r="C350" s="43" t="str">
        <f>IFERROR(__xludf.DUMMYFUNCTION("""COMPUTED_VALUE"""),"completed")</f>
        <v>completed</v>
      </c>
      <c r="D350" s="43" t="str">
        <f>IFERROR(__xludf.DUMMYFUNCTION("""COMPUTED_VALUE"""),"No")</f>
        <v>No</v>
      </c>
      <c r="E350" s="43" t="str">
        <f>IFERROR(__xludf.DUMMYFUNCTION("""COMPUTED_VALUE"""),"p_00795d56326cd011b1daf32dd32a2f59d30c2fbf@inbound.aiesec.org")</f>
        <v>p_00795d56326cd011b1daf32dd32a2f59d30c2fbf@inbound.aiesec.org</v>
      </c>
      <c r="F350" s="43">
        <f>IFERROR(__xludf.DUMMYFUNCTION("""COMPUTED_VALUE"""),7.054861842E9)</f>
        <v>7054861842</v>
      </c>
      <c r="G350" s="43" t="str">
        <f>IFERROR(__xludf.DUMMYFUNCTION("""COMPUTED_VALUE"""),"Kazakhstan")</f>
        <v>Kazakhstan</v>
      </c>
      <c r="H350" s="43" t="str">
        <f>IFERROR(__xludf.DUMMYFUNCTION("""COMPUTED_VALUE"""),"Astana")</f>
        <v>Astana</v>
      </c>
      <c r="I350" s="43" t="str">
        <f>IFERROR(__xludf.DUMMYFUNCTION("""COMPUTED_VALUE"""),"Turkey")</f>
        <v>Turkey</v>
      </c>
      <c r="J350" s="43" t="str">
        <f>IFERROR(__xludf.DUMMYFUNCTION("""COMPUTED_VALUE"""),"İZMİR")</f>
        <v>İZMİR</v>
      </c>
      <c r="K350" s="44" t="str">
        <f>IFERROR(__xludf.DUMMYFUNCTION("""COMPUTED_VALUE"""),"https://expa.aiesec.org/opportunities/1287101")</f>
        <v>https://expa.aiesec.org/opportunities/1287101</v>
      </c>
      <c r="L350" s="43" t="str">
        <f>IFERROR(__xludf.DUMMYFUNCTION("""COMPUTED_VALUE"""),"GV")</f>
        <v>GV</v>
      </c>
      <c r="M350" s="43" t="str">
        <f>IFERROR(__xludf.DUMMYFUNCTION("""COMPUTED_VALUE"""),"short")</f>
        <v>short</v>
      </c>
      <c r="N350" s="45">
        <f>IFERROR(__xludf.DUMMYFUNCTION("""COMPUTED_VALUE"""),44904.0)</f>
        <v>44904</v>
      </c>
      <c r="O350" s="45">
        <f>IFERROR(__xludf.DUMMYFUNCTION("""COMPUTED_VALUE"""),45053.0)</f>
        <v>45053</v>
      </c>
      <c r="P350" s="45">
        <f>IFERROR(__xludf.DUMMYFUNCTION("""COMPUTED_VALUE"""),45095.0)</f>
        <v>45095</v>
      </c>
      <c r="Q350" s="45">
        <f>IFERROR(__xludf.DUMMYFUNCTION("""COMPUTED_VALUE"""),45064.0)</f>
        <v>45064</v>
      </c>
      <c r="R350" s="45">
        <f>IFERROR(__xludf.DUMMYFUNCTION("""COMPUTED_VALUE"""),45106.0)</f>
        <v>45106</v>
      </c>
      <c r="S350" s="43"/>
      <c r="T350" s="43"/>
      <c r="U350" s="43" t="str">
        <f>IFERROR(__xludf.DUMMYFUNCTION("""COMPUTED_VALUE"""),"Global Classroom")</f>
        <v>Global Classroom</v>
      </c>
      <c r="V350" s="43" t="str">
        <f>IFERROR(__xludf.DUMMYFUNCTION("""COMPUTED_VALUE"""),"Astana")</f>
        <v>Astana</v>
      </c>
      <c r="W350" s="43" t="str">
        <f>IFERROR(__xludf.DUMMYFUNCTION("""COMPUTED_VALUE"""),"2022-12-05T11:25:59Z")</f>
        <v>2022-12-05T11:25:59Z</v>
      </c>
      <c r="X350" s="43"/>
      <c r="Y350" s="43"/>
      <c r="Z350" s="43"/>
    </row>
    <row r="351" hidden="1">
      <c r="A351" s="43" t="str">
        <f>IFERROR(__xludf.DUMMYFUNCTION("""COMPUTED_VALUE"""),"5130009_1289505")</f>
        <v>5130009_1289505</v>
      </c>
      <c r="B351" s="43" t="str">
        <f>IFERROR(__xludf.DUMMYFUNCTION("""COMPUTED_VALUE"""),"Beatriz Macieira")</f>
        <v>Beatriz Macieira</v>
      </c>
      <c r="C351" s="43" t="str">
        <f>IFERROR(__xludf.DUMMYFUNCTION("""COMPUTED_VALUE"""),"realization_broken")</f>
        <v>realization_broken</v>
      </c>
      <c r="D351" s="43" t="str">
        <f>IFERROR(__xludf.DUMMYFUNCTION("""COMPUTED_VALUE"""),"No")</f>
        <v>No</v>
      </c>
      <c r="E351" s="43" t="str">
        <f>IFERROR(__xludf.DUMMYFUNCTION("""COMPUTED_VALUE"""),"p_d1c73228372a7bf0696a1ae83692a51c37d46ffa@inbound.aiesec.org")</f>
        <v>p_d1c73228372a7bf0696a1ae83692a51c37d46ffa@inbound.aiesec.org</v>
      </c>
      <c r="F351" s="43">
        <f>IFERROR(__xludf.DUMMYFUNCTION("""COMPUTED_VALUE"""),9.1507913E8)</f>
        <v>915079130</v>
      </c>
      <c r="G351" s="43" t="str">
        <f>IFERROR(__xludf.DUMMYFUNCTION("""COMPUTED_VALUE"""),"Portugal")</f>
        <v>Portugal</v>
      </c>
      <c r="H351" s="43" t="str">
        <f>IFERROR(__xludf.DUMMYFUNCTION("""COMPUTED_VALUE"""),"PORTO CATÓLICA")</f>
        <v>PORTO CATÓLICA</v>
      </c>
      <c r="I351" s="43" t="str">
        <f>IFERROR(__xludf.DUMMYFUNCTION("""COMPUTED_VALUE"""),"Turkey")</f>
        <v>Turkey</v>
      </c>
      <c r="J351" s="43" t="str">
        <f>IFERROR(__xludf.DUMMYFUNCTION("""COMPUTED_VALUE"""),"KOCAELI")</f>
        <v>KOCAELI</v>
      </c>
      <c r="K351" s="44" t="str">
        <f>IFERROR(__xludf.DUMMYFUNCTION("""COMPUTED_VALUE"""),"https://expa.aiesec.org/opportunities/1289505")</f>
        <v>https://expa.aiesec.org/opportunities/1289505</v>
      </c>
      <c r="L351" s="43" t="str">
        <f>IFERROR(__xludf.DUMMYFUNCTION("""COMPUTED_VALUE"""),"GV")</f>
        <v>GV</v>
      </c>
      <c r="M351" s="43" t="str">
        <f>IFERROR(__xludf.DUMMYFUNCTION("""COMPUTED_VALUE"""),"short")</f>
        <v>short</v>
      </c>
      <c r="N351" s="45">
        <f>IFERROR(__xludf.DUMMYFUNCTION("""COMPUTED_VALUE"""),44904.0)</f>
        <v>44904</v>
      </c>
      <c r="O351" s="45">
        <f>IFERROR(__xludf.DUMMYFUNCTION("""COMPUTED_VALUE"""),45103.0)</f>
        <v>45103</v>
      </c>
      <c r="P351" s="45">
        <f>IFERROR(__xludf.DUMMYFUNCTION("""COMPUTED_VALUE"""),45145.0)</f>
        <v>45145</v>
      </c>
      <c r="Q351" s="45"/>
      <c r="R351" s="45"/>
      <c r="S351" s="43"/>
      <c r="T351" s="43"/>
      <c r="U351" s="43" t="str">
        <f>IFERROR(__xludf.DUMMYFUNCTION("""COMPUTED_VALUE"""),"Youth 4 Impact")</f>
        <v>Youth 4 Impact</v>
      </c>
      <c r="V351" s="43" t="str">
        <f>IFERROR(__xludf.DUMMYFUNCTION("""COMPUTED_VALUE"""),"Instituto Politécnico do Porto - Escola Superior de Educação (ESE)")</f>
        <v>Instituto Politécnico do Porto - Escola Superior de Educação (ESE)</v>
      </c>
      <c r="W351" s="43" t="str">
        <f>IFERROR(__xludf.DUMMYFUNCTION("""COMPUTED_VALUE"""),"2022-10-11T13:38:47Z")</f>
        <v>2022-10-11T13:38:47Z</v>
      </c>
      <c r="X351" s="43"/>
      <c r="Y351" s="43"/>
      <c r="Z351" s="43"/>
    </row>
    <row r="352" hidden="1">
      <c r="A352" s="43" t="str">
        <f>IFERROR(__xludf.DUMMYFUNCTION("""COMPUTED_VALUE"""),"5159547_1284077")</f>
        <v>5159547_1284077</v>
      </c>
      <c r="B352" s="43" t="str">
        <f>IFERROR(__xludf.DUMMYFUNCTION("""COMPUTED_VALUE"""),"Vasile-Viorel Ion")</f>
        <v>Vasile-Viorel Ion</v>
      </c>
      <c r="C352" s="43" t="str">
        <f>IFERROR(__xludf.DUMMYFUNCTION("""COMPUTED_VALUE"""),"completed")</f>
        <v>completed</v>
      </c>
      <c r="D352" s="43" t="str">
        <f>IFERROR(__xludf.DUMMYFUNCTION("""COMPUTED_VALUE"""),"No")</f>
        <v>No</v>
      </c>
      <c r="E352" s="43" t="str">
        <f>IFERROR(__xludf.DUMMYFUNCTION("""COMPUTED_VALUE"""),"p_a089ef0e23954ed5ef2508da803e3aaec7a6df2f@inbound.aiesec.org")</f>
        <v>p_a089ef0e23954ed5ef2508da803e3aaec7a6df2f@inbound.aiesec.org</v>
      </c>
      <c r="F352" s="43">
        <f>IFERROR(__xludf.DUMMYFUNCTION("""COMPUTED_VALUE"""),7.70661388E8)</f>
        <v>770661388</v>
      </c>
      <c r="G352" s="43" t="str">
        <f>IFERROR(__xludf.DUMMYFUNCTION("""COMPUTED_VALUE"""),"Romania")</f>
        <v>Romania</v>
      </c>
      <c r="H352" s="43" t="str">
        <f>IFERROR(__xludf.DUMMYFUNCTION("""COMPUTED_VALUE"""),"GALATI")</f>
        <v>GALATI</v>
      </c>
      <c r="I352" s="43" t="str">
        <f>IFERROR(__xludf.DUMMYFUNCTION("""COMPUTED_VALUE"""),"Turkey")</f>
        <v>Turkey</v>
      </c>
      <c r="J352" s="43" t="str">
        <f>IFERROR(__xludf.DUMMYFUNCTION("""COMPUTED_VALUE"""),"GAZIANTEP")</f>
        <v>GAZIANTEP</v>
      </c>
      <c r="K352" s="44" t="str">
        <f>IFERROR(__xludf.DUMMYFUNCTION("""COMPUTED_VALUE"""),"https://expa.aiesec.org/opportunities/1284077")</f>
        <v>https://expa.aiesec.org/opportunities/1284077</v>
      </c>
      <c r="L352" s="43" t="str">
        <f>IFERROR(__xludf.DUMMYFUNCTION("""COMPUTED_VALUE"""),"GV")</f>
        <v>GV</v>
      </c>
      <c r="M352" s="43" t="str">
        <f>IFERROR(__xludf.DUMMYFUNCTION("""COMPUTED_VALUE"""),"short")</f>
        <v>short</v>
      </c>
      <c r="N352" s="45">
        <f>IFERROR(__xludf.DUMMYFUNCTION("""COMPUTED_VALUE"""),44904.0)</f>
        <v>44904</v>
      </c>
      <c r="O352" s="45">
        <f>IFERROR(__xludf.DUMMYFUNCTION("""COMPUTED_VALUE"""),45141.0)</f>
        <v>45141</v>
      </c>
      <c r="P352" s="45">
        <f>IFERROR(__xludf.DUMMYFUNCTION("""COMPUTED_VALUE"""),45183.0)</f>
        <v>45183</v>
      </c>
      <c r="Q352" s="45">
        <f>IFERROR(__xludf.DUMMYFUNCTION("""COMPUTED_VALUE"""),45141.0)</f>
        <v>45141</v>
      </c>
      <c r="R352" s="45">
        <f>IFERROR(__xludf.DUMMYFUNCTION("""COMPUTED_VALUE"""),45183.0)</f>
        <v>45183</v>
      </c>
      <c r="S352" s="43"/>
      <c r="T352" s="43"/>
      <c r="U352" s="43" t="str">
        <f>IFERROR(__xludf.DUMMYFUNCTION("""COMPUTED_VALUE"""),"Global Classroom")</f>
        <v>Global Classroom</v>
      </c>
      <c r="V352" s="43" t="str">
        <f>IFERROR(__xludf.DUMMYFUNCTION("""COMPUTED_VALUE"""),"Galati")</f>
        <v>Galati</v>
      </c>
      <c r="W352" s="43" t="str">
        <f>IFERROR(__xludf.DUMMYFUNCTION("""COMPUTED_VALUE"""),"2022-11-27T17:56:30Z")</f>
        <v>2022-11-27T17:56:30Z</v>
      </c>
      <c r="X352" s="43"/>
      <c r="Y352" s="43"/>
      <c r="Z352" s="43"/>
    </row>
    <row r="353">
      <c r="A353" s="43" t="str">
        <f>IFERROR(__xludf.DUMMYFUNCTION("""COMPUTED_VALUE"""),"5158674_1272564")</f>
        <v>5158674_1272564</v>
      </c>
      <c r="B353" s="43" t="str">
        <f>IFERROR(__xludf.DUMMYFUNCTION("""COMPUTED_VALUE"""),"Moldir Agzamova")</f>
        <v>Moldir Agzamova</v>
      </c>
      <c r="C353" s="43" t="str">
        <f>IFERROR(__xludf.DUMMYFUNCTION("""COMPUTED_VALUE"""),"approved")</f>
        <v>approved</v>
      </c>
      <c r="D353" s="43" t="str">
        <f>IFERROR(__xludf.DUMMYFUNCTION("""COMPUTED_VALUE"""),"No")</f>
        <v>No</v>
      </c>
      <c r="E353" s="43" t="str">
        <f>IFERROR(__xludf.DUMMYFUNCTION("""COMPUTED_VALUE"""),"p_7705c4578d5b4df3c3dc27397d5463669db4ae92@inbound.aiesec.org")</f>
        <v>p_7705c4578d5b4df3c3dc27397d5463669db4ae92@inbound.aiesec.org</v>
      </c>
      <c r="F353" s="43">
        <f>IFERROR(__xludf.DUMMYFUNCTION("""COMPUTED_VALUE"""),7.475181157E9)</f>
        <v>7475181157</v>
      </c>
      <c r="G353" s="43" t="str">
        <f>IFERROR(__xludf.DUMMYFUNCTION("""COMPUTED_VALUE"""),"Kazakhstan")</f>
        <v>Kazakhstan</v>
      </c>
      <c r="H353" s="43" t="str">
        <f>IFERROR(__xludf.DUMMYFUNCTION("""COMPUTED_VALUE"""),"Astana")</f>
        <v>Astana</v>
      </c>
      <c r="I353" s="43" t="str">
        <f>IFERROR(__xludf.DUMMYFUNCTION("""COMPUTED_VALUE"""),"Turkey")</f>
        <v>Turkey</v>
      </c>
      <c r="J353" s="43" t="str">
        <f>IFERROR(__xludf.DUMMYFUNCTION("""COMPUTED_VALUE"""),"ISTANBUL")</f>
        <v>ISTANBUL</v>
      </c>
      <c r="K353" s="44" t="str">
        <f>IFERROR(__xludf.DUMMYFUNCTION("""COMPUTED_VALUE"""),"https://expa.aiesec.org/opportunities/1272564")</f>
        <v>https://expa.aiesec.org/opportunities/1272564</v>
      </c>
      <c r="L353" s="43" t="str">
        <f>IFERROR(__xludf.DUMMYFUNCTION("""COMPUTED_VALUE"""),"GV")</f>
        <v>GV</v>
      </c>
      <c r="M353" s="43" t="str">
        <f>IFERROR(__xludf.DUMMYFUNCTION("""COMPUTED_VALUE"""),"short")</f>
        <v>short</v>
      </c>
      <c r="N353" s="45">
        <f>IFERROR(__xludf.DUMMYFUNCTION("""COMPUTED_VALUE"""),44904.0)</f>
        <v>44904</v>
      </c>
      <c r="O353" s="45">
        <f>IFERROR(__xludf.DUMMYFUNCTION("""COMPUTED_VALUE"""),45082.0)</f>
        <v>45082</v>
      </c>
      <c r="P353" s="45">
        <f>IFERROR(__xludf.DUMMYFUNCTION("""COMPUTED_VALUE"""),45124.0)</f>
        <v>45124</v>
      </c>
      <c r="Q353" s="45"/>
      <c r="R353" s="45"/>
      <c r="S353" s="43"/>
      <c r="T353" s="43"/>
      <c r="U353" s="43" t="str">
        <f>IFERROR(__xludf.DUMMYFUNCTION("""COMPUTED_VALUE"""),"Global Classroom")</f>
        <v>Global Classroom</v>
      </c>
      <c r="V353" s="43" t="str">
        <f>IFERROR(__xludf.DUMMYFUNCTION("""COMPUTED_VALUE"""),"Astana")</f>
        <v>Astana</v>
      </c>
      <c r="W353" s="43" t="str">
        <f>IFERROR(__xludf.DUMMYFUNCTION("""COMPUTED_VALUE"""),"2022-11-25T09:31:15Z")</f>
        <v>2022-11-25T09:31:15Z</v>
      </c>
      <c r="X353" s="43"/>
      <c r="Y353" s="43"/>
      <c r="Z353" s="43"/>
    </row>
    <row r="354" hidden="1">
      <c r="A354" s="43" t="str">
        <f>IFERROR(__xludf.DUMMYFUNCTION("""COMPUTED_VALUE"""),"5164619_1288393")</f>
        <v>5164619_1288393</v>
      </c>
      <c r="B354" s="43" t="str">
        <f>IFERROR(__xludf.DUMMYFUNCTION("""COMPUTED_VALUE"""),"Lakshay Satija")</f>
        <v>Lakshay Satija</v>
      </c>
      <c r="C354" s="43" t="str">
        <f>IFERROR(__xludf.DUMMYFUNCTION("""COMPUTED_VALUE"""),"approved")</f>
        <v>approved</v>
      </c>
      <c r="D354" s="43" t="str">
        <f>IFERROR(__xludf.DUMMYFUNCTION("""COMPUTED_VALUE"""),"No")</f>
        <v>No</v>
      </c>
      <c r="E354" s="43" t="str">
        <f>IFERROR(__xludf.DUMMYFUNCTION("""COMPUTED_VALUE"""),"p_92ce4e08a9b42497f8f795d4eacb655774bb9d38@inbound.aiesec.org")</f>
        <v>p_92ce4e08a9b42497f8f795d4eacb655774bb9d38@inbound.aiesec.org</v>
      </c>
      <c r="F354" s="43">
        <f>IFERROR(__xludf.DUMMYFUNCTION("""COMPUTED_VALUE"""),9.971761051E9)</f>
        <v>9971761051</v>
      </c>
      <c r="G354" s="43" t="str">
        <f>IFERROR(__xludf.DUMMYFUNCTION("""COMPUTED_VALUE"""),"India")</f>
        <v>India</v>
      </c>
      <c r="H354" s="43" t="str">
        <f>IFERROR(__xludf.DUMMYFUNCTION("""COMPUTED_VALUE"""),"Noida")</f>
        <v>Noida</v>
      </c>
      <c r="I354" s="43" t="str">
        <f>IFERROR(__xludf.DUMMYFUNCTION("""COMPUTED_VALUE"""),"Turkey")</f>
        <v>Turkey</v>
      </c>
      <c r="J354" s="43" t="str">
        <f>IFERROR(__xludf.DUMMYFUNCTION("""COMPUTED_VALUE"""),"ISTANBUL")</f>
        <v>ISTANBUL</v>
      </c>
      <c r="K354" s="44" t="str">
        <f>IFERROR(__xludf.DUMMYFUNCTION("""COMPUTED_VALUE"""),"https://expa.aiesec.org/opportunities/1288393")</f>
        <v>https://expa.aiesec.org/opportunities/1288393</v>
      </c>
      <c r="L354" s="43" t="str">
        <f>IFERROR(__xludf.DUMMYFUNCTION("""COMPUTED_VALUE"""),"GV")</f>
        <v>GV</v>
      </c>
      <c r="M354" s="43" t="str">
        <f>IFERROR(__xludf.DUMMYFUNCTION("""COMPUTED_VALUE"""),"short")</f>
        <v>short</v>
      </c>
      <c r="N354" s="45">
        <f>IFERROR(__xludf.DUMMYFUNCTION("""COMPUTED_VALUE"""),44905.0)</f>
        <v>44905</v>
      </c>
      <c r="O354" s="45">
        <f>IFERROR(__xludf.DUMMYFUNCTION("""COMPUTED_VALUE"""),45117.0)</f>
        <v>45117</v>
      </c>
      <c r="P354" s="45">
        <f>IFERROR(__xludf.DUMMYFUNCTION("""COMPUTED_VALUE"""),45159.0)</f>
        <v>45159</v>
      </c>
      <c r="Q354" s="45"/>
      <c r="R354" s="45"/>
      <c r="S354" s="43"/>
      <c r="T354" s="43"/>
      <c r="U354" s="43" t="str">
        <f>IFERROR(__xludf.DUMMYFUNCTION("""COMPUTED_VALUE"""),"Global Classroom")</f>
        <v>Global Classroom</v>
      </c>
      <c r="V354" s="43" t="str">
        <f>IFERROR(__xludf.DUMMYFUNCTION("""COMPUTED_VALUE"""),"Amity University, Noida")</f>
        <v>Amity University, Noida</v>
      </c>
      <c r="W354" s="43" t="str">
        <f>IFERROR(__xludf.DUMMYFUNCTION("""COMPUTED_VALUE"""),"2022-12-09T15:50:42Z")</f>
        <v>2022-12-09T15:50:42Z</v>
      </c>
      <c r="X354" s="43"/>
      <c r="Y354" s="43"/>
      <c r="Z354" s="43"/>
    </row>
    <row r="355" hidden="1">
      <c r="A355" s="43" t="str">
        <f>IFERROR(__xludf.DUMMYFUNCTION("""COMPUTED_VALUE"""),"3877030_1285161")</f>
        <v>3877030_1285161</v>
      </c>
      <c r="B355" s="43" t="str">
        <f>IFERROR(__xludf.DUMMYFUNCTION("""COMPUTED_VALUE"""),"Bhakti Garje Bhakti Garje")</f>
        <v>Bhakti Garje Bhakti Garje</v>
      </c>
      <c r="C355" s="43" t="str">
        <f>IFERROR(__xludf.DUMMYFUNCTION("""COMPUTED_VALUE"""),"finished")</f>
        <v>finished</v>
      </c>
      <c r="D355" s="43" t="str">
        <f>IFERROR(__xludf.DUMMYFUNCTION("""COMPUTED_VALUE"""),"No")</f>
        <v>No</v>
      </c>
      <c r="E355" s="43" t="str">
        <f>IFERROR(__xludf.DUMMYFUNCTION("""COMPUTED_VALUE"""),"p_21f4bb422da210aa21acd1c3a9429239ac10875e@inbound.aiesec.org")</f>
        <v>p_21f4bb422da210aa21acd1c3a9429239ac10875e@inbound.aiesec.org</v>
      </c>
      <c r="F355" s="43">
        <f>IFERROR(__xludf.DUMMYFUNCTION("""COMPUTED_VALUE"""),9.92031201E9)</f>
        <v>9920312010</v>
      </c>
      <c r="G355" s="43" t="str">
        <f>IFERROR(__xludf.DUMMYFUNCTION("""COMPUTED_VALUE"""),"India")</f>
        <v>India</v>
      </c>
      <c r="H355" s="43" t="str">
        <f>IFERROR(__xludf.DUMMYFUNCTION("""COMPUTED_VALUE"""),"Closed")</f>
        <v>Closed</v>
      </c>
      <c r="I355" s="43" t="str">
        <f>IFERROR(__xludf.DUMMYFUNCTION("""COMPUTED_VALUE"""),"Turkey")</f>
        <v>Turkey</v>
      </c>
      <c r="J355" s="43" t="str">
        <f>IFERROR(__xludf.DUMMYFUNCTION("""COMPUTED_VALUE"""),"KOCAELI")</f>
        <v>KOCAELI</v>
      </c>
      <c r="K355" s="44" t="str">
        <f>IFERROR(__xludf.DUMMYFUNCTION("""COMPUTED_VALUE"""),"https://expa.aiesec.org/opportunities/1285161")</f>
        <v>https://expa.aiesec.org/opportunities/1285161</v>
      </c>
      <c r="L355" s="43" t="str">
        <f>IFERROR(__xludf.DUMMYFUNCTION("""COMPUTED_VALUE"""),"GV")</f>
        <v>GV</v>
      </c>
      <c r="M355" s="43" t="str">
        <f>IFERROR(__xludf.DUMMYFUNCTION("""COMPUTED_VALUE"""),"short")</f>
        <v>short</v>
      </c>
      <c r="N355" s="45">
        <f>IFERROR(__xludf.DUMMYFUNCTION("""COMPUTED_VALUE"""),44905.0)</f>
        <v>44905</v>
      </c>
      <c r="O355" s="45">
        <f>IFERROR(__xludf.DUMMYFUNCTION("""COMPUTED_VALUE"""),44918.0)</f>
        <v>44918</v>
      </c>
      <c r="P355" s="45">
        <f>IFERROR(__xludf.DUMMYFUNCTION("""COMPUTED_VALUE"""),44960.0)</f>
        <v>44960</v>
      </c>
      <c r="Q355" s="45">
        <f>IFERROR(__xludf.DUMMYFUNCTION("""COMPUTED_VALUE"""),44922.0)</f>
        <v>44922</v>
      </c>
      <c r="R355" s="45">
        <f>IFERROR(__xludf.DUMMYFUNCTION("""COMPUTED_VALUE"""),44964.0)</f>
        <v>44964</v>
      </c>
      <c r="S355" s="43"/>
      <c r="T355" s="43"/>
      <c r="U355" s="43" t="str">
        <f>IFERROR(__xludf.DUMMYFUNCTION("""COMPUTED_VALUE"""),"Global Classroom")</f>
        <v>Global Classroom</v>
      </c>
      <c r="V355" s="43" t="str">
        <f>IFERROR(__xludf.DUMMYFUNCTION("""COMPUTED_VALUE"""),"Sophia College for Women, Mumbai")</f>
        <v>Sophia College for Women, Mumbai</v>
      </c>
      <c r="W355" s="43" t="str">
        <f>IFERROR(__xludf.DUMMYFUNCTION("""COMPUTED_VALUE"""),"2019-10-06T14:51:10Z")</f>
        <v>2019-10-06T14:51:10Z</v>
      </c>
      <c r="X355" s="43"/>
      <c r="Y355" s="43"/>
      <c r="Z355" s="43"/>
    </row>
    <row r="356" hidden="1">
      <c r="A356" s="43" t="str">
        <f>IFERROR(__xludf.DUMMYFUNCTION("""COMPUTED_VALUE"""),"4368075_1288970")</f>
        <v>4368075_1288970</v>
      </c>
      <c r="B356" s="43" t="str">
        <f>IFERROR(__xludf.DUMMYFUNCTION("""COMPUTED_VALUE"""),"Ariadna Sánchez Ramírez")</f>
        <v>Ariadna Sánchez Ramírez</v>
      </c>
      <c r="C356" s="43" t="str">
        <f>IFERROR(__xludf.DUMMYFUNCTION("""COMPUTED_VALUE"""),"finished")</f>
        <v>finished</v>
      </c>
      <c r="D356" s="43" t="str">
        <f>IFERROR(__xludf.DUMMYFUNCTION("""COMPUTED_VALUE"""),"No")</f>
        <v>No</v>
      </c>
      <c r="E356" s="43" t="str">
        <f>IFERROR(__xludf.DUMMYFUNCTION("""COMPUTED_VALUE"""),"p_35e3070e4000e1661cc490ab86d6e86a719c078b@inbound.aiesec.org")</f>
        <v>p_35e3070e4000e1661cc490ab86d6e86a719c078b@inbound.aiesec.org</v>
      </c>
      <c r="F356" s="43"/>
      <c r="G356" s="43" t="str">
        <f>IFERROR(__xludf.DUMMYFUNCTION("""COMPUTED_VALUE"""),"Mexico")</f>
        <v>Mexico</v>
      </c>
      <c r="H356" s="43" t="str">
        <f>IFERROR(__xludf.DUMMYFUNCTION("""COMPUTED_VALUE"""),"Puebla")</f>
        <v>Puebla</v>
      </c>
      <c r="I356" s="43" t="str">
        <f>IFERROR(__xludf.DUMMYFUNCTION("""COMPUTED_VALUE"""),"Turkey")</f>
        <v>Turkey</v>
      </c>
      <c r="J356" s="43" t="str">
        <f>IFERROR(__xludf.DUMMYFUNCTION("""COMPUTED_VALUE"""),"İZMİR")</f>
        <v>İZMİR</v>
      </c>
      <c r="K356" s="44" t="str">
        <f>IFERROR(__xludf.DUMMYFUNCTION("""COMPUTED_VALUE"""),"https://expa.aiesec.org/opportunities/1288970")</f>
        <v>https://expa.aiesec.org/opportunities/1288970</v>
      </c>
      <c r="L356" s="43" t="str">
        <f>IFERROR(__xludf.DUMMYFUNCTION("""COMPUTED_VALUE"""),"GV")</f>
        <v>GV</v>
      </c>
      <c r="M356" s="43" t="str">
        <f>IFERROR(__xludf.DUMMYFUNCTION("""COMPUTED_VALUE"""),"short")</f>
        <v>short</v>
      </c>
      <c r="N356" s="45">
        <f>IFERROR(__xludf.DUMMYFUNCTION("""COMPUTED_VALUE"""),44905.0)</f>
        <v>44905</v>
      </c>
      <c r="O356" s="45">
        <f>IFERROR(__xludf.DUMMYFUNCTION("""COMPUTED_VALUE"""),45039.0)</f>
        <v>45039</v>
      </c>
      <c r="P356" s="45">
        <f>IFERROR(__xludf.DUMMYFUNCTION("""COMPUTED_VALUE"""),45081.0)</f>
        <v>45081</v>
      </c>
      <c r="Q356" s="45">
        <f>IFERROR(__xludf.DUMMYFUNCTION("""COMPUTED_VALUE"""),45041.0)</f>
        <v>45041</v>
      </c>
      <c r="R356" s="45">
        <f>IFERROR(__xludf.DUMMYFUNCTION("""COMPUTED_VALUE"""),45081.0)</f>
        <v>45081</v>
      </c>
      <c r="S356" s="43"/>
      <c r="T356" s="43"/>
      <c r="U356" s="43" t="str">
        <f>IFERROR(__xludf.DUMMYFUNCTION("""COMPUTED_VALUE"""),"Fingerprint")</f>
        <v>Fingerprint</v>
      </c>
      <c r="V356" s="43" t="str">
        <f>IFERROR(__xludf.DUMMYFUNCTION("""COMPUTED_VALUE"""),"-")</f>
        <v>-</v>
      </c>
      <c r="W356" s="43" t="str">
        <f>IFERROR(__xludf.DUMMYFUNCTION("""COMPUTED_VALUE"""),"2020-09-14T03:00:16Z")</f>
        <v>2020-09-14T03:00:16Z</v>
      </c>
      <c r="X356" s="43"/>
      <c r="Y356" s="43"/>
      <c r="Z356" s="43"/>
    </row>
    <row r="357" hidden="1">
      <c r="A357" s="43" t="str">
        <f>IFERROR(__xludf.DUMMYFUNCTION("""COMPUTED_VALUE"""),"5134233_1289505")</f>
        <v>5134233_1289505</v>
      </c>
      <c r="B357" s="43" t="str">
        <f>IFERROR(__xludf.DUMMYFUNCTION("""COMPUTED_VALUE"""),"Marta Silva")</f>
        <v>Marta Silva</v>
      </c>
      <c r="C357" s="43" t="str">
        <f>IFERROR(__xludf.DUMMYFUNCTION("""COMPUTED_VALUE"""),"completed")</f>
        <v>completed</v>
      </c>
      <c r="D357" s="43" t="str">
        <f>IFERROR(__xludf.DUMMYFUNCTION("""COMPUTED_VALUE"""),"No")</f>
        <v>No</v>
      </c>
      <c r="E357" s="43" t="str">
        <f>IFERROR(__xludf.DUMMYFUNCTION("""COMPUTED_VALUE"""),"p_f0d252b657253637bbe730babc14371eb0b00af6@inbound.aiesec.org")</f>
        <v>p_f0d252b657253637bbe730babc14371eb0b00af6@inbound.aiesec.org</v>
      </c>
      <c r="F357" s="43">
        <f>IFERROR(__xludf.DUMMYFUNCTION("""COMPUTED_VALUE"""),9.39615227E8)</f>
        <v>939615227</v>
      </c>
      <c r="G357" s="43" t="str">
        <f>IFERROR(__xludf.DUMMYFUNCTION("""COMPUTED_VALUE"""),"Portugal")</f>
        <v>Portugal</v>
      </c>
      <c r="H357" s="43" t="str">
        <f>IFERROR(__xludf.DUMMYFUNCTION("""COMPUTED_VALUE"""),"PORTO CATÓLICA")</f>
        <v>PORTO CATÓLICA</v>
      </c>
      <c r="I357" s="43" t="str">
        <f>IFERROR(__xludf.DUMMYFUNCTION("""COMPUTED_VALUE"""),"Turkey")</f>
        <v>Turkey</v>
      </c>
      <c r="J357" s="43" t="str">
        <f>IFERROR(__xludf.DUMMYFUNCTION("""COMPUTED_VALUE"""),"KOCAELI")</f>
        <v>KOCAELI</v>
      </c>
      <c r="K357" s="44" t="str">
        <f>IFERROR(__xludf.DUMMYFUNCTION("""COMPUTED_VALUE"""),"https://expa.aiesec.org/opportunities/1289505")</f>
        <v>https://expa.aiesec.org/opportunities/1289505</v>
      </c>
      <c r="L357" s="43" t="str">
        <f>IFERROR(__xludf.DUMMYFUNCTION("""COMPUTED_VALUE"""),"GV")</f>
        <v>GV</v>
      </c>
      <c r="M357" s="43" t="str">
        <f>IFERROR(__xludf.DUMMYFUNCTION("""COMPUTED_VALUE"""),"short")</f>
        <v>short</v>
      </c>
      <c r="N357" s="45">
        <f>IFERROR(__xludf.DUMMYFUNCTION("""COMPUTED_VALUE"""),44905.0)</f>
        <v>44905</v>
      </c>
      <c r="O357" s="45">
        <f>IFERROR(__xludf.DUMMYFUNCTION("""COMPUTED_VALUE"""),45117.0)</f>
        <v>45117</v>
      </c>
      <c r="P357" s="45">
        <f>IFERROR(__xludf.DUMMYFUNCTION("""COMPUTED_VALUE"""),45159.0)</f>
        <v>45159</v>
      </c>
      <c r="Q357" s="45">
        <f>IFERROR(__xludf.DUMMYFUNCTION("""COMPUTED_VALUE"""),45117.0)</f>
        <v>45117</v>
      </c>
      <c r="R357" s="45">
        <f>IFERROR(__xludf.DUMMYFUNCTION("""COMPUTED_VALUE"""),45159.0)</f>
        <v>45159</v>
      </c>
      <c r="S357" s="43"/>
      <c r="T357" s="43"/>
      <c r="U357" s="43" t="str">
        <f>IFERROR(__xludf.DUMMYFUNCTION("""COMPUTED_VALUE"""),"Youth 4 Impact")</f>
        <v>Youth 4 Impact</v>
      </c>
      <c r="V357" s="43" t="str">
        <f>IFERROR(__xludf.DUMMYFUNCTION("""COMPUTED_VALUE"""),"Instituto Politécnico do Porto - Escola Superior de Educação (ESE)")</f>
        <v>Instituto Politécnico do Porto - Escola Superior de Educação (ESE)</v>
      </c>
      <c r="W357" s="43" t="str">
        <f>IFERROR(__xludf.DUMMYFUNCTION("""COMPUTED_VALUE"""),"2022-10-17T01:53:09Z")</f>
        <v>2022-10-17T01:53:09Z</v>
      </c>
      <c r="X357" s="43"/>
      <c r="Y357" s="43"/>
      <c r="Z357" s="43"/>
    </row>
    <row r="358">
      <c r="A358" s="43" t="str">
        <f>IFERROR(__xludf.DUMMYFUNCTION("""COMPUTED_VALUE"""),"3328718_1289261")</f>
        <v>3328718_1289261</v>
      </c>
      <c r="B358" s="43" t="str">
        <f>IFERROR(__xludf.DUMMYFUNCTION("""COMPUTED_VALUE"""),"Sakshi Chauhan")</f>
        <v>Sakshi Chauhan</v>
      </c>
      <c r="C358" s="43" t="str">
        <f>IFERROR(__xludf.DUMMYFUNCTION("""COMPUTED_VALUE"""),"approved")</f>
        <v>approved</v>
      </c>
      <c r="D358" s="43" t="str">
        <f>IFERROR(__xludf.DUMMYFUNCTION("""COMPUTED_VALUE"""),"No")</f>
        <v>No</v>
      </c>
      <c r="E358" s="43" t="str">
        <f>IFERROR(__xludf.DUMMYFUNCTION("""COMPUTED_VALUE"""),"p_6314508adf57109e78fceaf019e45e5a85519c5e@inbound.aiesec.org")</f>
        <v>p_6314508adf57109e78fceaf019e45e5a85519c5e@inbound.aiesec.org</v>
      </c>
      <c r="F358" s="43">
        <f>IFERROR(__xludf.DUMMYFUNCTION("""COMPUTED_VALUE"""),9.920798149E9)</f>
        <v>9920798149</v>
      </c>
      <c r="G358" s="43" t="str">
        <f>IFERROR(__xludf.DUMMYFUNCTION("""COMPUTED_VALUE"""),"India")</f>
        <v>India</v>
      </c>
      <c r="H358" s="43" t="str">
        <f>IFERROR(__xludf.DUMMYFUNCTION("""COMPUTED_VALUE"""),"Navi Mumbai")</f>
        <v>Navi Mumbai</v>
      </c>
      <c r="I358" s="43" t="str">
        <f>IFERROR(__xludf.DUMMYFUNCTION("""COMPUTED_VALUE"""),"Turkey")</f>
        <v>Turkey</v>
      </c>
      <c r="J358" s="43" t="str">
        <f>IFERROR(__xludf.DUMMYFUNCTION("""COMPUTED_VALUE"""),"İZMİR")</f>
        <v>İZMİR</v>
      </c>
      <c r="K358" s="44" t="str">
        <f>IFERROR(__xludf.DUMMYFUNCTION("""COMPUTED_VALUE"""),"https://expa.aiesec.org/opportunities/1289261")</f>
        <v>https://expa.aiesec.org/opportunities/1289261</v>
      </c>
      <c r="L358" s="43" t="str">
        <f>IFERROR(__xludf.DUMMYFUNCTION("""COMPUTED_VALUE"""),"GV")</f>
        <v>GV</v>
      </c>
      <c r="M358" s="43" t="str">
        <f>IFERROR(__xludf.DUMMYFUNCTION("""COMPUTED_VALUE"""),"short")</f>
        <v>short</v>
      </c>
      <c r="N358" s="45">
        <f>IFERROR(__xludf.DUMMYFUNCTION("""COMPUTED_VALUE"""),44905.0)</f>
        <v>44905</v>
      </c>
      <c r="O358" s="45">
        <f>IFERROR(__xludf.DUMMYFUNCTION("""COMPUTED_VALUE"""),45025.0)</f>
        <v>45025</v>
      </c>
      <c r="P358" s="45">
        <f>IFERROR(__xludf.DUMMYFUNCTION("""COMPUTED_VALUE"""),45067.0)</f>
        <v>45067</v>
      </c>
      <c r="Q358" s="45"/>
      <c r="R358" s="45"/>
      <c r="S358" s="43"/>
      <c r="T358" s="43"/>
      <c r="U358" s="43" t="str">
        <f>IFERROR(__xludf.DUMMYFUNCTION("""COMPUTED_VALUE"""),"Global Classroom")</f>
        <v>Global Classroom</v>
      </c>
      <c r="V358" s="43" t="str">
        <f>IFERROR(__xludf.DUMMYFUNCTION("""COMPUTED_VALUE"""),"Navi Mumbai")</f>
        <v>Navi Mumbai</v>
      </c>
      <c r="W358" s="43" t="str">
        <f>IFERROR(__xludf.DUMMYFUNCTION("""COMPUTED_VALUE"""),"2019-04-14T05:41:23Z")</f>
        <v>2019-04-14T05:41:23Z</v>
      </c>
      <c r="X358" s="43"/>
      <c r="Y358" s="43"/>
      <c r="Z358" s="43"/>
    </row>
    <row r="359" hidden="1">
      <c r="A359" s="43" t="str">
        <f>IFERROR(__xludf.DUMMYFUNCTION("""COMPUTED_VALUE"""),"5164892_1279126")</f>
        <v>5164892_1279126</v>
      </c>
      <c r="B359" s="43" t="str">
        <f>IFERROR(__xludf.DUMMYFUNCTION("""COMPUTED_VALUE"""),"David STEFANESCU")</f>
        <v>David STEFANESCU</v>
      </c>
      <c r="C359" s="43" t="str">
        <f>IFERROR(__xludf.DUMMYFUNCTION("""COMPUTED_VALUE"""),"completed")</f>
        <v>completed</v>
      </c>
      <c r="D359" s="43" t="str">
        <f>IFERROR(__xludf.DUMMYFUNCTION("""COMPUTED_VALUE"""),"No")</f>
        <v>No</v>
      </c>
      <c r="E359" s="43" t="str">
        <f>IFERROR(__xludf.DUMMYFUNCTION("""COMPUTED_VALUE"""),"p_e936897dc1c2c11a4141cc7eb4d90124538ef5e1@inbound.aiesec.org")</f>
        <v>p_e936897dc1c2c11a4141cc7eb4d90124538ef5e1@inbound.aiesec.org</v>
      </c>
      <c r="F359" s="43"/>
      <c r="G359" s="43" t="str">
        <f>IFERROR(__xludf.DUMMYFUNCTION("""COMPUTED_VALUE"""),"Romania")</f>
        <v>Romania</v>
      </c>
      <c r="H359" s="43" t="str">
        <f>IFERROR(__xludf.DUMMYFUNCTION("""COMPUTED_VALUE"""),"BUCURESTI")</f>
        <v>BUCURESTI</v>
      </c>
      <c r="I359" s="43" t="str">
        <f>IFERROR(__xludf.DUMMYFUNCTION("""COMPUTED_VALUE"""),"Turkey")</f>
        <v>Turkey</v>
      </c>
      <c r="J359" s="43" t="str">
        <f>IFERROR(__xludf.DUMMYFUNCTION("""COMPUTED_VALUE"""),"KOCAELI")</f>
        <v>KOCAELI</v>
      </c>
      <c r="K359" s="44" t="str">
        <f>IFERROR(__xludf.DUMMYFUNCTION("""COMPUTED_VALUE"""),"https://expa.aiesec.org/opportunities/1279126")</f>
        <v>https://expa.aiesec.org/opportunities/1279126</v>
      </c>
      <c r="L359" s="43" t="str">
        <f>IFERROR(__xludf.DUMMYFUNCTION("""COMPUTED_VALUE"""),"GV")</f>
        <v>GV</v>
      </c>
      <c r="M359" s="43" t="str">
        <f>IFERROR(__xludf.DUMMYFUNCTION("""COMPUTED_VALUE"""),"short")</f>
        <v>short</v>
      </c>
      <c r="N359" s="45">
        <f>IFERROR(__xludf.DUMMYFUNCTION("""COMPUTED_VALUE"""),44906.0)</f>
        <v>44906</v>
      </c>
      <c r="O359" s="45">
        <f>IFERROR(__xludf.DUMMYFUNCTION("""COMPUTED_VALUE"""),45110.0)</f>
        <v>45110</v>
      </c>
      <c r="P359" s="45">
        <f>IFERROR(__xludf.DUMMYFUNCTION("""COMPUTED_VALUE"""),45152.0)</f>
        <v>45152</v>
      </c>
      <c r="Q359" s="45">
        <f>IFERROR(__xludf.DUMMYFUNCTION("""COMPUTED_VALUE"""),45110.0)</f>
        <v>45110</v>
      </c>
      <c r="R359" s="45">
        <f>IFERROR(__xludf.DUMMYFUNCTION("""COMPUTED_VALUE"""),45152.0)</f>
        <v>45152</v>
      </c>
      <c r="S359" s="43"/>
      <c r="T359" s="43"/>
      <c r="U359" s="43" t="str">
        <f>IFERROR(__xludf.DUMMYFUNCTION("""COMPUTED_VALUE"""),"Global Classroom")</f>
        <v>Global Classroom</v>
      </c>
      <c r="V359" s="43" t="str">
        <f>IFERROR(__xludf.DUMMYFUNCTION("""COMPUTED_VALUE"""),"-")</f>
        <v>-</v>
      </c>
      <c r="W359" s="43" t="str">
        <f>IFERROR(__xludf.DUMMYFUNCTION("""COMPUTED_VALUE"""),"2022-12-10T19:15:33Z")</f>
        <v>2022-12-10T19:15:33Z</v>
      </c>
      <c r="X359" s="43"/>
      <c r="Y359" s="43"/>
      <c r="Z359" s="43"/>
    </row>
    <row r="360" hidden="1">
      <c r="A360" s="43" t="str">
        <f>IFERROR(__xludf.DUMMYFUNCTION("""COMPUTED_VALUE"""),"5163768_1279126")</f>
        <v>5163768_1279126</v>
      </c>
      <c r="B360" s="43" t="str">
        <f>IFERROR(__xludf.DUMMYFUNCTION("""COMPUTED_VALUE"""),"Karina Dutu")</f>
        <v>Karina Dutu</v>
      </c>
      <c r="C360" s="43" t="str">
        <f>IFERROR(__xludf.DUMMYFUNCTION("""COMPUTED_VALUE"""),"completed")</f>
        <v>completed</v>
      </c>
      <c r="D360" s="43" t="str">
        <f>IFERROR(__xludf.DUMMYFUNCTION("""COMPUTED_VALUE"""),"No")</f>
        <v>No</v>
      </c>
      <c r="E360" s="43" t="str">
        <f>IFERROR(__xludf.DUMMYFUNCTION("""COMPUTED_VALUE"""),"p_b2ac81e615bad8a1c803f3d589dcb8e1d553b1fa@inbound.aiesec.org")</f>
        <v>p_b2ac81e615bad8a1c803f3d589dcb8e1d553b1fa@inbound.aiesec.org</v>
      </c>
      <c r="F360" s="43">
        <f>IFERROR(__xludf.DUMMYFUNCTION("""COMPUTED_VALUE"""),7.73946941E8)</f>
        <v>773946941</v>
      </c>
      <c r="G360" s="43" t="str">
        <f>IFERROR(__xludf.DUMMYFUNCTION("""COMPUTED_VALUE"""),"Romania")</f>
        <v>Romania</v>
      </c>
      <c r="H360" s="43" t="str">
        <f>IFERROR(__xludf.DUMMYFUNCTION("""COMPUTED_VALUE"""),"BUCURESTI")</f>
        <v>BUCURESTI</v>
      </c>
      <c r="I360" s="43" t="str">
        <f>IFERROR(__xludf.DUMMYFUNCTION("""COMPUTED_VALUE"""),"Turkey")</f>
        <v>Turkey</v>
      </c>
      <c r="J360" s="43" t="str">
        <f>IFERROR(__xludf.DUMMYFUNCTION("""COMPUTED_VALUE"""),"KOCAELI")</f>
        <v>KOCAELI</v>
      </c>
      <c r="K360" s="44" t="str">
        <f>IFERROR(__xludf.DUMMYFUNCTION("""COMPUTED_VALUE"""),"https://expa.aiesec.org/opportunities/1279126")</f>
        <v>https://expa.aiesec.org/opportunities/1279126</v>
      </c>
      <c r="L360" s="43" t="str">
        <f>IFERROR(__xludf.DUMMYFUNCTION("""COMPUTED_VALUE"""),"GV")</f>
        <v>GV</v>
      </c>
      <c r="M360" s="43" t="str">
        <f>IFERROR(__xludf.DUMMYFUNCTION("""COMPUTED_VALUE"""),"short")</f>
        <v>short</v>
      </c>
      <c r="N360" s="45">
        <f>IFERROR(__xludf.DUMMYFUNCTION("""COMPUTED_VALUE"""),44907.0)</f>
        <v>44907</v>
      </c>
      <c r="O360" s="45">
        <f>IFERROR(__xludf.DUMMYFUNCTION("""COMPUTED_VALUE"""),45138.0)</f>
        <v>45138</v>
      </c>
      <c r="P360" s="45">
        <f>IFERROR(__xludf.DUMMYFUNCTION("""COMPUTED_VALUE"""),45180.0)</f>
        <v>45180</v>
      </c>
      <c r="Q360" s="45">
        <f>IFERROR(__xludf.DUMMYFUNCTION("""COMPUTED_VALUE"""),45138.0)</f>
        <v>45138</v>
      </c>
      <c r="R360" s="45">
        <f>IFERROR(__xludf.DUMMYFUNCTION("""COMPUTED_VALUE"""),45180.0)</f>
        <v>45180</v>
      </c>
      <c r="S360" s="43"/>
      <c r="T360" s="43"/>
      <c r="U360" s="43" t="str">
        <f>IFERROR(__xludf.DUMMYFUNCTION("""COMPUTED_VALUE"""),"Global Classroom")</f>
        <v>Global Classroom</v>
      </c>
      <c r="V360" s="43" t="str">
        <f>IFERROR(__xludf.DUMMYFUNCTION("""COMPUTED_VALUE"""),"Bucuresti - Universitatea din Bucuresti")</f>
        <v>Bucuresti - Universitatea din Bucuresti</v>
      </c>
      <c r="W360" s="43" t="str">
        <f>IFERROR(__xludf.DUMMYFUNCTION("""COMPUTED_VALUE"""),"2022-12-07T12:34:14Z")</f>
        <v>2022-12-07T12:34:14Z</v>
      </c>
      <c r="X360" s="43"/>
      <c r="Y360" s="43"/>
      <c r="Z360" s="43"/>
    </row>
    <row r="361" hidden="1">
      <c r="A361" s="43" t="str">
        <f>IFERROR(__xludf.DUMMYFUNCTION("""COMPUTED_VALUE"""),"2614184_1289536")</f>
        <v>2614184_1289536</v>
      </c>
      <c r="B361" s="43" t="str">
        <f>IFERROR(__xludf.DUMMYFUNCTION("""COMPUTED_VALUE"""),"Patricia Vignati")</f>
        <v>Patricia Vignati</v>
      </c>
      <c r="C361" s="43" t="str">
        <f>IFERROR(__xludf.DUMMYFUNCTION("""COMPUTED_VALUE"""),"completed")</f>
        <v>completed</v>
      </c>
      <c r="D361" s="43" t="str">
        <f>IFERROR(__xludf.DUMMYFUNCTION("""COMPUTED_VALUE"""),"No")</f>
        <v>No</v>
      </c>
      <c r="E361" s="43" t="str">
        <f>IFERROR(__xludf.DUMMYFUNCTION("""COMPUTED_VALUE"""),"p_6886126ac983e965e6e211000706979169280f72@inbound.aiesec.org")</f>
        <v>p_6886126ac983e965e6e211000706979169280f72@inbound.aiesec.org</v>
      </c>
      <c r="F361" s="43"/>
      <c r="G361" s="43" t="str">
        <f>IFERROR(__xludf.DUMMYFUNCTION("""COMPUTED_VALUE"""),"Mexico")</f>
        <v>Mexico</v>
      </c>
      <c r="H361" s="43" t="str">
        <f>IFERROR(__xludf.DUMMYFUNCTION("""COMPUTED_VALUE"""),"UNAM")</f>
        <v>UNAM</v>
      </c>
      <c r="I361" s="43" t="str">
        <f>IFERROR(__xludf.DUMMYFUNCTION("""COMPUTED_VALUE"""),"Turkey")</f>
        <v>Turkey</v>
      </c>
      <c r="J361" s="43" t="str">
        <f>IFERROR(__xludf.DUMMYFUNCTION("""COMPUTED_VALUE"""),"ISTANBUL")</f>
        <v>ISTANBUL</v>
      </c>
      <c r="K361" s="44" t="str">
        <f>IFERROR(__xludf.DUMMYFUNCTION("""COMPUTED_VALUE"""),"https://expa.aiesec.org/opportunities/1289536")</f>
        <v>https://expa.aiesec.org/opportunities/1289536</v>
      </c>
      <c r="L361" s="43" t="str">
        <f>IFERROR(__xludf.DUMMYFUNCTION("""COMPUTED_VALUE"""),"GV")</f>
        <v>GV</v>
      </c>
      <c r="M361" s="43" t="str">
        <f>IFERROR(__xludf.DUMMYFUNCTION("""COMPUTED_VALUE"""),"short")</f>
        <v>short</v>
      </c>
      <c r="N361" s="45">
        <f>IFERROR(__xludf.DUMMYFUNCTION("""COMPUTED_VALUE"""),44908.0)</f>
        <v>44908</v>
      </c>
      <c r="O361" s="45">
        <f>IFERROR(__xludf.DUMMYFUNCTION("""COMPUTED_VALUE"""),45005.0)</f>
        <v>45005</v>
      </c>
      <c r="P361" s="45">
        <f>IFERROR(__xludf.DUMMYFUNCTION("""COMPUTED_VALUE"""),45047.0)</f>
        <v>45047</v>
      </c>
      <c r="Q361" s="45">
        <f>IFERROR(__xludf.DUMMYFUNCTION("""COMPUTED_VALUE"""),45013.0)</f>
        <v>45013</v>
      </c>
      <c r="R361" s="45">
        <f>IFERROR(__xludf.DUMMYFUNCTION("""COMPUTED_VALUE"""),45055.0)</f>
        <v>45055</v>
      </c>
      <c r="S361" s="43"/>
      <c r="T361" s="43"/>
      <c r="U361" s="43" t="str">
        <f>IFERROR(__xludf.DUMMYFUNCTION("""COMPUTED_VALUE"""),"Global Classroom")</f>
        <v>Global Classroom</v>
      </c>
      <c r="V361" s="43" t="str">
        <f>IFERROR(__xludf.DUMMYFUNCTION("""COMPUTED_VALUE"""),"-")</f>
        <v>-</v>
      </c>
      <c r="W361" s="43" t="str">
        <f>IFERROR(__xludf.DUMMYFUNCTION("""COMPUTED_VALUE"""),"2018-10-08T01:42:04Z")</f>
        <v>2018-10-08T01:42:04Z</v>
      </c>
      <c r="X361" s="43"/>
      <c r="Y361" s="43"/>
      <c r="Z361" s="43"/>
    </row>
    <row r="362">
      <c r="A362" s="43" t="str">
        <f>IFERROR(__xludf.DUMMYFUNCTION("""COMPUTED_VALUE"""),"5146021_1289536")</f>
        <v>5146021_1289536</v>
      </c>
      <c r="B362" s="43" t="str">
        <f>IFERROR(__xludf.DUMMYFUNCTION("""COMPUTED_VALUE"""),"Hassan Ahmed")</f>
        <v>Hassan Ahmed</v>
      </c>
      <c r="C362" s="43" t="str">
        <f>IFERROR(__xludf.DUMMYFUNCTION("""COMPUTED_VALUE"""),"approved")</f>
        <v>approved</v>
      </c>
      <c r="D362" s="43" t="str">
        <f>IFERROR(__xludf.DUMMYFUNCTION("""COMPUTED_VALUE"""),"No")</f>
        <v>No</v>
      </c>
      <c r="E362" s="43" t="str">
        <f>IFERROR(__xludf.DUMMYFUNCTION("""COMPUTED_VALUE"""),"p_531859d62ec334374c9c835e06eb35d44149881a@inbound.aiesec.org")</f>
        <v>p_531859d62ec334374c9c835e06eb35d44149881a@inbound.aiesec.org</v>
      </c>
      <c r="F362" s="43">
        <f>IFERROR(__xludf.DUMMYFUNCTION("""COMPUTED_VALUE"""),6.304889813E9)</f>
        <v>6304889813</v>
      </c>
      <c r="G362" s="43" t="str">
        <f>IFERROR(__xludf.DUMMYFUNCTION("""COMPUTED_VALUE"""),"India")</f>
        <v>India</v>
      </c>
      <c r="H362" s="43" t="str">
        <f>IFERROR(__xludf.DUMMYFUNCTION("""COMPUTED_VALUE"""),"Hyderabad")</f>
        <v>Hyderabad</v>
      </c>
      <c r="I362" s="43" t="str">
        <f>IFERROR(__xludf.DUMMYFUNCTION("""COMPUTED_VALUE"""),"Turkey")</f>
        <v>Turkey</v>
      </c>
      <c r="J362" s="43" t="str">
        <f>IFERROR(__xludf.DUMMYFUNCTION("""COMPUTED_VALUE"""),"ISTANBUL")</f>
        <v>ISTANBUL</v>
      </c>
      <c r="K362" s="44" t="str">
        <f>IFERROR(__xludf.DUMMYFUNCTION("""COMPUTED_VALUE"""),"https://expa.aiesec.org/opportunities/1289536")</f>
        <v>https://expa.aiesec.org/opportunities/1289536</v>
      </c>
      <c r="L362" s="43" t="str">
        <f>IFERROR(__xludf.DUMMYFUNCTION("""COMPUTED_VALUE"""),"GV")</f>
        <v>GV</v>
      </c>
      <c r="M362" s="43" t="str">
        <f>IFERROR(__xludf.DUMMYFUNCTION("""COMPUTED_VALUE"""),"short")</f>
        <v>short</v>
      </c>
      <c r="N362" s="45">
        <f>IFERROR(__xludf.DUMMYFUNCTION("""COMPUTED_VALUE"""),44909.0)</f>
        <v>44909</v>
      </c>
      <c r="O362" s="45">
        <f>IFERROR(__xludf.DUMMYFUNCTION("""COMPUTED_VALUE"""),45005.0)</f>
        <v>45005</v>
      </c>
      <c r="P362" s="45">
        <f>IFERROR(__xludf.DUMMYFUNCTION("""COMPUTED_VALUE"""),45047.0)</f>
        <v>45047</v>
      </c>
      <c r="Q362" s="45"/>
      <c r="R362" s="45"/>
      <c r="S362" s="43"/>
      <c r="T362" s="43"/>
      <c r="U362" s="43" t="str">
        <f>IFERROR(__xludf.DUMMYFUNCTION("""COMPUTED_VALUE"""),"Global Classroom")</f>
        <v>Global Classroom</v>
      </c>
      <c r="V362" s="43" t="str">
        <f>IFERROR(__xludf.DUMMYFUNCTION("""COMPUTED_VALUE"""),"Hyderabad")</f>
        <v>Hyderabad</v>
      </c>
      <c r="W362" s="43" t="str">
        <f>IFERROR(__xludf.DUMMYFUNCTION("""COMPUTED_VALUE"""),"2022-11-03T16:07:20Z")</f>
        <v>2022-11-03T16:07:20Z</v>
      </c>
      <c r="X362" s="43"/>
      <c r="Y362" s="43"/>
      <c r="Z362" s="43"/>
    </row>
    <row r="363">
      <c r="A363" s="43" t="str">
        <f>IFERROR(__xludf.DUMMYFUNCTION("""COMPUTED_VALUE"""),"5165099_1272564")</f>
        <v>5165099_1272564</v>
      </c>
      <c r="B363" s="43" t="str">
        <f>IFERROR(__xludf.DUMMYFUNCTION("""COMPUTED_VALUE"""),"Rakshita Rastogi")</f>
        <v>Rakshita Rastogi</v>
      </c>
      <c r="C363" s="43" t="str">
        <f>IFERROR(__xludf.DUMMYFUNCTION("""COMPUTED_VALUE"""),"approved")</f>
        <v>approved</v>
      </c>
      <c r="D363" s="43" t="str">
        <f>IFERROR(__xludf.DUMMYFUNCTION("""COMPUTED_VALUE"""),"No")</f>
        <v>No</v>
      </c>
      <c r="E363" s="43" t="str">
        <f>IFERROR(__xludf.DUMMYFUNCTION("""COMPUTED_VALUE"""),"p_a3957c2e0f55338c9226da60dc9b172070d05934@inbound.aiesec.org")</f>
        <v>p_a3957c2e0f55338c9226da60dc9b172070d05934@inbound.aiesec.org</v>
      </c>
      <c r="F363" s="43">
        <f>IFERROR(__xludf.DUMMYFUNCTION("""COMPUTED_VALUE"""),9.654295958E9)</f>
        <v>9654295958</v>
      </c>
      <c r="G363" s="43" t="str">
        <f>IFERROR(__xludf.DUMMYFUNCTION("""COMPUTED_VALUE"""),"India")</f>
        <v>India</v>
      </c>
      <c r="H363" s="43" t="str">
        <f>IFERROR(__xludf.DUMMYFUNCTION("""COMPUTED_VALUE"""),"Delhi University")</f>
        <v>Delhi University</v>
      </c>
      <c r="I363" s="43" t="str">
        <f>IFERROR(__xludf.DUMMYFUNCTION("""COMPUTED_VALUE"""),"Turkey")</f>
        <v>Turkey</v>
      </c>
      <c r="J363" s="43" t="str">
        <f>IFERROR(__xludf.DUMMYFUNCTION("""COMPUTED_VALUE"""),"ISTANBUL")</f>
        <v>ISTANBUL</v>
      </c>
      <c r="K363" s="44" t="str">
        <f>IFERROR(__xludf.DUMMYFUNCTION("""COMPUTED_VALUE"""),"https://expa.aiesec.org/opportunities/1272564")</f>
        <v>https://expa.aiesec.org/opportunities/1272564</v>
      </c>
      <c r="L363" s="43" t="str">
        <f>IFERROR(__xludf.DUMMYFUNCTION("""COMPUTED_VALUE"""),"GV")</f>
        <v>GV</v>
      </c>
      <c r="M363" s="43" t="str">
        <f>IFERROR(__xludf.DUMMYFUNCTION("""COMPUTED_VALUE"""),"short")</f>
        <v>short</v>
      </c>
      <c r="N363" s="45">
        <f>IFERROR(__xludf.DUMMYFUNCTION("""COMPUTED_VALUE"""),44909.0)</f>
        <v>44909</v>
      </c>
      <c r="O363" s="45">
        <f>IFERROR(__xludf.DUMMYFUNCTION("""COMPUTED_VALUE"""),45082.0)</f>
        <v>45082</v>
      </c>
      <c r="P363" s="45">
        <f>IFERROR(__xludf.DUMMYFUNCTION("""COMPUTED_VALUE"""),45124.0)</f>
        <v>45124</v>
      </c>
      <c r="Q363" s="45"/>
      <c r="R363" s="45"/>
      <c r="S363" s="43"/>
      <c r="T363" s="43"/>
      <c r="U363" s="43" t="str">
        <f>IFERROR(__xludf.DUMMYFUNCTION("""COMPUTED_VALUE"""),"Global Classroom")</f>
        <v>Global Classroom</v>
      </c>
      <c r="V363" s="43" t="str">
        <f>IFERROR(__xludf.DUMMYFUNCTION("""COMPUTED_VALUE"""),"Satyawati College, Delhi")</f>
        <v>Satyawati College, Delhi</v>
      </c>
      <c r="W363" s="43" t="str">
        <f>IFERROR(__xludf.DUMMYFUNCTION("""COMPUTED_VALUE"""),"2022-12-11T17:17:12Z")</f>
        <v>2022-12-11T17:17:12Z</v>
      </c>
      <c r="X363" s="43"/>
      <c r="Y363" s="43"/>
      <c r="Z363" s="43"/>
    </row>
    <row r="364" hidden="1">
      <c r="A364" s="43" t="str">
        <f>IFERROR(__xludf.DUMMYFUNCTION("""COMPUTED_VALUE"""),"5128956_1288721")</f>
        <v>5128956_1288721</v>
      </c>
      <c r="B364" s="43" t="str">
        <f>IFERROR(__xludf.DUMMYFUNCTION("""COMPUTED_VALUE"""),"Mohamed Ashraf")</f>
        <v>Mohamed Ashraf</v>
      </c>
      <c r="C364" s="43" t="str">
        <f>IFERROR(__xludf.DUMMYFUNCTION("""COMPUTED_VALUE"""),"completed")</f>
        <v>completed</v>
      </c>
      <c r="D364" s="43" t="str">
        <f>IFERROR(__xludf.DUMMYFUNCTION("""COMPUTED_VALUE"""),"No")</f>
        <v>No</v>
      </c>
      <c r="E364" s="43" t="str">
        <f>IFERROR(__xludf.DUMMYFUNCTION("""COMPUTED_VALUE"""),"p_668c87d81208451ecdc937f5e5f7740facf53cb8@inbound.aiesec.org")</f>
        <v>p_668c87d81208451ecdc937f5e5f7740facf53cb8@inbound.aiesec.org</v>
      </c>
      <c r="F364" s="43">
        <f>IFERROR(__xludf.DUMMYFUNCTION("""COMPUTED_VALUE"""),1.002681531E9)</f>
        <v>1002681531</v>
      </c>
      <c r="G364" s="43" t="str">
        <f>IFERROR(__xludf.DUMMYFUNCTION("""COMPUTED_VALUE"""),"Egypt")</f>
        <v>Egypt</v>
      </c>
      <c r="H364" s="43" t="str">
        <f>IFERROR(__xludf.DUMMYFUNCTION("""COMPUTED_VALUE"""),"Ain Shams University")</f>
        <v>Ain Shams University</v>
      </c>
      <c r="I364" s="43" t="str">
        <f>IFERROR(__xludf.DUMMYFUNCTION("""COMPUTED_VALUE"""),"Turkey")</f>
        <v>Turkey</v>
      </c>
      <c r="J364" s="43" t="str">
        <f>IFERROR(__xludf.DUMMYFUNCTION("""COMPUTED_VALUE"""),"KUTAHYA")</f>
        <v>KUTAHYA</v>
      </c>
      <c r="K364" s="44" t="str">
        <f>IFERROR(__xludf.DUMMYFUNCTION("""COMPUTED_VALUE"""),"https://expa.aiesec.org/opportunities/1288721")</f>
        <v>https://expa.aiesec.org/opportunities/1288721</v>
      </c>
      <c r="L364" s="43" t="str">
        <f>IFERROR(__xludf.DUMMYFUNCTION("""COMPUTED_VALUE"""),"GV")</f>
        <v>GV</v>
      </c>
      <c r="M364" s="43" t="str">
        <f>IFERROR(__xludf.DUMMYFUNCTION("""COMPUTED_VALUE"""),"short")</f>
        <v>short</v>
      </c>
      <c r="N364" s="45">
        <f>IFERROR(__xludf.DUMMYFUNCTION("""COMPUTED_VALUE"""),44909.0)</f>
        <v>44909</v>
      </c>
      <c r="O364" s="45">
        <f>IFERROR(__xludf.DUMMYFUNCTION("""COMPUTED_VALUE"""),45096.0)</f>
        <v>45096</v>
      </c>
      <c r="P364" s="45">
        <f>IFERROR(__xludf.DUMMYFUNCTION("""COMPUTED_VALUE"""),45138.0)</f>
        <v>45138</v>
      </c>
      <c r="Q364" s="45">
        <f>IFERROR(__xludf.DUMMYFUNCTION("""COMPUTED_VALUE"""),45097.0)</f>
        <v>45097</v>
      </c>
      <c r="R364" s="45">
        <f>IFERROR(__xludf.DUMMYFUNCTION("""COMPUTED_VALUE"""),45138.0)</f>
        <v>45138</v>
      </c>
      <c r="S364" s="43"/>
      <c r="T364" s="43"/>
      <c r="U364" s="43" t="str">
        <f>IFERROR(__xludf.DUMMYFUNCTION("""COMPUTED_VALUE"""),"On The Map")</f>
        <v>On The Map</v>
      </c>
      <c r="V364" s="43" t="str">
        <f>IFERROR(__xludf.DUMMYFUNCTION("""COMPUTED_VALUE"""),"Ain Shams University")</f>
        <v>Ain Shams University</v>
      </c>
      <c r="W364" s="43" t="str">
        <f>IFERROR(__xludf.DUMMYFUNCTION("""COMPUTED_VALUE"""),"2022-10-10T11:35:17Z")</f>
        <v>2022-10-10T11:35:17Z</v>
      </c>
      <c r="X364" s="43"/>
      <c r="Y364" s="43"/>
      <c r="Z364" s="43"/>
    </row>
    <row r="365">
      <c r="A365" s="43" t="str">
        <f>IFERROR(__xludf.DUMMYFUNCTION("""COMPUTED_VALUE"""),"5166401_1272564")</f>
        <v>5166401_1272564</v>
      </c>
      <c r="B365" s="43" t="str">
        <f>IFERROR(__xludf.DUMMYFUNCTION("""COMPUTED_VALUE"""),"Tanya Thakur")</f>
        <v>Tanya Thakur</v>
      </c>
      <c r="C365" s="43" t="str">
        <f>IFERROR(__xludf.DUMMYFUNCTION("""COMPUTED_VALUE"""),"approved")</f>
        <v>approved</v>
      </c>
      <c r="D365" s="43" t="str">
        <f>IFERROR(__xludf.DUMMYFUNCTION("""COMPUTED_VALUE"""),"No")</f>
        <v>No</v>
      </c>
      <c r="E365" s="43" t="str">
        <f>IFERROR(__xludf.DUMMYFUNCTION("""COMPUTED_VALUE"""),"p_6c317708930ea03b9d64692ae2b207bce240dac4@inbound.aiesec.org")</f>
        <v>p_6c317708930ea03b9d64692ae2b207bce240dac4@inbound.aiesec.org</v>
      </c>
      <c r="F365" s="43"/>
      <c r="G365" s="43" t="str">
        <f>IFERROR(__xludf.DUMMYFUNCTION("""COMPUTED_VALUE"""),"India")</f>
        <v>India</v>
      </c>
      <c r="H365" s="43" t="str">
        <f>IFERROR(__xludf.DUMMYFUNCTION("""COMPUTED_VALUE"""),"Delhi University")</f>
        <v>Delhi University</v>
      </c>
      <c r="I365" s="43" t="str">
        <f>IFERROR(__xludf.DUMMYFUNCTION("""COMPUTED_VALUE"""),"Turkey")</f>
        <v>Turkey</v>
      </c>
      <c r="J365" s="43" t="str">
        <f>IFERROR(__xludf.DUMMYFUNCTION("""COMPUTED_VALUE"""),"ISTANBUL")</f>
        <v>ISTANBUL</v>
      </c>
      <c r="K365" s="44" t="str">
        <f>IFERROR(__xludf.DUMMYFUNCTION("""COMPUTED_VALUE"""),"https://expa.aiesec.org/opportunities/1272564")</f>
        <v>https://expa.aiesec.org/opportunities/1272564</v>
      </c>
      <c r="L365" s="43" t="str">
        <f>IFERROR(__xludf.DUMMYFUNCTION("""COMPUTED_VALUE"""),"GV")</f>
        <v>GV</v>
      </c>
      <c r="M365" s="43" t="str">
        <f>IFERROR(__xludf.DUMMYFUNCTION("""COMPUTED_VALUE"""),"short")</f>
        <v>short</v>
      </c>
      <c r="N365" s="45">
        <f>IFERROR(__xludf.DUMMYFUNCTION("""COMPUTED_VALUE"""),44910.0)</f>
        <v>44910</v>
      </c>
      <c r="O365" s="45">
        <f>IFERROR(__xludf.DUMMYFUNCTION("""COMPUTED_VALUE"""),45071.0)</f>
        <v>45071</v>
      </c>
      <c r="P365" s="45">
        <f>IFERROR(__xludf.DUMMYFUNCTION("""COMPUTED_VALUE"""),45113.0)</f>
        <v>45113</v>
      </c>
      <c r="Q365" s="45"/>
      <c r="R365" s="45"/>
      <c r="S365" s="43"/>
      <c r="T365" s="43"/>
      <c r="U365" s="43" t="str">
        <f>IFERROR(__xludf.DUMMYFUNCTION("""COMPUTED_VALUE"""),"Global Classroom")</f>
        <v>Global Classroom</v>
      </c>
      <c r="V365" s="43" t="str">
        <f>IFERROR(__xludf.DUMMYFUNCTION("""COMPUTED_VALUE"""),"-")</f>
        <v>-</v>
      </c>
      <c r="W365" s="43" t="str">
        <f>IFERROR(__xludf.DUMMYFUNCTION("""COMPUTED_VALUE"""),"2022-12-15T06:56:37Z")</f>
        <v>2022-12-15T06:56:37Z</v>
      </c>
      <c r="X365" s="43"/>
      <c r="Y365" s="43"/>
      <c r="Z365" s="43"/>
    </row>
    <row r="366" hidden="1">
      <c r="A366" s="43" t="str">
        <f>IFERROR(__xludf.DUMMYFUNCTION("""COMPUTED_VALUE"""),"5110925_1289536")</f>
        <v>5110925_1289536</v>
      </c>
      <c r="B366" s="43" t="str">
        <f>IFERROR(__xludf.DUMMYFUNCTION("""COMPUTED_VALUE"""),"Mupparapu Vamshi Krishna")</f>
        <v>Mupparapu Vamshi Krishna</v>
      </c>
      <c r="C366" s="43" t="str">
        <f>IFERROR(__xludf.DUMMYFUNCTION("""COMPUTED_VALUE"""),"approved")</f>
        <v>approved</v>
      </c>
      <c r="D366" s="43" t="str">
        <f>IFERROR(__xludf.DUMMYFUNCTION("""COMPUTED_VALUE"""),"No")</f>
        <v>No</v>
      </c>
      <c r="E366" s="43" t="str">
        <f>IFERROR(__xludf.DUMMYFUNCTION("""COMPUTED_VALUE"""),"p_223fb65cab0635c5e96a62a4483e6bbcc8fc0d5d@inbound.aiesec.org")</f>
        <v>p_223fb65cab0635c5e96a62a4483e6bbcc8fc0d5d@inbound.aiesec.org</v>
      </c>
      <c r="F366" s="43">
        <f>IFERROR(__xludf.DUMMYFUNCTION("""COMPUTED_VALUE"""),9.15477611E9)</f>
        <v>9154776110</v>
      </c>
      <c r="G366" s="43" t="str">
        <f>IFERROR(__xludf.DUMMYFUNCTION("""COMPUTED_VALUE"""),"India")</f>
        <v>India</v>
      </c>
      <c r="H366" s="43" t="str">
        <f>IFERROR(__xludf.DUMMYFUNCTION("""COMPUTED_VALUE"""),"Hyderabad")</f>
        <v>Hyderabad</v>
      </c>
      <c r="I366" s="43" t="str">
        <f>IFERROR(__xludf.DUMMYFUNCTION("""COMPUTED_VALUE"""),"Turkey")</f>
        <v>Turkey</v>
      </c>
      <c r="J366" s="43" t="str">
        <f>IFERROR(__xludf.DUMMYFUNCTION("""COMPUTED_VALUE"""),"ISTANBUL")</f>
        <v>ISTANBUL</v>
      </c>
      <c r="K366" s="44" t="str">
        <f>IFERROR(__xludf.DUMMYFUNCTION("""COMPUTED_VALUE"""),"https://expa.aiesec.org/opportunities/1289536")</f>
        <v>https://expa.aiesec.org/opportunities/1289536</v>
      </c>
      <c r="L366" s="43" t="str">
        <f>IFERROR(__xludf.DUMMYFUNCTION("""COMPUTED_VALUE"""),"GV")</f>
        <v>GV</v>
      </c>
      <c r="M366" s="43" t="str">
        <f>IFERROR(__xludf.DUMMYFUNCTION("""COMPUTED_VALUE"""),"short")</f>
        <v>short</v>
      </c>
      <c r="N366" s="45">
        <f>IFERROR(__xludf.DUMMYFUNCTION("""COMPUTED_VALUE"""),44910.0)</f>
        <v>44910</v>
      </c>
      <c r="O366" s="45">
        <f>IFERROR(__xludf.DUMMYFUNCTION("""COMPUTED_VALUE"""),45132.0)</f>
        <v>45132</v>
      </c>
      <c r="P366" s="45">
        <f>IFERROR(__xludf.DUMMYFUNCTION("""COMPUTED_VALUE"""),45174.0)</f>
        <v>45174</v>
      </c>
      <c r="Q366" s="45"/>
      <c r="R366" s="45"/>
      <c r="S366" s="43"/>
      <c r="T366" s="43"/>
      <c r="U366" s="43" t="str">
        <f>IFERROR(__xludf.DUMMYFUNCTION("""COMPUTED_VALUE"""),"Global Classroom")</f>
        <v>Global Classroom</v>
      </c>
      <c r="V366" s="43" t="str">
        <f>IFERROR(__xludf.DUMMYFUNCTION("""COMPUTED_VALUE"""),"Hyderabad")</f>
        <v>Hyderabad</v>
      </c>
      <c r="W366" s="43" t="str">
        <f>IFERROR(__xludf.DUMMYFUNCTION("""COMPUTED_VALUE"""),"2022-09-12T17:52:00Z")</f>
        <v>2022-09-12T17:52:00Z</v>
      </c>
      <c r="X366" s="43"/>
      <c r="Y366" s="43"/>
      <c r="Z366" s="43"/>
    </row>
    <row r="367">
      <c r="A367" s="43" t="str">
        <f>IFERROR(__xludf.DUMMYFUNCTION("""COMPUTED_VALUE"""),"5157603_1289505")</f>
        <v>5157603_1289505</v>
      </c>
      <c r="B367" s="43" t="str">
        <f>IFERROR(__xludf.DUMMYFUNCTION("""COMPUTED_VALUE"""),"Islem Jlassi")</f>
        <v>Islem Jlassi</v>
      </c>
      <c r="C367" s="43" t="str">
        <f>IFERROR(__xludf.DUMMYFUNCTION("""COMPUTED_VALUE"""),"approved")</f>
        <v>approved</v>
      </c>
      <c r="D367" s="43" t="str">
        <f>IFERROR(__xludf.DUMMYFUNCTION("""COMPUTED_VALUE"""),"No")</f>
        <v>No</v>
      </c>
      <c r="E367" s="43" t="str">
        <f>IFERROR(__xludf.DUMMYFUNCTION("""COMPUTED_VALUE"""),"p_c2312fd6221cc4e973bd21c2508fbff181d8b2ce@inbound.aiesec.org")</f>
        <v>p_c2312fd6221cc4e973bd21c2508fbff181d8b2ce@inbound.aiesec.org</v>
      </c>
      <c r="F367" s="43"/>
      <c r="G367" s="43" t="str">
        <f>IFERROR(__xludf.DUMMYFUNCTION("""COMPUTED_VALUE"""),"Tunisia")</f>
        <v>Tunisia</v>
      </c>
      <c r="H367" s="43" t="str">
        <f>IFERROR(__xludf.DUMMYFUNCTION("""COMPUTED_VALUE"""),"NABEL")</f>
        <v>NABEL</v>
      </c>
      <c r="I367" s="43" t="str">
        <f>IFERROR(__xludf.DUMMYFUNCTION("""COMPUTED_VALUE"""),"Turkey")</f>
        <v>Turkey</v>
      </c>
      <c r="J367" s="43" t="str">
        <f>IFERROR(__xludf.DUMMYFUNCTION("""COMPUTED_VALUE"""),"KOCAELI")</f>
        <v>KOCAELI</v>
      </c>
      <c r="K367" s="44" t="str">
        <f>IFERROR(__xludf.DUMMYFUNCTION("""COMPUTED_VALUE"""),"https://expa.aiesec.org/opportunities/1289505")</f>
        <v>https://expa.aiesec.org/opportunities/1289505</v>
      </c>
      <c r="L367" s="43" t="str">
        <f>IFERROR(__xludf.DUMMYFUNCTION("""COMPUTED_VALUE"""),"GV")</f>
        <v>GV</v>
      </c>
      <c r="M367" s="43" t="str">
        <f>IFERROR(__xludf.DUMMYFUNCTION("""COMPUTED_VALUE"""),"short")</f>
        <v>short</v>
      </c>
      <c r="N367" s="45">
        <f>IFERROR(__xludf.DUMMYFUNCTION("""COMPUTED_VALUE"""),44911.0)</f>
        <v>44911</v>
      </c>
      <c r="O367" s="45">
        <f>IFERROR(__xludf.DUMMYFUNCTION("""COMPUTED_VALUE"""),45103.0)</f>
        <v>45103</v>
      </c>
      <c r="P367" s="45">
        <f>IFERROR(__xludf.DUMMYFUNCTION("""COMPUTED_VALUE"""),45145.0)</f>
        <v>45145</v>
      </c>
      <c r="Q367" s="45"/>
      <c r="R367" s="45"/>
      <c r="S367" s="43"/>
      <c r="T367" s="43"/>
      <c r="U367" s="43" t="str">
        <f>IFERROR(__xludf.DUMMYFUNCTION("""COMPUTED_VALUE"""),"Youth 4 Impact")</f>
        <v>Youth 4 Impact</v>
      </c>
      <c r="V367" s="43" t="str">
        <f>IFERROR(__xludf.DUMMYFUNCTION("""COMPUTED_VALUE"""),"-")</f>
        <v>-</v>
      </c>
      <c r="W367" s="43" t="str">
        <f>IFERROR(__xludf.DUMMYFUNCTION("""COMPUTED_VALUE"""),"2022-11-23T09:09:13Z")</f>
        <v>2022-11-23T09:09:13Z</v>
      </c>
      <c r="X367" s="43"/>
      <c r="Y367" s="43"/>
      <c r="Z367" s="43"/>
    </row>
    <row r="368" hidden="1">
      <c r="A368" s="43" t="str">
        <f>IFERROR(__xludf.DUMMYFUNCTION("""COMPUTED_VALUE"""),"5136700_1279126")</f>
        <v>5136700_1279126</v>
      </c>
      <c r="B368" s="43" t="str">
        <f>IFERROR(__xludf.DUMMYFUNCTION("""COMPUTED_VALUE"""),"Andrei-Valentin Popina")</f>
        <v>Andrei-Valentin Popina</v>
      </c>
      <c r="C368" s="43" t="str">
        <f>IFERROR(__xludf.DUMMYFUNCTION("""COMPUTED_VALUE"""),"finished")</f>
        <v>finished</v>
      </c>
      <c r="D368" s="43" t="str">
        <f>IFERROR(__xludf.DUMMYFUNCTION("""COMPUTED_VALUE"""),"No")</f>
        <v>No</v>
      </c>
      <c r="E368" s="43" t="str">
        <f>IFERROR(__xludf.DUMMYFUNCTION("""COMPUTED_VALUE"""),"p_fcc04c32c8d8860f6890062e42942c0be5814fbb@inbound.aiesec.org")</f>
        <v>p_fcc04c32c8d8860f6890062e42942c0be5814fbb@inbound.aiesec.org</v>
      </c>
      <c r="F368" s="43"/>
      <c r="G368" s="43" t="str">
        <f>IFERROR(__xludf.DUMMYFUNCTION("""COMPUTED_VALUE"""),"Romania")</f>
        <v>Romania</v>
      </c>
      <c r="H368" s="43" t="str">
        <f>IFERROR(__xludf.DUMMYFUNCTION("""COMPUTED_VALUE"""),"BUCURESTI")</f>
        <v>BUCURESTI</v>
      </c>
      <c r="I368" s="43" t="str">
        <f>IFERROR(__xludf.DUMMYFUNCTION("""COMPUTED_VALUE"""),"Turkey")</f>
        <v>Turkey</v>
      </c>
      <c r="J368" s="43" t="str">
        <f>IFERROR(__xludf.DUMMYFUNCTION("""COMPUTED_VALUE"""),"KOCAELI")</f>
        <v>KOCAELI</v>
      </c>
      <c r="K368" s="44" t="str">
        <f>IFERROR(__xludf.DUMMYFUNCTION("""COMPUTED_VALUE"""),"https://expa.aiesec.org/opportunities/1279126")</f>
        <v>https://expa.aiesec.org/opportunities/1279126</v>
      </c>
      <c r="L368" s="43" t="str">
        <f>IFERROR(__xludf.DUMMYFUNCTION("""COMPUTED_VALUE"""),"GV")</f>
        <v>GV</v>
      </c>
      <c r="M368" s="43" t="str">
        <f>IFERROR(__xludf.DUMMYFUNCTION("""COMPUTED_VALUE"""),"short")</f>
        <v>short</v>
      </c>
      <c r="N368" s="45">
        <f>IFERROR(__xludf.DUMMYFUNCTION("""COMPUTED_VALUE"""),44911.0)</f>
        <v>44911</v>
      </c>
      <c r="O368" s="45">
        <f>IFERROR(__xludf.DUMMYFUNCTION("""COMPUTED_VALUE"""),45138.0)</f>
        <v>45138</v>
      </c>
      <c r="P368" s="45">
        <f>IFERROR(__xludf.DUMMYFUNCTION("""COMPUTED_VALUE"""),45180.0)</f>
        <v>45180</v>
      </c>
      <c r="Q368" s="45">
        <f>IFERROR(__xludf.DUMMYFUNCTION("""COMPUTED_VALUE"""),45138.0)</f>
        <v>45138</v>
      </c>
      <c r="R368" s="45">
        <f>IFERROR(__xludf.DUMMYFUNCTION("""COMPUTED_VALUE"""),45180.0)</f>
        <v>45180</v>
      </c>
      <c r="S368" s="43"/>
      <c r="T368" s="43"/>
      <c r="U368" s="43" t="str">
        <f>IFERROR(__xludf.DUMMYFUNCTION("""COMPUTED_VALUE"""),"Global Classroom")</f>
        <v>Global Classroom</v>
      </c>
      <c r="V368" s="43" t="str">
        <f>IFERROR(__xludf.DUMMYFUNCTION("""COMPUTED_VALUE"""),"-")</f>
        <v>-</v>
      </c>
      <c r="W368" s="43" t="str">
        <f>IFERROR(__xludf.DUMMYFUNCTION("""COMPUTED_VALUE"""),"2022-10-19T12:24:01Z")</f>
        <v>2022-10-19T12:24:01Z</v>
      </c>
      <c r="X368" s="43"/>
      <c r="Y368" s="43"/>
      <c r="Z368" s="43"/>
    </row>
    <row r="369" hidden="1">
      <c r="A369" s="43" t="str">
        <f>IFERROR(__xludf.DUMMYFUNCTION("""COMPUTED_VALUE"""),"5165796_1288721")</f>
        <v>5165796_1288721</v>
      </c>
      <c r="B369" s="43" t="str">
        <f>IFERROR(__xludf.DUMMYFUNCTION("""COMPUTED_VALUE"""),"Fares Amr")</f>
        <v>Fares Amr</v>
      </c>
      <c r="C369" s="43" t="str">
        <f>IFERROR(__xludf.DUMMYFUNCTION("""COMPUTED_VALUE"""),"completed")</f>
        <v>completed</v>
      </c>
      <c r="D369" s="43" t="str">
        <f>IFERROR(__xludf.DUMMYFUNCTION("""COMPUTED_VALUE"""),"No")</f>
        <v>No</v>
      </c>
      <c r="E369" s="43" t="str">
        <f>IFERROR(__xludf.DUMMYFUNCTION("""COMPUTED_VALUE"""),"p_d73366b6c8901b1279bc5c779cd7e75c63bc228b@inbound.aiesec.org")</f>
        <v>p_d73366b6c8901b1279bc5c779cd7e75c63bc228b@inbound.aiesec.org</v>
      </c>
      <c r="F369" s="43"/>
      <c r="G369" s="43" t="str">
        <f>IFERROR(__xludf.DUMMYFUNCTION("""COMPUTED_VALUE"""),"Egypt")</f>
        <v>Egypt</v>
      </c>
      <c r="H369" s="43" t="str">
        <f>IFERROR(__xludf.DUMMYFUNCTION("""COMPUTED_VALUE"""),"Ain Shams University")</f>
        <v>Ain Shams University</v>
      </c>
      <c r="I369" s="43" t="str">
        <f>IFERROR(__xludf.DUMMYFUNCTION("""COMPUTED_VALUE"""),"Turkey")</f>
        <v>Turkey</v>
      </c>
      <c r="J369" s="43" t="str">
        <f>IFERROR(__xludf.DUMMYFUNCTION("""COMPUTED_VALUE"""),"KUTAHYA")</f>
        <v>KUTAHYA</v>
      </c>
      <c r="K369" s="44" t="str">
        <f>IFERROR(__xludf.DUMMYFUNCTION("""COMPUTED_VALUE"""),"https://expa.aiesec.org/opportunities/1288721")</f>
        <v>https://expa.aiesec.org/opportunities/1288721</v>
      </c>
      <c r="L369" s="43" t="str">
        <f>IFERROR(__xludf.DUMMYFUNCTION("""COMPUTED_VALUE"""),"GV")</f>
        <v>GV</v>
      </c>
      <c r="M369" s="43" t="str">
        <f>IFERROR(__xludf.DUMMYFUNCTION("""COMPUTED_VALUE"""),"short")</f>
        <v>short</v>
      </c>
      <c r="N369" s="45">
        <f>IFERROR(__xludf.DUMMYFUNCTION("""COMPUTED_VALUE"""),44912.0)</f>
        <v>44912</v>
      </c>
      <c r="O369" s="45">
        <f>IFERROR(__xludf.DUMMYFUNCTION("""COMPUTED_VALUE"""),45096.0)</f>
        <v>45096</v>
      </c>
      <c r="P369" s="45">
        <f>IFERROR(__xludf.DUMMYFUNCTION("""COMPUTED_VALUE"""),45138.0)</f>
        <v>45138</v>
      </c>
      <c r="Q369" s="45">
        <f>IFERROR(__xludf.DUMMYFUNCTION("""COMPUTED_VALUE"""),45097.0)</f>
        <v>45097</v>
      </c>
      <c r="R369" s="45">
        <f>IFERROR(__xludf.DUMMYFUNCTION("""COMPUTED_VALUE"""),45138.0)</f>
        <v>45138</v>
      </c>
      <c r="S369" s="43"/>
      <c r="T369" s="43"/>
      <c r="U369" s="43" t="str">
        <f>IFERROR(__xludf.DUMMYFUNCTION("""COMPUTED_VALUE"""),"On The Map")</f>
        <v>On The Map</v>
      </c>
      <c r="V369" s="43" t="str">
        <f>IFERROR(__xludf.DUMMYFUNCTION("""COMPUTED_VALUE"""),"-")</f>
        <v>-</v>
      </c>
      <c r="W369" s="43" t="str">
        <f>IFERROR(__xludf.DUMMYFUNCTION("""COMPUTED_VALUE"""),"2022-12-13T16:59:48Z")</f>
        <v>2022-12-13T16:59:48Z</v>
      </c>
      <c r="X369" s="43"/>
      <c r="Y369" s="43"/>
      <c r="Z369" s="43"/>
    </row>
    <row r="370" hidden="1">
      <c r="A370" s="43" t="str">
        <f>IFERROR(__xludf.DUMMYFUNCTION("""COMPUTED_VALUE"""),"4839892_1284831")</f>
        <v>4839892_1284831</v>
      </c>
      <c r="B370" s="43" t="str">
        <f>IFERROR(__xludf.DUMMYFUNCTION("""COMPUTED_VALUE"""),"imene Attaoui")</f>
        <v>imene Attaoui</v>
      </c>
      <c r="C370" s="43" t="str">
        <f>IFERROR(__xludf.DUMMYFUNCTION("""COMPUTED_VALUE"""),"completed")</f>
        <v>completed</v>
      </c>
      <c r="D370" s="43" t="str">
        <f>IFERROR(__xludf.DUMMYFUNCTION("""COMPUTED_VALUE"""),"No")</f>
        <v>No</v>
      </c>
      <c r="E370" s="43" t="str">
        <f>IFERROR(__xludf.DUMMYFUNCTION("""COMPUTED_VALUE"""),"p_1b67728258b38e27577608f8a2bec41eb2807d5a@inbound.aiesec.org")</f>
        <v>p_1b67728258b38e27577608f8a2bec41eb2807d5a@inbound.aiesec.org</v>
      </c>
      <c r="F370" s="43">
        <f>IFERROR(__xludf.DUMMYFUNCTION("""COMPUTED_VALUE"""),5.2920174E7)</f>
        <v>52920174</v>
      </c>
      <c r="G370" s="43" t="str">
        <f>IFERROR(__xludf.DUMMYFUNCTION("""COMPUTED_VALUE"""),"Tunisia")</f>
        <v>Tunisia</v>
      </c>
      <c r="H370" s="43" t="str">
        <f>IFERROR(__xludf.DUMMYFUNCTION("""COMPUTED_VALUE"""),"Bizerte")</f>
        <v>Bizerte</v>
      </c>
      <c r="I370" s="43" t="str">
        <f>IFERROR(__xludf.DUMMYFUNCTION("""COMPUTED_VALUE"""),"Turkey")</f>
        <v>Turkey</v>
      </c>
      <c r="J370" s="43" t="str">
        <f>IFERROR(__xludf.DUMMYFUNCTION("""COMPUTED_VALUE"""),"TRABZON")</f>
        <v>TRABZON</v>
      </c>
      <c r="K370" s="44" t="str">
        <f>IFERROR(__xludf.DUMMYFUNCTION("""COMPUTED_VALUE"""),"https://expa.aiesec.org/opportunities/1284831")</f>
        <v>https://expa.aiesec.org/opportunities/1284831</v>
      </c>
      <c r="L370" s="43" t="str">
        <f>IFERROR(__xludf.DUMMYFUNCTION("""COMPUTED_VALUE"""),"GV")</f>
        <v>GV</v>
      </c>
      <c r="M370" s="43" t="str">
        <f>IFERROR(__xludf.DUMMYFUNCTION("""COMPUTED_VALUE"""),"short")</f>
        <v>short</v>
      </c>
      <c r="N370" s="45">
        <f>IFERROR(__xludf.DUMMYFUNCTION("""COMPUTED_VALUE"""),44912.0)</f>
        <v>44912</v>
      </c>
      <c r="O370" s="45">
        <f>IFERROR(__xludf.DUMMYFUNCTION("""COMPUTED_VALUE"""),45117.0)</f>
        <v>45117</v>
      </c>
      <c r="P370" s="45">
        <f>IFERROR(__xludf.DUMMYFUNCTION("""COMPUTED_VALUE"""),45159.0)</f>
        <v>45159</v>
      </c>
      <c r="Q370" s="45">
        <f>IFERROR(__xludf.DUMMYFUNCTION("""COMPUTED_VALUE"""),45116.0)</f>
        <v>45116</v>
      </c>
      <c r="R370" s="45">
        <f>IFERROR(__xludf.DUMMYFUNCTION("""COMPUTED_VALUE"""),45159.0)</f>
        <v>45159</v>
      </c>
      <c r="S370" s="43"/>
      <c r="T370" s="43"/>
      <c r="U370" s="43" t="str">
        <f>IFERROR(__xludf.DUMMYFUNCTION("""COMPUTED_VALUE"""),"Global Classroom")</f>
        <v>Global Classroom</v>
      </c>
      <c r="V370" s="43" t="str">
        <f>IFERROR(__xludf.DUMMYFUNCTION("""COMPUTED_VALUE"""),"FSB")</f>
        <v>FSB</v>
      </c>
      <c r="W370" s="43" t="str">
        <f>IFERROR(__xludf.DUMMYFUNCTION("""COMPUTED_VALUE"""),"2021-12-11T23:59:03Z")</f>
        <v>2021-12-11T23:59:03Z</v>
      </c>
      <c r="X370" s="43"/>
      <c r="Y370" s="43"/>
      <c r="Z370" s="43"/>
    </row>
    <row r="371" hidden="1">
      <c r="A371" s="43" t="str">
        <f>IFERROR(__xludf.DUMMYFUNCTION("""COMPUTED_VALUE"""),"5165701_1272564")</f>
        <v>5165701_1272564</v>
      </c>
      <c r="B371" s="43" t="str">
        <f>IFERROR(__xludf.DUMMYFUNCTION("""COMPUTED_VALUE"""),"Emil Miriyev")</f>
        <v>Emil Miriyev</v>
      </c>
      <c r="C371" s="43" t="str">
        <f>IFERROR(__xludf.DUMMYFUNCTION("""COMPUTED_VALUE"""),"approved")</f>
        <v>approved</v>
      </c>
      <c r="D371" s="43" t="str">
        <f>IFERROR(__xludf.DUMMYFUNCTION("""COMPUTED_VALUE"""),"No")</f>
        <v>No</v>
      </c>
      <c r="E371" s="43" t="str">
        <f>IFERROR(__xludf.DUMMYFUNCTION("""COMPUTED_VALUE"""),"p_77a304a3511ea528405ef58b2f2328c8d074bf94@inbound.aiesec.org")</f>
        <v>p_77a304a3511ea528405ef58b2f2328c8d074bf94@inbound.aiesec.org</v>
      </c>
      <c r="F371" s="43">
        <f>IFERROR(__xludf.DUMMYFUNCTION("""COMPUTED_VALUE"""),5.57967362E8)</f>
        <v>557967362</v>
      </c>
      <c r="G371" s="43" t="str">
        <f>IFERROR(__xludf.DUMMYFUNCTION("""COMPUTED_VALUE"""),"Azerbaijan")</f>
        <v>Azerbaijan</v>
      </c>
      <c r="H371" s="43" t="str">
        <f>IFERROR(__xludf.DUMMYFUNCTION("""COMPUTED_VALUE"""),"Baku Synergy")</f>
        <v>Baku Synergy</v>
      </c>
      <c r="I371" s="43" t="str">
        <f>IFERROR(__xludf.DUMMYFUNCTION("""COMPUTED_VALUE"""),"Turkey")</f>
        <v>Turkey</v>
      </c>
      <c r="J371" s="43" t="str">
        <f>IFERROR(__xludf.DUMMYFUNCTION("""COMPUTED_VALUE"""),"ISTANBUL")</f>
        <v>ISTANBUL</v>
      </c>
      <c r="K371" s="44" t="str">
        <f>IFERROR(__xludf.DUMMYFUNCTION("""COMPUTED_VALUE"""),"https://expa.aiesec.org/opportunities/1272564")</f>
        <v>https://expa.aiesec.org/opportunities/1272564</v>
      </c>
      <c r="L371" s="43" t="str">
        <f>IFERROR(__xludf.DUMMYFUNCTION("""COMPUTED_VALUE"""),"GV")</f>
        <v>GV</v>
      </c>
      <c r="M371" s="43" t="str">
        <f>IFERROR(__xludf.DUMMYFUNCTION("""COMPUTED_VALUE"""),"short")</f>
        <v>short</v>
      </c>
      <c r="N371" s="45">
        <f>IFERROR(__xludf.DUMMYFUNCTION("""COMPUTED_VALUE"""),44915.0)</f>
        <v>44915</v>
      </c>
      <c r="O371" s="45">
        <f>IFERROR(__xludf.DUMMYFUNCTION("""COMPUTED_VALUE"""),45122.0)</f>
        <v>45122</v>
      </c>
      <c r="P371" s="45">
        <f>IFERROR(__xludf.DUMMYFUNCTION("""COMPUTED_VALUE"""),45164.0)</f>
        <v>45164</v>
      </c>
      <c r="Q371" s="45"/>
      <c r="R371" s="45"/>
      <c r="S371" s="43"/>
      <c r="T371" s="43"/>
      <c r="U371" s="43" t="str">
        <f>IFERROR(__xludf.DUMMYFUNCTION("""COMPUTED_VALUE"""),"Global Classroom")</f>
        <v>Global Classroom</v>
      </c>
      <c r="V371" s="43" t="str">
        <f>IFERROR(__xludf.DUMMYFUNCTION("""COMPUTED_VALUE"""),"Azerbaijan State University of Economics")</f>
        <v>Azerbaijan State University of Economics</v>
      </c>
      <c r="W371" s="43" t="str">
        <f>IFERROR(__xludf.DUMMYFUNCTION("""COMPUTED_VALUE"""),"2022-12-13T13:59:45Z")</f>
        <v>2022-12-13T13:59:45Z</v>
      </c>
      <c r="X371" s="43"/>
      <c r="Y371" s="43"/>
      <c r="Z371" s="43"/>
    </row>
    <row r="372" hidden="1">
      <c r="A372" s="43" t="str">
        <f>IFERROR(__xludf.DUMMYFUNCTION("""COMPUTED_VALUE"""),"5101301_1286920")</f>
        <v>5101301_1286920</v>
      </c>
      <c r="B372" s="43" t="str">
        <f>IFERROR(__xludf.DUMMYFUNCTION("""COMPUTED_VALUE"""),"Kamshat Bolegenova")</f>
        <v>Kamshat Bolegenova</v>
      </c>
      <c r="C372" s="43" t="str">
        <f>IFERROR(__xludf.DUMMYFUNCTION("""COMPUTED_VALUE"""),"finished")</f>
        <v>finished</v>
      </c>
      <c r="D372" s="43" t="str">
        <f>IFERROR(__xludf.DUMMYFUNCTION("""COMPUTED_VALUE"""),"No")</f>
        <v>No</v>
      </c>
      <c r="E372" s="43" t="str">
        <f>IFERROR(__xludf.DUMMYFUNCTION("""COMPUTED_VALUE"""),"p_f85be7c25d620b28d1c34e4b150c4fed465ebbaf@inbound.aiesec.org")</f>
        <v>p_f85be7c25d620b28d1c34e4b150c4fed465ebbaf@inbound.aiesec.org</v>
      </c>
      <c r="F372" s="43">
        <f>IFERROR(__xludf.DUMMYFUNCTION("""COMPUTED_VALUE"""),7.786611528E9)</f>
        <v>7786611528</v>
      </c>
      <c r="G372" s="43" t="str">
        <f>IFERROR(__xludf.DUMMYFUNCTION("""COMPUTED_VALUE"""),"Kazakhstan")</f>
        <v>Kazakhstan</v>
      </c>
      <c r="H372" s="43" t="str">
        <f>IFERROR(__xludf.DUMMYFUNCTION("""COMPUTED_VALUE"""),"ALMATY")</f>
        <v>ALMATY</v>
      </c>
      <c r="I372" s="43" t="str">
        <f>IFERROR(__xludf.DUMMYFUNCTION("""COMPUTED_VALUE"""),"Turkey")</f>
        <v>Turkey</v>
      </c>
      <c r="J372" s="43" t="str">
        <f>IFERROR(__xludf.DUMMYFUNCTION("""COMPUTED_VALUE"""),"DENIZLI")</f>
        <v>DENIZLI</v>
      </c>
      <c r="K372" s="44" t="str">
        <f>IFERROR(__xludf.DUMMYFUNCTION("""COMPUTED_VALUE"""),"https://expa.aiesec.org/opportunities/1286920")</f>
        <v>https://expa.aiesec.org/opportunities/1286920</v>
      </c>
      <c r="L372" s="43" t="str">
        <f>IFERROR(__xludf.DUMMYFUNCTION("""COMPUTED_VALUE"""),"GV")</f>
        <v>GV</v>
      </c>
      <c r="M372" s="43" t="str">
        <f>IFERROR(__xludf.DUMMYFUNCTION("""COMPUTED_VALUE"""),"short")</f>
        <v>short</v>
      </c>
      <c r="N372" s="45">
        <f>IFERROR(__xludf.DUMMYFUNCTION("""COMPUTED_VALUE"""),44915.0)</f>
        <v>44915</v>
      </c>
      <c r="O372" s="45">
        <f>IFERROR(__xludf.DUMMYFUNCTION("""COMPUTED_VALUE"""),44907.0)</f>
        <v>44907</v>
      </c>
      <c r="P372" s="45">
        <f>IFERROR(__xludf.DUMMYFUNCTION("""COMPUTED_VALUE"""),44949.0)</f>
        <v>44949</v>
      </c>
      <c r="Q372" s="45">
        <f>IFERROR(__xludf.DUMMYFUNCTION("""COMPUTED_VALUE"""),44915.0)</f>
        <v>44915</v>
      </c>
      <c r="R372" s="45">
        <f>IFERROR(__xludf.DUMMYFUNCTION("""COMPUTED_VALUE"""),44956.0)</f>
        <v>44956</v>
      </c>
      <c r="S372" s="43"/>
      <c r="T372" s="43"/>
      <c r="U372" s="43" t="str">
        <f>IFERROR(__xludf.DUMMYFUNCTION("""COMPUTED_VALUE"""),"Global Classroom")</f>
        <v>Global Classroom</v>
      </c>
      <c r="V372" s="43" t="str">
        <f>IFERROR(__xludf.DUMMYFUNCTION("""COMPUTED_VALUE"""),"Almaty")</f>
        <v>Almaty</v>
      </c>
      <c r="W372" s="43" t="str">
        <f>IFERROR(__xludf.DUMMYFUNCTION("""COMPUTED_VALUE"""),"2022-08-28T20:05:18Z")</f>
        <v>2022-08-28T20:05:18Z</v>
      </c>
      <c r="X372" s="43"/>
      <c r="Y372" s="43"/>
      <c r="Z372" s="43"/>
    </row>
    <row r="373">
      <c r="A373" s="43" t="str">
        <f>IFERROR(__xludf.DUMMYFUNCTION("""COMPUTED_VALUE"""),"4681370_1287101")</f>
        <v>4681370_1287101</v>
      </c>
      <c r="B373" s="43" t="str">
        <f>IFERROR(__xludf.DUMMYFUNCTION("""COMPUTED_VALUE"""),"dridi selim")</f>
        <v>dridi selim</v>
      </c>
      <c r="C373" s="43" t="str">
        <f>IFERROR(__xludf.DUMMYFUNCTION("""COMPUTED_VALUE"""),"approved")</f>
        <v>approved</v>
      </c>
      <c r="D373" s="43" t="str">
        <f>IFERROR(__xludf.DUMMYFUNCTION("""COMPUTED_VALUE"""),"No")</f>
        <v>No</v>
      </c>
      <c r="E373" s="43" t="str">
        <f>IFERROR(__xludf.DUMMYFUNCTION("""COMPUTED_VALUE"""),"p_5d6b7855ef2ddcc2bbfda12b45e01d6d93652e54@inbound.aiesec.org")</f>
        <v>p_5d6b7855ef2ddcc2bbfda12b45e01d6d93652e54@inbound.aiesec.org</v>
      </c>
      <c r="F373" s="43">
        <f>IFERROR(__xludf.DUMMYFUNCTION("""COMPUTED_VALUE"""),9.0122599E7)</f>
        <v>90122599</v>
      </c>
      <c r="G373" s="43" t="str">
        <f>IFERROR(__xludf.DUMMYFUNCTION("""COMPUTED_VALUE"""),"Tunisia")</f>
        <v>Tunisia</v>
      </c>
      <c r="H373" s="43" t="str">
        <f>IFERROR(__xludf.DUMMYFUNCTION("""COMPUTED_VALUE"""),"UNIVERSITY")</f>
        <v>UNIVERSITY</v>
      </c>
      <c r="I373" s="43" t="str">
        <f>IFERROR(__xludf.DUMMYFUNCTION("""COMPUTED_VALUE"""),"Turkey")</f>
        <v>Turkey</v>
      </c>
      <c r="J373" s="43" t="str">
        <f>IFERROR(__xludf.DUMMYFUNCTION("""COMPUTED_VALUE"""),"İZMİR")</f>
        <v>İZMİR</v>
      </c>
      <c r="K373" s="44" t="str">
        <f>IFERROR(__xludf.DUMMYFUNCTION("""COMPUTED_VALUE"""),"https://expa.aiesec.org/opportunities/1287101")</f>
        <v>https://expa.aiesec.org/opportunities/1287101</v>
      </c>
      <c r="L373" s="43" t="str">
        <f>IFERROR(__xludf.DUMMYFUNCTION("""COMPUTED_VALUE"""),"GV")</f>
        <v>GV</v>
      </c>
      <c r="M373" s="43" t="str">
        <f>IFERROR(__xludf.DUMMYFUNCTION("""COMPUTED_VALUE"""),"short")</f>
        <v>short</v>
      </c>
      <c r="N373" s="45">
        <f>IFERROR(__xludf.DUMMYFUNCTION("""COMPUTED_VALUE"""),44916.0)</f>
        <v>44916</v>
      </c>
      <c r="O373" s="45">
        <f>IFERROR(__xludf.DUMMYFUNCTION("""COMPUTED_VALUE"""),45102.0)</f>
        <v>45102</v>
      </c>
      <c r="P373" s="45">
        <f>IFERROR(__xludf.DUMMYFUNCTION("""COMPUTED_VALUE"""),45144.0)</f>
        <v>45144</v>
      </c>
      <c r="Q373" s="45"/>
      <c r="R373" s="45"/>
      <c r="S373" s="43"/>
      <c r="T373" s="43"/>
      <c r="U373" s="43" t="str">
        <f>IFERROR(__xludf.DUMMYFUNCTION("""COMPUTED_VALUE"""),"Global Classroom")</f>
        <v>Global Classroom</v>
      </c>
      <c r="V373" s="43" t="str">
        <f>IFERROR(__xludf.DUMMYFUNCTION("""COMPUTED_VALUE"""),"Institut supérieur des technologies médicales de Tunis ISTMT")</f>
        <v>Institut supérieur des technologies médicales de Tunis ISTMT</v>
      </c>
      <c r="W373" s="43" t="str">
        <f>IFERROR(__xludf.DUMMYFUNCTION("""COMPUTED_VALUE"""),"2021-07-01T20:03:07Z")</f>
        <v>2021-07-01T20:03:07Z</v>
      </c>
      <c r="X373" s="43"/>
      <c r="Y373" s="43"/>
      <c r="Z373" s="43"/>
    </row>
    <row r="374" hidden="1">
      <c r="A374" s="43" t="str">
        <f>IFERROR(__xludf.DUMMYFUNCTION("""COMPUTED_VALUE"""),"5160512_1289505")</f>
        <v>5160512_1289505</v>
      </c>
      <c r="B374" s="43" t="str">
        <f>IFERROR(__xludf.DUMMYFUNCTION("""COMPUTED_VALUE"""),"Ionescu Robert-Andrei")</f>
        <v>Ionescu Robert-Andrei</v>
      </c>
      <c r="C374" s="43" t="str">
        <f>IFERROR(__xludf.DUMMYFUNCTION("""COMPUTED_VALUE"""),"completed")</f>
        <v>completed</v>
      </c>
      <c r="D374" s="43" t="str">
        <f>IFERROR(__xludf.DUMMYFUNCTION("""COMPUTED_VALUE"""),"No")</f>
        <v>No</v>
      </c>
      <c r="E374" s="43" t="str">
        <f>IFERROR(__xludf.DUMMYFUNCTION("""COMPUTED_VALUE"""),"p_3bf83977277d84f6595c34a1eb830bd7a356bf27@inbound.aiesec.org")</f>
        <v>p_3bf83977277d84f6595c34a1eb830bd7a356bf27@inbound.aiesec.org</v>
      </c>
      <c r="F374" s="43">
        <f>IFERROR(__xludf.DUMMYFUNCTION("""COMPUTED_VALUE"""),7.52427716E8)</f>
        <v>752427716</v>
      </c>
      <c r="G374" s="43" t="str">
        <f>IFERROR(__xludf.DUMMYFUNCTION("""COMPUTED_VALUE"""),"Romania")</f>
        <v>Romania</v>
      </c>
      <c r="H374" s="43" t="str">
        <f>IFERROR(__xludf.DUMMYFUNCTION("""COMPUTED_VALUE"""),"GALATI")</f>
        <v>GALATI</v>
      </c>
      <c r="I374" s="43" t="str">
        <f>IFERROR(__xludf.DUMMYFUNCTION("""COMPUTED_VALUE"""),"Turkey")</f>
        <v>Turkey</v>
      </c>
      <c r="J374" s="43" t="str">
        <f>IFERROR(__xludf.DUMMYFUNCTION("""COMPUTED_VALUE"""),"KOCAELI")</f>
        <v>KOCAELI</v>
      </c>
      <c r="K374" s="44" t="str">
        <f>IFERROR(__xludf.DUMMYFUNCTION("""COMPUTED_VALUE"""),"https://expa.aiesec.org/opportunities/1289505")</f>
        <v>https://expa.aiesec.org/opportunities/1289505</v>
      </c>
      <c r="L374" s="43" t="str">
        <f>IFERROR(__xludf.DUMMYFUNCTION("""COMPUTED_VALUE"""),"GV")</f>
        <v>GV</v>
      </c>
      <c r="M374" s="43" t="str">
        <f>IFERROR(__xludf.DUMMYFUNCTION("""COMPUTED_VALUE"""),"short")</f>
        <v>short</v>
      </c>
      <c r="N374" s="45">
        <f>IFERROR(__xludf.DUMMYFUNCTION("""COMPUTED_VALUE"""),44917.0)</f>
        <v>44917</v>
      </c>
      <c r="O374" s="45">
        <f>IFERROR(__xludf.DUMMYFUNCTION("""COMPUTED_VALUE"""),45145.0)</f>
        <v>45145</v>
      </c>
      <c r="P374" s="45">
        <f>IFERROR(__xludf.DUMMYFUNCTION("""COMPUTED_VALUE"""),45187.0)</f>
        <v>45187</v>
      </c>
      <c r="Q374" s="45">
        <f>IFERROR(__xludf.DUMMYFUNCTION("""COMPUTED_VALUE"""),45145.0)</f>
        <v>45145</v>
      </c>
      <c r="R374" s="45">
        <f>IFERROR(__xludf.DUMMYFUNCTION("""COMPUTED_VALUE"""),45187.0)</f>
        <v>45187</v>
      </c>
      <c r="S374" s="43"/>
      <c r="T374" s="43"/>
      <c r="U374" s="43" t="str">
        <f>IFERROR(__xludf.DUMMYFUNCTION("""COMPUTED_VALUE"""),"Youth 4 Impact")</f>
        <v>Youth 4 Impact</v>
      </c>
      <c r="V374" s="43" t="str">
        <f>IFERROR(__xludf.DUMMYFUNCTION("""COMPUTED_VALUE"""),"Galati")</f>
        <v>Galati</v>
      </c>
      <c r="W374" s="43" t="str">
        <f>IFERROR(__xludf.DUMMYFUNCTION("""COMPUTED_VALUE"""),"2022-11-29T15:33:48Z")</f>
        <v>2022-11-29T15:33:48Z</v>
      </c>
      <c r="X374" s="43"/>
      <c r="Y374" s="43"/>
      <c r="Z374" s="43"/>
    </row>
    <row r="375" hidden="1">
      <c r="A375" s="43" t="str">
        <f>IFERROR(__xludf.DUMMYFUNCTION("""COMPUTED_VALUE"""),"5163110_1288991")</f>
        <v>5163110_1288991</v>
      </c>
      <c r="B375" s="43" t="str">
        <f>IFERROR(__xludf.DUMMYFUNCTION("""COMPUTED_VALUE"""),"Daniela Cella")</f>
        <v>Daniela Cella</v>
      </c>
      <c r="C375" s="43" t="str">
        <f>IFERROR(__xludf.DUMMYFUNCTION("""COMPUTED_VALUE"""),"realization_broken")</f>
        <v>realization_broken</v>
      </c>
      <c r="D375" s="43" t="str">
        <f>IFERROR(__xludf.DUMMYFUNCTION("""COMPUTED_VALUE"""),"No")</f>
        <v>No</v>
      </c>
      <c r="E375" s="43" t="str">
        <f>IFERROR(__xludf.DUMMYFUNCTION("""COMPUTED_VALUE"""),"p_a7aed400f1bca2b23d71f14630abf64c0c1fc963@inbound.aiesec.org")</f>
        <v>p_a7aed400f1bca2b23d71f14630abf64c0c1fc963@inbound.aiesec.org</v>
      </c>
      <c r="F375" s="43"/>
      <c r="G375" s="43" t="str">
        <f>IFERROR(__xludf.DUMMYFUNCTION("""COMPUTED_VALUE"""),"United States")</f>
        <v>United States</v>
      </c>
      <c r="H375" s="43" t="str">
        <f>IFERROR(__xludf.DUMMYFUNCTION("""COMPUTED_VALUE"""),"SEATTLE")</f>
        <v>SEATTLE</v>
      </c>
      <c r="I375" s="43" t="str">
        <f>IFERROR(__xludf.DUMMYFUNCTION("""COMPUTED_VALUE"""),"Turkey")</f>
        <v>Turkey</v>
      </c>
      <c r="J375" s="43" t="str">
        <f>IFERROR(__xludf.DUMMYFUNCTION("""COMPUTED_VALUE"""),"ANKARA")</f>
        <v>ANKARA</v>
      </c>
      <c r="K375" s="44" t="str">
        <f>IFERROR(__xludf.DUMMYFUNCTION("""COMPUTED_VALUE"""),"https://expa.aiesec.org/opportunities/1288991")</f>
        <v>https://expa.aiesec.org/opportunities/1288991</v>
      </c>
      <c r="L375" s="43" t="str">
        <f>IFERROR(__xludf.DUMMYFUNCTION("""COMPUTED_VALUE"""),"GV")</f>
        <v>GV</v>
      </c>
      <c r="M375" s="43" t="str">
        <f>IFERROR(__xludf.DUMMYFUNCTION("""COMPUTED_VALUE"""),"short")</f>
        <v>short</v>
      </c>
      <c r="N375" s="45">
        <f>IFERROR(__xludf.DUMMYFUNCTION("""COMPUTED_VALUE"""),44917.0)</f>
        <v>44917</v>
      </c>
      <c r="O375" s="45">
        <f>IFERROR(__xludf.DUMMYFUNCTION("""COMPUTED_VALUE"""),44938.0)</f>
        <v>44938</v>
      </c>
      <c r="P375" s="45">
        <f>IFERROR(__xludf.DUMMYFUNCTION("""COMPUTED_VALUE"""),44980.0)</f>
        <v>44980</v>
      </c>
      <c r="Q375" s="45"/>
      <c r="R375" s="45"/>
      <c r="S375" s="43"/>
      <c r="T375" s="43"/>
      <c r="U375" s="43" t="str">
        <f>IFERROR(__xludf.DUMMYFUNCTION("""COMPUTED_VALUE"""),"Green Leaders")</f>
        <v>Green Leaders</v>
      </c>
      <c r="V375" s="43" t="str">
        <f>IFERROR(__xludf.DUMMYFUNCTION("""COMPUTED_VALUE"""),"-")</f>
        <v>-</v>
      </c>
      <c r="W375" s="43" t="str">
        <f>IFERROR(__xludf.DUMMYFUNCTION("""COMPUTED_VALUE"""),"2022-12-06T07:25:14Z")</f>
        <v>2022-12-06T07:25:14Z</v>
      </c>
      <c r="X375" s="43"/>
      <c r="Y375" s="43"/>
      <c r="Z375" s="43"/>
    </row>
    <row r="376">
      <c r="A376" s="43" t="str">
        <f>IFERROR(__xludf.DUMMYFUNCTION("""COMPUTED_VALUE"""),"5133307_1288970")</f>
        <v>5133307_1288970</v>
      </c>
      <c r="B376" s="43" t="str">
        <f>IFERROR(__xludf.DUMMYFUNCTION("""COMPUTED_VALUE"""),"Rutu Kansagra")</f>
        <v>Rutu Kansagra</v>
      </c>
      <c r="C376" s="43" t="str">
        <f>IFERROR(__xludf.DUMMYFUNCTION("""COMPUTED_VALUE"""),"approved")</f>
        <v>approved</v>
      </c>
      <c r="D376" s="43" t="str">
        <f>IFERROR(__xludf.DUMMYFUNCTION("""COMPUTED_VALUE"""),"No")</f>
        <v>No</v>
      </c>
      <c r="E376" s="43" t="str">
        <f>IFERROR(__xludf.DUMMYFUNCTION("""COMPUTED_VALUE"""),"p_8caa96b8828f02d1c814370cee3d0508dda54051@inbound.aiesec.org")</f>
        <v>p_8caa96b8828f02d1c814370cee3d0508dda54051@inbound.aiesec.org</v>
      </c>
      <c r="F376" s="43">
        <f>IFERROR(__xludf.DUMMYFUNCTION("""COMPUTED_VALUE"""),9.978698098E9)</f>
        <v>9978698098</v>
      </c>
      <c r="G376" s="43" t="str">
        <f>IFERROR(__xludf.DUMMYFUNCTION("""COMPUTED_VALUE"""),"India")</f>
        <v>India</v>
      </c>
      <c r="H376" s="43" t="str">
        <f>IFERROR(__xludf.DUMMYFUNCTION("""COMPUTED_VALUE"""),"Surat")</f>
        <v>Surat</v>
      </c>
      <c r="I376" s="43" t="str">
        <f>IFERROR(__xludf.DUMMYFUNCTION("""COMPUTED_VALUE"""),"Turkey")</f>
        <v>Turkey</v>
      </c>
      <c r="J376" s="43" t="str">
        <f>IFERROR(__xludf.DUMMYFUNCTION("""COMPUTED_VALUE"""),"İZMİR")</f>
        <v>İZMİR</v>
      </c>
      <c r="K376" s="44" t="str">
        <f>IFERROR(__xludf.DUMMYFUNCTION("""COMPUTED_VALUE"""),"https://expa.aiesec.org/opportunities/1288970")</f>
        <v>https://expa.aiesec.org/opportunities/1288970</v>
      </c>
      <c r="L376" s="43" t="str">
        <f>IFERROR(__xludf.DUMMYFUNCTION("""COMPUTED_VALUE"""),"GV")</f>
        <v>GV</v>
      </c>
      <c r="M376" s="43" t="str">
        <f>IFERROR(__xludf.DUMMYFUNCTION("""COMPUTED_VALUE"""),"short")</f>
        <v>short</v>
      </c>
      <c r="N376" s="45">
        <f>IFERROR(__xludf.DUMMYFUNCTION("""COMPUTED_VALUE"""),44921.0)</f>
        <v>44921</v>
      </c>
      <c r="O376" s="45">
        <f>IFERROR(__xludf.DUMMYFUNCTION("""COMPUTED_VALUE"""),45081.0)</f>
        <v>45081</v>
      </c>
      <c r="P376" s="45">
        <f>IFERROR(__xludf.DUMMYFUNCTION("""COMPUTED_VALUE"""),45123.0)</f>
        <v>45123</v>
      </c>
      <c r="Q376" s="45"/>
      <c r="R376" s="45"/>
      <c r="S376" s="43"/>
      <c r="T376" s="43"/>
      <c r="U376" s="43" t="str">
        <f>IFERROR(__xludf.DUMMYFUNCTION("""COMPUTED_VALUE"""),"Fingerprint")</f>
        <v>Fingerprint</v>
      </c>
      <c r="V376" s="43" t="str">
        <f>IFERROR(__xludf.DUMMYFUNCTION("""COMPUTED_VALUE"""),"Auro University, Surat")</f>
        <v>Auro University, Surat</v>
      </c>
      <c r="W376" s="43" t="str">
        <f>IFERROR(__xludf.DUMMYFUNCTION("""COMPUTED_VALUE"""),"2022-10-15T11:14:00Z")</f>
        <v>2022-10-15T11:14:00Z</v>
      </c>
      <c r="X376" s="43"/>
      <c r="Y376" s="43"/>
      <c r="Z376" s="43"/>
    </row>
    <row r="377" hidden="1">
      <c r="A377" s="43" t="str">
        <f>IFERROR(__xludf.DUMMYFUNCTION("""COMPUTED_VALUE"""),"4988156_1288711")</f>
        <v>4988156_1288711</v>
      </c>
      <c r="B377" s="43" t="str">
        <f>IFERROR(__xludf.DUMMYFUNCTION("""COMPUTED_VALUE"""),"Karim Khalaf")</f>
        <v>Karim Khalaf</v>
      </c>
      <c r="C377" s="43" t="str">
        <f>IFERROR(__xludf.DUMMYFUNCTION("""COMPUTED_VALUE"""),"completed")</f>
        <v>completed</v>
      </c>
      <c r="D377" s="43" t="str">
        <f>IFERROR(__xludf.DUMMYFUNCTION("""COMPUTED_VALUE"""),"No")</f>
        <v>No</v>
      </c>
      <c r="E377" s="43" t="str">
        <f>IFERROR(__xludf.DUMMYFUNCTION("""COMPUTED_VALUE"""),"p_9be21643c84906f04511c14fd53a80147a587072@inbound.aiesec.org")</f>
        <v>p_9be21643c84906f04511c14fd53a80147a587072@inbound.aiesec.org</v>
      </c>
      <c r="F377" s="43">
        <f>IFERROR(__xludf.DUMMYFUNCTION("""COMPUTED_VALUE"""),1.064338007E9)</f>
        <v>1064338007</v>
      </c>
      <c r="G377" s="43" t="str">
        <f>IFERROR(__xludf.DUMMYFUNCTION("""COMPUTED_VALUE"""),"Egypt")</f>
        <v>Egypt</v>
      </c>
      <c r="H377" s="43" t="str">
        <f>IFERROR(__xludf.DUMMYFUNCTION("""COMPUTED_VALUE"""),"Cairo University")</f>
        <v>Cairo University</v>
      </c>
      <c r="I377" s="43" t="str">
        <f>IFERROR(__xludf.DUMMYFUNCTION("""COMPUTED_VALUE"""),"Turkey")</f>
        <v>Turkey</v>
      </c>
      <c r="J377" s="43" t="str">
        <f>IFERROR(__xludf.DUMMYFUNCTION("""COMPUTED_VALUE"""),"TRABZON")</f>
        <v>TRABZON</v>
      </c>
      <c r="K377" s="44" t="str">
        <f>IFERROR(__xludf.DUMMYFUNCTION("""COMPUTED_VALUE"""),"https://expa.aiesec.org/opportunities/1288711")</f>
        <v>https://expa.aiesec.org/opportunities/1288711</v>
      </c>
      <c r="L377" s="43" t="str">
        <f>IFERROR(__xludf.DUMMYFUNCTION("""COMPUTED_VALUE"""),"GV")</f>
        <v>GV</v>
      </c>
      <c r="M377" s="43" t="str">
        <f>IFERROR(__xludf.DUMMYFUNCTION("""COMPUTED_VALUE"""),"short")</f>
        <v>short</v>
      </c>
      <c r="N377" s="45">
        <f>IFERROR(__xludf.DUMMYFUNCTION("""COMPUTED_VALUE"""),44922.0)</f>
        <v>44922</v>
      </c>
      <c r="O377" s="45">
        <f>IFERROR(__xludf.DUMMYFUNCTION("""COMPUTED_VALUE"""),45109.0)</f>
        <v>45109</v>
      </c>
      <c r="P377" s="45">
        <f>IFERROR(__xludf.DUMMYFUNCTION("""COMPUTED_VALUE"""),45151.0)</f>
        <v>45151</v>
      </c>
      <c r="Q377" s="45">
        <f>IFERROR(__xludf.DUMMYFUNCTION("""COMPUTED_VALUE"""),45113.0)</f>
        <v>45113</v>
      </c>
      <c r="R377" s="45">
        <f>IFERROR(__xludf.DUMMYFUNCTION("""COMPUTED_VALUE"""),45155.0)</f>
        <v>45155</v>
      </c>
      <c r="S377" s="43"/>
      <c r="T377" s="43"/>
      <c r="U377" s="43" t="str">
        <f>IFERROR(__xludf.DUMMYFUNCTION("""COMPUTED_VALUE"""),"Global Classroom")</f>
        <v>Global Classroom</v>
      </c>
      <c r="V377" s="43" t="str">
        <f>IFERROR(__xludf.DUMMYFUNCTION("""COMPUTED_VALUE"""),"Cairo Univeristy")</f>
        <v>Cairo Univeristy</v>
      </c>
      <c r="W377" s="43" t="str">
        <f>IFERROR(__xludf.DUMMYFUNCTION("""COMPUTED_VALUE"""),"2022-03-16T21:43:19Z")</f>
        <v>2022-03-16T21:43:19Z</v>
      </c>
      <c r="X377" s="43"/>
      <c r="Y377" s="43"/>
      <c r="Z377" s="43"/>
    </row>
    <row r="378">
      <c r="A378" s="43" t="str">
        <f>IFERROR(__xludf.DUMMYFUNCTION("""COMPUTED_VALUE"""),"4703280_1288991")</f>
        <v>4703280_1288991</v>
      </c>
      <c r="B378" s="43" t="str">
        <f>IFERROR(__xludf.DUMMYFUNCTION("""COMPUTED_VALUE"""),"Randy asante")</f>
        <v>Randy asante</v>
      </c>
      <c r="C378" s="43" t="str">
        <f>IFERROR(__xludf.DUMMYFUNCTION("""COMPUTED_VALUE"""),"approved")</f>
        <v>approved</v>
      </c>
      <c r="D378" s="43" t="str">
        <f>IFERROR(__xludf.DUMMYFUNCTION("""COMPUTED_VALUE"""),"No")</f>
        <v>No</v>
      </c>
      <c r="E378" s="43" t="str">
        <f>IFERROR(__xludf.DUMMYFUNCTION("""COMPUTED_VALUE"""),"p_ccb84ae7d4cf1a2e058958f437d1b2cb3076a3e0@inbound.aiesec.org")</f>
        <v>p_ccb84ae7d4cf1a2e058958f437d1b2cb3076a3e0@inbound.aiesec.org</v>
      </c>
      <c r="F378" s="43">
        <f>IFERROR(__xludf.DUMMYFUNCTION("""COMPUTED_VALUE"""),2.01545712E8)</f>
        <v>201545712</v>
      </c>
      <c r="G378" s="43" t="str">
        <f>IFERROR(__xludf.DUMMYFUNCTION("""COMPUTED_VALUE"""),"India")</f>
        <v>India</v>
      </c>
      <c r="H378" s="43" t="str">
        <f>IFERROR(__xludf.DUMMYFUNCTION("""COMPUTED_VALUE"""),"Chandigarh")</f>
        <v>Chandigarh</v>
      </c>
      <c r="I378" s="43" t="str">
        <f>IFERROR(__xludf.DUMMYFUNCTION("""COMPUTED_VALUE"""),"Turkey")</f>
        <v>Turkey</v>
      </c>
      <c r="J378" s="43" t="str">
        <f>IFERROR(__xludf.DUMMYFUNCTION("""COMPUTED_VALUE"""),"ANKARA")</f>
        <v>ANKARA</v>
      </c>
      <c r="K378" s="44" t="str">
        <f>IFERROR(__xludf.DUMMYFUNCTION("""COMPUTED_VALUE"""),"https://expa.aiesec.org/opportunities/1288991")</f>
        <v>https://expa.aiesec.org/opportunities/1288991</v>
      </c>
      <c r="L378" s="43" t="str">
        <f>IFERROR(__xludf.DUMMYFUNCTION("""COMPUTED_VALUE"""),"GV")</f>
        <v>GV</v>
      </c>
      <c r="M378" s="43" t="str">
        <f>IFERROR(__xludf.DUMMYFUNCTION("""COMPUTED_VALUE"""),"short")</f>
        <v>short</v>
      </c>
      <c r="N378" s="45">
        <f>IFERROR(__xludf.DUMMYFUNCTION("""COMPUTED_VALUE"""),44923.0)</f>
        <v>44923</v>
      </c>
      <c r="O378" s="45">
        <f>IFERROR(__xludf.DUMMYFUNCTION("""COMPUTED_VALUE"""),44938.0)</f>
        <v>44938</v>
      </c>
      <c r="P378" s="45">
        <f>IFERROR(__xludf.DUMMYFUNCTION("""COMPUTED_VALUE"""),44980.0)</f>
        <v>44980</v>
      </c>
      <c r="Q378" s="45"/>
      <c r="R378" s="45"/>
      <c r="S378" s="43"/>
      <c r="T378" s="43"/>
      <c r="U378" s="43" t="str">
        <f>IFERROR(__xludf.DUMMYFUNCTION("""COMPUTED_VALUE"""),"Green Leaders")</f>
        <v>Green Leaders</v>
      </c>
      <c r="V378" s="43" t="str">
        <f>IFERROR(__xludf.DUMMYFUNCTION("""COMPUTED_VALUE"""),"Rayat Bahra University, Mohali")</f>
        <v>Rayat Bahra University, Mohali</v>
      </c>
      <c r="W378" s="43" t="str">
        <f>IFERROR(__xludf.DUMMYFUNCTION("""COMPUTED_VALUE"""),"2021-08-03T12:50:11Z")</f>
        <v>2021-08-03T12:50:11Z</v>
      </c>
      <c r="X378" s="43"/>
      <c r="Y378" s="43"/>
      <c r="Z378" s="43"/>
    </row>
    <row r="379">
      <c r="A379" s="43" t="str">
        <f>IFERROR(__xludf.DUMMYFUNCTION("""COMPUTED_VALUE"""),"5170426_1287445")</f>
        <v>5170426_1287445</v>
      </c>
      <c r="B379" s="43" t="str">
        <f>IFERROR(__xludf.DUMMYFUNCTION("""COMPUTED_VALUE"""),"Nouran Osama")</f>
        <v>Nouran Osama</v>
      </c>
      <c r="C379" s="43" t="str">
        <f>IFERROR(__xludf.DUMMYFUNCTION("""COMPUTED_VALUE"""),"approved")</f>
        <v>approved</v>
      </c>
      <c r="D379" s="43" t="str">
        <f>IFERROR(__xludf.DUMMYFUNCTION("""COMPUTED_VALUE"""),"No")</f>
        <v>No</v>
      </c>
      <c r="E379" s="43" t="str">
        <f>IFERROR(__xludf.DUMMYFUNCTION("""COMPUTED_VALUE"""),"p_c63f8611940877c752768f2f73da1a4da03e2516@inbound.aiesec.org")</f>
        <v>p_c63f8611940877c752768f2f73da1a4da03e2516@inbound.aiesec.org</v>
      </c>
      <c r="F379" s="43">
        <f>IFERROR(__xludf.DUMMYFUNCTION("""COMPUTED_VALUE"""),1.093169849E9)</f>
        <v>1093169849</v>
      </c>
      <c r="G379" s="43" t="str">
        <f>IFERROR(__xludf.DUMMYFUNCTION("""COMPUTED_VALUE"""),"Egypt")</f>
        <v>Egypt</v>
      </c>
      <c r="H379" s="43" t="str">
        <f>IFERROR(__xludf.DUMMYFUNCTION("""COMPUTED_VALUE"""),"Cairo University")</f>
        <v>Cairo University</v>
      </c>
      <c r="I379" s="43" t="str">
        <f>IFERROR(__xludf.DUMMYFUNCTION("""COMPUTED_VALUE"""),"Turkey")</f>
        <v>Turkey</v>
      </c>
      <c r="J379" s="43" t="str">
        <f>IFERROR(__xludf.DUMMYFUNCTION("""COMPUTED_VALUE"""),"SAKARYA")</f>
        <v>SAKARYA</v>
      </c>
      <c r="K379" s="44" t="str">
        <f>IFERROR(__xludf.DUMMYFUNCTION("""COMPUTED_VALUE"""),"https://expa.aiesec.org/opportunities/1287445")</f>
        <v>https://expa.aiesec.org/opportunities/1287445</v>
      </c>
      <c r="L379" s="43" t="str">
        <f>IFERROR(__xludf.DUMMYFUNCTION("""COMPUTED_VALUE"""),"GV")</f>
        <v>GV</v>
      </c>
      <c r="M379" s="43" t="str">
        <f>IFERROR(__xludf.DUMMYFUNCTION("""COMPUTED_VALUE"""),"short")</f>
        <v>short</v>
      </c>
      <c r="N379" s="45">
        <f>IFERROR(__xludf.DUMMYFUNCTION("""COMPUTED_VALUE"""),44925.0)</f>
        <v>44925</v>
      </c>
      <c r="O379" s="45">
        <f>IFERROR(__xludf.DUMMYFUNCTION("""COMPUTED_VALUE"""),44970.0)</f>
        <v>44970</v>
      </c>
      <c r="P379" s="45">
        <f>IFERROR(__xludf.DUMMYFUNCTION("""COMPUTED_VALUE"""),45012.0)</f>
        <v>45012</v>
      </c>
      <c r="Q379" s="45"/>
      <c r="R379" s="45"/>
      <c r="S379" s="43"/>
      <c r="T379" s="43"/>
      <c r="U379" s="43" t="str">
        <f>IFERROR(__xludf.DUMMYFUNCTION("""COMPUTED_VALUE"""),"Global Classroom")</f>
        <v>Global Classroom</v>
      </c>
      <c r="V379" s="43" t="str">
        <f>IFERROR(__xludf.DUMMYFUNCTION("""COMPUTED_VALUE"""),"Cairo Univeristy")</f>
        <v>Cairo Univeristy</v>
      </c>
      <c r="W379" s="43" t="str">
        <f>IFERROR(__xludf.DUMMYFUNCTION("""COMPUTED_VALUE"""),"2022-12-26T18:09:20Z")</f>
        <v>2022-12-26T18:09:20Z</v>
      </c>
      <c r="X379" s="43"/>
      <c r="Y379" s="43"/>
      <c r="Z379" s="43"/>
    </row>
    <row r="380">
      <c r="A380" s="43" t="str">
        <f>IFERROR(__xludf.DUMMYFUNCTION("""COMPUTED_VALUE"""),"3828170_1289347")</f>
        <v>3828170_1289347</v>
      </c>
      <c r="B380" s="43" t="str">
        <f>IFERROR(__xludf.DUMMYFUNCTION("""COMPUTED_VALUE"""),"Stacey Giselle Coutinho")</f>
        <v>Stacey Giselle Coutinho</v>
      </c>
      <c r="C380" s="43" t="str">
        <f>IFERROR(__xludf.DUMMYFUNCTION("""COMPUTED_VALUE"""),"approved")</f>
        <v>approved</v>
      </c>
      <c r="D380" s="43" t="str">
        <f>IFERROR(__xludf.DUMMYFUNCTION("""COMPUTED_VALUE"""),"No")</f>
        <v>No</v>
      </c>
      <c r="E380" s="43" t="str">
        <f>IFERROR(__xludf.DUMMYFUNCTION("""COMPUTED_VALUE"""),"p_7782674f4e7af9129b9f22b1c7e2c85f029d8e20@inbound.aiesec.org")</f>
        <v>p_7782674f4e7af9129b9f22b1c7e2c85f029d8e20@inbound.aiesec.org</v>
      </c>
      <c r="F380" s="43">
        <f>IFERROR(__xludf.DUMMYFUNCTION("""COMPUTED_VALUE"""),9.742067693E9)</f>
        <v>9742067693</v>
      </c>
      <c r="G380" s="43" t="str">
        <f>IFERROR(__xludf.DUMMYFUNCTION("""COMPUTED_VALUE"""),"India")</f>
        <v>India</v>
      </c>
      <c r="H380" s="43" t="str">
        <f>IFERROR(__xludf.DUMMYFUNCTION("""COMPUTED_VALUE"""),"Bengaluru")</f>
        <v>Bengaluru</v>
      </c>
      <c r="I380" s="43" t="str">
        <f>IFERROR(__xludf.DUMMYFUNCTION("""COMPUTED_VALUE"""),"Turkey")</f>
        <v>Turkey</v>
      </c>
      <c r="J380" s="43" t="str">
        <f>IFERROR(__xludf.DUMMYFUNCTION("""COMPUTED_VALUE"""),"ADANA")</f>
        <v>ADANA</v>
      </c>
      <c r="K380" s="44" t="str">
        <f>IFERROR(__xludf.DUMMYFUNCTION("""COMPUTED_VALUE"""),"https://expa.aiesec.org/opportunities/1289347")</f>
        <v>https://expa.aiesec.org/opportunities/1289347</v>
      </c>
      <c r="L380" s="43" t="str">
        <f>IFERROR(__xludf.DUMMYFUNCTION("""COMPUTED_VALUE"""),"GV")</f>
        <v>GV</v>
      </c>
      <c r="M380" s="43" t="str">
        <f>IFERROR(__xludf.DUMMYFUNCTION("""COMPUTED_VALUE"""),"short")</f>
        <v>short</v>
      </c>
      <c r="N380" s="45">
        <f>IFERROR(__xludf.DUMMYFUNCTION("""COMPUTED_VALUE"""),44926.0)</f>
        <v>44926</v>
      </c>
      <c r="O380" s="45">
        <f>IFERROR(__xludf.DUMMYFUNCTION("""COMPUTED_VALUE"""),45103.0)</f>
        <v>45103</v>
      </c>
      <c r="P380" s="45">
        <f>IFERROR(__xludf.DUMMYFUNCTION("""COMPUTED_VALUE"""),45149.0)</f>
        <v>45149</v>
      </c>
      <c r="Q380" s="45"/>
      <c r="R380" s="45"/>
      <c r="S380" s="43"/>
      <c r="T380" s="43"/>
      <c r="U380" s="43" t="str">
        <f>IFERROR(__xludf.DUMMYFUNCTION("""COMPUTED_VALUE"""),"Global Classroom")</f>
        <v>Global Classroom</v>
      </c>
      <c r="V380" s="43" t="str">
        <f>IFERROR(__xludf.DUMMYFUNCTION("""COMPUTED_VALUE"""),"Christ University (Main Campus), Bangalore")</f>
        <v>Christ University (Main Campus), Bangalore</v>
      </c>
      <c r="W380" s="43" t="str">
        <f>IFERROR(__xludf.DUMMYFUNCTION("""COMPUTED_VALUE"""),"2019-09-12T10:34:40Z")</f>
        <v>2019-09-12T10:34:40Z</v>
      </c>
      <c r="X380" s="43"/>
      <c r="Y380" s="43"/>
      <c r="Z380" s="43"/>
    </row>
    <row r="381">
      <c r="A381" s="43" t="str">
        <f>IFERROR(__xludf.DUMMYFUNCTION("""COMPUTED_VALUE"""),"5167917_1289347")</f>
        <v>5167917_1289347</v>
      </c>
      <c r="B381" s="43" t="str">
        <f>IFERROR(__xludf.DUMMYFUNCTION("""COMPUTED_VALUE"""),"Dawn Kuttaiah")</f>
        <v>Dawn Kuttaiah</v>
      </c>
      <c r="C381" s="43" t="str">
        <f>IFERROR(__xludf.DUMMYFUNCTION("""COMPUTED_VALUE"""),"approved")</f>
        <v>approved</v>
      </c>
      <c r="D381" s="43" t="str">
        <f>IFERROR(__xludf.DUMMYFUNCTION("""COMPUTED_VALUE"""),"No")</f>
        <v>No</v>
      </c>
      <c r="E381" s="43" t="str">
        <f>IFERROR(__xludf.DUMMYFUNCTION("""COMPUTED_VALUE"""),"p_fe84a19962221a5334d54fbef846639ad4223987@inbound.aiesec.org")</f>
        <v>p_fe84a19962221a5334d54fbef846639ad4223987@inbound.aiesec.org</v>
      </c>
      <c r="F381" s="43">
        <f>IFERROR(__xludf.DUMMYFUNCTION("""COMPUTED_VALUE"""),8.762430199E9)</f>
        <v>8762430199</v>
      </c>
      <c r="G381" s="43" t="str">
        <f>IFERROR(__xludf.DUMMYFUNCTION("""COMPUTED_VALUE"""),"India")</f>
        <v>India</v>
      </c>
      <c r="H381" s="43" t="str">
        <f>IFERROR(__xludf.DUMMYFUNCTION("""COMPUTED_VALUE"""),"Bengaluru")</f>
        <v>Bengaluru</v>
      </c>
      <c r="I381" s="43" t="str">
        <f>IFERROR(__xludf.DUMMYFUNCTION("""COMPUTED_VALUE"""),"Turkey")</f>
        <v>Turkey</v>
      </c>
      <c r="J381" s="43" t="str">
        <f>IFERROR(__xludf.DUMMYFUNCTION("""COMPUTED_VALUE"""),"ADANA")</f>
        <v>ADANA</v>
      </c>
      <c r="K381" s="44" t="str">
        <f>IFERROR(__xludf.DUMMYFUNCTION("""COMPUTED_VALUE"""),"https://expa.aiesec.org/opportunities/1289347")</f>
        <v>https://expa.aiesec.org/opportunities/1289347</v>
      </c>
      <c r="L381" s="43" t="str">
        <f>IFERROR(__xludf.DUMMYFUNCTION("""COMPUTED_VALUE"""),"GV")</f>
        <v>GV</v>
      </c>
      <c r="M381" s="43" t="str">
        <f>IFERROR(__xludf.DUMMYFUNCTION("""COMPUTED_VALUE"""),"short")</f>
        <v>short</v>
      </c>
      <c r="N381" s="45">
        <f>IFERROR(__xludf.DUMMYFUNCTION("""COMPUTED_VALUE"""),44926.0)</f>
        <v>44926</v>
      </c>
      <c r="O381" s="45">
        <f>IFERROR(__xludf.DUMMYFUNCTION("""COMPUTED_VALUE"""),45103.0)</f>
        <v>45103</v>
      </c>
      <c r="P381" s="45">
        <f>IFERROR(__xludf.DUMMYFUNCTION("""COMPUTED_VALUE"""),45149.0)</f>
        <v>45149</v>
      </c>
      <c r="Q381" s="45"/>
      <c r="R381" s="45"/>
      <c r="S381" s="43"/>
      <c r="T381" s="43"/>
      <c r="U381" s="43" t="str">
        <f>IFERROR(__xludf.DUMMYFUNCTION("""COMPUTED_VALUE"""),"Global Classroom")</f>
        <v>Global Classroom</v>
      </c>
      <c r="V381" s="43" t="str">
        <f>IFERROR(__xludf.DUMMYFUNCTION("""COMPUTED_VALUE"""),"Bangalore")</f>
        <v>Bangalore</v>
      </c>
      <c r="W381" s="43" t="str">
        <f>IFERROR(__xludf.DUMMYFUNCTION("""COMPUTED_VALUE"""),"2022-12-19T14:08:01Z")</f>
        <v>2022-12-19T14:08:01Z</v>
      </c>
      <c r="X381" s="43"/>
      <c r="Y381" s="43"/>
      <c r="Z381" s="43"/>
    </row>
    <row r="382" hidden="1">
      <c r="A382" s="43" t="str">
        <f>IFERROR(__xludf.DUMMYFUNCTION("""COMPUTED_VALUE"""),"5157773_1288663")</f>
        <v>5157773_1288663</v>
      </c>
      <c r="B382" s="43" t="str">
        <f>IFERROR(__xludf.DUMMYFUNCTION("""COMPUTED_VALUE"""),"Fatima Zahra HOUMADA")</f>
        <v>Fatima Zahra HOUMADA</v>
      </c>
      <c r="C382" s="43" t="str">
        <f>IFERROR(__xludf.DUMMYFUNCTION("""COMPUTED_VALUE"""),"completed")</f>
        <v>completed</v>
      </c>
      <c r="D382" s="43" t="str">
        <f>IFERROR(__xludf.DUMMYFUNCTION("""COMPUTED_VALUE"""),"No")</f>
        <v>No</v>
      </c>
      <c r="E382" s="43" t="str">
        <f>IFERROR(__xludf.DUMMYFUNCTION("""COMPUTED_VALUE"""),"p_da9daaf2ebc6adc87890059f2e18b86ec9c72d2d@inbound.aiesec.org")</f>
        <v>p_da9daaf2ebc6adc87890059f2e18b86ec9c72d2d@inbound.aiesec.org</v>
      </c>
      <c r="F382" s="43">
        <f>IFERROR(__xludf.DUMMYFUNCTION("""COMPUTED_VALUE"""),6.1508377E8)</f>
        <v>615083770</v>
      </c>
      <c r="G382" s="43" t="str">
        <f>IFERROR(__xludf.DUMMYFUNCTION("""COMPUTED_VALUE"""),"Morocco")</f>
        <v>Morocco</v>
      </c>
      <c r="H382" s="43" t="str">
        <f>IFERROR(__xludf.DUMMYFUNCTION("""COMPUTED_VALUE"""),"Kenitra")</f>
        <v>Kenitra</v>
      </c>
      <c r="I382" s="43" t="str">
        <f>IFERROR(__xludf.DUMMYFUNCTION("""COMPUTED_VALUE"""),"Turkey")</f>
        <v>Turkey</v>
      </c>
      <c r="J382" s="43" t="str">
        <f>IFERROR(__xludf.DUMMYFUNCTION("""COMPUTED_VALUE"""),"İZMİR")</f>
        <v>İZMİR</v>
      </c>
      <c r="K382" s="44" t="str">
        <f>IFERROR(__xludf.DUMMYFUNCTION("""COMPUTED_VALUE"""),"https://expa.aiesec.org/opportunities/1288663")</f>
        <v>https://expa.aiesec.org/opportunities/1288663</v>
      </c>
      <c r="L382" s="43" t="str">
        <f>IFERROR(__xludf.DUMMYFUNCTION("""COMPUTED_VALUE"""),"GV")</f>
        <v>GV</v>
      </c>
      <c r="M382" s="43" t="str">
        <f>IFERROR(__xludf.DUMMYFUNCTION("""COMPUTED_VALUE"""),"short")</f>
        <v>short</v>
      </c>
      <c r="N382" s="45">
        <f>IFERROR(__xludf.DUMMYFUNCTION("""COMPUTED_VALUE"""),44926.0)</f>
        <v>44926</v>
      </c>
      <c r="O382" s="45">
        <f>IFERROR(__xludf.DUMMYFUNCTION("""COMPUTED_VALUE"""),44941.0)</f>
        <v>44941</v>
      </c>
      <c r="P382" s="45">
        <f>IFERROR(__xludf.DUMMYFUNCTION("""COMPUTED_VALUE"""),44983.0)</f>
        <v>44983</v>
      </c>
      <c r="Q382" s="45">
        <f>IFERROR(__xludf.DUMMYFUNCTION("""COMPUTED_VALUE"""),44941.0)</f>
        <v>44941</v>
      </c>
      <c r="R382" s="45">
        <f>IFERROR(__xludf.DUMMYFUNCTION("""COMPUTED_VALUE"""),44983.0)</f>
        <v>44983</v>
      </c>
      <c r="S382" s="43"/>
      <c r="T382" s="43"/>
      <c r="U382" s="43" t="str">
        <f>IFERROR(__xludf.DUMMYFUNCTION("""COMPUTED_VALUE"""),"Global Classroom")</f>
        <v>Global Classroom</v>
      </c>
      <c r="V382" s="43" t="str">
        <f>IFERROR(__xludf.DUMMYFUNCTION("""COMPUTED_VALUE"""),"Ecole Nationale De Commerce Et De Gestion Kenitra (ENCGK)")</f>
        <v>Ecole Nationale De Commerce Et De Gestion Kenitra (ENCGK)</v>
      </c>
      <c r="W382" s="43" t="str">
        <f>IFERROR(__xludf.DUMMYFUNCTION("""COMPUTED_VALUE"""),"2022-11-23T13:56:11Z")</f>
        <v>2022-11-23T13:56:11Z</v>
      </c>
      <c r="X382" s="43"/>
      <c r="Y382" s="43"/>
      <c r="Z382" s="43"/>
    </row>
    <row r="383" hidden="1">
      <c r="A383" s="43" t="str">
        <f>IFERROR(__xludf.DUMMYFUNCTION("""COMPUTED_VALUE"""),"5169371_1288711")</f>
        <v>5169371_1288711</v>
      </c>
      <c r="B383" s="43" t="str">
        <f>IFERROR(__xludf.DUMMYFUNCTION("""COMPUTED_VALUE"""),"Rana Khattab")</f>
        <v>Rana Khattab</v>
      </c>
      <c r="C383" s="43" t="str">
        <f>IFERROR(__xludf.DUMMYFUNCTION("""COMPUTED_VALUE"""),"completed")</f>
        <v>completed</v>
      </c>
      <c r="D383" s="43" t="str">
        <f>IFERROR(__xludf.DUMMYFUNCTION("""COMPUTED_VALUE"""),"No")</f>
        <v>No</v>
      </c>
      <c r="E383" s="43" t="str">
        <f>IFERROR(__xludf.DUMMYFUNCTION("""COMPUTED_VALUE"""),"p_ebf78957f26d5335815e6c1f307b6892b548f41e@inbound.aiesec.org")</f>
        <v>p_ebf78957f26d5335815e6c1f307b6892b548f41e@inbound.aiesec.org</v>
      </c>
      <c r="F383" s="43"/>
      <c r="G383" s="43" t="str">
        <f>IFERROR(__xludf.DUMMYFUNCTION("""COMPUTED_VALUE"""),"Egypt")</f>
        <v>Egypt</v>
      </c>
      <c r="H383" s="43" t="str">
        <f>IFERROR(__xludf.DUMMYFUNCTION("""COMPUTED_VALUE"""),"Cairo University")</f>
        <v>Cairo University</v>
      </c>
      <c r="I383" s="43" t="str">
        <f>IFERROR(__xludf.DUMMYFUNCTION("""COMPUTED_VALUE"""),"Turkey")</f>
        <v>Turkey</v>
      </c>
      <c r="J383" s="43" t="str">
        <f>IFERROR(__xludf.DUMMYFUNCTION("""COMPUTED_VALUE"""),"TRABZON")</f>
        <v>TRABZON</v>
      </c>
      <c r="K383" s="44" t="str">
        <f>IFERROR(__xludf.DUMMYFUNCTION("""COMPUTED_VALUE"""),"https://expa.aiesec.org/opportunities/1288711")</f>
        <v>https://expa.aiesec.org/opportunities/1288711</v>
      </c>
      <c r="L383" s="43" t="str">
        <f>IFERROR(__xludf.DUMMYFUNCTION("""COMPUTED_VALUE"""),"GV")</f>
        <v>GV</v>
      </c>
      <c r="M383" s="43" t="str">
        <f>IFERROR(__xludf.DUMMYFUNCTION("""COMPUTED_VALUE"""),"short")</f>
        <v>short</v>
      </c>
      <c r="N383" s="45">
        <f>IFERROR(__xludf.DUMMYFUNCTION("""COMPUTED_VALUE"""),44926.0)</f>
        <v>44926</v>
      </c>
      <c r="O383" s="45">
        <f>IFERROR(__xludf.DUMMYFUNCTION("""COMPUTED_VALUE"""),45109.0)</f>
        <v>45109</v>
      </c>
      <c r="P383" s="45">
        <f>IFERROR(__xludf.DUMMYFUNCTION("""COMPUTED_VALUE"""),45151.0)</f>
        <v>45151</v>
      </c>
      <c r="Q383" s="45">
        <f>IFERROR(__xludf.DUMMYFUNCTION("""COMPUTED_VALUE"""),45108.0)</f>
        <v>45108</v>
      </c>
      <c r="R383" s="45">
        <f>IFERROR(__xludf.DUMMYFUNCTION("""COMPUTED_VALUE"""),45151.0)</f>
        <v>45151</v>
      </c>
      <c r="S383" s="43"/>
      <c r="T383" s="43"/>
      <c r="U383" s="43" t="str">
        <f>IFERROR(__xludf.DUMMYFUNCTION("""COMPUTED_VALUE"""),"Global Classroom")</f>
        <v>Global Classroom</v>
      </c>
      <c r="V383" s="43" t="str">
        <f>IFERROR(__xludf.DUMMYFUNCTION("""COMPUTED_VALUE"""),"Cairo Univeristy")</f>
        <v>Cairo Univeristy</v>
      </c>
      <c r="W383" s="43" t="str">
        <f>IFERROR(__xludf.DUMMYFUNCTION("""COMPUTED_VALUE"""),"2022-12-22T21:22:32Z")</f>
        <v>2022-12-22T21:22:32Z</v>
      </c>
      <c r="X383" s="43"/>
      <c r="Y383" s="43"/>
      <c r="Z383" s="43"/>
    </row>
    <row r="384" hidden="1">
      <c r="A384" s="43" t="str">
        <f>IFERROR(__xludf.DUMMYFUNCTION("""COMPUTED_VALUE"""),"4426836_1285713")</f>
        <v>4426836_1285713</v>
      </c>
      <c r="B384" s="43" t="str">
        <f>IFERROR(__xludf.DUMMYFUNCTION("""COMPUTED_VALUE"""),"Ujjwal Vasudevan Ujjwal Vasudevan")</f>
        <v>Ujjwal Vasudevan Ujjwal Vasudevan</v>
      </c>
      <c r="C384" s="43" t="str">
        <f>IFERROR(__xludf.DUMMYFUNCTION("""COMPUTED_VALUE"""),"approved")</f>
        <v>approved</v>
      </c>
      <c r="D384" s="43" t="str">
        <f>IFERROR(__xludf.DUMMYFUNCTION("""COMPUTED_VALUE"""),"No")</f>
        <v>No</v>
      </c>
      <c r="E384" s="43" t="str">
        <f>IFERROR(__xludf.DUMMYFUNCTION("""COMPUTED_VALUE"""),"p_2c28bd2ec5a24b84e39abc65511c8d18857f95bb@inbound.aiesec.org")</f>
        <v>p_2c28bd2ec5a24b84e39abc65511c8d18857f95bb@inbound.aiesec.org</v>
      </c>
      <c r="F384" s="43">
        <f>IFERROR(__xludf.DUMMYFUNCTION("""COMPUTED_VALUE"""),9.78627176E8)</f>
        <v>978627176</v>
      </c>
      <c r="G384" s="43" t="str">
        <f>IFERROR(__xludf.DUMMYFUNCTION("""COMPUTED_VALUE"""),"India")</f>
        <v>India</v>
      </c>
      <c r="H384" s="43" t="str">
        <f>IFERROR(__xludf.DUMMYFUNCTION("""COMPUTED_VALUE"""),"Bengaluru")</f>
        <v>Bengaluru</v>
      </c>
      <c r="I384" s="43" t="str">
        <f>IFERROR(__xludf.DUMMYFUNCTION("""COMPUTED_VALUE"""),"Turkey")</f>
        <v>Turkey</v>
      </c>
      <c r="J384" s="43" t="str">
        <f>IFERROR(__xludf.DUMMYFUNCTION("""COMPUTED_VALUE"""),"ISTANBUL")</f>
        <v>ISTANBUL</v>
      </c>
      <c r="K384" s="44" t="str">
        <f>IFERROR(__xludf.DUMMYFUNCTION("""COMPUTED_VALUE"""),"https://expa.aiesec.org/opportunities/1285713")</f>
        <v>https://expa.aiesec.org/opportunities/1285713</v>
      </c>
      <c r="L384" s="43" t="str">
        <f>IFERROR(__xludf.DUMMYFUNCTION("""COMPUTED_VALUE"""),"GV")</f>
        <v>GV</v>
      </c>
      <c r="M384" s="43" t="str">
        <f>IFERROR(__xludf.DUMMYFUNCTION("""COMPUTED_VALUE"""),"short")</f>
        <v>short</v>
      </c>
      <c r="N384" s="45">
        <f>IFERROR(__xludf.DUMMYFUNCTION("""COMPUTED_VALUE"""),44926.0)</f>
        <v>44926</v>
      </c>
      <c r="O384" s="45">
        <f>IFERROR(__xludf.DUMMYFUNCTION("""COMPUTED_VALUE"""),45117.0)</f>
        <v>45117</v>
      </c>
      <c r="P384" s="45">
        <f>IFERROR(__xludf.DUMMYFUNCTION("""COMPUTED_VALUE"""),45159.0)</f>
        <v>45159</v>
      </c>
      <c r="Q384" s="45"/>
      <c r="R384" s="45"/>
      <c r="S384" s="43"/>
      <c r="T384" s="43"/>
      <c r="U384" s="43" t="str">
        <f>IFERROR(__xludf.DUMMYFUNCTION("""COMPUTED_VALUE"""),"Heartbeat")</f>
        <v>Heartbeat</v>
      </c>
      <c r="V384" s="43" t="str">
        <f>IFERROR(__xludf.DUMMYFUNCTION("""COMPUTED_VALUE"""),"Christ University (Bannerghatta Campus), Bangalore")</f>
        <v>Christ University (Bannerghatta Campus), Bangalore</v>
      </c>
      <c r="W384" s="43" t="str">
        <f>IFERROR(__xludf.DUMMYFUNCTION("""COMPUTED_VALUE"""),"2020-11-17T03:28:08Z")</f>
        <v>2020-11-17T03:28:08Z</v>
      </c>
      <c r="X384" s="43"/>
      <c r="Y384" s="43"/>
      <c r="Z384" s="43"/>
    </row>
    <row r="385" hidden="1">
      <c r="A385" s="43" t="str">
        <f>IFERROR(__xludf.DUMMYFUNCTION("""COMPUTED_VALUE"""),"3705139_1286326")</f>
        <v>3705139_1286326</v>
      </c>
      <c r="B385" s="43" t="str">
        <f>IFERROR(__xludf.DUMMYFUNCTION("""COMPUTED_VALUE"""),"Hardik Samdani")</f>
        <v>Hardik Samdani</v>
      </c>
      <c r="C385" s="43" t="str">
        <f>IFERROR(__xludf.DUMMYFUNCTION("""COMPUTED_VALUE"""),"realization_broken")</f>
        <v>realization_broken</v>
      </c>
      <c r="D385" s="43" t="str">
        <f>IFERROR(__xludf.DUMMYFUNCTION("""COMPUTED_VALUE"""),"No")</f>
        <v>No</v>
      </c>
      <c r="E385" s="43" t="str">
        <f>IFERROR(__xludf.DUMMYFUNCTION("""COMPUTED_VALUE"""),"p_772fbe6fcd47aa9bd036c1da2230b611f0bc60d3@inbound.aiesec.org")</f>
        <v>p_772fbe6fcd47aa9bd036c1da2230b611f0bc60d3@inbound.aiesec.org</v>
      </c>
      <c r="F385" s="43"/>
      <c r="G385" s="43" t="str">
        <f>IFERROR(__xludf.DUMMYFUNCTION("""COMPUTED_VALUE"""),"India")</f>
        <v>India</v>
      </c>
      <c r="H385" s="43" t="str">
        <f>IFERROR(__xludf.DUMMYFUNCTION("""COMPUTED_VALUE"""),"Closed")</f>
        <v>Closed</v>
      </c>
      <c r="I385" s="43" t="str">
        <f>IFERROR(__xludf.DUMMYFUNCTION("""COMPUTED_VALUE"""),"Turkey")</f>
        <v>Turkey</v>
      </c>
      <c r="J385" s="43" t="str">
        <f>IFERROR(__xludf.DUMMYFUNCTION("""COMPUTED_VALUE"""),"ADANA")</f>
        <v>ADANA</v>
      </c>
      <c r="K385" s="44" t="str">
        <f>IFERROR(__xludf.DUMMYFUNCTION("""COMPUTED_VALUE"""),"https://expa.aiesec.org/opportunities/1286326")</f>
        <v>https://expa.aiesec.org/opportunities/1286326</v>
      </c>
      <c r="L385" s="43" t="str">
        <f>IFERROR(__xludf.DUMMYFUNCTION("""COMPUTED_VALUE"""),"GV")</f>
        <v>GV</v>
      </c>
      <c r="M385" s="43" t="str">
        <f>IFERROR(__xludf.DUMMYFUNCTION("""COMPUTED_VALUE"""),"short")</f>
        <v>short</v>
      </c>
      <c r="N385" s="45">
        <f>IFERROR(__xludf.DUMMYFUNCTION("""COMPUTED_VALUE"""),44929.0)</f>
        <v>44929</v>
      </c>
      <c r="O385" s="45">
        <f>IFERROR(__xludf.DUMMYFUNCTION("""COMPUTED_VALUE"""),44942.0)</f>
        <v>44942</v>
      </c>
      <c r="P385" s="45">
        <f>IFERROR(__xludf.DUMMYFUNCTION("""COMPUTED_VALUE"""),44984.0)</f>
        <v>44984</v>
      </c>
      <c r="Q385" s="45"/>
      <c r="R385" s="45"/>
      <c r="S385" s="43"/>
      <c r="T385" s="43"/>
      <c r="U385" s="43" t="str">
        <f>IFERROR(__xludf.DUMMYFUNCTION("""COMPUTED_VALUE"""),"Equify")</f>
        <v>Equify</v>
      </c>
      <c r="V385" s="43" t="str">
        <f>IFERROR(__xludf.DUMMYFUNCTION("""COMPUTED_VALUE"""),"Jai Hind College, Mumbai")</f>
        <v>Jai Hind College, Mumbai</v>
      </c>
      <c r="W385" s="43" t="str">
        <f>IFERROR(__xludf.DUMMYFUNCTION("""COMPUTED_VALUE"""),"2019-07-25T15:08:09Z")</f>
        <v>2019-07-25T15:08:09Z</v>
      </c>
      <c r="X385" s="43"/>
      <c r="Y385" s="43"/>
      <c r="Z385" s="43"/>
    </row>
    <row r="386" hidden="1">
      <c r="A386" s="43" t="str">
        <f>IFERROR(__xludf.DUMMYFUNCTION("""COMPUTED_VALUE"""),"5166985_1279126")</f>
        <v>5166985_1279126</v>
      </c>
      <c r="B386" s="43" t="str">
        <f>IFERROR(__xludf.DUMMYFUNCTION("""COMPUTED_VALUE"""),"Andreea Minea")</f>
        <v>Andreea Minea</v>
      </c>
      <c r="C386" s="43" t="str">
        <f>IFERROR(__xludf.DUMMYFUNCTION("""COMPUTED_VALUE"""),"approved")</f>
        <v>approved</v>
      </c>
      <c r="D386" s="43" t="str">
        <f>IFERROR(__xludf.DUMMYFUNCTION("""COMPUTED_VALUE"""),"No")</f>
        <v>No</v>
      </c>
      <c r="E386" s="43" t="str">
        <f>IFERROR(__xludf.DUMMYFUNCTION("""COMPUTED_VALUE"""),"p_33852283c18d491a36b60024c5ab6a6933931189@inbound.aiesec.org")</f>
        <v>p_33852283c18d491a36b60024c5ab6a6933931189@inbound.aiesec.org</v>
      </c>
      <c r="F386" s="43">
        <f>IFERROR(__xludf.DUMMYFUNCTION("""COMPUTED_VALUE"""),7.71676033E8)</f>
        <v>771676033</v>
      </c>
      <c r="G386" s="43" t="str">
        <f>IFERROR(__xludf.DUMMYFUNCTION("""COMPUTED_VALUE"""),"Romania")</f>
        <v>Romania</v>
      </c>
      <c r="H386" s="43" t="str">
        <f>IFERROR(__xludf.DUMMYFUNCTION("""COMPUTED_VALUE"""),"BUCURESTI")</f>
        <v>BUCURESTI</v>
      </c>
      <c r="I386" s="43" t="str">
        <f>IFERROR(__xludf.DUMMYFUNCTION("""COMPUTED_VALUE"""),"Turkey")</f>
        <v>Turkey</v>
      </c>
      <c r="J386" s="43" t="str">
        <f>IFERROR(__xludf.DUMMYFUNCTION("""COMPUTED_VALUE"""),"KOCAELI")</f>
        <v>KOCAELI</v>
      </c>
      <c r="K386" s="44" t="str">
        <f>IFERROR(__xludf.DUMMYFUNCTION("""COMPUTED_VALUE"""),"https://expa.aiesec.org/opportunities/1279126")</f>
        <v>https://expa.aiesec.org/opportunities/1279126</v>
      </c>
      <c r="L386" s="43" t="str">
        <f>IFERROR(__xludf.DUMMYFUNCTION("""COMPUTED_VALUE"""),"GV")</f>
        <v>GV</v>
      </c>
      <c r="M386" s="43" t="str">
        <f>IFERROR(__xludf.DUMMYFUNCTION("""COMPUTED_VALUE"""),"short")</f>
        <v>short</v>
      </c>
      <c r="N386" s="45">
        <f>IFERROR(__xludf.DUMMYFUNCTION("""COMPUTED_VALUE"""),44930.0)</f>
        <v>44930</v>
      </c>
      <c r="O386" s="45">
        <f>IFERROR(__xludf.DUMMYFUNCTION("""COMPUTED_VALUE"""),45110.0)</f>
        <v>45110</v>
      </c>
      <c r="P386" s="45">
        <f>IFERROR(__xludf.DUMMYFUNCTION("""COMPUTED_VALUE"""),45152.0)</f>
        <v>45152</v>
      </c>
      <c r="Q386" s="45"/>
      <c r="R386" s="45"/>
      <c r="S386" s="43"/>
      <c r="T386" s="43"/>
      <c r="U386" s="43" t="str">
        <f>IFERROR(__xludf.DUMMYFUNCTION("""COMPUTED_VALUE"""),"Global Classroom")</f>
        <v>Global Classroom</v>
      </c>
      <c r="V386" s="43" t="str">
        <f>IFERROR(__xludf.DUMMYFUNCTION("""COMPUTED_VALUE"""),"Ploiesti")</f>
        <v>Ploiesti</v>
      </c>
      <c r="W386" s="43" t="str">
        <f>IFERROR(__xludf.DUMMYFUNCTION("""COMPUTED_VALUE"""),"2022-12-16T18:14:14Z")</f>
        <v>2022-12-16T18:14:14Z</v>
      </c>
      <c r="X386" s="43"/>
      <c r="Y386" s="43"/>
      <c r="Z386" s="43"/>
    </row>
    <row r="387" hidden="1">
      <c r="A387" s="43" t="str">
        <f>IFERROR(__xludf.DUMMYFUNCTION("""COMPUTED_VALUE"""),"5161023_1279126")</f>
        <v>5161023_1279126</v>
      </c>
      <c r="B387" s="43" t="str">
        <f>IFERROR(__xludf.DUMMYFUNCTION("""COMPUTED_VALUE"""),"Miruna Toader")</f>
        <v>Miruna Toader</v>
      </c>
      <c r="C387" s="43" t="str">
        <f>IFERROR(__xludf.DUMMYFUNCTION("""COMPUTED_VALUE"""),"finished")</f>
        <v>finished</v>
      </c>
      <c r="D387" s="43" t="str">
        <f>IFERROR(__xludf.DUMMYFUNCTION("""COMPUTED_VALUE"""),"No")</f>
        <v>No</v>
      </c>
      <c r="E387" s="43" t="str">
        <f>IFERROR(__xludf.DUMMYFUNCTION("""COMPUTED_VALUE"""),"p_3592421348f874aecacd385d0fc1d61e2d76a5df@inbound.aiesec.org")</f>
        <v>p_3592421348f874aecacd385d0fc1d61e2d76a5df@inbound.aiesec.org</v>
      </c>
      <c r="F387" s="43"/>
      <c r="G387" s="43" t="str">
        <f>IFERROR(__xludf.DUMMYFUNCTION("""COMPUTED_VALUE"""),"Romania")</f>
        <v>Romania</v>
      </c>
      <c r="H387" s="43" t="str">
        <f>IFERROR(__xludf.DUMMYFUNCTION("""COMPUTED_VALUE"""),"BUCURESTI")</f>
        <v>BUCURESTI</v>
      </c>
      <c r="I387" s="43" t="str">
        <f>IFERROR(__xludf.DUMMYFUNCTION("""COMPUTED_VALUE"""),"Turkey")</f>
        <v>Turkey</v>
      </c>
      <c r="J387" s="43" t="str">
        <f>IFERROR(__xludf.DUMMYFUNCTION("""COMPUTED_VALUE"""),"KOCAELI")</f>
        <v>KOCAELI</v>
      </c>
      <c r="K387" s="44" t="str">
        <f>IFERROR(__xludf.DUMMYFUNCTION("""COMPUTED_VALUE"""),"https://expa.aiesec.org/opportunities/1279126")</f>
        <v>https://expa.aiesec.org/opportunities/1279126</v>
      </c>
      <c r="L387" s="43" t="str">
        <f>IFERROR(__xludf.DUMMYFUNCTION("""COMPUTED_VALUE"""),"GV")</f>
        <v>GV</v>
      </c>
      <c r="M387" s="43" t="str">
        <f>IFERROR(__xludf.DUMMYFUNCTION("""COMPUTED_VALUE"""),"short")</f>
        <v>short</v>
      </c>
      <c r="N387" s="45">
        <f>IFERROR(__xludf.DUMMYFUNCTION("""COMPUTED_VALUE"""),44930.0)</f>
        <v>44930</v>
      </c>
      <c r="O387" s="45">
        <f>IFERROR(__xludf.DUMMYFUNCTION("""COMPUTED_VALUE"""),45138.0)</f>
        <v>45138</v>
      </c>
      <c r="P387" s="45">
        <f>IFERROR(__xludf.DUMMYFUNCTION("""COMPUTED_VALUE"""),45180.0)</f>
        <v>45180</v>
      </c>
      <c r="Q387" s="45">
        <f>IFERROR(__xludf.DUMMYFUNCTION("""COMPUTED_VALUE"""),45138.0)</f>
        <v>45138</v>
      </c>
      <c r="R387" s="45">
        <f>IFERROR(__xludf.DUMMYFUNCTION("""COMPUTED_VALUE"""),45180.0)</f>
        <v>45180</v>
      </c>
      <c r="S387" s="43"/>
      <c r="T387" s="43"/>
      <c r="U387" s="43" t="str">
        <f>IFERROR(__xludf.DUMMYFUNCTION("""COMPUTED_VALUE"""),"Global Classroom")</f>
        <v>Global Classroom</v>
      </c>
      <c r="V387" s="43" t="str">
        <f>IFERROR(__xludf.DUMMYFUNCTION("""COMPUTED_VALUE"""),"-")</f>
        <v>-</v>
      </c>
      <c r="W387" s="43" t="str">
        <f>IFERROR(__xludf.DUMMYFUNCTION("""COMPUTED_VALUE"""),"2022-11-30T15:47:55Z")</f>
        <v>2022-11-30T15:47:55Z</v>
      </c>
      <c r="X387" s="43"/>
      <c r="Y387" s="43"/>
      <c r="Z387" s="43"/>
    </row>
    <row r="388" hidden="1">
      <c r="A388" s="43" t="str">
        <f>IFERROR(__xludf.DUMMYFUNCTION("""COMPUTED_VALUE"""),"5100928_1284414")</f>
        <v>5100928_1284414</v>
      </c>
      <c r="B388" s="43" t="str">
        <f>IFERROR(__xludf.DUMMYFUNCTION("""COMPUTED_VALUE"""),"Muhammad Abdullah Khan")</f>
        <v>Muhammad Abdullah Khan</v>
      </c>
      <c r="C388" s="43" t="str">
        <f>IFERROR(__xludf.DUMMYFUNCTION("""COMPUTED_VALUE"""),"completed")</f>
        <v>completed</v>
      </c>
      <c r="D388" s="43" t="str">
        <f>IFERROR(__xludf.DUMMYFUNCTION("""COMPUTED_VALUE"""),"No")</f>
        <v>No</v>
      </c>
      <c r="E388" s="43" t="str">
        <f>IFERROR(__xludf.DUMMYFUNCTION("""COMPUTED_VALUE"""),"p_d4a56b75f6339de4f7088a0ed81a14e41a361a10@inbound.aiesec.org")</f>
        <v>p_d4a56b75f6339de4f7088a0ed81a14e41a361a10@inbound.aiesec.org</v>
      </c>
      <c r="F388" s="43">
        <f>IFERROR(__xludf.DUMMYFUNCTION("""COMPUTED_VALUE"""),5.445215941E9)</f>
        <v>5445215941</v>
      </c>
      <c r="G388" s="43" t="str">
        <f>IFERROR(__xludf.DUMMYFUNCTION("""COMPUTED_VALUE"""),"Pakistan")</f>
        <v>Pakistan</v>
      </c>
      <c r="H388" s="43" t="str">
        <f>IFERROR(__xludf.DUMMYFUNCTION("""COMPUTED_VALUE"""),"Faisalabad")</f>
        <v>Faisalabad</v>
      </c>
      <c r="I388" s="43" t="str">
        <f>IFERROR(__xludf.DUMMYFUNCTION("""COMPUTED_VALUE"""),"Turkey")</f>
        <v>Turkey</v>
      </c>
      <c r="J388" s="43" t="str">
        <f>IFERROR(__xludf.DUMMYFUNCTION("""COMPUTED_VALUE"""),"ISTANBUL")</f>
        <v>ISTANBUL</v>
      </c>
      <c r="K388" s="44" t="str">
        <f>IFERROR(__xludf.DUMMYFUNCTION("""COMPUTED_VALUE"""),"https://expa.aiesec.org/opportunities/1284414")</f>
        <v>https://expa.aiesec.org/opportunities/1284414</v>
      </c>
      <c r="L388" s="43" t="str">
        <f>IFERROR(__xludf.DUMMYFUNCTION("""COMPUTED_VALUE"""),"GV")</f>
        <v>GV</v>
      </c>
      <c r="M388" s="43" t="str">
        <f>IFERROR(__xludf.DUMMYFUNCTION("""COMPUTED_VALUE"""),"short")</f>
        <v>short</v>
      </c>
      <c r="N388" s="45">
        <f>IFERROR(__xludf.DUMMYFUNCTION("""COMPUTED_VALUE"""),44932.0)</f>
        <v>44932</v>
      </c>
      <c r="O388" s="45">
        <f>IFERROR(__xludf.DUMMYFUNCTION("""COMPUTED_VALUE"""),44942.0)</f>
        <v>44942</v>
      </c>
      <c r="P388" s="45">
        <f>IFERROR(__xludf.DUMMYFUNCTION("""COMPUTED_VALUE"""),44984.0)</f>
        <v>44984</v>
      </c>
      <c r="Q388" s="45">
        <f>IFERROR(__xludf.DUMMYFUNCTION("""COMPUTED_VALUE"""),44943.0)</f>
        <v>44943</v>
      </c>
      <c r="R388" s="45">
        <f>IFERROR(__xludf.DUMMYFUNCTION("""COMPUTED_VALUE"""),44984.0)</f>
        <v>44984</v>
      </c>
      <c r="S388" s="43"/>
      <c r="T388" s="43"/>
      <c r="U388" s="43" t="str">
        <f>IFERROR(__xludf.DUMMYFUNCTION("""COMPUTED_VALUE"""),"Equify")</f>
        <v>Equify</v>
      </c>
      <c r="V388" s="43" t="str">
        <f>IFERROR(__xludf.DUMMYFUNCTION("""COMPUTED_VALUE"""),"Faisalabad - Other")</f>
        <v>Faisalabad - Other</v>
      </c>
      <c r="W388" s="43" t="str">
        <f>IFERROR(__xludf.DUMMYFUNCTION("""COMPUTED_VALUE"""),"2022-08-28T06:35:38Z")</f>
        <v>2022-08-28T06:35:38Z</v>
      </c>
      <c r="X388" s="43"/>
      <c r="Y388" s="43"/>
      <c r="Z388" s="43"/>
    </row>
    <row r="389" hidden="1">
      <c r="A389" s="43" t="str">
        <f>IFERROR(__xludf.DUMMYFUNCTION("""COMPUTED_VALUE"""),"5120527_1290826")</f>
        <v>5120527_1290826</v>
      </c>
      <c r="B389" s="43" t="str">
        <f>IFERROR(__xludf.DUMMYFUNCTION("""COMPUTED_VALUE"""),"Henrique Vale")</f>
        <v>Henrique Vale</v>
      </c>
      <c r="C389" s="43" t="str">
        <f>IFERROR(__xludf.DUMMYFUNCTION("""COMPUTED_VALUE"""),"completed")</f>
        <v>completed</v>
      </c>
      <c r="D389" s="43" t="str">
        <f>IFERROR(__xludf.DUMMYFUNCTION("""COMPUTED_VALUE"""),"No")</f>
        <v>No</v>
      </c>
      <c r="E389" s="43" t="str">
        <f>IFERROR(__xludf.DUMMYFUNCTION("""COMPUTED_VALUE"""),"p_50b237dd147f10209aeb896fc87a3e07252f43d4@inbound.aiesec.org")</f>
        <v>p_50b237dd147f10209aeb896fc87a3e07252f43d4@inbound.aiesec.org</v>
      </c>
      <c r="F389" s="43"/>
      <c r="G389" s="43" t="str">
        <f>IFERROR(__xludf.DUMMYFUNCTION("""COMPUTED_VALUE"""),"Brazil")</f>
        <v>Brazil</v>
      </c>
      <c r="H389" s="43" t="str">
        <f>IFERROR(__xludf.DUMMYFUNCTION("""COMPUTED_VALUE"""),"ITAJUBA")</f>
        <v>ITAJUBA</v>
      </c>
      <c r="I389" s="43" t="str">
        <f>IFERROR(__xludf.DUMMYFUNCTION("""COMPUTED_VALUE"""),"Turkey")</f>
        <v>Turkey</v>
      </c>
      <c r="J389" s="43" t="str">
        <f>IFERROR(__xludf.DUMMYFUNCTION("""COMPUTED_VALUE"""),"KOCAELI")</f>
        <v>KOCAELI</v>
      </c>
      <c r="K389" s="44" t="str">
        <f>IFERROR(__xludf.DUMMYFUNCTION("""COMPUTED_VALUE"""),"https://expa.aiesec.org/opportunities/1290826")</f>
        <v>https://expa.aiesec.org/opportunities/1290826</v>
      </c>
      <c r="L389" s="43" t="str">
        <f>IFERROR(__xludf.DUMMYFUNCTION("""COMPUTED_VALUE"""),"GV")</f>
        <v>GV</v>
      </c>
      <c r="M389" s="43" t="str">
        <f>IFERROR(__xludf.DUMMYFUNCTION("""COMPUTED_VALUE"""),"short")</f>
        <v>short</v>
      </c>
      <c r="N389" s="45">
        <f>IFERROR(__xludf.DUMMYFUNCTION("""COMPUTED_VALUE"""),44935.0)</f>
        <v>44935</v>
      </c>
      <c r="O389" s="45">
        <f>IFERROR(__xludf.DUMMYFUNCTION("""COMPUTED_VALUE"""),44938.0)</f>
        <v>44938</v>
      </c>
      <c r="P389" s="45">
        <f>IFERROR(__xludf.DUMMYFUNCTION("""COMPUTED_VALUE"""),44980.0)</f>
        <v>44980</v>
      </c>
      <c r="Q389" s="45">
        <f>IFERROR(__xludf.DUMMYFUNCTION("""COMPUTED_VALUE"""),44941.0)</f>
        <v>44941</v>
      </c>
      <c r="R389" s="45">
        <f>IFERROR(__xludf.DUMMYFUNCTION("""COMPUTED_VALUE"""),44983.0)</f>
        <v>44983</v>
      </c>
      <c r="S389" s="43"/>
      <c r="T389" s="43"/>
      <c r="U389" s="43" t="str">
        <f>IFERROR(__xludf.DUMMYFUNCTION("""COMPUTED_VALUE"""),"Global Classroom")</f>
        <v>Global Classroom</v>
      </c>
      <c r="V389" s="43" t="str">
        <f>IFERROR(__xludf.DUMMYFUNCTION("""COMPUTED_VALUE"""),"-")</f>
        <v>-</v>
      </c>
      <c r="W389" s="43" t="str">
        <f>IFERROR(__xludf.DUMMYFUNCTION("""COMPUTED_VALUE"""),"2022-09-27T14:22:31Z")</f>
        <v>2022-09-27T14:22:31Z</v>
      </c>
      <c r="X389" s="43"/>
      <c r="Y389" s="43"/>
      <c r="Z389" s="43"/>
    </row>
    <row r="390" hidden="1">
      <c r="A390" s="43" t="str">
        <f>IFERROR(__xludf.DUMMYFUNCTION("""COMPUTED_VALUE"""),"3685900_1272564")</f>
        <v>3685900_1272564</v>
      </c>
      <c r="B390" s="43" t="str">
        <f>IFERROR(__xludf.DUMMYFUNCTION("""COMPUTED_VALUE"""),"Chiara Pulvano Guelfi")</f>
        <v>Chiara Pulvano Guelfi</v>
      </c>
      <c r="C390" s="43" t="str">
        <f>IFERROR(__xludf.DUMMYFUNCTION("""COMPUTED_VALUE"""),"approved")</f>
        <v>approved</v>
      </c>
      <c r="D390" s="43" t="str">
        <f>IFERROR(__xludf.DUMMYFUNCTION("""COMPUTED_VALUE"""),"No")</f>
        <v>No</v>
      </c>
      <c r="E390" s="43" t="str">
        <f>IFERROR(__xludf.DUMMYFUNCTION("""COMPUTED_VALUE"""),"p_90fad5eceb7cddd93a4e0b10a00c5f92a0ba6a14@inbound.aiesec.org")</f>
        <v>p_90fad5eceb7cddd93a4e0b10a00c5f92a0ba6a14@inbound.aiesec.org</v>
      </c>
      <c r="F390" s="43"/>
      <c r="G390" s="43" t="str">
        <f>IFERROR(__xludf.DUMMYFUNCTION("""COMPUTED_VALUE"""),"Italy")</f>
        <v>Italy</v>
      </c>
      <c r="H390" s="43" t="str">
        <f>IFERROR(__xludf.DUMMYFUNCTION("""COMPUTED_VALUE"""),"Milano")</f>
        <v>Milano</v>
      </c>
      <c r="I390" s="43" t="str">
        <f>IFERROR(__xludf.DUMMYFUNCTION("""COMPUTED_VALUE"""),"Turkey")</f>
        <v>Turkey</v>
      </c>
      <c r="J390" s="43" t="str">
        <f>IFERROR(__xludf.DUMMYFUNCTION("""COMPUTED_VALUE"""),"ISTANBUL")</f>
        <v>ISTANBUL</v>
      </c>
      <c r="K390" s="44" t="str">
        <f>IFERROR(__xludf.DUMMYFUNCTION("""COMPUTED_VALUE"""),"https://expa.aiesec.org/opportunities/1272564")</f>
        <v>https://expa.aiesec.org/opportunities/1272564</v>
      </c>
      <c r="L390" s="43" t="str">
        <f>IFERROR(__xludf.DUMMYFUNCTION("""COMPUTED_VALUE"""),"GV")</f>
        <v>GV</v>
      </c>
      <c r="M390" s="43" t="str">
        <f>IFERROR(__xludf.DUMMYFUNCTION("""COMPUTED_VALUE"""),"short")</f>
        <v>short</v>
      </c>
      <c r="N390" s="45">
        <f>IFERROR(__xludf.DUMMYFUNCTION("""COMPUTED_VALUE"""),44935.0)</f>
        <v>44935</v>
      </c>
      <c r="O390" s="45">
        <f>IFERROR(__xludf.DUMMYFUNCTION("""COMPUTED_VALUE"""),45173.0)</f>
        <v>45173</v>
      </c>
      <c r="P390" s="45">
        <f>IFERROR(__xludf.DUMMYFUNCTION("""COMPUTED_VALUE"""),45215.0)</f>
        <v>45215</v>
      </c>
      <c r="Q390" s="45"/>
      <c r="R390" s="45"/>
      <c r="S390" s="43"/>
      <c r="T390" s="43"/>
      <c r="U390" s="43" t="str">
        <f>IFERROR(__xludf.DUMMYFUNCTION("""COMPUTED_VALUE"""),"Global Classroom")</f>
        <v>Global Classroom</v>
      </c>
      <c r="V390" s="43" t="str">
        <f>IFERROR(__xludf.DUMMYFUNCTION("""COMPUTED_VALUE"""),"-")</f>
        <v>-</v>
      </c>
      <c r="W390" s="43" t="str">
        <f>IFERROR(__xludf.DUMMYFUNCTION("""COMPUTED_VALUE"""),"2019-07-21T09:32:01Z")</f>
        <v>2019-07-21T09:32:01Z</v>
      </c>
      <c r="X390" s="43"/>
      <c r="Y390" s="43"/>
      <c r="Z390" s="43"/>
    </row>
    <row r="391" hidden="1">
      <c r="A391" s="43" t="str">
        <f>IFERROR(__xludf.DUMMYFUNCTION("""COMPUTED_VALUE"""),"4530311_1291055")</f>
        <v>4530311_1291055</v>
      </c>
      <c r="B391" s="43" t="str">
        <f>IFERROR(__xludf.DUMMYFUNCTION("""COMPUTED_VALUE"""),"Rasika Gharpure")</f>
        <v>Rasika Gharpure</v>
      </c>
      <c r="C391" s="43" t="str">
        <f>IFERROR(__xludf.DUMMYFUNCTION("""COMPUTED_VALUE"""),"approved")</f>
        <v>approved</v>
      </c>
      <c r="D391" s="43" t="str">
        <f>IFERROR(__xludf.DUMMYFUNCTION("""COMPUTED_VALUE"""),"No")</f>
        <v>No</v>
      </c>
      <c r="E391" s="43" t="str">
        <f>IFERROR(__xludf.DUMMYFUNCTION("""COMPUTED_VALUE"""),"p_5a82eafe47693091f8a294a96224711ab0b1fb79@inbound.aiesec.org")</f>
        <v>p_5a82eafe47693091f8a294a96224711ab0b1fb79@inbound.aiesec.org</v>
      </c>
      <c r="F391" s="43">
        <f>IFERROR(__xludf.DUMMYFUNCTION("""COMPUTED_VALUE"""),9.765731171E9)</f>
        <v>9765731171</v>
      </c>
      <c r="G391" s="43" t="str">
        <f>IFERROR(__xludf.DUMMYFUNCTION("""COMPUTED_VALUE"""),"India")</f>
        <v>India</v>
      </c>
      <c r="H391" s="43" t="str">
        <f>IFERROR(__xludf.DUMMYFUNCTION("""COMPUTED_VALUE"""),"Pune")</f>
        <v>Pune</v>
      </c>
      <c r="I391" s="43" t="str">
        <f>IFERROR(__xludf.DUMMYFUNCTION("""COMPUTED_VALUE"""),"Turkey")</f>
        <v>Turkey</v>
      </c>
      <c r="J391" s="43" t="str">
        <f>IFERROR(__xludf.DUMMYFUNCTION("""COMPUTED_VALUE"""),"SAKARYA")</f>
        <v>SAKARYA</v>
      </c>
      <c r="K391" s="44" t="str">
        <f>IFERROR(__xludf.DUMMYFUNCTION("""COMPUTED_VALUE"""),"https://expa.aiesec.org/opportunities/1291055")</f>
        <v>https://expa.aiesec.org/opportunities/1291055</v>
      </c>
      <c r="L391" s="43" t="str">
        <f>IFERROR(__xludf.DUMMYFUNCTION("""COMPUTED_VALUE"""),"GV")</f>
        <v>GV</v>
      </c>
      <c r="M391" s="43" t="str">
        <f>IFERROR(__xludf.DUMMYFUNCTION("""COMPUTED_VALUE"""),"short")</f>
        <v>short</v>
      </c>
      <c r="N391" s="45">
        <f>IFERROR(__xludf.DUMMYFUNCTION("""COMPUTED_VALUE"""),44936.0)</f>
        <v>44936</v>
      </c>
      <c r="O391" s="45">
        <f>IFERROR(__xludf.DUMMYFUNCTION("""COMPUTED_VALUE"""),45116.0)</f>
        <v>45116</v>
      </c>
      <c r="P391" s="45">
        <f>IFERROR(__xludf.DUMMYFUNCTION("""COMPUTED_VALUE"""),45163.0)</f>
        <v>45163</v>
      </c>
      <c r="Q391" s="45"/>
      <c r="R391" s="45"/>
      <c r="S391" s="43"/>
      <c r="T391" s="43"/>
      <c r="U391" s="43" t="str">
        <f>IFERROR(__xludf.DUMMYFUNCTION("""COMPUTED_VALUE"""),"Youth 4 Impact")</f>
        <v>Youth 4 Impact</v>
      </c>
      <c r="V391" s="43" t="str">
        <f>IFERROR(__xludf.DUMMYFUNCTION("""COMPUTED_VALUE"""),"BMCC, Pune")</f>
        <v>BMCC, Pune</v>
      </c>
      <c r="W391" s="43" t="str">
        <f>IFERROR(__xludf.DUMMYFUNCTION("""COMPUTED_VALUE"""),"2021-02-01T21:46:03Z")</f>
        <v>2021-02-01T21:46:03Z</v>
      </c>
      <c r="X391" s="43"/>
      <c r="Y391" s="43"/>
      <c r="Z391" s="43"/>
    </row>
    <row r="392" hidden="1">
      <c r="A392" s="43" t="str">
        <f>IFERROR(__xludf.DUMMYFUNCTION("""COMPUTED_VALUE"""),"5138754_1291585")</f>
        <v>5138754_1291585</v>
      </c>
      <c r="B392" s="43" t="str">
        <f>IFERROR(__xludf.DUMMYFUNCTION("""COMPUTED_VALUE"""),"Hajjej Nermine")</f>
        <v>Hajjej Nermine</v>
      </c>
      <c r="C392" s="43" t="str">
        <f>IFERROR(__xludf.DUMMYFUNCTION("""COMPUTED_VALUE"""),"finished")</f>
        <v>finished</v>
      </c>
      <c r="D392" s="43" t="str">
        <f>IFERROR(__xludf.DUMMYFUNCTION("""COMPUTED_VALUE"""),"No")</f>
        <v>No</v>
      </c>
      <c r="E392" s="43" t="str">
        <f>IFERROR(__xludf.DUMMYFUNCTION("""COMPUTED_VALUE"""),"p_0194d389dfbeb4c58bc49a2fbf5d4e61a30320b2@inbound.aiesec.org")</f>
        <v>p_0194d389dfbeb4c58bc49a2fbf5d4e61a30320b2@inbound.aiesec.org</v>
      </c>
      <c r="F392" s="43">
        <f>IFERROR(__xludf.DUMMYFUNCTION("""COMPUTED_VALUE"""),2.0238375E7)</f>
        <v>20238375</v>
      </c>
      <c r="G392" s="43" t="str">
        <f>IFERROR(__xludf.DUMMYFUNCTION("""COMPUTED_VALUE"""),"Tunisia")</f>
        <v>Tunisia</v>
      </c>
      <c r="H392" s="43" t="str">
        <f>IFERROR(__xludf.DUMMYFUNCTION("""COMPUTED_VALUE"""),"Tacapes")</f>
        <v>Tacapes</v>
      </c>
      <c r="I392" s="43" t="str">
        <f>IFERROR(__xludf.DUMMYFUNCTION("""COMPUTED_VALUE"""),"Turkey")</f>
        <v>Turkey</v>
      </c>
      <c r="J392" s="43" t="str">
        <f>IFERROR(__xludf.DUMMYFUNCTION("""COMPUTED_VALUE"""),"İZMİR")</f>
        <v>İZMİR</v>
      </c>
      <c r="K392" s="44" t="str">
        <f>IFERROR(__xludf.DUMMYFUNCTION("""COMPUTED_VALUE"""),"https://expa.aiesec.org/opportunities/1291585")</f>
        <v>https://expa.aiesec.org/opportunities/1291585</v>
      </c>
      <c r="L392" s="43" t="str">
        <f>IFERROR(__xludf.DUMMYFUNCTION("""COMPUTED_VALUE"""),"GV")</f>
        <v>GV</v>
      </c>
      <c r="M392" s="43" t="str">
        <f>IFERROR(__xludf.DUMMYFUNCTION("""COMPUTED_VALUE"""),"short")</f>
        <v>short</v>
      </c>
      <c r="N392" s="45">
        <f>IFERROR(__xludf.DUMMYFUNCTION("""COMPUTED_VALUE"""),44938.0)</f>
        <v>44938</v>
      </c>
      <c r="O392" s="45">
        <f>IFERROR(__xludf.DUMMYFUNCTION("""COMPUTED_VALUE"""),45110.0)</f>
        <v>45110</v>
      </c>
      <c r="P392" s="45">
        <f>IFERROR(__xludf.DUMMYFUNCTION("""COMPUTED_VALUE"""),45152.0)</f>
        <v>45152</v>
      </c>
      <c r="Q392" s="45">
        <f>IFERROR(__xludf.DUMMYFUNCTION("""COMPUTED_VALUE"""),45111.0)</f>
        <v>45111</v>
      </c>
      <c r="R392" s="45">
        <f>IFERROR(__xludf.DUMMYFUNCTION("""COMPUTED_VALUE"""),45153.0)</f>
        <v>45153</v>
      </c>
      <c r="S392" s="43"/>
      <c r="T392" s="43"/>
      <c r="U392" s="43" t="str">
        <f>IFERROR(__xludf.DUMMYFUNCTION("""COMPUTED_VALUE"""),"Fingerprint")</f>
        <v>Fingerprint</v>
      </c>
      <c r="V392" s="43" t="str">
        <f>IFERROR(__xludf.DUMMYFUNCTION("""COMPUTED_VALUE"""),"ISLG")</f>
        <v>ISLG</v>
      </c>
      <c r="W392" s="43" t="str">
        <f>IFERROR(__xludf.DUMMYFUNCTION("""COMPUTED_VALUE"""),"2022-10-22T23:36:09Z")</f>
        <v>2022-10-22T23:36:09Z</v>
      </c>
      <c r="X392" s="43"/>
      <c r="Y392" s="43"/>
      <c r="Z392" s="43"/>
    </row>
    <row r="393" hidden="1">
      <c r="A393" s="43" t="str">
        <f>IFERROR(__xludf.DUMMYFUNCTION("""COMPUTED_VALUE"""),"5174327_1291634")</f>
        <v>5174327_1291634</v>
      </c>
      <c r="B393" s="43" t="str">
        <f>IFERROR(__xludf.DUMMYFUNCTION("""COMPUTED_VALUE"""),"Ali Sameh Mousa")</f>
        <v>Ali Sameh Mousa</v>
      </c>
      <c r="C393" s="43" t="str">
        <f>IFERROR(__xludf.DUMMYFUNCTION("""COMPUTED_VALUE"""),"approved")</f>
        <v>approved</v>
      </c>
      <c r="D393" s="43" t="str">
        <f>IFERROR(__xludf.DUMMYFUNCTION("""COMPUTED_VALUE"""),"No")</f>
        <v>No</v>
      </c>
      <c r="E393" s="43" t="str">
        <f>IFERROR(__xludf.DUMMYFUNCTION("""COMPUTED_VALUE"""),"p_491429fc0e84fce3dd40137290b683c92de0b662@inbound.aiesec.org")</f>
        <v>p_491429fc0e84fce3dd40137290b683c92de0b662@inbound.aiesec.org</v>
      </c>
      <c r="F393" s="43">
        <f>IFERROR(__xludf.DUMMYFUNCTION("""COMPUTED_VALUE"""),1.013632142E9)</f>
        <v>1013632142</v>
      </c>
      <c r="G393" s="43" t="str">
        <f>IFERROR(__xludf.DUMMYFUNCTION("""COMPUTED_VALUE"""),"Egypt")</f>
        <v>Egypt</v>
      </c>
      <c r="H393" s="43" t="str">
        <f>IFERROR(__xludf.DUMMYFUNCTION("""COMPUTED_VALUE"""),"AAST In CAIRO")</f>
        <v>AAST In CAIRO</v>
      </c>
      <c r="I393" s="43" t="str">
        <f>IFERROR(__xludf.DUMMYFUNCTION("""COMPUTED_VALUE"""),"Turkey")</f>
        <v>Turkey</v>
      </c>
      <c r="J393" s="43" t="str">
        <f>IFERROR(__xludf.DUMMYFUNCTION("""COMPUTED_VALUE"""),"İZMİR")</f>
        <v>İZMİR</v>
      </c>
      <c r="K393" s="44" t="str">
        <f>IFERROR(__xludf.DUMMYFUNCTION("""COMPUTED_VALUE"""),"https://expa.aiesec.org/opportunities/1291634")</f>
        <v>https://expa.aiesec.org/opportunities/1291634</v>
      </c>
      <c r="L393" s="43" t="str">
        <f>IFERROR(__xludf.DUMMYFUNCTION("""COMPUTED_VALUE"""),"GV")</f>
        <v>GV</v>
      </c>
      <c r="M393" s="43" t="str">
        <f>IFERROR(__xludf.DUMMYFUNCTION("""COMPUTED_VALUE"""),"short")</f>
        <v>short</v>
      </c>
      <c r="N393" s="45">
        <f>IFERROR(__xludf.DUMMYFUNCTION("""COMPUTED_VALUE"""),44939.0)</f>
        <v>44939</v>
      </c>
      <c r="O393" s="45">
        <f>IFERROR(__xludf.DUMMYFUNCTION("""COMPUTED_VALUE"""),45110.0)</f>
        <v>45110</v>
      </c>
      <c r="P393" s="45">
        <f>IFERROR(__xludf.DUMMYFUNCTION("""COMPUTED_VALUE"""),45152.0)</f>
        <v>45152</v>
      </c>
      <c r="Q393" s="45"/>
      <c r="R393" s="45"/>
      <c r="S393" s="43"/>
      <c r="T393" s="43"/>
      <c r="U393" s="43" t="str">
        <f>IFERROR(__xludf.DUMMYFUNCTION("""COMPUTED_VALUE"""),"Fingerprint")</f>
        <v>Fingerprint</v>
      </c>
      <c r="V393" s="43" t="str">
        <f>IFERROR(__xludf.DUMMYFUNCTION("""COMPUTED_VALUE"""),"AAST in Cairo Univeristy")</f>
        <v>AAST in Cairo Univeristy</v>
      </c>
      <c r="W393" s="43" t="str">
        <f>IFERROR(__xludf.DUMMYFUNCTION("""COMPUTED_VALUE"""),"2023-01-08T14:20:22Z")</f>
        <v>2023-01-08T14:20:22Z</v>
      </c>
      <c r="X393" s="43"/>
      <c r="Y393" s="43"/>
      <c r="Z393" s="43"/>
    </row>
    <row r="394" hidden="1">
      <c r="A394" s="43" t="str">
        <f>IFERROR(__xludf.DUMMYFUNCTION("""COMPUTED_VALUE"""),"5171251_1291585")</f>
        <v>5171251_1291585</v>
      </c>
      <c r="B394" s="43" t="str">
        <f>IFERROR(__xludf.DUMMYFUNCTION("""COMPUTED_VALUE"""),"Konul Sharafkhanova")</f>
        <v>Konul Sharafkhanova</v>
      </c>
      <c r="C394" s="43" t="str">
        <f>IFERROR(__xludf.DUMMYFUNCTION("""COMPUTED_VALUE"""),"realization_broken")</f>
        <v>realization_broken</v>
      </c>
      <c r="D394" s="43" t="str">
        <f>IFERROR(__xludf.DUMMYFUNCTION("""COMPUTED_VALUE"""),"No")</f>
        <v>No</v>
      </c>
      <c r="E394" s="43" t="str">
        <f>IFERROR(__xludf.DUMMYFUNCTION("""COMPUTED_VALUE"""),"p_026a2c8c5f926d48d2cfeac314fed4172705e731@inbound.aiesec.org")</f>
        <v>p_026a2c8c5f926d48d2cfeac314fed4172705e731@inbound.aiesec.org</v>
      </c>
      <c r="F394" s="43">
        <f>IFERROR(__xludf.DUMMYFUNCTION("""COMPUTED_VALUE"""),7.02748818E8)</f>
        <v>702748818</v>
      </c>
      <c r="G394" s="43" t="str">
        <f>IFERROR(__xludf.DUMMYFUNCTION("""COMPUTED_VALUE"""),"Azerbaijan")</f>
        <v>Azerbaijan</v>
      </c>
      <c r="H394" s="43" t="str">
        <f>IFERROR(__xludf.DUMMYFUNCTION("""COMPUTED_VALUE"""),"Baku ADA")</f>
        <v>Baku ADA</v>
      </c>
      <c r="I394" s="43" t="str">
        <f>IFERROR(__xludf.DUMMYFUNCTION("""COMPUTED_VALUE"""),"Turkey")</f>
        <v>Turkey</v>
      </c>
      <c r="J394" s="43" t="str">
        <f>IFERROR(__xludf.DUMMYFUNCTION("""COMPUTED_VALUE"""),"İZMİR")</f>
        <v>İZMİR</v>
      </c>
      <c r="K394" s="44" t="str">
        <f>IFERROR(__xludf.DUMMYFUNCTION("""COMPUTED_VALUE"""),"https://expa.aiesec.org/opportunities/1291585")</f>
        <v>https://expa.aiesec.org/opportunities/1291585</v>
      </c>
      <c r="L394" s="43" t="str">
        <f>IFERROR(__xludf.DUMMYFUNCTION("""COMPUTED_VALUE"""),"GV")</f>
        <v>GV</v>
      </c>
      <c r="M394" s="43" t="str">
        <f>IFERROR(__xludf.DUMMYFUNCTION("""COMPUTED_VALUE"""),"short")</f>
        <v>short</v>
      </c>
      <c r="N394" s="45">
        <f>IFERROR(__xludf.DUMMYFUNCTION("""COMPUTED_VALUE"""),44939.0)</f>
        <v>44939</v>
      </c>
      <c r="O394" s="45">
        <f>IFERROR(__xludf.DUMMYFUNCTION("""COMPUTED_VALUE"""),45110.0)</f>
        <v>45110</v>
      </c>
      <c r="P394" s="45">
        <f>IFERROR(__xludf.DUMMYFUNCTION("""COMPUTED_VALUE"""),45152.0)</f>
        <v>45152</v>
      </c>
      <c r="Q394" s="45"/>
      <c r="R394" s="45"/>
      <c r="S394" s="43"/>
      <c r="T394" s="43"/>
      <c r="U394" s="43" t="str">
        <f>IFERROR(__xludf.DUMMYFUNCTION("""COMPUTED_VALUE"""),"Fingerprint")</f>
        <v>Fingerprint</v>
      </c>
      <c r="V394" s="43" t="str">
        <f>IFERROR(__xludf.DUMMYFUNCTION("""COMPUTED_VALUE"""),"ADA University")</f>
        <v>ADA University</v>
      </c>
      <c r="W394" s="43" t="str">
        <f>IFERROR(__xludf.DUMMYFUNCTION("""COMPUTED_VALUE"""),"2022-12-29T03:29:25Z")</f>
        <v>2022-12-29T03:29:25Z</v>
      </c>
      <c r="X394" s="43"/>
      <c r="Y394" s="43"/>
      <c r="Z394" s="43"/>
    </row>
    <row r="395" hidden="1">
      <c r="A395" s="43" t="str">
        <f>IFERROR(__xludf.DUMMYFUNCTION("""COMPUTED_VALUE"""),"4341835_1289536")</f>
        <v>4341835_1289536</v>
      </c>
      <c r="B395" s="43" t="str">
        <f>IFERROR(__xludf.DUMMYFUNCTION("""COMPUTED_VALUE"""),"Rebecca Skoll")</f>
        <v>Rebecca Skoll</v>
      </c>
      <c r="C395" s="43" t="str">
        <f>IFERROR(__xludf.DUMMYFUNCTION("""COMPUTED_VALUE"""),"finished")</f>
        <v>finished</v>
      </c>
      <c r="D395" s="43" t="str">
        <f>IFERROR(__xludf.DUMMYFUNCTION("""COMPUTED_VALUE"""),"No")</f>
        <v>No</v>
      </c>
      <c r="E395" s="43" t="str">
        <f>IFERROR(__xludf.DUMMYFUNCTION("""COMPUTED_VALUE"""),"p_4b8dfe10744dd00b515d96f3736ac04b92f9bcaa@inbound.aiesec.org")</f>
        <v>p_4b8dfe10744dd00b515d96f3736ac04b92f9bcaa@inbound.aiesec.org</v>
      </c>
      <c r="F395" s="43">
        <f>IFERROR(__xludf.DUMMYFUNCTION("""COMPUTED_VALUE"""),6.138634128E9)</f>
        <v>6138634128</v>
      </c>
      <c r="G395" s="43" t="str">
        <f>IFERROR(__xludf.DUMMYFUNCTION("""COMPUTED_VALUE"""),"Canada")</f>
        <v>Canada</v>
      </c>
      <c r="H395" s="43" t="str">
        <f>IFERROR(__xludf.DUMMYFUNCTION("""COMPUTED_VALUE"""),"Toronto")</f>
        <v>Toronto</v>
      </c>
      <c r="I395" s="43" t="str">
        <f>IFERROR(__xludf.DUMMYFUNCTION("""COMPUTED_VALUE"""),"Turkey")</f>
        <v>Turkey</v>
      </c>
      <c r="J395" s="43" t="str">
        <f>IFERROR(__xludf.DUMMYFUNCTION("""COMPUTED_VALUE"""),"ISTANBUL")</f>
        <v>ISTANBUL</v>
      </c>
      <c r="K395" s="44" t="str">
        <f>IFERROR(__xludf.DUMMYFUNCTION("""COMPUTED_VALUE"""),"https://expa.aiesec.org/opportunities/1289536")</f>
        <v>https://expa.aiesec.org/opportunities/1289536</v>
      </c>
      <c r="L395" s="43" t="str">
        <f>IFERROR(__xludf.DUMMYFUNCTION("""COMPUTED_VALUE"""),"GV")</f>
        <v>GV</v>
      </c>
      <c r="M395" s="43" t="str">
        <f>IFERROR(__xludf.DUMMYFUNCTION("""COMPUTED_VALUE"""),"short")</f>
        <v>short</v>
      </c>
      <c r="N395" s="45">
        <f>IFERROR(__xludf.DUMMYFUNCTION("""COMPUTED_VALUE"""),44941.0)</f>
        <v>44941</v>
      </c>
      <c r="O395" s="45">
        <f>IFERROR(__xludf.DUMMYFUNCTION("""COMPUTED_VALUE"""),45090.0)</f>
        <v>45090</v>
      </c>
      <c r="P395" s="45">
        <f>IFERROR(__xludf.DUMMYFUNCTION("""COMPUTED_VALUE"""),45132.0)</f>
        <v>45132</v>
      </c>
      <c r="Q395" s="45">
        <f>IFERROR(__xludf.DUMMYFUNCTION("""COMPUTED_VALUE"""),45090.0)</f>
        <v>45090</v>
      </c>
      <c r="R395" s="45">
        <f>IFERROR(__xludf.DUMMYFUNCTION("""COMPUTED_VALUE"""),45132.0)</f>
        <v>45132</v>
      </c>
      <c r="S395" s="43"/>
      <c r="T395" s="43"/>
      <c r="U395" s="43" t="str">
        <f>IFERROR(__xludf.DUMMYFUNCTION("""COMPUTED_VALUE"""),"Global Classroom")</f>
        <v>Global Classroom</v>
      </c>
      <c r="V395" s="43" t="str">
        <f>IFERROR(__xludf.DUMMYFUNCTION("""COMPUTED_VALUE"""),"University of Toronto St George")</f>
        <v>University of Toronto St George</v>
      </c>
      <c r="W395" s="43" t="str">
        <f>IFERROR(__xludf.DUMMYFUNCTION("""COMPUTED_VALUE"""),"2020-08-11T22:53:04Z")</f>
        <v>2020-08-11T22:53:04Z</v>
      </c>
      <c r="X395" s="43"/>
      <c r="Y395" s="43"/>
      <c r="Z395" s="43"/>
    </row>
    <row r="396">
      <c r="A396" s="43" t="str">
        <f>IFERROR(__xludf.DUMMYFUNCTION("""COMPUTED_VALUE"""),"5137075_1288582")</f>
        <v>5137075_1288582</v>
      </c>
      <c r="B396" s="43" t="str">
        <f>IFERROR(__xludf.DUMMYFUNCTION("""COMPUTED_VALUE"""),"Nour Khaled")</f>
        <v>Nour Khaled</v>
      </c>
      <c r="C396" s="43" t="str">
        <f>IFERROR(__xludf.DUMMYFUNCTION("""COMPUTED_VALUE"""),"approved")</f>
        <v>approved</v>
      </c>
      <c r="D396" s="43" t="str">
        <f>IFERROR(__xludf.DUMMYFUNCTION("""COMPUTED_VALUE"""),"No")</f>
        <v>No</v>
      </c>
      <c r="E396" s="43" t="str">
        <f>IFERROR(__xludf.DUMMYFUNCTION("""COMPUTED_VALUE"""),"p_191f116b5756acbc0bfe15678bfc2a30990ad94a@inbound.aiesec.org")</f>
        <v>p_191f116b5756acbc0bfe15678bfc2a30990ad94a@inbound.aiesec.org</v>
      </c>
      <c r="F396" s="43">
        <f>IFERROR(__xludf.DUMMYFUNCTION("""COMPUTED_VALUE"""),1.117281431E9)</f>
        <v>1117281431</v>
      </c>
      <c r="G396" s="43" t="str">
        <f>IFERROR(__xludf.DUMMYFUNCTION("""COMPUTED_VALUE"""),"Egypt")</f>
        <v>Egypt</v>
      </c>
      <c r="H396" s="43" t="str">
        <f>IFERROR(__xludf.DUMMYFUNCTION("""COMPUTED_VALUE"""),"Helwan")</f>
        <v>Helwan</v>
      </c>
      <c r="I396" s="43" t="str">
        <f>IFERROR(__xludf.DUMMYFUNCTION("""COMPUTED_VALUE"""),"Turkey")</f>
        <v>Turkey</v>
      </c>
      <c r="J396" s="43" t="str">
        <f>IFERROR(__xludf.DUMMYFUNCTION("""COMPUTED_VALUE"""),"GAZIANTEP")</f>
        <v>GAZIANTEP</v>
      </c>
      <c r="K396" s="44" t="str">
        <f>IFERROR(__xludf.DUMMYFUNCTION("""COMPUTED_VALUE"""),"https://expa.aiesec.org/opportunities/1288582")</f>
        <v>https://expa.aiesec.org/opportunities/1288582</v>
      </c>
      <c r="L396" s="43" t="str">
        <f>IFERROR(__xludf.DUMMYFUNCTION("""COMPUTED_VALUE"""),"GV")</f>
        <v>GV</v>
      </c>
      <c r="M396" s="43" t="str">
        <f>IFERROR(__xludf.DUMMYFUNCTION("""COMPUTED_VALUE"""),"short")</f>
        <v>short</v>
      </c>
      <c r="N396" s="45">
        <f>IFERROR(__xludf.DUMMYFUNCTION("""COMPUTED_VALUE"""),44942.0)</f>
        <v>44942</v>
      </c>
      <c r="O396" s="45">
        <f>IFERROR(__xludf.DUMMYFUNCTION("""COMPUTED_VALUE"""),45097.0)</f>
        <v>45097</v>
      </c>
      <c r="P396" s="45">
        <f>IFERROR(__xludf.DUMMYFUNCTION("""COMPUTED_VALUE"""),45139.0)</f>
        <v>45139</v>
      </c>
      <c r="Q396" s="45"/>
      <c r="R396" s="45"/>
      <c r="S396" s="43"/>
      <c r="T396" s="43"/>
      <c r="U396" s="43" t="str">
        <f>IFERROR(__xludf.DUMMYFUNCTION("""COMPUTED_VALUE"""),"Global Classroom")</f>
        <v>Global Classroom</v>
      </c>
      <c r="V396" s="43" t="str">
        <f>IFERROR(__xludf.DUMMYFUNCTION("""COMPUTED_VALUE"""),"Helwan University")</f>
        <v>Helwan University</v>
      </c>
      <c r="W396" s="43" t="str">
        <f>IFERROR(__xludf.DUMMYFUNCTION("""COMPUTED_VALUE"""),"2022-10-19T18:44:13Z")</f>
        <v>2022-10-19T18:44:13Z</v>
      </c>
      <c r="X396" s="43"/>
      <c r="Y396" s="43"/>
      <c r="Z396" s="43"/>
    </row>
    <row r="397" hidden="1">
      <c r="A397" s="43" t="str">
        <f>IFERROR(__xludf.DUMMYFUNCTION("""COMPUTED_VALUE"""),"5107797_1289214")</f>
        <v>5107797_1289214</v>
      </c>
      <c r="B397" s="43" t="str">
        <f>IFERROR(__xludf.DUMMYFUNCTION("""COMPUTED_VALUE"""),"ahmed zribi")</f>
        <v>ahmed zribi</v>
      </c>
      <c r="C397" s="43" t="str">
        <f>IFERROR(__xludf.DUMMYFUNCTION("""COMPUTED_VALUE"""),"finished")</f>
        <v>finished</v>
      </c>
      <c r="D397" s="43" t="str">
        <f>IFERROR(__xludf.DUMMYFUNCTION("""COMPUTED_VALUE"""),"No")</f>
        <v>No</v>
      </c>
      <c r="E397" s="43" t="str">
        <f>IFERROR(__xludf.DUMMYFUNCTION("""COMPUTED_VALUE"""),"p_17d8b6ffce4cf380ab9c311277e476ee32ab4fa9@inbound.aiesec.org")</f>
        <v>p_17d8b6ffce4cf380ab9c311277e476ee32ab4fa9@inbound.aiesec.org</v>
      </c>
      <c r="F397" s="43"/>
      <c r="G397" s="43" t="str">
        <f>IFERROR(__xludf.DUMMYFUNCTION("""COMPUTED_VALUE"""),"Tunisia")</f>
        <v>Tunisia</v>
      </c>
      <c r="H397" s="43" t="str">
        <f>IFERROR(__xludf.DUMMYFUNCTION("""COMPUTED_VALUE"""),"Carthage")</f>
        <v>Carthage</v>
      </c>
      <c r="I397" s="43" t="str">
        <f>IFERROR(__xludf.DUMMYFUNCTION("""COMPUTED_VALUE"""),"Turkey")</f>
        <v>Turkey</v>
      </c>
      <c r="J397" s="43" t="str">
        <f>IFERROR(__xludf.DUMMYFUNCTION("""COMPUTED_VALUE"""),"DENIZLI")</f>
        <v>DENIZLI</v>
      </c>
      <c r="K397" s="44" t="str">
        <f>IFERROR(__xludf.DUMMYFUNCTION("""COMPUTED_VALUE"""),"https://expa.aiesec.org/opportunities/1289214")</f>
        <v>https://expa.aiesec.org/opportunities/1289214</v>
      </c>
      <c r="L397" s="43" t="str">
        <f>IFERROR(__xludf.DUMMYFUNCTION("""COMPUTED_VALUE"""),"GV")</f>
        <v>GV</v>
      </c>
      <c r="M397" s="43" t="str">
        <f>IFERROR(__xludf.DUMMYFUNCTION("""COMPUTED_VALUE"""),"short")</f>
        <v>short</v>
      </c>
      <c r="N397" s="45">
        <f>IFERROR(__xludf.DUMMYFUNCTION("""COMPUTED_VALUE"""),44942.0)</f>
        <v>44942</v>
      </c>
      <c r="O397" s="45">
        <f>IFERROR(__xludf.DUMMYFUNCTION("""COMPUTED_VALUE"""),44940.0)</f>
        <v>44940</v>
      </c>
      <c r="P397" s="45">
        <f>IFERROR(__xludf.DUMMYFUNCTION("""COMPUTED_VALUE"""),44982.0)</f>
        <v>44982</v>
      </c>
      <c r="Q397" s="45">
        <f>IFERROR(__xludf.DUMMYFUNCTION("""COMPUTED_VALUE"""),44950.0)</f>
        <v>44950</v>
      </c>
      <c r="R397" s="45">
        <f>IFERROR(__xludf.DUMMYFUNCTION("""COMPUTED_VALUE"""),44990.0)</f>
        <v>44990</v>
      </c>
      <c r="S397" s="43"/>
      <c r="T397" s="43"/>
      <c r="U397" s="43" t="str">
        <f>IFERROR(__xludf.DUMMYFUNCTION("""COMPUTED_VALUE"""),"Youth 4 Impact")</f>
        <v>Youth 4 Impact</v>
      </c>
      <c r="V397" s="43" t="str">
        <f>IFERROR(__xludf.DUMMYFUNCTION("""COMPUTED_VALUE"""),"-")</f>
        <v>-</v>
      </c>
      <c r="W397" s="43" t="str">
        <f>IFERROR(__xludf.DUMMYFUNCTION("""COMPUTED_VALUE"""),"2022-09-08T13:08:26Z")</f>
        <v>2022-09-08T13:08:26Z</v>
      </c>
      <c r="X397" s="43"/>
      <c r="Y397" s="43"/>
      <c r="Z397" s="43"/>
    </row>
    <row r="398" hidden="1">
      <c r="A398" s="43" t="str">
        <f>IFERROR(__xludf.DUMMYFUNCTION("""COMPUTED_VALUE"""),"5081758_1289536")</f>
        <v>5081758_1289536</v>
      </c>
      <c r="B398" s="43" t="str">
        <f>IFERROR(__xludf.DUMMYFUNCTION("""COMPUTED_VALUE"""),"Sarra Bakkar")</f>
        <v>Sarra Bakkar</v>
      </c>
      <c r="C398" s="43" t="str">
        <f>IFERROR(__xludf.DUMMYFUNCTION("""COMPUTED_VALUE"""),"finished")</f>
        <v>finished</v>
      </c>
      <c r="D398" s="43" t="str">
        <f>IFERROR(__xludf.DUMMYFUNCTION("""COMPUTED_VALUE"""),"No")</f>
        <v>No</v>
      </c>
      <c r="E398" s="43" t="str">
        <f>IFERROR(__xludf.DUMMYFUNCTION("""COMPUTED_VALUE"""),"p_ec3fa0c672fabc9e37039e7d038d76a1e69e43b9@inbound.aiesec.org")</f>
        <v>p_ec3fa0c672fabc9e37039e7d038d76a1e69e43b9@inbound.aiesec.org</v>
      </c>
      <c r="F398" s="43">
        <f>IFERROR(__xludf.DUMMYFUNCTION("""COMPUTED_VALUE"""),6.59079436E8)</f>
        <v>659079436</v>
      </c>
      <c r="G398" s="43" t="str">
        <f>IFERROR(__xludf.DUMMYFUNCTION("""COMPUTED_VALUE"""),"Algeria")</f>
        <v>Algeria</v>
      </c>
      <c r="H398" s="43" t="str">
        <f>IFERROR(__xludf.DUMMYFUNCTION("""COMPUTED_VALUE"""),"Blida")</f>
        <v>Blida</v>
      </c>
      <c r="I398" s="43" t="str">
        <f>IFERROR(__xludf.DUMMYFUNCTION("""COMPUTED_VALUE"""),"Turkey")</f>
        <v>Turkey</v>
      </c>
      <c r="J398" s="43" t="str">
        <f>IFERROR(__xludf.DUMMYFUNCTION("""COMPUTED_VALUE"""),"ISTANBUL")</f>
        <v>ISTANBUL</v>
      </c>
      <c r="K398" s="44" t="str">
        <f>IFERROR(__xludf.DUMMYFUNCTION("""COMPUTED_VALUE"""),"https://expa.aiesec.org/opportunities/1289536")</f>
        <v>https://expa.aiesec.org/opportunities/1289536</v>
      </c>
      <c r="L398" s="43" t="str">
        <f>IFERROR(__xludf.DUMMYFUNCTION("""COMPUTED_VALUE"""),"GV")</f>
        <v>GV</v>
      </c>
      <c r="M398" s="43" t="str">
        <f>IFERROR(__xludf.DUMMYFUNCTION("""COMPUTED_VALUE"""),"short")</f>
        <v>short</v>
      </c>
      <c r="N398" s="45">
        <f>IFERROR(__xludf.DUMMYFUNCTION("""COMPUTED_VALUE"""),44943.0)</f>
        <v>44943</v>
      </c>
      <c r="O398" s="45">
        <f>IFERROR(__xludf.DUMMYFUNCTION("""COMPUTED_VALUE"""),45132.0)</f>
        <v>45132</v>
      </c>
      <c r="P398" s="45">
        <f>IFERROR(__xludf.DUMMYFUNCTION("""COMPUTED_VALUE"""),45174.0)</f>
        <v>45174</v>
      </c>
      <c r="Q398" s="45">
        <f>IFERROR(__xludf.DUMMYFUNCTION("""COMPUTED_VALUE"""),45117.0)</f>
        <v>45117</v>
      </c>
      <c r="R398" s="45">
        <f>IFERROR(__xludf.DUMMYFUNCTION("""COMPUTED_VALUE"""),45174.0)</f>
        <v>45174</v>
      </c>
      <c r="S398" s="43"/>
      <c r="T398" s="43"/>
      <c r="U398" s="43" t="str">
        <f>IFERROR(__xludf.DUMMYFUNCTION("""COMPUTED_VALUE"""),"Global Classroom")</f>
        <v>Global Classroom</v>
      </c>
      <c r="V398" s="43" t="str">
        <f>IFERROR(__xludf.DUMMYFUNCTION("""COMPUTED_VALUE"""),"AIESEC in Blida")</f>
        <v>AIESEC in Blida</v>
      </c>
      <c r="W398" s="43" t="str">
        <f>IFERROR(__xludf.DUMMYFUNCTION("""COMPUTED_VALUE"""),"2022-07-11T18:13:46Z")</f>
        <v>2022-07-11T18:13:46Z</v>
      </c>
      <c r="X398" s="43"/>
      <c r="Y398" s="43"/>
      <c r="Z398" s="43"/>
    </row>
    <row r="399" hidden="1">
      <c r="A399" s="43" t="str">
        <f>IFERROR(__xludf.DUMMYFUNCTION("""COMPUTED_VALUE"""),"5163677_1287854")</f>
        <v>5163677_1287854</v>
      </c>
      <c r="B399" s="43" t="str">
        <f>IFERROR(__xludf.DUMMYFUNCTION("""COMPUTED_VALUE"""),"Aram Habashneh")</f>
        <v>Aram Habashneh</v>
      </c>
      <c r="C399" s="43" t="str">
        <f>IFERROR(__xludf.DUMMYFUNCTION("""COMPUTED_VALUE"""),"finished")</f>
        <v>finished</v>
      </c>
      <c r="D399" s="43" t="str">
        <f>IFERROR(__xludf.DUMMYFUNCTION("""COMPUTED_VALUE"""),"No")</f>
        <v>No</v>
      </c>
      <c r="E399" s="43" t="str">
        <f>IFERROR(__xludf.DUMMYFUNCTION("""COMPUTED_VALUE"""),"p_b1b274f7df29f8c7949952609fdc7f12d0575d60@inbound.aiesec.org")</f>
        <v>p_b1b274f7df29f8c7949952609fdc7f12d0575d60@inbound.aiesec.org</v>
      </c>
      <c r="F399" s="43">
        <f>IFERROR(__xludf.DUMMYFUNCTION("""COMPUTED_VALUE"""),7.77549604E8)</f>
        <v>777549604</v>
      </c>
      <c r="G399" s="43" t="str">
        <f>IFERROR(__xludf.DUMMYFUNCTION("""COMPUTED_VALUE"""),"Jordan")</f>
        <v>Jordan</v>
      </c>
      <c r="H399" s="43" t="str">
        <f>IFERROR(__xludf.DUMMYFUNCTION("""COMPUTED_VALUE"""),"AMMAN")</f>
        <v>AMMAN</v>
      </c>
      <c r="I399" s="43" t="str">
        <f>IFERROR(__xludf.DUMMYFUNCTION("""COMPUTED_VALUE"""),"Turkey")</f>
        <v>Turkey</v>
      </c>
      <c r="J399" s="43" t="str">
        <f>IFERROR(__xludf.DUMMYFUNCTION("""COMPUTED_VALUE"""),"İZMİR")</f>
        <v>İZMİR</v>
      </c>
      <c r="K399" s="44" t="str">
        <f>IFERROR(__xludf.DUMMYFUNCTION("""COMPUTED_VALUE"""),"https://expa.aiesec.org/opportunities/1287854")</f>
        <v>https://expa.aiesec.org/opportunities/1287854</v>
      </c>
      <c r="L399" s="43" t="str">
        <f>IFERROR(__xludf.DUMMYFUNCTION("""COMPUTED_VALUE"""),"GV")</f>
        <v>GV</v>
      </c>
      <c r="M399" s="43" t="str">
        <f>IFERROR(__xludf.DUMMYFUNCTION("""COMPUTED_VALUE"""),"short")</f>
        <v>short</v>
      </c>
      <c r="N399" s="45">
        <f>IFERROR(__xludf.DUMMYFUNCTION("""COMPUTED_VALUE"""),44944.0)</f>
        <v>44944</v>
      </c>
      <c r="O399" s="45">
        <f>IFERROR(__xludf.DUMMYFUNCTION("""COMPUTED_VALUE"""),44948.0)</f>
        <v>44948</v>
      </c>
      <c r="P399" s="45">
        <f>IFERROR(__xludf.DUMMYFUNCTION("""COMPUTED_VALUE"""),44990.0)</f>
        <v>44990</v>
      </c>
      <c r="Q399" s="45">
        <f>IFERROR(__xludf.DUMMYFUNCTION("""COMPUTED_VALUE"""),44958.0)</f>
        <v>44958</v>
      </c>
      <c r="R399" s="45">
        <f>IFERROR(__xludf.DUMMYFUNCTION("""COMPUTED_VALUE"""),45000.0)</f>
        <v>45000</v>
      </c>
      <c r="S399" s="43"/>
      <c r="T399" s="43"/>
      <c r="U399" s="43" t="str">
        <f>IFERROR(__xludf.DUMMYFUNCTION("""COMPUTED_VALUE"""),"Global Classroom")</f>
        <v>Global Classroom</v>
      </c>
      <c r="V399" s="43" t="str">
        <f>IFERROR(__xludf.DUMMYFUNCTION("""COMPUTED_VALUE"""),"The Hashemite University")</f>
        <v>The Hashemite University</v>
      </c>
      <c r="W399" s="43" t="str">
        <f>IFERROR(__xludf.DUMMYFUNCTION("""COMPUTED_VALUE"""),"2022-12-07T10:12:59Z")</f>
        <v>2022-12-07T10:12:59Z</v>
      </c>
      <c r="X399" s="43"/>
      <c r="Y399" s="43"/>
      <c r="Z399" s="43"/>
    </row>
    <row r="400" hidden="1">
      <c r="A400" s="43" t="str">
        <f>IFERROR(__xludf.DUMMYFUNCTION("""COMPUTED_VALUE"""),"5170717_1285713")</f>
        <v>5170717_1285713</v>
      </c>
      <c r="B400" s="43" t="str">
        <f>IFERROR(__xludf.DUMMYFUNCTION("""COMPUTED_VALUE"""),"Cahan Huseynli")</f>
        <v>Cahan Huseynli</v>
      </c>
      <c r="C400" s="43" t="str">
        <f>IFERROR(__xludf.DUMMYFUNCTION("""COMPUTED_VALUE"""),"approved")</f>
        <v>approved</v>
      </c>
      <c r="D400" s="43" t="str">
        <f>IFERROR(__xludf.DUMMYFUNCTION("""COMPUTED_VALUE"""),"No")</f>
        <v>No</v>
      </c>
      <c r="E400" s="43" t="str">
        <f>IFERROR(__xludf.DUMMYFUNCTION("""COMPUTED_VALUE"""),"p_5a9662cf6370af69dc936d542017bc3461c082b1@inbound.aiesec.org")</f>
        <v>p_5a9662cf6370af69dc936d542017bc3461c082b1@inbound.aiesec.org</v>
      </c>
      <c r="F400" s="43">
        <f>IFERROR(__xludf.DUMMYFUNCTION("""COMPUTED_VALUE"""),5.0777221E8)</f>
        <v>507772210</v>
      </c>
      <c r="G400" s="43" t="str">
        <f>IFERROR(__xludf.DUMMYFUNCTION("""COMPUTED_VALUE"""),"Azerbaijan")</f>
        <v>Azerbaijan</v>
      </c>
      <c r="H400" s="43" t="str">
        <f>IFERROR(__xludf.DUMMYFUNCTION("""COMPUTED_VALUE"""),"Baku Qafqaz")</f>
        <v>Baku Qafqaz</v>
      </c>
      <c r="I400" s="43" t="str">
        <f>IFERROR(__xludf.DUMMYFUNCTION("""COMPUTED_VALUE"""),"Turkey")</f>
        <v>Turkey</v>
      </c>
      <c r="J400" s="43" t="str">
        <f>IFERROR(__xludf.DUMMYFUNCTION("""COMPUTED_VALUE"""),"ISTANBUL")</f>
        <v>ISTANBUL</v>
      </c>
      <c r="K400" s="44" t="str">
        <f>IFERROR(__xludf.DUMMYFUNCTION("""COMPUTED_VALUE"""),"https://expa.aiesec.org/opportunities/1285713")</f>
        <v>https://expa.aiesec.org/opportunities/1285713</v>
      </c>
      <c r="L400" s="43" t="str">
        <f>IFERROR(__xludf.DUMMYFUNCTION("""COMPUTED_VALUE"""),"GV")</f>
        <v>GV</v>
      </c>
      <c r="M400" s="43" t="str">
        <f>IFERROR(__xludf.DUMMYFUNCTION("""COMPUTED_VALUE"""),"short")</f>
        <v>short</v>
      </c>
      <c r="N400" s="45">
        <f>IFERROR(__xludf.DUMMYFUNCTION("""COMPUTED_VALUE"""),44945.0)</f>
        <v>44945</v>
      </c>
      <c r="O400" s="45">
        <f>IFERROR(__xludf.DUMMYFUNCTION("""COMPUTED_VALUE"""),45117.0)</f>
        <v>45117</v>
      </c>
      <c r="P400" s="45">
        <f>IFERROR(__xludf.DUMMYFUNCTION("""COMPUTED_VALUE"""),45159.0)</f>
        <v>45159</v>
      </c>
      <c r="Q400" s="45"/>
      <c r="R400" s="45"/>
      <c r="S400" s="43"/>
      <c r="T400" s="43"/>
      <c r="U400" s="43" t="str">
        <f>IFERROR(__xludf.DUMMYFUNCTION("""COMPUTED_VALUE"""),"Heartbeat")</f>
        <v>Heartbeat</v>
      </c>
      <c r="V400" s="43" t="str">
        <f>IFERROR(__xludf.DUMMYFUNCTION("""COMPUTED_VALUE"""),"Azerbaijan Medical University")</f>
        <v>Azerbaijan Medical University</v>
      </c>
      <c r="W400" s="43" t="str">
        <f>IFERROR(__xludf.DUMMYFUNCTION("""COMPUTED_VALUE"""),"2022-12-27T14:28:52Z")</f>
        <v>2022-12-27T14:28:52Z</v>
      </c>
      <c r="X400" s="43"/>
      <c r="Y400" s="43"/>
      <c r="Z400" s="43"/>
    </row>
    <row r="401" hidden="1">
      <c r="A401" s="43" t="str">
        <f>IFERROR(__xludf.DUMMYFUNCTION("""COMPUTED_VALUE"""),"5175996_1291634")</f>
        <v>5175996_1291634</v>
      </c>
      <c r="B401" s="43" t="str">
        <f>IFERROR(__xludf.DUMMYFUNCTION("""COMPUTED_VALUE"""),"Aytakin Jalilova")</f>
        <v>Aytakin Jalilova</v>
      </c>
      <c r="C401" s="43" t="str">
        <f>IFERROR(__xludf.DUMMYFUNCTION("""COMPUTED_VALUE"""),"completed")</f>
        <v>completed</v>
      </c>
      <c r="D401" s="43" t="str">
        <f>IFERROR(__xludf.DUMMYFUNCTION("""COMPUTED_VALUE"""),"No")</f>
        <v>No</v>
      </c>
      <c r="E401" s="43" t="str">
        <f>IFERROR(__xludf.DUMMYFUNCTION("""COMPUTED_VALUE"""),"p_9b915fd7b0538b35c8abf20a2c518e384261887b@inbound.aiesec.org")</f>
        <v>p_9b915fd7b0538b35c8abf20a2c518e384261887b@inbound.aiesec.org</v>
      </c>
      <c r="F401" s="43"/>
      <c r="G401" s="43" t="str">
        <f>IFERROR(__xludf.DUMMYFUNCTION("""COMPUTED_VALUE"""),"Azerbaijan")</f>
        <v>Azerbaijan</v>
      </c>
      <c r="H401" s="43" t="str">
        <f>IFERROR(__xludf.DUMMYFUNCTION("""COMPUTED_VALUE"""),"Baku Synergy")</f>
        <v>Baku Synergy</v>
      </c>
      <c r="I401" s="43" t="str">
        <f>IFERROR(__xludf.DUMMYFUNCTION("""COMPUTED_VALUE"""),"Turkey")</f>
        <v>Turkey</v>
      </c>
      <c r="J401" s="43" t="str">
        <f>IFERROR(__xludf.DUMMYFUNCTION("""COMPUTED_VALUE"""),"İZMİR")</f>
        <v>İZMİR</v>
      </c>
      <c r="K401" s="44" t="str">
        <f>IFERROR(__xludf.DUMMYFUNCTION("""COMPUTED_VALUE"""),"https://expa.aiesec.org/opportunities/1291634")</f>
        <v>https://expa.aiesec.org/opportunities/1291634</v>
      </c>
      <c r="L401" s="43" t="str">
        <f>IFERROR(__xludf.DUMMYFUNCTION("""COMPUTED_VALUE"""),"GV")</f>
        <v>GV</v>
      </c>
      <c r="M401" s="43" t="str">
        <f>IFERROR(__xludf.DUMMYFUNCTION("""COMPUTED_VALUE"""),"short")</f>
        <v>short</v>
      </c>
      <c r="N401" s="45">
        <f>IFERROR(__xludf.DUMMYFUNCTION("""COMPUTED_VALUE"""),44946.0)</f>
        <v>44946</v>
      </c>
      <c r="O401" s="45">
        <f>IFERROR(__xludf.DUMMYFUNCTION("""COMPUTED_VALUE"""),45110.0)</f>
        <v>45110</v>
      </c>
      <c r="P401" s="45">
        <f>IFERROR(__xludf.DUMMYFUNCTION("""COMPUTED_VALUE"""),45152.0)</f>
        <v>45152</v>
      </c>
      <c r="Q401" s="45">
        <f>IFERROR(__xludf.DUMMYFUNCTION("""COMPUTED_VALUE"""),45111.0)</f>
        <v>45111</v>
      </c>
      <c r="R401" s="45">
        <f>IFERROR(__xludf.DUMMYFUNCTION("""COMPUTED_VALUE"""),45153.0)</f>
        <v>45153</v>
      </c>
      <c r="S401" s="43"/>
      <c r="T401" s="43"/>
      <c r="U401" s="43" t="str">
        <f>IFERROR(__xludf.DUMMYFUNCTION("""COMPUTED_VALUE"""),"Fingerprint")</f>
        <v>Fingerprint</v>
      </c>
      <c r="V401" s="43" t="str">
        <f>IFERROR(__xludf.DUMMYFUNCTION("""COMPUTED_VALUE"""),"-")</f>
        <v>-</v>
      </c>
      <c r="W401" s="43" t="str">
        <f>IFERROR(__xludf.DUMMYFUNCTION("""COMPUTED_VALUE"""),"2023-01-12T17:55:47Z")</f>
        <v>2023-01-12T17:55:47Z</v>
      </c>
      <c r="X401" s="43"/>
      <c r="Y401" s="43"/>
      <c r="Z401" s="43"/>
    </row>
    <row r="402">
      <c r="A402" s="43" t="str">
        <f>IFERROR(__xludf.DUMMYFUNCTION("""COMPUTED_VALUE"""),"5083152_1289261")</f>
        <v>5083152_1289261</v>
      </c>
      <c r="B402" s="43" t="str">
        <f>IFERROR(__xludf.DUMMYFUNCTION("""COMPUTED_VALUE"""),"Alisha Batada")</f>
        <v>Alisha Batada</v>
      </c>
      <c r="C402" s="43" t="str">
        <f>IFERROR(__xludf.DUMMYFUNCTION("""COMPUTED_VALUE"""),"approved")</f>
        <v>approved</v>
      </c>
      <c r="D402" s="43" t="str">
        <f>IFERROR(__xludf.DUMMYFUNCTION("""COMPUTED_VALUE"""),"No")</f>
        <v>No</v>
      </c>
      <c r="E402" s="43" t="str">
        <f>IFERROR(__xludf.DUMMYFUNCTION("""COMPUTED_VALUE"""),"p_e07ba0429b4851762d9141c9ea2df5838b446123@inbound.aiesec.org")</f>
        <v>p_e07ba0429b4851762d9141c9ea2df5838b446123@inbound.aiesec.org</v>
      </c>
      <c r="F402" s="43">
        <f>IFERROR(__xludf.DUMMYFUNCTION("""COMPUTED_VALUE"""),8.866450236E9)</f>
        <v>8866450236</v>
      </c>
      <c r="G402" s="43" t="str">
        <f>IFERROR(__xludf.DUMMYFUNCTION("""COMPUTED_VALUE"""),"India")</f>
        <v>India</v>
      </c>
      <c r="H402" s="43" t="str">
        <f>IFERROR(__xludf.DUMMYFUNCTION("""COMPUTED_VALUE"""),"Surat")</f>
        <v>Surat</v>
      </c>
      <c r="I402" s="43" t="str">
        <f>IFERROR(__xludf.DUMMYFUNCTION("""COMPUTED_VALUE"""),"Turkey")</f>
        <v>Turkey</v>
      </c>
      <c r="J402" s="43" t="str">
        <f>IFERROR(__xludf.DUMMYFUNCTION("""COMPUTED_VALUE"""),"İZMİR")</f>
        <v>İZMİR</v>
      </c>
      <c r="K402" s="44" t="str">
        <f>IFERROR(__xludf.DUMMYFUNCTION("""COMPUTED_VALUE"""),"https://expa.aiesec.org/opportunities/1289261")</f>
        <v>https://expa.aiesec.org/opportunities/1289261</v>
      </c>
      <c r="L402" s="43" t="str">
        <f>IFERROR(__xludf.DUMMYFUNCTION("""COMPUTED_VALUE"""),"GV")</f>
        <v>GV</v>
      </c>
      <c r="M402" s="43" t="str">
        <f>IFERROR(__xludf.DUMMYFUNCTION("""COMPUTED_VALUE"""),"short")</f>
        <v>short</v>
      </c>
      <c r="N402" s="45">
        <f>IFERROR(__xludf.DUMMYFUNCTION("""COMPUTED_VALUE"""),44949.0)</f>
        <v>44949</v>
      </c>
      <c r="O402" s="45">
        <f>IFERROR(__xludf.DUMMYFUNCTION("""COMPUTED_VALUE"""),44983.0)</f>
        <v>44983</v>
      </c>
      <c r="P402" s="45">
        <f>IFERROR(__xludf.DUMMYFUNCTION("""COMPUTED_VALUE"""),45025.0)</f>
        <v>45025</v>
      </c>
      <c r="Q402" s="45"/>
      <c r="R402" s="45"/>
      <c r="S402" s="43"/>
      <c r="T402" s="43"/>
      <c r="U402" s="43" t="str">
        <f>IFERROR(__xludf.DUMMYFUNCTION("""COMPUTED_VALUE"""),"Global Classroom")</f>
        <v>Global Classroom</v>
      </c>
      <c r="V402" s="43" t="str">
        <f>IFERROR(__xludf.DUMMYFUNCTION("""COMPUTED_VALUE"""),"V.N.S.G.U, Surat")</f>
        <v>V.N.S.G.U, Surat</v>
      </c>
      <c r="W402" s="43" t="str">
        <f>IFERROR(__xludf.DUMMYFUNCTION("""COMPUTED_VALUE"""),"2022-07-16T07:41:47Z")</f>
        <v>2022-07-16T07:41:47Z</v>
      </c>
      <c r="X402" s="43"/>
      <c r="Y402" s="43"/>
      <c r="Z402" s="43"/>
    </row>
    <row r="403" hidden="1">
      <c r="A403" s="43" t="str">
        <f>IFERROR(__xludf.DUMMYFUNCTION("""COMPUTED_VALUE"""),"5044345_1287226")</f>
        <v>5044345_1287226</v>
      </c>
      <c r="B403" s="43" t="str">
        <f>IFERROR(__xludf.DUMMYFUNCTION("""COMPUTED_VALUE"""),"Wessam Ali")</f>
        <v>Wessam Ali</v>
      </c>
      <c r="C403" s="43" t="str">
        <f>IFERROR(__xludf.DUMMYFUNCTION("""COMPUTED_VALUE"""),"completed")</f>
        <v>completed</v>
      </c>
      <c r="D403" s="43" t="str">
        <f>IFERROR(__xludf.DUMMYFUNCTION("""COMPUTED_VALUE"""),"No")</f>
        <v>No</v>
      </c>
      <c r="E403" s="43" t="str">
        <f>IFERROR(__xludf.DUMMYFUNCTION("""COMPUTED_VALUE"""),"p_a114e96841d77c976b7e91abb2d430395b7d6e24@inbound.aiesec.org")</f>
        <v>p_a114e96841d77c976b7e91abb2d430395b7d6e24@inbound.aiesec.org</v>
      </c>
      <c r="F403" s="43">
        <f>IFERROR(__xludf.DUMMYFUNCTION("""COMPUTED_VALUE"""),1.032091201E9)</f>
        <v>1032091201</v>
      </c>
      <c r="G403" s="43" t="str">
        <f>IFERROR(__xludf.DUMMYFUNCTION("""COMPUTED_VALUE"""),"Egypt")</f>
        <v>Egypt</v>
      </c>
      <c r="H403" s="43" t="str">
        <f>IFERROR(__xludf.DUMMYFUNCTION("""COMPUTED_VALUE"""),"Ain Shams University")</f>
        <v>Ain Shams University</v>
      </c>
      <c r="I403" s="43" t="str">
        <f>IFERROR(__xludf.DUMMYFUNCTION("""COMPUTED_VALUE"""),"Turkey")</f>
        <v>Turkey</v>
      </c>
      <c r="J403" s="43" t="str">
        <f>IFERROR(__xludf.DUMMYFUNCTION("""COMPUTED_VALUE"""),"ISTANBUL ASIA")</f>
        <v>ISTANBUL ASIA</v>
      </c>
      <c r="K403" s="44" t="str">
        <f>IFERROR(__xludf.DUMMYFUNCTION("""COMPUTED_VALUE"""),"https://expa.aiesec.org/opportunities/1287226")</f>
        <v>https://expa.aiesec.org/opportunities/1287226</v>
      </c>
      <c r="L403" s="43" t="str">
        <f>IFERROR(__xludf.DUMMYFUNCTION("""COMPUTED_VALUE"""),"GV")</f>
        <v>GV</v>
      </c>
      <c r="M403" s="43" t="str">
        <f>IFERROR(__xludf.DUMMYFUNCTION("""COMPUTED_VALUE"""),"short")</f>
        <v>short</v>
      </c>
      <c r="N403" s="45">
        <f>IFERROR(__xludf.DUMMYFUNCTION("""COMPUTED_VALUE"""),44950.0)</f>
        <v>44950</v>
      </c>
      <c r="O403" s="45">
        <f>IFERROR(__xludf.DUMMYFUNCTION("""COMPUTED_VALUE"""),44958.0)</f>
        <v>44958</v>
      </c>
      <c r="P403" s="45">
        <f>IFERROR(__xludf.DUMMYFUNCTION("""COMPUTED_VALUE"""),45000.0)</f>
        <v>45000</v>
      </c>
      <c r="Q403" s="45">
        <f>IFERROR(__xludf.DUMMYFUNCTION("""COMPUTED_VALUE"""),44960.0)</f>
        <v>44960</v>
      </c>
      <c r="R403" s="45">
        <f>IFERROR(__xludf.DUMMYFUNCTION("""COMPUTED_VALUE"""),45002.0)</f>
        <v>45002</v>
      </c>
      <c r="S403" s="43"/>
      <c r="T403" s="43"/>
      <c r="U403" s="43" t="str">
        <f>IFERROR(__xludf.DUMMYFUNCTION("""COMPUTED_VALUE"""),"Global Classroom")</f>
        <v>Global Classroom</v>
      </c>
      <c r="V403" s="43" t="str">
        <f>IFERROR(__xludf.DUMMYFUNCTION("""COMPUTED_VALUE"""),"Ain Shams University")</f>
        <v>Ain Shams University</v>
      </c>
      <c r="W403" s="43" t="str">
        <f>IFERROR(__xludf.DUMMYFUNCTION("""COMPUTED_VALUE"""),"2022-04-23T07:14:03Z")</f>
        <v>2022-04-23T07:14:03Z</v>
      </c>
      <c r="X403" s="43"/>
      <c r="Y403" s="43"/>
      <c r="Z403" s="43"/>
    </row>
    <row r="404" hidden="1">
      <c r="A404" s="43" t="str">
        <f>IFERROR(__xludf.DUMMYFUNCTION("""COMPUTED_VALUE"""),"4966073_1289502")</f>
        <v>4966073_1289502</v>
      </c>
      <c r="B404" s="43" t="str">
        <f>IFERROR(__xludf.DUMMYFUNCTION("""COMPUTED_VALUE"""),"deleted 4966073")</f>
        <v>deleted 4966073</v>
      </c>
      <c r="C404" s="43" t="str">
        <f>IFERROR(__xludf.DUMMYFUNCTION("""COMPUTED_VALUE"""),"finished")</f>
        <v>finished</v>
      </c>
      <c r="D404" s="43" t="str">
        <f>IFERROR(__xludf.DUMMYFUNCTION("""COMPUTED_VALUE"""),"No")</f>
        <v>No</v>
      </c>
      <c r="E404" s="43" t="str">
        <f>IFERROR(__xludf.DUMMYFUNCTION("""COMPUTED_VALUE"""),"p_64d9885b7c610b55f337e4486c702ee3386d76b2@inbound.aiesec.org")</f>
        <v>p_64d9885b7c610b55f337e4486c702ee3386d76b2@inbound.aiesec.org</v>
      </c>
      <c r="F404" s="43"/>
      <c r="G404" s="43" t="str">
        <f>IFERROR(__xludf.DUMMYFUNCTION("""COMPUTED_VALUE"""),"India")</f>
        <v>India</v>
      </c>
      <c r="H404" s="43" t="str">
        <f>IFERROR(__xludf.DUMMYFUNCTION("""COMPUTED_VALUE"""),"Ahmedabad")</f>
        <v>Ahmedabad</v>
      </c>
      <c r="I404" s="43" t="str">
        <f>IFERROR(__xludf.DUMMYFUNCTION("""COMPUTED_VALUE"""),"Turkey")</f>
        <v>Turkey</v>
      </c>
      <c r="J404" s="43" t="str">
        <f>IFERROR(__xludf.DUMMYFUNCTION("""COMPUTED_VALUE"""),"BURSA")</f>
        <v>BURSA</v>
      </c>
      <c r="K404" s="44" t="str">
        <f>IFERROR(__xludf.DUMMYFUNCTION("""COMPUTED_VALUE"""),"https://expa.aiesec.org/opportunities/1289502")</f>
        <v>https://expa.aiesec.org/opportunities/1289502</v>
      </c>
      <c r="L404" s="43" t="str">
        <f>IFERROR(__xludf.DUMMYFUNCTION("""COMPUTED_VALUE"""),"GV")</f>
        <v>GV</v>
      </c>
      <c r="M404" s="43" t="str">
        <f>IFERROR(__xludf.DUMMYFUNCTION("""COMPUTED_VALUE"""),"short")</f>
        <v>short</v>
      </c>
      <c r="N404" s="45">
        <f>IFERROR(__xludf.DUMMYFUNCTION("""COMPUTED_VALUE"""),44950.0)</f>
        <v>44950</v>
      </c>
      <c r="O404" s="45">
        <f>IFERROR(__xludf.DUMMYFUNCTION("""COMPUTED_VALUE"""),44952.0)</f>
        <v>44952</v>
      </c>
      <c r="P404" s="45">
        <f>IFERROR(__xludf.DUMMYFUNCTION("""COMPUTED_VALUE"""),44994.0)</f>
        <v>44994</v>
      </c>
      <c r="Q404" s="45">
        <f>IFERROR(__xludf.DUMMYFUNCTION("""COMPUTED_VALUE"""),44959.0)</f>
        <v>44959</v>
      </c>
      <c r="R404" s="45">
        <f>IFERROR(__xludf.DUMMYFUNCTION("""COMPUTED_VALUE"""),45000.0)</f>
        <v>45000</v>
      </c>
      <c r="S404" s="43"/>
      <c r="T404" s="43"/>
      <c r="U404" s="43" t="str">
        <f>IFERROR(__xludf.DUMMYFUNCTION("""COMPUTED_VALUE"""),"Youth 4 Impact")</f>
        <v>Youth 4 Impact</v>
      </c>
      <c r="V404" s="43" t="str">
        <f>IFERROR(__xludf.DUMMYFUNCTION("""COMPUTED_VALUE"""),"-")</f>
        <v>-</v>
      </c>
      <c r="W404" s="43" t="str">
        <f>IFERROR(__xludf.DUMMYFUNCTION("""COMPUTED_VALUE"""),"2022-03-06T10:49:47Z")</f>
        <v>2022-03-06T10:49:47Z</v>
      </c>
      <c r="X404" s="43"/>
      <c r="Y404" s="43"/>
      <c r="Z404" s="43"/>
    </row>
    <row r="405">
      <c r="A405" s="43" t="str">
        <f>IFERROR(__xludf.DUMMYFUNCTION("""COMPUTED_VALUE"""),"5173144_1287445")</f>
        <v>5173144_1287445</v>
      </c>
      <c r="B405" s="43" t="str">
        <f>IFERROR(__xludf.DUMMYFUNCTION("""COMPUTED_VALUE"""),"Saud Zafar")</f>
        <v>Saud Zafar</v>
      </c>
      <c r="C405" s="43" t="str">
        <f>IFERROR(__xludf.DUMMYFUNCTION("""COMPUTED_VALUE"""),"approved")</f>
        <v>approved</v>
      </c>
      <c r="D405" s="43" t="str">
        <f>IFERROR(__xludf.DUMMYFUNCTION("""COMPUTED_VALUE"""),"No")</f>
        <v>No</v>
      </c>
      <c r="E405" s="43" t="str">
        <f>IFERROR(__xludf.DUMMYFUNCTION("""COMPUTED_VALUE"""),"p_a9391ff97e0bd3b1a9a56a1326786c542ad772a8@inbound.aiesec.org")</f>
        <v>p_a9391ff97e0bd3b1a9a56a1326786c542ad772a8@inbound.aiesec.org</v>
      </c>
      <c r="F405" s="43">
        <f>IFERROR(__xludf.DUMMYFUNCTION("""COMPUTED_VALUE"""),3.007666634E9)</f>
        <v>3007666634</v>
      </c>
      <c r="G405" s="43" t="str">
        <f>IFERROR(__xludf.DUMMYFUNCTION("""COMPUTED_VALUE"""),"Pakistan")</f>
        <v>Pakistan</v>
      </c>
      <c r="H405" s="43" t="str">
        <f>IFERROR(__xludf.DUMMYFUNCTION("""COMPUTED_VALUE"""),"Lahore - Pak")</f>
        <v>Lahore - Pak</v>
      </c>
      <c r="I405" s="43" t="str">
        <f>IFERROR(__xludf.DUMMYFUNCTION("""COMPUTED_VALUE"""),"Turkey")</f>
        <v>Turkey</v>
      </c>
      <c r="J405" s="43" t="str">
        <f>IFERROR(__xludf.DUMMYFUNCTION("""COMPUTED_VALUE"""),"SAKARYA")</f>
        <v>SAKARYA</v>
      </c>
      <c r="K405" s="44" t="str">
        <f>IFERROR(__xludf.DUMMYFUNCTION("""COMPUTED_VALUE"""),"https://expa.aiesec.org/opportunities/1287445")</f>
        <v>https://expa.aiesec.org/opportunities/1287445</v>
      </c>
      <c r="L405" s="43" t="str">
        <f>IFERROR(__xludf.DUMMYFUNCTION("""COMPUTED_VALUE"""),"GV")</f>
        <v>GV</v>
      </c>
      <c r="M405" s="43" t="str">
        <f>IFERROR(__xludf.DUMMYFUNCTION("""COMPUTED_VALUE"""),"short")</f>
        <v>short</v>
      </c>
      <c r="N405" s="45">
        <f>IFERROR(__xludf.DUMMYFUNCTION("""COMPUTED_VALUE"""),44950.0)</f>
        <v>44950</v>
      </c>
      <c r="O405" s="45">
        <f>IFERROR(__xludf.DUMMYFUNCTION("""COMPUTED_VALUE"""),44970.0)</f>
        <v>44970</v>
      </c>
      <c r="P405" s="45">
        <f>IFERROR(__xludf.DUMMYFUNCTION("""COMPUTED_VALUE"""),45012.0)</f>
        <v>45012</v>
      </c>
      <c r="Q405" s="45"/>
      <c r="R405" s="45"/>
      <c r="S405" s="43"/>
      <c r="T405" s="43"/>
      <c r="U405" s="43" t="str">
        <f>IFERROR(__xludf.DUMMYFUNCTION("""COMPUTED_VALUE"""),"Global Classroom")</f>
        <v>Global Classroom</v>
      </c>
      <c r="V405" s="43" t="str">
        <f>IFERROR(__xludf.DUMMYFUNCTION("""COMPUTED_VALUE"""),"Lahore - Punjab University ")</f>
        <v>Lahore - Punjab University </v>
      </c>
      <c r="W405" s="43" t="str">
        <f>IFERROR(__xludf.DUMMYFUNCTION("""COMPUTED_VALUE"""),"2023-01-04T18:00:35Z")</f>
        <v>2023-01-04T18:00:35Z</v>
      </c>
      <c r="X405" s="43"/>
      <c r="Y405" s="43"/>
      <c r="Z405" s="43"/>
    </row>
    <row r="406" hidden="1">
      <c r="A406" s="43" t="str">
        <f>IFERROR(__xludf.DUMMYFUNCTION("""COMPUTED_VALUE"""),"5176816_1291055")</f>
        <v>5176816_1291055</v>
      </c>
      <c r="B406" s="43" t="str">
        <f>IFERROR(__xludf.DUMMYFUNCTION("""COMPUTED_VALUE"""),"Анна Мординська")</f>
        <v>Анна Мординська</v>
      </c>
      <c r="C406" s="43" t="str">
        <f>IFERROR(__xludf.DUMMYFUNCTION("""COMPUTED_VALUE"""),"completed")</f>
        <v>completed</v>
      </c>
      <c r="D406" s="43" t="str">
        <f>IFERROR(__xludf.DUMMYFUNCTION("""COMPUTED_VALUE"""),"No")</f>
        <v>No</v>
      </c>
      <c r="E406" s="43" t="str">
        <f>IFERROR(__xludf.DUMMYFUNCTION("""COMPUTED_VALUE"""),"p_4572bff1967d62f9ac6595463744e6b3ceb348fd@inbound.aiesec.org")</f>
        <v>p_4572bff1967d62f9ac6595463744e6b3ceb348fd@inbound.aiesec.org</v>
      </c>
      <c r="F406" s="43"/>
      <c r="G406" s="43" t="str">
        <f>IFERROR(__xludf.DUMMYFUNCTION("""COMPUTED_VALUE"""),"Ukraine")</f>
        <v>Ukraine</v>
      </c>
      <c r="H406" s="43" t="str">
        <f>IFERROR(__xludf.DUMMYFUNCTION("""COMPUTED_VALUE"""),"ODESA")</f>
        <v>ODESA</v>
      </c>
      <c r="I406" s="43" t="str">
        <f>IFERROR(__xludf.DUMMYFUNCTION("""COMPUTED_VALUE"""),"Turkey")</f>
        <v>Turkey</v>
      </c>
      <c r="J406" s="43" t="str">
        <f>IFERROR(__xludf.DUMMYFUNCTION("""COMPUTED_VALUE"""),"SAKARYA")</f>
        <v>SAKARYA</v>
      </c>
      <c r="K406" s="44" t="str">
        <f>IFERROR(__xludf.DUMMYFUNCTION("""COMPUTED_VALUE"""),"https://expa.aiesec.org/opportunities/1291055")</f>
        <v>https://expa.aiesec.org/opportunities/1291055</v>
      </c>
      <c r="L406" s="43" t="str">
        <f>IFERROR(__xludf.DUMMYFUNCTION("""COMPUTED_VALUE"""),"GV")</f>
        <v>GV</v>
      </c>
      <c r="M406" s="43" t="str">
        <f>IFERROR(__xludf.DUMMYFUNCTION("""COMPUTED_VALUE"""),"short")</f>
        <v>short</v>
      </c>
      <c r="N406" s="45">
        <f>IFERROR(__xludf.DUMMYFUNCTION("""COMPUTED_VALUE"""),44951.0)</f>
        <v>44951</v>
      </c>
      <c r="O406" s="45">
        <f>IFERROR(__xludf.DUMMYFUNCTION("""COMPUTED_VALUE"""),45004.0)</f>
        <v>45004</v>
      </c>
      <c r="P406" s="45">
        <f>IFERROR(__xludf.DUMMYFUNCTION("""COMPUTED_VALUE"""),45051.0)</f>
        <v>45051</v>
      </c>
      <c r="Q406" s="45">
        <f>IFERROR(__xludf.DUMMYFUNCTION("""COMPUTED_VALUE"""),45006.0)</f>
        <v>45006</v>
      </c>
      <c r="R406" s="45">
        <f>IFERROR(__xludf.DUMMYFUNCTION("""COMPUTED_VALUE"""),45051.0)</f>
        <v>45051</v>
      </c>
      <c r="S406" s="43"/>
      <c r="T406" s="43"/>
      <c r="U406" s="43" t="str">
        <f>IFERROR(__xludf.DUMMYFUNCTION("""COMPUTED_VALUE"""),"Youth 4 Impact")</f>
        <v>Youth 4 Impact</v>
      </c>
      <c r="V406" s="43" t="str">
        <f>IFERROR(__xludf.DUMMYFUNCTION("""COMPUTED_VALUE"""),"-")</f>
        <v>-</v>
      </c>
      <c r="W406" s="43" t="str">
        <f>IFERROR(__xludf.DUMMYFUNCTION("""COMPUTED_VALUE"""),"2023-01-15T17:02:59Z")</f>
        <v>2023-01-15T17:02:59Z</v>
      </c>
      <c r="X406" s="43"/>
      <c r="Y406" s="43"/>
      <c r="Z406" s="43"/>
    </row>
    <row r="407" hidden="1">
      <c r="A407" s="43" t="str">
        <f>IFERROR(__xludf.DUMMYFUNCTION("""COMPUTED_VALUE"""),"4058734_1272564")</f>
        <v>4058734_1272564</v>
      </c>
      <c r="B407" s="43" t="str">
        <f>IFERROR(__xludf.DUMMYFUNCTION("""COMPUTED_VALUE"""),"Mahnoor Lodhi")</f>
        <v>Mahnoor Lodhi</v>
      </c>
      <c r="C407" s="43" t="str">
        <f>IFERROR(__xludf.DUMMYFUNCTION("""COMPUTED_VALUE"""),"approved")</f>
        <v>approved</v>
      </c>
      <c r="D407" s="43" t="str">
        <f>IFERROR(__xludf.DUMMYFUNCTION("""COMPUTED_VALUE"""),"No")</f>
        <v>No</v>
      </c>
      <c r="E407" s="43" t="str">
        <f>IFERROR(__xludf.DUMMYFUNCTION("""COMPUTED_VALUE"""),"p_1aaa7d631f7b67370e993ef00b90f9f8fc675e08@inbound.aiesec.org")</f>
        <v>p_1aaa7d631f7b67370e993ef00b90f9f8fc675e08@inbound.aiesec.org</v>
      </c>
      <c r="F407" s="43">
        <f>IFERROR(__xludf.DUMMYFUNCTION("""COMPUTED_VALUE"""),3.368803244E9)</f>
        <v>3368803244</v>
      </c>
      <c r="G407" s="43" t="str">
        <f>IFERROR(__xludf.DUMMYFUNCTION("""COMPUTED_VALUE"""),"Pakistan")</f>
        <v>Pakistan</v>
      </c>
      <c r="H407" s="43" t="str">
        <f>IFERROR(__xludf.DUMMYFUNCTION("""COMPUTED_VALUE"""),"SG")</f>
        <v>SG</v>
      </c>
      <c r="I407" s="43" t="str">
        <f>IFERROR(__xludf.DUMMYFUNCTION("""COMPUTED_VALUE"""),"Turkey")</f>
        <v>Turkey</v>
      </c>
      <c r="J407" s="43" t="str">
        <f>IFERROR(__xludf.DUMMYFUNCTION("""COMPUTED_VALUE"""),"ISTANBUL")</f>
        <v>ISTANBUL</v>
      </c>
      <c r="K407" s="44" t="str">
        <f>IFERROR(__xludf.DUMMYFUNCTION("""COMPUTED_VALUE"""),"https://expa.aiesec.org/opportunities/1272564")</f>
        <v>https://expa.aiesec.org/opportunities/1272564</v>
      </c>
      <c r="L407" s="43" t="str">
        <f>IFERROR(__xludf.DUMMYFUNCTION("""COMPUTED_VALUE"""),"GV")</f>
        <v>GV</v>
      </c>
      <c r="M407" s="43" t="str">
        <f>IFERROR(__xludf.DUMMYFUNCTION("""COMPUTED_VALUE"""),"short")</f>
        <v>short</v>
      </c>
      <c r="N407" s="45">
        <f>IFERROR(__xludf.DUMMYFUNCTION("""COMPUTED_VALUE"""),44951.0)</f>
        <v>44951</v>
      </c>
      <c r="O407" s="45">
        <f>IFERROR(__xludf.DUMMYFUNCTION("""COMPUTED_VALUE"""),45122.0)</f>
        <v>45122</v>
      </c>
      <c r="P407" s="45">
        <f>IFERROR(__xludf.DUMMYFUNCTION("""COMPUTED_VALUE"""),45164.0)</f>
        <v>45164</v>
      </c>
      <c r="Q407" s="45"/>
      <c r="R407" s="45"/>
      <c r="S407" s="43"/>
      <c r="T407" s="43"/>
      <c r="U407" s="43" t="str">
        <f>IFERROR(__xludf.DUMMYFUNCTION("""COMPUTED_VALUE"""),"Global Classroom")</f>
        <v>Global Classroom</v>
      </c>
      <c r="V407" s="43" t="str">
        <f>IFERROR(__xludf.DUMMYFUNCTION("""COMPUTED_VALUE"""),"-")</f>
        <v>-</v>
      </c>
      <c r="W407" s="43" t="str">
        <f>IFERROR(__xludf.DUMMYFUNCTION("""COMPUTED_VALUE"""),"2019-11-28T17:38:49Z")</f>
        <v>2019-11-28T17:38:49Z</v>
      </c>
      <c r="X407" s="43"/>
      <c r="Y407" s="43"/>
      <c r="Z407" s="43"/>
    </row>
    <row r="408" hidden="1">
      <c r="A408" s="43" t="str">
        <f>IFERROR(__xludf.DUMMYFUNCTION("""COMPUTED_VALUE"""),"5176437_1289536")</f>
        <v>5176437_1289536</v>
      </c>
      <c r="B408" s="43" t="str">
        <f>IFERROR(__xludf.DUMMYFUNCTION("""COMPUTED_VALUE"""),"Iulia Opre")</f>
        <v>Iulia Opre</v>
      </c>
      <c r="C408" s="43" t="str">
        <f>IFERROR(__xludf.DUMMYFUNCTION("""COMPUTED_VALUE"""),"finished")</f>
        <v>finished</v>
      </c>
      <c r="D408" s="43" t="str">
        <f>IFERROR(__xludf.DUMMYFUNCTION("""COMPUTED_VALUE"""),"No")</f>
        <v>No</v>
      </c>
      <c r="E408" s="43" t="str">
        <f>IFERROR(__xludf.DUMMYFUNCTION("""COMPUTED_VALUE"""),"p_4c5f6112b286a46f84aa62ac88c8248916fd4e15@inbound.aiesec.org")</f>
        <v>p_4c5f6112b286a46f84aa62ac88c8248916fd4e15@inbound.aiesec.org</v>
      </c>
      <c r="F408" s="43"/>
      <c r="G408" s="43" t="str">
        <f>IFERROR(__xludf.DUMMYFUNCTION("""COMPUTED_VALUE"""),"Romania")</f>
        <v>Romania</v>
      </c>
      <c r="H408" s="43" t="str">
        <f>IFERROR(__xludf.DUMMYFUNCTION("""COMPUTED_VALUE"""),"Cluj-Napoca")</f>
        <v>Cluj-Napoca</v>
      </c>
      <c r="I408" s="43" t="str">
        <f>IFERROR(__xludf.DUMMYFUNCTION("""COMPUTED_VALUE"""),"Turkey")</f>
        <v>Turkey</v>
      </c>
      <c r="J408" s="43" t="str">
        <f>IFERROR(__xludf.DUMMYFUNCTION("""COMPUTED_VALUE"""),"ISTANBUL")</f>
        <v>ISTANBUL</v>
      </c>
      <c r="K408" s="44" t="str">
        <f>IFERROR(__xludf.DUMMYFUNCTION("""COMPUTED_VALUE"""),"https://expa.aiesec.org/opportunities/1289536")</f>
        <v>https://expa.aiesec.org/opportunities/1289536</v>
      </c>
      <c r="L408" s="43" t="str">
        <f>IFERROR(__xludf.DUMMYFUNCTION("""COMPUTED_VALUE"""),"GV")</f>
        <v>GV</v>
      </c>
      <c r="M408" s="43" t="str">
        <f>IFERROR(__xludf.DUMMYFUNCTION("""COMPUTED_VALUE"""),"short")</f>
        <v>short</v>
      </c>
      <c r="N408" s="45">
        <f>IFERROR(__xludf.DUMMYFUNCTION("""COMPUTED_VALUE"""),44953.0)</f>
        <v>44953</v>
      </c>
      <c r="O408" s="45">
        <f>IFERROR(__xludf.DUMMYFUNCTION("""COMPUTED_VALUE"""),45132.0)</f>
        <v>45132</v>
      </c>
      <c r="P408" s="45">
        <f>IFERROR(__xludf.DUMMYFUNCTION("""COMPUTED_VALUE"""),45174.0)</f>
        <v>45174</v>
      </c>
      <c r="Q408" s="45">
        <f>IFERROR(__xludf.DUMMYFUNCTION("""COMPUTED_VALUE"""),45131.0)</f>
        <v>45131</v>
      </c>
      <c r="R408" s="45">
        <f>IFERROR(__xludf.DUMMYFUNCTION("""COMPUTED_VALUE"""),45174.0)</f>
        <v>45174</v>
      </c>
      <c r="S408" s="43"/>
      <c r="T408" s="43"/>
      <c r="U408" s="43" t="str">
        <f>IFERROR(__xludf.DUMMYFUNCTION("""COMPUTED_VALUE"""),"Global Classroom")</f>
        <v>Global Classroom</v>
      </c>
      <c r="V408" s="43" t="str">
        <f>IFERROR(__xludf.DUMMYFUNCTION("""COMPUTED_VALUE"""),"-")</f>
        <v>-</v>
      </c>
      <c r="W408" s="43" t="str">
        <f>IFERROR(__xludf.DUMMYFUNCTION("""COMPUTED_VALUE"""),"2023-01-14T09:29:33Z")</f>
        <v>2023-01-14T09:29:33Z</v>
      </c>
      <c r="X408" s="43"/>
      <c r="Y408" s="43"/>
      <c r="Z408" s="43"/>
    </row>
    <row r="409" hidden="1">
      <c r="A409" s="43" t="str">
        <f>IFERROR(__xludf.DUMMYFUNCTION("""COMPUTED_VALUE"""),"5176265_1272564")</f>
        <v>5176265_1272564</v>
      </c>
      <c r="B409" s="43" t="str">
        <f>IFERROR(__xludf.DUMMYFUNCTION("""COMPUTED_VALUE"""),"Adrienn Bodor")</f>
        <v>Adrienn Bodor</v>
      </c>
      <c r="C409" s="43" t="str">
        <f>IFERROR(__xludf.DUMMYFUNCTION("""COMPUTED_VALUE"""),"completed")</f>
        <v>completed</v>
      </c>
      <c r="D409" s="43" t="str">
        <f>IFERROR(__xludf.DUMMYFUNCTION("""COMPUTED_VALUE"""),"No")</f>
        <v>No</v>
      </c>
      <c r="E409" s="43" t="str">
        <f>IFERROR(__xludf.DUMMYFUNCTION("""COMPUTED_VALUE"""),"p_24675b5440a6ac4ea6a18126539075cfd1a878f5@inbound.aiesec.org")</f>
        <v>p_24675b5440a6ac4ea6a18126539075cfd1a878f5@inbound.aiesec.org</v>
      </c>
      <c r="F409" s="43"/>
      <c r="G409" s="43" t="str">
        <f>IFERROR(__xludf.DUMMYFUNCTION("""COMPUTED_VALUE"""),"Romania")</f>
        <v>Romania</v>
      </c>
      <c r="H409" s="43" t="str">
        <f>IFERROR(__xludf.DUMMYFUNCTION("""COMPUTED_VALUE"""),"Cluj-Napoca")</f>
        <v>Cluj-Napoca</v>
      </c>
      <c r="I409" s="43" t="str">
        <f>IFERROR(__xludf.DUMMYFUNCTION("""COMPUTED_VALUE"""),"Turkey")</f>
        <v>Turkey</v>
      </c>
      <c r="J409" s="43" t="str">
        <f>IFERROR(__xludf.DUMMYFUNCTION("""COMPUTED_VALUE"""),"ISTANBUL")</f>
        <v>ISTANBUL</v>
      </c>
      <c r="K409" s="44" t="str">
        <f>IFERROR(__xludf.DUMMYFUNCTION("""COMPUTED_VALUE"""),"https://expa.aiesec.org/opportunities/1272564")</f>
        <v>https://expa.aiesec.org/opportunities/1272564</v>
      </c>
      <c r="L409" s="43" t="str">
        <f>IFERROR(__xludf.DUMMYFUNCTION("""COMPUTED_VALUE"""),"GV")</f>
        <v>GV</v>
      </c>
      <c r="M409" s="43" t="str">
        <f>IFERROR(__xludf.DUMMYFUNCTION("""COMPUTED_VALUE"""),"short")</f>
        <v>short</v>
      </c>
      <c r="N409" s="45">
        <f>IFERROR(__xludf.DUMMYFUNCTION("""COMPUTED_VALUE"""),44953.0)</f>
        <v>44953</v>
      </c>
      <c r="O409" s="45">
        <f>IFERROR(__xludf.DUMMYFUNCTION("""COMPUTED_VALUE"""),45123.0)</f>
        <v>45123</v>
      </c>
      <c r="P409" s="45">
        <f>IFERROR(__xludf.DUMMYFUNCTION("""COMPUTED_VALUE"""),45165.0)</f>
        <v>45165</v>
      </c>
      <c r="Q409" s="45">
        <f>IFERROR(__xludf.DUMMYFUNCTION("""COMPUTED_VALUE"""),45123.0)</f>
        <v>45123</v>
      </c>
      <c r="R409" s="45">
        <f>IFERROR(__xludf.DUMMYFUNCTION("""COMPUTED_VALUE"""),45165.0)</f>
        <v>45165</v>
      </c>
      <c r="S409" s="43"/>
      <c r="T409" s="43"/>
      <c r="U409" s="43" t="str">
        <f>IFERROR(__xludf.DUMMYFUNCTION("""COMPUTED_VALUE"""),"Global Classroom")</f>
        <v>Global Classroom</v>
      </c>
      <c r="V409" s="43" t="str">
        <f>IFERROR(__xludf.DUMMYFUNCTION("""COMPUTED_VALUE"""),"Cluj-Napoca")</f>
        <v>Cluj-Napoca</v>
      </c>
      <c r="W409" s="43" t="str">
        <f>IFERROR(__xludf.DUMMYFUNCTION("""COMPUTED_VALUE"""),"2023-01-13T14:56:18Z")</f>
        <v>2023-01-13T14:56:18Z</v>
      </c>
      <c r="X409" s="43"/>
      <c r="Y409" s="43"/>
      <c r="Z409" s="43"/>
    </row>
    <row r="410" hidden="1">
      <c r="A410" s="43" t="str">
        <f>IFERROR(__xludf.DUMMYFUNCTION("""COMPUTED_VALUE"""),"5170975_1289536")</f>
        <v>5170975_1289536</v>
      </c>
      <c r="B410" s="43" t="str">
        <f>IFERROR(__xludf.DUMMYFUNCTION("""COMPUTED_VALUE"""),"Alesia Leho")</f>
        <v>Alesia Leho</v>
      </c>
      <c r="C410" s="43" t="str">
        <f>IFERROR(__xludf.DUMMYFUNCTION("""COMPUTED_VALUE"""),"completed")</f>
        <v>completed</v>
      </c>
      <c r="D410" s="43" t="str">
        <f>IFERROR(__xludf.DUMMYFUNCTION("""COMPUTED_VALUE"""),"No")</f>
        <v>No</v>
      </c>
      <c r="E410" s="43" t="str">
        <f>IFERROR(__xludf.DUMMYFUNCTION("""COMPUTED_VALUE"""),"p_958c64f728085b2b060168adb5750dec6d8af27a@inbound.aiesec.org")</f>
        <v>p_958c64f728085b2b060168adb5750dec6d8af27a@inbound.aiesec.org</v>
      </c>
      <c r="F410" s="43">
        <f>IFERROR(__xludf.DUMMYFUNCTION("""COMPUTED_VALUE"""),7.73795911E8)</f>
        <v>773795911</v>
      </c>
      <c r="G410" s="43" t="str">
        <f>IFERROR(__xludf.DUMMYFUNCTION("""COMPUTED_VALUE"""),"Romania")</f>
        <v>Romania</v>
      </c>
      <c r="H410" s="43" t="str">
        <f>IFERROR(__xludf.DUMMYFUNCTION("""COMPUTED_VALUE"""),"Cluj-Napoca")</f>
        <v>Cluj-Napoca</v>
      </c>
      <c r="I410" s="43" t="str">
        <f>IFERROR(__xludf.DUMMYFUNCTION("""COMPUTED_VALUE"""),"Turkey")</f>
        <v>Turkey</v>
      </c>
      <c r="J410" s="43" t="str">
        <f>IFERROR(__xludf.DUMMYFUNCTION("""COMPUTED_VALUE"""),"ISTANBUL")</f>
        <v>ISTANBUL</v>
      </c>
      <c r="K410" s="44" t="str">
        <f>IFERROR(__xludf.DUMMYFUNCTION("""COMPUTED_VALUE"""),"https://expa.aiesec.org/opportunities/1289536")</f>
        <v>https://expa.aiesec.org/opportunities/1289536</v>
      </c>
      <c r="L410" s="43" t="str">
        <f>IFERROR(__xludf.DUMMYFUNCTION("""COMPUTED_VALUE"""),"GV")</f>
        <v>GV</v>
      </c>
      <c r="M410" s="43" t="str">
        <f>IFERROR(__xludf.DUMMYFUNCTION("""COMPUTED_VALUE"""),"short")</f>
        <v>short</v>
      </c>
      <c r="N410" s="45">
        <f>IFERROR(__xludf.DUMMYFUNCTION("""COMPUTED_VALUE"""),44953.0)</f>
        <v>44953</v>
      </c>
      <c r="O410" s="45">
        <f>IFERROR(__xludf.DUMMYFUNCTION("""COMPUTED_VALUE"""),45132.0)</f>
        <v>45132</v>
      </c>
      <c r="P410" s="45">
        <f>IFERROR(__xludf.DUMMYFUNCTION("""COMPUTED_VALUE"""),45174.0)</f>
        <v>45174</v>
      </c>
      <c r="Q410" s="45">
        <f>IFERROR(__xludf.DUMMYFUNCTION("""COMPUTED_VALUE"""),45131.0)</f>
        <v>45131</v>
      </c>
      <c r="R410" s="45">
        <f>IFERROR(__xludf.DUMMYFUNCTION("""COMPUTED_VALUE"""),45174.0)</f>
        <v>45174</v>
      </c>
      <c r="S410" s="43"/>
      <c r="T410" s="43"/>
      <c r="U410" s="43" t="str">
        <f>IFERROR(__xludf.DUMMYFUNCTION("""COMPUTED_VALUE"""),"Global Classroom")</f>
        <v>Global Classroom</v>
      </c>
      <c r="V410" s="43" t="str">
        <f>IFERROR(__xludf.DUMMYFUNCTION("""COMPUTED_VALUE"""),"Cluj-Napoca")</f>
        <v>Cluj-Napoca</v>
      </c>
      <c r="W410" s="43" t="str">
        <f>IFERROR(__xludf.DUMMYFUNCTION("""COMPUTED_VALUE"""),"2022-12-28T10:43:27Z")</f>
        <v>2022-12-28T10:43:27Z</v>
      </c>
      <c r="X410" s="43"/>
      <c r="Y410" s="43"/>
      <c r="Z410" s="43"/>
    </row>
    <row r="411">
      <c r="A411" s="43" t="str">
        <f>IFERROR(__xludf.DUMMYFUNCTION("""COMPUTED_VALUE"""),"5159036_1284476")</f>
        <v>5159036_1284476</v>
      </c>
      <c r="B411" s="43" t="str">
        <f>IFERROR(__xludf.DUMMYFUNCTION("""COMPUTED_VALUE"""),"Aasis Sethi")</f>
        <v>Aasis Sethi</v>
      </c>
      <c r="C411" s="43" t="str">
        <f>IFERROR(__xludf.DUMMYFUNCTION("""COMPUTED_VALUE"""),"approved")</f>
        <v>approved</v>
      </c>
      <c r="D411" s="43" t="str">
        <f>IFERROR(__xludf.DUMMYFUNCTION("""COMPUTED_VALUE"""),"No")</f>
        <v>No</v>
      </c>
      <c r="E411" s="43" t="str">
        <f>IFERROR(__xludf.DUMMYFUNCTION("""COMPUTED_VALUE"""),"p_bb9d8898a9415116f0e37a482ad1bd4214862986@inbound.aiesec.org")</f>
        <v>p_bb9d8898a9415116f0e37a482ad1bd4214862986@inbound.aiesec.org</v>
      </c>
      <c r="F411" s="43">
        <f>IFERROR(__xludf.DUMMYFUNCTION("""COMPUTED_VALUE"""),8.76620554E9)</f>
        <v>8766205540</v>
      </c>
      <c r="G411" s="43" t="str">
        <f>IFERROR(__xludf.DUMMYFUNCTION("""COMPUTED_VALUE"""),"India")</f>
        <v>India</v>
      </c>
      <c r="H411" s="43" t="str">
        <f>IFERROR(__xludf.DUMMYFUNCTION("""COMPUTED_VALUE"""),"Delhi University")</f>
        <v>Delhi University</v>
      </c>
      <c r="I411" s="43" t="str">
        <f>IFERROR(__xludf.DUMMYFUNCTION("""COMPUTED_VALUE"""),"Turkey")</f>
        <v>Turkey</v>
      </c>
      <c r="J411" s="43" t="str">
        <f>IFERROR(__xludf.DUMMYFUNCTION("""COMPUTED_VALUE"""),"ADANA")</f>
        <v>ADANA</v>
      </c>
      <c r="K411" s="44" t="str">
        <f>IFERROR(__xludf.DUMMYFUNCTION("""COMPUTED_VALUE"""),"https://expa.aiesec.org/opportunities/1284476")</f>
        <v>https://expa.aiesec.org/opportunities/1284476</v>
      </c>
      <c r="L411" s="43" t="str">
        <f>IFERROR(__xludf.DUMMYFUNCTION("""COMPUTED_VALUE"""),"GV")</f>
        <v>GV</v>
      </c>
      <c r="M411" s="43" t="str">
        <f>IFERROR(__xludf.DUMMYFUNCTION("""COMPUTED_VALUE"""),"short")</f>
        <v>short</v>
      </c>
      <c r="N411" s="45">
        <f>IFERROR(__xludf.DUMMYFUNCTION("""COMPUTED_VALUE"""),44958.0)</f>
        <v>44958</v>
      </c>
      <c r="O411" s="45">
        <f>IFERROR(__xludf.DUMMYFUNCTION("""COMPUTED_VALUE"""),45036.0)</f>
        <v>45036</v>
      </c>
      <c r="P411" s="45">
        <f>IFERROR(__xludf.DUMMYFUNCTION("""COMPUTED_VALUE"""),45079.0)</f>
        <v>45079</v>
      </c>
      <c r="Q411" s="45"/>
      <c r="R411" s="45"/>
      <c r="S411" s="43"/>
      <c r="T411" s="43"/>
      <c r="U411" s="43" t="str">
        <f>IFERROR(__xludf.DUMMYFUNCTION("""COMPUTED_VALUE"""),"Global Classroom")</f>
        <v>Global Classroom</v>
      </c>
      <c r="V411" s="43" t="str">
        <f>IFERROR(__xludf.DUMMYFUNCTION("""COMPUTED_VALUE"""),"North Campus, Delhi University")</f>
        <v>North Campus, Delhi University</v>
      </c>
      <c r="W411" s="43" t="str">
        <f>IFERROR(__xludf.DUMMYFUNCTION("""COMPUTED_VALUE"""),"2022-11-26T06:29:07Z")</f>
        <v>2022-11-26T06:29:07Z</v>
      </c>
      <c r="X411" s="43"/>
      <c r="Y411" s="43"/>
      <c r="Z411" s="43"/>
    </row>
    <row r="412" hidden="1">
      <c r="A412" s="43" t="str">
        <f>IFERROR(__xludf.DUMMYFUNCTION("""COMPUTED_VALUE"""),"5117089_1289597")</f>
        <v>5117089_1289597</v>
      </c>
      <c r="B412" s="43" t="str">
        <f>IFERROR(__xludf.DUMMYFUNCTION("""COMPUTED_VALUE"""),"Omar Mohamed")</f>
        <v>Omar Mohamed</v>
      </c>
      <c r="C412" s="43" t="str">
        <f>IFERROR(__xludf.DUMMYFUNCTION("""COMPUTED_VALUE"""),"approved")</f>
        <v>approved</v>
      </c>
      <c r="D412" s="43" t="str">
        <f>IFERROR(__xludf.DUMMYFUNCTION("""COMPUTED_VALUE"""),"No")</f>
        <v>No</v>
      </c>
      <c r="E412" s="43" t="str">
        <f>IFERROR(__xludf.DUMMYFUNCTION("""COMPUTED_VALUE"""),"p_87fa6e42fefc57ca765c348086183f135eb13729@inbound.aiesec.org")</f>
        <v>p_87fa6e42fefc57ca765c348086183f135eb13729@inbound.aiesec.org</v>
      </c>
      <c r="F412" s="43">
        <f>IFERROR(__xludf.DUMMYFUNCTION("""COMPUTED_VALUE"""),1.012798788E9)</f>
        <v>1012798788</v>
      </c>
      <c r="G412" s="43" t="str">
        <f>IFERROR(__xludf.DUMMYFUNCTION("""COMPUTED_VALUE"""),"Egypt")</f>
        <v>Egypt</v>
      </c>
      <c r="H412" s="43" t="str">
        <f>IFERROR(__xludf.DUMMYFUNCTION("""COMPUTED_VALUE"""),"MSA")</f>
        <v>MSA</v>
      </c>
      <c r="I412" s="43" t="str">
        <f>IFERROR(__xludf.DUMMYFUNCTION("""COMPUTED_VALUE"""),"Turkey")</f>
        <v>Turkey</v>
      </c>
      <c r="J412" s="43" t="str">
        <f>IFERROR(__xludf.DUMMYFUNCTION("""COMPUTED_VALUE"""),"ISPARTA")</f>
        <v>ISPARTA</v>
      </c>
      <c r="K412" s="44" t="str">
        <f>IFERROR(__xludf.DUMMYFUNCTION("""COMPUTED_VALUE"""),"https://expa.aiesec.org/opportunities/1289597")</f>
        <v>https://expa.aiesec.org/opportunities/1289597</v>
      </c>
      <c r="L412" s="43" t="str">
        <f>IFERROR(__xludf.DUMMYFUNCTION("""COMPUTED_VALUE"""),"GV")</f>
        <v>GV</v>
      </c>
      <c r="M412" s="43" t="str">
        <f>IFERROR(__xludf.DUMMYFUNCTION("""COMPUTED_VALUE"""),"short")</f>
        <v>short</v>
      </c>
      <c r="N412" s="45">
        <f>IFERROR(__xludf.DUMMYFUNCTION("""COMPUTED_VALUE"""),44958.0)</f>
        <v>44958</v>
      </c>
      <c r="O412" s="45">
        <f>IFERROR(__xludf.DUMMYFUNCTION("""COMPUTED_VALUE"""),45117.0)</f>
        <v>45117</v>
      </c>
      <c r="P412" s="45">
        <f>IFERROR(__xludf.DUMMYFUNCTION("""COMPUTED_VALUE"""),45159.0)</f>
        <v>45159</v>
      </c>
      <c r="Q412" s="45"/>
      <c r="R412" s="45"/>
      <c r="S412" s="43"/>
      <c r="T412" s="43"/>
      <c r="U412" s="43" t="str">
        <f>IFERROR(__xludf.DUMMYFUNCTION("""COMPUTED_VALUE"""),"Global Classroom")</f>
        <v>Global Classroom</v>
      </c>
      <c r="V412" s="43" t="str">
        <f>IFERROR(__xludf.DUMMYFUNCTION("""COMPUTED_VALUE"""),"MSA Univeristy")</f>
        <v>MSA Univeristy</v>
      </c>
      <c r="W412" s="43" t="str">
        <f>IFERROR(__xludf.DUMMYFUNCTION("""COMPUTED_VALUE"""),"2022-09-21T16:52:44Z")</f>
        <v>2022-09-21T16:52:44Z</v>
      </c>
      <c r="X412" s="43"/>
      <c r="Y412" s="43"/>
      <c r="Z412" s="43"/>
    </row>
    <row r="413" hidden="1">
      <c r="A413" s="43" t="str">
        <f>IFERROR(__xludf.DUMMYFUNCTION("""COMPUTED_VALUE"""),"5176609_1272564")</f>
        <v>5176609_1272564</v>
      </c>
      <c r="B413" s="43" t="str">
        <f>IFERROR(__xludf.DUMMYFUNCTION("""COMPUTED_VALUE"""),"Iulian Portarescul")</f>
        <v>Iulian Portarescul</v>
      </c>
      <c r="C413" s="43" t="str">
        <f>IFERROR(__xludf.DUMMYFUNCTION("""COMPUTED_VALUE"""),"finished")</f>
        <v>finished</v>
      </c>
      <c r="D413" s="43" t="str">
        <f>IFERROR(__xludf.DUMMYFUNCTION("""COMPUTED_VALUE"""),"No")</f>
        <v>No</v>
      </c>
      <c r="E413" s="43" t="str">
        <f>IFERROR(__xludf.DUMMYFUNCTION("""COMPUTED_VALUE"""),"p_61f5461cc71e64e5090c1d012d31a085c81c3e83@inbound.aiesec.org")</f>
        <v>p_61f5461cc71e64e5090c1d012d31a085c81c3e83@inbound.aiesec.org</v>
      </c>
      <c r="F413" s="43"/>
      <c r="G413" s="43" t="str">
        <f>IFERROR(__xludf.DUMMYFUNCTION("""COMPUTED_VALUE"""),"Romania")</f>
        <v>Romania</v>
      </c>
      <c r="H413" s="43" t="str">
        <f>IFERROR(__xludf.DUMMYFUNCTION("""COMPUTED_VALUE"""),"Cluj-Napoca")</f>
        <v>Cluj-Napoca</v>
      </c>
      <c r="I413" s="43" t="str">
        <f>IFERROR(__xludf.DUMMYFUNCTION("""COMPUTED_VALUE"""),"Turkey")</f>
        <v>Turkey</v>
      </c>
      <c r="J413" s="43" t="str">
        <f>IFERROR(__xludf.DUMMYFUNCTION("""COMPUTED_VALUE"""),"ISTANBUL")</f>
        <v>ISTANBUL</v>
      </c>
      <c r="K413" s="44" t="str">
        <f>IFERROR(__xludf.DUMMYFUNCTION("""COMPUTED_VALUE"""),"https://expa.aiesec.org/opportunities/1272564")</f>
        <v>https://expa.aiesec.org/opportunities/1272564</v>
      </c>
      <c r="L413" s="43" t="str">
        <f>IFERROR(__xludf.DUMMYFUNCTION("""COMPUTED_VALUE"""),"GV")</f>
        <v>GV</v>
      </c>
      <c r="M413" s="43" t="str">
        <f>IFERROR(__xludf.DUMMYFUNCTION("""COMPUTED_VALUE"""),"short")</f>
        <v>short</v>
      </c>
      <c r="N413" s="45">
        <f>IFERROR(__xludf.DUMMYFUNCTION("""COMPUTED_VALUE"""),44958.0)</f>
        <v>44958</v>
      </c>
      <c r="O413" s="45">
        <f>IFERROR(__xludf.DUMMYFUNCTION("""COMPUTED_VALUE"""),45123.0)</f>
        <v>45123</v>
      </c>
      <c r="P413" s="45">
        <f>IFERROR(__xludf.DUMMYFUNCTION("""COMPUTED_VALUE"""),45165.0)</f>
        <v>45165</v>
      </c>
      <c r="Q413" s="45">
        <f>IFERROR(__xludf.DUMMYFUNCTION("""COMPUTED_VALUE"""),45125.0)</f>
        <v>45125</v>
      </c>
      <c r="R413" s="45">
        <f>IFERROR(__xludf.DUMMYFUNCTION("""COMPUTED_VALUE"""),45165.0)</f>
        <v>45165</v>
      </c>
      <c r="S413" s="43"/>
      <c r="T413" s="43"/>
      <c r="U413" s="43" t="str">
        <f>IFERROR(__xludf.DUMMYFUNCTION("""COMPUTED_VALUE"""),"Global Classroom")</f>
        <v>Global Classroom</v>
      </c>
      <c r="V413" s="43" t="str">
        <f>IFERROR(__xludf.DUMMYFUNCTION("""COMPUTED_VALUE"""),"-")</f>
        <v>-</v>
      </c>
      <c r="W413" s="43" t="str">
        <f>IFERROR(__xludf.DUMMYFUNCTION("""COMPUTED_VALUE"""),"2023-01-14T19:44:44Z")</f>
        <v>2023-01-14T19:44:44Z</v>
      </c>
      <c r="X413" s="43"/>
      <c r="Y413" s="43"/>
      <c r="Z413" s="43"/>
    </row>
    <row r="414" hidden="1">
      <c r="A414" s="43" t="str">
        <f>IFERROR(__xludf.DUMMYFUNCTION("""COMPUTED_VALUE"""),"5136234_1285687")</f>
        <v>5136234_1285687</v>
      </c>
      <c r="B414" s="43" t="str">
        <f>IFERROR(__xludf.DUMMYFUNCTION("""COMPUTED_VALUE"""),"Diana Moisă")</f>
        <v>Diana Moisă</v>
      </c>
      <c r="C414" s="43" t="str">
        <f>IFERROR(__xludf.DUMMYFUNCTION("""COMPUTED_VALUE"""),"completed")</f>
        <v>completed</v>
      </c>
      <c r="D414" s="43" t="str">
        <f>IFERROR(__xludf.DUMMYFUNCTION("""COMPUTED_VALUE"""),"No")</f>
        <v>No</v>
      </c>
      <c r="E414" s="43" t="str">
        <f>IFERROR(__xludf.DUMMYFUNCTION("""COMPUTED_VALUE"""),"p_389898c522c5ab4958b1804e6fb3f730ec1eede0@inbound.aiesec.org")</f>
        <v>p_389898c522c5ab4958b1804e6fb3f730ec1eede0@inbound.aiesec.org</v>
      </c>
      <c r="F414" s="43">
        <f>IFERROR(__xludf.DUMMYFUNCTION("""COMPUTED_VALUE"""),7.64694473E8)</f>
        <v>764694473</v>
      </c>
      <c r="G414" s="43" t="str">
        <f>IFERROR(__xludf.DUMMYFUNCTION("""COMPUTED_VALUE"""),"Romania")</f>
        <v>Romania</v>
      </c>
      <c r="H414" s="43" t="str">
        <f>IFERROR(__xludf.DUMMYFUNCTION("""COMPUTED_VALUE"""),"Cluj-Napoca")</f>
        <v>Cluj-Napoca</v>
      </c>
      <c r="I414" s="43" t="str">
        <f>IFERROR(__xludf.DUMMYFUNCTION("""COMPUTED_VALUE"""),"Turkey")</f>
        <v>Turkey</v>
      </c>
      <c r="J414" s="43" t="str">
        <f>IFERROR(__xludf.DUMMYFUNCTION("""COMPUTED_VALUE"""),"ISTANBUL")</f>
        <v>ISTANBUL</v>
      </c>
      <c r="K414" s="44" t="str">
        <f>IFERROR(__xludf.DUMMYFUNCTION("""COMPUTED_VALUE"""),"https://expa.aiesec.org/opportunities/1285687")</f>
        <v>https://expa.aiesec.org/opportunities/1285687</v>
      </c>
      <c r="L414" s="43" t="str">
        <f>IFERROR(__xludf.DUMMYFUNCTION("""COMPUTED_VALUE"""),"GV")</f>
        <v>GV</v>
      </c>
      <c r="M414" s="43" t="str">
        <f>IFERROR(__xludf.DUMMYFUNCTION("""COMPUTED_VALUE"""),"short")</f>
        <v>short</v>
      </c>
      <c r="N414" s="45">
        <f>IFERROR(__xludf.DUMMYFUNCTION("""COMPUTED_VALUE"""),44958.0)</f>
        <v>44958</v>
      </c>
      <c r="O414" s="45">
        <f>IFERROR(__xludf.DUMMYFUNCTION("""COMPUTED_VALUE"""),45122.0)</f>
        <v>45122</v>
      </c>
      <c r="P414" s="45">
        <f>IFERROR(__xludf.DUMMYFUNCTION("""COMPUTED_VALUE"""),45164.0)</f>
        <v>45164</v>
      </c>
      <c r="Q414" s="45">
        <f>IFERROR(__xludf.DUMMYFUNCTION("""COMPUTED_VALUE"""),45121.0)</f>
        <v>45121</v>
      </c>
      <c r="R414" s="45">
        <f>IFERROR(__xludf.DUMMYFUNCTION("""COMPUTED_VALUE"""),45164.0)</f>
        <v>45164</v>
      </c>
      <c r="S414" s="43"/>
      <c r="T414" s="43"/>
      <c r="U414" s="43" t="str">
        <f>IFERROR(__xludf.DUMMYFUNCTION("""COMPUTED_VALUE"""),"Youth 4 Impact")</f>
        <v>Youth 4 Impact</v>
      </c>
      <c r="V414" s="43" t="str">
        <f>IFERROR(__xludf.DUMMYFUNCTION("""COMPUTED_VALUE"""),"Cluj-Napoca")</f>
        <v>Cluj-Napoca</v>
      </c>
      <c r="W414" s="43" t="str">
        <f>IFERROR(__xludf.DUMMYFUNCTION("""COMPUTED_VALUE"""),"2022-10-18T21:24:01Z")</f>
        <v>2022-10-18T21:24:01Z</v>
      </c>
      <c r="X414" s="43"/>
      <c r="Y414" s="43"/>
      <c r="Z414" s="43"/>
    </row>
    <row r="415" hidden="1">
      <c r="A415" s="43" t="str">
        <f>IFERROR(__xludf.DUMMYFUNCTION("""COMPUTED_VALUE"""),"5176311_1285687")</f>
        <v>5176311_1285687</v>
      </c>
      <c r="B415" s="43" t="str">
        <f>IFERROR(__xludf.DUMMYFUNCTION("""COMPUTED_VALUE"""),"Giorgia Siligardi")</f>
        <v>Giorgia Siligardi</v>
      </c>
      <c r="C415" s="43" t="str">
        <f>IFERROR(__xludf.DUMMYFUNCTION("""COMPUTED_VALUE"""),"finished")</f>
        <v>finished</v>
      </c>
      <c r="D415" s="43" t="str">
        <f>IFERROR(__xludf.DUMMYFUNCTION("""COMPUTED_VALUE"""),"No")</f>
        <v>No</v>
      </c>
      <c r="E415" s="43" t="str">
        <f>IFERROR(__xludf.DUMMYFUNCTION("""COMPUTED_VALUE"""),"p_fb37154589129b5873faeaae854e74341c88986e@inbound.aiesec.org")</f>
        <v>p_fb37154589129b5873faeaae854e74341c88986e@inbound.aiesec.org</v>
      </c>
      <c r="F415" s="43">
        <f>IFERROR(__xludf.DUMMYFUNCTION("""COMPUTED_VALUE"""),7.47586902E8)</f>
        <v>747586902</v>
      </c>
      <c r="G415" s="43" t="str">
        <f>IFERROR(__xludf.DUMMYFUNCTION("""COMPUTED_VALUE"""),"Romania")</f>
        <v>Romania</v>
      </c>
      <c r="H415" s="43" t="str">
        <f>IFERROR(__xludf.DUMMYFUNCTION("""COMPUTED_VALUE"""),"Cluj-Napoca")</f>
        <v>Cluj-Napoca</v>
      </c>
      <c r="I415" s="43" t="str">
        <f>IFERROR(__xludf.DUMMYFUNCTION("""COMPUTED_VALUE"""),"Turkey")</f>
        <v>Turkey</v>
      </c>
      <c r="J415" s="43" t="str">
        <f>IFERROR(__xludf.DUMMYFUNCTION("""COMPUTED_VALUE"""),"ISTANBUL")</f>
        <v>ISTANBUL</v>
      </c>
      <c r="K415" s="44" t="str">
        <f>IFERROR(__xludf.DUMMYFUNCTION("""COMPUTED_VALUE"""),"https://expa.aiesec.org/opportunities/1285687")</f>
        <v>https://expa.aiesec.org/opportunities/1285687</v>
      </c>
      <c r="L415" s="43" t="str">
        <f>IFERROR(__xludf.DUMMYFUNCTION("""COMPUTED_VALUE"""),"GV")</f>
        <v>GV</v>
      </c>
      <c r="M415" s="43" t="str">
        <f>IFERROR(__xludf.DUMMYFUNCTION("""COMPUTED_VALUE"""),"short")</f>
        <v>short</v>
      </c>
      <c r="N415" s="45">
        <f>IFERROR(__xludf.DUMMYFUNCTION("""COMPUTED_VALUE"""),44958.0)</f>
        <v>44958</v>
      </c>
      <c r="O415" s="45">
        <f>IFERROR(__xludf.DUMMYFUNCTION("""COMPUTED_VALUE"""),45122.0)</f>
        <v>45122</v>
      </c>
      <c r="P415" s="45">
        <f>IFERROR(__xludf.DUMMYFUNCTION("""COMPUTED_VALUE"""),45164.0)</f>
        <v>45164</v>
      </c>
      <c r="Q415" s="45">
        <f>IFERROR(__xludf.DUMMYFUNCTION("""COMPUTED_VALUE"""),45121.0)</f>
        <v>45121</v>
      </c>
      <c r="R415" s="45">
        <f>IFERROR(__xludf.DUMMYFUNCTION("""COMPUTED_VALUE"""),45164.0)</f>
        <v>45164</v>
      </c>
      <c r="S415" s="43"/>
      <c r="T415" s="43"/>
      <c r="U415" s="43" t="str">
        <f>IFERROR(__xludf.DUMMYFUNCTION("""COMPUTED_VALUE"""),"Youth 4 Impact")</f>
        <v>Youth 4 Impact</v>
      </c>
      <c r="V415" s="43" t="str">
        <f>IFERROR(__xludf.DUMMYFUNCTION("""COMPUTED_VALUE"""),"Cluj-Napoca")</f>
        <v>Cluj-Napoca</v>
      </c>
      <c r="W415" s="43" t="str">
        <f>IFERROR(__xludf.DUMMYFUNCTION("""COMPUTED_VALUE"""),"2023-01-13T18:08:06Z")</f>
        <v>2023-01-13T18:08:06Z</v>
      </c>
      <c r="X415" s="43"/>
      <c r="Y415" s="43"/>
      <c r="Z415" s="43"/>
    </row>
    <row r="416" hidden="1">
      <c r="A416" s="43" t="str">
        <f>IFERROR(__xludf.DUMMYFUNCTION("""COMPUTED_VALUE"""),"5173882_1288393")</f>
        <v>5173882_1288393</v>
      </c>
      <c r="B416" s="43" t="str">
        <f>IFERROR(__xludf.DUMMYFUNCTION("""COMPUTED_VALUE"""),"Adia Aronescu")</f>
        <v>Adia Aronescu</v>
      </c>
      <c r="C416" s="43" t="str">
        <f>IFERROR(__xludf.DUMMYFUNCTION("""COMPUTED_VALUE"""),"completed")</f>
        <v>completed</v>
      </c>
      <c r="D416" s="43" t="str">
        <f>IFERROR(__xludf.DUMMYFUNCTION("""COMPUTED_VALUE"""),"No")</f>
        <v>No</v>
      </c>
      <c r="E416" s="43" t="str">
        <f>IFERROR(__xludf.DUMMYFUNCTION("""COMPUTED_VALUE"""),"p_a3592b8ca71f10fdbf9bbb62ec74fc5ec71535f2@inbound.aiesec.org")</f>
        <v>p_a3592b8ca71f10fdbf9bbb62ec74fc5ec71535f2@inbound.aiesec.org</v>
      </c>
      <c r="F416" s="43"/>
      <c r="G416" s="43" t="str">
        <f>IFERROR(__xludf.DUMMYFUNCTION("""COMPUTED_VALUE"""),"Romania")</f>
        <v>Romania</v>
      </c>
      <c r="H416" s="43" t="str">
        <f>IFERROR(__xludf.DUMMYFUNCTION("""COMPUTED_VALUE"""),"Cluj-Napoca")</f>
        <v>Cluj-Napoca</v>
      </c>
      <c r="I416" s="43" t="str">
        <f>IFERROR(__xludf.DUMMYFUNCTION("""COMPUTED_VALUE"""),"Turkey")</f>
        <v>Turkey</v>
      </c>
      <c r="J416" s="43" t="str">
        <f>IFERROR(__xludf.DUMMYFUNCTION("""COMPUTED_VALUE"""),"ISTANBUL")</f>
        <v>ISTANBUL</v>
      </c>
      <c r="K416" s="44" t="str">
        <f>IFERROR(__xludf.DUMMYFUNCTION("""COMPUTED_VALUE"""),"https://expa.aiesec.org/opportunities/1288393")</f>
        <v>https://expa.aiesec.org/opportunities/1288393</v>
      </c>
      <c r="L416" s="43" t="str">
        <f>IFERROR(__xludf.DUMMYFUNCTION("""COMPUTED_VALUE"""),"GV")</f>
        <v>GV</v>
      </c>
      <c r="M416" s="43" t="str">
        <f>IFERROR(__xludf.DUMMYFUNCTION("""COMPUTED_VALUE"""),"short")</f>
        <v>short</v>
      </c>
      <c r="N416" s="45">
        <f>IFERROR(__xludf.DUMMYFUNCTION("""COMPUTED_VALUE"""),44958.0)</f>
        <v>44958</v>
      </c>
      <c r="O416" s="45">
        <f>IFERROR(__xludf.DUMMYFUNCTION("""COMPUTED_VALUE"""),45123.0)</f>
        <v>45123</v>
      </c>
      <c r="P416" s="45">
        <f>IFERROR(__xludf.DUMMYFUNCTION("""COMPUTED_VALUE"""),45165.0)</f>
        <v>45165</v>
      </c>
      <c r="Q416" s="45">
        <f>IFERROR(__xludf.DUMMYFUNCTION("""COMPUTED_VALUE"""),45123.0)</f>
        <v>45123</v>
      </c>
      <c r="R416" s="45">
        <f>IFERROR(__xludf.DUMMYFUNCTION("""COMPUTED_VALUE"""),45165.0)</f>
        <v>45165</v>
      </c>
      <c r="S416" s="43"/>
      <c r="T416" s="43"/>
      <c r="U416" s="43" t="str">
        <f>IFERROR(__xludf.DUMMYFUNCTION("""COMPUTED_VALUE"""),"Global Classroom")</f>
        <v>Global Classroom</v>
      </c>
      <c r="V416" s="43" t="str">
        <f>IFERROR(__xludf.DUMMYFUNCTION("""COMPUTED_VALUE"""),"-")</f>
        <v>-</v>
      </c>
      <c r="W416" s="43" t="str">
        <f>IFERROR(__xludf.DUMMYFUNCTION("""COMPUTED_VALUE"""),"2023-01-06T21:08:55Z")</f>
        <v>2023-01-06T21:08:55Z</v>
      </c>
      <c r="X416" s="43"/>
      <c r="Y416" s="43"/>
      <c r="Z416" s="43"/>
    </row>
    <row r="417" hidden="1">
      <c r="A417" s="43" t="str">
        <f>IFERROR(__xludf.DUMMYFUNCTION("""COMPUTED_VALUE"""),"4762840_1289536")</f>
        <v>4762840_1289536</v>
      </c>
      <c r="B417" s="43" t="str">
        <f>IFERROR(__xludf.DUMMYFUNCTION("""COMPUTED_VALUE"""),"Biris Andreea")</f>
        <v>Biris Andreea</v>
      </c>
      <c r="C417" s="43" t="str">
        <f>IFERROR(__xludf.DUMMYFUNCTION("""COMPUTED_VALUE"""),"realization_broken")</f>
        <v>realization_broken</v>
      </c>
      <c r="D417" s="43" t="str">
        <f>IFERROR(__xludf.DUMMYFUNCTION("""COMPUTED_VALUE"""),"No")</f>
        <v>No</v>
      </c>
      <c r="E417" s="43" t="str">
        <f>IFERROR(__xludf.DUMMYFUNCTION("""COMPUTED_VALUE"""),"p_ff5df175eb511ab37de01fd910c486190b08123f@inbound.aiesec.org")</f>
        <v>p_ff5df175eb511ab37de01fd910c486190b08123f@inbound.aiesec.org</v>
      </c>
      <c r="F417" s="43"/>
      <c r="G417" s="43" t="str">
        <f>IFERROR(__xludf.DUMMYFUNCTION("""COMPUTED_VALUE"""),"Romania")</f>
        <v>Romania</v>
      </c>
      <c r="H417" s="43" t="str">
        <f>IFERROR(__xludf.DUMMYFUNCTION("""COMPUTED_VALUE"""),"Cluj-Napoca")</f>
        <v>Cluj-Napoca</v>
      </c>
      <c r="I417" s="43" t="str">
        <f>IFERROR(__xludf.DUMMYFUNCTION("""COMPUTED_VALUE"""),"Turkey")</f>
        <v>Turkey</v>
      </c>
      <c r="J417" s="43" t="str">
        <f>IFERROR(__xludf.DUMMYFUNCTION("""COMPUTED_VALUE"""),"ISTANBUL")</f>
        <v>ISTANBUL</v>
      </c>
      <c r="K417" s="44" t="str">
        <f>IFERROR(__xludf.DUMMYFUNCTION("""COMPUTED_VALUE"""),"https://expa.aiesec.org/opportunities/1289536")</f>
        <v>https://expa.aiesec.org/opportunities/1289536</v>
      </c>
      <c r="L417" s="43" t="str">
        <f>IFERROR(__xludf.DUMMYFUNCTION("""COMPUTED_VALUE"""),"GV")</f>
        <v>GV</v>
      </c>
      <c r="M417" s="43" t="str">
        <f>IFERROR(__xludf.DUMMYFUNCTION("""COMPUTED_VALUE"""),"short")</f>
        <v>short</v>
      </c>
      <c r="N417" s="45">
        <f>IFERROR(__xludf.DUMMYFUNCTION("""COMPUTED_VALUE"""),44958.0)</f>
        <v>44958</v>
      </c>
      <c r="O417" s="45">
        <f>IFERROR(__xludf.DUMMYFUNCTION("""COMPUTED_VALUE"""),45132.0)</f>
        <v>45132</v>
      </c>
      <c r="P417" s="45">
        <f>IFERROR(__xludf.DUMMYFUNCTION("""COMPUTED_VALUE"""),45174.0)</f>
        <v>45174</v>
      </c>
      <c r="Q417" s="45"/>
      <c r="R417" s="45"/>
      <c r="S417" s="43"/>
      <c r="T417" s="43"/>
      <c r="U417" s="43" t="str">
        <f>IFERROR(__xludf.DUMMYFUNCTION("""COMPUTED_VALUE"""),"Global Classroom")</f>
        <v>Global Classroom</v>
      </c>
      <c r="V417" s="43" t="str">
        <f>IFERROR(__xludf.DUMMYFUNCTION("""COMPUTED_VALUE"""),"-")</f>
        <v>-</v>
      </c>
      <c r="W417" s="43" t="str">
        <f>IFERROR(__xludf.DUMMYFUNCTION("""COMPUTED_VALUE"""),"2021-10-11T19:27:40Z")</f>
        <v>2021-10-11T19:27:40Z</v>
      </c>
      <c r="X417" s="43"/>
      <c r="Y417" s="43"/>
      <c r="Z417" s="43"/>
    </row>
    <row r="418" hidden="1">
      <c r="A418" s="43" t="str">
        <f>IFERROR(__xludf.DUMMYFUNCTION("""COMPUTED_VALUE"""),"5144859_1285687")</f>
        <v>5144859_1285687</v>
      </c>
      <c r="B418" s="43" t="str">
        <f>IFERROR(__xludf.DUMMYFUNCTION("""COMPUTED_VALUE"""),"Niharika Anand")</f>
        <v>Niharika Anand</v>
      </c>
      <c r="C418" s="43" t="str">
        <f>IFERROR(__xludf.DUMMYFUNCTION("""COMPUTED_VALUE"""),"completed")</f>
        <v>completed</v>
      </c>
      <c r="D418" s="43" t="str">
        <f>IFERROR(__xludf.DUMMYFUNCTION("""COMPUTED_VALUE"""),"No")</f>
        <v>No</v>
      </c>
      <c r="E418" s="43" t="str">
        <f>IFERROR(__xludf.DUMMYFUNCTION("""COMPUTED_VALUE"""),"p_510a53a155b0840c7e8e8488f3b4fca2609b476b@inbound.aiesec.org")</f>
        <v>p_510a53a155b0840c7e8e8488f3b4fca2609b476b@inbound.aiesec.org</v>
      </c>
      <c r="F418" s="43">
        <f>IFERROR(__xludf.DUMMYFUNCTION("""COMPUTED_VALUE"""),8.70041085E9)</f>
        <v>8700410850</v>
      </c>
      <c r="G418" s="43" t="str">
        <f>IFERROR(__xludf.DUMMYFUNCTION("""COMPUTED_VALUE"""),"India")</f>
        <v>India</v>
      </c>
      <c r="H418" s="43" t="str">
        <f>IFERROR(__xludf.DUMMYFUNCTION("""COMPUTED_VALUE"""),"Delhi IIT")</f>
        <v>Delhi IIT</v>
      </c>
      <c r="I418" s="43" t="str">
        <f>IFERROR(__xludf.DUMMYFUNCTION("""COMPUTED_VALUE"""),"Turkey")</f>
        <v>Turkey</v>
      </c>
      <c r="J418" s="43" t="str">
        <f>IFERROR(__xludf.DUMMYFUNCTION("""COMPUTED_VALUE"""),"ISTANBUL")</f>
        <v>ISTANBUL</v>
      </c>
      <c r="K418" s="44" t="str">
        <f>IFERROR(__xludf.DUMMYFUNCTION("""COMPUTED_VALUE"""),"https://expa.aiesec.org/opportunities/1285687")</f>
        <v>https://expa.aiesec.org/opportunities/1285687</v>
      </c>
      <c r="L418" s="43" t="str">
        <f>IFERROR(__xludf.DUMMYFUNCTION("""COMPUTED_VALUE"""),"GV")</f>
        <v>GV</v>
      </c>
      <c r="M418" s="43" t="str">
        <f>IFERROR(__xludf.DUMMYFUNCTION("""COMPUTED_VALUE"""),"short")</f>
        <v>short</v>
      </c>
      <c r="N418" s="45">
        <f>IFERROR(__xludf.DUMMYFUNCTION("""COMPUTED_VALUE"""),44958.0)</f>
        <v>44958</v>
      </c>
      <c r="O418" s="45">
        <f>IFERROR(__xludf.DUMMYFUNCTION("""COMPUTED_VALUE"""),45015.0)</f>
        <v>45015</v>
      </c>
      <c r="P418" s="45">
        <f>IFERROR(__xludf.DUMMYFUNCTION("""COMPUTED_VALUE"""),45057.0)</f>
        <v>45057</v>
      </c>
      <c r="Q418" s="45">
        <f>IFERROR(__xludf.DUMMYFUNCTION("""COMPUTED_VALUE"""),45016.0)</f>
        <v>45016</v>
      </c>
      <c r="R418" s="45">
        <f>IFERROR(__xludf.DUMMYFUNCTION("""COMPUTED_VALUE"""),45058.0)</f>
        <v>45058</v>
      </c>
      <c r="S418" s="43"/>
      <c r="T418" s="43"/>
      <c r="U418" s="43" t="str">
        <f>IFERROR(__xludf.DUMMYFUNCTION("""COMPUTED_VALUE"""),"Youth 4 Impact")</f>
        <v>Youth 4 Impact</v>
      </c>
      <c r="V418" s="43" t="str">
        <f>IFERROR(__xludf.DUMMYFUNCTION("""COMPUTED_VALUE"""),"ABES College, Ghaziabad")</f>
        <v>ABES College, Ghaziabad</v>
      </c>
      <c r="W418" s="43" t="str">
        <f>IFERROR(__xludf.DUMMYFUNCTION("""COMPUTED_VALUE"""),"2022-11-02T06:25:39Z")</f>
        <v>2022-11-02T06:25:39Z</v>
      </c>
      <c r="X418" s="43"/>
      <c r="Y418" s="43"/>
      <c r="Z418" s="43"/>
    </row>
    <row r="419" hidden="1">
      <c r="A419" s="43" t="str">
        <f>IFERROR(__xludf.DUMMYFUNCTION("""COMPUTED_VALUE"""),"5176305_1284976")</f>
        <v>5176305_1284976</v>
      </c>
      <c r="B419" s="43" t="str">
        <f>IFERROR(__xludf.DUMMYFUNCTION("""COMPUTED_VALUE"""),"Omar Salama")</f>
        <v>Omar Salama</v>
      </c>
      <c r="C419" s="43" t="str">
        <f>IFERROR(__xludf.DUMMYFUNCTION("""COMPUTED_VALUE"""),"approved")</f>
        <v>approved</v>
      </c>
      <c r="D419" s="43" t="str">
        <f>IFERROR(__xludf.DUMMYFUNCTION("""COMPUTED_VALUE"""),"No")</f>
        <v>No</v>
      </c>
      <c r="E419" s="43" t="str">
        <f>IFERROR(__xludf.DUMMYFUNCTION("""COMPUTED_VALUE"""),"p_3f2eb5241bb8df824ee5570b695ec85bc878d0da@inbound.aiesec.org")</f>
        <v>p_3f2eb5241bb8df824ee5570b695ec85bc878d0da@inbound.aiesec.org</v>
      </c>
      <c r="F419" s="43">
        <f>IFERROR(__xludf.DUMMYFUNCTION("""COMPUTED_VALUE"""),1.024980973E9)</f>
        <v>1024980973</v>
      </c>
      <c r="G419" s="43" t="str">
        <f>IFERROR(__xludf.DUMMYFUNCTION("""COMPUTED_VALUE"""),"Egypt")</f>
        <v>Egypt</v>
      </c>
      <c r="H419" s="43" t="str">
        <f>IFERROR(__xludf.DUMMYFUNCTION("""COMPUTED_VALUE"""),"Ain Shams University")</f>
        <v>Ain Shams University</v>
      </c>
      <c r="I419" s="43" t="str">
        <f>IFERROR(__xludf.DUMMYFUNCTION("""COMPUTED_VALUE"""),"Turkey")</f>
        <v>Turkey</v>
      </c>
      <c r="J419" s="43" t="str">
        <f>IFERROR(__xludf.DUMMYFUNCTION("""COMPUTED_VALUE"""),"ISPARTA")</f>
        <v>ISPARTA</v>
      </c>
      <c r="K419" s="44" t="str">
        <f>IFERROR(__xludf.DUMMYFUNCTION("""COMPUTED_VALUE"""),"https://expa.aiesec.org/opportunities/1284976")</f>
        <v>https://expa.aiesec.org/opportunities/1284976</v>
      </c>
      <c r="L419" s="43" t="str">
        <f>IFERROR(__xludf.DUMMYFUNCTION("""COMPUTED_VALUE"""),"GV")</f>
        <v>GV</v>
      </c>
      <c r="M419" s="43" t="str">
        <f>IFERROR(__xludf.DUMMYFUNCTION("""COMPUTED_VALUE"""),"short")</f>
        <v>short</v>
      </c>
      <c r="N419" s="45">
        <f>IFERROR(__xludf.DUMMYFUNCTION("""COMPUTED_VALUE"""),44958.0)</f>
        <v>44958</v>
      </c>
      <c r="O419" s="45">
        <f>IFERROR(__xludf.DUMMYFUNCTION("""COMPUTED_VALUE"""),45124.0)</f>
        <v>45124</v>
      </c>
      <c r="P419" s="45">
        <f>IFERROR(__xludf.DUMMYFUNCTION("""COMPUTED_VALUE"""),45166.0)</f>
        <v>45166</v>
      </c>
      <c r="Q419" s="45"/>
      <c r="R419" s="45"/>
      <c r="S419" s="43"/>
      <c r="T419" s="43"/>
      <c r="U419" s="43" t="str">
        <f>IFERROR(__xludf.DUMMYFUNCTION("""COMPUTED_VALUE"""),"Youth 4 Impact")</f>
        <v>Youth 4 Impact</v>
      </c>
      <c r="V419" s="43" t="str">
        <f>IFERROR(__xludf.DUMMYFUNCTION("""COMPUTED_VALUE"""),"Ain Shams University")</f>
        <v>Ain Shams University</v>
      </c>
      <c r="W419" s="43" t="str">
        <f>IFERROR(__xludf.DUMMYFUNCTION("""COMPUTED_VALUE"""),"2023-01-13T17:18:14Z")</f>
        <v>2023-01-13T17:18:14Z</v>
      </c>
      <c r="X419" s="43"/>
      <c r="Y419" s="43"/>
      <c r="Z419" s="43"/>
    </row>
    <row r="420" hidden="1">
      <c r="A420" s="43" t="str">
        <f>IFERROR(__xludf.DUMMYFUNCTION("""COMPUTED_VALUE"""),"5176623_1289597")</f>
        <v>5176623_1289597</v>
      </c>
      <c r="B420" s="43" t="str">
        <f>IFERROR(__xludf.DUMMYFUNCTION("""COMPUTED_VALUE"""),"Radwa Elshafey")</f>
        <v>Radwa Elshafey</v>
      </c>
      <c r="C420" s="43" t="str">
        <f>IFERROR(__xludf.DUMMYFUNCTION("""COMPUTED_VALUE"""),"approved")</f>
        <v>approved</v>
      </c>
      <c r="D420" s="43" t="str">
        <f>IFERROR(__xludf.DUMMYFUNCTION("""COMPUTED_VALUE"""),"No")</f>
        <v>No</v>
      </c>
      <c r="E420" s="43" t="str">
        <f>IFERROR(__xludf.DUMMYFUNCTION("""COMPUTED_VALUE"""),"p_8e5af73426b4d46704885e4abb11060a092963cb@inbound.aiesec.org")</f>
        <v>p_8e5af73426b4d46704885e4abb11060a092963cb@inbound.aiesec.org</v>
      </c>
      <c r="F420" s="43"/>
      <c r="G420" s="43" t="str">
        <f>IFERROR(__xludf.DUMMYFUNCTION("""COMPUTED_VALUE"""),"Egypt")</f>
        <v>Egypt</v>
      </c>
      <c r="H420" s="43" t="str">
        <f>IFERROR(__xludf.DUMMYFUNCTION("""COMPUTED_VALUE"""),"Ain Shams University")</f>
        <v>Ain Shams University</v>
      </c>
      <c r="I420" s="43" t="str">
        <f>IFERROR(__xludf.DUMMYFUNCTION("""COMPUTED_VALUE"""),"Turkey")</f>
        <v>Turkey</v>
      </c>
      <c r="J420" s="43" t="str">
        <f>IFERROR(__xludf.DUMMYFUNCTION("""COMPUTED_VALUE"""),"ISPARTA")</f>
        <v>ISPARTA</v>
      </c>
      <c r="K420" s="44" t="str">
        <f>IFERROR(__xludf.DUMMYFUNCTION("""COMPUTED_VALUE"""),"https://expa.aiesec.org/opportunities/1289597")</f>
        <v>https://expa.aiesec.org/opportunities/1289597</v>
      </c>
      <c r="L420" s="43" t="str">
        <f>IFERROR(__xludf.DUMMYFUNCTION("""COMPUTED_VALUE"""),"GV")</f>
        <v>GV</v>
      </c>
      <c r="M420" s="43" t="str">
        <f>IFERROR(__xludf.DUMMYFUNCTION("""COMPUTED_VALUE"""),"short")</f>
        <v>short</v>
      </c>
      <c r="N420" s="45">
        <f>IFERROR(__xludf.DUMMYFUNCTION("""COMPUTED_VALUE"""),44958.0)</f>
        <v>44958</v>
      </c>
      <c r="O420" s="45">
        <f>IFERROR(__xludf.DUMMYFUNCTION("""COMPUTED_VALUE"""),45159.0)</f>
        <v>45159</v>
      </c>
      <c r="P420" s="45">
        <f>IFERROR(__xludf.DUMMYFUNCTION("""COMPUTED_VALUE"""),45201.0)</f>
        <v>45201</v>
      </c>
      <c r="Q420" s="45"/>
      <c r="R420" s="45"/>
      <c r="S420" s="43"/>
      <c r="T420" s="43"/>
      <c r="U420" s="43" t="str">
        <f>IFERROR(__xludf.DUMMYFUNCTION("""COMPUTED_VALUE"""),"Global Classroom")</f>
        <v>Global Classroom</v>
      </c>
      <c r="V420" s="43" t="str">
        <f>IFERROR(__xludf.DUMMYFUNCTION("""COMPUTED_VALUE"""),"-")</f>
        <v>-</v>
      </c>
      <c r="W420" s="43" t="str">
        <f>IFERROR(__xludf.DUMMYFUNCTION("""COMPUTED_VALUE"""),"2023-01-14T20:41:58Z")</f>
        <v>2023-01-14T20:41:58Z</v>
      </c>
      <c r="X420" s="43"/>
      <c r="Y420" s="43"/>
      <c r="Z420" s="43"/>
    </row>
    <row r="421" hidden="1">
      <c r="A421" s="43" t="str">
        <f>IFERROR(__xludf.DUMMYFUNCTION("""COMPUTED_VALUE"""),"5175662_1286228")</f>
        <v>5175662_1286228</v>
      </c>
      <c r="B421" s="43" t="str">
        <f>IFERROR(__xludf.DUMMYFUNCTION("""COMPUTED_VALUE"""),"Polina Denysenko")</f>
        <v>Polina Denysenko</v>
      </c>
      <c r="C421" s="43" t="str">
        <f>IFERROR(__xludf.DUMMYFUNCTION("""COMPUTED_VALUE"""),"completed")</f>
        <v>completed</v>
      </c>
      <c r="D421" s="43" t="str">
        <f>IFERROR(__xludf.DUMMYFUNCTION("""COMPUTED_VALUE"""),"No")</f>
        <v>No</v>
      </c>
      <c r="E421" s="43" t="str">
        <f>IFERROR(__xludf.DUMMYFUNCTION("""COMPUTED_VALUE"""),"p_d95255911aef27387e5ba9130d9a8786601bc8b2@inbound.aiesec.org")</f>
        <v>p_d95255911aef27387e5ba9130d9a8786601bc8b2@inbound.aiesec.org</v>
      </c>
      <c r="F421" s="43">
        <f>IFERROR(__xludf.DUMMYFUNCTION("""COMPUTED_VALUE"""),9.50398726E8)</f>
        <v>950398726</v>
      </c>
      <c r="G421" s="43" t="str">
        <f>IFERROR(__xludf.DUMMYFUNCTION("""COMPUTED_VALUE"""),"Ukraine")</f>
        <v>Ukraine</v>
      </c>
      <c r="H421" s="43" t="str">
        <f>IFERROR(__xludf.DUMMYFUNCTION("""COMPUTED_VALUE"""),"KHARKIV")</f>
        <v>KHARKIV</v>
      </c>
      <c r="I421" s="43" t="str">
        <f>IFERROR(__xludf.DUMMYFUNCTION("""COMPUTED_VALUE"""),"Turkey")</f>
        <v>Turkey</v>
      </c>
      <c r="J421" s="43" t="str">
        <f>IFERROR(__xludf.DUMMYFUNCTION("""COMPUTED_VALUE"""),"ISTANBUL WEST")</f>
        <v>ISTANBUL WEST</v>
      </c>
      <c r="K421" s="44" t="str">
        <f>IFERROR(__xludf.DUMMYFUNCTION("""COMPUTED_VALUE"""),"https://expa.aiesec.org/opportunities/1286228")</f>
        <v>https://expa.aiesec.org/opportunities/1286228</v>
      </c>
      <c r="L421" s="43" t="str">
        <f>IFERROR(__xludf.DUMMYFUNCTION("""COMPUTED_VALUE"""),"GV")</f>
        <v>GV</v>
      </c>
      <c r="M421" s="43" t="str">
        <f>IFERROR(__xludf.DUMMYFUNCTION("""COMPUTED_VALUE"""),"short")</f>
        <v>short</v>
      </c>
      <c r="N421" s="45">
        <f>IFERROR(__xludf.DUMMYFUNCTION("""COMPUTED_VALUE"""),44958.0)</f>
        <v>44958</v>
      </c>
      <c r="O421" s="45">
        <f>IFERROR(__xludf.DUMMYFUNCTION("""COMPUTED_VALUE"""),45040.0)</f>
        <v>45040</v>
      </c>
      <c r="P421" s="45">
        <f>IFERROR(__xludf.DUMMYFUNCTION("""COMPUTED_VALUE"""),45082.0)</f>
        <v>45082</v>
      </c>
      <c r="Q421" s="45">
        <f>IFERROR(__xludf.DUMMYFUNCTION("""COMPUTED_VALUE"""),45040.0)</f>
        <v>45040</v>
      </c>
      <c r="R421" s="45">
        <f>IFERROR(__xludf.DUMMYFUNCTION("""COMPUTED_VALUE"""),45082.0)</f>
        <v>45082</v>
      </c>
      <c r="S421" s="43"/>
      <c r="T421" s="43"/>
      <c r="U421" s="43" t="str">
        <f>IFERROR(__xludf.DUMMYFUNCTION("""COMPUTED_VALUE"""),"Global Classroom")</f>
        <v>Global Classroom</v>
      </c>
      <c r="V421" s="43" t="str">
        <f>IFERROR(__xludf.DUMMYFUNCTION("""COMPUTED_VALUE"""),"Zaporizhzhia")</f>
        <v>Zaporizhzhia</v>
      </c>
      <c r="W421" s="43" t="str">
        <f>IFERROR(__xludf.DUMMYFUNCTION("""COMPUTED_VALUE"""),"2023-01-11T21:26:52Z")</f>
        <v>2023-01-11T21:26:52Z</v>
      </c>
      <c r="X421" s="43"/>
      <c r="Y421" s="43"/>
      <c r="Z421" s="43"/>
    </row>
    <row r="422" hidden="1">
      <c r="A422" s="43" t="str">
        <f>IFERROR(__xludf.DUMMYFUNCTION("""COMPUTED_VALUE"""),"5167183_1289597")</f>
        <v>5167183_1289597</v>
      </c>
      <c r="B422" s="43" t="str">
        <f>IFERROR(__xludf.DUMMYFUNCTION("""COMPUTED_VALUE"""),"Rahma Mohsen")</f>
        <v>Rahma Mohsen</v>
      </c>
      <c r="C422" s="43" t="str">
        <f>IFERROR(__xludf.DUMMYFUNCTION("""COMPUTED_VALUE"""),"realization_broken")</f>
        <v>realization_broken</v>
      </c>
      <c r="D422" s="43" t="str">
        <f>IFERROR(__xludf.DUMMYFUNCTION("""COMPUTED_VALUE"""),"No")</f>
        <v>No</v>
      </c>
      <c r="E422" s="43" t="str">
        <f>IFERROR(__xludf.DUMMYFUNCTION("""COMPUTED_VALUE"""),"p_221e952dd22bdb5517225ad3a215daab61315ae0@inbound.aiesec.org")</f>
        <v>p_221e952dd22bdb5517225ad3a215daab61315ae0@inbound.aiesec.org</v>
      </c>
      <c r="F422" s="43">
        <f>IFERROR(__xludf.DUMMYFUNCTION("""COMPUTED_VALUE"""),1.094224498E9)</f>
        <v>1094224498</v>
      </c>
      <c r="G422" s="43" t="str">
        <f>IFERROR(__xludf.DUMMYFUNCTION("""COMPUTED_VALUE"""),"Egypt")</f>
        <v>Egypt</v>
      </c>
      <c r="H422" s="43" t="str">
        <f>IFERROR(__xludf.DUMMYFUNCTION("""COMPUTED_VALUE"""),"Ain Shams University")</f>
        <v>Ain Shams University</v>
      </c>
      <c r="I422" s="43" t="str">
        <f>IFERROR(__xludf.DUMMYFUNCTION("""COMPUTED_VALUE"""),"Turkey")</f>
        <v>Turkey</v>
      </c>
      <c r="J422" s="43" t="str">
        <f>IFERROR(__xludf.DUMMYFUNCTION("""COMPUTED_VALUE"""),"ISPARTA")</f>
        <v>ISPARTA</v>
      </c>
      <c r="K422" s="44" t="str">
        <f>IFERROR(__xludf.DUMMYFUNCTION("""COMPUTED_VALUE"""),"https://expa.aiesec.org/opportunities/1289597")</f>
        <v>https://expa.aiesec.org/opportunities/1289597</v>
      </c>
      <c r="L422" s="43" t="str">
        <f>IFERROR(__xludf.DUMMYFUNCTION("""COMPUTED_VALUE"""),"GV")</f>
        <v>GV</v>
      </c>
      <c r="M422" s="43" t="str">
        <f>IFERROR(__xludf.DUMMYFUNCTION("""COMPUTED_VALUE"""),"short")</f>
        <v>short</v>
      </c>
      <c r="N422" s="45">
        <f>IFERROR(__xludf.DUMMYFUNCTION("""COMPUTED_VALUE"""),44958.0)</f>
        <v>44958</v>
      </c>
      <c r="O422" s="45">
        <f>IFERROR(__xludf.DUMMYFUNCTION("""COMPUTED_VALUE"""),45117.0)</f>
        <v>45117</v>
      </c>
      <c r="P422" s="45">
        <f>IFERROR(__xludf.DUMMYFUNCTION("""COMPUTED_VALUE"""),45159.0)</f>
        <v>45159</v>
      </c>
      <c r="Q422" s="45"/>
      <c r="R422" s="45"/>
      <c r="S422" s="43"/>
      <c r="T422" s="43"/>
      <c r="U422" s="43" t="str">
        <f>IFERROR(__xludf.DUMMYFUNCTION("""COMPUTED_VALUE"""),"Global Classroom")</f>
        <v>Global Classroom</v>
      </c>
      <c r="V422" s="43" t="str">
        <f>IFERROR(__xludf.DUMMYFUNCTION("""COMPUTED_VALUE"""),"Ain Shams University")</f>
        <v>Ain Shams University</v>
      </c>
      <c r="W422" s="43" t="str">
        <f>IFERROR(__xludf.DUMMYFUNCTION("""COMPUTED_VALUE"""),"2022-12-17T13:43:02Z")</f>
        <v>2022-12-17T13:43:02Z</v>
      </c>
      <c r="X422" s="43"/>
      <c r="Y422" s="43"/>
      <c r="Z422" s="43"/>
    </row>
    <row r="423">
      <c r="A423" s="43" t="str">
        <f>IFERROR(__xludf.DUMMYFUNCTION("""COMPUTED_VALUE"""),"5174450_1291304")</f>
        <v>5174450_1291304</v>
      </c>
      <c r="B423" s="43" t="str">
        <f>IFERROR(__xludf.DUMMYFUNCTION("""COMPUTED_VALUE"""),"Mohamed Hadi")</f>
        <v>Mohamed Hadi</v>
      </c>
      <c r="C423" s="43" t="str">
        <f>IFERROR(__xludf.DUMMYFUNCTION("""COMPUTED_VALUE"""),"approved")</f>
        <v>approved</v>
      </c>
      <c r="D423" s="43" t="str">
        <f>IFERROR(__xludf.DUMMYFUNCTION("""COMPUTED_VALUE"""),"No")</f>
        <v>No</v>
      </c>
      <c r="E423" s="43" t="str">
        <f>IFERROR(__xludf.DUMMYFUNCTION("""COMPUTED_VALUE"""),"p_ff1a0f9f7cdccbf337032de4d91feb580bad0d9f@inbound.aiesec.org")</f>
        <v>p_ff1a0f9f7cdccbf337032de4d91feb580bad0d9f@inbound.aiesec.org</v>
      </c>
      <c r="F423" s="43">
        <f>IFERROR(__xludf.DUMMYFUNCTION("""COMPUTED_VALUE"""),9.1277905E8)</f>
        <v>912779050</v>
      </c>
      <c r="G423" s="43" t="str">
        <f>IFERROR(__xludf.DUMMYFUNCTION("""COMPUTED_VALUE"""),"Egypt")</f>
        <v>Egypt</v>
      </c>
      <c r="H423" s="43" t="str">
        <f>IFERROR(__xludf.DUMMYFUNCTION("""COMPUTED_VALUE"""),"Ain Shams University")</f>
        <v>Ain Shams University</v>
      </c>
      <c r="I423" s="43" t="str">
        <f>IFERROR(__xludf.DUMMYFUNCTION("""COMPUTED_VALUE"""),"Turkey")</f>
        <v>Turkey</v>
      </c>
      <c r="J423" s="43" t="str">
        <f>IFERROR(__xludf.DUMMYFUNCTION("""COMPUTED_VALUE"""),"BURSA")</f>
        <v>BURSA</v>
      </c>
      <c r="K423" s="44" t="str">
        <f>IFERROR(__xludf.DUMMYFUNCTION("""COMPUTED_VALUE"""),"https://expa.aiesec.org/opportunities/1291304")</f>
        <v>https://expa.aiesec.org/opportunities/1291304</v>
      </c>
      <c r="L423" s="43" t="str">
        <f>IFERROR(__xludf.DUMMYFUNCTION("""COMPUTED_VALUE"""),"GV")</f>
        <v>GV</v>
      </c>
      <c r="M423" s="43" t="str">
        <f>IFERROR(__xludf.DUMMYFUNCTION("""COMPUTED_VALUE"""),"short")</f>
        <v>short</v>
      </c>
      <c r="N423" s="45">
        <f>IFERROR(__xludf.DUMMYFUNCTION("""COMPUTED_VALUE"""),44958.0)</f>
        <v>44958</v>
      </c>
      <c r="O423" s="45">
        <f>IFERROR(__xludf.DUMMYFUNCTION("""COMPUTED_VALUE"""),44963.0)</f>
        <v>44963</v>
      </c>
      <c r="P423" s="45">
        <f>IFERROR(__xludf.DUMMYFUNCTION("""COMPUTED_VALUE"""),45005.0)</f>
        <v>45005</v>
      </c>
      <c r="Q423" s="45"/>
      <c r="R423" s="45"/>
      <c r="S423" s="43"/>
      <c r="T423" s="43"/>
      <c r="U423" s="43" t="str">
        <f>IFERROR(__xludf.DUMMYFUNCTION("""COMPUTED_VALUE"""),"Youth 4 Impact")</f>
        <v>Youth 4 Impact</v>
      </c>
      <c r="V423" s="43" t="str">
        <f>IFERROR(__xludf.DUMMYFUNCTION("""COMPUTED_VALUE"""),"Ain Shams University")</f>
        <v>Ain Shams University</v>
      </c>
      <c r="W423" s="43" t="str">
        <f>IFERROR(__xludf.DUMMYFUNCTION("""COMPUTED_VALUE"""),"2023-01-08T20:00:01Z")</f>
        <v>2023-01-08T20:00:01Z</v>
      </c>
      <c r="X423" s="43"/>
      <c r="Y423" s="43"/>
      <c r="Z423" s="43"/>
    </row>
    <row r="424" hidden="1">
      <c r="A424" s="43" t="str">
        <f>IFERROR(__xludf.DUMMYFUNCTION("""COMPUTED_VALUE"""),"5151017_1284976")</f>
        <v>5151017_1284976</v>
      </c>
      <c r="B424" s="43" t="str">
        <f>IFERROR(__xludf.DUMMYFUNCTION("""COMPUTED_VALUE"""),"Mohamed Amine Jamli")</f>
        <v>Mohamed Amine Jamli</v>
      </c>
      <c r="C424" s="43" t="str">
        <f>IFERROR(__xludf.DUMMYFUNCTION("""COMPUTED_VALUE"""),"approved")</f>
        <v>approved</v>
      </c>
      <c r="D424" s="43" t="str">
        <f>IFERROR(__xludf.DUMMYFUNCTION("""COMPUTED_VALUE"""),"No")</f>
        <v>No</v>
      </c>
      <c r="E424" s="43" t="str">
        <f>IFERROR(__xludf.DUMMYFUNCTION("""COMPUTED_VALUE"""),"p_98788485e8d52b4b70ebfd4744cc9d4572c51472@inbound.aiesec.org")</f>
        <v>p_98788485e8d52b4b70ebfd4744cc9d4572c51472@inbound.aiesec.org</v>
      </c>
      <c r="F424" s="43">
        <f>IFERROR(__xludf.DUMMYFUNCTION("""COMPUTED_VALUE"""),2.5481007E7)</f>
        <v>25481007</v>
      </c>
      <c r="G424" s="43" t="str">
        <f>IFERROR(__xludf.DUMMYFUNCTION("""COMPUTED_VALUE"""),"Tunisia")</f>
        <v>Tunisia</v>
      </c>
      <c r="H424" s="43" t="str">
        <f>IFERROR(__xludf.DUMMYFUNCTION("""COMPUTED_VALUE"""),"Bizerte")</f>
        <v>Bizerte</v>
      </c>
      <c r="I424" s="43" t="str">
        <f>IFERROR(__xludf.DUMMYFUNCTION("""COMPUTED_VALUE"""),"Turkey")</f>
        <v>Turkey</v>
      </c>
      <c r="J424" s="43" t="str">
        <f>IFERROR(__xludf.DUMMYFUNCTION("""COMPUTED_VALUE"""),"ISPARTA")</f>
        <v>ISPARTA</v>
      </c>
      <c r="K424" s="44" t="str">
        <f>IFERROR(__xludf.DUMMYFUNCTION("""COMPUTED_VALUE"""),"https://expa.aiesec.org/opportunities/1284976")</f>
        <v>https://expa.aiesec.org/opportunities/1284976</v>
      </c>
      <c r="L424" s="43" t="str">
        <f>IFERROR(__xludf.DUMMYFUNCTION("""COMPUTED_VALUE"""),"GV")</f>
        <v>GV</v>
      </c>
      <c r="M424" s="43" t="str">
        <f>IFERROR(__xludf.DUMMYFUNCTION("""COMPUTED_VALUE"""),"short")</f>
        <v>short</v>
      </c>
      <c r="N424" s="45">
        <f>IFERROR(__xludf.DUMMYFUNCTION("""COMPUTED_VALUE"""),44958.0)</f>
        <v>44958</v>
      </c>
      <c r="O424" s="45">
        <f>IFERROR(__xludf.DUMMYFUNCTION("""COMPUTED_VALUE"""),45124.0)</f>
        <v>45124</v>
      </c>
      <c r="P424" s="45">
        <f>IFERROR(__xludf.DUMMYFUNCTION("""COMPUTED_VALUE"""),45166.0)</f>
        <v>45166</v>
      </c>
      <c r="Q424" s="45"/>
      <c r="R424" s="45"/>
      <c r="S424" s="43"/>
      <c r="T424" s="43"/>
      <c r="U424" s="43" t="str">
        <f>IFERROR(__xludf.DUMMYFUNCTION("""COMPUTED_VALUE"""),"Youth 4 Impact")</f>
        <v>Youth 4 Impact</v>
      </c>
      <c r="V424" s="43" t="str">
        <f>IFERROR(__xludf.DUMMYFUNCTION("""COMPUTED_VALUE"""),"FSB")</f>
        <v>FSB</v>
      </c>
      <c r="W424" s="43" t="str">
        <f>IFERROR(__xludf.DUMMYFUNCTION("""COMPUTED_VALUE"""),"2022-11-10T17:58:11Z")</f>
        <v>2022-11-10T17:58:11Z</v>
      </c>
      <c r="X424" s="43"/>
      <c r="Y424" s="43"/>
      <c r="Z424" s="43"/>
    </row>
    <row r="425" hidden="1">
      <c r="A425" s="43" t="str">
        <f>IFERROR(__xludf.DUMMYFUNCTION("""COMPUTED_VALUE"""),"5173672_1286228")</f>
        <v>5173672_1286228</v>
      </c>
      <c r="B425" s="43" t="str">
        <f>IFERROR(__xludf.DUMMYFUNCTION("""COMPUTED_VALUE"""),"Daria Horiainova")</f>
        <v>Daria Horiainova</v>
      </c>
      <c r="C425" s="43" t="str">
        <f>IFERROR(__xludf.DUMMYFUNCTION("""COMPUTED_VALUE"""),"completed")</f>
        <v>completed</v>
      </c>
      <c r="D425" s="43" t="str">
        <f>IFERROR(__xludf.DUMMYFUNCTION("""COMPUTED_VALUE"""),"No")</f>
        <v>No</v>
      </c>
      <c r="E425" s="43" t="str">
        <f>IFERROR(__xludf.DUMMYFUNCTION("""COMPUTED_VALUE"""),"p_87de65925f683f67107302201d671f273939adb9@inbound.aiesec.org")</f>
        <v>p_87de65925f683f67107302201d671f273939adb9@inbound.aiesec.org</v>
      </c>
      <c r="F425" s="43"/>
      <c r="G425" s="43" t="str">
        <f>IFERROR(__xludf.DUMMYFUNCTION("""COMPUTED_VALUE"""),"Ukraine")</f>
        <v>Ukraine</v>
      </c>
      <c r="H425" s="43" t="str">
        <f>IFERROR(__xludf.DUMMYFUNCTION("""COMPUTED_VALUE"""),"KHARKIV")</f>
        <v>KHARKIV</v>
      </c>
      <c r="I425" s="43" t="str">
        <f>IFERROR(__xludf.DUMMYFUNCTION("""COMPUTED_VALUE"""),"Turkey")</f>
        <v>Turkey</v>
      </c>
      <c r="J425" s="43" t="str">
        <f>IFERROR(__xludf.DUMMYFUNCTION("""COMPUTED_VALUE"""),"ISTANBUL WEST")</f>
        <v>ISTANBUL WEST</v>
      </c>
      <c r="K425" s="44" t="str">
        <f>IFERROR(__xludf.DUMMYFUNCTION("""COMPUTED_VALUE"""),"https://expa.aiesec.org/opportunities/1286228")</f>
        <v>https://expa.aiesec.org/opportunities/1286228</v>
      </c>
      <c r="L425" s="43" t="str">
        <f>IFERROR(__xludf.DUMMYFUNCTION("""COMPUTED_VALUE"""),"GV")</f>
        <v>GV</v>
      </c>
      <c r="M425" s="43" t="str">
        <f>IFERROR(__xludf.DUMMYFUNCTION("""COMPUTED_VALUE"""),"short")</f>
        <v>short</v>
      </c>
      <c r="N425" s="45">
        <f>IFERROR(__xludf.DUMMYFUNCTION("""COMPUTED_VALUE"""),44958.0)</f>
        <v>44958</v>
      </c>
      <c r="O425" s="45">
        <f>IFERROR(__xludf.DUMMYFUNCTION("""COMPUTED_VALUE"""),45138.0)</f>
        <v>45138</v>
      </c>
      <c r="P425" s="45">
        <f>IFERROR(__xludf.DUMMYFUNCTION("""COMPUTED_VALUE"""),45180.0)</f>
        <v>45180</v>
      </c>
      <c r="Q425" s="45">
        <f>IFERROR(__xludf.DUMMYFUNCTION("""COMPUTED_VALUE"""),45138.0)</f>
        <v>45138</v>
      </c>
      <c r="R425" s="45">
        <f>IFERROR(__xludf.DUMMYFUNCTION("""COMPUTED_VALUE"""),45180.0)</f>
        <v>45180</v>
      </c>
      <c r="S425" s="43"/>
      <c r="T425" s="43"/>
      <c r="U425" s="43" t="str">
        <f>IFERROR(__xludf.DUMMYFUNCTION("""COMPUTED_VALUE"""),"Global Classroom")</f>
        <v>Global Classroom</v>
      </c>
      <c r="V425" s="43" t="str">
        <f>IFERROR(__xludf.DUMMYFUNCTION("""COMPUTED_VALUE"""),"-")</f>
        <v>-</v>
      </c>
      <c r="W425" s="43" t="str">
        <f>IFERROR(__xludf.DUMMYFUNCTION("""COMPUTED_VALUE"""),"2023-01-06T11:40:01Z")</f>
        <v>2023-01-06T11:40:01Z</v>
      </c>
      <c r="X425" s="43"/>
      <c r="Y425" s="43"/>
      <c r="Z425" s="43"/>
    </row>
    <row r="426" hidden="1">
      <c r="A426" s="43" t="str">
        <f>IFERROR(__xludf.DUMMYFUNCTION("""COMPUTED_VALUE"""),"5146229_1290826")</f>
        <v>5146229_1290826</v>
      </c>
      <c r="B426" s="43" t="str">
        <f>IFERROR(__xludf.DUMMYFUNCTION("""COMPUTED_VALUE"""),"Bouraira Jelassi")</f>
        <v>Bouraira Jelassi</v>
      </c>
      <c r="C426" s="43" t="str">
        <f>IFERROR(__xludf.DUMMYFUNCTION("""COMPUTED_VALUE"""),"completed")</f>
        <v>completed</v>
      </c>
      <c r="D426" s="43" t="str">
        <f>IFERROR(__xludf.DUMMYFUNCTION("""COMPUTED_VALUE"""),"No")</f>
        <v>No</v>
      </c>
      <c r="E426" s="43" t="str">
        <f>IFERROR(__xludf.DUMMYFUNCTION("""COMPUTED_VALUE"""),"p_75d356a6e033fb7932f7ba6ca6a529300e1814ee@inbound.aiesec.org")</f>
        <v>p_75d356a6e033fb7932f7ba6ca6a529300e1814ee@inbound.aiesec.org</v>
      </c>
      <c r="F426" s="43"/>
      <c r="G426" s="43" t="str">
        <f>IFERROR(__xludf.DUMMYFUNCTION("""COMPUTED_VALUE"""),"Tunisia")</f>
        <v>Tunisia</v>
      </c>
      <c r="H426" s="43" t="str">
        <f>IFERROR(__xludf.DUMMYFUNCTION("""COMPUTED_VALUE"""),"RUSPINA")</f>
        <v>RUSPINA</v>
      </c>
      <c r="I426" s="43" t="str">
        <f>IFERROR(__xludf.DUMMYFUNCTION("""COMPUTED_VALUE"""),"Turkey")</f>
        <v>Turkey</v>
      </c>
      <c r="J426" s="43" t="str">
        <f>IFERROR(__xludf.DUMMYFUNCTION("""COMPUTED_VALUE"""),"KOCAELI")</f>
        <v>KOCAELI</v>
      </c>
      <c r="K426" s="44" t="str">
        <f>IFERROR(__xludf.DUMMYFUNCTION("""COMPUTED_VALUE"""),"https://expa.aiesec.org/opportunities/1290826")</f>
        <v>https://expa.aiesec.org/opportunities/1290826</v>
      </c>
      <c r="L426" s="43" t="str">
        <f>IFERROR(__xludf.DUMMYFUNCTION("""COMPUTED_VALUE"""),"GV")</f>
        <v>GV</v>
      </c>
      <c r="M426" s="43" t="str">
        <f>IFERROR(__xludf.DUMMYFUNCTION("""COMPUTED_VALUE"""),"short")</f>
        <v>short</v>
      </c>
      <c r="N426" s="45">
        <f>IFERROR(__xludf.DUMMYFUNCTION("""COMPUTED_VALUE"""),44959.0)</f>
        <v>44959</v>
      </c>
      <c r="O426" s="45">
        <f>IFERROR(__xludf.DUMMYFUNCTION("""COMPUTED_VALUE"""),45033.0)</f>
        <v>45033</v>
      </c>
      <c r="P426" s="45">
        <f>IFERROR(__xludf.DUMMYFUNCTION("""COMPUTED_VALUE"""),45075.0)</f>
        <v>45075</v>
      </c>
      <c r="Q426" s="45">
        <f>IFERROR(__xludf.DUMMYFUNCTION("""COMPUTED_VALUE"""),45035.0)</f>
        <v>45035</v>
      </c>
      <c r="R426" s="45">
        <f>IFERROR(__xludf.DUMMYFUNCTION("""COMPUTED_VALUE"""),45075.0)</f>
        <v>45075</v>
      </c>
      <c r="S426" s="43"/>
      <c r="T426" s="43"/>
      <c r="U426" s="43" t="str">
        <f>IFERROR(__xludf.DUMMYFUNCTION("""COMPUTED_VALUE"""),"Global Classroom")</f>
        <v>Global Classroom</v>
      </c>
      <c r="V426" s="43" t="str">
        <f>IFERROR(__xludf.DUMMYFUNCTION("""COMPUTED_VALUE"""),"-")</f>
        <v>-</v>
      </c>
      <c r="W426" s="43" t="str">
        <f>IFERROR(__xludf.DUMMYFUNCTION("""COMPUTED_VALUE"""),"2022-11-03T20:16:35Z")</f>
        <v>2022-11-03T20:16:35Z</v>
      </c>
      <c r="X426" s="43"/>
      <c r="Y426" s="43"/>
      <c r="Z426" s="43"/>
    </row>
    <row r="427" hidden="1">
      <c r="A427" s="43" t="str">
        <f>IFERROR(__xludf.DUMMYFUNCTION("""COMPUTED_VALUE"""),"5150336_1286920")</f>
        <v>5150336_1286920</v>
      </c>
      <c r="B427" s="43" t="str">
        <f>IFERROR(__xludf.DUMMYFUNCTION("""COMPUTED_VALUE"""),"Abhi Singla")</f>
        <v>Abhi Singla</v>
      </c>
      <c r="C427" s="43" t="str">
        <f>IFERROR(__xludf.DUMMYFUNCTION("""COMPUTED_VALUE"""),"completed")</f>
        <v>completed</v>
      </c>
      <c r="D427" s="43" t="str">
        <f>IFERROR(__xludf.DUMMYFUNCTION("""COMPUTED_VALUE"""),"No")</f>
        <v>No</v>
      </c>
      <c r="E427" s="43" t="str">
        <f>IFERROR(__xludf.DUMMYFUNCTION("""COMPUTED_VALUE"""),"p_d13409fcfe67c992b361796fe743dbab4de96f0e@inbound.aiesec.org")</f>
        <v>p_d13409fcfe67c992b361796fe743dbab4de96f0e@inbound.aiesec.org</v>
      </c>
      <c r="F427" s="43">
        <f>IFERROR(__xludf.DUMMYFUNCTION("""COMPUTED_VALUE"""),8.295055607E9)</f>
        <v>8295055607</v>
      </c>
      <c r="G427" s="43" t="str">
        <f>IFERROR(__xludf.DUMMYFUNCTION("""COMPUTED_VALUE"""),"India")</f>
        <v>India</v>
      </c>
      <c r="H427" s="43" t="str">
        <f>IFERROR(__xludf.DUMMYFUNCTION("""COMPUTED_VALUE"""),"Patiala")</f>
        <v>Patiala</v>
      </c>
      <c r="I427" s="43" t="str">
        <f>IFERROR(__xludf.DUMMYFUNCTION("""COMPUTED_VALUE"""),"Turkey")</f>
        <v>Turkey</v>
      </c>
      <c r="J427" s="43" t="str">
        <f>IFERROR(__xludf.DUMMYFUNCTION("""COMPUTED_VALUE"""),"DENIZLI")</f>
        <v>DENIZLI</v>
      </c>
      <c r="K427" s="44" t="str">
        <f>IFERROR(__xludf.DUMMYFUNCTION("""COMPUTED_VALUE"""),"https://expa.aiesec.org/opportunities/1286920")</f>
        <v>https://expa.aiesec.org/opportunities/1286920</v>
      </c>
      <c r="L427" s="43" t="str">
        <f>IFERROR(__xludf.DUMMYFUNCTION("""COMPUTED_VALUE"""),"GV")</f>
        <v>GV</v>
      </c>
      <c r="M427" s="43" t="str">
        <f>IFERROR(__xludf.DUMMYFUNCTION("""COMPUTED_VALUE"""),"short")</f>
        <v>short</v>
      </c>
      <c r="N427" s="45">
        <f>IFERROR(__xludf.DUMMYFUNCTION("""COMPUTED_VALUE"""),44959.0)</f>
        <v>44959</v>
      </c>
      <c r="O427" s="45">
        <f>IFERROR(__xludf.DUMMYFUNCTION("""COMPUTED_VALUE"""),44977.0)</f>
        <v>44977</v>
      </c>
      <c r="P427" s="45">
        <f>IFERROR(__xludf.DUMMYFUNCTION("""COMPUTED_VALUE"""),45019.0)</f>
        <v>45019</v>
      </c>
      <c r="Q427" s="45">
        <f>IFERROR(__xludf.DUMMYFUNCTION("""COMPUTED_VALUE"""),44976.0)</f>
        <v>44976</v>
      </c>
      <c r="R427" s="45">
        <f>IFERROR(__xludf.DUMMYFUNCTION("""COMPUTED_VALUE"""),45019.0)</f>
        <v>45019</v>
      </c>
      <c r="S427" s="43"/>
      <c r="T427" s="43"/>
      <c r="U427" s="43" t="str">
        <f>IFERROR(__xludf.DUMMYFUNCTION("""COMPUTED_VALUE"""),"Global Classroom")</f>
        <v>Global Classroom</v>
      </c>
      <c r="V427" s="43" t="str">
        <f>IFERROR(__xludf.DUMMYFUNCTION("""COMPUTED_VALUE"""),"Patiala")</f>
        <v>Patiala</v>
      </c>
      <c r="W427" s="43" t="str">
        <f>IFERROR(__xludf.DUMMYFUNCTION("""COMPUTED_VALUE"""),"2022-11-09T17:09:20Z")</f>
        <v>2022-11-09T17:09:20Z</v>
      </c>
      <c r="X427" s="43"/>
      <c r="Y427" s="43"/>
      <c r="Z427" s="43"/>
    </row>
    <row r="428" hidden="1">
      <c r="A428" s="43" t="str">
        <f>IFERROR(__xludf.DUMMYFUNCTION("""COMPUTED_VALUE"""),"4580714_1288393")</f>
        <v>4580714_1288393</v>
      </c>
      <c r="B428" s="43" t="str">
        <f>IFERROR(__xludf.DUMMYFUNCTION("""COMPUTED_VALUE"""),"Salma Abdelkader")</f>
        <v>Salma Abdelkader</v>
      </c>
      <c r="C428" s="43" t="str">
        <f>IFERROR(__xludf.DUMMYFUNCTION("""COMPUTED_VALUE"""),"finished")</f>
        <v>finished</v>
      </c>
      <c r="D428" s="43" t="str">
        <f>IFERROR(__xludf.DUMMYFUNCTION("""COMPUTED_VALUE"""),"No")</f>
        <v>No</v>
      </c>
      <c r="E428" s="43" t="str">
        <f>IFERROR(__xludf.DUMMYFUNCTION("""COMPUTED_VALUE"""),"p_b3ae5df7c73e877eceb3a06534001b9ed8eed092@inbound.aiesec.org")</f>
        <v>p_b3ae5df7c73e877eceb3a06534001b9ed8eed092@inbound.aiesec.org</v>
      </c>
      <c r="F428" s="43">
        <f>IFERROR(__xludf.DUMMYFUNCTION("""COMPUTED_VALUE"""),2.8773126E7)</f>
        <v>28773126</v>
      </c>
      <c r="G428" s="43" t="str">
        <f>IFERROR(__xludf.DUMMYFUNCTION("""COMPUTED_VALUE"""),"Tunisia")</f>
        <v>Tunisia</v>
      </c>
      <c r="H428" s="43" t="str">
        <f>IFERROR(__xludf.DUMMYFUNCTION("""COMPUTED_VALUE"""),"Tacapes")</f>
        <v>Tacapes</v>
      </c>
      <c r="I428" s="43" t="str">
        <f>IFERROR(__xludf.DUMMYFUNCTION("""COMPUTED_VALUE"""),"Turkey")</f>
        <v>Turkey</v>
      </c>
      <c r="J428" s="43" t="str">
        <f>IFERROR(__xludf.DUMMYFUNCTION("""COMPUTED_VALUE"""),"ISTANBUL")</f>
        <v>ISTANBUL</v>
      </c>
      <c r="K428" s="44" t="str">
        <f>IFERROR(__xludf.DUMMYFUNCTION("""COMPUTED_VALUE"""),"https://expa.aiesec.org/opportunities/1288393")</f>
        <v>https://expa.aiesec.org/opportunities/1288393</v>
      </c>
      <c r="L428" s="43" t="str">
        <f>IFERROR(__xludf.DUMMYFUNCTION("""COMPUTED_VALUE"""),"GV")</f>
        <v>GV</v>
      </c>
      <c r="M428" s="43" t="str">
        <f>IFERROR(__xludf.DUMMYFUNCTION("""COMPUTED_VALUE"""),"short")</f>
        <v>short</v>
      </c>
      <c r="N428" s="45">
        <f>IFERROR(__xludf.DUMMYFUNCTION("""COMPUTED_VALUE"""),44960.0)</f>
        <v>44960</v>
      </c>
      <c r="O428" s="45">
        <f>IFERROR(__xludf.DUMMYFUNCTION("""COMPUTED_VALUE"""),45123.0)</f>
        <v>45123</v>
      </c>
      <c r="P428" s="45">
        <f>IFERROR(__xludf.DUMMYFUNCTION("""COMPUTED_VALUE"""),45165.0)</f>
        <v>45165</v>
      </c>
      <c r="Q428" s="45">
        <f>IFERROR(__xludf.DUMMYFUNCTION("""COMPUTED_VALUE"""),45121.0)</f>
        <v>45121</v>
      </c>
      <c r="R428" s="45">
        <f>IFERROR(__xludf.DUMMYFUNCTION("""COMPUTED_VALUE"""),45165.0)</f>
        <v>45165</v>
      </c>
      <c r="S428" s="43"/>
      <c r="T428" s="43"/>
      <c r="U428" s="43" t="str">
        <f>IFERROR(__xludf.DUMMYFUNCTION("""COMPUTED_VALUE"""),"Global Classroom")</f>
        <v>Global Classroom</v>
      </c>
      <c r="V428" s="43" t="str">
        <f>IFERROR(__xludf.DUMMYFUNCTION("""COMPUTED_VALUE"""),"ISLG")</f>
        <v>ISLG</v>
      </c>
      <c r="W428" s="43" t="str">
        <f>IFERROR(__xludf.DUMMYFUNCTION("""COMPUTED_VALUE"""),"2021-03-16T15:31:14Z")</f>
        <v>2021-03-16T15:31:14Z</v>
      </c>
      <c r="X428" s="43"/>
      <c r="Y428" s="43"/>
      <c r="Z428" s="43"/>
    </row>
    <row r="429" hidden="1">
      <c r="A429" s="43" t="str">
        <f>IFERROR(__xludf.DUMMYFUNCTION("""COMPUTED_VALUE"""),"5178539_1288611")</f>
        <v>5178539_1288611</v>
      </c>
      <c r="B429" s="43" t="str">
        <f>IFERROR(__xludf.DUMMYFUNCTION("""COMPUTED_VALUE"""),"Meziane Chouaib")</f>
        <v>Meziane Chouaib</v>
      </c>
      <c r="C429" s="43" t="str">
        <f>IFERROR(__xludf.DUMMYFUNCTION("""COMPUTED_VALUE"""),"completed")</f>
        <v>completed</v>
      </c>
      <c r="D429" s="43" t="str">
        <f>IFERROR(__xludf.DUMMYFUNCTION("""COMPUTED_VALUE"""),"No")</f>
        <v>No</v>
      </c>
      <c r="E429" s="43" t="str">
        <f>IFERROR(__xludf.DUMMYFUNCTION("""COMPUTED_VALUE"""),"p_b6663b3878d20d43736b8ad1bba032bd367d27f1@inbound.aiesec.org")</f>
        <v>p_b6663b3878d20d43736b8ad1bba032bd367d27f1@inbound.aiesec.org</v>
      </c>
      <c r="F429" s="43"/>
      <c r="G429" s="43" t="str">
        <f>IFERROR(__xludf.DUMMYFUNCTION("""COMPUTED_VALUE"""),"Algeria")</f>
        <v>Algeria</v>
      </c>
      <c r="H429" s="43" t="str">
        <f>IFERROR(__xludf.DUMMYFUNCTION("""COMPUTED_VALUE"""),"Blida")</f>
        <v>Blida</v>
      </c>
      <c r="I429" s="43" t="str">
        <f>IFERROR(__xludf.DUMMYFUNCTION("""COMPUTED_VALUE"""),"Turkey")</f>
        <v>Turkey</v>
      </c>
      <c r="J429" s="43" t="str">
        <f>IFERROR(__xludf.DUMMYFUNCTION("""COMPUTED_VALUE"""),"ISTANBUL")</f>
        <v>ISTANBUL</v>
      </c>
      <c r="K429" s="44" t="str">
        <f>IFERROR(__xludf.DUMMYFUNCTION("""COMPUTED_VALUE"""),"https://expa.aiesec.org/opportunities/1288611")</f>
        <v>https://expa.aiesec.org/opportunities/1288611</v>
      </c>
      <c r="L429" s="43" t="str">
        <f>IFERROR(__xludf.DUMMYFUNCTION("""COMPUTED_VALUE"""),"GV")</f>
        <v>GV</v>
      </c>
      <c r="M429" s="43" t="str">
        <f>IFERROR(__xludf.DUMMYFUNCTION("""COMPUTED_VALUE"""),"short")</f>
        <v>short</v>
      </c>
      <c r="N429" s="45">
        <f>IFERROR(__xludf.DUMMYFUNCTION("""COMPUTED_VALUE"""),44960.0)</f>
        <v>44960</v>
      </c>
      <c r="O429" s="45">
        <f>IFERROR(__xludf.DUMMYFUNCTION("""COMPUTED_VALUE"""),45012.0)</f>
        <v>45012</v>
      </c>
      <c r="P429" s="45">
        <f>IFERROR(__xludf.DUMMYFUNCTION("""COMPUTED_VALUE"""),45054.0)</f>
        <v>45054</v>
      </c>
      <c r="Q429" s="45">
        <f>IFERROR(__xludf.DUMMYFUNCTION("""COMPUTED_VALUE"""),45012.0)</f>
        <v>45012</v>
      </c>
      <c r="R429" s="45">
        <f>IFERROR(__xludf.DUMMYFUNCTION("""COMPUTED_VALUE"""),45054.0)</f>
        <v>45054</v>
      </c>
      <c r="S429" s="43"/>
      <c r="T429" s="43"/>
      <c r="U429" s="43" t="str">
        <f>IFERROR(__xludf.DUMMYFUNCTION("""COMPUTED_VALUE"""),"Global Classroom")</f>
        <v>Global Classroom</v>
      </c>
      <c r="V429" s="43" t="str">
        <f>IFERROR(__xludf.DUMMYFUNCTION("""COMPUTED_VALUE"""),"-")</f>
        <v>-</v>
      </c>
      <c r="W429" s="43" t="str">
        <f>IFERROR(__xludf.DUMMYFUNCTION("""COMPUTED_VALUE"""),"2023-01-19T22:58:13Z")</f>
        <v>2023-01-19T22:58:13Z</v>
      </c>
      <c r="X429" s="43"/>
      <c r="Y429" s="43"/>
      <c r="Z429" s="43"/>
    </row>
    <row r="430" hidden="1">
      <c r="A430" s="43" t="str">
        <f>IFERROR(__xludf.DUMMYFUNCTION("""COMPUTED_VALUE"""),"2888288_1288393")</f>
        <v>2888288_1288393</v>
      </c>
      <c r="B430" s="43" t="str">
        <f>IFERROR(__xludf.DUMMYFUNCTION("""COMPUTED_VALUE"""),"Mariem Belgacem")</f>
        <v>Mariem Belgacem</v>
      </c>
      <c r="C430" s="43" t="str">
        <f>IFERROR(__xludf.DUMMYFUNCTION("""COMPUTED_VALUE"""),"finished")</f>
        <v>finished</v>
      </c>
      <c r="D430" s="43" t="str">
        <f>IFERROR(__xludf.DUMMYFUNCTION("""COMPUTED_VALUE"""),"No")</f>
        <v>No</v>
      </c>
      <c r="E430" s="43" t="str">
        <f>IFERROR(__xludf.DUMMYFUNCTION("""COMPUTED_VALUE"""),"p_cedb26d4998971f115240a70516eb036c14a7e3d@inbound.aiesec.org")</f>
        <v>p_cedb26d4998971f115240a70516eb036c14a7e3d@inbound.aiesec.org</v>
      </c>
      <c r="F430" s="43"/>
      <c r="G430" s="43" t="str">
        <f>IFERROR(__xludf.DUMMYFUNCTION("""COMPUTED_VALUE"""),"Tunisia")</f>
        <v>Tunisia</v>
      </c>
      <c r="H430" s="43" t="str">
        <f>IFERROR(__xludf.DUMMYFUNCTION("""COMPUTED_VALUE"""),"Tacapes")</f>
        <v>Tacapes</v>
      </c>
      <c r="I430" s="43" t="str">
        <f>IFERROR(__xludf.DUMMYFUNCTION("""COMPUTED_VALUE"""),"Turkey")</f>
        <v>Turkey</v>
      </c>
      <c r="J430" s="43" t="str">
        <f>IFERROR(__xludf.DUMMYFUNCTION("""COMPUTED_VALUE"""),"ISTANBUL")</f>
        <v>ISTANBUL</v>
      </c>
      <c r="K430" s="44" t="str">
        <f>IFERROR(__xludf.DUMMYFUNCTION("""COMPUTED_VALUE"""),"https://expa.aiesec.org/opportunities/1288393")</f>
        <v>https://expa.aiesec.org/opportunities/1288393</v>
      </c>
      <c r="L430" s="43" t="str">
        <f>IFERROR(__xludf.DUMMYFUNCTION("""COMPUTED_VALUE"""),"GV")</f>
        <v>GV</v>
      </c>
      <c r="M430" s="43" t="str">
        <f>IFERROR(__xludf.DUMMYFUNCTION("""COMPUTED_VALUE"""),"short")</f>
        <v>short</v>
      </c>
      <c r="N430" s="45">
        <f>IFERROR(__xludf.DUMMYFUNCTION("""COMPUTED_VALUE"""),44960.0)</f>
        <v>44960</v>
      </c>
      <c r="O430" s="45">
        <f>IFERROR(__xludf.DUMMYFUNCTION("""COMPUTED_VALUE"""),45123.0)</f>
        <v>45123</v>
      </c>
      <c r="P430" s="45">
        <f>IFERROR(__xludf.DUMMYFUNCTION("""COMPUTED_VALUE"""),45165.0)</f>
        <v>45165</v>
      </c>
      <c r="Q430" s="45">
        <f>IFERROR(__xludf.DUMMYFUNCTION("""COMPUTED_VALUE"""),45123.0)</f>
        <v>45123</v>
      </c>
      <c r="R430" s="45">
        <f>IFERROR(__xludf.DUMMYFUNCTION("""COMPUTED_VALUE"""),45165.0)</f>
        <v>45165</v>
      </c>
      <c r="S430" s="43"/>
      <c r="T430" s="43"/>
      <c r="U430" s="43" t="str">
        <f>IFERROR(__xludf.DUMMYFUNCTION("""COMPUTED_VALUE"""),"Global Classroom")</f>
        <v>Global Classroom</v>
      </c>
      <c r="V430" s="43" t="str">
        <f>IFERROR(__xludf.DUMMYFUNCTION("""COMPUTED_VALUE"""),"ISLG")</f>
        <v>ISLG</v>
      </c>
      <c r="W430" s="43" t="str">
        <f>IFERROR(__xludf.DUMMYFUNCTION("""COMPUTED_VALUE"""),"2018-11-20T17:51:52Z")</f>
        <v>2018-11-20T17:51:52Z</v>
      </c>
      <c r="X430" s="43"/>
      <c r="Y430" s="43"/>
      <c r="Z430" s="43"/>
    </row>
    <row r="431">
      <c r="A431" s="43" t="str">
        <f>IFERROR(__xludf.DUMMYFUNCTION("""COMPUTED_VALUE"""),"5109405_1284476")</f>
        <v>5109405_1284476</v>
      </c>
      <c r="B431" s="43" t="str">
        <f>IFERROR(__xludf.DUMMYFUNCTION("""COMPUTED_VALUE"""),"Mustafa Elsayed")</f>
        <v>Mustafa Elsayed</v>
      </c>
      <c r="C431" s="43" t="str">
        <f>IFERROR(__xludf.DUMMYFUNCTION("""COMPUTED_VALUE"""),"approved")</f>
        <v>approved</v>
      </c>
      <c r="D431" s="43" t="str">
        <f>IFERROR(__xludf.DUMMYFUNCTION("""COMPUTED_VALUE"""),"No")</f>
        <v>No</v>
      </c>
      <c r="E431" s="43" t="str">
        <f>IFERROR(__xludf.DUMMYFUNCTION("""COMPUTED_VALUE"""),"p_69982b07edc182a67720c1b6c8de815d8b1a3494@inbound.aiesec.org")</f>
        <v>p_69982b07edc182a67720c1b6c8de815d8b1a3494@inbound.aiesec.org</v>
      </c>
      <c r="F431" s="43">
        <f>IFERROR(__xludf.DUMMYFUNCTION("""COMPUTED_VALUE"""),1.01211016E9)</f>
        <v>1012110160</v>
      </c>
      <c r="G431" s="43" t="str">
        <f>IFERROR(__xludf.DUMMYFUNCTION("""COMPUTED_VALUE"""),"Egypt")</f>
        <v>Egypt</v>
      </c>
      <c r="H431" s="43" t="str">
        <f>IFERROR(__xludf.DUMMYFUNCTION("""COMPUTED_VALUE"""),"Cairo University")</f>
        <v>Cairo University</v>
      </c>
      <c r="I431" s="43" t="str">
        <f>IFERROR(__xludf.DUMMYFUNCTION("""COMPUTED_VALUE"""),"Turkey")</f>
        <v>Turkey</v>
      </c>
      <c r="J431" s="43" t="str">
        <f>IFERROR(__xludf.DUMMYFUNCTION("""COMPUTED_VALUE"""),"ADANA")</f>
        <v>ADANA</v>
      </c>
      <c r="K431" s="44" t="str">
        <f>IFERROR(__xludf.DUMMYFUNCTION("""COMPUTED_VALUE"""),"https://expa.aiesec.org/opportunities/1284476")</f>
        <v>https://expa.aiesec.org/opportunities/1284476</v>
      </c>
      <c r="L431" s="43" t="str">
        <f>IFERROR(__xludf.DUMMYFUNCTION("""COMPUTED_VALUE"""),"GV")</f>
        <v>GV</v>
      </c>
      <c r="M431" s="43" t="str">
        <f>IFERROR(__xludf.DUMMYFUNCTION("""COMPUTED_VALUE"""),"short")</f>
        <v>short</v>
      </c>
      <c r="N431" s="45">
        <f>IFERROR(__xludf.DUMMYFUNCTION("""COMPUTED_VALUE"""),44960.0)</f>
        <v>44960</v>
      </c>
      <c r="O431" s="45">
        <f>IFERROR(__xludf.DUMMYFUNCTION("""COMPUTED_VALUE"""),45036.0)</f>
        <v>45036</v>
      </c>
      <c r="P431" s="45">
        <f>IFERROR(__xludf.DUMMYFUNCTION("""COMPUTED_VALUE"""),45079.0)</f>
        <v>45079</v>
      </c>
      <c r="Q431" s="45"/>
      <c r="R431" s="45"/>
      <c r="S431" s="43"/>
      <c r="T431" s="43"/>
      <c r="U431" s="43" t="str">
        <f>IFERROR(__xludf.DUMMYFUNCTION("""COMPUTED_VALUE"""),"Global Classroom")</f>
        <v>Global Classroom</v>
      </c>
      <c r="V431" s="43" t="str">
        <f>IFERROR(__xludf.DUMMYFUNCTION("""COMPUTED_VALUE"""),"Cairo Univeristy")</f>
        <v>Cairo Univeristy</v>
      </c>
      <c r="W431" s="43" t="str">
        <f>IFERROR(__xludf.DUMMYFUNCTION("""COMPUTED_VALUE"""),"2022-09-10T13:24:25Z")</f>
        <v>2022-09-10T13:24:25Z</v>
      </c>
      <c r="X431" s="43"/>
      <c r="Y431" s="43"/>
      <c r="Z431" s="43"/>
    </row>
    <row r="432" hidden="1">
      <c r="A432" s="43" t="str">
        <f>IFERROR(__xludf.DUMMYFUNCTION("""COMPUTED_VALUE"""),"3925818_1291304")</f>
        <v>3925818_1291304</v>
      </c>
      <c r="B432" s="43" t="str">
        <f>IFERROR(__xludf.DUMMYFUNCTION("""COMPUTED_VALUE"""),"Panah Aslanov")</f>
        <v>Panah Aslanov</v>
      </c>
      <c r="C432" s="43" t="str">
        <f>IFERROR(__xludf.DUMMYFUNCTION("""COMPUTED_VALUE"""),"completed")</f>
        <v>completed</v>
      </c>
      <c r="D432" s="43" t="str">
        <f>IFERROR(__xludf.DUMMYFUNCTION("""COMPUTED_VALUE"""),"No")</f>
        <v>No</v>
      </c>
      <c r="E432" s="43" t="str">
        <f>IFERROR(__xludf.DUMMYFUNCTION("""COMPUTED_VALUE"""),"p_0605857d703e95235b17abad877370e750ac6718@inbound.aiesec.org")</f>
        <v>p_0605857d703e95235b17abad877370e750ac6718@inbound.aiesec.org</v>
      </c>
      <c r="F432" s="43"/>
      <c r="G432" s="43" t="str">
        <f>IFERROR(__xludf.DUMMYFUNCTION("""COMPUTED_VALUE"""),"Azerbaijan")</f>
        <v>Azerbaijan</v>
      </c>
      <c r="H432" s="43" t="str">
        <f>IFERROR(__xludf.DUMMYFUNCTION("""COMPUTED_VALUE"""),"Baku Qafqaz")</f>
        <v>Baku Qafqaz</v>
      </c>
      <c r="I432" s="43" t="str">
        <f>IFERROR(__xludf.DUMMYFUNCTION("""COMPUTED_VALUE"""),"Turkey")</f>
        <v>Turkey</v>
      </c>
      <c r="J432" s="43" t="str">
        <f>IFERROR(__xludf.DUMMYFUNCTION("""COMPUTED_VALUE"""),"BURSA")</f>
        <v>BURSA</v>
      </c>
      <c r="K432" s="44" t="str">
        <f>IFERROR(__xludf.DUMMYFUNCTION("""COMPUTED_VALUE"""),"https://expa.aiesec.org/opportunities/1291304")</f>
        <v>https://expa.aiesec.org/opportunities/1291304</v>
      </c>
      <c r="L432" s="43" t="str">
        <f>IFERROR(__xludf.DUMMYFUNCTION("""COMPUTED_VALUE"""),"GV")</f>
        <v>GV</v>
      </c>
      <c r="M432" s="43" t="str">
        <f>IFERROR(__xludf.DUMMYFUNCTION("""COMPUTED_VALUE"""),"short")</f>
        <v>short</v>
      </c>
      <c r="N432" s="45">
        <f>IFERROR(__xludf.DUMMYFUNCTION("""COMPUTED_VALUE"""),44961.0)</f>
        <v>44961</v>
      </c>
      <c r="O432" s="45">
        <f>IFERROR(__xludf.DUMMYFUNCTION("""COMPUTED_VALUE"""),45012.0)</f>
        <v>45012</v>
      </c>
      <c r="P432" s="45">
        <f>IFERROR(__xludf.DUMMYFUNCTION("""COMPUTED_VALUE"""),45054.0)</f>
        <v>45054</v>
      </c>
      <c r="Q432" s="45">
        <f>IFERROR(__xludf.DUMMYFUNCTION("""COMPUTED_VALUE"""),45019.0)</f>
        <v>45019</v>
      </c>
      <c r="R432" s="45">
        <f>IFERROR(__xludf.DUMMYFUNCTION("""COMPUTED_VALUE"""),45060.0)</f>
        <v>45060</v>
      </c>
      <c r="S432" s="43"/>
      <c r="T432" s="43"/>
      <c r="U432" s="43" t="str">
        <f>IFERROR(__xludf.DUMMYFUNCTION("""COMPUTED_VALUE"""),"Youth 4 Impact")</f>
        <v>Youth 4 Impact</v>
      </c>
      <c r="V432" s="43" t="str">
        <f>IFERROR(__xludf.DUMMYFUNCTION("""COMPUTED_VALUE"""),"Baku State University")</f>
        <v>Baku State University</v>
      </c>
      <c r="W432" s="43" t="str">
        <f>IFERROR(__xludf.DUMMYFUNCTION("""COMPUTED_VALUE"""),"2019-10-25T17:46:10Z")</f>
        <v>2019-10-25T17:46:10Z</v>
      </c>
      <c r="X432" s="43"/>
      <c r="Y432" s="43"/>
      <c r="Z432" s="43"/>
    </row>
    <row r="433" hidden="1">
      <c r="A433" s="43" t="str">
        <f>IFERROR(__xludf.DUMMYFUNCTION("""COMPUTED_VALUE"""),"5018430_1291304")</f>
        <v>5018430_1291304</v>
      </c>
      <c r="B433" s="43" t="str">
        <f>IFERROR(__xludf.DUMMYFUNCTION("""COMPUTED_VALUE"""),"Naima EZZAIM")</f>
        <v>Naima EZZAIM</v>
      </c>
      <c r="C433" s="43" t="str">
        <f>IFERROR(__xludf.DUMMYFUNCTION("""COMPUTED_VALUE"""),"finished")</f>
        <v>finished</v>
      </c>
      <c r="D433" s="43" t="str">
        <f>IFERROR(__xludf.DUMMYFUNCTION("""COMPUTED_VALUE"""),"No")</f>
        <v>No</v>
      </c>
      <c r="E433" s="43" t="str">
        <f>IFERROR(__xludf.DUMMYFUNCTION("""COMPUTED_VALUE"""),"p_a681fb1d3b13c58916078177f22eb3bc53aad5eb@inbound.aiesec.org")</f>
        <v>p_a681fb1d3b13c58916078177f22eb3bc53aad5eb@inbound.aiesec.org</v>
      </c>
      <c r="F433" s="43">
        <f>IFERROR(__xludf.DUMMYFUNCTION("""COMPUTED_VALUE"""),6.54501609E8)</f>
        <v>654501609</v>
      </c>
      <c r="G433" s="43" t="str">
        <f>IFERROR(__xludf.DUMMYFUNCTION("""COMPUTED_VALUE"""),"Morocco")</f>
        <v>Morocco</v>
      </c>
      <c r="H433" s="43" t="str">
        <f>IFERROR(__xludf.DUMMYFUNCTION("""COMPUTED_VALUE"""),"Agadir")</f>
        <v>Agadir</v>
      </c>
      <c r="I433" s="43" t="str">
        <f>IFERROR(__xludf.DUMMYFUNCTION("""COMPUTED_VALUE"""),"Turkey")</f>
        <v>Turkey</v>
      </c>
      <c r="J433" s="43" t="str">
        <f>IFERROR(__xludf.DUMMYFUNCTION("""COMPUTED_VALUE"""),"BURSA")</f>
        <v>BURSA</v>
      </c>
      <c r="K433" s="44" t="str">
        <f>IFERROR(__xludf.DUMMYFUNCTION("""COMPUTED_VALUE"""),"https://expa.aiesec.org/opportunities/1291304")</f>
        <v>https://expa.aiesec.org/opportunities/1291304</v>
      </c>
      <c r="L433" s="43" t="str">
        <f>IFERROR(__xludf.DUMMYFUNCTION("""COMPUTED_VALUE"""),"GV")</f>
        <v>GV</v>
      </c>
      <c r="M433" s="43" t="str">
        <f>IFERROR(__xludf.DUMMYFUNCTION("""COMPUTED_VALUE"""),"short")</f>
        <v>short</v>
      </c>
      <c r="N433" s="45">
        <f>IFERROR(__xludf.DUMMYFUNCTION("""COMPUTED_VALUE"""),44961.0)</f>
        <v>44961</v>
      </c>
      <c r="O433" s="45">
        <f>IFERROR(__xludf.DUMMYFUNCTION("""COMPUTED_VALUE"""),45012.0)</f>
        <v>45012</v>
      </c>
      <c r="P433" s="45">
        <f>IFERROR(__xludf.DUMMYFUNCTION("""COMPUTED_VALUE"""),45054.0)</f>
        <v>45054</v>
      </c>
      <c r="Q433" s="45">
        <f>IFERROR(__xludf.DUMMYFUNCTION("""COMPUTED_VALUE"""),45019.0)</f>
        <v>45019</v>
      </c>
      <c r="R433" s="45">
        <f>IFERROR(__xludf.DUMMYFUNCTION("""COMPUTED_VALUE"""),45059.0)</f>
        <v>45059</v>
      </c>
      <c r="S433" s="43"/>
      <c r="T433" s="43"/>
      <c r="U433" s="43" t="str">
        <f>IFERROR(__xludf.DUMMYFUNCTION("""COMPUTED_VALUE"""),"Youth 4 Impact")</f>
        <v>Youth 4 Impact</v>
      </c>
      <c r="V433" s="43" t="str">
        <f>IFERROR(__xludf.DUMMYFUNCTION("""COMPUTED_VALUE"""),"FLSH Agadir")</f>
        <v>FLSH Agadir</v>
      </c>
      <c r="W433" s="43" t="str">
        <f>IFERROR(__xludf.DUMMYFUNCTION("""COMPUTED_VALUE"""),"2022-03-31T20:47:06Z")</f>
        <v>2022-03-31T20:47:06Z</v>
      </c>
      <c r="X433" s="43"/>
      <c r="Y433" s="43"/>
      <c r="Z433" s="43"/>
    </row>
    <row r="434" hidden="1">
      <c r="A434" s="43" t="str">
        <f>IFERROR(__xludf.DUMMYFUNCTION("""COMPUTED_VALUE"""),"5162391_1286228")</f>
        <v>5162391_1286228</v>
      </c>
      <c r="B434" s="43" t="str">
        <f>IFERROR(__xludf.DUMMYFUNCTION("""COMPUTED_VALUE"""),"Mai Shaheen")</f>
        <v>Mai Shaheen</v>
      </c>
      <c r="C434" s="43" t="str">
        <f>IFERROR(__xludf.DUMMYFUNCTION("""COMPUTED_VALUE"""),"completed")</f>
        <v>completed</v>
      </c>
      <c r="D434" s="43" t="str">
        <f>IFERROR(__xludf.DUMMYFUNCTION("""COMPUTED_VALUE"""),"No")</f>
        <v>No</v>
      </c>
      <c r="E434" s="43" t="str">
        <f>IFERROR(__xludf.DUMMYFUNCTION("""COMPUTED_VALUE"""),"p_4ab2a8d9bed1752312ea5bcd2952c7917173743c@inbound.aiesec.org")</f>
        <v>p_4ab2a8d9bed1752312ea5bcd2952c7917173743c@inbound.aiesec.org</v>
      </c>
      <c r="F434" s="43">
        <f>IFERROR(__xludf.DUMMYFUNCTION("""COMPUTED_VALUE"""),1.008127811E9)</f>
        <v>1008127811</v>
      </c>
      <c r="G434" s="43" t="str">
        <f>IFERROR(__xludf.DUMMYFUNCTION("""COMPUTED_VALUE"""),"Egypt")</f>
        <v>Egypt</v>
      </c>
      <c r="H434" s="43" t="str">
        <f>IFERROR(__xludf.DUMMYFUNCTION("""COMPUTED_VALUE"""),"Cairo University")</f>
        <v>Cairo University</v>
      </c>
      <c r="I434" s="43" t="str">
        <f>IFERROR(__xludf.DUMMYFUNCTION("""COMPUTED_VALUE"""),"Turkey")</f>
        <v>Turkey</v>
      </c>
      <c r="J434" s="43" t="str">
        <f>IFERROR(__xludf.DUMMYFUNCTION("""COMPUTED_VALUE"""),"ISTANBUL WEST")</f>
        <v>ISTANBUL WEST</v>
      </c>
      <c r="K434" s="44" t="str">
        <f>IFERROR(__xludf.DUMMYFUNCTION("""COMPUTED_VALUE"""),"https://expa.aiesec.org/opportunities/1286228")</f>
        <v>https://expa.aiesec.org/opportunities/1286228</v>
      </c>
      <c r="L434" s="43" t="str">
        <f>IFERROR(__xludf.DUMMYFUNCTION("""COMPUTED_VALUE"""),"GV")</f>
        <v>GV</v>
      </c>
      <c r="M434" s="43" t="str">
        <f>IFERROR(__xludf.DUMMYFUNCTION("""COMPUTED_VALUE"""),"short")</f>
        <v>short</v>
      </c>
      <c r="N434" s="45">
        <f>IFERROR(__xludf.DUMMYFUNCTION("""COMPUTED_VALUE"""),44962.0)</f>
        <v>44962</v>
      </c>
      <c r="O434" s="45">
        <f>IFERROR(__xludf.DUMMYFUNCTION("""COMPUTED_VALUE"""),45138.0)</f>
        <v>45138</v>
      </c>
      <c r="P434" s="45">
        <f>IFERROR(__xludf.DUMMYFUNCTION("""COMPUTED_VALUE"""),45180.0)</f>
        <v>45180</v>
      </c>
      <c r="Q434" s="45">
        <f>IFERROR(__xludf.DUMMYFUNCTION("""COMPUTED_VALUE"""),45138.0)</f>
        <v>45138</v>
      </c>
      <c r="R434" s="45">
        <f>IFERROR(__xludf.DUMMYFUNCTION("""COMPUTED_VALUE"""),45180.0)</f>
        <v>45180</v>
      </c>
      <c r="S434" s="43"/>
      <c r="T434" s="43"/>
      <c r="U434" s="43" t="str">
        <f>IFERROR(__xludf.DUMMYFUNCTION("""COMPUTED_VALUE"""),"Global Classroom")</f>
        <v>Global Classroom</v>
      </c>
      <c r="V434" s="43" t="str">
        <f>IFERROR(__xludf.DUMMYFUNCTION("""COMPUTED_VALUE"""),"Cairo Univeristy")</f>
        <v>Cairo Univeristy</v>
      </c>
      <c r="W434" s="43" t="str">
        <f>IFERROR(__xludf.DUMMYFUNCTION("""COMPUTED_VALUE"""),"2022-12-04T03:05:13Z")</f>
        <v>2022-12-04T03:05:13Z</v>
      </c>
      <c r="X434" s="43"/>
      <c r="Y434" s="43"/>
      <c r="Z434" s="43"/>
    </row>
    <row r="435" hidden="1">
      <c r="A435" s="43" t="str">
        <f>IFERROR(__xludf.DUMMYFUNCTION("""COMPUTED_VALUE"""),"5160789_1291585")</f>
        <v>5160789_1291585</v>
      </c>
      <c r="B435" s="43" t="str">
        <f>IFERROR(__xludf.DUMMYFUNCTION("""COMPUTED_VALUE"""),"Torgyn Kenzhebayeva")</f>
        <v>Torgyn Kenzhebayeva</v>
      </c>
      <c r="C435" s="43" t="str">
        <f>IFERROR(__xludf.DUMMYFUNCTION("""COMPUTED_VALUE"""),"finished")</f>
        <v>finished</v>
      </c>
      <c r="D435" s="43" t="str">
        <f>IFERROR(__xludf.DUMMYFUNCTION("""COMPUTED_VALUE"""),"No")</f>
        <v>No</v>
      </c>
      <c r="E435" s="43" t="str">
        <f>IFERROR(__xludf.DUMMYFUNCTION("""COMPUTED_VALUE"""),"p_29389fcaf5f6e6906dec7d75b26d05774082e3ab@inbound.aiesec.org")</f>
        <v>p_29389fcaf5f6e6906dec7d75b26d05774082e3ab@inbound.aiesec.org</v>
      </c>
      <c r="F435" s="43">
        <f>IFERROR(__xludf.DUMMYFUNCTION("""COMPUTED_VALUE"""),7.784864797E9)</f>
        <v>7784864797</v>
      </c>
      <c r="G435" s="43" t="str">
        <f>IFERROR(__xludf.DUMMYFUNCTION("""COMPUTED_VALUE"""),"Kazakhstan")</f>
        <v>Kazakhstan</v>
      </c>
      <c r="H435" s="43" t="str">
        <f>IFERROR(__xludf.DUMMYFUNCTION("""COMPUTED_VALUE"""),"ALMATY")</f>
        <v>ALMATY</v>
      </c>
      <c r="I435" s="43" t="str">
        <f>IFERROR(__xludf.DUMMYFUNCTION("""COMPUTED_VALUE"""),"Turkey")</f>
        <v>Turkey</v>
      </c>
      <c r="J435" s="43" t="str">
        <f>IFERROR(__xludf.DUMMYFUNCTION("""COMPUTED_VALUE"""),"İZMİR")</f>
        <v>İZMİR</v>
      </c>
      <c r="K435" s="44" t="str">
        <f>IFERROR(__xludf.DUMMYFUNCTION("""COMPUTED_VALUE"""),"https://expa.aiesec.org/opportunities/1291585")</f>
        <v>https://expa.aiesec.org/opportunities/1291585</v>
      </c>
      <c r="L435" s="43" t="str">
        <f>IFERROR(__xludf.DUMMYFUNCTION("""COMPUTED_VALUE"""),"GV")</f>
        <v>GV</v>
      </c>
      <c r="M435" s="43" t="str">
        <f>IFERROR(__xludf.DUMMYFUNCTION("""COMPUTED_VALUE"""),"short")</f>
        <v>short</v>
      </c>
      <c r="N435" s="45">
        <f>IFERROR(__xludf.DUMMYFUNCTION("""COMPUTED_VALUE"""),44962.0)</f>
        <v>44962</v>
      </c>
      <c r="O435" s="45">
        <f>IFERROR(__xludf.DUMMYFUNCTION("""COMPUTED_VALUE"""),44963.0)</f>
        <v>44963</v>
      </c>
      <c r="P435" s="45">
        <f>IFERROR(__xludf.DUMMYFUNCTION("""COMPUTED_VALUE"""),45005.0)</f>
        <v>45005</v>
      </c>
      <c r="Q435" s="45">
        <f>IFERROR(__xludf.DUMMYFUNCTION("""COMPUTED_VALUE"""),44970.0)</f>
        <v>44970</v>
      </c>
      <c r="R435" s="45">
        <f>IFERROR(__xludf.DUMMYFUNCTION("""COMPUTED_VALUE"""),45012.0)</f>
        <v>45012</v>
      </c>
      <c r="S435" s="43"/>
      <c r="T435" s="43"/>
      <c r="U435" s="43" t="str">
        <f>IFERROR(__xludf.DUMMYFUNCTION("""COMPUTED_VALUE"""),"Fingerprint")</f>
        <v>Fingerprint</v>
      </c>
      <c r="V435" s="43" t="str">
        <f>IFERROR(__xludf.DUMMYFUNCTION("""COMPUTED_VALUE"""),"Semey")</f>
        <v>Semey</v>
      </c>
      <c r="W435" s="43" t="str">
        <f>IFERROR(__xludf.DUMMYFUNCTION("""COMPUTED_VALUE"""),"2022-11-30T07:30:12Z")</f>
        <v>2022-11-30T07:30:12Z</v>
      </c>
      <c r="X435" s="43"/>
      <c r="Y435" s="43"/>
      <c r="Z435" s="43"/>
    </row>
    <row r="436">
      <c r="A436" s="43" t="str">
        <f>IFERROR(__xludf.DUMMYFUNCTION("""COMPUTED_VALUE"""),"5178084_1290826")</f>
        <v>5178084_1290826</v>
      </c>
      <c r="B436" s="43" t="str">
        <f>IFERROR(__xludf.DUMMYFUNCTION("""COMPUTED_VALUE"""),"K. Sewvandi")</f>
        <v>K. Sewvandi</v>
      </c>
      <c r="C436" s="43" t="str">
        <f>IFERROR(__xludf.DUMMYFUNCTION("""COMPUTED_VALUE"""),"approved")</f>
        <v>approved</v>
      </c>
      <c r="D436" s="43" t="str">
        <f>IFERROR(__xludf.DUMMYFUNCTION("""COMPUTED_VALUE"""),"No")</f>
        <v>No</v>
      </c>
      <c r="E436" s="43" t="str">
        <f>IFERROR(__xludf.DUMMYFUNCTION("""COMPUTED_VALUE"""),"p_813d5d689c6654d0a6649806450aaae568f7152e@inbound.aiesec.org")</f>
        <v>p_813d5d689c6654d0a6649806450aaae568f7152e@inbound.aiesec.org</v>
      </c>
      <c r="F436" s="43">
        <f>IFERROR(__xludf.DUMMYFUNCTION("""COMPUTED_VALUE"""),7.40910607E8)</f>
        <v>740910607</v>
      </c>
      <c r="G436" s="43" t="str">
        <f>IFERROR(__xludf.DUMMYFUNCTION("""COMPUTED_VALUE"""),"Sri Lanka")</f>
        <v>Sri Lanka</v>
      </c>
      <c r="H436" s="43" t="str">
        <f>IFERROR(__xludf.DUMMYFUNCTION("""COMPUTED_VALUE"""),"Ruhuna")</f>
        <v>Ruhuna</v>
      </c>
      <c r="I436" s="43" t="str">
        <f>IFERROR(__xludf.DUMMYFUNCTION("""COMPUTED_VALUE"""),"Turkey")</f>
        <v>Turkey</v>
      </c>
      <c r="J436" s="43" t="str">
        <f>IFERROR(__xludf.DUMMYFUNCTION("""COMPUTED_VALUE"""),"KOCAELI")</f>
        <v>KOCAELI</v>
      </c>
      <c r="K436" s="44" t="str">
        <f>IFERROR(__xludf.DUMMYFUNCTION("""COMPUTED_VALUE"""),"https://expa.aiesec.org/opportunities/1290826")</f>
        <v>https://expa.aiesec.org/opportunities/1290826</v>
      </c>
      <c r="L436" s="43" t="str">
        <f>IFERROR(__xludf.DUMMYFUNCTION("""COMPUTED_VALUE"""),"GV")</f>
        <v>GV</v>
      </c>
      <c r="M436" s="43" t="str">
        <f>IFERROR(__xludf.DUMMYFUNCTION("""COMPUTED_VALUE"""),"short")</f>
        <v>short</v>
      </c>
      <c r="N436" s="45">
        <f>IFERROR(__xludf.DUMMYFUNCTION("""COMPUTED_VALUE"""),44962.0)</f>
        <v>44962</v>
      </c>
      <c r="O436" s="45">
        <f>IFERROR(__xludf.DUMMYFUNCTION("""COMPUTED_VALUE"""),45033.0)</f>
        <v>45033</v>
      </c>
      <c r="P436" s="45">
        <f>IFERROR(__xludf.DUMMYFUNCTION("""COMPUTED_VALUE"""),45075.0)</f>
        <v>45075</v>
      </c>
      <c r="Q436" s="45"/>
      <c r="R436" s="45"/>
      <c r="S436" s="43"/>
      <c r="T436" s="43"/>
      <c r="U436" s="43" t="str">
        <f>IFERROR(__xludf.DUMMYFUNCTION("""COMPUTED_VALUE"""),"Global Classroom")</f>
        <v>Global Classroom</v>
      </c>
      <c r="V436" s="43" t="str">
        <f>IFERROR(__xludf.DUMMYFUNCTION("""COMPUTED_VALUE"""),"University of Ruhuna")</f>
        <v>University of Ruhuna</v>
      </c>
      <c r="W436" s="43" t="str">
        <f>IFERROR(__xludf.DUMMYFUNCTION("""COMPUTED_VALUE"""),"2023-01-18T18:32:33Z")</f>
        <v>2023-01-18T18:32:33Z</v>
      </c>
      <c r="X436" s="43"/>
      <c r="Y436" s="43"/>
      <c r="Z436" s="43"/>
    </row>
    <row r="437" hidden="1">
      <c r="A437" s="43" t="str">
        <f>IFERROR(__xludf.DUMMYFUNCTION("""COMPUTED_VALUE"""),"5185626_1289536")</f>
        <v>5185626_1289536</v>
      </c>
      <c r="B437" s="43" t="str">
        <f>IFERROR(__xludf.DUMMYFUNCTION("""COMPUTED_VALUE"""),"gaia de curtis")</f>
        <v>gaia de curtis</v>
      </c>
      <c r="C437" s="43" t="str">
        <f>IFERROR(__xludf.DUMMYFUNCTION("""COMPUTED_VALUE"""),"approved")</f>
        <v>approved</v>
      </c>
      <c r="D437" s="43" t="str">
        <f>IFERROR(__xludf.DUMMYFUNCTION("""COMPUTED_VALUE"""),"No")</f>
        <v>No</v>
      </c>
      <c r="E437" s="43" t="str">
        <f>IFERROR(__xludf.DUMMYFUNCTION("""COMPUTED_VALUE"""),"p_b28d557f4bad006deb4d4ee10c4214efa12fed96@inbound.aiesec.org")</f>
        <v>p_b28d557f4bad006deb4d4ee10c4214efa12fed96@inbound.aiesec.org</v>
      </c>
      <c r="F437" s="43"/>
      <c r="G437" s="43" t="str">
        <f>IFERROR(__xludf.DUMMYFUNCTION("""COMPUTED_VALUE"""),"Italy")</f>
        <v>Italy</v>
      </c>
      <c r="H437" s="43" t="str">
        <f>IFERROR(__xludf.DUMMYFUNCTION("""COMPUTED_VALUE"""),"Napoli Federico II")</f>
        <v>Napoli Federico II</v>
      </c>
      <c r="I437" s="43" t="str">
        <f>IFERROR(__xludf.DUMMYFUNCTION("""COMPUTED_VALUE"""),"Turkey")</f>
        <v>Turkey</v>
      </c>
      <c r="J437" s="43" t="str">
        <f>IFERROR(__xludf.DUMMYFUNCTION("""COMPUTED_VALUE"""),"ISTANBUL")</f>
        <v>ISTANBUL</v>
      </c>
      <c r="K437" s="44" t="str">
        <f>IFERROR(__xludf.DUMMYFUNCTION("""COMPUTED_VALUE"""),"https://expa.aiesec.org/opportunities/1289536")</f>
        <v>https://expa.aiesec.org/opportunities/1289536</v>
      </c>
      <c r="L437" s="43" t="str">
        <f>IFERROR(__xludf.DUMMYFUNCTION("""COMPUTED_VALUE"""),"GV")</f>
        <v>GV</v>
      </c>
      <c r="M437" s="43" t="str">
        <f>IFERROR(__xludf.DUMMYFUNCTION("""COMPUTED_VALUE"""),"short")</f>
        <v>short</v>
      </c>
      <c r="N437" s="45">
        <f>IFERROR(__xludf.DUMMYFUNCTION("""COMPUTED_VALUE"""),44963.0)</f>
        <v>44963</v>
      </c>
      <c r="O437" s="45">
        <f>IFERROR(__xludf.DUMMYFUNCTION("""COMPUTED_VALUE"""),45132.0)</f>
        <v>45132</v>
      </c>
      <c r="P437" s="45">
        <f>IFERROR(__xludf.DUMMYFUNCTION("""COMPUTED_VALUE"""),45174.0)</f>
        <v>45174</v>
      </c>
      <c r="Q437" s="45"/>
      <c r="R437" s="45"/>
      <c r="S437" s="43"/>
      <c r="T437" s="43"/>
      <c r="U437" s="43" t="str">
        <f>IFERROR(__xludf.DUMMYFUNCTION("""COMPUTED_VALUE"""),"Global Classroom")</f>
        <v>Global Classroom</v>
      </c>
      <c r="V437" s="43" t="str">
        <f>IFERROR(__xludf.DUMMYFUNCTION("""COMPUTED_VALUE"""),"-")</f>
        <v>-</v>
      </c>
      <c r="W437" s="43" t="str">
        <f>IFERROR(__xludf.DUMMYFUNCTION("""COMPUTED_VALUE"""),"2023-02-04T18:44:31Z")</f>
        <v>2023-02-04T18:44:31Z</v>
      </c>
      <c r="X437" s="43"/>
      <c r="Y437" s="43"/>
      <c r="Z437" s="43"/>
    </row>
    <row r="438" hidden="1">
      <c r="A438" s="43" t="str">
        <f>IFERROR(__xludf.DUMMYFUNCTION("""COMPUTED_VALUE"""),"5166632_1289536")</f>
        <v>5166632_1289536</v>
      </c>
      <c r="B438" s="43" t="str">
        <f>IFERROR(__xludf.DUMMYFUNCTION("""COMPUTED_VALUE"""),"Maricis Naranjo Valdiviezo")</f>
        <v>Maricis Naranjo Valdiviezo</v>
      </c>
      <c r="C438" s="43" t="str">
        <f>IFERROR(__xludf.DUMMYFUNCTION("""COMPUTED_VALUE"""),"finished")</f>
        <v>finished</v>
      </c>
      <c r="D438" s="43" t="str">
        <f>IFERROR(__xludf.DUMMYFUNCTION("""COMPUTED_VALUE"""),"No")</f>
        <v>No</v>
      </c>
      <c r="E438" s="43" t="str">
        <f>IFERROR(__xludf.DUMMYFUNCTION("""COMPUTED_VALUE"""),"p_e45e7c6e13532e6945fd2b8851691d7ee246d651@inbound.aiesec.org")</f>
        <v>p_e45e7c6e13532e6945fd2b8851691d7ee246d651@inbound.aiesec.org</v>
      </c>
      <c r="F438" s="43">
        <f>IFERROR(__xludf.DUMMYFUNCTION("""COMPUTED_VALUE"""),9.83581519E8)</f>
        <v>983581519</v>
      </c>
      <c r="G438" s="43" t="str">
        <f>IFERROR(__xludf.DUMMYFUNCTION("""COMPUTED_VALUE"""),"Ecuador")</f>
        <v>Ecuador</v>
      </c>
      <c r="H438" s="43" t="str">
        <f>IFERROR(__xludf.DUMMYFUNCTION("""COMPUTED_VALUE"""),"Guayaquil")</f>
        <v>Guayaquil</v>
      </c>
      <c r="I438" s="43" t="str">
        <f>IFERROR(__xludf.DUMMYFUNCTION("""COMPUTED_VALUE"""),"Turkey")</f>
        <v>Turkey</v>
      </c>
      <c r="J438" s="43" t="str">
        <f>IFERROR(__xludf.DUMMYFUNCTION("""COMPUTED_VALUE"""),"ISTANBUL")</f>
        <v>ISTANBUL</v>
      </c>
      <c r="K438" s="44" t="str">
        <f>IFERROR(__xludf.DUMMYFUNCTION("""COMPUTED_VALUE"""),"https://expa.aiesec.org/opportunities/1289536")</f>
        <v>https://expa.aiesec.org/opportunities/1289536</v>
      </c>
      <c r="L438" s="43" t="str">
        <f>IFERROR(__xludf.DUMMYFUNCTION("""COMPUTED_VALUE"""),"GV")</f>
        <v>GV</v>
      </c>
      <c r="M438" s="43" t="str">
        <f>IFERROR(__xludf.DUMMYFUNCTION("""COMPUTED_VALUE"""),"short")</f>
        <v>short</v>
      </c>
      <c r="N438" s="45">
        <f>IFERROR(__xludf.DUMMYFUNCTION("""COMPUTED_VALUE"""),44964.0)</f>
        <v>44964</v>
      </c>
      <c r="O438" s="45">
        <f>IFERROR(__xludf.DUMMYFUNCTION("""COMPUTED_VALUE"""),44977.0)</f>
        <v>44977</v>
      </c>
      <c r="P438" s="45">
        <f>IFERROR(__xludf.DUMMYFUNCTION("""COMPUTED_VALUE"""),45019.0)</f>
        <v>45019</v>
      </c>
      <c r="Q438" s="45">
        <f>IFERROR(__xludf.DUMMYFUNCTION("""COMPUTED_VALUE"""),44978.0)</f>
        <v>44978</v>
      </c>
      <c r="R438" s="45">
        <f>IFERROR(__xludf.DUMMYFUNCTION("""COMPUTED_VALUE"""),45019.0)</f>
        <v>45019</v>
      </c>
      <c r="S438" s="43"/>
      <c r="T438" s="43"/>
      <c r="U438" s="43" t="str">
        <f>IFERROR(__xludf.DUMMYFUNCTION("""COMPUTED_VALUE"""),"Global Classroom")</f>
        <v>Global Classroom</v>
      </c>
      <c r="V438" s="43" t="str">
        <f>IFERROR(__xludf.DUMMYFUNCTION("""COMPUTED_VALUE"""),"-")</f>
        <v>-</v>
      </c>
      <c r="W438" s="43" t="str">
        <f>IFERROR(__xludf.DUMMYFUNCTION("""COMPUTED_VALUE"""),"2022-12-15T19:46:04Z")</f>
        <v>2022-12-15T19:46:04Z</v>
      </c>
      <c r="X438" s="43"/>
      <c r="Y438" s="43"/>
      <c r="Z438" s="43"/>
    </row>
    <row r="439" hidden="1">
      <c r="A439" s="43" t="str">
        <f>IFERROR(__xludf.DUMMYFUNCTION("""COMPUTED_VALUE"""),"5182935_1272564")</f>
        <v>5182935_1272564</v>
      </c>
      <c r="B439" s="43" t="str">
        <f>IFERROR(__xludf.DUMMYFUNCTION("""COMPUTED_VALUE"""),"Asma Lafir")</f>
        <v>Asma Lafir</v>
      </c>
      <c r="C439" s="43" t="str">
        <f>IFERROR(__xludf.DUMMYFUNCTION("""COMPUTED_VALUE"""),"completed")</f>
        <v>completed</v>
      </c>
      <c r="D439" s="43" t="str">
        <f>IFERROR(__xludf.DUMMYFUNCTION("""COMPUTED_VALUE"""),"No")</f>
        <v>No</v>
      </c>
      <c r="E439" s="43" t="str">
        <f>IFERROR(__xludf.DUMMYFUNCTION("""COMPUTED_VALUE"""),"p_b8498251d5347e1e707480061f15c435e99a5e2a@inbound.aiesec.org")</f>
        <v>p_b8498251d5347e1e707480061f15c435e99a5e2a@inbound.aiesec.org</v>
      </c>
      <c r="F439" s="43">
        <f>IFERROR(__xludf.DUMMYFUNCTION("""COMPUTED_VALUE"""),4.169886484E9)</f>
        <v>4169886484</v>
      </c>
      <c r="G439" s="43" t="str">
        <f>IFERROR(__xludf.DUMMYFUNCTION("""COMPUTED_VALUE"""),"Canada")</f>
        <v>Canada</v>
      </c>
      <c r="H439" s="43" t="str">
        <f>IFERROR(__xludf.DUMMYFUNCTION("""COMPUTED_VALUE"""),"OSHAWA")</f>
        <v>OSHAWA</v>
      </c>
      <c r="I439" s="43" t="str">
        <f>IFERROR(__xludf.DUMMYFUNCTION("""COMPUTED_VALUE"""),"Turkey")</f>
        <v>Turkey</v>
      </c>
      <c r="J439" s="43" t="str">
        <f>IFERROR(__xludf.DUMMYFUNCTION("""COMPUTED_VALUE"""),"ISTANBUL")</f>
        <v>ISTANBUL</v>
      </c>
      <c r="K439" s="44" t="str">
        <f>IFERROR(__xludf.DUMMYFUNCTION("""COMPUTED_VALUE"""),"https://expa.aiesec.org/opportunities/1272564")</f>
        <v>https://expa.aiesec.org/opportunities/1272564</v>
      </c>
      <c r="L439" s="43" t="str">
        <f>IFERROR(__xludf.DUMMYFUNCTION("""COMPUTED_VALUE"""),"GV")</f>
        <v>GV</v>
      </c>
      <c r="M439" s="43" t="str">
        <f>IFERROR(__xludf.DUMMYFUNCTION("""COMPUTED_VALUE"""),"short")</f>
        <v>short</v>
      </c>
      <c r="N439" s="45">
        <f>IFERROR(__xludf.DUMMYFUNCTION("""COMPUTED_VALUE"""),44964.0)</f>
        <v>44964</v>
      </c>
      <c r="O439" s="45">
        <f>IFERROR(__xludf.DUMMYFUNCTION("""COMPUTED_VALUE"""),45117.0)</f>
        <v>45117</v>
      </c>
      <c r="P439" s="45">
        <f>IFERROR(__xludf.DUMMYFUNCTION("""COMPUTED_VALUE"""),45159.0)</f>
        <v>45159</v>
      </c>
      <c r="Q439" s="45">
        <f>IFERROR(__xludf.DUMMYFUNCTION("""COMPUTED_VALUE"""),45117.0)</f>
        <v>45117</v>
      </c>
      <c r="R439" s="45">
        <f>IFERROR(__xludf.DUMMYFUNCTION("""COMPUTED_VALUE"""),45159.0)</f>
        <v>45159</v>
      </c>
      <c r="S439" s="43"/>
      <c r="T439" s="43"/>
      <c r="U439" s="43" t="str">
        <f>IFERROR(__xludf.DUMMYFUNCTION("""COMPUTED_VALUE"""),"Global Classroom")</f>
        <v>Global Classroom</v>
      </c>
      <c r="V439" s="43" t="str">
        <f>IFERROR(__xludf.DUMMYFUNCTION("""COMPUTED_VALUE"""),"Ontario Tech University")</f>
        <v>Ontario Tech University</v>
      </c>
      <c r="W439" s="43" t="str">
        <f>IFERROR(__xludf.DUMMYFUNCTION("""COMPUTED_VALUE"""),"2023-01-31T17:37:21Z")</f>
        <v>2023-01-31T17:37:21Z</v>
      </c>
      <c r="X439" s="43"/>
      <c r="Y439" s="43"/>
      <c r="Z439" s="43"/>
    </row>
    <row r="440" hidden="1">
      <c r="A440" s="43" t="str">
        <f>IFERROR(__xludf.DUMMYFUNCTION("""COMPUTED_VALUE"""),"5172082_1272564")</f>
        <v>5172082_1272564</v>
      </c>
      <c r="B440" s="43" t="str">
        <f>IFERROR(__xludf.DUMMYFUNCTION("""COMPUTED_VALUE"""),"Batul Mirzai")</f>
        <v>Batul Mirzai</v>
      </c>
      <c r="C440" s="43" t="str">
        <f>IFERROR(__xludf.DUMMYFUNCTION("""COMPUTED_VALUE"""),"completed")</f>
        <v>completed</v>
      </c>
      <c r="D440" s="43" t="str">
        <f>IFERROR(__xludf.DUMMYFUNCTION("""COMPUTED_VALUE"""),"No")</f>
        <v>No</v>
      </c>
      <c r="E440" s="43" t="str">
        <f>IFERROR(__xludf.DUMMYFUNCTION("""COMPUTED_VALUE"""),"p_d69b5ee2b0f751547deaefc04bb72416b37d9ab8@inbound.aiesec.org")</f>
        <v>p_d69b5ee2b0f751547deaefc04bb72416b37d9ab8@inbound.aiesec.org</v>
      </c>
      <c r="F440" s="43"/>
      <c r="G440" s="43" t="str">
        <f>IFERROR(__xludf.DUMMYFUNCTION("""COMPUTED_VALUE"""),"Canada")</f>
        <v>Canada</v>
      </c>
      <c r="H440" s="43" t="str">
        <f>IFERROR(__xludf.DUMMYFUNCTION("""COMPUTED_VALUE"""),"OSHAWA")</f>
        <v>OSHAWA</v>
      </c>
      <c r="I440" s="43" t="str">
        <f>IFERROR(__xludf.DUMMYFUNCTION("""COMPUTED_VALUE"""),"Turkey")</f>
        <v>Turkey</v>
      </c>
      <c r="J440" s="43" t="str">
        <f>IFERROR(__xludf.DUMMYFUNCTION("""COMPUTED_VALUE"""),"ISTANBUL")</f>
        <v>ISTANBUL</v>
      </c>
      <c r="K440" s="44" t="str">
        <f>IFERROR(__xludf.DUMMYFUNCTION("""COMPUTED_VALUE"""),"https://expa.aiesec.org/opportunities/1272564")</f>
        <v>https://expa.aiesec.org/opportunities/1272564</v>
      </c>
      <c r="L440" s="43" t="str">
        <f>IFERROR(__xludf.DUMMYFUNCTION("""COMPUTED_VALUE"""),"GV")</f>
        <v>GV</v>
      </c>
      <c r="M440" s="43" t="str">
        <f>IFERROR(__xludf.DUMMYFUNCTION("""COMPUTED_VALUE"""),"short")</f>
        <v>short</v>
      </c>
      <c r="N440" s="45">
        <f>IFERROR(__xludf.DUMMYFUNCTION("""COMPUTED_VALUE"""),44964.0)</f>
        <v>44964</v>
      </c>
      <c r="O440" s="45">
        <f>IFERROR(__xludf.DUMMYFUNCTION("""COMPUTED_VALUE"""),45117.0)</f>
        <v>45117</v>
      </c>
      <c r="P440" s="45">
        <f>IFERROR(__xludf.DUMMYFUNCTION("""COMPUTED_VALUE"""),45159.0)</f>
        <v>45159</v>
      </c>
      <c r="Q440" s="45">
        <f>IFERROR(__xludf.DUMMYFUNCTION("""COMPUTED_VALUE"""),45117.0)</f>
        <v>45117</v>
      </c>
      <c r="R440" s="45">
        <f>IFERROR(__xludf.DUMMYFUNCTION("""COMPUTED_VALUE"""),45159.0)</f>
        <v>45159</v>
      </c>
      <c r="S440" s="43"/>
      <c r="T440" s="43"/>
      <c r="U440" s="43" t="str">
        <f>IFERROR(__xludf.DUMMYFUNCTION("""COMPUTED_VALUE"""),"Global Classroom")</f>
        <v>Global Classroom</v>
      </c>
      <c r="V440" s="43" t="str">
        <f>IFERROR(__xludf.DUMMYFUNCTION("""COMPUTED_VALUE"""),"-")</f>
        <v>-</v>
      </c>
      <c r="W440" s="43" t="str">
        <f>IFERROR(__xludf.DUMMYFUNCTION("""COMPUTED_VALUE"""),"2023-01-01T00:44:07Z")</f>
        <v>2023-01-01T00:44:07Z</v>
      </c>
      <c r="X440" s="43"/>
      <c r="Y440" s="43"/>
      <c r="Z440" s="43"/>
    </row>
    <row r="441" hidden="1">
      <c r="A441" s="43" t="str">
        <f>IFERROR(__xludf.DUMMYFUNCTION("""COMPUTED_VALUE"""),"5187305_1289261")</f>
        <v>5187305_1289261</v>
      </c>
      <c r="B441" s="43" t="str">
        <f>IFERROR(__xludf.DUMMYFUNCTION("""COMPUTED_VALUE"""),"nouhe ben cheikh amor")</f>
        <v>nouhe ben cheikh amor</v>
      </c>
      <c r="C441" s="43" t="str">
        <f>IFERROR(__xludf.DUMMYFUNCTION("""COMPUTED_VALUE"""),"completed")</f>
        <v>completed</v>
      </c>
      <c r="D441" s="43" t="str">
        <f>IFERROR(__xludf.DUMMYFUNCTION("""COMPUTED_VALUE"""),"No")</f>
        <v>No</v>
      </c>
      <c r="E441" s="43" t="str">
        <f>IFERROR(__xludf.DUMMYFUNCTION("""COMPUTED_VALUE"""),"p_906e59f80ab6e84377de19f532de84f27fa9b7ae@inbound.aiesec.org")</f>
        <v>p_906e59f80ab6e84377de19f532de84f27fa9b7ae@inbound.aiesec.org</v>
      </c>
      <c r="F441" s="43">
        <f>IFERROR(__xludf.DUMMYFUNCTION("""COMPUTED_VALUE"""),5.3544678E7)</f>
        <v>53544678</v>
      </c>
      <c r="G441" s="43" t="str">
        <f>IFERROR(__xludf.DUMMYFUNCTION("""COMPUTED_VALUE"""),"Tunisia")</f>
        <v>Tunisia</v>
      </c>
      <c r="H441" s="43" t="str">
        <f>IFERROR(__xludf.DUMMYFUNCTION("""COMPUTED_VALUE"""),"HADRUMET")</f>
        <v>HADRUMET</v>
      </c>
      <c r="I441" s="43" t="str">
        <f>IFERROR(__xludf.DUMMYFUNCTION("""COMPUTED_VALUE"""),"Turkey")</f>
        <v>Turkey</v>
      </c>
      <c r="J441" s="43" t="str">
        <f>IFERROR(__xludf.DUMMYFUNCTION("""COMPUTED_VALUE"""),"İZMİR")</f>
        <v>İZMİR</v>
      </c>
      <c r="K441" s="44" t="str">
        <f>IFERROR(__xludf.DUMMYFUNCTION("""COMPUTED_VALUE"""),"https://expa.aiesec.org/opportunities/1289261")</f>
        <v>https://expa.aiesec.org/opportunities/1289261</v>
      </c>
      <c r="L441" s="43" t="str">
        <f>IFERROR(__xludf.DUMMYFUNCTION("""COMPUTED_VALUE"""),"GV")</f>
        <v>GV</v>
      </c>
      <c r="M441" s="43" t="str">
        <f>IFERROR(__xludf.DUMMYFUNCTION("""COMPUTED_VALUE"""),"short")</f>
        <v>short</v>
      </c>
      <c r="N441" s="45">
        <f>IFERROR(__xludf.DUMMYFUNCTION("""COMPUTED_VALUE"""),44965.0)</f>
        <v>44965</v>
      </c>
      <c r="O441" s="45">
        <f>IFERROR(__xludf.DUMMYFUNCTION("""COMPUTED_VALUE"""),44983.0)</f>
        <v>44983</v>
      </c>
      <c r="P441" s="45">
        <f>IFERROR(__xludf.DUMMYFUNCTION("""COMPUTED_VALUE"""),45025.0)</f>
        <v>45025</v>
      </c>
      <c r="Q441" s="45">
        <f>IFERROR(__xludf.DUMMYFUNCTION("""COMPUTED_VALUE"""),44985.0)</f>
        <v>44985</v>
      </c>
      <c r="R441" s="45">
        <f>IFERROR(__xludf.DUMMYFUNCTION("""COMPUTED_VALUE"""),45027.0)</f>
        <v>45027</v>
      </c>
      <c r="S441" s="43"/>
      <c r="T441" s="43"/>
      <c r="U441" s="43" t="str">
        <f>IFERROR(__xludf.DUMMYFUNCTION("""COMPUTED_VALUE"""),"Global Classroom")</f>
        <v>Global Classroom</v>
      </c>
      <c r="V441" s="43" t="str">
        <f>IFERROR(__xludf.DUMMYFUNCTION("""COMPUTED_VALUE"""),"FMS (Faculté de Médecine de Sousse)")</f>
        <v>FMS (Faculté de Médecine de Sousse)</v>
      </c>
      <c r="W441" s="43" t="str">
        <f>IFERROR(__xludf.DUMMYFUNCTION("""COMPUTED_VALUE"""),"2023-02-08T12:56:24Z")</f>
        <v>2023-02-08T12:56:24Z</v>
      </c>
      <c r="X441" s="43"/>
      <c r="Y441" s="43"/>
      <c r="Z441" s="43"/>
    </row>
    <row r="442" hidden="1">
      <c r="A442" s="43" t="str">
        <f>IFERROR(__xludf.DUMMYFUNCTION("""COMPUTED_VALUE"""),"5125975_1292118")</f>
        <v>5125975_1292118</v>
      </c>
      <c r="B442" s="43" t="str">
        <f>IFERROR(__xludf.DUMMYFUNCTION("""COMPUTED_VALUE"""),"Thaynara Andrade")</f>
        <v>Thaynara Andrade</v>
      </c>
      <c r="C442" s="43" t="str">
        <f>IFERROR(__xludf.DUMMYFUNCTION("""COMPUTED_VALUE"""),"completed")</f>
        <v>completed</v>
      </c>
      <c r="D442" s="43" t="str">
        <f>IFERROR(__xludf.DUMMYFUNCTION("""COMPUTED_VALUE"""),"No")</f>
        <v>No</v>
      </c>
      <c r="E442" s="43" t="str">
        <f>IFERROR(__xludf.DUMMYFUNCTION("""COMPUTED_VALUE"""),"p_0ccb38fa8c67535f2f9da7f89f51c36b0ed734f3@inbound.aiesec.org")</f>
        <v>p_0ccb38fa8c67535f2f9da7f89f51c36b0ed734f3@inbound.aiesec.org</v>
      </c>
      <c r="F442" s="43">
        <f>IFERROR(__xludf.DUMMYFUNCTION("""COMPUTED_VALUE"""),2.1979276729E10)</f>
        <v>21979276729</v>
      </c>
      <c r="G442" s="43" t="str">
        <f>IFERROR(__xludf.DUMMYFUNCTION("""COMPUTED_VALUE"""),"Brazil")</f>
        <v>Brazil</v>
      </c>
      <c r="H442" s="43" t="str">
        <f>IFERROR(__xludf.DUMMYFUNCTION("""COMPUTED_VALUE"""),"USP")</f>
        <v>USP</v>
      </c>
      <c r="I442" s="43" t="str">
        <f>IFERROR(__xludf.DUMMYFUNCTION("""COMPUTED_VALUE"""),"Turkey")</f>
        <v>Turkey</v>
      </c>
      <c r="J442" s="43" t="str">
        <f>IFERROR(__xludf.DUMMYFUNCTION("""COMPUTED_VALUE"""),"KOCAELI")</f>
        <v>KOCAELI</v>
      </c>
      <c r="K442" s="44" t="str">
        <f>IFERROR(__xludf.DUMMYFUNCTION("""COMPUTED_VALUE"""),"https://expa.aiesec.org/opportunities/1292118")</f>
        <v>https://expa.aiesec.org/opportunities/1292118</v>
      </c>
      <c r="L442" s="43" t="str">
        <f>IFERROR(__xludf.DUMMYFUNCTION("""COMPUTED_VALUE"""),"GV")</f>
        <v>GV</v>
      </c>
      <c r="M442" s="43" t="str">
        <f>IFERROR(__xludf.DUMMYFUNCTION("""COMPUTED_VALUE"""),"short")</f>
        <v>short</v>
      </c>
      <c r="N442" s="45">
        <f>IFERROR(__xludf.DUMMYFUNCTION("""COMPUTED_VALUE"""),44965.0)</f>
        <v>44965</v>
      </c>
      <c r="O442" s="45">
        <f>IFERROR(__xludf.DUMMYFUNCTION("""COMPUTED_VALUE"""),44977.0)</f>
        <v>44977</v>
      </c>
      <c r="P442" s="45">
        <f>IFERROR(__xludf.DUMMYFUNCTION("""COMPUTED_VALUE"""),45019.0)</f>
        <v>45019</v>
      </c>
      <c r="Q442" s="45">
        <f>IFERROR(__xludf.DUMMYFUNCTION("""COMPUTED_VALUE"""),44977.0)</f>
        <v>44977</v>
      </c>
      <c r="R442" s="45">
        <f>IFERROR(__xludf.DUMMYFUNCTION("""COMPUTED_VALUE"""),45019.0)</f>
        <v>45019</v>
      </c>
      <c r="S442" s="43"/>
      <c r="T442" s="43"/>
      <c r="U442" s="43" t="str">
        <f>IFERROR(__xludf.DUMMYFUNCTION("""COMPUTED_VALUE"""),"Global Classroom")</f>
        <v>Global Classroom</v>
      </c>
      <c r="V442" s="43" t="str">
        <f>IFERROR(__xludf.DUMMYFUNCTION("""COMPUTED_VALUE"""),"São Paulo - USP")</f>
        <v>São Paulo - USP</v>
      </c>
      <c r="W442" s="43" t="str">
        <f>IFERROR(__xludf.DUMMYFUNCTION("""COMPUTED_VALUE"""),"2022-10-05T18:44:33Z")</f>
        <v>2022-10-05T18:44:33Z</v>
      </c>
      <c r="X442" s="43"/>
      <c r="Y442" s="43"/>
      <c r="Z442" s="43"/>
    </row>
    <row r="443" hidden="1">
      <c r="A443" s="43" t="str">
        <f>IFERROR(__xludf.DUMMYFUNCTION("""COMPUTED_VALUE"""),"5184467_1287966")</f>
        <v>5184467_1287966</v>
      </c>
      <c r="B443" s="43" t="str">
        <f>IFERROR(__xludf.DUMMYFUNCTION("""COMPUTED_VALUE"""),"Yulia Nicheporuk")</f>
        <v>Yulia Nicheporuk</v>
      </c>
      <c r="C443" s="43" t="str">
        <f>IFERROR(__xludf.DUMMYFUNCTION("""COMPUTED_VALUE"""),"completed")</f>
        <v>completed</v>
      </c>
      <c r="D443" s="43" t="str">
        <f>IFERROR(__xludf.DUMMYFUNCTION("""COMPUTED_VALUE"""),"No")</f>
        <v>No</v>
      </c>
      <c r="E443" s="43" t="str">
        <f>IFERROR(__xludf.DUMMYFUNCTION("""COMPUTED_VALUE"""),"p_b6ceb8a6eff67a6c1fa60c459f7486ad22f83b98@inbound.aiesec.org")</f>
        <v>p_b6ceb8a6eff67a6c1fa60c459f7486ad22f83b98@inbound.aiesec.org</v>
      </c>
      <c r="F443" s="43">
        <f>IFERROR(__xludf.DUMMYFUNCTION("""COMPUTED_VALUE"""),6.67473536E8)</f>
        <v>667473536</v>
      </c>
      <c r="G443" s="43" t="str">
        <f>IFERROR(__xludf.DUMMYFUNCTION("""COMPUTED_VALUE"""),"Ukraine")</f>
        <v>Ukraine</v>
      </c>
      <c r="H443" s="43" t="str">
        <f>IFERROR(__xludf.DUMMYFUNCTION("""COMPUTED_VALUE"""),"KHARKIV")</f>
        <v>KHARKIV</v>
      </c>
      <c r="I443" s="43" t="str">
        <f>IFERROR(__xludf.DUMMYFUNCTION("""COMPUTED_VALUE"""),"Turkey")</f>
        <v>Turkey</v>
      </c>
      <c r="J443" s="43" t="str">
        <f>IFERROR(__xludf.DUMMYFUNCTION("""COMPUTED_VALUE"""),"ISTANBUL")</f>
        <v>ISTANBUL</v>
      </c>
      <c r="K443" s="44" t="str">
        <f>IFERROR(__xludf.DUMMYFUNCTION("""COMPUTED_VALUE"""),"https://expa.aiesec.org/opportunities/1287966")</f>
        <v>https://expa.aiesec.org/opportunities/1287966</v>
      </c>
      <c r="L443" s="43" t="str">
        <f>IFERROR(__xludf.DUMMYFUNCTION("""COMPUTED_VALUE"""),"GV")</f>
        <v>GV</v>
      </c>
      <c r="M443" s="43" t="str">
        <f>IFERROR(__xludf.DUMMYFUNCTION("""COMPUTED_VALUE"""),"short")</f>
        <v>short</v>
      </c>
      <c r="N443" s="45">
        <f>IFERROR(__xludf.DUMMYFUNCTION("""COMPUTED_VALUE"""),44966.0)</f>
        <v>44966</v>
      </c>
      <c r="O443" s="45">
        <f>IFERROR(__xludf.DUMMYFUNCTION("""COMPUTED_VALUE"""),45109.0)</f>
        <v>45109</v>
      </c>
      <c r="P443" s="45">
        <f>IFERROR(__xludf.DUMMYFUNCTION("""COMPUTED_VALUE"""),45151.0)</f>
        <v>45151</v>
      </c>
      <c r="Q443" s="45">
        <f>IFERROR(__xludf.DUMMYFUNCTION("""COMPUTED_VALUE"""),45110.0)</f>
        <v>45110</v>
      </c>
      <c r="R443" s="45">
        <f>IFERROR(__xludf.DUMMYFUNCTION("""COMPUTED_VALUE"""),45151.0)</f>
        <v>45151</v>
      </c>
      <c r="S443" s="43"/>
      <c r="T443" s="43"/>
      <c r="U443" s="43" t="str">
        <f>IFERROR(__xludf.DUMMYFUNCTION("""COMPUTED_VALUE"""),"Heartbeat")</f>
        <v>Heartbeat</v>
      </c>
      <c r="V443" s="43" t="str">
        <f>IFERROR(__xludf.DUMMYFUNCTION("""COMPUTED_VALUE""")," Uzhhorod ")</f>
        <v> Uzhhorod </v>
      </c>
      <c r="W443" s="43" t="str">
        <f>IFERROR(__xludf.DUMMYFUNCTION("""COMPUTED_VALUE"""),"2023-02-02T20:18:58Z")</f>
        <v>2023-02-02T20:18:58Z</v>
      </c>
      <c r="X443" s="43"/>
      <c r="Y443" s="43"/>
      <c r="Z443" s="43"/>
    </row>
    <row r="444" hidden="1">
      <c r="A444" s="43" t="str">
        <f>IFERROR(__xludf.DUMMYFUNCTION("""COMPUTED_VALUE"""),"5182009_1289505")</f>
        <v>5182009_1289505</v>
      </c>
      <c r="B444" s="43" t="str">
        <f>IFERROR(__xludf.DUMMYFUNCTION("""COMPUTED_VALUE"""),"Arij Zaied")</f>
        <v>Arij Zaied</v>
      </c>
      <c r="C444" s="43" t="str">
        <f>IFERROR(__xludf.DUMMYFUNCTION("""COMPUTED_VALUE"""),"completed")</f>
        <v>completed</v>
      </c>
      <c r="D444" s="43" t="str">
        <f>IFERROR(__xludf.DUMMYFUNCTION("""COMPUTED_VALUE"""),"No")</f>
        <v>No</v>
      </c>
      <c r="E444" s="43" t="str">
        <f>IFERROR(__xludf.DUMMYFUNCTION("""COMPUTED_VALUE"""),"p_a72453e751c77bc1cd37cefccfa21cfca9207af4@inbound.aiesec.org")</f>
        <v>p_a72453e751c77bc1cd37cefccfa21cfca9207af4@inbound.aiesec.org</v>
      </c>
      <c r="F444" s="43">
        <f>IFERROR(__xludf.DUMMYFUNCTION("""COMPUTED_VALUE"""),2.9296948E7)</f>
        <v>29296948</v>
      </c>
      <c r="G444" s="43" t="str">
        <f>IFERROR(__xludf.DUMMYFUNCTION("""COMPUTED_VALUE"""),"Tunisia")</f>
        <v>Tunisia</v>
      </c>
      <c r="H444" s="43" t="str">
        <f>IFERROR(__xludf.DUMMYFUNCTION("""COMPUTED_VALUE"""),"BARDO")</f>
        <v>BARDO</v>
      </c>
      <c r="I444" s="43" t="str">
        <f>IFERROR(__xludf.DUMMYFUNCTION("""COMPUTED_VALUE"""),"Turkey")</f>
        <v>Turkey</v>
      </c>
      <c r="J444" s="43" t="str">
        <f>IFERROR(__xludf.DUMMYFUNCTION("""COMPUTED_VALUE"""),"KOCAELI")</f>
        <v>KOCAELI</v>
      </c>
      <c r="K444" s="44" t="str">
        <f>IFERROR(__xludf.DUMMYFUNCTION("""COMPUTED_VALUE"""),"https://expa.aiesec.org/opportunities/1289505")</f>
        <v>https://expa.aiesec.org/opportunities/1289505</v>
      </c>
      <c r="L444" s="43" t="str">
        <f>IFERROR(__xludf.DUMMYFUNCTION("""COMPUTED_VALUE"""),"GV")</f>
        <v>GV</v>
      </c>
      <c r="M444" s="43" t="str">
        <f>IFERROR(__xludf.DUMMYFUNCTION("""COMPUTED_VALUE"""),"short")</f>
        <v>short</v>
      </c>
      <c r="N444" s="45">
        <f>IFERROR(__xludf.DUMMYFUNCTION("""COMPUTED_VALUE"""),44966.0)</f>
        <v>44966</v>
      </c>
      <c r="O444" s="45">
        <f>IFERROR(__xludf.DUMMYFUNCTION("""COMPUTED_VALUE"""),45117.0)</f>
        <v>45117</v>
      </c>
      <c r="P444" s="45">
        <f>IFERROR(__xludf.DUMMYFUNCTION("""COMPUTED_VALUE"""),45159.0)</f>
        <v>45159</v>
      </c>
      <c r="Q444" s="45">
        <f>IFERROR(__xludf.DUMMYFUNCTION("""COMPUTED_VALUE"""),45117.0)</f>
        <v>45117</v>
      </c>
      <c r="R444" s="45">
        <f>IFERROR(__xludf.DUMMYFUNCTION("""COMPUTED_VALUE"""),45159.0)</f>
        <v>45159</v>
      </c>
      <c r="S444" s="43"/>
      <c r="T444" s="43"/>
      <c r="U444" s="43" t="str">
        <f>IFERROR(__xludf.DUMMYFUNCTION("""COMPUTED_VALUE"""),"Youth 4 Impact")</f>
        <v>Youth 4 Impact</v>
      </c>
      <c r="V444" s="43" t="str">
        <f>IFERROR(__xludf.DUMMYFUNCTION("""COMPUTED_VALUE"""),"TBS")</f>
        <v>TBS</v>
      </c>
      <c r="W444" s="43" t="str">
        <f>IFERROR(__xludf.DUMMYFUNCTION("""COMPUTED_VALUE"""),"2023-01-29T17:30:11Z")</f>
        <v>2023-01-29T17:30:11Z</v>
      </c>
      <c r="X444" s="43"/>
      <c r="Y444" s="43"/>
      <c r="Z444" s="43"/>
    </row>
    <row r="445" hidden="1">
      <c r="A445" s="43" t="str">
        <f>IFERROR(__xludf.DUMMYFUNCTION("""COMPUTED_VALUE"""),"5189146_1286228")</f>
        <v>5189146_1286228</v>
      </c>
      <c r="B445" s="43" t="str">
        <f>IFERROR(__xludf.DUMMYFUNCTION("""COMPUTED_VALUE"""),"Ghofrane souilem")</f>
        <v>Ghofrane souilem</v>
      </c>
      <c r="C445" s="43" t="str">
        <f>IFERROR(__xludf.DUMMYFUNCTION("""COMPUTED_VALUE"""),"completed")</f>
        <v>completed</v>
      </c>
      <c r="D445" s="43" t="str">
        <f>IFERROR(__xludf.DUMMYFUNCTION("""COMPUTED_VALUE"""),"No")</f>
        <v>No</v>
      </c>
      <c r="E445" s="43" t="str">
        <f>IFERROR(__xludf.DUMMYFUNCTION("""COMPUTED_VALUE"""),"p_08ca4877444e0c9ad332b904b03bc9a271ba12c0@inbound.aiesec.org")</f>
        <v>p_08ca4877444e0c9ad332b904b03bc9a271ba12c0@inbound.aiesec.org</v>
      </c>
      <c r="F445" s="43">
        <f>IFERROR(__xludf.DUMMYFUNCTION("""COMPUTED_VALUE"""),5.4515831E7)</f>
        <v>54515831</v>
      </c>
      <c r="G445" s="43" t="str">
        <f>IFERROR(__xludf.DUMMYFUNCTION("""COMPUTED_VALUE"""),"Tunisia")</f>
        <v>Tunisia</v>
      </c>
      <c r="H445" s="43" t="str">
        <f>IFERROR(__xludf.DUMMYFUNCTION("""COMPUTED_VALUE"""),"HADRUMET")</f>
        <v>HADRUMET</v>
      </c>
      <c r="I445" s="43" t="str">
        <f>IFERROR(__xludf.DUMMYFUNCTION("""COMPUTED_VALUE"""),"Turkey")</f>
        <v>Turkey</v>
      </c>
      <c r="J445" s="43" t="str">
        <f>IFERROR(__xludf.DUMMYFUNCTION("""COMPUTED_VALUE"""),"ISTANBUL WEST")</f>
        <v>ISTANBUL WEST</v>
      </c>
      <c r="K445" s="44" t="str">
        <f>IFERROR(__xludf.DUMMYFUNCTION("""COMPUTED_VALUE"""),"https://expa.aiesec.org/opportunities/1286228")</f>
        <v>https://expa.aiesec.org/opportunities/1286228</v>
      </c>
      <c r="L445" s="43" t="str">
        <f>IFERROR(__xludf.DUMMYFUNCTION("""COMPUTED_VALUE"""),"GV")</f>
        <v>GV</v>
      </c>
      <c r="M445" s="43" t="str">
        <f>IFERROR(__xludf.DUMMYFUNCTION("""COMPUTED_VALUE"""),"short")</f>
        <v>short</v>
      </c>
      <c r="N445" s="45">
        <f>IFERROR(__xludf.DUMMYFUNCTION("""COMPUTED_VALUE"""),44968.0)</f>
        <v>44968</v>
      </c>
      <c r="O445" s="45">
        <f>IFERROR(__xludf.DUMMYFUNCTION("""COMPUTED_VALUE"""),45089.0)</f>
        <v>45089</v>
      </c>
      <c r="P445" s="45">
        <f>IFERROR(__xludf.DUMMYFUNCTION("""COMPUTED_VALUE"""),45131.0)</f>
        <v>45131</v>
      </c>
      <c r="Q445" s="45">
        <f>IFERROR(__xludf.DUMMYFUNCTION("""COMPUTED_VALUE"""),45089.0)</f>
        <v>45089</v>
      </c>
      <c r="R445" s="45">
        <f>IFERROR(__xludf.DUMMYFUNCTION("""COMPUTED_VALUE"""),45131.0)</f>
        <v>45131</v>
      </c>
      <c r="S445" s="43"/>
      <c r="T445" s="43"/>
      <c r="U445" s="43" t="str">
        <f>IFERROR(__xludf.DUMMYFUNCTION("""COMPUTED_VALUE"""),"Global Classroom")</f>
        <v>Global Classroom</v>
      </c>
      <c r="V445" s="43" t="str">
        <f>IFERROR(__xludf.DUMMYFUNCTION("""COMPUTED_VALUE"""),"FMS (Faculté de Médecine de Sousse)")</f>
        <v>FMS (Faculté de Médecine de Sousse)</v>
      </c>
      <c r="W445" s="43" t="str">
        <f>IFERROR(__xludf.DUMMYFUNCTION("""COMPUTED_VALUE"""),"2023-02-11T09:03:03Z")</f>
        <v>2023-02-11T09:03:03Z</v>
      </c>
      <c r="X445" s="43"/>
      <c r="Y445" s="43"/>
      <c r="Z445" s="43"/>
    </row>
    <row r="446" hidden="1">
      <c r="A446" s="43" t="str">
        <f>IFERROR(__xludf.DUMMYFUNCTION("""COMPUTED_VALUE"""),"4593037_1289596")</f>
        <v>4593037_1289596</v>
      </c>
      <c r="B446" s="43" t="str">
        <f>IFERROR(__xludf.DUMMYFUNCTION("""COMPUTED_VALUE"""),"Sohila Hassan")</f>
        <v>Sohila Hassan</v>
      </c>
      <c r="C446" s="43" t="str">
        <f>IFERROR(__xludf.DUMMYFUNCTION("""COMPUTED_VALUE"""),"approved")</f>
        <v>approved</v>
      </c>
      <c r="D446" s="43" t="str">
        <f>IFERROR(__xludf.DUMMYFUNCTION("""COMPUTED_VALUE"""),"No")</f>
        <v>No</v>
      </c>
      <c r="E446" s="43" t="str">
        <f>IFERROR(__xludf.DUMMYFUNCTION("""COMPUTED_VALUE"""),"p_babc5eaa32dd5687b5a61b9178291f26ca13d8db@inbound.aiesec.org")</f>
        <v>p_babc5eaa32dd5687b5a61b9178291f26ca13d8db@inbound.aiesec.org</v>
      </c>
      <c r="F446" s="43">
        <f>IFERROR(__xludf.DUMMYFUNCTION("""COMPUTED_VALUE"""),1.099136073E9)</f>
        <v>1099136073</v>
      </c>
      <c r="G446" s="43" t="str">
        <f>IFERROR(__xludf.DUMMYFUNCTION("""COMPUTED_VALUE"""),"Egypt")</f>
        <v>Egypt</v>
      </c>
      <c r="H446" s="43" t="str">
        <f>IFERROR(__xludf.DUMMYFUNCTION("""COMPUTED_VALUE"""),"Alexandria")</f>
        <v>Alexandria</v>
      </c>
      <c r="I446" s="43" t="str">
        <f>IFERROR(__xludf.DUMMYFUNCTION("""COMPUTED_VALUE"""),"Turkey")</f>
        <v>Turkey</v>
      </c>
      <c r="J446" s="43" t="str">
        <f>IFERROR(__xludf.DUMMYFUNCTION("""COMPUTED_VALUE"""),"ISPARTA")</f>
        <v>ISPARTA</v>
      </c>
      <c r="K446" s="44" t="str">
        <f>IFERROR(__xludf.DUMMYFUNCTION("""COMPUTED_VALUE"""),"https://expa.aiesec.org/opportunities/1289596")</f>
        <v>https://expa.aiesec.org/opportunities/1289596</v>
      </c>
      <c r="L446" s="43" t="str">
        <f>IFERROR(__xludf.DUMMYFUNCTION("""COMPUTED_VALUE"""),"GV")</f>
        <v>GV</v>
      </c>
      <c r="M446" s="43" t="str">
        <f>IFERROR(__xludf.DUMMYFUNCTION("""COMPUTED_VALUE"""),"short")</f>
        <v>short</v>
      </c>
      <c r="N446" s="45">
        <f>IFERROR(__xludf.DUMMYFUNCTION("""COMPUTED_VALUE"""),44968.0)</f>
        <v>44968</v>
      </c>
      <c r="O446" s="45">
        <f>IFERROR(__xludf.DUMMYFUNCTION("""COMPUTED_VALUE"""),45467.0)</f>
        <v>45467</v>
      </c>
      <c r="P446" s="45">
        <f>IFERROR(__xludf.DUMMYFUNCTION("""COMPUTED_VALUE"""),45509.0)</f>
        <v>45509</v>
      </c>
      <c r="Q446" s="45"/>
      <c r="R446" s="45"/>
      <c r="S446" s="43"/>
      <c r="T446" s="43"/>
      <c r="U446" s="43" t="str">
        <f>IFERROR(__xludf.DUMMYFUNCTION("""COMPUTED_VALUE"""),"Global Classroom")</f>
        <v>Global Classroom</v>
      </c>
      <c r="V446" s="43" t="str">
        <f>IFERROR(__xludf.DUMMYFUNCTION("""COMPUTED_VALUE"""),"Other Universities in Alexandria")</f>
        <v>Other Universities in Alexandria</v>
      </c>
      <c r="W446" s="43" t="str">
        <f>IFERROR(__xludf.DUMMYFUNCTION("""COMPUTED_VALUE"""),"2021-03-25T12:22:59Z")</f>
        <v>2021-03-25T12:22:59Z</v>
      </c>
      <c r="X446" s="43"/>
      <c r="Y446" s="43"/>
      <c r="Z446" s="43"/>
    </row>
    <row r="447" hidden="1">
      <c r="A447" s="43" t="str">
        <f>IFERROR(__xludf.DUMMYFUNCTION("""COMPUTED_VALUE"""),"5186783_1291254")</f>
        <v>5186783_1291254</v>
      </c>
      <c r="B447" s="43" t="str">
        <f>IFERROR(__xludf.DUMMYFUNCTION("""COMPUTED_VALUE"""),"Giulia Sorrentino")</f>
        <v>Giulia Sorrentino</v>
      </c>
      <c r="C447" s="43" t="str">
        <f>IFERROR(__xludf.DUMMYFUNCTION("""COMPUTED_VALUE"""),"realization_broken")</f>
        <v>realization_broken</v>
      </c>
      <c r="D447" s="43" t="str">
        <f>IFERROR(__xludf.DUMMYFUNCTION("""COMPUTED_VALUE"""),"No")</f>
        <v>No</v>
      </c>
      <c r="E447" s="43" t="str">
        <f>IFERROR(__xludf.DUMMYFUNCTION("""COMPUTED_VALUE"""),"p_baf7d694581911c47710f35cb2f882cf985c627a@inbound.aiesec.org")</f>
        <v>p_baf7d694581911c47710f35cb2f882cf985c627a@inbound.aiesec.org</v>
      </c>
      <c r="F447" s="43">
        <f>IFERROR(__xludf.DUMMYFUNCTION("""COMPUTED_VALUE"""),3.279104646E9)</f>
        <v>3279104646</v>
      </c>
      <c r="G447" s="43" t="str">
        <f>IFERROR(__xludf.DUMMYFUNCTION("""COMPUTED_VALUE"""),"Italy")</f>
        <v>Italy</v>
      </c>
      <c r="H447" s="43" t="str">
        <f>IFERROR(__xludf.DUMMYFUNCTION("""COMPUTED_VALUE"""),"Roma Sapienza")</f>
        <v>Roma Sapienza</v>
      </c>
      <c r="I447" s="43" t="str">
        <f>IFERROR(__xludf.DUMMYFUNCTION("""COMPUTED_VALUE"""),"Turkey")</f>
        <v>Turkey</v>
      </c>
      <c r="J447" s="43" t="str">
        <f>IFERROR(__xludf.DUMMYFUNCTION("""COMPUTED_VALUE"""),"KOCAELI")</f>
        <v>KOCAELI</v>
      </c>
      <c r="K447" s="44" t="str">
        <f>IFERROR(__xludf.DUMMYFUNCTION("""COMPUTED_VALUE"""),"https://expa.aiesec.org/opportunities/1291254")</f>
        <v>https://expa.aiesec.org/opportunities/1291254</v>
      </c>
      <c r="L447" s="43" t="str">
        <f>IFERROR(__xludf.DUMMYFUNCTION("""COMPUTED_VALUE"""),"GV")</f>
        <v>GV</v>
      </c>
      <c r="M447" s="43" t="str">
        <f>IFERROR(__xludf.DUMMYFUNCTION("""COMPUTED_VALUE"""),"short")</f>
        <v>short</v>
      </c>
      <c r="N447" s="45">
        <f>IFERROR(__xludf.DUMMYFUNCTION("""COMPUTED_VALUE"""),44970.0)</f>
        <v>44970</v>
      </c>
      <c r="O447" s="45">
        <f>IFERROR(__xludf.DUMMYFUNCTION("""COMPUTED_VALUE"""),45127.0)</f>
        <v>45127</v>
      </c>
      <c r="P447" s="45">
        <f>IFERROR(__xludf.DUMMYFUNCTION("""COMPUTED_VALUE"""),45169.0)</f>
        <v>45169</v>
      </c>
      <c r="Q447" s="45"/>
      <c r="R447" s="45"/>
      <c r="S447" s="43"/>
      <c r="T447" s="43"/>
      <c r="U447" s="43" t="str">
        <f>IFERROR(__xludf.DUMMYFUNCTION("""COMPUTED_VALUE"""),"Global Classroom")</f>
        <v>Global Classroom</v>
      </c>
      <c r="V447" s="43" t="str">
        <f>IFERROR(__xludf.DUMMYFUNCTION("""COMPUTED_VALUE"""),"-")</f>
        <v>-</v>
      </c>
      <c r="W447" s="43" t="str">
        <f>IFERROR(__xludf.DUMMYFUNCTION("""COMPUTED_VALUE"""),"2023-02-07T13:13:58Z")</f>
        <v>2023-02-07T13:13:58Z</v>
      </c>
      <c r="X447" s="43"/>
      <c r="Y447" s="43"/>
      <c r="Z447" s="43"/>
    </row>
    <row r="448" hidden="1">
      <c r="A448" s="43" t="str">
        <f>IFERROR(__xludf.DUMMYFUNCTION("""COMPUTED_VALUE"""),"5190777_1284976")</f>
        <v>5190777_1284976</v>
      </c>
      <c r="B448" s="43" t="str">
        <f>IFERROR(__xludf.DUMMYFUNCTION("""COMPUTED_VALUE"""),"abdelrahman Elsharkawy")</f>
        <v>abdelrahman Elsharkawy</v>
      </c>
      <c r="C448" s="43" t="str">
        <f>IFERROR(__xludf.DUMMYFUNCTION("""COMPUTED_VALUE"""),"approval_broken")</f>
        <v>approval_broken</v>
      </c>
      <c r="D448" s="43" t="str">
        <f>IFERROR(__xludf.DUMMYFUNCTION("""COMPUTED_VALUE"""),"No")</f>
        <v>No</v>
      </c>
      <c r="E448" s="43" t="str">
        <f>IFERROR(__xludf.DUMMYFUNCTION("""COMPUTED_VALUE"""),"p_95d1918981897353b8cb800206b24d9eebeb935b@inbound.aiesec.org")</f>
        <v>p_95d1918981897353b8cb800206b24d9eebeb935b@inbound.aiesec.org</v>
      </c>
      <c r="F448" s="43">
        <f>IFERROR(__xludf.DUMMYFUNCTION("""COMPUTED_VALUE"""),1.021419999E9)</f>
        <v>1021419999</v>
      </c>
      <c r="G448" s="43" t="str">
        <f>IFERROR(__xludf.DUMMYFUNCTION("""COMPUTED_VALUE"""),"Egypt")</f>
        <v>Egypt</v>
      </c>
      <c r="H448" s="43" t="str">
        <f>IFERROR(__xludf.DUMMYFUNCTION("""COMPUTED_VALUE"""),"Cairo University")</f>
        <v>Cairo University</v>
      </c>
      <c r="I448" s="43" t="str">
        <f>IFERROR(__xludf.DUMMYFUNCTION("""COMPUTED_VALUE"""),"Turkey")</f>
        <v>Turkey</v>
      </c>
      <c r="J448" s="43" t="str">
        <f>IFERROR(__xludf.DUMMYFUNCTION("""COMPUTED_VALUE"""),"ISPARTA")</f>
        <v>ISPARTA</v>
      </c>
      <c r="K448" s="44" t="str">
        <f>IFERROR(__xludf.DUMMYFUNCTION("""COMPUTED_VALUE"""),"https://expa.aiesec.org/opportunities/1284976")</f>
        <v>https://expa.aiesec.org/opportunities/1284976</v>
      </c>
      <c r="L448" s="43" t="str">
        <f>IFERROR(__xludf.DUMMYFUNCTION("""COMPUTED_VALUE"""),"GV")</f>
        <v>GV</v>
      </c>
      <c r="M448" s="43" t="str">
        <f>IFERROR(__xludf.DUMMYFUNCTION("""COMPUTED_VALUE"""),"short")</f>
        <v>short</v>
      </c>
      <c r="N448" s="45">
        <f>IFERROR(__xludf.DUMMYFUNCTION("""COMPUTED_VALUE"""),45133.0)</f>
        <v>45133</v>
      </c>
      <c r="O448" s="45">
        <f>IFERROR(__xludf.DUMMYFUNCTION("""COMPUTED_VALUE"""),45124.0)</f>
        <v>45124</v>
      </c>
      <c r="P448" s="45">
        <f>IFERROR(__xludf.DUMMYFUNCTION("""COMPUTED_VALUE"""),45166.0)</f>
        <v>45166</v>
      </c>
      <c r="Q448" s="45"/>
      <c r="R448" s="45"/>
      <c r="S448" s="43"/>
      <c r="T448" s="43"/>
      <c r="U448" s="43" t="str">
        <f>IFERROR(__xludf.DUMMYFUNCTION("""COMPUTED_VALUE"""),"Youth 4 Impact")</f>
        <v>Youth 4 Impact</v>
      </c>
      <c r="V448" s="43" t="str">
        <f>IFERROR(__xludf.DUMMYFUNCTION("""COMPUTED_VALUE"""),"Cairo Univeristy")</f>
        <v>Cairo Univeristy</v>
      </c>
      <c r="W448" s="43" t="str">
        <f>IFERROR(__xludf.DUMMYFUNCTION("""COMPUTED_VALUE"""),"2023-02-14T17:26:35Z")</f>
        <v>2023-02-14T17:26:35Z</v>
      </c>
      <c r="X448" s="43"/>
      <c r="Y448" s="43"/>
      <c r="Z448" s="43"/>
    </row>
    <row r="449" hidden="1">
      <c r="A449" s="43" t="str">
        <f>IFERROR(__xludf.DUMMYFUNCTION("""COMPUTED_VALUE"""),"5190170_1286228")</f>
        <v>5190170_1286228</v>
      </c>
      <c r="B449" s="43" t="str">
        <f>IFERROR(__xludf.DUMMYFUNCTION("""COMPUTED_VALUE"""),"Belkhouja Yosr")</f>
        <v>Belkhouja Yosr</v>
      </c>
      <c r="C449" s="43" t="str">
        <f>IFERROR(__xludf.DUMMYFUNCTION("""COMPUTED_VALUE"""),"completed")</f>
        <v>completed</v>
      </c>
      <c r="D449" s="43" t="str">
        <f>IFERROR(__xludf.DUMMYFUNCTION("""COMPUTED_VALUE"""),"No")</f>
        <v>No</v>
      </c>
      <c r="E449" s="43" t="str">
        <f>IFERROR(__xludf.DUMMYFUNCTION("""COMPUTED_VALUE"""),"p_76fbb9f9538545f2382e6b65ec4eeeda00274cbc@inbound.aiesec.org")</f>
        <v>p_76fbb9f9538545f2382e6b65ec4eeeda00274cbc@inbound.aiesec.org</v>
      </c>
      <c r="F449" s="43">
        <f>IFERROR(__xludf.DUMMYFUNCTION("""COMPUTED_VALUE"""),2.6210925E7)</f>
        <v>26210925</v>
      </c>
      <c r="G449" s="43" t="str">
        <f>IFERROR(__xludf.DUMMYFUNCTION("""COMPUTED_VALUE"""),"Tunisia")</f>
        <v>Tunisia</v>
      </c>
      <c r="H449" s="43" t="str">
        <f>IFERROR(__xludf.DUMMYFUNCTION("""COMPUTED_VALUE"""),"UNIVERSITY")</f>
        <v>UNIVERSITY</v>
      </c>
      <c r="I449" s="43" t="str">
        <f>IFERROR(__xludf.DUMMYFUNCTION("""COMPUTED_VALUE"""),"Turkey")</f>
        <v>Turkey</v>
      </c>
      <c r="J449" s="43" t="str">
        <f>IFERROR(__xludf.DUMMYFUNCTION("""COMPUTED_VALUE"""),"ISTANBUL WEST")</f>
        <v>ISTANBUL WEST</v>
      </c>
      <c r="K449" s="44" t="str">
        <f>IFERROR(__xludf.DUMMYFUNCTION("""COMPUTED_VALUE"""),"https://expa.aiesec.org/opportunities/1286228")</f>
        <v>https://expa.aiesec.org/opportunities/1286228</v>
      </c>
      <c r="L449" s="43" t="str">
        <f>IFERROR(__xludf.DUMMYFUNCTION("""COMPUTED_VALUE"""),"GV")</f>
        <v>GV</v>
      </c>
      <c r="M449" s="43" t="str">
        <f>IFERROR(__xludf.DUMMYFUNCTION("""COMPUTED_VALUE"""),"short")</f>
        <v>short</v>
      </c>
      <c r="N449" s="45">
        <f>IFERROR(__xludf.DUMMYFUNCTION("""COMPUTED_VALUE"""),44971.0)</f>
        <v>44971</v>
      </c>
      <c r="O449" s="45">
        <f>IFERROR(__xludf.DUMMYFUNCTION("""COMPUTED_VALUE"""),45089.0)</f>
        <v>45089</v>
      </c>
      <c r="P449" s="45">
        <f>IFERROR(__xludf.DUMMYFUNCTION("""COMPUTED_VALUE"""),45131.0)</f>
        <v>45131</v>
      </c>
      <c r="Q449" s="45">
        <f>IFERROR(__xludf.DUMMYFUNCTION("""COMPUTED_VALUE"""),45096.0)</f>
        <v>45096</v>
      </c>
      <c r="R449" s="45">
        <f>IFERROR(__xludf.DUMMYFUNCTION("""COMPUTED_VALUE"""),45136.0)</f>
        <v>45136</v>
      </c>
      <c r="S449" s="43"/>
      <c r="T449" s="43"/>
      <c r="U449" s="43" t="str">
        <f>IFERROR(__xludf.DUMMYFUNCTION("""COMPUTED_VALUE"""),"Global Classroom")</f>
        <v>Global Classroom</v>
      </c>
      <c r="V449" s="43" t="str">
        <f>IFERROR(__xludf.DUMMYFUNCTION("""COMPUTED_VALUE"""),"Institut préparatoire aux études d'ingénieurs d'El Manar IPEIEM ")</f>
        <v>Institut préparatoire aux études d'ingénieurs d'El Manar IPEIEM </v>
      </c>
      <c r="W449" s="43" t="str">
        <f>IFERROR(__xludf.DUMMYFUNCTION("""COMPUTED_VALUE"""),"2023-02-13T17:26:04Z")</f>
        <v>2023-02-13T17:26:04Z</v>
      </c>
      <c r="X449" s="43"/>
      <c r="Y449" s="43"/>
      <c r="Z449" s="43"/>
    </row>
    <row r="450" hidden="1">
      <c r="A450" s="43" t="str">
        <f>IFERROR(__xludf.DUMMYFUNCTION("""COMPUTED_VALUE"""),"5187588_1291304")</f>
        <v>5187588_1291304</v>
      </c>
      <c r="B450" s="43" t="str">
        <f>IFERROR(__xludf.DUMMYFUNCTION("""COMPUTED_VALUE"""),"Yana Horban")</f>
        <v>Yana Horban</v>
      </c>
      <c r="C450" s="43" t="str">
        <f>IFERROR(__xludf.DUMMYFUNCTION("""COMPUTED_VALUE"""),"realization_broken")</f>
        <v>realization_broken</v>
      </c>
      <c r="D450" s="43" t="str">
        <f>IFERROR(__xludf.DUMMYFUNCTION("""COMPUTED_VALUE"""),"No")</f>
        <v>No</v>
      </c>
      <c r="E450" s="43" t="str">
        <f>IFERROR(__xludf.DUMMYFUNCTION("""COMPUTED_VALUE"""),"p_0c4f071f7372536354f5d8bcc4d718eb54649615@inbound.aiesec.org")</f>
        <v>p_0c4f071f7372536354f5d8bcc4d718eb54649615@inbound.aiesec.org</v>
      </c>
      <c r="F450" s="43">
        <f>IFERROR(__xludf.DUMMYFUNCTION("""COMPUTED_VALUE"""),9.73630069E8)</f>
        <v>973630069</v>
      </c>
      <c r="G450" s="43" t="str">
        <f>IFERROR(__xludf.DUMMYFUNCTION("""COMPUTED_VALUE"""),"Ukraine")</f>
        <v>Ukraine</v>
      </c>
      <c r="H450" s="43" t="str">
        <f>IFERROR(__xludf.DUMMYFUNCTION("""COMPUTED_VALUE"""),"KYIV")</f>
        <v>KYIV</v>
      </c>
      <c r="I450" s="43" t="str">
        <f>IFERROR(__xludf.DUMMYFUNCTION("""COMPUTED_VALUE"""),"Turkey")</f>
        <v>Turkey</v>
      </c>
      <c r="J450" s="43" t="str">
        <f>IFERROR(__xludf.DUMMYFUNCTION("""COMPUTED_VALUE"""),"BURSA")</f>
        <v>BURSA</v>
      </c>
      <c r="K450" s="44" t="str">
        <f>IFERROR(__xludf.DUMMYFUNCTION("""COMPUTED_VALUE"""),"https://expa.aiesec.org/opportunities/1291304")</f>
        <v>https://expa.aiesec.org/opportunities/1291304</v>
      </c>
      <c r="L450" s="43" t="str">
        <f>IFERROR(__xludf.DUMMYFUNCTION("""COMPUTED_VALUE"""),"GV")</f>
        <v>GV</v>
      </c>
      <c r="M450" s="43" t="str">
        <f>IFERROR(__xludf.DUMMYFUNCTION("""COMPUTED_VALUE"""),"short")</f>
        <v>short</v>
      </c>
      <c r="N450" s="45">
        <f>IFERROR(__xludf.DUMMYFUNCTION("""COMPUTED_VALUE"""),44971.0)</f>
        <v>44971</v>
      </c>
      <c r="O450" s="45">
        <f>IFERROR(__xludf.DUMMYFUNCTION("""COMPUTED_VALUE"""),45012.0)</f>
        <v>45012</v>
      </c>
      <c r="P450" s="45">
        <f>IFERROR(__xludf.DUMMYFUNCTION("""COMPUTED_VALUE"""),45054.0)</f>
        <v>45054</v>
      </c>
      <c r="Q450" s="45"/>
      <c r="R450" s="45"/>
      <c r="S450" s="43"/>
      <c r="T450" s="43"/>
      <c r="U450" s="43" t="str">
        <f>IFERROR(__xludf.DUMMYFUNCTION("""COMPUTED_VALUE"""),"Youth 4 Impact")</f>
        <v>Youth 4 Impact</v>
      </c>
      <c r="V450" s="43" t="str">
        <f>IFERROR(__xludf.DUMMYFUNCTION("""COMPUTED_VALUE"""),"Kyiv")</f>
        <v>Kyiv</v>
      </c>
      <c r="W450" s="43" t="str">
        <f>IFERROR(__xludf.DUMMYFUNCTION("""COMPUTED_VALUE"""),"2023-02-08T19:58:54Z")</f>
        <v>2023-02-08T19:58:54Z</v>
      </c>
      <c r="X450" s="43"/>
      <c r="Y450" s="43"/>
      <c r="Z450" s="43"/>
    </row>
    <row r="451" hidden="1">
      <c r="A451" s="43" t="str">
        <f>IFERROR(__xludf.DUMMYFUNCTION("""COMPUTED_VALUE"""),"5155960_1292118")</f>
        <v>5155960_1292118</v>
      </c>
      <c r="B451" s="43" t="str">
        <f>IFERROR(__xludf.DUMMYFUNCTION("""COMPUTED_VALUE"""),"Malak Najah")</f>
        <v>Malak Najah</v>
      </c>
      <c r="C451" s="43" t="str">
        <f>IFERROR(__xludf.DUMMYFUNCTION("""COMPUTED_VALUE"""),"completed")</f>
        <v>completed</v>
      </c>
      <c r="D451" s="43" t="str">
        <f>IFERROR(__xludf.DUMMYFUNCTION("""COMPUTED_VALUE"""),"No")</f>
        <v>No</v>
      </c>
      <c r="E451" s="43" t="str">
        <f>IFERROR(__xludf.DUMMYFUNCTION("""COMPUTED_VALUE"""),"p_6541ec155bd349112ed11ee6d3b9d43cce8efc2d@inbound.aiesec.org")</f>
        <v>p_6541ec155bd349112ed11ee6d3b9d43cce8efc2d@inbound.aiesec.org</v>
      </c>
      <c r="F451" s="43"/>
      <c r="G451" s="43" t="str">
        <f>IFERROR(__xludf.DUMMYFUNCTION("""COMPUTED_VALUE"""),"Morocco")</f>
        <v>Morocco</v>
      </c>
      <c r="H451" s="43" t="str">
        <f>IFERROR(__xludf.DUMMYFUNCTION("""COMPUTED_VALUE"""),"Meknes")</f>
        <v>Meknes</v>
      </c>
      <c r="I451" s="43" t="str">
        <f>IFERROR(__xludf.DUMMYFUNCTION("""COMPUTED_VALUE"""),"Turkey")</f>
        <v>Turkey</v>
      </c>
      <c r="J451" s="43" t="str">
        <f>IFERROR(__xludf.DUMMYFUNCTION("""COMPUTED_VALUE"""),"KOCAELI")</f>
        <v>KOCAELI</v>
      </c>
      <c r="K451" s="44" t="str">
        <f>IFERROR(__xludf.DUMMYFUNCTION("""COMPUTED_VALUE"""),"https://expa.aiesec.org/opportunities/1292118")</f>
        <v>https://expa.aiesec.org/opportunities/1292118</v>
      </c>
      <c r="L451" s="43" t="str">
        <f>IFERROR(__xludf.DUMMYFUNCTION("""COMPUTED_VALUE"""),"GV")</f>
        <v>GV</v>
      </c>
      <c r="M451" s="43" t="str">
        <f>IFERROR(__xludf.DUMMYFUNCTION("""COMPUTED_VALUE"""),"short")</f>
        <v>short</v>
      </c>
      <c r="N451" s="45">
        <f>IFERROR(__xludf.DUMMYFUNCTION("""COMPUTED_VALUE"""),44972.0)</f>
        <v>44972</v>
      </c>
      <c r="O451" s="45">
        <f>IFERROR(__xludf.DUMMYFUNCTION("""COMPUTED_VALUE"""),44981.0)</f>
        <v>44981</v>
      </c>
      <c r="P451" s="45">
        <f>IFERROR(__xludf.DUMMYFUNCTION("""COMPUTED_VALUE"""),45023.0)</f>
        <v>45023</v>
      </c>
      <c r="Q451" s="45">
        <f>IFERROR(__xludf.DUMMYFUNCTION("""COMPUTED_VALUE"""),44975.0)</f>
        <v>44975</v>
      </c>
      <c r="R451" s="45">
        <f>IFERROR(__xludf.DUMMYFUNCTION("""COMPUTED_VALUE"""),45023.0)</f>
        <v>45023</v>
      </c>
      <c r="S451" s="43"/>
      <c r="T451" s="43"/>
      <c r="U451" s="43" t="str">
        <f>IFERROR(__xludf.DUMMYFUNCTION("""COMPUTED_VALUE"""),"Global Classroom")</f>
        <v>Global Classroom</v>
      </c>
      <c r="V451" s="43" t="str">
        <f>IFERROR(__xludf.DUMMYFUNCTION("""COMPUTED_VALUE"""),"-")</f>
        <v>-</v>
      </c>
      <c r="W451" s="43" t="str">
        <f>IFERROR(__xludf.DUMMYFUNCTION("""COMPUTED_VALUE"""),"2022-11-19T23:53:45Z")</f>
        <v>2022-11-19T23:53:45Z</v>
      </c>
      <c r="X451" s="43"/>
      <c r="Y451" s="43"/>
      <c r="Z451" s="43"/>
    </row>
    <row r="452" hidden="1">
      <c r="A452" s="43" t="str">
        <f>IFERROR(__xludf.DUMMYFUNCTION("""COMPUTED_VALUE"""),"5158562_1284976")</f>
        <v>5158562_1284976</v>
      </c>
      <c r="B452" s="43" t="str">
        <f>IFERROR(__xludf.DUMMYFUNCTION("""COMPUTED_VALUE"""),"Syed Mustafa Ali")</f>
        <v>Syed Mustafa Ali</v>
      </c>
      <c r="C452" s="43" t="str">
        <f>IFERROR(__xludf.DUMMYFUNCTION("""COMPUTED_VALUE"""),"completed")</f>
        <v>completed</v>
      </c>
      <c r="D452" s="43" t="str">
        <f>IFERROR(__xludf.DUMMYFUNCTION("""COMPUTED_VALUE"""),"No")</f>
        <v>No</v>
      </c>
      <c r="E452" s="43" t="str">
        <f>IFERROR(__xludf.DUMMYFUNCTION("""COMPUTED_VALUE"""),"p_b24a3e312975be682d55660fa80de65554b7efce@inbound.aiesec.org")</f>
        <v>p_b24a3e312975be682d55660fa80de65554b7efce@inbound.aiesec.org</v>
      </c>
      <c r="F452" s="43">
        <f>IFERROR(__xludf.DUMMYFUNCTION("""COMPUTED_VALUE"""),3.15521526E9)</f>
        <v>3155215260</v>
      </c>
      <c r="G452" s="43" t="str">
        <f>IFERROR(__xludf.DUMMYFUNCTION("""COMPUTED_VALUE"""),"Pakistan")</f>
        <v>Pakistan</v>
      </c>
      <c r="H452" s="43" t="str">
        <f>IFERROR(__xludf.DUMMYFUNCTION("""COMPUTED_VALUE"""),"Islamabad")</f>
        <v>Islamabad</v>
      </c>
      <c r="I452" s="43" t="str">
        <f>IFERROR(__xludf.DUMMYFUNCTION("""COMPUTED_VALUE"""),"Turkey")</f>
        <v>Turkey</v>
      </c>
      <c r="J452" s="43" t="str">
        <f>IFERROR(__xludf.DUMMYFUNCTION("""COMPUTED_VALUE"""),"ISPARTA")</f>
        <v>ISPARTA</v>
      </c>
      <c r="K452" s="44" t="str">
        <f>IFERROR(__xludf.DUMMYFUNCTION("""COMPUTED_VALUE"""),"https://expa.aiesec.org/opportunities/1284976")</f>
        <v>https://expa.aiesec.org/opportunities/1284976</v>
      </c>
      <c r="L452" s="43" t="str">
        <f>IFERROR(__xludf.DUMMYFUNCTION("""COMPUTED_VALUE"""),"GV")</f>
        <v>GV</v>
      </c>
      <c r="M452" s="43" t="str">
        <f>IFERROR(__xludf.DUMMYFUNCTION("""COMPUTED_VALUE"""),"short")</f>
        <v>short</v>
      </c>
      <c r="N452" s="45">
        <f>IFERROR(__xludf.DUMMYFUNCTION("""COMPUTED_VALUE"""),44972.0)</f>
        <v>44972</v>
      </c>
      <c r="O452" s="45">
        <f>IFERROR(__xludf.DUMMYFUNCTION("""COMPUTED_VALUE"""),45124.0)</f>
        <v>45124</v>
      </c>
      <c r="P452" s="45">
        <f>IFERROR(__xludf.DUMMYFUNCTION("""COMPUTED_VALUE"""),45166.0)</f>
        <v>45166</v>
      </c>
      <c r="Q452" s="45">
        <f>IFERROR(__xludf.DUMMYFUNCTION("""COMPUTED_VALUE"""),45126.0)</f>
        <v>45126</v>
      </c>
      <c r="R452" s="45">
        <f>IFERROR(__xludf.DUMMYFUNCTION("""COMPUTED_VALUE"""),45166.0)</f>
        <v>45166</v>
      </c>
      <c r="S452" s="43"/>
      <c r="T452" s="43"/>
      <c r="U452" s="43" t="str">
        <f>IFERROR(__xludf.DUMMYFUNCTION("""COMPUTED_VALUE"""),"Youth 4 Impact")</f>
        <v>Youth 4 Impact</v>
      </c>
      <c r="V452" s="43" t="str">
        <f>IFERROR(__xludf.DUMMYFUNCTION("""COMPUTED_VALUE"""),"Islamabad - Air University")</f>
        <v>Islamabad - Air University</v>
      </c>
      <c r="W452" s="43" t="str">
        <f>IFERROR(__xludf.DUMMYFUNCTION("""COMPUTED_VALUE"""),"2022-11-25T01:55:21Z")</f>
        <v>2022-11-25T01:55:21Z</v>
      </c>
      <c r="X452" s="43"/>
      <c r="Y452" s="43"/>
      <c r="Z452" s="43"/>
    </row>
    <row r="453" hidden="1">
      <c r="A453" s="43" t="str">
        <f>IFERROR(__xludf.DUMMYFUNCTION("""COMPUTED_VALUE"""),"5191932_1286751")</f>
        <v>5191932_1286751</v>
      </c>
      <c r="B453" s="43" t="str">
        <f>IFERROR(__xludf.DUMMYFUNCTION("""COMPUTED_VALUE"""),"cyrine ben cheikh mohamed")</f>
        <v>cyrine ben cheikh mohamed</v>
      </c>
      <c r="C453" s="43" t="str">
        <f>IFERROR(__xludf.DUMMYFUNCTION("""COMPUTED_VALUE"""),"completed")</f>
        <v>completed</v>
      </c>
      <c r="D453" s="43" t="str">
        <f>IFERROR(__xludf.DUMMYFUNCTION("""COMPUTED_VALUE"""),"No")</f>
        <v>No</v>
      </c>
      <c r="E453" s="43" t="str">
        <f>IFERROR(__xludf.DUMMYFUNCTION("""COMPUTED_VALUE"""),"p_5b5245421a1166bef680df63fd23c5ffc8bb47c8@inbound.aiesec.org")</f>
        <v>p_5b5245421a1166bef680df63fd23c5ffc8bb47c8@inbound.aiesec.org</v>
      </c>
      <c r="F453" s="43">
        <f>IFERROR(__xludf.DUMMYFUNCTION("""COMPUTED_VALUE"""),5.412393E7)</f>
        <v>54123930</v>
      </c>
      <c r="G453" s="43" t="str">
        <f>IFERROR(__xludf.DUMMYFUNCTION("""COMPUTED_VALUE"""),"Tunisia")</f>
        <v>Tunisia</v>
      </c>
      <c r="H453" s="43" t="str">
        <f>IFERROR(__xludf.DUMMYFUNCTION("""COMPUTED_VALUE"""),"HADRUMET")</f>
        <v>HADRUMET</v>
      </c>
      <c r="I453" s="43" t="str">
        <f>IFERROR(__xludf.DUMMYFUNCTION("""COMPUTED_VALUE"""),"Turkey")</f>
        <v>Turkey</v>
      </c>
      <c r="J453" s="43" t="str">
        <f>IFERROR(__xludf.DUMMYFUNCTION("""COMPUTED_VALUE"""),"İZMİR")</f>
        <v>İZMİR</v>
      </c>
      <c r="K453" s="44" t="str">
        <f>IFERROR(__xludf.DUMMYFUNCTION("""COMPUTED_VALUE"""),"https://expa.aiesec.org/opportunities/1286751")</f>
        <v>https://expa.aiesec.org/opportunities/1286751</v>
      </c>
      <c r="L453" s="43" t="str">
        <f>IFERROR(__xludf.DUMMYFUNCTION("""COMPUTED_VALUE"""),"GV")</f>
        <v>GV</v>
      </c>
      <c r="M453" s="43" t="str">
        <f>IFERROR(__xludf.DUMMYFUNCTION("""COMPUTED_VALUE"""),"short")</f>
        <v>short</v>
      </c>
      <c r="N453" s="45">
        <f>IFERROR(__xludf.DUMMYFUNCTION("""COMPUTED_VALUE"""),44973.0)</f>
        <v>44973</v>
      </c>
      <c r="O453" s="45">
        <f>IFERROR(__xludf.DUMMYFUNCTION("""COMPUTED_VALUE"""),45088.0)</f>
        <v>45088</v>
      </c>
      <c r="P453" s="45">
        <f>IFERROR(__xludf.DUMMYFUNCTION("""COMPUTED_VALUE"""),45130.0)</f>
        <v>45130</v>
      </c>
      <c r="Q453" s="45">
        <f>IFERROR(__xludf.DUMMYFUNCTION("""COMPUTED_VALUE"""),45089.0)</f>
        <v>45089</v>
      </c>
      <c r="R453" s="45">
        <f>IFERROR(__xludf.DUMMYFUNCTION("""COMPUTED_VALUE"""),45131.0)</f>
        <v>45131</v>
      </c>
      <c r="S453" s="43"/>
      <c r="T453" s="43"/>
      <c r="U453" s="43" t="str">
        <f>IFERROR(__xludf.DUMMYFUNCTION("""COMPUTED_VALUE"""),"Global Classroom")</f>
        <v>Global Classroom</v>
      </c>
      <c r="V453" s="43" t="str">
        <f>IFERROR(__xludf.DUMMYFUNCTION("""COMPUTED_VALUE"""),"ISET Sousse")</f>
        <v>ISET Sousse</v>
      </c>
      <c r="W453" s="43" t="str">
        <f>IFERROR(__xludf.DUMMYFUNCTION("""COMPUTED_VALUE"""),"2023-02-16T08:53:04Z")</f>
        <v>2023-02-16T08:53:04Z</v>
      </c>
      <c r="X453" s="43"/>
      <c r="Y453" s="43"/>
      <c r="Z453" s="43"/>
    </row>
    <row r="454" hidden="1">
      <c r="A454" s="43" t="str">
        <f>IFERROR(__xludf.DUMMYFUNCTION("""COMPUTED_VALUE"""),"4986079_1291232")</f>
        <v>4986079_1291232</v>
      </c>
      <c r="B454" s="43" t="str">
        <f>IFERROR(__xludf.DUMMYFUNCTION("""COMPUTED_VALUE"""),"Ana Furtado")</f>
        <v>Ana Furtado</v>
      </c>
      <c r="C454" s="43" t="str">
        <f>IFERROR(__xludf.DUMMYFUNCTION("""COMPUTED_VALUE"""),"completed")</f>
        <v>completed</v>
      </c>
      <c r="D454" s="43" t="str">
        <f>IFERROR(__xludf.DUMMYFUNCTION("""COMPUTED_VALUE"""),"No")</f>
        <v>No</v>
      </c>
      <c r="E454" s="43" t="str">
        <f>IFERROR(__xludf.DUMMYFUNCTION("""COMPUTED_VALUE"""),"p_378284b658edef4f5970148e93e5e510a55db0d8@inbound.aiesec.org")</f>
        <v>p_378284b658edef4f5970148e93e5e510a55db0d8@inbound.aiesec.org</v>
      </c>
      <c r="F454" s="43"/>
      <c r="G454" s="43" t="str">
        <f>IFERROR(__xludf.DUMMYFUNCTION("""COMPUTED_VALUE"""),"Brazil")</f>
        <v>Brazil</v>
      </c>
      <c r="H454" s="43" t="str">
        <f>IFERROR(__xludf.DUMMYFUNCTION("""COMPUTED_VALUE"""),"SALVADOR")</f>
        <v>SALVADOR</v>
      </c>
      <c r="I454" s="43" t="str">
        <f>IFERROR(__xludf.DUMMYFUNCTION("""COMPUTED_VALUE"""),"Turkey")</f>
        <v>Turkey</v>
      </c>
      <c r="J454" s="43" t="str">
        <f>IFERROR(__xludf.DUMMYFUNCTION("""COMPUTED_VALUE"""),"BURSA")</f>
        <v>BURSA</v>
      </c>
      <c r="K454" s="44" t="str">
        <f>IFERROR(__xludf.DUMMYFUNCTION("""COMPUTED_VALUE"""),"https://expa.aiesec.org/opportunities/1291232")</f>
        <v>https://expa.aiesec.org/opportunities/1291232</v>
      </c>
      <c r="L454" s="43" t="str">
        <f>IFERROR(__xludf.DUMMYFUNCTION("""COMPUTED_VALUE"""),"GV")</f>
        <v>GV</v>
      </c>
      <c r="M454" s="43" t="str">
        <f>IFERROR(__xludf.DUMMYFUNCTION("""COMPUTED_VALUE"""),"short")</f>
        <v>short</v>
      </c>
      <c r="N454" s="45">
        <f>IFERROR(__xludf.DUMMYFUNCTION("""COMPUTED_VALUE"""),44973.0)</f>
        <v>44973</v>
      </c>
      <c r="O454" s="45">
        <f>IFERROR(__xludf.DUMMYFUNCTION("""COMPUTED_VALUE"""),44991.0)</f>
        <v>44991</v>
      </c>
      <c r="P454" s="45">
        <f>IFERROR(__xludf.DUMMYFUNCTION("""COMPUTED_VALUE"""),45033.0)</f>
        <v>45033</v>
      </c>
      <c r="Q454" s="45">
        <f>IFERROR(__xludf.DUMMYFUNCTION("""COMPUTED_VALUE"""),44996.0)</f>
        <v>44996</v>
      </c>
      <c r="R454" s="45">
        <f>IFERROR(__xludf.DUMMYFUNCTION("""COMPUTED_VALUE"""),45039.0)</f>
        <v>45039</v>
      </c>
      <c r="S454" s="43"/>
      <c r="T454" s="43"/>
      <c r="U454" s="43" t="str">
        <f>IFERROR(__xludf.DUMMYFUNCTION("""COMPUTED_VALUE"""),"Youth 4 Impact")</f>
        <v>Youth 4 Impact</v>
      </c>
      <c r="V454" s="43" t="str">
        <f>IFERROR(__xludf.DUMMYFUNCTION("""COMPUTED_VALUE"""),"-")</f>
        <v>-</v>
      </c>
      <c r="W454" s="43" t="str">
        <f>IFERROR(__xludf.DUMMYFUNCTION("""COMPUTED_VALUE"""),"2022-03-15T23:16:11Z")</f>
        <v>2022-03-15T23:16:11Z</v>
      </c>
      <c r="X454" s="43"/>
      <c r="Y454" s="43"/>
      <c r="Z454" s="43"/>
    </row>
    <row r="455" hidden="1">
      <c r="A455" s="43" t="str">
        <f>IFERROR(__xludf.DUMMYFUNCTION("""COMPUTED_VALUE"""),"3943555_1279126")</f>
        <v>3943555_1279126</v>
      </c>
      <c r="B455" s="43" t="str">
        <f>IFERROR(__xludf.DUMMYFUNCTION("""COMPUTED_VALUE"""),"Anjali Mariavilasm")</f>
        <v>Anjali Mariavilasm</v>
      </c>
      <c r="C455" s="43" t="str">
        <f>IFERROR(__xludf.DUMMYFUNCTION("""COMPUTED_VALUE"""),"approved")</f>
        <v>approved</v>
      </c>
      <c r="D455" s="43" t="str">
        <f>IFERROR(__xludf.DUMMYFUNCTION("""COMPUTED_VALUE"""),"No")</f>
        <v>No</v>
      </c>
      <c r="E455" s="43" t="str">
        <f>IFERROR(__xludf.DUMMYFUNCTION("""COMPUTED_VALUE"""),"p_521ce11f9c770a12d1998a9fc5b356c7c7a8b7ea@inbound.aiesec.org")</f>
        <v>p_521ce11f9c770a12d1998a9fc5b356c7c7a8b7ea@inbound.aiesec.org</v>
      </c>
      <c r="F455" s="43">
        <f>IFERROR(__xludf.DUMMYFUNCTION("""COMPUTED_VALUE"""),6.9910515191E10)</f>
        <v>69910515191</v>
      </c>
      <c r="G455" s="43" t="str">
        <f>IFERROR(__xludf.DUMMYFUNCTION("""COMPUTED_VALUE"""),"Austria")</f>
        <v>Austria</v>
      </c>
      <c r="H455" s="43" t="str">
        <f>IFERROR(__xludf.DUMMYFUNCTION("""COMPUTED_VALUE"""),"VIENNA UV")</f>
        <v>VIENNA UV</v>
      </c>
      <c r="I455" s="43" t="str">
        <f>IFERROR(__xludf.DUMMYFUNCTION("""COMPUTED_VALUE"""),"Turkey")</f>
        <v>Turkey</v>
      </c>
      <c r="J455" s="43" t="str">
        <f>IFERROR(__xludf.DUMMYFUNCTION("""COMPUTED_VALUE"""),"KOCAELI")</f>
        <v>KOCAELI</v>
      </c>
      <c r="K455" s="44" t="str">
        <f>IFERROR(__xludf.DUMMYFUNCTION("""COMPUTED_VALUE"""),"https://expa.aiesec.org/opportunities/1279126")</f>
        <v>https://expa.aiesec.org/opportunities/1279126</v>
      </c>
      <c r="L455" s="43" t="str">
        <f>IFERROR(__xludf.DUMMYFUNCTION("""COMPUTED_VALUE"""),"GV")</f>
        <v>GV</v>
      </c>
      <c r="M455" s="43" t="str">
        <f>IFERROR(__xludf.DUMMYFUNCTION("""COMPUTED_VALUE"""),"short")</f>
        <v>short</v>
      </c>
      <c r="N455" s="45">
        <f>IFERROR(__xludf.DUMMYFUNCTION("""COMPUTED_VALUE"""),44973.0)</f>
        <v>44973</v>
      </c>
      <c r="O455" s="45">
        <f>IFERROR(__xludf.DUMMYFUNCTION("""COMPUTED_VALUE"""),45138.0)</f>
        <v>45138</v>
      </c>
      <c r="P455" s="45">
        <f>IFERROR(__xludf.DUMMYFUNCTION("""COMPUTED_VALUE"""),45180.0)</f>
        <v>45180</v>
      </c>
      <c r="Q455" s="45"/>
      <c r="R455" s="45"/>
      <c r="S455" s="43"/>
      <c r="T455" s="43"/>
      <c r="U455" s="43" t="str">
        <f>IFERROR(__xludf.DUMMYFUNCTION("""COMPUTED_VALUE"""),"Global Classroom")</f>
        <v>Global Classroom</v>
      </c>
      <c r="V455" s="43" t="str">
        <f>IFERROR(__xludf.DUMMYFUNCTION("""COMPUTED_VALUE"""),"AHS/BHS Wien")</f>
        <v>AHS/BHS Wien</v>
      </c>
      <c r="W455" s="43" t="str">
        <f>IFERROR(__xludf.DUMMYFUNCTION("""COMPUTED_VALUE"""),"2019-11-01T21:16:48Z")</f>
        <v>2019-11-01T21:16:48Z</v>
      </c>
      <c r="X455" s="43"/>
      <c r="Y455" s="43"/>
      <c r="Z455" s="43"/>
    </row>
    <row r="456" hidden="1">
      <c r="A456" s="43" t="str">
        <f>IFERROR(__xludf.DUMMYFUNCTION("""COMPUTED_VALUE"""),"5145339_1288970")</f>
        <v>5145339_1288970</v>
      </c>
      <c r="B456" s="43" t="str">
        <f>IFERROR(__xludf.DUMMYFUNCTION("""COMPUTED_VALUE"""),"Hadil Lahbib")</f>
        <v>Hadil Lahbib</v>
      </c>
      <c r="C456" s="43" t="str">
        <f>IFERROR(__xludf.DUMMYFUNCTION("""COMPUTED_VALUE"""),"approved")</f>
        <v>approved</v>
      </c>
      <c r="D456" s="43" t="str">
        <f>IFERROR(__xludf.DUMMYFUNCTION("""COMPUTED_VALUE"""),"No")</f>
        <v>No</v>
      </c>
      <c r="E456" s="43" t="str">
        <f>IFERROR(__xludf.DUMMYFUNCTION("""COMPUTED_VALUE"""),"p_507f599c13eb0065d2f100c37ef4fc6de8387cf0@inbound.aiesec.org")</f>
        <v>p_507f599c13eb0065d2f100c37ef4fc6de8387cf0@inbound.aiesec.org</v>
      </c>
      <c r="F456" s="43">
        <f>IFERROR(__xludf.DUMMYFUNCTION("""COMPUTED_VALUE"""),5.6891987E7)</f>
        <v>56891987</v>
      </c>
      <c r="G456" s="43" t="str">
        <f>IFERROR(__xludf.DUMMYFUNCTION("""COMPUTED_VALUE"""),"Tunisia")</f>
        <v>Tunisia</v>
      </c>
      <c r="H456" s="43" t="str">
        <f>IFERROR(__xludf.DUMMYFUNCTION("""COMPUTED_VALUE"""),"Bizerte")</f>
        <v>Bizerte</v>
      </c>
      <c r="I456" s="43" t="str">
        <f>IFERROR(__xludf.DUMMYFUNCTION("""COMPUTED_VALUE"""),"Turkey")</f>
        <v>Turkey</v>
      </c>
      <c r="J456" s="43" t="str">
        <f>IFERROR(__xludf.DUMMYFUNCTION("""COMPUTED_VALUE"""),"İZMİR")</f>
        <v>İZMİR</v>
      </c>
      <c r="K456" s="44" t="str">
        <f>IFERROR(__xludf.DUMMYFUNCTION("""COMPUTED_VALUE"""),"https://expa.aiesec.org/opportunities/1288970")</f>
        <v>https://expa.aiesec.org/opportunities/1288970</v>
      </c>
      <c r="L456" s="43" t="str">
        <f>IFERROR(__xludf.DUMMYFUNCTION("""COMPUTED_VALUE"""),"GV")</f>
        <v>GV</v>
      </c>
      <c r="M456" s="43" t="str">
        <f>IFERROR(__xludf.DUMMYFUNCTION("""COMPUTED_VALUE"""),"short")</f>
        <v>short</v>
      </c>
      <c r="N456" s="45">
        <f>IFERROR(__xludf.DUMMYFUNCTION("""COMPUTED_VALUE"""),44974.0)</f>
        <v>44974</v>
      </c>
      <c r="O456" s="45">
        <f>IFERROR(__xludf.DUMMYFUNCTION("""COMPUTED_VALUE"""),45165.0)</f>
        <v>45165</v>
      </c>
      <c r="P456" s="45">
        <f>IFERROR(__xludf.DUMMYFUNCTION("""COMPUTED_VALUE"""),45207.0)</f>
        <v>45207</v>
      </c>
      <c r="Q456" s="45"/>
      <c r="R456" s="45"/>
      <c r="S456" s="43"/>
      <c r="T456" s="43"/>
      <c r="U456" s="43" t="str">
        <f>IFERROR(__xludf.DUMMYFUNCTION("""COMPUTED_VALUE"""),"Fingerprint")</f>
        <v>Fingerprint</v>
      </c>
      <c r="V456" s="43" t="str">
        <f>IFERROR(__xludf.DUMMYFUNCTION("""COMPUTED_VALUE"""),"FSB")</f>
        <v>FSB</v>
      </c>
      <c r="W456" s="43" t="str">
        <f>IFERROR(__xludf.DUMMYFUNCTION("""COMPUTED_VALUE"""),"2022-11-02T17:57:37Z")</f>
        <v>2022-11-02T17:57:37Z</v>
      </c>
      <c r="X456" s="43"/>
      <c r="Y456" s="43"/>
      <c r="Z456" s="43"/>
    </row>
    <row r="457">
      <c r="A457" s="43" t="str">
        <f>IFERROR(__xludf.DUMMYFUNCTION("""COMPUTED_VALUE"""),"5154990_1292157")</f>
        <v>5154990_1292157</v>
      </c>
      <c r="B457" s="43" t="str">
        <f>IFERROR(__xludf.DUMMYFUNCTION("""COMPUTED_VALUE"""),"Maryem Nefzi")</f>
        <v>Maryem Nefzi</v>
      </c>
      <c r="C457" s="43" t="str">
        <f>IFERROR(__xludf.DUMMYFUNCTION("""COMPUTED_VALUE"""),"approved")</f>
        <v>approved</v>
      </c>
      <c r="D457" s="43" t="str">
        <f>IFERROR(__xludf.DUMMYFUNCTION("""COMPUTED_VALUE"""),"No")</f>
        <v>No</v>
      </c>
      <c r="E457" s="43" t="str">
        <f>IFERROR(__xludf.DUMMYFUNCTION("""COMPUTED_VALUE"""),"p_91d27acd55ff659b71ec3be327288d1c0df078ac@inbound.aiesec.org")</f>
        <v>p_91d27acd55ff659b71ec3be327288d1c0df078ac@inbound.aiesec.org</v>
      </c>
      <c r="F457" s="43">
        <f>IFERROR(__xludf.DUMMYFUNCTION("""COMPUTED_VALUE"""),5.2779775E7)</f>
        <v>52779775</v>
      </c>
      <c r="G457" s="43" t="str">
        <f>IFERROR(__xludf.DUMMYFUNCTION("""COMPUTED_VALUE"""),"Tunisia")</f>
        <v>Tunisia</v>
      </c>
      <c r="H457" s="43" t="str">
        <f>IFERROR(__xludf.DUMMYFUNCTION("""COMPUTED_VALUE"""),"Bizerte")</f>
        <v>Bizerte</v>
      </c>
      <c r="I457" s="43" t="str">
        <f>IFERROR(__xludf.DUMMYFUNCTION("""COMPUTED_VALUE"""),"Turkey")</f>
        <v>Turkey</v>
      </c>
      <c r="J457" s="43" t="str">
        <f>IFERROR(__xludf.DUMMYFUNCTION("""COMPUTED_VALUE"""),"İZMİR")</f>
        <v>İZMİR</v>
      </c>
      <c r="K457" s="44" t="str">
        <f>IFERROR(__xludf.DUMMYFUNCTION("""COMPUTED_VALUE"""),"https://expa.aiesec.org/opportunities/1292157")</f>
        <v>https://expa.aiesec.org/opportunities/1292157</v>
      </c>
      <c r="L457" s="43" t="str">
        <f>IFERROR(__xludf.DUMMYFUNCTION("""COMPUTED_VALUE"""),"GV")</f>
        <v>GV</v>
      </c>
      <c r="M457" s="43" t="str">
        <f>IFERROR(__xludf.DUMMYFUNCTION("""COMPUTED_VALUE"""),"short")</f>
        <v>short</v>
      </c>
      <c r="N457" s="45">
        <f>IFERROR(__xludf.DUMMYFUNCTION("""COMPUTED_VALUE"""),44975.0)</f>
        <v>44975</v>
      </c>
      <c r="O457" s="45">
        <f>IFERROR(__xludf.DUMMYFUNCTION("""COMPUTED_VALUE"""),45089.0)</f>
        <v>45089</v>
      </c>
      <c r="P457" s="45">
        <f>IFERROR(__xludf.DUMMYFUNCTION("""COMPUTED_VALUE"""),45131.0)</f>
        <v>45131</v>
      </c>
      <c r="Q457" s="45"/>
      <c r="R457" s="45"/>
      <c r="S457" s="43"/>
      <c r="T457" s="43"/>
      <c r="U457" s="43" t="str">
        <f>IFERROR(__xludf.DUMMYFUNCTION("""COMPUTED_VALUE"""),"Fingerprint")</f>
        <v>Fingerprint</v>
      </c>
      <c r="V457" s="43" t="str">
        <f>IFERROR(__xludf.DUMMYFUNCTION("""COMPUTED_VALUE"""),"IPEIB")</f>
        <v>IPEIB</v>
      </c>
      <c r="W457" s="43" t="str">
        <f>IFERROR(__xludf.DUMMYFUNCTION("""COMPUTED_VALUE"""),"2022-11-17T19:05:57Z")</f>
        <v>2022-11-17T19:05:57Z</v>
      </c>
      <c r="X457" s="43"/>
      <c r="Y457" s="43"/>
      <c r="Z457" s="43"/>
    </row>
    <row r="458">
      <c r="A458" s="43" t="str">
        <f>IFERROR(__xludf.DUMMYFUNCTION("""COMPUTED_VALUE"""),"5186471_1291336")</f>
        <v>5186471_1291336</v>
      </c>
      <c r="B458" s="43" t="str">
        <f>IFERROR(__xludf.DUMMYFUNCTION("""COMPUTED_VALUE"""),"Mohamed Hisham .")</f>
        <v>Mohamed Hisham .</v>
      </c>
      <c r="C458" s="43" t="str">
        <f>IFERROR(__xludf.DUMMYFUNCTION("""COMPUTED_VALUE"""),"approved")</f>
        <v>approved</v>
      </c>
      <c r="D458" s="43" t="str">
        <f>IFERROR(__xludf.DUMMYFUNCTION("""COMPUTED_VALUE"""),"No")</f>
        <v>No</v>
      </c>
      <c r="E458" s="43" t="str">
        <f>IFERROR(__xludf.DUMMYFUNCTION("""COMPUTED_VALUE"""),"p_a50319e65564c56880e45259417ddfec950067a0@inbound.aiesec.org")</f>
        <v>p_a50319e65564c56880e45259417ddfec950067a0@inbound.aiesec.org</v>
      </c>
      <c r="F458" s="43">
        <f>IFERROR(__xludf.DUMMYFUNCTION("""COMPUTED_VALUE"""),1.014824957E9)</f>
        <v>1014824957</v>
      </c>
      <c r="G458" s="43" t="str">
        <f>IFERROR(__xludf.DUMMYFUNCTION("""COMPUTED_VALUE"""),"Egypt")</f>
        <v>Egypt</v>
      </c>
      <c r="H458" s="43" t="str">
        <f>IFERROR(__xludf.DUMMYFUNCTION("""COMPUTED_VALUE"""),"Helwan")</f>
        <v>Helwan</v>
      </c>
      <c r="I458" s="43" t="str">
        <f>IFERROR(__xludf.DUMMYFUNCTION("""COMPUTED_VALUE"""),"Turkey")</f>
        <v>Turkey</v>
      </c>
      <c r="J458" s="43" t="str">
        <f>IFERROR(__xludf.DUMMYFUNCTION("""COMPUTED_VALUE"""),"DENIZLI")</f>
        <v>DENIZLI</v>
      </c>
      <c r="K458" s="44" t="str">
        <f>IFERROR(__xludf.DUMMYFUNCTION("""COMPUTED_VALUE"""),"https://expa.aiesec.org/opportunities/1291336")</f>
        <v>https://expa.aiesec.org/opportunities/1291336</v>
      </c>
      <c r="L458" s="43" t="str">
        <f>IFERROR(__xludf.DUMMYFUNCTION("""COMPUTED_VALUE"""),"GV")</f>
        <v>GV</v>
      </c>
      <c r="M458" s="43" t="str">
        <f>IFERROR(__xludf.DUMMYFUNCTION("""COMPUTED_VALUE"""),"short")</f>
        <v>short</v>
      </c>
      <c r="N458" s="45">
        <f>IFERROR(__xludf.DUMMYFUNCTION("""COMPUTED_VALUE"""),44975.0)</f>
        <v>44975</v>
      </c>
      <c r="O458" s="45">
        <f>IFERROR(__xludf.DUMMYFUNCTION("""COMPUTED_VALUE"""),45019.0)</f>
        <v>45019</v>
      </c>
      <c r="P458" s="45">
        <f>IFERROR(__xludf.DUMMYFUNCTION("""COMPUTED_VALUE"""),45061.0)</f>
        <v>45061</v>
      </c>
      <c r="Q458" s="45"/>
      <c r="R458" s="45"/>
      <c r="S458" s="43"/>
      <c r="T458" s="43"/>
      <c r="U458" s="43" t="str">
        <f>IFERROR(__xludf.DUMMYFUNCTION("""COMPUTED_VALUE"""),"Global Classroom")</f>
        <v>Global Classroom</v>
      </c>
      <c r="V458" s="43" t="str">
        <f>IFERROR(__xludf.DUMMYFUNCTION("""COMPUTED_VALUE"""),"Helwan University")</f>
        <v>Helwan University</v>
      </c>
      <c r="W458" s="43" t="str">
        <f>IFERROR(__xludf.DUMMYFUNCTION("""COMPUTED_VALUE"""),"2023-02-06T20:12:46Z")</f>
        <v>2023-02-06T20:12:46Z</v>
      </c>
      <c r="X458" s="43"/>
      <c r="Y458" s="43"/>
      <c r="Z458" s="43"/>
    </row>
    <row r="459" hidden="1">
      <c r="A459" s="43" t="str">
        <f>IFERROR(__xludf.DUMMYFUNCTION("""COMPUTED_VALUE"""),"5190576_1288970")</f>
        <v>5190576_1288970</v>
      </c>
      <c r="B459" s="43" t="str">
        <f>IFERROR(__xludf.DUMMYFUNCTION("""COMPUTED_VALUE"""),"Madiha Jawed")</f>
        <v>Madiha Jawed</v>
      </c>
      <c r="C459" s="43" t="str">
        <f>IFERROR(__xludf.DUMMYFUNCTION("""COMPUTED_VALUE"""),"finished")</f>
        <v>finished</v>
      </c>
      <c r="D459" s="43" t="str">
        <f>IFERROR(__xludf.DUMMYFUNCTION("""COMPUTED_VALUE"""),"No")</f>
        <v>No</v>
      </c>
      <c r="E459" s="43" t="str">
        <f>IFERROR(__xludf.DUMMYFUNCTION("""COMPUTED_VALUE"""),"p_508445d4fdb8ec0fcf2599652373a80ceabdc6d8@inbound.aiesec.org")</f>
        <v>p_508445d4fdb8ec0fcf2599652373a80ceabdc6d8@inbound.aiesec.org</v>
      </c>
      <c r="F459" s="43"/>
      <c r="G459" s="43" t="str">
        <f>IFERROR(__xludf.DUMMYFUNCTION("""COMPUTED_VALUE"""),"Pakistan")</f>
        <v>Pakistan</v>
      </c>
      <c r="H459" s="43" t="str">
        <f>IFERROR(__xludf.DUMMYFUNCTION("""COMPUTED_VALUE"""),"Karachi South")</f>
        <v>Karachi South</v>
      </c>
      <c r="I459" s="43" t="str">
        <f>IFERROR(__xludf.DUMMYFUNCTION("""COMPUTED_VALUE"""),"Turkey")</f>
        <v>Turkey</v>
      </c>
      <c r="J459" s="43" t="str">
        <f>IFERROR(__xludf.DUMMYFUNCTION("""COMPUTED_VALUE"""),"İZMİR")</f>
        <v>İZMİR</v>
      </c>
      <c r="K459" s="44" t="str">
        <f>IFERROR(__xludf.DUMMYFUNCTION("""COMPUTED_VALUE"""),"https://expa.aiesec.org/opportunities/1288970")</f>
        <v>https://expa.aiesec.org/opportunities/1288970</v>
      </c>
      <c r="L459" s="43" t="str">
        <f>IFERROR(__xludf.DUMMYFUNCTION("""COMPUTED_VALUE"""),"GV")</f>
        <v>GV</v>
      </c>
      <c r="M459" s="43" t="str">
        <f>IFERROR(__xludf.DUMMYFUNCTION("""COMPUTED_VALUE"""),"short")</f>
        <v>short</v>
      </c>
      <c r="N459" s="45">
        <f>IFERROR(__xludf.DUMMYFUNCTION("""COMPUTED_VALUE"""),44975.0)</f>
        <v>44975</v>
      </c>
      <c r="O459" s="45">
        <f>IFERROR(__xludf.DUMMYFUNCTION("""COMPUTED_VALUE"""),45165.0)</f>
        <v>45165</v>
      </c>
      <c r="P459" s="45">
        <f>IFERROR(__xludf.DUMMYFUNCTION("""COMPUTED_VALUE"""),45207.0)</f>
        <v>45207</v>
      </c>
      <c r="Q459" s="45">
        <f>IFERROR(__xludf.DUMMYFUNCTION("""COMPUTED_VALUE"""),45167.0)</f>
        <v>45167</v>
      </c>
      <c r="R459" s="45">
        <f>IFERROR(__xludf.DUMMYFUNCTION("""COMPUTED_VALUE"""),45209.0)</f>
        <v>45209</v>
      </c>
      <c r="S459" s="43"/>
      <c r="T459" s="43"/>
      <c r="U459" s="43" t="str">
        <f>IFERROR(__xludf.DUMMYFUNCTION("""COMPUTED_VALUE"""),"Fingerprint")</f>
        <v>Fingerprint</v>
      </c>
      <c r="V459" s="43" t="str">
        <f>IFERROR(__xludf.DUMMYFUNCTION("""COMPUTED_VALUE"""),"-")</f>
        <v>-</v>
      </c>
      <c r="W459" s="43" t="str">
        <f>IFERROR(__xludf.DUMMYFUNCTION("""COMPUTED_VALUE"""),"2023-02-14T12:23:39Z")</f>
        <v>2023-02-14T12:23:39Z</v>
      </c>
      <c r="X459" s="43"/>
      <c r="Y459" s="43"/>
      <c r="Z459" s="43"/>
    </row>
    <row r="460" hidden="1">
      <c r="A460" s="43" t="str">
        <f>IFERROR(__xludf.DUMMYFUNCTION("""COMPUTED_VALUE"""),"5189811_1286920")</f>
        <v>5189811_1286920</v>
      </c>
      <c r="B460" s="43" t="str">
        <f>IFERROR(__xludf.DUMMYFUNCTION("""COMPUTED_VALUE"""),"Oumayma Benrhouma")</f>
        <v>Oumayma Benrhouma</v>
      </c>
      <c r="C460" s="43" t="str">
        <f>IFERROR(__xludf.DUMMYFUNCTION("""COMPUTED_VALUE"""),"finished")</f>
        <v>finished</v>
      </c>
      <c r="D460" s="43" t="str">
        <f>IFERROR(__xludf.DUMMYFUNCTION("""COMPUTED_VALUE"""),"No")</f>
        <v>No</v>
      </c>
      <c r="E460" s="43" t="str">
        <f>IFERROR(__xludf.DUMMYFUNCTION("""COMPUTED_VALUE"""),"p_17d86c6ff422b1d19288920c431e4b47bea91142@inbound.aiesec.org")</f>
        <v>p_17d86c6ff422b1d19288920c431e4b47bea91142@inbound.aiesec.org</v>
      </c>
      <c r="F460" s="43"/>
      <c r="G460" s="43" t="str">
        <f>IFERROR(__xludf.DUMMYFUNCTION("""COMPUTED_VALUE"""),"Tunisia")</f>
        <v>Tunisia</v>
      </c>
      <c r="H460" s="43" t="str">
        <f>IFERROR(__xludf.DUMMYFUNCTION("""COMPUTED_VALUE"""),"HADRUMET")</f>
        <v>HADRUMET</v>
      </c>
      <c r="I460" s="43" t="str">
        <f>IFERROR(__xludf.DUMMYFUNCTION("""COMPUTED_VALUE"""),"Turkey")</f>
        <v>Turkey</v>
      </c>
      <c r="J460" s="43" t="str">
        <f>IFERROR(__xludf.DUMMYFUNCTION("""COMPUTED_VALUE"""),"DENIZLI")</f>
        <v>DENIZLI</v>
      </c>
      <c r="K460" s="44" t="str">
        <f>IFERROR(__xludf.DUMMYFUNCTION("""COMPUTED_VALUE"""),"https://expa.aiesec.org/opportunities/1286920")</f>
        <v>https://expa.aiesec.org/opportunities/1286920</v>
      </c>
      <c r="L460" s="43" t="str">
        <f>IFERROR(__xludf.DUMMYFUNCTION("""COMPUTED_VALUE"""),"GV")</f>
        <v>GV</v>
      </c>
      <c r="M460" s="43" t="str">
        <f>IFERROR(__xludf.DUMMYFUNCTION("""COMPUTED_VALUE"""),"short")</f>
        <v>short</v>
      </c>
      <c r="N460" s="45">
        <f>IFERROR(__xludf.DUMMYFUNCTION("""COMPUTED_VALUE"""),44976.0)</f>
        <v>44976</v>
      </c>
      <c r="O460" s="45">
        <f>IFERROR(__xludf.DUMMYFUNCTION("""COMPUTED_VALUE"""),45117.0)</f>
        <v>45117</v>
      </c>
      <c r="P460" s="45">
        <f>IFERROR(__xludf.DUMMYFUNCTION("""COMPUTED_VALUE"""),45159.0)</f>
        <v>45159</v>
      </c>
      <c r="Q460" s="45">
        <f>IFERROR(__xludf.DUMMYFUNCTION("""COMPUTED_VALUE"""),45124.0)</f>
        <v>45124</v>
      </c>
      <c r="R460" s="45">
        <f>IFERROR(__xludf.DUMMYFUNCTION("""COMPUTED_VALUE"""),45165.0)</f>
        <v>45165</v>
      </c>
      <c r="S460" s="43"/>
      <c r="T460" s="43"/>
      <c r="U460" s="43" t="str">
        <f>IFERROR(__xludf.DUMMYFUNCTION("""COMPUTED_VALUE"""),"Global Classroom")</f>
        <v>Global Classroom</v>
      </c>
      <c r="V460" s="43" t="str">
        <f>IFERROR(__xludf.DUMMYFUNCTION("""COMPUTED_VALUE"""),"-")</f>
        <v>-</v>
      </c>
      <c r="W460" s="43" t="str">
        <f>IFERROR(__xludf.DUMMYFUNCTION("""COMPUTED_VALUE"""),"2023-02-12T22:16:30Z")</f>
        <v>2023-02-12T22:16:30Z</v>
      </c>
      <c r="X460" s="43"/>
      <c r="Y460" s="43"/>
      <c r="Z460" s="43"/>
    </row>
    <row r="461" hidden="1">
      <c r="A461" s="43" t="str">
        <f>IFERROR(__xludf.DUMMYFUNCTION("""COMPUTED_VALUE"""),"3945172_1286920")</f>
        <v>3945172_1286920</v>
      </c>
      <c r="B461" s="43" t="str">
        <f>IFERROR(__xludf.DUMMYFUNCTION("""COMPUTED_VALUE"""),"Hassan Kamran")</f>
        <v>Hassan Kamran</v>
      </c>
      <c r="C461" s="43" t="str">
        <f>IFERROR(__xludf.DUMMYFUNCTION("""COMPUTED_VALUE"""),"completed")</f>
        <v>completed</v>
      </c>
      <c r="D461" s="43" t="str">
        <f>IFERROR(__xludf.DUMMYFUNCTION("""COMPUTED_VALUE"""),"No")</f>
        <v>No</v>
      </c>
      <c r="E461" s="43" t="str">
        <f>IFERROR(__xludf.DUMMYFUNCTION("""COMPUTED_VALUE"""),"p_71853ba91780bfc05d49c3a8db4be43acf142d7b@inbound.aiesec.org")</f>
        <v>p_71853ba91780bfc05d49c3a8db4be43acf142d7b@inbound.aiesec.org</v>
      </c>
      <c r="F461" s="43">
        <f>IFERROR(__xludf.DUMMYFUNCTION("""COMPUTED_VALUE"""),3.00799908E9)</f>
        <v>3007999080</v>
      </c>
      <c r="G461" s="43" t="str">
        <f>IFERROR(__xludf.DUMMYFUNCTION("""COMPUTED_VALUE"""),"Pakistan")</f>
        <v>Pakistan</v>
      </c>
      <c r="H461" s="43" t="str">
        <f>IFERROR(__xludf.DUMMYFUNCTION("""COMPUTED_VALUE"""),"Lahore - Pak")</f>
        <v>Lahore - Pak</v>
      </c>
      <c r="I461" s="43" t="str">
        <f>IFERROR(__xludf.DUMMYFUNCTION("""COMPUTED_VALUE"""),"Turkey")</f>
        <v>Turkey</v>
      </c>
      <c r="J461" s="43" t="str">
        <f>IFERROR(__xludf.DUMMYFUNCTION("""COMPUTED_VALUE"""),"DENIZLI")</f>
        <v>DENIZLI</v>
      </c>
      <c r="K461" s="44" t="str">
        <f>IFERROR(__xludf.DUMMYFUNCTION("""COMPUTED_VALUE"""),"https://expa.aiesec.org/opportunities/1286920")</f>
        <v>https://expa.aiesec.org/opportunities/1286920</v>
      </c>
      <c r="L461" s="43" t="str">
        <f>IFERROR(__xludf.DUMMYFUNCTION("""COMPUTED_VALUE"""),"GV")</f>
        <v>GV</v>
      </c>
      <c r="M461" s="43" t="str">
        <f>IFERROR(__xludf.DUMMYFUNCTION("""COMPUTED_VALUE"""),"short")</f>
        <v>short</v>
      </c>
      <c r="N461" s="45">
        <f>IFERROR(__xludf.DUMMYFUNCTION("""COMPUTED_VALUE"""),44976.0)</f>
        <v>44976</v>
      </c>
      <c r="O461" s="45">
        <f>IFERROR(__xludf.DUMMYFUNCTION("""COMPUTED_VALUE"""),45033.0)</f>
        <v>45033</v>
      </c>
      <c r="P461" s="45">
        <f>IFERROR(__xludf.DUMMYFUNCTION("""COMPUTED_VALUE"""),45075.0)</f>
        <v>45075</v>
      </c>
      <c r="Q461" s="45">
        <f>IFERROR(__xludf.DUMMYFUNCTION("""COMPUTED_VALUE"""),45042.0)</f>
        <v>45042</v>
      </c>
      <c r="R461" s="45">
        <f>IFERROR(__xludf.DUMMYFUNCTION("""COMPUTED_VALUE"""),45083.0)</f>
        <v>45083</v>
      </c>
      <c r="S461" s="43"/>
      <c r="T461" s="43"/>
      <c r="U461" s="43" t="str">
        <f>IFERROR(__xludf.DUMMYFUNCTION("""COMPUTED_VALUE"""),"Global Classroom")</f>
        <v>Global Classroom</v>
      </c>
      <c r="V461" s="43" t="str">
        <f>IFERROR(__xludf.DUMMYFUNCTION("""COMPUTED_VALUE"""),"Lahore - Other")</f>
        <v>Lahore - Other</v>
      </c>
      <c r="W461" s="43" t="str">
        <f>IFERROR(__xludf.DUMMYFUNCTION("""COMPUTED_VALUE"""),"2019-11-02T14:42:54Z")</f>
        <v>2019-11-02T14:42:54Z</v>
      </c>
      <c r="X461" s="43"/>
      <c r="Y461" s="43"/>
      <c r="Z461" s="43"/>
    </row>
    <row r="462" hidden="1">
      <c r="A462" s="43" t="str">
        <f>IFERROR(__xludf.DUMMYFUNCTION("""COMPUTED_VALUE"""),"5175286_1272564")</f>
        <v>5175286_1272564</v>
      </c>
      <c r="B462" s="43" t="str">
        <f>IFERROR(__xludf.DUMMYFUNCTION("""COMPUTED_VALUE"""),"Sara Esteves")</f>
        <v>Sara Esteves</v>
      </c>
      <c r="C462" s="43" t="str">
        <f>IFERROR(__xludf.DUMMYFUNCTION("""COMPUTED_VALUE"""),"finished")</f>
        <v>finished</v>
      </c>
      <c r="D462" s="43" t="str">
        <f>IFERROR(__xludf.DUMMYFUNCTION("""COMPUTED_VALUE"""),"No")</f>
        <v>No</v>
      </c>
      <c r="E462" s="43" t="str">
        <f>IFERROR(__xludf.DUMMYFUNCTION("""COMPUTED_VALUE"""),"p_6dfebff01fd3ded96bcc32289e1e1970ecd877f4@inbound.aiesec.org")</f>
        <v>p_6dfebff01fd3ded96bcc32289e1e1970ecd877f4@inbound.aiesec.org</v>
      </c>
      <c r="F462" s="43"/>
      <c r="G462" s="43" t="str">
        <f>IFERROR(__xludf.DUMMYFUNCTION("""COMPUTED_VALUE"""),"Portugal")</f>
        <v>Portugal</v>
      </c>
      <c r="H462" s="43" t="str">
        <f>IFERROR(__xludf.DUMMYFUNCTION("""COMPUTED_VALUE"""),"Lisboa ISEG")</f>
        <v>Lisboa ISEG</v>
      </c>
      <c r="I462" s="43" t="str">
        <f>IFERROR(__xludf.DUMMYFUNCTION("""COMPUTED_VALUE"""),"Turkey")</f>
        <v>Turkey</v>
      </c>
      <c r="J462" s="43" t="str">
        <f>IFERROR(__xludf.DUMMYFUNCTION("""COMPUTED_VALUE"""),"ISTANBUL")</f>
        <v>ISTANBUL</v>
      </c>
      <c r="K462" s="44" t="str">
        <f>IFERROR(__xludf.DUMMYFUNCTION("""COMPUTED_VALUE"""),"https://expa.aiesec.org/opportunities/1272564")</f>
        <v>https://expa.aiesec.org/opportunities/1272564</v>
      </c>
      <c r="L462" s="43" t="str">
        <f>IFERROR(__xludf.DUMMYFUNCTION("""COMPUTED_VALUE"""),"GV")</f>
        <v>GV</v>
      </c>
      <c r="M462" s="43" t="str">
        <f>IFERROR(__xludf.DUMMYFUNCTION("""COMPUTED_VALUE"""),"short")</f>
        <v>short</v>
      </c>
      <c r="N462" s="45">
        <f>IFERROR(__xludf.DUMMYFUNCTION("""COMPUTED_VALUE"""),44976.0)</f>
        <v>44976</v>
      </c>
      <c r="O462" s="45">
        <f>IFERROR(__xludf.DUMMYFUNCTION("""COMPUTED_VALUE"""),45123.0)</f>
        <v>45123</v>
      </c>
      <c r="P462" s="45">
        <f>IFERROR(__xludf.DUMMYFUNCTION("""COMPUTED_VALUE"""),45165.0)</f>
        <v>45165</v>
      </c>
      <c r="Q462" s="45">
        <f>IFERROR(__xludf.DUMMYFUNCTION("""COMPUTED_VALUE"""),45117.0)</f>
        <v>45117</v>
      </c>
      <c r="R462" s="45">
        <f>IFERROR(__xludf.DUMMYFUNCTION("""COMPUTED_VALUE"""),45165.0)</f>
        <v>45165</v>
      </c>
      <c r="S462" s="43"/>
      <c r="T462" s="43"/>
      <c r="U462" s="43" t="str">
        <f>IFERROR(__xludf.DUMMYFUNCTION("""COMPUTED_VALUE"""),"Global Classroom")</f>
        <v>Global Classroom</v>
      </c>
      <c r="V462" s="43" t="str">
        <f>IFERROR(__xludf.DUMMYFUNCTION("""COMPUTED_VALUE"""),"-")</f>
        <v>-</v>
      </c>
      <c r="W462" s="43" t="str">
        <f>IFERROR(__xludf.DUMMYFUNCTION("""COMPUTED_VALUE"""),"2023-01-10T22:54:53Z")</f>
        <v>2023-01-10T22:54:53Z</v>
      </c>
      <c r="X462" s="43"/>
      <c r="Y462" s="43"/>
      <c r="Z462" s="43"/>
    </row>
    <row r="463" hidden="1">
      <c r="A463" s="43" t="str">
        <f>IFERROR(__xludf.DUMMYFUNCTION("""COMPUTED_VALUE"""),"5166136_1291585")</f>
        <v>5166136_1291585</v>
      </c>
      <c r="B463" s="43" t="str">
        <f>IFERROR(__xludf.DUMMYFUNCTION("""COMPUTED_VALUE"""),"Anamaria Tudose")</f>
        <v>Anamaria Tudose</v>
      </c>
      <c r="C463" s="43" t="str">
        <f>IFERROR(__xludf.DUMMYFUNCTION("""COMPUTED_VALUE"""),"approved")</f>
        <v>approved</v>
      </c>
      <c r="D463" s="43" t="str">
        <f>IFERROR(__xludf.DUMMYFUNCTION("""COMPUTED_VALUE"""),"No")</f>
        <v>No</v>
      </c>
      <c r="E463" s="43" t="str">
        <f>IFERROR(__xludf.DUMMYFUNCTION("""COMPUTED_VALUE"""),"p_aa2316e8fe23f43cc3cecc55d4034bd885eaaa70@inbound.aiesec.org")</f>
        <v>p_aa2316e8fe23f43cc3cecc55d4034bd885eaaa70@inbound.aiesec.org</v>
      </c>
      <c r="F463" s="43">
        <f>IFERROR(__xludf.DUMMYFUNCTION("""COMPUTED_VALUE"""),7.47519027E8)</f>
        <v>747519027</v>
      </c>
      <c r="G463" s="43" t="str">
        <f>IFERROR(__xludf.DUMMYFUNCTION("""COMPUTED_VALUE"""),"Romania")</f>
        <v>Romania</v>
      </c>
      <c r="H463" s="43" t="str">
        <f>IFERROR(__xludf.DUMMYFUNCTION("""COMPUTED_VALUE"""),"IASI")</f>
        <v>IASI</v>
      </c>
      <c r="I463" s="43" t="str">
        <f>IFERROR(__xludf.DUMMYFUNCTION("""COMPUTED_VALUE"""),"Turkey")</f>
        <v>Turkey</v>
      </c>
      <c r="J463" s="43" t="str">
        <f>IFERROR(__xludf.DUMMYFUNCTION("""COMPUTED_VALUE"""),"İZMİR")</f>
        <v>İZMİR</v>
      </c>
      <c r="K463" s="44" t="str">
        <f>IFERROR(__xludf.DUMMYFUNCTION("""COMPUTED_VALUE"""),"https://expa.aiesec.org/opportunities/1291585")</f>
        <v>https://expa.aiesec.org/opportunities/1291585</v>
      </c>
      <c r="L463" s="43" t="str">
        <f>IFERROR(__xludf.DUMMYFUNCTION("""COMPUTED_VALUE"""),"GV")</f>
        <v>GV</v>
      </c>
      <c r="M463" s="43" t="str">
        <f>IFERROR(__xludf.DUMMYFUNCTION("""COMPUTED_VALUE"""),"short")</f>
        <v>short</v>
      </c>
      <c r="N463" s="45">
        <f>IFERROR(__xludf.DUMMYFUNCTION("""COMPUTED_VALUE"""),44977.0)</f>
        <v>44977</v>
      </c>
      <c r="O463" s="45">
        <f>IFERROR(__xludf.DUMMYFUNCTION("""COMPUTED_VALUE"""),45110.0)</f>
        <v>45110</v>
      </c>
      <c r="P463" s="45">
        <f>IFERROR(__xludf.DUMMYFUNCTION("""COMPUTED_VALUE"""),45152.0)</f>
        <v>45152</v>
      </c>
      <c r="Q463" s="45"/>
      <c r="R463" s="45"/>
      <c r="S463" s="43"/>
      <c r="T463" s="43"/>
      <c r="U463" s="43" t="str">
        <f>IFERROR(__xludf.DUMMYFUNCTION("""COMPUTED_VALUE"""),"Fingerprint")</f>
        <v>Fingerprint</v>
      </c>
      <c r="V463" s="43" t="str">
        <f>IFERROR(__xludf.DUMMYFUNCTION("""COMPUTED_VALUE"""),"Iasi")</f>
        <v>Iasi</v>
      </c>
      <c r="W463" s="43" t="str">
        <f>IFERROR(__xludf.DUMMYFUNCTION("""COMPUTED_VALUE"""),"2022-12-14T13:49:22Z")</f>
        <v>2022-12-14T13:49:22Z</v>
      </c>
      <c r="X463" s="43"/>
      <c r="Y463" s="43"/>
      <c r="Z463" s="43"/>
    </row>
    <row r="464" hidden="1">
      <c r="A464" s="43" t="str">
        <f>IFERROR(__xludf.DUMMYFUNCTION("""COMPUTED_VALUE"""),"5188015_1279126")</f>
        <v>5188015_1279126</v>
      </c>
      <c r="B464" s="43" t="str">
        <f>IFERROR(__xludf.DUMMYFUNCTION("""COMPUTED_VALUE"""),"Camilla Birsa")</f>
        <v>Camilla Birsa</v>
      </c>
      <c r="C464" s="43" t="str">
        <f>IFERROR(__xludf.DUMMYFUNCTION("""COMPUTED_VALUE"""),"approved")</f>
        <v>approved</v>
      </c>
      <c r="D464" s="43" t="str">
        <f>IFERROR(__xludf.DUMMYFUNCTION("""COMPUTED_VALUE"""),"No")</f>
        <v>No</v>
      </c>
      <c r="E464" s="43" t="str">
        <f>IFERROR(__xludf.DUMMYFUNCTION("""COMPUTED_VALUE"""),"p_286d28497a94bb7a68ad572171ac3c787d74ceda@inbound.aiesec.org")</f>
        <v>p_286d28497a94bb7a68ad572171ac3c787d74ceda@inbound.aiesec.org</v>
      </c>
      <c r="F464" s="43"/>
      <c r="G464" s="43" t="str">
        <f>IFERROR(__xludf.DUMMYFUNCTION("""COMPUTED_VALUE"""),"Italy")</f>
        <v>Italy</v>
      </c>
      <c r="H464" s="43" t="str">
        <f>IFERROR(__xludf.DUMMYFUNCTION("""COMPUTED_VALUE"""),"Bologna")</f>
        <v>Bologna</v>
      </c>
      <c r="I464" s="43" t="str">
        <f>IFERROR(__xludf.DUMMYFUNCTION("""COMPUTED_VALUE"""),"Turkey")</f>
        <v>Turkey</v>
      </c>
      <c r="J464" s="43" t="str">
        <f>IFERROR(__xludf.DUMMYFUNCTION("""COMPUTED_VALUE"""),"KOCAELI")</f>
        <v>KOCAELI</v>
      </c>
      <c r="K464" s="44" t="str">
        <f>IFERROR(__xludf.DUMMYFUNCTION("""COMPUTED_VALUE"""),"https://expa.aiesec.org/opportunities/1279126")</f>
        <v>https://expa.aiesec.org/opportunities/1279126</v>
      </c>
      <c r="L464" s="43" t="str">
        <f>IFERROR(__xludf.DUMMYFUNCTION("""COMPUTED_VALUE"""),"GV")</f>
        <v>GV</v>
      </c>
      <c r="M464" s="43" t="str">
        <f>IFERROR(__xludf.DUMMYFUNCTION("""COMPUTED_VALUE"""),"short")</f>
        <v>short</v>
      </c>
      <c r="N464" s="45">
        <f>IFERROR(__xludf.DUMMYFUNCTION("""COMPUTED_VALUE"""),44977.0)</f>
        <v>44977</v>
      </c>
      <c r="O464" s="45">
        <f>IFERROR(__xludf.DUMMYFUNCTION("""COMPUTED_VALUE"""),45110.0)</f>
        <v>45110</v>
      </c>
      <c r="P464" s="45">
        <f>IFERROR(__xludf.DUMMYFUNCTION("""COMPUTED_VALUE"""),45152.0)</f>
        <v>45152</v>
      </c>
      <c r="Q464" s="45"/>
      <c r="R464" s="45"/>
      <c r="S464" s="43"/>
      <c r="T464" s="43"/>
      <c r="U464" s="43" t="str">
        <f>IFERROR(__xludf.DUMMYFUNCTION("""COMPUTED_VALUE"""),"Global Classroom")</f>
        <v>Global Classroom</v>
      </c>
      <c r="V464" s="43" t="str">
        <f>IFERROR(__xludf.DUMMYFUNCTION("""COMPUTED_VALUE"""),"Milano - Bocconi, Cattolica, Bicocca, Politecnico e altre università")</f>
        <v>Milano - Bocconi, Cattolica, Bicocca, Politecnico e altre università</v>
      </c>
      <c r="W464" s="43" t="str">
        <f>IFERROR(__xludf.DUMMYFUNCTION("""COMPUTED_VALUE"""),"2023-02-09T11:52:08Z")</f>
        <v>2023-02-09T11:52:08Z</v>
      </c>
      <c r="X464" s="43"/>
      <c r="Y464" s="43"/>
      <c r="Z464" s="43"/>
    </row>
    <row r="465" hidden="1">
      <c r="A465" s="43" t="str">
        <f>IFERROR(__xludf.DUMMYFUNCTION("""COMPUTED_VALUE"""),"4923903_1289536")</f>
        <v>4923903_1289536</v>
      </c>
      <c r="B465" s="43" t="str">
        <f>IFERROR(__xludf.DUMMYFUNCTION("""COMPUTED_VALUE"""),"Priscah Kanyi")</f>
        <v>Priscah Kanyi</v>
      </c>
      <c r="C465" s="43" t="str">
        <f>IFERROR(__xludf.DUMMYFUNCTION("""COMPUTED_VALUE"""),"completed")</f>
        <v>completed</v>
      </c>
      <c r="D465" s="43" t="str">
        <f>IFERROR(__xludf.DUMMYFUNCTION("""COMPUTED_VALUE"""),"No")</f>
        <v>No</v>
      </c>
      <c r="E465" s="43" t="str">
        <f>IFERROR(__xludf.DUMMYFUNCTION("""COMPUTED_VALUE"""),"p_01eeeb5f310ba89f4dcf1a9b59654ba0f0d29c87@inbound.aiesec.org")</f>
        <v>p_01eeeb5f310ba89f4dcf1a9b59654ba0f0d29c87@inbound.aiesec.org</v>
      </c>
      <c r="F465" s="43">
        <f>IFERROR(__xludf.DUMMYFUNCTION("""COMPUTED_VALUE"""),7.14948162E8)</f>
        <v>714948162</v>
      </c>
      <c r="G465" s="43" t="str">
        <f>IFERROR(__xludf.DUMMYFUNCTION("""COMPUTED_VALUE"""),"Kenya")</f>
        <v>Kenya</v>
      </c>
      <c r="H465" s="43" t="str">
        <f>IFERROR(__xludf.DUMMYFUNCTION("""COMPUTED_VALUE"""),"JKUAT")</f>
        <v>JKUAT</v>
      </c>
      <c r="I465" s="43" t="str">
        <f>IFERROR(__xludf.DUMMYFUNCTION("""COMPUTED_VALUE"""),"Turkey")</f>
        <v>Turkey</v>
      </c>
      <c r="J465" s="43" t="str">
        <f>IFERROR(__xludf.DUMMYFUNCTION("""COMPUTED_VALUE"""),"ISTANBUL")</f>
        <v>ISTANBUL</v>
      </c>
      <c r="K465" s="44" t="str">
        <f>IFERROR(__xludf.DUMMYFUNCTION("""COMPUTED_VALUE"""),"https://expa.aiesec.org/opportunities/1289536")</f>
        <v>https://expa.aiesec.org/opportunities/1289536</v>
      </c>
      <c r="L465" s="43" t="str">
        <f>IFERROR(__xludf.DUMMYFUNCTION("""COMPUTED_VALUE"""),"GV")</f>
        <v>GV</v>
      </c>
      <c r="M465" s="43" t="str">
        <f>IFERROR(__xludf.DUMMYFUNCTION("""COMPUTED_VALUE"""),"short")</f>
        <v>short</v>
      </c>
      <c r="N465" s="45">
        <f>IFERROR(__xludf.DUMMYFUNCTION("""COMPUTED_VALUE"""),44977.0)</f>
        <v>44977</v>
      </c>
      <c r="O465" s="45">
        <f>IFERROR(__xludf.DUMMYFUNCTION("""COMPUTED_VALUE"""),45005.0)</f>
        <v>45005</v>
      </c>
      <c r="P465" s="45">
        <f>IFERROR(__xludf.DUMMYFUNCTION("""COMPUTED_VALUE"""),45047.0)</f>
        <v>45047</v>
      </c>
      <c r="Q465" s="45">
        <f>IFERROR(__xludf.DUMMYFUNCTION("""COMPUTED_VALUE"""),45023.0)</f>
        <v>45023</v>
      </c>
      <c r="R465" s="45">
        <f>IFERROR(__xludf.DUMMYFUNCTION("""COMPUTED_VALUE"""),45065.0)</f>
        <v>45065</v>
      </c>
      <c r="S465" s="43"/>
      <c r="T465" s="43"/>
      <c r="U465" s="43" t="str">
        <f>IFERROR(__xludf.DUMMYFUNCTION("""COMPUTED_VALUE"""),"Global Classroom")</f>
        <v>Global Classroom</v>
      </c>
      <c r="V465" s="43" t="str">
        <f>IFERROR(__xludf.DUMMYFUNCTION("""COMPUTED_VALUE"""),"Jomo Kenyatta University of Agriculture and Technology")</f>
        <v>Jomo Kenyatta University of Agriculture and Technology</v>
      </c>
      <c r="W465" s="43" t="str">
        <f>IFERROR(__xludf.DUMMYFUNCTION("""COMPUTED_VALUE"""),"2022-02-11T09:49:59Z")</f>
        <v>2022-02-11T09:49:59Z</v>
      </c>
      <c r="X465" s="43"/>
      <c r="Y465" s="43"/>
      <c r="Z465" s="43"/>
    </row>
    <row r="466" hidden="1">
      <c r="A466" s="43" t="str">
        <f>IFERROR(__xludf.DUMMYFUNCTION("""COMPUTED_VALUE"""),"5181594_1283483")</f>
        <v>5181594_1283483</v>
      </c>
      <c r="B466" s="43" t="str">
        <f>IFERROR(__xludf.DUMMYFUNCTION("""COMPUTED_VALUE"""),"Svitlana Bohonos")</f>
        <v>Svitlana Bohonos</v>
      </c>
      <c r="C466" s="43" t="str">
        <f>IFERROR(__xludf.DUMMYFUNCTION("""COMPUTED_VALUE"""),"approved")</f>
        <v>approved</v>
      </c>
      <c r="D466" s="43" t="str">
        <f>IFERROR(__xludf.DUMMYFUNCTION("""COMPUTED_VALUE"""),"No")</f>
        <v>No</v>
      </c>
      <c r="E466" s="43" t="str">
        <f>IFERROR(__xludf.DUMMYFUNCTION("""COMPUTED_VALUE"""),"p_be6ac74ffd283414e9eab6a8651ee2737e722a0e@inbound.aiesec.org")</f>
        <v>p_be6ac74ffd283414e9eab6a8651ee2737e722a0e@inbound.aiesec.org</v>
      </c>
      <c r="F466" s="43">
        <f>IFERROR(__xludf.DUMMYFUNCTION("""COMPUTED_VALUE"""),6.6938633E8)</f>
        <v>669386330</v>
      </c>
      <c r="G466" s="43" t="str">
        <f>IFERROR(__xludf.DUMMYFUNCTION("""COMPUTED_VALUE"""),"Ukraine")</f>
        <v>Ukraine</v>
      </c>
      <c r="H466" s="43" t="str">
        <f>IFERROR(__xludf.DUMMYFUNCTION("""COMPUTED_VALUE"""),"ODESA")</f>
        <v>ODESA</v>
      </c>
      <c r="I466" s="43" t="str">
        <f>IFERROR(__xludf.DUMMYFUNCTION("""COMPUTED_VALUE"""),"Turkey")</f>
        <v>Turkey</v>
      </c>
      <c r="J466" s="43" t="str">
        <f>IFERROR(__xludf.DUMMYFUNCTION("""COMPUTED_VALUE"""),"KONYA")</f>
        <v>KONYA</v>
      </c>
      <c r="K466" s="44" t="str">
        <f>IFERROR(__xludf.DUMMYFUNCTION("""COMPUTED_VALUE"""),"https://expa.aiesec.org/opportunities/1283483")</f>
        <v>https://expa.aiesec.org/opportunities/1283483</v>
      </c>
      <c r="L466" s="43" t="str">
        <f>IFERROR(__xludf.DUMMYFUNCTION("""COMPUTED_VALUE"""),"GV")</f>
        <v>GV</v>
      </c>
      <c r="M466" s="43" t="str">
        <f>IFERROR(__xludf.DUMMYFUNCTION("""COMPUTED_VALUE"""),"short")</f>
        <v>short</v>
      </c>
      <c r="N466" s="45">
        <f>IFERROR(__xludf.DUMMYFUNCTION("""COMPUTED_VALUE"""),44978.0)</f>
        <v>44978</v>
      </c>
      <c r="O466" s="45">
        <f>IFERROR(__xludf.DUMMYFUNCTION("""COMPUTED_VALUE"""),45117.0)</f>
        <v>45117</v>
      </c>
      <c r="P466" s="45">
        <f>IFERROR(__xludf.DUMMYFUNCTION("""COMPUTED_VALUE"""),45159.0)</f>
        <v>45159</v>
      </c>
      <c r="Q466" s="45"/>
      <c r="R466" s="45"/>
      <c r="S466" s="43"/>
      <c r="T466" s="43"/>
      <c r="U466" s="43" t="str">
        <f>IFERROR(__xludf.DUMMYFUNCTION("""COMPUTED_VALUE"""),"Global Classroom")</f>
        <v>Global Classroom</v>
      </c>
      <c r="V466" s="43" t="str">
        <f>IFERROR(__xludf.DUMMYFUNCTION("""COMPUTED_VALUE"""),"Odesa")</f>
        <v>Odesa</v>
      </c>
      <c r="W466" s="43" t="str">
        <f>IFERROR(__xludf.DUMMYFUNCTION("""COMPUTED_VALUE"""),"2023-01-28T12:30:10Z")</f>
        <v>2023-01-28T12:30:10Z</v>
      </c>
      <c r="X466" s="43"/>
      <c r="Y466" s="43"/>
      <c r="Z466" s="43"/>
    </row>
    <row r="467" hidden="1">
      <c r="A467" s="43" t="str">
        <f>IFERROR(__xludf.DUMMYFUNCTION("""COMPUTED_VALUE"""),"5190756_1288245")</f>
        <v>5190756_1288245</v>
      </c>
      <c r="B467" s="43" t="str">
        <f>IFERROR(__xludf.DUMMYFUNCTION("""COMPUTED_VALUE"""),"moiz butt")</f>
        <v>moiz butt</v>
      </c>
      <c r="C467" s="43" t="str">
        <f>IFERROR(__xludf.DUMMYFUNCTION("""COMPUTED_VALUE"""),"realization_broken")</f>
        <v>realization_broken</v>
      </c>
      <c r="D467" s="43" t="str">
        <f>IFERROR(__xludf.DUMMYFUNCTION("""COMPUTED_VALUE"""),"No")</f>
        <v>No</v>
      </c>
      <c r="E467" s="43" t="str">
        <f>IFERROR(__xludf.DUMMYFUNCTION("""COMPUTED_VALUE"""),"p_367bc764990fe0771251f49b511b087715cdab20@inbound.aiesec.org")</f>
        <v>p_367bc764990fe0771251f49b511b087715cdab20@inbound.aiesec.org</v>
      </c>
      <c r="F467" s="43"/>
      <c r="G467" s="43" t="str">
        <f>IFERROR(__xludf.DUMMYFUNCTION("""COMPUTED_VALUE"""),"Pakistan")</f>
        <v>Pakistan</v>
      </c>
      <c r="H467" s="43" t="str">
        <f>IFERROR(__xludf.DUMMYFUNCTION("""COMPUTED_VALUE"""),"Karachi")</f>
        <v>Karachi</v>
      </c>
      <c r="I467" s="43" t="str">
        <f>IFERROR(__xludf.DUMMYFUNCTION("""COMPUTED_VALUE"""),"Turkey")</f>
        <v>Turkey</v>
      </c>
      <c r="J467" s="43" t="str">
        <f>IFERROR(__xludf.DUMMYFUNCTION("""COMPUTED_VALUE"""),"İZMİR")</f>
        <v>İZMİR</v>
      </c>
      <c r="K467" s="44" t="str">
        <f>IFERROR(__xludf.DUMMYFUNCTION("""COMPUTED_VALUE"""),"https://expa.aiesec.org/opportunities/1288245")</f>
        <v>https://expa.aiesec.org/opportunities/1288245</v>
      </c>
      <c r="L467" s="43" t="str">
        <f>IFERROR(__xludf.DUMMYFUNCTION("""COMPUTED_VALUE"""),"GV")</f>
        <v>GV</v>
      </c>
      <c r="M467" s="43" t="str">
        <f>IFERROR(__xludf.DUMMYFUNCTION("""COMPUTED_VALUE"""),"short")</f>
        <v>short</v>
      </c>
      <c r="N467" s="45">
        <f>IFERROR(__xludf.DUMMYFUNCTION("""COMPUTED_VALUE"""),44978.0)</f>
        <v>44978</v>
      </c>
      <c r="O467" s="45">
        <f>IFERROR(__xludf.DUMMYFUNCTION("""COMPUTED_VALUE"""),45088.0)</f>
        <v>45088</v>
      </c>
      <c r="P467" s="45">
        <f>IFERROR(__xludf.DUMMYFUNCTION("""COMPUTED_VALUE"""),45130.0)</f>
        <v>45130</v>
      </c>
      <c r="Q467" s="45"/>
      <c r="R467" s="45"/>
      <c r="S467" s="43"/>
      <c r="T467" s="43"/>
      <c r="U467" s="43" t="str">
        <f>IFERROR(__xludf.DUMMYFUNCTION("""COMPUTED_VALUE"""),"Global Classroom")</f>
        <v>Global Classroom</v>
      </c>
      <c r="V467" s="43" t="str">
        <f>IFERROR(__xludf.DUMMYFUNCTION("""COMPUTED_VALUE"""),"-")</f>
        <v>-</v>
      </c>
      <c r="W467" s="43" t="str">
        <f>IFERROR(__xludf.DUMMYFUNCTION("""COMPUTED_VALUE"""),"2023-02-14T17:02:36Z")</f>
        <v>2023-02-14T17:02:36Z</v>
      </c>
      <c r="X467" s="43"/>
      <c r="Y467" s="43"/>
      <c r="Z467" s="43"/>
    </row>
    <row r="468" hidden="1">
      <c r="A468" s="43" t="str">
        <f>IFERROR(__xludf.DUMMYFUNCTION("""COMPUTED_VALUE"""),"5190241_1286751")</f>
        <v>5190241_1286751</v>
      </c>
      <c r="B468" s="43" t="str">
        <f>IFERROR(__xludf.DUMMYFUNCTION("""COMPUTED_VALUE"""),"Eisha Tir Razia")</f>
        <v>Eisha Tir Razia</v>
      </c>
      <c r="C468" s="43" t="str">
        <f>IFERROR(__xludf.DUMMYFUNCTION("""COMPUTED_VALUE"""),"completed")</f>
        <v>completed</v>
      </c>
      <c r="D468" s="43" t="str">
        <f>IFERROR(__xludf.DUMMYFUNCTION("""COMPUTED_VALUE"""),"No")</f>
        <v>No</v>
      </c>
      <c r="E468" s="43" t="str">
        <f>IFERROR(__xludf.DUMMYFUNCTION("""COMPUTED_VALUE"""),"p_dbaac911dbc8873a3ee4d0193cb99093cfe17da8@inbound.aiesec.org")</f>
        <v>p_dbaac911dbc8873a3ee4d0193cb99093cfe17da8@inbound.aiesec.org</v>
      </c>
      <c r="F468" s="43">
        <f>IFERROR(__xludf.DUMMYFUNCTION("""COMPUTED_VALUE"""),3.312444454E9)</f>
        <v>3312444454</v>
      </c>
      <c r="G468" s="43" t="str">
        <f>IFERROR(__xludf.DUMMYFUNCTION("""COMPUTED_VALUE"""),"Pakistan")</f>
        <v>Pakistan</v>
      </c>
      <c r="H468" s="43" t="str">
        <f>IFERROR(__xludf.DUMMYFUNCTION("""COMPUTED_VALUE"""),"Karachi")</f>
        <v>Karachi</v>
      </c>
      <c r="I468" s="43" t="str">
        <f>IFERROR(__xludf.DUMMYFUNCTION("""COMPUTED_VALUE"""),"Turkey")</f>
        <v>Turkey</v>
      </c>
      <c r="J468" s="43" t="str">
        <f>IFERROR(__xludf.DUMMYFUNCTION("""COMPUTED_VALUE"""),"İZMİR")</f>
        <v>İZMİR</v>
      </c>
      <c r="K468" s="44" t="str">
        <f>IFERROR(__xludf.DUMMYFUNCTION("""COMPUTED_VALUE"""),"https://expa.aiesec.org/opportunities/1286751")</f>
        <v>https://expa.aiesec.org/opportunities/1286751</v>
      </c>
      <c r="L468" s="43" t="str">
        <f>IFERROR(__xludf.DUMMYFUNCTION("""COMPUTED_VALUE"""),"GV")</f>
        <v>GV</v>
      </c>
      <c r="M468" s="43" t="str">
        <f>IFERROR(__xludf.DUMMYFUNCTION("""COMPUTED_VALUE"""),"short")</f>
        <v>short</v>
      </c>
      <c r="N468" s="45">
        <f>IFERROR(__xludf.DUMMYFUNCTION("""COMPUTED_VALUE"""),44978.0)</f>
        <v>44978</v>
      </c>
      <c r="O468" s="45">
        <f>IFERROR(__xludf.DUMMYFUNCTION("""COMPUTED_VALUE"""),45088.0)</f>
        <v>45088</v>
      </c>
      <c r="P468" s="45">
        <f>IFERROR(__xludf.DUMMYFUNCTION("""COMPUTED_VALUE"""),45130.0)</f>
        <v>45130</v>
      </c>
      <c r="Q468" s="45">
        <f>IFERROR(__xludf.DUMMYFUNCTION("""COMPUTED_VALUE"""),45089.0)</f>
        <v>45089</v>
      </c>
      <c r="R468" s="45">
        <f>IFERROR(__xludf.DUMMYFUNCTION("""COMPUTED_VALUE"""),45131.0)</f>
        <v>45131</v>
      </c>
      <c r="S468" s="43"/>
      <c r="T468" s="43"/>
      <c r="U468" s="43" t="str">
        <f>IFERROR(__xludf.DUMMYFUNCTION("""COMPUTED_VALUE"""),"Global Classroom")</f>
        <v>Global Classroom</v>
      </c>
      <c r="V468" s="43" t="str">
        <f>IFERROR(__xludf.DUMMYFUNCTION("""COMPUTED_VALUE"""),"Karachi - Institute of Business Management")</f>
        <v>Karachi - Institute of Business Management</v>
      </c>
      <c r="W468" s="43" t="str">
        <f>IFERROR(__xludf.DUMMYFUNCTION("""COMPUTED_VALUE"""),"2023-02-13T18:37:46Z")</f>
        <v>2023-02-13T18:37:46Z</v>
      </c>
      <c r="X468" s="43"/>
      <c r="Y468" s="43"/>
      <c r="Z468" s="43"/>
    </row>
    <row r="469" hidden="1">
      <c r="A469" s="43" t="str">
        <f>IFERROR(__xludf.DUMMYFUNCTION("""COMPUTED_VALUE"""),"4576004_1286751")</f>
        <v>4576004_1286751</v>
      </c>
      <c r="B469" s="43" t="str">
        <f>IFERROR(__xludf.DUMMYFUNCTION("""COMPUTED_VALUE"""),"Haris Subhani")</f>
        <v>Haris Subhani</v>
      </c>
      <c r="C469" s="43" t="str">
        <f>IFERROR(__xludf.DUMMYFUNCTION("""COMPUTED_VALUE"""),"finished")</f>
        <v>finished</v>
      </c>
      <c r="D469" s="43" t="str">
        <f>IFERROR(__xludf.DUMMYFUNCTION("""COMPUTED_VALUE"""),"No")</f>
        <v>No</v>
      </c>
      <c r="E469" s="43" t="str">
        <f>IFERROR(__xludf.DUMMYFUNCTION("""COMPUTED_VALUE"""),"p_80c7069baea4d0fe62e47c8040bd3ce819139b0a@inbound.aiesec.org")</f>
        <v>p_80c7069baea4d0fe62e47c8040bd3ce819139b0a@inbound.aiesec.org</v>
      </c>
      <c r="F469" s="43">
        <f>IFERROR(__xludf.DUMMYFUNCTION("""COMPUTED_VALUE"""),3.022817108E9)</f>
        <v>3022817108</v>
      </c>
      <c r="G469" s="43" t="str">
        <f>IFERROR(__xludf.DUMMYFUNCTION("""COMPUTED_VALUE"""),"Pakistan")</f>
        <v>Pakistan</v>
      </c>
      <c r="H469" s="43" t="str">
        <f>IFERROR(__xludf.DUMMYFUNCTION("""COMPUTED_VALUE"""),"Karachi")</f>
        <v>Karachi</v>
      </c>
      <c r="I469" s="43" t="str">
        <f>IFERROR(__xludf.DUMMYFUNCTION("""COMPUTED_VALUE"""),"Turkey")</f>
        <v>Turkey</v>
      </c>
      <c r="J469" s="43" t="str">
        <f>IFERROR(__xludf.DUMMYFUNCTION("""COMPUTED_VALUE"""),"İZMİR")</f>
        <v>İZMİR</v>
      </c>
      <c r="K469" s="44" t="str">
        <f>IFERROR(__xludf.DUMMYFUNCTION("""COMPUTED_VALUE"""),"https://expa.aiesec.org/opportunities/1286751")</f>
        <v>https://expa.aiesec.org/opportunities/1286751</v>
      </c>
      <c r="L469" s="43" t="str">
        <f>IFERROR(__xludf.DUMMYFUNCTION("""COMPUTED_VALUE"""),"GV")</f>
        <v>GV</v>
      </c>
      <c r="M469" s="43" t="str">
        <f>IFERROR(__xludf.DUMMYFUNCTION("""COMPUTED_VALUE"""),"short")</f>
        <v>short</v>
      </c>
      <c r="N469" s="45">
        <f>IFERROR(__xludf.DUMMYFUNCTION("""COMPUTED_VALUE"""),44978.0)</f>
        <v>44978</v>
      </c>
      <c r="O469" s="45">
        <f>IFERROR(__xludf.DUMMYFUNCTION("""COMPUTED_VALUE"""),45088.0)</f>
        <v>45088</v>
      </c>
      <c r="P469" s="45">
        <f>IFERROR(__xludf.DUMMYFUNCTION("""COMPUTED_VALUE"""),45130.0)</f>
        <v>45130</v>
      </c>
      <c r="Q469" s="45">
        <f>IFERROR(__xludf.DUMMYFUNCTION("""COMPUTED_VALUE"""),45089.0)</f>
        <v>45089</v>
      </c>
      <c r="R469" s="45">
        <f>IFERROR(__xludf.DUMMYFUNCTION("""COMPUTED_VALUE"""),45131.0)</f>
        <v>45131</v>
      </c>
      <c r="S469" s="43"/>
      <c r="T469" s="43"/>
      <c r="U469" s="43" t="str">
        <f>IFERROR(__xludf.DUMMYFUNCTION("""COMPUTED_VALUE"""),"Global Classroom")</f>
        <v>Global Classroom</v>
      </c>
      <c r="V469" s="43" t="str">
        <f>IFERROR(__xludf.DUMMYFUNCTION("""COMPUTED_VALUE"""),"Karachi - Institute of Business Management")</f>
        <v>Karachi - Institute of Business Management</v>
      </c>
      <c r="W469" s="43" t="str">
        <f>IFERROR(__xludf.DUMMYFUNCTION("""COMPUTED_VALUE"""),"2021-03-12T12:19:17Z")</f>
        <v>2021-03-12T12:19:17Z</v>
      </c>
      <c r="X469" s="43"/>
      <c r="Y469" s="43"/>
      <c r="Z469" s="43"/>
    </row>
    <row r="470" hidden="1">
      <c r="A470" s="43" t="str">
        <f>IFERROR(__xludf.DUMMYFUNCTION("""COMPUTED_VALUE"""),"5181330_1288280")</f>
        <v>5181330_1288280</v>
      </c>
      <c r="B470" s="43" t="str">
        <f>IFERROR(__xludf.DUMMYFUNCTION("""COMPUTED_VALUE"""),"Viktoriia Honchar")</f>
        <v>Viktoriia Honchar</v>
      </c>
      <c r="C470" s="43" t="str">
        <f>IFERROR(__xludf.DUMMYFUNCTION("""COMPUTED_VALUE"""),"finished")</f>
        <v>finished</v>
      </c>
      <c r="D470" s="43" t="str">
        <f>IFERROR(__xludf.DUMMYFUNCTION("""COMPUTED_VALUE"""),"No")</f>
        <v>No</v>
      </c>
      <c r="E470" s="43" t="str">
        <f>IFERROR(__xludf.DUMMYFUNCTION("""COMPUTED_VALUE"""),"p_623cd2cc4971b45734724d9f35b2f1b2177ebf65@inbound.aiesec.org")</f>
        <v>p_623cd2cc4971b45734724d9f35b2f1b2177ebf65@inbound.aiesec.org</v>
      </c>
      <c r="F470" s="43">
        <f>IFERROR(__xludf.DUMMYFUNCTION("""COMPUTED_VALUE"""),9.74659027E8)</f>
        <v>974659027</v>
      </c>
      <c r="G470" s="43" t="str">
        <f>IFERROR(__xludf.DUMMYFUNCTION("""COMPUTED_VALUE"""),"Ukraine")</f>
        <v>Ukraine</v>
      </c>
      <c r="H470" s="43" t="str">
        <f>IFERROR(__xludf.DUMMYFUNCTION("""COMPUTED_VALUE"""),"LVIV")</f>
        <v>LVIV</v>
      </c>
      <c r="I470" s="43" t="str">
        <f>IFERROR(__xludf.DUMMYFUNCTION("""COMPUTED_VALUE"""),"Turkey")</f>
        <v>Turkey</v>
      </c>
      <c r="J470" s="43" t="str">
        <f>IFERROR(__xludf.DUMMYFUNCTION("""COMPUTED_VALUE"""),"İZMİR")</f>
        <v>İZMİR</v>
      </c>
      <c r="K470" s="44" t="str">
        <f>IFERROR(__xludf.DUMMYFUNCTION("""COMPUTED_VALUE"""),"https://expa.aiesec.org/opportunities/1288280")</f>
        <v>https://expa.aiesec.org/opportunities/1288280</v>
      </c>
      <c r="L470" s="43" t="str">
        <f>IFERROR(__xludf.DUMMYFUNCTION("""COMPUTED_VALUE"""),"GV")</f>
        <v>GV</v>
      </c>
      <c r="M470" s="43" t="str">
        <f>IFERROR(__xludf.DUMMYFUNCTION("""COMPUTED_VALUE"""),"short")</f>
        <v>short</v>
      </c>
      <c r="N470" s="45">
        <f>IFERROR(__xludf.DUMMYFUNCTION("""COMPUTED_VALUE"""),44978.0)</f>
        <v>44978</v>
      </c>
      <c r="O470" s="45">
        <f>IFERROR(__xludf.DUMMYFUNCTION("""COMPUTED_VALUE"""),45102.0)</f>
        <v>45102</v>
      </c>
      <c r="P470" s="45">
        <f>IFERROR(__xludf.DUMMYFUNCTION("""COMPUTED_VALUE"""),45144.0)</f>
        <v>45144</v>
      </c>
      <c r="Q470" s="45">
        <f>IFERROR(__xludf.DUMMYFUNCTION("""COMPUTED_VALUE"""),45105.0)</f>
        <v>45105</v>
      </c>
      <c r="R470" s="45">
        <f>IFERROR(__xludf.DUMMYFUNCTION("""COMPUTED_VALUE"""),45148.0)</f>
        <v>45148</v>
      </c>
      <c r="S470" s="43"/>
      <c r="T470" s="43"/>
      <c r="U470" s="43" t="str">
        <f>IFERROR(__xludf.DUMMYFUNCTION("""COMPUTED_VALUE"""),"Global Classroom")</f>
        <v>Global Classroom</v>
      </c>
      <c r="V470" s="43" t="str">
        <f>IFERROR(__xludf.DUMMYFUNCTION("""COMPUTED_VALUE"""),"Lviv ")</f>
        <v>Lviv </v>
      </c>
      <c r="W470" s="43" t="str">
        <f>IFERROR(__xludf.DUMMYFUNCTION("""COMPUTED_VALUE"""),"2023-01-27T16:23:12Z")</f>
        <v>2023-01-27T16:23:12Z</v>
      </c>
      <c r="X470" s="43"/>
      <c r="Y470" s="43"/>
      <c r="Z470" s="43"/>
    </row>
    <row r="471" hidden="1">
      <c r="A471" s="43" t="str">
        <f>IFERROR(__xludf.DUMMYFUNCTION("""COMPUTED_VALUE"""),"5168535_1291254")</f>
        <v>5168535_1291254</v>
      </c>
      <c r="B471" s="43" t="str">
        <f>IFERROR(__xludf.DUMMYFUNCTION("""COMPUTED_VALUE"""),"Laura ZARA")</f>
        <v>Laura ZARA</v>
      </c>
      <c r="C471" s="43" t="str">
        <f>IFERROR(__xludf.DUMMYFUNCTION("""COMPUTED_VALUE"""),"finished")</f>
        <v>finished</v>
      </c>
      <c r="D471" s="43" t="str">
        <f>IFERROR(__xludf.DUMMYFUNCTION("""COMPUTED_VALUE"""),"No")</f>
        <v>No</v>
      </c>
      <c r="E471" s="43" t="str">
        <f>IFERROR(__xludf.DUMMYFUNCTION("""COMPUTED_VALUE"""),"p_f36ae088f37af5201289b412b591ed79ea30c0b7@inbound.aiesec.org")</f>
        <v>p_f36ae088f37af5201289b412b591ed79ea30c0b7@inbound.aiesec.org</v>
      </c>
      <c r="F471" s="43"/>
      <c r="G471" s="43" t="str">
        <f>IFERROR(__xludf.DUMMYFUNCTION("""COMPUTED_VALUE"""),"Romania")</f>
        <v>Romania</v>
      </c>
      <c r="H471" s="43" t="str">
        <f>IFERROR(__xludf.DUMMYFUNCTION("""COMPUTED_VALUE"""),"BUCURESTI")</f>
        <v>BUCURESTI</v>
      </c>
      <c r="I471" s="43" t="str">
        <f>IFERROR(__xludf.DUMMYFUNCTION("""COMPUTED_VALUE"""),"Turkey")</f>
        <v>Turkey</v>
      </c>
      <c r="J471" s="43" t="str">
        <f>IFERROR(__xludf.DUMMYFUNCTION("""COMPUTED_VALUE"""),"KOCAELI")</f>
        <v>KOCAELI</v>
      </c>
      <c r="K471" s="44" t="str">
        <f>IFERROR(__xludf.DUMMYFUNCTION("""COMPUTED_VALUE"""),"https://expa.aiesec.org/opportunities/1291254")</f>
        <v>https://expa.aiesec.org/opportunities/1291254</v>
      </c>
      <c r="L471" s="43" t="str">
        <f>IFERROR(__xludf.DUMMYFUNCTION("""COMPUTED_VALUE"""),"GV")</f>
        <v>GV</v>
      </c>
      <c r="M471" s="43" t="str">
        <f>IFERROR(__xludf.DUMMYFUNCTION("""COMPUTED_VALUE"""),"short")</f>
        <v>short</v>
      </c>
      <c r="N471" s="45">
        <f>IFERROR(__xludf.DUMMYFUNCTION("""COMPUTED_VALUE"""),44979.0)</f>
        <v>44979</v>
      </c>
      <c r="O471" s="45">
        <f>IFERROR(__xludf.DUMMYFUNCTION("""COMPUTED_VALUE"""),45127.0)</f>
        <v>45127</v>
      </c>
      <c r="P471" s="45">
        <f>IFERROR(__xludf.DUMMYFUNCTION("""COMPUTED_VALUE"""),45169.0)</f>
        <v>45169</v>
      </c>
      <c r="Q471" s="45">
        <f>IFERROR(__xludf.DUMMYFUNCTION("""COMPUTED_VALUE"""),45131.0)</f>
        <v>45131</v>
      </c>
      <c r="R471" s="45">
        <f>IFERROR(__xludf.DUMMYFUNCTION("""COMPUTED_VALUE"""),45173.0)</f>
        <v>45173</v>
      </c>
      <c r="S471" s="43"/>
      <c r="T471" s="43"/>
      <c r="U471" s="43" t="str">
        <f>IFERROR(__xludf.DUMMYFUNCTION("""COMPUTED_VALUE"""),"Global Classroom")</f>
        <v>Global Classroom</v>
      </c>
      <c r="V471" s="43" t="str">
        <f>IFERROR(__xludf.DUMMYFUNCTION("""COMPUTED_VALUE"""),"-")</f>
        <v>-</v>
      </c>
      <c r="W471" s="43" t="str">
        <f>IFERROR(__xludf.DUMMYFUNCTION("""COMPUTED_VALUE"""),"2022-12-20T22:49:17Z")</f>
        <v>2022-12-20T22:49:17Z</v>
      </c>
      <c r="X471" s="43"/>
      <c r="Y471" s="43"/>
      <c r="Z471" s="43"/>
    </row>
    <row r="472" hidden="1">
      <c r="A472" s="43" t="str">
        <f>IFERROR(__xludf.DUMMYFUNCTION("""COMPUTED_VALUE"""),"5192813_1286920")</f>
        <v>5192813_1286920</v>
      </c>
      <c r="B472" s="43" t="str">
        <f>IFERROR(__xludf.DUMMYFUNCTION("""COMPUTED_VALUE"""),"Ola Hossam")</f>
        <v>Ola Hossam</v>
      </c>
      <c r="C472" s="43" t="str">
        <f>IFERROR(__xludf.DUMMYFUNCTION("""COMPUTED_VALUE"""),"finished")</f>
        <v>finished</v>
      </c>
      <c r="D472" s="43" t="str">
        <f>IFERROR(__xludf.DUMMYFUNCTION("""COMPUTED_VALUE"""),"No")</f>
        <v>No</v>
      </c>
      <c r="E472" s="43" t="str">
        <f>IFERROR(__xludf.DUMMYFUNCTION("""COMPUTED_VALUE"""),"p_015489749ab88a0b22a15bcb6e7b52075331bc1c@inbound.aiesec.org")</f>
        <v>p_015489749ab88a0b22a15bcb6e7b52075331bc1c@inbound.aiesec.org</v>
      </c>
      <c r="F472" s="43">
        <f>IFERROR(__xludf.DUMMYFUNCTION("""COMPUTED_VALUE"""),1.1224903E9)</f>
        <v>1122490300</v>
      </c>
      <c r="G472" s="43" t="str">
        <f>IFERROR(__xludf.DUMMYFUNCTION("""COMPUTED_VALUE"""),"Egypt")</f>
        <v>Egypt</v>
      </c>
      <c r="H472" s="43" t="str">
        <f>IFERROR(__xludf.DUMMYFUNCTION("""COMPUTED_VALUE"""),"Helwan")</f>
        <v>Helwan</v>
      </c>
      <c r="I472" s="43" t="str">
        <f>IFERROR(__xludf.DUMMYFUNCTION("""COMPUTED_VALUE"""),"Turkey")</f>
        <v>Turkey</v>
      </c>
      <c r="J472" s="43" t="str">
        <f>IFERROR(__xludf.DUMMYFUNCTION("""COMPUTED_VALUE"""),"DENIZLI")</f>
        <v>DENIZLI</v>
      </c>
      <c r="K472" s="44" t="str">
        <f>IFERROR(__xludf.DUMMYFUNCTION("""COMPUTED_VALUE"""),"https://expa.aiesec.org/opportunities/1286920")</f>
        <v>https://expa.aiesec.org/opportunities/1286920</v>
      </c>
      <c r="L472" s="43" t="str">
        <f>IFERROR(__xludf.DUMMYFUNCTION("""COMPUTED_VALUE"""),"GV")</f>
        <v>GV</v>
      </c>
      <c r="M472" s="43" t="str">
        <f>IFERROR(__xludf.DUMMYFUNCTION("""COMPUTED_VALUE"""),"short")</f>
        <v>short</v>
      </c>
      <c r="N472" s="45">
        <f>IFERROR(__xludf.DUMMYFUNCTION("""COMPUTED_VALUE"""),44980.0)</f>
        <v>44980</v>
      </c>
      <c r="O472" s="45">
        <f>IFERROR(__xludf.DUMMYFUNCTION("""COMPUTED_VALUE"""),45159.0)</f>
        <v>45159</v>
      </c>
      <c r="P472" s="45">
        <f>IFERROR(__xludf.DUMMYFUNCTION("""COMPUTED_VALUE"""),45201.0)</f>
        <v>45201</v>
      </c>
      <c r="Q472" s="45">
        <f>IFERROR(__xludf.DUMMYFUNCTION("""COMPUTED_VALUE"""),45162.0)</f>
        <v>45162</v>
      </c>
      <c r="R472" s="45">
        <f>IFERROR(__xludf.DUMMYFUNCTION("""COMPUTED_VALUE"""),45202.0)</f>
        <v>45202</v>
      </c>
      <c r="S472" s="43"/>
      <c r="T472" s="43"/>
      <c r="U472" s="43" t="str">
        <f>IFERROR(__xludf.DUMMYFUNCTION("""COMPUTED_VALUE"""),"Global Classroom")</f>
        <v>Global Classroom</v>
      </c>
      <c r="V472" s="43" t="str">
        <f>IFERROR(__xludf.DUMMYFUNCTION("""COMPUTED_VALUE"""),"Helwan University")</f>
        <v>Helwan University</v>
      </c>
      <c r="W472" s="43" t="str">
        <f>IFERROR(__xludf.DUMMYFUNCTION("""COMPUTED_VALUE"""),"2023-02-17T10:35:02Z")</f>
        <v>2023-02-17T10:35:02Z</v>
      </c>
      <c r="X472" s="43"/>
      <c r="Y472" s="43"/>
      <c r="Z472" s="43"/>
    </row>
    <row r="473" hidden="1">
      <c r="A473" s="43" t="str">
        <f>IFERROR(__xludf.DUMMYFUNCTION("""COMPUTED_VALUE"""),"5193305_1288970")</f>
        <v>5193305_1288970</v>
      </c>
      <c r="B473" s="43" t="str">
        <f>IFERROR(__xludf.DUMMYFUNCTION("""COMPUTED_VALUE"""),"Aqsa Sharif")</f>
        <v>Aqsa Sharif</v>
      </c>
      <c r="C473" s="43" t="str">
        <f>IFERROR(__xludf.DUMMYFUNCTION("""COMPUTED_VALUE"""),"finished")</f>
        <v>finished</v>
      </c>
      <c r="D473" s="43" t="str">
        <f>IFERROR(__xludf.DUMMYFUNCTION("""COMPUTED_VALUE"""),"No")</f>
        <v>No</v>
      </c>
      <c r="E473" s="43" t="str">
        <f>IFERROR(__xludf.DUMMYFUNCTION("""COMPUTED_VALUE"""),"p_0147bf92937a1162ebb690f4ba081e0f2637f2d3@inbound.aiesec.org")</f>
        <v>p_0147bf92937a1162ebb690f4ba081e0f2637f2d3@inbound.aiesec.org</v>
      </c>
      <c r="F473" s="43">
        <f>IFERROR(__xludf.DUMMYFUNCTION("""COMPUTED_VALUE"""),3.212839067E9)</f>
        <v>3212839067</v>
      </c>
      <c r="G473" s="43" t="str">
        <f>IFERROR(__xludf.DUMMYFUNCTION("""COMPUTED_VALUE"""),"Pakistan")</f>
        <v>Pakistan</v>
      </c>
      <c r="H473" s="43" t="str">
        <f>IFERROR(__xludf.DUMMYFUNCTION("""COMPUTED_VALUE"""),"Karachi South")</f>
        <v>Karachi South</v>
      </c>
      <c r="I473" s="43" t="str">
        <f>IFERROR(__xludf.DUMMYFUNCTION("""COMPUTED_VALUE"""),"Turkey")</f>
        <v>Turkey</v>
      </c>
      <c r="J473" s="43" t="str">
        <f>IFERROR(__xludf.DUMMYFUNCTION("""COMPUTED_VALUE"""),"İZMİR")</f>
        <v>İZMİR</v>
      </c>
      <c r="K473" s="44" t="str">
        <f>IFERROR(__xludf.DUMMYFUNCTION("""COMPUTED_VALUE"""),"https://expa.aiesec.org/opportunities/1288970")</f>
        <v>https://expa.aiesec.org/opportunities/1288970</v>
      </c>
      <c r="L473" s="43" t="str">
        <f>IFERROR(__xludf.DUMMYFUNCTION("""COMPUTED_VALUE"""),"GV")</f>
        <v>GV</v>
      </c>
      <c r="M473" s="43" t="str">
        <f>IFERROR(__xludf.DUMMYFUNCTION("""COMPUTED_VALUE"""),"short")</f>
        <v>short</v>
      </c>
      <c r="N473" s="45">
        <f>IFERROR(__xludf.DUMMYFUNCTION("""COMPUTED_VALUE"""),44980.0)</f>
        <v>44980</v>
      </c>
      <c r="O473" s="45">
        <f>IFERROR(__xludf.DUMMYFUNCTION("""COMPUTED_VALUE"""),45165.0)</f>
        <v>45165</v>
      </c>
      <c r="P473" s="45">
        <f>IFERROR(__xludf.DUMMYFUNCTION("""COMPUTED_VALUE"""),45207.0)</f>
        <v>45207</v>
      </c>
      <c r="Q473" s="45">
        <f>IFERROR(__xludf.DUMMYFUNCTION("""COMPUTED_VALUE"""),45167.0)</f>
        <v>45167</v>
      </c>
      <c r="R473" s="45">
        <f>IFERROR(__xludf.DUMMYFUNCTION("""COMPUTED_VALUE"""),45209.0)</f>
        <v>45209</v>
      </c>
      <c r="S473" s="43"/>
      <c r="T473" s="43"/>
      <c r="U473" s="43" t="str">
        <f>IFERROR(__xludf.DUMMYFUNCTION("""COMPUTED_VALUE"""),"Fingerprint")</f>
        <v>Fingerprint</v>
      </c>
      <c r="V473" s="43" t="str">
        <f>IFERROR(__xludf.DUMMYFUNCTION("""COMPUTED_VALUE"""),"Karachi - SZABIST ")</f>
        <v>Karachi - SZABIST </v>
      </c>
      <c r="W473" s="43" t="str">
        <f>IFERROR(__xludf.DUMMYFUNCTION("""COMPUTED_VALUE"""),"2023-02-17T19:49:57Z")</f>
        <v>2023-02-17T19:49:57Z</v>
      </c>
      <c r="X473" s="43"/>
      <c r="Y473" s="43"/>
      <c r="Z473" s="43"/>
    </row>
    <row r="474" hidden="1">
      <c r="A474" s="43" t="str">
        <f>IFERROR(__xludf.DUMMYFUNCTION("""COMPUTED_VALUE"""),"5184324_1292557")</f>
        <v>5184324_1292557</v>
      </c>
      <c r="B474" s="43" t="str">
        <f>IFERROR(__xludf.DUMMYFUNCTION("""COMPUTED_VALUE"""),"Aeman Nisa")</f>
        <v>Aeman Nisa</v>
      </c>
      <c r="C474" s="43" t="str">
        <f>IFERROR(__xludf.DUMMYFUNCTION("""COMPUTED_VALUE"""),"completed")</f>
        <v>completed</v>
      </c>
      <c r="D474" s="43" t="str">
        <f>IFERROR(__xludf.DUMMYFUNCTION("""COMPUTED_VALUE"""),"No")</f>
        <v>No</v>
      </c>
      <c r="E474" s="43" t="str">
        <f>IFERROR(__xludf.DUMMYFUNCTION("""COMPUTED_VALUE"""),"p_a5522a67580b0d2279d647fc9acd09ba4c0420ef@inbound.aiesec.org")</f>
        <v>p_a5522a67580b0d2279d647fc9acd09ba4c0420ef@inbound.aiesec.org</v>
      </c>
      <c r="F474" s="43">
        <f>IFERROR(__xludf.DUMMYFUNCTION("""COMPUTED_VALUE"""),3.2288026E9)</f>
        <v>3228802600</v>
      </c>
      <c r="G474" s="43" t="str">
        <f>IFERROR(__xludf.DUMMYFUNCTION("""COMPUTED_VALUE"""),"Pakistan")</f>
        <v>Pakistan</v>
      </c>
      <c r="H474" s="43" t="str">
        <f>IFERROR(__xludf.DUMMYFUNCTION("""COMPUTED_VALUE"""),"Karachi")</f>
        <v>Karachi</v>
      </c>
      <c r="I474" s="43" t="str">
        <f>IFERROR(__xludf.DUMMYFUNCTION("""COMPUTED_VALUE"""),"Turkey")</f>
        <v>Turkey</v>
      </c>
      <c r="J474" s="43" t="str">
        <f>IFERROR(__xludf.DUMMYFUNCTION("""COMPUTED_VALUE"""),"DENIZLI")</f>
        <v>DENIZLI</v>
      </c>
      <c r="K474" s="44" t="str">
        <f>IFERROR(__xludf.DUMMYFUNCTION("""COMPUTED_VALUE"""),"https://expa.aiesec.org/opportunities/1292557")</f>
        <v>https://expa.aiesec.org/opportunities/1292557</v>
      </c>
      <c r="L474" s="43" t="str">
        <f>IFERROR(__xludf.DUMMYFUNCTION("""COMPUTED_VALUE"""),"GV")</f>
        <v>GV</v>
      </c>
      <c r="M474" s="43" t="str">
        <f>IFERROR(__xludf.DUMMYFUNCTION("""COMPUTED_VALUE"""),"short")</f>
        <v>short</v>
      </c>
      <c r="N474" s="45">
        <f>IFERROR(__xludf.DUMMYFUNCTION("""COMPUTED_VALUE"""),44981.0)</f>
        <v>44981</v>
      </c>
      <c r="O474" s="45">
        <f>IFERROR(__xludf.DUMMYFUNCTION("""COMPUTED_VALUE"""),45117.0)</f>
        <v>45117</v>
      </c>
      <c r="P474" s="45">
        <f>IFERROR(__xludf.DUMMYFUNCTION("""COMPUTED_VALUE"""),45159.0)</f>
        <v>45159</v>
      </c>
      <c r="Q474" s="45">
        <f>IFERROR(__xludf.DUMMYFUNCTION("""COMPUTED_VALUE"""),45117.0)</f>
        <v>45117</v>
      </c>
      <c r="R474" s="45">
        <f>IFERROR(__xludf.DUMMYFUNCTION("""COMPUTED_VALUE"""),45159.0)</f>
        <v>45159</v>
      </c>
      <c r="S474" s="43"/>
      <c r="T474" s="43"/>
      <c r="U474" s="43" t="str">
        <f>IFERROR(__xludf.DUMMYFUNCTION("""COMPUTED_VALUE"""),"Equify")</f>
        <v>Equify</v>
      </c>
      <c r="V474" s="43" t="str">
        <f>IFERROR(__xludf.DUMMYFUNCTION("""COMPUTED_VALUE"""),"Karachi - Institute of Business Management")</f>
        <v>Karachi - Institute of Business Management</v>
      </c>
      <c r="W474" s="43" t="str">
        <f>IFERROR(__xludf.DUMMYFUNCTION("""COMPUTED_VALUE"""),"2023-02-02T17:02:13Z")</f>
        <v>2023-02-02T17:02:13Z</v>
      </c>
      <c r="X474" s="43"/>
      <c r="Y474" s="43"/>
      <c r="Z474" s="43"/>
    </row>
    <row r="475" hidden="1">
      <c r="A475" s="43" t="str">
        <f>IFERROR(__xludf.DUMMYFUNCTION("""COMPUTED_VALUE"""),"5167577_1292535")</f>
        <v>5167577_1292535</v>
      </c>
      <c r="B475" s="43" t="str">
        <f>IFERROR(__xludf.DUMMYFUNCTION("""COMPUTED_VALUE"""),"Gulzat Bolat")</f>
        <v>Gulzat Bolat</v>
      </c>
      <c r="C475" s="43" t="str">
        <f>IFERROR(__xludf.DUMMYFUNCTION("""COMPUTED_VALUE"""),"completed")</f>
        <v>completed</v>
      </c>
      <c r="D475" s="43" t="str">
        <f>IFERROR(__xludf.DUMMYFUNCTION("""COMPUTED_VALUE"""),"No")</f>
        <v>No</v>
      </c>
      <c r="E475" s="43" t="str">
        <f>IFERROR(__xludf.DUMMYFUNCTION("""COMPUTED_VALUE"""),"p_82af10b7221cb718010c174bae165b74a3de3d05@inbound.aiesec.org")</f>
        <v>p_82af10b7221cb718010c174bae165b74a3de3d05@inbound.aiesec.org</v>
      </c>
      <c r="F475" s="43">
        <f>IFERROR(__xludf.DUMMYFUNCTION("""COMPUTED_VALUE"""),7.474981785E9)</f>
        <v>7474981785</v>
      </c>
      <c r="G475" s="43" t="str">
        <f>IFERROR(__xludf.DUMMYFUNCTION("""COMPUTED_VALUE"""),"Kazakhstan")</f>
        <v>Kazakhstan</v>
      </c>
      <c r="H475" s="43" t="str">
        <f>IFERROR(__xludf.DUMMYFUNCTION("""COMPUTED_VALUE"""),"ALMATY")</f>
        <v>ALMATY</v>
      </c>
      <c r="I475" s="43" t="str">
        <f>IFERROR(__xludf.DUMMYFUNCTION("""COMPUTED_VALUE"""),"Turkey")</f>
        <v>Turkey</v>
      </c>
      <c r="J475" s="43" t="str">
        <f>IFERROR(__xludf.DUMMYFUNCTION("""COMPUTED_VALUE"""),"ESKISEHIR")</f>
        <v>ESKISEHIR</v>
      </c>
      <c r="K475" s="44" t="str">
        <f>IFERROR(__xludf.DUMMYFUNCTION("""COMPUTED_VALUE"""),"https://expa.aiesec.org/opportunities/1292535")</f>
        <v>https://expa.aiesec.org/opportunities/1292535</v>
      </c>
      <c r="L475" s="43" t="str">
        <f>IFERROR(__xludf.DUMMYFUNCTION("""COMPUTED_VALUE"""),"GV")</f>
        <v>GV</v>
      </c>
      <c r="M475" s="43" t="str">
        <f>IFERROR(__xludf.DUMMYFUNCTION("""COMPUTED_VALUE"""),"short")</f>
        <v>short</v>
      </c>
      <c r="N475" s="45">
        <f>IFERROR(__xludf.DUMMYFUNCTION("""COMPUTED_VALUE"""),44981.0)</f>
        <v>44981</v>
      </c>
      <c r="O475" s="45">
        <f>IFERROR(__xludf.DUMMYFUNCTION("""COMPUTED_VALUE"""),45117.0)</f>
        <v>45117</v>
      </c>
      <c r="P475" s="45">
        <f>IFERROR(__xludf.DUMMYFUNCTION("""COMPUTED_VALUE"""),45159.0)</f>
        <v>45159</v>
      </c>
      <c r="Q475" s="45">
        <f>IFERROR(__xludf.DUMMYFUNCTION("""COMPUTED_VALUE"""),45118.0)</f>
        <v>45118</v>
      </c>
      <c r="R475" s="45">
        <f>IFERROR(__xludf.DUMMYFUNCTION("""COMPUTED_VALUE"""),45159.0)</f>
        <v>45159</v>
      </c>
      <c r="S475" s="43"/>
      <c r="T475" s="43"/>
      <c r="U475" s="43" t="str">
        <f>IFERROR(__xludf.DUMMYFUNCTION("""COMPUTED_VALUE"""),"Global Classroom")</f>
        <v>Global Classroom</v>
      </c>
      <c r="V475" s="43" t="str">
        <f>IFERROR(__xludf.DUMMYFUNCTION("""COMPUTED_VALUE"""),"Almaty")</f>
        <v>Almaty</v>
      </c>
      <c r="W475" s="43" t="str">
        <f>IFERROR(__xludf.DUMMYFUNCTION("""COMPUTED_VALUE"""),"2022-12-18T19:16:21Z")</f>
        <v>2022-12-18T19:16:21Z</v>
      </c>
      <c r="X475" s="43"/>
      <c r="Y475" s="43"/>
      <c r="Z475" s="43"/>
    </row>
    <row r="476" hidden="1">
      <c r="A476" s="43" t="str">
        <f>IFERROR(__xludf.DUMMYFUNCTION("""COMPUTED_VALUE"""),"5194151_1291929")</f>
        <v>5194151_1291929</v>
      </c>
      <c r="B476" s="43" t="str">
        <f>IFERROR(__xludf.DUMMYFUNCTION("""COMPUTED_VALUE"""),"Omar Amer")</f>
        <v>Omar Amer</v>
      </c>
      <c r="C476" s="43" t="str">
        <f>IFERROR(__xludf.DUMMYFUNCTION("""COMPUTED_VALUE"""),"completed")</f>
        <v>completed</v>
      </c>
      <c r="D476" s="43" t="str">
        <f>IFERROR(__xludf.DUMMYFUNCTION("""COMPUTED_VALUE"""),"No")</f>
        <v>No</v>
      </c>
      <c r="E476" s="43" t="str">
        <f>IFERROR(__xludf.DUMMYFUNCTION("""COMPUTED_VALUE"""),"p_3804e659baa1cee813ed6cdd0aad200f68151247@inbound.aiesec.org")</f>
        <v>p_3804e659baa1cee813ed6cdd0aad200f68151247@inbound.aiesec.org</v>
      </c>
      <c r="F476" s="43">
        <f>IFERROR(__xludf.DUMMYFUNCTION("""COMPUTED_VALUE"""),1.557666629E9)</f>
        <v>1557666629</v>
      </c>
      <c r="G476" s="43" t="str">
        <f>IFERROR(__xludf.DUMMYFUNCTION("""COMPUTED_VALUE"""),"Egypt")</f>
        <v>Egypt</v>
      </c>
      <c r="H476" s="43" t="str">
        <f>IFERROR(__xludf.DUMMYFUNCTION("""COMPUTED_VALUE"""),"Alexandria")</f>
        <v>Alexandria</v>
      </c>
      <c r="I476" s="43" t="str">
        <f>IFERROR(__xludf.DUMMYFUNCTION("""COMPUTED_VALUE"""),"Turkey")</f>
        <v>Turkey</v>
      </c>
      <c r="J476" s="43" t="str">
        <f>IFERROR(__xludf.DUMMYFUNCTION("""COMPUTED_VALUE"""),"TRABZON")</f>
        <v>TRABZON</v>
      </c>
      <c r="K476" s="44" t="str">
        <f>IFERROR(__xludf.DUMMYFUNCTION("""COMPUTED_VALUE"""),"https://expa.aiesec.org/opportunities/1291929")</f>
        <v>https://expa.aiesec.org/opportunities/1291929</v>
      </c>
      <c r="L476" s="43" t="str">
        <f>IFERROR(__xludf.DUMMYFUNCTION("""COMPUTED_VALUE"""),"GV")</f>
        <v>GV</v>
      </c>
      <c r="M476" s="43" t="str">
        <f>IFERROR(__xludf.DUMMYFUNCTION("""COMPUTED_VALUE"""),"short")</f>
        <v>short</v>
      </c>
      <c r="N476" s="45">
        <f>IFERROR(__xludf.DUMMYFUNCTION("""COMPUTED_VALUE"""),44984.0)</f>
        <v>44984</v>
      </c>
      <c r="O476" s="45">
        <f>IFERROR(__xludf.DUMMYFUNCTION("""COMPUTED_VALUE"""),45128.0)</f>
        <v>45128</v>
      </c>
      <c r="P476" s="45">
        <f>IFERROR(__xludf.DUMMYFUNCTION("""COMPUTED_VALUE"""),45170.0)</f>
        <v>45170</v>
      </c>
      <c r="Q476" s="45">
        <f>IFERROR(__xludf.DUMMYFUNCTION("""COMPUTED_VALUE"""),45135.0)</f>
        <v>45135</v>
      </c>
      <c r="R476" s="45">
        <f>IFERROR(__xludf.DUMMYFUNCTION("""COMPUTED_VALUE"""),45177.0)</f>
        <v>45177</v>
      </c>
      <c r="S476" s="43"/>
      <c r="T476" s="43"/>
      <c r="U476" s="43" t="str">
        <f>IFERROR(__xludf.DUMMYFUNCTION("""COMPUTED_VALUE"""),"Global Classroom")</f>
        <v>Global Classroom</v>
      </c>
      <c r="V476" s="43" t="str">
        <f>IFERROR(__xludf.DUMMYFUNCTION("""COMPUTED_VALUE"""),"Alexandria University")</f>
        <v>Alexandria University</v>
      </c>
      <c r="W476" s="43" t="str">
        <f>IFERROR(__xludf.DUMMYFUNCTION("""COMPUTED_VALUE"""),"2023-02-18T17:32:06Z")</f>
        <v>2023-02-18T17:32:06Z</v>
      </c>
      <c r="X476" s="43"/>
      <c r="Y476" s="43"/>
      <c r="Z476" s="43"/>
    </row>
    <row r="477" hidden="1">
      <c r="A477" s="43" t="str">
        <f>IFERROR(__xludf.DUMMYFUNCTION("""COMPUTED_VALUE"""),"3838998_1284831")</f>
        <v>3838998_1284831</v>
      </c>
      <c r="B477" s="43" t="str">
        <f>IFERROR(__xludf.DUMMYFUNCTION("""COMPUTED_VALUE"""),"Gehad Sami")</f>
        <v>Gehad Sami</v>
      </c>
      <c r="C477" s="43" t="str">
        <f>IFERROR(__xludf.DUMMYFUNCTION("""COMPUTED_VALUE"""),"approved")</f>
        <v>approved</v>
      </c>
      <c r="D477" s="43" t="str">
        <f>IFERROR(__xludf.DUMMYFUNCTION("""COMPUTED_VALUE"""),"No")</f>
        <v>No</v>
      </c>
      <c r="E477" s="43" t="str">
        <f>IFERROR(__xludf.DUMMYFUNCTION("""COMPUTED_VALUE"""),"p_c6a828f18deed0c92aadb97a40bde40dc853370d@inbound.aiesec.org")</f>
        <v>p_c6a828f18deed0c92aadb97a40bde40dc853370d@inbound.aiesec.org</v>
      </c>
      <c r="F477" s="43">
        <f>IFERROR(__xludf.DUMMYFUNCTION("""COMPUTED_VALUE"""),1.204063245E9)</f>
        <v>1204063245</v>
      </c>
      <c r="G477" s="43" t="str">
        <f>IFERROR(__xludf.DUMMYFUNCTION("""COMPUTED_VALUE"""),"Egypt")</f>
        <v>Egypt</v>
      </c>
      <c r="H477" s="43" t="str">
        <f>IFERROR(__xludf.DUMMYFUNCTION("""COMPUTED_VALUE"""),"Alexandria")</f>
        <v>Alexandria</v>
      </c>
      <c r="I477" s="43" t="str">
        <f>IFERROR(__xludf.DUMMYFUNCTION("""COMPUTED_VALUE"""),"Turkey")</f>
        <v>Turkey</v>
      </c>
      <c r="J477" s="43" t="str">
        <f>IFERROR(__xludf.DUMMYFUNCTION("""COMPUTED_VALUE"""),"TRABZON")</f>
        <v>TRABZON</v>
      </c>
      <c r="K477" s="44" t="str">
        <f>IFERROR(__xludf.DUMMYFUNCTION("""COMPUTED_VALUE"""),"https://expa.aiesec.org/opportunities/1284831")</f>
        <v>https://expa.aiesec.org/opportunities/1284831</v>
      </c>
      <c r="L477" s="43" t="str">
        <f>IFERROR(__xludf.DUMMYFUNCTION("""COMPUTED_VALUE"""),"GV")</f>
        <v>GV</v>
      </c>
      <c r="M477" s="43" t="str">
        <f>IFERROR(__xludf.DUMMYFUNCTION("""COMPUTED_VALUE"""),"short")</f>
        <v>short</v>
      </c>
      <c r="N477" s="45">
        <f>IFERROR(__xludf.DUMMYFUNCTION("""COMPUTED_VALUE"""),44984.0)</f>
        <v>44984</v>
      </c>
      <c r="O477" s="45">
        <f>IFERROR(__xludf.DUMMYFUNCTION("""COMPUTED_VALUE"""),45117.0)</f>
        <v>45117</v>
      </c>
      <c r="P477" s="45">
        <f>IFERROR(__xludf.DUMMYFUNCTION("""COMPUTED_VALUE"""),45159.0)</f>
        <v>45159</v>
      </c>
      <c r="Q477" s="45"/>
      <c r="R477" s="45"/>
      <c r="S477" s="43"/>
      <c r="T477" s="43"/>
      <c r="U477" s="43" t="str">
        <f>IFERROR(__xludf.DUMMYFUNCTION("""COMPUTED_VALUE"""),"Global Classroom")</f>
        <v>Global Classroom</v>
      </c>
      <c r="V477" s="43" t="str">
        <f>IFERROR(__xludf.DUMMYFUNCTION("""COMPUTED_VALUE"""),"-")</f>
        <v>-</v>
      </c>
      <c r="W477" s="43" t="str">
        <f>IFERROR(__xludf.DUMMYFUNCTION("""COMPUTED_VALUE"""),"2019-09-18T11:12:48Z")</f>
        <v>2019-09-18T11:12:48Z</v>
      </c>
      <c r="X477" s="43"/>
      <c r="Y477" s="43"/>
      <c r="Z477" s="43"/>
    </row>
    <row r="478" hidden="1">
      <c r="A478" s="43" t="str">
        <f>IFERROR(__xludf.DUMMYFUNCTION("""COMPUTED_VALUE"""),"5198932_1286920")</f>
        <v>5198932_1286920</v>
      </c>
      <c r="B478" s="43" t="str">
        <f>IFERROR(__xludf.DUMMYFUNCTION("""COMPUTED_VALUE"""),"nixshan paramasivam")</f>
        <v>nixshan paramasivam</v>
      </c>
      <c r="C478" s="43" t="str">
        <f>IFERROR(__xludf.DUMMYFUNCTION("""COMPUTED_VALUE"""),"completed")</f>
        <v>completed</v>
      </c>
      <c r="D478" s="43" t="str">
        <f>IFERROR(__xludf.DUMMYFUNCTION("""COMPUTED_VALUE"""),"No")</f>
        <v>No</v>
      </c>
      <c r="E478" s="43" t="str">
        <f>IFERROR(__xludf.DUMMYFUNCTION("""COMPUTED_VALUE"""),"p_5dcc89829fd7a427501a57fac204f9a331bc417b@inbound.aiesec.org")</f>
        <v>p_5dcc89829fd7a427501a57fac204f9a331bc417b@inbound.aiesec.org</v>
      </c>
      <c r="F478" s="43">
        <f>IFERROR(__xludf.DUMMYFUNCTION("""COMPUTED_VALUE"""),7.78192891E8)</f>
        <v>778192891</v>
      </c>
      <c r="G478" s="43" t="str">
        <f>IFERROR(__xludf.DUMMYFUNCTION("""COMPUTED_VALUE"""),"Sri Lanka")</f>
        <v>Sri Lanka</v>
      </c>
      <c r="H478" s="43" t="str">
        <f>IFERROR(__xludf.DUMMYFUNCTION("""COMPUTED_VALUE"""),"USJ")</f>
        <v>USJ</v>
      </c>
      <c r="I478" s="43" t="str">
        <f>IFERROR(__xludf.DUMMYFUNCTION("""COMPUTED_VALUE"""),"Turkey")</f>
        <v>Turkey</v>
      </c>
      <c r="J478" s="43" t="str">
        <f>IFERROR(__xludf.DUMMYFUNCTION("""COMPUTED_VALUE"""),"DENIZLI")</f>
        <v>DENIZLI</v>
      </c>
      <c r="K478" s="44" t="str">
        <f>IFERROR(__xludf.DUMMYFUNCTION("""COMPUTED_VALUE"""),"https://expa.aiesec.org/opportunities/1286920")</f>
        <v>https://expa.aiesec.org/opportunities/1286920</v>
      </c>
      <c r="L478" s="43" t="str">
        <f>IFERROR(__xludf.DUMMYFUNCTION("""COMPUTED_VALUE"""),"GV")</f>
        <v>GV</v>
      </c>
      <c r="M478" s="43" t="str">
        <f>IFERROR(__xludf.DUMMYFUNCTION("""COMPUTED_VALUE"""),"short")</f>
        <v>short</v>
      </c>
      <c r="N478" s="45">
        <f>IFERROR(__xludf.DUMMYFUNCTION("""COMPUTED_VALUE"""),44984.0)</f>
        <v>44984</v>
      </c>
      <c r="O478" s="45">
        <f>IFERROR(__xludf.DUMMYFUNCTION("""COMPUTED_VALUE"""),45033.0)</f>
        <v>45033</v>
      </c>
      <c r="P478" s="45">
        <f>IFERROR(__xludf.DUMMYFUNCTION("""COMPUTED_VALUE"""),45075.0)</f>
        <v>45075</v>
      </c>
      <c r="Q478" s="45">
        <f>IFERROR(__xludf.DUMMYFUNCTION("""COMPUTED_VALUE"""),45042.0)</f>
        <v>45042</v>
      </c>
      <c r="R478" s="45">
        <f>IFERROR(__xludf.DUMMYFUNCTION("""COMPUTED_VALUE"""),45083.0)</f>
        <v>45083</v>
      </c>
      <c r="S478" s="43"/>
      <c r="T478" s="43"/>
      <c r="U478" s="43" t="str">
        <f>IFERROR(__xludf.DUMMYFUNCTION("""COMPUTED_VALUE"""),"Global Classroom")</f>
        <v>Global Classroom</v>
      </c>
      <c r="V478" s="43" t="str">
        <f>IFERROR(__xludf.DUMMYFUNCTION("""COMPUTED_VALUE"""),"British College of Applied studies (BCAS)- Mount Campus")</f>
        <v>British College of Applied studies (BCAS)- Mount Campus</v>
      </c>
      <c r="W478" s="43" t="str">
        <f>IFERROR(__xludf.DUMMYFUNCTION("""COMPUTED_VALUE"""),"2023-02-25T12:52:44Z")</f>
        <v>2023-02-25T12:52:44Z</v>
      </c>
      <c r="X478" s="43"/>
      <c r="Y478" s="43"/>
      <c r="Z478" s="43"/>
    </row>
    <row r="479" hidden="1">
      <c r="A479" s="43" t="str">
        <f>IFERROR(__xludf.DUMMYFUNCTION("""COMPUTED_VALUE"""),"5197794_1292557")</f>
        <v>5197794_1292557</v>
      </c>
      <c r="B479" s="43" t="str">
        <f>IFERROR(__xludf.DUMMYFUNCTION("""COMPUTED_VALUE"""),"Aya Abozaid")</f>
        <v>Aya Abozaid</v>
      </c>
      <c r="C479" s="43" t="str">
        <f>IFERROR(__xludf.DUMMYFUNCTION("""COMPUTED_VALUE"""),"realization_broken")</f>
        <v>realization_broken</v>
      </c>
      <c r="D479" s="43" t="str">
        <f>IFERROR(__xludf.DUMMYFUNCTION("""COMPUTED_VALUE"""),"No")</f>
        <v>No</v>
      </c>
      <c r="E479" s="43" t="str">
        <f>IFERROR(__xludf.DUMMYFUNCTION("""COMPUTED_VALUE"""),"p_3cb90fcbe48b71dd00eaa7162133b50d94dd1787@inbound.aiesec.org")</f>
        <v>p_3cb90fcbe48b71dd00eaa7162133b50d94dd1787@inbound.aiesec.org</v>
      </c>
      <c r="F479" s="43"/>
      <c r="G479" s="43" t="str">
        <f>IFERROR(__xludf.DUMMYFUNCTION("""COMPUTED_VALUE"""),"Egypt")</f>
        <v>Egypt</v>
      </c>
      <c r="H479" s="43" t="str">
        <f>IFERROR(__xludf.DUMMYFUNCTION("""COMPUTED_VALUE"""),"MUST")</f>
        <v>MUST</v>
      </c>
      <c r="I479" s="43" t="str">
        <f>IFERROR(__xludf.DUMMYFUNCTION("""COMPUTED_VALUE"""),"Turkey")</f>
        <v>Turkey</v>
      </c>
      <c r="J479" s="43" t="str">
        <f>IFERROR(__xludf.DUMMYFUNCTION("""COMPUTED_VALUE"""),"DENIZLI")</f>
        <v>DENIZLI</v>
      </c>
      <c r="K479" s="44" t="str">
        <f>IFERROR(__xludf.DUMMYFUNCTION("""COMPUTED_VALUE"""),"https://expa.aiesec.org/opportunities/1292557")</f>
        <v>https://expa.aiesec.org/opportunities/1292557</v>
      </c>
      <c r="L479" s="43" t="str">
        <f>IFERROR(__xludf.DUMMYFUNCTION("""COMPUTED_VALUE"""),"GV")</f>
        <v>GV</v>
      </c>
      <c r="M479" s="43" t="str">
        <f>IFERROR(__xludf.DUMMYFUNCTION("""COMPUTED_VALUE"""),"short")</f>
        <v>short</v>
      </c>
      <c r="N479" s="45">
        <f>IFERROR(__xludf.DUMMYFUNCTION("""COMPUTED_VALUE"""),44984.0)</f>
        <v>44984</v>
      </c>
      <c r="O479" s="45">
        <f>IFERROR(__xludf.DUMMYFUNCTION("""COMPUTED_VALUE"""),45117.0)</f>
        <v>45117</v>
      </c>
      <c r="P479" s="45">
        <f>IFERROR(__xludf.DUMMYFUNCTION("""COMPUTED_VALUE"""),45159.0)</f>
        <v>45159</v>
      </c>
      <c r="Q479" s="45"/>
      <c r="R479" s="45"/>
      <c r="S479" s="43"/>
      <c r="T479" s="43"/>
      <c r="U479" s="43" t="str">
        <f>IFERROR(__xludf.DUMMYFUNCTION("""COMPUTED_VALUE"""),"Equify")</f>
        <v>Equify</v>
      </c>
      <c r="V479" s="43" t="str">
        <f>IFERROR(__xludf.DUMMYFUNCTION("""COMPUTED_VALUE"""),"-")</f>
        <v>-</v>
      </c>
      <c r="W479" s="43" t="str">
        <f>IFERROR(__xludf.DUMMYFUNCTION("""COMPUTED_VALUE"""),"2023-02-23T19:07:34Z")</f>
        <v>2023-02-23T19:07:34Z</v>
      </c>
      <c r="X479" s="43"/>
      <c r="Y479" s="43"/>
      <c r="Z479" s="43"/>
    </row>
    <row r="480" hidden="1">
      <c r="A480" s="43" t="str">
        <f>IFERROR(__xludf.DUMMYFUNCTION("""COMPUTED_VALUE"""),"5154638_1287662")</f>
        <v>5154638_1287662</v>
      </c>
      <c r="B480" s="43" t="str">
        <f>IFERROR(__xludf.DUMMYFUNCTION("""COMPUTED_VALUE"""),"Oussema Mefteh")</f>
        <v>Oussema Mefteh</v>
      </c>
      <c r="C480" s="43" t="str">
        <f>IFERROR(__xludf.DUMMYFUNCTION("""COMPUTED_VALUE"""),"completed")</f>
        <v>completed</v>
      </c>
      <c r="D480" s="43" t="str">
        <f>IFERROR(__xludf.DUMMYFUNCTION("""COMPUTED_VALUE"""),"No")</f>
        <v>No</v>
      </c>
      <c r="E480" s="43" t="str">
        <f>IFERROR(__xludf.DUMMYFUNCTION("""COMPUTED_VALUE"""),"p_a6459fa9af733d279ebd132a60da765065fb3e10@inbound.aiesec.org")</f>
        <v>p_a6459fa9af733d279ebd132a60da765065fb3e10@inbound.aiesec.org</v>
      </c>
      <c r="F480" s="43">
        <f>IFERROR(__xludf.DUMMYFUNCTION("""COMPUTED_VALUE"""),2.5875039E7)</f>
        <v>25875039</v>
      </c>
      <c r="G480" s="43" t="str">
        <f>IFERROR(__xludf.DUMMYFUNCTION("""COMPUTED_VALUE"""),"Tunisia")</f>
        <v>Tunisia</v>
      </c>
      <c r="H480" s="43" t="str">
        <f>IFERROR(__xludf.DUMMYFUNCTION("""COMPUTED_VALUE"""),"UNIVERSITY")</f>
        <v>UNIVERSITY</v>
      </c>
      <c r="I480" s="43" t="str">
        <f>IFERROR(__xludf.DUMMYFUNCTION("""COMPUTED_VALUE"""),"Turkey")</f>
        <v>Turkey</v>
      </c>
      <c r="J480" s="43" t="str">
        <f>IFERROR(__xludf.DUMMYFUNCTION("""COMPUTED_VALUE"""),"İZMİR")</f>
        <v>İZMİR</v>
      </c>
      <c r="K480" s="44" t="str">
        <f>IFERROR(__xludf.DUMMYFUNCTION("""COMPUTED_VALUE"""),"https://expa.aiesec.org/opportunities/1287662")</f>
        <v>https://expa.aiesec.org/opportunities/1287662</v>
      </c>
      <c r="L480" s="43" t="str">
        <f>IFERROR(__xludf.DUMMYFUNCTION("""COMPUTED_VALUE"""),"GV")</f>
        <v>GV</v>
      </c>
      <c r="M480" s="43" t="str">
        <f>IFERROR(__xludf.DUMMYFUNCTION("""COMPUTED_VALUE"""),"short")</f>
        <v>short</v>
      </c>
      <c r="N480" s="45">
        <f>IFERROR(__xludf.DUMMYFUNCTION("""COMPUTED_VALUE"""),44984.0)</f>
        <v>44984</v>
      </c>
      <c r="O480" s="45">
        <f>IFERROR(__xludf.DUMMYFUNCTION("""COMPUTED_VALUE"""),45145.0)</f>
        <v>45145</v>
      </c>
      <c r="P480" s="45">
        <f>IFERROR(__xludf.DUMMYFUNCTION("""COMPUTED_VALUE"""),45187.0)</f>
        <v>45187</v>
      </c>
      <c r="Q480" s="45">
        <f>IFERROR(__xludf.DUMMYFUNCTION("""COMPUTED_VALUE"""),45146.0)</f>
        <v>45146</v>
      </c>
      <c r="R480" s="45">
        <f>IFERROR(__xludf.DUMMYFUNCTION("""COMPUTED_VALUE"""),45188.0)</f>
        <v>45188</v>
      </c>
      <c r="S480" s="43"/>
      <c r="T480" s="43"/>
      <c r="U480" s="43" t="str">
        <f>IFERROR(__xludf.DUMMYFUNCTION("""COMPUTED_VALUE"""),"Heartbeat")</f>
        <v>Heartbeat</v>
      </c>
      <c r="V480" s="43" t="str">
        <f>IFERROR(__xludf.DUMMYFUNCTION("""COMPUTED_VALUE"""),"FST")</f>
        <v>FST</v>
      </c>
      <c r="W480" s="43" t="str">
        <f>IFERROR(__xludf.DUMMYFUNCTION("""COMPUTED_VALUE"""),"2022-11-17T11:18:28Z")</f>
        <v>2022-11-17T11:18:28Z</v>
      </c>
      <c r="X480" s="43"/>
      <c r="Y480" s="43"/>
      <c r="Z480" s="43"/>
    </row>
    <row r="481" hidden="1">
      <c r="A481" s="43" t="str">
        <f>IFERROR(__xludf.DUMMYFUNCTION("""COMPUTED_VALUE"""),"5198502_1288711")</f>
        <v>5198502_1288711</v>
      </c>
      <c r="B481" s="43" t="str">
        <f>IFERROR(__xludf.DUMMYFUNCTION("""COMPUTED_VALUE"""),"HABIBA EL OMARY")</f>
        <v>HABIBA EL OMARY</v>
      </c>
      <c r="C481" s="43" t="str">
        <f>IFERROR(__xludf.DUMMYFUNCTION("""COMPUTED_VALUE"""),"completed")</f>
        <v>completed</v>
      </c>
      <c r="D481" s="43" t="str">
        <f>IFERROR(__xludf.DUMMYFUNCTION("""COMPUTED_VALUE"""),"No")</f>
        <v>No</v>
      </c>
      <c r="E481" s="43" t="str">
        <f>IFERROR(__xludf.DUMMYFUNCTION("""COMPUTED_VALUE"""),"p_57093e6e74444cb144a1370098aded7978f17844@inbound.aiesec.org")</f>
        <v>p_57093e6e74444cb144a1370098aded7978f17844@inbound.aiesec.org</v>
      </c>
      <c r="F481" s="43">
        <f>IFERROR(__xludf.DUMMYFUNCTION("""COMPUTED_VALUE"""),6.63210043E8)</f>
        <v>663210043</v>
      </c>
      <c r="G481" s="43" t="str">
        <f>IFERROR(__xludf.DUMMYFUNCTION("""COMPUTED_VALUE"""),"Morocco")</f>
        <v>Morocco</v>
      </c>
      <c r="H481" s="43" t="str">
        <f>IFERROR(__xludf.DUMMYFUNCTION("""COMPUTED_VALUE"""),"Kenitra")</f>
        <v>Kenitra</v>
      </c>
      <c r="I481" s="43" t="str">
        <f>IFERROR(__xludf.DUMMYFUNCTION("""COMPUTED_VALUE"""),"Turkey")</f>
        <v>Turkey</v>
      </c>
      <c r="J481" s="43" t="str">
        <f>IFERROR(__xludf.DUMMYFUNCTION("""COMPUTED_VALUE"""),"TRABZON")</f>
        <v>TRABZON</v>
      </c>
      <c r="K481" s="44" t="str">
        <f>IFERROR(__xludf.DUMMYFUNCTION("""COMPUTED_VALUE"""),"https://expa.aiesec.org/opportunities/1288711")</f>
        <v>https://expa.aiesec.org/opportunities/1288711</v>
      </c>
      <c r="L481" s="43" t="str">
        <f>IFERROR(__xludf.DUMMYFUNCTION("""COMPUTED_VALUE"""),"GV")</f>
        <v>GV</v>
      </c>
      <c r="M481" s="43" t="str">
        <f>IFERROR(__xludf.DUMMYFUNCTION("""COMPUTED_VALUE"""),"short")</f>
        <v>short</v>
      </c>
      <c r="N481" s="45">
        <f>IFERROR(__xludf.DUMMYFUNCTION("""COMPUTED_VALUE"""),44985.0)</f>
        <v>44985</v>
      </c>
      <c r="O481" s="45">
        <f>IFERROR(__xludf.DUMMYFUNCTION("""COMPUTED_VALUE"""),45109.0)</f>
        <v>45109</v>
      </c>
      <c r="P481" s="45">
        <f>IFERROR(__xludf.DUMMYFUNCTION("""COMPUTED_VALUE"""),45151.0)</f>
        <v>45151</v>
      </c>
      <c r="Q481" s="45">
        <f>IFERROR(__xludf.DUMMYFUNCTION("""COMPUTED_VALUE"""),45108.0)</f>
        <v>45108</v>
      </c>
      <c r="R481" s="45">
        <f>IFERROR(__xludf.DUMMYFUNCTION("""COMPUTED_VALUE"""),45151.0)</f>
        <v>45151</v>
      </c>
      <c r="S481" s="43"/>
      <c r="T481" s="43"/>
      <c r="U481" s="43" t="str">
        <f>IFERROR(__xludf.DUMMYFUNCTION("""COMPUTED_VALUE"""),"Global Classroom")</f>
        <v>Global Classroom</v>
      </c>
      <c r="V481" s="43" t="str">
        <f>IFERROR(__xludf.DUMMYFUNCTION("""COMPUTED_VALUE"""),"Ecole Nationale De Commerce Et De Gestion Kenitra (ENCGK)")</f>
        <v>Ecole Nationale De Commerce Et De Gestion Kenitra (ENCGK)</v>
      </c>
      <c r="W481" s="43" t="str">
        <f>IFERROR(__xludf.DUMMYFUNCTION("""COMPUTED_VALUE"""),"2023-02-24T16:05:37Z")</f>
        <v>2023-02-24T16:05:37Z</v>
      </c>
      <c r="X481" s="43"/>
      <c r="Y481" s="43"/>
      <c r="Z481" s="43"/>
    </row>
    <row r="482">
      <c r="A482" s="43" t="str">
        <f>IFERROR(__xludf.DUMMYFUNCTION("""COMPUTED_VALUE"""),"5197118_1287854")</f>
        <v>5197118_1287854</v>
      </c>
      <c r="B482" s="43" t="str">
        <f>IFERROR(__xludf.DUMMYFUNCTION("""COMPUTED_VALUE"""),"mariam wael")</f>
        <v>mariam wael</v>
      </c>
      <c r="C482" s="43" t="str">
        <f>IFERROR(__xludf.DUMMYFUNCTION("""COMPUTED_VALUE"""),"approved")</f>
        <v>approved</v>
      </c>
      <c r="D482" s="43" t="str">
        <f>IFERROR(__xludf.DUMMYFUNCTION("""COMPUTED_VALUE"""),"No")</f>
        <v>No</v>
      </c>
      <c r="E482" s="43" t="str">
        <f>IFERROR(__xludf.DUMMYFUNCTION("""COMPUTED_VALUE"""),"p_16690a86084624e14b398a39e78fc13a1773d059@inbound.aiesec.org")</f>
        <v>p_16690a86084624e14b398a39e78fc13a1773d059@inbound.aiesec.org</v>
      </c>
      <c r="F482" s="43">
        <f>IFERROR(__xludf.DUMMYFUNCTION("""COMPUTED_VALUE"""),1.202639666E9)</f>
        <v>1202639666</v>
      </c>
      <c r="G482" s="43" t="str">
        <f>IFERROR(__xludf.DUMMYFUNCTION("""COMPUTED_VALUE"""),"Egypt")</f>
        <v>Egypt</v>
      </c>
      <c r="H482" s="43" t="str">
        <f>IFERROR(__xludf.DUMMYFUNCTION("""COMPUTED_VALUE"""),"AAST In CAIRO")</f>
        <v>AAST In CAIRO</v>
      </c>
      <c r="I482" s="43" t="str">
        <f>IFERROR(__xludf.DUMMYFUNCTION("""COMPUTED_VALUE"""),"Turkey")</f>
        <v>Turkey</v>
      </c>
      <c r="J482" s="43" t="str">
        <f>IFERROR(__xludf.DUMMYFUNCTION("""COMPUTED_VALUE"""),"İZMİR")</f>
        <v>İZMİR</v>
      </c>
      <c r="K482" s="44" t="str">
        <f>IFERROR(__xludf.DUMMYFUNCTION("""COMPUTED_VALUE"""),"https://expa.aiesec.org/opportunities/1287854")</f>
        <v>https://expa.aiesec.org/opportunities/1287854</v>
      </c>
      <c r="L482" s="43" t="str">
        <f>IFERROR(__xludf.DUMMYFUNCTION("""COMPUTED_VALUE"""),"GV")</f>
        <v>GV</v>
      </c>
      <c r="M482" s="43" t="str">
        <f>IFERROR(__xludf.DUMMYFUNCTION("""COMPUTED_VALUE"""),"short")</f>
        <v>short</v>
      </c>
      <c r="N482" s="45">
        <f>IFERROR(__xludf.DUMMYFUNCTION("""COMPUTED_VALUE"""),44985.0)</f>
        <v>44985</v>
      </c>
      <c r="O482" s="45">
        <f>IFERROR(__xludf.DUMMYFUNCTION("""COMPUTED_VALUE"""),45081.0)</f>
        <v>45081</v>
      </c>
      <c r="P482" s="45">
        <f>IFERROR(__xludf.DUMMYFUNCTION("""COMPUTED_VALUE"""),45123.0)</f>
        <v>45123</v>
      </c>
      <c r="Q482" s="45"/>
      <c r="R482" s="45"/>
      <c r="S482" s="43"/>
      <c r="T482" s="43"/>
      <c r="U482" s="43" t="str">
        <f>IFERROR(__xludf.DUMMYFUNCTION("""COMPUTED_VALUE"""),"Global Classroom")</f>
        <v>Global Classroom</v>
      </c>
      <c r="V482" s="43" t="str">
        <f>IFERROR(__xludf.DUMMYFUNCTION("""COMPUTED_VALUE"""),"AAST in Cairo Univeristy")</f>
        <v>AAST in Cairo Univeristy</v>
      </c>
      <c r="W482" s="43" t="str">
        <f>IFERROR(__xludf.DUMMYFUNCTION("""COMPUTED_VALUE"""),"2023-02-22T21:38:18Z")</f>
        <v>2023-02-22T21:38:18Z</v>
      </c>
      <c r="X482" s="43"/>
      <c r="Y482" s="43"/>
      <c r="Z482" s="43"/>
    </row>
    <row r="483" hidden="1">
      <c r="A483" s="43" t="str">
        <f>IFERROR(__xludf.DUMMYFUNCTION("""COMPUTED_VALUE"""),"4330234_1289536")</f>
        <v>4330234_1289536</v>
      </c>
      <c r="B483" s="43" t="str">
        <f>IFERROR(__xludf.DUMMYFUNCTION("""COMPUTED_VALUE"""),"Eduardo de Paula Pazini")</f>
        <v>Eduardo de Paula Pazini</v>
      </c>
      <c r="C483" s="43" t="str">
        <f>IFERROR(__xludf.DUMMYFUNCTION("""COMPUTED_VALUE"""),"approved")</f>
        <v>approved</v>
      </c>
      <c r="D483" s="43" t="str">
        <f>IFERROR(__xludf.DUMMYFUNCTION("""COMPUTED_VALUE"""),"No")</f>
        <v>No</v>
      </c>
      <c r="E483" s="43" t="str">
        <f>IFERROR(__xludf.DUMMYFUNCTION("""COMPUTED_VALUE"""),"p_37e8ea9e7e96dc82c8eb62623957d15a1cf5aa87@inbound.aiesec.org")</f>
        <v>p_37e8ea9e7e96dc82c8eb62623957d15a1cf5aa87@inbound.aiesec.org</v>
      </c>
      <c r="F483" s="43"/>
      <c r="G483" s="43" t="str">
        <f>IFERROR(__xludf.DUMMYFUNCTION("""COMPUTED_VALUE"""),"Brazil")</f>
        <v>Brazil</v>
      </c>
      <c r="H483" s="43" t="str">
        <f>IFERROR(__xludf.DUMMYFUNCTION("""COMPUTED_VALUE"""),"UBERLÂNDIA")</f>
        <v>UBERLÂNDIA</v>
      </c>
      <c r="I483" s="43" t="str">
        <f>IFERROR(__xludf.DUMMYFUNCTION("""COMPUTED_VALUE"""),"Turkey")</f>
        <v>Turkey</v>
      </c>
      <c r="J483" s="43" t="str">
        <f>IFERROR(__xludf.DUMMYFUNCTION("""COMPUTED_VALUE"""),"ISTANBUL")</f>
        <v>ISTANBUL</v>
      </c>
      <c r="K483" s="44" t="str">
        <f>IFERROR(__xludf.DUMMYFUNCTION("""COMPUTED_VALUE"""),"https://expa.aiesec.org/opportunities/1289536")</f>
        <v>https://expa.aiesec.org/opportunities/1289536</v>
      </c>
      <c r="L483" s="43" t="str">
        <f>IFERROR(__xludf.DUMMYFUNCTION("""COMPUTED_VALUE"""),"GV")</f>
        <v>GV</v>
      </c>
      <c r="M483" s="43" t="str">
        <f>IFERROR(__xludf.DUMMYFUNCTION("""COMPUTED_VALUE"""),"short")</f>
        <v>short</v>
      </c>
      <c r="N483" s="45">
        <f>IFERROR(__xludf.DUMMYFUNCTION("""COMPUTED_VALUE"""),44985.0)</f>
        <v>44985</v>
      </c>
      <c r="O483" s="45">
        <f>IFERROR(__xludf.DUMMYFUNCTION("""COMPUTED_VALUE"""),45271.0)</f>
        <v>45271</v>
      </c>
      <c r="P483" s="45">
        <f>IFERROR(__xludf.DUMMYFUNCTION("""COMPUTED_VALUE"""),45313.0)</f>
        <v>45313</v>
      </c>
      <c r="Q483" s="45"/>
      <c r="R483" s="45"/>
      <c r="S483" s="43"/>
      <c r="T483" s="43"/>
      <c r="U483" s="43" t="str">
        <f>IFERROR(__xludf.DUMMYFUNCTION("""COMPUTED_VALUE"""),"Global Classroom")</f>
        <v>Global Classroom</v>
      </c>
      <c r="V483" s="43" t="str">
        <f>IFERROR(__xludf.DUMMYFUNCTION("""COMPUTED_VALUE"""),"Uberlândia")</f>
        <v>Uberlândia</v>
      </c>
      <c r="W483" s="43" t="str">
        <f>IFERROR(__xludf.DUMMYFUNCTION("""COMPUTED_VALUE"""),"2020-07-17T18:41:38Z")</f>
        <v>2020-07-17T18:41:38Z</v>
      </c>
      <c r="X483" s="43"/>
      <c r="Y483" s="43"/>
      <c r="Z483" s="43"/>
    </row>
    <row r="484" hidden="1">
      <c r="A484" s="43" t="str">
        <f>IFERROR(__xludf.DUMMYFUNCTION("""COMPUTED_VALUE"""),"5103870_1280872")</f>
        <v>5103870_1280872</v>
      </c>
      <c r="B484" s="43" t="str">
        <f>IFERROR(__xludf.DUMMYFUNCTION("""COMPUTED_VALUE"""),"Ahmed Maknine")</f>
        <v>Ahmed Maknine</v>
      </c>
      <c r="C484" s="43" t="str">
        <f>IFERROR(__xludf.DUMMYFUNCTION("""COMPUTED_VALUE"""),"completed")</f>
        <v>completed</v>
      </c>
      <c r="D484" s="43" t="str">
        <f>IFERROR(__xludf.DUMMYFUNCTION("""COMPUTED_VALUE"""),"No")</f>
        <v>No</v>
      </c>
      <c r="E484" s="43" t="str">
        <f>IFERROR(__xludf.DUMMYFUNCTION("""COMPUTED_VALUE"""),"p_949a7d88c844c3c235f9ee0290fa08636a510b8e@inbound.aiesec.org")</f>
        <v>p_949a7d88c844c3c235f9ee0290fa08636a510b8e@inbound.aiesec.org</v>
      </c>
      <c r="F484" s="43"/>
      <c r="G484" s="43" t="str">
        <f>IFERROR(__xludf.DUMMYFUNCTION("""COMPUTED_VALUE"""),"Tunisia")</f>
        <v>Tunisia</v>
      </c>
      <c r="H484" s="43" t="str">
        <f>IFERROR(__xludf.DUMMYFUNCTION("""COMPUTED_VALUE"""),"BARDO")</f>
        <v>BARDO</v>
      </c>
      <c r="I484" s="43" t="str">
        <f>IFERROR(__xludf.DUMMYFUNCTION("""COMPUTED_VALUE"""),"Turkey")</f>
        <v>Turkey</v>
      </c>
      <c r="J484" s="43" t="str">
        <f>IFERROR(__xludf.DUMMYFUNCTION("""COMPUTED_VALUE"""),"KOCAELI")</f>
        <v>KOCAELI</v>
      </c>
      <c r="K484" s="44" t="str">
        <f>IFERROR(__xludf.DUMMYFUNCTION("""COMPUTED_VALUE"""),"https://expa.aiesec.org/opportunities/1280872")</f>
        <v>https://expa.aiesec.org/opportunities/1280872</v>
      </c>
      <c r="L484" s="43" t="str">
        <f>IFERROR(__xludf.DUMMYFUNCTION("""COMPUTED_VALUE"""),"GV")</f>
        <v>GV</v>
      </c>
      <c r="M484" s="43" t="str">
        <f>IFERROR(__xludf.DUMMYFUNCTION("""COMPUTED_VALUE"""),"short")</f>
        <v>short</v>
      </c>
      <c r="N484" s="45">
        <f>IFERROR(__xludf.DUMMYFUNCTION("""COMPUTED_VALUE"""),44985.0)</f>
        <v>44985</v>
      </c>
      <c r="O484" s="45">
        <f>IFERROR(__xludf.DUMMYFUNCTION("""COMPUTED_VALUE"""),44986.0)</f>
        <v>44986</v>
      </c>
      <c r="P484" s="45">
        <f>IFERROR(__xludf.DUMMYFUNCTION("""COMPUTED_VALUE"""),45028.0)</f>
        <v>45028</v>
      </c>
      <c r="Q484" s="45">
        <f>IFERROR(__xludf.DUMMYFUNCTION("""COMPUTED_VALUE"""),44990.0)</f>
        <v>44990</v>
      </c>
      <c r="R484" s="45">
        <f>IFERROR(__xludf.DUMMYFUNCTION("""COMPUTED_VALUE"""),45031.0)</f>
        <v>45031</v>
      </c>
      <c r="S484" s="43"/>
      <c r="T484" s="43"/>
      <c r="U484" s="43" t="str">
        <f>IFERROR(__xludf.DUMMYFUNCTION("""COMPUTED_VALUE"""),"Skill Up!")</f>
        <v>Skill Up!</v>
      </c>
      <c r="V484" s="43" t="str">
        <f>IFERROR(__xludf.DUMMYFUNCTION("""COMPUTED_VALUE"""),"-")</f>
        <v>-</v>
      </c>
      <c r="W484" s="43" t="str">
        <f>IFERROR(__xludf.DUMMYFUNCTION("""COMPUTED_VALUE"""),"2022-09-01T23:12:09Z")</f>
        <v>2022-09-01T23:12:09Z</v>
      </c>
      <c r="X484" s="43"/>
      <c r="Y484" s="43"/>
      <c r="Z484" s="43"/>
    </row>
    <row r="485" hidden="1">
      <c r="A485" s="43" t="str">
        <f>IFERROR(__xludf.DUMMYFUNCTION("""COMPUTED_VALUE"""),"1549285_1289536")</f>
        <v>1549285_1289536</v>
      </c>
      <c r="B485" s="43" t="str">
        <f>IFERROR(__xludf.DUMMYFUNCTION("""COMPUTED_VALUE"""),"Victória Aparecida Oliveira Cruvinel")</f>
        <v>Victória Aparecida Oliveira Cruvinel</v>
      </c>
      <c r="C485" s="43" t="str">
        <f>IFERROR(__xludf.DUMMYFUNCTION("""COMPUTED_VALUE"""),"approved")</f>
        <v>approved</v>
      </c>
      <c r="D485" s="43" t="str">
        <f>IFERROR(__xludf.DUMMYFUNCTION("""COMPUTED_VALUE"""),"No")</f>
        <v>No</v>
      </c>
      <c r="E485" s="43" t="str">
        <f>IFERROR(__xludf.DUMMYFUNCTION("""COMPUTED_VALUE"""),"p_9e3314eedf1127a7606adf2ae757582c03750f7b@inbound.aiesec.org")</f>
        <v>p_9e3314eedf1127a7606adf2ae757582c03750f7b@inbound.aiesec.org</v>
      </c>
      <c r="F485" s="43">
        <f>IFERROR(__xludf.DUMMYFUNCTION("""COMPUTED_VALUE"""),6.499608996E10)</f>
        <v>64996089960</v>
      </c>
      <c r="G485" s="43" t="str">
        <f>IFERROR(__xludf.DUMMYFUNCTION("""COMPUTED_VALUE"""),"Brazil")</f>
        <v>Brazil</v>
      </c>
      <c r="H485" s="43" t="str">
        <f>IFERROR(__xludf.DUMMYFUNCTION("""COMPUTED_VALUE"""),"UBERLÂNDIA")</f>
        <v>UBERLÂNDIA</v>
      </c>
      <c r="I485" s="43" t="str">
        <f>IFERROR(__xludf.DUMMYFUNCTION("""COMPUTED_VALUE"""),"Turkey")</f>
        <v>Turkey</v>
      </c>
      <c r="J485" s="43" t="str">
        <f>IFERROR(__xludf.DUMMYFUNCTION("""COMPUTED_VALUE"""),"ISTANBUL")</f>
        <v>ISTANBUL</v>
      </c>
      <c r="K485" s="44" t="str">
        <f>IFERROR(__xludf.DUMMYFUNCTION("""COMPUTED_VALUE"""),"https://expa.aiesec.org/opportunities/1289536")</f>
        <v>https://expa.aiesec.org/opportunities/1289536</v>
      </c>
      <c r="L485" s="43" t="str">
        <f>IFERROR(__xludf.DUMMYFUNCTION("""COMPUTED_VALUE"""),"GV")</f>
        <v>GV</v>
      </c>
      <c r="M485" s="43" t="str">
        <f>IFERROR(__xludf.DUMMYFUNCTION("""COMPUTED_VALUE"""),"short")</f>
        <v>short</v>
      </c>
      <c r="N485" s="45">
        <f>IFERROR(__xludf.DUMMYFUNCTION("""COMPUTED_VALUE"""),44985.0)</f>
        <v>44985</v>
      </c>
      <c r="O485" s="45">
        <f>IFERROR(__xludf.DUMMYFUNCTION("""COMPUTED_VALUE"""),45271.0)</f>
        <v>45271</v>
      </c>
      <c r="P485" s="45">
        <f>IFERROR(__xludf.DUMMYFUNCTION("""COMPUTED_VALUE"""),45313.0)</f>
        <v>45313</v>
      </c>
      <c r="Q485" s="45"/>
      <c r="R485" s="45"/>
      <c r="S485" s="43"/>
      <c r="T485" s="43"/>
      <c r="U485" s="43" t="str">
        <f>IFERROR(__xludf.DUMMYFUNCTION("""COMPUTED_VALUE"""),"Global Classroom")</f>
        <v>Global Classroom</v>
      </c>
      <c r="V485" s="43" t="str">
        <f>IFERROR(__xludf.DUMMYFUNCTION("""COMPUTED_VALUE"""),"-")</f>
        <v>-</v>
      </c>
      <c r="W485" s="43" t="str">
        <f>IFERROR(__xludf.DUMMYFUNCTION("""COMPUTED_VALUE"""),"2017-05-03T16:45:53Z")</f>
        <v>2017-05-03T16:45:53Z</v>
      </c>
      <c r="X485" s="43"/>
      <c r="Y485" s="43"/>
      <c r="Z485" s="43"/>
    </row>
    <row r="486" hidden="1">
      <c r="A486" s="43" t="str">
        <f>IFERROR(__xludf.DUMMYFUNCTION("""COMPUTED_VALUE"""),"5179895_1291427")</f>
        <v>5179895_1291427</v>
      </c>
      <c r="B486" s="43" t="str">
        <f>IFERROR(__xludf.DUMMYFUNCTION("""COMPUTED_VALUE"""),"nissa Ahmad")</f>
        <v>nissa Ahmad</v>
      </c>
      <c r="C486" s="43" t="str">
        <f>IFERROR(__xludf.DUMMYFUNCTION("""COMPUTED_VALUE"""),"realization_broken")</f>
        <v>realization_broken</v>
      </c>
      <c r="D486" s="43" t="str">
        <f>IFERROR(__xludf.DUMMYFUNCTION("""COMPUTED_VALUE"""),"No")</f>
        <v>No</v>
      </c>
      <c r="E486" s="43" t="str">
        <f>IFERROR(__xludf.DUMMYFUNCTION("""COMPUTED_VALUE"""),"p_2733f879b4f194c2d5e42b3900684d8294940ec1@inbound.aiesec.org")</f>
        <v>p_2733f879b4f194c2d5e42b3900684d8294940ec1@inbound.aiesec.org</v>
      </c>
      <c r="F486" s="43"/>
      <c r="G486" s="43" t="str">
        <f>IFERROR(__xludf.DUMMYFUNCTION("""COMPUTED_VALUE"""),"Pakistan")</f>
        <v>Pakistan</v>
      </c>
      <c r="H486" s="43" t="str">
        <f>IFERROR(__xludf.DUMMYFUNCTION("""COMPUTED_VALUE"""),"Islamabad")</f>
        <v>Islamabad</v>
      </c>
      <c r="I486" s="43" t="str">
        <f>IFERROR(__xludf.DUMMYFUNCTION("""COMPUTED_VALUE"""),"Turkey")</f>
        <v>Turkey</v>
      </c>
      <c r="J486" s="43" t="str">
        <f>IFERROR(__xludf.DUMMYFUNCTION("""COMPUTED_VALUE"""),"ISTANBUL WEST")</f>
        <v>ISTANBUL WEST</v>
      </c>
      <c r="K486" s="44" t="str">
        <f>IFERROR(__xludf.DUMMYFUNCTION("""COMPUTED_VALUE"""),"https://expa.aiesec.org/opportunities/1291427")</f>
        <v>https://expa.aiesec.org/opportunities/1291427</v>
      </c>
      <c r="L486" s="43" t="str">
        <f>IFERROR(__xludf.DUMMYFUNCTION("""COMPUTED_VALUE"""),"GV")</f>
        <v>GV</v>
      </c>
      <c r="M486" s="43" t="str">
        <f>IFERROR(__xludf.DUMMYFUNCTION("""COMPUTED_VALUE"""),"short")</f>
        <v>short</v>
      </c>
      <c r="N486" s="45">
        <f>IFERROR(__xludf.DUMMYFUNCTION("""COMPUTED_VALUE"""),44986.0)</f>
        <v>44986</v>
      </c>
      <c r="O486" s="45">
        <f>IFERROR(__xludf.DUMMYFUNCTION("""COMPUTED_VALUE"""),45061.0)</f>
        <v>45061</v>
      </c>
      <c r="P486" s="45">
        <f>IFERROR(__xludf.DUMMYFUNCTION("""COMPUTED_VALUE"""),45103.0)</f>
        <v>45103</v>
      </c>
      <c r="Q486" s="45"/>
      <c r="R486" s="45"/>
      <c r="S486" s="43"/>
      <c r="T486" s="43"/>
      <c r="U486" s="43" t="str">
        <f>IFERROR(__xludf.DUMMYFUNCTION("""COMPUTED_VALUE"""),"Fingerprint")</f>
        <v>Fingerprint</v>
      </c>
      <c r="V486" s="43" t="str">
        <f>IFERROR(__xludf.DUMMYFUNCTION("""COMPUTED_VALUE"""),"-")</f>
        <v>-</v>
      </c>
      <c r="W486" s="43" t="str">
        <f>IFERROR(__xludf.DUMMYFUNCTION("""COMPUTED_VALUE"""),"2023-01-24T01:56:06Z")</f>
        <v>2023-01-24T01:56:06Z</v>
      </c>
      <c r="X486" s="43"/>
      <c r="Y486" s="43"/>
      <c r="Z486" s="43"/>
    </row>
    <row r="487" hidden="1">
      <c r="A487" s="43" t="str">
        <f>IFERROR(__xludf.DUMMYFUNCTION("""COMPUTED_VALUE"""),"1102109_1287855")</f>
        <v>1102109_1287855</v>
      </c>
      <c r="B487" s="43" t="str">
        <f>IFERROR(__xludf.DUMMYFUNCTION("""COMPUTED_VALUE"""),"Mir Anosh Anosh Bashir")</f>
        <v>Mir Anosh Anosh Bashir</v>
      </c>
      <c r="C487" s="43" t="str">
        <f>IFERROR(__xludf.DUMMYFUNCTION("""COMPUTED_VALUE"""),"finished")</f>
        <v>finished</v>
      </c>
      <c r="D487" s="43" t="str">
        <f>IFERROR(__xludf.DUMMYFUNCTION("""COMPUTED_VALUE"""),"No")</f>
        <v>No</v>
      </c>
      <c r="E487" s="43" t="str">
        <f>IFERROR(__xludf.DUMMYFUNCTION("""COMPUTED_VALUE"""),"p_c87de5848b3f54156832bbc01b046829bb1b1d02@inbound.aiesec.org")</f>
        <v>p_c87de5848b3f54156832bbc01b046829bb1b1d02@inbound.aiesec.org</v>
      </c>
      <c r="F487" s="43">
        <f>IFERROR(__xludf.DUMMYFUNCTION("""COMPUTED_VALUE"""),3.323481098E9)</f>
        <v>3323481098</v>
      </c>
      <c r="G487" s="43" t="str">
        <f>IFERROR(__xludf.DUMMYFUNCTION("""COMPUTED_VALUE"""),"Pakistan")</f>
        <v>Pakistan</v>
      </c>
      <c r="H487" s="43" t="str">
        <f>IFERROR(__xludf.DUMMYFUNCTION("""COMPUTED_VALUE"""),"Karachi")</f>
        <v>Karachi</v>
      </c>
      <c r="I487" s="43" t="str">
        <f>IFERROR(__xludf.DUMMYFUNCTION("""COMPUTED_VALUE"""),"Turkey")</f>
        <v>Turkey</v>
      </c>
      <c r="J487" s="43" t="str">
        <f>IFERROR(__xludf.DUMMYFUNCTION("""COMPUTED_VALUE"""),"İZMİR")</f>
        <v>İZMİR</v>
      </c>
      <c r="K487" s="44" t="str">
        <f>IFERROR(__xludf.DUMMYFUNCTION("""COMPUTED_VALUE"""),"https://expa.aiesec.org/opportunities/1287855")</f>
        <v>https://expa.aiesec.org/opportunities/1287855</v>
      </c>
      <c r="L487" s="43" t="str">
        <f>IFERROR(__xludf.DUMMYFUNCTION("""COMPUTED_VALUE"""),"GV")</f>
        <v>GV</v>
      </c>
      <c r="M487" s="43" t="str">
        <f>IFERROR(__xludf.DUMMYFUNCTION("""COMPUTED_VALUE"""),"short")</f>
        <v>short</v>
      </c>
      <c r="N487" s="45">
        <f>IFERROR(__xludf.DUMMYFUNCTION("""COMPUTED_VALUE"""),44986.0)</f>
        <v>44986</v>
      </c>
      <c r="O487" s="45">
        <f>IFERROR(__xludf.DUMMYFUNCTION("""COMPUTED_VALUE"""),45081.0)</f>
        <v>45081</v>
      </c>
      <c r="P487" s="45">
        <f>IFERROR(__xludf.DUMMYFUNCTION("""COMPUTED_VALUE"""),45123.0)</f>
        <v>45123</v>
      </c>
      <c r="Q487" s="45">
        <f>IFERROR(__xludf.DUMMYFUNCTION("""COMPUTED_VALUE"""),45089.0)</f>
        <v>45089</v>
      </c>
      <c r="R487" s="45">
        <f>IFERROR(__xludf.DUMMYFUNCTION("""COMPUTED_VALUE"""),45131.0)</f>
        <v>45131</v>
      </c>
      <c r="S487" s="43"/>
      <c r="T487" s="43"/>
      <c r="U487" s="43" t="str">
        <f>IFERROR(__xludf.DUMMYFUNCTION("""COMPUTED_VALUE"""),"Global Classroom")</f>
        <v>Global Classroom</v>
      </c>
      <c r="V487" s="43" t="str">
        <f>IFERROR(__xludf.DUMMYFUNCTION("""COMPUTED_VALUE"""),"-")</f>
        <v>-</v>
      </c>
      <c r="W487" s="43" t="str">
        <f>IFERROR(__xludf.DUMMYFUNCTION("""COMPUTED_VALUE"""),"2016-08-05T10:35:45Z")</f>
        <v>2016-08-05T10:35:45Z</v>
      </c>
      <c r="X487" s="43"/>
      <c r="Y487" s="43"/>
      <c r="Z487" s="43"/>
    </row>
    <row r="488" hidden="1">
      <c r="A488" s="43" t="str">
        <f>IFERROR(__xludf.DUMMYFUNCTION("""COMPUTED_VALUE"""),"5195142_1286228")</f>
        <v>5195142_1286228</v>
      </c>
      <c r="B488" s="43" t="str">
        <f>IFERROR(__xludf.DUMMYFUNCTION("""COMPUTED_VALUE"""),"Sandra Ounais")</f>
        <v>Sandra Ounais</v>
      </c>
      <c r="C488" s="43" t="str">
        <f>IFERROR(__xludf.DUMMYFUNCTION("""COMPUTED_VALUE"""),"completed")</f>
        <v>completed</v>
      </c>
      <c r="D488" s="43" t="str">
        <f>IFERROR(__xludf.DUMMYFUNCTION("""COMPUTED_VALUE"""),"No")</f>
        <v>No</v>
      </c>
      <c r="E488" s="43" t="str">
        <f>IFERROR(__xludf.DUMMYFUNCTION("""COMPUTED_VALUE"""),"p_0d8ad6ab6e5b8831fed6419cd7b4e51a4655d0fb@inbound.aiesec.org")</f>
        <v>p_0d8ad6ab6e5b8831fed6419cd7b4e51a4655d0fb@inbound.aiesec.org</v>
      </c>
      <c r="F488" s="43">
        <f>IFERROR(__xludf.DUMMYFUNCTION("""COMPUTED_VALUE"""),5.4248248E7)</f>
        <v>54248248</v>
      </c>
      <c r="G488" s="43" t="str">
        <f>IFERROR(__xludf.DUMMYFUNCTION("""COMPUTED_VALUE"""),"Tunisia")</f>
        <v>Tunisia</v>
      </c>
      <c r="H488" s="43" t="str">
        <f>IFERROR(__xludf.DUMMYFUNCTION("""COMPUTED_VALUE"""),"UNIVERSITY")</f>
        <v>UNIVERSITY</v>
      </c>
      <c r="I488" s="43" t="str">
        <f>IFERROR(__xludf.DUMMYFUNCTION("""COMPUTED_VALUE"""),"Turkey")</f>
        <v>Turkey</v>
      </c>
      <c r="J488" s="43" t="str">
        <f>IFERROR(__xludf.DUMMYFUNCTION("""COMPUTED_VALUE"""),"ISTANBUL WEST")</f>
        <v>ISTANBUL WEST</v>
      </c>
      <c r="K488" s="44" t="str">
        <f>IFERROR(__xludf.DUMMYFUNCTION("""COMPUTED_VALUE"""),"https://expa.aiesec.org/opportunities/1286228")</f>
        <v>https://expa.aiesec.org/opportunities/1286228</v>
      </c>
      <c r="L488" s="43" t="str">
        <f>IFERROR(__xludf.DUMMYFUNCTION("""COMPUTED_VALUE"""),"GV")</f>
        <v>GV</v>
      </c>
      <c r="M488" s="43" t="str">
        <f>IFERROR(__xludf.DUMMYFUNCTION("""COMPUTED_VALUE"""),"short")</f>
        <v>short</v>
      </c>
      <c r="N488" s="45">
        <f>IFERROR(__xludf.DUMMYFUNCTION("""COMPUTED_VALUE"""),44986.0)</f>
        <v>44986</v>
      </c>
      <c r="O488" s="45">
        <f>IFERROR(__xludf.DUMMYFUNCTION("""COMPUTED_VALUE"""),45187.0)</f>
        <v>45187</v>
      </c>
      <c r="P488" s="45">
        <f>IFERROR(__xludf.DUMMYFUNCTION("""COMPUTED_VALUE"""),45229.0)</f>
        <v>45229</v>
      </c>
      <c r="Q488" s="45">
        <f>IFERROR(__xludf.DUMMYFUNCTION("""COMPUTED_VALUE"""),45188.0)</f>
        <v>45188</v>
      </c>
      <c r="R488" s="45">
        <f>IFERROR(__xludf.DUMMYFUNCTION("""COMPUTED_VALUE"""),45229.0)</f>
        <v>45229</v>
      </c>
      <c r="S488" s="43"/>
      <c r="T488" s="43"/>
      <c r="U488" s="43" t="str">
        <f>IFERROR(__xludf.DUMMYFUNCTION("""COMPUTED_VALUE"""),"Global Classroom")</f>
        <v>Global Classroom</v>
      </c>
      <c r="V488" s="43" t="str">
        <f>IFERROR(__xludf.DUMMYFUNCTION("""COMPUTED_VALUE"""),"Université Centrale Droit et Gestion")</f>
        <v>Université Centrale Droit et Gestion</v>
      </c>
      <c r="W488" s="43" t="str">
        <f>IFERROR(__xludf.DUMMYFUNCTION("""COMPUTED_VALUE"""),"2023-02-20T14:02:06Z")</f>
        <v>2023-02-20T14:02:06Z</v>
      </c>
      <c r="X488" s="43"/>
      <c r="Y488" s="43"/>
      <c r="Z488" s="43"/>
    </row>
    <row r="489" hidden="1">
      <c r="A489" s="43" t="str">
        <f>IFERROR(__xludf.DUMMYFUNCTION("""COMPUTED_VALUE"""),"5167052_1289536")</f>
        <v>5167052_1289536</v>
      </c>
      <c r="B489" s="43" t="str">
        <f>IFERROR(__xludf.DUMMYFUNCTION("""COMPUTED_VALUE"""),"Manal Agoumiss")</f>
        <v>Manal Agoumiss</v>
      </c>
      <c r="C489" s="43" t="str">
        <f>IFERROR(__xludf.DUMMYFUNCTION("""COMPUTED_VALUE"""),"completed")</f>
        <v>completed</v>
      </c>
      <c r="D489" s="43" t="str">
        <f>IFERROR(__xludf.DUMMYFUNCTION("""COMPUTED_VALUE"""),"No")</f>
        <v>No</v>
      </c>
      <c r="E489" s="43" t="str">
        <f>IFERROR(__xludf.DUMMYFUNCTION("""COMPUTED_VALUE"""),"p_2ee48c0e685df844cd6a371cedd8936d7b61cc10@inbound.aiesec.org")</f>
        <v>p_2ee48c0e685df844cd6a371cedd8936d7b61cc10@inbound.aiesec.org</v>
      </c>
      <c r="F489" s="43">
        <f>IFERROR(__xludf.DUMMYFUNCTION("""COMPUTED_VALUE"""),7.08075458E8)</f>
        <v>708075458</v>
      </c>
      <c r="G489" s="43" t="str">
        <f>IFERROR(__xludf.DUMMYFUNCTION("""COMPUTED_VALUE"""),"Morocco")</f>
        <v>Morocco</v>
      </c>
      <c r="H489" s="43" t="str">
        <f>IFERROR(__xludf.DUMMYFUNCTION("""COMPUTED_VALUE"""),"Tangier")</f>
        <v>Tangier</v>
      </c>
      <c r="I489" s="43" t="str">
        <f>IFERROR(__xludf.DUMMYFUNCTION("""COMPUTED_VALUE"""),"Turkey")</f>
        <v>Turkey</v>
      </c>
      <c r="J489" s="43" t="str">
        <f>IFERROR(__xludf.DUMMYFUNCTION("""COMPUTED_VALUE"""),"ISTANBUL")</f>
        <v>ISTANBUL</v>
      </c>
      <c r="K489" s="44" t="str">
        <f>IFERROR(__xludf.DUMMYFUNCTION("""COMPUTED_VALUE"""),"https://expa.aiesec.org/opportunities/1289536")</f>
        <v>https://expa.aiesec.org/opportunities/1289536</v>
      </c>
      <c r="L489" s="43" t="str">
        <f>IFERROR(__xludf.DUMMYFUNCTION("""COMPUTED_VALUE"""),"GV")</f>
        <v>GV</v>
      </c>
      <c r="M489" s="43" t="str">
        <f>IFERROR(__xludf.DUMMYFUNCTION("""COMPUTED_VALUE"""),"short")</f>
        <v>short</v>
      </c>
      <c r="N489" s="45">
        <f>IFERROR(__xludf.DUMMYFUNCTION("""COMPUTED_VALUE"""),44986.0)</f>
        <v>44986</v>
      </c>
      <c r="O489" s="45">
        <f>IFERROR(__xludf.DUMMYFUNCTION("""COMPUTED_VALUE"""),45090.0)</f>
        <v>45090</v>
      </c>
      <c r="P489" s="45">
        <f>IFERROR(__xludf.DUMMYFUNCTION("""COMPUTED_VALUE"""),45132.0)</f>
        <v>45132</v>
      </c>
      <c r="Q489" s="45">
        <f>IFERROR(__xludf.DUMMYFUNCTION("""COMPUTED_VALUE"""),45096.0)</f>
        <v>45096</v>
      </c>
      <c r="R489" s="45">
        <f>IFERROR(__xludf.DUMMYFUNCTION("""COMPUTED_VALUE"""),45136.0)</f>
        <v>45136</v>
      </c>
      <c r="S489" s="43"/>
      <c r="T489" s="43"/>
      <c r="U489" s="43" t="str">
        <f>IFERROR(__xludf.DUMMYFUNCTION("""COMPUTED_VALUE"""),"Global Classroom")</f>
        <v>Global Classroom</v>
      </c>
      <c r="V489" s="43" t="str">
        <f>IFERROR(__xludf.DUMMYFUNCTION("""COMPUTED_VALUE"""),"Other-TANGIER")</f>
        <v>Other-TANGIER</v>
      </c>
      <c r="W489" s="43" t="str">
        <f>IFERROR(__xludf.DUMMYFUNCTION("""COMPUTED_VALUE"""),"2022-12-16T21:41:31Z")</f>
        <v>2022-12-16T21:41:31Z</v>
      </c>
      <c r="X489" s="43"/>
      <c r="Y489" s="43"/>
      <c r="Z489" s="43"/>
    </row>
    <row r="490">
      <c r="A490" s="43" t="str">
        <f>IFERROR(__xludf.DUMMYFUNCTION("""COMPUTED_VALUE"""),"5201890_1288611")</f>
        <v>5201890_1288611</v>
      </c>
      <c r="B490" s="43" t="str">
        <f>IFERROR(__xludf.DUMMYFUNCTION("""COMPUTED_VALUE"""),"Zeineb Hakim")</f>
        <v>Zeineb Hakim</v>
      </c>
      <c r="C490" s="43" t="str">
        <f>IFERROR(__xludf.DUMMYFUNCTION("""COMPUTED_VALUE"""),"approved")</f>
        <v>approved</v>
      </c>
      <c r="D490" s="43" t="str">
        <f>IFERROR(__xludf.DUMMYFUNCTION("""COMPUTED_VALUE"""),"No")</f>
        <v>No</v>
      </c>
      <c r="E490" s="43" t="str">
        <f>IFERROR(__xludf.DUMMYFUNCTION("""COMPUTED_VALUE"""),"p_a0bbbad85e1809c82faa3ad5aa492f8d9941e3b8@inbound.aiesec.org")</f>
        <v>p_a0bbbad85e1809c82faa3ad5aa492f8d9941e3b8@inbound.aiesec.org</v>
      </c>
      <c r="F490" s="43">
        <f>IFERROR(__xludf.DUMMYFUNCTION("""COMPUTED_VALUE"""),2.021334E7)</f>
        <v>20213340</v>
      </c>
      <c r="G490" s="43" t="str">
        <f>IFERROR(__xludf.DUMMYFUNCTION("""COMPUTED_VALUE"""),"Tunisia")</f>
        <v>Tunisia</v>
      </c>
      <c r="H490" s="43" t="str">
        <f>IFERROR(__xludf.DUMMYFUNCTION("""COMPUTED_VALUE"""),"Carthage")</f>
        <v>Carthage</v>
      </c>
      <c r="I490" s="43" t="str">
        <f>IFERROR(__xludf.DUMMYFUNCTION("""COMPUTED_VALUE"""),"Turkey")</f>
        <v>Turkey</v>
      </c>
      <c r="J490" s="43" t="str">
        <f>IFERROR(__xludf.DUMMYFUNCTION("""COMPUTED_VALUE"""),"ISTANBUL")</f>
        <v>ISTANBUL</v>
      </c>
      <c r="K490" s="44" t="str">
        <f>IFERROR(__xludf.DUMMYFUNCTION("""COMPUTED_VALUE"""),"https://expa.aiesec.org/opportunities/1288611")</f>
        <v>https://expa.aiesec.org/opportunities/1288611</v>
      </c>
      <c r="L490" s="43" t="str">
        <f>IFERROR(__xludf.DUMMYFUNCTION("""COMPUTED_VALUE"""),"GV")</f>
        <v>GV</v>
      </c>
      <c r="M490" s="43" t="str">
        <f>IFERROR(__xludf.DUMMYFUNCTION("""COMPUTED_VALUE"""),"short")</f>
        <v>short</v>
      </c>
      <c r="N490" s="45">
        <f>IFERROR(__xludf.DUMMYFUNCTION("""COMPUTED_VALUE"""),44987.0)</f>
        <v>44987</v>
      </c>
      <c r="O490" s="45">
        <f>IFERROR(__xludf.DUMMYFUNCTION("""COMPUTED_VALUE"""),45054.0)</f>
        <v>45054</v>
      </c>
      <c r="P490" s="45">
        <f>IFERROR(__xludf.DUMMYFUNCTION("""COMPUTED_VALUE"""),45096.0)</f>
        <v>45096</v>
      </c>
      <c r="Q490" s="45"/>
      <c r="R490" s="45"/>
      <c r="S490" s="43"/>
      <c r="T490" s="43"/>
      <c r="U490" s="43" t="str">
        <f>IFERROR(__xludf.DUMMYFUNCTION("""COMPUTED_VALUE"""),"Global Classroom")</f>
        <v>Global Classroom</v>
      </c>
      <c r="V490" s="43" t="str">
        <f>IFERROR(__xludf.DUMMYFUNCTION("""COMPUTED_VALUE"""),"MSB")</f>
        <v>MSB</v>
      </c>
      <c r="W490" s="43" t="str">
        <f>IFERROR(__xludf.DUMMYFUNCTION("""COMPUTED_VALUE"""),"2023-02-28T21:55:26Z")</f>
        <v>2023-02-28T21:55:26Z</v>
      </c>
      <c r="X490" s="43"/>
      <c r="Y490" s="43"/>
      <c r="Z490" s="43"/>
    </row>
    <row r="491" hidden="1">
      <c r="A491" s="43" t="str">
        <f>IFERROR(__xludf.DUMMYFUNCTION("""COMPUTED_VALUE"""),"5142094_1292557")</f>
        <v>5142094_1292557</v>
      </c>
      <c r="B491" s="43" t="str">
        <f>IFERROR(__xludf.DUMMYFUNCTION("""COMPUTED_VALUE"""),"Farah Elsahily")</f>
        <v>Farah Elsahily</v>
      </c>
      <c r="C491" s="43" t="str">
        <f>IFERROR(__xludf.DUMMYFUNCTION("""COMPUTED_VALUE"""),"approved")</f>
        <v>approved</v>
      </c>
      <c r="D491" s="43" t="str">
        <f>IFERROR(__xludf.DUMMYFUNCTION("""COMPUTED_VALUE"""),"No")</f>
        <v>No</v>
      </c>
      <c r="E491" s="43" t="str">
        <f>IFERROR(__xludf.DUMMYFUNCTION("""COMPUTED_VALUE"""),"p_49b8102c7eb2ec763fc11aee976b56802e203d63@inbound.aiesec.org")</f>
        <v>p_49b8102c7eb2ec763fc11aee976b56802e203d63@inbound.aiesec.org</v>
      </c>
      <c r="F491" s="43">
        <f>IFERROR(__xludf.DUMMYFUNCTION("""COMPUTED_VALUE"""),1.156341894E9)</f>
        <v>1156341894</v>
      </c>
      <c r="G491" s="43" t="str">
        <f>IFERROR(__xludf.DUMMYFUNCTION("""COMPUTED_VALUE"""),"Egypt")</f>
        <v>Egypt</v>
      </c>
      <c r="H491" s="43" t="str">
        <f>IFERROR(__xludf.DUMMYFUNCTION("""COMPUTED_VALUE"""),"MUST")</f>
        <v>MUST</v>
      </c>
      <c r="I491" s="43" t="str">
        <f>IFERROR(__xludf.DUMMYFUNCTION("""COMPUTED_VALUE"""),"Turkey")</f>
        <v>Turkey</v>
      </c>
      <c r="J491" s="43" t="str">
        <f>IFERROR(__xludf.DUMMYFUNCTION("""COMPUTED_VALUE"""),"DENIZLI")</f>
        <v>DENIZLI</v>
      </c>
      <c r="K491" s="44" t="str">
        <f>IFERROR(__xludf.DUMMYFUNCTION("""COMPUTED_VALUE"""),"https://expa.aiesec.org/opportunities/1292557")</f>
        <v>https://expa.aiesec.org/opportunities/1292557</v>
      </c>
      <c r="L491" s="43" t="str">
        <f>IFERROR(__xludf.DUMMYFUNCTION("""COMPUTED_VALUE"""),"GV")</f>
        <v>GV</v>
      </c>
      <c r="M491" s="43" t="str">
        <f>IFERROR(__xludf.DUMMYFUNCTION("""COMPUTED_VALUE"""),"short")</f>
        <v>short</v>
      </c>
      <c r="N491" s="45">
        <f>IFERROR(__xludf.DUMMYFUNCTION("""COMPUTED_VALUE"""),44988.0)</f>
        <v>44988</v>
      </c>
      <c r="O491" s="45">
        <f>IFERROR(__xludf.DUMMYFUNCTION("""COMPUTED_VALUE"""),45117.0)</f>
        <v>45117</v>
      </c>
      <c r="P491" s="45">
        <f>IFERROR(__xludf.DUMMYFUNCTION("""COMPUTED_VALUE"""),45159.0)</f>
        <v>45159</v>
      </c>
      <c r="Q491" s="45"/>
      <c r="R491" s="45"/>
      <c r="S491" s="43"/>
      <c r="T491" s="43"/>
      <c r="U491" s="43" t="str">
        <f>IFERROR(__xludf.DUMMYFUNCTION("""COMPUTED_VALUE"""),"Equify")</f>
        <v>Equify</v>
      </c>
      <c r="V491" s="43" t="str">
        <f>IFERROR(__xludf.DUMMYFUNCTION("""COMPUTED_VALUE"""),"Nile University")</f>
        <v>Nile University</v>
      </c>
      <c r="W491" s="43" t="str">
        <f>IFERROR(__xludf.DUMMYFUNCTION("""COMPUTED_VALUE"""),"2022-10-28T12:23:27Z")</f>
        <v>2022-10-28T12:23:27Z</v>
      </c>
      <c r="X491" s="43"/>
      <c r="Y491" s="43"/>
      <c r="Z491" s="43"/>
    </row>
    <row r="492" hidden="1">
      <c r="A492" s="43" t="str">
        <f>IFERROR(__xludf.DUMMYFUNCTION("""COMPUTED_VALUE"""),"5205221_1292793")</f>
        <v>5205221_1292793</v>
      </c>
      <c r="B492" s="43" t="str">
        <f>IFERROR(__xludf.DUMMYFUNCTION("""COMPUTED_VALUE"""),"Mariem Louzi")</f>
        <v>Mariem Louzi</v>
      </c>
      <c r="C492" s="43" t="str">
        <f>IFERROR(__xludf.DUMMYFUNCTION("""COMPUTED_VALUE"""),"completed")</f>
        <v>completed</v>
      </c>
      <c r="D492" s="43" t="str">
        <f>IFERROR(__xludf.DUMMYFUNCTION("""COMPUTED_VALUE"""),"No")</f>
        <v>No</v>
      </c>
      <c r="E492" s="43" t="str">
        <f>IFERROR(__xludf.DUMMYFUNCTION("""COMPUTED_VALUE"""),"p_da87081dab2b1fb8fcab6b01e5df5b72b1d8f491@inbound.aiesec.org")</f>
        <v>p_da87081dab2b1fb8fcab6b01e5df5b72b1d8f491@inbound.aiesec.org</v>
      </c>
      <c r="F492" s="43">
        <f>IFERROR(__xludf.DUMMYFUNCTION("""COMPUTED_VALUE"""),9.5137026E7)</f>
        <v>95137026</v>
      </c>
      <c r="G492" s="43" t="str">
        <f>IFERROR(__xludf.DUMMYFUNCTION("""COMPUTED_VALUE"""),"Tunisia")</f>
        <v>Tunisia</v>
      </c>
      <c r="H492" s="43" t="str">
        <f>IFERROR(__xludf.DUMMYFUNCTION("""COMPUTED_VALUE"""),"HADRUMET")</f>
        <v>HADRUMET</v>
      </c>
      <c r="I492" s="43" t="str">
        <f>IFERROR(__xludf.DUMMYFUNCTION("""COMPUTED_VALUE"""),"Turkey")</f>
        <v>Turkey</v>
      </c>
      <c r="J492" s="43" t="str">
        <f>IFERROR(__xludf.DUMMYFUNCTION("""COMPUTED_VALUE"""),"ANTALYA")</f>
        <v>ANTALYA</v>
      </c>
      <c r="K492" s="44" t="str">
        <f>IFERROR(__xludf.DUMMYFUNCTION("""COMPUTED_VALUE"""),"https://expa.aiesec.org/opportunities/1292793")</f>
        <v>https://expa.aiesec.org/opportunities/1292793</v>
      </c>
      <c r="L492" s="43" t="str">
        <f>IFERROR(__xludf.DUMMYFUNCTION("""COMPUTED_VALUE"""),"GV")</f>
        <v>GV</v>
      </c>
      <c r="M492" s="43" t="str">
        <f>IFERROR(__xludf.DUMMYFUNCTION("""COMPUTED_VALUE"""),"short")</f>
        <v>short</v>
      </c>
      <c r="N492" s="45">
        <f>IFERROR(__xludf.DUMMYFUNCTION("""COMPUTED_VALUE"""),44989.0)</f>
        <v>44989</v>
      </c>
      <c r="O492" s="45">
        <f>IFERROR(__xludf.DUMMYFUNCTION("""COMPUTED_VALUE"""),45124.0)</f>
        <v>45124</v>
      </c>
      <c r="P492" s="45">
        <f>IFERROR(__xludf.DUMMYFUNCTION("""COMPUTED_VALUE"""),45166.0)</f>
        <v>45166</v>
      </c>
      <c r="Q492" s="45">
        <f>IFERROR(__xludf.DUMMYFUNCTION("""COMPUTED_VALUE"""),45124.0)</f>
        <v>45124</v>
      </c>
      <c r="R492" s="45">
        <f>IFERROR(__xludf.DUMMYFUNCTION("""COMPUTED_VALUE"""),45166.0)</f>
        <v>45166</v>
      </c>
      <c r="S492" s="43"/>
      <c r="T492" s="43"/>
      <c r="U492" s="43" t="str">
        <f>IFERROR(__xludf.DUMMYFUNCTION("""COMPUTED_VALUE"""),"Global Classroom")</f>
        <v>Global Classroom</v>
      </c>
      <c r="V492" s="43" t="str">
        <f>IFERROR(__xludf.DUMMYFUNCTION("""COMPUTED_VALUE"""),"Faculté de Droit et des Sciences  Politiques de Sousse")</f>
        <v>Faculté de Droit et des Sciences  Politiques de Sousse</v>
      </c>
      <c r="W492" s="43" t="str">
        <f>IFERROR(__xludf.DUMMYFUNCTION("""COMPUTED_VALUE"""),"2023-03-04T11:13:19Z")</f>
        <v>2023-03-04T11:13:19Z</v>
      </c>
      <c r="X492" s="43"/>
      <c r="Y492" s="43"/>
      <c r="Z492" s="43"/>
    </row>
    <row r="493">
      <c r="A493" s="43" t="str">
        <f>IFERROR(__xludf.DUMMYFUNCTION("""COMPUTED_VALUE"""),"5203781_1287854")</f>
        <v>5203781_1287854</v>
      </c>
      <c r="B493" s="43" t="str">
        <f>IFERROR(__xludf.DUMMYFUNCTION("""COMPUTED_VALUE"""),"enas Elsebaee")</f>
        <v>enas Elsebaee</v>
      </c>
      <c r="C493" s="43" t="str">
        <f>IFERROR(__xludf.DUMMYFUNCTION("""COMPUTED_VALUE"""),"approved")</f>
        <v>approved</v>
      </c>
      <c r="D493" s="43" t="str">
        <f>IFERROR(__xludf.DUMMYFUNCTION("""COMPUTED_VALUE"""),"No")</f>
        <v>No</v>
      </c>
      <c r="E493" s="43" t="str">
        <f>IFERROR(__xludf.DUMMYFUNCTION("""COMPUTED_VALUE"""),"p_66ad830ca647a2f54f495d05d8e6f75a8a2366cf@inbound.aiesec.org")</f>
        <v>p_66ad830ca647a2f54f495d05d8e6f75a8a2366cf@inbound.aiesec.org</v>
      </c>
      <c r="F493" s="43">
        <f>IFERROR(__xludf.DUMMYFUNCTION("""COMPUTED_VALUE"""),1.094996628E9)</f>
        <v>1094996628</v>
      </c>
      <c r="G493" s="43" t="str">
        <f>IFERROR(__xludf.DUMMYFUNCTION("""COMPUTED_VALUE"""),"Egypt")</f>
        <v>Egypt</v>
      </c>
      <c r="H493" s="43" t="str">
        <f>IFERROR(__xludf.DUMMYFUNCTION("""COMPUTED_VALUE"""),"AAST In CAIRO")</f>
        <v>AAST In CAIRO</v>
      </c>
      <c r="I493" s="43" t="str">
        <f>IFERROR(__xludf.DUMMYFUNCTION("""COMPUTED_VALUE"""),"Turkey")</f>
        <v>Turkey</v>
      </c>
      <c r="J493" s="43" t="str">
        <f>IFERROR(__xludf.DUMMYFUNCTION("""COMPUTED_VALUE"""),"İZMİR")</f>
        <v>İZMİR</v>
      </c>
      <c r="K493" s="44" t="str">
        <f>IFERROR(__xludf.DUMMYFUNCTION("""COMPUTED_VALUE"""),"https://expa.aiesec.org/opportunities/1287854")</f>
        <v>https://expa.aiesec.org/opportunities/1287854</v>
      </c>
      <c r="L493" s="43" t="str">
        <f>IFERROR(__xludf.DUMMYFUNCTION("""COMPUTED_VALUE"""),"GV")</f>
        <v>GV</v>
      </c>
      <c r="M493" s="43" t="str">
        <f>IFERROR(__xludf.DUMMYFUNCTION("""COMPUTED_VALUE"""),"short")</f>
        <v>short</v>
      </c>
      <c r="N493" s="45">
        <f>IFERROR(__xludf.DUMMYFUNCTION("""COMPUTED_VALUE"""),44989.0)</f>
        <v>44989</v>
      </c>
      <c r="O493" s="45">
        <f>IFERROR(__xludf.DUMMYFUNCTION("""COMPUTED_VALUE"""),45081.0)</f>
        <v>45081</v>
      </c>
      <c r="P493" s="45">
        <f>IFERROR(__xludf.DUMMYFUNCTION("""COMPUTED_VALUE"""),45123.0)</f>
        <v>45123</v>
      </c>
      <c r="Q493" s="45"/>
      <c r="R493" s="45"/>
      <c r="S493" s="43"/>
      <c r="T493" s="43"/>
      <c r="U493" s="43" t="str">
        <f>IFERROR(__xludf.DUMMYFUNCTION("""COMPUTED_VALUE"""),"Global Classroom")</f>
        <v>Global Classroom</v>
      </c>
      <c r="V493" s="43" t="str">
        <f>IFERROR(__xludf.DUMMYFUNCTION("""COMPUTED_VALUE"""),"AAST in Cairo Univeristy")</f>
        <v>AAST in Cairo Univeristy</v>
      </c>
      <c r="W493" s="43" t="str">
        <f>IFERROR(__xludf.DUMMYFUNCTION("""COMPUTED_VALUE"""),"2023-03-02T15:04:17Z")</f>
        <v>2023-03-02T15:04:17Z</v>
      </c>
      <c r="X493" s="43"/>
      <c r="Y493" s="43"/>
      <c r="Z493" s="43"/>
    </row>
    <row r="494" hidden="1">
      <c r="A494" s="43" t="str">
        <f>IFERROR(__xludf.DUMMYFUNCTION("""COMPUTED_VALUE"""),"5178736_1291427")</f>
        <v>5178736_1291427</v>
      </c>
      <c r="B494" s="43" t="str">
        <f>IFERROR(__xludf.DUMMYFUNCTION("""COMPUTED_VALUE"""),"Saadia Usman")</f>
        <v>Saadia Usman</v>
      </c>
      <c r="C494" s="43" t="str">
        <f>IFERROR(__xludf.DUMMYFUNCTION("""COMPUTED_VALUE"""),"completed")</f>
        <v>completed</v>
      </c>
      <c r="D494" s="43" t="str">
        <f>IFERROR(__xludf.DUMMYFUNCTION("""COMPUTED_VALUE"""),"No")</f>
        <v>No</v>
      </c>
      <c r="E494" s="43" t="str">
        <f>IFERROR(__xludf.DUMMYFUNCTION("""COMPUTED_VALUE"""),"p_e7aa33d11bfebc111c456e09ab2b8b37f4213bfd@inbound.aiesec.org")</f>
        <v>p_e7aa33d11bfebc111c456e09ab2b8b37f4213bfd@inbound.aiesec.org</v>
      </c>
      <c r="F494" s="43"/>
      <c r="G494" s="43" t="str">
        <f>IFERROR(__xludf.DUMMYFUNCTION("""COMPUTED_VALUE"""),"Pakistan")</f>
        <v>Pakistan</v>
      </c>
      <c r="H494" s="43" t="str">
        <f>IFERROR(__xludf.DUMMYFUNCTION("""COMPUTED_VALUE"""),"Islamabad")</f>
        <v>Islamabad</v>
      </c>
      <c r="I494" s="43" t="str">
        <f>IFERROR(__xludf.DUMMYFUNCTION("""COMPUTED_VALUE"""),"Turkey")</f>
        <v>Turkey</v>
      </c>
      <c r="J494" s="43" t="str">
        <f>IFERROR(__xludf.DUMMYFUNCTION("""COMPUTED_VALUE"""),"ISTANBUL WEST")</f>
        <v>ISTANBUL WEST</v>
      </c>
      <c r="K494" s="44" t="str">
        <f>IFERROR(__xludf.DUMMYFUNCTION("""COMPUTED_VALUE"""),"https://expa.aiesec.org/opportunities/1291427")</f>
        <v>https://expa.aiesec.org/opportunities/1291427</v>
      </c>
      <c r="L494" s="43" t="str">
        <f>IFERROR(__xludf.DUMMYFUNCTION("""COMPUTED_VALUE"""),"GV")</f>
        <v>GV</v>
      </c>
      <c r="M494" s="43" t="str">
        <f>IFERROR(__xludf.DUMMYFUNCTION("""COMPUTED_VALUE"""),"short")</f>
        <v>short</v>
      </c>
      <c r="N494" s="45">
        <f>IFERROR(__xludf.DUMMYFUNCTION("""COMPUTED_VALUE"""),44989.0)</f>
        <v>44989</v>
      </c>
      <c r="O494" s="45">
        <f>IFERROR(__xludf.DUMMYFUNCTION("""COMPUTED_VALUE"""),45012.0)</f>
        <v>45012</v>
      </c>
      <c r="P494" s="45">
        <f>IFERROR(__xludf.DUMMYFUNCTION("""COMPUTED_VALUE"""),45054.0)</f>
        <v>45054</v>
      </c>
      <c r="Q494" s="45">
        <f>IFERROR(__xludf.DUMMYFUNCTION("""COMPUTED_VALUE"""),45012.0)</f>
        <v>45012</v>
      </c>
      <c r="R494" s="45">
        <f>IFERROR(__xludf.DUMMYFUNCTION("""COMPUTED_VALUE"""),45054.0)</f>
        <v>45054</v>
      </c>
      <c r="S494" s="43"/>
      <c r="T494" s="43"/>
      <c r="U494" s="43" t="str">
        <f>IFERROR(__xludf.DUMMYFUNCTION("""COMPUTED_VALUE"""),"Fingerprint")</f>
        <v>Fingerprint</v>
      </c>
      <c r="V494" s="43" t="str">
        <f>IFERROR(__xludf.DUMMYFUNCTION("""COMPUTED_VALUE"""),"-")</f>
        <v>-</v>
      </c>
      <c r="W494" s="43" t="str">
        <f>IFERROR(__xludf.DUMMYFUNCTION("""COMPUTED_VALUE"""),"2023-01-20T13:00:15Z")</f>
        <v>2023-01-20T13:00:15Z</v>
      </c>
      <c r="X494" s="43"/>
      <c r="Y494" s="43"/>
      <c r="Z494" s="43"/>
    </row>
    <row r="495" hidden="1">
      <c r="A495" s="43" t="str">
        <f>IFERROR(__xludf.DUMMYFUNCTION("""COMPUTED_VALUE"""),"5191669_1289536")</f>
        <v>5191669_1289536</v>
      </c>
      <c r="B495" s="43" t="str">
        <f>IFERROR(__xludf.DUMMYFUNCTION("""COMPUTED_VALUE"""),"salma abdellaoui")</f>
        <v>salma abdellaoui</v>
      </c>
      <c r="C495" s="43" t="str">
        <f>IFERROR(__xludf.DUMMYFUNCTION("""COMPUTED_VALUE"""),"finished")</f>
        <v>finished</v>
      </c>
      <c r="D495" s="43" t="str">
        <f>IFERROR(__xludf.DUMMYFUNCTION("""COMPUTED_VALUE"""),"No")</f>
        <v>No</v>
      </c>
      <c r="E495" s="43" t="str">
        <f>IFERROR(__xludf.DUMMYFUNCTION("""COMPUTED_VALUE"""),"p_ef2ba2b101bfa896478707a4d214726f6be48f66@inbound.aiesec.org")</f>
        <v>p_ef2ba2b101bfa896478707a4d214726f6be48f66@inbound.aiesec.org</v>
      </c>
      <c r="F495" s="43"/>
      <c r="G495" s="43" t="str">
        <f>IFERROR(__xludf.DUMMYFUNCTION("""COMPUTED_VALUE"""),"Morocco")</f>
        <v>Morocco</v>
      </c>
      <c r="H495" s="43" t="str">
        <f>IFERROR(__xludf.DUMMYFUNCTION("""COMPUTED_VALUE"""),"Tangier")</f>
        <v>Tangier</v>
      </c>
      <c r="I495" s="43" t="str">
        <f>IFERROR(__xludf.DUMMYFUNCTION("""COMPUTED_VALUE"""),"Turkey")</f>
        <v>Turkey</v>
      </c>
      <c r="J495" s="43" t="str">
        <f>IFERROR(__xludf.DUMMYFUNCTION("""COMPUTED_VALUE"""),"ISTANBUL")</f>
        <v>ISTANBUL</v>
      </c>
      <c r="K495" s="44" t="str">
        <f>IFERROR(__xludf.DUMMYFUNCTION("""COMPUTED_VALUE"""),"https://expa.aiesec.org/opportunities/1289536")</f>
        <v>https://expa.aiesec.org/opportunities/1289536</v>
      </c>
      <c r="L495" s="43" t="str">
        <f>IFERROR(__xludf.DUMMYFUNCTION("""COMPUTED_VALUE"""),"GV")</f>
        <v>GV</v>
      </c>
      <c r="M495" s="43" t="str">
        <f>IFERROR(__xludf.DUMMYFUNCTION("""COMPUTED_VALUE"""),"short")</f>
        <v>short</v>
      </c>
      <c r="N495" s="45">
        <f>IFERROR(__xludf.DUMMYFUNCTION("""COMPUTED_VALUE"""),44989.0)</f>
        <v>44989</v>
      </c>
      <c r="O495" s="45">
        <f>IFERROR(__xludf.DUMMYFUNCTION("""COMPUTED_VALUE"""),45090.0)</f>
        <v>45090</v>
      </c>
      <c r="P495" s="45">
        <f>IFERROR(__xludf.DUMMYFUNCTION("""COMPUTED_VALUE"""),45132.0)</f>
        <v>45132</v>
      </c>
      <c r="Q495" s="45">
        <f>IFERROR(__xludf.DUMMYFUNCTION("""COMPUTED_VALUE"""),45096.0)</f>
        <v>45096</v>
      </c>
      <c r="R495" s="45">
        <f>IFERROR(__xludf.DUMMYFUNCTION("""COMPUTED_VALUE"""),45138.0)</f>
        <v>45138</v>
      </c>
      <c r="S495" s="43"/>
      <c r="T495" s="43"/>
      <c r="U495" s="43" t="str">
        <f>IFERROR(__xludf.DUMMYFUNCTION("""COMPUTED_VALUE"""),"Global Classroom")</f>
        <v>Global Classroom</v>
      </c>
      <c r="V495" s="43" t="str">
        <f>IFERROR(__xludf.DUMMYFUNCTION("""COMPUTED_VALUE"""),"-")</f>
        <v>-</v>
      </c>
      <c r="W495" s="43" t="str">
        <f>IFERROR(__xludf.DUMMYFUNCTION("""COMPUTED_VALUE"""),"2023-02-15T21:50:38Z")</f>
        <v>2023-02-15T21:50:38Z</v>
      </c>
      <c r="X495" s="43"/>
      <c r="Y495" s="43"/>
      <c r="Z495" s="43"/>
    </row>
    <row r="496" hidden="1">
      <c r="A496" s="43" t="str">
        <f>IFERROR(__xludf.DUMMYFUNCTION("""COMPUTED_VALUE"""),"5205772_1292535")</f>
        <v>5205772_1292535</v>
      </c>
      <c r="B496" s="43" t="str">
        <f>IFERROR(__xludf.DUMMYFUNCTION("""COMPUTED_VALUE"""),"Maheen Umar")</f>
        <v>Maheen Umar</v>
      </c>
      <c r="C496" s="43" t="str">
        <f>IFERROR(__xludf.DUMMYFUNCTION("""COMPUTED_VALUE"""),"approved")</f>
        <v>approved</v>
      </c>
      <c r="D496" s="43" t="str">
        <f>IFERROR(__xludf.DUMMYFUNCTION("""COMPUTED_VALUE"""),"No")</f>
        <v>No</v>
      </c>
      <c r="E496" s="43" t="str">
        <f>IFERROR(__xludf.DUMMYFUNCTION("""COMPUTED_VALUE"""),"p_094ea987849e3089dda1271949761dcfd10d9676@inbound.aiesec.org")</f>
        <v>p_094ea987849e3089dda1271949761dcfd10d9676@inbound.aiesec.org</v>
      </c>
      <c r="F496" s="43">
        <f>IFERROR(__xludf.DUMMYFUNCTION("""COMPUTED_VALUE"""),3.094457063E9)</f>
        <v>3094457063</v>
      </c>
      <c r="G496" s="43" t="str">
        <f>IFERROR(__xludf.DUMMYFUNCTION("""COMPUTED_VALUE"""),"Pakistan")</f>
        <v>Pakistan</v>
      </c>
      <c r="H496" s="43" t="str">
        <f>IFERROR(__xludf.DUMMYFUNCTION("""COMPUTED_VALUE"""),"Lahore")</f>
        <v>Lahore</v>
      </c>
      <c r="I496" s="43" t="str">
        <f>IFERROR(__xludf.DUMMYFUNCTION("""COMPUTED_VALUE"""),"Turkey")</f>
        <v>Turkey</v>
      </c>
      <c r="J496" s="43" t="str">
        <f>IFERROR(__xludf.DUMMYFUNCTION("""COMPUTED_VALUE"""),"ESKISEHIR")</f>
        <v>ESKISEHIR</v>
      </c>
      <c r="K496" s="44" t="str">
        <f>IFERROR(__xludf.DUMMYFUNCTION("""COMPUTED_VALUE"""),"https://expa.aiesec.org/opportunities/1292535")</f>
        <v>https://expa.aiesec.org/opportunities/1292535</v>
      </c>
      <c r="L496" s="43" t="str">
        <f>IFERROR(__xludf.DUMMYFUNCTION("""COMPUTED_VALUE"""),"GV")</f>
        <v>GV</v>
      </c>
      <c r="M496" s="43" t="str">
        <f>IFERROR(__xludf.DUMMYFUNCTION("""COMPUTED_VALUE"""),"short")</f>
        <v>short</v>
      </c>
      <c r="N496" s="45">
        <f>IFERROR(__xludf.DUMMYFUNCTION("""COMPUTED_VALUE"""),44990.0)</f>
        <v>44990</v>
      </c>
      <c r="O496" s="45">
        <f>IFERROR(__xludf.DUMMYFUNCTION("""COMPUTED_VALUE"""),45117.0)</f>
        <v>45117</v>
      </c>
      <c r="P496" s="45">
        <f>IFERROR(__xludf.DUMMYFUNCTION("""COMPUTED_VALUE"""),45159.0)</f>
        <v>45159</v>
      </c>
      <c r="Q496" s="45"/>
      <c r="R496" s="45"/>
      <c r="S496" s="43"/>
      <c r="T496" s="43"/>
      <c r="U496" s="43" t="str">
        <f>IFERROR(__xludf.DUMMYFUNCTION("""COMPUTED_VALUE"""),"Global Classroom")</f>
        <v>Global Classroom</v>
      </c>
      <c r="V496" s="43" t="str">
        <f>IFERROR(__xludf.DUMMYFUNCTION("""COMPUTED_VALUE"""),"Lahore - Lahore School for Economics")</f>
        <v>Lahore - Lahore School for Economics</v>
      </c>
      <c r="W496" s="43" t="str">
        <f>IFERROR(__xludf.DUMMYFUNCTION("""COMPUTED_VALUE"""),"2023-03-04T17:22:05Z")</f>
        <v>2023-03-04T17:22:05Z</v>
      </c>
      <c r="X496" s="43"/>
      <c r="Y496" s="43"/>
      <c r="Z496" s="43"/>
    </row>
    <row r="497" hidden="1">
      <c r="A497" s="43" t="str">
        <f>IFERROR(__xludf.DUMMYFUNCTION("""COMPUTED_VALUE"""),"5199588_1291929")</f>
        <v>5199588_1291929</v>
      </c>
      <c r="B497" s="43" t="str">
        <f>IFERROR(__xludf.DUMMYFUNCTION("""COMPUTED_VALUE"""),"Hoda Emad")</f>
        <v>Hoda Emad</v>
      </c>
      <c r="C497" s="43" t="str">
        <f>IFERROR(__xludf.DUMMYFUNCTION("""COMPUTED_VALUE"""),"completed")</f>
        <v>completed</v>
      </c>
      <c r="D497" s="43" t="str">
        <f>IFERROR(__xludf.DUMMYFUNCTION("""COMPUTED_VALUE"""),"No")</f>
        <v>No</v>
      </c>
      <c r="E497" s="43" t="str">
        <f>IFERROR(__xludf.DUMMYFUNCTION("""COMPUTED_VALUE"""),"p_417d358f9ce78735a04a208da295d88f61378e4a@inbound.aiesec.org")</f>
        <v>p_417d358f9ce78735a04a208da295d88f61378e4a@inbound.aiesec.org</v>
      </c>
      <c r="F497" s="43">
        <f>IFERROR(__xludf.DUMMYFUNCTION("""COMPUTED_VALUE"""),1.156008336E9)</f>
        <v>1156008336</v>
      </c>
      <c r="G497" s="43" t="str">
        <f>IFERROR(__xludf.DUMMYFUNCTION("""COMPUTED_VALUE"""),"Egypt")</f>
        <v>Egypt</v>
      </c>
      <c r="H497" s="43" t="str">
        <f>IFERROR(__xludf.DUMMYFUNCTION("""COMPUTED_VALUE"""),"Ain Shams University")</f>
        <v>Ain Shams University</v>
      </c>
      <c r="I497" s="43" t="str">
        <f>IFERROR(__xludf.DUMMYFUNCTION("""COMPUTED_VALUE"""),"Turkey")</f>
        <v>Turkey</v>
      </c>
      <c r="J497" s="43" t="str">
        <f>IFERROR(__xludf.DUMMYFUNCTION("""COMPUTED_VALUE"""),"TRABZON")</f>
        <v>TRABZON</v>
      </c>
      <c r="K497" s="44" t="str">
        <f>IFERROR(__xludf.DUMMYFUNCTION("""COMPUTED_VALUE"""),"https://expa.aiesec.org/opportunities/1291929")</f>
        <v>https://expa.aiesec.org/opportunities/1291929</v>
      </c>
      <c r="L497" s="43" t="str">
        <f>IFERROR(__xludf.DUMMYFUNCTION("""COMPUTED_VALUE"""),"GV")</f>
        <v>GV</v>
      </c>
      <c r="M497" s="43" t="str">
        <f>IFERROR(__xludf.DUMMYFUNCTION("""COMPUTED_VALUE"""),"short")</f>
        <v>short</v>
      </c>
      <c r="N497" s="45">
        <f>IFERROR(__xludf.DUMMYFUNCTION("""COMPUTED_VALUE"""),44990.0)</f>
        <v>44990</v>
      </c>
      <c r="O497" s="45">
        <f>IFERROR(__xludf.DUMMYFUNCTION("""COMPUTED_VALUE"""),45128.0)</f>
        <v>45128</v>
      </c>
      <c r="P497" s="45">
        <f>IFERROR(__xludf.DUMMYFUNCTION("""COMPUTED_VALUE"""),45170.0)</f>
        <v>45170</v>
      </c>
      <c r="Q497" s="45">
        <f>IFERROR(__xludf.DUMMYFUNCTION("""COMPUTED_VALUE"""),45135.0)</f>
        <v>45135</v>
      </c>
      <c r="R497" s="45">
        <f>IFERROR(__xludf.DUMMYFUNCTION("""COMPUTED_VALUE"""),45170.0)</f>
        <v>45170</v>
      </c>
      <c r="S497" s="43"/>
      <c r="T497" s="43"/>
      <c r="U497" s="43" t="str">
        <f>IFERROR(__xludf.DUMMYFUNCTION("""COMPUTED_VALUE"""),"Global Classroom")</f>
        <v>Global Classroom</v>
      </c>
      <c r="V497" s="43" t="str">
        <f>IFERROR(__xludf.DUMMYFUNCTION("""COMPUTED_VALUE"""),"Ain Shams University")</f>
        <v>Ain Shams University</v>
      </c>
      <c r="W497" s="43" t="str">
        <f>IFERROR(__xludf.DUMMYFUNCTION("""COMPUTED_VALUE"""),"2023-02-26T12:52:05Z")</f>
        <v>2023-02-26T12:52:05Z</v>
      </c>
      <c r="X497" s="43"/>
      <c r="Y497" s="43"/>
      <c r="Z497" s="43"/>
    </row>
    <row r="498" hidden="1">
      <c r="A498" s="43" t="str">
        <f>IFERROR(__xludf.DUMMYFUNCTION("""COMPUTED_VALUE"""),"5204944_1291929")</f>
        <v>5204944_1291929</v>
      </c>
      <c r="B498" s="43" t="str">
        <f>IFERROR(__xludf.DUMMYFUNCTION("""COMPUTED_VALUE"""),"Mayar Elsharnouby")</f>
        <v>Mayar Elsharnouby</v>
      </c>
      <c r="C498" s="43" t="str">
        <f>IFERROR(__xludf.DUMMYFUNCTION("""COMPUTED_VALUE"""),"finished")</f>
        <v>finished</v>
      </c>
      <c r="D498" s="43" t="str">
        <f>IFERROR(__xludf.DUMMYFUNCTION("""COMPUTED_VALUE"""),"No")</f>
        <v>No</v>
      </c>
      <c r="E498" s="43" t="str">
        <f>IFERROR(__xludf.DUMMYFUNCTION("""COMPUTED_VALUE"""),"p_3dc762af8305d3240c895c76ac7c3835ea9e4359@inbound.aiesec.org")</f>
        <v>p_3dc762af8305d3240c895c76ac7c3835ea9e4359@inbound.aiesec.org</v>
      </c>
      <c r="F498" s="43">
        <f>IFERROR(__xludf.DUMMYFUNCTION("""COMPUTED_VALUE"""),1.068263085E9)</f>
        <v>1068263085</v>
      </c>
      <c r="G498" s="43" t="str">
        <f>IFERROR(__xludf.DUMMYFUNCTION("""COMPUTED_VALUE"""),"Egypt")</f>
        <v>Egypt</v>
      </c>
      <c r="H498" s="43" t="str">
        <f>IFERROR(__xludf.DUMMYFUNCTION("""COMPUTED_VALUE"""),"AAST Alexandria")</f>
        <v>AAST Alexandria</v>
      </c>
      <c r="I498" s="43" t="str">
        <f>IFERROR(__xludf.DUMMYFUNCTION("""COMPUTED_VALUE"""),"Turkey")</f>
        <v>Turkey</v>
      </c>
      <c r="J498" s="43" t="str">
        <f>IFERROR(__xludf.DUMMYFUNCTION("""COMPUTED_VALUE"""),"TRABZON")</f>
        <v>TRABZON</v>
      </c>
      <c r="K498" s="44" t="str">
        <f>IFERROR(__xludf.DUMMYFUNCTION("""COMPUTED_VALUE"""),"https://expa.aiesec.org/opportunities/1291929")</f>
        <v>https://expa.aiesec.org/opportunities/1291929</v>
      </c>
      <c r="L498" s="43" t="str">
        <f>IFERROR(__xludf.DUMMYFUNCTION("""COMPUTED_VALUE"""),"GV")</f>
        <v>GV</v>
      </c>
      <c r="M498" s="43" t="str">
        <f>IFERROR(__xludf.DUMMYFUNCTION("""COMPUTED_VALUE"""),"short")</f>
        <v>short</v>
      </c>
      <c r="N498" s="45">
        <f>IFERROR(__xludf.DUMMYFUNCTION("""COMPUTED_VALUE"""),44990.0)</f>
        <v>44990</v>
      </c>
      <c r="O498" s="45">
        <f>IFERROR(__xludf.DUMMYFUNCTION("""COMPUTED_VALUE"""),45087.0)</f>
        <v>45087</v>
      </c>
      <c r="P498" s="45">
        <f>IFERROR(__xludf.DUMMYFUNCTION("""COMPUTED_VALUE"""),45129.0)</f>
        <v>45129</v>
      </c>
      <c r="Q498" s="45">
        <f>IFERROR(__xludf.DUMMYFUNCTION("""COMPUTED_VALUE"""),45089.0)</f>
        <v>45089</v>
      </c>
      <c r="R498" s="45">
        <f>IFERROR(__xludf.DUMMYFUNCTION("""COMPUTED_VALUE"""),45129.0)</f>
        <v>45129</v>
      </c>
      <c r="S498" s="43"/>
      <c r="T498" s="43"/>
      <c r="U498" s="43" t="str">
        <f>IFERROR(__xludf.DUMMYFUNCTION("""COMPUTED_VALUE"""),"Global Classroom")</f>
        <v>Global Classroom</v>
      </c>
      <c r="V498" s="43" t="str">
        <f>IFERROR(__xludf.DUMMYFUNCTION("""COMPUTED_VALUE"""),"Pharos University Alexandria")</f>
        <v>Pharos University Alexandria</v>
      </c>
      <c r="W498" s="43" t="str">
        <f>IFERROR(__xludf.DUMMYFUNCTION("""COMPUTED_VALUE"""),"2023-03-03T20:02:53Z")</f>
        <v>2023-03-03T20:02:53Z</v>
      </c>
      <c r="X498" s="43"/>
      <c r="Y498" s="43"/>
      <c r="Z498" s="43"/>
    </row>
    <row r="499" hidden="1">
      <c r="A499" s="43" t="str">
        <f>IFERROR(__xludf.DUMMYFUNCTION("""COMPUTED_VALUE"""),"4652779_1292535")</f>
        <v>4652779_1292535</v>
      </c>
      <c r="B499" s="43" t="str">
        <f>IFERROR(__xludf.DUMMYFUNCTION("""COMPUTED_VALUE"""),"Maimoona Ashar")</f>
        <v>Maimoona Ashar</v>
      </c>
      <c r="C499" s="43" t="str">
        <f>IFERROR(__xludf.DUMMYFUNCTION("""COMPUTED_VALUE"""),"approved")</f>
        <v>approved</v>
      </c>
      <c r="D499" s="43" t="str">
        <f>IFERROR(__xludf.DUMMYFUNCTION("""COMPUTED_VALUE"""),"No")</f>
        <v>No</v>
      </c>
      <c r="E499" s="43" t="str">
        <f>IFERROR(__xludf.DUMMYFUNCTION("""COMPUTED_VALUE"""),"p_779273875836a65267bf7fbb6e2dee5ec646524c@inbound.aiesec.org")</f>
        <v>p_779273875836a65267bf7fbb6e2dee5ec646524c@inbound.aiesec.org</v>
      </c>
      <c r="F499" s="43">
        <f>IFERROR(__xludf.DUMMYFUNCTION("""COMPUTED_VALUE"""),3.342263552E9)</f>
        <v>3342263552</v>
      </c>
      <c r="G499" s="43" t="str">
        <f>IFERROR(__xludf.DUMMYFUNCTION("""COMPUTED_VALUE"""),"Pakistan")</f>
        <v>Pakistan</v>
      </c>
      <c r="H499" s="43" t="str">
        <f>IFERROR(__xludf.DUMMYFUNCTION("""COMPUTED_VALUE"""),"Lahore")</f>
        <v>Lahore</v>
      </c>
      <c r="I499" s="43" t="str">
        <f>IFERROR(__xludf.DUMMYFUNCTION("""COMPUTED_VALUE"""),"Turkey")</f>
        <v>Turkey</v>
      </c>
      <c r="J499" s="43" t="str">
        <f>IFERROR(__xludf.DUMMYFUNCTION("""COMPUTED_VALUE"""),"ESKISEHIR")</f>
        <v>ESKISEHIR</v>
      </c>
      <c r="K499" s="44" t="str">
        <f>IFERROR(__xludf.DUMMYFUNCTION("""COMPUTED_VALUE"""),"https://expa.aiesec.org/opportunities/1292535")</f>
        <v>https://expa.aiesec.org/opportunities/1292535</v>
      </c>
      <c r="L499" s="43" t="str">
        <f>IFERROR(__xludf.DUMMYFUNCTION("""COMPUTED_VALUE"""),"GV")</f>
        <v>GV</v>
      </c>
      <c r="M499" s="43" t="str">
        <f>IFERROR(__xludf.DUMMYFUNCTION("""COMPUTED_VALUE"""),"short")</f>
        <v>short</v>
      </c>
      <c r="N499" s="45">
        <f>IFERROR(__xludf.DUMMYFUNCTION("""COMPUTED_VALUE"""),44990.0)</f>
        <v>44990</v>
      </c>
      <c r="O499" s="45">
        <f>IFERROR(__xludf.DUMMYFUNCTION("""COMPUTED_VALUE"""),45117.0)</f>
        <v>45117</v>
      </c>
      <c r="P499" s="45">
        <f>IFERROR(__xludf.DUMMYFUNCTION("""COMPUTED_VALUE"""),45159.0)</f>
        <v>45159</v>
      </c>
      <c r="Q499" s="45"/>
      <c r="R499" s="45"/>
      <c r="S499" s="43"/>
      <c r="T499" s="43"/>
      <c r="U499" s="43" t="str">
        <f>IFERROR(__xludf.DUMMYFUNCTION("""COMPUTED_VALUE"""),"Global Classroom")</f>
        <v>Global Classroom</v>
      </c>
      <c r="V499" s="43" t="str">
        <f>IFERROR(__xludf.DUMMYFUNCTION("""COMPUTED_VALUE"""),"Lahore - Lahore School for Economics")</f>
        <v>Lahore - Lahore School for Economics</v>
      </c>
      <c r="W499" s="43" t="str">
        <f>IFERROR(__xludf.DUMMYFUNCTION("""COMPUTED_VALUE"""),"2021-05-24T18:38:14Z")</f>
        <v>2021-05-24T18:38:14Z</v>
      </c>
      <c r="X499" s="43"/>
      <c r="Y499" s="43"/>
      <c r="Z499" s="43"/>
    </row>
    <row r="500" hidden="1">
      <c r="A500" s="43" t="str">
        <f>IFERROR(__xludf.DUMMYFUNCTION("""COMPUTED_VALUE"""),"5203125_1292535")</f>
        <v>5203125_1292535</v>
      </c>
      <c r="B500" s="43" t="str">
        <f>IFERROR(__xludf.DUMMYFUNCTION("""COMPUTED_VALUE"""),"shahroz shoaib")</f>
        <v>shahroz shoaib</v>
      </c>
      <c r="C500" s="43" t="str">
        <f>IFERROR(__xludf.DUMMYFUNCTION("""COMPUTED_VALUE"""),"completed")</f>
        <v>completed</v>
      </c>
      <c r="D500" s="43" t="str">
        <f>IFERROR(__xludf.DUMMYFUNCTION("""COMPUTED_VALUE"""),"No")</f>
        <v>No</v>
      </c>
      <c r="E500" s="43" t="str">
        <f>IFERROR(__xludf.DUMMYFUNCTION("""COMPUTED_VALUE"""),"p_30de6c74535a186a0db57f7cd26bddd3d9cf9ef0@inbound.aiesec.org")</f>
        <v>p_30de6c74535a186a0db57f7cd26bddd3d9cf9ef0@inbound.aiesec.org</v>
      </c>
      <c r="F500" s="43">
        <f>IFERROR(__xludf.DUMMYFUNCTION("""COMPUTED_VALUE"""),3.204029739E9)</f>
        <v>3204029739</v>
      </c>
      <c r="G500" s="43" t="str">
        <f>IFERROR(__xludf.DUMMYFUNCTION("""COMPUTED_VALUE"""),"Pakistan")</f>
        <v>Pakistan</v>
      </c>
      <c r="H500" s="43" t="str">
        <f>IFERROR(__xludf.DUMMYFUNCTION("""COMPUTED_VALUE"""),"Lahore - Pak")</f>
        <v>Lahore - Pak</v>
      </c>
      <c r="I500" s="43" t="str">
        <f>IFERROR(__xludf.DUMMYFUNCTION("""COMPUTED_VALUE"""),"Turkey")</f>
        <v>Turkey</v>
      </c>
      <c r="J500" s="43" t="str">
        <f>IFERROR(__xludf.DUMMYFUNCTION("""COMPUTED_VALUE"""),"ESKISEHIR")</f>
        <v>ESKISEHIR</v>
      </c>
      <c r="K500" s="44" t="str">
        <f>IFERROR(__xludf.DUMMYFUNCTION("""COMPUTED_VALUE"""),"https://expa.aiesec.org/opportunities/1292535")</f>
        <v>https://expa.aiesec.org/opportunities/1292535</v>
      </c>
      <c r="L500" s="43" t="str">
        <f>IFERROR(__xludf.DUMMYFUNCTION("""COMPUTED_VALUE"""),"GV")</f>
        <v>GV</v>
      </c>
      <c r="M500" s="43" t="str">
        <f>IFERROR(__xludf.DUMMYFUNCTION("""COMPUTED_VALUE"""),"short")</f>
        <v>short</v>
      </c>
      <c r="N500" s="45">
        <f>IFERROR(__xludf.DUMMYFUNCTION("""COMPUTED_VALUE"""),44990.0)</f>
        <v>44990</v>
      </c>
      <c r="O500" s="45">
        <f>IFERROR(__xludf.DUMMYFUNCTION("""COMPUTED_VALUE"""),45117.0)</f>
        <v>45117</v>
      </c>
      <c r="P500" s="45">
        <f>IFERROR(__xludf.DUMMYFUNCTION("""COMPUTED_VALUE"""),45159.0)</f>
        <v>45159</v>
      </c>
      <c r="Q500" s="45">
        <f>IFERROR(__xludf.DUMMYFUNCTION("""COMPUTED_VALUE"""),45118.0)</f>
        <v>45118</v>
      </c>
      <c r="R500" s="45">
        <f>IFERROR(__xludf.DUMMYFUNCTION("""COMPUTED_VALUE"""),45159.0)</f>
        <v>45159</v>
      </c>
      <c r="S500" s="43"/>
      <c r="T500" s="43"/>
      <c r="U500" s="43" t="str">
        <f>IFERROR(__xludf.DUMMYFUNCTION("""COMPUTED_VALUE"""),"Global Classroom")</f>
        <v>Global Classroom</v>
      </c>
      <c r="V500" s="43" t="str">
        <f>IFERROR(__xludf.DUMMYFUNCTION("""COMPUTED_VALUE"""),"Lahore - Lahore School for Economics")</f>
        <v>Lahore - Lahore School for Economics</v>
      </c>
      <c r="W500" s="43" t="str">
        <f>IFERROR(__xludf.DUMMYFUNCTION("""COMPUTED_VALUE"""),"2023-03-02T04:31:43Z")</f>
        <v>2023-03-02T04:31:43Z</v>
      </c>
      <c r="X500" s="43"/>
      <c r="Y500" s="43"/>
      <c r="Z500" s="43"/>
    </row>
    <row r="501" hidden="1">
      <c r="A501" s="43" t="str">
        <f>IFERROR(__xludf.DUMMYFUNCTION("""COMPUTED_VALUE"""),"5181691_1291929")</f>
        <v>5181691_1291929</v>
      </c>
      <c r="B501" s="43" t="str">
        <f>IFERROR(__xludf.DUMMYFUNCTION("""COMPUTED_VALUE"""),"Nada Ashraf")</f>
        <v>Nada Ashraf</v>
      </c>
      <c r="C501" s="43" t="str">
        <f>IFERROR(__xludf.DUMMYFUNCTION("""COMPUTED_VALUE"""),"realization_broken")</f>
        <v>realization_broken</v>
      </c>
      <c r="D501" s="43" t="str">
        <f>IFERROR(__xludf.DUMMYFUNCTION("""COMPUTED_VALUE"""),"No")</f>
        <v>No</v>
      </c>
      <c r="E501" s="43" t="str">
        <f>IFERROR(__xludf.DUMMYFUNCTION("""COMPUTED_VALUE"""),"p_e345399bf03cb5ebe1f5b0c7d8c3919e5ff37905@inbound.aiesec.org")</f>
        <v>p_e345399bf03cb5ebe1f5b0c7d8c3919e5ff37905@inbound.aiesec.org</v>
      </c>
      <c r="F501" s="43">
        <f>IFERROR(__xludf.DUMMYFUNCTION("""COMPUTED_VALUE"""),1.121168878E9)</f>
        <v>1121168878</v>
      </c>
      <c r="G501" s="43" t="str">
        <f>IFERROR(__xludf.DUMMYFUNCTION("""COMPUTED_VALUE"""),"Egypt")</f>
        <v>Egypt</v>
      </c>
      <c r="H501" s="43" t="str">
        <f>IFERROR(__xludf.DUMMYFUNCTION("""COMPUTED_VALUE"""),"Mansoura")</f>
        <v>Mansoura</v>
      </c>
      <c r="I501" s="43" t="str">
        <f>IFERROR(__xludf.DUMMYFUNCTION("""COMPUTED_VALUE"""),"Turkey")</f>
        <v>Turkey</v>
      </c>
      <c r="J501" s="43" t="str">
        <f>IFERROR(__xludf.DUMMYFUNCTION("""COMPUTED_VALUE"""),"TRABZON")</f>
        <v>TRABZON</v>
      </c>
      <c r="K501" s="44" t="str">
        <f>IFERROR(__xludf.DUMMYFUNCTION("""COMPUTED_VALUE"""),"https://expa.aiesec.org/opportunities/1291929")</f>
        <v>https://expa.aiesec.org/opportunities/1291929</v>
      </c>
      <c r="L501" s="43" t="str">
        <f>IFERROR(__xludf.DUMMYFUNCTION("""COMPUTED_VALUE"""),"GV")</f>
        <v>GV</v>
      </c>
      <c r="M501" s="43" t="str">
        <f>IFERROR(__xludf.DUMMYFUNCTION("""COMPUTED_VALUE"""),"short")</f>
        <v>short</v>
      </c>
      <c r="N501" s="45">
        <f>IFERROR(__xludf.DUMMYFUNCTION("""COMPUTED_VALUE"""),44991.0)</f>
        <v>44991</v>
      </c>
      <c r="O501" s="45">
        <f>IFERROR(__xludf.DUMMYFUNCTION("""COMPUTED_VALUE"""),45128.0)</f>
        <v>45128</v>
      </c>
      <c r="P501" s="45">
        <f>IFERROR(__xludf.DUMMYFUNCTION("""COMPUTED_VALUE"""),45170.0)</f>
        <v>45170</v>
      </c>
      <c r="Q501" s="45"/>
      <c r="R501" s="45"/>
      <c r="S501" s="43"/>
      <c r="T501" s="43"/>
      <c r="U501" s="43" t="str">
        <f>IFERROR(__xludf.DUMMYFUNCTION("""COMPUTED_VALUE"""),"Global Classroom")</f>
        <v>Global Classroom</v>
      </c>
      <c r="V501" s="43" t="str">
        <f>IFERROR(__xludf.DUMMYFUNCTION("""COMPUTED_VALUE"""),"Mansoura")</f>
        <v>Mansoura</v>
      </c>
      <c r="W501" s="43" t="str">
        <f>IFERROR(__xludf.DUMMYFUNCTION("""COMPUTED_VALUE"""),"2023-01-28T16:35:41Z")</f>
        <v>2023-01-28T16:35:41Z</v>
      </c>
      <c r="X501" s="43"/>
      <c r="Y501" s="43"/>
      <c r="Z501" s="43"/>
    </row>
    <row r="502" hidden="1">
      <c r="A502" s="43" t="str">
        <f>IFERROR(__xludf.DUMMYFUNCTION("""COMPUTED_VALUE"""),"5176860_1291929")</f>
        <v>5176860_1291929</v>
      </c>
      <c r="B502" s="43" t="str">
        <f>IFERROR(__xludf.DUMMYFUNCTION("""COMPUTED_VALUE"""),"Shrook Mohamed")</f>
        <v>Shrook Mohamed</v>
      </c>
      <c r="C502" s="43" t="str">
        <f>IFERROR(__xludf.DUMMYFUNCTION("""COMPUTED_VALUE"""),"realization_broken")</f>
        <v>realization_broken</v>
      </c>
      <c r="D502" s="43" t="str">
        <f>IFERROR(__xludf.DUMMYFUNCTION("""COMPUTED_VALUE"""),"No")</f>
        <v>No</v>
      </c>
      <c r="E502" s="43" t="str">
        <f>IFERROR(__xludf.DUMMYFUNCTION("""COMPUTED_VALUE"""),"p_cba179d4f81e3a925e58f2c6e3a010f1b3fd8acc@inbound.aiesec.org")</f>
        <v>p_cba179d4f81e3a925e58f2c6e3a010f1b3fd8acc@inbound.aiesec.org</v>
      </c>
      <c r="F502" s="43">
        <f>IFERROR(__xludf.DUMMYFUNCTION("""COMPUTED_VALUE"""),1.013131871E9)</f>
        <v>1013131871</v>
      </c>
      <c r="G502" s="43" t="str">
        <f>IFERROR(__xludf.DUMMYFUNCTION("""COMPUTED_VALUE"""),"Egypt")</f>
        <v>Egypt</v>
      </c>
      <c r="H502" s="43" t="str">
        <f>IFERROR(__xludf.DUMMYFUNCTION("""COMPUTED_VALUE"""),"Mansoura")</f>
        <v>Mansoura</v>
      </c>
      <c r="I502" s="43" t="str">
        <f>IFERROR(__xludf.DUMMYFUNCTION("""COMPUTED_VALUE"""),"Turkey")</f>
        <v>Turkey</v>
      </c>
      <c r="J502" s="43" t="str">
        <f>IFERROR(__xludf.DUMMYFUNCTION("""COMPUTED_VALUE"""),"TRABZON")</f>
        <v>TRABZON</v>
      </c>
      <c r="K502" s="44" t="str">
        <f>IFERROR(__xludf.DUMMYFUNCTION("""COMPUTED_VALUE"""),"https://expa.aiesec.org/opportunities/1291929")</f>
        <v>https://expa.aiesec.org/opportunities/1291929</v>
      </c>
      <c r="L502" s="43" t="str">
        <f>IFERROR(__xludf.DUMMYFUNCTION("""COMPUTED_VALUE"""),"GV")</f>
        <v>GV</v>
      </c>
      <c r="M502" s="43" t="str">
        <f>IFERROR(__xludf.DUMMYFUNCTION("""COMPUTED_VALUE"""),"short")</f>
        <v>short</v>
      </c>
      <c r="N502" s="45">
        <f>IFERROR(__xludf.DUMMYFUNCTION("""COMPUTED_VALUE"""),44991.0)</f>
        <v>44991</v>
      </c>
      <c r="O502" s="45">
        <f>IFERROR(__xludf.DUMMYFUNCTION("""COMPUTED_VALUE"""),45128.0)</f>
        <v>45128</v>
      </c>
      <c r="P502" s="45">
        <f>IFERROR(__xludf.DUMMYFUNCTION("""COMPUTED_VALUE"""),45170.0)</f>
        <v>45170</v>
      </c>
      <c r="Q502" s="45"/>
      <c r="R502" s="45"/>
      <c r="S502" s="43"/>
      <c r="T502" s="43"/>
      <c r="U502" s="43" t="str">
        <f>IFERROR(__xludf.DUMMYFUNCTION("""COMPUTED_VALUE"""),"Global Classroom")</f>
        <v>Global Classroom</v>
      </c>
      <c r="V502" s="43" t="str">
        <f>IFERROR(__xludf.DUMMYFUNCTION("""COMPUTED_VALUE"""),"Mansoura")</f>
        <v>Mansoura</v>
      </c>
      <c r="W502" s="43" t="str">
        <f>IFERROR(__xludf.DUMMYFUNCTION("""COMPUTED_VALUE"""),"2023-01-15T20:15:12Z")</f>
        <v>2023-01-15T20:15:12Z</v>
      </c>
      <c r="X502" s="43"/>
      <c r="Y502" s="43"/>
      <c r="Z502" s="43"/>
    </row>
    <row r="503" hidden="1">
      <c r="A503" s="43" t="str">
        <f>IFERROR(__xludf.DUMMYFUNCTION("""COMPUTED_VALUE"""),"5204804_1292535")</f>
        <v>5204804_1292535</v>
      </c>
      <c r="B503" s="43" t="str">
        <f>IFERROR(__xludf.DUMMYFUNCTION("""COMPUTED_VALUE"""),"salma latifi")</f>
        <v>salma latifi</v>
      </c>
      <c r="C503" s="43" t="str">
        <f>IFERROR(__xludf.DUMMYFUNCTION("""COMPUTED_VALUE"""),"completed")</f>
        <v>completed</v>
      </c>
      <c r="D503" s="43" t="str">
        <f>IFERROR(__xludf.DUMMYFUNCTION("""COMPUTED_VALUE"""),"No")</f>
        <v>No</v>
      </c>
      <c r="E503" s="43" t="str">
        <f>IFERROR(__xludf.DUMMYFUNCTION("""COMPUTED_VALUE"""),"p_47365e25521cf422bc790747d69502b7c671c87e@inbound.aiesec.org")</f>
        <v>p_47365e25521cf422bc790747d69502b7c671c87e@inbound.aiesec.org</v>
      </c>
      <c r="F503" s="43">
        <f>IFERROR(__xludf.DUMMYFUNCTION("""COMPUTED_VALUE"""),7.73739697E8)</f>
        <v>773739697</v>
      </c>
      <c r="G503" s="43" t="str">
        <f>IFERROR(__xludf.DUMMYFUNCTION("""COMPUTED_VALUE"""),"Morocco")</f>
        <v>Morocco</v>
      </c>
      <c r="H503" s="43" t="str">
        <f>IFERROR(__xludf.DUMMYFUNCTION("""COMPUTED_VALUE"""),"Beni Mellal ")</f>
        <v>Beni Mellal </v>
      </c>
      <c r="I503" s="43" t="str">
        <f>IFERROR(__xludf.DUMMYFUNCTION("""COMPUTED_VALUE"""),"Turkey")</f>
        <v>Turkey</v>
      </c>
      <c r="J503" s="43" t="str">
        <f>IFERROR(__xludf.DUMMYFUNCTION("""COMPUTED_VALUE"""),"ESKISEHIR")</f>
        <v>ESKISEHIR</v>
      </c>
      <c r="K503" s="44" t="str">
        <f>IFERROR(__xludf.DUMMYFUNCTION("""COMPUTED_VALUE"""),"https://expa.aiesec.org/opportunities/1292535")</f>
        <v>https://expa.aiesec.org/opportunities/1292535</v>
      </c>
      <c r="L503" s="43" t="str">
        <f>IFERROR(__xludf.DUMMYFUNCTION("""COMPUTED_VALUE"""),"GV")</f>
        <v>GV</v>
      </c>
      <c r="M503" s="43" t="str">
        <f>IFERROR(__xludf.DUMMYFUNCTION("""COMPUTED_VALUE"""),"short")</f>
        <v>short</v>
      </c>
      <c r="N503" s="45">
        <f>IFERROR(__xludf.DUMMYFUNCTION("""COMPUTED_VALUE"""),44991.0)</f>
        <v>44991</v>
      </c>
      <c r="O503" s="45">
        <f>IFERROR(__xludf.DUMMYFUNCTION("""COMPUTED_VALUE"""),45117.0)</f>
        <v>45117</v>
      </c>
      <c r="P503" s="45">
        <f>IFERROR(__xludf.DUMMYFUNCTION("""COMPUTED_VALUE"""),45159.0)</f>
        <v>45159</v>
      </c>
      <c r="Q503" s="45">
        <f>IFERROR(__xludf.DUMMYFUNCTION("""COMPUTED_VALUE"""),45118.0)</f>
        <v>45118</v>
      </c>
      <c r="R503" s="45">
        <f>IFERROR(__xludf.DUMMYFUNCTION("""COMPUTED_VALUE"""),45159.0)</f>
        <v>45159</v>
      </c>
      <c r="S503" s="43"/>
      <c r="T503" s="43"/>
      <c r="U503" s="43" t="str">
        <f>IFERROR(__xludf.DUMMYFUNCTION("""COMPUTED_VALUE"""),"Global Classroom")</f>
        <v>Global Classroom</v>
      </c>
      <c r="V503" s="43" t="str">
        <f>IFERROR(__xludf.DUMMYFUNCTION("""COMPUTED_VALUE"""),"FLSH Béni Mellal")</f>
        <v>FLSH Béni Mellal</v>
      </c>
      <c r="W503" s="43" t="str">
        <f>IFERROR(__xludf.DUMMYFUNCTION("""COMPUTED_VALUE"""),"2023-03-03T16:34:11Z")</f>
        <v>2023-03-03T16:34:11Z</v>
      </c>
      <c r="X503" s="43"/>
      <c r="Y503" s="43"/>
      <c r="Z503" s="43"/>
    </row>
    <row r="504" hidden="1">
      <c r="A504" s="43" t="str">
        <f>IFERROR(__xludf.DUMMYFUNCTION("""COMPUTED_VALUE"""),"5147733_1292535")</f>
        <v>5147733_1292535</v>
      </c>
      <c r="B504" s="43" t="str">
        <f>IFERROR(__xludf.DUMMYFUNCTION("""COMPUTED_VALUE"""),"Reem Mamdouh")</f>
        <v>Reem Mamdouh</v>
      </c>
      <c r="C504" s="43" t="str">
        <f>IFERROR(__xludf.DUMMYFUNCTION("""COMPUTED_VALUE"""),"approved")</f>
        <v>approved</v>
      </c>
      <c r="D504" s="43" t="str">
        <f>IFERROR(__xludf.DUMMYFUNCTION("""COMPUTED_VALUE"""),"No")</f>
        <v>No</v>
      </c>
      <c r="E504" s="43" t="str">
        <f>IFERROR(__xludf.DUMMYFUNCTION("""COMPUTED_VALUE"""),"p_fa5eb0f0ac3b0ba64e9232b476a0690420e4a85b@inbound.aiesec.org")</f>
        <v>p_fa5eb0f0ac3b0ba64e9232b476a0690420e4a85b@inbound.aiesec.org</v>
      </c>
      <c r="F504" s="43">
        <f>IFERROR(__xludf.DUMMYFUNCTION("""COMPUTED_VALUE"""),1.01436559E9)</f>
        <v>1014365590</v>
      </c>
      <c r="G504" s="43" t="str">
        <f>IFERROR(__xludf.DUMMYFUNCTION("""COMPUTED_VALUE"""),"Egypt")</f>
        <v>Egypt</v>
      </c>
      <c r="H504" s="43" t="str">
        <f>IFERROR(__xludf.DUMMYFUNCTION("""COMPUTED_VALUE"""),"MUST")</f>
        <v>MUST</v>
      </c>
      <c r="I504" s="43" t="str">
        <f>IFERROR(__xludf.DUMMYFUNCTION("""COMPUTED_VALUE"""),"Turkey")</f>
        <v>Turkey</v>
      </c>
      <c r="J504" s="43" t="str">
        <f>IFERROR(__xludf.DUMMYFUNCTION("""COMPUTED_VALUE"""),"ESKISEHIR")</f>
        <v>ESKISEHIR</v>
      </c>
      <c r="K504" s="44" t="str">
        <f>IFERROR(__xludf.DUMMYFUNCTION("""COMPUTED_VALUE"""),"https://expa.aiesec.org/opportunities/1292535")</f>
        <v>https://expa.aiesec.org/opportunities/1292535</v>
      </c>
      <c r="L504" s="43" t="str">
        <f>IFERROR(__xludf.DUMMYFUNCTION("""COMPUTED_VALUE"""),"GV")</f>
        <v>GV</v>
      </c>
      <c r="M504" s="43" t="str">
        <f>IFERROR(__xludf.DUMMYFUNCTION("""COMPUTED_VALUE"""),"short")</f>
        <v>short</v>
      </c>
      <c r="N504" s="45">
        <f>IFERROR(__xludf.DUMMYFUNCTION("""COMPUTED_VALUE"""),44991.0)</f>
        <v>44991</v>
      </c>
      <c r="O504" s="45">
        <f>IFERROR(__xludf.DUMMYFUNCTION("""COMPUTED_VALUE"""),45117.0)</f>
        <v>45117</v>
      </c>
      <c r="P504" s="45">
        <f>IFERROR(__xludf.DUMMYFUNCTION("""COMPUTED_VALUE"""),45159.0)</f>
        <v>45159</v>
      </c>
      <c r="Q504" s="45"/>
      <c r="R504" s="45"/>
      <c r="S504" s="43"/>
      <c r="T504" s="43"/>
      <c r="U504" s="43" t="str">
        <f>IFERROR(__xludf.DUMMYFUNCTION("""COMPUTED_VALUE"""),"Global Classroom")</f>
        <v>Global Classroom</v>
      </c>
      <c r="V504" s="43" t="str">
        <f>IFERROR(__xludf.DUMMYFUNCTION("""COMPUTED_VALUE"""),"MUST University")</f>
        <v>MUST University</v>
      </c>
      <c r="W504" s="43" t="str">
        <f>IFERROR(__xludf.DUMMYFUNCTION("""COMPUTED_VALUE"""),"2022-11-06T12:18:36Z")</f>
        <v>2022-11-06T12:18:36Z</v>
      </c>
      <c r="X504" s="43"/>
      <c r="Y504" s="43"/>
      <c r="Z504" s="43"/>
    </row>
    <row r="505" hidden="1">
      <c r="A505" s="43" t="str">
        <f>IFERROR(__xludf.DUMMYFUNCTION("""COMPUTED_VALUE"""),"5189322_1290826")</f>
        <v>5189322_1290826</v>
      </c>
      <c r="B505" s="43" t="str">
        <f>IFERROR(__xludf.DUMMYFUNCTION("""COMPUTED_VALUE"""),"giovanni bianco")</f>
        <v>giovanni bianco</v>
      </c>
      <c r="C505" s="43" t="str">
        <f>IFERROR(__xludf.DUMMYFUNCTION("""COMPUTED_VALUE"""),"finished")</f>
        <v>finished</v>
      </c>
      <c r="D505" s="43" t="str">
        <f>IFERROR(__xludf.DUMMYFUNCTION("""COMPUTED_VALUE"""),"No")</f>
        <v>No</v>
      </c>
      <c r="E505" s="43" t="str">
        <f>IFERROR(__xludf.DUMMYFUNCTION("""COMPUTED_VALUE"""),"p_70e1d00fcb8becd5a74d485c0b09f9efb34f090a@inbound.aiesec.org")</f>
        <v>p_70e1d00fcb8becd5a74d485c0b09f9efb34f090a@inbound.aiesec.org</v>
      </c>
      <c r="F505" s="43"/>
      <c r="G505" s="43" t="str">
        <f>IFERROR(__xludf.DUMMYFUNCTION("""COMPUTED_VALUE"""),"Italy")</f>
        <v>Italy</v>
      </c>
      <c r="H505" s="43" t="str">
        <f>IFERROR(__xludf.DUMMYFUNCTION("""COMPUTED_VALUE"""),"Milano")</f>
        <v>Milano</v>
      </c>
      <c r="I505" s="43" t="str">
        <f>IFERROR(__xludf.DUMMYFUNCTION("""COMPUTED_VALUE"""),"Turkey")</f>
        <v>Turkey</v>
      </c>
      <c r="J505" s="43" t="str">
        <f>IFERROR(__xludf.DUMMYFUNCTION("""COMPUTED_VALUE"""),"KOCAELI")</f>
        <v>KOCAELI</v>
      </c>
      <c r="K505" s="44" t="str">
        <f>IFERROR(__xludf.DUMMYFUNCTION("""COMPUTED_VALUE"""),"https://expa.aiesec.org/opportunities/1290826")</f>
        <v>https://expa.aiesec.org/opportunities/1290826</v>
      </c>
      <c r="L505" s="43" t="str">
        <f>IFERROR(__xludf.DUMMYFUNCTION("""COMPUTED_VALUE"""),"GV")</f>
        <v>GV</v>
      </c>
      <c r="M505" s="43" t="str">
        <f>IFERROR(__xludf.DUMMYFUNCTION("""COMPUTED_VALUE"""),"short")</f>
        <v>short</v>
      </c>
      <c r="N505" s="45">
        <f>IFERROR(__xludf.DUMMYFUNCTION("""COMPUTED_VALUE"""),44991.0)</f>
        <v>44991</v>
      </c>
      <c r="O505" s="45">
        <f>IFERROR(__xludf.DUMMYFUNCTION("""COMPUTED_VALUE"""),45124.0)</f>
        <v>45124</v>
      </c>
      <c r="P505" s="45">
        <f>IFERROR(__xludf.DUMMYFUNCTION("""COMPUTED_VALUE"""),45166.0)</f>
        <v>45166</v>
      </c>
      <c r="Q505" s="45">
        <f>IFERROR(__xludf.DUMMYFUNCTION("""COMPUTED_VALUE"""),45125.0)</f>
        <v>45125</v>
      </c>
      <c r="R505" s="45">
        <f>IFERROR(__xludf.DUMMYFUNCTION("""COMPUTED_VALUE"""),45166.0)</f>
        <v>45166</v>
      </c>
      <c r="S505" s="43"/>
      <c r="T505" s="43"/>
      <c r="U505" s="43" t="str">
        <f>IFERROR(__xludf.DUMMYFUNCTION("""COMPUTED_VALUE"""),"Global Classroom")</f>
        <v>Global Classroom</v>
      </c>
      <c r="V505" s="43" t="str">
        <f>IFERROR(__xludf.DUMMYFUNCTION("""COMPUTED_VALUE"""),"-")</f>
        <v>-</v>
      </c>
      <c r="W505" s="43" t="str">
        <f>IFERROR(__xludf.DUMMYFUNCTION("""COMPUTED_VALUE"""),"2023-02-11T18:45:16Z")</f>
        <v>2023-02-11T18:45:16Z</v>
      </c>
      <c r="X505" s="43"/>
      <c r="Y505" s="43"/>
      <c r="Z505" s="43"/>
    </row>
    <row r="506" hidden="1">
      <c r="A506" s="43" t="str">
        <f>IFERROR(__xludf.DUMMYFUNCTION("""COMPUTED_VALUE"""),"5202735_1272564")</f>
        <v>5202735_1272564</v>
      </c>
      <c r="B506" s="43" t="str">
        <f>IFERROR(__xludf.DUMMYFUNCTION("""COMPUTED_VALUE"""),"Violetta Tarnavska")</f>
        <v>Violetta Tarnavska</v>
      </c>
      <c r="C506" s="43" t="str">
        <f>IFERROR(__xludf.DUMMYFUNCTION("""COMPUTED_VALUE"""),"completed")</f>
        <v>completed</v>
      </c>
      <c r="D506" s="43" t="str">
        <f>IFERROR(__xludf.DUMMYFUNCTION("""COMPUTED_VALUE"""),"No")</f>
        <v>No</v>
      </c>
      <c r="E506" s="43" t="str">
        <f>IFERROR(__xludf.DUMMYFUNCTION("""COMPUTED_VALUE"""),"p_0fc06d4cdcf2524eb2fb00b315744517710b85bb@inbound.aiesec.org")</f>
        <v>p_0fc06d4cdcf2524eb2fb00b315744517710b85bb@inbound.aiesec.org</v>
      </c>
      <c r="F506" s="43">
        <f>IFERROR(__xludf.DUMMYFUNCTION("""COMPUTED_VALUE"""),9.93124655E8)</f>
        <v>993124655</v>
      </c>
      <c r="G506" s="43" t="str">
        <f>IFERROR(__xludf.DUMMYFUNCTION("""COMPUTED_VALUE"""),"Ukraine")</f>
        <v>Ukraine</v>
      </c>
      <c r="H506" s="43" t="str">
        <f>IFERROR(__xludf.DUMMYFUNCTION("""COMPUTED_VALUE"""),"KHARKIV")</f>
        <v>KHARKIV</v>
      </c>
      <c r="I506" s="43" t="str">
        <f>IFERROR(__xludf.DUMMYFUNCTION("""COMPUTED_VALUE"""),"Turkey")</f>
        <v>Turkey</v>
      </c>
      <c r="J506" s="43" t="str">
        <f>IFERROR(__xludf.DUMMYFUNCTION("""COMPUTED_VALUE"""),"ISTANBUL")</f>
        <v>ISTANBUL</v>
      </c>
      <c r="K506" s="44" t="str">
        <f>IFERROR(__xludf.DUMMYFUNCTION("""COMPUTED_VALUE"""),"https://expa.aiesec.org/opportunities/1272564")</f>
        <v>https://expa.aiesec.org/opportunities/1272564</v>
      </c>
      <c r="L506" s="43" t="str">
        <f>IFERROR(__xludf.DUMMYFUNCTION("""COMPUTED_VALUE"""),"GV")</f>
        <v>GV</v>
      </c>
      <c r="M506" s="43" t="str">
        <f>IFERROR(__xludf.DUMMYFUNCTION("""COMPUTED_VALUE"""),"short")</f>
        <v>short</v>
      </c>
      <c r="N506" s="45">
        <f>IFERROR(__xludf.DUMMYFUNCTION("""COMPUTED_VALUE"""),44991.0)</f>
        <v>44991</v>
      </c>
      <c r="O506" s="45">
        <f>IFERROR(__xludf.DUMMYFUNCTION("""COMPUTED_VALUE"""),45122.0)</f>
        <v>45122</v>
      </c>
      <c r="P506" s="45">
        <f>IFERROR(__xludf.DUMMYFUNCTION("""COMPUTED_VALUE"""),45164.0)</f>
        <v>45164</v>
      </c>
      <c r="Q506" s="45">
        <f>IFERROR(__xludf.DUMMYFUNCTION("""COMPUTED_VALUE"""),45123.0)</f>
        <v>45123</v>
      </c>
      <c r="R506" s="45">
        <f>IFERROR(__xludf.DUMMYFUNCTION("""COMPUTED_VALUE"""),45164.0)</f>
        <v>45164</v>
      </c>
      <c r="S506" s="43"/>
      <c r="T506" s="43"/>
      <c r="U506" s="43" t="str">
        <f>IFERROR(__xludf.DUMMYFUNCTION("""COMPUTED_VALUE"""),"Global Classroom")</f>
        <v>Global Classroom</v>
      </c>
      <c r="V506" s="43" t="str">
        <f>IFERROR(__xludf.DUMMYFUNCTION("""COMPUTED_VALUE"""),"Kharkiv")</f>
        <v>Kharkiv</v>
      </c>
      <c r="W506" s="43" t="str">
        <f>IFERROR(__xludf.DUMMYFUNCTION("""COMPUTED_VALUE"""),"2023-03-01T16:37:19Z")</f>
        <v>2023-03-01T16:37:19Z</v>
      </c>
      <c r="X506" s="43"/>
      <c r="Y506" s="43"/>
      <c r="Z506" s="43"/>
    </row>
    <row r="507" hidden="1">
      <c r="A507" s="43" t="str">
        <f>IFERROR(__xludf.DUMMYFUNCTION("""COMPUTED_VALUE"""),"5199587_1291304")</f>
        <v>5199587_1291304</v>
      </c>
      <c r="B507" s="43" t="str">
        <f>IFERROR(__xludf.DUMMYFUNCTION("""COMPUTED_VALUE"""),"IMANE EL HARATI")</f>
        <v>IMANE EL HARATI</v>
      </c>
      <c r="C507" s="43" t="str">
        <f>IFERROR(__xludf.DUMMYFUNCTION("""COMPUTED_VALUE"""),"finished")</f>
        <v>finished</v>
      </c>
      <c r="D507" s="43" t="str">
        <f>IFERROR(__xludf.DUMMYFUNCTION("""COMPUTED_VALUE"""),"No")</f>
        <v>No</v>
      </c>
      <c r="E507" s="43" t="str">
        <f>IFERROR(__xludf.DUMMYFUNCTION("""COMPUTED_VALUE"""),"p_45b6dcf8822f6e42ba3f77cf06110632b4479e09@inbound.aiesec.org")</f>
        <v>p_45b6dcf8822f6e42ba3f77cf06110632b4479e09@inbound.aiesec.org</v>
      </c>
      <c r="F507" s="43">
        <f>IFERROR(__xludf.DUMMYFUNCTION("""COMPUTED_VALUE"""),6.58971847E8)</f>
        <v>658971847</v>
      </c>
      <c r="G507" s="43" t="str">
        <f>IFERROR(__xludf.DUMMYFUNCTION("""COMPUTED_VALUE"""),"Morocco")</f>
        <v>Morocco</v>
      </c>
      <c r="H507" s="43" t="str">
        <f>IFERROR(__xludf.DUMMYFUNCTION("""COMPUTED_VALUE"""),"Kenitra")</f>
        <v>Kenitra</v>
      </c>
      <c r="I507" s="43" t="str">
        <f>IFERROR(__xludf.DUMMYFUNCTION("""COMPUTED_VALUE"""),"Turkey")</f>
        <v>Turkey</v>
      </c>
      <c r="J507" s="43" t="str">
        <f>IFERROR(__xludf.DUMMYFUNCTION("""COMPUTED_VALUE"""),"BURSA")</f>
        <v>BURSA</v>
      </c>
      <c r="K507" s="44" t="str">
        <f>IFERROR(__xludf.DUMMYFUNCTION("""COMPUTED_VALUE"""),"https://expa.aiesec.org/opportunities/1291304")</f>
        <v>https://expa.aiesec.org/opportunities/1291304</v>
      </c>
      <c r="L507" s="43" t="str">
        <f>IFERROR(__xludf.DUMMYFUNCTION("""COMPUTED_VALUE"""),"GV")</f>
        <v>GV</v>
      </c>
      <c r="M507" s="43" t="str">
        <f>IFERROR(__xludf.DUMMYFUNCTION("""COMPUTED_VALUE"""),"short")</f>
        <v>short</v>
      </c>
      <c r="N507" s="45">
        <f>IFERROR(__xludf.DUMMYFUNCTION("""COMPUTED_VALUE"""),44991.0)</f>
        <v>44991</v>
      </c>
      <c r="O507" s="45">
        <f>IFERROR(__xludf.DUMMYFUNCTION("""COMPUTED_VALUE"""),45054.0)</f>
        <v>45054</v>
      </c>
      <c r="P507" s="45">
        <f>IFERROR(__xludf.DUMMYFUNCTION("""COMPUTED_VALUE"""),45096.0)</f>
        <v>45096</v>
      </c>
      <c r="Q507" s="45">
        <f>IFERROR(__xludf.DUMMYFUNCTION("""COMPUTED_VALUE"""),45046.0)</f>
        <v>45046</v>
      </c>
      <c r="R507" s="45">
        <f>IFERROR(__xludf.DUMMYFUNCTION("""COMPUTED_VALUE"""),45096.0)</f>
        <v>45096</v>
      </c>
      <c r="S507" s="43"/>
      <c r="T507" s="43"/>
      <c r="U507" s="43" t="str">
        <f>IFERROR(__xludf.DUMMYFUNCTION("""COMPUTED_VALUE"""),"Youth 4 Impact")</f>
        <v>Youth 4 Impact</v>
      </c>
      <c r="V507" s="43" t="str">
        <f>IFERROR(__xludf.DUMMYFUNCTION("""COMPUTED_VALUE"""),"Ecole Nationale Des Sciences Appliquées Kénitra (ENSAK)")</f>
        <v>Ecole Nationale Des Sciences Appliquées Kénitra (ENSAK)</v>
      </c>
      <c r="W507" s="43" t="str">
        <f>IFERROR(__xludf.DUMMYFUNCTION("""COMPUTED_VALUE"""),"2023-02-26T12:51:05Z")</f>
        <v>2023-02-26T12:51:05Z</v>
      </c>
      <c r="X507" s="43"/>
      <c r="Y507" s="43"/>
      <c r="Z507" s="43"/>
    </row>
    <row r="508" hidden="1">
      <c r="A508" s="43" t="str">
        <f>IFERROR(__xludf.DUMMYFUNCTION("""COMPUTED_VALUE"""),"5170369_1292557")</f>
        <v>5170369_1292557</v>
      </c>
      <c r="B508" s="43" t="str">
        <f>IFERROR(__xludf.DUMMYFUNCTION("""COMPUTED_VALUE"""),"Evelina Bodrug")</f>
        <v>Evelina Bodrug</v>
      </c>
      <c r="C508" s="43" t="str">
        <f>IFERROR(__xludf.DUMMYFUNCTION("""COMPUTED_VALUE"""),"completed")</f>
        <v>completed</v>
      </c>
      <c r="D508" s="43" t="str">
        <f>IFERROR(__xludf.DUMMYFUNCTION("""COMPUTED_VALUE"""),"No")</f>
        <v>No</v>
      </c>
      <c r="E508" s="43" t="str">
        <f>IFERROR(__xludf.DUMMYFUNCTION("""COMPUTED_VALUE"""),"p_1ae344a4b8959b9aaf5dc3d184e190fdc9aa7bde@inbound.aiesec.org")</f>
        <v>p_1ae344a4b8959b9aaf5dc3d184e190fdc9aa7bde@inbound.aiesec.org</v>
      </c>
      <c r="F508" s="43">
        <f>IFERROR(__xludf.DUMMYFUNCTION("""COMPUTED_VALUE"""),7.910039E7)</f>
        <v>79100390</v>
      </c>
      <c r="G508" s="43" t="str">
        <f>IFERROR(__xludf.DUMMYFUNCTION("""COMPUTED_VALUE"""),"Moldova")</f>
        <v>Moldova</v>
      </c>
      <c r="H508" s="43" t="str">
        <f>IFERROR(__xludf.DUMMYFUNCTION("""COMPUTED_VALUE"""),"CHISINAU")</f>
        <v>CHISINAU</v>
      </c>
      <c r="I508" s="43" t="str">
        <f>IFERROR(__xludf.DUMMYFUNCTION("""COMPUTED_VALUE"""),"Turkey")</f>
        <v>Turkey</v>
      </c>
      <c r="J508" s="43" t="str">
        <f>IFERROR(__xludf.DUMMYFUNCTION("""COMPUTED_VALUE"""),"DENIZLI")</f>
        <v>DENIZLI</v>
      </c>
      <c r="K508" s="44" t="str">
        <f>IFERROR(__xludf.DUMMYFUNCTION("""COMPUTED_VALUE"""),"https://expa.aiesec.org/opportunities/1292557")</f>
        <v>https://expa.aiesec.org/opportunities/1292557</v>
      </c>
      <c r="L508" s="43" t="str">
        <f>IFERROR(__xludf.DUMMYFUNCTION("""COMPUTED_VALUE"""),"GV")</f>
        <v>GV</v>
      </c>
      <c r="M508" s="43" t="str">
        <f>IFERROR(__xludf.DUMMYFUNCTION("""COMPUTED_VALUE"""),"short")</f>
        <v>short</v>
      </c>
      <c r="N508" s="45">
        <f>IFERROR(__xludf.DUMMYFUNCTION("""COMPUTED_VALUE"""),44991.0)</f>
        <v>44991</v>
      </c>
      <c r="O508" s="45">
        <f>IFERROR(__xludf.DUMMYFUNCTION("""COMPUTED_VALUE"""),45117.0)</f>
        <v>45117</v>
      </c>
      <c r="P508" s="45">
        <f>IFERROR(__xludf.DUMMYFUNCTION("""COMPUTED_VALUE"""),45159.0)</f>
        <v>45159</v>
      </c>
      <c r="Q508" s="45">
        <f>IFERROR(__xludf.DUMMYFUNCTION("""COMPUTED_VALUE"""),45117.0)</f>
        <v>45117</v>
      </c>
      <c r="R508" s="45">
        <f>IFERROR(__xludf.DUMMYFUNCTION("""COMPUTED_VALUE"""),45159.0)</f>
        <v>45159</v>
      </c>
      <c r="S508" s="43"/>
      <c r="T508" s="43"/>
      <c r="U508" s="43" t="str">
        <f>IFERROR(__xludf.DUMMYFUNCTION("""COMPUTED_VALUE"""),"Equify")</f>
        <v>Equify</v>
      </c>
      <c r="V508" s="43" t="str">
        <f>IFERROR(__xludf.DUMMYFUNCTION("""COMPUTED_VALUE"""),"ASEM - Academia de Studii Economice din Moldova")</f>
        <v>ASEM - Academia de Studii Economice din Moldova</v>
      </c>
      <c r="W508" s="43" t="str">
        <f>IFERROR(__xludf.DUMMYFUNCTION("""COMPUTED_VALUE"""),"2022-12-26T15:09:02Z")</f>
        <v>2022-12-26T15:09:02Z</v>
      </c>
      <c r="X508" s="43"/>
      <c r="Y508" s="43"/>
      <c r="Z508" s="43"/>
    </row>
    <row r="509" hidden="1">
      <c r="A509" s="43" t="str">
        <f>IFERROR(__xludf.DUMMYFUNCTION("""COMPUTED_VALUE"""),"5177023_1288611")</f>
        <v>5177023_1288611</v>
      </c>
      <c r="B509" s="43" t="str">
        <f>IFERROR(__xludf.DUMMYFUNCTION("""COMPUTED_VALUE"""),"bochra riahi")</f>
        <v>bochra riahi</v>
      </c>
      <c r="C509" s="43" t="str">
        <f>IFERROR(__xludf.DUMMYFUNCTION("""COMPUTED_VALUE"""),"finished")</f>
        <v>finished</v>
      </c>
      <c r="D509" s="43" t="str">
        <f>IFERROR(__xludf.DUMMYFUNCTION("""COMPUTED_VALUE"""),"No")</f>
        <v>No</v>
      </c>
      <c r="E509" s="43" t="str">
        <f>IFERROR(__xludf.DUMMYFUNCTION("""COMPUTED_VALUE"""),"p_7f457e9fae656991f3f09257587e2c78403de016@inbound.aiesec.org")</f>
        <v>p_7f457e9fae656991f3f09257587e2c78403de016@inbound.aiesec.org</v>
      </c>
      <c r="F509" s="43">
        <f>IFERROR(__xludf.DUMMYFUNCTION("""COMPUTED_VALUE"""),2.2542147E7)</f>
        <v>22542147</v>
      </c>
      <c r="G509" s="43" t="str">
        <f>IFERROR(__xludf.DUMMYFUNCTION("""COMPUTED_VALUE"""),"Tunisia")</f>
        <v>Tunisia</v>
      </c>
      <c r="H509" s="43" t="str">
        <f>IFERROR(__xludf.DUMMYFUNCTION("""COMPUTED_VALUE"""),"Carthage")</f>
        <v>Carthage</v>
      </c>
      <c r="I509" s="43" t="str">
        <f>IFERROR(__xludf.DUMMYFUNCTION("""COMPUTED_VALUE"""),"Turkey")</f>
        <v>Turkey</v>
      </c>
      <c r="J509" s="43" t="str">
        <f>IFERROR(__xludf.DUMMYFUNCTION("""COMPUTED_VALUE"""),"ISTANBUL")</f>
        <v>ISTANBUL</v>
      </c>
      <c r="K509" s="44" t="str">
        <f>IFERROR(__xludf.DUMMYFUNCTION("""COMPUTED_VALUE"""),"https://expa.aiesec.org/opportunities/1288611")</f>
        <v>https://expa.aiesec.org/opportunities/1288611</v>
      </c>
      <c r="L509" s="43" t="str">
        <f>IFERROR(__xludf.DUMMYFUNCTION("""COMPUTED_VALUE"""),"GV")</f>
        <v>GV</v>
      </c>
      <c r="M509" s="43" t="str">
        <f>IFERROR(__xludf.DUMMYFUNCTION("""COMPUTED_VALUE"""),"short")</f>
        <v>short</v>
      </c>
      <c r="N509" s="45">
        <f>IFERROR(__xludf.DUMMYFUNCTION("""COMPUTED_VALUE"""),44992.0)</f>
        <v>44992</v>
      </c>
      <c r="O509" s="45">
        <f>IFERROR(__xludf.DUMMYFUNCTION("""COMPUTED_VALUE"""),45138.0)</f>
        <v>45138</v>
      </c>
      <c r="P509" s="45">
        <f>IFERROR(__xludf.DUMMYFUNCTION("""COMPUTED_VALUE"""),45180.0)</f>
        <v>45180</v>
      </c>
      <c r="Q509" s="45">
        <f>IFERROR(__xludf.DUMMYFUNCTION("""COMPUTED_VALUE"""),45138.0)</f>
        <v>45138</v>
      </c>
      <c r="R509" s="45">
        <f>IFERROR(__xludf.DUMMYFUNCTION("""COMPUTED_VALUE"""),45180.0)</f>
        <v>45180</v>
      </c>
      <c r="S509" s="43"/>
      <c r="T509" s="43"/>
      <c r="U509" s="43" t="str">
        <f>IFERROR(__xludf.DUMMYFUNCTION("""COMPUTED_VALUE"""),"Global Classroom")</f>
        <v>Global Classroom</v>
      </c>
      <c r="V509" s="43" t="str">
        <f>IFERROR(__xludf.DUMMYFUNCTION("""COMPUTED_VALUE"""),"FSJPST")</f>
        <v>FSJPST</v>
      </c>
      <c r="W509" s="43" t="str">
        <f>IFERROR(__xludf.DUMMYFUNCTION("""COMPUTED_VALUE"""),"2023-01-16T10:50:56Z")</f>
        <v>2023-01-16T10:50:56Z</v>
      </c>
      <c r="X509" s="43"/>
      <c r="Y509" s="43"/>
      <c r="Z509" s="43"/>
    </row>
    <row r="510" hidden="1">
      <c r="A510" s="43" t="str">
        <f>IFERROR(__xludf.DUMMYFUNCTION("""COMPUTED_VALUE"""),"5207415_1291254")</f>
        <v>5207415_1291254</v>
      </c>
      <c r="B510" s="43" t="str">
        <f>IFERROR(__xludf.DUMMYFUNCTION("""COMPUTED_VALUE"""),"Nouram El Ouni")</f>
        <v>Nouram El Ouni</v>
      </c>
      <c r="C510" s="43" t="str">
        <f>IFERROR(__xludf.DUMMYFUNCTION("""COMPUTED_VALUE"""),"completed")</f>
        <v>completed</v>
      </c>
      <c r="D510" s="43" t="str">
        <f>IFERROR(__xludf.DUMMYFUNCTION("""COMPUTED_VALUE"""),"No")</f>
        <v>No</v>
      </c>
      <c r="E510" s="43" t="str">
        <f>IFERROR(__xludf.DUMMYFUNCTION("""COMPUTED_VALUE"""),"p_3fcb98dba3772b35d80d5d5fa150e354aeca7ddd@inbound.aiesec.org")</f>
        <v>p_3fcb98dba3772b35d80d5d5fa150e354aeca7ddd@inbound.aiesec.org</v>
      </c>
      <c r="F510" s="43">
        <f>IFERROR(__xludf.DUMMYFUNCTION("""COMPUTED_VALUE"""),5.0655192E7)</f>
        <v>50655192</v>
      </c>
      <c r="G510" s="43" t="str">
        <f>IFERROR(__xludf.DUMMYFUNCTION("""COMPUTED_VALUE"""),"Tunisia")</f>
        <v>Tunisia</v>
      </c>
      <c r="H510" s="43" t="str">
        <f>IFERROR(__xludf.DUMMYFUNCTION("""COMPUTED_VALUE"""),"BARDO")</f>
        <v>BARDO</v>
      </c>
      <c r="I510" s="43" t="str">
        <f>IFERROR(__xludf.DUMMYFUNCTION("""COMPUTED_VALUE"""),"Turkey")</f>
        <v>Turkey</v>
      </c>
      <c r="J510" s="43" t="str">
        <f>IFERROR(__xludf.DUMMYFUNCTION("""COMPUTED_VALUE"""),"KOCAELI")</f>
        <v>KOCAELI</v>
      </c>
      <c r="K510" s="44" t="str">
        <f>IFERROR(__xludf.DUMMYFUNCTION("""COMPUTED_VALUE"""),"https://expa.aiesec.org/opportunities/1291254")</f>
        <v>https://expa.aiesec.org/opportunities/1291254</v>
      </c>
      <c r="L510" s="43" t="str">
        <f>IFERROR(__xludf.DUMMYFUNCTION("""COMPUTED_VALUE"""),"GV")</f>
        <v>GV</v>
      </c>
      <c r="M510" s="43" t="str">
        <f>IFERROR(__xludf.DUMMYFUNCTION("""COMPUTED_VALUE"""),"short")</f>
        <v>short</v>
      </c>
      <c r="N510" s="45">
        <f>IFERROR(__xludf.DUMMYFUNCTION("""COMPUTED_VALUE"""),44992.0)</f>
        <v>44992</v>
      </c>
      <c r="O510" s="45">
        <f>IFERROR(__xludf.DUMMYFUNCTION("""COMPUTED_VALUE"""),45127.0)</f>
        <v>45127</v>
      </c>
      <c r="P510" s="45">
        <f>IFERROR(__xludf.DUMMYFUNCTION("""COMPUTED_VALUE"""),45169.0)</f>
        <v>45169</v>
      </c>
      <c r="Q510" s="45">
        <f>IFERROR(__xludf.DUMMYFUNCTION("""COMPUTED_VALUE"""),45128.0)</f>
        <v>45128</v>
      </c>
      <c r="R510" s="45">
        <f>IFERROR(__xludf.DUMMYFUNCTION("""COMPUTED_VALUE"""),45169.0)</f>
        <v>45169</v>
      </c>
      <c r="S510" s="43"/>
      <c r="T510" s="43"/>
      <c r="U510" s="43" t="str">
        <f>IFERROR(__xludf.DUMMYFUNCTION("""COMPUTED_VALUE"""),"Global Classroom")</f>
        <v>Global Classroom</v>
      </c>
      <c r="V510" s="43" t="str">
        <f>IFERROR(__xludf.DUMMYFUNCTION("""COMPUTED_VALUE"""),"TBS")</f>
        <v>TBS</v>
      </c>
      <c r="W510" s="43" t="str">
        <f>IFERROR(__xludf.DUMMYFUNCTION("""COMPUTED_VALUE"""),"2023-03-06T12:58:05Z")</f>
        <v>2023-03-06T12:58:05Z</v>
      </c>
      <c r="X510" s="43"/>
      <c r="Y510" s="43"/>
      <c r="Z510" s="43"/>
    </row>
    <row r="511" hidden="1">
      <c r="A511" s="43" t="str">
        <f>IFERROR(__xludf.DUMMYFUNCTION("""COMPUTED_VALUE"""),"5087717_1291881")</f>
        <v>5087717_1291881</v>
      </c>
      <c r="B511" s="43" t="str">
        <f>IFERROR(__xludf.DUMMYFUNCTION("""COMPUTED_VALUE"""),"Shrouk Kadri")</f>
        <v>Shrouk Kadri</v>
      </c>
      <c r="C511" s="43" t="str">
        <f>IFERROR(__xludf.DUMMYFUNCTION("""COMPUTED_VALUE"""),"completed")</f>
        <v>completed</v>
      </c>
      <c r="D511" s="43" t="str">
        <f>IFERROR(__xludf.DUMMYFUNCTION("""COMPUTED_VALUE"""),"No")</f>
        <v>No</v>
      </c>
      <c r="E511" s="43" t="str">
        <f>IFERROR(__xludf.DUMMYFUNCTION("""COMPUTED_VALUE"""),"p_ae9a2e6fb59949dd412913b21a946026c3155078@inbound.aiesec.org")</f>
        <v>p_ae9a2e6fb59949dd412913b21a946026c3155078@inbound.aiesec.org</v>
      </c>
      <c r="F511" s="43">
        <f>IFERROR(__xludf.DUMMYFUNCTION("""COMPUTED_VALUE"""),1.207274891E9)</f>
        <v>1207274891</v>
      </c>
      <c r="G511" s="43" t="str">
        <f>IFERROR(__xludf.DUMMYFUNCTION("""COMPUTED_VALUE"""),"Egypt")</f>
        <v>Egypt</v>
      </c>
      <c r="H511" s="43" t="str">
        <f>IFERROR(__xludf.DUMMYFUNCTION("""COMPUTED_VALUE"""),"Cairo University")</f>
        <v>Cairo University</v>
      </c>
      <c r="I511" s="43" t="str">
        <f>IFERROR(__xludf.DUMMYFUNCTION("""COMPUTED_VALUE"""),"Turkey")</f>
        <v>Turkey</v>
      </c>
      <c r="J511" s="43" t="str">
        <f>IFERROR(__xludf.DUMMYFUNCTION("""COMPUTED_VALUE"""),"SAKARYA")</f>
        <v>SAKARYA</v>
      </c>
      <c r="K511" s="44" t="str">
        <f>IFERROR(__xludf.DUMMYFUNCTION("""COMPUTED_VALUE"""),"https://expa.aiesec.org/opportunities/1291881")</f>
        <v>https://expa.aiesec.org/opportunities/1291881</v>
      </c>
      <c r="L511" s="43" t="str">
        <f>IFERROR(__xludf.DUMMYFUNCTION("""COMPUTED_VALUE"""),"GV")</f>
        <v>GV</v>
      </c>
      <c r="M511" s="43" t="str">
        <f>IFERROR(__xludf.DUMMYFUNCTION("""COMPUTED_VALUE"""),"short")</f>
        <v>short</v>
      </c>
      <c r="N511" s="45">
        <f>IFERROR(__xludf.DUMMYFUNCTION("""COMPUTED_VALUE"""),44992.0)</f>
        <v>44992</v>
      </c>
      <c r="O511" s="45">
        <f>IFERROR(__xludf.DUMMYFUNCTION("""COMPUTED_VALUE"""),45144.0)</f>
        <v>45144</v>
      </c>
      <c r="P511" s="45">
        <f>IFERROR(__xludf.DUMMYFUNCTION("""COMPUTED_VALUE"""),45186.0)</f>
        <v>45186</v>
      </c>
      <c r="Q511" s="45">
        <f>IFERROR(__xludf.DUMMYFUNCTION("""COMPUTED_VALUE"""),45144.0)</f>
        <v>45144</v>
      </c>
      <c r="R511" s="45">
        <f>IFERROR(__xludf.DUMMYFUNCTION("""COMPUTED_VALUE"""),45186.0)</f>
        <v>45186</v>
      </c>
      <c r="S511" s="43"/>
      <c r="T511" s="43"/>
      <c r="U511" s="43" t="str">
        <f>IFERROR(__xludf.DUMMYFUNCTION("""COMPUTED_VALUE"""),"Youth 4 Impact")</f>
        <v>Youth 4 Impact</v>
      </c>
      <c r="V511" s="43" t="str">
        <f>IFERROR(__xludf.DUMMYFUNCTION("""COMPUTED_VALUE"""),"Cairo Univeristy")</f>
        <v>Cairo Univeristy</v>
      </c>
      <c r="W511" s="43" t="str">
        <f>IFERROR(__xludf.DUMMYFUNCTION("""COMPUTED_VALUE"""),"2022-07-31T23:16:13Z")</f>
        <v>2022-07-31T23:16:13Z</v>
      </c>
      <c r="X511" s="43"/>
      <c r="Y511" s="43"/>
      <c r="Z511" s="43"/>
    </row>
    <row r="512" hidden="1">
      <c r="A512" s="43" t="str">
        <f>IFERROR(__xludf.DUMMYFUNCTION("""COMPUTED_VALUE"""),"5145297_1292557")</f>
        <v>5145297_1292557</v>
      </c>
      <c r="B512" s="43" t="str">
        <f>IFERROR(__xludf.DUMMYFUNCTION("""COMPUTED_VALUE"""),"Valeria Cioară")</f>
        <v>Valeria Cioară</v>
      </c>
      <c r="C512" s="43" t="str">
        <f>IFERROR(__xludf.DUMMYFUNCTION("""COMPUTED_VALUE"""),"completed")</f>
        <v>completed</v>
      </c>
      <c r="D512" s="43" t="str">
        <f>IFERROR(__xludf.DUMMYFUNCTION("""COMPUTED_VALUE"""),"No")</f>
        <v>No</v>
      </c>
      <c r="E512" s="43" t="str">
        <f>IFERROR(__xludf.DUMMYFUNCTION("""COMPUTED_VALUE"""),"p_6d6f6d6ff4d2d55aed92dd29f86be545be98deae@inbound.aiesec.org")</f>
        <v>p_6d6f6d6ff4d2d55aed92dd29f86be545be98deae@inbound.aiesec.org</v>
      </c>
      <c r="F512" s="43">
        <f>IFERROR(__xludf.DUMMYFUNCTION("""COMPUTED_VALUE"""),6.9694519E7)</f>
        <v>69694519</v>
      </c>
      <c r="G512" s="43" t="str">
        <f>IFERROR(__xludf.DUMMYFUNCTION("""COMPUTED_VALUE"""),"Moldova")</f>
        <v>Moldova</v>
      </c>
      <c r="H512" s="43" t="str">
        <f>IFERROR(__xludf.DUMMYFUNCTION("""COMPUTED_VALUE"""),"CHISINAU")</f>
        <v>CHISINAU</v>
      </c>
      <c r="I512" s="43" t="str">
        <f>IFERROR(__xludf.DUMMYFUNCTION("""COMPUTED_VALUE"""),"Turkey")</f>
        <v>Turkey</v>
      </c>
      <c r="J512" s="43" t="str">
        <f>IFERROR(__xludf.DUMMYFUNCTION("""COMPUTED_VALUE"""),"DENIZLI")</f>
        <v>DENIZLI</v>
      </c>
      <c r="K512" s="44" t="str">
        <f>IFERROR(__xludf.DUMMYFUNCTION("""COMPUTED_VALUE"""),"https://expa.aiesec.org/opportunities/1292557")</f>
        <v>https://expa.aiesec.org/opportunities/1292557</v>
      </c>
      <c r="L512" s="43" t="str">
        <f>IFERROR(__xludf.DUMMYFUNCTION("""COMPUTED_VALUE"""),"GV")</f>
        <v>GV</v>
      </c>
      <c r="M512" s="43" t="str">
        <f>IFERROR(__xludf.DUMMYFUNCTION("""COMPUTED_VALUE"""),"short")</f>
        <v>short</v>
      </c>
      <c r="N512" s="45">
        <f>IFERROR(__xludf.DUMMYFUNCTION("""COMPUTED_VALUE"""),44992.0)</f>
        <v>44992</v>
      </c>
      <c r="O512" s="45">
        <f>IFERROR(__xludf.DUMMYFUNCTION("""COMPUTED_VALUE"""),45117.0)</f>
        <v>45117</v>
      </c>
      <c r="P512" s="45">
        <f>IFERROR(__xludf.DUMMYFUNCTION("""COMPUTED_VALUE"""),45159.0)</f>
        <v>45159</v>
      </c>
      <c r="Q512" s="45">
        <f>IFERROR(__xludf.DUMMYFUNCTION("""COMPUTED_VALUE"""),45117.0)</f>
        <v>45117</v>
      </c>
      <c r="R512" s="45">
        <f>IFERROR(__xludf.DUMMYFUNCTION("""COMPUTED_VALUE"""),45159.0)</f>
        <v>45159</v>
      </c>
      <c r="S512" s="43"/>
      <c r="T512" s="43"/>
      <c r="U512" s="43" t="str">
        <f>IFERROR(__xludf.DUMMYFUNCTION("""COMPUTED_VALUE"""),"Equify")</f>
        <v>Equify</v>
      </c>
      <c r="V512" s="43" t="str">
        <f>IFERROR(__xludf.DUMMYFUNCTION("""COMPUTED_VALUE"""),"z/ Altă Opţiune \z")</f>
        <v>z/ Altă Opţiune \z</v>
      </c>
      <c r="W512" s="43" t="str">
        <f>IFERROR(__xludf.DUMMYFUNCTION("""COMPUTED_VALUE"""),"2022-11-02T17:31:12Z")</f>
        <v>2022-11-02T17:31:12Z</v>
      </c>
      <c r="X512" s="43"/>
      <c r="Y512" s="43"/>
      <c r="Z512" s="43"/>
    </row>
    <row r="513" hidden="1">
      <c r="A513" s="43" t="str">
        <f>IFERROR(__xludf.DUMMYFUNCTION("""COMPUTED_VALUE"""),"5203891_1292557")</f>
        <v>5203891_1292557</v>
      </c>
      <c r="B513" s="43" t="str">
        <f>IFERROR(__xludf.DUMMYFUNCTION("""COMPUTED_VALUE"""),"Moscvin Vlad")</f>
        <v>Moscvin Vlad</v>
      </c>
      <c r="C513" s="43" t="str">
        <f>IFERROR(__xludf.DUMMYFUNCTION("""COMPUTED_VALUE"""),"completed")</f>
        <v>completed</v>
      </c>
      <c r="D513" s="43" t="str">
        <f>IFERROR(__xludf.DUMMYFUNCTION("""COMPUTED_VALUE"""),"No")</f>
        <v>No</v>
      </c>
      <c r="E513" s="43" t="str">
        <f>IFERROR(__xludf.DUMMYFUNCTION("""COMPUTED_VALUE"""),"p_3fa5a78e35303b76d0b95152e88cf99b2bc51b67@inbound.aiesec.org")</f>
        <v>p_3fa5a78e35303b76d0b95152e88cf99b2bc51b67@inbound.aiesec.org</v>
      </c>
      <c r="F513" s="43">
        <f>IFERROR(__xludf.DUMMYFUNCTION("""COMPUTED_VALUE"""),6.9922394E7)</f>
        <v>69922394</v>
      </c>
      <c r="G513" s="43" t="str">
        <f>IFERROR(__xludf.DUMMYFUNCTION("""COMPUTED_VALUE"""),"Moldova")</f>
        <v>Moldova</v>
      </c>
      <c r="H513" s="43" t="str">
        <f>IFERROR(__xludf.DUMMYFUNCTION("""COMPUTED_VALUE"""),"CHISINAU")</f>
        <v>CHISINAU</v>
      </c>
      <c r="I513" s="43" t="str">
        <f>IFERROR(__xludf.DUMMYFUNCTION("""COMPUTED_VALUE"""),"Turkey")</f>
        <v>Turkey</v>
      </c>
      <c r="J513" s="43" t="str">
        <f>IFERROR(__xludf.DUMMYFUNCTION("""COMPUTED_VALUE"""),"DENIZLI")</f>
        <v>DENIZLI</v>
      </c>
      <c r="K513" s="44" t="str">
        <f>IFERROR(__xludf.DUMMYFUNCTION("""COMPUTED_VALUE"""),"https://expa.aiesec.org/opportunities/1292557")</f>
        <v>https://expa.aiesec.org/opportunities/1292557</v>
      </c>
      <c r="L513" s="43" t="str">
        <f>IFERROR(__xludf.DUMMYFUNCTION("""COMPUTED_VALUE"""),"GV")</f>
        <v>GV</v>
      </c>
      <c r="M513" s="43" t="str">
        <f>IFERROR(__xludf.DUMMYFUNCTION("""COMPUTED_VALUE"""),"short")</f>
        <v>short</v>
      </c>
      <c r="N513" s="45">
        <f>IFERROR(__xludf.DUMMYFUNCTION("""COMPUTED_VALUE"""),44992.0)</f>
        <v>44992</v>
      </c>
      <c r="O513" s="45">
        <f>IFERROR(__xludf.DUMMYFUNCTION("""COMPUTED_VALUE"""),45117.0)</f>
        <v>45117</v>
      </c>
      <c r="P513" s="45">
        <f>IFERROR(__xludf.DUMMYFUNCTION("""COMPUTED_VALUE"""),45159.0)</f>
        <v>45159</v>
      </c>
      <c r="Q513" s="45">
        <f>IFERROR(__xludf.DUMMYFUNCTION("""COMPUTED_VALUE"""),45117.0)</f>
        <v>45117</v>
      </c>
      <c r="R513" s="45">
        <f>IFERROR(__xludf.DUMMYFUNCTION("""COMPUTED_VALUE"""),45159.0)</f>
        <v>45159</v>
      </c>
      <c r="S513" s="43"/>
      <c r="T513" s="43"/>
      <c r="U513" s="43" t="str">
        <f>IFERROR(__xludf.DUMMYFUNCTION("""COMPUTED_VALUE"""),"Equify")</f>
        <v>Equify</v>
      </c>
      <c r="V513" s="43" t="str">
        <f>IFERROR(__xludf.DUMMYFUNCTION("""COMPUTED_VALUE"""),"UTM - Universitatea Tehnică a Moldovei")</f>
        <v>UTM - Universitatea Tehnică a Moldovei</v>
      </c>
      <c r="W513" s="43" t="str">
        <f>IFERROR(__xludf.DUMMYFUNCTION("""COMPUTED_VALUE"""),"2023-03-02T16:57:13Z")</f>
        <v>2023-03-02T16:57:13Z</v>
      </c>
      <c r="X513" s="43"/>
      <c r="Y513" s="43"/>
      <c r="Z513" s="43"/>
    </row>
    <row r="514" hidden="1">
      <c r="A514" s="43" t="str">
        <f>IFERROR(__xludf.DUMMYFUNCTION("""COMPUTED_VALUE"""),"5202701_1290826")</f>
        <v>5202701_1290826</v>
      </c>
      <c r="B514" s="43" t="str">
        <f>IFERROR(__xludf.DUMMYFUNCTION("""COMPUTED_VALUE"""),"rawa ajakkaf")</f>
        <v>rawa ajakkaf</v>
      </c>
      <c r="C514" s="43" t="str">
        <f>IFERROR(__xludf.DUMMYFUNCTION("""COMPUTED_VALUE"""),"finished")</f>
        <v>finished</v>
      </c>
      <c r="D514" s="43" t="str">
        <f>IFERROR(__xludf.DUMMYFUNCTION("""COMPUTED_VALUE"""),"No")</f>
        <v>No</v>
      </c>
      <c r="E514" s="43" t="str">
        <f>IFERROR(__xludf.DUMMYFUNCTION("""COMPUTED_VALUE"""),"p_bb532ed12774538de956154039acea74f8939db8@inbound.aiesec.org")</f>
        <v>p_bb532ed12774538de956154039acea74f8939db8@inbound.aiesec.org</v>
      </c>
      <c r="F514" s="43">
        <f>IFERROR(__xludf.DUMMYFUNCTION("""COMPUTED_VALUE"""),3.44421346E9)</f>
        <v>3444213460</v>
      </c>
      <c r="G514" s="43" t="str">
        <f>IFERROR(__xludf.DUMMYFUNCTION("""COMPUTED_VALUE"""),"Italy")</f>
        <v>Italy</v>
      </c>
      <c r="H514" s="43" t="str">
        <f>IFERROR(__xludf.DUMMYFUNCTION("""COMPUTED_VALUE"""),"Milano")</f>
        <v>Milano</v>
      </c>
      <c r="I514" s="43" t="str">
        <f>IFERROR(__xludf.DUMMYFUNCTION("""COMPUTED_VALUE"""),"Turkey")</f>
        <v>Turkey</v>
      </c>
      <c r="J514" s="43" t="str">
        <f>IFERROR(__xludf.DUMMYFUNCTION("""COMPUTED_VALUE"""),"KOCAELI")</f>
        <v>KOCAELI</v>
      </c>
      <c r="K514" s="44" t="str">
        <f>IFERROR(__xludf.DUMMYFUNCTION("""COMPUTED_VALUE"""),"https://expa.aiesec.org/opportunities/1290826")</f>
        <v>https://expa.aiesec.org/opportunities/1290826</v>
      </c>
      <c r="L514" s="43" t="str">
        <f>IFERROR(__xludf.DUMMYFUNCTION("""COMPUTED_VALUE"""),"GV")</f>
        <v>GV</v>
      </c>
      <c r="M514" s="43" t="str">
        <f>IFERROR(__xludf.DUMMYFUNCTION("""COMPUTED_VALUE"""),"short")</f>
        <v>short</v>
      </c>
      <c r="N514" s="45">
        <f>IFERROR(__xludf.DUMMYFUNCTION("""COMPUTED_VALUE"""),44992.0)</f>
        <v>44992</v>
      </c>
      <c r="O514" s="45">
        <f>IFERROR(__xludf.DUMMYFUNCTION("""COMPUTED_VALUE"""),45124.0)</f>
        <v>45124</v>
      </c>
      <c r="P514" s="45">
        <f>IFERROR(__xludf.DUMMYFUNCTION("""COMPUTED_VALUE"""),45166.0)</f>
        <v>45166</v>
      </c>
      <c r="Q514" s="45">
        <f>IFERROR(__xludf.DUMMYFUNCTION("""COMPUTED_VALUE"""),45125.0)</f>
        <v>45125</v>
      </c>
      <c r="R514" s="45">
        <f>IFERROR(__xludf.DUMMYFUNCTION("""COMPUTED_VALUE"""),45166.0)</f>
        <v>45166</v>
      </c>
      <c r="S514" s="43"/>
      <c r="T514" s="43"/>
      <c r="U514" s="43" t="str">
        <f>IFERROR(__xludf.DUMMYFUNCTION("""COMPUTED_VALUE"""),"Global Classroom")</f>
        <v>Global Classroom</v>
      </c>
      <c r="V514" s="43" t="str">
        <f>IFERROR(__xludf.DUMMYFUNCTION("""COMPUTED_VALUE"""),"-")</f>
        <v>-</v>
      </c>
      <c r="W514" s="43" t="str">
        <f>IFERROR(__xludf.DUMMYFUNCTION("""COMPUTED_VALUE"""),"2023-03-01T15:58:03Z")</f>
        <v>2023-03-01T15:58:03Z</v>
      </c>
      <c r="X514" s="43"/>
      <c r="Y514" s="43"/>
      <c r="Z514" s="43"/>
    </row>
    <row r="515" hidden="1">
      <c r="A515" s="43" t="str">
        <f>IFERROR(__xludf.DUMMYFUNCTION("""COMPUTED_VALUE"""),"5177459_1287851")</f>
        <v>5177459_1287851</v>
      </c>
      <c r="B515" s="43" t="str">
        <f>IFERROR(__xludf.DUMMYFUNCTION("""COMPUTED_VALUE"""),"Isabelle Van Ongevalle")</f>
        <v>Isabelle Van Ongevalle</v>
      </c>
      <c r="C515" s="43" t="str">
        <f>IFERROR(__xludf.DUMMYFUNCTION("""COMPUTED_VALUE"""),"finished")</f>
        <v>finished</v>
      </c>
      <c r="D515" s="43" t="str">
        <f>IFERROR(__xludf.DUMMYFUNCTION("""COMPUTED_VALUE"""),"No")</f>
        <v>No</v>
      </c>
      <c r="E515" s="43" t="str">
        <f>IFERROR(__xludf.DUMMYFUNCTION("""COMPUTED_VALUE"""),"p_ca78d862db3b8aa396a81906a2f1ead3fa77a61b@inbound.aiesec.org")</f>
        <v>p_ca78d862db3b8aa396a81906a2f1ead3fa77a61b@inbound.aiesec.org</v>
      </c>
      <c r="F515" s="43">
        <f>IFERROR(__xludf.DUMMYFUNCTION("""COMPUTED_VALUE"""),4.96822991E8)</f>
        <v>496822991</v>
      </c>
      <c r="G515" s="43" t="str">
        <f>IFERROR(__xludf.DUMMYFUNCTION("""COMPUTED_VALUE"""),"Belgium")</f>
        <v>Belgium</v>
      </c>
      <c r="H515" s="43" t="str">
        <f>IFERROR(__xludf.DUMMYFUNCTION("""COMPUTED_VALUE"""),"LEUVEN")</f>
        <v>LEUVEN</v>
      </c>
      <c r="I515" s="43" t="str">
        <f>IFERROR(__xludf.DUMMYFUNCTION("""COMPUTED_VALUE"""),"Turkey")</f>
        <v>Turkey</v>
      </c>
      <c r="J515" s="43" t="str">
        <f>IFERROR(__xludf.DUMMYFUNCTION("""COMPUTED_VALUE"""),"KOCAELI")</f>
        <v>KOCAELI</v>
      </c>
      <c r="K515" s="44" t="str">
        <f>IFERROR(__xludf.DUMMYFUNCTION("""COMPUTED_VALUE"""),"https://expa.aiesec.org/opportunities/1287851")</f>
        <v>https://expa.aiesec.org/opportunities/1287851</v>
      </c>
      <c r="L515" s="43" t="str">
        <f>IFERROR(__xludf.DUMMYFUNCTION("""COMPUTED_VALUE"""),"GV")</f>
        <v>GV</v>
      </c>
      <c r="M515" s="43" t="str">
        <f>IFERROR(__xludf.DUMMYFUNCTION("""COMPUTED_VALUE"""),"short")</f>
        <v>short</v>
      </c>
      <c r="N515" s="45">
        <f>IFERROR(__xludf.DUMMYFUNCTION("""COMPUTED_VALUE"""),44992.0)</f>
        <v>44992</v>
      </c>
      <c r="O515" s="45">
        <f>IFERROR(__xludf.DUMMYFUNCTION("""COMPUTED_VALUE"""),45095.0)</f>
        <v>45095</v>
      </c>
      <c r="P515" s="45">
        <f>IFERROR(__xludf.DUMMYFUNCTION("""COMPUTED_VALUE"""),45137.0)</f>
        <v>45137</v>
      </c>
      <c r="Q515" s="45">
        <f>IFERROR(__xludf.DUMMYFUNCTION("""COMPUTED_VALUE"""),45094.0)</f>
        <v>45094</v>
      </c>
      <c r="R515" s="45">
        <f>IFERROR(__xludf.DUMMYFUNCTION("""COMPUTED_VALUE"""),45137.0)</f>
        <v>45137</v>
      </c>
      <c r="S515" s="43"/>
      <c r="T515" s="43"/>
      <c r="U515" s="43" t="str">
        <f>IFERROR(__xludf.DUMMYFUNCTION("""COMPUTED_VALUE"""),"Heartbeat")</f>
        <v>Heartbeat</v>
      </c>
      <c r="V515" s="43" t="str">
        <f>IFERROR(__xludf.DUMMYFUNCTION("""COMPUTED_VALUE"""),"Leuven")</f>
        <v>Leuven</v>
      </c>
      <c r="W515" s="43" t="str">
        <f>IFERROR(__xludf.DUMMYFUNCTION("""COMPUTED_VALUE"""),"2023-01-17T11:29:25Z")</f>
        <v>2023-01-17T11:29:25Z</v>
      </c>
      <c r="X515" s="43"/>
      <c r="Y515" s="43"/>
      <c r="Z515" s="43"/>
    </row>
    <row r="516">
      <c r="A516" s="43" t="str">
        <f>IFERROR(__xludf.DUMMYFUNCTION("""COMPUTED_VALUE"""),"5209213_1290826")</f>
        <v>5209213_1290826</v>
      </c>
      <c r="B516" s="43" t="str">
        <f>IFERROR(__xludf.DUMMYFUNCTION("""COMPUTED_VALUE"""),"Maram Magawata")</f>
        <v>Maram Magawata</v>
      </c>
      <c r="C516" s="43" t="str">
        <f>IFERROR(__xludf.DUMMYFUNCTION("""COMPUTED_VALUE"""),"approved")</f>
        <v>approved</v>
      </c>
      <c r="D516" s="43" t="str">
        <f>IFERROR(__xludf.DUMMYFUNCTION("""COMPUTED_VALUE"""),"No")</f>
        <v>No</v>
      </c>
      <c r="E516" s="43" t="str">
        <f>IFERROR(__xludf.DUMMYFUNCTION("""COMPUTED_VALUE"""),"p_ce201f9a520538778faa339accc1b0f89b6ba2ad@inbound.aiesec.org")</f>
        <v>p_ce201f9a520538778faa339accc1b0f89b6ba2ad@inbound.aiesec.org</v>
      </c>
      <c r="F516" s="43">
        <f>IFERROR(__xludf.DUMMYFUNCTION("""COMPUTED_VALUE"""),2.2909385E7)</f>
        <v>22909385</v>
      </c>
      <c r="G516" s="43" t="str">
        <f>IFERROR(__xludf.DUMMYFUNCTION("""COMPUTED_VALUE"""),"Tunisia")</f>
        <v>Tunisia</v>
      </c>
      <c r="H516" s="43" t="str">
        <f>IFERROR(__xludf.DUMMYFUNCTION("""COMPUTED_VALUE"""),"BARDO")</f>
        <v>BARDO</v>
      </c>
      <c r="I516" s="43" t="str">
        <f>IFERROR(__xludf.DUMMYFUNCTION("""COMPUTED_VALUE"""),"Turkey")</f>
        <v>Turkey</v>
      </c>
      <c r="J516" s="43" t="str">
        <f>IFERROR(__xludf.DUMMYFUNCTION("""COMPUTED_VALUE"""),"KOCAELI")</f>
        <v>KOCAELI</v>
      </c>
      <c r="K516" s="44" t="str">
        <f>IFERROR(__xludf.DUMMYFUNCTION("""COMPUTED_VALUE"""),"https://expa.aiesec.org/opportunities/1290826")</f>
        <v>https://expa.aiesec.org/opportunities/1290826</v>
      </c>
      <c r="L516" s="43" t="str">
        <f>IFERROR(__xludf.DUMMYFUNCTION("""COMPUTED_VALUE"""),"GV")</f>
        <v>GV</v>
      </c>
      <c r="M516" s="43" t="str">
        <f>IFERROR(__xludf.DUMMYFUNCTION("""COMPUTED_VALUE"""),"short")</f>
        <v>short</v>
      </c>
      <c r="N516" s="45">
        <f>IFERROR(__xludf.DUMMYFUNCTION("""COMPUTED_VALUE"""),44993.0)</f>
        <v>44993</v>
      </c>
      <c r="O516" s="45">
        <f>IFERROR(__xludf.DUMMYFUNCTION("""COMPUTED_VALUE"""),45082.0)</f>
        <v>45082</v>
      </c>
      <c r="P516" s="45">
        <f>IFERROR(__xludf.DUMMYFUNCTION("""COMPUTED_VALUE"""),45124.0)</f>
        <v>45124</v>
      </c>
      <c r="Q516" s="45"/>
      <c r="R516" s="45"/>
      <c r="S516" s="43"/>
      <c r="T516" s="43"/>
      <c r="U516" s="43" t="str">
        <f>IFERROR(__xludf.DUMMYFUNCTION("""COMPUTED_VALUE"""),"Global Classroom")</f>
        <v>Global Classroom</v>
      </c>
      <c r="V516" s="43" t="str">
        <f>IFERROR(__xludf.DUMMYFUNCTION("""COMPUTED_VALUE"""),"ESPRIT School of Business")</f>
        <v>ESPRIT School of Business</v>
      </c>
      <c r="W516" s="43" t="str">
        <f>IFERROR(__xludf.DUMMYFUNCTION("""COMPUTED_VALUE"""),"2023-03-08T01:01:21Z")</f>
        <v>2023-03-08T01:01:21Z</v>
      </c>
      <c r="X516" s="43"/>
      <c r="Y516" s="43"/>
      <c r="Z516" s="43"/>
    </row>
    <row r="517" hidden="1">
      <c r="A517" s="43" t="str">
        <f>IFERROR(__xludf.DUMMYFUNCTION("""COMPUTED_VALUE"""),"5204956_1291254")</f>
        <v>5204956_1291254</v>
      </c>
      <c r="B517" s="43" t="str">
        <f>IFERROR(__xludf.DUMMYFUNCTION("""COMPUTED_VALUE"""),"yassmine jebari")</f>
        <v>yassmine jebari</v>
      </c>
      <c r="C517" s="43" t="str">
        <f>IFERROR(__xludf.DUMMYFUNCTION("""COMPUTED_VALUE"""),"completed")</f>
        <v>completed</v>
      </c>
      <c r="D517" s="43" t="str">
        <f>IFERROR(__xludf.DUMMYFUNCTION("""COMPUTED_VALUE"""),"No")</f>
        <v>No</v>
      </c>
      <c r="E517" s="43" t="str">
        <f>IFERROR(__xludf.DUMMYFUNCTION("""COMPUTED_VALUE"""),"p_2df16aed46dd0b25a177f12497a3879152333f2b@inbound.aiesec.org")</f>
        <v>p_2df16aed46dd0b25a177f12497a3879152333f2b@inbound.aiesec.org</v>
      </c>
      <c r="F517" s="43">
        <f>IFERROR(__xludf.DUMMYFUNCTION("""COMPUTED_VALUE"""),5.8182303E7)</f>
        <v>58182303</v>
      </c>
      <c r="G517" s="43" t="str">
        <f>IFERROR(__xludf.DUMMYFUNCTION("""COMPUTED_VALUE"""),"Tunisia")</f>
        <v>Tunisia</v>
      </c>
      <c r="H517" s="43" t="str">
        <f>IFERROR(__xludf.DUMMYFUNCTION("""COMPUTED_VALUE"""),"BARDO")</f>
        <v>BARDO</v>
      </c>
      <c r="I517" s="43" t="str">
        <f>IFERROR(__xludf.DUMMYFUNCTION("""COMPUTED_VALUE"""),"Turkey")</f>
        <v>Turkey</v>
      </c>
      <c r="J517" s="43" t="str">
        <f>IFERROR(__xludf.DUMMYFUNCTION("""COMPUTED_VALUE"""),"KOCAELI")</f>
        <v>KOCAELI</v>
      </c>
      <c r="K517" s="44" t="str">
        <f>IFERROR(__xludf.DUMMYFUNCTION("""COMPUTED_VALUE"""),"https://expa.aiesec.org/opportunities/1291254")</f>
        <v>https://expa.aiesec.org/opportunities/1291254</v>
      </c>
      <c r="L517" s="43" t="str">
        <f>IFERROR(__xludf.DUMMYFUNCTION("""COMPUTED_VALUE"""),"GV")</f>
        <v>GV</v>
      </c>
      <c r="M517" s="43" t="str">
        <f>IFERROR(__xludf.DUMMYFUNCTION("""COMPUTED_VALUE"""),"short")</f>
        <v>short</v>
      </c>
      <c r="N517" s="45">
        <f>IFERROR(__xludf.DUMMYFUNCTION("""COMPUTED_VALUE"""),44993.0)</f>
        <v>44993</v>
      </c>
      <c r="O517" s="45">
        <f>IFERROR(__xludf.DUMMYFUNCTION("""COMPUTED_VALUE"""),45084.0)</f>
        <v>45084</v>
      </c>
      <c r="P517" s="45">
        <f>IFERROR(__xludf.DUMMYFUNCTION("""COMPUTED_VALUE"""),45126.0)</f>
        <v>45126</v>
      </c>
      <c r="Q517" s="45">
        <f>IFERROR(__xludf.DUMMYFUNCTION("""COMPUTED_VALUE"""),45082.0)</f>
        <v>45082</v>
      </c>
      <c r="R517" s="45">
        <f>IFERROR(__xludf.DUMMYFUNCTION("""COMPUTED_VALUE"""),45126.0)</f>
        <v>45126</v>
      </c>
      <c r="S517" s="43"/>
      <c r="T517" s="43"/>
      <c r="U517" s="43" t="str">
        <f>IFERROR(__xludf.DUMMYFUNCTION("""COMPUTED_VALUE"""),"Global Classroom")</f>
        <v>Global Classroom</v>
      </c>
      <c r="V517" s="43" t="str">
        <f>IFERROR(__xludf.DUMMYFUNCTION("""COMPUTED_VALUE"""),"ESPRIT El Ghazela ")</f>
        <v>ESPRIT El Ghazela </v>
      </c>
      <c r="W517" s="43" t="str">
        <f>IFERROR(__xludf.DUMMYFUNCTION("""COMPUTED_VALUE"""),"2023-03-03T20:31:13Z")</f>
        <v>2023-03-03T20:31:13Z</v>
      </c>
      <c r="X517" s="43"/>
      <c r="Y517" s="43"/>
      <c r="Z517" s="43"/>
    </row>
    <row r="518" hidden="1">
      <c r="A518" s="43" t="str">
        <f>IFERROR(__xludf.DUMMYFUNCTION("""COMPUTED_VALUE"""),"5204879_1291254")</f>
        <v>5204879_1291254</v>
      </c>
      <c r="B518" s="43" t="str">
        <f>IFERROR(__xludf.DUMMYFUNCTION("""COMPUTED_VALUE"""),"sarra ben ouhiba")</f>
        <v>sarra ben ouhiba</v>
      </c>
      <c r="C518" s="43" t="str">
        <f>IFERROR(__xludf.DUMMYFUNCTION("""COMPUTED_VALUE"""),"completed")</f>
        <v>completed</v>
      </c>
      <c r="D518" s="43" t="str">
        <f>IFERROR(__xludf.DUMMYFUNCTION("""COMPUTED_VALUE"""),"No")</f>
        <v>No</v>
      </c>
      <c r="E518" s="43" t="str">
        <f>IFERROR(__xludf.DUMMYFUNCTION("""COMPUTED_VALUE"""),"p_3b18a23aa1856faecec7851c5b2423669876dced@inbound.aiesec.org")</f>
        <v>p_3b18a23aa1856faecec7851c5b2423669876dced@inbound.aiesec.org</v>
      </c>
      <c r="F518" s="43">
        <f>IFERROR(__xludf.DUMMYFUNCTION("""COMPUTED_VALUE"""),2.7173007E7)</f>
        <v>27173007</v>
      </c>
      <c r="G518" s="43" t="str">
        <f>IFERROR(__xludf.DUMMYFUNCTION("""COMPUTED_VALUE"""),"Tunisia")</f>
        <v>Tunisia</v>
      </c>
      <c r="H518" s="43" t="str">
        <f>IFERROR(__xludf.DUMMYFUNCTION("""COMPUTED_VALUE"""),"BARDO")</f>
        <v>BARDO</v>
      </c>
      <c r="I518" s="43" t="str">
        <f>IFERROR(__xludf.DUMMYFUNCTION("""COMPUTED_VALUE"""),"Turkey")</f>
        <v>Turkey</v>
      </c>
      <c r="J518" s="43" t="str">
        <f>IFERROR(__xludf.DUMMYFUNCTION("""COMPUTED_VALUE"""),"KOCAELI")</f>
        <v>KOCAELI</v>
      </c>
      <c r="K518" s="44" t="str">
        <f>IFERROR(__xludf.DUMMYFUNCTION("""COMPUTED_VALUE"""),"https://expa.aiesec.org/opportunities/1291254")</f>
        <v>https://expa.aiesec.org/opportunities/1291254</v>
      </c>
      <c r="L518" s="43" t="str">
        <f>IFERROR(__xludf.DUMMYFUNCTION("""COMPUTED_VALUE"""),"GV")</f>
        <v>GV</v>
      </c>
      <c r="M518" s="43" t="str">
        <f>IFERROR(__xludf.DUMMYFUNCTION("""COMPUTED_VALUE"""),"short")</f>
        <v>short</v>
      </c>
      <c r="N518" s="45">
        <f>IFERROR(__xludf.DUMMYFUNCTION("""COMPUTED_VALUE"""),44993.0)</f>
        <v>44993</v>
      </c>
      <c r="O518" s="45">
        <f>IFERROR(__xludf.DUMMYFUNCTION("""COMPUTED_VALUE"""),45084.0)</f>
        <v>45084</v>
      </c>
      <c r="P518" s="45">
        <f>IFERROR(__xludf.DUMMYFUNCTION("""COMPUTED_VALUE"""),45126.0)</f>
        <v>45126</v>
      </c>
      <c r="Q518" s="45">
        <f>IFERROR(__xludf.DUMMYFUNCTION("""COMPUTED_VALUE"""),45082.0)</f>
        <v>45082</v>
      </c>
      <c r="R518" s="45">
        <f>IFERROR(__xludf.DUMMYFUNCTION("""COMPUTED_VALUE"""),45126.0)</f>
        <v>45126</v>
      </c>
      <c r="S518" s="43"/>
      <c r="T518" s="43"/>
      <c r="U518" s="43" t="str">
        <f>IFERROR(__xludf.DUMMYFUNCTION("""COMPUTED_VALUE"""),"Global Classroom")</f>
        <v>Global Classroom</v>
      </c>
      <c r="V518" s="43" t="str">
        <f>IFERROR(__xludf.DUMMYFUNCTION("""COMPUTED_VALUE"""),"ESPRIT El Ghazela ")</f>
        <v>ESPRIT El Ghazela </v>
      </c>
      <c r="W518" s="43" t="str">
        <f>IFERROR(__xludf.DUMMYFUNCTION("""COMPUTED_VALUE"""),"2023-03-03T18:19:40Z")</f>
        <v>2023-03-03T18:19:40Z</v>
      </c>
      <c r="X518" s="43"/>
      <c r="Y518" s="43"/>
      <c r="Z518" s="43"/>
    </row>
    <row r="519" hidden="1">
      <c r="A519" s="43" t="str">
        <f>IFERROR(__xludf.DUMMYFUNCTION("""COMPUTED_VALUE"""),"5126065_1288611")</f>
        <v>5126065_1288611</v>
      </c>
      <c r="B519" s="43" t="str">
        <f>IFERROR(__xludf.DUMMYFUNCTION("""COMPUTED_VALUE"""),"chaima mathlouthi")</f>
        <v>chaima mathlouthi</v>
      </c>
      <c r="C519" s="43" t="str">
        <f>IFERROR(__xludf.DUMMYFUNCTION("""COMPUTED_VALUE"""),"approved")</f>
        <v>approved</v>
      </c>
      <c r="D519" s="43" t="str">
        <f>IFERROR(__xludf.DUMMYFUNCTION("""COMPUTED_VALUE"""),"No")</f>
        <v>No</v>
      </c>
      <c r="E519" s="43" t="str">
        <f>IFERROR(__xludf.DUMMYFUNCTION("""COMPUTED_VALUE"""),"p_e05779aaed0acea24ca041c9ee71ffc7cc185cd6@inbound.aiesec.org")</f>
        <v>p_e05779aaed0acea24ca041c9ee71ffc7cc185cd6@inbound.aiesec.org</v>
      </c>
      <c r="F519" s="43"/>
      <c r="G519" s="43" t="str">
        <f>IFERROR(__xludf.DUMMYFUNCTION("""COMPUTED_VALUE"""),"Tunisia")</f>
        <v>Tunisia</v>
      </c>
      <c r="H519" s="43" t="str">
        <f>IFERROR(__xludf.DUMMYFUNCTION("""COMPUTED_VALUE"""),"Carthage")</f>
        <v>Carthage</v>
      </c>
      <c r="I519" s="43" t="str">
        <f>IFERROR(__xludf.DUMMYFUNCTION("""COMPUTED_VALUE"""),"Turkey")</f>
        <v>Turkey</v>
      </c>
      <c r="J519" s="43" t="str">
        <f>IFERROR(__xludf.DUMMYFUNCTION("""COMPUTED_VALUE"""),"ISTANBUL")</f>
        <v>ISTANBUL</v>
      </c>
      <c r="K519" s="44" t="str">
        <f>IFERROR(__xludf.DUMMYFUNCTION("""COMPUTED_VALUE"""),"https://expa.aiesec.org/opportunities/1288611")</f>
        <v>https://expa.aiesec.org/opportunities/1288611</v>
      </c>
      <c r="L519" s="43" t="str">
        <f>IFERROR(__xludf.DUMMYFUNCTION("""COMPUTED_VALUE"""),"GV")</f>
        <v>GV</v>
      </c>
      <c r="M519" s="43" t="str">
        <f>IFERROR(__xludf.DUMMYFUNCTION("""COMPUTED_VALUE"""),"short")</f>
        <v>short</v>
      </c>
      <c r="N519" s="45">
        <f>IFERROR(__xludf.DUMMYFUNCTION("""COMPUTED_VALUE"""),44993.0)</f>
        <v>44993</v>
      </c>
      <c r="O519" s="45">
        <f>IFERROR(__xludf.DUMMYFUNCTION("""COMPUTED_VALUE"""),45138.0)</f>
        <v>45138</v>
      </c>
      <c r="P519" s="45">
        <f>IFERROR(__xludf.DUMMYFUNCTION("""COMPUTED_VALUE"""),45180.0)</f>
        <v>45180</v>
      </c>
      <c r="Q519" s="45"/>
      <c r="R519" s="45"/>
      <c r="S519" s="43"/>
      <c r="T519" s="43"/>
      <c r="U519" s="43" t="str">
        <f>IFERROR(__xludf.DUMMYFUNCTION("""COMPUTED_VALUE"""),"Global Classroom")</f>
        <v>Global Classroom</v>
      </c>
      <c r="V519" s="43" t="str">
        <f>IFERROR(__xludf.DUMMYFUNCTION("""COMPUTED_VALUE"""),"-")</f>
        <v>-</v>
      </c>
      <c r="W519" s="43" t="str">
        <f>IFERROR(__xludf.DUMMYFUNCTION("""COMPUTED_VALUE"""),"2022-10-05T21:24:16Z")</f>
        <v>2022-10-05T21:24:16Z</v>
      </c>
      <c r="X519" s="43"/>
      <c r="Y519" s="43"/>
      <c r="Z519" s="43"/>
    </row>
    <row r="520" hidden="1">
      <c r="A520" s="43" t="str">
        <f>IFERROR(__xludf.DUMMYFUNCTION("""COMPUTED_VALUE"""),"5209005_1287851")</f>
        <v>5209005_1287851</v>
      </c>
      <c r="B520" s="43" t="str">
        <f>IFERROR(__xludf.DUMMYFUNCTION("""COMPUTED_VALUE"""),"رانية العمدوني")</f>
        <v>رانية العمدوني</v>
      </c>
      <c r="C520" s="43" t="str">
        <f>IFERROR(__xludf.DUMMYFUNCTION("""COMPUTED_VALUE"""),"completed")</f>
        <v>completed</v>
      </c>
      <c r="D520" s="43" t="str">
        <f>IFERROR(__xludf.DUMMYFUNCTION("""COMPUTED_VALUE"""),"No")</f>
        <v>No</v>
      </c>
      <c r="E520" s="43" t="str">
        <f>IFERROR(__xludf.DUMMYFUNCTION("""COMPUTED_VALUE"""),"p_82df6b62d713f357c368e98639e3e6c5b9471923@inbound.aiesec.org")</f>
        <v>p_82df6b62d713f357c368e98639e3e6c5b9471923@inbound.aiesec.org</v>
      </c>
      <c r="F520" s="43">
        <f>IFERROR(__xludf.DUMMYFUNCTION("""COMPUTED_VALUE"""),5.2857176E7)</f>
        <v>52857176</v>
      </c>
      <c r="G520" s="43" t="str">
        <f>IFERROR(__xludf.DUMMYFUNCTION("""COMPUTED_VALUE"""),"Tunisia")</f>
        <v>Tunisia</v>
      </c>
      <c r="H520" s="43" t="str">
        <f>IFERROR(__xludf.DUMMYFUNCTION("""COMPUTED_VALUE"""),"Carthage")</f>
        <v>Carthage</v>
      </c>
      <c r="I520" s="43" t="str">
        <f>IFERROR(__xludf.DUMMYFUNCTION("""COMPUTED_VALUE"""),"Turkey")</f>
        <v>Turkey</v>
      </c>
      <c r="J520" s="43" t="str">
        <f>IFERROR(__xludf.DUMMYFUNCTION("""COMPUTED_VALUE"""),"KOCAELI")</f>
        <v>KOCAELI</v>
      </c>
      <c r="K520" s="44" t="str">
        <f>IFERROR(__xludf.DUMMYFUNCTION("""COMPUTED_VALUE"""),"https://expa.aiesec.org/opportunities/1287851")</f>
        <v>https://expa.aiesec.org/opportunities/1287851</v>
      </c>
      <c r="L520" s="43" t="str">
        <f>IFERROR(__xludf.DUMMYFUNCTION("""COMPUTED_VALUE"""),"GV")</f>
        <v>GV</v>
      </c>
      <c r="M520" s="43" t="str">
        <f>IFERROR(__xludf.DUMMYFUNCTION("""COMPUTED_VALUE"""),"short")</f>
        <v>short</v>
      </c>
      <c r="N520" s="45">
        <f>IFERROR(__xludf.DUMMYFUNCTION("""COMPUTED_VALUE"""),44993.0)</f>
        <v>44993</v>
      </c>
      <c r="O520" s="45">
        <f>IFERROR(__xludf.DUMMYFUNCTION("""COMPUTED_VALUE"""),45095.0)</f>
        <v>45095</v>
      </c>
      <c r="P520" s="45">
        <f>IFERROR(__xludf.DUMMYFUNCTION("""COMPUTED_VALUE"""),45137.0)</f>
        <v>45137</v>
      </c>
      <c r="Q520" s="45">
        <f>IFERROR(__xludf.DUMMYFUNCTION("""COMPUTED_VALUE"""),45093.0)</f>
        <v>45093</v>
      </c>
      <c r="R520" s="45">
        <f>IFERROR(__xludf.DUMMYFUNCTION("""COMPUTED_VALUE"""),45137.0)</f>
        <v>45137</v>
      </c>
      <c r="S520" s="43"/>
      <c r="T520" s="43"/>
      <c r="U520" s="43" t="str">
        <f>IFERROR(__xludf.DUMMYFUNCTION("""COMPUTED_VALUE"""),"Heartbeat")</f>
        <v>Heartbeat</v>
      </c>
      <c r="V520" s="43" t="str">
        <f>IFERROR(__xludf.DUMMYFUNCTION("""COMPUTED_VALUE"""),"ISLT")</f>
        <v>ISLT</v>
      </c>
      <c r="W520" s="43" t="str">
        <f>IFERROR(__xludf.DUMMYFUNCTION("""COMPUTED_VALUE"""),"2023-03-07T18:28:34Z")</f>
        <v>2023-03-07T18:28:34Z</v>
      </c>
      <c r="X520" s="43"/>
      <c r="Y520" s="43"/>
      <c r="Z520" s="43"/>
    </row>
    <row r="521" hidden="1">
      <c r="A521" s="43" t="str">
        <f>IFERROR(__xludf.DUMMYFUNCTION("""COMPUTED_VALUE"""),"5206742_1272564")</f>
        <v>5206742_1272564</v>
      </c>
      <c r="B521" s="43" t="str">
        <f>IFERROR(__xludf.DUMMYFUNCTION("""COMPUTED_VALUE"""),"Gulazia Tazhibayeva")</f>
        <v>Gulazia Tazhibayeva</v>
      </c>
      <c r="C521" s="43" t="str">
        <f>IFERROR(__xludf.DUMMYFUNCTION("""COMPUTED_VALUE"""),"finished")</f>
        <v>finished</v>
      </c>
      <c r="D521" s="43" t="str">
        <f>IFERROR(__xludf.DUMMYFUNCTION("""COMPUTED_VALUE"""),"No")</f>
        <v>No</v>
      </c>
      <c r="E521" s="43" t="str">
        <f>IFERROR(__xludf.DUMMYFUNCTION("""COMPUTED_VALUE"""),"p_ffb01b167bb42e3baf35f28a8cc35c7d0bdc84dc@inbound.aiesec.org")</f>
        <v>p_ffb01b167bb42e3baf35f28a8cc35c7d0bdc84dc@inbound.aiesec.org</v>
      </c>
      <c r="F521" s="43">
        <f>IFERROR(__xludf.DUMMYFUNCTION("""COMPUTED_VALUE"""),7.779820767E9)</f>
        <v>7779820767</v>
      </c>
      <c r="G521" s="43" t="str">
        <f>IFERROR(__xludf.DUMMYFUNCTION("""COMPUTED_VALUE"""),"Kazakhstan")</f>
        <v>Kazakhstan</v>
      </c>
      <c r="H521" s="43" t="str">
        <f>IFERROR(__xludf.DUMMYFUNCTION("""COMPUTED_VALUE"""),"ALMATY")</f>
        <v>ALMATY</v>
      </c>
      <c r="I521" s="43" t="str">
        <f>IFERROR(__xludf.DUMMYFUNCTION("""COMPUTED_VALUE"""),"Turkey")</f>
        <v>Turkey</v>
      </c>
      <c r="J521" s="43" t="str">
        <f>IFERROR(__xludf.DUMMYFUNCTION("""COMPUTED_VALUE"""),"ISTANBUL")</f>
        <v>ISTANBUL</v>
      </c>
      <c r="K521" s="44" t="str">
        <f>IFERROR(__xludf.DUMMYFUNCTION("""COMPUTED_VALUE"""),"https://expa.aiesec.org/opportunities/1272564")</f>
        <v>https://expa.aiesec.org/opportunities/1272564</v>
      </c>
      <c r="L521" s="43" t="str">
        <f>IFERROR(__xludf.DUMMYFUNCTION("""COMPUTED_VALUE"""),"GV")</f>
        <v>GV</v>
      </c>
      <c r="M521" s="43" t="str">
        <f>IFERROR(__xludf.DUMMYFUNCTION("""COMPUTED_VALUE"""),"short")</f>
        <v>short</v>
      </c>
      <c r="N521" s="45">
        <f>IFERROR(__xludf.DUMMYFUNCTION("""COMPUTED_VALUE"""),44993.0)</f>
        <v>44993</v>
      </c>
      <c r="O521" s="45">
        <f>IFERROR(__xludf.DUMMYFUNCTION("""COMPUTED_VALUE"""),45082.0)</f>
        <v>45082</v>
      </c>
      <c r="P521" s="45">
        <f>IFERROR(__xludf.DUMMYFUNCTION("""COMPUTED_VALUE"""),45124.0)</f>
        <v>45124</v>
      </c>
      <c r="Q521" s="45">
        <f>IFERROR(__xludf.DUMMYFUNCTION("""COMPUTED_VALUE"""),45081.0)</f>
        <v>45081</v>
      </c>
      <c r="R521" s="45">
        <f>IFERROR(__xludf.DUMMYFUNCTION("""COMPUTED_VALUE"""),45124.0)</f>
        <v>45124</v>
      </c>
      <c r="S521" s="43"/>
      <c r="T521" s="43"/>
      <c r="U521" s="43" t="str">
        <f>IFERROR(__xludf.DUMMYFUNCTION("""COMPUTED_VALUE"""),"Global Classroom")</f>
        <v>Global Classroom</v>
      </c>
      <c r="V521" s="43" t="str">
        <f>IFERROR(__xludf.DUMMYFUNCTION("""COMPUTED_VALUE"""),"Kyzylorda")</f>
        <v>Kyzylorda</v>
      </c>
      <c r="W521" s="43" t="str">
        <f>IFERROR(__xludf.DUMMYFUNCTION("""COMPUTED_VALUE"""),"2023-03-05T18:03:16Z")</f>
        <v>2023-03-05T18:03:16Z</v>
      </c>
      <c r="X521" s="43"/>
      <c r="Y521" s="43"/>
      <c r="Z521" s="43"/>
    </row>
    <row r="522" hidden="1">
      <c r="A522" s="43" t="str">
        <f>IFERROR(__xludf.DUMMYFUNCTION("""COMPUTED_VALUE"""),"5171478_1284976")</f>
        <v>5171478_1284976</v>
      </c>
      <c r="B522" s="43" t="str">
        <f>IFERROR(__xludf.DUMMYFUNCTION("""COMPUTED_VALUE"""),"Farah Hammami")</f>
        <v>Farah Hammami</v>
      </c>
      <c r="C522" s="43" t="str">
        <f>IFERROR(__xludf.DUMMYFUNCTION("""COMPUTED_VALUE"""),"approved")</f>
        <v>approved</v>
      </c>
      <c r="D522" s="43" t="str">
        <f>IFERROR(__xludf.DUMMYFUNCTION("""COMPUTED_VALUE"""),"No")</f>
        <v>No</v>
      </c>
      <c r="E522" s="43" t="str">
        <f>IFERROR(__xludf.DUMMYFUNCTION("""COMPUTED_VALUE"""),"p_dbf31cb44dd303b0da24af2a4b935f550880db0e@inbound.aiesec.org")</f>
        <v>p_dbf31cb44dd303b0da24af2a4b935f550880db0e@inbound.aiesec.org</v>
      </c>
      <c r="F522" s="43"/>
      <c r="G522" s="43" t="str">
        <f>IFERROR(__xludf.DUMMYFUNCTION("""COMPUTED_VALUE"""),"Tunisia")</f>
        <v>Tunisia</v>
      </c>
      <c r="H522" s="43" t="str">
        <f>IFERROR(__xludf.DUMMYFUNCTION("""COMPUTED_VALUE"""),"Bizerte")</f>
        <v>Bizerte</v>
      </c>
      <c r="I522" s="43" t="str">
        <f>IFERROR(__xludf.DUMMYFUNCTION("""COMPUTED_VALUE"""),"Turkey")</f>
        <v>Turkey</v>
      </c>
      <c r="J522" s="43" t="str">
        <f>IFERROR(__xludf.DUMMYFUNCTION("""COMPUTED_VALUE"""),"ISPARTA")</f>
        <v>ISPARTA</v>
      </c>
      <c r="K522" s="44" t="str">
        <f>IFERROR(__xludf.DUMMYFUNCTION("""COMPUTED_VALUE"""),"https://expa.aiesec.org/opportunities/1284976")</f>
        <v>https://expa.aiesec.org/opportunities/1284976</v>
      </c>
      <c r="L522" s="43" t="str">
        <f>IFERROR(__xludf.DUMMYFUNCTION("""COMPUTED_VALUE"""),"GV")</f>
        <v>GV</v>
      </c>
      <c r="M522" s="43" t="str">
        <f>IFERROR(__xludf.DUMMYFUNCTION("""COMPUTED_VALUE"""),"short")</f>
        <v>short</v>
      </c>
      <c r="N522" s="45">
        <f>IFERROR(__xludf.DUMMYFUNCTION("""COMPUTED_VALUE"""),44994.0)</f>
        <v>44994</v>
      </c>
      <c r="O522" s="45">
        <f>IFERROR(__xludf.DUMMYFUNCTION("""COMPUTED_VALUE"""),45124.0)</f>
        <v>45124</v>
      </c>
      <c r="P522" s="45">
        <f>IFERROR(__xludf.DUMMYFUNCTION("""COMPUTED_VALUE"""),45166.0)</f>
        <v>45166</v>
      </c>
      <c r="Q522" s="45"/>
      <c r="R522" s="45"/>
      <c r="S522" s="43"/>
      <c r="T522" s="43"/>
      <c r="U522" s="43" t="str">
        <f>IFERROR(__xludf.DUMMYFUNCTION("""COMPUTED_VALUE"""),"Youth 4 Impact")</f>
        <v>Youth 4 Impact</v>
      </c>
      <c r="V522" s="43" t="str">
        <f>IFERROR(__xludf.DUMMYFUNCTION("""COMPUTED_VALUE"""),"-")</f>
        <v>-</v>
      </c>
      <c r="W522" s="43" t="str">
        <f>IFERROR(__xludf.DUMMYFUNCTION("""COMPUTED_VALUE"""),"2022-12-29T21:31:38Z")</f>
        <v>2022-12-29T21:31:38Z</v>
      </c>
      <c r="X522" s="43"/>
      <c r="Y522" s="43"/>
      <c r="Z522" s="43"/>
    </row>
    <row r="523" hidden="1">
      <c r="A523" s="43" t="str">
        <f>IFERROR(__xludf.DUMMYFUNCTION("""COMPUTED_VALUE"""),"5207352_1292535")</f>
        <v>5207352_1292535</v>
      </c>
      <c r="B523" s="43" t="str">
        <f>IFERROR(__xludf.DUMMYFUNCTION("""COMPUTED_VALUE"""),"Farah Toumi")</f>
        <v>Farah Toumi</v>
      </c>
      <c r="C523" s="43" t="str">
        <f>IFERROR(__xludf.DUMMYFUNCTION("""COMPUTED_VALUE"""),"completed")</f>
        <v>completed</v>
      </c>
      <c r="D523" s="43" t="str">
        <f>IFERROR(__xludf.DUMMYFUNCTION("""COMPUTED_VALUE"""),"No")</f>
        <v>No</v>
      </c>
      <c r="E523" s="43" t="str">
        <f>IFERROR(__xludf.DUMMYFUNCTION("""COMPUTED_VALUE"""),"p_aa52f0a56dc84b27d3ae208ba3fb998d6d45102a@inbound.aiesec.org")</f>
        <v>p_aa52f0a56dc84b27d3ae208ba3fb998d6d45102a@inbound.aiesec.org</v>
      </c>
      <c r="F523" s="43">
        <f>IFERROR(__xludf.DUMMYFUNCTION("""COMPUTED_VALUE"""),5.2120961E7)</f>
        <v>52120961</v>
      </c>
      <c r="G523" s="43" t="str">
        <f>IFERROR(__xludf.DUMMYFUNCTION("""COMPUTED_VALUE"""),"Tunisia")</f>
        <v>Tunisia</v>
      </c>
      <c r="H523" s="43" t="str">
        <f>IFERROR(__xludf.DUMMYFUNCTION("""COMPUTED_VALUE"""),"BARDO")</f>
        <v>BARDO</v>
      </c>
      <c r="I523" s="43" t="str">
        <f>IFERROR(__xludf.DUMMYFUNCTION("""COMPUTED_VALUE"""),"Turkey")</f>
        <v>Turkey</v>
      </c>
      <c r="J523" s="43" t="str">
        <f>IFERROR(__xludf.DUMMYFUNCTION("""COMPUTED_VALUE"""),"ESKISEHIR")</f>
        <v>ESKISEHIR</v>
      </c>
      <c r="K523" s="44" t="str">
        <f>IFERROR(__xludf.DUMMYFUNCTION("""COMPUTED_VALUE"""),"https://expa.aiesec.org/opportunities/1292535")</f>
        <v>https://expa.aiesec.org/opportunities/1292535</v>
      </c>
      <c r="L523" s="43" t="str">
        <f>IFERROR(__xludf.DUMMYFUNCTION("""COMPUTED_VALUE"""),"GV")</f>
        <v>GV</v>
      </c>
      <c r="M523" s="43" t="str">
        <f>IFERROR(__xludf.DUMMYFUNCTION("""COMPUTED_VALUE"""),"short")</f>
        <v>short</v>
      </c>
      <c r="N523" s="45">
        <f>IFERROR(__xludf.DUMMYFUNCTION("""COMPUTED_VALUE"""),44994.0)</f>
        <v>44994</v>
      </c>
      <c r="O523" s="45">
        <f>IFERROR(__xludf.DUMMYFUNCTION("""COMPUTED_VALUE"""),45117.0)</f>
        <v>45117</v>
      </c>
      <c r="P523" s="45">
        <f>IFERROR(__xludf.DUMMYFUNCTION("""COMPUTED_VALUE"""),45159.0)</f>
        <v>45159</v>
      </c>
      <c r="Q523" s="45">
        <f>IFERROR(__xludf.DUMMYFUNCTION("""COMPUTED_VALUE"""),45118.0)</f>
        <v>45118</v>
      </c>
      <c r="R523" s="45">
        <f>IFERROR(__xludf.DUMMYFUNCTION("""COMPUTED_VALUE"""),45159.0)</f>
        <v>45159</v>
      </c>
      <c r="S523" s="43"/>
      <c r="T523" s="43"/>
      <c r="U523" s="43" t="str">
        <f>IFERROR(__xludf.DUMMYFUNCTION("""COMPUTED_VALUE"""),"Global Classroom")</f>
        <v>Global Classroom</v>
      </c>
      <c r="V523" s="43" t="str">
        <f>IFERROR(__xludf.DUMMYFUNCTION("""COMPUTED_VALUE"""),"TBS")</f>
        <v>TBS</v>
      </c>
      <c r="W523" s="43" t="str">
        <f>IFERROR(__xludf.DUMMYFUNCTION("""COMPUTED_VALUE"""),"2023-03-06T12:15:33Z")</f>
        <v>2023-03-06T12:15:33Z</v>
      </c>
      <c r="X523" s="43"/>
      <c r="Y523" s="43"/>
      <c r="Z523" s="43"/>
    </row>
    <row r="524" hidden="1">
      <c r="A524" s="43" t="str">
        <f>IFERROR(__xludf.DUMMYFUNCTION("""COMPUTED_VALUE"""),"5205664_1281010")</f>
        <v>5205664_1281010</v>
      </c>
      <c r="B524" s="43" t="str">
        <f>IFERROR(__xludf.DUMMYFUNCTION("""COMPUTED_VALUE"""),"Zitouni Esra")</f>
        <v>Zitouni Esra</v>
      </c>
      <c r="C524" s="43" t="str">
        <f>IFERROR(__xludf.DUMMYFUNCTION("""COMPUTED_VALUE"""),"completed")</f>
        <v>completed</v>
      </c>
      <c r="D524" s="43" t="str">
        <f>IFERROR(__xludf.DUMMYFUNCTION("""COMPUTED_VALUE"""),"No")</f>
        <v>No</v>
      </c>
      <c r="E524" s="43" t="str">
        <f>IFERROR(__xludf.DUMMYFUNCTION("""COMPUTED_VALUE"""),"p_55eee4c54f817795c3b019c774144207f2a5189a@inbound.aiesec.org")</f>
        <v>p_55eee4c54f817795c3b019c774144207f2a5189a@inbound.aiesec.org</v>
      </c>
      <c r="F524" s="43"/>
      <c r="G524" s="43" t="str">
        <f>IFERROR(__xludf.DUMMYFUNCTION("""COMPUTED_VALUE"""),"Tunisia")</f>
        <v>Tunisia</v>
      </c>
      <c r="H524" s="43" t="str">
        <f>IFERROR(__xludf.DUMMYFUNCTION("""COMPUTED_VALUE"""),"BARDO")</f>
        <v>BARDO</v>
      </c>
      <c r="I524" s="43" t="str">
        <f>IFERROR(__xludf.DUMMYFUNCTION("""COMPUTED_VALUE"""),"Turkey")</f>
        <v>Turkey</v>
      </c>
      <c r="J524" s="43" t="str">
        <f>IFERROR(__xludf.DUMMYFUNCTION("""COMPUTED_VALUE"""),"KOCAELI")</f>
        <v>KOCAELI</v>
      </c>
      <c r="K524" s="44" t="str">
        <f>IFERROR(__xludf.DUMMYFUNCTION("""COMPUTED_VALUE"""),"https://expa.aiesec.org/opportunities/1281010")</f>
        <v>https://expa.aiesec.org/opportunities/1281010</v>
      </c>
      <c r="L524" s="43" t="str">
        <f>IFERROR(__xludf.DUMMYFUNCTION("""COMPUTED_VALUE"""),"GV")</f>
        <v>GV</v>
      </c>
      <c r="M524" s="43" t="str">
        <f>IFERROR(__xludf.DUMMYFUNCTION("""COMPUTED_VALUE"""),"short")</f>
        <v>short</v>
      </c>
      <c r="N524" s="45">
        <f>IFERROR(__xludf.DUMMYFUNCTION("""COMPUTED_VALUE"""),44994.0)</f>
        <v>44994</v>
      </c>
      <c r="O524" s="45">
        <f>IFERROR(__xludf.DUMMYFUNCTION("""COMPUTED_VALUE"""),45117.0)</f>
        <v>45117</v>
      </c>
      <c r="P524" s="45">
        <f>IFERROR(__xludf.DUMMYFUNCTION("""COMPUTED_VALUE"""),45159.0)</f>
        <v>45159</v>
      </c>
      <c r="Q524" s="45">
        <f>IFERROR(__xludf.DUMMYFUNCTION("""COMPUTED_VALUE"""),45116.0)</f>
        <v>45116</v>
      </c>
      <c r="R524" s="45">
        <f>IFERROR(__xludf.DUMMYFUNCTION("""COMPUTED_VALUE"""),45159.0)</f>
        <v>45159</v>
      </c>
      <c r="S524" s="43"/>
      <c r="T524" s="43"/>
      <c r="U524" s="43" t="str">
        <f>IFERROR(__xludf.DUMMYFUNCTION("""COMPUTED_VALUE"""),"Global Classroom")</f>
        <v>Global Classroom</v>
      </c>
      <c r="V524" s="43" t="str">
        <f>IFERROR(__xludf.DUMMYFUNCTION("""COMPUTED_VALUE"""),"-")</f>
        <v>-</v>
      </c>
      <c r="W524" s="43" t="str">
        <f>IFERROR(__xludf.DUMMYFUNCTION("""COMPUTED_VALUE"""),"2023-03-04T16:01:03Z")</f>
        <v>2023-03-04T16:01:03Z</v>
      </c>
      <c r="X524" s="43"/>
      <c r="Y524" s="43"/>
      <c r="Z524" s="43"/>
    </row>
    <row r="525" hidden="1">
      <c r="A525" s="43" t="str">
        <f>IFERROR(__xludf.DUMMYFUNCTION("""COMPUTED_VALUE"""),"5109405_1291929")</f>
        <v>5109405_1291929</v>
      </c>
      <c r="B525" s="43" t="str">
        <f>IFERROR(__xludf.DUMMYFUNCTION("""COMPUTED_VALUE"""),"Mustafa Elsayed")</f>
        <v>Mustafa Elsayed</v>
      </c>
      <c r="C525" s="43" t="str">
        <f>IFERROR(__xludf.DUMMYFUNCTION("""COMPUTED_VALUE"""),"completed")</f>
        <v>completed</v>
      </c>
      <c r="D525" s="43" t="str">
        <f>IFERROR(__xludf.DUMMYFUNCTION("""COMPUTED_VALUE"""),"No")</f>
        <v>No</v>
      </c>
      <c r="E525" s="43" t="str">
        <f>IFERROR(__xludf.DUMMYFUNCTION("""COMPUTED_VALUE"""),"p_69982b07edc182a67720c1b6c8de815d8b1a3494@inbound.aiesec.org")</f>
        <v>p_69982b07edc182a67720c1b6c8de815d8b1a3494@inbound.aiesec.org</v>
      </c>
      <c r="F525" s="43">
        <f>IFERROR(__xludf.DUMMYFUNCTION("""COMPUTED_VALUE"""),1.01211016E9)</f>
        <v>1012110160</v>
      </c>
      <c r="G525" s="43" t="str">
        <f>IFERROR(__xludf.DUMMYFUNCTION("""COMPUTED_VALUE"""),"Egypt")</f>
        <v>Egypt</v>
      </c>
      <c r="H525" s="43" t="str">
        <f>IFERROR(__xludf.DUMMYFUNCTION("""COMPUTED_VALUE"""),"Cairo University")</f>
        <v>Cairo University</v>
      </c>
      <c r="I525" s="43" t="str">
        <f>IFERROR(__xludf.DUMMYFUNCTION("""COMPUTED_VALUE"""),"Turkey")</f>
        <v>Turkey</v>
      </c>
      <c r="J525" s="43" t="str">
        <f>IFERROR(__xludf.DUMMYFUNCTION("""COMPUTED_VALUE"""),"TRABZON")</f>
        <v>TRABZON</v>
      </c>
      <c r="K525" s="44" t="str">
        <f>IFERROR(__xludf.DUMMYFUNCTION("""COMPUTED_VALUE"""),"https://expa.aiesec.org/opportunities/1291929")</f>
        <v>https://expa.aiesec.org/opportunities/1291929</v>
      </c>
      <c r="L525" s="43" t="str">
        <f>IFERROR(__xludf.DUMMYFUNCTION("""COMPUTED_VALUE"""),"GV")</f>
        <v>GV</v>
      </c>
      <c r="M525" s="43" t="str">
        <f>IFERROR(__xludf.DUMMYFUNCTION("""COMPUTED_VALUE"""),"short")</f>
        <v>short</v>
      </c>
      <c r="N525" s="45">
        <f>IFERROR(__xludf.DUMMYFUNCTION("""COMPUTED_VALUE"""),44994.0)</f>
        <v>44994</v>
      </c>
      <c r="O525" s="45">
        <f>IFERROR(__xludf.DUMMYFUNCTION("""COMPUTED_VALUE"""),45128.0)</f>
        <v>45128</v>
      </c>
      <c r="P525" s="45">
        <f>IFERROR(__xludf.DUMMYFUNCTION("""COMPUTED_VALUE"""),45170.0)</f>
        <v>45170</v>
      </c>
      <c r="Q525" s="45">
        <f>IFERROR(__xludf.DUMMYFUNCTION("""COMPUTED_VALUE"""),45135.0)</f>
        <v>45135</v>
      </c>
      <c r="R525" s="45">
        <f>IFERROR(__xludf.DUMMYFUNCTION("""COMPUTED_VALUE"""),45177.0)</f>
        <v>45177</v>
      </c>
      <c r="S525" s="43"/>
      <c r="T525" s="43"/>
      <c r="U525" s="43" t="str">
        <f>IFERROR(__xludf.DUMMYFUNCTION("""COMPUTED_VALUE"""),"Global Classroom")</f>
        <v>Global Classroom</v>
      </c>
      <c r="V525" s="43" t="str">
        <f>IFERROR(__xludf.DUMMYFUNCTION("""COMPUTED_VALUE"""),"Cairo Univeristy")</f>
        <v>Cairo Univeristy</v>
      </c>
      <c r="W525" s="43" t="str">
        <f>IFERROR(__xludf.DUMMYFUNCTION("""COMPUTED_VALUE"""),"2022-09-10T13:24:25Z")</f>
        <v>2022-09-10T13:24:25Z</v>
      </c>
      <c r="X525" s="43"/>
      <c r="Y525" s="43"/>
      <c r="Z525" s="43"/>
    </row>
    <row r="526" hidden="1">
      <c r="A526" s="43" t="str">
        <f>IFERROR(__xludf.DUMMYFUNCTION("""COMPUTED_VALUE"""),"5200060_1290826")</f>
        <v>5200060_1290826</v>
      </c>
      <c r="B526" s="43" t="str">
        <f>IFERROR(__xludf.DUMMYFUNCTION("""COMPUTED_VALUE"""),"salma boubakri")</f>
        <v>salma boubakri</v>
      </c>
      <c r="C526" s="43" t="str">
        <f>IFERROR(__xludf.DUMMYFUNCTION("""COMPUTED_VALUE"""),"approved")</f>
        <v>approved</v>
      </c>
      <c r="D526" s="43" t="str">
        <f>IFERROR(__xludf.DUMMYFUNCTION("""COMPUTED_VALUE"""),"No")</f>
        <v>No</v>
      </c>
      <c r="E526" s="43" t="str">
        <f>IFERROR(__xludf.DUMMYFUNCTION("""COMPUTED_VALUE"""),"p_6bc534a777d940ef22059809668f8e54cca51fd9@inbound.aiesec.org")</f>
        <v>p_6bc534a777d940ef22059809668f8e54cca51fd9@inbound.aiesec.org</v>
      </c>
      <c r="F526" s="43">
        <f>IFERROR(__xludf.DUMMYFUNCTION("""COMPUTED_VALUE"""),2.4412722E7)</f>
        <v>24412722</v>
      </c>
      <c r="G526" s="43" t="str">
        <f>IFERROR(__xludf.DUMMYFUNCTION("""COMPUTED_VALUE"""),"Tunisia")</f>
        <v>Tunisia</v>
      </c>
      <c r="H526" s="43" t="str">
        <f>IFERROR(__xludf.DUMMYFUNCTION("""COMPUTED_VALUE"""),"BARDO")</f>
        <v>BARDO</v>
      </c>
      <c r="I526" s="43" t="str">
        <f>IFERROR(__xludf.DUMMYFUNCTION("""COMPUTED_VALUE"""),"Turkey")</f>
        <v>Turkey</v>
      </c>
      <c r="J526" s="43" t="str">
        <f>IFERROR(__xludf.DUMMYFUNCTION("""COMPUTED_VALUE"""),"KOCAELI")</f>
        <v>KOCAELI</v>
      </c>
      <c r="K526" s="44" t="str">
        <f>IFERROR(__xludf.DUMMYFUNCTION("""COMPUTED_VALUE"""),"https://expa.aiesec.org/opportunities/1290826")</f>
        <v>https://expa.aiesec.org/opportunities/1290826</v>
      </c>
      <c r="L526" s="43" t="str">
        <f>IFERROR(__xludf.DUMMYFUNCTION("""COMPUTED_VALUE"""),"GV")</f>
        <v>GV</v>
      </c>
      <c r="M526" s="43" t="str">
        <f>IFERROR(__xludf.DUMMYFUNCTION("""COMPUTED_VALUE"""),"short")</f>
        <v>short</v>
      </c>
      <c r="N526" s="45">
        <f>IFERROR(__xludf.DUMMYFUNCTION("""COMPUTED_VALUE"""),44995.0)</f>
        <v>44995</v>
      </c>
      <c r="O526" s="45">
        <f>IFERROR(__xludf.DUMMYFUNCTION("""COMPUTED_VALUE"""),45166.0)</f>
        <v>45166</v>
      </c>
      <c r="P526" s="45">
        <f>IFERROR(__xludf.DUMMYFUNCTION("""COMPUTED_VALUE"""),45208.0)</f>
        <v>45208</v>
      </c>
      <c r="Q526" s="45"/>
      <c r="R526" s="45"/>
      <c r="S526" s="43"/>
      <c r="T526" s="43"/>
      <c r="U526" s="43" t="str">
        <f>IFERROR(__xludf.DUMMYFUNCTION("""COMPUTED_VALUE"""),"Global Classroom")</f>
        <v>Global Classroom</v>
      </c>
      <c r="V526" s="43" t="str">
        <f>IFERROR(__xludf.DUMMYFUNCTION("""COMPUTED_VALUE"""),"ESPRIT School of Business")</f>
        <v>ESPRIT School of Business</v>
      </c>
      <c r="W526" s="43" t="str">
        <f>IFERROR(__xludf.DUMMYFUNCTION("""COMPUTED_VALUE"""),"2023-02-27T09:42:28Z")</f>
        <v>2023-02-27T09:42:28Z</v>
      </c>
      <c r="X526" s="43"/>
      <c r="Y526" s="43"/>
      <c r="Z526" s="43"/>
    </row>
    <row r="527" hidden="1">
      <c r="A527" s="43" t="str">
        <f>IFERROR(__xludf.DUMMYFUNCTION("""COMPUTED_VALUE"""),"5209096_1289228")</f>
        <v>5209096_1289228</v>
      </c>
      <c r="B527" s="43" t="str">
        <f>IFERROR(__xludf.DUMMYFUNCTION("""COMPUTED_VALUE"""),"Sondos Elfeky")</f>
        <v>Sondos Elfeky</v>
      </c>
      <c r="C527" s="43" t="str">
        <f>IFERROR(__xludf.DUMMYFUNCTION("""COMPUTED_VALUE"""),"finished")</f>
        <v>finished</v>
      </c>
      <c r="D527" s="43" t="str">
        <f>IFERROR(__xludf.DUMMYFUNCTION("""COMPUTED_VALUE"""),"No")</f>
        <v>No</v>
      </c>
      <c r="E527" s="43" t="str">
        <f>IFERROR(__xludf.DUMMYFUNCTION("""COMPUTED_VALUE"""),"p_21195a7fb446b23e9c9b93717e0fa09e2f4d443c@inbound.aiesec.org")</f>
        <v>p_21195a7fb446b23e9c9b93717e0fa09e2f4d443c@inbound.aiesec.org</v>
      </c>
      <c r="F527" s="43">
        <f>IFERROR(__xludf.DUMMYFUNCTION("""COMPUTED_VALUE"""),1.148031701E9)</f>
        <v>1148031701</v>
      </c>
      <c r="G527" s="43" t="str">
        <f>IFERROR(__xludf.DUMMYFUNCTION("""COMPUTED_VALUE"""),"Egypt")</f>
        <v>Egypt</v>
      </c>
      <c r="H527" s="43" t="str">
        <f>IFERROR(__xludf.DUMMYFUNCTION("""COMPUTED_VALUE"""),"Alexandria")</f>
        <v>Alexandria</v>
      </c>
      <c r="I527" s="43" t="str">
        <f>IFERROR(__xludf.DUMMYFUNCTION("""COMPUTED_VALUE"""),"Turkey")</f>
        <v>Turkey</v>
      </c>
      <c r="J527" s="43" t="str">
        <f>IFERROR(__xludf.DUMMYFUNCTION("""COMPUTED_VALUE"""),"ISTANBUL WEST")</f>
        <v>ISTANBUL WEST</v>
      </c>
      <c r="K527" s="44" t="str">
        <f>IFERROR(__xludf.DUMMYFUNCTION("""COMPUTED_VALUE"""),"https://expa.aiesec.org/opportunities/1289228")</f>
        <v>https://expa.aiesec.org/opportunities/1289228</v>
      </c>
      <c r="L527" s="43" t="str">
        <f>IFERROR(__xludf.DUMMYFUNCTION("""COMPUTED_VALUE"""),"GV")</f>
        <v>GV</v>
      </c>
      <c r="M527" s="43" t="str">
        <f>IFERROR(__xludf.DUMMYFUNCTION("""COMPUTED_VALUE"""),"short")</f>
        <v>short</v>
      </c>
      <c r="N527" s="45">
        <f>IFERROR(__xludf.DUMMYFUNCTION("""COMPUTED_VALUE"""),44996.0)</f>
        <v>44996</v>
      </c>
      <c r="O527" s="45">
        <f>IFERROR(__xludf.DUMMYFUNCTION("""COMPUTED_VALUE"""),45187.0)</f>
        <v>45187</v>
      </c>
      <c r="P527" s="45">
        <f>IFERROR(__xludf.DUMMYFUNCTION("""COMPUTED_VALUE"""),45229.0)</f>
        <v>45229</v>
      </c>
      <c r="Q527" s="45">
        <f>IFERROR(__xludf.DUMMYFUNCTION("""COMPUTED_VALUE"""),45188.0)</f>
        <v>45188</v>
      </c>
      <c r="R527" s="45">
        <f>IFERROR(__xludf.DUMMYFUNCTION("""COMPUTED_VALUE"""),45229.0)</f>
        <v>45229</v>
      </c>
      <c r="S527" s="43"/>
      <c r="T527" s="43"/>
      <c r="U527" s="43" t="str">
        <f>IFERROR(__xludf.DUMMYFUNCTION("""COMPUTED_VALUE"""),"Global Classroom")</f>
        <v>Global Classroom</v>
      </c>
      <c r="V527" s="43" t="str">
        <f>IFERROR(__xludf.DUMMYFUNCTION("""COMPUTED_VALUE"""),"Alexandria University")</f>
        <v>Alexandria University</v>
      </c>
      <c r="W527" s="43" t="str">
        <f>IFERROR(__xludf.DUMMYFUNCTION("""COMPUTED_VALUE"""),"2023-03-07T20:18:03Z")</f>
        <v>2023-03-07T20:18:03Z</v>
      </c>
      <c r="X527" s="43"/>
      <c r="Y527" s="43"/>
      <c r="Z527" s="43"/>
    </row>
    <row r="528" hidden="1">
      <c r="A528" s="43" t="str">
        <f>IFERROR(__xludf.DUMMYFUNCTION("""COMPUTED_VALUE"""),"4596845_1287101")</f>
        <v>4596845_1287101</v>
      </c>
      <c r="B528" s="43" t="str">
        <f>IFERROR(__xludf.DUMMYFUNCTION("""COMPUTED_VALUE"""),"Ahmed Suleiman")</f>
        <v>Ahmed Suleiman</v>
      </c>
      <c r="C528" s="43" t="str">
        <f>IFERROR(__xludf.DUMMYFUNCTION("""COMPUTED_VALUE"""),"finished")</f>
        <v>finished</v>
      </c>
      <c r="D528" s="43" t="str">
        <f>IFERROR(__xludf.DUMMYFUNCTION("""COMPUTED_VALUE"""),"No")</f>
        <v>No</v>
      </c>
      <c r="E528" s="43" t="str">
        <f>IFERROR(__xludf.DUMMYFUNCTION("""COMPUTED_VALUE"""),"p_5352eec26ec6834b3b140aaad4a526abde24bc1f@inbound.aiesec.org")</f>
        <v>p_5352eec26ec6834b3b140aaad4a526abde24bc1f@inbound.aiesec.org</v>
      </c>
      <c r="F528" s="43">
        <f>IFERROR(__xludf.DUMMYFUNCTION("""COMPUTED_VALUE"""),1.221314025E9)</f>
        <v>1221314025</v>
      </c>
      <c r="G528" s="43" t="str">
        <f>IFERROR(__xludf.DUMMYFUNCTION("""COMPUTED_VALUE"""),"Egypt")</f>
        <v>Egypt</v>
      </c>
      <c r="H528" s="43" t="str">
        <f>IFERROR(__xludf.DUMMYFUNCTION("""COMPUTED_VALUE"""),"Alexandria")</f>
        <v>Alexandria</v>
      </c>
      <c r="I528" s="43" t="str">
        <f>IFERROR(__xludf.DUMMYFUNCTION("""COMPUTED_VALUE"""),"Turkey")</f>
        <v>Turkey</v>
      </c>
      <c r="J528" s="43" t="str">
        <f>IFERROR(__xludf.DUMMYFUNCTION("""COMPUTED_VALUE"""),"İZMİR")</f>
        <v>İZMİR</v>
      </c>
      <c r="K528" s="44" t="str">
        <f>IFERROR(__xludf.DUMMYFUNCTION("""COMPUTED_VALUE"""),"https://expa.aiesec.org/opportunities/1287101")</f>
        <v>https://expa.aiesec.org/opportunities/1287101</v>
      </c>
      <c r="L528" s="43" t="str">
        <f>IFERROR(__xludf.DUMMYFUNCTION("""COMPUTED_VALUE"""),"GV")</f>
        <v>GV</v>
      </c>
      <c r="M528" s="43" t="str">
        <f>IFERROR(__xludf.DUMMYFUNCTION("""COMPUTED_VALUE"""),"short")</f>
        <v>short</v>
      </c>
      <c r="N528" s="45">
        <f>IFERROR(__xludf.DUMMYFUNCTION("""COMPUTED_VALUE"""),44996.0)</f>
        <v>44996</v>
      </c>
      <c r="O528" s="45">
        <f>IFERROR(__xludf.DUMMYFUNCTION("""COMPUTED_VALUE"""),45256.0)</f>
        <v>45256</v>
      </c>
      <c r="P528" s="45">
        <f>IFERROR(__xludf.DUMMYFUNCTION("""COMPUTED_VALUE"""),45298.0)</f>
        <v>45298</v>
      </c>
      <c r="Q528" s="45">
        <f>IFERROR(__xludf.DUMMYFUNCTION("""COMPUTED_VALUE"""),45258.0)</f>
        <v>45258</v>
      </c>
      <c r="R528" s="45">
        <f>IFERROR(__xludf.DUMMYFUNCTION("""COMPUTED_VALUE"""),45300.0)</f>
        <v>45300</v>
      </c>
      <c r="S528" s="43"/>
      <c r="T528" s="43"/>
      <c r="U528" s="43" t="str">
        <f>IFERROR(__xludf.DUMMYFUNCTION("""COMPUTED_VALUE"""),"Global Classroom")</f>
        <v>Global Classroom</v>
      </c>
      <c r="V528" s="43" t="str">
        <f>IFERROR(__xludf.DUMMYFUNCTION("""COMPUTED_VALUE"""),"Alexandria University")</f>
        <v>Alexandria University</v>
      </c>
      <c r="W528" s="43" t="str">
        <f>IFERROR(__xludf.DUMMYFUNCTION("""COMPUTED_VALUE"""),"2021-03-28T15:39:36Z")</f>
        <v>2021-03-28T15:39:36Z</v>
      </c>
      <c r="X528" s="43"/>
      <c r="Y528" s="43"/>
      <c r="Z528" s="43"/>
    </row>
    <row r="529" hidden="1">
      <c r="A529" s="43" t="str">
        <f>IFERROR(__xludf.DUMMYFUNCTION("""COMPUTED_VALUE"""),"5201037_1291929")</f>
        <v>5201037_1291929</v>
      </c>
      <c r="B529" s="43" t="str">
        <f>IFERROR(__xludf.DUMMYFUNCTION("""COMPUTED_VALUE"""),"Tarek Ahmed")</f>
        <v>Tarek Ahmed</v>
      </c>
      <c r="C529" s="43" t="str">
        <f>IFERROR(__xludf.DUMMYFUNCTION("""COMPUTED_VALUE"""),"finished")</f>
        <v>finished</v>
      </c>
      <c r="D529" s="43" t="str">
        <f>IFERROR(__xludf.DUMMYFUNCTION("""COMPUTED_VALUE"""),"No")</f>
        <v>No</v>
      </c>
      <c r="E529" s="43" t="str">
        <f>IFERROR(__xludf.DUMMYFUNCTION("""COMPUTED_VALUE"""),"p_10982c5a959cbdd38e002919c6b021f87bb4b668@inbound.aiesec.org")</f>
        <v>p_10982c5a959cbdd38e002919c6b021f87bb4b668@inbound.aiesec.org</v>
      </c>
      <c r="F529" s="43">
        <f>IFERROR(__xludf.DUMMYFUNCTION("""COMPUTED_VALUE"""),1.017454929E9)</f>
        <v>1017454929</v>
      </c>
      <c r="G529" s="43" t="str">
        <f>IFERROR(__xludf.DUMMYFUNCTION("""COMPUTED_VALUE"""),"Egypt")</f>
        <v>Egypt</v>
      </c>
      <c r="H529" s="43" t="str">
        <f>IFERROR(__xludf.DUMMYFUNCTION("""COMPUTED_VALUE"""),"Alexandria")</f>
        <v>Alexandria</v>
      </c>
      <c r="I529" s="43" t="str">
        <f>IFERROR(__xludf.DUMMYFUNCTION("""COMPUTED_VALUE"""),"Turkey")</f>
        <v>Turkey</v>
      </c>
      <c r="J529" s="43" t="str">
        <f>IFERROR(__xludf.DUMMYFUNCTION("""COMPUTED_VALUE"""),"TRABZON")</f>
        <v>TRABZON</v>
      </c>
      <c r="K529" s="44" t="str">
        <f>IFERROR(__xludf.DUMMYFUNCTION("""COMPUTED_VALUE"""),"https://expa.aiesec.org/opportunities/1291929")</f>
        <v>https://expa.aiesec.org/opportunities/1291929</v>
      </c>
      <c r="L529" s="43" t="str">
        <f>IFERROR(__xludf.DUMMYFUNCTION("""COMPUTED_VALUE"""),"GV")</f>
        <v>GV</v>
      </c>
      <c r="M529" s="43" t="str">
        <f>IFERROR(__xludf.DUMMYFUNCTION("""COMPUTED_VALUE"""),"short")</f>
        <v>short</v>
      </c>
      <c r="N529" s="45">
        <f>IFERROR(__xludf.DUMMYFUNCTION("""COMPUTED_VALUE"""),44996.0)</f>
        <v>44996</v>
      </c>
      <c r="O529" s="45">
        <f>IFERROR(__xludf.DUMMYFUNCTION("""COMPUTED_VALUE"""),45128.0)</f>
        <v>45128</v>
      </c>
      <c r="P529" s="45">
        <f>IFERROR(__xludf.DUMMYFUNCTION("""COMPUTED_VALUE"""),45170.0)</f>
        <v>45170</v>
      </c>
      <c r="Q529" s="45">
        <f>IFERROR(__xludf.DUMMYFUNCTION("""COMPUTED_VALUE"""),45132.0)</f>
        <v>45132</v>
      </c>
      <c r="R529" s="45">
        <f>IFERROR(__xludf.DUMMYFUNCTION("""COMPUTED_VALUE"""),45174.0)</f>
        <v>45174</v>
      </c>
      <c r="S529" s="43"/>
      <c r="T529" s="43"/>
      <c r="U529" s="43" t="str">
        <f>IFERROR(__xludf.DUMMYFUNCTION("""COMPUTED_VALUE"""),"Global Classroom")</f>
        <v>Global Classroom</v>
      </c>
      <c r="V529" s="43" t="str">
        <f>IFERROR(__xludf.DUMMYFUNCTION("""COMPUTED_VALUE"""),"Alexandria University")</f>
        <v>Alexandria University</v>
      </c>
      <c r="W529" s="43" t="str">
        <f>IFERROR(__xludf.DUMMYFUNCTION("""COMPUTED_VALUE"""),"2023-02-28T11:48:39Z")</f>
        <v>2023-02-28T11:48:39Z</v>
      </c>
      <c r="X529" s="43"/>
      <c r="Y529" s="43"/>
      <c r="Z529" s="43"/>
    </row>
    <row r="530" hidden="1">
      <c r="A530" s="43" t="str">
        <f>IFERROR(__xludf.DUMMYFUNCTION("""COMPUTED_VALUE"""),"5204002_1292535")</f>
        <v>5204002_1292535</v>
      </c>
      <c r="B530" s="43" t="str">
        <f>IFERROR(__xludf.DUMMYFUNCTION("""COMPUTED_VALUE"""),"Alina Prepelytsia")</f>
        <v>Alina Prepelytsia</v>
      </c>
      <c r="C530" s="43" t="str">
        <f>IFERROR(__xludf.DUMMYFUNCTION("""COMPUTED_VALUE"""),"completed")</f>
        <v>completed</v>
      </c>
      <c r="D530" s="43" t="str">
        <f>IFERROR(__xludf.DUMMYFUNCTION("""COMPUTED_VALUE"""),"No")</f>
        <v>No</v>
      </c>
      <c r="E530" s="43" t="str">
        <f>IFERROR(__xludf.DUMMYFUNCTION("""COMPUTED_VALUE"""),"p_7cfd92c574fd13df2db3ed86aea00b9c47cb8324@inbound.aiesec.org")</f>
        <v>p_7cfd92c574fd13df2db3ed86aea00b9c47cb8324@inbound.aiesec.org</v>
      </c>
      <c r="F530" s="43"/>
      <c r="G530" s="43" t="str">
        <f>IFERROR(__xludf.DUMMYFUNCTION("""COMPUTED_VALUE"""),"Ukraine")</f>
        <v>Ukraine</v>
      </c>
      <c r="H530" s="43" t="str">
        <f>IFERROR(__xludf.DUMMYFUNCTION("""COMPUTED_VALUE"""),"ODESA")</f>
        <v>ODESA</v>
      </c>
      <c r="I530" s="43" t="str">
        <f>IFERROR(__xludf.DUMMYFUNCTION("""COMPUTED_VALUE"""),"Turkey")</f>
        <v>Turkey</v>
      </c>
      <c r="J530" s="43" t="str">
        <f>IFERROR(__xludf.DUMMYFUNCTION("""COMPUTED_VALUE"""),"ESKISEHIR")</f>
        <v>ESKISEHIR</v>
      </c>
      <c r="K530" s="44" t="str">
        <f>IFERROR(__xludf.DUMMYFUNCTION("""COMPUTED_VALUE"""),"https://expa.aiesec.org/opportunities/1292535")</f>
        <v>https://expa.aiesec.org/opportunities/1292535</v>
      </c>
      <c r="L530" s="43" t="str">
        <f>IFERROR(__xludf.DUMMYFUNCTION("""COMPUTED_VALUE"""),"GV")</f>
        <v>GV</v>
      </c>
      <c r="M530" s="43" t="str">
        <f>IFERROR(__xludf.DUMMYFUNCTION("""COMPUTED_VALUE"""),"short")</f>
        <v>short</v>
      </c>
      <c r="N530" s="45">
        <f>IFERROR(__xludf.DUMMYFUNCTION("""COMPUTED_VALUE"""),44997.0)</f>
        <v>44997</v>
      </c>
      <c r="O530" s="45">
        <f>IFERROR(__xludf.DUMMYFUNCTION("""COMPUTED_VALUE"""),45117.0)</f>
        <v>45117</v>
      </c>
      <c r="P530" s="45">
        <f>IFERROR(__xludf.DUMMYFUNCTION("""COMPUTED_VALUE"""),45159.0)</f>
        <v>45159</v>
      </c>
      <c r="Q530" s="45">
        <f>IFERROR(__xludf.DUMMYFUNCTION("""COMPUTED_VALUE"""),45118.0)</f>
        <v>45118</v>
      </c>
      <c r="R530" s="45">
        <f>IFERROR(__xludf.DUMMYFUNCTION("""COMPUTED_VALUE"""),45159.0)</f>
        <v>45159</v>
      </c>
      <c r="S530" s="43"/>
      <c r="T530" s="43"/>
      <c r="U530" s="43" t="str">
        <f>IFERROR(__xludf.DUMMYFUNCTION("""COMPUTED_VALUE"""),"Global Classroom")</f>
        <v>Global Classroom</v>
      </c>
      <c r="V530" s="43" t="str">
        <f>IFERROR(__xludf.DUMMYFUNCTION("""COMPUTED_VALUE"""),"-")</f>
        <v>-</v>
      </c>
      <c r="W530" s="43" t="str">
        <f>IFERROR(__xludf.DUMMYFUNCTION("""COMPUTED_VALUE"""),"2023-03-02T19:09:29Z")</f>
        <v>2023-03-02T19:09:29Z</v>
      </c>
      <c r="X530" s="43"/>
      <c r="Y530" s="43"/>
      <c r="Z530" s="43"/>
    </row>
    <row r="531" hidden="1">
      <c r="A531" s="43" t="str">
        <f>IFERROR(__xludf.DUMMYFUNCTION("""COMPUTED_VALUE"""),"5200516_1284976")</f>
        <v>5200516_1284976</v>
      </c>
      <c r="B531" s="43" t="str">
        <f>IFERROR(__xludf.DUMMYFUNCTION("""COMPUTED_VALUE"""),"Adelina Bălănică")</f>
        <v>Adelina Bălănică</v>
      </c>
      <c r="C531" s="43" t="str">
        <f>IFERROR(__xludf.DUMMYFUNCTION("""COMPUTED_VALUE"""),"approved")</f>
        <v>approved</v>
      </c>
      <c r="D531" s="43" t="str">
        <f>IFERROR(__xludf.DUMMYFUNCTION("""COMPUTED_VALUE"""),"No")</f>
        <v>No</v>
      </c>
      <c r="E531" s="43" t="str">
        <f>IFERROR(__xludf.DUMMYFUNCTION("""COMPUTED_VALUE"""),"p_1504348365e8d769f6884f570063ec9a31ebf554@inbound.aiesec.org")</f>
        <v>p_1504348365e8d769f6884f570063ec9a31ebf554@inbound.aiesec.org</v>
      </c>
      <c r="F531" s="43">
        <f>IFERROR(__xludf.DUMMYFUNCTION("""COMPUTED_VALUE"""),7.62862387E8)</f>
        <v>762862387</v>
      </c>
      <c r="G531" s="43" t="str">
        <f>IFERROR(__xludf.DUMMYFUNCTION("""COMPUTED_VALUE"""),"Romania")</f>
        <v>Romania</v>
      </c>
      <c r="H531" s="43" t="str">
        <f>IFERROR(__xludf.DUMMYFUNCTION("""COMPUTED_VALUE"""),"BUCURESTI")</f>
        <v>BUCURESTI</v>
      </c>
      <c r="I531" s="43" t="str">
        <f>IFERROR(__xludf.DUMMYFUNCTION("""COMPUTED_VALUE"""),"Turkey")</f>
        <v>Turkey</v>
      </c>
      <c r="J531" s="43" t="str">
        <f>IFERROR(__xludf.DUMMYFUNCTION("""COMPUTED_VALUE"""),"ISPARTA")</f>
        <v>ISPARTA</v>
      </c>
      <c r="K531" s="44" t="str">
        <f>IFERROR(__xludf.DUMMYFUNCTION("""COMPUTED_VALUE"""),"https://expa.aiesec.org/opportunities/1284976")</f>
        <v>https://expa.aiesec.org/opportunities/1284976</v>
      </c>
      <c r="L531" s="43" t="str">
        <f>IFERROR(__xludf.DUMMYFUNCTION("""COMPUTED_VALUE"""),"GV")</f>
        <v>GV</v>
      </c>
      <c r="M531" s="43" t="str">
        <f>IFERROR(__xludf.DUMMYFUNCTION("""COMPUTED_VALUE"""),"short")</f>
        <v>short</v>
      </c>
      <c r="N531" s="45">
        <f>IFERROR(__xludf.DUMMYFUNCTION("""COMPUTED_VALUE"""),44997.0)</f>
        <v>44997</v>
      </c>
      <c r="O531" s="45">
        <f>IFERROR(__xludf.DUMMYFUNCTION("""COMPUTED_VALUE"""),45124.0)</f>
        <v>45124</v>
      </c>
      <c r="P531" s="45">
        <f>IFERROR(__xludf.DUMMYFUNCTION("""COMPUTED_VALUE"""),45166.0)</f>
        <v>45166</v>
      </c>
      <c r="Q531" s="45"/>
      <c r="R531" s="45"/>
      <c r="S531" s="43"/>
      <c r="T531" s="43"/>
      <c r="U531" s="43" t="str">
        <f>IFERROR(__xludf.DUMMYFUNCTION("""COMPUTED_VALUE"""),"Youth 4 Impact")</f>
        <v>Youth 4 Impact</v>
      </c>
      <c r="V531" s="43" t="str">
        <f>IFERROR(__xludf.DUMMYFUNCTION("""COMPUTED_VALUE"""),"Bucuresti")</f>
        <v>Bucuresti</v>
      </c>
      <c r="W531" s="43" t="str">
        <f>IFERROR(__xludf.DUMMYFUNCTION("""COMPUTED_VALUE"""),"2023-02-27T20:02:51Z")</f>
        <v>2023-02-27T20:02:51Z</v>
      </c>
      <c r="X531" s="43"/>
      <c r="Y531" s="43"/>
      <c r="Z531" s="43"/>
    </row>
    <row r="532" hidden="1">
      <c r="A532" s="43" t="str">
        <f>IFERROR(__xludf.DUMMYFUNCTION("""COMPUTED_VALUE"""),"5214104_1291929")</f>
        <v>5214104_1291929</v>
      </c>
      <c r="B532" s="43" t="str">
        <f>IFERROR(__xludf.DUMMYFUNCTION("""COMPUTED_VALUE"""),"salma khalifa")</f>
        <v>salma khalifa</v>
      </c>
      <c r="C532" s="43" t="str">
        <f>IFERROR(__xludf.DUMMYFUNCTION("""COMPUTED_VALUE"""),"completed")</f>
        <v>completed</v>
      </c>
      <c r="D532" s="43" t="str">
        <f>IFERROR(__xludf.DUMMYFUNCTION("""COMPUTED_VALUE"""),"No")</f>
        <v>No</v>
      </c>
      <c r="E532" s="43" t="str">
        <f>IFERROR(__xludf.DUMMYFUNCTION("""COMPUTED_VALUE"""),"p_7978928b6326166a4cfc063a599d75da1c31ab6c@inbound.aiesec.org")</f>
        <v>p_7978928b6326166a4cfc063a599d75da1c31ab6c@inbound.aiesec.org</v>
      </c>
      <c r="F532" s="43">
        <f>IFERROR(__xludf.DUMMYFUNCTION("""COMPUTED_VALUE"""),9.4266399E7)</f>
        <v>94266399</v>
      </c>
      <c r="G532" s="43" t="str">
        <f>IFERROR(__xludf.DUMMYFUNCTION("""COMPUTED_VALUE"""),"Tunisia")</f>
        <v>Tunisia</v>
      </c>
      <c r="H532" s="43" t="str">
        <f>IFERROR(__xludf.DUMMYFUNCTION("""COMPUTED_VALUE"""),"BARDO")</f>
        <v>BARDO</v>
      </c>
      <c r="I532" s="43" t="str">
        <f>IFERROR(__xludf.DUMMYFUNCTION("""COMPUTED_VALUE"""),"Turkey")</f>
        <v>Turkey</v>
      </c>
      <c r="J532" s="43" t="str">
        <f>IFERROR(__xludf.DUMMYFUNCTION("""COMPUTED_VALUE"""),"TRABZON")</f>
        <v>TRABZON</v>
      </c>
      <c r="K532" s="44" t="str">
        <f>IFERROR(__xludf.DUMMYFUNCTION("""COMPUTED_VALUE"""),"https://expa.aiesec.org/opportunities/1291929")</f>
        <v>https://expa.aiesec.org/opportunities/1291929</v>
      </c>
      <c r="L532" s="43" t="str">
        <f>IFERROR(__xludf.DUMMYFUNCTION("""COMPUTED_VALUE"""),"GV")</f>
        <v>GV</v>
      </c>
      <c r="M532" s="43" t="str">
        <f>IFERROR(__xludf.DUMMYFUNCTION("""COMPUTED_VALUE"""),"short")</f>
        <v>short</v>
      </c>
      <c r="N532" s="45">
        <f>IFERROR(__xludf.DUMMYFUNCTION("""COMPUTED_VALUE"""),44998.0)</f>
        <v>44998</v>
      </c>
      <c r="O532" s="45">
        <f>IFERROR(__xludf.DUMMYFUNCTION("""COMPUTED_VALUE"""),45087.0)</f>
        <v>45087</v>
      </c>
      <c r="P532" s="45">
        <f>IFERROR(__xludf.DUMMYFUNCTION("""COMPUTED_VALUE"""),45129.0)</f>
        <v>45129</v>
      </c>
      <c r="Q532" s="45">
        <f>IFERROR(__xludf.DUMMYFUNCTION("""COMPUTED_VALUE"""),45089.0)</f>
        <v>45089</v>
      </c>
      <c r="R532" s="45">
        <f>IFERROR(__xludf.DUMMYFUNCTION("""COMPUTED_VALUE"""),45129.0)</f>
        <v>45129</v>
      </c>
      <c r="S532" s="43"/>
      <c r="T532" s="43"/>
      <c r="U532" s="43" t="str">
        <f>IFERROR(__xludf.DUMMYFUNCTION("""COMPUTED_VALUE"""),"Global Classroom")</f>
        <v>Global Classroom</v>
      </c>
      <c r="V532" s="43" t="str">
        <f>IFERROR(__xludf.DUMMYFUNCTION("""COMPUTED_VALUE"""),"TBS")</f>
        <v>TBS</v>
      </c>
      <c r="W532" s="43" t="str">
        <f>IFERROR(__xludf.DUMMYFUNCTION("""COMPUTED_VALUE"""),"2023-03-12T20:15:16Z")</f>
        <v>2023-03-12T20:15:16Z</v>
      </c>
      <c r="X532" s="43"/>
      <c r="Y532" s="43"/>
      <c r="Z532" s="43"/>
    </row>
    <row r="533" hidden="1">
      <c r="A533" s="43" t="str">
        <f>IFERROR(__xludf.DUMMYFUNCTION("""COMPUTED_VALUE"""),"5214877_1292118")</f>
        <v>5214877_1292118</v>
      </c>
      <c r="B533" s="43" t="str">
        <f>IFERROR(__xludf.DUMMYFUNCTION("""COMPUTED_VALUE"""),"jihen boughattas")</f>
        <v>jihen boughattas</v>
      </c>
      <c r="C533" s="43" t="str">
        <f>IFERROR(__xludf.DUMMYFUNCTION("""COMPUTED_VALUE"""),"completed")</f>
        <v>completed</v>
      </c>
      <c r="D533" s="43" t="str">
        <f>IFERROR(__xludf.DUMMYFUNCTION("""COMPUTED_VALUE"""),"No")</f>
        <v>No</v>
      </c>
      <c r="E533" s="43" t="str">
        <f>IFERROR(__xludf.DUMMYFUNCTION("""COMPUTED_VALUE"""),"p_ed36486a8ea026b2d7f5ab89ad30e36951ec9bbe@inbound.aiesec.org")</f>
        <v>p_ed36486a8ea026b2d7f5ab89ad30e36951ec9bbe@inbound.aiesec.org</v>
      </c>
      <c r="F533" s="43">
        <f>IFERROR(__xludf.DUMMYFUNCTION("""COMPUTED_VALUE"""),9.3119059E7)</f>
        <v>93119059</v>
      </c>
      <c r="G533" s="43" t="str">
        <f>IFERROR(__xludf.DUMMYFUNCTION("""COMPUTED_VALUE"""),"Tunisia")</f>
        <v>Tunisia</v>
      </c>
      <c r="H533" s="43" t="str">
        <f>IFERROR(__xludf.DUMMYFUNCTION("""COMPUTED_VALUE"""),"BARDO")</f>
        <v>BARDO</v>
      </c>
      <c r="I533" s="43" t="str">
        <f>IFERROR(__xludf.DUMMYFUNCTION("""COMPUTED_VALUE"""),"Turkey")</f>
        <v>Turkey</v>
      </c>
      <c r="J533" s="43" t="str">
        <f>IFERROR(__xludf.DUMMYFUNCTION("""COMPUTED_VALUE"""),"KOCAELI")</f>
        <v>KOCAELI</v>
      </c>
      <c r="K533" s="44" t="str">
        <f>IFERROR(__xludf.DUMMYFUNCTION("""COMPUTED_VALUE"""),"https://expa.aiesec.org/opportunities/1292118")</f>
        <v>https://expa.aiesec.org/opportunities/1292118</v>
      </c>
      <c r="L533" s="43" t="str">
        <f>IFERROR(__xludf.DUMMYFUNCTION("""COMPUTED_VALUE"""),"GV")</f>
        <v>GV</v>
      </c>
      <c r="M533" s="43" t="str">
        <f>IFERROR(__xludf.DUMMYFUNCTION("""COMPUTED_VALUE"""),"short")</f>
        <v>short</v>
      </c>
      <c r="N533" s="45">
        <f>IFERROR(__xludf.DUMMYFUNCTION("""COMPUTED_VALUE"""),44998.0)</f>
        <v>44998</v>
      </c>
      <c r="O533" s="45">
        <f>IFERROR(__xludf.DUMMYFUNCTION("""COMPUTED_VALUE"""),45152.0)</f>
        <v>45152</v>
      </c>
      <c r="P533" s="45">
        <f>IFERROR(__xludf.DUMMYFUNCTION("""COMPUTED_VALUE"""),45194.0)</f>
        <v>45194</v>
      </c>
      <c r="Q533" s="45">
        <f>IFERROR(__xludf.DUMMYFUNCTION("""COMPUTED_VALUE"""),45152.0)</f>
        <v>45152</v>
      </c>
      <c r="R533" s="45">
        <f>IFERROR(__xludf.DUMMYFUNCTION("""COMPUTED_VALUE"""),45194.0)</f>
        <v>45194</v>
      </c>
      <c r="S533" s="43"/>
      <c r="T533" s="43"/>
      <c r="U533" s="43" t="str">
        <f>IFERROR(__xludf.DUMMYFUNCTION("""COMPUTED_VALUE"""),"Global Classroom")</f>
        <v>Global Classroom</v>
      </c>
      <c r="V533" s="43" t="str">
        <f>IFERROR(__xludf.DUMMYFUNCTION("""COMPUTED_VALUE"""),"TBS")</f>
        <v>TBS</v>
      </c>
      <c r="W533" s="43" t="str">
        <f>IFERROR(__xludf.DUMMYFUNCTION("""COMPUTED_VALUE"""),"2023-03-13T15:42:14Z")</f>
        <v>2023-03-13T15:42:14Z</v>
      </c>
      <c r="X533" s="43"/>
      <c r="Y533" s="43"/>
      <c r="Z533" s="43"/>
    </row>
    <row r="534" hidden="1">
      <c r="A534" s="43" t="str">
        <f>IFERROR(__xludf.DUMMYFUNCTION("""COMPUTED_VALUE"""),"5214788_1287851")</f>
        <v>5214788_1287851</v>
      </c>
      <c r="B534" s="43" t="str">
        <f>IFERROR(__xludf.DUMMYFUNCTION("""COMPUTED_VALUE"""),"Hadil Miraoui")</f>
        <v>Hadil Miraoui</v>
      </c>
      <c r="C534" s="43" t="str">
        <f>IFERROR(__xludf.DUMMYFUNCTION("""COMPUTED_VALUE"""),"completed")</f>
        <v>completed</v>
      </c>
      <c r="D534" s="43" t="str">
        <f>IFERROR(__xludf.DUMMYFUNCTION("""COMPUTED_VALUE"""),"No")</f>
        <v>No</v>
      </c>
      <c r="E534" s="43" t="str">
        <f>IFERROR(__xludf.DUMMYFUNCTION("""COMPUTED_VALUE"""),"p_d65ed56c7f69810187d32e9daf7bd42ab32d1751@inbound.aiesec.org")</f>
        <v>p_d65ed56c7f69810187d32e9daf7bd42ab32d1751@inbound.aiesec.org</v>
      </c>
      <c r="F534" s="43">
        <f>IFERROR(__xludf.DUMMYFUNCTION("""COMPUTED_VALUE"""),9.8634518E7)</f>
        <v>98634518</v>
      </c>
      <c r="G534" s="43" t="str">
        <f>IFERROR(__xludf.DUMMYFUNCTION("""COMPUTED_VALUE"""),"Tunisia")</f>
        <v>Tunisia</v>
      </c>
      <c r="H534" s="43" t="str">
        <f>IFERROR(__xludf.DUMMYFUNCTION("""COMPUTED_VALUE"""),"BARDO")</f>
        <v>BARDO</v>
      </c>
      <c r="I534" s="43" t="str">
        <f>IFERROR(__xludf.DUMMYFUNCTION("""COMPUTED_VALUE"""),"Turkey")</f>
        <v>Turkey</v>
      </c>
      <c r="J534" s="43" t="str">
        <f>IFERROR(__xludf.DUMMYFUNCTION("""COMPUTED_VALUE"""),"KOCAELI")</f>
        <v>KOCAELI</v>
      </c>
      <c r="K534" s="44" t="str">
        <f>IFERROR(__xludf.DUMMYFUNCTION("""COMPUTED_VALUE"""),"https://expa.aiesec.org/opportunities/1287851")</f>
        <v>https://expa.aiesec.org/opportunities/1287851</v>
      </c>
      <c r="L534" s="43" t="str">
        <f>IFERROR(__xludf.DUMMYFUNCTION("""COMPUTED_VALUE"""),"GV")</f>
        <v>GV</v>
      </c>
      <c r="M534" s="43" t="str">
        <f>IFERROR(__xludf.DUMMYFUNCTION("""COMPUTED_VALUE"""),"short")</f>
        <v>short</v>
      </c>
      <c r="N534" s="45">
        <f>IFERROR(__xludf.DUMMYFUNCTION("""COMPUTED_VALUE"""),44998.0)</f>
        <v>44998</v>
      </c>
      <c r="O534" s="45">
        <f>IFERROR(__xludf.DUMMYFUNCTION("""COMPUTED_VALUE"""),45137.0)</f>
        <v>45137</v>
      </c>
      <c r="P534" s="45">
        <f>IFERROR(__xludf.DUMMYFUNCTION("""COMPUTED_VALUE"""),45179.0)</f>
        <v>45179</v>
      </c>
      <c r="Q534" s="45">
        <f>IFERROR(__xludf.DUMMYFUNCTION("""COMPUTED_VALUE"""),45137.0)</f>
        <v>45137</v>
      </c>
      <c r="R534" s="45">
        <f>IFERROR(__xludf.DUMMYFUNCTION("""COMPUTED_VALUE"""),45179.0)</f>
        <v>45179</v>
      </c>
      <c r="S534" s="43"/>
      <c r="T534" s="43"/>
      <c r="U534" s="43" t="str">
        <f>IFERROR(__xludf.DUMMYFUNCTION("""COMPUTED_VALUE"""),"Heartbeat")</f>
        <v>Heartbeat</v>
      </c>
      <c r="V534" s="43" t="str">
        <f>IFERROR(__xludf.DUMMYFUNCTION("""COMPUTED_VALUE"""),"TBS")</f>
        <v>TBS</v>
      </c>
      <c r="W534" s="43" t="str">
        <f>IFERROR(__xludf.DUMMYFUNCTION("""COMPUTED_VALUE"""),"2023-03-13T14:15:56Z")</f>
        <v>2023-03-13T14:15:56Z</v>
      </c>
      <c r="X534" s="43"/>
      <c r="Y534" s="43"/>
      <c r="Z534" s="43"/>
    </row>
    <row r="535" hidden="1">
      <c r="A535" s="43" t="str">
        <f>IFERROR(__xludf.DUMMYFUNCTION("""COMPUTED_VALUE"""),"5214786_1290826")</f>
        <v>5214786_1290826</v>
      </c>
      <c r="B535" s="43" t="str">
        <f>IFERROR(__xludf.DUMMYFUNCTION("""COMPUTED_VALUE"""),"Malek Hammami")</f>
        <v>Malek Hammami</v>
      </c>
      <c r="C535" s="43" t="str">
        <f>IFERROR(__xludf.DUMMYFUNCTION("""COMPUTED_VALUE"""),"approved")</f>
        <v>approved</v>
      </c>
      <c r="D535" s="43" t="str">
        <f>IFERROR(__xludf.DUMMYFUNCTION("""COMPUTED_VALUE"""),"No")</f>
        <v>No</v>
      </c>
      <c r="E535" s="43" t="str">
        <f>IFERROR(__xludf.DUMMYFUNCTION("""COMPUTED_VALUE"""),"p_d24c4fd865bf1ec4027bb502d724abb8d21bee42@inbound.aiesec.org")</f>
        <v>p_d24c4fd865bf1ec4027bb502d724abb8d21bee42@inbound.aiesec.org</v>
      </c>
      <c r="F535" s="43">
        <f>IFERROR(__xludf.DUMMYFUNCTION("""COMPUTED_VALUE"""),2.856336E7)</f>
        <v>28563360</v>
      </c>
      <c r="G535" s="43" t="str">
        <f>IFERROR(__xludf.DUMMYFUNCTION("""COMPUTED_VALUE"""),"Tunisia")</f>
        <v>Tunisia</v>
      </c>
      <c r="H535" s="43" t="str">
        <f>IFERROR(__xludf.DUMMYFUNCTION("""COMPUTED_VALUE"""),"BARDO")</f>
        <v>BARDO</v>
      </c>
      <c r="I535" s="43" t="str">
        <f>IFERROR(__xludf.DUMMYFUNCTION("""COMPUTED_VALUE"""),"Turkey")</f>
        <v>Turkey</v>
      </c>
      <c r="J535" s="43" t="str">
        <f>IFERROR(__xludf.DUMMYFUNCTION("""COMPUTED_VALUE"""),"KOCAELI")</f>
        <v>KOCAELI</v>
      </c>
      <c r="K535" s="44" t="str">
        <f>IFERROR(__xludf.DUMMYFUNCTION("""COMPUTED_VALUE"""),"https://expa.aiesec.org/opportunities/1290826")</f>
        <v>https://expa.aiesec.org/opportunities/1290826</v>
      </c>
      <c r="L535" s="43" t="str">
        <f>IFERROR(__xludf.DUMMYFUNCTION("""COMPUTED_VALUE"""),"GV")</f>
        <v>GV</v>
      </c>
      <c r="M535" s="43" t="str">
        <f>IFERROR(__xludf.DUMMYFUNCTION("""COMPUTED_VALUE"""),"short")</f>
        <v>short</v>
      </c>
      <c r="N535" s="45">
        <f>IFERROR(__xludf.DUMMYFUNCTION("""COMPUTED_VALUE"""),44998.0)</f>
        <v>44998</v>
      </c>
      <c r="O535" s="45">
        <f>IFERROR(__xludf.DUMMYFUNCTION("""COMPUTED_VALUE"""),45166.0)</f>
        <v>45166</v>
      </c>
      <c r="P535" s="45">
        <f>IFERROR(__xludf.DUMMYFUNCTION("""COMPUTED_VALUE"""),45208.0)</f>
        <v>45208</v>
      </c>
      <c r="Q535" s="45"/>
      <c r="R535" s="45"/>
      <c r="S535" s="43"/>
      <c r="T535" s="43"/>
      <c r="U535" s="43" t="str">
        <f>IFERROR(__xludf.DUMMYFUNCTION("""COMPUTED_VALUE"""),"Global Classroom")</f>
        <v>Global Classroom</v>
      </c>
      <c r="V535" s="43" t="str">
        <f>IFERROR(__xludf.DUMMYFUNCTION("""COMPUTED_VALUE"""),"ESPRIT School of Business")</f>
        <v>ESPRIT School of Business</v>
      </c>
      <c r="W535" s="43" t="str">
        <f>IFERROR(__xludf.DUMMYFUNCTION("""COMPUTED_VALUE"""),"2023-03-13T14:14:36Z")</f>
        <v>2023-03-13T14:14:36Z</v>
      </c>
      <c r="X535" s="43"/>
      <c r="Y535" s="43"/>
      <c r="Z535" s="43"/>
    </row>
    <row r="536" hidden="1">
      <c r="A536" s="43" t="str">
        <f>IFERROR(__xludf.DUMMYFUNCTION("""COMPUTED_VALUE"""),"5214158_1292535")</f>
        <v>5214158_1292535</v>
      </c>
      <c r="B536" s="43" t="str">
        <f>IFERROR(__xludf.DUMMYFUNCTION("""COMPUTED_VALUE"""),"Brahem Molka")</f>
        <v>Brahem Molka</v>
      </c>
      <c r="C536" s="43" t="str">
        <f>IFERROR(__xludf.DUMMYFUNCTION("""COMPUTED_VALUE"""),"completed")</f>
        <v>completed</v>
      </c>
      <c r="D536" s="43" t="str">
        <f>IFERROR(__xludf.DUMMYFUNCTION("""COMPUTED_VALUE"""),"No")</f>
        <v>No</v>
      </c>
      <c r="E536" s="43" t="str">
        <f>IFERROR(__xludf.DUMMYFUNCTION("""COMPUTED_VALUE"""),"p_23561a8809674e3997fd1cd20bb852f200bd2c80@inbound.aiesec.org")</f>
        <v>p_23561a8809674e3997fd1cd20bb852f200bd2c80@inbound.aiesec.org</v>
      </c>
      <c r="F536" s="43"/>
      <c r="G536" s="43" t="str">
        <f>IFERROR(__xludf.DUMMYFUNCTION("""COMPUTED_VALUE"""),"Tunisia")</f>
        <v>Tunisia</v>
      </c>
      <c r="H536" s="43" t="str">
        <f>IFERROR(__xludf.DUMMYFUNCTION("""COMPUTED_VALUE"""),"BARDO")</f>
        <v>BARDO</v>
      </c>
      <c r="I536" s="43" t="str">
        <f>IFERROR(__xludf.DUMMYFUNCTION("""COMPUTED_VALUE"""),"Turkey")</f>
        <v>Turkey</v>
      </c>
      <c r="J536" s="43" t="str">
        <f>IFERROR(__xludf.DUMMYFUNCTION("""COMPUTED_VALUE"""),"ESKISEHIR")</f>
        <v>ESKISEHIR</v>
      </c>
      <c r="K536" s="44" t="str">
        <f>IFERROR(__xludf.DUMMYFUNCTION("""COMPUTED_VALUE"""),"https://expa.aiesec.org/opportunities/1292535")</f>
        <v>https://expa.aiesec.org/opportunities/1292535</v>
      </c>
      <c r="L536" s="43" t="str">
        <f>IFERROR(__xludf.DUMMYFUNCTION("""COMPUTED_VALUE"""),"GV")</f>
        <v>GV</v>
      </c>
      <c r="M536" s="43" t="str">
        <f>IFERROR(__xludf.DUMMYFUNCTION("""COMPUTED_VALUE"""),"short")</f>
        <v>short</v>
      </c>
      <c r="N536" s="45">
        <f>IFERROR(__xludf.DUMMYFUNCTION("""COMPUTED_VALUE"""),44998.0)</f>
        <v>44998</v>
      </c>
      <c r="O536" s="45">
        <f>IFERROR(__xludf.DUMMYFUNCTION("""COMPUTED_VALUE"""),45117.0)</f>
        <v>45117</v>
      </c>
      <c r="P536" s="45">
        <f>IFERROR(__xludf.DUMMYFUNCTION("""COMPUTED_VALUE"""),45159.0)</f>
        <v>45159</v>
      </c>
      <c r="Q536" s="45">
        <f>IFERROR(__xludf.DUMMYFUNCTION("""COMPUTED_VALUE"""),45118.0)</f>
        <v>45118</v>
      </c>
      <c r="R536" s="45">
        <f>IFERROR(__xludf.DUMMYFUNCTION("""COMPUTED_VALUE"""),45159.0)</f>
        <v>45159</v>
      </c>
      <c r="S536" s="43"/>
      <c r="T536" s="43"/>
      <c r="U536" s="43" t="str">
        <f>IFERROR(__xludf.DUMMYFUNCTION("""COMPUTED_VALUE"""),"Global Classroom")</f>
        <v>Global Classroom</v>
      </c>
      <c r="V536" s="43" t="str">
        <f>IFERROR(__xludf.DUMMYFUNCTION("""COMPUTED_VALUE"""),"-")</f>
        <v>-</v>
      </c>
      <c r="W536" s="43" t="str">
        <f>IFERROR(__xludf.DUMMYFUNCTION("""COMPUTED_VALUE"""),"2023-03-12T22:00:47Z")</f>
        <v>2023-03-12T22:00:47Z</v>
      </c>
      <c r="X536" s="43"/>
      <c r="Y536" s="43"/>
      <c r="Z536" s="43"/>
    </row>
    <row r="537" hidden="1">
      <c r="A537" s="43" t="str">
        <f>IFERROR(__xludf.DUMMYFUNCTION("""COMPUTED_VALUE"""),"5202353_1287851")</f>
        <v>5202353_1287851</v>
      </c>
      <c r="B537" s="43" t="str">
        <f>IFERROR(__xludf.DUMMYFUNCTION("""COMPUTED_VALUE"""),"Amir Ghdiri")</f>
        <v>Amir Ghdiri</v>
      </c>
      <c r="C537" s="43" t="str">
        <f>IFERROR(__xludf.DUMMYFUNCTION("""COMPUTED_VALUE"""),"completed")</f>
        <v>completed</v>
      </c>
      <c r="D537" s="43" t="str">
        <f>IFERROR(__xludf.DUMMYFUNCTION("""COMPUTED_VALUE"""),"No")</f>
        <v>No</v>
      </c>
      <c r="E537" s="43" t="str">
        <f>IFERROR(__xludf.DUMMYFUNCTION("""COMPUTED_VALUE"""),"p_f44a6d7ad0bfe2b85dcf84db1a235bed745ef044@inbound.aiesec.org")</f>
        <v>p_f44a6d7ad0bfe2b85dcf84db1a235bed745ef044@inbound.aiesec.org</v>
      </c>
      <c r="F537" s="43"/>
      <c r="G537" s="43" t="str">
        <f>IFERROR(__xludf.DUMMYFUNCTION("""COMPUTED_VALUE"""),"Tunisia")</f>
        <v>Tunisia</v>
      </c>
      <c r="H537" s="43" t="str">
        <f>IFERROR(__xludf.DUMMYFUNCTION("""COMPUTED_VALUE"""),"Bizerte")</f>
        <v>Bizerte</v>
      </c>
      <c r="I537" s="43" t="str">
        <f>IFERROR(__xludf.DUMMYFUNCTION("""COMPUTED_VALUE"""),"Turkey")</f>
        <v>Turkey</v>
      </c>
      <c r="J537" s="43" t="str">
        <f>IFERROR(__xludf.DUMMYFUNCTION("""COMPUTED_VALUE"""),"KOCAELI")</f>
        <v>KOCAELI</v>
      </c>
      <c r="K537" s="44" t="str">
        <f>IFERROR(__xludf.DUMMYFUNCTION("""COMPUTED_VALUE"""),"https://expa.aiesec.org/opportunities/1287851")</f>
        <v>https://expa.aiesec.org/opportunities/1287851</v>
      </c>
      <c r="L537" s="43" t="str">
        <f>IFERROR(__xludf.DUMMYFUNCTION("""COMPUTED_VALUE"""),"GV")</f>
        <v>GV</v>
      </c>
      <c r="M537" s="43" t="str">
        <f>IFERROR(__xludf.DUMMYFUNCTION("""COMPUTED_VALUE"""),"short")</f>
        <v>short</v>
      </c>
      <c r="N537" s="45">
        <f>IFERROR(__xludf.DUMMYFUNCTION("""COMPUTED_VALUE"""),44998.0)</f>
        <v>44998</v>
      </c>
      <c r="O537" s="45">
        <f>IFERROR(__xludf.DUMMYFUNCTION("""COMPUTED_VALUE"""),45137.0)</f>
        <v>45137</v>
      </c>
      <c r="P537" s="45">
        <f>IFERROR(__xludf.DUMMYFUNCTION("""COMPUTED_VALUE"""),45179.0)</f>
        <v>45179</v>
      </c>
      <c r="Q537" s="45">
        <f>IFERROR(__xludf.DUMMYFUNCTION("""COMPUTED_VALUE"""),45137.0)</f>
        <v>45137</v>
      </c>
      <c r="R537" s="45">
        <f>IFERROR(__xludf.DUMMYFUNCTION("""COMPUTED_VALUE"""),45179.0)</f>
        <v>45179</v>
      </c>
      <c r="S537" s="43"/>
      <c r="T537" s="43"/>
      <c r="U537" s="43" t="str">
        <f>IFERROR(__xludf.DUMMYFUNCTION("""COMPUTED_VALUE"""),"Heartbeat")</f>
        <v>Heartbeat</v>
      </c>
      <c r="V537" s="43" t="str">
        <f>IFERROR(__xludf.DUMMYFUNCTION("""COMPUTED_VALUE"""),"-")</f>
        <v>-</v>
      </c>
      <c r="W537" s="43" t="str">
        <f>IFERROR(__xludf.DUMMYFUNCTION("""COMPUTED_VALUE"""),"2023-03-01T11:42:44Z")</f>
        <v>2023-03-01T11:42:44Z</v>
      </c>
      <c r="X537" s="43"/>
      <c r="Y537" s="43"/>
      <c r="Z537" s="43"/>
    </row>
    <row r="538" hidden="1">
      <c r="A538" s="43" t="str">
        <f>IFERROR(__xludf.DUMMYFUNCTION("""COMPUTED_VALUE"""),"5210000_1292793")</f>
        <v>5210000_1292793</v>
      </c>
      <c r="B538" s="43" t="str">
        <f>IFERROR(__xludf.DUMMYFUNCTION("""COMPUTED_VALUE"""),"Gulnaz Melis")</f>
        <v>Gulnaz Melis</v>
      </c>
      <c r="C538" s="43" t="str">
        <f>IFERROR(__xludf.DUMMYFUNCTION("""COMPUTED_VALUE"""),"approved")</f>
        <v>approved</v>
      </c>
      <c r="D538" s="43" t="str">
        <f>IFERROR(__xludf.DUMMYFUNCTION("""COMPUTED_VALUE"""),"No")</f>
        <v>No</v>
      </c>
      <c r="E538" s="43" t="str">
        <f>IFERROR(__xludf.DUMMYFUNCTION("""COMPUTED_VALUE"""),"p_ebdbdf240a016985a73ab098d29634fd9fe5d825@inbound.aiesec.org")</f>
        <v>p_ebdbdf240a016985a73ab098d29634fd9fe5d825@inbound.aiesec.org</v>
      </c>
      <c r="F538" s="43">
        <f>IFERROR(__xludf.DUMMYFUNCTION("""COMPUTED_VALUE"""),7.759922619E9)</f>
        <v>7759922619</v>
      </c>
      <c r="G538" s="43" t="str">
        <f>IFERROR(__xludf.DUMMYFUNCTION("""COMPUTED_VALUE"""),"Kazakhstan")</f>
        <v>Kazakhstan</v>
      </c>
      <c r="H538" s="43" t="str">
        <f>IFERROR(__xludf.DUMMYFUNCTION("""COMPUTED_VALUE"""),"ALMATY")</f>
        <v>ALMATY</v>
      </c>
      <c r="I538" s="43" t="str">
        <f>IFERROR(__xludf.DUMMYFUNCTION("""COMPUTED_VALUE"""),"Turkey")</f>
        <v>Turkey</v>
      </c>
      <c r="J538" s="43" t="str">
        <f>IFERROR(__xludf.DUMMYFUNCTION("""COMPUTED_VALUE"""),"ANTALYA")</f>
        <v>ANTALYA</v>
      </c>
      <c r="K538" s="44" t="str">
        <f>IFERROR(__xludf.DUMMYFUNCTION("""COMPUTED_VALUE"""),"https://expa.aiesec.org/opportunities/1292793")</f>
        <v>https://expa.aiesec.org/opportunities/1292793</v>
      </c>
      <c r="L538" s="43" t="str">
        <f>IFERROR(__xludf.DUMMYFUNCTION("""COMPUTED_VALUE"""),"GV")</f>
        <v>GV</v>
      </c>
      <c r="M538" s="43" t="str">
        <f>IFERROR(__xludf.DUMMYFUNCTION("""COMPUTED_VALUE"""),"short")</f>
        <v>short</v>
      </c>
      <c r="N538" s="45">
        <f>IFERROR(__xludf.DUMMYFUNCTION("""COMPUTED_VALUE"""),44998.0)</f>
        <v>44998</v>
      </c>
      <c r="O538" s="45">
        <f>IFERROR(__xludf.DUMMYFUNCTION("""COMPUTED_VALUE"""),45159.0)</f>
        <v>45159</v>
      </c>
      <c r="P538" s="45">
        <f>IFERROR(__xludf.DUMMYFUNCTION("""COMPUTED_VALUE"""),45201.0)</f>
        <v>45201</v>
      </c>
      <c r="Q538" s="45"/>
      <c r="R538" s="45"/>
      <c r="S538" s="43"/>
      <c r="T538" s="43"/>
      <c r="U538" s="43" t="str">
        <f>IFERROR(__xludf.DUMMYFUNCTION("""COMPUTED_VALUE"""),"Global Classroom")</f>
        <v>Global Classroom</v>
      </c>
      <c r="V538" s="43" t="str">
        <f>IFERROR(__xludf.DUMMYFUNCTION("""COMPUTED_VALUE"""),"Almaty")</f>
        <v>Almaty</v>
      </c>
      <c r="W538" s="43" t="str">
        <f>IFERROR(__xludf.DUMMYFUNCTION("""COMPUTED_VALUE"""),"2023-03-08T15:08:13Z")</f>
        <v>2023-03-08T15:08:13Z</v>
      </c>
      <c r="X538" s="43"/>
      <c r="Y538" s="43"/>
      <c r="Z538" s="43"/>
    </row>
    <row r="539" hidden="1">
      <c r="A539" s="43" t="str">
        <f>IFERROR(__xludf.DUMMYFUNCTION("""COMPUTED_VALUE"""),"4186534_1288663")</f>
        <v>4186534_1288663</v>
      </c>
      <c r="B539" s="43" t="str">
        <f>IFERROR(__xludf.DUMMYFUNCTION("""COMPUTED_VALUE"""),"Zeineb Ben Mustapha")</f>
        <v>Zeineb Ben Mustapha</v>
      </c>
      <c r="C539" s="43" t="str">
        <f>IFERROR(__xludf.DUMMYFUNCTION("""COMPUTED_VALUE"""),"completed")</f>
        <v>completed</v>
      </c>
      <c r="D539" s="43" t="str">
        <f>IFERROR(__xludf.DUMMYFUNCTION("""COMPUTED_VALUE"""),"No")</f>
        <v>No</v>
      </c>
      <c r="E539" s="43" t="str">
        <f>IFERROR(__xludf.DUMMYFUNCTION("""COMPUTED_VALUE"""),"p_6540a6675f2a9ab69f35975dcde0cdc93aa94081@inbound.aiesec.org")</f>
        <v>p_6540a6675f2a9ab69f35975dcde0cdc93aa94081@inbound.aiesec.org</v>
      </c>
      <c r="F539" s="43">
        <f>IFERROR(__xludf.DUMMYFUNCTION("""COMPUTED_VALUE"""),2.286765E7)</f>
        <v>22867650</v>
      </c>
      <c r="G539" s="43" t="str">
        <f>IFERROR(__xludf.DUMMYFUNCTION("""COMPUTED_VALUE"""),"Tunisia")</f>
        <v>Tunisia</v>
      </c>
      <c r="H539" s="43" t="str">
        <f>IFERROR(__xludf.DUMMYFUNCTION("""COMPUTED_VALUE"""),"BARDO")</f>
        <v>BARDO</v>
      </c>
      <c r="I539" s="43" t="str">
        <f>IFERROR(__xludf.DUMMYFUNCTION("""COMPUTED_VALUE"""),"Turkey")</f>
        <v>Turkey</v>
      </c>
      <c r="J539" s="43" t="str">
        <f>IFERROR(__xludf.DUMMYFUNCTION("""COMPUTED_VALUE"""),"İZMİR")</f>
        <v>İZMİR</v>
      </c>
      <c r="K539" s="44" t="str">
        <f>IFERROR(__xludf.DUMMYFUNCTION("""COMPUTED_VALUE"""),"https://expa.aiesec.org/opportunities/1288663")</f>
        <v>https://expa.aiesec.org/opportunities/1288663</v>
      </c>
      <c r="L539" s="43" t="str">
        <f>IFERROR(__xludf.DUMMYFUNCTION("""COMPUTED_VALUE"""),"GV")</f>
        <v>GV</v>
      </c>
      <c r="M539" s="43" t="str">
        <f>IFERROR(__xludf.DUMMYFUNCTION("""COMPUTED_VALUE"""),"short")</f>
        <v>short</v>
      </c>
      <c r="N539" s="45">
        <f>IFERROR(__xludf.DUMMYFUNCTION("""COMPUTED_VALUE"""),44998.0)</f>
        <v>44998</v>
      </c>
      <c r="O539" s="45">
        <f>IFERROR(__xludf.DUMMYFUNCTION("""COMPUTED_VALUE"""),45081.0)</f>
        <v>45081</v>
      </c>
      <c r="P539" s="45">
        <f>IFERROR(__xludf.DUMMYFUNCTION("""COMPUTED_VALUE"""),45123.0)</f>
        <v>45123</v>
      </c>
      <c r="Q539" s="45">
        <f>IFERROR(__xludf.DUMMYFUNCTION("""COMPUTED_VALUE"""),45081.0)</f>
        <v>45081</v>
      </c>
      <c r="R539" s="45">
        <f>IFERROR(__xludf.DUMMYFUNCTION("""COMPUTED_VALUE"""),45123.0)</f>
        <v>45123</v>
      </c>
      <c r="S539" s="43"/>
      <c r="T539" s="43"/>
      <c r="U539" s="43" t="str">
        <f>IFERROR(__xludf.DUMMYFUNCTION("""COMPUTED_VALUE"""),"Global Classroom")</f>
        <v>Global Classroom</v>
      </c>
      <c r="V539" s="43" t="str">
        <f>IFERROR(__xludf.DUMMYFUNCTION("""COMPUTED_VALUE"""),"FSHS Tunis")</f>
        <v>FSHS Tunis</v>
      </c>
      <c r="W539" s="43" t="str">
        <f>IFERROR(__xludf.DUMMYFUNCTION("""COMPUTED_VALUE"""),"2020-02-14T17:21:11Z")</f>
        <v>2020-02-14T17:21:11Z</v>
      </c>
      <c r="X539" s="43"/>
      <c r="Y539" s="43"/>
      <c r="Z539" s="43"/>
    </row>
    <row r="540" hidden="1">
      <c r="A540" s="43" t="str">
        <f>IFERROR(__xludf.DUMMYFUNCTION("""COMPUTED_VALUE"""),"5206880_1288663")</f>
        <v>5206880_1288663</v>
      </c>
      <c r="B540" s="43" t="str">
        <f>IFERROR(__xludf.DUMMYFUNCTION("""COMPUTED_VALUE"""),"Gulmira Koshmagambet")</f>
        <v>Gulmira Koshmagambet</v>
      </c>
      <c r="C540" s="43" t="str">
        <f>IFERROR(__xludf.DUMMYFUNCTION("""COMPUTED_VALUE"""),"completed")</f>
        <v>completed</v>
      </c>
      <c r="D540" s="43" t="str">
        <f>IFERROR(__xludf.DUMMYFUNCTION("""COMPUTED_VALUE"""),"No")</f>
        <v>No</v>
      </c>
      <c r="E540" s="43" t="str">
        <f>IFERROR(__xludf.DUMMYFUNCTION("""COMPUTED_VALUE"""),"p_2bd4913af210f3adf14e1c70ee2f30ecde7f3a16@inbound.aiesec.org")</f>
        <v>p_2bd4913af210f3adf14e1c70ee2f30ecde7f3a16@inbound.aiesec.org</v>
      </c>
      <c r="F540" s="43">
        <f>IFERROR(__xludf.DUMMYFUNCTION("""COMPUTED_VALUE"""),7.473715471E9)</f>
        <v>7473715471</v>
      </c>
      <c r="G540" s="43" t="str">
        <f>IFERROR(__xludf.DUMMYFUNCTION("""COMPUTED_VALUE"""),"Kazakhstan")</f>
        <v>Kazakhstan</v>
      </c>
      <c r="H540" s="43" t="str">
        <f>IFERROR(__xludf.DUMMYFUNCTION("""COMPUTED_VALUE"""),"ALMATY")</f>
        <v>ALMATY</v>
      </c>
      <c r="I540" s="43" t="str">
        <f>IFERROR(__xludf.DUMMYFUNCTION("""COMPUTED_VALUE"""),"Turkey")</f>
        <v>Turkey</v>
      </c>
      <c r="J540" s="43" t="str">
        <f>IFERROR(__xludf.DUMMYFUNCTION("""COMPUTED_VALUE"""),"İZMİR")</f>
        <v>İZMİR</v>
      </c>
      <c r="K540" s="44" t="str">
        <f>IFERROR(__xludf.DUMMYFUNCTION("""COMPUTED_VALUE"""),"https://expa.aiesec.org/opportunities/1288663")</f>
        <v>https://expa.aiesec.org/opportunities/1288663</v>
      </c>
      <c r="L540" s="43" t="str">
        <f>IFERROR(__xludf.DUMMYFUNCTION("""COMPUTED_VALUE"""),"GV")</f>
        <v>GV</v>
      </c>
      <c r="M540" s="43" t="str">
        <f>IFERROR(__xludf.DUMMYFUNCTION("""COMPUTED_VALUE"""),"short")</f>
        <v>short</v>
      </c>
      <c r="N540" s="45">
        <f>IFERROR(__xludf.DUMMYFUNCTION("""COMPUTED_VALUE"""),44998.0)</f>
        <v>44998</v>
      </c>
      <c r="O540" s="45">
        <f>IFERROR(__xludf.DUMMYFUNCTION("""COMPUTED_VALUE"""),45081.0)</f>
        <v>45081</v>
      </c>
      <c r="P540" s="45">
        <f>IFERROR(__xludf.DUMMYFUNCTION("""COMPUTED_VALUE"""),45123.0)</f>
        <v>45123</v>
      </c>
      <c r="Q540" s="45">
        <f>IFERROR(__xludf.DUMMYFUNCTION("""COMPUTED_VALUE"""),45081.0)</f>
        <v>45081</v>
      </c>
      <c r="R540" s="45">
        <f>IFERROR(__xludf.DUMMYFUNCTION("""COMPUTED_VALUE"""),45123.0)</f>
        <v>45123</v>
      </c>
      <c r="S540" s="43"/>
      <c r="T540" s="43"/>
      <c r="U540" s="43" t="str">
        <f>IFERROR(__xludf.DUMMYFUNCTION("""COMPUTED_VALUE"""),"Global Classroom")</f>
        <v>Global Classroom</v>
      </c>
      <c r="V540" s="43" t="str">
        <f>IFERROR(__xludf.DUMMYFUNCTION("""COMPUTED_VALUE"""),"Almaty")</f>
        <v>Almaty</v>
      </c>
      <c r="W540" s="43" t="str">
        <f>IFERROR(__xludf.DUMMYFUNCTION("""COMPUTED_VALUE"""),"2023-03-05T21:41:46Z")</f>
        <v>2023-03-05T21:41:46Z</v>
      </c>
      <c r="X540" s="43"/>
      <c r="Y540" s="43"/>
      <c r="Z540" s="43"/>
    </row>
    <row r="541" hidden="1">
      <c r="A541" s="43" t="str">
        <f>IFERROR(__xludf.DUMMYFUNCTION("""COMPUTED_VALUE"""),"5206821_1288663")</f>
        <v>5206821_1288663</v>
      </c>
      <c r="B541" s="43" t="str">
        <f>IFERROR(__xludf.DUMMYFUNCTION("""COMPUTED_VALUE"""),"Zhansaya Sarsenbayeva")</f>
        <v>Zhansaya Sarsenbayeva</v>
      </c>
      <c r="C541" s="43" t="str">
        <f>IFERROR(__xludf.DUMMYFUNCTION("""COMPUTED_VALUE"""),"completed")</f>
        <v>completed</v>
      </c>
      <c r="D541" s="43" t="str">
        <f>IFERROR(__xludf.DUMMYFUNCTION("""COMPUTED_VALUE"""),"No")</f>
        <v>No</v>
      </c>
      <c r="E541" s="43" t="str">
        <f>IFERROR(__xludf.DUMMYFUNCTION("""COMPUTED_VALUE"""),"p_e673bc99c38873fdbec488d9884951231d08e415@inbound.aiesec.org")</f>
        <v>p_e673bc99c38873fdbec488d9884951231d08e415@inbound.aiesec.org</v>
      </c>
      <c r="F541" s="43">
        <f>IFERROR(__xludf.DUMMYFUNCTION("""COMPUTED_VALUE"""),7.47528537E9)</f>
        <v>7475285370</v>
      </c>
      <c r="G541" s="43" t="str">
        <f>IFERROR(__xludf.DUMMYFUNCTION("""COMPUTED_VALUE"""),"Kazakhstan")</f>
        <v>Kazakhstan</v>
      </c>
      <c r="H541" s="43" t="str">
        <f>IFERROR(__xludf.DUMMYFUNCTION("""COMPUTED_VALUE"""),"ALMATY")</f>
        <v>ALMATY</v>
      </c>
      <c r="I541" s="43" t="str">
        <f>IFERROR(__xludf.DUMMYFUNCTION("""COMPUTED_VALUE"""),"Turkey")</f>
        <v>Turkey</v>
      </c>
      <c r="J541" s="43" t="str">
        <f>IFERROR(__xludf.DUMMYFUNCTION("""COMPUTED_VALUE"""),"İZMİR")</f>
        <v>İZMİR</v>
      </c>
      <c r="K541" s="44" t="str">
        <f>IFERROR(__xludf.DUMMYFUNCTION("""COMPUTED_VALUE"""),"https://expa.aiesec.org/opportunities/1288663")</f>
        <v>https://expa.aiesec.org/opportunities/1288663</v>
      </c>
      <c r="L541" s="43" t="str">
        <f>IFERROR(__xludf.DUMMYFUNCTION("""COMPUTED_VALUE"""),"GV")</f>
        <v>GV</v>
      </c>
      <c r="M541" s="43" t="str">
        <f>IFERROR(__xludf.DUMMYFUNCTION("""COMPUTED_VALUE"""),"short")</f>
        <v>short</v>
      </c>
      <c r="N541" s="45">
        <f>IFERROR(__xludf.DUMMYFUNCTION("""COMPUTED_VALUE"""),44998.0)</f>
        <v>44998</v>
      </c>
      <c r="O541" s="45">
        <f>IFERROR(__xludf.DUMMYFUNCTION("""COMPUTED_VALUE"""),45081.0)</f>
        <v>45081</v>
      </c>
      <c r="P541" s="45">
        <f>IFERROR(__xludf.DUMMYFUNCTION("""COMPUTED_VALUE"""),45123.0)</f>
        <v>45123</v>
      </c>
      <c r="Q541" s="45">
        <f>IFERROR(__xludf.DUMMYFUNCTION("""COMPUTED_VALUE"""),45081.0)</f>
        <v>45081</v>
      </c>
      <c r="R541" s="45">
        <f>IFERROR(__xludf.DUMMYFUNCTION("""COMPUTED_VALUE"""),45123.0)</f>
        <v>45123</v>
      </c>
      <c r="S541" s="43"/>
      <c r="T541" s="43"/>
      <c r="U541" s="43" t="str">
        <f>IFERROR(__xludf.DUMMYFUNCTION("""COMPUTED_VALUE"""),"Global Classroom")</f>
        <v>Global Classroom</v>
      </c>
      <c r="V541" s="43" t="str">
        <f>IFERROR(__xludf.DUMMYFUNCTION("""COMPUTED_VALUE"""),"Almaty")</f>
        <v>Almaty</v>
      </c>
      <c r="W541" s="43" t="str">
        <f>IFERROR(__xludf.DUMMYFUNCTION("""COMPUTED_VALUE"""),"2023-03-05T20:04:41Z")</f>
        <v>2023-03-05T20:04:41Z</v>
      </c>
      <c r="X541" s="43"/>
      <c r="Y541" s="43"/>
      <c r="Z541" s="43"/>
    </row>
    <row r="542" hidden="1">
      <c r="A542" s="43" t="str">
        <f>IFERROR(__xludf.DUMMYFUNCTION("""COMPUTED_VALUE"""),"5203290_1287101")</f>
        <v>5203290_1287101</v>
      </c>
      <c r="B542" s="43" t="str">
        <f>IFERROR(__xludf.DUMMYFUNCTION("""COMPUTED_VALUE"""),"khansa maqsood")</f>
        <v>khansa maqsood</v>
      </c>
      <c r="C542" s="43" t="str">
        <f>IFERROR(__xludf.DUMMYFUNCTION("""COMPUTED_VALUE"""),"approved")</f>
        <v>approved</v>
      </c>
      <c r="D542" s="43" t="str">
        <f>IFERROR(__xludf.DUMMYFUNCTION("""COMPUTED_VALUE"""),"No")</f>
        <v>No</v>
      </c>
      <c r="E542" s="43" t="str">
        <f>IFERROR(__xludf.DUMMYFUNCTION("""COMPUTED_VALUE"""),"p_0980c82fe9cdc0b726258f2d847aac24b2ec14a2@inbound.aiesec.org")</f>
        <v>p_0980c82fe9cdc0b726258f2d847aac24b2ec14a2@inbound.aiesec.org</v>
      </c>
      <c r="F542" s="43"/>
      <c r="G542" s="43" t="str">
        <f>IFERROR(__xludf.DUMMYFUNCTION("""COMPUTED_VALUE"""),"Pakistan")</f>
        <v>Pakistan</v>
      </c>
      <c r="H542" s="43" t="str">
        <f>IFERROR(__xludf.DUMMYFUNCTION("""COMPUTED_VALUE"""),"Karachi South")</f>
        <v>Karachi South</v>
      </c>
      <c r="I542" s="43" t="str">
        <f>IFERROR(__xludf.DUMMYFUNCTION("""COMPUTED_VALUE"""),"Turkey")</f>
        <v>Turkey</v>
      </c>
      <c r="J542" s="43" t="str">
        <f>IFERROR(__xludf.DUMMYFUNCTION("""COMPUTED_VALUE"""),"İZMİR")</f>
        <v>İZMİR</v>
      </c>
      <c r="K542" s="44" t="str">
        <f>IFERROR(__xludf.DUMMYFUNCTION("""COMPUTED_VALUE"""),"https://expa.aiesec.org/opportunities/1287101")</f>
        <v>https://expa.aiesec.org/opportunities/1287101</v>
      </c>
      <c r="L542" s="43" t="str">
        <f>IFERROR(__xludf.DUMMYFUNCTION("""COMPUTED_VALUE"""),"GV")</f>
        <v>GV</v>
      </c>
      <c r="M542" s="43" t="str">
        <f>IFERROR(__xludf.DUMMYFUNCTION("""COMPUTED_VALUE"""),"short")</f>
        <v>short</v>
      </c>
      <c r="N542" s="45">
        <f>IFERROR(__xludf.DUMMYFUNCTION("""COMPUTED_VALUE"""),44998.0)</f>
        <v>44998</v>
      </c>
      <c r="O542" s="45">
        <f>IFERROR(__xludf.DUMMYFUNCTION("""COMPUTED_VALUE"""),45172.0)</f>
        <v>45172</v>
      </c>
      <c r="P542" s="45">
        <f>IFERROR(__xludf.DUMMYFUNCTION("""COMPUTED_VALUE"""),45214.0)</f>
        <v>45214</v>
      </c>
      <c r="Q542" s="45"/>
      <c r="R542" s="45"/>
      <c r="S542" s="43"/>
      <c r="T542" s="43"/>
      <c r="U542" s="43" t="str">
        <f>IFERROR(__xludf.DUMMYFUNCTION("""COMPUTED_VALUE"""),"Global Classroom")</f>
        <v>Global Classroom</v>
      </c>
      <c r="V542" s="43" t="str">
        <f>IFERROR(__xludf.DUMMYFUNCTION("""COMPUTED_VALUE"""),"-")</f>
        <v>-</v>
      </c>
      <c r="W542" s="43" t="str">
        <f>IFERROR(__xludf.DUMMYFUNCTION("""COMPUTED_VALUE"""),"2023-03-02T09:39:00Z")</f>
        <v>2023-03-02T09:39:00Z</v>
      </c>
      <c r="X542" s="43"/>
      <c r="Y542" s="43"/>
      <c r="Z542" s="43"/>
    </row>
    <row r="543" hidden="1">
      <c r="A543" s="43" t="str">
        <f>IFERROR(__xludf.DUMMYFUNCTION("""COMPUTED_VALUE"""),"5216166_1291252")</f>
        <v>5216166_1291252</v>
      </c>
      <c r="B543" s="43" t="str">
        <f>IFERROR(__xludf.DUMMYFUNCTION("""COMPUTED_VALUE"""),"Feriel Ben Khlifa")</f>
        <v>Feriel Ben Khlifa</v>
      </c>
      <c r="C543" s="43" t="str">
        <f>IFERROR(__xludf.DUMMYFUNCTION("""COMPUTED_VALUE"""),"completed")</f>
        <v>completed</v>
      </c>
      <c r="D543" s="43" t="str">
        <f>IFERROR(__xludf.DUMMYFUNCTION("""COMPUTED_VALUE"""),"No")</f>
        <v>No</v>
      </c>
      <c r="E543" s="43" t="str">
        <f>IFERROR(__xludf.DUMMYFUNCTION("""COMPUTED_VALUE"""),"p_82356693f61b5a52b5f5585609dc0fe79923357f@inbound.aiesec.org")</f>
        <v>p_82356693f61b5a52b5f5585609dc0fe79923357f@inbound.aiesec.org</v>
      </c>
      <c r="F543" s="43">
        <f>IFERROR(__xludf.DUMMYFUNCTION("""COMPUTED_VALUE"""),2.857423E7)</f>
        <v>28574230</v>
      </c>
      <c r="G543" s="43" t="str">
        <f>IFERROR(__xludf.DUMMYFUNCTION("""COMPUTED_VALUE"""),"Tunisia")</f>
        <v>Tunisia</v>
      </c>
      <c r="H543" s="43" t="str">
        <f>IFERROR(__xludf.DUMMYFUNCTION("""COMPUTED_VALUE"""),"HADRUMET")</f>
        <v>HADRUMET</v>
      </c>
      <c r="I543" s="43" t="str">
        <f>IFERROR(__xludf.DUMMYFUNCTION("""COMPUTED_VALUE"""),"Turkey")</f>
        <v>Turkey</v>
      </c>
      <c r="J543" s="43" t="str">
        <f>IFERROR(__xludf.DUMMYFUNCTION("""COMPUTED_VALUE"""),"KOCAELI")</f>
        <v>KOCAELI</v>
      </c>
      <c r="K543" s="44" t="str">
        <f>IFERROR(__xludf.DUMMYFUNCTION("""COMPUTED_VALUE"""),"https://expa.aiesec.org/opportunities/1291252")</f>
        <v>https://expa.aiesec.org/opportunities/1291252</v>
      </c>
      <c r="L543" s="43" t="str">
        <f>IFERROR(__xludf.DUMMYFUNCTION("""COMPUTED_VALUE"""),"GV")</f>
        <v>GV</v>
      </c>
      <c r="M543" s="43" t="str">
        <f>IFERROR(__xludf.DUMMYFUNCTION("""COMPUTED_VALUE"""),"short")</f>
        <v>short</v>
      </c>
      <c r="N543" s="45">
        <f>IFERROR(__xludf.DUMMYFUNCTION("""COMPUTED_VALUE"""),44999.0)</f>
        <v>44999</v>
      </c>
      <c r="O543" s="45">
        <f>IFERROR(__xludf.DUMMYFUNCTION("""COMPUTED_VALUE"""),45089.0)</f>
        <v>45089</v>
      </c>
      <c r="P543" s="45">
        <f>IFERROR(__xludf.DUMMYFUNCTION("""COMPUTED_VALUE"""),45131.0)</f>
        <v>45131</v>
      </c>
      <c r="Q543" s="45">
        <f>IFERROR(__xludf.DUMMYFUNCTION("""COMPUTED_VALUE"""),45089.0)</f>
        <v>45089</v>
      </c>
      <c r="R543" s="45">
        <f>IFERROR(__xludf.DUMMYFUNCTION("""COMPUTED_VALUE"""),45131.0)</f>
        <v>45131</v>
      </c>
      <c r="S543" s="43"/>
      <c r="T543" s="43"/>
      <c r="U543" s="43" t="str">
        <f>IFERROR(__xludf.DUMMYFUNCTION("""COMPUTED_VALUE"""),"Global Classroom")</f>
        <v>Global Classroom</v>
      </c>
      <c r="V543" s="43" t="str">
        <f>IFERROR(__xludf.DUMMYFUNCTION("""COMPUTED_VALUE"""),"FLSH Sousse")</f>
        <v>FLSH Sousse</v>
      </c>
      <c r="W543" s="43" t="str">
        <f>IFERROR(__xludf.DUMMYFUNCTION("""COMPUTED_VALUE"""),"2023-03-14T16:10:42Z")</f>
        <v>2023-03-14T16:10:42Z</v>
      </c>
      <c r="X543" s="43"/>
      <c r="Y543" s="43"/>
      <c r="Z543" s="43"/>
    </row>
    <row r="544" hidden="1">
      <c r="A544" s="43" t="str">
        <f>IFERROR(__xludf.DUMMYFUNCTION("""COMPUTED_VALUE"""),"3642779_1291929")</f>
        <v>3642779_1291929</v>
      </c>
      <c r="B544" s="43" t="str">
        <f>IFERROR(__xludf.DUMMYFUNCTION("""COMPUTED_VALUE"""),"Mamia Dridi")</f>
        <v>Mamia Dridi</v>
      </c>
      <c r="C544" s="43" t="str">
        <f>IFERROR(__xludf.DUMMYFUNCTION("""COMPUTED_VALUE"""),"completed")</f>
        <v>completed</v>
      </c>
      <c r="D544" s="43" t="str">
        <f>IFERROR(__xludf.DUMMYFUNCTION("""COMPUTED_VALUE"""),"No")</f>
        <v>No</v>
      </c>
      <c r="E544" s="43" t="str">
        <f>IFERROR(__xludf.DUMMYFUNCTION("""COMPUTED_VALUE"""),"p_4b90fea4d50e64e44d2850f44f339fa7d81b70c7@inbound.aiesec.org")</f>
        <v>p_4b90fea4d50e64e44d2850f44f339fa7d81b70c7@inbound.aiesec.org</v>
      </c>
      <c r="F544" s="43">
        <f>IFERROR(__xludf.DUMMYFUNCTION("""COMPUTED_VALUE"""),2.0578666E7)</f>
        <v>20578666</v>
      </c>
      <c r="G544" s="43" t="str">
        <f>IFERROR(__xludf.DUMMYFUNCTION("""COMPUTED_VALUE"""),"Tunisia")</f>
        <v>Tunisia</v>
      </c>
      <c r="H544" s="43" t="str">
        <f>IFERROR(__xludf.DUMMYFUNCTION("""COMPUTED_VALUE"""),"BARDO")</f>
        <v>BARDO</v>
      </c>
      <c r="I544" s="43" t="str">
        <f>IFERROR(__xludf.DUMMYFUNCTION("""COMPUTED_VALUE"""),"Turkey")</f>
        <v>Turkey</v>
      </c>
      <c r="J544" s="43" t="str">
        <f>IFERROR(__xludf.DUMMYFUNCTION("""COMPUTED_VALUE"""),"TRABZON")</f>
        <v>TRABZON</v>
      </c>
      <c r="K544" s="44" t="str">
        <f>IFERROR(__xludf.DUMMYFUNCTION("""COMPUTED_VALUE"""),"https://expa.aiesec.org/opportunities/1291929")</f>
        <v>https://expa.aiesec.org/opportunities/1291929</v>
      </c>
      <c r="L544" s="43" t="str">
        <f>IFERROR(__xludf.DUMMYFUNCTION("""COMPUTED_VALUE"""),"GV")</f>
        <v>GV</v>
      </c>
      <c r="M544" s="43" t="str">
        <f>IFERROR(__xludf.DUMMYFUNCTION("""COMPUTED_VALUE"""),"short")</f>
        <v>short</v>
      </c>
      <c r="N544" s="45">
        <f>IFERROR(__xludf.DUMMYFUNCTION("""COMPUTED_VALUE"""),44999.0)</f>
        <v>44999</v>
      </c>
      <c r="O544" s="45">
        <f>IFERROR(__xludf.DUMMYFUNCTION("""COMPUTED_VALUE"""),45128.0)</f>
        <v>45128</v>
      </c>
      <c r="P544" s="45">
        <f>IFERROR(__xludf.DUMMYFUNCTION("""COMPUTED_VALUE"""),45170.0)</f>
        <v>45170</v>
      </c>
      <c r="Q544" s="45">
        <f>IFERROR(__xludf.DUMMYFUNCTION("""COMPUTED_VALUE"""),45126.0)</f>
        <v>45126</v>
      </c>
      <c r="R544" s="45">
        <f>IFERROR(__xludf.DUMMYFUNCTION("""COMPUTED_VALUE"""),45170.0)</f>
        <v>45170</v>
      </c>
      <c r="S544" s="43"/>
      <c r="T544" s="43"/>
      <c r="U544" s="43" t="str">
        <f>IFERROR(__xludf.DUMMYFUNCTION("""COMPUTED_VALUE"""),"Global Classroom")</f>
        <v>Global Classroom</v>
      </c>
      <c r="V544" s="43" t="str">
        <f>IFERROR(__xludf.DUMMYFUNCTION("""COMPUTED_VALUE"""),"ISSHT")</f>
        <v>ISSHT</v>
      </c>
      <c r="W544" s="43" t="str">
        <f>IFERROR(__xludf.DUMMYFUNCTION("""COMPUTED_VALUE"""),"2019-07-13T15:03:17Z")</f>
        <v>2019-07-13T15:03:17Z</v>
      </c>
      <c r="X544" s="43"/>
      <c r="Y544" s="43"/>
      <c r="Z544" s="43"/>
    </row>
    <row r="545" hidden="1">
      <c r="A545" s="43" t="str">
        <f>IFERROR(__xludf.DUMMYFUNCTION("""COMPUTED_VALUE"""),"5137161_1287662")</f>
        <v>5137161_1287662</v>
      </c>
      <c r="B545" s="43" t="str">
        <f>IFERROR(__xludf.DUMMYFUNCTION("""COMPUTED_VALUE"""),"marwa abdelhak")</f>
        <v>marwa abdelhak</v>
      </c>
      <c r="C545" s="43" t="str">
        <f>IFERROR(__xludf.DUMMYFUNCTION("""COMPUTED_VALUE"""),"completed")</f>
        <v>completed</v>
      </c>
      <c r="D545" s="43" t="str">
        <f>IFERROR(__xludf.DUMMYFUNCTION("""COMPUTED_VALUE"""),"No")</f>
        <v>No</v>
      </c>
      <c r="E545" s="43" t="str">
        <f>IFERROR(__xludf.DUMMYFUNCTION("""COMPUTED_VALUE"""),"p_34e69fa9dc258ed87999b29a0223771617e2c559@inbound.aiesec.org")</f>
        <v>p_34e69fa9dc258ed87999b29a0223771617e2c559@inbound.aiesec.org</v>
      </c>
      <c r="F545" s="43"/>
      <c r="G545" s="43" t="str">
        <f>IFERROR(__xludf.DUMMYFUNCTION("""COMPUTED_VALUE"""),"Tunisia")</f>
        <v>Tunisia</v>
      </c>
      <c r="H545" s="43" t="str">
        <f>IFERROR(__xludf.DUMMYFUNCTION("""COMPUTED_VALUE"""),"UNIVERSITY")</f>
        <v>UNIVERSITY</v>
      </c>
      <c r="I545" s="43" t="str">
        <f>IFERROR(__xludf.DUMMYFUNCTION("""COMPUTED_VALUE"""),"Turkey")</f>
        <v>Turkey</v>
      </c>
      <c r="J545" s="43" t="str">
        <f>IFERROR(__xludf.DUMMYFUNCTION("""COMPUTED_VALUE"""),"İZMİR")</f>
        <v>İZMİR</v>
      </c>
      <c r="K545" s="44" t="str">
        <f>IFERROR(__xludf.DUMMYFUNCTION("""COMPUTED_VALUE"""),"https://expa.aiesec.org/opportunities/1287662")</f>
        <v>https://expa.aiesec.org/opportunities/1287662</v>
      </c>
      <c r="L545" s="43" t="str">
        <f>IFERROR(__xludf.DUMMYFUNCTION("""COMPUTED_VALUE"""),"GV")</f>
        <v>GV</v>
      </c>
      <c r="M545" s="43" t="str">
        <f>IFERROR(__xludf.DUMMYFUNCTION("""COMPUTED_VALUE"""),"short")</f>
        <v>short</v>
      </c>
      <c r="N545" s="45">
        <f>IFERROR(__xludf.DUMMYFUNCTION("""COMPUTED_VALUE"""),44999.0)</f>
        <v>44999</v>
      </c>
      <c r="O545" s="45">
        <f>IFERROR(__xludf.DUMMYFUNCTION("""COMPUTED_VALUE"""),45096.0)</f>
        <v>45096</v>
      </c>
      <c r="P545" s="45">
        <f>IFERROR(__xludf.DUMMYFUNCTION("""COMPUTED_VALUE"""),45138.0)</f>
        <v>45138</v>
      </c>
      <c r="Q545" s="45">
        <f>IFERROR(__xludf.DUMMYFUNCTION("""COMPUTED_VALUE"""),45097.0)</f>
        <v>45097</v>
      </c>
      <c r="R545" s="45">
        <f>IFERROR(__xludf.DUMMYFUNCTION("""COMPUTED_VALUE"""),45139.0)</f>
        <v>45139</v>
      </c>
      <c r="S545" s="43"/>
      <c r="T545" s="43"/>
      <c r="U545" s="43" t="str">
        <f>IFERROR(__xludf.DUMMYFUNCTION("""COMPUTED_VALUE"""),"Heartbeat")</f>
        <v>Heartbeat</v>
      </c>
      <c r="V545" s="43" t="str">
        <f>IFERROR(__xludf.DUMMYFUNCTION("""COMPUTED_VALUE"""),"-")</f>
        <v>-</v>
      </c>
      <c r="W545" s="43" t="str">
        <f>IFERROR(__xludf.DUMMYFUNCTION("""COMPUTED_VALUE"""),"2022-10-19T21:33:00Z")</f>
        <v>2022-10-19T21:33:00Z</v>
      </c>
      <c r="X545" s="43"/>
      <c r="Y545" s="43"/>
      <c r="Z545" s="43"/>
    </row>
    <row r="546" hidden="1">
      <c r="A546" s="43" t="str">
        <f>IFERROR(__xludf.DUMMYFUNCTION("""COMPUTED_VALUE"""),"4675843_1291427")</f>
        <v>4675843_1291427</v>
      </c>
      <c r="B546" s="43" t="str">
        <f>IFERROR(__xludf.DUMMYFUNCTION("""COMPUTED_VALUE"""),"Salma Adel")</f>
        <v>Salma Adel</v>
      </c>
      <c r="C546" s="43" t="str">
        <f>IFERROR(__xludf.DUMMYFUNCTION("""COMPUTED_VALUE"""),"finished")</f>
        <v>finished</v>
      </c>
      <c r="D546" s="43" t="str">
        <f>IFERROR(__xludf.DUMMYFUNCTION("""COMPUTED_VALUE"""),"No")</f>
        <v>No</v>
      </c>
      <c r="E546" s="43" t="str">
        <f>IFERROR(__xludf.DUMMYFUNCTION("""COMPUTED_VALUE"""),"p_5f0d881fdd08189e6acdaf739e778badd0efd516@inbound.aiesec.org")</f>
        <v>p_5f0d881fdd08189e6acdaf739e778badd0efd516@inbound.aiesec.org</v>
      </c>
      <c r="F546" s="43">
        <f>IFERROR(__xludf.DUMMYFUNCTION("""COMPUTED_VALUE"""),1.023585095E9)</f>
        <v>1023585095</v>
      </c>
      <c r="G546" s="43" t="str">
        <f>IFERROR(__xludf.DUMMYFUNCTION("""COMPUTED_VALUE"""),"Egypt")</f>
        <v>Egypt</v>
      </c>
      <c r="H546" s="43" t="str">
        <f>IFERROR(__xludf.DUMMYFUNCTION("""COMPUTED_VALUE"""),"Alexandria")</f>
        <v>Alexandria</v>
      </c>
      <c r="I546" s="43" t="str">
        <f>IFERROR(__xludf.DUMMYFUNCTION("""COMPUTED_VALUE"""),"Turkey")</f>
        <v>Turkey</v>
      </c>
      <c r="J546" s="43" t="str">
        <f>IFERROR(__xludf.DUMMYFUNCTION("""COMPUTED_VALUE"""),"ISTANBUL WEST")</f>
        <v>ISTANBUL WEST</v>
      </c>
      <c r="K546" s="44" t="str">
        <f>IFERROR(__xludf.DUMMYFUNCTION("""COMPUTED_VALUE"""),"https://expa.aiesec.org/opportunities/1291427")</f>
        <v>https://expa.aiesec.org/opportunities/1291427</v>
      </c>
      <c r="L546" s="43" t="str">
        <f>IFERROR(__xludf.DUMMYFUNCTION("""COMPUTED_VALUE"""),"GV")</f>
        <v>GV</v>
      </c>
      <c r="M546" s="43" t="str">
        <f>IFERROR(__xludf.DUMMYFUNCTION("""COMPUTED_VALUE"""),"short")</f>
        <v>short</v>
      </c>
      <c r="N546" s="45">
        <f>IFERROR(__xludf.DUMMYFUNCTION("""COMPUTED_VALUE"""),44999.0)</f>
        <v>44999</v>
      </c>
      <c r="O546" s="45">
        <f>IFERROR(__xludf.DUMMYFUNCTION("""COMPUTED_VALUE"""),45061.0)</f>
        <v>45061</v>
      </c>
      <c r="P546" s="45">
        <f>IFERROR(__xludf.DUMMYFUNCTION("""COMPUTED_VALUE"""),45103.0)</f>
        <v>45103</v>
      </c>
      <c r="Q546" s="45">
        <f>IFERROR(__xludf.DUMMYFUNCTION("""COMPUTED_VALUE"""),45066.0)</f>
        <v>45066</v>
      </c>
      <c r="R546" s="45">
        <f>IFERROR(__xludf.DUMMYFUNCTION("""COMPUTED_VALUE"""),45106.0)</f>
        <v>45106</v>
      </c>
      <c r="S546" s="43"/>
      <c r="T546" s="43"/>
      <c r="U546" s="43" t="str">
        <f>IFERROR(__xludf.DUMMYFUNCTION("""COMPUTED_VALUE"""),"Fingerprint")</f>
        <v>Fingerprint</v>
      </c>
      <c r="V546" s="43" t="str">
        <f>IFERROR(__xludf.DUMMYFUNCTION("""COMPUTED_VALUE"""),"Alexandria University")</f>
        <v>Alexandria University</v>
      </c>
      <c r="W546" s="43" t="str">
        <f>IFERROR(__xludf.DUMMYFUNCTION("""COMPUTED_VALUE"""),"2021-06-25T07:39:23Z")</f>
        <v>2021-06-25T07:39:23Z</v>
      </c>
      <c r="X546" s="43"/>
      <c r="Y546" s="43"/>
      <c r="Z546" s="43"/>
    </row>
    <row r="547" hidden="1">
      <c r="A547" s="43" t="str">
        <f>IFERROR(__xludf.DUMMYFUNCTION("""COMPUTED_VALUE"""),"5217202_1292557")</f>
        <v>5217202_1292557</v>
      </c>
      <c r="B547" s="43" t="str">
        <f>IFERROR(__xludf.DUMMYFUNCTION("""COMPUTED_VALUE"""),"Eya Ouesleti")</f>
        <v>Eya Ouesleti</v>
      </c>
      <c r="C547" s="43" t="str">
        <f>IFERROR(__xludf.DUMMYFUNCTION("""COMPUTED_VALUE"""),"completed")</f>
        <v>completed</v>
      </c>
      <c r="D547" s="43" t="str">
        <f>IFERROR(__xludf.DUMMYFUNCTION("""COMPUTED_VALUE"""),"No")</f>
        <v>No</v>
      </c>
      <c r="E547" s="43" t="str">
        <f>IFERROR(__xludf.DUMMYFUNCTION("""COMPUTED_VALUE"""),"p_f4d01cd2c98e8b62466150d81cecfc4743aca562@inbound.aiesec.org")</f>
        <v>p_f4d01cd2c98e8b62466150d81cecfc4743aca562@inbound.aiesec.org</v>
      </c>
      <c r="F547" s="43">
        <f>IFERROR(__xludf.DUMMYFUNCTION("""COMPUTED_VALUE"""),5.0094804E7)</f>
        <v>50094804</v>
      </c>
      <c r="G547" s="43" t="str">
        <f>IFERROR(__xludf.DUMMYFUNCTION("""COMPUTED_VALUE"""),"Tunisia")</f>
        <v>Tunisia</v>
      </c>
      <c r="H547" s="43" t="str">
        <f>IFERROR(__xludf.DUMMYFUNCTION("""COMPUTED_VALUE"""),"HADRUMET")</f>
        <v>HADRUMET</v>
      </c>
      <c r="I547" s="43" t="str">
        <f>IFERROR(__xludf.DUMMYFUNCTION("""COMPUTED_VALUE"""),"Turkey")</f>
        <v>Turkey</v>
      </c>
      <c r="J547" s="43" t="str">
        <f>IFERROR(__xludf.DUMMYFUNCTION("""COMPUTED_VALUE"""),"DENIZLI")</f>
        <v>DENIZLI</v>
      </c>
      <c r="K547" s="44" t="str">
        <f>IFERROR(__xludf.DUMMYFUNCTION("""COMPUTED_VALUE"""),"https://expa.aiesec.org/opportunities/1292557")</f>
        <v>https://expa.aiesec.org/opportunities/1292557</v>
      </c>
      <c r="L547" s="43" t="str">
        <f>IFERROR(__xludf.DUMMYFUNCTION("""COMPUTED_VALUE"""),"GV")</f>
        <v>GV</v>
      </c>
      <c r="M547" s="43" t="str">
        <f>IFERROR(__xludf.DUMMYFUNCTION("""COMPUTED_VALUE"""),"short")</f>
        <v>short</v>
      </c>
      <c r="N547" s="45">
        <f>IFERROR(__xludf.DUMMYFUNCTION("""COMPUTED_VALUE"""),45000.0)</f>
        <v>45000</v>
      </c>
      <c r="O547" s="45">
        <f>IFERROR(__xludf.DUMMYFUNCTION("""COMPUTED_VALUE"""),45117.0)</f>
        <v>45117</v>
      </c>
      <c r="P547" s="45">
        <f>IFERROR(__xludf.DUMMYFUNCTION("""COMPUTED_VALUE"""),45159.0)</f>
        <v>45159</v>
      </c>
      <c r="Q547" s="45">
        <f>IFERROR(__xludf.DUMMYFUNCTION("""COMPUTED_VALUE"""),45117.0)</f>
        <v>45117</v>
      </c>
      <c r="R547" s="45">
        <f>IFERROR(__xludf.DUMMYFUNCTION("""COMPUTED_VALUE"""),45159.0)</f>
        <v>45159</v>
      </c>
      <c r="S547" s="43"/>
      <c r="T547" s="43"/>
      <c r="U547" s="43" t="str">
        <f>IFERROR(__xludf.DUMMYFUNCTION("""COMPUTED_VALUE"""),"Equify")</f>
        <v>Equify</v>
      </c>
      <c r="V547" s="43" t="str">
        <f>IFERROR(__xludf.DUMMYFUNCTION("""COMPUTED_VALUE"""),"FLSH Sousse")</f>
        <v>FLSH Sousse</v>
      </c>
      <c r="W547" s="43" t="str">
        <f>IFERROR(__xludf.DUMMYFUNCTION("""COMPUTED_VALUE"""),"2023-03-15T12:23:48Z")</f>
        <v>2023-03-15T12:23:48Z</v>
      </c>
      <c r="X547" s="43"/>
      <c r="Y547" s="43"/>
      <c r="Z547" s="43"/>
    </row>
    <row r="548">
      <c r="A548" s="43" t="str">
        <f>IFERROR(__xludf.DUMMYFUNCTION("""COMPUTED_VALUE"""),"5216738_1290826")</f>
        <v>5216738_1290826</v>
      </c>
      <c r="B548" s="43" t="str">
        <f>IFERROR(__xludf.DUMMYFUNCTION("""COMPUTED_VALUE"""),"Insaf Bouassida")</f>
        <v>Insaf Bouassida</v>
      </c>
      <c r="C548" s="43" t="str">
        <f>IFERROR(__xludf.DUMMYFUNCTION("""COMPUTED_VALUE"""),"approved")</f>
        <v>approved</v>
      </c>
      <c r="D548" s="43" t="str">
        <f>IFERROR(__xludf.DUMMYFUNCTION("""COMPUTED_VALUE"""),"No")</f>
        <v>No</v>
      </c>
      <c r="E548" s="43" t="str">
        <f>IFERROR(__xludf.DUMMYFUNCTION("""COMPUTED_VALUE"""),"p_c1a090f2030ba9fdd7ebc5bb12e8a823afcac70e@inbound.aiesec.org")</f>
        <v>p_c1a090f2030ba9fdd7ebc5bb12e8a823afcac70e@inbound.aiesec.org</v>
      </c>
      <c r="F548" s="43">
        <f>IFERROR(__xludf.DUMMYFUNCTION("""COMPUTED_VALUE"""),5.2307255E7)</f>
        <v>52307255</v>
      </c>
      <c r="G548" s="43" t="str">
        <f>IFERROR(__xludf.DUMMYFUNCTION("""COMPUTED_VALUE"""),"Tunisia")</f>
        <v>Tunisia</v>
      </c>
      <c r="H548" s="43" t="str">
        <f>IFERROR(__xludf.DUMMYFUNCTION("""COMPUTED_VALUE"""),"HADRUMET")</f>
        <v>HADRUMET</v>
      </c>
      <c r="I548" s="43" t="str">
        <f>IFERROR(__xludf.DUMMYFUNCTION("""COMPUTED_VALUE"""),"Turkey")</f>
        <v>Turkey</v>
      </c>
      <c r="J548" s="43" t="str">
        <f>IFERROR(__xludf.DUMMYFUNCTION("""COMPUTED_VALUE"""),"KOCAELI")</f>
        <v>KOCAELI</v>
      </c>
      <c r="K548" s="44" t="str">
        <f>IFERROR(__xludf.DUMMYFUNCTION("""COMPUTED_VALUE"""),"https://expa.aiesec.org/opportunities/1290826")</f>
        <v>https://expa.aiesec.org/opportunities/1290826</v>
      </c>
      <c r="L548" s="43" t="str">
        <f>IFERROR(__xludf.DUMMYFUNCTION("""COMPUTED_VALUE"""),"GV")</f>
        <v>GV</v>
      </c>
      <c r="M548" s="43" t="str">
        <f>IFERROR(__xludf.DUMMYFUNCTION("""COMPUTED_VALUE"""),"short")</f>
        <v>short</v>
      </c>
      <c r="N548" s="45">
        <f>IFERROR(__xludf.DUMMYFUNCTION("""COMPUTED_VALUE"""),45000.0)</f>
        <v>45000</v>
      </c>
      <c r="O548" s="45">
        <f>IFERROR(__xludf.DUMMYFUNCTION("""COMPUTED_VALUE"""),45082.0)</f>
        <v>45082</v>
      </c>
      <c r="P548" s="45">
        <f>IFERROR(__xludf.DUMMYFUNCTION("""COMPUTED_VALUE"""),45124.0)</f>
        <v>45124</v>
      </c>
      <c r="Q548" s="45"/>
      <c r="R548" s="45"/>
      <c r="S548" s="43"/>
      <c r="T548" s="43"/>
      <c r="U548" s="43" t="str">
        <f>IFERROR(__xludf.DUMMYFUNCTION("""COMPUTED_VALUE"""),"Global Classroom")</f>
        <v>Global Classroom</v>
      </c>
      <c r="V548" s="43" t="str">
        <f>IFERROR(__xludf.DUMMYFUNCTION("""COMPUTED_VALUE"""),"EPI Sousse")</f>
        <v>EPI Sousse</v>
      </c>
      <c r="W548" s="43" t="str">
        <f>IFERROR(__xludf.DUMMYFUNCTION("""COMPUTED_VALUE"""),"2023-03-15T08:19:50Z")</f>
        <v>2023-03-15T08:19:50Z</v>
      </c>
      <c r="X548" s="43"/>
      <c r="Y548" s="43"/>
      <c r="Z548" s="43"/>
    </row>
    <row r="549" hidden="1">
      <c r="A549" s="43" t="str">
        <f>IFERROR(__xludf.DUMMYFUNCTION("""COMPUTED_VALUE"""),"5213775_1292962")</f>
        <v>5213775_1292962</v>
      </c>
      <c r="B549" s="43" t="str">
        <f>IFERROR(__xludf.DUMMYFUNCTION("""COMPUTED_VALUE"""),"Mariem ABBASSI")</f>
        <v>Mariem ABBASSI</v>
      </c>
      <c r="C549" s="43" t="str">
        <f>IFERROR(__xludf.DUMMYFUNCTION("""COMPUTED_VALUE"""),"completed")</f>
        <v>completed</v>
      </c>
      <c r="D549" s="43" t="str">
        <f>IFERROR(__xludf.DUMMYFUNCTION("""COMPUTED_VALUE"""),"No")</f>
        <v>No</v>
      </c>
      <c r="E549" s="43" t="str">
        <f>IFERROR(__xludf.DUMMYFUNCTION("""COMPUTED_VALUE"""),"p_1021d7a241365200ad5485a54eeb623e3dbd6c69@inbound.aiesec.org")</f>
        <v>p_1021d7a241365200ad5485a54eeb623e3dbd6c69@inbound.aiesec.org</v>
      </c>
      <c r="F549" s="43"/>
      <c r="G549" s="43" t="str">
        <f>IFERROR(__xludf.DUMMYFUNCTION("""COMPUTED_VALUE"""),"Tunisia")</f>
        <v>Tunisia</v>
      </c>
      <c r="H549" s="43" t="str">
        <f>IFERROR(__xludf.DUMMYFUNCTION("""COMPUTED_VALUE"""),"UNIVERSITY")</f>
        <v>UNIVERSITY</v>
      </c>
      <c r="I549" s="43" t="str">
        <f>IFERROR(__xludf.DUMMYFUNCTION("""COMPUTED_VALUE"""),"Turkey")</f>
        <v>Turkey</v>
      </c>
      <c r="J549" s="43" t="str">
        <f>IFERROR(__xludf.DUMMYFUNCTION("""COMPUTED_VALUE"""),"BURSA")</f>
        <v>BURSA</v>
      </c>
      <c r="K549" s="44" t="str">
        <f>IFERROR(__xludf.DUMMYFUNCTION("""COMPUTED_VALUE"""),"https://expa.aiesec.org/opportunities/1292962")</f>
        <v>https://expa.aiesec.org/opportunities/1292962</v>
      </c>
      <c r="L549" s="43" t="str">
        <f>IFERROR(__xludf.DUMMYFUNCTION("""COMPUTED_VALUE"""),"GV")</f>
        <v>GV</v>
      </c>
      <c r="M549" s="43" t="str">
        <f>IFERROR(__xludf.DUMMYFUNCTION("""COMPUTED_VALUE"""),"short")</f>
        <v>short</v>
      </c>
      <c r="N549" s="45">
        <f>IFERROR(__xludf.DUMMYFUNCTION("""COMPUTED_VALUE"""),45000.0)</f>
        <v>45000</v>
      </c>
      <c r="O549" s="45">
        <f>IFERROR(__xludf.DUMMYFUNCTION("""COMPUTED_VALUE"""),45110.0)</f>
        <v>45110</v>
      </c>
      <c r="P549" s="45">
        <f>IFERROR(__xludf.DUMMYFUNCTION("""COMPUTED_VALUE"""),45152.0)</f>
        <v>45152</v>
      </c>
      <c r="Q549" s="45">
        <f>IFERROR(__xludf.DUMMYFUNCTION("""COMPUTED_VALUE"""),45109.0)</f>
        <v>45109</v>
      </c>
      <c r="R549" s="45">
        <f>IFERROR(__xludf.DUMMYFUNCTION("""COMPUTED_VALUE"""),45152.0)</f>
        <v>45152</v>
      </c>
      <c r="S549" s="43"/>
      <c r="T549" s="43"/>
      <c r="U549" s="43" t="str">
        <f>IFERROR(__xludf.DUMMYFUNCTION("""COMPUTED_VALUE"""),"Youth 4 Impact")</f>
        <v>Youth 4 Impact</v>
      </c>
      <c r="V549" s="43" t="str">
        <f>IFERROR(__xludf.DUMMYFUNCTION("""COMPUTED_VALUE"""),"-")</f>
        <v>-</v>
      </c>
      <c r="W549" s="43" t="str">
        <f>IFERROR(__xludf.DUMMYFUNCTION("""COMPUTED_VALUE"""),"2023-03-12T13:06:10Z")</f>
        <v>2023-03-12T13:06:10Z</v>
      </c>
      <c r="X549" s="43"/>
      <c r="Y549" s="43"/>
      <c r="Z549" s="43"/>
    </row>
    <row r="550" hidden="1">
      <c r="A550" s="43" t="str">
        <f>IFERROR(__xludf.DUMMYFUNCTION("""COMPUTED_VALUE"""),"5216455_1291929")</f>
        <v>5216455_1291929</v>
      </c>
      <c r="B550" s="43" t="str">
        <f>IFERROR(__xludf.DUMMYFUNCTION("""COMPUTED_VALUE"""),"rihab ben rejeb")</f>
        <v>rihab ben rejeb</v>
      </c>
      <c r="C550" s="43" t="str">
        <f>IFERROR(__xludf.DUMMYFUNCTION("""COMPUTED_VALUE"""),"completed")</f>
        <v>completed</v>
      </c>
      <c r="D550" s="43" t="str">
        <f>IFERROR(__xludf.DUMMYFUNCTION("""COMPUTED_VALUE"""),"No")</f>
        <v>No</v>
      </c>
      <c r="E550" s="43" t="str">
        <f>IFERROR(__xludf.DUMMYFUNCTION("""COMPUTED_VALUE"""),"p_35e6bf52d1535a4759c24463be669e637c2ce2cf@inbound.aiesec.org")</f>
        <v>p_35e6bf52d1535a4759c24463be669e637c2ce2cf@inbound.aiesec.org</v>
      </c>
      <c r="F550" s="43">
        <f>IFERROR(__xludf.DUMMYFUNCTION("""COMPUTED_VALUE"""),9.5517588E7)</f>
        <v>95517588</v>
      </c>
      <c r="G550" s="43" t="str">
        <f>IFERROR(__xludf.DUMMYFUNCTION("""COMPUTED_VALUE"""),"Tunisia")</f>
        <v>Tunisia</v>
      </c>
      <c r="H550" s="43" t="str">
        <f>IFERROR(__xludf.DUMMYFUNCTION("""COMPUTED_VALUE"""),"Carthage")</f>
        <v>Carthage</v>
      </c>
      <c r="I550" s="43" t="str">
        <f>IFERROR(__xludf.DUMMYFUNCTION("""COMPUTED_VALUE"""),"Turkey")</f>
        <v>Turkey</v>
      </c>
      <c r="J550" s="43" t="str">
        <f>IFERROR(__xludf.DUMMYFUNCTION("""COMPUTED_VALUE"""),"TRABZON")</f>
        <v>TRABZON</v>
      </c>
      <c r="K550" s="44" t="str">
        <f>IFERROR(__xludf.DUMMYFUNCTION("""COMPUTED_VALUE"""),"https://expa.aiesec.org/opportunities/1291929")</f>
        <v>https://expa.aiesec.org/opportunities/1291929</v>
      </c>
      <c r="L550" s="43" t="str">
        <f>IFERROR(__xludf.DUMMYFUNCTION("""COMPUTED_VALUE"""),"GV")</f>
        <v>GV</v>
      </c>
      <c r="M550" s="43" t="str">
        <f>IFERROR(__xludf.DUMMYFUNCTION("""COMPUTED_VALUE"""),"short")</f>
        <v>short</v>
      </c>
      <c r="N550" s="45">
        <f>IFERROR(__xludf.DUMMYFUNCTION("""COMPUTED_VALUE"""),45000.0)</f>
        <v>45000</v>
      </c>
      <c r="O550" s="45">
        <f>IFERROR(__xludf.DUMMYFUNCTION("""COMPUTED_VALUE"""),45128.0)</f>
        <v>45128</v>
      </c>
      <c r="P550" s="45">
        <f>IFERROR(__xludf.DUMMYFUNCTION("""COMPUTED_VALUE"""),45170.0)</f>
        <v>45170</v>
      </c>
      <c r="Q550" s="45">
        <f>IFERROR(__xludf.DUMMYFUNCTION("""COMPUTED_VALUE"""),45132.0)</f>
        <v>45132</v>
      </c>
      <c r="R550" s="45">
        <f>IFERROR(__xludf.DUMMYFUNCTION("""COMPUTED_VALUE"""),45174.0)</f>
        <v>45174</v>
      </c>
      <c r="S550" s="43"/>
      <c r="T550" s="43"/>
      <c r="U550" s="43" t="str">
        <f>IFERROR(__xludf.DUMMYFUNCTION("""COMPUTED_VALUE"""),"Global Classroom")</f>
        <v>Global Classroom</v>
      </c>
      <c r="V550" s="43" t="str">
        <f>IFERROR(__xludf.DUMMYFUNCTION("""COMPUTED_VALUE"""),"ENICarthage")</f>
        <v>ENICarthage</v>
      </c>
      <c r="W550" s="43" t="str">
        <f>IFERROR(__xludf.DUMMYFUNCTION("""COMPUTED_VALUE"""),"2023-03-14T20:41:06Z")</f>
        <v>2023-03-14T20:41:06Z</v>
      </c>
      <c r="X550" s="43"/>
      <c r="Y550" s="43"/>
      <c r="Z550" s="43"/>
    </row>
    <row r="551" hidden="1">
      <c r="A551" s="43" t="str">
        <f>IFERROR(__xludf.DUMMYFUNCTION("""COMPUTED_VALUE"""),"5212777_1291254")</f>
        <v>5212777_1291254</v>
      </c>
      <c r="B551" s="43" t="str">
        <f>IFERROR(__xludf.DUMMYFUNCTION("""COMPUTED_VALUE"""),"Jasmine Essam")</f>
        <v>Jasmine Essam</v>
      </c>
      <c r="C551" s="43" t="str">
        <f>IFERROR(__xludf.DUMMYFUNCTION("""COMPUTED_VALUE"""),"approved")</f>
        <v>approved</v>
      </c>
      <c r="D551" s="43" t="str">
        <f>IFERROR(__xludf.DUMMYFUNCTION("""COMPUTED_VALUE"""),"No")</f>
        <v>No</v>
      </c>
      <c r="E551" s="43" t="str">
        <f>IFERROR(__xludf.DUMMYFUNCTION("""COMPUTED_VALUE"""),"p_7b0f7d021bdb60ecf4a8db1c3f4d0ad4cb290969@inbound.aiesec.org")</f>
        <v>p_7b0f7d021bdb60ecf4a8db1c3f4d0ad4cb290969@inbound.aiesec.org</v>
      </c>
      <c r="F551" s="43">
        <f>IFERROR(__xludf.DUMMYFUNCTION("""COMPUTED_VALUE"""),1.032014376E9)</f>
        <v>1032014376</v>
      </c>
      <c r="G551" s="43" t="str">
        <f>IFERROR(__xludf.DUMMYFUNCTION("""COMPUTED_VALUE"""),"Egypt")</f>
        <v>Egypt</v>
      </c>
      <c r="H551" s="43" t="str">
        <f>IFERROR(__xludf.DUMMYFUNCTION("""COMPUTED_VALUE"""),"Cairo University")</f>
        <v>Cairo University</v>
      </c>
      <c r="I551" s="43" t="str">
        <f>IFERROR(__xludf.DUMMYFUNCTION("""COMPUTED_VALUE"""),"Turkey")</f>
        <v>Turkey</v>
      </c>
      <c r="J551" s="43" t="str">
        <f>IFERROR(__xludf.DUMMYFUNCTION("""COMPUTED_VALUE"""),"KOCAELI")</f>
        <v>KOCAELI</v>
      </c>
      <c r="K551" s="44" t="str">
        <f>IFERROR(__xludf.DUMMYFUNCTION("""COMPUTED_VALUE"""),"https://expa.aiesec.org/opportunities/1291254")</f>
        <v>https://expa.aiesec.org/opportunities/1291254</v>
      </c>
      <c r="L551" s="43" t="str">
        <f>IFERROR(__xludf.DUMMYFUNCTION("""COMPUTED_VALUE"""),"GV")</f>
        <v>GV</v>
      </c>
      <c r="M551" s="43" t="str">
        <f>IFERROR(__xludf.DUMMYFUNCTION("""COMPUTED_VALUE"""),"short")</f>
        <v>short</v>
      </c>
      <c r="N551" s="45">
        <f>IFERROR(__xludf.DUMMYFUNCTION("""COMPUTED_VALUE"""),45000.0)</f>
        <v>45000</v>
      </c>
      <c r="O551" s="45">
        <f>IFERROR(__xludf.DUMMYFUNCTION("""COMPUTED_VALUE"""),45172.0)</f>
        <v>45172</v>
      </c>
      <c r="P551" s="45">
        <f>IFERROR(__xludf.DUMMYFUNCTION("""COMPUTED_VALUE"""),45214.0)</f>
        <v>45214</v>
      </c>
      <c r="Q551" s="45"/>
      <c r="R551" s="45"/>
      <c r="S551" s="43"/>
      <c r="T551" s="43"/>
      <c r="U551" s="43" t="str">
        <f>IFERROR(__xludf.DUMMYFUNCTION("""COMPUTED_VALUE"""),"Global Classroom")</f>
        <v>Global Classroom</v>
      </c>
      <c r="V551" s="43" t="str">
        <f>IFERROR(__xludf.DUMMYFUNCTION("""COMPUTED_VALUE"""),"Cairo Univeristy")</f>
        <v>Cairo Univeristy</v>
      </c>
      <c r="W551" s="43" t="str">
        <f>IFERROR(__xludf.DUMMYFUNCTION("""COMPUTED_VALUE"""),"2023-03-11T09:42:03Z")</f>
        <v>2023-03-11T09:42:03Z</v>
      </c>
      <c r="X551" s="43"/>
      <c r="Y551" s="43"/>
      <c r="Z551" s="43"/>
    </row>
    <row r="552">
      <c r="A552" s="43" t="str">
        <f>IFERROR(__xludf.DUMMYFUNCTION("""COMPUTED_VALUE"""),"5207555_1285687")</f>
        <v>5207555_1285687</v>
      </c>
      <c r="B552" s="43" t="str">
        <f>IFERROR(__xludf.DUMMYFUNCTION("""COMPUTED_VALUE"""),"Arina Pluzhnykova")</f>
        <v>Arina Pluzhnykova</v>
      </c>
      <c r="C552" s="43" t="str">
        <f>IFERROR(__xludf.DUMMYFUNCTION("""COMPUTED_VALUE"""),"approved")</f>
        <v>approved</v>
      </c>
      <c r="D552" s="43" t="str">
        <f>IFERROR(__xludf.DUMMYFUNCTION("""COMPUTED_VALUE"""),"No")</f>
        <v>No</v>
      </c>
      <c r="E552" s="43" t="str">
        <f>IFERROR(__xludf.DUMMYFUNCTION("""COMPUTED_VALUE"""),"p_724e4f89f21b1616967de58b88159d5ebf219ea3@inbound.aiesec.org")</f>
        <v>p_724e4f89f21b1616967de58b88159d5ebf219ea3@inbound.aiesec.org</v>
      </c>
      <c r="F552" s="43">
        <f>IFERROR(__xludf.DUMMYFUNCTION("""COMPUTED_VALUE"""),9.97318012E8)</f>
        <v>997318012</v>
      </c>
      <c r="G552" s="43" t="str">
        <f>IFERROR(__xludf.DUMMYFUNCTION("""COMPUTED_VALUE"""),"Ukraine")</f>
        <v>Ukraine</v>
      </c>
      <c r="H552" s="43" t="str">
        <f>IFERROR(__xludf.DUMMYFUNCTION("""COMPUTED_VALUE"""),"KHARKIV")</f>
        <v>KHARKIV</v>
      </c>
      <c r="I552" s="43" t="str">
        <f>IFERROR(__xludf.DUMMYFUNCTION("""COMPUTED_VALUE"""),"Turkey")</f>
        <v>Turkey</v>
      </c>
      <c r="J552" s="43" t="str">
        <f>IFERROR(__xludf.DUMMYFUNCTION("""COMPUTED_VALUE"""),"ISTANBUL")</f>
        <v>ISTANBUL</v>
      </c>
      <c r="K552" s="44" t="str">
        <f>IFERROR(__xludf.DUMMYFUNCTION("""COMPUTED_VALUE"""),"https://expa.aiesec.org/opportunities/1285687")</f>
        <v>https://expa.aiesec.org/opportunities/1285687</v>
      </c>
      <c r="L552" s="43" t="str">
        <f>IFERROR(__xludf.DUMMYFUNCTION("""COMPUTED_VALUE"""),"GV")</f>
        <v>GV</v>
      </c>
      <c r="M552" s="43" t="str">
        <f>IFERROR(__xludf.DUMMYFUNCTION("""COMPUTED_VALUE"""),"short")</f>
        <v>short</v>
      </c>
      <c r="N552" s="45">
        <f>IFERROR(__xludf.DUMMYFUNCTION("""COMPUTED_VALUE"""),45000.0)</f>
        <v>45000</v>
      </c>
      <c r="O552" s="45">
        <f>IFERROR(__xludf.DUMMYFUNCTION("""COMPUTED_VALUE"""),45058.0)</f>
        <v>45058</v>
      </c>
      <c r="P552" s="45">
        <f>IFERROR(__xludf.DUMMYFUNCTION("""COMPUTED_VALUE"""),45100.0)</f>
        <v>45100</v>
      </c>
      <c r="Q552" s="45"/>
      <c r="R552" s="45"/>
      <c r="S552" s="43"/>
      <c r="T552" s="43"/>
      <c r="U552" s="43" t="str">
        <f>IFERROR(__xludf.DUMMYFUNCTION("""COMPUTED_VALUE"""),"Youth 4 Impact")</f>
        <v>Youth 4 Impact</v>
      </c>
      <c r="V552" s="43" t="str">
        <f>IFERROR(__xludf.DUMMYFUNCTION("""COMPUTED_VALUE"""),"Kharkiv")</f>
        <v>Kharkiv</v>
      </c>
      <c r="W552" s="43" t="str">
        <f>IFERROR(__xludf.DUMMYFUNCTION("""COMPUTED_VALUE"""),"2023-03-06T15:04:09Z")</f>
        <v>2023-03-06T15:04:09Z</v>
      </c>
      <c r="X552" s="43"/>
      <c r="Y552" s="43"/>
      <c r="Z552" s="43"/>
    </row>
    <row r="553" hidden="1">
      <c r="A553" s="43" t="str">
        <f>IFERROR(__xludf.DUMMYFUNCTION("""COMPUTED_VALUE"""),"5212368_1284831")</f>
        <v>5212368_1284831</v>
      </c>
      <c r="B553" s="43" t="str">
        <f>IFERROR(__xludf.DUMMYFUNCTION("""COMPUTED_VALUE"""),"Dua Zuari")</f>
        <v>Dua Zuari</v>
      </c>
      <c r="C553" s="43" t="str">
        <f>IFERROR(__xludf.DUMMYFUNCTION("""COMPUTED_VALUE"""),"completed")</f>
        <v>completed</v>
      </c>
      <c r="D553" s="43" t="str">
        <f>IFERROR(__xludf.DUMMYFUNCTION("""COMPUTED_VALUE"""),"No")</f>
        <v>No</v>
      </c>
      <c r="E553" s="43" t="str">
        <f>IFERROR(__xludf.DUMMYFUNCTION("""COMPUTED_VALUE"""),"p_ef1c415bf1033bab8f86270a23e151d49377a455@inbound.aiesec.org")</f>
        <v>p_ef1c415bf1033bab8f86270a23e151d49377a455@inbound.aiesec.org</v>
      </c>
      <c r="F553" s="43"/>
      <c r="G553" s="43" t="str">
        <f>IFERROR(__xludf.DUMMYFUNCTION("""COMPUTED_VALUE"""),"Tunisia")</f>
        <v>Tunisia</v>
      </c>
      <c r="H553" s="43" t="str">
        <f>IFERROR(__xludf.DUMMYFUNCTION("""COMPUTED_VALUE"""),"BARDO")</f>
        <v>BARDO</v>
      </c>
      <c r="I553" s="43" t="str">
        <f>IFERROR(__xludf.DUMMYFUNCTION("""COMPUTED_VALUE"""),"Turkey")</f>
        <v>Turkey</v>
      </c>
      <c r="J553" s="43" t="str">
        <f>IFERROR(__xludf.DUMMYFUNCTION("""COMPUTED_VALUE"""),"TRABZON")</f>
        <v>TRABZON</v>
      </c>
      <c r="K553" s="44" t="str">
        <f>IFERROR(__xludf.DUMMYFUNCTION("""COMPUTED_VALUE"""),"https://expa.aiesec.org/opportunities/1284831")</f>
        <v>https://expa.aiesec.org/opportunities/1284831</v>
      </c>
      <c r="L553" s="43" t="str">
        <f>IFERROR(__xludf.DUMMYFUNCTION("""COMPUTED_VALUE"""),"GV")</f>
        <v>GV</v>
      </c>
      <c r="M553" s="43" t="str">
        <f>IFERROR(__xludf.DUMMYFUNCTION("""COMPUTED_VALUE"""),"short")</f>
        <v>short</v>
      </c>
      <c r="N553" s="45">
        <f>IFERROR(__xludf.DUMMYFUNCTION("""COMPUTED_VALUE"""),45000.0)</f>
        <v>45000</v>
      </c>
      <c r="O553" s="45">
        <f>IFERROR(__xludf.DUMMYFUNCTION("""COMPUTED_VALUE"""),45117.0)</f>
        <v>45117</v>
      </c>
      <c r="P553" s="45">
        <f>IFERROR(__xludf.DUMMYFUNCTION("""COMPUTED_VALUE"""),45159.0)</f>
        <v>45159</v>
      </c>
      <c r="Q553" s="45">
        <f>IFERROR(__xludf.DUMMYFUNCTION("""COMPUTED_VALUE"""),45118.0)</f>
        <v>45118</v>
      </c>
      <c r="R553" s="45">
        <f>IFERROR(__xludf.DUMMYFUNCTION("""COMPUTED_VALUE"""),45159.0)</f>
        <v>45159</v>
      </c>
      <c r="S553" s="43"/>
      <c r="T553" s="43"/>
      <c r="U553" s="43" t="str">
        <f>IFERROR(__xludf.DUMMYFUNCTION("""COMPUTED_VALUE"""),"Global Classroom")</f>
        <v>Global Classroom</v>
      </c>
      <c r="V553" s="43" t="str">
        <f>IFERROR(__xludf.DUMMYFUNCTION("""COMPUTED_VALUE"""),"-")</f>
        <v>-</v>
      </c>
      <c r="W553" s="43" t="str">
        <f>IFERROR(__xludf.DUMMYFUNCTION("""COMPUTED_VALUE"""),"2023-03-10T16:56:13Z")</f>
        <v>2023-03-10T16:56:13Z</v>
      </c>
      <c r="X553" s="43"/>
      <c r="Y553" s="43"/>
      <c r="Z553" s="43"/>
    </row>
    <row r="554" hidden="1">
      <c r="A554" s="43" t="str">
        <f>IFERROR(__xludf.DUMMYFUNCTION("""COMPUTED_VALUE"""),"5207490_1287855")</f>
        <v>5207490_1287855</v>
      </c>
      <c r="B554" s="43" t="str">
        <f>IFERROR(__xludf.DUMMYFUNCTION("""COMPUTED_VALUE"""),"Lunara Baigaliyeva")</f>
        <v>Lunara Baigaliyeva</v>
      </c>
      <c r="C554" s="43" t="str">
        <f>IFERROR(__xludf.DUMMYFUNCTION("""COMPUTED_VALUE"""),"completed")</f>
        <v>completed</v>
      </c>
      <c r="D554" s="43" t="str">
        <f>IFERROR(__xludf.DUMMYFUNCTION("""COMPUTED_VALUE"""),"No")</f>
        <v>No</v>
      </c>
      <c r="E554" s="43" t="str">
        <f>IFERROR(__xludf.DUMMYFUNCTION("""COMPUTED_VALUE"""),"p_6aaad70e58201e22598cd00c11cb0b32377d83a2@inbound.aiesec.org")</f>
        <v>p_6aaad70e58201e22598cd00c11cb0b32377d83a2@inbound.aiesec.org</v>
      </c>
      <c r="F554" s="43">
        <f>IFERROR(__xludf.DUMMYFUNCTION("""COMPUTED_VALUE"""),7.715969596E9)</f>
        <v>7715969596</v>
      </c>
      <c r="G554" s="43" t="str">
        <f>IFERROR(__xludf.DUMMYFUNCTION("""COMPUTED_VALUE"""),"Kazakhstan")</f>
        <v>Kazakhstan</v>
      </c>
      <c r="H554" s="43" t="str">
        <f>IFERROR(__xludf.DUMMYFUNCTION("""COMPUTED_VALUE"""),"Astana")</f>
        <v>Astana</v>
      </c>
      <c r="I554" s="43" t="str">
        <f>IFERROR(__xludf.DUMMYFUNCTION("""COMPUTED_VALUE"""),"Turkey")</f>
        <v>Turkey</v>
      </c>
      <c r="J554" s="43" t="str">
        <f>IFERROR(__xludf.DUMMYFUNCTION("""COMPUTED_VALUE"""),"İZMİR")</f>
        <v>İZMİR</v>
      </c>
      <c r="K554" s="44" t="str">
        <f>IFERROR(__xludf.DUMMYFUNCTION("""COMPUTED_VALUE"""),"https://expa.aiesec.org/opportunities/1287855")</f>
        <v>https://expa.aiesec.org/opportunities/1287855</v>
      </c>
      <c r="L554" s="43" t="str">
        <f>IFERROR(__xludf.DUMMYFUNCTION("""COMPUTED_VALUE"""),"GV")</f>
        <v>GV</v>
      </c>
      <c r="M554" s="43" t="str">
        <f>IFERROR(__xludf.DUMMYFUNCTION("""COMPUTED_VALUE"""),"short")</f>
        <v>short</v>
      </c>
      <c r="N554" s="45">
        <f>IFERROR(__xludf.DUMMYFUNCTION("""COMPUTED_VALUE"""),45000.0)</f>
        <v>45000</v>
      </c>
      <c r="O554" s="45">
        <f>IFERROR(__xludf.DUMMYFUNCTION("""COMPUTED_VALUE"""),45081.0)</f>
        <v>45081</v>
      </c>
      <c r="P554" s="45">
        <f>IFERROR(__xludf.DUMMYFUNCTION("""COMPUTED_VALUE"""),45123.0)</f>
        <v>45123</v>
      </c>
      <c r="Q554" s="45">
        <f>IFERROR(__xludf.DUMMYFUNCTION("""COMPUTED_VALUE"""),45081.0)</f>
        <v>45081</v>
      </c>
      <c r="R554" s="45">
        <f>IFERROR(__xludf.DUMMYFUNCTION("""COMPUTED_VALUE"""),45123.0)</f>
        <v>45123</v>
      </c>
      <c r="S554" s="43"/>
      <c r="T554" s="43"/>
      <c r="U554" s="43" t="str">
        <f>IFERROR(__xludf.DUMMYFUNCTION("""COMPUTED_VALUE"""),"Global Classroom")</f>
        <v>Global Classroom</v>
      </c>
      <c r="V554" s="43" t="str">
        <f>IFERROR(__xludf.DUMMYFUNCTION("""COMPUTED_VALUE"""),"Uralsk")</f>
        <v>Uralsk</v>
      </c>
      <c r="W554" s="43" t="str">
        <f>IFERROR(__xludf.DUMMYFUNCTION("""COMPUTED_VALUE"""),"2023-03-06T13:55:21Z")</f>
        <v>2023-03-06T13:55:21Z</v>
      </c>
      <c r="X554" s="43"/>
      <c r="Y554" s="43"/>
      <c r="Z554" s="43"/>
    </row>
    <row r="555" hidden="1">
      <c r="A555" s="43" t="str">
        <f>IFERROR(__xludf.DUMMYFUNCTION("""COMPUTED_VALUE"""),"5026384_1292773")</f>
        <v>5026384_1292773</v>
      </c>
      <c r="B555" s="43" t="str">
        <f>IFERROR(__xludf.DUMMYFUNCTION("""COMPUTED_VALUE"""),"Emna Siala")</f>
        <v>Emna Siala</v>
      </c>
      <c r="C555" s="43" t="str">
        <f>IFERROR(__xludf.DUMMYFUNCTION("""COMPUTED_VALUE"""),"completed")</f>
        <v>completed</v>
      </c>
      <c r="D555" s="43" t="str">
        <f>IFERROR(__xludf.DUMMYFUNCTION("""COMPUTED_VALUE"""),"No")</f>
        <v>No</v>
      </c>
      <c r="E555" s="43" t="str">
        <f>IFERROR(__xludf.DUMMYFUNCTION("""COMPUTED_VALUE"""),"p_3242c2aa7cf979cc649abb796ccdc2a640f67dce@inbound.aiesec.org")</f>
        <v>p_3242c2aa7cf979cc649abb796ccdc2a640f67dce@inbound.aiesec.org</v>
      </c>
      <c r="F555" s="43">
        <f>IFERROR(__xludf.DUMMYFUNCTION("""COMPUTED_VALUE"""),2.9278927E7)</f>
        <v>29278927</v>
      </c>
      <c r="G555" s="43" t="str">
        <f>IFERROR(__xludf.DUMMYFUNCTION("""COMPUTED_VALUE"""),"Tunisia")</f>
        <v>Tunisia</v>
      </c>
      <c r="H555" s="43" t="str">
        <f>IFERROR(__xludf.DUMMYFUNCTION("""COMPUTED_VALUE"""),"Carthage")</f>
        <v>Carthage</v>
      </c>
      <c r="I555" s="43" t="str">
        <f>IFERROR(__xludf.DUMMYFUNCTION("""COMPUTED_VALUE"""),"Turkey")</f>
        <v>Turkey</v>
      </c>
      <c r="J555" s="43" t="str">
        <f>IFERROR(__xludf.DUMMYFUNCTION("""COMPUTED_VALUE"""),"ESKISEHIR")</f>
        <v>ESKISEHIR</v>
      </c>
      <c r="K555" s="44" t="str">
        <f>IFERROR(__xludf.DUMMYFUNCTION("""COMPUTED_VALUE"""),"https://expa.aiesec.org/opportunities/1292773")</f>
        <v>https://expa.aiesec.org/opportunities/1292773</v>
      </c>
      <c r="L555" s="43" t="str">
        <f>IFERROR(__xludf.DUMMYFUNCTION("""COMPUTED_VALUE"""),"GV")</f>
        <v>GV</v>
      </c>
      <c r="M555" s="43" t="str">
        <f>IFERROR(__xludf.DUMMYFUNCTION("""COMPUTED_VALUE"""),"short")</f>
        <v>short</v>
      </c>
      <c r="N555" s="45">
        <f>IFERROR(__xludf.DUMMYFUNCTION("""COMPUTED_VALUE"""),45001.0)</f>
        <v>45001</v>
      </c>
      <c r="O555" s="45">
        <f>IFERROR(__xludf.DUMMYFUNCTION("""COMPUTED_VALUE"""),45103.0)</f>
        <v>45103</v>
      </c>
      <c r="P555" s="45">
        <f>IFERROR(__xludf.DUMMYFUNCTION("""COMPUTED_VALUE"""),45145.0)</f>
        <v>45145</v>
      </c>
      <c r="Q555" s="45">
        <f>IFERROR(__xludf.DUMMYFUNCTION("""COMPUTED_VALUE"""),45103.0)</f>
        <v>45103</v>
      </c>
      <c r="R555" s="45">
        <f>IFERROR(__xludf.DUMMYFUNCTION("""COMPUTED_VALUE"""),45145.0)</f>
        <v>45145</v>
      </c>
      <c r="S555" s="43"/>
      <c r="T555" s="43"/>
      <c r="U555" s="43" t="str">
        <f>IFERROR(__xludf.DUMMYFUNCTION("""COMPUTED_VALUE"""),"Raise Your Voice")</f>
        <v>Raise Your Voice</v>
      </c>
      <c r="V555" s="43" t="str">
        <f>IFERROR(__xludf.DUMMYFUNCTION("""COMPUTED_VALUE"""),"INSAT")</f>
        <v>INSAT</v>
      </c>
      <c r="W555" s="43" t="str">
        <f>IFERROR(__xludf.DUMMYFUNCTION("""COMPUTED_VALUE"""),"2022-04-05T17:03:07Z")</f>
        <v>2022-04-05T17:03:07Z</v>
      </c>
      <c r="X555" s="43"/>
      <c r="Y555" s="43"/>
      <c r="Z555" s="43"/>
    </row>
    <row r="556" hidden="1">
      <c r="A556" s="43" t="str">
        <f>IFERROR(__xludf.DUMMYFUNCTION("""COMPUTED_VALUE"""),"5215376_1292773")</f>
        <v>5215376_1292773</v>
      </c>
      <c r="B556" s="43" t="str">
        <f>IFERROR(__xludf.DUMMYFUNCTION("""COMPUTED_VALUE"""),"Salsabil Hamami")</f>
        <v>Salsabil Hamami</v>
      </c>
      <c r="C556" s="43" t="str">
        <f>IFERROR(__xludf.DUMMYFUNCTION("""COMPUTED_VALUE"""),"completed")</f>
        <v>completed</v>
      </c>
      <c r="D556" s="43" t="str">
        <f>IFERROR(__xludf.DUMMYFUNCTION("""COMPUTED_VALUE"""),"No")</f>
        <v>No</v>
      </c>
      <c r="E556" s="43" t="str">
        <f>IFERROR(__xludf.DUMMYFUNCTION("""COMPUTED_VALUE"""),"p_760faf5544a021adaaf46ce0936a4e577f2644ac@inbound.aiesec.org")</f>
        <v>p_760faf5544a021adaaf46ce0936a4e577f2644ac@inbound.aiesec.org</v>
      </c>
      <c r="F556" s="43"/>
      <c r="G556" s="43" t="str">
        <f>IFERROR(__xludf.DUMMYFUNCTION("""COMPUTED_VALUE"""),"Tunisia")</f>
        <v>Tunisia</v>
      </c>
      <c r="H556" s="43" t="str">
        <f>IFERROR(__xludf.DUMMYFUNCTION("""COMPUTED_VALUE"""),"UNIVERSITY")</f>
        <v>UNIVERSITY</v>
      </c>
      <c r="I556" s="43" t="str">
        <f>IFERROR(__xludf.DUMMYFUNCTION("""COMPUTED_VALUE"""),"Turkey")</f>
        <v>Turkey</v>
      </c>
      <c r="J556" s="43" t="str">
        <f>IFERROR(__xludf.DUMMYFUNCTION("""COMPUTED_VALUE"""),"ESKISEHIR")</f>
        <v>ESKISEHIR</v>
      </c>
      <c r="K556" s="44" t="str">
        <f>IFERROR(__xludf.DUMMYFUNCTION("""COMPUTED_VALUE"""),"https://expa.aiesec.org/opportunities/1292773")</f>
        <v>https://expa.aiesec.org/opportunities/1292773</v>
      </c>
      <c r="L556" s="43" t="str">
        <f>IFERROR(__xludf.DUMMYFUNCTION("""COMPUTED_VALUE"""),"GV")</f>
        <v>GV</v>
      </c>
      <c r="M556" s="43" t="str">
        <f>IFERROR(__xludf.DUMMYFUNCTION("""COMPUTED_VALUE"""),"short")</f>
        <v>short</v>
      </c>
      <c r="N556" s="45">
        <f>IFERROR(__xludf.DUMMYFUNCTION("""COMPUTED_VALUE"""),45001.0)</f>
        <v>45001</v>
      </c>
      <c r="O556" s="45">
        <f>IFERROR(__xludf.DUMMYFUNCTION("""COMPUTED_VALUE"""),45103.0)</f>
        <v>45103</v>
      </c>
      <c r="P556" s="45">
        <f>IFERROR(__xludf.DUMMYFUNCTION("""COMPUTED_VALUE"""),45145.0)</f>
        <v>45145</v>
      </c>
      <c r="Q556" s="45">
        <f>IFERROR(__xludf.DUMMYFUNCTION("""COMPUTED_VALUE"""),45103.0)</f>
        <v>45103</v>
      </c>
      <c r="R556" s="45">
        <f>IFERROR(__xludf.DUMMYFUNCTION("""COMPUTED_VALUE"""),45145.0)</f>
        <v>45145</v>
      </c>
      <c r="S556" s="43"/>
      <c r="T556" s="43"/>
      <c r="U556" s="43" t="str">
        <f>IFERROR(__xludf.DUMMYFUNCTION("""COMPUTED_VALUE"""),"Raise Your Voice")</f>
        <v>Raise Your Voice</v>
      </c>
      <c r="V556" s="43" t="str">
        <f>IFERROR(__xludf.DUMMYFUNCTION("""COMPUTED_VALUE"""),"ISSHT")</f>
        <v>ISSHT</v>
      </c>
      <c r="W556" s="43" t="str">
        <f>IFERROR(__xludf.DUMMYFUNCTION("""COMPUTED_VALUE"""),"2023-03-14T08:45:13Z")</f>
        <v>2023-03-14T08:45:13Z</v>
      </c>
      <c r="X556" s="43"/>
      <c r="Y556" s="43"/>
      <c r="Z556" s="43"/>
    </row>
    <row r="557" hidden="1">
      <c r="A557" s="43" t="str">
        <f>IFERROR(__xludf.DUMMYFUNCTION("""COMPUTED_VALUE"""),"5206746_1280872")</f>
        <v>5206746_1280872</v>
      </c>
      <c r="B557" s="43" t="str">
        <f>IFERROR(__xludf.DUMMYFUNCTION("""COMPUTED_VALUE"""),"Isra Azaiez")</f>
        <v>Isra Azaiez</v>
      </c>
      <c r="C557" s="43" t="str">
        <f>IFERROR(__xludf.DUMMYFUNCTION("""COMPUTED_VALUE"""),"completed")</f>
        <v>completed</v>
      </c>
      <c r="D557" s="43" t="str">
        <f>IFERROR(__xludf.DUMMYFUNCTION("""COMPUTED_VALUE"""),"No")</f>
        <v>No</v>
      </c>
      <c r="E557" s="43" t="str">
        <f>IFERROR(__xludf.DUMMYFUNCTION("""COMPUTED_VALUE"""),"p_851d6560b4621c70897af0e6e64f81e7420192d5@inbound.aiesec.org")</f>
        <v>p_851d6560b4621c70897af0e6e64f81e7420192d5@inbound.aiesec.org</v>
      </c>
      <c r="F557" s="43">
        <f>IFERROR(__xludf.DUMMYFUNCTION("""COMPUTED_VALUE"""),5.2122149E7)</f>
        <v>52122149</v>
      </c>
      <c r="G557" s="43" t="str">
        <f>IFERROR(__xludf.DUMMYFUNCTION("""COMPUTED_VALUE"""),"Tunisia")</f>
        <v>Tunisia</v>
      </c>
      <c r="H557" s="43" t="str">
        <f>IFERROR(__xludf.DUMMYFUNCTION("""COMPUTED_VALUE"""),"UNIVERSITY")</f>
        <v>UNIVERSITY</v>
      </c>
      <c r="I557" s="43" t="str">
        <f>IFERROR(__xludf.DUMMYFUNCTION("""COMPUTED_VALUE"""),"Turkey")</f>
        <v>Turkey</v>
      </c>
      <c r="J557" s="43" t="str">
        <f>IFERROR(__xludf.DUMMYFUNCTION("""COMPUTED_VALUE"""),"KOCAELI")</f>
        <v>KOCAELI</v>
      </c>
      <c r="K557" s="44" t="str">
        <f>IFERROR(__xludf.DUMMYFUNCTION("""COMPUTED_VALUE"""),"https://expa.aiesec.org/opportunities/1280872")</f>
        <v>https://expa.aiesec.org/opportunities/1280872</v>
      </c>
      <c r="L557" s="43" t="str">
        <f>IFERROR(__xludf.DUMMYFUNCTION("""COMPUTED_VALUE"""),"GV")</f>
        <v>GV</v>
      </c>
      <c r="M557" s="43" t="str">
        <f>IFERROR(__xludf.DUMMYFUNCTION("""COMPUTED_VALUE"""),"short")</f>
        <v>short</v>
      </c>
      <c r="N557" s="45">
        <f>IFERROR(__xludf.DUMMYFUNCTION("""COMPUTED_VALUE"""),45001.0)</f>
        <v>45001</v>
      </c>
      <c r="O557" s="45">
        <f>IFERROR(__xludf.DUMMYFUNCTION("""COMPUTED_VALUE"""),45075.0)</f>
        <v>45075</v>
      </c>
      <c r="P557" s="45">
        <f>IFERROR(__xludf.DUMMYFUNCTION("""COMPUTED_VALUE"""),45117.0)</f>
        <v>45117</v>
      </c>
      <c r="Q557" s="45">
        <f>IFERROR(__xludf.DUMMYFUNCTION("""COMPUTED_VALUE"""),45076.0)</f>
        <v>45076</v>
      </c>
      <c r="R557" s="45">
        <f>IFERROR(__xludf.DUMMYFUNCTION("""COMPUTED_VALUE"""),45117.0)</f>
        <v>45117</v>
      </c>
      <c r="S557" s="43"/>
      <c r="T557" s="43"/>
      <c r="U557" s="43" t="str">
        <f>IFERROR(__xludf.DUMMYFUNCTION("""COMPUTED_VALUE"""),"Skill Up!")</f>
        <v>Skill Up!</v>
      </c>
      <c r="V557" s="43" t="str">
        <f>IFERROR(__xludf.DUMMYFUNCTION("""COMPUTED_VALUE"""),"Institut préparatoire aux études d'ingénieurs d'El Manar IPEIEM ")</f>
        <v>Institut préparatoire aux études d'ingénieurs d'El Manar IPEIEM </v>
      </c>
      <c r="W557" s="43" t="str">
        <f>IFERROR(__xludf.DUMMYFUNCTION("""COMPUTED_VALUE"""),"2023-03-05T18:05:12Z")</f>
        <v>2023-03-05T18:05:12Z</v>
      </c>
      <c r="X557" s="43"/>
      <c r="Y557" s="43"/>
      <c r="Z557" s="43"/>
    </row>
    <row r="558" hidden="1">
      <c r="A558" s="43" t="str">
        <f>IFERROR(__xludf.DUMMYFUNCTION("""COMPUTED_VALUE"""),"5208952_1287662")</f>
        <v>5208952_1287662</v>
      </c>
      <c r="B558" s="43" t="str">
        <f>IFERROR(__xludf.DUMMYFUNCTION("""COMPUTED_VALUE"""),"Alina Iancu")</f>
        <v>Alina Iancu</v>
      </c>
      <c r="C558" s="43" t="str">
        <f>IFERROR(__xludf.DUMMYFUNCTION("""COMPUTED_VALUE"""),"approved")</f>
        <v>approved</v>
      </c>
      <c r="D558" s="43" t="str">
        <f>IFERROR(__xludf.DUMMYFUNCTION("""COMPUTED_VALUE"""),"No")</f>
        <v>No</v>
      </c>
      <c r="E558" s="43" t="str">
        <f>IFERROR(__xludf.DUMMYFUNCTION("""COMPUTED_VALUE"""),"p_e16fad40bf34da476f8ba8b926227aef3931a58b@inbound.aiesec.org")</f>
        <v>p_e16fad40bf34da476f8ba8b926227aef3931a58b@inbound.aiesec.org</v>
      </c>
      <c r="F558" s="43"/>
      <c r="G558" s="43" t="str">
        <f>IFERROR(__xludf.DUMMYFUNCTION("""COMPUTED_VALUE"""),"Romania")</f>
        <v>Romania</v>
      </c>
      <c r="H558" s="43" t="str">
        <f>IFERROR(__xludf.DUMMYFUNCTION("""COMPUTED_VALUE"""),"BUCURESTI")</f>
        <v>BUCURESTI</v>
      </c>
      <c r="I558" s="43" t="str">
        <f>IFERROR(__xludf.DUMMYFUNCTION("""COMPUTED_VALUE"""),"Turkey")</f>
        <v>Turkey</v>
      </c>
      <c r="J558" s="43" t="str">
        <f>IFERROR(__xludf.DUMMYFUNCTION("""COMPUTED_VALUE"""),"İZMİR")</f>
        <v>İZMİR</v>
      </c>
      <c r="K558" s="44" t="str">
        <f>IFERROR(__xludf.DUMMYFUNCTION("""COMPUTED_VALUE"""),"https://expa.aiesec.org/opportunities/1287662")</f>
        <v>https://expa.aiesec.org/opportunities/1287662</v>
      </c>
      <c r="L558" s="43" t="str">
        <f>IFERROR(__xludf.DUMMYFUNCTION("""COMPUTED_VALUE"""),"GV")</f>
        <v>GV</v>
      </c>
      <c r="M558" s="43" t="str">
        <f>IFERROR(__xludf.DUMMYFUNCTION("""COMPUTED_VALUE"""),"short")</f>
        <v>short</v>
      </c>
      <c r="N558" s="45">
        <f>IFERROR(__xludf.DUMMYFUNCTION("""COMPUTED_VALUE"""),45001.0)</f>
        <v>45001</v>
      </c>
      <c r="O558" s="45">
        <f>IFERROR(__xludf.DUMMYFUNCTION("""COMPUTED_VALUE"""),45145.0)</f>
        <v>45145</v>
      </c>
      <c r="P558" s="45">
        <f>IFERROR(__xludf.DUMMYFUNCTION("""COMPUTED_VALUE"""),45187.0)</f>
        <v>45187</v>
      </c>
      <c r="Q558" s="45"/>
      <c r="R558" s="45"/>
      <c r="S558" s="43"/>
      <c r="T558" s="43"/>
      <c r="U558" s="43" t="str">
        <f>IFERROR(__xludf.DUMMYFUNCTION("""COMPUTED_VALUE"""),"Heartbeat")</f>
        <v>Heartbeat</v>
      </c>
      <c r="V558" s="43" t="str">
        <f>IFERROR(__xludf.DUMMYFUNCTION("""COMPUTED_VALUE"""),"-")</f>
        <v>-</v>
      </c>
      <c r="W558" s="43" t="str">
        <f>IFERROR(__xludf.DUMMYFUNCTION("""COMPUTED_VALUE"""),"2023-03-07T17:43:21Z")</f>
        <v>2023-03-07T17:43:21Z</v>
      </c>
      <c r="X558" s="43"/>
      <c r="Y558" s="43"/>
      <c r="Z558" s="43"/>
    </row>
    <row r="559" hidden="1">
      <c r="A559" s="43" t="str">
        <f>IFERROR(__xludf.DUMMYFUNCTION("""COMPUTED_VALUE"""),"5201559_1287662")</f>
        <v>5201559_1287662</v>
      </c>
      <c r="B559" s="43" t="str">
        <f>IFERROR(__xludf.DUMMYFUNCTION("""COMPUTED_VALUE"""),"Claudia Ionescu")</f>
        <v>Claudia Ionescu</v>
      </c>
      <c r="C559" s="43" t="str">
        <f>IFERROR(__xludf.DUMMYFUNCTION("""COMPUTED_VALUE"""),"approved")</f>
        <v>approved</v>
      </c>
      <c r="D559" s="43" t="str">
        <f>IFERROR(__xludf.DUMMYFUNCTION("""COMPUTED_VALUE"""),"No")</f>
        <v>No</v>
      </c>
      <c r="E559" s="43" t="str">
        <f>IFERROR(__xludf.DUMMYFUNCTION("""COMPUTED_VALUE"""),"p_aee54c713b80084096a90b36e0a65452d76778d2@inbound.aiesec.org")</f>
        <v>p_aee54c713b80084096a90b36e0a65452d76778d2@inbound.aiesec.org</v>
      </c>
      <c r="F559" s="43">
        <f>IFERROR(__xludf.DUMMYFUNCTION("""COMPUTED_VALUE"""),7.60589922E8)</f>
        <v>760589922</v>
      </c>
      <c r="G559" s="43" t="str">
        <f>IFERROR(__xludf.DUMMYFUNCTION("""COMPUTED_VALUE"""),"Romania")</f>
        <v>Romania</v>
      </c>
      <c r="H559" s="43" t="str">
        <f>IFERROR(__xludf.DUMMYFUNCTION("""COMPUTED_VALUE"""),"BUCURESTI")</f>
        <v>BUCURESTI</v>
      </c>
      <c r="I559" s="43" t="str">
        <f>IFERROR(__xludf.DUMMYFUNCTION("""COMPUTED_VALUE"""),"Turkey")</f>
        <v>Turkey</v>
      </c>
      <c r="J559" s="43" t="str">
        <f>IFERROR(__xludf.DUMMYFUNCTION("""COMPUTED_VALUE"""),"İZMİR")</f>
        <v>İZMİR</v>
      </c>
      <c r="K559" s="44" t="str">
        <f>IFERROR(__xludf.DUMMYFUNCTION("""COMPUTED_VALUE"""),"https://expa.aiesec.org/opportunities/1287662")</f>
        <v>https://expa.aiesec.org/opportunities/1287662</v>
      </c>
      <c r="L559" s="43" t="str">
        <f>IFERROR(__xludf.DUMMYFUNCTION("""COMPUTED_VALUE"""),"GV")</f>
        <v>GV</v>
      </c>
      <c r="M559" s="43" t="str">
        <f>IFERROR(__xludf.DUMMYFUNCTION("""COMPUTED_VALUE"""),"short")</f>
        <v>short</v>
      </c>
      <c r="N559" s="45">
        <f>IFERROR(__xludf.DUMMYFUNCTION("""COMPUTED_VALUE"""),45001.0)</f>
        <v>45001</v>
      </c>
      <c r="O559" s="45">
        <f>IFERROR(__xludf.DUMMYFUNCTION("""COMPUTED_VALUE"""),45145.0)</f>
        <v>45145</v>
      </c>
      <c r="P559" s="45">
        <f>IFERROR(__xludf.DUMMYFUNCTION("""COMPUTED_VALUE"""),45187.0)</f>
        <v>45187</v>
      </c>
      <c r="Q559" s="45"/>
      <c r="R559" s="45"/>
      <c r="S559" s="43"/>
      <c r="T559" s="43"/>
      <c r="U559" s="43" t="str">
        <f>IFERROR(__xludf.DUMMYFUNCTION("""COMPUTED_VALUE"""),"Heartbeat")</f>
        <v>Heartbeat</v>
      </c>
      <c r="V559" s="43" t="str">
        <f>IFERROR(__xludf.DUMMYFUNCTION("""COMPUTED_VALUE"""),"Bucuresti")</f>
        <v>Bucuresti</v>
      </c>
      <c r="W559" s="43" t="str">
        <f>IFERROR(__xludf.DUMMYFUNCTION("""COMPUTED_VALUE"""),"2023-02-28T17:16:37Z")</f>
        <v>2023-02-28T17:16:37Z</v>
      </c>
      <c r="X559" s="43"/>
      <c r="Y559" s="43"/>
      <c r="Z559" s="43"/>
    </row>
    <row r="560" hidden="1">
      <c r="A560" s="43" t="str">
        <f>IFERROR(__xludf.DUMMYFUNCTION("""COMPUTED_VALUE"""),"5207866_1286228")</f>
        <v>5207866_1286228</v>
      </c>
      <c r="B560" s="43" t="str">
        <f>IFERROR(__xludf.DUMMYFUNCTION("""COMPUTED_VALUE"""),"Fuzail Shoaib")</f>
        <v>Fuzail Shoaib</v>
      </c>
      <c r="C560" s="43" t="str">
        <f>IFERROR(__xludf.DUMMYFUNCTION("""COMPUTED_VALUE"""),"realization_broken")</f>
        <v>realization_broken</v>
      </c>
      <c r="D560" s="43" t="str">
        <f>IFERROR(__xludf.DUMMYFUNCTION("""COMPUTED_VALUE"""),"No")</f>
        <v>No</v>
      </c>
      <c r="E560" s="43" t="str">
        <f>IFERROR(__xludf.DUMMYFUNCTION("""COMPUTED_VALUE"""),"p_ce22d9a8f2cfce08a11d75669040da818f6b195b@inbound.aiesec.org")</f>
        <v>p_ce22d9a8f2cfce08a11d75669040da818f6b195b@inbound.aiesec.org</v>
      </c>
      <c r="F560" s="43">
        <f>IFERROR(__xludf.DUMMYFUNCTION("""COMPUTED_VALUE"""),3.332353047E9)</f>
        <v>3332353047</v>
      </c>
      <c r="G560" s="43" t="str">
        <f>IFERROR(__xludf.DUMMYFUNCTION("""COMPUTED_VALUE"""),"Pakistan")</f>
        <v>Pakistan</v>
      </c>
      <c r="H560" s="43" t="str">
        <f>IFERROR(__xludf.DUMMYFUNCTION("""COMPUTED_VALUE"""),"IBA")</f>
        <v>IBA</v>
      </c>
      <c r="I560" s="43" t="str">
        <f>IFERROR(__xludf.DUMMYFUNCTION("""COMPUTED_VALUE"""),"Turkey")</f>
        <v>Turkey</v>
      </c>
      <c r="J560" s="43" t="str">
        <f>IFERROR(__xludf.DUMMYFUNCTION("""COMPUTED_VALUE"""),"ISTANBUL WEST")</f>
        <v>ISTANBUL WEST</v>
      </c>
      <c r="K560" s="44" t="str">
        <f>IFERROR(__xludf.DUMMYFUNCTION("""COMPUTED_VALUE"""),"https://expa.aiesec.org/opportunities/1286228")</f>
        <v>https://expa.aiesec.org/opportunities/1286228</v>
      </c>
      <c r="L560" s="43" t="str">
        <f>IFERROR(__xludf.DUMMYFUNCTION("""COMPUTED_VALUE"""),"GV")</f>
        <v>GV</v>
      </c>
      <c r="M560" s="43" t="str">
        <f>IFERROR(__xludf.DUMMYFUNCTION("""COMPUTED_VALUE"""),"short")</f>
        <v>short</v>
      </c>
      <c r="N560" s="45">
        <f>IFERROR(__xludf.DUMMYFUNCTION("""COMPUTED_VALUE"""),45001.0)</f>
        <v>45001</v>
      </c>
      <c r="O560" s="45">
        <f>IFERROR(__xludf.DUMMYFUNCTION("""COMPUTED_VALUE"""),45040.0)</f>
        <v>45040</v>
      </c>
      <c r="P560" s="45">
        <f>IFERROR(__xludf.DUMMYFUNCTION("""COMPUTED_VALUE"""),45082.0)</f>
        <v>45082</v>
      </c>
      <c r="Q560" s="45"/>
      <c r="R560" s="45"/>
      <c r="S560" s="43"/>
      <c r="T560" s="43"/>
      <c r="U560" s="43" t="str">
        <f>IFERROR(__xludf.DUMMYFUNCTION("""COMPUTED_VALUE"""),"Global Classroom")</f>
        <v>Global Classroom</v>
      </c>
      <c r="V560" s="43" t="str">
        <f>IFERROR(__xludf.DUMMYFUNCTION("""COMPUTED_VALUE"""),"Karachi - IBA")</f>
        <v>Karachi - IBA</v>
      </c>
      <c r="W560" s="43" t="str">
        <f>IFERROR(__xludf.DUMMYFUNCTION("""COMPUTED_VALUE"""),"2023-03-06T20:08:51Z")</f>
        <v>2023-03-06T20:08:51Z</v>
      </c>
      <c r="X560" s="43"/>
      <c r="Y560" s="43"/>
      <c r="Z560" s="43"/>
    </row>
    <row r="561" hidden="1">
      <c r="A561" s="43" t="str">
        <f>IFERROR(__xludf.DUMMYFUNCTION("""COMPUTED_VALUE"""),"2328432_1289536")</f>
        <v>2328432_1289536</v>
      </c>
      <c r="B561" s="43" t="str">
        <f>IFERROR(__xludf.DUMMYFUNCTION("""COMPUTED_VALUE"""),"Anderson Menezes")</f>
        <v>Anderson Menezes</v>
      </c>
      <c r="C561" s="43" t="str">
        <f>IFERROR(__xludf.DUMMYFUNCTION("""COMPUTED_VALUE"""),"approved")</f>
        <v>approved</v>
      </c>
      <c r="D561" s="43" t="str">
        <f>IFERROR(__xludf.DUMMYFUNCTION("""COMPUTED_VALUE"""),"No")</f>
        <v>No</v>
      </c>
      <c r="E561" s="43" t="str">
        <f>IFERROR(__xludf.DUMMYFUNCTION("""COMPUTED_VALUE"""),"p_3f4116c23fc64662b2853f9ab581679689aee373@inbound.aiesec.org")</f>
        <v>p_3f4116c23fc64662b2853f9ab581679689aee373@inbound.aiesec.org</v>
      </c>
      <c r="F561" s="43">
        <f>IFERROR(__xludf.DUMMYFUNCTION("""COMPUTED_VALUE"""),9.88028665E8)</f>
        <v>988028665</v>
      </c>
      <c r="G561" s="43" t="str">
        <f>IFERROR(__xludf.DUMMYFUNCTION("""COMPUTED_VALUE"""),"Brazil")</f>
        <v>Brazil</v>
      </c>
      <c r="H561" s="43" t="str">
        <f>IFERROR(__xludf.DUMMYFUNCTION("""COMPUTED_VALUE"""),"SALVADOR")</f>
        <v>SALVADOR</v>
      </c>
      <c r="I561" s="43" t="str">
        <f>IFERROR(__xludf.DUMMYFUNCTION("""COMPUTED_VALUE"""),"Turkey")</f>
        <v>Turkey</v>
      </c>
      <c r="J561" s="43" t="str">
        <f>IFERROR(__xludf.DUMMYFUNCTION("""COMPUTED_VALUE"""),"ISTANBUL")</f>
        <v>ISTANBUL</v>
      </c>
      <c r="K561" s="44" t="str">
        <f>IFERROR(__xludf.DUMMYFUNCTION("""COMPUTED_VALUE"""),"https://expa.aiesec.org/opportunities/1289536")</f>
        <v>https://expa.aiesec.org/opportunities/1289536</v>
      </c>
      <c r="L561" s="43" t="str">
        <f>IFERROR(__xludf.DUMMYFUNCTION("""COMPUTED_VALUE"""),"GV")</f>
        <v>GV</v>
      </c>
      <c r="M561" s="43" t="str">
        <f>IFERROR(__xludf.DUMMYFUNCTION("""COMPUTED_VALUE"""),"short")</f>
        <v>short</v>
      </c>
      <c r="N561" s="45">
        <f>IFERROR(__xludf.DUMMYFUNCTION("""COMPUTED_VALUE"""),45001.0)</f>
        <v>45001</v>
      </c>
      <c r="O561" s="45">
        <f>IFERROR(__xludf.DUMMYFUNCTION("""COMPUTED_VALUE"""),45335.0)</f>
        <v>45335</v>
      </c>
      <c r="P561" s="45">
        <f>IFERROR(__xludf.DUMMYFUNCTION("""COMPUTED_VALUE"""),45377.0)</f>
        <v>45377</v>
      </c>
      <c r="Q561" s="45"/>
      <c r="R561" s="45"/>
      <c r="S561" s="43"/>
      <c r="T561" s="43"/>
      <c r="U561" s="43" t="str">
        <f>IFERROR(__xludf.DUMMYFUNCTION("""COMPUTED_VALUE"""),"Global Classroom")</f>
        <v>Global Classroom</v>
      </c>
      <c r="V561" s="43" t="str">
        <f>IFERROR(__xludf.DUMMYFUNCTION("""COMPUTED_VALUE"""),"-")</f>
        <v>-</v>
      </c>
      <c r="W561" s="43" t="str">
        <f>IFERROR(__xludf.DUMMYFUNCTION("""COMPUTED_VALUE"""),"2018-05-26T18:54:30Z")</f>
        <v>2018-05-26T18:54:30Z</v>
      </c>
      <c r="X561" s="43"/>
      <c r="Y561" s="43"/>
      <c r="Z561" s="43"/>
    </row>
    <row r="562" hidden="1">
      <c r="A562" s="43" t="str">
        <f>IFERROR(__xludf.DUMMYFUNCTION("""COMPUTED_VALUE"""),"5219404_1284484")</f>
        <v>5219404_1284484</v>
      </c>
      <c r="B562" s="43" t="str">
        <f>IFERROR(__xludf.DUMMYFUNCTION("""COMPUTED_VALUE"""),"Sarra Sahli")</f>
        <v>Sarra Sahli</v>
      </c>
      <c r="C562" s="43" t="str">
        <f>IFERROR(__xludf.DUMMYFUNCTION("""COMPUTED_VALUE"""),"completed")</f>
        <v>completed</v>
      </c>
      <c r="D562" s="43" t="str">
        <f>IFERROR(__xludf.DUMMYFUNCTION("""COMPUTED_VALUE"""),"No")</f>
        <v>No</v>
      </c>
      <c r="E562" s="43" t="str">
        <f>IFERROR(__xludf.DUMMYFUNCTION("""COMPUTED_VALUE"""),"p_87aa07ef2e39a101aa4ede7b7f89250e34443ec8@inbound.aiesec.org")</f>
        <v>p_87aa07ef2e39a101aa4ede7b7f89250e34443ec8@inbound.aiesec.org</v>
      </c>
      <c r="F562" s="43">
        <f>IFERROR(__xludf.DUMMYFUNCTION("""COMPUTED_VALUE"""),5.3212573E7)</f>
        <v>53212573</v>
      </c>
      <c r="G562" s="43" t="str">
        <f>IFERROR(__xludf.DUMMYFUNCTION("""COMPUTED_VALUE"""),"Tunisia")</f>
        <v>Tunisia</v>
      </c>
      <c r="H562" s="43" t="str">
        <f>IFERROR(__xludf.DUMMYFUNCTION("""COMPUTED_VALUE"""),"HADRUMET")</f>
        <v>HADRUMET</v>
      </c>
      <c r="I562" s="43" t="str">
        <f>IFERROR(__xludf.DUMMYFUNCTION("""COMPUTED_VALUE"""),"Turkey")</f>
        <v>Turkey</v>
      </c>
      <c r="J562" s="43" t="str">
        <f>IFERROR(__xludf.DUMMYFUNCTION("""COMPUTED_VALUE"""),"DENIZLI")</f>
        <v>DENIZLI</v>
      </c>
      <c r="K562" s="44" t="str">
        <f>IFERROR(__xludf.DUMMYFUNCTION("""COMPUTED_VALUE"""),"https://expa.aiesec.org/opportunities/1284484")</f>
        <v>https://expa.aiesec.org/opportunities/1284484</v>
      </c>
      <c r="L562" s="43" t="str">
        <f>IFERROR(__xludf.DUMMYFUNCTION("""COMPUTED_VALUE"""),"GV")</f>
        <v>GV</v>
      </c>
      <c r="M562" s="43" t="str">
        <f>IFERROR(__xludf.DUMMYFUNCTION("""COMPUTED_VALUE"""),"short")</f>
        <v>short</v>
      </c>
      <c r="N562" s="45">
        <f>IFERROR(__xludf.DUMMYFUNCTION("""COMPUTED_VALUE"""),45002.0)</f>
        <v>45002</v>
      </c>
      <c r="O562" s="45">
        <f>IFERROR(__xludf.DUMMYFUNCTION("""COMPUTED_VALUE"""),45124.0)</f>
        <v>45124</v>
      </c>
      <c r="P562" s="45">
        <f>IFERROR(__xludf.DUMMYFUNCTION("""COMPUTED_VALUE"""),45166.0)</f>
        <v>45166</v>
      </c>
      <c r="Q562" s="45">
        <f>IFERROR(__xludf.DUMMYFUNCTION("""COMPUTED_VALUE"""),45123.0)</f>
        <v>45123</v>
      </c>
      <c r="R562" s="45">
        <f>IFERROR(__xludf.DUMMYFUNCTION("""COMPUTED_VALUE"""),45166.0)</f>
        <v>45166</v>
      </c>
      <c r="S562" s="43"/>
      <c r="T562" s="43"/>
      <c r="U562" s="43" t="str">
        <f>IFERROR(__xludf.DUMMYFUNCTION("""COMPUTED_VALUE"""),"Youth 4 Impact")</f>
        <v>Youth 4 Impact</v>
      </c>
      <c r="V562" s="43" t="str">
        <f>IFERROR(__xludf.DUMMYFUNCTION("""COMPUTED_VALUE"""),"Faculté de Droit et des Sciences  Politiques de Sousse")</f>
        <v>Faculté de Droit et des Sciences  Politiques de Sousse</v>
      </c>
      <c r="W562" s="43" t="str">
        <f>IFERROR(__xludf.DUMMYFUNCTION("""COMPUTED_VALUE"""),"2023-03-17T12:34:15Z")</f>
        <v>2023-03-17T12:34:15Z</v>
      </c>
      <c r="X562" s="43"/>
      <c r="Y562" s="43"/>
      <c r="Z562" s="43"/>
    </row>
    <row r="563" hidden="1">
      <c r="A563" s="43" t="str">
        <f>IFERROR(__xludf.DUMMYFUNCTION("""COMPUTED_VALUE"""),"5218498_1292118")</f>
        <v>5218498_1292118</v>
      </c>
      <c r="B563" s="43" t="str">
        <f>IFERROR(__xludf.DUMMYFUNCTION("""COMPUTED_VALUE"""),"Kristina Kosijer")</f>
        <v>Kristina Kosijer</v>
      </c>
      <c r="C563" s="43" t="str">
        <f>IFERROR(__xludf.DUMMYFUNCTION("""COMPUTED_VALUE"""),"completed")</f>
        <v>completed</v>
      </c>
      <c r="D563" s="43" t="str">
        <f>IFERROR(__xludf.DUMMYFUNCTION("""COMPUTED_VALUE"""),"No")</f>
        <v>No</v>
      </c>
      <c r="E563" s="43" t="str">
        <f>IFERROR(__xludf.DUMMYFUNCTION("""COMPUTED_VALUE"""),"p_8e2dc862186873c3df66d03640187eb63d5cb2c9@inbound.aiesec.org")</f>
        <v>p_8e2dc862186873c3df66d03640187eb63d5cb2c9@inbound.aiesec.org</v>
      </c>
      <c r="F563" s="43">
        <f>IFERROR(__xludf.DUMMYFUNCTION("""COMPUTED_VALUE"""),6.38119123E8)</f>
        <v>638119123</v>
      </c>
      <c r="G563" s="43" t="str">
        <f>IFERROR(__xludf.DUMMYFUNCTION("""COMPUTED_VALUE"""),"Serbia")</f>
        <v>Serbia</v>
      </c>
      <c r="H563" s="43" t="str">
        <f>IFERROR(__xludf.DUMMYFUNCTION("""COMPUTED_VALUE"""),"Singidunum")</f>
        <v>Singidunum</v>
      </c>
      <c r="I563" s="43" t="str">
        <f>IFERROR(__xludf.DUMMYFUNCTION("""COMPUTED_VALUE"""),"Turkey")</f>
        <v>Turkey</v>
      </c>
      <c r="J563" s="43" t="str">
        <f>IFERROR(__xludf.DUMMYFUNCTION("""COMPUTED_VALUE"""),"KOCAELI")</f>
        <v>KOCAELI</v>
      </c>
      <c r="K563" s="44" t="str">
        <f>IFERROR(__xludf.DUMMYFUNCTION("""COMPUTED_VALUE"""),"https://expa.aiesec.org/opportunities/1292118")</f>
        <v>https://expa.aiesec.org/opportunities/1292118</v>
      </c>
      <c r="L563" s="43" t="str">
        <f>IFERROR(__xludf.DUMMYFUNCTION("""COMPUTED_VALUE"""),"GV")</f>
        <v>GV</v>
      </c>
      <c r="M563" s="43" t="str">
        <f>IFERROR(__xludf.DUMMYFUNCTION("""COMPUTED_VALUE"""),"short")</f>
        <v>short</v>
      </c>
      <c r="N563" s="45">
        <f>IFERROR(__xludf.DUMMYFUNCTION("""COMPUTED_VALUE"""),45002.0)</f>
        <v>45002</v>
      </c>
      <c r="O563" s="45">
        <f>IFERROR(__xludf.DUMMYFUNCTION("""COMPUTED_VALUE"""),45110.0)</f>
        <v>45110</v>
      </c>
      <c r="P563" s="45">
        <f>IFERROR(__xludf.DUMMYFUNCTION("""COMPUTED_VALUE"""),45152.0)</f>
        <v>45152</v>
      </c>
      <c r="Q563" s="45">
        <f>IFERROR(__xludf.DUMMYFUNCTION("""COMPUTED_VALUE"""),45110.0)</f>
        <v>45110</v>
      </c>
      <c r="R563" s="45">
        <f>IFERROR(__xludf.DUMMYFUNCTION("""COMPUTED_VALUE"""),45152.0)</f>
        <v>45152</v>
      </c>
      <c r="S563" s="43"/>
      <c r="T563" s="43"/>
      <c r="U563" s="43" t="str">
        <f>IFERROR(__xludf.DUMMYFUNCTION("""COMPUTED_VALUE"""),"Global Classroom")</f>
        <v>Global Classroom</v>
      </c>
      <c r="V563" s="43" t="str">
        <f>IFERROR(__xludf.DUMMYFUNCTION("""COMPUTED_VALUE"""),"Singidunum University, Belgrade")</f>
        <v>Singidunum University, Belgrade</v>
      </c>
      <c r="W563" s="43" t="str">
        <f>IFERROR(__xludf.DUMMYFUNCTION("""COMPUTED_VALUE"""),"2023-03-16T13:42:34Z")</f>
        <v>2023-03-16T13:42:34Z</v>
      </c>
      <c r="X563" s="43"/>
      <c r="Y563" s="43"/>
      <c r="Z563" s="43"/>
    </row>
    <row r="564" hidden="1">
      <c r="A564" s="43" t="str">
        <f>IFERROR(__xludf.DUMMYFUNCTION("""COMPUTED_VALUE"""),"5190033_1291252")</f>
        <v>5190033_1291252</v>
      </c>
      <c r="B564" s="43" t="str">
        <f>IFERROR(__xludf.DUMMYFUNCTION("""COMPUTED_VALUE"""),"Nicole Sancandi")</f>
        <v>Nicole Sancandi</v>
      </c>
      <c r="C564" s="43" t="str">
        <f>IFERROR(__xludf.DUMMYFUNCTION("""COMPUTED_VALUE"""),"completed")</f>
        <v>completed</v>
      </c>
      <c r="D564" s="43" t="str">
        <f>IFERROR(__xludf.DUMMYFUNCTION("""COMPUTED_VALUE"""),"No")</f>
        <v>No</v>
      </c>
      <c r="E564" s="43" t="str">
        <f>IFERROR(__xludf.DUMMYFUNCTION("""COMPUTED_VALUE"""),"p_f48923087f44f68e96c63db99132d7a200297d84@inbound.aiesec.org")</f>
        <v>p_f48923087f44f68e96c63db99132d7a200297d84@inbound.aiesec.org</v>
      </c>
      <c r="F564" s="43"/>
      <c r="G564" s="43" t="str">
        <f>IFERROR(__xludf.DUMMYFUNCTION("""COMPUTED_VALUE"""),"Italy")</f>
        <v>Italy</v>
      </c>
      <c r="H564" s="43" t="str">
        <f>IFERROR(__xludf.DUMMYFUNCTION("""COMPUTED_VALUE"""),"Padova")</f>
        <v>Padova</v>
      </c>
      <c r="I564" s="43" t="str">
        <f>IFERROR(__xludf.DUMMYFUNCTION("""COMPUTED_VALUE"""),"Turkey")</f>
        <v>Turkey</v>
      </c>
      <c r="J564" s="43" t="str">
        <f>IFERROR(__xludf.DUMMYFUNCTION("""COMPUTED_VALUE"""),"KOCAELI")</f>
        <v>KOCAELI</v>
      </c>
      <c r="K564" s="44" t="str">
        <f>IFERROR(__xludf.DUMMYFUNCTION("""COMPUTED_VALUE"""),"https://expa.aiesec.org/opportunities/1291252")</f>
        <v>https://expa.aiesec.org/opportunities/1291252</v>
      </c>
      <c r="L564" s="43" t="str">
        <f>IFERROR(__xludf.DUMMYFUNCTION("""COMPUTED_VALUE"""),"GV")</f>
        <v>GV</v>
      </c>
      <c r="M564" s="43" t="str">
        <f>IFERROR(__xludf.DUMMYFUNCTION("""COMPUTED_VALUE"""),"short")</f>
        <v>short</v>
      </c>
      <c r="N564" s="45">
        <f>IFERROR(__xludf.DUMMYFUNCTION("""COMPUTED_VALUE"""),45002.0)</f>
        <v>45002</v>
      </c>
      <c r="O564" s="45">
        <f>IFERROR(__xludf.DUMMYFUNCTION("""COMPUTED_VALUE"""),45089.0)</f>
        <v>45089</v>
      </c>
      <c r="P564" s="45">
        <f>IFERROR(__xludf.DUMMYFUNCTION("""COMPUTED_VALUE"""),45131.0)</f>
        <v>45131</v>
      </c>
      <c r="Q564" s="45">
        <f>IFERROR(__xludf.DUMMYFUNCTION("""COMPUTED_VALUE"""),45089.0)</f>
        <v>45089</v>
      </c>
      <c r="R564" s="45">
        <f>IFERROR(__xludf.DUMMYFUNCTION("""COMPUTED_VALUE"""),45131.0)</f>
        <v>45131</v>
      </c>
      <c r="S564" s="43"/>
      <c r="T564" s="43"/>
      <c r="U564" s="43" t="str">
        <f>IFERROR(__xludf.DUMMYFUNCTION("""COMPUTED_VALUE"""),"Global Classroom")</f>
        <v>Global Classroom</v>
      </c>
      <c r="V564" s="43" t="str">
        <f>IFERROR(__xludf.DUMMYFUNCTION("""COMPUTED_VALUE"""),"-")</f>
        <v>-</v>
      </c>
      <c r="W564" s="43" t="str">
        <f>IFERROR(__xludf.DUMMYFUNCTION("""COMPUTED_VALUE"""),"2023-02-13T12:43:39Z")</f>
        <v>2023-02-13T12:43:39Z</v>
      </c>
      <c r="X564" s="43"/>
      <c r="Y564" s="43"/>
      <c r="Z564" s="43"/>
    </row>
    <row r="565" hidden="1">
      <c r="A565" s="43" t="str">
        <f>IFERROR(__xludf.DUMMYFUNCTION("""COMPUTED_VALUE"""),"5047282_1287851")</f>
        <v>5047282_1287851</v>
      </c>
      <c r="B565" s="43" t="str">
        <f>IFERROR(__xludf.DUMMYFUNCTION("""COMPUTED_VALUE"""),"Arij Groun")</f>
        <v>Arij Groun</v>
      </c>
      <c r="C565" s="43" t="str">
        <f>IFERROR(__xludf.DUMMYFUNCTION("""COMPUTED_VALUE"""),"completed")</f>
        <v>completed</v>
      </c>
      <c r="D565" s="43" t="str">
        <f>IFERROR(__xludf.DUMMYFUNCTION("""COMPUTED_VALUE"""),"No")</f>
        <v>No</v>
      </c>
      <c r="E565" s="43" t="str">
        <f>IFERROR(__xludf.DUMMYFUNCTION("""COMPUTED_VALUE"""),"p_dc76aa550009b873d166561aaf7bf63fc10f9fdc@inbound.aiesec.org")</f>
        <v>p_dc76aa550009b873d166561aaf7bf63fc10f9fdc@inbound.aiesec.org</v>
      </c>
      <c r="F565" s="43">
        <f>IFERROR(__xludf.DUMMYFUNCTION("""COMPUTED_VALUE"""),2.8505842E7)</f>
        <v>28505842</v>
      </c>
      <c r="G565" s="43" t="str">
        <f>IFERROR(__xludf.DUMMYFUNCTION("""COMPUTED_VALUE"""),"Tunisia")</f>
        <v>Tunisia</v>
      </c>
      <c r="H565" s="43" t="str">
        <f>IFERROR(__xludf.DUMMYFUNCTION("""COMPUTED_VALUE"""),"RUSPINA")</f>
        <v>RUSPINA</v>
      </c>
      <c r="I565" s="43" t="str">
        <f>IFERROR(__xludf.DUMMYFUNCTION("""COMPUTED_VALUE"""),"Turkey")</f>
        <v>Turkey</v>
      </c>
      <c r="J565" s="43" t="str">
        <f>IFERROR(__xludf.DUMMYFUNCTION("""COMPUTED_VALUE"""),"KOCAELI")</f>
        <v>KOCAELI</v>
      </c>
      <c r="K565" s="44" t="str">
        <f>IFERROR(__xludf.DUMMYFUNCTION("""COMPUTED_VALUE"""),"https://expa.aiesec.org/opportunities/1287851")</f>
        <v>https://expa.aiesec.org/opportunities/1287851</v>
      </c>
      <c r="L565" s="43" t="str">
        <f>IFERROR(__xludf.DUMMYFUNCTION("""COMPUTED_VALUE"""),"GV")</f>
        <v>GV</v>
      </c>
      <c r="M565" s="43" t="str">
        <f>IFERROR(__xludf.DUMMYFUNCTION("""COMPUTED_VALUE"""),"short")</f>
        <v>short</v>
      </c>
      <c r="N565" s="45">
        <f>IFERROR(__xludf.DUMMYFUNCTION("""COMPUTED_VALUE"""),45003.0)</f>
        <v>45003</v>
      </c>
      <c r="O565" s="45">
        <f>IFERROR(__xludf.DUMMYFUNCTION("""COMPUTED_VALUE"""),45137.0)</f>
        <v>45137</v>
      </c>
      <c r="P565" s="45">
        <f>IFERROR(__xludf.DUMMYFUNCTION("""COMPUTED_VALUE"""),45179.0)</f>
        <v>45179</v>
      </c>
      <c r="Q565" s="45">
        <f>IFERROR(__xludf.DUMMYFUNCTION("""COMPUTED_VALUE"""),45136.0)</f>
        <v>45136</v>
      </c>
      <c r="R565" s="45">
        <f>IFERROR(__xludf.DUMMYFUNCTION("""COMPUTED_VALUE"""),45179.0)</f>
        <v>45179</v>
      </c>
      <c r="S565" s="43"/>
      <c r="T565" s="43"/>
      <c r="U565" s="43" t="str">
        <f>IFERROR(__xludf.DUMMYFUNCTION("""COMPUTED_VALUE"""),"Heartbeat")</f>
        <v>Heartbeat</v>
      </c>
      <c r="V565" s="43" t="str">
        <f>IFERROR(__xludf.DUMMYFUNCTION("""COMPUTED_VALUE"""),"FSM")</f>
        <v>FSM</v>
      </c>
      <c r="W565" s="43" t="str">
        <f>IFERROR(__xludf.DUMMYFUNCTION("""COMPUTED_VALUE"""),"2022-04-27T14:45:17Z")</f>
        <v>2022-04-27T14:45:17Z</v>
      </c>
      <c r="X565" s="43"/>
      <c r="Y565" s="43"/>
      <c r="Z565" s="43"/>
    </row>
    <row r="566" hidden="1">
      <c r="A566" s="43" t="str">
        <f>IFERROR(__xludf.DUMMYFUNCTION("""COMPUTED_VALUE"""),"5210657_1291929")</f>
        <v>5210657_1291929</v>
      </c>
      <c r="B566" s="43" t="str">
        <f>IFERROR(__xludf.DUMMYFUNCTION("""COMPUTED_VALUE"""),"Ibtissam Fdeli")</f>
        <v>Ibtissam Fdeli</v>
      </c>
      <c r="C566" s="43" t="str">
        <f>IFERROR(__xludf.DUMMYFUNCTION("""COMPUTED_VALUE"""),"approved")</f>
        <v>approved</v>
      </c>
      <c r="D566" s="43" t="str">
        <f>IFERROR(__xludf.DUMMYFUNCTION("""COMPUTED_VALUE"""),"No")</f>
        <v>No</v>
      </c>
      <c r="E566" s="43" t="str">
        <f>IFERROR(__xludf.DUMMYFUNCTION("""COMPUTED_VALUE"""),"p_63ad1ccbf74fe3c3119dec75700ca586e4911a5a@inbound.aiesec.org")</f>
        <v>p_63ad1ccbf74fe3c3119dec75700ca586e4911a5a@inbound.aiesec.org</v>
      </c>
      <c r="F566" s="43">
        <f>IFERROR(__xludf.DUMMYFUNCTION("""COMPUTED_VALUE"""),6.18978343E8)</f>
        <v>618978343</v>
      </c>
      <c r="G566" s="43" t="str">
        <f>IFERROR(__xludf.DUMMYFUNCTION("""COMPUTED_VALUE"""),"Morocco")</f>
        <v>Morocco</v>
      </c>
      <c r="H566" s="43" t="str">
        <f>IFERROR(__xludf.DUMMYFUNCTION("""COMPUTED_VALUE"""),"Fez")</f>
        <v>Fez</v>
      </c>
      <c r="I566" s="43" t="str">
        <f>IFERROR(__xludf.DUMMYFUNCTION("""COMPUTED_VALUE"""),"Turkey")</f>
        <v>Turkey</v>
      </c>
      <c r="J566" s="43" t="str">
        <f>IFERROR(__xludf.DUMMYFUNCTION("""COMPUTED_VALUE"""),"TRABZON")</f>
        <v>TRABZON</v>
      </c>
      <c r="K566" s="44" t="str">
        <f>IFERROR(__xludf.DUMMYFUNCTION("""COMPUTED_VALUE"""),"https://expa.aiesec.org/opportunities/1291929")</f>
        <v>https://expa.aiesec.org/opportunities/1291929</v>
      </c>
      <c r="L566" s="43" t="str">
        <f>IFERROR(__xludf.DUMMYFUNCTION("""COMPUTED_VALUE"""),"GV")</f>
        <v>GV</v>
      </c>
      <c r="M566" s="43" t="str">
        <f>IFERROR(__xludf.DUMMYFUNCTION("""COMPUTED_VALUE"""),"short")</f>
        <v>short</v>
      </c>
      <c r="N566" s="45">
        <f>IFERROR(__xludf.DUMMYFUNCTION("""COMPUTED_VALUE"""),45003.0)</f>
        <v>45003</v>
      </c>
      <c r="O566" s="45">
        <f>IFERROR(__xludf.DUMMYFUNCTION("""COMPUTED_VALUE"""),45128.0)</f>
        <v>45128</v>
      </c>
      <c r="P566" s="45">
        <f>IFERROR(__xludf.DUMMYFUNCTION("""COMPUTED_VALUE"""),45170.0)</f>
        <v>45170</v>
      </c>
      <c r="Q566" s="45"/>
      <c r="R566" s="45"/>
      <c r="S566" s="43"/>
      <c r="T566" s="43"/>
      <c r="U566" s="43" t="str">
        <f>IFERROR(__xludf.DUMMYFUNCTION("""COMPUTED_VALUE"""),"Global Classroom")</f>
        <v>Global Classroom</v>
      </c>
      <c r="V566" s="43" t="str">
        <f>IFERROR(__xludf.DUMMYFUNCTION("""COMPUTED_VALUE"""),"Ecole Nationale Des Sciences Appliquées Fès (ENSAF)")</f>
        <v>Ecole Nationale Des Sciences Appliquées Fès (ENSAF)</v>
      </c>
      <c r="W566" s="43" t="str">
        <f>IFERROR(__xludf.DUMMYFUNCTION("""COMPUTED_VALUE"""),"2023-03-09T09:01:00Z")</f>
        <v>2023-03-09T09:01:00Z</v>
      </c>
      <c r="X566" s="43"/>
      <c r="Y566" s="43"/>
      <c r="Z566" s="43"/>
    </row>
    <row r="567" hidden="1">
      <c r="A567" s="43" t="str">
        <f>IFERROR(__xludf.DUMMYFUNCTION("""COMPUTED_VALUE"""),"424675_1289536")</f>
        <v>424675_1289536</v>
      </c>
      <c r="B567" s="43" t="str">
        <f>IFERROR(__xludf.DUMMYFUNCTION("""COMPUTED_VALUE"""),"Erick William Sandoval")</f>
        <v>Erick William Sandoval</v>
      </c>
      <c r="C567" s="43" t="str">
        <f>IFERROR(__xludf.DUMMYFUNCTION("""COMPUTED_VALUE"""),"finished")</f>
        <v>finished</v>
      </c>
      <c r="D567" s="43" t="str">
        <f>IFERROR(__xludf.DUMMYFUNCTION("""COMPUTED_VALUE"""),"No")</f>
        <v>No</v>
      </c>
      <c r="E567" s="43" t="str">
        <f>IFERROR(__xludf.DUMMYFUNCTION("""COMPUTED_VALUE"""),"p_5bdfa47b113991859a3668ddf0bb956daaace65c@inbound.aiesec.org")</f>
        <v>p_5bdfa47b113991859a3668ddf0bb956daaace65c@inbound.aiesec.org</v>
      </c>
      <c r="F567" s="43"/>
      <c r="G567" s="43" t="str">
        <f>IFERROR(__xludf.DUMMYFUNCTION("""COMPUTED_VALUE"""),"Brazil")</f>
        <v>Brazil</v>
      </c>
      <c r="H567" s="43" t="str">
        <f>IFERROR(__xludf.DUMMYFUNCTION("""COMPUTED_VALUE"""),"UBERLÂNDIA")</f>
        <v>UBERLÂNDIA</v>
      </c>
      <c r="I567" s="43" t="str">
        <f>IFERROR(__xludf.DUMMYFUNCTION("""COMPUTED_VALUE"""),"Turkey")</f>
        <v>Turkey</v>
      </c>
      <c r="J567" s="43" t="str">
        <f>IFERROR(__xludf.DUMMYFUNCTION("""COMPUTED_VALUE"""),"ISTANBUL")</f>
        <v>ISTANBUL</v>
      </c>
      <c r="K567" s="44" t="str">
        <f>IFERROR(__xludf.DUMMYFUNCTION("""COMPUTED_VALUE"""),"https://expa.aiesec.org/opportunities/1289536")</f>
        <v>https://expa.aiesec.org/opportunities/1289536</v>
      </c>
      <c r="L567" s="43" t="str">
        <f>IFERROR(__xludf.DUMMYFUNCTION("""COMPUTED_VALUE"""),"GV")</f>
        <v>GV</v>
      </c>
      <c r="M567" s="43" t="str">
        <f>IFERROR(__xludf.DUMMYFUNCTION("""COMPUTED_VALUE"""),"short")</f>
        <v>short</v>
      </c>
      <c r="N567" s="45">
        <f>IFERROR(__xludf.DUMMYFUNCTION("""COMPUTED_VALUE"""),45003.0)</f>
        <v>45003</v>
      </c>
      <c r="O567" s="45">
        <f>IFERROR(__xludf.DUMMYFUNCTION("""COMPUTED_VALUE"""),45271.0)</f>
        <v>45271</v>
      </c>
      <c r="P567" s="45">
        <f>IFERROR(__xludf.DUMMYFUNCTION("""COMPUTED_VALUE"""),45313.0)</f>
        <v>45313</v>
      </c>
      <c r="Q567" s="45">
        <f>IFERROR(__xludf.DUMMYFUNCTION("""COMPUTED_VALUE"""),45272.0)</f>
        <v>45272</v>
      </c>
      <c r="R567" s="45">
        <f>IFERROR(__xludf.DUMMYFUNCTION("""COMPUTED_VALUE"""),45313.0)</f>
        <v>45313</v>
      </c>
      <c r="S567" s="43"/>
      <c r="T567" s="43"/>
      <c r="U567" s="43" t="str">
        <f>IFERROR(__xludf.DUMMYFUNCTION("""COMPUTED_VALUE"""),"Global Classroom")</f>
        <v>Global Classroom</v>
      </c>
      <c r="V567" s="43" t="str">
        <f>IFERROR(__xludf.DUMMYFUNCTION("""COMPUTED_VALUE"""),"-")</f>
        <v>-</v>
      </c>
      <c r="W567" s="43" t="str">
        <f>IFERROR(__xludf.DUMMYFUNCTION("""COMPUTED_VALUE"""),"2015-01-02T02:36:31Z")</f>
        <v>2015-01-02T02:36:31Z</v>
      </c>
      <c r="X567" s="43"/>
      <c r="Y567" s="43"/>
      <c r="Z567" s="43"/>
    </row>
    <row r="568" hidden="1">
      <c r="A568" s="43" t="str">
        <f>IFERROR(__xludf.DUMMYFUNCTION("""COMPUTED_VALUE"""),"5206662_1292118")</f>
        <v>5206662_1292118</v>
      </c>
      <c r="B568" s="43" t="str">
        <f>IFERROR(__xludf.DUMMYFUNCTION("""COMPUTED_VALUE"""),"Altynay Moldakulova")</f>
        <v>Altynay Moldakulova</v>
      </c>
      <c r="C568" s="43" t="str">
        <f>IFERROR(__xludf.DUMMYFUNCTION("""COMPUTED_VALUE"""),"completed")</f>
        <v>completed</v>
      </c>
      <c r="D568" s="43" t="str">
        <f>IFERROR(__xludf.DUMMYFUNCTION("""COMPUTED_VALUE"""),"No")</f>
        <v>No</v>
      </c>
      <c r="E568" s="43" t="str">
        <f>IFERROR(__xludf.DUMMYFUNCTION("""COMPUTED_VALUE"""),"p_7f7a04e326a3c8ba61bec0d681524a1db1ea6844@inbound.aiesec.org")</f>
        <v>p_7f7a04e326a3c8ba61bec0d681524a1db1ea6844@inbound.aiesec.org</v>
      </c>
      <c r="F568" s="43">
        <f>IFERROR(__xludf.DUMMYFUNCTION("""COMPUTED_VALUE"""),7.475437898E9)</f>
        <v>7475437898</v>
      </c>
      <c r="G568" s="43" t="str">
        <f>IFERROR(__xludf.DUMMYFUNCTION("""COMPUTED_VALUE"""),"Kazakhstan")</f>
        <v>Kazakhstan</v>
      </c>
      <c r="H568" s="43" t="str">
        <f>IFERROR(__xludf.DUMMYFUNCTION("""COMPUTED_VALUE"""),"ALMATY")</f>
        <v>ALMATY</v>
      </c>
      <c r="I568" s="43" t="str">
        <f>IFERROR(__xludf.DUMMYFUNCTION("""COMPUTED_VALUE"""),"Turkey")</f>
        <v>Turkey</v>
      </c>
      <c r="J568" s="43" t="str">
        <f>IFERROR(__xludf.DUMMYFUNCTION("""COMPUTED_VALUE"""),"KOCAELI")</f>
        <v>KOCAELI</v>
      </c>
      <c r="K568" s="44" t="str">
        <f>IFERROR(__xludf.DUMMYFUNCTION("""COMPUTED_VALUE"""),"https://expa.aiesec.org/opportunities/1292118")</f>
        <v>https://expa.aiesec.org/opportunities/1292118</v>
      </c>
      <c r="L568" s="43" t="str">
        <f>IFERROR(__xludf.DUMMYFUNCTION("""COMPUTED_VALUE"""),"GV")</f>
        <v>GV</v>
      </c>
      <c r="M568" s="43" t="str">
        <f>IFERROR(__xludf.DUMMYFUNCTION("""COMPUTED_VALUE"""),"short")</f>
        <v>short</v>
      </c>
      <c r="N568" s="45">
        <f>IFERROR(__xludf.DUMMYFUNCTION("""COMPUTED_VALUE"""),45004.0)</f>
        <v>45004</v>
      </c>
      <c r="O568" s="45">
        <f>IFERROR(__xludf.DUMMYFUNCTION("""COMPUTED_VALUE"""),45110.0)</f>
        <v>45110</v>
      </c>
      <c r="P568" s="45">
        <f>IFERROR(__xludf.DUMMYFUNCTION("""COMPUTED_VALUE"""),45152.0)</f>
        <v>45152</v>
      </c>
      <c r="Q568" s="45">
        <f>IFERROR(__xludf.DUMMYFUNCTION("""COMPUTED_VALUE"""),45107.0)</f>
        <v>45107</v>
      </c>
      <c r="R568" s="45">
        <f>IFERROR(__xludf.DUMMYFUNCTION("""COMPUTED_VALUE"""),45152.0)</f>
        <v>45152</v>
      </c>
      <c r="S568" s="43"/>
      <c r="T568" s="43"/>
      <c r="U568" s="43" t="str">
        <f>IFERROR(__xludf.DUMMYFUNCTION("""COMPUTED_VALUE"""),"Global Classroom")</f>
        <v>Global Classroom</v>
      </c>
      <c r="V568" s="43" t="str">
        <f>IFERROR(__xludf.DUMMYFUNCTION("""COMPUTED_VALUE"""),"Shymkent")</f>
        <v>Shymkent</v>
      </c>
      <c r="W568" s="43" t="str">
        <f>IFERROR(__xludf.DUMMYFUNCTION("""COMPUTED_VALUE"""),"2023-03-05T16:48:11Z")</f>
        <v>2023-03-05T16:48:11Z</v>
      </c>
      <c r="X568" s="43"/>
      <c r="Y568" s="43"/>
      <c r="Z568" s="43"/>
    </row>
    <row r="569" hidden="1">
      <c r="A569" s="43" t="str">
        <f>IFERROR(__xludf.DUMMYFUNCTION("""COMPUTED_VALUE"""),"5209898_1287662")</f>
        <v>5209898_1287662</v>
      </c>
      <c r="B569" s="43" t="str">
        <f>IFERROR(__xludf.DUMMYFUNCTION("""COMPUTED_VALUE"""),"Haj hassen Zaineb")</f>
        <v>Haj hassen Zaineb</v>
      </c>
      <c r="C569" s="43" t="str">
        <f>IFERROR(__xludf.DUMMYFUNCTION("""COMPUTED_VALUE"""),"finished")</f>
        <v>finished</v>
      </c>
      <c r="D569" s="43" t="str">
        <f>IFERROR(__xludf.DUMMYFUNCTION("""COMPUTED_VALUE"""),"No")</f>
        <v>No</v>
      </c>
      <c r="E569" s="43" t="str">
        <f>IFERROR(__xludf.DUMMYFUNCTION("""COMPUTED_VALUE"""),"p_ac8393e55d9e4f1d3367031fce48a047a8663073@inbound.aiesec.org")</f>
        <v>p_ac8393e55d9e4f1d3367031fce48a047a8663073@inbound.aiesec.org</v>
      </c>
      <c r="F569" s="43">
        <f>IFERROR(__xludf.DUMMYFUNCTION("""COMPUTED_VALUE"""),9.771113E7)</f>
        <v>97711130</v>
      </c>
      <c r="G569" s="43" t="str">
        <f>IFERROR(__xludf.DUMMYFUNCTION("""COMPUTED_VALUE"""),"Tunisia")</f>
        <v>Tunisia</v>
      </c>
      <c r="H569" s="43" t="str">
        <f>IFERROR(__xludf.DUMMYFUNCTION("""COMPUTED_VALUE"""),"UNIVERSITY")</f>
        <v>UNIVERSITY</v>
      </c>
      <c r="I569" s="43" t="str">
        <f>IFERROR(__xludf.DUMMYFUNCTION("""COMPUTED_VALUE"""),"Turkey")</f>
        <v>Turkey</v>
      </c>
      <c r="J569" s="43" t="str">
        <f>IFERROR(__xludf.DUMMYFUNCTION("""COMPUTED_VALUE"""),"İZMİR")</f>
        <v>İZMİR</v>
      </c>
      <c r="K569" s="44" t="str">
        <f>IFERROR(__xludf.DUMMYFUNCTION("""COMPUTED_VALUE"""),"https://expa.aiesec.org/opportunities/1287662")</f>
        <v>https://expa.aiesec.org/opportunities/1287662</v>
      </c>
      <c r="L569" s="43" t="str">
        <f>IFERROR(__xludf.DUMMYFUNCTION("""COMPUTED_VALUE"""),"GV")</f>
        <v>GV</v>
      </c>
      <c r="M569" s="43" t="str">
        <f>IFERROR(__xludf.DUMMYFUNCTION("""COMPUTED_VALUE"""),"short")</f>
        <v>short</v>
      </c>
      <c r="N569" s="45">
        <f>IFERROR(__xludf.DUMMYFUNCTION("""COMPUTED_VALUE"""),45006.0)</f>
        <v>45006</v>
      </c>
      <c r="O569" s="45">
        <f>IFERROR(__xludf.DUMMYFUNCTION("""COMPUTED_VALUE"""),45096.0)</f>
        <v>45096</v>
      </c>
      <c r="P569" s="45">
        <f>IFERROR(__xludf.DUMMYFUNCTION("""COMPUTED_VALUE"""),45138.0)</f>
        <v>45138</v>
      </c>
      <c r="Q569" s="45">
        <f>IFERROR(__xludf.DUMMYFUNCTION("""COMPUTED_VALUE"""),45097.0)</f>
        <v>45097</v>
      </c>
      <c r="R569" s="45">
        <f>IFERROR(__xludf.DUMMYFUNCTION("""COMPUTED_VALUE"""),45139.0)</f>
        <v>45139</v>
      </c>
      <c r="S569" s="43"/>
      <c r="T569" s="43"/>
      <c r="U569" s="43" t="str">
        <f>IFERROR(__xludf.DUMMYFUNCTION("""COMPUTED_VALUE"""),"Heartbeat")</f>
        <v>Heartbeat</v>
      </c>
      <c r="V569" s="43" t="str">
        <f>IFERROR(__xludf.DUMMYFUNCTION("""COMPUTED_VALUE"""),"ISSHT")</f>
        <v>ISSHT</v>
      </c>
      <c r="W569" s="43" t="str">
        <f>IFERROR(__xludf.DUMMYFUNCTION("""COMPUTED_VALUE"""),"2023-03-08T14:00:24Z")</f>
        <v>2023-03-08T14:00:24Z</v>
      </c>
      <c r="X569" s="43"/>
      <c r="Y569" s="43"/>
      <c r="Z569" s="43"/>
    </row>
    <row r="570" hidden="1">
      <c r="A570" s="43" t="str">
        <f>IFERROR(__xludf.DUMMYFUNCTION("""COMPUTED_VALUE"""),"5215014_1281010")</f>
        <v>5215014_1281010</v>
      </c>
      <c r="B570" s="43" t="str">
        <f>IFERROR(__xludf.DUMMYFUNCTION("""COMPUTED_VALUE"""),"Alexandra Iuliana Vlădic")</f>
        <v>Alexandra Iuliana Vlădic</v>
      </c>
      <c r="C570" s="43" t="str">
        <f>IFERROR(__xludf.DUMMYFUNCTION("""COMPUTED_VALUE"""),"finished")</f>
        <v>finished</v>
      </c>
      <c r="D570" s="43" t="str">
        <f>IFERROR(__xludf.DUMMYFUNCTION("""COMPUTED_VALUE"""),"No")</f>
        <v>No</v>
      </c>
      <c r="E570" s="43" t="str">
        <f>IFERROR(__xludf.DUMMYFUNCTION("""COMPUTED_VALUE"""),"p_c7e8b5ff9d359c51dc5867349ee2bbfd82006260@inbound.aiesec.org")</f>
        <v>p_c7e8b5ff9d359c51dc5867349ee2bbfd82006260@inbound.aiesec.org</v>
      </c>
      <c r="F570" s="43">
        <f>IFERROR(__xludf.DUMMYFUNCTION("""COMPUTED_VALUE"""),7.46573806E8)</f>
        <v>746573806</v>
      </c>
      <c r="G570" s="43" t="str">
        <f>IFERROR(__xludf.DUMMYFUNCTION("""COMPUTED_VALUE"""),"Romania")</f>
        <v>Romania</v>
      </c>
      <c r="H570" s="43" t="str">
        <f>IFERROR(__xludf.DUMMYFUNCTION("""COMPUTED_VALUE"""),"TIMISOARA")</f>
        <v>TIMISOARA</v>
      </c>
      <c r="I570" s="43" t="str">
        <f>IFERROR(__xludf.DUMMYFUNCTION("""COMPUTED_VALUE"""),"Turkey")</f>
        <v>Turkey</v>
      </c>
      <c r="J570" s="43" t="str">
        <f>IFERROR(__xludf.DUMMYFUNCTION("""COMPUTED_VALUE"""),"KOCAELI")</f>
        <v>KOCAELI</v>
      </c>
      <c r="K570" s="44" t="str">
        <f>IFERROR(__xludf.DUMMYFUNCTION("""COMPUTED_VALUE"""),"https://expa.aiesec.org/opportunities/1281010")</f>
        <v>https://expa.aiesec.org/opportunities/1281010</v>
      </c>
      <c r="L570" s="43" t="str">
        <f>IFERROR(__xludf.DUMMYFUNCTION("""COMPUTED_VALUE"""),"GV")</f>
        <v>GV</v>
      </c>
      <c r="M570" s="43" t="str">
        <f>IFERROR(__xludf.DUMMYFUNCTION("""COMPUTED_VALUE"""),"short")</f>
        <v>short</v>
      </c>
      <c r="N570" s="45">
        <f>IFERROR(__xludf.DUMMYFUNCTION("""COMPUTED_VALUE"""),45006.0)</f>
        <v>45006</v>
      </c>
      <c r="O570" s="45">
        <f>IFERROR(__xludf.DUMMYFUNCTION("""COMPUTED_VALUE"""),45159.0)</f>
        <v>45159</v>
      </c>
      <c r="P570" s="45">
        <f>IFERROR(__xludf.DUMMYFUNCTION("""COMPUTED_VALUE"""),45201.0)</f>
        <v>45201</v>
      </c>
      <c r="Q570" s="45">
        <f>IFERROR(__xludf.DUMMYFUNCTION("""COMPUTED_VALUE"""),45160.0)</f>
        <v>45160</v>
      </c>
      <c r="R570" s="45">
        <f>IFERROR(__xludf.DUMMYFUNCTION("""COMPUTED_VALUE"""),45201.0)</f>
        <v>45201</v>
      </c>
      <c r="S570" s="43"/>
      <c r="T570" s="43"/>
      <c r="U570" s="43" t="str">
        <f>IFERROR(__xludf.DUMMYFUNCTION("""COMPUTED_VALUE"""),"Global Classroom")</f>
        <v>Global Classroom</v>
      </c>
      <c r="V570" s="43" t="str">
        <f>IFERROR(__xludf.DUMMYFUNCTION("""COMPUTED_VALUE"""),"Timisoara")</f>
        <v>Timisoara</v>
      </c>
      <c r="W570" s="43" t="str">
        <f>IFERROR(__xludf.DUMMYFUNCTION("""COMPUTED_VALUE"""),"2023-03-13T18:55:13Z")</f>
        <v>2023-03-13T18:55:13Z</v>
      </c>
      <c r="X570" s="43"/>
      <c r="Y570" s="43"/>
      <c r="Z570" s="43"/>
    </row>
    <row r="571" hidden="1">
      <c r="A571" s="43" t="str">
        <f>IFERROR(__xludf.DUMMYFUNCTION("""COMPUTED_VALUE"""),"5217726_1291634")</f>
        <v>5217726_1291634</v>
      </c>
      <c r="B571" s="43" t="str">
        <f>IFERROR(__xludf.DUMMYFUNCTION("""COMPUTED_VALUE"""),"Maria-Magdalena Gaftoi")</f>
        <v>Maria-Magdalena Gaftoi</v>
      </c>
      <c r="C571" s="43" t="str">
        <f>IFERROR(__xludf.DUMMYFUNCTION("""COMPUTED_VALUE"""),"finished")</f>
        <v>finished</v>
      </c>
      <c r="D571" s="43" t="str">
        <f>IFERROR(__xludf.DUMMYFUNCTION("""COMPUTED_VALUE"""),"No")</f>
        <v>No</v>
      </c>
      <c r="E571" s="43" t="str">
        <f>IFERROR(__xludf.DUMMYFUNCTION("""COMPUTED_VALUE"""),"p_62f3d9a32e951f53534781463de9868cf50129c5@inbound.aiesec.org")</f>
        <v>p_62f3d9a32e951f53534781463de9868cf50129c5@inbound.aiesec.org</v>
      </c>
      <c r="F571" s="43">
        <f>IFERROR(__xludf.DUMMYFUNCTION("""COMPUTED_VALUE"""),7.39417292E8)</f>
        <v>739417292</v>
      </c>
      <c r="G571" s="43" t="str">
        <f>IFERROR(__xludf.DUMMYFUNCTION("""COMPUTED_VALUE"""),"Romania")</f>
        <v>Romania</v>
      </c>
      <c r="H571" s="43" t="str">
        <f>IFERROR(__xludf.DUMMYFUNCTION("""COMPUTED_VALUE"""),"Cluj-Napoca")</f>
        <v>Cluj-Napoca</v>
      </c>
      <c r="I571" s="43" t="str">
        <f>IFERROR(__xludf.DUMMYFUNCTION("""COMPUTED_VALUE"""),"Turkey")</f>
        <v>Turkey</v>
      </c>
      <c r="J571" s="43" t="str">
        <f>IFERROR(__xludf.DUMMYFUNCTION("""COMPUTED_VALUE"""),"İZMİR")</f>
        <v>İZMİR</v>
      </c>
      <c r="K571" s="44" t="str">
        <f>IFERROR(__xludf.DUMMYFUNCTION("""COMPUTED_VALUE"""),"https://expa.aiesec.org/opportunities/1291634")</f>
        <v>https://expa.aiesec.org/opportunities/1291634</v>
      </c>
      <c r="L571" s="43" t="str">
        <f>IFERROR(__xludf.DUMMYFUNCTION("""COMPUTED_VALUE"""),"GV")</f>
        <v>GV</v>
      </c>
      <c r="M571" s="43" t="str">
        <f>IFERROR(__xludf.DUMMYFUNCTION("""COMPUTED_VALUE"""),"short")</f>
        <v>short</v>
      </c>
      <c r="N571" s="45">
        <f>IFERROR(__xludf.DUMMYFUNCTION("""COMPUTED_VALUE"""),45006.0)</f>
        <v>45006</v>
      </c>
      <c r="O571" s="45">
        <f>IFERROR(__xludf.DUMMYFUNCTION("""COMPUTED_VALUE"""),45166.0)</f>
        <v>45166</v>
      </c>
      <c r="P571" s="45">
        <f>IFERROR(__xludf.DUMMYFUNCTION("""COMPUTED_VALUE"""),45208.0)</f>
        <v>45208</v>
      </c>
      <c r="Q571" s="45">
        <f>IFERROR(__xludf.DUMMYFUNCTION("""COMPUTED_VALUE"""),45167.0)</f>
        <v>45167</v>
      </c>
      <c r="R571" s="45">
        <f>IFERROR(__xludf.DUMMYFUNCTION("""COMPUTED_VALUE"""),45209.0)</f>
        <v>45209</v>
      </c>
      <c r="S571" s="43"/>
      <c r="T571" s="43"/>
      <c r="U571" s="43" t="str">
        <f>IFERROR(__xludf.DUMMYFUNCTION("""COMPUTED_VALUE"""),"Fingerprint")</f>
        <v>Fingerprint</v>
      </c>
      <c r="V571" s="43" t="str">
        <f>IFERROR(__xludf.DUMMYFUNCTION("""COMPUTED_VALUE"""),"Cluj-Napoca")</f>
        <v>Cluj-Napoca</v>
      </c>
      <c r="W571" s="43" t="str">
        <f>IFERROR(__xludf.DUMMYFUNCTION("""COMPUTED_VALUE"""),"2023-03-15T17:37:31Z")</f>
        <v>2023-03-15T17:37:31Z</v>
      </c>
      <c r="X571" s="43"/>
      <c r="Y571" s="43"/>
      <c r="Z571" s="43"/>
    </row>
    <row r="572" hidden="1">
      <c r="A572" s="43" t="str">
        <f>IFERROR(__xludf.DUMMYFUNCTION("""COMPUTED_VALUE"""),"5224893_1292773")</f>
        <v>5224893_1292773</v>
      </c>
      <c r="B572" s="43" t="str">
        <f>IFERROR(__xludf.DUMMYFUNCTION("""COMPUTED_VALUE"""),"Oumaima Gaha")</f>
        <v>Oumaima Gaha</v>
      </c>
      <c r="C572" s="43" t="str">
        <f>IFERROR(__xludf.DUMMYFUNCTION("""COMPUTED_VALUE"""),"completed")</f>
        <v>completed</v>
      </c>
      <c r="D572" s="43" t="str">
        <f>IFERROR(__xludf.DUMMYFUNCTION("""COMPUTED_VALUE"""),"No")</f>
        <v>No</v>
      </c>
      <c r="E572" s="43" t="str">
        <f>IFERROR(__xludf.DUMMYFUNCTION("""COMPUTED_VALUE"""),"p_060069f491cfcfdb919b40baf675e61d739a7316@inbound.aiesec.org")</f>
        <v>p_060069f491cfcfdb919b40baf675e61d739a7316@inbound.aiesec.org</v>
      </c>
      <c r="F572" s="43">
        <f>IFERROR(__xludf.DUMMYFUNCTION("""COMPUTED_VALUE"""),2.9295325E7)</f>
        <v>29295325</v>
      </c>
      <c r="G572" s="43" t="str">
        <f>IFERROR(__xludf.DUMMYFUNCTION("""COMPUTED_VALUE"""),"Tunisia")</f>
        <v>Tunisia</v>
      </c>
      <c r="H572" s="43" t="str">
        <f>IFERROR(__xludf.DUMMYFUNCTION("""COMPUTED_VALUE"""),"HADRUMET")</f>
        <v>HADRUMET</v>
      </c>
      <c r="I572" s="43" t="str">
        <f>IFERROR(__xludf.DUMMYFUNCTION("""COMPUTED_VALUE"""),"Turkey")</f>
        <v>Turkey</v>
      </c>
      <c r="J572" s="43" t="str">
        <f>IFERROR(__xludf.DUMMYFUNCTION("""COMPUTED_VALUE"""),"ESKISEHIR")</f>
        <v>ESKISEHIR</v>
      </c>
      <c r="K572" s="44" t="str">
        <f>IFERROR(__xludf.DUMMYFUNCTION("""COMPUTED_VALUE"""),"https://expa.aiesec.org/opportunities/1292773")</f>
        <v>https://expa.aiesec.org/opportunities/1292773</v>
      </c>
      <c r="L572" s="43" t="str">
        <f>IFERROR(__xludf.DUMMYFUNCTION("""COMPUTED_VALUE"""),"GV")</f>
        <v>GV</v>
      </c>
      <c r="M572" s="43" t="str">
        <f>IFERROR(__xludf.DUMMYFUNCTION("""COMPUTED_VALUE"""),"short")</f>
        <v>short</v>
      </c>
      <c r="N572" s="45">
        <f>IFERROR(__xludf.DUMMYFUNCTION("""COMPUTED_VALUE"""),45008.0)</f>
        <v>45008</v>
      </c>
      <c r="O572" s="45">
        <f>IFERROR(__xludf.DUMMYFUNCTION("""COMPUTED_VALUE"""),45103.0)</f>
        <v>45103</v>
      </c>
      <c r="P572" s="45">
        <f>IFERROR(__xludf.DUMMYFUNCTION("""COMPUTED_VALUE"""),45145.0)</f>
        <v>45145</v>
      </c>
      <c r="Q572" s="45">
        <f>IFERROR(__xludf.DUMMYFUNCTION("""COMPUTED_VALUE"""),45103.0)</f>
        <v>45103</v>
      </c>
      <c r="R572" s="45">
        <f>IFERROR(__xludf.DUMMYFUNCTION("""COMPUTED_VALUE"""),45145.0)</f>
        <v>45145</v>
      </c>
      <c r="S572" s="43"/>
      <c r="T572" s="43"/>
      <c r="U572" s="43" t="str">
        <f>IFERROR(__xludf.DUMMYFUNCTION("""COMPUTED_VALUE"""),"Raise Your Voice")</f>
        <v>Raise Your Voice</v>
      </c>
      <c r="V572" s="43" t="str">
        <f>IFERROR(__xludf.DUMMYFUNCTION("""COMPUTED_VALUE"""),"FLSH Sousse")</f>
        <v>FLSH Sousse</v>
      </c>
      <c r="W572" s="43" t="str">
        <f>IFERROR(__xludf.DUMMYFUNCTION("""COMPUTED_VALUE"""),"2023-03-23T13:28:33Z")</f>
        <v>2023-03-23T13:28:33Z</v>
      </c>
      <c r="X572" s="43"/>
      <c r="Y572" s="43"/>
      <c r="Z572" s="43"/>
    </row>
    <row r="573">
      <c r="A573" s="43" t="str">
        <f>IFERROR(__xludf.DUMMYFUNCTION("""COMPUTED_VALUE"""),"4498016_1288245")</f>
        <v>4498016_1288245</v>
      </c>
      <c r="B573" s="43" t="str">
        <f>IFERROR(__xludf.DUMMYFUNCTION("""COMPUTED_VALUE"""),"Rowan Mohamed")</f>
        <v>Rowan Mohamed</v>
      </c>
      <c r="C573" s="43" t="str">
        <f>IFERROR(__xludf.DUMMYFUNCTION("""COMPUTED_VALUE"""),"approved")</f>
        <v>approved</v>
      </c>
      <c r="D573" s="43" t="str">
        <f>IFERROR(__xludf.DUMMYFUNCTION("""COMPUTED_VALUE"""),"No")</f>
        <v>No</v>
      </c>
      <c r="E573" s="43" t="str">
        <f>IFERROR(__xludf.DUMMYFUNCTION("""COMPUTED_VALUE"""),"p_88df2e8c1fd3418a307986c743c1d486613cfbfc@inbound.aiesec.org")</f>
        <v>p_88df2e8c1fd3418a307986c743c1d486613cfbfc@inbound.aiesec.org</v>
      </c>
      <c r="F573" s="43">
        <f>IFERROR(__xludf.DUMMYFUNCTION("""COMPUTED_VALUE"""),1.090415543E9)</f>
        <v>1090415543</v>
      </c>
      <c r="G573" s="43" t="str">
        <f>IFERROR(__xludf.DUMMYFUNCTION("""COMPUTED_VALUE"""),"Egypt")</f>
        <v>Egypt</v>
      </c>
      <c r="H573" s="43" t="str">
        <f>IFERROR(__xludf.DUMMYFUNCTION("""COMPUTED_VALUE"""),"Alexandria")</f>
        <v>Alexandria</v>
      </c>
      <c r="I573" s="43" t="str">
        <f>IFERROR(__xludf.DUMMYFUNCTION("""COMPUTED_VALUE"""),"Turkey")</f>
        <v>Turkey</v>
      </c>
      <c r="J573" s="43" t="str">
        <f>IFERROR(__xludf.DUMMYFUNCTION("""COMPUTED_VALUE"""),"İZMİR")</f>
        <v>İZMİR</v>
      </c>
      <c r="K573" s="44" t="str">
        <f>IFERROR(__xludf.DUMMYFUNCTION("""COMPUTED_VALUE"""),"https://expa.aiesec.org/opportunities/1288245")</f>
        <v>https://expa.aiesec.org/opportunities/1288245</v>
      </c>
      <c r="L573" s="43" t="str">
        <f>IFERROR(__xludf.DUMMYFUNCTION("""COMPUTED_VALUE"""),"GV")</f>
        <v>GV</v>
      </c>
      <c r="M573" s="43" t="str">
        <f>IFERROR(__xludf.DUMMYFUNCTION("""COMPUTED_VALUE"""),"short")</f>
        <v>short</v>
      </c>
      <c r="N573" s="45">
        <f>IFERROR(__xludf.DUMMYFUNCTION("""COMPUTED_VALUE"""),45008.0)</f>
        <v>45008</v>
      </c>
      <c r="O573" s="45">
        <f>IFERROR(__xludf.DUMMYFUNCTION("""COMPUTED_VALUE"""),45088.0)</f>
        <v>45088</v>
      </c>
      <c r="P573" s="45">
        <f>IFERROR(__xludf.DUMMYFUNCTION("""COMPUTED_VALUE"""),45130.0)</f>
        <v>45130</v>
      </c>
      <c r="Q573" s="45"/>
      <c r="R573" s="45"/>
      <c r="S573" s="43"/>
      <c r="T573" s="43"/>
      <c r="U573" s="43" t="str">
        <f>IFERROR(__xludf.DUMMYFUNCTION("""COMPUTED_VALUE"""),"Global Classroom")</f>
        <v>Global Classroom</v>
      </c>
      <c r="V573" s="43" t="str">
        <f>IFERROR(__xludf.DUMMYFUNCTION("""COMPUTED_VALUE"""),"Alexandria University")</f>
        <v>Alexandria University</v>
      </c>
      <c r="W573" s="43" t="str">
        <f>IFERROR(__xludf.DUMMYFUNCTION("""COMPUTED_VALUE"""),"2020-12-25T00:51:23Z")</f>
        <v>2020-12-25T00:51:23Z</v>
      </c>
      <c r="X573" s="43"/>
      <c r="Y573" s="43"/>
      <c r="Z573" s="43"/>
    </row>
    <row r="574" hidden="1">
      <c r="A574" s="43" t="str">
        <f>IFERROR(__xludf.DUMMYFUNCTION("""COMPUTED_VALUE"""),"5206843_1284081")</f>
        <v>5206843_1284081</v>
      </c>
      <c r="B574" s="43" t="str">
        <f>IFERROR(__xludf.DUMMYFUNCTION("""COMPUTED_VALUE"""),"Matteo Tomas")</f>
        <v>Matteo Tomas</v>
      </c>
      <c r="C574" s="43" t="str">
        <f>IFERROR(__xludf.DUMMYFUNCTION("""COMPUTED_VALUE"""),"completed")</f>
        <v>completed</v>
      </c>
      <c r="D574" s="43" t="str">
        <f>IFERROR(__xludf.DUMMYFUNCTION("""COMPUTED_VALUE"""),"No")</f>
        <v>No</v>
      </c>
      <c r="E574" s="43" t="str">
        <f>IFERROR(__xludf.DUMMYFUNCTION("""COMPUTED_VALUE"""),"p_2397471ddfa7ab3ce6d93f84d12b7bd945ad2441@inbound.aiesec.org")</f>
        <v>p_2397471ddfa7ab3ce6d93f84d12b7bd945ad2441@inbound.aiesec.org</v>
      </c>
      <c r="F574" s="43"/>
      <c r="G574" s="43" t="str">
        <f>IFERROR(__xludf.DUMMYFUNCTION("""COMPUTED_VALUE"""),"Italy")</f>
        <v>Italy</v>
      </c>
      <c r="H574" s="43" t="str">
        <f>IFERROR(__xludf.DUMMYFUNCTION("""COMPUTED_VALUE"""),"Padova")</f>
        <v>Padova</v>
      </c>
      <c r="I574" s="43" t="str">
        <f>IFERROR(__xludf.DUMMYFUNCTION("""COMPUTED_VALUE"""),"Turkey")</f>
        <v>Turkey</v>
      </c>
      <c r="J574" s="43" t="str">
        <f>IFERROR(__xludf.DUMMYFUNCTION("""COMPUTED_VALUE"""),"KOCAELI")</f>
        <v>KOCAELI</v>
      </c>
      <c r="K574" s="44" t="str">
        <f>IFERROR(__xludf.DUMMYFUNCTION("""COMPUTED_VALUE"""),"https://expa.aiesec.org/opportunities/1284081")</f>
        <v>https://expa.aiesec.org/opportunities/1284081</v>
      </c>
      <c r="L574" s="43" t="str">
        <f>IFERROR(__xludf.DUMMYFUNCTION("""COMPUTED_VALUE"""),"GV")</f>
        <v>GV</v>
      </c>
      <c r="M574" s="43" t="str">
        <f>IFERROR(__xludf.DUMMYFUNCTION("""COMPUTED_VALUE"""),"short")</f>
        <v>short</v>
      </c>
      <c r="N574" s="45">
        <f>IFERROR(__xludf.DUMMYFUNCTION("""COMPUTED_VALUE"""),45008.0)</f>
        <v>45008</v>
      </c>
      <c r="O574" s="45">
        <f>IFERROR(__xludf.DUMMYFUNCTION("""COMPUTED_VALUE"""),45040.0)</f>
        <v>45040</v>
      </c>
      <c r="P574" s="45">
        <f>IFERROR(__xludf.DUMMYFUNCTION("""COMPUTED_VALUE"""),45082.0)</f>
        <v>45082</v>
      </c>
      <c r="Q574" s="45">
        <f>IFERROR(__xludf.DUMMYFUNCTION("""COMPUTED_VALUE"""),45040.0)</f>
        <v>45040</v>
      </c>
      <c r="R574" s="45">
        <f>IFERROR(__xludf.DUMMYFUNCTION("""COMPUTED_VALUE"""),45082.0)</f>
        <v>45082</v>
      </c>
      <c r="S574" s="43"/>
      <c r="T574" s="43"/>
      <c r="U574" s="43" t="str">
        <f>IFERROR(__xludf.DUMMYFUNCTION("""COMPUTED_VALUE"""),"Global Classroom")</f>
        <v>Global Classroom</v>
      </c>
      <c r="V574" s="43" t="str">
        <f>IFERROR(__xludf.DUMMYFUNCTION("""COMPUTED_VALUE"""),"-")</f>
        <v>-</v>
      </c>
      <c r="W574" s="43" t="str">
        <f>IFERROR(__xludf.DUMMYFUNCTION("""COMPUTED_VALUE"""),"2023-03-05T20:36:30Z")</f>
        <v>2023-03-05T20:36:30Z</v>
      </c>
      <c r="X574" s="43"/>
      <c r="Y574" s="43"/>
      <c r="Z574" s="43"/>
    </row>
    <row r="575" hidden="1">
      <c r="A575" s="43" t="str">
        <f>IFERROR(__xludf.DUMMYFUNCTION("""COMPUTED_VALUE"""),"4070336_1287851")</f>
        <v>4070336_1287851</v>
      </c>
      <c r="B575" s="43" t="str">
        <f>IFERROR(__xludf.DUMMYFUNCTION("""COMPUTED_VALUE"""),"Manel Kadri")</f>
        <v>Manel Kadri</v>
      </c>
      <c r="C575" s="43" t="str">
        <f>IFERROR(__xludf.DUMMYFUNCTION("""COMPUTED_VALUE"""),"finished")</f>
        <v>finished</v>
      </c>
      <c r="D575" s="43" t="str">
        <f>IFERROR(__xludf.DUMMYFUNCTION("""COMPUTED_VALUE"""),"No")</f>
        <v>No</v>
      </c>
      <c r="E575" s="43" t="str">
        <f>IFERROR(__xludf.DUMMYFUNCTION("""COMPUTED_VALUE"""),"p_dd77da88e5f9537ed13e4f0a9d057474d49e1288@inbound.aiesec.org")</f>
        <v>p_dd77da88e5f9537ed13e4f0a9d057474d49e1288@inbound.aiesec.org</v>
      </c>
      <c r="F575" s="43"/>
      <c r="G575" s="43" t="str">
        <f>IFERROR(__xludf.DUMMYFUNCTION("""COMPUTED_VALUE"""),"Tunisia")</f>
        <v>Tunisia</v>
      </c>
      <c r="H575" s="43" t="str">
        <f>IFERROR(__xludf.DUMMYFUNCTION("""COMPUTED_VALUE"""),"RUSPINA")</f>
        <v>RUSPINA</v>
      </c>
      <c r="I575" s="43" t="str">
        <f>IFERROR(__xludf.DUMMYFUNCTION("""COMPUTED_VALUE"""),"Turkey")</f>
        <v>Turkey</v>
      </c>
      <c r="J575" s="43" t="str">
        <f>IFERROR(__xludf.DUMMYFUNCTION("""COMPUTED_VALUE"""),"KOCAELI")</f>
        <v>KOCAELI</v>
      </c>
      <c r="K575" s="44" t="str">
        <f>IFERROR(__xludf.DUMMYFUNCTION("""COMPUTED_VALUE"""),"https://expa.aiesec.org/opportunities/1287851")</f>
        <v>https://expa.aiesec.org/opportunities/1287851</v>
      </c>
      <c r="L575" s="43" t="str">
        <f>IFERROR(__xludf.DUMMYFUNCTION("""COMPUTED_VALUE"""),"GV")</f>
        <v>GV</v>
      </c>
      <c r="M575" s="43" t="str">
        <f>IFERROR(__xludf.DUMMYFUNCTION("""COMPUTED_VALUE"""),"short")</f>
        <v>short</v>
      </c>
      <c r="N575" s="45">
        <f>IFERROR(__xludf.DUMMYFUNCTION("""COMPUTED_VALUE"""),45009.0)</f>
        <v>45009</v>
      </c>
      <c r="O575" s="45">
        <f>IFERROR(__xludf.DUMMYFUNCTION("""COMPUTED_VALUE"""),45095.0)</f>
        <v>45095</v>
      </c>
      <c r="P575" s="45">
        <f>IFERROR(__xludf.DUMMYFUNCTION("""COMPUTED_VALUE"""),45137.0)</f>
        <v>45137</v>
      </c>
      <c r="Q575" s="45">
        <f>IFERROR(__xludf.DUMMYFUNCTION("""COMPUTED_VALUE"""),45094.0)</f>
        <v>45094</v>
      </c>
      <c r="R575" s="45">
        <f>IFERROR(__xludf.DUMMYFUNCTION("""COMPUTED_VALUE"""),45137.0)</f>
        <v>45137</v>
      </c>
      <c r="S575" s="43"/>
      <c r="T575" s="43"/>
      <c r="U575" s="43" t="str">
        <f>IFERROR(__xludf.DUMMYFUNCTION("""COMPUTED_VALUE"""),"Heartbeat")</f>
        <v>Heartbeat</v>
      </c>
      <c r="V575" s="43" t="str">
        <f>IFERROR(__xludf.DUMMYFUNCTION("""COMPUTED_VALUE"""),"-")</f>
        <v>-</v>
      </c>
      <c r="W575" s="43" t="str">
        <f>IFERROR(__xludf.DUMMYFUNCTION("""COMPUTED_VALUE"""),"2019-12-01T18:09:56Z")</f>
        <v>2019-12-01T18:09:56Z</v>
      </c>
      <c r="X575" s="43"/>
      <c r="Y575" s="43"/>
      <c r="Z575" s="43"/>
    </row>
    <row r="576" hidden="1">
      <c r="A576" s="43" t="str">
        <f>IFERROR(__xludf.DUMMYFUNCTION("""COMPUTED_VALUE"""),"5225610_1288721")</f>
        <v>5225610_1288721</v>
      </c>
      <c r="B576" s="43" t="str">
        <f>IFERROR(__xludf.DUMMYFUNCTION("""COMPUTED_VALUE"""),"mohamed aziz ghabi")</f>
        <v>mohamed aziz ghabi</v>
      </c>
      <c r="C576" s="43" t="str">
        <f>IFERROR(__xludf.DUMMYFUNCTION("""COMPUTED_VALUE"""),"completed")</f>
        <v>completed</v>
      </c>
      <c r="D576" s="43" t="str">
        <f>IFERROR(__xludf.DUMMYFUNCTION("""COMPUTED_VALUE"""),"No")</f>
        <v>No</v>
      </c>
      <c r="E576" s="43" t="str">
        <f>IFERROR(__xludf.DUMMYFUNCTION("""COMPUTED_VALUE"""),"p_5c1e3bf540d85d8811714acc71ca475fd854fb8b@inbound.aiesec.org")</f>
        <v>p_5c1e3bf540d85d8811714acc71ca475fd854fb8b@inbound.aiesec.org</v>
      </c>
      <c r="F576" s="43">
        <f>IFERROR(__xludf.DUMMYFUNCTION("""COMPUTED_VALUE"""),2.7392699E7)</f>
        <v>27392699</v>
      </c>
      <c r="G576" s="43" t="str">
        <f>IFERROR(__xludf.DUMMYFUNCTION("""COMPUTED_VALUE"""),"Tunisia")</f>
        <v>Tunisia</v>
      </c>
      <c r="H576" s="43" t="str">
        <f>IFERROR(__xludf.DUMMYFUNCTION("""COMPUTED_VALUE"""),"HADRUMET")</f>
        <v>HADRUMET</v>
      </c>
      <c r="I576" s="43" t="str">
        <f>IFERROR(__xludf.DUMMYFUNCTION("""COMPUTED_VALUE"""),"Turkey")</f>
        <v>Turkey</v>
      </c>
      <c r="J576" s="43" t="str">
        <f>IFERROR(__xludf.DUMMYFUNCTION("""COMPUTED_VALUE"""),"KUTAHYA")</f>
        <v>KUTAHYA</v>
      </c>
      <c r="K576" s="44" t="str">
        <f>IFERROR(__xludf.DUMMYFUNCTION("""COMPUTED_VALUE"""),"https://expa.aiesec.org/opportunities/1288721")</f>
        <v>https://expa.aiesec.org/opportunities/1288721</v>
      </c>
      <c r="L576" s="43" t="str">
        <f>IFERROR(__xludf.DUMMYFUNCTION("""COMPUTED_VALUE"""),"GV")</f>
        <v>GV</v>
      </c>
      <c r="M576" s="43" t="str">
        <f>IFERROR(__xludf.DUMMYFUNCTION("""COMPUTED_VALUE"""),"short")</f>
        <v>short</v>
      </c>
      <c r="N576" s="45">
        <f>IFERROR(__xludf.DUMMYFUNCTION("""COMPUTED_VALUE"""),45009.0)</f>
        <v>45009</v>
      </c>
      <c r="O576" s="45">
        <f>IFERROR(__xludf.DUMMYFUNCTION("""COMPUTED_VALUE"""),45096.0)</f>
        <v>45096</v>
      </c>
      <c r="P576" s="45">
        <f>IFERROR(__xludf.DUMMYFUNCTION("""COMPUTED_VALUE"""),45138.0)</f>
        <v>45138</v>
      </c>
      <c r="Q576" s="45">
        <f>IFERROR(__xludf.DUMMYFUNCTION("""COMPUTED_VALUE"""),45095.0)</f>
        <v>45095</v>
      </c>
      <c r="R576" s="45">
        <f>IFERROR(__xludf.DUMMYFUNCTION("""COMPUTED_VALUE"""),45138.0)</f>
        <v>45138</v>
      </c>
      <c r="S576" s="43"/>
      <c r="T576" s="43"/>
      <c r="U576" s="43" t="str">
        <f>IFERROR(__xludf.DUMMYFUNCTION("""COMPUTED_VALUE"""),"On The Map")</f>
        <v>On The Map</v>
      </c>
      <c r="V576" s="43" t="str">
        <f>IFERROR(__xludf.DUMMYFUNCTION("""COMPUTED_VALUE"""),"Polytechnique Sousse")</f>
        <v>Polytechnique Sousse</v>
      </c>
      <c r="W576" s="43" t="str">
        <f>IFERROR(__xludf.DUMMYFUNCTION("""COMPUTED_VALUE"""),"2023-03-24T11:26:17Z")</f>
        <v>2023-03-24T11:26:17Z</v>
      </c>
      <c r="X576" s="43"/>
      <c r="Y576" s="43"/>
      <c r="Z576" s="43"/>
    </row>
    <row r="577" hidden="1">
      <c r="A577" s="43" t="str">
        <f>IFERROR(__xludf.DUMMYFUNCTION("""COMPUTED_VALUE"""),"4986010_1292531")</f>
        <v>4986010_1292531</v>
      </c>
      <c r="B577" s="43" t="str">
        <f>IFERROR(__xludf.DUMMYFUNCTION("""COMPUTED_VALUE"""),"Mouna Boussaada")</f>
        <v>Mouna Boussaada</v>
      </c>
      <c r="C577" s="43" t="str">
        <f>IFERROR(__xludf.DUMMYFUNCTION("""COMPUTED_VALUE"""),"completed")</f>
        <v>completed</v>
      </c>
      <c r="D577" s="43" t="str">
        <f>IFERROR(__xludf.DUMMYFUNCTION("""COMPUTED_VALUE"""),"No")</f>
        <v>No</v>
      </c>
      <c r="E577" s="43" t="str">
        <f>IFERROR(__xludf.DUMMYFUNCTION("""COMPUTED_VALUE"""),"p_0d6f2d83e2b8b05768dd0ecb5f49e08c91df55c6@inbound.aiesec.org")</f>
        <v>p_0d6f2d83e2b8b05768dd0ecb5f49e08c91df55c6@inbound.aiesec.org</v>
      </c>
      <c r="F577" s="43">
        <f>IFERROR(__xludf.DUMMYFUNCTION("""COMPUTED_VALUE"""),5.4479986E7)</f>
        <v>54479986</v>
      </c>
      <c r="G577" s="43" t="str">
        <f>IFERROR(__xludf.DUMMYFUNCTION("""COMPUTED_VALUE"""),"Tunisia")</f>
        <v>Tunisia</v>
      </c>
      <c r="H577" s="43" t="str">
        <f>IFERROR(__xludf.DUMMYFUNCTION("""COMPUTED_VALUE"""),"UNIVERSITY")</f>
        <v>UNIVERSITY</v>
      </c>
      <c r="I577" s="43" t="str">
        <f>IFERROR(__xludf.DUMMYFUNCTION("""COMPUTED_VALUE"""),"Turkey")</f>
        <v>Turkey</v>
      </c>
      <c r="J577" s="43" t="str">
        <f>IFERROR(__xludf.DUMMYFUNCTION("""COMPUTED_VALUE"""),"ESKISEHIR")</f>
        <v>ESKISEHIR</v>
      </c>
      <c r="K577" s="44" t="str">
        <f>IFERROR(__xludf.DUMMYFUNCTION("""COMPUTED_VALUE"""),"https://expa.aiesec.org/opportunities/1292531")</f>
        <v>https://expa.aiesec.org/opportunities/1292531</v>
      </c>
      <c r="L577" s="43" t="str">
        <f>IFERROR(__xludf.DUMMYFUNCTION("""COMPUTED_VALUE"""),"GV")</f>
        <v>GV</v>
      </c>
      <c r="M577" s="43" t="str">
        <f>IFERROR(__xludf.DUMMYFUNCTION("""COMPUTED_VALUE"""),"short")</f>
        <v>short</v>
      </c>
      <c r="N577" s="45">
        <f>IFERROR(__xludf.DUMMYFUNCTION("""COMPUTED_VALUE"""),45009.0)</f>
        <v>45009</v>
      </c>
      <c r="O577" s="45">
        <f>IFERROR(__xludf.DUMMYFUNCTION("""COMPUTED_VALUE"""),45082.0)</f>
        <v>45082</v>
      </c>
      <c r="P577" s="45">
        <f>IFERROR(__xludf.DUMMYFUNCTION("""COMPUTED_VALUE"""),45124.0)</f>
        <v>45124</v>
      </c>
      <c r="Q577" s="45">
        <f>IFERROR(__xludf.DUMMYFUNCTION("""COMPUTED_VALUE"""),45085.0)</f>
        <v>45085</v>
      </c>
      <c r="R577" s="45">
        <f>IFERROR(__xludf.DUMMYFUNCTION("""COMPUTED_VALUE"""),45127.0)</f>
        <v>45127</v>
      </c>
      <c r="S577" s="43"/>
      <c r="T577" s="43"/>
      <c r="U577" s="43" t="str">
        <f>IFERROR(__xludf.DUMMYFUNCTION("""COMPUTED_VALUE"""),"Rooted")</f>
        <v>Rooted</v>
      </c>
      <c r="V577" s="43" t="str">
        <f>IFERROR(__xludf.DUMMYFUNCTION("""COMPUTED_VALUE"""),"ISSHT")</f>
        <v>ISSHT</v>
      </c>
      <c r="W577" s="43" t="str">
        <f>IFERROR(__xludf.DUMMYFUNCTION("""COMPUTED_VALUE"""),"2022-03-15T21:02:01Z")</f>
        <v>2022-03-15T21:02:01Z</v>
      </c>
      <c r="X577" s="43"/>
      <c r="Y577" s="43"/>
      <c r="Z577" s="43"/>
    </row>
    <row r="578" hidden="1">
      <c r="A578" s="43" t="str">
        <f>IFERROR(__xludf.DUMMYFUNCTION("""COMPUTED_VALUE"""),"5159909_1281010")</f>
        <v>5159909_1281010</v>
      </c>
      <c r="B578" s="43" t="str">
        <f>IFERROR(__xludf.DUMMYFUNCTION("""COMPUTED_VALUE"""),"Cosmina Paola Bîra")</f>
        <v>Cosmina Paola Bîra</v>
      </c>
      <c r="C578" s="43" t="str">
        <f>IFERROR(__xludf.DUMMYFUNCTION("""COMPUTED_VALUE"""),"completed")</f>
        <v>completed</v>
      </c>
      <c r="D578" s="43" t="str">
        <f>IFERROR(__xludf.DUMMYFUNCTION("""COMPUTED_VALUE"""),"No")</f>
        <v>No</v>
      </c>
      <c r="E578" s="43" t="str">
        <f>IFERROR(__xludf.DUMMYFUNCTION("""COMPUTED_VALUE"""),"p_15e58351363d7470523e3ee456bcf59b7bcfd945@inbound.aiesec.org")</f>
        <v>p_15e58351363d7470523e3ee456bcf59b7bcfd945@inbound.aiesec.org</v>
      </c>
      <c r="F578" s="43">
        <f>IFERROR(__xludf.DUMMYFUNCTION("""COMPUTED_VALUE"""),7.54501064E8)</f>
        <v>754501064</v>
      </c>
      <c r="G578" s="43" t="str">
        <f>IFERROR(__xludf.DUMMYFUNCTION("""COMPUTED_VALUE"""),"Romania")</f>
        <v>Romania</v>
      </c>
      <c r="H578" s="43" t="str">
        <f>IFERROR(__xludf.DUMMYFUNCTION("""COMPUTED_VALUE"""),"TIMISOARA")</f>
        <v>TIMISOARA</v>
      </c>
      <c r="I578" s="43" t="str">
        <f>IFERROR(__xludf.DUMMYFUNCTION("""COMPUTED_VALUE"""),"Turkey")</f>
        <v>Turkey</v>
      </c>
      <c r="J578" s="43" t="str">
        <f>IFERROR(__xludf.DUMMYFUNCTION("""COMPUTED_VALUE"""),"KOCAELI")</f>
        <v>KOCAELI</v>
      </c>
      <c r="K578" s="44" t="str">
        <f>IFERROR(__xludf.DUMMYFUNCTION("""COMPUTED_VALUE"""),"https://expa.aiesec.org/opportunities/1281010")</f>
        <v>https://expa.aiesec.org/opportunities/1281010</v>
      </c>
      <c r="L578" s="43" t="str">
        <f>IFERROR(__xludf.DUMMYFUNCTION("""COMPUTED_VALUE"""),"GV")</f>
        <v>GV</v>
      </c>
      <c r="M578" s="43" t="str">
        <f>IFERROR(__xludf.DUMMYFUNCTION("""COMPUTED_VALUE"""),"short")</f>
        <v>short</v>
      </c>
      <c r="N578" s="45">
        <f>IFERROR(__xludf.DUMMYFUNCTION("""COMPUTED_VALUE"""),45009.0)</f>
        <v>45009</v>
      </c>
      <c r="O578" s="45">
        <f>IFERROR(__xludf.DUMMYFUNCTION("""COMPUTED_VALUE"""),45159.0)</f>
        <v>45159</v>
      </c>
      <c r="P578" s="45">
        <f>IFERROR(__xludf.DUMMYFUNCTION("""COMPUTED_VALUE"""),45201.0)</f>
        <v>45201</v>
      </c>
      <c r="Q578" s="45">
        <f>IFERROR(__xludf.DUMMYFUNCTION("""COMPUTED_VALUE"""),45158.0)</f>
        <v>45158</v>
      </c>
      <c r="R578" s="45">
        <f>IFERROR(__xludf.DUMMYFUNCTION("""COMPUTED_VALUE"""),45201.0)</f>
        <v>45201</v>
      </c>
      <c r="S578" s="43"/>
      <c r="T578" s="43"/>
      <c r="U578" s="43" t="str">
        <f>IFERROR(__xludf.DUMMYFUNCTION("""COMPUTED_VALUE"""),"Global Classroom")</f>
        <v>Global Classroom</v>
      </c>
      <c r="V578" s="43" t="str">
        <f>IFERROR(__xludf.DUMMYFUNCTION("""COMPUTED_VALUE"""),"Cluj-Napoca")</f>
        <v>Cluj-Napoca</v>
      </c>
      <c r="W578" s="43" t="str">
        <f>IFERROR(__xludf.DUMMYFUNCTION("""COMPUTED_VALUE"""),"2022-11-28T14:36:55Z")</f>
        <v>2022-11-28T14:36:55Z</v>
      </c>
      <c r="X578" s="43"/>
      <c r="Y578" s="43"/>
      <c r="Z578" s="43"/>
    </row>
    <row r="579" hidden="1">
      <c r="A579" s="43" t="str">
        <f>IFERROR(__xludf.DUMMYFUNCTION("""COMPUTED_VALUE"""),"5210947_1289536")</f>
        <v>5210947_1289536</v>
      </c>
      <c r="B579" s="43" t="str">
        <f>IFERROR(__xludf.DUMMYFUNCTION("""COMPUTED_VALUE"""),"Lidiia Bondarieva")</f>
        <v>Lidiia Bondarieva</v>
      </c>
      <c r="C579" s="43" t="str">
        <f>IFERROR(__xludf.DUMMYFUNCTION("""COMPUTED_VALUE"""),"completed")</f>
        <v>completed</v>
      </c>
      <c r="D579" s="43" t="str">
        <f>IFERROR(__xludf.DUMMYFUNCTION("""COMPUTED_VALUE"""),"No")</f>
        <v>No</v>
      </c>
      <c r="E579" s="43" t="str">
        <f>IFERROR(__xludf.DUMMYFUNCTION("""COMPUTED_VALUE"""),"p_9b5e718a9b9b1069848855a17c8354f384fae2d8@inbound.aiesec.org")</f>
        <v>p_9b5e718a9b9b1069848855a17c8354f384fae2d8@inbound.aiesec.org</v>
      </c>
      <c r="F579" s="43">
        <f>IFERROR(__xludf.DUMMYFUNCTION("""COMPUTED_VALUE"""),9.15203527E8)</f>
        <v>915203527</v>
      </c>
      <c r="G579" s="43" t="str">
        <f>IFERROR(__xludf.DUMMYFUNCTION("""COMPUTED_VALUE"""),"Ukraine")</f>
        <v>Ukraine</v>
      </c>
      <c r="H579" s="43" t="str">
        <f>IFERROR(__xludf.DUMMYFUNCTION("""COMPUTED_VALUE"""),"KHARKIV")</f>
        <v>KHARKIV</v>
      </c>
      <c r="I579" s="43" t="str">
        <f>IFERROR(__xludf.DUMMYFUNCTION("""COMPUTED_VALUE"""),"Turkey")</f>
        <v>Turkey</v>
      </c>
      <c r="J579" s="43" t="str">
        <f>IFERROR(__xludf.DUMMYFUNCTION("""COMPUTED_VALUE"""),"ISTANBUL")</f>
        <v>ISTANBUL</v>
      </c>
      <c r="K579" s="44" t="str">
        <f>IFERROR(__xludf.DUMMYFUNCTION("""COMPUTED_VALUE"""),"https://expa.aiesec.org/opportunities/1289536")</f>
        <v>https://expa.aiesec.org/opportunities/1289536</v>
      </c>
      <c r="L579" s="43" t="str">
        <f>IFERROR(__xludf.DUMMYFUNCTION("""COMPUTED_VALUE"""),"GV")</f>
        <v>GV</v>
      </c>
      <c r="M579" s="43" t="str">
        <f>IFERROR(__xludf.DUMMYFUNCTION("""COMPUTED_VALUE"""),"short")</f>
        <v>short</v>
      </c>
      <c r="N579" s="45">
        <f>IFERROR(__xludf.DUMMYFUNCTION("""COMPUTED_VALUE"""),45009.0)</f>
        <v>45009</v>
      </c>
      <c r="O579" s="45">
        <f>IFERROR(__xludf.DUMMYFUNCTION("""COMPUTED_VALUE"""),45132.0)</f>
        <v>45132</v>
      </c>
      <c r="P579" s="45">
        <f>IFERROR(__xludf.DUMMYFUNCTION("""COMPUTED_VALUE"""),45174.0)</f>
        <v>45174</v>
      </c>
      <c r="Q579" s="45">
        <f>IFERROR(__xludf.DUMMYFUNCTION("""COMPUTED_VALUE"""),45145.0)</f>
        <v>45145</v>
      </c>
      <c r="R579" s="45">
        <f>IFERROR(__xludf.DUMMYFUNCTION("""COMPUTED_VALUE"""),45185.0)</f>
        <v>45185</v>
      </c>
      <c r="S579" s="43"/>
      <c r="T579" s="43"/>
      <c r="U579" s="43" t="str">
        <f>IFERROR(__xludf.DUMMYFUNCTION("""COMPUTED_VALUE"""),"Global Classroom")</f>
        <v>Global Classroom</v>
      </c>
      <c r="V579" s="43" t="str">
        <f>IFERROR(__xludf.DUMMYFUNCTION("""COMPUTED_VALUE"""),"Kharkiv")</f>
        <v>Kharkiv</v>
      </c>
      <c r="W579" s="43" t="str">
        <f>IFERROR(__xludf.DUMMYFUNCTION("""COMPUTED_VALUE"""),"2023-03-09T12:03:53Z")</f>
        <v>2023-03-09T12:03:53Z</v>
      </c>
      <c r="X579" s="43"/>
      <c r="Y579" s="43"/>
      <c r="Z579" s="43"/>
    </row>
    <row r="580" hidden="1">
      <c r="A580" s="43" t="str">
        <f>IFERROR(__xludf.DUMMYFUNCTION("""COMPUTED_VALUE"""),"5201616_1292535")</f>
        <v>5201616_1292535</v>
      </c>
      <c r="B580" s="43" t="str">
        <f>IFERROR(__xludf.DUMMYFUNCTION("""COMPUTED_VALUE"""),"Rafiga Alifova")</f>
        <v>Rafiga Alifova</v>
      </c>
      <c r="C580" s="43" t="str">
        <f>IFERROR(__xludf.DUMMYFUNCTION("""COMPUTED_VALUE"""),"completed")</f>
        <v>completed</v>
      </c>
      <c r="D580" s="43" t="str">
        <f>IFERROR(__xludf.DUMMYFUNCTION("""COMPUTED_VALUE"""),"No")</f>
        <v>No</v>
      </c>
      <c r="E580" s="43" t="str">
        <f>IFERROR(__xludf.DUMMYFUNCTION("""COMPUTED_VALUE"""),"p_e8c6b54563c2139df4db2857eeb8e85169101d4f@inbound.aiesec.org")</f>
        <v>p_e8c6b54563c2139df4db2857eeb8e85169101d4f@inbound.aiesec.org</v>
      </c>
      <c r="F580" s="43">
        <f>IFERROR(__xludf.DUMMYFUNCTION("""COMPUTED_VALUE"""),7.75043103E8)</f>
        <v>775043103</v>
      </c>
      <c r="G580" s="43" t="str">
        <f>IFERROR(__xludf.DUMMYFUNCTION("""COMPUTED_VALUE"""),"Azerbaijan")</f>
        <v>Azerbaijan</v>
      </c>
      <c r="H580" s="43" t="str">
        <f>IFERROR(__xludf.DUMMYFUNCTION("""COMPUTED_VALUE"""),"Baku ADA")</f>
        <v>Baku ADA</v>
      </c>
      <c r="I580" s="43" t="str">
        <f>IFERROR(__xludf.DUMMYFUNCTION("""COMPUTED_VALUE"""),"Turkey")</f>
        <v>Turkey</v>
      </c>
      <c r="J580" s="43" t="str">
        <f>IFERROR(__xludf.DUMMYFUNCTION("""COMPUTED_VALUE"""),"ESKISEHIR")</f>
        <v>ESKISEHIR</v>
      </c>
      <c r="K580" s="44" t="str">
        <f>IFERROR(__xludf.DUMMYFUNCTION("""COMPUTED_VALUE"""),"https://expa.aiesec.org/opportunities/1292535")</f>
        <v>https://expa.aiesec.org/opportunities/1292535</v>
      </c>
      <c r="L580" s="43" t="str">
        <f>IFERROR(__xludf.DUMMYFUNCTION("""COMPUTED_VALUE"""),"GV")</f>
        <v>GV</v>
      </c>
      <c r="M580" s="43" t="str">
        <f>IFERROR(__xludf.DUMMYFUNCTION("""COMPUTED_VALUE"""),"short")</f>
        <v>short</v>
      </c>
      <c r="N580" s="45">
        <f>IFERROR(__xludf.DUMMYFUNCTION("""COMPUTED_VALUE"""),45009.0)</f>
        <v>45009</v>
      </c>
      <c r="O580" s="45">
        <f>IFERROR(__xludf.DUMMYFUNCTION("""COMPUTED_VALUE"""),45117.0)</f>
        <v>45117</v>
      </c>
      <c r="P580" s="45">
        <f>IFERROR(__xludf.DUMMYFUNCTION("""COMPUTED_VALUE"""),45159.0)</f>
        <v>45159</v>
      </c>
      <c r="Q580" s="45">
        <f>IFERROR(__xludf.DUMMYFUNCTION("""COMPUTED_VALUE"""),45118.0)</f>
        <v>45118</v>
      </c>
      <c r="R580" s="45">
        <f>IFERROR(__xludf.DUMMYFUNCTION("""COMPUTED_VALUE"""),45159.0)</f>
        <v>45159</v>
      </c>
      <c r="S580" s="43"/>
      <c r="T580" s="43"/>
      <c r="U580" s="43" t="str">
        <f>IFERROR(__xludf.DUMMYFUNCTION("""COMPUTED_VALUE"""),"Global Classroom")</f>
        <v>Global Classroom</v>
      </c>
      <c r="V580" s="43" t="str">
        <f>IFERROR(__xludf.DUMMYFUNCTION("""COMPUTED_VALUE"""),"Academy of Public Administration")</f>
        <v>Academy of Public Administration</v>
      </c>
      <c r="W580" s="43" t="str">
        <f>IFERROR(__xludf.DUMMYFUNCTION("""COMPUTED_VALUE"""),"2023-02-28T18:12:42Z")</f>
        <v>2023-02-28T18:12:42Z</v>
      </c>
      <c r="X580" s="43"/>
      <c r="Y580" s="43"/>
      <c r="Z580" s="43"/>
    </row>
    <row r="581" hidden="1">
      <c r="A581" s="43" t="str">
        <f>IFERROR(__xludf.DUMMYFUNCTION("""COMPUTED_VALUE"""),"5038865_1288245")</f>
        <v>5038865_1288245</v>
      </c>
      <c r="B581" s="43" t="str">
        <f>IFERROR(__xludf.DUMMYFUNCTION("""COMPUTED_VALUE"""),"Ahsant Shahid")</f>
        <v>Ahsant Shahid</v>
      </c>
      <c r="C581" s="43" t="str">
        <f>IFERROR(__xludf.DUMMYFUNCTION("""COMPUTED_VALUE"""),"completed")</f>
        <v>completed</v>
      </c>
      <c r="D581" s="43" t="str">
        <f>IFERROR(__xludf.DUMMYFUNCTION("""COMPUTED_VALUE"""),"No")</f>
        <v>No</v>
      </c>
      <c r="E581" s="43" t="str">
        <f>IFERROR(__xludf.DUMMYFUNCTION("""COMPUTED_VALUE"""),"p_d705ef52c49acc43a1c822f36ee1631840d939f6@inbound.aiesec.org")</f>
        <v>p_d705ef52c49acc43a1c822f36ee1631840d939f6@inbound.aiesec.org</v>
      </c>
      <c r="F581" s="43">
        <f>IFERROR(__xludf.DUMMYFUNCTION("""COMPUTED_VALUE"""),3.339992814E9)</f>
        <v>3339992814</v>
      </c>
      <c r="G581" s="43" t="str">
        <f>IFERROR(__xludf.DUMMYFUNCTION("""COMPUTED_VALUE"""),"Pakistan")</f>
        <v>Pakistan</v>
      </c>
      <c r="H581" s="43" t="str">
        <f>IFERROR(__xludf.DUMMYFUNCTION("""COMPUTED_VALUE"""),"IBA")</f>
        <v>IBA</v>
      </c>
      <c r="I581" s="43" t="str">
        <f>IFERROR(__xludf.DUMMYFUNCTION("""COMPUTED_VALUE"""),"Turkey")</f>
        <v>Turkey</v>
      </c>
      <c r="J581" s="43" t="str">
        <f>IFERROR(__xludf.DUMMYFUNCTION("""COMPUTED_VALUE"""),"İZMİR")</f>
        <v>İZMİR</v>
      </c>
      <c r="K581" s="44" t="str">
        <f>IFERROR(__xludf.DUMMYFUNCTION("""COMPUTED_VALUE"""),"https://expa.aiesec.org/opportunities/1288245")</f>
        <v>https://expa.aiesec.org/opportunities/1288245</v>
      </c>
      <c r="L581" s="43" t="str">
        <f>IFERROR(__xludf.DUMMYFUNCTION("""COMPUTED_VALUE"""),"GV")</f>
        <v>GV</v>
      </c>
      <c r="M581" s="43" t="str">
        <f>IFERROR(__xludf.DUMMYFUNCTION("""COMPUTED_VALUE"""),"short")</f>
        <v>short</v>
      </c>
      <c r="N581" s="45">
        <f>IFERROR(__xludf.DUMMYFUNCTION("""COMPUTED_VALUE"""),45009.0)</f>
        <v>45009</v>
      </c>
      <c r="O581" s="45">
        <f>IFERROR(__xludf.DUMMYFUNCTION("""COMPUTED_VALUE"""),45088.0)</f>
        <v>45088</v>
      </c>
      <c r="P581" s="45">
        <f>IFERROR(__xludf.DUMMYFUNCTION("""COMPUTED_VALUE"""),45130.0)</f>
        <v>45130</v>
      </c>
      <c r="Q581" s="45">
        <f>IFERROR(__xludf.DUMMYFUNCTION("""COMPUTED_VALUE"""),45089.0)</f>
        <v>45089</v>
      </c>
      <c r="R581" s="45">
        <f>IFERROR(__xludf.DUMMYFUNCTION("""COMPUTED_VALUE"""),45131.0)</f>
        <v>45131</v>
      </c>
      <c r="S581" s="43"/>
      <c r="T581" s="43"/>
      <c r="U581" s="43" t="str">
        <f>IFERROR(__xludf.DUMMYFUNCTION("""COMPUTED_VALUE"""),"Global Classroom")</f>
        <v>Global Classroom</v>
      </c>
      <c r="V581" s="43" t="str">
        <f>IFERROR(__xludf.DUMMYFUNCTION("""COMPUTED_VALUE"""),"Karachi - IBA")</f>
        <v>Karachi - IBA</v>
      </c>
      <c r="W581" s="43" t="str">
        <f>IFERROR(__xludf.DUMMYFUNCTION("""COMPUTED_VALUE"""),"2022-04-14T07:54:48Z")</f>
        <v>2022-04-14T07:54:48Z</v>
      </c>
      <c r="X581" s="43"/>
      <c r="Y581" s="43"/>
      <c r="Z581" s="43"/>
    </row>
    <row r="582" hidden="1">
      <c r="A582" s="43" t="str">
        <f>IFERROR(__xludf.DUMMYFUNCTION("""COMPUTED_VALUE"""),"5225985_1293495")</f>
        <v>5225985_1293495</v>
      </c>
      <c r="B582" s="43" t="str">
        <f>IFERROR(__xludf.DUMMYFUNCTION("""COMPUTED_VALUE"""),"Nesrine Abida")</f>
        <v>Nesrine Abida</v>
      </c>
      <c r="C582" s="43" t="str">
        <f>IFERROR(__xludf.DUMMYFUNCTION("""COMPUTED_VALUE"""),"completed")</f>
        <v>completed</v>
      </c>
      <c r="D582" s="43" t="str">
        <f>IFERROR(__xludf.DUMMYFUNCTION("""COMPUTED_VALUE"""),"No")</f>
        <v>No</v>
      </c>
      <c r="E582" s="43" t="str">
        <f>IFERROR(__xludf.DUMMYFUNCTION("""COMPUTED_VALUE"""),"p_0c421eed9cfab9322c4826c4c9780c16f9ba3247@inbound.aiesec.org")</f>
        <v>p_0c421eed9cfab9322c4826c4c9780c16f9ba3247@inbound.aiesec.org</v>
      </c>
      <c r="F582" s="43">
        <f>IFERROR(__xludf.DUMMYFUNCTION("""COMPUTED_VALUE"""),5.4592727E7)</f>
        <v>54592727</v>
      </c>
      <c r="G582" s="43" t="str">
        <f>IFERROR(__xludf.DUMMYFUNCTION("""COMPUTED_VALUE"""),"Tunisia")</f>
        <v>Tunisia</v>
      </c>
      <c r="H582" s="43" t="str">
        <f>IFERROR(__xludf.DUMMYFUNCTION("""COMPUTED_VALUE"""),"THYNA")</f>
        <v>THYNA</v>
      </c>
      <c r="I582" s="43" t="str">
        <f>IFERROR(__xludf.DUMMYFUNCTION("""COMPUTED_VALUE"""),"Turkey")</f>
        <v>Turkey</v>
      </c>
      <c r="J582" s="43" t="str">
        <f>IFERROR(__xludf.DUMMYFUNCTION("""COMPUTED_VALUE"""),"BURSA")</f>
        <v>BURSA</v>
      </c>
      <c r="K582" s="44" t="str">
        <f>IFERROR(__xludf.DUMMYFUNCTION("""COMPUTED_VALUE"""),"https://expa.aiesec.org/opportunities/1293495")</f>
        <v>https://expa.aiesec.org/opportunities/1293495</v>
      </c>
      <c r="L582" s="43" t="str">
        <f>IFERROR(__xludf.DUMMYFUNCTION("""COMPUTED_VALUE"""),"GV")</f>
        <v>GV</v>
      </c>
      <c r="M582" s="43" t="str">
        <f>IFERROR(__xludf.DUMMYFUNCTION("""COMPUTED_VALUE"""),"short")</f>
        <v>short</v>
      </c>
      <c r="N582" s="45">
        <f>IFERROR(__xludf.DUMMYFUNCTION("""COMPUTED_VALUE"""),45010.0)</f>
        <v>45010</v>
      </c>
      <c r="O582" s="45">
        <f>IFERROR(__xludf.DUMMYFUNCTION("""COMPUTED_VALUE"""),45144.0)</f>
        <v>45144</v>
      </c>
      <c r="P582" s="45">
        <f>IFERROR(__xludf.DUMMYFUNCTION("""COMPUTED_VALUE"""),45186.0)</f>
        <v>45186</v>
      </c>
      <c r="Q582" s="45">
        <f>IFERROR(__xludf.DUMMYFUNCTION("""COMPUTED_VALUE"""),45150.0)</f>
        <v>45150</v>
      </c>
      <c r="R582" s="45">
        <f>IFERROR(__xludf.DUMMYFUNCTION("""COMPUTED_VALUE"""),45190.0)</f>
        <v>45190</v>
      </c>
      <c r="S582" s="43"/>
      <c r="T582" s="43"/>
      <c r="U582" s="43" t="str">
        <f>IFERROR(__xludf.DUMMYFUNCTION("""COMPUTED_VALUE"""),"Youth 4 Impact")</f>
        <v>Youth 4 Impact</v>
      </c>
      <c r="V582" s="43" t="str">
        <f>IFERROR(__xludf.DUMMYFUNCTION("""COMPUTED_VALUE"""),"ESC SFAX")</f>
        <v>ESC SFAX</v>
      </c>
      <c r="W582" s="43" t="str">
        <f>IFERROR(__xludf.DUMMYFUNCTION("""COMPUTED_VALUE"""),"2023-03-24T15:34:34Z")</f>
        <v>2023-03-24T15:34:34Z</v>
      </c>
      <c r="X582" s="43"/>
      <c r="Y582" s="43"/>
      <c r="Z582" s="43"/>
    </row>
    <row r="583" hidden="1">
      <c r="A583" s="43" t="str">
        <f>IFERROR(__xludf.DUMMYFUNCTION("""COMPUTED_VALUE"""),"5206179_1288721")</f>
        <v>5206179_1288721</v>
      </c>
      <c r="B583" s="43" t="str">
        <f>IFERROR(__xludf.DUMMYFUNCTION("""COMPUTED_VALUE"""),"Mehak Batra")</f>
        <v>Mehak Batra</v>
      </c>
      <c r="C583" s="43" t="str">
        <f>IFERROR(__xludf.DUMMYFUNCTION("""COMPUTED_VALUE"""),"completed")</f>
        <v>completed</v>
      </c>
      <c r="D583" s="43" t="str">
        <f>IFERROR(__xludf.DUMMYFUNCTION("""COMPUTED_VALUE"""),"No")</f>
        <v>No</v>
      </c>
      <c r="E583" s="43" t="str">
        <f>IFERROR(__xludf.DUMMYFUNCTION("""COMPUTED_VALUE"""),"p_7fdf9fa7c4c47261ddd1e9bfff9b6969bc5f51f0@inbound.aiesec.org")</f>
        <v>p_7fdf9fa7c4c47261ddd1e9bfff9b6969bc5f51f0@inbound.aiesec.org</v>
      </c>
      <c r="F583" s="43">
        <f>IFERROR(__xludf.DUMMYFUNCTION("""COMPUTED_VALUE"""),9.805147715E9)</f>
        <v>9805147715</v>
      </c>
      <c r="G583" s="43" t="str">
        <f>IFERROR(__xludf.DUMMYFUNCTION("""COMPUTED_VALUE"""),"India")</f>
        <v>India</v>
      </c>
      <c r="H583" s="43" t="str">
        <f>IFERROR(__xludf.DUMMYFUNCTION("""COMPUTED_VALUE"""),"M.A.H.E.")</f>
        <v>M.A.H.E.</v>
      </c>
      <c r="I583" s="43" t="str">
        <f>IFERROR(__xludf.DUMMYFUNCTION("""COMPUTED_VALUE"""),"Turkey")</f>
        <v>Turkey</v>
      </c>
      <c r="J583" s="43" t="str">
        <f>IFERROR(__xludf.DUMMYFUNCTION("""COMPUTED_VALUE"""),"KUTAHYA")</f>
        <v>KUTAHYA</v>
      </c>
      <c r="K583" s="44" t="str">
        <f>IFERROR(__xludf.DUMMYFUNCTION("""COMPUTED_VALUE"""),"https://expa.aiesec.org/opportunities/1288721")</f>
        <v>https://expa.aiesec.org/opportunities/1288721</v>
      </c>
      <c r="L583" s="43" t="str">
        <f>IFERROR(__xludf.DUMMYFUNCTION("""COMPUTED_VALUE"""),"GV")</f>
        <v>GV</v>
      </c>
      <c r="M583" s="43" t="str">
        <f>IFERROR(__xludf.DUMMYFUNCTION("""COMPUTED_VALUE"""),"short")</f>
        <v>short</v>
      </c>
      <c r="N583" s="45">
        <f>IFERROR(__xludf.DUMMYFUNCTION("""COMPUTED_VALUE"""),45010.0)</f>
        <v>45010</v>
      </c>
      <c r="O583" s="45">
        <f>IFERROR(__xludf.DUMMYFUNCTION("""COMPUTED_VALUE"""),45096.0)</f>
        <v>45096</v>
      </c>
      <c r="P583" s="45">
        <f>IFERROR(__xludf.DUMMYFUNCTION("""COMPUTED_VALUE"""),45138.0)</f>
        <v>45138</v>
      </c>
      <c r="Q583" s="45">
        <f>IFERROR(__xludf.DUMMYFUNCTION("""COMPUTED_VALUE"""),45093.0)</f>
        <v>45093</v>
      </c>
      <c r="R583" s="45">
        <f>IFERROR(__xludf.DUMMYFUNCTION("""COMPUTED_VALUE"""),45138.0)</f>
        <v>45138</v>
      </c>
      <c r="S583" s="43"/>
      <c r="T583" s="43"/>
      <c r="U583" s="43" t="str">
        <f>IFERROR(__xludf.DUMMYFUNCTION("""COMPUTED_VALUE"""),"On The Map")</f>
        <v>On The Map</v>
      </c>
      <c r="V583" s="43" t="str">
        <f>IFERROR(__xludf.DUMMYFUNCTION("""COMPUTED_VALUE"""),"Manipal Academy of Higher Education, Manipal")</f>
        <v>Manipal Academy of Higher Education, Manipal</v>
      </c>
      <c r="W583" s="43" t="str">
        <f>IFERROR(__xludf.DUMMYFUNCTION("""COMPUTED_VALUE"""),"2023-03-05T10:19:50Z")</f>
        <v>2023-03-05T10:19:50Z</v>
      </c>
      <c r="X583" s="43"/>
      <c r="Y583" s="43"/>
      <c r="Z583" s="43"/>
    </row>
    <row r="584" hidden="1">
      <c r="A584" s="43" t="str">
        <f>IFERROR(__xludf.DUMMYFUNCTION("""COMPUTED_VALUE"""),"5224767_1292793")</f>
        <v>5224767_1292793</v>
      </c>
      <c r="B584" s="43" t="str">
        <f>IFERROR(__xludf.DUMMYFUNCTION("""COMPUTED_VALUE"""),"meghna kabir sharma")</f>
        <v>meghna kabir sharma</v>
      </c>
      <c r="C584" s="43" t="str">
        <f>IFERROR(__xludf.DUMMYFUNCTION("""COMPUTED_VALUE"""),"finished")</f>
        <v>finished</v>
      </c>
      <c r="D584" s="43" t="str">
        <f>IFERROR(__xludf.DUMMYFUNCTION("""COMPUTED_VALUE"""),"No")</f>
        <v>No</v>
      </c>
      <c r="E584" s="43" t="str">
        <f>IFERROR(__xludf.DUMMYFUNCTION("""COMPUTED_VALUE"""),"p_4857b48518cf9fe53851b218e32bf8f3a89ff0bb@inbound.aiesec.org")</f>
        <v>p_4857b48518cf9fe53851b218e32bf8f3a89ff0bb@inbound.aiesec.org</v>
      </c>
      <c r="F584" s="43">
        <f>IFERROR(__xludf.DUMMYFUNCTION("""COMPUTED_VALUE"""),9.167609439E9)</f>
        <v>9167609439</v>
      </c>
      <c r="G584" s="43" t="str">
        <f>IFERROR(__xludf.DUMMYFUNCTION("""COMPUTED_VALUE"""),"India")</f>
        <v>India</v>
      </c>
      <c r="H584" s="43" t="str">
        <f>IFERROR(__xludf.DUMMYFUNCTION("""COMPUTED_VALUE"""),"Noida")</f>
        <v>Noida</v>
      </c>
      <c r="I584" s="43" t="str">
        <f>IFERROR(__xludf.DUMMYFUNCTION("""COMPUTED_VALUE"""),"Turkey")</f>
        <v>Turkey</v>
      </c>
      <c r="J584" s="43" t="str">
        <f>IFERROR(__xludf.DUMMYFUNCTION("""COMPUTED_VALUE"""),"ANTALYA")</f>
        <v>ANTALYA</v>
      </c>
      <c r="K584" s="44" t="str">
        <f>IFERROR(__xludf.DUMMYFUNCTION("""COMPUTED_VALUE"""),"https://expa.aiesec.org/opportunities/1292793")</f>
        <v>https://expa.aiesec.org/opportunities/1292793</v>
      </c>
      <c r="L584" s="43" t="str">
        <f>IFERROR(__xludf.DUMMYFUNCTION("""COMPUTED_VALUE"""),"GV")</f>
        <v>GV</v>
      </c>
      <c r="M584" s="43" t="str">
        <f>IFERROR(__xludf.DUMMYFUNCTION("""COMPUTED_VALUE"""),"short")</f>
        <v>short</v>
      </c>
      <c r="N584" s="45">
        <f>IFERROR(__xludf.DUMMYFUNCTION("""COMPUTED_VALUE"""),45010.0)</f>
        <v>45010</v>
      </c>
      <c r="O584" s="45">
        <f>IFERROR(__xludf.DUMMYFUNCTION("""COMPUTED_VALUE"""),45054.0)</f>
        <v>45054</v>
      </c>
      <c r="P584" s="45">
        <f>IFERROR(__xludf.DUMMYFUNCTION("""COMPUTED_VALUE"""),45096.0)</f>
        <v>45096</v>
      </c>
      <c r="Q584" s="45">
        <f>IFERROR(__xludf.DUMMYFUNCTION("""COMPUTED_VALUE"""),45053.0)</f>
        <v>45053</v>
      </c>
      <c r="R584" s="45">
        <f>IFERROR(__xludf.DUMMYFUNCTION("""COMPUTED_VALUE"""),45096.0)</f>
        <v>45096</v>
      </c>
      <c r="S584" s="43"/>
      <c r="T584" s="43"/>
      <c r="U584" s="43" t="str">
        <f>IFERROR(__xludf.DUMMYFUNCTION("""COMPUTED_VALUE"""),"Global Classroom")</f>
        <v>Global Classroom</v>
      </c>
      <c r="V584" s="43" t="str">
        <f>IFERROR(__xludf.DUMMYFUNCTION("""COMPUTED_VALUE"""),"Galgotias University, Noida")</f>
        <v>Galgotias University, Noida</v>
      </c>
      <c r="W584" s="43" t="str">
        <f>IFERROR(__xludf.DUMMYFUNCTION("""COMPUTED_VALUE"""),"2023-03-23T11:21:44Z")</f>
        <v>2023-03-23T11:21:44Z</v>
      </c>
      <c r="X584" s="43"/>
      <c r="Y584" s="43"/>
      <c r="Z584" s="43"/>
    </row>
    <row r="585" hidden="1">
      <c r="A585" s="43" t="str">
        <f>IFERROR(__xludf.DUMMYFUNCTION("""COMPUTED_VALUE"""),"5162336_1292793")</f>
        <v>5162336_1292793</v>
      </c>
      <c r="B585" s="43" t="str">
        <f>IFERROR(__xludf.DUMMYFUNCTION("""COMPUTED_VALUE"""),"Elmir Aliyev")</f>
        <v>Elmir Aliyev</v>
      </c>
      <c r="C585" s="43" t="str">
        <f>IFERROR(__xludf.DUMMYFUNCTION("""COMPUTED_VALUE"""),"completed")</f>
        <v>completed</v>
      </c>
      <c r="D585" s="43" t="str">
        <f>IFERROR(__xludf.DUMMYFUNCTION("""COMPUTED_VALUE"""),"No")</f>
        <v>No</v>
      </c>
      <c r="E585" s="43" t="str">
        <f>IFERROR(__xludf.DUMMYFUNCTION("""COMPUTED_VALUE"""),"p_029e95e0613447dfb24d8b7ca63eeed2ea091912@inbound.aiesec.org")</f>
        <v>p_029e95e0613447dfb24d8b7ca63eeed2ea091912@inbound.aiesec.org</v>
      </c>
      <c r="F585" s="43">
        <f>IFERROR(__xludf.DUMMYFUNCTION("""COMPUTED_VALUE"""),7.02304442E8)</f>
        <v>702304442</v>
      </c>
      <c r="G585" s="43" t="str">
        <f>IFERROR(__xludf.DUMMYFUNCTION("""COMPUTED_VALUE"""),"Azerbaijan")</f>
        <v>Azerbaijan</v>
      </c>
      <c r="H585" s="43" t="str">
        <f>IFERROR(__xludf.DUMMYFUNCTION("""COMPUTED_VALUE"""),"Baku Synergy")</f>
        <v>Baku Synergy</v>
      </c>
      <c r="I585" s="43" t="str">
        <f>IFERROR(__xludf.DUMMYFUNCTION("""COMPUTED_VALUE"""),"Turkey")</f>
        <v>Turkey</v>
      </c>
      <c r="J585" s="43" t="str">
        <f>IFERROR(__xludf.DUMMYFUNCTION("""COMPUTED_VALUE"""),"ANTALYA")</f>
        <v>ANTALYA</v>
      </c>
      <c r="K585" s="44" t="str">
        <f>IFERROR(__xludf.DUMMYFUNCTION("""COMPUTED_VALUE"""),"https://expa.aiesec.org/opportunities/1292793")</f>
        <v>https://expa.aiesec.org/opportunities/1292793</v>
      </c>
      <c r="L585" s="43" t="str">
        <f>IFERROR(__xludf.DUMMYFUNCTION("""COMPUTED_VALUE"""),"GV")</f>
        <v>GV</v>
      </c>
      <c r="M585" s="43" t="str">
        <f>IFERROR(__xludf.DUMMYFUNCTION("""COMPUTED_VALUE"""),"short")</f>
        <v>short</v>
      </c>
      <c r="N585" s="45">
        <f>IFERROR(__xludf.DUMMYFUNCTION("""COMPUTED_VALUE"""),45010.0)</f>
        <v>45010</v>
      </c>
      <c r="O585" s="45">
        <f>IFERROR(__xludf.DUMMYFUNCTION("""COMPUTED_VALUE"""),45124.0)</f>
        <v>45124</v>
      </c>
      <c r="P585" s="45">
        <f>IFERROR(__xludf.DUMMYFUNCTION("""COMPUTED_VALUE"""),45166.0)</f>
        <v>45166</v>
      </c>
      <c r="Q585" s="45">
        <f>IFERROR(__xludf.DUMMYFUNCTION("""COMPUTED_VALUE"""),45124.0)</f>
        <v>45124</v>
      </c>
      <c r="R585" s="45">
        <f>IFERROR(__xludf.DUMMYFUNCTION("""COMPUTED_VALUE"""),45166.0)</f>
        <v>45166</v>
      </c>
      <c r="S585" s="43"/>
      <c r="T585" s="43"/>
      <c r="U585" s="43" t="str">
        <f>IFERROR(__xludf.DUMMYFUNCTION("""COMPUTED_VALUE"""),"Global Classroom")</f>
        <v>Global Classroom</v>
      </c>
      <c r="V585" s="43" t="str">
        <f>IFERROR(__xludf.DUMMYFUNCTION("""COMPUTED_VALUE"""),"Azerbaijan State University of Economics")</f>
        <v>Azerbaijan State University of Economics</v>
      </c>
      <c r="W585" s="43" t="str">
        <f>IFERROR(__xludf.DUMMYFUNCTION("""COMPUTED_VALUE"""),"2022-12-03T20:54:34Z")</f>
        <v>2022-12-03T20:54:34Z</v>
      </c>
      <c r="X585" s="43"/>
      <c r="Y585" s="43"/>
      <c r="Z585" s="43"/>
    </row>
    <row r="586" hidden="1">
      <c r="A586" s="43" t="str">
        <f>IFERROR(__xludf.DUMMYFUNCTION("""COMPUTED_VALUE"""),"5152025_1292793")</f>
        <v>5152025_1292793</v>
      </c>
      <c r="B586" s="43" t="str">
        <f>IFERROR(__xludf.DUMMYFUNCTION("""COMPUTED_VALUE"""),"Alexandra-Maria Sima")</f>
        <v>Alexandra-Maria Sima</v>
      </c>
      <c r="C586" s="43" t="str">
        <f>IFERROR(__xludf.DUMMYFUNCTION("""COMPUTED_VALUE"""),"completed")</f>
        <v>completed</v>
      </c>
      <c r="D586" s="43" t="str">
        <f>IFERROR(__xludf.DUMMYFUNCTION("""COMPUTED_VALUE"""),"No")</f>
        <v>No</v>
      </c>
      <c r="E586" s="43" t="str">
        <f>IFERROR(__xludf.DUMMYFUNCTION("""COMPUTED_VALUE"""),"p_ec66f367d1bb78b8c62b00a46feaf5e673dce26b@inbound.aiesec.org")</f>
        <v>p_ec66f367d1bb78b8c62b00a46feaf5e673dce26b@inbound.aiesec.org</v>
      </c>
      <c r="F586" s="43"/>
      <c r="G586" s="43" t="str">
        <f>IFERROR(__xludf.DUMMYFUNCTION("""COMPUTED_VALUE"""),"Romania")</f>
        <v>Romania</v>
      </c>
      <c r="H586" s="43" t="str">
        <f>IFERROR(__xludf.DUMMYFUNCTION("""COMPUTED_VALUE"""),"University of Bucharest")</f>
        <v>University of Bucharest</v>
      </c>
      <c r="I586" s="43" t="str">
        <f>IFERROR(__xludf.DUMMYFUNCTION("""COMPUTED_VALUE"""),"Turkey")</f>
        <v>Turkey</v>
      </c>
      <c r="J586" s="43" t="str">
        <f>IFERROR(__xludf.DUMMYFUNCTION("""COMPUTED_VALUE"""),"ANTALYA")</f>
        <v>ANTALYA</v>
      </c>
      <c r="K586" s="44" t="str">
        <f>IFERROR(__xludf.DUMMYFUNCTION("""COMPUTED_VALUE"""),"https://expa.aiesec.org/opportunities/1292793")</f>
        <v>https://expa.aiesec.org/opportunities/1292793</v>
      </c>
      <c r="L586" s="43" t="str">
        <f>IFERROR(__xludf.DUMMYFUNCTION("""COMPUTED_VALUE"""),"GV")</f>
        <v>GV</v>
      </c>
      <c r="M586" s="43" t="str">
        <f>IFERROR(__xludf.DUMMYFUNCTION("""COMPUTED_VALUE"""),"short")</f>
        <v>short</v>
      </c>
      <c r="N586" s="45">
        <f>IFERROR(__xludf.DUMMYFUNCTION("""COMPUTED_VALUE"""),45010.0)</f>
        <v>45010</v>
      </c>
      <c r="O586" s="45">
        <f>IFERROR(__xludf.DUMMYFUNCTION("""COMPUTED_VALUE"""),45124.0)</f>
        <v>45124</v>
      </c>
      <c r="P586" s="45">
        <f>IFERROR(__xludf.DUMMYFUNCTION("""COMPUTED_VALUE"""),45166.0)</f>
        <v>45166</v>
      </c>
      <c r="Q586" s="45">
        <f>IFERROR(__xludf.DUMMYFUNCTION("""COMPUTED_VALUE"""),45124.0)</f>
        <v>45124</v>
      </c>
      <c r="R586" s="45">
        <f>IFERROR(__xludf.DUMMYFUNCTION("""COMPUTED_VALUE"""),45166.0)</f>
        <v>45166</v>
      </c>
      <c r="S586" s="43"/>
      <c r="T586" s="43"/>
      <c r="U586" s="43" t="str">
        <f>IFERROR(__xludf.DUMMYFUNCTION("""COMPUTED_VALUE"""),"Global Classroom")</f>
        <v>Global Classroom</v>
      </c>
      <c r="V586" s="43" t="str">
        <f>IFERROR(__xludf.DUMMYFUNCTION("""COMPUTED_VALUE"""),"Bucuresti - Universitatea din Bucuresti")</f>
        <v>Bucuresti - Universitatea din Bucuresti</v>
      </c>
      <c r="W586" s="43" t="str">
        <f>IFERROR(__xludf.DUMMYFUNCTION("""COMPUTED_VALUE"""),"2022-11-13T11:45:05Z")</f>
        <v>2022-11-13T11:45:05Z</v>
      </c>
      <c r="X586" s="43"/>
      <c r="Y586" s="43"/>
      <c r="Z586" s="43"/>
    </row>
    <row r="587" hidden="1">
      <c r="A587" s="43" t="str">
        <f>IFERROR(__xludf.DUMMYFUNCTION("""COMPUTED_VALUE"""),"5226617_1287101")</f>
        <v>5226617_1287101</v>
      </c>
      <c r="B587" s="43" t="str">
        <f>IFERROR(__xludf.DUMMYFUNCTION("""COMPUTED_VALUE"""),"deleted 5226617")</f>
        <v>deleted 5226617</v>
      </c>
      <c r="C587" s="43" t="str">
        <f>IFERROR(__xludf.DUMMYFUNCTION("""COMPUTED_VALUE"""),"approved")</f>
        <v>approved</v>
      </c>
      <c r="D587" s="43" t="str">
        <f>IFERROR(__xludf.DUMMYFUNCTION("""COMPUTED_VALUE"""),"No")</f>
        <v>No</v>
      </c>
      <c r="E587" s="43" t="str">
        <f>IFERROR(__xludf.DUMMYFUNCTION("""COMPUTED_VALUE"""),"p_74651939ae78a196e4acc757a5031840ed11f01b@inbound.aiesec.org")</f>
        <v>p_74651939ae78a196e4acc757a5031840ed11f01b@inbound.aiesec.org</v>
      </c>
      <c r="F587" s="43"/>
      <c r="G587" s="43" t="str">
        <f>IFERROR(__xludf.DUMMYFUNCTION("""COMPUTED_VALUE"""),"Tunisia")</f>
        <v>Tunisia</v>
      </c>
      <c r="H587" s="43" t="str">
        <f>IFERROR(__xludf.DUMMYFUNCTION("""COMPUTED_VALUE"""),"UNIVERSITY")</f>
        <v>UNIVERSITY</v>
      </c>
      <c r="I587" s="43" t="str">
        <f>IFERROR(__xludf.DUMMYFUNCTION("""COMPUTED_VALUE"""),"Turkey")</f>
        <v>Turkey</v>
      </c>
      <c r="J587" s="43" t="str">
        <f>IFERROR(__xludf.DUMMYFUNCTION("""COMPUTED_VALUE"""),"İZMİR")</f>
        <v>İZMİR</v>
      </c>
      <c r="K587" s="44" t="str">
        <f>IFERROR(__xludf.DUMMYFUNCTION("""COMPUTED_VALUE"""),"https://expa.aiesec.org/opportunities/1287101")</f>
        <v>https://expa.aiesec.org/opportunities/1287101</v>
      </c>
      <c r="L587" s="43" t="str">
        <f>IFERROR(__xludf.DUMMYFUNCTION("""COMPUTED_VALUE"""),"GV")</f>
        <v>GV</v>
      </c>
      <c r="M587" s="43" t="str">
        <f>IFERROR(__xludf.DUMMYFUNCTION("""COMPUTED_VALUE"""),"short")</f>
        <v>short</v>
      </c>
      <c r="N587" s="45">
        <f>IFERROR(__xludf.DUMMYFUNCTION("""COMPUTED_VALUE"""),45011.0)</f>
        <v>45011</v>
      </c>
      <c r="O587" s="45">
        <f>IFERROR(__xludf.DUMMYFUNCTION("""COMPUTED_VALUE"""),45172.0)</f>
        <v>45172</v>
      </c>
      <c r="P587" s="45">
        <f>IFERROR(__xludf.DUMMYFUNCTION("""COMPUTED_VALUE"""),45214.0)</f>
        <v>45214</v>
      </c>
      <c r="Q587" s="45"/>
      <c r="R587" s="45"/>
      <c r="S587" s="43"/>
      <c r="T587" s="43"/>
      <c r="U587" s="43" t="str">
        <f>IFERROR(__xludf.DUMMYFUNCTION("""COMPUTED_VALUE"""),"Global Classroom")</f>
        <v>Global Classroom</v>
      </c>
      <c r="V587" s="43" t="str">
        <f>IFERROR(__xludf.DUMMYFUNCTION("""COMPUTED_VALUE"""),"Institut supérieur des sciences biologiques appliquées de Tunis ISSBAT")</f>
        <v>Institut supérieur des sciences biologiques appliquées de Tunis ISSBAT</v>
      </c>
      <c r="W587" s="43" t="str">
        <f>IFERROR(__xludf.DUMMYFUNCTION("""COMPUTED_VALUE"""),"2023-03-25T12:05:18Z")</f>
        <v>2023-03-25T12:05:18Z</v>
      </c>
      <c r="X587" s="43"/>
      <c r="Y587" s="43"/>
      <c r="Z587" s="43"/>
    </row>
    <row r="588" hidden="1">
      <c r="A588" s="43" t="str">
        <f>IFERROR(__xludf.DUMMYFUNCTION("""COMPUTED_VALUE"""),"5224720_1288721")</f>
        <v>5224720_1288721</v>
      </c>
      <c r="B588" s="43" t="str">
        <f>IFERROR(__xludf.DUMMYFUNCTION("""COMPUTED_VALUE"""),"Sejal Patil")</f>
        <v>Sejal Patil</v>
      </c>
      <c r="C588" s="43" t="str">
        <f>IFERROR(__xludf.DUMMYFUNCTION("""COMPUTED_VALUE"""),"completed")</f>
        <v>completed</v>
      </c>
      <c r="D588" s="43" t="str">
        <f>IFERROR(__xludf.DUMMYFUNCTION("""COMPUTED_VALUE"""),"No")</f>
        <v>No</v>
      </c>
      <c r="E588" s="43" t="str">
        <f>IFERROR(__xludf.DUMMYFUNCTION("""COMPUTED_VALUE"""),"p_f49cf7ba7387ba1a44c5ecd8fb962c701a7f474e@inbound.aiesec.org")</f>
        <v>p_f49cf7ba7387ba1a44c5ecd8fb962c701a7f474e@inbound.aiesec.org</v>
      </c>
      <c r="F588" s="43">
        <f>IFERROR(__xludf.DUMMYFUNCTION("""COMPUTED_VALUE"""),9.579906106E9)</f>
        <v>9579906106</v>
      </c>
      <c r="G588" s="43" t="str">
        <f>IFERROR(__xludf.DUMMYFUNCTION("""COMPUTED_VALUE"""),"India")</f>
        <v>India</v>
      </c>
      <c r="H588" s="43" t="str">
        <f>IFERROR(__xludf.DUMMYFUNCTION("""COMPUTED_VALUE"""),"M.A.H.E.")</f>
        <v>M.A.H.E.</v>
      </c>
      <c r="I588" s="43" t="str">
        <f>IFERROR(__xludf.DUMMYFUNCTION("""COMPUTED_VALUE"""),"Turkey")</f>
        <v>Turkey</v>
      </c>
      <c r="J588" s="43" t="str">
        <f>IFERROR(__xludf.DUMMYFUNCTION("""COMPUTED_VALUE"""),"KUTAHYA")</f>
        <v>KUTAHYA</v>
      </c>
      <c r="K588" s="44" t="str">
        <f>IFERROR(__xludf.DUMMYFUNCTION("""COMPUTED_VALUE"""),"https://expa.aiesec.org/opportunities/1288721")</f>
        <v>https://expa.aiesec.org/opportunities/1288721</v>
      </c>
      <c r="L588" s="43" t="str">
        <f>IFERROR(__xludf.DUMMYFUNCTION("""COMPUTED_VALUE"""),"GV")</f>
        <v>GV</v>
      </c>
      <c r="M588" s="43" t="str">
        <f>IFERROR(__xludf.DUMMYFUNCTION("""COMPUTED_VALUE"""),"short")</f>
        <v>short</v>
      </c>
      <c r="N588" s="45">
        <f>IFERROR(__xludf.DUMMYFUNCTION("""COMPUTED_VALUE"""),45011.0)</f>
        <v>45011</v>
      </c>
      <c r="O588" s="45">
        <f>IFERROR(__xludf.DUMMYFUNCTION("""COMPUTED_VALUE"""),45096.0)</f>
        <v>45096</v>
      </c>
      <c r="P588" s="45">
        <f>IFERROR(__xludf.DUMMYFUNCTION("""COMPUTED_VALUE"""),45138.0)</f>
        <v>45138</v>
      </c>
      <c r="Q588" s="45">
        <f>IFERROR(__xludf.DUMMYFUNCTION("""COMPUTED_VALUE"""),45093.0)</f>
        <v>45093</v>
      </c>
      <c r="R588" s="45">
        <f>IFERROR(__xludf.DUMMYFUNCTION("""COMPUTED_VALUE"""),45138.0)</f>
        <v>45138</v>
      </c>
      <c r="S588" s="43"/>
      <c r="T588" s="43"/>
      <c r="U588" s="43" t="str">
        <f>IFERROR(__xludf.DUMMYFUNCTION("""COMPUTED_VALUE"""),"On The Map")</f>
        <v>On The Map</v>
      </c>
      <c r="V588" s="43" t="str">
        <f>IFERROR(__xludf.DUMMYFUNCTION("""COMPUTED_VALUE"""),"Manipal Centre for European Studies, Manipal")</f>
        <v>Manipal Centre for European Studies, Manipal</v>
      </c>
      <c r="W588" s="43" t="str">
        <f>IFERROR(__xludf.DUMMYFUNCTION("""COMPUTED_VALUE"""),"2023-03-23T10:21:13Z")</f>
        <v>2023-03-23T10:21:13Z</v>
      </c>
      <c r="X588" s="43"/>
      <c r="Y588" s="43"/>
      <c r="Z588" s="43"/>
    </row>
    <row r="589" hidden="1">
      <c r="A589" s="43" t="str">
        <f>IFERROR(__xludf.DUMMYFUNCTION("""COMPUTED_VALUE"""),"3901570_1287662")</f>
        <v>3901570_1287662</v>
      </c>
      <c r="B589" s="43" t="str">
        <f>IFERROR(__xludf.DUMMYFUNCTION("""COMPUTED_VALUE"""),"Abdullah Amin Chotani")</f>
        <v>Abdullah Amin Chotani</v>
      </c>
      <c r="C589" s="43" t="str">
        <f>IFERROR(__xludf.DUMMYFUNCTION("""COMPUTED_VALUE"""),"realization_broken")</f>
        <v>realization_broken</v>
      </c>
      <c r="D589" s="43" t="str">
        <f>IFERROR(__xludf.DUMMYFUNCTION("""COMPUTED_VALUE"""),"No")</f>
        <v>No</v>
      </c>
      <c r="E589" s="43" t="str">
        <f>IFERROR(__xludf.DUMMYFUNCTION("""COMPUTED_VALUE"""),"p_0a0f7fd96c7c5ad0f6ed542c5393b744d9e35dc9@inbound.aiesec.org")</f>
        <v>p_0a0f7fd96c7c5ad0f6ed542c5393b744d9e35dc9@inbound.aiesec.org</v>
      </c>
      <c r="F589" s="43"/>
      <c r="G589" s="43" t="str">
        <f>IFERROR(__xludf.DUMMYFUNCTION("""COMPUTED_VALUE"""),"Pakistan")</f>
        <v>Pakistan</v>
      </c>
      <c r="H589" s="43" t="str">
        <f>IFERROR(__xludf.DUMMYFUNCTION("""COMPUTED_VALUE"""),"IBA")</f>
        <v>IBA</v>
      </c>
      <c r="I589" s="43" t="str">
        <f>IFERROR(__xludf.DUMMYFUNCTION("""COMPUTED_VALUE"""),"Turkey")</f>
        <v>Turkey</v>
      </c>
      <c r="J589" s="43" t="str">
        <f>IFERROR(__xludf.DUMMYFUNCTION("""COMPUTED_VALUE"""),"İZMİR")</f>
        <v>İZMİR</v>
      </c>
      <c r="K589" s="44" t="str">
        <f>IFERROR(__xludf.DUMMYFUNCTION("""COMPUTED_VALUE"""),"https://expa.aiesec.org/opportunities/1287662")</f>
        <v>https://expa.aiesec.org/opportunities/1287662</v>
      </c>
      <c r="L589" s="43" t="str">
        <f>IFERROR(__xludf.DUMMYFUNCTION("""COMPUTED_VALUE"""),"GV")</f>
        <v>GV</v>
      </c>
      <c r="M589" s="43" t="str">
        <f>IFERROR(__xludf.DUMMYFUNCTION("""COMPUTED_VALUE"""),"short")</f>
        <v>short</v>
      </c>
      <c r="N589" s="45">
        <f>IFERROR(__xludf.DUMMYFUNCTION("""COMPUTED_VALUE"""),45011.0)</f>
        <v>45011</v>
      </c>
      <c r="O589" s="45">
        <f>IFERROR(__xludf.DUMMYFUNCTION("""COMPUTED_VALUE"""),45096.0)</f>
        <v>45096</v>
      </c>
      <c r="P589" s="45">
        <f>IFERROR(__xludf.DUMMYFUNCTION("""COMPUTED_VALUE"""),45138.0)</f>
        <v>45138</v>
      </c>
      <c r="Q589" s="45"/>
      <c r="R589" s="45"/>
      <c r="S589" s="43"/>
      <c r="T589" s="43"/>
      <c r="U589" s="43" t="str">
        <f>IFERROR(__xludf.DUMMYFUNCTION("""COMPUTED_VALUE"""),"Heartbeat")</f>
        <v>Heartbeat</v>
      </c>
      <c r="V589" s="43" t="str">
        <f>IFERROR(__xludf.DUMMYFUNCTION("""COMPUTED_VALUE"""),"Karachi - IBA")</f>
        <v>Karachi - IBA</v>
      </c>
      <c r="W589" s="43" t="str">
        <f>IFERROR(__xludf.DUMMYFUNCTION("""COMPUTED_VALUE"""),"2019-10-17T10:20:33Z")</f>
        <v>2019-10-17T10:20:33Z</v>
      </c>
      <c r="X589" s="43"/>
      <c r="Y589" s="43"/>
      <c r="Z589" s="43"/>
    </row>
    <row r="590" hidden="1">
      <c r="A590" s="43" t="str">
        <f>IFERROR(__xludf.DUMMYFUNCTION("""COMPUTED_VALUE"""),"5202499_1289536")</f>
        <v>5202499_1289536</v>
      </c>
      <c r="B590" s="43" t="str">
        <f>IFERROR(__xludf.DUMMYFUNCTION("""COMPUTED_VALUE"""),"Anastasiya Levchenko")</f>
        <v>Anastasiya Levchenko</v>
      </c>
      <c r="C590" s="43" t="str">
        <f>IFERROR(__xludf.DUMMYFUNCTION("""COMPUTED_VALUE"""),"completed")</f>
        <v>completed</v>
      </c>
      <c r="D590" s="43" t="str">
        <f>IFERROR(__xludf.DUMMYFUNCTION("""COMPUTED_VALUE"""),"No")</f>
        <v>No</v>
      </c>
      <c r="E590" s="43" t="str">
        <f>IFERROR(__xludf.DUMMYFUNCTION("""COMPUTED_VALUE"""),"p_c4b592b00bda13e37f9c009fc35768b5a28ac190@inbound.aiesec.org")</f>
        <v>p_c4b592b00bda13e37f9c009fc35768b5a28ac190@inbound.aiesec.org</v>
      </c>
      <c r="F590" s="43"/>
      <c r="G590" s="43" t="str">
        <f>IFERROR(__xludf.DUMMYFUNCTION("""COMPUTED_VALUE"""),"Ukraine")</f>
        <v>Ukraine</v>
      </c>
      <c r="H590" s="43" t="str">
        <f>IFERROR(__xludf.DUMMYFUNCTION("""COMPUTED_VALUE"""),"KHARKIV")</f>
        <v>KHARKIV</v>
      </c>
      <c r="I590" s="43" t="str">
        <f>IFERROR(__xludf.DUMMYFUNCTION("""COMPUTED_VALUE"""),"Turkey")</f>
        <v>Turkey</v>
      </c>
      <c r="J590" s="43" t="str">
        <f>IFERROR(__xludf.DUMMYFUNCTION("""COMPUTED_VALUE"""),"ISTANBUL")</f>
        <v>ISTANBUL</v>
      </c>
      <c r="K590" s="44" t="str">
        <f>IFERROR(__xludf.DUMMYFUNCTION("""COMPUTED_VALUE"""),"https://expa.aiesec.org/opportunities/1289536")</f>
        <v>https://expa.aiesec.org/opportunities/1289536</v>
      </c>
      <c r="L590" s="43" t="str">
        <f>IFERROR(__xludf.DUMMYFUNCTION("""COMPUTED_VALUE"""),"GV")</f>
        <v>GV</v>
      </c>
      <c r="M590" s="43" t="str">
        <f>IFERROR(__xludf.DUMMYFUNCTION("""COMPUTED_VALUE"""),"short")</f>
        <v>short</v>
      </c>
      <c r="N590" s="45">
        <f>IFERROR(__xludf.DUMMYFUNCTION("""COMPUTED_VALUE"""),45011.0)</f>
        <v>45011</v>
      </c>
      <c r="O590" s="45">
        <f>IFERROR(__xludf.DUMMYFUNCTION("""COMPUTED_VALUE"""),45139.0)</f>
        <v>45139</v>
      </c>
      <c r="P590" s="45">
        <f>IFERROR(__xludf.DUMMYFUNCTION("""COMPUTED_VALUE"""),45181.0)</f>
        <v>45181</v>
      </c>
      <c r="Q590" s="45">
        <f>IFERROR(__xludf.DUMMYFUNCTION("""COMPUTED_VALUE"""),45144.0)</f>
        <v>45144</v>
      </c>
      <c r="R590" s="45">
        <f>IFERROR(__xludf.DUMMYFUNCTION("""COMPUTED_VALUE"""),45184.0)</f>
        <v>45184</v>
      </c>
      <c r="S590" s="43"/>
      <c r="T590" s="43"/>
      <c r="U590" s="43" t="str">
        <f>IFERROR(__xludf.DUMMYFUNCTION("""COMPUTED_VALUE"""),"Global Classroom")</f>
        <v>Global Classroom</v>
      </c>
      <c r="V590" s="43" t="str">
        <f>IFERROR(__xludf.DUMMYFUNCTION("""COMPUTED_VALUE"""),"Kharkiv")</f>
        <v>Kharkiv</v>
      </c>
      <c r="W590" s="43" t="str">
        <f>IFERROR(__xludf.DUMMYFUNCTION("""COMPUTED_VALUE"""),"2023-03-01T13:31:00Z")</f>
        <v>2023-03-01T13:31:00Z</v>
      </c>
      <c r="X590" s="43"/>
      <c r="Y590" s="43"/>
      <c r="Z590" s="43"/>
    </row>
    <row r="591" hidden="1">
      <c r="A591" s="43" t="str">
        <f>IFERROR(__xludf.DUMMYFUNCTION("""COMPUTED_VALUE"""),"5213986_1286920")</f>
        <v>5213986_1286920</v>
      </c>
      <c r="B591" s="43" t="str">
        <f>IFERROR(__xludf.DUMMYFUNCTION("""COMPUTED_VALUE"""),"Shehryar Hassan")</f>
        <v>Shehryar Hassan</v>
      </c>
      <c r="C591" s="43" t="str">
        <f>IFERROR(__xludf.DUMMYFUNCTION("""COMPUTED_VALUE"""),"finished")</f>
        <v>finished</v>
      </c>
      <c r="D591" s="43" t="str">
        <f>IFERROR(__xludf.DUMMYFUNCTION("""COMPUTED_VALUE"""),"No")</f>
        <v>No</v>
      </c>
      <c r="E591" s="43" t="str">
        <f>IFERROR(__xludf.DUMMYFUNCTION("""COMPUTED_VALUE"""),"p_8eba6fd493b250749d4a794e07752d4c82c925dd@inbound.aiesec.org")</f>
        <v>p_8eba6fd493b250749d4a794e07752d4c82c925dd@inbound.aiesec.org</v>
      </c>
      <c r="F591" s="43"/>
      <c r="G591" s="43" t="str">
        <f>IFERROR(__xludf.DUMMYFUNCTION("""COMPUTED_VALUE"""),"Pakistan")</f>
        <v>Pakistan</v>
      </c>
      <c r="H591" s="43" t="str">
        <f>IFERROR(__xludf.DUMMYFUNCTION("""COMPUTED_VALUE"""),"IBA")</f>
        <v>IBA</v>
      </c>
      <c r="I591" s="43" t="str">
        <f>IFERROR(__xludf.DUMMYFUNCTION("""COMPUTED_VALUE"""),"Turkey")</f>
        <v>Turkey</v>
      </c>
      <c r="J591" s="43" t="str">
        <f>IFERROR(__xludf.DUMMYFUNCTION("""COMPUTED_VALUE"""),"DENIZLI")</f>
        <v>DENIZLI</v>
      </c>
      <c r="K591" s="44" t="str">
        <f>IFERROR(__xludf.DUMMYFUNCTION("""COMPUTED_VALUE"""),"https://expa.aiesec.org/opportunities/1286920")</f>
        <v>https://expa.aiesec.org/opportunities/1286920</v>
      </c>
      <c r="L591" s="43" t="str">
        <f>IFERROR(__xludf.DUMMYFUNCTION("""COMPUTED_VALUE"""),"GV")</f>
        <v>GV</v>
      </c>
      <c r="M591" s="43" t="str">
        <f>IFERROR(__xludf.DUMMYFUNCTION("""COMPUTED_VALUE"""),"short")</f>
        <v>short</v>
      </c>
      <c r="N591" s="45">
        <f>IFERROR(__xludf.DUMMYFUNCTION("""COMPUTED_VALUE"""),45011.0)</f>
        <v>45011</v>
      </c>
      <c r="O591" s="45">
        <f>IFERROR(__xludf.DUMMYFUNCTION("""COMPUTED_VALUE"""),45075.0)</f>
        <v>45075</v>
      </c>
      <c r="P591" s="45">
        <f>IFERROR(__xludf.DUMMYFUNCTION("""COMPUTED_VALUE"""),45117.0)</f>
        <v>45117</v>
      </c>
      <c r="Q591" s="45">
        <f>IFERROR(__xludf.DUMMYFUNCTION("""COMPUTED_VALUE"""),45074.0)</f>
        <v>45074</v>
      </c>
      <c r="R591" s="45">
        <f>IFERROR(__xludf.DUMMYFUNCTION("""COMPUTED_VALUE"""),45117.0)</f>
        <v>45117</v>
      </c>
      <c r="S591" s="43"/>
      <c r="T591" s="43"/>
      <c r="U591" s="43" t="str">
        <f>IFERROR(__xludf.DUMMYFUNCTION("""COMPUTED_VALUE"""),"Global Classroom")</f>
        <v>Global Classroom</v>
      </c>
      <c r="V591" s="43" t="str">
        <f>IFERROR(__xludf.DUMMYFUNCTION("""COMPUTED_VALUE"""),"-")</f>
        <v>-</v>
      </c>
      <c r="W591" s="43" t="str">
        <f>IFERROR(__xludf.DUMMYFUNCTION("""COMPUTED_VALUE"""),"2023-03-12T17:10:55Z")</f>
        <v>2023-03-12T17:10:55Z</v>
      </c>
      <c r="X591" s="43"/>
      <c r="Y591" s="43"/>
      <c r="Z591" s="43"/>
    </row>
    <row r="592" hidden="1">
      <c r="A592" s="43" t="str">
        <f>IFERROR(__xludf.DUMMYFUNCTION("""COMPUTED_VALUE"""),"5227326_1289536")</f>
        <v>5227326_1289536</v>
      </c>
      <c r="B592" s="43" t="str">
        <f>IFERROR(__xludf.DUMMYFUNCTION("""COMPUTED_VALUE"""),"imane aboukir")</f>
        <v>imane aboukir</v>
      </c>
      <c r="C592" s="43" t="str">
        <f>IFERROR(__xludf.DUMMYFUNCTION("""COMPUTED_VALUE"""),"finished")</f>
        <v>finished</v>
      </c>
      <c r="D592" s="43" t="str">
        <f>IFERROR(__xludf.DUMMYFUNCTION("""COMPUTED_VALUE"""),"No")</f>
        <v>No</v>
      </c>
      <c r="E592" s="43" t="str">
        <f>IFERROR(__xludf.DUMMYFUNCTION("""COMPUTED_VALUE"""),"p_caf3f2bd378b1ea59eec279c440f1c892144e9de@inbound.aiesec.org")</f>
        <v>p_caf3f2bd378b1ea59eec279c440f1c892144e9de@inbound.aiesec.org</v>
      </c>
      <c r="F592" s="43">
        <f>IFERROR(__xludf.DUMMYFUNCTION("""COMPUTED_VALUE"""),6.96153986E8)</f>
        <v>696153986</v>
      </c>
      <c r="G592" s="43" t="str">
        <f>IFERROR(__xludf.DUMMYFUNCTION("""COMPUTED_VALUE"""),"Morocco")</f>
        <v>Morocco</v>
      </c>
      <c r="H592" s="43" t="str">
        <f>IFERROR(__xludf.DUMMYFUNCTION("""COMPUTED_VALUE"""),"Kenitra")</f>
        <v>Kenitra</v>
      </c>
      <c r="I592" s="43" t="str">
        <f>IFERROR(__xludf.DUMMYFUNCTION("""COMPUTED_VALUE"""),"Turkey")</f>
        <v>Turkey</v>
      </c>
      <c r="J592" s="43" t="str">
        <f>IFERROR(__xludf.DUMMYFUNCTION("""COMPUTED_VALUE"""),"ISTANBUL")</f>
        <v>ISTANBUL</v>
      </c>
      <c r="K592" s="44" t="str">
        <f>IFERROR(__xludf.DUMMYFUNCTION("""COMPUTED_VALUE"""),"https://expa.aiesec.org/opportunities/1289536")</f>
        <v>https://expa.aiesec.org/opportunities/1289536</v>
      </c>
      <c r="L592" s="43" t="str">
        <f>IFERROR(__xludf.DUMMYFUNCTION("""COMPUTED_VALUE"""),"GV")</f>
        <v>GV</v>
      </c>
      <c r="M592" s="43" t="str">
        <f>IFERROR(__xludf.DUMMYFUNCTION("""COMPUTED_VALUE"""),"short")</f>
        <v>short</v>
      </c>
      <c r="N592" s="45">
        <f>IFERROR(__xludf.DUMMYFUNCTION("""COMPUTED_VALUE"""),45012.0)</f>
        <v>45012</v>
      </c>
      <c r="O592" s="45">
        <f>IFERROR(__xludf.DUMMYFUNCTION("""COMPUTED_VALUE"""),45133.0)</f>
        <v>45133</v>
      </c>
      <c r="P592" s="45">
        <f>IFERROR(__xludf.DUMMYFUNCTION("""COMPUTED_VALUE"""),45175.0)</f>
        <v>45175</v>
      </c>
      <c r="Q592" s="45">
        <f>IFERROR(__xludf.DUMMYFUNCTION("""COMPUTED_VALUE"""),45134.0)</f>
        <v>45134</v>
      </c>
      <c r="R592" s="45">
        <f>IFERROR(__xludf.DUMMYFUNCTION("""COMPUTED_VALUE"""),45175.0)</f>
        <v>45175</v>
      </c>
      <c r="S592" s="43"/>
      <c r="T592" s="43"/>
      <c r="U592" s="43" t="str">
        <f>IFERROR(__xludf.DUMMYFUNCTION("""COMPUTED_VALUE"""),"Global Classroom")</f>
        <v>Global Classroom</v>
      </c>
      <c r="V592" s="43" t="str">
        <f>IFERROR(__xludf.DUMMYFUNCTION("""COMPUTED_VALUE"""),"Other-KENITRA")</f>
        <v>Other-KENITRA</v>
      </c>
      <c r="W592" s="43" t="str">
        <f>IFERROR(__xludf.DUMMYFUNCTION("""COMPUTED_VALUE"""),"2023-03-26T11:54:43Z")</f>
        <v>2023-03-26T11:54:43Z</v>
      </c>
      <c r="X592" s="43"/>
      <c r="Y592" s="43"/>
      <c r="Z592" s="43"/>
    </row>
    <row r="593" hidden="1">
      <c r="A593" s="43" t="str">
        <f>IFERROR(__xludf.DUMMYFUNCTION("""COMPUTED_VALUE"""),"4659539_1283991")</f>
        <v>4659539_1283991</v>
      </c>
      <c r="B593" s="43" t="str">
        <f>IFERROR(__xludf.DUMMYFUNCTION("""COMPUTED_VALUE"""),"Jeyanthram Venkatesan")</f>
        <v>Jeyanthram Venkatesan</v>
      </c>
      <c r="C593" s="43" t="str">
        <f>IFERROR(__xludf.DUMMYFUNCTION("""COMPUTED_VALUE"""),"approved")</f>
        <v>approved</v>
      </c>
      <c r="D593" s="43" t="str">
        <f>IFERROR(__xludf.DUMMYFUNCTION("""COMPUTED_VALUE"""),"No")</f>
        <v>No</v>
      </c>
      <c r="E593" s="43" t="str">
        <f>IFERROR(__xludf.DUMMYFUNCTION("""COMPUTED_VALUE"""),"p_c5f0ebf156799b9beac9bc90aa619ebfad5378da@inbound.aiesec.org")</f>
        <v>p_c5f0ebf156799b9beac9bc90aa619ebfad5378da@inbound.aiesec.org</v>
      </c>
      <c r="F593" s="43"/>
      <c r="G593" s="43" t="str">
        <f>IFERROR(__xludf.DUMMYFUNCTION("""COMPUTED_VALUE"""),"Germany")</f>
        <v>Germany</v>
      </c>
      <c r="H593" s="43" t="str">
        <f>IFERROR(__xludf.DUMMYFUNCTION("""COMPUTED_VALUE"""),"KAISERSLAUTERN")</f>
        <v>KAISERSLAUTERN</v>
      </c>
      <c r="I593" s="43" t="str">
        <f>IFERROR(__xludf.DUMMYFUNCTION("""COMPUTED_VALUE"""),"Turkey")</f>
        <v>Turkey</v>
      </c>
      <c r="J593" s="43" t="str">
        <f>IFERROR(__xludf.DUMMYFUNCTION("""COMPUTED_VALUE"""),"SAKARYA")</f>
        <v>SAKARYA</v>
      </c>
      <c r="K593" s="44" t="str">
        <f>IFERROR(__xludf.DUMMYFUNCTION("""COMPUTED_VALUE"""),"https://expa.aiesec.org/opportunities/1283991")</f>
        <v>https://expa.aiesec.org/opportunities/1283991</v>
      </c>
      <c r="L593" s="43" t="str">
        <f>IFERROR(__xludf.DUMMYFUNCTION("""COMPUTED_VALUE"""),"GV")</f>
        <v>GV</v>
      </c>
      <c r="M593" s="43" t="str">
        <f>IFERROR(__xludf.DUMMYFUNCTION("""COMPUTED_VALUE"""),"short")</f>
        <v>short</v>
      </c>
      <c r="N593" s="45">
        <f>IFERROR(__xludf.DUMMYFUNCTION("""COMPUTED_VALUE"""),45012.0)</f>
        <v>45012</v>
      </c>
      <c r="O593" s="45">
        <f>IFERROR(__xludf.DUMMYFUNCTION("""COMPUTED_VALUE"""),45130.0)</f>
        <v>45130</v>
      </c>
      <c r="P593" s="45">
        <f>IFERROR(__xludf.DUMMYFUNCTION("""COMPUTED_VALUE"""),45172.0)</f>
        <v>45172</v>
      </c>
      <c r="Q593" s="45"/>
      <c r="R593" s="45"/>
      <c r="S593" s="43"/>
      <c r="T593" s="43"/>
      <c r="U593" s="43" t="str">
        <f>IFERROR(__xludf.DUMMYFUNCTION("""COMPUTED_VALUE"""),"Youth 4 Impact")</f>
        <v>Youth 4 Impact</v>
      </c>
      <c r="V593" s="43" t="str">
        <f>IFERROR(__xludf.DUMMYFUNCTION("""COMPUTED_VALUE"""),"Kaiserslautern")</f>
        <v>Kaiserslautern</v>
      </c>
      <c r="W593" s="43" t="str">
        <f>IFERROR(__xludf.DUMMYFUNCTION("""COMPUTED_VALUE"""),"2021-06-03T17:23:03Z")</f>
        <v>2021-06-03T17:23:03Z</v>
      </c>
      <c r="X593" s="43"/>
      <c r="Y593" s="43"/>
      <c r="Z593" s="43"/>
    </row>
    <row r="594">
      <c r="A594" s="43" t="str">
        <f>IFERROR(__xludf.DUMMYFUNCTION("""COMPUTED_VALUE"""),"5222333_1292157")</f>
        <v>5222333_1292157</v>
      </c>
      <c r="B594" s="43" t="str">
        <f>IFERROR(__xludf.DUMMYFUNCTION("""COMPUTED_VALUE"""),"Saropa Rani")</f>
        <v>Saropa Rani</v>
      </c>
      <c r="C594" s="43" t="str">
        <f>IFERROR(__xludf.DUMMYFUNCTION("""COMPUTED_VALUE"""),"approved")</f>
        <v>approved</v>
      </c>
      <c r="D594" s="43" t="str">
        <f>IFERROR(__xludf.DUMMYFUNCTION("""COMPUTED_VALUE"""),"No")</f>
        <v>No</v>
      </c>
      <c r="E594" s="43" t="str">
        <f>IFERROR(__xludf.DUMMYFUNCTION("""COMPUTED_VALUE"""),"p_79b222eb700a499ba08975b32ffec164904831c2@inbound.aiesec.org")</f>
        <v>p_79b222eb700a499ba08975b32ffec164904831c2@inbound.aiesec.org</v>
      </c>
      <c r="F594" s="43">
        <f>IFERROR(__xludf.DUMMYFUNCTION("""COMPUTED_VALUE"""),3.063270663E9)</f>
        <v>3063270663</v>
      </c>
      <c r="G594" s="43" t="str">
        <f>IFERROR(__xludf.DUMMYFUNCTION("""COMPUTED_VALUE"""),"Pakistan")</f>
        <v>Pakistan</v>
      </c>
      <c r="H594" s="43" t="str">
        <f>IFERROR(__xludf.DUMMYFUNCTION("""COMPUTED_VALUE"""),"Karachi")</f>
        <v>Karachi</v>
      </c>
      <c r="I594" s="43" t="str">
        <f>IFERROR(__xludf.DUMMYFUNCTION("""COMPUTED_VALUE"""),"Turkey")</f>
        <v>Turkey</v>
      </c>
      <c r="J594" s="43" t="str">
        <f>IFERROR(__xludf.DUMMYFUNCTION("""COMPUTED_VALUE"""),"İZMİR")</f>
        <v>İZMİR</v>
      </c>
      <c r="K594" s="44" t="str">
        <f>IFERROR(__xludf.DUMMYFUNCTION("""COMPUTED_VALUE"""),"https://expa.aiesec.org/opportunities/1292157")</f>
        <v>https://expa.aiesec.org/opportunities/1292157</v>
      </c>
      <c r="L594" s="43" t="str">
        <f>IFERROR(__xludf.DUMMYFUNCTION("""COMPUTED_VALUE"""),"GV")</f>
        <v>GV</v>
      </c>
      <c r="M594" s="43" t="str">
        <f>IFERROR(__xludf.DUMMYFUNCTION("""COMPUTED_VALUE"""),"short")</f>
        <v>short</v>
      </c>
      <c r="N594" s="45">
        <f>IFERROR(__xludf.DUMMYFUNCTION("""COMPUTED_VALUE"""),45012.0)</f>
        <v>45012</v>
      </c>
      <c r="O594" s="45">
        <f>IFERROR(__xludf.DUMMYFUNCTION("""COMPUTED_VALUE"""),45089.0)</f>
        <v>45089</v>
      </c>
      <c r="P594" s="45">
        <f>IFERROR(__xludf.DUMMYFUNCTION("""COMPUTED_VALUE"""),45131.0)</f>
        <v>45131</v>
      </c>
      <c r="Q594" s="45"/>
      <c r="R594" s="45"/>
      <c r="S594" s="43"/>
      <c r="T594" s="43"/>
      <c r="U594" s="43" t="str">
        <f>IFERROR(__xludf.DUMMYFUNCTION("""COMPUTED_VALUE"""),"Fingerprint")</f>
        <v>Fingerprint</v>
      </c>
      <c r="V594" s="43" t="str">
        <f>IFERROR(__xludf.DUMMYFUNCTION("""COMPUTED_VALUE"""),"Karachi - Institute of Business Management")</f>
        <v>Karachi - Institute of Business Management</v>
      </c>
      <c r="W594" s="43" t="str">
        <f>IFERROR(__xludf.DUMMYFUNCTION("""COMPUTED_VALUE"""),"2023-03-21T08:55:10Z")</f>
        <v>2023-03-21T08:55:10Z</v>
      </c>
      <c r="X594" s="43"/>
      <c r="Y594" s="43"/>
      <c r="Z594" s="43"/>
    </row>
    <row r="595" hidden="1">
      <c r="A595" s="43" t="str">
        <f>IFERROR(__xludf.DUMMYFUNCTION("""COMPUTED_VALUE"""),"5220915_1286958")</f>
        <v>5220915_1286958</v>
      </c>
      <c r="B595" s="43" t="str">
        <f>IFERROR(__xludf.DUMMYFUNCTION("""COMPUTED_VALUE"""),"Samal Shamova")</f>
        <v>Samal Shamova</v>
      </c>
      <c r="C595" s="43" t="str">
        <f>IFERROR(__xludf.DUMMYFUNCTION("""COMPUTED_VALUE"""),"rejected")</f>
        <v>rejected</v>
      </c>
      <c r="D595" s="43" t="str">
        <f>IFERROR(__xludf.DUMMYFUNCTION("""COMPUTED_VALUE"""),"No")</f>
        <v>No</v>
      </c>
      <c r="E595" s="43" t="str">
        <f>IFERROR(__xludf.DUMMYFUNCTION("""COMPUTED_VALUE"""),"p_df4f3617d3f507d61f00f1fc819d440bc3cdc7e9@inbound.aiesec.org")</f>
        <v>p_df4f3617d3f507d61f00f1fc819d440bc3cdc7e9@inbound.aiesec.org</v>
      </c>
      <c r="F595" s="43">
        <f>IFERROR(__xludf.DUMMYFUNCTION("""COMPUTED_VALUE"""),7.478993417E9)</f>
        <v>7478993417</v>
      </c>
      <c r="G595" s="43" t="str">
        <f>IFERROR(__xludf.DUMMYFUNCTION("""COMPUTED_VALUE"""),"Kazakhstan")</f>
        <v>Kazakhstan</v>
      </c>
      <c r="H595" s="43" t="str">
        <f>IFERROR(__xludf.DUMMYFUNCTION("""COMPUTED_VALUE"""),"ALMATY")</f>
        <v>ALMATY</v>
      </c>
      <c r="I595" s="43" t="str">
        <f>IFERROR(__xludf.DUMMYFUNCTION("""COMPUTED_VALUE"""),"Turkey")</f>
        <v>Turkey</v>
      </c>
      <c r="J595" s="43" t="str">
        <f>IFERROR(__xludf.DUMMYFUNCTION("""COMPUTED_VALUE"""),"KONYA")</f>
        <v>KONYA</v>
      </c>
      <c r="K595" s="44" t="str">
        <f>IFERROR(__xludf.DUMMYFUNCTION("""COMPUTED_VALUE"""),"https://expa.aiesec.org/opportunities/1286958")</f>
        <v>https://expa.aiesec.org/opportunities/1286958</v>
      </c>
      <c r="L595" s="43" t="str">
        <f>IFERROR(__xludf.DUMMYFUNCTION("""COMPUTED_VALUE"""),"GV")</f>
        <v>GV</v>
      </c>
      <c r="M595" s="43" t="str">
        <f>IFERROR(__xludf.DUMMYFUNCTION("""COMPUTED_VALUE"""),"short")</f>
        <v>short</v>
      </c>
      <c r="N595" s="45">
        <f>IFERROR(__xludf.DUMMYFUNCTION("""COMPUTED_VALUE"""),45012.0)</f>
        <v>45012</v>
      </c>
      <c r="O595" s="45">
        <f>IFERROR(__xludf.DUMMYFUNCTION("""COMPUTED_VALUE"""),45117.0)</f>
        <v>45117</v>
      </c>
      <c r="P595" s="45">
        <f>IFERROR(__xludf.DUMMYFUNCTION("""COMPUTED_VALUE"""),45159.0)</f>
        <v>45159</v>
      </c>
      <c r="Q595" s="45">
        <f>IFERROR(__xludf.DUMMYFUNCTION("""COMPUTED_VALUE"""),45119.0)</f>
        <v>45119</v>
      </c>
      <c r="R595" s="45">
        <f>IFERROR(__xludf.DUMMYFUNCTION("""COMPUTED_VALUE"""),45159.0)</f>
        <v>45159</v>
      </c>
      <c r="S595" s="43"/>
      <c r="T595" s="43"/>
      <c r="U595" s="43" t="str">
        <f>IFERROR(__xludf.DUMMYFUNCTION("""COMPUTED_VALUE"""),"Global Classroom")</f>
        <v>Global Classroom</v>
      </c>
      <c r="V595" s="43" t="str">
        <f>IFERROR(__xludf.DUMMYFUNCTION("""COMPUTED_VALUE"""),"Almaty")</f>
        <v>Almaty</v>
      </c>
      <c r="W595" s="43" t="str">
        <f>IFERROR(__xludf.DUMMYFUNCTION("""COMPUTED_VALUE"""),"2023-03-19T13:21:51Z")</f>
        <v>2023-03-19T13:21:51Z</v>
      </c>
      <c r="X595" s="43"/>
      <c r="Y595" s="43"/>
      <c r="Z595" s="43"/>
    </row>
    <row r="596" hidden="1">
      <c r="A596" s="43" t="str">
        <f>IFERROR(__xludf.DUMMYFUNCTION("""COMPUTED_VALUE"""),"5207094_1292793")</f>
        <v>5207094_1292793</v>
      </c>
      <c r="B596" s="43" t="str">
        <f>IFERROR(__xludf.DUMMYFUNCTION("""COMPUTED_VALUE"""),"Amina Bolyssova")</f>
        <v>Amina Bolyssova</v>
      </c>
      <c r="C596" s="43" t="str">
        <f>IFERROR(__xludf.DUMMYFUNCTION("""COMPUTED_VALUE"""),"realization_broken")</f>
        <v>realization_broken</v>
      </c>
      <c r="D596" s="43" t="str">
        <f>IFERROR(__xludf.DUMMYFUNCTION("""COMPUTED_VALUE"""),"No")</f>
        <v>No</v>
      </c>
      <c r="E596" s="43" t="str">
        <f>IFERROR(__xludf.DUMMYFUNCTION("""COMPUTED_VALUE"""),"p_219a53fadaacc6e1f50837a7764e0068ea4a8e11@inbound.aiesec.org")</f>
        <v>p_219a53fadaacc6e1f50837a7764e0068ea4a8e11@inbound.aiesec.org</v>
      </c>
      <c r="F596" s="43">
        <f>IFERROR(__xludf.DUMMYFUNCTION("""COMPUTED_VALUE"""),7.087676056E9)</f>
        <v>7087676056</v>
      </c>
      <c r="G596" s="43" t="str">
        <f>IFERROR(__xludf.DUMMYFUNCTION("""COMPUTED_VALUE"""),"Kazakhstan")</f>
        <v>Kazakhstan</v>
      </c>
      <c r="H596" s="43" t="str">
        <f>IFERROR(__xludf.DUMMYFUNCTION("""COMPUTED_VALUE"""),"ALMATY")</f>
        <v>ALMATY</v>
      </c>
      <c r="I596" s="43" t="str">
        <f>IFERROR(__xludf.DUMMYFUNCTION("""COMPUTED_VALUE"""),"Turkey")</f>
        <v>Turkey</v>
      </c>
      <c r="J596" s="43" t="str">
        <f>IFERROR(__xludf.DUMMYFUNCTION("""COMPUTED_VALUE"""),"ANTALYA")</f>
        <v>ANTALYA</v>
      </c>
      <c r="K596" s="44" t="str">
        <f>IFERROR(__xludf.DUMMYFUNCTION("""COMPUTED_VALUE"""),"https://expa.aiesec.org/opportunities/1292793")</f>
        <v>https://expa.aiesec.org/opportunities/1292793</v>
      </c>
      <c r="L596" s="43" t="str">
        <f>IFERROR(__xludf.DUMMYFUNCTION("""COMPUTED_VALUE"""),"GV")</f>
        <v>GV</v>
      </c>
      <c r="M596" s="43" t="str">
        <f>IFERROR(__xludf.DUMMYFUNCTION("""COMPUTED_VALUE"""),"short")</f>
        <v>short</v>
      </c>
      <c r="N596" s="45">
        <f>IFERROR(__xludf.DUMMYFUNCTION("""COMPUTED_VALUE"""),45012.0)</f>
        <v>45012</v>
      </c>
      <c r="O596" s="45">
        <f>IFERROR(__xludf.DUMMYFUNCTION("""COMPUTED_VALUE"""),45159.0)</f>
        <v>45159</v>
      </c>
      <c r="P596" s="45">
        <f>IFERROR(__xludf.DUMMYFUNCTION("""COMPUTED_VALUE"""),45201.0)</f>
        <v>45201</v>
      </c>
      <c r="Q596" s="45"/>
      <c r="R596" s="45"/>
      <c r="S596" s="43"/>
      <c r="T596" s="43"/>
      <c r="U596" s="43" t="str">
        <f>IFERROR(__xludf.DUMMYFUNCTION("""COMPUTED_VALUE"""),"Global Classroom")</f>
        <v>Global Classroom</v>
      </c>
      <c r="V596" s="43" t="str">
        <f>IFERROR(__xludf.DUMMYFUNCTION("""COMPUTED_VALUE"""),"Almaty")</f>
        <v>Almaty</v>
      </c>
      <c r="W596" s="43" t="str">
        <f>IFERROR(__xludf.DUMMYFUNCTION("""COMPUTED_VALUE"""),"2023-03-06T08:09:24Z")</f>
        <v>2023-03-06T08:09:24Z</v>
      </c>
      <c r="X596" s="43"/>
      <c r="Y596" s="43"/>
      <c r="Z596" s="43"/>
    </row>
    <row r="597" hidden="1">
      <c r="A597" s="43" t="str">
        <f>IFERROR(__xludf.DUMMYFUNCTION("""COMPUTED_VALUE"""),"5228017_1289536")</f>
        <v>5228017_1289536</v>
      </c>
      <c r="B597" s="43" t="str">
        <f>IFERROR(__xludf.DUMMYFUNCTION("""COMPUTED_VALUE"""),"Emna Ferchichi")</f>
        <v>Emna Ferchichi</v>
      </c>
      <c r="C597" s="43" t="str">
        <f>IFERROR(__xludf.DUMMYFUNCTION("""COMPUTED_VALUE"""),"completed")</f>
        <v>completed</v>
      </c>
      <c r="D597" s="43" t="str">
        <f>IFERROR(__xludf.DUMMYFUNCTION("""COMPUTED_VALUE"""),"No")</f>
        <v>No</v>
      </c>
      <c r="E597" s="43" t="str">
        <f>IFERROR(__xludf.DUMMYFUNCTION("""COMPUTED_VALUE"""),"p_4b6bd17e75d32377081fc35095a05972bbf8d76f@inbound.aiesec.org")</f>
        <v>p_4b6bd17e75d32377081fc35095a05972bbf8d76f@inbound.aiesec.org</v>
      </c>
      <c r="F597" s="43">
        <f>IFERROR(__xludf.DUMMYFUNCTION("""COMPUTED_VALUE"""),9.2820159E7)</f>
        <v>92820159</v>
      </c>
      <c r="G597" s="43" t="str">
        <f>IFERROR(__xludf.DUMMYFUNCTION("""COMPUTED_VALUE"""),"Tunisia")</f>
        <v>Tunisia</v>
      </c>
      <c r="H597" s="43" t="str">
        <f>IFERROR(__xludf.DUMMYFUNCTION("""COMPUTED_VALUE"""),"Carthage")</f>
        <v>Carthage</v>
      </c>
      <c r="I597" s="43" t="str">
        <f>IFERROR(__xludf.DUMMYFUNCTION("""COMPUTED_VALUE"""),"Turkey")</f>
        <v>Turkey</v>
      </c>
      <c r="J597" s="43" t="str">
        <f>IFERROR(__xludf.DUMMYFUNCTION("""COMPUTED_VALUE"""),"ISTANBUL")</f>
        <v>ISTANBUL</v>
      </c>
      <c r="K597" s="44" t="str">
        <f>IFERROR(__xludf.DUMMYFUNCTION("""COMPUTED_VALUE"""),"https://expa.aiesec.org/opportunities/1289536")</f>
        <v>https://expa.aiesec.org/opportunities/1289536</v>
      </c>
      <c r="L597" s="43" t="str">
        <f>IFERROR(__xludf.DUMMYFUNCTION("""COMPUTED_VALUE"""),"GV")</f>
        <v>GV</v>
      </c>
      <c r="M597" s="43" t="str">
        <f>IFERROR(__xludf.DUMMYFUNCTION("""COMPUTED_VALUE"""),"short")</f>
        <v>short</v>
      </c>
      <c r="N597" s="45">
        <f>IFERROR(__xludf.DUMMYFUNCTION("""COMPUTED_VALUE"""),45013.0)</f>
        <v>45013</v>
      </c>
      <c r="O597" s="45">
        <f>IFERROR(__xludf.DUMMYFUNCTION("""COMPUTED_VALUE"""),45174.0)</f>
        <v>45174</v>
      </c>
      <c r="P597" s="45">
        <f>IFERROR(__xludf.DUMMYFUNCTION("""COMPUTED_VALUE"""),45216.0)</f>
        <v>45216</v>
      </c>
      <c r="Q597" s="45">
        <f>IFERROR(__xludf.DUMMYFUNCTION("""COMPUTED_VALUE"""),45180.0)</f>
        <v>45180</v>
      </c>
      <c r="R597" s="45">
        <f>IFERROR(__xludf.DUMMYFUNCTION("""COMPUTED_VALUE"""),45220.0)</f>
        <v>45220</v>
      </c>
      <c r="S597" s="43"/>
      <c r="T597" s="43"/>
      <c r="U597" s="43" t="str">
        <f>IFERROR(__xludf.DUMMYFUNCTION("""COMPUTED_VALUE"""),"Global Classroom")</f>
        <v>Global Classroom</v>
      </c>
      <c r="V597" s="43" t="str">
        <f>IFERROR(__xludf.DUMMYFUNCTION("""COMPUTED_VALUE"""),"ISLT")</f>
        <v>ISLT</v>
      </c>
      <c r="W597" s="43" t="str">
        <f>IFERROR(__xludf.DUMMYFUNCTION("""COMPUTED_VALUE"""),"2023-03-27T10:53:53Z")</f>
        <v>2023-03-27T10:53:53Z</v>
      </c>
      <c r="X597" s="43"/>
      <c r="Y597" s="43"/>
      <c r="Z597" s="43"/>
    </row>
    <row r="598" hidden="1">
      <c r="A598" s="43" t="str">
        <f>IFERROR(__xludf.DUMMYFUNCTION("""COMPUTED_VALUE"""),"5036015_1286920")</f>
        <v>5036015_1286920</v>
      </c>
      <c r="B598" s="43" t="str">
        <f>IFERROR(__xludf.DUMMYFUNCTION("""COMPUTED_VALUE"""),"Aamna Salman")</f>
        <v>Aamna Salman</v>
      </c>
      <c r="C598" s="43" t="str">
        <f>IFERROR(__xludf.DUMMYFUNCTION("""COMPUTED_VALUE"""),"completed")</f>
        <v>completed</v>
      </c>
      <c r="D598" s="43" t="str">
        <f>IFERROR(__xludf.DUMMYFUNCTION("""COMPUTED_VALUE"""),"No")</f>
        <v>No</v>
      </c>
      <c r="E598" s="43" t="str">
        <f>IFERROR(__xludf.DUMMYFUNCTION("""COMPUTED_VALUE"""),"p_7672419f0cc44db95310e760fb4d1b324ff003b2@inbound.aiesec.org")</f>
        <v>p_7672419f0cc44db95310e760fb4d1b324ff003b2@inbound.aiesec.org</v>
      </c>
      <c r="F598" s="43">
        <f>IFERROR(__xludf.DUMMYFUNCTION("""COMPUTED_VALUE"""),3.362527557E9)</f>
        <v>3362527557</v>
      </c>
      <c r="G598" s="43" t="str">
        <f>IFERROR(__xludf.DUMMYFUNCTION("""COMPUTED_VALUE"""),"Pakistan")</f>
        <v>Pakistan</v>
      </c>
      <c r="H598" s="43" t="str">
        <f>IFERROR(__xludf.DUMMYFUNCTION("""COMPUTED_VALUE"""),"IBA")</f>
        <v>IBA</v>
      </c>
      <c r="I598" s="43" t="str">
        <f>IFERROR(__xludf.DUMMYFUNCTION("""COMPUTED_VALUE"""),"Turkey")</f>
        <v>Turkey</v>
      </c>
      <c r="J598" s="43" t="str">
        <f>IFERROR(__xludf.DUMMYFUNCTION("""COMPUTED_VALUE"""),"DENIZLI")</f>
        <v>DENIZLI</v>
      </c>
      <c r="K598" s="44" t="str">
        <f>IFERROR(__xludf.DUMMYFUNCTION("""COMPUTED_VALUE"""),"https://expa.aiesec.org/opportunities/1286920")</f>
        <v>https://expa.aiesec.org/opportunities/1286920</v>
      </c>
      <c r="L598" s="43" t="str">
        <f>IFERROR(__xludf.DUMMYFUNCTION("""COMPUTED_VALUE"""),"GV")</f>
        <v>GV</v>
      </c>
      <c r="M598" s="43" t="str">
        <f>IFERROR(__xludf.DUMMYFUNCTION("""COMPUTED_VALUE"""),"short")</f>
        <v>short</v>
      </c>
      <c r="N598" s="45">
        <f>IFERROR(__xludf.DUMMYFUNCTION("""COMPUTED_VALUE"""),45013.0)</f>
        <v>45013</v>
      </c>
      <c r="O598" s="45">
        <f>IFERROR(__xludf.DUMMYFUNCTION("""COMPUTED_VALUE"""),45075.0)</f>
        <v>45075</v>
      </c>
      <c r="P598" s="45">
        <f>IFERROR(__xludf.DUMMYFUNCTION("""COMPUTED_VALUE"""),45117.0)</f>
        <v>45117</v>
      </c>
      <c r="Q598" s="45">
        <f>IFERROR(__xludf.DUMMYFUNCTION("""COMPUTED_VALUE"""),45074.0)</f>
        <v>45074</v>
      </c>
      <c r="R598" s="45">
        <f>IFERROR(__xludf.DUMMYFUNCTION("""COMPUTED_VALUE"""),45117.0)</f>
        <v>45117</v>
      </c>
      <c r="S598" s="43"/>
      <c r="T598" s="43"/>
      <c r="U598" s="43" t="str">
        <f>IFERROR(__xludf.DUMMYFUNCTION("""COMPUTED_VALUE"""),"Global Classroom")</f>
        <v>Global Classroom</v>
      </c>
      <c r="V598" s="43" t="str">
        <f>IFERROR(__xludf.DUMMYFUNCTION("""COMPUTED_VALUE"""),"Karachi - IBA")</f>
        <v>Karachi - IBA</v>
      </c>
      <c r="W598" s="43" t="str">
        <f>IFERROR(__xludf.DUMMYFUNCTION("""COMPUTED_VALUE"""),"2022-04-11T18:01:21Z")</f>
        <v>2022-04-11T18:01:21Z</v>
      </c>
      <c r="X598" s="43"/>
      <c r="Y598" s="43"/>
      <c r="Z598" s="43"/>
    </row>
    <row r="599" hidden="1">
      <c r="A599" s="43" t="str">
        <f>IFERROR(__xludf.DUMMYFUNCTION("""COMPUTED_VALUE"""),"4566346_1287662")</f>
        <v>4566346_1287662</v>
      </c>
      <c r="B599" s="43" t="str">
        <f>IFERROR(__xludf.DUMMYFUNCTION("""COMPUTED_VALUE"""),"Bianca Burlacu")</f>
        <v>Bianca Burlacu</v>
      </c>
      <c r="C599" s="43" t="str">
        <f>IFERROR(__xludf.DUMMYFUNCTION("""COMPUTED_VALUE"""),"finished")</f>
        <v>finished</v>
      </c>
      <c r="D599" s="43" t="str">
        <f>IFERROR(__xludf.DUMMYFUNCTION("""COMPUTED_VALUE"""),"No")</f>
        <v>No</v>
      </c>
      <c r="E599" s="43" t="str">
        <f>IFERROR(__xludf.DUMMYFUNCTION("""COMPUTED_VALUE"""),"p_4283adcce8e832dac7c6bd57705f972f24149f4f@inbound.aiesec.org")</f>
        <v>p_4283adcce8e832dac7c6bd57705f972f24149f4f@inbound.aiesec.org</v>
      </c>
      <c r="F599" s="43">
        <f>IFERROR(__xludf.DUMMYFUNCTION("""COMPUTED_VALUE"""),7.32608612E8)</f>
        <v>732608612</v>
      </c>
      <c r="G599" s="43" t="str">
        <f>IFERROR(__xludf.DUMMYFUNCTION("""COMPUTED_VALUE"""),"Romania")</f>
        <v>Romania</v>
      </c>
      <c r="H599" s="43" t="str">
        <f>IFERROR(__xludf.DUMMYFUNCTION("""COMPUTED_VALUE"""),"BUCURESTI")</f>
        <v>BUCURESTI</v>
      </c>
      <c r="I599" s="43" t="str">
        <f>IFERROR(__xludf.DUMMYFUNCTION("""COMPUTED_VALUE"""),"Turkey")</f>
        <v>Turkey</v>
      </c>
      <c r="J599" s="43" t="str">
        <f>IFERROR(__xludf.DUMMYFUNCTION("""COMPUTED_VALUE"""),"İZMİR")</f>
        <v>İZMİR</v>
      </c>
      <c r="K599" s="44" t="str">
        <f>IFERROR(__xludf.DUMMYFUNCTION("""COMPUTED_VALUE"""),"https://expa.aiesec.org/opportunities/1287662")</f>
        <v>https://expa.aiesec.org/opportunities/1287662</v>
      </c>
      <c r="L599" s="43" t="str">
        <f>IFERROR(__xludf.DUMMYFUNCTION("""COMPUTED_VALUE"""),"GV")</f>
        <v>GV</v>
      </c>
      <c r="M599" s="43" t="str">
        <f>IFERROR(__xludf.DUMMYFUNCTION("""COMPUTED_VALUE"""),"short")</f>
        <v>short</v>
      </c>
      <c r="N599" s="45">
        <f>IFERROR(__xludf.DUMMYFUNCTION("""COMPUTED_VALUE"""),45013.0)</f>
        <v>45013</v>
      </c>
      <c r="O599" s="45">
        <f>IFERROR(__xludf.DUMMYFUNCTION("""COMPUTED_VALUE"""),45145.0)</f>
        <v>45145</v>
      </c>
      <c r="P599" s="45">
        <f>IFERROR(__xludf.DUMMYFUNCTION("""COMPUTED_VALUE"""),45187.0)</f>
        <v>45187</v>
      </c>
      <c r="Q599" s="45">
        <f>IFERROR(__xludf.DUMMYFUNCTION("""COMPUTED_VALUE"""),45146.0)</f>
        <v>45146</v>
      </c>
      <c r="R599" s="45">
        <f>IFERROR(__xludf.DUMMYFUNCTION("""COMPUTED_VALUE"""),45188.0)</f>
        <v>45188</v>
      </c>
      <c r="S599" s="43"/>
      <c r="T599" s="43"/>
      <c r="U599" s="43" t="str">
        <f>IFERROR(__xludf.DUMMYFUNCTION("""COMPUTED_VALUE"""),"Heartbeat")</f>
        <v>Heartbeat</v>
      </c>
      <c r="V599" s="43" t="str">
        <f>IFERROR(__xludf.DUMMYFUNCTION("""COMPUTED_VALUE"""),"Bucuresti")</f>
        <v>Bucuresti</v>
      </c>
      <c r="W599" s="43" t="str">
        <f>IFERROR(__xludf.DUMMYFUNCTION("""COMPUTED_VALUE"""),"2021-03-03T18:11:43Z")</f>
        <v>2021-03-03T18:11:43Z</v>
      </c>
      <c r="X599" s="43"/>
      <c r="Y599" s="43"/>
      <c r="Z599" s="43"/>
    </row>
    <row r="600" hidden="1">
      <c r="A600" s="43" t="str">
        <f>IFERROR(__xludf.DUMMYFUNCTION("""COMPUTED_VALUE"""),"5077561_1287662")</f>
        <v>5077561_1287662</v>
      </c>
      <c r="B600" s="43" t="str">
        <f>IFERROR(__xludf.DUMMYFUNCTION("""COMPUTED_VALUE"""),"Muhammad Zaid Kharadi")</f>
        <v>Muhammad Zaid Kharadi</v>
      </c>
      <c r="C600" s="43" t="str">
        <f>IFERROR(__xludf.DUMMYFUNCTION("""COMPUTED_VALUE"""),"realization_broken")</f>
        <v>realization_broken</v>
      </c>
      <c r="D600" s="43" t="str">
        <f>IFERROR(__xludf.DUMMYFUNCTION("""COMPUTED_VALUE"""),"No")</f>
        <v>No</v>
      </c>
      <c r="E600" s="43" t="str">
        <f>IFERROR(__xludf.DUMMYFUNCTION("""COMPUTED_VALUE"""),"p_0508b3797cbcd744c09606a0baae3001df812ce5@inbound.aiesec.org")</f>
        <v>p_0508b3797cbcd744c09606a0baae3001df812ce5@inbound.aiesec.org</v>
      </c>
      <c r="F600" s="43">
        <f>IFERROR(__xludf.DUMMYFUNCTION("""COMPUTED_VALUE"""),3.453500215E9)</f>
        <v>3453500215</v>
      </c>
      <c r="G600" s="43" t="str">
        <f>IFERROR(__xludf.DUMMYFUNCTION("""COMPUTED_VALUE"""),"Pakistan")</f>
        <v>Pakistan</v>
      </c>
      <c r="H600" s="43" t="str">
        <f>IFERROR(__xludf.DUMMYFUNCTION("""COMPUTED_VALUE"""),"Karachi")</f>
        <v>Karachi</v>
      </c>
      <c r="I600" s="43" t="str">
        <f>IFERROR(__xludf.DUMMYFUNCTION("""COMPUTED_VALUE"""),"Turkey")</f>
        <v>Turkey</v>
      </c>
      <c r="J600" s="43" t="str">
        <f>IFERROR(__xludf.DUMMYFUNCTION("""COMPUTED_VALUE"""),"İZMİR")</f>
        <v>İZMİR</v>
      </c>
      <c r="K600" s="44" t="str">
        <f>IFERROR(__xludf.DUMMYFUNCTION("""COMPUTED_VALUE"""),"https://expa.aiesec.org/opportunities/1287662")</f>
        <v>https://expa.aiesec.org/opportunities/1287662</v>
      </c>
      <c r="L600" s="43" t="str">
        <f>IFERROR(__xludf.DUMMYFUNCTION("""COMPUTED_VALUE"""),"GV")</f>
        <v>GV</v>
      </c>
      <c r="M600" s="43" t="str">
        <f>IFERROR(__xludf.DUMMYFUNCTION("""COMPUTED_VALUE"""),"short")</f>
        <v>short</v>
      </c>
      <c r="N600" s="45">
        <f>IFERROR(__xludf.DUMMYFUNCTION("""COMPUTED_VALUE"""),45013.0)</f>
        <v>45013</v>
      </c>
      <c r="O600" s="45">
        <f>IFERROR(__xludf.DUMMYFUNCTION("""COMPUTED_VALUE"""),45096.0)</f>
        <v>45096</v>
      </c>
      <c r="P600" s="45">
        <f>IFERROR(__xludf.DUMMYFUNCTION("""COMPUTED_VALUE"""),45138.0)</f>
        <v>45138</v>
      </c>
      <c r="Q600" s="45"/>
      <c r="R600" s="45"/>
      <c r="S600" s="43"/>
      <c r="T600" s="43"/>
      <c r="U600" s="43" t="str">
        <f>IFERROR(__xludf.DUMMYFUNCTION("""COMPUTED_VALUE"""),"Heartbeat")</f>
        <v>Heartbeat</v>
      </c>
      <c r="V600" s="43" t="str">
        <f>IFERROR(__xludf.DUMMYFUNCTION("""COMPUTED_VALUE"""),"Karachi - Other")</f>
        <v>Karachi - Other</v>
      </c>
      <c r="W600" s="43" t="str">
        <f>IFERROR(__xludf.DUMMYFUNCTION("""COMPUTED_VALUE"""),"2022-06-28T16:10:09Z")</f>
        <v>2022-06-28T16:10:09Z</v>
      </c>
      <c r="X600" s="43"/>
      <c r="Y600" s="43"/>
      <c r="Z600" s="43"/>
    </row>
    <row r="601" hidden="1">
      <c r="A601" s="43" t="str">
        <f>IFERROR(__xludf.DUMMYFUNCTION("""COMPUTED_VALUE"""),"5227550_1293417")</f>
        <v>5227550_1293417</v>
      </c>
      <c r="B601" s="43" t="str">
        <f>IFERROR(__xludf.DUMMYFUNCTION("""COMPUTED_VALUE"""),"Dumitrescu Alexandru")</f>
        <v>Dumitrescu Alexandru</v>
      </c>
      <c r="C601" s="43" t="str">
        <f>IFERROR(__xludf.DUMMYFUNCTION("""COMPUTED_VALUE"""),"finished")</f>
        <v>finished</v>
      </c>
      <c r="D601" s="43" t="str">
        <f>IFERROR(__xludf.DUMMYFUNCTION("""COMPUTED_VALUE"""),"No")</f>
        <v>No</v>
      </c>
      <c r="E601" s="43" t="str">
        <f>IFERROR(__xludf.DUMMYFUNCTION("""COMPUTED_VALUE"""),"p_2a65c59e572c9c0b04beddbe45b49fefc37ff97f@inbound.aiesec.org")</f>
        <v>p_2a65c59e572c9c0b04beddbe45b49fefc37ff97f@inbound.aiesec.org</v>
      </c>
      <c r="F601" s="43">
        <f>IFERROR(__xludf.DUMMYFUNCTION("""COMPUTED_VALUE"""),7.5343241E8)</f>
        <v>753432410</v>
      </c>
      <c r="G601" s="43" t="str">
        <f>IFERROR(__xludf.DUMMYFUNCTION("""COMPUTED_VALUE"""),"Romania")</f>
        <v>Romania</v>
      </c>
      <c r="H601" s="43" t="str">
        <f>IFERROR(__xludf.DUMMYFUNCTION("""COMPUTED_VALUE"""),"Cluj-Napoca")</f>
        <v>Cluj-Napoca</v>
      </c>
      <c r="I601" s="43" t="str">
        <f>IFERROR(__xludf.DUMMYFUNCTION("""COMPUTED_VALUE"""),"Turkey")</f>
        <v>Turkey</v>
      </c>
      <c r="J601" s="43" t="str">
        <f>IFERROR(__xludf.DUMMYFUNCTION("""COMPUTED_VALUE"""),"ISTANBUL")</f>
        <v>ISTANBUL</v>
      </c>
      <c r="K601" s="44" t="str">
        <f>IFERROR(__xludf.DUMMYFUNCTION("""COMPUTED_VALUE"""),"https://expa.aiesec.org/opportunities/1293417")</f>
        <v>https://expa.aiesec.org/opportunities/1293417</v>
      </c>
      <c r="L601" s="43" t="str">
        <f>IFERROR(__xludf.DUMMYFUNCTION("""COMPUTED_VALUE"""),"GV")</f>
        <v>GV</v>
      </c>
      <c r="M601" s="43" t="str">
        <f>IFERROR(__xludf.DUMMYFUNCTION("""COMPUTED_VALUE"""),"short")</f>
        <v>short</v>
      </c>
      <c r="N601" s="45">
        <f>IFERROR(__xludf.DUMMYFUNCTION("""COMPUTED_VALUE"""),45014.0)</f>
        <v>45014</v>
      </c>
      <c r="O601" s="45">
        <f>IFERROR(__xludf.DUMMYFUNCTION("""COMPUTED_VALUE"""),45173.0)</f>
        <v>45173</v>
      </c>
      <c r="P601" s="45">
        <f>IFERROR(__xludf.DUMMYFUNCTION("""COMPUTED_VALUE"""),45215.0)</f>
        <v>45215</v>
      </c>
      <c r="Q601" s="45">
        <f>IFERROR(__xludf.DUMMYFUNCTION("""COMPUTED_VALUE"""),45180.0)</f>
        <v>45180</v>
      </c>
      <c r="R601" s="45">
        <f>IFERROR(__xludf.DUMMYFUNCTION("""COMPUTED_VALUE"""),45220.0)</f>
        <v>45220</v>
      </c>
      <c r="S601" s="43"/>
      <c r="T601" s="43"/>
      <c r="U601" s="43" t="str">
        <f>IFERROR(__xludf.DUMMYFUNCTION("""COMPUTED_VALUE"""),"Global Classroom")</f>
        <v>Global Classroom</v>
      </c>
      <c r="V601" s="43" t="str">
        <f>IFERROR(__xludf.DUMMYFUNCTION("""COMPUTED_VALUE"""),"Cluj-Napoca")</f>
        <v>Cluj-Napoca</v>
      </c>
      <c r="W601" s="43" t="str">
        <f>IFERROR(__xludf.DUMMYFUNCTION("""COMPUTED_VALUE"""),"2023-03-26T17:04:46Z")</f>
        <v>2023-03-26T17:04:46Z</v>
      </c>
      <c r="X601" s="43"/>
      <c r="Y601" s="43"/>
      <c r="Z601" s="43"/>
    </row>
    <row r="602" hidden="1">
      <c r="A602" s="43" t="str">
        <f>IFERROR(__xludf.DUMMYFUNCTION("""COMPUTED_VALUE"""),"4598033_1284476")</f>
        <v>4598033_1284476</v>
      </c>
      <c r="B602" s="43" t="str">
        <f>IFERROR(__xludf.DUMMYFUNCTION("""COMPUTED_VALUE"""),"Med Aziz Ghazzai")</f>
        <v>Med Aziz Ghazzai</v>
      </c>
      <c r="C602" s="43" t="str">
        <f>IFERROR(__xludf.DUMMYFUNCTION("""COMPUTED_VALUE"""),"completed")</f>
        <v>completed</v>
      </c>
      <c r="D602" s="43" t="str">
        <f>IFERROR(__xludf.DUMMYFUNCTION("""COMPUTED_VALUE"""),"No")</f>
        <v>No</v>
      </c>
      <c r="E602" s="43" t="str">
        <f>IFERROR(__xludf.DUMMYFUNCTION("""COMPUTED_VALUE"""),"p_5ea0c960aa22490f2eec329c1eb97a84d0aec5f5@inbound.aiesec.org")</f>
        <v>p_5ea0c960aa22490f2eec329c1eb97a84d0aec5f5@inbound.aiesec.org</v>
      </c>
      <c r="F602" s="43">
        <f>IFERROR(__xludf.DUMMYFUNCTION("""COMPUTED_VALUE"""),2.3634465E7)</f>
        <v>23634465</v>
      </c>
      <c r="G602" s="43" t="str">
        <f>IFERROR(__xludf.DUMMYFUNCTION("""COMPUTED_VALUE"""),"Tunisia")</f>
        <v>Tunisia</v>
      </c>
      <c r="H602" s="43" t="str">
        <f>IFERROR(__xludf.DUMMYFUNCTION("""COMPUTED_VALUE"""),"BARDO")</f>
        <v>BARDO</v>
      </c>
      <c r="I602" s="43" t="str">
        <f>IFERROR(__xludf.DUMMYFUNCTION("""COMPUTED_VALUE"""),"Turkey")</f>
        <v>Turkey</v>
      </c>
      <c r="J602" s="43" t="str">
        <f>IFERROR(__xludf.DUMMYFUNCTION("""COMPUTED_VALUE"""),"ADANA")</f>
        <v>ADANA</v>
      </c>
      <c r="K602" s="44" t="str">
        <f>IFERROR(__xludf.DUMMYFUNCTION("""COMPUTED_VALUE"""),"https://expa.aiesec.org/opportunities/1284476")</f>
        <v>https://expa.aiesec.org/opportunities/1284476</v>
      </c>
      <c r="L602" s="43" t="str">
        <f>IFERROR(__xludf.DUMMYFUNCTION("""COMPUTED_VALUE"""),"GV")</f>
        <v>GV</v>
      </c>
      <c r="M602" s="43" t="str">
        <f>IFERROR(__xludf.DUMMYFUNCTION("""COMPUTED_VALUE"""),"short")</f>
        <v>short</v>
      </c>
      <c r="N602" s="45">
        <f>IFERROR(__xludf.DUMMYFUNCTION("""COMPUTED_VALUE"""),45014.0)</f>
        <v>45014</v>
      </c>
      <c r="O602" s="45">
        <f>IFERROR(__xludf.DUMMYFUNCTION("""COMPUTED_VALUE"""),45029.0)</f>
        <v>45029</v>
      </c>
      <c r="P602" s="45">
        <f>IFERROR(__xludf.DUMMYFUNCTION("""COMPUTED_VALUE"""),45077.0)</f>
        <v>45077</v>
      </c>
      <c r="Q602" s="45">
        <f>IFERROR(__xludf.DUMMYFUNCTION("""COMPUTED_VALUE"""),45033.0)</f>
        <v>45033</v>
      </c>
      <c r="R602" s="45">
        <f>IFERROR(__xludf.DUMMYFUNCTION("""COMPUTED_VALUE"""),45081.0)</f>
        <v>45081</v>
      </c>
      <c r="S602" s="43"/>
      <c r="T602" s="43"/>
      <c r="U602" s="43" t="str">
        <f>IFERROR(__xludf.DUMMYFUNCTION("""COMPUTED_VALUE"""),"Global Classroom")</f>
        <v>Global Classroom</v>
      </c>
      <c r="V602" s="43" t="str">
        <f>IFERROR(__xludf.DUMMYFUNCTION("""COMPUTED_VALUE"""),"FSHS Tunis")</f>
        <v>FSHS Tunis</v>
      </c>
      <c r="W602" s="43" t="str">
        <f>IFERROR(__xludf.DUMMYFUNCTION("""COMPUTED_VALUE"""),"2021-03-30T04:41:20Z")</f>
        <v>2021-03-30T04:41:20Z</v>
      </c>
      <c r="X602" s="43"/>
      <c r="Y602" s="43"/>
      <c r="Z602" s="43"/>
    </row>
    <row r="603" hidden="1">
      <c r="A603" s="43" t="str">
        <f>IFERROR(__xludf.DUMMYFUNCTION("""COMPUTED_VALUE"""),"5215472_1282065")</f>
        <v>5215472_1282065</v>
      </c>
      <c r="B603" s="43" t="str">
        <f>IFERROR(__xludf.DUMMYFUNCTION("""COMPUTED_VALUE"""),"Ljiljana Blanuša")</f>
        <v>Ljiljana Blanuša</v>
      </c>
      <c r="C603" s="43" t="str">
        <f>IFERROR(__xludf.DUMMYFUNCTION("""COMPUTED_VALUE"""),"completed")</f>
        <v>completed</v>
      </c>
      <c r="D603" s="43" t="str">
        <f>IFERROR(__xludf.DUMMYFUNCTION("""COMPUTED_VALUE"""),"No")</f>
        <v>No</v>
      </c>
      <c r="E603" s="43" t="str">
        <f>IFERROR(__xludf.DUMMYFUNCTION("""COMPUTED_VALUE"""),"p_69944485ebd80b99012f3455e08673d2558e1083@inbound.aiesec.org")</f>
        <v>p_69944485ebd80b99012f3455e08673d2558e1083@inbound.aiesec.org</v>
      </c>
      <c r="F603" s="43">
        <f>IFERROR(__xludf.DUMMYFUNCTION("""COMPUTED_VALUE"""),6.53121201E8)</f>
        <v>653121201</v>
      </c>
      <c r="G603" s="43" t="str">
        <f>IFERROR(__xludf.DUMMYFUNCTION("""COMPUTED_VALUE"""),"Serbia")</f>
        <v>Serbia</v>
      </c>
      <c r="H603" s="43" t="str">
        <f>IFERROR(__xludf.DUMMYFUNCTION("""COMPUTED_VALUE"""),"NOVI SAD")</f>
        <v>NOVI SAD</v>
      </c>
      <c r="I603" s="43" t="str">
        <f>IFERROR(__xludf.DUMMYFUNCTION("""COMPUTED_VALUE"""),"Turkey")</f>
        <v>Turkey</v>
      </c>
      <c r="J603" s="43" t="str">
        <f>IFERROR(__xludf.DUMMYFUNCTION("""COMPUTED_VALUE"""),"DENIZLI")</f>
        <v>DENIZLI</v>
      </c>
      <c r="K603" s="44" t="str">
        <f>IFERROR(__xludf.DUMMYFUNCTION("""COMPUTED_VALUE"""),"https://expa.aiesec.org/opportunities/1282065")</f>
        <v>https://expa.aiesec.org/opportunities/1282065</v>
      </c>
      <c r="L603" s="43" t="str">
        <f>IFERROR(__xludf.DUMMYFUNCTION("""COMPUTED_VALUE"""),"GV")</f>
        <v>GV</v>
      </c>
      <c r="M603" s="43" t="str">
        <f>IFERROR(__xludf.DUMMYFUNCTION("""COMPUTED_VALUE"""),"short")</f>
        <v>short</v>
      </c>
      <c r="N603" s="45">
        <f>IFERROR(__xludf.DUMMYFUNCTION("""COMPUTED_VALUE"""),45014.0)</f>
        <v>45014</v>
      </c>
      <c r="O603" s="45">
        <f>IFERROR(__xludf.DUMMYFUNCTION("""COMPUTED_VALUE"""),45117.0)</f>
        <v>45117</v>
      </c>
      <c r="P603" s="45">
        <f>IFERROR(__xludf.DUMMYFUNCTION("""COMPUTED_VALUE"""),45159.0)</f>
        <v>45159</v>
      </c>
      <c r="Q603" s="45">
        <f>IFERROR(__xludf.DUMMYFUNCTION("""COMPUTED_VALUE"""),45117.0)</f>
        <v>45117</v>
      </c>
      <c r="R603" s="45">
        <f>IFERROR(__xludf.DUMMYFUNCTION("""COMPUTED_VALUE"""),45159.0)</f>
        <v>45159</v>
      </c>
      <c r="S603" s="43"/>
      <c r="T603" s="43"/>
      <c r="U603" s="43" t="str">
        <f>IFERROR(__xludf.DUMMYFUNCTION("""COMPUTED_VALUE"""),"Youth 4 Impact")</f>
        <v>Youth 4 Impact</v>
      </c>
      <c r="V603" s="43" t="str">
        <f>IFERROR(__xludf.DUMMYFUNCTION("""COMPUTED_VALUE"""),"Novi Sad")</f>
        <v>Novi Sad</v>
      </c>
      <c r="W603" s="43" t="str">
        <f>IFERROR(__xludf.DUMMYFUNCTION("""COMPUTED_VALUE"""),"2023-03-14T10:10:10Z")</f>
        <v>2023-03-14T10:10:10Z</v>
      </c>
      <c r="X603" s="43"/>
      <c r="Y603" s="43"/>
      <c r="Z603" s="43"/>
    </row>
    <row r="604" hidden="1">
      <c r="A604" s="43" t="str">
        <f>IFERROR(__xludf.DUMMYFUNCTION("""COMPUTED_VALUE"""),"5174284_1284484")</f>
        <v>5174284_1284484</v>
      </c>
      <c r="B604" s="43" t="str">
        <f>IFERROR(__xludf.DUMMYFUNCTION("""COMPUTED_VALUE"""),"Ayesha Khalid")</f>
        <v>Ayesha Khalid</v>
      </c>
      <c r="C604" s="43" t="str">
        <f>IFERROR(__xludf.DUMMYFUNCTION("""COMPUTED_VALUE"""),"approved")</f>
        <v>approved</v>
      </c>
      <c r="D604" s="43" t="str">
        <f>IFERROR(__xludf.DUMMYFUNCTION("""COMPUTED_VALUE"""),"No")</f>
        <v>No</v>
      </c>
      <c r="E604" s="43" t="str">
        <f>IFERROR(__xludf.DUMMYFUNCTION("""COMPUTED_VALUE"""),"p_0c7d9311add603b679e2d16d647ea0b675d8d80a@inbound.aiesec.org")</f>
        <v>p_0c7d9311add603b679e2d16d647ea0b675d8d80a@inbound.aiesec.org</v>
      </c>
      <c r="F604" s="43"/>
      <c r="G604" s="43" t="str">
        <f>IFERROR(__xludf.DUMMYFUNCTION("""COMPUTED_VALUE"""),"Pakistan")</f>
        <v>Pakistan</v>
      </c>
      <c r="H604" s="43" t="str">
        <f>IFERROR(__xludf.DUMMYFUNCTION("""COMPUTED_VALUE"""),"Lahore - Pak")</f>
        <v>Lahore - Pak</v>
      </c>
      <c r="I604" s="43" t="str">
        <f>IFERROR(__xludf.DUMMYFUNCTION("""COMPUTED_VALUE"""),"Turkey")</f>
        <v>Turkey</v>
      </c>
      <c r="J604" s="43" t="str">
        <f>IFERROR(__xludf.DUMMYFUNCTION("""COMPUTED_VALUE"""),"DENIZLI")</f>
        <v>DENIZLI</v>
      </c>
      <c r="K604" s="44" t="str">
        <f>IFERROR(__xludf.DUMMYFUNCTION("""COMPUTED_VALUE"""),"https://expa.aiesec.org/opportunities/1284484")</f>
        <v>https://expa.aiesec.org/opportunities/1284484</v>
      </c>
      <c r="L604" s="43" t="str">
        <f>IFERROR(__xludf.DUMMYFUNCTION("""COMPUTED_VALUE"""),"GV")</f>
        <v>GV</v>
      </c>
      <c r="M604" s="43" t="str">
        <f>IFERROR(__xludf.DUMMYFUNCTION("""COMPUTED_VALUE"""),"short")</f>
        <v>short</v>
      </c>
      <c r="N604" s="45">
        <f>IFERROR(__xludf.DUMMYFUNCTION("""COMPUTED_VALUE"""),45014.0)</f>
        <v>45014</v>
      </c>
      <c r="O604" s="45">
        <f>IFERROR(__xludf.DUMMYFUNCTION("""COMPUTED_VALUE"""),45124.0)</f>
        <v>45124</v>
      </c>
      <c r="P604" s="45">
        <f>IFERROR(__xludf.DUMMYFUNCTION("""COMPUTED_VALUE"""),45166.0)</f>
        <v>45166</v>
      </c>
      <c r="Q604" s="45"/>
      <c r="R604" s="45"/>
      <c r="S604" s="43"/>
      <c r="T604" s="43"/>
      <c r="U604" s="43" t="str">
        <f>IFERROR(__xludf.DUMMYFUNCTION("""COMPUTED_VALUE"""),"Youth 4 Impact")</f>
        <v>Youth 4 Impact</v>
      </c>
      <c r="V604" s="43" t="str">
        <f>IFERROR(__xludf.DUMMYFUNCTION("""COMPUTED_VALUE"""),"-")</f>
        <v>-</v>
      </c>
      <c r="W604" s="43" t="str">
        <f>IFERROR(__xludf.DUMMYFUNCTION("""COMPUTED_VALUE"""),"2023-01-08T11:12:59Z")</f>
        <v>2023-01-08T11:12:59Z</v>
      </c>
      <c r="X604" s="43"/>
      <c r="Y604" s="43"/>
      <c r="Z604" s="43"/>
    </row>
    <row r="605" hidden="1">
      <c r="A605" s="43" t="str">
        <f>IFERROR(__xludf.DUMMYFUNCTION("""COMPUTED_VALUE"""),"5215738_1288265")</f>
        <v>5215738_1288265</v>
      </c>
      <c r="B605" s="43" t="str">
        <f>IFERROR(__xludf.DUMMYFUNCTION("""COMPUTED_VALUE"""),"Ayman Aboutaib")</f>
        <v>Ayman Aboutaib</v>
      </c>
      <c r="C605" s="43" t="str">
        <f>IFERROR(__xludf.DUMMYFUNCTION("""COMPUTED_VALUE"""),"finished")</f>
        <v>finished</v>
      </c>
      <c r="D605" s="43" t="str">
        <f>IFERROR(__xludf.DUMMYFUNCTION("""COMPUTED_VALUE"""),"No")</f>
        <v>No</v>
      </c>
      <c r="E605" s="43" t="str">
        <f>IFERROR(__xludf.DUMMYFUNCTION("""COMPUTED_VALUE"""),"p_ac818dbcd1b2045e6198ebd638b61a5967fac50e@inbound.aiesec.org")</f>
        <v>p_ac818dbcd1b2045e6198ebd638b61a5967fac50e@inbound.aiesec.org</v>
      </c>
      <c r="F605" s="43">
        <f>IFERROR(__xludf.DUMMYFUNCTION("""COMPUTED_VALUE"""),7.0835753E8)</f>
        <v>708357530</v>
      </c>
      <c r="G605" s="43" t="str">
        <f>IFERROR(__xludf.DUMMYFUNCTION("""COMPUTED_VALUE"""),"Morocco")</f>
        <v>Morocco</v>
      </c>
      <c r="H605" s="43" t="str">
        <f>IFERROR(__xludf.DUMMYFUNCTION("""COMPUTED_VALUE"""),"Meknes")</f>
        <v>Meknes</v>
      </c>
      <c r="I605" s="43" t="str">
        <f>IFERROR(__xludf.DUMMYFUNCTION("""COMPUTED_VALUE"""),"Turkey")</f>
        <v>Turkey</v>
      </c>
      <c r="J605" s="43" t="str">
        <f>IFERROR(__xludf.DUMMYFUNCTION("""COMPUTED_VALUE"""),"KOCAELI")</f>
        <v>KOCAELI</v>
      </c>
      <c r="K605" s="44" t="str">
        <f>IFERROR(__xludf.DUMMYFUNCTION("""COMPUTED_VALUE"""),"https://expa.aiesec.org/opportunities/1288265")</f>
        <v>https://expa.aiesec.org/opportunities/1288265</v>
      </c>
      <c r="L605" s="43" t="str">
        <f>IFERROR(__xludf.DUMMYFUNCTION("""COMPUTED_VALUE"""),"GV")</f>
        <v>GV</v>
      </c>
      <c r="M605" s="43" t="str">
        <f>IFERROR(__xludf.DUMMYFUNCTION("""COMPUTED_VALUE"""),"short")</f>
        <v>short</v>
      </c>
      <c r="N605" s="45">
        <f>IFERROR(__xludf.DUMMYFUNCTION("""COMPUTED_VALUE"""),45014.0)</f>
        <v>45014</v>
      </c>
      <c r="O605" s="45">
        <f>IFERROR(__xludf.DUMMYFUNCTION("""COMPUTED_VALUE"""),45124.0)</f>
        <v>45124</v>
      </c>
      <c r="P605" s="45">
        <f>IFERROR(__xludf.DUMMYFUNCTION("""COMPUTED_VALUE"""),45166.0)</f>
        <v>45166</v>
      </c>
      <c r="Q605" s="45">
        <f>IFERROR(__xludf.DUMMYFUNCTION("""COMPUTED_VALUE"""),45125.0)</f>
        <v>45125</v>
      </c>
      <c r="R605" s="45">
        <f>IFERROR(__xludf.DUMMYFUNCTION("""COMPUTED_VALUE"""),45166.0)</f>
        <v>45166</v>
      </c>
      <c r="S605" s="43"/>
      <c r="T605" s="43"/>
      <c r="U605" s="43" t="str">
        <f>IFERROR(__xludf.DUMMYFUNCTION("""COMPUTED_VALUE"""),"Skill Up!")</f>
        <v>Skill Up!</v>
      </c>
      <c r="V605" s="43" t="str">
        <f>IFERROR(__xludf.DUMMYFUNCTION("""COMPUTED_VALUE"""),"Ecole Nationale De Commerce Et De Gestion Meknès (ENCGM)")</f>
        <v>Ecole Nationale De Commerce Et De Gestion Meknès (ENCGM)</v>
      </c>
      <c r="W605" s="43" t="str">
        <f>IFERROR(__xludf.DUMMYFUNCTION("""COMPUTED_VALUE"""),"2023-03-14T12:08:22Z")</f>
        <v>2023-03-14T12:08:22Z</v>
      </c>
      <c r="X605" s="43"/>
      <c r="Y605" s="43"/>
      <c r="Z605" s="43"/>
    </row>
    <row r="606" hidden="1">
      <c r="A606" s="43" t="str">
        <f>IFERROR(__xludf.DUMMYFUNCTION("""COMPUTED_VALUE"""),"5219728_1287101")</f>
        <v>5219728_1287101</v>
      </c>
      <c r="B606" s="43" t="str">
        <f>IFERROR(__xludf.DUMMYFUNCTION("""COMPUTED_VALUE"""),"Mai Mahmoud")</f>
        <v>Mai Mahmoud</v>
      </c>
      <c r="C606" s="43" t="str">
        <f>IFERROR(__xludf.DUMMYFUNCTION("""COMPUTED_VALUE"""),"approved")</f>
        <v>approved</v>
      </c>
      <c r="D606" s="43" t="str">
        <f>IFERROR(__xludf.DUMMYFUNCTION("""COMPUTED_VALUE"""),"No")</f>
        <v>No</v>
      </c>
      <c r="E606" s="43" t="str">
        <f>IFERROR(__xludf.DUMMYFUNCTION("""COMPUTED_VALUE"""),"p_83f0e95d64ec3d82352842b750cab7bbff74294d@inbound.aiesec.org")</f>
        <v>p_83f0e95d64ec3d82352842b750cab7bbff74294d@inbound.aiesec.org</v>
      </c>
      <c r="F606" s="43">
        <f>IFERROR(__xludf.DUMMYFUNCTION("""COMPUTED_VALUE"""),1.126388987E9)</f>
        <v>1126388987</v>
      </c>
      <c r="G606" s="43" t="str">
        <f>IFERROR(__xludf.DUMMYFUNCTION("""COMPUTED_VALUE"""),"Egypt")</f>
        <v>Egypt</v>
      </c>
      <c r="H606" s="43" t="str">
        <f>IFERROR(__xludf.DUMMYFUNCTION("""COMPUTED_VALUE"""),"Ain Shams University")</f>
        <v>Ain Shams University</v>
      </c>
      <c r="I606" s="43" t="str">
        <f>IFERROR(__xludf.DUMMYFUNCTION("""COMPUTED_VALUE"""),"Turkey")</f>
        <v>Turkey</v>
      </c>
      <c r="J606" s="43" t="str">
        <f>IFERROR(__xludf.DUMMYFUNCTION("""COMPUTED_VALUE"""),"İZMİR")</f>
        <v>İZMİR</v>
      </c>
      <c r="K606" s="44" t="str">
        <f>IFERROR(__xludf.DUMMYFUNCTION("""COMPUTED_VALUE"""),"https://expa.aiesec.org/opportunities/1287101")</f>
        <v>https://expa.aiesec.org/opportunities/1287101</v>
      </c>
      <c r="L606" s="43" t="str">
        <f>IFERROR(__xludf.DUMMYFUNCTION("""COMPUTED_VALUE"""),"GV")</f>
        <v>GV</v>
      </c>
      <c r="M606" s="43" t="str">
        <f>IFERROR(__xludf.DUMMYFUNCTION("""COMPUTED_VALUE"""),"short")</f>
        <v>short</v>
      </c>
      <c r="N606" s="45">
        <f>IFERROR(__xludf.DUMMYFUNCTION("""COMPUTED_VALUE"""),45014.0)</f>
        <v>45014</v>
      </c>
      <c r="O606" s="45">
        <f>IFERROR(__xludf.DUMMYFUNCTION("""COMPUTED_VALUE"""),45214.0)</f>
        <v>45214</v>
      </c>
      <c r="P606" s="45">
        <f>IFERROR(__xludf.DUMMYFUNCTION("""COMPUTED_VALUE"""),45256.0)</f>
        <v>45256</v>
      </c>
      <c r="Q606" s="45"/>
      <c r="R606" s="45"/>
      <c r="S606" s="43"/>
      <c r="T606" s="43"/>
      <c r="U606" s="43" t="str">
        <f>IFERROR(__xludf.DUMMYFUNCTION("""COMPUTED_VALUE"""),"Global Classroom")</f>
        <v>Global Classroom</v>
      </c>
      <c r="V606" s="43" t="str">
        <f>IFERROR(__xludf.DUMMYFUNCTION("""COMPUTED_VALUE"""),"Ain Shams University")</f>
        <v>Ain Shams University</v>
      </c>
      <c r="W606" s="43" t="str">
        <f>IFERROR(__xludf.DUMMYFUNCTION("""COMPUTED_VALUE"""),"2023-03-17T18:30:42Z")</f>
        <v>2023-03-17T18:30:42Z</v>
      </c>
      <c r="X606" s="43"/>
      <c r="Y606" s="43"/>
      <c r="Z606" s="43"/>
    </row>
    <row r="607" hidden="1">
      <c r="A607" s="43" t="str">
        <f>IFERROR(__xludf.DUMMYFUNCTION("""COMPUTED_VALUE"""),"5229041_1288721")</f>
        <v>5229041_1288721</v>
      </c>
      <c r="B607" s="43" t="str">
        <f>IFERROR(__xludf.DUMMYFUNCTION("""COMPUTED_VALUE"""),"Rania Sbai")</f>
        <v>Rania Sbai</v>
      </c>
      <c r="C607" s="43" t="str">
        <f>IFERROR(__xludf.DUMMYFUNCTION("""COMPUTED_VALUE"""),"completed")</f>
        <v>completed</v>
      </c>
      <c r="D607" s="43" t="str">
        <f>IFERROR(__xludf.DUMMYFUNCTION("""COMPUTED_VALUE"""),"No")</f>
        <v>No</v>
      </c>
      <c r="E607" s="43" t="str">
        <f>IFERROR(__xludf.DUMMYFUNCTION("""COMPUTED_VALUE"""),"p_642ef9f510a77e31b11be43595760a42a85bd46a@inbound.aiesec.org")</f>
        <v>p_642ef9f510a77e31b11be43595760a42a85bd46a@inbound.aiesec.org</v>
      </c>
      <c r="F607" s="43">
        <f>IFERROR(__xludf.DUMMYFUNCTION("""COMPUTED_VALUE"""),5.8550056E7)</f>
        <v>58550056</v>
      </c>
      <c r="G607" s="43" t="str">
        <f>IFERROR(__xludf.DUMMYFUNCTION("""COMPUTED_VALUE"""),"Tunisia")</f>
        <v>Tunisia</v>
      </c>
      <c r="H607" s="43" t="str">
        <f>IFERROR(__xludf.DUMMYFUNCTION("""COMPUTED_VALUE"""),"Carthage")</f>
        <v>Carthage</v>
      </c>
      <c r="I607" s="43" t="str">
        <f>IFERROR(__xludf.DUMMYFUNCTION("""COMPUTED_VALUE"""),"Turkey")</f>
        <v>Turkey</v>
      </c>
      <c r="J607" s="43" t="str">
        <f>IFERROR(__xludf.DUMMYFUNCTION("""COMPUTED_VALUE"""),"KUTAHYA")</f>
        <v>KUTAHYA</v>
      </c>
      <c r="K607" s="44" t="str">
        <f>IFERROR(__xludf.DUMMYFUNCTION("""COMPUTED_VALUE"""),"https://expa.aiesec.org/opportunities/1288721")</f>
        <v>https://expa.aiesec.org/opportunities/1288721</v>
      </c>
      <c r="L607" s="43" t="str">
        <f>IFERROR(__xludf.DUMMYFUNCTION("""COMPUTED_VALUE"""),"GV")</f>
        <v>GV</v>
      </c>
      <c r="M607" s="43" t="str">
        <f>IFERROR(__xludf.DUMMYFUNCTION("""COMPUTED_VALUE"""),"short")</f>
        <v>short</v>
      </c>
      <c r="N607" s="45">
        <f>IFERROR(__xludf.DUMMYFUNCTION("""COMPUTED_VALUE"""),45015.0)</f>
        <v>45015</v>
      </c>
      <c r="O607" s="45">
        <f>IFERROR(__xludf.DUMMYFUNCTION("""COMPUTED_VALUE"""),45096.0)</f>
        <v>45096</v>
      </c>
      <c r="P607" s="45">
        <f>IFERROR(__xludf.DUMMYFUNCTION("""COMPUTED_VALUE"""),45138.0)</f>
        <v>45138</v>
      </c>
      <c r="Q607" s="45">
        <f>IFERROR(__xludf.DUMMYFUNCTION("""COMPUTED_VALUE"""),45096.0)</f>
        <v>45096</v>
      </c>
      <c r="R607" s="45">
        <f>IFERROR(__xludf.DUMMYFUNCTION("""COMPUTED_VALUE"""),45138.0)</f>
        <v>45138</v>
      </c>
      <c r="S607" s="43"/>
      <c r="T607" s="43"/>
      <c r="U607" s="43" t="str">
        <f>IFERROR(__xludf.DUMMYFUNCTION("""COMPUTED_VALUE"""),"On The Map")</f>
        <v>On The Map</v>
      </c>
      <c r="V607" s="43" t="str">
        <f>IFERROR(__xludf.DUMMYFUNCTION("""COMPUTED_VALUE"""),"ENAU")</f>
        <v>ENAU</v>
      </c>
      <c r="W607" s="43" t="str">
        <f>IFERROR(__xludf.DUMMYFUNCTION("""COMPUTED_VALUE"""),"2023-03-28T13:43:57Z")</f>
        <v>2023-03-28T13:43:57Z</v>
      </c>
      <c r="X607" s="43"/>
      <c r="Y607" s="43"/>
      <c r="Z607" s="43"/>
    </row>
    <row r="608" hidden="1">
      <c r="A608" s="43" t="str">
        <f>IFERROR(__xludf.DUMMYFUNCTION("""COMPUTED_VALUE"""),"5230790_1292556")</f>
        <v>5230790_1292556</v>
      </c>
      <c r="B608" s="43" t="str">
        <f>IFERROR(__xludf.DUMMYFUNCTION("""COMPUTED_VALUE"""),"Ibtihel Ferjani")</f>
        <v>Ibtihel Ferjani</v>
      </c>
      <c r="C608" s="43" t="str">
        <f>IFERROR(__xludf.DUMMYFUNCTION("""COMPUTED_VALUE"""),"completed")</f>
        <v>completed</v>
      </c>
      <c r="D608" s="43" t="str">
        <f>IFERROR(__xludf.DUMMYFUNCTION("""COMPUTED_VALUE"""),"No")</f>
        <v>No</v>
      </c>
      <c r="E608" s="43" t="str">
        <f>IFERROR(__xludf.DUMMYFUNCTION("""COMPUTED_VALUE"""),"p_6ba64dc39f35654672a75d0329cba3b48dd1685a@inbound.aiesec.org")</f>
        <v>p_6ba64dc39f35654672a75d0329cba3b48dd1685a@inbound.aiesec.org</v>
      </c>
      <c r="F608" s="43">
        <f>IFERROR(__xludf.DUMMYFUNCTION("""COMPUTED_VALUE"""),9.2698788E7)</f>
        <v>92698788</v>
      </c>
      <c r="G608" s="43" t="str">
        <f>IFERROR(__xludf.DUMMYFUNCTION("""COMPUTED_VALUE"""),"Tunisia")</f>
        <v>Tunisia</v>
      </c>
      <c r="H608" s="43" t="str">
        <f>IFERROR(__xludf.DUMMYFUNCTION("""COMPUTED_VALUE"""),"HADRUMET")</f>
        <v>HADRUMET</v>
      </c>
      <c r="I608" s="43" t="str">
        <f>IFERROR(__xludf.DUMMYFUNCTION("""COMPUTED_VALUE"""),"Turkey")</f>
        <v>Turkey</v>
      </c>
      <c r="J608" s="43" t="str">
        <f>IFERROR(__xludf.DUMMYFUNCTION("""COMPUTED_VALUE"""),"DENIZLI")</f>
        <v>DENIZLI</v>
      </c>
      <c r="K608" s="44" t="str">
        <f>IFERROR(__xludf.DUMMYFUNCTION("""COMPUTED_VALUE"""),"https://expa.aiesec.org/opportunities/1292556")</f>
        <v>https://expa.aiesec.org/opportunities/1292556</v>
      </c>
      <c r="L608" s="43" t="str">
        <f>IFERROR(__xludf.DUMMYFUNCTION("""COMPUTED_VALUE"""),"GV")</f>
        <v>GV</v>
      </c>
      <c r="M608" s="43" t="str">
        <f>IFERROR(__xludf.DUMMYFUNCTION("""COMPUTED_VALUE"""),"short")</f>
        <v>short</v>
      </c>
      <c r="N608" s="45">
        <f>IFERROR(__xludf.DUMMYFUNCTION("""COMPUTED_VALUE"""),45015.0)</f>
        <v>45015</v>
      </c>
      <c r="O608" s="45">
        <f>IFERROR(__xludf.DUMMYFUNCTION("""COMPUTED_VALUE"""),45110.0)</f>
        <v>45110</v>
      </c>
      <c r="P608" s="45">
        <f>IFERROR(__xludf.DUMMYFUNCTION("""COMPUTED_VALUE"""),45152.0)</f>
        <v>45152</v>
      </c>
      <c r="Q608" s="45">
        <f>IFERROR(__xludf.DUMMYFUNCTION("""COMPUTED_VALUE"""),45110.0)</f>
        <v>45110</v>
      </c>
      <c r="R608" s="45">
        <f>IFERROR(__xludf.DUMMYFUNCTION("""COMPUTED_VALUE"""),45152.0)</f>
        <v>45152</v>
      </c>
      <c r="S608" s="43"/>
      <c r="T608" s="43"/>
      <c r="U608" s="43" t="str">
        <f>IFERROR(__xludf.DUMMYFUNCTION("""COMPUTED_VALUE"""),"Global Classroom")</f>
        <v>Global Classroom</v>
      </c>
      <c r="V608" s="43" t="str">
        <f>IFERROR(__xludf.DUMMYFUNCTION("""COMPUTED_VALUE"""),"IHE Sousse")</f>
        <v>IHE Sousse</v>
      </c>
      <c r="W608" s="43" t="str">
        <f>IFERROR(__xludf.DUMMYFUNCTION("""COMPUTED_VALUE"""),"2023-03-30T09:01:39Z")</f>
        <v>2023-03-30T09:01:39Z</v>
      </c>
      <c r="X608" s="43"/>
      <c r="Y608" s="43"/>
      <c r="Z608" s="43"/>
    </row>
    <row r="609" hidden="1">
      <c r="A609" s="43" t="str">
        <f>IFERROR(__xludf.DUMMYFUNCTION("""COMPUTED_VALUE"""),"5229099_1293417")</f>
        <v>5229099_1293417</v>
      </c>
      <c r="B609" s="43" t="str">
        <f>IFERROR(__xludf.DUMMYFUNCTION("""COMPUTED_VALUE"""),"Alexandra Pop")</f>
        <v>Alexandra Pop</v>
      </c>
      <c r="C609" s="43" t="str">
        <f>IFERROR(__xludf.DUMMYFUNCTION("""COMPUTED_VALUE"""),"finished")</f>
        <v>finished</v>
      </c>
      <c r="D609" s="43" t="str">
        <f>IFERROR(__xludf.DUMMYFUNCTION("""COMPUTED_VALUE"""),"No")</f>
        <v>No</v>
      </c>
      <c r="E609" s="43" t="str">
        <f>IFERROR(__xludf.DUMMYFUNCTION("""COMPUTED_VALUE"""),"p_8fadd84fc7829d3f2ea9eab141a6933bb33ab68c@inbound.aiesec.org")</f>
        <v>p_8fadd84fc7829d3f2ea9eab141a6933bb33ab68c@inbound.aiesec.org</v>
      </c>
      <c r="F609" s="43"/>
      <c r="G609" s="43" t="str">
        <f>IFERROR(__xludf.DUMMYFUNCTION("""COMPUTED_VALUE"""),"Romania")</f>
        <v>Romania</v>
      </c>
      <c r="H609" s="43" t="str">
        <f>IFERROR(__xludf.DUMMYFUNCTION("""COMPUTED_VALUE"""),"Cluj-Napoca")</f>
        <v>Cluj-Napoca</v>
      </c>
      <c r="I609" s="43" t="str">
        <f>IFERROR(__xludf.DUMMYFUNCTION("""COMPUTED_VALUE"""),"Turkey")</f>
        <v>Turkey</v>
      </c>
      <c r="J609" s="43" t="str">
        <f>IFERROR(__xludf.DUMMYFUNCTION("""COMPUTED_VALUE"""),"ISTANBUL")</f>
        <v>ISTANBUL</v>
      </c>
      <c r="K609" s="44" t="str">
        <f>IFERROR(__xludf.DUMMYFUNCTION("""COMPUTED_VALUE"""),"https://expa.aiesec.org/opportunities/1293417")</f>
        <v>https://expa.aiesec.org/opportunities/1293417</v>
      </c>
      <c r="L609" s="43" t="str">
        <f>IFERROR(__xludf.DUMMYFUNCTION("""COMPUTED_VALUE"""),"GV")</f>
        <v>GV</v>
      </c>
      <c r="M609" s="43" t="str">
        <f>IFERROR(__xludf.DUMMYFUNCTION("""COMPUTED_VALUE"""),"short")</f>
        <v>short</v>
      </c>
      <c r="N609" s="45">
        <f>IFERROR(__xludf.DUMMYFUNCTION("""COMPUTED_VALUE"""),45015.0)</f>
        <v>45015</v>
      </c>
      <c r="O609" s="45">
        <f>IFERROR(__xludf.DUMMYFUNCTION("""COMPUTED_VALUE"""),45133.0)</f>
        <v>45133</v>
      </c>
      <c r="P609" s="45">
        <f>IFERROR(__xludf.DUMMYFUNCTION("""COMPUTED_VALUE"""),45175.0)</f>
        <v>45175</v>
      </c>
      <c r="Q609" s="45">
        <f>IFERROR(__xludf.DUMMYFUNCTION("""COMPUTED_VALUE"""),45133.0)</f>
        <v>45133</v>
      </c>
      <c r="R609" s="45">
        <f>IFERROR(__xludf.DUMMYFUNCTION("""COMPUTED_VALUE"""),45175.0)</f>
        <v>45175</v>
      </c>
      <c r="S609" s="43"/>
      <c r="T609" s="43"/>
      <c r="U609" s="43" t="str">
        <f>IFERROR(__xludf.DUMMYFUNCTION("""COMPUTED_VALUE"""),"Global Classroom")</f>
        <v>Global Classroom</v>
      </c>
      <c r="V609" s="43" t="str">
        <f>IFERROR(__xludf.DUMMYFUNCTION("""COMPUTED_VALUE"""),"-")</f>
        <v>-</v>
      </c>
      <c r="W609" s="43" t="str">
        <f>IFERROR(__xludf.DUMMYFUNCTION("""COMPUTED_VALUE"""),"2023-03-28T14:28:06Z")</f>
        <v>2023-03-28T14:28:06Z</v>
      </c>
      <c r="X609" s="43"/>
      <c r="Y609" s="43"/>
      <c r="Z609" s="43"/>
    </row>
    <row r="610" hidden="1">
      <c r="A610" s="43" t="str">
        <f>IFERROR(__xludf.DUMMYFUNCTION("""COMPUTED_VALUE"""),"5102343_1286920")</f>
        <v>5102343_1286920</v>
      </c>
      <c r="B610" s="43" t="str">
        <f>IFERROR(__xludf.DUMMYFUNCTION("""COMPUTED_VALUE"""),"Haider Farooq")</f>
        <v>Haider Farooq</v>
      </c>
      <c r="C610" s="43" t="str">
        <f>IFERROR(__xludf.DUMMYFUNCTION("""COMPUTED_VALUE"""),"completed")</f>
        <v>completed</v>
      </c>
      <c r="D610" s="43" t="str">
        <f>IFERROR(__xludf.DUMMYFUNCTION("""COMPUTED_VALUE"""),"No")</f>
        <v>No</v>
      </c>
      <c r="E610" s="43" t="str">
        <f>IFERROR(__xludf.DUMMYFUNCTION("""COMPUTED_VALUE"""),"p_43d296e5a3346988e71b8a2cd3893e59af4a3660@inbound.aiesec.org")</f>
        <v>p_43d296e5a3346988e71b8a2cd3893e59af4a3660@inbound.aiesec.org</v>
      </c>
      <c r="F610" s="43">
        <f>IFERROR(__xludf.DUMMYFUNCTION("""COMPUTED_VALUE"""),3.343331615E9)</f>
        <v>3343331615</v>
      </c>
      <c r="G610" s="43" t="str">
        <f>IFERROR(__xludf.DUMMYFUNCTION("""COMPUTED_VALUE"""),"Pakistan")</f>
        <v>Pakistan</v>
      </c>
      <c r="H610" s="43" t="str">
        <f>IFERROR(__xludf.DUMMYFUNCTION("""COMPUTED_VALUE"""),"IBA")</f>
        <v>IBA</v>
      </c>
      <c r="I610" s="43" t="str">
        <f>IFERROR(__xludf.DUMMYFUNCTION("""COMPUTED_VALUE"""),"Turkey")</f>
        <v>Turkey</v>
      </c>
      <c r="J610" s="43" t="str">
        <f>IFERROR(__xludf.DUMMYFUNCTION("""COMPUTED_VALUE"""),"DENIZLI")</f>
        <v>DENIZLI</v>
      </c>
      <c r="K610" s="44" t="str">
        <f>IFERROR(__xludf.DUMMYFUNCTION("""COMPUTED_VALUE"""),"https://expa.aiesec.org/opportunities/1286920")</f>
        <v>https://expa.aiesec.org/opportunities/1286920</v>
      </c>
      <c r="L610" s="43" t="str">
        <f>IFERROR(__xludf.DUMMYFUNCTION("""COMPUTED_VALUE"""),"GV")</f>
        <v>GV</v>
      </c>
      <c r="M610" s="43" t="str">
        <f>IFERROR(__xludf.DUMMYFUNCTION("""COMPUTED_VALUE"""),"short")</f>
        <v>short</v>
      </c>
      <c r="N610" s="45">
        <f>IFERROR(__xludf.DUMMYFUNCTION("""COMPUTED_VALUE"""),45015.0)</f>
        <v>45015</v>
      </c>
      <c r="O610" s="45">
        <f>IFERROR(__xludf.DUMMYFUNCTION("""COMPUTED_VALUE"""),45075.0)</f>
        <v>45075</v>
      </c>
      <c r="P610" s="45">
        <f>IFERROR(__xludf.DUMMYFUNCTION("""COMPUTED_VALUE"""),45117.0)</f>
        <v>45117</v>
      </c>
      <c r="Q610" s="45">
        <f>IFERROR(__xludf.DUMMYFUNCTION("""COMPUTED_VALUE"""),45074.0)</f>
        <v>45074</v>
      </c>
      <c r="R610" s="45">
        <f>IFERROR(__xludf.DUMMYFUNCTION("""COMPUTED_VALUE"""),45117.0)</f>
        <v>45117</v>
      </c>
      <c r="S610" s="43"/>
      <c r="T610" s="43"/>
      <c r="U610" s="43" t="str">
        <f>IFERROR(__xludf.DUMMYFUNCTION("""COMPUTED_VALUE"""),"Global Classroom")</f>
        <v>Global Classroom</v>
      </c>
      <c r="V610" s="43" t="str">
        <f>IFERROR(__xludf.DUMMYFUNCTION("""COMPUTED_VALUE"""),"Karachi - IBA")</f>
        <v>Karachi - IBA</v>
      </c>
      <c r="W610" s="43" t="str">
        <f>IFERROR(__xludf.DUMMYFUNCTION("""COMPUTED_VALUE"""),"2022-08-30T14:15:33Z")</f>
        <v>2022-08-30T14:15:33Z</v>
      </c>
      <c r="X610" s="43"/>
      <c r="Y610" s="43"/>
      <c r="Z610" s="43"/>
    </row>
    <row r="611" hidden="1">
      <c r="A611" s="43" t="str">
        <f>IFERROR(__xludf.DUMMYFUNCTION("""COMPUTED_VALUE"""),"5044370_1291929")</f>
        <v>5044370_1291929</v>
      </c>
      <c r="B611" s="43" t="str">
        <f>IFERROR(__xludf.DUMMYFUNCTION("""COMPUTED_VALUE"""),"Lisa Araújo")</f>
        <v>Lisa Araújo</v>
      </c>
      <c r="C611" s="43" t="str">
        <f>IFERROR(__xludf.DUMMYFUNCTION("""COMPUTED_VALUE"""),"completed")</f>
        <v>completed</v>
      </c>
      <c r="D611" s="43" t="str">
        <f>IFERROR(__xludf.DUMMYFUNCTION("""COMPUTED_VALUE"""),"No")</f>
        <v>No</v>
      </c>
      <c r="E611" s="43" t="str">
        <f>IFERROR(__xludf.DUMMYFUNCTION("""COMPUTED_VALUE"""),"p_436778a540a81eda970004381e4b2b310c4b063b@inbound.aiesec.org")</f>
        <v>p_436778a540a81eda970004381e4b2b310c4b063b@inbound.aiesec.org</v>
      </c>
      <c r="F611" s="43">
        <f>IFERROR(__xludf.DUMMYFUNCTION("""COMPUTED_VALUE"""),9.26542073E8)</f>
        <v>926542073</v>
      </c>
      <c r="G611" s="43" t="str">
        <f>IFERROR(__xludf.DUMMYFUNCTION("""COMPUTED_VALUE"""),"Portugal")</f>
        <v>Portugal</v>
      </c>
      <c r="H611" s="43" t="str">
        <f>IFERROR(__xludf.DUMMYFUNCTION("""COMPUTED_VALUE"""),"UMINHO")</f>
        <v>UMINHO</v>
      </c>
      <c r="I611" s="43" t="str">
        <f>IFERROR(__xludf.DUMMYFUNCTION("""COMPUTED_VALUE"""),"Turkey")</f>
        <v>Turkey</v>
      </c>
      <c r="J611" s="43" t="str">
        <f>IFERROR(__xludf.DUMMYFUNCTION("""COMPUTED_VALUE"""),"TRABZON")</f>
        <v>TRABZON</v>
      </c>
      <c r="K611" s="44" t="str">
        <f>IFERROR(__xludf.DUMMYFUNCTION("""COMPUTED_VALUE"""),"https://expa.aiesec.org/opportunities/1291929")</f>
        <v>https://expa.aiesec.org/opportunities/1291929</v>
      </c>
      <c r="L611" s="43" t="str">
        <f>IFERROR(__xludf.DUMMYFUNCTION("""COMPUTED_VALUE"""),"GV")</f>
        <v>GV</v>
      </c>
      <c r="M611" s="43" t="str">
        <f>IFERROR(__xludf.DUMMYFUNCTION("""COMPUTED_VALUE"""),"short")</f>
        <v>short</v>
      </c>
      <c r="N611" s="45">
        <f>IFERROR(__xludf.DUMMYFUNCTION("""COMPUTED_VALUE"""),45015.0)</f>
        <v>45015</v>
      </c>
      <c r="O611" s="45">
        <f>IFERROR(__xludf.DUMMYFUNCTION("""COMPUTED_VALUE"""),45128.0)</f>
        <v>45128</v>
      </c>
      <c r="P611" s="45">
        <f>IFERROR(__xludf.DUMMYFUNCTION("""COMPUTED_VALUE"""),45170.0)</f>
        <v>45170</v>
      </c>
      <c r="Q611" s="45">
        <f>IFERROR(__xludf.DUMMYFUNCTION("""COMPUTED_VALUE"""),45132.0)</f>
        <v>45132</v>
      </c>
      <c r="R611" s="45">
        <f>IFERROR(__xludf.DUMMYFUNCTION("""COMPUTED_VALUE"""),45174.0)</f>
        <v>45174</v>
      </c>
      <c r="S611" s="43"/>
      <c r="T611" s="43"/>
      <c r="U611" s="43" t="str">
        <f>IFERROR(__xludf.DUMMYFUNCTION("""COMPUTED_VALUE"""),"Global Classroom")</f>
        <v>Global Classroom</v>
      </c>
      <c r="V611" s="43" t="str">
        <f>IFERROR(__xludf.DUMMYFUNCTION("""COMPUTED_VALUE"""),"Universidade do Minho - Escola de Economia e Gestão (EEGUM)")</f>
        <v>Universidade do Minho - Escola de Economia e Gestão (EEGUM)</v>
      </c>
      <c r="W611" s="43" t="str">
        <f>IFERROR(__xludf.DUMMYFUNCTION("""COMPUTED_VALUE"""),"2022-04-23T08:25:12Z")</f>
        <v>2022-04-23T08:25:12Z</v>
      </c>
      <c r="X611" s="43"/>
      <c r="Y611" s="43"/>
      <c r="Z611" s="43"/>
    </row>
    <row r="612" hidden="1">
      <c r="A612" s="43" t="str">
        <f>IFERROR(__xludf.DUMMYFUNCTION("""COMPUTED_VALUE"""),"5211812_1285687")</f>
        <v>5211812_1285687</v>
      </c>
      <c r="B612" s="43" t="str">
        <f>IFERROR(__xludf.DUMMYFUNCTION("""COMPUTED_VALUE"""),"Alma El mekki")</f>
        <v>Alma El mekki</v>
      </c>
      <c r="C612" s="43" t="str">
        <f>IFERROR(__xludf.DUMMYFUNCTION("""COMPUTED_VALUE"""),"approved")</f>
        <v>approved</v>
      </c>
      <c r="D612" s="43" t="str">
        <f>IFERROR(__xludf.DUMMYFUNCTION("""COMPUTED_VALUE"""),"No")</f>
        <v>No</v>
      </c>
      <c r="E612" s="43" t="str">
        <f>IFERROR(__xludf.DUMMYFUNCTION("""COMPUTED_VALUE"""),"p_edbd85ccbb2f7a59c803eb2951ab8152b3a84a82@inbound.aiesec.org")</f>
        <v>p_edbd85ccbb2f7a59c803eb2951ab8152b3a84a82@inbound.aiesec.org</v>
      </c>
      <c r="F612" s="43">
        <f>IFERROR(__xludf.DUMMYFUNCTION("""COMPUTED_VALUE"""),9.2554924E7)</f>
        <v>92554924</v>
      </c>
      <c r="G612" s="43" t="str">
        <f>IFERROR(__xludf.DUMMYFUNCTION("""COMPUTED_VALUE"""),"Tunisia")</f>
        <v>Tunisia</v>
      </c>
      <c r="H612" s="43" t="str">
        <f>IFERROR(__xludf.DUMMYFUNCTION("""COMPUTED_VALUE"""),"Carthage")</f>
        <v>Carthage</v>
      </c>
      <c r="I612" s="43" t="str">
        <f>IFERROR(__xludf.DUMMYFUNCTION("""COMPUTED_VALUE"""),"Turkey")</f>
        <v>Turkey</v>
      </c>
      <c r="J612" s="43" t="str">
        <f>IFERROR(__xludf.DUMMYFUNCTION("""COMPUTED_VALUE"""),"ISTANBUL")</f>
        <v>ISTANBUL</v>
      </c>
      <c r="K612" s="44" t="str">
        <f>IFERROR(__xludf.DUMMYFUNCTION("""COMPUTED_VALUE"""),"https://expa.aiesec.org/opportunities/1285687")</f>
        <v>https://expa.aiesec.org/opportunities/1285687</v>
      </c>
      <c r="L612" s="43" t="str">
        <f>IFERROR(__xludf.DUMMYFUNCTION("""COMPUTED_VALUE"""),"GV")</f>
        <v>GV</v>
      </c>
      <c r="M612" s="43" t="str">
        <f>IFERROR(__xludf.DUMMYFUNCTION("""COMPUTED_VALUE"""),"short")</f>
        <v>short</v>
      </c>
      <c r="N612" s="45">
        <f>IFERROR(__xludf.DUMMYFUNCTION("""COMPUTED_VALUE"""),45016.0)</f>
        <v>45016</v>
      </c>
      <c r="O612" s="45">
        <f>IFERROR(__xludf.DUMMYFUNCTION("""COMPUTED_VALUE"""),45155.0)</f>
        <v>45155</v>
      </c>
      <c r="P612" s="45">
        <f>IFERROR(__xludf.DUMMYFUNCTION("""COMPUTED_VALUE"""),45197.0)</f>
        <v>45197</v>
      </c>
      <c r="Q612" s="45"/>
      <c r="R612" s="45"/>
      <c r="S612" s="43"/>
      <c r="T612" s="43"/>
      <c r="U612" s="43" t="str">
        <f>IFERROR(__xludf.DUMMYFUNCTION("""COMPUTED_VALUE"""),"Youth 4 Impact")</f>
        <v>Youth 4 Impact</v>
      </c>
      <c r="V612" s="43" t="str">
        <f>IFERROR(__xludf.DUMMYFUNCTION("""COMPUTED_VALUE"""),"IHEC Carthage")</f>
        <v>IHEC Carthage</v>
      </c>
      <c r="W612" s="43" t="str">
        <f>IFERROR(__xludf.DUMMYFUNCTION("""COMPUTED_VALUE"""),"2023-03-10T09:15:58Z")</f>
        <v>2023-03-10T09:15:58Z</v>
      </c>
      <c r="X612" s="43"/>
      <c r="Y612" s="43"/>
      <c r="Z612" s="43"/>
    </row>
    <row r="613" hidden="1">
      <c r="A613" s="43" t="str">
        <f>IFERROR(__xludf.DUMMYFUNCTION("""COMPUTED_VALUE"""),"5230609_1288280")</f>
        <v>5230609_1288280</v>
      </c>
      <c r="B613" s="43" t="str">
        <f>IFERROR(__xludf.DUMMYFUNCTION("""COMPUTED_VALUE"""),"Tayseer Ali")</f>
        <v>Tayseer Ali</v>
      </c>
      <c r="C613" s="43" t="str">
        <f>IFERROR(__xludf.DUMMYFUNCTION("""COMPUTED_VALUE"""),"approved")</f>
        <v>approved</v>
      </c>
      <c r="D613" s="43" t="str">
        <f>IFERROR(__xludf.DUMMYFUNCTION("""COMPUTED_VALUE"""),"No")</f>
        <v>No</v>
      </c>
      <c r="E613" s="43" t="str">
        <f>IFERROR(__xludf.DUMMYFUNCTION("""COMPUTED_VALUE"""),"p_1e16546a53868135bed066fdcce2b02b15dc9f41@inbound.aiesec.org")</f>
        <v>p_1e16546a53868135bed066fdcce2b02b15dc9f41@inbound.aiesec.org</v>
      </c>
      <c r="F613" s="43">
        <f>IFERROR(__xludf.DUMMYFUNCTION("""COMPUTED_VALUE"""),1.006701205E9)</f>
        <v>1006701205</v>
      </c>
      <c r="G613" s="43" t="str">
        <f>IFERROR(__xludf.DUMMYFUNCTION("""COMPUTED_VALUE"""),"Egypt")</f>
        <v>Egypt</v>
      </c>
      <c r="H613" s="43" t="str">
        <f>IFERROR(__xludf.DUMMYFUNCTION("""COMPUTED_VALUE"""),"Zagazig")</f>
        <v>Zagazig</v>
      </c>
      <c r="I613" s="43" t="str">
        <f>IFERROR(__xludf.DUMMYFUNCTION("""COMPUTED_VALUE"""),"Turkey")</f>
        <v>Turkey</v>
      </c>
      <c r="J613" s="43" t="str">
        <f>IFERROR(__xludf.DUMMYFUNCTION("""COMPUTED_VALUE"""),"İZMİR")</f>
        <v>İZMİR</v>
      </c>
      <c r="K613" s="44" t="str">
        <f>IFERROR(__xludf.DUMMYFUNCTION("""COMPUTED_VALUE"""),"https://expa.aiesec.org/opportunities/1288280")</f>
        <v>https://expa.aiesec.org/opportunities/1288280</v>
      </c>
      <c r="L613" s="43" t="str">
        <f>IFERROR(__xludf.DUMMYFUNCTION("""COMPUTED_VALUE"""),"GV")</f>
        <v>GV</v>
      </c>
      <c r="M613" s="43" t="str">
        <f>IFERROR(__xludf.DUMMYFUNCTION("""COMPUTED_VALUE"""),"short")</f>
        <v>short</v>
      </c>
      <c r="N613" s="45">
        <f>IFERROR(__xludf.DUMMYFUNCTION("""COMPUTED_VALUE"""),45016.0)</f>
        <v>45016</v>
      </c>
      <c r="O613" s="45">
        <f>IFERROR(__xludf.DUMMYFUNCTION("""COMPUTED_VALUE"""),45172.0)</f>
        <v>45172</v>
      </c>
      <c r="P613" s="45">
        <f>IFERROR(__xludf.DUMMYFUNCTION("""COMPUTED_VALUE"""),45214.0)</f>
        <v>45214</v>
      </c>
      <c r="Q613" s="45"/>
      <c r="R613" s="45"/>
      <c r="S613" s="43"/>
      <c r="T613" s="43"/>
      <c r="U613" s="43" t="str">
        <f>IFERROR(__xludf.DUMMYFUNCTION("""COMPUTED_VALUE"""),"Global Classroom")</f>
        <v>Global Classroom</v>
      </c>
      <c r="V613" s="43" t="str">
        <f>IFERROR(__xludf.DUMMYFUNCTION("""COMPUTED_VALUE"""),"Azhar University")</f>
        <v>Azhar University</v>
      </c>
      <c r="W613" s="43" t="str">
        <f>IFERROR(__xludf.DUMMYFUNCTION("""COMPUTED_VALUE"""),"2023-03-30T00:34:16Z")</f>
        <v>2023-03-30T00:34:16Z</v>
      </c>
      <c r="X613" s="43"/>
      <c r="Y613" s="43"/>
      <c r="Z613" s="43"/>
    </row>
    <row r="614" hidden="1">
      <c r="A614" s="43" t="str">
        <f>IFERROR(__xludf.DUMMYFUNCTION("""COMPUTED_VALUE"""),"5229773_1288280")</f>
        <v>5229773_1288280</v>
      </c>
      <c r="B614" s="43" t="str">
        <f>IFERROR(__xludf.DUMMYFUNCTION("""COMPUTED_VALUE"""),"Maria Vataman")</f>
        <v>Maria Vataman</v>
      </c>
      <c r="C614" s="43" t="str">
        <f>IFERROR(__xludf.DUMMYFUNCTION("""COMPUTED_VALUE"""),"approved")</f>
        <v>approved</v>
      </c>
      <c r="D614" s="43" t="str">
        <f>IFERROR(__xludf.DUMMYFUNCTION("""COMPUTED_VALUE"""),"No")</f>
        <v>No</v>
      </c>
      <c r="E614" s="43" t="str">
        <f>IFERROR(__xludf.DUMMYFUNCTION("""COMPUTED_VALUE"""),"p_64b0b78c1e95c2e83d7910e907fa38a0263b42db@inbound.aiesec.org")</f>
        <v>p_64b0b78c1e95c2e83d7910e907fa38a0263b42db@inbound.aiesec.org</v>
      </c>
      <c r="F614" s="43"/>
      <c r="G614" s="43" t="str">
        <f>IFERROR(__xludf.DUMMYFUNCTION("""COMPUTED_VALUE"""),"Romania")</f>
        <v>Romania</v>
      </c>
      <c r="H614" s="43" t="str">
        <f>IFERROR(__xludf.DUMMYFUNCTION("""COMPUTED_VALUE"""),"GALATI")</f>
        <v>GALATI</v>
      </c>
      <c r="I614" s="43" t="str">
        <f>IFERROR(__xludf.DUMMYFUNCTION("""COMPUTED_VALUE"""),"Turkey")</f>
        <v>Turkey</v>
      </c>
      <c r="J614" s="43" t="str">
        <f>IFERROR(__xludf.DUMMYFUNCTION("""COMPUTED_VALUE"""),"İZMİR")</f>
        <v>İZMİR</v>
      </c>
      <c r="K614" s="44" t="str">
        <f>IFERROR(__xludf.DUMMYFUNCTION("""COMPUTED_VALUE"""),"https://expa.aiesec.org/opportunities/1288280")</f>
        <v>https://expa.aiesec.org/opportunities/1288280</v>
      </c>
      <c r="L614" s="43" t="str">
        <f>IFERROR(__xludf.DUMMYFUNCTION("""COMPUTED_VALUE"""),"GV")</f>
        <v>GV</v>
      </c>
      <c r="M614" s="43" t="str">
        <f>IFERROR(__xludf.DUMMYFUNCTION("""COMPUTED_VALUE"""),"short")</f>
        <v>short</v>
      </c>
      <c r="N614" s="45">
        <f>IFERROR(__xludf.DUMMYFUNCTION("""COMPUTED_VALUE"""),45016.0)</f>
        <v>45016</v>
      </c>
      <c r="O614" s="45">
        <f>IFERROR(__xludf.DUMMYFUNCTION("""COMPUTED_VALUE"""),45144.0)</f>
        <v>45144</v>
      </c>
      <c r="P614" s="45">
        <f>IFERROR(__xludf.DUMMYFUNCTION("""COMPUTED_VALUE"""),45186.0)</f>
        <v>45186</v>
      </c>
      <c r="Q614" s="45"/>
      <c r="R614" s="45"/>
      <c r="S614" s="43"/>
      <c r="T614" s="43"/>
      <c r="U614" s="43" t="str">
        <f>IFERROR(__xludf.DUMMYFUNCTION("""COMPUTED_VALUE"""),"Global Classroom")</f>
        <v>Global Classroom</v>
      </c>
      <c r="V614" s="43" t="str">
        <f>IFERROR(__xludf.DUMMYFUNCTION("""COMPUTED_VALUE"""),"-")</f>
        <v>-</v>
      </c>
      <c r="W614" s="43" t="str">
        <f>IFERROR(__xludf.DUMMYFUNCTION("""COMPUTED_VALUE"""),"2023-03-29T08:19:23Z")</f>
        <v>2023-03-29T08:19:23Z</v>
      </c>
      <c r="X614" s="43"/>
      <c r="Y614" s="43"/>
      <c r="Z614" s="43"/>
    </row>
    <row r="615" hidden="1">
      <c r="A615" s="43" t="str">
        <f>IFERROR(__xludf.DUMMYFUNCTION("""COMPUTED_VALUE"""),"5021082_1291634")</f>
        <v>5021082_1291634</v>
      </c>
      <c r="B615" s="43" t="str">
        <f>IFERROR(__xludf.DUMMYFUNCTION("""COMPUTED_VALUE"""),"Areesha Qasim")</f>
        <v>Areesha Qasim</v>
      </c>
      <c r="C615" s="43" t="str">
        <f>IFERROR(__xludf.DUMMYFUNCTION("""COMPUTED_VALUE"""),"approved")</f>
        <v>approved</v>
      </c>
      <c r="D615" s="43" t="str">
        <f>IFERROR(__xludf.DUMMYFUNCTION("""COMPUTED_VALUE"""),"No")</f>
        <v>No</v>
      </c>
      <c r="E615" s="43" t="str">
        <f>IFERROR(__xludf.DUMMYFUNCTION("""COMPUTED_VALUE"""),"p_87777e771cbbcf05ce48650139044ad248642a44@inbound.aiesec.org")</f>
        <v>p_87777e771cbbcf05ce48650139044ad248642a44@inbound.aiesec.org</v>
      </c>
      <c r="F615" s="43">
        <f>IFERROR(__xludf.DUMMYFUNCTION("""COMPUTED_VALUE"""),3.462806104E9)</f>
        <v>3462806104</v>
      </c>
      <c r="G615" s="43" t="str">
        <f>IFERROR(__xludf.DUMMYFUNCTION("""COMPUTED_VALUE"""),"Pakistan")</f>
        <v>Pakistan</v>
      </c>
      <c r="H615" s="43" t="str">
        <f>IFERROR(__xludf.DUMMYFUNCTION("""COMPUTED_VALUE"""),"Karachi")</f>
        <v>Karachi</v>
      </c>
      <c r="I615" s="43" t="str">
        <f>IFERROR(__xludf.DUMMYFUNCTION("""COMPUTED_VALUE"""),"Turkey")</f>
        <v>Turkey</v>
      </c>
      <c r="J615" s="43" t="str">
        <f>IFERROR(__xludf.DUMMYFUNCTION("""COMPUTED_VALUE"""),"İZMİR")</f>
        <v>İZMİR</v>
      </c>
      <c r="K615" s="44" t="str">
        <f>IFERROR(__xludf.DUMMYFUNCTION("""COMPUTED_VALUE"""),"https://expa.aiesec.org/opportunities/1291634")</f>
        <v>https://expa.aiesec.org/opportunities/1291634</v>
      </c>
      <c r="L615" s="43" t="str">
        <f>IFERROR(__xludf.DUMMYFUNCTION("""COMPUTED_VALUE"""),"GV")</f>
        <v>GV</v>
      </c>
      <c r="M615" s="43" t="str">
        <f>IFERROR(__xludf.DUMMYFUNCTION("""COMPUTED_VALUE"""),"short")</f>
        <v>short</v>
      </c>
      <c r="N615" s="45">
        <f>IFERROR(__xludf.DUMMYFUNCTION("""COMPUTED_VALUE"""),45016.0)</f>
        <v>45016</v>
      </c>
      <c r="O615" s="45">
        <f>IFERROR(__xludf.DUMMYFUNCTION("""COMPUTED_VALUE"""),45166.0)</f>
        <v>45166</v>
      </c>
      <c r="P615" s="45">
        <f>IFERROR(__xludf.DUMMYFUNCTION("""COMPUTED_VALUE"""),45208.0)</f>
        <v>45208</v>
      </c>
      <c r="Q615" s="45"/>
      <c r="R615" s="45"/>
      <c r="S615" s="43"/>
      <c r="T615" s="43"/>
      <c r="U615" s="43" t="str">
        <f>IFERROR(__xludf.DUMMYFUNCTION("""COMPUTED_VALUE"""),"Fingerprint")</f>
        <v>Fingerprint</v>
      </c>
      <c r="V615" s="43" t="str">
        <f>IFERROR(__xludf.DUMMYFUNCTION("""COMPUTED_VALUE"""),"Karachi - Institute of Business Management")</f>
        <v>Karachi - Institute of Business Management</v>
      </c>
      <c r="W615" s="43" t="str">
        <f>IFERROR(__xludf.DUMMYFUNCTION("""COMPUTED_VALUE"""),"2022-04-02T09:09:15Z")</f>
        <v>2022-04-02T09:09:15Z</v>
      </c>
      <c r="X615" s="43"/>
      <c r="Y615" s="43"/>
      <c r="Z615" s="43"/>
    </row>
    <row r="616" hidden="1">
      <c r="A616" s="43" t="str">
        <f>IFERROR(__xludf.DUMMYFUNCTION("""COMPUTED_VALUE"""),"5224882_1292793")</f>
        <v>5224882_1292793</v>
      </c>
      <c r="B616" s="43" t="str">
        <f>IFERROR(__xludf.DUMMYFUNCTION("""COMPUTED_VALUE"""),"Alexandra Timiș")</f>
        <v>Alexandra Timiș</v>
      </c>
      <c r="C616" s="43" t="str">
        <f>IFERROR(__xludf.DUMMYFUNCTION("""COMPUTED_VALUE"""),"completed")</f>
        <v>completed</v>
      </c>
      <c r="D616" s="43" t="str">
        <f>IFERROR(__xludf.DUMMYFUNCTION("""COMPUTED_VALUE"""),"No")</f>
        <v>No</v>
      </c>
      <c r="E616" s="43" t="str">
        <f>IFERROR(__xludf.DUMMYFUNCTION("""COMPUTED_VALUE"""),"p_5a34000f84b0c2a1f51035b022b37c0156e5803c@inbound.aiesec.org")</f>
        <v>p_5a34000f84b0c2a1f51035b022b37c0156e5803c@inbound.aiesec.org</v>
      </c>
      <c r="F616" s="43">
        <f>IFERROR(__xludf.DUMMYFUNCTION("""COMPUTED_VALUE"""),7.6069241E8)</f>
        <v>760692410</v>
      </c>
      <c r="G616" s="43" t="str">
        <f>IFERROR(__xludf.DUMMYFUNCTION("""COMPUTED_VALUE"""),"Romania")</f>
        <v>Romania</v>
      </c>
      <c r="H616" s="43" t="str">
        <f>IFERROR(__xludf.DUMMYFUNCTION("""COMPUTED_VALUE"""),"TIMISOARA")</f>
        <v>TIMISOARA</v>
      </c>
      <c r="I616" s="43" t="str">
        <f>IFERROR(__xludf.DUMMYFUNCTION("""COMPUTED_VALUE"""),"Turkey")</f>
        <v>Turkey</v>
      </c>
      <c r="J616" s="43" t="str">
        <f>IFERROR(__xludf.DUMMYFUNCTION("""COMPUTED_VALUE"""),"ANTALYA")</f>
        <v>ANTALYA</v>
      </c>
      <c r="K616" s="44" t="str">
        <f>IFERROR(__xludf.DUMMYFUNCTION("""COMPUTED_VALUE"""),"https://expa.aiesec.org/opportunities/1292793")</f>
        <v>https://expa.aiesec.org/opportunities/1292793</v>
      </c>
      <c r="L616" s="43" t="str">
        <f>IFERROR(__xludf.DUMMYFUNCTION("""COMPUTED_VALUE"""),"GV")</f>
        <v>GV</v>
      </c>
      <c r="M616" s="43" t="str">
        <f>IFERROR(__xludf.DUMMYFUNCTION("""COMPUTED_VALUE"""),"short")</f>
        <v>short</v>
      </c>
      <c r="N616" s="45">
        <f>IFERROR(__xludf.DUMMYFUNCTION("""COMPUTED_VALUE"""),45016.0)</f>
        <v>45016</v>
      </c>
      <c r="O616" s="45">
        <f>IFERROR(__xludf.DUMMYFUNCTION("""COMPUTED_VALUE"""),45159.0)</f>
        <v>45159</v>
      </c>
      <c r="P616" s="45">
        <f>IFERROR(__xludf.DUMMYFUNCTION("""COMPUTED_VALUE"""),45201.0)</f>
        <v>45201</v>
      </c>
      <c r="Q616" s="45">
        <f>IFERROR(__xludf.DUMMYFUNCTION("""COMPUTED_VALUE"""),45161.0)</f>
        <v>45161</v>
      </c>
      <c r="R616" s="45">
        <f>IFERROR(__xludf.DUMMYFUNCTION("""COMPUTED_VALUE"""),45201.0)</f>
        <v>45201</v>
      </c>
      <c r="S616" s="43"/>
      <c r="T616" s="43"/>
      <c r="U616" s="43" t="str">
        <f>IFERROR(__xludf.DUMMYFUNCTION("""COMPUTED_VALUE"""),"Global Classroom")</f>
        <v>Global Classroom</v>
      </c>
      <c r="V616" s="43" t="str">
        <f>IFERROR(__xludf.DUMMYFUNCTION("""COMPUTED_VALUE"""),"Timisoara")</f>
        <v>Timisoara</v>
      </c>
      <c r="W616" s="43" t="str">
        <f>IFERROR(__xludf.DUMMYFUNCTION("""COMPUTED_VALUE"""),"2023-03-23T13:14:10Z")</f>
        <v>2023-03-23T13:14:10Z</v>
      </c>
      <c r="X616" s="43"/>
      <c r="Y616" s="43"/>
      <c r="Z616" s="43"/>
    </row>
    <row r="617" hidden="1">
      <c r="A617" s="43" t="str">
        <f>IFERROR(__xludf.DUMMYFUNCTION("""COMPUTED_VALUE"""),"5223028_1287488")</f>
        <v>5223028_1287488</v>
      </c>
      <c r="B617" s="43" t="str">
        <f>IFERROR(__xludf.DUMMYFUNCTION("""COMPUTED_VALUE"""),"Yosr Chouchene")</f>
        <v>Yosr Chouchene</v>
      </c>
      <c r="C617" s="43" t="str">
        <f>IFERROR(__xludf.DUMMYFUNCTION("""COMPUTED_VALUE"""),"completed")</f>
        <v>completed</v>
      </c>
      <c r="D617" s="43" t="str">
        <f>IFERROR(__xludf.DUMMYFUNCTION("""COMPUTED_VALUE"""),"No")</f>
        <v>No</v>
      </c>
      <c r="E617" s="43" t="str">
        <f>IFERROR(__xludf.DUMMYFUNCTION("""COMPUTED_VALUE"""),"p_1f3b439ad562ddb9d9b1d47523f5a49bc577819e@inbound.aiesec.org")</f>
        <v>p_1f3b439ad562ddb9d9b1d47523f5a49bc577819e@inbound.aiesec.org</v>
      </c>
      <c r="F617" s="43"/>
      <c r="G617" s="43" t="str">
        <f>IFERROR(__xludf.DUMMYFUNCTION("""COMPUTED_VALUE"""),"Tunisia")</f>
        <v>Tunisia</v>
      </c>
      <c r="H617" s="43" t="str">
        <f>IFERROR(__xludf.DUMMYFUNCTION("""COMPUTED_VALUE"""),"BARDO")</f>
        <v>BARDO</v>
      </c>
      <c r="I617" s="43" t="str">
        <f>IFERROR(__xludf.DUMMYFUNCTION("""COMPUTED_VALUE"""),"Turkey")</f>
        <v>Turkey</v>
      </c>
      <c r="J617" s="43" t="str">
        <f>IFERROR(__xludf.DUMMYFUNCTION("""COMPUTED_VALUE"""),"ISTANBUL ASIA")</f>
        <v>ISTANBUL ASIA</v>
      </c>
      <c r="K617" s="44" t="str">
        <f>IFERROR(__xludf.DUMMYFUNCTION("""COMPUTED_VALUE"""),"https://expa.aiesec.org/opportunities/1287488")</f>
        <v>https://expa.aiesec.org/opportunities/1287488</v>
      </c>
      <c r="L617" s="43" t="str">
        <f>IFERROR(__xludf.DUMMYFUNCTION("""COMPUTED_VALUE"""),"GV")</f>
        <v>GV</v>
      </c>
      <c r="M617" s="43" t="str">
        <f>IFERROR(__xludf.DUMMYFUNCTION("""COMPUTED_VALUE"""),"short")</f>
        <v>short</v>
      </c>
      <c r="N617" s="45">
        <f>IFERROR(__xludf.DUMMYFUNCTION("""COMPUTED_VALUE"""),45017.0)</f>
        <v>45017</v>
      </c>
      <c r="O617" s="45">
        <f>IFERROR(__xludf.DUMMYFUNCTION("""COMPUTED_VALUE"""),45110.0)</f>
        <v>45110</v>
      </c>
      <c r="P617" s="45">
        <f>IFERROR(__xludf.DUMMYFUNCTION("""COMPUTED_VALUE"""),45152.0)</f>
        <v>45152</v>
      </c>
      <c r="Q617" s="45">
        <f>IFERROR(__xludf.DUMMYFUNCTION("""COMPUTED_VALUE"""),45127.0)</f>
        <v>45127</v>
      </c>
      <c r="R617" s="45">
        <f>IFERROR(__xludf.DUMMYFUNCTION("""COMPUTED_VALUE"""),45169.0)</f>
        <v>45169</v>
      </c>
      <c r="S617" s="43"/>
      <c r="T617" s="43"/>
      <c r="U617" s="43" t="str">
        <f>IFERROR(__xludf.DUMMYFUNCTION("""COMPUTED_VALUE"""),"Global Classroom")</f>
        <v>Global Classroom</v>
      </c>
      <c r="V617" s="43" t="str">
        <f>IFERROR(__xludf.DUMMYFUNCTION("""COMPUTED_VALUE"""),"-")</f>
        <v>-</v>
      </c>
      <c r="W617" s="43" t="str">
        <f>IFERROR(__xludf.DUMMYFUNCTION("""COMPUTED_VALUE"""),"2023-03-21T17:48:50Z")</f>
        <v>2023-03-21T17:48:50Z</v>
      </c>
      <c r="X617" s="43"/>
      <c r="Y617" s="43"/>
      <c r="Z617" s="43"/>
    </row>
    <row r="618" hidden="1">
      <c r="A618" s="43" t="str">
        <f>IFERROR(__xludf.DUMMYFUNCTION("""COMPUTED_VALUE"""),"5136684_1288663")</f>
        <v>5136684_1288663</v>
      </c>
      <c r="B618" s="43" t="str">
        <f>IFERROR(__xludf.DUMMYFUNCTION("""COMPUTED_VALUE"""),"Daria Turcin")</f>
        <v>Daria Turcin</v>
      </c>
      <c r="C618" s="43" t="str">
        <f>IFERROR(__xludf.DUMMYFUNCTION("""COMPUTED_VALUE"""),"finished")</f>
        <v>finished</v>
      </c>
      <c r="D618" s="43" t="str">
        <f>IFERROR(__xludf.DUMMYFUNCTION("""COMPUTED_VALUE"""),"No")</f>
        <v>No</v>
      </c>
      <c r="E618" s="43" t="str">
        <f>IFERROR(__xludf.DUMMYFUNCTION("""COMPUTED_VALUE"""),"p_172461c87130ab7ae6097984ea7c69520513c467@inbound.aiesec.org")</f>
        <v>p_172461c87130ab7ae6097984ea7c69520513c467@inbound.aiesec.org</v>
      </c>
      <c r="F618" s="43"/>
      <c r="G618" s="43" t="str">
        <f>IFERROR(__xludf.DUMMYFUNCTION("""COMPUTED_VALUE"""),"Romania")</f>
        <v>Romania</v>
      </c>
      <c r="H618" s="43" t="str">
        <f>IFERROR(__xludf.DUMMYFUNCTION("""COMPUTED_VALUE"""),"BUCURESTI")</f>
        <v>BUCURESTI</v>
      </c>
      <c r="I618" s="43" t="str">
        <f>IFERROR(__xludf.DUMMYFUNCTION("""COMPUTED_VALUE"""),"Turkey")</f>
        <v>Turkey</v>
      </c>
      <c r="J618" s="43" t="str">
        <f>IFERROR(__xludf.DUMMYFUNCTION("""COMPUTED_VALUE"""),"İZMİR")</f>
        <v>İZMİR</v>
      </c>
      <c r="K618" s="44" t="str">
        <f>IFERROR(__xludf.DUMMYFUNCTION("""COMPUTED_VALUE"""),"https://expa.aiesec.org/opportunities/1288663")</f>
        <v>https://expa.aiesec.org/opportunities/1288663</v>
      </c>
      <c r="L618" s="43" t="str">
        <f>IFERROR(__xludf.DUMMYFUNCTION("""COMPUTED_VALUE"""),"GV")</f>
        <v>GV</v>
      </c>
      <c r="M618" s="43" t="str">
        <f>IFERROR(__xludf.DUMMYFUNCTION("""COMPUTED_VALUE"""),"short")</f>
        <v>short</v>
      </c>
      <c r="N618" s="45">
        <f>IFERROR(__xludf.DUMMYFUNCTION("""COMPUTED_VALUE"""),45017.0)</f>
        <v>45017</v>
      </c>
      <c r="O618" s="45">
        <f>IFERROR(__xludf.DUMMYFUNCTION("""COMPUTED_VALUE"""),45123.0)</f>
        <v>45123</v>
      </c>
      <c r="P618" s="45">
        <f>IFERROR(__xludf.DUMMYFUNCTION("""COMPUTED_VALUE"""),45165.0)</f>
        <v>45165</v>
      </c>
      <c r="Q618" s="45">
        <f>IFERROR(__xludf.DUMMYFUNCTION("""COMPUTED_VALUE"""),45124.0)</f>
        <v>45124</v>
      </c>
      <c r="R618" s="45">
        <f>IFERROR(__xludf.DUMMYFUNCTION("""COMPUTED_VALUE"""),45166.0)</f>
        <v>45166</v>
      </c>
      <c r="S618" s="43"/>
      <c r="T618" s="43"/>
      <c r="U618" s="43" t="str">
        <f>IFERROR(__xludf.DUMMYFUNCTION("""COMPUTED_VALUE"""),"Global Classroom")</f>
        <v>Global Classroom</v>
      </c>
      <c r="V618" s="43" t="str">
        <f>IFERROR(__xludf.DUMMYFUNCTION("""COMPUTED_VALUE"""),"-")</f>
        <v>-</v>
      </c>
      <c r="W618" s="43" t="str">
        <f>IFERROR(__xludf.DUMMYFUNCTION("""COMPUTED_VALUE"""),"2022-10-19T12:07:44Z")</f>
        <v>2022-10-19T12:07:44Z</v>
      </c>
      <c r="X618" s="43"/>
      <c r="Y618" s="43"/>
      <c r="Z618" s="43"/>
    </row>
    <row r="619" hidden="1">
      <c r="A619" s="43" t="str">
        <f>IFERROR(__xludf.DUMMYFUNCTION("""COMPUTED_VALUE"""),"5231022_1288663")</f>
        <v>5231022_1288663</v>
      </c>
      <c r="B619" s="43" t="str">
        <f>IFERROR(__xludf.DUMMYFUNCTION("""COMPUTED_VALUE"""),"Letitia Ionescu")</f>
        <v>Letitia Ionescu</v>
      </c>
      <c r="C619" s="43" t="str">
        <f>IFERROR(__xludf.DUMMYFUNCTION("""COMPUTED_VALUE"""),"finished")</f>
        <v>finished</v>
      </c>
      <c r="D619" s="43" t="str">
        <f>IFERROR(__xludf.DUMMYFUNCTION("""COMPUTED_VALUE"""),"No")</f>
        <v>No</v>
      </c>
      <c r="E619" s="43" t="str">
        <f>IFERROR(__xludf.DUMMYFUNCTION("""COMPUTED_VALUE"""),"p_5ea6203c26c96672eaaf37fe79e95d0ee22101df@inbound.aiesec.org")</f>
        <v>p_5ea6203c26c96672eaaf37fe79e95d0ee22101df@inbound.aiesec.org</v>
      </c>
      <c r="F619" s="43"/>
      <c r="G619" s="43" t="str">
        <f>IFERROR(__xludf.DUMMYFUNCTION("""COMPUTED_VALUE"""),"Romania")</f>
        <v>Romania</v>
      </c>
      <c r="H619" s="43" t="str">
        <f>IFERROR(__xludf.DUMMYFUNCTION("""COMPUTED_VALUE"""),"BUCURESTI")</f>
        <v>BUCURESTI</v>
      </c>
      <c r="I619" s="43" t="str">
        <f>IFERROR(__xludf.DUMMYFUNCTION("""COMPUTED_VALUE"""),"Turkey")</f>
        <v>Turkey</v>
      </c>
      <c r="J619" s="43" t="str">
        <f>IFERROR(__xludf.DUMMYFUNCTION("""COMPUTED_VALUE"""),"İZMİR")</f>
        <v>İZMİR</v>
      </c>
      <c r="K619" s="44" t="str">
        <f>IFERROR(__xludf.DUMMYFUNCTION("""COMPUTED_VALUE"""),"https://expa.aiesec.org/opportunities/1288663")</f>
        <v>https://expa.aiesec.org/opportunities/1288663</v>
      </c>
      <c r="L619" s="43" t="str">
        <f>IFERROR(__xludf.DUMMYFUNCTION("""COMPUTED_VALUE"""),"GV")</f>
        <v>GV</v>
      </c>
      <c r="M619" s="43" t="str">
        <f>IFERROR(__xludf.DUMMYFUNCTION("""COMPUTED_VALUE"""),"short")</f>
        <v>short</v>
      </c>
      <c r="N619" s="45">
        <f>IFERROR(__xludf.DUMMYFUNCTION("""COMPUTED_VALUE"""),45017.0)</f>
        <v>45017</v>
      </c>
      <c r="O619" s="45">
        <f>IFERROR(__xludf.DUMMYFUNCTION("""COMPUTED_VALUE"""),45123.0)</f>
        <v>45123</v>
      </c>
      <c r="P619" s="45">
        <f>IFERROR(__xludf.DUMMYFUNCTION("""COMPUTED_VALUE"""),45165.0)</f>
        <v>45165</v>
      </c>
      <c r="Q619" s="45">
        <f>IFERROR(__xludf.DUMMYFUNCTION("""COMPUTED_VALUE"""),45124.0)</f>
        <v>45124</v>
      </c>
      <c r="R619" s="45">
        <f>IFERROR(__xludf.DUMMYFUNCTION("""COMPUTED_VALUE"""),45166.0)</f>
        <v>45166</v>
      </c>
      <c r="S619" s="43"/>
      <c r="T619" s="43"/>
      <c r="U619" s="43" t="str">
        <f>IFERROR(__xludf.DUMMYFUNCTION("""COMPUTED_VALUE"""),"Global Classroom")</f>
        <v>Global Classroom</v>
      </c>
      <c r="V619" s="43" t="str">
        <f>IFERROR(__xludf.DUMMYFUNCTION("""COMPUTED_VALUE"""),"-")</f>
        <v>-</v>
      </c>
      <c r="W619" s="43" t="str">
        <f>IFERROR(__xludf.DUMMYFUNCTION("""COMPUTED_VALUE"""),"2023-03-30T13:33:53Z")</f>
        <v>2023-03-30T13:33:53Z</v>
      </c>
      <c r="X619" s="43"/>
      <c r="Y619" s="43"/>
      <c r="Z619" s="43"/>
    </row>
    <row r="620" hidden="1">
      <c r="A620" s="43" t="str">
        <f>IFERROR(__xludf.DUMMYFUNCTION("""COMPUTED_VALUE"""),"4582446_1292557")</f>
        <v>4582446_1292557</v>
      </c>
      <c r="B620" s="43" t="str">
        <f>IFERROR(__xludf.DUMMYFUNCTION("""COMPUTED_VALUE"""),"nour boukattaya")</f>
        <v>nour boukattaya</v>
      </c>
      <c r="C620" s="43" t="str">
        <f>IFERROR(__xludf.DUMMYFUNCTION("""COMPUTED_VALUE"""),"finished")</f>
        <v>finished</v>
      </c>
      <c r="D620" s="43" t="str">
        <f>IFERROR(__xludf.DUMMYFUNCTION("""COMPUTED_VALUE"""),"No")</f>
        <v>No</v>
      </c>
      <c r="E620" s="43" t="str">
        <f>IFERROR(__xludf.DUMMYFUNCTION("""COMPUTED_VALUE"""),"p_3c9160a8fb9bff7466c7554195f3c9d3ecd52170@inbound.aiesec.org")</f>
        <v>p_3c9160a8fb9bff7466c7554195f3c9d3ecd52170@inbound.aiesec.org</v>
      </c>
      <c r="F620" s="43">
        <f>IFERROR(__xludf.DUMMYFUNCTION("""COMPUTED_VALUE"""),5.62351E7)</f>
        <v>56235100</v>
      </c>
      <c r="G620" s="43" t="str">
        <f>IFERROR(__xludf.DUMMYFUNCTION("""COMPUTED_VALUE"""),"Tunisia")</f>
        <v>Tunisia</v>
      </c>
      <c r="H620" s="43" t="str">
        <f>IFERROR(__xludf.DUMMYFUNCTION("""COMPUTED_VALUE"""),"THYNA")</f>
        <v>THYNA</v>
      </c>
      <c r="I620" s="43" t="str">
        <f>IFERROR(__xludf.DUMMYFUNCTION("""COMPUTED_VALUE"""),"Turkey")</f>
        <v>Turkey</v>
      </c>
      <c r="J620" s="43" t="str">
        <f>IFERROR(__xludf.DUMMYFUNCTION("""COMPUTED_VALUE"""),"DENIZLI")</f>
        <v>DENIZLI</v>
      </c>
      <c r="K620" s="44" t="str">
        <f>IFERROR(__xludf.DUMMYFUNCTION("""COMPUTED_VALUE"""),"https://expa.aiesec.org/opportunities/1292557")</f>
        <v>https://expa.aiesec.org/opportunities/1292557</v>
      </c>
      <c r="L620" s="43" t="str">
        <f>IFERROR(__xludf.DUMMYFUNCTION("""COMPUTED_VALUE"""),"GV")</f>
        <v>GV</v>
      </c>
      <c r="M620" s="43" t="str">
        <f>IFERROR(__xludf.DUMMYFUNCTION("""COMPUTED_VALUE"""),"short")</f>
        <v>short</v>
      </c>
      <c r="N620" s="45">
        <f>IFERROR(__xludf.DUMMYFUNCTION("""COMPUTED_VALUE"""),45017.0)</f>
        <v>45017</v>
      </c>
      <c r="O620" s="45">
        <f>IFERROR(__xludf.DUMMYFUNCTION("""COMPUTED_VALUE"""),45117.0)</f>
        <v>45117</v>
      </c>
      <c r="P620" s="45">
        <f>IFERROR(__xludf.DUMMYFUNCTION("""COMPUTED_VALUE"""),45159.0)</f>
        <v>45159</v>
      </c>
      <c r="Q620" s="45">
        <f>IFERROR(__xludf.DUMMYFUNCTION("""COMPUTED_VALUE"""),45117.0)</f>
        <v>45117</v>
      </c>
      <c r="R620" s="45">
        <f>IFERROR(__xludf.DUMMYFUNCTION("""COMPUTED_VALUE"""),45159.0)</f>
        <v>45159</v>
      </c>
      <c r="S620" s="43"/>
      <c r="T620" s="43"/>
      <c r="U620" s="43" t="str">
        <f>IFERROR(__xludf.DUMMYFUNCTION("""COMPUTED_VALUE"""),"Equify")</f>
        <v>Equify</v>
      </c>
      <c r="V620" s="43" t="str">
        <f>IFERROR(__xludf.DUMMYFUNCTION("""COMPUTED_VALUE"""),"ESC SFAX")</f>
        <v>ESC SFAX</v>
      </c>
      <c r="W620" s="43" t="str">
        <f>IFERROR(__xludf.DUMMYFUNCTION("""COMPUTED_VALUE"""),"2021-03-17T21:24:48Z")</f>
        <v>2021-03-17T21:24:48Z</v>
      </c>
      <c r="X620" s="43"/>
      <c r="Y620" s="43"/>
      <c r="Z620" s="43"/>
    </row>
    <row r="621" hidden="1">
      <c r="A621" s="43" t="str">
        <f>IFERROR(__xludf.DUMMYFUNCTION("""COMPUTED_VALUE"""),"5067277_1291055")</f>
        <v>5067277_1291055</v>
      </c>
      <c r="B621" s="43" t="str">
        <f>IFERROR(__xludf.DUMMYFUNCTION("""COMPUTED_VALUE"""),"Salma Hani")</f>
        <v>Salma Hani</v>
      </c>
      <c r="C621" s="43" t="str">
        <f>IFERROR(__xludf.DUMMYFUNCTION("""COMPUTED_VALUE"""),"approved")</f>
        <v>approved</v>
      </c>
      <c r="D621" s="43" t="str">
        <f>IFERROR(__xludf.DUMMYFUNCTION("""COMPUTED_VALUE"""),"No")</f>
        <v>No</v>
      </c>
      <c r="E621" s="43" t="str">
        <f>IFERROR(__xludf.DUMMYFUNCTION("""COMPUTED_VALUE"""),"p_5e8def50cd5bed7d5680f7dbac9a7b8df3296dac@inbound.aiesec.org")</f>
        <v>p_5e8def50cd5bed7d5680f7dbac9a7b8df3296dac@inbound.aiesec.org</v>
      </c>
      <c r="F621" s="43">
        <f>IFERROR(__xludf.DUMMYFUNCTION("""COMPUTED_VALUE"""),1.144033114E9)</f>
        <v>1144033114</v>
      </c>
      <c r="G621" s="43" t="str">
        <f>IFERROR(__xludf.DUMMYFUNCTION("""COMPUTED_VALUE"""),"Egypt")</f>
        <v>Egypt</v>
      </c>
      <c r="H621" s="43" t="str">
        <f>IFERROR(__xludf.DUMMYFUNCTION("""COMPUTED_VALUE"""),"Zagazig")</f>
        <v>Zagazig</v>
      </c>
      <c r="I621" s="43" t="str">
        <f>IFERROR(__xludf.DUMMYFUNCTION("""COMPUTED_VALUE"""),"Turkey")</f>
        <v>Turkey</v>
      </c>
      <c r="J621" s="43" t="str">
        <f>IFERROR(__xludf.DUMMYFUNCTION("""COMPUTED_VALUE"""),"SAKARYA")</f>
        <v>SAKARYA</v>
      </c>
      <c r="K621" s="44" t="str">
        <f>IFERROR(__xludf.DUMMYFUNCTION("""COMPUTED_VALUE"""),"https://expa.aiesec.org/opportunities/1291055")</f>
        <v>https://expa.aiesec.org/opportunities/1291055</v>
      </c>
      <c r="L621" s="43" t="str">
        <f>IFERROR(__xludf.DUMMYFUNCTION("""COMPUTED_VALUE"""),"GV")</f>
        <v>GV</v>
      </c>
      <c r="M621" s="43" t="str">
        <f>IFERROR(__xludf.DUMMYFUNCTION("""COMPUTED_VALUE"""),"short")</f>
        <v>short</v>
      </c>
      <c r="N621" s="45">
        <f>IFERROR(__xludf.DUMMYFUNCTION("""COMPUTED_VALUE"""),45017.0)</f>
        <v>45017</v>
      </c>
      <c r="O621" s="45">
        <f>IFERROR(__xludf.DUMMYFUNCTION("""COMPUTED_VALUE"""),45201.0)</f>
        <v>45201</v>
      </c>
      <c r="P621" s="45">
        <f>IFERROR(__xludf.DUMMYFUNCTION("""COMPUTED_VALUE"""),45243.0)</f>
        <v>45243</v>
      </c>
      <c r="Q621" s="45"/>
      <c r="R621" s="45"/>
      <c r="S621" s="43"/>
      <c r="T621" s="43"/>
      <c r="U621" s="43" t="str">
        <f>IFERROR(__xludf.DUMMYFUNCTION("""COMPUTED_VALUE"""),"Youth 4 Impact")</f>
        <v>Youth 4 Impact</v>
      </c>
      <c r="V621" s="43" t="str">
        <f>IFERROR(__xludf.DUMMYFUNCTION("""COMPUTED_VALUE"""),"Benha University")</f>
        <v>Benha University</v>
      </c>
      <c r="W621" s="43" t="str">
        <f>IFERROR(__xludf.DUMMYFUNCTION("""COMPUTED_VALUE"""),"2022-06-01T23:25:08Z")</f>
        <v>2022-06-01T23:25:08Z</v>
      </c>
      <c r="X621" s="43"/>
      <c r="Y621" s="43"/>
      <c r="Z621" s="43"/>
    </row>
    <row r="622" hidden="1">
      <c r="A622" s="43" t="str">
        <f>IFERROR(__xludf.DUMMYFUNCTION("""COMPUTED_VALUE"""),"5229378_1292557")</f>
        <v>5229378_1292557</v>
      </c>
      <c r="B622" s="43" t="str">
        <f>IFERROR(__xludf.DUMMYFUNCTION("""COMPUTED_VALUE"""),"Jemni Aleedine")</f>
        <v>Jemni Aleedine</v>
      </c>
      <c r="C622" s="43" t="str">
        <f>IFERROR(__xludf.DUMMYFUNCTION("""COMPUTED_VALUE"""),"approved")</f>
        <v>approved</v>
      </c>
      <c r="D622" s="43" t="str">
        <f>IFERROR(__xludf.DUMMYFUNCTION("""COMPUTED_VALUE"""),"No")</f>
        <v>No</v>
      </c>
      <c r="E622" s="43" t="str">
        <f>IFERROR(__xludf.DUMMYFUNCTION("""COMPUTED_VALUE"""),"p_941dce438e3828b439dab570c8726037963bb341@inbound.aiesec.org")</f>
        <v>p_941dce438e3828b439dab570c8726037963bb341@inbound.aiesec.org</v>
      </c>
      <c r="F622" s="43">
        <f>IFERROR(__xludf.DUMMYFUNCTION("""COMPUTED_VALUE"""),5.615481E7)</f>
        <v>56154810</v>
      </c>
      <c r="G622" s="43" t="str">
        <f>IFERROR(__xludf.DUMMYFUNCTION("""COMPUTED_VALUE"""),"Tunisia")</f>
        <v>Tunisia</v>
      </c>
      <c r="H622" s="43" t="str">
        <f>IFERROR(__xludf.DUMMYFUNCTION("""COMPUTED_VALUE"""),"THYNA")</f>
        <v>THYNA</v>
      </c>
      <c r="I622" s="43" t="str">
        <f>IFERROR(__xludf.DUMMYFUNCTION("""COMPUTED_VALUE"""),"Turkey")</f>
        <v>Turkey</v>
      </c>
      <c r="J622" s="43" t="str">
        <f>IFERROR(__xludf.DUMMYFUNCTION("""COMPUTED_VALUE"""),"DENIZLI")</f>
        <v>DENIZLI</v>
      </c>
      <c r="K622" s="44" t="str">
        <f>IFERROR(__xludf.DUMMYFUNCTION("""COMPUTED_VALUE"""),"https://expa.aiesec.org/opportunities/1292557")</f>
        <v>https://expa.aiesec.org/opportunities/1292557</v>
      </c>
      <c r="L622" s="43" t="str">
        <f>IFERROR(__xludf.DUMMYFUNCTION("""COMPUTED_VALUE"""),"GV")</f>
        <v>GV</v>
      </c>
      <c r="M622" s="43" t="str">
        <f>IFERROR(__xludf.DUMMYFUNCTION("""COMPUTED_VALUE"""),"short")</f>
        <v>short</v>
      </c>
      <c r="N622" s="45">
        <f>IFERROR(__xludf.DUMMYFUNCTION("""COMPUTED_VALUE"""),45017.0)</f>
        <v>45017</v>
      </c>
      <c r="O622" s="45">
        <f>IFERROR(__xludf.DUMMYFUNCTION("""COMPUTED_VALUE"""),45117.0)</f>
        <v>45117</v>
      </c>
      <c r="P622" s="45">
        <f>IFERROR(__xludf.DUMMYFUNCTION("""COMPUTED_VALUE"""),45159.0)</f>
        <v>45159</v>
      </c>
      <c r="Q622" s="45"/>
      <c r="R622" s="45"/>
      <c r="S622" s="43"/>
      <c r="T622" s="43"/>
      <c r="U622" s="43" t="str">
        <f>IFERROR(__xludf.DUMMYFUNCTION("""COMPUTED_VALUE"""),"Equify")</f>
        <v>Equify</v>
      </c>
      <c r="V622" s="43" t="str">
        <f>IFERROR(__xludf.DUMMYFUNCTION("""COMPUTED_VALUE"""),"ESC SFAX")</f>
        <v>ESC SFAX</v>
      </c>
      <c r="W622" s="43" t="str">
        <f>IFERROR(__xludf.DUMMYFUNCTION("""COMPUTED_VALUE"""),"2023-03-28T18:51:51Z")</f>
        <v>2023-03-28T18:51:51Z</v>
      </c>
      <c r="X622" s="43"/>
      <c r="Y622" s="43"/>
      <c r="Z622" s="43"/>
    </row>
    <row r="623" hidden="1">
      <c r="A623" s="43" t="str">
        <f>IFERROR(__xludf.DUMMYFUNCTION("""COMPUTED_VALUE"""),"5234234_1289536")</f>
        <v>5234234_1289536</v>
      </c>
      <c r="B623" s="43" t="str">
        <f>IFERROR(__xludf.DUMMYFUNCTION("""COMPUTED_VALUE"""),"Mohamed dhia Braiek")</f>
        <v>Mohamed dhia Braiek</v>
      </c>
      <c r="C623" s="43" t="str">
        <f>IFERROR(__xludf.DUMMYFUNCTION("""COMPUTED_VALUE"""),"completed")</f>
        <v>completed</v>
      </c>
      <c r="D623" s="43" t="str">
        <f>IFERROR(__xludf.DUMMYFUNCTION("""COMPUTED_VALUE"""),"No")</f>
        <v>No</v>
      </c>
      <c r="E623" s="43" t="str">
        <f>IFERROR(__xludf.DUMMYFUNCTION("""COMPUTED_VALUE"""),"p_ccb06bd1ac8d9653a5b9cd41aef55e5a4d512f08@inbound.aiesec.org")</f>
        <v>p_ccb06bd1ac8d9653a5b9cd41aef55e5a4d512f08@inbound.aiesec.org</v>
      </c>
      <c r="F623" s="43"/>
      <c r="G623" s="43" t="str">
        <f>IFERROR(__xludf.DUMMYFUNCTION("""COMPUTED_VALUE"""),"Tunisia")</f>
        <v>Tunisia</v>
      </c>
      <c r="H623" s="43" t="str">
        <f>IFERROR(__xludf.DUMMYFUNCTION("""COMPUTED_VALUE"""),"BARDO")</f>
        <v>BARDO</v>
      </c>
      <c r="I623" s="43" t="str">
        <f>IFERROR(__xludf.DUMMYFUNCTION("""COMPUTED_VALUE"""),"Turkey")</f>
        <v>Turkey</v>
      </c>
      <c r="J623" s="43" t="str">
        <f>IFERROR(__xludf.DUMMYFUNCTION("""COMPUTED_VALUE"""),"ISTANBUL")</f>
        <v>ISTANBUL</v>
      </c>
      <c r="K623" s="44" t="str">
        <f>IFERROR(__xludf.DUMMYFUNCTION("""COMPUTED_VALUE"""),"https://expa.aiesec.org/opportunities/1289536")</f>
        <v>https://expa.aiesec.org/opportunities/1289536</v>
      </c>
      <c r="L623" s="43" t="str">
        <f>IFERROR(__xludf.DUMMYFUNCTION("""COMPUTED_VALUE"""),"GV")</f>
        <v>GV</v>
      </c>
      <c r="M623" s="43" t="str">
        <f>IFERROR(__xludf.DUMMYFUNCTION("""COMPUTED_VALUE"""),"short")</f>
        <v>short</v>
      </c>
      <c r="N623" s="45">
        <f>IFERROR(__xludf.DUMMYFUNCTION("""COMPUTED_VALUE"""),45019.0)</f>
        <v>45019</v>
      </c>
      <c r="O623" s="45">
        <f>IFERROR(__xludf.DUMMYFUNCTION("""COMPUTED_VALUE"""),45090.0)</f>
        <v>45090</v>
      </c>
      <c r="P623" s="45">
        <f>IFERROR(__xludf.DUMMYFUNCTION("""COMPUTED_VALUE"""),45132.0)</f>
        <v>45132</v>
      </c>
      <c r="Q623" s="45">
        <f>IFERROR(__xludf.DUMMYFUNCTION("""COMPUTED_VALUE"""),45090.0)</f>
        <v>45090</v>
      </c>
      <c r="R623" s="45">
        <f>IFERROR(__xludf.DUMMYFUNCTION("""COMPUTED_VALUE"""),45132.0)</f>
        <v>45132</v>
      </c>
      <c r="S623" s="43"/>
      <c r="T623" s="43"/>
      <c r="U623" s="43" t="str">
        <f>IFERROR(__xludf.DUMMYFUNCTION("""COMPUTED_VALUE"""),"Global Classroom")</f>
        <v>Global Classroom</v>
      </c>
      <c r="V623" s="43" t="str">
        <f>IFERROR(__xludf.DUMMYFUNCTION("""COMPUTED_VALUE"""),"TBS")</f>
        <v>TBS</v>
      </c>
      <c r="W623" s="43" t="str">
        <f>IFERROR(__xludf.DUMMYFUNCTION("""COMPUTED_VALUE"""),"2023-04-03T18:35:17Z")</f>
        <v>2023-04-03T18:35:17Z</v>
      </c>
      <c r="X623" s="43"/>
      <c r="Y623" s="43"/>
      <c r="Z623" s="43"/>
    </row>
    <row r="624" hidden="1">
      <c r="A624" s="43" t="str">
        <f>IFERROR(__xludf.DUMMYFUNCTION("""COMPUTED_VALUE"""),"5233988_1292556")</f>
        <v>5233988_1292556</v>
      </c>
      <c r="B624" s="43" t="str">
        <f>IFERROR(__xludf.DUMMYFUNCTION("""COMPUTED_VALUE"""),"Rana aissa")</f>
        <v>Rana aissa</v>
      </c>
      <c r="C624" s="43" t="str">
        <f>IFERROR(__xludf.DUMMYFUNCTION("""COMPUTED_VALUE"""),"approved")</f>
        <v>approved</v>
      </c>
      <c r="D624" s="43" t="str">
        <f>IFERROR(__xludf.DUMMYFUNCTION("""COMPUTED_VALUE"""),"No")</f>
        <v>No</v>
      </c>
      <c r="E624" s="43" t="str">
        <f>IFERROR(__xludf.DUMMYFUNCTION("""COMPUTED_VALUE"""),"p_c66084364b55690ee2a6a467575a6d9086a8f7c2@inbound.aiesec.org")</f>
        <v>p_c66084364b55690ee2a6a467575a6d9086a8f7c2@inbound.aiesec.org</v>
      </c>
      <c r="F624" s="43">
        <f>IFERROR(__xludf.DUMMYFUNCTION("""COMPUTED_VALUE"""),9.2062258E7)</f>
        <v>92062258</v>
      </c>
      <c r="G624" s="43" t="str">
        <f>IFERROR(__xludf.DUMMYFUNCTION("""COMPUTED_VALUE"""),"Tunisia")</f>
        <v>Tunisia</v>
      </c>
      <c r="H624" s="43" t="str">
        <f>IFERROR(__xludf.DUMMYFUNCTION("""COMPUTED_VALUE"""),"HADRUMET")</f>
        <v>HADRUMET</v>
      </c>
      <c r="I624" s="43" t="str">
        <f>IFERROR(__xludf.DUMMYFUNCTION("""COMPUTED_VALUE"""),"Turkey")</f>
        <v>Turkey</v>
      </c>
      <c r="J624" s="43" t="str">
        <f>IFERROR(__xludf.DUMMYFUNCTION("""COMPUTED_VALUE"""),"DENIZLI")</f>
        <v>DENIZLI</v>
      </c>
      <c r="K624" s="44" t="str">
        <f>IFERROR(__xludf.DUMMYFUNCTION("""COMPUTED_VALUE"""),"https://expa.aiesec.org/opportunities/1292556")</f>
        <v>https://expa.aiesec.org/opportunities/1292556</v>
      </c>
      <c r="L624" s="43" t="str">
        <f>IFERROR(__xludf.DUMMYFUNCTION("""COMPUTED_VALUE"""),"GV")</f>
        <v>GV</v>
      </c>
      <c r="M624" s="43" t="str">
        <f>IFERROR(__xludf.DUMMYFUNCTION("""COMPUTED_VALUE"""),"short")</f>
        <v>short</v>
      </c>
      <c r="N624" s="45">
        <f>IFERROR(__xludf.DUMMYFUNCTION("""COMPUTED_VALUE"""),45019.0)</f>
        <v>45019</v>
      </c>
      <c r="O624" s="45">
        <f>IFERROR(__xludf.DUMMYFUNCTION("""COMPUTED_VALUE"""),45110.0)</f>
        <v>45110</v>
      </c>
      <c r="P624" s="45">
        <f>IFERROR(__xludf.DUMMYFUNCTION("""COMPUTED_VALUE"""),45152.0)</f>
        <v>45152</v>
      </c>
      <c r="Q624" s="45"/>
      <c r="R624" s="45"/>
      <c r="S624" s="43"/>
      <c r="T624" s="43"/>
      <c r="U624" s="43" t="str">
        <f>IFERROR(__xludf.DUMMYFUNCTION("""COMPUTED_VALUE"""),"Global Classroom")</f>
        <v>Global Classroom</v>
      </c>
      <c r="V624" s="43" t="str">
        <f>IFERROR(__xludf.DUMMYFUNCTION("""COMPUTED_VALUE"""),"Polytechnique Sousse")</f>
        <v>Polytechnique Sousse</v>
      </c>
      <c r="W624" s="43" t="str">
        <f>IFERROR(__xludf.DUMMYFUNCTION("""COMPUTED_VALUE"""),"2023-04-03T13:11:47Z")</f>
        <v>2023-04-03T13:11:47Z</v>
      </c>
      <c r="X624" s="43"/>
      <c r="Y624" s="43"/>
      <c r="Z624" s="43"/>
    </row>
    <row r="625" hidden="1">
      <c r="A625" s="43" t="str">
        <f>IFERROR(__xludf.DUMMYFUNCTION("""COMPUTED_VALUE"""),"4723533_1293495")</f>
        <v>4723533_1293495</v>
      </c>
      <c r="B625" s="43" t="str">
        <f>IFERROR(__xludf.DUMMYFUNCTION("""COMPUTED_VALUE"""),"yasmine cheikh")</f>
        <v>yasmine cheikh</v>
      </c>
      <c r="C625" s="43" t="str">
        <f>IFERROR(__xludf.DUMMYFUNCTION("""COMPUTED_VALUE"""),"completed")</f>
        <v>completed</v>
      </c>
      <c r="D625" s="43" t="str">
        <f>IFERROR(__xludf.DUMMYFUNCTION("""COMPUTED_VALUE"""),"No")</f>
        <v>No</v>
      </c>
      <c r="E625" s="43" t="str">
        <f>IFERROR(__xludf.DUMMYFUNCTION("""COMPUTED_VALUE"""),"p_760fecda57a57ece1d35141f05a17eb95b9c2ff2@inbound.aiesec.org")</f>
        <v>p_760fecda57a57ece1d35141f05a17eb95b9c2ff2@inbound.aiesec.org</v>
      </c>
      <c r="F625" s="43">
        <f>IFERROR(__xludf.DUMMYFUNCTION("""COMPUTED_VALUE"""),2.6908825E7)</f>
        <v>26908825</v>
      </c>
      <c r="G625" s="43" t="str">
        <f>IFERROR(__xludf.DUMMYFUNCTION("""COMPUTED_VALUE"""),"Tunisia")</f>
        <v>Tunisia</v>
      </c>
      <c r="H625" s="43" t="str">
        <f>IFERROR(__xludf.DUMMYFUNCTION("""COMPUTED_VALUE"""),"UNIVERSITY")</f>
        <v>UNIVERSITY</v>
      </c>
      <c r="I625" s="43" t="str">
        <f>IFERROR(__xludf.DUMMYFUNCTION("""COMPUTED_VALUE"""),"Turkey")</f>
        <v>Turkey</v>
      </c>
      <c r="J625" s="43" t="str">
        <f>IFERROR(__xludf.DUMMYFUNCTION("""COMPUTED_VALUE"""),"BURSA")</f>
        <v>BURSA</v>
      </c>
      <c r="K625" s="44" t="str">
        <f>IFERROR(__xludf.DUMMYFUNCTION("""COMPUTED_VALUE"""),"https://expa.aiesec.org/opportunities/1293495")</f>
        <v>https://expa.aiesec.org/opportunities/1293495</v>
      </c>
      <c r="L625" s="43" t="str">
        <f>IFERROR(__xludf.DUMMYFUNCTION("""COMPUTED_VALUE"""),"GV")</f>
        <v>GV</v>
      </c>
      <c r="M625" s="43" t="str">
        <f>IFERROR(__xludf.DUMMYFUNCTION("""COMPUTED_VALUE"""),"short")</f>
        <v>short</v>
      </c>
      <c r="N625" s="45">
        <f>IFERROR(__xludf.DUMMYFUNCTION("""COMPUTED_VALUE"""),45019.0)</f>
        <v>45019</v>
      </c>
      <c r="O625" s="45">
        <f>IFERROR(__xludf.DUMMYFUNCTION("""COMPUTED_VALUE"""),45102.0)</f>
        <v>45102</v>
      </c>
      <c r="P625" s="45">
        <f>IFERROR(__xludf.DUMMYFUNCTION("""COMPUTED_VALUE"""),45144.0)</f>
        <v>45144</v>
      </c>
      <c r="Q625" s="45">
        <f>IFERROR(__xludf.DUMMYFUNCTION("""COMPUTED_VALUE"""),45104.0)</f>
        <v>45104</v>
      </c>
      <c r="R625" s="45">
        <f>IFERROR(__xludf.DUMMYFUNCTION("""COMPUTED_VALUE"""),45144.0)</f>
        <v>45144</v>
      </c>
      <c r="S625" s="43"/>
      <c r="T625" s="43"/>
      <c r="U625" s="43" t="str">
        <f>IFERROR(__xludf.DUMMYFUNCTION("""COMPUTED_VALUE"""),"Youth 4 Impact")</f>
        <v>Youth 4 Impact</v>
      </c>
      <c r="V625" s="43" t="str">
        <f>IFERROR(__xludf.DUMMYFUNCTION("""COMPUTED_VALUE"""),"FST")</f>
        <v>FST</v>
      </c>
      <c r="W625" s="43" t="str">
        <f>IFERROR(__xludf.DUMMYFUNCTION("""COMPUTED_VALUE"""),"2021-08-30T16:02:27Z")</f>
        <v>2021-08-30T16:02:27Z</v>
      </c>
      <c r="X625" s="43"/>
      <c r="Y625" s="43"/>
      <c r="Z625" s="43"/>
    </row>
    <row r="626" hidden="1">
      <c r="A626" s="43" t="str">
        <f>IFERROR(__xludf.DUMMYFUNCTION("""COMPUTED_VALUE"""),"4404497_1291929")</f>
        <v>4404497_1291929</v>
      </c>
      <c r="B626" s="43" t="str">
        <f>IFERROR(__xludf.DUMMYFUNCTION("""COMPUTED_VALUE"""),"Amr Emad")</f>
        <v>Amr Emad</v>
      </c>
      <c r="C626" s="43" t="str">
        <f>IFERROR(__xludf.DUMMYFUNCTION("""COMPUTED_VALUE"""),"finished")</f>
        <v>finished</v>
      </c>
      <c r="D626" s="43" t="str">
        <f>IFERROR(__xludf.DUMMYFUNCTION("""COMPUTED_VALUE"""),"No")</f>
        <v>No</v>
      </c>
      <c r="E626" s="43" t="str">
        <f>IFERROR(__xludf.DUMMYFUNCTION("""COMPUTED_VALUE"""),"p_3b935b88fa12fe2fa84fd97a3129b8af1ba335c8@inbound.aiesec.org")</f>
        <v>p_3b935b88fa12fe2fa84fd97a3129b8af1ba335c8@inbound.aiesec.org</v>
      </c>
      <c r="F626" s="43">
        <f>IFERROR(__xludf.DUMMYFUNCTION("""COMPUTED_VALUE"""),1.112334615E9)</f>
        <v>1112334615</v>
      </c>
      <c r="G626" s="43" t="str">
        <f>IFERROR(__xludf.DUMMYFUNCTION("""COMPUTED_VALUE"""),"Egypt")</f>
        <v>Egypt</v>
      </c>
      <c r="H626" s="43" t="str">
        <f>IFERROR(__xludf.DUMMYFUNCTION("""COMPUTED_VALUE"""),"Alexandria")</f>
        <v>Alexandria</v>
      </c>
      <c r="I626" s="43" t="str">
        <f>IFERROR(__xludf.DUMMYFUNCTION("""COMPUTED_VALUE"""),"Turkey")</f>
        <v>Turkey</v>
      </c>
      <c r="J626" s="43" t="str">
        <f>IFERROR(__xludf.DUMMYFUNCTION("""COMPUTED_VALUE"""),"TRABZON")</f>
        <v>TRABZON</v>
      </c>
      <c r="K626" s="44" t="str">
        <f>IFERROR(__xludf.DUMMYFUNCTION("""COMPUTED_VALUE"""),"https://expa.aiesec.org/opportunities/1291929")</f>
        <v>https://expa.aiesec.org/opportunities/1291929</v>
      </c>
      <c r="L626" s="43" t="str">
        <f>IFERROR(__xludf.DUMMYFUNCTION("""COMPUTED_VALUE"""),"GV")</f>
        <v>GV</v>
      </c>
      <c r="M626" s="43" t="str">
        <f>IFERROR(__xludf.DUMMYFUNCTION("""COMPUTED_VALUE"""),"short")</f>
        <v>short</v>
      </c>
      <c r="N626" s="45">
        <f>IFERROR(__xludf.DUMMYFUNCTION("""COMPUTED_VALUE"""),45019.0)</f>
        <v>45019</v>
      </c>
      <c r="O626" s="45">
        <f>IFERROR(__xludf.DUMMYFUNCTION("""COMPUTED_VALUE"""),45128.0)</f>
        <v>45128</v>
      </c>
      <c r="P626" s="45">
        <f>IFERROR(__xludf.DUMMYFUNCTION("""COMPUTED_VALUE"""),45170.0)</f>
        <v>45170</v>
      </c>
      <c r="Q626" s="45">
        <f>IFERROR(__xludf.DUMMYFUNCTION("""COMPUTED_VALUE"""),45132.0)</f>
        <v>45132</v>
      </c>
      <c r="R626" s="45">
        <f>IFERROR(__xludf.DUMMYFUNCTION("""COMPUTED_VALUE"""),45172.0)</f>
        <v>45172</v>
      </c>
      <c r="S626" s="43"/>
      <c r="T626" s="43"/>
      <c r="U626" s="43" t="str">
        <f>IFERROR(__xludf.DUMMYFUNCTION("""COMPUTED_VALUE"""),"Global Classroom")</f>
        <v>Global Classroom</v>
      </c>
      <c r="V626" s="43" t="str">
        <f>IFERROR(__xludf.DUMMYFUNCTION("""COMPUTED_VALUE"""),"Alexandria University")</f>
        <v>Alexandria University</v>
      </c>
      <c r="W626" s="43" t="str">
        <f>IFERROR(__xludf.DUMMYFUNCTION("""COMPUTED_VALUE"""),"2020-10-22T21:36:38Z")</f>
        <v>2020-10-22T21:36:38Z</v>
      </c>
      <c r="X626" s="43"/>
      <c r="Y626" s="43"/>
      <c r="Z626" s="43"/>
    </row>
    <row r="627" hidden="1">
      <c r="A627" s="43" t="str">
        <f>IFERROR(__xludf.DUMMYFUNCTION("""COMPUTED_VALUE"""),"5223742_1288280")</f>
        <v>5223742_1288280</v>
      </c>
      <c r="B627" s="43" t="str">
        <f>IFERROR(__xludf.DUMMYFUNCTION("""COMPUTED_VALUE"""),"Shady Ahmed")</f>
        <v>Shady Ahmed</v>
      </c>
      <c r="C627" s="43" t="str">
        <f>IFERROR(__xludf.DUMMYFUNCTION("""COMPUTED_VALUE"""),"approved")</f>
        <v>approved</v>
      </c>
      <c r="D627" s="43" t="str">
        <f>IFERROR(__xludf.DUMMYFUNCTION("""COMPUTED_VALUE"""),"No")</f>
        <v>No</v>
      </c>
      <c r="E627" s="43" t="str">
        <f>IFERROR(__xludf.DUMMYFUNCTION("""COMPUTED_VALUE"""),"p_0d8268743650cc6eb9f975e9540023a84ab2abe5@inbound.aiesec.org")</f>
        <v>p_0d8268743650cc6eb9f975e9540023a84ab2abe5@inbound.aiesec.org</v>
      </c>
      <c r="F627" s="43">
        <f>IFERROR(__xludf.DUMMYFUNCTION("""COMPUTED_VALUE"""),1.025502332E9)</f>
        <v>1025502332</v>
      </c>
      <c r="G627" s="43" t="str">
        <f>IFERROR(__xludf.DUMMYFUNCTION("""COMPUTED_VALUE"""),"Egypt")</f>
        <v>Egypt</v>
      </c>
      <c r="H627" s="43" t="str">
        <f>IFERROR(__xludf.DUMMYFUNCTION("""COMPUTED_VALUE"""),"Suez")</f>
        <v>Suez</v>
      </c>
      <c r="I627" s="43" t="str">
        <f>IFERROR(__xludf.DUMMYFUNCTION("""COMPUTED_VALUE"""),"Turkey")</f>
        <v>Turkey</v>
      </c>
      <c r="J627" s="43" t="str">
        <f>IFERROR(__xludf.DUMMYFUNCTION("""COMPUTED_VALUE"""),"İZMİR")</f>
        <v>İZMİR</v>
      </c>
      <c r="K627" s="44" t="str">
        <f>IFERROR(__xludf.DUMMYFUNCTION("""COMPUTED_VALUE"""),"https://expa.aiesec.org/opportunities/1288280")</f>
        <v>https://expa.aiesec.org/opportunities/1288280</v>
      </c>
      <c r="L627" s="43" t="str">
        <f>IFERROR(__xludf.DUMMYFUNCTION("""COMPUTED_VALUE"""),"GV")</f>
        <v>GV</v>
      </c>
      <c r="M627" s="43" t="str">
        <f>IFERROR(__xludf.DUMMYFUNCTION("""COMPUTED_VALUE"""),"short")</f>
        <v>short</v>
      </c>
      <c r="N627" s="45">
        <f>IFERROR(__xludf.DUMMYFUNCTION("""COMPUTED_VALUE"""),45019.0)</f>
        <v>45019</v>
      </c>
      <c r="O627" s="45">
        <f>IFERROR(__xludf.DUMMYFUNCTION("""COMPUTED_VALUE"""),45172.0)</f>
        <v>45172</v>
      </c>
      <c r="P627" s="45">
        <f>IFERROR(__xludf.DUMMYFUNCTION("""COMPUTED_VALUE"""),45214.0)</f>
        <v>45214</v>
      </c>
      <c r="Q627" s="45"/>
      <c r="R627" s="45"/>
      <c r="S627" s="43"/>
      <c r="T627" s="43"/>
      <c r="U627" s="43" t="str">
        <f>IFERROR(__xludf.DUMMYFUNCTION("""COMPUTED_VALUE"""),"Global Classroom")</f>
        <v>Global Classroom</v>
      </c>
      <c r="V627" s="43" t="str">
        <f>IFERROR(__xludf.DUMMYFUNCTION("""COMPUTED_VALUE"""),"Sherouk Academy")</f>
        <v>Sherouk Academy</v>
      </c>
      <c r="W627" s="43" t="str">
        <f>IFERROR(__xludf.DUMMYFUNCTION("""COMPUTED_VALUE"""),"2023-03-22T11:54:23Z")</f>
        <v>2023-03-22T11:54:23Z</v>
      </c>
      <c r="X627" s="43"/>
      <c r="Y627" s="43"/>
      <c r="Z627" s="43"/>
    </row>
    <row r="628" hidden="1">
      <c r="A628" s="43" t="str">
        <f>IFERROR(__xludf.DUMMYFUNCTION("""COMPUTED_VALUE"""),"5206238_1291929")</f>
        <v>5206238_1291929</v>
      </c>
      <c r="B628" s="43" t="str">
        <f>IFERROR(__xludf.DUMMYFUNCTION("""COMPUTED_VALUE"""),"Mohammed Elsabry")</f>
        <v>Mohammed Elsabry</v>
      </c>
      <c r="C628" s="43" t="str">
        <f>IFERROR(__xludf.DUMMYFUNCTION("""COMPUTED_VALUE"""),"finished")</f>
        <v>finished</v>
      </c>
      <c r="D628" s="43" t="str">
        <f>IFERROR(__xludf.DUMMYFUNCTION("""COMPUTED_VALUE"""),"No")</f>
        <v>No</v>
      </c>
      <c r="E628" s="43" t="str">
        <f>IFERROR(__xludf.DUMMYFUNCTION("""COMPUTED_VALUE"""),"p_e0191b51375dcca3088a683a85e85c0874d7842c@inbound.aiesec.org")</f>
        <v>p_e0191b51375dcca3088a683a85e85c0874d7842c@inbound.aiesec.org</v>
      </c>
      <c r="F628" s="43">
        <f>IFERROR(__xludf.DUMMYFUNCTION("""COMPUTED_VALUE"""),1.228981184E9)</f>
        <v>1228981184</v>
      </c>
      <c r="G628" s="43" t="str">
        <f>IFERROR(__xludf.DUMMYFUNCTION("""COMPUTED_VALUE"""),"Egypt")</f>
        <v>Egypt</v>
      </c>
      <c r="H628" s="43" t="str">
        <f>IFERROR(__xludf.DUMMYFUNCTION("""COMPUTED_VALUE"""),"Alexandria")</f>
        <v>Alexandria</v>
      </c>
      <c r="I628" s="43" t="str">
        <f>IFERROR(__xludf.DUMMYFUNCTION("""COMPUTED_VALUE"""),"Turkey")</f>
        <v>Turkey</v>
      </c>
      <c r="J628" s="43" t="str">
        <f>IFERROR(__xludf.DUMMYFUNCTION("""COMPUTED_VALUE"""),"TRABZON")</f>
        <v>TRABZON</v>
      </c>
      <c r="K628" s="44" t="str">
        <f>IFERROR(__xludf.DUMMYFUNCTION("""COMPUTED_VALUE"""),"https://expa.aiesec.org/opportunities/1291929")</f>
        <v>https://expa.aiesec.org/opportunities/1291929</v>
      </c>
      <c r="L628" s="43" t="str">
        <f>IFERROR(__xludf.DUMMYFUNCTION("""COMPUTED_VALUE"""),"GV")</f>
        <v>GV</v>
      </c>
      <c r="M628" s="43" t="str">
        <f>IFERROR(__xludf.DUMMYFUNCTION("""COMPUTED_VALUE"""),"short")</f>
        <v>short</v>
      </c>
      <c r="N628" s="45">
        <f>IFERROR(__xludf.DUMMYFUNCTION("""COMPUTED_VALUE"""),45019.0)</f>
        <v>45019</v>
      </c>
      <c r="O628" s="45">
        <f>IFERROR(__xludf.DUMMYFUNCTION("""COMPUTED_VALUE"""),45128.0)</f>
        <v>45128</v>
      </c>
      <c r="P628" s="45">
        <f>IFERROR(__xludf.DUMMYFUNCTION("""COMPUTED_VALUE"""),45170.0)</f>
        <v>45170</v>
      </c>
      <c r="Q628" s="45">
        <f>IFERROR(__xludf.DUMMYFUNCTION("""COMPUTED_VALUE"""),45132.0)</f>
        <v>45132</v>
      </c>
      <c r="R628" s="45">
        <f>IFERROR(__xludf.DUMMYFUNCTION("""COMPUTED_VALUE"""),45174.0)</f>
        <v>45174</v>
      </c>
      <c r="S628" s="43"/>
      <c r="T628" s="43"/>
      <c r="U628" s="43" t="str">
        <f>IFERROR(__xludf.DUMMYFUNCTION("""COMPUTED_VALUE"""),"Global Classroom")</f>
        <v>Global Classroom</v>
      </c>
      <c r="V628" s="43" t="str">
        <f>IFERROR(__xludf.DUMMYFUNCTION("""COMPUTED_VALUE"""),"Alexandria University")</f>
        <v>Alexandria University</v>
      </c>
      <c r="W628" s="43" t="str">
        <f>IFERROR(__xludf.DUMMYFUNCTION("""COMPUTED_VALUE"""),"2023-03-05T11:49:20Z")</f>
        <v>2023-03-05T11:49:20Z</v>
      </c>
      <c r="X628" s="43"/>
      <c r="Y628" s="43"/>
      <c r="Z628" s="43"/>
    </row>
    <row r="629" hidden="1">
      <c r="A629" s="43" t="str">
        <f>IFERROR(__xludf.DUMMYFUNCTION("""COMPUTED_VALUE"""),"4357021_1286236")</f>
        <v>4357021_1286236</v>
      </c>
      <c r="B629" s="43" t="str">
        <f>IFERROR(__xludf.DUMMYFUNCTION("""COMPUTED_VALUE"""),"safa bhiri")</f>
        <v>safa bhiri</v>
      </c>
      <c r="C629" s="43" t="str">
        <f>IFERROR(__xludf.DUMMYFUNCTION("""COMPUTED_VALUE"""),"completed")</f>
        <v>completed</v>
      </c>
      <c r="D629" s="43" t="str">
        <f>IFERROR(__xludf.DUMMYFUNCTION("""COMPUTED_VALUE"""),"No")</f>
        <v>No</v>
      </c>
      <c r="E629" s="43" t="str">
        <f>IFERROR(__xludf.DUMMYFUNCTION("""COMPUTED_VALUE"""),"p_e06cf99a8fa449057a166c90865089b3f7f84ad5@inbound.aiesec.org")</f>
        <v>p_e06cf99a8fa449057a166c90865089b3f7f84ad5@inbound.aiesec.org</v>
      </c>
      <c r="F629" s="43">
        <f>IFERROR(__xludf.DUMMYFUNCTION("""COMPUTED_VALUE"""),5.0774399E7)</f>
        <v>50774399</v>
      </c>
      <c r="G629" s="43" t="str">
        <f>IFERROR(__xludf.DUMMYFUNCTION("""COMPUTED_VALUE"""),"Tunisia")</f>
        <v>Tunisia</v>
      </c>
      <c r="H629" s="43" t="str">
        <f>IFERROR(__xludf.DUMMYFUNCTION("""COMPUTED_VALUE"""),"BARDO")</f>
        <v>BARDO</v>
      </c>
      <c r="I629" s="43" t="str">
        <f>IFERROR(__xludf.DUMMYFUNCTION("""COMPUTED_VALUE"""),"Turkey")</f>
        <v>Turkey</v>
      </c>
      <c r="J629" s="43" t="str">
        <f>IFERROR(__xludf.DUMMYFUNCTION("""COMPUTED_VALUE"""),"ISPARTA")</f>
        <v>ISPARTA</v>
      </c>
      <c r="K629" s="44" t="str">
        <f>IFERROR(__xludf.DUMMYFUNCTION("""COMPUTED_VALUE"""),"https://expa.aiesec.org/opportunities/1286236")</f>
        <v>https://expa.aiesec.org/opportunities/1286236</v>
      </c>
      <c r="L629" s="43" t="str">
        <f>IFERROR(__xludf.DUMMYFUNCTION("""COMPUTED_VALUE"""),"GV")</f>
        <v>GV</v>
      </c>
      <c r="M629" s="43" t="str">
        <f>IFERROR(__xludf.DUMMYFUNCTION("""COMPUTED_VALUE"""),"short")</f>
        <v>short</v>
      </c>
      <c r="N629" s="45">
        <f>IFERROR(__xludf.DUMMYFUNCTION("""COMPUTED_VALUE"""),45020.0)</f>
        <v>45020</v>
      </c>
      <c r="O629" s="45">
        <f>IFERROR(__xludf.DUMMYFUNCTION("""COMPUTED_VALUE"""),45103.0)</f>
        <v>45103</v>
      </c>
      <c r="P629" s="45">
        <f>IFERROR(__xludf.DUMMYFUNCTION("""COMPUTED_VALUE"""),45145.0)</f>
        <v>45145</v>
      </c>
      <c r="Q629" s="45">
        <f>IFERROR(__xludf.DUMMYFUNCTION("""COMPUTED_VALUE"""),45111.0)</f>
        <v>45111</v>
      </c>
      <c r="R629" s="45">
        <f>IFERROR(__xludf.DUMMYFUNCTION("""COMPUTED_VALUE"""),45153.0)</f>
        <v>45153</v>
      </c>
      <c r="S629" s="43"/>
      <c r="T629" s="43"/>
      <c r="U629" s="43" t="str">
        <f>IFERROR(__xludf.DUMMYFUNCTION("""COMPUTED_VALUE"""),"Global Classroom")</f>
        <v>Global Classroom</v>
      </c>
      <c r="V629" s="43" t="str">
        <f>IFERROR(__xludf.DUMMYFUNCTION("""COMPUTED_VALUE"""),"FSHS Tunis")</f>
        <v>FSHS Tunis</v>
      </c>
      <c r="W629" s="43" t="str">
        <f>IFERROR(__xludf.DUMMYFUNCTION("""COMPUTED_VALUE"""),"2020-08-31T16:38:26Z")</f>
        <v>2020-08-31T16:38:26Z</v>
      </c>
      <c r="X629" s="43"/>
      <c r="Y629" s="43"/>
      <c r="Z629" s="43"/>
    </row>
    <row r="630" hidden="1">
      <c r="A630" s="43" t="str">
        <f>IFERROR(__xludf.DUMMYFUNCTION("""COMPUTED_VALUE"""),"5209119_1292962")</f>
        <v>5209119_1292962</v>
      </c>
      <c r="B630" s="43" t="str">
        <f>IFERROR(__xludf.DUMMYFUNCTION("""COMPUTED_VALUE"""),"Saad Louhichi")</f>
        <v>Saad Louhichi</v>
      </c>
      <c r="C630" s="43" t="str">
        <f>IFERROR(__xludf.DUMMYFUNCTION("""COMPUTED_VALUE"""),"completed")</f>
        <v>completed</v>
      </c>
      <c r="D630" s="43" t="str">
        <f>IFERROR(__xludf.DUMMYFUNCTION("""COMPUTED_VALUE"""),"No")</f>
        <v>No</v>
      </c>
      <c r="E630" s="43" t="str">
        <f>IFERROR(__xludf.DUMMYFUNCTION("""COMPUTED_VALUE"""),"p_1007918f4abb856c0d6f83dc6e73b0e9700ab762@inbound.aiesec.org")</f>
        <v>p_1007918f4abb856c0d6f83dc6e73b0e9700ab762@inbound.aiesec.org</v>
      </c>
      <c r="F630" s="43">
        <f>IFERROR(__xludf.DUMMYFUNCTION("""COMPUTED_VALUE"""),2.8333887E7)</f>
        <v>28333887</v>
      </c>
      <c r="G630" s="43" t="str">
        <f>IFERROR(__xludf.DUMMYFUNCTION("""COMPUTED_VALUE"""),"Tunisia")</f>
        <v>Tunisia</v>
      </c>
      <c r="H630" s="43" t="str">
        <f>IFERROR(__xludf.DUMMYFUNCTION("""COMPUTED_VALUE"""),"UNIVERSITY")</f>
        <v>UNIVERSITY</v>
      </c>
      <c r="I630" s="43" t="str">
        <f>IFERROR(__xludf.DUMMYFUNCTION("""COMPUTED_VALUE"""),"Turkey")</f>
        <v>Turkey</v>
      </c>
      <c r="J630" s="43" t="str">
        <f>IFERROR(__xludf.DUMMYFUNCTION("""COMPUTED_VALUE"""),"BURSA")</f>
        <v>BURSA</v>
      </c>
      <c r="K630" s="44" t="str">
        <f>IFERROR(__xludf.DUMMYFUNCTION("""COMPUTED_VALUE"""),"https://expa.aiesec.org/opportunities/1292962")</f>
        <v>https://expa.aiesec.org/opportunities/1292962</v>
      </c>
      <c r="L630" s="43" t="str">
        <f>IFERROR(__xludf.DUMMYFUNCTION("""COMPUTED_VALUE"""),"GV")</f>
        <v>GV</v>
      </c>
      <c r="M630" s="43" t="str">
        <f>IFERROR(__xludf.DUMMYFUNCTION("""COMPUTED_VALUE"""),"short")</f>
        <v>short</v>
      </c>
      <c r="N630" s="45">
        <f>IFERROR(__xludf.DUMMYFUNCTION("""COMPUTED_VALUE"""),45020.0)</f>
        <v>45020</v>
      </c>
      <c r="O630" s="45">
        <f>IFERROR(__xludf.DUMMYFUNCTION("""COMPUTED_VALUE"""),45152.0)</f>
        <v>45152</v>
      </c>
      <c r="P630" s="45">
        <f>IFERROR(__xludf.DUMMYFUNCTION("""COMPUTED_VALUE"""),45194.0)</f>
        <v>45194</v>
      </c>
      <c r="Q630" s="45">
        <f>IFERROR(__xludf.DUMMYFUNCTION("""COMPUTED_VALUE"""),45159.0)</f>
        <v>45159</v>
      </c>
      <c r="R630" s="45">
        <f>IFERROR(__xludf.DUMMYFUNCTION("""COMPUTED_VALUE"""),45199.0)</f>
        <v>45199</v>
      </c>
      <c r="S630" s="43"/>
      <c r="T630" s="43"/>
      <c r="U630" s="43" t="str">
        <f>IFERROR(__xludf.DUMMYFUNCTION("""COMPUTED_VALUE"""),"Youth 4 Impact")</f>
        <v>Youth 4 Impact</v>
      </c>
      <c r="V630" s="43" t="str">
        <f>IFERROR(__xludf.DUMMYFUNCTION("""COMPUTED_VALUE"""),"FDSPT")</f>
        <v>FDSPT</v>
      </c>
      <c r="W630" s="43" t="str">
        <f>IFERROR(__xludf.DUMMYFUNCTION("""COMPUTED_VALUE"""),"2023-03-07T20:55:02Z")</f>
        <v>2023-03-07T20:55:02Z</v>
      </c>
      <c r="X630" s="43"/>
      <c r="Y630" s="43"/>
      <c r="Z630" s="43"/>
    </row>
    <row r="631">
      <c r="A631" s="43" t="str">
        <f>IFERROR(__xludf.DUMMYFUNCTION("""COMPUTED_VALUE"""),"5228304_1286326")</f>
        <v>5228304_1286326</v>
      </c>
      <c r="B631" s="43" t="str">
        <f>IFERROR(__xludf.DUMMYFUNCTION("""COMPUTED_VALUE"""),"Yasmine Dhouib")</f>
        <v>Yasmine Dhouib</v>
      </c>
      <c r="C631" s="43" t="str">
        <f>IFERROR(__xludf.DUMMYFUNCTION("""COMPUTED_VALUE"""),"approved")</f>
        <v>approved</v>
      </c>
      <c r="D631" s="43" t="str">
        <f>IFERROR(__xludf.DUMMYFUNCTION("""COMPUTED_VALUE"""),"No")</f>
        <v>No</v>
      </c>
      <c r="E631" s="43" t="str">
        <f>IFERROR(__xludf.DUMMYFUNCTION("""COMPUTED_VALUE"""),"p_470380504917c2b0558521823ffecbb7c0b5dfe6@inbound.aiesec.org")</f>
        <v>p_470380504917c2b0558521823ffecbb7c0b5dfe6@inbound.aiesec.org</v>
      </c>
      <c r="F631" s="43">
        <f>IFERROR(__xludf.DUMMYFUNCTION("""COMPUTED_VALUE"""),5.338042E7)</f>
        <v>53380420</v>
      </c>
      <c r="G631" s="43" t="str">
        <f>IFERROR(__xludf.DUMMYFUNCTION("""COMPUTED_VALUE"""),"Tunisia")</f>
        <v>Tunisia</v>
      </c>
      <c r="H631" s="43" t="str">
        <f>IFERROR(__xludf.DUMMYFUNCTION("""COMPUTED_VALUE"""),"BARDO")</f>
        <v>BARDO</v>
      </c>
      <c r="I631" s="43" t="str">
        <f>IFERROR(__xludf.DUMMYFUNCTION("""COMPUTED_VALUE"""),"Turkey")</f>
        <v>Turkey</v>
      </c>
      <c r="J631" s="43" t="str">
        <f>IFERROR(__xludf.DUMMYFUNCTION("""COMPUTED_VALUE"""),"ADANA")</f>
        <v>ADANA</v>
      </c>
      <c r="K631" s="44" t="str">
        <f>IFERROR(__xludf.DUMMYFUNCTION("""COMPUTED_VALUE"""),"https://expa.aiesec.org/opportunities/1286326")</f>
        <v>https://expa.aiesec.org/opportunities/1286326</v>
      </c>
      <c r="L631" s="43" t="str">
        <f>IFERROR(__xludf.DUMMYFUNCTION("""COMPUTED_VALUE"""),"GV")</f>
        <v>GV</v>
      </c>
      <c r="M631" s="43" t="str">
        <f>IFERROR(__xludf.DUMMYFUNCTION("""COMPUTED_VALUE"""),"short")</f>
        <v>short</v>
      </c>
      <c r="N631" s="45">
        <f>IFERROR(__xludf.DUMMYFUNCTION("""COMPUTED_VALUE"""),45020.0)</f>
        <v>45020</v>
      </c>
      <c r="O631" s="45">
        <f>IFERROR(__xludf.DUMMYFUNCTION("""COMPUTED_VALUE"""),45093.0)</f>
        <v>45093</v>
      </c>
      <c r="P631" s="45">
        <f>IFERROR(__xludf.DUMMYFUNCTION("""COMPUTED_VALUE"""),45135.0)</f>
        <v>45135</v>
      </c>
      <c r="Q631" s="45"/>
      <c r="R631" s="45"/>
      <c r="S631" s="43"/>
      <c r="T631" s="43"/>
      <c r="U631" s="43" t="str">
        <f>IFERROR(__xludf.DUMMYFUNCTION("""COMPUTED_VALUE"""),"Equify")</f>
        <v>Equify</v>
      </c>
      <c r="V631" s="43" t="str">
        <f>IFERROR(__xludf.DUMMYFUNCTION("""COMPUTED_VALUE"""),"TBS")</f>
        <v>TBS</v>
      </c>
      <c r="W631" s="43" t="str">
        <f>IFERROR(__xludf.DUMMYFUNCTION("""COMPUTED_VALUE"""),"2023-03-27T16:32:31Z")</f>
        <v>2023-03-27T16:32:31Z</v>
      </c>
      <c r="X631" s="43"/>
      <c r="Y631" s="43"/>
      <c r="Z631" s="43"/>
    </row>
    <row r="632" hidden="1">
      <c r="A632" s="43" t="str">
        <f>IFERROR(__xludf.DUMMYFUNCTION("""COMPUTED_VALUE"""),"5145657_1288582")</f>
        <v>5145657_1288582</v>
      </c>
      <c r="B632" s="43" t="str">
        <f>IFERROR(__xludf.DUMMYFUNCTION("""COMPUTED_VALUE"""),"Aiza Burkitbayeva")</f>
        <v>Aiza Burkitbayeva</v>
      </c>
      <c r="C632" s="43" t="str">
        <f>IFERROR(__xludf.DUMMYFUNCTION("""COMPUTED_VALUE"""),"completed")</f>
        <v>completed</v>
      </c>
      <c r="D632" s="43" t="str">
        <f>IFERROR(__xludf.DUMMYFUNCTION("""COMPUTED_VALUE"""),"No")</f>
        <v>No</v>
      </c>
      <c r="E632" s="43" t="str">
        <f>IFERROR(__xludf.DUMMYFUNCTION("""COMPUTED_VALUE"""),"p_196c0474402bc11c463bfab76cd2ec9e8c8417cd@inbound.aiesec.org")</f>
        <v>p_196c0474402bc11c463bfab76cd2ec9e8c8417cd@inbound.aiesec.org</v>
      </c>
      <c r="F632" s="43">
        <f>IFERROR(__xludf.DUMMYFUNCTION("""COMPUTED_VALUE"""),7.472484939E9)</f>
        <v>7472484939</v>
      </c>
      <c r="G632" s="43" t="str">
        <f>IFERROR(__xludf.DUMMYFUNCTION("""COMPUTED_VALUE"""),"Kazakhstan")</f>
        <v>Kazakhstan</v>
      </c>
      <c r="H632" s="43" t="str">
        <f>IFERROR(__xludf.DUMMYFUNCTION("""COMPUTED_VALUE"""),"ALMATY")</f>
        <v>ALMATY</v>
      </c>
      <c r="I632" s="43" t="str">
        <f>IFERROR(__xludf.DUMMYFUNCTION("""COMPUTED_VALUE"""),"Turkey")</f>
        <v>Turkey</v>
      </c>
      <c r="J632" s="43" t="str">
        <f>IFERROR(__xludf.DUMMYFUNCTION("""COMPUTED_VALUE"""),"GAZIANTEP")</f>
        <v>GAZIANTEP</v>
      </c>
      <c r="K632" s="44" t="str">
        <f>IFERROR(__xludf.DUMMYFUNCTION("""COMPUTED_VALUE"""),"https://expa.aiesec.org/opportunities/1288582")</f>
        <v>https://expa.aiesec.org/opportunities/1288582</v>
      </c>
      <c r="L632" s="43" t="str">
        <f>IFERROR(__xludf.DUMMYFUNCTION("""COMPUTED_VALUE"""),"GV")</f>
        <v>GV</v>
      </c>
      <c r="M632" s="43" t="str">
        <f>IFERROR(__xludf.DUMMYFUNCTION("""COMPUTED_VALUE"""),"short")</f>
        <v>short</v>
      </c>
      <c r="N632" s="45">
        <f>IFERROR(__xludf.DUMMYFUNCTION("""COMPUTED_VALUE"""),45020.0)</f>
        <v>45020</v>
      </c>
      <c r="O632" s="45">
        <f>IFERROR(__xludf.DUMMYFUNCTION("""COMPUTED_VALUE"""),45097.0)</f>
        <v>45097</v>
      </c>
      <c r="P632" s="45">
        <f>IFERROR(__xludf.DUMMYFUNCTION("""COMPUTED_VALUE"""),45139.0)</f>
        <v>45139</v>
      </c>
      <c r="Q632" s="45">
        <f>IFERROR(__xludf.DUMMYFUNCTION("""COMPUTED_VALUE"""),45107.0)</f>
        <v>45107</v>
      </c>
      <c r="R632" s="45">
        <f>IFERROR(__xludf.DUMMYFUNCTION("""COMPUTED_VALUE"""),45149.0)</f>
        <v>45149</v>
      </c>
      <c r="S632" s="43"/>
      <c r="T632" s="43"/>
      <c r="U632" s="43" t="str">
        <f>IFERROR(__xludf.DUMMYFUNCTION("""COMPUTED_VALUE"""),"Global Classroom")</f>
        <v>Global Classroom</v>
      </c>
      <c r="V632" s="43" t="str">
        <f>IFERROR(__xludf.DUMMYFUNCTION("""COMPUTED_VALUE"""),"Atyrau")</f>
        <v>Atyrau</v>
      </c>
      <c r="W632" s="43" t="str">
        <f>IFERROR(__xludf.DUMMYFUNCTION("""COMPUTED_VALUE"""),"2022-11-03T08:50:05Z")</f>
        <v>2022-11-03T08:50:05Z</v>
      </c>
      <c r="X632" s="43"/>
      <c r="Y632" s="43"/>
      <c r="Z632" s="43"/>
    </row>
    <row r="633" hidden="1">
      <c r="A633" s="43" t="str">
        <f>IFERROR(__xludf.DUMMYFUNCTION("""COMPUTED_VALUE"""),"5224197_1292557")</f>
        <v>5224197_1292557</v>
      </c>
      <c r="B633" s="43" t="str">
        <f>IFERROR(__xludf.DUMMYFUNCTION("""COMPUTED_VALUE"""),"Lina Trabelsi")</f>
        <v>Lina Trabelsi</v>
      </c>
      <c r="C633" s="43" t="str">
        <f>IFERROR(__xludf.DUMMYFUNCTION("""COMPUTED_VALUE"""),"finished")</f>
        <v>finished</v>
      </c>
      <c r="D633" s="43" t="str">
        <f>IFERROR(__xludf.DUMMYFUNCTION("""COMPUTED_VALUE"""),"No")</f>
        <v>No</v>
      </c>
      <c r="E633" s="43" t="str">
        <f>IFERROR(__xludf.DUMMYFUNCTION("""COMPUTED_VALUE"""),"p_3e30f92a09b4fde570420f39a4e3ca4a9ec83c8d@inbound.aiesec.org")</f>
        <v>p_3e30f92a09b4fde570420f39a4e3ca4a9ec83c8d@inbound.aiesec.org</v>
      </c>
      <c r="F633" s="43">
        <f>IFERROR(__xludf.DUMMYFUNCTION("""COMPUTED_VALUE"""),9.0312743E7)</f>
        <v>90312743</v>
      </c>
      <c r="G633" s="43" t="str">
        <f>IFERROR(__xludf.DUMMYFUNCTION("""COMPUTED_VALUE"""),"Tunisia")</f>
        <v>Tunisia</v>
      </c>
      <c r="H633" s="43" t="str">
        <f>IFERROR(__xludf.DUMMYFUNCTION("""COMPUTED_VALUE"""),"NABEL")</f>
        <v>NABEL</v>
      </c>
      <c r="I633" s="43" t="str">
        <f>IFERROR(__xludf.DUMMYFUNCTION("""COMPUTED_VALUE"""),"Turkey")</f>
        <v>Turkey</v>
      </c>
      <c r="J633" s="43" t="str">
        <f>IFERROR(__xludf.DUMMYFUNCTION("""COMPUTED_VALUE"""),"DENIZLI")</f>
        <v>DENIZLI</v>
      </c>
      <c r="K633" s="44" t="str">
        <f>IFERROR(__xludf.DUMMYFUNCTION("""COMPUTED_VALUE"""),"https://expa.aiesec.org/opportunities/1292557")</f>
        <v>https://expa.aiesec.org/opportunities/1292557</v>
      </c>
      <c r="L633" s="43" t="str">
        <f>IFERROR(__xludf.DUMMYFUNCTION("""COMPUTED_VALUE"""),"GV")</f>
        <v>GV</v>
      </c>
      <c r="M633" s="43" t="str">
        <f>IFERROR(__xludf.DUMMYFUNCTION("""COMPUTED_VALUE"""),"short")</f>
        <v>short</v>
      </c>
      <c r="N633" s="45">
        <f>IFERROR(__xludf.DUMMYFUNCTION("""COMPUTED_VALUE"""),45021.0)</f>
        <v>45021</v>
      </c>
      <c r="O633" s="45">
        <f>IFERROR(__xludf.DUMMYFUNCTION("""COMPUTED_VALUE"""),45117.0)</f>
        <v>45117</v>
      </c>
      <c r="P633" s="45">
        <f>IFERROR(__xludf.DUMMYFUNCTION("""COMPUTED_VALUE"""),45159.0)</f>
        <v>45159</v>
      </c>
      <c r="Q633" s="45">
        <f>IFERROR(__xludf.DUMMYFUNCTION("""COMPUTED_VALUE"""),45117.0)</f>
        <v>45117</v>
      </c>
      <c r="R633" s="45">
        <f>IFERROR(__xludf.DUMMYFUNCTION("""COMPUTED_VALUE"""),45159.0)</f>
        <v>45159</v>
      </c>
      <c r="S633" s="43"/>
      <c r="T633" s="43"/>
      <c r="U633" s="43" t="str">
        <f>IFERROR(__xludf.DUMMYFUNCTION("""COMPUTED_VALUE"""),"Equify")</f>
        <v>Equify</v>
      </c>
      <c r="V633" s="43" t="str">
        <f>IFERROR(__xludf.DUMMYFUNCTION("""COMPUTED_VALUE"""),"ISTIC Borj Cedria")</f>
        <v>ISTIC Borj Cedria</v>
      </c>
      <c r="W633" s="43" t="str">
        <f>IFERROR(__xludf.DUMMYFUNCTION("""COMPUTED_VALUE"""),"2023-03-22T16:39:11Z")</f>
        <v>2023-03-22T16:39:11Z</v>
      </c>
      <c r="X633" s="43"/>
      <c r="Y633" s="43"/>
      <c r="Z633" s="43"/>
    </row>
    <row r="634" hidden="1">
      <c r="A634" s="43" t="str">
        <f>IFERROR(__xludf.DUMMYFUNCTION("""COMPUTED_VALUE"""),"5235428_1292557")</f>
        <v>5235428_1292557</v>
      </c>
      <c r="B634" s="43" t="str">
        <f>IFERROR(__xludf.DUMMYFUNCTION("""COMPUTED_VALUE"""),"ayoub jegham")</f>
        <v>ayoub jegham</v>
      </c>
      <c r="C634" s="43" t="str">
        <f>IFERROR(__xludf.DUMMYFUNCTION("""COMPUTED_VALUE"""),"completed")</f>
        <v>completed</v>
      </c>
      <c r="D634" s="43" t="str">
        <f>IFERROR(__xludf.DUMMYFUNCTION("""COMPUTED_VALUE"""),"No")</f>
        <v>No</v>
      </c>
      <c r="E634" s="43" t="str">
        <f>IFERROR(__xludf.DUMMYFUNCTION("""COMPUTED_VALUE"""),"p_ee06c22b88aee59b80129fc9406b1e4a8b8f4275@inbound.aiesec.org")</f>
        <v>p_ee06c22b88aee59b80129fc9406b1e4a8b8f4275@inbound.aiesec.org</v>
      </c>
      <c r="F634" s="43">
        <f>IFERROR(__xludf.DUMMYFUNCTION("""COMPUTED_VALUE"""),2.4664506E7)</f>
        <v>24664506</v>
      </c>
      <c r="G634" s="43" t="str">
        <f>IFERROR(__xludf.DUMMYFUNCTION("""COMPUTED_VALUE"""),"Tunisia")</f>
        <v>Tunisia</v>
      </c>
      <c r="H634" s="43" t="str">
        <f>IFERROR(__xludf.DUMMYFUNCTION("""COMPUTED_VALUE"""),"HADRUMET")</f>
        <v>HADRUMET</v>
      </c>
      <c r="I634" s="43" t="str">
        <f>IFERROR(__xludf.DUMMYFUNCTION("""COMPUTED_VALUE"""),"Turkey")</f>
        <v>Turkey</v>
      </c>
      <c r="J634" s="43" t="str">
        <f>IFERROR(__xludf.DUMMYFUNCTION("""COMPUTED_VALUE"""),"DENIZLI")</f>
        <v>DENIZLI</v>
      </c>
      <c r="K634" s="44" t="str">
        <f>IFERROR(__xludf.DUMMYFUNCTION("""COMPUTED_VALUE"""),"https://expa.aiesec.org/opportunities/1292557")</f>
        <v>https://expa.aiesec.org/opportunities/1292557</v>
      </c>
      <c r="L634" s="43" t="str">
        <f>IFERROR(__xludf.DUMMYFUNCTION("""COMPUTED_VALUE"""),"GV")</f>
        <v>GV</v>
      </c>
      <c r="M634" s="43" t="str">
        <f>IFERROR(__xludf.DUMMYFUNCTION("""COMPUTED_VALUE"""),"short")</f>
        <v>short</v>
      </c>
      <c r="N634" s="45">
        <f>IFERROR(__xludf.DUMMYFUNCTION("""COMPUTED_VALUE"""),45021.0)</f>
        <v>45021</v>
      </c>
      <c r="O634" s="45">
        <f>IFERROR(__xludf.DUMMYFUNCTION("""COMPUTED_VALUE"""),45117.0)</f>
        <v>45117</v>
      </c>
      <c r="P634" s="45">
        <f>IFERROR(__xludf.DUMMYFUNCTION("""COMPUTED_VALUE"""),45159.0)</f>
        <v>45159</v>
      </c>
      <c r="Q634" s="45">
        <f>IFERROR(__xludf.DUMMYFUNCTION("""COMPUTED_VALUE"""),45119.0)</f>
        <v>45119</v>
      </c>
      <c r="R634" s="45">
        <f>IFERROR(__xludf.DUMMYFUNCTION("""COMPUTED_VALUE"""),45159.0)</f>
        <v>45159</v>
      </c>
      <c r="S634" s="43"/>
      <c r="T634" s="43"/>
      <c r="U634" s="43" t="str">
        <f>IFERROR(__xludf.DUMMYFUNCTION("""COMPUTED_VALUE"""),"Equify")</f>
        <v>Equify</v>
      </c>
      <c r="V634" s="43" t="str">
        <f>IFERROR(__xludf.DUMMYFUNCTION("""COMPUTED_VALUE"""),"IHEC Sousse")</f>
        <v>IHEC Sousse</v>
      </c>
      <c r="W634" s="43" t="str">
        <f>IFERROR(__xludf.DUMMYFUNCTION("""COMPUTED_VALUE"""),"2023-04-05T10:46:53Z")</f>
        <v>2023-04-05T10:46:53Z</v>
      </c>
      <c r="X634" s="43"/>
      <c r="Y634" s="43"/>
      <c r="Z634" s="43"/>
    </row>
    <row r="635" hidden="1">
      <c r="A635" s="43" t="str">
        <f>IFERROR(__xludf.DUMMYFUNCTION("""COMPUTED_VALUE"""),"4956629_1293495")</f>
        <v>4956629_1293495</v>
      </c>
      <c r="B635" s="43" t="str">
        <f>IFERROR(__xludf.DUMMYFUNCTION("""COMPUTED_VALUE"""),"Ulviyya Yagubova")</f>
        <v>Ulviyya Yagubova</v>
      </c>
      <c r="C635" s="43" t="str">
        <f>IFERROR(__xludf.DUMMYFUNCTION("""COMPUTED_VALUE"""),"completed")</f>
        <v>completed</v>
      </c>
      <c r="D635" s="43" t="str">
        <f>IFERROR(__xludf.DUMMYFUNCTION("""COMPUTED_VALUE"""),"No")</f>
        <v>No</v>
      </c>
      <c r="E635" s="43" t="str">
        <f>IFERROR(__xludf.DUMMYFUNCTION("""COMPUTED_VALUE"""),"p_3728a92fb374cbaf58fd7e947dd0249400a13454@inbound.aiesec.org")</f>
        <v>p_3728a92fb374cbaf58fd7e947dd0249400a13454@inbound.aiesec.org</v>
      </c>
      <c r="F635" s="43">
        <f>IFERROR(__xludf.DUMMYFUNCTION("""COMPUTED_VALUE"""),7.76030222E8)</f>
        <v>776030222</v>
      </c>
      <c r="G635" s="43" t="str">
        <f>IFERROR(__xludf.DUMMYFUNCTION("""COMPUTED_VALUE"""),"Azerbaijan")</f>
        <v>Azerbaijan</v>
      </c>
      <c r="H635" s="43" t="str">
        <f>IFERROR(__xludf.DUMMYFUNCTION("""COMPUTED_VALUE"""),"Baku ADA")</f>
        <v>Baku ADA</v>
      </c>
      <c r="I635" s="43" t="str">
        <f>IFERROR(__xludf.DUMMYFUNCTION("""COMPUTED_VALUE"""),"Turkey")</f>
        <v>Turkey</v>
      </c>
      <c r="J635" s="43" t="str">
        <f>IFERROR(__xludf.DUMMYFUNCTION("""COMPUTED_VALUE"""),"BURSA")</f>
        <v>BURSA</v>
      </c>
      <c r="K635" s="44" t="str">
        <f>IFERROR(__xludf.DUMMYFUNCTION("""COMPUTED_VALUE"""),"https://expa.aiesec.org/opportunities/1293495")</f>
        <v>https://expa.aiesec.org/opportunities/1293495</v>
      </c>
      <c r="L635" s="43" t="str">
        <f>IFERROR(__xludf.DUMMYFUNCTION("""COMPUTED_VALUE"""),"GV")</f>
        <v>GV</v>
      </c>
      <c r="M635" s="43" t="str">
        <f>IFERROR(__xludf.DUMMYFUNCTION("""COMPUTED_VALUE"""),"short")</f>
        <v>short</v>
      </c>
      <c r="N635" s="45">
        <f>IFERROR(__xludf.DUMMYFUNCTION("""COMPUTED_VALUE"""),45021.0)</f>
        <v>45021</v>
      </c>
      <c r="O635" s="45">
        <f>IFERROR(__xludf.DUMMYFUNCTION("""COMPUTED_VALUE"""),45144.0)</f>
        <v>45144</v>
      </c>
      <c r="P635" s="45">
        <f>IFERROR(__xludf.DUMMYFUNCTION("""COMPUTED_VALUE"""),45186.0)</f>
        <v>45186</v>
      </c>
      <c r="Q635" s="45">
        <f>IFERROR(__xludf.DUMMYFUNCTION("""COMPUTED_VALUE"""),45150.0)</f>
        <v>45150</v>
      </c>
      <c r="R635" s="45">
        <f>IFERROR(__xludf.DUMMYFUNCTION("""COMPUTED_VALUE"""),45190.0)</f>
        <v>45190</v>
      </c>
      <c r="S635" s="43"/>
      <c r="T635" s="43"/>
      <c r="U635" s="43" t="str">
        <f>IFERROR(__xludf.DUMMYFUNCTION("""COMPUTED_VALUE"""),"Youth 4 Impact")</f>
        <v>Youth 4 Impact</v>
      </c>
      <c r="V635" s="43" t="str">
        <f>IFERROR(__xludf.DUMMYFUNCTION("""COMPUTED_VALUE"""),"Azerbaijan State Oil and Industry University")</f>
        <v>Azerbaijan State Oil and Industry University</v>
      </c>
      <c r="W635" s="43" t="str">
        <f>IFERROR(__xludf.DUMMYFUNCTION("""COMPUTED_VALUE"""),"2022-03-01T13:11:06Z")</f>
        <v>2022-03-01T13:11:06Z</v>
      </c>
      <c r="X635" s="43"/>
      <c r="Y635" s="43"/>
      <c r="Z635" s="43"/>
    </row>
    <row r="636" hidden="1">
      <c r="A636" s="43" t="str">
        <f>IFERROR(__xludf.DUMMYFUNCTION("""COMPUTED_VALUE"""),"4915161_1293495")</f>
        <v>4915161_1293495</v>
      </c>
      <c r="B636" s="43" t="str">
        <f>IFERROR(__xludf.DUMMYFUNCTION("""COMPUTED_VALUE"""),"Susan Alkhasova")</f>
        <v>Susan Alkhasova</v>
      </c>
      <c r="C636" s="43" t="str">
        <f>IFERROR(__xludf.DUMMYFUNCTION("""COMPUTED_VALUE"""),"completed")</f>
        <v>completed</v>
      </c>
      <c r="D636" s="43" t="str">
        <f>IFERROR(__xludf.DUMMYFUNCTION("""COMPUTED_VALUE"""),"No")</f>
        <v>No</v>
      </c>
      <c r="E636" s="43" t="str">
        <f>IFERROR(__xludf.DUMMYFUNCTION("""COMPUTED_VALUE"""),"p_9cfef4c4e7c09eb9135087f84453d07dc6d8bfe5@inbound.aiesec.org")</f>
        <v>p_9cfef4c4e7c09eb9135087f84453d07dc6d8bfe5@inbound.aiesec.org</v>
      </c>
      <c r="F636" s="43">
        <f>IFERROR(__xludf.DUMMYFUNCTION("""COMPUTED_VALUE"""),7.75262676E8)</f>
        <v>775262676</v>
      </c>
      <c r="G636" s="43" t="str">
        <f>IFERROR(__xludf.DUMMYFUNCTION("""COMPUTED_VALUE"""),"Azerbaijan")</f>
        <v>Azerbaijan</v>
      </c>
      <c r="H636" s="43" t="str">
        <f>IFERROR(__xludf.DUMMYFUNCTION("""COMPUTED_VALUE"""),"Baku ADA")</f>
        <v>Baku ADA</v>
      </c>
      <c r="I636" s="43" t="str">
        <f>IFERROR(__xludf.DUMMYFUNCTION("""COMPUTED_VALUE"""),"Turkey")</f>
        <v>Turkey</v>
      </c>
      <c r="J636" s="43" t="str">
        <f>IFERROR(__xludf.DUMMYFUNCTION("""COMPUTED_VALUE"""),"BURSA")</f>
        <v>BURSA</v>
      </c>
      <c r="K636" s="44" t="str">
        <f>IFERROR(__xludf.DUMMYFUNCTION("""COMPUTED_VALUE"""),"https://expa.aiesec.org/opportunities/1293495")</f>
        <v>https://expa.aiesec.org/opportunities/1293495</v>
      </c>
      <c r="L636" s="43" t="str">
        <f>IFERROR(__xludf.DUMMYFUNCTION("""COMPUTED_VALUE"""),"GV")</f>
        <v>GV</v>
      </c>
      <c r="M636" s="43" t="str">
        <f>IFERROR(__xludf.DUMMYFUNCTION("""COMPUTED_VALUE"""),"short")</f>
        <v>short</v>
      </c>
      <c r="N636" s="45">
        <f>IFERROR(__xludf.DUMMYFUNCTION("""COMPUTED_VALUE"""),45021.0)</f>
        <v>45021</v>
      </c>
      <c r="O636" s="45">
        <f>IFERROR(__xludf.DUMMYFUNCTION("""COMPUTED_VALUE"""),45144.0)</f>
        <v>45144</v>
      </c>
      <c r="P636" s="45">
        <f>IFERROR(__xludf.DUMMYFUNCTION("""COMPUTED_VALUE"""),45186.0)</f>
        <v>45186</v>
      </c>
      <c r="Q636" s="45">
        <f>IFERROR(__xludf.DUMMYFUNCTION("""COMPUTED_VALUE"""),45150.0)</f>
        <v>45150</v>
      </c>
      <c r="R636" s="45">
        <f>IFERROR(__xludf.DUMMYFUNCTION("""COMPUTED_VALUE"""),45190.0)</f>
        <v>45190</v>
      </c>
      <c r="S636" s="43"/>
      <c r="T636" s="43"/>
      <c r="U636" s="43" t="str">
        <f>IFERROR(__xludf.DUMMYFUNCTION("""COMPUTED_VALUE"""),"Youth 4 Impact")</f>
        <v>Youth 4 Impact</v>
      </c>
      <c r="V636" s="43" t="str">
        <f>IFERROR(__xludf.DUMMYFUNCTION("""COMPUTED_VALUE"""),"Azerbaijan State Oil and Industry University")</f>
        <v>Azerbaijan State Oil and Industry University</v>
      </c>
      <c r="W636" s="43" t="str">
        <f>IFERROR(__xludf.DUMMYFUNCTION("""COMPUTED_VALUE"""),"2022-02-04T16:30:03Z")</f>
        <v>2022-02-04T16:30:03Z</v>
      </c>
      <c r="X636" s="43"/>
      <c r="Y636" s="43"/>
      <c r="Z636" s="43"/>
    </row>
    <row r="637" hidden="1">
      <c r="A637" s="43" t="str">
        <f>IFERROR(__xludf.DUMMYFUNCTION("""COMPUTED_VALUE"""),"5226121_1283483")</f>
        <v>5226121_1283483</v>
      </c>
      <c r="B637" s="43" t="str">
        <f>IFERROR(__xludf.DUMMYFUNCTION("""COMPUTED_VALUE"""),"Aru Baktiyarova")</f>
        <v>Aru Baktiyarova</v>
      </c>
      <c r="C637" s="43" t="str">
        <f>IFERROR(__xludf.DUMMYFUNCTION("""COMPUTED_VALUE"""),"rejected")</f>
        <v>rejected</v>
      </c>
      <c r="D637" s="43" t="str">
        <f>IFERROR(__xludf.DUMMYFUNCTION("""COMPUTED_VALUE"""),"No")</f>
        <v>No</v>
      </c>
      <c r="E637" s="43" t="str">
        <f>IFERROR(__xludf.DUMMYFUNCTION("""COMPUTED_VALUE"""),"p_5d924d97efaf7928f9634af4fbc5b60da7a73f37@inbound.aiesec.org")</f>
        <v>p_5d924d97efaf7928f9634af4fbc5b60da7a73f37@inbound.aiesec.org</v>
      </c>
      <c r="F637" s="43">
        <f>IFERROR(__xludf.DUMMYFUNCTION("""COMPUTED_VALUE"""),7.072399077E9)</f>
        <v>7072399077</v>
      </c>
      <c r="G637" s="43" t="str">
        <f>IFERROR(__xludf.DUMMYFUNCTION("""COMPUTED_VALUE"""),"Kazakhstan")</f>
        <v>Kazakhstan</v>
      </c>
      <c r="H637" s="43" t="str">
        <f>IFERROR(__xludf.DUMMYFUNCTION("""COMPUTED_VALUE"""),"Astana")</f>
        <v>Astana</v>
      </c>
      <c r="I637" s="43" t="str">
        <f>IFERROR(__xludf.DUMMYFUNCTION("""COMPUTED_VALUE"""),"Turkey")</f>
        <v>Turkey</v>
      </c>
      <c r="J637" s="43" t="str">
        <f>IFERROR(__xludf.DUMMYFUNCTION("""COMPUTED_VALUE"""),"KONYA")</f>
        <v>KONYA</v>
      </c>
      <c r="K637" s="44" t="str">
        <f>IFERROR(__xludf.DUMMYFUNCTION("""COMPUTED_VALUE"""),"https://expa.aiesec.org/opportunities/1283483")</f>
        <v>https://expa.aiesec.org/opportunities/1283483</v>
      </c>
      <c r="L637" s="43" t="str">
        <f>IFERROR(__xludf.DUMMYFUNCTION("""COMPUTED_VALUE"""),"GV")</f>
        <v>GV</v>
      </c>
      <c r="M637" s="43" t="str">
        <f>IFERROR(__xludf.DUMMYFUNCTION("""COMPUTED_VALUE"""),"short")</f>
        <v>short</v>
      </c>
      <c r="N637" s="45">
        <f>IFERROR(__xludf.DUMMYFUNCTION("""COMPUTED_VALUE"""),45021.0)</f>
        <v>45021</v>
      </c>
      <c r="O637" s="45">
        <f>IFERROR(__xludf.DUMMYFUNCTION("""COMPUTED_VALUE"""),45117.0)</f>
        <v>45117</v>
      </c>
      <c r="P637" s="45">
        <f>IFERROR(__xludf.DUMMYFUNCTION("""COMPUTED_VALUE"""),45159.0)</f>
        <v>45159</v>
      </c>
      <c r="Q637" s="45">
        <f>IFERROR(__xludf.DUMMYFUNCTION("""COMPUTED_VALUE"""),45119.0)</f>
        <v>45119</v>
      </c>
      <c r="R637" s="45">
        <f>IFERROR(__xludf.DUMMYFUNCTION("""COMPUTED_VALUE"""),45159.0)</f>
        <v>45159</v>
      </c>
      <c r="S637" s="43"/>
      <c r="T637" s="43"/>
      <c r="U637" s="43" t="str">
        <f>IFERROR(__xludf.DUMMYFUNCTION("""COMPUTED_VALUE"""),"Global Classroom")</f>
        <v>Global Classroom</v>
      </c>
      <c r="V637" s="43" t="str">
        <f>IFERROR(__xludf.DUMMYFUNCTION("""COMPUTED_VALUE"""),"Karagandy")</f>
        <v>Karagandy</v>
      </c>
      <c r="W637" s="43" t="str">
        <f>IFERROR(__xludf.DUMMYFUNCTION("""COMPUTED_VALUE"""),"2023-03-24T18:45:15Z")</f>
        <v>2023-03-24T18:45:15Z</v>
      </c>
      <c r="X637" s="43"/>
      <c r="Y637" s="43"/>
      <c r="Z637" s="43"/>
    </row>
    <row r="638" hidden="1">
      <c r="A638" s="43" t="str">
        <f>IFERROR(__xludf.DUMMYFUNCTION("""COMPUTED_VALUE"""),"5236534_1292962")</f>
        <v>5236534_1292962</v>
      </c>
      <c r="B638" s="43" t="str">
        <f>IFERROR(__xludf.DUMMYFUNCTION("""COMPUTED_VALUE"""),"Rafaa Kheriji")</f>
        <v>Rafaa Kheriji</v>
      </c>
      <c r="C638" s="43" t="str">
        <f>IFERROR(__xludf.DUMMYFUNCTION("""COMPUTED_VALUE"""),"completed")</f>
        <v>completed</v>
      </c>
      <c r="D638" s="43" t="str">
        <f>IFERROR(__xludf.DUMMYFUNCTION("""COMPUTED_VALUE"""),"No")</f>
        <v>No</v>
      </c>
      <c r="E638" s="43" t="str">
        <f>IFERROR(__xludf.DUMMYFUNCTION("""COMPUTED_VALUE"""),"p_7cb7026a87168798dd6b14dce7ed12498d725ff9@inbound.aiesec.org")</f>
        <v>p_7cb7026a87168798dd6b14dce7ed12498d725ff9@inbound.aiesec.org</v>
      </c>
      <c r="F638" s="43">
        <f>IFERROR(__xludf.DUMMYFUNCTION("""COMPUTED_VALUE"""),9.3528868E7)</f>
        <v>93528868</v>
      </c>
      <c r="G638" s="43" t="str">
        <f>IFERROR(__xludf.DUMMYFUNCTION("""COMPUTED_VALUE"""),"Tunisia")</f>
        <v>Tunisia</v>
      </c>
      <c r="H638" s="43" t="str">
        <f>IFERROR(__xludf.DUMMYFUNCTION("""COMPUTED_VALUE"""),"UNIVERSITY")</f>
        <v>UNIVERSITY</v>
      </c>
      <c r="I638" s="43" t="str">
        <f>IFERROR(__xludf.DUMMYFUNCTION("""COMPUTED_VALUE"""),"Turkey")</f>
        <v>Turkey</v>
      </c>
      <c r="J638" s="43" t="str">
        <f>IFERROR(__xludf.DUMMYFUNCTION("""COMPUTED_VALUE"""),"BURSA")</f>
        <v>BURSA</v>
      </c>
      <c r="K638" s="44" t="str">
        <f>IFERROR(__xludf.DUMMYFUNCTION("""COMPUTED_VALUE"""),"https://expa.aiesec.org/opportunities/1292962")</f>
        <v>https://expa.aiesec.org/opportunities/1292962</v>
      </c>
      <c r="L638" s="43" t="str">
        <f>IFERROR(__xludf.DUMMYFUNCTION("""COMPUTED_VALUE"""),"GV")</f>
        <v>GV</v>
      </c>
      <c r="M638" s="43" t="str">
        <f>IFERROR(__xludf.DUMMYFUNCTION("""COMPUTED_VALUE"""),"short")</f>
        <v>short</v>
      </c>
      <c r="N638" s="45">
        <f>IFERROR(__xludf.DUMMYFUNCTION("""COMPUTED_VALUE"""),45022.0)</f>
        <v>45022</v>
      </c>
      <c r="O638" s="45">
        <f>IFERROR(__xludf.DUMMYFUNCTION("""COMPUTED_VALUE"""),45152.0)</f>
        <v>45152</v>
      </c>
      <c r="P638" s="45">
        <f>IFERROR(__xludf.DUMMYFUNCTION("""COMPUTED_VALUE"""),45194.0)</f>
        <v>45194</v>
      </c>
      <c r="Q638" s="45">
        <f>IFERROR(__xludf.DUMMYFUNCTION("""COMPUTED_VALUE"""),45156.0)</f>
        <v>45156</v>
      </c>
      <c r="R638" s="45">
        <f>IFERROR(__xludf.DUMMYFUNCTION("""COMPUTED_VALUE"""),45197.0)</f>
        <v>45197</v>
      </c>
      <c r="S638" s="43"/>
      <c r="T638" s="43"/>
      <c r="U638" s="43" t="str">
        <f>IFERROR(__xludf.DUMMYFUNCTION("""COMPUTED_VALUE"""),"Youth 4 Impact")</f>
        <v>Youth 4 Impact</v>
      </c>
      <c r="V638" s="43" t="str">
        <f>IFERROR(__xludf.DUMMYFUNCTION("""COMPUTED_VALUE"""),"FST")</f>
        <v>FST</v>
      </c>
      <c r="W638" s="43" t="str">
        <f>IFERROR(__xludf.DUMMYFUNCTION("""COMPUTED_VALUE"""),"2023-04-06T18:02:04Z")</f>
        <v>2023-04-06T18:02:04Z</v>
      </c>
      <c r="X638" s="43"/>
      <c r="Y638" s="43"/>
      <c r="Z638" s="43"/>
    </row>
    <row r="639" hidden="1">
      <c r="A639" s="43" t="str">
        <f>IFERROR(__xludf.DUMMYFUNCTION("""COMPUTED_VALUE"""),"5220529_1286920")</f>
        <v>5220529_1286920</v>
      </c>
      <c r="B639" s="43" t="str">
        <f>IFERROR(__xludf.DUMMYFUNCTION("""COMPUTED_VALUE"""),"Fatma Jied")</f>
        <v>Fatma Jied</v>
      </c>
      <c r="C639" s="43" t="str">
        <f>IFERROR(__xludf.DUMMYFUNCTION("""COMPUTED_VALUE"""),"approved")</f>
        <v>approved</v>
      </c>
      <c r="D639" s="43" t="str">
        <f>IFERROR(__xludf.DUMMYFUNCTION("""COMPUTED_VALUE"""),"No")</f>
        <v>No</v>
      </c>
      <c r="E639" s="43" t="str">
        <f>IFERROR(__xludf.DUMMYFUNCTION("""COMPUTED_VALUE"""),"p_9e3e2b88f39245de70b312c5c5e9c52e74d3adbb@inbound.aiesec.org")</f>
        <v>p_9e3e2b88f39245de70b312c5c5e9c52e74d3adbb@inbound.aiesec.org</v>
      </c>
      <c r="F639" s="43">
        <f>IFERROR(__xludf.DUMMYFUNCTION("""COMPUTED_VALUE"""),4.6215234E7)</f>
        <v>46215234</v>
      </c>
      <c r="G639" s="43" t="str">
        <f>IFERROR(__xludf.DUMMYFUNCTION("""COMPUTED_VALUE"""),"Tunisia")</f>
        <v>Tunisia</v>
      </c>
      <c r="H639" s="43" t="str">
        <f>IFERROR(__xludf.DUMMYFUNCTION("""COMPUTED_VALUE"""),"NABEL")</f>
        <v>NABEL</v>
      </c>
      <c r="I639" s="43" t="str">
        <f>IFERROR(__xludf.DUMMYFUNCTION("""COMPUTED_VALUE"""),"Turkey")</f>
        <v>Turkey</v>
      </c>
      <c r="J639" s="43" t="str">
        <f>IFERROR(__xludf.DUMMYFUNCTION("""COMPUTED_VALUE"""),"DENIZLI")</f>
        <v>DENIZLI</v>
      </c>
      <c r="K639" s="44" t="str">
        <f>IFERROR(__xludf.DUMMYFUNCTION("""COMPUTED_VALUE"""),"https://expa.aiesec.org/opportunities/1286920")</f>
        <v>https://expa.aiesec.org/opportunities/1286920</v>
      </c>
      <c r="L639" s="43" t="str">
        <f>IFERROR(__xludf.DUMMYFUNCTION("""COMPUTED_VALUE"""),"GV")</f>
        <v>GV</v>
      </c>
      <c r="M639" s="43" t="str">
        <f>IFERROR(__xludf.DUMMYFUNCTION("""COMPUTED_VALUE"""),"short")</f>
        <v>short</v>
      </c>
      <c r="N639" s="45">
        <f>IFERROR(__xludf.DUMMYFUNCTION("""COMPUTED_VALUE"""),45022.0)</f>
        <v>45022</v>
      </c>
      <c r="O639" s="45">
        <f>IFERROR(__xludf.DUMMYFUNCTION("""COMPUTED_VALUE"""),45159.0)</f>
        <v>45159</v>
      </c>
      <c r="P639" s="45">
        <f>IFERROR(__xludf.DUMMYFUNCTION("""COMPUTED_VALUE"""),45201.0)</f>
        <v>45201</v>
      </c>
      <c r="Q639" s="45"/>
      <c r="R639" s="45"/>
      <c r="S639" s="43"/>
      <c r="T639" s="43"/>
      <c r="U639" s="43" t="str">
        <f>IFERROR(__xludf.DUMMYFUNCTION("""COMPUTED_VALUE"""),"Global Classroom")</f>
        <v>Global Classroom</v>
      </c>
      <c r="V639" s="43" t="str">
        <f>IFERROR(__xludf.DUMMYFUNCTION("""COMPUTED_VALUE"""),"ISLN")</f>
        <v>ISLN</v>
      </c>
      <c r="W639" s="43" t="str">
        <f>IFERROR(__xludf.DUMMYFUNCTION("""COMPUTED_VALUE"""),"2023-03-18T18:33:23Z")</f>
        <v>2023-03-18T18:33:23Z</v>
      </c>
      <c r="X639" s="43"/>
      <c r="Y639" s="43"/>
      <c r="Z639" s="43"/>
    </row>
    <row r="640" hidden="1">
      <c r="A640" s="43" t="str">
        <f>IFERROR(__xludf.DUMMYFUNCTION("""COMPUTED_VALUE"""),"4976563_1286920")</f>
        <v>4976563_1286920</v>
      </c>
      <c r="B640" s="43" t="str">
        <f>IFERROR(__xludf.DUMMYFUNCTION("""COMPUTED_VALUE"""),"Mohamed Ilyes Boukari")</f>
        <v>Mohamed Ilyes Boukari</v>
      </c>
      <c r="C640" s="43" t="str">
        <f>IFERROR(__xludf.DUMMYFUNCTION("""COMPUTED_VALUE"""),"completed")</f>
        <v>completed</v>
      </c>
      <c r="D640" s="43" t="str">
        <f>IFERROR(__xludf.DUMMYFUNCTION("""COMPUTED_VALUE"""),"No")</f>
        <v>No</v>
      </c>
      <c r="E640" s="43" t="str">
        <f>IFERROR(__xludf.DUMMYFUNCTION("""COMPUTED_VALUE"""),"p_fa967e257fd7c5e4bf11773270906dcad3093656@inbound.aiesec.org")</f>
        <v>p_fa967e257fd7c5e4bf11773270906dcad3093656@inbound.aiesec.org</v>
      </c>
      <c r="F640" s="43">
        <f>IFERROR(__xludf.DUMMYFUNCTION("""COMPUTED_VALUE"""),5.0400684E7)</f>
        <v>50400684</v>
      </c>
      <c r="G640" s="43" t="str">
        <f>IFERROR(__xludf.DUMMYFUNCTION("""COMPUTED_VALUE"""),"Tunisia")</f>
        <v>Tunisia</v>
      </c>
      <c r="H640" s="43" t="str">
        <f>IFERROR(__xludf.DUMMYFUNCTION("""COMPUTED_VALUE"""),"NABEL")</f>
        <v>NABEL</v>
      </c>
      <c r="I640" s="43" t="str">
        <f>IFERROR(__xludf.DUMMYFUNCTION("""COMPUTED_VALUE"""),"Turkey")</f>
        <v>Turkey</v>
      </c>
      <c r="J640" s="43" t="str">
        <f>IFERROR(__xludf.DUMMYFUNCTION("""COMPUTED_VALUE"""),"DENIZLI")</f>
        <v>DENIZLI</v>
      </c>
      <c r="K640" s="44" t="str">
        <f>IFERROR(__xludf.DUMMYFUNCTION("""COMPUTED_VALUE"""),"https://expa.aiesec.org/opportunities/1286920")</f>
        <v>https://expa.aiesec.org/opportunities/1286920</v>
      </c>
      <c r="L640" s="43" t="str">
        <f>IFERROR(__xludf.DUMMYFUNCTION("""COMPUTED_VALUE"""),"GV")</f>
        <v>GV</v>
      </c>
      <c r="M640" s="43" t="str">
        <f>IFERROR(__xludf.DUMMYFUNCTION("""COMPUTED_VALUE"""),"short")</f>
        <v>short</v>
      </c>
      <c r="N640" s="45">
        <f>IFERROR(__xludf.DUMMYFUNCTION("""COMPUTED_VALUE"""),45022.0)</f>
        <v>45022</v>
      </c>
      <c r="O640" s="45">
        <f>IFERROR(__xludf.DUMMYFUNCTION("""COMPUTED_VALUE"""),45159.0)</f>
        <v>45159</v>
      </c>
      <c r="P640" s="45">
        <f>IFERROR(__xludf.DUMMYFUNCTION("""COMPUTED_VALUE"""),45201.0)</f>
        <v>45201</v>
      </c>
      <c r="Q640" s="45">
        <f>IFERROR(__xludf.DUMMYFUNCTION("""COMPUTED_VALUE"""),45162.0)</f>
        <v>45162</v>
      </c>
      <c r="R640" s="45">
        <f>IFERROR(__xludf.DUMMYFUNCTION("""COMPUTED_VALUE"""),45202.0)</f>
        <v>45202</v>
      </c>
      <c r="S640" s="43"/>
      <c r="T640" s="43"/>
      <c r="U640" s="43" t="str">
        <f>IFERROR(__xludf.DUMMYFUNCTION("""COMPUTED_VALUE"""),"Global Classroom")</f>
        <v>Global Classroom</v>
      </c>
      <c r="V640" s="43" t="str">
        <f>IFERROR(__xludf.DUMMYFUNCTION("""COMPUTED_VALUE"""),"ISLN")</f>
        <v>ISLN</v>
      </c>
      <c r="W640" s="43" t="str">
        <f>IFERROR(__xludf.DUMMYFUNCTION("""COMPUTED_VALUE"""),"2022-03-10T15:56:55Z")</f>
        <v>2022-03-10T15:56:55Z</v>
      </c>
      <c r="X640" s="43"/>
      <c r="Y640" s="43"/>
      <c r="Z640" s="43"/>
    </row>
    <row r="641" hidden="1">
      <c r="A641" s="43" t="str">
        <f>IFERROR(__xludf.DUMMYFUNCTION("""COMPUTED_VALUE"""),"5235057_1293495")</f>
        <v>5235057_1293495</v>
      </c>
      <c r="B641" s="43" t="str">
        <f>IFERROR(__xludf.DUMMYFUNCTION("""COMPUTED_VALUE"""),"Tooba Omair")</f>
        <v>Tooba Omair</v>
      </c>
      <c r="C641" s="43" t="str">
        <f>IFERROR(__xludf.DUMMYFUNCTION("""COMPUTED_VALUE"""),"finished")</f>
        <v>finished</v>
      </c>
      <c r="D641" s="43" t="str">
        <f>IFERROR(__xludf.DUMMYFUNCTION("""COMPUTED_VALUE"""),"No")</f>
        <v>No</v>
      </c>
      <c r="E641" s="43" t="str">
        <f>IFERROR(__xludf.DUMMYFUNCTION("""COMPUTED_VALUE"""),"p_20cd8b47d994a8e2b00fc786bd74f545a00f3c87@inbound.aiesec.org")</f>
        <v>p_20cd8b47d994a8e2b00fc786bd74f545a00f3c87@inbound.aiesec.org</v>
      </c>
      <c r="F641" s="43"/>
      <c r="G641" s="43" t="str">
        <f>IFERROR(__xludf.DUMMYFUNCTION("""COMPUTED_VALUE"""),"Pakistan")</f>
        <v>Pakistan</v>
      </c>
      <c r="H641" s="43" t="str">
        <f>IFERROR(__xludf.DUMMYFUNCTION("""COMPUTED_VALUE"""),"IBA")</f>
        <v>IBA</v>
      </c>
      <c r="I641" s="43" t="str">
        <f>IFERROR(__xludf.DUMMYFUNCTION("""COMPUTED_VALUE"""),"Turkey")</f>
        <v>Turkey</v>
      </c>
      <c r="J641" s="43" t="str">
        <f>IFERROR(__xludf.DUMMYFUNCTION("""COMPUTED_VALUE"""),"BURSA")</f>
        <v>BURSA</v>
      </c>
      <c r="K641" s="44" t="str">
        <f>IFERROR(__xludf.DUMMYFUNCTION("""COMPUTED_VALUE"""),"https://expa.aiesec.org/opportunities/1293495")</f>
        <v>https://expa.aiesec.org/opportunities/1293495</v>
      </c>
      <c r="L641" s="43" t="str">
        <f>IFERROR(__xludf.DUMMYFUNCTION("""COMPUTED_VALUE"""),"GV")</f>
        <v>GV</v>
      </c>
      <c r="M641" s="43" t="str">
        <f>IFERROR(__xludf.DUMMYFUNCTION("""COMPUTED_VALUE"""),"short")</f>
        <v>short</v>
      </c>
      <c r="N641" s="45">
        <f>IFERROR(__xludf.DUMMYFUNCTION("""COMPUTED_VALUE"""),45022.0)</f>
        <v>45022</v>
      </c>
      <c r="O641" s="45">
        <f>IFERROR(__xludf.DUMMYFUNCTION("""COMPUTED_VALUE"""),45102.0)</f>
        <v>45102</v>
      </c>
      <c r="P641" s="45">
        <f>IFERROR(__xludf.DUMMYFUNCTION("""COMPUTED_VALUE"""),45144.0)</f>
        <v>45144</v>
      </c>
      <c r="Q641" s="45">
        <f>IFERROR(__xludf.DUMMYFUNCTION("""COMPUTED_VALUE"""),45100.0)</f>
        <v>45100</v>
      </c>
      <c r="R641" s="45">
        <f>IFERROR(__xludf.DUMMYFUNCTION("""COMPUTED_VALUE"""),45144.0)</f>
        <v>45144</v>
      </c>
      <c r="S641" s="43"/>
      <c r="T641" s="43"/>
      <c r="U641" s="43" t="str">
        <f>IFERROR(__xludf.DUMMYFUNCTION("""COMPUTED_VALUE"""),"Youth 4 Impact")</f>
        <v>Youth 4 Impact</v>
      </c>
      <c r="V641" s="43" t="str">
        <f>IFERROR(__xludf.DUMMYFUNCTION("""COMPUTED_VALUE"""),"-")</f>
        <v>-</v>
      </c>
      <c r="W641" s="43" t="str">
        <f>IFERROR(__xludf.DUMMYFUNCTION("""COMPUTED_VALUE"""),"2023-04-04T21:20:55Z")</f>
        <v>2023-04-04T21:20:55Z</v>
      </c>
      <c r="X641" s="43"/>
      <c r="Y641" s="43"/>
      <c r="Z641" s="43"/>
    </row>
    <row r="642">
      <c r="A642" s="43" t="str">
        <f>IFERROR(__xludf.DUMMYFUNCTION("""COMPUTED_VALUE"""),"5205495_1291881")</f>
        <v>5205495_1291881</v>
      </c>
      <c r="B642" s="43" t="str">
        <f>IFERROR(__xludf.DUMMYFUNCTION("""COMPUTED_VALUE"""),"Nuwoe  Joelene Naileh")</f>
        <v>Nuwoe  Joelene Naileh</v>
      </c>
      <c r="C642" s="43" t="str">
        <f>IFERROR(__xludf.DUMMYFUNCTION("""COMPUTED_VALUE"""),"approved")</f>
        <v>approved</v>
      </c>
      <c r="D642" s="43" t="str">
        <f>IFERROR(__xludf.DUMMYFUNCTION("""COMPUTED_VALUE"""),"No")</f>
        <v>No</v>
      </c>
      <c r="E642" s="43" t="str">
        <f>IFERROR(__xludf.DUMMYFUNCTION("""COMPUTED_VALUE"""),"p_e651c6929e926af5bb5a65662deb97a470203f82@inbound.aiesec.org")</f>
        <v>p_e651c6929e926af5bb5a65662deb97a470203f82@inbound.aiesec.org</v>
      </c>
      <c r="F642" s="43">
        <f>IFERROR(__xludf.DUMMYFUNCTION("""COMPUTED_VALUE"""),5.56122189E8)</f>
        <v>556122189</v>
      </c>
      <c r="G642" s="43" t="str">
        <f>IFERROR(__xludf.DUMMYFUNCTION("""COMPUTED_VALUE"""),"Azerbaijan")</f>
        <v>Azerbaijan</v>
      </c>
      <c r="H642" s="43" t="str">
        <f>IFERROR(__xludf.DUMMYFUNCTION("""COMPUTED_VALUE"""),"Baku Qafqaz")</f>
        <v>Baku Qafqaz</v>
      </c>
      <c r="I642" s="43" t="str">
        <f>IFERROR(__xludf.DUMMYFUNCTION("""COMPUTED_VALUE"""),"Turkey")</f>
        <v>Turkey</v>
      </c>
      <c r="J642" s="43" t="str">
        <f>IFERROR(__xludf.DUMMYFUNCTION("""COMPUTED_VALUE"""),"SAKARYA")</f>
        <v>SAKARYA</v>
      </c>
      <c r="K642" s="44" t="str">
        <f>IFERROR(__xludf.DUMMYFUNCTION("""COMPUTED_VALUE"""),"https://expa.aiesec.org/opportunities/1291881")</f>
        <v>https://expa.aiesec.org/opportunities/1291881</v>
      </c>
      <c r="L642" s="43" t="str">
        <f>IFERROR(__xludf.DUMMYFUNCTION("""COMPUTED_VALUE"""),"GV")</f>
        <v>GV</v>
      </c>
      <c r="M642" s="43" t="str">
        <f>IFERROR(__xludf.DUMMYFUNCTION("""COMPUTED_VALUE"""),"short")</f>
        <v>short</v>
      </c>
      <c r="N642" s="45">
        <f>IFERROR(__xludf.DUMMYFUNCTION("""COMPUTED_VALUE"""),45022.0)</f>
        <v>45022</v>
      </c>
      <c r="O642" s="45">
        <f>IFERROR(__xludf.DUMMYFUNCTION("""COMPUTED_VALUE"""),45093.0)</f>
        <v>45093</v>
      </c>
      <c r="P642" s="45">
        <f>IFERROR(__xludf.DUMMYFUNCTION("""COMPUTED_VALUE"""),45135.0)</f>
        <v>45135</v>
      </c>
      <c r="Q642" s="45"/>
      <c r="R642" s="45"/>
      <c r="S642" s="43"/>
      <c r="T642" s="43"/>
      <c r="U642" s="43" t="str">
        <f>IFERROR(__xludf.DUMMYFUNCTION("""COMPUTED_VALUE"""),"Youth 4 Impact")</f>
        <v>Youth 4 Impact</v>
      </c>
      <c r="V642" s="43" t="str">
        <f>IFERROR(__xludf.DUMMYFUNCTION("""COMPUTED_VALUE"""),"Baku State University")</f>
        <v>Baku State University</v>
      </c>
      <c r="W642" s="43" t="str">
        <f>IFERROR(__xludf.DUMMYFUNCTION("""COMPUTED_VALUE"""),"2023-03-04T14:47:05Z")</f>
        <v>2023-03-04T14:47:05Z</v>
      </c>
      <c r="X642" s="43"/>
      <c r="Y642" s="43"/>
      <c r="Z642" s="43"/>
    </row>
    <row r="643" hidden="1">
      <c r="A643" s="43" t="str">
        <f>IFERROR(__xludf.DUMMYFUNCTION("""COMPUTED_VALUE"""),"5234131_1286326")</f>
        <v>5234131_1286326</v>
      </c>
      <c r="B643" s="43" t="str">
        <f>IFERROR(__xludf.DUMMYFUNCTION("""COMPUTED_VALUE"""),"Fidan Babayeva")</f>
        <v>Fidan Babayeva</v>
      </c>
      <c r="C643" s="43" t="str">
        <f>IFERROR(__xludf.DUMMYFUNCTION("""COMPUTED_VALUE"""),"approved")</f>
        <v>approved</v>
      </c>
      <c r="D643" s="43" t="str">
        <f>IFERROR(__xludf.DUMMYFUNCTION("""COMPUTED_VALUE"""),"No")</f>
        <v>No</v>
      </c>
      <c r="E643" s="43" t="str">
        <f>IFERROR(__xludf.DUMMYFUNCTION("""COMPUTED_VALUE"""),"p_92f86cea76127c896e1f9d3e718b5a2c851b7103@inbound.aiesec.org")</f>
        <v>p_92f86cea76127c896e1f9d3e718b5a2c851b7103@inbound.aiesec.org</v>
      </c>
      <c r="F643" s="43">
        <f>IFERROR(__xludf.DUMMYFUNCTION("""COMPUTED_VALUE"""),7.73007087E8)</f>
        <v>773007087</v>
      </c>
      <c r="G643" s="43" t="str">
        <f>IFERROR(__xludf.DUMMYFUNCTION("""COMPUTED_VALUE"""),"Azerbaijan")</f>
        <v>Azerbaijan</v>
      </c>
      <c r="H643" s="43" t="str">
        <f>IFERROR(__xludf.DUMMYFUNCTION("""COMPUTED_VALUE"""),"Baku ADA")</f>
        <v>Baku ADA</v>
      </c>
      <c r="I643" s="43" t="str">
        <f>IFERROR(__xludf.DUMMYFUNCTION("""COMPUTED_VALUE"""),"Turkey")</f>
        <v>Turkey</v>
      </c>
      <c r="J643" s="43" t="str">
        <f>IFERROR(__xludf.DUMMYFUNCTION("""COMPUTED_VALUE"""),"ADANA")</f>
        <v>ADANA</v>
      </c>
      <c r="K643" s="44" t="str">
        <f>IFERROR(__xludf.DUMMYFUNCTION("""COMPUTED_VALUE"""),"https://expa.aiesec.org/opportunities/1286326")</f>
        <v>https://expa.aiesec.org/opportunities/1286326</v>
      </c>
      <c r="L643" s="43" t="str">
        <f>IFERROR(__xludf.DUMMYFUNCTION("""COMPUTED_VALUE"""),"GV")</f>
        <v>GV</v>
      </c>
      <c r="M643" s="43" t="str">
        <f>IFERROR(__xludf.DUMMYFUNCTION("""COMPUTED_VALUE"""),"short")</f>
        <v>short</v>
      </c>
      <c r="N643" s="45">
        <f>IFERROR(__xludf.DUMMYFUNCTION("""COMPUTED_VALUE"""),45022.0)</f>
        <v>45022</v>
      </c>
      <c r="O643" s="45">
        <f>IFERROR(__xludf.DUMMYFUNCTION("""COMPUTED_VALUE"""),45145.0)</f>
        <v>45145</v>
      </c>
      <c r="P643" s="45">
        <f>IFERROR(__xludf.DUMMYFUNCTION("""COMPUTED_VALUE"""),45191.0)</f>
        <v>45191</v>
      </c>
      <c r="Q643" s="45"/>
      <c r="R643" s="45"/>
      <c r="S643" s="43"/>
      <c r="T643" s="43"/>
      <c r="U643" s="43" t="str">
        <f>IFERROR(__xludf.DUMMYFUNCTION("""COMPUTED_VALUE"""),"Equify")</f>
        <v>Equify</v>
      </c>
      <c r="V643" s="43" t="str">
        <f>IFERROR(__xludf.DUMMYFUNCTION("""COMPUTED_VALUE"""),"Azerbaijan State Pedagogical University")</f>
        <v>Azerbaijan State Pedagogical University</v>
      </c>
      <c r="W643" s="43" t="str">
        <f>IFERROR(__xludf.DUMMYFUNCTION("""COMPUTED_VALUE"""),"2023-04-03T15:53:47Z")</f>
        <v>2023-04-03T15:53:47Z</v>
      </c>
      <c r="X643" s="43"/>
      <c r="Y643" s="43"/>
      <c r="Z643" s="43"/>
    </row>
    <row r="644" hidden="1">
      <c r="A644" s="43" t="str">
        <f>IFERROR(__xludf.DUMMYFUNCTION("""COMPUTED_VALUE"""),"4988053_1288663")</f>
        <v>4988053_1288663</v>
      </c>
      <c r="B644" s="43" t="str">
        <f>IFERROR(__xludf.DUMMYFUNCTION("""COMPUTED_VALUE"""),"Ahsan Waseem Hanif")</f>
        <v>Ahsan Waseem Hanif</v>
      </c>
      <c r="C644" s="43" t="str">
        <f>IFERROR(__xludf.DUMMYFUNCTION("""COMPUTED_VALUE"""),"approved")</f>
        <v>approved</v>
      </c>
      <c r="D644" s="43" t="str">
        <f>IFERROR(__xludf.DUMMYFUNCTION("""COMPUTED_VALUE"""),"No")</f>
        <v>No</v>
      </c>
      <c r="E644" s="43" t="str">
        <f>IFERROR(__xludf.DUMMYFUNCTION("""COMPUTED_VALUE"""),"p_9841ea0c5aee084d69c16a410fb8f21805bfb001@inbound.aiesec.org")</f>
        <v>p_9841ea0c5aee084d69c16a410fb8f21805bfb001@inbound.aiesec.org</v>
      </c>
      <c r="F644" s="43">
        <f>IFERROR(__xludf.DUMMYFUNCTION("""COMPUTED_VALUE"""),3.03301117E9)</f>
        <v>3033011170</v>
      </c>
      <c r="G644" s="43" t="str">
        <f>IFERROR(__xludf.DUMMYFUNCTION("""COMPUTED_VALUE"""),"Pakistan")</f>
        <v>Pakistan</v>
      </c>
      <c r="H644" s="43" t="str">
        <f>IFERROR(__xludf.DUMMYFUNCTION("""COMPUTED_VALUE"""),"IBA")</f>
        <v>IBA</v>
      </c>
      <c r="I644" s="43" t="str">
        <f>IFERROR(__xludf.DUMMYFUNCTION("""COMPUTED_VALUE"""),"Turkey")</f>
        <v>Turkey</v>
      </c>
      <c r="J644" s="43" t="str">
        <f>IFERROR(__xludf.DUMMYFUNCTION("""COMPUTED_VALUE"""),"İZMİR")</f>
        <v>İZMİR</v>
      </c>
      <c r="K644" s="44" t="str">
        <f>IFERROR(__xludf.DUMMYFUNCTION("""COMPUTED_VALUE"""),"https://expa.aiesec.org/opportunities/1288663")</f>
        <v>https://expa.aiesec.org/opportunities/1288663</v>
      </c>
      <c r="L644" s="43" t="str">
        <f>IFERROR(__xludf.DUMMYFUNCTION("""COMPUTED_VALUE"""),"GV")</f>
        <v>GV</v>
      </c>
      <c r="M644" s="43" t="str">
        <f>IFERROR(__xludf.DUMMYFUNCTION("""COMPUTED_VALUE"""),"short")</f>
        <v>short</v>
      </c>
      <c r="N644" s="45">
        <f>IFERROR(__xludf.DUMMYFUNCTION("""COMPUTED_VALUE"""),45022.0)</f>
        <v>45022</v>
      </c>
      <c r="O644" s="45">
        <f>IFERROR(__xludf.DUMMYFUNCTION("""COMPUTED_VALUE"""),45123.0)</f>
        <v>45123</v>
      </c>
      <c r="P644" s="45">
        <f>IFERROR(__xludf.DUMMYFUNCTION("""COMPUTED_VALUE"""),45165.0)</f>
        <v>45165</v>
      </c>
      <c r="Q644" s="45"/>
      <c r="R644" s="45"/>
      <c r="S644" s="43"/>
      <c r="T644" s="43"/>
      <c r="U644" s="43" t="str">
        <f>IFERROR(__xludf.DUMMYFUNCTION("""COMPUTED_VALUE"""),"Global Classroom")</f>
        <v>Global Classroom</v>
      </c>
      <c r="V644" s="43" t="str">
        <f>IFERROR(__xludf.DUMMYFUNCTION("""COMPUTED_VALUE"""),"Karachi - IBA")</f>
        <v>Karachi - IBA</v>
      </c>
      <c r="W644" s="43" t="str">
        <f>IFERROR(__xludf.DUMMYFUNCTION("""COMPUTED_VALUE"""),"2022-03-16T19:34:08Z")</f>
        <v>2022-03-16T19:34:08Z</v>
      </c>
      <c r="X644" s="43"/>
      <c r="Y644" s="43"/>
      <c r="Z644" s="43"/>
    </row>
    <row r="645" hidden="1">
      <c r="A645" s="43" t="str">
        <f>IFERROR(__xludf.DUMMYFUNCTION("""COMPUTED_VALUE"""),"5230619_1288970")</f>
        <v>5230619_1288970</v>
      </c>
      <c r="B645" s="43" t="str">
        <f>IFERROR(__xludf.DUMMYFUNCTION("""COMPUTED_VALUE"""),"hajar Elguettaa")</f>
        <v>hajar Elguettaa</v>
      </c>
      <c r="C645" s="43" t="str">
        <f>IFERROR(__xludf.DUMMYFUNCTION("""COMPUTED_VALUE"""),"approved")</f>
        <v>approved</v>
      </c>
      <c r="D645" s="43" t="str">
        <f>IFERROR(__xludf.DUMMYFUNCTION("""COMPUTED_VALUE"""),"No")</f>
        <v>No</v>
      </c>
      <c r="E645" s="43" t="str">
        <f>IFERROR(__xludf.DUMMYFUNCTION("""COMPUTED_VALUE"""),"p_8d695425d0e2a355af4604813082c1fe7f0a48ef@inbound.aiesec.org")</f>
        <v>p_8d695425d0e2a355af4604813082c1fe7f0a48ef@inbound.aiesec.org</v>
      </c>
      <c r="F645" s="43"/>
      <c r="G645" s="43" t="str">
        <f>IFERROR(__xludf.DUMMYFUNCTION("""COMPUTED_VALUE"""),"Morocco")</f>
        <v>Morocco</v>
      </c>
      <c r="H645" s="43" t="str">
        <f>IFERROR(__xludf.DUMMYFUNCTION("""COMPUTED_VALUE"""),"Casablanca")</f>
        <v>Casablanca</v>
      </c>
      <c r="I645" s="43" t="str">
        <f>IFERROR(__xludf.DUMMYFUNCTION("""COMPUTED_VALUE"""),"Turkey")</f>
        <v>Turkey</v>
      </c>
      <c r="J645" s="43" t="str">
        <f>IFERROR(__xludf.DUMMYFUNCTION("""COMPUTED_VALUE"""),"İZMİR")</f>
        <v>İZMİR</v>
      </c>
      <c r="K645" s="44" t="str">
        <f>IFERROR(__xludf.DUMMYFUNCTION("""COMPUTED_VALUE"""),"https://expa.aiesec.org/opportunities/1288970")</f>
        <v>https://expa.aiesec.org/opportunities/1288970</v>
      </c>
      <c r="L645" s="43" t="str">
        <f>IFERROR(__xludf.DUMMYFUNCTION("""COMPUTED_VALUE"""),"GV")</f>
        <v>GV</v>
      </c>
      <c r="M645" s="43" t="str">
        <f>IFERROR(__xludf.DUMMYFUNCTION("""COMPUTED_VALUE"""),"short")</f>
        <v>short</v>
      </c>
      <c r="N645" s="45">
        <f>IFERROR(__xludf.DUMMYFUNCTION("""COMPUTED_VALUE"""),45022.0)</f>
        <v>45022</v>
      </c>
      <c r="O645" s="45">
        <f>IFERROR(__xludf.DUMMYFUNCTION("""COMPUTED_VALUE"""),45249.0)</f>
        <v>45249</v>
      </c>
      <c r="P645" s="45">
        <f>IFERROR(__xludf.DUMMYFUNCTION("""COMPUTED_VALUE"""),45291.0)</f>
        <v>45291</v>
      </c>
      <c r="Q645" s="45"/>
      <c r="R645" s="45"/>
      <c r="S645" s="43"/>
      <c r="T645" s="43"/>
      <c r="U645" s="43" t="str">
        <f>IFERROR(__xludf.DUMMYFUNCTION("""COMPUTED_VALUE"""),"Fingerprint")</f>
        <v>Fingerprint</v>
      </c>
      <c r="V645" s="43" t="str">
        <f>IFERROR(__xludf.DUMMYFUNCTION("""COMPUTED_VALUE"""),"-")</f>
        <v>-</v>
      </c>
      <c r="W645" s="43" t="str">
        <f>IFERROR(__xludf.DUMMYFUNCTION("""COMPUTED_VALUE"""),"2023-03-30T01:04:31Z")</f>
        <v>2023-03-30T01:04:31Z</v>
      </c>
      <c r="X645" s="43"/>
      <c r="Y645" s="43"/>
      <c r="Z645" s="43"/>
    </row>
    <row r="646" hidden="1">
      <c r="A646" s="43" t="str">
        <f>IFERROR(__xludf.DUMMYFUNCTION("""COMPUTED_VALUE"""),"3228151_1292962")</f>
        <v>3228151_1292962</v>
      </c>
      <c r="B646" s="43" t="str">
        <f>IFERROR(__xludf.DUMMYFUNCTION("""COMPUTED_VALUE"""),"ameni jaziri")</f>
        <v>ameni jaziri</v>
      </c>
      <c r="C646" s="43" t="str">
        <f>IFERROR(__xludf.DUMMYFUNCTION("""COMPUTED_VALUE"""),"completed")</f>
        <v>completed</v>
      </c>
      <c r="D646" s="43" t="str">
        <f>IFERROR(__xludf.DUMMYFUNCTION("""COMPUTED_VALUE"""),"No")</f>
        <v>No</v>
      </c>
      <c r="E646" s="43" t="str">
        <f>IFERROR(__xludf.DUMMYFUNCTION("""COMPUTED_VALUE"""),"p_f91c4955f25c11f2ab4c5da0874f12ab1b965177@inbound.aiesec.org")</f>
        <v>p_f91c4955f25c11f2ab4c5da0874f12ab1b965177@inbound.aiesec.org</v>
      </c>
      <c r="F646" s="43">
        <f>IFERROR(__xludf.DUMMYFUNCTION("""COMPUTED_VALUE"""),5.6648439E7)</f>
        <v>56648439</v>
      </c>
      <c r="G646" s="43" t="str">
        <f>IFERROR(__xludf.DUMMYFUNCTION("""COMPUTED_VALUE"""),"Tunisia")</f>
        <v>Tunisia</v>
      </c>
      <c r="H646" s="43" t="str">
        <f>IFERROR(__xludf.DUMMYFUNCTION("""COMPUTED_VALUE"""),"UNIVERSITY")</f>
        <v>UNIVERSITY</v>
      </c>
      <c r="I646" s="43" t="str">
        <f>IFERROR(__xludf.DUMMYFUNCTION("""COMPUTED_VALUE"""),"Turkey")</f>
        <v>Turkey</v>
      </c>
      <c r="J646" s="43" t="str">
        <f>IFERROR(__xludf.DUMMYFUNCTION("""COMPUTED_VALUE"""),"BURSA")</f>
        <v>BURSA</v>
      </c>
      <c r="K646" s="44" t="str">
        <f>IFERROR(__xludf.DUMMYFUNCTION("""COMPUTED_VALUE"""),"https://expa.aiesec.org/opportunities/1292962")</f>
        <v>https://expa.aiesec.org/opportunities/1292962</v>
      </c>
      <c r="L646" s="43" t="str">
        <f>IFERROR(__xludf.DUMMYFUNCTION("""COMPUTED_VALUE"""),"GV")</f>
        <v>GV</v>
      </c>
      <c r="M646" s="43" t="str">
        <f>IFERROR(__xludf.DUMMYFUNCTION("""COMPUTED_VALUE"""),"short")</f>
        <v>short</v>
      </c>
      <c r="N646" s="45">
        <f>IFERROR(__xludf.DUMMYFUNCTION("""COMPUTED_VALUE"""),45023.0)</f>
        <v>45023</v>
      </c>
      <c r="O646" s="45">
        <f>IFERROR(__xludf.DUMMYFUNCTION("""COMPUTED_VALUE"""),45110.0)</f>
        <v>45110</v>
      </c>
      <c r="P646" s="45">
        <f>IFERROR(__xludf.DUMMYFUNCTION("""COMPUTED_VALUE"""),45152.0)</f>
        <v>45152</v>
      </c>
      <c r="Q646" s="45">
        <f>IFERROR(__xludf.DUMMYFUNCTION("""COMPUTED_VALUE"""),45111.0)</f>
        <v>45111</v>
      </c>
      <c r="R646" s="45">
        <f>IFERROR(__xludf.DUMMYFUNCTION("""COMPUTED_VALUE"""),45152.0)</f>
        <v>45152</v>
      </c>
      <c r="S646" s="43"/>
      <c r="T646" s="43"/>
      <c r="U646" s="43" t="str">
        <f>IFERROR(__xludf.DUMMYFUNCTION("""COMPUTED_VALUE"""),"Youth 4 Impact")</f>
        <v>Youth 4 Impact</v>
      </c>
      <c r="V646" s="43" t="str">
        <f>IFERROR(__xludf.DUMMYFUNCTION("""COMPUTED_VALUE"""),"Central Santé ")</f>
        <v>Central Santé </v>
      </c>
      <c r="W646" s="43" t="str">
        <f>IFERROR(__xludf.DUMMYFUNCTION("""COMPUTED_VALUE"""),"2019-03-15T20:15:59Z")</f>
        <v>2019-03-15T20:15:59Z</v>
      </c>
      <c r="X646" s="43"/>
      <c r="Y646" s="43"/>
      <c r="Z646" s="43"/>
    </row>
    <row r="647" hidden="1">
      <c r="A647" s="43" t="str">
        <f>IFERROR(__xludf.DUMMYFUNCTION("""COMPUTED_VALUE"""),"5230263_1283483")</f>
        <v>5230263_1283483</v>
      </c>
      <c r="B647" s="43" t="str">
        <f>IFERROR(__xludf.DUMMYFUNCTION("""COMPUTED_VALUE"""),"Mina Matta Dawood")</f>
        <v>Mina Matta Dawood</v>
      </c>
      <c r="C647" s="43" t="str">
        <f>IFERROR(__xludf.DUMMYFUNCTION("""COMPUTED_VALUE"""),"approved")</f>
        <v>approved</v>
      </c>
      <c r="D647" s="43" t="str">
        <f>IFERROR(__xludf.DUMMYFUNCTION("""COMPUTED_VALUE"""),"No")</f>
        <v>No</v>
      </c>
      <c r="E647" s="43" t="str">
        <f>IFERROR(__xludf.DUMMYFUNCTION("""COMPUTED_VALUE"""),"p_cebd4168026cf0852260206a0fa8f2265cd2176a@inbound.aiesec.org")</f>
        <v>p_cebd4168026cf0852260206a0fa8f2265cd2176a@inbound.aiesec.org</v>
      </c>
      <c r="F647" s="43">
        <f>IFERROR(__xludf.DUMMYFUNCTION("""COMPUTED_VALUE"""),1.090751253E9)</f>
        <v>1090751253</v>
      </c>
      <c r="G647" s="43" t="str">
        <f>IFERROR(__xludf.DUMMYFUNCTION("""COMPUTED_VALUE"""),"Egypt")</f>
        <v>Egypt</v>
      </c>
      <c r="H647" s="43" t="str">
        <f>IFERROR(__xludf.DUMMYFUNCTION("""COMPUTED_VALUE"""),"MUST")</f>
        <v>MUST</v>
      </c>
      <c r="I647" s="43" t="str">
        <f>IFERROR(__xludf.DUMMYFUNCTION("""COMPUTED_VALUE"""),"Turkey")</f>
        <v>Turkey</v>
      </c>
      <c r="J647" s="43" t="str">
        <f>IFERROR(__xludf.DUMMYFUNCTION("""COMPUTED_VALUE"""),"KONYA")</f>
        <v>KONYA</v>
      </c>
      <c r="K647" s="44" t="str">
        <f>IFERROR(__xludf.DUMMYFUNCTION("""COMPUTED_VALUE"""),"https://expa.aiesec.org/opportunities/1283483")</f>
        <v>https://expa.aiesec.org/opportunities/1283483</v>
      </c>
      <c r="L647" s="43" t="str">
        <f>IFERROR(__xludf.DUMMYFUNCTION("""COMPUTED_VALUE"""),"GV")</f>
        <v>GV</v>
      </c>
      <c r="M647" s="43" t="str">
        <f>IFERROR(__xludf.DUMMYFUNCTION("""COMPUTED_VALUE"""),"short")</f>
        <v>short</v>
      </c>
      <c r="N647" s="45">
        <f>IFERROR(__xludf.DUMMYFUNCTION("""COMPUTED_VALUE"""),45023.0)</f>
        <v>45023</v>
      </c>
      <c r="O647" s="45">
        <f>IFERROR(__xludf.DUMMYFUNCTION("""COMPUTED_VALUE"""),45145.0)</f>
        <v>45145</v>
      </c>
      <c r="P647" s="45">
        <f>IFERROR(__xludf.DUMMYFUNCTION("""COMPUTED_VALUE"""),45187.0)</f>
        <v>45187</v>
      </c>
      <c r="Q647" s="45"/>
      <c r="R647" s="45"/>
      <c r="S647" s="43"/>
      <c r="T647" s="43"/>
      <c r="U647" s="43" t="str">
        <f>IFERROR(__xludf.DUMMYFUNCTION("""COMPUTED_VALUE"""),"Global Classroom")</f>
        <v>Global Classroom</v>
      </c>
      <c r="V647" s="43" t="str">
        <f>IFERROR(__xludf.DUMMYFUNCTION("""COMPUTED_VALUE"""),"MUST University")</f>
        <v>MUST University</v>
      </c>
      <c r="W647" s="43" t="str">
        <f>IFERROR(__xludf.DUMMYFUNCTION("""COMPUTED_VALUE"""),"2023-03-29T16:31:14Z")</f>
        <v>2023-03-29T16:31:14Z</v>
      </c>
      <c r="X647" s="43"/>
      <c r="Y647" s="43"/>
      <c r="Z647" s="43"/>
    </row>
    <row r="648" hidden="1">
      <c r="A648" s="43" t="str">
        <f>IFERROR(__xludf.DUMMYFUNCTION("""COMPUTED_VALUE"""),"5193178_1284484")</f>
        <v>5193178_1284484</v>
      </c>
      <c r="B648" s="43" t="str">
        <f>IFERROR(__xludf.DUMMYFUNCTION("""COMPUTED_VALUE"""),"Giorgi Abuladze")</f>
        <v>Giorgi Abuladze</v>
      </c>
      <c r="C648" s="43" t="str">
        <f>IFERROR(__xludf.DUMMYFUNCTION("""COMPUTED_VALUE"""),"finished")</f>
        <v>finished</v>
      </c>
      <c r="D648" s="43" t="str">
        <f>IFERROR(__xludf.DUMMYFUNCTION("""COMPUTED_VALUE"""),"No")</f>
        <v>No</v>
      </c>
      <c r="E648" s="43" t="str">
        <f>IFERROR(__xludf.DUMMYFUNCTION("""COMPUTED_VALUE"""),"p_8b31f9c887254928318f641430474b816111ce30@inbound.aiesec.org")</f>
        <v>p_8b31f9c887254928318f641430474b816111ce30@inbound.aiesec.org</v>
      </c>
      <c r="F648" s="43">
        <f>IFERROR(__xludf.DUMMYFUNCTION("""COMPUTED_VALUE"""),5.5820757E8)</f>
        <v>558207570</v>
      </c>
      <c r="G648" s="43" t="str">
        <f>IFERROR(__xludf.DUMMYFUNCTION("""COMPUTED_VALUE"""),"Georgia")</f>
        <v>Georgia</v>
      </c>
      <c r="H648" s="43" t="str">
        <f>IFERROR(__xludf.DUMMYFUNCTION("""COMPUTED_VALUE"""),"The University of Georgia")</f>
        <v>The University of Georgia</v>
      </c>
      <c r="I648" s="43" t="str">
        <f>IFERROR(__xludf.DUMMYFUNCTION("""COMPUTED_VALUE"""),"Turkey")</f>
        <v>Turkey</v>
      </c>
      <c r="J648" s="43" t="str">
        <f>IFERROR(__xludf.DUMMYFUNCTION("""COMPUTED_VALUE"""),"DENIZLI")</f>
        <v>DENIZLI</v>
      </c>
      <c r="K648" s="44" t="str">
        <f>IFERROR(__xludf.DUMMYFUNCTION("""COMPUTED_VALUE"""),"https://expa.aiesec.org/opportunities/1284484")</f>
        <v>https://expa.aiesec.org/opportunities/1284484</v>
      </c>
      <c r="L648" s="43" t="str">
        <f>IFERROR(__xludf.DUMMYFUNCTION("""COMPUTED_VALUE"""),"GV")</f>
        <v>GV</v>
      </c>
      <c r="M648" s="43" t="str">
        <f>IFERROR(__xludf.DUMMYFUNCTION("""COMPUTED_VALUE"""),"short")</f>
        <v>short</v>
      </c>
      <c r="N648" s="45">
        <f>IFERROR(__xludf.DUMMYFUNCTION("""COMPUTED_VALUE"""),45023.0)</f>
        <v>45023</v>
      </c>
      <c r="O648" s="45">
        <f>IFERROR(__xludf.DUMMYFUNCTION("""COMPUTED_VALUE"""),45124.0)</f>
        <v>45124</v>
      </c>
      <c r="P648" s="45">
        <f>IFERROR(__xludf.DUMMYFUNCTION("""COMPUTED_VALUE"""),45166.0)</f>
        <v>45166</v>
      </c>
      <c r="Q648" s="45">
        <f>IFERROR(__xludf.DUMMYFUNCTION("""COMPUTED_VALUE"""),45123.0)</f>
        <v>45123</v>
      </c>
      <c r="R648" s="45">
        <f>IFERROR(__xludf.DUMMYFUNCTION("""COMPUTED_VALUE"""),45166.0)</f>
        <v>45166</v>
      </c>
      <c r="S648" s="43"/>
      <c r="T648" s="43"/>
      <c r="U648" s="43" t="str">
        <f>IFERROR(__xludf.DUMMYFUNCTION("""COMPUTED_VALUE"""),"Youth 4 Impact")</f>
        <v>Youth 4 Impact</v>
      </c>
      <c r="V648" s="43" t="str">
        <f>IFERROR(__xludf.DUMMYFUNCTION("""COMPUTED_VALUE"""),"Ilia state University")</f>
        <v>Ilia state University</v>
      </c>
      <c r="W648" s="43" t="str">
        <f>IFERROR(__xludf.DUMMYFUNCTION("""COMPUTED_VALUE"""),"2023-02-17T16:47:35Z")</f>
        <v>2023-02-17T16:47:35Z</v>
      </c>
      <c r="X648" s="43"/>
      <c r="Y648" s="43"/>
      <c r="Z648" s="43"/>
    </row>
    <row r="649">
      <c r="A649" s="43" t="str">
        <f>IFERROR(__xludf.DUMMYFUNCTION("""COMPUTED_VALUE"""),"5154703_1293706")</f>
        <v>5154703_1293706</v>
      </c>
      <c r="B649" s="43" t="str">
        <f>IFERROR(__xludf.DUMMYFUNCTION("""COMPUTED_VALUE"""),"Aniket Choudhary")</f>
        <v>Aniket Choudhary</v>
      </c>
      <c r="C649" s="43" t="str">
        <f>IFERROR(__xludf.DUMMYFUNCTION("""COMPUTED_VALUE"""),"approved")</f>
        <v>approved</v>
      </c>
      <c r="D649" s="43" t="str">
        <f>IFERROR(__xludf.DUMMYFUNCTION("""COMPUTED_VALUE"""),"No")</f>
        <v>No</v>
      </c>
      <c r="E649" s="43" t="str">
        <f>IFERROR(__xludf.DUMMYFUNCTION("""COMPUTED_VALUE"""),"p_f1d3d705a5c411578d4c4294dcf792bf6d7d115a@inbound.aiesec.org")</f>
        <v>p_f1d3d705a5c411578d4c4294dcf792bf6d7d115a@inbound.aiesec.org</v>
      </c>
      <c r="F649" s="43">
        <f>IFERROR(__xludf.DUMMYFUNCTION("""COMPUTED_VALUE"""),7.217671164E9)</f>
        <v>7217671164</v>
      </c>
      <c r="G649" s="43" t="str">
        <f>IFERROR(__xludf.DUMMYFUNCTION("""COMPUTED_VALUE"""),"India")</f>
        <v>India</v>
      </c>
      <c r="H649" s="43" t="str">
        <f>IFERROR(__xludf.DUMMYFUNCTION("""COMPUTED_VALUE"""),"Delhi University")</f>
        <v>Delhi University</v>
      </c>
      <c r="I649" s="43" t="str">
        <f>IFERROR(__xludf.DUMMYFUNCTION("""COMPUTED_VALUE"""),"Turkey")</f>
        <v>Turkey</v>
      </c>
      <c r="J649" s="43" t="str">
        <f>IFERROR(__xludf.DUMMYFUNCTION("""COMPUTED_VALUE"""),"İZMİR")</f>
        <v>İZMİR</v>
      </c>
      <c r="K649" s="44" t="str">
        <f>IFERROR(__xludf.DUMMYFUNCTION("""COMPUTED_VALUE"""),"https://expa.aiesec.org/opportunities/1293706")</f>
        <v>https://expa.aiesec.org/opportunities/1293706</v>
      </c>
      <c r="L649" s="43" t="str">
        <f>IFERROR(__xludf.DUMMYFUNCTION("""COMPUTED_VALUE"""),"GV")</f>
        <v>GV</v>
      </c>
      <c r="M649" s="43" t="str">
        <f>IFERROR(__xludf.DUMMYFUNCTION("""COMPUTED_VALUE"""),"short")</f>
        <v>short</v>
      </c>
      <c r="N649" s="45">
        <f>IFERROR(__xludf.DUMMYFUNCTION("""COMPUTED_VALUE"""),45024.0)</f>
        <v>45024</v>
      </c>
      <c r="O649" s="45">
        <f>IFERROR(__xludf.DUMMYFUNCTION("""COMPUTED_VALUE"""),45054.0)</f>
        <v>45054</v>
      </c>
      <c r="P649" s="45">
        <f>IFERROR(__xludf.DUMMYFUNCTION("""COMPUTED_VALUE"""),45096.0)</f>
        <v>45096</v>
      </c>
      <c r="Q649" s="45"/>
      <c r="R649" s="45"/>
      <c r="S649" s="43"/>
      <c r="T649" s="43"/>
      <c r="U649" s="43" t="str">
        <f>IFERROR(__xludf.DUMMYFUNCTION("""COMPUTED_VALUE"""),"Fingerprint")</f>
        <v>Fingerprint</v>
      </c>
      <c r="V649" s="43" t="str">
        <f>IFERROR(__xludf.DUMMYFUNCTION("""COMPUTED_VALUE"""),"Swami Vivekananda Subharti University, Delhi")</f>
        <v>Swami Vivekananda Subharti University, Delhi</v>
      </c>
      <c r="W649" s="43" t="str">
        <f>IFERROR(__xludf.DUMMYFUNCTION("""COMPUTED_VALUE"""),"2022-11-17T12:54:02Z")</f>
        <v>2022-11-17T12:54:02Z</v>
      </c>
      <c r="X649" s="43"/>
      <c r="Y649" s="43"/>
      <c r="Z649" s="43"/>
    </row>
    <row r="650" hidden="1">
      <c r="A650" s="43" t="str">
        <f>IFERROR(__xludf.DUMMYFUNCTION("""COMPUTED_VALUE"""),"5232282_1286751")</f>
        <v>5232282_1286751</v>
      </c>
      <c r="B650" s="43" t="str">
        <f>IFERROR(__xludf.DUMMYFUNCTION("""COMPUTED_VALUE"""),"Niyoshi Maniar")</f>
        <v>Niyoshi Maniar</v>
      </c>
      <c r="C650" s="43" t="str">
        <f>IFERROR(__xludf.DUMMYFUNCTION("""COMPUTED_VALUE"""),"realization_broken")</f>
        <v>realization_broken</v>
      </c>
      <c r="D650" s="43" t="str">
        <f>IFERROR(__xludf.DUMMYFUNCTION("""COMPUTED_VALUE"""),"No")</f>
        <v>No</v>
      </c>
      <c r="E650" s="43" t="str">
        <f>IFERROR(__xludf.DUMMYFUNCTION("""COMPUTED_VALUE"""),"p_7795fdb23f4a0344de1f4288b44cfb116f43c678@inbound.aiesec.org")</f>
        <v>p_7795fdb23f4a0344de1f4288b44cfb116f43c678@inbound.aiesec.org</v>
      </c>
      <c r="F650" s="43"/>
      <c r="G650" s="43" t="str">
        <f>IFERROR(__xludf.DUMMYFUNCTION("""COMPUTED_VALUE"""),"India")</f>
        <v>India</v>
      </c>
      <c r="H650" s="43" t="str">
        <f>IFERROR(__xludf.DUMMYFUNCTION("""COMPUTED_VALUE"""),"Mumbai")</f>
        <v>Mumbai</v>
      </c>
      <c r="I650" s="43" t="str">
        <f>IFERROR(__xludf.DUMMYFUNCTION("""COMPUTED_VALUE"""),"Turkey")</f>
        <v>Turkey</v>
      </c>
      <c r="J650" s="43" t="str">
        <f>IFERROR(__xludf.DUMMYFUNCTION("""COMPUTED_VALUE"""),"İZMİR")</f>
        <v>İZMİR</v>
      </c>
      <c r="K650" s="44" t="str">
        <f>IFERROR(__xludf.DUMMYFUNCTION("""COMPUTED_VALUE"""),"https://expa.aiesec.org/opportunities/1286751")</f>
        <v>https://expa.aiesec.org/opportunities/1286751</v>
      </c>
      <c r="L650" s="43" t="str">
        <f>IFERROR(__xludf.DUMMYFUNCTION("""COMPUTED_VALUE"""),"GV")</f>
        <v>GV</v>
      </c>
      <c r="M650" s="43" t="str">
        <f>IFERROR(__xludf.DUMMYFUNCTION("""COMPUTED_VALUE"""),"short")</f>
        <v>short</v>
      </c>
      <c r="N650" s="45">
        <f>IFERROR(__xludf.DUMMYFUNCTION("""COMPUTED_VALUE"""),45024.0)</f>
        <v>45024</v>
      </c>
      <c r="O650" s="45">
        <f>IFERROR(__xludf.DUMMYFUNCTION("""COMPUTED_VALUE"""),45046.0)</f>
        <v>45046</v>
      </c>
      <c r="P650" s="45">
        <f>IFERROR(__xludf.DUMMYFUNCTION("""COMPUTED_VALUE"""),45088.0)</f>
        <v>45088</v>
      </c>
      <c r="Q650" s="45"/>
      <c r="R650" s="45"/>
      <c r="S650" s="43"/>
      <c r="T650" s="43"/>
      <c r="U650" s="43" t="str">
        <f>IFERROR(__xludf.DUMMYFUNCTION("""COMPUTED_VALUE"""),"Global Classroom")</f>
        <v>Global Classroom</v>
      </c>
      <c r="V650" s="43" t="str">
        <f>IFERROR(__xludf.DUMMYFUNCTION("""COMPUTED_VALUE"""),"NMIMS, Vile Parle")</f>
        <v>NMIMS, Vile Parle</v>
      </c>
      <c r="W650" s="43" t="str">
        <f>IFERROR(__xludf.DUMMYFUNCTION("""COMPUTED_VALUE"""),"2023-03-31T19:15:15Z")</f>
        <v>2023-03-31T19:15:15Z</v>
      </c>
      <c r="X650" s="43"/>
      <c r="Y650" s="43"/>
      <c r="Z650" s="43"/>
    </row>
    <row r="651" hidden="1">
      <c r="A651" s="43" t="str">
        <f>IFERROR(__xludf.DUMMYFUNCTION("""COMPUTED_VALUE"""),"5128356_1281357")</f>
        <v>5128356_1281357</v>
      </c>
      <c r="B651" s="43" t="str">
        <f>IFERROR(__xludf.DUMMYFUNCTION("""COMPUTED_VALUE"""),"Bekzada Tazhibaeva")</f>
        <v>Bekzada Tazhibaeva</v>
      </c>
      <c r="C651" s="43" t="str">
        <f>IFERROR(__xludf.DUMMYFUNCTION("""COMPUTED_VALUE"""),"completed")</f>
        <v>completed</v>
      </c>
      <c r="D651" s="43" t="str">
        <f>IFERROR(__xludf.DUMMYFUNCTION("""COMPUTED_VALUE"""),"No")</f>
        <v>No</v>
      </c>
      <c r="E651" s="43" t="str">
        <f>IFERROR(__xludf.DUMMYFUNCTION("""COMPUTED_VALUE"""),"p_401dd5657c7453b1ce8d7b27edcab4481500a5bb@inbound.aiesec.org")</f>
        <v>p_401dd5657c7453b1ce8d7b27edcab4481500a5bb@inbound.aiesec.org</v>
      </c>
      <c r="F651" s="43">
        <f>IFERROR(__xludf.DUMMYFUNCTION("""COMPUTED_VALUE"""),7.02121102E9)</f>
        <v>7021211020</v>
      </c>
      <c r="G651" s="43" t="str">
        <f>IFERROR(__xludf.DUMMYFUNCTION("""COMPUTED_VALUE"""),"Kazakhstan")</f>
        <v>Kazakhstan</v>
      </c>
      <c r="H651" s="43" t="str">
        <f>IFERROR(__xludf.DUMMYFUNCTION("""COMPUTED_VALUE"""),"Astana")</f>
        <v>Astana</v>
      </c>
      <c r="I651" s="43" t="str">
        <f>IFERROR(__xludf.DUMMYFUNCTION("""COMPUTED_VALUE"""),"Turkey")</f>
        <v>Turkey</v>
      </c>
      <c r="J651" s="43" t="str">
        <f>IFERROR(__xludf.DUMMYFUNCTION("""COMPUTED_VALUE"""),"GAZIANTEP")</f>
        <v>GAZIANTEP</v>
      </c>
      <c r="K651" s="44" t="str">
        <f>IFERROR(__xludf.DUMMYFUNCTION("""COMPUTED_VALUE"""),"https://expa.aiesec.org/opportunities/1281357")</f>
        <v>https://expa.aiesec.org/opportunities/1281357</v>
      </c>
      <c r="L651" s="43" t="str">
        <f>IFERROR(__xludf.DUMMYFUNCTION("""COMPUTED_VALUE"""),"GV")</f>
        <v>GV</v>
      </c>
      <c r="M651" s="43" t="str">
        <f>IFERROR(__xludf.DUMMYFUNCTION("""COMPUTED_VALUE"""),"short")</f>
        <v>short</v>
      </c>
      <c r="N651" s="45">
        <f>IFERROR(__xludf.DUMMYFUNCTION("""COMPUTED_VALUE"""),45024.0)</f>
        <v>45024</v>
      </c>
      <c r="O651" s="45">
        <f>IFERROR(__xludf.DUMMYFUNCTION("""COMPUTED_VALUE"""),45097.0)</f>
        <v>45097</v>
      </c>
      <c r="P651" s="45">
        <f>IFERROR(__xludf.DUMMYFUNCTION("""COMPUTED_VALUE"""),45139.0)</f>
        <v>45139</v>
      </c>
      <c r="Q651" s="45">
        <f>IFERROR(__xludf.DUMMYFUNCTION("""COMPUTED_VALUE"""),45107.0)</f>
        <v>45107</v>
      </c>
      <c r="R651" s="45">
        <f>IFERROR(__xludf.DUMMYFUNCTION("""COMPUTED_VALUE"""),45149.0)</f>
        <v>45149</v>
      </c>
      <c r="S651" s="43"/>
      <c r="T651" s="43"/>
      <c r="U651" s="43" t="str">
        <f>IFERROR(__xludf.DUMMYFUNCTION("""COMPUTED_VALUE"""),"Global Classroom")</f>
        <v>Global Classroom</v>
      </c>
      <c r="V651" s="43" t="str">
        <f>IFERROR(__xludf.DUMMYFUNCTION("""COMPUTED_VALUE"""),"Ust'-Kamenogorsk")</f>
        <v>Ust'-Kamenogorsk</v>
      </c>
      <c r="W651" s="43" t="str">
        <f>IFERROR(__xludf.DUMMYFUNCTION("""COMPUTED_VALUE"""),"2022-10-09T15:01:39Z")</f>
        <v>2022-10-09T15:01:39Z</v>
      </c>
      <c r="X651" s="43"/>
      <c r="Y651" s="43"/>
      <c r="Z651" s="43"/>
    </row>
    <row r="652" hidden="1">
      <c r="A652" s="43" t="str">
        <f>IFERROR(__xludf.DUMMYFUNCTION("""COMPUTED_VALUE"""),"4519233_1285687")</f>
        <v>4519233_1285687</v>
      </c>
      <c r="B652" s="43" t="str">
        <f>IFERROR(__xludf.DUMMYFUNCTION("""COMPUTED_VALUE"""),"Nursaya Imamurat")</f>
        <v>Nursaya Imamurat</v>
      </c>
      <c r="C652" s="43" t="str">
        <f>IFERROR(__xludf.DUMMYFUNCTION("""COMPUTED_VALUE"""),"completed")</f>
        <v>completed</v>
      </c>
      <c r="D652" s="43" t="str">
        <f>IFERROR(__xludf.DUMMYFUNCTION("""COMPUTED_VALUE"""),"No")</f>
        <v>No</v>
      </c>
      <c r="E652" s="43" t="str">
        <f>IFERROR(__xludf.DUMMYFUNCTION("""COMPUTED_VALUE"""),"p_6075023d74039b035e7c33baf2b795c684db6692@inbound.aiesec.org")</f>
        <v>p_6075023d74039b035e7c33baf2b795c684db6692@inbound.aiesec.org</v>
      </c>
      <c r="F652" s="43">
        <f>IFERROR(__xludf.DUMMYFUNCTION("""COMPUTED_VALUE"""),7.081835809E9)</f>
        <v>7081835809</v>
      </c>
      <c r="G652" s="43" t="str">
        <f>IFERROR(__xludf.DUMMYFUNCTION("""COMPUTED_VALUE"""),"Kazakhstan")</f>
        <v>Kazakhstan</v>
      </c>
      <c r="H652" s="43" t="str">
        <f>IFERROR(__xludf.DUMMYFUNCTION("""COMPUTED_VALUE"""),"ALMATY")</f>
        <v>ALMATY</v>
      </c>
      <c r="I652" s="43" t="str">
        <f>IFERROR(__xludf.DUMMYFUNCTION("""COMPUTED_VALUE"""),"Turkey")</f>
        <v>Turkey</v>
      </c>
      <c r="J652" s="43" t="str">
        <f>IFERROR(__xludf.DUMMYFUNCTION("""COMPUTED_VALUE"""),"ISTANBUL")</f>
        <v>ISTANBUL</v>
      </c>
      <c r="K652" s="44" t="str">
        <f>IFERROR(__xludf.DUMMYFUNCTION("""COMPUTED_VALUE"""),"https://expa.aiesec.org/opportunities/1285687")</f>
        <v>https://expa.aiesec.org/opportunities/1285687</v>
      </c>
      <c r="L652" s="43" t="str">
        <f>IFERROR(__xludf.DUMMYFUNCTION("""COMPUTED_VALUE"""),"GV")</f>
        <v>GV</v>
      </c>
      <c r="M652" s="43" t="str">
        <f>IFERROR(__xludf.DUMMYFUNCTION("""COMPUTED_VALUE"""),"short")</f>
        <v>short</v>
      </c>
      <c r="N652" s="45">
        <f>IFERROR(__xludf.DUMMYFUNCTION("""COMPUTED_VALUE"""),45024.0)</f>
        <v>45024</v>
      </c>
      <c r="O652" s="45">
        <f>IFERROR(__xludf.DUMMYFUNCTION("""COMPUTED_VALUE"""),45057.0)</f>
        <v>45057</v>
      </c>
      <c r="P652" s="45">
        <f>IFERROR(__xludf.DUMMYFUNCTION("""COMPUTED_VALUE"""),45099.0)</f>
        <v>45099</v>
      </c>
      <c r="Q652" s="45">
        <f>IFERROR(__xludf.DUMMYFUNCTION("""COMPUTED_VALUE"""),45061.0)</f>
        <v>45061</v>
      </c>
      <c r="R652" s="45">
        <f>IFERROR(__xludf.DUMMYFUNCTION("""COMPUTED_VALUE"""),45103.0)</f>
        <v>45103</v>
      </c>
      <c r="S652" s="43"/>
      <c r="T652" s="43"/>
      <c r="U652" s="43" t="str">
        <f>IFERROR(__xludf.DUMMYFUNCTION("""COMPUTED_VALUE"""),"Youth 4 Impact")</f>
        <v>Youth 4 Impact</v>
      </c>
      <c r="V652" s="43" t="str">
        <f>IFERROR(__xludf.DUMMYFUNCTION("""COMPUTED_VALUE"""),"Atyrau")</f>
        <v>Atyrau</v>
      </c>
      <c r="W652" s="43" t="str">
        <f>IFERROR(__xludf.DUMMYFUNCTION("""COMPUTED_VALUE"""),"2021-01-18T16:18:05Z")</f>
        <v>2021-01-18T16:18:05Z</v>
      </c>
      <c r="X652" s="43"/>
      <c r="Y652" s="43"/>
      <c r="Z652" s="43"/>
    </row>
    <row r="653" hidden="1">
      <c r="A653" s="43" t="str">
        <f>IFERROR(__xludf.DUMMYFUNCTION("""COMPUTED_VALUE"""),"5233933_1291929")</f>
        <v>5233933_1291929</v>
      </c>
      <c r="B653" s="43" t="str">
        <f>IFERROR(__xludf.DUMMYFUNCTION("""COMPUTED_VALUE"""),"Narmin Bahramova")</f>
        <v>Narmin Bahramova</v>
      </c>
      <c r="C653" s="43" t="str">
        <f>IFERROR(__xludf.DUMMYFUNCTION("""COMPUTED_VALUE"""),"approved")</f>
        <v>approved</v>
      </c>
      <c r="D653" s="43" t="str">
        <f>IFERROR(__xludf.DUMMYFUNCTION("""COMPUTED_VALUE"""),"No")</f>
        <v>No</v>
      </c>
      <c r="E653" s="43" t="str">
        <f>IFERROR(__xludf.DUMMYFUNCTION("""COMPUTED_VALUE"""),"p_dad9b85f1b0fe9d8935607c61861063ad6f3065c@inbound.aiesec.org")</f>
        <v>p_dad9b85f1b0fe9d8935607c61861063ad6f3065c@inbound.aiesec.org</v>
      </c>
      <c r="F653" s="43"/>
      <c r="G653" s="43" t="str">
        <f>IFERROR(__xludf.DUMMYFUNCTION("""COMPUTED_VALUE"""),"Azerbaijan")</f>
        <v>Azerbaijan</v>
      </c>
      <c r="H653" s="43" t="str">
        <f>IFERROR(__xludf.DUMMYFUNCTION("""COMPUTED_VALUE"""),"Baku Synergy")</f>
        <v>Baku Synergy</v>
      </c>
      <c r="I653" s="43" t="str">
        <f>IFERROR(__xludf.DUMMYFUNCTION("""COMPUTED_VALUE"""),"Turkey")</f>
        <v>Turkey</v>
      </c>
      <c r="J653" s="43" t="str">
        <f>IFERROR(__xludf.DUMMYFUNCTION("""COMPUTED_VALUE"""),"TRABZON")</f>
        <v>TRABZON</v>
      </c>
      <c r="K653" s="44" t="str">
        <f>IFERROR(__xludf.DUMMYFUNCTION("""COMPUTED_VALUE"""),"https://expa.aiesec.org/opportunities/1291929")</f>
        <v>https://expa.aiesec.org/opportunities/1291929</v>
      </c>
      <c r="L653" s="43" t="str">
        <f>IFERROR(__xludf.DUMMYFUNCTION("""COMPUTED_VALUE"""),"GV")</f>
        <v>GV</v>
      </c>
      <c r="M653" s="43" t="str">
        <f>IFERROR(__xludf.DUMMYFUNCTION("""COMPUTED_VALUE"""),"short")</f>
        <v>short</v>
      </c>
      <c r="N653" s="45">
        <f>IFERROR(__xludf.DUMMYFUNCTION("""COMPUTED_VALUE"""),45025.0)</f>
        <v>45025</v>
      </c>
      <c r="O653" s="45">
        <f>IFERROR(__xludf.DUMMYFUNCTION("""COMPUTED_VALUE"""),45128.0)</f>
        <v>45128</v>
      </c>
      <c r="P653" s="45">
        <f>IFERROR(__xludf.DUMMYFUNCTION("""COMPUTED_VALUE"""),45170.0)</f>
        <v>45170</v>
      </c>
      <c r="Q653" s="45"/>
      <c r="R653" s="45"/>
      <c r="S653" s="43"/>
      <c r="T653" s="43"/>
      <c r="U653" s="43" t="str">
        <f>IFERROR(__xludf.DUMMYFUNCTION("""COMPUTED_VALUE"""),"Global Classroom")</f>
        <v>Global Classroom</v>
      </c>
      <c r="V653" s="43" t="str">
        <f>IFERROR(__xludf.DUMMYFUNCTION("""COMPUTED_VALUE"""),"-")</f>
        <v>-</v>
      </c>
      <c r="W653" s="43" t="str">
        <f>IFERROR(__xludf.DUMMYFUNCTION("""COMPUTED_VALUE"""),"2023-04-03T11:32:26Z")</f>
        <v>2023-04-03T11:32:26Z</v>
      </c>
      <c r="X653" s="43"/>
      <c r="Y653" s="43"/>
      <c r="Z653" s="43"/>
    </row>
    <row r="654" hidden="1">
      <c r="A654" s="43" t="str">
        <f>IFERROR(__xludf.DUMMYFUNCTION("""COMPUTED_VALUE"""),"5184743_1291929")</f>
        <v>5184743_1291929</v>
      </c>
      <c r="B654" s="43" t="str">
        <f>IFERROR(__xludf.DUMMYFUNCTION("""COMPUTED_VALUE"""),"Dinara Garayeva")</f>
        <v>Dinara Garayeva</v>
      </c>
      <c r="C654" s="43" t="str">
        <f>IFERROR(__xludf.DUMMYFUNCTION("""COMPUTED_VALUE"""),"approved")</f>
        <v>approved</v>
      </c>
      <c r="D654" s="43" t="str">
        <f>IFERROR(__xludf.DUMMYFUNCTION("""COMPUTED_VALUE"""),"No")</f>
        <v>No</v>
      </c>
      <c r="E654" s="43" t="str">
        <f>IFERROR(__xludf.DUMMYFUNCTION("""COMPUTED_VALUE"""),"p_cfc84658cb7a543deb94b9d4a8e969c3d17d2536@inbound.aiesec.org")</f>
        <v>p_cfc84658cb7a543deb94b9d4a8e969c3d17d2536@inbound.aiesec.org</v>
      </c>
      <c r="F654" s="43"/>
      <c r="G654" s="43" t="str">
        <f>IFERROR(__xludf.DUMMYFUNCTION("""COMPUTED_VALUE"""),"Azerbaijan")</f>
        <v>Azerbaijan</v>
      </c>
      <c r="H654" s="43" t="str">
        <f>IFERROR(__xludf.DUMMYFUNCTION("""COMPUTED_VALUE"""),"Baku Synergy")</f>
        <v>Baku Synergy</v>
      </c>
      <c r="I654" s="43" t="str">
        <f>IFERROR(__xludf.DUMMYFUNCTION("""COMPUTED_VALUE"""),"Turkey")</f>
        <v>Turkey</v>
      </c>
      <c r="J654" s="43" t="str">
        <f>IFERROR(__xludf.DUMMYFUNCTION("""COMPUTED_VALUE"""),"TRABZON")</f>
        <v>TRABZON</v>
      </c>
      <c r="K654" s="44" t="str">
        <f>IFERROR(__xludf.DUMMYFUNCTION("""COMPUTED_VALUE"""),"https://expa.aiesec.org/opportunities/1291929")</f>
        <v>https://expa.aiesec.org/opportunities/1291929</v>
      </c>
      <c r="L654" s="43" t="str">
        <f>IFERROR(__xludf.DUMMYFUNCTION("""COMPUTED_VALUE"""),"GV")</f>
        <v>GV</v>
      </c>
      <c r="M654" s="43" t="str">
        <f>IFERROR(__xludf.DUMMYFUNCTION("""COMPUTED_VALUE"""),"short")</f>
        <v>short</v>
      </c>
      <c r="N654" s="45">
        <f>IFERROR(__xludf.DUMMYFUNCTION("""COMPUTED_VALUE"""),45025.0)</f>
        <v>45025</v>
      </c>
      <c r="O654" s="45">
        <f>IFERROR(__xludf.DUMMYFUNCTION("""COMPUTED_VALUE"""),45128.0)</f>
        <v>45128</v>
      </c>
      <c r="P654" s="45">
        <f>IFERROR(__xludf.DUMMYFUNCTION("""COMPUTED_VALUE"""),45170.0)</f>
        <v>45170</v>
      </c>
      <c r="Q654" s="45"/>
      <c r="R654" s="45"/>
      <c r="S654" s="43"/>
      <c r="T654" s="43"/>
      <c r="U654" s="43" t="str">
        <f>IFERROR(__xludf.DUMMYFUNCTION("""COMPUTED_VALUE"""),"Global Classroom")</f>
        <v>Global Classroom</v>
      </c>
      <c r="V654" s="43" t="str">
        <f>IFERROR(__xludf.DUMMYFUNCTION("""COMPUTED_VALUE"""),"-")</f>
        <v>-</v>
      </c>
      <c r="W654" s="43" t="str">
        <f>IFERROR(__xludf.DUMMYFUNCTION("""COMPUTED_VALUE"""),"2023-02-03T09:51:57Z")</f>
        <v>2023-02-03T09:51:57Z</v>
      </c>
      <c r="X654" s="43"/>
      <c r="Y654" s="43"/>
      <c r="Z654" s="43"/>
    </row>
    <row r="655" hidden="1">
      <c r="A655" s="43" t="str">
        <f>IFERROR(__xludf.DUMMYFUNCTION("""COMPUTED_VALUE"""),"5238945_1289536")</f>
        <v>5238945_1289536</v>
      </c>
      <c r="B655" s="43" t="str">
        <f>IFERROR(__xludf.DUMMYFUNCTION("""COMPUTED_VALUE"""),"Imen Meherzi")</f>
        <v>Imen Meherzi</v>
      </c>
      <c r="C655" s="43" t="str">
        <f>IFERROR(__xludf.DUMMYFUNCTION("""COMPUTED_VALUE"""),"completed")</f>
        <v>completed</v>
      </c>
      <c r="D655" s="43" t="str">
        <f>IFERROR(__xludf.DUMMYFUNCTION("""COMPUTED_VALUE"""),"No")</f>
        <v>No</v>
      </c>
      <c r="E655" s="43" t="str">
        <f>IFERROR(__xludf.DUMMYFUNCTION("""COMPUTED_VALUE"""),"p_4295947d457ea6f611f695fad283c7e92622cefd@inbound.aiesec.org")</f>
        <v>p_4295947d457ea6f611f695fad283c7e92622cefd@inbound.aiesec.org</v>
      </c>
      <c r="F655" s="43">
        <f>IFERROR(__xludf.DUMMYFUNCTION("""COMPUTED_VALUE"""),2.613102E7)</f>
        <v>26131020</v>
      </c>
      <c r="G655" s="43" t="str">
        <f>IFERROR(__xludf.DUMMYFUNCTION("""COMPUTED_VALUE"""),"Tunisia")</f>
        <v>Tunisia</v>
      </c>
      <c r="H655" s="43" t="str">
        <f>IFERROR(__xludf.DUMMYFUNCTION("""COMPUTED_VALUE"""),"Carthage")</f>
        <v>Carthage</v>
      </c>
      <c r="I655" s="43" t="str">
        <f>IFERROR(__xludf.DUMMYFUNCTION("""COMPUTED_VALUE"""),"Turkey")</f>
        <v>Turkey</v>
      </c>
      <c r="J655" s="43" t="str">
        <f>IFERROR(__xludf.DUMMYFUNCTION("""COMPUTED_VALUE"""),"ISTANBUL")</f>
        <v>ISTANBUL</v>
      </c>
      <c r="K655" s="44" t="str">
        <f>IFERROR(__xludf.DUMMYFUNCTION("""COMPUTED_VALUE"""),"https://expa.aiesec.org/opportunities/1289536")</f>
        <v>https://expa.aiesec.org/opportunities/1289536</v>
      </c>
      <c r="L655" s="43" t="str">
        <f>IFERROR(__xludf.DUMMYFUNCTION("""COMPUTED_VALUE"""),"GV")</f>
        <v>GV</v>
      </c>
      <c r="M655" s="43" t="str">
        <f>IFERROR(__xludf.DUMMYFUNCTION("""COMPUTED_VALUE"""),"short")</f>
        <v>short</v>
      </c>
      <c r="N655" s="45">
        <f>IFERROR(__xludf.DUMMYFUNCTION("""COMPUTED_VALUE"""),45026.0)</f>
        <v>45026</v>
      </c>
      <c r="O655" s="45">
        <f>IFERROR(__xludf.DUMMYFUNCTION("""COMPUTED_VALUE"""),45090.0)</f>
        <v>45090</v>
      </c>
      <c r="P655" s="45">
        <f>IFERROR(__xludf.DUMMYFUNCTION("""COMPUTED_VALUE"""),45132.0)</f>
        <v>45132</v>
      </c>
      <c r="Q655" s="45">
        <f>IFERROR(__xludf.DUMMYFUNCTION("""COMPUTED_VALUE"""),45090.0)</f>
        <v>45090</v>
      </c>
      <c r="R655" s="45">
        <f>IFERROR(__xludf.DUMMYFUNCTION("""COMPUTED_VALUE"""),45132.0)</f>
        <v>45132</v>
      </c>
      <c r="S655" s="43"/>
      <c r="T655" s="43"/>
      <c r="U655" s="43" t="str">
        <f>IFERROR(__xludf.DUMMYFUNCTION("""COMPUTED_VALUE"""),"Global Classroom")</f>
        <v>Global Classroom</v>
      </c>
      <c r="V655" s="43" t="str">
        <f>IFERROR(__xludf.DUMMYFUNCTION("""COMPUTED_VALUE"""),"ISLT")</f>
        <v>ISLT</v>
      </c>
      <c r="W655" s="43" t="str">
        <f>IFERROR(__xludf.DUMMYFUNCTION("""COMPUTED_VALUE"""),"2023-04-10T15:03:23Z")</f>
        <v>2023-04-10T15:03:23Z</v>
      </c>
      <c r="X655" s="43"/>
      <c r="Y655" s="43"/>
      <c r="Z655" s="43"/>
    </row>
    <row r="656" hidden="1">
      <c r="A656" s="43" t="str">
        <f>IFERROR(__xludf.DUMMYFUNCTION("""COMPUTED_VALUE"""),"5043941_1291929")</f>
        <v>5043941_1291929</v>
      </c>
      <c r="B656" s="43" t="str">
        <f>IFERROR(__xludf.DUMMYFUNCTION("""COMPUTED_VALUE"""),"Nancy Nader")</f>
        <v>Nancy Nader</v>
      </c>
      <c r="C656" s="43" t="str">
        <f>IFERROR(__xludf.DUMMYFUNCTION("""COMPUTED_VALUE"""),"finished")</f>
        <v>finished</v>
      </c>
      <c r="D656" s="43" t="str">
        <f>IFERROR(__xludf.DUMMYFUNCTION("""COMPUTED_VALUE"""),"No")</f>
        <v>No</v>
      </c>
      <c r="E656" s="43" t="str">
        <f>IFERROR(__xludf.DUMMYFUNCTION("""COMPUTED_VALUE"""),"p_f719f25f1b5f5383e7b9d00db62690d0b72d3809@inbound.aiesec.org")</f>
        <v>p_f719f25f1b5f5383e7b9d00db62690d0b72d3809@inbound.aiesec.org</v>
      </c>
      <c r="F656" s="43">
        <f>IFERROR(__xludf.DUMMYFUNCTION("""COMPUTED_VALUE"""),1.020932275E9)</f>
        <v>1020932275</v>
      </c>
      <c r="G656" s="43" t="str">
        <f>IFERROR(__xludf.DUMMYFUNCTION("""COMPUTED_VALUE"""),"Egypt")</f>
        <v>Egypt</v>
      </c>
      <c r="H656" s="43" t="str">
        <f>IFERROR(__xludf.DUMMYFUNCTION("""COMPUTED_VALUE"""),"Ain Shams University")</f>
        <v>Ain Shams University</v>
      </c>
      <c r="I656" s="43" t="str">
        <f>IFERROR(__xludf.DUMMYFUNCTION("""COMPUTED_VALUE"""),"Turkey")</f>
        <v>Turkey</v>
      </c>
      <c r="J656" s="43" t="str">
        <f>IFERROR(__xludf.DUMMYFUNCTION("""COMPUTED_VALUE"""),"TRABZON")</f>
        <v>TRABZON</v>
      </c>
      <c r="K656" s="44" t="str">
        <f>IFERROR(__xludf.DUMMYFUNCTION("""COMPUTED_VALUE"""),"https://expa.aiesec.org/opportunities/1291929")</f>
        <v>https://expa.aiesec.org/opportunities/1291929</v>
      </c>
      <c r="L656" s="43" t="str">
        <f>IFERROR(__xludf.DUMMYFUNCTION("""COMPUTED_VALUE"""),"GV")</f>
        <v>GV</v>
      </c>
      <c r="M656" s="43" t="str">
        <f>IFERROR(__xludf.DUMMYFUNCTION("""COMPUTED_VALUE"""),"short")</f>
        <v>short</v>
      </c>
      <c r="N656" s="45">
        <f>IFERROR(__xludf.DUMMYFUNCTION("""COMPUTED_VALUE"""),45026.0)</f>
        <v>45026</v>
      </c>
      <c r="O656" s="45">
        <f>IFERROR(__xludf.DUMMYFUNCTION("""COMPUTED_VALUE"""),45128.0)</f>
        <v>45128</v>
      </c>
      <c r="P656" s="45">
        <f>IFERROR(__xludf.DUMMYFUNCTION("""COMPUTED_VALUE"""),45170.0)</f>
        <v>45170</v>
      </c>
      <c r="Q656" s="45">
        <f>IFERROR(__xludf.DUMMYFUNCTION("""COMPUTED_VALUE"""),45132.0)</f>
        <v>45132</v>
      </c>
      <c r="R656" s="45">
        <f>IFERROR(__xludf.DUMMYFUNCTION("""COMPUTED_VALUE"""),45169.0)</f>
        <v>45169</v>
      </c>
      <c r="S656" s="43"/>
      <c r="T656" s="43"/>
      <c r="U656" s="43" t="str">
        <f>IFERROR(__xludf.DUMMYFUNCTION("""COMPUTED_VALUE"""),"Global Classroom")</f>
        <v>Global Classroom</v>
      </c>
      <c r="V656" s="43" t="str">
        <f>IFERROR(__xludf.DUMMYFUNCTION("""COMPUTED_VALUE"""),"Ain Shams University")</f>
        <v>Ain Shams University</v>
      </c>
      <c r="W656" s="43" t="str">
        <f>IFERROR(__xludf.DUMMYFUNCTION("""COMPUTED_VALUE"""),"2022-04-22T14:29:14Z")</f>
        <v>2022-04-22T14:29:14Z</v>
      </c>
      <c r="X656" s="43"/>
      <c r="Y656" s="43"/>
      <c r="Z656" s="43"/>
    </row>
    <row r="657" hidden="1">
      <c r="A657" s="43" t="str">
        <f>IFERROR(__xludf.DUMMYFUNCTION("""COMPUTED_VALUE"""),"5237236_1294066")</f>
        <v>5237236_1294066</v>
      </c>
      <c r="B657" s="43" t="str">
        <f>IFERROR(__xludf.DUMMYFUNCTION("""COMPUTED_VALUE"""),"MARWA ESSALMI")</f>
        <v>MARWA ESSALMI</v>
      </c>
      <c r="C657" s="43" t="str">
        <f>IFERROR(__xludf.DUMMYFUNCTION("""COMPUTED_VALUE"""),"approved")</f>
        <v>approved</v>
      </c>
      <c r="D657" s="43" t="str">
        <f>IFERROR(__xludf.DUMMYFUNCTION("""COMPUTED_VALUE"""),"No")</f>
        <v>No</v>
      </c>
      <c r="E657" s="43" t="str">
        <f>IFERROR(__xludf.DUMMYFUNCTION("""COMPUTED_VALUE"""),"p_f321beefcf8bd44c6ea040b9df37c31b9fc67319@inbound.aiesec.org")</f>
        <v>p_f321beefcf8bd44c6ea040b9df37c31b9fc67319@inbound.aiesec.org</v>
      </c>
      <c r="F657" s="43">
        <f>IFERROR(__xludf.DUMMYFUNCTION("""COMPUTED_VALUE"""),7.009765E8)</f>
        <v>700976500</v>
      </c>
      <c r="G657" s="43" t="str">
        <f>IFERROR(__xludf.DUMMYFUNCTION("""COMPUTED_VALUE"""),"Morocco")</f>
        <v>Morocco</v>
      </c>
      <c r="H657" s="43" t="str">
        <f>IFERROR(__xludf.DUMMYFUNCTION("""COMPUTED_VALUE"""),"Tangier")</f>
        <v>Tangier</v>
      </c>
      <c r="I657" s="43" t="str">
        <f>IFERROR(__xludf.DUMMYFUNCTION("""COMPUTED_VALUE"""),"Turkey")</f>
        <v>Turkey</v>
      </c>
      <c r="J657" s="43" t="str">
        <f>IFERROR(__xludf.DUMMYFUNCTION("""COMPUTED_VALUE"""),"ISTANBUL WEST")</f>
        <v>ISTANBUL WEST</v>
      </c>
      <c r="K657" s="44" t="str">
        <f>IFERROR(__xludf.DUMMYFUNCTION("""COMPUTED_VALUE"""),"https://expa.aiesec.org/opportunities/1294066")</f>
        <v>https://expa.aiesec.org/opportunities/1294066</v>
      </c>
      <c r="L657" s="43" t="str">
        <f>IFERROR(__xludf.DUMMYFUNCTION("""COMPUTED_VALUE"""),"GV")</f>
        <v>GV</v>
      </c>
      <c r="M657" s="43" t="str">
        <f>IFERROR(__xludf.DUMMYFUNCTION("""COMPUTED_VALUE"""),"short")</f>
        <v>short</v>
      </c>
      <c r="N657" s="45">
        <f>IFERROR(__xludf.DUMMYFUNCTION("""COMPUTED_VALUE"""),45026.0)</f>
        <v>45026</v>
      </c>
      <c r="O657" s="45">
        <f>IFERROR(__xludf.DUMMYFUNCTION("""COMPUTED_VALUE"""),45131.0)</f>
        <v>45131</v>
      </c>
      <c r="P657" s="45">
        <f>IFERROR(__xludf.DUMMYFUNCTION("""COMPUTED_VALUE"""),45173.0)</f>
        <v>45173</v>
      </c>
      <c r="Q657" s="45"/>
      <c r="R657" s="45"/>
      <c r="S657" s="43"/>
      <c r="T657" s="43"/>
      <c r="U657" s="43" t="str">
        <f>IFERROR(__xludf.DUMMYFUNCTION("""COMPUTED_VALUE"""),"Fingerprint")</f>
        <v>Fingerprint</v>
      </c>
      <c r="V657" s="43" t="str">
        <f>IFERROR(__xludf.DUMMYFUNCTION("""COMPUTED_VALUE"""),"INAS Tanger")</f>
        <v>INAS Tanger</v>
      </c>
      <c r="W657" s="43" t="str">
        <f>IFERROR(__xludf.DUMMYFUNCTION("""COMPUTED_VALUE"""),"2023-04-07T18:29:28Z")</f>
        <v>2023-04-07T18:29:28Z</v>
      </c>
      <c r="X657" s="43"/>
      <c r="Y657" s="43"/>
      <c r="Z657" s="43"/>
    </row>
    <row r="658" hidden="1">
      <c r="A658" s="43" t="str">
        <f>IFERROR(__xludf.DUMMYFUNCTION("""COMPUTED_VALUE"""),"5197395_1294066")</f>
        <v>5197395_1294066</v>
      </c>
      <c r="B658" s="43" t="str">
        <f>IFERROR(__xludf.DUMMYFUNCTION("""COMPUTED_VALUE"""),"Salma Elmane")</f>
        <v>Salma Elmane</v>
      </c>
      <c r="C658" s="43" t="str">
        <f>IFERROR(__xludf.DUMMYFUNCTION("""COMPUTED_VALUE"""),"approved")</f>
        <v>approved</v>
      </c>
      <c r="D658" s="43" t="str">
        <f>IFERROR(__xludf.DUMMYFUNCTION("""COMPUTED_VALUE"""),"No")</f>
        <v>No</v>
      </c>
      <c r="E658" s="43" t="str">
        <f>IFERROR(__xludf.DUMMYFUNCTION("""COMPUTED_VALUE"""),"p_4db4f0cfb3ba24244412440bf83357320d6398d0@inbound.aiesec.org")</f>
        <v>p_4db4f0cfb3ba24244412440bf83357320d6398d0@inbound.aiesec.org</v>
      </c>
      <c r="F658" s="43">
        <f>IFERROR(__xludf.DUMMYFUNCTION("""COMPUTED_VALUE"""),6.22477743E8)</f>
        <v>622477743</v>
      </c>
      <c r="G658" s="43" t="str">
        <f>IFERROR(__xludf.DUMMYFUNCTION("""COMPUTED_VALUE"""),"Morocco")</f>
        <v>Morocco</v>
      </c>
      <c r="H658" s="43" t="str">
        <f>IFERROR(__xludf.DUMMYFUNCTION("""COMPUTED_VALUE"""),"Tangier")</f>
        <v>Tangier</v>
      </c>
      <c r="I658" s="43" t="str">
        <f>IFERROR(__xludf.DUMMYFUNCTION("""COMPUTED_VALUE"""),"Turkey")</f>
        <v>Turkey</v>
      </c>
      <c r="J658" s="43" t="str">
        <f>IFERROR(__xludf.DUMMYFUNCTION("""COMPUTED_VALUE"""),"ISTANBUL WEST")</f>
        <v>ISTANBUL WEST</v>
      </c>
      <c r="K658" s="44" t="str">
        <f>IFERROR(__xludf.DUMMYFUNCTION("""COMPUTED_VALUE"""),"https://expa.aiesec.org/opportunities/1294066")</f>
        <v>https://expa.aiesec.org/opportunities/1294066</v>
      </c>
      <c r="L658" s="43" t="str">
        <f>IFERROR(__xludf.DUMMYFUNCTION("""COMPUTED_VALUE"""),"GV")</f>
        <v>GV</v>
      </c>
      <c r="M658" s="43" t="str">
        <f>IFERROR(__xludf.DUMMYFUNCTION("""COMPUTED_VALUE"""),"short")</f>
        <v>short</v>
      </c>
      <c r="N658" s="45">
        <f>IFERROR(__xludf.DUMMYFUNCTION("""COMPUTED_VALUE"""),45026.0)</f>
        <v>45026</v>
      </c>
      <c r="O658" s="45">
        <f>IFERROR(__xludf.DUMMYFUNCTION("""COMPUTED_VALUE"""),45131.0)</f>
        <v>45131</v>
      </c>
      <c r="P658" s="45">
        <f>IFERROR(__xludf.DUMMYFUNCTION("""COMPUTED_VALUE"""),45173.0)</f>
        <v>45173</v>
      </c>
      <c r="Q658" s="45"/>
      <c r="R658" s="45"/>
      <c r="S658" s="43"/>
      <c r="T658" s="43"/>
      <c r="U658" s="43" t="str">
        <f>IFERROR(__xludf.DUMMYFUNCTION("""COMPUTED_VALUE"""),"Fingerprint")</f>
        <v>Fingerprint</v>
      </c>
      <c r="V658" s="43" t="str">
        <f>IFERROR(__xludf.DUMMYFUNCTION("""COMPUTED_VALUE"""),"INAS Tanger")</f>
        <v>INAS Tanger</v>
      </c>
      <c r="W658" s="43" t="str">
        <f>IFERROR(__xludf.DUMMYFUNCTION("""COMPUTED_VALUE"""),"2023-02-23T11:21:31Z")</f>
        <v>2023-02-23T11:21:31Z</v>
      </c>
      <c r="X658" s="43"/>
      <c r="Y658" s="43"/>
      <c r="Z658" s="43"/>
    </row>
    <row r="659" hidden="1">
      <c r="A659" s="43" t="str">
        <f>IFERROR(__xludf.DUMMYFUNCTION("""COMPUTED_VALUE"""),"5200216_1284484")</f>
        <v>5200216_1284484</v>
      </c>
      <c r="B659" s="43" t="str">
        <f>IFERROR(__xludf.DUMMYFUNCTION("""COMPUTED_VALUE"""),"Ping-Wen Lin")</f>
        <v>Ping-Wen Lin</v>
      </c>
      <c r="C659" s="43" t="str">
        <f>IFERROR(__xludf.DUMMYFUNCTION("""COMPUTED_VALUE"""),"finished")</f>
        <v>finished</v>
      </c>
      <c r="D659" s="43" t="str">
        <f>IFERROR(__xludf.DUMMYFUNCTION("""COMPUTED_VALUE"""),"No")</f>
        <v>No</v>
      </c>
      <c r="E659" s="43" t="str">
        <f>IFERROR(__xludf.DUMMYFUNCTION("""COMPUTED_VALUE"""),"p_2d0d0378880c89de7023af0d6a08fac2565d17d3@inbound.aiesec.org")</f>
        <v>p_2d0d0378880c89de7023af0d6a08fac2565d17d3@inbound.aiesec.org</v>
      </c>
      <c r="F659" s="43">
        <f>IFERROR(__xludf.DUMMYFUNCTION("""COMPUTED_VALUE"""),6.23431723E8)</f>
        <v>623431723</v>
      </c>
      <c r="G659" s="43" t="str">
        <f>IFERROR(__xludf.DUMMYFUNCTION("""COMPUTED_VALUE"""),"The Netherlands")</f>
        <v>The Netherlands</v>
      </c>
      <c r="H659" s="43" t="str">
        <f>IFERROR(__xludf.DUMMYFUNCTION("""COMPUTED_VALUE"""),"LEIDEN")</f>
        <v>LEIDEN</v>
      </c>
      <c r="I659" s="43" t="str">
        <f>IFERROR(__xludf.DUMMYFUNCTION("""COMPUTED_VALUE"""),"Turkey")</f>
        <v>Turkey</v>
      </c>
      <c r="J659" s="43" t="str">
        <f>IFERROR(__xludf.DUMMYFUNCTION("""COMPUTED_VALUE"""),"DENIZLI")</f>
        <v>DENIZLI</v>
      </c>
      <c r="K659" s="44" t="str">
        <f>IFERROR(__xludf.DUMMYFUNCTION("""COMPUTED_VALUE"""),"https://expa.aiesec.org/opportunities/1284484")</f>
        <v>https://expa.aiesec.org/opportunities/1284484</v>
      </c>
      <c r="L659" s="43" t="str">
        <f>IFERROR(__xludf.DUMMYFUNCTION("""COMPUTED_VALUE"""),"GV")</f>
        <v>GV</v>
      </c>
      <c r="M659" s="43" t="str">
        <f>IFERROR(__xludf.DUMMYFUNCTION("""COMPUTED_VALUE"""),"short")</f>
        <v>short</v>
      </c>
      <c r="N659" s="45">
        <f>IFERROR(__xludf.DUMMYFUNCTION("""COMPUTED_VALUE"""),45026.0)</f>
        <v>45026</v>
      </c>
      <c r="O659" s="45">
        <f>IFERROR(__xludf.DUMMYFUNCTION("""COMPUTED_VALUE"""),45124.0)</f>
        <v>45124</v>
      </c>
      <c r="P659" s="45">
        <f>IFERROR(__xludf.DUMMYFUNCTION("""COMPUTED_VALUE"""),45166.0)</f>
        <v>45166</v>
      </c>
      <c r="Q659" s="45">
        <f>IFERROR(__xludf.DUMMYFUNCTION("""COMPUTED_VALUE"""),45123.0)</f>
        <v>45123</v>
      </c>
      <c r="R659" s="45">
        <f>IFERROR(__xludf.DUMMYFUNCTION("""COMPUTED_VALUE"""),45166.0)</f>
        <v>45166</v>
      </c>
      <c r="S659" s="43"/>
      <c r="T659" s="43"/>
      <c r="U659" s="43" t="str">
        <f>IFERROR(__xludf.DUMMYFUNCTION("""COMPUTED_VALUE"""),"Youth 4 Impact")</f>
        <v>Youth 4 Impact</v>
      </c>
      <c r="V659" s="43" t="str">
        <f>IFERROR(__xludf.DUMMYFUNCTION("""COMPUTED_VALUE"""),"Leiden &amp; Den Haag / Global Volunteer")</f>
        <v>Leiden &amp; Den Haag / Global Volunteer</v>
      </c>
      <c r="W659" s="43" t="str">
        <f>IFERROR(__xludf.DUMMYFUNCTION("""COMPUTED_VALUE"""),"2023-02-27T14:04:33Z")</f>
        <v>2023-02-27T14:04:33Z</v>
      </c>
      <c r="X659" s="43"/>
      <c r="Y659" s="43"/>
      <c r="Z659" s="43"/>
    </row>
    <row r="660" hidden="1">
      <c r="A660" s="43" t="str">
        <f>IFERROR(__xludf.DUMMYFUNCTION("""COMPUTED_VALUE"""),"5226882_1285687")</f>
        <v>5226882_1285687</v>
      </c>
      <c r="B660" s="43" t="str">
        <f>IFERROR(__xludf.DUMMYFUNCTION("""COMPUTED_VALUE"""),"Ganea Sorin Daniel")</f>
        <v>Ganea Sorin Daniel</v>
      </c>
      <c r="C660" s="43" t="str">
        <f>IFERROR(__xludf.DUMMYFUNCTION("""COMPUTED_VALUE"""),"finished")</f>
        <v>finished</v>
      </c>
      <c r="D660" s="43" t="str">
        <f>IFERROR(__xludf.DUMMYFUNCTION("""COMPUTED_VALUE"""),"No")</f>
        <v>No</v>
      </c>
      <c r="E660" s="43" t="str">
        <f>IFERROR(__xludf.DUMMYFUNCTION("""COMPUTED_VALUE"""),"p_0bc24ed9f21e53c82e7441f1f15bca2e8c6e8b9f@inbound.aiesec.org")</f>
        <v>p_0bc24ed9f21e53c82e7441f1f15bca2e8c6e8b9f@inbound.aiesec.org</v>
      </c>
      <c r="F660" s="43"/>
      <c r="G660" s="43" t="str">
        <f>IFERROR(__xludf.DUMMYFUNCTION("""COMPUTED_VALUE"""),"Romania")</f>
        <v>Romania</v>
      </c>
      <c r="H660" s="43" t="str">
        <f>IFERROR(__xludf.DUMMYFUNCTION("""COMPUTED_VALUE"""),"GALATI")</f>
        <v>GALATI</v>
      </c>
      <c r="I660" s="43" t="str">
        <f>IFERROR(__xludf.DUMMYFUNCTION("""COMPUTED_VALUE"""),"Turkey")</f>
        <v>Turkey</v>
      </c>
      <c r="J660" s="43" t="str">
        <f>IFERROR(__xludf.DUMMYFUNCTION("""COMPUTED_VALUE"""),"ISTANBUL")</f>
        <v>ISTANBUL</v>
      </c>
      <c r="K660" s="44" t="str">
        <f>IFERROR(__xludf.DUMMYFUNCTION("""COMPUTED_VALUE"""),"https://expa.aiesec.org/opportunities/1285687")</f>
        <v>https://expa.aiesec.org/opportunities/1285687</v>
      </c>
      <c r="L660" s="43" t="str">
        <f>IFERROR(__xludf.DUMMYFUNCTION("""COMPUTED_VALUE"""),"GV")</f>
        <v>GV</v>
      </c>
      <c r="M660" s="43" t="str">
        <f>IFERROR(__xludf.DUMMYFUNCTION("""COMPUTED_VALUE"""),"short")</f>
        <v>short</v>
      </c>
      <c r="N660" s="45">
        <f>IFERROR(__xludf.DUMMYFUNCTION("""COMPUTED_VALUE"""),45026.0)</f>
        <v>45026</v>
      </c>
      <c r="O660" s="45">
        <f>IFERROR(__xludf.DUMMYFUNCTION("""COMPUTED_VALUE"""),45155.0)</f>
        <v>45155</v>
      </c>
      <c r="P660" s="45">
        <f>IFERROR(__xludf.DUMMYFUNCTION("""COMPUTED_VALUE"""),45197.0)</f>
        <v>45197</v>
      </c>
      <c r="Q660" s="45">
        <f>IFERROR(__xludf.DUMMYFUNCTION("""COMPUTED_VALUE"""),45156.0)</f>
        <v>45156</v>
      </c>
      <c r="R660" s="45">
        <f>IFERROR(__xludf.DUMMYFUNCTION("""COMPUTED_VALUE"""),45197.0)</f>
        <v>45197</v>
      </c>
      <c r="S660" s="43"/>
      <c r="T660" s="43"/>
      <c r="U660" s="43" t="str">
        <f>IFERROR(__xludf.DUMMYFUNCTION("""COMPUTED_VALUE"""),"Youth 4 Impact")</f>
        <v>Youth 4 Impact</v>
      </c>
      <c r="V660" s="43" t="str">
        <f>IFERROR(__xludf.DUMMYFUNCTION("""COMPUTED_VALUE"""),"-")</f>
        <v>-</v>
      </c>
      <c r="W660" s="43" t="str">
        <f>IFERROR(__xludf.DUMMYFUNCTION("""COMPUTED_VALUE"""),"2023-03-25T15:53:40Z")</f>
        <v>2023-03-25T15:53:40Z</v>
      </c>
      <c r="X660" s="43"/>
      <c r="Y660" s="43"/>
      <c r="Z660" s="43"/>
    </row>
    <row r="661" hidden="1">
      <c r="A661" s="43" t="str">
        <f>IFERROR(__xludf.DUMMYFUNCTION("""COMPUTED_VALUE"""),"5226883_1285687")</f>
        <v>5226883_1285687</v>
      </c>
      <c r="B661" s="43" t="str">
        <f>IFERROR(__xludf.DUMMYFUNCTION("""COMPUTED_VALUE"""),"Robert-Andrei Graur")</f>
        <v>Robert-Andrei Graur</v>
      </c>
      <c r="C661" s="43" t="str">
        <f>IFERROR(__xludf.DUMMYFUNCTION("""COMPUTED_VALUE"""),"finished")</f>
        <v>finished</v>
      </c>
      <c r="D661" s="43" t="str">
        <f>IFERROR(__xludf.DUMMYFUNCTION("""COMPUTED_VALUE"""),"No")</f>
        <v>No</v>
      </c>
      <c r="E661" s="43" t="str">
        <f>IFERROR(__xludf.DUMMYFUNCTION("""COMPUTED_VALUE"""),"p_7e097d318c75df49ae30d0f403b0f887c2288a61@inbound.aiesec.org")</f>
        <v>p_7e097d318c75df49ae30d0f403b0f887c2288a61@inbound.aiesec.org</v>
      </c>
      <c r="F661" s="43"/>
      <c r="G661" s="43" t="str">
        <f>IFERROR(__xludf.DUMMYFUNCTION("""COMPUTED_VALUE"""),"Romania")</f>
        <v>Romania</v>
      </c>
      <c r="H661" s="43" t="str">
        <f>IFERROR(__xludf.DUMMYFUNCTION("""COMPUTED_VALUE"""),"GALATI")</f>
        <v>GALATI</v>
      </c>
      <c r="I661" s="43" t="str">
        <f>IFERROR(__xludf.DUMMYFUNCTION("""COMPUTED_VALUE"""),"Turkey")</f>
        <v>Turkey</v>
      </c>
      <c r="J661" s="43" t="str">
        <f>IFERROR(__xludf.DUMMYFUNCTION("""COMPUTED_VALUE"""),"ISTANBUL")</f>
        <v>ISTANBUL</v>
      </c>
      <c r="K661" s="44" t="str">
        <f>IFERROR(__xludf.DUMMYFUNCTION("""COMPUTED_VALUE"""),"https://expa.aiesec.org/opportunities/1285687")</f>
        <v>https://expa.aiesec.org/opportunities/1285687</v>
      </c>
      <c r="L661" s="43" t="str">
        <f>IFERROR(__xludf.DUMMYFUNCTION("""COMPUTED_VALUE"""),"GV")</f>
        <v>GV</v>
      </c>
      <c r="M661" s="43" t="str">
        <f>IFERROR(__xludf.DUMMYFUNCTION("""COMPUTED_VALUE"""),"short")</f>
        <v>short</v>
      </c>
      <c r="N661" s="45">
        <f>IFERROR(__xludf.DUMMYFUNCTION("""COMPUTED_VALUE"""),45026.0)</f>
        <v>45026</v>
      </c>
      <c r="O661" s="45">
        <f>IFERROR(__xludf.DUMMYFUNCTION("""COMPUTED_VALUE"""),45155.0)</f>
        <v>45155</v>
      </c>
      <c r="P661" s="45">
        <f>IFERROR(__xludf.DUMMYFUNCTION("""COMPUTED_VALUE"""),45197.0)</f>
        <v>45197</v>
      </c>
      <c r="Q661" s="45">
        <f>IFERROR(__xludf.DUMMYFUNCTION("""COMPUTED_VALUE"""),45156.0)</f>
        <v>45156</v>
      </c>
      <c r="R661" s="45">
        <f>IFERROR(__xludf.DUMMYFUNCTION("""COMPUTED_VALUE"""),45197.0)</f>
        <v>45197</v>
      </c>
      <c r="S661" s="43"/>
      <c r="T661" s="43"/>
      <c r="U661" s="43" t="str">
        <f>IFERROR(__xludf.DUMMYFUNCTION("""COMPUTED_VALUE"""),"Youth 4 Impact")</f>
        <v>Youth 4 Impact</v>
      </c>
      <c r="V661" s="43" t="str">
        <f>IFERROR(__xludf.DUMMYFUNCTION("""COMPUTED_VALUE"""),"-")</f>
        <v>-</v>
      </c>
      <c r="W661" s="43" t="str">
        <f>IFERROR(__xludf.DUMMYFUNCTION("""COMPUTED_VALUE"""),"2023-03-25T15:53:49Z")</f>
        <v>2023-03-25T15:53:49Z</v>
      </c>
      <c r="X661" s="43"/>
      <c r="Y661" s="43"/>
      <c r="Z661" s="43"/>
    </row>
    <row r="662" hidden="1">
      <c r="A662" s="43" t="str">
        <f>IFERROR(__xludf.DUMMYFUNCTION("""COMPUTED_VALUE"""),"5226884_1285687")</f>
        <v>5226884_1285687</v>
      </c>
      <c r="B662" s="43" t="str">
        <f>IFERROR(__xludf.DUMMYFUNCTION("""COMPUTED_VALUE"""),"Preda Ionut Adrian")</f>
        <v>Preda Ionut Adrian</v>
      </c>
      <c r="C662" s="43" t="str">
        <f>IFERROR(__xludf.DUMMYFUNCTION("""COMPUTED_VALUE"""),"finished")</f>
        <v>finished</v>
      </c>
      <c r="D662" s="43" t="str">
        <f>IFERROR(__xludf.DUMMYFUNCTION("""COMPUTED_VALUE"""),"No")</f>
        <v>No</v>
      </c>
      <c r="E662" s="43" t="str">
        <f>IFERROR(__xludf.DUMMYFUNCTION("""COMPUTED_VALUE"""),"p_4bd91219c6d8d52903155ba78943dda4171b6833@inbound.aiesec.org")</f>
        <v>p_4bd91219c6d8d52903155ba78943dda4171b6833@inbound.aiesec.org</v>
      </c>
      <c r="F662" s="43"/>
      <c r="G662" s="43" t="str">
        <f>IFERROR(__xludf.DUMMYFUNCTION("""COMPUTED_VALUE"""),"Romania")</f>
        <v>Romania</v>
      </c>
      <c r="H662" s="43" t="str">
        <f>IFERROR(__xludf.DUMMYFUNCTION("""COMPUTED_VALUE"""),"GALATI")</f>
        <v>GALATI</v>
      </c>
      <c r="I662" s="43" t="str">
        <f>IFERROR(__xludf.DUMMYFUNCTION("""COMPUTED_VALUE"""),"Turkey")</f>
        <v>Turkey</v>
      </c>
      <c r="J662" s="43" t="str">
        <f>IFERROR(__xludf.DUMMYFUNCTION("""COMPUTED_VALUE"""),"ISTANBUL")</f>
        <v>ISTANBUL</v>
      </c>
      <c r="K662" s="44" t="str">
        <f>IFERROR(__xludf.DUMMYFUNCTION("""COMPUTED_VALUE"""),"https://expa.aiesec.org/opportunities/1285687")</f>
        <v>https://expa.aiesec.org/opportunities/1285687</v>
      </c>
      <c r="L662" s="43" t="str">
        <f>IFERROR(__xludf.DUMMYFUNCTION("""COMPUTED_VALUE"""),"GV")</f>
        <v>GV</v>
      </c>
      <c r="M662" s="43" t="str">
        <f>IFERROR(__xludf.DUMMYFUNCTION("""COMPUTED_VALUE"""),"short")</f>
        <v>short</v>
      </c>
      <c r="N662" s="45">
        <f>IFERROR(__xludf.DUMMYFUNCTION("""COMPUTED_VALUE"""),45026.0)</f>
        <v>45026</v>
      </c>
      <c r="O662" s="45">
        <f>IFERROR(__xludf.DUMMYFUNCTION("""COMPUTED_VALUE"""),45155.0)</f>
        <v>45155</v>
      </c>
      <c r="P662" s="45">
        <f>IFERROR(__xludf.DUMMYFUNCTION("""COMPUTED_VALUE"""),45197.0)</f>
        <v>45197</v>
      </c>
      <c r="Q662" s="45">
        <f>IFERROR(__xludf.DUMMYFUNCTION("""COMPUTED_VALUE"""),45156.0)</f>
        <v>45156</v>
      </c>
      <c r="R662" s="45">
        <f>IFERROR(__xludf.DUMMYFUNCTION("""COMPUTED_VALUE"""),45197.0)</f>
        <v>45197</v>
      </c>
      <c r="S662" s="43"/>
      <c r="T662" s="43"/>
      <c r="U662" s="43" t="str">
        <f>IFERROR(__xludf.DUMMYFUNCTION("""COMPUTED_VALUE"""),"Youth 4 Impact")</f>
        <v>Youth 4 Impact</v>
      </c>
      <c r="V662" s="43" t="str">
        <f>IFERROR(__xludf.DUMMYFUNCTION("""COMPUTED_VALUE"""),"-")</f>
        <v>-</v>
      </c>
      <c r="W662" s="43" t="str">
        <f>IFERROR(__xludf.DUMMYFUNCTION("""COMPUTED_VALUE"""),"2023-03-25T15:54:06Z")</f>
        <v>2023-03-25T15:54:06Z</v>
      </c>
      <c r="X662" s="43"/>
      <c r="Y662" s="43"/>
      <c r="Z662" s="43"/>
    </row>
    <row r="663" hidden="1">
      <c r="A663" s="43" t="str">
        <f>IFERROR(__xludf.DUMMYFUNCTION("""COMPUTED_VALUE"""),"5232191_1293495")</f>
        <v>5232191_1293495</v>
      </c>
      <c r="B663" s="43" t="str">
        <f>IFERROR(__xludf.DUMMYFUNCTION("""COMPUTED_VALUE"""),"Arij Hani")</f>
        <v>Arij Hani</v>
      </c>
      <c r="C663" s="43" t="str">
        <f>IFERROR(__xludf.DUMMYFUNCTION("""COMPUTED_VALUE"""),"completed")</f>
        <v>completed</v>
      </c>
      <c r="D663" s="43" t="str">
        <f>IFERROR(__xludf.DUMMYFUNCTION("""COMPUTED_VALUE"""),"No")</f>
        <v>No</v>
      </c>
      <c r="E663" s="43" t="str">
        <f>IFERROR(__xludf.DUMMYFUNCTION("""COMPUTED_VALUE"""),"p_4a8128eab3ec66d01f7df0a0f4e916ce933b6a99@inbound.aiesec.org")</f>
        <v>p_4a8128eab3ec66d01f7df0a0f4e916ce933b6a99@inbound.aiesec.org</v>
      </c>
      <c r="F663" s="43">
        <f>IFERROR(__xludf.DUMMYFUNCTION("""COMPUTED_VALUE"""),5.8155669E7)</f>
        <v>58155669</v>
      </c>
      <c r="G663" s="43" t="str">
        <f>IFERROR(__xludf.DUMMYFUNCTION("""COMPUTED_VALUE"""),"Tunisia")</f>
        <v>Tunisia</v>
      </c>
      <c r="H663" s="43" t="str">
        <f>IFERROR(__xludf.DUMMYFUNCTION("""COMPUTED_VALUE"""),"RUSPINA")</f>
        <v>RUSPINA</v>
      </c>
      <c r="I663" s="43" t="str">
        <f>IFERROR(__xludf.DUMMYFUNCTION("""COMPUTED_VALUE"""),"Turkey")</f>
        <v>Turkey</v>
      </c>
      <c r="J663" s="43" t="str">
        <f>IFERROR(__xludf.DUMMYFUNCTION("""COMPUTED_VALUE"""),"BURSA")</f>
        <v>BURSA</v>
      </c>
      <c r="K663" s="44" t="str">
        <f>IFERROR(__xludf.DUMMYFUNCTION("""COMPUTED_VALUE"""),"https://expa.aiesec.org/opportunities/1293495")</f>
        <v>https://expa.aiesec.org/opportunities/1293495</v>
      </c>
      <c r="L663" s="43" t="str">
        <f>IFERROR(__xludf.DUMMYFUNCTION("""COMPUTED_VALUE"""),"GV")</f>
        <v>GV</v>
      </c>
      <c r="M663" s="43" t="str">
        <f>IFERROR(__xludf.DUMMYFUNCTION("""COMPUTED_VALUE"""),"short")</f>
        <v>short</v>
      </c>
      <c r="N663" s="45">
        <f>IFERROR(__xludf.DUMMYFUNCTION("""COMPUTED_VALUE"""),45027.0)</f>
        <v>45027</v>
      </c>
      <c r="O663" s="45">
        <f>IFERROR(__xludf.DUMMYFUNCTION("""COMPUTED_VALUE"""),45102.0)</f>
        <v>45102</v>
      </c>
      <c r="P663" s="45">
        <f>IFERROR(__xludf.DUMMYFUNCTION("""COMPUTED_VALUE"""),45144.0)</f>
        <v>45144</v>
      </c>
      <c r="Q663" s="45">
        <f>IFERROR(__xludf.DUMMYFUNCTION("""COMPUTED_VALUE"""),45104.0)</f>
        <v>45104</v>
      </c>
      <c r="R663" s="45">
        <f>IFERROR(__xludf.DUMMYFUNCTION("""COMPUTED_VALUE"""),45144.0)</f>
        <v>45144</v>
      </c>
      <c r="S663" s="43"/>
      <c r="T663" s="43"/>
      <c r="U663" s="43" t="str">
        <f>IFERROR(__xludf.DUMMYFUNCTION("""COMPUTED_VALUE"""),"Youth 4 Impact")</f>
        <v>Youth 4 Impact</v>
      </c>
      <c r="V663" s="43" t="str">
        <f>IFERROR(__xludf.DUMMYFUNCTION("""COMPUTED_VALUE"""),"ISEAH Mahdia")</f>
        <v>ISEAH Mahdia</v>
      </c>
      <c r="W663" s="43" t="str">
        <f>IFERROR(__xludf.DUMMYFUNCTION("""COMPUTED_VALUE"""),"2023-03-31T16:33:11Z")</f>
        <v>2023-03-31T16:33:11Z</v>
      </c>
      <c r="X663" s="43"/>
      <c r="Y663" s="43"/>
      <c r="Z663" s="43"/>
    </row>
    <row r="664" hidden="1">
      <c r="A664" s="43" t="str">
        <f>IFERROR(__xludf.DUMMYFUNCTION("""COMPUTED_VALUE"""),"5218352_1292556")</f>
        <v>5218352_1292556</v>
      </c>
      <c r="B664" s="43" t="str">
        <f>IFERROR(__xludf.DUMMYFUNCTION("""COMPUTED_VALUE"""),"nour miadi")</f>
        <v>nour miadi</v>
      </c>
      <c r="C664" s="43" t="str">
        <f>IFERROR(__xludf.DUMMYFUNCTION("""COMPUTED_VALUE"""),"completed")</f>
        <v>completed</v>
      </c>
      <c r="D664" s="43" t="str">
        <f>IFERROR(__xludf.DUMMYFUNCTION("""COMPUTED_VALUE"""),"No")</f>
        <v>No</v>
      </c>
      <c r="E664" s="43" t="str">
        <f>IFERROR(__xludf.DUMMYFUNCTION("""COMPUTED_VALUE"""),"p_371fd10452beba61411fb5f3271b39257f8a41ae@inbound.aiesec.org")</f>
        <v>p_371fd10452beba61411fb5f3271b39257f8a41ae@inbound.aiesec.org</v>
      </c>
      <c r="F664" s="43"/>
      <c r="G664" s="43" t="str">
        <f>IFERROR(__xludf.DUMMYFUNCTION("""COMPUTED_VALUE"""),"Tunisia")</f>
        <v>Tunisia</v>
      </c>
      <c r="H664" s="43" t="str">
        <f>IFERROR(__xludf.DUMMYFUNCTION("""COMPUTED_VALUE"""),"MEDINA")</f>
        <v>MEDINA</v>
      </c>
      <c r="I664" s="43" t="str">
        <f>IFERROR(__xludf.DUMMYFUNCTION("""COMPUTED_VALUE"""),"Turkey")</f>
        <v>Turkey</v>
      </c>
      <c r="J664" s="43" t="str">
        <f>IFERROR(__xludf.DUMMYFUNCTION("""COMPUTED_VALUE"""),"DENIZLI")</f>
        <v>DENIZLI</v>
      </c>
      <c r="K664" s="44" t="str">
        <f>IFERROR(__xludf.DUMMYFUNCTION("""COMPUTED_VALUE"""),"https://expa.aiesec.org/opportunities/1292556")</f>
        <v>https://expa.aiesec.org/opportunities/1292556</v>
      </c>
      <c r="L664" s="43" t="str">
        <f>IFERROR(__xludf.DUMMYFUNCTION("""COMPUTED_VALUE"""),"GV")</f>
        <v>GV</v>
      </c>
      <c r="M664" s="43" t="str">
        <f>IFERROR(__xludf.DUMMYFUNCTION("""COMPUTED_VALUE"""),"short")</f>
        <v>short</v>
      </c>
      <c r="N664" s="45">
        <f>IFERROR(__xludf.DUMMYFUNCTION("""COMPUTED_VALUE"""),45027.0)</f>
        <v>45027</v>
      </c>
      <c r="O664" s="45">
        <f>IFERROR(__xludf.DUMMYFUNCTION("""COMPUTED_VALUE"""),45110.0)</f>
        <v>45110</v>
      </c>
      <c r="P664" s="45">
        <f>IFERROR(__xludf.DUMMYFUNCTION("""COMPUTED_VALUE"""),45152.0)</f>
        <v>45152</v>
      </c>
      <c r="Q664" s="45">
        <f>IFERROR(__xludf.DUMMYFUNCTION("""COMPUTED_VALUE"""),45111.0)</f>
        <v>45111</v>
      </c>
      <c r="R664" s="45">
        <f>IFERROR(__xludf.DUMMYFUNCTION("""COMPUTED_VALUE"""),45152.0)</f>
        <v>45152</v>
      </c>
      <c r="S664" s="43"/>
      <c r="T664" s="43"/>
      <c r="U664" s="43" t="str">
        <f>IFERROR(__xludf.DUMMYFUNCTION("""COMPUTED_VALUE"""),"Global Classroom")</f>
        <v>Global Classroom</v>
      </c>
      <c r="V664" s="43" t="str">
        <f>IFERROR(__xludf.DUMMYFUNCTION("""COMPUTED_VALUE"""),"-")</f>
        <v>-</v>
      </c>
      <c r="W664" s="43" t="str">
        <f>IFERROR(__xludf.DUMMYFUNCTION("""COMPUTED_VALUE"""),"2023-03-16T11:41:43Z")</f>
        <v>2023-03-16T11:41:43Z</v>
      </c>
      <c r="X664" s="43"/>
      <c r="Y664" s="43"/>
      <c r="Z664" s="43"/>
    </row>
    <row r="665">
      <c r="A665" s="43" t="str">
        <f>IFERROR(__xludf.DUMMYFUNCTION("""COMPUTED_VALUE"""),"5207897_1291881")</f>
        <v>5207897_1291881</v>
      </c>
      <c r="B665" s="43" t="str">
        <f>IFERROR(__xludf.DUMMYFUNCTION("""COMPUTED_VALUE"""),"deleted 5207897")</f>
        <v>deleted 5207897</v>
      </c>
      <c r="C665" s="43" t="str">
        <f>IFERROR(__xludf.DUMMYFUNCTION("""COMPUTED_VALUE"""),"approved")</f>
        <v>approved</v>
      </c>
      <c r="D665" s="43" t="str">
        <f>IFERROR(__xludf.DUMMYFUNCTION("""COMPUTED_VALUE"""),"No")</f>
        <v>No</v>
      </c>
      <c r="E665" s="43" t="str">
        <f>IFERROR(__xludf.DUMMYFUNCTION("""COMPUTED_VALUE"""),"p_7fa868afb79ea521392af07c315e6a7e1a6f10c5@inbound.aiesec.org")</f>
        <v>p_7fa868afb79ea521392af07c315e6a7e1a6f10c5@inbound.aiesec.org</v>
      </c>
      <c r="F665" s="43"/>
      <c r="G665" s="43" t="str">
        <f>IFERROR(__xludf.DUMMYFUNCTION("""COMPUTED_VALUE"""),"Kazakhstan")</f>
        <v>Kazakhstan</v>
      </c>
      <c r="H665" s="43" t="str">
        <f>IFERROR(__xludf.DUMMYFUNCTION("""COMPUTED_VALUE"""),"Astana")</f>
        <v>Astana</v>
      </c>
      <c r="I665" s="43" t="str">
        <f>IFERROR(__xludf.DUMMYFUNCTION("""COMPUTED_VALUE"""),"Turkey")</f>
        <v>Turkey</v>
      </c>
      <c r="J665" s="43" t="str">
        <f>IFERROR(__xludf.DUMMYFUNCTION("""COMPUTED_VALUE"""),"SAKARYA")</f>
        <v>SAKARYA</v>
      </c>
      <c r="K665" s="44" t="str">
        <f>IFERROR(__xludf.DUMMYFUNCTION("""COMPUTED_VALUE"""),"https://expa.aiesec.org/opportunities/1291881")</f>
        <v>https://expa.aiesec.org/opportunities/1291881</v>
      </c>
      <c r="L665" s="43" t="str">
        <f>IFERROR(__xludf.DUMMYFUNCTION("""COMPUTED_VALUE"""),"GV")</f>
        <v>GV</v>
      </c>
      <c r="M665" s="43" t="str">
        <f>IFERROR(__xludf.DUMMYFUNCTION("""COMPUTED_VALUE"""),"short")</f>
        <v>short</v>
      </c>
      <c r="N665" s="45">
        <f>IFERROR(__xludf.DUMMYFUNCTION("""COMPUTED_VALUE"""),45027.0)</f>
        <v>45027</v>
      </c>
      <c r="O665" s="45">
        <f>IFERROR(__xludf.DUMMYFUNCTION("""COMPUTED_VALUE"""),45100.0)</f>
        <v>45100</v>
      </c>
      <c r="P665" s="45">
        <f>IFERROR(__xludf.DUMMYFUNCTION("""COMPUTED_VALUE"""),45142.0)</f>
        <v>45142</v>
      </c>
      <c r="Q665" s="45"/>
      <c r="R665" s="45"/>
      <c r="S665" s="43"/>
      <c r="T665" s="43"/>
      <c r="U665" s="43" t="str">
        <f>IFERROR(__xludf.DUMMYFUNCTION("""COMPUTED_VALUE"""),"Youth 4 Impact")</f>
        <v>Youth 4 Impact</v>
      </c>
      <c r="V665" s="43" t="str">
        <f>IFERROR(__xludf.DUMMYFUNCTION("""COMPUTED_VALUE"""),"Pavlodar")</f>
        <v>Pavlodar</v>
      </c>
      <c r="W665" s="43" t="str">
        <f>IFERROR(__xludf.DUMMYFUNCTION("""COMPUTED_VALUE"""),"2023-03-06T20:46:10Z")</f>
        <v>2023-03-06T20:46:10Z</v>
      </c>
      <c r="X665" s="43"/>
      <c r="Y665" s="43"/>
      <c r="Z665" s="43"/>
    </row>
    <row r="666" hidden="1">
      <c r="A666" s="43" t="str">
        <f>IFERROR(__xludf.DUMMYFUNCTION("""COMPUTED_VALUE"""),"5232272_1291929")</f>
        <v>5232272_1291929</v>
      </c>
      <c r="B666" s="43" t="str">
        <f>IFERROR(__xludf.DUMMYFUNCTION("""COMPUTED_VALUE"""),"João Santos")</f>
        <v>João Santos</v>
      </c>
      <c r="C666" s="43" t="str">
        <f>IFERROR(__xludf.DUMMYFUNCTION("""COMPUTED_VALUE"""),"completed")</f>
        <v>completed</v>
      </c>
      <c r="D666" s="43" t="str">
        <f>IFERROR(__xludf.DUMMYFUNCTION("""COMPUTED_VALUE"""),"No")</f>
        <v>No</v>
      </c>
      <c r="E666" s="43" t="str">
        <f>IFERROR(__xludf.DUMMYFUNCTION("""COMPUTED_VALUE"""),"p_16e713fb5440faf819ed38346d5e8c15da42eb4d@inbound.aiesec.org")</f>
        <v>p_16e713fb5440faf819ed38346d5e8c15da42eb4d@inbound.aiesec.org</v>
      </c>
      <c r="F666" s="43">
        <f>IFERROR(__xludf.DUMMYFUNCTION("""COMPUTED_VALUE"""),9.11846725E8)</f>
        <v>911846725</v>
      </c>
      <c r="G666" s="43" t="str">
        <f>IFERROR(__xludf.DUMMYFUNCTION("""COMPUTED_VALUE"""),"Portugal")</f>
        <v>Portugal</v>
      </c>
      <c r="H666" s="43" t="str">
        <f>IFERROR(__xludf.DUMMYFUNCTION("""COMPUTED_VALUE"""),"UMINHO")</f>
        <v>UMINHO</v>
      </c>
      <c r="I666" s="43" t="str">
        <f>IFERROR(__xludf.DUMMYFUNCTION("""COMPUTED_VALUE"""),"Turkey")</f>
        <v>Turkey</v>
      </c>
      <c r="J666" s="43" t="str">
        <f>IFERROR(__xludf.DUMMYFUNCTION("""COMPUTED_VALUE"""),"TRABZON")</f>
        <v>TRABZON</v>
      </c>
      <c r="K666" s="44" t="str">
        <f>IFERROR(__xludf.DUMMYFUNCTION("""COMPUTED_VALUE"""),"https://expa.aiesec.org/opportunities/1291929")</f>
        <v>https://expa.aiesec.org/opportunities/1291929</v>
      </c>
      <c r="L666" s="43" t="str">
        <f>IFERROR(__xludf.DUMMYFUNCTION("""COMPUTED_VALUE"""),"GV")</f>
        <v>GV</v>
      </c>
      <c r="M666" s="43" t="str">
        <f>IFERROR(__xludf.DUMMYFUNCTION("""COMPUTED_VALUE"""),"short")</f>
        <v>short</v>
      </c>
      <c r="N666" s="45">
        <f>IFERROR(__xludf.DUMMYFUNCTION("""COMPUTED_VALUE"""),45027.0)</f>
        <v>45027</v>
      </c>
      <c r="O666" s="45">
        <f>IFERROR(__xludf.DUMMYFUNCTION("""COMPUTED_VALUE"""),45128.0)</f>
        <v>45128</v>
      </c>
      <c r="P666" s="45">
        <f>IFERROR(__xludf.DUMMYFUNCTION("""COMPUTED_VALUE"""),45170.0)</f>
        <v>45170</v>
      </c>
      <c r="Q666" s="45">
        <f>IFERROR(__xludf.DUMMYFUNCTION("""COMPUTED_VALUE"""),45125.0)</f>
        <v>45125</v>
      </c>
      <c r="R666" s="45">
        <f>IFERROR(__xludf.DUMMYFUNCTION("""COMPUTED_VALUE"""),45170.0)</f>
        <v>45170</v>
      </c>
      <c r="S666" s="43"/>
      <c r="T666" s="43"/>
      <c r="U666" s="43" t="str">
        <f>IFERROR(__xludf.DUMMYFUNCTION("""COMPUTED_VALUE"""),"Global Classroom")</f>
        <v>Global Classroom</v>
      </c>
      <c r="V666" s="43" t="str">
        <f>IFERROR(__xludf.DUMMYFUNCTION("""COMPUTED_VALUE"""),"Instituto Politécnico do Cávado e do Ave")</f>
        <v>Instituto Politécnico do Cávado e do Ave</v>
      </c>
      <c r="W666" s="43" t="str">
        <f>IFERROR(__xludf.DUMMYFUNCTION("""COMPUTED_VALUE"""),"2023-03-31T18:59:02Z")</f>
        <v>2023-03-31T18:59:02Z</v>
      </c>
      <c r="X666" s="43"/>
      <c r="Y666" s="43"/>
      <c r="Z666" s="43"/>
    </row>
    <row r="667" hidden="1">
      <c r="A667" s="43" t="str">
        <f>IFERROR(__xludf.DUMMYFUNCTION("""COMPUTED_VALUE"""),"5233190_1284831")</f>
        <v>5233190_1284831</v>
      </c>
      <c r="B667" s="43" t="str">
        <f>IFERROR(__xludf.DUMMYFUNCTION("""COMPUTED_VALUE"""),"Ravan Alizada")</f>
        <v>Ravan Alizada</v>
      </c>
      <c r="C667" s="43" t="str">
        <f>IFERROR(__xludf.DUMMYFUNCTION("""COMPUTED_VALUE"""),"completed")</f>
        <v>completed</v>
      </c>
      <c r="D667" s="43" t="str">
        <f>IFERROR(__xludf.DUMMYFUNCTION("""COMPUTED_VALUE"""),"No")</f>
        <v>No</v>
      </c>
      <c r="E667" s="43" t="str">
        <f>IFERROR(__xludf.DUMMYFUNCTION("""COMPUTED_VALUE"""),"p_85d08952e3f7e15bab08e3200076a43fccce5ccc@inbound.aiesec.org")</f>
        <v>p_85d08952e3f7e15bab08e3200076a43fccce5ccc@inbound.aiesec.org</v>
      </c>
      <c r="F667" s="43"/>
      <c r="G667" s="43" t="str">
        <f>IFERROR(__xludf.DUMMYFUNCTION("""COMPUTED_VALUE"""),"Azerbaijan")</f>
        <v>Azerbaijan</v>
      </c>
      <c r="H667" s="43" t="str">
        <f>IFERROR(__xludf.DUMMYFUNCTION("""COMPUTED_VALUE"""),"Baku Qafqaz")</f>
        <v>Baku Qafqaz</v>
      </c>
      <c r="I667" s="43" t="str">
        <f>IFERROR(__xludf.DUMMYFUNCTION("""COMPUTED_VALUE"""),"Turkey")</f>
        <v>Turkey</v>
      </c>
      <c r="J667" s="43" t="str">
        <f>IFERROR(__xludf.DUMMYFUNCTION("""COMPUTED_VALUE"""),"TRABZON")</f>
        <v>TRABZON</v>
      </c>
      <c r="K667" s="44" t="str">
        <f>IFERROR(__xludf.DUMMYFUNCTION("""COMPUTED_VALUE"""),"https://expa.aiesec.org/opportunities/1284831")</f>
        <v>https://expa.aiesec.org/opportunities/1284831</v>
      </c>
      <c r="L667" s="43" t="str">
        <f>IFERROR(__xludf.DUMMYFUNCTION("""COMPUTED_VALUE"""),"GV")</f>
        <v>GV</v>
      </c>
      <c r="M667" s="43" t="str">
        <f>IFERROR(__xludf.DUMMYFUNCTION("""COMPUTED_VALUE"""),"short")</f>
        <v>short</v>
      </c>
      <c r="N667" s="45">
        <f>IFERROR(__xludf.DUMMYFUNCTION("""COMPUTED_VALUE"""),45027.0)</f>
        <v>45027</v>
      </c>
      <c r="O667" s="45">
        <f>IFERROR(__xludf.DUMMYFUNCTION("""COMPUTED_VALUE"""),45117.0)</f>
        <v>45117</v>
      </c>
      <c r="P667" s="45">
        <f>IFERROR(__xludf.DUMMYFUNCTION("""COMPUTED_VALUE"""),45159.0)</f>
        <v>45159</v>
      </c>
      <c r="Q667" s="45">
        <f>IFERROR(__xludf.DUMMYFUNCTION("""COMPUTED_VALUE"""),45117.0)</f>
        <v>45117</v>
      </c>
      <c r="R667" s="45">
        <f>IFERROR(__xludf.DUMMYFUNCTION("""COMPUTED_VALUE"""),45159.0)</f>
        <v>45159</v>
      </c>
      <c r="S667" s="43"/>
      <c r="T667" s="43"/>
      <c r="U667" s="43" t="str">
        <f>IFERROR(__xludf.DUMMYFUNCTION("""COMPUTED_VALUE"""),"Global Classroom")</f>
        <v>Global Classroom</v>
      </c>
      <c r="V667" s="43" t="str">
        <f>IFERROR(__xludf.DUMMYFUNCTION("""COMPUTED_VALUE"""),"-")</f>
        <v>-</v>
      </c>
      <c r="W667" s="43" t="str">
        <f>IFERROR(__xludf.DUMMYFUNCTION("""COMPUTED_VALUE"""),"2023-04-02T10:15:33Z")</f>
        <v>2023-04-02T10:15:33Z</v>
      </c>
      <c r="X667" s="43"/>
      <c r="Y667" s="43"/>
      <c r="Z667" s="43"/>
    </row>
    <row r="668" hidden="1">
      <c r="A668" s="43" t="str">
        <f>IFERROR(__xludf.DUMMYFUNCTION("""COMPUTED_VALUE"""),"5230896_1292557")</f>
        <v>5230896_1292557</v>
      </c>
      <c r="B668" s="43" t="str">
        <f>IFERROR(__xludf.DUMMYFUNCTION("""COMPUTED_VALUE"""),"Daniela Vlas")</f>
        <v>Daniela Vlas</v>
      </c>
      <c r="C668" s="43" t="str">
        <f>IFERROR(__xludf.DUMMYFUNCTION("""COMPUTED_VALUE"""),"finished")</f>
        <v>finished</v>
      </c>
      <c r="D668" s="43" t="str">
        <f>IFERROR(__xludf.DUMMYFUNCTION("""COMPUTED_VALUE"""),"No")</f>
        <v>No</v>
      </c>
      <c r="E668" s="43" t="str">
        <f>IFERROR(__xludf.DUMMYFUNCTION("""COMPUTED_VALUE"""),"p_1f8e64e012db76e3da8247dc81a02e7f8ba5e6a7@inbound.aiesec.org")</f>
        <v>p_1f8e64e012db76e3da8247dc81a02e7f8ba5e6a7@inbound.aiesec.org</v>
      </c>
      <c r="F668" s="43">
        <f>IFERROR(__xludf.DUMMYFUNCTION("""COMPUTED_VALUE"""),6.0440556E7)</f>
        <v>60440556</v>
      </c>
      <c r="G668" s="43" t="str">
        <f>IFERROR(__xludf.DUMMYFUNCTION("""COMPUTED_VALUE"""),"Moldova")</f>
        <v>Moldova</v>
      </c>
      <c r="H668" s="43" t="str">
        <f>IFERROR(__xludf.DUMMYFUNCTION("""COMPUTED_VALUE"""),"CHISINAU")</f>
        <v>CHISINAU</v>
      </c>
      <c r="I668" s="43" t="str">
        <f>IFERROR(__xludf.DUMMYFUNCTION("""COMPUTED_VALUE"""),"Turkey")</f>
        <v>Turkey</v>
      </c>
      <c r="J668" s="43" t="str">
        <f>IFERROR(__xludf.DUMMYFUNCTION("""COMPUTED_VALUE"""),"DENIZLI")</f>
        <v>DENIZLI</v>
      </c>
      <c r="K668" s="44" t="str">
        <f>IFERROR(__xludf.DUMMYFUNCTION("""COMPUTED_VALUE"""),"https://expa.aiesec.org/opportunities/1292557")</f>
        <v>https://expa.aiesec.org/opportunities/1292557</v>
      </c>
      <c r="L668" s="43" t="str">
        <f>IFERROR(__xludf.DUMMYFUNCTION("""COMPUTED_VALUE"""),"GV")</f>
        <v>GV</v>
      </c>
      <c r="M668" s="43" t="str">
        <f>IFERROR(__xludf.DUMMYFUNCTION("""COMPUTED_VALUE"""),"short")</f>
        <v>short</v>
      </c>
      <c r="N668" s="45">
        <f>IFERROR(__xludf.DUMMYFUNCTION("""COMPUTED_VALUE"""),45027.0)</f>
        <v>45027</v>
      </c>
      <c r="O668" s="45">
        <f>IFERROR(__xludf.DUMMYFUNCTION("""COMPUTED_VALUE"""),45117.0)</f>
        <v>45117</v>
      </c>
      <c r="P668" s="45">
        <f>IFERROR(__xludf.DUMMYFUNCTION("""COMPUTED_VALUE"""),45159.0)</f>
        <v>45159</v>
      </c>
      <c r="Q668" s="45">
        <f>IFERROR(__xludf.DUMMYFUNCTION("""COMPUTED_VALUE"""),45117.0)</f>
        <v>45117</v>
      </c>
      <c r="R668" s="45">
        <f>IFERROR(__xludf.DUMMYFUNCTION("""COMPUTED_VALUE"""),45159.0)</f>
        <v>45159</v>
      </c>
      <c r="S668" s="43"/>
      <c r="T668" s="43"/>
      <c r="U668" s="43" t="str">
        <f>IFERROR(__xludf.DUMMYFUNCTION("""COMPUTED_VALUE"""),"Equify")</f>
        <v>Equify</v>
      </c>
      <c r="V668" s="43" t="str">
        <f>IFERROR(__xludf.DUMMYFUNCTION("""COMPUTED_VALUE"""),"ASEM - Academia de Studii Economice din Moldova")</f>
        <v>ASEM - Academia de Studii Economice din Moldova</v>
      </c>
      <c r="W668" s="43" t="str">
        <f>IFERROR(__xludf.DUMMYFUNCTION("""COMPUTED_VALUE"""),"2023-03-30T11:18:18Z")</f>
        <v>2023-03-30T11:18:18Z</v>
      </c>
      <c r="X668" s="43"/>
      <c r="Y668" s="43"/>
      <c r="Z668" s="43"/>
    </row>
    <row r="669" hidden="1">
      <c r="A669" s="43" t="str">
        <f>IFERROR(__xludf.DUMMYFUNCTION("""COMPUTED_VALUE"""),"5240794_1272564")</f>
        <v>5240794_1272564</v>
      </c>
      <c r="B669" s="43" t="str">
        <f>IFERROR(__xludf.DUMMYFUNCTION("""COMPUTED_VALUE"""),"Imane Bakkar")</f>
        <v>Imane Bakkar</v>
      </c>
      <c r="C669" s="43" t="str">
        <f>IFERROR(__xludf.DUMMYFUNCTION("""COMPUTED_VALUE"""),"approved")</f>
        <v>approved</v>
      </c>
      <c r="D669" s="43" t="str">
        <f>IFERROR(__xludf.DUMMYFUNCTION("""COMPUTED_VALUE"""),"No")</f>
        <v>No</v>
      </c>
      <c r="E669" s="43" t="str">
        <f>IFERROR(__xludf.DUMMYFUNCTION("""COMPUTED_VALUE"""),"p_a6b5f2520d8bf5a0267f603fc7008c86806b023c@inbound.aiesec.org")</f>
        <v>p_a6b5f2520d8bf5a0267f603fc7008c86806b023c@inbound.aiesec.org</v>
      </c>
      <c r="F669" s="43">
        <f>IFERROR(__xludf.DUMMYFUNCTION("""COMPUTED_VALUE"""),7.08990518E8)</f>
        <v>708990518</v>
      </c>
      <c r="G669" s="43" t="str">
        <f>IFERROR(__xludf.DUMMYFUNCTION("""COMPUTED_VALUE"""),"Morocco")</f>
        <v>Morocco</v>
      </c>
      <c r="H669" s="43" t="str">
        <f>IFERROR(__xludf.DUMMYFUNCTION("""COMPUTED_VALUE"""),"Casablanca")</f>
        <v>Casablanca</v>
      </c>
      <c r="I669" s="43" t="str">
        <f>IFERROR(__xludf.DUMMYFUNCTION("""COMPUTED_VALUE"""),"Turkey")</f>
        <v>Turkey</v>
      </c>
      <c r="J669" s="43" t="str">
        <f>IFERROR(__xludf.DUMMYFUNCTION("""COMPUTED_VALUE"""),"ISTANBUL")</f>
        <v>ISTANBUL</v>
      </c>
      <c r="K669" s="44" t="str">
        <f>IFERROR(__xludf.DUMMYFUNCTION("""COMPUTED_VALUE"""),"https://expa.aiesec.org/opportunities/1272564")</f>
        <v>https://expa.aiesec.org/opportunities/1272564</v>
      </c>
      <c r="L669" s="43" t="str">
        <f>IFERROR(__xludf.DUMMYFUNCTION("""COMPUTED_VALUE"""),"GV")</f>
        <v>GV</v>
      </c>
      <c r="M669" s="43" t="str">
        <f>IFERROR(__xludf.DUMMYFUNCTION("""COMPUTED_VALUE"""),"short")</f>
        <v>short</v>
      </c>
      <c r="N669" s="45">
        <f>IFERROR(__xludf.DUMMYFUNCTION("""COMPUTED_VALUE"""),45028.0)</f>
        <v>45028</v>
      </c>
      <c r="O669" s="45">
        <f>IFERROR(__xludf.DUMMYFUNCTION("""COMPUTED_VALUE"""),45173.0)</f>
        <v>45173</v>
      </c>
      <c r="P669" s="45">
        <f>IFERROR(__xludf.DUMMYFUNCTION("""COMPUTED_VALUE"""),45215.0)</f>
        <v>45215</v>
      </c>
      <c r="Q669" s="45"/>
      <c r="R669" s="45"/>
      <c r="S669" s="43"/>
      <c r="T669" s="43"/>
      <c r="U669" s="43" t="str">
        <f>IFERROR(__xludf.DUMMYFUNCTION("""COMPUTED_VALUE"""),"Global Classroom")</f>
        <v>Global Classroom</v>
      </c>
      <c r="V669" s="43" t="str">
        <f>IFERROR(__xludf.DUMMYFUNCTION("""COMPUTED_VALUE"""),"EIGSI Casablanca")</f>
        <v>EIGSI Casablanca</v>
      </c>
      <c r="W669" s="43" t="str">
        <f>IFERROR(__xludf.DUMMYFUNCTION("""COMPUTED_VALUE"""),"2023-04-12T23:01:18Z")</f>
        <v>2023-04-12T23:01:18Z</v>
      </c>
      <c r="X669" s="43"/>
      <c r="Y669" s="43"/>
      <c r="Z669" s="43"/>
    </row>
    <row r="670" hidden="1">
      <c r="A670" s="43" t="str">
        <f>IFERROR(__xludf.DUMMYFUNCTION("""COMPUTED_VALUE"""),"5239615_1292793")</f>
        <v>5239615_1292793</v>
      </c>
      <c r="B670" s="43" t="str">
        <f>IFERROR(__xludf.DUMMYFUNCTION("""COMPUTED_VALUE"""),"Selin Celik")</f>
        <v>Selin Celik</v>
      </c>
      <c r="C670" s="43" t="str">
        <f>IFERROR(__xludf.DUMMYFUNCTION("""COMPUTED_VALUE"""),"finished")</f>
        <v>finished</v>
      </c>
      <c r="D670" s="43" t="str">
        <f>IFERROR(__xludf.DUMMYFUNCTION("""COMPUTED_VALUE"""),"No")</f>
        <v>No</v>
      </c>
      <c r="E670" s="43" t="str">
        <f>IFERROR(__xludf.DUMMYFUNCTION("""COMPUTED_VALUE"""),"p_f202872d49d028c95544c78bf00251063d38c2cc@inbound.aiesec.org")</f>
        <v>p_f202872d49d028c95544c78bf00251063d38c2cc@inbound.aiesec.org</v>
      </c>
      <c r="F670" s="43"/>
      <c r="G670" s="43" t="str">
        <f>IFERROR(__xludf.DUMMYFUNCTION("""COMPUTED_VALUE"""),"Canada")</f>
        <v>Canada</v>
      </c>
      <c r="H670" s="43" t="str">
        <f>IFERROR(__xludf.DUMMYFUNCTION("""COMPUTED_VALUE"""),"OSHAWA")</f>
        <v>OSHAWA</v>
      </c>
      <c r="I670" s="43" t="str">
        <f>IFERROR(__xludf.DUMMYFUNCTION("""COMPUTED_VALUE"""),"Turkey")</f>
        <v>Turkey</v>
      </c>
      <c r="J670" s="43" t="str">
        <f>IFERROR(__xludf.DUMMYFUNCTION("""COMPUTED_VALUE"""),"ANTALYA")</f>
        <v>ANTALYA</v>
      </c>
      <c r="K670" s="44" t="str">
        <f>IFERROR(__xludf.DUMMYFUNCTION("""COMPUTED_VALUE"""),"https://expa.aiesec.org/opportunities/1292793")</f>
        <v>https://expa.aiesec.org/opportunities/1292793</v>
      </c>
      <c r="L670" s="43" t="str">
        <f>IFERROR(__xludf.DUMMYFUNCTION("""COMPUTED_VALUE"""),"GV")</f>
        <v>GV</v>
      </c>
      <c r="M670" s="43" t="str">
        <f>IFERROR(__xludf.DUMMYFUNCTION("""COMPUTED_VALUE"""),"short")</f>
        <v>short</v>
      </c>
      <c r="N670" s="45">
        <f>IFERROR(__xludf.DUMMYFUNCTION("""COMPUTED_VALUE"""),45028.0)</f>
        <v>45028</v>
      </c>
      <c r="O670" s="45">
        <f>IFERROR(__xludf.DUMMYFUNCTION("""COMPUTED_VALUE"""),45054.0)</f>
        <v>45054</v>
      </c>
      <c r="P670" s="45">
        <f>IFERROR(__xludf.DUMMYFUNCTION("""COMPUTED_VALUE"""),45096.0)</f>
        <v>45096</v>
      </c>
      <c r="Q670" s="45">
        <f>IFERROR(__xludf.DUMMYFUNCTION("""COMPUTED_VALUE"""),45061.0)</f>
        <v>45061</v>
      </c>
      <c r="R670" s="45">
        <f>IFERROR(__xludf.DUMMYFUNCTION("""COMPUTED_VALUE"""),45101.0)</f>
        <v>45101</v>
      </c>
      <c r="S670" s="43"/>
      <c r="T670" s="43"/>
      <c r="U670" s="43" t="str">
        <f>IFERROR(__xludf.DUMMYFUNCTION("""COMPUTED_VALUE"""),"Global Classroom")</f>
        <v>Global Classroom</v>
      </c>
      <c r="V670" s="43" t="str">
        <f>IFERROR(__xludf.DUMMYFUNCTION("""COMPUTED_VALUE"""),"Ontario Tech University")</f>
        <v>Ontario Tech University</v>
      </c>
      <c r="W670" s="43" t="str">
        <f>IFERROR(__xludf.DUMMYFUNCTION("""COMPUTED_VALUE"""),"2023-04-11T14:49:54Z")</f>
        <v>2023-04-11T14:49:54Z</v>
      </c>
      <c r="X670" s="43"/>
      <c r="Y670" s="43"/>
      <c r="Z670" s="43"/>
    </row>
    <row r="671" hidden="1">
      <c r="A671" s="43" t="str">
        <f>IFERROR(__xludf.DUMMYFUNCTION("""COMPUTED_VALUE"""),"5119725_1294066")</f>
        <v>5119725_1294066</v>
      </c>
      <c r="B671" s="43" t="str">
        <f>IFERROR(__xludf.DUMMYFUNCTION("""COMPUTED_VALUE"""),"Kenza BEKKALI")</f>
        <v>Kenza BEKKALI</v>
      </c>
      <c r="C671" s="43" t="str">
        <f>IFERROR(__xludf.DUMMYFUNCTION("""COMPUTED_VALUE"""),"approved")</f>
        <v>approved</v>
      </c>
      <c r="D671" s="43" t="str">
        <f>IFERROR(__xludf.DUMMYFUNCTION("""COMPUTED_VALUE"""),"No")</f>
        <v>No</v>
      </c>
      <c r="E671" s="43" t="str">
        <f>IFERROR(__xludf.DUMMYFUNCTION("""COMPUTED_VALUE"""),"p_c116fb7b30e84f07e429bd0034ba6f12aa505692@inbound.aiesec.org")</f>
        <v>p_c116fb7b30e84f07e429bd0034ba6f12aa505692@inbound.aiesec.org</v>
      </c>
      <c r="F671" s="43">
        <f>IFERROR(__xludf.DUMMYFUNCTION("""COMPUTED_VALUE"""),6.62770396E8)</f>
        <v>662770396</v>
      </c>
      <c r="G671" s="43" t="str">
        <f>IFERROR(__xludf.DUMMYFUNCTION("""COMPUTED_VALUE"""),"Morocco")</f>
        <v>Morocco</v>
      </c>
      <c r="H671" s="43" t="str">
        <f>IFERROR(__xludf.DUMMYFUNCTION("""COMPUTED_VALUE"""),"Casablanca")</f>
        <v>Casablanca</v>
      </c>
      <c r="I671" s="43" t="str">
        <f>IFERROR(__xludf.DUMMYFUNCTION("""COMPUTED_VALUE"""),"Turkey")</f>
        <v>Turkey</v>
      </c>
      <c r="J671" s="43" t="str">
        <f>IFERROR(__xludf.DUMMYFUNCTION("""COMPUTED_VALUE"""),"ISTANBUL WEST")</f>
        <v>ISTANBUL WEST</v>
      </c>
      <c r="K671" s="44" t="str">
        <f>IFERROR(__xludf.DUMMYFUNCTION("""COMPUTED_VALUE"""),"https://expa.aiesec.org/opportunities/1294066")</f>
        <v>https://expa.aiesec.org/opportunities/1294066</v>
      </c>
      <c r="L671" s="43" t="str">
        <f>IFERROR(__xludf.DUMMYFUNCTION("""COMPUTED_VALUE"""),"GV")</f>
        <v>GV</v>
      </c>
      <c r="M671" s="43" t="str">
        <f>IFERROR(__xludf.DUMMYFUNCTION("""COMPUTED_VALUE"""),"short")</f>
        <v>short</v>
      </c>
      <c r="N671" s="45">
        <f>IFERROR(__xludf.DUMMYFUNCTION("""COMPUTED_VALUE"""),45028.0)</f>
        <v>45028</v>
      </c>
      <c r="O671" s="45">
        <f>IFERROR(__xludf.DUMMYFUNCTION("""COMPUTED_VALUE"""),45131.0)</f>
        <v>45131</v>
      </c>
      <c r="P671" s="45">
        <f>IFERROR(__xludf.DUMMYFUNCTION("""COMPUTED_VALUE"""),45173.0)</f>
        <v>45173</v>
      </c>
      <c r="Q671" s="45"/>
      <c r="R671" s="45"/>
      <c r="S671" s="43"/>
      <c r="T671" s="43"/>
      <c r="U671" s="43" t="str">
        <f>IFERROR(__xludf.DUMMYFUNCTION("""COMPUTED_VALUE"""),"Fingerprint")</f>
        <v>Fingerprint</v>
      </c>
      <c r="V671" s="43" t="str">
        <f>IFERROR(__xludf.DUMMYFUNCTION("""COMPUTED_VALUE"""),"ISCAE Casablanca")</f>
        <v>ISCAE Casablanca</v>
      </c>
      <c r="W671" s="43" t="str">
        <f>IFERROR(__xludf.DUMMYFUNCTION("""COMPUTED_VALUE"""),"2022-09-26T13:03:38Z")</f>
        <v>2022-09-26T13:03:38Z</v>
      </c>
      <c r="X671" s="43"/>
      <c r="Y671" s="43"/>
      <c r="Z671" s="43"/>
    </row>
    <row r="672" hidden="1">
      <c r="A672" s="43" t="str">
        <f>IFERROR(__xludf.DUMMYFUNCTION("""COMPUTED_VALUE"""),"5198199_1272564")</f>
        <v>5198199_1272564</v>
      </c>
      <c r="B672" s="43" t="str">
        <f>IFERROR(__xludf.DUMMYFUNCTION("""COMPUTED_VALUE"""),"Aleksandra Stankovic")</f>
        <v>Aleksandra Stankovic</v>
      </c>
      <c r="C672" s="43" t="str">
        <f>IFERROR(__xludf.DUMMYFUNCTION("""COMPUTED_VALUE"""),"approved")</f>
        <v>approved</v>
      </c>
      <c r="D672" s="43" t="str">
        <f>IFERROR(__xludf.DUMMYFUNCTION("""COMPUTED_VALUE"""),"No")</f>
        <v>No</v>
      </c>
      <c r="E672" s="43" t="str">
        <f>IFERROR(__xludf.DUMMYFUNCTION("""COMPUTED_VALUE"""),"p_c0fdf1354eedf1ebcfe685f6ca486e733933860d@inbound.aiesec.org")</f>
        <v>p_c0fdf1354eedf1ebcfe685f6ca486e733933860d@inbound.aiesec.org</v>
      </c>
      <c r="F672" s="43">
        <f>IFERROR(__xludf.DUMMYFUNCTION("""COMPUTED_VALUE"""),6.37607468E8)</f>
        <v>637607468</v>
      </c>
      <c r="G672" s="43" t="str">
        <f>IFERROR(__xludf.DUMMYFUNCTION("""COMPUTED_VALUE"""),"Serbia")</f>
        <v>Serbia</v>
      </c>
      <c r="H672" s="43" t="str">
        <f>IFERROR(__xludf.DUMMYFUNCTION("""COMPUTED_VALUE"""),"BELGRADE FON")</f>
        <v>BELGRADE FON</v>
      </c>
      <c r="I672" s="43" t="str">
        <f>IFERROR(__xludf.DUMMYFUNCTION("""COMPUTED_VALUE"""),"Turkey")</f>
        <v>Turkey</v>
      </c>
      <c r="J672" s="43" t="str">
        <f>IFERROR(__xludf.DUMMYFUNCTION("""COMPUTED_VALUE"""),"ISTANBUL")</f>
        <v>ISTANBUL</v>
      </c>
      <c r="K672" s="44" t="str">
        <f>IFERROR(__xludf.DUMMYFUNCTION("""COMPUTED_VALUE"""),"https://expa.aiesec.org/opportunities/1272564")</f>
        <v>https://expa.aiesec.org/opportunities/1272564</v>
      </c>
      <c r="L672" s="43" t="str">
        <f>IFERROR(__xludf.DUMMYFUNCTION("""COMPUTED_VALUE"""),"GV")</f>
        <v>GV</v>
      </c>
      <c r="M672" s="43" t="str">
        <f>IFERROR(__xludf.DUMMYFUNCTION("""COMPUTED_VALUE"""),"short")</f>
        <v>short</v>
      </c>
      <c r="N672" s="45">
        <f>IFERROR(__xludf.DUMMYFUNCTION("""COMPUTED_VALUE"""),45028.0)</f>
        <v>45028</v>
      </c>
      <c r="O672" s="45">
        <f>IFERROR(__xludf.DUMMYFUNCTION("""COMPUTED_VALUE"""),45162.0)</f>
        <v>45162</v>
      </c>
      <c r="P672" s="45">
        <f>IFERROR(__xludf.DUMMYFUNCTION("""COMPUTED_VALUE"""),45204.0)</f>
        <v>45204</v>
      </c>
      <c r="Q672" s="45"/>
      <c r="R672" s="45"/>
      <c r="S672" s="43"/>
      <c r="T672" s="43"/>
      <c r="U672" s="43" t="str">
        <f>IFERROR(__xludf.DUMMYFUNCTION("""COMPUTED_VALUE"""),"Global Classroom")</f>
        <v>Global Classroom</v>
      </c>
      <c r="V672" s="43" t="str">
        <f>IFERROR(__xludf.DUMMYFUNCTION("""COMPUTED_VALUE"""),"Faculty of Political Sciences, Belgrade")</f>
        <v>Faculty of Political Sciences, Belgrade</v>
      </c>
      <c r="W672" s="43" t="str">
        <f>IFERROR(__xludf.DUMMYFUNCTION("""COMPUTED_VALUE"""),"2023-02-24T09:38:08Z")</f>
        <v>2023-02-24T09:38:08Z</v>
      </c>
      <c r="X672" s="43"/>
      <c r="Y672" s="43"/>
      <c r="Z672" s="43"/>
    </row>
    <row r="673" hidden="1">
      <c r="A673" s="43" t="str">
        <f>IFERROR(__xludf.DUMMYFUNCTION("""COMPUTED_VALUE"""),"5236418_1281357")</f>
        <v>5236418_1281357</v>
      </c>
      <c r="B673" s="43" t="str">
        <f>IFERROR(__xludf.DUMMYFUNCTION("""COMPUTED_VALUE"""),"Zubanova Anna")</f>
        <v>Zubanova Anna</v>
      </c>
      <c r="C673" s="43" t="str">
        <f>IFERROR(__xludf.DUMMYFUNCTION("""COMPUTED_VALUE"""),"completed")</f>
        <v>completed</v>
      </c>
      <c r="D673" s="43" t="str">
        <f>IFERROR(__xludf.DUMMYFUNCTION("""COMPUTED_VALUE"""),"No")</f>
        <v>No</v>
      </c>
      <c r="E673" s="43" t="str">
        <f>IFERROR(__xludf.DUMMYFUNCTION("""COMPUTED_VALUE"""),"p_2d902c5f8eb0c9927c040a36ef5f13cbb352dc6b@inbound.aiesec.org")</f>
        <v>p_2d902c5f8eb0c9927c040a36ef5f13cbb352dc6b@inbound.aiesec.org</v>
      </c>
      <c r="F673" s="43"/>
      <c r="G673" s="43" t="str">
        <f>IFERROR(__xludf.DUMMYFUNCTION("""COMPUTED_VALUE"""),"Ukraine")</f>
        <v>Ukraine</v>
      </c>
      <c r="H673" s="43" t="str">
        <f>IFERROR(__xludf.DUMMYFUNCTION("""COMPUTED_VALUE"""),"DNIPRO")</f>
        <v>DNIPRO</v>
      </c>
      <c r="I673" s="43" t="str">
        <f>IFERROR(__xludf.DUMMYFUNCTION("""COMPUTED_VALUE"""),"Turkey")</f>
        <v>Turkey</v>
      </c>
      <c r="J673" s="43" t="str">
        <f>IFERROR(__xludf.DUMMYFUNCTION("""COMPUTED_VALUE"""),"GAZIANTEP")</f>
        <v>GAZIANTEP</v>
      </c>
      <c r="K673" s="44" t="str">
        <f>IFERROR(__xludf.DUMMYFUNCTION("""COMPUTED_VALUE"""),"https://expa.aiesec.org/opportunities/1281357")</f>
        <v>https://expa.aiesec.org/opportunities/1281357</v>
      </c>
      <c r="L673" s="43" t="str">
        <f>IFERROR(__xludf.DUMMYFUNCTION("""COMPUTED_VALUE"""),"GV")</f>
        <v>GV</v>
      </c>
      <c r="M673" s="43" t="str">
        <f>IFERROR(__xludf.DUMMYFUNCTION("""COMPUTED_VALUE"""),"short")</f>
        <v>short</v>
      </c>
      <c r="N673" s="45">
        <f>IFERROR(__xludf.DUMMYFUNCTION("""COMPUTED_VALUE"""),45028.0)</f>
        <v>45028</v>
      </c>
      <c r="O673" s="45">
        <f>IFERROR(__xludf.DUMMYFUNCTION("""COMPUTED_VALUE"""),45097.0)</f>
        <v>45097</v>
      </c>
      <c r="P673" s="45">
        <f>IFERROR(__xludf.DUMMYFUNCTION("""COMPUTED_VALUE"""),45139.0)</f>
        <v>45139</v>
      </c>
      <c r="Q673" s="45">
        <f>IFERROR(__xludf.DUMMYFUNCTION("""COMPUTED_VALUE"""),45097.0)</f>
        <v>45097</v>
      </c>
      <c r="R673" s="45">
        <f>IFERROR(__xludf.DUMMYFUNCTION("""COMPUTED_VALUE"""),45139.0)</f>
        <v>45139</v>
      </c>
      <c r="S673" s="43"/>
      <c r="T673" s="43"/>
      <c r="U673" s="43" t="str">
        <f>IFERROR(__xludf.DUMMYFUNCTION("""COMPUTED_VALUE"""),"Global Classroom")</f>
        <v>Global Classroom</v>
      </c>
      <c r="V673" s="43" t="str">
        <f>IFERROR(__xludf.DUMMYFUNCTION("""COMPUTED_VALUE"""),"-")</f>
        <v>-</v>
      </c>
      <c r="W673" s="43" t="str">
        <f>IFERROR(__xludf.DUMMYFUNCTION("""COMPUTED_VALUE"""),"2023-04-06T14:52:06Z")</f>
        <v>2023-04-06T14:52:06Z</v>
      </c>
      <c r="X673" s="43"/>
      <c r="Y673" s="43"/>
      <c r="Z673" s="43"/>
    </row>
    <row r="674" hidden="1">
      <c r="A674" s="43" t="str">
        <f>IFERROR(__xludf.DUMMYFUNCTION("""COMPUTED_VALUE"""),"5227616_1292557")</f>
        <v>5227616_1292557</v>
      </c>
      <c r="B674" s="43" t="str">
        <f>IFERROR(__xludf.DUMMYFUNCTION("""COMPUTED_VALUE"""),"Gheorghe Ghidu")</f>
        <v>Gheorghe Ghidu</v>
      </c>
      <c r="C674" s="43" t="str">
        <f>IFERROR(__xludf.DUMMYFUNCTION("""COMPUTED_VALUE"""),"completed")</f>
        <v>completed</v>
      </c>
      <c r="D674" s="43" t="str">
        <f>IFERROR(__xludf.DUMMYFUNCTION("""COMPUTED_VALUE"""),"No")</f>
        <v>No</v>
      </c>
      <c r="E674" s="43" t="str">
        <f>IFERROR(__xludf.DUMMYFUNCTION("""COMPUTED_VALUE"""),"p_66048bf9be36e5f86566a4191235997dc88f61b1@inbound.aiesec.org")</f>
        <v>p_66048bf9be36e5f86566a4191235997dc88f61b1@inbound.aiesec.org</v>
      </c>
      <c r="F674" s="43">
        <f>IFERROR(__xludf.DUMMYFUNCTION("""COMPUTED_VALUE"""),6.8091183E7)</f>
        <v>68091183</v>
      </c>
      <c r="G674" s="43" t="str">
        <f>IFERROR(__xludf.DUMMYFUNCTION("""COMPUTED_VALUE"""),"Moldova")</f>
        <v>Moldova</v>
      </c>
      <c r="H674" s="43" t="str">
        <f>IFERROR(__xludf.DUMMYFUNCTION("""COMPUTED_VALUE"""),"CHISINAU")</f>
        <v>CHISINAU</v>
      </c>
      <c r="I674" s="43" t="str">
        <f>IFERROR(__xludf.DUMMYFUNCTION("""COMPUTED_VALUE"""),"Turkey")</f>
        <v>Turkey</v>
      </c>
      <c r="J674" s="43" t="str">
        <f>IFERROR(__xludf.DUMMYFUNCTION("""COMPUTED_VALUE"""),"DENIZLI")</f>
        <v>DENIZLI</v>
      </c>
      <c r="K674" s="44" t="str">
        <f>IFERROR(__xludf.DUMMYFUNCTION("""COMPUTED_VALUE"""),"https://expa.aiesec.org/opportunities/1292557")</f>
        <v>https://expa.aiesec.org/opportunities/1292557</v>
      </c>
      <c r="L674" s="43" t="str">
        <f>IFERROR(__xludf.DUMMYFUNCTION("""COMPUTED_VALUE"""),"GV")</f>
        <v>GV</v>
      </c>
      <c r="M674" s="43" t="str">
        <f>IFERROR(__xludf.DUMMYFUNCTION("""COMPUTED_VALUE"""),"short")</f>
        <v>short</v>
      </c>
      <c r="N674" s="45">
        <f>IFERROR(__xludf.DUMMYFUNCTION("""COMPUTED_VALUE"""),45028.0)</f>
        <v>45028</v>
      </c>
      <c r="O674" s="45">
        <f>IFERROR(__xludf.DUMMYFUNCTION("""COMPUTED_VALUE"""),45117.0)</f>
        <v>45117</v>
      </c>
      <c r="P674" s="45">
        <f>IFERROR(__xludf.DUMMYFUNCTION("""COMPUTED_VALUE"""),45159.0)</f>
        <v>45159</v>
      </c>
      <c r="Q674" s="45">
        <f>IFERROR(__xludf.DUMMYFUNCTION("""COMPUTED_VALUE"""),45117.0)</f>
        <v>45117</v>
      </c>
      <c r="R674" s="45">
        <f>IFERROR(__xludf.DUMMYFUNCTION("""COMPUTED_VALUE"""),45159.0)</f>
        <v>45159</v>
      </c>
      <c r="S674" s="43"/>
      <c r="T674" s="43"/>
      <c r="U674" s="43" t="str">
        <f>IFERROR(__xludf.DUMMYFUNCTION("""COMPUTED_VALUE"""),"Equify")</f>
        <v>Equify</v>
      </c>
      <c r="V674" s="43" t="str">
        <f>IFERROR(__xludf.DUMMYFUNCTION("""COMPUTED_VALUE"""),"ASEM - Academia de Studii Economice din Moldova")</f>
        <v>ASEM - Academia de Studii Economice din Moldova</v>
      </c>
      <c r="W674" s="43" t="str">
        <f>IFERROR(__xludf.DUMMYFUNCTION("""COMPUTED_VALUE"""),"2023-03-26T20:03:47Z")</f>
        <v>2023-03-26T20:03:47Z</v>
      </c>
      <c r="X674" s="43"/>
      <c r="Y674" s="43"/>
      <c r="Z674" s="43"/>
    </row>
    <row r="675">
      <c r="A675" s="43" t="str">
        <f>IFERROR(__xludf.DUMMYFUNCTION("""COMPUTED_VALUE"""),"5225869_1292793")</f>
        <v>5225869_1292793</v>
      </c>
      <c r="B675" s="43" t="str">
        <f>IFERROR(__xludf.DUMMYFUNCTION("""COMPUTED_VALUE"""),"Khanak Tyagi")</f>
        <v>Khanak Tyagi</v>
      </c>
      <c r="C675" s="43" t="str">
        <f>IFERROR(__xludf.DUMMYFUNCTION("""COMPUTED_VALUE"""),"approved")</f>
        <v>approved</v>
      </c>
      <c r="D675" s="43" t="str">
        <f>IFERROR(__xludf.DUMMYFUNCTION("""COMPUTED_VALUE"""),"No")</f>
        <v>No</v>
      </c>
      <c r="E675" s="43" t="str">
        <f>IFERROR(__xludf.DUMMYFUNCTION("""COMPUTED_VALUE"""),"p_f6c09f0254d2b4613d637b34e69d269aa9014866@inbound.aiesec.org")</f>
        <v>p_f6c09f0254d2b4613d637b34e69d269aa9014866@inbound.aiesec.org</v>
      </c>
      <c r="F675" s="43">
        <f>IFERROR(__xludf.DUMMYFUNCTION("""COMPUTED_VALUE"""),9.892763443E9)</f>
        <v>9892763443</v>
      </c>
      <c r="G675" s="43" t="str">
        <f>IFERROR(__xludf.DUMMYFUNCTION("""COMPUTED_VALUE"""),"India")</f>
        <v>India</v>
      </c>
      <c r="H675" s="43" t="str">
        <f>IFERROR(__xludf.DUMMYFUNCTION("""COMPUTED_VALUE"""),"Noida")</f>
        <v>Noida</v>
      </c>
      <c r="I675" s="43" t="str">
        <f>IFERROR(__xludf.DUMMYFUNCTION("""COMPUTED_VALUE"""),"Turkey")</f>
        <v>Turkey</v>
      </c>
      <c r="J675" s="43" t="str">
        <f>IFERROR(__xludf.DUMMYFUNCTION("""COMPUTED_VALUE"""),"ANTALYA")</f>
        <v>ANTALYA</v>
      </c>
      <c r="K675" s="44" t="str">
        <f>IFERROR(__xludf.DUMMYFUNCTION("""COMPUTED_VALUE"""),"https://expa.aiesec.org/opportunities/1292793")</f>
        <v>https://expa.aiesec.org/opportunities/1292793</v>
      </c>
      <c r="L675" s="43" t="str">
        <f>IFERROR(__xludf.DUMMYFUNCTION("""COMPUTED_VALUE"""),"GV")</f>
        <v>GV</v>
      </c>
      <c r="M675" s="43" t="str">
        <f>IFERROR(__xludf.DUMMYFUNCTION("""COMPUTED_VALUE"""),"short")</f>
        <v>short</v>
      </c>
      <c r="N675" s="45">
        <f>IFERROR(__xludf.DUMMYFUNCTION("""COMPUTED_VALUE"""),45028.0)</f>
        <v>45028</v>
      </c>
      <c r="O675" s="45">
        <f>IFERROR(__xludf.DUMMYFUNCTION("""COMPUTED_VALUE"""),45054.0)</f>
        <v>45054</v>
      </c>
      <c r="P675" s="45">
        <f>IFERROR(__xludf.DUMMYFUNCTION("""COMPUTED_VALUE"""),45096.0)</f>
        <v>45096</v>
      </c>
      <c r="Q675" s="45"/>
      <c r="R675" s="45"/>
      <c r="S675" s="43"/>
      <c r="T675" s="43"/>
      <c r="U675" s="43" t="str">
        <f>IFERROR(__xludf.DUMMYFUNCTION("""COMPUTED_VALUE"""),"Global Classroom")</f>
        <v>Global Classroom</v>
      </c>
      <c r="V675" s="43" t="str">
        <f>IFERROR(__xludf.DUMMYFUNCTION("""COMPUTED_VALUE"""),"Galgotias University, Noida")</f>
        <v>Galgotias University, Noida</v>
      </c>
      <c r="W675" s="43" t="str">
        <f>IFERROR(__xludf.DUMMYFUNCTION("""COMPUTED_VALUE"""),"2023-03-24T13:50:54Z")</f>
        <v>2023-03-24T13:50:54Z</v>
      </c>
      <c r="X675" s="43"/>
      <c r="Y675" s="43"/>
      <c r="Z675" s="43"/>
    </row>
    <row r="676" hidden="1">
      <c r="A676" s="43" t="str">
        <f>IFERROR(__xludf.DUMMYFUNCTION("""COMPUTED_VALUE"""),"5226056_1292557")</f>
        <v>5226056_1292557</v>
      </c>
      <c r="B676" s="43" t="str">
        <f>IFERROR(__xludf.DUMMYFUNCTION("""COMPUTED_VALUE"""),"Cornelia Romanus")</f>
        <v>Cornelia Romanus</v>
      </c>
      <c r="C676" s="43" t="str">
        <f>IFERROR(__xludf.DUMMYFUNCTION("""COMPUTED_VALUE"""),"approved")</f>
        <v>approved</v>
      </c>
      <c r="D676" s="43" t="str">
        <f>IFERROR(__xludf.DUMMYFUNCTION("""COMPUTED_VALUE"""),"No")</f>
        <v>No</v>
      </c>
      <c r="E676" s="43" t="str">
        <f>IFERROR(__xludf.DUMMYFUNCTION("""COMPUTED_VALUE"""),"p_56b563af5905fa1856d2ba08d0894e02b4de381e@inbound.aiesec.org")</f>
        <v>p_56b563af5905fa1856d2ba08d0894e02b4de381e@inbound.aiesec.org</v>
      </c>
      <c r="F676" s="43"/>
      <c r="G676" s="43" t="str">
        <f>IFERROR(__xludf.DUMMYFUNCTION("""COMPUTED_VALUE"""),"Canada")</f>
        <v>Canada</v>
      </c>
      <c r="H676" s="43" t="str">
        <f>IFERROR(__xludf.DUMMYFUNCTION("""COMPUTED_VALUE"""),"MCGILL")</f>
        <v>MCGILL</v>
      </c>
      <c r="I676" s="43" t="str">
        <f>IFERROR(__xludf.DUMMYFUNCTION("""COMPUTED_VALUE"""),"Turkey")</f>
        <v>Turkey</v>
      </c>
      <c r="J676" s="43" t="str">
        <f>IFERROR(__xludf.DUMMYFUNCTION("""COMPUTED_VALUE"""),"DENIZLI")</f>
        <v>DENIZLI</v>
      </c>
      <c r="K676" s="44" t="str">
        <f>IFERROR(__xludf.DUMMYFUNCTION("""COMPUTED_VALUE"""),"https://expa.aiesec.org/opportunities/1292557")</f>
        <v>https://expa.aiesec.org/opportunities/1292557</v>
      </c>
      <c r="L676" s="43" t="str">
        <f>IFERROR(__xludf.DUMMYFUNCTION("""COMPUTED_VALUE"""),"GV")</f>
        <v>GV</v>
      </c>
      <c r="M676" s="43" t="str">
        <f>IFERROR(__xludf.DUMMYFUNCTION("""COMPUTED_VALUE"""),"short")</f>
        <v>short</v>
      </c>
      <c r="N676" s="45">
        <f>IFERROR(__xludf.DUMMYFUNCTION("""COMPUTED_VALUE"""),45028.0)</f>
        <v>45028</v>
      </c>
      <c r="O676" s="45">
        <f>IFERROR(__xludf.DUMMYFUNCTION("""COMPUTED_VALUE"""),45117.0)</f>
        <v>45117</v>
      </c>
      <c r="P676" s="45">
        <f>IFERROR(__xludf.DUMMYFUNCTION("""COMPUTED_VALUE"""),45159.0)</f>
        <v>45159</v>
      </c>
      <c r="Q676" s="45"/>
      <c r="R676" s="45"/>
      <c r="S676" s="43"/>
      <c r="T676" s="43"/>
      <c r="U676" s="43" t="str">
        <f>IFERROR(__xludf.DUMMYFUNCTION("""COMPUTED_VALUE"""),"Equify")</f>
        <v>Equify</v>
      </c>
      <c r="V676" s="43" t="str">
        <f>IFERROR(__xludf.DUMMYFUNCTION("""COMPUTED_VALUE"""),"-")</f>
        <v>-</v>
      </c>
      <c r="W676" s="43" t="str">
        <f>IFERROR(__xludf.DUMMYFUNCTION("""COMPUTED_VALUE"""),"2023-03-24T16:48:21Z")</f>
        <v>2023-03-24T16:48:21Z</v>
      </c>
      <c r="X676" s="43"/>
      <c r="Y676" s="43"/>
      <c r="Z676" s="43"/>
    </row>
    <row r="677" hidden="1">
      <c r="A677" s="43" t="str">
        <f>IFERROR(__xludf.DUMMYFUNCTION("""COMPUTED_VALUE"""),"5241381_1291336")</f>
        <v>5241381_1291336</v>
      </c>
      <c r="B677" s="43" t="str">
        <f>IFERROR(__xludf.DUMMYFUNCTION("""COMPUTED_VALUE"""),"Abdul Haseeb Tariq")</f>
        <v>Abdul Haseeb Tariq</v>
      </c>
      <c r="C677" s="43" t="str">
        <f>IFERROR(__xludf.DUMMYFUNCTION("""COMPUTED_VALUE"""),"completed")</f>
        <v>completed</v>
      </c>
      <c r="D677" s="43" t="str">
        <f>IFERROR(__xludf.DUMMYFUNCTION("""COMPUTED_VALUE"""),"No")</f>
        <v>No</v>
      </c>
      <c r="E677" s="43" t="str">
        <f>IFERROR(__xludf.DUMMYFUNCTION("""COMPUTED_VALUE"""),"p_81a9b87397d45f8a1615cdbc07c147e66d8e2d3a@inbound.aiesec.org")</f>
        <v>p_81a9b87397d45f8a1615cdbc07c147e66d8e2d3a@inbound.aiesec.org</v>
      </c>
      <c r="F677" s="43">
        <f>IFERROR(__xludf.DUMMYFUNCTION("""COMPUTED_VALUE"""),3.316650288E9)</f>
        <v>3316650288</v>
      </c>
      <c r="G677" s="43" t="str">
        <f>IFERROR(__xludf.DUMMYFUNCTION("""COMPUTED_VALUE"""),"Pakistan")</f>
        <v>Pakistan</v>
      </c>
      <c r="H677" s="43" t="str">
        <f>IFERROR(__xludf.DUMMYFUNCTION("""COMPUTED_VALUE"""),"Lahore - Pak")</f>
        <v>Lahore - Pak</v>
      </c>
      <c r="I677" s="43" t="str">
        <f>IFERROR(__xludf.DUMMYFUNCTION("""COMPUTED_VALUE"""),"Turkey")</f>
        <v>Turkey</v>
      </c>
      <c r="J677" s="43" t="str">
        <f>IFERROR(__xludf.DUMMYFUNCTION("""COMPUTED_VALUE"""),"DENIZLI")</f>
        <v>DENIZLI</v>
      </c>
      <c r="K677" s="44" t="str">
        <f>IFERROR(__xludf.DUMMYFUNCTION("""COMPUTED_VALUE"""),"https://expa.aiesec.org/opportunities/1291336")</f>
        <v>https://expa.aiesec.org/opportunities/1291336</v>
      </c>
      <c r="L677" s="43" t="str">
        <f>IFERROR(__xludf.DUMMYFUNCTION("""COMPUTED_VALUE"""),"GV")</f>
        <v>GV</v>
      </c>
      <c r="M677" s="43" t="str">
        <f>IFERROR(__xludf.DUMMYFUNCTION("""COMPUTED_VALUE"""),"short")</f>
        <v>short</v>
      </c>
      <c r="N677" s="45">
        <f>IFERROR(__xludf.DUMMYFUNCTION("""COMPUTED_VALUE"""),45029.0)</f>
        <v>45029</v>
      </c>
      <c r="O677" s="45">
        <f>IFERROR(__xludf.DUMMYFUNCTION("""COMPUTED_VALUE"""),45061.0)</f>
        <v>45061</v>
      </c>
      <c r="P677" s="45">
        <f>IFERROR(__xludf.DUMMYFUNCTION("""COMPUTED_VALUE"""),45103.0)</f>
        <v>45103</v>
      </c>
      <c r="Q677" s="45">
        <f>IFERROR(__xludf.DUMMYFUNCTION("""COMPUTED_VALUE"""),45069.0)</f>
        <v>45069</v>
      </c>
      <c r="R677" s="45">
        <f>IFERROR(__xludf.DUMMYFUNCTION("""COMPUTED_VALUE"""),45111.0)</f>
        <v>45111</v>
      </c>
      <c r="S677" s="43"/>
      <c r="T677" s="43"/>
      <c r="U677" s="43" t="str">
        <f>IFERROR(__xludf.DUMMYFUNCTION("""COMPUTED_VALUE"""),"Global Classroom")</f>
        <v>Global Classroom</v>
      </c>
      <c r="V677" s="43" t="str">
        <f>IFERROR(__xludf.DUMMYFUNCTION("""COMPUTED_VALUE"""),"Lahore - University Management Technology (UMT)")</f>
        <v>Lahore - University Management Technology (UMT)</v>
      </c>
      <c r="W677" s="43" t="str">
        <f>IFERROR(__xludf.DUMMYFUNCTION("""COMPUTED_VALUE"""),"2023-04-13T16:05:54Z")</f>
        <v>2023-04-13T16:05:54Z</v>
      </c>
      <c r="X677" s="43"/>
      <c r="Y677" s="43"/>
      <c r="Z677" s="43"/>
    </row>
    <row r="678" hidden="1">
      <c r="A678" s="43" t="str">
        <f>IFERROR(__xludf.DUMMYFUNCTION("""COMPUTED_VALUE"""),"5241052_1292773")</f>
        <v>5241052_1292773</v>
      </c>
      <c r="B678" s="43" t="str">
        <f>IFERROR(__xludf.DUMMYFUNCTION("""COMPUTED_VALUE"""),"Ahmad Zubair Gondal")</f>
        <v>Ahmad Zubair Gondal</v>
      </c>
      <c r="C678" s="43" t="str">
        <f>IFERROR(__xludf.DUMMYFUNCTION("""COMPUTED_VALUE"""),"completed")</f>
        <v>completed</v>
      </c>
      <c r="D678" s="43" t="str">
        <f>IFERROR(__xludf.DUMMYFUNCTION("""COMPUTED_VALUE"""),"No")</f>
        <v>No</v>
      </c>
      <c r="E678" s="43" t="str">
        <f>IFERROR(__xludf.DUMMYFUNCTION("""COMPUTED_VALUE"""),"p_aa4a2e6b33e24d7b5c0cfe52adab3cbc5eb9f69f@inbound.aiesec.org")</f>
        <v>p_aa4a2e6b33e24d7b5c0cfe52adab3cbc5eb9f69f@inbound.aiesec.org</v>
      </c>
      <c r="F678" s="43">
        <f>IFERROR(__xludf.DUMMYFUNCTION("""COMPUTED_VALUE"""),3.411144482E9)</f>
        <v>3411144482</v>
      </c>
      <c r="G678" s="43" t="str">
        <f>IFERROR(__xludf.DUMMYFUNCTION("""COMPUTED_VALUE"""),"Pakistan")</f>
        <v>Pakistan</v>
      </c>
      <c r="H678" s="43" t="str">
        <f>IFERROR(__xludf.DUMMYFUNCTION("""COMPUTED_VALUE"""),"Lahore - Pak")</f>
        <v>Lahore - Pak</v>
      </c>
      <c r="I678" s="43" t="str">
        <f>IFERROR(__xludf.DUMMYFUNCTION("""COMPUTED_VALUE"""),"Turkey")</f>
        <v>Turkey</v>
      </c>
      <c r="J678" s="43" t="str">
        <f>IFERROR(__xludf.DUMMYFUNCTION("""COMPUTED_VALUE"""),"ESKISEHIR")</f>
        <v>ESKISEHIR</v>
      </c>
      <c r="K678" s="44" t="str">
        <f>IFERROR(__xludf.DUMMYFUNCTION("""COMPUTED_VALUE"""),"https://expa.aiesec.org/opportunities/1292773")</f>
        <v>https://expa.aiesec.org/opportunities/1292773</v>
      </c>
      <c r="L678" s="43" t="str">
        <f>IFERROR(__xludf.DUMMYFUNCTION("""COMPUTED_VALUE"""),"GV")</f>
        <v>GV</v>
      </c>
      <c r="M678" s="43" t="str">
        <f>IFERROR(__xludf.DUMMYFUNCTION("""COMPUTED_VALUE"""),"short")</f>
        <v>short</v>
      </c>
      <c r="N678" s="45">
        <f>IFERROR(__xludf.DUMMYFUNCTION("""COMPUTED_VALUE"""),45029.0)</f>
        <v>45029</v>
      </c>
      <c r="O678" s="45">
        <f>IFERROR(__xludf.DUMMYFUNCTION("""COMPUTED_VALUE"""),45103.0)</f>
        <v>45103</v>
      </c>
      <c r="P678" s="45">
        <f>IFERROR(__xludf.DUMMYFUNCTION("""COMPUTED_VALUE"""),45145.0)</f>
        <v>45145</v>
      </c>
      <c r="Q678" s="45">
        <f>IFERROR(__xludf.DUMMYFUNCTION("""COMPUTED_VALUE"""),45109.0)</f>
        <v>45109</v>
      </c>
      <c r="R678" s="45">
        <f>IFERROR(__xludf.DUMMYFUNCTION("""COMPUTED_VALUE"""),45149.0)</f>
        <v>45149</v>
      </c>
      <c r="S678" s="43"/>
      <c r="T678" s="43"/>
      <c r="U678" s="43" t="str">
        <f>IFERROR(__xludf.DUMMYFUNCTION("""COMPUTED_VALUE"""),"Raise Your Voice")</f>
        <v>Raise Your Voice</v>
      </c>
      <c r="V678" s="43" t="str">
        <f>IFERROR(__xludf.DUMMYFUNCTION("""COMPUTED_VALUE"""),"Lahore - Forman's Christian College (FCC)")</f>
        <v>Lahore - Forman's Christian College (FCC)</v>
      </c>
      <c r="W678" s="43" t="str">
        <f>IFERROR(__xludf.DUMMYFUNCTION("""COMPUTED_VALUE"""),"2023-04-13T11:23:34Z")</f>
        <v>2023-04-13T11:23:34Z</v>
      </c>
      <c r="X678" s="43"/>
      <c r="Y678" s="43"/>
      <c r="Z678" s="43"/>
    </row>
    <row r="679" hidden="1">
      <c r="A679" s="43" t="str">
        <f>IFERROR(__xludf.DUMMYFUNCTION("""COMPUTED_VALUE"""),"5240929_1294066")</f>
        <v>5240929_1294066</v>
      </c>
      <c r="B679" s="43" t="str">
        <f>IFERROR(__xludf.DUMMYFUNCTION("""COMPUTED_VALUE"""),"Elvira Levytska")</f>
        <v>Elvira Levytska</v>
      </c>
      <c r="C679" s="43" t="str">
        <f>IFERROR(__xludf.DUMMYFUNCTION("""COMPUTED_VALUE"""),"completed")</f>
        <v>completed</v>
      </c>
      <c r="D679" s="43" t="str">
        <f>IFERROR(__xludf.DUMMYFUNCTION("""COMPUTED_VALUE"""),"No")</f>
        <v>No</v>
      </c>
      <c r="E679" s="43" t="str">
        <f>IFERROR(__xludf.DUMMYFUNCTION("""COMPUTED_VALUE"""),"p_484aa083195a25bf4e617b7e9cc854603cbee961@inbound.aiesec.org")</f>
        <v>p_484aa083195a25bf4e617b7e9cc854603cbee961@inbound.aiesec.org</v>
      </c>
      <c r="F679" s="43">
        <f>IFERROR(__xludf.DUMMYFUNCTION("""COMPUTED_VALUE"""),6.86904359E8)</f>
        <v>686904359</v>
      </c>
      <c r="G679" s="43" t="str">
        <f>IFERROR(__xludf.DUMMYFUNCTION("""COMPUTED_VALUE"""),"Ukraine")</f>
        <v>Ukraine</v>
      </c>
      <c r="H679" s="43" t="str">
        <f>IFERROR(__xludf.DUMMYFUNCTION("""COMPUTED_VALUE"""),"LVIV")</f>
        <v>LVIV</v>
      </c>
      <c r="I679" s="43" t="str">
        <f>IFERROR(__xludf.DUMMYFUNCTION("""COMPUTED_VALUE"""),"Turkey")</f>
        <v>Turkey</v>
      </c>
      <c r="J679" s="43" t="str">
        <f>IFERROR(__xludf.DUMMYFUNCTION("""COMPUTED_VALUE"""),"ISTANBUL WEST")</f>
        <v>ISTANBUL WEST</v>
      </c>
      <c r="K679" s="44" t="str">
        <f>IFERROR(__xludf.DUMMYFUNCTION("""COMPUTED_VALUE"""),"https://expa.aiesec.org/opportunities/1294066")</f>
        <v>https://expa.aiesec.org/opportunities/1294066</v>
      </c>
      <c r="L679" s="43" t="str">
        <f>IFERROR(__xludf.DUMMYFUNCTION("""COMPUTED_VALUE"""),"GV")</f>
        <v>GV</v>
      </c>
      <c r="M679" s="43" t="str">
        <f>IFERROR(__xludf.DUMMYFUNCTION("""COMPUTED_VALUE"""),"short")</f>
        <v>short</v>
      </c>
      <c r="N679" s="45">
        <f>IFERROR(__xludf.DUMMYFUNCTION("""COMPUTED_VALUE"""),45029.0)</f>
        <v>45029</v>
      </c>
      <c r="O679" s="45">
        <f>IFERROR(__xludf.DUMMYFUNCTION("""COMPUTED_VALUE"""),45089.0)</f>
        <v>45089</v>
      </c>
      <c r="P679" s="45">
        <f>IFERROR(__xludf.DUMMYFUNCTION("""COMPUTED_VALUE"""),45131.0)</f>
        <v>45131</v>
      </c>
      <c r="Q679" s="45">
        <f>IFERROR(__xludf.DUMMYFUNCTION("""COMPUTED_VALUE"""),45089.0)</f>
        <v>45089</v>
      </c>
      <c r="R679" s="45">
        <f>IFERROR(__xludf.DUMMYFUNCTION("""COMPUTED_VALUE"""),45131.0)</f>
        <v>45131</v>
      </c>
      <c r="S679" s="43"/>
      <c r="T679" s="43"/>
      <c r="U679" s="43" t="str">
        <f>IFERROR(__xludf.DUMMYFUNCTION("""COMPUTED_VALUE"""),"Fingerprint")</f>
        <v>Fingerprint</v>
      </c>
      <c r="V679" s="43" t="str">
        <f>IFERROR(__xludf.DUMMYFUNCTION("""COMPUTED_VALUE"""),"Lviv ")</f>
        <v>Lviv </v>
      </c>
      <c r="W679" s="43" t="str">
        <f>IFERROR(__xludf.DUMMYFUNCTION("""COMPUTED_VALUE"""),"2023-04-13T06:46:49Z")</f>
        <v>2023-04-13T06:46:49Z</v>
      </c>
      <c r="X679" s="43"/>
      <c r="Y679" s="43"/>
      <c r="Z679" s="43"/>
    </row>
    <row r="680" hidden="1">
      <c r="A680" s="43" t="str">
        <f>IFERROR(__xludf.DUMMYFUNCTION("""COMPUTED_VALUE"""),"5191110_1285687")</f>
        <v>5191110_1285687</v>
      </c>
      <c r="B680" s="43" t="str">
        <f>IFERROR(__xludf.DUMMYFUNCTION("""COMPUTED_VALUE"""),"Bareeka Ali")</f>
        <v>Bareeka Ali</v>
      </c>
      <c r="C680" s="43" t="str">
        <f>IFERROR(__xludf.DUMMYFUNCTION("""COMPUTED_VALUE"""),"completed")</f>
        <v>completed</v>
      </c>
      <c r="D680" s="43" t="str">
        <f>IFERROR(__xludf.DUMMYFUNCTION("""COMPUTED_VALUE"""),"No")</f>
        <v>No</v>
      </c>
      <c r="E680" s="43" t="str">
        <f>IFERROR(__xludf.DUMMYFUNCTION("""COMPUTED_VALUE"""),"p_67c8926eb5ef62367600acea2508ed4609e63a71@inbound.aiesec.org")</f>
        <v>p_67c8926eb5ef62367600acea2508ed4609e63a71@inbound.aiesec.org</v>
      </c>
      <c r="F680" s="43">
        <f>IFERROR(__xludf.DUMMYFUNCTION("""COMPUTED_VALUE"""),3.323525962E9)</f>
        <v>3323525962</v>
      </c>
      <c r="G680" s="43" t="str">
        <f>IFERROR(__xludf.DUMMYFUNCTION("""COMPUTED_VALUE"""),"Pakistan")</f>
        <v>Pakistan</v>
      </c>
      <c r="H680" s="43" t="str">
        <f>IFERROR(__xludf.DUMMYFUNCTION("""COMPUTED_VALUE"""),"IBA")</f>
        <v>IBA</v>
      </c>
      <c r="I680" s="43" t="str">
        <f>IFERROR(__xludf.DUMMYFUNCTION("""COMPUTED_VALUE"""),"Turkey")</f>
        <v>Turkey</v>
      </c>
      <c r="J680" s="43" t="str">
        <f>IFERROR(__xludf.DUMMYFUNCTION("""COMPUTED_VALUE"""),"ISTANBUL")</f>
        <v>ISTANBUL</v>
      </c>
      <c r="K680" s="44" t="str">
        <f>IFERROR(__xludf.DUMMYFUNCTION("""COMPUTED_VALUE"""),"https://expa.aiesec.org/opportunities/1285687")</f>
        <v>https://expa.aiesec.org/opportunities/1285687</v>
      </c>
      <c r="L680" s="43" t="str">
        <f>IFERROR(__xludf.DUMMYFUNCTION("""COMPUTED_VALUE"""),"GV")</f>
        <v>GV</v>
      </c>
      <c r="M680" s="43" t="str">
        <f>IFERROR(__xludf.DUMMYFUNCTION("""COMPUTED_VALUE"""),"short")</f>
        <v>short</v>
      </c>
      <c r="N680" s="45">
        <f>IFERROR(__xludf.DUMMYFUNCTION("""COMPUTED_VALUE"""),45029.0)</f>
        <v>45029</v>
      </c>
      <c r="O680" s="45">
        <f>IFERROR(__xludf.DUMMYFUNCTION("""COMPUTED_VALUE"""),45070.0)</f>
        <v>45070</v>
      </c>
      <c r="P680" s="45">
        <f>IFERROR(__xludf.DUMMYFUNCTION("""COMPUTED_VALUE"""),45112.0)</f>
        <v>45112</v>
      </c>
      <c r="Q680" s="45">
        <f>IFERROR(__xludf.DUMMYFUNCTION("""COMPUTED_VALUE"""),45081.0)</f>
        <v>45081</v>
      </c>
      <c r="R680" s="45">
        <f>IFERROR(__xludf.DUMMYFUNCTION("""COMPUTED_VALUE"""),45124.0)</f>
        <v>45124</v>
      </c>
      <c r="S680" s="43"/>
      <c r="T680" s="43"/>
      <c r="U680" s="43" t="str">
        <f>IFERROR(__xludf.DUMMYFUNCTION("""COMPUTED_VALUE"""),"Youth 4 Impact")</f>
        <v>Youth 4 Impact</v>
      </c>
      <c r="V680" s="43" t="str">
        <f>IFERROR(__xludf.DUMMYFUNCTION("""COMPUTED_VALUE"""),"Karachi - IBA")</f>
        <v>Karachi - IBA</v>
      </c>
      <c r="W680" s="43" t="str">
        <f>IFERROR(__xludf.DUMMYFUNCTION("""COMPUTED_VALUE"""),"2023-02-15T08:12:35Z")</f>
        <v>2023-02-15T08:12:35Z</v>
      </c>
      <c r="X680" s="43"/>
      <c r="Y680" s="43"/>
      <c r="Z680" s="43"/>
    </row>
    <row r="681" hidden="1">
      <c r="A681" s="43" t="str">
        <f>IFERROR(__xludf.DUMMYFUNCTION("""COMPUTED_VALUE"""),"5236448_1288989")</f>
        <v>5236448_1288989</v>
      </c>
      <c r="B681" s="43" t="str">
        <f>IFERROR(__xludf.DUMMYFUNCTION("""COMPUTED_VALUE"""),"ikram abbasi")</f>
        <v>ikram abbasi</v>
      </c>
      <c r="C681" s="43" t="str">
        <f>IFERROR(__xludf.DUMMYFUNCTION("""COMPUTED_VALUE"""),"completed")</f>
        <v>completed</v>
      </c>
      <c r="D681" s="43" t="str">
        <f>IFERROR(__xludf.DUMMYFUNCTION("""COMPUTED_VALUE"""),"No")</f>
        <v>No</v>
      </c>
      <c r="E681" s="43" t="str">
        <f>IFERROR(__xludf.DUMMYFUNCTION("""COMPUTED_VALUE"""),"p_e25718c5853cdc313e958e0bbcfe2ad30b81d812@inbound.aiesec.org")</f>
        <v>p_e25718c5853cdc313e958e0bbcfe2ad30b81d812@inbound.aiesec.org</v>
      </c>
      <c r="F681" s="43"/>
      <c r="G681" s="43" t="str">
        <f>IFERROR(__xludf.DUMMYFUNCTION("""COMPUTED_VALUE"""),"Pakistan")</f>
        <v>Pakistan</v>
      </c>
      <c r="H681" s="43" t="str">
        <f>IFERROR(__xludf.DUMMYFUNCTION("""COMPUTED_VALUE"""),"Hyderabad - PAK")</f>
        <v>Hyderabad - PAK</v>
      </c>
      <c r="I681" s="43" t="str">
        <f>IFERROR(__xludf.DUMMYFUNCTION("""COMPUTED_VALUE"""),"Turkey")</f>
        <v>Turkey</v>
      </c>
      <c r="J681" s="43" t="str">
        <f>IFERROR(__xludf.DUMMYFUNCTION("""COMPUTED_VALUE"""),"KUTAHYA")</f>
        <v>KUTAHYA</v>
      </c>
      <c r="K681" s="44" t="str">
        <f>IFERROR(__xludf.DUMMYFUNCTION("""COMPUTED_VALUE"""),"https://expa.aiesec.org/opportunities/1288989")</f>
        <v>https://expa.aiesec.org/opportunities/1288989</v>
      </c>
      <c r="L681" s="43" t="str">
        <f>IFERROR(__xludf.DUMMYFUNCTION("""COMPUTED_VALUE"""),"GV")</f>
        <v>GV</v>
      </c>
      <c r="M681" s="43" t="str">
        <f>IFERROR(__xludf.DUMMYFUNCTION("""COMPUTED_VALUE"""),"short")</f>
        <v>short</v>
      </c>
      <c r="N681" s="45">
        <f>IFERROR(__xludf.DUMMYFUNCTION("""COMPUTED_VALUE"""),45029.0)</f>
        <v>45029</v>
      </c>
      <c r="O681" s="45">
        <f>IFERROR(__xludf.DUMMYFUNCTION("""COMPUTED_VALUE"""),45047.0)</f>
        <v>45047</v>
      </c>
      <c r="P681" s="45">
        <f>IFERROR(__xludf.DUMMYFUNCTION("""COMPUTED_VALUE"""),45089.0)</f>
        <v>45089</v>
      </c>
      <c r="Q681" s="45">
        <f>IFERROR(__xludf.DUMMYFUNCTION("""COMPUTED_VALUE"""),45058.0)</f>
        <v>45058</v>
      </c>
      <c r="R681" s="45">
        <f>IFERROR(__xludf.DUMMYFUNCTION("""COMPUTED_VALUE"""),45099.0)</f>
        <v>45099</v>
      </c>
      <c r="S681" s="43"/>
      <c r="T681" s="43"/>
      <c r="U681" s="43" t="str">
        <f>IFERROR(__xludf.DUMMYFUNCTION("""COMPUTED_VALUE"""),"Green Leaders")</f>
        <v>Green Leaders</v>
      </c>
      <c r="V681" s="43" t="str">
        <f>IFERROR(__xludf.DUMMYFUNCTION("""COMPUTED_VALUE"""),"-")</f>
        <v>-</v>
      </c>
      <c r="W681" s="43" t="str">
        <f>IFERROR(__xludf.DUMMYFUNCTION("""COMPUTED_VALUE"""),"2023-04-06T15:55:36Z")</f>
        <v>2023-04-06T15:55:36Z</v>
      </c>
      <c r="X681" s="43"/>
      <c r="Y681" s="43"/>
      <c r="Z681" s="43"/>
    </row>
    <row r="682" hidden="1">
      <c r="A682" s="43" t="str">
        <f>IFERROR(__xludf.DUMMYFUNCTION("""COMPUTED_VALUE"""),"5237193_1288280")</f>
        <v>5237193_1288280</v>
      </c>
      <c r="B682" s="43" t="str">
        <f>IFERROR(__xludf.DUMMYFUNCTION("""COMPUTED_VALUE"""),"Mahmoud Wael")</f>
        <v>Mahmoud Wael</v>
      </c>
      <c r="C682" s="43" t="str">
        <f>IFERROR(__xludf.DUMMYFUNCTION("""COMPUTED_VALUE"""),"approved")</f>
        <v>approved</v>
      </c>
      <c r="D682" s="43" t="str">
        <f>IFERROR(__xludf.DUMMYFUNCTION("""COMPUTED_VALUE"""),"No")</f>
        <v>No</v>
      </c>
      <c r="E682" s="43" t="str">
        <f>IFERROR(__xludf.DUMMYFUNCTION("""COMPUTED_VALUE"""),"p_3d4f3027f0da9f9f7864daef2e1a0f7c734ec11f@inbound.aiesec.org")</f>
        <v>p_3d4f3027f0da9f9f7864daef2e1a0f7c734ec11f@inbound.aiesec.org</v>
      </c>
      <c r="F682" s="43">
        <f>IFERROR(__xludf.DUMMYFUNCTION("""COMPUTED_VALUE"""),1.064944225E9)</f>
        <v>1064944225</v>
      </c>
      <c r="G682" s="43" t="str">
        <f>IFERROR(__xludf.DUMMYFUNCTION("""COMPUTED_VALUE"""),"Egypt")</f>
        <v>Egypt</v>
      </c>
      <c r="H682" s="43" t="str">
        <f>IFERROR(__xludf.DUMMYFUNCTION("""COMPUTED_VALUE"""),"Ain Shams University")</f>
        <v>Ain Shams University</v>
      </c>
      <c r="I682" s="43" t="str">
        <f>IFERROR(__xludf.DUMMYFUNCTION("""COMPUTED_VALUE"""),"Turkey")</f>
        <v>Turkey</v>
      </c>
      <c r="J682" s="43" t="str">
        <f>IFERROR(__xludf.DUMMYFUNCTION("""COMPUTED_VALUE"""),"İZMİR")</f>
        <v>İZMİR</v>
      </c>
      <c r="K682" s="44" t="str">
        <f>IFERROR(__xludf.DUMMYFUNCTION("""COMPUTED_VALUE"""),"https://expa.aiesec.org/opportunities/1288280")</f>
        <v>https://expa.aiesec.org/opportunities/1288280</v>
      </c>
      <c r="L682" s="43" t="str">
        <f>IFERROR(__xludf.DUMMYFUNCTION("""COMPUTED_VALUE"""),"GV")</f>
        <v>GV</v>
      </c>
      <c r="M682" s="43" t="str">
        <f>IFERROR(__xludf.DUMMYFUNCTION("""COMPUTED_VALUE"""),"short")</f>
        <v>short</v>
      </c>
      <c r="N682" s="45">
        <f>IFERROR(__xludf.DUMMYFUNCTION("""COMPUTED_VALUE"""),45029.0)</f>
        <v>45029</v>
      </c>
      <c r="O682" s="45">
        <f>IFERROR(__xludf.DUMMYFUNCTION("""COMPUTED_VALUE"""),45144.0)</f>
        <v>45144</v>
      </c>
      <c r="P682" s="45">
        <f>IFERROR(__xludf.DUMMYFUNCTION("""COMPUTED_VALUE"""),45186.0)</f>
        <v>45186</v>
      </c>
      <c r="Q682" s="45"/>
      <c r="R682" s="45"/>
      <c r="S682" s="43"/>
      <c r="T682" s="43"/>
      <c r="U682" s="43" t="str">
        <f>IFERROR(__xludf.DUMMYFUNCTION("""COMPUTED_VALUE"""),"Global Classroom")</f>
        <v>Global Classroom</v>
      </c>
      <c r="V682" s="43" t="str">
        <f>IFERROR(__xludf.DUMMYFUNCTION("""COMPUTED_VALUE"""),"Ain Shams University")</f>
        <v>Ain Shams University</v>
      </c>
      <c r="W682" s="43" t="str">
        <f>IFERROR(__xludf.DUMMYFUNCTION("""COMPUTED_VALUE"""),"2023-04-07T17:01:08Z")</f>
        <v>2023-04-07T17:01:08Z</v>
      </c>
      <c r="X682" s="43"/>
      <c r="Y682" s="43"/>
      <c r="Z682" s="43"/>
    </row>
    <row r="683" hidden="1">
      <c r="A683" s="43" t="str">
        <f>IFERROR(__xludf.DUMMYFUNCTION("""COMPUTED_VALUE"""),"5204856_1289536")</f>
        <v>5204856_1289536</v>
      </c>
      <c r="B683" s="43" t="str">
        <f>IFERROR(__xludf.DUMMYFUNCTION("""COMPUTED_VALUE"""),"Sarah Shoaib")</f>
        <v>Sarah Shoaib</v>
      </c>
      <c r="C683" s="43" t="str">
        <f>IFERROR(__xludf.DUMMYFUNCTION("""COMPUTED_VALUE"""),"finished")</f>
        <v>finished</v>
      </c>
      <c r="D683" s="43" t="str">
        <f>IFERROR(__xludf.DUMMYFUNCTION("""COMPUTED_VALUE"""),"No")</f>
        <v>No</v>
      </c>
      <c r="E683" s="43" t="str">
        <f>IFERROR(__xludf.DUMMYFUNCTION("""COMPUTED_VALUE"""),"p_d550ddb14693fdd5a982d48be77602281bdddad5@inbound.aiesec.org")</f>
        <v>p_d550ddb14693fdd5a982d48be77602281bdddad5@inbound.aiesec.org</v>
      </c>
      <c r="F683" s="43">
        <f>IFERROR(__xludf.DUMMYFUNCTION("""COMPUTED_VALUE"""),3.352272282E9)</f>
        <v>3352272282</v>
      </c>
      <c r="G683" s="43" t="str">
        <f>IFERROR(__xludf.DUMMYFUNCTION("""COMPUTED_VALUE"""),"Pakistan")</f>
        <v>Pakistan</v>
      </c>
      <c r="H683" s="43" t="str">
        <f>IFERROR(__xludf.DUMMYFUNCTION("""COMPUTED_VALUE"""),"IBA")</f>
        <v>IBA</v>
      </c>
      <c r="I683" s="43" t="str">
        <f>IFERROR(__xludf.DUMMYFUNCTION("""COMPUTED_VALUE"""),"Turkey")</f>
        <v>Turkey</v>
      </c>
      <c r="J683" s="43" t="str">
        <f>IFERROR(__xludf.DUMMYFUNCTION("""COMPUTED_VALUE"""),"ISTANBUL")</f>
        <v>ISTANBUL</v>
      </c>
      <c r="K683" s="44" t="str">
        <f>IFERROR(__xludf.DUMMYFUNCTION("""COMPUTED_VALUE"""),"https://expa.aiesec.org/opportunities/1289536")</f>
        <v>https://expa.aiesec.org/opportunities/1289536</v>
      </c>
      <c r="L683" s="43" t="str">
        <f>IFERROR(__xludf.DUMMYFUNCTION("""COMPUTED_VALUE"""),"GV")</f>
        <v>GV</v>
      </c>
      <c r="M683" s="43" t="str">
        <f>IFERROR(__xludf.DUMMYFUNCTION("""COMPUTED_VALUE"""),"short")</f>
        <v>short</v>
      </c>
      <c r="N683" s="45">
        <f>IFERROR(__xludf.DUMMYFUNCTION("""COMPUTED_VALUE"""),45029.0)</f>
        <v>45029</v>
      </c>
      <c r="O683" s="45">
        <f>IFERROR(__xludf.DUMMYFUNCTION("""COMPUTED_VALUE"""),45090.0)</f>
        <v>45090</v>
      </c>
      <c r="P683" s="45">
        <f>IFERROR(__xludf.DUMMYFUNCTION("""COMPUTED_VALUE"""),45132.0)</f>
        <v>45132</v>
      </c>
      <c r="Q683" s="45">
        <f>IFERROR(__xludf.DUMMYFUNCTION("""COMPUTED_VALUE"""),45090.0)</f>
        <v>45090</v>
      </c>
      <c r="R683" s="45">
        <f>IFERROR(__xludf.DUMMYFUNCTION("""COMPUTED_VALUE"""),45132.0)</f>
        <v>45132</v>
      </c>
      <c r="S683" s="43"/>
      <c r="T683" s="43"/>
      <c r="U683" s="43" t="str">
        <f>IFERROR(__xludf.DUMMYFUNCTION("""COMPUTED_VALUE"""),"Global Classroom")</f>
        <v>Global Classroom</v>
      </c>
      <c r="V683" s="43" t="str">
        <f>IFERROR(__xludf.DUMMYFUNCTION("""COMPUTED_VALUE"""),"Karachi - IBA")</f>
        <v>Karachi - IBA</v>
      </c>
      <c r="W683" s="43" t="str">
        <f>IFERROR(__xludf.DUMMYFUNCTION("""COMPUTED_VALUE"""),"2023-03-03T17:50:22Z")</f>
        <v>2023-03-03T17:50:22Z</v>
      </c>
      <c r="X683" s="43"/>
      <c r="Y683" s="43"/>
      <c r="Z683" s="43"/>
    </row>
    <row r="684" hidden="1">
      <c r="A684" s="43" t="str">
        <f>IFERROR(__xludf.DUMMYFUNCTION("""COMPUTED_VALUE"""),"5205121_1286326")</f>
        <v>5205121_1286326</v>
      </c>
      <c r="B684" s="43" t="str">
        <f>IFERROR(__xludf.DUMMYFUNCTION("""COMPUTED_VALUE"""),"Nour el houda Sassi")</f>
        <v>Nour el houda Sassi</v>
      </c>
      <c r="C684" s="43" t="str">
        <f>IFERROR(__xludf.DUMMYFUNCTION("""COMPUTED_VALUE"""),"approved")</f>
        <v>approved</v>
      </c>
      <c r="D684" s="43" t="str">
        <f>IFERROR(__xludf.DUMMYFUNCTION("""COMPUTED_VALUE"""),"No")</f>
        <v>No</v>
      </c>
      <c r="E684" s="43" t="str">
        <f>IFERROR(__xludf.DUMMYFUNCTION("""COMPUTED_VALUE"""),"p_4def92bcde4680a0cb3dd0f20bfc5a0e07373b24@inbound.aiesec.org")</f>
        <v>p_4def92bcde4680a0cb3dd0f20bfc5a0e07373b24@inbound.aiesec.org</v>
      </c>
      <c r="F684" s="43">
        <f>IFERROR(__xludf.DUMMYFUNCTION("""COMPUTED_VALUE"""),5.5684727E7)</f>
        <v>55684727</v>
      </c>
      <c r="G684" s="43" t="str">
        <f>IFERROR(__xludf.DUMMYFUNCTION("""COMPUTED_VALUE"""),"Tunisia")</f>
        <v>Tunisia</v>
      </c>
      <c r="H684" s="43" t="str">
        <f>IFERROR(__xludf.DUMMYFUNCTION("""COMPUTED_VALUE"""),"BARDO")</f>
        <v>BARDO</v>
      </c>
      <c r="I684" s="43" t="str">
        <f>IFERROR(__xludf.DUMMYFUNCTION("""COMPUTED_VALUE"""),"Turkey")</f>
        <v>Turkey</v>
      </c>
      <c r="J684" s="43" t="str">
        <f>IFERROR(__xludf.DUMMYFUNCTION("""COMPUTED_VALUE"""),"ADANA")</f>
        <v>ADANA</v>
      </c>
      <c r="K684" s="44" t="str">
        <f>IFERROR(__xludf.DUMMYFUNCTION("""COMPUTED_VALUE"""),"https://expa.aiesec.org/opportunities/1286326")</f>
        <v>https://expa.aiesec.org/opportunities/1286326</v>
      </c>
      <c r="L684" s="43" t="str">
        <f>IFERROR(__xludf.DUMMYFUNCTION("""COMPUTED_VALUE"""),"GV")</f>
        <v>GV</v>
      </c>
      <c r="M684" s="43" t="str">
        <f>IFERROR(__xludf.DUMMYFUNCTION("""COMPUTED_VALUE"""),"short")</f>
        <v>short</v>
      </c>
      <c r="N684" s="45">
        <f>IFERROR(__xludf.DUMMYFUNCTION("""COMPUTED_VALUE"""),45029.0)</f>
        <v>45029</v>
      </c>
      <c r="O684" s="45">
        <f>IFERROR(__xludf.DUMMYFUNCTION("""COMPUTED_VALUE"""),45145.0)</f>
        <v>45145</v>
      </c>
      <c r="P684" s="45">
        <f>IFERROR(__xludf.DUMMYFUNCTION("""COMPUTED_VALUE"""),45191.0)</f>
        <v>45191</v>
      </c>
      <c r="Q684" s="45"/>
      <c r="R684" s="45"/>
      <c r="S684" s="43"/>
      <c r="T684" s="43"/>
      <c r="U684" s="43" t="str">
        <f>IFERROR(__xludf.DUMMYFUNCTION("""COMPUTED_VALUE"""),"Equify")</f>
        <v>Equify</v>
      </c>
      <c r="V684" s="43" t="str">
        <f>IFERROR(__xludf.DUMMYFUNCTION("""COMPUTED_VALUE"""),"ESPRIT School of Business")</f>
        <v>ESPRIT School of Business</v>
      </c>
      <c r="W684" s="43" t="str">
        <f>IFERROR(__xludf.DUMMYFUNCTION("""COMPUTED_VALUE"""),"2023-03-04T07:46:05Z")</f>
        <v>2023-03-04T07:46:05Z</v>
      </c>
      <c r="X684" s="43"/>
      <c r="Y684" s="43"/>
      <c r="Z684" s="43"/>
    </row>
    <row r="685" hidden="1">
      <c r="A685" s="43" t="str">
        <f>IFERROR(__xludf.DUMMYFUNCTION("""COMPUTED_VALUE"""),"5241919_1281010")</f>
        <v>5241919_1281010</v>
      </c>
      <c r="B685" s="43" t="str">
        <f>IFERROR(__xludf.DUMMYFUNCTION("""COMPUTED_VALUE"""),"Aya Belkebir")</f>
        <v>Aya Belkebir</v>
      </c>
      <c r="C685" s="43" t="str">
        <f>IFERROR(__xludf.DUMMYFUNCTION("""COMPUTED_VALUE"""),"completed")</f>
        <v>completed</v>
      </c>
      <c r="D685" s="43" t="str">
        <f>IFERROR(__xludf.DUMMYFUNCTION("""COMPUTED_VALUE"""),"No")</f>
        <v>No</v>
      </c>
      <c r="E685" s="43" t="str">
        <f>IFERROR(__xludf.DUMMYFUNCTION("""COMPUTED_VALUE"""),"p_b79cbc9753f4b1a648c08373cb1d4ceb0889f3c6@inbound.aiesec.org")</f>
        <v>p_b79cbc9753f4b1a648c08373cb1d4ceb0889f3c6@inbound.aiesec.org</v>
      </c>
      <c r="F685" s="43">
        <f>IFERROR(__xludf.DUMMYFUNCTION("""COMPUTED_VALUE"""),6.54908522E8)</f>
        <v>654908522</v>
      </c>
      <c r="G685" s="43" t="str">
        <f>IFERROR(__xludf.DUMMYFUNCTION("""COMPUTED_VALUE"""),"Morocco")</f>
        <v>Morocco</v>
      </c>
      <c r="H685" s="43" t="str">
        <f>IFERROR(__xludf.DUMMYFUNCTION("""COMPUTED_VALUE"""),"Tangier")</f>
        <v>Tangier</v>
      </c>
      <c r="I685" s="43" t="str">
        <f>IFERROR(__xludf.DUMMYFUNCTION("""COMPUTED_VALUE"""),"Turkey")</f>
        <v>Turkey</v>
      </c>
      <c r="J685" s="43" t="str">
        <f>IFERROR(__xludf.DUMMYFUNCTION("""COMPUTED_VALUE"""),"KOCAELI")</f>
        <v>KOCAELI</v>
      </c>
      <c r="K685" s="44" t="str">
        <f>IFERROR(__xludf.DUMMYFUNCTION("""COMPUTED_VALUE"""),"https://expa.aiesec.org/opportunities/1281010")</f>
        <v>https://expa.aiesec.org/opportunities/1281010</v>
      </c>
      <c r="L685" s="43" t="str">
        <f>IFERROR(__xludf.DUMMYFUNCTION("""COMPUTED_VALUE"""),"GV")</f>
        <v>GV</v>
      </c>
      <c r="M685" s="43" t="str">
        <f>IFERROR(__xludf.DUMMYFUNCTION("""COMPUTED_VALUE"""),"short")</f>
        <v>short</v>
      </c>
      <c r="N685" s="45">
        <f>IFERROR(__xludf.DUMMYFUNCTION("""COMPUTED_VALUE"""),45030.0)</f>
        <v>45030</v>
      </c>
      <c r="O685" s="45">
        <f>IFERROR(__xludf.DUMMYFUNCTION("""COMPUTED_VALUE"""),45117.0)</f>
        <v>45117</v>
      </c>
      <c r="P685" s="45">
        <f>IFERROR(__xludf.DUMMYFUNCTION("""COMPUTED_VALUE"""),45159.0)</f>
        <v>45159</v>
      </c>
      <c r="Q685" s="45">
        <f>IFERROR(__xludf.DUMMYFUNCTION("""COMPUTED_VALUE"""),45116.0)</f>
        <v>45116</v>
      </c>
      <c r="R685" s="45">
        <f>IFERROR(__xludf.DUMMYFUNCTION("""COMPUTED_VALUE"""),45159.0)</f>
        <v>45159</v>
      </c>
      <c r="S685" s="43"/>
      <c r="T685" s="43"/>
      <c r="U685" s="43" t="str">
        <f>IFERROR(__xludf.DUMMYFUNCTION("""COMPUTED_VALUE"""),"Global Classroom")</f>
        <v>Global Classroom</v>
      </c>
      <c r="V685" s="43" t="str">
        <f>IFERROR(__xludf.DUMMYFUNCTION("""COMPUTED_VALUE"""),"Ecole Nationale Des Sciences Appliquées Tanger (ENSAT)")</f>
        <v>Ecole Nationale Des Sciences Appliquées Tanger (ENSAT)</v>
      </c>
      <c r="W685" s="43" t="str">
        <f>IFERROR(__xludf.DUMMYFUNCTION("""COMPUTED_VALUE"""),"2023-04-14T10:35:59Z")</f>
        <v>2023-04-14T10:35:59Z</v>
      </c>
      <c r="X685" s="43"/>
      <c r="Y685" s="43"/>
      <c r="Z685" s="43"/>
    </row>
    <row r="686" hidden="1">
      <c r="A686" s="43" t="str">
        <f>IFERROR(__xludf.DUMMYFUNCTION("""COMPUTED_VALUE"""),"5154247_1294061")</f>
        <v>5154247_1294061</v>
      </c>
      <c r="B686" s="43" t="str">
        <f>IFERROR(__xludf.DUMMYFUNCTION("""COMPUTED_VALUE"""),"marieme zouari")</f>
        <v>marieme zouari</v>
      </c>
      <c r="C686" s="43" t="str">
        <f>IFERROR(__xludf.DUMMYFUNCTION("""COMPUTED_VALUE"""),"completed")</f>
        <v>completed</v>
      </c>
      <c r="D686" s="43" t="str">
        <f>IFERROR(__xludf.DUMMYFUNCTION("""COMPUTED_VALUE"""),"No")</f>
        <v>No</v>
      </c>
      <c r="E686" s="43" t="str">
        <f>IFERROR(__xludf.DUMMYFUNCTION("""COMPUTED_VALUE"""),"p_cbed2d4ba99edd38814e2b852fb64f3c7fe8c3fa@inbound.aiesec.org")</f>
        <v>p_cbed2d4ba99edd38814e2b852fb64f3c7fe8c3fa@inbound.aiesec.org</v>
      </c>
      <c r="F686" s="43"/>
      <c r="G686" s="43" t="str">
        <f>IFERROR(__xludf.DUMMYFUNCTION("""COMPUTED_VALUE"""),"Tunisia")</f>
        <v>Tunisia</v>
      </c>
      <c r="H686" s="43" t="str">
        <f>IFERROR(__xludf.DUMMYFUNCTION("""COMPUTED_VALUE"""),"UNIVERSITY")</f>
        <v>UNIVERSITY</v>
      </c>
      <c r="I686" s="43" t="str">
        <f>IFERROR(__xludf.DUMMYFUNCTION("""COMPUTED_VALUE"""),"Turkey")</f>
        <v>Turkey</v>
      </c>
      <c r="J686" s="43" t="str">
        <f>IFERROR(__xludf.DUMMYFUNCTION("""COMPUTED_VALUE"""),"KOCAELI")</f>
        <v>KOCAELI</v>
      </c>
      <c r="K686" s="44" t="str">
        <f>IFERROR(__xludf.DUMMYFUNCTION("""COMPUTED_VALUE"""),"https://expa.aiesec.org/opportunities/1294061")</f>
        <v>https://expa.aiesec.org/opportunities/1294061</v>
      </c>
      <c r="L686" s="43" t="str">
        <f>IFERROR(__xludf.DUMMYFUNCTION("""COMPUTED_VALUE"""),"GV")</f>
        <v>GV</v>
      </c>
      <c r="M686" s="43" t="str">
        <f>IFERROR(__xludf.DUMMYFUNCTION("""COMPUTED_VALUE"""),"short")</f>
        <v>short</v>
      </c>
      <c r="N686" s="45">
        <f>IFERROR(__xludf.DUMMYFUNCTION("""COMPUTED_VALUE"""),45030.0)</f>
        <v>45030</v>
      </c>
      <c r="O686" s="45">
        <f>IFERROR(__xludf.DUMMYFUNCTION("""COMPUTED_VALUE"""),45139.0)</f>
        <v>45139</v>
      </c>
      <c r="P686" s="45">
        <f>IFERROR(__xludf.DUMMYFUNCTION("""COMPUTED_VALUE"""),45181.0)</f>
        <v>45181</v>
      </c>
      <c r="Q686" s="45">
        <f>IFERROR(__xludf.DUMMYFUNCTION("""COMPUTED_VALUE"""),45138.0)</f>
        <v>45138</v>
      </c>
      <c r="R686" s="45">
        <f>IFERROR(__xludf.DUMMYFUNCTION("""COMPUTED_VALUE"""),45181.0)</f>
        <v>45181</v>
      </c>
      <c r="S686" s="43"/>
      <c r="T686" s="43"/>
      <c r="U686" s="43" t="str">
        <f>IFERROR(__xludf.DUMMYFUNCTION("""COMPUTED_VALUE"""),"Global Classroom")</f>
        <v>Global Classroom</v>
      </c>
      <c r="V686" s="43" t="str">
        <f>IFERROR(__xludf.DUMMYFUNCTION("""COMPUTED_VALUE"""),"-")</f>
        <v>-</v>
      </c>
      <c r="W686" s="43" t="str">
        <f>IFERROR(__xludf.DUMMYFUNCTION("""COMPUTED_VALUE"""),"2022-11-16T17:35:51Z")</f>
        <v>2022-11-16T17:35:51Z</v>
      </c>
      <c r="X686" s="43"/>
      <c r="Y686" s="43"/>
      <c r="Z686" s="43"/>
    </row>
    <row r="687" hidden="1">
      <c r="A687" s="43" t="str">
        <f>IFERROR(__xludf.DUMMYFUNCTION("""COMPUTED_VALUE"""),"5235052_1286228")</f>
        <v>5235052_1286228</v>
      </c>
      <c r="B687" s="43" t="str">
        <f>IFERROR(__xludf.DUMMYFUNCTION("""COMPUTED_VALUE"""),"Milica Tomašević")</f>
        <v>Milica Tomašević</v>
      </c>
      <c r="C687" s="43" t="str">
        <f>IFERROR(__xludf.DUMMYFUNCTION("""COMPUTED_VALUE"""),"approved")</f>
        <v>approved</v>
      </c>
      <c r="D687" s="43" t="str">
        <f>IFERROR(__xludf.DUMMYFUNCTION("""COMPUTED_VALUE"""),"No")</f>
        <v>No</v>
      </c>
      <c r="E687" s="43" t="str">
        <f>IFERROR(__xludf.DUMMYFUNCTION("""COMPUTED_VALUE"""),"p_bd6c24224f8097ea3f11e7b5d0c8c18d9cbb8b8d@inbound.aiesec.org")</f>
        <v>p_bd6c24224f8097ea3f11e7b5d0c8c18d9cbb8b8d@inbound.aiesec.org</v>
      </c>
      <c r="F687" s="43">
        <f>IFERROR(__xludf.DUMMYFUNCTION("""COMPUTED_VALUE"""),6.12123355E8)</f>
        <v>612123355</v>
      </c>
      <c r="G687" s="43" t="str">
        <f>IFERROR(__xludf.DUMMYFUNCTION("""COMPUTED_VALUE"""),"Serbia")</f>
        <v>Serbia</v>
      </c>
      <c r="H687" s="43" t="str">
        <f>IFERROR(__xludf.DUMMYFUNCTION("""COMPUTED_VALUE"""),"BELGRADE FON")</f>
        <v>BELGRADE FON</v>
      </c>
      <c r="I687" s="43" t="str">
        <f>IFERROR(__xludf.DUMMYFUNCTION("""COMPUTED_VALUE"""),"Turkey")</f>
        <v>Turkey</v>
      </c>
      <c r="J687" s="43" t="str">
        <f>IFERROR(__xludf.DUMMYFUNCTION("""COMPUTED_VALUE"""),"ISTANBUL WEST")</f>
        <v>ISTANBUL WEST</v>
      </c>
      <c r="K687" s="44" t="str">
        <f>IFERROR(__xludf.DUMMYFUNCTION("""COMPUTED_VALUE"""),"https://expa.aiesec.org/opportunities/1286228")</f>
        <v>https://expa.aiesec.org/opportunities/1286228</v>
      </c>
      <c r="L687" s="43" t="str">
        <f>IFERROR(__xludf.DUMMYFUNCTION("""COMPUTED_VALUE"""),"GV")</f>
        <v>GV</v>
      </c>
      <c r="M687" s="43" t="str">
        <f>IFERROR(__xludf.DUMMYFUNCTION("""COMPUTED_VALUE"""),"short")</f>
        <v>short</v>
      </c>
      <c r="N687" s="45">
        <f>IFERROR(__xludf.DUMMYFUNCTION("""COMPUTED_VALUE"""),45030.0)</f>
        <v>45030</v>
      </c>
      <c r="O687" s="45">
        <f>IFERROR(__xludf.DUMMYFUNCTION("""COMPUTED_VALUE"""),45187.0)</f>
        <v>45187</v>
      </c>
      <c r="P687" s="45">
        <f>IFERROR(__xludf.DUMMYFUNCTION("""COMPUTED_VALUE"""),45229.0)</f>
        <v>45229</v>
      </c>
      <c r="Q687" s="45"/>
      <c r="R687" s="45"/>
      <c r="S687" s="43"/>
      <c r="T687" s="43"/>
      <c r="U687" s="43" t="str">
        <f>IFERROR(__xludf.DUMMYFUNCTION("""COMPUTED_VALUE"""),"Global Classroom")</f>
        <v>Global Classroom</v>
      </c>
      <c r="V687" s="43" t="str">
        <f>IFERROR(__xludf.DUMMYFUNCTION("""COMPUTED_VALUE"""),"Faculty of Organizational Sciences, Belgrade")</f>
        <v>Faculty of Organizational Sciences, Belgrade</v>
      </c>
      <c r="W687" s="43" t="str">
        <f>IFERROR(__xludf.DUMMYFUNCTION("""COMPUTED_VALUE"""),"2023-04-04T21:13:08Z")</f>
        <v>2023-04-04T21:13:08Z</v>
      </c>
      <c r="X687" s="43"/>
      <c r="Y687" s="43"/>
      <c r="Z687" s="43"/>
    </row>
    <row r="688" hidden="1">
      <c r="A688" s="43" t="str">
        <f>IFERROR(__xludf.DUMMYFUNCTION("""COMPUTED_VALUE"""),"5236705_1294197")</f>
        <v>5236705_1294197</v>
      </c>
      <c r="B688" s="43" t="str">
        <f>IFERROR(__xludf.DUMMYFUNCTION("""COMPUTED_VALUE"""),"Ahmed Hamza")</f>
        <v>Ahmed Hamza</v>
      </c>
      <c r="C688" s="43" t="str">
        <f>IFERROR(__xludf.DUMMYFUNCTION("""COMPUTED_VALUE"""),"completed")</f>
        <v>completed</v>
      </c>
      <c r="D688" s="43" t="str">
        <f>IFERROR(__xludf.DUMMYFUNCTION("""COMPUTED_VALUE"""),"No")</f>
        <v>No</v>
      </c>
      <c r="E688" s="43" t="str">
        <f>IFERROR(__xludf.DUMMYFUNCTION("""COMPUTED_VALUE"""),"p_0695a6ce0551aa6db790de07cf85d2e5668d34b6@inbound.aiesec.org")</f>
        <v>p_0695a6ce0551aa6db790de07cf85d2e5668d34b6@inbound.aiesec.org</v>
      </c>
      <c r="F688" s="43"/>
      <c r="G688" s="43" t="str">
        <f>IFERROR(__xludf.DUMMYFUNCTION("""COMPUTED_VALUE"""),"Tunisia")</f>
        <v>Tunisia</v>
      </c>
      <c r="H688" s="43" t="str">
        <f>IFERROR(__xludf.DUMMYFUNCTION("""COMPUTED_VALUE"""),"BARDO")</f>
        <v>BARDO</v>
      </c>
      <c r="I688" s="43" t="str">
        <f>IFERROR(__xludf.DUMMYFUNCTION("""COMPUTED_VALUE"""),"Turkey")</f>
        <v>Turkey</v>
      </c>
      <c r="J688" s="43" t="str">
        <f>IFERROR(__xludf.DUMMYFUNCTION("""COMPUTED_VALUE"""),"SAMSUN [Closed]")</f>
        <v>SAMSUN [Closed]</v>
      </c>
      <c r="K688" s="44" t="str">
        <f>IFERROR(__xludf.DUMMYFUNCTION("""COMPUTED_VALUE"""),"https://expa.aiesec.org/opportunities/1294197")</f>
        <v>https://expa.aiesec.org/opportunities/1294197</v>
      </c>
      <c r="L688" s="43" t="str">
        <f>IFERROR(__xludf.DUMMYFUNCTION("""COMPUTED_VALUE"""),"GV")</f>
        <v>GV</v>
      </c>
      <c r="M688" s="43" t="str">
        <f>IFERROR(__xludf.DUMMYFUNCTION("""COMPUTED_VALUE"""),"short")</f>
        <v>short</v>
      </c>
      <c r="N688" s="45">
        <f>IFERROR(__xludf.DUMMYFUNCTION("""COMPUTED_VALUE"""),45030.0)</f>
        <v>45030</v>
      </c>
      <c r="O688" s="45">
        <f>IFERROR(__xludf.DUMMYFUNCTION("""COMPUTED_VALUE"""),45103.0)</f>
        <v>45103</v>
      </c>
      <c r="P688" s="45">
        <f>IFERROR(__xludf.DUMMYFUNCTION("""COMPUTED_VALUE"""),45145.0)</f>
        <v>45145</v>
      </c>
      <c r="Q688" s="45">
        <f>IFERROR(__xludf.DUMMYFUNCTION("""COMPUTED_VALUE"""),45117.0)</f>
        <v>45117</v>
      </c>
      <c r="R688" s="45">
        <f>IFERROR(__xludf.DUMMYFUNCTION("""COMPUTED_VALUE"""),45159.0)</f>
        <v>45159</v>
      </c>
      <c r="S688" s="43"/>
      <c r="T688" s="43"/>
      <c r="U688" s="43" t="str">
        <f>IFERROR(__xludf.DUMMYFUNCTION("""COMPUTED_VALUE"""),"Global Classroom")</f>
        <v>Global Classroom</v>
      </c>
      <c r="V688" s="43" t="str">
        <f>IFERROR(__xludf.DUMMYFUNCTION("""COMPUTED_VALUE"""),"-")</f>
        <v>-</v>
      </c>
      <c r="W688" s="43" t="str">
        <f>IFERROR(__xludf.DUMMYFUNCTION("""COMPUTED_VALUE"""),"2023-04-06T21:52:08Z")</f>
        <v>2023-04-06T21:52:08Z</v>
      </c>
      <c r="X688" s="43"/>
      <c r="Y688" s="43"/>
      <c r="Z688" s="43"/>
    </row>
    <row r="689">
      <c r="A689" s="43" t="str">
        <f>IFERROR(__xludf.DUMMYFUNCTION("""COMPUTED_VALUE"""),"5179817_1294197")</f>
        <v>5179817_1294197</v>
      </c>
      <c r="B689" s="43" t="str">
        <f>IFERROR(__xludf.DUMMYFUNCTION("""COMPUTED_VALUE"""),"DHOUIB Amal")</f>
        <v>DHOUIB Amal</v>
      </c>
      <c r="C689" s="43" t="str">
        <f>IFERROR(__xludf.DUMMYFUNCTION("""COMPUTED_VALUE"""),"approved")</f>
        <v>approved</v>
      </c>
      <c r="D689" s="43" t="str">
        <f>IFERROR(__xludf.DUMMYFUNCTION("""COMPUTED_VALUE"""),"No")</f>
        <v>No</v>
      </c>
      <c r="E689" s="43" t="str">
        <f>IFERROR(__xludf.DUMMYFUNCTION("""COMPUTED_VALUE"""),"p_50bf51b00c62f55d83daf62c45b907855a590ca4@inbound.aiesec.org")</f>
        <v>p_50bf51b00c62f55d83daf62c45b907855a590ca4@inbound.aiesec.org</v>
      </c>
      <c r="F689" s="43"/>
      <c r="G689" s="43" t="str">
        <f>IFERROR(__xludf.DUMMYFUNCTION("""COMPUTED_VALUE"""),"Tunisia")</f>
        <v>Tunisia</v>
      </c>
      <c r="H689" s="43" t="str">
        <f>IFERROR(__xludf.DUMMYFUNCTION("""COMPUTED_VALUE"""),"BARDO")</f>
        <v>BARDO</v>
      </c>
      <c r="I689" s="43" t="str">
        <f>IFERROR(__xludf.DUMMYFUNCTION("""COMPUTED_VALUE"""),"Turkey")</f>
        <v>Turkey</v>
      </c>
      <c r="J689" s="43" t="str">
        <f>IFERROR(__xludf.DUMMYFUNCTION("""COMPUTED_VALUE"""),"SAMSUN")</f>
        <v>SAMSUN</v>
      </c>
      <c r="K689" s="44" t="str">
        <f>IFERROR(__xludf.DUMMYFUNCTION("""COMPUTED_VALUE"""),"https://expa.aiesec.org/opportunities/1294197")</f>
        <v>https://expa.aiesec.org/opportunities/1294197</v>
      </c>
      <c r="L689" s="43" t="str">
        <f>IFERROR(__xludf.DUMMYFUNCTION("""COMPUTED_VALUE"""),"GV")</f>
        <v>GV</v>
      </c>
      <c r="M689" s="43" t="str">
        <f>IFERROR(__xludf.DUMMYFUNCTION("""COMPUTED_VALUE"""),"short")</f>
        <v>short</v>
      </c>
      <c r="N689" s="45">
        <f>IFERROR(__xludf.DUMMYFUNCTION("""COMPUTED_VALUE"""),45030.0)</f>
        <v>45030</v>
      </c>
      <c r="O689" s="45">
        <f>IFERROR(__xludf.DUMMYFUNCTION("""COMPUTED_VALUE"""),45103.0)</f>
        <v>45103</v>
      </c>
      <c r="P689" s="45">
        <f>IFERROR(__xludf.DUMMYFUNCTION("""COMPUTED_VALUE"""),45145.0)</f>
        <v>45145</v>
      </c>
      <c r="Q689" s="45"/>
      <c r="R689" s="45"/>
      <c r="S689" s="43"/>
      <c r="T689" s="43"/>
      <c r="U689" s="43" t="str">
        <f>IFERROR(__xludf.DUMMYFUNCTION("""COMPUTED_VALUE"""),"Global Classroom")</f>
        <v>Global Classroom</v>
      </c>
      <c r="V689" s="43" t="str">
        <f>IFERROR(__xludf.DUMMYFUNCTION("""COMPUTED_VALUE"""),"-")</f>
        <v>-</v>
      </c>
      <c r="W689" s="43" t="str">
        <f>IFERROR(__xludf.DUMMYFUNCTION("""COMPUTED_VALUE"""),"2023-01-23T20:00:52Z")</f>
        <v>2023-01-23T20:00:52Z</v>
      </c>
      <c r="X689" s="43"/>
      <c r="Y689" s="43"/>
      <c r="Z689" s="43"/>
    </row>
    <row r="690" hidden="1">
      <c r="A690" s="43" t="str">
        <f>IFERROR(__xludf.DUMMYFUNCTION("""COMPUTED_VALUE"""),"5239503_1294103")</f>
        <v>5239503_1294103</v>
      </c>
      <c r="B690" s="43" t="str">
        <f>IFERROR(__xludf.DUMMYFUNCTION("""COMPUTED_VALUE"""),"Asmaa Ahmed")</f>
        <v>Asmaa Ahmed</v>
      </c>
      <c r="C690" s="43" t="str">
        <f>IFERROR(__xludf.DUMMYFUNCTION("""COMPUTED_VALUE"""),"approved")</f>
        <v>approved</v>
      </c>
      <c r="D690" s="43" t="str">
        <f>IFERROR(__xludf.DUMMYFUNCTION("""COMPUTED_VALUE"""),"No")</f>
        <v>No</v>
      </c>
      <c r="E690" s="43" t="str">
        <f>IFERROR(__xludf.DUMMYFUNCTION("""COMPUTED_VALUE"""),"p_1b87603debd1a9be15946f9c93750b552b2fa359@inbound.aiesec.org")</f>
        <v>p_1b87603debd1a9be15946f9c93750b552b2fa359@inbound.aiesec.org</v>
      </c>
      <c r="F690" s="43">
        <f>IFERROR(__xludf.DUMMYFUNCTION("""COMPUTED_VALUE"""),1.099123638E9)</f>
        <v>1099123638</v>
      </c>
      <c r="G690" s="43" t="str">
        <f>IFERROR(__xludf.DUMMYFUNCTION("""COMPUTED_VALUE"""),"Egypt")</f>
        <v>Egypt</v>
      </c>
      <c r="H690" s="43" t="str">
        <f>IFERROR(__xludf.DUMMYFUNCTION("""COMPUTED_VALUE"""),"AAST In CAIRO")</f>
        <v>AAST In CAIRO</v>
      </c>
      <c r="I690" s="43" t="str">
        <f>IFERROR(__xludf.DUMMYFUNCTION("""COMPUTED_VALUE"""),"Turkey")</f>
        <v>Turkey</v>
      </c>
      <c r="J690" s="43" t="str">
        <f>IFERROR(__xludf.DUMMYFUNCTION("""COMPUTED_VALUE"""),"İZMİR")</f>
        <v>İZMİR</v>
      </c>
      <c r="K690" s="44" t="str">
        <f>IFERROR(__xludf.DUMMYFUNCTION("""COMPUTED_VALUE"""),"https://expa.aiesec.org/opportunities/1294103")</f>
        <v>https://expa.aiesec.org/opportunities/1294103</v>
      </c>
      <c r="L690" s="43" t="str">
        <f>IFERROR(__xludf.DUMMYFUNCTION("""COMPUTED_VALUE"""),"GV")</f>
        <v>GV</v>
      </c>
      <c r="M690" s="43" t="str">
        <f>IFERROR(__xludf.DUMMYFUNCTION("""COMPUTED_VALUE"""),"short")</f>
        <v>short</v>
      </c>
      <c r="N690" s="45">
        <f>IFERROR(__xludf.DUMMYFUNCTION("""COMPUTED_VALUE"""),45030.0)</f>
        <v>45030</v>
      </c>
      <c r="O690" s="45">
        <f>IFERROR(__xludf.DUMMYFUNCTION("""COMPUTED_VALUE"""),45145.0)</f>
        <v>45145</v>
      </c>
      <c r="P690" s="45">
        <f>IFERROR(__xludf.DUMMYFUNCTION("""COMPUTED_VALUE"""),45187.0)</f>
        <v>45187</v>
      </c>
      <c r="Q690" s="45"/>
      <c r="R690" s="45"/>
      <c r="S690" s="43"/>
      <c r="T690" s="43"/>
      <c r="U690" s="43" t="str">
        <f>IFERROR(__xludf.DUMMYFUNCTION("""COMPUTED_VALUE"""),"Skill Up!")</f>
        <v>Skill Up!</v>
      </c>
      <c r="V690" s="43" t="str">
        <f>IFERROR(__xludf.DUMMYFUNCTION("""COMPUTED_VALUE"""),"BUE University")</f>
        <v>BUE University</v>
      </c>
      <c r="W690" s="43" t="str">
        <f>IFERROR(__xludf.DUMMYFUNCTION("""COMPUTED_VALUE"""),"2023-04-11T12:29:03Z")</f>
        <v>2023-04-11T12:29:03Z</v>
      </c>
      <c r="X690" s="43"/>
      <c r="Y690" s="43"/>
      <c r="Z690" s="43"/>
    </row>
    <row r="691" hidden="1">
      <c r="A691" s="43" t="str">
        <f>IFERROR(__xludf.DUMMYFUNCTION("""COMPUTED_VALUE"""),"5205769_1294061")</f>
        <v>5205769_1294061</v>
      </c>
      <c r="B691" s="43" t="str">
        <f>IFERROR(__xludf.DUMMYFUNCTION("""COMPUTED_VALUE"""),"Salma Bekkar")</f>
        <v>Salma Bekkar</v>
      </c>
      <c r="C691" s="43" t="str">
        <f>IFERROR(__xludf.DUMMYFUNCTION("""COMPUTED_VALUE"""),"approved")</f>
        <v>approved</v>
      </c>
      <c r="D691" s="43" t="str">
        <f>IFERROR(__xludf.DUMMYFUNCTION("""COMPUTED_VALUE"""),"No")</f>
        <v>No</v>
      </c>
      <c r="E691" s="43" t="str">
        <f>IFERROR(__xludf.DUMMYFUNCTION("""COMPUTED_VALUE"""),"p_c200656d8060d0fd4b050d4b8c0fa6ece21eef1e@inbound.aiesec.org")</f>
        <v>p_c200656d8060d0fd4b050d4b8c0fa6ece21eef1e@inbound.aiesec.org</v>
      </c>
      <c r="F691" s="43">
        <f>IFERROR(__xludf.DUMMYFUNCTION("""COMPUTED_VALUE"""),3.4784448E9)</f>
        <v>3478444800</v>
      </c>
      <c r="G691" s="43" t="str">
        <f>IFERROR(__xludf.DUMMYFUNCTION("""COMPUTED_VALUE"""),"Italy")</f>
        <v>Italy</v>
      </c>
      <c r="H691" s="43" t="str">
        <f>IFERROR(__xludf.DUMMYFUNCTION("""COMPUTED_VALUE"""),"Milano")</f>
        <v>Milano</v>
      </c>
      <c r="I691" s="43" t="str">
        <f>IFERROR(__xludf.DUMMYFUNCTION("""COMPUTED_VALUE"""),"Turkey")</f>
        <v>Turkey</v>
      </c>
      <c r="J691" s="43" t="str">
        <f>IFERROR(__xludf.DUMMYFUNCTION("""COMPUTED_VALUE"""),"KOCAELI")</f>
        <v>KOCAELI</v>
      </c>
      <c r="K691" s="44" t="str">
        <f>IFERROR(__xludf.DUMMYFUNCTION("""COMPUTED_VALUE"""),"https://expa.aiesec.org/opportunities/1294061")</f>
        <v>https://expa.aiesec.org/opportunities/1294061</v>
      </c>
      <c r="L691" s="43" t="str">
        <f>IFERROR(__xludf.DUMMYFUNCTION("""COMPUTED_VALUE"""),"GV")</f>
        <v>GV</v>
      </c>
      <c r="M691" s="43" t="str">
        <f>IFERROR(__xludf.DUMMYFUNCTION("""COMPUTED_VALUE"""),"short")</f>
        <v>short</v>
      </c>
      <c r="N691" s="45">
        <f>IFERROR(__xludf.DUMMYFUNCTION("""COMPUTED_VALUE"""),45030.0)</f>
        <v>45030</v>
      </c>
      <c r="O691" s="45">
        <f>IFERROR(__xludf.DUMMYFUNCTION("""COMPUTED_VALUE"""),45139.0)</f>
        <v>45139</v>
      </c>
      <c r="P691" s="45">
        <f>IFERROR(__xludf.DUMMYFUNCTION("""COMPUTED_VALUE"""),45181.0)</f>
        <v>45181</v>
      </c>
      <c r="Q691" s="45"/>
      <c r="R691" s="45"/>
      <c r="S691" s="43"/>
      <c r="T691" s="43"/>
      <c r="U691" s="43" t="str">
        <f>IFERROR(__xludf.DUMMYFUNCTION("""COMPUTED_VALUE"""),"Global Classroom")</f>
        <v>Global Classroom</v>
      </c>
      <c r="V691" s="43" t="str">
        <f>IFERROR(__xludf.DUMMYFUNCTION("""COMPUTED_VALUE"""),"Milano - Bocconi, Cattolica, Bicocca, Politecnico e altre università")</f>
        <v>Milano - Bocconi, Cattolica, Bicocca, Politecnico e altre università</v>
      </c>
      <c r="W691" s="43" t="str">
        <f>IFERROR(__xludf.DUMMYFUNCTION("""COMPUTED_VALUE"""),"2023-03-04T17:15:16Z")</f>
        <v>2023-03-04T17:15:16Z</v>
      </c>
      <c r="X691" s="43"/>
      <c r="Y691" s="43"/>
      <c r="Z691" s="43"/>
    </row>
    <row r="692" hidden="1">
      <c r="A692" s="43" t="str">
        <f>IFERROR(__xludf.DUMMYFUNCTION("""COMPUTED_VALUE"""),"5237618_1291929")</f>
        <v>5237618_1291929</v>
      </c>
      <c r="B692" s="43" t="str">
        <f>IFERROR(__xludf.DUMMYFUNCTION("""COMPUTED_VALUE"""),"Sara Aliyeva")</f>
        <v>Sara Aliyeva</v>
      </c>
      <c r="C692" s="43" t="str">
        <f>IFERROR(__xludf.DUMMYFUNCTION("""COMPUTED_VALUE"""),"approved")</f>
        <v>approved</v>
      </c>
      <c r="D692" s="43" t="str">
        <f>IFERROR(__xludf.DUMMYFUNCTION("""COMPUTED_VALUE"""),"No")</f>
        <v>No</v>
      </c>
      <c r="E692" s="43" t="str">
        <f>IFERROR(__xludf.DUMMYFUNCTION("""COMPUTED_VALUE"""),"p_b2000e645414d3e46087b9d1e78422b0ca631dd8@inbound.aiesec.org")</f>
        <v>p_b2000e645414d3e46087b9d1e78422b0ca631dd8@inbound.aiesec.org</v>
      </c>
      <c r="F692" s="43"/>
      <c r="G692" s="43" t="str">
        <f>IFERROR(__xludf.DUMMYFUNCTION("""COMPUTED_VALUE"""),"Azerbaijan")</f>
        <v>Azerbaijan</v>
      </c>
      <c r="H692" s="43" t="str">
        <f>IFERROR(__xludf.DUMMYFUNCTION("""COMPUTED_VALUE"""),"Baku ADA")</f>
        <v>Baku ADA</v>
      </c>
      <c r="I692" s="43" t="str">
        <f>IFERROR(__xludf.DUMMYFUNCTION("""COMPUTED_VALUE"""),"Turkey")</f>
        <v>Turkey</v>
      </c>
      <c r="J692" s="43" t="str">
        <f>IFERROR(__xludf.DUMMYFUNCTION("""COMPUTED_VALUE"""),"TRABZON")</f>
        <v>TRABZON</v>
      </c>
      <c r="K692" s="44" t="str">
        <f>IFERROR(__xludf.DUMMYFUNCTION("""COMPUTED_VALUE"""),"https://expa.aiesec.org/opportunities/1291929")</f>
        <v>https://expa.aiesec.org/opportunities/1291929</v>
      </c>
      <c r="L692" s="43" t="str">
        <f>IFERROR(__xludf.DUMMYFUNCTION("""COMPUTED_VALUE"""),"GV")</f>
        <v>GV</v>
      </c>
      <c r="M692" s="43" t="str">
        <f>IFERROR(__xludf.DUMMYFUNCTION("""COMPUTED_VALUE"""),"short")</f>
        <v>short</v>
      </c>
      <c r="N692" s="45">
        <f>IFERROR(__xludf.DUMMYFUNCTION("""COMPUTED_VALUE"""),45030.0)</f>
        <v>45030</v>
      </c>
      <c r="O692" s="45">
        <f>IFERROR(__xludf.DUMMYFUNCTION("""COMPUTED_VALUE"""),45128.0)</f>
        <v>45128</v>
      </c>
      <c r="P692" s="45">
        <f>IFERROR(__xludf.DUMMYFUNCTION("""COMPUTED_VALUE"""),45170.0)</f>
        <v>45170</v>
      </c>
      <c r="Q692" s="45"/>
      <c r="R692" s="45"/>
      <c r="S692" s="43"/>
      <c r="T692" s="43"/>
      <c r="U692" s="43" t="str">
        <f>IFERROR(__xludf.DUMMYFUNCTION("""COMPUTED_VALUE"""),"Global Classroom")</f>
        <v>Global Classroom</v>
      </c>
      <c r="V692" s="43" t="str">
        <f>IFERROR(__xludf.DUMMYFUNCTION("""COMPUTED_VALUE"""),"-")</f>
        <v>-</v>
      </c>
      <c r="W692" s="43" t="str">
        <f>IFERROR(__xludf.DUMMYFUNCTION("""COMPUTED_VALUE"""),"2023-04-08T14:08:04Z")</f>
        <v>2023-04-08T14:08:04Z</v>
      </c>
      <c r="X692" s="43"/>
      <c r="Y692" s="43"/>
      <c r="Z692" s="43"/>
    </row>
    <row r="693" hidden="1">
      <c r="A693" s="43" t="str">
        <f>IFERROR(__xludf.DUMMYFUNCTION("""COMPUTED_VALUE"""),"4661501_1292773")</f>
        <v>4661501_1292773</v>
      </c>
      <c r="B693" s="43" t="str">
        <f>IFERROR(__xludf.DUMMYFUNCTION("""COMPUTED_VALUE"""),"Sara Rafiq")</f>
        <v>Sara Rafiq</v>
      </c>
      <c r="C693" s="43" t="str">
        <f>IFERROR(__xludf.DUMMYFUNCTION("""COMPUTED_VALUE"""),"finished")</f>
        <v>finished</v>
      </c>
      <c r="D693" s="43" t="str">
        <f>IFERROR(__xludf.DUMMYFUNCTION("""COMPUTED_VALUE"""),"No")</f>
        <v>No</v>
      </c>
      <c r="E693" s="43" t="str">
        <f>IFERROR(__xludf.DUMMYFUNCTION("""COMPUTED_VALUE"""),"p_619351fad8ad80f83f6a8223b49dd47b2f31b9de@inbound.aiesec.org")</f>
        <v>p_619351fad8ad80f83f6a8223b49dd47b2f31b9de@inbound.aiesec.org</v>
      </c>
      <c r="F693" s="43">
        <f>IFERROR(__xludf.DUMMYFUNCTION("""COMPUTED_VALUE"""),3.045915464E9)</f>
        <v>3045915464</v>
      </c>
      <c r="G693" s="43" t="str">
        <f>IFERROR(__xludf.DUMMYFUNCTION("""COMPUTED_VALUE"""),"Pakistan")</f>
        <v>Pakistan</v>
      </c>
      <c r="H693" s="43" t="str">
        <f>IFERROR(__xludf.DUMMYFUNCTION("""COMPUTED_VALUE"""),"IBA")</f>
        <v>IBA</v>
      </c>
      <c r="I693" s="43" t="str">
        <f>IFERROR(__xludf.DUMMYFUNCTION("""COMPUTED_VALUE"""),"Turkey")</f>
        <v>Turkey</v>
      </c>
      <c r="J693" s="43" t="str">
        <f>IFERROR(__xludf.DUMMYFUNCTION("""COMPUTED_VALUE"""),"ESKISEHIR")</f>
        <v>ESKISEHIR</v>
      </c>
      <c r="K693" s="44" t="str">
        <f>IFERROR(__xludf.DUMMYFUNCTION("""COMPUTED_VALUE"""),"https://expa.aiesec.org/opportunities/1292773")</f>
        <v>https://expa.aiesec.org/opportunities/1292773</v>
      </c>
      <c r="L693" s="43" t="str">
        <f>IFERROR(__xludf.DUMMYFUNCTION("""COMPUTED_VALUE"""),"GV")</f>
        <v>GV</v>
      </c>
      <c r="M693" s="43" t="str">
        <f>IFERROR(__xludf.DUMMYFUNCTION("""COMPUTED_VALUE"""),"short")</f>
        <v>short</v>
      </c>
      <c r="N693" s="45">
        <f>IFERROR(__xludf.DUMMYFUNCTION("""COMPUTED_VALUE"""),45030.0)</f>
        <v>45030</v>
      </c>
      <c r="O693" s="45">
        <f>IFERROR(__xludf.DUMMYFUNCTION("""COMPUTED_VALUE"""),45103.0)</f>
        <v>45103</v>
      </c>
      <c r="P693" s="45">
        <f>IFERROR(__xludf.DUMMYFUNCTION("""COMPUTED_VALUE"""),45145.0)</f>
        <v>45145</v>
      </c>
      <c r="Q693" s="45">
        <f>IFERROR(__xludf.DUMMYFUNCTION("""COMPUTED_VALUE"""),45109.0)</f>
        <v>45109</v>
      </c>
      <c r="R693" s="45">
        <f>IFERROR(__xludf.DUMMYFUNCTION("""COMPUTED_VALUE"""),45150.0)</f>
        <v>45150</v>
      </c>
      <c r="S693" s="43"/>
      <c r="T693" s="43"/>
      <c r="U693" s="43" t="str">
        <f>IFERROR(__xludf.DUMMYFUNCTION("""COMPUTED_VALUE"""),"Raise Your Voice")</f>
        <v>Raise Your Voice</v>
      </c>
      <c r="V693" s="43" t="str">
        <f>IFERROR(__xludf.DUMMYFUNCTION("""COMPUTED_VALUE"""),"Karachi - IBA")</f>
        <v>Karachi - IBA</v>
      </c>
      <c r="W693" s="43" t="str">
        <f>IFERROR(__xludf.DUMMYFUNCTION("""COMPUTED_VALUE"""),"2021-06-06T11:57:08Z")</f>
        <v>2021-06-06T11:57:08Z</v>
      </c>
      <c r="X693" s="43"/>
      <c r="Y693" s="43"/>
      <c r="Z693" s="43"/>
    </row>
    <row r="694" hidden="1">
      <c r="A694" s="43" t="str">
        <f>IFERROR(__xludf.DUMMYFUNCTION("""COMPUTED_VALUE"""),"5222380_1286034")</f>
        <v>5222380_1286034</v>
      </c>
      <c r="B694" s="43" t="str">
        <f>IFERROR(__xludf.DUMMYFUNCTION("""COMPUTED_VALUE"""),"Makpal Alikhaidarova")</f>
        <v>Makpal Alikhaidarova</v>
      </c>
      <c r="C694" s="43" t="str">
        <f>IFERROR(__xludf.DUMMYFUNCTION("""COMPUTED_VALUE"""),"realization_broken")</f>
        <v>realization_broken</v>
      </c>
      <c r="D694" s="43" t="str">
        <f>IFERROR(__xludf.DUMMYFUNCTION("""COMPUTED_VALUE"""),"No")</f>
        <v>No</v>
      </c>
      <c r="E694" s="43" t="str">
        <f>IFERROR(__xludf.DUMMYFUNCTION("""COMPUTED_VALUE"""),"p_5c126208fba0ae3aaa0f31adfdaa966ba23a2c40@inbound.aiesec.org")</f>
        <v>p_5c126208fba0ae3aaa0f31adfdaa966ba23a2c40@inbound.aiesec.org</v>
      </c>
      <c r="F694" s="43">
        <f>IFERROR(__xludf.DUMMYFUNCTION("""COMPUTED_VALUE"""),7.757295218E9)</f>
        <v>7757295218</v>
      </c>
      <c r="G694" s="43" t="str">
        <f>IFERROR(__xludf.DUMMYFUNCTION("""COMPUTED_VALUE"""),"Kazakhstan")</f>
        <v>Kazakhstan</v>
      </c>
      <c r="H694" s="43" t="str">
        <f>IFERROR(__xludf.DUMMYFUNCTION("""COMPUTED_VALUE"""),"Astana")</f>
        <v>Astana</v>
      </c>
      <c r="I694" s="43" t="str">
        <f>IFERROR(__xludf.DUMMYFUNCTION("""COMPUTED_VALUE"""),"Turkey")</f>
        <v>Turkey</v>
      </c>
      <c r="J694" s="43" t="str">
        <f>IFERROR(__xludf.DUMMYFUNCTION("""COMPUTED_VALUE"""),"ANTALYA")</f>
        <v>ANTALYA</v>
      </c>
      <c r="K694" s="44" t="str">
        <f>IFERROR(__xludf.DUMMYFUNCTION("""COMPUTED_VALUE"""),"https://expa.aiesec.org/opportunities/1286034")</f>
        <v>https://expa.aiesec.org/opportunities/1286034</v>
      </c>
      <c r="L694" s="43" t="str">
        <f>IFERROR(__xludf.DUMMYFUNCTION("""COMPUTED_VALUE"""),"GV")</f>
        <v>GV</v>
      </c>
      <c r="M694" s="43" t="str">
        <f>IFERROR(__xludf.DUMMYFUNCTION("""COMPUTED_VALUE"""),"short")</f>
        <v>short</v>
      </c>
      <c r="N694" s="45">
        <f>IFERROR(__xludf.DUMMYFUNCTION("""COMPUTED_VALUE"""),45030.0)</f>
        <v>45030</v>
      </c>
      <c r="O694" s="45">
        <f>IFERROR(__xludf.DUMMYFUNCTION("""COMPUTED_VALUE"""),45110.0)</f>
        <v>45110</v>
      </c>
      <c r="P694" s="45">
        <f>IFERROR(__xludf.DUMMYFUNCTION("""COMPUTED_VALUE"""),45152.0)</f>
        <v>45152</v>
      </c>
      <c r="Q694" s="45"/>
      <c r="R694" s="45"/>
      <c r="S694" s="43"/>
      <c r="T694" s="43"/>
      <c r="U694" s="43" t="str">
        <f>IFERROR(__xludf.DUMMYFUNCTION("""COMPUTED_VALUE"""),"Global Classroom")</f>
        <v>Global Classroom</v>
      </c>
      <c r="V694" s="43" t="str">
        <f>IFERROR(__xludf.DUMMYFUNCTION("""COMPUTED_VALUE"""),"Karagandy")</f>
        <v>Karagandy</v>
      </c>
      <c r="W694" s="43" t="str">
        <f>IFERROR(__xludf.DUMMYFUNCTION("""COMPUTED_VALUE"""),"2023-03-21T09:35:01Z")</f>
        <v>2023-03-21T09:35:01Z</v>
      </c>
      <c r="X694" s="43"/>
      <c r="Y694" s="43"/>
      <c r="Z694" s="43"/>
    </row>
    <row r="695" hidden="1">
      <c r="A695" s="43" t="str">
        <f>IFERROR(__xludf.DUMMYFUNCTION("""COMPUTED_VALUE"""),"5242641_1292557")</f>
        <v>5242641_1292557</v>
      </c>
      <c r="B695" s="43" t="str">
        <f>IFERROR(__xludf.DUMMYFUNCTION("""COMPUTED_VALUE"""),"nourssaine halloul")</f>
        <v>nourssaine halloul</v>
      </c>
      <c r="C695" s="43" t="str">
        <f>IFERROR(__xludf.DUMMYFUNCTION("""COMPUTED_VALUE"""),"completed")</f>
        <v>completed</v>
      </c>
      <c r="D695" s="43" t="str">
        <f>IFERROR(__xludf.DUMMYFUNCTION("""COMPUTED_VALUE"""),"No")</f>
        <v>No</v>
      </c>
      <c r="E695" s="43" t="str">
        <f>IFERROR(__xludf.DUMMYFUNCTION("""COMPUTED_VALUE"""),"p_ec68a36fa64df503af7fb6a56175a1906cac8680@inbound.aiesec.org")</f>
        <v>p_ec68a36fa64df503af7fb6a56175a1906cac8680@inbound.aiesec.org</v>
      </c>
      <c r="F695" s="43">
        <f>IFERROR(__xludf.DUMMYFUNCTION("""COMPUTED_VALUE"""),5.5418486E7)</f>
        <v>55418486</v>
      </c>
      <c r="G695" s="43" t="str">
        <f>IFERROR(__xludf.DUMMYFUNCTION("""COMPUTED_VALUE"""),"Tunisia")</f>
        <v>Tunisia</v>
      </c>
      <c r="H695" s="43" t="str">
        <f>IFERROR(__xludf.DUMMYFUNCTION("""COMPUTED_VALUE"""),"HADRUMET")</f>
        <v>HADRUMET</v>
      </c>
      <c r="I695" s="43" t="str">
        <f>IFERROR(__xludf.DUMMYFUNCTION("""COMPUTED_VALUE"""),"Turkey")</f>
        <v>Turkey</v>
      </c>
      <c r="J695" s="43" t="str">
        <f>IFERROR(__xludf.DUMMYFUNCTION("""COMPUTED_VALUE"""),"DENIZLI")</f>
        <v>DENIZLI</v>
      </c>
      <c r="K695" s="44" t="str">
        <f>IFERROR(__xludf.DUMMYFUNCTION("""COMPUTED_VALUE"""),"https://expa.aiesec.org/opportunities/1292557")</f>
        <v>https://expa.aiesec.org/opportunities/1292557</v>
      </c>
      <c r="L695" s="43" t="str">
        <f>IFERROR(__xludf.DUMMYFUNCTION("""COMPUTED_VALUE"""),"GV")</f>
        <v>GV</v>
      </c>
      <c r="M695" s="43" t="str">
        <f>IFERROR(__xludf.DUMMYFUNCTION("""COMPUTED_VALUE"""),"short")</f>
        <v>short</v>
      </c>
      <c r="N695" s="45">
        <f>IFERROR(__xludf.DUMMYFUNCTION("""COMPUTED_VALUE"""),45031.0)</f>
        <v>45031</v>
      </c>
      <c r="O695" s="45">
        <f>IFERROR(__xludf.DUMMYFUNCTION("""COMPUTED_VALUE"""),45117.0)</f>
        <v>45117</v>
      </c>
      <c r="P695" s="45">
        <f>IFERROR(__xludf.DUMMYFUNCTION("""COMPUTED_VALUE"""),45159.0)</f>
        <v>45159</v>
      </c>
      <c r="Q695" s="45">
        <f>IFERROR(__xludf.DUMMYFUNCTION("""COMPUTED_VALUE"""),45117.0)</f>
        <v>45117</v>
      </c>
      <c r="R695" s="45">
        <f>IFERROR(__xludf.DUMMYFUNCTION("""COMPUTED_VALUE"""),45159.0)</f>
        <v>45159</v>
      </c>
      <c r="S695" s="43"/>
      <c r="T695" s="43"/>
      <c r="U695" s="43" t="str">
        <f>IFERROR(__xludf.DUMMYFUNCTION("""COMPUTED_VALUE"""),"Equify")</f>
        <v>Equify</v>
      </c>
      <c r="V695" s="43" t="str">
        <f>IFERROR(__xludf.DUMMYFUNCTION("""COMPUTED_VALUE"""),"ISSAT Sousse")</f>
        <v>ISSAT Sousse</v>
      </c>
      <c r="W695" s="43" t="str">
        <f>IFERROR(__xludf.DUMMYFUNCTION("""COMPUTED_VALUE"""),"2023-04-15T15:06:20Z")</f>
        <v>2023-04-15T15:06:20Z</v>
      </c>
      <c r="X695" s="43"/>
      <c r="Y695" s="43"/>
      <c r="Z695" s="43"/>
    </row>
    <row r="696" hidden="1">
      <c r="A696" s="43" t="str">
        <f>IFERROR(__xludf.DUMMYFUNCTION("""COMPUTED_VALUE"""),"5236451_1294197")</f>
        <v>5236451_1294197</v>
      </c>
      <c r="B696" s="43" t="str">
        <f>IFERROR(__xludf.DUMMYFUNCTION("""COMPUTED_VALUE"""),"sabrine khamassi")</f>
        <v>sabrine khamassi</v>
      </c>
      <c r="C696" s="43" t="str">
        <f>IFERROR(__xludf.DUMMYFUNCTION("""COMPUTED_VALUE"""),"completed")</f>
        <v>completed</v>
      </c>
      <c r="D696" s="43" t="str">
        <f>IFERROR(__xludf.DUMMYFUNCTION("""COMPUTED_VALUE"""),"No")</f>
        <v>No</v>
      </c>
      <c r="E696" s="43" t="str">
        <f>IFERROR(__xludf.DUMMYFUNCTION("""COMPUTED_VALUE"""),"p_0421f75735c5b57e349320b6d560d3edb8308bcb@inbound.aiesec.org")</f>
        <v>p_0421f75735c5b57e349320b6d560d3edb8308bcb@inbound.aiesec.org</v>
      </c>
      <c r="F696" s="43"/>
      <c r="G696" s="43" t="str">
        <f>IFERROR(__xludf.DUMMYFUNCTION("""COMPUTED_VALUE"""),"Tunisia")</f>
        <v>Tunisia</v>
      </c>
      <c r="H696" s="43" t="str">
        <f>IFERROR(__xludf.DUMMYFUNCTION("""COMPUTED_VALUE"""),"BARDO")</f>
        <v>BARDO</v>
      </c>
      <c r="I696" s="43" t="str">
        <f>IFERROR(__xludf.DUMMYFUNCTION("""COMPUTED_VALUE"""),"Turkey")</f>
        <v>Turkey</v>
      </c>
      <c r="J696" s="43" t="str">
        <f>IFERROR(__xludf.DUMMYFUNCTION("""COMPUTED_VALUE"""),"SAMSUN [Closed]")</f>
        <v>SAMSUN [Closed]</v>
      </c>
      <c r="K696" s="44" t="str">
        <f>IFERROR(__xludf.DUMMYFUNCTION("""COMPUTED_VALUE"""),"https://expa.aiesec.org/opportunities/1294197")</f>
        <v>https://expa.aiesec.org/opportunities/1294197</v>
      </c>
      <c r="L696" s="43" t="str">
        <f>IFERROR(__xludf.DUMMYFUNCTION("""COMPUTED_VALUE"""),"GV")</f>
        <v>GV</v>
      </c>
      <c r="M696" s="43" t="str">
        <f>IFERROR(__xludf.DUMMYFUNCTION("""COMPUTED_VALUE"""),"short")</f>
        <v>short</v>
      </c>
      <c r="N696" s="45">
        <f>IFERROR(__xludf.DUMMYFUNCTION("""COMPUTED_VALUE"""),45031.0)</f>
        <v>45031</v>
      </c>
      <c r="O696" s="45">
        <f>IFERROR(__xludf.DUMMYFUNCTION("""COMPUTED_VALUE"""),45103.0)</f>
        <v>45103</v>
      </c>
      <c r="P696" s="45">
        <f>IFERROR(__xludf.DUMMYFUNCTION("""COMPUTED_VALUE"""),45145.0)</f>
        <v>45145</v>
      </c>
      <c r="Q696" s="45">
        <f>IFERROR(__xludf.DUMMYFUNCTION("""COMPUTED_VALUE"""),45117.0)</f>
        <v>45117</v>
      </c>
      <c r="R696" s="45">
        <f>IFERROR(__xludf.DUMMYFUNCTION("""COMPUTED_VALUE"""),45159.0)</f>
        <v>45159</v>
      </c>
      <c r="S696" s="43"/>
      <c r="T696" s="43"/>
      <c r="U696" s="43" t="str">
        <f>IFERROR(__xludf.DUMMYFUNCTION("""COMPUTED_VALUE"""),"Global Classroom")</f>
        <v>Global Classroom</v>
      </c>
      <c r="V696" s="43" t="str">
        <f>IFERROR(__xludf.DUMMYFUNCTION("""COMPUTED_VALUE"""),"-")</f>
        <v>-</v>
      </c>
      <c r="W696" s="43" t="str">
        <f>IFERROR(__xludf.DUMMYFUNCTION("""COMPUTED_VALUE"""),"2023-04-06T16:03:09Z")</f>
        <v>2023-04-06T16:03:09Z</v>
      </c>
      <c r="X696" s="43"/>
      <c r="Y696" s="43"/>
      <c r="Z696" s="43"/>
    </row>
    <row r="697" hidden="1">
      <c r="A697" s="43" t="str">
        <f>IFERROR(__xludf.DUMMYFUNCTION("""COMPUTED_VALUE"""),"5236455_1294197")</f>
        <v>5236455_1294197</v>
      </c>
      <c r="B697" s="43" t="str">
        <f>IFERROR(__xludf.DUMMYFUNCTION("""COMPUTED_VALUE"""),"oumaima khamassi")</f>
        <v>oumaima khamassi</v>
      </c>
      <c r="C697" s="43" t="str">
        <f>IFERROR(__xludf.DUMMYFUNCTION("""COMPUTED_VALUE"""),"completed")</f>
        <v>completed</v>
      </c>
      <c r="D697" s="43" t="str">
        <f>IFERROR(__xludf.DUMMYFUNCTION("""COMPUTED_VALUE"""),"No")</f>
        <v>No</v>
      </c>
      <c r="E697" s="43" t="str">
        <f>IFERROR(__xludf.DUMMYFUNCTION("""COMPUTED_VALUE"""),"p_51c6ad89ae30c70e5e2e4781f3c2744ad2ead5a7@inbound.aiesec.org")</f>
        <v>p_51c6ad89ae30c70e5e2e4781f3c2744ad2ead5a7@inbound.aiesec.org</v>
      </c>
      <c r="F697" s="43">
        <f>IFERROR(__xludf.DUMMYFUNCTION("""COMPUTED_VALUE"""),2.8848491E7)</f>
        <v>28848491</v>
      </c>
      <c r="G697" s="43" t="str">
        <f>IFERROR(__xludf.DUMMYFUNCTION("""COMPUTED_VALUE"""),"Tunisia")</f>
        <v>Tunisia</v>
      </c>
      <c r="H697" s="43" t="str">
        <f>IFERROR(__xludf.DUMMYFUNCTION("""COMPUTED_VALUE"""),"BARDO")</f>
        <v>BARDO</v>
      </c>
      <c r="I697" s="43" t="str">
        <f>IFERROR(__xludf.DUMMYFUNCTION("""COMPUTED_VALUE"""),"Turkey")</f>
        <v>Turkey</v>
      </c>
      <c r="J697" s="43" t="str">
        <f>IFERROR(__xludf.DUMMYFUNCTION("""COMPUTED_VALUE"""),"SAMSUN [Closed]")</f>
        <v>SAMSUN [Closed]</v>
      </c>
      <c r="K697" s="44" t="str">
        <f>IFERROR(__xludf.DUMMYFUNCTION("""COMPUTED_VALUE"""),"https://expa.aiesec.org/opportunities/1294197")</f>
        <v>https://expa.aiesec.org/opportunities/1294197</v>
      </c>
      <c r="L697" s="43" t="str">
        <f>IFERROR(__xludf.DUMMYFUNCTION("""COMPUTED_VALUE"""),"GV")</f>
        <v>GV</v>
      </c>
      <c r="M697" s="43" t="str">
        <f>IFERROR(__xludf.DUMMYFUNCTION("""COMPUTED_VALUE"""),"short")</f>
        <v>short</v>
      </c>
      <c r="N697" s="45">
        <f>IFERROR(__xludf.DUMMYFUNCTION("""COMPUTED_VALUE"""),45031.0)</f>
        <v>45031</v>
      </c>
      <c r="O697" s="45">
        <f>IFERROR(__xludf.DUMMYFUNCTION("""COMPUTED_VALUE"""),45103.0)</f>
        <v>45103</v>
      </c>
      <c r="P697" s="45">
        <f>IFERROR(__xludf.DUMMYFUNCTION("""COMPUTED_VALUE"""),45145.0)</f>
        <v>45145</v>
      </c>
      <c r="Q697" s="45">
        <f>IFERROR(__xludf.DUMMYFUNCTION("""COMPUTED_VALUE"""),45117.0)</f>
        <v>45117</v>
      </c>
      <c r="R697" s="45">
        <f>IFERROR(__xludf.DUMMYFUNCTION("""COMPUTED_VALUE"""),45159.0)</f>
        <v>45159</v>
      </c>
      <c r="S697" s="43"/>
      <c r="T697" s="43"/>
      <c r="U697" s="43" t="str">
        <f>IFERROR(__xludf.DUMMYFUNCTION("""COMPUTED_VALUE"""),"Global Classroom")</f>
        <v>Global Classroom</v>
      </c>
      <c r="V697" s="43" t="str">
        <f>IFERROR(__xludf.DUMMYFUNCTION("""COMPUTED_VALUE"""),"ESPRIT El Ghazela ")</f>
        <v>ESPRIT El Ghazela </v>
      </c>
      <c r="W697" s="43" t="str">
        <f>IFERROR(__xludf.DUMMYFUNCTION("""COMPUTED_VALUE"""),"2023-04-06T16:06:54Z")</f>
        <v>2023-04-06T16:06:54Z</v>
      </c>
      <c r="X697" s="43"/>
      <c r="Y697" s="43"/>
      <c r="Z697" s="43"/>
    </row>
    <row r="698" hidden="1">
      <c r="A698" s="43" t="str">
        <f>IFERROR(__xludf.DUMMYFUNCTION("""COMPUTED_VALUE"""),"5226251_1291881")</f>
        <v>5226251_1291881</v>
      </c>
      <c r="B698" s="43" t="str">
        <f>IFERROR(__xludf.DUMMYFUNCTION("""COMPUTED_VALUE"""),"Dana Ahmed")</f>
        <v>Dana Ahmed</v>
      </c>
      <c r="C698" s="43" t="str">
        <f>IFERROR(__xludf.DUMMYFUNCTION("""COMPUTED_VALUE"""),"completed")</f>
        <v>completed</v>
      </c>
      <c r="D698" s="43" t="str">
        <f>IFERROR(__xludf.DUMMYFUNCTION("""COMPUTED_VALUE"""),"No")</f>
        <v>No</v>
      </c>
      <c r="E698" s="43" t="str">
        <f>IFERROR(__xludf.DUMMYFUNCTION("""COMPUTED_VALUE"""),"p_0d1af9a0c3de6a80bd1296a28e497433a07c36f3@inbound.aiesec.org")</f>
        <v>p_0d1af9a0c3de6a80bd1296a28e497433a07c36f3@inbound.aiesec.org</v>
      </c>
      <c r="F698" s="43">
        <f>IFERROR(__xludf.DUMMYFUNCTION("""COMPUTED_VALUE"""),160998.0)</f>
        <v>160998</v>
      </c>
      <c r="G698" s="43" t="str">
        <f>IFERROR(__xludf.DUMMYFUNCTION("""COMPUTED_VALUE"""),"Egypt")</f>
        <v>Egypt</v>
      </c>
      <c r="H698" s="43" t="str">
        <f>IFERROR(__xludf.DUMMYFUNCTION("""COMPUTED_VALUE"""),"MIU")</f>
        <v>MIU</v>
      </c>
      <c r="I698" s="43" t="str">
        <f>IFERROR(__xludf.DUMMYFUNCTION("""COMPUTED_VALUE"""),"Turkey")</f>
        <v>Turkey</v>
      </c>
      <c r="J698" s="43" t="str">
        <f>IFERROR(__xludf.DUMMYFUNCTION("""COMPUTED_VALUE"""),"SAKARYA")</f>
        <v>SAKARYA</v>
      </c>
      <c r="K698" s="44" t="str">
        <f>IFERROR(__xludf.DUMMYFUNCTION("""COMPUTED_VALUE"""),"https://expa.aiesec.org/opportunities/1291881")</f>
        <v>https://expa.aiesec.org/opportunities/1291881</v>
      </c>
      <c r="L698" s="43" t="str">
        <f>IFERROR(__xludf.DUMMYFUNCTION("""COMPUTED_VALUE"""),"GV")</f>
        <v>GV</v>
      </c>
      <c r="M698" s="43" t="str">
        <f>IFERROR(__xludf.DUMMYFUNCTION("""COMPUTED_VALUE"""),"short")</f>
        <v>short</v>
      </c>
      <c r="N698" s="45">
        <f>IFERROR(__xludf.DUMMYFUNCTION("""COMPUTED_VALUE"""),45031.0)</f>
        <v>45031</v>
      </c>
      <c r="O698" s="45">
        <f>IFERROR(__xludf.DUMMYFUNCTION("""COMPUTED_VALUE"""),45114.0)</f>
        <v>45114</v>
      </c>
      <c r="P698" s="45">
        <f>IFERROR(__xludf.DUMMYFUNCTION("""COMPUTED_VALUE"""),45156.0)</f>
        <v>45156</v>
      </c>
      <c r="Q698" s="45">
        <f>IFERROR(__xludf.DUMMYFUNCTION("""COMPUTED_VALUE"""),45118.0)</f>
        <v>45118</v>
      </c>
      <c r="R698" s="45">
        <f>IFERROR(__xludf.DUMMYFUNCTION("""COMPUTED_VALUE"""),45159.0)</f>
        <v>45159</v>
      </c>
      <c r="S698" s="43"/>
      <c r="T698" s="43"/>
      <c r="U698" s="43" t="str">
        <f>IFERROR(__xludf.DUMMYFUNCTION("""COMPUTED_VALUE"""),"Youth 4 Impact")</f>
        <v>Youth 4 Impact</v>
      </c>
      <c r="V698" s="43" t="str">
        <f>IFERROR(__xludf.DUMMYFUNCTION("""COMPUTED_VALUE"""),"MIU University")</f>
        <v>MIU University</v>
      </c>
      <c r="W698" s="43" t="str">
        <f>IFERROR(__xludf.DUMMYFUNCTION("""COMPUTED_VALUE"""),"2023-03-24T21:50:24Z")</f>
        <v>2023-03-24T21:50:24Z</v>
      </c>
      <c r="X698" s="43"/>
      <c r="Y698" s="43"/>
      <c r="Z698" s="43"/>
    </row>
    <row r="699" hidden="1">
      <c r="A699" s="43" t="str">
        <f>IFERROR(__xludf.DUMMYFUNCTION("""COMPUTED_VALUE"""),"5231630_1272564")</f>
        <v>5231630_1272564</v>
      </c>
      <c r="B699" s="43" t="str">
        <f>IFERROR(__xludf.DUMMYFUNCTION("""COMPUTED_VALUE"""),"Сайя Кауханова")</f>
        <v>Сайя Кауханова</v>
      </c>
      <c r="C699" s="43" t="str">
        <f>IFERROR(__xludf.DUMMYFUNCTION("""COMPUTED_VALUE"""),"finished")</f>
        <v>finished</v>
      </c>
      <c r="D699" s="43" t="str">
        <f>IFERROR(__xludf.DUMMYFUNCTION("""COMPUTED_VALUE"""),"No")</f>
        <v>No</v>
      </c>
      <c r="E699" s="43" t="str">
        <f>IFERROR(__xludf.DUMMYFUNCTION("""COMPUTED_VALUE"""),"p_1a843f246f8fbe06858ce218c2daeb7a04249ae4@inbound.aiesec.org")</f>
        <v>p_1a843f246f8fbe06858ce218c2daeb7a04249ae4@inbound.aiesec.org</v>
      </c>
      <c r="F699" s="43"/>
      <c r="G699" s="43" t="str">
        <f>IFERROR(__xludf.DUMMYFUNCTION("""COMPUTED_VALUE"""),"Kazakhstan")</f>
        <v>Kazakhstan</v>
      </c>
      <c r="H699" s="43" t="str">
        <f>IFERROR(__xludf.DUMMYFUNCTION("""COMPUTED_VALUE"""),"ALMATY")</f>
        <v>ALMATY</v>
      </c>
      <c r="I699" s="43" t="str">
        <f>IFERROR(__xludf.DUMMYFUNCTION("""COMPUTED_VALUE"""),"Turkey")</f>
        <v>Turkey</v>
      </c>
      <c r="J699" s="43" t="str">
        <f>IFERROR(__xludf.DUMMYFUNCTION("""COMPUTED_VALUE"""),"ISTANBUL")</f>
        <v>ISTANBUL</v>
      </c>
      <c r="K699" s="44" t="str">
        <f>IFERROR(__xludf.DUMMYFUNCTION("""COMPUTED_VALUE"""),"https://expa.aiesec.org/opportunities/1272564")</f>
        <v>https://expa.aiesec.org/opportunities/1272564</v>
      </c>
      <c r="L699" s="43" t="str">
        <f>IFERROR(__xludf.DUMMYFUNCTION("""COMPUTED_VALUE"""),"GV")</f>
        <v>GV</v>
      </c>
      <c r="M699" s="43" t="str">
        <f>IFERROR(__xludf.DUMMYFUNCTION("""COMPUTED_VALUE"""),"short")</f>
        <v>short</v>
      </c>
      <c r="N699" s="45">
        <f>IFERROR(__xludf.DUMMYFUNCTION("""COMPUTED_VALUE"""),45031.0)</f>
        <v>45031</v>
      </c>
      <c r="O699" s="45">
        <f>IFERROR(__xludf.DUMMYFUNCTION("""COMPUTED_VALUE"""),45084.0)</f>
        <v>45084</v>
      </c>
      <c r="P699" s="45">
        <f>IFERROR(__xludf.DUMMYFUNCTION("""COMPUTED_VALUE"""),45126.0)</f>
        <v>45126</v>
      </c>
      <c r="Q699" s="45">
        <f>IFERROR(__xludf.DUMMYFUNCTION("""COMPUTED_VALUE"""),45084.0)</f>
        <v>45084</v>
      </c>
      <c r="R699" s="45">
        <f>IFERROR(__xludf.DUMMYFUNCTION("""COMPUTED_VALUE"""),45126.0)</f>
        <v>45126</v>
      </c>
      <c r="S699" s="43"/>
      <c r="T699" s="43"/>
      <c r="U699" s="43" t="str">
        <f>IFERROR(__xludf.DUMMYFUNCTION("""COMPUTED_VALUE"""),"Global Classroom")</f>
        <v>Global Classroom</v>
      </c>
      <c r="V699" s="43" t="str">
        <f>IFERROR(__xludf.DUMMYFUNCTION("""COMPUTED_VALUE"""),"-")</f>
        <v>-</v>
      </c>
      <c r="W699" s="43" t="str">
        <f>IFERROR(__xludf.DUMMYFUNCTION("""COMPUTED_VALUE"""),"2023-03-31T05:43:52Z")</f>
        <v>2023-03-31T05:43:52Z</v>
      </c>
      <c r="X699" s="43"/>
      <c r="Y699" s="43"/>
      <c r="Z699" s="43"/>
    </row>
    <row r="700">
      <c r="A700" s="43" t="str">
        <f>IFERROR(__xludf.DUMMYFUNCTION("""COMPUTED_VALUE"""),"5232030_1289536")</f>
        <v>5232030_1289536</v>
      </c>
      <c r="B700" s="43" t="str">
        <f>IFERROR(__xludf.DUMMYFUNCTION("""COMPUTED_VALUE"""),"Fatima Zahrae Outlioua")</f>
        <v>Fatima Zahrae Outlioua</v>
      </c>
      <c r="C700" s="43" t="str">
        <f>IFERROR(__xludf.DUMMYFUNCTION("""COMPUTED_VALUE"""),"approved")</f>
        <v>approved</v>
      </c>
      <c r="D700" s="43" t="str">
        <f>IFERROR(__xludf.DUMMYFUNCTION("""COMPUTED_VALUE"""),"No")</f>
        <v>No</v>
      </c>
      <c r="E700" s="43" t="str">
        <f>IFERROR(__xludf.DUMMYFUNCTION("""COMPUTED_VALUE"""),"p_2d97cc8afad168ebd0cc92453a8095bd2e456b03@inbound.aiesec.org")</f>
        <v>p_2d97cc8afad168ebd0cc92453a8095bd2e456b03@inbound.aiesec.org</v>
      </c>
      <c r="F700" s="43">
        <f>IFERROR(__xludf.DUMMYFUNCTION("""COMPUTED_VALUE"""),7.6691533E8)</f>
        <v>766915330</v>
      </c>
      <c r="G700" s="43" t="str">
        <f>IFERROR(__xludf.DUMMYFUNCTION("""COMPUTED_VALUE"""),"Morocco")</f>
        <v>Morocco</v>
      </c>
      <c r="H700" s="43" t="str">
        <f>IFERROR(__xludf.DUMMYFUNCTION("""COMPUTED_VALUE"""),"Tangier")</f>
        <v>Tangier</v>
      </c>
      <c r="I700" s="43" t="str">
        <f>IFERROR(__xludf.DUMMYFUNCTION("""COMPUTED_VALUE"""),"Turkey")</f>
        <v>Turkey</v>
      </c>
      <c r="J700" s="43" t="str">
        <f>IFERROR(__xludf.DUMMYFUNCTION("""COMPUTED_VALUE"""),"ISTANBUL")</f>
        <v>ISTANBUL</v>
      </c>
      <c r="K700" s="44" t="str">
        <f>IFERROR(__xludf.DUMMYFUNCTION("""COMPUTED_VALUE"""),"https://expa.aiesec.org/opportunities/1289536")</f>
        <v>https://expa.aiesec.org/opportunities/1289536</v>
      </c>
      <c r="L700" s="43" t="str">
        <f>IFERROR(__xludf.DUMMYFUNCTION("""COMPUTED_VALUE"""),"GV")</f>
        <v>GV</v>
      </c>
      <c r="M700" s="43" t="str">
        <f>IFERROR(__xludf.DUMMYFUNCTION("""COMPUTED_VALUE"""),"short")</f>
        <v>short</v>
      </c>
      <c r="N700" s="45">
        <f>IFERROR(__xludf.DUMMYFUNCTION("""COMPUTED_VALUE"""),45031.0)</f>
        <v>45031</v>
      </c>
      <c r="O700" s="45">
        <f>IFERROR(__xludf.DUMMYFUNCTION("""COMPUTED_VALUE"""),45090.0)</f>
        <v>45090</v>
      </c>
      <c r="P700" s="45">
        <f>IFERROR(__xludf.DUMMYFUNCTION("""COMPUTED_VALUE"""),45132.0)</f>
        <v>45132</v>
      </c>
      <c r="Q700" s="45"/>
      <c r="R700" s="45"/>
      <c r="S700" s="43"/>
      <c r="T700" s="43"/>
      <c r="U700" s="43" t="str">
        <f>IFERROR(__xludf.DUMMYFUNCTION("""COMPUTED_VALUE"""),"Global Classroom")</f>
        <v>Global Classroom</v>
      </c>
      <c r="V700" s="43" t="str">
        <f>IFERROR(__xludf.DUMMYFUNCTION("""COMPUTED_VALUE"""),"Ecole Nationale De Commerce Et De Gestion Tanger (ENCGT)")</f>
        <v>Ecole Nationale De Commerce Et De Gestion Tanger (ENCGT)</v>
      </c>
      <c r="W700" s="43" t="str">
        <f>IFERROR(__xludf.DUMMYFUNCTION("""COMPUTED_VALUE"""),"2023-03-31T13:03:23Z")</f>
        <v>2023-03-31T13:03:23Z</v>
      </c>
      <c r="X700" s="43"/>
      <c r="Y700" s="43"/>
      <c r="Z700" s="43"/>
    </row>
    <row r="701" hidden="1">
      <c r="A701" s="43" t="str">
        <f>IFERROR(__xludf.DUMMYFUNCTION("""COMPUTED_VALUE"""),"5217068_1283483")</f>
        <v>5217068_1283483</v>
      </c>
      <c r="B701" s="43" t="str">
        <f>IFERROR(__xludf.DUMMYFUNCTION("""COMPUTED_VALUE"""),"rawan hamdy")</f>
        <v>rawan hamdy</v>
      </c>
      <c r="C701" s="43" t="str">
        <f>IFERROR(__xludf.DUMMYFUNCTION("""COMPUTED_VALUE"""),"approved")</f>
        <v>approved</v>
      </c>
      <c r="D701" s="43" t="str">
        <f>IFERROR(__xludf.DUMMYFUNCTION("""COMPUTED_VALUE"""),"No")</f>
        <v>No</v>
      </c>
      <c r="E701" s="43" t="str">
        <f>IFERROR(__xludf.DUMMYFUNCTION("""COMPUTED_VALUE"""),"p_b83198aee205d4e2904fdc146a3077ea57b91008@inbound.aiesec.org")</f>
        <v>p_b83198aee205d4e2904fdc146a3077ea57b91008@inbound.aiesec.org</v>
      </c>
      <c r="F701" s="43">
        <f>IFERROR(__xludf.DUMMYFUNCTION("""COMPUTED_VALUE"""),1.141461671E9)</f>
        <v>1141461671</v>
      </c>
      <c r="G701" s="43" t="str">
        <f>IFERROR(__xludf.DUMMYFUNCTION("""COMPUTED_VALUE"""),"Egypt")</f>
        <v>Egypt</v>
      </c>
      <c r="H701" s="43" t="str">
        <f>IFERROR(__xludf.DUMMYFUNCTION("""COMPUTED_VALUE"""),"MUST")</f>
        <v>MUST</v>
      </c>
      <c r="I701" s="43" t="str">
        <f>IFERROR(__xludf.DUMMYFUNCTION("""COMPUTED_VALUE"""),"Turkey")</f>
        <v>Turkey</v>
      </c>
      <c r="J701" s="43" t="str">
        <f>IFERROR(__xludf.DUMMYFUNCTION("""COMPUTED_VALUE"""),"KONYA")</f>
        <v>KONYA</v>
      </c>
      <c r="K701" s="44" t="str">
        <f>IFERROR(__xludf.DUMMYFUNCTION("""COMPUTED_VALUE"""),"https://expa.aiesec.org/opportunities/1283483")</f>
        <v>https://expa.aiesec.org/opportunities/1283483</v>
      </c>
      <c r="L701" s="43" t="str">
        <f>IFERROR(__xludf.DUMMYFUNCTION("""COMPUTED_VALUE"""),"GV")</f>
        <v>GV</v>
      </c>
      <c r="M701" s="43" t="str">
        <f>IFERROR(__xludf.DUMMYFUNCTION("""COMPUTED_VALUE"""),"short")</f>
        <v>short</v>
      </c>
      <c r="N701" s="45">
        <f>IFERROR(__xludf.DUMMYFUNCTION("""COMPUTED_VALUE"""),45031.0)</f>
        <v>45031</v>
      </c>
      <c r="O701" s="45">
        <f>IFERROR(__xludf.DUMMYFUNCTION("""COMPUTED_VALUE"""),45145.0)</f>
        <v>45145</v>
      </c>
      <c r="P701" s="45">
        <f>IFERROR(__xludf.DUMMYFUNCTION("""COMPUTED_VALUE"""),45187.0)</f>
        <v>45187</v>
      </c>
      <c r="Q701" s="45"/>
      <c r="R701" s="45"/>
      <c r="S701" s="43"/>
      <c r="T701" s="43"/>
      <c r="U701" s="43" t="str">
        <f>IFERROR(__xludf.DUMMYFUNCTION("""COMPUTED_VALUE"""),"Global Classroom")</f>
        <v>Global Classroom</v>
      </c>
      <c r="V701" s="43" t="str">
        <f>IFERROR(__xludf.DUMMYFUNCTION("""COMPUTED_VALUE"""),"Nile University")</f>
        <v>Nile University</v>
      </c>
      <c r="W701" s="43" t="str">
        <f>IFERROR(__xludf.DUMMYFUNCTION("""COMPUTED_VALUE"""),"2023-03-15T11:29:28Z")</f>
        <v>2023-03-15T11:29:28Z</v>
      </c>
      <c r="X701" s="43"/>
      <c r="Y701" s="43"/>
      <c r="Z701" s="43"/>
    </row>
    <row r="702">
      <c r="A702" s="43" t="str">
        <f>IFERROR(__xludf.DUMMYFUNCTION("""COMPUTED_VALUE"""),"5231480_1294061")</f>
        <v>5231480_1294061</v>
      </c>
      <c r="B702" s="43" t="str">
        <f>IFERROR(__xludf.DUMMYFUNCTION("""COMPUTED_VALUE"""),"Soumaya Mahdi")</f>
        <v>Soumaya Mahdi</v>
      </c>
      <c r="C702" s="43" t="str">
        <f>IFERROR(__xludf.DUMMYFUNCTION("""COMPUTED_VALUE"""),"approved")</f>
        <v>approved</v>
      </c>
      <c r="D702" s="43" t="str">
        <f>IFERROR(__xludf.DUMMYFUNCTION("""COMPUTED_VALUE"""),"No")</f>
        <v>No</v>
      </c>
      <c r="E702" s="43" t="str">
        <f>IFERROR(__xludf.DUMMYFUNCTION("""COMPUTED_VALUE"""),"p_3935aef8e251d574ae142d7c267c5cd9cc43de78@inbound.aiesec.org")</f>
        <v>p_3935aef8e251d574ae142d7c267c5cd9cc43de78@inbound.aiesec.org</v>
      </c>
      <c r="F702" s="43">
        <f>IFERROR(__xludf.DUMMYFUNCTION("""COMPUTED_VALUE"""),2.2849073E7)</f>
        <v>22849073</v>
      </c>
      <c r="G702" s="43" t="str">
        <f>IFERROR(__xludf.DUMMYFUNCTION("""COMPUTED_VALUE"""),"Tunisia")</f>
        <v>Tunisia</v>
      </c>
      <c r="H702" s="43" t="str">
        <f>IFERROR(__xludf.DUMMYFUNCTION("""COMPUTED_VALUE"""),"RUSPINA")</f>
        <v>RUSPINA</v>
      </c>
      <c r="I702" s="43" t="str">
        <f>IFERROR(__xludf.DUMMYFUNCTION("""COMPUTED_VALUE"""),"Turkey")</f>
        <v>Turkey</v>
      </c>
      <c r="J702" s="43" t="str">
        <f>IFERROR(__xludf.DUMMYFUNCTION("""COMPUTED_VALUE"""),"KOCAELI")</f>
        <v>KOCAELI</v>
      </c>
      <c r="K702" s="44" t="str">
        <f>IFERROR(__xludf.DUMMYFUNCTION("""COMPUTED_VALUE"""),"https://expa.aiesec.org/opportunities/1294061")</f>
        <v>https://expa.aiesec.org/opportunities/1294061</v>
      </c>
      <c r="L702" s="43" t="str">
        <f>IFERROR(__xludf.DUMMYFUNCTION("""COMPUTED_VALUE"""),"GV")</f>
        <v>GV</v>
      </c>
      <c r="M702" s="43" t="str">
        <f>IFERROR(__xludf.DUMMYFUNCTION("""COMPUTED_VALUE"""),"short")</f>
        <v>short</v>
      </c>
      <c r="N702" s="45">
        <f>IFERROR(__xludf.DUMMYFUNCTION("""COMPUTED_VALUE"""),45032.0)</f>
        <v>45032</v>
      </c>
      <c r="O702" s="45">
        <f>IFERROR(__xludf.DUMMYFUNCTION("""COMPUTED_VALUE"""),45095.0)</f>
        <v>45095</v>
      </c>
      <c r="P702" s="45">
        <f>IFERROR(__xludf.DUMMYFUNCTION("""COMPUTED_VALUE"""),45137.0)</f>
        <v>45137</v>
      </c>
      <c r="Q702" s="45"/>
      <c r="R702" s="45"/>
      <c r="S702" s="43"/>
      <c r="T702" s="43"/>
      <c r="U702" s="43" t="str">
        <f>IFERROR(__xludf.DUMMYFUNCTION("""COMPUTED_VALUE"""),"Global Classroom")</f>
        <v>Global Classroom</v>
      </c>
      <c r="V702" s="43" t="str">
        <f>IFERROR(__xludf.DUMMYFUNCTION("""COMPUTED_VALUE"""),"ISEAH Mahdia")</f>
        <v>ISEAH Mahdia</v>
      </c>
      <c r="W702" s="43" t="str">
        <f>IFERROR(__xludf.DUMMYFUNCTION("""COMPUTED_VALUE"""),"2023-03-30T22:03:24Z")</f>
        <v>2023-03-30T22:03:24Z</v>
      </c>
      <c r="X702" s="43"/>
      <c r="Y702" s="43"/>
      <c r="Z702" s="43"/>
    </row>
    <row r="703" hidden="1">
      <c r="A703" s="43" t="str">
        <f>IFERROR(__xludf.DUMMYFUNCTION("""COMPUTED_VALUE"""),"5238368_1292793")</f>
        <v>5238368_1292793</v>
      </c>
      <c r="B703" s="43" t="str">
        <f>IFERROR(__xludf.DUMMYFUNCTION("""COMPUTED_VALUE"""),"Narmeen Gull")</f>
        <v>Narmeen Gull</v>
      </c>
      <c r="C703" s="43" t="str">
        <f>IFERROR(__xludf.DUMMYFUNCTION("""COMPUTED_VALUE"""),"realization_broken")</f>
        <v>realization_broken</v>
      </c>
      <c r="D703" s="43" t="str">
        <f>IFERROR(__xludf.DUMMYFUNCTION("""COMPUTED_VALUE"""),"No")</f>
        <v>No</v>
      </c>
      <c r="E703" s="43" t="str">
        <f>IFERROR(__xludf.DUMMYFUNCTION("""COMPUTED_VALUE"""),"p_b5a1c7b47a705f6f982acfa1c6d54b50442cf29f@inbound.aiesec.org")</f>
        <v>p_b5a1c7b47a705f6f982acfa1c6d54b50442cf29f@inbound.aiesec.org</v>
      </c>
      <c r="F703" s="43">
        <f>IFERROR(__xludf.DUMMYFUNCTION("""COMPUTED_VALUE"""),3.314610209E9)</f>
        <v>3314610209</v>
      </c>
      <c r="G703" s="43" t="str">
        <f>IFERROR(__xludf.DUMMYFUNCTION("""COMPUTED_VALUE"""),"Pakistan")</f>
        <v>Pakistan</v>
      </c>
      <c r="H703" s="43" t="str">
        <f>IFERROR(__xludf.DUMMYFUNCTION("""COMPUTED_VALUE"""),"Lahore - Pak")</f>
        <v>Lahore - Pak</v>
      </c>
      <c r="I703" s="43" t="str">
        <f>IFERROR(__xludf.DUMMYFUNCTION("""COMPUTED_VALUE"""),"Turkey")</f>
        <v>Turkey</v>
      </c>
      <c r="J703" s="43" t="str">
        <f>IFERROR(__xludf.DUMMYFUNCTION("""COMPUTED_VALUE"""),"ANTALYA")</f>
        <v>ANTALYA</v>
      </c>
      <c r="K703" s="44" t="str">
        <f>IFERROR(__xludf.DUMMYFUNCTION("""COMPUTED_VALUE"""),"https://expa.aiesec.org/opportunities/1292793")</f>
        <v>https://expa.aiesec.org/opportunities/1292793</v>
      </c>
      <c r="L703" s="43" t="str">
        <f>IFERROR(__xludf.DUMMYFUNCTION("""COMPUTED_VALUE"""),"GV")</f>
        <v>GV</v>
      </c>
      <c r="M703" s="43" t="str">
        <f>IFERROR(__xludf.DUMMYFUNCTION("""COMPUTED_VALUE"""),"short")</f>
        <v>short</v>
      </c>
      <c r="N703" s="45">
        <f>IFERROR(__xludf.DUMMYFUNCTION("""COMPUTED_VALUE"""),45032.0)</f>
        <v>45032</v>
      </c>
      <c r="O703" s="45">
        <f>IFERROR(__xludf.DUMMYFUNCTION("""COMPUTED_VALUE"""),45089.0)</f>
        <v>45089</v>
      </c>
      <c r="P703" s="45">
        <f>IFERROR(__xludf.DUMMYFUNCTION("""COMPUTED_VALUE"""),45131.0)</f>
        <v>45131</v>
      </c>
      <c r="Q703" s="45"/>
      <c r="R703" s="45"/>
      <c r="S703" s="43"/>
      <c r="T703" s="43"/>
      <c r="U703" s="43" t="str">
        <f>IFERROR(__xludf.DUMMYFUNCTION("""COMPUTED_VALUE"""),"Global Classroom")</f>
        <v>Global Classroom</v>
      </c>
      <c r="V703" s="43" t="str">
        <f>IFERROR(__xludf.DUMMYFUNCTION("""COMPUTED_VALUE"""),"Lahore - University College Lahore (UCL)")</f>
        <v>Lahore - University College Lahore (UCL)</v>
      </c>
      <c r="W703" s="43" t="str">
        <f>IFERROR(__xludf.DUMMYFUNCTION("""COMPUTED_VALUE"""),"2023-04-09T21:29:30Z")</f>
        <v>2023-04-09T21:29:30Z</v>
      </c>
      <c r="X703" s="43"/>
      <c r="Y703" s="43"/>
      <c r="Z703" s="43"/>
    </row>
    <row r="704" hidden="1">
      <c r="A704" s="43" t="str">
        <f>IFERROR(__xludf.DUMMYFUNCTION("""COMPUTED_VALUE"""),"4792297_1279126")</f>
        <v>4792297_1279126</v>
      </c>
      <c r="B704" s="43" t="str">
        <f>IFERROR(__xludf.DUMMYFUNCTION("""COMPUTED_VALUE"""),"Alexandru Tudose")</f>
        <v>Alexandru Tudose</v>
      </c>
      <c r="C704" s="43" t="str">
        <f>IFERROR(__xludf.DUMMYFUNCTION("""COMPUTED_VALUE"""),"finished")</f>
        <v>finished</v>
      </c>
      <c r="D704" s="43" t="str">
        <f>IFERROR(__xludf.DUMMYFUNCTION("""COMPUTED_VALUE"""),"No")</f>
        <v>No</v>
      </c>
      <c r="E704" s="43" t="str">
        <f>IFERROR(__xludf.DUMMYFUNCTION("""COMPUTED_VALUE"""),"p_06cc4fc746cfdd0082e5aba2451b4ab4826d3e94@inbound.aiesec.org")</f>
        <v>p_06cc4fc746cfdd0082e5aba2451b4ab4826d3e94@inbound.aiesec.org</v>
      </c>
      <c r="F704" s="43"/>
      <c r="G704" s="43" t="str">
        <f>IFERROR(__xludf.DUMMYFUNCTION("""COMPUTED_VALUE"""),"Romania")</f>
        <v>Romania</v>
      </c>
      <c r="H704" s="43" t="str">
        <f>IFERROR(__xludf.DUMMYFUNCTION("""COMPUTED_VALUE"""),"BUCURESTI")</f>
        <v>BUCURESTI</v>
      </c>
      <c r="I704" s="43" t="str">
        <f>IFERROR(__xludf.DUMMYFUNCTION("""COMPUTED_VALUE"""),"Turkey")</f>
        <v>Turkey</v>
      </c>
      <c r="J704" s="43" t="str">
        <f>IFERROR(__xludf.DUMMYFUNCTION("""COMPUTED_VALUE"""),"KOCAELI")</f>
        <v>KOCAELI</v>
      </c>
      <c r="K704" s="44" t="str">
        <f>IFERROR(__xludf.DUMMYFUNCTION("""COMPUTED_VALUE"""),"https://expa.aiesec.org/opportunities/1279126")</f>
        <v>https://expa.aiesec.org/opportunities/1279126</v>
      </c>
      <c r="L704" s="43" t="str">
        <f>IFERROR(__xludf.DUMMYFUNCTION("""COMPUTED_VALUE"""),"GV")</f>
        <v>GV</v>
      </c>
      <c r="M704" s="43" t="str">
        <f>IFERROR(__xludf.DUMMYFUNCTION("""COMPUTED_VALUE"""),"short")</f>
        <v>short</v>
      </c>
      <c r="N704" s="45">
        <f>IFERROR(__xludf.DUMMYFUNCTION("""COMPUTED_VALUE"""),45032.0)</f>
        <v>45032</v>
      </c>
      <c r="O704" s="45">
        <f>IFERROR(__xludf.DUMMYFUNCTION("""COMPUTED_VALUE"""),45138.0)</f>
        <v>45138</v>
      </c>
      <c r="P704" s="45">
        <f>IFERROR(__xludf.DUMMYFUNCTION("""COMPUTED_VALUE"""),45180.0)</f>
        <v>45180</v>
      </c>
      <c r="Q704" s="45">
        <f>IFERROR(__xludf.DUMMYFUNCTION("""COMPUTED_VALUE"""),45138.0)</f>
        <v>45138</v>
      </c>
      <c r="R704" s="45">
        <f>IFERROR(__xludf.DUMMYFUNCTION("""COMPUTED_VALUE"""),45180.0)</f>
        <v>45180</v>
      </c>
      <c r="S704" s="43"/>
      <c r="T704" s="43"/>
      <c r="U704" s="43" t="str">
        <f>IFERROR(__xludf.DUMMYFUNCTION("""COMPUTED_VALUE"""),"Global Classroom")</f>
        <v>Global Classroom</v>
      </c>
      <c r="V704" s="43" t="str">
        <f>IFERROR(__xludf.DUMMYFUNCTION("""COMPUTED_VALUE"""),"Bucuresti")</f>
        <v>Bucuresti</v>
      </c>
      <c r="W704" s="43" t="str">
        <f>IFERROR(__xludf.DUMMYFUNCTION("""COMPUTED_VALUE"""),"2021-11-08T16:47:53Z")</f>
        <v>2021-11-08T16:47:53Z</v>
      </c>
      <c r="X704" s="43"/>
      <c r="Y704" s="43"/>
      <c r="Z704" s="43"/>
    </row>
    <row r="705" hidden="1">
      <c r="A705" s="43" t="str">
        <f>IFERROR(__xludf.DUMMYFUNCTION("""COMPUTED_VALUE"""),"5216528_1289536")</f>
        <v>5216528_1289536</v>
      </c>
      <c r="B705" s="43" t="str">
        <f>IFERROR(__xludf.DUMMYFUNCTION("""COMPUTED_VALUE"""),"Anderson Almeida")</f>
        <v>Anderson Almeida</v>
      </c>
      <c r="C705" s="43" t="str">
        <f>IFERROR(__xludf.DUMMYFUNCTION("""COMPUTED_VALUE"""),"realized")</f>
        <v>realized</v>
      </c>
      <c r="D705" s="43" t="str">
        <f>IFERROR(__xludf.DUMMYFUNCTION("""COMPUTED_VALUE"""),"No")</f>
        <v>No</v>
      </c>
      <c r="E705" s="43" t="str">
        <f>IFERROR(__xludf.DUMMYFUNCTION("""COMPUTED_VALUE"""),"p_30ccdc51f3b973741edb4bcbe4a024e74ae8b5df@inbound.aiesec.org")</f>
        <v>p_30ccdc51f3b973741edb4bcbe4a024e74ae8b5df@inbound.aiesec.org</v>
      </c>
      <c r="F705" s="43">
        <f>IFERROR(__xludf.DUMMYFUNCTION("""COMPUTED_VALUE"""),8.7988623608E10)</f>
        <v>87988623608</v>
      </c>
      <c r="G705" s="43" t="str">
        <f>IFERROR(__xludf.DUMMYFUNCTION("""COMPUTED_VALUE"""),"Brazil")</f>
        <v>Brazil</v>
      </c>
      <c r="H705" s="43" t="str">
        <f>IFERROR(__xludf.DUMMYFUNCTION("""COMPUTED_VALUE"""),"SALVADOR")</f>
        <v>SALVADOR</v>
      </c>
      <c r="I705" s="43" t="str">
        <f>IFERROR(__xludf.DUMMYFUNCTION("""COMPUTED_VALUE"""),"Turkey")</f>
        <v>Turkey</v>
      </c>
      <c r="J705" s="43" t="str">
        <f>IFERROR(__xludf.DUMMYFUNCTION("""COMPUTED_VALUE"""),"ISTANBUL")</f>
        <v>ISTANBUL</v>
      </c>
      <c r="K705" s="44" t="str">
        <f>IFERROR(__xludf.DUMMYFUNCTION("""COMPUTED_VALUE"""),"https://expa.aiesec.org/opportunities/1289536")</f>
        <v>https://expa.aiesec.org/opportunities/1289536</v>
      </c>
      <c r="L705" s="43" t="str">
        <f>IFERROR(__xludf.DUMMYFUNCTION("""COMPUTED_VALUE"""),"GV")</f>
        <v>GV</v>
      </c>
      <c r="M705" s="43" t="str">
        <f>IFERROR(__xludf.DUMMYFUNCTION("""COMPUTED_VALUE"""),"short")</f>
        <v>short</v>
      </c>
      <c r="N705" s="45">
        <f>IFERROR(__xludf.DUMMYFUNCTION("""COMPUTED_VALUE"""),45033.0)</f>
        <v>45033</v>
      </c>
      <c r="O705" s="45">
        <f>IFERROR(__xludf.DUMMYFUNCTION("""COMPUTED_VALUE"""),45292.0)</f>
        <v>45292</v>
      </c>
      <c r="P705" s="45">
        <f>IFERROR(__xludf.DUMMYFUNCTION("""COMPUTED_VALUE"""),45334.0)</f>
        <v>45334</v>
      </c>
      <c r="Q705" s="45">
        <f>IFERROR(__xludf.DUMMYFUNCTION("""COMPUTED_VALUE"""),45299.0)</f>
        <v>45299</v>
      </c>
      <c r="R705" s="45">
        <f>IFERROR(__xludf.DUMMYFUNCTION("""COMPUTED_VALUE"""),45340.0)</f>
        <v>45340</v>
      </c>
      <c r="S705" s="43"/>
      <c r="T705" s="43"/>
      <c r="U705" s="43" t="str">
        <f>IFERROR(__xludf.DUMMYFUNCTION("""COMPUTED_VALUE"""),"Global Classroom")</f>
        <v>Global Classroom</v>
      </c>
      <c r="V705" s="43" t="str">
        <f>IFERROR(__xludf.DUMMYFUNCTION("""COMPUTED_VALUE"""),"Salvador")</f>
        <v>Salvador</v>
      </c>
      <c r="W705" s="43" t="str">
        <f>IFERROR(__xludf.DUMMYFUNCTION("""COMPUTED_VALUE"""),"2023-03-14T22:37:21Z")</f>
        <v>2023-03-14T22:37:21Z</v>
      </c>
      <c r="X705" s="43"/>
      <c r="Y705" s="43"/>
      <c r="Z705" s="43"/>
    </row>
    <row r="706" hidden="1">
      <c r="A706" s="43" t="str">
        <f>IFERROR(__xludf.DUMMYFUNCTION("""COMPUTED_VALUE"""),"5195502_1294061")</f>
        <v>5195502_1294061</v>
      </c>
      <c r="B706" s="43" t="str">
        <f>IFERROR(__xludf.DUMMYFUNCTION("""COMPUTED_VALUE"""),"nour ben yahia")</f>
        <v>nour ben yahia</v>
      </c>
      <c r="C706" s="43" t="str">
        <f>IFERROR(__xludf.DUMMYFUNCTION("""COMPUTED_VALUE"""),"finished")</f>
        <v>finished</v>
      </c>
      <c r="D706" s="43" t="str">
        <f>IFERROR(__xludf.DUMMYFUNCTION("""COMPUTED_VALUE"""),"No")</f>
        <v>No</v>
      </c>
      <c r="E706" s="43" t="str">
        <f>IFERROR(__xludf.DUMMYFUNCTION("""COMPUTED_VALUE"""),"p_de4976bcc3060826cca509f60d9c0d7c116812fc@inbound.aiesec.org")</f>
        <v>p_de4976bcc3060826cca509f60d9c0d7c116812fc@inbound.aiesec.org</v>
      </c>
      <c r="F706" s="43">
        <f>IFERROR(__xludf.DUMMYFUNCTION("""COMPUTED_VALUE"""),5.1150288E7)</f>
        <v>51150288</v>
      </c>
      <c r="G706" s="43" t="str">
        <f>IFERROR(__xludf.DUMMYFUNCTION("""COMPUTED_VALUE"""),"Tunisia")</f>
        <v>Tunisia</v>
      </c>
      <c r="H706" s="43" t="str">
        <f>IFERROR(__xludf.DUMMYFUNCTION("""COMPUTED_VALUE"""),"UNIVERSITY")</f>
        <v>UNIVERSITY</v>
      </c>
      <c r="I706" s="43" t="str">
        <f>IFERROR(__xludf.DUMMYFUNCTION("""COMPUTED_VALUE"""),"Turkey")</f>
        <v>Turkey</v>
      </c>
      <c r="J706" s="43" t="str">
        <f>IFERROR(__xludf.DUMMYFUNCTION("""COMPUTED_VALUE"""),"KOCAELI")</f>
        <v>KOCAELI</v>
      </c>
      <c r="K706" s="44" t="str">
        <f>IFERROR(__xludf.DUMMYFUNCTION("""COMPUTED_VALUE"""),"https://expa.aiesec.org/opportunities/1294061")</f>
        <v>https://expa.aiesec.org/opportunities/1294061</v>
      </c>
      <c r="L706" s="43" t="str">
        <f>IFERROR(__xludf.DUMMYFUNCTION("""COMPUTED_VALUE"""),"GV")</f>
        <v>GV</v>
      </c>
      <c r="M706" s="43" t="str">
        <f>IFERROR(__xludf.DUMMYFUNCTION("""COMPUTED_VALUE"""),"short")</f>
        <v>short</v>
      </c>
      <c r="N706" s="45">
        <f>IFERROR(__xludf.DUMMYFUNCTION("""COMPUTED_VALUE"""),45033.0)</f>
        <v>45033</v>
      </c>
      <c r="O706" s="45">
        <f>IFERROR(__xludf.DUMMYFUNCTION("""COMPUTED_VALUE"""),45095.0)</f>
        <v>45095</v>
      </c>
      <c r="P706" s="45">
        <f>IFERROR(__xludf.DUMMYFUNCTION("""COMPUTED_VALUE"""),45137.0)</f>
        <v>45137</v>
      </c>
      <c r="Q706" s="45">
        <f>IFERROR(__xludf.DUMMYFUNCTION("""COMPUTED_VALUE"""),45095.0)</f>
        <v>45095</v>
      </c>
      <c r="R706" s="45">
        <f>IFERROR(__xludf.DUMMYFUNCTION("""COMPUTED_VALUE"""),45137.0)</f>
        <v>45137</v>
      </c>
      <c r="S706" s="43"/>
      <c r="T706" s="43"/>
      <c r="U706" s="43" t="str">
        <f>IFERROR(__xludf.DUMMYFUNCTION("""COMPUTED_VALUE"""),"Global Classroom")</f>
        <v>Global Classroom</v>
      </c>
      <c r="V706" s="43" t="str">
        <f>IFERROR(__xludf.DUMMYFUNCTION("""COMPUTED_VALUE"""),"FST")</f>
        <v>FST</v>
      </c>
      <c r="W706" s="43" t="str">
        <f>IFERROR(__xludf.DUMMYFUNCTION("""COMPUTED_VALUE"""),"2023-02-20T20:48:21Z")</f>
        <v>2023-02-20T20:48:21Z</v>
      </c>
      <c r="X706" s="43"/>
      <c r="Y706" s="43"/>
      <c r="Z706" s="43"/>
    </row>
    <row r="707" hidden="1">
      <c r="A707" s="43" t="str">
        <f>IFERROR(__xludf.DUMMYFUNCTION("""COMPUTED_VALUE"""),"5237048_1287226")</f>
        <v>5237048_1287226</v>
      </c>
      <c r="B707" s="43" t="str">
        <f>IFERROR(__xludf.DUMMYFUNCTION("""COMPUTED_VALUE"""),"Aymane El bissouri")</f>
        <v>Aymane El bissouri</v>
      </c>
      <c r="C707" s="43" t="str">
        <f>IFERROR(__xludf.DUMMYFUNCTION("""COMPUTED_VALUE"""),"completed")</f>
        <v>completed</v>
      </c>
      <c r="D707" s="43" t="str">
        <f>IFERROR(__xludf.DUMMYFUNCTION("""COMPUTED_VALUE"""),"No")</f>
        <v>No</v>
      </c>
      <c r="E707" s="43" t="str">
        <f>IFERROR(__xludf.DUMMYFUNCTION("""COMPUTED_VALUE"""),"p_5f0f74524d32658b6a97727134540f77c48ab6ea@inbound.aiesec.org")</f>
        <v>p_5f0f74524d32658b6a97727134540f77c48ab6ea@inbound.aiesec.org</v>
      </c>
      <c r="F707" s="43">
        <f>IFERROR(__xludf.DUMMYFUNCTION("""COMPUTED_VALUE"""),6.65480205E8)</f>
        <v>665480205</v>
      </c>
      <c r="G707" s="43" t="str">
        <f>IFERROR(__xludf.DUMMYFUNCTION("""COMPUTED_VALUE"""),"Morocco")</f>
        <v>Morocco</v>
      </c>
      <c r="H707" s="43" t="str">
        <f>IFERROR(__xludf.DUMMYFUNCTION("""COMPUTED_VALUE"""),"Tangier")</f>
        <v>Tangier</v>
      </c>
      <c r="I707" s="43" t="str">
        <f>IFERROR(__xludf.DUMMYFUNCTION("""COMPUTED_VALUE"""),"Turkey")</f>
        <v>Turkey</v>
      </c>
      <c r="J707" s="43" t="str">
        <f>IFERROR(__xludf.DUMMYFUNCTION("""COMPUTED_VALUE"""),"ISTANBUL ASIA")</f>
        <v>ISTANBUL ASIA</v>
      </c>
      <c r="K707" s="44" t="str">
        <f>IFERROR(__xludf.DUMMYFUNCTION("""COMPUTED_VALUE"""),"https://expa.aiesec.org/opportunities/1287226")</f>
        <v>https://expa.aiesec.org/opportunities/1287226</v>
      </c>
      <c r="L707" s="43" t="str">
        <f>IFERROR(__xludf.DUMMYFUNCTION("""COMPUTED_VALUE"""),"GV")</f>
        <v>GV</v>
      </c>
      <c r="M707" s="43" t="str">
        <f>IFERROR(__xludf.DUMMYFUNCTION("""COMPUTED_VALUE"""),"short")</f>
        <v>short</v>
      </c>
      <c r="N707" s="45">
        <f>IFERROR(__xludf.DUMMYFUNCTION("""COMPUTED_VALUE"""),45033.0)</f>
        <v>45033</v>
      </c>
      <c r="O707" s="45">
        <f>IFERROR(__xludf.DUMMYFUNCTION("""COMPUTED_VALUE"""),45129.0)</f>
        <v>45129</v>
      </c>
      <c r="P707" s="45">
        <f>IFERROR(__xludf.DUMMYFUNCTION("""COMPUTED_VALUE"""),45171.0)</f>
        <v>45171</v>
      </c>
      <c r="Q707" s="45">
        <f>IFERROR(__xludf.DUMMYFUNCTION("""COMPUTED_VALUE"""),45133.0)</f>
        <v>45133</v>
      </c>
      <c r="R707" s="45">
        <f>IFERROR(__xludf.DUMMYFUNCTION("""COMPUTED_VALUE"""),45175.0)</f>
        <v>45175</v>
      </c>
      <c r="S707" s="43"/>
      <c r="T707" s="43"/>
      <c r="U707" s="43" t="str">
        <f>IFERROR(__xludf.DUMMYFUNCTION("""COMPUTED_VALUE"""),"Global Classroom")</f>
        <v>Global Classroom</v>
      </c>
      <c r="V707" s="43" t="str">
        <f>IFERROR(__xludf.DUMMYFUNCTION("""COMPUTED_VALUE"""),"Ecole Nationale Des Sciences Appliquées Tanger (ENSAT)")</f>
        <v>Ecole Nationale Des Sciences Appliquées Tanger (ENSAT)</v>
      </c>
      <c r="W707" s="43" t="str">
        <f>IFERROR(__xludf.DUMMYFUNCTION("""COMPUTED_VALUE"""),"2023-04-07T12:30:18Z")</f>
        <v>2023-04-07T12:30:18Z</v>
      </c>
      <c r="X707" s="43"/>
      <c r="Y707" s="43"/>
      <c r="Z707" s="43"/>
    </row>
    <row r="708" hidden="1">
      <c r="A708" s="43" t="str">
        <f>IFERROR(__xludf.DUMMYFUNCTION("""COMPUTED_VALUE"""),"5240521_1286326")</f>
        <v>5240521_1286326</v>
      </c>
      <c r="B708" s="43" t="str">
        <f>IFERROR(__xludf.DUMMYFUNCTION("""COMPUTED_VALUE"""),"Valeria Rychak")</f>
        <v>Valeria Rychak</v>
      </c>
      <c r="C708" s="43" t="str">
        <f>IFERROR(__xludf.DUMMYFUNCTION("""COMPUTED_VALUE"""),"approved")</f>
        <v>approved</v>
      </c>
      <c r="D708" s="43" t="str">
        <f>IFERROR(__xludf.DUMMYFUNCTION("""COMPUTED_VALUE"""),"No")</f>
        <v>No</v>
      </c>
      <c r="E708" s="43" t="str">
        <f>IFERROR(__xludf.DUMMYFUNCTION("""COMPUTED_VALUE"""),"p_7621498937d41f2bd198287358dcb5d12bb87717@inbound.aiesec.org")</f>
        <v>p_7621498937d41f2bd198287358dcb5d12bb87717@inbound.aiesec.org</v>
      </c>
      <c r="F708" s="43">
        <f>IFERROR(__xludf.DUMMYFUNCTION("""COMPUTED_VALUE"""),5.00449432E8)</f>
        <v>500449432</v>
      </c>
      <c r="G708" s="43" t="str">
        <f>IFERROR(__xludf.DUMMYFUNCTION("""COMPUTED_VALUE"""),"Ukraine")</f>
        <v>Ukraine</v>
      </c>
      <c r="H708" s="43" t="str">
        <f>IFERROR(__xludf.DUMMYFUNCTION("""COMPUTED_VALUE"""),"KHARKIV")</f>
        <v>KHARKIV</v>
      </c>
      <c r="I708" s="43" t="str">
        <f>IFERROR(__xludf.DUMMYFUNCTION("""COMPUTED_VALUE"""),"Turkey")</f>
        <v>Turkey</v>
      </c>
      <c r="J708" s="43" t="str">
        <f>IFERROR(__xludf.DUMMYFUNCTION("""COMPUTED_VALUE"""),"ADANA")</f>
        <v>ADANA</v>
      </c>
      <c r="K708" s="44" t="str">
        <f>IFERROR(__xludf.DUMMYFUNCTION("""COMPUTED_VALUE"""),"https://expa.aiesec.org/opportunities/1286326")</f>
        <v>https://expa.aiesec.org/opportunities/1286326</v>
      </c>
      <c r="L708" s="43" t="str">
        <f>IFERROR(__xludf.DUMMYFUNCTION("""COMPUTED_VALUE"""),"GV")</f>
        <v>GV</v>
      </c>
      <c r="M708" s="43" t="str">
        <f>IFERROR(__xludf.DUMMYFUNCTION("""COMPUTED_VALUE"""),"short")</f>
        <v>short</v>
      </c>
      <c r="N708" s="45">
        <f>IFERROR(__xludf.DUMMYFUNCTION("""COMPUTED_VALUE"""),45033.0)</f>
        <v>45033</v>
      </c>
      <c r="O708" s="45">
        <f>IFERROR(__xludf.DUMMYFUNCTION("""COMPUTED_VALUE"""),45194.0)</f>
        <v>45194</v>
      </c>
      <c r="P708" s="45">
        <f>IFERROR(__xludf.DUMMYFUNCTION("""COMPUTED_VALUE"""),45240.0)</f>
        <v>45240</v>
      </c>
      <c r="Q708" s="45"/>
      <c r="R708" s="45"/>
      <c r="S708" s="43"/>
      <c r="T708" s="43"/>
      <c r="U708" s="43" t="str">
        <f>IFERROR(__xludf.DUMMYFUNCTION("""COMPUTED_VALUE"""),"Equify")</f>
        <v>Equify</v>
      </c>
      <c r="V708" s="43" t="str">
        <f>IFERROR(__xludf.DUMMYFUNCTION("""COMPUTED_VALUE"""),"Kyiv")</f>
        <v>Kyiv</v>
      </c>
      <c r="W708" s="43" t="str">
        <f>IFERROR(__xludf.DUMMYFUNCTION("""COMPUTED_VALUE"""),"2023-04-12T15:33:43Z")</f>
        <v>2023-04-12T15:33:43Z</v>
      </c>
      <c r="X708" s="43"/>
      <c r="Y708" s="43"/>
      <c r="Z708" s="43"/>
    </row>
    <row r="709" hidden="1">
      <c r="A709" s="43" t="str">
        <f>IFERROR(__xludf.DUMMYFUNCTION("""COMPUTED_VALUE"""),"4533235_1288663")</f>
        <v>4533235_1288663</v>
      </c>
      <c r="B709" s="43" t="str">
        <f>IFERROR(__xludf.DUMMYFUNCTION("""COMPUTED_VALUE"""),"Danial Shabbir")</f>
        <v>Danial Shabbir</v>
      </c>
      <c r="C709" s="43" t="str">
        <f>IFERROR(__xludf.DUMMYFUNCTION("""COMPUTED_VALUE"""),"approved")</f>
        <v>approved</v>
      </c>
      <c r="D709" s="43" t="str">
        <f>IFERROR(__xludf.DUMMYFUNCTION("""COMPUTED_VALUE"""),"No")</f>
        <v>No</v>
      </c>
      <c r="E709" s="43" t="str">
        <f>IFERROR(__xludf.DUMMYFUNCTION("""COMPUTED_VALUE"""),"p_ebca0184e88b3a25e4c0305a66581335023f178b@inbound.aiesec.org")</f>
        <v>p_ebca0184e88b3a25e4c0305a66581335023f178b@inbound.aiesec.org</v>
      </c>
      <c r="F709" s="43"/>
      <c r="G709" s="43" t="str">
        <f>IFERROR(__xludf.DUMMYFUNCTION("""COMPUTED_VALUE"""),"Pakistan")</f>
        <v>Pakistan</v>
      </c>
      <c r="H709" s="43" t="str">
        <f>IFERROR(__xludf.DUMMYFUNCTION("""COMPUTED_VALUE"""),"Faisalabad")</f>
        <v>Faisalabad</v>
      </c>
      <c r="I709" s="43" t="str">
        <f>IFERROR(__xludf.DUMMYFUNCTION("""COMPUTED_VALUE"""),"Turkey")</f>
        <v>Turkey</v>
      </c>
      <c r="J709" s="43" t="str">
        <f>IFERROR(__xludf.DUMMYFUNCTION("""COMPUTED_VALUE"""),"İZMİR")</f>
        <v>İZMİR</v>
      </c>
      <c r="K709" s="44" t="str">
        <f>IFERROR(__xludf.DUMMYFUNCTION("""COMPUTED_VALUE"""),"https://expa.aiesec.org/opportunities/1288663")</f>
        <v>https://expa.aiesec.org/opportunities/1288663</v>
      </c>
      <c r="L709" s="43" t="str">
        <f>IFERROR(__xludf.DUMMYFUNCTION("""COMPUTED_VALUE"""),"GV")</f>
        <v>GV</v>
      </c>
      <c r="M709" s="43" t="str">
        <f>IFERROR(__xludf.DUMMYFUNCTION("""COMPUTED_VALUE"""),"short")</f>
        <v>short</v>
      </c>
      <c r="N709" s="45">
        <f>IFERROR(__xludf.DUMMYFUNCTION("""COMPUTED_VALUE"""),45033.0)</f>
        <v>45033</v>
      </c>
      <c r="O709" s="45">
        <f>IFERROR(__xludf.DUMMYFUNCTION("""COMPUTED_VALUE"""),45165.0)</f>
        <v>45165</v>
      </c>
      <c r="P709" s="45">
        <f>IFERROR(__xludf.DUMMYFUNCTION("""COMPUTED_VALUE"""),45207.0)</f>
        <v>45207</v>
      </c>
      <c r="Q709" s="45"/>
      <c r="R709" s="45"/>
      <c r="S709" s="43"/>
      <c r="T709" s="43"/>
      <c r="U709" s="43" t="str">
        <f>IFERROR(__xludf.DUMMYFUNCTION("""COMPUTED_VALUE"""),"Global Classroom")</f>
        <v>Global Classroom</v>
      </c>
      <c r="V709" s="43" t="str">
        <f>IFERROR(__xludf.DUMMYFUNCTION("""COMPUTED_VALUE"""),"-")</f>
        <v>-</v>
      </c>
      <c r="W709" s="43" t="str">
        <f>IFERROR(__xludf.DUMMYFUNCTION("""COMPUTED_VALUE"""),"2021-02-04T08:36:33Z")</f>
        <v>2021-02-04T08:36:33Z</v>
      </c>
      <c r="X709" s="43"/>
      <c r="Y709" s="43"/>
      <c r="Z709" s="43"/>
    </row>
    <row r="710" hidden="1">
      <c r="A710" s="43" t="str">
        <f>IFERROR(__xludf.DUMMYFUNCTION("""COMPUTED_VALUE"""),"2009720_1291254")</f>
        <v>2009720_1291254</v>
      </c>
      <c r="B710" s="43" t="str">
        <f>IFERROR(__xludf.DUMMYFUNCTION("""COMPUTED_VALUE"""),"Vivien Briñosa")</f>
        <v>Vivien Briñosa</v>
      </c>
      <c r="C710" s="43" t="str">
        <f>IFERROR(__xludf.DUMMYFUNCTION("""COMPUTED_VALUE"""),"finished")</f>
        <v>finished</v>
      </c>
      <c r="D710" s="43" t="str">
        <f>IFERROR(__xludf.DUMMYFUNCTION("""COMPUTED_VALUE"""),"No")</f>
        <v>No</v>
      </c>
      <c r="E710" s="43" t="str">
        <f>IFERROR(__xludf.DUMMYFUNCTION("""COMPUTED_VALUE"""),"p_14a7518f43ad3330f28c1470456648ff542ded0a@inbound.aiesec.org")</f>
        <v>p_14a7518f43ad3330f28c1470456648ff542ded0a@inbound.aiesec.org</v>
      </c>
      <c r="F710" s="43">
        <f>IFERROR(__xludf.DUMMYFUNCTION("""COMPUTED_VALUE"""),9.491349643E9)</f>
        <v>9491349643</v>
      </c>
      <c r="G710" s="43" t="str">
        <f>IFERROR(__xludf.DUMMYFUNCTION("""COMPUTED_VALUE"""),"Philippines")</f>
        <v>Philippines</v>
      </c>
      <c r="H710" s="43" t="str">
        <f>IFERROR(__xludf.DUMMYFUNCTION("""COMPUTED_VALUE"""),"Dasmariñas [Closed]")</f>
        <v>Dasmariñas [Closed]</v>
      </c>
      <c r="I710" s="43" t="str">
        <f>IFERROR(__xludf.DUMMYFUNCTION("""COMPUTED_VALUE"""),"Turkey")</f>
        <v>Turkey</v>
      </c>
      <c r="J710" s="43" t="str">
        <f>IFERROR(__xludf.DUMMYFUNCTION("""COMPUTED_VALUE"""),"KOCAELI")</f>
        <v>KOCAELI</v>
      </c>
      <c r="K710" s="44" t="str">
        <f>IFERROR(__xludf.DUMMYFUNCTION("""COMPUTED_VALUE"""),"https://expa.aiesec.org/opportunities/1291254")</f>
        <v>https://expa.aiesec.org/opportunities/1291254</v>
      </c>
      <c r="L710" s="43" t="str">
        <f>IFERROR(__xludf.DUMMYFUNCTION("""COMPUTED_VALUE"""),"GV")</f>
        <v>GV</v>
      </c>
      <c r="M710" s="43" t="str">
        <f>IFERROR(__xludf.DUMMYFUNCTION("""COMPUTED_VALUE"""),"short")</f>
        <v>short</v>
      </c>
      <c r="N710" s="45">
        <f>IFERROR(__xludf.DUMMYFUNCTION("""COMPUTED_VALUE"""),45033.0)</f>
        <v>45033</v>
      </c>
      <c r="O710" s="45">
        <f>IFERROR(__xludf.DUMMYFUNCTION("""COMPUTED_VALUE"""),45215.0)</f>
        <v>45215</v>
      </c>
      <c r="P710" s="45">
        <f>IFERROR(__xludf.DUMMYFUNCTION("""COMPUTED_VALUE"""),45257.0)</f>
        <v>45257</v>
      </c>
      <c r="Q710" s="45">
        <f>IFERROR(__xludf.DUMMYFUNCTION("""COMPUTED_VALUE"""),45217.0)</f>
        <v>45217</v>
      </c>
      <c r="R710" s="45">
        <f>IFERROR(__xludf.DUMMYFUNCTION("""COMPUTED_VALUE"""),45257.0)</f>
        <v>45257</v>
      </c>
      <c r="S710" s="43"/>
      <c r="T710" s="43"/>
      <c r="U710" s="43" t="str">
        <f>IFERROR(__xludf.DUMMYFUNCTION("""COMPUTED_VALUE"""),"Global Classroom")</f>
        <v>Global Classroom</v>
      </c>
      <c r="V710" s="43" t="str">
        <f>IFERROR(__xludf.DUMMYFUNCTION("""COMPUTED_VALUE"""),"-")</f>
        <v>-</v>
      </c>
      <c r="W710" s="43" t="str">
        <f>IFERROR(__xludf.DUMMYFUNCTION("""COMPUTED_VALUE"""),"2018-01-30T06:27:38Z")</f>
        <v>2018-01-30T06:27:38Z</v>
      </c>
      <c r="X710" s="43"/>
      <c r="Y710" s="43"/>
      <c r="Z710" s="43"/>
    </row>
    <row r="711" hidden="1">
      <c r="A711" s="43" t="str">
        <f>IFERROR(__xludf.DUMMYFUNCTION("""COMPUTED_VALUE"""),"5244490_1287226")</f>
        <v>5244490_1287226</v>
      </c>
      <c r="B711" s="43" t="str">
        <f>IFERROR(__xludf.DUMMYFUNCTION("""COMPUTED_VALUE"""),"Tassnime Mallekh")</f>
        <v>Tassnime Mallekh</v>
      </c>
      <c r="C711" s="43" t="str">
        <f>IFERROR(__xludf.DUMMYFUNCTION("""COMPUTED_VALUE"""),"approved")</f>
        <v>approved</v>
      </c>
      <c r="D711" s="43" t="str">
        <f>IFERROR(__xludf.DUMMYFUNCTION("""COMPUTED_VALUE"""),"No")</f>
        <v>No</v>
      </c>
      <c r="E711" s="43" t="str">
        <f>IFERROR(__xludf.DUMMYFUNCTION("""COMPUTED_VALUE"""),"p_ebbae6cc5d72ce83e73ba1e4d06eb85bb9a92231@inbound.aiesec.org")</f>
        <v>p_ebbae6cc5d72ce83e73ba1e4d06eb85bb9a92231@inbound.aiesec.org</v>
      </c>
      <c r="F711" s="43">
        <f>IFERROR(__xludf.DUMMYFUNCTION("""COMPUTED_VALUE"""),5.0278004E7)</f>
        <v>50278004</v>
      </c>
      <c r="G711" s="43" t="str">
        <f>IFERROR(__xludf.DUMMYFUNCTION("""COMPUTED_VALUE"""),"Tunisia")</f>
        <v>Tunisia</v>
      </c>
      <c r="H711" s="43" t="str">
        <f>IFERROR(__xludf.DUMMYFUNCTION("""COMPUTED_VALUE"""),"BARDO")</f>
        <v>BARDO</v>
      </c>
      <c r="I711" s="43" t="str">
        <f>IFERROR(__xludf.DUMMYFUNCTION("""COMPUTED_VALUE"""),"Turkey")</f>
        <v>Turkey</v>
      </c>
      <c r="J711" s="43" t="str">
        <f>IFERROR(__xludf.DUMMYFUNCTION("""COMPUTED_VALUE"""),"ISTANBUL ASIA")</f>
        <v>ISTANBUL ASIA</v>
      </c>
      <c r="K711" s="44" t="str">
        <f>IFERROR(__xludf.DUMMYFUNCTION("""COMPUTED_VALUE"""),"https://expa.aiesec.org/opportunities/1287226")</f>
        <v>https://expa.aiesec.org/opportunities/1287226</v>
      </c>
      <c r="L711" s="43" t="str">
        <f>IFERROR(__xludf.DUMMYFUNCTION("""COMPUTED_VALUE"""),"GV")</f>
        <v>GV</v>
      </c>
      <c r="M711" s="43" t="str">
        <f>IFERROR(__xludf.DUMMYFUNCTION("""COMPUTED_VALUE"""),"short")</f>
        <v>short</v>
      </c>
      <c r="N711" s="45">
        <f>IFERROR(__xludf.DUMMYFUNCTION("""COMPUTED_VALUE"""),45034.0)</f>
        <v>45034</v>
      </c>
      <c r="O711" s="45">
        <f>IFERROR(__xludf.DUMMYFUNCTION("""COMPUTED_VALUE"""),45129.0)</f>
        <v>45129</v>
      </c>
      <c r="P711" s="45">
        <f>IFERROR(__xludf.DUMMYFUNCTION("""COMPUTED_VALUE"""),45171.0)</f>
        <v>45171</v>
      </c>
      <c r="Q711" s="45"/>
      <c r="R711" s="45"/>
      <c r="S711" s="43"/>
      <c r="T711" s="43"/>
      <c r="U711" s="43" t="str">
        <f>IFERROR(__xludf.DUMMYFUNCTION("""COMPUTED_VALUE"""),"Global Classroom")</f>
        <v>Global Classroom</v>
      </c>
      <c r="V711" s="43" t="str">
        <f>IFERROR(__xludf.DUMMYFUNCTION("""COMPUTED_VALUE"""),"TBS")</f>
        <v>TBS</v>
      </c>
      <c r="W711" s="43" t="str">
        <f>IFERROR(__xludf.DUMMYFUNCTION("""COMPUTED_VALUE"""),"2023-04-18T11:54:23Z")</f>
        <v>2023-04-18T11:54:23Z</v>
      </c>
      <c r="X711" s="43"/>
      <c r="Y711" s="43"/>
      <c r="Z711" s="43"/>
    </row>
    <row r="712" hidden="1">
      <c r="A712" s="43" t="str">
        <f>IFERROR(__xludf.DUMMYFUNCTION("""COMPUTED_VALUE"""),"5230502_1289100")</f>
        <v>5230502_1289100</v>
      </c>
      <c r="B712" s="43" t="str">
        <f>IFERROR(__xludf.DUMMYFUNCTION("""COMPUTED_VALUE"""),"Dildora Narzullayeva")</f>
        <v>Dildora Narzullayeva</v>
      </c>
      <c r="C712" s="43" t="str">
        <f>IFERROR(__xludf.DUMMYFUNCTION("""COMPUTED_VALUE"""),"completed")</f>
        <v>completed</v>
      </c>
      <c r="D712" s="43" t="str">
        <f>IFERROR(__xludf.DUMMYFUNCTION("""COMPUTED_VALUE"""),"No")</f>
        <v>No</v>
      </c>
      <c r="E712" s="43" t="str">
        <f>IFERROR(__xludf.DUMMYFUNCTION("""COMPUTED_VALUE"""),"p_694084f65bfcfdea5b82e1b5a9e176ebbecbe571@inbound.aiesec.org")</f>
        <v>p_694084f65bfcfdea5b82e1b5a9e176ebbecbe571@inbound.aiesec.org</v>
      </c>
      <c r="F712" s="43">
        <f>IFERROR(__xludf.DUMMYFUNCTION("""COMPUTED_VALUE"""),7.074626176E9)</f>
        <v>7074626176</v>
      </c>
      <c r="G712" s="43" t="str">
        <f>IFERROR(__xludf.DUMMYFUNCTION("""COMPUTED_VALUE"""),"Kazakhstan")</f>
        <v>Kazakhstan</v>
      </c>
      <c r="H712" s="43" t="str">
        <f>IFERROR(__xludf.DUMMYFUNCTION("""COMPUTED_VALUE"""),"ALMATY")</f>
        <v>ALMATY</v>
      </c>
      <c r="I712" s="43" t="str">
        <f>IFERROR(__xludf.DUMMYFUNCTION("""COMPUTED_VALUE"""),"Turkey")</f>
        <v>Turkey</v>
      </c>
      <c r="J712" s="43" t="str">
        <f>IFERROR(__xludf.DUMMYFUNCTION("""COMPUTED_VALUE"""),"KOCAELI")</f>
        <v>KOCAELI</v>
      </c>
      <c r="K712" s="44" t="str">
        <f>IFERROR(__xludf.DUMMYFUNCTION("""COMPUTED_VALUE"""),"https://expa.aiesec.org/opportunities/1289100")</f>
        <v>https://expa.aiesec.org/opportunities/1289100</v>
      </c>
      <c r="L712" s="43" t="str">
        <f>IFERROR(__xludf.DUMMYFUNCTION("""COMPUTED_VALUE"""),"GV")</f>
        <v>GV</v>
      </c>
      <c r="M712" s="43" t="str">
        <f>IFERROR(__xludf.DUMMYFUNCTION("""COMPUTED_VALUE"""),"short")</f>
        <v>short</v>
      </c>
      <c r="N712" s="45">
        <f>IFERROR(__xludf.DUMMYFUNCTION("""COMPUTED_VALUE"""),45034.0)</f>
        <v>45034</v>
      </c>
      <c r="O712" s="45">
        <f>IFERROR(__xludf.DUMMYFUNCTION("""COMPUTED_VALUE"""),45103.0)</f>
        <v>45103</v>
      </c>
      <c r="P712" s="45">
        <f>IFERROR(__xludf.DUMMYFUNCTION("""COMPUTED_VALUE"""),45145.0)</f>
        <v>45145</v>
      </c>
      <c r="Q712" s="45">
        <f>IFERROR(__xludf.DUMMYFUNCTION("""COMPUTED_VALUE"""),45103.0)</f>
        <v>45103</v>
      </c>
      <c r="R712" s="45">
        <f>IFERROR(__xludf.DUMMYFUNCTION("""COMPUTED_VALUE"""),45145.0)</f>
        <v>45145</v>
      </c>
      <c r="S712" s="43"/>
      <c r="T712" s="43"/>
      <c r="U712" s="43" t="str">
        <f>IFERROR(__xludf.DUMMYFUNCTION("""COMPUTED_VALUE"""),"Global Classroom")</f>
        <v>Global Classroom</v>
      </c>
      <c r="V712" s="43" t="str">
        <f>IFERROR(__xludf.DUMMYFUNCTION("""COMPUTED_VALUE"""),"Almaty")</f>
        <v>Almaty</v>
      </c>
      <c r="W712" s="43" t="str">
        <f>IFERROR(__xludf.DUMMYFUNCTION("""COMPUTED_VALUE"""),"2023-03-29T21:02:00Z")</f>
        <v>2023-03-29T21:02:00Z</v>
      </c>
      <c r="X712" s="43"/>
      <c r="Y712" s="43"/>
      <c r="Z712" s="43"/>
    </row>
    <row r="713" hidden="1">
      <c r="A713" s="43" t="str">
        <f>IFERROR(__xludf.DUMMYFUNCTION("""COMPUTED_VALUE"""),"5242594_1287488")</f>
        <v>5242594_1287488</v>
      </c>
      <c r="B713" s="43" t="str">
        <f>IFERROR(__xludf.DUMMYFUNCTION("""COMPUTED_VALUE"""),"Waad Khaled")</f>
        <v>Waad Khaled</v>
      </c>
      <c r="C713" s="43" t="str">
        <f>IFERROR(__xludf.DUMMYFUNCTION("""COMPUTED_VALUE"""),"approved")</f>
        <v>approved</v>
      </c>
      <c r="D713" s="43" t="str">
        <f>IFERROR(__xludf.DUMMYFUNCTION("""COMPUTED_VALUE"""),"No")</f>
        <v>No</v>
      </c>
      <c r="E713" s="43" t="str">
        <f>IFERROR(__xludf.DUMMYFUNCTION("""COMPUTED_VALUE"""),"p_ea80cec7c4b660b51594834b7a06bc5ed06c69da@inbound.aiesec.org")</f>
        <v>p_ea80cec7c4b660b51594834b7a06bc5ed06c69da@inbound.aiesec.org</v>
      </c>
      <c r="F713" s="43">
        <f>IFERROR(__xludf.DUMMYFUNCTION("""COMPUTED_VALUE"""),1.063055523E9)</f>
        <v>1063055523</v>
      </c>
      <c r="G713" s="43" t="str">
        <f>IFERROR(__xludf.DUMMYFUNCTION("""COMPUTED_VALUE"""),"Egypt")</f>
        <v>Egypt</v>
      </c>
      <c r="H713" s="43" t="str">
        <f>IFERROR(__xludf.DUMMYFUNCTION("""COMPUTED_VALUE"""),"AAST In CAIRO")</f>
        <v>AAST In CAIRO</v>
      </c>
      <c r="I713" s="43" t="str">
        <f>IFERROR(__xludf.DUMMYFUNCTION("""COMPUTED_VALUE"""),"Turkey")</f>
        <v>Turkey</v>
      </c>
      <c r="J713" s="43" t="str">
        <f>IFERROR(__xludf.DUMMYFUNCTION("""COMPUTED_VALUE"""),"ISTANBUL ASIA")</f>
        <v>ISTANBUL ASIA</v>
      </c>
      <c r="K713" s="44" t="str">
        <f>IFERROR(__xludf.DUMMYFUNCTION("""COMPUTED_VALUE"""),"https://expa.aiesec.org/opportunities/1287488")</f>
        <v>https://expa.aiesec.org/opportunities/1287488</v>
      </c>
      <c r="L713" s="43" t="str">
        <f>IFERROR(__xludf.DUMMYFUNCTION("""COMPUTED_VALUE"""),"GV")</f>
        <v>GV</v>
      </c>
      <c r="M713" s="43" t="str">
        <f>IFERROR(__xludf.DUMMYFUNCTION("""COMPUTED_VALUE"""),"short")</f>
        <v>short</v>
      </c>
      <c r="N713" s="45">
        <f>IFERROR(__xludf.DUMMYFUNCTION("""COMPUTED_VALUE"""),45034.0)</f>
        <v>45034</v>
      </c>
      <c r="O713" s="45">
        <f>IFERROR(__xludf.DUMMYFUNCTION("""COMPUTED_VALUE"""),45334.0)</f>
        <v>45334</v>
      </c>
      <c r="P713" s="45">
        <f>IFERROR(__xludf.DUMMYFUNCTION("""COMPUTED_VALUE"""),45376.0)</f>
        <v>45376</v>
      </c>
      <c r="Q713" s="45"/>
      <c r="R713" s="45"/>
      <c r="S713" s="43"/>
      <c r="T713" s="43"/>
      <c r="U713" s="43" t="str">
        <f>IFERROR(__xludf.DUMMYFUNCTION("""COMPUTED_VALUE"""),"Global Classroom")</f>
        <v>Global Classroom</v>
      </c>
      <c r="V713" s="43" t="str">
        <f>IFERROR(__xludf.DUMMYFUNCTION("""COMPUTED_VALUE"""),"BUE University")</f>
        <v>BUE University</v>
      </c>
      <c r="W713" s="43" t="str">
        <f>IFERROR(__xludf.DUMMYFUNCTION("""COMPUTED_VALUE"""),"2023-04-15T13:35:55Z")</f>
        <v>2023-04-15T13:35:55Z</v>
      </c>
      <c r="X713" s="43"/>
      <c r="Y713" s="43"/>
      <c r="Z713" s="43"/>
    </row>
    <row r="714" hidden="1">
      <c r="A714" s="43" t="str">
        <f>IFERROR(__xludf.DUMMYFUNCTION("""COMPUTED_VALUE"""),"5245290_1292557")</f>
        <v>5245290_1292557</v>
      </c>
      <c r="B714" s="43" t="str">
        <f>IFERROR(__xludf.DUMMYFUNCTION("""COMPUTED_VALUE"""),"Siwar Ajmi")</f>
        <v>Siwar Ajmi</v>
      </c>
      <c r="C714" s="43" t="str">
        <f>IFERROR(__xludf.DUMMYFUNCTION("""COMPUTED_VALUE"""),"completed")</f>
        <v>completed</v>
      </c>
      <c r="D714" s="43" t="str">
        <f>IFERROR(__xludf.DUMMYFUNCTION("""COMPUTED_VALUE"""),"No")</f>
        <v>No</v>
      </c>
      <c r="E714" s="43" t="str">
        <f>IFERROR(__xludf.DUMMYFUNCTION("""COMPUTED_VALUE"""),"p_fb4290e8934531cc1b180af78536939dc32d05fc@inbound.aiesec.org")</f>
        <v>p_fb4290e8934531cc1b180af78536939dc32d05fc@inbound.aiesec.org</v>
      </c>
      <c r="F714" s="43"/>
      <c r="G714" s="43" t="str">
        <f>IFERROR(__xludf.DUMMYFUNCTION("""COMPUTED_VALUE"""),"Tunisia")</f>
        <v>Tunisia</v>
      </c>
      <c r="H714" s="43" t="str">
        <f>IFERROR(__xludf.DUMMYFUNCTION("""COMPUTED_VALUE"""),"HADRUMET")</f>
        <v>HADRUMET</v>
      </c>
      <c r="I714" s="43" t="str">
        <f>IFERROR(__xludf.DUMMYFUNCTION("""COMPUTED_VALUE"""),"Turkey")</f>
        <v>Turkey</v>
      </c>
      <c r="J714" s="43" t="str">
        <f>IFERROR(__xludf.DUMMYFUNCTION("""COMPUTED_VALUE"""),"DENIZLI")</f>
        <v>DENIZLI</v>
      </c>
      <c r="K714" s="44" t="str">
        <f>IFERROR(__xludf.DUMMYFUNCTION("""COMPUTED_VALUE"""),"https://expa.aiesec.org/opportunities/1292557")</f>
        <v>https://expa.aiesec.org/opportunities/1292557</v>
      </c>
      <c r="L714" s="43" t="str">
        <f>IFERROR(__xludf.DUMMYFUNCTION("""COMPUTED_VALUE"""),"GV")</f>
        <v>GV</v>
      </c>
      <c r="M714" s="43" t="str">
        <f>IFERROR(__xludf.DUMMYFUNCTION("""COMPUTED_VALUE"""),"short")</f>
        <v>short</v>
      </c>
      <c r="N714" s="45">
        <f>IFERROR(__xludf.DUMMYFUNCTION("""COMPUTED_VALUE"""),45035.0)</f>
        <v>45035</v>
      </c>
      <c r="O714" s="45">
        <f>IFERROR(__xludf.DUMMYFUNCTION("""COMPUTED_VALUE"""),45117.0)</f>
        <v>45117</v>
      </c>
      <c r="P714" s="45">
        <f>IFERROR(__xludf.DUMMYFUNCTION("""COMPUTED_VALUE"""),45159.0)</f>
        <v>45159</v>
      </c>
      <c r="Q714" s="45">
        <f>IFERROR(__xludf.DUMMYFUNCTION("""COMPUTED_VALUE"""),45117.0)</f>
        <v>45117</v>
      </c>
      <c r="R714" s="45">
        <f>IFERROR(__xludf.DUMMYFUNCTION("""COMPUTED_VALUE"""),45159.0)</f>
        <v>45159</v>
      </c>
      <c r="S714" s="43"/>
      <c r="T714" s="43"/>
      <c r="U714" s="43" t="str">
        <f>IFERROR(__xludf.DUMMYFUNCTION("""COMPUTED_VALUE"""),"Equify")</f>
        <v>Equify</v>
      </c>
      <c r="V714" s="43" t="str">
        <f>IFERROR(__xludf.DUMMYFUNCTION("""COMPUTED_VALUE"""),"Polytechnique Sousse")</f>
        <v>Polytechnique Sousse</v>
      </c>
      <c r="W714" s="43" t="str">
        <f>IFERROR(__xludf.DUMMYFUNCTION("""COMPUTED_VALUE"""),"2023-04-19T12:02:22Z")</f>
        <v>2023-04-19T12:02:22Z</v>
      </c>
      <c r="X714" s="43"/>
      <c r="Y714" s="43"/>
      <c r="Z714" s="43"/>
    </row>
    <row r="715" hidden="1">
      <c r="A715" s="43" t="str">
        <f>IFERROR(__xludf.DUMMYFUNCTION("""COMPUTED_VALUE"""),"5092445_1289228")</f>
        <v>5092445_1289228</v>
      </c>
      <c r="B715" s="43" t="str">
        <f>IFERROR(__xludf.DUMMYFUNCTION("""COMPUTED_VALUE"""),"Inas Emad")</f>
        <v>Inas Emad</v>
      </c>
      <c r="C715" s="43" t="str">
        <f>IFERROR(__xludf.DUMMYFUNCTION("""COMPUTED_VALUE"""),"approved")</f>
        <v>approved</v>
      </c>
      <c r="D715" s="43" t="str">
        <f>IFERROR(__xludf.DUMMYFUNCTION("""COMPUTED_VALUE"""),"No")</f>
        <v>No</v>
      </c>
      <c r="E715" s="43" t="str">
        <f>IFERROR(__xludf.DUMMYFUNCTION("""COMPUTED_VALUE"""),"p_0dcdce7df1af7ff32cfb48c3a739e3714896a24b@inbound.aiesec.org")</f>
        <v>p_0dcdce7df1af7ff32cfb48c3a739e3714896a24b@inbound.aiesec.org</v>
      </c>
      <c r="F715" s="43">
        <f>IFERROR(__xludf.DUMMYFUNCTION("""COMPUTED_VALUE"""),1.140755087E9)</f>
        <v>1140755087</v>
      </c>
      <c r="G715" s="43" t="str">
        <f>IFERROR(__xludf.DUMMYFUNCTION("""COMPUTED_VALUE"""),"Egypt")</f>
        <v>Egypt</v>
      </c>
      <c r="H715" s="43" t="str">
        <f>IFERROR(__xludf.DUMMYFUNCTION("""COMPUTED_VALUE"""),"Cairo University")</f>
        <v>Cairo University</v>
      </c>
      <c r="I715" s="43" t="str">
        <f>IFERROR(__xludf.DUMMYFUNCTION("""COMPUTED_VALUE"""),"Turkey")</f>
        <v>Turkey</v>
      </c>
      <c r="J715" s="43" t="str">
        <f>IFERROR(__xludf.DUMMYFUNCTION("""COMPUTED_VALUE"""),"ISTANBUL WEST")</f>
        <v>ISTANBUL WEST</v>
      </c>
      <c r="K715" s="44" t="str">
        <f>IFERROR(__xludf.DUMMYFUNCTION("""COMPUTED_VALUE"""),"https://expa.aiesec.org/opportunities/1289228")</f>
        <v>https://expa.aiesec.org/opportunities/1289228</v>
      </c>
      <c r="L715" s="43" t="str">
        <f>IFERROR(__xludf.DUMMYFUNCTION("""COMPUTED_VALUE"""),"GV")</f>
        <v>GV</v>
      </c>
      <c r="M715" s="43" t="str">
        <f>IFERROR(__xludf.DUMMYFUNCTION("""COMPUTED_VALUE"""),"short")</f>
        <v>short</v>
      </c>
      <c r="N715" s="45">
        <f>IFERROR(__xludf.DUMMYFUNCTION("""COMPUTED_VALUE"""),45035.0)</f>
        <v>45035</v>
      </c>
      <c r="O715" s="45">
        <f>IFERROR(__xludf.DUMMYFUNCTION("""COMPUTED_VALUE"""),45187.0)</f>
        <v>45187</v>
      </c>
      <c r="P715" s="45">
        <f>IFERROR(__xludf.DUMMYFUNCTION("""COMPUTED_VALUE"""),45229.0)</f>
        <v>45229</v>
      </c>
      <c r="Q715" s="45"/>
      <c r="R715" s="45"/>
      <c r="S715" s="43"/>
      <c r="T715" s="43"/>
      <c r="U715" s="43" t="str">
        <f>IFERROR(__xludf.DUMMYFUNCTION("""COMPUTED_VALUE"""),"Global Classroom")</f>
        <v>Global Classroom</v>
      </c>
      <c r="V715" s="43" t="str">
        <f>IFERROR(__xludf.DUMMYFUNCTION("""COMPUTED_VALUE"""),"Cairo Univeristy")</f>
        <v>Cairo Univeristy</v>
      </c>
      <c r="W715" s="43" t="str">
        <f>IFERROR(__xludf.DUMMYFUNCTION("""COMPUTED_VALUE"""),"2022-08-12T09:44:28Z")</f>
        <v>2022-08-12T09:44:28Z</v>
      </c>
      <c r="X715" s="43"/>
      <c r="Y715" s="43"/>
      <c r="Z715" s="43"/>
    </row>
    <row r="716" hidden="1">
      <c r="A716" s="43" t="str">
        <f>IFERROR(__xludf.DUMMYFUNCTION("""COMPUTED_VALUE"""),"5241621_1289100")</f>
        <v>5241621_1289100</v>
      </c>
      <c r="B716" s="43" t="str">
        <f>IFERROR(__xludf.DUMMYFUNCTION("""COMPUTED_VALUE"""),"Chen Hong")</f>
        <v>Chen Hong</v>
      </c>
      <c r="C716" s="43" t="str">
        <f>IFERROR(__xludf.DUMMYFUNCTION("""COMPUTED_VALUE"""),"finished")</f>
        <v>finished</v>
      </c>
      <c r="D716" s="43" t="str">
        <f>IFERROR(__xludf.DUMMYFUNCTION("""COMPUTED_VALUE"""),"No")</f>
        <v>No</v>
      </c>
      <c r="E716" s="43" t="str">
        <f>IFERROR(__xludf.DUMMYFUNCTION("""COMPUTED_VALUE"""),"p_f7adf06a909d795d2c22ca85986bcd04cfd97f12@inbound.aiesec.org")</f>
        <v>p_f7adf06a909d795d2c22ca85986bcd04cfd97f12@inbound.aiesec.org</v>
      </c>
      <c r="F716" s="43">
        <f>IFERROR(__xludf.DUMMYFUNCTION("""COMPUTED_VALUE"""),1.3456900115E10)</f>
        <v>13456900115</v>
      </c>
      <c r="G716" s="43" t="str">
        <f>IFERROR(__xludf.DUMMYFUNCTION("""COMPUTED_VALUE"""),"Mainland of China")</f>
        <v>Mainland of China</v>
      </c>
      <c r="H716" s="43" t="str">
        <f>IFERROR(__xludf.DUMMYFUNCTION("""COMPUTED_VALUE"""),"-Closed, SZ")</f>
        <v>-Closed, SZ</v>
      </c>
      <c r="I716" s="43" t="str">
        <f>IFERROR(__xludf.DUMMYFUNCTION("""COMPUTED_VALUE"""),"Turkey")</f>
        <v>Turkey</v>
      </c>
      <c r="J716" s="43" t="str">
        <f>IFERROR(__xludf.DUMMYFUNCTION("""COMPUTED_VALUE"""),"KOCAELI")</f>
        <v>KOCAELI</v>
      </c>
      <c r="K716" s="44" t="str">
        <f>IFERROR(__xludf.DUMMYFUNCTION("""COMPUTED_VALUE"""),"https://expa.aiesec.org/opportunities/1289100")</f>
        <v>https://expa.aiesec.org/opportunities/1289100</v>
      </c>
      <c r="L716" s="43" t="str">
        <f>IFERROR(__xludf.DUMMYFUNCTION("""COMPUTED_VALUE"""),"GV")</f>
        <v>GV</v>
      </c>
      <c r="M716" s="43" t="str">
        <f>IFERROR(__xludf.DUMMYFUNCTION("""COMPUTED_VALUE"""),"short")</f>
        <v>short</v>
      </c>
      <c r="N716" s="45">
        <f>IFERROR(__xludf.DUMMYFUNCTION("""COMPUTED_VALUE"""),45035.0)</f>
        <v>45035</v>
      </c>
      <c r="O716" s="45">
        <f>IFERROR(__xludf.DUMMYFUNCTION("""COMPUTED_VALUE"""),45103.0)</f>
        <v>45103</v>
      </c>
      <c r="P716" s="45">
        <f>IFERROR(__xludf.DUMMYFUNCTION("""COMPUTED_VALUE"""),45145.0)</f>
        <v>45145</v>
      </c>
      <c r="Q716" s="45">
        <f>IFERROR(__xludf.DUMMYFUNCTION("""COMPUTED_VALUE"""),45102.0)</f>
        <v>45102</v>
      </c>
      <c r="R716" s="45">
        <f>IFERROR(__xludf.DUMMYFUNCTION("""COMPUTED_VALUE"""),45145.0)</f>
        <v>45145</v>
      </c>
      <c r="S716" s="43"/>
      <c r="T716" s="43"/>
      <c r="U716" s="43" t="str">
        <f>IFERROR(__xludf.DUMMYFUNCTION("""COMPUTED_VALUE"""),"Global Classroom")</f>
        <v>Global Classroom</v>
      </c>
      <c r="V716" s="43" t="str">
        <f>IFERROR(__xludf.DUMMYFUNCTION("""COMPUTED_VALUE"""),"SHENZHEN 深圳")</f>
        <v>SHENZHEN 深圳</v>
      </c>
      <c r="W716" s="43" t="str">
        <f>IFERROR(__xludf.DUMMYFUNCTION("""COMPUTED_VALUE"""),"2023-04-14T00:32:24Z")</f>
        <v>2023-04-14T00:32:24Z</v>
      </c>
      <c r="X716" s="43"/>
      <c r="Y716" s="43"/>
      <c r="Z716" s="43"/>
    </row>
    <row r="717" hidden="1">
      <c r="A717" s="43" t="str">
        <f>IFERROR(__xludf.DUMMYFUNCTION("""COMPUTED_VALUE"""),"4055427_1293417")</f>
        <v>4055427_1293417</v>
      </c>
      <c r="B717" s="43" t="str">
        <f>IFERROR(__xludf.DUMMYFUNCTION("""COMPUTED_VALUE"""),"Guido Tognini")</f>
        <v>Guido Tognini</v>
      </c>
      <c r="C717" s="43" t="str">
        <f>IFERROR(__xludf.DUMMYFUNCTION("""COMPUTED_VALUE"""),"finished")</f>
        <v>finished</v>
      </c>
      <c r="D717" s="43" t="str">
        <f>IFERROR(__xludf.DUMMYFUNCTION("""COMPUTED_VALUE"""),"No")</f>
        <v>No</v>
      </c>
      <c r="E717" s="43" t="str">
        <f>IFERROR(__xludf.DUMMYFUNCTION("""COMPUTED_VALUE"""),"p_14696e01d99414bbd139c54988bfed38f3a86dca@inbound.aiesec.org")</f>
        <v>p_14696e01d99414bbd139c54988bfed38f3a86dca@inbound.aiesec.org</v>
      </c>
      <c r="F717" s="43"/>
      <c r="G717" s="43" t="str">
        <f>IFERROR(__xludf.DUMMYFUNCTION("""COMPUTED_VALUE"""),"Brazil")</f>
        <v>Brazil</v>
      </c>
      <c r="H717" s="43" t="str">
        <f>IFERROR(__xludf.DUMMYFUNCTION("""COMPUTED_VALUE"""),"USP")</f>
        <v>USP</v>
      </c>
      <c r="I717" s="43" t="str">
        <f>IFERROR(__xludf.DUMMYFUNCTION("""COMPUTED_VALUE"""),"Turkey")</f>
        <v>Turkey</v>
      </c>
      <c r="J717" s="43" t="str">
        <f>IFERROR(__xludf.DUMMYFUNCTION("""COMPUTED_VALUE"""),"ISTANBUL")</f>
        <v>ISTANBUL</v>
      </c>
      <c r="K717" s="44" t="str">
        <f>IFERROR(__xludf.DUMMYFUNCTION("""COMPUTED_VALUE"""),"https://expa.aiesec.org/opportunities/1293417")</f>
        <v>https://expa.aiesec.org/opportunities/1293417</v>
      </c>
      <c r="L717" s="43" t="str">
        <f>IFERROR(__xludf.DUMMYFUNCTION("""COMPUTED_VALUE"""),"GV")</f>
        <v>GV</v>
      </c>
      <c r="M717" s="43" t="str">
        <f>IFERROR(__xludf.DUMMYFUNCTION("""COMPUTED_VALUE"""),"short")</f>
        <v>short</v>
      </c>
      <c r="N717" s="45">
        <f>IFERROR(__xludf.DUMMYFUNCTION("""COMPUTED_VALUE"""),45035.0)</f>
        <v>45035</v>
      </c>
      <c r="O717" s="45">
        <f>IFERROR(__xludf.DUMMYFUNCTION("""COMPUTED_VALUE"""),45091.0)</f>
        <v>45091</v>
      </c>
      <c r="P717" s="45">
        <f>IFERROR(__xludf.DUMMYFUNCTION("""COMPUTED_VALUE"""),45133.0)</f>
        <v>45133</v>
      </c>
      <c r="Q717" s="45">
        <f>IFERROR(__xludf.DUMMYFUNCTION("""COMPUTED_VALUE"""),45096.0)</f>
        <v>45096</v>
      </c>
      <c r="R717" s="45">
        <f>IFERROR(__xludf.DUMMYFUNCTION("""COMPUTED_VALUE"""),45136.0)</f>
        <v>45136</v>
      </c>
      <c r="S717" s="43"/>
      <c r="T717" s="43"/>
      <c r="U717" s="43" t="str">
        <f>IFERROR(__xludf.DUMMYFUNCTION("""COMPUTED_VALUE"""),"Global Classroom")</f>
        <v>Global Classroom</v>
      </c>
      <c r="V717" s="43" t="str">
        <f>IFERROR(__xludf.DUMMYFUNCTION("""COMPUTED_VALUE"""),"-")</f>
        <v>-</v>
      </c>
      <c r="W717" s="43" t="str">
        <f>IFERROR(__xludf.DUMMYFUNCTION("""COMPUTED_VALUE"""),"2019-11-28T01:36:29Z")</f>
        <v>2019-11-28T01:36:29Z</v>
      </c>
      <c r="X717" s="43"/>
      <c r="Y717" s="43"/>
      <c r="Z717" s="43"/>
    </row>
    <row r="718" hidden="1">
      <c r="A718" s="43" t="str">
        <f>IFERROR(__xludf.DUMMYFUNCTION("""COMPUTED_VALUE"""),"5213983_1294068")</f>
        <v>5213983_1294068</v>
      </c>
      <c r="B718" s="43" t="str">
        <f>IFERROR(__xludf.DUMMYFUNCTION("""COMPUTED_VALUE"""),"Bors Rares")</f>
        <v>Bors Rares</v>
      </c>
      <c r="C718" s="43" t="str">
        <f>IFERROR(__xludf.DUMMYFUNCTION("""COMPUTED_VALUE"""),"approved")</f>
        <v>approved</v>
      </c>
      <c r="D718" s="43" t="str">
        <f>IFERROR(__xludf.DUMMYFUNCTION("""COMPUTED_VALUE"""),"No")</f>
        <v>No</v>
      </c>
      <c r="E718" s="43" t="str">
        <f>IFERROR(__xludf.DUMMYFUNCTION("""COMPUTED_VALUE"""),"p_2e9050abfa89bd33bf81bd6472be6940c22c9150@inbound.aiesec.org")</f>
        <v>p_2e9050abfa89bd33bf81bd6472be6940c22c9150@inbound.aiesec.org</v>
      </c>
      <c r="F718" s="43">
        <f>IFERROR(__xludf.DUMMYFUNCTION("""COMPUTED_VALUE"""),7.5561227E8)</f>
        <v>755612270</v>
      </c>
      <c r="G718" s="43" t="str">
        <f>IFERROR(__xludf.DUMMYFUNCTION("""COMPUTED_VALUE"""),"Romania")</f>
        <v>Romania</v>
      </c>
      <c r="H718" s="43" t="str">
        <f>IFERROR(__xludf.DUMMYFUNCTION("""COMPUTED_VALUE"""),"GALATI")</f>
        <v>GALATI</v>
      </c>
      <c r="I718" s="43" t="str">
        <f>IFERROR(__xludf.DUMMYFUNCTION("""COMPUTED_VALUE"""),"Turkey")</f>
        <v>Turkey</v>
      </c>
      <c r="J718" s="43" t="str">
        <f>IFERROR(__xludf.DUMMYFUNCTION("""COMPUTED_VALUE"""),"DENIZLI")</f>
        <v>DENIZLI</v>
      </c>
      <c r="K718" s="44" t="str">
        <f>IFERROR(__xludf.DUMMYFUNCTION("""COMPUTED_VALUE"""),"https://expa.aiesec.org/opportunities/1294068")</f>
        <v>https://expa.aiesec.org/opportunities/1294068</v>
      </c>
      <c r="L718" s="43" t="str">
        <f>IFERROR(__xludf.DUMMYFUNCTION("""COMPUTED_VALUE"""),"GV")</f>
        <v>GV</v>
      </c>
      <c r="M718" s="43" t="str">
        <f>IFERROR(__xludf.DUMMYFUNCTION("""COMPUTED_VALUE"""),"short")</f>
        <v>short</v>
      </c>
      <c r="N718" s="45">
        <f>IFERROR(__xludf.DUMMYFUNCTION("""COMPUTED_VALUE"""),45035.0)</f>
        <v>45035</v>
      </c>
      <c r="O718" s="45">
        <f>IFERROR(__xludf.DUMMYFUNCTION("""COMPUTED_VALUE"""),45124.0)</f>
        <v>45124</v>
      </c>
      <c r="P718" s="45">
        <f>IFERROR(__xludf.DUMMYFUNCTION("""COMPUTED_VALUE"""),45166.0)</f>
        <v>45166</v>
      </c>
      <c r="Q718" s="45"/>
      <c r="R718" s="45"/>
      <c r="S718" s="43"/>
      <c r="T718" s="43"/>
      <c r="U718" s="43" t="str">
        <f>IFERROR(__xludf.DUMMYFUNCTION("""COMPUTED_VALUE"""),"Equify")</f>
        <v>Equify</v>
      </c>
      <c r="V718" s="43" t="str">
        <f>IFERROR(__xludf.DUMMYFUNCTION("""COMPUTED_VALUE"""),"Galati")</f>
        <v>Galati</v>
      </c>
      <c r="W718" s="43" t="str">
        <f>IFERROR(__xludf.DUMMYFUNCTION("""COMPUTED_VALUE"""),"2023-03-12T17:09:14Z")</f>
        <v>2023-03-12T17:09:14Z</v>
      </c>
      <c r="X718" s="43"/>
      <c r="Y718" s="43"/>
      <c r="Z718" s="43"/>
    </row>
    <row r="719" hidden="1">
      <c r="A719" s="43" t="str">
        <f>IFERROR(__xludf.DUMMYFUNCTION("""COMPUTED_VALUE"""),"5238379_1291929")</f>
        <v>5238379_1291929</v>
      </c>
      <c r="B719" s="43" t="str">
        <f>IFERROR(__xludf.DUMMYFUNCTION("""COMPUTED_VALUE"""),"Nadin Nader")</f>
        <v>Nadin Nader</v>
      </c>
      <c r="C719" s="43" t="str">
        <f>IFERROR(__xludf.DUMMYFUNCTION("""COMPUTED_VALUE"""),"finished")</f>
        <v>finished</v>
      </c>
      <c r="D719" s="43" t="str">
        <f>IFERROR(__xludf.DUMMYFUNCTION("""COMPUTED_VALUE"""),"No")</f>
        <v>No</v>
      </c>
      <c r="E719" s="43" t="str">
        <f>IFERROR(__xludf.DUMMYFUNCTION("""COMPUTED_VALUE"""),"p_bb7d79f60a0745475ccf91d0df1188389ccc47c9@inbound.aiesec.org")</f>
        <v>p_bb7d79f60a0745475ccf91d0df1188389ccc47c9@inbound.aiesec.org</v>
      </c>
      <c r="F719" s="43">
        <f>IFERROR(__xludf.DUMMYFUNCTION("""COMPUTED_VALUE"""),1.020931886E9)</f>
        <v>1020931886</v>
      </c>
      <c r="G719" s="43" t="str">
        <f>IFERROR(__xludf.DUMMYFUNCTION("""COMPUTED_VALUE"""),"Egypt")</f>
        <v>Egypt</v>
      </c>
      <c r="H719" s="43" t="str">
        <f>IFERROR(__xludf.DUMMYFUNCTION("""COMPUTED_VALUE"""),"Ain Shams University")</f>
        <v>Ain Shams University</v>
      </c>
      <c r="I719" s="43" t="str">
        <f>IFERROR(__xludf.DUMMYFUNCTION("""COMPUTED_VALUE"""),"Turkey")</f>
        <v>Turkey</v>
      </c>
      <c r="J719" s="43" t="str">
        <f>IFERROR(__xludf.DUMMYFUNCTION("""COMPUTED_VALUE"""),"TRABZON")</f>
        <v>TRABZON</v>
      </c>
      <c r="K719" s="44" t="str">
        <f>IFERROR(__xludf.DUMMYFUNCTION("""COMPUTED_VALUE"""),"https://expa.aiesec.org/opportunities/1291929")</f>
        <v>https://expa.aiesec.org/opportunities/1291929</v>
      </c>
      <c r="L719" s="43" t="str">
        <f>IFERROR(__xludf.DUMMYFUNCTION("""COMPUTED_VALUE"""),"GV")</f>
        <v>GV</v>
      </c>
      <c r="M719" s="43" t="str">
        <f>IFERROR(__xludf.DUMMYFUNCTION("""COMPUTED_VALUE"""),"short")</f>
        <v>short</v>
      </c>
      <c r="N719" s="45">
        <f>IFERROR(__xludf.DUMMYFUNCTION("""COMPUTED_VALUE"""),45035.0)</f>
        <v>45035</v>
      </c>
      <c r="O719" s="45">
        <f>IFERROR(__xludf.DUMMYFUNCTION("""COMPUTED_VALUE"""),45128.0)</f>
        <v>45128</v>
      </c>
      <c r="P719" s="45">
        <f>IFERROR(__xludf.DUMMYFUNCTION("""COMPUTED_VALUE"""),45170.0)</f>
        <v>45170</v>
      </c>
      <c r="Q719" s="45">
        <f>IFERROR(__xludf.DUMMYFUNCTION("""COMPUTED_VALUE"""),45132.0)</f>
        <v>45132</v>
      </c>
      <c r="R719" s="45">
        <f>IFERROR(__xludf.DUMMYFUNCTION("""COMPUTED_VALUE"""),45169.0)</f>
        <v>45169</v>
      </c>
      <c r="S719" s="43"/>
      <c r="T719" s="43"/>
      <c r="U719" s="43" t="str">
        <f>IFERROR(__xludf.DUMMYFUNCTION("""COMPUTED_VALUE"""),"Global Classroom")</f>
        <v>Global Classroom</v>
      </c>
      <c r="V719" s="43" t="str">
        <f>IFERROR(__xludf.DUMMYFUNCTION("""COMPUTED_VALUE"""),"Ain Shams University")</f>
        <v>Ain Shams University</v>
      </c>
      <c r="W719" s="43" t="str">
        <f>IFERROR(__xludf.DUMMYFUNCTION("""COMPUTED_VALUE"""),"2023-04-09T22:41:04Z")</f>
        <v>2023-04-09T22:41:04Z</v>
      </c>
      <c r="X719" s="43"/>
      <c r="Y719" s="43"/>
      <c r="Z719" s="43"/>
    </row>
    <row r="720" hidden="1">
      <c r="A720" s="43" t="str">
        <f>IFERROR(__xludf.DUMMYFUNCTION("""COMPUTED_VALUE"""),"4044404_1292773")</f>
        <v>4044404_1292773</v>
      </c>
      <c r="B720" s="43" t="str">
        <f>IFERROR(__xludf.DUMMYFUNCTION("""COMPUTED_VALUE"""),"Nana Kentchiashvili")</f>
        <v>Nana Kentchiashvili</v>
      </c>
      <c r="C720" s="43" t="str">
        <f>IFERROR(__xludf.DUMMYFUNCTION("""COMPUTED_VALUE"""),"completed")</f>
        <v>completed</v>
      </c>
      <c r="D720" s="43" t="str">
        <f>IFERROR(__xludf.DUMMYFUNCTION("""COMPUTED_VALUE"""),"No")</f>
        <v>No</v>
      </c>
      <c r="E720" s="43" t="str">
        <f>IFERROR(__xludf.DUMMYFUNCTION("""COMPUTED_VALUE"""),"p_cc006f3a944e621394e5a63ba4e5131f4710425e@inbound.aiesec.org")</f>
        <v>p_cc006f3a944e621394e5a63ba4e5131f4710425e@inbound.aiesec.org</v>
      </c>
      <c r="F720" s="43">
        <f>IFERROR(__xludf.DUMMYFUNCTION("""COMPUTED_VALUE"""),5.57537666E8)</f>
        <v>557537666</v>
      </c>
      <c r="G720" s="43" t="str">
        <f>IFERROR(__xludf.DUMMYFUNCTION("""COMPUTED_VALUE"""),"Georgia")</f>
        <v>Georgia</v>
      </c>
      <c r="H720" s="43" t="str">
        <f>IFERROR(__xludf.DUMMYFUNCTION("""COMPUTED_VALUE"""),"TBILISI")</f>
        <v>TBILISI</v>
      </c>
      <c r="I720" s="43" t="str">
        <f>IFERROR(__xludf.DUMMYFUNCTION("""COMPUTED_VALUE"""),"Turkey")</f>
        <v>Turkey</v>
      </c>
      <c r="J720" s="43" t="str">
        <f>IFERROR(__xludf.DUMMYFUNCTION("""COMPUTED_VALUE"""),"ESKISEHIR")</f>
        <v>ESKISEHIR</v>
      </c>
      <c r="K720" s="44" t="str">
        <f>IFERROR(__xludf.DUMMYFUNCTION("""COMPUTED_VALUE"""),"https://expa.aiesec.org/opportunities/1292773")</f>
        <v>https://expa.aiesec.org/opportunities/1292773</v>
      </c>
      <c r="L720" s="43" t="str">
        <f>IFERROR(__xludf.DUMMYFUNCTION("""COMPUTED_VALUE"""),"GV")</f>
        <v>GV</v>
      </c>
      <c r="M720" s="43" t="str">
        <f>IFERROR(__xludf.DUMMYFUNCTION("""COMPUTED_VALUE"""),"short")</f>
        <v>short</v>
      </c>
      <c r="N720" s="45">
        <f>IFERROR(__xludf.DUMMYFUNCTION("""COMPUTED_VALUE"""),45035.0)</f>
        <v>45035</v>
      </c>
      <c r="O720" s="45">
        <f>IFERROR(__xludf.DUMMYFUNCTION("""COMPUTED_VALUE"""),45103.0)</f>
        <v>45103</v>
      </c>
      <c r="P720" s="45">
        <f>IFERROR(__xludf.DUMMYFUNCTION("""COMPUTED_VALUE"""),45145.0)</f>
        <v>45145</v>
      </c>
      <c r="Q720" s="45">
        <f>IFERROR(__xludf.DUMMYFUNCTION("""COMPUTED_VALUE"""),45109.0)</f>
        <v>45109</v>
      </c>
      <c r="R720" s="45">
        <f>IFERROR(__xludf.DUMMYFUNCTION("""COMPUTED_VALUE"""),45149.0)</f>
        <v>45149</v>
      </c>
      <c r="S720" s="43"/>
      <c r="T720" s="43"/>
      <c r="U720" s="43" t="str">
        <f>IFERROR(__xludf.DUMMYFUNCTION("""COMPUTED_VALUE"""),"Raise Your Voice")</f>
        <v>Raise Your Voice</v>
      </c>
      <c r="V720" s="43" t="str">
        <f>IFERROR(__xludf.DUMMYFUNCTION("""COMPUTED_VALUE"""),"Ivane Javakhishvili Tbilisi State University")</f>
        <v>Ivane Javakhishvili Tbilisi State University</v>
      </c>
      <c r="W720" s="43" t="str">
        <f>IFERROR(__xludf.DUMMYFUNCTION("""COMPUTED_VALUE"""),"2019-11-25T16:44:13Z")</f>
        <v>2019-11-25T16:44:13Z</v>
      </c>
      <c r="X720" s="43"/>
      <c r="Y720" s="43"/>
      <c r="Z720" s="43"/>
    </row>
    <row r="721" hidden="1">
      <c r="A721" s="43" t="str">
        <f>IFERROR(__xludf.DUMMYFUNCTION("""COMPUTED_VALUE"""),"5179304_1293495")</f>
        <v>5179304_1293495</v>
      </c>
      <c r="B721" s="43" t="str">
        <f>IFERROR(__xludf.DUMMYFUNCTION("""COMPUTED_VALUE"""),"Sifa Della Butungane")</f>
        <v>Sifa Della Butungane</v>
      </c>
      <c r="C721" s="43" t="str">
        <f>IFERROR(__xludf.DUMMYFUNCTION("""COMPUTED_VALUE"""),"finished")</f>
        <v>finished</v>
      </c>
      <c r="D721" s="43" t="str">
        <f>IFERROR(__xludf.DUMMYFUNCTION("""COMPUTED_VALUE"""),"No")</f>
        <v>No</v>
      </c>
      <c r="E721" s="43" t="str">
        <f>IFERROR(__xludf.DUMMYFUNCTION("""COMPUTED_VALUE"""),"p_3dc679da813f91b3195307592b19b2c5ab59d1f0@inbound.aiesec.org")</f>
        <v>p_3dc679da813f91b3195307592b19b2c5ab59d1f0@inbound.aiesec.org</v>
      </c>
      <c r="F721" s="43">
        <f>IFERROR(__xludf.DUMMYFUNCTION("""COMPUTED_VALUE"""),5.338556623E9)</f>
        <v>5338556623</v>
      </c>
      <c r="G721" s="43" t="str">
        <f>IFERROR(__xludf.DUMMYFUNCTION("""COMPUTED_VALUE"""),"Uganda")</f>
        <v>Uganda</v>
      </c>
      <c r="H721" s="43" t="str">
        <f>IFERROR(__xludf.DUMMYFUNCTION("""COMPUTED_VALUE"""),"Makerere University Kampala")</f>
        <v>Makerere University Kampala</v>
      </c>
      <c r="I721" s="43" t="str">
        <f>IFERROR(__xludf.DUMMYFUNCTION("""COMPUTED_VALUE"""),"Turkey")</f>
        <v>Turkey</v>
      </c>
      <c r="J721" s="43" t="str">
        <f>IFERROR(__xludf.DUMMYFUNCTION("""COMPUTED_VALUE"""),"BURSA")</f>
        <v>BURSA</v>
      </c>
      <c r="K721" s="44" t="str">
        <f>IFERROR(__xludf.DUMMYFUNCTION("""COMPUTED_VALUE"""),"https://expa.aiesec.org/opportunities/1293495")</f>
        <v>https://expa.aiesec.org/opportunities/1293495</v>
      </c>
      <c r="L721" s="43" t="str">
        <f>IFERROR(__xludf.DUMMYFUNCTION("""COMPUTED_VALUE"""),"GV")</f>
        <v>GV</v>
      </c>
      <c r="M721" s="43" t="str">
        <f>IFERROR(__xludf.DUMMYFUNCTION("""COMPUTED_VALUE"""),"short")</f>
        <v>short</v>
      </c>
      <c r="N721" s="45">
        <f>IFERROR(__xludf.DUMMYFUNCTION("""COMPUTED_VALUE"""),45035.0)</f>
        <v>45035</v>
      </c>
      <c r="O721" s="45">
        <f>IFERROR(__xludf.DUMMYFUNCTION("""COMPUTED_VALUE"""),45102.0)</f>
        <v>45102</v>
      </c>
      <c r="P721" s="45">
        <f>IFERROR(__xludf.DUMMYFUNCTION("""COMPUTED_VALUE"""),45144.0)</f>
        <v>45144</v>
      </c>
      <c r="Q721" s="45">
        <f>IFERROR(__xludf.DUMMYFUNCTION("""COMPUTED_VALUE"""),45100.0)</f>
        <v>45100</v>
      </c>
      <c r="R721" s="45">
        <f>IFERROR(__xludf.DUMMYFUNCTION("""COMPUTED_VALUE"""),45144.0)</f>
        <v>45144</v>
      </c>
      <c r="S721" s="43"/>
      <c r="T721" s="43"/>
      <c r="U721" s="43" t="str">
        <f>IFERROR(__xludf.DUMMYFUNCTION("""COMPUTED_VALUE"""),"Youth 4 Impact")</f>
        <v>Youth 4 Impact</v>
      </c>
      <c r="V721" s="43" t="str">
        <f>IFERROR(__xludf.DUMMYFUNCTION("""COMPUTED_VALUE"""),"Uganda Christian University")</f>
        <v>Uganda Christian University</v>
      </c>
      <c r="W721" s="43" t="str">
        <f>IFERROR(__xludf.DUMMYFUNCTION("""COMPUTED_VALUE"""),"2023-01-22T10:41:10Z")</f>
        <v>2023-01-22T10:41:10Z</v>
      </c>
      <c r="X721" s="43"/>
      <c r="Y721" s="43"/>
      <c r="Z721" s="43"/>
    </row>
    <row r="722" hidden="1">
      <c r="A722" s="43" t="str">
        <f>IFERROR(__xludf.DUMMYFUNCTION("""COMPUTED_VALUE"""),"5246199_1272564")</f>
        <v>5246199_1272564</v>
      </c>
      <c r="B722" s="43" t="str">
        <f>IFERROR(__xludf.DUMMYFUNCTION("""COMPUTED_VALUE"""),"Farah Hamrouni")</f>
        <v>Farah Hamrouni</v>
      </c>
      <c r="C722" s="43" t="str">
        <f>IFERROR(__xludf.DUMMYFUNCTION("""COMPUTED_VALUE"""),"approved")</f>
        <v>approved</v>
      </c>
      <c r="D722" s="43" t="str">
        <f>IFERROR(__xludf.DUMMYFUNCTION("""COMPUTED_VALUE"""),"No")</f>
        <v>No</v>
      </c>
      <c r="E722" s="43" t="str">
        <f>IFERROR(__xludf.DUMMYFUNCTION("""COMPUTED_VALUE"""),"p_c3984a608edc536d16acf7a1a667bfce3ecf27cf@inbound.aiesec.org")</f>
        <v>p_c3984a608edc536d16acf7a1a667bfce3ecf27cf@inbound.aiesec.org</v>
      </c>
      <c r="F722" s="43">
        <f>IFERROR(__xludf.DUMMYFUNCTION("""COMPUTED_VALUE"""),2.2060093E7)</f>
        <v>22060093</v>
      </c>
      <c r="G722" s="43" t="str">
        <f>IFERROR(__xludf.DUMMYFUNCTION("""COMPUTED_VALUE"""),"Tunisia")</f>
        <v>Tunisia</v>
      </c>
      <c r="H722" s="43" t="str">
        <f>IFERROR(__xludf.DUMMYFUNCTION("""COMPUTED_VALUE"""),"UNIVERSITY")</f>
        <v>UNIVERSITY</v>
      </c>
      <c r="I722" s="43" t="str">
        <f>IFERROR(__xludf.DUMMYFUNCTION("""COMPUTED_VALUE"""),"Turkey")</f>
        <v>Turkey</v>
      </c>
      <c r="J722" s="43" t="str">
        <f>IFERROR(__xludf.DUMMYFUNCTION("""COMPUTED_VALUE"""),"ISTANBUL")</f>
        <v>ISTANBUL</v>
      </c>
      <c r="K722" s="44" t="str">
        <f>IFERROR(__xludf.DUMMYFUNCTION("""COMPUTED_VALUE"""),"https://expa.aiesec.org/opportunities/1272564")</f>
        <v>https://expa.aiesec.org/opportunities/1272564</v>
      </c>
      <c r="L722" s="43" t="str">
        <f>IFERROR(__xludf.DUMMYFUNCTION("""COMPUTED_VALUE"""),"GV")</f>
        <v>GV</v>
      </c>
      <c r="M722" s="43" t="str">
        <f>IFERROR(__xludf.DUMMYFUNCTION("""COMPUTED_VALUE"""),"short")</f>
        <v>short</v>
      </c>
      <c r="N722" s="45">
        <f>IFERROR(__xludf.DUMMYFUNCTION("""COMPUTED_VALUE"""),45036.0)</f>
        <v>45036</v>
      </c>
      <c r="O722" s="45">
        <f>IFERROR(__xludf.DUMMYFUNCTION("""COMPUTED_VALUE"""),45162.0)</f>
        <v>45162</v>
      </c>
      <c r="P722" s="45">
        <f>IFERROR(__xludf.DUMMYFUNCTION("""COMPUTED_VALUE"""),45204.0)</f>
        <v>45204</v>
      </c>
      <c r="Q722" s="45"/>
      <c r="R722" s="45"/>
      <c r="S722" s="43"/>
      <c r="T722" s="43"/>
      <c r="U722" s="43" t="str">
        <f>IFERROR(__xludf.DUMMYFUNCTION("""COMPUTED_VALUE"""),"Global Classroom")</f>
        <v>Global Classroom</v>
      </c>
      <c r="V722" s="43" t="str">
        <f>IFERROR(__xludf.DUMMYFUNCTION("""COMPUTED_VALUE"""),"FST")</f>
        <v>FST</v>
      </c>
      <c r="W722" s="43" t="str">
        <f>IFERROR(__xludf.DUMMYFUNCTION("""COMPUTED_VALUE"""),"2023-04-20T13:00:45Z")</f>
        <v>2023-04-20T13:00:45Z</v>
      </c>
      <c r="X722" s="43"/>
      <c r="Y722" s="43"/>
      <c r="Z722" s="43"/>
    </row>
    <row r="723" hidden="1">
      <c r="A723" s="43" t="str">
        <f>IFERROR(__xludf.DUMMYFUNCTION("""COMPUTED_VALUE"""),"5246201_1272564")</f>
        <v>5246201_1272564</v>
      </c>
      <c r="B723" s="43" t="str">
        <f>IFERROR(__xludf.DUMMYFUNCTION("""COMPUTED_VALUE"""),"Nour Slama")</f>
        <v>Nour Slama</v>
      </c>
      <c r="C723" s="43" t="str">
        <f>IFERROR(__xludf.DUMMYFUNCTION("""COMPUTED_VALUE"""),"approved")</f>
        <v>approved</v>
      </c>
      <c r="D723" s="43" t="str">
        <f>IFERROR(__xludf.DUMMYFUNCTION("""COMPUTED_VALUE"""),"No")</f>
        <v>No</v>
      </c>
      <c r="E723" s="43" t="str">
        <f>IFERROR(__xludf.DUMMYFUNCTION("""COMPUTED_VALUE"""),"p_2e567af8dc46ad77bc82a831da0a9ef06bc7d674@inbound.aiesec.org")</f>
        <v>p_2e567af8dc46ad77bc82a831da0a9ef06bc7d674@inbound.aiesec.org</v>
      </c>
      <c r="F723" s="43">
        <f>IFERROR(__xludf.DUMMYFUNCTION("""COMPUTED_VALUE"""),2.2866822E7)</f>
        <v>22866822</v>
      </c>
      <c r="G723" s="43" t="str">
        <f>IFERROR(__xludf.DUMMYFUNCTION("""COMPUTED_VALUE"""),"Tunisia")</f>
        <v>Tunisia</v>
      </c>
      <c r="H723" s="43" t="str">
        <f>IFERROR(__xludf.DUMMYFUNCTION("""COMPUTED_VALUE"""),"UNIVERSITY")</f>
        <v>UNIVERSITY</v>
      </c>
      <c r="I723" s="43" t="str">
        <f>IFERROR(__xludf.DUMMYFUNCTION("""COMPUTED_VALUE"""),"Turkey")</f>
        <v>Turkey</v>
      </c>
      <c r="J723" s="43" t="str">
        <f>IFERROR(__xludf.DUMMYFUNCTION("""COMPUTED_VALUE"""),"ISTANBUL")</f>
        <v>ISTANBUL</v>
      </c>
      <c r="K723" s="44" t="str">
        <f>IFERROR(__xludf.DUMMYFUNCTION("""COMPUTED_VALUE"""),"https://expa.aiesec.org/opportunities/1272564")</f>
        <v>https://expa.aiesec.org/opportunities/1272564</v>
      </c>
      <c r="L723" s="43" t="str">
        <f>IFERROR(__xludf.DUMMYFUNCTION("""COMPUTED_VALUE"""),"GV")</f>
        <v>GV</v>
      </c>
      <c r="M723" s="43" t="str">
        <f>IFERROR(__xludf.DUMMYFUNCTION("""COMPUTED_VALUE"""),"short")</f>
        <v>short</v>
      </c>
      <c r="N723" s="45">
        <f>IFERROR(__xludf.DUMMYFUNCTION("""COMPUTED_VALUE"""),45036.0)</f>
        <v>45036</v>
      </c>
      <c r="O723" s="45">
        <f>IFERROR(__xludf.DUMMYFUNCTION("""COMPUTED_VALUE"""),45162.0)</f>
        <v>45162</v>
      </c>
      <c r="P723" s="45">
        <f>IFERROR(__xludf.DUMMYFUNCTION("""COMPUTED_VALUE"""),45204.0)</f>
        <v>45204</v>
      </c>
      <c r="Q723" s="45"/>
      <c r="R723" s="45"/>
      <c r="S723" s="43"/>
      <c r="T723" s="43"/>
      <c r="U723" s="43" t="str">
        <f>IFERROR(__xludf.DUMMYFUNCTION("""COMPUTED_VALUE"""),"Global Classroom")</f>
        <v>Global Classroom</v>
      </c>
      <c r="V723" s="43" t="str">
        <f>IFERROR(__xludf.DUMMYFUNCTION("""COMPUTED_VALUE"""),"École supérieure des sciences et techniques de la santé de Tunis ESSTST")</f>
        <v>École supérieure des sciences et techniques de la santé de Tunis ESSTST</v>
      </c>
      <c r="W723" s="43" t="str">
        <f>IFERROR(__xludf.DUMMYFUNCTION("""COMPUTED_VALUE"""),"2023-04-20T13:01:41Z")</f>
        <v>2023-04-20T13:01:41Z</v>
      </c>
      <c r="X723" s="43"/>
      <c r="Y723" s="43"/>
      <c r="Z723" s="43"/>
    </row>
    <row r="724" hidden="1">
      <c r="A724" s="43" t="str">
        <f>IFERROR(__xludf.DUMMYFUNCTION("""COMPUTED_VALUE"""),"5228237_1294410")</f>
        <v>5228237_1294410</v>
      </c>
      <c r="B724" s="43" t="str">
        <f>IFERROR(__xludf.DUMMYFUNCTION("""COMPUTED_VALUE"""),"Racha Khamassi")</f>
        <v>Racha Khamassi</v>
      </c>
      <c r="C724" s="43" t="str">
        <f>IFERROR(__xludf.DUMMYFUNCTION("""COMPUTED_VALUE"""),"finished")</f>
        <v>finished</v>
      </c>
      <c r="D724" s="43" t="str">
        <f>IFERROR(__xludf.DUMMYFUNCTION("""COMPUTED_VALUE"""),"No")</f>
        <v>No</v>
      </c>
      <c r="E724" s="43" t="str">
        <f>IFERROR(__xludf.DUMMYFUNCTION("""COMPUTED_VALUE"""),"p_f76ca3555552967a47214858bbdefcbc85ee2905@inbound.aiesec.org")</f>
        <v>p_f76ca3555552967a47214858bbdefcbc85ee2905@inbound.aiesec.org</v>
      </c>
      <c r="F724" s="43">
        <f>IFERROR(__xludf.DUMMYFUNCTION("""COMPUTED_VALUE"""),2.9582254E7)</f>
        <v>29582254</v>
      </c>
      <c r="G724" s="43" t="str">
        <f>IFERROR(__xludf.DUMMYFUNCTION("""COMPUTED_VALUE"""),"Tunisia")</f>
        <v>Tunisia</v>
      </c>
      <c r="H724" s="43" t="str">
        <f>IFERROR(__xludf.DUMMYFUNCTION("""COMPUTED_VALUE"""),"NABEL")</f>
        <v>NABEL</v>
      </c>
      <c r="I724" s="43" t="str">
        <f>IFERROR(__xludf.DUMMYFUNCTION("""COMPUTED_VALUE"""),"Turkey")</f>
        <v>Turkey</v>
      </c>
      <c r="J724" s="43" t="str">
        <f>IFERROR(__xludf.DUMMYFUNCTION("""COMPUTED_VALUE"""),"İZMİR")</f>
        <v>İZMİR</v>
      </c>
      <c r="K724" s="44" t="str">
        <f>IFERROR(__xludf.DUMMYFUNCTION("""COMPUTED_VALUE"""),"https://expa.aiesec.org/opportunities/1294410")</f>
        <v>https://expa.aiesec.org/opportunities/1294410</v>
      </c>
      <c r="L724" s="43" t="str">
        <f>IFERROR(__xludf.DUMMYFUNCTION("""COMPUTED_VALUE"""),"GV")</f>
        <v>GV</v>
      </c>
      <c r="M724" s="43" t="str">
        <f>IFERROR(__xludf.DUMMYFUNCTION("""COMPUTED_VALUE"""),"short")</f>
        <v>short</v>
      </c>
      <c r="N724" s="45">
        <f>IFERROR(__xludf.DUMMYFUNCTION("""COMPUTED_VALUE"""),45036.0)</f>
        <v>45036</v>
      </c>
      <c r="O724" s="45">
        <f>IFERROR(__xludf.DUMMYFUNCTION("""COMPUTED_VALUE"""),45138.0)</f>
        <v>45138</v>
      </c>
      <c r="P724" s="45">
        <f>IFERROR(__xludf.DUMMYFUNCTION("""COMPUTED_VALUE"""),45180.0)</f>
        <v>45180</v>
      </c>
      <c r="Q724" s="45">
        <f>IFERROR(__xludf.DUMMYFUNCTION("""COMPUTED_VALUE"""),45138.0)</f>
        <v>45138</v>
      </c>
      <c r="R724" s="45">
        <f>IFERROR(__xludf.DUMMYFUNCTION("""COMPUTED_VALUE"""),45180.0)</f>
        <v>45180</v>
      </c>
      <c r="S724" s="43"/>
      <c r="T724" s="43"/>
      <c r="U724" s="43" t="str">
        <f>IFERROR(__xludf.DUMMYFUNCTION("""COMPUTED_VALUE"""),"Global Classroom")</f>
        <v>Global Classroom</v>
      </c>
      <c r="V724" s="43" t="str">
        <f>IFERROR(__xludf.DUMMYFUNCTION("""COMPUTED_VALUE"""),"ISTIC")</f>
        <v>ISTIC</v>
      </c>
      <c r="W724" s="43" t="str">
        <f>IFERROR(__xludf.DUMMYFUNCTION("""COMPUTED_VALUE"""),"2023-03-27T14:46:24Z")</f>
        <v>2023-03-27T14:46:24Z</v>
      </c>
      <c r="X724" s="43"/>
      <c r="Y724" s="43"/>
      <c r="Z724" s="43"/>
    </row>
    <row r="725" hidden="1">
      <c r="A725" s="43" t="str">
        <f>IFERROR(__xludf.DUMMYFUNCTION("""COMPUTED_VALUE"""),"5244604_1294410")</f>
        <v>5244604_1294410</v>
      </c>
      <c r="B725" s="43" t="str">
        <f>IFERROR(__xludf.DUMMYFUNCTION("""COMPUTED_VALUE"""),"Eman Saeed")</f>
        <v>Eman Saeed</v>
      </c>
      <c r="C725" s="43" t="str">
        <f>IFERROR(__xludf.DUMMYFUNCTION("""COMPUTED_VALUE"""),"approved")</f>
        <v>approved</v>
      </c>
      <c r="D725" s="43" t="str">
        <f>IFERROR(__xludf.DUMMYFUNCTION("""COMPUTED_VALUE"""),"No")</f>
        <v>No</v>
      </c>
      <c r="E725" s="43" t="str">
        <f>IFERROR(__xludf.DUMMYFUNCTION("""COMPUTED_VALUE"""),"p_354afc435dbe29ef0331404a68f7ecd1518b03ad@inbound.aiesec.org")</f>
        <v>p_354afc435dbe29ef0331404a68f7ecd1518b03ad@inbound.aiesec.org</v>
      </c>
      <c r="F725" s="43">
        <f>IFERROR(__xludf.DUMMYFUNCTION("""COMPUTED_VALUE"""),1.159162104E9)</f>
        <v>1159162104</v>
      </c>
      <c r="G725" s="43" t="str">
        <f>IFERROR(__xludf.DUMMYFUNCTION("""COMPUTED_VALUE"""),"Egypt")</f>
        <v>Egypt</v>
      </c>
      <c r="H725" s="43" t="str">
        <f>IFERROR(__xludf.DUMMYFUNCTION("""COMPUTED_VALUE"""),"AAST In CAIRO")</f>
        <v>AAST In CAIRO</v>
      </c>
      <c r="I725" s="43" t="str">
        <f>IFERROR(__xludf.DUMMYFUNCTION("""COMPUTED_VALUE"""),"Turkey")</f>
        <v>Turkey</v>
      </c>
      <c r="J725" s="43" t="str">
        <f>IFERROR(__xludf.DUMMYFUNCTION("""COMPUTED_VALUE"""),"İZMİR")</f>
        <v>İZMİR</v>
      </c>
      <c r="K725" s="44" t="str">
        <f>IFERROR(__xludf.DUMMYFUNCTION("""COMPUTED_VALUE"""),"https://expa.aiesec.org/opportunities/1294410")</f>
        <v>https://expa.aiesec.org/opportunities/1294410</v>
      </c>
      <c r="L725" s="43" t="str">
        <f>IFERROR(__xludf.DUMMYFUNCTION("""COMPUTED_VALUE"""),"GV")</f>
        <v>GV</v>
      </c>
      <c r="M725" s="43" t="str">
        <f>IFERROR(__xludf.DUMMYFUNCTION("""COMPUTED_VALUE"""),"short")</f>
        <v>short</v>
      </c>
      <c r="N725" s="45">
        <f>IFERROR(__xludf.DUMMYFUNCTION("""COMPUTED_VALUE"""),45036.0)</f>
        <v>45036</v>
      </c>
      <c r="O725" s="45">
        <f>IFERROR(__xludf.DUMMYFUNCTION("""COMPUTED_VALUE"""),45138.0)</f>
        <v>45138</v>
      </c>
      <c r="P725" s="45">
        <f>IFERROR(__xludf.DUMMYFUNCTION("""COMPUTED_VALUE"""),45180.0)</f>
        <v>45180</v>
      </c>
      <c r="Q725" s="45"/>
      <c r="R725" s="45"/>
      <c r="S725" s="43"/>
      <c r="T725" s="43"/>
      <c r="U725" s="43" t="str">
        <f>IFERROR(__xludf.DUMMYFUNCTION("""COMPUTED_VALUE"""),"Global Classroom")</f>
        <v>Global Classroom</v>
      </c>
      <c r="V725" s="43" t="str">
        <f>IFERROR(__xludf.DUMMYFUNCTION("""COMPUTED_VALUE"""),"BUE University")</f>
        <v>BUE University</v>
      </c>
      <c r="W725" s="43" t="str">
        <f>IFERROR(__xludf.DUMMYFUNCTION("""COMPUTED_VALUE"""),"2023-04-18T13:59:08Z")</f>
        <v>2023-04-18T13:59:08Z</v>
      </c>
      <c r="X725" s="43"/>
      <c r="Y725" s="43"/>
      <c r="Z725" s="43"/>
    </row>
    <row r="726" hidden="1">
      <c r="A726" s="43" t="str">
        <f>IFERROR(__xludf.DUMMYFUNCTION("""COMPUTED_VALUE"""),"4717339_1294103")</f>
        <v>4717339_1294103</v>
      </c>
      <c r="B726" s="43" t="str">
        <f>IFERROR(__xludf.DUMMYFUNCTION("""COMPUTED_VALUE"""),"Mayssen Sayedi")</f>
        <v>Mayssen Sayedi</v>
      </c>
      <c r="C726" s="43" t="str">
        <f>IFERROR(__xludf.DUMMYFUNCTION("""COMPUTED_VALUE"""),"completed")</f>
        <v>completed</v>
      </c>
      <c r="D726" s="43" t="str">
        <f>IFERROR(__xludf.DUMMYFUNCTION("""COMPUTED_VALUE"""),"No")</f>
        <v>No</v>
      </c>
      <c r="E726" s="43" t="str">
        <f>IFERROR(__xludf.DUMMYFUNCTION("""COMPUTED_VALUE"""),"p_bbf61ad3796db91ce79498ba4a9d1a4e8ada0cd2@inbound.aiesec.org")</f>
        <v>p_bbf61ad3796db91ce79498ba4a9d1a4e8ada0cd2@inbound.aiesec.org</v>
      </c>
      <c r="F726" s="43">
        <f>IFERROR(__xludf.DUMMYFUNCTION("""COMPUTED_VALUE"""),5.8227662E7)</f>
        <v>58227662</v>
      </c>
      <c r="G726" s="43" t="str">
        <f>IFERROR(__xludf.DUMMYFUNCTION("""COMPUTED_VALUE"""),"Tunisia")</f>
        <v>Tunisia</v>
      </c>
      <c r="H726" s="43" t="str">
        <f>IFERROR(__xludf.DUMMYFUNCTION("""COMPUTED_VALUE"""),"Carthage")</f>
        <v>Carthage</v>
      </c>
      <c r="I726" s="43" t="str">
        <f>IFERROR(__xludf.DUMMYFUNCTION("""COMPUTED_VALUE"""),"Turkey")</f>
        <v>Turkey</v>
      </c>
      <c r="J726" s="43" t="str">
        <f>IFERROR(__xludf.DUMMYFUNCTION("""COMPUTED_VALUE"""),"İZMİR")</f>
        <v>İZMİR</v>
      </c>
      <c r="K726" s="44" t="str">
        <f>IFERROR(__xludf.DUMMYFUNCTION("""COMPUTED_VALUE"""),"https://expa.aiesec.org/opportunities/1294103")</f>
        <v>https://expa.aiesec.org/opportunities/1294103</v>
      </c>
      <c r="L726" s="43" t="str">
        <f>IFERROR(__xludf.DUMMYFUNCTION("""COMPUTED_VALUE"""),"GV")</f>
        <v>GV</v>
      </c>
      <c r="M726" s="43" t="str">
        <f>IFERROR(__xludf.DUMMYFUNCTION("""COMPUTED_VALUE"""),"short")</f>
        <v>short</v>
      </c>
      <c r="N726" s="45">
        <f>IFERROR(__xludf.DUMMYFUNCTION("""COMPUTED_VALUE"""),45036.0)</f>
        <v>45036</v>
      </c>
      <c r="O726" s="45">
        <f>IFERROR(__xludf.DUMMYFUNCTION("""COMPUTED_VALUE"""),45145.0)</f>
        <v>45145</v>
      </c>
      <c r="P726" s="45">
        <f>IFERROR(__xludf.DUMMYFUNCTION("""COMPUTED_VALUE"""),45187.0)</f>
        <v>45187</v>
      </c>
      <c r="Q726" s="45">
        <f>IFERROR(__xludf.DUMMYFUNCTION("""COMPUTED_VALUE"""),45146.0)</f>
        <v>45146</v>
      </c>
      <c r="R726" s="45">
        <f>IFERROR(__xludf.DUMMYFUNCTION("""COMPUTED_VALUE"""),45188.0)</f>
        <v>45188</v>
      </c>
      <c r="S726" s="43"/>
      <c r="T726" s="43"/>
      <c r="U726" s="43" t="str">
        <f>IFERROR(__xludf.DUMMYFUNCTION("""COMPUTED_VALUE"""),"Skill Up!")</f>
        <v>Skill Up!</v>
      </c>
      <c r="V726" s="43" t="str">
        <f>IFERROR(__xludf.DUMMYFUNCTION("""COMPUTED_VALUE"""),"IHEC Carthage")</f>
        <v>IHEC Carthage</v>
      </c>
      <c r="W726" s="43" t="str">
        <f>IFERROR(__xludf.DUMMYFUNCTION("""COMPUTED_VALUE"""),"2021-08-23T12:20:22Z")</f>
        <v>2021-08-23T12:20:22Z</v>
      </c>
      <c r="X726" s="43"/>
      <c r="Y726" s="43"/>
      <c r="Z726" s="43"/>
    </row>
    <row r="727" hidden="1">
      <c r="A727" s="43" t="str">
        <f>IFERROR(__xludf.DUMMYFUNCTION("""COMPUTED_VALUE"""),"5224983_1281357")</f>
        <v>5224983_1281357</v>
      </c>
      <c r="B727" s="43" t="str">
        <f>IFERROR(__xludf.DUMMYFUNCTION("""COMPUTED_VALUE"""),"yifei wang")</f>
        <v>yifei wang</v>
      </c>
      <c r="C727" s="43" t="str">
        <f>IFERROR(__xludf.DUMMYFUNCTION("""COMPUTED_VALUE"""),"completed")</f>
        <v>completed</v>
      </c>
      <c r="D727" s="43" t="str">
        <f>IFERROR(__xludf.DUMMYFUNCTION("""COMPUTED_VALUE"""),"No")</f>
        <v>No</v>
      </c>
      <c r="E727" s="43" t="str">
        <f>IFERROR(__xludf.DUMMYFUNCTION("""COMPUTED_VALUE"""),"p_56d99ebf0ea2baa41b39fd87fd4b39139076b8b6@inbound.aiesec.org")</f>
        <v>p_56d99ebf0ea2baa41b39fd87fd4b39139076b8b6@inbound.aiesec.org</v>
      </c>
      <c r="F727" s="43"/>
      <c r="G727" s="43" t="str">
        <f>IFERROR(__xludf.DUMMYFUNCTION("""COMPUTED_VALUE"""),"Hong Kong")</f>
        <v>Hong Kong</v>
      </c>
      <c r="H727" s="43" t="str">
        <f>IFERROR(__xludf.DUMMYFUNCTION("""COMPUTED_VALUE"""),"HKU")</f>
        <v>HKU</v>
      </c>
      <c r="I727" s="43" t="str">
        <f>IFERROR(__xludf.DUMMYFUNCTION("""COMPUTED_VALUE"""),"Turkey")</f>
        <v>Turkey</v>
      </c>
      <c r="J727" s="43" t="str">
        <f>IFERROR(__xludf.DUMMYFUNCTION("""COMPUTED_VALUE"""),"GAZIANTEP")</f>
        <v>GAZIANTEP</v>
      </c>
      <c r="K727" s="44" t="str">
        <f>IFERROR(__xludf.DUMMYFUNCTION("""COMPUTED_VALUE"""),"https://expa.aiesec.org/opportunities/1281357")</f>
        <v>https://expa.aiesec.org/opportunities/1281357</v>
      </c>
      <c r="L727" s="43" t="str">
        <f>IFERROR(__xludf.DUMMYFUNCTION("""COMPUTED_VALUE"""),"GV")</f>
        <v>GV</v>
      </c>
      <c r="M727" s="43" t="str">
        <f>IFERROR(__xludf.DUMMYFUNCTION("""COMPUTED_VALUE"""),"short")</f>
        <v>short</v>
      </c>
      <c r="N727" s="45">
        <f>IFERROR(__xludf.DUMMYFUNCTION("""COMPUTED_VALUE"""),45036.0)</f>
        <v>45036</v>
      </c>
      <c r="O727" s="45">
        <f>IFERROR(__xludf.DUMMYFUNCTION("""COMPUTED_VALUE"""),45122.0)</f>
        <v>45122</v>
      </c>
      <c r="P727" s="45">
        <f>IFERROR(__xludf.DUMMYFUNCTION("""COMPUTED_VALUE"""),45164.0)</f>
        <v>45164</v>
      </c>
      <c r="Q727" s="45">
        <f>IFERROR(__xludf.DUMMYFUNCTION("""COMPUTED_VALUE"""),45122.0)</f>
        <v>45122</v>
      </c>
      <c r="R727" s="45">
        <f>IFERROR(__xludf.DUMMYFUNCTION("""COMPUTED_VALUE"""),45164.0)</f>
        <v>45164</v>
      </c>
      <c r="S727" s="43"/>
      <c r="T727" s="43"/>
      <c r="U727" s="43" t="str">
        <f>IFERROR(__xludf.DUMMYFUNCTION("""COMPUTED_VALUE"""),"Global Classroom")</f>
        <v>Global Classroom</v>
      </c>
      <c r="V727" s="43" t="str">
        <f>IFERROR(__xludf.DUMMYFUNCTION("""COMPUTED_VALUE"""),"-")</f>
        <v>-</v>
      </c>
      <c r="W727" s="43" t="str">
        <f>IFERROR(__xludf.DUMMYFUNCTION("""COMPUTED_VALUE"""),"2023-03-23T14:50:55Z")</f>
        <v>2023-03-23T14:50:55Z</v>
      </c>
      <c r="X727" s="43"/>
      <c r="Y727" s="43"/>
      <c r="Z727" s="43"/>
    </row>
    <row r="728" hidden="1">
      <c r="A728" s="43" t="str">
        <f>IFERROR(__xludf.DUMMYFUNCTION("""COMPUTED_VALUE"""),"5236092_1294197")</f>
        <v>5236092_1294197</v>
      </c>
      <c r="B728" s="43" t="str">
        <f>IFERROR(__xludf.DUMMYFUNCTION("""COMPUTED_VALUE"""),"Aiman Azeem")</f>
        <v>Aiman Azeem</v>
      </c>
      <c r="C728" s="43" t="str">
        <f>IFERROR(__xludf.DUMMYFUNCTION("""COMPUTED_VALUE"""),"completed")</f>
        <v>completed</v>
      </c>
      <c r="D728" s="43" t="str">
        <f>IFERROR(__xludf.DUMMYFUNCTION("""COMPUTED_VALUE"""),"No")</f>
        <v>No</v>
      </c>
      <c r="E728" s="43" t="str">
        <f>IFERROR(__xludf.DUMMYFUNCTION("""COMPUTED_VALUE"""),"p_6721b47cae6a2869d28709d0f28eca23ca085a48@inbound.aiesec.org")</f>
        <v>p_6721b47cae6a2869d28709d0f28eca23ca085a48@inbound.aiesec.org</v>
      </c>
      <c r="F728" s="43">
        <f>IFERROR(__xludf.DUMMYFUNCTION("""COMPUTED_VALUE"""),3.335624002E9)</f>
        <v>3335624002</v>
      </c>
      <c r="G728" s="43" t="str">
        <f>IFERROR(__xludf.DUMMYFUNCTION("""COMPUTED_VALUE"""),"Pakistan")</f>
        <v>Pakistan</v>
      </c>
      <c r="H728" s="43" t="str">
        <f>IFERROR(__xludf.DUMMYFUNCTION("""COMPUTED_VALUE"""),"Islamabad")</f>
        <v>Islamabad</v>
      </c>
      <c r="I728" s="43" t="str">
        <f>IFERROR(__xludf.DUMMYFUNCTION("""COMPUTED_VALUE"""),"Turkey")</f>
        <v>Turkey</v>
      </c>
      <c r="J728" s="43" t="str">
        <f>IFERROR(__xludf.DUMMYFUNCTION("""COMPUTED_VALUE"""),"SAMSUN [Closed]")</f>
        <v>SAMSUN [Closed]</v>
      </c>
      <c r="K728" s="44" t="str">
        <f>IFERROR(__xludf.DUMMYFUNCTION("""COMPUTED_VALUE"""),"https://expa.aiesec.org/opportunities/1294197")</f>
        <v>https://expa.aiesec.org/opportunities/1294197</v>
      </c>
      <c r="L728" s="43" t="str">
        <f>IFERROR(__xludf.DUMMYFUNCTION("""COMPUTED_VALUE"""),"GV")</f>
        <v>GV</v>
      </c>
      <c r="M728" s="43" t="str">
        <f>IFERROR(__xludf.DUMMYFUNCTION("""COMPUTED_VALUE"""),"short")</f>
        <v>short</v>
      </c>
      <c r="N728" s="45">
        <f>IFERROR(__xludf.DUMMYFUNCTION("""COMPUTED_VALUE"""),45037.0)</f>
        <v>45037</v>
      </c>
      <c r="O728" s="45">
        <f>IFERROR(__xludf.DUMMYFUNCTION("""COMPUTED_VALUE"""),45145.0)</f>
        <v>45145</v>
      </c>
      <c r="P728" s="45">
        <f>IFERROR(__xludf.DUMMYFUNCTION("""COMPUTED_VALUE"""),45187.0)</f>
        <v>45187</v>
      </c>
      <c r="Q728" s="45"/>
      <c r="R728" s="45">
        <f>IFERROR(__xludf.DUMMYFUNCTION("""COMPUTED_VALUE"""),45181.0)</f>
        <v>45181</v>
      </c>
      <c r="S728" s="43"/>
      <c r="T728" s="43"/>
      <c r="U728" s="43" t="str">
        <f>IFERROR(__xludf.DUMMYFUNCTION("""COMPUTED_VALUE"""),"Global Classroom")</f>
        <v>Global Classroom</v>
      </c>
      <c r="V728" s="43" t="str">
        <f>IFERROR(__xludf.DUMMYFUNCTION("""COMPUTED_VALUE"""),"Islamabad - Bahria University ")</f>
        <v>Islamabad - Bahria University </v>
      </c>
      <c r="W728" s="43" t="str">
        <f>IFERROR(__xludf.DUMMYFUNCTION("""COMPUTED_VALUE"""),"2023-04-06T07:07:09Z")</f>
        <v>2023-04-06T07:07:09Z</v>
      </c>
      <c r="X728" s="43"/>
      <c r="Y728" s="43"/>
      <c r="Z728" s="43"/>
    </row>
    <row r="729" hidden="1">
      <c r="A729" s="43" t="str">
        <f>IFERROR(__xludf.DUMMYFUNCTION("""COMPUTED_VALUE"""),"5236096_1294197")</f>
        <v>5236096_1294197</v>
      </c>
      <c r="B729" s="43" t="str">
        <f>IFERROR(__xludf.DUMMYFUNCTION("""COMPUTED_VALUE"""),"Maryam Imran Baig")</f>
        <v>Maryam Imran Baig</v>
      </c>
      <c r="C729" s="43" t="str">
        <f>IFERROR(__xludf.DUMMYFUNCTION("""COMPUTED_VALUE"""),"completed")</f>
        <v>completed</v>
      </c>
      <c r="D729" s="43" t="str">
        <f>IFERROR(__xludf.DUMMYFUNCTION("""COMPUTED_VALUE"""),"No")</f>
        <v>No</v>
      </c>
      <c r="E729" s="43" t="str">
        <f>IFERROR(__xludf.DUMMYFUNCTION("""COMPUTED_VALUE"""),"p_e2822ff19b466b86126c14f12acc7f945a0f249d@inbound.aiesec.org")</f>
        <v>p_e2822ff19b466b86126c14f12acc7f945a0f249d@inbound.aiesec.org</v>
      </c>
      <c r="F729" s="43">
        <f>IFERROR(__xludf.DUMMYFUNCTION("""COMPUTED_VALUE"""),3.33533503E9)</f>
        <v>3335335030</v>
      </c>
      <c r="G729" s="43" t="str">
        <f>IFERROR(__xludf.DUMMYFUNCTION("""COMPUTED_VALUE"""),"Pakistan")</f>
        <v>Pakistan</v>
      </c>
      <c r="H729" s="43" t="str">
        <f>IFERROR(__xludf.DUMMYFUNCTION("""COMPUTED_VALUE"""),"Islamabad")</f>
        <v>Islamabad</v>
      </c>
      <c r="I729" s="43" t="str">
        <f>IFERROR(__xludf.DUMMYFUNCTION("""COMPUTED_VALUE"""),"Turkey")</f>
        <v>Turkey</v>
      </c>
      <c r="J729" s="43" t="str">
        <f>IFERROR(__xludf.DUMMYFUNCTION("""COMPUTED_VALUE"""),"SAMSUN [Closed]")</f>
        <v>SAMSUN [Closed]</v>
      </c>
      <c r="K729" s="44" t="str">
        <f>IFERROR(__xludf.DUMMYFUNCTION("""COMPUTED_VALUE"""),"https://expa.aiesec.org/opportunities/1294197")</f>
        <v>https://expa.aiesec.org/opportunities/1294197</v>
      </c>
      <c r="L729" s="43" t="str">
        <f>IFERROR(__xludf.DUMMYFUNCTION("""COMPUTED_VALUE"""),"GV")</f>
        <v>GV</v>
      </c>
      <c r="M729" s="43" t="str">
        <f>IFERROR(__xludf.DUMMYFUNCTION("""COMPUTED_VALUE"""),"short")</f>
        <v>short</v>
      </c>
      <c r="N729" s="45">
        <f>IFERROR(__xludf.DUMMYFUNCTION("""COMPUTED_VALUE"""),45037.0)</f>
        <v>45037</v>
      </c>
      <c r="O729" s="45">
        <f>IFERROR(__xludf.DUMMYFUNCTION("""COMPUTED_VALUE"""),45145.0)</f>
        <v>45145</v>
      </c>
      <c r="P729" s="45">
        <f>IFERROR(__xludf.DUMMYFUNCTION("""COMPUTED_VALUE"""),45187.0)</f>
        <v>45187</v>
      </c>
      <c r="Q729" s="45"/>
      <c r="R729" s="45">
        <f>IFERROR(__xludf.DUMMYFUNCTION("""COMPUTED_VALUE"""),45181.0)</f>
        <v>45181</v>
      </c>
      <c r="S729" s="43"/>
      <c r="T729" s="43"/>
      <c r="U729" s="43" t="str">
        <f>IFERROR(__xludf.DUMMYFUNCTION("""COMPUTED_VALUE"""),"Global Classroom")</f>
        <v>Global Classroom</v>
      </c>
      <c r="V729" s="43" t="str">
        <f>IFERROR(__xludf.DUMMYFUNCTION("""COMPUTED_VALUE"""),"Islamabad - Bahria University ")</f>
        <v>Islamabad - Bahria University </v>
      </c>
      <c r="W729" s="43" t="str">
        <f>IFERROR(__xludf.DUMMYFUNCTION("""COMPUTED_VALUE"""),"2023-04-06T07:11:27Z")</f>
        <v>2023-04-06T07:11:27Z</v>
      </c>
      <c r="X729" s="43"/>
      <c r="Y729" s="43"/>
      <c r="Z729" s="43"/>
    </row>
    <row r="730" hidden="1">
      <c r="A730" s="43" t="str">
        <f>IFERROR(__xludf.DUMMYFUNCTION("""COMPUTED_VALUE"""),"1170381_1289228")</f>
        <v>1170381_1289228</v>
      </c>
      <c r="B730" s="43" t="str">
        <f>IFERROR(__xludf.DUMMYFUNCTION("""COMPUTED_VALUE"""),"Giovanna Albuquerque Apolinario")</f>
        <v>Giovanna Albuquerque Apolinario</v>
      </c>
      <c r="C730" s="43" t="str">
        <f>IFERROR(__xludf.DUMMYFUNCTION("""COMPUTED_VALUE"""),"finished")</f>
        <v>finished</v>
      </c>
      <c r="D730" s="43" t="str">
        <f>IFERROR(__xludf.DUMMYFUNCTION("""COMPUTED_VALUE"""),"No")</f>
        <v>No</v>
      </c>
      <c r="E730" s="43" t="str">
        <f>IFERROR(__xludf.DUMMYFUNCTION("""COMPUTED_VALUE"""),"p_6af6821ad337eb10104ed38d27d11096f2d95485@inbound.aiesec.org")</f>
        <v>p_6af6821ad337eb10104ed38d27d11096f2d95485@inbound.aiesec.org</v>
      </c>
      <c r="F730" s="43"/>
      <c r="G730" s="43" t="str">
        <f>IFERROR(__xludf.DUMMYFUNCTION("""COMPUTED_VALUE"""),"Brazil")</f>
        <v>Brazil</v>
      </c>
      <c r="H730" s="43" t="str">
        <f>IFERROR(__xludf.DUMMYFUNCTION("""COMPUTED_VALUE"""),"USP")</f>
        <v>USP</v>
      </c>
      <c r="I730" s="43" t="str">
        <f>IFERROR(__xludf.DUMMYFUNCTION("""COMPUTED_VALUE"""),"Turkey")</f>
        <v>Turkey</v>
      </c>
      <c r="J730" s="43" t="str">
        <f>IFERROR(__xludf.DUMMYFUNCTION("""COMPUTED_VALUE"""),"ISTANBUL WEST")</f>
        <v>ISTANBUL WEST</v>
      </c>
      <c r="K730" s="44" t="str">
        <f>IFERROR(__xludf.DUMMYFUNCTION("""COMPUTED_VALUE"""),"https://expa.aiesec.org/opportunities/1289228")</f>
        <v>https://expa.aiesec.org/opportunities/1289228</v>
      </c>
      <c r="L730" s="43" t="str">
        <f>IFERROR(__xludf.DUMMYFUNCTION("""COMPUTED_VALUE"""),"GV")</f>
        <v>GV</v>
      </c>
      <c r="M730" s="43" t="str">
        <f>IFERROR(__xludf.DUMMYFUNCTION("""COMPUTED_VALUE"""),"short")</f>
        <v>short</v>
      </c>
      <c r="N730" s="45">
        <f>IFERROR(__xludf.DUMMYFUNCTION("""COMPUTED_VALUE"""),45037.0)</f>
        <v>45037</v>
      </c>
      <c r="O730" s="45">
        <f>IFERROR(__xludf.DUMMYFUNCTION("""COMPUTED_VALUE"""),45278.0)</f>
        <v>45278</v>
      </c>
      <c r="P730" s="45">
        <f>IFERROR(__xludf.DUMMYFUNCTION("""COMPUTED_VALUE"""),45320.0)</f>
        <v>45320</v>
      </c>
      <c r="Q730" s="45">
        <f>IFERROR(__xludf.DUMMYFUNCTION("""COMPUTED_VALUE"""),45277.0)</f>
        <v>45277</v>
      </c>
      <c r="R730" s="45">
        <f>IFERROR(__xludf.DUMMYFUNCTION("""COMPUTED_VALUE"""),45320.0)</f>
        <v>45320</v>
      </c>
      <c r="S730" s="43"/>
      <c r="T730" s="43"/>
      <c r="U730" s="43" t="str">
        <f>IFERROR(__xludf.DUMMYFUNCTION("""COMPUTED_VALUE"""),"Global Classroom")</f>
        <v>Global Classroom</v>
      </c>
      <c r="V730" s="43" t="str">
        <f>IFERROR(__xludf.DUMMYFUNCTION("""COMPUTED_VALUE"""),"-")</f>
        <v>-</v>
      </c>
      <c r="W730" s="43" t="str">
        <f>IFERROR(__xludf.DUMMYFUNCTION("""COMPUTED_VALUE"""),"2016-09-30T18:24:57Z")</f>
        <v>2016-09-30T18:24:57Z</v>
      </c>
      <c r="X730" s="43"/>
      <c r="Y730" s="43"/>
      <c r="Z730" s="43"/>
    </row>
    <row r="731" hidden="1">
      <c r="A731" s="43" t="str">
        <f>IFERROR(__xludf.DUMMYFUNCTION("""COMPUTED_VALUE"""),"3827528_1287101")</f>
        <v>3827528_1287101</v>
      </c>
      <c r="B731" s="43" t="str">
        <f>IFERROR(__xludf.DUMMYFUNCTION("""COMPUTED_VALUE"""),"mai mohamed")</f>
        <v>mai mohamed</v>
      </c>
      <c r="C731" s="43" t="str">
        <f>IFERROR(__xludf.DUMMYFUNCTION("""COMPUTED_VALUE"""),"approved")</f>
        <v>approved</v>
      </c>
      <c r="D731" s="43" t="str">
        <f>IFERROR(__xludf.DUMMYFUNCTION("""COMPUTED_VALUE"""),"No")</f>
        <v>No</v>
      </c>
      <c r="E731" s="43" t="str">
        <f>IFERROR(__xludf.DUMMYFUNCTION("""COMPUTED_VALUE"""),"p_d8e13e9dbb027e2bb3a65a211089104e08ad649f@inbound.aiesec.org")</f>
        <v>p_d8e13e9dbb027e2bb3a65a211089104e08ad649f@inbound.aiesec.org</v>
      </c>
      <c r="F731" s="43">
        <f>IFERROR(__xludf.DUMMYFUNCTION("""COMPUTED_VALUE"""),1.023573783E9)</f>
        <v>1023573783</v>
      </c>
      <c r="G731" s="43" t="str">
        <f>IFERROR(__xludf.DUMMYFUNCTION("""COMPUTED_VALUE"""),"Egypt")</f>
        <v>Egypt</v>
      </c>
      <c r="H731" s="43" t="str">
        <f>IFERROR(__xludf.DUMMYFUNCTION("""COMPUTED_VALUE"""),"Ain Shams University")</f>
        <v>Ain Shams University</v>
      </c>
      <c r="I731" s="43" t="str">
        <f>IFERROR(__xludf.DUMMYFUNCTION("""COMPUTED_VALUE"""),"Turkey")</f>
        <v>Turkey</v>
      </c>
      <c r="J731" s="43" t="str">
        <f>IFERROR(__xludf.DUMMYFUNCTION("""COMPUTED_VALUE"""),"İZMİR")</f>
        <v>İZMİR</v>
      </c>
      <c r="K731" s="44" t="str">
        <f>IFERROR(__xludf.DUMMYFUNCTION("""COMPUTED_VALUE"""),"https://expa.aiesec.org/opportunities/1287101")</f>
        <v>https://expa.aiesec.org/opportunities/1287101</v>
      </c>
      <c r="L731" s="43" t="str">
        <f>IFERROR(__xludf.DUMMYFUNCTION("""COMPUTED_VALUE"""),"GV")</f>
        <v>GV</v>
      </c>
      <c r="M731" s="43" t="str">
        <f>IFERROR(__xludf.DUMMYFUNCTION("""COMPUTED_VALUE"""),"short")</f>
        <v>short</v>
      </c>
      <c r="N731" s="45">
        <f>IFERROR(__xludf.DUMMYFUNCTION("""COMPUTED_VALUE"""),45037.0)</f>
        <v>45037</v>
      </c>
      <c r="O731" s="45">
        <f>IFERROR(__xludf.DUMMYFUNCTION("""COMPUTED_VALUE"""),45214.0)</f>
        <v>45214</v>
      </c>
      <c r="P731" s="45">
        <f>IFERROR(__xludf.DUMMYFUNCTION("""COMPUTED_VALUE"""),45256.0)</f>
        <v>45256</v>
      </c>
      <c r="Q731" s="45"/>
      <c r="R731" s="45"/>
      <c r="S731" s="43"/>
      <c r="T731" s="43"/>
      <c r="U731" s="43" t="str">
        <f>IFERROR(__xludf.DUMMYFUNCTION("""COMPUTED_VALUE"""),"Global Classroom")</f>
        <v>Global Classroom</v>
      </c>
      <c r="V731" s="43" t="str">
        <f>IFERROR(__xludf.DUMMYFUNCTION("""COMPUTED_VALUE"""),"Ain Shams University")</f>
        <v>Ain Shams University</v>
      </c>
      <c r="W731" s="43" t="str">
        <f>IFERROR(__xludf.DUMMYFUNCTION("""COMPUTED_VALUE"""),"2019-09-11T19:19:41Z")</f>
        <v>2019-09-11T19:19:41Z</v>
      </c>
      <c r="X731" s="43"/>
      <c r="Y731" s="43"/>
      <c r="Z731" s="43"/>
    </row>
    <row r="732" hidden="1">
      <c r="A732" s="43" t="str">
        <f>IFERROR(__xludf.DUMMYFUNCTION("""COMPUTED_VALUE"""),"5229293_1294254")</f>
        <v>5229293_1294254</v>
      </c>
      <c r="B732" s="43" t="str">
        <f>IFERROR(__xludf.DUMMYFUNCTION("""COMPUTED_VALUE"""),"Ana Novaković")</f>
        <v>Ana Novaković</v>
      </c>
      <c r="C732" s="43" t="str">
        <f>IFERROR(__xludf.DUMMYFUNCTION("""COMPUTED_VALUE"""),"approved")</f>
        <v>approved</v>
      </c>
      <c r="D732" s="43" t="str">
        <f>IFERROR(__xludf.DUMMYFUNCTION("""COMPUTED_VALUE"""),"No")</f>
        <v>No</v>
      </c>
      <c r="E732" s="43" t="str">
        <f>IFERROR(__xludf.DUMMYFUNCTION("""COMPUTED_VALUE"""),"p_c97dfc9936da99eb90be36aa9fbd51d53c97d331@inbound.aiesec.org")</f>
        <v>p_c97dfc9936da99eb90be36aa9fbd51d53c97d331@inbound.aiesec.org</v>
      </c>
      <c r="F732" s="43">
        <f>IFERROR(__xludf.DUMMYFUNCTION("""COMPUTED_VALUE"""),6.07010962E8)</f>
        <v>607010962</v>
      </c>
      <c r="G732" s="43" t="str">
        <f>IFERROR(__xludf.DUMMYFUNCTION("""COMPUTED_VALUE"""),"Serbia")</f>
        <v>Serbia</v>
      </c>
      <c r="H732" s="43" t="str">
        <f>IFERROR(__xludf.DUMMYFUNCTION("""COMPUTED_VALUE"""),"Belgrade Faculty of Economics (EF)")</f>
        <v>Belgrade Faculty of Economics (EF)</v>
      </c>
      <c r="I732" s="43" t="str">
        <f>IFERROR(__xludf.DUMMYFUNCTION("""COMPUTED_VALUE"""),"Turkey")</f>
        <v>Turkey</v>
      </c>
      <c r="J732" s="43" t="str">
        <f>IFERROR(__xludf.DUMMYFUNCTION("""COMPUTED_VALUE"""),"İZMİR")</f>
        <v>İZMİR</v>
      </c>
      <c r="K732" s="44" t="str">
        <f>IFERROR(__xludf.DUMMYFUNCTION("""COMPUTED_VALUE"""),"https://expa.aiesec.org/opportunities/1294254")</f>
        <v>https://expa.aiesec.org/opportunities/1294254</v>
      </c>
      <c r="L732" s="43" t="str">
        <f>IFERROR(__xludf.DUMMYFUNCTION("""COMPUTED_VALUE"""),"GV")</f>
        <v>GV</v>
      </c>
      <c r="M732" s="43" t="str">
        <f>IFERROR(__xludf.DUMMYFUNCTION("""COMPUTED_VALUE"""),"short")</f>
        <v>short</v>
      </c>
      <c r="N732" s="45">
        <f>IFERROR(__xludf.DUMMYFUNCTION("""COMPUTED_VALUE"""),45038.0)</f>
        <v>45038</v>
      </c>
      <c r="O732" s="45">
        <f>IFERROR(__xludf.DUMMYFUNCTION("""COMPUTED_VALUE"""),45145.0)</f>
        <v>45145</v>
      </c>
      <c r="P732" s="45">
        <f>IFERROR(__xludf.DUMMYFUNCTION("""COMPUTED_VALUE"""),45187.0)</f>
        <v>45187</v>
      </c>
      <c r="Q732" s="45"/>
      <c r="R732" s="45"/>
      <c r="S732" s="43"/>
      <c r="T732" s="43"/>
      <c r="U732" s="43" t="str">
        <f>IFERROR(__xludf.DUMMYFUNCTION("""COMPUTED_VALUE"""),"Skill Up!")</f>
        <v>Skill Up!</v>
      </c>
      <c r="V732" s="43" t="str">
        <f>IFERROR(__xludf.DUMMYFUNCTION("""COMPUTED_VALUE"""),"Faculty of Law, Belgrade")</f>
        <v>Faculty of Law, Belgrade</v>
      </c>
      <c r="W732" s="43" t="str">
        <f>IFERROR(__xludf.DUMMYFUNCTION("""COMPUTED_VALUE"""),"2023-03-28T17:26:06Z")</f>
        <v>2023-03-28T17:26:06Z</v>
      </c>
      <c r="X732" s="43"/>
      <c r="Y732" s="43"/>
      <c r="Z732" s="43"/>
    </row>
    <row r="733" hidden="1">
      <c r="A733" s="43" t="str">
        <f>IFERROR(__xludf.DUMMYFUNCTION("""COMPUTED_VALUE"""),"5245700_1287749")</f>
        <v>5245700_1287749</v>
      </c>
      <c r="B733" s="43" t="str">
        <f>IFERROR(__xludf.DUMMYFUNCTION("""COMPUTED_VALUE"""),"Tasneem Kawekji")</f>
        <v>Tasneem Kawekji</v>
      </c>
      <c r="C733" s="43" t="str">
        <f>IFERROR(__xludf.DUMMYFUNCTION("""COMPUTED_VALUE"""),"approved")</f>
        <v>approved</v>
      </c>
      <c r="D733" s="43" t="str">
        <f>IFERROR(__xludf.DUMMYFUNCTION("""COMPUTED_VALUE"""),"No")</f>
        <v>No</v>
      </c>
      <c r="E733" s="43" t="str">
        <f>IFERROR(__xludf.DUMMYFUNCTION("""COMPUTED_VALUE"""),"p_4905a86f1812dded479df07d7f80794407ee8c30@inbound.aiesec.org")</f>
        <v>p_4905a86f1812dded479df07d7f80794407ee8c30@inbound.aiesec.org</v>
      </c>
      <c r="F733" s="43"/>
      <c r="G733" s="43" t="str">
        <f>IFERROR(__xludf.DUMMYFUNCTION("""COMPUTED_VALUE"""),"Egypt")</f>
        <v>Egypt</v>
      </c>
      <c r="H733" s="43" t="str">
        <f>IFERROR(__xludf.DUMMYFUNCTION("""COMPUTED_VALUE"""),"AAST In CAIRO")</f>
        <v>AAST In CAIRO</v>
      </c>
      <c r="I733" s="43" t="str">
        <f>IFERROR(__xludf.DUMMYFUNCTION("""COMPUTED_VALUE"""),"Turkey")</f>
        <v>Turkey</v>
      </c>
      <c r="J733" s="43" t="str">
        <f>IFERROR(__xludf.DUMMYFUNCTION("""COMPUTED_VALUE"""),"İZMİR")</f>
        <v>İZMİR</v>
      </c>
      <c r="K733" s="44" t="str">
        <f>IFERROR(__xludf.DUMMYFUNCTION("""COMPUTED_VALUE"""),"https://expa.aiesec.org/opportunities/1287749")</f>
        <v>https://expa.aiesec.org/opportunities/1287749</v>
      </c>
      <c r="L733" s="43" t="str">
        <f>IFERROR(__xludf.DUMMYFUNCTION("""COMPUTED_VALUE"""),"GV")</f>
        <v>GV</v>
      </c>
      <c r="M733" s="43" t="str">
        <f>IFERROR(__xludf.DUMMYFUNCTION("""COMPUTED_VALUE"""),"short")</f>
        <v>short</v>
      </c>
      <c r="N733" s="45">
        <f>IFERROR(__xludf.DUMMYFUNCTION("""COMPUTED_VALUE"""),45039.0)</f>
        <v>45039</v>
      </c>
      <c r="O733" s="45">
        <f>IFERROR(__xludf.DUMMYFUNCTION("""COMPUTED_VALUE"""),45130.0)</f>
        <v>45130</v>
      </c>
      <c r="P733" s="45">
        <f>IFERROR(__xludf.DUMMYFUNCTION("""COMPUTED_VALUE"""),45172.0)</f>
        <v>45172</v>
      </c>
      <c r="Q733" s="45"/>
      <c r="R733" s="45"/>
      <c r="S733" s="43"/>
      <c r="T733" s="43"/>
      <c r="U733" s="43" t="str">
        <f>IFERROR(__xludf.DUMMYFUNCTION("""COMPUTED_VALUE"""),"Global Classroom")</f>
        <v>Global Classroom</v>
      </c>
      <c r="V733" s="43" t="str">
        <f>IFERROR(__xludf.DUMMYFUNCTION("""COMPUTED_VALUE"""),"BUE University")</f>
        <v>BUE University</v>
      </c>
      <c r="W733" s="43" t="str">
        <f>IFERROR(__xludf.DUMMYFUNCTION("""COMPUTED_VALUE"""),"2023-04-19T21:54:53Z")</f>
        <v>2023-04-19T21:54:53Z</v>
      </c>
      <c r="X733" s="43"/>
      <c r="Y733" s="43"/>
      <c r="Z733" s="43"/>
    </row>
    <row r="734">
      <c r="A734" s="43" t="str">
        <f>IFERROR(__xludf.DUMMYFUNCTION("""COMPUTED_VALUE"""),"3935958_1285687")</f>
        <v>3935958_1285687</v>
      </c>
      <c r="B734" s="43" t="str">
        <f>IFERROR(__xludf.DUMMYFUNCTION("""COMPUTED_VALUE"""),"Areesha Mansoor")</f>
        <v>Areesha Mansoor</v>
      </c>
      <c r="C734" s="43" t="str">
        <f>IFERROR(__xludf.DUMMYFUNCTION("""COMPUTED_VALUE"""),"approved")</f>
        <v>approved</v>
      </c>
      <c r="D734" s="43" t="str">
        <f>IFERROR(__xludf.DUMMYFUNCTION("""COMPUTED_VALUE"""),"No")</f>
        <v>No</v>
      </c>
      <c r="E734" s="43" t="str">
        <f>IFERROR(__xludf.DUMMYFUNCTION("""COMPUTED_VALUE"""),"p_6098ef6cd2d47143a80478eee42983529b966b53@inbound.aiesec.org")</f>
        <v>p_6098ef6cd2d47143a80478eee42983529b966b53@inbound.aiesec.org</v>
      </c>
      <c r="F734" s="43">
        <f>IFERROR(__xludf.DUMMYFUNCTION("""COMPUTED_VALUE"""),3.3342875E9)</f>
        <v>3334287500</v>
      </c>
      <c r="G734" s="43" t="str">
        <f>IFERROR(__xludf.DUMMYFUNCTION("""COMPUTED_VALUE"""),"Pakistan")</f>
        <v>Pakistan</v>
      </c>
      <c r="H734" s="43" t="str">
        <f>IFERROR(__xludf.DUMMYFUNCTION("""COMPUTED_VALUE"""),"Lahore")</f>
        <v>Lahore</v>
      </c>
      <c r="I734" s="43" t="str">
        <f>IFERROR(__xludf.DUMMYFUNCTION("""COMPUTED_VALUE"""),"Turkey")</f>
        <v>Turkey</v>
      </c>
      <c r="J734" s="43" t="str">
        <f>IFERROR(__xludf.DUMMYFUNCTION("""COMPUTED_VALUE"""),"ISTANBUL")</f>
        <v>ISTANBUL</v>
      </c>
      <c r="K734" s="44" t="str">
        <f>IFERROR(__xludf.DUMMYFUNCTION("""COMPUTED_VALUE"""),"https://expa.aiesec.org/opportunities/1285687")</f>
        <v>https://expa.aiesec.org/opportunities/1285687</v>
      </c>
      <c r="L734" s="43" t="str">
        <f>IFERROR(__xludf.DUMMYFUNCTION("""COMPUTED_VALUE"""),"GV")</f>
        <v>GV</v>
      </c>
      <c r="M734" s="43" t="str">
        <f>IFERROR(__xludf.DUMMYFUNCTION("""COMPUTED_VALUE"""),"short")</f>
        <v>short</v>
      </c>
      <c r="N734" s="45">
        <f>IFERROR(__xludf.DUMMYFUNCTION("""COMPUTED_VALUE"""),45039.0)</f>
        <v>45039</v>
      </c>
      <c r="O734" s="45">
        <f>IFERROR(__xludf.DUMMYFUNCTION("""COMPUTED_VALUE"""),45057.0)</f>
        <v>45057</v>
      </c>
      <c r="P734" s="45">
        <f>IFERROR(__xludf.DUMMYFUNCTION("""COMPUTED_VALUE"""),45099.0)</f>
        <v>45099</v>
      </c>
      <c r="Q734" s="45"/>
      <c r="R734" s="45"/>
      <c r="S734" s="43"/>
      <c r="T734" s="43"/>
      <c r="U734" s="43" t="str">
        <f>IFERROR(__xludf.DUMMYFUNCTION("""COMPUTED_VALUE"""),"Youth 4 Impact")</f>
        <v>Youth 4 Impact</v>
      </c>
      <c r="V734" s="43" t="str">
        <f>IFERROR(__xludf.DUMMYFUNCTION("""COMPUTED_VALUE"""),"Lahore - Other")</f>
        <v>Lahore - Other</v>
      </c>
      <c r="W734" s="43" t="str">
        <f>IFERROR(__xludf.DUMMYFUNCTION("""COMPUTED_VALUE"""),"2019-10-30T07:15:35Z")</f>
        <v>2019-10-30T07:15:35Z</v>
      </c>
      <c r="X734" s="43"/>
      <c r="Y734" s="43"/>
      <c r="Z734" s="43"/>
    </row>
    <row r="735" hidden="1">
      <c r="A735" s="43" t="str">
        <f>IFERROR(__xludf.DUMMYFUNCTION("""COMPUTED_VALUE"""),"5248256_1283891")</f>
        <v>5248256_1283891</v>
      </c>
      <c r="B735" s="43" t="str">
        <f>IFERROR(__xludf.DUMMYFUNCTION("""COMPUTED_VALUE"""),"Souissi Molka")</f>
        <v>Souissi Molka</v>
      </c>
      <c r="C735" s="43" t="str">
        <f>IFERROR(__xludf.DUMMYFUNCTION("""COMPUTED_VALUE"""),"completed")</f>
        <v>completed</v>
      </c>
      <c r="D735" s="43" t="str">
        <f>IFERROR(__xludf.DUMMYFUNCTION("""COMPUTED_VALUE"""),"No")</f>
        <v>No</v>
      </c>
      <c r="E735" s="43" t="str">
        <f>IFERROR(__xludf.DUMMYFUNCTION("""COMPUTED_VALUE"""),"p_b2dd270c22286319463f78fa3a59952b90ee6e27@inbound.aiesec.org")</f>
        <v>p_b2dd270c22286319463f78fa3a59952b90ee6e27@inbound.aiesec.org</v>
      </c>
      <c r="F735" s="43">
        <f>IFERROR(__xludf.DUMMYFUNCTION("""COMPUTED_VALUE"""),9.2743194E7)</f>
        <v>92743194</v>
      </c>
      <c r="G735" s="43" t="str">
        <f>IFERROR(__xludf.DUMMYFUNCTION("""COMPUTED_VALUE"""),"Tunisia")</f>
        <v>Tunisia</v>
      </c>
      <c r="H735" s="43" t="str">
        <f>IFERROR(__xludf.DUMMYFUNCTION("""COMPUTED_VALUE"""),"UNIVERSITY")</f>
        <v>UNIVERSITY</v>
      </c>
      <c r="I735" s="43" t="str">
        <f>IFERROR(__xludf.DUMMYFUNCTION("""COMPUTED_VALUE"""),"Turkey")</f>
        <v>Turkey</v>
      </c>
      <c r="J735" s="43" t="str">
        <f>IFERROR(__xludf.DUMMYFUNCTION("""COMPUTED_VALUE"""),"ISTANBUL ASIA")</f>
        <v>ISTANBUL ASIA</v>
      </c>
      <c r="K735" s="44" t="str">
        <f>IFERROR(__xludf.DUMMYFUNCTION("""COMPUTED_VALUE"""),"https://expa.aiesec.org/opportunities/1283891")</f>
        <v>https://expa.aiesec.org/opportunities/1283891</v>
      </c>
      <c r="L735" s="43" t="str">
        <f>IFERROR(__xludf.DUMMYFUNCTION("""COMPUTED_VALUE"""),"GV")</f>
        <v>GV</v>
      </c>
      <c r="M735" s="43" t="str">
        <f>IFERROR(__xludf.DUMMYFUNCTION("""COMPUTED_VALUE"""),"short")</f>
        <v>short</v>
      </c>
      <c r="N735" s="45">
        <f>IFERROR(__xludf.DUMMYFUNCTION("""COMPUTED_VALUE"""),45040.0)</f>
        <v>45040</v>
      </c>
      <c r="O735" s="45">
        <f>IFERROR(__xludf.DUMMYFUNCTION("""COMPUTED_VALUE"""),45187.0)</f>
        <v>45187</v>
      </c>
      <c r="P735" s="45">
        <f>IFERROR(__xludf.DUMMYFUNCTION("""COMPUTED_VALUE"""),45229.0)</f>
        <v>45229</v>
      </c>
      <c r="Q735" s="45">
        <f>IFERROR(__xludf.DUMMYFUNCTION("""COMPUTED_VALUE"""),45188.0)</f>
        <v>45188</v>
      </c>
      <c r="R735" s="45">
        <f>IFERROR(__xludf.DUMMYFUNCTION("""COMPUTED_VALUE"""),45229.0)</f>
        <v>45229</v>
      </c>
      <c r="S735" s="43"/>
      <c r="T735" s="43"/>
      <c r="U735" s="43" t="str">
        <f>IFERROR(__xludf.DUMMYFUNCTION("""COMPUTED_VALUE"""),"Global Classroom")</f>
        <v>Global Classroom</v>
      </c>
      <c r="V735" s="43" t="str">
        <f>IFERROR(__xludf.DUMMYFUNCTION("""COMPUTED_VALUE"""),"ISSHT")</f>
        <v>ISSHT</v>
      </c>
      <c r="W735" s="43" t="str">
        <f>IFERROR(__xludf.DUMMYFUNCTION("""COMPUTED_VALUE"""),"2023-04-24T11:40:35Z")</f>
        <v>2023-04-24T11:40:35Z</v>
      </c>
      <c r="X735" s="43"/>
      <c r="Y735" s="43"/>
      <c r="Z735" s="43"/>
    </row>
    <row r="736" hidden="1">
      <c r="A736" s="43" t="str">
        <f>IFERROR(__xludf.DUMMYFUNCTION("""COMPUTED_VALUE"""),"5214190_1294254")</f>
        <v>5214190_1294254</v>
      </c>
      <c r="B736" s="43" t="str">
        <f>IFERROR(__xludf.DUMMYFUNCTION("""COMPUTED_VALUE"""),"Wissem Cherif")</f>
        <v>Wissem Cherif</v>
      </c>
      <c r="C736" s="43" t="str">
        <f>IFERROR(__xludf.DUMMYFUNCTION("""COMPUTED_VALUE"""),"completed")</f>
        <v>completed</v>
      </c>
      <c r="D736" s="43" t="str">
        <f>IFERROR(__xludf.DUMMYFUNCTION("""COMPUTED_VALUE"""),"No")</f>
        <v>No</v>
      </c>
      <c r="E736" s="43" t="str">
        <f>IFERROR(__xludf.DUMMYFUNCTION("""COMPUTED_VALUE"""),"p_0ed6ba09fcbb2d292c1a6dd939b8e4b9af2914c1@inbound.aiesec.org")</f>
        <v>p_0ed6ba09fcbb2d292c1a6dd939b8e4b9af2914c1@inbound.aiesec.org</v>
      </c>
      <c r="F736" s="43">
        <f>IFERROR(__xludf.DUMMYFUNCTION("""COMPUTED_VALUE"""),5.3297844E7)</f>
        <v>53297844</v>
      </c>
      <c r="G736" s="43" t="str">
        <f>IFERROR(__xludf.DUMMYFUNCTION("""COMPUTED_VALUE"""),"Tunisia")</f>
        <v>Tunisia</v>
      </c>
      <c r="H736" s="43" t="str">
        <f>IFERROR(__xludf.DUMMYFUNCTION("""COMPUTED_VALUE"""),"UNIVERSITY")</f>
        <v>UNIVERSITY</v>
      </c>
      <c r="I736" s="43" t="str">
        <f>IFERROR(__xludf.DUMMYFUNCTION("""COMPUTED_VALUE"""),"Turkey")</f>
        <v>Turkey</v>
      </c>
      <c r="J736" s="43" t="str">
        <f>IFERROR(__xludf.DUMMYFUNCTION("""COMPUTED_VALUE"""),"İZMİR")</f>
        <v>İZMİR</v>
      </c>
      <c r="K736" s="44" t="str">
        <f>IFERROR(__xludf.DUMMYFUNCTION("""COMPUTED_VALUE"""),"https://expa.aiesec.org/opportunities/1294254")</f>
        <v>https://expa.aiesec.org/opportunities/1294254</v>
      </c>
      <c r="L736" s="43" t="str">
        <f>IFERROR(__xludf.DUMMYFUNCTION("""COMPUTED_VALUE"""),"GV")</f>
        <v>GV</v>
      </c>
      <c r="M736" s="43" t="str">
        <f>IFERROR(__xludf.DUMMYFUNCTION("""COMPUTED_VALUE"""),"short")</f>
        <v>short</v>
      </c>
      <c r="N736" s="45">
        <f>IFERROR(__xludf.DUMMYFUNCTION("""COMPUTED_VALUE"""),45040.0)</f>
        <v>45040</v>
      </c>
      <c r="O736" s="45">
        <f>IFERROR(__xludf.DUMMYFUNCTION("""COMPUTED_VALUE"""),45103.0)</f>
        <v>45103</v>
      </c>
      <c r="P736" s="45">
        <f>IFERROR(__xludf.DUMMYFUNCTION("""COMPUTED_VALUE"""),45145.0)</f>
        <v>45145</v>
      </c>
      <c r="Q736" s="45">
        <f>IFERROR(__xludf.DUMMYFUNCTION("""COMPUTED_VALUE"""),45105.0)</f>
        <v>45105</v>
      </c>
      <c r="R736" s="45">
        <f>IFERROR(__xludf.DUMMYFUNCTION("""COMPUTED_VALUE"""),45148.0)</f>
        <v>45148</v>
      </c>
      <c r="S736" s="43"/>
      <c r="T736" s="43"/>
      <c r="U736" s="43" t="str">
        <f>IFERROR(__xludf.DUMMYFUNCTION("""COMPUTED_VALUE"""),"Skill Up!")</f>
        <v>Skill Up!</v>
      </c>
      <c r="V736" s="43" t="str">
        <f>IFERROR(__xludf.DUMMYFUNCTION("""COMPUTED_VALUE"""),"FSEGT")</f>
        <v>FSEGT</v>
      </c>
      <c r="W736" s="43" t="str">
        <f>IFERROR(__xludf.DUMMYFUNCTION("""COMPUTED_VALUE"""),"2023-03-12T23:43:20Z")</f>
        <v>2023-03-12T23:43:20Z</v>
      </c>
      <c r="X736" s="43"/>
      <c r="Y736" s="43"/>
      <c r="Z736" s="43"/>
    </row>
    <row r="737" hidden="1">
      <c r="A737" s="43" t="str">
        <f>IFERROR(__xludf.DUMMYFUNCTION("""COMPUTED_VALUE"""),"5248123_1294410")</f>
        <v>5248123_1294410</v>
      </c>
      <c r="B737" s="43" t="str">
        <f>IFERROR(__xludf.DUMMYFUNCTION("""COMPUTED_VALUE"""),"djemai amira")</f>
        <v>djemai amira</v>
      </c>
      <c r="C737" s="43" t="str">
        <f>IFERROR(__xludf.DUMMYFUNCTION("""COMPUTED_VALUE"""),"completed")</f>
        <v>completed</v>
      </c>
      <c r="D737" s="43" t="str">
        <f>IFERROR(__xludf.DUMMYFUNCTION("""COMPUTED_VALUE"""),"No")</f>
        <v>No</v>
      </c>
      <c r="E737" s="43" t="str">
        <f>IFERROR(__xludf.DUMMYFUNCTION("""COMPUTED_VALUE"""),"p_f6007f59a5da6a76b20e2c0335e5dcdf21a58e6d@inbound.aiesec.org")</f>
        <v>p_f6007f59a5da6a76b20e2c0335e5dcdf21a58e6d@inbound.aiesec.org</v>
      </c>
      <c r="F737" s="43">
        <f>IFERROR(__xludf.DUMMYFUNCTION("""COMPUTED_VALUE"""),4.6329929E7)</f>
        <v>46329929</v>
      </c>
      <c r="G737" s="43" t="str">
        <f>IFERROR(__xludf.DUMMYFUNCTION("""COMPUTED_VALUE"""),"Tunisia")</f>
        <v>Tunisia</v>
      </c>
      <c r="H737" s="43" t="str">
        <f>IFERROR(__xludf.DUMMYFUNCTION("""COMPUTED_VALUE"""),"UNIVERSITY")</f>
        <v>UNIVERSITY</v>
      </c>
      <c r="I737" s="43" t="str">
        <f>IFERROR(__xludf.DUMMYFUNCTION("""COMPUTED_VALUE"""),"Turkey")</f>
        <v>Turkey</v>
      </c>
      <c r="J737" s="43" t="str">
        <f>IFERROR(__xludf.DUMMYFUNCTION("""COMPUTED_VALUE"""),"İZMİR")</f>
        <v>İZMİR</v>
      </c>
      <c r="K737" s="44" t="str">
        <f>IFERROR(__xludf.DUMMYFUNCTION("""COMPUTED_VALUE"""),"https://expa.aiesec.org/opportunities/1294410")</f>
        <v>https://expa.aiesec.org/opportunities/1294410</v>
      </c>
      <c r="L737" s="43" t="str">
        <f>IFERROR(__xludf.DUMMYFUNCTION("""COMPUTED_VALUE"""),"GV")</f>
        <v>GV</v>
      </c>
      <c r="M737" s="43" t="str">
        <f>IFERROR(__xludf.DUMMYFUNCTION("""COMPUTED_VALUE"""),"short")</f>
        <v>short</v>
      </c>
      <c r="N737" s="45">
        <f>IFERROR(__xludf.DUMMYFUNCTION("""COMPUTED_VALUE"""),45040.0)</f>
        <v>45040</v>
      </c>
      <c r="O737" s="45">
        <f>IFERROR(__xludf.DUMMYFUNCTION("""COMPUTED_VALUE"""),45096.0)</f>
        <v>45096</v>
      </c>
      <c r="P737" s="45">
        <f>IFERROR(__xludf.DUMMYFUNCTION("""COMPUTED_VALUE"""),45138.0)</f>
        <v>45138</v>
      </c>
      <c r="Q737" s="45">
        <f>IFERROR(__xludf.DUMMYFUNCTION("""COMPUTED_VALUE"""),45097.0)</f>
        <v>45097</v>
      </c>
      <c r="R737" s="45">
        <f>IFERROR(__xludf.DUMMYFUNCTION("""COMPUTED_VALUE"""),45139.0)</f>
        <v>45139</v>
      </c>
      <c r="S737" s="43"/>
      <c r="T737" s="43"/>
      <c r="U737" s="43" t="str">
        <f>IFERROR(__xludf.DUMMYFUNCTION("""COMPUTED_VALUE"""),"Global Classroom")</f>
        <v>Global Classroom</v>
      </c>
      <c r="V737" s="43" t="str">
        <f>IFERROR(__xludf.DUMMYFUNCTION("""COMPUTED_VALUE"""),"FST")</f>
        <v>FST</v>
      </c>
      <c r="W737" s="43" t="str">
        <f>IFERROR(__xludf.DUMMYFUNCTION("""COMPUTED_VALUE"""),"2023-04-24T07:50:29Z")</f>
        <v>2023-04-24T07:50:29Z</v>
      </c>
      <c r="X737" s="43"/>
      <c r="Y737" s="43"/>
      <c r="Z737" s="43"/>
    </row>
    <row r="738" hidden="1">
      <c r="A738" s="43" t="str">
        <f>IFERROR(__xludf.DUMMYFUNCTION("""COMPUTED_VALUE"""),"5247085_1294061")</f>
        <v>5247085_1294061</v>
      </c>
      <c r="B738" s="43" t="str">
        <f>IFERROR(__xludf.DUMMYFUNCTION("""COMPUTED_VALUE"""),"Rihab Thamlaoui")</f>
        <v>Rihab Thamlaoui</v>
      </c>
      <c r="C738" s="43" t="str">
        <f>IFERROR(__xludf.DUMMYFUNCTION("""COMPUTED_VALUE"""),"finished")</f>
        <v>finished</v>
      </c>
      <c r="D738" s="43" t="str">
        <f>IFERROR(__xludf.DUMMYFUNCTION("""COMPUTED_VALUE"""),"No")</f>
        <v>No</v>
      </c>
      <c r="E738" s="43" t="str">
        <f>IFERROR(__xludf.DUMMYFUNCTION("""COMPUTED_VALUE"""),"p_2c00da580ab7f3cb42c3d141b8fbfd7956bf1a64@inbound.aiesec.org")</f>
        <v>p_2c00da580ab7f3cb42c3d141b8fbfd7956bf1a64@inbound.aiesec.org</v>
      </c>
      <c r="F738" s="43">
        <f>IFERROR(__xludf.DUMMYFUNCTION("""COMPUTED_VALUE"""),5.3268628E7)</f>
        <v>53268628</v>
      </c>
      <c r="G738" s="43" t="str">
        <f>IFERROR(__xludf.DUMMYFUNCTION("""COMPUTED_VALUE"""),"Tunisia")</f>
        <v>Tunisia</v>
      </c>
      <c r="H738" s="43" t="str">
        <f>IFERROR(__xludf.DUMMYFUNCTION("""COMPUTED_VALUE"""),"BARDO")</f>
        <v>BARDO</v>
      </c>
      <c r="I738" s="43" t="str">
        <f>IFERROR(__xludf.DUMMYFUNCTION("""COMPUTED_VALUE"""),"Turkey")</f>
        <v>Turkey</v>
      </c>
      <c r="J738" s="43" t="str">
        <f>IFERROR(__xludf.DUMMYFUNCTION("""COMPUTED_VALUE"""),"KOCAELI")</f>
        <v>KOCAELI</v>
      </c>
      <c r="K738" s="44" t="str">
        <f>IFERROR(__xludf.DUMMYFUNCTION("""COMPUTED_VALUE"""),"https://expa.aiesec.org/opportunities/1294061")</f>
        <v>https://expa.aiesec.org/opportunities/1294061</v>
      </c>
      <c r="L738" s="43" t="str">
        <f>IFERROR(__xludf.DUMMYFUNCTION("""COMPUTED_VALUE"""),"GV")</f>
        <v>GV</v>
      </c>
      <c r="M738" s="43" t="str">
        <f>IFERROR(__xludf.DUMMYFUNCTION("""COMPUTED_VALUE"""),"short")</f>
        <v>short</v>
      </c>
      <c r="N738" s="45">
        <f>IFERROR(__xludf.DUMMYFUNCTION("""COMPUTED_VALUE"""),45040.0)</f>
        <v>45040</v>
      </c>
      <c r="O738" s="45">
        <f>IFERROR(__xludf.DUMMYFUNCTION("""COMPUTED_VALUE"""),45139.0)</f>
        <v>45139</v>
      </c>
      <c r="P738" s="45">
        <f>IFERROR(__xludf.DUMMYFUNCTION("""COMPUTED_VALUE"""),45181.0)</f>
        <v>45181</v>
      </c>
      <c r="Q738" s="45">
        <f>IFERROR(__xludf.DUMMYFUNCTION("""COMPUTED_VALUE"""),45139.0)</f>
        <v>45139</v>
      </c>
      <c r="R738" s="45">
        <f>IFERROR(__xludf.DUMMYFUNCTION("""COMPUTED_VALUE"""),45181.0)</f>
        <v>45181</v>
      </c>
      <c r="S738" s="43"/>
      <c r="T738" s="43"/>
      <c r="U738" s="43" t="str">
        <f>IFERROR(__xludf.DUMMYFUNCTION("""COMPUTED_VALUE"""),"Global Classroom")</f>
        <v>Global Classroom</v>
      </c>
      <c r="V738" s="43" t="str">
        <f>IFERROR(__xludf.DUMMYFUNCTION("""COMPUTED_VALUE"""),"Institut Supérieur des Études Appliquées en Humanités de Zaghouan")</f>
        <v>Institut Supérieur des Études Appliquées en Humanités de Zaghouan</v>
      </c>
      <c r="W738" s="43" t="str">
        <f>IFERROR(__xludf.DUMMYFUNCTION("""COMPUTED_VALUE"""),"2023-04-22T03:28:13Z")</f>
        <v>2023-04-22T03:28:13Z</v>
      </c>
      <c r="X738" s="43"/>
      <c r="Y738" s="43"/>
      <c r="Z738" s="43"/>
    </row>
    <row r="739" hidden="1">
      <c r="A739" s="43" t="str">
        <f>IFERROR(__xludf.DUMMYFUNCTION("""COMPUTED_VALUE"""),"5247145_1289228")</f>
        <v>5247145_1289228</v>
      </c>
      <c r="B739" s="43" t="str">
        <f>IFERROR(__xludf.DUMMYFUNCTION("""COMPUTED_VALUE"""),"Ahmed Khalied")</f>
        <v>Ahmed Khalied</v>
      </c>
      <c r="C739" s="43" t="str">
        <f>IFERROR(__xludf.DUMMYFUNCTION("""COMPUTED_VALUE"""),"approved")</f>
        <v>approved</v>
      </c>
      <c r="D739" s="43" t="str">
        <f>IFERROR(__xludf.DUMMYFUNCTION("""COMPUTED_VALUE"""),"No")</f>
        <v>No</v>
      </c>
      <c r="E739" s="43" t="str">
        <f>IFERROR(__xludf.DUMMYFUNCTION("""COMPUTED_VALUE"""),"p_f5f2b309a3058726e36c7230fe6f24df6a8540be@inbound.aiesec.org")</f>
        <v>p_f5f2b309a3058726e36c7230fe6f24df6a8540be@inbound.aiesec.org</v>
      </c>
      <c r="F739" s="43">
        <f>IFERROR(__xludf.DUMMYFUNCTION("""COMPUTED_VALUE"""),1.211788336E9)</f>
        <v>1211788336</v>
      </c>
      <c r="G739" s="43" t="str">
        <f>IFERROR(__xludf.DUMMYFUNCTION("""COMPUTED_VALUE"""),"Norway")</f>
        <v>Norway</v>
      </c>
      <c r="H739" s="43" t="str">
        <f>IFERROR(__xludf.DUMMYFUNCTION("""COMPUTED_VALUE"""),"University of Oslo")</f>
        <v>University of Oslo</v>
      </c>
      <c r="I739" s="43" t="str">
        <f>IFERROR(__xludf.DUMMYFUNCTION("""COMPUTED_VALUE"""),"Turkey")</f>
        <v>Turkey</v>
      </c>
      <c r="J739" s="43" t="str">
        <f>IFERROR(__xludf.DUMMYFUNCTION("""COMPUTED_VALUE"""),"ISTANBUL WEST")</f>
        <v>ISTANBUL WEST</v>
      </c>
      <c r="K739" s="44" t="str">
        <f>IFERROR(__xludf.DUMMYFUNCTION("""COMPUTED_VALUE"""),"https://expa.aiesec.org/opportunities/1289228")</f>
        <v>https://expa.aiesec.org/opportunities/1289228</v>
      </c>
      <c r="L739" s="43" t="str">
        <f>IFERROR(__xludf.DUMMYFUNCTION("""COMPUTED_VALUE"""),"GV")</f>
        <v>GV</v>
      </c>
      <c r="M739" s="43" t="str">
        <f>IFERROR(__xludf.DUMMYFUNCTION("""COMPUTED_VALUE"""),"short")</f>
        <v>short</v>
      </c>
      <c r="N739" s="45">
        <f>IFERROR(__xludf.DUMMYFUNCTION("""COMPUTED_VALUE"""),45040.0)</f>
        <v>45040</v>
      </c>
      <c r="O739" s="45">
        <f>IFERROR(__xludf.DUMMYFUNCTION("""COMPUTED_VALUE"""),45278.0)</f>
        <v>45278</v>
      </c>
      <c r="P739" s="45">
        <f>IFERROR(__xludf.DUMMYFUNCTION("""COMPUTED_VALUE"""),45320.0)</f>
        <v>45320</v>
      </c>
      <c r="Q739" s="45"/>
      <c r="R739" s="45"/>
      <c r="S739" s="43"/>
      <c r="T739" s="43"/>
      <c r="U739" s="43" t="str">
        <f>IFERROR(__xludf.DUMMYFUNCTION("""COMPUTED_VALUE"""),"Global Classroom")</f>
        <v>Global Classroom</v>
      </c>
      <c r="V739" s="43" t="str">
        <f>IFERROR(__xludf.DUMMYFUNCTION("""COMPUTED_VALUE"""),"Oslo")</f>
        <v>Oslo</v>
      </c>
      <c r="W739" s="43" t="str">
        <f>IFERROR(__xludf.DUMMYFUNCTION("""COMPUTED_VALUE"""),"2023-04-22T07:33:31Z")</f>
        <v>2023-04-22T07:33:31Z</v>
      </c>
      <c r="X739" s="43"/>
      <c r="Y739" s="43"/>
      <c r="Z739" s="43"/>
    </row>
    <row r="740" hidden="1">
      <c r="A740" s="43" t="str">
        <f>IFERROR(__xludf.DUMMYFUNCTION("""COMPUTED_VALUE"""),"5132805_1286326")</f>
        <v>5132805_1286326</v>
      </c>
      <c r="B740" s="43" t="str">
        <f>IFERROR(__xludf.DUMMYFUNCTION("""COMPUTED_VALUE"""),"Diana Kravtsiv")</f>
        <v>Diana Kravtsiv</v>
      </c>
      <c r="C740" s="43" t="str">
        <f>IFERROR(__xludf.DUMMYFUNCTION("""COMPUTED_VALUE"""),"completed")</f>
        <v>completed</v>
      </c>
      <c r="D740" s="43" t="str">
        <f>IFERROR(__xludf.DUMMYFUNCTION("""COMPUTED_VALUE"""),"No")</f>
        <v>No</v>
      </c>
      <c r="E740" s="43" t="str">
        <f>IFERROR(__xludf.DUMMYFUNCTION("""COMPUTED_VALUE"""),"p_63067adb3c955b97d5de6f17305698cc22392956@inbound.aiesec.org")</f>
        <v>p_63067adb3c955b97d5de6f17305698cc22392956@inbound.aiesec.org</v>
      </c>
      <c r="F740" s="43"/>
      <c r="G740" s="43" t="str">
        <f>IFERROR(__xludf.DUMMYFUNCTION("""COMPUTED_VALUE"""),"Ukraine")</f>
        <v>Ukraine</v>
      </c>
      <c r="H740" s="43" t="str">
        <f>IFERROR(__xludf.DUMMYFUNCTION("""COMPUTED_VALUE"""),"LVIV")</f>
        <v>LVIV</v>
      </c>
      <c r="I740" s="43" t="str">
        <f>IFERROR(__xludf.DUMMYFUNCTION("""COMPUTED_VALUE"""),"Turkey")</f>
        <v>Turkey</v>
      </c>
      <c r="J740" s="43" t="str">
        <f>IFERROR(__xludf.DUMMYFUNCTION("""COMPUTED_VALUE"""),"ADANA")</f>
        <v>ADANA</v>
      </c>
      <c r="K740" s="44" t="str">
        <f>IFERROR(__xludf.DUMMYFUNCTION("""COMPUTED_VALUE"""),"https://expa.aiesec.org/opportunities/1286326")</f>
        <v>https://expa.aiesec.org/opportunities/1286326</v>
      </c>
      <c r="L740" s="43" t="str">
        <f>IFERROR(__xludf.DUMMYFUNCTION("""COMPUTED_VALUE"""),"GV")</f>
        <v>GV</v>
      </c>
      <c r="M740" s="43" t="str">
        <f>IFERROR(__xludf.DUMMYFUNCTION("""COMPUTED_VALUE"""),"short")</f>
        <v>short</v>
      </c>
      <c r="N740" s="45">
        <f>IFERROR(__xludf.DUMMYFUNCTION("""COMPUTED_VALUE"""),45040.0)</f>
        <v>45040</v>
      </c>
      <c r="O740" s="45">
        <f>IFERROR(__xludf.DUMMYFUNCTION("""COMPUTED_VALUE"""),45145.0)</f>
        <v>45145</v>
      </c>
      <c r="P740" s="45">
        <f>IFERROR(__xludf.DUMMYFUNCTION("""COMPUTED_VALUE"""),45191.0)</f>
        <v>45191</v>
      </c>
      <c r="Q740" s="45">
        <f>IFERROR(__xludf.DUMMYFUNCTION("""COMPUTED_VALUE"""),45149.0)</f>
        <v>45149</v>
      </c>
      <c r="R740" s="45">
        <f>IFERROR(__xludf.DUMMYFUNCTION("""COMPUTED_VALUE"""),45195.0)</f>
        <v>45195</v>
      </c>
      <c r="S740" s="43"/>
      <c r="T740" s="43"/>
      <c r="U740" s="43" t="str">
        <f>IFERROR(__xludf.DUMMYFUNCTION("""COMPUTED_VALUE"""),"Equify")</f>
        <v>Equify</v>
      </c>
      <c r="V740" s="43" t="str">
        <f>IFERROR(__xludf.DUMMYFUNCTION("""COMPUTED_VALUE"""),"-")</f>
        <v>-</v>
      </c>
      <c r="W740" s="43" t="str">
        <f>IFERROR(__xludf.DUMMYFUNCTION("""COMPUTED_VALUE"""),"2022-10-14T10:44:21Z")</f>
        <v>2022-10-14T10:44:21Z</v>
      </c>
      <c r="X740" s="43"/>
      <c r="Y740" s="43"/>
      <c r="Z740" s="43"/>
    </row>
    <row r="741" hidden="1">
      <c r="A741" s="43" t="str">
        <f>IFERROR(__xludf.DUMMYFUNCTION("""COMPUTED_VALUE"""),"5235189_1283891")</f>
        <v>5235189_1283891</v>
      </c>
      <c r="B741" s="43" t="str">
        <f>IFERROR(__xludf.DUMMYFUNCTION("""COMPUTED_VALUE"""),"Oumayma Bannouri")</f>
        <v>Oumayma Bannouri</v>
      </c>
      <c r="C741" s="43" t="str">
        <f>IFERROR(__xludf.DUMMYFUNCTION("""COMPUTED_VALUE"""),"completed")</f>
        <v>completed</v>
      </c>
      <c r="D741" s="43" t="str">
        <f>IFERROR(__xludf.DUMMYFUNCTION("""COMPUTED_VALUE"""),"No")</f>
        <v>No</v>
      </c>
      <c r="E741" s="43" t="str">
        <f>IFERROR(__xludf.DUMMYFUNCTION("""COMPUTED_VALUE"""),"p_6648edece384503a5764f41f4c543b6eb8856dba@inbound.aiesec.org")</f>
        <v>p_6648edece384503a5764f41f4c543b6eb8856dba@inbound.aiesec.org</v>
      </c>
      <c r="F741" s="43">
        <f>IFERROR(__xludf.DUMMYFUNCTION("""COMPUTED_VALUE"""),5.863823E7)</f>
        <v>58638230</v>
      </c>
      <c r="G741" s="43" t="str">
        <f>IFERROR(__xludf.DUMMYFUNCTION("""COMPUTED_VALUE"""),"Tunisia")</f>
        <v>Tunisia</v>
      </c>
      <c r="H741" s="43" t="str">
        <f>IFERROR(__xludf.DUMMYFUNCTION("""COMPUTED_VALUE"""),"UNIVERSITY")</f>
        <v>UNIVERSITY</v>
      </c>
      <c r="I741" s="43" t="str">
        <f>IFERROR(__xludf.DUMMYFUNCTION("""COMPUTED_VALUE"""),"Turkey")</f>
        <v>Turkey</v>
      </c>
      <c r="J741" s="43" t="str">
        <f>IFERROR(__xludf.DUMMYFUNCTION("""COMPUTED_VALUE"""),"ISTANBUL ASIA")</f>
        <v>ISTANBUL ASIA</v>
      </c>
      <c r="K741" s="44" t="str">
        <f>IFERROR(__xludf.DUMMYFUNCTION("""COMPUTED_VALUE"""),"https://expa.aiesec.org/opportunities/1283891")</f>
        <v>https://expa.aiesec.org/opportunities/1283891</v>
      </c>
      <c r="L741" s="43" t="str">
        <f>IFERROR(__xludf.DUMMYFUNCTION("""COMPUTED_VALUE"""),"GV")</f>
        <v>GV</v>
      </c>
      <c r="M741" s="43" t="str">
        <f>IFERROR(__xludf.DUMMYFUNCTION("""COMPUTED_VALUE"""),"short")</f>
        <v>short</v>
      </c>
      <c r="N741" s="45">
        <f>IFERROR(__xludf.DUMMYFUNCTION("""COMPUTED_VALUE"""),45040.0)</f>
        <v>45040</v>
      </c>
      <c r="O741" s="45">
        <f>IFERROR(__xludf.DUMMYFUNCTION("""COMPUTED_VALUE"""),45187.0)</f>
        <v>45187</v>
      </c>
      <c r="P741" s="45">
        <f>IFERROR(__xludf.DUMMYFUNCTION("""COMPUTED_VALUE"""),45229.0)</f>
        <v>45229</v>
      </c>
      <c r="Q741" s="45">
        <f>IFERROR(__xludf.DUMMYFUNCTION("""COMPUTED_VALUE"""),45188.0)</f>
        <v>45188</v>
      </c>
      <c r="R741" s="45">
        <f>IFERROR(__xludf.DUMMYFUNCTION("""COMPUTED_VALUE"""),45229.0)</f>
        <v>45229</v>
      </c>
      <c r="S741" s="43"/>
      <c r="T741" s="43"/>
      <c r="U741" s="43" t="str">
        <f>IFERROR(__xludf.DUMMYFUNCTION("""COMPUTED_VALUE"""),"Global Classroom")</f>
        <v>Global Classroom</v>
      </c>
      <c r="V741" s="43" t="str">
        <f>IFERROR(__xludf.DUMMYFUNCTION("""COMPUTED_VALUE"""),"ISSHT")</f>
        <v>ISSHT</v>
      </c>
      <c r="W741" s="43" t="str">
        <f>IFERROR(__xludf.DUMMYFUNCTION("""COMPUTED_VALUE"""),"2023-04-05T03:50:36Z")</f>
        <v>2023-04-05T03:50:36Z</v>
      </c>
      <c r="X741" s="43"/>
      <c r="Y741" s="43"/>
      <c r="Z741" s="43"/>
    </row>
    <row r="742" hidden="1">
      <c r="A742" s="43" t="str">
        <f>IFERROR(__xludf.DUMMYFUNCTION("""COMPUTED_VALUE"""),"3873326_1292793")</f>
        <v>3873326_1292793</v>
      </c>
      <c r="B742" s="43" t="str">
        <f>IFERROR(__xludf.DUMMYFUNCTION("""COMPUTED_VALUE"""),"deleted 3873326")</f>
        <v>deleted 3873326</v>
      </c>
      <c r="C742" s="43" t="str">
        <f>IFERROR(__xludf.DUMMYFUNCTION("""COMPUTED_VALUE"""),"completed")</f>
        <v>completed</v>
      </c>
      <c r="D742" s="43" t="str">
        <f>IFERROR(__xludf.DUMMYFUNCTION("""COMPUTED_VALUE"""),"No")</f>
        <v>No</v>
      </c>
      <c r="E742" s="43" t="str">
        <f>IFERROR(__xludf.DUMMYFUNCTION("""COMPUTED_VALUE"""),"p_5c97944709d46f7de768c577082afeef46380efb@inbound.aiesec.org")</f>
        <v>p_5c97944709d46f7de768c577082afeef46380efb@inbound.aiesec.org</v>
      </c>
      <c r="F742" s="43"/>
      <c r="G742" s="43" t="str">
        <f>IFERROR(__xludf.DUMMYFUNCTION("""COMPUTED_VALUE"""),"Tunisia")</f>
        <v>Tunisia</v>
      </c>
      <c r="H742" s="43" t="str">
        <f>IFERROR(__xludf.DUMMYFUNCTION("""COMPUTED_VALUE"""),"UNIVERSITY")</f>
        <v>UNIVERSITY</v>
      </c>
      <c r="I742" s="43" t="str">
        <f>IFERROR(__xludf.DUMMYFUNCTION("""COMPUTED_VALUE"""),"Turkey")</f>
        <v>Turkey</v>
      </c>
      <c r="J742" s="43" t="str">
        <f>IFERROR(__xludf.DUMMYFUNCTION("""COMPUTED_VALUE"""),"ANTALYA")</f>
        <v>ANTALYA</v>
      </c>
      <c r="K742" s="44" t="str">
        <f>IFERROR(__xludf.DUMMYFUNCTION("""COMPUTED_VALUE"""),"https://expa.aiesec.org/opportunities/1292793")</f>
        <v>https://expa.aiesec.org/opportunities/1292793</v>
      </c>
      <c r="L742" s="43" t="str">
        <f>IFERROR(__xludf.DUMMYFUNCTION("""COMPUTED_VALUE"""),"GV")</f>
        <v>GV</v>
      </c>
      <c r="M742" s="43" t="str">
        <f>IFERROR(__xludf.DUMMYFUNCTION("""COMPUTED_VALUE"""),"short")</f>
        <v>short</v>
      </c>
      <c r="N742" s="45">
        <f>IFERROR(__xludf.DUMMYFUNCTION("""COMPUTED_VALUE"""),45040.0)</f>
        <v>45040</v>
      </c>
      <c r="O742" s="45">
        <f>IFERROR(__xludf.DUMMYFUNCTION("""COMPUTED_VALUE"""),45089.0)</f>
        <v>45089</v>
      </c>
      <c r="P742" s="45">
        <f>IFERROR(__xludf.DUMMYFUNCTION("""COMPUTED_VALUE"""),45131.0)</f>
        <v>45131</v>
      </c>
      <c r="Q742" s="45">
        <f>IFERROR(__xludf.DUMMYFUNCTION("""COMPUTED_VALUE"""),45090.0)</f>
        <v>45090</v>
      </c>
      <c r="R742" s="45">
        <f>IFERROR(__xludf.DUMMYFUNCTION("""COMPUTED_VALUE"""),45131.0)</f>
        <v>45131</v>
      </c>
      <c r="S742" s="43"/>
      <c r="T742" s="43"/>
      <c r="U742" s="43" t="str">
        <f>IFERROR(__xludf.DUMMYFUNCTION("""COMPUTED_VALUE"""),"Global Classroom")</f>
        <v>Global Classroom</v>
      </c>
      <c r="V742" s="43" t="str">
        <f>IFERROR(__xludf.DUMMYFUNCTION("""COMPUTED_VALUE"""),"Université Centrale Droit et Gestion")</f>
        <v>Université Centrale Droit et Gestion</v>
      </c>
      <c r="W742" s="43" t="str">
        <f>IFERROR(__xludf.DUMMYFUNCTION("""COMPUTED_VALUE"""),"2019-10-04T23:39:35Z")</f>
        <v>2019-10-04T23:39:35Z</v>
      </c>
      <c r="X742" s="43"/>
      <c r="Y742" s="43"/>
      <c r="Z742" s="43"/>
    </row>
    <row r="743" hidden="1">
      <c r="A743" s="43" t="str">
        <f>IFERROR(__xludf.DUMMYFUNCTION("""COMPUTED_VALUE"""),"5248601_1286326")</f>
        <v>5248601_1286326</v>
      </c>
      <c r="B743" s="43" t="str">
        <f>IFERROR(__xludf.DUMMYFUNCTION("""COMPUTED_VALUE"""),"Aziz Radhouani")</f>
        <v>Aziz Radhouani</v>
      </c>
      <c r="C743" s="43" t="str">
        <f>IFERROR(__xludf.DUMMYFUNCTION("""COMPUTED_VALUE"""),"approved")</f>
        <v>approved</v>
      </c>
      <c r="D743" s="43" t="str">
        <f>IFERROR(__xludf.DUMMYFUNCTION("""COMPUTED_VALUE"""),"No")</f>
        <v>No</v>
      </c>
      <c r="E743" s="43" t="str">
        <f>IFERROR(__xludf.DUMMYFUNCTION("""COMPUTED_VALUE"""),"p_11842b5d1bcd9ba9cc8220a381e5520558ff2dec@inbound.aiesec.org")</f>
        <v>p_11842b5d1bcd9ba9cc8220a381e5520558ff2dec@inbound.aiesec.org</v>
      </c>
      <c r="F743" s="43">
        <f>IFERROR(__xludf.DUMMYFUNCTION("""COMPUTED_VALUE"""),9.2497045E7)</f>
        <v>92497045</v>
      </c>
      <c r="G743" s="43" t="str">
        <f>IFERROR(__xludf.DUMMYFUNCTION("""COMPUTED_VALUE"""),"Tunisia")</f>
        <v>Tunisia</v>
      </c>
      <c r="H743" s="43" t="str">
        <f>IFERROR(__xludf.DUMMYFUNCTION("""COMPUTED_VALUE"""),"BARDO")</f>
        <v>BARDO</v>
      </c>
      <c r="I743" s="43" t="str">
        <f>IFERROR(__xludf.DUMMYFUNCTION("""COMPUTED_VALUE"""),"Turkey")</f>
        <v>Turkey</v>
      </c>
      <c r="J743" s="43" t="str">
        <f>IFERROR(__xludf.DUMMYFUNCTION("""COMPUTED_VALUE"""),"ADANA")</f>
        <v>ADANA</v>
      </c>
      <c r="K743" s="44" t="str">
        <f>IFERROR(__xludf.DUMMYFUNCTION("""COMPUTED_VALUE"""),"https://expa.aiesec.org/opportunities/1286326")</f>
        <v>https://expa.aiesec.org/opportunities/1286326</v>
      </c>
      <c r="L743" s="43" t="str">
        <f>IFERROR(__xludf.DUMMYFUNCTION("""COMPUTED_VALUE"""),"GV")</f>
        <v>GV</v>
      </c>
      <c r="M743" s="43" t="str">
        <f>IFERROR(__xludf.DUMMYFUNCTION("""COMPUTED_VALUE"""),"short")</f>
        <v>short</v>
      </c>
      <c r="N743" s="45">
        <f>IFERROR(__xludf.DUMMYFUNCTION("""COMPUTED_VALUE"""),45041.0)</f>
        <v>45041</v>
      </c>
      <c r="O743" s="45">
        <f>IFERROR(__xludf.DUMMYFUNCTION("""COMPUTED_VALUE"""),45145.0)</f>
        <v>45145</v>
      </c>
      <c r="P743" s="45">
        <f>IFERROR(__xludf.DUMMYFUNCTION("""COMPUTED_VALUE"""),45191.0)</f>
        <v>45191</v>
      </c>
      <c r="Q743" s="45"/>
      <c r="R743" s="45"/>
      <c r="S743" s="43"/>
      <c r="T743" s="43"/>
      <c r="U743" s="43" t="str">
        <f>IFERROR(__xludf.DUMMYFUNCTION("""COMPUTED_VALUE"""),"Equify")</f>
        <v>Equify</v>
      </c>
      <c r="V743" s="43" t="str">
        <f>IFERROR(__xludf.DUMMYFUNCTION("""COMPUTED_VALUE"""),"FSHS Tunis")</f>
        <v>FSHS Tunis</v>
      </c>
      <c r="W743" s="43" t="str">
        <f>IFERROR(__xludf.DUMMYFUNCTION("""COMPUTED_VALUE"""),"2023-04-24T21:08:48Z")</f>
        <v>2023-04-24T21:08:48Z</v>
      </c>
      <c r="X743" s="43"/>
      <c r="Y743" s="43"/>
      <c r="Z743" s="43"/>
    </row>
    <row r="744" hidden="1">
      <c r="A744" s="43" t="str">
        <f>IFERROR(__xludf.DUMMYFUNCTION("""COMPUTED_VALUE"""),"5249249_1289100")</f>
        <v>5249249_1289100</v>
      </c>
      <c r="B744" s="43" t="str">
        <f>IFERROR(__xludf.DUMMYFUNCTION("""COMPUTED_VALUE"""),"Mouna Gharbi")</f>
        <v>Mouna Gharbi</v>
      </c>
      <c r="C744" s="43" t="str">
        <f>IFERROR(__xludf.DUMMYFUNCTION("""COMPUTED_VALUE"""),"approved")</f>
        <v>approved</v>
      </c>
      <c r="D744" s="43" t="str">
        <f>IFERROR(__xludf.DUMMYFUNCTION("""COMPUTED_VALUE"""),"No")</f>
        <v>No</v>
      </c>
      <c r="E744" s="43" t="str">
        <f>IFERROR(__xludf.DUMMYFUNCTION("""COMPUTED_VALUE"""),"p_4f60b8034f65dd2b7246b5b1a02a988964ff12bc@inbound.aiesec.org")</f>
        <v>p_4f60b8034f65dd2b7246b5b1a02a988964ff12bc@inbound.aiesec.org</v>
      </c>
      <c r="F744" s="43">
        <f>IFERROR(__xludf.DUMMYFUNCTION("""COMPUTED_VALUE"""),5.8039143E7)</f>
        <v>58039143</v>
      </c>
      <c r="G744" s="43" t="str">
        <f>IFERROR(__xludf.DUMMYFUNCTION("""COMPUTED_VALUE"""),"Tunisia")</f>
        <v>Tunisia</v>
      </c>
      <c r="H744" s="43" t="str">
        <f>IFERROR(__xludf.DUMMYFUNCTION("""COMPUTED_VALUE"""),"BARDO")</f>
        <v>BARDO</v>
      </c>
      <c r="I744" s="43" t="str">
        <f>IFERROR(__xludf.DUMMYFUNCTION("""COMPUTED_VALUE"""),"Turkey")</f>
        <v>Turkey</v>
      </c>
      <c r="J744" s="43" t="str">
        <f>IFERROR(__xludf.DUMMYFUNCTION("""COMPUTED_VALUE"""),"KOCAELI")</f>
        <v>KOCAELI</v>
      </c>
      <c r="K744" s="44" t="str">
        <f>IFERROR(__xludf.DUMMYFUNCTION("""COMPUTED_VALUE"""),"https://expa.aiesec.org/opportunities/1289100")</f>
        <v>https://expa.aiesec.org/opportunities/1289100</v>
      </c>
      <c r="L744" s="43" t="str">
        <f>IFERROR(__xludf.DUMMYFUNCTION("""COMPUTED_VALUE"""),"GV")</f>
        <v>GV</v>
      </c>
      <c r="M744" s="43" t="str">
        <f>IFERROR(__xludf.DUMMYFUNCTION("""COMPUTED_VALUE"""),"short")</f>
        <v>short</v>
      </c>
      <c r="N744" s="45">
        <f>IFERROR(__xludf.DUMMYFUNCTION("""COMPUTED_VALUE"""),45041.0)</f>
        <v>45041</v>
      </c>
      <c r="O744" s="45">
        <f>IFERROR(__xludf.DUMMYFUNCTION("""COMPUTED_VALUE"""),45152.0)</f>
        <v>45152</v>
      </c>
      <c r="P744" s="45">
        <f>IFERROR(__xludf.DUMMYFUNCTION("""COMPUTED_VALUE"""),45194.0)</f>
        <v>45194</v>
      </c>
      <c r="Q744" s="45"/>
      <c r="R744" s="45"/>
      <c r="S744" s="43"/>
      <c r="T744" s="43"/>
      <c r="U744" s="43" t="str">
        <f>IFERROR(__xludf.DUMMYFUNCTION("""COMPUTED_VALUE"""),"Global Classroom")</f>
        <v>Global Classroom</v>
      </c>
      <c r="V744" s="43" t="str">
        <f>IFERROR(__xludf.DUMMYFUNCTION("""COMPUTED_VALUE"""),"IPELSHT")</f>
        <v>IPELSHT</v>
      </c>
      <c r="W744" s="43" t="str">
        <f>IFERROR(__xludf.DUMMYFUNCTION("""COMPUTED_VALUE"""),"2023-04-25T16:44:40Z")</f>
        <v>2023-04-25T16:44:40Z</v>
      </c>
      <c r="X744" s="43"/>
      <c r="Y744" s="43"/>
      <c r="Z744" s="43"/>
    </row>
    <row r="745" hidden="1">
      <c r="A745" s="43" t="str">
        <f>IFERROR(__xludf.DUMMYFUNCTION("""COMPUTED_VALUE"""),"5246904_1286326")</f>
        <v>5246904_1286326</v>
      </c>
      <c r="B745" s="43" t="str">
        <f>IFERROR(__xludf.DUMMYFUNCTION("""COMPUTED_VALUE"""),"mariem boulaaba")</f>
        <v>mariem boulaaba</v>
      </c>
      <c r="C745" s="43" t="str">
        <f>IFERROR(__xludf.DUMMYFUNCTION("""COMPUTED_VALUE"""),"finished")</f>
        <v>finished</v>
      </c>
      <c r="D745" s="43" t="str">
        <f>IFERROR(__xludf.DUMMYFUNCTION("""COMPUTED_VALUE"""),"No")</f>
        <v>No</v>
      </c>
      <c r="E745" s="43" t="str">
        <f>IFERROR(__xludf.DUMMYFUNCTION("""COMPUTED_VALUE"""),"p_619499945f2f4113ed6af75d1fae781afbda53b1@inbound.aiesec.org")</f>
        <v>p_619499945f2f4113ed6af75d1fae781afbda53b1@inbound.aiesec.org</v>
      </c>
      <c r="F745" s="43"/>
      <c r="G745" s="43" t="str">
        <f>IFERROR(__xludf.DUMMYFUNCTION("""COMPUTED_VALUE"""),"Tunisia")</f>
        <v>Tunisia</v>
      </c>
      <c r="H745" s="43" t="str">
        <f>IFERROR(__xludf.DUMMYFUNCTION("""COMPUTED_VALUE"""),"MEDINA")</f>
        <v>MEDINA</v>
      </c>
      <c r="I745" s="43" t="str">
        <f>IFERROR(__xludf.DUMMYFUNCTION("""COMPUTED_VALUE"""),"Turkey")</f>
        <v>Turkey</v>
      </c>
      <c r="J745" s="43" t="str">
        <f>IFERROR(__xludf.DUMMYFUNCTION("""COMPUTED_VALUE"""),"ADANA")</f>
        <v>ADANA</v>
      </c>
      <c r="K745" s="44" t="str">
        <f>IFERROR(__xludf.DUMMYFUNCTION("""COMPUTED_VALUE"""),"https://expa.aiesec.org/opportunities/1286326")</f>
        <v>https://expa.aiesec.org/opportunities/1286326</v>
      </c>
      <c r="L745" s="43" t="str">
        <f>IFERROR(__xludf.DUMMYFUNCTION("""COMPUTED_VALUE"""),"GV")</f>
        <v>GV</v>
      </c>
      <c r="M745" s="43" t="str">
        <f>IFERROR(__xludf.DUMMYFUNCTION("""COMPUTED_VALUE"""),"short")</f>
        <v>short</v>
      </c>
      <c r="N745" s="45">
        <f>IFERROR(__xludf.DUMMYFUNCTION("""COMPUTED_VALUE"""),45041.0)</f>
        <v>45041</v>
      </c>
      <c r="O745" s="45">
        <f>IFERROR(__xludf.DUMMYFUNCTION("""COMPUTED_VALUE"""),45093.0)</f>
        <v>45093</v>
      </c>
      <c r="P745" s="45">
        <f>IFERROR(__xludf.DUMMYFUNCTION("""COMPUTED_VALUE"""),45135.0)</f>
        <v>45135</v>
      </c>
      <c r="Q745" s="45">
        <f>IFERROR(__xludf.DUMMYFUNCTION("""COMPUTED_VALUE"""),45093.0)</f>
        <v>45093</v>
      </c>
      <c r="R745" s="45">
        <f>IFERROR(__xludf.DUMMYFUNCTION("""COMPUTED_VALUE"""),45135.0)</f>
        <v>45135</v>
      </c>
      <c r="S745" s="43"/>
      <c r="T745" s="43"/>
      <c r="U745" s="43" t="str">
        <f>IFERROR(__xludf.DUMMYFUNCTION("""COMPUTED_VALUE"""),"Equify")</f>
        <v>Equify</v>
      </c>
      <c r="V745" s="43" t="str">
        <f>IFERROR(__xludf.DUMMYFUNCTION("""COMPUTED_VALUE"""),"-")</f>
        <v>-</v>
      </c>
      <c r="W745" s="43" t="str">
        <f>IFERROR(__xludf.DUMMYFUNCTION("""COMPUTED_VALUE"""),"2023-04-21T15:48:36Z")</f>
        <v>2023-04-21T15:48:36Z</v>
      </c>
      <c r="X745" s="43"/>
      <c r="Y745" s="43"/>
      <c r="Z745" s="43"/>
    </row>
    <row r="746" hidden="1">
      <c r="A746" s="43" t="str">
        <f>IFERROR(__xludf.DUMMYFUNCTION("""COMPUTED_VALUE"""),"5218820_1288663")</f>
        <v>5218820_1288663</v>
      </c>
      <c r="B746" s="43" t="str">
        <f>IFERROR(__xludf.DUMMYFUNCTION("""COMPUTED_VALUE"""),"Mina Radovanović")</f>
        <v>Mina Radovanović</v>
      </c>
      <c r="C746" s="43" t="str">
        <f>IFERROR(__xludf.DUMMYFUNCTION("""COMPUTED_VALUE"""),"approved")</f>
        <v>approved</v>
      </c>
      <c r="D746" s="43" t="str">
        <f>IFERROR(__xludf.DUMMYFUNCTION("""COMPUTED_VALUE"""),"No")</f>
        <v>No</v>
      </c>
      <c r="E746" s="43" t="str">
        <f>IFERROR(__xludf.DUMMYFUNCTION("""COMPUTED_VALUE"""),"p_112679ee085843b87076f3ab7eb3cb9115ff9fdc@inbound.aiesec.org")</f>
        <v>p_112679ee085843b87076f3ab7eb3cb9115ff9fdc@inbound.aiesec.org</v>
      </c>
      <c r="F746" s="43">
        <f>IFERROR(__xludf.DUMMYFUNCTION("""COMPUTED_VALUE"""),6.11088069E8)</f>
        <v>611088069</v>
      </c>
      <c r="G746" s="43" t="str">
        <f>IFERROR(__xludf.DUMMYFUNCTION("""COMPUTED_VALUE"""),"Serbia")</f>
        <v>Serbia</v>
      </c>
      <c r="H746" s="43" t="str">
        <f>IFERROR(__xludf.DUMMYFUNCTION("""COMPUTED_VALUE"""),"NOVI SAD")</f>
        <v>NOVI SAD</v>
      </c>
      <c r="I746" s="43" t="str">
        <f>IFERROR(__xludf.DUMMYFUNCTION("""COMPUTED_VALUE"""),"Turkey")</f>
        <v>Turkey</v>
      </c>
      <c r="J746" s="43" t="str">
        <f>IFERROR(__xludf.DUMMYFUNCTION("""COMPUTED_VALUE"""),"İZMİR")</f>
        <v>İZMİR</v>
      </c>
      <c r="K746" s="44" t="str">
        <f>IFERROR(__xludf.DUMMYFUNCTION("""COMPUTED_VALUE"""),"https://expa.aiesec.org/opportunities/1288663")</f>
        <v>https://expa.aiesec.org/opportunities/1288663</v>
      </c>
      <c r="L746" s="43" t="str">
        <f>IFERROR(__xludf.DUMMYFUNCTION("""COMPUTED_VALUE"""),"GV")</f>
        <v>GV</v>
      </c>
      <c r="M746" s="43" t="str">
        <f>IFERROR(__xludf.DUMMYFUNCTION("""COMPUTED_VALUE"""),"short")</f>
        <v>short</v>
      </c>
      <c r="N746" s="45">
        <f>IFERROR(__xludf.DUMMYFUNCTION("""COMPUTED_VALUE"""),45041.0)</f>
        <v>45041</v>
      </c>
      <c r="O746" s="45">
        <f>IFERROR(__xludf.DUMMYFUNCTION("""COMPUTED_VALUE"""),45165.0)</f>
        <v>45165</v>
      </c>
      <c r="P746" s="45">
        <f>IFERROR(__xludf.DUMMYFUNCTION("""COMPUTED_VALUE"""),45207.0)</f>
        <v>45207</v>
      </c>
      <c r="Q746" s="45"/>
      <c r="R746" s="45"/>
      <c r="S746" s="43"/>
      <c r="T746" s="43"/>
      <c r="U746" s="43" t="str">
        <f>IFERROR(__xludf.DUMMYFUNCTION("""COMPUTED_VALUE"""),"Global Classroom")</f>
        <v>Global Classroom</v>
      </c>
      <c r="V746" s="43" t="str">
        <f>IFERROR(__xludf.DUMMYFUNCTION("""COMPUTED_VALUE"""),"Novi Sad")</f>
        <v>Novi Sad</v>
      </c>
      <c r="W746" s="43" t="str">
        <f>IFERROR(__xludf.DUMMYFUNCTION("""COMPUTED_VALUE"""),"2023-03-16T19:00:07Z")</f>
        <v>2023-03-16T19:00:07Z</v>
      </c>
      <c r="X746" s="43"/>
      <c r="Y746" s="43"/>
      <c r="Z746" s="43"/>
    </row>
    <row r="747" hidden="1">
      <c r="A747" s="43" t="str">
        <f>IFERROR(__xludf.DUMMYFUNCTION("""COMPUTED_VALUE"""),"5246525_1294254")</f>
        <v>5246525_1294254</v>
      </c>
      <c r="B747" s="43" t="str">
        <f>IFERROR(__xludf.DUMMYFUNCTION("""COMPUTED_VALUE"""),"Ivana Artinovic")</f>
        <v>Ivana Artinovic</v>
      </c>
      <c r="C747" s="43" t="str">
        <f>IFERROR(__xludf.DUMMYFUNCTION("""COMPUTED_VALUE"""),"approved")</f>
        <v>approved</v>
      </c>
      <c r="D747" s="43" t="str">
        <f>IFERROR(__xludf.DUMMYFUNCTION("""COMPUTED_VALUE"""),"No")</f>
        <v>No</v>
      </c>
      <c r="E747" s="43" t="str">
        <f>IFERROR(__xludf.DUMMYFUNCTION("""COMPUTED_VALUE"""),"p_ebfb49452563c36a72f98184f10e15fdfb52c5c6@inbound.aiesec.org")</f>
        <v>p_ebfb49452563c36a72f98184f10e15fdfb52c5c6@inbound.aiesec.org</v>
      </c>
      <c r="F747" s="43"/>
      <c r="G747" s="43" t="str">
        <f>IFERROR(__xludf.DUMMYFUNCTION("""COMPUTED_VALUE"""),"Serbia")</f>
        <v>Serbia</v>
      </c>
      <c r="H747" s="43" t="str">
        <f>IFERROR(__xludf.DUMMYFUNCTION("""COMPUTED_VALUE"""),"BELGRADE FON")</f>
        <v>BELGRADE FON</v>
      </c>
      <c r="I747" s="43" t="str">
        <f>IFERROR(__xludf.DUMMYFUNCTION("""COMPUTED_VALUE"""),"Turkey")</f>
        <v>Turkey</v>
      </c>
      <c r="J747" s="43" t="str">
        <f>IFERROR(__xludf.DUMMYFUNCTION("""COMPUTED_VALUE"""),"İZMİR")</f>
        <v>İZMİR</v>
      </c>
      <c r="K747" s="44" t="str">
        <f>IFERROR(__xludf.DUMMYFUNCTION("""COMPUTED_VALUE"""),"https://expa.aiesec.org/opportunities/1294254")</f>
        <v>https://expa.aiesec.org/opportunities/1294254</v>
      </c>
      <c r="L747" s="43" t="str">
        <f>IFERROR(__xludf.DUMMYFUNCTION("""COMPUTED_VALUE"""),"GV")</f>
        <v>GV</v>
      </c>
      <c r="M747" s="43" t="str">
        <f>IFERROR(__xludf.DUMMYFUNCTION("""COMPUTED_VALUE"""),"short")</f>
        <v>short</v>
      </c>
      <c r="N747" s="45">
        <f>IFERROR(__xludf.DUMMYFUNCTION("""COMPUTED_VALUE"""),45041.0)</f>
        <v>45041</v>
      </c>
      <c r="O747" s="45">
        <f>IFERROR(__xludf.DUMMYFUNCTION("""COMPUTED_VALUE"""),45145.0)</f>
        <v>45145</v>
      </c>
      <c r="P747" s="45">
        <f>IFERROR(__xludf.DUMMYFUNCTION("""COMPUTED_VALUE"""),45187.0)</f>
        <v>45187</v>
      </c>
      <c r="Q747" s="45"/>
      <c r="R747" s="45"/>
      <c r="S747" s="43"/>
      <c r="T747" s="43"/>
      <c r="U747" s="43" t="str">
        <f>IFERROR(__xludf.DUMMYFUNCTION("""COMPUTED_VALUE"""),"Skill Up!")</f>
        <v>Skill Up!</v>
      </c>
      <c r="V747" s="43" t="str">
        <f>IFERROR(__xludf.DUMMYFUNCTION("""COMPUTED_VALUE"""),"-")</f>
        <v>-</v>
      </c>
      <c r="W747" s="43" t="str">
        <f>IFERROR(__xludf.DUMMYFUNCTION("""COMPUTED_VALUE"""),"2023-04-21T00:08:56Z")</f>
        <v>2023-04-21T00:08:56Z</v>
      </c>
      <c r="X747" s="43"/>
      <c r="Y747" s="43"/>
      <c r="Z747" s="43"/>
    </row>
    <row r="748" hidden="1">
      <c r="A748" s="43" t="str">
        <f>IFERROR(__xludf.DUMMYFUNCTION("""COMPUTED_VALUE"""),"5231115_1293417")</f>
        <v>5231115_1293417</v>
      </c>
      <c r="B748" s="43" t="str">
        <f>IFERROR(__xludf.DUMMYFUNCTION("""COMPUTED_VALUE"""),"MÓNICA lopes")</f>
        <v>MÓNICA lopes</v>
      </c>
      <c r="C748" s="43" t="str">
        <f>IFERROR(__xludf.DUMMYFUNCTION("""COMPUTED_VALUE"""),"completed")</f>
        <v>completed</v>
      </c>
      <c r="D748" s="43" t="str">
        <f>IFERROR(__xludf.DUMMYFUNCTION("""COMPUTED_VALUE"""),"No")</f>
        <v>No</v>
      </c>
      <c r="E748" s="43" t="str">
        <f>IFERROR(__xludf.DUMMYFUNCTION("""COMPUTED_VALUE"""),"p_31bb13e2dea5661417f5263447eff9c573294b7d@inbound.aiesec.org")</f>
        <v>p_31bb13e2dea5661417f5263447eff9c573294b7d@inbound.aiesec.org</v>
      </c>
      <c r="F748" s="43">
        <f>IFERROR(__xludf.DUMMYFUNCTION("""COMPUTED_VALUE"""),9.36745393E8)</f>
        <v>936745393</v>
      </c>
      <c r="G748" s="43" t="str">
        <f>IFERROR(__xludf.DUMMYFUNCTION("""COMPUTED_VALUE"""),"Portugal")</f>
        <v>Portugal</v>
      </c>
      <c r="H748" s="43" t="str">
        <f>IFERROR(__xludf.DUMMYFUNCTION("""COMPUTED_VALUE"""),"PORTO FEP")</f>
        <v>PORTO FEP</v>
      </c>
      <c r="I748" s="43" t="str">
        <f>IFERROR(__xludf.DUMMYFUNCTION("""COMPUTED_VALUE"""),"Turkey")</f>
        <v>Turkey</v>
      </c>
      <c r="J748" s="43" t="str">
        <f>IFERROR(__xludf.DUMMYFUNCTION("""COMPUTED_VALUE"""),"ISTANBUL")</f>
        <v>ISTANBUL</v>
      </c>
      <c r="K748" s="44" t="str">
        <f>IFERROR(__xludf.DUMMYFUNCTION("""COMPUTED_VALUE"""),"https://expa.aiesec.org/opportunities/1293417")</f>
        <v>https://expa.aiesec.org/opportunities/1293417</v>
      </c>
      <c r="L748" s="43" t="str">
        <f>IFERROR(__xludf.DUMMYFUNCTION("""COMPUTED_VALUE"""),"GV")</f>
        <v>GV</v>
      </c>
      <c r="M748" s="43" t="str">
        <f>IFERROR(__xludf.DUMMYFUNCTION("""COMPUTED_VALUE"""),"short")</f>
        <v>short</v>
      </c>
      <c r="N748" s="45">
        <f>IFERROR(__xludf.DUMMYFUNCTION("""COMPUTED_VALUE"""),45041.0)</f>
        <v>45041</v>
      </c>
      <c r="O748" s="45">
        <f>IFERROR(__xludf.DUMMYFUNCTION("""COMPUTED_VALUE"""),45133.0)</f>
        <v>45133</v>
      </c>
      <c r="P748" s="45">
        <f>IFERROR(__xludf.DUMMYFUNCTION("""COMPUTED_VALUE"""),45175.0)</f>
        <v>45175</v>
      </c>
      <c r="Q748" s="45">
        <f>IFERROR(__xludf.DUMMYFUNCTION("""COMPUTED_VALUE"""),45133.0)</f>
        <v>45133</v>
      </c>
      <c r="R748" s="45">
        <f>IFERROR(__xludf.DUMMYFUNCTION("""COMPUTED_VALUE"""),45175.0)</f>
        <v>45175</v>
      </c>
      <c r="S748" s="43"/>
      <c r="T748" s="43"/>
      <c r="U748" s="43" t="str">
        <f>IFERROR(__xludf.DUMMYFUNCTION("""COMPUTED_VALUE"""),"Global Classroom")</f>
        <v>Global Classroom</v>
      </c>
      <c r="V748" s="43" t="str">
        <f>IFERROR(__xludf.DUMMYFUNCTION("""COMPUTED_VALUE"""),"Universidade Portucalense (UPT)")</f>
        <v>Universidade Portucalense (UPT)</v>
      </c>
      <c r="W748" s="43" t="str">
        <f>IFERROR(__xludf.DUMMYFUNCTION("""COMPUTED_VALUE"""),"2023-03-30T15:08:14Z")</f>
        <v>2023-03-30T15:08:14Z</v>
      </c>
      <c r="X748" s="43"/>
      <c r="Y748" s="43"/>
      <c r="Z748" s="43"/>
    </row>
    <row r="749" hidden="1">
      <c r="A749" s="43" t="str">
        <f>IFERROR(__xludf.DUMMYFUNCTION("""COMPUTED_VALUE"""),"4581841_1289597")</f>
        <v>4581841_1289597</v>
      </c>
      <c r="B749" s="43" t="str">
        <f>IFERROR(__xludf.DUMMYFUNCTION("""COMPUTED_VALUE"""),"Ibtihel Katar")</f>
        <v>Ibtihel Katar</v>
      </c>
      <c r="C749" s="43" t="str">
        <f>IFERROR(__xludf.DUMMYFUNCTION("""COMPUTED_VALUE"""),"completed")</f>
        <v>completed</v>
      </c>
      <c r="D749" s="43" t="str">
        <f>IFERROR(__xludf.DUMMYFUNCTION("""COMPUTED_VALUE"""),"No")</f>
        <v>No</v>
      </c>
      <c r="E749" s="43" t="str">
        <f>IFERROR(__xludf.DUMMYFUNCTION("""COMPUTED_VALUE"""),"p_3eb1335fc2fed4ad01dd86949ca5ced14228d29a@inbound.aiesec.org")</f>
        <v>p_3eb1335fc2fed4ad01dd86949ca5ced14228d29a@inbound.aiesec.org</v>
      </c>
      <c r="F749" s="43"/>
      <c r="G749" s="43" t="str">
        <f>IFERROR(__xludf.DUMMYFUNCTION("""COMPUTED_VALUE"""),"Tunisia")</f>
        <v>Tunisia</v>
      </c>
      <c r="H749" s="43" t="str">
        <f>IFERROR(__xludf.DUMMYFUNCTION("""COMPUTED_VALUE"""),"BARDO")</f>
        <v>BARDO</v>
      </c>
      <c r="I749" s="43" t="str">
        <f>IFERROR(__xludf.DUMMYFUNCTION("""COMPUTED_VALUE"""),"Turkey")</f>
        <v>Turkey</v>
      </c>
      <c r="J749" s="43" t="str">
        <f>IFERROR(__xludf.DUMMYFUNCTION("""COMPUTED_VALUE"""),"ISPARTA")</f>
        <v>ISPARTA</v>
      </c>
      <c r="K749" s="44" t="str">
        <f>IFERROR(__xludf.DUMMYFUNCTION("""COMPUTED_VALUE"""),"https://expa.aiesec.org/opportunities/1289597")</f>
        <v>https://expa.aiesec.org/opportunities/1289597</v>
      </c>
      <c r="L749" s="43" t="str">
        <f>IFERROR(__xludf.DUMMYFUNCTION("""COMPUTED_VALUE"""),"GV")</f>
        <v>GV</v>
      </c>
      <c r="M749" s="43" t="str">
        <f>IFERROR(__xludf.DUMMYFUNCTION("""COMPUTED_VALUE"""),"short")</f>
        <v>short</v>
      </c>
      <c r="N749" s="45">
        <f>IFERROR(__xludf.DUMMYFUNCTION("""COMPUTED_VALUE"""),45042.0)</f>
        <v>45042</v>
      </c>
      <c r="O749" s="45">
        <f>IFERROR(__xludf.DUMMYFUNCTION("""COMPUTED_VALUE"""),45082.0)</f>
        <v>45082</v>
      </c>
      <c r="P749" s="45">
        <f>IFERROR(__xludf.DUMMYFUNCTION("""COMPUTED_VALUE"""),45124.0)</f>
        <v>45124</v>
      </c>
      <c r="Q749" s="45">
        <f>IFERROR(__xludf.DUMMYFUNCTION("""COMPUTED_VALUE"""),45084.0)</f>
        <v>45084</v>
      </c>
      <c r="R749" s="45">
        <f>IFERROR(__xludf.DUMMYFUNCTION("""COMPUTED_VALUE"""),45124.0)</f>
        <v>45124</v>
      </c>
      <c r="S749" s="43"/>
      <c r="T749" s="43"/>
      <c r="U749" s="43" t="str">
        <f>IFERROR(__xludf.DUMMYFUNCTION("""COMPUTED_VALUE"""),"Global Classroom")</f>
        <v>Global Classroom</v>
      </c>
      <c r="V749" s="43" t="str">
        <f>IFERROR(__xludf.DUMMYFUNCTION("""COMPUTED_VALUE"""),"TBS")</f>
        <v>TBS</v>
      </c>
      <c r="W749" s="43" t="str">
        <f>IFERROR(__xludf.DUMMYFUNCTION("""COMPUTED_VALUE"""),"2021-03-17T14:00:22Z")</f>
        <v>2021-03-17T14:00:22Z</v>
      </c>
      <c r="X749" s="43"/>
      <c r="Y749" s="43"/>
      <c r="Z749" s="43"/>
    </row>
    <row r="750" hidden="1">
      <c r="A750" s="43" t="str">
        <f>IFERROR(__xludf.DUMMYFUNCTION("""COMPUTED_VALUE"""),"5216679_1294387")</f>
        <v>5216679_1294387</v>
      </c>
      <c r="B750" s="43" t="str">
        <f>IFERROR(__xludf.DUMMYFUNCTION("""COMPUTED_VALUE"""),"Hassan Mahmoud")</f>
        <v>Hassan Mahmoud</v>
      </c>
      <c r="C750" s="43" t="str">
        <f>IFERROR(__xludf.DUMMYFUNCTION("""COMPUTED_VALUE"""),"approved")</f>
        <v>approved</v>
      </c>
      <c r="D750" s="43" t="str">
        <f>IFERROR(__xludf.DUMMYFUNCTION("""COMPUTED_VALUE"""),"No")</f>
        <v>No</v>
      </c>
      <c r="E750" s="43" t="str">
        <f>IFERROR(__xludf.DUMMYFUNCTION("""COMPUTED_VALUE"""),"p_4d27425498e80cd3fdc4e18d503e143c97e46799@inbound.aiesec.org")</f>
        <v>p_4d27425498e80cd3fdc4e18d503e143c97e46799@inbound.aiesec.org</v>
      </c>
      <c r="F750" s="43">
        <f>IFERROR(__xludf.DUMMYFUNCTION("""COMPUTED_VALUE"""),1.228778555E9)</f>
        <v>1228778555</v>
      </c>
      <c r="G750" s="43" t="str">
        <f>IFERROR(__xludf.DUMMYFUNCTION("""COMPUTED_VALUE"""),"Egypt")</f>
        <v>Egypt</v>
      </c>
      <c r="H750" s="43" t="str">
        <f>IFERROR(__xludf.DUMMYFUNCTION("""COMPUTED_VALUE"""),"MIU")</f>
        <v>MIU</v>
      </c>
      <c r="I750" s="43" t="str">
        <f>IFERROR(__xludf.DUMMYFUNCTION("""COMPUTED_VALUE"""),"Turkey")</f>
        <v>Turkey</v>
      </c>
      <c r="J750" s="43" t="str">
        <f>IFERROR(__xludf.DUMMYFUNCTION("""COMPUTED_VALUE"""),"BURSA")</f>
        <v>BURSA</v>
      </c>
      <c r="K750" s="44" t="str">
        <f>IFERROR(__xludf.DUMMYFUNCTION("""COMPUTED_VALUE"""),"https://expa.aiesec.org/opportunities/1294387")</f>
        <v>https://expa.aiesec.org/opportunities/1294387</v>
      </c>
      <c r="L750" s="43" t="str">
        <f>IFERROR(__xludf.DUMMYFUNCTION("""COMPUTED_VALUE"""),"GV")</f>
        <v>GV</v>
      </c>
      <c r="M750" s="43" t="str">
        <f>IFERROR(__xludf.DUMMYFUNCTION("""COMPUTED_VALUE"""),"short")</f>
        <v>short</v>
      </c>
      <c r="N750" s="45">
        <f>IFERROR(__xludf.DUMMYFUNCTION("""COMPUTED_VALUE"""),45042.0)</f>
        <v>45042</v>
      </c>
      <c r="O750" s="45">
        <f>IFERROR(__xludf.DUMMYFUNCTION("""COMPUTED_VALUE"""),45110.0)</f>
        <v>45110</v>
      </c>
      <c r="P750" s="45">
        <f>IFERROR(__xludf.DUMMYFUNCTION("""COMPUTED_VALUE"""),45152.0)</f>
        <v>45152</v>
      </c>
      <c r="Q750" s="45"/>
      <c r="R750" s="45"/>
      <c r="S750" s="43"/>
      <c r="T750" s="43"/>
      <c r="U750" s="43" t="str">
        <f>IFERROR(__xludf.DUMMYFUNCTION("""COMPUTED_VALUE"""),"Youth 4 Impact")</f>
        <v>Youth 4 Impact</v>
      </c>
      <c r="V750" s="43" t="str">
        <f>IFERROR(__xludf.DUMMYFUNCTION("""COMPUTED_VALUE"""),"MIU University")</f>
        <v>MIU University</v>
      </c>
      <c r="W750" s="43" t="str">
        <f>IFERROR(__xludf.DUMMYFUNCTION("""COMPUTED_VALUE"""),"2023-03-15T06:25:31Z")</f>
        <v>2023-03-15T06:25:31Z</v>
      </c>
      <c r="X750" s="43"/>
      <c r="Y750" s="43"/>
      <c r="Z750" s="43"/>
    </row>
    <row r="751" hidden="1">
      <c r="A751" s="43" t="str">
        <f>IFERROR(__xludf.DUMMYFUNCTION("""COMPUTED_VALUE"""),"5249450_1289596")</f>
        <v>5249450_1289596</v>
      </c>
      <c r="B751" s="43" t="str">
        <f>IFERROR(__xludf.DUMMYFUNCTION("""COMPUTED_VALUE"""),"Nourhan Marey")</f>
        <v>Nourhan Marey</v>
      </c>
      <c r="C751" s="43" t="str">
        <f>IFERROR(__xludf.DUMMYFUNCTION("""COMPUTED_VALUE"""),"approved")</f>
        <v>approved</v>
      </c>
      <c r="D751" s="43" t="str">
        <f>IFERROR(__xludf.DUMMYFUNCTION("""COMPUTED_VALUE"""),"No")</f>
        <v>No</v>
      </c>
      <c r="E751" s="43" t="str">
        <f>IFERROR(__xludf.DUMMYFUNCTION("""COMPUTED_VALUE"""),"p_b5e99cffc98842bca338d857d24121f4e6220dba@inbound.aiesec.org")</f>
        <v>p_b5e99cffc98842bca338d857d24121f4e6220dba@inbound.aiesec.org</v>
      </c>
      <c r="F751" s="43"/>
      <c r="G751" s="43" t="str">
        <f>IFERROR(__xludf.DUMMYFUNCTION("""COMPUTED_VALUE"""),"Egypt")</f>
        <v>Egypt</v>
      </c>
      <c r="H751" s="43" t="str">
        <f>IFERROR(__xludf.DUMMYFUNCTION("""COMPUTED_VALUE"""),"Ain Shams University")</f>
        <v>Ain Shams University</v>
      </c>
      <c r="I751" s="43" t="str">
        <f>IFERROR(__xludf.DUMMYFUNCTION("""COMPUTED_VALUE"""),"Turkey")</f>
        <v>Turkey</v>
      </c>
      <c r="J751" s="43" t="str">
        <f>IFERROR(__xludf.DUMMYFUNCTION("""COMPUTED_VALUE"""),"ISPARTA")</f>
        <v>ISPARTA</v>
      </c>
      <c r="K751" s="44" t="str">
        <f>IFERROR(__xludf.DUMMYFUNCTION("""COMPUTED_VALUE"""),"https://expa.aiesec.org/opportunities/1289596")</f>
        <v>https://expa.aiesec.org/opportunities/1289596</v>
      </c>
      <c r="L751" s="43" t="str">
        <f>IFERROR(__xludf.DUMMYFUNCTION("""COMPUTED_VALUE"""),"GV")</f>
        <v>GV</v>
      </c>
      <c r="M751" s="43" t="str">
        <f>IFERROR(__xludf.DUMMYFUNCTION("""COMPUTED_VALUE"""),"short")</f>
        <v>short</v>
      </c>
      <c r="N751" s="45">
        <f>IFERROR(__xludf.DUMMYFUNCTION("""COMPUTED_VALUE"""),45042.0)</f>
        <v>45042</v>
      </c>
      <c r="O751" s="45">
        <f>IFERROR(__xludf.DUMMYFUNCTION("""COMPUTED_VALUE"""),45425.0)</f>
        <v>45425</v>
      </c>
      <c r="P751" s="45">
        <f>IFERROR(__xludf.DUMMYFUNCTION("""COMPUTED_VALUE"""),45467.0)</f>
        <v>45467</v>
      </c>
      <c r="Q751" s="45"/>
      <c r="R751" s="45"/>
      <c r="S751" s="43"/>
      <c r="T751" s="43"/>
      <c r="U751" s="43" t="str">
        <f>IFERROR(__xludf.DUMMYFUNCTION("""COMPUTED_VALUE"""),"Global Classroom")</f>
        <v>Global Classroom</v>
      </c>
      <c r="V751" s="43" t="str">
        <f>IFERROR(__xludf.DUMMYFUNCTION("""COMPUTED_VALUE"""),"Ain Shams University")</f>
        <v>Ain Shams University</v>
      </c>
      <c r="W751" s="43" t="str">
        <f>IFERROR(__xludf.DUMMYFUNCTION("""COMPUTED_VALUE"""),"2023-04-25T21:56:07Z")</f>
        <v>2023-04-25T21:56:07Z</v>
      </c>
      <c r="X751" s="43"/>
      <c r="Y751" s="43"/>
      <c r="Z751" s="43"/>
    </row>
    <row r="752" hidden="1">
      <c r="A752" s="43" t="str">
        <f>IFERROR(__xludf.DUMMYFUNCTION("""COMPUTED_VALUE"""),"5113710_1291144")</f>
        <v>5113710_1291144</v>
      </c>
      <c r="B752" s="43" t="str">
        <f>IFERROR(__xludf.DUMMYFUNCTION("""COMPUTED_VALUE"""),"mustafa elhadad")</f>
        <v>mustafa elhadad</v>
      </c>
      <c r="C752" s="43" t="str">
        <f>IFERROR(__xludf.DUMMYFUNCTION("""COMPUTED_VALUE"""),"approved")</f>
        <v>approved</v>
      </c>
      <c r="D752" s="43" t="str">
        <f>IFERROR(__xludf.DUMMYFUNCTION("""COMPUTED_VALUE"""),"No")</f>
        <v>No</v>
      </c>
      <c r="E752" s="43" t="str">
        <f>IFERROR(__xludf.DUMMYFUNCTION("""COMPUTED_VALUE"""),"p_88fa38e7ef05ae004471395a7fc1681019793b48@inbound.aiesec.org")</f>
        <v>p_88fa38e7ef05ae004471395a7fc1681019793b48@inbound.aiesec.org</v>
      </c>
      <c r="F752" s="43"/>
      <c r="G752" s="43" t="str">
        <f>IFERROR(__xludf.DUMMYFUNCTION("""COMPUTED_VALUE"""),"Egypt")</f>
        <v>Egypt</v>
      </c>
      <c r="H752" s="43" t="str">
        <f>IFERROR(__xludf.DUMMYFUNCTION("""COMPUTED_VALUE"""),"Mansoura")</f>
        <v>Mansoura</v>
      </c>
      <c r="I752" s="43" t="str">
        <f>IFERROR(__xludf.DUMMYFUNCTION("""COMPUTED_VALUE"""),"Turkey")</f>
        <v>Turkey</v>
      </c>
      <c r="J752" s="43" t="str">
        <f>IFERROR(__xludf.DUMMYFUNCTION("""COMPUTED_VALUE"""),"ESKISEHIR")</f>
        <v>ESKISEHIR</v>
      </c>
      <c r="K752" s="44" t="str">
        <f>IFERROR(__xludf.DUMMYFUNCTION("""COMPUTED_VALUE"""),"https://expa.aiesec.org/opportunities/1291144")</f>
        <v>https://expa.aiesec.org/opportunities/1291144</v>
      </c>
      <c r="L752" s="43" t="str">
        <f>IFERROR(__xludf.DUMMYFUNCTION("""COMPUTED_VALUE"""),"GV")</f>
        <v>GV</v>
      </c>
      <c r="M752" s="43" t="str">
        <f>IFERROR(__xludf.DUMMYFUNCTION("""COMPUTED_VALUE"""),"short")</f>
        <v>short</v>
      </c>
      <c r="N752" s="45">
        <f>IFERROR(__xludf.DUMMYFUNCTION("""COMPUTED_VALUE"""),45042.0)</f>
        <v>45042</v>
      </c>
      <c r="O752" s="45">
        <f>IFERROR(__xludf.DUMMYFUNCTION("""COMPUTED_VALUE"""),45180.0)</f>
        <v>45180</v>
      </c>
      <c r="P752" s="45">
        <f>IFERROR(__xludf.DUMMYFUNCTION("""COMPUTED_VALUE"""),45222.0)</f>
        <v>45222</v>
      </c>
      <c r="Q752" s="45"/>
      <c r="R752" s="45"/>
      <c r="S752" s="43"/>
      <c r="T752" s="43"/>
      <c r="U752" s="43" t="str">
        <f>IFERROR(__xludf.DUMMYFUNCTION("""COMPUTED_VALUE"""),"Global Classroom")</f>
        <v>Global Classroom</v>
      </c>
      <c r="V752" s="43" t="str">
        <f>IFERROR(__xludf.DUMMYFUNCTION("""COMPUTED_VALUE"""),"-")</f>
        <v>-</v>
      </c>
      <c r="W752" s="43" t="str">
        <f>IFERROR(__xludf.DUMMYFUNCTION("""COMPUTED_VALUE"""),"2022-09-16T12:55:04Z")</f>
        <v>2022-09-16T12:55:04Z</v>
      </c>
      <c r="X752" s="43"/>
      <c r="Y752" s="43"/>
      <c r="Z752" s="43"/>
    </row>
    <row r="753" hidden="1">
      <c r="A753" s="43" t="str">
        <f>IFERROR(__xludf.DUMMYFUNCTION("""COMPUTED_VALUE"""),"5239593_1294061")</f>
        <v>5239593_1294061</v>
      </c>
      <c r="B753" s="43" t="str">
        <f>IFERROR(__xludf.DUMMYFUNCTION("""COMPUTED_VALUE"""),"malek jaouani")</f>
        <v>malek jaouani</v>
      </c>
      <c r="C753" s="43" t="str">
        <f>IFERROR(__xludf.DUMMYFUNCTION("""COMPUTED_VALUE"""),"completed")</f>
        <v>completed</v>
      </c>
      <c r="D753" s="43" t="str">
        <f>IFERROR(__xludf.DUMMYFUNCTION("""COMPUTED_VALUE"""),"No")</f>
        <v>No</v>
      </c>
      <c r="E753" s="43" t="str">
        <f>IFERROR(__xludf.DUMMYFUNCTION("""COMPUTED_VALUE"""),"p_6da2b593d978f10174433d019a4323515bf58cb0@inbound.aiesec.org")</f>
        <v>p_6da2b593d978f10174433d019a4323515bf58cb0@inbound.aiesec.org</v>
      </c>
      <c r="F753" s="43">
        <f>IFERROR(__xludf.DUMMYFUNCTION("""COMPUTED_VALUE"""),2.744953E7)</f>
        <v>27449530</v>
      </c>
      <c r="G753" s="43" t="str">
        <f>IFERROR(__xludf.DUMMYFUNCTION("""COMPUTED_VALUE"""),"Tunisia")</f>
        <v>Tunisia</v>
      </c>
      <c r="H753" s="43" t="str">
        <f>IFERROR(__xludf.DUMMYFUNCTION("""COMPUTED_VALUE"""),"Bizerte")</f>
        <v>Bizerte</v>
      </c>
      <c r="I753" s="43" t="str">
        <f>IFERROR(__xludf.DUMMYFUNCTION("""COMPUTED_VALUE"""),"Turkey")</f>
        <v>Turkey</v>
      </c>
      <c r="J753" s="43" t="str">
        <f>IFERROR(__xludf.DUMMYFUNCTION("""COMPUTED_VALUE"""),"KOCAELI")</f>
        <v>KOCAELI</v>
      </c>
      <c r="K753" s="44" t="str">
        <f>IFERROR(__xludf.DUMMYFUNCTION("""COMPUTED_VALUE"""),"https://expa.aiesec.org/opportunities/1294061")</f>
        <v>https://expa.aiesec.org/opportunities/1294061</v>
      </c>
      <c r="L753" s="43" t="str">
        <f>IFERROR(__xludf.DUMMYFUNCTION("""COMPUTED_VALUE"""),"GV")</f>
        <v>GV</v>
      </c>
      <c r="M753" s="43" t="str">
        <f>IFERROR(__xludf.DUMMYFUNCTION("""COMPUTED_VALUE"""),"short")</f>
        <v>short</v>
      </c>
      <c r="N753" s="45">
        <f>IFERROR(__xludf.DUMMYFUNCTION("""COMPUTED_VALUE"""),45042.0)</f>
        <v>45042</v>
      </c>
      <c r="O753" s="45">
        <f>IFERROR(__xludf.DUMMYFUNCTION("""COMPUTED_VALUE"""),45139.0)</f>
        <v>45139</v>
      </c>
      <c r="P753" s="45">
        <f>IFERROR(__xludf.DUMMYFUNCTION("""COMPUTED_VALUE"""),45181.0)</f>
        <v>45181</v>
      </c>
      <c r="Q753" s="45">
        <f>IFERROR(__xludf.DUMMYFUNCTION("""COMPUTED_VALUE"""),45139.0)</f>
        <v>45139</v>
      </c>
      <c r="R753" s="45">
        <f>IFERROR(__xludf.DUMMYFUNCTION("""COMPUTED_VALUE"""),45181.0)</f>
        <v>45181</v>
      </c>
      <c r="S753" s="43"/>
      <c r="T753" s="43"/>
      <c r="U753" s="43" t="str">
        <f>IFERROR(__xludf.DUMMYFUNCTION("""COMPUTED_VALUE"""),"Global Classroom")</f>
        <v>Global Classroom</v>
      </c>
      <c r="V753" s="43" t="str">
        <f>IFERROR(__xludf.DUMMYFUNCTION("""COMPUTED_VALUE"""),"ISET Bizerte")</f>
        <v>ISET Bizerte</v>
      </c>
      <c r="W753" s="43" t="str">
        <f>IFERROR(__xludf.DUMMYFUNCTION("""COMPUTED_VALUE"""),"2023-04-11T14:16:54Z")</f>
        <v>2023-04-11T14:16:54Z</v>
      </c>
      <c r="X753" s="43"/>
      <c r="Y753" s="43"/>
      <c r="Z753" s="43"/>
    </row>
    <row r="754">
      <c r="A754" s="43" t="str">
        <f>IFERROR(__xludf.DUMMYFUNCTION("""COMPUTED_VALUE"""),"4197301_1294103")</f>
        <v>4197301_1294103</v>
      </c>
      <c r="B754" s="43" t="str">
        <f>IFERROR(__xludf.DUMMYFUNCTION("""COMPUTED_VALUE"""),"Harshi Kesh")</f>
        <v>Harshi Kesh</v>
      </c>
      <c r="C754" s="43" t="str">
        <f>IFERROR(__xludf.DUMMYFUNCTION("""COMPUTED_VALUE"""),"approved")</f>
        <v>approved</v>
      </c>
      <c r="D754" s="43" t="str">
        <f>IFERROR(__xludf.DUMMYFUNCTION("""COMPUTED_VALUE"""),"No")</f>
        <v>No</v>
      </c>
      <c r="E754" s="43" t="str">
        <f>IFERROR(__xludf.DUMMYFUNCTION("""COMPUTED_VALUE"""),"p_cd58a40f82993710809de43f06fbc0ec7a400585@inbound.aiesec.org")</f>
        <v>p_cd58a40f82993710809de43f06fbc0ec7a400585@inbound.aiesec.org</v>
      </c>
      <c r="F754" s="43">
        <f>IFERROR(__xludf.DUMMYFUNCTION("""COMPUTED_VALUE"""),3.357707704E9)</f>
        <v>3357707704</v>
      </c>
      <c r="G754" s="43" t="str">
        <f>IFERROR(__xludf.DUMMYFUNCTION("""COMPUTED_VALUE"""),"Pakistan")</f>
        <v>Pakistan</v>
      </c>
      <c r="H754" s="43" t="str">
        <f>IFERROR(__xludf.DUMMYFUNCTION("""COMPUTED_VALUE"""),"IBA")</f>
        <v>IBA</v>
      </c>
      <c r="I754" s="43" t="str">
        <f>IFERROR(__xludf.DUMMYFUNCTION("""COMPUTED_VALUE"""),"Turkey")</f>
        <v>Turkey</v>
      </c>
      <c r="J754" s="43" t="str">
        <f>IFERROR(__xludf.DUMMYFUNCTION("""COMPUTED_VALUE"""),"İZMİR")</f>
        <v>İZMİR</v>
      </c>
      <c r="K754" s="44" t="str">
        <f>IFERROR(__xludf.DUMMYFUNCTION("""COMPUTED_VALUE"""),"https://expa.aiesec.org/opportunities/1294103")</f>
        <v>https://expa.aiesec.org/opportunities/1294103</v>
      </c>
      <c r="L754" s="43" t="str">
        <f>IFERROR(__xludf.DUMMYFUNCTION("""COMPUTED_VALUE"""),"GV")</f>
        <v>GV</v>
      </c>
      <c r="M754" s="43" t="str">
        <f>IFERROR(__xludf.DUMMYFUNCTION("""COMPUTED_VALUE"""),"short")</f>
        <v>short</v>
      </c>
      <c r="N754" s="45">
        <f>IFERROR(__xludf.DUMMYFUNCTION("""COMPUTED_VALUE"""),45042.0)</f>
        <v>45042</v>
      </c>
      <c r="O754" s="45">
        <f>IFERROR(__xludf.DUMMYFUNCTION("""COMPUTED_VALUE"""),45103.0)</f>
        <v>45103</v>
      </c>
      <c r="P754" s="45">
        <f>IFERROR(__xludf.DUMMYFUNCTION("""COMPUTED_VALUE"""),45145.0)</f>
        <v>45145</v>
      </c>
      <c r="Q754" s="45"/>
      <c r="R754" s="45"/>
      <c r="S754" s="43"/>
      <c r="T754" s="43"/>
      <c r="U754" s="43" t="str">
        <f>IFERROR(__xludf.DUMMYFUNCTION("""COMPUTED_VALUE"""),"Skill Up!")</f>
        <v>Skill Up!</v>
      </c>
      <c r="V754" s="43" t="str">
        <f>IFERROR(__xludf.DUMMYFUNCTION("""COMPUTED_VALUE"""),"Karachi - IBA")</f>
        <v>Karachi - IBA</v>
      </c>
      <c r="W754" s="43" t="str">
        <f>IFERROR(__xludf.DUMMYFUNCTION("""COMPUTED_VALUE"""),"2020-02-19T07:37:09Z")</f>
        <v>2020-02-19T07:37:09Z</v>
      </c>
      <c r="X754" s="43"/>
      <c r="Y754" s="43"/>
      <c r="Z754" s="43"/>
    </row>
    <row r="755" hidden="1">
      <c r="A755" s="43" t="str">
        <f>IFERROR(__xludf.DUMMYFUNCTION("""COMPUTED_VALUE"""),"5250565_1289100")</f>
        <v>5250565_1289100</v>
      </c>
      <c r="B755" s="43" t="str">
        <f>IFERROR(__xludf.DUMMYFUNCTION("""COMPUTED_VALUE"""),"Naycem Fenny")</f>
        <v>Naycem Fenny</v>
      </c>
      <c r="C755" s="43" t="str">
        <f>IFERROR(__xludf.DUMMYFUNCTION("""COMPUTED_VALUE"""),"approved")</f>
        <v>approved</v>
      </c>
      <c r="D755" s="43" t="str">
        <f>IFERROR(__xludf.DUMMYFUNCTION("""COMPUTED_VALUE"""),"No")</f>
        <v>No</v>
      </c>
      <c r="E755" s="43" t="str">
        <f>IFERROR(__xludf.DUMMYFUNCTION("""COMPUTED_VALUE"""),"p_107e283aa2e90b3e83f0d4fe54a5ccd0ffa591e8@inbound.aiesec.org")</f>
        <v>p_107e283aa2e90b3e83f0d4fe54a5ccd0ffa591e8@inbound.aiesec.org</v>
      </c>
      <c r="F755" s="43">
        <f>IFERROR(__xludf.DUMMYFUNCTION("""COMPUTED_VALUE"""),2.9540935E7)</f>
        <v>29540935</v>
      </c>
      <c r="G755" s="43" t="str">
        <f>IFERROR(__xludf.DUMMYFUNCTION("""COMPUTED_VALUE"""),"Tunisia")</f>
        <v>Tunisia</v>
      </c>
      <c r="H755" s="43" t="str">
        <f>IFERROR(__xludf.DUMMYFUNCTION("""COMPUTED_VALUE"""),"BARDO")</f>
        <v>BARDO</v>
      </c>
      <c r="I755" s="43" t="str">
        <f>IFERROR(__xludf.DUMMYFUNCTION("""COMPUTED_VALUE"""),"Turkey")</f>
        <v>Turkey</v>
      </c>
      <c r="J755" s="43" t="str">
        <f>IFERROR(__xludf.DUMMYFUNCTION("""COMPUTED_VALUE"""),"KOCAELI")</f>
        <v>KOCAELI</v>
      </c>
      <c r="K755" s="44" t="str">
        <f>IFERROR(__xludf.DUMMYFUNCTION("""COMPUTED_VALUE"""),"https://expa.aiesec.org/opportunities/1289100")</f>
        <v>https://expa.aiesec.org/opportunities/1289100</v>
      </c>
      <c r="L755" s="43" t="str">
        <f>IFERROR(__xludf.DUMMYFUNCTION("""COMPUTED_VALUE"""),"GV")</f>
        <v>GV</v>
      </c>
      <c r="M755" s="43" t="str">
        <f>IFERROR(__xludf.DUMMYFUNCTION("""COMPUTED_VALUE"""),"short")</f>
        <v>short</v>
      </c>
      <c r="N755" s="45">
        <f>IFERROR(__xludf.DUMMYFUNCTION("""COMPUTED_VALUE"""),45043.0)</f>
        <v>45043</v>
      </c>
      <c r="O755" s="45">
        <f>IFERROR(__xludf.DUMMYFUNCTION("""COMPUTED_VALUE"""),45152.0)</f>
        <v>45152</v>
      </c>
      <c r="P755" s="45">
        <f>IFERROR(__xludf.DUMMYFUNCTION("""COMPUTED_VALUE"""),45194.0)</f>
        <v>45194</v>
      </c>
      <c r="Q755" s="45"/>
      <c r="R755" s="45"/>
      <c r="S755" s="43"/>
      <c r="T755" s="43"/>
      <c r="U755" s="43" t="str">
        <f>IFERROR(__xludf.DUMMYFUNCTION("""COMPUTED_VALUE"""),"Global Classroom")</f>
        <v>Global Classroom</v>
      </c>
      <c r="V755" s="43" t="str">
        <f>IFERROR(__xludf.DUMMYFUNCTION("""COMPUTED_VALUE"""),"IPELSHT")</f>
        <v>IPELSHT</v>
      </c>
      <c r="W755" s="43" t="str">
        <f>IFERROR(__xludf.DUMMYFUNCTION("""COMPUTED_VALUE"""),"2023-04-27T11:00:52Z")</f>
        <v>2023-04-27T11:00:52Z</v>
      </c>
      <c r="X755" s="43"/>
      <c r="Y755" s="43"/>
      <c r="Z755" s="43"/>
    </row>
    <row r="756" hidden="1">
      <c r="A756" s="43" t="str">
        <f>IFERROR(__xludf.DUMMYFUNCTION("""COMPUTED_VALUE"""),"5250475_1289261")</f>
        <v>5250475_1289261</v>
      </c>
      <c r="B756" s="43" t="str">
        <f>IFERROR(__xludf.DUMMYFUNCTION("""COMPUTED_VALUE"""),"hassen mosbeh")</f>
        <v>hassen mosbeh</v>
      </c>
      <c r="C756" s="43" t="str">
        <f>IFERROR(__xludf.DUMMYFUNCTION("""COMPUTED_VALUE"""),"completed")</f>
        <v>completed</v>
      </c>
      <c r="D756" s="43" t="str">
        <f>IFERROR(__xludf.DUMMYFUNCTION("""COMPUTED_VALUE"""),"No")</f>
        <v>No</v>
      </c>
      <c r="E756" s="43" t="str">
        <f>IFERROR(__xludf.DUMMYFUNCTION("""COMPUTED_VALUE"""),"p_33dd21f4d1f102af07be0ae843f67c20a384afcf@inbound.aiesec.org")</f>
        <v>p_33dd21f4d1f102af07be0ae843f67c20a384afcf@inbound.aiesec.org</v>
      </c>
      <c r="F756" s="43"/>
      <c r="G756" s="43" t="str">
        <f>IFERROR(__xludf.DUMMYFUNCTION("""COMPUTED_VALUE"""),"Tunisia")</f>
        <v>Tunisia</v>
      </c>
      <c r="H756" s="43" t="str">
        <f>IFERROR(__xludf.DUMMYFUNCTION("""COMPUTED_VALUE"""),"HADRUMET")</f>
        <v>HADRUMET</v>
      </c>
      <c r="I756" s="43" t="str">
        <f>IFERROR(__xludf.DUMMYFUNCTION("""COMPUTED_VALUE"""),"Turkey")</f>
        <v>Turkey</v>
      </c>
      <c r="J756" s="43" t="str">
        <f>IFERROR(__xludf.DUMMYFUNCTION("""COMPUTED_VALUE"""),"İZMİR")</f>
        <v>İZMİR</v>
      </c>
      <c r="K756" s="44" t="str">
        <f>IFERROR(__xludf.DUMMYFUNCTION("""COMPUTED_VALUE"""),"https://expa.aiesec.org/opportunities/1289261")</f>
        <v>https://expa.aiesec.org/opportunities/1289261</v>
      </c>
      <c r="L756" s="43" t="str">
        <f>IFERROR(__xludf.DUMMYFUNCTION("""COMPUTED_VALUE"""),"GV")</f>
        <v>GV</v>
      </c>
      <c r="M756" s="43" t="str">
        <f>IFERROR(__xludf.DUMMYFUNCTION("""COMPUTED_VALUE"""),"short")</f>
        <v>short</v>
      </c>
      <c r="N756" s="45">
        <f>IFERROR(__xludf.DUMMYFUNCTION("""COMPUTED_VALUE"""),45043.0)</f>
        <v>45043</v>
      </c>
      <c r="O756" s="45">
        <f>IFERROR(__xludf.DUMMYFUNCTION("""COMPUTED_VALUE"""),45088.0)</f>
        <v>45088</v>
      </c>
      <c r="P756" s="45">
        <f>IFERROR(__xludf.DUMMYFUNCTION("""COMPUTED_VALUE"""),45130.0)</f>
        <v>45130</v>
      </c>
      <c r="Q756" s="45">
        <f>IFERROR(__xludf.DUMMYFUNCTION("""COMPUTED_VALUE"""),45089.0)</f>
        <v>45089</v>
      </c>
      <c r="R756" s="45">
        <f>IFERROR(__xludf.DUMMYFUNCTION("""COMPUTED_VALUE"""),45131.0)</f>
        <v>45131</v>
      </c>
      <c r="S756" s="43"/>
      <c r="T756" s="43"/>
      <c r="U756" s="43" t="str">
        <f>IFERROR(__xludf.DUMMYFUNCTION("""COMPUTED_VALUE"""),"Global Classroom")</f>
        <v>Global Classroom</v>
      </c>
      <c r="V756" s="43" t="str">
        <f>IFERROR(__xludf.DUMMYFUNCTION("""COMPUTED_VALUE"""),"ISG Sousse")</f>
        <v>ISG Sousse</v>
      </c>
      <c r="W756" s="43" t="str">
        <f>IFERROR(__xludf.DUMMYFUNCTION("""COMPUTED_VALUE"""),"2023-04-27T09:16:03Z")</f>
        <v>2023-04-27T09:16:03Z</v>
      </c>
      <c r="X756" s="43"/>
      <c r="Y756" s="43"/>
      <c r="Z756" s="43"/>
    </row>
    <row r="757" hidden="1">
      <c r="A757" s="43" t="str">
        <f>IFERROR(__xludf.DUMMYFUNCTION("""COMPUTED_VALUE"""),"5155165_1294387")</f>
        <v>5155165_1294387</v>
      </c>
      <c r="B757" s="43" t="str">
        <f>IFERROR(__xludf.DUMMYFUNCTION("""COMPUTED_VALUE"""),"hannah hany")</f>
        <v>hannah hany</v>
      </c>
      <c r="C757" s="43" t="str">
        <f>IFERROR(__xludf.DUMMYFUNCTION("""COMPUTED_VALUE"""),"completed")</f>
        <v>completed</v>
      </c>
      <c r="D757" s="43" t="str">
        <f>IFERROR(__xludf.DUMMYFUNCTION("""COMPUTED_VALUE"""),"No")</f>
        <v>No</v>
      </c>
      <c r="E757" s="43" t="str">
        <f>IFERROR(__xludf.DUMMYFUNCTION("""COMPUTED_VALUE"""),"p_e82a37ca90f131a156f3f042a57b072a527e45da@inbound.aiesec.org")</f>
        <v>p_e82a37ca90f131a156f3f042a57b072a527e45da@inbound.aiesec.org</v>
      </c>
      <c r="F757" s="43">
        <f>IFERROR(__xludf.DUMMYFUNCTION("""COMPUTED_VALUE"""),1.288219664E9)</f>
        <v>1288219664</v>
      </c>
      <c r="G757" s="43" t="str">
        <f>IFERROR(__xludf.DUMMYFUNCTION("""COMPUTED_VALUE"""),"Egypt")</f>
        <v>Egypt</v>
      </c>
      <c r="H757" s="43" t="str">
        <f>IFERROR(__xludf.DUMMYFUNCTION("""COMPUTED_VALUE"""),"MIU")</f>
        <v>MIU</v>
      </c>
      <c r="I757" s="43" t="str">
        <f>IFERROR(__xludf.DUMMYFUNCTION("""COMPUTED_VALUE"""),"Turkey")</f>
        <v>Turkey</v>
      </c>
      <c r="J757" s="43" t="str">
        <f>IFERROR(__xludf.DUMMYFUNCTION("""COMPUTED_VALUE"""),"BURSA")</f>
        <v>BURSA</v>
      </c>
      <c r="K757" s="44" t="str">
        <f>IFERROR(__xludf.DUMMYFUNCTION("""COMPUTED_VALUE"""),"https://expa.aiesec.org/opportunities/1294387")</f>
        <v>https://expa.aiesec.org/opportunities/1294387</v>
      </c>
      <c r="L757" s="43" t="str">
        <f>IFERROR(__xludf.DUMMYFUNCTION("""COMPUTED_VALUE"""),"GV")</f>
        <v>GV</v>
      </c>
      <c r="M757" s="43" t="str">
        <f>IFERROR(__xludf.DUMMYFUNCTION("""COMPUTED_VALUE"""),"short")</f>
        <v>short</v>
      </c>
      <c r="N757" s="45">
        <f>IFERROR(__xludf.DUMMYFUNCTION("""COMPUTED_VALUE"""),45043.0)</f>
        <v>45043</v>
      </c>
      <c r="O757" s="45">
        <f>IFERROR(__xludf.DUMMYFUNCTION("""COMPUTED_VALUE"""),45110.0)</f>
        <v>45110</v>
      </c>
      <c r="P757" s="45">
        <f>IFERROR(__xludf.DUMMYFUNCTION("""COMPUTED_VALUE"""),45152.0)</f>
        <v>45152</v>
      </c>
      <c r="Q757" s="45">
        <f>IFERROR(__xludf.DUMMYFUNCTION("""COMPUTED_VALUE"""),45112.0)</f>
        <v>45112</v>
      </c>
      <c r="R757" s="45">
        <f>IFERROR(__xludf.DUMMYFUNCTION("""COMPUTED_VALUE"""),45152.0)</f>
        <v>45152</v>
      </c>
      <c r="S757" s="43"/>
      <c r="T757" s="43"/>
      <c r="U757" s="43" t="str">
        <f>IFERROR(__xludf.DUMMYFUNCTION("""COMPUTED_VALUE"""),"Youth 4 Impact")</f>
        <v>Youth 4 Impact</v>
      </c>
      <c r="V757" s="43" t="str">
        <f>IFERROR(__xludf.DUMMYFUNCTION("""COMPUTED_VALUE"""),"MIU University")</f>
        <v>MIU University</v>
      </c>
      <c r="W757" s="43" t="str">
        <f>IFERROR(__xludf.DUMMYFUNCTION("""COMPUTED_VALUE"""),"2022-11-18T06:59:34Z")</f>
        <v>2022-11-18T06:59:34Z</v>
      </c>
      <c r="X757" s="43"/>
      <c r="Y757" s="43"/>
      <c r="Z757" s="43"/>
    </row>
    <row r="758" hidden="1">
      <c r="A758" s="43" t="str">
        <f>IFERROR(__xludf.DUMMYFUNCTION("""COMPUTED_VALUE"""),"5183974_1289261")</f>
        <v>5183974_1289261</v>
      </c>
      <c r="B758" s="43" t="str">
        <f>IFERROR(__xludf.DUMMYFUNCTION("""COMPUTED_VALUE"""),"Aydan Mikayilova")</f>
        <v>Aydan Mikayilova</v>
      </c>
      <c r="C758" s="43" t="str">
        <f>IFERROR(__xludf.DUMMYFUNCTION("""COMPUTED_VALUE"""),"completed")</f>
        <v>completed</v>
      </c>
      <c r="D758" s="43" t="str">
        <f>IFERROR(__xludf.DUMMYFUNCTION("""COMPUTED_VALUE"""),"No")</f>
        <v>No</v>
      </c>
      <c r="E758" s="43" t="str">
        <f>IFERROR(__xludf.DUMMYFUNCTION("""COMPUTED_VALUE"""),"p_d3bbbe4c68fbc82323192a63a2377da95a706397@inbound.aiesec.org")</f>
        <v>p_d3bbbe4c68fbc82323192a63a2377da95a706397@inbound.aiesec.org</v>
      </c>
      <c r="F758" s="43">
        <f>IFERROR(__xludf.DUMMYFUNCTION("""COMPUTED_VALUE"""),7.09909709E8)</f>
        <v>709909709</v>
      </c>
      <c r="G758" s="43" t="str">
        <f>IFERROR(__xludf.DUMMYFUNCTION("""COMPUTED_VALUE"""),"Azerbaijan")</f>
        <v>Azerbaijan</v>
      </c>
      <c r="H758" s="43" t="str">
        <f>IFERROR(__xludf.DUMMYFUNCTION("""COMPUTED_VALUE"""),"Baku Qafqaz")</f>
        <v>Baku Qafqaz</v>
      </c>
      <c r="I758" s="43" t="str">
        <f>IFERROR(__xludf.DUMMYFUNCTION("""COMPUTED_VALUE"""),"Turkey")</f>
        <v>Turkey</v>
      </c>
      <c r="J758" s="43" t="str">
        <f>IFERROR(__xludf.DUMMYFUNCTION("""COMPUTED_VALUE"""),"İZMİR")</f>
        <v>İZMİR</v>
      </c>
      <c r="K758" s="44" t="str">
        <f>IFERROR(__xludf.DUMMYFUNCTION("""COMPUTED_VALUE"""),"https://expa.aiesec.org/opportunities/1289261")</f>
        <v>https://expa.aiesec.org/opportunities/1289261</v>
      </c>
      <c r="L758" s="43" t="str">
        <f>IFERROR(__xludf.DUMMYFUNCTION("""COMPUTED_VALUE"""),"GV")</f>
        <v>GV</v>
      </c>
      <c r="M758" s="43" t="str">
        <f>IFERROR(__xludf.DUMMYFUNCTION("""COMPUTED_VALUE"""),"short")</f>
        <v>short</v>
      </c>
      <c r="N758" s="45">
        <f>IFERROR(__xludf.DUMMYFUNCTION("""COMPUTED_VALUE"""),45043.0)</f>
        <v>45043</v>
      </c>
      <c r="O758" s="45">
        <f>IFERROR(__xludf.DUMMYFUNCTION("""COMPUTED_VALUE"""),45130.0)</f>
        <v>45130</v>
      </c>
      <c r="P758" s="45">
        <f>IFERROR(__xludf.DUMMYFUNCTION("""COMPUTED_VALUE"""),45172.0)</f>
        <v>45172</v>
      </c>
      <c r="Q758" s="45">
        <f>IFERROR(__xludf.DUMMYFUNCTION("""COMPUTED_VALUE"""),45132.0)</f>
        <v>45132</v>
      </c>
      <c r="R758" s="45">
        <f>IFERROR(__xludf.DUMMYFUNCTION("""COMPUTED_VALUE"""),45174.0)</f>
        <v>45174</v>
      </c>
      <c r="S758" s="43"/>
      <c r="T758" s="43"/>
      <c r="U758" s="43" t="str">
        <f>IFERROR(__xludf.DUMMYFUNCTION("""COMPUTED_VALUE"""),"Global Classroom")</f>
        <v>Global Classroom</v>
      </c>
      <c r="V758" s="43" t="str">
        <f>IFERROR(__xludf.DUMMYFUNCTION("""COMPUTED_VALUE"""),"Baku State University")</f>
        <v>Baku State University</v>
      </c>
      <c r="W758" s="43" t="str">
        <f>IFERROR(__xludf.DUMMYFUNCTION("""COMPUTED_VALUE"""),"2023-02-02T10:08:43Z")</f>
        <v>2023-02-02T10:08:43Z</v>
      </c>
      <c r="X758" s="43"/>
      <c r="Y758" s="43"/>
      <c r="Z758" s="43"/>
    </row>
    <row r="759" hidden="1">
      <c r="A759" s="43" t="str">
        <f>IFERROR(__xludf.DUMMYFUNCTION("""COMPUTED_VALUE"""),"5251982_1288611")</f>
        <v>5251982_1288611</v>
      </c>
      <c r="B759" s="43" t="str">
        <f>IFERROR(__xludf.DUMMYFUNCTION("""COMPUTED_VALUE"""),"Zayneb Tebourski")</f>
        <v>Zayneb Tebourski</v>
      </c>
      <c r="C759" s="43" t="str">
        <f>IFERROR(__xludf.DUMMYFUNCTION("""COMPUTED_VALUE"""),"approved")</f>
        <v>approved</v>
      </c>
      <c r="D759" s="43" t="str">
        <f>IFERROR(__xludf.DUMMYFUNCTION("""COMPUTED_VALUE"""),"No")</f>
        <v>No</v>
      </c>
      <c r="E759" s="43" t="str">
        <f>IFERROR(__xludf.DUMMYFUNCTION("""COMPUTED_VALUE"""),"p_d2fcc61ee9a48b11bf521bc8035dcfca391f00d8@inbound.aiesec.org")</f>
        <v>p_d2fcc61ee9a48b11bf521bc8035dcfca391f00d8@inbound.aiesec.org</v>
      </c>
      <c r="F759" s="43">
        <f>IFERROR(__xludf.DUMMYFUNCTION("""COMPUTED_VALUE"""),5.4224542E7)</f>
        <v>54224542</v>
      </c>
      <c r="G759" s="43" t="str">
        <f>IFERROR(__xludf.DUMMYFUNCTION("""COMPUTED_VALUE"""),"Tunisia")</f>
        <v>Tunisia</v>
      </c>
      <c r="H759" s="43" t="str">
        <f>IFERROR(__xludf.DUMMYFUNCTION("""COMPUTED_VALUE"""),"Carthage")</f>
        <v>Carthage</v>
      </c>
      <c r="I759" s="43" t="str">
        <f>IFERROR(__xludf.DUMMYFUNCTION("""COMPUTED_VALUE"""),"Turkey")</f>
        <v>Turkey</v>
      </c>
      <c r="J759" s="43" t="str">
        <f>IFERROR(__xludf.DUMMYFUNCTION("""COMPUTED_VALUE"""),"ISTANBUL")</f>
        <v>ISTANBUL</v>
      </c>
      <c r="K759" s="44" t="str">
        <f>IFERROR(__xludf.DUMMYFUNCTION("""COMPUTED_VALUE"""),"https://expa.aiesec.org/opportunities/1288611")</f>
        <v>https://expa.aiesec.org/opportunities/1288611</v>
      </c>
      <c r="L759" s="43" t="str">
        <f>IFERROR(__xludf.DUMMYFUNCTION("""COMPUTED_VALUE"""),"GV")</f>
        <v>GV</v>
      </c>
      <c r="M759" s="43" t="str">
        <f>IFERROR(__xludf.DUMMYFUNCTION("""COMPUTED_VALUE"""),"short")</f>
        <v>short</v>
      </c>
      <c r="N759" s="45">
        <f>IFERROR(__xludf.DUMMYFUNCTION("""COMPUTED_VALUE"""),45044.0)</f>
        <v>45044</v>
      </c>
      <c r="O759" s="45">
        <f>IFERROR(__xludf.DUMMYFUNCTION("""COMPUTED_VALUE"""),45181.0)</f>
        <v>45181</v>
      </c>
      <c r="P759" s="45">
        <f>IFERROR(__xludf.DUMMYFUNCTION("""COMPUTED_VALUE"""),45223.0)</f>
        <v>45223</v>
      </c>
      <c r="Q759" s="45"/>
      <c r="R759" s="45"/>
      <c r="S759" s="43"/>
      <c r="T759" s="43"/>
      <c r="U759" s="43" t="str">
        <f>IFERROR(__xludf.DUMMYFUNCTION("""COMPUTED_VALUE"""),"Global Classroom")</f>
        <v>Global Classroom</v>
      </c>
      <c r="V759" s="43" t="str">
        <f>IFERROR(__xludf.DUMMYFUNCTION("""COMPUTED_VALUE"""),"IHEC Carthage")</f>
        <v>IHEC Carthage</v>
      </c>
      <c r="W759" s="43" t="str">
        <f>IFERROR(__xludf.DUMMYFUNCTION("""COMPUTED_VALUE"""),"2023-04-28T16:30:14Z")</f>
        <v>2023-04-28T16:30:14Z</v>
      </c>
      <c r="X759" s="43"/>
      <c r="Y759" s="43"/>
      <c r="Z759" s="43"/>
    </row>
    <row r="760" hidden="1">
      <c r="A760" s="43" t="str">
        <f>IFERROR(__xludf.DUMMYFUNCTION("""COMPUTED_VALUE"""),"5251859_1294622")</f>
        <v>5251859_1294622</v>
      </c>
      <c r="B760" s="43" t="str">
        <f>IFERROR(__xludf.DUMMYFUNCTION("""COMPUTED_VALUE"""),"abdelmajid ammar")</f>
        <v>abdelmajid ammar</v>
      </c>
      <c r="C760" s="43" t="str">
        <f>IFERROR(__xludf.DUMMYFUNCTION("""COMPUTED_VALUE"""),"completed")</f>
        <v>completed</v>
      </c>
      <c r="D760" s="43" t="str">
        <f>IFERROR(__xludf.DUMMYFUNCTION("""COMPUTED_VALUE"""),"No")</f>
        <v>No</v>
      </c>
      <c r="E760" s="43" t="str">
        <f>IFERROR(__xludf.DUMMYFUNCTION("""COMPUTED_VALUE"""),"p_beda8358c5ea4e955a8f1cac6a5d93d43f73cb30@inbound.aiesec.org")</f>
        <v>p_beda8358c5ea4e955a8f1cac6a5d93d43f73cb30@inbound.aiesec.org</v>
      </c>
      <c r="F760" s="43">
        <f>IFERROR(__xludf.DUMMYFUNCTION("""COMPUTED_VALUE"""),5.8456399E7)</f>
        <v>58456399</v>
      </c>
      <c r="G760" s="43" t="str">
        <f>IFERROR(__xludf.DUMMYFUNCTION("""COMPUTED_VALUE"""),"Tunisia")</f>
        <v>Tunisia</v>
      </c>
      <c r="H760" s="43" t="str">
        <f>IFERROR(__xludf.DUMMYFUNCTION("""COMPUTED_VALUE"""),"HADRUMET")</f>
        <v>HADRUMET</v>
      </c>
      <c r="I760" s="43" t="str">
        <f>IFERROR(__xludf.DUMMYFUNCTION("""COMPUTED_VALUE"""),"Turkey")</f>
        <v>Turkey</v>
      </c>
      <c r="J760" s="43" t="str">
        <f>IFERROR(__xludf.DUMMYFUNCTION("""COMPUTED_VALUE"""),"ADANA")</f>
        <v>ADANA</v>
      </c>
      <c r="K760" s="44" t="str">
        <f>IFERROR(__xludf.DUMMYFUNCTION("""COMPUTED_VALUE"""),"https://expa.aiesec.org/opportunities/1294622")</f>
        <v>https://expa.aiesec.org/opportunities/1294622</v>
      </c>
      <c r="L760" s="43" t="str">
        <f>IFERROR(__xludf.DUMMYFUNCTION("""COMPUTED_VALUE"""),"GV")</f>
        <v>GV</v>
      </c>
      <c r="M760" s="43" t="str">
        <f>IFERROR(__xludf.DUMMYFUNCTION("""COMPUTED_VALUE"""),"short")</f>
        <v>short</v>
      </c>
      <c r="N760" s="45">
        <f>IFERROR(__xludf.DUMMYFUNCTION("""COMPUTED_VALUE"""),45044.0)</f>
        <v>45044</v>
      </c>
      <c r="O760" s="45">
        <f>IFERROR(__xludf.DUMMYFUNCTION("""COMPUTED_VALUE"""),45083.0)</f>
        <v>45083</v>
      </c>
      <c r="P760" s="45">
        <f>IFERROR(__xludf.DUMMYFUNCTION("""COMPUTED_VALUE"""),45128.0)</f>
        <v>45128</v>
      </c>
      <c r="Q760" s="45">
        <f>IFERROR(__xludf.DUMMYFUNCTION("""COMPUTED_VALUE"""),45088.0)</f>
        <v>45088</v>
      </c>
      <c r="R760" s="45">
        <f>IFERROR(__xludf.DUMMYFUNCTION("""COMPUTED_VALUE"""),45132.0)</f>
        <v>45132</v>
      </c>
      <c r="S760" s="43"/>
      <c r="T760" s="43"/>
      <c r="U760" s="43" t="str">
        <f>IFERROR(__xludf.DUMMYFUNCTION("""COMPUTED_VALUE"""),"Equify")</f>
        <v>Equify</v>
      </c>
      <c r="V760" s="43" t="str">
        <f>IFERROR(__xludf.DUMMYFUNCTION("""COMPUTED_VALUE"""),"Polytechnique Sousse")</f>
        <v>Polytechnique Sousse</v>
      </c>
      <c r="W760" s="43" t="str">
        <f>IFERROR(__xludf.DUMMYFUNCTION("""COMPUTED_VALUE"""),"2023-04-28T14:28:50Z")</f>
        <v>2023-04-28T14:28:50Z</v>
      </c>
      <c r="X760" s="43"/>
      <c r="Y760" s="43"/>
      <c r="Z760" s="43"/>
    </row>
    <row r="761" hidden="1">
      <c r="A761" s="43" t="str">
        <f>IFERROR(__xludf.DUMMYFUNCTION("""COMPUTED_VALUE"""),"5251843_1294622")</f>
        <v>5251843_1294622</v>
      </c>
      <c r="B761" s="43" t="str">
        <f>IFERROR(__xludf.DUMMYFUNCTION("""COMPUTED_VALUE"""),"mahmoud hmila")</f>
        <v>mahmoud hmila</v>
      </c>
      <c r="C761" s="43" t="str">
        <f>IFERROR(__xludf.DUMMYFUNCTION("""COMPUTED_VALUE"""),"completed")</f>
        <v>completed</v>
      </c>
      <c r="D761" s="43" t="str">
        <f>IFERROR(__xludf.DUMMYFUNCTION("""COMPUTED_VALUE"""),"No")</f>
        <v>No</v>
      </c>
      <c r="E761" s="43" t="str">
        <f>IFERROR(__xludf.DUMMYFUNCTION("""COMPUTED_VALUE"""),"p_d143ccd7dda990ebcde650d2a032300b9109aefc@inbound.aiesec.org")</f>
        <v>p_d143ccd7dda990ebcde650d2a032300b9109aefc@inbound.aiesec.org</v>
      </c>
      <c r="F761" s="43"/>
      <c r="G761" s="43" t="str">
        <f>IFERROR(__xludf.DUMMYFUNCTION("""COMPUTED_VALUE"""),"Tunisia")</f>
        <v>Tunisia</v>
      </c>
      <c r="H761" s="43" t="str">
        <f>IFERROR(__xludf.DUMMYFUNCTION("""COMPUTED_VALUE"""),"HADRUMET")</f>
        <v>HADRUMET</v>
      </c>
      <c r="I761" s="43" t="str">
        <f>IFERROR(__xludf.DUMMYFUNCTION("""COMPUTED_VALUE"""),"Turkey")</f>
        <v>Turkey</v>
      </c>
      <c r="J761" s="43" t="str">
        <f>IFERROR(__xludf.DUMMYFUNCTION("""COMPUTED_VALUE"""),"ADANA")</f>
        <v>ADANA</v>
      </c>
      <c r="K761" s="44" t="str">
        <f>IFERROR(__xludf.DUMMYFUNCTION("""COMPUTED_VALUE"""),"https://expa.aiesec.org/opportunities/1294622")</f>
        <v>https://expa.aiesec.org/opportunities/1294622</v>
      </c>
      <c r="L761" s="43" t="str">
        <f>IFERROR(__xludf.DUMMYFUNCTION("""COMPUTED_VALUE"""),"GV")</f>
        <v>GV</v>
      </c>
      <c r="M761" s="43" t="str">
        <f>IFERROR(__xludf.DUMMYFUNCTION("""COMPUTED_VALUE"""),"short")</f>
        <v>short</v>
      </c>
      <c r="N761" s="45">
        <f>IFERROR(__xludf.DUMMYFUNCTION("""COMPUTED_VALUE"""),45044.0)</f>
        <v>45044</v>
      </c>
      <c r="O761" s="45">
        <f>IFERROR(__xludf.DUMMYFUNCTION("""COMPUTED_VALUE"""),45083.0)</f>
        <v>45083</v>
      </c>
      <c r="P761" s="45">
        <f>IFERROR(__xludf.DUMMYFUNCTION("""COMPUTED_VALUE"""),45128.0)</f>
        <v>45128</v>
      </c>
      <c r="Q761" s="45">
        <f>IFERROR(__xludf.DUMMYFUNCTION("""COMPUTED_VALUE"""),45088.0)</f>
        <v>45088</v>
      </c>
      <c r="R761" s="45">
        <f>IFERROR(__xludf.DUMMYFUNCTION("""COMPUTED_VALUE"""),45132.0)</f>
        <v>45132</v>
      </c>
      <c r="S761" s="43"/>
      <c r="T761" s="43"/>
      <c r="U761" s="43" t="str">
        <f>IFERROR(__xludf.DUMMYFUNCTION("""COMPUTED_VALUE"""),"Equify")</f>
        <v>Equify</v>
      </c>
      <c r="V761" s="43" t="str">
        <f>IFERROR(__xludf.DUMMYFUNCTION("""COMPUTED_VALUE"""),"Polytechnique Sousse")</f>
        <v>Polytechnique Sousse</v>
      </c>
      <c r="W761" s="43" t="str">
        <f>IFERROR(__xludf.DUMMYFUNCTION("""COMPUTED_VALUE"""),"2023-04-28T14:17:49Z")</f>
        <v>2023-04-28T14:17:49Z</v>
      </c>
      <c r="X761" s="43"/>
      <c r="Y761" s="43"/>
      <c r="Z761" s="43"/>
    </row>
    <row r="762" hidden="1">
      <c r="A762" s="43" t="str">
        <f>IFERROR(__xludf.DUMMYFUNCTION("""COMPUTED_VALUE"""),"5053542_1289261")</f>
        <v>5053542_1289261</v>
      </c>
      <c r="B762" s="43" t="str">
        <f>IFERROR(__xludf.DUMMYFUNCTION("""COMPUTED_VALUE"""),"Nour Yermani")</f>
        <v>Nour Yermani</v>
      </c>
      <c r="C762" s="43" t="str">
        <f>IFERROR(__xludf.DUMMYFUNCTION("""COMPUTED_VALUE"""),"finished")</f>
        <v>finished</v>
      </c>
      <c r="D762" s="43" t="str">
        <f>IFERROR(__xludf.DUMMYFUNCTION("""COMPUTED_VALUE"""),"No")</f>
        <v>No</v>
      </c>
      <c r="E762" s="43" t="str">
        <f>IFERROR(__xludf.DUMMYFUNCTION("""COMPUTED_VALUE"""),"p_770bae3dfd3c97791fb4287c5c0afe54cd736d80@inbound.aiesec.org")</f>
        <v>p_770bae3dfd3c97791fb4287c5c0afe54cd736d80@inbound.aiesec.org</v>
      </c>
      <c r="F762" s="43">
        <f>IFERROR(__xludf.DUMMYFUNCTION("""COMPUTED_VALUE"""),2.0192448E7)</f>
        <v>20192448</v>
      </c>
      <c r="G762" s="43" t="str">
        <f>IFERROR(__xludf.DUMMYFUNCTION("""COMPUTED_VALUE"""),"Tunisia")</f>
        <v>Tunisia</v>
      </c>
      <c r="H762" s="43" t="str">
        <f>IFERROR(__xludf.DUMMYFUNCTION("""COMPUTED_VALUE"""),"Carthage")</f>
        <v>Carthage</v>
      </c>
      <c r="I762" s="43" t="str">
        <f>IFERROR(__xludf.DUMMYFUNCTION("""COMPUTED_VALUE"""),"Turkey")</f>
        <v>Turkey</v>
      </c>
      <c r="J762" s="43" t="str">
        <f>IFERROR(__xludf.DUMMYFUNCTION("""COMPUTED_VALUE"""),"İZMİR")</f>
        <v>İZMİR</v>
      </c>
      <c r="K762" s="44" t="str">
        <f>IFERROR(__xludf.DUMMYFUNCTION("""COMPUTED_VALUE"""),"https://expa.aiesec.org/opportunities/1289261")</f>
        <v>https://expa.aiesec.org/opportunities/1289261</v>
      </c>
      <c r="L762" s="43" t="str">
        <f>IFERROR(__xludf.DUMMYFUNCTION("""COMPUTED_VALUE"""),"GV")</f>
        <v>GV</v>
      </c>
      <c r="M762" s="43" t="str">
        <f>IFERROR(__xludf.DUMMYFUNCTION("""COMPUTED_VALUE"""),"short")</f>
        <v>short</v>
      </c>
      <c r="N762" s="45">
        <f>IFERROR(__xludf.DUMMYFUNCTION("""COMPUTED_VALUE"""),45044.0)</f>
        <v>45044</v>
      </c>
      <c r="O762" s="45">
        <f>IFERROR(__xludf.DUMMYFUNCTION("""COMPUTED_VALUE"""),45130.0)</f>
        <v>45130</v>
      </c>
      <c r="P762" s="45">
        <f>IFERROR(__xludf.DUMMYFUNCTION("""COMPUTED_VALUE"""),45172.0)</f>
        <v>45172</v>
      </c>
      <c r="Q762" s="45">
        <f>IFERROR(__xludf.DUMMYFUNCTION("""COMPUTED_VALUE"""),45132.0)</f>
        <v>45132</v>
      </c>
      <c r="R762" s="45">
        <f>IFERROR(__xludf.DUMMYFUNCTION("""COMPUTED_VALUE"""),45174.0)</f>
        <v>45174</v>
      </c>
      <c r="S762" s="43"/>
      <c r="T762" s="43"/>
      <c r="U762" s="43" t="str">
        <f>IFERROR(__xludf.DUMMYFUNCTION("""COMPUTED_VALUE"""),"Global Classroom")</f>
        <v>Global Classroom</v>
      </c>
      <c r="V762" s="43" t="str">
        <f>IFERROR(__xludf.DUMMYFUNCTION("""COMPUTED_VALUE"""),"ENAU")</f>
        <v>ENAU</v>
      </c>
      <c r="W762" s="43" t="str">
        <f>IFERROR(__xludf.DUMMYFUNCTION("""COMPUTED_VALUE"""),"2022-05-09T12:02:33Z")</f>
        <v>2022-05-09T12:02:33Z</v>
      </c>
      <c r="X762" s="43"/>
      <c r="Y762" s="43"/>
      <c r="Z762" s="43"/>
    </row>
    <row r="763" hidden="1">
      <c r="A763" s="43" t="str">
        <f>IFERROR(__xludf.DUMMYFUNCTION("""COMPUTED_VALUE"""),"5249318_1289261")</f>
        <v>5249318_1289261</v>
      </c>
      <c r="B763" s="43" t="str">
        <f>IFERROR(__xludf.DUMMYFUNCTION("""COMPUTED_VALUE"""),"Ahmed Abdelmaged")</f>
        <v>Ahmed Abdelmaged</v>
      </c>
      <c r="C763" s="43" t="str">
        <f>IFERROR(__xludf.DUMMYFUNCTION("""COMPUTED_VALUE"""),"approved")</f>
        <v>approved</v>
      </c>
      <c r="D763" s="43" t="str">
        <f>IFERROR(__xludf.DUMMYFUNCTION("""COMPUTED_VALUE"""),"No")</f>
        <v>No</v>
      </c>
      <c r="E763" s="43" t="str">
        <f>IFERROR(__xludf.DUMMYFUNCTION("""COMPUTED_VALUE"""),"p_ab8306f4c0a7fa48309adfc5ece80d3a661676e5@inbound.aiesec.org")</f>
        <v>p_ab8306f4c0a7fa48309adfc5ece80d3a661676e5@inbound.aiesec.org</v>
      </c>
      <c r="F763" s="43">
        <f>IFERROR(__xludf.DUMMYFUNCTION("""COMPUTED_VALUE"""),1.225549053E9)</f>
        <v>1225549053</v>
      </c>
      <c r="G763" s="43" t="str">
        <f>IFERROR(__xludf.DUMMYFUNCTION("""COMPUTED_VALUE"""),"Egypt")</f>
        <v>Egypt</v>
      </c>
      <c r="H763" s="43" t="str">
        <f>IFERROR(__xludf.DUMMYFUNCTION("""COMPUTED_VALUE"""),"Suez")</f>
        <v>Suez</v>
      </c>
      <c r="I763" s="43" t="str">
        <f>IFERROR(__xludf.DUMMYFUNCTION("""COMPUTED_VALUE"""),"Turkey")</f>
        <v>Turkey</v>
      </c>
      <c r="J763" s="43" t="str">
        <f>IFERROR(__xludf.DUMMYFUNCTION("""COMPUTED_VALUE"""),"İZMİR")</f>
        <v>İZMİR</v>
      </c>
      <c r="K763" s="44" t="str">
        <f>IFERROR(__xludf.DUMMYFUNCTION("""COMPUTED_VALUE"""),"https://expa.aiesec.org/opportunities/1289261")</f>
        <v>https://expa.aiesec.org/opportunities/1289261</v>
      </c>
      <c r="L763" s="43" t="str">
        <f>IFERROR(__xludf.DUMMYFUNCTION("""COMPUTED_VALUE"""),"GV")</f>
        <v>GV</v>
      </c>
      <c r="M763" s="43" t="str">
        <f>IFERROR(__xludf.DUMMYFUNCTION("""COMPUTED_VALUE"""),"short")</f>
        <v>short</v>
      </c>
      <c r="N763" s="45">
        <f>IFERROR(__xludf.DUMMYFUNCTION("""COMPUTED_VALUE"""),45044.0)</f>
        <v>45044</v>
      </c>
      <c r="O763" s="45">
        <f>IFERROR(__xludf.DUMMYFUNCTION("""COMPUTED_VALUE"""),45172.0)</f>
        <v>45172</v>
      </c>
      <c r="P763" s="45">
        <f>IFERROR(__xludf.DUMMYFUNCTION("""COMPUTED_VALUE"""),45214.0)</f>
        <v>45214</v>
      </c>
      <c r="Q763" s="45"/>
      <c r="R763" s="45"/>
      <c r="S763" s="43"/>
      <c r="T763" s="43"/>
      <c r="U763" s="43" t="str">
        <f>IFERROR(__xludf.DUMMYFUNCTION("""COMPUTED_VALUE"""),"Global Classroom")</f>
        <v>Global Classroom</v>
      </c>
      <c r="V763" s="43" t="str">
        <f>IFERROR(__xludf.DUMMYFUNCTION("""COMPUTED_VALUE"""),"Arish University")</f>
        <v>Arish University</v>
      </c>
      <c r="W763" s="43" t="str">
        <f>IFERROR(__xludf.DUMMYFUNCTION("""COMPUTED_VALUE"""),"2023-04-25T17:48:49Z")</f>
        <v>2023-04-25T17:48:49Z</v>
      </c>
      <c r="X763" s="43"/>
      <c r="Y763" s="43"/>
      <c r="Z763" s="43"/>
    </row>
    <row r="764" hidden="1">
      <c r="A764" s="43" t="str">
        <f>IFERROR(__xludf.DUMMYFUNCTION("""COMPUTED_VALUE"""),"3834249_1288245")</f>
        <v>3834249_1288245</v>
      </c>
      <c r="B764" s="43" t="str">
        <f>IFERROR(__xludf.DUMMYFUNCTION("""COMPUTED_VALUE"""),"Islam Eltbrany")</f>
        <v>Islam Eltbrany</v>
      </c>
      <c r="C764" s="43" t="str">
        <f>IFERROR(__xludf.DUMMYFUNCTION("""COMPUTED_VALUE"""),"approved")</f>
        <v>approved</v>
      </c>
      <c r="D764" s="43" t="str">
        <f>IFERROR(__xludf.DUMMYFUNCTION("""COMPUTED_VALUE"""),"No")</f>
        <v>No</v>
      </c>
      <c r="E764" s="43" t="str">
        <f>IFERROR(__xludf.DUMMYFUNCTION("""COMPUTED_VALUE"""),"p_3cee6768a43a1d91f797876ce3ca4219f7eaf0d6@inbound.aiesec.org")</f>
        <v>p_3cee6768a43a1d91f797876ce3ca4219f7eaf0d6@inbound.aiesec.org</v>
      </c>
      <c r="F764" s="43">
        <f>IFERROR(__xludf.DUMMYFUNCTION("""COMPUTED_VALUE"""),1.01972715E9)</f>
        <v>1019727150</v>
      </c>
      <c r="G764" s="43" t="str">
        <f>IFERROR(__xludf.DUMMYFUNCTION("""COMPUTED_VALUE"""),"Egypt")</f>
        <v>Egypt</v>
      </c>
      <c r="H764" s="43" t="str">
        <f>IFERROR(__xludf.DUMMYFUNCTION("""COMPUTED_VALUE"""),"Suez")</f>
        <v>Suez</v>
      </c>
      <c r="I764" s="43" t="str">
        <f>IFERROR(__xludf.DUMMYFUNCTION("""COMPUTED_VALUE"""),"Turkey")</f>
        <v>Turkey</v>
      </c>
      <c r="J764" s="43" t="str">
        <f>IFERROR(__xludf.DUMMYFUNCTION("""COMPUTED_VALUE"""),"İZMİR")</f>
        <v>İZMİR</v>
      </c>
      <c r="K764" s="44" t="str">
        <f>IFERROR(__xludf.DUMMYFUNCTION("""COMPUTED_VALUE"""),"https://expa.aiesec.org/opportunities/1288245")</f>
        <v>https://expa.aiesec.org/opportunities/1288245</v>
      </c>
      <c r="L764" s="43" t="str">
        <f>IFERROR(__xludf.DUMMYFUNCTION("""COMPUTED_VALUE"""),"GV")</f>
        <v>GV</v>
      </c>
      <c r="M764" s="43" t="str">
        <f>IFERROR(__xludf.DUMMYFUNCTION("""COMPUTED_VALUE"""),"short")</f>
        <v>short</v>
      </c>
      <c r="N764" s="45">
        <f>IFERROR(__xludf.DUMMYFUNCTION("""COMPUTED_VALUE"""),45044.0)</f>
        <v>45044</v>
      </c>
      <c r="O764" s="45">
        <f>IFERROR(__xludf.DUMMYFUNCTION("""COMPUTED_VALUE"""),45173.0)</f>
        <v>45173</v>
      </c>
      <c r="P764" s="45">
        <f>IFERROR(__xludf.DUMMYFUNCTION("""COMPUTED_VALUE"""),45215.0)</f>
        <v>45215</v>
      </c>
      <c r="Q764" s="45"/>
      <c r="R764" s="45"/>
      <c r="S764" s="43"/>
      <c r="T764" s="43"/>
      <c r="U764" s="43" t="str">
        <f>IFERROR(__xludf.DUMMYFUNCTION("""COMPUTED_VALUE"""),"Global Classroom")</f>
        <v>Global Classroom</v>
      </c>
      <c r="V764" s="43" t="str">
        <f>IFERROR(__xludf.DUMMYFUNCTION("""COMPUTED_VALUE"""),"-")</f>
        <v>-</v>
      </c>
      <c r="W764" s="43" t="str">
        <f>IFERROR(__xludf.DUMMYFUNCTION("""COMPUTED_VALUE"""),"2019-09-16T15:30:11Z")</f>
        <v>2019-09-16T15:30:11Z</v>
      </c>
      <c r="X764" s="43"/>
      <c r="Y764" s="43"/>
      <c r="Z764" s="43"/>
    </row>
    <row r="765" hidden="1">
      <c r="A765" s="43" t="str">
        <f>IFERROR(__xludf.DUMMYFUNCTION("""COMPUTED_VALUE"""),"5249809_1288490")</f>
        <v>5249809_1288490</v>
      </c>
      <c r="B765" s="43" t="str">
        <f>IFERROR(__xludf.DUMMYFUNCTION("""COMPUTED_VALUE"""),"Abbas Jihad")</f>
        <v>Abbas Jihad</v>
      </c>
      <c r="C765" s="43" t="str">
        <f>IFERROR(__xludf.DUMMYFUNCTION("""COMPUTED_VALUE"""),"approved")</f>
        <v>approved</v>
      </c>
      <c r="D765" s="43" t="str">
        <f>IFERROR(__xludf.DUMMYFUNCTION("""COMPUTED_VALUE"""),"No")</f>
        <v>No</v>
      </c>
      <c r="E765" s="43" t="str">
        <f>IFERROR(__xludf.DUMMYFUNCTION("""COMPUTED_VALUE"""),"p_bcde92971a9b7212ce966c10fe5b4872389ed3fb@inbound.aiesec.org")</f>
        <v>p_bcde92971a9b7212ce966c10fe5b4872389ed3fb@inbound.aiesec.org</v>
      </c>
      <c r="F765" s="43">
        <f>IFERROR(__xludf.DUMMYFUNCTION("""COMPUTED_VALUE"""),6.74654931E8)</f>
        <v>674654931</v>
      </c>
      <c r="G765" s="43" t="str">
        <f>IFERROR(__xludf.DUMMYFUNCTION("""COMPUTED_VALUE"""),"Algeria")</f>
        <v>Algeria</v>
      </c>
      <c r="H765" s="43" t="str">
        <f>IFERROR(__xludf.DUMMYFUNCTION("""COMPUTED_VALUE"""),"Blida")</f>
        <v>Blida</v>
      </c>
      <c r="I765" s="43" t="str">
        <f>IFERROR(__xludf.DUMMYFUNCTION("""COMPUTED_VALUE"""),"Turkey")</f>
        <v>Turkey</v>
      </c>
      <c r="J765" s="43" t="str">
        <f>IFERROR(__xludf.DUMMYFUNCTION("""COMPUTED_VALUE"""),"ISPARTA")</f>
        <v>ISPARTA</v>
      </c>
      <c r="K765" s="44" t="str">
        <f>IFERROR(__xludf.DUMMYFUNCTION("""COMPUTED_VALUE"""),"https://expa.aiesec.org/opportunities/1288490")</f>
        <v>https://expa.aiesec.org/opportunities/1288490</v>
      </c>
      <c r="L765" s="43" t="str">
        <f>IFERROR(__xludf.DUMMYFUNCTION("""COMPUTED_VALUE"""),"GV")</f>
        <v>GV</v>
      </c>
      <c r="M765" s="43" t="str">
        <f>IFERROR(__xludf.DUMMYFUNCTION("""COMPUTED_VALUE"""),"short")</f>
        <v>short</v>
      </c>
      <c r="N765" s="45">
        <f>IFERROR(__xludf.DUMMYFUNCTION("""COMPUTED_VALUE"""),45044.0)</f>
        <v>45044</v>
      </c>
      <c r="O765" s="45">
        <f>IFERROR(__xludf.DUMMYFUNCTION("""COMPUTED_VALUE"""),45215.0)</f>
        <v>45215</v>
      </c>
      <c r="P765" s="45">
        <f>IFERROR(__xludf.DUMMYFUNCTION("""COMPUTED_VALUE"""),45257.0)</f>
        <v>45257</v>
      </c>
      <c r="Q765" s="45"/>
      <c r="R765" s="45"/>
      <c r="S765" s="43"/>
      <c r="T765" s="43"/>
      <c r="U765" s="43" t="str">
        <f>IFERROR(__xludf.DUMMYFUNCTION("""COMPUTED_VALUE"""),"Global Classroom")</f>
        <v>Global Classroom</v>
      </c>
      <c r="V765" s="43" t="str">
        <f>IFERROR(__xludf.DUMMYFUNCTION("""COMPUTED_VALUE"""),"AIESEC in Blida")</f>
        <v>AIESEC in Blida</v>
      </c>
      <c r="W765" s="43" t="str">
        <f>IFERROR(__xludf.DUMMYFUNCTION("""COMPUTED_VALUE"""),"2023-04-26T11:48:58Z")</f>
        <v>2023-04-26T11:48:58Z</v>
      </c>
      <c r="X765" s="43"/>
      <c r="Y765" s="43"/>
      <c r="Z765" s="43"/>
    </row>
    <row r="766" hidden="1">
      <c r="A766" s="43" t="str">
        <f>IFERROR(__xludf.DUMMYFUNCTION("""COMPUTED_VALUE"""),"5249416_1286326")</f>
        <v>5249416_1286326</v>
      </c>
      <c r="B766" s="43" t="str">
        <f>IFERROR(__xludf.DUMMYFUNCTION("""COMPUTED_VALUE"""),"Fatma Jafarli")</f>
        <v>Fatma Jafarli</v>
      </c>
      <c r="C766" s="43" t="str">
        <f>IFERROR(__xludf.DUMMYFUNCTION("""COMPUTED_VALUE"""),"approved")</f>
        <v>approved</v>
      </c>
      <c r="D766" s="43" t="str">
        <f>IFERROR(__xludf.DUMMYFUNCTION("""COMPUTED_VALUE"""),"No")</f>
        <v>No</v>
      </c>
      <c r="E766" s="43" t="str">
        <f>IFERROR(__xludf.DUMMYFUNCTION("""COMPUTED_VALUE"""),"p_73a6d55117c778bcedaa2918040080aca7c072db@inbound.aiesec.org")</f>
        <v>p_73a6d55117c778bcedaa2918040080aca7c072db@inbound.aiesec.org</v>
      </c>
      <c r="F766" s="43">
        <f>IFERROR(__xludf.DUMMYFUNCTION("""COMPUTED_VALUE"""),5.5246194E8)</f>
        <v>552461940</v>
      </c>
      <c r="G766" s="43" t="str">
        <f>IFERROR(__xludf.DUMMYFUNCTION("""COMPUTED_VALUE"""),"Azerbaijan")</f>
        <v>Azerbaijan</v>
      </c>
      <c r="H766" s="43" t="str">
        <f>IFERROR(__xludf.DUMMYFUNCTION("""COMPUTED_VALUE"""),"Baku ADA")</f>
        <v>Baku ADA</v>
      </c>
      <c r="I766" s="43" t="str">
        <f>IFERROR(__xludf.DUMMYFUNCTION("""COMPUTED_VALUE"""),"Turkey")</f>
        <v>Turkey</v>
      </c>
      <c r="J766" s="43" t="str">
        <f>IFERROR(__xludf.DUMMYFUNCTION("""COMPUTED_VALUE"""),"ADANA")</f>
        <v>ADANA</v>
      </c>
      <c r="K766" s="44" t="str">
        <f>IFERROR(__xludf.DUMMYFUNCTION("""COMPUTED_VALUE"""),"https://expa.aiesec.org/opportunities/1286326")</f>
        <v>https://expa.aiesec.org/opportunities/1286326</v>
      </c>
      <c r="L766" s="43" t="str">
        <f>IFERROR(__xludf.DUMMYFUNCTION("""COMPUTED_VALUE"""),"GV")</f>
        <v>GV</v>
      </c>
      <c r="M766" s="43" t="str">
        <f>IFERROR(__xludf.DUMMYFUNCTION("""COMPUTED_VALUE"""),"short")</f>
        <v>short</v>
      </c>
      <c r="N766" s="45">
        <f>IFERROR(__xludf.DUMMYFUNCTION("""COMPUTED_VALUE"""),45044.0)</f>
        <v>45044</v>
      </c>
      <c r="O766" s="45">
        <f>IFERROR(__xludf.DUMMYFUNCTION("""COMPUTED_VALUE"""),45145.0)</f>
        <v>45145</v>
      </c>
      <c r="P766" s="45">
        <f>IFERROR(__xludf.DUMMYFUNCTION("""COMPUTED_VALUE"""),45191.0)</f>
        <v>45191</v>
      </c>
      <c r="Q766" s="45"/>
      <c r="R766" s="45"/>
      <c r="S766" s="43"/>
      <c r="T766" s="43"/>
      <c r="U766" s="43" t="str">
        <f>IFERROR(__xludf.DUMMYFUNCTION("""COMPUTED_VALUE"""),"Equify")</f>
        <v>Equify</v>
      </c>
      <c r="V766" s="43" t="str">
        <f>IFERROR(__xludf.DUMMYFUNCTION("""COMPUTED_VALUE"""),"Azerbaijan State Pedagogical University")</f>
        <v>Azerbaijan State Pedagogical University</v>
      </c>
      <c r="W766" s="43" t="str">
        <f>IFERROR(__xludf.DUMMYFUNCTION("""COMPUTED_VALUE"""),"2023-04-25T20:54:11Z")</f>
        <v>2023-04-25T20:54:11Z</v>
      </c>
      <c r="X766" s="43"/>
      <c r="Y766" s="43"/>
      <c r="Z766" s="43"/>
    </row>
    <row r="767" hidden="1">
      <c r="A767" s="43" t="str">
        <f>IFERROR(__xludf.DUMMYFUNCTION("""COMPUTED_VALUE"""),"3858706_1288490")</f>
        <v>3858706_1288490</v>
      </c>
      <c r="B767" s="43" t="str">
        <f>IFERROR(__xludf.DUMMYFUNCTION("""COMPUTED_VALUE"""),"walid beshare")</f>
        <v>walid beshare</v>
      </c>
      <c r="C767" s="43" t="str">
        <f>IFERROR(__xludf.DUMMYFUNCTION("""COMPUTED_VALUE"""),"approved")</f>
        <v>approved</v>
      </c>
      <c r="D767" s="43" t="str">
        <f>IFERROR(__xludf.DUMMYFUNCTION("""COMPUTED_VALUE"""),"No")</f>
        <v>No</v>
      </c>
      <c r="E767" s="43" t="str">
        <f>IFERROR(__xludf.DUMMYFUNCTION("""COMPUTED_VALUE"""),"p_a8805dcef3ece070443ca297532a071b08e68778@inbound.aiesec.org")</f>
        <v>p_a8805dcef3ece070443ca297532a071b08e68778@inbound.aiesec.org</v>
      </c>
      <c r="F767" s="43">
        <f>IFERROR(__xludf.DUMMYFUNCTION("""COMPUTED_VALUE"""),1.007229518E9)</f>
        <v>1007229518</v>
      </c>
      <c r="G767" s="43" t="str">
        <f>IFERROR(__xludf.DUMMYFUNCTION("""COMPUTED_VALUE"""),"Egypt")</f>
        <v>Egypt</v>
      </c>
      <c r="H767" s="43" t="str">
        <f>IFERROR(__xludf.DUMMYFUNCTION("""COMPUTED_VALUE"""),"Ain Shams University")</f>
        <v>Ain Shams University</v>
      </c>
      <c r="I767" s="43" t="str">
        <f>IFERROR(__xludf.DUMMYFUNCTION("""COMPUTED_VALUE"""),"Turkey")</f>
        <v>Turkey</v>
      </c>
      <c r="J767" s="43" t="str">
        <f>IFERROR(__xludf.DUMMYFUNCTION("""COMPUTED_VALUE"""),"ISPARTA")</f>
        <v>ISPARTA</v>
      </c>
      <c r="K767" s="44" t="str">
        <f>IFERROR(__xludf.DUMMYFUNCTION("""COMPUTED_VALUE"""),"https://expa.aiesec.org/opportunities/1288490")</f>
        <v>https://expa.aiesec.org/opportunities/1288490</v>
      </c>
      <c r="L767" s="43" t="str">
        <f>IFERROR(__xludf.DUMMYFUNCTION("""COMPUTED_VALUE"""),"GV")</f>
        <v>GV</v>
      </c>
      <c r="M767" s="43" t="str">
        <f>IFERROR(__xludf.DUMMYFUNCTION("""COMPUTED_VALUE"""),"short")</f>
        <v>short</v>
      </c>
      <c r="N767" s="45">
        <f>IFERROR(__xludf.DUMMYFUNCTION("""COMPUTED_VALUE"""),45044.0)</f>
        <v>45044</v>
      </c>
      <c r="O767" s="45">
        <f>IFERROR(__xludf.DUMMYFUNCTION("""COMPUTED_VALUE"""),45215.0)</f>
        <v>45215</v>
      </c>
      <c r="P767" s="45">
        <f>IFERROR(__xludf.DUMMYFUNCTION("""COMPUTED_VALUE"""),45257.0)</f>
        <v>45257</v>
      </c>
      <c r="Q767" s="45"/>
      <c r="R767" s="45"/>
      <c r="S767" s="43"/>
      <c r="T767" s="43"/>
      <c r="U767" s="43" t="str">
        <f>IFERROR(__xludf.DUMMYFUNCTION("""COMPUTED_VALUE"""),"Global Classroom")</f>
        <v>Global Classroom</v>
      </c>
      <c r="V767" s="43" t="str">
        <f>IFERROR(__xludf.DUMMYFUNCTION("""COMPUTED_VALUE"""),"-")</f>
        <v>-</v>
      </c>
      <c r="W767" s="43" t="str">
        <f>IFERROR(__xludf.DUMMYFUNCTION("""COMPUTED_VALUE"""),"2019-09-27T15:56:44Z")</f>
        <v>2019-09-27T15:56:44Z</v>
      </c>
      <c r="X767" s="43"/>
      <c r="Y767" s="43"/>
      <c r="Z767" s="43"/>
    </row>
    <row r="768" hidden="1">
      <c r="A768" s="43" t="str">
        <f>IFERROR(__xludf.DUMMYFUNCTION("""COMPUTED_VALUE"""),"3947173_1288490")</f>
        <v>3947173_1288490</v>
      </c>
      <c r="B768" s="43" t="str">
        <f>IFERROR(__xludf.DUMMYFUNCTION("""COMPUTED_VALUE"""),"chahrazed Abbas")</f>
        <v>chahrazed Abbas</v>
      </c>
      <c r="C768" s="43" t="str">
        <f>IFERROR(__xludf.DUMMYFUNCTION("""COMPUTED_VALUE"""),"approved")</f>
        <v>approved</v>
      </c>
      <c r="D768" s="43" t="str">
        <f>IFERROR(__xludf.DUMMYFUNCTION("""COMPUTED_VALUE"""),"No")</f>
        <v>No</v>
      </c>
      <c r="E768" s="43" t="str">
        <f>IFERROR(__xludf.DUMMYFUNCTION("""COMPUTED_VALUE"""),"p_76e88b50ea7cf49634f862d2b7d08030a74c5918@inbound.aiesec.org")</f>
        <v>p_76e88b50ea7cf49634f862d2b7d08030a74c5918@inbound.aiesec.org</v>
      </c>
      <c r="F768" s="43">
        <f>IFERROR(__xludf.DUMMYFUNCTION("""COMPUTED_VALUE"""),6.58923317E8)</f>
        <v>658923317</v>
      </c>
      <c r="G768" s="43" t="str">
        <f>IFERROR(__xludf.DUMMYFUNCTION("""COMPUTED_VALUE"""),"Algeria")</f>
        <v>Algeria</v>
      </c>
      <c r="H768" s="43" t="str">
        <f>IFERROR(__xludf.DUMMYFUNCTION("""COMPUTED_VALUE"""),"Blida")</f>
        <v>Blida</v>
      </c>
      <c r="I768" s="43" t="str">
        <f>IFERROR(__xludf.DUMMYFUNCTION("""COMPUTED_VALUE"""),"Turkey")</f>
        <v>Turkey</v>
      </c>
      <c r="J768" s="43" t="str">
        <f>IFERROR(__xludf.DUMMYFUNCTION("""COMPUTED_VALUE"""),"ISPARTA")</f>
        <v>ISPARTA</v>
      </c>
      <c r="K768" s="44" t="str">
        <f>IFERROR(__xludf.DUMMYFUNCTION("""COMPUTED_VALUE"""),"https://expa.aiesec.org/opportunities/1288490")</f>
        <v>https://expa.aiesec.org/opportunities/1288490</v>
      </c>
      <c r="L768" s="43" t="str">
        <f>IFERROR(__xludf.DUMMYFUNCTION("""COMPUTED_VALUE"""),"GV")</f>
        <v>GV</v>
      </c>
      <c r="M768" s="43" t="str">
        <f>IFERROR(__xludf.DUMMYFUNCTION("""COMPUTED_VALUE"""),"short")</f>
        <v>short</v>
      </c>
      <c r="N768" s="45">
        <f>IFERROR(__xludf.DUMMYFUNCTION("""COMPUTED_VALUE"""),45044.0)</f>
        <v>45044</v>
      </c>
      <c r="O768" s="45">
        <f>IFERROR(__xludf.DUMMYFUNCTION("""COMPUTED_VALUE"""),45215.0)</f>
        <v>45215</v>
      </c>
      <c r="P768" s="45">
        <f>IFERROR(__xludf.DUMMYFUNCTION("""COMPUTED_VALUE"""),45257.0)</f>
        <v>45257</v>
      </c>
      <c r="Q768" s="45"/>
      <c r="R768" s="45"/>
      <c r="S768" s="43"/>
      <c r="T768" s="43"/>
      <c r="U768" s="43" t="str">
        <f>IFERROR(__xludf.DUMMYFUNCTION("""COMPUTED_VALUE"""),"Global Classroom")</f>
        <v>Global Classroom</v>
      </c>
      <c r="V768" s="43" t="str">
        <f>IFERROR(__xludf.DUMMYFUNCTION("""COMPUTED_VALUE"""),"-")</f>
        <v>-</v>
      </c>
      <c r="W768" s="43" t="str">
        <f>IFERROR(__xludf.DUMMYFUNCTION("""COMPUTED_VALUE"""),"2019-11-03T13:52:25Z")</f>
        <v>2019-11-03T13:52:25Z</v>
      </c>
      <c r="X768" s="43"/>
      <c r="Y768" s="43"/>
      <c r="Z768" s="43"/>
    </row>
    <row r="769" hidden="1">
      <c r="A769" s="43" t="str">
        <f>IFERROR(__xludf.DUMMYFUNCTION("""COMPUTED_VALUE"""),"5248496_1294061")</f>
        <v>5248496_1294061</v>
      </c>
      <c r="B769" s="43" t="str">
        <f>IFERROR(__xludf.DUMMYFUNCTION("""COMPUTED_VALUE"""),"Giulia Tarantini")</f>
        <v>Giulia Tarantini</v>
      </c>
      <c r="C769" s="43" t="str">
        <f>IFERROR(__xludf.DUMMYFUNCTION("""COMPUTED_VALUE"""),"finished")</f>
        <v>finished</v>
      </c>
      <c r="D769" s="43" t="str">
        <f>IFERROR(__xludf.DUMMYFUNCTION("""COMPUTED_VALUE"""),"No")</f>
        <v>No</v>
      </c>
      <c r="E769" s="43" t="str">
        <f>IFERROR(__xludf.DUMMYFUNCTION("""COMPUTED_VALUE"""),"p_43bba59ab38a1e449c768cc596a6f350310df736@inbound.aiesec.org")</f>
        <v>p_43bba59ab38a1e449c768cc596a6f350310df736@inbound.aiesec.org</v>
      </c>
      <c r="F769" s="43"/>
      <c r="G769" s="43" t="str">
        <f>IFERROR(__xludf.DUMMYFUNCTION("""COMPUTED_VALUE"""),"Italy")</f>
        <v>Italy</v>
      </c>
      <c r="H769" s="43" t="str">
        <f>IFERROR(__xludf.DUMMYFUNCTION("""COMPUTED_VALUE"""),"Milano")</f>
        <v>Milano</v>
      </c>
      <c r="I769" s="43" t="str">
        <f>IFERROR(__xludf.DUMMYFUNCTION("""COMPUTED_VALUE"""),"Turkey")</f>
        <v>Turkey</v>
      </c>
      <c r="J769" s="43" t="str">
        <f>IFERROR(__xludf.DUMMYFUNCTION("""COMPUTED_VALUE"""),"KOCAELI")</f>
        <v>KOCAELI</v>
      </c>
      <c r="K769" s="44" t="str">
        <f>IFERROR(__xludf.DUMMYFUNCTION("""COMPUTED_VALUE"""),"https://expa.aiesec.org/opportunities/1294061")</f>
        <v>https://expa.aiesec.org/opportunities/1294061</v>
      </c>
      <c r="L769" s="43" t="str">
        <f>IFERROR(__xludf.DUMMYFUNCTION("""COMPUTED_VALUE"""),"GV")</f>
        <v>GV</v>
      </c>
      <c r="M769" s="43" t="str">
        <f>IFERROR(__xludf.DUMMYFUNCTION("""COMPUTED_VALUE"""),"short")</f>
        <v>short</v>
      </c>
      <c r="N769" s="45">
        <f>IFERROR(__xludf.DUMMYFUNCTION("""COMPUTED_VALUE"""),45045.0)</f>
        <v>45045</v>
      </c>
      <c r="O769" s="45">
        <f>IFERROR(__xludf.DUMMYFUNCTION("""COMPUTED_VALUE"""),45139.0)</f>
        <v>45139</v>
      </c>
      <c r="P769" s="45">
        <f>IFERROR(__xludf.DUMMYFUNCTION("""COMPUTED_VALUE"""),45181.0)</f>
        <v>45181</v>
      </c>
      <c r="Q769" s="45">
        <f>IFERROR(__xludf.DUMMYFUNCTION("""COMPUTED_VALUE"""),45138.0)</f>
        <v>45138</v>
      </c>
      <c r="R769" s="45">
        <f>IFERROR(__xludf.DUMMYFUNCTION("""COMPUTED_VALUE"""),45181.0)</f>
        <v>45181</v>
      </c>
      <c r="S769" s="43"/>
      <c r="T769" s="43"/>
      <c r="U769" s="43" t="str">
        <f>IFERROR(__xludf.DUMMYFUNCTION("""COMPUTED_VALUE"""),"Global Classroom")</f>
        <v>Global Classroom</v>
      </c>
      <c r="V769" s="43" t="str">
        <f>IFERROR(__xludf.DUMMYFUNCTION("""COMPUTED_VALUE"""),"-")</f>
        <v>-</v>
      </c>
      <c r="W769" s="43" t="str">
        <f>IFERROR(__xludf.DUMMYFUNCTION("""COMPUTED_VALUE"""),"2023-04-24T17:46:31Z")</f>
        <v>2023-04-24T17:46:31Z</v>
      </c>
      <c r="X769" s="43"/>
      <c r="Y769" s="43"/>
      <c r="Z769" s="43"/>
    </row>
    <row r="770" hidden="1">
      <c r="A770" s="43" t="str">
        <f>IFERROR(__xludf.DUMMYFUNCTION("""COMPUTED_VALUE"""),"5226081_1294068")</f>
        <v>5226081_1294068</v>
      </c>
      <c r="B770" s="43" t="str">
        <f>IFERROR(__xludf.DUMMYFUNCTION("""COMPUTED_VALUE"""),"Dilşad İmanova")</f>
        <v>Dilşad İmanova</v>
      </c>
      <c r="C770" s="43" t="str">
        <f>IFERROR(__xludf.DUMMYFUNCTION("""COMPUTED_VALUE"""),"completed")</f>
        <v>completed</v>
      </c>
      <c r="D770" s="43" t="str">
        <f>IFERROR(__xludf.DUMMYFUNCTION("""COMPUTED_VALUE"""),"No")</f>
        <v>No</v>
      </c>
      <c r="E770" s="43" t="str">
        <f>IFERROR(__xludf.DUMMYFUNCTION("""COMPUTED_VALUE"""),"p_a27f76cf741693cd78c7d9bae905f9b09c519591@inbound.aiesec.org")</f>
        <v>p_a27f76cf741693cd78c7d9bae905f9b09c519591@inbound.aiesec.org</v>
      </c>
      <c r="F770" s="43"/>
      <c r="G770" s="43" t="str">
        <f>IFERROR(__xludf.DUMMYFUNCTION("""COMPUTED_VALUE"""),"Azerbaijan")</f>
        <v>Azerbaijan</v>
      </c>
      <c r="H770" s="43" t="str">
        <f>IFERROR(__xludf.DUMMYFUNCTION("""COMPUTED_VALUE"""),"Baku Synergy")</f>
        <v>Baku Synergy</v>
      </c>
      <c r="I770" s="43" t="str">
        <f>IFERROR(__xludf.DUMMYFUNCTION("""COMPUTED_VALUE"""),"Turkey")</f>
        <v>Turkey</v>
      </c>
      <c r="J770" s="43" t="str">
        <f>IFERROR(__xludf.DUMMYFUNCTION("""COMPUTED_VALUE"""),"DENIZLI")</f>
        <v>DENIZLI</v>
      </c>
      <c r="K770" s="44" t="str">
        <f>IFERROR(__xludf.DUMMYFUNCTION("""COMPUTED_VALUE"""),"https://expa.aiesec.org/opportunities/1294068")</f>
        <v>https://expa.aiesec.org/opportunities/1294068</v>
      </c>
      <c r="L770" s="43" t="str">
        <f>IFERROR(__xludf.DUMMYFUNCTION("""COMPUTED_VALUE"""),"GV")</f>
        <v>GV</v>
      </c>
      <c r="M770" s="43" t="str">
        <f>IFERROR(__xludf.DUMMYFUNCTION("""COMPUTED_VALUE"""),"short")</f>
        <v>short</v>
      </c>
      <c r="N770" s="45">
        <f>IFERROR(__xludf.DUMMYFUNCTION("""COMPUTED_VALUE"""),45045.0)</f>
        <v>45045</v>
      </c>
      <c r="O770" s="45">
        <f>IFERROR(__xludf.DUMMYFUNCTION("""COMPUTED_VALUE"""),45124.0)</f>
        <v>45124</v>
      </c>
      <c r="P770" s="45">
        <f>IFERROR(__xludf.DUMMYFUNCTION("""COMPUTED_VALUE"""),45166.0)</f>
        <v>45166</v>
      </c>
      <c r="Q770" s="45">
        <f>IFERROR(__xludf.DUMMYFUNCTION("""COMPUTED_VALUE"""),45124.0)</f>
        <v>45124</v>
      </c>
      <c r="R770" s="45">
        <f>IFERROR(__xludf.DUMMYFUNCTION("""COMPUTED_VALUE"""),45166.0)</f>
        <v>45166</v>
      </c>
      <c r="S770" s="43"/>
      <c r="T770" s="43"/>
      <c r="U770" s="43" t="str">
        <f>IFERROR(__xludf.DUMMYFUNCTION("""COMPUTED_VALUE"""),"Equify")</f>
        <v>Equify</v>
      </c>
      <c r="V770" s="43" t="str">
        <f>IFERROR(__xludf.DUMMYFUNCTION("""COMPUTED_VALUE"""),"Western University")</f>
        <v>Western University</v>
      </c>
      <c r="W770" s="43" t="str">
        <f>IFERROR(__xludf.DUMMYFUNCTION("""COMPUTED_VALUE"""),"2023-03-24T17:24:27Z")</f>
        <v>2023-03-24T17:24:27Z</v>
      </c>
      <c r="X770" s="43"/>
      <c r="Y770" s="43"/>
      <c r="Z770" s="43"/>
    </row>
    <row r="771" hidden="1">
      <c r="A771" s="43" t="str">
        <f>IFERROR(__xludf.DUMMYFUNCTION("""COMPUTED_VALUE"""),"5249920_1286326")</f>
        <v>5249920_1286326</v>
      </c>
      <c r="B771" s="43" t="str">
        <f>IFERROR(__xludf.DUMMYFUNCTION("""COMPUTED_VALUE"""),"Myroslava Kalynovska")</f>
        <v>Myroslava Kalynovska</v>
      </c>
      <c r="C771" s="43" t="str">
        <f>IFERROR(__xludf.DUMMYFUNCTION("""COMPUTED_VALUE"""),"completed")</f>
        <v>completed</v>
      </c>
      <c r="D771" s="43" t="str">
        <f>IFERROR(__xludf.DUMMYFUNCTION("""COMPUTED_VALUE"""),"No")</f>
        <v>No</v>
      </c>
      <c r="E771" s="43" t="str">
        <f>IFERROR(__xludf.DUMMYFUNCTION("""COMPUTED_VALUE"""),"p_32f1cd78621f5c4d578abd41cf17c0e4c3b4ec95@inbound.aiesec.org")</f>
        <v>p_32f1cd78621f5c4d578abd41cf17c0e4c3b4ec95@inbound.aiesec.org</v>
      </c>
      <c r="F771" s="43"/>
      <c r="G771" s="43" t="str">
        <f>IFERROR(__xludf.DUMMYFUNCTION("""COMPUTED_VALUE"""),"Ukraine")</f>
        <v>Ukraine</v>
      </c>
      <c r="H771" s="43" t="str">
        <f>IFERROR(__xludf.DUMMYFUNCTION("""COMPUTED_VALUE"""),"KYIV")</f>
        <v>KYIV</v>
      </c>
      <c r="I771" s="43" t="str">
        <f>IFERROR(__xludf.DUMMYFUNCTION("""COMPUTED_VALUE"""),"Turkey")</f>
        <v>Turkey</v>
      </c>
      <c r="J771" s="43" t="str">
        <f>IFERROR(__xludf.DUMMYFUNCTION("""COMPUTED_VALUE"""),"ADANA")</f>
        <v>ADANA</v>
      </c>
      <c r="K771" s="44" t="str">
        <f>IFERROR(__xludf.DUMMYFUNCTION("""COMPUTED_VALUE"""),"https://expa.aiesec.org/opportunities/1286326")</f>
        <v>https://expa.aiesec.org/opportunities/1286326</v>
      </c>
      <c r="L771" s="43" t="str">
        <f>IFERROR(__xludf.DUMMYFUNCTION("""COMPUTED_VALUE"""),"GV")</f>
        <v>GV</v>
      </c>
      <c r="M771" s="43" t="str">
        <f>IFERROR(__xludf.DUMMYFUNCTION("""COMPUTED_VALUE"""),"short")</f>
        <v>short</v>
      </c>
      <c r="N771" s="45">
        <f>IFERROR(__xludf.DUMMYFUNCTION("""COMPUTED_VALUE"""),45045.0)</f>
        <v>45045</v>
      </c>
      <c r="O771" s="45">
        <f>IFERROR(__xludf.DUMMYFUNCTION("""COMPUTED_VALUE"""),45093.0)</f>
        <v>45093</v>
      </c>
      <c r="P771" s="45">
        <f>IFERROR(__xludf.DUMMYFUNCTION("""COMPUTED_VALUE"""),45135.0)</f>
        <v>45135</v>
      </c>
      <c r="Q771" s="45">
        <f>IFERROR(__xludf.DUMMYFUNCTION("""COMPUTED_VALUE"""),45096.0)</f>
        <v>45096</v>
      </c>
      <c r="R771" s="45">
        <f>IFERROR(__xludf.DUMMYFUNCTION("""COMPUTED_VALUE"""),45138.0)</f>
        <v>45138</v>
      </c>
      <c r="S771" s="43"/>
      <c r="T771" s="43"/>
      <c r="U771" s="43" t="str">
        <f>IFERROR(__xludf.DUMMYFUNCTION("""COMPUTED_VALUE"""),"Equify")</f>
        <v>Equify</v>
      </c>
      <c r="V771" s="43" t="str">
        <f>IFERROR(__xludf.DUMMYFUNCTION("""COMPUTED_VALUE"""),"-")</f>
        <v>-</v>
      </c>
      <c r="W771" s="43" t="str">
        <f>IFERROR(__xludf.DUMMYFUNCTION("""COMPUTED_VALUE"""),"2023-04-26T14:12:25Z")</f>
        <v>2023-04-26T14:12:25Z</v>
      </c>
      <c r="X771" s="43"/>
      <c r="Y771" s="43"/>
      <c r="Z771" s="43"/>
    </row>
    <row r="772" hidden="1">
      <c r="A772" s="43" t="str">
        <f>IFERROR(__xludf.DUMMYFUNCTION("""COMPUTED_VALUE"""),"5243778_1289597")</f>
        <v>5243778_1289597</v>
      </c>
      <c r="B772" s="43" t="str">
        <f>IFERROR(__xludf.DUMMYFUNCTION("""COMPUTED_VALUE"""),"Anjiya Sayani")</f>
        <v>Anjiya Sayani</v>
      </c>
      <c r="C772" s="43" t="str">
        <f>IFERROR(__xludf.DUMMYFUNCTION("""COMPUTED_VALUE"""),"finished")</f>
        <v>finished</v>
      </c>
      <c r="D772" s="43" t="str">
        <f>IFERROR(__xludf.DUMMYFUNCTION("""COMPUTED_VALUE"""),"No")</f>
        <v>No</v>
      </c>
      <c r="E772" s="43" t="str">
        <f>IFERROR(__xludf.DUMMYFUNCTION("""COMPUTED_VALUE"""),"p_bec287773dc057f15708ff723b1e4c9c779e770e@inbound.aiesec.org")</f>
        <v>p_bec287773dc057f15708ff723b1e4c9c779e770e@inbound.aiesec.org</v>
      </c>
      <c r="F772" s="43"/>
      <c r="G772" s="43" t="str">
        <f>IFERROR(__xludf.DUMMYFUNCTION("""COMPUTED_VALUE"""),"Pakistan")</f>
        <v>Pakistan</v>
      </c>
      <c r="H772" s="43" t="str">
        <f>IFERROR(__xludf.DUMMYFUNCTION("""COMPUTED_VALUE"""),"IBA")</f>
        <v>IBA</v>
      </c>
      <c r="I772" s="43" t="str">
        <f>IFERROR(__xludf.DUMMYFUNCTION("""COMPUTED_VALUE"""),"Turkey")</f>
        <v>Turkey</v>
      </c>
      <c r="J772" s="43" t="str">
        <f>IFERROR(__xludf.DUMMYFUNCTION("""COMPUTED_VALUE"""),"ISPARTA")</f>
        <v>ISPARTA</v>
      </c>
      <c r="K772" s="44" t="str">
        <f>IFERROR(__xludf.DUMMYFUNCTION("""COMPUTED_VALUE"""),"https://expa.aiesec.org/opportunities/1289597")</f>
        <v>https://expa.aiesec.org/opportunities/1289597</v>
      </c>
      <c r="L772" s="43" t="str">
        <f>IFERROR(__xludf.DUMMYFUNCTION("""COMPUTED_VALUE"""),"GV")</f>
        <v>GV</v>
      </c>
      <c r="M772" s="43" t="str">
        <f>IFERROR(__xludf.DUMMYFUNCTION("""COMPUTED_VALUE"""),"short")</f>
        <v>short</v>
      </c>
      <c r="N772" s="45">
        <f>IFERROR(__xludf.DUMMYFUNCTION("""COMPUTED_VALUE"""),45045.0)</f>
        <v>45045</v>
      </c>
      <c r="O772" s="45">
        <f>IFERROR(__xludf.DUMMYFUNCTION("""COMPUTED_VALUE"""),45082.0)</f>
        <v>45082</v>
      </c>
      <c r="P772" s="45">
        <f>IFERROR(__xludf.DUMMYFUNCTION("""COMPUTED_VALUE"""),45124.0)</f>
        <v>45124</v>
      </c>
      <c r="Q772" s="45">
        <f>IFERROR(__xludf.DUMMYFUNCTION("""COMPUTED_VALUE"""),45105.0)</f>
        <v>45105</v>
      </c>
      <c r="R772" s="45">
        <f>IFERROR(__xludf.DUMMYFUNCTION("""COMPUTED_VALUE"""),45146.0)</f>
        <v>45146</v>
      </c>
      <c r="S772" s="43"/>
      <c r="T772" s="43"/>
      <c r="U772" s="43" t="str">
        <f>IFERROR(__xludf.DUMMYFUNCTION("""COMPUTED_VALUE"""),"Global Classroom")</f>
        <v>Global Classroom</v>
      </c>
      <c r="V772" s="43" t="str">
        <f>IFERROR(__xludf.DUMMYFUNCTION("""COMPUTED_VALUE"""),"-")</f>
        <v>-</v>
      </c>
      <c r="W772" s="43" t="str">
        <f>IFERROR(__xludf.DUMMYFUNCTION("""COMPUTED_VALUE"""),"2023-04-17T13:30:38Z")</f>
        <v>2023-04-17T13:30:38Z</v>
      </c>
      <c r="X772" s="43"/>
      <c r="Y772" s="43"/>
      <c r="Z772" s="43"/>
    </row>
    <row r="773" hidden="1">
      <c r="A773" s="43" t="str">
        <f>IFERROR(__xludf.DUMMYFUNCTION("""COMPUTED_VALUE"""),"5235586_1288970")</f>
        <v>5235586_1288970</v>
      </c>
      <c r="B773" s="43" t="str">
        <f>IFERROR(__xludf.DUMMYFUNCTION("""COMPUTED_VALUE"""),"Yasser Sherif")</f>
        <v>Yasser Sherif</v>
      </c>
      <c r="C773" s="43" t="str">
        <f>IFERROR(__xludf.DUMMYFUNCTION("""COMPUTED_VALUE"""),"finished")</f>
        <v>finished</v>
      </c>
      <c r="D773" s="43" t="str">
        <f>IFERROR(__xludf.DUMMYFUNCTION("""COMPUTED_VALUE"""),"No")</f>
        <v>No</v>
      </c>
      <c r="E773" s="43" t="str">
        <f>IFERROR(__xludf.DUMMYFUNCTION("""COMPUTED_VALUE"""),"p_0dddf201b11ed0fb8faf27b0e3428f3d74605900@inbound.aiesec.org")</f>
        <v>p_0dddf201b11ed0fb8faf27b0e3428f3d74605900@inbound.aiesec.org</v>
      </c>
      <c r="F773" s="43">
        <f>IFERROR(__xludf.DUMMYFUNCTION("""COMPUTED_VALUE"""),1.222547912E9)</f>
        <v>1222547912</v>
      </c>
      <c r="G773" s="43" t="str">
        <f>IFERROR(__xludf.DUMMYFUNCTION("""COMPUTED_VALUE"""),"Egypt")</f>
        <v>Egypt</v>
      </c>
      <c r="H773" s="43" t="str">
        <f>IFERROR(__xludf.DUMMYFUNCTION("""COMPUTED_VALUE"""),"Alexandria")</f>
        <v>Alexandria</v>
      </c>
      <c r="I773" s="43" t="str">
        <f>IFERROR(__xludf.DUMMYFUNCTION("""COMPUTED_VALUE"""),"Turkey")</f>
        <v>Turkey</v>
      </c>
      <c r="J773" s="43" t="str">
        <f>IFERROR(__xludf.DUMMYFUNCTION("""COMPUTED_VALUE"""),"İZMİR")</f>
        <v>İZMİR</v>
      </c>
      <c r="K773" s="44" t="str">
        <f>IFERROR(__xludf.DUMMYFUNCTION("""COMPUTED_VALUE"""),"https://expa.aiesec.org/opportunities/1288970")</f>
        <v>https://expa.aiesec.org/opportunities/1288970</v>
      </c>
      <c r="L773" s="43" t="str">
        <f>IFERROR(__xludf.DUMMYFUNCTION("""COMPUTED_VALUE"""),"GV")</f>
        <v>GV</v>
      </c>
      <c r="M773" s="43" t="str">
        <f>IFERROR(__xludf.DUMMYFUNCTION("""COMPUTED_VALUE"""),"short")</f>
        <v>short</v>
      </c>
      <c r="N773" s="45">
        <f>IFERROR(__xludf.DUMMYFUNCTION("""COMPUTED_VALUE"""),45046.0)</f>
        <v>45046</v>
      </c>
      <c r="O773" s="45">
        <f>IFERROR(__xludf.DUMMYFUNCTION("""COMPUTED_VALUE"""),45207.0)</f>
        <v>45207</v>
      </c>
      <c r="P773" s="45">
        <f>IFERROR(__xludf.DUMMYFUNCTION("""COMPUTED_VALUE"""),45249.0)</f>
        <v>45249</v>
      </c>
      <c r="Q773" s="45">
        <f>IFERROR(__xludf.DUMMYFUNCTION("""COMPUTED_VALUE"""),45210.0)</f>
        <v>45210</v>
      </c>
      <c r="R773" s="45">
        <f>IFERROR(__xludf.DUMMYFUNCTION("""COMPUTED_VALUE"""),45252.0)</f>
        <v>45252</v>
      </c>
      <c r="S773" s="43"/>
      <c r="T773" s="43"/>
      <c r="U773" s="43" t="str">
        <f>IFERROR(__xludf.DUMMYFUNCTION("""COMPUTED_VALUE"""),"Fingerprint")</f>
        <v>Fingerprint</v>
      </c>
      <c r="V773" s="43" t="str">
        <f>IFERROR(__xludf.DUMMYFUNCTION("""COMPUTED_VALUE"""),"Alexandria University")</f>
        <v>Alexandria University</v>
      </c>
      <c r="W773" s="43" t="str">
        <f>IFERROR(__xludf.DUMMYFUNCTION("""COMPUTED_VALUE"""),"2023-04-05T13:25:45Z")</f>
        <v>2023-04-05T13:25:45Z</v>
      </c>
      <c r="X773" s="43"/>
      <c r="Y773" s="43"/>
      <c r="Z773" s="43"/>
    </row>
    <row r="774" hidden="1">
      <c r="A774" s="43" t="str">
        <f>IFERROR(__xludf.DUMMYFUNCTION("""COMPUTED_VALUE"""),"5248419_1286326")</f>
        <v>5248419_1286326</v>
      </c>
      <c r="B774" s="43" t="str">
        <f>IFERROR(__xludf.DUMMYFUNCTION("""COMPUTED_VALUE"""),"Kseniia Valenia")</f>
        <v>Kseniia Valenia</v>
      </c>
      <c r="C774" s="43" t="str">
        <f>IFERROR(__xludf.DUMMYFUNCTION("""COMPUTED_VALUE"""),"finished")</f>
        <v>finished</v>
      </c>
      <c r="D774" s="43" t="str">
        <f>IFERROR(__xludf.DUMMYFUNCTION("""COMPUTED_VALUE"""),"No")</f>
        <v>No</v>
      </c>
      <c r="E774" s="43" t="str">
        <f>IFERROR(__xludf.DUMMYFUNCTION("""COMPUTED_VALUE"""),"p_e24d480bf2f790646d3820c6c9d98407c377d86b@inbound.aiesec.org")</f>
        <v>p_e24d480bf2f790646d3820c6c9d98407c377d86b@inbound.aiesec.org</v>
      </c>
      <c r="F774" s="43">
        <f>IFERROR(__xludf.DUMMYFUNCTION("""COMPUTED_VALUE"""),6.79110161E8)</f>
        <v>679110161</v>
      </c>
      <c r="G774" s="43" t="str">
        <f>IFERROR(__xludf.DUMMYFUNCTION("""COMPUTED_VALUE"""),"Ukraine")</f>
        <v>Ukraine</v>
      </c>
      <c r="H774" s="43" t="str">
        <f>IFERROR(__xludf.DUMMYFUNCTION("""COMPUTED_VALUE"""),"KHARKIV")</f>
        <v>KHARKIV</v>
      </c>
      <c r="I774" s="43" t="str">
        <f>IFERROR(__xludf.DUMMYFUNCTION("""COMPUTED_VALUE"""),"Turkey")</f>
        <v>Turkey</v>
      </c>
      <c r="J774" s="43" t="str">
        <f>IFERROR(__xludf.DUMMYFUNCTION("""COMPUTED_VALUE"""),"ADANA")</f>
        <v>ADANA</v>
      </c>
      <c r="K774" s="44" t="str">
        <f>IFERROR(__xludf.DUMMYFUNCTION("""COMPUTED_VALUE"""),"https://expa.aiesec.org/opportunities/1286326")</f>
        <v>https://expa.aiesec.org/opportunities/1286326</v>
      </c>
      <c r="L774" s="43" t="str">
        <f>IFERROR(__xludf.DUMMYFUNCTION("""COMPUTED_VALUE"""),"GV")</f>
        <v>GV</v>
      </c>
      <c r="M774" s="43" t="str">
        <f>IFERROR(__xludf.DUMMYFUNCTION("""COMPUTED_VALUE"""),"short")</f>
        <v>short</v>
      </c>
      <c r="N774" s="45">
        <f>IFERROR(__xludf.DUMMYFUNCTION("""COMPUTED_VALUE"""),45046.0)</f>
        <v>45046</v>
      </c>
      <c r="O774" s="45">
        <f>IFERROR(__xludf.DUMMYFUNCTION("""COMPUTED_VALUE"""),45093.0)</f>
        <v>45093</v>
      </c>
      <c r="P774" s="45">
        <f>IFERROR(__xludf.DUMMYFUNCTION("""COMPUTED_VALUE"""),45135.0)</f>
        <v>45135</v>
      </c>
      <c r="Q774" s="45">
        <f>IFERROR(__xludf.DUMMYFUNCTION("""COMPUTED_VALUE"""),45096.0)</f>
        <v>45096</v>
      </c>
      <c r="R774" s="45">
        <f>IFERROR(__xludf.DUMMYFUNCTION("""COMPUTED_VALUE"""),45138.0)</f>
        <v>45138</v>
      </c>
      <c r="S774" s="43"/>
      <c r="T774" s="43"/>
      <c r="U774" s="43" t="str">
        <f>IFERROR(__xludf.DUMMYFUNCTION("""COMPUTED_VALUE"""),"Equify")</f>
        <v>Equify</v>
      </c>
      <c r="V774" s="43" t="str">
        <f>IFERROR(__xludf.DUMMYFUNCTION("""COMPUTED_VALUE"""),"Kharkiv")</f>
        <v>Kharkiv</v>
      </c>
      <c r="W774" s="43" t="str">
        <f>IFERROR(__xludf.DUMMYFUNCTION("""COMPUTED_VALUE"""),"2023-04-24T15:59:44Z")</f>
        <v>2023-04-24T15:59:44Z</v>
      </c>
      <c r="X774" s="43"/>
      <c r="Y774" s="43"/>
      <c r="Z774" s="43"/>
    </row>
    <row r="775" hidden="1">
      <c r="A775" s="43" t="str">
        <f>IFERROR(__xludf.DUMMYFUNCTION("""COMPUTED_VALUE"""),"5244024_1289261")</f>
        <v>5244024_1289261</v>
      </c>
      <c r="B775" s="43" t="str">
        <f>IFERROR(__xludf.DUMMYFUNCTION("""COMPUTED_VALUE"""),"Olha Nechyporuk")</f>
        <v>Olha Nechyporuk</v>
      </c>
      <c r="C775" s="43" t="str">
        <f>IFERROR(__xludf.DUMMYFUNCTION("""COMPUTED_VALUE"""),"completed")</f>
        <v>completed</v>
      </c>
      <c r="D775" s="43" t="str">
        <f>IFERROR(__xludf.DUMMYFUNCTION("""COMPUTED_VALUE"""),"No")</f>
        <v>No</v>
      </c>
      <c r="E775" s="43" t="str">
        <f>IFERROR(__xludf.DUMMYFUNCTION("""COMPUTED_VALUE"""),"p_71b81bde367a8420469cebbac03e4ca855bd65ed@inbound.aiesec.org")</f>
        <v>p_71b81bde367a8420469cebbac03e4ca855bd65ed@inbound.aiesec.org</v>
      </c>
      <c r="F775" s="43">
        <f>IFERROR(__xludf.DUMMYFUNCTION("""COMPUTED_VALUE"""),9.64993189E8)</f>
        <v>964993189</v>
      </c>
      <c r="G775" s="43" t="str">
        <f>IFERROR(__xludf.DUMMYFUNCTION("""COMPUTED_VALUE"""),"Ukraine")</f>
        <v>Ukraine</v>
      </c>
      <c r="H775" s="43" t="str">
        <f>IFERROR(__xludf.DUMMYFUNCTION("""COMPUTED_VALUE"""),"LVIV")</f>
        <v>LVIV</v>
      </c>
      <c r="I775" s="43" t="str">
        <f>IFERROR(__xludf.DUMMYFUNCTION("""COMPUTED_VALUE"""),"Turkey")</f>
        <v>Turkey</v>
      </c>
      <c r="J775" s="43" t="str">
        <f>IFERROR(__xludf.DUMMYFUNCTION("""COMPUTED_VALUE"""),"İZMİR")</f>
        <v>İZMİR</v>
      </c>
      <c r="K775" s="44" t="str">
        <f>IFERROR(__xludf.DUMMYFUNCTION("""COMPUTED_VALUE"""),"https://expa.aiesec.org/opportunities/1289261")</f>
        <v>https://expa.aiesec.org/opportunities/1289261</v>
      </c>
      <c r="L775" s="43" t="str">
        <f>IFERROR(__xludf.DUMMYFUNCTION("""COMPUTED_VALUE"""),"GV")</f>
        <v>GV</v>
      </c>
      <c r="M775" s="43" t="str">
        <f>IFERROR(__xludf.DUMMYFUNCTION("""COMPUTED_VALUE"""),"short")</f>
        <v>short</v>
      </c>
      <c r="N775" s="45">
        <f>IFERROR(__xludf.DUMMYFUNCTION("""COMPUTED_VALUE"""),45046.0)</f>
        <v>45046</v>
      </c>
      <c r="O775" s="45">
        <f>IFERROR(__xludf.DUMMYFUNCTION("""COMPUTED_VALUE"""),45130.0)</f>
        <v>45130</v>
      </c>
      <c r="P775" s="45">
        <f>IFERROR(__xludf.DUMMYFUNCTION("""COMPUTED_VALUE"""),45172.0)</f>
        <v>45172</v>
      </c>
      <c r="Q775" s="45">
        <f>IFERROR(__xludf.DUMMYFUNCTION("""COMPUTED_VALUE"""),45132.0)</f>
        <v>45132</v>
      </c>
      <c r="R775" s="45">
        <f>IFERROR(__xludf.DUMMYFUNCTION("""COMPUTED_VALUE"""),45174.0)</f>
        <v>45174</v>
      </c>
      <c r="S775" s="43"/>
      <c r="T775" s="43"/>
      <c r="U775" s="43" t="str">
        <f>IFERROR(__xludf.DUMMYFUNCTION("""COMPUTED_VALUE"""),"Global Classroom")</f>
        <v>Global Classroom</v>
      </c>
      <c r="V775" s="43" t="str">
        <f>IFERROR(__xludf.DUMMYFUNCTION("""COMPUTED_VALUE"""),"Lviv ")</f>
        <v>Lviv </v>
      </c>
      <c r="W775" s="43" t="str">
        <f>IFERROR(__xludf.DUMMYFUNCTION("""COMPUTED_VALUE"""),"2023-04-17T21:36:19Z")</f>
        <v>2023-04-17T21:36:19Z</v>
      </c>
      <c r="X775" s="43"/>
      <c r="Y775" s="43"/>
      <c r="Z775" s="43"/>
    </row>
    <row r="776" hidden="1">
      <c r="A776" s="43" t="str">
        <f>IFERROR(__xludf.DUMMYFUNCTION("""COMPUTED_VALUE"""),"5204735_1294254")</f>
        <v>5204735_1294254</v>
      </c>
      <c r="B776" s="43" t="str">
        <f>IFERROR(__xludf.DUMMYFUNCTION("""COMPUTED_VALUE"""),"Nastya Kikhtiak")</f>
        <v>Nastya Kikhtiak</v>
      </c>
      <c r="C776" s="43" t="str">
        <f>IFERROR(__xludf.DUMMYFUNCTION("""COMPUTED_VALUE"""),"completed")</f>
        <v>completed</v>
      </c>
      <c r="D776" s="43" t="str">
        <f>IFERROR(__xludf.DUMMYFUNCTION("""COMPUTED_VALUE"""),"No")</f>
        <v>No</v>
      </c>
      <c r="E776" s="43" t="str">
        <f>IFERROR(__xludf.DUMMYFUNCTION("""COMPUTED_VALUE"""),"p_d425bcfd09b10afc7f5070eeeeb1cb097569f65d@inbound.aiesec.org")</f>
        <v>p_d425bcfd09b10afc7f5070eeeeb1cb097569f65d@inbound.aiesec.org</v>
      </c>
      <c r="F776" s="43">
        <f>IFERROR(__xludf.DUMMYFUNCTION("""COMPUTED_VALUE"""),9.92557743E8)</f>
        <v>992557743</v>
      </c>
      <c r="G776" s="43" t="str">
        <f>IFERROR(__xludf.DUMMYFUNCTION("""COMPUTED_VALUE"""),"Ukraine")</f>
        <v>Ukraine</v>
      </c>
      <c r="H776" s="43" t="str">
        <f>IFERROR(__xludf.DUMMYFUNCTION("""COMPUTED_VALUE"""),"LVIV")</f>
        <v>LVIV</v>
      </c>
      <c r="I776" s="43" t="str">
        <f>IFERROR(__xludf.DUMMYFUNCTION("""COMPUTED_VALUE"""),"Turkey")</f>
        <v>Turkey</v>
      </c>
      <c r="J776" s="43" t="str">
        <f>IFERROR(__xludf.DUMMYFUNCTION("""COMPUTED_VALUE"""),"İZMİR")</f>
        <v>İZMİR</v>
      </c>
      <c r="K776" s="44" t="str">
        <f>IFERROR(__xludf.DUMMYFUNCTION("""COMPUTED_VALUE"""),"https://expa.aiesec.org/opportunities/1294254")</f>
        <v>https://expa.aiesec.org/opportunities/1294254</v>
      </c>
      <c r="L776" s="43" t="str">
        <f>IFERROR(__xludf.DUMMYFUNCTION("""COMPUTED_VALUE"""),"GV")</f>
        <v>GV</v>
      </c>
      <c r="M776" s="43" t="str">
        <f>IFERROR(__xludf.DUMMYFUNCTION("""COMPUTED_VALUE"""),"short")</f>
        <v>short</v>
      </c>
      <c r="N776" s="45">
        <f>IFERROR(__xludf.DUMMYFUNCTION("""COMPUTED_VALUE"""),45046.0)</f>
        <v>45046</v>
      </c>
      <c r="O776" s="45">
        <f>IFERROR(__xludf.DUMMYFUNCTION("""COMPUTED_VALUE"""),45103.0)</f>
        <v>45103</v>
      </c>
      <c r="P776" s="45">
        <f>IFERROR(__xludf.DUMMYFUNCTION("""COMPUTED_VALUE"""),45145.0)</f>
        <v>45145</v>
      </c>
      <c r="Q776" s="45">
        <f>IFERROR(__xludf.DUMMYFUNCTION("""COMPUTED_VALUE"""),45105.0)</f>
        <v>45105</v>
      </c>
      <c r="R776" s="45">
        <f>IFERROR(__xludf.DUMMYFUNCTION("""COMPUTED_VALUE"""),45148.0)</f>
        <v>45148</v>
      </c>
      <c r="S776" s="43"/>
      <c r="T776" s="43"/>
      <c r="U776" s="43" t="str">
        <f>IFERROR(__xludf.DUMMYFUNCTION("""COMPUTED_VALUE"""),"Skill Up!")</f>
        <v>Skill Up!</v>
      </c>
      <c r="V776" s="43" t="str">
        <f>IFERROR(__xludf.DUMMYFUNCTION("""COMPUTED_VALUE"""),"Lviv ")</f>
        <v>Lviv </v>
      </c>
      <c r="W776" s="43" t="str">
        <f>IFERROR(__xludf.DUMMYFUNCTION("""COMPUTED_VALUE"""),"2023-03-03T15:45:25Z")</f>
        <v>2023-03-03T15:45:25Z</v>
      </c>
      <c r="X776" s="43"/>
      <c r="Y776" s="43"/>
      <c r="Z776" s="43"/>
    </row>
    <row r="777" hidden="1">
      <c r="A777" s="43" t="str">
        <f>IFERROR(__xludf.DUMMYFUNCTION("""COMPUTED_VALUE"""),"4982057_1294584")</f>
        <v>4982057_1294584</v>
      </c>
      <c r="B777" s="43" t="str">
        <f>IFERROR(__xludf.DUMMYFUNCTION("""COMPUTED_VALUE"""),"Teodora Grama")</f>
        <v>Teodora Grama</v>
      </c>
      <c r="C777" s="43" t="str">
        <f>IFERROR(__xludf.DUMMYFUNCTION("""COMPUTED_VALUE"""),"completed")</f>
        <v>completed</v>
      </c>
      <c r="D777" s="43" t="str">
        <f>IFERROR(__xludf.DUMMYFUNCTION("""COMPUTED_VALUE"""),"No")</f>
        <v>No</v>
      </c>
      <c r="E777" s="43" t="str">
        <f>IFERROR(__xludf.DUMMYFUNCTION("""COMPUTED_VALUE"""),"p_11000976d624ee0bb9e258cddf063765b4cf3b51@inbound.aiesec.org")</f>
        <v>p_11000976d624ee0bb9e258cddf063765b4cf3b51@inbound.aiesec.org</v>
      </c>
      <c r="F777" s="43">
        <f>IFERROR(__xludf.DUMMYFUNCTION("""COMPUTED_VALUE"""),7.37566011E8)</f>
        <v>737566011</v>
      </c>
      <c r="G777" s="43" t="str">
        <f>IFERROR(__xludf.DUMMYFUNCTION("""COMPUTED_VALUE"""),"Romania")</f>
        <v>Romania</v>
      </c>
      <c r="H777" s="43" t="str">
        <f>IFERROR(__xludf.DUMMYFUNCTION("""COMPUTED_VALUE"""),"BUCURESTI")</f>
        <v>BUCURESTI</v>
      </c>
      <c r="I777" s="43" t="str">
        <f>IFERROR(__xludf.DUMMYFUNCTION("""COMPUTED_VALUE"""),"Turkey")</f>
        <v>Turkey</v>
      </c>
      <c r="J777" s="43" t="str">
        <f>IFERROR(__xludf.DUMMYFUNCTION("""COMPUTED_VALUE"""),"ANTALYA")</f>
        <v>ANTALYA</v>
      </c>
      <c r="K777" s="44" t="str">
        <f>IFERROR(__xludf.DUMMYFUNCTION("""COMPUTED_VALUE"""),"https://expa.aiesec.org/opportunities/1294584")</f>
        <v>https://expa.aiesec.org/opportunities/1294584</v>
      </c>
      <c r="L777" s="43" t="str">
        <f>IFERROR(__xludf.DUMMYFUNCTION("""COMPUTED_VALUE"""),"GV")</f>
        <v>GV</v>
      </c>
      <c r="M777" s="43" t="str">
        <f>IFERROR(__xludf.DUMMYFUNCTION("""COMPUTED_VALUE"""),"short")</f>
        <v>short</v>
      </c>
      <c r="N777" s="45">
        <f>IFERROR(__xludf.DUMMYFUNCTION("""COMPUTED_VALUE"""),45046.0)</f>
        <v>45046</v>
      </c>
      <c r="O777" s="45">
        <f>IFERROR(__xludf.DUMMYFUNCTION("""COMPUTED_VALUE"""),45152.0)</f>
        <v>45152</v>
      </c>
      <c r="P777" s="45">
        <f>IFERROR(__xludf.DUMMYFUNCTION("""COMPUTED_VALUE"""),45194.0)</f>
        <v>45194</v>
      </c>
      <c r="Q777" s="45">
        <f>IFERROR(__xludf.DUMMYFUNCTION("""COMPUTED_VALUE"""),45155.0)</f>
        <v>45155</v>
      </c>
      <c r="R777" s="45">
        <f>IFERROR(__xludf.DUMMYFUNCTION("""COMPUTED_VALUE"""),45195.0)</f>
        <v>45195</v>
      </c>
      <c r="S777" s="43"/>
      <c r="T777" s="43"/>
      <c r="U777" s="43" t="str">
        <f>IFERROR(__xludf.DUMMYFUNCTION("""COMPUTED_VALUE"""),"Youth 4 Impact")</f>
        <v>Youth 4 Impact</v>
      </c>
      <c r="V777" s="43" t="str">
        <f>IFERROR(__xludf.DUMMYFUNCTION("""COMPUTED_VALUE"""),"Ploiesti")</f>
        <v>Ploiesti</v>
      </c>
      <c r="W777" s="43" t="str">
        <f>IFERROR(__xludf.DUMMYFUNCTION("""COMPUTED_VALUE"""),"2022-03-13T18:38:41Z")</f>
        <v>2022-03-13T18:38:41Z</v>
      </c>
      <c r="X777" s="43"/>
      <c r="Y777" s="43"/>
      <c r="Z777" s="43"/>
    </row>
    <row r="778" hidden="1">
      <c r="A778" s="43" t="str">
        <f>IFERROR(__xludf.DUMMYFUNCTION("""COMPUTED_VALUE"""),"4494115_1294584")</f>
        <v>4494115_1294584</v>
      </c>
      <c r="B778" s="43" t="str">
        <f>IFERROR(__xludf.DUMMYFUNCTION("""COMPUTED_VALUE"""),"Grama AriadnaAndreea")</f>
        <v>Grama AriadnaAndreea</v>
      </c>
      <c r="C778" s="43" t="str">
        <f>IFERROR(__xludf.DUMMYFUNCTION("""COMPUTED_VALUE"""),"finished")</f>
        <v>finished</v>
      </c>
      <c r="D778" s="43" t="str">
        <f>IFERROR(__xludf.DUMMYFUNCTION("""COMPUTED_VALUE"""),"No")</f>
        <v>No</v>
      </c>
      <c r="E778" s="43" t="str">
        <f>IFERROR(__xludf.DUMMYFUNCTION("""COMPUTED_VALUE"""),"p_38d786a669b8c3dfdc5f27ba31b96569c1016e52@inbound.aiesec.org")</f>
        <v>p_38d786a669b8c3dfdc5f27ba31b96569c1016e52@inbound.aiesec.org</v>
      </c>
      <c r="F778" s="43">
        <f>IFERROR(__xludf.DUMMYFUNCTION("""COMPUTED_VALUE"""),7.37555962E8)</f>
        <v>737555962</v>
      </c>
      <c r="G778" s="43" t="str">
        <f>IFERROR(__xludf.DUMMYFUNCTION("""COMPUTED_VALUE"""),"Romania")</f>
        <v>Romania</v>
      </c>
      <c r="H778" s="43" t="str">
        <f>IFERROR(__xludf.DUMMYFUNCTION("""COMPUTED_VALUE"""),"BUCURESTI")</f>
        <v>BUCURESTI</v>
      </c>
      <c r="I778" s="43" t="str">
        <f>IFERROR(__xludf.DUMMYFUNCTION("""COMPUTED_VALUE"""),"Turkey")</f>
        <v>Turkey</v>
      </c>
      <c r="J778" s="43" t="str">
        <f>IFERROR(__xludf.DUMMYFUNCTION("""COMPUTED_VALUE"""),"ANTALYA")</f>
        <v>ANTALYA</v>
      </c>
      <c r="K778" s="44" t="str">
        <f>IFERROR(__xludf.DUMMYFUNCTION("""COMPUTED_VALUE"""),"https://expa.aiesec.org/opportunities/1294584")</f>
        <v>https://expa.aiesec.org/opportunities/1294584</v>
      </c>
      <c r="L778" s="43" t="str">
        <f>IFERROR(__xludf.DUMMYFUNCTION("""COMPUTED_VALUE"""),"GV")</f>
        <v>GV</v>
      </c>
      <c r="M778" s="43" t="str">
        <f>IFERROR(__xludf.DUMMYFUNCTION("""COMPUTED_VALUE"""),"short")</f>
        <v>short</v>
      </c>
      <c r="N778" s="45">
        <f>IFERROR(__xludf.DUMMYFUNCTION("""COMPUTED_VALUE"""),45046.0)</f>
        <v>45046</v>
      </c>
      <c r="O778" s="45">
        <f>IFERROR(__xludf.DUMMYFUNCTION("""COMPUTED_VALUE"""),45152.0)</f>
        <v>45152</v>
      </c>
      <c r="P778" s="45">
        <f>IFERROR(__xludf.DUMMYFUNCTION("""COMPUTED_VALUE"""),45194.0)</f>
        <v>45194</v>
      </c>
      <c r="Q778" s="45">
        <f>IFERROR(__xludf.DUMMYFUNCTION("""COMPUTED_VALUE"""),45155.0)</f>
        <v>45155</v>
      </c>
      <c r="R778" s="45">
        <f>IFERROR(__xludf.DUMMYFUNCTION("""COMPUTED_VALUE"""),45195.0)</f>
        <v>45195</v>
      </c>
      <c r="S778" s="43"/>
      <c r="T778" s="43"/>
      <c r="U778" s="43" t="str">
        <f>IFERROR(__xludf.DUMMYFUNCTION("""COMPUTED_VALUE"""),"Youth 4 Impact")</f>
        <v>Youth 4 Impact</v>
      </c>
      <c r="V778" s="43" t="str">
        <f>IFERROR(__xludf.DUMMYFUNCTION("""COMPUTED_VALUE"""),"Ploiesti")</f>
        <v>Ploiesti</v>
      </c>
      <c r="W778" s="43" t="str">
        <f>IFERROR(__xludf.DUMMYFUNCTION("""COMPUTED_VALUE"""),"2020-12-21T17:44:12Z")</f>
        <v>2020-12-21T17:44:12Z</v>
      </c>
      <c r="X778" s="43"/>
      <c r="Y778" s="43"/>
      <c r="Z778" s="43"/>
    </row>
    <row r="779" hidden="1">
      <c r="A779" s="43" t="str">
        <f>IFERROR(__xludf.DUMMYFUNCTION("""COMPUTED_VALUE"""),"5028260_1287488")</f>
        <v>5028260_1287488</v>
      </c>
      <c r="B779" s="43" t="str">
        <f>IFERROR(__xludf.DUMMYFUNCTION("""COMPUTED_VALUE"""),"Salma Mourad")</f>
        <v>Salma Mourad</v>
      </c>
      <c r="C779" s="43" t="str">
        <f>IFERROR(__xludf.DUMMYFUNCTION("""COMPUTED_VALUE"""),"approved")</f>
        <v>approved</v>
      </c>
      <c r="D779" s="43" t="str">
        <f>IFERROR(__xludf.DUMMYFUNCTION("""COMPUTED_VALUE"""),"No")</f>
        <v>No</v>
      </c>
      <c r="E779" s="43" t="str">
        <f>IFERROR(__xludf.DUMMYFUNCTION("""COMPUTED_VALUE"""),"p_200f47087b6baad6f71428227a18c8f9b166e4ec@inbound.aiesec.org")</f>
        <v>p_200f47087b6baad6f71428227a18c8f9b166e4ec@inbound.aiesec.org</v>
      </c>
      <c r="F779" s="43">
        <f>IFERROR(__xludf.DUMMYFUNCTION("""COMPUTED_VALUE"""),1.0997427E9)</f>
        <v>1099742700</v>
      </c>
      <c r="G779" s="43" t="str">
        <f>IFERROR(__xludf.DUMMYFUNCTION("""COMPUTED_VALUE"""),"Egypt")</f>
        <v>Egypt</v>
      </c>
      <c r="H779" s="43" t="str">
        <f>IFERROR(__xludf.DUMMYFUNCTION("""COMPUTED_VALUE"""),"Cairo University")</f>
        <v>Cairo University</v>
      </c>
      <c r="I779" s="43" t="str">
        <f>IFERROR(__xludf.DUMMYFUNCTION("""COMPUTED_VALUE"""),"Turkey")</f>
        <v>Turkey</v>
      </c>
      <c r="J779" s="43" t="str">
        <f>IFERROR(__xludf.DUMMYFUNCTION("""COMPUTED_VALUE"""),"ISTANBUL ASIA")</f>
        <v>ISTANBUL ASIA</v>
      </c>
      <c r="K779" s="44" t="str">
        <f>IFERROR(__xludf.DUMMYFUNCTION("""COMPUTED_VALUE"""),"https://expa.aiesec.org/opportunities/1287488")</f>
        <v>https://expa.aiesec.org/opportunities/1287488</v>
      </c>
      <c r="L779" s="43" t="str">
        <f>IFERROR(__xludf.DUMMYFUNCTION("""COMPUTED_VALUE"""),"GV")</f>
        <v>GV</v>
      </c>
      <c r="M779" s="43" t="str">
        <f>IFERROR(__xludf.DUMMYFUNCTION("""COMPUTED_VALUE"""),"short")</f>
        <v>short</v>
      </c>
      <c r="N779" s="45">
        <f>IFERROR(__xludf.DUMMYFUNCTION("""COMPUTED_VALUE"""),45046.0)</f>
        <v>45046</v>
      </c>
      <c r="O779" s="45">
        <f>IFERROR(__xludf.DUMMYFUNCTION("""COMPUTED_VALUE"""),45243.0)</f>
        <v>45243</v>
      </c>
      <c r="P779" s="45">
        <f>IFERROR(__xludf.DUMMYFUNCTION("""COMPUTED_VALUE"""),45285.0)</f>
        <v>45285</v>
      </c>
      <c r="Q779" s="45"/>
      <c r="R779" s="45"/>
      <c r="S779" s="43"/>
      <c r="T779" s="43"/>
      <c r="U779" s="43" t="str">
        <f>IFERROR(__xludf.DUMMYFUNCTION("""COMPUTED_VALUE"""),"Global Classroom")</f>
        <v>Global Classroom</v>
      </c>
      <c r="V779" s="43" t="str">
        <f>IFERROR(__xludf.DUMMYFUNCTION("""COMPUTED_VALUE"""),"Cairo Univeristy")</f>
        <v>Cairo Univeristy</v>
      </c>
      <c r="W779" s="43" t="str">
        <f>IFERROR(__xludf.DUMMYFUNCTION("""COMPUTED_VALUE"""),"2022-04-07T08:39:35Z")</f>
        <v>2022-04-07T08:39:35Z</v>
      </c>
      <c r="X779" s="43"/>
      <c r="Y779" s="43"/>
      <c r="Z779" s="43"/>
    </row>
    <row r="780" hidden="1">
      <c r="A780" s="43" t="str">
        <f>IFERROR(__xludf.DUMMYFUNCTION("""COMPUTED_VALUE"""),"5220113_1286034")</f>
        <v>5220113_1286034</v>
      </c>
      <c r="B780" s="43" t="str">
        <f>IFERROR(__xludf.DUMMYFUNCTION("""COMPUTED_VALUE"""),"Tuska Elisa")</f>
        <v>Tuska Elisa</v>
      </c>
      <c r="C780" s="43" t="str">
        <f>IFERROR(__xludf.DUMMYFUNCTION("""COMPUTED_VALUE"""),"completed")</f>
        <v>completed</v>
      </c>
      <c r="D780" s="43" t="str">
        <f>IFERROR(__xludf.DUMMYFUNCTION("""COMPUTED_VALUE"""),"No")</f>
        <v>No</v>
      </c>
      <c r="E780" s="43" t="str">
        <f>IFERROR(__xludf.DUMMYFUNCTION("""COMPUTED_VALUE"""),"p_9589ff707a5032be3fe1163bd480cdda5e5560e4@inbound.aiesec.org")</f>
        <v>p_9589ff707a5032be3fe1163bd480cdda5e5560e4@inbound.aiesec.org</v>
      </c>
      <c r="F780" s="43">
        <f>IFERROR(__xludf.DUMMYFUNCTION("""COMPUTED_VALUE"""),7.5591758E8)</f>
        <v>755917580</v>
      </c>
      <c r="G780" s="43" t="str">
        <f>IFERROR(__xludf.DUMMYFUNCTION("""COMPUTED_VALUE"""),"Romania")</f>
        <v>Romania</v>
      </c>
      <c r="H780" s="43" t="str">
        <f>IFERROR(__xludf.DUMMYFUNCTION("""COMPUTED_VALUE"""),"TIMISOARA")</f>
        <v>TIMISOARA</v>
      </c>
      <c r="I780" s="43" t="str">
        <f>IFERROR(__xludf.DUMMYFUNCTION("""COMPUTED_VALUE"""),"Turkey")</f>
        <v>Turkey</v>
      </c>
      <c r="J780" s="43" t="str">
        <f>IFERROR(__xludf.DUMMYFUNCTION("""COMPUTED_VALUE"""),"ANTALYA")</f>
        <v>ANTALYA</v>
      </c>
      <c r="K780" s="44" t="str">
        <f>IFERROR(__xludf.DUMMYFUNCTION("""COMPUTED_VALUE"""),"https://expa.aiesec.org/opportunities/1286034")</f>
        <v>https://expa.aiesec.org/opportunities/1286034</v>
      </c>
      <c r="L780" s="43" t="str">
        <f>IFERROR(__xludf.DUMMYFUNCTION("""COMPUTED_VALUE"""),"GV")</f>
        <v>GV</v>
      </c>
      <c r="M780" s="43" t="str">
        <f>IFERROR(__xludf.DUMMYFUNCTION("""COMPUTED_VALUE"""),"short")</f>
        <v>short</v>
      </c>
      <c r="N780" s="45">
        <f>IFERROR(__xludf.DUMMYFUNCTION("""COMPUTED_VALUE"""),45046.0)</f>
        <v>45046</v>
      </c>
      <c r="O780" s="45">
        <f>IFERROR(__xludf.DUMMYFUNCTION("""COMPUTED_VALUE"""),45110.0)</f>
        <v>45110</v>
      </c>
      <c r="P780" s="45">
        <f>IFERROR(__xludf.DUMMYFUNCTION("""COMPUTED_VALUE"""),45152.0)</f>
        <v>45152</v>
      </c>
      <c r="Q780" s="45">
        <f>IFERROR(__xludf.DUMMYFUNCTION("""COMPUTED_VALUE"""),45124.0)</f>
        <v>45124</v>
      </c>
      <c r="R780" s="45">
        <f>IFERROR(__xludf.DUMMYFUNCTION("""COMPUTED_VALUE"""),45166.0)</f>
        <v>45166</v>
      </c>
      <c r="S780" s="43"/>
      <c r="T780" s="43"/>
      <c r="U780" s="43" t="str">
        <f>IFERROR(__xludf.DUMMYFUNCTION("""COMPUTED_VALUE"""),"Global Classroom")</f>
        <v>Global Classroom</v>
      </c>
      <c r="V780" s="43" t="str">
        <f>IFERROR(__xludf.DUMMYFUNCTION("""COMPUTED_VALUE"""),"Arad")</f>
        <v>Arad</v>
      </c>
      <c r="W780" s="43" t="str">
        <f>IFERROR(__xludf.DUMMYFUNCTION("""COMPUTED_VALUE"""),"2023-03-18T11:41:53Z")</f>
        <v>2023-03-18T11:41:53Z</v>
      </c>
      <c r="X780" s="43"/>
      <c r="Y780" s="43"/>
      <c r="Z780" s="43"/>
    </row>
    <row r="781" hidden="1">
      <c r="A781" s="43" t="str">
        <f>IFERROR(__xludf.DUMMYFUNCTION("""COMPUTED_VALUE"""),"5195430_1291144")</f>
        <v>5195430_1291144</v>
      </c>
      <c r="B781" s="43" t="str">
        <f>IFERROR(__xludf.DUMMYFUNCTION("""COMPUTED_VALUE"""),"Anan Yaser")</f>
        <v>Anan Yaser</v>
      </c>
      <c r="C781" s="43" t="str">
        <f>IFERROR(__xludf.DUMMYFUNCTION("""COMPUTED_VALUE"""),"approved")</f>
        <v>approved</v>
      </c>
      <c r="D781" s="43" t="str">
        <f>IFERROR(__xludf.DUMMYFUNCTION("""COMPUTED_VALUE"""),"No")</f>
        <v>No</v>
      </c>
      <c r="E781" s="43" t="str">
        <f>IFERROR(__xludf.DUMMYFUNCTION("""COMPUTED_VALUE"""),"p_edf11a8595aabb463436757a081ac26c8a9b8aa5@inbound.aiesec.org")</f>
        <v>p_edf11a8595aabb463436757a081ac26c8a9b8aa5@inbound.aiesec.org</v>
      </c>
      <c r="F781" s="43">
        <f>IFERROR(__xludf.DUMMYFUNCTION("""COMPUTED_VALUE"""),1.092669235E9)</f>
        <v>1092669235</v>
      </c>
      <c r="G781" s="43" t="str">
        <f>IFERROR(__xludf.DUMMYFUNCTION("""COMPUTED_VALUE"""),"Egypt")</f>
        <v>Egypt</v>
      </c>
      <c r="H781" s="43" t="str">
        <f>IFERROR(__xludf.DUMMYFUNCTION("""COMPUTED_VALUE"""),"MUST")</f>
        <v>MUST</v>
      </c>
      <c r="I781" s="43" t="str">
        <f>IFERROR(__xludf.DUMMYFUNCTION("""COMPUTED_VALUE"""),"Turkey")</f>
        <v>Turkey</v>
      </c>
      <c r="J781" s="43" t="str">
        <f>IFERROR(__xludf.DUMMYFUNCTION("""COMPUTED_VALUE"""),"ESKISEHIR")</f>
        <v>ESKISEHIR</v>
      </c>
      <c r="K781" s="44" t="str">
        <f>IFERROR(__xludf.DUMMYFUNCTION("""COMPUTED_VALUE"""),"https://expa.aiesec.org/opportunities/1291144")</f>
        <v>https://expa.aiesec.org/opportunities/1291144</v>
      </c>
      <c r="L781" s="43" t="str">
        <f>IFERROR(__xludf.DUMMYFUNCTION("""COMPUTED_VALUE"""),"GV")</f>
        <v>GV</v>
      </c>
      <c r="M781" s="43" t="str">
        <f>IFERROR(__xludf.DUMMYFUNCTION("""COMPUTED_VALUE"""),"short")</f>
        <v>short</v>
      </c>
      <c r="N781" s="45">
        <f>IFERROR(__xludf.DUMMYFUNCTION("""COMPUTED_VALUE"""),45047.0)</f>
        <v>45047</v>
      </c>
      <c r="O781" s="45">
        <f>IFERROR(__xludf.DUMMYFUNCTION("""COMPUTED_VALUE"""),45180.0)</f>
        <v>45180</v>
      </c>
      <c r="P781" s="45">
        <f>IFERROR(__xludf.DUMMYFUNCTION("""COMPUTED_VALUE"""),45222.0)</f>
        <v>45222</v>
      </c>
      <c r="Q781" s="45"/>
      <c r="R781" s="45"/>
      <c r="S781" s="43"/>
      <c r="T781" s="43"/>
      <c r="U781" s="43" t="str">
        <f>IFERROR(__xludf.DUMMYFUNCTION("""COMPUTED_VALUE"""),"Global Classroom")</f>
        <v>Global Classroom</v>
      </c>
      <c r="V781" s="43" t="str">
        <f>IFERROR(__xludf.DUMMYFUNCTION("""COMPUTED_VALUE"""),"MUST University")</f>
        <v>MUST University</v>
      </c>
      <c r="W781" s="43" t="str">
        <f>IFERROR(__xludf.DUMMYFUNCTION("""COMPUTED_VALUE"""),"2023-02-20T18:36:33Z")</f>
        <v>2023-02-20T18:36:33Z</v>
      </c>
      <c r="X781" s="43"/>
      <c r="Y781" s="43"/>
      <c r="Z781" s="43"/>
    </row>
    <row r="782" hidden="1">
      <c r="A782" s="43" t="str">
        <f>IFERROR(__xludf.DUMMYFUNCTION("""COMPUTED_VALUE"""),"5253755_1294068")</f>
        <v>5253755_1294068</v>
      </c>
      <c r="B782" s="43" t="str">
        <f>IFERROR(__xludf.DUMMYFUNCTION("""COMPUTED_VALUE"""),"Siwar mhadhbi")</f>
        <v>Siwar mhadhbi</v>
      </c>
      <c r="C782" s="43" t="str">
        <f>IFERROR(__xludf.DUMMYFUNCTION("""COMPUTED_VALUE"""),"approved")</f>
        <v>approved</v>
      </c>
      <c r="D782" s="43" t="str">
        <f>IFERROR(__xludf.DUMMYFUNCTION("""COMPUTED_VALUE"""),"No")</f>
        <v>No</v>
      </c>
      <c r="E782" s="43" t="str">
        <f>IFERROR(__xludf.DUMMYFUNCTION("""COMPUTED_VALUE"""),"p_dd535589bfa68a5540f8ca74590383f1b0451933@inbound.aiesec.org")</f>
        <v>p_dd535589bfa68a5540f8ca74590383f1b0451933@inbound.aiesec.org</v>
      </c>
      <c r="F782" s="43"/>
      <c r="G782" s="43" t="str">
        <f>IFERROR(__xludf.DUMMYFUNCTION("""COMPUTED_VALUE"""),"Tunisia")</f>
        <v>Tunisia</v>
      </c>
      <c r="H782" s="43" t="str">
        <f>IFERROR(__xludf.DUMMYFUNCTION("""COMPUTED_VALUE"""),"HADRUMET")</f>
        <v>HADRUMET</v>
      </c>
      <c r="I782" s="43" t="str">
        <f>IFERROR(__xludf.DUMMYFUNCTION("""COMPUTED_VALUE"""),"Turkey")</f>
        <v>Turkey</v>
      </c>
      <c r="J782" s="43" t="str">
        <f>IFERROR(__xludf.DUMMYFUNCTION("""COMPUTED_VALUE"""),"DENIZLI")</f>
        <v>DENIZLI</v>
      </c>
      <c r="K782" s="44" t="str">
        <f>IFERROR(__xludf.DUMMYFUNCTION("""COMPUTED_VALUE"""),"https://expa.aiesec.org/opportunities/1294068")</f>
        <v>https://expa.aiesec.org/opportunities/1294068</v>
      </c>
      <c r="L782" s="43" t="str">
        <f>IFERROR(__xludf.DUMMYFUNCTION("""COMPUTED_VALUE"""),"GV")</f>
        <v>GV</v>
      </c>
      <c r="M782" s="43" t="str">
        <f>IFERROR(__xludf.DUMMYFUNCTION("""COMPUTED_VALUE"""),"short")</f>
        <v>short</v>
      </c>
      <c r="N782" s="45">
        <f>IFERROR(__xludf.DUMMYFUNCTION("""COMPUTED_VALUE"""),45047.0)</f>
        <v>45047</v>
      </c>
      <c r="O782" s="45">
        <f>IFERROR(__xludf.DUMMYFUNCTION("""COMPUTED_VALUE"""),45124.0)</f>
        <v>45124</v>
      </c>
      <c r="P782" s="45">
        <f>IFERROR(__xludf.DUMMYFUNCTION("""COMPUTED_VALUE"""),45166.0)</f>
        <v>45166</v>
      </c>
      <c r="Q782" s="45"/>
      <c r="R782" s="45"/>
      <c r="S782" s="43"/>
      <c r="T782" s="43"/>
      <c r="U782" s="43" t="str">
        <f>IFERROR(__xludf.DUMMYFUNCTION("""COMPUTED_VALUE"""),"Equify")</f>
        <v>Equify</v>
      </c>
      <c r="V782" s="43" t="str">
        <f>IFERROR(__xludf.DUMMYFUNCTION("""COMPUTED_VALUE"""),"ISET Sousse")</f>
        <v>ISET Sousse</v>
      </c>
      <c r="W782" s="43" t="str">
        <f>IFERROR(__xludf.DUMMYFUNCTION("""COMPUTED_VALUE"""),"2023-05-01T15:16:59Z")</f>
        <v>2023-05-01T15:16:59Z</v>
      </c>
      <c r="X782" s="43"/>
      <c r="Y782" s="43"/>
      <c r="Z782" s="43"/>
    </row>
    <row r="783" hidden="1">
      <c r="A783" s="43" t="str">
        <f>IFERROR(__xludf.DUMMYFUNCTION("""COMPUTED_VALUE"""),"5147680_1292535")</f>
        <v>5147680_1292535</v>
      </c>
      <c r="B783" s="43" t="str">
        <f>IFERROR(__xludf.DUMMYFUNCTION("""COMPUTED_VALUE"""),"Omar Hesham")</f>
        <v>Omar Hesham</v>
      </c>
      <c r="C783" s="43" t="str">
        <f>IFERROR(__xludf.DUMMYFUNCTION("""COMPUTED_VALUE"""),"approved")</f>
        <v>approved</v>
      </c>
      <c r="D783" s="43" t="str">
        <f>IFERROR(__xludf.DUMMYFUNCTION("""COMPUTED_VALUE"""),"No")</f>
        <v>No</v>
      </c>
      <c r="E783" s="43" t="str">
        <f>IFERROR(__xludf.DUMMYFUNCTION("""COMPUTED_VALUE"""),"p_d45c33576d887b2cd5cbf8307b654ae369dde84f@inbound.aiesec.org")</f>
        <v>p_d45c33576d887b2cd5cbf8307b654ae369dde84f@inbound.aiesec.org</v>
      </c>
      <c r="F783" s="43">
        <f>IFERROR(__xludf.DUMMYFUNCTION("""COMPUTED_VALUE"""),1.033231996E9)</f>
        <v>1033231996</v>
      </c>
      <c r="G783" s="43" t="str">
        <f>IFERROR(__xludf.DUMMYFUNCTION("""COMPUTED_VALUE"""),"Egypt")</f>
        <v>Egypt</v>
      </c>
      <c r="H783" s="43" t="str">
        <f>IFERROR(__xludf.DUMMYFUNCTION("""COMPUTED_VALUE"""),"MUST")</f>
        <v>MUST</v>
      </c>
      <c r="I783" s="43" t="str">
        <f>IFERROR(__xludf.DUMMYFUNCTION("""COMPUTED_VALUE"""),"Turkey")</f>
        <v>Turkey</v>
      </c>
      <c r="J783" s="43" t="str">
        <f>IFERROR(__xludf.DUMMYFUNCTION("""COMPUTED_VALUE"""),"ESKISEHIR")</f>
        <v>ESKISEHIR</v>
      </c>
      <c r="K783" s="44" t="str">
        <f>IFERROR(__xludf.DUMMYFUNCTION("""COMPUTED_VALUE"""),"https://expa.aiesec.org/opportunities/1292535")</f>
        <v>https://expa.aiesec.org/opportunities/1292535</v>
      </c>
      <c r="L783" s="43" t="str">
        <f>IFERROR(__xludf.DUMMYFUNCTION("""COMPUTED_VALUE"""),"GV")</f>
        <v>GV</v>
      </c>
      <c r="M783" s="43" t="str">
        <f>IFERROR(__xludf.DUMMYFUNCTION("""COMPUTED_VALUE"""),"short")</f>
        <v>short</v>
      </c>
      <c r="N783" s="45">
        <f>IFERROR(__xludf.DUMMYFUNCTION("""COMPUTED_VALUE"""),45047.0)</f>
        <v>45047</v>
      </c>
      <c r="O783" s="45">
        <f>IFERROR(__xludf.DUMMYFUNCTION("""COMPUTED_VALUE"""),45117.0)</f>
        <v>45117</v>
      </c>
      <c r="P783" s="45">
        <f>IFERROR(__xludf.DUMMYFUNCTION("""COMPUTED_VALUE"""),45159.0)</f>
        <v>45159</v>
      </c>
      <c r="Q783" s="45"/>
      <c r="R783" s="45"/>
      <c r="S783" s="43"/>
      <c r="T783" s="43"/>
      <c r="U783" s="43" t="str">
        <f>IFERROR(__xludf.DUMMYFUNCTION("""COMPUTED_VALUE"""),"Global Classroom")</f>
        <v>Global Classroom</v>
      </c>
      <c r="V783" s="43" t="str">
        <f>IFERROR(__xludf.DUMMYFUNCTION("""COMPUTED_VALUE"""),"MUST University")</f>
        <v>MUST University</v>
      </c>
      <c r="W783" s="43" t="str">
        <f>IFERROR(__xludf.DUMMYFUNCTION("""COMPUTED_VALUE"""),"2022-11-06T11:43:10Z")</f>
        <v>2022-11-06T11:43:10Z</v>
      </c>
      <c r="X783" s="43"/>
      <c r="Y783" s="43"/>
      <c r="Z783" s="43"/>
    </row>
    <row r="784">
      <c r="A784" s="43" t="str">
        <f>IFERROR(__xludf.DUMMYFUNCTION("""COMPUTED_VALUE"""),"5230429_1289261")</f>
        <v>5230429_1289261</v>
      </c>
      <c r="B784" s="43" t="str">
        <f>IFERROR(__xludf.DUMMYFUNCTION("""COMPUTED_VALUE"""),"Shakhribanu Abdumazhitova")</f>
        <v>Shakhribanu Abdumazhitova</v>
      </c>
      <c r="C784" s="43" t="str">
        <f>IFERROR(__xludf.DUMMYFUNCTION("""COMPUTED_VALUE"""),"approved")</f>
        <v>approved</v>
      </c>
      <c r="D784" s="43" t="str">
        <f>IFERROR(__xludf.DUMMYFUNCTION("""COMPUTED_VALUE"""),"No")</f>
        <v>No</v>
      </c>
      <c r="E784" s="43" t="str">
        <f>IFERROR(__xludf.DUMMYFUNCTION("""COMPUTED_VALUE"""),"p_7541cb763e52dd04d37c2e360b31980f0f16e263@inbound.aiesec.org")</f>
        <v>p_7541cb763e52dd04d37c2e360b31980f0f16e263@inbound.aiesec.org</v>
      </c>
      <c r="F784" s="43">
        <f>IFERROR(__xludf.DUMMYFUNCTION("""COMPUTED_VALUE"""),7.054916703E9)</f>
        <v>7054916703</v>
      </c>
      <c r="G784" s="43" t="str">
        <f>IFERROR(__xludf.DUMMYFUNCTION("""COMPUTED_VALUE"""),"Kazakhstan")</f>
        <v>Kazakhstan</v>
      </c>
      <c r="H784" s="43" t="str">
        <f>IFERROR(__xludf.DUMMYFUNCTION("""COMPUTED_VALUE"""),"ALMATY")</f>
        <v>ALMATY</v>
      </c>
      <c r="I784" s="43" t="str">
        <f>IFERROR(__xludf.DUMMYFUNCTION("""COMPUTED_VALUE"""),"Turkey")</f>
        <v>Turkey</v>
      </c>
      <c r="J784" s="43" t="str">
        <f>IFERROR(__xludf.DUMMYFUNCTION("""COMPUTED_VALUE"""),"İZMİR")</f>
        <v>İZMİR</v>
      </c>
      <c r="K784" s="44" t="str">
        <f>IFERROR(__xludf.DUMMYFUNCTION("""COMPUTED_VALUE"""),"https://expa.aiesec.org/opportunities/1289261")</f>
        <v>https://expa.aiesec.org/opportunities/1289261</v>
      </c>
      <c r="L784" s="43" t="str">
        <f>IFERROR(__xludf.DUMMYFUNCTION("""COMPUTED_VALUE"""),"GV")</f>
        <v>GV</v>
      </c>
      <c r="M784" s="43" t="str">
        <f>IFERROR(__xludf.DUMMYFUNCTION("""COMPUTED_VALUE"""),"short")</f>
        <v>short</v>
      </c>
      <c r="N784" s="45">
        <f>IFERROR(__xludf.DUMMYFUNCTION("""COMPUTED_VALUE"""),45047.0)</f>
        <v>45047</v>
      </c>
      <c r="O784" s="45">
        <f>IFERROR(__xludf.DUMMYFUNCTION("""COMPUTED_VALUE"""),45088.0)</f>
        <v>45088</v>
      </c>
      <c r="P784" s="45">
        <f>IFERROR(__xludf.DUMMYFUNCTION("""COMPUTED_VALUE"""),45130.0)</f>
        <v>45130</v>
      </c>
      <c r="Q784" s="45"/>
      <c r="R784" s="45"/>
      <c r="S784" s="43"/>
      <c r="T784" s="43"/>
      <c r="U784" s="43" t="str">
        <f>IFERROR(__xludf.DUMMYFUNCTION("""COMPUTED_VALUE"""),"Global Classroom")</f>
        <v>Global Classroom</v>
      </c>
      <c r="V784" s="43" t="str">
        <f>IFERROR(__xludf.DUMMYFUNCTION("""COMPUTED_VALUE"""),"Almaty")</f>
        <v>Almaty</v>
      </c>
      <c r="W784" s="43" t="str">
        <f>IFERROR(__xludf.DUMMYFUNCTION("""COMPUTED_VALUE"""),"2023-03-29T19:23:41Z")</f>
        <v>2023-03-29T19:23:41Z</v>
      </c>
      <c r="X784" s="43"/>
      <c r="Y784" s="43"/>
      <c r="Z784" s="43"/>
    </row>
    <row r="785" hidden="1">
      <c r="A785" s="43" t="str">
        <f>IFERROR(__xludf.DUMMYFUNCTION("""COMPUTED_VALUE"""),"5248533_1284670")</f>
        <v>5248533_1284670</v>
      </c>
      <c r="B785" s="43" t="str">
        <f>IFERROR(__xludf.DUMMYFUNCTION("""COMPUTED_VALUE"""),"Dayana Kuatbayeva")</f>
        <v>Dayana Kuatbayeva</v>
      </c>
      <c r="C785" s="43" t="str">
        <f>IFERROR(__xludf.DUMMYFUNCTION("""COMPUTED_VALUE"""),"finished")</f>
        <v>finished</v>
      </c>
      <c r="D785" s="43" t="str">
        <f>IFERROR(__xludf.DUMMYFUNCTION("""COMPUTED_VALUE"""),"No")</f>
        <v>No</v>
      </c>
      <c r="E785" s="43" t="str">
        <f>IFERROR(__xludf.DUMMYFUNCTION("""COMPUTED_VALUE"""),"p_6b4a68286675b4ec6c9e52eea0994c1d41aa10ac@inbound.aiesec.org")</f>
        <v>p_6b4a68286675b4ec6c9e52eea0994c1d41aa10ac@inbound.aiesec.org</v>
      </c>
      <c r="F785" s="43">
        <f>IFERROR(__xludf.DUMMYFUNCTION("""COMPUTED_VALUE"""),7.475738451E9)</f>
        <v>7475738451</v>
      </c>
      <c r="G785" s="43" t="str">
        <f>IFERROR(__xludf.DUMMYFUNCTION("""COMPUTED_VALUE"""),"Kazakhstan")</f>
        <v>Kazakhstan</v>
      </c>
      <c r="H785" s="43" t="str">
        <f>IFERROR(__xludf.DUMMYFUNCTION("""COMPUTED_VALUE"""),"Astana")</f>
        <v>Astana</v>
      </c>
      <c r="I785" s="43" t="str">
        <f>IFERROR(__xludf.DUMMYFUNCTION("""COMPUTED_VALUE"""),"Turkey")</f>
        <v>Turkey</v>
      </c>
      <c r="J785" s="43" t="str">
        <f>IFERROR(__xludf.DUMMYFUNCTION("""COMPUTED_VALUE"""),"ISTANBUL")</f>
        <v>ISTANBUL</v>
      </c>
      <c r="K785" s="44" t="str">
        <f>IFERROR(__xludf.DUMMYFUNCTION("""COMPUTED_VALUE"""),"https://expa.aiesec.org/opportunities/1284670")</f>
        <v>https://expa.aiesec.org/opportunities/1284670</v>
      </c>
      <c r="L785" s="43" t="str">
        <f>IFERROR(__xludf.DUMMYFUNCTION("""COMPUTED_VALUE"""),"GV")</f>
        <v>GV</v>
      </c>
      <c r="M785" s="43" t="str">
        <f>IFERROR(__xludf.DUMMYFUNCTION("""COMPUTED_VALUE"""),"short")</f>
        <v>short</v>
      </c>
      <c r="N785" s="45">
        <f>IFERROR(__xludf.DUMMYFUNCTION("""COMPUTED_VALUE"""),45047.0)</f>
        <v>45047</v>
      </c>
      <c r="O785" s="45">
        <f>IFERROR(__xludf.DUMMYFUNCTION("""COMPUTED_VALUE"""),45110.0)</f>
        <v>45110</v>
      </c>
      <c r="P785" s="45">
        <f>IFERROR(__xludf.DUMMYFUNCTION("""COMPUTED_VALUE"""),45152.0)</f>
        <v>45152</v>
      </c>
      <c r="Q785" s="45">
        <f>IFERROR(__xludf.DUMMYFUNCTION("""COMPUTED_VALUE"""),45110.0)</f>
        <v>45110</v>
      </c>
      <c r="R785" s="45">
        <f>IFERROR(__xludf.DUMMYFUNCTION("""COMPUTED_VALUE"""),45152.0)</f>
        <v>45152</v>
      </c>
      <c r="S785" s="43"/>
      <c r="T785" s="43"/>
      <c r="U785" s="43" t="str">
        <f>IFERROR(__xludf.DUMMYFUNCTION("""COMPUTED_VALUE"""),"Heartbeat")</f>
        <v>Heartbeat</v>
      </c>
      <c r="V785" s="43" t="str">
        <f>IFERROR(__xludf.DUMMYFUNCTION("""COMPUTED_VALUE"""),"Shymkent")</f>
        <v>Shymkent</v>
      </c>
      <c r="W785" s="43" t="str">
        <f>IFERROR(__xludf.DUMMYFUNCTION("""COMPUTED_VALUE"""),"2023-04-24T18:56:19Z")</f>
        <v>2023-04-24T18:56:19Z</v>
      </c>
      <c r="X785" s="43"/>
      <c r="Y785" s="43"/>
      <c r="Z785" s="43"/>
    </row>
    <row r="786" hidden="1">
      <c r="A786" s="43" t="str">
        <f>IFERROR(__xludf.DUMMYFUNCTION("""COMPUTED_VALUE"""),"5245434_1294197")</f>
        <v>5245434_1294197</v>
      </c>
      <c r="B786" s="43" t="str">
        <f>IFERROR(__xludf.DUMMYFUNCTION("""COMPUTED_VALUE"""),"Ramez tamer")</f>
        <v>Ramez tamer</v>
      </c>
      <c r="C786" s="43" t="str">
        <f>IFERROR(__xludf.DUMMYFUNCTION("""COMPUTED_VALUE"""),"approved")</f>
        <v>approved</v>
      </c>
      <c r="D786" s="43" t="str">
        <f>IFERROR(__xludf.DUMMYFUNCTION("""COMPUTED_VALUE"""),"No")</f>
        <v>No</v>
      </c>
      <c r="E786" s="43" t="str">
        <f>IFERROR(__xludf.DUMMYFUNCTION("""COMPUTED_VALUE"""),"p_7796d772a376bbb4495cc243be120365b684488a@inbound.aiesec.org")</f>
        <v>p_7796d772a376bbb4495cc243be120365b684488a@inbound.aiesec.org</v>
      </c>
      <c r="F786" s="43">
        <f>IFERROR(__xludf.DUMMYFUNCTION("""COMPUTED_VALUE"""),1.220710616E9)</f>
        <v>1220710616</v>
      </c>
      <c r="G786" s="43" t="str">
        <f>IFERROR(__xludf.DUMMYFUNCTION("""COMPUTED_VALUE"""),"Egypt")</f>
        <v>Egypt</v>
      </c>
      <c r="H786" s="43" t="str">
        <f>IFERROR(__xludf.DUMMYFUNCTION("""COMPUTED_VALUE"""),"Cairo University")</f>
        <v>Cairo University</v>
      </c>
      <c r="I786" s="43" t="str">
        <f>IFERROR(__xludf.DUMMYFUNCTION("""COMPUTED_VALUE"""),"Turkey")</f>
        <v>Turkey</v>
      </c>
      <c r="J786" s="43" t="str">
        <f>IFERROR(__xludf.DUMMYFUNCTION("""COMPUTED_VALUE"""),"SAMSUN")</f>
        <v>SAMSUN</v>
      </c>
      <c r="K786" s="44" t="str">
        <f>IFERROR(__xludf.DUMMYFUNCTION("""COMPUTED_VALUE"""),"https://expa.aiesec.org/opportunities/1294197")</f>
        <v>https://expa.aiesec.org/opportunities/1294197</v>
      </c>
      <c r="L786" s="43" t="str">
        <f>IFERROR(__xludf.DUMMYFUNCTION("""COMPUTED_VALUE"""),"GV")</f>
        <v>GV</v>
      </c>
      <c r="M786" s="43" t="str">
        <f>IFERROR(__xludf.DUMMYFUNCTION("""COMPUTED_VALUE"""),"short")</f>
        <v>short</v>
      </c>
      <c r="N786" s="45">
        <f>IFERROR(__xludf.DUMMYFUNCTION("""COMPUTED_VALUE"""),45048.0)</f>
        <v>45048</v>
      </c>
      <c r="O786" s="45">
        <f>IFERROR(__xludf.DUMMYFUNCTION("""COMPUTED_VALUE"""),45187.0)</f>
        <v>45187</v>
      </c>
      <c r="P786" s="45">
        <f>IFERROR(__xludf.DUMMYFUNCTION("""COMPUTED_VALUE"""),45229.0)</f>
        <v>45229</v>
      </c>
      <c r="Q786" s="45"/>
      <c r="R786" s="45"/>
      <c r="S786" s="43"/>
      <c r="T786" s="43"/>
      <c r="U786" s="43" t="str">
        <f>IFERROR(__xludf.DUMMYFUNCTION("""COMPUTED_VALUE"""),"Global Classroom")</f>
        <v>Global Classroom</v>
      </c>
      <c r="V786" s="43" t="str">
        <f>IFERROR(__xludf.DUMMYFUNCTION("""COMPUTED_VALUE"""),"Cairo Univeristy")</f>
        <v>Cairo Univeristy</v>
      </c>
      <c r="W786" s="43" t="str">
        <f>IFERROR(__xludf.DUMMYFUNCTION("""COMPUTED_VALUE"""),"2023-04-19T14:47:17Z")</f>
        <v>2023-04-19T14:47:17Z</v>
      </c>
      <c r="X786" s="43"/>
      <c r="Y786" s="43"/>
      <c r="Z786" s="43"/>
    </row>
    <row r="787" hidden="1">
      <c r="A787" s="43" t="str">
        <f>IFERROR(__xludf.DUMMYFUNCTION("""COMPUTED_VALUE"""),"5247963_1292793")</f>
        <v>5247963_1292793</v>
      </c>
      <c r="B787" s="43" t="str">
        <f>IFERROR(__xludf.DUMMYFUNCTION("""COMPUTED_VALUE"""),"Eya Haj salem")</f>
        <v>Eya Haj salem</v>
      </c>
      <c r="C787" s="43" t="str">
        <f>IFERROR(__xludf.DUMMYFUNCTION("""COMPUTED_VALUE"""),"finished")</f>
        <v>finished</v>
      </c>
      <c r="D787" s="43" t="str">
        <f>IFERROR(__xludf.DUMMYFUNCTION("""COMPUTED_VALUE"""),"No")</f>
        <v>No</v>
      </c>
      <c r="E787" s="43" t="str">
        <f>IFERROR(__xludf.DUMMYFUNCTION("""COMPUTED_VALUE"""),"p_bd145a2b6f76250e38c7ea9113d29200d945db90@inbound.aiesec.org")</f>
        <v>p_bd145a2b6f76250e38c7ea9113d29200d945db90@inbound.aiesec.org</v>
      </c>
      <c r="F787" s="43">
        <f>IFERROR(__xludf.DUMMYFUNCTION("""COMPUTED_VALUE"""),5.2756723E7)</f>
        <v>52756723</v>
      </c>
      <c r="G787" s="43" t="str">
        <f>IFERROR(__xludf.DUMMYFUNCTION("""COMPUTED_VALUE"""),"Tunisia")</f>
        <v>Tunisia</v>
      </c>
      <c r="H787" s="43" t="str">
        <f>IFERROR(__xludf.DUMMYFUNCTION("""COMPUTED_VALUE"""),"UNIVERSITY")</f>
        <v>UNIVERSITY</v>
      </c>
      <c r="I787" s="43" t="str">
        <f>IFERROR(__xludf.DUMMYFUNCTION("""COMPUTED_VALUE"""),"Turkey")</f>
        <v>Turkey</v>
      </c>
      <c r="J787" s="43" t="str">
        <f>IFERROR(__xludf.DUMMYFUNCTION("""COMPUTED_VALUE"""),"ANTALYA")</f>
        <v>ANTALYA</v>
      </c>
      <c r="K787" s="44" t="str">
        <f>IFERROR(__xludf.DUMMYFUNCTION("""COMPUTED_VALUE"""),"https://expa.aiesec.org/opportunities/1292793")</f>
        <v>https://expa.aiesec.org/opportunities/1292793</v>
      </c>
      <c r="L787" s="43" t="str">
        <f>IFERROR(__xludf.DUMMYFUNCTION("""COMPUTED_VALUE"""),"GV")</f>
        <v>GV</v>
      </c>
      <c r="M787" s="43" t="str">
        <f>IFERROR(__xludf.DUMMYFUNCTION("""COMPUTED_VALUE"""),"short")</f>
        <v>short</v>
      </c>
      <c r="N787" s="45">
        <f>IFERROR(__xludf.DUMMYFUNCTION("""COMPUTED_VALUE"""),45048.0)</f>
        <v>45048</v>
      </c>
      <c r="O787" s="45">
        <f>IFERROR(__xludf.DUMMYFUNCTION("""COMPUTED_VALUE"""),45089.0)</f>
        <v>45089</v>
      </c>
      <c r="P787" s="45">
        <f>IFERROR(__xludf.DUMMYFUNCTION("""COMPUTED_VALUE"""),45131.0)</f>
        <v>45131</v>
      </c>
      <c r="Q787" s="45">
        <f>IFERROR(__xludf.DUMMYFUNCTION("""COMPUTED_VALUE"""),45090.0)</f>
        <v>45090</v>
      </c>
      <c r="R787" s="45">
        <f>IFERROR(__xludf.DUMMYFUNCTION("""COMPUTED_VALUE"""),45131.0)</f>
        <v>45131</v>
      </c>
      <c r="S787" s="43"/>
      <c r="T787" s="43"/>
      <c r="U787" s="43" t="str">
        <f>IFERROR(__xludf.DUMMYFUNCTION("""COMPUTED_VALUE"""),"Global Classroom")</f>
        <v>Global Classroom</v>
      </c>
      <c r="V787" s="43" t="str">
        <f>IFERROR(__xludf.DUMMYFUNCTION("""COMPUTED_VALUE"""),"Central Santé ")</f>
        <v>Central Santé </v>
      </c>
      <c r="W787" s="43" t="str">
        <f>IFERROR(__xludf.DUMMYFUNCTION("""COMPUTED_VALUE"""),"2023-04-23T20:44:10Z")</f>
        <v>2023-04-23T20:44:10Z</v>
      </c>
      <c r="X787" s="43"/>
      <c r="Y787" s="43"/>
      <c r="Z787" s="43"/>
    </row>
    <row r="788" hidden="1">
      <c r="A788" s="43" t="str">
        <f>IFERROR(__xludf.DUMMYFUNCTION("""COMPUTED_VALUE"""),"5159036_1291144")</f>
        <v>5159036_1291144</v>
      </c>
      <c r="B788" s="43" t="str">
        <f>IFERROR(__xludf.DUMMYFUNCTION("""COMPUTED_VALUE"""),"Aasis Sethi")</f>
        <v>Aasis Sethi</v>
      </c>
      <c r="C788" s="43" t="str">
        <f>IFERROR(__xludf.DUMMYFUNCTION("""COMPUTED_VALUE"""),"approved")</f>
        <v>approved</v>
      </c>
      <c r="D788" s="43" t="str">
        <f>IFERROR(__xludf.DUMMYFUNCTION("""COMPUTED_VALUE"""),"No")</f>
        <v>No</v>
      </c>
      <c r="E788" s="43" t="str">
        <f>IFERROR(__xludf.DUMMYFUNCTION("""COMPUTED_VALUE"""),"p_bb9d8898a9415116f0e37a482ad1bd4214862986@inbound.aiesec.org")</f>
        <v>p_bb9d8898a9415116f0e37a482ad1bd4214862986@inbound.aiesec.org</v>
      </c>
      <c r="F788" s="43">
        <f>IFERROR(__xludf.DUMMYFUNCTION("""COMPUTED_VALUE"""),8.76620554E9)</f>
        <v>8766205540</v>
      </c>
      <c r="G788" s="43" t="str">
        <f>IFERROR(__xludf.DUMMYFUNCTION("""COMPUTED_VALUE"""),"India")</f>
        <v>India</v>
      </c>
      <c r="H788" s="43" t="str">
        <f>IFERROR(__xludf.DUMMYFUNCTION("""COMPUTED_VALUE"""),"Delhi University")</f>
        <v>Delhi University</v>
      </c>
      <c r="I788" s="43" t="str">
        <f>IFERROR(__xludf.DUMMYFUNCTION("""COMPUTED_VALUE"""),"Turkey")</f>
        <v>Turkey</v>
      </c>
      <c r="J788" s="43" t="str">
        <f>IFERROR(__xludf.DUMMYFUNCTION("""COMPUTED_VALUE"""),"ESKISEHIR")</f>
        <v>ESKISEHIR</v>
      </c>
      <c r="K788" s="44" t="str">
        <f>IFERROR(__xludf.DUMMYFUNCTION("""COMPUTED_VALUE"""),"https://expa.aiesec.org/opportunities/1291144")</f>
        <v>https://expa.aiesec.org/opportunities/1291144</v>
      </c>
      <c r="L788" s="43" t="str">
        <f>IFERROR(__xludf.DUMMYFUNCTION("""COMPUTED_VALUE"""),"GV")</f>
        <v>GV</v>
      </c>
      <c r="M788" s="43" t="str">
        <f>IFERROR(__xludf.DUMMYFUNCTION("""COMPUTED_VALUE"""),"short")</f>
        <v>short</v>
      </c>
      <c r="N788" s="45">
        <f>IFERROR(__xludf.DUMMYFUNCTION("""COMPUTED_VALUE"""),45048.0)</f>
        <v>45048</v>
      </c>
      <c r="O788" s="45">
        <f>IFERROR(__xludf.DUMMYFUNCTION("""COMPUTED_VALUE"""),45180.0)</f>
        <v>45180</v>
      </c>
      <c r="P788" s="45">
        <f>IFERROR(__xludf.DUMMYFUNCTION("""COMPUTED_VALUE"""),45222.0)</f>
        <v>45222</v>
      </c>
      <c r="Q788" s="45"/>
      <c r="R788" s="45"/>
      <c r="S788" s="43"/>
      <c r="T788" s="43"/>
      <c r="U788" s="43" t="str">
        <f>IFERROR(__xludf.DUMMYFUNCTION("""COMPUTED_VALUE"""),"Global Classroom")</f>
        <v>Global Classroom</v>
      </c>
      <c r="V788" s="43" t="str">
        <f>IFERROR(__xludf.DUMMYFUNCTION("""COMPUTED_VALUE"""),"North Campus, Delhi University")</f>
        <v>North Campus, Delhi University</v>
      </c>
      <c r="W788" s="43" t="str">
        <f>IFERROR(__xludf.DUMMYFUNCTION("""COMPUTED_VALUE"""),"2022-11-26T06:29:07Z")</f>
        <v>2022-11-26T06:29:07Z</v>
      </c>
      <c r="X788" s="43"/>
      <c r="Y788" s="43"/>
      <c r="Z788" s="43"/>
    </row>
    <row r="789" hidden="1">
      <c r="A789" s="43" t="str">
        <f>IFERROR(__xludf.DUMMYFUNCTION("""COMPUTED_VALUE"""),"5252447_1284670")</f>
        <v>5252447_1284670</v>
      </c>
      <c r="B789" s="43" t="str">
        <f>IFERROR(__xludf.DUMMYFUNCTION("""COMPUTED_VALUE"""),"deleted 5252447")</f>
        <v>deleted 5252447</v>
      </c>
      <c r="C789" s="43" t="str">
        <f>IFERROR(__xludf.DUMMYFUNCTION("""COMPUTED_VALUE"""),"approved")</f>
        <v>approved</v>
      </c>
      <c r="D789" s="43" t="str">
        <f>IFERROR(__xludf.DUMMYFUNCTION("""COMPUTED_VALUE"""),"No")</f>
        <v>No</v>
      </c>
      <c r="E789" s="43" t="str">
        <f>IFERROR(__xludf.DUMMYFUNCTION("""COMPUTED_VALUE"""),"p_073483658759ed1e2805ce5f8162044f08aba88a@inbound.aiesec.org")</f>
        <v>p_073483658759ed1e2805ce5f8162044f08aba88a@inbound.aiesec.org</v>
      </c>
      <c r="F789" s="43"/>
      <c r="G789" s="43" t="str">
        <f>IFERROR(__xludf.DUMMYFUNCTION("""COMPUTED_VALUE"""),"Tunisia")</f>
        <v>Tunisia</v>
      </c>
      <c r="H789" s="43" t="str">
        <f>IFERROR(__xludf.DUMMYFUNCTION("""COMPUTED_VALUE"""),"Carthage")</f>
        <v>Carthage</v>
      </c>
      <c r="I789" s="43" t="str">
        <f>IFERROR(__xludf.DUMMYFUNCTION("""COMPUTED_VALUE"""),"Turkey")</f>
        <v>Turkey</v>
      </c>
      <c r="J789" s="43" t="str">
        <f>IFERROR(__xludf.DUMMYFUNCTION("""COMPUTED_VALUE"""),"ISTANBUL")</f>
        <v>ISTANBUL</v>
      </c>
      <c r="K789" s="44" t="str">
        <f>IFERROR(__xludf.DUMMYFUNCTION("""COMPUTED_VALUE"""),"https://expa.aiesec.org/opportunities/1284670")</f>
        <v>https://expa.aiesec.org/opportunities/1284670</v>
      </c>
      <c r="L789" s="43" t="str">
        <f>IFERROR(__xludf.DUMMYFUNCTION("""COMPUTED_VALUE"""),"GV")</f>
        <v>GV</v>
      </c>
      <c r="M789" s="43" t="str">
        <f>IFERROR(__xludf.DUMMYFUNCTION("""COMPUTED_VALUE"""),"short")</f>
        <v>short</v>
      </c>
      <c r="N789" s="45">
        <f>IFERROR(__xludf.DUMMYFUNCTION("""COMPUTED_VALUE"""),45048.0)</f>
        <v>45048</v>
      </c>
      <c r="O789" s="45">
        <f>IFERROR(__xludf.DUMMYFUNCTION("""COMPUTED_VALUE"""),45111.0)</f>
        <v>45111</v>
      </c>
      <c r="P789" s="45">
        <f>IFERROR(__xludf.DUMMYFUNCTION("""COMPUTED_VALUE"""),45153.0)</f>
        <v>45153</v>
      </c>
      <c r="Q789" s="45"/>
      <c r="R789" s="45"/>
      <c r="S789" s="43"/>
      <c r="T789" s="43"/>
      <c r="U789" s="43" t="str">
        <f>IFERROR(__xludf.DUMMYFUNCTION("""COMPUTED_VALUE"""),"Heartbeat")</f>
        <v>Heartbeat</v>
      </c>
      <c r="V789" s="43" t="str">
        <f>IFERROR(__xludf.DUMMYFUNCTION("""COMPUTED_VALUE"""),"-")</f>
        <v>-</v>
      </c>
      <c r="W789" s="43" t="str">
        <f>IFERROR(__xludf.DUMMYFUNCTION("""COMPUTED_VALUE"""),"2023-04-29T12:44:35Z")</f>
        <v>2023-04-29T12:44:35Z</v>
      </c>
      <c r="X789" s="43"/>
      <c r="Y789" s="43"/>
      <c r="Z789" s="43"/>
    </row>
    <row r="790" hidden="1">
      <c r="A790" s="43" t="str">
        <f>IFERROR(__xludf.DUMMYFUNCTION("""COMPUTED_VALUE"""),"5248596_1284077")</f>
        <v>5248596_1284077</v>
      </c>
      <c r="B790" s="43" t="str">
        <f>IFERROR(__xludf.DUMMYFUNCTION("""COMPUTED_VALUE"""),"marwa sultan")</f>
        <v>marwa sultan</v>
      </c>
      <c r="C790" s="43" t="str">
        <f>IFERROR(__xludf.DUMMYFUNCTION("""COMPUTED_VALUE"""),"completed")</f>
        <v>completed</v>
      </c>
      <c r="D790" s="43" t="str">
        <f>IFERROR(__xludf.DUMMYFUNCTION("""COMPUTED_VALUE"""),"No")</f>
        <v>No</v>
      </c>
      <c r="E790" s="43" t="str">
        <f>IFERROR(__xludf.DUMMYFUNCTION("""COMPUTED_VALUE"""),"p_62f5b7d1817ee77320a41d6df970a7fa42909ec8@inbound.aiesec.org")</f>
        <v>p_62f5b7d1817ee77320a41d6df970a7fa42909ec8@inbound.aiesec.org</v>
      </c>
      <c r="F790" s="43">
        <f>IFERROR(__xludf.DUMMYFUNCTION("""COMPUTED_VALUE"""),1.032449735E9)</f>
        <v>1032449735</v>
      </c>
      <c r="G790" s="43" t="str">
        <f>IFERROR(__xludf.DUMMYFUNCTION("""COMPUTED_VALUE"""),"Egypt")</f>
        <v>Egypt</v>
      </c>
      <c r="H790" s="43" t="str">
        <f>IFERROR(__xludf.DUMMYFUNCTION("""COMPUTED_VALUE"""),"Alexandria")</f>
        <v>Alexandria</v>
      </c>
      <c r="I790" s="43" t="str">
        <f>IFERROR(__xludf.DUMMYFUNCTION("""COMPUTED_VALUE"""),"Turkey")</f>
        <v>Turkey</v>
      </c>
      <c r="J790" s="43" t="str">
        <f>IFERROR(__xludf.DUMMYFUNCTION("""COMPUTED_VALUE"""),"GAZIANTEP")</f>
        <v>GAZIANTEP</v>
      </c>
      <c r="K790" s="44" t="str">
        <f>IFERROR(__xludf.DUMMYFUNCTION("""COMPUTED_VALUE"""),"https://expa.aiesec.org/opportunities/1284077")</f>
        <v>https://expa.aiesec.org/opportunities/1284077</v>
      </c>
      <c r="L790" s="43" t="str">
        <f>IFERROR(__xludf.DUMMYFUNCTION("""COMPUTED_VALUE"""),"GV")</f>
        <v>GV</v>
      </c>
      <c r="M790" s="43" t="str">
        <f>IFERROR(__xludf.DUMMYFUNCTION("""COMPUTED_VALUE"""),"short")</f>
        <v>short</v>
      </c>
      <c r="N790" s="45">
        <f>IFERROR(__xludf.DUMMYFUNCTION("""COMPUTED_VALUE"""),45048.0)</f>
        <v>45048</v>
      </c>
      <c r="O790" s="45">
        <f>IFERROR(__xludf.DUMMYFUNCTION("""COMPUTED_VALUE"""),45122.0)</f>
        <v>45122</v>
      </c>
      <c r="P790" s="45">
        <f>IFERROR(__xludf.DUMMYFUNCTION("""COMPUTED_VALUE"""),45164.0)</f>
        <v>45164</v>
      </c>
      <c r="Q790" s="45">
        <f>IFERROR(__xludf.DUMMYFUNCTION("""COMPUTED_VALUE"""),45124.0)</f>
        <v>45124</v>
      </c>
      <c r="R790" s="45">
        <f>IFERROR(__xludf.DUMMYFUNCTION("""COMPUTED_VALUE"""),45164.0)</f>
        <v>45164</v>
      </c>
      <c r="S790" s="43"/>
      <c r="T790" s="43"/>
      <c r="U790" s="43" t="str">
        <f>IFERROR(__xludf.DUMMYFUNCTION("""COMPUTED_VALUE"""),"Global Classroom")</f>
        <v>Global Classroom</v>
      </c>
      <c r="V790" s="43" t="str">
        <f>IFERROR(__xludf.DUMMYFUNCTION("""COMPUTED_VALUE"""),"Alexandria University")</f>
        <v>Alexandria University</v>
      </c>
      <c r="W790" s="43" t="str">
        <f>IFERROR(__xludf.DUMMYFUNCTION("""COMPUTED_VALUE"""),"2023-04-24T20:59:10Z")</f>
        <v>2023-04-24T20:59:10Z</v>
      </c>
      <c r="X790" s="43"/>
      <c r="Y790" s="43"/>
      <c r="Z790" s="43"/>
    </row>
    <row r="791" hidden="1">
      <c r="A791" s="43" t="str">
        <f>IFERROR(__xludf.DUMMYFUNCTION("""COMPUTED_VALUE"""),"5255038_1294068")</f>
        <v>5255038_1294068</v>
      </c>
      <c r="B791" s="43" t="str">
        <f>IFERROR(__xludf.DUMMYFUNCTION("""COMPUTED_VALUE"""),"Wided Romdhani")</f>
        <v>Wided Romdhani</v>
      </c>
      <c r="C791" s="43" t="str">
        <f>IFERROR(__xludf.DUMMYFUNCTION("""COMPUTED_VALUE"""),"completed")</f>
        <v>completed</v>
      </c>
      <c r="D791" s="43" t="str">
        <f>IFERROR(__xludf.DUMMYFUNCTION("""COMPUTED_VALUE"""),"No")</f>
        <v>No</v>
      </c>
      <c r="E791" s="43" t="str">
        <f>IFERROR(__xludf.DUMMYFUNCTION("""COMPUTED_VALUE"""),"p_fea8efd40d28c237819559a82faa33b661b3451b@inbound.aiesec.org")</f>
        <v>p_fea8efd40d28c237819559a82faa33b661b3451b@inbound.aiesec.org</v>
      </c>
      <c r="F791" s="43"/>
      <c r="G791" s="43" t="str">
        <f>IFERROR(__xludf.DUMMYFUNCTION("""COMPUTED_VALUE"""),"Tunisia")</f>
        <v>Tunisia</v>
      </c>
      <c r="H791" s="43" t="str">
        <f>IFERROR(__xludf.DUMMYFUNCTION("""COMPUTED_VALUE"""),"HADRUMET")</f>
        <v>HADRUMET</v>
      </c>
      <c r="I791" s="43" t="str">
        <f>IFERROR(__xludf.DUMMYFUNCTION("""COMPUTED_VALUE"""),"Turkey")</f>
        <v>Turkey</v>
      </c>
      <c r="J791" s="43" t="str">
        <f>IFERROR(__xludf.DUMMYFUNCTION("""COMPUTED_VALUE"""),"DENIZLI")</f>
        <v>DENIZLI</v>
      </c>
      <c r="K791" s="44" t="str">
        <f>IFERROR(__xludf.DUMMYFUNCTION("""COMPUTED_VALUE"""),"https://expa.aiesec.org/opportunities/1294068")</f>
        <v>https://expa.aiesec.org/opportunities/1294068</v>
      </c>
      <c r="L791" s="43" t="str">
        <f>IFERROR(__xludf.DUMMYFUNCTION("""COMPUTED_VALUE"""),"GV")</f>
        <v>GV</v>
      </c>
      <c r="M791" s="43" t="str">
        <f>IFERROR(__xludf.DUMMYFUNCTION("""COMPUTED_VALUE"""),"short")</f>
        <v>short</v>
      </c>
      <c r="N791" s="45">
        <f>IFERROR(__xludf.DUMMYFUNCTION("""COMPUTED_VALUE"""),45049.0)</f>
        <v>45049</v>
      </c>
      <c r="O791" s="45">
        <f>IFERROR(__xludf.DUMMYFUNCTION("""COMPUTED_VALUE"""),45124.0)</f>
        <v>45124</v>
      </c>
      <c r="P791" s="45">
        <f>IFERROR(__xludf.DUMMYFUNCTION("""COMPUTED_VALUE"""),45166.0)</f>
        <v>45166</v>
      </c>
      <c r="Q791" s="45">
        <f>IFERROR(__xludf.DUMMYFUNCTION("""COMPUTED_VALUE"""),45125.0)</f>
        <v>45125</v>
      </c>
      <c r="R791" s="45">
        <f>IFERROR(__xludf.DUMMYFUNCTION("""COMPUTED_VALUE"""),45166.0)</f>
        <v>45166</v>
      </c>
      <c r="S791" s="43"/>
      <c r="T791" s="43"/>
      <c r="U791" s="43" t="str">
        <f>IFERROR(__xludf.DUMMYFUNCTION("""COMPUTED_VALUE"""),"Equify")</f>
        <v>Equify</v>
      </c>
      <c r="V791" s="43" t="str">
        <f>IFERROR(__xludf.DUMMYFUNCTION("""COMPUTED_VALUE"""),"ISG Sousse")</f>
        <v>ISG Sousse</v>
      </c>
      <c r="W791" s="43" t="str">
        <f>IFERROR(__xludf.DUMMYFUNCTION("""COMPUTED_VALUE"""),"2023-05-03T12:02:55Z")</f>
        <v>2023-05-03T12:02:55Z</v>
      </c>
      <c r="X791" s="43"/>
      <c r="Y791" s="43"/>
      <c r="Z791" s="43"/>
    </row>
    <row r="792" hidden="1">
      <c r="A792" s="43" t="str">
        <f>IFERROR(__xludf.DUMMYFUNCTION("""COMPUTED_VALUE"""),"5227126_1284976")</f>
        <v>5227126_1284976</v>
      </c>
      <c r="B792" s="43" t="str">
        <f>IFERROR(__xludf.DUMMYFUNCTION("""COMPUTED_VALUE"""),"Youssef Zeddini")</f>
        <v>Youssef Zeddini</v>
      </c>
      <c r="C792" s="43" t="str">
        <f>IFERROR(__xludf.DUMMYFUNCTION("""COMPUTED_VALUE"""),"approval_broken")</f>
        <v>approval_broken</v>
      </c>
      <c r="D792" s="43" t="str">
        <f>IFERROR(__xludf.DUMMYFUNCTION("""COMPUTED_VALUE"""),"No")</f>
        <v>No</v>
      </c>
      <c r="E792" s="43" t="str">
        <f>IFERROR(__xludf.DUMMYFUNCTION("""COMPUTED_VALUE"""),"p_a7f579250278da02054d564c39bf946c85490719@inbound.aiesec.org")</f>
        <v>p_a7f579250278da02054d564c39bf946c85490719@inbound.aiesec.org</v>
      </c>
      <c r="F792" s="43">
        <f>IFERROR(__xludf.DUMMYFUNCTION("""COMPUTED_VALUE"""),5.043668E7)</f>
        <v>50436680</v>
      </c>
      <c r="G792" s="43" t="str">
        <f>IFERROR(__xludf.DUMMYFUNCTION("""COMPUTED_VALUE"""),"Tunisia")</f>
        <v>Tunisia</v>
      </c>
      <c r="H792" s="43" t="str">
        <f>IFERROR(__xludf.DUMMYFUNCTION("""COMPUTED_VALUE"""),"BARDO")</f>
        <v>BARDO</v>
      </c>
      <c r="I792" s="43" t="str">
        <f>IFERROR(__xludf.DUMMYFUNCTION("""COMPUTED_VALUE"""),"Turkey")</f>
        <v>Turkey</v>
      </c>
      <c r="J792" s="43" t="str">
        <f>IFERROR(__xludf.DUMMYFUNCTION("""COMPUTED_VALUE"""),"ISPARTA")</f>
        <v>ISPARTA</v>
      </c>
      <c r="K792" s="44" t="str">
        <f>IFERROR(__xludf.DUMMYFUNCTION("""COMPUTED_VALUE"""),"https://expa.aiesec.org/opportunities/1284976")</f>
        <v>https://expa.aiesec.org/opportunities/1284976</v>
      </c>
      <c r="L792" s="43" t="str">
        <f>IFERROR(__xludf.DUMMYFUNCTION("""COMPUTED_VALUE"""),"GV")</f>
        <v>GV</v>
      </c>
      <c r="M792" s="43" t="str">
        <f>IFERROR(__xludf.DUMMYFUNCTION("""COMPUTED_VALUE"""),"short")</f>
        <v>short</v>
      </c>
      <c r="N792" s="45">
        <f>IFERROR(__xludf.DUMMYFUNCTION("""COMPUTED_VALUE"""),45133.0)</f>
        <v>45133</v>
      </c>
      <c r="O792" s="45">
        <f>IFERROR(__xludf.DUMMYFUNCTION("""COMPUTED_VALUE"""),45124.0)</f>
        <v>45124</v>
      </c>
      <c r="P792" s="45">
        <f>IFERROR(__xludf.DUMMYFUNCTION("""COMPUTED_VALUE"""),45166.0)</f>
        <v>45166</v>
      </c>
      <c r="Q792" s="45"/>
      <c r="R792" s="45"/>
      <c r="S792" s="43"/>
      <c r="T792" s="43"/>
      <c r="U792" s="43" t="str">
        <f>IFERROR(__xludf.DUMMYFUNCTION("""COMPUTED_VALUE"""),"Youth 4 Impact")</f>
        <v>Youth 4 Impact</v>
      </c>
      <c r="V792" s="43" t="str">
        <f>IFERROR(__xludf.DUMMYFUNCTION("""COMPUTED_VALUE"""),"ESSECT")</f>
        <v>ESSECT</v>
      </c>
      <c r="W792" s="43" t="str">
        <f>IFERROR(__xludf.DUMMYFUNCTION("""COMPUTED_VALUE"""),"2023-03-25T23:25:19Z")</f>
        <v>2023-03-25T23:25:19Z</v>
      </c>
      <c r="X792" s="43"/>
      <c r="Y792" s="43"/>
      <c r="Z792" s="43"/>
    </row>
    <row r="793" hidden="1">
      <c r="A793" s="43" t="str">
        <f>IFERROR(__xludf.DUMMYFUNCTION("""COMPUTED_VALUE"""),"5146708_1292531")</f>
        <v>5146708_1292531</v>
      </c>
      <c r="B793" s="43" t="str">
        <f>IFERROR(__xludf.DUMMYFUNCTION("""COMPUTED_VALUE"""),"Fareeha Falak")</f>
        <v>Fareeha Falak</v>
      </c>
      <c r="C793" s="43" t="str">
        <f>IFERROR(__xludf.DUMMYFUNCTION("""COMPUTED_VALUE"""),"completed")</f>
        <v>completed</v>
      </c>
      <c r="D793" s="43" t="str">
        <f>IFERROR(__xludf.DUMMYFUNCTION("""COMPUTED_VALUE"""),"No")</f>
        <v>No</v>
      </c>
      <c r="E793" s="43" t="str">
        <f>IFERROR(__xludf.DUMMYFUNCTION("""COMPUTED_VALUE"""),"p_6aaf0f24fdc7023561aa9604e19365f2b0945ef0@inbound.aiesec.org")</f>
        <v>p_6aaf0f24fdc7023561aa9604e19365f2b0945ef0@inbound.aiesec.org</v>
      </c>
      <c r="F793" s="43"/>
      <c r="G793" s="43" t="str">
        <f>IFERROR(__xludf.DUMMYFUNCTION("""COMPUTED_VALUE"""),"Pakistan")</f>
        <v>Pakistan</v>
      </c>
      <c r="H793" s="43" t="str">
        <f>IFERROR(__xludf.DUMMYFUNCTION("""COMPUTED_VALUE"""),"Lahore - Pak")</f>
        <v>Lahore - Pak</v>
      </c>
      <c r="I793" s="43" t="str">
        <f>IFERROR(__xludf.DUMMYFUNCTION("""COMPUTED_VALUE"""),"Turkey")</f>
        <v>Turkey</v>
      </c>
      <c r="J793" s="43" t="str">
        <f>IFERROR(__xludf.DUMMYFUNCTION("""COMPUTED_VALUE"""),"ESKISEHIR")</f>
        <v>ESKISEHIR</v>
      </c>
      <c r="K793" s="44" t="str">
        <f>IFERROR(__xludf.DUMMYFUNCTION("""COMPUTED_VALUE"""),"https://expa.aiesec.org/opportunities/1292531")</f>
        <v>https://expa.aiesec.org/opportunities/1292531</v>
      </c>
      <c r="L793" s="43" t="str">
        <f>IFERROR(__xludf.DUMMYFUNCTION("""COMPUTED_VALUE"""),"GV")</f>
        <v>GV</v>
      </c>
      <c r="M793" s="43" t="str">
        <f>IFERROR(__xludf.DUMMYFUNCTION("""COMPUTED_VALUE"""),"short")</f>
        <v>short</v>
      </c>
      <c r="N793" s="45">
        <f>IFERROR(__xludf.DUMMYFUNCTION("""COMPUTED_VALUE"""),45049.0)</f>
        <v>45049</v>
      </c>
      <c r="O793" s="45">
        <f>IFERROR(__xludf.DUMMYFUNCTION("""COMPUTED_VALUE"""),45082.0)</f>
        <v>45082</v>
      </c>
      <c r="P793" s="45">
        <f>IFERROR(__xludf.DUMMYFUNCTION("""COMPUTED_VALUE"""),45124.0)</f>
        <v>45124</v>
      </c>
      <c r="Q793" s="45">
        <f>IFERROR(__xludf.DUMMYFUNCTION("""COMPUTED_VALUE"""),45085.0)</f>
        <v>45085</v>
      </c>
      <c r="R793" s="45">
        <f>IFERROR(__xludf.DUMMYFUNCTION("""COMPUTED_VALUE"""),45127.0)</f>
        <v>45127</v>
      </c>
      <c r="S793" s="43"/>
      <c r="T793" s="43"/>
      <c r="U793" s="43" t="str">
        <f>IFERROR(__xludf.DUMMYFUNCTION("""COMPUTED_VALUE"""),"Rooted")</f>
        <v>Rooted</v>
      </c>
      <c r="V793" s="43" t="str">
        <f>IFERROR(__xludf.DUMMYFUNCTION("""COMPUTED_VALUE"""),"-")</f>
        <v>-</v>
      </c>
      <c r="W793" s="43" t="str">
        <f>IFERROR(__xludf.DUMMYFUNCTION("""COMPUTED_VALUE"""),"2022-11-04T18:00:04Z")</f>
        <v>2022-11-04T18:00:04Z</v>
      </c>
      <c r="X793" s="43"/>
      <c r="Y793" s="43"/>
      <c r="Z793" s="43"/>
    </row>
    <row r="794" hidden="1">
      <c r="A794" s="43" t="str">
        <f>IFERROR(__xludf.DUMMYFUNCTION("""COMPUTED_VALUE"""),"5236280_1294651")</f>
        <v>5236280_1294651</v>
      </c>
      <c r="B794" s="43" t="str">
        <f>IFERROR(__xludf.DUMMYFUNCTION("""COMPUTED_VALUE"""),"Sohaila hossein")</f>
        <v>Sohaila hossein</v>
      </c>
      <c r="C794" s="43" t="str">
        <f>IFERROR(__xludf.DUMMYFUNCTION("""COMPUTED_VALUE"""),"approved")</f>
        <v>approved</v>
      </c>
      <c r="D794" s="43" t="str">
        <f>IFERROR(__xludf.DUMMYFUNCTION("""COMPUTED_VALUE"""),"No")</f>
        <v>No</v>
      </c>
      <c r="E794" s="43" t="str">
        <f>IFERROR(__xludf.DUMMYFUNCTION("""COMPUTED_VALUE"""),"p_7921bd2950dfc333bfe342e75d1b1b807441e713@inbound.aiesec.org")</f>
        <v>p_7921bd2950dfc333bfe342e75d1b1b807441e713@inbound.aiesec.org</v>
      </c>
      <c r="F794" s="43">
        <f>IFERROR(__xludf.DUMMYFUNCTION("""COMPUTED_VALUE"""),1.017273646E9)</f>
        <v>1017273646</v>
      </c>
      <c r="G794" s="43" t="str">
        <f>IFERROR(__xludf.DUMMYFUNCTION("""COMPUTED_VALUE"""),"Egypt")</f>
        <v>Egypt</v>
      </c>
      <c r="H794" s="43" t="str">
        <f>IFERROR(__xludf.DUMMYFUNCTION("""COMPUTED_VALUE"""),"Cairo University")</f>
        <v>Cairo University</v>
      </c>
      <c r="I794" s="43" t="str">
        <f>IFERROR(__xludf.DUMMYFUNCTION("""COMPUTED_VALUE"""),"Turkey")</f>
        <v>Turkey</v>
      </c>
      <c r="J794" s="43" t="str">
        <f>IFERROR(__xludf.DUMMYFUNCTION("""COMPUTED_VALUE"""),"ANKARA")</f>
        <v>ANKARA</v>
      </c>
      <c r="K794" s="44" t="str">
        <f>IFERROR(__xludf.DUMMYFUNCTION("""COMPUTED_VALUE"""),"https://expa.aiesec.org/opportunities/1294651")</f>
        <v>https://expa.aiesec.org/opportunities/1294651</v>
      </c>
      <c r="L794" s="43" t="str">
        <f>IFERROR(__xludf.DUMMYFUNCTION("""COMPUTED_VALUE"""),"GV")</f>
        <v>GV</v>
      </c>
      <c r="M794" s="43" t="str">
        <f>IFERROR(__xludf.DUMMYFUNCTION("""COMPUTED_VALUE"""),"short")</f>
        <v>short</v>
      </c>
      <c r="N794" s="45">
        <f>IFERROR(__xludf.DUMMYFUNCTION("""COMPUTED_VALUE"""),45049.0)</f>
        <v>45049</v>
      </c>
      <c r="O794" s="45">
        <f>IFERROR(__xludf.DUMMYFUNCTION("""COMPUTED_VALUE"""),45152.0)</f>
        <v>45152</v>
      </c>
      <c r="P794" s="45">
        <f>IFERROR(__xludf.DUMMYFUNCTION("""COMPUTED_VALUE"""),45194.0)</f>
        <v>45194</v>
      </c>
      <c r="Q794" s="45"/>
      <c r="R794" s="45"/>
      <c r="S794" s="43"/>
      <c r="T794" s="43"/>
      <c r="U794" s="43" t="str">
        <f>IFERROR(__xludf.DUMMYFUNCTION("""COMPUTED_VALUE"""),"Global Classroom")</f>
        <v>Global Classroom</v>
      </c>
      <c r="V794" s="43" t="str">
        <f>IFERROR(__xludf.DUMMYFUNCTION("""COMPUTED_VALUE"""),"Cairo Univeristy")</f>
        <v>Cairo Univeristy</v>
      </c>
      <c r="W794" s="43" t="str">
        <f>IFERROR(__xludf.DUMMYFUNCTION("""COMPUTED_VALUE"""),"2023-04-06T11:08:20Z")</f>
        <v>2023-04-06T11:08:20Z</v>
      </c>
      <c r="X794" s="43"/>
      <c r="Y794" s="43"/>
      <c r="Z794" s="43"/>
    </row>
    <row r="795" hidden="1">
      <c r="A795" s="43" t="str">
        <f>IFERROR(__xludf.DUMMYFUNCTION("""COMPUTED_VALUE"""),"5027228_1290454")</f>
        <v>5027228_1290454</v>
      </c>
      <c r="B795" s="43" t="str">
        <f>IFERROR(__xludf.DUMMYFUNCTION("""COMPUTED_VALUE"""),"Basílio Brito")</f>
        <v>Basílio Brito</v>
      </c>
      <c r="C795" s="43" t="str">
        <f>IFERROR(__xludf.DUMMYFUNCTION("""COMPUTED_VALUE"""),"completed")</f>
        <v>completed</v>
      </c>
      <c r="D795" s="43" t="str">
        <f>IFERROR(__xludf.DUMMYFUNCTION("""COMPUTED_VALUE"""),"No")</f>
        <v>No</v>
      </c>
      <c r="E795" s="43" t="str">
        <f>IFERROR(__xludf.DUMMYFUNCTION("""COMPUTED_VALUE"""),"p_5e25a75ed72cf44d6b42de4ac5f0ab0b9c1fda7f@inbound.aiesec.org")</f>
        <v>p_5e25a75ed72cf44d6b42de4ac5f0ab0b9c1fda7f@inbound.aiesec.org</v>
      </c>
      <c r="F795" s="43">
        <f>IFERROR(__xludf.DUMMYFUNCTION("""COMPUTED_VALUE"""),9.63812127E8)</f>
        <v>963812127</v>
      </c>
      <c r="G795" s="43" t="str">
        <f>IFERROR(__xludf.DUMMYFUNCTION("""COMPUTED_VALUE"""),"Portugal")</f>
        <v>Portugal</v>
      </c>
      <c r="H795" s="43" t="str">
        <f>IFERROR(__xludf.DUMMYFUNCTION("""COMPUTED_VALUE"""),"Lisboa ISEG")</f>
        <v>Lisboa ISEG</v>
      </c>
      <c r="I795" s="43" t="str">
        <f>IFERROR(__xludf.DUMMYFUNCTION("""COMPUTED_VALUE"""),"Turkey")</f>
        <v>Turkey</v>
      </c>
      <c r="J795" s="43" t="str">
        <f>IFERROR(__xludf.DUMMYFUNCTION("""COMPUTED_VALUE"""),"KONYA")</f>
        <v>KONYA</v>
      </c>
      <c r="K795" s="44" t="str">
        <f>IFERROR(__xludf.DUMMYFUNCTION("""COMPUTED_VALUE"""),"https://expa.aiesec.org/opportunities/1290454")</f>
        <v>https://expa.aiesec.org/opportunities/1290454</v>
      </c>
      <c r="L795" s="43" t="str">
        <f>IFERROR(__xludf.DUMMYFUNCTION("""COMPUTED_VALUE"""),"GV")</f>
        <v>GV</v>
      </c>
      <c r="M795" s="43" t="str">
        <f>IFERROR(__xludf.DUMMYFUNCTION("""COMPUTED_VALUE"""),"short")</f>
        <v>short</v>
      </c>
      <c r="N795" s="45">
        <f>IFERROR(__xludf.DUMMYFUNCTION("""COMPUTED_VALUE"""),45049.0)</f>
        <v>45049</v>
      </c>
      <c r="O795" s="45">
        <f>IFERROR(__xludf.DUMMYFUNCTION("""COMPUTED_VALUE"""),45061.0)</f>
        <v>45061</v>
      </c>
      <c r="P795" s="45">
        <f>IFERROR(__xludf.DUMMYFUNCTION("""COMPUTED_VALUE"""),45103.0)</f>
        <v>45103</v>
      </c>
      <c r="Q795" s="45">
        <f>IFERROR(__xludf.DUMMYFUNCTION("""COMPUTED_VALUE"""),45065.0)</f>
        <v>45065</v>
      </c>
      <c r="R795" s="45">
        <f>IFERROR(__xludf.DUMMYFUNCTION("""COMPUTED_VALUE"""),45107.0)</f>
        <v>45107</v>
      </c>
      <c r="S795" s="43"/>
      <c r="T795" s="43"/>
      <c r="U795" s="43" t="str">
        <f>IFERROR(__xludf.DUMMYFUNCTION("""COMPUTED_VALUE"""),"Global Classroom")</f>
        <v>Global Classroom</v>
      </c>
      <c r="V795" s="43" t="str">
        <f>IFERROR(__xludf.DUMMYFUNCTION("""COMPUTED_VALUE"""),"Universidade NOVA de Lisboa - Faculdade de Ciências e Tecnologia (FCT)")</f>
        <v>Universidade NOVA de Lisboa - Faculdade de Ciências e Tecnologia (FCT)</v>
      </c>
      <c r="W795" s="43" t="str">
        <f>IFERROR(__xludf.DUMMYFUNCTION("""COMPUTED_VALUE"""),"2022-04-06T15:04:15Z")</f>
        <v>2022-04-06T15:04:15Z</v>
      </c>
      <c r="X795" s="43"/>
      <c r="Y795" s="43"/>
      <c r="Z795" s="43"/>
    </row>
    <row r="796" hidden="1">
      <c r="A796" s="43" t="str">
        <f>IFERROR(__xludf.DUMMYFUNCTION("""COMPUTED_VALUE"""),"5255843_1294410")</f>
        <v>5255843_1294410</v>
      </c>
      <c r="B796" s="43" t="str">
        <f>IFERROR(__xludf.DUMMYFUNCTION("""COMPUTED_VALUE"""),"sofien jemli")</f>
        <v>sofien jemli</v>
      </c>
      <c r="C796" s="43" t="str">
        <f>IFERROR(__xludf.DUMMYFUNCTION("""COMPUTED_VALUE"""),"completed")</f>
        <v>completed</v>
      </c>
      <c r="D796" s="43" t="str">
        <f>IFERROR(__xludf.DUMMYFUNCTION("""COMPUTED_VALUE"""),"No")</f>
        <v>No</v>
      </c>
      <c r="E796" s="43" t="str">
        <f>IFERROR(__xludf.DUMMYFUNCTION("""COMPUTED_VALUE"""),"p_364b47754bee0ee68dbacd3f5e980adeaa970c54@inbound.aiesec.org")</f>
        <v>p_364b47754bee0ee68dbacd3f5e980adeaa970c54@inbound.aiesec.org</v>
      </c>
      <c r="F796" s="43">
        <f>IFERROR(__xludf.DUMMYFUNCTION("""COMPUTED_VALUE"""),2.5477452E7)</f>
        <v>25477452</v>
      </c>
      <c r="G796" s="43" t="str">
        <f>IFERROR(__xludf.DUMMYFUNCTION("""COMPUTED_VALUE"""),"Tunisia")</f>
        <v>Tunisia</v>
      </c>
      <c r="H796" s="43" t="str">
        <f>IFERROR(__xludf.DUMMYFUNCTION("""COMPUTED_VALUE"""),"HADRUMET")</f>
        <v>HADRUMET</v>
      </c>
      <c r="I796" s="43" t="str">
        <f>IFERROR(__xludf.DUMMYFUNCTION("""COMPUTED_VALUE"""),"Turkey")</f>
        <v>Turkey</v>
      </c>
      <c r="J796" s="43" t="str">
        <f>IFERROR(__xludf.DUMMYFUNCTION("""COMPUTED_VALUE"""),"İZMİR")</f>
        <v>İZMİR</v>
      </c>
      <c r="K796" s="44" t="str">
        <f>IFERROR(__xludf.DUMMYFUNCTION("""COMPUTED_VALUE"""),"https://expa.aiesec.org/opportunities/1294410")</f>
        <v>https://expa.aiesec.org/opportunities/1294410</v>
      </c>
      <c r="L796" s="43" t="str">
        <f>IFERROR(__xludf.DUMMYFUNCTION("""COMPUTED_VALUE"""),"GV")</f>
        <v>GV</v>
      </c>
      <c r="M796" s="43" t="str">
        <f>IFERROR(__xludf.DUMMYFUNCTION("""COMPUTED_VALUE"""),"short")</f>
        <v>short</v>
      </c>
      <c r="N796" s="45">
        <f>IFERROR(__xludf.DUMMYFUNCTION("""COMPUTED_VALUE"""),45050.0)</f>
        <v>45050</v>
      </c>
      <c r="O796" s="45">
        <f>IFERROR(__xludf.DUMMYFUNCTION("""COMPUTED_VALUE"""),45096.0)</f>
        <v>45096</v>
      </c>
      <c r="P796" s="45">
        <f>IFERROR(__xludf.DUMMYFUNCTION("""COMPUTED_VALUE"""),45138.0)</f>
        <v>45138</v>
      </c>
      <c r="Q796" s="45">
        <f>IFERROR(__xludf.DUMMYFUNCTION("""COMPUTED_VALUE"""),45097.0)</f>
        <v>45097</v>
      </c>
      <c r="R796" s="45">
        <f>IFERROR(__xludf.DUMMYFUNCTION("""COMPUTED_VALUE"""),45139.0)</f>
        <v>45139</v>
      </c>
      <c r="S796" s="43"/>
      <c r="T796" s="43"/>
      <c r="U796" s="43" t="str">
        <f>IFERROR(__xludf.DUMMYFUNCTION("""COMPUTED_VALUE"""),"Global Classroom")</f>
        <v>Global Classroom</v>
      </c>
      <c r="V796" s="43" t="str">
        <f>IFERROR(__xludf.DUMMYFUNCTION("""COMPUTED_VALUE"""),"ISG Sousse")</f>
        <v>ISG Sousse</v>
      </c>
      <c r="W796" s="43" t="str">
        <f>IFERROR(__xludf.DUMMYFUNCTION("""COMPUTED_VALUE"""),"2023-05-04T16:02:57Z")</f>
        <v>2023-05-04T16:02:57Z</v>
      </c>
      <c r="X796" s="43"/>
      <c r="Y796" s="43"/>
      <c r="Z796" s="43"/>
    </row>
    <row r="797" hidden="1">
      <c r="A797" s="43" t="str">
        <f>IFERROR(__xludf.DUMMYFUNCTION("""COMPUTED_VALUE"""),"5251218_1294410")</f>
        <v>5251218_1294410</v>
      </c>
      <c r="B797" s="43" t="str">
        <f>IFERROR(__xludf.DUMMYFUNCTION("""COMPUTED_VALUE"""),"Zulaikho Babazhanova")</f>
        <v>Zulaikho Babazhanova</v>
      </c>
      <c r="C797" s="43" t="str">
        <f>IFERROR(__xludf.DUMMYFUNCTION("""COMPUTED_VALUE"""),"completed")</f>
        <v>completed</v>
      </c>
      <c r="D797" s="43" t="str">
        <f>IFERROR(__xludf.DUMMYFUNCTION("""COMPUTED_VALUE"""),"No")</f>
        <v>No</v>
      </c>
      <c r="E797" s="43" t="str">
        <f>IFERROR(__xludf.DUMMYFUNCTION("""COMPUTED_VALUE"""),"p_59737df2220ce34262c8873707a2f73a5feb0bc6@inbound.aiesec.org")</f>
        <v>p_59737df2220ce34262c8873707a2f73a5feb0bc6@inbound.aiesec.org</v>
      </c>
      <c r="F797" s="43">
        <f>IFERROR(__xludf.DUMMYFUNCTION("""COMPUTED_VALUE"""),7.072861245E9)</f>
        <v>7072861245</v>
      </c>
      <c r="G797" s="43" t="str">
        <f>IFERROR(__xludf.DUMMYFUNCTION("""COMPUTED_VALUE"""),"Kazakhstan")</f>
        <v>Kazakhstan</v>
      </c>
      <c r="H797" s="43" t="str">
        <f>IFERROR(__xludf.DUMMYFUNCTION("""COMPUTED_VALUE"""),"ALMATY")</f>
        <v>ALMATY</v>
      </c>
      <c r="I797" s="43" t="str">
        <f>IFERROR(__xludf.DUMMYFUNCTION("""COMPUTED_VALUE"""),"Turkey")</f>
        <v>Turkey</v>
      </c>
      <c r="J797" s="43" t="str">
        <f>IFERROR(__xludf.DUMMYFUNCTION("""COMPUTED_VALUE"""),"İZMİR")</f>
        <v>İZMİR</v>
      </c>
      <c r="K797" s="44" t="str">
        <f>IFERROR(__xludf.DUMMYFUNCTION("""COMPUTED_VALUE"""),"https://expa.aiesec.org/opportunities/1294410")</f>
        <v>https://expa.aiesec.org/opportunities/1294410</v>
      </c>
      <c r="L797" s="43" t="str">
        <f>IFERROR(__xludf.DUMMYFUNCTION("""COMPUTED_VALUE"""),"GV")</f>
        <v>GV</v>
      </c>
      <c r="M797" s="43" t="str">
        <f>IFERROR(__xludf.DUMMYFUNCTION("""COMPUTED_VALUE"""),"short")</f>
        <v>short</v>
      </c>
      <c r="N797" s="45">
        <f>IFERROR(__xludf.DUMMYFUNCTION("""COMPUTED_VALUE"""),45050.0)</f>
        <v>45050</v>
      </c>
      <c r="O797" s="45">
        <f>IFERROR(__xludf.DUMMYFUNCTION("""COMPUTED_VALUE"""),45096.0)</f>
        <v>45096</v>
      </c>
      <c r="P797" s="45">
        <f>IFERROR(__xludf.DUMMYFUNCTION("""COMPUTED_VALUE"""),45138.0)</f>
        <v>45138</v>
      </c>
      <c r="Q797" s="45">
        <f>IFERROR(__xludf.DUMMYFUNCTION("""COMPUTED_VALUE"""),45098.0)</f>
        <v>45098</v>
      </c>
      <c r="R797" s="45">
        <f>IFERROR(__xludf.DUMMYFUNCTION("""COMPUTED_VALUE"""),45140.0)</f>
        <v>45140</v>
      </c>
      <c r="S797" s="43"/>
      <c r="T797" s="43"/>
      <c r="U797" s="43" t="str">
        <f>IFERROR(__xludf.DUMMYFUNCTION("""COMPUTED_VALUE"""),"Global Classroom")</f>
        <v>Global Classroom</v>
      </c>
      <c r="V797" s="43" t="str">
        <f>IFERROR(__xludf.DUMMYFUNCTION("""COMPUTED_VALUE"""),"Almaty")</f>
        <v>Almaty</v>
      </c>
      <c r="W797" s="43" t="str">
        <f>IFERROR(__xludf.DUMMYFUNCTION("""COMPUTED_VALUE"""),"2023-04-27T20:45:27Z")</f>
        <v>2023-04-27T20:45:27Z</v>
      </c>
      <c r="X797" s="43"/>
      <c r="Y797" s="43"/>
      <c r="Z797" s="43"/>
    </row>
    <row r="798" hidden="1">
      <c r="A798" s="43" t="str">
        <f>IFERROR(__xludf.DUMMYFUNCTION("""COMPUTED_VALUE"""),"5251099_1286326")</f>
        <v>5251099_1286326</v>
      </c>
      <c r="B798" s="43" t="str">
        <f>IFERROR(__xludf.DUMMYFUNCTION("""COMPUTED_VALUE"""),"Wissal Sdouga")</f>
        <v>Wissal Sdouga</v>
      </c>
      <c r="C798" s="43" t="str">
        <f>IFERROR(__xludf.DUMMYFUNCTION("""COMPUTED_VALUE"""),"approved")</f>
        <v>approved</v>
      </c>
      <c r="D798" s="43" t="str">
        <f>IFERROR(__xludf.DUMMYFUNCTION("""COMPUTED_VALUE"""),"No")</f>
        <v>No</v>
      </c>
      <c r="E798" s="43" t="str">
        <f>IFERROR(__xludf.DUMMYFUNCTION("""COMPUTED_VALUE"""),"p_5ffacd6b7c0a02cf3d65c55538afede1e903a767@inbound.aiesec.org")</f>
        <v>p_5ffacd6b7c0a02cf3d65c55538afede1e903a767@inbound.aiesec.org</v>
      </c>
      <c r="F798" s="43"/>
      <c r="G798" s="43" t="str">
        <f>IFERROR(__xludf.DUMMYFUNCTION("""COMPUTED_VALUE"""),"Tunisia")</f>
        <v>Tunisia</v>
      </c>
      <c r="H798" s="43" t="str">
        <f>IFERROR(__xludf.DUMMYFUNCTION("""COMPUTED_VALUE"""),"BARDO")</f>
        <v>BARDO</v>
      </c>
      <c r="I798" s="43" t="str">
        <f>IFERROR(__xludf.DUMMYFUNCTION("""COMPUTED_VALUE"""),"Turkey")</f>
        <v>Turkey</v>
      </c>
      <c r="J798" s="43" t="str">
        <f>IFERROR(__xludf.DUMMYFUNCTION("""COMPUTED_VALUE"""),"ADANA")</f>
        <v>ADANA</v>
      </c>
      <c r="K798" s="44" t="str">
        <f>IFERROR(__xludf.DUMMYFUNCTION("""COMPUTED_VALUE"""),"https://expa.aiesec.org/opportunities/1286326")</f>
        <v>https://expa.aiesec.org/opportunities/1286326</v>
      </c>
      <c r="L798" s="43" t="str">
        <f>IFERROR(__xludf.DUMMYFUNCTION("""COMPUTED_VALUE"""),"GV")</f>
        <v>GV</v>
      </c>
      <c r="M798" s="43" t="str">
        <f>IFERROR(__xludf.DUMMYFUNCTION("""COMPUTED_VALUE"""),"short")</f>
        <v>short</v>
      </c>
      <c r="N798" s="45">
        <f>IFERROR(__xludf.DUMMYFUNCTION("""COMPUTED_VALUE"""),45050.0)</f>
        <v>45050</v>
      </c>
      <c r="O798" s="45">
        <f>IFERROR(__xludf.DUMMYFUNCTION("""COMPUTED_VALUE"""),45145.0)</f>
        <v>45145</v>
      </c>
      <c r="P798" s="45">
        <f>IFERROR(__xludf.DUMMYFUNCTION("""COMPUTED_VALUE"""),45191.0)</f>
        <v>45191</v>
      </c>
      <c r="Q798" s="45"/>
      <c r="R798" s="45"/>
      <c r="S798" s="43"/>
      <c r="T798" s="43"/>
      <c r="U798" s="43" t="str">
        <f>IFERROR(__xludf.DUMMYFUNCTION("""COMPUTED_VALUE"""),"Equify")</f>
        <v>Equify</v>
      </c>
      <c r="V798" s="43" t="str">
        <f>IFERROR(__xludf.DUMMYFUNCTION("""COMPUTED_VALUE"""),"-")</f>
        <v>-</v>
      </c>
      <c r="W798" s="43" t="str">
        <f>IFERROR(__xludf.DUMMYFUNCTION("""COMPUTED_VALUE"""),"2023-04-27T18:13:49Z")</f>
        <v>2023-04-27T18:13:49Z</v>
      </c>
      <c r="X798" s="43"/>
      <c r="Y798" s="43"/>
      <c r="Z798" s="43"/>
    </row>
    <row r="799">
      <c r="A799" s="43" t="str">
        <f>IFERROR(__xludf.DUMMYFUNCTION("""COMPUTED_VALUE"""),"5256364_1294410")</f>
        <v>5256364_1294410</v>
      </c>
      <c r="B799" s="43" t="str">
        <f>IFERROR(__xludf.DUMMYFUNCTION("""COMPUTED_VALUE"""),"minyar layouni")</f>
        <v>minyar layouni</v>
      </c>
      <c r="C799" s="43" t="str">
        <f>IFERROR(__xludf.DUMMYFUNCTION("""COMPUTED_VALUE"""),"approved")</f>
        <v>approved</v>
      </c>
      <c r="D799" s="43" t="str">
        <f>IFERROR(__xludf.DUMMYFUNCTION("""COMPUTED_VALUE"""),"No")</f>
        <v>No</v>
      </c>
      <c r="E799" s="43" t="str">
        <f>IFERROR(__xludf.DUMMYFUNCTION("""COMPUTED_VALUE"""),"p_13774bdea8b98c18b096523262511e107803bdc6@inbound.aiesec.org")</f>
        <v>p_13774bdea8b98c18b096523262511e107803bdc6@inbound.aiesec.org</v>
      </c>
      <c r="F799" s="43">
        <f>IFERROR(__xludf.DUMMYFUNCTION("""COMPUTED_VALUE"""),5.0589936E7)</f>
        <v>50589936</v>
      </c>
      <c r="G799" s="43" t="str">
        <f>IFERROR(__xludf.DUMMYFUNCTION("""COMPUTED_VALUE"""),"Tunisia")</f>
        <v>Tunisia</v>
      </c>
      <c r="H799" s="43" t="str">
        <f>IFERROR(__xludf.DUMMYFUNCTION("""COMPUTED_VALUE"""),"HADRUMET")</f>
        <v>HADRUMET</v>
      </c>
      <c r="I799" s="43" t="str">
        <f>IFERROR(__xludf.DUMMYFUNCTION("""COMPUTED_VALUE"""),"Turkey")</f>
        <v>Turkey</v>
      </c>
      <c r="J799" s="43" t="str">
        <f>IFERROR(__xludf.DUMMYFUNCTION("""COMPUTED_VALUE"""),"İZMİR")</f>
        <v>İZMİR</v>
      </c>
      <c r="K799" s="44" t="str">
        <f>IFERROR(__xludf.DUMMYFUNCTION("""COMPUTED_VALUE"""),"https://expa.aiesec.org/opportunities/1294410")</f>
        <v>https://expa.aiesec.org/opportunities/1294410</v>
      </c>
      <c r="L799" s="43" t="str">
        <f>IFERROR(__xludf.DUMMYFUNCTION("""COMPUTED_VALUE"""),"GV")</f>
        <v>GV</v>
      </c>
      <c r="M799" s="43" t="str">
        <f>IFERROR(__xludf.DUMMYFUNCTION("""COMPUTED_VALUE"""),"short")</f>
        <v>short</v>
      </c>
      <c r="N799" s="45">
        <f>IFERROR(__xludf.DUMMYFUNCTION("""COMPUTED_VALUE"""),45051.0)</f>
        <v>45051</v>
      </c>
      <c r="O799" s="45">
        <f>IFERROR(__xludf.DUMMYFUNCTION("""COMPUTED_VALUE"""),45096.0)</f>
        <v>45096</v>
      </c>
      <c r="P799" s="45">
        <f>IFERROR(__xludf.DUMMYFUNCTION("""COMPUTED_VALUE"""),45138.0)</f>
        <v>45138</v>
      </c>
      <c r="Q799" s="45"/>
      <c r="R799" s="45"/>
      <c r="S799" s="43"/>
      <c r="T799" s="43"/>
      <c r="U799" s="43" t="str">
        <f>IFERROR(__xludf.DUMMYFUNCTION("""COMPUTED_VALUE"""),"Global Classroom")</f>
        <v>Global Classroom</v>
      </c>
      <c r="V799" s="43" t="str">
        <f>IFERROR(__xludf.DUMMYFUNCTION("""COMPUTED_VALUE"""),"FMS (Faculté de Médecine de Sousse)")</f>
        <v>FMS (Faculté de Médecine de Sousse)</v>
      </c>
      <c r="W799" s="43" t="str">
        <f>IFERROR(__xludf.DUMMYFUNCTION("""COMPUTED_VALUE"""),"2023-05-05T14:51:35Z")</f>
        <v>2023-05-05T14:51:35Z</v>
      </c>
      <c r="X799" s="43"/>
      <c r="Y799" s="43"/>
      <c r="Z799" s="43"/>
    </row>
    <row r="800" hidden="1">
      <c r="A800" s="43" t="str">
        <f>IFERROR(__xludf.DUMMYFUNCTION("""COMPUTED_VALUE"""),"5245340_1294103")</f>
        <v>5245340_1294103</v>
      </c>
      <c r="B800" s="43" t="str">
        <f>IFERROR(__xludf.DUMMYFUNCTION("""COMPUTED_VALUE"""),"Nourchene Fatnassi")</f>
        <v>Nourchene Fatnassi</v>
      </c>
      <c r="C800" s="43" t="str">
        <f>IFERROR(__xludf.DUMMYFUNCTION("""COMPUTED_VALUE"""),"approved")</f>
        <v>approved</v>
      </c>
      <c r="D800" s="43" t="str">
        <f>IFERROR(__xludf.DUMMYFUNCTION("""COMPUTED_VALUE"""),"No")</f>
        <v>No</v>
      </c>
      <c r="E800" s="43" t="str">
        <f>IFERROR(__xludf.DUMMYFUNCTION("""COMPUTED_VALUE"""),"p_b388e3b611394dd594ee8bfa1e504e722cb65bc3@inbound.aiesec.org")</f>
        <v>p_b388e3b611394dd594ee8bfa1e504e722cb65bc3@inbound.aiesec.org</v>
      </c>
      <c r="F800" s="43">
        <f>IFERROR(__xludf.DUMMYFUNCTION("""COMPUTED_VALUE"""),2.4927108E7)</f>
        <v>24927108</v>
      </c>
      <c r="G800" s="43" t="str">
        <f>IFERROR(__xludf.DUMMYFUNCTION("""COMPUTED_VALUE"""),"Tunisia")</f>
        <v>Tunisia</v>
      </c>
      <c r="H800" s="43" t="str">
        <f>IFERROR(__xludf.DUMMYFUNCTION("""COMPUTED_VALUE"""),"NABEL")</f>
        <v>NABEL</v>
      </c>
      <c r="I800" s="43" t="str">
        <f>IFERROR(__xludf.DUMMYFUNCTION("""COMPUTED_VALUE"""),"Turkey")</f>
        <v>Turkey</v>
      </c>
      <c r="J800" s="43" t="str">
        <f>IFERROR(__xludf.DUMMYFUNCTION("""COMPUTED_VALUE"""),"İZMİR")</f>
        <v>İZMİR</v>
      </c>
      <c r="K800" s="44" t="str">
        <f>IFERROR(__xludf.DUMMYFUNCTION("""COMPUTED_VALUE"""),"https://expa.aiesec.org/opportunities/1294103")</f>
        <v>https://expa.aiesec.org/opportunities/1294103</v>
      </c>
      <c r="L800" s="43" t="str">
        <f>IFERROR(__xludf.DUMMYFUNCTION("""COMPUTED_VALUE"""),"GV")</f>
        <v>GV</v>
      </c>
      <c r="M800" s="43" t="str">
        <f>IFERROR(__xludf.DUMMYFUNCTION("""COMPUTED_VALUE"""),"short")</f>
        <v>short</v>
      </c>
      <c r="N800" s="45">
        <f>IFERROR(__xludf.DUMMYFUNCTION("""COMPUTED_VALUE"""),45051.0)</f>
        <v>45051</v>
      </c>
      <c r="O800" s="45">
        <f>IFERROR(__xludf.DUMMYFUNCTION("""COMPUTED_VALUE"""),45187.0)</f>
        <v>45187</v>
      </c>
      <c r="P800" s="45">
        <f>IFERROR(__xludf.DUMMYFUNCTION("""COMPUTED_VALUE"""),45229.0)</f>
        <v>45229</v>
      </c>
      <c r="Q800" s="45"/>
      <c r="R800" s="45"/>
      <c r="S800" s="43"/>
      <c r="T800" s="43"/>
      <c r="U800" s="43" t="str">
        <f>IFERROR(__xludf.DUMMYFUNCTION("""COMPUTED_VALUE"""),"Skill Up!")</f>
        <v>Skill Up!</v>
      </c>
      <c r="V800" s="43" t="str">
        <f>IFERROR(__xludf.DUMMYFUNCTION("""COMPUTED_VALUE"""),"IMSET Nabeul")</f>
        <v>IMSET Nabeul</v>
      </c>
      <c r="W800" s="43" t="str">
        <f>IFERROR(__xludf.DUMMYFUNCTION("""COMPUTED_VALUE"""),"2023-04-19T13:04:54Z")</f>
        <v>2023-04-19T13:04:54Z</v>
      </c>
      <c r="X800" s="43"/>
      <c r="Y800" s="43"/>
      <c r="Z800" s="43"/>
    </row>
    <row r="801" hidden="1">
      <c r="A801" s="43" t="str">
        <f>IFERROR(__xludf.DUMMYFUNCTION("""COMPUTED_VALUE"""),"5248269_1294894")</f>
        <v>5248269_1294894</v>
      </c>
      <c r="B801" s="43" t="str">
        <f>IFERROR(__xludf.DUMMYFUNCTION("""COMPUTED_VALUE"""),"Eya Rahali")</f>
        <v>Eya Rahali</v>
      </c>
      <c r="C801" s="43" t="str">
        <f>IFERROR(__xludf.DUMMYFUNCTION("""COMPUTED_VALUE"""),"completed")</f>
        <v>completed</v>
      </c>
      <c r="D801" s="43" t="str">
        <f>IFERROR(__xludf.DUMMYFUNCTION("""COMPUTED_VALUE"""),"No")</f>
        <v>No</v>
      </c>
      <c r="E801" s="43" t="str">
        <f>IFERROR(__xludf.DUMMYFUNCTION("""COMPUTED_VALUE"""),"p_a54c4943f1bc1667fe1dec5a94d583cf57b1c3b3@inbound.aiesec.org")</f>
        <v>p_a54c4943f1bc1667fe1dec5a94d583cf57b1c3b3@inbound.aiesec.org</v>
      </c>
      <c r="F801" s="43">
        <f>IFERROR(__xludf.DUMMYFUNCTION("""COMPUTED_VALUE"""),5.3274155E7)</f>
        <v>53274155</v>
      </c>
      <c r="G801" s="43" t="str">
        <f>IFERROR(__xludf.DUMMYFUNCTION("""COMPUTED_VALUE"""),"Tunisia")</f>
        <v>Tunisia</v>
      </c>
      <c r="H801" s="43" t="str">
        <f>IFERROR(__xludf.DUMMYFUNCTION("""COMPUTED_VALUE"""),"BARDO")</f>
        <v>BARDO</v>
      </c>
      <c r="I801" s="43" t="str">
        <f>IFERROR(__xludf.DUMMYFUNCTION("""COMPUTED_VALUE"""),"Turkey")</f>
        <v>Turkey</v>
      </c>
      <c r="J801" s="43" t="str">
        <f>IFERROR(__xludf.DUMMYFUNCTION("""COMPUTED_VALUE"""),"ADANA")</f>
        <v>ADANA</v>
      </c>
      <c r="K801" s="44" t="str">
        <f>IFERROR(__xludf.DUMMYFUNCTION("""COMPUTED_VALUE"""),"https://expa.aiesec.org/opportunities/1294894")</f>
        <v>https://expa.aiesec.org/opportunities/1294894</v>
      </c>
      <c r="L801" s="43" t="str">
        <f>IFERROR(__xludf.DUMMYFUNCTION("""COMPUTED_VALUE"""),"GV")</f>
        <v>GV</v>
      </c>
      <c r="M801" s="43" t="str">
        <f>IFERROR(__xludf.DUMMYFUNCTION("""COMPUTED_VALUE"""),"short")</f>
        <v>short</v>
      </c>
      <c r="N801" s="45">
        <f>IFERROR(__xludf.DUMMYFUNCTION("""COMPUTED_VALUE"""),45051.0)</f>
        <v>45051</v>
      </c>
      <c r="O801" s="45">
        <f>IFERROR(__xludf.DUMMYFUNCTION("""COMPUTED_VALUE"""),45110.0)</f>
        <v>45110</v>
      </c>
      <c r="P801" s="45">
        <f>IFERROR(__xludf.DUMMYFUNCTION("""COMPUTED_VALUE"""),45156.0)</f>
        <v>45156</v>
      </c>
      <c r="Q801" s="45">
        <f>IFERROR(__xludf.DUMMYFUNCTION("""COMPUTED_VALUE"""),45110.0)</f>
        <v>45110</v>
      </c>
      <c r="R801" s="45">
        <f>IFERROR(__xludf.DUMMYFUNCTION("""COMPUTED_VALUE"""),45156.0)</f>
        <v>45156</v>
      </c>
      <c r="S801" s="43"/>
      <c r="T801" s="43"/>
      <c r="U801" s="43" t="str">
        <f>IFERROR(__xludf.DUMMYFUNCTION("""COMPUTED_VALUE"""),"Global Classroom")</f>
        <v>Global Classroom</v>
      </c>
      <c r="V801" s="43" t="str">
        <f>IFERROR(__xludf.DUMMYFUNCTION("""COMPUTED_VALUE"""),"TBS")</f>
        <v>TBS</v>
      </c>
      <c r="W801" s="43" t="str">
        <f>IFERROR(__xludf.DUMMYFUNCTION("""COMPUTED_VALUE"""),"2023-04-24T11:57:51Z")</f>
        <v>2023-04-24T11:57:51Z</v>
      </c>
      <c r="X801" s="43"/>
      <c r="Y801" s="43"/>
      <c r="Z801" s="43"/>
    </row>
    <row r="802" hidden="1">
      <c r="A802" s="43" t="str">
        <f>IFERROR(__xludf.DUMMYFUNCTION("""COMPUTED_VALUE"""),"5256522_1294651")</f>
        <v>5256522_1294651</v>
      </c>
      <c r="B802" s="43" t="str">
        <f>IFERROR(__xludf.DUMMYFUNCTION("""COMPUTED_VALUE"""),"Ranya Adala")</f>
        <v>Ranya Adala</v>
      </c>
      <c r="C802" s="43" t="str">
        <f>IFERROR(__xludf.DUMMYFUNCTION("""COMPUTED_VALUE"""),"finished")</f>
        <v>finished</v>
      </c>
      <c r="D802" s="43" t="str">
        <f>IFERROR(__xludf.DUMMYFUNCTION("""COMPUTED_VALUE"""),"No")</f>
        <v>No</v>
      </c>
      <c r="E802" s="43" t="str">
        <f>IFERROR(__xludf.DUMMYFUNCTION("""COMPUTED_VALUE"""),"p_6f8d6d7e1785f8bb9accbf27bad672aad693366e@inbound.aiesec.org")</f>
        <v>p_6f8d6d7e1785f8bb9accbf27bad672aad693366e@inbound.aiesec.org</v>
      </c>
      <c r="F802" s="43">
        <f>IFERROR(__xludf.DUMMYFUNCTION("""COMPUTED_VALUE"""),5.3004176E7)</f>
        <v>53004176</v>
      </c>
      <c r="G802" s="43" t="str">
        <f>IFERROR(__xludf.DUMMYFUNCTION("""COMPUTED_VALUE"""),"Tunisia")</f>
        <v>Tunisia</v>
      </c>
      <c r="H802" s="43" t="str">
        <f>IFERROR(__xludf.DUMMYFUNCTION("""COMPUTED_VALUE"""),"RUSPINA")</f>
        <v>RUSPINA</v>
      </c>
      <c r="I802" s="43" t="str">
        <f>IFERROR(__xludf.DUMMYFUNCTION("""COMPUTED_VALUE"""),"Turkey")</f>
        <v>Turkey</v>
      </c>
      <c r="J802" s="43" t="str">
        <f>IFERROR(__xludf.DUMMYFUNCTION("""COMPUTED_VALUE"""),"ANKARA")</f>
        <v>ANKARA</v>
      </c>
      <c r="K802" s="44" t="str">
        <f>IFERROR(__xludf.DUMMYFUNCTION("""COMPUTED_VALUE"""),"https://expa.aiesec.org/opportunities/1294651")</f>
        <v>https://expa.aiesec.org/opportunities/1294651</v>
      </c>
      <c r="L802" s="43" t="str">
        <f>IFERROR(__xludf.DUMMYFUNCTION("""COMPUTED_VALUE"""),"GV")</f>
        <v>GV</v>
      </c>
      <c r="M802" s="43" t="str">
        <f>IFERROR(__xludf.DUMMYFUNCTION("""COMPUTED_VALUE"""),"short")</f>
        <v>short</v>
      </c>
      <c r="N802" s="45">
        <f>IFERROR(__xludf.DUMMYFUNCTION("""COMPUTED_VALUE"""),45052.0)</f>
        <v>45052</v>
      </c>
      <c r="O802" s="45">
        <f>IFERROR(__xludf.DUMMYFUNCTION("""COMPUTED_VALUE"""),45152.0)</f>
        <v>45152</v>
      </c>
      <c r="P802" s="45">
        <f>IFERROR(__xludf.DUMMYFUNCTION("""COMPUTED_VALUE"""),45194.0)</f>
        <v>45194</v>
      </c>
      <c r="Q802" s="45">
        <f>IFERROR(__xludf.DUMMYFUNCTION("""COMPUTED_VALUE"""),45155.0)</f>
        <v>45155</v>
      </c>
      <c r="R802" s="45">
        <f>IFERROR(__xludf.DUMMYFUNCTION("""COMPUTED_VALUE"""),45195.0)</f>
        <v>45195</v>
      </c>
      <c r="S802" s="43"/>
      <c r="T802" s="43"/>
      <c r="U802" s="43" t="str">
        <f>IFERROR(__xludf.DUMMYFUNCTION("""COMPUTED_VALUE"""),"Global Classroom")</f>
        <v>Global Classroom</v>
      </c>
      <c r="V802" s="43" t="str">
        <f>IFERROR(__xludf.DUMMYFUNCTION("""COMPUTED_VALUE"""),"Pharmacie Monastir")</f>
        <v>Pharmacie Monastir</v>
      </c>
      <c r="W802" s="43" t="str">
        <f>IFERROR(__xludf.DUMMYFUNCTION("""COMPUTED_VALUE"""),"2023-05-05T22:18:37Z")</f>
        <v>2023-05-05T22:18:37Z</v>
      </c>
      <c r="X802" s="43"/>
      <c r="Y802" s="43"/>
      <c r="Z802" s="43"/>
    </row>
    <row r="803" hidden="1">
      <c r="A803" s="43" t="str">
        <f>IFERROR(__xludf.DUMMYFUNCTION("""COMPUTED_VALUE"""),"5256726_1294068")</f>
        <v>5256726_1294068</v>
      </c>
      <c r="B803" s="43" t="str">
        <f>IFERROR(__xludf.DUMMYFUNCTION("""COMPUTED_VALUE"""),"wejden zekri")</f>
        <v>wejden zekri</v>
      </c>
      <c r="C803" s="43" t="str">
        <f>IFERROR(__xludf.DUMMYFUNCTION("""COMPUTED_VALUE"""),"completed")</f>
        <v>completed</v>
      </c>
      <c r="D803" s="43" t="str">
        <f>IFERROR(__xludf.DUMMYFUNCTION("""COMPUTED_VALUE"""),"No")</f>
        <v>No</v>
      </c>
      <c r="E803" s="43" t="str">
        <f>IFERROR(__xludf.DUMMYFUNCTION("""COMPUTED_VALUE"""),"p_d0876207ae4088e8889691867dd07482d8273258@inbound.aiesec.org")</f>
        <v>p_d0876207ae4088e8889691867dd07482d8273258@inbound.aiesec.org</v>
      </c>
      <c r="F803" s="43">
        <f>IFERROR(__xludf.DUMMYFUNCTION("""COMPUTED_VALUE"""),9.2711122E7)</f>
        <v>92711122</v>
      </c>
      <c r="G803" s="43" t="str">
        <f>IFERROR(__xludf.DUMMYFUNCTION("""COMPUTED_VALUE"""),"Tunisia")</f>
        <v>Tunisia</v>
      </c>
      <c r="H803" s="43" t="str">
        <f>IFERROR(__xludf.DUMMYFUNCTION("""COMPUTED_VALUE"""),"HADRUMET")</f>
        <v>HADRUMET</v>
      </c>
      <c r="I803" s="43" t="str">
        <f>IFERROR(__xludf.DUMMYFUNCTION("""COMPUTED_VALUE"""),"Turkey")</f>
        <v>Turkey</v>
      </c>
      <c r="J803" s="43" t="str">
        <f>IFERROR(__xludf.DUMMYFUNCTION("""COMPUTED_VALUE"""),"DENIZLI")</f>
        <v>DENIZLI</v>
      </c>
      <c r="K803" s="44" t="str">
        <f>IFERROR(__xludf.DUMMYFUNCTION("""COMPUTED_VALUE"""),"https://expa.aiesec.org/opportunities/1294068")</f>
        <v>https://expa.aiesec.org/opportunities/1294068</v>
      </c>
      <c r="L803" s="43" t="str">
        <f>IFERROR(__xludf.DUMMYFUNCTION("""COMPUTED_VALUE"""),"GV")</f>
        <v>GV</v>
      </c>
      <c r="M803" s="43" t="str">
        <f>IFERROR(__xludf.DUMMYFUNCTION("""COMPUTED_VALUE"""),"short")</f>
        <v>short</v>
      </c>
      <c r="N803" s="45">
        <f>IFERROR(__xludf.DUMMYFUNCTION("""COMPUTED_VALUE"""),45052.0)</f>
        <v>45052</v>
      </c>
      <c r="O803" s="45">
        <f>IFERROR(__xludf.DUMMYFUNCTION("""COMPUTED_VALUE"""),45124.0)</f>
        <v>45124</v>
      </c>
      <c r="P803" s="45">
        <f>IFERROR(__xludf.DUMMYFUNCTION("""COMPUTED_VALUE"""),45166.0)</f>
        <v>45166</v>
      </c>
      <c r="Q803" s="45">
        <f>IFERROR(__xludf.DUMMYFUNCTION("""COMPUTED_VALUE"""),45124.0)</f>
        <v>45124</v>
      </c>
      <c r="R803" s="45">
        <f>IFERROR(__xludf.DUMMYFUNCTION("""COMPUTED_VALUE"""),45166.0)</f>
        <v>45166</v>
      </c>
      <c r="S803" s="43"/>
      <c r="T803" s="43"/>
      <c r="U803" s="43" t="str">
        <f>IFERROR(__xludf.DUMMYFUNCTION("""COMPUTED_VALUE"""),"Equify")</f>
        <v>Equify</v>
      </c>
      <c r="V803" s="43" t="str">
        <f>IFERROR(__xludf.DUMMYFUNCTION("""COMPUTED_VALUE"""),"Faculté de Droit et des Sciences  Politiques de Sousse")</f>
        <v>Faculté de Droit et des Sciences  Politiques de Sousse</v>
      </c>
      <c r="W803" s="43" t="str">
        <f>IFERROR(__xludf.DUMMYFUNCTION("""COMPUTED_VALUE"""),"2023-05-06T11:37:52Z")</f>
        <v>2023-05-06T11:37:52Z</v>
      </c>
      <c r="X803" s="43"/>
      <c r="Y803" s="43"/>
      <c r="Z803" s="43"/>
    </row>
    <row r="804" hidden="1">
      <c r="A804" s="43" t="str">
        <f>IFERROR(__xludf.DUMMYFUNCTION("""COMPUTED_VALUE"""),"5143668_1287488")</f>
        <v>5143668_1287488</v>
      </c>
      <c r="B804" s="43" t="str">
        <f>IFERROR(__xludf.DUMMYFUNCTION("""COMPUTED_VALUE"""),"Asmita Narang")</f>
        <v>Asmita Narang</v>
      </c>
      <c r="C804" s="43" t="str">
        <f>IFERROR(__xludf.DUMMYFUNCTION("""COMPUTED_VALUE"""),"completed")</f>
        <v>completed</v>
      </c>
      <c r="D804" s="43" t="str">
        <f>IFERROR(__xludf.DUMMYFUNCTION("""COMPUTED_VALUE"""),"No")</f>
        <v>No</v>
      </c>
      <c r="E804" s="43" t="str">
        <f>IFERROR(__xludf.DUMMYFUNCTION("""COMPUTED_VALUE"""),"p_709625d6155574cc19fa9541122b411d9b43fc0d@inbound.aiesec.org")</f>
        <v>p_709625d6155574cc19fa9541122b411d9b43fc0d@inbound.aiesec.org</v>
      </c>
      <c r="F804" s="43"/>
      <c r="G804" s="43" t="str">
        <f>IFERROR(__xludf.DUMMYFUNCTION("""COMPUTED_VALUE"""),"India")</f>
        <v>India</v>
      </c>
      <c r="H804" s="43" t="str">
        <f>IFERROR(__xludf.DUMMYFUNCTION("""COMPUTED_VALUE"""),"Delhi University")</f>
        <v>Delhi University</v>
      </c>
      <c r="I804" s="43" t="str">
        <f>IFERROR(__xludf.DUMMYFUNCTION("""COMPUTED_VALUE"""),"Turkey")</f>
        <v>Turkey</v>
      </c>
      <c r="J804" s="43" t="str">
        <f>IFERROR(__xludf.DUMMYFUNCTION("""COMPUTED_VALUE"""),"ISTANBUL ASIA")</f>
        <v>ISTANBUL ASIA</v>
      </c>
      <c r="K804" s="44" t="str">
        <f>IFERROR(__xludf.DUMMYFUNCTION("""COMPUTED_VALUE"""),"https://expa.aiesec.org/opportunities/1287488")</f>
        <v>https://expa.aiesec.org/opportunities/1287488</v>
      </c>
      <c r="L804" s="43" t="str">
        <f>IFERROR(__xludf.DUMMYFUNCTION("""COMPUTED_VALUE"""),"GV")</f>
        <v>GV</v>
      </c>
      <c r="M804" s="43" t="str">
        <f>IFERROR(__xludf.DUMMYFUNCTION("""COMPUTED_VALUE"""),"short")</f>
        <v>short</v>
      </c>
      <c r="N804" s="45">
        <f>IFERROR(__xludf.DUMMYFUNCTION("""COMPUTED_VALUE"""),45052.0)</f>
        <v>45052</v>
      </c>
      <c r="O804" s="45">
        <f>IFERROR(__xludf.DUMMYFUNCTION("""COMPUTED_VALUE"""),45082.0)</f>
        <v>45082</v>
      </c>
      <c r="P804" s="45">
        <f>IFERROR(__xludf.DUMMYFUNCTION("""COMPUTED_VALUE"""),45124.0)</f>
        <v>45124</v>
      </c>
      <c r="Q804" s="45">
        <f>IFERROR(__xludf.DUMMYFUNCTION("""COMPUTED_VALUE"""),45082.0)</f>
        <v>45082</v>
      </c>
      <c r="R804" s="45">
        <f>IFERROR(__xludf.DUMMYFUNCTION("""COMPUTED_VALUE"""),45124.0)</f>
        <v>45124</v>
      </c>
      <c r="S804" s="43"/>
      <c r="T804" s="43"/>
      <c r="U804" s="43" t="str">
        <f>IFERROR(__xludf.DUMMYFUNCTION("""COMPUTED_VALUE"""),"Global Classroom")</f>
        <v>Global Classroom</v>
      </c>
      <c r="V804" s="43" t="str">
        <f>IFERROR(__xludf.DUMMYFUNCTION("""COMPUTED_VALUE"""),"-")</f>
        <v>-</v>
      </c>
      <c r="W804" s="43" t="str">
        <f>IFERROR(__xludf.DUMMYFUNCTION("""COMPUTED_VALUE"""),"2022-10-31T12:18:01Z")</f>
        <v>2022-10-31T12:18:01Z</v>
      </c>
      <c r="X804" s="43"/>
      <c r="Y804" s="43"/>
      <c r="Z804" s="43"/>
    </row>
    <row r="805" hidden="1">
      <c r="A805" s="43" t="str">
        <f>IFERROR(__xludf.DUMMYFUNCTION("""COMPUTED_VALUE"""),"5049663_1294894")</f>
        <v>5049663_1294894</v>
      </c>
      <c r="B805" s="43" t="str">
        <f>IFERROR(__xludf.DUMMYFUNCTION("""COMPUTED_VALUE"""),"Hannan Mazhar")</f>
        <v>Hannan Mazhar</v>
      </c>
      <c r="C805" s="43" t="str">
        <f>IFERROR(__xludf.DUMMYFUNCTION("""COMPUTED_VALUE"""),"completed")</f>
        <v>completed</v>
      </c>
      <c r="D805" s="43" t="str">
        <f>IFERROR(__xludf.DUMMYFUNCTION("""COMPUTED_VALUE"""),"No")</f>
        <v>No</v>
      </c>
      <c r="E805" s="43" t="str">
        <f>IFERROR(__xludf.DUMMYFUNCTION("""COMPUTED_VALUE"""),"p_6b426366c046ef8a0d0230cdc9d6e1a1cbc72b2a@inbound.aiesec.org")</f>
        <v>p_6b426366c046ef8a0d0230cdc9d6e1a1cbc72b2a@inbound.aiesec.org</v>
      </c>
      <c r="F805" s="43">
        <f>IFERROR(__xludf.DUMMYFUNCTION("""COMPUTED_VALUE"""),3.077611179E9)</f>
        <v>3077611179</v>
      </c>
      <c r="G805" s="43" t="str">
        <f>IFERROR(__xludf.DUMMYFUNCTION("""COMPUTED_VALUE"""),"Pakistan")</f>
        <v>Pakistan</v>
      </c>
      <c r="H805" s="43" t="str">
        <f>IFERROR(__xludf.DUMMYFUNCTION("""COMPUTED_VALUE"""),"Lahore - Pak")</f>
        <v>Lahore - Pak</v>
      </c>
      <c r="I805" s="43" t="str">
        <f>IFERROR(__xludf.DUMMYFUNCTION("""COMPUTED_VALUE"""),"Turkey")</f>
        <v>Turkey</v>
      </c>
      <c r="J805" s="43" t="str">
        <f>IFERROR(__xludf.DUMMYFUNCTION("""COMPUTED_VALUE"""),"ADANA")</f>
        <v>ADANA</v>
      </c>
      <c r="K805" s="44" t="str">
        <f>IFERROR(__xludf.DUMMYFUNCTION("""COMPUTED_VALUE"""),"https://expa.aiesec.org/opportunities/1294894")</f>
        <v>https://expa.aiesec.org/opportunities/1294894</v>
      </c>
      <c r="L805" s="43" t="str">
        <f>IFERROR(__xludf.DUMMYFUNCTION("""COMPUTED_VALUE"""),"GV")</f>
        <v>GV</v>
      </c>
      <c r="M805" s="43" t="str">
        <f>IFERROR(__xludf.DUMMYFUNCTION("""COMPUTED_VALUE"""),"short")</f>
        <v>short</v>
      </c>
      <c r="N805" s="45">
        <f>IFERROR(__xludf.DUMMYFUNCTION("""COMPUTED_VALUE"""),45053.0)</f>
        <v>45053</v>
      </c>
      <c r="O805" s="45">
        <f>IFERROR(__xludf.DUMMYFUNCTION("""COMPUTED_VALUE"""),45110.0)</f>
        <v>45110</v>
      </c>
      <c r="P805" s="45">
        <f>IFERROR(__xludf.DUMMYFUNCTION("""COMPUTED_VALUE"""),45156.0)</f>
        <v>45156</v>
      </c>
      <c r="Q805" s="45">
        <f>IFERROR(__xludf.DUMMYFUNCTION("""COMPUTED_VALUE"""),45110.0)</f>
        <v>45110</v>
      </c>
      <c r="R805" s="45">
        <f>IFERROR(__xludf.DUMMYFUNCTION("""COMPUTED_VALUE"""),45156.0)</f>
        <v>45156</v>
      </c>
      <c r="S805" s="43"/>
      <c r="T805" s="43"/>
      <c r="U805" s="43" t="str">
        <f>IFERROR(__xludf.DUMMYFUNCTION("""COMPUTED_VALUE"""),"Global Classroom")</f>
        <v>Global Classroom</v>
      </c>
      <c r="V805" s="43" t="str">
        <f>IFERROR(__xludf.DUMMYFUNCTION("""COMPUTED_VALUE"""),"Lahore - Lahore School of Economics")</f>
        <v>Lahore - Lahore School of Economics</v>
      </c>
      <c r="W805" s="43" t="str">
        <f>IFERROR(__xludf.DUMMYFUNCTION("""COMPUTED_VALUE"""),"2022-05-01T16:40:10Z")</f>
        <v>2022-05-01T16:40:10Z</v>
      </c>
      <c r="X805" s="43"/>
      <c r="Y805" s="43"/>
      <c r="Z805" s="43"/>
    </row>
    <row r="806" hidden="1">
      <c r="A806" s="43" t="str">
        <f>IFERROR(__xludf.DUMMYFUNCTION("""COMPUTED_VALUE"""),"5256337_1294584")</f>
        <v>5256337_1294584</v>
      </c>
      <c r="B806" s="43" t="str">
        <f>IFERROR(__xludf.DUMMYFUNCTION("""COMPUTED_VALUE"""),"Valeriia Babii")</f>
        <v>Valeriia Babii</v>
      </c>
      <c r="C806" s="43" t="str">
        <f>IFERROR(__xludf.DUMMYFUNCTION("""COMPUTED_VALUE"""),"completed")</f>
        <v>completed</v>
      </c>
      <c r="D806" s="43" t="str">
        <f>IFERROR(__xludf.DUMMYFUNCTION("""COMPUTED_VALUE"""),"No")</f>
        <v>No</v>
      </c>
      <c r="E806" s="43" t="str">
        <f>IFERROR(__xludf.DUMMYFUNCTION("""COMPUTED_VALUE"""),"p_933a1b07beab6a9d4810f75918af8f9ee42836df@inbound.aiesec.org")</f>
        <v>p_933a1b07beab6a9d4810f75918af8f9ee42836df@inbound.aiesec.org</v>
      </c>
      <c r="F806" s="43"/>
      <c r="G806" s="43" t="str">
        <f>IFERROR(__xludf.DUMMYFUNCTION("""COMPUTED_VALUE"""),"Ukraine")</f>
        <v>Ukraine</v>
      </c>
      <c r="H806" s="43" t="str">
        <f>IFERROR(__xludf.DUMMYFUNCTION("""COMPUTED_VALUE"""),"LVIV")</f>
        <v>LVIV</v>
      </c>
      <c r="I806" s="43" t="str">
        <f>IFERROR(__xludf.DUMMYFUNCTION("""COMPUTED_VALUE"""),"Turkey")</f>
        <v>Turkey</v>
      </c>
      <c r="J806" s="43" t="str">
        <f>IFERROR(__xludf.DUMMYFUNCTION("""COMPUTED_VALUE"""),"ANTALYA")</f>
        <v>ANTALYA</v>
      </c>
      <c r="K806" s="44" t="str">
        <f>IFERROR(__xludf.DUMMYFUNCTION("""COMPUTED_VALUE"""),"https://expa.aiesec.org/opportunities/1294584")</f>
        <v>https://expa.aiesec.org/opportunities/1294584</v>
      </c>
      <c r="L806" s="43" t="str">
        <f>IFERROR(__xludf.DUMMYFUNCTION("""COMPUTED_VALUE"""),"GV")</f>
        <v>GV</v>
      </c>
      <c r="M806" s="43" t="str">
        <f>IFERROR(__xludf.DUMMYFUNCTION("""COMPUTED_VALUE"""),"short")</f>
        <v>short</v>
      </c>
      <c r="N806" s="45">
        <f>IFERROR(__xludf.DUMMYFUNCTION("""COMPUTED_VALUE"""),45053.0)</f>
        <v>45053</v>
      </c>
      <c r="O806" s="45">
        <f>IFERROR(__xludf.DUMMYFUNCTION("""COMPUTED_VALUE"""),45110.0)</f>
        <v>45110</v>
      </c>
      <c r="P806" s="45">
        <f>IFERROR(__xludf.DUMMYFUNCTION("""COMPUTED_VALUE"""),45152.0)</f>
        <v>45152</v>
      </c>
      <c r="Q806" s="45">
        <f>IFERROR(__xludf.DUMMYFUNCTION("""COMPUTED_VALUE"""),45110.0)</f>
        <v>45110</v>
      </c>
      <c r="R806" s="45">
        <f>IFERROR(__xludf.DUMMYFUNCTION("""COMPUTED_VALUE"""),45152.0)</f>
        <v>45152</v>
      </c>
      <c r="S806" s="43"/>
      <c r="T806" s="43"/>
      <c r="U806" s="43" t="str">
        <f>IFERROR(__xludf.DUMMYFUNCTION("""COMPUTED_VALUE"""),"Youth 4 Impact")</f>
        <v>Youth 4 Impact</v>
      </c>
      <c r="V806" s="43" t="str">
        <f>IFERROR(__xludf.DUMMYFUNCTION("""COMPUTED_VALUE"""),"-")</f>
        <v>-</v>
      </c>
      <c r="W806" s="43" t="str">
        <f>IFERROR(__xludf.DUMMYFUNCTION("""COMPUTED_VALUE"""),"2023-05-05T13:55:50Z")</f>
        <v>2023-05-05T13:55:50Z</v>
      </c>
      <c r="X806" s="43"/>
      <c r="Y806" s="43"/>
      <c r="Z806" s="43"/>
    </row>
    <row r="807" hidden="1">
      <c r="A807" s="43" t="str">
        <f>IFERROR(__xludf.DUMMYFUNCTION("""COMPUTED_VALUE"""),"5245757_1294894")</f>
        <v>5245757_1294894</v>
      </c>
      <c r="B807" s="43" t="str">
        <f>IFERROR(__xludf.DUMMYFUNCTION("""COMPUTED_VALUE"""),"Waleed Ehsan")</f>
        <v>Waleed Ehsan</v>
      </c>
      <c r="C807" s="43" t="str">
        <f>IFERROR(__xludf.DUMMYFUNCTION("""COMPUTED_VALUE"""),"completed")</f>
        <v>completed</v>
      </c>
      <c r="D807" s="43" t="str">
        <f>IFERROR(__xludf.DUMMYFUNCTION("""COMPUTED_VALUE"""),"No")</f>
        <v>No</v>
      </c>
      <c r="E807" s="43" t="str">
        <f>IFERROR(__xludf.DUMMYFUNCTION("""COMPUTED_VALUE"""),"p_a255879123e716450f08495072179a92a139b1ba@inbound.aiesec.org")</f>
        <v>p_a255879123e716450f08495072179a92a139b1ba@inbound.aiesec.org</v>
      </c>
      <c r="F807" s="43"/>
      <c r="G807" s="43" t="str">
        <f>IFERROR(__xludf.DUMMYFUNCTION("""COMPUTED_VALUE"""),"Pakistan")</f>
        <v>Pakistan</v>
      </c>
      <c r="H807" s="43" t="str">
        <f>IFERROR(__xludf.DUMMYFUNCTION("""COMPUTED_VALUE"""),"Lahore - Pak")</f>
        <v>Lahore - Pak</v>
      </c>
      <c r="I807" s="43" t="str">
        <f>IFERROR(__xludf.DUMMYFUNCTION("""COMPUTED_VALUE"""),"Turkey")</f>
        <v>Turkey</v>
      </c>
      <c r="J807" s="43" t="str">
        <f>IFERROR(__xludf.DUMMYFUNCTION("""COMPUTED_VALUE"""),"ADANA")</f>
        <v>ADANA</v>
      </c>
      <c r="K807" s="44" t="str">
        <f>IFERROR(__xludf.DUMMYFUNCTION("""COMPUTED_VALUE"""),"https://expa.aiesec.org/opportunities/1294894")</f>
        <v>https://expa.aiesec.org/opportunities/1294894</v>
      </c>
      <c r="L807" s="43" t="str">
        <f>IFERROR(__xludf.DUMMYFUNCTION("""COMPUTED_VALUE"""),"GV")</f>
        <v>GV</v>
      </c>
      <c r="M807" s="43" t="str">
        <f>IFERROR(__xludf.DUMMYFUNCTION("""COMPUTED_VALUE"""),"short")</f>
        <v>short</v>
      </c>
      <c r="N807" s="45">
        <f>IFERROR(__xludf.DUMMYFUNCTION("""COMPUTED_VALUE"""),45053.0)</f>
        <v>45053</v>
      </c>
      <c r="O807" s="45">
        <f>IFERROR(__xludf.DUMMYFUNCTION("""COMPUTED_VALUE"""),45110.0)</f>
        <v>45110</v>
      </c>
      <c r="P807" s="45">
        <f>IFERROR(__xludf.DUMMYFUNCTION("""COMPUTED_VALUE"""),45156.0)</f>
        <v>45156</v>
      </c>
      <c r="Q807" s="45">
        <f>IFERROR(__xludf.DUMMYFUNCTION("""COMPUTED_VALUE"""),45110.0)</f>
        <v>45110</v>
      </c>
      <c r="R807" s="45">
        <f>IFERROR(__xludf.DUMMYFUNCTION("""COMPUTED_VALUE"""),45156.0)</f>
        <v>45156</v>
      </c>
      <c r="S807" s="43"/>
      <c r="T807" s="43"/>
      <c r="U807" s="43" t="str">
        <f>IFERROR(__xludf.DUMMYFUNCTION("""COMPUTED_VALUE"""),"Global Classroom")</f>
        <v>Global Classroom</v>
      </c>
      <c r="V807" s="43" t="str">
        <f>IFERROR(__xludf.DUMMYFUNCTION("""COMPUTED_VALUE"""),"-")</f>
        <v>-</v>
      </c>
      <c r="W807" s="43" t="str">
        <f>IFERROR(__xludf.DUMMYFUNCTION("""COMPUTED_VALUE"""),"2023-04-20T00:36:55Z")</f>
        <v>2023-04-20T00:36:55Z</v>
      </c>
      <c r="X807" s="43"/>
      <c r="Y807" s="43"/>
      <c r="Z807" s="43"/>
    </row>
    <row r="808" hidden="1">
      <c r="A808" s="43" t="str">
        <f>IFERROR(__xludf.DUMMYFUNCTION("""COMPUTED_VALUE"""),"5132538_1289596")</f>
        <v>5132538_1289596</v>
      </c>
      <c r="B808" s="43" t="str">
        <f>IFERROR(__xludf.DUMMYFUNCTION("""COMPUTED_VALUE"""),"Daria Tryhubenko")</f>
        <v>Daria Tryhubenko</v>
      </c>
      <c r="C808" s="43" t="str">
        <f>IFERROR(__xludf.DUMMYFUNCTION("""COMPUTED_VALUE"""),"completed")</f>
        <v>completed</v>
      </c>
      <c r="D808" s="43" t="str">
        <f>IFERROR(__xludf.DUMMYFUNCTION("""COMPUTED_VALUE"""),"No")</f>
        <v>No</v>
      </c>
      <c r="E808" s="43" t="str">
        <f>IFERROR(__xludf.DUMMYFUNCTION("""COMPUTED_VALUE"""),"p_da9557557a606ac32798295fdbb58641dc895111@inbound.aiesec.org")</f>
        <v>p_da9557557a606ac32798295fdbb58641dc895111@inbound.aiesec.org</v>
      </c>
      <c r="F808" s="43"/>
      <c r="G808" s="43" t="str">
        <f>IFERROR(__xludf.DUMMYFUNCTION("""COMPUTED_VALUE"""),"Ukraine")</f>
        <v>Ukraine</v>
      </c>
      <c r="H808" s="43" t="str">
        <f>IFERROR(__xludf.DUMMYFUNCTION("""COMPUTED_VALUE"""),"LVIV")</f>
        <v>LVIV</v>
      </c>
      <c r="I808" s="43" t="str">
        <f>IFERROR(__xludf.DUMMYFUNCTION("""COMPUTED_VALUE"""),"Turkey")</f>
        <v>Turkey</v>
      </c>
      <c r="J808" s="43" t="str">
        <f>IFERROR(__xludf.DUMMYFUNCTION("""COMPUTED_VALUE"""),"ISPARTA")</f>
        <v>ISPARTA</v>
      </c>
      <c r="K808" s="44" t="str">
        <f>IFERROR(__xludf.DUMMYFUNCTION("""COMPUTED_VALUE"""),"https://expa.aiesec.org/opportunities/1289596")</f>
        <v>https://expa.aiesec.org/opportunities/1289596</v>
      </c>
      <c r="L808" s="43" t="str">
        <f>IFERROR(__xludf.DUMMYFUNCTION("""COMPUTED_VALUE"""),"GV")</f>
        <v>GV</v>
      </c>
      <c r="M808" s="43" t="str">
        <f>IFERROR(__xludf.DUMMYFUNCTION("""COMPUTED_VALUE"""),"short")</f>
        <v>short</v>
      </c>
      <c r="N808" s="45">
        <f>IFERROR(__xludf.DUMMYFUNCTION("""COMPUTED_VALUE"""),45053.0)</f>
        <v>45053</v>
      </c>
      <c r="O808" s="45">
        <f>IFERROR(__xludf.DUMMYFUNCTION("""COMPUTED_VALUE"""),45131.0)</f>
        <v>45131</v>
      </c>
      <c r="P808" s="45">
        <f>IFERROR(__xludf.DUMMYFUNCTION("""COMPUTED_VALUE"""),45173.0)</f>
        <v>45173</v>
      </c>
      <c r="Q808" s="45">
        <f>IFERROR(__xludf.DUMMYFUNCTION("""COMPUTED_VALUE"""),45139.0)</f>
        <v>45139</v>
      </c>
      <c r="R808" s="45">
        <f>IFERROR(__xludf.DUMMYFUNCTION("""COMPUTED_VALUE"""),45179.0)</f>
        <v>45179</v>
      </c>
      <c r="S808" s="43"/>
      <c r="T808" s="43"/>
      <c r="U808" s="43" t="str">
        <f>IFERROR(__xludf.DUMMYFUNCTION("""COMPUTED_VALUE"""),"Global Classroom")</f>
        <v>Global Classroom</v>
      </c>
      <c r="V808" s="43" t="str">
        <f>IFERROR(__xludf.DUMMYFUNCTION("""COMPUTED_VALUE"""),"-")</f>
        <v>-</v>
      </c>
      <c r="W808" s="43" t="str">
        <f>IFERROR(__xludf.DUMMYFUNCTION("""COMPUTED_VALUE"""),"2022-10-13T21:23:38Z")</f>
        <v>2022-10-13T21:23:38Z</v>
      </c>
      <c r="X808" s="43"/>
      <c r="Y808" s="43"/>
      <c r="Z808" s="43"/>
    </row>
    <row r="809" hidden="1">
      <c r="A809" s="43" t="str">
        <f>IFERROR(__xludf.DUMMYFUNCTION("""COMPUTED_VALUE"""),"5193886_1294387")</f>
        <v>5193886_1294387</v>
      </c>
      <c r="B809" s="43" t="str">
        <f>IFERROR(__xludf.DUMMYFUNCTION("""COMPUTED_VALUE"""),"Viacheslav Ivanov")</f>
        <v>Viacheslav Ivanov</v>
      </c>
      <c r="C809" s="43" t="str">
        <f>IFERROR(__xludf.DUMMYFUNCTION("""COMPUTED_VALUE"""),"completed")</f>
        <v>completed</v>
      </c>
      <c r="D809" s="43" t="str">
        <f>IFERROR(__xludf.DUMMYFUNCTION("""COMPUTED_VALUE"""),"No")</f>
        <v>No</v>
      </c>
      <c r="E809" s="43" t="str">
        <f>IFERROR(__xludf.DUMMYFUNCTION("""COMPUTED_VALUE"""),"p_3d799d595758479312763b0280b7aee7fcc8ba5d@inbound.aiesec.org")</f>
        <v>p_3d799d595758479312763b0280b7aee7fcc8ba5d@inbound.aiesec.org</v>
      </c>
      <c r="F809" s="43">
        <f>IFERROR(__xludf.DUMMYFUNCTION("""COMPUTED_VALUE"""),5.55055667E8)</f>
        <v>555055667</v>
      </c>
      <c r="G809" s="43" t="str">
        <f>IFERROR(__xludf.DUMMYFUNCTION("""COMPUTED_VALUE"""),"Kyrgyzstan")</f>
        <v>Kyrgyzstan</v>
      </c>
      <c r="H809" s="43" t="str">
        <f>IFERROR(__xludf.DUMMYFUNCTION("""COMPUTED_VALUE"""),"Dragon")</f>
        <v>Dragon</v>
      </c>
      <c r="I809" s="43" t="str">
        <f>IFERROR(__xludf.DUMMYFUNCTION("""COMPUTED_VALUE"""),"Turkey")</f>
        <v>Turkey</v>
      </c>
      <c r="J809" s="43" t="str">
        <f>IFERROR(__xludf.DUMMYFUNCTION("""COMPUTED_VALUE"""),"BURSA")</f>
        <v>BURSA</v>
      </c>
      <c r="K809" s="44" t="str">
        <f>IFERROR(__xludf.DUMMYFUNCTION("""COMPUTED_VALUE"""),"https://expa.aiesec.org/opportunities/1294387")</f>
        <v>https://expa.aiesec.org/opportunities/1294387</v>
      </c>
      <c r="L809" s="43" t="str">
        <f>IFERROR(__xludf.DUMMYFUNCTION("""COMPUTED_VALUE"""),"GV")</f>
        <v>GV</v>
      </c>
      <c r="M809" s="43" t="str">
        <f>IFERROR(__xludf.DUMMYFUNCTION("""COMPUTED_VALUE"""),"short")</f>
        <v>short</v>
      </c>
      <c r="N809" s="45">
        <f>IFERROR(__xludf.DUMMYFUNCTION("""COMPUTED_VALUE"""),45053.0)</f>
        <v>45053</v>
      </c>
      <c r="O809" s="45">
        <f>IFERROR(__xludf.DUMMYFUNCTION("""COMPUTED_VALUE"""),45110.0)</f>
        <v>45110</v>
      </c>
      <c r="P809" s="45">
        <f>IFERROR(__xludf.DUMMYFUNCTION("""COMPUTED_VALUE"""),45152.0)</f>
        <v>45152</v>
      </c>
      <c r="Q809" s="45">
        <f>IFERROR(__xludf.DUMMYFUNCTION("""COMPUTED_VALUE"""),45109.0)</f>
        <v>45109</v>
      </c>
      <c r="R809" s="45">
        <f>IFERROR(__xludf.DUMMYFUNCTION("""COMPUTED_VALUE"""),45152.0)</f>
        <v>45152</v>
      </c>
      <c r="S809" s="43"/>
      <c r="T809" s="43"/>
      <c r="U809" s="43" t="str">
        <f>IFERROR(__xludf.DUMMYFUNCTION("""COMPUTED_VALUE"""),"Youth 4 Impact")</f>
        <v>Youth 4 Impact</v>
      </c>
      <c r="V809" s="43" t="str">
        <f>IFERROR(__xludf.DUMMYFUNCTION("""COMPUTED_VALUE"""),"AUCA (Other departments) АУЦА (Другие отделения)")</f>
        <v>AUCA (Other departments) АУЦА (Другие отделения)</v>
      </c>
      <c r="W809" s="43" t="str">
        <f>IFERROR(__xludf.DUMMYFUNCTION("""COMPUTED_VALUE"""),"2023-02-18T13:17:35Z")</f>
        <v>2023-02-18T13:17:35Z</v>
      </c>
      <c r="X809" s="43"/>
      <c r="Y809" s="43"/>
      <c r="Z809" s="43"/>
    </row>
    <row r="810" hidden="1">
      <c r="A810" s="43" t="str">
        <f>IFERROR(__xludf.DUMMYFUNCTION("""COMPUTED_VALUE"""),"4183823_1292531")</f>
        <v>4183823_1292531</v>
      </c>
      <c r="B810" s="43" t="str">
        <f>IFERROR(__xludf.DUMMYFUNCTION("""COMPUTED_VALUE"""),"Narimaan Asim")</f>
        <v>Narimaan Asim</v>
      </c>
      <c r="C810" s="43" t="str">
        <f>IFERROR(__xludf.DUMMYFUNCTION("""COMPUTED_VALUE"""),"completed")</f>
        <v>completed</v>
      </c>
      <c r="D810" s="43" t="str">
        <f>IFERROR(__xludf.DUMMYFUNCTION("""COMPUTED_VALUE"""),"No")</f>
        <v>No</v>
      </c>
      <c r="E810" s="43" t="str">
        <f>IFERROR(__xludf.DUMMYFUNCTION("""COMPUTED_VALUE"""),"p_becdfe61756c298004e1c18d76fffe47f0ea2133@inbound.aiesec.org")</f>
        <v>p_becdfe61756c298004e1c18d76fffe47f0ea2133@inbound.aiesec.org</v>
      </c>
      <c r="F810" s="43">
        <f>IFERROR(__xludf.DUMMYFUNCTION("""COMPUTED_VALUE"""),3.361994779E9)</f>
        <v>3361994779</v>
      </c>
      <c r="G810" s="43" t="str">
        <f>IFERROR(__xludf.DUMMYFUNCTION("""COMPUTED_VALUE"""),"Pakistan")</f>
        <v>Pakistan</v>
      </c>
      <c r="H810" s="43" t="str">
        <f>IFERROR(__xludf.DUMMYFUNCTION("""COMPUTED_VALUE"""),"Lahore - Pak")</f>
        <v>Lahore - Pak</v>
      </c>
      <c r="I810" s="43" t="str">
        <f>IFERROR(__xludf.DUMMYFUNCTION("""COMPUTED_VALUE"""),"Turkey")</f>
        <v>Turkey</v>
      </c>
      <c r="J810" s="43" t="str">
        <f>IFERROR(__xludf.DUMMYFUNCTION("""COMPUTED_VALUE"""),"ESKISEHIR")</f>
        <v>ESKISEHIR</v>
      </c>
      <c r="K810" s="44" t="str">
        <f>IFERROR(__xludf.DUMMYFUNCTION("""COMPUTED_VALUE"""),"https://expa.aiesec.org/opportunities/1292531")</f>
        <v>https://expa.aiesec.org/opportunities/1292531</v>
      </c>
      <c r="L810" s="43" t="str">
        <f>IFERROR(__xludf.DUMMYFUNCTION("""COMPUTED_VALUE"""),"GV")</f>
        <v>GV</v>
      </c>
      <c r="M810" s="43" t="str">
        <f>IFERROR(__xludf.DUMMYFUNCTION("""COMPUTED_VALUE"""),"short")</f>
        <v>short</v>
      </c>
      <c r="N810" s="45">
        <f>IFERROR(__xludf.DUMMYFUNCTION("""COMPUTED_VALUE"""),45054.0)</f>
        <v>45054</v>
      </c>
      <c r="O810" s="45">
        <f>IFERROR(__xludf.DUMMYFUNCTION("""COMPUTED_VALUE"""),45082.0)</f>
        <v>45082</v>
      </c>
      <c r="P810" s="45">
        <f>IFERROR(__xludf.DUMMYFUNCTION("""COMPUTED_VALUE"""),45124.0)</f>
        <v>45124</v>
      </c>
      <c r="Q810" s="45">
        <f>IFERROR(__xludf.DUMMYFUNCTION("""COMPUTED_VALUE"""),45085.0)</f>
        <v>45085</v>
      </c>
      <c r="R810" s="45">
        <f>IFERROR(__xludf.DUMMYFUNCTION("""COMPUTED_VALUE"""),45127.0)</f>
        <v>45127</v>
      </c>
      <c r="S810" s="43"/>
      <c r="T810" s="43"/>
      <c r="U810" s="43" t="str">
        <f>IFERROR(__xludf.DUMMYFUNCTION("""COMPUTED_VALUE"""),"Rooted")</f>
        <v>Rooted</v>
      </c>
      <c r="V810" s="43" t="str">
        <f>IFERROR(__xludf.DUMMYFUNCTION("""COMPUTED_VALUE"""),"Lahore - Forman's Christian College (FCC)")</f>
        <v>Lahore - Forman's Christian College (FCC)</v>
      </c>
      <c r="W810" s="43" t="str">
        <f>IFERROR(__xludf.DUMMYFUNCTION("""COMPUTED_VALUE"""),"2020-02-13T12:33:50Z")</f>
        <v>2020-02-13T12:33:50Z</v>
      </c>
      <c r="X810" s="43"/>
      <c r="Y810" s="43"/>
      <c r="Z810" s="43"/>
    </row>
    <row r="811" hidden="1">
      <c r="A811" s="43" t="str">
        <f>IFERROR(__xludf.DUMMYFUNCTION("""COMPUTED_VALUE"""),"5231657_1294372")</f>
        <v>5231657_1294372</v>
      </c>
      <c r="B811" s="43" t="str">
        <f>IFERROR(__xludf.DUMMYFUNCTION("""COMPUTED_VALUE"""),"zeineb hichri")</f>
        <v>zeineb hichri</v>
      </c>
      <c r="C811" s="43" t="str">
        <f>IFERROR(__xludf.DUMMYFUNCTION("""COMPUTED_VALUE"""),"completed")</f>
        <v>completed</v>
      </c>
      <c r="D811" s="43" t="str">
        <f>IFERROR(__xludf.DUMMYFUNCTION("""COMPUTED_VALUE"""),"No")</f>
        <v>No</v>
      </c>
      <c r="E811" s="43" t="str">
        <f>IFERROR(__xludf.DUMMYFUNCTION("""COMPUTED_VALUE"""),"p_bad1eb7b225d84fbd5d4196f2f3b2fe64c38c60b@inbound.aiesec.org")</f>
        <v>p_bad1eb7b225d84fbd5d4196f2f3b2fe64c38c60b@inbound.aiesec.org</v>
      </c>
      <c r="F811" s="43">
        <f>IFERROR(__xludf.DUMMYFUNCTION("""COMPUTED_VALUE"""),2.3148518E7)</f>
        <v>23148518</v>
      </c>
      <c r="G811" s="43" t="str">
        <f>IFERROR(__xludf.DUMMYFUNCTION("""COMPUTED_VALUE"""),"Tunisia")</f>
        <v>Tunisia</v>
      </c>
      <c r="H811" s="43" t="str">
        <f>IFERROR(__xludf.DUMMYFUNCTION("""COMPUTED_VALUE"""),"UNIVERSITY")</f>
        <v>UNIVERSITY</v>
      </c>
      <c r="I811" s="43" t="str">
        <f>IFERROR(__xludf.DUMMYFUNCTION("""COMPUTED_VALUE"""),"Turkey")</f>
        <v>Turkey</v>
      </c>
      <c r="J811" s="43" t="str">
        <f>IFERROR(__xludf.DUMMYFUNCTION("""COMPUTED_VALUE"""),"ANKARA")</f>
        <v>ANKARA</v>
      </c>
      <c r="K811" s="44" t="str">
        <f>IFERROR(__xludf.DUMMYFUNCTION("""COMPUTED_VALUE"""),"https://expa.aiesec.org/opportunities/1294372")</f>
        <v>https://expa.aiesec.org/opportunities/1294372</v>
      </c>
      <c r="L811" s="43" t="str">
        <f>IFERROR(__xludf.DUMMYFUNCTION("""COMPUTED_VALUE"""),"GV")</f>
        <v>GV</v>
      </c>
      <c r="M811" s="43" t="str">
        <f>IFERROR(__xludf.DUMMYFUNCTION("""COMPUTED_VALUE"""),"short")</f>
        <v>short</v>
      </c>
      <c r="N811" s="45">
        <f>IFERROR(__xludf.DUMMYFUNCTION("""COMPUTED_VALUE"""),45054.0)</f>
        <v>45054</v>
      </c>
      <c r="O811" s="45">
        <f>IFERROR(__xludf.DUMMYFUNCTION("""COMPUTED_VALUE"""),45110.0)</f>
        <v>45110</v>
      </c>
      <c r="P811" s="45">
        <f>IFERROR(__xludf.DUMMYFUNCTION("""COMPUTED_VALUE"""),45152.0)</f>
        <v>45152</v>
      </c>
      <c r="Q811" s="45">
        <f>IFERROR(__xludf.DUMMYFUNCTION("""COMPUTED_VALUE"""),45111.0)</f>
        <v>45111</v>
      </c>
      <c r="R811" s="45">
        <f>IFERROR(__xludf.DUMMYFUNCTION("""COMPUTED_VALUE"""),45152.0)</f>
        <v>45152</v>
      </c>
      <c r="S811" s="43"/>
      <c r="T811" s="43"/>
      <c r="U811" s="43" t="str">
        <f>IFERROR(__xludf.DUMMYFUNCTION("""COMPUTED_VALUE"""),"Global Classroom")</f>
        <v>Global Classroom</v>
      </c>
      <c r="V811" s="43" t="str">
        <f>IFERROR(__xludf.DUMMYFUNCTION("""COMPUTED_VALUE"""),"Institut préparatoire aux études d'ingénieurs d'El Manar IPEIEM ")</f>
        <v>Institut préparatoire aux études d'ingénieurs d'El Manar IPEIEM </v>
      </c>
      <c r="W811" s="43" t="str">
        <f>IFERROR(__xludf.DUMMYFUNCTION("""COMPUTED_VALUE"""),"2023-03-31T06:21:22Z")</f>
        <v>2023-03-31T06:21:22Z</v>
      </c>
      <c r="X811" s="43"/>
      <c r="Y811" s="43"/>
      <c r="Z811" s="43"/>
    </row>
    <row r="812" hidden="1">
      <c r="A812" s="43" t="str">
        <f>IFERROR(__xludf.DUMMYFUNCTION("""COMPUTED_VALUE"""),"5256799_1284976")</f>
        <v>5256799_1284976</v>
      </c>
      <c r="B812" s="43" t="str">
        <f>IFERROR(__xludf.DUMMYFUNCTION("""COMPUTED_VALUE"""),"Bai Yue")</f>
        <v>Bai Yue</v>
      </c>
      <c r="C812" s="43" t="str">
        <f>IFERROR(__xludf.DUMMYFUNCTION("""COMPUTED_VALUE"""),"completed")</f>
        <v>completed</v>
      </c>
      <c r="D812" s="43" t="str">
        <f>IFERROR(__xludf.DUMMYFUNCTION("""COMPUTED_VALUE"""),"No")</f>
        <v>No</v>
      </c>
      <c r="E812" s="43" t="str">
        <f>IFERROR(__xludf.DUMMYFUNCTION("""COMPUTED_VALUE"""),"p_39646939861043767b654a02435d96b972866450@inbound.aiesec.org")</f>
        <v>p_39646939861043767b654a02435d96b972866450@inbound.aiesec.org</v>
      </c>
      <c r="F812" s="43">
        <f>IFERROR(__xludf.DUMMYFUNCTION("""COMPUTED_VALUE"""),1.7861081097E10)</f>
        <v>17861081097</v>
      </c>
      <c r="G812" s="43" t="str">
        <f>IFERROR(__xludf.DUMMYFUNCTION("""COMPUTED_VALUE"""),"Mainland of China")</f>
        <v>Mainland of China</v>
      </c>
      <c r="H812" s="43" t="str">
        <f>IFERROR(__xludf.DUMMYFUNCTION("""COMPUTED_VALUE"""),"Beijing")</f>
        <v>Beijing</v>
      </c>
      <c r="I812" s="43" t="str">
        <f>IFERROR(__xludf.DUMMYFUNCTION("""COMPUTED_VALUE"""),"Turkey")</f>
        <v>Turkey</v>
      </c>
      <c r="J812" s="43" t="str">
        <f>IFERROR(__xludf.DUMMYFUNCTION("""COMPUTED_VALUE"""),"ISPARTA")</f>
        <v>ISPARTA</v>
      </c>
      <c r="K812" s="44" t="str">
        <f>IFERROR(__xludf.DUMMYFUNCTION("""COMPUTED_VALUE"""),"https://expa.aiesec.org/opportunities/1284976")</f>
        <v>https://expa.aiesec.org/opportunities/1284976</v>
      </c>
      <c r="L812" s="43" t="str">
        <f>IFERROR(__xludf.DUMMYFUNCTION("""COMPUTED_VALUE"""),"GV")</f>
        <v>GV</v>
      </c>
      <c r="M812" s="43" t="str">
        <f>IFERROR(__xludf.DUMMYFUNCTION("""COMPUTED_VALUE"""),"short")</f>
        <v>short</v>
      </c>
      <c r="N812" s="45">
        <f>IFERROR(__xludf.DUMMYFUNCTION("""COMPUTED_VALUE"""),45054.0)</f>
        <v>45054</v>
      </c>
      <c r="O812" s="45">
        <f>IFERROR(__xludf.DUMMYFUNCTION("""COMPUTED_VALUE"""),45124.0)</f>
        <v>45124</v>
      </c>
      <c r="P812" s="45">
        <f>IFERROR(__xludf.DUMMYFUNCTION("""COMPUTED_VALUE"""),45166.0)</f>
        <v>45166</v>
      </c>
      <c r="Q812" s="45">
        <f>IFERROR(__xludf.DUMMYFUNCTION("""COMPUTED_VALUE"""),45126.0)</f>
        <v>45126</v>
      </c>
      <c r="R812" s="45">
        <f>IFERROR(__xludf.DUMMYFUNCTION("""COMPUTED_VALUE"""),45166.0)</f>
        <v>45166</v>
      </c>
      <c r="S812" s="43"/>
      <c r="T812" s="43"/>
      <c r="U812" s="43" t="str">
        <f>IFERROR(__xludf.DUMMYFUNCTION("""COMPUTED_VALUE"""),"Youth 4 Impact")</f>
        <v>Youth 4 Impact</v>
      </c>
      <c r="V812" s="43" t="str">
        <f>IFERROR(__xludf.DUMMYFUNCTION("""COMPUTED_VALUE"""),"BEIJING 北京")</f>
        <v>BEIJING 北京</v>
      </c>
      <c r="W812" s="43" t="str">
        <f>IFERROR(__xludf.DUMMYFUNCTION("""COMPUTED_VALUE"""),"2023-05-06T14:49:18Z")</f>
        <v>2023-05-06T14:49:18Z</v>
      </c>
      <c r="X812" s="43"/>
      <c r="Y812" s="43"/>
      <c r="Z812" s="43"/>
    </row>
    <row r="813" hidden="1">
      <c r="A813" s="43" t="str">
        <f>IFERROR(__xludf.DUMMYFUNCTION("""COMPUTED_VALUE"""),"5256842_1294066")</f>
        <v>5256842_1294066</v>
      </c>
      <c r="B813" s="43" t="str">
        <f>IFERROR(__xludf.DUMMYFUNCTION("""COMPUTED_VALUE"""),"Isabel Yapour")</f>
        <v>Isabel Yapour</v>
      </c>
      <c r="C813" s="43" t="str">
        <f>IFERROR(__xludf.DUMMYFUNCTION("""COMPUTED_VALUE"""),"completed")</f>
        <v>completed</v>
      </c>
      <c r="D813" s="43" t="str">
        <f>IFERROR(__xludf.DUMMYFUNCTION("""COMPUTED_VALUE"""),"No")</f>
        <v>No</v>
      </c>
      <c r="E813" s="43" t="str">
        <f>IFERROR(__xludf.DUMMYFUNCTION("""COMPUTED_VALUE"""),"p_1f7187f8cbd4ae03f83324bac0e07de85080d682@inbound.aiesec.org")</f>
        <v>p_1f7187f8cbd4ae03f83324bac0e07de85080d682@inbound.aiesec.org</v>
      </c>
      <c r="F813" s="43"/>
      <c r="G813" s="43" t="str">
        <f>IFERROR(__xludf.DUMMYFUNCTION("""COMPUTED_VALUE"""),"Mexico")</f>
        <v>Mexico</v>
      </c>
      <c r="H813" s="43" t="str">
        <f>IFERROR(__xludf.DUMMYFUNCTION("""COMPUTED_VALUE"""),"Guadalajara")</f>
        <v>Guadalajara</v>
      </c>
      <c r="I813" s="43" t="str">
        <f>IFERROR(__xludf.DUMMYFUNCTION("""COMPUTED_VALUE"""),"Turkey")</f>
        <v>Turkey</v>
      </c>
      <c r="J813" s="43" t="str">
        <f>IFERROR(__xludf.DUMMYFUNCTION("""COMPUTED_VALUE"""),"ISTANBUL WEST")</f>
        <v>ISTANBUL WEST</v>
      </c>
      <c r="K813" s="44" t="str">
        <f>IFERROR(__xludf.DUMMYFUNCTION("""COMPUTED_VALUE"""),"https://expa.aiesec.org/opportunities/1294066")</f>
        <v>https://expa.aiesec.org/opportunities/1294066</v>
      </c>
      <c r="L813" s="43" t="str">
        <f>IFERROR(__xludf.DUMMYFUNCTION("""COMPUTED_VALUE"""),"GV")</f>
        <v>GV</v>
      </c>
      <c r="M813" s="43" t="str">
        <f>IFERROR(__xludf.DUMMYFUNCTION("""COMPUTED_VALUE"""),"short")</f>
        <v>short</v>
      </c>
      <c r="N813" s="45">
        <f>IFERROR(__xludf.DUMMYFUNCTION("""COMPUTED_VALUE"""),45054.0)</f>
        <v>45054</v>
      </c>
      <c r="O813" s="45">
        <f>IFERROR(__xludf.DUMMYFUNCTION("""COMPUTED_VALUE"""),45089.0)</f>
        <v>45089</v>
      </c>
      <c r="P813" s="45">
        <f>IFERROR(__xludf.DUMMYFUNCTION("""COMPUTED_VALUE"""),45131.0)</f>
        <v>45131</v>
      </c>
      <c r="Q813" s="45">
        <f>IFERROR(__xludf.DUMMYFUNCTION("""COMPUTED_VALUE"""),45091.0)</f>
        <v>45091</v>
      </c>
      <c r="R813" s="45">
        <f>IFERROR(__xludf.DUMMYFUNCTION("""COMPUTED_VALUE"""),45131.0)</f>
        <v>45131</v>
      </c>
      <c r="S813" s="43"/>
      <c r="T813" s="43"/>
      <c r="U813" s="43" t="str">
        <f>IFERROR(__xludf.DUMMYFUNCTION("""COMPUTED_VALUE"""),"Fingerprint")</f>
        <v>Fingerprint</v>
      </c>
      <c r="V813" s="43" t="str">
        <f>IFERROR(__xludf.DUMMYFUNCTION("""COMPUTED_VALUE"""),"-")</f>
        <v>-</v>
      </c>
      <c r="W813" s="43" t="str">
        <f>IFERROR(__xludf.DUMMYFUNCTION("""COMPUTED_VALUE"""),"2023-05-06T16:53:29Z")</f>
        <v>2023-05-06T16:53:29Z</v>
      </c>
      <c r="X813" s="43"/>
      <c r="Y813" s="43"/>
      <c r="Z813" s="43"/>
    </row>
    <row r="814" hidden="1">
      <c r="A814" s="43" t="str">
        <f>IFERROR(__xludf.DUMMYFUNCTION("""COMPUTED_VALUE"""),"5256352_1288245")</f>
        <v>5256352_1288245</v>
      </c>
      <c r="B814" s="43" t="str">
        <f>IFERROR(__xludf.DUMMYFUNCTION("""COMPUTED_VALUE"""),"Nairouz Abidi")</f>
        <v>Nairouz Abidi</v>
      </c>
      <c r="C814" s="43" t="str">
        <f>IFERROR(__xludf.DUMMYFUNCTION("""COMPUTED_VALUE"""),"approved")</f>
        <v>approved</v>
      </c>
      <c r="D814" s="43" t="str">
        <f>IFERROR(__xludf.DUMMYFUNCTION("""COMPUTED_VALUE"""),"No")</f>
        <v>No</v>
      </c>
      <c r="E814" s="43" t="str">
        <f>IFERROR(__xludf.DUMMYFUNCTION("""COMPUTED_VALUE"""),"p_c6519bd5276400d404ede0a14e2d12fdda9358a5@inbound.aiesec.org")</f>
        <v>p_c6519bd5276400d404ede0a14e2d12fdda9358a5@inbound.aiesec.org</v>
      </c>
      <c r="F814" s="43">
        <f>IFERROR(__xludf.DUMMYFUNCTION("""COMPUTED_VALUE"""),9.3894402E7)</f>
        <v>93894402</v>
      </c>
      <c r="G814" s="43" t="str">
        <f>IFERROR(__xludf.DUMMYFUNCTION("""COMPUTED_VALUE"""),"Tunisia")</f>
        <v>Tunisia</v>
      </c>
      <c r="H814" s="43" t="str">
        <f>IFERROR(__xludf.DUMMYFUNCTION("""COMPUTED_VALUE"""),"SFAX")</f>
        <v>SFAX</v>
      </c>
      <c r="I814" s="43" t="str">
        <f>IFERROR(__xludf.DUMMYFUNCTION("""COMPUTED_VALUE"""),"Turkey")</f>
        <v>Turkey</v>
      </c>
      <c r="J814" s="43" t="str">
        <f>IFERROR(__xludf.DUMMYFUNCTION("""COMPUTED_VALUE"""),"İZMİR")</f>
        <v>İZMİR</v>
      </c>
      <c r="K814" s="44" t="str">
        <f>IFERROR(__xludf.DUMMYFUNCTION("""COMPUTED_VALUE"""),"https://expa.aiesec.org/opportunities/1288245")</f>
        <v>https://expa.aiesec.org/opportunities/1288245</v>
      </c>
      <c r="L814" s="43" t="str">
        <f>IFERROR(__xludf.DUMMYFUNCTION("""COMPUTED_VALUE"""),"GV")</f>
        <v>GV</v>
      </c>
      <c r="M814" s="43" t="str">
        <f>IFERROR(__xludf.DUMMYFUNCTION("""COMPUTED_VALUE"""),"short")</f>
        <v>short</v>
      </c>
      <c r="N814" s="45">
        <f>IFERROR(__xludf.DUMMYFUNCTION("""COMPUTED_VALUE"""),45054.0)</f>
        <v>45054</v>
      </c>
      <c r="O814" s="45">
        <f>IFERROR(__xludf.DUMMYFUNCTION("""COMPUTED_VALUE"""),45173.0)</f>
        <v>45173</v>
      </c>
      <c r="P814" s="45">
        <f>IFERROR(__xludf.DUMMYFUNCTION("""COMPUTED_VALUE"""),45215.0)</f>
        <v>45215</v>
      </c>
      <c r="Q814" s="45"/>
      <c r="R814" s="45"/>
      <c r="S814" s="43"/>
      <c r="T814" s="43"/>
      <c r="U814" s="43" t="str">
        <f>IFERROR(__xludf.DUMMYFUNCTION("""COMPUTED_VALUE"""),"Global Classroom")</f>
        <v>Global Classroom</v>
      </c>
      <c r="V814" s="43" t="str">
        <f>IFERROR(__xludf.DUMMYFUNCTION("""COMPUTED_VALUE"""),"FLSH sfax ")</f>
        <v>FLSH sfax </v>
      </c>
      <c r="W814" s="43" t="str">
        <f>IFERROR(__xludf.DUMMYFUNCTION("""COMPUTED_VALUE"""),"2023-05-05T14:28:20Z")</f>
        <v>2023-05-05T14:28:20Z</v>
      </c>
      <c r="X814" s="43"/>
      <c r="Y814" s="43"/>
      <c r="Z814" s="43"/>
    </row>
    <row r="815" hidden="1">
      <c r="A815" s="43" t="str">
        <f>IFERROR(__xludf.DUMMYFUNCTION("""COMPUTED_VALUE"""),"5255913_1291144")</f>
        <v>5255913_1291144</v>
      </c>
      <c r="B815" s="43" t="str">
        <f>IFERROR(__xludf.DUMMYFUNCTION("""COMPUTED_VALUE"""),"khalfa yosser")</f>
        <v>khalfa yosser</v>
      </c>
      <c r="C815" s="43" t="str">
        <f>IFERROR(__xludf.DUMMYFUNCTION("""COMPUTED_VALUE"""),"completed")</f>
        <v>completed</v>
      </c>
      <c r="D815" s="43" t="str">
        <f>IFERROR(__xludf.DUMMYFUNCTION("""COMPUTED_VALUE"""),"No")</f>
        <v>No</v>
      </c>
      <c r="E815" s="43" t="str">
        <f>IFERROR(__xludf.DUMMYFUNCTION("""COMPUTED_VALUE"""),"p_7faeb12cdc57f587e9b4877f8c6f8b81f9cc1056@inbound.aiesec.org")</f>
        <v>p_7faeb12cdc57f587e9b4877f8c6f8b81f9cc1056@inbound.aiesec.org</v>
      </c>
      <c r="F815" s="43"/>
      <c r="G815" s="43" t="str">
        <f>IFERROR(__xludf.DUMMYFUNCTION("""COMPUTED_VALUE"""),"Tunisia")</f>
        <v>Tunisia</v>
      </c>
      <c r="H815" s="43" t="str">
        <f>IFERROR(__xludf.DUMMYFUNCTION("""COMPUTED_VALUE"""),"BARDO")</f>
        <v>BARDO</v>
      </c>
      <c r="I815" s="43" t="str">
        <f>IFERROR(__xludf.DUMMYFUNCTION("""COMPUTED_VALUE"""),"Turkey")</f>
        <v>Turkey</v>
      </c>
      <c r="J815" s="43" t="str">
        <f>IFERROR(__xludf.DUMMYFUNCTION("""COMPUTED_VALUE"""),"ESKISEHIR")</f>
        <v>ESKISEHIR</v>
      </c>
      <c r="K815" s="44" t="str">
        <f>IFERROR(__xludf.DUMMYFUNCTION("""COMPUTED_VALUE"""),"https://expa.aiesec.org/opportunities/1291144")</f>
        <v>https://expa.aiesec.org/opportunities/1291144</v>
      </c>
      <c r="L815" s="43" t="str">
        <f>IFERROR(__xludf.DUMMYFUNCTION("""COMPUTED_VALUE"""),"GV")</f>
        <v>GV</v>
      </c>
      <c r="M815" s="43" t="str">
        <f>IFERROR(__xludf.DUMMYFUNCTION("""COMPUTED_VALUE"""),"short")</f>
        <v>short</v>
      </c>
      <c r="N815" s="45">
        <f>IFERROR(__xludf.DUMMYFUNCTION("""COMPUTED_VALUE"""),45054.0)</f>
        <v>45054</v>
      </c>
      <c r="O815" s="45">
        <f>IFERROR(__xludf.DUMMYFUNCTION("""COMPUTED_VALUE"""),45180.0)</f>
        <v>45180</v>
      </c>
      <c r="P815" s="45">
        <f>IFERROR(__xludf.DUMMYFUNCTION("""COMPUTED_VALUE"""),45222.0)</f>
        <v>45222</v>
      </c>
      <c r="Q815" s="45">
        <f>IFERROR(__xludf.DUMMYFUNCTION("""COMPUTED_VALUE"""),45188.0)</f>
        <v>45188</v>
      </c>
      <c r="R815" s="45">
        <f>IFERROR(__xludf.DUMMYFUNCTION("""COMPUTED_VALUE"""),45228.0)</f>
        <v>45228</v>
      </c>
      <c r="S815" s="43"/>
      <c r="T815" s="43"/>
      <c r="U815" s="43" t="str">
        <f>IFERROR(__xludf.DUMMYFUNCTION("""COMPUTED_VALUE"""),"Global Classroom")</f>
        <v>Global Classroom</v>
      </c>
      <c r="V815" s="43" t="str">
        <f>IFERROR(__xludf.DUMMYFUNCTION("""COMPUTED_VALUE"""),"-")</f>
        <v>-</v>
      </c>
      <c r="W815" s="43" t="str">
        <f>IFERROR(__xludf.DUMMYFUNCTION("""COMPUTED_VALUE"""),"2023-05-04T18:40:10Z")</f>
        <v>2023-05-04T18:40:10Z</v>
      </c>
      <c r="X815" s="43"/>
      <c r="Y815" s="43"/>
      <c r="Z815" s="43"/>
    </row>
    <row r="816" hidden="1">
      <c r="A816" s="43" t="str">
        <f>IFERROR(__xludf.DUMMYFUNCTION("""COMPUTED_VALUE"""),"5236125_1294622")</f>
        <v>5236125_1294622</v>
      </c>
      <c r="B816" s="43" t="str">
        <f>IFERROR(__xludf.DUMMYFUNCTION("""COMPUTED_VALUE"""),"ibrahim khan")</f>
        <v>ibrahim khan</v>
      </c>
      <c r="C816" s="43" t="str">
        <f>IFERROR(__xludf.DUMMYFUNCTION("""COMPUTED_VALUE"""),"completed")</f>
        <v>completed</v>
      </c>
      <c r="D816" s="43" t="str">
        <f>IFERROR(__xludf.DUMMYFUNCTION("""COMPUTED_VALUE"""),"No")</f>
        <v>No</v>
      </c>
      <c r="E816" s="43" t="str">
        <f>IFERROR(__xludf.DUMMYFUNCTION("""COMPUTED_VALUE"""),"p_e9ab578ccad7338be29c38693a2d8320788b7531@inbound.aiesec.org")</f>
        <v>p_e9ab578ccad7338be29c38693a2d8320788b7531@inbound.aiesec.org</v>
      </c>
      <c r="F816" s="43">
        <f>IFERROR(__xludf.DUMMYFUNCTION("""COMPUTED_VALUE"""),3.333375667E9)</f>
        <v>3333375667</v>
      </c>
      <c r="G816" s="43" t="str">
        <f>IFERROR(__xludf.DUMMYFUNCTION("""COMPUTED_VALUE"""),"Pakistan")</f>
        <v>Pakistan</v>
      </c>
      <c r="H816" s="43" t="str">
        <f>IFERROR(__xludf.DUMMYFUNCTION("""COMPUTED_VALUE"""),"Islamabad")</f>
        <v>Islamabad</v>
      </c>
      <c r="I816" s="43" t="str">
        <f>IFERROR(__xludf.DUMMYFUNCTION("""COMPUTED_VALUE"""),"Turkey")</f>
        <v>Turkey</v>
      </c>
      <c r="J816" s="43" t="str">
        <f>IFERROR(__xludf.DUMMYFUNCTION("""COMPUTED_VALUE"""),"ADANA")</f>
        <v>ADANA</v>
      </c>
      <c r="K816" s="44" t="str">
        <f>IFERROR(__xludf.DUMMYFUNCTION("""COMPUTED_VALUE"""),"https://expa.aiesec.org/opportunities/1294622")</f>
        <v>https://expa.aiesec.org/opportunities/1294622</v>
      </c>
      <c r="L816" s="43" t="str">
        <f>IFERROR(__xludf.DUMMYFUNCTION("""COMPUTED_VALUE"""),"GV")</f>
        <v>GV</v>
      </c>
      <c r="M816" s="43" t="str">
        <f>IFERROR(__xludf.DUMMYFUNCTION("""COMPUTED_VALUE"""),"short")</f>
        <v>short</v>
      </c>
      <c r="N816" s="45">
        <f>IFERROR(__xludf.DUMMYFUNCTION("""COMPUTED_VALUE"""),45054.0)</f>
        <v>45054</v>
      </c>
      <c r="O816" s="45">
        <f>IFERROR(__xludf.DUMMYFUNCTION("""COMPUTED_VALUE"""),45145.0)</f>
        <v>45145</v>
      </c>
      <c r="P816" s="45">
        <f>IFERROR(__xludf.DUMMYFUNCTION("""COMPUTED_VALUE"""),45191.0)</f>
        <v>45191</v>
      </c>
      <c r="Q816" s="45">
        <f>IFERROR(__xludf.DUMMYFUNCTION("""COMPUTED_VALUE"""),45162.0)</f>
        <v>45162</v>
      </c>
      <c r="R816" s="45">
        <f>IFERROR(__xludf.DUMMYFUNCTION("""COMPUTED_VALUE"""),45208.0)</f>
        <v>45208</v>
      </c>
      <c r="S816" s="43"/>
      <c r="T816" s="43"/>
      <c r="U816" s="43" t="str">
        <f>IFERROR(__xludf.DUMMYFUNCTION("""COMPUTED_VALUE"""),"Equify")</f>
        <v>Equify</v>
      </c>
      <c r="V816" s="43" t="str">
        <f>IFERROR(__xludf.DUMMYFUNCTION("""COMPUTED_VALUE"""),"Islamabad - Bahria University ")</f>
        <v>Islamabad - Bahria University </v>
      </c>
      <c r="W816" s="43" t="str">
        <f>IFERROR(__xludf.DUMMYFUNCTION("""COMPUTED_VALUE"""),"2023-04-06T07:36:21Z")</f>
        <v>2023-04-06T07:36:21Z</v>
      </c>
      <c r="X816" s="43"/>
      <c r="Y816" s="43"/>
      <c r="Z816" s="43"/>
    </row>
    <row r="817" hidden="1">
      <c r="A817" s="43" t="str">
        <f>IFERROR(__xludf.DUMMYFUNCTION("""COMPUTED_VALUE"""),"5196500_1284670")</f>
        <v>5196500_1284670</v>
      </c>
      <c r="B817" s="43" t="str">
        <f>IFERROR(__xludf.DUMMYFUNCTION("""COMPUTED_VALUE"""),"Vanessa Langenau")</f>
        <v>Vanessa Langenau</v>
      </c>
      <c r="C817" s="43" t="str">
        <f>IFERROR(__xludf.DUMMYFUNCTION("""COMPUTED_VALUE"""),"completed")</f>
        <v>completed</v>
      </c>
      <c r="D817" s="43" t="str">
        <f>IFERROR(__xludf.DUMMYFUNCTION("""COMPUTED_VALUE"""),"No")</f>
        <v>No</v>
      </c>
      <c r="E817" s="43" t="str">
        <f>IFERROR(__xludf.DUMMYFUNCTION("""COMPUTED_VALUE"""),"p_b47c939ef8c6581723104f43a93c0eab5178614f@inbound.aiesec.org")</f>
        <v>p_b47c939ef8c6581723104f43a93c0eab5178614f@inbound.aiesec.org</v>
      </c>
      <c r="F817" s="43">
        <f>IFERROR(__xludf.DUMMYFUNCTION("""COMPUTED_VALUE"""),1.7650817445E10)</f>
        <v>17650817445</v>
      </c>
      <c r="G817" s="43" t="str">
        <f>IFERROR(__xludf.DUMMYFUNCTION("""COMPUTED_VALUE"""),"Germany")</f>
        <v>Germany</v>
      </c>
      <c r="H817" s="43" t="str">
        <f>IFERROR(__xludf.DUMMYFUNCTION("""COMPUTED_VALUE"""),"HANNOVER")</f>
        <v>HANNOVER</v>
      </c>
      <c r="I817" s="43" t="str">
        <f>IFERROR(__xludf.DUMMYFUNCTION("""COMPUTED_VALUE"""),"Turkey")</f>
        <v>Turkey</v>
      </c>
      <c r="J817" s="43" t="str">
        <f>IFERROR(__xludf.DUMMYFUNCTION("""COMPUTED_VALUE"""),"ISTANBUL")</f>
        <v>ISTANBUL</v>
      </c>
      <c r="K817" s="44" t="str">
        <f>IFERROR(__xludf.DUMMYFUNCTION("""COMPUTED_VALUE"""),"https://expa.aiesec.org/opportunities/1284670")</f>
        <v>https://expa.aiesec.org/opportunities/1284670</v>
      </c>
      <c r="L817" s="43" t="str">
        <f>IFERROR(__xludf.DUMMYFUNCTION("""COMPUTED_VALUE"""),"GV")</f>
        <v>GV</v>
      </c>
      <c r="M817" s="43" t="str">
        <f>IFERROR(__xludf.DUMMYFUNCTION("""COMPUTED_VALUE"""),"short")</f>
        <v>short</v>
      </c>
      <c r="N817" s="45">
        <f>IFERROR(__xludf.DUMMYFUNCTION("""COMPUTED_VALUE"""),45054.0)</f>
        <v>45054</v>
      </c>
      <c r="O817" s="45">
        <f>IFERROR(__xludf.DUMMYFUNCTION("""COMPUTED_VALUE"""),45110.0)</f>
        <v>45110</v>
      </c>
      <c r="P817" s="45">
        <f>IFERROR(__xludf.DUMMYFUNCTION("""COMPUTED_VALUE"""),45152.0)</f>
        <v>45152</v>
      </c>
      <c r="Q817" s="45">
        <f>IFERROR(__xludf.DUMMYFUNCTION("""COMPUTED_VALUE"""),45110.0)</f>
        <v>45110</v>
      </c>
      <c r="R817" s="45">
        <f>IFERROR(__xludf.DUMMYFUNCTION("""COMPUTED_VALUE"""),45152.0)</f>
        <v>45152</v>
      </c>
      <c r="S817" s="43"/>
      <c r="T817" s="43"/>
      <c r="U817" s="43" t="str">
        <f>IFERROR(__xludf.DUMMYFUNCTION("""COMPUTED_VALUE"""),"Heartbeat")</f>
        <v>Heartbeat</v>
      </c>
      <c r="V817" s="43" t="str">
        <f>IFERROR(__xludf.DUMMYFUNCTION("""COMPUTED_VALUE"""),"Hannover")</f>
        <v>Hannover</v>
      </c>
      <c r="W817" s="43" t="str">
        <f>IFERROR(__xludf.DUMMYFUNCTION("""COMPUTED_VALUE"""),"2023-02-22T08:46:10Z")</f>
        <v>2023-02-22T08:46:10Z</v>
      </c>
      <c r="X817" s="43"/>
      <c r="Y817" s="43"/>
      <c r="Z817" s="43"/>
    </row>
    <row r="818">
      <c r="A818" s="43" t="str">
        <f>IFERROR(__xludf.DUMMYFUNCTION("""COMPUTED_VALUE"""),"5204588_1292531")</f>
        <v>5204588_1292531</v>
      </c>
      <c r="B818" s="43" t="str">
        <f>IFERROR(__xludf.DUMMYFUNCTION("""COMPUTED_VALUE"""),"Salma kennou")</f>
        <v>Salma kennou</v>
      </c>
      <c r="C818" s="43" t="str">
        <f>IFERROR(__xludf.DUMMYFUNCTION("""COMPUTED_VALUE"""),"approved")</f>
        <v>approved</v>
      </c>
      <c r="D818" s="43" t="str">
        <f>IFERROR(__xludf.DUMMYFUNCTION("""COMPUTED_VALUE"""),"No")</f>
        <v>No</v>
      </c>
      <c r="E818" s="43" t="str">
        <f>IFERROR(__xludf.DUMMYFUNCTION("""COMPUTED_VALUE"""),"p_201300ce88a8d2bc10f2b9a1c158d5c35ef79a7a@inbound.aiesec.org")</f>
        <v>p_201300ce88a8d2bc10f2b9a1c158d5c35ef79a7a@inbound.aiesec.org</v>
      </c>
      <c r="F818" s="43">
        <f>IFERROR(__xludf.DUMMYFUNCTION("""COMPUTED_VALUE"""),2.7319041E7)</f>
        <v>27319041</v>
      </c>
      <c r="G818" s="43" t="str">
        <f>IFERROR(__xludf.DUMMYFUNCTION("""COMPUTED_VALUE"""),"Tunisia")</f>
        <v>Tunisia</v>
      </c>
      <c r="H818" s="43" t="str">
        <f>IFERROR(__xludf.DUMMYFUNCTION("""COMPUTED_VALUE"""),"UNIVERSITY")</f>
        <v>UNIVERSITY</v>
      </c>
      <c r="I818" s="43" t="str">
        <f>IFERROR(__xludf.DUMMYFUNCTION("""COMPUTED_VALUE"""),"Turkey")</f>
        <v>Turkey</v>
      </c>
      <c r="J818" s="43" t="str">
        <f>IFERROR(__xludf.DUMMYFUNCTION("""COMPUTED_VALUE"""),"ESKISEHIR")</f>
        <v>ESKISEHIR</v>
      </c>
      <c r="K818" s="44" t="str">
        <f>IFERROR(__xludf.DUMMYFUNCTION("""COMPUTED_VALUE"""),"https://expa.aiesec.org/opportunities/1292531")</f>
        <v>https://expa.aiesec.org/opportunities/1292531</v>
      </c>
      <c r="L818" s="43" t="str">
        <f>IFERROR(__xludf.DUMMYFUNCTION("""COMPUTED_VALUE"""),"GV")</f>
        <v>GV</v>
      </c>
      <c r="M818" s="43" t="str">
        <f>IFERROR(__xludf.DUMMYFUNCTION("""COMPUTED_VALUE"""),"short")</f>
        <v>short</v>
      </c>
      <c r="N818" s="45">
        <f>IFERROR(__xludf.DUMMYFUNCTION("""COMPUTED_VALUE"""),45055.0)</f>
        <v>45055</v>
      </c>
      <c r="O818" s="45">
        <f>IFERROR(__xludf.DUMMYFUNCTION("""COMPUTED_VALUE"""),45082.0)</f>
        <v>45082</v>
      </c>
      <c r="P818" s="45">
        <f>IFERROR(__xludf.DUMMYFUNCTION("""COMPUTED_VALUE"""),45124.0)</f>
        <v>45124</v>
      </c>
      <c r="Q818" s="45"/>
      <c r="R818" s="45"/>
      <c r="S818" s="43"/>
      <c r="T818" s="43"/>
      <c r="U818" s="43" t="str">
        <f>IFERROR(__xludf.DUMMYFUNCTION("""COMPUTED_VALUE"""),"Rooted")</f>
        <v>Rooted</v>
      </c>
      <c r="V818" s="43" t="str">
        <f>IFERROR(__xludf.DUMMYFUNCTION("""COMPUTED_VALUE"""),"ISI Tunis")</f>
        <v>ISI Tunis</v>
      </c>
      <c r="W818" s="43" t="str">
        <f>IFERROR(__xludf.DUMMYFUNCTION("""COMPUTED_VALUE"""),"2023-03-03T13:16:28Z")</f>
        <v>2023-03-03T13:16:28Z</v>
      </c>
      <c r="X818" s="43"/>
      <c r="Y818" s="43"/>
      <c r="Z818" s="43"/>
    </row>
    <row r="819" hidden="1">
      <c r="A819" s="43" t="str">
        <f>IFERROR(__xludf.DUMMYFUNCTION("""COMPUTED_VALUE"""),"5256357_1294584")</f>
        <v>5256357_1294584</v>
      </c>
      <c r="B819" s="43" t="str">
        <f>IFERROR(__xludf.DUMMYFUNCTION("""COMPUTED_VALUE"""),"Viktoriia Kuziv")</f>
        <v>Viktoriia Kuziv</v>
      </c>
      <c r="C819" s="43" t="str">
        <f>IFERROR(__xludf.DUMMYFUNCTION("""COMPUTED_VALUE"""),"completed")</f>
        <v>completed</v>
      </c>
      <c r="D819" s="43" t="str">
        <f>IFERROR(__xludf.DUMMYFUNCTION("""COMPUTED_VALUE"""),"No")</f>
        <v>No</v>
      </c>
      <c r="E819" s="43" t="str">
        <f>IFERROR(__xludf.DUMMYFUNCTION("""COMPUTED_VALUE"""),"p_b6127dd2ed99d64419f2e2f7b96cf947e8daa5ce@inbound.aiesec.org")</f>
        <v>p_b6127dd2ed99d64419f2e2f7b96cf947e8daa5ce@inbound.aiesec.org</v>
      </c>
      <c r="F819" s="43">
        <f>IFERROR(__xludf.DUMMYFUNCTION("""COMPUTED_VALUE"""),9.64589398E8)</f>
        <v>964589398</v>
      </c>
      <c r="G819" s="43" t="str">
        <f>IFERROR(__xludf.DUMMYFUNCTION("""COMPUTED_VALUE"""),"Ukraine")</f>
        <v>Ukraine</v>
      </c>
      <c r="H819" s="43" t="str">
        <f>IFERROR(__xludf.DUMMYFUNCTION("""COMPUTED_VALUE"""),"LVIV")</f>
        <v>LVIV</v>
      </c>
      <c r="I819" s="43" t="str">
        <f>IFERROR(__xludf.DUMMYFUNCTION("""COMPUTED_VALUE"""),"Turkey")</f>
        <v>Turkey</v>
      </c>
      <c r="J819" s="43" t="str">
        <f>IFERROR(__xludf.DUMMYFUNCTION("""COMPUTED_VALUE"""),"ANTALYA")</f>
        <v>ANTALYA</v>
      </c>
      <c r="K819" s="44" t="str">
        <f>IFERROR(__xludf.DUMMYFUNCTION("""COMPUTED_VALUE"""),"https://expa.aiesec.org/opportunities/1294584")</f>
        <v>https://expa.aiesec.org/opportunities/1294584</v>
      </c>
      <c r="L819" s="43" t="str">
        <f>IFERROR(__xludf.DUMMYFUNCTION("""COMPUTED_VALUE"""),"GV")</f>
        <v>GV</v>
      </c>
      <c r="M819" s="43" t="str">
        <f>IFERROR(__xludf.DUMMYFUNCTION("""COMPUTED_VALUE"""),"short")</f>
        <v>short</v>
      </c>
      <c r="N819" s="45">
        <f>IFERROR(__xludf.DUMMYFUNCTION("""COMPUTED_VALUE"""),45055.0)</f>
        <v>45055</v>
      </c>
      <c r="O819" s="45">
        <f>IFERROR(__xludf.DUMMYFUNCTION("""COMPUTED_VALUE"""),45110.0)</f>
        <v>45110</v>
      </c>
      <c r="P819" s="45">
        <f>IFERROR(__xludf.DUMMYFUNCTION("""COMPUTED_VALUE"""),45152.0)</f>
        <v>45152</v>
      </c>
      <c r="Q819" s="45">
        <f>IFERROR(__xludf.DUMMYFUNCTION("""COMPUTED_VALUE"""),45110.0)</f>
        <v>45110</v>
      </c>
      <c r="R819" s="45">
        <f>IFERROR(__xludf.DUMMYFUNCTION("""COMPUTED_VALUE"""),45152.0)</f>
        <v>45152</v>
      </c>
      <c r="S819" s="43"/>
      <c r="T819" s="43"/>
      <c r="U819" s="43" t="str">
        <f>IFERROR(__xludf.DUMMYFUNCTION("""COMPUTED_VALUE"""),"Youth 4 Impact")</f>
        <v>Youth 4 Impact</v>
      </c>
      <c r="V819" s="43" t="str">
        <f>IFERROR(__xludf.DUMMYFUNCTION("""COMPUTED_VALUE"""),"Lviv ")</f>
        <v>Lviv </v>
      </c>
      <c r="W819" s="43" t="str">
        <f>IFERROR(__xludf.DUMMYFUNCTION("""COMPUTED_VALUE"""),"2023-05-05T14:35:51Z")</f>
        <v>2023-05-05T14:35:51Z</v>
      </c>
      <c r="X819" s="43"/>
      <c r="Y819" s="43"/>
      <c r="Z819" s="43"/>
    </row>
    <row r="820" hidden="1">
      <c r="A820" s="43" t="str">
        <f>IFERROR(__xludf.DUMMYFUNCTION("""COMPUTED_VALUE"""),"5245758_1294894")</f>
        <v>5245758_1294894</v>
      </c>
      <c r="B820" s="43" t="str">
        <f>IFERROR(__xludf.DUMMYFUNCTION("""COMPUTED_VALUE"""),"Afaq Shahzad")</f>
        <v>Afaq Shahzad</v>
      </c>
      <c r="C820" s="43" t="str">
        <f>IFERROR(__xludf.DUMMYFUNCTION("""COMPUTED_VALUE"""),"approved")</f>
        <v>approved</v>
      </c>
      <c r="D820" s="43" t="str">
        <f>IFERROR(__xludf.DUMMYFUNCTION("""COMPUTED_VALUE"""),"No")</f>
        <v>No</v>
      </c>
      <c r="E820" s="43" t="str">
        <f>IFERROR(__xludf.DUMMYFUNCTION("""COMPUTED_VALUE"""),"p_edb4f10167bec5d545d788b3f869844cd3aef41b@inbound.aiesec.org")</f>
        <v>p_edb4f10167bec5d545d788b3f869844cd3aef41b@inbound.aiesec.org</v>
      </c>
      <c r="F820" s="43"/>
      <c r="G820" s="43" t="str">
        <f>IFERROR(__xludf.DUMMYFUNCTION("""COMPUTED_VALUE"""),"Pakistan")</f>
        <v>Pakistan</v>
      </c>
      <c r="H820" s="43" t="str">
        <f>IFERROR(__xludf.DUMMYFUNCTION("""COMPUTED_VALUE"""),"Lahore")</f>
        <v>Lahore</v>
      </c>
      <c r="I820" s="43" t="str">
        <f>IFERROR(__xludf.DUMMYFUNCTION("""COMPUTED_VALUE"""),"Turkey")</f>
        <v>Turkey</v>
      </c>
      <c r="J820" s="43" t="str">
        <f>IFERROR(__xludf.DUMMYFUNCTION("""COMPUTED_VALUE"""),"ADANA")</f>
        <v>ADANA</v>
      </c>
      <c r="K820" s="44" t="str">
        <f>IFERROR(__xludf.DUMMYFUNCTION("""COMPUTED_VALUE"""),"https://expa.aiesec.org/opportunities/1294894")</f>
        <v>https://expa.aiesec.org/opportunities/1294894</v>
      </c>
      <c r="L820" s="43" t="str">
        <f>IFERROR(__xludf.DUMMYFUNCTION("""COMPUTED_VALUE"""),"GV")</f>
        <v>GV</v>
      </c>
      <c r="M820" s="43" t="str">
        <f>IFERROR(__xludf.DUMMYFUNCTION("""COMPUTED_VALUE"""),"short")</f>
        <v>short</v>
      </c>
      <c r="N820" s="45">
        <f>IFERROR(__xludf.DUMMYFUNCTION("""COMPUTED_VALUE"""),45055.0)</f>
        <v>45055</v>
      </c>
      <c r="O820" s="45">
        <f>IFERROR(__xludf.DUMMYFUNCTION("""COMPUTED_VALUE"""),45110.0)</f>
        <v>45110</v>
      </c>
      <c r="P820" s="45">
        <f>IFERROR(__xludf.DUMMYFUNCTION("""COMPUTED_VALUE"""),45156.0)</f>
        <v>45156</v>
      </c>
      <c r="Q820" s="45"/>
      <c r="R820" s="45"/>
      <c r="S820" s="43"/>
      <c r="T820" s="43"/>
      <c r="U820" s="43" t="str">
        <f>IFERROR(__xludf.DUMMYFUNCTION("""COMPUTED_VALUE"""),"Global Classroom")</f>
        <v>Global Classroom</v>
      </c>
      <c r="V820" s="43" t="str">
        <f>IFERROR(__xludf.DUMMYFUNCTION("""COMPUTED_VALUE"""),"-")</f>
        <v>-</v>
      </c>
      <c r="W820" s="43" t="str">
        <f>IFERROR(__xludf.DUMMYFUNCTION("""COMPUTED_VALUE"""),"2023-04-20T00:37:26Z")</f>
        <v>2023-04-20T00:37:26Z</v>
      </c>
      <c r="X820" s="43"/>
      <c r="Y820" s="43"/>
      <c r="Z820" s="43"/>
    </row>
    <row r="821" hidden="1">
      <c r="A821" s="43" t="str">
        <f>IFERROR(__xludf.DUMMYFUNCTION("""COMPUTED_VALUE"""),"5179130_1287488")</f>
        <v>5179130_1287488</v>
      </c>
      <c r="B821" s="43" t="str">
        <f>IFERROR(__xludf.DUMMYFUNCTION("""COMPUTED_VALUE"""),"Fabiana Gecchele")</f>
        <v>Fabiana Gecchele</v>
      </c>
      <c r="C821" s="43" t="str">
        <f>IFERROR(__xludf.DUMMYFUNCTION("""COMPUTED_VALUE"""),"completed")</f>
        <v>completed</v>
      </c>
      <c r="D821" s="43" t="str">
        <f>IFERROR(__xludf.DUMMYFUNCTION("""COMPUTED_VALUE"""),"No")</f>
        <v>No</v>
      </c>
      <c r="E821" s="43" t="str">
        <f>IFERROR(__xludf.DUMMYFUNCTION("""COMPUTED_VALUE"""),"p_305ca2bd43cb9d5672c2c7979b85543b744a7403@inbound.aiesec.org")</f>
        <v>p_305ca2bd43cb9d5672c2c7979b85543b744a7403@inbound.aiesec.org</v>
      </c>
      <c r="F821" s="43"/>
      <c r="G821" s="43" t="str">
        <f>IFERROR(__xludf.DUMMYFUNCTION("""COMPUTED_VALUE"""),"Italy")</f>
        <v>Italy</v>
      </c>
      <c r="H821" s="43" t="str">
        <f>IFERROR(__xludf.DUMMYFUNCTION("""COMPUTED_VALUE"""),"PoliTO")</f>
        <v>PoliTO</v>
      </c>
      <c r="I821" s="43" t="str">
        <f>IFERROR(__xludf.DUMMYFUNCTION("""COMPUTED_VALUE"""),"Turkey")</f>
        <v>Turkey</v>
      </c>
      <c r="J821" s="43" t="str">
        <f>IFERROR(__xludf.DUMMYFUNCTION("""COMPUTED_VALUE"""),"ISTANBUL ASIA")</f>
        <v>ISTANBUL ASIA</v>
      </c>
      <c r="K821" s="44" t="str">
        <f>IFERROR(__xludf.DUMMYFUNCTION("""COMPUTED_VALUE"""),"https://expa.aiesec.org/opportunities/1287488")</f>
        <v>https://expa.aiesec.org/opportunities/1287488</v>
      </c>
      <c r="L821" s="43" t="str">
        <f>IFERROR(__xludf.DUMMYFUNCTION("""COMPUTED_VALUE"""),"GV")</f>
        <v>GV</v>
      </c>
      <c r="M821" s="43" t="str">
        <f>IFERROR(__xludf.DUMMYFUNCTION("""COMPUTED_VALUE"""),"short")</f>
        <v>short</v>
      </c>
      <c r="N821" s="45">
        <f>IFERROR(__xludf.DUMMYFUNCTION("""COMPUTED_VALUE"""),45055.0)</f>
        <v>45055</v>
      </c>
      <c r="O821" s="45">
        <f>IFERROR(__xludf.DUMMYFUNCTION("""COMPUTED_VALUE"""),45082.0)</f>
        <v>45082</v>
      </c>
      <c r="P821" s="45">
        <f>IFERROR(__xludf.DUMMYFUNCTION("""COMPUTED_VALUE"""),45124.0)</f>
        <v>45124</v>
      </c>
      <c r="Q821" s="45">
        <f>IFERROR(__xludf.DUMMYFUNCTION("""COMPUTED_VALUE"""),45082.0)</f>
        <v>45082</v>
      </c>
      <c r="R821" s="45">
        <f>IFERROR(__xludf.DUMMYFUNCTION("""COMPUTED_VALUE"""),45124.0)</f>
        <v>45124</v>
      </c>
      <c r="S821" s="43"/>
      <c r="T821" s="43"/>
      <c r="U821" s="43" t="str">
        <f>IFERROR(__xludf.DUMMYFUNCTION("""COMPUTED_VALUE"""),"Global Classroom")</f>
        <v>Global Classroom</v>
      </c>
      <c r="V821" s="43" t="str">
        <f>IFERROR(__xludf.DUMMYFUNCTION("""COMPUTED_VALUE"""),"-")</f>
        <v>-</v>
      </c>
      <c r="W821" s="43" t="str">
        <f>IFERROR(__xludf.DUMMYFUNCTION("""COMPUTED_VALUE"""),"2023-01-21T16:27:09Z")</f>
        <v>2023-01-21T16:27:09Z</v>
      </c>
      <c r="X821" s="43"/>
      <c r="Y821" s="43"/>
      <c r="Z821" s="43"/>
    </row>
    <row r="822" hidden="1">
      <c r="A822" s="43" t="str">
        <f>IFERROR(__xludf.DUMMYFUNCTION("""COMPUTED_VALUE"""),"5253831_1289261")</f>
        <v>5253831_1289261</v>
      </c>
      <c r="B822" s="43" t="str">
        <f>IFERROR(__xludf.DUMMYFUNCTION("""COMPUTED_VALUE"""),"Dilnaz Maksat")</f>
        <v>Dilnaz Maksat</v>
      </c>
      <c r="C822" s="43" t="str">
        <f>IFERROR(__xludf.DUMMYFUNCTION("""COMPUTED_VALUE"""),"completed")</f>
        <v>completed</v>
      </c>
      <c r="D822" s="43" t="str">
        <f>IFERROR(__xludf.DUMMYFUNCTION("""COMPUTED_VALUE"""),"No")</f>
        <v>No</v>
      </c>
      <c r="E822" s="43" t="str">
        <f>IFERROR(__xludf.DUMMYFUNCTION("""COMPUTED_VALUE"""),"p_ab4fa8f289f522a64070ff8c808070b9a71d3d62@inbound.aiesec.org")</f>
        <v>p_ab4fa8f289f522a64070ff8c808070b9a71d3d62@inbound.aiesec.org</v>
      </c>
      <c r="F822" s="43">
        <f>IFERROR(__xludf.DUMMYFUNCTION("""COMPUTED_VALUE"""),7.08380647E9)</f>
        <v>7083806470</v>
      </c>
      <c r="G822" s="43" t="str">
        <f>IFERROR(__xludf.DUMMYFUNCTION("""COMPUTED_VALUE"""),"Kazakhstan")</f>
        <v>Kazakhstan</v>
      </c>
      <c r="H822" s="43" t="str">
        <f>IFERROR(__xludf.DUMMYFUNCTION("""COMPUTED_VALUE"""),"ALMATY")</f>
        <v>ALMATY</v>
      </c>
      <c r="I822" s="43" t="str">
        <f>IFERROR(__xludf.DUMMYFUNCTION("""COMPUTED_VALUE"""),"Turkey")</f>
        <v>Turkey</v>
      </c>
      <c r="J822" s="43" t="str">
        <f>IFERROR(__xludf.DUMMYFUNCTION("""COMPUTED_VALUE"""),"İZMİR")</f>
        <v>İZMİR</v>
      </c>
      <c r="K822" s="44" t="str">
        <f>IFERROR(__xludf.DUMMYFUNCTION("""COMPUTED_VALUE"""),"https://expa.aiesec.org/opportunities/1289261")</f>
        <v>https://expa.aiesec.org/opportunities/1289261</v>
      </c>
      <c r="L822" s="43" t="str">
        <f>IFERROR(__xludf.DUMMYFUNCTION("""COMPUTED_VALUE"""),"GV")</f>
        <v>GV</v>
      </c>
      <c r="M822" s="43" t="str">
        <f>IFERROR(__xludf.DUMMYFUNCTION("""COMPUTED_VALUE"""),"short")</f>
        <v>short</v>
      </c>
      <c r="N822" s="45">
        <f>IFERROR(__xludf.DUMMYFUNCTION("""COMPUTED_VALUE"""),45055.0)</f>
        <v>45055</v>
      </c>
      <c r="O822" s="45">
        <f>IFERROR(__xludf.DUMMYFUNCTION("""COMPUTED_VALUE"""),45088.0)</f>
        <v>45088</v>
      </c>
      <c r="P822" s="45">
        <f>IFERROR(__xludf.DUMMYFUNCTION("""COMPUTED_VALUE"""),45130.0)</f>
        <v>45130</v>
      </c>
      <c r="Q822" s="45">
        <f>IFERROR(__xludf.DUMMYFUNCTION("""COMPUTED_VALUE"""),45089.0)</f>
        <v>45089</v>
      </c>
      <c r="R822" s="45">
        <f>IFERROR(__xludf.DUMMYFUNCTION("""COMPUTED_VALUE"""),45131.0)</f>
        <v>45131</v>
      </c>
      <c r="S822" s="43"/>
      <c r="T822" s="43"/>
      <c r="U822" s="43" t="str">
        <f>IFERROR(__xludf.DUMMYFUNCTION("""COMPUTED_VALUE"""),"Global Classroom")</f>
        <v>Global Classroom</v>
      </c>
      <c r="V822" s="43" t="str">
        <f>IFERROR(__xludf.DUMMYFUNCTION("""COMPUTED_VALUE"""),"Almaty")</f>
        <v>Almaty</v>
      </c>
      <c r="W822" s="43" t="str">
        <f>IFERROR(__xludf.DUMMYFUNCTION("""COMPUTED_VALUE"""),"2023-05-01T17:24:15Z")</f>
        <v>2023-05-01T17:24:15Z</v>
      </c>
      <c r="X822" s="43"/>
      <c r="Y822" s="43"/>
      <c r="Z822" s="43"/>
    </row>
    <row r="823" hidden="1">
      <c r="A823" s="43" t="str">
        <f>IFERROR(__xludf.DUMMYFUNCTION("""COMPUTED_VALUE"""),"5248652_1286228")</f>
        <v>5248652_1286228</v>
      </c>
      <c r="B823" s="43" t="str">
        <f>IFERROR(__xludf.DUMMYFUNCTION("""COMPUTED_VALUE"""),"Amila Cibra")</f>
        <v>Amila Cibra</v>
      </c>
      <c r="C823" s="43" t="str">
        <f>IFERROR(__xludf.DUMMYFUNCTION("""COMPUTED_VALUE"""),"approved")</f>
        <v>approved</v>
      </c>
      <c r="D823" s="43" t="str">
        <f>IFERROR(__xludf.DUMMYFUNCTION("""COMPUTED_VALUE"""),"No")</f>
        <v>No</v>
      </c>
      <c r="E823" s="43" t="str">
        <f>IFERROR(__xludf.DUMMYFUNCTION("""COMPUTED_VALUE"""),"p_5f6e368729be33f0d185b899972231510fcac4c4@inbound.aiesec.org")</f>
        <v>p_5f6e368729be33f0d185b899972231510fcac4c4@inbound.aiesec.org</v>
      </c>
      <c r="F823" s="43">
        <f>IFERROR(__xludf.DUMMYFUNCTION("""COMPUTED_VALUE"""),6.2070757E7)</f>
        <v>62070757</v>
      </c>
      <c r="G823" s="43" t="str">
        <f>IFERROR(__xludf.DUMMYFUNCTION("""COMPUTED_VALUE"""),"Bosnia and Herzegovina")</f>
        <v>Bosnia and Herzegovina</v>
      </c>
      <c r="H823" s="43" t="str">
        <f>IFERROR(__xludf.DUMMYFUNCTION("""COMPUTED_VALUE"""),"SARAJEVO")</f>
        <v>SARAJEVO</v>
      </c>
      <c r="I823" s="43" t="str">
        <f>IFERROR(__xludf.DUMMYFUNCTION("""COMPUTED_VALUE"""),"Turkey")</f>
        <v>Turkey</v>
      </c>
      <c r="J823" s="43" t="str">
        <f>IFERROR(__xludf.DUMMYFUNCTION("""COMPUTED_VALUE"""),"ISTANBUL WEST")</f>
        <v>ISTANBUL WEST</v>
      </c>
      <c r="K823" s="44" t="str">
        <f>IFERROR(__xludf.DUMMYFUNCTION("""COMPUTED_VALUE"""),"https://expa.aiesec.org/opportunities/1286228")</f>
        <v>https://expa.aiesec.org/opportunities/1286228</v>
      </c>
      <c r="L823" s="43" t="str">
        <f>IFERROR(__xludf.DUMMYFUNCTION("""COMPUTED_VALUE"""),"GV")</f>
        <v>GV</v>
      </c>
      <c r="M823" s="43" t="str">
        <f>IFERROR(__xludf.DUMMYFUNCTION("""COMPUTED_VALUE"""),"short")</f>
        <v>short</v>
      </c>
      <c r="N823" s="45">
        <f>IFERROR(__xludf.DUMMYFUNCTION("""COMPUTED_VALUE"""),45055.0)</f>
        <v>45055</v>
      </c>
      <c r="O823" s="45">
        <f>IFERROR(__xludf.DUMMYFUNCTION("""COMPUTED_VALUE"""),45236.0)</f>
        <v>45236</v>
      </c>
      <c r="P823" s="45">
        <f>IFERROR(__xludf.DUMMYFUNCTION("""COMPUTED_VALUE"""),45278.0)</f>
        <v>45278</v>
      </c>
      <c r="Q823" s="45"/>
      <c r="R823" s="45"/>
      <c r="S823" s="43"/>
      <c r="T823" s="43"/>
      <c r="U823" s="43" t="str">
        <f>IFERROR(__xludf.DUMMYFUNCTION("""COMPUTED_VALUE"""),"Global Classroom")</f>
        <v>Global Classroom</v>
      </c>
      <c r="V823" s="43" t="str">
        <f>IFERROR(__xludf.DUMMYFUNCTION("""COMPUTED_VALUE"""),"Sarajevo")</f>
        <v>Sarajevo</v>
      </c>
      <c r="W823" s="43" t="str">
        <f>IFERROR(__xludf.DUMMYFUNCTION("""COMPUTED_VALUE"""),"2023-04-24T22:32:40Z")</f>
        <v>2023-04-24T22:32:40Z</v>
      </c>
      <c r="X823" s="43"/>
      <c r="Y823" s="43"/>
      <c r="Z823" s="43"/>
    </row>
    <row r="824" hidden="1">
      <c r="A824" s="43" t="str">
        <f>IFERROR(__xludf.DUMMYFUNCTION("""COMPUTED_VALUE"""),"5214667_1288461")</f>
        <v>5214667_1288461</v>
      </c>
      <c r="B824" s="43" t="str">
        <f>IFERROR(__xludf.DUMMYFUNCTION("""COMPUTED_VALUE"""),"Syed Muhammad Hassaan")</f>
        <v>Syed Muhammad Hassaan</v>
      </c>
      <c r="C824" s="43" t="str">
        <f>IFERROR(__xludf.DUMMYFUNCTION("""COMPUTED_VALUE"""),"approved")</f>
        <v>approved</v>
      </c>
      <c r="D824" s="43" t="str">
        <f>IFERROR(__xludf.DUMMYFUNCTION("""COMPUTED_VALUE"""),"No")</f>
        <v>No</v>
      </c>
      <c r="E824" s="43" t="str">
        <f>IFERROR(__xludf.DUMMYFUNCTION("""COMPUTED_VALUE"""),"p_9c109a9aacc080f4d48dfa4e876eae8b7f3f6238@inbound.aiesec.org")</f>
        <v>p_9c109a9aacc080f4d48dfa4e876eae8b7f3f6238@inbound.aiesec.org</v>
      </c>
      <c r="F824" s="43">
        <f>IFERROR(__xludf.DUMMYFUNCTION("""COMPUTED_VALUE"""),3.162257771E9)</f>
        <v>3162257771</v>
      </c>
      <c r="G824" s="43" t="str">
        <f>IFERROR(__xludf.DUMMYFUNCTION("""COMPUTED_VALUE"""),"Pakistan")</f>
        <v>Pakistan</v>
      </c>
      <c r="H824" s="43" t="str">
        <f>IFERROR(__xludf.DUMMYFUNCTION("""COMPUTED_VALUE"""),"Karachi South")</f>
        <v>Karachi South</v>
      </c>
      <c r="I824" s="43" t="str">
        <f>IFERROR(__xludf.DUMMYFUNCTION("""COMPUTED_VALUE"""),"Turkey")</f>
        <v>Turkey</v>
      </c>
      <c r="J824" s="43" t="str">
        <f>IFERROR(__xludf.DUMMYFUNCTION("""COMPUTED_VALUE"""),"GAZIANTEP")</f>
        <v>GAZIANTEP</v>
      </c>
      <c r="K824" s="44" t="str">
        <f>IFERROR(__xludf.DUMMYFUNCTION("""COMPUTED_VALUE"""),"https://expa.aiesec.org/opportunities/1288461")</f>
        <v>https://expa.aiesec.org/opportunities/1288461</v>
      </c>
      <c r="L824" s="43" t="str">
        <f>IFERROR(__xludf.DUMMYFUNCTION("""COMPUTED_VALUE"""),"GV")</f>
        <v>GV</v>
      </c>
      <c r="M824" s="43" t="str">
        <f>IFERROR(__xludf.DUMMYFUNCTION("""COMPUTED_VALUE"""),"short")</f>
        <v>short</v>
      </c>
      <c r="N824" s="45">
        <f>IFERROR(__xludf.DUMMYFUNCTION("""COMPUTED_VALUE"""),45055.0)</f>
        <v>45055</v>
      </c>
      <c r="O824" s="45">
        <f>IFERROR(__xludf.DUMMYFUNCTION("""COMPUTED_VALUE"""),45122.0)</f>
        <v>45122</v>
      </c>
      <c r="P824" s="45">
        <f>IFERROR(__xludf.DUMMYFUNCTION("""COMPUTED_VALUE"""),45164.0)</f>
        <v>45164</v>
      </c>
      <c r="Q824" s="45"/>
      <c r="R824" s="45"/>
      <c r="S824" s="43"/>
      <c r="T824" s="43"/>
      <c r="U824" s="43" t="str">
        <f>IFERROR(__xludf.DUMMYFUNCTION("""COMPUTED_VALUE"""),"Fingerprint")</f>
        <v>Fingerprint</v>
      </c>
      <c r="V824" s="43" t="str">
        <f>IFERROR(__xludf.DUMMYFUNCTION("""COMPUTED_VALUE"""),"Karachi - SZABIST ")</f>
        <v>Karachi - SZABIST </v>
      </c>
      <c r="W824" s="43" t="str">
        <f>IFERROR(__xludf.DUMMYFUNCTION("""COMPUTED_VALUE"""),"2023-03-13T12:35:42Z")</f>
        <v>2023-03-13T12:35:42Z</v>
      </c>
      <c r="X824" s="43"/>
      <c r="Y824" s="43"/>
      <c r="Z824" s="43"/>
    </row>
    <row r="825" hidden="1">
      <c r="A825" s="43" t="str">
        <f>IFERROR(__xludf.DUMMYFUNCTION("""COMPUTED_VALUE"""),"5258835_1289596")</f>
        <v>5258835_1289596</v>
      </c>
      <c r="B825" s="43" t="str">
        <f>IFERROR(__xludf.DUMMYFUNCTION("""COMPUTED_VALUE"""),"semah ayachi")</f>
        <v>semah ayachi</v>
      </c>
      <c r="C825" s="43" t="str">
        <f>IFERROR(__xludf.DUMMYFUNCTION("""COMPUTED_VALUE"""),"completed")</f>
        <v>completed</v>
      </c>
      <c r="D825" s="43" t="str">
        <f>IFERROR(__xludf.DUMMYFUNCTION("""COMPUTED_VALUE"""),"No")</f>
        <v>No</v>
      </c>
      <c r="E825" s="43" t="str">
        <f>IFERROR(__xludf.DUMMYFUNCTION("""COMPUTED_VALUE"""),"p_2e0bcd5647c58a49d69996b76bdb17a92f64ea55@inbound.aiesec.org")</f>
        <v>p_2e0bcd5647c58a49d69996b76bdb17a92f64ea55@inbound.aiesec.org</v>
      </c>
      <c r="F825" s="43"/>
      <c r="G825" s="43" t="str">
        <f>IFERROR(__xludf.DUMMYFUNCTION("""COMPUTED_VALUE"""),"Tunisia")</f>
        <v>Tunisia</v>
      </c>
      <c r="H825" s="43" t="str">
        <f>IFERROR(__xludf.DUMMYFUNCTION("""COMPUTED_VALUE"""),"BARDO")</f>
        <v>BARDO</v>
      </c>
      <c r="I825" s="43" t="str">
        <f>IFERROR(__xludf.DUMMYFUNCTION("""COMPUTED_VALUE"""),"Turkey")</f>
        <v>Turkey</v>
      </c>
      <c r="J825" s="43" t="str">
        <f>IFERROR(__xludf.DUMMYFUNCTION("""COMPUTED_VALUE"""),"ISPARTA")</f>
        <v>ISPARTA</v>
      </c>
      <c r="K825" s="44" t="str">
        <f>IFERROR(__xludf.DUMMYFUNCTION("""COMPUTED_VALUE"""),"https://expa.aiesec.org/opportunities/1289596")</f>
        <v>https://expa.aiesec.org/opportunities/1289596</v>
      </c>
      <c r="L825" s="43" t="str">
        <f>IFERROR(__xludf.DUMMYFUNCTION("""COMPUTED_VALUE"""),"GV")</f>
        <v>GV</v>
      </c>
      <c r="M825" s="43" t="str">
        <f>IFERROR(__xludf.DUMMYFUNCTION("""COMPUTED_VALUE"""),"short")</f>
        <v>short</v>
      </c>
      <c r="N825" s="45">
        <f>IFERROR(__xludf.DUMMYFUNCTION("""COMPUTED_VALUE"""),45056.0)</f>
        <v>45056</v>
      </c>
      <c r="O825" s="45">
        <f>IFERROR(__xludf.DUMMYFUNCTION("""COMPUTED_VALUE"""),45089.0)</f>
        <v>45089</v>
      </c>
      <c r="P825" s="45">
        <f>IFERROR(__xludf.DUMMYFUNCTION("""COMPUTED_VALUE"""),45131.0)</f>
        <v>45131</v>
      </c>
      <c r="Q825" s="45">
        <f>IFERROR(__xludf.DUMMYFUNCTION("""COMPUTED_VALUE"""),45090.0)</f>
        <v>45090</v>
      </c>
      <c r="R825" s="45">
        <f>IFERROR(__xludf.DUMMYFUNCTION("""COMPUTED_VALUE"""),45131.0)</f>
        <v>45131</v>
      </c>
      <c r="S825" s="43"/>
      <c r="T825" s="43"/>
      <c r="U825" s="43" t="str">
        <f>IFERROR(__xludf.DUMMYFUNCTION("""COMPUTED_VALUE"""),"Global Classroom")</f>
        <v>Global Classroom</v>
      </c>
      <c r="V825" s="43" t="str">
        <f>IFERROR(__xludf.DUMMYFUNCTION("""COMPUTED_VALUE"""),"-")</f>
        <v>-</v>
      </c>
      <c r="W825" s="43" t="str">
        <f>IFERROR(__xludf.DUMMYFUNCTION("""COMPUTED_VALUE"""),"2023-05-10T11:22:36Z")</f>
        <v>2023-05-10T11:22:36Z</v>
      </c>
      <c r="X825" s="43"/>
      <c r="Y825" s="43"/>
      <c r="Z825" s="43"/>
    </row>
    <row r="826" hidden="1">
      <c r="A826" s="43" t="str">
        <f>IFERROR(__xludf.DUMMYFUNCTION("""COMPUTED_VALUE"""),"5258366_1289596")</f>
        <v>5258366_1289596</v>
      </c>
      <c r="B826" s="43" t="str">
        <f>IFERROR(__xludf.DUMMYFUNCTION("""COMPUTED_VALUE"""),"Salma Gharbi")</f>
        <v>Salma Gharbi</v>
      </c>
      <c r="C826" s="43" t="str">
        <f>IFERROR(__xludf.DUMMYFUNCTION("""COMPUTED_VALUE"""),"completed")</f>
        <v>completed</v>
      </c>
      <c r="D826" s="43" t="str">
        <f>IFERROR(__xludf.DUMMYFUNCTION("""COMPUTED_VALUE"""),"No")</f>
        <v>No</v>
      </c>
      <c r="E826" s="43" t="str">
        <f>IFERROR(__xludf.DUMMYFUNCTION("""COMPUTED_VALUE"""),"p_174a4a6dbd4751a1683ba9e4ce89c547ba0683a0@inbound.aiesec.org")</f>
        <v>p_174a4a6dbd4751a1683ba9e4ce89c547ba0683a0@inbound.aiesec.org</v>
      </c>
      <c r="F826" s="43">
        <f>IFERROR(__xludf.DUMMYFUNCTION("""COMPUTED_VALUE"""),9.035493E7)</f>
        <v>90354930</v>
      </c>
      <c r="G826" s="43" t="str">
        <f>IFERROR(__xludf.DUMMYFUNCTION("""COMPUTED_VALUE"""),"Tunisia")</f>
        <v>Tunisia</v>
      </c>
      <c r="H826" s="43" t="str">
        <f>IFERROR(__xludf.DUMMYFUNCTION("""COMPUTED_VALUE"""),"BARDO")</f>
        <v>BARDO</v>
      </c>
      <c r="I826" s="43" t="str">
        <f>IFERROR(__xludf.DUMMYFUNCTION("""COMPUTED_VALUE"""),"Turkey")</f>
        <v>Turkey</v>
      </c>
      <c r="J826" s="43" t="str">
        <f>IFERROR(__xludf.DUMMYFUNCTION("""COMPUTED_VALUE"""),"ISPARTA")</f>
        <v>ISPARTA</v>
      </c>
      <c r="K826" s="44" t="str">
        <f>IFERROR(__xludf.DUMMYFUNCTION("""COMPUTED_VALUE"""),"https://expa.aiesec.org/opportunities/1289596")</f>
        <v>https://expa.aiesec.org/opportunities/1289596</v>
      </c>
      <c r="L826" s="43" t="str">
        <f>IFERROR(__xludf.DUMMYFUNCTION("""COMPUTED_VALUE"""),"GV")</f>
        <v>GV</v>
      </c>
      <c r="M826" s="43" t="str">
        <f>IFERROR(__xludf.DUMMYFUNCTION("""COMPUTED_VALUE"""),"short")</f>
        <v>short</v>
      </c>
      <c r="N826" s="45">
        <f>IFERROR(__xludf.DUMMYFUNCTION("""COMPUTED_VALUE"""),45056.0)</f>
        <v>45056</v>
      </c>
      <c r="O826" s="45">
        <f>IFERROR(__xludf.DUMMYFUNCTION("""COMPUTED_VALUE"""),45089.0)</f>
        <v>45089</v>
      </c>
      <c r="P826" s="45">
        <f>IFERROR(__xludf.DUMMYFUNCTION("""COMPUTED_VALUE"""),45131.0)</f>
        <v>45131</v>
      </c>
      <c r="Q826" s="45">
        <f>IFERROR(__xludf.DUMMYFUNCTION("""COMPUTED_VALUE"""),45090.0)</f>
        <v>45090</v>
      </c>
      <c r="R826" s="45">
        <f>IFERROR(__xludf.DUMMYFUNCTION("""COMPUTED_VALUE"""),45131.0)</f>
        <v>45131</v>
      </c>
      <c r="S826" s="43"/>
      <c r="T826" s="43"/>
      <c r="U826" s="43" t="str">
        <f>IFERROR(__xludf.DUMMYFUNCTION("""COMPUTED_VALUE"""),"Global Classroom")</f>
        <v>Global Classroom</v>
      </c>
      <c r="V826" s="43" t="str">
        <f>IFERROR(__xludf.DUMMYFUNCTION("""COMPUTED_VALUE"""),"ISEAHT")</f>
        <v>ISEAHT</v>
      </c>
      <c r="W826" s="43" t="str">
        <f>IFERROR(__xludf.DUMMYFUNCTION("""COMPUTED_VALUE"""),"2023-05-09T14:47:43Z")</f>
        <v>2023-05-09T14:47:43Z</v>
      </c>
      <c r="X826" s="43"/>
      <c r="Y826" s="43"/>
      <c r="Z826" s="43"/>
    </row>
    <row r="827" hidden="1">
      <c r="A827" s="43" t="str">
        <f>IFERROR(__xludf.DUMMYFUNCTION("""COMPUTED_VALUE"""),"5151089_1294372")</f>
        <v>5151089_1294372</v>
      </c>
      <c r="B827" s="43" t="str">
        <f>IFERROR(__xludf.DUMMYFUNCTION("""COMPUTED_VALUE"""),"issaoui amine issaoui amine")</f>
        <v>issaoui amine issaoui amine</v>
      </c>
      <c r="C827" s="43" t="str">
        <f>IFERROR(__xludf.DUMMYFUNCTION("""COMPUTED_VALUE"""),"approved")</f>
        <v>approved</v>
      </c>
      <c r="D827" s="43" t="str">
        <f>IFERROR(__xludf.DUMMYFUNCTION("""COMPUTED_VALUE"""),"No")</f>
        <v>No</v>
      </c>
      <c r="E827" s="43" t="str">
        <f>IFERROR(__xludf.DUMMYFUNCTION("""COMPUTED_VALUE"""),"p_1ef213a847a81b530d77b60fe751b0c8d49f9514@inbound.aiesec.org")</f>
        <v>p_1ef213a847a81b530d77b60fe751b0c8d49f9514@inbound.aiesec.org</v>
      </c>
      <c r="F827" s="43"/>
      <c r="G827" s="43" t="str">
        <f>IFERROR(__xludf.DUMMYFUNCTION("""COMPUTED_VALUE"""),"Tunisia")</f>
        <v>Tunisia</v>
      </c>
      <c r="H827" s="43" t="str">
        <f>IFERROR(__xludf.DUMMYFUNCTION("""COMPUTED_VALUE"""),"UNIVERSITY")</f>
        <v>UNIVERSITY</v>
      </c>
      <c r="I827" s="43" t="str">
        <f>IFERROR(__xludf.DUMMYFUNCTION("""COMPUTED_VALUE"""),"Turkey")</f>
        <v>Turkey</v>
      </c>
      <c r="J827" s="43" t="str">
        <f>IFERROR(__xludf.DUMMYFUNCTION("""COMPUTED_VALUE"""),"ANKARA")</f>
        <v>ANKARA</v>
      </c>
      <c r="K827" s="44" t="str">
        <f>IFERROR(__xludf.DUMMYFUNCTION("""COMPUTED_VALUE"""),"https://expa.aiesec.org/opportunities/1294372")</f>
        <v>https://expa.aiesec.org/opportunities/1294372</v>
      </c>
      <c r="L827" s="43" t="str">
        <f>IFERROR(__xludf.DUMMYFUNCTION("""COMPUTED_VALUE"""),"GV")</f>
        <v>GV</v>
      </c>
      <c r="M827" s="43" t="str">
        <f>IFERROR(__xludf.DUMMYFUNCTION("""COMPUTED_VALUE"""),"short")</f>
        <v>short</v>
      </c>
      <c r="N827" s="45">
        <f>IFERROR(__xludf.DUMMYFUNCTION("""COMPUTED_VALUE"""),45056.0)</f>
        <v>45056</v>
      </c>
      <c r="O827" s="45">
        <f>IFERROR(__xludf.DUMMYFUNCTION("""COMPUTED_VALUE"""),45110.0)</f>
        <v>45110</v>
      </c>
      <c r="P827" s="45">
        <f>IFERROR(__xludf.DUMMYFUNCTION("""COMPUTED_VALUE"""),45152.0)</f>
        <v>45152</v>
      </c>
      <c r="Q827" s="45"/>
      <c r="R827" s="45"/>
      <c r="S827" s="43"/>
      <c r="T827" s="43"/>
      <c r="U827" s="43" t="str">
        <f>IFERROR(__xludf.DUMMYFUNCTION("""COMPUTED_VALUE"""),"Global Classroom")</f>
        <v>Global Classroom</v>
      </c>
      <c r="V827" s="43" t="str">
        <f>IFERROR(__xludf.DUMMYFUNCTION("""COMPUTED_VALUE"""),"-")</f>
        <v>-</v>
      </c>
      <c r="W827" s="43" t="str">
        <f>IFERROR(__xludf.DUMMYFUNCTION("""COMPUTED_VALUE"""),"2022-11-10T20:49:00Z")</f>
        <v>2022-11-10T20:49:00Z</v>
      </c>
      <c r="X827" s="43"/>
      <c r="Y827" s="43"/>
      <c r="Z827" s="43"/>
    </row>
    <row r="828" hidden="1">
      <c r="A828" s="43" t="str">
        <f>IFERROR(__xludf.DUMMYFUNCTION("""COMPUTED_VALUE"""),"5237291_1294372")</f>
        <v>5237291_1294372</v>
      </c>
      <c r="B828" s="43" t="str">
        <f>IFERROR(__xludf.DUMMYFUNCTION("""COMPUTED_VALUE"""),"Rayen Lassoued")</f>
        <v>Rayen Lassoued</v>
      </c>
      <c r="C828" s="43" t="str">
        <f>IFERROR(__xludf.DUMMYFUNCTION("""COMPUTED_VALUE"""),"completed")</f>
        <v>completed</v>
      </c>
      <c r="D828" s="43" t="str">
        <f>IFERROR(__xludf.DUMMYFUNCTION("""COMPUTED_VALUE"""),"No")</f>
        <v>No</v>
      </c>
      <c r="E828" s="43" t="str">
        <f>IFERROR(__xludf.DUMMYFUNCTION("""COMPUTED_VALUE"""),"p_a2d9ae61731f4a1c6f680e83bfa4426cf3277a8f@inbound.aiesec.org")</f>
        <v>p_a2d9ae61731f4a1c6f680e83bfa4426cf3277a8f@inbound.aiesec.org</v>
      </c>
      <c r="F828" s="43">
        <f>IFERROR(__xludf.DUMMYFUNCTION("""COMPUTED_VALUE"""),2.9185569E7)</f>
        <v>29185569</v>
      </c>
      <c r="G828" s="43" t="str">
        <f>IFERROR(__xludf.DUMMYFUNCTION("""COMPUTED_VALUE"""),"Tunisia")</f>
        <v>Tunisia</v>
      </c>
      <c r="H828" s="43" t="str">
        <f>IFERROR(__xludf.DUMMYFUNCTION("""COMPUTED_VALUE"""),"RUSPINA")</f>
        <v>RUSPINA</v>
      </c>
      <c r="I828" s="43" t="str">
        <f>IFERROR(__xludf.DUMMYFUNCTION("""COMPUTED_VALUE"""),"Turkey")</f>
        <v>Turkey</v>
      </c>
      <c r="J828" s="43" t="str">
        <f>IFERROR(__xludf.DUMMYFUNCTION("""COMPUTED_VALUE"""),"ANKARA")</f>
        <v>ANKARA</v>
      </c>
      <c r="K828" s="44" t="str">
        <f>IFERROR(__xludf.DUMMYFUNCTION("""COMPUTED_VALUE"""),"https://expa.aiesec.org/opportunities/1294372")</f>
        <v>https://expa.aiesec.org/opportunities/1294372</v>
      </c>
      <c r="L828" s="43" t="str">
        <f>IFERROR(__xludf.DUMMYFUNCTION("""COMPUTED_VALUE"""),"GV")</f>
        <v>GV</v>
      </c>
      <c r="M828" s="43" t="str">
        <f>IFERROR(__xludf.DUMMYFUNCTION("""COMPUTED_VALUE"""),"short")</f>
        <v>short</v>
      </c>
      <c r="N828" s="45">
        <f>IFERROR(__xludf.DUMMYFUNCTION("""COMPUTED_VALUE"""),45057.0)</f>
        <v>45057</v>
      </c>
      <c r="O828" s="45">
        <f>IFERROR(__xludf.DUMMYFUNCTION("""COMPUTED_VALUE"""),45110.0)</f>
        <v>45110</v>
      </c>
      <c r="P828" s="45">
        <f>IFERROR(__xludf.DUMMYFUNCTION("""COMPUTED_VALUE"""),45152.0)</f>
        <v>45152</v>
      </c>
      <c r="Q828" s="45">
        <f>IFERROR(__xludf.DUMMYFUNCTION("""COMPUTED_VALUE"""),45111.0)</f>
        <v>45111</v>
      </c>
      <c r="R828" s="45">
        <f>IFERROR(__xludf.DUMMYFUNCTION("""COMPUTED_VALUE"""),45152.0)</f>
        <v>45152</v>
      </c>
      <c r="S828" s="43"/>
      <c r="T828" s="43"/>
      <c r="U828" s="43" t="str">
        <f>IFERROR(__xludf.DUMMYFUNCTION("""COMPUTED_VALUE"""),"Global Classroom")</f>
        <v>Global Classroom</v>
      </c>
      <c r="V828" s="43" t="str">
        <f>IFERROR(__xludf.DUMMYFUNCTION("""COMPUTED_VALUE"""),"IPEIM")</f>
        <v>IPEIM</v>
      </c>
      <c r="W828" s="43" t="str">
        <f>IFERROR(__xludf.DUMMYFUNCTION("""COMPUTED_VALUE"""),"2023-04-07T21:44:09Z")</f>
        <v>2023-04-07T21:44:09Z</v>
      </c>
      <c r="X828" s="43"/>
      <c r="Y828" s="43"/>
      <c r="Z828" s="43"/>
    </row>
    <row r="829" hidden="1">
      <c r="A829" s="43" t="str">
        <f>IFERROR(__xludf.DUMMYFUNCTION("""COMPUTED_VALUE"""),"5242537_1272564")</f>
        <v>5242537_1272564</v>
      </c>
      <c r="B829" s="43" t="str">
        <f>IFERROR(__xludf.DUMMYFUNCTION("""COMPUTED_VALUE"""),"Nourine El Afrit")</f>
        <v>Nourine El Afrit</v>
      </c>
      <c r="C829" s="43" t="str">
        <f>IFERROR(__xludf.DUMMYFUNCTION("""COMPUTED_VALUE"""),"completed")</f>
        <v>completed</v>
      </c>
      <c r="D829" s="43" t="str">
        <f>IFERROR(__xludf.DUMMYFUNCTION("""COMPUTED_VALUE"""),"No")</f>
        <v>No</v>
      </c>
      <c r="E829" s="43" t="str">
        <f>IFERROR(__xludf.DUMMYFUNCTION("""COMPUTED_VALUE"""),"p_550278d321bf42db0ff91661207eca70792c4f1d@inbound.aiesec.org")</f>
        <v>p_550278d321bf42db0ff91661207eca70792c4f1d@inbound.aiesec.org</v>
      </c>
      <c r="F829" s="43">
        <f>IFERROR(__xludf.DUMMYFUNCTION("""COMPUTED_VALUE"""),5.261691E7)</f>
        <v>52616910</v>
      </c>
      <c r="G829" s="43" t="str">
        <f>IFERROR(__xludf.DUMMYFUNCTION("""COMPUTED_VALUE"""),"Tunisia")</f>
        <v>Tunisia</v>
      </c>
      <c r="H829" s="43" t="str">
        <f>IFERROR(__xludf.DUMMYFUNCTION("""COMPUTED_VALUE"""),"Carthage")</f>
        <v>Carthage</v>
      </c>
      <c r="I829" s="43" t="str">
        <f>IFERROR(__xludf.DUMMYFUNCTION("""COMPUTED_VALUE"""),"Turkey")</f>
        <v>Turkey</v>
      </c>
      <c r="J829" s="43" t="str">
        <f>IFERROR(__xludf.DUMMYFUNCTION("""COMPUTED_VALUE"""),"ISTANBUL")</f>
        <v>ISTANBUL</v>
      </c>
      <c r="K829" s="44" t="str">
        <f>IFERROR(__xludf.DUMMYFUNCTION("""COMPUTED_VALUE"""),"https://expa.aiesec.org/opportunities/1272564")</f>
        <v>https://expa.aiesec.org/opportunities/1272564</v>
      </c>
      <c r="L829" s="43" t="str">
        <f>IFERROR(__xludf.DUMMYFUNCTION("""COMPUTED_VALUE"""),"GV")</f>
        <v>GV</v>
      </c>
      <c r="M829" s="43" t="str">
        <f>IFERROR(__xludf.DUMMYFUNCTION("""COMPUTED_VALUE"""),"short")</f>
        <v>short</v>
      </c>
      <c r="N829" s="45">
        <f>IFERROR(__xludf.DUMMYFUNCTION("""COMPUTED_VALUE"""),45057.0)</f>
        <v>45057</v>
      </c>
      <c r="O829" s="45">
        <f>IFERROR(__xludf.DUMMYFUNCTION("""COMPUTED_VALUE"""),45162.0)</f>
        <v>45162</v>
      </c>
      <c r="P829" s="45">
        <f>IFERROR(__xludf.DUMMYFUNCTION("""COMPUTED_VALUE"""),45204.0)</f>
        <v>45204</v>
      </c>
      <c r="Q829" s="45">
        <f>IFERROR(__xludf.DUMMYFUNCTION("""COMPUTED_VALUE"""),45163.0)</f>
        <v>45163</v>
      </c>
      <c r="R829" s="45">
        <f>IFERROR(__xludf.DUMMYFUNCTION("""COMPUTED_VALUE"""),45204.0)</f>
        <v>45204</v>
      </c>
      <c r="S829" s="43"/>
      <c r="T829" s="43"/>
      <c r="U829" s="43" t="str">
        <f>IFERROR(__xludf.DUMMYFUNCTION("""COMPUTED_VALUE"""),"Global Classroom")</f>
        <v>Global Classroom</v>
      </c>
      <c r="V829" s="43" t="str">
        <f>IFERROR(__xludf.DUMMYFUNCTION("""COMPUTED_VALUE"""),"FSJPST")</f>
        <v>FSJPST</v>
      </c>
      <c r="W829" s="43" t="str">
        <f>IFERROR(__xludf.DUMMYFUNCTION("""COMPUTED_VALUE"""),"2023-04-15T11:17:38Z")</f>
        <v>2023-04-15T11:17:38Z</v>
      </c>
      <c r="X829" s="43"/>
      <c r="Y829" s="43"/>
      <c r="Z829" s="43"/>
    </row>
    <row r="830" hidden="1">
      <c r="A830" s="43" t="str">
        <f>IFERROR(__xludf.DUMMYFUNCTION("""COMPUTED_VALUE"""),"5258274_1294584")</f>
        <v>5258274_1294584</v>
      </c>
      <c r="B830" s="43" t="str">
        <f>IFERROR(__xludf.DUMMYFUNCTION("""COMPUTED_VALUE"""),"Ltaief Nourhene")</f>
        <v>Ltaief Nourhene</v>
      </c>
      <c r="C830" s="43" t="str">
        <f>IFERROR(__xludf.DUMMYFUNCTION("""COMPUTED_VALUE"""),"completed")</f>
        <v>completed</v>
      </c>
      <c r="D830" s="43" t="str">
        <f>IFERROR(__xludf.DUMMYFUNCTION("""COMPUTED_VALUE"""),"No")</f>
        <v>No</v>
      </c>
      <c r="E830" s="43" t="str">
        <f>IFERROR(__xludf.DUMMYFUNCTION("""COMPUTED_VALUE"""),"p_cee4f87f5be19c68c42d3545fcc0b30c34c2932e@inbound.aiesec.org")</f>
        <v>p_cee4f87f5be19c68c42d3545fcc0b30c34c2932e@inbound.aiesec.org</v>
      </c>
      <c r="F830" s="43"/>
      <c r="G830" s="43" t="str">
        <f>IFERROR(__xludf.DUMMYFUNCTION("""COMPUTED_VALUE"""),"Tunisia")</f>
        <v>Tunisia</v>
      </c>
      <c r="H830" s="43" t="str">
        <f>IFERROR(__xludf.DUMMYFUNCTION("""COMPUTED_VALUE"""),"BARDO")</f>
        <v>BARDO</v>
      </c>
      <c r="I830" s="43" t="str">
        <f>IFERROR(__xludf.DUMMYFUNCTION("""COMPUTED_VALUE"""),"Turkey")</f>
        <v>Turkey</v>
      </c>
      <c r="J830" s="43" t="str">
        <f>IFERROR(__xludf.DUMMYFUNCTION("""COMPUTED_VALUE"""),"ANTALYA")</f>
        <v>ANTALYA</v>
      </c>
      <c r="K830" s="44" t="str">
        <f>IFERROR(__xludf.DUMMYFUNCTION("""COMPUTED_VALUE"""),"https://expa.aiesec.org/opportunities/1294584")</f>
        <v>https://expa.aiesec.org/opportunities/1294584</v>
      </c>
      <c r="L830" s="43" t="str">
        <f>IFERROR(__xludf.DUMMYFUNCTION("""COMPUTED_VALUE"""),"GV")</f>
        <v>GV</v>
      </c>
      <c r="M830" s="43" t="str">
        <f>IFERROR(__xludf.DUMMYFUNCTION("""COMPUTED_VALUE"""),"short")</f>
        <v>short</v>
      </c>
      <c r="N830" s="45">
        <f>IFERROR(__xludf.DUMMYFUNCTION("""COMPUTED_VALUE"""),45057.0)</f>
        <v>45057</v>
      </c>
      <c r="O830" s="45">
        <f>IFERROR(__xludf.DUMMYFUNCTION("""COMPUTED_VALUE"""),45110.0)</f>
        <v>45110</v>
      </c>
      <c r="P830" s="45">
        <f>IFERROR(__xludf.DUMMYFUNCTION("""COMPUTED_VALUE"""),45152.0)</f>
        <v>45152</v>
      </c>
      <c r="Q830" s="45">
        <f>IFERROR(__xludf.DUMMYFUNCTION("""COMPUTED_VALUE"""),45110.0)</f>
        <v>45110</v>
      </c>
      <c r="R830" s="45">
        <f>IFERROR(__xludf.DUMMYFUNCTION("""COMPUTED_VALUE"""),45152.0)</f>
        <v>45152</v>
      </c>
      <c r="S830" s="43"/>
      <c r="T830" s="43"/>
      <c r="U830" s="43" t="str">
        <f>IFERROR(__xludf.DUMMYFUNCTION("""COMPUTED_VALUE"""),"Youth 4 Impact")</f>
        <v>Youth 4 Impact</v>
      </c>
      <c r="V830" s="43" t="str">
        <f>IFERROR(__xludf.DUMMYFUNCTION("""COMPUTED_VALUE"""),"-")</f>
        <v>-</v>
      </c>
      <c r="W830" s="43" t="str">
        <f>IFERROR(__xludf.DUMMYFUNCTION("""COMPUTED_VALUE"""),"2023-05-09T13:15:51Z")</f>
        <v>2023-05-09T13:15:51Z</v>
      </c>
      <c r="X830" s="43"/>
      <c r="Y830" s="43"/>
      <c r="Z830" s="43"/>
    </row>
    <row r="831" hidden="1">
      <c r="A831" s="43" t="str">
        <f>IFERROR(__xludf.DUMMYFUNCTION("""COMPUTED_VALUE"""),"5162552_1294066")</f>
        <v>5162552_1294066</v>
      </c>
      <c r="B831" s="43" t="str">
        <f>IFERROR(__xludf.DUMMYFUNCTION("""COMPUTED_VALUE"""),"Varinlada Choampangpacharapan")</f>
        <v>Varinlada Choampangpacharapan</v>
      </c>
      <c r="C831" s="43" t="str">
        <f>IFERROR(__xludf.DUMMYFUNCTION("""COMPUTED_VALUE"""),"completed")</f>
        <v>completed</v>
      </c>
      <c r="D831" s="43" t="str">
        <f>IFERROR(__xludf.DUMMYFUNCTION("""COMPUTED_VALUE"""),"No")</f>
        <v>No</v>
      </c>
      <c r="E831" s="43" t="str">
        <f>IFERROR(__xludf.DUMMYFUNCTION("""COMPUTED_VALUE"""),"p_453beb55e7e6789d572daf3a85a191f953845f95@inbound.aiesec.org")</f>
        <v>p_453beb55e7e6789d572daf3a85a191f953845f95@inbound.aiesec.org</v>
      </c>
      <c r="F831" s="43">
        <f>IFERROR(__xludf.DUMMYFUNCTION("""COMPUTED_VALUE"""),9.49965562E8)</f>
        <v>949965562</v>
      </c>
      <c r="G831" s="43" t="str">
        <f>IFERROR(__xludf.DUMMYFUNCTION("""COMPUTED_VALUE"""),"Thailand")</f>
        <v>Thailand</v>
      </c>
      <c r="H831" s="43" t="str">
        <f>IFERROR(__xludf.DUMMYFUNCTION("""COMPUTED_VALUE"""),"Thammasat University")</f>
        <v>Thammasat University</v>
      </c>
      <c r="I831" s="43" t="str">
        <f>IFERROR(__xludf.DUMMYFUNCTION("""COMPUTED_VALUE"""),"Turkey")</f>
        <v>Turkey</v>
      </c>
      <c r="J831" s="43" t="str">
        <f>IFERROR(__xludf.DUMMYFUNCTION("""COMPUTED_VALUE"""),"ISTANBUL WEST")</f>
        <v>ISTANBUL WEST</v>
      </c>
      <c r="K831" s="44" t="str">
        <f>IFERROR(__xludf.DUMMYFUNCTION("""COMPUTED_VALUE"""),"https://expa.aiesec.org/opportunities/1294066")</f>
        <v>https://expa.aiesec.org/opportunities/1294066</v>
      </c>
      <c r="L831" s="43" t="str">
        <f>IFERROR(__xludf.DUMMYFUNCTION("""COMPUTED_VALUE"""),"GV")</f>
        <v>GV</v>
      </c>
      <c r="M831" s="43" t="str">
        <f>IFERROR(__xludf.DUMMYFUNCTION("""COMPUTED_VALUE"""),"short")</f>
        <v>short</v>
      </c>
      <c r="N831" s="45">
        <f>IFERROR(__xludf.DUMMYFUNCTION("""COMPUTED_VALUE"""),45057.0)</f>
        <v>45057</v>
      </c>
      <c r="O831" s="45">
        <f>IFERROR(__xludf.DUMMYFUNCTION("""COMPUTED_VALUE"""),45089.0)</f>
        <v>45089</v>
      </c>
      <c r="P831" s="45">
        <f>IFERROR(__xludf.DUMMYFUNCTION("""COMPUTED_VALUE"""),45131.0)</f>
        <v>45131</v>
      </c>
      <c r="Q831" s="45">
        <f>IFERROR(__xludf.DUMMYFUNCTION("""COMPUTED_VALUE"""),45089.0)</f>
        <v>45089</v>
      </c>
      <c r="R831" s="45">
        <f>IFERROR(__xludf.DUMMYFUNCTION("""COMPUTED_VALUE"""),45131.0)</f>
        <v>45131</v>
      </c>
      <c r="S831" s="43"/>
      <c r="T831" s="43"/>
      <c r="U831" s="43" t="str">
        <f>IFERROR(__xludf.DUMMYFUNCTION("""COMPUTED_VALUE"""),"Fingerprint")</f>
        <v>Fingerprint</v>
      </c>
      <c r="V831" s="43" t="str">
        <f>IFERROR(__xludf.DUMMYFUNCTION("""COMPUTED_VALUE"""),"Thammasat University")</f>
        <v>Thammasat University</v>
      </c>
      <c r="W831" s="43" t="str">
        <f>IFERROR(__xludf.DUMMYFUNCTION("""COMPUTED_VALUE"""),"2022-12-04T14:19:14Z")</f>
        <v>2022-12-04T14:19:14Z</v>
      </c>
      <c r="X831" s="43"/>
      <c r="Y831" s="43"/>
      <c r="Z831" s="43"/>
    </row>
    <row r="832" hidden="1">
      <c r="A832" s="43" t="str">
        <f>IFERROR(__xludf.DUMMYFUNCTION("""COMPUTED_VALUE"""),"2039687_1289596")</f>
        <v>2039687_1289596</v>
      </c>
      <c r="B832" s="43" t="str">
        <f>IFERROR(__xludf.DUMMYFUNCTION("""COMPUTED_VALUE"""),"Muhammad Mahad")</f>
        <v>Muhammad Mahad</v>
      </c>
      <c r="C832" s="43" t="str">
        <f>IFERROR(__xludf.DUMMYFUNCTION("""COMPUTED_VALUE"""),"approved")</f>
        <v>approved</v>
      </c>
      <c r="D832" s="43" t="str">
        <f>IFERROR(__xludf.DUMMYFUNCTION("""COMPUTED_VALUE"""),"No")</f>
        <v>No</v>
      </c>
      <c r="E832" s="43" t="str">
        <f>IFERROR(__xludf.DUMMYFUNCTION("""COMPUTED_VALUE"""),"p_3f6fc1ae94edd62fb482a9a9d7fe064b826021bb@inbound.aiesec.org")</f>
        <v>p_3f6fc1ae94edd62fb482a9a9d7fe064b826021bb@inbound.aiesec.org</v>
      </c>
      <c r="F832" s="43">
        <f>IFERROR(__xludf.DUMMYFUNCTION("""COMPUTED_VALUE"""),3.367699724E9)</f>
        <v>3367699724</v>
      </c>
      <c r="G832" s="43" t="str">
        <f>IFERROR(__xludf.DUMMYFUNCTION("""COMPUTED_VALUE"""),"Pakistan")</f>
        <v>Pakistan</v>
      </c>
      <c r="H832" s="43" t="str">
        <f>IFERROR(__xludf.DUMMYFUNCTION("""COMPUTED_VALUE"""),"Lahore")</f>
        <v>Lahore</v>
      </c>
      <c r="I832" s="43" t="str">
        <f>IFERROR(__xludf.DUMMYFUNCTION("""COMPUTED_VALUE"""),"Turkey")</f>
        <v>Turkey</v>
      </c>
      <c r="J832" s="43" t="str">
        <f>IFERROR(__xludf.DUMMYFUNCTION("""COMPUTED_VALUE"""),"ISPARTA")</f>
        <v>ISPARTA</v>
      </c>
      <c r="K832" s="44" t="str">
        <f>IFERROR(__xludf.DUMMYFUNCTION("""COMPUTED_VALUE"""),"https://expa.aiesec.org/opportunities/1289596")</f>
        <v>https://expa.aiesec.org/opportunities/1289596</v>
      </c>
      <c r="L832" s="43" t="str">
        <f>IFERROR(__xludf.DUMMYFUNCTION("""COMPUTED_VALUE"""),"GV")</f>
        <v>GV</v>
      </c>
      <c r="M832" s="43" t="str">
        <f>IFERROR(__xludf.DUMMYFUNCTION("""COMPUTED_VALUE"""),"short")</f>
        <v>short</v>
      </c>
      <c r="N832" s="45">
        <f>IFERROR(__xludf.DUMMYFUNCTION("""COMPUTED_VALUE"""),45057.0)</f>
        <v>45057</v>
      </c>
      <c r="O832" s="45">
        <f>IFERROR(__xludf.DUMMYFUNCTION("""COMPUTED_VALUE"""),45131.0)</f>
        <v>45131</v>
      </c>
      <c r="P832" s="45">
        <f>IFERROR(__xludf.DUMMYFUNCTION("""COMPUTED_VALUE"""),45173.0)</f>
        <v>45173</v>
      </c>
      <c r="Q832" s="45"/>
      <c r="R832" s="45"/>
      <c r="S832" s="43"/>
      <c r="T832" s="43"/>
      <c r="U832" s="43" t="str">
        <f>IFERROR(__xludf.DUMMYFUNCTION("""COMPUTED_VALUE"""),"Global Classroom")</f>
        <v>Global Classroom</v>
      </c>
      <c r="V832" s="43" t="str">
        <f>IFERROR(__xludf.DUMMYFUNCTION("""COMPUTED_VALUE"""),"-")</f>
        <v>-</v>
      </c>
      <c r="W832" s="43" t="str">
        <f>IFERROR(__xludf.DUMMYFUNCTION("""COMPUTED_VALUE"""),"2018-02-17T08:49:24Z")</f>
        <v>2018-02-17T08:49:24Z</v>
      </c>
      <c r="X832" s="43"/>
      <c r="Y832" s="43"/>
      <c r="Z832" s="43"/>
    </row>
    <row r="833" hidden="1">
      <c r="A833" s="43" t="str">
        <f>IFERROR(__xludf.DUMMYFUNCTION("""COMPUTED_VALUE"""),"5251278_1289596")</f>
        <v>5251278_1289596</v>
      </c>
      <c r="B833" s="43" t="str">
        <f>IFERROR(__xludf.DUMMYFUNCTION("""COMPUTED_VALUE"""),"Muhammad Abdul Rafey")</f>
        <v>Muhammad Abdul Rafey</v>
      </c>
      <c r="C833" s="43" t="str">
        <f>IFERROR(__xludf.DUMMYFUNCTION("""COMPUTED_VALUE"""),"approved")</f>
        <v>approved</v>
      </c>
      <c r="D833" s="43" t="str">
        <f>IFERROR(__xludf.DUMMYFUNCTION("""COMPUTED_VALUE"""),"No")</f>
        <v>No</v>
      </c>
      <c r="E833" s="43" t="str">
        <f>IFERROR(__xludf.DUMMYFUNCTION("""COMPUTED_VALUE"""),"p_c943ce486d91db3dde52a069fbb6de7acbeace7b@inbound.aiesec.org")</f>
        <v>p_c943ce486d91db3dde52a069fbb6de7acbeace7b@inbound.aiesec.org</v>
      </c>
      <c r="F833" s="43">
        <f>IFERROR(__xludf.DUMMYFUNCTION("""COMPUTED_VALUE"""),5.22013682E8)</f>
        <v>522013682</v>
      </c>
      <c r="G833" s="43" t="str">
        <f>IFERROR(__xludf.DUMMYFUNCTION("""COMPUTED_VALUE"""),"Pakistan")</f>
        <v>Pakistan</v>
      </c>
      <c r="H833" s="43" t="str">
        <f>IFERROR(__xludf.DUMMYFUNCTION("""COMPUTED_VALUE"""),"Lahore")</f>
        <v>Lahore</v>
      </c>
      <c r="I833" s="43" t="str">
        <f>IFERROR(__xludf.DUMMYFUNCTION("""COMPUTED_VALUE"""),"Turkey")</f>
        <v>Turkey</v>
      </c>
      <c r="J833" s="43" t="str">
        <f>IFERROR(__xludf.DUMMYFUNCTION("""COMPUTED_VALUE"""),"ISPARTA")</f>
        <v>ISPARTA</v>
      </c>
      <c r="K833" s="44" t="str">
        <f>IFERROR(__xludf.DUMMYFUNCTION("""COMPUTED_VALUE"""),"https://expa.aiesec.org/opportunities/1289596")</f>
        <v>https://expa.aiesec.org/opportunities/1289596</v>
      </c>
      <c r="L833" s="43" t="str">
        <f>IFERROR(__xludf.DUMMYFUNCTION("""COMPUTED_VALUE"""),"GV")</f>
        <v>GV</v>
      </c>
      <c r="M833" s="43" t="str">
        <f>IFERROR(__xludf.DUMMYFUNCTION("""COMPUTED_VALUE"""),"short")</f>
        <v>short</v>
      </c>
      <c r="N833" s="45">
        <f>IFERROR(__xludf.DUMMYFUNCTION("""COMPUTED_VALUE"""),45057.0)</f>
        <v>45057</v>
      </c>
      <c r="O833" s="45">
        <f>IFERROR(__xludf.DUMMYFUNCTION("""COMPUTED_VALUE"""),45131.0)</f>
        <v>45131</v>
      </c>
      <c r="P833" s="45">
        <f>IFERROR(__xludf.DUMMYFUNCTION("""COMPUTED_VALUE"""),45173.0)</f>
        <v>45173</v>
      </c>
      <c r="Q833" s="45"/>
      <c r="R833" s="45"/>
      <c r="S833" s="43"/>
      <c r="T833" s="43"/>
      <c r="U833" s="43" t="str">
        <f>IFERROR(__xludf.DUMMYFUNCTION("""COMPUTED_VALUE"""),"Global Classroom")</f>
        <v>Global Classroom</v>
      </c>
      <c r="V833" s="43" t="str">
        <f>IFERROR(__xludf.DUMMYFUNCTION("""COMPUTED_VALUE"""),"Lahore - University of Lahore (UoL)")</f>
        <v>Lahore - University of Lahore (UoL)</v>
      </c>
      <c r="W833" s="43" t="str">
        <f>IFERROR(__xludf.DUMMYFUNCTION("""COMPUTED_VALUE"""),"2023-04-27T22:07:38Z")</f>
        <v>2023-04-27T22:07:38Z</v>
      </c>
      <c r="X833" s="43"/>
      <c r="Y833" s="43"/>
      <c r="Z833" s="43"/>
    </row>
    <row r="834" hidden="1">
      <c r="A834" s="43" t="str">
        <f>IFERROR(__xludf.DUMMYFUNCTION("""COMPUTED_VALUE"""),"5186247_1294972")</f>
        <v>5186247_1294972</v>
      </c>
      <c r="B834" s="43" t="str">
        <f>IFERROR(__xludf.DUMMYFUNCTION("""COMPUTED_VALUE"""),"Hadil Chaffar")</f>
        <v>Hadil Chaffar</v>
      </c>
      <c r="C834" s="43" t="str">
        <f>IFERROR(__xludf.DUMMYFUNCTION("""COMPUTED_VALUE"""),"completed")</f>
        <v>completed</v>
      </c>
      <c r="D834" s="43" t="str">
        <f>IFERROR(__xludf.DUMMYFUNCTION("""COMPUTED_VALUE"""),"No")</f>
        <v>No</v>
      </c>
      <c r="E834" s="43" t="str">
        <f>IFERROR(__xludf.DUMMYFUNCTION("""COMPUTED_VALUE"""),"p_021c6835ed12e7091601ecfbfe8c3261d1a81a8d@inbound.aiesec.org")</f>
        <v>p_021c6835ed12e7091601ecfbfe8c3261d1a81a8d@inbound.aiesec.org</v>
      </c>
      <c r="F834" s="43"/>
      <c r="G834" s="43" t="str">
        <f>IFERROR(__xludf.DUMMYFUNCTION("""COMPUTED_VALUE"""),"Tunisia")</f>
        <v>Tunisia</v>
      </c>
      <c r="H834" s="43" t="str">
        <f>IFERROR(__xludf.DUMMYFUNCTION("""COMPUTED_VALUE"""),"BARDO")</f>
        <v>BARDO</v>
      </c>
      <c r="I834" s="43" t="str">
        <f>IFERROR(__xludf.DUMMYFUNCTION("""COMPUTED_VALUE"""),"Turkey")</f>
        <v>Turkey</v>
      </c>
      <c r="J834" s="43" t="str">
        <f>IFERROR(__xludf.DUMMYFUNCTION("""COMPUTED_VALUE"""),"ESKISEHIR")</f>
        <v>ESKISEHIR</v>
      </c>
      <c r="K834" s="44" t="str">
        <f>IFERROR(__xludf.DUMMYFUNCTION("""COMPUTED_VALUE"""),"https://expa.aiesec.org/opportunities/1294972")</f>
        <v>https://expa.aiesec.org/opportunities/1294972</v>
      </c>
      <c r="L834" s="43" t="str">
        <f>IFERROR(__xludf.DUMMYFUNCTION("""COMPUTED_VALUE"""),"GV")</f>
        <v>GV</v>
      </c>
      <c r="M834" s="43" t="str">
        <f>IFERROR(__xludf.DUMMYFUNCTION("""COMPUTED_VALUE"""),"short")</f>
        <v>short</v>
      </c>
      <c r="N834" s="45">
        <f>IFERROR(__xludf.DUMMYFUNCTION("""COMPUTED_VALUE"""),45058.0)</f>
        <v>45058</v>
      </c>
      <c r="O834" s="45">
        <f>IFERROR(__xludf.DUMMYFUNCTION("""COMPUTED_VALUE"""),45110.0)</f>
        <v>45110</v>
      </c>
      <c r="P834" s="45">
        <f>IFERROR(__xludf.DUMMYFUNCTION("""COMPUTED_VALUE"""),45152.0)</f>
        <v>45152</v>
      </c>
      <c r="Q834" s="45">
        <f>IFERROR(__xludf.DUMMYFUNCTION("""COMPUTED_VALUE"""),45110.0)</f>
        <v>45110</v>
      </c>
      <c r="R834" s="45">
        <f>IFERROR(__xludf.DUMMYFUNCTION("""COMPUTED_VALUE"""),45152.0)</f>
        <v>45152</v>
      </c>
      <c r="S834" s="43"/>
      <c r="T834" s="43"/>
      <c r="U834" s="43" t="str">
        <f>IFERROR(__xludf.DUMMYFUNCTION("""COMPUTED_VALUE"""),"Global Classroom")</f>
        <v>Global Classroom</v>
      </c>
      <c r="V834" s="43" t="str">
        <f>IFERROR(__xludf.DUMMYFUNCTION("""COMPUTED_VALUE"""),"-")</f>
        <v>-</v>
      </c>
      <c r="W834" s="43" t="str">
        <f>IFERROR(__xludf.DUMMYFUNCTION("""COMPUTED_VALUE"""),"2023-02-06T11:57:32Z")</f>
        <v>2023-02-06T11:57:32Z</v>
      </c>
      <c r="X834" s="43"/>
      <c r="Y834" s="43"/>
      <c r="Z834" s="43"/>
    </row>
    <row r="835" hidden="1">
      <c r="A835" s="43" t="str">
        <f>IFERROR(__xludf.DUMMYFUNCTION("""COMPUTED_VALUE"""),"5259468_1294795")</f>
        <v>5259468_1294795</v>
      </c>
      <c r="B835" s="43" t="str">
        <f>IFERROR(__xludf.DUMMYFUNCTION("""COMPUTED_VALUE"""),"emna guizani")</f>
        <v>emna guizani</v>
      </c>
      <c r="C835" s="43" t="str">
        <f>IFERROR(__xludf.DUMMYFUNCTION("""COMPUTED_VALUE"""),"completed")</f>
        <v>completed</v>
      </c>
      <c r="D835" s="43" t="str">
        <f>IFERROR(__xludf.DUMMYFUNCTION("""COMPUTED_VALUE"""),"No")</f>
        <v>No</v>
      </c>
      <c r="E835" s="43" t="str">
        <f>IFERROR(__xludf.DUMMYFUNCTION("""COMPUTED_VALUE"""),"p_2615595ac10ec907b7956f66d26b8c7cc11c98cc@inbound.aiesec.org")</f>
        <v>p_2615595ac10ec907b7956f66d26b8c7cc11c98cc@inbound.aiesec.org</v>
      </c>
      <c r="F835" s="43">
        <f>IFERROR(__xludf.DUMMYFUNCTION("""COMPUTED_VALUE"""),9.2174296E7)</f>
        <v>92174296</v>
      </c>
      <c r="G835" s="43" t="str">
        <f>IFERROR(__xludf.DUMMYFUNCTION("""COMPUTED_VALUE"""),"Tunisia")</f>
        <v>Tunisia</v>
      </c>
      <c r="H835" s="43" t="str">
        <f>IFERROR(__xludf.DUMMYFUNCTION("""COMPUTED_VALUE"""),"BARDO")</f>
        <v>BARDO</v>
      </c>
      <c r="I835" s="43" t="str">
        <f>IFERROR(__xludf.DUMMYFUNCTION("""COMPUTED_VALUE"""),"Turkey")</f>
        <v>Turkey</v>
      </c>
      <c r="J835" s="43" t="str">
        <f>IFERROR(__xludf.DUMMYFUNCTION("""COMPUTED_VALUE"""),"ADANA")</f>
        <v>ADANA</v>
      </c>
      <c r="K835" s="44" t="str">
        <f>IFERROR(__xludf.DUMMYFUNCTION("""COMPUTED_VALUE"""),"https://expa.aiesec.org/opportunities/1294795")</f>
        <v>https://expa.aiesec.org/opportunities/1294795</v>
      </c>
      <c r="L835" s="43" t="str">
        <f>IFERROR(__xludf.DUMMYFUNCTION("""COMPUTED_VALUE"""),"GV")</f>
        <v>GV</v>
      </c>
      <c r="M835" s="43" t="str">
        <f>IFERROR(__xludf.DUMMYFUNCTION("""COMPUTED_VALUE"""),"short")</f>
        <v>short</v>
      </c>
      <c r="N835" s="45">
        <f>IFERROR(__xludf.DUMMYFUNCTION("""COMPUTED_VALUE"""),45058.0)</f>
        <v>45058</v>
      </c>
      <c r="O835" s="45">
        <f>IFERROR(__xludf.DUMMYFUNCTION("""COMPUTED_VALUE"""),45110.0)</f>
        <v>45110</v>
      </c>
      <c r="P835" s="45">
        <f>IFERROR(__xludf.DUMMYFUNCTION("""COMPUTED_VALUE"""),45156.0)</f>
        <v>45156</v>
      </c>
      <c r="Q835" s="45">
        <f>IFERROR(__xludf.DUMMYFUNCTION("""COMPUTED_VALUE"""),45110.0)</f>
        <v>45110</v>
      </c>
      <c r="R835" s="45">
        <f>IFERROR(__xludf.DUMMYFUNCTION("""COMPUTED_VALUE"""),45156.0)</f>
        <v>45156</v>
      </c>
      <c r="S835" s="43"/>
      <c r="T835" s="43"/>
      <c r="U835" s="43" t="str">
        <f>IFERROR(__xludf.DUMMYFUNCTION("""COMPUTED_VALUE"""),"Global Classroom")</f>
        <v>Global Classroom</v>
      </c>
      <c r="V835" s="43" t="str">
        <f>IFERROR(__xludf.DUMMYFUNCTION("""COMPUTED_VALUE"""),"ESPRIT El Ghazela ")</f>
        <v>ESPRIT El Ghazela </v>
      </c>
      <c r="W835" s="43" t="str">
        <f>IFERROR(__xludf.DUMMYFUNCTION("""COMPUTED_VALUE"""),"2023-05-11T12:12:36Z")</f>
        <v>2023-05-11T12:12:36Z</v>
      </c>
      <c r="X835" s="43"/>
      <c r="Y835" s="43"/>
      <c r="Z835" s="43"/>
    </row>
    <row r="836" hidden="1">
      <c r="A836" s="43" t="str">
        <f>IFERROR(__xludf.DUMMYFUNCTION("""COMPUTED_VALUE"""),"5258807_1292118")</f>
        <v>5258807_1292118</v>
      </c>
      <c r="B836" s="43" t="str">
        <f>IFERROR(__xludf.DUMMYFUNCTION("""COMPUTED_VALUE"""),"dagna khouni")</f>
        <v>dagna khouni</v>
      </c>
      <c r="C836" s="43" t="str">
        <f>IFERROR(__xludf.DUMMYFUNCTION("""COMPUTED_VALUE"""),"finished")</f>
        <v>finished</v>
      </c>
      <c r="D836" s="43" t="str">
        <f>IFERROR(__xludf.DUMMYFUNCTION("""COMPUTED_VALUE"""),"No")</f>
        <v>No</v>
      </c>
      <c r="E836" s="43" t="str">
        <f>IFERROR(__xludf.DUMMYFUNCTION("""COMPUTED_VALUE"""),"p_46a2fa657f7fe9b9b1d9cd686b347e415d9a5991@inbound.aiesec.org")</f>
        <v>p_46a2fa657f7fe9b9b1d9cd686b347e415d9a5991@inbound.aiesec.org</v>
      </c>
      <c r="F836" s="43"/>
      <c r="G836" s="43" t="str">
        <f>IFERROR(__xludf.DUMMYFUNCTION("""COMPUTED_VALUE"""),"Tunisia")</f>
        <v>Tunisia</v>
      </c>
      <c r="H836" s="43" t="str">
        <f>IFERROR(__xludf.DUMMYFUNCTION("""COMPUTED_VALUE"""),"Carthage")</f>
        <v>Carthage</v>
      </c>
      <c r="I836" s="43" t="str">
        <f>IFERROR(__xludf.DUMMYFUNCTION("""COMPUTED_VALUE"""),"Turkey")</f>
        <v>Turkey</v>
      </c>
      <c r="J836" s="43" t="str">
        <f>IFERROR(__xludf.DUMMYFUNCTION("""COMPUTED_VALUE"""),"KOCAELI")</f>
        <v>KOCAELI</v>
      </c>
      <c r="K836" s="44" t="str">
        <f>IFERROR(__xludf.DUMMYFUNCTION("""COMPUTED_VALUE"""),"https://expa.aiesec.org/opportunities/1292118")</f>
        <v>https://expa.aiesec.org/opportunities/1292118</v>
      </c>
      <c r="L836" s="43" t="str">
        <f>IFERROR(__xludf.DUMMYFUNCTION("""COMPUTED_VALUE"""),"GV")</f>
        <v>GV</v>
      </c>
      <c r="M836" s="43" t="str">
        <f>IFERROR(__xludf.DUMMYFUNCTION("""COMPUTED_VALUE"""),"short")</f>
        <v>short</v>
      </c>
      <c r="N836" s="45">
        <f>IFERROR(__xludf.DUMMYFUNCTION("""COMPUTED_VALUE"""),45058.0)</f>
        <v>45058</v>
      </c>
      <c r="O836" s="45">
        <f>IFERROR(__xludf.DUMMYFUNCTION("""COMPUTED_VALUE"""),45152.0)</f>
        <v>45152</v>
      </c>
      <c r="P836" s="45">
        <f>IFERROR(__xludf.DUMMYFUNCTION("""COMPUTED_VALUE"""),45194.0)</f>
        <v>45194</v>
      </c>
      <c r="Q836" s="45">
        <f>IFERROR(__xludf.DUMMYFUNCTION("""COMPUTED_VALUE"""),45153.0)</f>
        <v>45153</v>
      </c>
      <c r="R836" s="45">
        <f>IFERROR(__xludf.DUMMYFUNCTION("""COMPUTED_VALUE"""),45194.0)</f>
        <v>45194</v>
      </c>
      <c r="S836" s="43"/>
      <c r="T836" s="43"/>
      <c r="U836" s="43" t="str">
        <f>IFERROR(__xludf.DUMMYFUNCTION("""COMPUTED_VALUE"""),"Global Classroom")</f>
        <v>Global Classroom</v>
      </c>
      <c r="V836" s="43" t="str">
        <f>IFERROR(__xludf.DUMMYFUNCTION("""COMPUTED_VALUE"""),"-")</f>
        <v>-</v>
      </c>
      <c r="W836" s="43" t="str">
        <f>IFERROR(__xludf.DUMMYFUNCTION("""COMPUTED_VALUE"""),"2023-05-10T10:52:30Z")</f>
        <v>2023-05-10T10:52:30Z</v>
      </c>
      <c r="X836" s="43"/>
      <c r="Y836" s="43"/>
      <c r="Z836" s="43"/>
    </row>
    <row r="837" hidden="1">
      <c r="A837" s="43" t="str">
        <f>IFERROR(__xludf.DUMMYFUNCTION("""COMPUTED_VALUE"""),"5218463_1294972")</f>
        <v>5218463_1294972</v>
      </c>
      <c r="B837" s="43" t="str">
        <f>IFERROR(__xludf.DUMMYFUNCTION("""COMPUTED_VALUE"""),"Zeina Ahmed")</f>
        <v>Zeina Ahmed</v>
      </c>
      <c r="C837" s="43" t="str">
        <f>IFERROR(__xludf.DUMMYFUNCTION("""COMPUTED_VALUE"""),"completed")</f>
        <v>completed</v>
      </c>
      <c r="D837" s="43" t="str">
        <f>IFERROR(__xludf.DUMMYFUNCTION("""COMPUTED_VALUE"""),"No")</f>
        <v>No</v>
      </c>
      <c r="E837" s="43" t="str">
        <f>IFERROR(__xludf.DUMMYFUNCTION("""COMPUTED_VALUE"""),"p_3c1e14b60ffd64d143e95d13978209b27ab7b4b3@inbound.aiesec.org")</f>
        <v>p_3c1e14b60ffd64d143e95d13978209b27ab7b4b3@inbound.aiesec.org</v>
      </c>
      <c r="F837" s="43">
        <f>IFERROR(__xludf.DUMMYFUNCTION("""COMPUTED_VALUE"""),1.02555322E9)</f>
        <v>1025553220</v>
      </c>
      <c r="G837" s="43" t="str">
        <f>IFERROR(__xludf.DUMMYFUNCTION("""COMPUTED_VALUE"""),"Egypt")</f>
        <v>Egypt</v>
      </c>
      <c r="H837" s="43" t="str">
        <f>IFERROR(__xludf.DUMMYFUNCTION("""COMPUTED_VALUE"""),"MIU")</f>
        <v>MIU</v>
      </c>
      <c r="I837" s="43" t="str">
        <f>IFERROR(__xludf.DUMMYFUNCTION("""COMPUTED_VALUE"""),"Turkey")</f>
        <v>Turkey</v>
      </c>
      <c r="J837" s="43" t="str">
        <f>IFERROR(__xludf.DUMMYFUNCTION("""COMPUTED_VALUE"""),"ESKISEHIR")</f>
        <v>ESKISEHIR</v>
      </c>
      <c r="K837" s="44" t="str">
        <f>IFERROR(__xludf.DUMMYFUNCTION("""COMPUTED_VALUE"""),"https://expa.aiesec.org/opportunities/1294972")</f>
        <v>https://expa.aiesec.org/opportunities/1294972</v>
      </c>
      <c r="L837" s="43" t="str">
        <f>IFERROR(__xludf.DUMMYFUNCTION("""COMPUTED_VALUE"""),"GV")</f>
        <v>GV</v>
      </c>
      <c r="M837" s="43" t="str">
        <f>IFERROR(__xludf.DUMMYFUNCTION("""COMPUTED_VALUE"""),"short")</f>
        <v>short</v>
      </c>
      <c r="N837" s="45">
        <f>IFERROR(__xludf.DUMMYFUNCTION("""COMPUTED_VALUE"""),45058.0)</f>
        <v>45058</v>
      </c>
      <c r="O837" s="45">
        <f>IFERROR(__xludf.DUMMYFUNCTION("""COMPUTED_VALUE"""),45110.0)</f>
        <v>45110</v>
      </c>
      <c r="P837" s="45">
        <f>IFERROR(__xludf.DUMMYFUNCTION("""COMPUTED_VALUE"""),45152.0)</f>
        <v>45152</v>
      </c>
      <c r="Q837" s="45">
        <f>IFERROR(__xludf.DUMMYFUNCTION("""COMPUTED_VALUE"""),45111.0)</f>
        <v>45111</v>
      </c>
      <c r="R837" s="45">
        <f>IFERROR(__xludf.DUMMYFUNCTION("""COMPUTED_VALUE"""),45152.0)</f>
        <v>45152</v>
      </c>
      <c r="S837" s="43"/>
      <c r="T837" s="43"/>
      <c r="U837" s="43" t="str">
        <f>IFERROR(__xludf.DUMMYFUNCTION("""COMPUTED_VALUE"""),"Global Classroom")</f>
        <v>Global Classroom</v>
      </c>
      <c r="V837" s="43" t="str">
        <f>IFERROR(__xludf.DUMMYFUNCTION("""COMPUTED_VALUE"""),"MIU University")</f>
        <v>MIU University</v>
      </c>
      <c r="W837" s="43" t="str">
        <f>IFERROR(__xludf.DUMMYFUNCTION("""COMPUTED_VALUE"""),"2023-03-16T13:08:05Z")</f>
        <v>2023-03-16T13:08:05Z</v>
      </c>
      <c r="X837" s="43"/>
      <c r="Y837" s="43"/>
      <c r="Z837" s="43"/>
    </row>
    <row r="838" hidden="1">
      <c r="A838" s="43" t="str">
        <f>IFERROR(__xludf.DUMMYFUNCTION("""COMPUTED_VALUE"""),"4594112_1292535")</f>
        <v>4594112_1292535</v>
      </c>
      <c r="B838" s="43" t="str">
        <f>IFERROR(__xludf.DUMMYFUNCTION("""COMPUTED_VALUE"""),"Muhammad Na'eem")</f>
        <v>Muhammad Na'eem</v>
      </c>
      <c r="C838" s="43" t="str">
        <f>IFERROR(__xludf.DUMMYFUNCTION("""COMPUTED_VALUE"""),"approved")</f>
        <v>approved</v>
      </c>
      <c r="D838" s="43" t="str">
        <f>IFERROR(__xludf.DUMMYFUNCTION("""COMPUTED_VALUE"""),"No")</f>
        <v>No</v>
      </c>
      <c r="E838" s="43" t="str">
        <f>IFERROR(__xludf.DUMMYFUNCTION("""COMPUTED_VALUE"""),"p_79fcaf38697c4d99d1883959285a6741ae7ae66f@inbound.aiesec.org")</f>
        <v>p_79fcaf38697c4d99d1883959285a6741ae7ae66f@inbound.aiesec.org</v>
      </c>
      <c r="F838" s="43">
        <f>IFERROR(__xludf.DUMMYFUNCTION("""COMPUTED_VALUE"""),1.067484169E9)</f>
        <v>1067484169</v>
      </c>
      <c r="G838" s="43" t="str">
        <f>IFERROR(__xludf.DUMMYFUNCTION("""COMPUTED_VALUE"""),"Egypt")</f>
        <v>Egypt</v>
      </c>
      <c r="H838" s="43" t="str">
        <f>IFERROR(__xludf.DUMMYFUNCTION("""COMPUTED_VALUE"""),"Suez")</f>
        <v>Suez</v>
      </c>
      <c r="I838" s="43" t="str">
        <f>IFERROR(__xludf.DUMMYFUNCTION("""COMPUTED_VALUE"""),"Turkey")</f>
        <v>Turkey</v>
      </c>
      <c r="J838" s="43" t="str">
        <f>IFERROR(__xludf.DUMMYFUNCTION("""COMPUTED_VALUE"""),"ESKISEHIR")</f>
        <v>ESKISEHIR</v>
      </c>
      <c r="K838" s="44" t="str">
        <f>IFERROR(__xludf.DUMMYFUNCTION("""COMPUTED_VALUE"""),"https://expa.aiesec.org/opportunities/1292535")</f>
        <v>https://expa.aiesec.org/opportunities/1292535</v>
      </c>
      <c r="L838" s="43" t="str">
        <f>IFERROR(__xludf.DUMMYFUNCTION("""COMPUTED_VALUE"""),"GV")</f>
        <v>GV</v>
      </c>
      <c r="M838" s="43" t="str">
        <f>IFERROR(__xludf.DUMMYFUNCTION("""COMPUTED_VALUE"""),"short")</f>
        <v>short</v>
      </c>
      <c r="N838" s="45">
        <f>IFERROR(__xludf.DUMMYFUNCTION("""COMPUTED_VALUE"""),45058.0)</f>
        <v>45058</v>
      </c>
      <c r="O838" s="45">
        <f>IFERROR(__xludf.DUMMYFUNCTION("""COMPUTED_VALUE"""),45117.0)</f>
        <v>45117</v>
      </c>
      <c r="P838" s="45">
        <f>IFERROR(__xludf.DUMMYFUNCTION("""COMPUTED_VALUE"""),45159.0)</f>
        <v>45159</v>
      </c>
      <c r="Q838" s="45"/>
      <c r="R838" s="45"/>
      <c r="S838" s="43"/>
      <c r="T838" s="43"/>
      <c r="U838" s="43" t="str">
        <f>IFERROR(__xludf.DUMMYFUNCTION("""COMPUTED_VALUE"""),"Global Classroom")</f>
        <v>Global Classroom</v>
      </c>
      <c r="V838" s="43" t="str">
        <f>IFERROR(__xludf.DUMMYFUNCTION("""COMPUTED_VALUE"""),"Suez University")</f>
        <v>Suez University</v>
      </c>
      <c r="W838" s="43" t="str">
        <f>IFERROR(__xludf.DUMMYFUNCTION("""COMPUTED_VALUE"""),"2021-03-26T00:28:06Z")</f>
        <v>2021-03-26T00:28:06Z</v>
      </c>
      <c r="X838" s="43"/>
      <c r="Y838" s="43"/>
      <c r="Z838" s="43"/>
    </row>
    <row r="839" hidden="1">
      <c r="A839" s="43" t="str">
        <f>IFERROR(__xludf.DUMMYFUNCTION("""COMPUTED_VALUE"""),"5257740_1294972")</f>
        <v>5257740_1294972</v>
      </c>
      <c r="B839" s="43" t="str">
        <f>IFERROR(__xludf.DUMMYFUNCTION("""COMPUTED_VALUE"""),"Oumeyma Ammar")</f>
        <v>Oumeyma Ammar</v>
      </c>
      <c r="C839" s="43" t="str">
        <f>IFERROR(__xludf.DUMMYFUNCTION("""COMPUTED_VALUE"""),"completed")</f>
        <v>completed</v>
      </c>
      <c r="D839" s="43" t="str">
        <f>IFERROR(__xludf.DUMMYFUNCTION("""COMPUTED_VALUE"""),"No")</f>
        <v>No</v>
      </c>
      <c r="E839" s="43" t="str">
        <f>IFERROR(__xludf.DUMMYFUNCTION("""COMPUTED_VALUE"""),"p_f988a4ddf886b0501ff514fa8c81d7cc9288e4ea@inbound.aiesec.org")</f>
        <v>p_f988a4ddf886b0501ff514fa8c81d7cc9288e4ea@inbound.aiesec.org</v>
      </c>
      <c r="F839" s="43">
        <f>IFERROR(__xludf.DUMMYFUNCTION("""COMPUTED_VALUE"""),5.3661755E7)</f>
        <v>53661755</v>
      </c>
      <c r="G839" s="43" t="str">
        <f>IFERROR(__xludf.DUMMYFUNCTION("""COMPUTED_VALUE"""),"Tunisia")</f>
        <v>Tunisia</v>
      </c>
      <c r="H839" s="43" t="str">
        <f>IFERROR(__xludf.DUMMYFUNCTION("""COMPUTED_VALUE"""),"UNIVERSITY")</f>
        <v>UNIVERSITY</v>
      </c>
      <c r="I839" s="43" t="str">
        <f>IFERROR(__xludf.DUMMYFUNCTION("""COMPUTED_VALUE"""),"Turkey")</f>
        <v>Turkey</v>
      </c>
      <c r="J839" s="43" t="str">
        <f>IFERROR(__xludf.DUMMYFUNCTION("""COMPUTED_VALUE"""),"ESKISEHIR")</f>
        <v>ESKISEHIR</v>
      </c>
      <c r="K839" s="44" t="str">
        <f>IFERROR(__xludf.DUMMYFUNCTION("""COMPUTED_VALUE"""),"https://expa.aiesec.org/opportunities/1294972")</f>
        <v>https://expa.aiesec.org/opportunities/1294972</v>
      </c>
      <c r="L839" s="43" t="str">
        <f>IFERROR(__xludf.DUMMYFUNCTION("""COMPUTED_VALUE"""),"GV")</f>
        <v>GV</v>
      </c>
      <c r="M839" s="43" t="str">
        <f>IFERROR(__xludf.DUMMYFUNCTION("""COMPUTED_VALUE"""),"short")</f>
        <v>short</v>
      </c>
      <c r="N839" s="45">
        <f>IFERROR(__xludf.DUMMYFUNCTION("""COMPUTED_VALUE"""),45058.0)</f>
        <v>45058</v>
      </c>
      <c r="O839" s="45">
        <f>IFERROR(__xludf.DUMMYFUNCTION("""COMPUTED_VALUE"""),45110.0)</f>
        <v>45110</v>
      </c>
      <c r="P839" s="45">
        <f>IFERROR(__xludf.DUMMYFUNCTION("""COMPUTED_VALUE"""),45152.0)</f>
        <v>45152</v>
      </c>
      <c r="Q839" s="45">
        <f>IFERROR(__xludf.DUMMYFUNCTION("""COMPUTED_VALUE"""),45109.0)</f>
        <v>45109</v>
      </c>
      <c r="R839" s="45">
        <f>IFERROR(__xludf.DUMMYFUNCTION("""COMPUTED_VALUE"""),45152.0)</f>
        <v>45152</v>
      </c>
      <c r="S839" s="43"/>
      <c r="T839" s="43"/>
      <c r="U839" s="43" t="str">
        <f>IFERROR(__xludf.DUMMYFUNCTION("""COMPUTED_VALUE"""),"Global Classroom")</f>
        <v>Global Classroom</v>
      </c>
      <c r="V839" s="43" t="str">
        <f>IFERROR(__xludf.DUMMYFUNCTION("""COMPUTED_VALUE"""),"ISI Tunis")</f>
        <v>ISI Tunis</v>
      </c>
      <c r="W839" s="43" t="str">
        <f>IFERROR(__xludf.DUMMYFUNCTION("""COMPUTED_VALUE"""),"2023-05-08T15:26:37Z")</f>
        <v>2023-05-08T15:26:37Z</v>
      </c>
      <c r="X839" s="43"/>
      <c r="Y839" s="43"/>
      <c r="Z839" s="43"/>
    </row>
    <row r="840">
      <c r="A840" s="43" t="str">
        <f>IFERROR(__xludf.DUMMYFUNCTION("""COMPUTED_VALUE"""),"5045957_1272564")</f>
        <v>5045957_1272564</v>
      </c>
      <c r="B840" s="43" t="str">
        <f>IFERROR(__xludf.DUMMYFUNCTION("""COMPUTED_VALUE"""),"Hermela Engida")</f>
        <v>Hermela Engida</v>
      </c>
      <c r="C840" s="43" t="str">
        <f>IFERROR(__xludf.DUMMYFUNCTION("""COMPUTED_VALUE"""),"approved")</f>
        <v>approved</v>
      </c>
      <c r="D840" s="43" t="str">
        <f>IFERROR(__xludf.DUMMYFUNCTION("""COMPUTED_VALUE"""),"No")</f>
        <v>No</v>
      </c>
      <c r="E840" s="43" t="str">
        <f>IFERROR(__xludf.DUMMYFUNCTION("""COMPUTED_VALUE"""),"p_5a69ec9641be02d35c29d3f5b97d225149f280c1@inbound.aiesec.org")</f>
        <v>p_5a69ec9641be02d35c29d3f5b97d225149f280c1@inbound.aiesec.org</v>
      </c>
      <c r="F840" s="43">
        <f>IFERROR(__xludf.DUMMYFUNCTION("""COMPUTED_VALUE"""),5.81549845E8)</f>
        <v>581549845</v>
      </c>
      <c r="G840" s="43" t="str">
        <f>IFERROR(__xludf.DUMMYFUNCTION("""COMPUTED_VALUE"""),"United Arab Emirates")</f>
        <v>United Arab Emirates</v>
      </c>
      <c r="H840" s="43" t="str">
        <f>IFERROR(__xludf.DUMMYFUNCTION("""COMPUTED_VALUE"""),"Dubai")</f>
        <v>Dubai</v>
      </c>
      <c r="I840" s="43" t="str">
        <f>IFERROR(__xludf.DUMMYFUNCTION("""COMPUTED_VALUE"""),"Turkey")</f>
        <v>Turkey</v>
      </c>
      <c r="J840" s="43" t="str">
        <f>IFERROR(__xludf.DUMMYFUNCTION("""COMPUTED_VALUE"""),"ISTANBUL")</f>
        <v>ISTANBUL</v>
      </c>
      <c r="K840" s="44" t="str">
        <f>IFERROR(__xludf.DUMMYFUNCTION("""COMPUTED_VALUE"""),"https://expa.aiesec.org/opportunities/1272564")</f>
        <v>https://expa.aiesec.org/opportunities/1272564</v>
      </c>
      <c r="L840" s="43" t="str">
        <f>IFERROR(__xludf.DUMMYFUNCTION("""COMPUTED_VALUE"""),"GV")</f>
        <v>GV</v>
      </c>
      <c r="M840" s="43" t="str">
        <f>IFERROR(__xludf.DUMMYFUNCTION("""COMPUTED_VALUE"""),"short")</f>
        <v>short</v>
      </c>
      <c r="N840" s="45">
        <f>IFERROR(__xludf.DUMMYFUNCTION("""COMPUTED_VALUE"""),45058.0)</f>
        <v>45058</v>
      </c>
      <c r="O840" s="45">
        <f>IFERROR(__xludf.DUMMYFUNCTION("""COMPUTED_VALUE"""),45084.0)</f>
        <v>45084</v>
      </c>
      <c r="P840" s="45">
        <f>IFERROR(__xludf.DUMMYFUNCTION("""COMPUTED_VALUE"""),45126.0)</f>
        <v>45126</v>
      </c>
      <c r="Q840" s="45"/>
      <c r="R840" s="45"/>
      <c r="S840" s="43"/>
      <c r="T840" s="43"/>
      <c r="U840" s="43" t="str">
        <f>IFERROR(__xludf.DUMMYFUNCTION("""COMPUTED_VALUE"""),"Global Classroom")</f>
        <v>Global Classroom</v>
      </c>
      <c r="V840" s="43" t="str">
        <f>IFERROR(__xludf.DUMMYFUNCTION("""COMPUTED_VALUE"""),"Heriot-Watt Dubai Campus")</f>
        <v>Heriot-Watt Dubai Campus</v>
      </c>
      <c r="W840" s="43" t="str">
        <f>IFERROR(__xludf.DUMMYFUNCTION("""COMPUTED_VALUE"""),"2022-04-25T19:39:34Z")</f>
        <v>2022-04-25T19:39:34Z</v>
      </c>
      <c r="X840" s="43"/>
      <c r="Y840" s="43"/>
      <c r="Z840" s="43"/>
    </row>
    <row r="841">
      <c r="A841" s="43" t="str">
        <f>IFERROR(__xludf.DUMMYFUNCTION("""COMPUTED_VALUE"""),"4856862_1289536")</f>
        <v>4856862_1289536</v>
      </c>
      <c r="B841" s="43" t="str">
        <f>IFERROR(__xludf.DUMMYFUNCTION("""COMPUTED_VALUE"""),"Hana Engida")</f>
        <v>Hana Engida</v>
      </c>
      <c r="C841" s="43" t="str">
        <f>IFERROR(__xludf.DUMMYFUNCTION("""COMPUTED_VALUE"""),"approved")</f>
        <v>approved</v>
      </c>
      <c r="D841" s="43" t="str">
        <f>IFERROR(__xludf.DUMMYFUNCTION("""COMPUTED_VALUE"""),"No")</f>
        <v>No</v>
      </c>
      <c r="E841" s="43" t="str">
        <f>IFERROR(__xludf.DUMMYFUNCTION("""COMPUTED_VALUE"""),"p_ebb3d6fcd5198ae63c57be8fb015564c5dfbcde8@inbound.aiesec.org")</f>
        <v>p_ebb3d6fcd5198ae63c57be8fb015564c5dfbcde8@inbound.aiesec.org</v>
      </c>
      <c r="F841" s="43">
        <f>IFERROR(__xludf.DUMMYFUNCTION("""COMPUTED_VALUE"""),5.62620492E8)</f>
        <v>562620492</v>
      </c>
      <c r="G841" s="43" t="str">
        <f>IFERROR(__xludf.DUMMYFUNCTION("""COMPUTED_VALUE"""),"United Arab Emirates")</f>
        <v>United Arab Emirates</v>
      </c>
      <c r="H841" s="43" t="str">
        <f>IFERROR(__xludf.DUMMYFUNCTION("""COMPUTED_VALUE"""),"Dubai")</f>
        <v>Dubai</v>
      </c>
      <c r="I841" s="43" t="str">
        <f>IFERROR(__xludf.DUMMYFUNCTION("""COMPUTED_VALUE"""),"Turkey")</f>
        <v>Turkey</v>
      </c>
      <c r="J841" s="43" t="str">
        <f>IFERROR(__xludf.DUMMYFUNCTION("""COMPUTED_VALUE"""),"ISTANBUL")</f>
        <v>ISTANBUL</v>
      </c>
      <c r="K841" s="44" t="str">
        <f>IFERROR(__xludf.DUMMYFUNCTION("""COMPUTED_VALUE"""),"https://expa.aiesec.org/opportunities/1289536")</f>
        <v>https://expa.aiesec.org/opportunities/1289536</v>
      </c>
      <c r="L841" s="43" t="str">
        <f>IFERROR(__xludf.DUMMYFUNCTION("""COMPUTED_VALUE"""),"GV")</f>
        <v>GV</v>
      </c>
      <c r="M841" s="43" t="str">
        <f>IFERROR(__xludf.DUMMYFUNCTION("""COMPUTED_VALUE"""),"short")</f>
        <v>short</v>
      </c>
      <c r="N841" s="45">
        <f>IFERROR(__xludf.DUMMYFUNCTION("""COMPUTED_VALUE"""),45058.0)</f>
        <v>45058</v>
      </c>
      <c r="O841" s="45">
        <f>IFERROR(__xludf.DUMMYFUNCTION("""COMPUTED_VALUE"""),45090.0)</f>
        <v>45090</v>
      </c>
      <c r="P841" s="45">
        <f>IFERROR(__xludf.DUMMYFUNCTION("""COMPUTED_VALUE"""),45132.0)</f>
        <v>45132</v>
      </c>
      <c r="Q841" s="45"/>
      <c r="R841" s="45"/>
      <c r="S841" s="43"/>
      <c r="T841" s="43"/>
      <c r="U841" s="43" t="str">
        <f>IFERROR(__xludf.DUMMYFUNCTION("""COMPUTED_VALUE"""),"Global Classroom")</f>
        <v>Global Classroom</v>
      </c>
      <c r="V841" s="43" t="str">
        <f>IFERROR(__xludf.DUMMYFUNCTION("""COMPUTED_VALUE"""),"Heriot-Watt Dubai Campus")</f>
        <v>Heriot-Watt Dubai Campus</v>
      </c>
      <c r="W841" s="43" t="str">
        <f>IFERROR(__xludf.DUMMYFUNCTION("""COMPUTED_VALUE"""),"2021-12-26T15:09:19Z")</f>
        <v>2021-12-26T15:09:19Z</v>
      </c>
      <c r="X841" s="43"/>
      <c r="Y841" s="43"/>
      <c r="Z841" s="43"/>
    </row>
    <row r="842" hidden="1">
      <c r="A842" s="43" t="str">
        <f>IFERROR(__xludf.DUMMYFUNCTION("""COMPUTED_VALUE"""),"5163054_1284976")</f>
        <v>5163054_1284976</v>
      </c>
      <c r="B842" s="43" t="str">
        <f>IFERROR(__xludf.DUMMYFUNCTION("""COMPUTED_VALUE"""),"Teresa Cucca")</f>
        <v>Teresa Cucca</v>
      </c>
      <c r="C842" s="43" t="str">
        <f>IFERROR(__xludf.DUMMYFUNCTION("""COMPUTED_VALUE"""),"finished")</f>
        <v>finished</v>
      </c>
      <c r="D842" s="43" t="str">
        <f>IFERROR(__xludf.DUMMYFUNCTION("""COMPUTED_VALUE"""),"No")</f>
        <v>No</v>
      </c>
      <c r="E842" s="43" t="str">
        <f>IFERROR(__xludf.DUMMYFUNCTION("""COMPUTED_VALUE"""),"p_96ce4fd6453610578d52695bfb42dcb729758deb@inbound.aiesec.org")</f>
        <v>p_96ce4fd6453610578d52695bfb42dcb729758deb@inbound.aiesec.org</v>
      </c>
      <c r="F842" s="43"/>
      <c r="G842" s="43" t="str">
        <f>IFERROR(__xludf.DUMMYFUNCTION("""COMPUTED_VALUE"""),"Italy")</f>
        <v>Italy</v>
      </c>
      <c r="H842" s="43" t="str">
        <f>IFERROR(__xludf.DUMMYFUNCTION("""COMPUTED_VALUE"""),"Padova")</f>
        <v>Padova</v>
      </c>
      <c r="I842" s="43" t="str">
        <f>IFERROR(__xludf.DUMMYFUNCTION("""COMPUTED_VALUE"""),"Turkey")</f>
        <v>Turkey</v>
      </c>
      <c r="J842" s="43" t="str">
        <f>IFERROR(__xludf.DUMMYFUNCTION("""COMPUTED_VALUE"""),"ISPARTA")</f>
        <v>ISPARTA</v>
      </c>
      <c r="K842" s="44" t="str">
        <f>IFERROR(__xludf.DUMMYFUNCTION("""COMPUTED_VALUE"""),"https://expa.aiesec.org/opportunities/1284976")</f>
        <v>https://expa.aiesec.org/opportunities/1284976</v>
      </c>
      <c r="L842" s="43" t="str">
        <f>IFERROR(__xludf.DUMMYFUNCTION("""COMPUTED_VALUE"""),"GV")</f>
        <v>GV</v>
      </c>
      <c r="M842" s="43" t="str">
        <f>IFERROR(__xludf.DUMMYFUNCTION("""COMPUTED_VALUE"""),"short")</f>
        <v>short</v>
      </c>
      <c r="N842" s="45">
        <f>IFERROR(__xludf.DUMMYFUNCTION("""COMPUTED_VALUE"""),45059.0)</f>
        <v>45059</v>
      </c>
      <c r="O842" s="45">
        <f>IFERROR(__xludf.DUMMYFUNCTION("""COMPUTED_VALUE"""),45124.0)</f>
        <v>45124</v>
      </c>
      <c r="P842" s="45">
        <f>IFERROR(__xludf.DUMMYFUNCTION("""COMPUTED_VALUE"""),45166.0)</f>
        <v>45166</v>
      </c>
      <c r="Q842" s="45">
        <f>IFERROR(__xludf.DUMMYFUNCTION("""COMPUTED_VALUE"""),45125.0)</f>
        <v>45125</v>
      </c>
      <c r="R842" s="45">
        <f>IFERROR(__xludf.DUMMYFUNCTION("""COMPUTED_VALUE"""),45167.0)</f>
        <v>45167</v>
      </c>
      <c r="S842" s="43"/>
      <c r="T842" s="43"/>
      <c r="U842" s="43" t="str">
        <f>IFERROR(__xludf.DUMMYFUNCTION("""COMPUTED_VALUE"""),"Youth 4 Impact")</f>
        <v>Youth 4 Impact</v>
      </c>
      <c r="V842" s="43" t="str">
        <f>IFERROR(__xludf.DUMMYFUNCTION("""COMPUTED_VALUE"""),"-")</f>
        <v>-</v>
      </c>
      <c r="W842" s="43" t="str">
        <f>IFERROR(__xludf.DUMMYFUNCTION("""COMPUTED_VALUE"""),"2022-12-05T23:08:05Z")</f>
        <v>2022-12-05T23:08:05Z</v>
      </c>
      <c r="X842" s="43"/>
      <c r="Y842" s="43"/>
      <c r="Z842" s="43"/>
    </row>
    <row r="843">
      <c r="A843" s="43" t="str">
        <f>IFERROR(__xludf.DUMMYFUNCTION("""COMPUTED_VALUE"""),"1622511_1291634")</f>
        <v>1622511_1291634</v>
      </c>
      <c r="B843" s="43" t="str">
        <f>IFERROR(__xludf.DUMMYFUNCTION("""COMPUTED_VALUE"""),"Usama Farooq")</f>
        <v>Usama Farooq</v>
      </c>
      <c r="C843" s="43" t="str">
        <f>IFERROR(__xludf.DUMMYFUNCTION("""COMPUTED_VALUE"""),"approved")</f>
        <v>approved</v>
      </c>
      <c r="D843" s="43" t="str">
        <f>IFERROR(__xludf.DUMMYFUNCTION("""COMPUTED_VALUE"""),"No")</f>
        <v>No</v>
      </c>
      <c r="E843" s="43" t="str">
        <f>IFERROR(__xludf.DUMMYFUNCTION("""COMPUTED_VALUE"""),"p_938f977bbfcc7458994fb121fa8e57890c8f58a6@inbound.aiesec.org")</f>
        <v>p_938f977bbfcc7458994fb121fa8e57890c8f58a6@inbound.aiesec.org</v>
      </c>
      <c r="F843" s="43">
        <f>IFERROR(__xludf.DUMMYFUNCTION("""COMPUTED_VALUE"""),3.024733534E9)</f>
        <v>3024733534</v>
      </c>
      <c r="G843" s="43" t="str">
        <f>IFERROR(__xludf.DUMMYFUNCTION("""COMPUTED_VALUE"""),"Pakistan")</f>
        <v>Pakistan</v>
      </c>
      <c r="H843" s="43" t="str">
        <f>IFERROR(__xludf.DUMMYFUNCTION("""COMPUTED_VALUE"""),"Islamabad")</f>
        <v>Islamabad</v>
      </c>
      <c r="I843" s="43" t="str">
        <f>IFERROR(__xludf.DUMMYFUNCTION("""COMPUTED_VALUE"""),"Turkey")</f>
        <v>Turkey</v>
      </c>
      <c r="J843" s="43" t="str">
        <f>IFERROR(__xludf.DUMMYFUNCTION("""COMPUTED_VALUE"""),"İZMİR")</f>
        <v>İZMİR</v>
      </c>
      <c r="K843" s="44" t="str">
        <f>IFERROR(__xludf.DUMMYFUNCTION("""COMPUTED_VALUE"""),"https://expa.aiesec.org/opportunities/1291634")</f>
        <v>https://expa.aiesec.org/opportunities/1291634</v>
      </c>
      <c r="L843" s="43" t="str">
        <f>IFERROR(__xludf.DUMMYFUNCTION("""COMPUTED_VALUE"""),"GV")</f>
        <v>GV</v>
      </c>
      <c r="M843" s="43" t="str">
        <f>IFERROR(__xludf.DUMMYFUNCTION("""COMPUTED_VALUE"""),"short")</f>
        <v>short</v>
      </c>
      <c r="N843" s="45">
        <f>IFERROR(__xludf.DUMMYFUNCTION("""COMPUTED_VALUE"""),45060.0)</f>
        <v>45060</v>
      </c>
      <c r="O843" s="45">
        <f>IFERROR(__xludf.DUMMYFUNCTION("""COMPUTED_VALUE"""),45068.0)</f>
        <v>45068</v>
      </c>
      <c r="P843" s="45">
        <f>IFERROR(__xludf.DUMMYFUNCTION("""COMPUTED_VALUE"""),45110.0)</f>
        <v>45110</v>
      </c>
      <c r="Q843" s="45"/>
      <c r="R843" s="45"/>
      <c r="S843" s="43"/>
      <c r="T843" s="43"/>
      <c r="U843" s="43" t="str">
        <f>IFERROR(__xludf.DUMMYFUNCTION("""COMPUTED_VALUE"""),"Fingerprint")</f>
        <v>Fingerprint</v>
      </c>
      <c r="V843" s="43" t="str">
        <f>IFERROR(__xludf.DUMMYFUNCTION("""COMPUTED_VALUE"""),"-")</f>
        <v>-</v>
      </c>
      <c r="W843" s="43" t="str">
        <f>IFERROR(__xludf.DUMMYFUNCTION("""COMPUTED_VALUE"""),"2017-06-17T10:03:55Z")</f>
        <v>2017-06-17T10:03:55Z</v>
      </c>
      <c r="X843" s="43"/>
      <c r="Y843" s="43"/>
      <c r="Z843" s="43"/>
    </row>
    <row r="844" hidden="1">
      <c r="A844" s="43" t="str">
        <f>IFERROR(__xludf.DUMMYFUNCTION("""COMPUTED_VALUE"""),"5229920_1294622")</f>
        <v>5229920_1294622</v>
      </c>
      <c r="B844" s="43" t="str">
        <f>IFERROR(__xludf.DUMMYFUNCTION("""COMPUTED_VALUE"""),"Javeria Zulfiqar FastNU")</f>
        <v>Javeria Zulfiqar FastNU</v>
      </c>
      <c r="C844" s="43" t="str">
        <f>IFERROR(__xludf.DUMMYFUNCTION("""COMPUTED_VALUE"""),"approved")</f>
        <v>approved</v>
      </c>
      <c r="D844" s="43" t="str">
        <f>IFERROR(__xludf.DUMMYFUNCTION("""COMPUTED_VALUE"""),"No")</f>
        <v>No</v>
      </c>
      <c r="E844" s="43" t="str">
        <f>IFERROR(__xludf.DUMMYFUNCTION("""COMPUTED_VALUE"""),"p_00f893bb6e1c85f4cc598009a84a670d7df62702@inbound.aiesec.org")</f>
        <v>p_00f893bb6e1c85f4cc598009a84a670d7df62702@inbound.aiesec.org</v>
      </c>
      <c r="F844" s="43"/>
      <c r="G844" s="43" t="str">
        <f>IFERROR(__xludf.DUMMYFUNCTION("""COMPUTED_VALUE"""),"Pakistan")</f>
        <v>Pakistan</v>
      </c>
      <c r="H844" s="43" t="str">
        <f>IFERROR(__xludf.DUMMYFUNCTION("""COMPUTED_VALUE"""),"Lahore - Pak")</f>
        <v>Lahore - Pak</v>
      </c>
      <c r="I844" s="43" t="str">
        <f>IFERROR(__xludf.DUMMYFUNCTION("""COMPUTED_VALUE"""),"Turkey")</f>
        <v>Turkey</v>
      </c>
      <c r="J844" s="43" t="str">
        <f>IFERROR(__xludf.DUMMYFUNCTION("""COMPUTED_VALUE"""),"ADANA")</f>
        <v>ADANA</v>
      </c>
      <c r="K844" s="44" t="str">
        <f>IFERROR(__xludf.DUMMYFUNCTION("""COMPUTED_VALUE"""),"https://expa.aiesec.org/opportunities/1294622")</f>
        <v>https://expa.aiesec.org/opportunities/1294622</v>
      </c>
      <c r="L844" s="43" t="str">
        <f>IFERROR(__xludf.DUMMYFUNCTION("""COMPUTED_VALUE"""),"GV")</f>
        <v>GV</v>
      </c>
      <c r="M844" s="43" t="str">
        <f>IFERROR(__xludf.DUMMYFUNCTION("""COMPUTED_VALUE"""),"short")</f>
        <v>short</v>
      </c>
      <c r="N844" s="45">
        <f>IFERROR(__xludf.DUMMYFUNCTION("""COMPUTED_VALUE"""),45060.0)</f>
        <v>45060</v>
      </c>
      <c r="O844" s="45">
        <f>IFERROR(__xludf.DUMMYFUNCTION("""COMPUTED_VALUE"""),45194.0)</f>
        <v>45194</v>
      </c>
      <c r="P844" s="45">
        <f>IFERROR(__xludf.DUMMYFUNCTION("""COMPUTED_VALUE"""),45240.0)</f>
        <v>45240</v>
      </c>
      <c r="Q844" s="45"/>
      <c r="R844" s="45"/>
      <c r="S844" s="43"/>
      <c r="T844" s="43"/>
      <c r="U844" s="43" t="str">
        <f>IFERROR(__xludf.DUMMYFUNCTION("""COMPUTED_VALUE"""),"Equify")</f>
        <v>Equify</v>
      </c>
      <c r="V844" s="43" t="str">
        <f>IFERROR(__xludf.DUMMYFUNCTION("""COMPUTED_VALUE"""),"-")</f>
        <v>-</v>
      </c>
      <c r="W844" s="43" t="str">
        <f>IFERROR(__xludf.DUMMYFUNCTION("""COMPUTED_VALUE"""),"2023-03-29T10:52:39Z")</f>
        <v>2023-03-29T10:52:39Z</v>
      </c>
      <c r="X844" s="43"/>
      <c r="Y844" s="43"/>
      <c r="Z844" s="43"/>
    </row>
    <row r="845" hidden="1">
      <c r="A845" s="43" t="str">
        <f>IFERROR(__xludf.DUMMYFUNCTION("""COMPUTED_VALUE"""),"5253123_1288663")</f>
        <v>5253123_1288663</v>
      </c>
      <c r="B845" s="43" t="str">
        <f>IFERROR(__xludf.DUMMYFUNCTION("""COMPUTED_VALUE"""),"Aigerim MARKIBAY")</f>
        <v>Aigerim MARKIBAY</v>
      </c>
      <c r="C845" s="43" t="str">
        <f>IFERROR(__xludf.DUMMYFUNCTION("""COMPUTED_VALUE"""),"approved")</f>
        <v>approved</v>
      </c>
      <c r="D845" s="43" t="str">
        <f>IFERROR(__xludf.DUMMYFUNCTION("""COMPUTED_VALUE"""),"No")</f>
        <v>No</v>
      </c>
      <c r="E845" s="43" t="str">
        <f>IFERROR(__xludf.DUMMYFUNCTION("""COMPUTED_VALUE"""),"p_c5f746d2753eacc3d64454348924a94e279f4b45@inbound.aiesec.org")</f>
        <v>p_c5f746d2753eacc3d64454348924a94e279f4b45@inbound.aiesec.org</v>
      </c>
      <c r="F845" s="43">
        <f>IFERROR(__xludf.DUMMYFUNCTION("""COMPUTED_VALUE"""),7.054868633E9)</f>
        <v>7054868633</v>
      </c>
      <c r="G845" s="43" t="str">
        <f>IFERROR(__xludf.DUMMYFUNCTION("""COMPUTED_VALUE"""),"Kazakhstan")</f>
        <v>Kazakhstan</v>
      </c>
      <c r="H845" s="43" t="str">
        <f>IFERROR(__xludf.DUMMYFUNCTION("""COMPUTED_VALUE"""),"ALMATY")</f>
        <v>ALMATY</v>
      </c>
      <c r="I845" s="43" t="str">
        <f>IFERROR(__xludf.DUMMYFUNCTION("""COMPUTED_VALUE"""),"Turkey")</f>
        <v>Turkey</v>
      </c>
      <c r="J845" s="43" t="str">
        <f>IFERROR(__xludf.DUMMYFUNCTION("""COMPUTED_VALUE"""),"İZMİR")</f>
        <v>İZMİR</v>
      </c>
      <c r="K845" s="44" t="str">
        <f>IFERROR(__xludf.DUMMYFUNCTION("""COMPUTED_VALUE"""),"https://expa.aiesec.org/opportunities/1288663")</f>
        <v>https://expa.aiesec.org/opportunities/1288663</v>
      </c>
      <c r="L845" s="43" t="str">
        <f>IFERROR(__xludf.DUMMYFUNCTION("""COMPUTED_VALUE"""),"GV")</f>
        <v>GV</v>
      </c>
      <c r="M845" s="43" t="str">
        <f>IFERROR(__xludf.DUMMYFUNCTION("""COMPUTED_VALUE"""),"short")</f>
        <v>short</v>
      </c>
      <c r="N845" s="45">
        <f>IFERROR(__xludf.DUMMYFUNCTION("""COMPUTED_VALUE"""),45060.0)</f>
        <v>45060</v>
      </c>
      <c r="O845" s="45">
        <f>IFERROR(__xludf.DUMMYFUNCTION("""COMPUTED_VALUE"""),45165.0)</f>
        <v>45165</v>
      </c>
      <c r="P845" s="45">
        <f>IFERROR(__xludf.DUMMYFUNCTION("""COMPUTED_VALUE"""),45207.0)</f>
        <v>45207</v>
      </c>
      <c r="Q845" s="45"/>
      <c r="R845" s="45"/>
      <c r="S845" s="43"/>
      <c r="T845" s="43"/>
      <c r="U845" s="43" t="str">
        <f>IFERROR(__xludf.DUMMYFUNCTION("""COMPUTED_VALUE"""),"Global Classroom")</f>
        <v>Global Classroom</v>
      </c>
      <c r="V845" s="43" t="str">
        <f>IFERROR(__xludf.DUMMYFUNCTION("""COMPUTED_VALUE"""),"Shymkent")</f>
        <v>Shymkent</v>
      </c>
      <c r="W845" s="43" t="str">
        <f>IFERROR(__xludf.DUMMYFUNCTION("""COMPUTED_VALUE"""),"2023-04-30T13:27:31Z")</f>
        <v>2023-04-30T13:27:31Z</v>
      </c>
      <c r="X845" s="43"/>
      <c r="Y845" s="43"/>
      <c r="Z845" s="43"/>
    </row>
    <row r="846" hidden="1">
      <c r="A846" s="43" t="str">
        <f>IFERROR(__xludf.DUMMYFUNCTION("""COMPUTED_VALUE"""),"5243929_1294976")</f>
        <v>5243929_1294976</v>
      </c>
      <c r="B846" s="43" t="str">
        <f>IFERROR(__xludf.DUMMYFUNCTION("""COMPUTED_VALUE"""),"Amina Manassova")</f>
        <v>Amina Manassova</v>
      </c>
      <c r="C846" s="43" t="str">
        <f>IFERROR(__xludf.DUMMYFUNCTION("""COMPUTED_VALUE"""),"completed")</f>
        <v>completed</v>
      </c>
      <c r="D846" s="43" t="str">
        <f>IFERROR(__xludf.DUMMYFUNCTION("""COMPUTED_VALUE"""),"No")</f>
        <v>No</v>
      </c>
      <c r="E846" s="43" t="str">
        <f>IFERROR(__xludf.DUMMYFUNCTION("""COMPUTED_VALUE"""),"p_97fe96954c7a7e971377d41ecf3ad19c332f5ed1@inbound.aiesec.org")</f>
        <v>p_97fe96954c7a7e971377d41ecf3ad19c332f5ed1@inbound.aiesec.org</v>
      </c>
      <c r="F846" s="43">
        <f>IFERROR(__xludf.DUMMYFUNCTION("""COMPUTED_VALUE"""),7.474326355E9)</f>
        <v>7474326355</v>
      </c>
      <c r="G846" s="43" t="str">
        <f>IFERROR(__xludf.DUMMYFUNCTION("""COMPUTED_VALUE"""),"Kazakhstan")</f>
        <v>Kazakhstan</v>
      </c>
      <c r="H846" s="43" t="str">
        <f>IFERROR(__xludf.DUMMYFUNCTION("""COMPUTED_VALUE"""),"ALMATY")</f>
        <v>ALMATY</v>
      </c>
      <c r="I846" s="43" t="str">
        <f>IFERROR(__xludf.DUMMYFUNCTION("""COMPUTED_VALUE"""),"Turkey")</f>
        <v>Turkey</v>
      </c>
      <c r="J846" s="43" t="str">
        <f>IFERROR(__xludf.DUMMYFUNCTION("""COMPUTED_VALUE"""),"BURSA")</f>
        <v>BURSA</v>
      </c>
      <c r="K846" s="44" t="str">
        <f>IFERROR(__xludf.DUMMYFUNCTION("""COMPUTED_VALUE"""),"https://expa.aiesec.org/opportunities/1294976")</f>
        <v>https://expa.aiesec.org/opportunities/1294976</v>
      </c>
      <c r="L846" s="43" t="str">
        <f>IFERROR(__xludf.DUMMYFUNCTION("""COMPUTED_VALUE"""),"GV")</f>
        <v>GV</v>
      </c>
      <c r="M846" s="43" t="str">
        <f>IFERROR(__xludf.DUMMYFUNCTION("""COMPUTED_VALUE"""),"short")</f>
        <v>short</v>
      </c>
      <c r="N846" s="45">
        <f>IFERROR(__xludf.DUMMYFUNCTION("""COMPUTED_VALUE"""),45061.0)</f>
        <v>45061</v>
      </c>
      <c r="O846" s="45">
        <f>IFERROR(__xludf.DUMMYFUNCTION("""COMPUTED_VALUE"""),45117.0)</f>
        <v>45117</v>
      </c>
      <c r="P846" s="45">
        <f>IFERROR(__xludf.DUMMYFUNCTION("""COMPUTED_VALUE"""),45159.0)</f>
        <v>45159</v>
      </c>
      <c r="Q846" s="45">
        <f>IFERROR(__xludf.DUMMYFUNCTION("""COMPUTED_VALUE"""),45116.0)</f>
        <v>45116</v>
      </c>
      <c r="R846" s="45">
        <f>IFERROR(__xludf.DUMMYFUNCTION("""COMPUTED_VALUE"""),45159.0)</f>
        <v>45159</v>
      </c>
      <c r="S846" s="43"/>
      <c r="T846" s="43"/>
      <c r="U846" s="43" t="str">
        <f>IFERROR(__xludf.DUMMYFUNCTION("""COMPUTED_VALUE"""),"Youth 4 Impact")</f>
        <v>Youth 4 Impact</v>
      </c>
      <c r="V846" s="43" t="str">
        <f>IFERROR(__xludf.DUMMYFUNCTION("""COMPUTED_VALUE"""),"Almaty")</f>
        <v>Almaty</v>
      </c>
      <c r="W846" s="43" t="str">
        <f>IFERROR(__xludf.DUMMYFUNCTION("""COMPUTED_VALUE"""),"2023-04-17T18:06:26Z")</f>
        <v>2023-04-17T18:06:26Z</v>
      </c>
      <c r="X846" s="43"/>
      <c r="Y846" s="43"/>
      <c r="Z846" s="43"/>
    </row>
    <row r="847" hidden="1">
      <c r="A847" s="43" t="str">
        <f>IFERROR(__xludf.DUMMYFUNCTION("""COMPUTED_VALUE"""),"5254110_1291252")</f>
        <v>5254110_1291252</v>
      </c>
      <c r="B847" s="43" t="str">
        <f>IFERROR(__xludf.DUMMYFUNCTION("""COMPUTED_VALUE"""),"Sara Gurizzan")</f>
        <v>Sara Gurizzan</v>
      </c>
      <c r="C847" s="43" t="str">
        <f>IFERROR(__xludf.DUMMYFUNCTION("""COMPUTED_VALUE"""),"approved")</f>
        <v>approved</v>
      </c>
      <c r="D847" s="43" t="str">
        <f>IFERROR(__xludf.DUMMYFUNCTION("""COMPUTED_VALUE"""),"No")</f>
        <v>No</v>
      </c>
      <c r="E847" s="43" t="str">
        <f>IFERROR(__xludf.DUMMYFUNCTION("""COMPUTED_VALUE"""),"p_1d344d2dae8881797678db3c164759d651ee2cba@inbound.aiesec.org")</f>
        <v>p_1d344d2dae8881797678db3c164759d651ee2cba@inbound.aiesec.org</v>
      </c>
      <c r="F847" s="43"/>
      <c r="G847" s="43" t="str">
        <f>IFERROR(__xludf.DUMMYFUNCTION("""COMPUTED_VALUE"""),"Italy")</f>
        <v>Italy</v>
      </c>
      <c r="H847" s="43" t="str">
        <f>IFERROR(__xludf.DUMMYFUNCTION("""COMPUTED_VALUE"""),"Padova")</f>
        <v>Padova</v>
      </c>
      <c r="I847" s="43" t="str">
        <f>IFERROR(__xludf.DUMMYFUNCTION("""COMPUTED_VALUE"""),"Turkey")</f>
        <v>Turkey</v>
      </c>
      <c r="J847" s="43" t="str">
        <f>IFERROR(__xludf.DUMMYFUNCTION("""COMPUTED_VALUE"""),"KOCAELI")</f>
        <v>KOCAELI</v>
      </c>
      <c r="K847" s="44" t="str">
        <f>IFERROR(__xludf.DUMMYFUNCTION("""COMPUTED_VALUE"""),"https://expa.aiesec.org/opportunities/1291252")</f>
        <v>https://expa.aiesec.org/opportunities/1291252</v>
      </c>
      <c r="L847" s="43" t="str">
        <f>IFERROR(__xludf.DUMMYFUNCTION("""COMPUTED_VALUE"""),"GV")</f>
        <v>GV</v>
      </c>
      <c r="M847" s="43" t="str">
        <f>IFERROR(__xludf.DUMMYFUNCTION("""COMPUTED_VALUE"""),"short")</f>
        <v>short</v>
      </c>
      <c r="N847" s="45">
        <f>IFERROR(__xludf.DUMMYFUNCTION("""COMPUTED_VALUE"""),45061.0)</f>
        <v>45061</v>
      </c>
      <c r="O847" s="45">
        <f>IFERROR(__xludf.DUMMYFUNCTION("""COMPUTED_VALUE"""),45153.0)</f>
        <v>45153</v>
      </c>
      <c r="P847" s="45">
        <f>IFERROR(__xludf.DUMMYFUNCTION("""COMPUTED_VALUE"""),45195.0)</f>
        <v>45195</v>
      </c>
      <c r="Q847" s="45"/>
      <c r="R847" s="45"/>
      <c r="S847" s="43"/>
      <c r="T847" s="43"/>
      <c r="U847" s="43" t="str">
        <f>IFERROR(__xludf.DUMMYFUNCTION("""COMPUTED_VALUE"""),"Global Classroom")</f>
        <v>Global Classroom</v>
      </c>
      <c r="V847" s="43" t="str">
        <f>IFERROR(__xludf.DUMMYFUNCTION("""COMPUTED_VALUE"""),"-")</f>
        <v>-</v>
      </c>
      <c r="W847" s="43" t="str">
        <f>IFERROR(__xludf.DUMMYFUNCTION("""COMPUTED_VALUE"""),"2023-05-02T07:08:47Z")</f>
        <v>2023-05-02T07:08:47Z</v>
      </c>
      <c r="X847" s="43"/>
      <c r="Y847" s="43"/>
      <c r="Z847" s="43"/>
    </row>
    <row r="848" hidden="1">
      <c r="A848" s="43" t="str">
        <f>IFERROR(__xludf.DUMMYFUNCTION("""COMPUTED_VALUE"""),"5256224_1287851")</f>
        <v>5256224_1287851</v>
      </c>
      <c r="B848" s="43" t="str">
        <f>IFERROR(__xludf.DUMMYFUNCTION("""COMPUTED_VALUE"""),"Marko Stojakovic")</f>
        <v>Marko Stojakovic</v>
      </c>
      <c r="C848" s="43" t="str">
        <f>IFERROR(__xludf.DUMMYFUNCTION("""COMPUTED_VALUE"""),"approved")</f>
        <v>approved</v>
      </c>
      <c r="D848" s="43" t="str">
        <f>IFERROR(__xludf.DUMMYFUNCTION("""COMPUTED_VALUE"""),"No")</f>
        <v>No</v>
      </c>
      <c r="E848" s="43" t="str">
        <f>IFERROR(__xludf.DUMMYFUNCTION("""COMPUTED_VALUE"""),"p_8dc597782ab23afd87d1f601f31f4ac3f02bd525@inbound.aiesec.org")</f>
        <v>p_8dc597782ab23afd87d1f601f31f4ac3f02bd525@inbound.aiesec.org</v>
      </c>
      <c r="F848" s="43">
        <f>IFERROR(__xludf.DUMMYFUNCTION("""COMPUTED_VALUE"""),6.28366858E8)</f>
        <v>628366858</v>
      </c>
      <c r="G848" s="43" t="str">
        <f>IFERROR(__xludf.DUMMYFUNCTION("""COMPUTED_VALUE"""),"Serbia")</f>
        <v>Serbia</v>
      </c>
      <c r="H848" s="43" t="str">
        <f>IFERROR(__xludf.DUMMYFUNCTION("""COMPUTED_VALUE"""),"NOVI SAD")</f>
        <v>NOVI SAD</v>
      </c>
      <c r="I848" s="43" t="str">
        <f>IFERROR(__xludf.DUMMYFUNCTION("""COMPUTED_VALUE"""),"Turkey")</f>
        <v>Turkey</v>
      </c>
      <c r="J848" s="43" t="str">
        <f>IFERROR(__xludf.DUMMYFUNCTION("""COMPUTED_VALUE"""),"KOCAELI")</f>
        <v>KOCAELI</v>
      </c>
      <c r="K848" s="44" t="str">
        <f>IFERROR(__xludf.DUMMYFUNCTION("""COMPUTED_VALUE"""),"https://expa.aiesec.org/opportunities/1287851")</f>
        <v>https://expa.aiesec.org/opportunities/1287851</v>
      </c>
      <c r="L848" s="43" t="str">
        <f>IFERROR(__xludf.DUMMYFUNCTION("""COMPUTED_VALUE"""),"GV")</f>
        <v>GV</v>
      </c>
      <c r="M848" s="43" t="str">
        <f>IFERROR(__xludf.DUMMYFUNCTION("""COMPUTED_VALUE"""),"short")</f>
        <v>short</v>
      </c>
      <c r="N848" s="45">
        <f>IFERROR(__xludf.DUMMYFUNCTION("""COMPUTED_VALUE"""),45061.0)</f>
        <v>45061</v>
      </c>
      <c r="O848" s="45">
        <f>IFERROR(__xludf.DUMMYFUNCTION("""COMPUTED_VALUE"""),45180.0)</f>
        <v>45180</v>
      </c>
      <c r="P848" s="45">
        <f>IFERROR(__xludf.DUMMYFUNCTION("""COMPUTED_VALUE"""),45222.0)</f>
        <v>45222</v>
      </c>
      <c r="Q848" s="45"/>
      <c r="R848" s="45"/>
      <c r="S848" s="43"/>
      <c r="T848" s="43"/>
      <c r="U848" s="43" t="str">
        <f>IFERROR(__xludf.DUMMYFUNCTION("""COMPUTED_VALUE"""),"Heartbeat")</f>
        <v>Heartbeat</v>
      </c>
      <c r="V848" s="43" t="str">
        <f>IFERROR(__xludf.DUMMYFUNCTION("""COMPUTED_VALUE"""),"Novi Sad")</f>
        <v>Novi Sad</v>
      </c>
      <c r="W848" s="43" t="str">
        <f>IFERROR(__xludf.DUMMYFUNCTION("""COMPUTED_VALUE"""),"2023-05-05T09:27:14Z")</f>
        <v>2023-05-05T09:27:14Z</v>
      </c>
      <c r="X848" s="43"/>
      <c r="Y848" s="43"/>
      <c r="Z848" s="43"/>
    </row>
    <row r="849" hidden="1">
      <c r="A849" s="43" t="str">
        <f>IFERROR(__xludf.DUMMYFUNCTION("""COMPUTED_VALUE"""),"5257789_1284476")</f>
        <v>5257789_1284476</v>
      </c>
      <c r="B849" s="43" t="str">
        <f>IFERROR(__xludf.DUMMYFUNCTION("""COMPUTED_VALUE"""),"Mohamed El Sayed")</f>
        <v>Mohamed El Sayed</v>
      </c>
      <c r="C849" s="43" t="str">
        <f>IFERROR(__xludf.DUMMYFUNCTION("""COMPUTED_VALUE"""),"approved")</f>
        <v>approved</v>
      </c>
      <c r="D849" s="43" t="str">
        <f>IFERROR(__xludf.DUMMYFUNCTION("""COMPUTED_VALUE"""),"No")</f>
        <v>No</v>
      </c>
      <c r="E849" s="43" t="str">
        <f>IFERROR(__xludf.DUMMYFUNCTION("""COMPUTED_VALUE"""),"p_ffab0c750d08acccced9ba39540925eb836d499a@inbound.aiesec.org")</f>
        <v>p_ffab0c750d08acccced9ba39540925eb836d499a@inbound.aiesec.org</v>
      </c>
      <c r="F849" s="43">
        <f>IFERROR(__xludf.DUMMYFUNCTION("""COMPUTED_VALUE"""),1.098936935E9)</f>
        <v>1098936935</v>
      </c>
      <c r="G849" s="43" t="str">
        <f>IFERROR(__xludf.DUMMYFUNCTION("""COMPUTED_VALUE"""),"Egypt")</f>
        <v>Egypt</v>
      </c>
      <c r="H849" s="43" t="str">
        <f>IFERROR(__xludf.DUMMYFUNCTION("""COMPUTED_VALUE"""),"6th October University")</f>
        <v>6th October University</v>
      </c>
      <c r="I849" s="43" t="str">
        <f>IFERROR(__xludf.DUMMYFUNCTION("""COMPUTED_VALUE"""),"Turkey")</f>
        <v>Turkey</v>
      </c>
      <c r="J849" s="43" t="str">
        <f>IFERROR(__xludf.DUMMYFUNCTION("""COMPUTED_VALUE"""),"ADANA")</f>
        <v>ADANA</v>
      </c>
      <c r="K849" s="44" t="str">
        <f>IFERROR(__xludf.DUMMYFUNCTION("""COMPUTED_VALUE"""),"https://expa.aiesec.org/opportunities/1284476")</f>
        <v>https://expa.aiesec.org/opportunities/1284476</v>
      </c>
      <c r="L849" s="43" t="str">
        <f>IFERROR(__xludf.DUMMYFUNCTION("""COMPUTED_VALUE"""),"GV")</f>
        <v>GV</v>
      </c>
      <c r="M849" s="43" t="str">
        <f>IFERROR(__xludf.DUMMYFUNCTION("""COMPUTED_VALUE"""),"short")</f>
        <v>short</v>
      </c>
      <c r="N849" s="45">
        <f>IFERROR(__xludf.DUMMYFUNCTION("""COMPUTED_VALUE"""),45061.0)</f>
        <v>45061</v>
      </c>
      <c r="O849" s="45">
        <f>IFERROR(__xludf.DUMMYFUNCTION("""COMPUTED_VALUE"""),45180.0)</f>
        <v>45180</v>
      </c>
      <c r="P849" s="45">
        <f>IFERROR(__xludf.DUMMYFUNCTION("""COMPUTED_VALUE"""),45226.0)</f>
        <v>45226</v>
      </c>
      <c r="Q849" s="45"/>
      <c r="R849" s="45"/>
      <c r="S849" s="43"/>
      <c r="T849" s="43"/>
      <c r="U849" s="43" t="str">
        <f>IFERROR(__xludf.DUMMYFUNCTION("""COMPUTED_VALUE"""),"Global Classroom")</f>
        <v>Global Classroom</v>
      </c>
      <c r="V849" s="43" t="str">
        <f>IFERROR(__xludf.DUMMYFUNCTION("""COMPUTED_VALUE"""),"6th of October University")</f>
        <v>6th of October University</v>
      </c>
      <c r="W849" s="43" t="str">
        <f>IFERROR(__xludf.DUMMYFUNCTION("""COMPUTED_VALUE"""),"2023-05-08T16:21:13Z")</f>
        <v>2023-05-08T16:21:13Z</v>
      </c>
      <c r="X849" s="43"/>
      <c r="Y849" s="43"/>
      <c r="Z849" s="43"/>
    </row>
    <row r="850" hidden="1">
      <c r="A850" s="43" t="str">
        <f>IFERROR(__xludf.DUMMYFUNCTION("""COMPUTED_VALUE"""),"5140757_1288970")</f>
        <v>5140757_1288970</v>
      </c>
      <c r="B850" s="43" t="str">
        <f>IFERROR(__xludf.DUMMYFUNCTION("""COMPUTED_VALUE"""),"Esraa Medhat")</f>
        <v>Esraa Medhat</v>
      </c>
      <c r="C850" s="43" t="str">
        <f>IFERROR(__xludf.DUMMYFUNCTION("""COMPUTED_VALUE"""),"approved")</f>
        <v>approved</v>
      </c>
      <c r="D850" s="43" t="str">
        <f>IFERROR(__xludf.DUMMYFUNCTION("""COMPUTED_VALUE"""),"No")</f>
        <v>No</v>
      </c>
      <c r="E850" s="43" t="str">
        <f>IFERROR(__xludf.DUMMYFUNCTION("""COMPUTED_VALUE"""),"p_cffcf53544b47acf9ae5f8263c9d05b49f28f3d4@inbound.aiesec.org")</f>
        <v>p_cffcf53544b47acf9ae5f8263c9d05b49f28f3d4@inbound.aiesec.org</v>
      </c>
      <c r="F850" s="43"/>
      <c r="G850" s="43" t="str">
        <f>IFERROR(__xludf.DUMMYFUNCTION("""COMPUTED_VALUE"""),"Egypt")</f>
        <v>Egypt</v>
      </c>
      <c r="H850" s="43" t="str">
        <f>IFERROR(__xludf.DUMMYFUNCTION("""COMPUTED_VALUE"""),"Suez")</f>
        <v>Suez</v>
      </c>
      <c r="I850" s="43" t="str">
        <f>IFERROR(__xludf.DUMMYFUNCTION("""COMPUTED_VALUE"""),"Turkey")</f>
        <v>Turkey</v>
      </c>
      <c r="J850" s="43" t="str">
        <f>IFERROR(__xludf.DUMMYFUNCTION("""COMPUTED_VALUE"""),"İZMİR")</f>
        <v>İZMİR</v>
      </c>
      <c r="K850" s="44" t="str">
        <f>IFERROR(__xludf.DUMMYFUNCTION("""COMPUTED_VALUE"""),"https://expa.aiesec.org/opportunities/1288970")</f>
        <v>https://expa.aiesec.org/opportunities/1288970</v>
      </c>
      <c r="L850" s="43" t="str">
        <f>IFERROR(__xludf.DUMMYFUNCTION("""COMPUTED_VALUE"""),"GV")</f>
        <v>GV</v>
      </c>
      <c r="M850" s="43" t="str">
        <f>IFERROR(__xludf.DUMMYFUNCTION("""COMPUTED_VALUE"""),"short")</f>
        <v>short</v>
      </c>
      <c r="N850" s="45">
        <f>IFERROR(__xludf.DUMMYFUNCTION("""COMPUTED_VALUE"""),45061.0)</f>
        <v>45061</v>
      </c>
      <c r="O850" s="45">
        <f>IFERROR(__xludf.DUMMYFUNCTION("""COMPUTED_VALUE"""),45207.0)</f>
        <v>45207</v>
      </c>
      <c r="P850" s="45">
        <f>IFERROR(__xludf.DUMMYFUNCTION("""COMPUTED_VALUE"""),45249.0)</f>
        <v>45249</v>
      </c>
      <c r="Q850" s="45"/>
      <c r="R850" s="45"/>
      <c r="S850" s="43"/>
      <c r="T850" s="43"/>
      <c r="U850" s="43" t="str">
        <f>IFERROR(__xludf.DUMMYFUNCTION("""COMPUTED_VALUE"""),"Fingerprint")</f>
        <v>Fingerprint</v>
      </c>
      <c r="V850" s="43" t="str">
        <f>IFERROR(__xludf.DUMMYFUNCTION("""COMPUTED_VALUE"""),"-")</f>
        <v>-</v>
      </c>
      <c r="W850" s="43" t="str">
        <f>IFERROR(__xludf.DUMMYFUNCTION("""COMPUTED_VALUE"""),"2022-10-26T11:58:14Z")</f>
        <v>2022-10-26T11:58:14Z</v>
      </c>
      <c r="X850" s="43"/>
      <c r="Y850" s="43"/>
      <c r="Z850" s="43"/>
    </row>
    <row r="851" hidden="1">
      <c r="A851" s="43" t="str">
        <f>IFERROR(__xludf.DUMMYFUNCTION("""COMPUTED_VALUE"""),"5173488_1294068")</f>
        <v>5173488_1294068</v>
      </c>
      <c r="B851" s="43" t="str">
        <f>IFERROR(__xludf.DUMMYFUNCTION("""COMPUTED_VALUE"""),"Alexandra Stanca Milaș")</f>
        <v>Alexandra Stanca Milaș</v>
      </c>
      <c r="C851" s="43" t="str">
        <f>IFERROR(__xludf.DUMMYFUNCTION("""COMPUTED_VALUE"""),"completed")</f>
        <v>completed</v>
      </c>
      <c r="D851" s="43" t="str">
        <f>IFERROR(__xludf.DUMMYFUNCTION("""COMPUTED_VALUE"""),"No")</f>
        <v>No</v>
      </c>
      <c r="E851" s="43" t="str">
        <f>IFERROR(__xludf.DUMMYFUNCTION("""COMPUTED_VALUE"""),"p_2affcd22e55b8ba4e734ae966dc7ae7eeb71bae8@inbound.aiesec.org")</f>
        <v>p_2affcd22e55b8ba4e734ae966dc7ae7eeb71bae8@inbound.aiesec.org</v>
      </c>
      <c r="F851" s="43">
        <f>IFERROR(__xludf.DUMMYFUNCTION("""COMPUTED_VALUE"""),7.56815758E8)</f>
        <v>756815758</v>
      </c>
      <c r="G851" s="43" t="str">
        <f>IFERROR(__xludf.DUMMYFUNCTION("""COMPUTED_VALUE"""),"Romania")</f>
        <v>Romania</v>
      </c>
      <c r="H851" s="43" t="str">
        <f>IFERROR(__xludf.DUMMYFUNCTION("""COMPUTED_VALUE"""),"Cluj-Napoca")</f>
        <v>Cluj-Napoca</v>
      </c>
      <c r="I851" s="43" t="str">
        <f>IFERROR(__xludf.DUMMYFUNCTION("""COMPUTED_VALUE"""),"Turkey")</f>
        <v>Turkey</v>
      </c>
      <c r="J851" s="43" t="str">
        <f>IFERROR(__xludf.DUMMYFUNCTION("""COMPUTED_VALUE"""),"DENIZLI")</f>
        <v>DENIZLI</v>
      </c>
      <c r="K851" s="44" t="str">
        <f>IFERROR(__xludf.DUMMYFUNCTION("""COMPUTED_VALUE"""),"https://expa.aiesec.org/opportunities/1294068")</f>
        <v>https://expa.aiesec.org/opportunities/1294068</v>
      </c>
      <c r="L851" s="43" t="str">
        <f>IFERROR(__xludf.DUMMYFUNCTION("""COMPUTED_VALUE"""),"GV")</f>
        <v>GV</v>
      </c>
      <c r="M851" s="43" t="str">
        <f>IFERROR(__xludf.DUMMYFUNCTION("""COMPUTED_VALUE"""),"short")</f>
        <v>short</v>
      </c>
      <c r="N851" s="45">
        <f>IFERROR(__xludf.DUMMYFUNCTION("""COMPUTED_VALUE"""),45062.0)</f>
        <v>45062</v>
      </c>
      <c r="O851" s="45">
        <f>IFERROR(__xludf.DUMMYFUNCTION("""COMPUTED_VALUE"""),45124.0)</f>
        <v>45124</v>
      </c>
      <c r="P851" s="45">
        <f>IFERROR(__xludf.DUMMYFUNCTION("""COMPUTED_VALUE"""),45166.0)</f>
        <v>45166</v>
      </c>
      <c r="Q851" s="45">
        <f>IFERROR(__xludf.DUMMYFUNCTION("""COMPUTED_VALUE"""),45123.0)</f>
        <v>45123</v>
      </c>
      <c r="R851" s="45">
        <f>IFERROR(__xludf.DUMMYFUNCTION("""COMPUTED_VALUE"""),45166.0)</f>
        <v>45166</v>
      </c>
      <c r="S851" s="43"/>
      <c r="T851" s="43"/>
      <c r="U851" s="43" t="str">
        <f>IFERROR(__xludf.DUMMYFUNCTION("""COMPUTED_VALUE"""),"Equify")</f>
        <v>Equify</v>
      </c>
      <c r="V851" s="43" t="str">
        <f>IFERROR(__xludf.DUMMYFUNCTION("""COMPUTED_VALUE"""),"Cluj-Napoca")</f>
        <v>Cluj-Napoca</v>
      </c>
      <c r="W851" s="43" t="str">
        <f>IFERROR(__xludf.DUMMYFUNCTION("""COMPUTED_VALUE"""),"2023-01-05T20:09:57Z")</f>
        <v>2023-01-05T20:09:57Z</v>
      </c>
      <c r="X851" s="43"/>
      <c r="Y851" s="43"/>
      <c r="Z851" s="43"/>
    </row>
    <row r="852" hidden="1">
      <c r="A852" s="43" t="str">
        <f>IFERROR(__xludf.DUMMYFUNCTION("""COMPUTED_VALUE"""),"5238233_1289505")</f>
        <v>5238233_1289505</v>
      </c>
      <c r="B852" s="43" t="str">
        <f>IFERROR(__xludf.DUMMYFUNCTION("""COMPUTED_VALUE"""),"辰 孙")</f>
        <v>辰 孙</v>
      </c>
      <c r="C852" s="43" t="str">
        <f>IFERROR(__xludf.DUMMYFUNCTION("""COMPUTED_VALUE"""),"finished")</f>
        <v>finished</v>
      </c>
      <c r="D852" s="43" t="str">
        <f>IFERROR(__xludf.DUMMYFUNCTION("""COMPUTED_VALUE"""),"No")</f>
        <v>No</v>
      </c>
      <c r="E852" s="43" t="str">
        <f>IFERROR(__xludf.DUMMYFUNCTION("""COMPUTED_VALUE"""),"p_177cc3a40e3eb09ccbdfdd1928c385506b550fcb@inbound.aiesec.org")</f>
        <v>p_177cc3a40e3eb09ccbdfdd1928c385506b550fcb@inbound.aiesec.org</v>
      </c>
      <c r="F852" s="43">
        <f>IFERROR(__xludf.DUMMYFUNCTION("""COMPUTED_VALUE"""),1.3365421507E10)</f>
        <v>13365421507</v>
      </c>
      <c r="G852" s="43" t="str">
        <f>IFERROR(__xludf.DUMMYFUNCTION("""COMPUTED_VALUE"""),"Mainland of China")</f>
        <v>Mainland of China</v>
      </c>
      <c r="H852" s="43" t="str">
        <f>IFERROR(__xludf.DUMMYFUNCTION("""COMPUTED_VALUE"""),"Chengdu")</f>
        <v>Chengdu</v>
      </c>
      <c r="I852" s="43" t="str">
        <f>IFERROR(__xludf.DUMMYFUNCTION("""COMPUTED_VALUE"""),"Turkey")</f>
        <v>Turkey</v>
      </c>
      <c r="J852" s="43" t="str">
        <f>IFERROR(__xludf.DUMMYFUNCTION("""COMPUTED_VALUE"""),"KOCAELI")</f>
        <v>KOCAELI</v>
      </c>
      <c r="K852" s="44" t="str">
        <f>IFERROR(__xludf.DUMMYFUNCTION("""COMPUTED_VALUE"""),"https://expa.aiesec.org/opportunities/1289505")</f>
        <v>https://expa.aiesec.org/opportunities/1289505</v>
      </c>
      <c r="L852" s="43" t="str">
        <f>IFERROR(__xludf.DUMMYFUNCTION("""COMPUTED_VALUE"""),"GV")</f>
        <v>GV</v>
      </c>
      <c r="M852" s="43" t="str">
        <f>IFERROR(__xludf.DUMMYFUNCTION("""COMPUTED_VALUE"""),"short")</f>
        <v>short</v>
      </c>
      <c r="N852" s="45">
        <f>IFERROR(__xludf.DUMMYFUNCTION("""COMPUTED_VALUE"""),45062.0)</f>
        <v>45062</v>
      </c>
      <c r="O852" s="45">
        <f>IFERROR(__xludf.DUMMYFUNCTION("""COMPUTED_VALUE"""),45120.0)</f>
        <v>45120</v>
      </c>
      <c r="P852" s="45">
        <f>IFERROR(__xludf.DUMMYFUNCTION("""COMPUTED_VALUE"""),45162.0)</f>
        <v>45162</v>
      </c>
      <c r="Q852" s="45">
        <f>IFERROR(__xludf.DUMMYFUNCTION("""COMPUTED_VALUE"""),45121.0)</f>
        <v>45121</v>
      </c>
      <c r="R852" s="45">
        <f>IFERROR(__xludf.DUMMYFUNCTION("""COMPUTED_VALUE"""),45162.0)</f>
        <v>45162</v>
      </c>
      <c r="S852" s="43"/>
      <c r="T852" s="43"/>
      <c r="U852" s="43" t="str">
        <f>IFERROR(__xludf.DUMMYFUNCTION("""COMPUTED_VALUE"""),"Youth 4 Impact")</f>
        <v>Youth 4 Impact</v>
      </c>
      <c r="V852" s="43" t="str">
        <f>IFERROR(__xludf.DUMMYFUNCTION("""COMPUTED_VALUE"""),"CHENGDU 成都")</f>
        <v>CHENGDU 成都</v>
      </c>
      <c r="W852" s="43" t="str">
        <f>IFERROR(__xludf.DUMMYFUNCTION("""COMPUTED_VALUE"""),"2023-04-09T15:52:11Z")</f>
        <v>2023-04-09T15:52:11Z</v>
      </c>
      <c r="X852" s="43"/>
      <c r="Y852" s="43"/>
      <c r="Z852" s="43"/>
    </row>
    <row r="853" hidden="1">
      <c r="A853" s="43" t="str">
        <f>IFERROR(__xludf.DUMMYFUNCTION("""COMPUTED_VALUE"""),"5256643_1284670")</f>
        <v>5256643_1284670</v>
      </c>
      <c r="B853" s="43" t="str">
        <f>IFERROR(__xludf.DUMMYFUNCTION("""COMPUTED_VALUE"""),"George Olivian Manole")</f>
        <v>George Olivian Manole</v>
      </c>
      <c r="C853" s="43" t="str">
        <f>IFERROR(__xludf.DUMMYFUNCTION("""COMPUTED_VALUE"""),"completed")</f>
        <v>completed</v>
      </c>
      <c r="D853" s="43" t="str">
        <f>IFERROR(__xludf.DUMMYFUNCTION("""COMPUTED_VALUE"""),"No")</f>
        <v>No</v>
      </c>
      <c r="E853" s="43" t="str">
        <f>IFERROR(__xludf.DUMMYFUNCTION("""COMPUTED_VALUE"""),"p_f7c88f38ff4a3a86394624f204c6f1960ff1b30e@inbound.aiesec.org")</f>
        <v>p_f7c88f38ff4a3a86394624f204c6f1960ff1b30e@inbound.aiesec.org</v>
      </c>
      <c r="F853" s="43">
        <f>IFERROR(__xludf.DUMMYFUNCTION("""COMPUTED_VALUE"""),7.35388236E8)</f>
        <v>735388236</v>
      </c>
      <c r="G853" s="43" t="str">
        <f>IFERROR(__xludf.DUMMYFUNCTION("""COMPUTED_VALUE"""),"Romania")</f>
        <v>Romania</v>
      </c>
      <c r="H853" s="43" t="str">
        <f>IFERROR(__xludf.DUMMYFUNCTION("""COMPUTED_VALUE"""),"Cluj-Napoca")</f>
        <v>Cluj-Napoca</v>
      </c>
      <c r="I853" s="43" t="str">
        <f>IFERROR(__xludf.DUMMYFUNCTION("""COMPUTED_VALUE"""),"Turkey")</f>
        <v>Turkey</v>
      </c>
      <c r="J853" s="43" t="str">
        <f>IFERROR(__xludf.DUMMYFUNCTION("""COMPUTED_VALUE"""),"ISTANBUL")</f>
        <v>ISTANBUL</v>
      </c>
      <c r="K853" s="44" t="str">
        <f>IFERROR(__xludf.DUMMYFUNCTION("""COMPUTED_VALUE"""),"https://expa.aiesec.org/opportunities/1284670")</f>
        <v>https://expa.aiesec.org/opportunities/1284670</v>
      </c>
      <c r="L853" s="43" t="str">
        <f>IFERROR(__xludf.DUMMYFUNCTION("""COMPUTED_VALUE"""),"GV")</f>
        <v>GV</v>
      </c>
      <c r="M853" s="43" t="str">
        <f>IFERROR(__xludf.DUMMYFUNCTION("""COMPUTED_VALUE"""),"short")</f>
        <v>short</v>
      </c>
      <c r="N853" s="45">
        <f>IFERROR(__xludf.DUMMYFUNCTION("""COMPUTED_VALUE"""),45062.0)</f>
        <v>45062</v>
      </c>
      <c r="O853" s="45">
        <f>IFERROR(__xludf.DUMMYFUNCTION("""COMPUTED_VALUE"""),45110.0)</f>
        <v>45110</v>
      </c>
      <c r="P853" s="45">
        <f>IFERROR(__xludf.DUMMYFUNCTION("""COMPUTED_VALUE"""),45152.0)</f>
        <v>45152</v>
      </c>
      <c r="Q853" s="45">
        <f>IFERROR(__xludf.DUMMYFUNCTION("""COMPUTED_VALUE"""),45110.0)</f>
        <v>45110</v>
      </c>
      <c r="R853" s="45">
        <f>IFERROR(__xludf.DUMMYFUNCTION("""COMPUTED_VALUE"""),45152.0)</f>
        <v>45152</v>
      </c>
      <c r="S853" s="43"/>
      <c r="T853" s="43"/>
      <c r="U853" s="43" t="str">
        <f>IFERROR(__xludf.DUMMYFUNCTION("""COMPUTED_VALUE"""),"Heartbeat")</f>
        <v>Heartbeat</v>
      </c>
      <c r="V853" s="43" t="str">
        <f>IFERROR(__xludf.DUMMYFUNCTION("""COMPUTED_VALUE"""),"Cluj-Napoca")</f>
        <v>Cluj-Napoca</v>
      </c>
      <c r="W853" s="43" t="str">
        <f>IFERROR(__xludf.DUMMYFUNCTION("""COMPUTED_VALUE"""),"2023-05-06T07:26:10Z")</f>
        <v>2023-05-06T07:26:10Z</v>
      </c>
      <c r="X853" s="43"/>
      <c r="Y853" s="43"/>
      <c r="Z853" s="43"/>
    </row>
    <row r="854" hidden="1">
      <c r="A854" s="43" t="str">
        <f>IFERROR(__xludf.DUMMYFUNCTION("""COMPUTED_VALUE"""),"5239797_1294976")</f>
        <v>5239797_1294976</v>
      </c>
      <c r="B854" s="43" t="str">
        <f>IFERROR(__xludf.DUMMYFUNCTION("""COMPUTED_VALUE"""),"Zeina Hassan")</f>
        <v>Zeina Hassan</v>
      </c>
      <c r="C854" s="43" t="str">
        <f>IFERROR(__xludf.DUMMYFUNCTION("""COMPUTED_VALUE"""),"completed")</f>
        <v>completed</v>
      </c>
      <c r="D854" s="43" t="str">
        <f>IFERROR(__xludf.DUMMYFUNCTION("""COMPUTED_VALUE"""),"No")</f>
        <v>No</v>
      </c>
      <c r="E854" s="43" t="str">
        <f>IFERROR(__xludf.DUMMYFUNCTION("""COMPUTED_VALUE"""),"p_06c3d8c63f0b5414f27a18299c4ca38fe8cbee1d@inbound.aiesec.org")</f>
        <v>p_06c3d8c63f0b5414f27a18299c4ca38fe8cbee1d@inbound.aiesec.org</v>
      </c>
      <c r="F854" s="43">
        <f>IFERROR(__xludf.DUMMYFUNCTION("""COMPUTED_VALUE"""),1.092973175E9)</f>
        <v>1092973175</v>
      </c>
      <c r="G854" s="43" t="str">
        <f>IFERROR(__xludf.DUMMYFUNCTION("""COMPUTED_VALUE"""),"Egypt")</f>
        <v>Egypt</v>
      </c>
      <c r="H854" s="43" t="str">
        <f>IFERROR(__xludf.DUMMYFUNCTION("""COMPUTED_VALUE"""),"MSA")</f>
        <v>MSA</v>
      </c>
      <c r="I854" s="43" t="str">
        <f>IFERROR(__xludf.DUMMYFUNCTION("""COMPUTED_VALUE"""),"Turkey")</f>
        <v>Turkey</v>
      </c>
      <c r="J854" s="43" t="str">
        <f>IFERROR(__xludf.DUMMYFUNCTION("""COMPUTED_VALUE"""),"BURSA")</f>
        <v>BURSA</v>
      </c>
      <c r="K854" s="44" t="str">
        <f>IFERROR(__xludf.DUMMYFUNCTION("""COMPUTED_VALUE"""),"https://expa.aiesec.org/opportunities/1294976")</f>
        <v>https://expa.aiesec.org/opportunities/1294976</v>
      </c>
      <c r="L854" s="43" t="str">
        <f>IFERROR(__xludf.DUMMYFUNCTION("""COMPUTED_VALUE"""),"GV")</f>
        <v>GV</v>
      </c>
      <c r="M854" s="43" t="str">
        <f>IFERROR(__xludf.DUMMYFUNCTION("""COMPUTED_VALUE"""),"short")</f>
        <v>short</v>
      </c>
      <c r="N854" s="45">
        <f>IFERROR(__xludf.DUMMYFUNCTION("""COMPUTED_VALUE"""),45062.0)</f>
        <v>45062</v>
      </c>
      <c r="O854" s="45">
        <f>IFERROR(__xludf.DUMMYFUNCTION("""COMPUTED_VALUE"""),45117.0)</f>
        <v>45117</v>
      </c>
      <c r="P854" s="45">
        <f>IFERROR(__xludf.DUMMYFUNCTION("""COMPUTED_VALUE"""),45159.0)</f>
        <v>45159</v>
      </c>
      <c r="Q854" s="45">
        <f>IFERROR(__xludf.DUMMYFUNCTION("""COMPUTED_VALUE"""),45118.0)</f>
        <v>45118</v>
      </c>
      <c r="R854" s="45">
        <f>IFERROR(__xludf.DUMMYFUNCTION("""COMPUTED_VALUE"""),45159.0)</f>
        <v>45159</v>
      </c>
      <c r="S854" s="43"/>
      <c r="T854" s="43"/>
      <c r="U854" s="43" t="str">
        <f>IFERROR(__xludf.DUMMYFUNCTION("""COMPUTED_VALUE"""),"Youth 4 Impact")</f>
        <v>Youth 4 Impact</v>
      </c>
      <c r="V854" s="43" t="str">
        <f>IFERROR(__xludf.DUMMYFUNCTION("""COMPUTED_VALUE"""),"MSA Univeristy")</f>
        <v>MSA Univeristy</v>
      </c>
      <c r="W854" s="43" t="str">
        <f>IFERROR(__xludf.DUMMYFUNCTION("""COMPUTED_VALUE"""),"2023-04-11T20:17:24Z")</f>
        <v>2023-04-11T20:17:24Z</v>
      </c>
      <c r="X854" s="43"/>
      <c r="Y854" s="43"/>
      <c r="Z854" s="43"/>
    </row>
    <row r="855" hidden="1">
      <c r="A855" s="43" t="str">
        <f>IFERROR(__xludf.DUMMYFUNCTION("""COMPUTED_VALUE"""),"5261049_1291929")</f>
        <v>5261049_1291929</v>
      </c>
      <c r="B855" s="43" t="str">
        <f>IFERROR(__xludf.DUMMYFUNCTION("""COMPUTED_VALUE"""),"Rihème Smati")</f>
        <v>Rihème Smati</v>
      </c>
      <c r="C855" s="43" t="str">
        <f>IFERROR(__xludf.DUMMYFUNCTION("""COMPUTED_VALUE"""),"completed")</f>
        <v>completed</v>
      </c>
      <c r="D855" s="43" t="str">
        <f>IFERROR(__xludf.DUMMYFUNCTION("""COMPUTED_VALUE"""),"No")</f>
        <v>No</v>
      </c>
      <c r="E855" s="43" t="str">
        <f>IFERROR(__xludf.DUMMYFUNCTION("""COMPUTED_VALUE"""),"p_43824da38e57bad3968e92d508d12e7e6a9f16e6@inbound.aiesec.org")</f>
        <v>p_43824da38e57bad3968e92d508d12e7e6a9f16e6@inbound.aiesec.org</v>
      </c>
      <c r="F855" s="43"/>
      <c r="G855" s="43" t="str">
        <f>IFERROR(__xludf.DUMMYFUNCTION("""COMPUTED_VALUE"""),"Tunisia")</f>
        <v>Tunisia</v>
      </c>
      <c r="H855" s="43" t="str">
        <f>IFERROR(__xludf.DUMMYFUNCTION("""COMPUTED_VALUE"""),"BARDO")</f>
        <v>BARDO</v>
      </c>
      <c r="I855" s="43" t="str">
        <f>IFERROR(__xludf.DUMMYFUNCTION("""COMPUTED_VALUE"""),"Turkey")</f>
        <v>Turkey</v>
      </c>
      <c r="J855" s="43" t="str">
        <f>IFERROR(__xludf.DUMMYFUNCTION("""COMPUTED_VALUE"""),"TRABZON")</f>
        <v>TRABZON</v>
      </c>
      <c r="K855" s="44" t="str">
        <f>IFERROR(__xludf.DUMMYFUNCTION("""COMPUTED_VALUE"""),"https://expa.aiesec.org/opportunities/1291929")</f>
        <v>https://expa.aiesec.org/opportunities/1291929</v>
      </c>
      <c r="L855" s="43" t="str">
        <f>IFERROR(__xludf.DUMMYFUNCTION("""COMPUTED_VALUE"""),"GV")</f>
        <v>GV</v>
      </c>
      <c r="M855" s="43" t="str">
        <f>IFERROR(__xludf.DUMMYFUNCTION("""COMPUTED_VALUE"""),"short")</f>
        <v>short</v>
      </c>
      <c r="N855" s="45">
        <f>IFERROR(__xludf.DUMMYFUNCTION("""COMPUTED_VALUE"""),45062.0)</f>
        <v>45062</v>
      </c>
      <c r="O855" s="45">
        <f>IFERROR(__xludf.DUMMYFUNCTION("""COMPUTED_VALUE"""),45128.0)</f>
        <v>45128</v>
      </c>
      <c r="P855" s="45">
        <f>IFERROR(__xludf.DUMMYFUNCTION("""COMPUTED_VALUE"""),45170.0)</f>
        <v>45170</v>
      </c>
      <c r="Q855" s="45">
        <f>IFERROR(__xludf.DUMMYFUNCTION("""COMPUTED_VALUE"""),45132.0)</f>
        <v>45132</v>
      </c>
      <c r="R855" s="45">
        <f>IFERROR(__xludf.DUMMYFUNCTION("""COMPUTED_VALUE"""),45174.0)</f>
        <v>45174</v>
      </c>
      <c r="S855" s="43"/>
      <c r="T855" s="43"/>
      <c r="U855" s="43" t="str">
        <f>IFERROR(__xludf.DUMMYFUNCTION("""COMPUTED_VALUE"""),"Global Classroom")</f>
        <v>Global Classroom</v>
      </c>
      <c r="V855" s="43" t="str">
        <f>IFERROR(__xludf.DUMMYFUNCTION("""COMPUTED_VALUE"""),"-")</f>
        <v>-</v>
      </c>
      <c r="W855" s="43" t="str">
        <f>IFERROR(__xludf.DUMMYFUNCTION("""COMPUTED_VALUE"""),"2023-05-14T20:16:54Z")</f>
        <v>2023-05-14T20:16:54Z</v>
      </c>
      <c r="X855" s="43"/>
      <c r="Y855" s="43"/>
      <c r="Z855" s="43"/>
    </row>
    <row r="856" hidden="1">
      <c r="A856" s="43" t="str">
        <f>IFERROR(__xludf.DUMMYFUNCTION("""COMPUTED_VALUE"""),"4560549_1294894")</f>
        <v>4560549_1294894</v>
      </c>
      <c r="B856" s="43" t="str">
        <f>IFERROR(__xludf.DUMMYFUNCTION("""COMPUTED_VALUE"""),"Mariam Mohamed")</f>
        <v>Mariam Mohamed</v>
      </c>
      <c r="C856" s="43" t="str">
        <f>IFERROR(__xludf.DUMMYFUNCTION("""COMPUTED_VALUE"""),"finished")</f>
        <v>finished</v>
      </c>
      <c r="D856" s="43" t="str">
        <f>IFERROR(__xludf.DUMMYFUNCTION("""COMPUTED_VALUE"""),"No")</f>
        <v>No</v>
      </c>
      <c r="E856" s="43" t="str">
        <f>IFERROR(__xludf.DUMMYFUNCTION("""COMPUTED_VALUE"""),"p_07301684160a9889997e1d86dd7bb0753d181578@inbound.aiesec.org")</f>
        <v>p_07301684160a9889997e1d86dd7bb0753d181578@inbound.aiesec.org</v>
      </c>
      <c r="F856" s="43"/>
      <c r="G856" s="43" t="str">
        <f>IFERROR(__xludf.DUMMYFUNCTION("""COMPUTED_VALUE"""),"Egypt")</f>
        <v>Egypt</v>
      </c>
      <c r="H856" s="43" t="str">
        <f>IFERROR(__xludf.DUMMYFUNCTION("""COMPUTED_VALUE"""),"Helwan")</f>
        <v>Helwan</v>
      </c>
      <c r="I856" s="43" t="str">
        <f>IFERROR(__xludf.DUMMYFUNCTION("""COMPUTED_VALUE"""),"Turkey")</f>
        <v>Turkey</v>
      </c>
      <c r="J856" s="43" t="str">
        <f>IFERROR(__xludf.DUMMYFUNCTION("""COMPUTED_VALUE"""),"ADANA")</f>
        <v>ADANA</v>
      </c>
      <c r="K856" s="44" t="str">
        <f>IFERROR(__xludf.DUMMYFUNCTION("""COMPUTED_VALUE"""),"https://expa.aiesec.org/opportunities/1294894")</f>
        <v>https://expa.aiesec.org/opportunities/1294894</v>
      </c>
      <c r="L856" s="43" t="str">
        <f>IFERROR(__xludf.DUMMYFUNCTION("""COMPUTED_VALUE"""),"GV")</f>
        <v>GV</v>
      </c>
      <c r="M856" s="43" t="str">
        <f>IFERROR(__xludf.DUMMYFUNCTION("""COMPUTED_VALUE"""),"short")</f>
        <v>short</v>
      </c>
      <c r="N856" s="45">
        <f>IFERROR(__xludf.DUMMYFUNCTION("""COMPUTED_VALUE"""),45062.0)</f>
        <v>45062</v>
      </c>
      <c r="O856" s="45">
        <f>IFERROR(__xludf.DUMMYFUNCTION("""COMPUTED_VALUE"""),45110.0)</f>
        <v>45110</v>
      </c>
      <c r="P856" s="45">
        <f>IFERROR(__xludf.DUMMYFUNCTION("""COMPUTED_VALUE"""),45156.0)</f>
        <v>45156</v>
      </c>
      <c r="Q856" s="45">
        <f>IFERROR(__xludf.DUMMYFUNCTION("""COMPUTED_VALUE"""),45119.0)</f>
        <v>45119</v>
      </c>
      <c r="R856" s="45">
        <f>IFERROR(__xludf.DUMMYFUNCTION("""COMPUTED_VALUE"""),45165.0)</f>
        <v>45165</v>
      </c>
      <c r="S856" s="43"/>
      <c r="T856" s="43"/>
      <c r="U856" s="43" t="str">
        <f>IFERROR(__xludf.DUMMYFUNCTION("""COMPUTED_VALUE"""),"Global Classroom")</f>
        <v>Global Classroom</v>
      </c>
      <c r="V856" s="43" t="str">
        <f>IFERROR(__xludf.DUMMYFUNCTION("""COMPUTED_VALUE"""),"-")</f>
        <v>-</v>
      </c>
      <c r="W856" s="43" t="str">
        <f>IFERROR(__xludf.DUMMYFUNCTION("""COMPUTED_VALUE"""),"2021-02-26T20:45:27Z")</f>
        <v>2021-02-26T20:45:27Z</v>
      </c>
      <c r="X856" s="43"/>
      <c r="Y856" s="43"/>
      <c r="Z856" s="43"/>
    </row>
    <row r="857" hidden="1">
      <c r="A857" s="43" t="str">
        <f>IFERROR(__xludf.DUMMYFUNCTION("""COMPUTED_VALUE"""),"5258789_1293495")</f>
        <v>5258789_1293495</v>
      </c>
      <c r="B857" s="43" t="str">
        <f>IFERROR(__xludf.DUMMYFUNCTION("""COMPUTED_VALUE"""),"Souhaib Benyassi")</f>
        <v>Souhaib Benyassi</v>
      </c>
      <c r="C857" s="43" t="str">
        <f>IFERROR(__xludf.DUMMYFUNCTION("""COMPUTED_VALUE"""),"completed")</f>
        <v>completed</v>
      </c>
      <c r="D857" s="43" t="str">
        <f>IFERROR(__xludf.DUMMYFUNCTION("""COMPUTED_VALUE"""),"No")</f>
        <v>No</v>
      </c>
      <c r="E857" s="43" t="str">
        <f>IFERROR(__xludf.DUMMYFUNCTION("""COMPUTED_VALUE"""),"p_e43a0385fe5f15025efe06a0124f2a363081367f@inbound.aiesec.org")</f>
        <v>p_e43a0385fe5f15025efe06a0124f2a363081367f@inbound.aiesec.org</v>
      </c>
      <c r="F857" s="43">
        <f>IFERROR(__xludf.DUMMYFUNCTION("""COMPUTED_VALUE"""),6.28809987E8)</f>
        <v>628809987</v>
      </c>
      <c r="G857" s="43" t="str">
        <f>IFERROR(__xludf.DUMMYFUNCTION("""COMPUTED_VALUE"""),"Morocco")</f>
        <v>Morocco</v>
      </c>
      <c r="H857" s="43" t="str">
        <f>IFERROR(__xludf.DUMMYFUNCTION("""COMPUTED_VALUE"""),"Meknes")</f>
        <v>Meknes</v>
      </c>
      <c r="I857" s="43" t="str">
        <f>IFERROR(__xludf.DUMMYFUNCTION("""COMPUTED_VALUE"""),"Turkey")</f>
        <v>Turkey</v>
      </c>
      <c r="J857" s="43" t="str">
        <f>IFERROR(__xludf.DUMMYFUNCTION("""COMPUTED_VALUE"""),"BURSA")</f>
        <v>BURSA</v>
      </c>
      <c r="K857" s="44" t="str">
        <f>IFERROR(__xludf.DUMMYFUNCTION("""COMPUTED_VALUE"""),"https://expa.aiesec.org/opportunities/1293495")</f>
        <v>https://expa.aiesec.org/opportunities/1293495</v>
      </c>
      <c r="L857" s="43" t="str">
        <f>IFERROR(__xludf.DUMMYFUNCTION("""COMPUTED_VALUE"""),"GV")</f>
        <v>GV</v>
      </c>
      <c r="M857" s="43" t="str">
        <f>IFERROR(__xludf.DUMMYFUNCTION("""COMPUTED_VALUE"""),"short")</f>
        <v>short</v>
      </c>
      <c r="N857" s="45">
        <f>IFERROR(__xludf.DUMMYFUNCTION("""COMPUTED_VALUE"""),45062.0)</f>
        <v>45062</v>
      </c>
      <c r="O857" s="45">
        <f>IFERROR(__xludf.DUMMYFUNCTION("""COMPUTED_VALUE"""),45144.0)</f>
        <v>45144</v>
      </c>
      <c r="P857" s="45">
        <f>IFERROR(__xludf.DUMMYFUNCTION("""COMPUTED_VALUE"""),45186.0)</f>
        <v>45186</v>
      </c>
      <c r="Q857" s="45">
        <f>IFERROR(__xludf.DUMMYFUNCTION("""COMPUTED_VALUE"""),45150.0)</f>
        <v>45150</v>
      </c>
      <c r="R857" s="45">
        <f>IFERROR(__xludf.DUMMYFUNCTION("""COMPUTED_VALUE"""),45190.0)</f>
        <v>45190</v>
      </c>
      <c r="S857" s="43"/>
      <c r="T857" s="43"/>
      <c r="U857" s="43" t="str">
        <f>IFERROR(__xludf.DUMMYFUNCTION("""COMPUTED_VALUE"""),"Youth 4 Impact")</f>
        <v>Youth 4 Impact</v>
      </c>
      <c r="V857" s="43" t="str">
        <f>IFERROR(__xludf.DUMMYFUNCTION("""COMPUTED_VALUE"""),"Ecole Nationale De Commerce Et De Gestion Meknès (ENCGM)")</f>
        <v>Ecole Nationale De Commerce Et De Gestion Meknès (ENCGM)</v>
      </c>
      <c r="W857" s="43" t="str">
        <f>IFERROR(__xludf.DUMMYFUNCTION("""COMPUTED_VALUE"""),"2023-05-10T10:35:49Z")</f>
        <v>2023-05-10T10:35:49Z</v>
      </c>
      <c r="X857" s="43"/>
      <c r="Y857" s="43"/>
      <c r="Z857" s="43"/>
    </row>
    <row r="858" hidden="1">
      <c r="A858" s="43" t="str">
        <f>IFERROR(__xludf.DUMMYFUNCTION("""COMPUTED_VALUE"""),"4881976_1289536")</f>
        <v>4881976_1289536</v>
      </c>
      <c r="B858" s="43" t="str">
        <f>IFERROR(__xludf.DUMMYFUNCTION("""COMPUTED_VALUE"""),"Romanyshyn Danuta")</f>
        <v>Romanyshyn Danuta</v>
      </c>
      <c r="C858" s="43" t="str">
        <f>IFERROR(__xludf.DUMMYFUNCTION("""COMPUTED_VALUE"""),"completed")</f>
        <v>completed</v>
      </c>
      <c r="D858" s="43" t="str">
        <f>IFERROR(__xludf.DUMMYFUNCTION("""COMPUTED_VALUE"""),"No")</f>
        <v>No</v>
      </c>
      <c r="E858" s="43" t="str">
        <f>IFERROR(__xludf.DUMMYFUNCTION("""COMPUTED_VALUE"""),"p_afae480efa9b0663bb20e30fef6b24a5a40223ba@inbound.aiesec.org")</f>
        <v>p_afae480efa9b0663bb20e30fef6b24a5a40223ba@inbound.aiesec.org</v>
      </c>
      <c r="F858" s="43">
        <f>IFERROR(__xludf.DUMMYFUNCTION("""COMPUTED_VALUE"""),6.35151854E8)</f>
        <v>635151854</v>
      </c>
      <c r="G858" s="43" t="str">
        <f>IFERROR(__xludf.DUMMYFUNCTION("""COMPUTED_VALUE"""),"Ukraine")</f>
        <v>Ukraine</v>
      </c>
      <c r="H858" s="43" t="str">
        <f>IFERROR(__xludf.DUMMYFUNCTION("""COMPUTED_VALUE"""),"KYIV")</f>
        <v>KYIV</v>
      </c>
      <c r="I858" s="43" t="str">
        <f>IFERROR(__xludf.DUMMYFUNCTION("""COMPUTED_VALUE"""),"Turkey")</f>
        <v>Turkey</v>
      </c>
      <c r="J858" s="43" t="str">
        <f>IFERROR(__xludf.DUMMYFUNCTION("""COMPUTED_VALUE"""),"ISTANBUL")</f>
        <v>ISTANBUL</v>
      </c>
      <c r="K858" s="44" t="str">
        <f>IFERROR(__xludf.DUMMYFUNCTION("""COMPUTED_VALUE"""),"https://expa.aiesec.org/opportunities/1289536")</f>
        <v>https://expa.aiesec.org/opportunities/1289536</v>
      </c>
      <c r="L858" s="43" t="str">
        <f>IFERROR(__xludf.DUMMYFUNCTION("""COMPUTED_VALUE"""),"GV")</f>
        <v>GV</v>
      </c>
      <c r="M858" s="43" t="str">
        <f>IFERROR(__xludf.DUMMYFUNCTION("""COMPUTED_VALUE"""),"short")</f>
        <v>short</v>
      </c>
      <c r="N858" s="45">
        <f>IFERROR(__xludf.DUMMYFUNCTION("""COMPUTED_VALUE"""),45062.0)</f>
        <v>45062</v>
      </c>
      <c r="O858" s="45">
        <f>IFERROR(__xludf.DUMMYFUNCTION("""COMPUTED_VALUE"""),45090.0)</f>
        <v>45090</v>
      </c>
      <c r="P858" s="45">
        <f>IFERROR(__xludf.DUMMYFUNCTION("""COMPUTED_VALUE"""),45132.0)</f>
        <v>45132</v>
      </c>
      <c r="Q858" s="45">
        <f>IFERROR(__xludf.DUMMYFUNCTION("""COMPUTED_VALUE"""),45090.0)</f>
        <v>45090</v>
      </c>
      <c r="R858" s="45">
        <f>IFERROR(__xludf.DUMMYFUNCTION("""COMPUTED_VALUE"""),45132.0)</f>
        <v>45132</v>
      </c>
      <c r="S858" s="43"/>
      <c r="T858" s="43"/>
      <c r="U858" s="43" t="str">
        <f>IFERROR(__xludf.DUMMYFUNCTION("""COMPUTED_VALUE"""),"Global Classroom")</f>
        <v>Global Classroom</v>
      </c>
      <c r="V858" s="43" t="str">
        <f>IFERROR(__xludf.DUMMYFUNCTION("""COMPUTED_VALUE"""),"Kyiv")</f>
        <v>Kyiv</v>
      </c>
      <c r="W858" s="43" t="str">
        <f>IFERROR(__xludf.DUMMYFUNCTION("""COMPUTED_VALUE"""),"2022-01-14T16:07:56Z")</f>
        <v>2022-01-14T16:07:56Z</v>
      </c>
      <c r="X858" s="43"/>
      <c r="Y858" s="43"/>
      <c r="Z858" s="43"/>
    </row>
    <row r="859" hidden="1">
      <c r="A859" s="43" t="str">
        <f>IFERROR(__xludf.DUMMYFUNCTION("""COMPUTED_VALUE"""),"5122265_1272564")</f>
        <v>5122265_1272564</v>
      </c>
      <c r="B859" s="43" t="str">
        <f>IFERROR(__xludf.DUMMYFUNCTION("""COMPUTED_VALUE"""),"Sofia Silva")</f>
        <v>Sofia Silva</v>
      </c>
      <c r="C859" s="43" t="str">
        <f>IFERROR(__xludf.DUMMYFUNCTION("""COMPUTED_VALUE"""),"completed")</f>
        <v>completed</v>
      </c>
      <c r="D859" s="43" t="str">
        <f>IFERROR(__xludf.DUMMYFUNCTION("""COMPUTED_VALUE"""),"No")</f>
        <v>No</v>
      </c>
      <c r="E859" s="43" t="str">
        <f>IFERROR(__xludf.DUMMYFUNCTION("""COMPUTED_VALUE"""),"p_fb0c09eae703aded5432a8c1a7ced4d71e0d3ffd@inbound.aiesec.org")</f>
        <v>p_fb0c09eae703aded5432a8c1a7ced4d71e0d3ffd@inbound.aiesec.org</v>
      </c>
      <c r="F859" s="43">
        <f>IFERROR(__xludf.DUMMYFUNCTION("""COMPUTED_VALUE"""),9.10493826E8)</f>
        <v>910493826</v>
      </c>
      <c r="G859" s="43" t="str">
        <f>IFERROR(__xludf.DUMMYFUNCTION("""COMPUTED_VALUE"""),"Portugal")</f>
        <v>Portugal</v>
      </c>
      <c r="H859" s="43" t="str">
        <f>IFERROR(__xludf.DUMMYFUNCTION("""COMPUTED_VALUE"""),"PORTO FEP")</f>
        <v>PORTO FEP</v>
      </c>
      <c r="I859" s="43" t="str">
        <f>IFERROR(__xludf.DUMMYFUNCTION("""COMPUTED_VALUE"""),"Turkey")</f>
        <v>Turkey</v>
      </c>
      <c r="J859" s="43" t="str">
        <f>IFERROR(__xludf.DUMMYFUNCTION("""COMPUTED_VALUE"""),"ISTANBUL")</f>
        <v>ISTANBUL</v>
      </c>
      <c r="K859" s="44" t="str">
        <f>IFERROR(__xludf.DUMMYFUNCTION("""COMPUTED_VALUE"""),"https://expa.aiesec.org/opportunities/1272564")</f>
        <v>https://expa.aiesec.org/opportunities/1272564</v>
      </c>
      <c r="L859" s="43" t="str">
        <f>IFERROR(__xludf.DUMMYFUNCTION("""COMPUTED_VALUE"""),"GV")</f>
        <v>GV</v>
      </c>
      <c r="M859" s="43" t="str">
        <f>IFERROR(__xludf.DUMMYFUNCTION("""COMPUTED_VALUE"""),"short")</f>
        <v>short</v>
      </c>
      <c r="N859" s="45">
        <f>IFERROR(__xludf.DUMMYFUNCTION("""COMPUTED_VALUE"""),45062.0)</f>
        <v>45062</v>
      </c>
      <c r="O859" s="45">
        <f>IFERROR(__xludf.DUMMYFUNCTION("""COMPUTED_VALUE"""),45162.0)</f>
        <v>45162</v>
      </c>
      <c r="P859" s="45">
        <f>IFERROR(__xludf.DUMMYFUNCTION("""COMPUTED_VALUE"""),45204.0)</f>
        <v>45204</v>
      </c>
      <c r="Q859" s="45">
        <f>IFERROR(__xludf.DUMMYFUNCTION("""COMPUTED_VALUE"""),45163.0)</f>
        <v>45163</v>
      </c>
      <c r="R859" s="45">
        <f>IFERROR(__xludf.DUMMYFUNCTION("""COMPUTED_VALUE"""),45204.0)</f>
        <v>45204</v>
      </c>
      <c r="S859" s="43"/>
      <c r="T859" s="43"/>
      <c r="U859" s="43" t="str">
        <f>IFERROR(__xludf.DUMMYFUNCTION("""COMPUTED_VALUE"""),"Global Classroom")</f>
        <v>Global Classroom</v>
      </c>
      <c r="V859" s="43" t="str">
        <f>IFERROR(__xludf.DUMMYFUNCTION("""COMPUTED_VALUE"""),"Instituto Politécnico do Porto - Instituto Superior de Engenharia do Porto (ISEP)")</f>
        <v>Instituto Politécnico do Porto - Instituto Superior de Engenharia do Porto (ISEP)</v>
      </c>
      <c r="W859" s="43" t="str">
        <f>IFERROR(__xludf.DUMMYFUNCTION("""COMPUTED_VALUE"""),"2022-09-29T15:42:23Z")</f>
        <v>2022-09-29T15:42:23Z</v>
      </c>
      <c r="X859" s="43"/>
      <c r="Y859" s="43"/>
      <c r="Z859" s="43"/>
    </row>
    <row r="860" hidden="1">
      <c r="A860" s="43" t="str">
        <f>IFERROR(__xludf.DUMMYFUNCTION("""COMPUTED_VALUE"""),"5257325_1291929")</f>
        <v>5257325_1291929</v>
      </c>
      <c r="B860" s="43" t="str">
        <f>IFERROR(__xludf.DUMMYFUNCTION("""COMPUTED_VALUE"""),"Shaima Ghaoui")</f>
        <v>Shaima Ghaoui</v>
      </c>
      <c r="C860" s="43" t="str">
        <f>IFERROR(__xludf.DUMMYFUNCTION("""COMPUTED_VALUE"""),"finished")</f>
        <v>finished</v>
      </c>
      <c r="D860" s="43" t="str">
        <f>IFERROR(__xludf.DUMMYFUNCTION("""COMPUTED_VALUE"""),"No")</f>
        <v>No</v>
      </c>
      <c r="E860" s="43" t="str">
        <f>IFERROR(__xludf.DUMMYFUNCTION("""COMPUTED_VALUE"""),"p_ac04ba1f682a9485d7d15fd48101c190b78f0d81@inbound.aiesec.org")</f>
        <v>p_ac04ba1f682a9485d7d15fd48101c190b78f0d81@inbound.aiesec.org</v>
      </c>
      <c r="F860" s="43"/>
      <c r="G860" s="43" t="str">
        <f>IFERROR(__xludf.DUMMYFUNCTION("""COMPUTED_VALUE"""),"Tunisia")</f>
        <v>Tunisia</v>
      </c>
      <c r="H860" s="43" t="str">
        <f>IFERROR(__xludf.DUMMYFUNCTION("""COMPUTED_VALUE"""),"BARDO")</f>
        <v>BARDO</v>
      </c>
      <c r="I860" s="43" t="str">
        <f>IFERROR(__xludf.DUMMYFUNCTION("""COMPUTED_VALUE"""),"Turkey")</f>
        <v>Turkey</v>
      </c>
      <c r="J860" s="43" t="str">
        <f>IFERROR(__xludf.DUMMYFUNCTION("""COMPUTED_VALUE"""),"TRABZON")</f>
        <v>TRABZON</v>
      </c>
      <c r="K860" s="44" t="str">
        <f>IFERROR(__xludf.DUMMYFUNCTION("""COMPUTED_VALUE"""),"https://expa.aiesec.org/opportunities/1291929")</f>
        <v>https://expa.aiesec.org/opportunities/1291929</v>
      </c>
      <c r="L860" s="43" t="str">
        <f>IFERROR(__xludf.DUMMYFUNCTION("""COMPUTED_VALUE"""),"GV")</f>
        <v>GV</v>
      </c>
      <c r="M860" s="43" t="str">
        <f>IFERROR(__xludf.DUMMYFUNCTION("""COMPUTED_VALUE"""),"short")</f>
        <v>short</v>
      </c>
      <c r="N860" s="45">
        <f>IFERROR(__xludf.DUMMYFUNCTION("""COMPUTED_VALUE"""),45062.0)</f>
        <v>45062</v>
      </c>
      <c r="O860" s="45">
        <f>IFERROR(__xludf.DUMMYFUNCTION("""COMPUTED_VALUE"""),45128.0)</f>
        <v>45128</v>
      </c>
      <c r="P860" s="45">
        <f>IFERROR(__xludf.DUMMYFUNCTION("""COMPUTED_VALUE"""),45170.0)</f>
        <v>45170</v>
      </c>
      <c r="Q860" s="45">
        <f>IFERROR(__xludf.DUMMYFUNCTION("""COMPUTED_VALUE"""),45133.0)</f>
        <v>45133</v>
      </c>
      <c r="R860" s="45">
        <f>IFERROR(__xludf.DUMMYFUNCTION("""COMPUTED_VALUE"""),45175.0)</f>
        <v>45175</v>
      </c>
      <c r="S860" s="43"/>
      <c r="T860" s="43"/>
      <c r="U860" s="43" t="str">
        <f>IFERROR(__xludf.DUMMYFUNCTION("""COMPUTED_VALUE"""),"Global Classroom")</f>
        <v>Global Classroom</v>
      </c>
      <c r="V860" s="43" t="str">
        <f>IFERROR(__xludf.DUMMYFUNCTION("""COMPUTED_VALUE"""),"FSHS Tunis")</f>
        <v>FSHS Tunis</v>
      </c>
      <c r="W860" s="43" t="str">
        <f>IFERROR(__xludf.DUMMYFUNCTION("""COMPUTED_VALUE"""),"2023-05-07T22:34:10Z")</f>
        <v>2023-05-07T22:34:10Z</v>
      </c>
      <c r="X860" s="43"/>
      <c r="Y860" s="43"/>
      <c r="Z860" s="43"/>
    </row>
    <row r="861" hidden="1">
      <c r="A861" s="43" t="str">
        <f>IFERROR(__xludf.DUMMYFUNCTION("""COMPUTED_VALUE"""),"5237865_1280872")</f>
        <v>5237865_1280872</v>
      </c>
      <c r="B861" s="43" t="str">
        <f>IFERROR(__xludf.DUMMYFUNCTION("""COMPUTED_VALUE"""),"May Bennejim")</f>
        <v>May Bennejim</v>
      </c>
      <c r="C861" s="43" t="str">
        <f>IFERROR(__xludf.DUMMYFUNCTION("""COMPUTED_VALUE"""),"completed")</f>
        <v>completed</v>
      </c>
      <c r="D861" s="43" t="str">
        <f>IFERROR(__xludf.DUMMYFUNCTION("""COMPUTED_VALUE"""),"No")</f>
        <v>No</v>
      </c>
      <c r="E861" s="43" t="str">
        <f>IFERROR(__xludf.DUMMYFUNCTION("""COMPUTED_VALUE"""),"p_e44e42f2131fac9fecd8ff77c0fe8906251b67d6@inbound.aiesec.org")</f>
        <v>p_e44e42f2131fac9fecd8ff77c0fe8906251b67d6@inbound.aiesec.org</v>
      </c>
      <c r="F861" s="43">
        <f>IFERROR(__xludf.DUMMYFUNCTION("""COMPUTED_VALUE"""),9.3757152E7)</f>
        <v>93757152</v>
      </c>
      <c r="G861" s="43" t="str">
        <f>IFERROR(__xludf.DUMMYFUNCTION("""COMPUTED_VALUE"""),"Tunisia")</f>
        <v>Tunisia</v>
      </c>
      <c r="H861" s="43" t="str">
        <f>IFERROR(__xludf.DUMMYFUNCTION("""COMPUTED_VALUE"""),"MEDINA")</f>
        <v>MEDINA</v>
      </c>
      <c r="I861" s="43" t="str">
        <f>IFERROR(__xludf.DUMMYFUNCTION("""COMPUTED_VALUE"""),"Turkey")</f>
        <v>Turkey</v>
      </c>
      <c r="J861" s="43" t="str">
        <f>IFERROR(__xludf.DUMMYFUNCTION("""COMPUTED_VALUE"""),"KOCAELI")</f>
        <v>KOCAELI</v>
      </c>
      <c r="K861" s="44" t="str">
        <f>IFERROR(__xludf.DUMMYFUNCTION("""COMPUTED_VALUE"""),"https://expa.aiesec.org/opportunities/1280872")</f>
        <v>https://expa.aiesec.org/opportunities/1280872</v>
      </c>
      <c r="L861" s="43" t="str">
        <f>IFERROR(__xludf.DUMMYFUNCTION("""COMPUTED_VALUE"""),"GV")</f>
        <v>GV</v>
      </c>
      <c r="M861" s="43" t="str">
        <f>IFERROR(__xludf.DUMMYFUNCTION("""COMPUTED_VALUE"""),"short")</f>
        <v>short</v>
      </c>
      <c r="N861" s="45">
        <f>IFERROR(__xludf.DUMMYFUNCTION("""COMPUTED_VALUE"""),45063.0)</f>
        <v>45063</v>
      </c>
      <c r="O861" s="45">
        <f>IFERROR(__xludf.DUMMYFUNCTION("""COMPUTED_VALUE"""),45117.0)</f>
        <v>45117</v>
      </c>
      <c r="P861" s="45">
        <f>IFERROR(__xludf.DUMMYFUNCTION("""COMPUTED_VALUE"""),45159.0)</f>
        <v>45159</v>
      </c>
      <c r="Q861" s="45">
        <f>IFERROR(__xludf.DUMMYFUNCTION("""COMPUTED_VALUE"""),45116.0)</f>
        <v>45116</v>
      </c>
      <c r="R861" s="45">
        <f>IFERROR(__xludf.DUMMYFUNCTION("""COMPUTED_VALUE"""),45159.0)</f>
        <v>45159</v>
      </c>
      <c r="S861" s="43"/>
      <c r="T861" s="43"/>
      <c r="U861" s="43" t="str">
        <f>IFERROR(__xludf.DUMMYFUNCTION("""COMPUTED_VALUE"""),"Skill Up!")</f>
        <v>Skill Up!</v>
      </c>
      <c r="V861" s="43" t="str">
        <f>IFERROR(__xludf.DUMMYFUNCTION("""COMPUTED_VALUE"""),"ESEN")</f>
        <v>ESEN</v>
      </c>
      <c r="W861" s="43" t="str">
        <f>IFERROR(__xludf.DUMMYFUNCTION("""COMPUTED_VALUE"""),"2023-04-08T23:35:07Z")</f>
        <v>2023-04-08T23:35:07Z</v>
      </c>
      <c r="X861" s="43"/>
      <c r="Y861" s="43"/>
      <c r="Z861" s="43"/>
    </row>
    <row r="862" hidden="1">
      <c r="A862" s="43" t="str">
        <f>IFERROR(__xludf.DUMMYFUNCTION("""COMPUTED_VALUE"""),"4395658_1287210")</f>
        <v>4395658_1287210</v>
      </c>
      <c r="B862" s="43" t="str">
        <f>IFERROR(__xludf.DUMMYFUNCTION("""COMPUTED_VALUE"""),"Mariem Mzali")</f>
        <v>Mariem Mzali</v>
      </c>
      <c r="C862" s="43" t="str">
        <f>IFERROR(__xludf.DUMMYFUNCTION("""COMPUTED_VALUE"""),"completed")</f>
        <v>completed</v>
      </c>
      <c r="D862" s="43" t="str">
        <f>IFERROR(__xludf.DUMMYFUNCTION("""COMPUTED_VALUE"""),"No")</f>
        <v>No</v>
      </c>
      <c r="E862" s="43" t="str">
        <f>IFERROR(__xludf.DUMMYFUNCTION("""COMPUTED_VALUE"""),"p_1be28031c56c457ba6b7d603b1b9ef17a6e9dc85@inbound.aiesec.org")</f>
        <v>p_1be28031c56c457ba6b7d603b1b9ef17a6e9dc85@inbound.aiesec.org</v>
      </c>
      <c r="F862" s="43">
        <f>IFERROR(__xludf.DUMMYFUNCTION("""COMPUTED_VALUE"""),9.5147928E7)</f>
        <v>95147928</v>
      </c>
      <c r="G862" s="43" t="str">
        <f>IFERROR(__xludf.DUMMYFUNCTION("""COMPUTED_VALUE"""),"Tunisia")</f>
        <v>Tunisia</v>
      </c>
      <c r="H862" s="43" t="str">
        <f>IFERROR(__xludf.DUMMYFUNCTION("""COMPUTED_VALUE"""),"BARDO")</f>
        <v>BARDO</v>
      </c>
      <c r="I862" s="43" t="str">
        <f>IFERROR(__xludf.DUMMYFUNCTION("""COMPUTED_VALUE"""),"Turkey")</f>
        <v>Turkey</v>
      </c>
      <c r="J862" s="43" t="str">
        <f>IFERROR(__xludf.DUMMYFUNCTION("""COMPUTED_VALUE"""),"ISTANBUL WEST")</f>
        <v>ISTANBUL WEST</v>
      </c>
      <c r="K862" s="44" t="str">
        <f>IFERROR(__xludf.DUMMYFUNCTION("""COMPUTED_VALUE"""),"https://expa.aiesec.org/opportunities/1287210")</f>
        <v>https://expa.aiesec.org/opportunities/1287210</v>
      </c>
      <c r="L862" s="43" t="str">
        <f>IFERROR(__xludf.DUMMYFUNCTION("""COMPUTED_VALUE"""),"GV")</f>
        <v>GV</v>
      </c>
      <c r="M862" s="43" t="str">
        <f>IFERROR(__xludf.DUMMYFUNCTION("""COMPUTED_VALUE"""),"short")</f>
        <v>short</v>
      </c>
      <c r="N862" s="45">
        <f>IFERROR(__xludf.DUMMYFUNCTION("""COMPUTED_VALUE"""),45063.0)</f>
        <v>45063</v>
      </c>
      <c r="O862" s="45">
        <f>IFERROR(__xludf.DUMMYFUNCTION("""COMPUTED_VALUE"""),45110.0)</f>
        <v>45110</v>
      </c>
      <c r="P862" s="45">
        <f>IFERROR(__xludf.DUMMYFUNCTION("""COMPUTED_VALUE"""),45152.0)</f>
        <v>45152</v>
      </c>
      <c r="Q862" s="45">
        <f>IFERROR(__xludf.DUMMYFUNCTION("""COMPUTED_VALUE"""),45111.0)</f>
        <v>45111</v>
      </c>
      <c r="R862" s="45">
        <f>IFERROR(__xludf.DUMMYFUNCTION("""COMPUTED_VALUE"""),45152.0)</f>
        <v>45152</v>
      </c>
      <c r="S862" s="43"/>
      <c r="T862" s="43"/>
      <c r="U862" s="43" t="str">
        <f>IFERROR(__xludf.DUMMYFUNCTION("""COMPUTED_VALUE"""),"Global Classroom")</f>
        <v>Global Classroom</v>
      </c>
      <c r="V862" s="43" t="str">
        <f>IFERROR(__xludf.DUMMYFUNCTION("""COMPUTED_VALUE"""),"TBS")</f>
        <v>TBS</v>
      </c>
      <c r="W862" s="43" t="str">
        <f>IFERROR(__xludf.DUMMYFUNCTION("""COMPUTED_VALUE"""),"2020-10-14T11:57:24Z")</f>
        <v>2020-10-14T11:57:24Z</v>
      </c>
      <c r="X862" s="43"/>
      <c r="Y862" s="43"/>
      <c r="Z862" s="43"/>
    </row>
    <row r="863" hidden="1">
      <c r="A863" s="43" t="str">
        <f>IFERROR(__xludf.DUMMYFUNCTION("""COMPUTED_VALUE"""),"4751368_1294127")</f>
        <v>4751368_1294127</v>
      </c>
      <c r="B863" s="43" t="str">
        <f>IFERROR(__xludf.DUMMYFUNCTION("""COMPUTED_VALUE"""),"mariem boudabous")</f>
        <v>mariem boudabous</v>
      </c>
      <c r="C863" s="43" t="str">
        <f>IFERROR(__xludf.DUMMYFUNCTION("""COMPUTED_VALUE"""),"approved")</f>
        <v>approved</v>
      </c>
      <c r="D863" s="43" t="str">
        <f>IFERROR(__xludf.DUMMYFUNCTION("""COMPUTED_VALUE"""),"No")</f>
        <v>No</v>
      </c>
      <c r="E863" s="43" t="str">
        <f>IFERROR(__xludf.DUMMYFUNCTION("""COMPUTED_VALUE"""),"p_fd98cee3429267833b9acda171e3b995bb77df67@inbound.aiesec.org")</f>
        <v>p_fd98cee3429267833b9acda171e3b995bb77df67@inbound.aiesec.org</v>
      </c>
      <c r="F863" s="43">
        <f>IFERROR(__xludf.DUMMYFUNCTION("""COMPUTED_VALUE"""),5.1644063E7)</f>
        <v>51644063</v>
      </c>
      <c r="G863" s="43" t="str">
        <f>IFERROR(__xludf.DUMMYFUNCTION("""COMPUTED_VALUE"""),"Tunisia")</f>
        <v>Tunisia</v>
      </c>
      <c r="H863" s="43" t="str">
        <f>IFERROR(__xludf.DUMMYFUNCTION("""COMPUTED_VALUE"""),"BARDO")</f>
        <v>BARDO</v>
      </c>
      <c r="I863" s="43" t="str">
        <f>IFERROR(__xludf.DUMMYFUNCTION("""COMPUTED_VALUE"""),"Turkey")</f>
        <v>Turkey</v>
      </c>
      <c r="J863" s="43" t="str">
        <f>IFERROR(__xludf.DUMMYFUNCTION("""COMPUTED_VALUE"""),"ADANA")</f>
        <v>ADANA</v>
      </c>
      <c r="K863" s="44" t="str">
        <f>IFERROR(__xludf.DUMMYFUNCTION("""COMPUTED_VALUE"""),"https://expa.aiesec.org/opportunities/1294127")</f>
        <v>https://expa.aiesec.org/opportunities/1294127</v>
      </c>
      <c r="L863" s="43" t="str">
        <f>IFERROR(__xludf.DUMMYFUNCTION("""COMPUTED_VALUE"""),"GV")</f>
        <v>GV</v>
      </c>
      <c r="M863" s="43" t="str">
        <f>IFERROR(__xludf.DUMMYFUNCTION("""COMPUTED_VALUE"""),"short")</f>
        <v>short</v>
      </c>
      <c r="N863" s="45">
        <f>IFERROR(__xludf.DUMMYFUNCTION("""COMPUTED_VALUE"""),45063.0)</f>
        <v>45063</v>
      </c>
      <c r="O863" s="45">
        <f>IFERROR(__xludf.DUMMYFUNCTION("""COMPUTED_VALUE"""),45131.0)</f>
        <v>45131</v>
      </c>
      <c r="P863" s="45">
        <f>IFERROR(__xludf.DUMMYFUNCTION("""COMPUTED_VALUE"""),45177.0)</f>
        <v>45177</v>
      </c>
      <c r="Q863" s="45"/>
      <c r="R863" s="45"/>
      <c r="S863" s="43"/>
      <c r="T863" s="43"/>
      <c r="U863" s="43" t="str">
        <f>IFERROR(__xludf.DUMMYFUNCTION("""COMPUTED_VALUE"""),"Equify")</f>
        <v>Equify</v>
      </c>
      <c r="V863" s="43" t="str">
        <f>IFERROR(__xludf.DUMMYFUNCTION("""COMPUTED_VALUE"""),"ESPRIT El Ghazela ")</f>
        <v>ESPRIT El Ghazela </v>
      </c>
      <c r="W863" s="43" t="str">
        <f>IFERROR(__xludf.DUMMYFUNCTION("""COMPUTED_VALUE"""),"2021-09-28T09:29:43Z")</f>
        <v>2021-09-28T09:29:43Z</v>
      </c>
      <c r="X863" s="43"/>
      <c r="Y863" s="43"/>
      <c r="Z863" s="43"/>
    </row>
    <row r="864" hidden="1">
      <c r="A864" s="43" t="str">
        <f>IFERROR(__xludf.DUMMYFUNCTION("""COMPUTED_VALUE"""),"5214855_1294976")</f>
        <v>5214855_1294976</v>
      </c>
      <c r="B864" s="43" t="str">
        <f>IFERROR(__xludf.DUMMYFUNCTION("""COMPUTED_VALUE"""),"Jelena Markovic")</f>
        <v>Jelena Markovic</v>
      </c>
      <c r="C864" s="43" t="str">
        <f>IFERROR(__xludf.DUMMYFUNCTION("""COMPUTED_VALUE"""),"completed")</f>
        <v>completed</v>
      </c>
      <c r="D864" s="43" t="str">
        <f>IFERROR(__xludf.DUMMYFUNCTION("""COMPUTED_VALUE"""),"No")</f>
        <v>No</v>
      </c>
      <c r="E864" s="43" t="str">
        <f>IFERROR(__xludf.DUMMYFUNCTION("""COMPUTED_VALUE"""),"p_9f1e390c2531e11b9e65accb9208d71c601108a1@inbound.aiesec.org")</f>
        <v>p_9f1e390c2531e11b9e65accb9208d71c601108a1@inbound.aiesec.org</v>
      </c>
      <c r="F864" s="43">
        <f>IFERROR(__xludf.DUMMYFUNCTION("""COMPUTED_VALUE"""),6.28442393E8)</f>
        <v>628442393</v>
      </c>
      <c r="G864" s="43" t="str">
        <f>IFERROR(__xludf.DUMMYFUNCTION("""COMPUTED_VALUE"""),"Serbia")</f>
        <v>Serbia</v>
      </c>
      <c r="H864" s="43" t="str">
        <f>IFERROR(__xludf.DUMMYFUNCTION("""COMPUTED_VALUE"""),"Bg")</f>
        <v>Bg</v>
      </c>
      <c r="I864" s="43" t="str">
        <f>IFERROR(__xludf.DUMMYFUNCTION("""COMPUTED_VALUE"""),"Turkey")</f>
        <v>Turkey</v>
      </c>
      <c r="J864" s="43" t="str">
        <f>IFERROR(__xludf.DUMMYFUNCTION("""COMPUTED_VALUE"""),"BURSA")</f>
        <v>BURSA</v>
      </c>
      <c r="K864" s="44" t="str">
        <f>IFERROR(__xludf.DUMMYFUNCTION("""COMPUTED_VALUE"""),"https://expa.aiesec.org/opportunities/1294976")</f>
        <v>https://expa.aiesec.org/opportunities/1294976</v>
      </c>
      <c r="L864" s="43" t="str">
        <f>IFERROR(__xludf.DUMMYFUNCTION("""COMPUTED_VALUE"""),"GV")</f>
        <v>GV</v>
      </c>
      <c r="M864" s="43" t="str">
        <f>IFERROR(__xludf.DUMMYFUNCTION("""COMPUTED_VALUE"""),"short")</f>
        <v>short</v>
      </c>
      <c r="N864" s="45">
        <f>IFERROR(__xludf.DUMMYFUNCTION("""COMPUTED_VALUE"""),45063.0)</f>
        <v>45063</v>
      </c>
      <c r="O864" s="45">
        <f>IFERROR(__xludf.DUMMYFUNCTION("""COMPUTED_VALUE"""),45117.0)</f>
        <v>45117</v>
      </c>
      <c r="P864" s="45">
        <f>IFERROR(__xludf.DUMMYFUNCTION("""COMPUTED_VALUE"""),45159.0)</f>
        <v>45159</v>
      </c>
      <c r="Q864" s="45">
        <f>IFERROR(__xludf.DUMMYFUNCTION("""COMPUTED_VALUE"""),45118.0)</f>
        <v>45118</v>
      </c>
      <c r="R864" s="45">
        <f>IFERROR(__xludf.DUMMYFUNCTION("""COMPUTED_VALUE"""),45159.0)</f>
        <v>45159</v>
      </c>
      <c r="S864" s="43"/>
      <c r="T864" s="43"/>
      <c r="U864" s="43" t="str">
        <f>IFERROR(__xludf.DUMMYFUNCTION("""COMPUTED_VALUE"""),"Youth 4 Impact")</f>
        <v>Youth 4 Impact</v>
      </c>
      <c r="V864" s="43" t="str">
        <f>IFERROR(__xludf.DUMMYFUNCTION("""COMPUTED_VALUE"""),"Faculty of Philology, Belgrade")</f>
        <v>Faculty of Philology, Belgrade</v>
      </c>
      <c r="W864" s="43" t="str">
        <f>IFERROR(__xludf.DUMMYFUNCTION("""COMPUTED_VALUE"""),"2023-03-13T15:31:13Z")</f>
        <v>2023-03-13T15:31:13Z</v>
      </c>
      <c r="X864" s="43"/>
      <c r="Y864" s="43"/>
      <c r="Z864" s="43"/>
    </row>
    <row r="865" hidden="1">
      <c r="A865" s="43" t="str">
        <f>IFERROR(__xludf.DUMMYFUNCTION("""COMPUTED_VALUE"""),"5249301_1294976")</f>
        <v>5249301_1294976</v>
      </c>
      <c r="B865" s="43" t="str">
        <f>IFERROR(__xludf.DUMMYFUNCTION("""COMPUTED_VALUE"""),"Clarisa Ciceovean")</f>
        <v>Clarisa Ciceovean</v>
      </c>
      <c r="C865" s="43" t="str">
        <f>IFERROR(__xludf.DUMMYFUNCTION("""COMPUTED_VALUE"""),"completed")</f>
        <v>completed</v>
      </c>
      <c r="D865" s="43" t="str">
        <f>IFERROR(__xludf.DUMMYFUNCTION("""COMPUTED_VALUE"""),"No")</f>
        <v>No</v>
      </c>
      <c r="E865" s="43" t="str">
        <f>IFERROR(__xludf.DUMMYFUNCTION("""COMPUTED_VALUE"""),"p_52cf923cdecdb91def8d109de2e843de75682e77@inbound.aiesec.org")</f>
        <v>p_52cf923cdecdb91def8d109de2e843de75682e77@inbound.aiesec.org</v>
      </c>
      <c r="F865" s="43"/>
      <c r="G865" s="43" t="str">
        <f>IFERROR(__xludf.DUMMYFUNCTION("""COMPUTED_VALUE"""),"Romania")</f>
        <v>Romania</v>
      </c>
      <c r="H865" s="43" t="str">
        <f>IFERROR(__xludf.DUMMYFUNCTION("""COMPUTED_VALUE"""),"TIMISOARA")</f>
        <v>TIMISOARA</v>
      </c>
      <c r="I865" s="43" t="str">
        <f>IFERROR(__xludf.DUMMYFUNCTION("""COMPUTED_VALUE"""),"Turkey")</f>
        <v>Turkey</v>
      </c>
      <c r="J865" s="43" t="str">
        <f>IFERROR(__xludf.DUMMYFUNCTION("""COMPUTED_VALUE"""),"BURSA")</f>
        <v>BURSA</v>
      </c>
      <c r="K865" s="44" t="str">
        <f>IFERROR(__xludf.DUMMYFUNCTION("""COMPUTED_VALUE"""),"https://expa.aiesec.org/opportunities/1294976")</f>
        <v>https://expa.aiesec.org/opportunities/1294976</v>
      </c>
      <c r="L865" s="43" t="str">
        <f>IFERROR(__xludf.DUMMYFUNCTION("""COMPUTED_VALUE"""),"GV")</f>
        <v>GV</v>
      </c>
      <c r="M865" s="43" t="str">
        <f>IFERROR(__xludf.DUMMYFUNCTION("""COMPUTED_VALUE"""),"short")</f>
        <v>short</v>
      </c>
      <c r="N865" s="45">
        <f>IFERROR(__xludf.DUMMYFUNCTION("""COMPUTED_VALUE"""),45063.0)</f>
        <v>45063</v>
      </c>
      <c r="O865" s="45">
        <f>IFERROR(__xludf.DUMMYFUNCTION("""COMPUTED_VALUE"""),45117.0)</f>
        <v>45117</v>
      </c>
      <c r="P865" s="45">
        <f>IFERROR(__xludf.DUMMYFUNCTION("""COMPUTED_VALUE"""),45159.0)</f>
        <v>45159</v>
      </c>
      <c r="Q865" s="45">
        <f>IFERROR(__xludf.DUMMYFUNCTION("""COMPUTED_VALUE"""),45118.0)</f>
        <v>45118</v>
      </c>
      <c r="R865" s="45">
        <f>IFERROR(__xludf.DUMMYFUNCTION("""COMPUTED_VALUE"""),45159.0)</f>
        <v>45159</v>
      </c>
      <c r="S865" s="43"/>
      <c r="T865" s="43"/>
      <c r="U865" s="43" t="str">
        <f>IFERROR(__xludf.DUMMYFUNCTION("""COMPUTED_VALUE"""),"Youth 4 Impact")</f>
        <v>Youth 4 Impact</v>
      </c>
      <c r="V865" s="43" t="str">
        <f>IFERROR(__xludf.DUMMYFUNCTION("""COMPUTED_VALUE"""),"Timisoara")</f>
        <v>Timisoara</v>
      </c>
      <c r="W865" s="43" t="str">
        <f>IFERROR(__xludf.DUMMYFUNCTION("""COMPUTED_VALUE"""),"2023-04-25T17:21:51Z")</f>
        <v>2023-04-25T17:21:51Z</v>
      </c>
      <c r="X865" s="43"/>
      <c r="Y865" s="43"/>
      <c r="Z865" s="43"/>
    </row>
    <row r="866" hidden="1">
      <c r="A866" s="43" t="str">
        <f>IFERROR(__xludf.DUMMYFUNCTION("""COMPUTED_VALUE"""),"5237949_1294976")</f>
        <v>5237949_1294976</v>
      </c>
      <c r="B866" s="43" t="str">
        <f>IFERROR(__xludf.DUMMYFUNCTION("""COMPUTED_VALUE"""),"Mesquita Elizangela")</f>
        <v>Mesquita Elizangela</v>
      </c>
      <c r="C866" s="43" t="str">
        <f>IFERROR(__xludf.DUMMYFUNCTION("""COMPUTED_VALUE"""),"approved")</f>
        <v>approved</v>
      </c>
      <c r="D866" s="43" t="str">
        <f>IFERROR(__xludf.DUMMYFUNCTION("""COMPUTED_VALUE"""),"No")</f>
        <v>No</v>
      </c>
      <c r="E866" s="43" t="str">
        <f>IFERROR(__xludf.DUMMYFUNCTION("""COMPUTED_VALUE"""),"p_ca59c35a5038476cd8ffaaa17f825a32bfe2fc8a@inbound.aiesec.org")</f>
        <v>p_ca59c35a5038476cd8ffaaa17f825a32bfe2fc8a@inbound.aiesec.org</v>
      </c>
      <c r="F866" s="43">
        <f>IFERROR(__xludf.DUMMYFUNCTION("""COMPUTED_VALUE"""),7.20336723E8)</f>
        <v>720336723</v>
      </c>
      <c r="G866" s="43" t="str">
        <f>IFERROR(__xludf.DUMMYFUNCTION("""COMPUTED_VALUE"""),"Romania")</f>
        <v>Romania</v>
      </c>
      <c r="H866" s="43" t="str">
        <f>IFERROR(__xludf.DUMMYFUNCTION("""COMPUTED_VALUE"""),"TIMISOARA")</f>
        <v>TIMISOARA</v>
      </c>
      <c r="I866" s="43" t="str">
        <f>IFERROR(__xludf.DUMMYFUNCTION("""COMPUTED_VALUE"""),"Turkey")</f>
        <v>Turkey</v>
      </c>
      <c r="J866" s="43" t="str">
        <f>IFERROR(__xludf.DUMMYFUNCTION("""COMPUTED_VALUE"""),"BURSA")</f>
        <v>BURSA</v>
      </c>
      <c r="K866" s="44" t="str">
        <f>IFERROR(__xludf.DUMMYFUNCTION("""COMPUTED_VALUE"""),"https://expa.aiesec.org/opportunities/1294976")</f>
        <v>https://expa.aiesec.org/opportunities/1294976</v>
      </c>
      <c r="L866" s="43" t="str">
        <f>IFERROR(__xludf.DUMMYFUNCTION("""COMPUTED_VALUE"""),"GV")</f>
        <v>GV</v>
      </c>
      <c r="M866" s="43" t="str">
        <f>IFERROR(__xludf.DUMMYFUNCTION("""COMPUTED_VALUE"""),"short")</f>
        <v>short</v>
      </c>
      <c r="N866" s="45">
        <f>IFERROR(__xludf.DUMMYFUNCTION("""COMPUTED_VALUE"""),45063.0)</f>
        <v>45063</v>
      </c>
      <c r="O866" s="45">
        <f>IFERROR(__xludf.DUMMYFUNCTION("""COMPUTED_VALUE"""),45117.0)</f>
        <v>45117</v>
      </c>
      <c r="P866" s="45">
        <f>IFERROR(__xludf.DUMMYFUNCTION("""COMPUTED_VALUE"""),45159.0)</f>
        <v>45159</v>
      </c>
      <c r="Q866" s="45"/>
      <c r="R866" s="45"/>
      <c r="S866" s="43"/>
      <c r="T866" s="43"/>
      <c r="U866" s="43" t="str">
        <f>IFERROR(__xludf.DUMMYFUNCTION("""COMPUTED_VALUE"""),"Youth 4 Impact")</f>
        <v>Youth 4 Impact</v>
      </c>
      <c r="V866" s="43" t="str">
        <f>IFERROR(__xludf.DUMMYFUNCTION("""COMPUTED_VALUE"""),"Timisoara")</f>
        <v>Timisoara</v>
      </c>
      <c r="W866" s="43" t="str">
        <f>IFERROR(__xludf.DUMMYFUNCTION("""COMPUTED_VALUE"""),"2023-04-09T06:33:52Z")</f>
        <v>2023-04-09T06:33:52Z</v>
      </c>
      <c r="X866" s="43"/>
      <c r="Y866" s="43"/>
      <c r="Z866" s="43"/>
    </row>
    <row r="867" hidden="1">
      <c r="A867" s="43" t="str">
        <f>IFERROR(__xludf.DUMMYFUNCTION("""COMPUTED_VALUE"""),"5258499_1288721")</f>
        <v>5258499_1288721</v>
      </c>
      <c r="B867" s="43" t="str">
        <f>IFERROR(__xludf.DUMMYFUNCTION("""COMPUTED_VALUE"""),"Ayazhan Beimbetova")</f>
        <v>Ayazhan Beimbetova</v>
      </c>
      <c r="C867" s="43" t="str">
        <f>IFERROR(__xludf.DUMMYFUNCTION("""COMPUTED_VALUE"""),"completed")</f>
        <v>completed</v>
      </c>
      <c r="D867" s="43" t="str">
        <f>IFERROR(__xludf.DUMMYFUNCTION("""COMPUTED_VALUE"""),"No")</f>
        <v>No</v>
      </c>
      <c r="E867" s="43" t="str">
        <f>IFERROR(__xludf.DUMMYFUNCTION("""COMPUTED_VALUE"""),"p_7206e3a0c90109d56accfe964f0d10a5a14c7fbd@inbound.aiesec.org")</f>
        <v>p_7206e3a0c90109d56accfe964f0d10a5a14c7fbd@inbound.aiesec.org</v>
      </c>
      <c r="F867" s="43"/>
      <c r="G867" s="43" t="str">
        <f>IFERROR(__xludf.DUMMYFUNCTION("""COMPUTED_VALUE"""),"Kazakhstan")</f>
        <v>Kazakhstan</v>
      </c>
      <c r="H867" s="43" t="str">
        <f>IFERROR(__xludf.DUMMYFUNCTION("""COMPUTED_VALUE"""),"ALMATY")</f>
        <v>ALMATY</v>
      </c>
      <c r="I867" s="43" t="str">
        <f>IFERROR(__xludf.DUMMYFUNCTION("""COMPUTED_VALUE"""),"Turkey")</f>
        <v>Turkey</v>
      </c>
      <c r="J867" s="43" t="str">
        <f>IFERROR(__xludf.DUMMYFUNCTION("""COMPUTED_VALUE"""),"KUTAHYA")</f>
        <v>KUTAHYA</v>
      </c>
      <c r="K867" s="44" t="str">
        <f>IFERROR(__xludf.DUMMYFUNCTION("""COMPUTED_VALUE"""),"https://expa.aiesec.org/opportunities/1288721")</f>
        <v>https://expa.aiesec.org/opportunities/1288721</v>
      </c>
      <c r="L867" s="43" t="str">
        <f>IFERROR(__xludf.DUMMYFUNCTION("""COMPUTED_VALUE"""),"GV")</f>
        <v>GV</v>
      </c>
      <c r="M867" s="43" t="str">
        <f>IFERROR(__xludf.DUMMYFUNCTION("""COMPUTED_VALUE"""),"short")</f>
        <v>short</v>
      </c>
      <c r="N867" s="45">
        <f>IFERROR(__xludf.DUMMYFUNCTION("""COMPUTED_VALUE"""),45063.0)</f>
        <v>45063</v>
      </c>
      <c r="O867" s="45">
        <f>IFERROR(__xludf.DUMMYFUNCTION("""COMPUTED_VALUE"""),45096.0)</f>
        <v>45096</v>
      </c>
      <c r="P867" s="45">
        <f>IFERROR(__xludf.DUMMYFUNCTION("""COMPUTED_VALUE"""),45138.0)</f>
        <v>45138</v>
      </c>
      <c r="Q867" s="45">
        <f>IFERROR(__xludf.DUMMYFUNCTION("""COMPUTED_VALUE"""),45095.0)</f>
        <v>45095</v>
      </c>
      <c r="R867" s="45">
        <f>IFERROR(__xludf.DUMMYFUNCTION("""COMPUTED_VALUE"""),45138.0)</f>
        <v>45138</v>
      </c>
      <c r="S867" s="43"/>
      <c r="T867" s="43"/>
      <c r="U867" s="43" t="str">
        <f>IFERROR(__xludf.DUMMYFUNCTION("""COMPUTED_VALUE"""),"On The Map")</f>
        <v>On The Map</v>
      </c>
      <c r="V867" s="43" t="str">
        <f>IFERROR(__xludf.DUMMYFUNCTION("""COMPUTED_VALUE"""),"-")</f>
        <v>-</v>
      </c>
      <c r="W867" s="43" t="str">
        <f>IFERROR(__xludf.DUMMYFUNCTION("""COMPUTED_VALUE"""),"2023-05-09T19:15:55Z")</f>
        <v>2023-05-09T19:15:55Z</v>
      </c>
      <c r="X867" s="43"/>
      <c r="Y867" s="43"/>
      <c r="Z867" s="43"/>
    </row>
    <row r="868" hidden="1">
      <c r="A868" s="43" t="str">
        <f>IFERROR(__xludf.DUMMYFUNCTION("""COMPUTED_VALUE"""),"5258250_1287749")</f>
        <v>5258250_1287749</v>
      </c>
      <c r="B868" s="43" t="str">
        <f>IFERROR(__xludf.DUMMYFUNCTION("""COMPUTED_VALUE"""),"Alin-Pavel Stratina")</f>
        <v>Alin-Pavel Stratina</v>
      </c>
      <c r="C868" s="43" t="str">
        <f>IFERROR(__xludf.DUMMYFUNCTION("""COMPUTED_VALUE"""),"finished")</f>
        <v>finished</v>
      </c>
      <c r="D868" s="43" t="str">
        <f>IFERROR(__xludf.DUMMYFUNCTION("""COMPUTED_VALUE"""),"No")</f>
        <v>No</v>
      </c>
      <c r="E868" s="43" t="str">
        <f>IFERROR(__xludf.DUMMYFUNCTION("""COMPUTED_VALUE"""),"p_d17e0f797d80ea1af6ce9f2a242658dc6a1fb01e@inbound.aiesec.org")</f>
        <v>p_d17e0f797d80ea1af6ce9f2a242658dc6a1fb01e@inbound.aiesec.org</v>
      </c>
      <c r="F868" s="43">
        <f>IFERROR(__xludf.DUMMYFUNCTION("""COMPUTED_VALUE"""),7.69016341E8)</f>
        <v>769016341</v>
      </c>
      <c r="G868" s="43" t="str">
        <f>IFERROR(__xludf.DUMMYFUNCTION("""COMPUTED_VALUE"""),"Romania")</f>
        <v>Romania</v>
      </c>
      <c r="H868" s="43" t="str">
        <f>IFERROR(__xludf.DUMMYFUNCTION("""COMPUTED_VALUE"""),"BUCURESTI")</f>
        <v>BUCURESTI</v>
      </c>
      <c r="I868" s="43" t="str">
        <f>IFERROR(__xludf.DUMMYFUNCTION("""COMPUTED_VALUE"""),"Turkey")</f>
        <v>Turkey</v>
      </c>
      <c r="J868" s="43" t="str">
        <f>IFERROR(__xludf.DUMMYFUNCTION("""COMPUTED_VALUE"""),"İZMİR")</f>
        <v>İZMİR</v>
      </c>
      <c r="K868" s="44" t="str">
        <f>IFERROR(__xludf.DUMMYFUNCTION("""COMPUTED_VALUE"""),"https://expa.aiesec.org/opportunities/1287749")</f>
        <v>https://expa.aiesec.org/opportunities/1287749</v>
      </c>
      <c r="L868" s="43" t="str">
        <f>IFERROR(__xludf.DUMMYFUNCTION("""COMPUTED_VALUE"""),"GV")</f>
        <v>GV</v>
      </c>
      <c r="M868" s="43" t="str">
        <f>IFERROR(__xludf.DUMMYFUNCTION("""COMPUTED_VALUE"""),"short")</f>
        <v>short</v>
      </c>
      <c r="N868" s="45">
        <f>IFERROR(__xludf.DUMMYFUNCTION("""COMPUTED_VALUE"""),45063.0)</f>
        <v>45063</v>
      </c>
      <c r="O868" s="45">
        <f>IFERROR(__xludf.DUMMYFUNCTION("""COMPUTED_VALUE"""),45130.0)</f>
        <v>45130</v>
      </c>
      <c r="P868" s="45">
        <f>IFERROR(__xludf.DUMMYFUNCTION("""COMPUTED_VALUE"""),45172.0)</f>
        <v>45172</v>
      </c>
      <c r="Q868" s="45">
        <f>IFERROR(__xludf.DUMMYFUNCTION("""COMPUTED_VALUE"""),45132.0)</f>
        <v>45132</v>
      </c>
      <c r="R868" s="45">
        <f>IFERROR(__xludf.DUMMYFUNCTION("""COMPUTED_VALUE"""),45174.0)</f>
        <v>45174</v>
      </c>
      <c r="S868" s="43"/>
      <c r="T868" s="43"/>
      <c r="U868" s="43" t="str">
        <f>IFERROR(__xludf.DUMMYFUNCTION("""COMPUTED_VALUE"""),"Global Classroom")</f>
        <v>Global Classroom</v>
      </c>
      <c r="V868" s="43" t="str">
        <f>IFERROR(__xludf.DUMMYFUNCTION("""COMPUTED_VALUE"""),"Bucuresti")</f>
        <v>Bucuresti</v>
      </c>
      <c r="W868" s="43" t="str">
        <f>IFERROR(__xludf.DUMMYFUNCTION("""COMPUTED_VALUE"""),"2023-05-09T12:43:53Z")</f>
        <v>2023-05-09T12:43:53Z</v>
      </c>
      <c r="X868" s="43"/>
      <c r="Y868" s="43"/>
      <c r="Z868" s="43"/>
    </row>
    <row r="869" hidden="1">
      <c r="A869" s="43" t="str">
        <f>IFERROR(__xludf.DUMMYFUNCTION("""COMPUTED_VALUE"""),"5231058_1289597")</f>
        <v>5231058_1289597</v>
      </c>
      <c r="B869" s="43" t="str">
        <f>IFERROR(__xludf.DUMMYFUNCTION("""COMPUTED_VALUE"""),"Abu Naim Ahmad")</f>
        <v>Abu Naim Ahmad</v>
      </c>
      <c r="C869" s="43" t="str">
        <f>IFERROR(__xludf.DUMMYFUNCTION("""COMPUTED_VALUE"""),"approved")</f>
        <v>approved</v>
      </c>
      <c r="D869" s="43" t="str">
        <f>IFERROR(__xludf.DUMMYFUNCTION("""COMPUTED_VALUE"""),"No")</f>
        <v>No</v>
      </c>
      <c r="E869" s="43" t="str">
        <f>IFERROR(__xludf.DUMMYFUNCTION("""COMPUTED_VALUE"""),"p_4def7318691fde7bdc9ffba0b6c51628280d5126@inbound.aiesec.org")</f>
        <v>p_4def7318691fde7bdc9ffba0b6c51628280d5126@inbound.aiesec.org</v>
      </c>
      <c r="F869" s="43">
        <f>IFERROR(__xludf.DUMMYFUNCTION("""COMPUTED_VALUE"""),7.75532304E8)</f>
        <v>775532304</v>
      </c>
      <c r="G869" s="43" t="str">
        <f>IFERROR(__xludf.DUMMYFUNCTION("""COMPUTED_VALUE"""),"Romania")</f>
        <v>Romania</v>
      </c>
      <c r="H869" s="43" t="str">
        <f>IFERROR(__xludf.DUMMYFUNCTION("""COMPUTED_VALUE"""),"BUCURESTI")</f>
        <v>BUCURESTI</v>
      </c>
      <c r="I869" s="43" t="str">
        <f>IFERROR(__xludf.DUMMYFUNCTION("""COMPUTED_VALUE"""),"Turkey")</f>
        <v>Turkey</v>
      </c>
      <c r="J869" s="43" t="str">
        <f>IFERROR(__xludf.DUMMYFUNCTION("""COMPUTED_VALUE"""),"ISPARTA")</f>
        <v>ISPARTA</v>
      </c>
      <c r="K869" s="44" t="str">
        <f>IFERROR(__xludf.DUMMYFUNCTION("""COMPUTED_VALUE"""),"https://expa.aiesec.org/opportunities/1289597")</f>
        <v>https://expa.aiesec.org/opportunities/1289597</v>
      </c>
      <c r="L869" s="43" t="str">
        <f>IFERROR(__xludf.DUMMYFUNCTION("""COMPUTED_VALUE"""),"GV")</f>
        <v>GV</v>
      </c>
      <c r="M869" s="43" t="str">
        <f>IFERROR(__xludf.DUMMYFUNCTION("""COMPUTED_VALUE"""),"short")</f>
        <v>short</v>
      </c>
      <c r="N869" s="45">
        <f>IFERROR(__xludf.DUMMYFUNCTION("""COMPUTED_VALUE"""),45063.0)</f>
        <v>45063</v>
      </c>
      <c r="O869" s="45">
        <f>IFERROR(__xludf.DUMMYFUNCTION("""COMPUTED_VALUE"""),45201.0)</f>
        <v>45201</v>
      </c>
      <c r="P869" s="45">
        <f>IFERROR(__xludf.DUMMYFUNCTION("""COMPUTED_VALUE"""),45243.0)</f>
        <v>45243</v>
      </c>
      <c r="Q869" s="45"/>
      <c r="R869" s="45"/>
      <c r="S869" s="43"/>
      <c r="T869" s="43"/>
      <c r="U869" s="43" t="str">
        <f>IFERROR(__xludf.DUMMYFUNCTION("""COMPUTED_VALUE"""),"Global Classroom")</f>
        <v>Global Classroom</v>
      </c>
      <c r="V869" s="43" t="str">
        <f>IFERROR(__xludf.DUMMYFUNCTION("""COMPUTED_VALUE"""),"Bucuresti")</f>
        <v>Bucuresti</v>
      </c>
      <c r="W869" s="43" t="str">
        <f>IFERROR(__xludf.DUMMYFUNCTION("""COMPUTED_VALUE"""),"2023-03-30T14:05:27Z")</f>
        <v>2023-03-30T14:05:27Z</v>
      </c>
      <c r="X869" s="43"/>
      <c r="Y869" s="43"/>
      <c r="Z869" s="43"/>
    </row>
    <row r="870" hidden="1">
      <c r="A870" s="43" t="str">
        <f>IFERROR(__xludf.DUMMYFUNCTION("""COMPUTED_VALUE"""),"5262409_1287851")</f>
        <v>5262409_1287851</v>
      </c>
      <c r="B870" s="43" t="str">
        <f>IFERROR(__xludf.DUMMYFUNCTION("""COMPUTED_VALUE"""),"Alkisti Kostelenou")</f>
        <v>Alkisti Kostelenou</v>
      </c>
      <c r="C870" s="43" t="str">
        <f>IFERROR(__xludf.DUMMYFUNCTION("""COMPUTED_VALUE"""),"approved")</f>
        <v>approved</v>
      </c>
      <c r="D870" s="43" t="str">
        <f>IFERROR(__xludf.DUMMYFUNCTION("""COMPUTED_VALUE"""),"No")</f>
        <v>No</v>
      </c>
      <c r="E870" s="43" t="str">
        <f>IFERROR(__xludf.DUMMYFUNCTION("""COMPUTED_VALUE"""),"p_71408fafc62e4059729ce3c31b2a9a80d1b47d35@inbound.aiesec.org")</f>
        <v>p_71408fafc62e4059729ce3c31b2a9a80d1b47d35@inbound.aiesec.org</v>
      </c>
      <c r="F870" s="43">
        <f>IFERROR(__xludf.DUMMYFUNCTION("""COMPUTED_VALUE"""),6.943534941E9)</f>
        <v>6943534941</v>
      </c>
      <c r="G870" s="43" t="str">
        <f>IFERROR(__xludf.DUMMYFUNCTION("""COMPUTED_VALUE"""),"Greece")</f>
        <v>Greece</v>
      </c>
      <c r="H870" s="43" t="str">
        <f>IFERROR(__xludf.DUMMYFUNCTION("""COMPUTED_VALUE"""),"UNIVERSITY OF PATRAS")</f>
        <v>UNIVERSITY OF PATRAS</v>
      </c>
      <c r="I870" s="43" t="str">
        <f>IFERROR(__xludf.DUMMYFUNCTION("""COMPUTED_VALUE"""),"Turkey")</f>
        <v>Turkey</v>
      </c>
      <c r="J870" s="43" t="str">
        <f>IFERROR(__xludf.DUMMYFUNCTION("""COMPUTED_VALUE"""),"KOCAELI")</f>
        <v>KOCAELI</v>
      </c>
      <c r="K870" s="44" t="str">
        <f>IFERROR(__xludf.DUMMYFUNCTION("""COMPUTED_VALUE"""),"https://expa.aiesec.org/opportunities/1287851")</f>
        <v>https://expa.aiesec.org/opportunities/1287851</v>
      </c>
      <c r="L870" s="43" t="str">
        <f>IFERROR(__xludf.DUMMYFUNCTION("""COMPUTED_VALUE"""),"GV")</f>
        <v>GV</v>
      </c>
      <c r="M870" s="43" t="str">
        <f>IFERROR(__xludf.DUMMYFUNCTION("""COMPUTED_VALUE"""),"short")</f>
        <v>short</v>
      </c>
      <c r="N870" s="45">
        <f>IFERROR(__xludf.DUMMYFUNCTION("""COMPUTED_VALUE"""),45064.0)</f>
        <v>45064</v>
      </c>
      <c r="O870" s="45">
        <f>IFERROR(__xludf.DUMMYFUNCTION("""COMPUTED_VALUE"""),45180.0)</f>
        <v>45180</v>
      </c>
      <c r="P870" s="45">
        <f>IFERROR(__xludf.DUMMYFUNCTION("""COMPUTED_VALUE"""),45222.0)</f>
        <v>45222</v>
      </c>
      <c r="Q870" s="45"/>
      <c r="R870" s="45"/>
      <c r="S870" s="43"/>
      <c r="T870" s="43"/>
      <c r="U870" s="43" t="str">
        <f>IFERROR(__xludf.DUMMYFUNCTION("""COMPUTED_VALUE"""),"Heartbeat")</f>
        <v>Heartbeat</v>
      </c>
      <c r="V870" s="43" t="str">
        <f>IFERROR(__xludf.DUMMYFUNCTION("""COMPUTED_VALUE"""),"University of Patras (Patras Department)")</f>
        <v>University of Patras (Patras Department)</v>
      </c>
      <c r="W870" s="43" t="str">
        <f>IFERROR(__xludf.DUMMYFUNCTION("""COMPUTED_VALUE"""),"2023-05-17T12:36:57Z")</f>
        <v>2023-05-17T12:36:57Z</v>
      </c>
      <c r="X870" s="43"/>
      <c r="Y870" s="43"/>
      <c r="Z870" s="43"/>
    </row>
    <row r="871" hidden="1">
      <c r="A871" s="43" t="str">
        <f>IFERROR(__xludf.DUMMYFUNCTION("""COMPUTED_VALUE"""),"5262024_1285766")</f>
        <v>5262024_1285766</v>
      </c>
      <c r="B871" s="43" t="str">
        <f>IFERROR(__xludf.DUMMYFUNCTION("""COMPUTED_VALUE"""),"Marwa Oukani")</f>
        <v>Marwa Oukani</v>
      </c>
      <c r="C871" s="43" t="str">
        <f>IFERROR(__xludf.DUMMYFUNCTION("""COMPUTED_VALUE"""),"completed")</f>
        <v>completed</v>
      </c>
      <c r="D871" s="43" t="str">
        <f>IFERROR(__xludf.DUMMYFUNCTION("""COMPUTED_VALUE"""),"No")</f>
        <v>No</v>
      </c>
      <c r="E871" s="43" t="str">
        <f>IFERROR(__xludf.DUMMYFUNCTION("""COMPUTED_VALUE"""),"p_97fe37fd6c3ae18fc91c34a03bcf8d47cb6965af@inbound.aiesec.org")</f>
        <v>p_97fe37fd6c3ae18fc91c34a03bcf8d47cb6965af@inbound.aiesec.org</v>
      </c>
      <c r="F871" s="43">
        <f>IFERROR(__xludf.DUMMYFUNCTION("""COMPUTED_VALUE"""),6.94318616E8)</f>
        <v>694318616</v>
      </c>
      <c r="G871" s="43" t="str">
        <f>IFERROR(__xludf.DUMMYFUNCTION("""COMPUTED_VALUE"""),"Morocco")</f>
        <v>Morocco</v>
      </c>
      <c r="H871" s="43" t="str">
        <f>IFERROR(__xludf.DUMMYFUNCTION("""COMPUTED_VALUE"""),"Settat")</f>
        <v>Settat</v>
      </c>
      <c r="I871" s="43" t="str">
        <f>IFERROR(__xludf.DUMMYFUNCTION("""COMPUTED_VALUE"""),"Turkey")</f>
        <v>Turkey</v>
      </c>
      <c r="J871" s="43" t="str">
        <f>IFERROR(__xludf.DUMMYFUNCTION("""COMPUTED_VALUE"""),"SAKARYA")</f>
        <v>SAKARYA</v>
      </c>
      <c r="K871" s="44" t="str">
        <f>IFERROR(__xludf.DUMMYFUNCTION("""COMPUTED_VALUE"""),"https://expa.aiesec.org/opportunities/1285766")</f>
        <v>https://expa.aiesec.org/opportunities/1285766</v>
      </c>
      <c r="L871" s="43" t="str">
        <f>IFERROR(__xludf.DUMMYFUNCTION("""COMPUTED_VALUE"""),"GV")</f>
        <v>GV</v>
      </c>
      <c r="M871" s="43" t="str">
        <f>IFERROR(__xludf.DUMMYFUNCTION("""COMPUTED_VALUE"""),"short")</f>
        <v>short</v>
      </c>
      <c r="N871" s="45">
        <f>IFERROR(__xludf.DUMMYFUNCTION("""COMPUTED_VALUE"""),45064.0)</f>
        <v>45064</v>
      </c>
      <c r="O871" s="45">
        <f>IFERROR(__xludf.DUMMYFUNCTION("""COMPUTED_VALUE"""),45117.0)</f>
        <v>45117</v>
      </c>
      <c r="P871" s="45">
        <f>IFERROR(__xludf.DUMMYFUNCTION("""COMPUTED_VALUE"""),45159.0)</f>
        <v>45159</v>
      </c>
      <c r="Q871" s="45">
        <f>IFERROR(__xludf.DUMMYFUNCTION("""COMPUTED_VALUE"""),45118.0)</f>
        <v>45118</v>
      </c>
      <c r="R871" s="45">
        <f>IFERROR(__xludf.DUMMYFUNCTION("""COMPUTED_VALUE"""),45159.0)</f>
        <v>45159</v>
      </c>
      <c r="S871" s="43"/>
      <c r="T871" s="43"/>
      <c r="U871" s="43" t="str">
        <f>IFERROR(__xludf.DUMMYFUNCTION("""COMPUTED_VALUE"""),"Youth 4 Impact")</f>
        <v>Youth 4 Impact</v>
      </c>
      <c r="V871" s="43" t="str">
        <f>IFERROR(__xludf.DUMMYFUNCTION("""COMPUTED_VALUE"""),"Ecole Nationale De Commerce Et De Gestion Settat (ENCGS)")</f>
        <v>Ecole Nationale De Commerce Et De Gestion Settat (ENCGS)</v>
      </c>
      <c r="W871" s="43" t="str">
        <f>IFERROR(__xludf.DUMMYFUNCTION("""COMPUTED_VALUE"""),"2023-05-16T17:38:19Z")</f>
        <v>2023-05-16T17:38:19Z</v>
      </c>
      <c r="X871" s="43"/>
      <c r="Y871" s="43"/>
      <c r="Z871" s="43"/>
    </row>
    <row r="872" hidden="1">
      <c r="A872" s="43" t="str">
        <f>IFERROR(__xludf.DUMMYFUNCTION("""COMPUTED_VALUE"""),"5261873_1285766")</f>
        <v>5261873_1285766</v>
      </c>
      <c r="B872" s="43" t="str">
        <f>IFERROR(__xludf.DUMMYFUNCTION("""COMPUTED_VALUE"""),"Safaa Oukani")</f>
        <v>Safaa Oukani</v>
      </c>
      <c r="C872" s="43" t="str">
        <f>IFERROR(__xludf.DUMMYFUNCTION("""COMPUTED_VALUE"""),"completed")</f>
        <v>completed</v>
      </c>
      <c r="D872" s="43" t="str">
        <f>IFERROR(__xludf.DUMMYFUNCTION("""COMPUTED_VALUE"""),"No")</f>
        <v>No</v>
      </c>
      <c r="E872" s="43" t="str">
        <f>IFERROR(__xludf.DUMMYFUNCTION("""COMPUTED_VALUE"""),"p_4169dc10e0c616d8cb6051c5142c8197658863c8@inbound.aiesec.org")</f>
        <v>p_4169dc10e0c616d8cb6051c5142c8197658863c8@inbound.aiesec.org</v>
      </c>
      <c r="F872" s="43">
        <f>IFERROR(__xludf.DUMMYFUNCTION("""COMPUTED_VALUE"""),6.31803464E8)</f>
        <v>631803464</v>
      </c>
      <c r="G872" s="43" t="str">
        <f>IFERROR(__xludf.DUMMYFUNCTION("""COMPUTED_VALUE"""),"Morocco")</f>
        <v>Morocco</v>
      </c>
      <c r="H872" s="43" t="str">
        <f>IFERROR(__xludf.DUMMYFUNCTION("""COMPUTED_VALUE"""),"Settat")</f>
        <v>Settat</v>
      </c>
      <c r="I872" s="43" t="str">
        <f>IFERROR(__xludf.DUMMYFUNCTION("""COMPUTED_VALUE"""),"Turkey")</f>
        <v>Turkey</v>
      </c>
      <c r="J872" s="43" t="str">
        <f>IFERROR(__xludf.DUMMYFUNCTION("""COMPUTED_VALUE"""),"SAKARYA")</f>
        <v>SAKARYA</v>
      </c>
      <c r="K872" s="44" t="str">
        <f>IFERROR(__xludf.DUMMYFUNCTION("""COMPUTED_VALUE"""),"https://expa.aiesec.org/opportunities/1285766")</f>
        <v>https://expa.aiesec.org/opportunities/1285766</v>
      </c>
      <c r="L872" s="43" t="str">
        <f>IFERROR(__xludf.DUMMYFUNCTION("""COMPUTED_VALUE"""),"GV")</f>
        <v>GV</v>
      </c>
      <c r="M872" s="43" t="str">
        <f>IFERROR(__xludf.DUMMYFUNCTION("""COMPUTED_VALUE"""),"short")</f>
        <v>short</v>
      </c>
      <c r="N872" s="45">
        <f>IFERROR(__xludf.DUMMYFUNCTION("""COMPUTED_VALUE"""),45064.0)</f>
        <v>45064</v>
      </c>
      <c r="O872" s="45">
        <f>IFERROR(__xludf.DUMMYFUNCTION("""COMPUTED_VALUE"""),45117.0)</f>
        <v>45117</v>
      </c>
      <c r="P872" s="45">
        <f>IFERROR(__xludf.DUMMYFUNCTION("""COMPUTED_VALUE"""),45159.0)</f>
        <v>45159</v>
      </c>
      <c r="Q872" s="45">
        <f>IFERROR(__xludf.DUMMYFUNCTION("""COMPUTED_VALUE"""),45118.0)</f>
        <v>45118</v>
      </c>
      <c r="R872" s="45">
        <f>IFERROR(__xludf.DUMMYFUNCTION("""COMPUTED_VALUE"""),45159.0)</f>
        <v>45159</v>
      </c>
      <c r="S872" s="43"/>
      <c r="T872" s="43"/>
      <c r="U872" s="43" t="str">
        <f>IFERROR(__xludf.DUMMYFUNCTION("""COMPUTED_VALUE"""),"Youth 4 Impact")</f>
        <v>Youth 4 Impact</v>
      </c>
      <c r="V872" s="43" t="str">
        <f>IFERROR(__xludf.DUMMYFUNCTION("""COMPUTED_VALUE"""),"Ecole Nationale De Commerce Et De Gestion Settat (ENCGS)")</f>
        <v>Ecole Nationale De Commerce Et De Gestion Settat (ENCGS)</v>
      </c>
      <c r="W872" s="43" t="str">
        <f>IFERROR(__xludf.DUMMYFUNCTION("""COMPUTED_VALUE"""),"2023-05-16T12:11:52Z")</f>
        <v>2023-05-16T12:11:52Z</v>
      </c>
      <c r="X872" s="43"/>
      <c r="Y872" s="43"/>
      <c r="Z872" s="43"/>
    </row>
    <row r="873" hidden="1">
      <c r="A873" s="43" t="str">
        <f>IFERROR(__xludf.DUMMYFUNCTION("""COMPUTED_VALUE"""),"5261270_1295002")</f>
        <v>5261270_1295002</v>
      </c>
      <c r="B873" s="43" t="str">
        <f>IFERROR(__xludf.DUMMYFUNCTION("""COMPUTED_VALUE"""),"Asma Slim")</f>
        <v>Asma Slim</v>
      </c>
      <c r="C873" s="43" t="str">
        <f>IFERROR(__xludf.DUMMYFUNCTION("""COMPUTED_VALUE"""),"approved")</f>
        <v>approved</v>
      </c>
      <c r="D873" s="43" t="str">
        <f>IFERROR(__xludf.DUMMYFUNCTION("""COMPUTED_VALUE"""),"No")</f>
        <v>No</v>
      </c>
      <c r="E873" s="43" t="str">
        <f>IFERROR(__xludf.DUMMYFUNCTION("""COMPUTED_VALUE"""),"p_7947a59c6abd48f4b757ef039c05f31eb7650451@inbound.aiesec.org")</f>
        <v>p_7947a59c6abd48f4b757ef039c05f31eb7650451@inbound.aiesec.org</v>
      </c>
      <c r="F873" s="43">
        <f>IFERROR(__xludf.DUMMYFUNCTION("""COMPUTED_VALUE"""),2.3602869E7)</f>
        <v>23602869</v>
      </c>
      <c r="G873" s="43" t="str">
        <f>IFERROR(__xludf.DUMMYFUNCTION("""COMPUTED_VALUE"""),"Tunisia")</f>
        <v>Tunisia</v>
      </c>
      <c r="H873" s="43" t="str">
        <f>IFERROR(__xludf.DUMMYFUNCTION("""COMPUTED_VALUE"""),"BARDO")</f>
        <v>BARDO</v>
      </c>
      <c r="I873" s="43" t="str">
        <f>IFERROR(__xludf.DUMMYFUNCTION("""COMPUTED_VALUE"""),"Turkey")</f>
        <v>Turkey</v>
      </c>
      <c r="J873" s="43" t="str">
        <f>IFERROR(__xludf.DUMMYFUNCTION("""COMPUTED_VALUE"""),"ADANA")</f>
        <v>ADANA</v>
      </c>
      <c r="K873" s="44" t="str">
        <f>IFERROR(__xludf.DUMMYFUNCTION("""COMPUTED_VALUE"""),"https://expa.aiesec.org/opportunities/1295002")</f>
        <v>https://expa.aiesec.org/opportunities/1295002</v>
      </c>
      <c r="L873" s="43" t="str">
        <f>IFERROR(__xludf.DUMMYFUNCTION("""COMPUTED_VALUE"""),"GV")</f>
        <v>GV</v>
      </c>
      <c r="M873" s="43" t="str">
        <f>IFERROR(__xludf.DUMMYFUNCTION("""COMPUTED_VALUE"""),"short")</f>
        <v>short</v>
      </c>
      <c r="N873" s="45">
        <f>IFERROR(__xludf.DUMMYFUNCTION("""COMPUTED_VALUE"""),45064.0)</f>
        <v>45064</v>
      </c>
      <c r="O873" s="45">
        <f>IFERROR(__xludf.DUMMYFUNCTION("""COMPUTED_VALUE"""),45145.0)</f>
        <v>45145</v>
      </c>
      <c r="P873" s="45">
        <f>IFERROR(__xludf.DUMMYFUNCTION("""COMPUTED_VALUE"""),45191.0)</f>
        <v>45191</v>
      </c>
      <c r="Q873" s="45"/>
      <c r="R873" s="45"/>
      <c r="S873" s="43"/>
      <c r="T873" s="43"/>
      <c r="U873" s="43" t="str">
        <f>IFERROR(__xludf.DUMMYFUNCTION("""COMPUTED_VALUE"""),"Global Classroom")</f>
        <v>Global Classroom</v>
      </c>
      <c r="V873" s="43" t="str">
        <f>IFERROR(__xludf.DUMMYFUNCTION("""COMPUTED_VALUE"""),"ISBAT")</f>
        <v>ISBAT</v>
      </c>
      <c r="W873" s="43" t="str">
        <f>IFERROR(__xludf.DUMMYFUNCTION("""COMPUTED_VALUE"""),"2023-05-15T11:04:58Z")</f>
        <v>2023-05-15T11:04:58Z</v>
      </c>
      <c r="X873" s="43"/>
      <c r="Y873" s="43"/>
      <c r="Z873" s="43"/>
    </row>
    <row r="874" hidden="1">
      <c r="A874" s="43" t="str">
        <f>IFERROR(__xludf.DUMMYFUNCTION("""COMPUTED_VALUE"""),"5261009_1284670")</f>
        <v>5261009_1284670</v>
      </c>
      <c r="B874" s="43" t="str">
        <f>IFERROR(__xludf.DUMMYFUNCTION("""COMPUTED_VALUE"""),"Anastasiia Verteiko")</f>
        <v>Anastasiia Verteiko</v>
      </c>
      <c r="C874" s="43" t="str">
        <f>IFERROR(__xludf.DUMMYFUNCTION("""COMPUTED_VALUE"""),"completed")</f>
        <v>completed</v>
      </c>
      <c r="D874" s="43" t="str">
        <f>IFERROR(__xludf.DUMMYFUNCTION("""COMPUTED_VALUE"""),"No")</f>
        <v>No</v>
      </c>
      <c r="E874" s="43" t="str">
        <f>IFERROR(__xludf.DUMMYFUNCTION("""COMPUTED_VALUE"""),"p_4ace4008b0619bfaaa48ff6c07fcefaea711afcc@inbound.aiesec.org")</f>
        <v>p_4ace4008b0619bfaaa48ff6c07fcefaea711afcc@inbound.aiesec.org</v>
      </c>
      <c r="F874" s="43">
        <f>IFERROR(__xludf.DUMMYFUNCTION("""COMPUTED_VALUE"""),6.39847172E8)</f>
        <v>639847172</v>
      </c>
      <c r="G874" s="43" t="str">
        <f>IFERROR(__xludf.DUMMYFUNCTION("""COMPUTED_VALUE"""),"Ukraine")</f>
        <v>Ukraine</v>
      </c>
      <c r="H874" s="43" t="str">
        <f>IFERROR(__xludf.DUMMYFUNCTION("""COMPUTED_VALUE"""),"KYIV")</f>
        <v>KYIV</v>
      </c>
      <c r="I874" s="43" t="str">
        <f>IFERROR(__xludf.DUMMYFUNCTION("""COMPUTED_VALUE"""),"Turkey")</f>
        <v>Turkey</v>
      </c>
      <c r="J874" s="43" t="str">
        <f>IFERROR(__xludf.DUMMYFUNCTION("""COMPUTED_VALUE"""),"ISTANBUL")</f>
        <v>ISTANBUL</v>
      </c>
      <c r="K874" s="44" t="str">
        <f>IFERROR(__xludf.DUMMYFUNCTION("""COMPUTED_VALUE"""),"https://expa.aiesec.org/opportunities/1284670")</f>
        <v>https://expa.aiesec.org/opportunities/1284670</v>
      </c>
      <c r="L874" s="43" t="str">
        <f>IFERROR(__xludf.DUMMYFUNCTION("""COMPUTED_VALUE"""),"GV")</f>
        <v>GV</v>
      </c>
      <c r="M874" s="43" t="str">
        <f>IFERROR(__xludf.DUMMYFUNCTION("""COMPUTED_VALUE"""),"short")</f>
        <v>short</v>
      </c>
      <c r="N874" s="45">
        <f>IFERROR(__xludf.DUMMYFUNCTION("""COMPUTED_VALUE"""),45064.0)</f>
        <v>45064</v>
      </c>
      <c r="O874" s="45">
        <f>IFERROR(__xludf.DUMMYFUNCTION("""COMPUTED_VALUE"""),45110.0)</f>
        <v>45110</v>
      </c>
      <c r="P874" s="45">
        <f>IFERROR(__xludf.DUMMYFUNCTION("""COMPUTED_VALUE"""),45152.0)</f>
        <v>45152</v>
      </c>
      <c r="Q874" s="45">
        <f>IFERROR(__xludf.DUMMYFUNCTION("""COMPUTED_VALUE"""),45117.0)</f>
        <v>45117</v>
      </c>
      <c r="R874" s="45">
        <f>IFERROR(__xludf.DUMMYFUNCTION("""COMPUTED_VALUE"""),45159.0)</f>
        <v>45159</v>
      </c>
      <c r="S874" s="43"/>
      <c r="T874" s="43"/>
      <c r="U874" s="43" t="str">
        <f>IFERROR(__xludf.DUMMYFUNCTION("""COMPUTED_VALUE"""),"Heartbeat")</f>
        <v>Heartbeat</v>
      </c>
      <c r="V874" s="43" t="str">
        <f>IFERROR(__xludf.DUMMYFUNCTION("""COMPUTED_VALUE"""),"Kyiv")</f>
        <v>Kyiv</v>
      </c>
      <c r="W874" s="43" t="str">
        <f>IFERROR(__xludf.DUMMYFUNCTION("""COMPUTED_VALUE"""),"2023-05-14T17:20:56Z")</f>
        <v>2023-05-14T17:20:56Z</v>
      </c>
      <c r="X874" s="43"/>
      <c r="Y874" s="43"/>
      <c r="Z874" s="43"/>
    </row>
    <row r="875" hidden="1">
      <c r="A875" s="43" t="str">
        <f>IFERROR(__xludf.DUMMYFUNCTION("""COMPUTED_VALUE"""),"5253819_1272564")</f>
        <v>5253819_1272564</v>
      </c>
      <c r="B875" s="43" t="str">
        <f>IFERROR(__xludf.DUMMYFUNCTION("""COMPUTED_VALUE"""),"Ouissal Akioui")</f>
        <v>Ouissal Akioui</v>
      </c>
      <c r="C875" s="43" t="str">
        <f>IFERROR(__xludf.DUMMYFUNCTION("""COMPUTED_VALUE"""),"finished")</f>
        <v>finished</v>
      </c>
      <c r="D875" s="43" t="str">
        <f>IFERROR(__xludf.DUMMYFUNCTION("""COMPUTED_VALUE"""),"No")</f>
        <v>No</v>
      </c>
      <c r="E875" s="43" t="str">
        <f>IFERROR(__xludf.DUMMYFUNCTION("""COMPUTED_VALUE"""),"p_0a110c79046e8970f72fce54c2171760595ff40d@inbound.aiesec.org")</f>
        <v>p_0a110c79046e8970f72fce54c2171760595ff40d@inbound.aiesec.org</v>
      </c>
      <c r="F875" s="43"/>
      <c r="G875" s="43" t="str">
        <f>IFERROR(__xludf.DUMMYFUNCTION("""COMPUTED_VALUE"""),"Morocco")</f>
        <v>Morocco</v>
      </c>
      <c r="H875" s="43" t="str">
        <f>IFERROR(__xludf.DUMMYFUNCTION("""COMPUTED_VALUE"""),"Ben Guerir")</f>
        <v>Ben Guerir</v>
      </c>
      <c r="I875" s="43" t="str">
        <f>IFERROR(__xludf.DUMMYFUNCTION("""COMPUTED_VALUE"""),"Turkey")</f>
        <v>Turkey</v>
      </c>
      <c r="J875" s="43" t="str">
        <f>IFERROR(__xludf.DUMMYFUNCTION("""COMPUTED_VALUE"""),"ISTANBUL")</f>
        <v>ISTANBUL</v>
      </c>
      <c r="K875" s="44" t="str">
        <f>IFERROR(__xludf.DUMMYFUNCTION("""COMPUTED_VALUE"""),"https://expa.aiesec.org/opportunities/1272564")</f>
        <v>https://expa.aiesec.org/opportunities/1272564</v>
      </c>
      <c r="L875" s="43" t="str">
        <f>IFERROR(__xludf.DUMMYFUNCTION("""COMPUTED_VALUE"""),"GV")</f>
        <v>GV</v>
      </c>
      <c r="M875" s="43" t="str">
        <f>IFERROR(__xludf.DUMMYFUNCTION("""COMPUTED_VALUE"""),"short")</f>
        <v>short</v>
      </c>
      <c r="N875" s="45">
        <f>IFERROR(__xludf.DUMMYFUNCTION("""COMPUTED_VALUE"""),45064.0)</f>
        <v>45064</v>
      </c>
      <c r="O875" s="45">
        <f>IFERROR(__xludf.DUMMYFUNCTION("""COMPUTED_VALUE"""),45084.0)</f>
        <v>45084</v>
      </c>
      <c r="P875" s="45">
        <f>IFERROR(__xludf.DUMMYFUNCTION("""COMPUTED_VALUE"""),45126.0)</f>
        <v>45126</v>
      </c>
      <c r="Q875" s="45">
        <f>IFERROR(__xludf.DUMMYFUNCTION("""COMPUTED_VALUE"""),45084.0)</f>
        <v>45084</v>
      </c>
      <c r="R875" s="45">
        <f>IFERROR(__xludf.DUMMYFUNCTION("""COMPUTED_VALUE"""),45126.0)</f>
        <v>45126</v>
      </c>
      <c r="S875" s="43"/>
      <c r="T875" s="43"/>
      <c r="U875" s="43" t="str">
        <f>IFERROR(__xludf.DUMMYFUNCTION("""COMPUTED_VALUE"""),"Global Classroom")</f>
        <v>Global Classroom</v>
      </c>
      <c r="V875" s="43" t="str">
        <f>IFERROR(__xludf.DUMMYFUNCTION("""COMPUTED_VALUE"""),"-")</f>
        <v>-</v>
      </c>
      <c r="W875" s="43" t="str">
        <f>IFERROR(__xludf.DUMMYFUNCTION("""COMPUTED_VALUE"""),"2023-05-01T16:53:24Z")</f>
        <v>2023-05-01T16:53:24Z</v>
      </c>
      <c r="X875" s="43"/>
      <c r="Y875" s="43"/>
      <c r="Z875" s="43"/>
    </row>
    <row r="876" hidden="1">
      <c r="A876" s="43" t="str">
        <f>IFERROR(__xludf.DUMMYFUNCTION("""COMPUTED_VALUE"""),"5261652_1289100")</f>
        <v>5261652_1289100</v>
      </c>
      <c r="B876" s="43" t="str">
        <f>IFERROR(__xludf.DUMMYFUNCTION("""COMPUTED_VALUE"""),"Nehed Chaaleli")</f>
        <v>Nehed Chaaleli</v>
      </c>
      <c r="C876" s="43" t="str">
        <f>IFERROR(__xludf.DUMMYFUNCTION("""COMPUTED_VALUE"""),"finished")</f>
        <v>finished</v>
      </c>
      <c r="D876" s="43" t="str">
        <f>IFERROR(__xludf.DUMMYFUNCTION("""COMPUTED_VALUE"""),"No")</f>
        <v>No</v>
      </c>
      <c r="E876" s="43" t="str">
        <f>IFERROR(__xludf.DUMMYFUNCTION("""COMPUTED_VALUE"""),"p_87005117df5fc492bb57abf395b1c22f2e6b7ec0@inbound.aiesec.org")</f>
        <v>p_87005117df5fc492bb57abf395b1c22f2e6b7ec0@inbound.aiesec.org</v>
      </c>
      <c r="F876" s="43"/>
      <c r="G876" s="43" t="str">
        <f>IFERROR(__xludf.DUMMYFUNCTION("""COMPUTED_VALUE"""),"Tunisia")</f>
        <v>Tunisia</v>
      </c>
      <c r="H876" s="43" t="str">
        <f>IFERROR(__xludf.DUMMYFUNCTION("""COMPUTED_VALUE"""),"MEDINA")</f>
        <v>MEDINA</v>
      </c>
      <c r="I876" s="43" t="str">
        <f>IFERROR(__xludf.DUMMYFUNCTION("""COMPUTED_VALUE"""),"Turkey")</f>
        <v>Turkey</v>
      </c>
      <c r="J876" s="43" t="str">
        <f>IFERROR(__xludf.DUMMYFUNCTION("""COMPUTED_VALUE"""),"KOCAELI")</f>
        <v>KOCAELI</v>
      </c>
      <c r="K876" s="44" t="str">
        <f>IFERROR(__xludf.DUMMYFUNCTION("""COMPUTED_VALUE"""),"https://expa.aiesec.org/opportunities/1289100")</f>
        <v>https://expa.aiesec.org/opportunities/1289100</v>
      </c>
      <c r="L876" s="43" t="str">
        <f>IFERROR(__xludf.DUMMYFUNCTION("""COMPUTED_VALUE"""),"GV")</f>
        <v>GV</v>
      </c>
      <c r="M876" s="43" t="str">
        <f>IFERROR(__xludf.DUMMYFUNCTION("""COMPUTED_VALUE"""),"short")</f>
        <v>short</v>
      </c>
      <c r="N876" s="45">
        <f>IFERROR(__xludf.DUMMYFUNCTION("""COMPUTED_VALUE"""),45065.0)</f>
        <v>45065</v>
      </c>
      <c r="O876" s="45">
        <f>IFERROR(__xludf.DUMMYFUNCTION("""COMPUTED_VALUE"""),45194.0)</f>
        <v>45194</v>
      </c>
      <c r="P876" s="45">
        <f>IFERROR(__xludf.DUMMYFUNCTION("""COMPUTED_VALUE"""),45236.0)</f>
        <v>45236</v>
      </c>
      <c r="Q876" s="45">
        <f>IFERROR(__xludf.DUMMYFUNCTION("""COMPUTED_VALUE"""),45194.0)</f>
        <v>45194</v>
      </c>
      <c r="R876" s="45">
        <f>IFERROR(__xludf.DUMMYFUNCTION("""COMPUTED_VALUE"""),45236.0)</f>
        <v>45236</v>
      </c>
      <c r="S876" s="43"/>
      <c r="T876" s="43"/>
      <c r="U876" s="43" t="str">
        <f>IFERROR(__xludf.DUMMYFUNCTION("""COMPUTED_VALUE"""),"Global Classroom")</f>
        <v>Global Classroom</v>
      </c>
      <c r="V876" s="43" t="str">
        <f>IFERROR(__xludf.DUMMYFUNCTION("""COMPUTED_VALUE"""),"-")</f>
        <v>-</v>
      </c>
      <c r="W876" s="43" t="str">
        <f>IFERROR(__xludf.DUMMYFUNCTION("""COMPUTED_VALUE"""),"2023-05-15T23:35:52Z")</f>
        <v>2023-05-15T23:35:52Z</v>
      </c>
      <c r="X876" s="43"/>
      <c r="Y876" s="43"/>
      <c r="Z876" s="43"/>
    </row>
    <row r="877" hidden="1">
      <c r="A877" s="43" t="str">
        <f>IFERROR(__xludf.DUMMYFUNCTION("""COMPUTED_VALUE"""),"5177059_1287210")</f>
        <v>5177059_1287210</v>
      </c>
      <c r="B877" s="43" t="str">
        <f>IFERROR(__xludf.DUMMYFUNCTION("""COMPUTED_VALUE"""),"Yuliya Korytska")</f>
        <v>Yuliya Korytska</v>
      </c>
      <c r="C877" s="43" t="str">
        <f>IFERROR(__xludf.DUMMYFUNCTION("""COMPUTED_VALUE"""),"completed")</f>
        <v>completed</v>
      </c>
      <c r="D877" s="43" t="str">
        <f>IFERROR(__xludf.DUMMYFUNCTION("""COMPUTED_VALUE"""),"No")</f>
        <v>No</v>
      </c>
      <c r="E877" s="43" t="str">
        <f>IFERROR(__xludf.DUMMYFUNCTION("""COMPUTED_VALUE"""),"p_c5a7f118e944ae6be9f0d8426e6a9e0dc7cece34@inbound.aiesec.org")</f>
        <v>p_c5a7f118e944ae6be9f0d8426e6a9e0dc7cece34@inbound.aiesec.org</v>
      </c>
      <c r="F877" s="43"/>
      <c r="G877" s="43" t="str">
        <f>IFERROR(__xludf.DUMMYFUNCTION("""COMPUTED_VALUE"""),"Italy")</f>
        <v>Italy</v>
      </c>
      <c r="H877" s="43" t="str">
        <f>IFERROR(__xludf.DUMMYFUNCTION("""COMPUTED_VALUE"""),"Roma Sapienza")</f>
        <v>Roma Sapienza</v>
      </c>
      <c r="I877" s="43" t="str">
        <f>IFERROR(__xludf.DUMMYFUNCTION("""COMPUTED_VALUE"""),"Turkey")</f>
        <v>Turkey</v>
      </c>
      <c r="J877" s="43" t="str">
        <f>IFERROR(__xludf.DUMMYFUNCTION("""COMPUTED_VALUE"""),"ISTANBUL WEST")</f>
        <v>ISTANBUL WEST</v>
      </c>
      <c r="K877" s="44" t="str">
        <f>IFERROR(__xludf.DUMMYFUNCTION("""COMPUTED_VALUE"""),"https://expa.aiesec.org/opportunities/1287210")</f>
        <v>https://expa.aiesec.org/opportunities/1287210</v>
      </c>
      <c r="L877" s="43" t="str">
        <f>IFERROR(__xludf.DUMMYFUNCTION("""COMPUTED_VALUE"""),"GV")</f>
        <v>GV</v>
      </c>
      <c r="M877" s="43" t="str">
        <f>IFERROR(__xludf.DUMMYFUNCTION("""COMPUTED_VALUE"""),"short")</f>
        <v>short</v>
      </c>
      <c r="N877" s="45">
        <f>IFERROR(__xludf.DUMMYFUNCTION("""COMPUTED_VALUE"""),45065.0)</f>
        <v>45065</v>
      </c>
      <c r="O877" s="45">
        <f>IFERROR(__xludf.DUMMYFUNCTION("""COMPUTED_VALUE"""),45131.0)</f>
        <v>45131</v>
      </c>
      <c r="P877" s="45">
        <f>IFERROR(__xludf.DUMMYFUNCTION("""COMPUTED_VALUE"""),45173.0)</f>
        <v>45173</v>
      </c>
      <c r="Q877" s="45">
        <f>IFERROR(__xludf.DUMMYFUNCTION("""COMPUTED_VALUE"""),45133.0)</f>
        <v>45133</v>
      </c>
      <c r="R877" s="45">
        <f>IFERROR(__xludf.DUMMYFUNCTION("""COMPUTED_VALUE"""),45173.0)</f>
        <v>45173</v>
      </c>
      <c r="S877" s="43"/>
      <c r="T877" s="43"/>
      <c r="U877" s="43" t="str">
        <f>IFERROR(__xludf.DUMMYFUNCTION("""COMPUTED_VALUE"""),"Global Classroom")</f>
        <v>Global Classroom</v>
      </c>
      <c r="V877" s="43" t="str">
        <f>IFERROR(__xludf.DUMMYFUNCTION("""COMPUTED_VALUE"""),"-")</f>
        <v>-</v>
      </c>
      <c r="W877" s="43" t="str">
        <f>IFERROR(__xludf.DUMMYFUNCTION("""COMPUTED_VALUE"""),"2023-01-16T12:18:40Z")</f>
        <v>2023-01-16T12:18:40Z</v>
      </c>
      <c r="X877" s="43"/>
      <c r="Y877" s="43"/>
      <c r="Z877" s="43"/>
    </row>
    <row r="878" hidden="1">
      <c r="A878" s="43" t="str">
        <f>IFERROR(__xludf.DUMMYFUNCTION("""COMPUTED_VALUE"""),"5252358_1294410")</f>
        <v>5252358_1294410</v>
      </c>
      <c r="B878" s="43" t="str">
        <f>IFERROR(__xludf.DUMMYFUNCTION("""COMPUTED_VALUE"""),"Ana Sofia Caldeira")</f>
        <v>Ana Sofia Caldeira</v>
      </c>
      <c r="C878" s="43" t="str">
        <f>IFERROR(__xludf.DUMMYFUNCTION("""COMPUTED_VALUE"""),"finished")</f>
        <v>finished</v>
      </c>
      <c r="D878" s="43" t="str">
        <f>IFERROR(__xludf.DUMMYFUNCTION("""COMPUTED_VALUE"""),"No")</f>
        <v>No</v>
      </c>
      <c r="E878" s="43" t="str">
        <f>IFERROR(__xludf.DUMMYFUNCTION("""COMPUTED_VALUE"""),"p_0fc1675c2d4ef782bc96fe883ff7257642fb1a22@inbound.aiesec.org")</f>
        <v>p_0fc1675c2d4ef782bc96fe883ff7257642fb1a22@inbound.aiesec.org</v>
      </c>
      <c r="F878" s="43"/>
      <c r="G878" s="43" t="str">
        <f>IFERROR(__xludf.DUMMYFUNCTION("""COMPUTED_VALUE"""),"Portugal")</f>
        <v>Portugal</v>
      </c>
      <c r="H878" s="43" t="str">
        <f>IFERROR(__xludf.DUMMYFUNCTION("""COMPUTED_VALUE"""),"PORTO FEP")</f>
        <v>PORTO FEP</v>
      </c>
      <c r="I878" s="43" t="str">
        <f>IFERROR(__xludf.DUMMYFUNCTION("""COMPUTED_VALUE"""),"Turkey")</f>
        <v>Turkey</v>
      </c>
      <c r="J878" s="43" t="str">
        <f>IFERROR(__xludf.DUMMYFUNCTION("""COMPUTED_VALUE"""),"İZMİR")</f>
        <v>İZMİR</v>
      </c>
      <c r="K878" s="44" t="str">
        <f>IFERROR(__xludf.DUMMYFUNCTION("""COMPUTED_VALUE"""),"https://expa.aiesec.org/opportunities/1294410")</f>
        <v>https://expa.aiesec.org/opportunities/1294410</v>
      </c>
      <c r="L878" s="43" t="str">
        <f>IFERROR(__xludf.DUMMYFUNCTION("""COMPUTED_VALUE"""),"GV")</f>
        <v>GV</v>
      </c>
      <c r="M878" s="43" t="str">
        <f>IFERROR(__xludf.DUMMYFUNCTION("""COMPUTED_VALUE"""),"short")</f>
        <v>short</v>
      </c>
      <c r="N878" s="45">
        <f>IFERROR(__xludf.DUMMYFUNCTION("""COMPUTED_VALUE"""),45065.0)</f>
        <v>45065</v>
      </c>
      <c r="O878" s="45">
        <f>IFERROR(__xludf.DUMMYFUNCTION("""COMPUTED_VALUE"""),45138.0)</f>
        <v>45138</v>
      </c>
      <c r="P878" s="45">
        <f>IFERROR(__xludf.DUMMYFUNCTION("""COMPUTED_VALUE"""),45180.0)</f>
        <v>45180</v>
      </c>
      <c r="Q878" s="45">
        <f>IFERROR(__xludf.DUMMYFUNCTION("""COMPUTED_VALUE"""),45138.0)</f>
        <v>45138</v>
      </c>
      <c r="R878" s="45">
        <f>IFERROR(__xludf.DUMMYFUNCTION("""COMPUTED_VALUE"""),45180.0)</f>
        <v>45180</v>
      </c>
      <c r="S878" s="43"/>
      <c r="T878" s="43"/>
      <c r="U878" s="43" t="str">
        <f>IFERROR(__xludf.DUMMYFUNCTION("""COMPUTED_VALUE"""),"Global Classroom")</f>
        <v>Global Classroom</v>
      </c>
      <c r="V878" s="43" t="str">
        <f>IFERROR(__xludf.DUMMYFUNCTION("""COMPUTED_VALUE"""),"-")</f>
        <v>-</v>
      </c>
      <c r="W878" s="43" t="str">
        <f>IFERROR(__xludf.DUMMYFUNCTION("""COMPUTED_VALUE"""),"2023-04-29T09:43:03Z")</f>
        <v>2023-04-29T09:43:03Z</v>
      </c>
      <c r="X878" s="43"/>
      <c r="Y878" s="43"/>
      <c r="Z878" s="43"/>
    </row>
    <row r="879" hidden="1">
      <c r="A879" s="43" t="str">
        <f>IFERROR(__xludf.DUMMYFUNCTION("""COMPUTED_VALUE"""),"5256974_1287210")</f>
        <v>5256974_1287210</v>
      </c>
      <c r="B879" s="43" t="str">
        <f>IFERROR(__xludf.DUMMYFUNCTION("""COMPUTED_VALUE"""),"IBTISSAM lemssalek")</f>
        <v>IBTISSAM lemssalek</v>
      </c>
      <c r="C879" s="43" t="str">
        <f>IFERROR(__xludf.DUMMYFUNCTION("""COMPUTED_VALUE"""),"completed")</f>
        <v>completed</v>
      </c>
      <c r="D879" s="43" t="str">
        <f>IFERROR(__xludf.DUMMYFUNCTION("""COMPUTED_VALUE"""),"No")</f>
        <v>No</v>
      </c>
      <c r="E879" s="43" t="str">
        <f>IFERROR(__xludf.DUMMYFUNCTION("""COMPUTED_VALUE"""),"p_50db04b1d6d3640ef5485a939aa94606589c4f13@inbound.aiesec.org")</f>
        <v>p_50db04b1d6d3640ef5485a939aa94606589c4f13@inbound.aiesec.org</v>
      </c>
      <c r="F879" s="43">
        <f>IFERROR(__xludf.DUMMYFUNCTION("""COMPUTED_VALUE"""),6.50320539E8)</f>
        <v>650320539</v>
      </c>
      <c r="G879" s="43" t="str">
        <f>IFERROR(__xludf.DUMMYFUNCTION("""COMPUTED_VALUE"""),"Morocco")</f>
        <v>Morocco</v>
      </c>
      <c r="H879" s="43" t="str">
        <f>IFERROR(__xludf.DUMMYFUNCTION("""COMPUTED_VALUE"""),"Agadir")</f>
        <v>Agadir</v>
      </c>
      <c r="I879" s="43" t="str">
        <f>IFERROR(__xludf.DUMMYFUNCTION("""COMPUTED_VALUE"""),"Turkey")</f>
        <v>Turkey</v>
      </c>
      <c r="J879" s="43" t="str">
        <f>IFERROR(__xludf.DUMMYFUNCTION("""COMPUTED_VALUE"""),"ISTANBUL WEST")</f>
        <v>ISTANBUL WEST</v>
      </c>
      <c r="K879" s="44" t="str">
        <f>IFERROR(__xludf.DUMMYFUNCTION("""COMPUTED_VALUE"""),"https://expa.aiesec.org/opportunities/1287210")</f>
        <v>https://expa.aiesec.org/opportunities/1287210</v>
      </c>
      <c r="L879" s="43" t="str">
        <f>IFERROR(__xludf.DUMMYFUNCTION("""COMPUTED_VALUE"""),"GV")</f>
        <v>GV</v>
      </c>
      <c r="M879" s="43" t="str">
        <f>IFERROR(__xludf.DUMMYFUNCTION("""COMPUTED_VALUE"""),"short")</f>
        <v>short</v>
      </c>
      <c r="N879" s="45">
        <f>IFERROR(__xludf.DUMMYFUNCTION("""COMPUTED_VALUE"""),45065.0)</f>
        <v>45065</v>
      </c>
      <c r="O879" s="45">
        <f>IFERROR(__xludf.DUMMYFUNCTION("""COMPUTED_VALUE"""),45110.0)</f>
        <v>45110</v>
      </c>
      <c r="P879" s="45">
        <f>IFERROR(__xludf.DUMMYFUNCTION("""COMPUTED_VALUE"""),45152.0)</f>
        <v>45152</v>
      </c>
      <c r="Q879" s="45">
        <f>IFERROR(__xludf.DUMMYFUNCTION("""COMPUTED_VALUE"""),45111.0)</f>
        <v>45111</v>
      </c>
      <c r="R879" s="45">
        <f>IFERROR(__xludf.DUMMYFUNCTION("""COMPUTED_VALUE"""),45152.0)</f>
        <v>45152</v>
      </c>
      <c r="S879" s="43"/>
      <c r="T879" s="43"/>
      <c r="U879" s="43" t="str">
        <f>IFERROR(__xludf.DUMMYFUNCTION("""COMPUTED_VALUE"""),"Global Classroom")</f>
        <v>Global Classroom</v>
      </c>
      <c r="V879" s="43" t="str">
        <f>IFERROR(__xludf.DUMMYFUNCTION("""COMPUTED_VALUE"""),"Ecole Nationale De Commerce Et De Gestion Agadir (ENCGA)")</f>
        <v>Ecole Nationale De Commerce Et De Gestion Agadir (ENCGA)</v>
      </c>
      <c r="W879" s="43" t="str">
        <f>IFERROR(__xludf.DUMMYFUNCTION("""COMPUTED_VALUE"""),"2023-05-07T01:25:21Z")</f>
        <v>2023-05-07T01:25:21Z</v>
      </c>
      <c r="X879" s="43"/>
      <c r="Y879" s="43"/>
      <c r="Z879" s="43"/>
    </row>
    <row r="880" hidden="1">
      <c r="A880" s="43" t="str">
        <f>IFERROR(__xludf.DUMMYFUNCTION("""COMPUTED_VALUE"""),"5255939_1291634")</f>
        <v>5255939_1291634</v>
      </c>
      <c r="B880" s="43" t="str">
        <f>IFERROR(__xludf.DUMMYFUNCTION("""COMPUTED_VALUE"""),"fady badreddine")</f>
        <v>fady badreddine</v>
      </c>
      <c r="C880" s="43" t="str">
        <f>IFERROR(__xludf.DUMMYFUNCTION("""COMPUTED_VALUE"""),"finished")</f>
        <v>finished</v>
      </c>
      <c r="D880" s="43" t="str">
        <f>IFERROR(__xludf.DUMMYFUNCTION("""COMPUTED_VALUE"""),"No")</f>
        <v>No</v>
      </c>
      <c r="E880" s="43" t="str">
        <f>IFERROR(__xludf.DUMMYFUNCTION("""COMPUTED_VALUE"""),"p_25159a08f33ab34d34cabebc79a82e2be8c8fcec@inbound.aiesec.org")</f>
        <v>p_25159a08f33ab34d34cabebc79a82e2be8c8fcec@inbound.aiesec.org</v>
      </c>
      <c r="F880" s="43">
        <f>IFERROR(__xludf.DUMMYFUNCTION("""COMPUTED_VALUE"""),2.7729906E7)</f>
        <v>27729906</v>
      </c>
      <c r="G880" s="43" t="str">
        <f>IFERROR(__xludf.DUMMYFUNCTION("""COMPUTED_VALUE"""),"Tunisia")</f>
        <v>Tunisia</v>
      </c>
      <c r="H880" s="43" t="str">
        <f>IFERROR(__xludf.DUMMYFUNCTION("""COMPUTED_VALUE"""),"THYNA")</f>
        <v>THYNA</v>
      </c>
      <c r="I880" s="43" t="str">
        <f>IFERROR(__xludf.DUMMYFUNCTION("""COMPUTED_VALUE"""),"Turkey")</f>
        <v>Turkey</v>
      </c>
      <c r="J880" s="43" t="str">
        <f>IFERROR(__xludf.DUMMYFUNCTION("""COMPUTED_VALUE"""),"İZMİR")</f>
        <v>İZMİR</v>
      </c>
      <c r="K880" s="44" t="str">
        <f>IFERROR(__xludf.DUMMYFUNCTION("""COMPUTED_VALUE"""),"https://expa.aiesec.org/opportunities/1291634")</f>
        <v>https://expa.aiesec.org/opportunities/1291634</v>
      </c>
      <c r="L880" s="43" t="str">
        <f>IFERROR(__xludf.DUMMYFUNCTION("""COMPUTED_VALUE"""),"GV")</f>
        <v>GV</v>
      </c>
      <c r="M880" s="43" t="str">
        <f>IFERROR(__xludf.DUMMYFUNCTION("""COMPUTED_VALUE"""),"short")</f>
        <v>short</v>
      </c>
      <c r="N880" s="45">
        <f>IFERROR(__xludf.DUMMYFUNCTION("""COMPUTED_VALUE"""),45065.0)</f>
        <v>45065</v>
      </c>
      <c r="O880" s="45">
        <f>IFERROR(__xludf.DUMMYFUNCTION("""COMPUTED_VALUE"""),45068.0)</f>
        <v>45068</v>
      </c>
      <c r="P880" s="45">
        <f>IFERROR(__xludf.DUMMYFUNCTION("""COMPUTED_VALUE"""),45110.0)</f>
        <v>45110</v>
      </c>
      <c r="Q880" s="45">
        <f>IFERROR(__xludf.DUMMYFUNCTION("""COMPUTED_VALUE"""),45070.0)</f>
        <v>45070</v>
      </c>
      <c r="R880" s="45">
        <f>IFERROR(__xludf.DUMMYFUNCTION("""COMPUTED_VALUE"""),45112.0)</f>
        <v>45112</v>
      </c>
      <c r="S880" s="43"/>
      <c r="T880" s="43"/>
      <c r="U880" s="43" t="str">
        <f>IFERROR(__xludf.DUMMYFUNCTION("""COMPUTED_VALUE"""),"Fingerprint")</f>
        <v>Fingerprint</v>
      </c>
      <c r="V880" s="43" t="str">
        <f>IFERROR(__xludf.DUMMYFUNCTION("""COMPUTED_VALUE"""),"ESC SFAX")</f>
        <v>ESC SFAX</v>
      </c>
      <c r="W880" s="43" t="str">
        <f>IFERROR(__xludf.DUMMYFUNCTION("""COMPUTED_VALUE"""),"2023-05-04T19:37:29Z")</f>
        <v>2023-05-04T19:37:29Z</v>
      </c>
      <c r="X880" s="43"/>
      <c r="Y880" s="43"/>
      <c r="Z880" s="43"/>
    </row>
    <row r="881" hidden="1">
      <c r="A881" s="43" t="str">
        <f>IFERROR(__xludf.DUMMYFUNCTION("""COMPUTED_VALUE"""),"5258316_1283483")</f>
        <v>5258316_1283483</v>
      </c>
      <c r="B881" s="43" t="str">
        <f>IFERROR(__xludf.DUMMYFUNCTION("""COMPUTED_VALUE"""),"Ulviyya Nacafzade")</f>
        <v>Ulviyya Nacafzade</v>
      </c>
      <c r="C881" s="43" t="str">
        <f>IFERROR(__xludf.DUMMYFUNCTION("""COMPUTED_VALUE"""),"completed")</f>
        <v>completed</v>
      </c>
      <c r="D881" s="43" t="str">
        <f>IFERROR(__xludf.DUMMYFUNCTION("""COMPUTED_VALUE"""),"No")</f>
        <v>No</v>
      </c>
      <c r="E881" s="43" t="str">
        <f>IFERROR(__xludf.DUMMYFUNCTION("""COMPUTED_VALUE"""),"p_1a0208e546aeca7f0c285b9b72aa564d948a7224@inbound.aiesec.org")</f>
        <v>p_1a0208e546aeca7f0c285b9b72aa564d948a7224@inbound.aiesec.org</v>
      </c>
      <c r="F881" s="43"/>
      <c r="G881" s="43" t="str">
        <f>IFERROR(__xludf.DUMMYFUNCTION("""COMPUTED_VALUE"""),"Azerbaijan")</f>
        <v>Azerbaijan</v>
      </c>
      <c r="H881" s="43" t="str">
        <f>IFERROR(__xludf.DUMMYFUNCTION("""COMPUTED_VALUE"""),"Baku Synergy")</f>
        <v>Baku Synergy</v>
      </c>
      <c r="I881" s="43" t="str">
        <f>IFERROR(__xludf.DUMMYFUNCTION("""COMPUTED_VALUE"""),"Turkey")</f>
        <v>Turkey</v>
      </c>
      <c r="J881" s="43" t="str">
        <f>IFERROR(__xludf.DUMMYFUNCTION("""COMPUTED_VALUE"""),"KONYA")</f>
        <v>KONYA</v>
      </c>
      <c r="K881" s="44" t="str">
        <f>IFERROR(__xludf.DUMMYFUNCTION("""COMPUTED_VALUE"""),"https://expa.aiesec.org/opportunities/1283483")</f>
        <v>https://expa.aiesec.org/opportunities/1283483</v>
      </c>
      <c r="L881" s="43" t="str">
        <f>IFERROR(__xludf.DUMMYFUNCTION("""COMPUTED_VALUE"""),"GV")</f>
        <v>GV</v>
      </c>
      <c r="M881" s="43" t="str">
        <f>IFERROR(__xludf.DUMMYFUNCTION("""COMPUTED_VALUE"""),"short")</f>
        <v>short</v>
      </c>
      <c r="N881" s="45">
        <f>IFERROR(__xludf.DUMMYFUNCTION("""COMPUTED_VALUE"""),45066.0)</f>
        <v>45066</v>
      </c>
      <c r="O881" s="45">
        <f>IFERROR(__xludf.DUMMYFUNCTION("""COMPUTED_VALUE"""),45243.0)</f>
        <v>45243</v>
      </c>
      <c r="P881" s="45">
        <f>IFERROR(__xludf.DUMMYFUNCTION("""COMPUTED_VALUE"""),45285.0)</f>
        <v>45285</v>
      </c>
      <c r="Q881" s="45">
        <f>IFERROR(__xludf.DUMMYFUNCTION("""COMPUTED_VALUE"""),45244.0)</f>
        <v>45244</v>
      </c>
      <c r="R881" s="45">
        <f>IFERROR(__xludf.DUMMYFUNCTION("""COMPUTED_VALUE"""),45285.0)</f>
        <v>45285</v>
      </c>
      <c r="S881" s="43"/>
      <c r="T881" s="43"/>
      <c r="U881" s="43" t="str">
        <f>IFERROR(__xludf.DUMMYFUNCTION("""COMPUTED_VALUE"""),"Global Classroom")</f>
        <v>Global Classroom</v>
      </c>
      <c r="V881" s="43" t="str">
        <f>IFERROR(__xludf.DUMMYFUNCTION("""COMPUTED_VALUE"""),"-")</f>
        <v>-</v>
      </c>
      <c r="W881" s="43" t="str">
        <f>IFERROR(__xludf.DUMMYFUNCTION("""COMPUTED_VALUE"""),"2023-05-09T13:52:53Z")</f>
        <v>2023-05-09T13:52:53Z</v>
      </c>
      <c r="X881" s="43"/>
      <c r="Y881" s="43"/>
      <c r="Z881" s="43"/>
    </row>
    <row r="882">
      <c r="A882" s="43" t="str">
        <f>IFERROR(__xludf.DUMMYFUNCTION("""COMPUTED_VALUE"""),"5204939_1294127")</f>
        <v>5204939_1294127</v>
      </c>
      <c r="B882" s="43" t="str">
        <f>IFERROR(__xludf.DUMMYFUNCTION("""COMPUTED_VALUE"""),"Fatma Elsebaey")</f>
        <v>Fatma Elsebaey</v>
      </c>
      <c r="C882" s="43" t="str">
        <f>IFERROR(__xludf.DUMMYFUNCTION("""COMPUTED_VALUE"""),"approved")</f>
        <v>approved</v>
      </c>
      <c r="D882" s="43" t="str">
        <f>IFERROR(__xludf.DUMMYFUNCTION("""COMPUTED_VALUE"""),"No")</f>
        <v>No</v>
      </c>
      <c r="E882" s="43" t="str">
        <f>IFERROR(__xludf.DUMMYFUNCTION("""COMPUTED_VALUE"""),"p_d90e863dc9dac21cc962673907846801eea1be58@inbound.aiesec.org")</f>
        <v>p_d90e863dc9dac21cc962673907846801eea1be58@inbound.aiesec.org</v>
      </c>
      <c r="F882" s="43">
        <f>IFERROR(__xludf.DUMMYFUNCTION("""COMPUTED_VALUE"""),1.142573334E9)</f>
        <v>1142573334</v>
      </c>
      <c r="G882" s="43" t="str">
        <f>IFERROR(__xludf.DUMMYFUNCTION("""COMPUTED_VALUE"""),"Egypt")</f>
        <v>Egypt</v>
      </c>
      <c r="H882" s="43" t="str">
        <f>IFERROR(__xludf.DUMMYFUNCTION("""COMPUTED_VALUE"""),"GUC")</f>
        <v>GUC</v>
      </c>
      <c r="I882" s="43" t="str">
        <f>IFERROR(__xludf.DUMMYFUNCTION("""COMPUTED_VALUE"""),"Turkey")</f>
        <v>Turkey</v>
      </c>
      <c r="J882" s="43" t="str">
        <f>IFERROR(__xludf.DUMMYFUNCTION("""COMPUTED_VALUE"""),"ADANA")</f>
        <v>ADANA</v>
      </c>
      <c r="K882" s="44" t="str">
        <f>IFERROR(__xludf.DUMMYFUNCTION("""COMPUTED_VALUE"""),"https://expa.aiesec.org/opportunities/1294127")</f>
        <v>https://expa.aiesec.org/opportunities/1294127</v>
      </c>
      <c r="L882" s="43" t="str">
        <f>IFERROR(__xludf.DUMMYFUNCTION("""COMPUTED_VALUE"""),"GV")</f>
        <v>GV</v>
      </c>
      <c r="M882" s="43" t="str">
        <f>IFERROR(__xludf.DUMMYFUNCTION("""COMPUTED_VALUE"""),"short")</f>
        <v>short</v>
      </c>
      <c r="N882" s="45">
        <f>IFERROR(__xludf.DUMMYFUNCTION("""COMPUTED_VALUE"""),45066.0)</f>
        <v>45066</v>
      </c>
      <c r="O882" s="45">
        <f>IFERROR(__xludf.DUMMYFUNCTION("""COMPUTED_VALUE"""),45082.0)</f>
        <v>45082</v>
      </c>
      <c r="P882" s="45">
        <f>IFERROR(__xludf.DUMMYFUNCTION("""COMPUTED_VALUE"""),45128.0)</f>
        <v>45128</v>
      </c>
      <c r="Q882" s="45"/>
      <c r="R882" s="45"/>
      <c r="S882" s="43"/>
      <c r="T882" s="43"/>
      <c r="U882" s="43" t="str">
        <f>IFERROR(__xludf.DUMMYFUNCTION("""COMPUTED_VALUE"""),"Equify")</f>
        <v>Equify</v>
      </c>
      <c r="V882" s="43" t="str">
        <f>IFERROR(__xludf.DUMMYFUNCTION("""COMPUTED_VALUE"""),"GUC")</f>
        <v>GUC</v>
      </c>
      <c r="W882" s="43" t="str">
        <f>IFERROR(__xludf.DUMMYFUNCTION("""COMPUTED_VALUE"""),"2023-03-03T19:51:24Z")</f>
        <v>2023-03-03T19:51:24Z</v>
      </c>
      <c r="X882" s="43"/>
      <c r="Y882" s="43"/>
      <c r="Z882" s="43"/>
    </row>
    <row r="883" hidden="1">
      <c r="A883" s="43" t="str">
        <f>IFERROR(__xludf.DUMMYFUNCTION("""COMPUTED_VALUE"""),"5255463_1294894")</f>
        <v>5255463_1294894</v>
      </c>
      <c r="B883" s="43" t="str">
        <f>IFERROR(__xludf.DUMMYFUNCTION("""COMPUTED_VALUE"""),"Saif Allah Ben Hammed")</f>
        <v>Saif Allah Ben Hammed</v>
      </c>
      <c r="C883" s="43" t="str">
        <f>IFERROR(__xludf.DUMMYFUNCTION("""COMPUTED_VALUE"""),"completed")</f>
        <v>completed</v>
      </c>
      <c r="D883" s="43" t="str">
        <f>IFERROR(__xludf.DUMMYFUNCTION("""COMPUTED_VALUE"""),"No")</f>
        <v>No</v>
      </c>
      <c r="E883" s="43" t="str">
        <f>IFERROR(__xludf.DUMMYFUNCTION("""COMPUTED_VALUE"""),"p_37a9074b2258ed2a82826da49eb5d6bf39002df7@inbound.aiesec.org")</f>
        <v>p_37a9074b2258ed2a82826da49eb5d6bf39002df7@inbound.aiesec.org</v>
      </c>
      <c r="F883" s="43">
        <f>IFERROR(__xludf.DUMMYFUNCTION("""COMPUTED_VALUE"""),9.9628468E7)</f>
        <v>99628468</v>
      </c>
      <c r="G883" s="43" t="str">
        <f>IFERROR(__xludf.DUMMYFUNCTION("""COMPUTED_VALUE"""),"Tunisia")</f>
        <v>Tunisia</v>
      </c>
      <c r="H883" s="43" t="str">
        <f>IFERROR(__xludf.DUMMYFUNCTION("""COMPUTED_VALUE"""),"Bizerte")</f>
        <v>Bizerte</v>
      </c>
      <c r="I883" s="43" t="str">
        <f>IFERROR(__xludf.DUMMYFUNCTION("""COMPUTED_VALUE"""),"Turkey")</f>
        <v>Turkey</v>
      </c>
      <c r="J883" s="43" t="str">
        <f>IFERROR(__xludf.DUMMYFUNCTION("""COMPUTED_VALUE"""),"ADANA")</f>
        <v>ADANA</v>
      </c>
      <c r="K883" s="44" t="str">
        <f>IFERROR(__xludf.DUMMYFUNCTION("""COMPUTED_VALUE"""),"https://expa.aiesec.org/opportunities/1294894")</f>
        <v>https://expa.aiesec.org/opportunities/1294894</v>
      </c>
      <c r="L883" s="43" t="str">
        <f>IFERROR(__xludf.DUMMYFUNCTION("""COMPUTED_VALUE"""),"GV")</f>
        <v>GV</v>
      </c>
      <c r="M883" s="43" t="str">
        <f>IFERROR(__xludf.DUMMYFUNCTION("""COMPUTED_VALUE"""),"short")</f>
        <v>short</v>
      </c>
      <c r="N883" s="45">
        <f>IFERROR(__xludf.DUMMYFUNCTION("""COMPUTED_VALUE"""),45066.0)</f>
        <v>45066</v>
      </c>
      <c r="O883" s="45">
        <f>IFERROR(__xludf.DUMMYFUNCTION("""COMPUTED_VALUE"""),45110.0)</f>
        <v>45110</v>
      </c>
      <c r="P883" s="45">
        <f>IFERROR(__xludf.DUMMYFUNCTION("""COMPUTED_VALUE"""),45156.0)</f>
        <v>45156</v>
      </c>
      <c r="Q883" s="45">
        <f>IFERROR(__xludf.DUMMYFUNCTION("""COMPUTED_VALUE"""),45110.0)</f>
        <v>45110</v>
      </c>
      <c r="R883" s="45">
        <f>IFERROR(__xludf.DUMMYFUNCTION("""COMPUTED_VALUE"""),45156.0)</f>
        <v>45156</v>
      </c>
      <c r="S883" s="43"/>
      <c r="T883" s="43"/>
      <c r="U883" s="43" t="str">
        <f>IFERROR(__xludf.DUMMYFUNCTION("""COMPUTED_VALUE"""),"Global Classroom")</f>
        <v>Global Classroom</v>
      </c>
      <c r="V883" s="43" t="str">
        <f>IFERROR(__xludf.DUMMYFUNCTION("""COMPUTED_VALUE"""),"ISET Bizerte")</f>
        <v>ISET Bizerte</v>
      </c>
      <c r="W883" s="43" t="str">
        <f>IFERROR(__xludf.DUMMYFUNCTION("""COMPUTED_VALUE"""),"2023-05-04T00:36:25Z")</f>
        <v>2023-05-04T00:36:25Z</v>
      </c>
      <c r="X883" s="43"/>
      <c r="Y883" s="43"/>
      <c r="Z883" s="43"/>
    </row>
    <row r="884" hidden="1">
      <c r="A884" s="43" t="str">
        <f>IFERROR(__xludf.DUMMYFUNCTION("""COMPUTED_VALUE"""),"5262704_1284976")</f>
        <v>5262704_1284976</v>
      </c>
      <c r="B884" s="43" t="str">
        <f>IFERROR(__xludf.DUMMYFUNCTION("""COMPUTED_VALUE"""),"Ayesha Naveed")</f>
        <v>Ayesha Naveed</v>
      </c>
      <c r="C884" s="43" t="str">
        <f>IFERROR(__xludf.DUMMYFUNCTION("""COMPUTED_VALUE"""),"completed")</f>
        <v>completed</v>
      </c>
      <c r="D884" s="43" t="str">
        <f>IFERROR(__xludf.DUMMYFUNCTION("""COMPUTED_VALUE"""),"No")</f>
        <v>No</v>
      </c>
      <c r="E884" s="43" t="str">
        <f>IFERROR(__xludf.DUMMYFUNCTION("""COMPUTED_VALUE"""),"p_ec46d0195e29838c46656c6e821a87b6d42366d2@inbound.aiesec.org")</f>
        <v>p_ec46d0195e29838c46656c6e821a87b6d42366d2@inbound.aiesec.org</v>
      </c>
      <c r="F884" s="43">
        <f>IFERROR(__xludf.DUMMYFUNCTION("""COMPUTED_VALUE"""),3.004530789E9)</f>
        <v>3004530789</v>
      </c>
      <c r="G884" s="43" t="str">
        <f>IFERROR(__xludf.DUMMYFUNCTION("""COMPUTED_VALUE"""),"Pakistan")</f>
        <v>Pakistan</v>
      </c>
      <c r="H884" s="43" t="str">
        <f>IFERROR(__xludf.DUMMYFUNCTION("""COMPUTED_VALUE"""),"Islamabad")</f>
        <v>Islamabad</v>
      </c>
      <c r="I884" s="43" t="str">
        <f>IFERROR(__xludf.DUMMYFUNCTION("""COMPUTED_VALUE"""),"Turkey")</f>
        <v>Turkey</v>
      </c>
      <c r="J884" s="43" t="str">
        <f>IFERROR(__xludf.DUMMYFUNCTION("""COMPUTED_VALUE"""),"ISPARTA")</f>
        <v>ISPARTA</v>
      </c>
      <c r="K884" s="44" t="str">
        <f>IFERROR(__xludf.DUMMYFUNCTION("""COMPUTED_VALUE"""),"https://expa.aiesec.org/opportunities/1284976")</f>
        <v>https://expa.aiesec.org/opportunities/1284976</v>
      </c>
      <c r="L884" s="43" t="str">
        <f>IFERROR(__xludf.DUMMYFUNCTION("""COMPUTED_VALUE"""),"GV")</f>
        <v>GV</v>
      </c>
      <c r="M884" s="43" t="str">
        <f>IFERROR(__xludf.DUMMYFUNCTION("""COMPUTED_VALUE"""),"short")</f>
        <v>short</v>
      </c>
      <c r="N884" s="45">
        <f>IFERROR(__xludf.DUMMYFUNCTION("""COMPUTED_VALUE"""),45066.0)</f>
        <v>45066</v>
      </c>
      <c r="O884" s="45">
        <f>IFERROR(__xludf.DUMMYFUNCTION("""COMPUTED_VALUE"""),45124.0)</f>
        <v>45124</v>
      </c>
      <c r="P884" s="45">
        <f>IFERROR(__xludf.DUMMYFUNCTION("""COMPUTED_VALUE"""),45166.0)</f>
        <v>45166</v>
      </c>
      <c r="Q884" s="45">
        <f>IFERROR(__xludf.DUMMYFUNCTION("""COMPUTED_VALUE"""),45126.0)</f>
        <v>45126</v>
      </c>
      <c r="R884" s="45">
        <f>IFERROR(__xludf.DUMMYFUNCTION("""COMPUTED_VALUE"""),45166.0)</f>
        <v>45166</v>
      </c>
      <c r="S884" s="43"/>
      <c r="T884" s="43"/>
      <c r="U884" s="43" t="str">
        <f>IFERROR(__xludf.DUMMYFUNCTION("""COMPUTED_VALUE"""),"Youth 4 Impact")</f>
        <v>Youth 4 Impact</v>
      </c>
      <c r="V884" s="43" t="str">
        <f>IFERROR(__xludf.DUMMYFUNCTION("""COMPUTED_VALUE"""),"Islamabad - Bahria University ")</f>
        <v>Islamabad - Bahria University </v>
      </c>
      <c r="W884" s="43" t="str">
        <f>IFERROR(__xludf.DUMMYFUNCTION("""COMPUTED_VALUE"""),"2023-05-18T03:19:33Z")</f>
        <v>2023-05-18T03:19:33Z</v>
      </c>
      <c r="X884" s="43"/>
      <c r="Y884" s="43"/>
      <c r="Z884" s="43"/>
    </row>
    <row r="885" hidden="1">
      <c r="A885" s="43" t="str">
        <f>IFERROR(__xludf.DUMMYFUNCTION("""COMPUTED_VALUE"""),"5251493_1287210")</f>
        <v>5251493_1287210</v>
      </c>
      <c r="B885" s="43" t="str">
        <f>IFERROR(__xludf.DUMMYFUNCTION("""COMPUTED_VALUE"""),"Carciumaru Patricia")</f>
        <v>Carciumaru Patricia</v>
      </c>
      <c r="C885" s="43" t="str">
        <f>IFERROR(__xludf.DUMMYFUNCTION("""COMPUTED_VALUE"""),"finished")</f>
        <v>finished</v>
      </c>
      <c r="D885" s="43" t="str">
        <f>IFERROR(__xludf.DUMMYFUNCTION("""COMPUTED_VALUE"""),"No")</f>
        <v>No</v>
      </c>
      <c r="E885" s="43" t="str">
        <f>IFERROR(__xludf.DUMMYFUNCTION("""COMPUTED_VALUE"""),"p_91ed7658ac163f09c06c3d913e28584ffa161301@inbound.aiesec.org")</f>
        <v>p_91ed7658ac163f09c06c3d913e28584ffa161301@inbound.aiesec.org</v>
      </c>
      <c r="F885" s="43"/>
      <c r="G885" s="43" t="str">
        <f>IFERROR(__xludf.DUMMYFUNCTION("""COMPUTED_VALUE"""),"Romania")</f>
        <v>Romania</v>
      </c>
      <c r="H885" s="43" t="str">
        <f>IFERROR(__xludf.DUMMYFUNCTION("""COMPUTED_VALUE"""),"University of Bucharest")</f>
        <v>University of Bucharest</v>
      </c>
      <c r="I885" s="43" t="str">
        <f>IFERROR(__xludf.DUMMYFUNCTION("""COMPUTED_VALUE"""),"Turkey")</f>
        <v>Turkey</v>
      </c>
      <c r="J885" s="43" t="str">
        <f>IFERROR(__xludf.DUMMYFUNCTION("""COMPUTED_VALUE"""),"ISTANBUL WEST")</f>
        <v>ISTANBUL WEST</v>
      </c>
      <c r="K885" s="44" t="str">
        <f>IFERROR(__xludf.DUMMYFUNCTION("""COMPUTED_VALUE"""),"https://expa.aiesec.org/opportunities/1287210")</f>
        <v>https://expa.aiesec.org/opportunities/1287210</v>
      </c>
      <c r="L885" s="43" t="str">
        <f>IFERROR(__xludf.DUMMYFUNCTION("""COMPUTED_VALUE"""),"GV")</f>
        <v>GV</v>
      </c>
      <c r="M885" s="43" t="str">
        <f>IFERROR(__xludf.DUMMYFUNCTION("""COMPUTED_VALUE"""),"short")</f>
        <v>short</v>
      </c>
      <c r="N885" s="45">
        <f>IFERROR(__xludf.DUMMYFUNCTION("""COMPUTED_VALUE"""),45066.0)</f>
        <v>45066</v>
      </c>
      <c r="O885" s="45">
        <f>IFERROR(__xludf.DUMMYFUNCTION("""COMPUTED_VALUE"""),45131.0)</f>
        <v>45131</v>
      </c>
      <c r="P885" s="45">
        <f>IFERROR(__xludf.DUMMYFUNCTION("""COMPUTED_VALUE"""),45173.0)</f>
        <v>45173</v>
      </c>
      <c r="Q885" s="45">
        <f>IFERROR(__xludf.DUMMYFUNCTION("""COMPUTED_VALUE"""),45133.0)</f>
        <v>45133</v>
      </c>
      <c r="R885" s="45">
        <f>IFERROR(__xludf.DUMMYFUNCTION("""COMPUTED_VALUE"""),45173.0)</f>
        <v>45173</v>
      </c>
      <c r="S885" s="43"/>
      <c r="T885" s="43"/>
      <c r="U885" s="43" t="str">
        <f>IFERROR(__xludf.DUMMYFUNCTION("""COMPUTED_VALUE"""),"Global Classroom")</f>
        <v>Global Classroom</v>
      </c>
      <c r="V885" s="43" t="str">
        <f>IFERROR(__xludf.DUMMYFUNCTION("""COMPUTED_VALUE"""),"-")</f>
        <v>-</v>
      </c>
      <c r="W885" s="43" t="str">
        <f>IFERROR(__xludf.DUMMYFUNCTION("""COMPUTED_VALUE"""),"2023-04-28T05:09:54Z")</f>
        <v>2023-04-28T05:09:54Z</v>
      </c>
      <c r="X885" s="43"/>
      <c r="Y885" s="43"/>
      <c r="Z885" s="43"/>
    </row>
    <row r="886" hidden="1">
      <c r="A886" s="43" t="str">
        <f>IFERROR(__xludf.DUMMYFUNCTION("""COMPUTED_VALUE"""),"5257479_1294452")</f>
        <v>5257479_1294452</v>
      </c>
      <c r="B886" s="43" t="str">
        <f>IFERROR(__xludf.DUMMYFUNCTION("""COMPUTED_VALUE"""),"Mariam Wagdy")</f>
        <v>Mariam Wagdy</v>
      </c>
      <c r="C886" s="43" t="str">
        <f>IFERROR(__xludf.DUMMYFUNCTION("""COMPUTED_VALUE"""),"approved")</f>
        <v>approved</v>
      </c>
      <c r="D886" s="43" t="str">
        <f>IFERROR(__xludf.DUMMYFUNCTION("""COMPUTED_VALUE"""),"No")</f>
        <v>No</v>
      </c>
      <c r="E886" s="43" t="str">
        <f>IFERROR(__xludf.DUMMYFUNCTION("""COMPUTED_VALUE"""),"p_def87036aae4e3da770b641f54416223c7d1fea8@inbound.aiesec.org")</f>
        <v>p_def87036aae4e3da770b641f54416223c7d1fea8@inbound.aiesec.org</v>
      </c>
      <c r="F886" s="43">
        <f>IFERROR(__xludf.DUMMYFUNCTION("""COMPUTED_VALUE"""),1.100820018E9)</f>
        <v>1100820018</v>
      </c>
      <c r="G886" s="43" t="str">
        <f>IFERROR(__xludf.DUMMYFUNCTION("""COMPUTED_VALUE"""),"Egypt")</f>
        <v>Egypt</v>
      </c>
      <c r="H886" s="43" t="str">
        <f>IFERROR(__xludf.DUMMYFUNCTION("""COMPUTED_VALUE"""),"MSA")</f>
        <v>MSA</v>
      </c>
      <c r="I886" s="43" t="str">
        <f>IFERROR(__xludf.DUMMYFUNCTION("""COMPUTED_VALUE"""),"Turkey")</f>
        <v>Turkey</v>
      </c>
      <c r="J886" s="43" t="str">
        <f>IFERROR(__xludf.DUMMYFUNCTION("""COMPUTED_VALUE"""),"ESKISEHIR")</f>
        <v>ESKISEHIR</v>
      </c>
      <c r="K886" s="44" t="str">
        <f>IFERROR(__xludf.DUMMYFUNCTION("""COMPUTED_VALUE"""),"https://expa.aiesec.org/opportunities/1294452")</f>
        <v>https://expa.aiesec.org/opportunities/1294452</v>
      </c>
      <c r="L886" s="43" t="str">
        <f>IFERROR(__xludf.DUMMYFUNCTION("""COMPUTED_VALUE"""),"GV")</f>
        <v>GV</v>
      </c>
      <c r="M886" s="43" t="str">
        <f>IFERROR(__xludf.DUMMYFUNCTION("""COMPUTED_VALUE"""),"short")</f>
        <v>short</v>
      </c>
      <c r="N886" s="45">
        <f>IFERROR(__xludf.DUMMYFUNCTION("""COMPUTED_VALUE"""),45066.0)</f>
        <v>45066</v>
      </c>
      <c r="O886" s="45">
        <f>IFERROR(__xludf.DUMMYFUNCTION("""COMPUTED_VALUE"""),45152.0)</f>
        <v>45152</v>
      </c>
      <c r="P886" s="45">
        <f>IFERROR(__xludf.DUMMYFUNCTION("""COMPUTED_VALUE"""),45194.0)</f>
        <v>45194</v>
      </c>
      <c r="Q886" s="45"/>
      <c r="R886" s="45"/>
      <c r="S886" s="43"/>
      <c r="T886" s="43"/>
      <c r="U886" s="43" t="str">
        <f>IFERROR(__xludf.DUMMYFUNCTION("""COMPUTED_VALUE"""),"On The Map")</f>
        <v>On The Map</v>
      </c>
      <c r="V886" s="43" t="str">
        <f>IFERROR(__xludf.DUMMYFUNCTION("""COMPUTED_VALUE"""),"MSA Univeristy")</f>
        <v>MSA Univeristy</v>
      </c>
      <c r="W886" s="43" t="str">
        <f>IFERROR(__xludf.DUMMYFUNCTION("""COMPUTED_VALUE"""),"2023-05-08T09:56:16Z")</f>
        <v>2023-05-08T09:56:16Z</v>
      </c>
      <c r="X886" s="43"/>
      <c r="Y886" s="43"/>
      <c r="Z886" s="43"/>
    </row>
    <row r="887" hidden="1">
      <c r="A887" s="43" t="str">
        <f>IFERROR(__xludf.DUMMYFUNCTION("""COMPUTED_VALUE"""),"5181736_1294795")</f>
        <v>5181736_1294795</v>
      </c>
      <c r="B887" s="43" t="str">
        <f>IFERROR(__xludf.DUMMYFUNCTION("""COMPUTED_VALUE"""),"Marwa Tarek")</f>
        <v>Marwa Tarek</v>
      </c>
      <c r="C887" s="43" t="str">
        <f>IFERROR(__xludf.DUMMYFUNCTION("""COMPUTED_VALUE"""),"approved")</f>
        <v>approved</v>
      </c>
      <c r="D887" s="43" t="str">
        <f>IFERROR(__xludf.DUMMYFUNCTION("""COMPUTED_VALUE"""),"No")</f>
        <v>No</v>
      </c>
      <c r="E887" s="43" t="str">
        <f>IFERROR(__xludf.DUMMYFUNCTION("""COMPUTED_VALUE"""),"p_57781d315a88f4bfdd35908593d0445a8c25b7c5@inbound.aiesec.org")</f>
        <v>p_57781d315a88f4bfdd35908593d0445a8c25b7c5@inbound.aiesec.org</v>
      </c>
      <c r="F887" s="43"/>
      <c r="G887" s="43" t="str">
        <f>IFERROR(__xludf.DUMMYFUNCTION("""COMPUTED_VALUE"""),"Egypt")</f>
        <v>Egypt</v>
      </c>
      <c r="H887" s="43" t="str">
        <f>IFERROR(__xludf.DUMMYFUNCTION("""COMPUTED_VALUE"""),"MUST")</f>
        <v>MUST</v>
      </c>
      <c r="I887" s="43" t="str">
        <f>IFERROR(__xludf.DUMMYFUNCTION("""COMPUTED_VALUE"""),"Turkey")</f>
        <v>Turkey</v>
      </c>
      <c r="J887" s="43" t="str">
        <f>IFERROR(__xludf.DUMMYFUNCTION("""COMPUTED_VALUE"""),"ADANA")</f>
        <v>ADANA</v>
      </c>
      <c r="K887" s="44" t="str">
        <f>IFERROR(__xludf.DUMMYFUNCTION("""COMPUTED_VALUE"""),"https://expa.aiesec.org/opportunities/1294795")</f>
        <v>https://expa.aiesec.org/opportunities/1294795</v>
      </c>
      <c r="L887" s="43" t="str">
        <f>IFERROR(__xludf.DUMMYFUNCTION("""COMPUTED_VALUE"""),"GV")</f>
        <v>GV</v>
      </c>
      <c r="M887" s="43" t="str">
        <f>IFERROR(__xludf.DUMMYFUNCTION("""COMPUTED_VALUE"""),"short")</f>
        <v>short</v>
      </c>
      <c r="N887" s="45">
        <f>IFERROR(__xludf.DUMMYFUNCTION("""COMPUTED_VALUE"""),45066.0)</f>
        <v>45066</v>
      </c>
      <c r="O887" s="45">
        <f>IFERROR(__xludf.DUMMYFUNCTION("""COMPUTED_VALUE"""),45110.0)</f>
        <v>45110</v>
      </c>
      <c r="P887" s="45">
        <f>IFERROR(__xludf.DUMMYFUNCTION("""COMPUTED_VALUE"""),45156.0)</f>
        <v>45156</v>
      </c>
      <c r="Q887" s="45"/>
      <c r="R887" s="45"/>
      <c r="S887" s="43"/>
      <c r="T887" s="43"/>
      <c r="U887" s="43" t="str">
        <f>IFERROR(__xludf.DUMMYFUNCTION("""COMPUTED_VALUE"""),"Global Classroom")</f>
        <v>Global Classroom</v>
      </c>
      <c r="V887" s="43" t="str">
        <f>IFERROR(__xludf.DUMMYFUNCTION("""COMPUTED_VALUE"""),"-")</f>
        <v>-</v>
      </c>
      <c r="W887" s="43" t="str">
        <f>IFERROR(__xludf.DUMMYFUNCTION("""COMPUTED_VALUE"""),"2023-01-28T19:15:11Z")</f>
        <v>2023-01-28T19:15:11Z</v>
      </c>
      <c r="X887" s="43"/>
      <c r="Y887" s="43"/>
      <c r="Z887" s="43"/>
    </row>
    <row r="888" hidden="1">
      <c r="A888" s="43" t="str">
        <f>IFERROR(__xludf.DUMMYFUNCTION("""COMPUTED_VALUE"""),"5256140_1294894")</f>
        <v>5256140_1294894</v>
      </c>
      <c r="B888" s="43" t="str">
        <f>IFERROR(__xludf.DUMMYFUNCTION("""COMPUTED_VALUE"""),"Dridi Louay")</f>
        <v>Dridi Louay</v>
      </c>
      <c r="C888" s="43" t="str">
        <f>IFERROR(__xludf.DUMMYFUNCTION("""COMPUTED_VALUE"""),"approved")</f>
        <v>approved</v>
      </c>
      <c r="D888" s="43" t="str">
        <f>IFERROR(__xludf.DUMMYFUNCTION("""COMPUTED_VALUE"""),"No")</f>
        <v>No</v>
      </c>
      <c r="E888" s="43" t="str">
        <f>IFERROR(__xludf.DUMMYFUNCTION("""COMPUTED_VALUE"""),"p_4bc5a262ddf4a1c4d54041c92caa54a5e737febb@inbound.aiesec.org")</f>
        <v>p_4bc5a262ddf4a1c4d54041c92caa54a5e737febb@inbound.aiesec.org</v>
      </c>
      <c r="F888" s="43">
        <f>IFERROR(__xludf.DUMMYFUNCTION("""COMPUTED_VALUE"""),5.6748871E7)</f>
        <v>56748871</v>
      </c>
      <c r="G888" s="43" t="str">
        <f>IFERROR(__xludf.DUMMYFUNCTION("""COMPUTED_VALUE"""),"Tunisia")</f>
        <v>Tunisia</v>
      </c>
      <c r="H888" s="43" t="str">
        <f>IFERROR(__xludf.DUMMYFUNCTION("""COMPUTED_VALUE"""),"Bizerte")</f>
        <v>Bizerte</v>
      </c>
      <c r="I888" s="43" t="str">
        <f>IFERROR(__xludf.DUMMYFUNCTION("""COMPUTED_VALUE"""),"Turkey")</f>
        <v>Turkey</v>
      </c>
      <c r="J888" s="43" t="str">
        <f>IFERROR(__xludf.DUMMYFUNCTION("""COMPUTED_VALUE"""),"ADANA")</f>
        <v>ADANA</v>
      </c>
      <c r="K888" s="44" t="str">
        <f>IFERROR(__xludf.DUMMYFUNCTION("""COMPUTED_VALUE"""),"https://expa.aiesec.org/opportunities/1294894")</f>
        <v>https://expa.aiesec.org/opportunities/1294894</v>
      </c>
      <c r="L888" s="43" t="str">
        <f>IFERROR(__xludf.DUMMYFUNCTION("""COMPUTED_VALUE"""),"GV")</f>
        <v>GV</v>
      </c>
      <c r="M888" s="43" t="str">
        <f>IFERROR(__xludf.DUMMYFUNCTION("""COMPUTED_VALUE"""),"short")</f>
        <v>short</v>
      </c>
      <c r="N888" s="45">
        <f>IFERROR(__xludf.DUMMYFUNCTION("""COMPUTED_VALUE"""),45067.0)</f>
        <v>45067</v>
      </c>
      <c r="O888" s="45">
        <f>IFERROR(__xludf.DUMMYFUNCTION("""COMPUTED_VALUE"""),45110.0)</f>
        <v>45110</v>
      </c>
      <c r="P888" s="45">
        <f>IFERROR(__xludf.DUMMYFUNCTION("""COMPUTED_VALUE"""),45156.0)</f>
        <v>45156</v>
      </c>
      <c r="Q888" s="45"/>
      <c r="R888" s="45"/>
      <c r="S888" s="43"/>
      <c r="T888" s="43"/>
      <c r="U888" s="43" t="str">
        <f>IFERROR(__xludf.DUMMYFUNCTION("""COMPUTED_VALUE"""),"Global Classroom")</f>
        <v>Global Classroom</v>
      </c>
      <c r="V888" s="43" t="str">
        <f>IFERROR(__xludf.DUMMYFUNCTION("""COMPUTED_VALUE"""),"ISET Bizerte")</f>
        <v>ISET Bizerte</v>
      </c>
      <c r="W888" s="43" t="str">
        <f>IFERROR(__xludf.DUMMYFUNCTION("""COMPUTED_VALUE"""),"2023-05-05T07:25:28Z")</f>
        <v>2023-05-05T07:25:28Z</v>
      </c>
      <c r="X888" s="43"/>
      <c r="Y888" s="43"/>
      <c r="Z888" s="43"/>
    </row>
    <row r="889" hidden="1">
      <c r="A889" s="43" t="str">
        <f>IFERROR(__xludf.DUMMYFUNCTION("""COMPUTED_VALUE"""),"3084308_1294410")</f>
        <v>3084308_1294410</v>
      </c>
      <c r="B889" s="43" t="str">
        <f>IFERROR(__xludf.DUMMYFUNCTION("""COMPUTED_VALUE"""),"Minescu Andrei-Gratian")</f>
        <v>Minescu Andrei-Gratian</v>
      </c>
      <c r="C889" s="43" t="str">
        <f>IFERROR(__xludf.DUMMYFUNCTION("""COMPUTED_VALUE"""),"finished")</f>
        <v>finished</v>
      </c>
      <c r="D889" s="43" t="str">
        <f>IFERROR(__xludf.DUMMYFUNCTION("""COMPUTED_VALUE"""),"No")</f>
        <v>No</v>
      </c>
      <c r="E889" s="43" t="str">
        <f>IFERROR(__xludf.DUMMYFUNCTION("""COMPUTED_VALUE"""),"p_9502e6671968f66a46c37bfdeaed4f39dd916be2@inbound.aiesec.org")</f>
        <v>p_9502e6671968f66a46c37bfdeaed4f39dd916be2@inbound.aiesec.org</v>
      </c>
      <c r="F889" s="43">
        <f>IFERROR(__xludf.DUMMYFUNCTION("""COMPUTED_VALUE"""),7.28947204E8)</f>
        <v>728947204</v>
      </c>
      <c r="G889" s="43" t="str">
        <f>IFERROR(__xludf.DUMMYFUNCTION("""COMPUTED_VALUE"""),"Romania")</f>
        <v>Romania</v>
      </c>
      <c r="H889" s="43" t="str">
        <f>IFERROR(__xludf.DUMMYFUNCTION("""COMPUTED_VALUE"""),"BUCURESTI")</f>
        <v>BUCURESTI</v>
      </c>
      <c r="I889" s="43" t="str">
        <f>IFERROR(__xludf.DUMMYFUNCTION("""COMPUTED_VALUE"""),"Turkey")</f>
        <v>Turkey</v>
      </c>
      <c r="J889" s="43" t="str">
        <f>IFERROR(__xludf.DUMMYFUNCTION("""COMPUTED_VALUE"""),"İZMİR")</f>
        <v>İZMİR</v>
      </c>
      <c r="K889" s="44" t="str">
        <f>IFERROR(__xludf.DUMMYFUNCTION("""COMPUTED_VALUE"""),"https://expa.aiesec.org/opportunities/1294410")</f>
        <v>https://expa.aiesec.org/opportunities/1294410</v>
      </c>
      <c r="L889" s="43" t="str">
        <f>IFERROR(__xludf.DUMMYFUNCTION("""COMPUTED_VALUE"""),"GV")</f>
        <v>GV</v>
      </c>
      <c r="M889" s="43" t="str">
        <f>IFERROR(__xludf.DUMMYFUNCTION("""COMPUTED_VALUE"""),"short")</f>
        <v>short</v>
      </c>
      <c r="N889" s="45">
        <f>IFERROR(__xludf.DUMMYFUNCTION("""COMPUTED_VALUE"""),45067.0)</f>
        <v>45067</v>
      </c>
      <c r="O889" s="45">
        <f>IFERROR(__xludf.DUMMYFUNCTION("""COMPUTED_VALUE"""),45138.0)</f>
        <v>45138</v>
      </c>
      <c r="P889" s="45">
        <f>IFERROR(__xludf.DUMMYFUNCTION("""COMPUTED_VALUE"""),45180.0)</f>
        <v>45180</v>
      </c>
      <c r="Q889" s="45">
        <f>IFERROR(__xludf.DUMMYFUNCTION("""COMPUTED_VALUE"""),45138.0)</f>
        <v>45138</v>
      </c>
      <c r="R889" s="45">
        <f>IFERROR(__xludf.DUMMYFUNCTION("""COMPUTED_VALUE"""),45180.0)</f>
        <v>45180</v>
      </c>
      <c r="S889" s="43"/>
      <c r="T889" s="43"/>
      <c r="U889" s="43" t="str">
        <f>IFERROR(__xludf.DUMMYFUNCTION("""COMPUTED_VALUE"""),"Global Classroom")</f>
        <v>Global Classroom</v>
      </c>
      <c r="V889" s="43" t="str">
        <f>IFERROR(__xludf.DUMMYFUNCTION("""COMPUTED_VALUE"""),"Bucuresti")</f>
        <v>Bucuresti</v>
      </c>
      <c r="W889" s="43" t="str">
        <f>IFERROR(__xludf.DUMMYFUNCTION("""COMPUTED_VALUE"""),"2019-02-16T12:56:02Z")</f>
        <v>2019-02-16T12:56:02Z</v>
      </c>
      <c r="X889" s="43"/>
      <c r="Y889" s="43"/>
      <c r="Z889" s="43"/>
    </row>
    <row r="890" hidden="1">
      <c r="A890" s="43" t="str">
        <f>IFERROR(__xludf.DUMMYFUNCTION("""COMPUTED_VALUE"""),"5259425_1295002")</f>
        <v>5259425_1295002</v>
      </c>
      <c r="B890" s="43" t="str">
        <f>IFERROR(__xludf.DUMMYFUNCTION("""COMPUTED_VALUE"""),"Hassan Ahmed")</f>
        <v>Hassan Ahmed</v>
      </c>
      <c r="C890" s="43" t="str">
        <f>IFERROR(__xludf.DUMMYFUNCTION("""COMPUTED_VALUE"""),"approved")</f>
        <v>approved</v>
      </c>
      <c r="D890" s="43" t="str">
        <f>IFERROR(__xludf.DUMMYFUNCTION("""COMPUTED_VALUE"""),"No")</f>
        <v>No</v>
      </c>
      <c r="E890" s="43" t="str">
        <f>IFERROR(__xludf.DUMMYFUNCTION("""COMPUTED_VALUE"""),"p_a284243cd6a0cbcb7af9061a07135d31056936ce@inbound.aiesec.org")</f>
        <v>p_a284243cd6a0cbcb7af9061a07135d31056936ce@inbound.aiesec.org</v>
      </c>
      <c r="F890" s="43"/>
      <c r="G890" s="43" t="str">
        <f>IFERROR(__xludf.DUMMYFUNCTION("""COMPUTED_VALUE"""),"India")</f>
        <v>India</v>
      </c>
      <c r="H890" s="43" t="str">
        <f>IFERROR(__xludf.DUMMYFUNCTION("""COMPUTED_VALUE"""),"Hyderabad")</f>
        <v>Hyderabad</v>
      </c>
      <c r="I890" s="43" t="str">
        <f>IFERROR(__xludf.DUMMYFUNCTION("""COMPUTED_VALUE"""),"Turkey")</f>
        <v>Turkey</v>
      </c>
      <c r="J890" s="43" t="str">
        <f>IFERROR(__xludf.DUMMYFUNCTION("""COMPUTED_VALUE"""),"ADANA")</f>
        <v>ADANA</v>
      </c>
      <c r="K890" s="44" t="str">
        <f>IFERROR(__xludf.DUMMYFUNCTION("""COMPUTED_VALUE"""),"https://expa.aiesec.org/opportunities/1295002")</f>
        <v>https://expa.aiesec.org/opportunities/1295002</v>
      </c>
      <c r="L890" s="43" t="str">
        <f>IFERROR(__xludf.DUMMYFUNCTION("""COMPUTED_VALUE"""),"GV")</f>
        <v>GV</v>
      </c>
      <c r="M890" s="43" t="str">
        <f>IFERROR(__xludf.DUMMYFUNCTION("""COMPUTED_VALUE"""),"short")</f>
        <v>short</v>
      </c>
      <c r="N890" s="45">
        <f>IFERROR(__xludf.DUMMYFUNCTION("""COMPUTED_VALUE"""),45067.0)</f>
        <v>45067</v>
      </c>
      <c r="O890" s="45">
        <f>IFERROR(__xludf.DUMMYFUNCTION("""COMPUTED_VALUE"""),45145.0)</f>
        <v>45145</v>
      </c>
      <c r="P890" s="45">
        <f>IFERROR(__xludf.DUMMYFUNCTION("""COMPUTED_VALUE"""),45191.0)</f>
        <v>45191</v>
      </c>
      <c r="Q890" s="45"/>
      <c r="R890" s="45"/>
      <c r="S890" s="43"/>
      <c r="T890" s="43"/>
      <c r="U890" s="43" t="str">
        <f>IFERROR(__xludf.DUMMYFUNCTION("""COMPUTED_VALUE"""),"Global Classroom")</f>
        <v>Global Classroom</v>
      </c>
      <c r="V890" s="43" t="str">
        <f>IFERROR(__xludf.DUMMYFUNCTION("""COMPUTED_VALUE"""),"Hyderabad")</f>
        <v>Hyderabad</v>
      </c>
      <c r="W890" s="43" t="str">
        <f>IFERROR(__xludf.DUMMYFUNCTION("""COMPUTED_VALUE"""),"2023-05-11T10:38:43Z")</f>
        <v>2023-05-11T10:38:43Z</v>
      </c>
      <c r="X890" s="43"/>
      <c r="Y890" s="43"/>
      <c r="Z890" s="43"/>
    </row>
    <row r="891" hidden="1">
      <c r="A891" s="43" t="str">
        <f>IFERROR(__xludf.DUMMYFUNCTION("""COMPUTED_VALUE"""),"5043544_1295285")</f>
        <v>5043544_1295285</v>
      </c>
      <c r="B891" s="43" t="str">
        <f>IFERROR(__xludf.DUMMYFUNCTION("""COMPUTED_VALUE"""),"Reem Magdy Mousa")</f>
        <v>Reem Magdy Mousa</v>
      </c>
      <c r="C891" s="43" t="str">
        <f>IFERROR(__xludf.DUMMYFUNCTION("""COMPUTED_VALUE"""),"finished")</f>
        <v>finished</v>
      </c>
      <c r="D891" s="43" t="str">
        <f>IFERROR(__xludf.DUMMYFUNCTION("""COMPUTED_VALUE"""),"No")</f>
        <v>No</v>
      </c>
      <c r="E891" s="43" t="str">
        <f>IFERROR(__xludf.DUMMYFUNCTION("""COMPUTED_VALUE"""),"p_fe7e7b289e03b60b781a42ebb337239632e5bd70@inbound.aiesec.org")</f>
        <v>p_fe7e7b289e03b60b781a42ebb337239632e5bd70@inbound.aiesec.org</v>
      </c>
      <c r="F891" s="43">
        <f>IFERROR(__xludf.DUMMYFUNCTION("""COMPUTED_VALUE"""),1.011976742E9)</f>
        <v>1011976742</v>
      </c>
      <c r="G891" s="43" t="str">
        <f>IFERROR(__xludf.DUMMYFUNCTION("""COMPUTED_VALUE"""),"Egypt")</f>
        <v>Egypt</v>
      </c>
      <c r="H891" s="43" t="str">
        <f>IFERROR(__xludf.DUMMYFUNCTION("""COMPUTED_VALUE"""),"Menofia")</f>
        <v>Menofia</v>
      </c>
      <c r="I891" s="43" t="str">
        <f>IFERROR(__xludf.DUMMYFUNCTION("""COMPUTED_VALUE"""),"Turkey")</f>
        <v>Turkey</v>
      </c>
      <c r="J891" s="43" t="str">
        <f>IFERROR(__xludf.DUMMYFUNCTION("""COMPUTED_VALUE"""),"ISTANBUL WEST")</f>
        <v>ISTANBUL WEST</v>
      </c>
      <c r="K891" s="44" t="str">
        <f>IFERROR(__xludf.DUMMYFUNCTION("""COMPUTED_VALUE"""),"https://expa.aiesec.org/opportunities/1295285")</f>
        <v>https://expa.aiesec.org/opportunities/1295285</v>
      </c>
      <c r="L891" s="43" t="str">
        <f>IFERROR(__xludf.DUMMYFUNCTION("""COMPUTED_VALUE"""),"GV")</f>
        <v>GV</v>
      </c>
      <c r="M891" s="43" t="str">
        <f>IFERROR(__xludf.DUMMYFUNCTION("""COMPUTED_VALUE"""),"short")</f>
        <v>short</v>
      </c>
      <c r="N891" s="45">
        <f>IFERROR(__xludf.DUMMYFUNCTION("""COMPUTED_VALUE"""),45068.0)</f>
        <v>45068</v>
      </c>
      <c r="O891" s="45">
        <f>IFERROR(__xludf.DUMMYFUNCTION("""COMPUTED_VALUE"""),45159.0)</f>
        <v>45159</v>
      </c>
      <c r="P891" s="45">
        <f>IFERROR(__xludf.DUMMYFUNCTION("""COMPUTED_VALUE"""),45201.0)</f>
        <v>45201</v>
      </c>
      <c r="Q891" s="45">
        <f>IFERROR(__xludf.DUMMYFUNCTION("""COMPUTED_VALUE"""),45166.0)</f>
        <v>45166</v>
      </c>
      <c r="R891" s="45">
        <f>IFERROR(__xludf.DUMMYFUNCTION("""COMPUTED_VALUE"""),45208.0)</f>
        <v>45208</v>
      </c>
      <c r="S891" s="43"/>
      <c r="T891" s="43"/>
      <c r="U891" s="43" t="str">
        <f>IFERROR(__xludf.DUMMYFUNCTION("""COMPUTED_VALUE"""),"Fingerprint")</f>
        <v>Fingerprint</v>
      </c>
      <c r="V891" s="43" t="str">
        <f>IFERROR(__xludf.DUMMYFUNCTION("""COMPUTED_VALUE"""),"Menofia")</f>
        <v>Menofia</v>
      </c>
      <c r="W891" s="43" t="str">
        <f>IFERROR(__xludf.DUMMYFUNCTION("""COMPUTED_VALUE"""),"2022-04-21T21:41:24Z")</f>
        <v>2022-04-21T21:41:24Z</v>
      </c>
      <c r="X891" s="43"/>
      <c r="Y891" s="43"/>
      <c r="Z891" s="43"/>
    </row>
    <row r="892" hidden="1">
      <c r="A892" s="43" t="str">
        <f>IFERROR(__xludf.DUMMYFUNCTION("""COMPUTED_VALUE"""),"5175662_1287210")</f>
        <v>5175662_1287210</v>
      </c>
      <c r="B892" s="43" t="str">
        <f>IFERROR(__xludf.DUMMYFUNCTION("""COMPUTED_VALUE"""),"Polina Denysenko")</f>
        <v>Polina Denysenko</v>
      </c>
      <c r="C892" s="43" t="str">
        <f>IFERROR(__xludf.DUMMYFUNCTION("""COMPUTED_VALUE"""),"realization_broken")</f>
        <v>realization_broken</v>
      </c>
      <c r="D892" s="43" t="str">
        <f>IFERROR(__xludf.DUMMYFUNCTION("""COMPUTED_VALUE"""),"No")</f>
        <v>No</v>
      </c>
      <c r="E892" s="43" t="str">
        <f>IFERROR(__xludf.DUMMYFUNCTION("""COMPUTED_VALUE"""),"p_d95255911aef27387e5ba9130d9a8786601bc8b2@inbound.aiesec.org")</f>
        <v>p_d95255911aef27387e5ba9130d9a8786601bc8b2@inbound.aiesec.org</v>
      </c>
      <c r="F892" s="43">
        <f>IFERROR(__xludf.DUMMYFUNCTION("""COMPUTED_VALUE"""),9.50398726E8)</f>
        <v>950398726</v>
      </c>
      <c r="G892" s="43" t="str">
        <f>IFERROR(__xludf.DUMMYFUNCTION("""COMPUTED_VALUE"""),"Ukraine")</f>
        <v>Ukraine</v>
      </c>
      <c r="H892" s="43" t="str">
        <f>IFERROR(__xludf.DUMMYFUNCTION("""COMPUTED_VALUE"""),"KHARKIV")</f>
        <v>KHARKIV</v>
      </c>
      <c r="I892" s="43" t="str">
        <f>IFERROR(__xludf.DUMMYFUNCTION("""COMPUTED_VALUE"""),"Turkey")</f>
        <v>Turkey</v>
      </c>
      <c r="J892" s="43" t="str">
        <f>IFERROR(__xludf.DUMMYFUNCTION("""COMPUTED_VALUE"""),"ISTANBUL WEST")</f>
        <v>ISTANBUL WEST</v>
      </c>
      <c r="K892" s="44" t="str">
        <f>IFERROR(__xludf.DUMMYFUNCTION("""COMPUTED_VALUE"""),"https://expa.aiesec.org/opportunities/1287210")</f>
        <v>https://expa.aiesec.org/opportunities/1287210</v>
      </c>
      <c r="L892" s="43" t="str">
        <f>IFERROR(__xludf.DUMMYFUNCTION("""COMPUTED_VALUE"""),"GV")</f>
        <v>GV</v>
      </c>
      <c r="M892" s="43" t="str">
        <f>IFERROR(__xludf.DUMMYFUNCTION("""COMPUTED_VALUE"""),"short")</f>
        <v>short</v>
      </c>
      <c r="N892" s="45">
        <f>IFERROR(__xludf.DUMMYFUNCTION("""COMPUTED_VALUE"""),45068.0)</f>
        <v>45068</v>
      </c>
      <c r="O892" s="45">
        <f>IFERROR(__xludf.DUMMYFUNCTION("""COMPUTED_VALUE"""),45110.0)</f>
        <v>45110</v>
      </c>
      <c r="P892" s="45">
        <f>IFERROR(__xludf.DUMMYFUNCTION("""COMPUTED_VALUE"""),45152.0)</f>
        <v>45152</v>
      </c>
      <c r="Q892" s="45"/>
      <c r="R892" s="45"/>
      <c r="S892" s="43"/>
      <c r="T892" s="43"/>
      <c r="U892" s="43" t="str">
        <f>IFERROR(__xludf.DUMMYFUNCTION("""COMPUTED_VALUE"""),"Global Classroom")</f>
        <v>Global Classroom</v>
      </c>
      <c r="V892" s="43" t="str">
        <f>IFERROR(__xludf.DUMMYFUNCTION("""COMPUTED_VALUE"""),"Zaporizhzhia")</f>
        <v>Zaporizhzhia</v>
      </c>
      <c r="W892" s="43" t="str">
        <f>IFERROR(__xludf.DUMMYFUNCTION("""COMPUTED_VALUE"""),"2023-01-11T21:26:52Z")</f>
        <v>2023-01-11T21:26:52Z</v>
      </c>
      <c r="X892" s="43"/>
      <c r="Y892" s="43"/>
      <c r="Z892" s="43"/>
    </row>
    <row r="893" hidden="1">
      <c r="A893" s="43" t="str">
        <f>IFERROR(__xludf.DUMMYFUNCTION("""COMPUTED_VALUE"""),"5264045_1289505")</f>
        <v>5264045_1289505</v>
      </c>
      <c r="B893" s="43" t="str">
        <f>IFERROR(__xludf.DUMMYFUNCTION("""COMPUTED_VALUE"""),"Khaoula Laamarti")</f>
        <v>Khaoula Laamarti</v>
      </c>
      <c r="C893" s="43" t="str">
        <f>IFERROR(__xludf.DUMMYFUNCTION("""COMPUTED_VALUE"""),"completed")</f>
        <v>completed</v>
      </c>
      <c r="D893" s="43" t="str">
        <f>IFERROR(__xludf.DUMMYFUNCTION("""COMPUTED_VALUE"""),"No")</f>
        <v>No</v>
      </c>
      <c r="E893" s="43" t="str">
        <f>IFERROR(__xludf.DUMMYFUNCTION("""COMPUTED_VALUE"""),"p_9048fd1263ea8c37d49a0eccbca3e3a02080ea08@inbound.aiesec.org")</f>
        <v>p_9048fd1263ea8c37d49a0eccbca3e3a02080ea08@inbound.aiesec.org</v>
      </c>
      <c r="F893" s="43">
        <f>IFERROR(__xludf.DUMMYFUNCTION("""COMPUTED_VALUE"""),7.776664E8)</f>
        <v>777666400</v>
      </c>
      <c r="G893" s="43" t="str">
        <f>IFERROR(__xludf.DUMMYFUNCTION("""COMPUTED_VALUE"""),"Morocco")</f>
        <v>Morocco</v>
      </c>
      <c r="H893" s="43" t="str">
        <f>IFERROR(__xludf.DUMMYFUNCTION("""COMPUTED_VALUE"""),"Meknes")</f>
        <v>Meknes</v>
      </c>
      <c r="I893" s="43" t="str">
        <f>IFERROR(__xludf.DUMMYFUNCTION("""COMPUTED_VALUE"""),"Turkey")</f>
        <v>Turkey</v>
      </c>
      <c r="J893" s="43" t="str">
        <f>IFERROR(__xludf.DUMMYFUNCTION("""COMPUTED_VALUE"""),"KOCAELI")</f>
        <v>KOCAELI</v>
      </c>
      <c r="K893" s="44" t="str">
        <f>IFERROR(__xludf.DUMMYFUNCTION("""COMPUTED_VALUE"""),"https://expa.aiesec.org/opportunities/1289505")</f>
        <v>https://expa.aiesec.org/opportunities/1289505</v>
      </c>
      <c r="L893" s="43" t="str">
        <f>IFERROR(__xludf.DUMMYFUNCTION("""COMPUTED_VALUE"""),"GV")</f>
        <v>GV</v>
      </c>
      <c r="M893" s="43" t="str">
        <f>IFERROR(__xludf.DUMMYFUNCTION("""COMPUTED_VALUE"""),"short")</f>
        <v>short</v>
      </c>
      <c r="N893" s="45">
        <f>IFERROR(__xludf.DUMMYFUNCTION("""COMPUTED_VALUE"""),45068.0)</f>
        <v>45068</v>
      </c>
      <c r="O893" s="45">
        <f>IFERROR(__xludf.DUMMYFUNCTION("""COMPUTED_VALUE"""),45159.0)</f>
        <v>45159</v>
      </c>
      <c r="P893" s="45">
        <f>IFERROR(__xludf.DUMMYFUNCTION("""COMPUTED_VALUE"""),45201.0)</f>
        <v>45201</v>
      </c>
      <c r="Q893" s="45">
        <f>IFERROR(__xludf.DUMMYFUNCTION("""COMPUTED_VALUE"""),45158.0)</f>
        <v>45158</v>
      </c>
      <c r="R893" s="45">
        <f>IFERROR(__xludf.DUMMYFUNCTION("""COMPUTED_VALUE"""),45201.0)</f>
        <v>45201</v>
      </c>
      <c r="S893" s="43"/>
      <c r="T893" s="43"/>
      <c r="U893" s="43" t="str">
        <f>IFERROR(__xludf.DUMMYFUNCTION("""COMPUTED_VALUE"""),"Youth 4 Impact")</f>
        <v>Youth 4 Impact</v>
      </c>
      <c r="V893" s="43" t="str">
        <f>IFERROR(__xludf.DUMMYFUNCTION("""COMPUTED_VALUE"""),"FLSH Meknès")</f>
        <v>FLSH Meknès</v>
      </c>
      <c r="W893" s="43" t="str">
        <f>IFERROR(__xludf.DUMMYFUNCTION("""COMPUTED_VALUE"""),"2023-05-20T12:15:20Z")</f>
        <v>2023-05-20T12:15:20Z</v>
      </c>
      <c r="X893" s="43"/>
      <c r="Y893" s="43"/>
      <c r="Z893" s="43"/>
    </row>
    <row r="894" hidden="1">
      <c r="A894" s="43" t="str">
        <f>IFERROR(__xludf.DUMMYFUNCTION("""COMPUTED_VALUE"""),"5231435_1294452")</f>
        <v>5231435_1294452</v>
      </c>
      <c r="B894" s="43" t="str">
        <f>IFERROR(__xludf.DUMMYFUNCTION("""COMPUTED_VALUE"""),"Syrine Abess")</f>
        <v>Syrine Abess</v>
      </c>
      <c r="C894" s="43" t="str">
        <f>IFERROR(__xludf.DUMMYFUNCTION("""COMPUTED_VALUE"""),"completed")</f>
        <v>completed</v>
      </c>
      <c r="D894" s="43" t="str">
        <f>IFERROR(__xludf.DUMMYFUNCTION("""COMPUTED_VALUE"""),"No")</f>
        <v>No</v>
      </c>
      <c r="E894" s="43" t="str">
        <f>IFERROR(__xludf.DUMMYFUNCTION("""COMPUTED_VALUE"""),"p_25e46738c8dc2eff1064573e89d320115dad97d1@inbound.aiesec.org")</f>
        <v>p_25e46738c8dc2eff1064573e89d320115dad97d1@inbound.aiesec.org</v>
      </c>
      <c r="F894" s="43"/>
      <c r="G894" s="43" t="str">
        <f>IFERROR(__xludf.DUMMYFUNCTION("""COMPUTED_VALUE"""),"Tunisia")</f>
        <v>Tunisia</v>
      </c>
      <c r="H894" s="43" t="str">
        <f>IFERROR(__xludf.DUMMYFUNCTION("""COMPUTED_VALUE"""),"UNIVERSITY")</f>
        <v>UNIVERSITY</v>
      </c>
      <c r="I894" s="43" t="str">
        <f>IFERROR(__xludf.DUMMYFUNCTION("""COMPUTED_VALUE"""),"Turkey")</f>
        <v>Turkey</v>
      </c>
      <c r="J894" s="43" t="str">
        <f>IFERROR(__xludf.DUMMYFUNCTION("""COMPUTED_VALUE"""),"ESKISEHIR")</f>
        <v>ESKISEHIR</v>
      </c>
      <c r="K894" s="44" t="str">
        <f>IFERROR(__xludf.DUMMYFUNCTION("""COMPUTED_VALUE"""),"https://expa.aiesec.org/opportunities/1294452")</f>
        <v>https://expa.aiesec.org/opportunities/1294452</v>
      </c>
      <c r="L894" s="43" t="str">
        <f>IFERROR(__xludf.DUMMYFUNCTION("""COMPUTED_VALUE"""),"GV")</f>
        <v>GV</v>
      </c>
      <c r="M894" s="43" t="str">
        <f>IFERROR(__xludf.DUMMYFUNCTION("""COMPUTED_VALUE"""),"short")</f>
        <v>short</v>
      </c>
      <c r="N894" s="45">
        <f>IFERROR(__xludf.DUMMYFUNCTION("""COMPUTED_VALUE"""),45068.0)</f>
        <v>45068</v>
      </c>
      <c r="O894" s="45">
        <f>IFERROR(__xludf.DUMMYFUNCTION("""COMPUTED_VALUE"""),45152.0)</f>
        <v>45152</v>
      </c>
      <c r="P894" s="45">
        <f>IFERROR(__xludf.DUMMYFUNCTION("""COMPUTED_VALUE"""),45194.0)</f>
        <v>45194</v>
      </c>
      <c r="Q894" s="45">
        <f>IFERROR(__xludf.DUMMYFUNCTION("""COMPUTED_VALUE"""),45153.0)</f>
        <v>45153</v>
      </c>
      <c r="R894" s="45">
        <f>IFERROR(__xludf.DUMMYFUNCTION("""COMPUTED_VALUE"""),45194.0)</f>
        <v>45194</v>
      </c>
      <c r="S894" s="43"/>
      <c r="T894" s="43"/>
      <c r="U894" s="43" t="str">
        <f>IFERROR(__xludf.DUMMYFUNCTION("""COMPUTED_VALUE"""),"On The Map")</f>
        <v>On The Map</v>
      </c>
      <c r="V894" s="43" t="str">
        <f>IFERROR(__xludf.DUMMYFUNCTION("""COMPUTED_VALUE"""),"-")</f>
        <v>-</v>
      </c>
      <c r="W894" s="43" t="str">
        <f>IFERROR(__xludf.DUMMYFUNCTION("""COMPUTED_VALUE"""),"2023-03-30T21:00:45Z")</f>
        <v>2023-03-30T21:00:45Z</v>
      </c>
      <c r="X894" s="43"/>
      <c r="Y894" s="43"/>
      <c r="Z894" s="43"/>
    </row>
    <row r="895" hidden="1">
      <c r="A895" s="43" t="str">
        <f>IFERROR(__xludf.DUMMYFUNCTION("""COMPUTED_VALUE"""),"5206527_1294452")</f>
        <v>5206527_1294452</v>
      </c>
      <c r="B895" s="43" t="str">
        <f>IFERROR(__xludf.DUMMYFUNCTION("""COMPUTED_VALUE"""),"Ali Kotb")</f>
        <v>Ali Kotb</v>
      </c>
      <c r="C895" s="43" t="str">
        <f>IFERROR(__xludf.DUMMYFUNCTION("""COMPUTED_VALUE"""),"realization_broken")</f>
        <v>realization_broken</v>
      </c>
      <c r="D895" s="43" t="str">
        <f>IFERROR(__xludf.DUMMYFUNCTION("""COMPUTED_VALUE"""),"No")</f>
        <v>No</v>
      </c>
      <c r="E895" s="43" t="str">
        <f>IFERROR(__xludf.DUMMYFUNCTION("""COMPUTED_VALUE"""),"p_1cfeecee80eb37556c4a54c1975dce1613a1f8e5@inbound.aiesec.org")</f>
        <v>p_1cfeecee80eb37556c4a54c1975dce1613a1f8e5@inbound.aiesec.org</v>
      </c>
      <c r="F895" s="43">
        <f>IFERROR(__xludf.DUMMYFUNCTION("""COMPUTED_VALUE"""),1.066000146E9)</f>
        <v>1066000146</v>
      </c>
      <c r="G895" s="43" t="str">
        <f>IFERROR(__xludf.DUMMYFUNCTION("""COMPUTED_VALUE"""),"Egypt")</f>
        <v>Egypt</v>
      </c>
      <c r="H895" s="43" t="str">
        <f>IFERROR(__xludf.DUMMYFUNCTION("""COMPUTED_VALUE"""),"Cairo University")</f>
        <v>Cairo University</v>
      </c>
      <c r="I895" s="43" t="str">
        <f>IFERROR(__xludf.DUMMYFUNCTION("""COMPUTED_VALUE"""),"Turkey")</f>
        <v>Turkey</v>
      </c>
      <c r="J895" s="43" t="str">
        <f>IFERROR(__xludf.DUMMYFUNCTION("""COMPUTED_VALUE"""),"ESKISEHIR")</f>
        <v>ESKISEHIR</v>
      </c>
      <c r="K895" s="44" t="str">
        <f>IFERROR(__xludf.DUMMYFUNCTION("""COMPUTED_VALUE"""),"https://expa.aiesec.org/opportunities/1294452")</f>
        <v>https://expa.aiesec.org/opportunities/1294452</v>
      </c>
      <c r="L895" s="43" t="str">
        <f>IFERROR(__xludf.DUMMYFUNCTION("""COMPUTED_VALUE"""),"GV")</f>
        <v>GV</v>
      </c>
      <c r="M895" s="43" t="str">
        <f>IFERROR(__xludf.DUMMYFUNCTION("""COMPUTED_VALUE"""),"short")</f>
        <v>short</v>
      </c>
      <c r="N895" s="45">
        <f>IFERROR(__xludf.DUMMYFUNCTION("""COMPUTED_VALUE"""),45068.0)</f>
        <v>45068</v>
      </c>
      <c r="O895" s="45">
        <f>IFERROR(__xludf.DUMMYFUNCTION("""COMPUTED_VALUE"""),45152.0)</f>
        <v>45152</v>
      </c>
      <c r="P895" s="45">
        <f>IFERROR(__xludf.DUMMYFUNCTION("""COMPUTED_VALUE"""),45194.0)</f>
        <v>45194</v>
      </c>
      <c r="Q895" s="45"/>
      <c r="R895" s="45"/>
      <c r="S895" s="43"/>
      <c r="T895" s="43"/>
      <c r="U895" s="43" t="str">
        <f>IFERROR(__xludf.DUMMYFUNCTION("""COMPUTED_VALUE"""),"On The Map")</f>
        <v>On The Map</v>
      </c>
      <c r="V895" s="43" t="str">
        <f>IFERROR(__xludf.DUMMYFUNCTION("""COMPUTED_VALUE"""),"Cairo Univeristy")</f>
        <v>Cairo Univeristy</v>
      </c>
      <c r="W895" s="43" t="str">
        <f>IFERROR(__xludf.DUMMYFUNCTION("""COMPUTED_VALUE"""),"2023-03-05T15:23:39Z")</f>
        <v>2023-03-05T15:23:39Z</v>
      </c>
      <c r="X895" s="43"/>
      <c r="Y895" s="43"/>
      <c r="Z895" s="43"/>
    </row>
    <row r="896" hidden="1">
      <c r="A896" s="43" t="str">
        <f>IFERROR(__xludf.DUMMYFUNCTION("""COMPUTED_VALUE"""),"5240595_1294894")</f>
        <v>5240595_1294894</v>
      </c>
      <c r="B896" s="43" t="str">
        <f>IFERROR(__xludf.DUMMYFUNCTION("""COMPUTED_VALUE"""),"Salma Yasser")</f>
        <v>Salma Yasser</v>
      </c>
      <c r="C896" s="43" t="str">
        <f>IFERROR(__xludf.DUMMYFUNCTION("""COMPUTED_VALUE"""),"completed")</f>
        <v>completed</v>
      </c>
      <c r="D896" s="43" t="str">
        <f>IFERROR(__xludf.DUMMYFUNCTION("""COMPUTED_VALUE"""),"No")</f>
        <v>No</v>
      </c>
      <c r="E896" s="43" t="str">
        <f>IFERROR(__xludf.DUMMYFUNCTION("""COMPUTED_VALUE"""),"p_dd6026db203a7c7998495a25419159fb6c26426e@inbound.aiesec.org")</f>
        <v>p_dd6026db203a7c7998495a25419159fb6c26426e@inbound.aiesec.org</v>
      </c>
      <c r="F896" s="43">
        <f>IFERROR(__xludf.DUMMYFUNCTION("""COMPUTED_VALUE"""),1.069293061E9)</f>
        <v>1069293061</v>
      </c>
      <c r="G896" s="43" t="str">
        <f>IFERROR(__xludf.DUMMYFUNCTION("""COMPUTED_VALUE"""),"Egypt")</f>
        <v>Egypt</v>
      </c>
      <c r="H896" s="43" t="str">
        <f>IFERROR(__xludf.DUMMYFUNCTION("""COMPUTED_VALUE"""),"GUC")</f>
        <v>GUC</v>
      </c>
      <c r="I896" s="43" t="str">
        <f>IFERROR(__xludf.DUMMYFUNCTION("""COMPUTED_VALUE"""),"Turkey")</f>
        <v>Turkey</v>
      </c>
      <c r="J896" s="43" t="str">
        <f>IFERROR(__xludf.DUMMYFUNCTION("""COMPUTED_VALUE"""),"ADANA")</f>
        <v>ADANA</v>
      </c>
      <c r="K896" s="44" t="str">
        <f>IFERROR(__xludf.DUMMYFUNCTION("""COMPUTED_VALUE"""),"https://expa.aiesec.org/opportunities/1294894")</f>
        <v>https://expa.aiesec.org/opportunities/1294894</v>
      </c>
      <c r="L896" s="43" t="str">
        <f>IFERROR(__xludf.DUMMYFUNCTION("""COMPUTED_VALUE"""),"GV")</f>
        <v>GV</v>
      </c>
      <c r="M896" s="43" t="str">
        <f>IFERROR(__xludf.DUMMYFUNCTION("""COMPUTED_VALUE"""),"short")</f>
        <v>short</v>
      </c>
      <c r="N896" s="45">
        <f>IFERROR(__xludf.DUMMYFUNCTION("""COMPUTED_VALUE"""),45068.0)</f>
        <v>45068</v>
      </c>
      <c r="O896" s="45">
        <f>IFERROR(__xludf.DUMMYFUNCTION("""COMPUTED_VALUE"""),45110.0)</f>
        <v>45110</v>
      </c>
      <c r="P896" s="45">
        <f>IFERROR(__xludf.DUMMYFUNCTION("""COMPUTED_VALUE"""),45156.0)</f>
        <v>45156</v>
      </c>
      <c r="Q896" s="45">
        <f>IFERROR(__xludf.DUMMYFUNCTION("""COMPUTED_VALUE"""),45128.0)</f>
        <v>45128</v>
      </c>
      <c r="R896" s="45">
        <f>IFERROR(__xludf.DUMMYFUNCTION("""COMPUTED_VALUE"""),45168.0)</f>
        <v>45168</v>
      </c>
      <c r="S896" s="43"/>
      <c r="T896" s="43"/>
      <c r="U896" s="43" t="str">
        <f>IFERROR(__xludf.DUMMYFUNCTION("""COMPUTED_VALUE"""),"Global Classroom")</f>
        <v>Global Classroom</v>
      </c>
      <c r="V896" s="43" t="str">
        <f>IFERROR(__xludf.DUMMYFUNCTION("""COMPUTED_VALUE"""),"GIU")</f>
        <v>GIU</v>
      </c>
      <c r="W896" s="43" t="str">
        <f>IFERROR(__xludf.DUMMYFUNCTION("""COMPUTED_VALUE"""),"2023-04-12T17:33:04Z")</f>
        <v>2023-04-12T17:33:04Z</v>
      </c>
      <c r="X896" s="43"/>
      <c r="Y896" s="43"/>
      <c r="Z896" s="43"/>
    </row>
    <row r="897" hidden="1">
      <c r="A897" s="43" t="str">
        <f>IFERROR(__xludf.DUMMYFUNCTION("""COMPUTED_VALUE"""),"5248200_1294452")</f>
        <v>5248200_1294452</v>
      </c>
      <c r="B897" s="43" t="str">
        <f>IFERROR(__xludf.DUMMYFUNCTION("""COMPUTED_VALUE"""),"Abdelwaheb Houmia")</f>
        <v>Abdelwaheb Houmia</v>
      </c>
      <c r="C897" s="43" t="str">
        <f>IFERROR(__xludf.DUMMYFUNCTION("""COMPUTED_VALUE"""),"completed")</f>
        <v>completed</v>
      </c>
      <c r="D897" s="43" t="str">
        <f>IFERROR(__xludf.DUMMYFUNCTION("""COMPUTED_VALUE"""),"No")</f>
        <v>No</v>
      </c>
      <c r="E897" s="43" t="str">
        <f>IFERROR(__xludf.DUMMYFUNCTION("""COMPUTED_VALUE"""),"p_10d9ee7a673e344524ad5125692b8a429200dca9@inbound.aiesec.org")</f>
        <v>p_10d9ee7a673e344524ad5125692b8a429200dca9@inbound.aiesec.org</v>
      </c>
      <c r="F897" s="43">
        <f>IFERROR(__xludf.DUMMYFUNCTION("""COMPUTED_VALUE"""),5.1436336E7)</f>
        <v>51436336</v>
      </c>
      <c r="G897" s="43" t="str">
        <f>IFERROR(__xludf.DUMMYFUNCTION("""COMPUTED_VALUE"""),"Tunisia")</f>
        <v>Tunisia</v>
      </c>
      <c r="H897" s="43" t="str">
        <f>IFERROR(__xludf.DUMMYFUNCTION("""COMPUTED_VALUE"""),"UNIVERSITY")</f>
        <v>UNIVERSITY</v>
      </c>
      <c r="I897" s="43" t="str">
        <f>IFERROR(__xludf.DUMMYFUNCTION("""COMPUTED_VALUE"""),"Turkey")</f>
        <v>Turkey</v>
      </c>
      <c r="J897" s="43" t="str">
        <f>IFERROR(__xludf.DUMMYFUNCTION("""COMPUTED_VALUE"""),"ESKISEHIR")</f>
        <v>ESKISEHIR</v>
      </c>
      <c r="K897" s="44" t="str">
        <f>IFERROR(__xludf.DUMMYFUNCTION("""COMPUTED_VALUE"""),"https://expa.aiesec.org/opportunities/1294452")</f>
        <v>https://expa.aiesec.org/opportunities/1294452</v>
      </c>
      <c r="L897" s="43" t="str">
        <f>IFERROR(__xludf.DUMMYFUNCTION("""COMPUTED_VALUE"""),"GV")</f>
        <v>GV</v>
      </c>
      <c r="M897" s="43" t="str">
        <f>IFERROR(__xludf.DUMMYFUNCTION("""COMPUTED_VALUE"""),"short")</f>
        <v>short</v>
      </c>
      <c r="N897" s="45">
        <f>IFERROR(__xludf.DUMMYFUNCTION("""COMPUTED_VALUE"""),45068.0)</f>
        <v>45068</v>
      </c>
      <c r="O897" s="45">
        <f>IFERROR(__xludf.DUMMYFUNCTION("""COMPUTED_VALUE"""),45152.0)</f>
        <v>45152</v>
      </c>
      <c r="P897" s="45">
        <f>IFERROR(__xludf.DUMMYFUNCTION("""COMPUTED_VALUE"""),45194.0)</f>
        <v>45194</v>
      </c>
      <c r="Q897" s="45">
        <f>IFERROR(__xludf.DUMMYFUNCTION("""COMPUTED_VALUE"""),45153.0)</f>
        <v>45153</v>
      </c>
      <c r="R897" s="45">
        <f>IFERROR(__xludf.DUMMYFUNCTION("""COMPUTED_VALUE"""),45194.0)</f>
        <v>45194</v>
      </c>
      <c r="S897" s="43"/>
      <c r="T897" s="43"/>
      <c r="U897" s="43" t="str">
        <f>IFERROR(__xludf.DUMMYFUNCTION("""COMPUTED_VALUE"""),"On The Map")</f>
        <v>On The Map</v>
      </c>
      <c r="V897" s="43" t="str">
        <f>IFERROR(__xludf.DUMMYFUNCTION("""COMPUTED_VALUE"""),"FST")</f>
        <v>FST</v>
      </c>
      <c r="W897" s="43" t="str">
        <f>IFERROR(__xludf.DUMMYFUNCTION("""COMPUTED_VALUE"""),"2023-04-24T10:37:46Z")</f>
        <v>2023-04-24T10:37:46Z</v>
      </c>
      <c r="X897" s="43"/>
      <c r="Y897" s="43"/>
      <c r="Z897" s="43"/>
    </row>
    <row r="898" hidden="1">
      <c r="A898" s="43" t="str">
        <f>IFERROR(__xludf.DUMMYFUNCTION("""COMPUTED_VALUE"""),"3865506_1289597")</f>
        <v>3865506_1289597</v>
      </c>
      <c r="B898" s="43" t="str">
        <f>IFERROR(__xludf.DUMMYFUNCTION("""COMPUTED_VALUE"""),"Tasneem Abo Elnaga")</f>
        <v>Tasneem Abo Elnaga</v>
      </c>
      <c r="C898" s="43" t="str">
        <f>IFERROR(__xludf.DUMMYFUNCTION("""COMPUTED_VALUE"""),"completed")</f>
        <v>completed</v>
      </c>
      <c r="D898" s="43" t="str">
        <f>IFERROR(__xludf.DUMMYFUNCTION("""COMPUTED_VALUE"""),"No")</f>
        <v>No</v>
      </c>
      <c r="E898" s="43" t="str">
        <f>IFERROR(__xludf.DUMMYFUNCTION("""COMPUTED_VALUE"""),"p_31a75fcd9bed55c9b20f1f2cb0ac01bf0092763d@inbound.aiesec.org")</f>
        <v>p_31a75fcd9bed55c9b20f1f2cb0ac01bf0092763d@inbound.aiesec.org</v>
      </c>
      <c r="F898" s="43">
        <f>IFERROR(__xludf.DUMMYFUNCTION("""COMPUTED_VALUE"""),1.069995161E9)</f>
        <v>1069995161</v>
      </c>
      <c r="G898" s="43" t="str">
        <f>IFERROR(__xludf.DUMMYFUNCTION("""COMPUTED_VALUE"""),"Egypt")</f>
        <v>Egypt</v>
      </c>
      <c r="H898" s="43" t="str">
        <f>IFERROR(__xludf.DUMMYFUNCTION("""COMPUTED_VALUE"""),"Alexandria")</f>
        <v>Alexandria</v>
      </c>
      <c r="I898" s="43" t="str">
        <f>IFERROR(__xludf.DUMMYFUNCTION("""COMPUTED_VALUE"""),"Turkey")</f>
        <v>Turkey</v>
      </c>
      <c r="J898" s="43" t="str">
        <f>IFERROR(__xludf.DUMMYFUNCTION("""COMPUTED_VALUE"""),"ISPARTA")</f>
        <v>ISPARTA</v>
      </c>
      <c r="K898" s="44" t="str">
        <f>IFERROR(__xludf.DUMMYFUNCTION("""COMPUTED_VALUE"""),"https://expa.aiesec.org/opportunities/1289597")</f>
        <v>https://expa.aiesec.org/opportunities/1289597</v>
      </c>
      <c r="L898" s="43" t="str">
        <f>IFERROR(__xludf.DUMMYFUNCTION("""COMPUTED_VALUE"""),"GV")</f>
        <v>GV</v>
      </c>
      <c r="M898" s="43" t="str">
        <f>IFERROR(__xludf.DUMMYFUNCTION("""COMPUTED_VALUE"""),"short")</f>
        <v>short</v>
      </c>
      <c r="N898" s="45">
        <f>IFERROR(__xludf.DUMMYFUNCTION("""COMPUTED_VALUE"""),45068.0)</f>
        <v>45068</v>
      </c>
      <c r="O898" s="45">
        <f>IFERROR(__xludf.DUMMYFUNCTION("""COMPUTED_VALUE"""),45159.0)</f>
        <v>45159</v>
      </c>
      <c r="P898" s="45">
        <f>IFERROR(__xludf.DUMMYFUNCTION("""COMPUTED_VALUE"""),45201.0)</f>
        <v>45201</v>
      </c>
      <c r="Q898" s="45">
        <f>IFERROR(__xludf.DUMMYFUNCTION("""COMPUTED_VALUE"""),45167.0)</f>
        <v>45167</v>
      </c>
      <c r="R898" s="45">
        <f>IFERROR(__xludf.DUMMYFUNCTION("""COMPUTED_VALUE"""),45207.0)</f>
        <v>45207</v>
      </c>
      <c r="S898" s="43"/>
      <c r="T898" s="43"/>
      <c r="U898" s="43" t="str">
        <f>IFERROR(__xludf.DUMMYFUNCTION("""COMPUTED_VALUE"""),"Global Classroom")</f>
        <v>Global Classroom</v>
      </c>
      <c r="V898" s="43" t="str">
        <f>IFERROR(__xludf.DUMMYFUNCTION("""COMPUTED_VALUE"""),"-")</f>
        <v>-</v>
      </c>
      <c r="W898" s="43" t="str">
        <f>IFERROR(__xludf.DUMMYFUNCTION("""COMPUTED_VALUE"""),"2019-10-01T11:35:43Z")</f>
        <v>2019-10-01T11:35:43Z</v>
      </c>
      <c r="X898" s="43"/>
      <c r="Y898" s="43"/>
      <c r="Z898" s="43"/>
    </row>
    <row r="899" hidden="1">
      <c r="A899" s="43" t="str">
        <f>IFERROR(__xludf.DUMMYFUNCTION("""COMPUTED_VALUE"""),"5255964_1291144")</f>
        <v>5255964_1291144</v>
      </c>
      <c r="B899" s="43" t="str">
        <f>IFERROR(__xludf.DUMMYFUNCTION("""COMPUTED_VALUE"""),"Mrad Maryem")</f>
        <v>Mrad Maryem</v>
      </c>
      <c r="C899" s="43" t="str">
        <f>IFERROR(__xludf.DUMMYFUNCTION("""COMPUTED_VALUE"""),"completed")</f>
        <v>completed</v>
      </c>
      <c r="D899" s="43" t="str">
        <f>IFERROR(__xludf.DUMMYFUNCTION("""COMPUTED_VALUE"""),"No")</f>
        <v>No</v>
      </c>
      <c r="E899" s="43" t="str">
        <f>IFERROR(__xludf.DUMMYFUNCTION("""COMPUTED_VALUE"""),"p_2811b6c20751c18f4de0a25e52be63d35acb465f@inbound.aiesec.org")</f>
        <v>p_2811b6c20751c18f4de0a25e52be63d35acb465f@inbound.aiesec.org</v>
      </c>
      <c r="F899" s="43">
        <f>IFERROR(__xludf.DUMMYFUNCTION("""COMPUTED_VALUE"""),5.6749337E7)</f>
        <v>56749337</v>
      </c>
      <c r="G899" s="43" t="str">
        <f>IFERROR(__xludf.DUMMYFUNCTION("""COMPUTED_VALUE"""),"Tunisia")</f>
        <v>Tunisia</v>
      </c>
      <c r="H899" s="43" t="str">
        <f>IFERROR(__xludf.DUMMYFUNCTION("""COMPUTED_VALUE"""),"UNIVERSITY")</f>
        <v>UNIVERSITY</v>
      </c>
      <c r="I899" s="43" t="str">
        <f>IFERROR(__xludf.DUMMYFUNCTION("""COMPUTED_VALUE"""),"Turkey")</f>
        <v>Turkey</v>
      </c>
      <c r="J899" s="43" t="str">
        <f>IFERROR(__xludf.DUMMYFUNCTION("""COMPUTED_VALUE"""),"ESKISEHIR")</f>
        <v>ESKISEHIR</v>
      </c>
      <c r="K899" s="44" t="str">
        <f>IFERROR(__xludf.DUMMYFUNCTION("""COMPUTED_VALUE"""),"https://expa.aiesec.org/opportunities/1291144")</f>
        <v>https://expa.aiesec.org/opportunities/1291144</v>
      </c>
      <c r="L899" s="43" t="str">
        <f>IFERROR(__xludf.DUMMYFUNCTION("""COMPUTED_VALUE"""),"GV")</f>
        <v>GV</v>
      </c>
      <c r="M899" s="43" t="str">
        <f>IFERROR(__xludf.DUMMYFUNCTION("""COMPUTED_VALUE"""),"short")</f>
        <v>short</v>
      </c>
      <c r="N899" s="45">
        <f>IFERROR(__xludf.DUMMYFUNCTION("""COMPUTED_VALUE"""),45068.0)</f>
        <v>45068</v>
      </c>
      <c r="O899" s="45">
        <f>IFERROR(__xludf.DUMMYFUNCTION("""COMPUTED_VALUE"""),45180.0)</f>
        <v>45180</v>
      </c>
      <c r="P899" s="45">
        <f>IFERROR(__xludf.DUMMYFUNCTION("""COMPUTED_VALUE"""),45222.0)</f>
        <v>45222</v>
      </c>
      <c r="Q899" s="45">
        <f>IFERROR(__xludf.DUMMYFUNCTION("""COMPUTED_VALUE"""),45188.0)</f>
        <v>45188</v>
      </c>
      <c r="R899" s="45">
        <f>IFERROR(__xludf.DUMMYFUNCTION("""COMPUTED_VALUE"""),45228.0)</f>
        <v>45228</v>
      </c>
      <c r="S899" s="43"/>
      <c r="T899" s="43"/>
      <c r="U899" s="43" t="str">
        <f>IFERROR(__xludf.DUMMYFUNCTION("""COMPUTED_VALUE"""),"Global Classroom")</f>
        <v>Global Classroom</v>
      </c>
      <c r="V899" s="43" t="str">
        <f>IFERROR(__xludf.DUMMYFUNCTION("""COMPUTED_VALUE"""),"FST")</f>
        <v>FST</v>
      </c>
      <c r="W899" s="43" t="str">
        <f>IFERROR(__xludf.DUMMYFUNCTION("""COMPUTED_VALUE"""),"2023-05-04T20:36:09Z")</f>
        <v>2023-05-04T20:36:09Z</v>
      </c>
      <c r="X899" s="43"/>
      <c r="Y899" s="43"/>
      <c r="Z899" s="43"/>
    </row>
    <row r="900" hidden="1">
      <c r="A900" s="43" t="str">
        <f>IFERROR(__xludf.DUMMYFUNCTION("""COMPUTED_VALUE"""),"5265413_1294894")</f>
        <v>5265413_1294894</v>
      </c>
      <c r="B900" s="43" t="str">
        <f>IFERROR(__xludf.DUMMYFUNCTION("""COMPUTED_VALUE"""),"hanine said")</f>
        <v>hanine said</v>
      </c>
      <c r="C900" s="43" t="str">
        <f>IFERROR(__xludf.DUMMYFUNCTION("""COMPUTED_VALUE"""),"completed")</f>
        <v>completed</v>
      </c>
      <c r="D900" s="43" t="str">
        <f>IFERROR(__xludf.DUMMYFUNCTION("""COMPUTED_VALUE"""),"No")</f>
        <v>No</v>
      </c>
      <c r="E900" s="43" t="str">
        <f>IFERROR(__xludf.DUMMYFUNCTION("""COMPUTED_VALUE"""),"p_11e1e3592bf5432f445eb1717e6db595e4da6618@inbound.aiesec.org")</f>
        <v>p_11e1e3592bf5432f445eb1717e6db595e4da6618@inbound.aiesec.org</v>
      </c>
      <c r="F900" s="43">
        <f>IFERROR(__xludf.DUMMYFUNCTION("""COMPUTED_VALUE"""),5.8408904E7)</f>
        <v>58408904</v>
      </c>
      <c r="G900" s="43" t="str">
        <f>IFERROR(__xludf.DUMMYFUNCTION("""COMPUTED_VALUE"""),"Tunisia")</f>
        <v>Tunisia</v>
      </c>
      <c r="H900" s="43" t="str">
        <f>IFERROR(__xludf.DUMMYFUNCTION("""COMPUTED_VALUE"""),"HADRUMET")</f>
        <v>HADRUMET</v>
      </c>
      <c r="I900" s="43" t="str">
        <f>IFERROR(__xludf.DUMMYFUNCTION("""COMPUTED_VALUE"""),"Turkey")</f>
        <v>Turkey</v>
      </c>
      <c r="J900" s="43" t="str">
        <f>IFERROR(__xludf.DUMMYFUNCTION("""COMPUTED_VALUE"""),"ADANA")</f>
        <v>ADANA</v>
      </c>
      <c r="K900" s="44" t="str">
        <f>IFERROR(__xludf.DUMMYFUNCTION("""COMPUTED_VALUE"""),"https://expa.aiesec.org/opportunities/1294894")</f>
        <v>https://expa.aiesec.org/opportunities/1294894</v>
      </c>
      <c r="L900" s="43" t="str">
        <f>IFERROR(__xludf.DUMMYFUNCTION("""COMPUTED_VALUE"""),"GV")</f>
        <v>GV</v>
      </c>
      <c r="M900" s="43" t="str">
        <f>IFERROR(__xludf.DUMMYFUNCTION("""COMPUTED_VALUE"""),"short")</f>
        <v>short</v>
      </c>
      <c r="N900" s="45">
        <f>IFERROR(__xludf.DUMMYFUNCTION("""COMPUTED_VALUE"""),45069.0)</f>
        <v>45069</v>
      </c>
      <c r="O900" s="45">
        <f>IFERROR(__xludf.DUMMYFUNCTION("""COMPUTED_VALUE"""),45110.0)</f>
        <v>45110</v>
      </c>
      <c r="P900" s="45">
        <f>IFERROR(__xludf.DUMMYFUNCTION("""COMPUTED_VALUE"""),45156.0)</f>
        <v>45156</v>
      </c>
      <c r="Q900" s="45">
        <f>IFERROR(__xludf.DUMMYFUNCTION("""COMPUTED_VALUE"""),45110.0)</f>
        <v>45110</v>
      </c>
      <c r="R900" s="45">
        <f>IFERROR(__xludf.DUMMYFUNCTION("""COMPUTED_VALUE"""),45156.0)</f>
        <v>45156</v>
      </c>
      <c r="S900" s="43"/>
      <c r="T900" s="43"/>
      <c r="U900" s="43" t="str">
        <f>IFERROR(__xludf.DUMMYFUNCTION("""COMPUTED_VALUE"""),"Global Classroom")</f>
        <v>Global Classroom</v>
      </c>
      <c r="V900" s="43" t="str">
        <f>IFERROR(__xludf.DUMMYFUNCTION("""COMPUTED_VALUE"""),"FLSH Sousse")</f>
        <v>FLSH Sousse</v>
      </c>
      <c r="W900" s="43" t="str">
        <f>IFERROR(__xludf.DUMMYFUNCTION("""COMPUTED_VALUE"""),"2023-05-23T14:09:53Z")</f>
        <v>2023-05-23T14:09:53Z</v>
      </c>
      <c r="X900" s="43"/>
      <c r="Y900" s="43"/>
      <c r="Z900" s="43"/>
    </row>
    <row r="901" hidden="1">
      <c r="A901" s="43" t="str">
        <f>IFERROR(__xludf.DUMMYFUNCTION("""COMPUTED_VALUE"""),"5264781_1294795")</f>
        <v>5264781_1294795</v>
      </c>
      <c r="B901" s="43" t="str">
        <f>IFERROR(__xludf.DUMMYFUNCTION("""COMPUTED_VALUE"""),"Youmna Yasser")</f>
        <v>Youmna Yasser</v>
      </c>
      <c r="C901" s="43" t="str">
        <f>IFERROR(__xludf.DUMMYFUNCTION("""COMPUTED_VALUE"""),"approved")</f>
        <v>approved</v>
      </c>
      <c r="D901" s="43" t="str">
        <f>IFERROR(__xludf.DUMMYFUNCTION("""COMPUTED_VALUE"""),"No")</f>
        <v>No</v>
      </c>
      <c r="E901" s="43" t="str">
        <f>IFERROR(__xludf.DUMMYFUNCTION("""COMPUTED_VALUE"""),"p_44edc3cafbe9229fc47b4c09a585f402dfe2e2e3@inbound.aiesec.org")</f>
        <v>p_44edc3cafbe9229fc47b4c09a585f402dfe2e2e3@inbound.aiesec.org</v>
      </c>
      <c r="F901" s="43">
        <f>IFERROR(__xludf.DUMMYFUNCTION("""COMPUTED_VALUE"""),1.015164413E9)</f>
        <v>1015164413</v>
      </c>
      <c r="G901" s="43" t="str">
        <f>IFERROR(__xludf.DUMMYFUNCTION("""COMPUTED_VALUE"""),"Egypt")</f>
        <v>Egypt</v>
      </c>
      <c r="H901" s="43" t="str">
        <f>IFERROR(__xludf.DUMMYFUNCTION("""COMPUTED_VALUE"""),"Mansoura")</f>
        <v>Mansoura</v>
      </c>
      <c r="I901" s="43" t="str">
        <f>IFERROR(__xludf.DUMMYFUNCTION("""COMPUTED_VALUE"""),"Turkey")</f>
        <v>Turkey</v>
      </c>
      <c r="J901" s="43" t="str">
        <f>IFERROR(__xludf.DUMMYFUNCTION("""COMPUTED_VALUE"""),"ADANA")</f>
        <v>ADANA</v>
      </c>
      <c r="K901" s="44" t="str">
        <f>IFERROR(__xludf.DUMMYFUNCTION("""COMPUTED_VALUE"""),"https://expa.aiesec.org/opportunities/1294795")</f>
        <v>https://expa.aiesec.org/opportunities/1294795</v>
      </c>
      <c r="L901" s="43" t="str">
        <f>IFERROR(__xludf.DUMMYFUNCTION("""COMPUTED_VALUE"""),"GV")</f>
        <v>GV</v>
      </c>
      <c r="M901" s="43" t="str">
        <f>IFERROR(__xludf.DUMMYFUNCTION("""COMPUTED_VALUE"""),"short")</f>
        <v>short</v>
      </c>
      <c r="N901" s="45">
        <f>IFERROR(__xludf.DUMMYFUNCTION("""COMPUTED_VALUE"""),45069.0)</f>
        <v>45069</v>
      </c>
      <c r="O901" s="45">
        <f>IFERROR(__xludf.DUMMYFUNCTION("""COMPUTED_VALUE"""),45159.0)</f>
        <v>45159</v>
      </c>
      <c r="P901" s="45">
        <f>IFERROR(__xludf.DUMMYFUNCTION("""COMPUTED_VALUE"""),45205.0)</f>
        <v>45205</v>
      </c>
      <c r="Q901" s="45"/>
      <c r="R901" s="45"/>
      <c r="S901" s="43"/>
      <c r="T901" s="43"/>
      <c r="U901" s="43" t="str">
        <f>IFERROR(__xludf.DUMMYFUNCTION("""COMPUTED_VALUE"""),"Global Classroom")</f>
        <v>Global Classroom</v>
      </c>
      <c r="V901" s="43" t="str">
        <f>IFERROR(__xludf.DUMMYFUNCTION("""COMPUTED_VALUE"""),"Mansoura")</f>
        <v>Mansoura</v>
      </c>
      <c r="W901" s="43" t="str">
        <f>IFERROR(__xludf.DUMMYFUNCTION("""COMPUTED_VALUE"""),"2023-05-22T10:50:14Z")</f>
        <v>2023-05-22T10:50:14Z</v>
      </c>
      <c r="X901" s="43"/>
      <c r="Y901" s="43"/>
      <c r="Z901" s="43"/>
    </row>
    <row r="902" hidden="1">
      <c r="A902" s="43" t="str">
        <f>IFERROR(__xludf.DUMMYFUNCTION("""COMPUTED_VALUE"""),"5264830_1294795")</f>
        <v>5264830_1294795</v>
      </c>
      <c r="B902" s="43" t="str">
        <f>IFERROR(__xludf.DUMMYFUNCTION("""COMPUTED_VALUE"""),"Sara dawood")</f>
        <v>Sara dawood</v>
      </c>
      <c r="C902" s="43" t="str">
        <f>IFERROR(__xludf.DUMMYFUNCTION("""COMPUTED_VALUE"""),"approved")</f>
        <v>approved</v>
      </c>
      <c r="D902" s="43" t="str">
        <f>IFERROR(__xludf.DUMMYFUNCTION("""COMPUTED_VALUE"""),"No")</f>
        <v>No</v>
      </c>
      <c r="E902" s="43" t="str">
        <f>IFERROR(__xludf.DUMMYFUNCTION("""COMPUTED_VALUE"""),"p_fccfc4984def09d708ac4cb3fe7e60b6ca6acea1@inbound.aiesec.org")</f>
        <v>p_fccfc4984def09d708ac4cb3fe7e60b6ca6acea1@inbound.aiesec.org</v>
      </c>
      <c r="F902" s="43"/>
      <c r="G902" s="43" t="str">
        <f>IFERROR(__xludf.DUMMYFUNCTION("""COMPUTED_VALUE"""),"Egypt")</f>
        <v>Egypt</v>
      </c>
      <c r="H902" s="43" t="str">
        <f>IFERROR(__xludf.DUMMYFUNCTION("""COMPUTED_VALUE"""),"Mansoura")</f>
        <v>Mansoura</v>
      </c>
      <c r="I902" s="43" t="str">
        <f>IFERROR(__xludf.DUMMYFUNCTION("""COMPUTED_VALUE"""),"Turkey")</f>
        <v>Turkey</v>
      </c>
      <c r="J902" s="43" t="str">
        <f>IFERROR(__xludf.DUMMYFUNCTION("""COMPUTED_VALUE"""),"ADANA")</f>
        <v>ADANA</v>
      </c>
      <c r="K902" s="44" t="str">
        <f>IFERROR(__xludf.DUMMYFUNCTION("""COMPUTED_VALUE"""),"https://expa.aiesec.org/opportunities/1294795")</f>
        <v>https://expa.aiesec.org/opportunities/1294795</v>
      </c>
      <c r="L902" s="43" t="str">
        <f>IFERROR(__xludf.DUMMYFUNCTION("""COMPUTED_VALUE"""),"GV")</f>
        <v>GV</v>
      </c>
      <c r="M902" s="43" t="str">
        <f>IFERROR(__xludf.DUMMYFUNCTION("""COMPUTED_VALUE"""),"short")</f>
        <v>short</v>
      </c>
      <c r="N902" s="45">
        <f>IFERROR(__xludf.DUMMYFUNCTION("""COMPUTED_VALUE"""),45069.0)</f>
        <v>45069</v>
      </c>
      <c r="O902" s="45">
        <f>IFERROR(__xludf.DUMMYFUNCTION("""COMPUTED_VALUE"""),45159.0)</f>
        <v>45159</v>
      </c>
      <c r="P902" s="45">
        <f>IFERROR(__xludf.DUMMYFUNCTION("""COMPUTED_VALUE"""),45205.0)</f>
        <v>45205</v>
      </c>
      <c r="Q902" s="45"/>
      <c r="R902" s="45"/>
      <c r="S902" s="43"/>
      <c r="T902" s="43"/>
      <c r="U902" s="43" t="str">
        <f>IFERROR(__xludf.DUMMYFUNCTION("""COMPUTED_VALUE"""),"Global Classroom")</f>
        <v>Global Classroom</v>
      </c>
      <c r="V902" s="43" t="str">
        <f>IFERROR(__xludf.DUMMYFUNCTION("""COMPUTED_VALUE"""),"-")</f>
        <v>-</v>
      </c>
      <c r="W902" s="43" t="str">
        <f>IFERROR(__xludf.DUMMYFUNCTION("""COMPUTED_VALUE"""),"2023-05-22T12:52:15Z")</f>
        <v>2023-05-22T12:52:15Z</v>
      </c>
      <c r="X902" s="43"/>
      <c r="Y902" s="43"/>
      <c r="Z902" s="43"/>
    </row>
    <row r="903" hidden="1">
      <c r="A903" s="43" t="str">
        <f>IFERROR(__xludf.DUMMYFUNCTION("""COMPUTED_VALUE"""),"3845981_1294452")</f>
        <v>3845981_1294452</v>
      </c>
      <c r="B903" s="43" t="str">
        <f>IFERROR(__xludf.DUMMYFUNCTION("""COMPUTED_VALUE"""),"Aliaa Ahmed")</f>
        <v>Aliaa Ahmed</v>
      </c>
      <c r="C903" s="43" t="str">
        <f>IFERROR(__xludf.DUMMYFUNCTION("""COMPUTED_VALUE"""),"approved")</f>
        <v>approved</v>
      </c>
      <c r="D903" s="43" t="str">
        <f>IFERROR(__xludf.DUMMYFUNCTION("""COMPUTED_VALUE"""),"No")</f>
        <v>No</v>
      </c>
      <c r="E903" s="43" t="str">
        <f>IFERROR(__xludf.DUMMYFUNCTION("""COMPUTED_VALUE"""),"p_56361c2ef447c3ce5ea2b0f8559eab6d1c203174@inbound.aiesec.org")</f>
        <v>p_56361c2ef447c3ce5ea2b0f8559eab6d1c203174@inbound.aiesec.org</v>
      </c>
      <c r="F903" s="43">
        <f>IFERROR(__xludf.DUMMYFUNCTION("""COMPUTED_VALUE"""),1.151773375E9)</f>
        <v>1151773375</v>
      </c>
      <c r="G903" s="43" t="str">
        <f>IFERROR(__xludf.DUMMYFUNCTION("""COMPUTED_VALUE"""),"Egypt")</f>
        <v>Egypt</v>
      </c>
      <c r="H903" s="43" t="str">
        <f>IFERROR(__xludf.DUMMYFUNCTION("""COMPUTED_VALUE"""),"Suez")</f>
        <v>Suez</v>
      </c>
      <c r="I903" s="43" t="str">
        <f>IFERROR(__xludf.DUMMYFUNCTION("""COMPUTED_VALUE"""),"Turkey")</f>
        <v>Turkey</v>
      </c>
      <c r="J903" s="43" t="str">
        <f>IFERROR(__xludf.DUMMYFUNCTION("""COMPUTED_VALUE"""),"ESKISEHIR")</f>
        <v>ESKISEHIR</v>
      </c>
      <c r="K903" s="44" t="str">
        <f>IFERROR(__xludf.DUMMYFUNCTION("""COMPUTED_VALUE"""),"https://expa.aiesec.org/opportunities/1294452")</f>
        <v>https://expa.aiesec.org/opportunities/1294452</v>
      </c>
      <c r="L903" s="43" t="str">
        <f>IFERROR(__xludf.DUMMYFUNCTION("""COMPUTED_VALUE"""),"GV")</f>
        <v>GV</v>
      </c>
      <c r="M903" s="43" t="str">
        <f>IFERROR(__xludf.DUMMYFUNCTION("""COMPUTED_VALUE"""),"short")</f>
        <v>short</v>
      </c>
      <c r="N903" s="45">
        <f>IFERROR(__xludf.DUMMYFUNCTION("""COMPUTED_VALUE"""),45069.0)</f>
        <v>45069</v>
      </c>
      <c r="O903" s="45">
        <f>IFERROR(__xludf.DUMMYFUNCTION("""COMPUTED_VALUE"""),45152.0)</f>
        <v>45152</v>
      </c>
      <c r="P903" s="45">
        <f>IFERROR(__xludf.DUMMYFUNCTION("""COMPUTED_VALUE"""),45194.0)</f>
        <v>45194</v>
      </c>
      <c r="Q903" s="45"/>
      <c r="R903" s="45"/>
      <c r="S903" s="43"/>
      <c r="T903" s="43"/>
      <c r="U903" s="43" t="str">
        <f>IFERROR(__xludf.DUMMYFUNCTION("""COMPUTED_VALUE"""),"On The Map")</f>
        <v>On The Map</v>
      </c>
      <c r="V903" s="43" t="str">
        <f>IFERROR(__xludf.DUMMYFUNCTION("""COMPUTED_VALUE"""),"-")</f>
        <v>-</v>
      </c>
      <c r="W903" s="43" t="str">
        <f>IFERROR(__xludf.DUMMYFUNCTION("""COMPUTED_VALUE"""),"2019-09-21T14:34:19Z")</f>
        <v>2019-09-21T14:34:19Z</v>
      </c>
      <c r="X903" s="43"/>
      <c r="Y903" s="43"/>
      <c r="Z903" s="43"/>
    </row>
    <row r="904" hidden="1">
      <c r="A904" s="43" t="str">
        <f>IFERROR(__xludf.DUMMYFUNCTION("""COMPUTED_VALUE"""),"5265088_1289505")</f>
        <v>5265088_1289505</v>
      </c>
      <c r="B904" s="43" t="str">
        <f>IFERROR(__xludf.DUMMYFUNCTION("""COMPUTED_VALUE"""),"Diana Nicula")</f>
        <v>Diana Nicula</v>
      </c>
      <c r="C904" s="43" t="str">
        <f>IFERROR(__xludf.DUMMYFUNCTION("""COMPUTED_VALUE"""),"completed")</f>
        <v>completed</v>
      </c>
      <c r="D904" s="43" t="str">
        <f>IFERROR(__xludf.DUMMYFUNCTION("""COMPUTED_VALUE"""),"No")</f>
        <v>No</v>
      </c>
      <c r="E904" s="43" t="str">
        <f>IFERROR(__xludf.DUMMYFUNCTION("""COMPUTED_VALUE"""),"p_c515dfe921d222bd74b61697e8f8723fb7314b81@inbound.aiesec.org")</f>
        <v>p_c515dfe921d222bd74b61697e8f8723fb7314b81@inbound.aiesec.org</v>
      </c>
      <c r="F904" s="43"/>
      <c r="G904" s="43" t="str">
        <f>IFERROR(__xludf.DUMMYFUNCTION("""COMPUTED_VALUE"""),"Romania")</f>
        <v>Romania</v>
      </c>
      <c r="H904" s="43" t="str">
        <f>IFERROR(__xludf.DUMMYFUNCTION("""COMPUTED_VALUE"""),"Cluj-Napoca")</f>
        <v>Cluj-Napoca</v>
      </c>
      <c r="I904" s="43" t="str">
        <f>IFERROR(__xludf.DUMMYFUNCTION("""COMPUTED_VALUE"""),"Turkey")</f>
        <v>Turkey</v>
      </c>
      <c r="J904" s="43" t="str">
        <f>IFERROR(__xludf.DUMMYFUNCTION("""COMPUTED_VALUE"""),"KOCAELI")</f>
        <v>KOCAELI</v>
      </c>
      <c r="K904" s="44" t="str">
        <f>IFERROR(__xludf.DUMMYFUNCTION("""COMPUTED_VALUE"""),"https://expa.aiesec.org/opportunities/1289505")</f>
        <v>https://expa.aiesec.org/opportunities/1289505</v>
      </c>
      <c r="L904" s="43" t="str">
        <f>IFERROR(__xludf.DUMMYFUNCTION("""COMPUTED_VALUE"""),"GV")</f>
        <v>GV</v>
      </c>
      <c r="M904" s="43" t="str">
        <f>IFERROR(__xludf.DUMMYFUNCTION("""COMPUTED_VALUE"""),"short")</f>
        <v>short</v>
      </c>
      <c r="N904" s="45">
        <f>IFERROR(__xludf.DUMMYFUNCTION("""COMPUTED_VALUE"""),45069.0)</f>
        <v>45069</v>
      </c>
      <c r="O904" s="45">
        <f>IFERROR(__xludf.DUMMYFUNCTION("""COMPUTED_VALUE"""),45159.0)</f>
        <v>45159</v>
      </c>
      <c r="P904" s="45">
        <f>IFERROR(__xludf.DUMMYFUNCTION("""COMPUTED_VALUE"""),45201.0)</f>
        <v>45201</v>
      </c>
      <c r="Q904" s="45">
        <f>IFERROR(__xludf.DUMMYFUNCTION("""COMPUTED_VALUE"""),45158.0)</f>
        <v>45158</v>
      </c>
      <c r="R904" s="45">
        <f>IFERROR(__xludf.DUMMYFUNCTION("""COMPUTED_VALUE"""),45201.0)</f>
        <v>45201</v>
      </c>
      <c r="S904" s="43"/>
      <c r="T904" s="43"/>
      <c r="U904" s="43" t="str">
        <f>IFERROR(__xludf.DUMMYFUNCTION("""COMPUTED_VALUE"""),"Youth 4 Impact")</f>
        <v>Youth 4 Impact</v>
      </c>
      <c r="V904" s="43" t="str">
        <f>IFERROR(__xludf.DUMMYFUNCTION("""COMPUTED_VALUE"""),"-")</f>
        <v>-</v>
      </c>
      <c r="W904" s="43" t="str">
        <f>IFERROR(__xludf.DUMMYFUNCTION("""COMPUTED_VALUE"""),"2023-05-22T20:01:45Z")</f>
        <v>2023-05-22T20:01:45Z</v>
      </c>
      <c r="X904" s="43"/>
      <c r="Y904" s="43"/>
      <c r="Z904" s="43"/>
    </row>
    <row r="905" hidden="1">
      <c r="A905" s="43" t="str">
        <f>IFERROR(__xludf.DUMMYFUNCTION("""COMPUTED_VALUE"""),"5265090_1289505")</f>
        <v>5265090_1289505</v>
      </c>
      <c r="B905" s="43" t="str">
        <f>IFERROR(__xludf.DUMMYFUNCTION("""COMPUTED_VALUE"""),"Corha Alin")</f>
        <v>Corha Alin</v>
      </c>
      <c r="C905" s="43" t="str">
        <f>IFERROR(__xludf.DUMMYFUNCTION("""COMPUTED_VALUE"""),"completed")</f>
        <v>completed</v>
      </c>
      <c r="D905" s="43" t="str">
        <f>IFERROR(__xludf.DUMMYFUNCTION("""COMPUTED_VALUE"""),"No")</f>
        <v>No</v>
      </c>
      <c r="E905" s="43" t="str">
        <f>IFERROR(__xludf.DUMMYFUNCTION("""COMPUTED_VALUE"""),"p_9f6cc75cbc62054713b4992fac28472f543597c0@inbound.aiesec.org")</f>
        <v>p_9f6cc75cbc62054713b4992fac28472f543597c0@inbound.aiesec.org</v>
      </c>
      <c r="F905" s="43">
        <f>IFERROR(__xludf.DUMMYFUNCTION("""COMPUTED_VALUE"""),7.41082154E8)</f>
        <v>741082154</v>
      </c>
      <c r="G905" s="43" t="str">
        <f>IFERROR(__xludf.DUMMYFUNCTION("""COMPUTED_VALUE"""),"Romania")</f>
        <v>Romania</v>
      </c>
      <c r="H905" s="43" t="str">
        <f>IFERROR(__xludf.DUMMYFUNCTION("""COMPUTED_VALUE"""),"Cluj-Napoca")</f>
        <v>Cluj-Napoca</v>
      </c>
      <c r="I905" s="43" t="str">
        <f>IFERROR(__xludf.DUMMYFUNCTION("""COMPUTED_VALUE"""),"Turkey")</f>
        <v>Turkey</v>
      </c>
      <c r="J905" s="43" t="str">
        <f>IFERROR(__xludf.DUMMYFUNCTION("""COMPUTED_VALUE"""),"KOCAELI")</f>
        <v>KOCAELI</v>
      </c>
      <c r="K905" s="44" t="str">
        <f>IFERROR(__xludf.DUMMYFUNCTION("""COMPUTED_VALUE"""),"https://expa.aiesec.org/opportunities/1289505")</f>
        <v>https://expa.aiesec.org/opportunities/1289505</v>
      </c>
      <c r="L905" s="43" t="str">
        <f>IFERROR(__xludf.DUMMYFUNCTION("""COMPUTED_VALUE"""),"GV")</f>
        <v>GV</v>
      </c>
      <c r="M905" s="43" t="str">
        <f>IFERROR(__xludf.DUMMYFUNCTION("""COMPUTED_VALUE"""),"short")</f>
        <v>short</v>
      </c>
      <c r="N905" s="45">
        <f>IFERROR(__xludf.DUMMYFUNCTION("""COMPUTED_VALUE"""),45069.0)</f>
        <v>45069</v>
      </c>
      <c r="O905" s="45">
        <f>IFERROR(__xludf.DUMMYFUNCTION("""COMPUTED_VALUE"""),45159.0)</f>
        <v>45159</v>
      </c>
      <c r="P905" s="45">
        <f>IFERROR(__xludf.DUMMYFUNCTION("""COMPUTED_VALUE"""),45201.0)</f>
        <v>45201</v>
      </c>
      <c r="Q905" s="45">
        <f>IFERROR(__xludf.DUMMYFUNCTION("""COMPUTED_VALUE"""),45158.0)</f>
        <v>45158</v>
      </c>
      <c r="R905" s="45">
        <f>IFERROR(__xludf.DUMMYFUNCTION("""COMPUTED_VALUE"""),45201.0)</f>
        <v>45201</v>
      </c>
      <c r="S905" s="43"/>
      <c r="T905" s="43"/>
      <c r="U905" s="43" t="str">
        <f>IFERROR(__xludf.DUMMYFUNCTION("""COMPUTED_VALUE"""),"Youth 4 Impact")</f>
        <v>Youth 4 Impact</v>
      </c>
      <c r="V905" s="43" t="str">
        <f>IFERROR(__xludf.DUMMYFUNCTION("""COMPUTED_VALUE"""),"Cluj-Napoca")</f>
        <v>Cluj-Napoca</v>
      </c>
      <c r="W905" s="43" t="str">
        <f>IFERROR(__xludf.DUMMYFUNCTION("""COMPUTED_VALUE"""),"2023-05-22T20:06:46Z")</f>
        <v>2023-05-22T20:06:46Z</v>
      </c>
      <c r="X905" s="43"/>
      <c r="Y905" s="43"/>
      <c r="Z905" s="43"/>
    </row>
    <row r="906" hidden="1">
      <c r="A906" s="43" t="str">
        <f>IFERROR(__xludf.DUMMYFUNCTION("""COMPUTED_VALUE"""),"4054718_1289596")</f>
        <v>4054718_1289596</v>
      </c>
      <c r="B906" s="43" t="str">
        <f>IFERROR(__xludf.DUMMYFUNCTION("""COMPUTED_VALUE"""),"Merna Salah")</f>
        <v>Merna Salah</v>
      </c>
      <c r="C906" s="43" t="str">
        <f>IFERROR(__xludf.DUMMYFUNCTION("""COMPUTED_VALUE"""),"approved")</f>
        <v>approved</v>
      </c>
      <c r="D906" s="43" t="str">
        <f>IFERROR(__xludf.DUMMYFUNCTION("""COMPUTED_VALUE"""),"No")</f>
        <v>No</v>
      </c>
      <c r="E906" s="43" t="str">
        <f>IFERROR(__xludf.DUMMYFUNCTION("""COMPUTED_VALUE"""),"p_b00cfc7bee18258a8bd0328a85d337e7aa3d4983@inbound.aiesec.org")</f>
        <v>p_b00cfc7bee18258a8bd0328a85d337e7aa3d4983@inbound.aiesec.org</v>
      </c>
      <c r="F906" s="43">
        <f>IFERROR(__xludf.DUMMYFUNCTION("""COMPUTED_VALUE"""),2.01158707795E11)</f>
        <v>201158707795</v>
      </c>
      <c r="G906" s="43" t="str">
        <f>IFERROR(__xludf.DUMMYFUNCTION("""COMPUTED_VALUE"""),"Egypt")</f>
        <v>Egypt</v>
      </c>
      <c r="H906" s="43" t="str">
        <f>IFERROR(__xludf.DUMMYFUNCTION("""COMPUTED_VALUE"""),"Mansoura")</f>
        <v>Mansoura</v>
      </c>
      <c r="I906" s="43" t="str">
        <f>IFERROR(__xludf.DUMMYFUNCTION("""COMPUTED_VALUE"""),"Turkey")</f>
        <v>Turkey</v>
      </c>
      <c r="J906" s="43" t="str">
        <f>IFERROR(__xludf.DUMMYFUNCTION("""COMPUTED_VALUE"""),"ISPARTA")</f>
        <v>ISPARTA</v>
      </c>
      <c r="K906" s="44" t="str">
        <f>IFERROR(__xludf.DUMMYFUNCTION("""COMPUTED_VALUE"""),"https://expa.aiesec.org/opportunities/1289596")</f>
        <v>https://expa.aiesec.org/opportunities/1289596</v>
      </c>
      <c r="L906" s="43" t="str">
        <f>IFERROR(__xludf.DUMMYFUNCTION("""COMPUTED_VALUE"""),"GV")</f>
        <v>GV</v>
      </c>
      <c r="M906" s="43" t="str">
        <f>IFERROR(__xludf.DUMMYFUNCTION("""COMPUTED_VALUE"""),"short")</f>
        <v>short</v>
      </c>
      <c r="N906" s="45">
        <f>IFERROR(__xludf.DUMMYFUNCTION("""COMPUTED_VALUE"""),45069.0)</f>
        <v>45069</v>
      </c>
      <c r="O906" s="45">
        <f>IFERROR(__xludf.DUMMYFUNCTION("""COMPUTED_VALUE"""),45509.0)</f>
        <v>45509</v>
      </c>
      <c r="P906" s="45">
        <f>IFERROR(__xludf.DUMMYFUNCTION("""COMPUTED_VALUE"""),45551.0)</f>
        <v>45551</v>
      </c>
      <c r="Q906" s="45"/>
      <c r="R906" s="45"/>
      <c r="S906" s="43"/>
      <c r="T906" s="43"/>
      <c r="U906" s="43" t="str">
        <f>IFERROR(__xludf.DUMMYFUNCTION("""COMPUTED_VALUE"""),"Global Classroom")</f>
        <v>Global Classroom</v>
      </c>
      <c r="V906" s="43" t="str">
        <f>IFERROR(__xludf.DUMMYFUNCTION("""COMPUTED_VALUE"""),"-")</f>
        <v>-</v>
      </c>
      <c r="W906" s="43" t="str">
        <f>IFERROR(__xludf.DUMMYFUNCTION("""COMPUTED_VALUE"""),"2019-11-27T21:56:45Z")</f>
        <v>2019-11-27T21:56:45Z</v>
      </c>
      <c r="X906" s="43"/>
      <c r="Y906" s="43"/>
      <c r="Z906" s="43"/>
    </row>
    <row r="907" hidden="1">
      <c r="A907" s="43" t="str">
        <f>IFERROR(__xludf.DUMMYFUNCTION("""COMPUTED_VALUE"""),"5264898_1289596")</f>
        <v>5264898_1289596</v>
      </c>
      <c r="B907" s="43" t="str">
        <f>IFERROR(__xludf.DUMMYFUNCTION("""COMPUTED_VALUE"""),"Rana Salah")</f>
        <v>Rana Salah</v>
      </c>
      <c r="C907" s="43" t="str">
        <f>IFERROR(__xludf.DUMMYFUNCTION("""COMPUTED_VALUE"""),"approved")</f>
        <v>approved</v>
      </c>
      <c r="D907" s="43" t="str">
        <f>IFERROR(__xludf.DUMMYFUNCTION("""COMPUTED_VALUE"""),"No")</f>
        <v>No</v>
      </c>
      <c r="E907" s="43" t="str">
        <f>IFERROR(__xludf.DUMMYFUNCTION("""COMPUTED_VALUE"""),"p_34f1843fc737e69a107e6b4d9e9007952b140580@inbound.aiesec.org")</f>
        <v>p_34f1843fc737e69a107e6b4d9e9007952b140580@inbound.aiesec.org</v>
      </c>
      <c r="F907" s="43">
        <f>IFERROR(__xludf.DUMMYFUNCTION("""COMPUTED_VALUE"""),1.5502554E9)</f>
        <v>1550255400</v>
      </c>
      <c r="G907" s="43" t="str">
        <f>IFERROR(__xludf.DUMMYFUNCTION("""COMPUTED_VALUE"""),"Egypt")</f>
        <v>Egypt</v>
      </c>
      <c r="H907" s="43" t="str">
        <f>IFERROR(__xludf.DUMMYFUNCTION("""COMPUTED_VALUE"""),"Mansoura")</f>
        <v>Mansoura</v>
      </c>
      <c r="I907" s="43" t="str">
        <f>IFERROR(__xludf.DUMMYFUNCTION("""COMPUTED_VALUE"""),"Turkey")</f>
        <v>Turkey</v>
      </c>
      <c r="J907" s="43" t="str">
        <f>IFERROR(__xludf.DUMMYFUNCTION("""COMPUTED_VALUE"""),"ISPARTA")</f>
        <v>ISPARTA</v>
      </c>
      <c r="K907" s="44" t="str">
        <f>IFERROR(__xludf.DUMMYFUNCTION("""COMPUTED_VALUE"""),"https://expa.aiesec.org/opportunities/1289596")</f>
        <v>https://expa.aiesec.org/opportunities/1289596</v>
      </c>
      <c r="L907" s="43" t="str">
        <f>IFERROR(__xludf.DUMMYFUNCTION("""COMPUTED_VALUE"""),"GV")</f>
        <v>GV</v>
      </c>
      <c r="M907" s="43" t="str">
        <f>IFERROR(__xludf.DUMMYFUNCTION("""COMPUTED_VALUE"""),"short")</f>
        <v>short</v>
      </c>
      <c r="N907" s="45">
        <f>IFERROR(__xludf.DUMMYFUNCTION("""COMPUTED_VALUE"""),45069.0)</f>
        <v>45069</v>
      </c>
      <c r="O907" s="45">
        <f>IFERROR(__xludf.DUMMYFUNCTION("""COMPUTED_VALUE"""),45509.0)</f>
        <v>45509</v>
      </c>
      <c r="P907" s="45">
        <f>IFERROR(__xludf.DUMMYFUNCTION("""COMPUTED_VALUE"""),45551.0)</f>
        <v>45551</v>
      </c>
      <c r="Q907" s="45"/>
      <c r="R907" s="45"/>
      <c r="S907" s="43"/>
      <c r="T907" s="43"/>
      <c r="U907" s="43" t="str">
        <f>IFERROR(__xludf.DUMMYFUNCTION("""COMPUTED_VALUE"""),"Global Classroom")</f>
        <v>Global Classroom</v>
      </c>
      <c r="V907" s="43" t="str">
        <f>IFERROR(__xludf.DUMMYFUNCTION("""COMPUTED_VALUE"""),"New Mansoura University")</f>
        <v>New Mansoura University</v>
      </c>
      <c r="W907" s="43" t="str">
        <f>IFERROR(__xludf.DUMMYFUNCTION("""COMPUTED_VALUE"""),"2023-05-22T15:19:41Z")</f>
        <v>2023-05-22T15:19:41Z</v>
      </c>
      <c r="X907" s="43"/>
      <c r="Y907" s="43"/>
      <c r="Z907" s="43"/>
    </row>
    <row r="908" hidden="1">
      <c r="A908" s="43" t="str">
        <f>IFERROR(__xludf.DUMMYFUNCTION("""COMPUTED_VALUE"""),"5259028_1295285")</f>
        <v>5259028_1295285</v>
      </c>
      <c r="B908" s="43" t="str">
        <f>IFERROR(__xludf.DUMMYFUNCTION("""COMPUTED_VALUE"""),"Rima Tlili")</f>
        <v>Rima Tlili</v>
      </c>
      <c r="C908" s="43" t="str">
        <f>IFERROR(__xludf.DUMMYFUNCTION("""COMPUTED_VALUE"""),"completed")</f>
        <v>completed</v>
      </c>
      <c r="D908" s="43" t="str">
        <f>IFERROR(__xludf.DUMMYFUNCTION("""COMPUTED_VALUE"""),"No")</f>
        <v>No</v>
      </c>
      <c r="E908" s="43" t="str">
        <f>IFERROR(__xludf.DUMMYFUNCTION("""COMPUTED_VALUE"""),"p_4c59cfc5b17e18826719a63f018294ed671c8588@inbound.aiesec.org")</f>
        <v>p_4c59cfc5b17e18826719a63f018294ed671c8588@inbound.aiesec.org</v>
      </c>
      <c r="F908" s="43">
        <f>IFERROR(__xludf.DUMMYFUNCTION("""COMPUTED_VALUE"""),9.7400716E7)</f>
        <v>97400716</v>
      </c>
      <c r="G908" s="43" t="str">
        <f>IFERROR(__xludf.DUMMYFUNCTION("""COMPUTED_VALUE"""),"Tunisia")</f>
        <v>Tunisia</v>
      </c>
      <c r="H908" s="43" t="str">
        <f>IFERROR(__xludf.DUMMYFUNCTION("""COMPUTED_VALUE"""),"BARDO")</f>
        <v>BARDO</v>
      </c>
      <c r="I908" s="43" t="str">
        <f>IFERROR(__xludf.DUMMYFUNCTION("""COMPUTED_VALUE"""),"Turkey")</f>
        <v>Turkey</v>
      </c>
      <c r="J908" s="43" t="str">
        <f>IFERROR(__xludf.DUMMYFUNCTION("""COMPUTED_VALUE"""),"ISTANBUL WEST")</f>
        <v>ISTANBUL WEST</v>
      </c>
      <c r="K908" s="44" t="str">
        <f>IFERROR(__xludf.DUMMYFUNCTION("""COMPUTED_VALUE"""),"https://expa.aiesec.org/opportunities/1295285")</f>
        <v>https://expa.aiesec.org/opportunities/1295285</v>
      </c>
      <c r="L908" s="43" t="str">
        <f>IFERROR(__xludf.DUMMYFUNCTION("""COMPUTED_VALUE"""),"GV")</f>
        <v>GV</v>
      </c>
      <c r="M908" s="43" t="str">
        <f>IFERROR(__xludf.DUMMYFUNCTION("""COMPUTED_VALUE"""),"short")</f>
        <v>short</v>
      </c>
      <c r="N908" s="45">
        <f>IFERROR(__xludf.DUMMYFUNCTION("""COMPUTED_VALUE"""),45069.0)</f>
        <v>45069</v>
      </c>
      <c r="O908" s="45">
        <f>IFERROR(__xludf.DUMMYFUNCTION("""COMPUTED_VALUE"""),45110.0)</f>
        <v>45110</v>
      </c>
      <c r="P908" s="45">
        <f>IFERROR(__xludf.DUMMYFUNCTION("""COMPUTED_VALUE"""),45152.0)</f>
        <v>45152</v>
      </c>
      <c r="Q908" s="45">
        <f>IFERROR(__xludf.DUMMYFUNCTION("""COMPUTED_VALUE"""),45111.0)</f>
        <v>45111</v>
      </c>
      <c r="R908" s="45">
        <f>IFERROR(__xludf.DUMMYFUNCTION("""COMPUTED_VALUE"""),45152.0)</f>
        <v>45152</v>
      </c>
      <c r="S908" s="43"/>
      <c r="T908" s="43"/>
      <c r="U908" s="43" t="str">
        <f>IFERROR(__xludf.DUMMYFUNCTION("""COMPUTED_VALUE"""),"Fingerprint")</f>
        <v>Fingerprint</v>
      </c>
      <c r="V908" s="43" t="str">
        <f>IFERROR(__xludf.DUMMYFUNCTION("""COMPUTED_VALUE"""),"Institut Supérieur des Études Appliquées en Humanités de Zaghouan")</f>
        <v>Institut Supérieur des Études Appliquées en Humanités de Zaghouan</v>
      </c>
      <c r="W908" s="43" t="str">
        <f>IFERROR(__xludf.DUMMYFUNCTION("""COMPUTED_VALUE"""),"2023-05-10T15:14:06Z")</f>
        <v>2023-05-10T15:14:06Z</v>
      </c>
      <c r="X908" s="43"/>
      <c r="Y908" s="43"/>
      <c r="Z908" s="43"/>
    </row>
    <row r="909" hidden="1">
      <c r="A909" s="43" t="str">
        <f>IFERROR(__xludf.DUMMYFUNCTION("""COMPUTED_VALUE"""),"5240420_1287380")</f>
        <v>5240420_1287380</v>
      </c>
      <c r="B909" s="43" t="str">
        <f>IFERROR(__xludf.DUMMYFUNCTION("""COMPUTED_VALUE"""),"Aiym Saduakasova")</f>
        <v>Aiym Saduakasova</v>
      </c>
      <c r="C909" s="43" t="str">
        <f>IFERROR(__xludf.DUMMYFUNCTION("""COMPUTED_VALUE"""),"completed")</f>
        <v>completed</v>
      </c>
      <c r="D909" s="43" t="str">
        <f>IFERROR(__xludf.DUMMYFUNCTION("""COMPUTED_VALUE"""),"No")</f>
        <v>No</v>
      </c>
      <c r="E909" s="43" t="str">
        <f>IFERROR(__xludf.DUMMYFUNCTION("""COMPUTED_VALUE"""),"p_85790e9bb3199096c7260b935990e368f696409c@inbound.aiesec.org")</f>
        <v>p_85790e9bb3199096c7260b935990e368f696409c@inbound.aiesec.org</v>
      </c>
      <c r="F909" s="43"/>
      <c r="G909" s="43" t="str">
        <f>IFERROR(__xludf.DUMMYFUNCTION("""COMPUTED_VALUE"""),"Kazakhstan")</f>
        <v>Kazakhstan</v>
      </c>
      <c r="H909" s="43" t="str">
        <f>IFERROR(__xludf.DUMMYFUNCTION("""COMPUTED_VALUE"""),"Astana")</f>
        <v>Astana</v>
      </c>
      <c r="I909" s="43" t="str">
        <f>IFERROR(__xludf.DUMMYFUNCTION("""COMPUTED_VALUE"""),"Turkey")</f>
        <v>Turkey</v>
      </c>
      <c r="J909" s="43" t="str">
        <f>IFERROR(__xludf.DUMMYFUNCTION("""COMPUTED_VALUE"""),"KOCAELI")</f>
        <v>KOCAELI</v>
      </c>
      <c r="K909" s="44" t="str">
        <f>IFERROR(__xludf.DUMMYFUNCTION("""COMPUTED_VALUE"""),"https://expa.aiesec.org/opportunities/1287380")</f>
        <v>https://expa.aiesec.org/opportunities/1287380</v>
      </c>
      <c r="L909" s="43" t="str">
        <f>IFERROR(__xludf.DUMMYFUNCTION("""COMPUTED_VALUE"""),"GV")</f>
        <v>GV</v>
      </c>
      <c r="M909" s="43" t="str">
        <f>IFERROR(__xludf.DUMMYFUNCTION("""COMPUTED_VALUE"""),"short")</f>
        <v>short</v>
      </c>
      <c r="N909" s="45">
        <f>IFERROR(__xludf.DUMMYFUNCTION("""COMPUTED_VALUE"""),45069.0)</f>
        <v>45069</v>
      </c>
      <c r="O909" s="45">
        <f>IFERROR(__xludf.DUMMYFUNCTION("""COMPUTED_VALUE"""),45110.0)</f>
        <v>45110</v>
      </c>
      <c r="P909" s="45">
        <f>IFERROR(__xludf.DUMMYFUNCTION("""COMPUTED_VALUE"""),45152.0)</f>
        <v>45152</v>
      </c>
      <c r="Q909" s="45">
        <f>IFERROR(__xludf.DUMMYFUNCTION("""COMPUTED_VALUE"""),45110.0)</f>
        <v>45110</v>
      </c>
      <c r="R909" s="45">
        <f>IFERROR(__xludf.DUMMYFUNCTION("""COMPUTED_VALUE"""),45152.0)</f>
        <v>45152</v>
      </c>
      <c r="S909" s="43"/>
      <c r="T909" s="43"/>
      <c r="U909" s="43" t="str">
        <f>IFERROR(__xludf.DUMMYFUNCTION("""COMPUTED_VALUE"""),"Global Classroom")</f>
        <v>Global Classroom</v>
      </c>
      <c r="V909" s="43" t="str">
        <f>IFERROR(__xludf.DUMMYFUNCTION("""COMPUTED_VALUE"""),"-")</f>
        <v>-</v>
      </c>
      <c r="W909" s="43" t="str">
        <f>IFERROR(__xludf.DUMMYFUNCTION("""COMPUTED_VALUE"""),"2023-04-12T13:15:23Z")</f>
        <v>2023-04-12T13:15:23Z</v>
      </c>
      <c r="X909" s="43"/>
      <c r="Y909" s="43"/>
      <c r="Z909" s="43"/>
    </row>
    <row r="910" hidden="1">
      <c r="A910" s="43" t="str">
        <f>IFERROR(__xludf.DUMMYFUNCTION("""COMPUTED_VALUE"""),"5245786_1287101")</f>
        <v>5245786_1287101</v>
      </c>
      <c r="B910" s="43" t="str">
        <f>IFERROR(__xludf.DUMMYFUNCTION("""COMPUTED_VALUE"""),"Alaa Amin Hassan")</f>
        <v>Alaa Amin Hassan</v>
      </c>
      <c r="C910" s="43" t="str">
        <f>IFERROR(__xludf.DUMMYFUNCTION("""COMPUTED_VALUE"""),"finished")</f>
        <v>finished</v>
      </c>
      <c r="D910" s="43" t="str">
        <f>IFERROR(__xludf.DUMMYFUNCTION("""COMPUTED_VALUE"""),"No")</f>
        <v>No</v>
      </c>
      <c r="E910" s="43" t="str">
        <f>IFERROR(__xludf.DUMMYFUNCTION("""COMPUTED_VALUE"""),"p_19dfedc05edb08ede008c11737cfb194654aecd6@inbound.aiesec.org")</f>
        <v>p_19dfedc05edb08ede008c11737cfb194654aecd6@inbound.aiesec.org</v>
      </c>
      <c r="F910" s="43">
        <f>IFERROR(__xludf.DUMMYFUNCTION("""COMPUTED_VALUE"""),1.067889135E9)</f>
        <v>1067889135</v>
      </c>
      <c r="G910" s="43" t="str">
        <f>IFERROR(__xludf.DUMMYFUNCTION("""COMPUTED_VALUE"""),"Egypt")</f>
        <v>Egypt</v>
      </c>
      <c r="H910" s="43" t="str">
        <f>IFERROR(__xludf.DUMMYFUNCTION("""COMPUTED_VALUE"""),"Alexandria")</f>
        <v>Alexandria</v>
      </c>
      <c r="I910" s="43" t="str">
        <f>IFERROR(__xludf.DUMMYFUNCTION("""COMPUTED_VALUE"""),"Turkey")</f>
        <v>Turkey</v>
      </c>
      <c r="J910" s="43" t="str">
        <f>IFERROR(__xludf.DUMMYFUNCTION("""COMPUTED_VALUE"""),"İZMİR")</f>
        <v>İZMİR</v>
      </c>
      <c r="K910" s="44" t="str">
        <f>IFERROR(__xludf.DUMMYFUNCTION("""COMPUTED_VALUE"""),"https://expa.aiesec.org/opportunities/1287101")</f>
        <v>https://expa.aiesec.org/opportunities/1287101</v>
      </c>
      <c r="L910" s="43" t="str">
        <f>IFERROR(__xludf.DUMMYFUNCTION("""COMPUTED_VALUE"""),"GV")</f>
        <v>GV</v>
      </c>
      <c r="M910" s="43" t="str">
        <f>IFERROR(__xludf.DUMMYFUNCTION("""COMPUTED_VALUE"""),"short")</f>
        <v>short</v>
      </c>
      <c r="N910" s="45">
        <f>IFERROR(__xludf.DUMMYFUNCTION("""COMPUTED_VALUE"""),45069.0)</f>
        <v>45069</v>
      </c>
      <c r="O910" s="45">
        <f>IFERROR(__xludf.DUMMYFUNCTION("""COMPUTED_VALUE"""),45256.0)</f>
        <v>45256</v>
      </c>
      <c r="P910" s="45">
        <f>IFERROR(__xludf.DUMMYFUNCTION("""COMPUTED_VALUE"""),45298.0)</f>
        <v>45298</v>
      </c>
      <c r="Q910" s="45">
        <f>IFERROR(__xludf.DUMMYFUNCTION("""COMPUTED_VALUE"""),45258.0)</f>
        <v>45258</v>
      </c>
      <c r="R910" s="45">
        <f>IFERROR(__xludf.DUMMYFUNCTION("""COMPUTED_VALUE"""),45300.0)</f>
        <v>45300</v>
      </c>
      <c r="S910" s="43"/>
      <c r="T910" s="43"/>
      <c r="U910" s="43" t="str">
        <f>IFERROR(__xludf.DUMMYFUNCTION("""COMPUTED_VALUE"""),"Global Classroom")</f>
        <v>Global Classroom</v>
      </c>
      <c r="V910" s="43" t="str">
        <f>IFERROR(__xludf.DUMMYFUNCTION("""COMPUTED_VALUE"""),"Alexandria University")</f>
        <v>Alexandria University</v>
      </c>
      <c r="W910" s="43" t="str">
        <f>IFERROR(__xludf.DUMMYFUNCTION("""COMPUTED_VALUE"""),"2023-04-20T01:59:03Z")</f>
        <v>2023-04-20T01:59:03Z</v>
      </c>
      <c r="X910" s="43"/>
      <c r="Y910" s="43"/>
      <c r="Z910" s="43"/>
    </row>
    <row r="911" hidden="1">
      <c r="A911" s="43" t="str">
        <f>IFERROR(__xludf.DUMMYFUNCTION("""COMPUTED_VALUE"""),"5140210_1295149")</f>
        <v>5140210_1295149</v>
      </c>
      <c r="B911" s="43" t="str">
        <f>IFERROR(__xludf.DUMMYFUNCTION("""COMPUTED_VALUE"""),"Loredana Frunză")</f>
        <v>Loredana Frunză</v>
      </c>
      <c r="C911" s="43" t="str">
        <f>IFERROR(__xludf.DUMMYFUNCTION("""COMPUTED_VALUE"""),"completed")</f>
        <v>completed</v>
      </c>
      <c r="D911" s="43" t="str">
        <f>IFERROR(__xludf.DUMMYFUNCTION("""COMPUTED_VALUE"""),"No")</f>
        <v>No</v>
      </c>
      <c r="E911" s="43" t="str">
        <f>IFERROR(__xludf.DUMMYFUNCTION("""COMPUTED_VALUE"""),"p_7c972766bdf955866b167fbb4d4885c74c7b0e53@inbound.aiesec.org")</f>
        <v>p_7c972766bdf955866b167fbb4d4885c74c7b0e53@inbound.aiesec.org</v>
      </c>
      <c r="F911" s="43">
        <f>IFERROR(__xludf.DUMMYFUNCTION("""COMPUTED_VALUE"""),7.51899856E8)</f>
        <v>751899856</v>
      </c>
      <c r="G911" s="43" t="str">
        <f>IFERROR(__xludf.DUMMYFUNCTION("""COMPUTED_VALUE"""),"Romania")</f>
        <v>Romania</v>
      </c>
      <c r="H911" s="43" t="str">
        <f>IFERROR(__xludf.DUMMYFUNCTION("""COMPUTED_VALUE"""),"GALATI")</f>
        <v>GALATI</v>
      </c>
      <c r="I911" s="43" t="str">
        <f>IFERROR(__xludf.DUMMYFUNCTION("""COMPUTED_VALUE"""),"Turkey")</f>
        <v>Turkey</v>
      </c>
      <c r="J911" s="43" t="str">
        <f>IFERROR(__xludf.DUMMYFUNCTION("""COMPUTED_VALUE"""),"DENIZLI")</f>
        <v>DENIZLI</v>
      </c>
      <c r="K911" s="44" t="str">
        <f>IFERROR(__xludf.DUMMYFUNCTION("""COMPUTED_VALUE"""),"https://expa.aiesec.org/opportunities/1295149")</f>
        <v>https://expa.aiesec.org/opportunities/1295149</v>
      </c>
      <c r="L911" s="43" t="str">
        <f>IFERROR(__xludf.DUMMYFUNCTION("""COMPUTED_VALUE"""),"GV")</f>
        <v>GV</v>
      </c>
      <c r="M911" s="43" t="str">
        <f>IFERROR(__xludf.DUMMYFUNCTION("""COMPUTED_VALUE"""),"short")</f>
        <v>short</v>
      </c>
      <c r="N911" s="45">
        <f>IFERROR(__xludf.DUMMYFUNCTION("""COMPUTED_VALUE"""),45069.0)</f>
        <v>45069</v>
      </c>
      <c r="O911" s="45">
        <f>IFERROR(__xludf.DUMMYFUNCTION("""COMPUTED_VALUE"""),45152.0)</f>
        <v>45152</v>
      </c>
      <c r="P911" s="45">
        <f>IFERROR(__xludf.DUMMYFUNCTION("""COMPUTED_VALUE"""),45194.0)</f>
        <v>45194</v>
      </c>
      <c r="Q911" s="45">
        <f>IFERROR(__xludf.DUMMYFUNCTION("""COMPUTED_VALUE"""),45153.0)</f>
        <v>45153</v>
      </c>
      <c r="R911" s="45">
        <f>IFERROR(__xludf.DUMMYFUNCTION("""COMPUTED_VALUE"""),45194.0)</f>
        <v>45194</v>
      </c>
      <c r="S911" s="43"/>
      <c r="T911" s="43"/>
      <c r="U911" s="43" t="str">
        <f>IFERROR(__xludf.DUMMYFUNCTION("""COMPUTED_VALUE"""),"Youth 4 Impact")</f>
        <v>Youth 4 Impact</v>
      </c>
      <c r="V911" s="43" t="str">
        <f>IFERROR(__xludf.DUMMYFUNCTION("""COMPUTED_VALUE"""),"Galati")</f>
        <v>Galati</v>
      </c>
      <c r="W911" s="43" t="str">
        <f>IFERROR(__xludf.DUMMYFUNCTION("""COMPUTED_VALUE"""),"2022-10-25T13:57:08Z")</f>
        <v>2022-10-25T13:57:08Z</v>
      </c>
      <c r="X911" s="43"/>
      <c r="Y911" s="43"/>
      <c r="Z911" s="43"/>
    </row>
    <row r="912" hidden="1">
      <c r="A912" s="43" t="str">
        <f>IFERROR(__xludf.DUMMYFUNCTION("""COMPUTED_VALUE"""),"5256727_1284670")</f>
        <v>5256727_1284670</v>
      </c>
      <c r="B912" s="43" t="str">
        <f>IFERROR(__xludf.DUMMYFUNCTION("""COMPUTED_VALUE"""),"Costache Bianca")</f>
        <v>Costache Bianca</v>
      </c>
      <c r="C912" s="43" t="str">
        <f>IFERROR(__xludf.DUMMYFUNCTION("""COMPUTED_VALUE"""),"completed")</f>
        <v>completed</v>
      </c>
      <c r="D912" s="43" t="str">
        <f>IFERROR(__xludf.DUMMYFUNCTION("""COMPUTED_VALUE"""),"No")</f>
        <v>No</v>
      </c>
      <c r="E912" s="43" t="str">
        <f>IFERROR(__xludf.DUMMYFUNCTION("""COMPUTED_VALUE"""),"p_5482154b74c36f757716a601f6f2d57a0639b5e0@inbound.aiesec.org")</f>
        <v>p_5482154b74c36f757716a601f6f2d57a0639b5e0@inbound.aiesec.org</v>
      </c>
      <c r="F912" s="43"/>
      <c r="G912" s="43" t="str">
        <f>IFERROR(__xludf.DUMMYFUNCTION("""COMPUTED_VALUE"""),"Romania")</f>
        <v>Romania</v>
      </c>
      <c r="H912" s="43" t="str">
        <f>IFERROR(__xludf.DUMMYFUNCTION("""COMPUTED_VALUE"""),"GALATI")</f>
        <v>GALATI</v>
      </c>
      <c r="I912" s="43" t="str">
        <f>IFERROR(__xludf.DUMMYFUNCTION("""COMPUTED_VALUE"""),"Turkey")</f>
        <v>Turkey</v>
      </c>
      <c r="J912" s="43" t="str">
        <f>IFERROR(__xludf.DUMMYFUNCTION("""COMPUTED_VALUE"""),"ISTANBUL")</f>
        <v>ISTANBUL</v>
      </c>
      <c r="K912" s="44" t="str">
        <f>IFERROR(__xludf.DUMMYFUNCTION("""COMPUTED_VALUE"""),"https://expa.aiesec.org/opportunities/1284670")</f>
        <v>https://expa.aiesec.org/opportunities/1284670</v>
      </c>
      <c r="L912" s="43" t="str">
        <f>IFERROR(__xludf.DUMMYFUNCTION("""COMPUTED_VALUE"""),"GV")</f>
        <v>GV</v>
      </c>
      <c r="M912" s="43" t="str">
        <f>IFERROR(__xludf.DUMMYFUNCTION("""COMPUTED_VALUE"""),"short")</f>
        <v>short</v>
      </c>
      <c r="N912" s="45">
        <f>IFERROR(__xludf.DUMMYFUNCTION("""COMPUTED_VALUE"""),45069.0)</f>
        <v>45069</v>
      </c>
      <c r="O912" s="45">
        <f>IFERROR(__xludf.DUMMYFUNCTION("""COMPUTED_VALUE"""),45110.0)</f>
        <v>45110</v>
      </c>
      <c r="P912" s="45">
        <f>IFERROR(__xludf.DUMMYFUNCTION("""COMPUTED_VALUE"""),45152.0)</f>
        <v>45152</v>
      </c>
      <c r="Q912" s="45">
        <f>IFERROR(__xludf.DUMMYFUNCTION("""COMPUTED_VALUE"""),45110.0)</f>
        <v>45110</v>
      </c>
      <c r="R912" s="45">
        <f>IFERROR(__xludf.DUMMYFUNCTION("""COMPUTED_VALUE"""),45152.0)</f>
        <v>45152</v>
      </c>
      <c r="S912" s="43"/>
      <c r="T912" s="43"/>
      <c r="U912" s="43" t="str">
        <f>IFERROR(__xludf.DUMMYFUNCTION("""COMPUTED_VALUE"""),"Heartbeat")</f>
        <v>Heartbeat</v>
      </c>
      <c r="V912" s="43" t="str">
        <f>IFERROR(__xludf.DUMMYFUNCTION("""COMPUTED_VALUE"""),"-")</f>
        <v>-</v>
      </c>
      <c r="W912" s="43" t="str">
        <f>IFERROR(__xludf.DUMMYFUNCTION("""COMPUTED_VALUE"""),"2023-05-06T11:47:05Z")</f>
        <v>2023-05-06T11:47:05Z</v>
      </c>
      <c r="X912" s="43"/>
      <c r="Y912" s="43"/>
      <c r="Z912" s="43"/>
    </row>
    <row r="913" hidden="1">
      <c r="A913" s="43" t="str">
        <f>IFERROR(__xludf.DUMMYFUNCTION("""COMPUTED_VALUE"""),"5258594_1289536")</f>
        <v>5258594_1289536</v>
      </c>
      <c r="B913" s="43" t="str">
        <f>IFERROR(__xludf.DUMMYFUNCTION("""COMPUTED_VALUE"""),"Ruth Gusmão")</f>
        <v>Ruth Gusmão</v>
      </c>
      <c r="C913" s="43" t="str">
        <f>IFERROR(__xludf.DUMMYFUNCTION("""COMPUTED_VALUE"""),"approved")</f>
        <v>approved</v>
      </c>
      <c r="D913" s="43" t="str">
        <f>IFERROR(__xludf.DUMMYFUNCTION("""COMPUTED_VALUE"""),"No")</f>
        <v>No</v>
      </c>
      <c r="E913" s="43" t="str">
        <f>IFERROR(__xludf.DUMMYFUNCTION("""COMPUTED_VALUE"""),"p_e97902a094f0189e8296f57c3dc211bf4f1efd37@inbound.aiesec.org")</f>
        <v>p_e97902a094f0189e8296f57c3dc211bf4f1efd37@inbound.aiesec.org</v>
      </c>
      <c r="F913" s="43"/>
      <c r="G913" s="43" t="str">
        <f>IFERROR(__xludf.DUMMYFUNCTION("""COMPUTED_VALUE"""),"Brazil")</f>
        <v>Brazil</v>
      </c>
      <c r="H913" s="43" t="str">
        <f>IFERROR(__xludf.DUMMYFUNCTION("""COMPUTED_VALUE"""),"SALVADOR")</f>
        <v>SALVADOR</v>
      </c>
      <c r="I913" s="43" t="str">
        <f>IFERROR(__xludf.DUMMYFUNCTION("""COMPUTED_VALUE"""),"Turkey")</f>
        <v>Turkey</v>
      </c>
      <c r="J913" s="43" t="str">
        <f>IFERROR(__xludf.DUMMYFUNCTION("""COMPUTED_VALUE"""),"ISTANBUL")</f>
        <v>ISTANBUL</v>
      </c>
      <c r="K913" s="44" t="str">
        <f>IFERROR(__xludf.DUMMYFUNCTION("""COMPUTED_VALUE"""),"https://expa.aiesec.org/opportunities/1289536")</f>
        <v>https://expa.aiesec.org/opportunities/1289536</v>
      </c>
      <c r="L913" s="43" t="str">
        <f>IFERROR(__xludf.DUMMYFUNCTION("""COMPUTED_VALUE"""),"GV")</f>
        <v>GV</v>
      </c>
      <c r="M913" s="43" t="str">
        <f>IFERROR(__xludf.DUMMYFUNCTION("""COMPUTED_VALUE"""),"short")</f>
        <v>short</v>
      </c>
      <c r="N913" s="45">
        <f>IFERROR(__xludf.DUMMYFUNCTION("""COMPUTED_VALUE"""),45069.0)</f>
        <v>45069</v>
      </c>
      <c r="O913" s="45">
        <f>IFERROR(__xludf.DUMMYFUNCTION("""COMPUTED_VALUE"""),45271.0)</f>
        <v>45271</v>
      </c>
      <c r="P913" s="45">
        <f>IFERROR(__xludf.DUMMYFUNCTION("""COMPUTED_VALUE"""),45313.0)</f>
        <v>45313</v>
      </c>
      <c r="Q913" s="45"/>
      <c r="R913" s="45"/>
      <c r="S913" s="43"/>
      <c r="T913" s="43"/>
      <c r="U913" s="43" t="str">
        <f>IFERROR(__xludf.DUMMYFUNCTION("""COMPUTED_VALUE"""),"Global Classroom")</f>
        <v>Global Classroom</v>
      </c>
      <c r="V913" s="43" t="str">
        <f>IFERROR(__xludf.DUMMYFUNCTION("""COMPUTED_VALUE"""),"-")</f>
        <v>-</v>
      </c>
      <c r="W913" s="43" t="str">
        <f>IFERROR(__xludf.DUMMYFUNCTION("""COMPUTED_VALUE"""),"2023-05-10T00:27:25Z")</f>
        <v>2023-05-10T00:27:25Z</v>
      </c>
      <c r="X913" s="43"/>
      <c r="Y913" s="43"/>
      <c r="Z913" s="43"/>
    </row>
    <row r="914" hidden="1">
      <c r="A914" s="43" t="str">
        <f>IFERROR(__xludf.DUMMYFUNCTION("""COMPUTED_VALUE"""),"5265821_1286034")</f>
        <v>5265821_1286034</v>
      </c>
      <c r="B914" s="43" t="str">
        <f>IFERROR(__xludf.DUMMYFUNCTION("""COMPUTED_VALUE"""),"islem sammeri")</f>
        <v>islem sammeri</v>
      </c>
      <c r="C914" s="43" t="str">
        <f>IFERROR(__xludf.DUMMYFUNCTION("""COMPUTED_VALUE"""),"completed")</f>
        <v>completed</v>
      </c>
      <c r="D914" s="43" t="str">
        <f>IFERROR(__xludf.DUMMYFUNCTION("""COMPUTED_VALUE"""),"No")</f>
        <v>No</v>
      </c>
      <c r="E914" s="43" t="str">
        <f>IFERROR(__xludf.DUMMYFUNCTION("""COMPUTED_VALUE"""),"p_22f3d11d09e7a4470972b55d0ebf86db95de283a@inbound.aiesec.org")</f>
        <v>p_22f3d11d09e7a4470972b55d0ebf86db95de283a@inbound.aiesec.org</v>
      </c>
      <c r="F914" s="43">
        <f>IFERROR(__xludf.DUMMYFUNCTION("""COMPUTED_VALUE"""),5.5141127E7)</f>
        <v>55141127</v>
      </c>
      <c r="G914" s="43" t="str">
        <f>IFERROR(__xludf.DUMMYFUNCTION("""COMPUTED_VALUE"""),"Tunisia")</f>
        <v>Tunisia</v>
      </c>
      <c r="H914" s="43" t="str">
        <f>IFERROR(__xludf.DUMMYFUNCTION("""COMPUTED_VALUE"""),"HADRUMET")</f>
        <v>HADRUMET</v>
      </c>
      <c r="I914" s="43" t="str">
        <f>IFERROR(__xludf.DUMMYFUNCTION("""COMPUTED_VALUE"""),"Turkey")</f>
        <v>Turkey</v>
      </c>
      <c r="J914" s="43" t="str">
        <f>IFERROR(__xludf.DUMMYFUNCTION("""COMPUTED_VALUE"""),"ANTALYA")</f>
        <v>ANTALYA</v>
      </c>
      <c r="K914" s="44" t="str">
        <f>IFERROR(__xludf.DUMMYFUNCTION("""COMPUTED_VALUE"""),"https://expa.aiesec.org/opportunities/1286034")</f>
        <v>https://expa.aiesec.org/opportunities/1286034</v>
      </c>
      <c r="L914" s="43" t="str">
        <f>IFERROR(__xludf.DUMMYFUNCTION("""COMPUTED_VALUE"""),"GV")</f>
        <v>GV</v>
      </c>
      <c r="M914" s="43" t="str">
        <f>IFERROR(__xludf.DUMMYFUNCTION("""COMPUTED_VALUE"""),"short")</f>
        <v>short</v>
      </c>
      <c r="N914" s="45">
        <f>IFERROR(__xludf.DUMMYFUNCTION("""COMPUTED_VALUE"""),45070.0)</f>
        <v>45070</v>
      </c>
      <c r="O914" s="45">
        <f>IFERROR(__xludf.DUMMYFUNCTION("""COMPUTED_VALUE"""),45110.0)</f>
        <v>45110</v>
      </c>
      <c r="P914" s="45">
        <f>IFERROR(__xludf.DUMMYFUNCTION("""COMPUTED_VALUE"""),45152.0)</f>
        <v>45152</v>
      </c>
      <c r="Q914" s="45">
        <f>IFERROR(__xludf.DUMMYFUNCTION("""COMPUTED_VALUE"""),45110.0)</f>
        <v>45110</v>
      </c>
      <c r="R914" s="45">
        <f>IFERROR(__xludf.DUMMYFUNCTION("""COMPUTED_VALUE"""),45152.0)</f>
        <v>45152</v>
      </c>
      <c r="S914" s="43"/>
      <c r="T914" s="43"/>
      <c r="U914" s="43" t="str">
        <f>IFERROR(__xludf.DUMMYFUNCTION("""COMPUTED_VALUE"""),"Global Classroom")</f>
        <v>Global Classroom</v>
      </c>
      <c r="V914" s="43" t="str">
        <f>IFERROR(__xludf.DUMMYFUNCTION("""COMPUTED_VALUE"""),"FLSH Sousse")</f>
        <v>FLSH Sousse</v>
      </c>
      <c r="W914" s="43" t="str">
        <f>IFERROR(__xludf.DUMMYFUNCTION("""COMPUTED_VALUE"""),"2023-05-24T08:54:20Z")</f>
        <v>2023-05-24T08:54:20Z</v>
      </c>
      <c r="X914" s="43"/>
      <c r="Y914" s="43"/>
      <c r="Z914" s="43"/>
    </row>
    <row r="915" hidden="1">
      <c r="A915" s="43" t="str">
        <f>IFERROR(__xludf.DUMMYFUNCTION("""COMPUTED_VALUE"""),"5264965_1291336")</f>
        <v>5264965_1291336</v>
      </c>
      <c r="B915" s="43" t="str">
        <f>IFERROR(__xludf.DUMMYFUNCTION("""COMPUTED_VALUE"""),"ayat allah fourati")</f>
        <v>ayat allah fourati</v>
      </c>
      <c r="C915" s="43" t="str">
        <f>IFERROR(__xludf.DUMMYFUNCTION("""COMPUTED_VALUE"""),"completed")</f>
        <v>completed</v>
      </c>
      <c r="D915" s="43" t="str">
        <f>IFERROR(__xludf.DUMMYFUNCTION("""COMPUTED_VALUE"""),"No")</f>
        <v>No</v>
      </c>
      <c r="E915" s="43" t="str">
        <f>IFERROR(__xludf.DUMMYFUNCTION("""COMPUTED_VALUE"""),"p_d0e1b277f2edd4d6b40d767a921b710439e01a92@inbound.aiesec.org")</f>
        <v>p_d0e1b277f2edd4d6b40d767a921b710439e01a92@inbound.aiesec.org</v>
      </c>
      <c r="F915" s="43">
        <f>IFERROR(__xludf.DUMMYFUNCTION("""COMPUTED_VALUE"""),5.4282333E7)</f>
        <v>54282333</v>
      </c>
      <c r="G915" s="43" t="str">
        <f>IFERROR(__xludf.DUMMYFUNCTION("""COMPUTED_VALUE"""),"Tunisia")</f>
        <v>Tunisia</v>
      </c>
      <c r="H915" s="43" t="str">
        <f>IFERROR(__xludf.DUMMYFUNCTION("""COMPUTED_VALUE"""),"NABEL")</f>
        <v>NABEL</v>
      </c>
      <c r="I915" s="43" t="str">
        <f>IFERROR(__xludf.DUMMYFUNCTION("""COMPUTED_VALUE"""),"Turkey")</f>
        <v>Turkey</v>
      </c>
      <c r="J915" s="43" t="str">
        <f>IFERROR(__xludf.DUMMYFUNCTION("""COMPUTED_VALUE"""),"DENIZLI")</f>
        <v>DENIZLI</v>
      </c>
      <c r="K915" s="44" t="str">
        <f>IFERROR(__xludf.DUMMYFUNCTION("""COMPUTED_VALUE"""),"https://expa.aiesec.org/opportunities/1291336")</f>
        <v>https://expa.aiesec.org/opportunities/1291336</v>
      </c>
      <c r="L915" s="43" t="str">
        <f>IFERROR(__xludf.DUMMYFUNCTION("""COMPUTED_VALUE"""),"GV")</f>
        <v>GV</v>
      </c>
      <c r="M915" s="43" t="str">
        <f>IFERROR(__xludf.DUMMYFUNCTION("""COMPUTED_VALUE"""),"short")</f>
        <v>short</v>
      </c>
      <c r="N915" s="45">
        <f>IFERROR(__xludf.DUMMYFUNCTION("""COMPUTED_VALUE"""),45070.0)</f>
        <v>45070</v>
      </c>
      <c r="O915" s="45">
        <f>IFERROR(__xludf.DUMMYFUNCTION("""COMPUTED_VALUE"""),45124.0)</f>
        <v>45124</v>
      </c>
      <c r="P915" s="45">
        <f>IFERROR(__xludf.DUMMYFUNCTION("""COMPUTED_VALUE"""),45166.0)</f>
        <v>45166</v>
      </c>
      <c r="Q915" s="45">
        <f>IFERROR(__xludf.DUMMYFUNCTION("""COMPUTED_VALUE"""),45124.0)</f>
        <v>45124</v>
      </c>
      <c r="R915" s="45">
        <f>IFERROR(__xludf.DUMMYFUNCTION("""COMPUTED_VALUE"""),45166.0)</f>
        <v>45166</v>
      </c>
      <c r="S915" s="43"/>
      <c r="T915" s="43"/>
      <c r="U915" s="43" t="str">
        <f>IFERROR(__xludf.DUMMYFUNCTION("""COMPUTED_VALUE"""),"Global Classroom")</f>
        <v>Global Classroom</v>
      </c>
      <c r="V915" s="43" t="str">
        <f>IFERROR(__xludf.DUMMYFUNCTION("""COMPUTED_VALUE"""),"ISSTE Borj Cedria")</f>
        <v>ISSTE Borj Cedria</v>
      </c>
      <c r="W915" s="43" t="str">
        <f>IFERROR(__xludf.DUMMYFUNCTION("""COMPUTED_VALUE"""),"2023-05-22T16:54:04Z")</f>
        <v>2023-05-22T16:54:04Z</v>
      </c>
      <c r="X915" s="43"/>
      <c r="Y915" s="43"/>
      <c r="Z915" s="43"/>
    </row>
    <row r="916" hidden="1">
      <c r="A916" s="43" t="str">
        <f>IFERROR(__xludf.DUMMYFUNCTION("""COMPUTED_VALUE"""),"4640037_1295285")</f>
        <v>4640037_1295285</v>
      </c>
      <c r="B916" s="43" t="str">
        <f>IFERROR(__xludf.DUMMYFUNCTION("""COMPUTED_VALUE"""),"Sabina Yusubova")</f>
        <v>Sabina Yusubova</v>
      </c>
      <c r="C916" s="43" t="str">
        <f>IFERROR(__xludf.DUMMYFUNCTION("""COMPUTED_VALUE"""),"completed")</f>
        <v>completed</v>
      </c>
      <c r="D916" s="43" t="str">
        <f>IFERROR(__xludf.DUMMYFUNCTION("""COMPUTED_VALUE"""),"No")</f>
        <v>No</v>
      </c>
      <c r="E916" s="43" t="str">
        <f>IFERROR(__xludf.DUMMYFUNCTION("""COMPUTED_VALUE"""),"p_cbbf13043b52f680e7d3ee5b529c5d2487789843@inbound.aiesec.org")</f>
        <v>p_cbbf13043b52f680e7d3ee5b529c5d2487789843@inbound.aiesec.org</v>
      </c>
      <c r="F916" s="43">
        <f>IFERROR(__xludf.DUMMYFUNCTION("""COMPUTED_VALUE"""),7.08258703E8)</f>
        <v>708258703</v>
      </c>
      <c r="G916" s="43" t="str">
        <f>IFERROR(__xludf.DUMMYFUNCTION("""COMPUTED_VALUE"""),"Azerbaijan")</f>
        <v>Azerbaijan</v>
      </c>
      <c r="H916" s="43" t="str">
        <f>IFERROR(__xludf.DUMMYFUNCTION("""COMPUTED_VALUE"""),"Baku Synergy")</f>
        <v>Baku Synergy</v>
      </c>
      <c r="I916" s="43" t="str">
        <f>IFERROR(__xludf.DUMMYFUNCTION("""COMPUTED_VALUE"""),"Turkey")</f>
        <v>Turkey</v>
      </c>
      <c r="J916" s="43" t="str">
        <f>IFERROR(__xludf.DUMMYFUNCTION("""COMPUTED_VALUE"""),"ISTANBUL WEST")</f>
        <v>ISTANBUL WEST</v>
      </c>
      <c r="K916" s="44" t="str">
        <f>IFERROR(__xludf.DUMMYFUNCTION("""COMPUTED_VALUE"""),"https://expa.aiesec.org/opportunities/1295285")</f>
        <v>https://expa.aiesec.org/opportunities/1295285</v>
      </c>
      <c r="L916" s="43" t="str">
        <f>IFERROR(__xludf.DUMMYFUNCTION("""COMPUTED_VALUE"""),"GV")</f>
        <v>GV</v>
      </c>
      <c r="M916" s="43" t="str">
        <f>IFERROR(__xludf.DUMMYFUNCTION("""COMPUTED_VALUE"""),"short")</f>
        <v>short</v>
      </c>
      <c r="N916" s="45">
        <f>IFERROR(__xludf.DUMMYFUNCTION("""COMPUTED_VALUE"""),45070.0)</f>
        <v>45070</v>
      </c>
      <c r="O916" s="45">
        <f>IFERROR(__xludf.DUMMYFUNCTION("""COMPUTED_VALUE"""),45110.0)</f>
        <v>45110</v>
      </c>
      <c r="P916" s="45">
        <f>IFERROR(__xludf.DUMMYFUNCTION("""COMPUTED_VALUE"""),45152.0)</f>
        <v>45152</v>
      </c>
      <c r="Q916" s="45">
        <f>IFERROR(__xludf.DUMMYFUNCTION("""COMPUTED_VALUE"""),45111.0)</f>
        <v>45111</v>
      </c>
      <c r="R916" s="45">
        <f>IFERROR(__xludf.DUMMYFUNCTION("""COMPUTED_VALUE"""),45152.0)</f>
        <v>45152</v>
      </c>
      <c r="S916" s="43"/>
      <c r="T916" s="43"/>
      <c r="U916" s="43" t="str">
        <f>IFERROR(__xludf.DUMMYFUNCTION("""COMPUTED_VALUE"""),"Fingerprint")</f>
        <v>Fingerprint</v>
      </c>
      <c r="V916" s="43" t="str">
        <f>IFERROR(__xludf.DUMMYFUNCTION("""COMPUTED_VALUE"""),"Azerbaijan State University of Economics")</f>
        <v>Azerbaijan State University of Economics</v>
      </c>
      <c r="W916" s="43" t="str">
        <f>IFERROR(__xludf.DUMMYFUNCTION("""COMPUTED_VALUE"""),"2021-05-09T10:42:08Z")</f>
        <v>2021-05-09T10:42:08Z</v>
      </c>
      <c r="X916" s="43"/>
      <c r="Y916" s="43"/>
      <c r="Z916" s="43"/>
    </row>
    <row r="917" hidden="1">
      <c r="A917" s="43" t="str">
        <f>IFERROR(__xludf.DUMMYFUNCTION("""COMPUTED_VALUE"""),"5264612_1295453")</f>
        <v>5264612_1295453</v>
      </c>
      <c r="B917" s="43" t="str">
        <f>IFERROR(__xludf.DUMMYFUNCTION("""COMPUTED_VALUE"""),"Fatma Magdy")</f>
        <v>Fatma Magdy</v>
      </c>
      <c r="C917" s="43" t="str">
        <f>IFERROR(__xludf.DUMMYFUNCTION("""COMPUTED_VALUE"""),"approved")</f>
        <v>approved</v>
      </c>
      <c r="D917" s="43" t="str">
        <f>IFERROR(__xludf.DUMMYFUNCTION("""COMPUTED_VALUE"""),"No")</f>
        <v>No</v>
      </c>
      <c r="E917" s="43" t="str">
        <f>IFERROR(__xludf.DUMMYFUNCTION("""COMPUTED_VALUE"""),"p_2fc22579ddccbcdcfb3db1363c87d616ba3f17d9@inbound.aiesec.org")</f>
        <v>p_2fc22579ddccbcdcfb3db1363c87d616ba3f17d9@inbound.aiesec.org</v>
      </c>
      <c r="F917" s="43">
        <f>IFERROR(__xludf.DUMMYFUNCTION("""COMPUTED_VALUE"""),1.155431818E9)</f>
        <v>1155431818</v>
      </c>
      <c r="G917" s="43" t="str">
        <f>IFERROR(__xludf.DUMMYFUNCTION("""COMPUTED_VALUE"""),"Egypt")</f>
        <v>Egypt</v>
      </c>
      <c r="H917" s="43" t="str">
        <f>IFERROR(__xludf.DUMMYFUNCTION("""COMPUTED_VALUE"""),"Beni Suef")</f>
        <v>Beni Suef</v>
      </c>
      <c r="I917" s="43" t="str">
        <f>IFERROR(__xludf.DUMMYFUNCTION("""COMPUTED_VALUE"""),"Turkey")</f>
        <v>Turkey</v>
      </c>
      <c r="J917" s="43" t="str">
        <f>IFERROR(__xludf.DUMMYFUNCTION("""COMPUTED_VALUE"""),"GAZIANTEP")</f>
        <v>GAZIANTEP</v>
      </c>
      <c r="K917" s="44" t="str">
        <f>IFERROR(__xludf.DUMMYFUNCTION("""COMPUTED_VALUE"""),"https://expa.aiesec.org/opportunities/1295453")</f>
        <v>https://expa.aiesec.org/opportunities/1295453</v>
      </c>
      <c r="L917" s="43" t="str">
        <f>IFERROR(__xludf.DUMMYFUNCTION("""COMPUTED_VALUE"""),"GV")</f>
        <v>GV</v>
      </c>
      <c r="M917" s="43" t="str">
        <f>IFERROR(__xludf.DUMMYFUNCTION("""COMPUTED_VALUE"""),"short")</f>
        <v>short</v>
      </c>
      <c r="N917" s="45">
        <f>IFERROR(__xludf.DUMMYFUNCTION("""COMPUTED_VALUE"""),45071.0)</f>
        <v>45071</v>
      </c>
      <c r="O917" s="45">
        <f>IFERROR(__xludf.DUMMYFUNCTION("""COMPUTED_VALUE"""),45110.0)</f>
        <v>45110</v>
      </c>
      <c r="P917" s="45">
        <f>IFERROR(__xludf.DUMMYFUNCTION("""COMPUTED_VALUE"""),45152.0)</f>
        <v>45152</v>
      </c>
      <c r="Q917" s="45"/>
      <c r="R917" s="45"/>
      <c r="S917" s="43"/>
      <c r="T917" s="43"/>
      <c r="U917" s="43" t="str">
        <f>IFERROR(__xludf.DUMMYFUNCTION("""COMPUTED_VALUE"""),"Global Classroom")</f>
        <v>Global Classroom</v>
      </c>
      <c r="V917" s="43" t="str">
        <f>IFERROR(__xludf.DUMMYFUNCTION("""COMPUTED_VALUE"""),"Nahda University")</f>
        <v>Nahda University</v>
      </c>
      <c r="W917" s="43" t="str">
        <f>IFERROR(__xludf.DUMMYFUNCTION("""COMPUTED_VALUE"""),"2023-05-21T20:56:23Z")</f>
        <v>2023-05-21T20:56:23Z</v>
      </c>
      <c r="X917" s="43"/>
      <c r="Y917" s="43"/>
      <c r="Z917" s="43"/>
    </row>
    <row r="918" hidden="1">
      <c r="A918" s="43" t="str">
        <f>IFERROR(__xludf.DUMMYFUNCTION("""COMPUTED_VALUE"""),"5265953_1272564")</f>
        <v>5265953_1272564</v>
      </c>
      <c r="B918" s="43" t="str">
        <f>IFERROR(__xludf.DUMMYFUNCTION("""COMPUTED_VALUE"""),"Chaima Ben Cheikh")</f>
        <v>Chaima Ben Cheikh</v>
      </c>
      <c r="C918" s="43" t="str">
        <f>IFERROR(__xludf.DUMMYFUNCTION("""COMPUTED_VALUE"""),"completed")</f>
        <v>completed</v>
      </c>
      <c r="D918" s="43" t="str">
        <f>IFERROR(__xludf.DUMMYFUNCTION("""COMPUTED_VALUE"""),"No")</f>
        <v>No</v>
      </c>
      <c r="E918" s="43" t="str">
        <f>IFERROR(__xludf.DUMMYFUNCTION("""COMPUTED_VALUE"""),"p_48931baf6895ed696e1410c4e9a9bba0c5a1cc86@inbound.aiesec.org")</f>
        <v>p_48931baf6895ed696e1410c4e9a9bba0c5a1cc86@inbound.aiesec.org</v>
      </c>
      <c r="F918" s="43">
        <f>IFERROR(__xludf.DUMMYFUNCTION("""COMPUTED_VALUE"""),9.9942451E7)</f>
        <v>99942451</v>
      </c>
      <c r="G918" s="43" t="str">
        <f>IFERROR(__xludf.DUMMYFUNCTION("""COMPUTED_VALUE"""),"Tunisia")</f>
        <v>Tunisia</v>
      </c>
      <c r="H918" s="43" t="str">
        <f>IFERROR(__xludf.DUMMYFUNCTION("""COMPUTED_VALUE"""),"Carthage")</f>
        <v>Carthage</v>
      </c>
      <c r="I918" s="43" t="str">
        <f>IFERROR(__xludf.DUMMYFUNCTION("""COMPUTED_VALUE"""),"Turkey")</f>
        <v>Turkey</v>
      </c>
      <c r="J918" s="43" t="str">
        <f>IFERROR(__xludf.DUMMYFUNCTION("""COMPUTED_VALUE"""),"ISTANBUL")</f>
        <v>ISTANBUL</v>
      </c>
      <c r="K918" s="44" t="str">
        <f>IFERROR(__xludf.DUMMYFUNCTION("""COMPUTED_VALUE"""),"https://expa.aiesec.org/opportunities/1272564")</f>
        <v>https://expa.aiesec.org/opportunities/1272564</v>
      </c>
      <c r="L918" s="43" t="str">
        <f>IFERROR(__xludf.DUMMYFUNCTION("""COMPUTED_VALUE"""),"GV")</f>
        <v>GV</v>
      </c>
      <c r="M918" s="43" t="str">
        <f>IFERROR(__xludf.DUMMYFUNCTION("""COMPUTED_VALUE"""),"short")</f>
        <v>short</v>
      </c>
      <c r="N918" s="45">
        <f>IFERROR(__xludf.DUMMYFUNCTION("""COMPUTED_VALUE"""),45071.0)</f>
        <v>45071</v>
      </c>
      <c r="O918" s="45">
        <f>IFERROR(__xludf.DUMMYFUNCTION("""COMPUTED_VALUE"""),45084.0)</f>
        <v>45084</v>
      </c>
      <c r="P918" s="45">
        <f>IFERROR(__xludf.DUMMYFUNCTION("""COMPUTED_VALUE"""),45126.0)</f>
        <v>45126</v>
      </c>
      <c r="Q918" s="45">
        <f>IFERROR(__xludf.DUMMYFUNCTION("""COMPUTED_VALUE"""),45095.0)</f>
        <v>45095</v>
      </c>
      <c r="R918" s="45">
        <f>IFERROR(__xludf.DUMMYFUNCTION("""COMPUTED_VALUE"""),45137.0)</f>
        <v>45137</v>
      </c>
      <c r="S918" s="43"/>
      <c r="T918" s="43"/>
      <c r="U918" s="43" t="str">
        <f>IFERROR(__xludf.DUMMYFUNCTION("""COMPUTED_VALUE"""),"Global Classroom")</f>
        <v>Global Classroom</v>
      </c>
      <c r="V918" s="43" t="str">
        <f>IFERROR(__xludf.DUMMYFUNCTION("""COMPUTED_VALUE"""),"FSJPST")</f>
        <v>FSJPST</v>
      </c>
      <c r="W918" s="43" t="str">
        <f>IFERROR(__xludf.DUMMYFUNCTION("""COMPUTED_VALUE"""),"2023-05-24T12:32:44Z")</f>
        <v>2023-05-24T12:32:44Z</v>
      </c>
      <c r="X918" s="43"/>
      <c r="Y918" s="43"/>
      <c r="Z918" s="43"/>
    </row>
    <row r="919" hidden="1">
      <c r="A919" s="43" t="str">
        <f>IFERROR(__xludf.DUMMYFUNCTION("""COMPUTED_VALUE"""),"5265976_1289505")</f>
        <v>5265976_1289505</v>
      </c>
      <c r="B919" s="43" t="str">
        <f>IFERROR(__xludf.DUMMYFUNCTION("""COMPUTED_VALUE"""),"Ibtihel Samaloussi")</f>
        <v>Ibtihel Samaloussi</v>
      </c>
      <c r="C919" s="43" t="str">
        <f>IFERROR(__xludf.DUMMYFUNCTION("""COMPUTED_VALUE"""),"approved")</f>
        <v>approved</v>
      </c>
      <c r="D919" s="43" t="str">
        <f>IFERROR(__xludf.DUMMYFUNCTION("""COMPUTED_VALUE"""),"No")</f>
        <v>No</v>
      </c>
      <c r="E919" s="43" t="str">
        <f>IFERROR(__xludf.DUMMYFUNCTION("""COMPUTED_VALUE"""),"p_73f9a3438a0703a03716f764fb8b9fe1baebe0c5@inbound.aiesec.org")</f>
        <v>p_73f9a3438a0703a03716f764fb8b9fe1baebe0c5@inbound.aiesec.org</v>
      </c>
      <c r="F919" s="43"/>
      <c r="G919" s="43" t="str">
        <f>IFERROR(__xludf.DUMMYFUNCTION("""COMPUTED_VALUE"""),"Tunisia")</f>
        <v>Tunisia</v>
      </c>
      <c r="H919" s="43" t="str">
        <f>IFERROR(__xludf.DUMMYFUNCTION("""COMPUTED_VALUE"""),"UNIVERSITY")</f>
        <v>UNIVERSITY</v>
      </c>
      <c r="I919" s="43" t="str">
        <f>IFERROR(__xludf.DUMMYFUNCTION("""COMPUTED_VALUE"""),"Turkey")</f>
        <v>Turkey</v>
      </c>
      <c r="J919" s="43" t="str">
        <f>IFERROR(__xludf.DUMMYFUNCTION("""COMPUTED_VALUE"""),"KOCAELI")</f>
        <v>KOCAELI</v>
      </c>
      <c r="K919" s="44" t="str">
        <f>IFERROR(__xludf.DUMMYFUNCTION("""COMPUTED_VALUE"""),"https://expa.aiesec.org/opportunities/1289505")</f>
        <v>https://expa.aiesec.org/opportunities/1289505</v>
      </c>
      <c r="L919" s="43" t="str">
        <f>IFERROR(__xludf.DUMMYFUNCTION("""COMPUTED_VALUE"""),"GV")</f>
        <v>GV</v>
      </c>
      <c r="M919" s="43" t="str">
        <f>IFERROR(__xludf.DUMMYFUNCTION("""COMPUTED_VALUE"""),"short")</f>
        <v>short</v>
      </c>
      <c r="N919" s="45">
        <f>IFERROR(__xludf.DUMMYFUNCTION("""COMPUTED_VALUE"""),45071.0)</f>
        <v>45071</v>
      </c>
      <c r="O919" s="45">
        <f>IFERROR(__xludf.DUMMYFUNCTION("""COMPUTED_VALUE"""),45159.0)</f>
        <v>45159</v>
      </c>
      <c r="P919" s="45">
        <f>IFERROR(__xludf.DUMMYFUNCTION("""COMPUTED_VALUE"""),45201.0)</f>
        <v>45201</v>
      </c>
      <c r="Q919" s="45"/>
      <c r="R919" s="45"/>
      <c r="S919" s="43"/>
      <c r="T919" s="43"/>
      <c r="U919" s="43" t="str">
        <f>IFERROR(__xludf.DUMMYFUNCTION("""COMPUTED_VALUE"""),"Youth 4 Impact")</f>
        <v>Youth 4 Impact</v>
      </c>
      <c r="V919" s="43" t="str">
        <f>IFERROR(__xludf.DUMMYFUNCTION("""COMPUTED_VALUE"""),"-")</f>
        <v>-</v>
      </c>
      <c r="W919" s="43" t="str">
        <f>IFERROR(__xludf.DUMMYFUNCTION("""COMPUTED_VALUE"""),"2023-05-24T13:19:52Z")</f>
        <v>2023-05-24T13:19:52Z</v>
      </c>
      <c r="X919" s="43"/>
      <c r="Y919" s="43"/>
      <c r="Z919" s="43"/>
    </row>
    <row r="920" hidden="1">
      <c r="A920" s="43" t="str">
        <f>IFERROR(__xludf.DUMMYFUNCTION("""COMPUTED_VALUE"""),"5265073_1287210")</f>
        <v>5265073_1287210</v>
      </c>
      <c r="B920" s="43" t="str">
        <f>IFERROR(__xludf.DUMMYFUNCTION("""COMPUTED_VALUE"""),"Gunay Suleymanli")</f>
        <v>Gunay Suleymanli</v>
      </c>
      <c r="C920" s="43" t="str">
        <f>IFERROR(__xludf.DUMMYFUNCTION("""COMPUTED_VALUE"""),"completed")</f>
        <v>completed</v>
      </c>
      <c r="D920" s="43" t="str">
        <f>IFERROR(__xludf.DUMMYFUNCTION("""COMPUTED_VALUE"""),"No")</f>
        <v>No</v>
      </c>
      <c r="E920" s="43" t="str">
        <f>IFERROR(__xludf.DUMMYFUNCTION("""COMPUTED_VALUE"""),"p_a08cb4ff07b5ff9a2641594035ab54edfc73af59@inbound.aiesec.org")</f>
        <v>p_a08cb4ff07b5ff9a2641594035ab54edfc73af59@inbound.aiesec.org</v>
      </c>
      <c r="F920" s="43">
        <f>IFERROR(__xludf.DUMMYFUNCTION("""COMPUTED_VALUE"""),5.16088111E8)</f>
        <v>516088111</v>
      </c>
      <c r="G920" s="43" t="str">
        <f>IFERROR(__xludf.DUMMYFUNCTION("""COMPUTED_VALUE"""),"Azerbaijan")</f>
        <v>Azerbaijan</v>
      </c>
      <c r="H920" s="43" t="str">
        <f>IFERROR(__xludf.DUMMYFUNCTION("""COMPUTED_VALUE"""),"Baku Qafqaz")</f>
        <v>Baku Qafqaz</v>
      </c>
      <c r="I920" s="43" t="str">
        <f>IFERROR(__xludf.DUMMYFUNCTION("""COMPUTED_VALUE"""),"Turkey")</f>
        <v>Turkey</v>
      </c>
      <c r="J920" s="43" t="str">
        <f>IFERROR(__xludf.DUMMYFUNCTION("""COMPUTED_VALUE"""),"ISTANBUL WEST")</f>
        <v>ISTANBUL WEST</v>
      </c>
      <c r="K920" s="44" t="str">
        <f>IFERROR(__xludf.DUMMYFUNCTION("""COMPUTED_VALUE"""),"https://expa.aiesec.org/opportunities/1287210")</f>
        <v>https://expa.aiesec.org/opportunities/1287210</v>
      </c>
      <c r="L920" s="43" t="str">
        <f>IFERROR(__xludf.DUMMYFUNCTION("""COMPUTED_VALUE"""),"GV")</f>
        <v>GV</v>
      </c>
      <c r="M920" s="43" t="str">
        <f>IFERROR(__xludf.DUMMYFUNCTION("""COMPUTED_VALUE"""),"short")</f>
        <v>short</v>
      </c>
      <c r="N920" s="45">
        <f>IFERROR(__xludf.DUMMYFUNCTION("""COMPUTED_VALUE"""),45071.0)</f>
        <v>45071</v>
      </c>
      <c r="O920" s="45">
        <f>IFERROR(__xludf.DUMMYFUNCTION("""COMPUTED_VALUE"""),45110.0)</f>
        <v>45110</v>
      </c>
      <c r="P920" s="45">
        <f>IFERROR(__xludf.DUMMYFUNCTION("""COMPUTED_VALUE"""),45152.0)</f>
        <v>45152</v>
      </c>
      <c r="Q920" s="45">
        <f>IFERROR(__xludf.DUMMYFUNCTION("""COMPUTED_VALUE"""),45111.0)</f>
        <v>45111</v>
      </c>
      <c r="R920" s="45">
        <f>IFERROR(__xludf.DUMMYFUNCTION("""COMPUTED_VALUE"""),45152.0)</f>
        <v>45152</v>
      </c>
      <c r="S920" s="43"/>
      <c r="T920" s="43"/>
      <c r="U920" s="43" t="str">
        <f>IFERROR(__xludf.DUMMYFUNCTION("""COMPUTED_VALUE"""),"Global Classroom")</f>
        <v>Global Classroom</v>
      </c>
      <c r="V920" s="43" t="str">
        <f>IFERROR(__xludf.DUMMYFUNCTION("""COMPUTED_VALUE"""),"Baku State University")</f>
        <v>Baku State University</v>
      </c>
      <c r="W920" s="43" t="str">
        <f>IFERROR(__xludf.DUMMYFUNCTION("""COMPUTED_VALUE"""),"2023-05-22T19:25:58Z")</f>
        <v>2023-05-22T19:25:58Z</v>
      </c>
      <c r="X920" s="43"/>
      <c r="Y920" s="43"/>
      <c r="Z920" s="43"/>
    </row>
    <row r="921" hidden="1">
      <c r="A921" s="43" t="str">
        <f>IFERROR(__xludf.DUMMYFUNCTION("""COMPUTED_VALUE"""),"5264873_1287210")</f>
        <v>5264873_1287210</v>
      </c>
      <c r="B921" s="43" t="str">
        <f>IFERROR(__xludf.DUMMYFUNCTION("""COMPUTED_VALUE"""),"Dilnaz Mukataeva")</f>
        <v>Dilnaz Mukataeva</v>
      </c>
      <c r="C921" s="43" t="str">
        <f>IFERROR(__xludf.DUMMYFUNCTION("""COMPUTED_VALUE"""),"approved")</f>
        <v>approved</v>
      </c>
      <c r="D921" s="43" t="str">
        <f>IFERROR(__xludf.DUMMYFUNCTION("""COMPUTED_VALUE"""),"No")</f>
        <v>No</v>
      </c>
      <c r="E921" s="43" t="str">
        <f>IFERROR(__xludf.DUMMYFUNCTION("""COMPUTED_VALUE"""),"p_fd38de5883d28588fc11e296220a8abe86a31c4b@inbound.aiesec.org")</f>
        <v>p_fd38de5883d28588fc11e296220a8abe86a31c4b@inbound.aiesec.org</v>
      </c>
      <c r="F921" s="43">
        <f>IFERROR(__xludf.DUMMYFUNCTION("""COMPUTED_VALUE"""),7.473622476E9)</f>
        <v>7473622476</v>
      </c>
      <c r="G921" s="43" t="str">
        <f>IFERROR(__xludf.DUMMYFUNCTION("""COMPUTED_VALUE"""),"Kazakhstan")</f>
        <v>Kazakhstan</v>
      </c>
      <c r="H921" s="43" t="str">
        <f>IFERROR(__xludf.DUMMYFUNCTION("""COMPUTED_VALUE"""),"ALMATY")</f>
        <v>ALMATY</v>
      </c>
      <c r="I921" s="43" t="str">
        <f>IFERROR(__xludf.DUMMYFUNCTION("""COMPUTED_VALUE"""),"Turkey")</f>
        <v>Turkey</v>
      </c>
      <c r="J921" s="43" t="str">
        <f>IFERROR(__xludf.DUMMYFUNCTION("""COMPUTED_VALUE"""),"ISTANBUL WEST")</f>
        <v>ISTANBUL WEST</v>
      </c>
      <c r="K921" s="44" t="str">
        <f>IFERROR(__xludf.DUMMYFUNCTION("""COMPUTED_VALUE"""),"https://expa.aiesec.org/opportunities/1287210")</f>
        <v>https://expa.aiesec.org/opportunities/1287210</v>
      </c>
      <c r="L921" s="43" t="str">
        <f>IFERROR(__xludf.DUMMYFUNCTION("""COMPUTED_VALUE"""),"GV")</f>
        <v>GV</v>
      </c>
      <c r="M921" s="43" t="str">
        <f>IFERROR(__xludf.DUMMYFUNCTION("""COMPUTED_VALUE"""),"short")</f>
        <v>short</v>
      </c>
      <c r="N921" s="45">
        <f>IFERROR(__xludf.DUMMYFUNCTION("""COMPUTED_VALUE"""),45071.0)</f>
        <v>45071</v>
      </c>
      <c r="O921" s="45">
        <f>IFERROR(__xludf.DUMMYFUNCTION("""COMPUTED_VALUE"""),45131.0)</f>
        <v>45131</v>
      </c>
      <c r="P921" s="45">
        <f>IFERROR(__xludf.DUMMYFUNCTION("""COMPUTED_VALUE"""),45173.0)</f>
        <v>45173</v>
      </c>
      <c r="Q921" s="45"/>
      <c r="R921" s="45"/>
      <c r="S921" s="43"/>
      <c r="T921" s="43"/>
      <c r="U921" s="43" t="str">
        <f>IFERROR(__xludf.DUMMYFUNCTION("""COMPUTED_VALUE"""),"Global Classroom")</f>
        <v>Global Classroom</v>
      </c>
      <c r="V921" s="43" t="str">
        <f>IFERROR(__xludf.DUMMYFUNCTION("""COMPUTED_VALUE"""),"Almaty")</f>
        <v>Almaty</v>
      </c>
      <c r="W921" s="43" t="str">
        <f>IFERROR(__xludf.DUMMYFUNCTION("""COMPUTED_VALUE"""),"2023-05-22T14:24:12Z")</f>
        <v>2023-05-22T14:24:12Z</v>
      </c>
      <c r="X921" s="43"/>
      <c r="Y921" s="43"/>
      <c r="Z921" s="43"/>
    </row>
    <row r="922" hidden="1">
      <c r="A922" s="43" t="str">
        <f>IFERROR(__xludf.DUMMYFUNCTION("""COMPUTED_VALUE"""),"5232786_1287210")</f>
        <v>5232786_1287210</v>
      </c>
      <c r="B922" s="43" t="str">
        <f>IFERROR(__xludf.DUMMYFUNCTION("""COMPUTED_VALUE"""),"Symbat Sabyr")</f>
        <v>Symbat Sabyr</v>
      </c>
      <c r="C922" s="43" t="str">
        <f>IFERROR(__xludf.DUMMYFUNCTION("""COMPUTED_VALUE"""),"completed")</f>
        <v>completed</v>
      </c>
      <c r="D922" s="43" t="str">
        <f>IFERROR(__xludf.DUMMYFUNCTION("""COMPUTED_VALUE"""),"No")</f>
        <v>No</v>
      </c>
      <c r="E922" s="43" t="str">
        <f>IFERROR(__xludf.DUMMYFUNCTION("""COMPUTED_VALUE"""),"p_8c41e2c590cd84daf37e7b0c2507640827b1b818@inbound.aiesec.org")</f>
        <v>p_8c41e2c590cd84daf37e7b0c2507640827b1b818@inbound.aiesec.org</v>
      </c>
      <c r="F922" s="43">
        <f>IFERROR(__xludf.DUMMYFUNCTION("""COMPUTED_VALUE"""),7.473878903E9)</f>
        <v>7473878903</v>
      </c>
      <c r="G922" s="43" t="str">
        <f>IFERROR(__xludf.DUMMYFUNCTION("""COMPUTED_VALUE"""),"Kazakhstan")</f>
        <v>Kazakhstan</v>
      </c>
      <c r="H922" s="43" t="str">
        <f>IFERROR(__xludf.DUMMYFUNCTION("""COMPUTED_VALUE"""),"ALMATY")</f>
        <v>ALMATY</v>
      </c>
      <c r="I922" s="43" t="str">
        <f>IFERROR(__xludf.DUMMYFUNCTION("""COMPUTED_VALUE"""),"Turkey")</f>
        <v>Turkey</v>
      </c>
      <c r="J922" s="43" t="str">
        <f>IFERROR(__xludf.DUMMYFUNCTION("""COMPUTED_VALUE"""),"ISTANBUL WEST")</f>
        <v>ISTANBUL WEST</v>
      </c>
      <c r="K922" s="44" t="str">
        <f>IFERROR(__xludf.DUMMYFUNCTION("""COMPUTED_VALUE"""),"https://expa.aiesec.org/opportunities/1287210")</f>
        <v>https://expa.aiesec.org/opportunities/1287210</v>
      </c>
      <c r="L922" s="43" t="str">
        <f>IFERROR(__xludf.DUMMYFUNCTION("""COMPUTED_VALUE"""),"GV")</f>
        <v>GV</v>
      </c>
      <c r="M922" s="43" t="str">
        <f>IFERROR(__xludf.DUMMYFUNCTION("""COMPUTED_VALUE"""),"short")</f>
        <v>short</v>
      </c>
      <c r="N922" s="45">
        <f>IFERROR(__xludf.DUMMYFUNCTION("""COMPUTED_VALUE"""),45071.0)</f>
        <v>45071</v>
      </c>
      <c r="O922" s="45">
        <f>IFERROR(__xludf.DUMMYFUNCTION("""COMPUTED_VALUE"""),45110.0)</f>
        <v>45110</v>
      </c>
      <c r="P922" s="45">
        <f>IFERROR(__xludf.DUMMYFUNCTION("""COMPUTED_VALUE"""),45152.0)</f>
        <v>45152</v>
      </c>
      <c r="Q922" s="45">
        <f>IFERROR(__xludf.DUMMYFUNCTION("""COMPUTED_VALUE"""),45111.0)</f>
        <v>45111</v>
      </c>
      <c r="R922" s="45">
        <f>IFERROR(__xludf.DUMMYFUNCTION("""COMPUTED_VALUE"""),45152.0)</f>
        <v>45152</v>
      </c>
      <c r="S922" s="43"/>
      <c r="T922" s="43"/>
      <c r="U922" s="43" t="str">
        <f>IFERROR(__xludf.DUMMYFUNCTION("""COMPUTED_VALUE"""),"Global Classroom")</f>
        <v>Global Classroom</v>
      </c>
      <c r="V922" s="43" t="str">
        <f>IFERROR(__xludf.DUMMYFUNCTION("""COMPUTED_VALUE"""),"Almaty")</f>
        <v>Almaty</v>
      </c>
      <c r="W922" s="43" t="str">
        <f>IFERROR(__xludf.DUMMYFUNCTION("""COMPUTED_VALUE"""),"2023-04-01T14:39:53Z")</f>
        <v>2023-04-01T14:39:53Z</v>
      </c>
      <c r="X922" s="43"/>
      <c r="Y922" s="43"/>
      <c r="Z922" s="43"/>
    </row>
    <row r="923" hidden="1">
      <c r="A923" s="43" t="str">
        <f>IFERROR(__xludf.DUMMYFUNCTION("""COMPUTED_VALUE"""),"5262063_1293706")</f>
        <v>5262063_1293706</v>
      </c>
      <c r="B923" s="43" t="str">
        <f>IFERROR(__xludf.DUMMYFUNCTION("""COMPUTED_VALUE"""),"Alina Lys")</f>
        <v>Alina Lys</v>
      </c>
      <c r="C923" s="43" t="str">
        <f>IFERROR(__xludf.DUMMYFUNCTION("""COMPUTED_VALUE"""),"completed")</f>
        <v>completed</v>
      </c>
      <c r="D923" s="43" t="str">
        <f>IFERROR(__xludf.DUMMYFUNCTION("""COMPUTED_VALUE"""),"No")</f>
        <v>No</v>
      </c>
      <c r="E923" s="43" t="str">
        <f>IFERROR(__xludf.DUMMYFUNCTION("""COMPUTED_VALUE"""),"p_f54fe03423680527c87c880538d262ef343445b4@inbound.aiesec.org")</f>
        <v>p_f54fe03423680527c87c880538d262ef343445b4@inbound.aiesec.org</v>
      </c>
      <c r="F923" s="43"/>
      <c r="G923" s="43" t="str">
        <f>IFERROR(__xludf.DUMMYFUNCTION("""COMPUTED_VALUE"""),"Ukraine")</f>
        <v>Ukraine</v>
      </c>
      <c r="H923" s="43" t="str">
        <f>IFERROR(__xludf.DUMMYFUNCTION("""COMPUTED_VALUE"""),"LVIV")</f>
        <v>LVIV</v>
      </c>
      <c r="I923" s="43" t="str">
        <f>IFERROR(__xludf.DUMMYFUNCTION("""COMPUTED_VALUE"""),"Turkey")</f>
        <v>Turkey</v>
      </c>
      <c r="J923" s="43" t="str">
        <f>IFERROR(__xludf.DUMMYFUNCTION("""COMPUTED_VALUE"""),"İZMİR")</f>
        <v>İZMİR</v>
      </c>
      <c r="K923" s="44" t="str">
        <f>IFERROR(__xludf.DUMMYFUNCTION("""COMPUTED_VALUE"""),"https://expa.aiesec.org/opportunities/1293706")</f>
        <v>https://expa.aiesec.org/opportunities/1293706</v>
      </c>
      <c r="L923" s="43" t="str">
        <f>IFERROR(__xludf.DUMMYFUNCTION("""COMPUTED_VALUE"""),"GV")</f>
        <v>GV</v>
      </c>
      <c r="M923" s="43" t="str">
        <f>IFERROR(__xludf.DUMMYFUNCTION("""COMPUTED_VALUE"""),"short")</f>
        <v>short</v>
      </c>
      <c r="N923" s="45">
        <f>IFERROR(__xludf.DUMMYFUNCTION("""COMPUTED_VALUE"""),45071.0)</f>
        <v>45071</v>
      </c>
      <c r="O923" s="45">
        <f>IFERROR(__xludf.DUMMYFUNCTION("""COMPUTED_VALUE"""),45187.0)</f>
        <v>45187</v>
      </c>
      <c r="P923" s="45">
        <f>IFERROR(__xludf.DUMMYFUNCTION("""COMPUTED_VALUE"""),45229.0)</f>
        <v>45229</v>
      </c>
      <c r="Q923" s="45">
        <f>IFERROR(__xludf.DUMMYFUNCTION("""COMPUTED_VALUE"""),45191.0)</f>
        <v>45191</v>
      </c>
      <c r="R923" s="45">
        <f>IFERROR(__xludf.DUMMYFUNCTION("""COMPUTED_VALUE"""),45233.0)</f>
        <v>45233</v>
      </c>
      <c r="S923" s="43"/>
      <c r="T923" s="43"/>
      <c r="U923" s="43" t="str">
        <f>IFERROR(__xludf.DUMMYFUNCTION("""COMPUTED_VALUE"""),"Fingerprint")</f>
        <v>Fingerprint</v>
      </c>
      <c r="V923" s="43" t="str">
        <f>IFERROR(__xludf.DUMMYFUNCTION("""COMPUTED_VALUE"""),"-")</f>
        <v>-</v>
      </c>
      <c r="W923" s="43" t="str">
        <f>IFERROR(__xludf.DUMMYFUNCTION("""COMPUTED_VALUE"""),"2023-05-16T19:11:57Z")</f>
        <v>2023-05-16T19:11:57Z</v>
      </c>
      <c r="X923" s="43"/>
      <c r="Y923" s="43"/>
      <c r="Z923" s="43"/>
    </row>
    <row r="924" hidden="1">
      <c r="A924" s="43" t="str">
        <f>IFERROR(__xludf.DUMMYFUNCTION("""COMPUTED_VALUE"""),"5260176_1294197")</f>
        <v>5260176_1294197</v>
      </c>
      <c r="B924" s="43" t="str">
        <f>IFERROR(__xludf.DUMMYFUNCTION("""COMPUTED_VALUE"""),"Luka Birčaković")</f>
        <v>Luka Birčaković</v>
      </c>
      <c r="C924" s="43" t="str">
        <f>IFERROR(__xludf.DUMMYFUNCTION("""COMPUTED_VALUE"""),"finished")</f>
        <v>finished</v>
      </c>
      <c r="D924" s="43" t="str">
        <f>IFERROR(__xludf.DUMMYFUNCTION("""COMPUTED_VALUE"""),"No")</f>
        <v>No</v>
      </c>
      <c r="E924" s="43" t="str">
        <f>IFERROR(__xludf.DUMMYFUNCTION("""COMPUTED_VALUE"""),"p_f0220409235b36ebebd5151b53c1209e77dc74bf@inbound.aiesec.org")</f>
        <v>p_f0220409235b36ebebd5151b53c1209e77dc74bf@inbound.aiesec.org</v>
      </c>
      <c r="F924" s="43">
        <f>IFERROR(__xludf.DUMMYFUNCTION("""COMPUTED_VALUE"""),6.00124405E8)</f>
        <v>600124405</v>
      </c>
      <c r="G924" s="43" t="str">
        <f>IFERROR(__xludf.DUMMYFUNCTION("""COMPUTED_VALUE"""),"Serbia")</f>
        <v>Serbia</v>
      </c>
      <c r="H924" s="43" t="str">
        <f>IFERROR(__xludf.DUMMYFUNCTION("""COMPUTED_VALUE"""),"BELGRADE FON")</f>
        <v>BELGRADE FON</v>
      </c>
      <c r="I924" s="43" t="str">
        <f>IFERROR(__xludf.DUMMYFUNCTION("""COMPUTED_VALUE"""),"Turkey")</f>
        <v>Turkey</v>
      </c>
      <c r="J924" s="43" t="str">
        <f>IFERROR(__xludf.DUMMYFUNCTION("""COMPUTED_VALUE"""),"SAMSUN [Closed]")</f>
        <v>SAMSUN [Closed]</v>
      </c>
      <c r="K924" s="44" t="str">
        <f>IFERROR(__xludf.DUMMYFUNCTION("""COMPUTED_VALUE"""),"https://expa.aiesec.org/opportunities/1294197")</f>
        <v>https://expa.aiesec.org/opportunities/1294197</v>
      </c>
      <c r="L924" s="43" t="str">
        <f>IFERROR(__xludf.DUMMYFUNCTION("""COMPUTED_VALUE"""),"GV")</f>
        <v>GV</v>
      </c>
      <c r="M924" s="43" t="str">
        <f>IFERROR(__xludf.DUMMYFUNCTION("""COMPUTED_VALUE"""),"short")</f>
        <v>short</v>
      </c>
      <c r="N924" s="45">
        <f>IFERROR(__xludf.DUMMYFUNCTION("""COMPUTED_VALUE"""),45071.0)</f>
        <v>45071</v>
      </c>
      <c r="O924" s="45">
        <f>IFERROR(__xludf.DUMMYFUNCTION("""COMPUTED_VALUE"""),45110.0)</f>
        <v>45110</v>
      </c>
      <c r="P924" s="45">
        <f>IFERROR(__xludf.DUMMYFUNCTION("""COMPUTED_VALUE"""),45152.0)</f>
        <v>45152</v>
      </c>
      <c r="Q924" s="45">
        <f>IFERROR(__xludf.DUMMYFUNCTION("""COMPUTED_VALUE"""),45117.0)</f>
        <v>45117</v>
      </c>
      <c r="R924" s="45">
        <f>IFERROR(__xludf.DUMMYFUNCTION("""COMPUTED_VALUE"""),45159.0)</f>
        <v>45159</v>
      </c>
      <c r="S924" s="43"/>
      <c r="T924" s="43"/>
      <c r="U924" s="43" t="str">
        <f>IFERROR(__xludf.DUMMYFUNCTION("""COMPUTED_VALUE"""),"Global Classroom")</f>
        <v>Global Classroom</v>
      </c>
      <c r="V924" s="43" t="str">
        <f>IFERROR(__xludf.DUMMYFUNCTION("""COMPUTED_VALUE"""),"Faculty of Organizational Sciences, Belgrade")</f>
        <v>Faculty of Organizational Sciences, Belgrade</v>
      </c>
      <c r="W924" s="43" t="str">
        <f>IFERROR(__xludf.DUMMYFUNCTION("""COMPUTED_VALUE"""),"2023-05-12T19:15:02Z")</f>
        <v>2023-05-12T19:15:02Z</v>
      </c>
      <c r="X924" s="43"/>
      <c r="Y924" s="43"/>
      <c r="Z924" s="43"/>
    </row>
    <row r="925" hidden="1">
      <c r="A925" s="43" t="str">
        <f>IFERROR(__xludf.DUMMYFUNCTION("""COMPUTED_VALUE"""),"5267298_1289505")</f>
        <v>5267298_1289505</v>
      </c>
      <c r="B925" s="43" t="str">
        <f>IFERROR(__xludf.DUMMYFUNCTION("""COMPUTED_VALUE"""),"Kouki Farah")</f>
        <v>Kouki Farah</v>
      </c>
      <c r="C925" s="43" t="str">
        <f>IFERROR(__xludf.DUMMYFUNCTION("""COMPUTED_VALUE"""),"completed")</f>
        <v>completed</v>
      </c>
      <c r="D925" s="43" t="str">
        <f>IFERROR(__xludf.DUMMYFUNCTION("""COMPUTED_VALUE"""),"No")</f>
        <v>No</v>
      </c>
      <c r="E925" s="43" t="str">
        <f>IFERROR(__xludf.DUMMYFUNCTION("""COMPUTED_VALUE"""),"p_fda4eb2ee42d9a2246e5cc9e897ba6953b2d2faf@inbound.aiesec.org")</f>
        <v>p_fda4eb2ee42d9a2246e5cc9e897ba6953b2d2faf@inbound.aiesec.org</v>
      </c>
      <c r="F925" s="43"/>
      <c r="G925" s="43" t="str">
        <f>IFERROR(__xludf.DUMMYFUNCTION("""COMPUTED_VALUE"""),"Tunisia")</f>
        <v>Tunisia</v>
      </c>
      <c r="H925" s="43" t="str">
        <f>IFERROR(__xludf.DUMMYFUNCTION("""COMPUTED_VALUE"""),"NABEL")</f>
        <v>NABEL</v>
      </c>
      <c r="I925" s="43" t="str">
        <f>IFERROR(__xludf.DUMMYFUNCTION("""COMPUTED_VALUE"""),"Turkey")</f>
        <v>Turkey</v>
      </c>
      <c r="J925" s="43" t="str">
        <f>IFERROR(__xludf.DUMMYFUNCTION("""COMPUTED_VALUE"""),"KOCAELI")</f>
        <v>KOCAELI</v>
      </c>
      <c r="K925" s="44" t="str">
        <f>IFERROR(__xludf.DUMMYFUNCTION("""COMPUTED_VALUE"""),"https://expa.aiesec.org/opportunities/1289505")</f>
        <v>https://expa.aiesec.org/opportunities/1289505</v>
      </c>
      <c r="L925" s="43" t="str">
        <f>IFERROR(__xludf.DUMMYFUNCTION("""COMPUTED_VALUE"""),"GV")</f>
        <v>GV</v>
      </c>
      <c r="M925" s="43" t="str">
        <f>IFERROR(__xludf.DUMMYFUNCTION("""COMPUTED_VALUE"""),"short")</f>
        <v>short</v>
      </c>
      <c r="N925" s="45">
        <f>IFERROR(__xludf.DUMMYFUNCTION("""COMPUTED_VALUE"""),45072.0)</f>
        <v>45072</v>
      </c>
      <c r="O925" s="45">
        <f>IFERROR(__xludf.DUMMYFUNCTION("""COMPUTED_VALUE"""),45159.0)</f>
        <v>45159</v>
      </c>
      <c r="P925" s="45">
        <f>IFERROR(__xludf.DUMMYFUNCTION("""COMPUTED_VALUE"""),45201.0)</f>
        <v>45201</v>
      </c>
      <c r="Q925" s="45">
        <f>IFERROR(__xludf.DUMMYFUNCTION("""COMPUTED_VALUE"""),45158.0)</f>
        <v>45158</v>
      </c>
      <c r="R925" s="45">
        <f>IFERROR(__xludf.DUMMYFUNCTION("""COMPUTED_VALUE"""),45201.0)</f>
        <v>45201</v>
      </c>
      <c r="S925" s="43"/>
      <c r="T925" s="43"/>
      <c r="U925" s="43" t="str">
        <f>IFERROR(__xludf.DUMMYFUNCTION("""COMPUTED_VALUE"""),"Youth 4 Impact")</f>
        <v>Youth 4 Impact</v>
      </c>
      <c r="V925" s="43" t="str">
        <f>IFERROR(__xludf.DUMMYFUNCTION("""COMPUTED_VALUE"""),"-")</f>
        <v>-</v>
      </c>
      <c r="W925" s="43" t="str">
        <f>IFERROR(__xludf.DUMMYFUNCTION("""COMPUTED_VALUE"""),"2023-05-26T21:33:30Z")</f>
        <v>2023-05-26T21:33:30Z</v>
      </c>
      <c r="X925" s="43"/>
      <c r="Y925" s="43"/>
      <c r="Z925" s="43"/>
    </row>
    <row r="926" hidden="1">
      <c r="A926" s="43" t="str">
        <f>IFERROR(__xludf.DUMMYFUNCTION("""COMPUTED_VALUE"""),"5267195_1289505")</f>
        <v>5267195_1289505</v>
      </c>
      <c r="B926" s="43" t="str">
        <f>IFERROR(__xludf.DUMMYFUNCTION("""COMPUTED_VALUE"""),"roua slama")</f>
        <v>roua slama</v>
      </c>
      <c r="C926" s="43" t="str">
        <f>IFERROR(__xludf.DUMMYFUNCTION("""COMPUTED_VALUE"""),"completed")</f>
        <v>completed</v>
      </c>
      <c r="D926" s="43" t="str">
        <f>IFERROR(__xludf.DUMMYFUNCTION("""COMPUTED_VALUE"""),"No")</f>
        <v>No</v>
      </c>
      <c r="E926" s="43" t="str">
        <f>IFERROR(__xludf.DUMMYFUNCTION("""COMPUTED_VALUE"""),"p_b88e5c84ca3700833e86c6251fc5b12ebfa88796@inbound.aiesec.org")</f>
        <v>p_b88e5c84ca3700833e86c6251fc5b12ebfa88796@inbound.aiesec.org</v>
      </c>
      <c r="F926" s="43">
        <f>IFERROR(__xludf.DUMMYFUNCTION("""COMPUTED_VALUE"""),5.4135617E7)</f>
        <v>54135617</v>
      </c>
      <c r="G926" s="43" t="str">
        <f>IFERROR(__xludf.DUMMYFUNCTION("""COMPUTED_VALUE"""),"Tunisia")</f>
        <v>Tunisia</v>
      </c>
      <c r="H926" s="43" t="str">
        <f>IFERROR(__xludf.DUMMYFUNCTION("""COMPUTED_VALUE"""),"NABEL")</f>
        <v>NABEL</v>
      </c>
      <c r="I926" s="43" t="str">
        <f>IFERROR(__xludf.DUMMYFUNCTION("""COMPUTED_VALUE"""),"Turkey")</f>
        <v>Turkey</v>
      </c>
      <c r="J926" s="43" t="str">
        <f>IFERROR(__xludf.DUMMYFUNCTION("""COMPUTED_VALUE"""),"KOCAELI")</f>
        <v>KOCAELI</v>
      </c>
      <c r="K926" s="44" t="str">
        <f>IFERROR(__xludf.DUMMYFUNCTION("""COMPUTED_VALUE"""),"https://expa.aiesec.org/opportunities/1289505")</f>
        <v>https://expa.aiesec.org/opportunities/1289505</v>
      </c>
      <c r="L926" s="43" t="str">
        <f>IFERROR(__xludf.DUMMYFUNCTION("""COMPUTED_VALUE"""),"GV")</f>
        <v>GV</v>
      </c>
      <c r="M926" s="43" t="str">
        <f>IFERROR(__xludf.DUMMYFUNCTION("""COMPUTED_VALUE"""),"short")</f>
        <v>short</v>
      </c>
      <c r="N926" s="45">
        <f>IFERROR(__xludf.DUMMYFUNCTION("""COMPUTED_VALUE"""),45072.0)</f>
        <v>45072</v>
      </c>
      <c r="O926" s="45">
        <f>IFERROR(__xludf.DUMMYFUNCTION("""COMPUTED_VALUE"""),45152.0)</f>
        <v>45152</v>
      </c>
      <c r="P926" s="45">
        <f>IFERROR(__xludf.DUMMYFUNCTION("""COMPUTED_VALUE"""),45194.0)</f>
        <v>45194</v>
      </c>
      <c r="Q926" s="45">
        <f>IFERROR(__xludf.DUMMYFUNCTION("""COMPUTED_VALUE"""),45152.0)</f>
        <v>45152</v>
      </c>
      <c r="R926" s="45">
        <f>IFERROR(__xludf.DUMMYFUNCTION("""COMPUTED_VALUE"""),45194.0)</f>
        <v>45194</v>
      </c>
      <c r="S926" s="43"/>
      <c r="T926" s="43"/>
      <c r="U926" s="43" t="str">
        <f>IFERROR(__xludf.DUMMYFUNCTION("""COMPUTED_VALUE"""),"Youth 4 Impact")</f>
        <v>Youth 4 Impact</v>
      </c>
      <c r="V926" s="43" t="str">
        <f>IFERROR(__xludf.DUMMYFUNCTION("""COMPUTED_VALUE"""),"ISET Nabel")</f>
        <v>ISET Nabel</v>
      </c>
      <c r="W926" s="43" t="str">
        <f>IFERROR(__xludf.DUMMYFUNCTION("""COMPUTED_VALUE"""),"2023-05-26T17:25:13Z")</f>
        <v>2023-05-26T17:25:13Z</v>
      </c>
      <c r="X926" s="43"/>
      <c r="Y926" s="43"/>
      <c r="Z926" s="43"/>
    </row>
    <row r="927" hidden="1">
      <c r="A927" s="43" t="str">
        <f>IFERROR(__xludf.DUMMYFUNCTION("""COMPUTED_VALUE"""),"5266910_1289100")</f>
        <v>5266910_1289100</v>
      </c>
      <c r="B927" s="43" t="str">
        <f>IFERROR(__xludf.DUMMYFUNCTION("""COMPUTED_VALUE"""),"Ferdawes Mansouri")</f>
        <v>Ferdawes Mansouri</v>
      </c>
      <c r="C927" s="43" t="str">
        <f>IFERROR(__xludf.DUMMYFUNCTION("""COMPUTED_VALUE"""),"completed")</f>
        <v>completed</v>
      </c>
      <c r="D927" s="43" t="str">
        <f>IFERROR(__xludf.DUMMYFUNCTION("""COMPUTED_VALUE"""),"No")</f>
        <v>No</v>
      </c>
      <c r="E927" s="43" t="str">
        <f>IFERROR(__xludf.DUMMYFUNCTION("""COMPUTED_VALUE"""),"p_440c771ebbae3575a968796983f279f7082697cb@inbound.aiesec.org")</f>
        <v>p_440c771ebbae3575a968796983f279f7082697cb@inbound.aiesec.org</v>
      </c>
      <c r="F927" s="43">
        <f>IFERROR(__xludf.DUMMYFUNCTION("""COMPUTED_VALUE"""),9.3923132E7)</f>
        <v>93923132</v>
      </c>
      <c r="G927" s="43" t="str">
        <f>IFERROR(__xludf.DUMMYFUNCTION("""COMPUTED_VALUE"""),"Tunisia")</f>
        <v>Tunisia</v>
      </c>
      <c r="H927" s="43" t="str">
        <f>IFERROR(__xludf.DUMMYFUNCTION("""COMPUTED_VALUE"""),"Carthage")</f>
        <v>Carthage</v>
      </c>
      <c r="I927" s="43" t="str">
        <f>IFERROR(__xludf.DUMMYFUNCTION("""COMPUTED_VALUE"""),"Turkey")</f>
        <v>Turkey</v>
      </c>
      <c r="J927" s="43" t="str">
        <f>IFERROR(__xludf.DUMMYFUNCTION("""COMPUTED_VALUE"""),"KOCAELI")</f>
        <v>KOCAELI</v>
      </c>
      <c r="K927" s="44" t="str">
        <f>IFERROR(__xludf.DUMMYFUNCTION("""COMPUTED_VALUE"""),"https://expa.aiesec.org/opportunities/1289100")</f>
        <v>https://expa.aiesec.org/opportunities/1289100</v>
      </c>
      <c r="L927" s="43" t="str">
        <f>IFERROR(__xludf.DUMMYFUNCTION("""COMPUTED_VALUE"""),"GV")</f>
        <v>GV</v>
      </c>
      <c r="M927" s="43" t="str">
        <f>IFERROR(__xludf.DUMMYFUNCTION("""COMPUTED_VALUE"""),"short")</f>
        <v>short</v>
      </c>
      <c r="N927" s="45">
        <f>IFERROR(__xludf.DUMMYFUNCTION("""COMPUTED_VALUE"""),45072.0)</f>
        <v>45072</v>
      </c>
      <c r="O927" s="45">
        <f>IFERROR(__xludf.DUMMYFUNCTION("""COMPUTED_VALUE"""),45194.0)</f>
        <v>45194</v>
      </c>
      <c r="P927" s="45">
        <f>IFERROR(__xludf.DUMMYFUNCTION("""COMPUTED_VALUE"""),45236.0)</f>
        <v>45236</v>
      </c>
      <c r="Q927" s="45">
        <f>IFERROR(__xludf.DUMMYFUNCTION("""COMPUTED_VALUE"""),45194.0)</f>
        <v>45194</v>
      </c>
      <c r="R927" s="45">
        <f>IFERROR(__xludf.DUMMYFUNCTION("""COMPUTED_VALUE"""),45236.0)</f>
        <v>45236</v>
      </c>
      <c r="S927" s="43"/>
      <c r="T927" s="43"/>
      <c r="U927" s="43" t="str">
        <f>IFERROR(__xludf.DUMMYFUNCTION("""COMPUTED_VALUE"""),"Global Classroom")</f>
        <v>Global Classroom</v>
      </c>
      <c r="V927" s="43" t="str">
        <f>IFERROR(__xludf.DUMMYFUNCTION("""COMPUTED_VALUE"""),"ISLT")</f>
        <v>ISLT</v>
      </c>
      <c r="W927" s="43" t="str">
        <f>IFERROR(__xludf.DUMMYFUNCTION("""COMPUTED_VALUE"""),"2023-05-26T09:08:31Z")</f>
        <v>2023-05-26T09:08:31Z</v>
      </c>
      <c r="X927" s="43"/>
      <c r="Y927" s="43"/>
      <c r="Z927" s="43"/>
    </row>
    <row r="928" hidden="1">
      <c r="A928" s="43" t="str">
        <f>IFERROR(__xludf.DUMMYFUNCTION("""COMPUTED_VALUE"""),"5266959_1291254")</f>
        <v>5266959_1291254</v>
      </c>
      <c r="B928" s="43" t="str">
        <f>IFERROR(__xludf.DUMMYFUNCTION("""COMPUTED_VALUE"""),"Sirine Najjar")</f>
        <v>Sirine Najjar</v>
      </c>
      <c r="C928" s="43" t="str">
        <f>IFERROR(__xludf.DUMMYFUNCTION("""COMPUTED_VALUE"""),"completed")</f>
        <v>completed</v>
      </c>
      <c r="D928" s="43" t="str">
        <f>IFERROR(__xludf.DUMMYFUNCTION("""COMPUTED_VALUE"""),"No")</f>
        <v>No</v>
      </c>
      <c r="E928" s="43" t="str">
        <f>IFERROR(__xludf.DUMMYFUNCTION("""COMPUTED_VALUE"""),"p_a86a92449bae8ac59be87cfac629753a1fd7560a@inbound.aiesec.org")</f>
        <v>p_a86a92449bae8ac59be87cfac629753a1fd7560a@inbound.aiesec.org</v>
      </c>
      <c r="F928" s="43">
        <f>IFERROR(__xludf.DUMMYFUNCTION("""COMPUTED_VALUE"""),5.1784887E7)</f>
        <v>51784887</v>
      </c>
      <c r="G928" s="43" t="str">
        <f>IFERROR(__xludf.DUMMYFUNCTION("""COMPUTED_VALUE"""),"Tunisia")</f>
        <v>Tunisia</v>
      </c>
      <c r="H928" s="43" t="str">
        <f>IFERROR(__xludf.DUMMYFUNCTION("""COMPUTED_VALUE"""),"Carthage")</f>
        <v>Carthage</v>
      </c>
      <c r="I928" s="43" t="str">
        <f>IFERROR(__xludf.DUMMYFUNCTION("""COMPUTED_VALUE"""),"Turkey")</f>
        <v>Turkey</v>
      </c>
      <c r="J928" s="43" t="str">
        <f>IFERROR(__xludf.DUMMYFUNCTION("""COMPUTED_VALUE"""),"KOCAELI")</f>
        <v>KOCAELI</v>
      </c>
      <c r="K928" s="44" t="str">
        <f>IFERROR(__xludf.DUMMYFUNCTION("""COMPUTED_VALUE"""),"https://expa.aiesec.org/opportunities/1291254")</f>
        <v>https://expa.aiesec.org/opportunities/1291254</v>
      </c>
      <c r="L928" s="43" t="str">
        <f>IFERROR(__xludf.DUMMYFUNCTION("""COMPUTED_VALUE"""),"GV")</f>
        <v>GV</v>
      </c>
      <c r="M928" s="43" t="str">
        <f>IFERROR(__xludf.DUMMYFUNCTION("""COMPUTED_VALUE"""),"short")</f>
        <v>short</v>
      </c>
      <c r="N928" s="45">
        <f>IFERROR(__xludf.DUMMYFUNCTION("""COMPUTED_VALUE"""),45072.0)</f>
        <v>45072</v>
      </c>
      <c r="O928" s="45">
        <f>IFERROR(__xludf.DUMMYFUNCTION("""COMPUTED_VALUE"""),45172.0)</f>
        <v>45172</v>
      </c>
      <c r="P928" s="45">
        <f>IFERROR(__xludf.DUMMYFUNCTION("""COMPUTED_VALUE"""),45214.0)</f>
        <v>45214</v>
      </c>
      <c r="Q928" s="45">
        <f>IFERROR(__xludf.DUMMYFUNCTION("""COMPUTED_VALUE"""),45173.0)</f>
        <v>45173</v>
      </c>
      <c r="R928" s="45">
        <f>IFERROR(__xludf.DUMMYFUNCTION("""COMPUTED_VALUE"""),45214.0)</f>
        <v>45214</v>
      </c>
      <c r="S928" s="43"/>
      <c r="T928" s="43"/>
      <c r="U928" s="43" t="str">
        <f>IFERROR(__xludf.DUMMYFUNCTION("""COMPUTED_VALUE"""),"Global Classroom")</f>
        <v>Global Classroom</v>
      </c>
      <c r="V928" s="43" t="str">
        <f>IFERROR(__xludf.DUMMYFUNCTION("""COMPUTED_VALUE"""),"ISLT")</f>
        <v>ISLT</v>
      </c>
      <c r="W928" s="43" t="str">
        <f>IFERROR(__xludf.DUMMYFUNCTION("""COMPUTED_VALUE"""),"2023-05-26T11:15:43Z")</f>
        <v>2023-05-26T11:15:43Z</v>
      </c>
      <c r="X928" s="43"/>
      <c r="Y928" s="43"/>
      <c r="Z928" s="43"/>
    </row>
    <row r="929" hidden="1">
      <c r="A929" s="43" t="str">
        <f>IFERROR(__xludf.DUMMYFUNCTION("""COMPUTED_VALUE"""),"5161899_1295240")</f>
        <v>5161899_1295240</v>
      </c>
      <c r="B929" s="43" t="str">
        <f>IFERROR(__xludf.DUMMYFUNCTION("""COMPUTED_VALUE"""),"sarah essam")</f>
        <v>sarah essam</v>
      </c>
      <c r="C929" s="43" t="str">
        <f>IFERROR(__xludf.DUMMYFUNCTION("""COMPUTED_VALUE"""),"approved")</f>
        <v>approved</v>
      </c>
      <c r="D929" s="43" t="str">
        <f>IFERROR(__xludf.DUMMYFUNCTION("""COMPUTED_VALUE"""),"No")</f>
        <v>No</v>
      </c>
      <c r="E929" s="43" t="str">
        <f>IFERROR(__xludf.DUMMYFUNCTION("""COMPUTED_VALUE"""),"p_0085e3ded0e964124a885271ce073f3ad349a332@inbound.aiesec.org")</f>
        <v>p_0085e3ded0e964124a885271ce073f3ad349a332@inbound.aiesec.org</v>
      </c>
      <c r="F929" s="43">
        <f>IFERROR(__xludf.DUMMYFUNCTION("""COMPUTED_VALUE"""),1.277440814E9)</f>
        <v>1277440814</v>
      </c>
      <c r="G929" s="43" t="str">
        <f>IFERROR(__xludf.DUMMYFUNCTION("""COMPUTED_VALUE"""),"Egypt")</f>
        <v>Egypt</v>
      </c>
      <c r="H929" s="43" t="str">
        <f>IFERROR(__xludf.DUMMYFUNCTION("""COMPUTED_VALUE"""),"AAST In CAIRO")</f>
        <v>AAST In CAIRO</v>
      </c>
      <c r="I929" s="43" t="str">
        <f>IFERROR(__xludf.DUMMYFUNCTION("""COMPUTED_VALUE"""),"Turkey")</f>
        <v>Turkey</v>
      </c>
      <c r="J929" s="43" t="str">
        <f>IFERROR(__xludf.DUMMYFUNCTION("""COMPUTED_VALUE"""),"İZMİR")</f>
        <v>İZMİR</v>
      </c>
      <c r="K929" s="44" t="str">
        <f>IFERROR(__xludf.DUMMYFUNCTION("""COMPUTED_VALUE"""),"https://expa.aiesec.org/opportunities/1295240")</f>
        <v>https://expa.aiesec.org/opportunities/1295240</v>
      </c>
      <c r="L929" s="43" t="str">
        <f>IFERROR(__xludf.DUMMYFUNCTION("""COMPUTED_VALUE"""),"GV")</f>
        <v>GV</v>
      </c>
      <c r="M929" s="43" t="str">
        <f>IFERROR(__xludf.DUMMYFUNCTION("""COMPUTED_VALUE"""),"short")</f>
        <v>short</v>
      </c>
      <c r="N929" s="45">
        <f>IFERROR(__xludf.DUMMYFUNCTION("""COMPUTED_VALUE"""),45072.0)</f>
        <v>45072</v>
      </c>
      <c r="O929" s="45">
        <f>IFERROR(__xludf.DUMMYFUNCTION("""COMPUTED_VALUE"""),45110.0)</f>
        <v>45110</v>
      </c>
      <c r="P929" s="45">
        <f>IFERROR(__xludf.DUMMYFUNCTION("""COMPUTED_VALUE"""),45152.0)</f>
        <v>45152</v>
      </c>
      <c r="Q929" s="45"/>
      <c r="R929" s="45"/>
      <c r="S929" s="43"/>
      <c r="T929" s="43"/>
      <c r="U929" s="43" t="str">
        <f>IFERROR(__xludf.DUMMYFUNCTION("""COMPUTED_VALUE"""),"Fingerprint")</f>
        <v>Fingerprint</v>
      </c>
      <c r="V929" s="43" t="str">
        <f>IFERROR(__xludf.DUMMYFUNCTION("""COMPUTED_VALUE"""),"AAST in Cairo Univeristy")</f>
        <v>AAST in Cairo Univeristy</v>
      </c>
      <c r="W929" s="43" t="str">
        <f>IFERROR(__xludf.DUMMYFUNCTION("""COMPUTED_VALUE"""),"2022-12-02T14:20:18Z")</f>
        <v>2022-12-02T14:20:18Z</v>
      </c>
      <c r="X929" s="43"/>
      <c r="Y929" s="43"/>
      <c r="Z929" s="43"/>
    </row>
    <row r="930" hidden="1">
      <c r="A930" s="43" t="str">
        <f>IFERROR(__xludf.DUMMYFUNCTION("""COMPUTED_VALUE"""),"5265310_1287210")</f>
        <v>5265310_1287210</v>
      </c>
      <c r="B930" s="43" t="str">
        <f>IFERROR(__xludf.DUMMYFUNCTION("""COMPUTED_VALUE"""),"Sona Mamedova")</f>
        <v>Sona Mamedova</v>
      </c>
      <c r="C930" s="43" t="str">
        <f>IFERROR(__xludf.DUMMYFUNCTION("""COMPUTED_VALUE"""),"completed")</f>
        <v>completed</v>
      </c>
      <c r="D930" s="43" t="str">
        <f>IFERROR(__xludf.DUMMYFUNCTION("""COMPUTED_VALUE"""),"No")</f>
        <v>No</v>
      </c>
      <c r="E930" s="43" t="str">
        <f>IFERROR(__xludf.DUMMYFUNCTION("""COMPUTED_VALUE"""),"p_b41952666d508bd4b0b574fe961346e7521715b4@inbound.aiesec.org")</f>
        <v>p_b41952666d508bd4b0b574fe961346e7521715b4@inbound.aiesec.org</v>
      </c>
      <c r="F930" s="43">
        <f>IFERROR(__xludf.DUMMYFUNCTION("""COMPUTED_VALUE"""),5.05757112E8)</f>
        <v>505757112</v>
      </c>
      <c r="G930" s="43" t="str">
        <f>IFERROR(__xludf.DUMMYFUNCTION("""COMPUTED_VALUE"""),"Azerbaijan")</f>
        <v>Azerbaijan</v>
      </c>
      <c r="H930" s="43" t="str">
        <f>IFERROR(__xludf.DUMMYFUNCTION("""COMPUTED_VALUE"""),"Baku Synergy")</f>
        <v>Baku Synergy</v>
      </c>
      <c r="I930" s="43" t="str">
        <f>IFERROR(__xludf.DUMMYFUNCTION("""COMPUTED_VALUE"""),"Turkey")</f>
        <v>Turkey</v>
      </c>
      <c r="J930" s="43" t="str">
        <f>IFERROR(__xludf.DUMMYFUNCTION("""COMPUTED_VALUE"""),"ISTANBUL WEST")</f>
        <v>ISTANBUL WEST</v>
      </c>
      <c r="K930" s="44" t="str">
        <f>IFERROR(__xludf.DUMMYFUNCTION("""COMPUTED_VALUE"""),"https://expa.aiesec.org/opportunities/1287210")</f>
        <v>https://expa.aiesec.org/opportunities/1287210</v>
      </c>
      <c r="L930" s="43" t="str">
        <f>IFERROR(__xludf.DUMMYFUNCTION("""COMPUTED_VALUE"""),"GV")</f>
        <v>GV</v>
      </c>
      <c r="M930" s="43" t="str">
        <f>IFERROR(__xludf.DUMMYFUNCTION("""COMPUTED_VALUE"""),"short")</f>
        <v>short</v>
      </c>
      <c r="N930" s="45">
        <f>IFERROR(__xludf.DUMMYFUNCTION("""COMPUTED_VALUE"""),45072.0)</f>
        <v>45072</v>
      </c>
      <c r="O930" s="45">
        <f>IFERROR(__xludf.DUMMYFUNCTION("""COMPUTED_VALUE"""),45131.0)</f>
        <v>45131</v>
      </c>
      <c r="P930" s="45">
        <f>IFERROR(__xludf.DUMMYFUNCTION("""COMPUTED_VALUE"""),45173.0)</f>
        <v>45173</v>
      </c>
      <c r="Q930" s="45">
        <f>IFERROR(__xludf.DUMMYFUNCTION("""COMPUTED_VALUE"""),45133.0)</f>
        <v>45133</v>
      </c>
      <c r="R930" s="45">
        <f>IFERROR(__xludf.DUMMYFUNCTION("""COMPUTED_VALUE"""),45173.0)</f>
        <v>45173</v>
      </c>
      <c r="S930" s="43"/>
      <c r="T930" s="43"/>
      <c r="U930" s="43" t="str">
        <f>IFERROR(__xludf.DUMMYFUNCTION("""COMPUTED_VALUE"""),"Global Classroom")</f>
        <v>Global Classroom</v>
      </c>
      <c r="V930" s="43" t="str">
        <f>IFERROR(__xludf.DUMMYFUNCTION("""COMPUTED_VALUE"""),"Azerbaijan Architecture and Construction University")</f>
        <v>Azerbaijan Architecture and Construction University</v>
      </c>
      <c r="W930" s="43" t="str">
        <f>IFERROR(__xludf.DUMMYFUNCTION("""COMPUTED_VALUE"""),"2023-05-23T10:25:32Z")</f>
        <v>2023-05-23T10:25:32Z</v>
      </c>
      <c r="X930" s="43"/>
      <c r="Y930" s="43"/>
      <c r="Z930" s="43"/>
    </row>
    <row r="931" hidden="1">
      <c r="A931" s="43" t="str">
        <f>IFERROR(__xludf.DUMMYFUNCTION("""COMPUTED_VALUE"""),"5255410_1295240")</f>
        <v>5255410_1295240</v>
      </c>
      <c r="B931" s="43" t="str">
        <f>IFERROR(__xludf.DUMMYFUNCTION("""COMPUTED_VALUE"""),"Alaa khaled ali")</f>
        <v>Alaa khaled ali</v>
      </c>
      <c r="C931" s="43" t="str">
        <f>IFERROR(__xludf.DUMMYFUNCTION("""COMPUTED_VALUE"""),"approved")</f>
        <v>approved</v>
      </c>
      <c r="D931" s="43" t="str">
        <f>IFERROR(__xludf.DUMMYFUNCTION("""COMPUTED_VALUE"""),"No")</f>
        <v>No</v>
      </c>
      <c r="E931" s="43" t="str">
        <f>IFERROR(__xludf.DUMMYFUNCTION("""COMPUTED_VALUE"""),"p_6a08bd9446703a89918842a20db8e30ae383536b@inbound.aiesec.org")</f>
        <v>p_6a08bd9446703a89918842a20db8e30ae383536b@inbound.aiesec.org</v>
      </c>
      <c r="F931" s="43">
        <f>IFERROR(__xludf.DUMMYFUNCTION("""COMPUTED_VALUE"""),1.004406754E9)</f>
        <v>1004406754</v>
      </c>
      <c r="G931" s="43" t="str">
        <f>IFERROR(__xludf.DUMMYFUNCTION("""COMPUTED_VALUE"""),"Egypt")</f>
        <v>Egypt</v>
      </c>
      <c r="H931" s="43" t="str">
        <f>IFERROR(__xludf.DUMMYFUNCTION("""COMPUTED_VALUE"""),"AAST In CAIRO")</f>
        <v>AAST In CAIRO</v>
      </c>
      <c r="I931" s="43" t="str">
        <f>IFERROR(__xludf.DUMMYFUNCTION("""COMPUTED_VALUE"""),"Turkey")</f>
        <v>Turkey</v>
      </c>
      <c r="J931" s="43" t="str">
        <f>IFERROR(__xludf.DUMMYFUNCTION("""COMPUTED_VALUE"""),"İZMİR")</f>
        <v>İZMİR</v>
      </c>
      <c r="K931" s="44" t="str">
        <f>IFERROR(__xludf.DUMMYFUNCTION("""COMPUTED_VALUE"""),"https://expa.aiesec.org/opportunities/1295240")</f>
        <v>https://expa.aiesec.org/opportunities/1295240</v>
      </c>
      <c r="L931" s="43" t="str">
        <f>IFERROR(__xludf.DUMMYFUNCTION("""COMPUTED_VALUE"""),"GV")</f>
        <v>GV</v>
      </c>
      <c r="M931" s="43" t="str">
        <f>IFERROR(__xludf.DUMMYFUNCTION("""COMPUTED_VALUE"""),"short")</f>
        <v>short</v>
      </c>
      <c r="N931" s="45">
        <f>IFERROR(__xludf.DUMMYFUNCTION("""COMPUTED_VALUE"""),45072.0)</f>
        <v>45072</v>
      </c>
      <c r="O931" s="45">
        <f>IFERROR(__xludf.DUMMYFUNCTION("""COMPUTED_VALUE"""),45110.0)</f>
        <v>45110</v>
      </c>
      <c r="P931" s="45">
        <f>IFERROR(__xludf.DUMMYFUNCTION("""COMPUTED_VALUE"""),45152.0)</f>
        <v>45152</v>
      </c>
      <c r="Q931" s="45"/>
      <c r="R931" s="45"/>
      <c r="S931" s="43"/>
      <c r="T931" s="43"/>
      <c r="U931" s="43" t="str">
        <f>IFERROR(__xludf.DUMMYFUNCTION("""COMPUTED_VALUE"""),"Fingerprint")</f>
        <v>Fingerprint</v>
      </c>
      <c r="V931" s="43" t="str">
        <f>IFERROR(__xludf.DUMMYFUNCTION("""COMPUTED_VALUE"""),"BUE University")</f>
        <v>BUE University</v>
      </c>
      <c r="W931" s="43" t="str">
        <f>IFERROR(__xludf.DUMMYFUNCTION("""COMPUTED_VALUE"""),"2023-05-03T21:25:34Z")</f>
        <v>2023-05-03T21:25:34Z</v>
      </c>
      <c r="X931" s="43"/>
      <c r="Y931" s="43"/>
      <c r="Z931" s="43"/>
    </row>
    <row r="932" hidden="1">
      <c r="A932" s="43" t="str">
        <f>IFERROR(__xludf.DUMMYFUNCTION("""COMPUTED_VALUE"""),"5261325_1294795")</f>
        <v>5261325_1294795</v>
      </c>
      <c r="B932" s="43" t="str">
        <f>IFERROR(__xludf.DUMMYFUNCTION("""COMPUTED_VALUE"""),"Valeriia Druz")</f>
        <v>Valeriia Druz</v>
      </c>
      <c r="C932" s="43" t="str">
        <f>IFERROR(__xludf.DUMMYFUNCTION("""COMPUTED_VALUE"""),"completed")</f>
        <v>completed</v>
      </c>
      <c r="D932" s="43" t="str">
        <f>IFERROR(__xludf.DUMMYFUNCTION("""COMPUTED_VALUE"""),"No")</f>
        <v>No</v>
      </c>
      <c r="E932" s="43" t="str">
        <f>IFERROR(__xludf.DUMMYFUNCTION("""COMPUTED_VALUE"""),"p_3b2b7d88dd69e9408f4dea9fc977c03a602455fd@inbound.aiesec.org")</f>
        <v>p_3b2b7d88dd69e9408f4dea9fc977c03a602455fd@inbound.aiesec.org</v>
      </c>
      <c r="F932" s="43">
        <f>IFERROR(__xludf.DUMMYFUNCTION("""COMPUTED_VALUE"""),9.89271727E8)</f>
        <v>989271727</v>
      </c>
      <c r="G932" s="43" t="str">
        <f>IFERROR(__xludf.DUMMYFUNCTION("""COMPUTED_VALUE"""),"Ukraine")</f>
        <v>Ukraine</v>
      </c>
      <c r="H932" s="43" t="str">
        <f>IFERROR(__xludf.DUMMYFUNCTION("""COMPUTED_VALUE"""),"TERNOPIL")</f>
        <v>TERNOPIL</v>
      </c>
      <c r="I932" s="43" t="str">
        <f>IFERROR(__xludf.DUMMYFUNCTION("""COMPUTED_VALUE"""),"Turkey")</f>
        <v>Turkey</v>
      </c>
      <c r="J932" s="43" t="str">
        <f>IFERROR(__xludf.DUMMYFUNCTION("""COMPUTED_VALUE"""),"ADANA")</f>
        <v>ADANA</v>
      </c>
      <c r="K932" s="44" t="str">
        <f>IFERROR(__xludf.DUMMYFUNCTION("""COMPUTED_VALUE"""),"https://expa.aiesec.org/opportunities/1294795")</f>
        <v>https://expa.aiesec.org/opportunities/1294795</v>
      </c>
      <c r="L932" s="43" t="str">
        <f>IFERROR(__xludf.DUMMYFUNCTION("""COMPUTED_VALUE"""),"GV")</f>
        <v>GV</v>
      </c>
      <c r="M932" s="43" t="str">
        <f>IFERROR(__xludf.DUMMYFUNCTION("""COMPUTED_VALUE"""),"short")</f>
        <v>short</v>
      </c>
      <c r="N932" s="45">
        <f>IFERROR(__xludf.DUMMYFUNCTION("""COMPUTED_VALUE"""),45072.0)</f>
        <v>45072</v>
      </c>
      <c r="O932" s="45">
        <f>IFERROR(__xludf.DUMMYFUNCTION("""COMPUTED_VALUE"""),45110.0)</f>
        <v>45110</v>
      </c>
      <c r="P932" s="45">
        <f>IFERROR(__xludf.DUMMYFUNCTION("""COMPUTED_VALUE"""),45156.0)</f>
        <v>45156</v>
      </c>
      <c r="Q932" s="45">
        <f>IFERROR(__xludf.DUMMYFUNCTION("""COMPUTED_VALUE"""),45110.0)</f>
        <v>45110</v>
      </c>
      <c r="R932" s="45">
        <f>IFERROR(__xludf.DUMMYFUNCTION("""COMPUTED_VALUE"""),45156.0)</f>
        <v>45156</v>
      </c>
      <c r="S932" s="43"/>
      <c r="T932" s="43"/>
      <c r="U932" s="43" t="str">
        <f>IFERROR(__xludf.DUMMYFUNCTION("""COMPUTED_VALUE"""),"Global Classroom")</f>
        <v>Global Classroom</v>
      </c>
      <c r="V932" s="43" t="str">
        <f>IFERROR(__xludf.DUMMYFUNCTION("""COMPUTED_VALUE"""),"Rivne")</f>
        <v>Rivne</v>
      </c>
      <c r="W932" s="43" t="str">
        <f>IFERROR(__xludf.DUMMYFUNCTION("""COMPUTED_VALUE"""),"2023-05-15T13:09:08Z")</f>
        <v>2023-05-15T13:09:08Z</v>
      </c>
      <c r="X932" s="43"/>
      <c r="Y932" s="43"/>
      <c r="Z932" s="43"/>
    </row>
    <row r="933" hidden="1">
      <c r="A933" s="43" t="str">
        <f>IFERROR(__xludf.DUMMYFUNCTION("""COMPUTED_VALUE"""),"5216256_1295149")</f>
        <v>5216256_1295149</v>
      </c>
      <c r="B933" s="43" t="str">
        <f>IFERROR(__xludf.DUMMYFUNCTION("""COMPUTED_VALUE"""),"Ionescu Alexandru")</f>
        <v>Ionescu Alexandru</v>
      </c>
      <c r="C933" s="43" t="str">
        <f>IFERROR(__xludf.DUMMYFUNCTION("""COMPUTED_VALUE"""),"approved")</f>
        <v>approved</v>
      </c>
      <c r="D933" s="43" t="str">
        <f>IFERROR(__xludf.DUMMYFUNCTION("""COMPUTED_VALUE"""),"No")</f>
        <v>No</v>
      </c>
      <c r="E933" s="43" t="str">
        <f>IFERROR(__xludf.DUMMYFUNCTION("""COMPUTED_VALUE"""),"p_4c9f668423c54840c4a924a28fc7d227160f3917@inbound.aiesec.org")</f>
        <v>p_4c9f668423c54840c4a924a28fc7d227160f3917@inbound.aiesec.org</v>
      </c>
      <c r="F933" s="43">
        <f>IFERROR(__xludf.DUMMYFUNCTION("""COMPUTED_VALUE"""),7.52557689E8)</f>
        <v>752557689</v>
      </c>
      <c r="G933" s="43" t="str">
        <f>IFERROR(__xludf.DUMMYFUNCTION("""COMPUTED_VALUE"""),"Romania")</f>
        <v>Romania</v>
      </c>
      <c r="H933" s="43" t="str">
        <f>IFERROR(__xludf.DUMMYFUNCTION("""COMPUTED_VALUE"""),"GALATI")</f>
        <v>GALATI</v>
      </c>
      <c r="I933" s="43" t="str">
        <f>IFERROR(__xludf.DUMMYFUNCTION("""COMPUTED_VALUE"""),"Turkey")</f>
        <v>Turkey</v>
      </c>
      <c r="J933" s="43" t="str">
        <f>IFERROR(__xludf.DUMMYFUNCTION("""COMPUTED_VALUE"""),"DENIZLI")</f>
        <v>DENIZLI</v>
      </c>
      <c r="K933" s="44" t="str">
        <f>IFERROR(__xludf.DUMMYFUNCTION("""COMPUTED_VALUE"""),"https://expa.aiesec.org/opportunities/1295149")</f>
        <v>https://expa.aiesec.org/opportunities/1295149</v>
      </c>
      <c r="L933" s="43" t="str">
        <f>IFERROR(__xludf.DUMMYFUNCTION("""COMPUTED_VALUE"""),"GV")</f>
        <v>GV</v>
      </c>
      <c r="M933" s="43" t="str">
        <f>IFERROR(__xludf.DUMMYFUNCTION("""COMPUTED_VALUE"""),"short")</f>
        <v>short</v>
      </c>
      <c r="N933" s="45">
        <f>IFERROR(__xludf.DUMMYFUNCTION("""COMPUTED_VALUE"""),45072.0)</f>
        <v>45072</v>
      </c>
      <c r="O933" s="45">
        <f>IFERROR(__xludf.DUMMYFUNCTION("""COMPUTED_VALUE"""),45152.0)</f>
        <v>45152</v>
      </c>
      <c r="P933" s="45">
        <f>IFERROR(__xludf.DUMMYFUNCTION("""COMPUTED_VALUE"""),45194.0)</f>
        <v>45194</v>
      </c>
      <c r="Q933" s="45"/>
      <c r="R933" s="45"/>
      <c r="S933" s="43"/>
      <c r="T933" s="43"/>
      <c r="U933" s="43" t="str">
        <f>IFERROR(__xludf.DUMMYFUNCTION("""COMPUTED_VALUE"""),"Youth 4 Impact")</f>
        <v>Youth 4 Impact</v>
      </c>
      <c r="V933" s="43" t="str">
        <f>IFERROR(__xludf.DUMMYFUNCTION("""COMPUTED_VALUE"""),"Galati")</f>
        <v>Galati</v>
      </c>
      <c r="W933" s="43" t="str">
        <f>IFERROR(__xludf.DUMMYFUNCTION("""COMPUTED_VALUE"""),"2023-03-14T17:18:53Z")</f>
        <v>2023-03-14T17:18:53Z</v>
      </c>
      <c r="X933" s="43"/>
      <c r="Y933" s="43"/>
      <c r="Z933" s="43"/>
    </row>
    <row r="934" hidden="1">
      <c r="A934" s="43" t="str">
        <f>IFERROR(__xludf.DUMMYFUNCTION("""COMPUTED_VALUE"""),"5242465_1293726")</f>
        <v>5242465_1293726</v>
      </c>
      <c r="B934" s="43" t="str">
        <f>IFERROR(__xludf.DUMMYFUNCTION("""COMPUTED_VALUE"""),"Jiayi Liu")</f>
        <v>Jiayi Liu</v>
      </c>
      <c r="C934" s="43" t="str">
        <f>IFERROR(__xludf.DUMMYFUNCTION("""COMPUTED_VALUE"""),"completed")</f>
        <v>completed</v>
      </c>
      <c r="D934" s="43" t="str">
        <f>IFERROR(__xludf.DUMMYFUNCTION("""COMPUTED_VALUE"""),"No")</f>
        <v>No</v>
      </c>
      <c r="E934" s="43" t="str">
        <f>IFERROR(__xludf.DUMMYFUNCTION("""COMPUTED_VALUE"""),"p_49bf4c05f006652177f064f719793cb35af84ff0@inbound.aiesec.org")</f>
        <v>p_49bf4c05f006652177f064f719793cb35af84ff0@inbound.aiesec.org</v>
      </c>
      <c r="F934" s="43"/>
      <c r="G934" s="43" t="str">
        <f>IFERROR(__xludf.DUMMYFUNCTION("""COMPUTED_VALUE"""),"Mainland of China")</f>
        <v>Mainland of China</v>
      </c>
      <c r="H934" s="43" t="str">
        <f>IFERROR(__xludf.DUMMYFUNCTION("""COMPUTED_VALUE"""),"-Closed, SZ")</f>
        <v>-Closed, SZ</v>
      </c>
      <c r="I934" s="43" t="str">
        <f>IFERROR(__xludf.DUMMYFUNCTION("""COMPUTED_VALUE"""),"Turkey")</f>
        <v>Turkey</v>
      </c>
      <c r="J934" s="43" t="str">
        <f>IFERROR(__xludf.DUMMYFUNCTION("""COMPUTED_VALUE"""),"DENIZLI")</f>
        <v>DENIZLI</v>
      </c>
      <c r="K934" s="44" t="str">
        <f>IFERROR(__xludf.DUMMYFUNCTION("""COMPUTED_VALUE"""),"https://expa.aiesec.org/opportunities/1293726")</f>
        <v>https://expa.aiesec.org/opportunities/1293726</v>
      </c>
      <c r="L934" s="43" t="str">
        <f>IFERROR(__xludf.DUMMYFUNCTION("""COMPUTED_VALUE"""),"GV")</f>
        <v>GV</v>
      </c>
      <c r="M934" s="43" t="str">
        <f>IFERROR(__xludf.DUMMYFUNCTION("""COMPUTED_VALUE"""),"short")</f>
        <v>short</v>
      </c>
      <c r="N934" s="45">
        <f>IFERROR(__xludf.DUMMYFUNCTION("""COMPUTED_VALUE"""),45072.0)</f>
        <v>45072</v>
      </c>
      <c r="O934" s="45">
        <f>IFERROR(__xludf.DUMMYFUNCTION("""COMPUTED_VALUE"""),45110.0)</f>
        <v>45110</v>
      </c>
      <c r="P934" s="45">
        <f>IFERROR(__xludf.DUMMYFUNCTION("""COMPUTED_VALUE"""),45152.0)</f>
        <v>45152</v>
      </c>
      <c r="Q934" s="45">
        <f>IFERROR(__xludf.DUMMYFUNCTION("""COMPUTED_VALUE"""),45110.0)</f>
        <v>45110</v>
      </c>
      <c r="R934" s="45">
        <f>IFERROR(__xludf.DUMMYFUNCTION("""COMPUTED_VALUE"""),45152.0)</f>
        <v>45152</v>
      </c>
      <c r="S934" s="43"/>
      <c r="T934" s="43"/>
      <c r="U934" s="43" t="str">
        <f>IFERROR(__xludf.DUMMYFUNCTION("""COMPUTED_VALUE"""),"Global Classroom")</f>
        <v>Global Classroom</v>
      </c>
      <c r="V934" s="43" t="str">
        <f>IFERROR(__xludf.DUMMYFUNCTION("""COMPUTED_VALUE"""),"-")</f>
        <v>-</v>
      </c>
      <c r="W934" s="43" t="str">
        <f>IFERROR(__xludf.DUMMYFUNCTION("""COMPUTED_VALUE"""),"2023-04-15T08:43:07Z")</f>
        <v>2023-04-15T08:43:07Z</v>
      </c>
      <c r="X934" s="43"/>
      <c r="Y934" s="43"/>
      <c r="Z934" s="43"/>
    </row>
    <row r="935" hidden="1">
      <c r="A935" s="43" t="str">
        <f>IFERROR(__xludf.DUMMYFUNCTION("""COMPUTED_VALUE"""),"5255692_1292556")</f>
        <v>5255692_1292556</v>
      </c>
      <c r="B935" s="43" t="str">
        <f>IFERROR(__xludf.DUMMYFUNCTION("""COMPUTED_VALUE"""),"Tom Wenke")</f>
        <v>Tom Wenke</v>
      </c>
      <c r="C935" s="43" t="str">
        <f>IFERROR(__xludf.DUMMYFUNCTION("""COMPUTED_VALUE"""),"finished")</f>
        <v>finished</v>
      </c>
      <c r="D935" s="43" t="str">
        <f>IFERROR(__xludf.DUMMYFUNCTION("""COMPUTED_VALUE"""),"No")</f>
        <v>No</v>
      </c>
      <c r="E935" s="43" t="str">
        <f>IFERROR(__xludf.DUMMYFUNCTION("""COMPUTED_VALUE"""),"p_ecff73b6486b5e3d8647f1913fe9de74292b341e@inbound.aiesec.org")</f>
        <v>p_ecff73b6486b5e3d8647f1913fe9de74292b341e@inbound.aiesec.org</v>
      </c>
      <c r="F935" s="43">
        <f>IFERROR(__xludf.DUMMYFUNCTION("""COMPUTED_VALUE"""),1.765779784E10)</f>
        <v>17657797840</v>
      </c>
      <c r="G935" s="43" t="str">
        <f>IFERROR(__xludf.DUMMYFUNCTION("""COMPUTED_VALUE"""),"Germany")</f>
        <v>Germany</v>
      </c>
      <c r="H935" s="43" t="str">
        <f>IFERROR(__xludf.DUMMYFUNCTION("""COMPUTED_VALUE"""),"HAMBURG")</f>
        <v>HAMBURG</v>
      </c>
      <c r="I935" s="43" t="str">
        <f>IFERROR(__xludf.DUMMYFUNCTION("""COMPUTED_VALUE"""),"Turkey")</f>
        <v>Turkey</v>
      </c>
      <c r="J935" s="43" t="str">
        <f>IFERROR(__xludf.DUMMYFUNCTION("""COMPUTED_VALUE"""),"DENIZLI")</f>
        <v>DENIZLI</v>
      </c>
      <c r="K935" s="44" t="str">
        <f>IFERROR(__xludf.DUMMYFUNCTION("""COMPUTED_VALUE"""),"https://expa.aiesec.org/opportunities/1292556")</f>
        <v>https://expa.aiesec.org/opportunities/1292556</v>
      </c>
      <c r="L935" s="43" t="str">
        <f>IFERROR(__xludf.DUMMYFUNCTION("""COMPUTED_VALUE"""),"GV")</f>
        <v>GV</v>
      </c>
      <c r="M935" s="43" t="str">
        <f>IFERROR(__xludf.DUMMYFUNCTION("""COMPUTED_VALUE"""),"short")</f>
        <v>short</v>
      </c>
      <c r="N935" s="45">
        <f>IFERROR(__xludf.DUMMYFUNCTION("""COMPUTED_VALUE"""),45072.0)</f>
        <v>45072</v>
      </c>
      <c r="O935" s="45">
        <f>IFERROR(__xludf.DUMMYFUNCTION("""COMPUTED_VALUE"""),45110.0)</f>
        <v>45110</v>
      </c>
      <c r="P935" s="45">
        <f>IFERROR(__xludf.DUMMYFUNCTION("""COMPUTED_VALUE"""),45152.0)</f>
        <v>45152</v>
      </c>
      <c r="Q935" s="45">
        <f>IFERROR(__xludf.DUMMYFUNCTION("""COMPUTED_VALUE"""),45110.0)</f>
        <v>45110</v>
      </c>
      <c r="R935" s="45">
        <f>IFERROR(__xludf.DUMMYFUNCTION("""COMPUTED_VALUE"""),45152.0)</f>
        <v>45152</v>
      </c>
      <c r="S935" s="43"/>
      <c r="T935" s="43"/>
      <c r="U935" s="43" t="str">
        <f>IFERROR(__xludf.DUMMYFUNCTION("""COMPUTED_VALUE"""),"Global Classroom")</f>
        <v>Global Classroom</v>
      </c>
      <c r="V935" s="43" t="str">
        <f>IFERROR(__xludf.DUMMYFUNCTION("""COMPUTED_VALUE"""),"Hamburg")</f>
        <v>Hamburg</v>
      </c>
      <c r="W935" s="43" t="str">
        <f>IFERROR(__xludf.DUMMYFUNCTION("""COMPUTED_VALUE"""),"2023-05-04T11:52:04Z")</f>
        <v>2023-05-04T11:52:04Z</v>
      </c>
      <c r="X935" s="43"/>
      <c r="Y935" s="43"/>
      <c r="Z935" s="43"/>
    </row>
    <row r="936" hidden="1">
      <c r="A936" s="43" t="str">
        <f>IFERROR(__xludf.DUMMYFUNCTION("""COMPUTED_VALUE"""),"5262104_1293706")</f>
        <v>5262104_1293706</v>
      </c>
      <c r="B936" s="43" t="str">
        <f>IFERROR(__xludf.DUMMYFUNCTION("""COMPUTED_VALUE"""),"Anastasiia Muzyka")</f>
        <v>Anastasiia Muzyka</v>
      </c>
      <c r="C936" s="43" t="str">
        <f>IFERROR(__xludf.DUMMYFUNCTION("""COMPUTED_VALUE"""),"finished")</f>
        <v>finished</v>
      </c>
      <c r="D936" s="43" t="str">
        <f>IFERROR(__xludf.DUMMYFUNCTION("""COMPUTED_VALUE"""),"No")</f>
        <v>No</v>
      </c>
      <c r="E936" s="43" t="str">
        <f>IFERROR(__xludf.DUMMYFUNCTION("""COMPUTED_VALUE"""),"p_5a3e59840d2964422e6982975665faef1db8fb9d@inbound.aiesec.org")</f>
        <v>p_5a3e59840d2964422e6982975665faef1db8fb9d@inbound.aiesec.org</v>
      </c>
      <c r="F936" s="43"/>
      <c r="G936" s="43" t="str">
        <f>IFERROR(__xludf.DUMMYFUNCTION("""COMPUTED_VALUE"""),"Ukraine")</f>
        <v>Ukraine</v>
      </c>
      <c r="H936" s="43" t="str">
        <f>IFERROR(__xludf.DUMMYFUNCTION("""COMPUTED_VALUE"""),"TERNOPIL")</f>
        <v>TERNOPIL</v>
      </c>
      <c r="I936" s="43" t="str">
        <f>IFERROR(__xludf.DUMMYFUNCTION("""COMPUTED_VALUE"""),"Turkey")</f>
        <v>Turkey</v>
      </c>
      <c r="J936" s="43" t="str">
        <f>IFERROR(__xludf.DUMMYFUNCTION("""COMPUTED_VALUE"""),"İZMİR")</f>
        <v>İZMİR</v>
      </c>
      <c r="K936" s="44" t="str">
        <f>IFERROR(__xludf.DUMMYFUNCTION("""COMPUTED_VALUE"""),"https://expa.aiesec.org/opportunities/1293706")</f>
        <v>https://expa.aiesec.org/opportunities/1293706</v>
      </c>
      <c r="L936" s="43" t="str">
        <f>IFERROR(__xludf.DUMMYFUNCTION("""COMPUTED_VALUE"""),"GV")</f>
        <v>GV</v>
      </c>
      <c r="M936" s="43" t="str">
        <f>IFERROR(__xludf.DUMMYFUNCTION("""COMPUTED_VALUE"""),"short")</f>
        <v>short</v>
      </c>
      <c r="N936" s="45">
        <f>IFERROR(__xludf.DUMMYFUNCTION("""COMPUTED_VALUE"""),45072.0)</f>
        <v>45072</v>
      </c>
      <c r="O936" s="45">
        <f>IFERROR(__xludf.DUMMYFUNCTION("""COMPUTED_VALUE"""),45187.0)</f>
        <v>45187</v>
      </c>
      <c r="P936" s="45">
        <f>IFERROR(__xludf.DUMMYFUNCTION("""COMPUTED_VALUE"""),45229.0)</f>
        <v>45229</v>
      </c>
      <c r="Q936" s="45">
        <f>IFERROR(__xludf.DUMMYFUNCTION("""COMPUTED_VALUE"""),45191.0)</f>
        <v>45191</v>
      </c>
      <c r="R936" s="45">
        <f>IFERROR(__xludf.DUMMYFUNCTION("""COMPUTED_VALUE"""),45233.0)</f>
        <v>45233</v>
      </c>
      <c r="S936" s="43"/>
      <c r="T936" s="43"/>
      <c r="U936" s="43" t="str">
        <f>IFERROR(__xludf.DUMMYFUNCTION("""COMPUTED_VALUE"""),"Fingerprint")</f>
        <v>Fingerprint</v>
      </c>
      <c r="V936" s="43" t="str">
        <f>IFERROR(__xludf.DUMMYFUNCTION("""COMPUTED_VALUE"""),"-")</f>
        <v>-</v>
      </c>
      <c r="W936" s="43" t="str">
        <f>IFERROR(__xludf.DUMMYFUNCTION("""COMPUTED_VALUE"""),"2023-05-16T20:59:43Z")</f>
        <v>2023-05-16T20:59:43Z</v>
      </c>
      <c r="X936" s="43"/>
      <c r="Y936" s="43"/>
      <c r="Z936" s="43"/>
    </row>
    <row r="937" hidden="1">
      <c r="A937" s="43" t="str">
        <f>IFERROR(__xludf.DUMMYFUNCTION("""COMPUTED_VALUE"""),"5242163_1294894")</f>
        <v>5242163_1294894</v>
      </c>
      <c r="B937" s="43" t="str">
        <f>IFERROR(__xludf.DUMMYFUNCTION("""COMPUTED_VALUE"""),"Muhammad Saad Khan")</f>
        <v>Muhammad Saad Khan</v>
      </c>
      <c r="C937" s="43" t="str">
        <f>IFERROR(__xludf.DUMMYFUNCTION("""COMPUTED_VALUE"""),"approved")</f>
        <v>approved</v>
      </c>
      <c r="D937" s="43" t="str">
        <f>IFERROR(__xludf.DUMMYFUNCTION("""COMPUTED_VALUE"""),"No")</f>
        <v>No</v>
      </c>
      <c r="E937" s="43" t="str">
        <f>IFERROR(__xludf.DUMMYFUNCTION("""COMPUTED_VALUE"""),"p_eeef28bae0e9f322f119f97b087a689f28434e86@inbound.aiesec.org")</f>
        <v>p_eeef28bae0e9f322f119f97b087a689f28434e86@inbound.aiesec.org</v>
      </c>
      <c r="F937" s="43">
        <f>IFERROR(__xludf.DUMMYFUNCTION("""COMPUTED_VALUE"""),3.154808433E9)</f>
        <v>3154808433</v>
      </c>
      <c r="G937" s="43" t="str">
        <f>IFERROR(__xludf.DUMMYFUNCTION("""COMPUTED_VALUE"""),"Pakistan")</f>
        <v>Pakistan</v>
      </c>
      <c r="H937" s="43" t="str">
        <f>IFERROR(__xludf.DUMMYFUNCTION("""COMPUTED_VALUE"""),"Lahore")</f>
        <v>Lahore</v>
      </c>
      <c r="I937" s="43" t="str">
        <f>IFERROR(__xludf.DUMMYFUNCTION("""COMPUTED_VALUE"""),"Turkey")</f>
        <v>Turkey</v>
      </c>
      <c r="J937" s="43" t="str">
        <f>IFERROR(__xludf.DUMMYFUNCTION("""COMPUTED_VALUE"""),"ADANA")</f>
        <v>ADANA</v>
      </c>
      <c r="K937" s="44" t="str">
        <f>IFERROR(__xludf.DUMMYFUNCTION("""COMPUTED_VALUE"""),"https://expa.aiesec.org/opportunities/1294894")</f>
        <v>https://expa.aiesec.org/opportunities/1294894</v>
      </c>
      <c r="L937" s="43" t="str">
        <f>IFERROR(__xludf.DUMMYFUNCTION("""COMPUTED_VALUE"""),"GV")</f>
        <v>GV</v>
      </c>
      <c r="M937" s="43" t="str">
        <f>IFERROR(__xludf.DUMMYFUNCTION("""COMPUTED_VALUE"""),"short")</f>
        <v>short</v>
      </c>
      <c r="N937" s="45">
        <f>IFERROR(__xludf.DUMMYFUNCTION("""COMPUTED_VALUE"""),45073.0)</f>
        <v>45073</v>
      </c>
      <c r="O937" s="45">
        <f>IFERROR(__xludf.DUMMYFUNCTION("""COMPUTED_VALUE"""),45110.0)</f>
        <v>45110</v>
      </c>
      <c r="P937" s="45">
        <f>IFERROR(__xludf.DUMMYFUNCTION("""COMPUTED_VALUE"""),45156.0)</f>
        <v>45156</v>
      </c>
      <c r="Q937" s="45"/>
      <c r="R937" s="45"/>
      <c r="S937" s="43"/>
      <c r="T937" s="43"/>
      <c r="U937" s="43" t="str">
        <f>IFERROR(__xludf.DUMMYFUNCTION("""COMPUTED_VALUE"""),"Global Classroom")</f>
        <v>Global Classroom</v>
      </c>
      <c r="V937" s="43" t="str">
        <f>IFERROR(__xludf.DUMMYFUNCTION("""COMPUTED_VALUE"""),"Lahore - Forman's Christian College (FCC)")</f>
        <v>Lahore - Forman's Christian College (FCC)</v>
      </c>
      <c r="W937" s="43" t="str">
        <f>IFERROR(__xludf.DUMMYFUNCTION("""COMPUTED_VALUE"""),"2023-04-14T17:22:19Z")</f>
        <v>2023-04-14T17:22:19Z</v>
      </c>
      <c r="X937" s="43"/>
      <c r="Y937" s="43"/>
      <c r="Z937" s="43"/>
    </row>
    <row r="938">
      <c r="A938" s="43" t="str">
        <f>IFERROR(__xludf.DUMMYFUNCTION("""COMPUTED_VALUE"""),"3659453_1295002")</f>
        <v>3659453_1295002</v>
      </c>
      <c r="B938" s="43" t="str">
        <f>IFERROR(__xludf.DUMMYFUNCTION("""COMPUTED_VALUE"""),"Ghulam Fareed")</f>
        <v>Ghulam Fareed</v>
      </c>
      <c r="C938" s="43" t="str">
        <f>IFERROR(__xludf.DUMMYFUNCTION("""COMPUTED_VALUE"""),"approved")</f>
        <v>approved</v>
      </c>
      <c r="D938" s="43" t="str">
        <f>IFERROR(__xludf.DUMMYFUNCTION("""COMPUTED_VALUE"""),"No")</f>
        <v>No</v>
      </c>
      <c r="E938" s="43" t="str">
        <f>IFERROR(__xludf.DUMMYFUNCTION("""COMPUTED_VALUE"""),"p_171f30c78260c5e5de764affe1a47363518e41e8@inbound.aiesec.org")</f>
        <v>p_171f30c78260c5e5de764affe1a47363518e41e8@inbound.aiesec.org</v>
      </c>
      <c r="F938" s="43">
        <f>IFERROR(__xludf.DUMMYFUNCTION("""COMPUTED_VALUE"""),3.204107E9)</f>
        <v>3204107000</v>
      </c>
      <c r="G938" s="43" t="str">
        <f>IFERROR(__xludf.DUMMYFUNCTION("""COMPUTED_VALUE"""),"Pakistan")</f>
        <v>Pakistan</v>
      </c>
      <c r="H938" s="43" t="str">
        <f>IFERROR(__xludf.DUMMYFUNCTION("""COMPUTED_VALUE"""),"Lahore")</f>
        <v>Lahore</v>
      </c>
      <c r="I938" s="43" t="str">
        <f>IFERROR(__xludf.DUMMYFUNCTION("""COMPUTED_VALUE"""),"Turkey")</f>
        <v>Turkey</v>
      </c>
      <c r="J938" s="43" t="str">
        <f>IFERROR(__xludf.DUMMYFUNCTION("""COMPUTED_VALUE"""),"ADANA")</f>
        <v>ADANA</v>
      </c>
      <c r="K938" s="44" t="str">
        <f>IFERROR(__xludf.DUMMYFUNCTION("""COMPUTED_VALUE"""),"https://expa.aiesec.org/opportunities/1295002")</f>
        <v>https://expa.aiesec.org/opportunities/1295002</v>
      </c>
      <c r="L938" s="43" t="str">
        <f>IFERROR(__xludf.DUMMYFUNCTION("""COMPUTED_VALUE"""),"GV")</f>
        <v>GV</v>
      </c>
      <c r="M938" s="43" t="str">
        <f>IFERROR(__xludf.DUMMYFUNCTION("""COMPUTED_VALUE"""),"short")</f>
        <v>short</v>
      </c>
      <c r="N938" s="45">
        <f>IFERROR(__xludf.DUMMYFUNCTION("""COMPUTED_VALUE"""),45073.0)</f>
        <v>45073</v>
      </c>
      <c r="O938" s="45">
        <f>IFERROR(__xludf.DUMMYFUNCTION("""COMPUTED_VALUE"""),45096.0)</f>
        <v>45096</v>
      </c>
      <c r="P938" s="45">
        <f>IFERROR(__xludf.DUMMYFUNCTION("""COMPUTED_VALUE"""),45142.0)</f>
        <v>45142</v>
      </c>
      <c r="Q938" s="45"/>
      <c r="R938" s="45"/>
      <c r="S938" s="43"/>
      <c r="T938" s="43"/>
      <c r="U938" s="43" t="str">
        <f>IFERROR(__xludf.DUMMYFUNCTION("""COMPUTED_VALUE"""),"Global Classroom")</f>
        <v>Global Classroom</v>
      </c>
      <c r="V938" s="43" t="str">
        <f>IFERROR(__xludf.DUMMYFUNCTION("""COMPUTED_VALUE"""),"Lahore - Other")</f>
        <v>Lahore - Other</v>
      </c>
      <c r="W938" s="43" t="str">
        <f>IFERROR(__xludf.DUMMYFUNCTION("""COMPUTED_VALUE"""),"2019-07-16T07:47:02Z")</f>
        <v>2019-07-16T07:47:02Z</v>
      </c>
      <c r="X938" s="43"/>
      <c r="Y938" s="43"/>
      <c r="Z938" s="43"/>
    </row>
    <row r="939" hidden="1">
      <c r="A939" s="43" t="str">
        <f>IFERROR(__xludf.DUMMYFUNCTION("""COMPUTED_VALUE"""),"5260923_1289505")</f>
        <v>5260923_1289505</v>
      </c>
      <c r="B939" s="43" t="str">
        <f>IFERROR(__xludf.DUMMYFUNCTION("""COMPUTED_VALUE"""),"ROTARI OLIVIA")</f>
        <v>ROTARI OLIVIA</v>
      </c>
      <c r="C939" s="43" t="str">
        <f>IFERROR(__xludf.DUMMYFUNCTION("""COMPUTED_VALUE"""),"completed")</f>
        <v>completed</v>
      </c>
      <c r="D939" s="43" t="str">
        <f>IFERROR(__xludf.DUMMYFUNCTION("""COMPUTED_VALUE"""),"No")</f>
        <v>No</v>
      </c>
      <c r="E939" s="43" t="str">
        <f>IFERROR(__xludf.DUMMYFUNCTION("""COMPUTED_VALUE"""),"p_a7b08a4ed15e64119ea198e5567a055120185b6c@inbound.aiesec.org")</f>
        <v>p_a7b08a4ed15e64119ea198e5567a055120185b6c@inbound.aiesec.org</v>
      </c>
      <c r="F939" s="43"/>
      <c r="G939" s="43" t="str">
        <f>IFERROR(__xludf.DUMMYFUNCTION("""COMPUTED_VALUE"""),"Romania")</f>
        <v>Romania</v>
      </c>
      <c r="H939" s="43" t="str">
        <f>IFERROR(__xludf.DUMMYFUNCTION("""COMPUTED_VALUE"""),"BUCURESTI")</f>
        <v>BUCURESTI</v>
      </c>
      <c r="I939" s="43" t="str">
        <f>IFERROR(__xludf.DUMMYFUNCTION("""COMPUTED_VALUE"""),"Turkey")</f>
        <v>Turkey</v>
      </c>
      <c r="J939" s="43" t="str">
        <f>IFERROR(__xludf.DUMMYFUNCTION("""COMPUTED_VALUE"""),"KOCAELI")</f>
        <v>KOCAELI</v>
      </c>
      <c r="K939" s="44" t="str">
        <f>IFERROR(__xludf.DUMMYFUNCTION("""COMPUTED_VALUE"""),"https://expa.aiesec.org/opportunities/1289505")</f>
        <v>https://expa.aiesec.org/opportunities/1289505</v>
      </c>
      <c r="L939" s="43" t="str">
        <f>IFERROR(__xludf.DUMMYFUNCTION("""COMPUTED_VALUE"""),"GV")</f>
        <v>GV</v>
      </c>
      <c r="M939" s="43" t="str">
        <f>IFERROR(__xludf.DUMMYFUNCTION("""COMPUTED_VALUE"""),"short")</f>
        <v>short</v>
      </c>
      <c r="N939" s="45">
        <f>IFERROR(__xludf.DUMMYFUNCTION("""COMPUTED_VALUE"""),45073.0)</f>
        <v>45073</v>
      </c>
      <c r="O939" s="45">
        <f>IFERROR(__xludf.DUMMYFUNCTION("""COMPUTED_VALUE"""),45127.0)</f>
        <v>45127</v>
      </c>
      <c r="P939" s="45">
        <f>IFERROR(__xludf.DUMMYFUNCTION("""COMPUTED_VALUE"""),45169.0)</f>
        <v>45169</v>
      </c>
      <c r="Q939" s="45">
        <f>IFERROR(__xludf.DUMMYFUNCTION("""COMPUTED_VALUE"""),45127.0)</f>
        <v>45127</v>
      </c>
      <c r="R939" s="45">
        <f>IFERROR(__xludf.DUMMYFUNCTION("""COMPUTED_VALUE"""),45169.0)</f>
        <v>45169</v>
      </c>
      <c r="S939" s="43"/>
      <c r="T939" s="43"/>
      <c r="U939" s="43" t="str">
        <f>IFERROR(__xludf.DUMMYFUNCTION("""COMPUTED_VALUE"""),"Youth 4 Impact")</f>
        <v>Youth 4 Impact</v>
      </c>
      <c r="V939" s="43" t="str">
        <f>IFERROR(__xludf.DUMMYFUNCTION("""COMPUTED_VALUE"""),"-")</f>
        <v>-</v>
      </c>
      <c r="W939" s="43" t="str">
        <f>IFERROR(__xludf.DUMMYFUNCTION("""COMPUTED_VALUE"""),"2023-05-14T12:54:42Z")</f>
        <v>2023-05-14T12:54:42Z</v>
      </c>
      <c r="X939" s="43"/>
      <c r="Y939" s="43"/>
      <c r="Z939" s="43"/>
    </row>
    <row r="940" hidden="1">
      <c r="A940" s="43" t="str">
        <f>IFERROR(__xludf.DUMMYFUNCTION("""COMPUTED_VALUE"""),"5264605_1289505")</f>
        <v>5264605_1289505</v>
      </c>
      <c r="B940" s="43" t="str">
        <f>IFERROR(__xludf.DUMMYFUNCTION("""COMPUTED_VALUE"""),"Rotari Catalina")</f>
        <v>Rotari Catalina</v>
      </c>
      <c r="C940" s="43" t="str">
        <f>IFERROR(__xludf.DUMMYFUNCTION("""COMPUTED_VALUE"""),"completed")</f>
        <v>completed</v>
      </c>
      <c r="D940" s="43" t="str">
        <f>IFERROR(__xludf.DUMMYFUNCTION("""COMPUTED_VALUE"""),"No")</f>
        <v>No</v>
      </c>
      <c r="E940" s="43" t="str">
        <f>IFERROR(__xludf.DUMMYFUNCTION("""COMPUTED_VALUE"""),"p_a2a335b2f7d93e71bec3439cb1d6dda0afa89c75@inbound.aiesec.org")</f>
        <v>p_a2a335b2f7d93e71bec3439cb1d6dda0afa89c75@inbound.aiesec.org</v>
      </c>
      <c r="F940" s="43"/>
      <c r="G940" s="43" t="str">
        <f>IFERROR(__xludf.DUMMYFUNCTION("""COMPUTED_VALUE"""),"Romania")</f>
        <v>Romania</v>
      </c>
      <c r="H940" s="43" t="str">
        <f>IFERROR(__xludf.DUMMYFUNCTION("""COMPUTED_VALUE"""),"BUCURESTI")</f>
        <v>BUCURESTI</v>
      </c>
      <c r="I940" s="43" t="str">
        <f>IFERROR(__xludf.DUMMYFUNCTION("""COMPUTED_VALUE"""),"Turkey")</f>
        <v>Turkey</v>
      </c>
      <c r="J940" s="43" t="str">
        <f>IFERROR(__xludf.DUMMYFUNCTION("""COMPUTED_VALUE"""),"KOCAELI")</f>
        <v>KOCAELI</v>
      </c>
      <c r="K940" s="44" t="str">
        <f>IFERROR(__xludf.DUMMYFUNCTION("""COMPUTED_VALUE"""),"https://expa.aiesec.org/opportunities/1289505")</f>
        <v>https://expa.aiesec.org/opportunities/1289505</v>
      </c>
      <c r="L940" s="43" t="str">
        <f>IFERROR(__xludf.DUMMYFUNCTION("""COMPUTED_VALUE"""),"GV")</f>
        <v>GV</v>
      </c>
      <c r="M940" s="43" t="str">
        <f>IFERROR(__xludf.DUMMYFUNCTION("""COMPUTED_VALUE"""),"short")</f>
        <v>short</v>
      </c>
      <c r="N940" s="45">
        <f>IFERROR(__xludf.DUMMYFUNCTION("""COMPUTED_VALUE"""),45073.0)</f>
        <v>45073</v>
      </c>
      <c r="O940" s="45">
        <f>IFERROR(__xludf.DUMMYFUNCTION("""COMPUTED_VALUE"""),45127.0)</f>
        <v>45127</v>
      </c>
      <c r="P940" s="45">
        <f>IFERROR(__xludf.DUMMYFUNCTION("""COMPUTED_VALUE"""),45169.0)</f>
        <v>45169</v>
      </c>
      <c r="Q940" s="45">
        <f>IFERROR(__xludf.DUMMYFUNCTION("""COMPUTED_VALUE"""),45127.0)</f>
        <v>45127</v>
      </c>
      <c r="R940" s="45">
        <f>IFERROR(__xludf.DUMMYFUNCTION("""COMPUTED_VALUE"""),45169.0)</f>
        <v>45169</v>
      </c>
      <c r="S940" s="43"/>
      <c r="T940" s="43"/>
      <c r="U940" s="43" t="str">
        <f>IFERROR(__xludf.DUMMYFUNCTION("""COMPUTED_VALUE"""),"Youth 4 Impact")</f>
        <v>Youth 4 Impact</v>
      </c>
      <c r="V940" s="43" t="str">
        <f>IFERROR(__xludf.DUMMYFUNCTION("""COMPUTED_VALUE"""),"-")</f>
        <v>-</v>
      </c>
      <c r="W940" s="43" t="str">
        <f>IFERROR(__xludf.DUMMYFUNCTION("""COMPUTED_VALUE"""),"2023-05-21T20:44:59Z")</f>
        <v>2023-05-21T20:44:59Z</v>
      </c>
      <c r="X940" s="43"/>
      <c r="Y940" s="43"/>
      <c r="Z940" s="43"/>
    </row>
    <row r="941" hidden="1">
      <c r="A941" s="43" t="str">
        <f>IFERROR(__xludf.DUMMYFUNCTION("""COMPUTED_VALUE"""),"5260044_1283483")</f>
        <v>5260044_1283483</v>
      </c>
      <c r="B941" s="43" t="str">
        <f>IFERROR(__xludf.DUMMYFUNCTION("""COMPUTED_VALUE"""),"Rouand Alashal")</f>
        <v>Rouand Alashal</v>
      </c>
      <c r="C941" s="43" t="str">
        <f>IFERROR(__xludf.DUMMYFUNCTION("""COMPUTED_VALUE"""),"completed")</f>
        <v>completed</v>
      </c>
      <c r="D941" s="43" t="str">
        <f>IFERROR(__xludf.DUMMYFUNCTION("""COMPUTED_VALUE"""),"No")</f>
        <v>No</v>
      </c>
      <c r="E941" s="43" t="str">
        <f>IFERROR(__xludf.DUMMYFUNCTION("""COMPUTED_VALUE"""),"p_fc242af95722d10c1c563457b5ac431e3f548401@inbound.aiesec.org")</f>
        <v>p_fc242af95722d10c1c563457b5ac431e3f548401@inbound.aiesec.org</v>
      </c>
      <c r="F941" s="43">
        <f>IFERROR(__xludf.DUMMYFUNCTION("""COMPUTED_VALUE"""),1.151168161E9)</f>
        <v>1151168161</v>
      </c>
      <c r="G941" s="43" t="str">
        <f>IFERROR(__xludf.DUMMYFUNCTION("""COMPUTED_VALUE"""),"Egypt")</f>
        <v>Egypt</v>
      </c>
      <c r="H941" s="43" t="str">
        <f>IFERROR(__xludf.DUMMYFUNCTION("""COMPUTED_VALUE"""),"Mansoura")</f>
        <v>Mansoura</v>
      </c>
      <c r="I941" s="43" t="str">
        <f>IFERROR(__xludf.DUMMYFUNCTION("""COMPUTED_VALUE"""),"Turkey")</f>
        <v>Turkey</v>
      </c>
      <c r="J941" s="43" t="str">
        <f>IFERROR(__xludf.DUMMYFUNCTION("""COMPUTED_VALUE"""),"KONYA")</f>
        <v>KONYA</v>
      </c>
      <c r="K941" s="44" t="str">
        <f>IFERROR(__xludf.DUMMYFUNCTION("""COMPUTED_VALUE"""),"https://expa.aiesec.org/opportunities/1283483")</f>
        <v>https://expa.aiesec.org/opportunities/1283483</v>
      </c>
      <c r="L941" s="43" t="str">
        <f>IFERROR(__xludf.DUMMYFUNCTION("""COMPUTED_VALUE"""),"GV")</f>
        <v>GV</v>
      </c>
      <c r="M941" s="43" t="str">
        <f>IFERROR(__xludf.DUMMYFUNCTION("""COMPUTED_VALUE"""),"short")</f>
        <v>short</v>
      </c>
      <c r="N941" s="45">
        <f>IFERROR(__xludf.DUMMYFUNCTION("""COMPUTED_VALUE"""),45073.0)</f>
        <v>45073</v>
      </c>
      <c r="O941" s="45">
        <f>IFERROR(__xludf.DUMMYFUNCTION("""COMPUTED_VALUE"""),45243.0)</f>
        <v>45243</v>
      </c>
      <c r="P941" s="45">
        <f>IFERROR(__xludf.DUMMYFUNCTION("""COMPUTED_VALUE"""),45285.0)</f>
        <v>45285</v>
      </c>
      <c r="Q941" s="45">
        <f>IFERROR(__xludf.DUMMYFUNCTION("""COMPUTED_VALUE"""),45244.0)</f>
        <v>45244</v>
      </c>
      <c r="R941" s="45">
        <f>IFERROR(__xludf.DUMMYFUNCTION("""COMPUTED_VALUE"""),45285.0)</f>
        <v>45285</v>
      </c>
      <c r="S941" s="43"/>
      <c r="T941" s="43"/>
      <c r="U941" s="43" t="str">
        <f>IFERROR(__xludf.DUMMYFUNCTION("""COMPUTED_VALUE"""),"Global Classroom")</f>
        <v>Global Classroom</v>
      </c>
      <c r="V941" s="43" t="str">
        <f>IFERROR(__xludf.DUMMYFUNCTION("""COMPUTED_VALUE"""),"Mansoura")</f>
        <v>Mansoura</v>
      </c>
      <c r="W941" s="43" t="str">
        <f>IFERROR(__xludf.DUMMYFUNCTION("""COMPUTED_VALUE"""),"2023-05-12T15:00:46Z")</f>
        <v>2023-05-12T15:00:46Z</v>
      </c>
      <c r="X941" s="43"/>
      <c r="Y941" s="43"/>
      <c r="Z941" s="43"/>
    </row>
    <row r="942" hidden="1">
      <c r="A942" s="43" t="str">
        <f>IFERROR(__xludf.DUMMYFUNCTION("""COMPUTED_VALUE"""),"5117695_1293417")</f>
        <v>5117695_1293417</v>
      </c>
      <c r="B942" s="43" t="str">
        <f>IFERROR(__xludf.DUMMYFUNCTION("""COMPUTED_VALUE"""),"Aliya Rashitova")</f>
        <v>Aliya Rashitova</v>
      </c>
      <c r="C942" s="43" t="str">
        <f>IFERROR(__xludf.DUMMYFUNCTION("""COMPUTED_VALUE"""),"finished")</f>
        <v>finished</v>
      </c>
      <c r="D942" s="43" t="str">
        <f>IFERROR(__xludf.DUMMYFUNCTION("""COMPUTED_VALUE"""),"No")</f>
        <v>No</v>
      </c>
      <c r="E942" s="43" t="str">
        <f>IFERROR(__xludf.DUMMYFUNCTION("""COMPUTED_VALUE"""),"p_5ae223de75a6c0a04ebba61491e863a502507f06@inbound.aiesec.org")</f>
        <v>p_5ae223de75a6c0a04ebba61491e863a502507f06@inbound.aiesec.org</v>
      </c>
      <c r="F942" s="43"/>
      <c r="G942" s="43" t="str">
        <f>IFERROR(__xludf.DUMMYFUNCTION("""COMPUTED_VALUE"""),"Kazakhstan")</f>
        <v>Kazakhstan</v>
      </c>
      <c r="H942" s="43" t="str">
        <f>IFERROR(__xludf.DUMMYFUNCTION("""COMPUTED_VALUE"""),"Astana")</f>
        <v>Astana</v>
      </c>
      <c r="I942" s="43" t="str">
        <f>IFERROR(__xludf.DUMMYFUNCTION("""COMPUTED_VALUE"""),"Turkey")</f>
        <v>Turkey</v>
      </c>
      <c r="J942" s="43" t="str">
        <f>IFERROR(__xludf.DUMMYFUNCTION("""COMPUTED_VALUE"""),"ISTANBUL")</f>
        <v>ISTANBUL</v>
      </c>
      <c r="K942" s="44" t="str">
        <f>IFERROR(__xludf.DUMMYFUNCTION("""COMPUTED_VALUE"""),"https://expa.aiesec.org/opportunities/1293417")</f>
        <v>https://expa.aiesec.org/opportunities/1293417</v>
      </c>
      <c r="L942" s="43" t="str">
        <f>IFERROR(__xludf.DUMMYFUNCTION("""COMPUTED_VALUE"""),"GV")</f>
        <v>GV</v>
      </c>
      <c r="M942" s="43" t="str">
        <f>IFERROR(__xludf.DUMMYFUNCTION("""COMPUTED_VALUE"""),"short")</f>
        <v>short</v>
      </c>
      <c r="N942" s="45">
        <f>IFERROR(__xludf.DUMMYFUNCTION("""COMPUTED_VALUE"""),45074.0)</f>
        <v>45074</v>
      </c>
      <c r="O942" s="45">
        <f>IFERROR(__xludf.DUMMYFUNCTION("""COMPUTED_VALUE"""),45091.0)</f>
        <v>45091</v>
      </c>
      <c r="P942" s="45">
        <f>IFERROR(__xludf.DUMMYFUNCTION("""COMPUTED_VALUE"""),45133.0)</f>
        <v>45133</v>
      </c>
      <c r="Q942" s="45">
        <f>IFERROR(__xludf.DUMMYFUNCTION("""COMPUTED_VALUE"""),45096.0)</f>
        <v>45096</v>
      </c>
      <c r="R942" s="45">
        <f>IFERROR(__xludf.DUMMYFUNCTION("""COMPUTED_VALUE"""),45136.0)</f>
        <v>45136</v>
      </c>
      <c r="S942" s="43"/>
      <c r="T942" s="43"/>
      <c r="U942" s="43" t="str">
        <f>IFERROR(__xludf.DUMMYFUNCTION("""COMPUTED_VALUE"""),"Global Classroom")</f>
        <v>Global Classroom</v>
      </c>
      <c r="V942" s="43" t="str">
        <f>IFERROR(__xludf.DUMMYFUNCTION("""COMPUTED_VALUE"""),"Astana")</f>
        <v>Astana</v>
      </c>
      <c r="W942" s="43" t="str">
        <f>IFERROR(__xludf.DUMMYFUNCTION("""COMPUTED_VALUE"""),"2022-09-22T16:23:51Z")</f>
        <v>2022-09-22T16:23:51Z</v>
      </c>
      <c r="X942" s="43"/>
      <c r="Y942" s="43"/>
      <c r="Z942" s="43"/>
    </row>
    <row r="943" hidden="1">
      <c r="A943" s="43" t="str">
        <f>IFERROR(__xludf.DUMMYFUNCTION("""COMPUTED_VALUE"""),"5261039_1291929")</f>
        <v>5261039_1291929</v>
      </c>
      <c r="B943" s="43" t="str">
        <f>IFERROR(__xludf.DUMMYFUNCTION("""COMPUTED_VALUE"""),"Meshaal Fatima")</f>
        <v>Meshaal Fatima</v>
      </c>
      <c r="C943" s="43" t="str">
        <f>IFERROR(__xludf.DUMMYFUNCTION("""COMPUTED_VALUE"""),"finished")</f>
        <v>finished</v>
      </c>
      <c r="D943" s="43" t="str">
        <f>IFERROR(__xludf.DUMMYFUNCTION("""COMPUTED_VALUE"""),"No")</f>
        <v>No</v>
      </c>
      <c r="E943" s="43" t="str">
        <f>IFERROR(__xludf.DUMMYFUNCTION("""COMPUTED_VALUE"""),"p_7761182679193d881f6f17febeab93c10f1083a6@inbound.aiesec.org")</f>
        <v>p_7761182679193d881f6f17febeab93c10f1083a6@inbound.aiesec.org</v>
      </c>
      <c r="F943" s="43">
        <f>IFERROR(__xludf.DUMMYFUNCTION("""COMPUTED_VALUE"""),3.17081501E9)</f>
        <v>3170815010</v>
      </c>
      <c r="G943" s="43" t="str">
        <f>IFERROR(__xludf.DUMMYFUNCTION("""COMPUTED_VALUE"""),"Pakistan")</f>
        <v>Pakistan</v>
      </c>
      <c r="H943" s="43" t="str">
        <f>IFERROR(__xludf.DUMMYFUNCTION("""COMPUTED_VALUE"""),"IBA")</f>
        <v>IBA</v>
      </c>
      <c r="I943" s="43" t="str">
        <f>IFERROR(__xludf.DUMMYFUNCTION("""COMPUTED_VALUE"""),"Turkey")</f>
        <v>Turkey</v>
      </c>
      <c r="J943" s="43" t="str">
        <f>IFERROR(__xludf.DUMMYFUNCTION("""COMPUTED_VALUE"""),"TRABZON")</f>
        <v>TRABZON</v>
      </c>
      <c r="K943" s="44" t="str">
        <f>IFERROR(__xludf.DUMMYFUNCTION("""COMPUTED_VALUE"""),"https://expa.aiesec.org/opportunities/1291929")</f>
        <v>https://expa.aiesec.org/opportunities/1291929</v>
      </c>
      <c r="L943" s="43" t="str">
        <f>IFERROR(__xludf.DUMMYFUNCTION("""COMPUTED_VALUE"""),"GV")</f>
        <v>GV</v>
      </c>
      <c r="M943" s="43" t="str">
        <f>IFERROR(__xludf.DUMMYFUNCTION("""COMPUTED_VALUE"""),"short")</f>
        <v>short</v>
      </c>
      <c r="N943" s="45">
        <f>IFERROR(__xludf.DUMMYFUNCTION("""COMPUTED_VALUE"""),45074.0)</f>
        <v>45074</v>
      </c>
      <c r="O943" s="45">
        <f>IFERROR(__xludf.DUMMYFUNCTION("""COMPUTED_VALUE"""),45128.0)</f>
        <v>45128</v>
      </c>
      <c r="P943" s="45">
        <f>IFERROR(__xludf.DUMMYFUNCTION("""COMPUTED_VALUE"""),45170.0)</f>
        <v>45170</v>
      </c>
      <c r="Q943" s="45">
        <f>IFERROR(__xludf.DUMMYFUNCTION("""COMPUTED_VALUE"""),45132.0)</f>
        <v>45132</v>
      </c>
      <c r="R943" s="45">
        <f>IFERROR(__xludf.DUMMYFUNCTION("""COMPUTED_VALUE"""),45174.0)</f>
        <v>45174</v>
      </c>
      <c r="S943" s="43"/>
      <c r="T943" s="43"/>
      <c r="U943" s="43" t="str">
        <f>IFERROR(__xludf.DUMMYFUNCTION("""COMPUTED_VALUE"""),"Global Classroom")</f>
        <v>Global Classroom</v>
      </c>
      <c r="V943" s="43" t="str">
        <f>IFERROR(__xludf.DUMMYFUNCTION("""COMPUTED_VALUE"""),"Karachi - IBA")</f>
        <v>Karachi - IBA</v>
      </c>
      <c r="W943" s="43" t="str">
        <f>IFERROR(__xludf.DUMMYFUNCTION("""COMPUTED_VALUE"""),"2023-05-14T18:53:57Z")</f>
        <v>2023-05-14T18:53:57Z</v>
      </c>
      <c r="X943" s="43"/>
      <c r="Y943" s="43"/>
      <c r="Z943" s="43"/>
    </row>
    <row r="944" hidden="1">
      <c r="A944" s="43" t="str">
        <f>IFERROR(__xludf.DUMMYFUNCTION("""COMPUTED_VALUE"""),"5260560_1291929")</f>
        <v>5260560_1291929</v>
      </c>
      <c r="B944" s="43" t="str">
        <f>IFERROR(__xludf.DUMMYFUNCTION("""COMPUTED_VALUE"""),"ARMAT AISIYEV")</f>
        <v>ARMAT AISIYEV</v>
      </c>
      <c r="C944" s="43" t="str">
        <f>IFERROR(__xludf.DUMMYFUNCTION("""COMPUTED_VALUE"""),"completed")</f>
        <v>completed</v>
      </c>
      <c r="D944" s="43" t="str">
        <f>IFERROR(__xludf.DUMMYFUNCTION("""COMPUTED_VALUE"""),"No")</f>
        <v>No</v>
      </c>
      <c r="E944" s="43" t="str">
        <f>IFERROR(__xludf.DUMMYFUNCTION("""COMPUTED_VALUE"""),"p_565240b116fe5f95ff5c2632fda9a2ef49fb2948@inbound.aiesec.org")</f>
        <v>p_565240b116fe5f95ff5c2632fda9a2ef49fb2948@inbound.aiesec.org</v>
      </c>
      <c r="F944" s="43">
        <f>IFERROR(__xludf.DUMMYFUNCTION("""COMPUTED_VALUE"""),7.769218124E9)</f>
        <v>7769218124</v>
      </c>
      <c r="G944" s="43" t="str">
        <f>IFERROR(__xludf.DUMMYFUNCTION("""COMPUTED_VALUE"""),"Kazakhstan")</f>
        <v>Kazakhstan</v>
      </c>
      <c r="H944" s="43" t="str">
        <f>IFERROR(__xludf.DUMMYFUNCTION("""COMPUTED_VALUE"""),"Astana")</f>
        <v>Astana</v>
      </c>
      <c r="I944" s="43" t="str">
        <f>IFERROR(__xludf.DUMMYFUNCTION("""COMPUTED_VALUE"""),"Turkey")</f>
        <v>Turkey</v>
      </c>
      <c r="J944" s="43" t="str">
        <f>IFERROR(__xludf.DUMMYFUNCTION("""COMPUTED_VALUE"""),"TRABZON")</f>
        <v>TRABZON</v>
      </c>
      <c r="K944" s="44" t="str">
        <f>IFERROR(__xludf.DUMMYFUNCTION("""COMPUTED_VALUE"""),"https://expa.aiesec.org/opportunities/1291929")</f>
        <v>https://expa.aiesec.org/opportunities/1291929</v>
      </c>
      <c r="L944" s="43" t="str">
        <f>IFERROR(__xludf.DUMMYFUNCTION("""COMPUTED_VALUE"""),"GV")</f>
        <v>GV</v>
      </c>
      <c r="M944" s="43" t="str">
        <f>IFERROR(__xludf.DUMMYFUNCTION("""COMPUTED_VALUE"""),"short")</f>
        <v>short</v>
      </c>
      <c r="N944" s="45">
        <f>IFERROR(__xludf.DUMMYFUNCTION("""COMPUTED_VALUE"""),45074.0)</f>
        <v>45074</v>
      </c>
      <c r="O944" s="45">
        <f>IFERROR(__xludf.DUMMYFUNCTION("""COMPUTED_VALUE"""),45087.0)</f>
        <v>45087</v>
      </c>
      <c r="P944" s="45">
        <f>IFERROR(__xludf.DUMMYFUNCTION("""COMPUTED_VALUE"""),45129.0)</f>
        <v>45129</v>
      </c>
      <c r="Q944" s="45">
        <f>IFERROR(__xludf.DUMMYFUNCTION("""COMPUTED_VALUE"""),45104.0)</f>
        <v>45104</v>
      </c>
      <c r="R944" s="45">
        <f>IFERROR(__xludf.DUMMYFUNCTION("""COMPUTED_VALUE"""),45146.0)</f>
        <v>45146</v>
      </c>
      <c r="S944" s="43"/>
      <c r="T944" s="43"/>
      <c r="U944" s="43" t="str">
        <f>IFERROR(__xludf.DUMMYFUNCTION("""COMPUTED_VALUE"""),"Global Classroom")</f>
        <v>Global Classroom</v>
      </c>
      <c r="V944" s="43" t="str">
        <f>IFERROR(__xludf.DUMMYFUNCTION("""COMPUTED_VALUE"""),"Astana")</f>
        <v>Astana</v>
      </c>
      <c r="W944" s="43" t="str">
        <f>IFERROR(__xludf.DUMMYFUNCTION("""COMPUTED_VALUE"""),"2023-05-13T15:17:53Z")</f>
        <v>2023-05-13T15:17:53Z</v>
      </c>
      <c r="X944" s="43"/>
      <c r="Y944" s="43"/>
      <c r="Z944" s="43"/>
    </row>
    <row r="945" hidden="1">
      <c r="A945" s="43" t="str">
        <f>IFERROR(__xludf.DUMMYFUNCTION("""COMPUTED_VALUE"""),"5260555_1291929")</f>
        <v>5260555_1291929</v>
      </c>
      <c r="B945" s="43" t="str">
        <f>IFERROR(__xludf.DUMMYFUNCTION("""COMPUTED_VALUE"""),"Askhat Aisiyev")</f>
        <v>Askhat Aisiyev</v>
      </c>
      <c r="C945" s="43" t="str">
        <f>IFERROR(__xludf.DUMMYFUNCTION("""COMPUTED_VALUE"""),"completed")</f>
        <v>completed</v>
      </c>
      <c r="D945" s="43" t="str">
        <f>IFERROR(__xludf.DUMMYFUNCTION("""COMPUTED_VALUE"""),"No")</f>
        <v>No</v>
      </c>
      <c r="E945" s="43" t="str">
        <f>IFERROR(__xludf.DUMMYFUNCTION("""COMPUTED_VALUE"""),"p_6eec60e68dcc90655392d1c4b6f6d07c8a774caa@inbound.aiesec.org")</f>
        <v>p_6eec60e68dcc90655392d1c4b6f6d07c8a774caa@inbound.aiesec.org</v>
      </c>
      <c r="F945" s="43">
        <f>IFERROR(__xludf.DUMMYFUNCTION("""COMPUTED_VALUE"""),7.769218123E9)</f>
        <v>7769218123</v>
      </c>
      <c r="G945" s="43" t="str">
        <f>IFERROR(__xludf.DUMMYFUNCTION("""COMPUTED_VALUE"""),"Kazakhstan")</f>
        <v>Kazakhstan</v>
      </c>
      <c r="H945" s="43" t="str">
        <f>IFERROR(__xludf.DUMMYFUNCTION("""COMPUTED_VALUE"""),"Astana")</f>
        <v>Astana</v>
      </c>
      <c r="I945" s="43" t="str">
        <f>IFERROR(__xludf.DUMMYFUNCTION("""COMPUTED_VALUE"""),"Turkey")</f>
        <v>Turkey</v>
      </c>
      <c r="J945" s="43" t="str">
        <f>IFERROR(__xludf.DUMMYFUNCTION("""COMPUTED_VALUE"""),"TRABZON")</f>
        <v>TRABZON</v>
      </c>
      <c r="K945" s="44" t="str">
        <f>IFERROR(__xludf.DUMMYFUNCTION("""COMPUTED_VALUE"""),"https://expa.aiesec.org/opportunities/1291929")</f>
        <v>https://expa.aiesec.org/opportunities/1291929</v>
      </c>
      <c r="L945" s="43" t="str">
        <f>IFERROR(__xludf.DUMMYFUNCTION("""COMPUTED_VALUE"""),"GV")</f>
        <v>GV</v>
      </c>
      <c r="M945" s="43" t="str">
        <f>IFERROR(__xludf.DUMMYFUNCTION("""COMPUTED_VALUE"""),"short")</f>
        <v>short</v>
      </c>
      <c r="N945" s="45">
        <f>IFERROR(__xludf.DUMMYFUNCTION("""COMPUTED_VALUE"""),45074.0)</f>
        <v>45074</v>
      </c>
      <c r="O945" s="45">
        <f>IFERROR(__xludf.DUMMYFUNCTION("""COMPUTED_VALUE"""),45087.0)</f>
        <v>45087</v>
      </c>
      <c r="P945" s="45">
        <f>IFERROR(__xludf.DUMMYFUNCTION("""COMPUTED_VALUE"""),45129.0)</f>
        <v>45129</v>
      </c>
      <c r="Q945" s="45">
        <f>IFERROR(__xludf.DUMMYFUNCTION("""COMPUTED_VALUE"""),45104.0)</f>
        <v>45104</v>
      </c>
      <c r="R945" s="45">
        <f>IFERROR(__xludf.DUMMYFUNCTION("""COMPUTED_VALUE"""),45146.0)</f>
        <v>45146</v>
      </c>
      <c r="S945" s="43"/>
      <c r="T945" s="43"/>
      <c r="U945" s="43" t="str">
        <f>IFERROR(__xludf.DUMMYFUNCTION("""COMPUTED_VALUE"""),"Global Classroom")</f>
        <v>Global Classroom</v>
      </c>
      <c r="V945" s="43" t="str">
        <f>IFERROR(__xludf.DUMMYFUNCTION("""COMPUTED_VALUE"""),"Astana")</f>
        <v>Astana</v>
      </c>
      <c r="W945" s="43" t="str">
        <f>IFERROR(__xludf.DUMMYFUNCTION("""COMPUTED_VALUE"""),"2023-05-13T15:08:39Z")</f>
        <v>2023-05-13T15:08:39Z</v>
      </c>
      <c r="X945" s="43"/>
      <c r="Y945" s="43"/>
      <c r="Z945" s="43"/>
    </row>
    <row r="946" hidden="1">
      <c r="A946" s="43" t="str">
        <f>IFERROR(__xludf.DUMMYFUNCTION("""COMPUTED_VALUE"""),"5267288_1289536")</f>
        <v>5267288_1289536</v>
      </c>
      <c r="B946" s="43" t="str">
        <f>IFERROR(__xludf.DUMMYFUNCTION("""COMPUTED_VALUE"""),"Maria Laura Arantes Bessa Ferreira")</f>
        <v>Maria Laura Arantes Bessa Ferreira</v>
      </c>
      <c r="C946" s="43" t="str">
        <f>IFERROR(__xludf.DUMMYFUNCTION("""COMPUTED_VALUE"""),"approved")</f>
        <v>approved</v>
      </c>
      <c r="D946" s="43" t="str">
        <f>IFERROR(__xludf.DUMMYFUNCTION("""COMPUTED_VALUE"""),"No")</f>
        <v>No</v>
      </c>
      <c r="E946" s="43" t="str">
        <f>IFERROR(__xludf.DUMMYFUNCTION("""COMPUTED_VALUE"""),"p_cf99e3743ba17af8b7a4c9c998b846eb57cf06c1@inbound.aiesec.org")</f>
        <v>p_cf99e3743ba17af8b7a4c9c998b846eb57cf06c1@inbound.aiesec.org</v>
      </c>
      <c r="F946" s="43">
        <f>IFERROR(__xludf.DUMMYFUNCTION("""COMPUTED_VALUE"""),3.4984447503E10)</f>
        <v>34984447503</v>
      </c>
      <c r="G946" s="43" t="str">
        <f>IFERROR(__xludf.DUMMYFUNCTION("""COMPUTED_VALUE"""),"Brazil")</f>
        <v>Brazil</v>
      </c>
      <c r="H946" s="43" t="str">
        <f>IFERROR(__xludf.DUMMYFUNCTION("""COMPUTED_VALUE"""),"USP")</f>
        <v>USP</v>
      </c>
      <c r="I946" s="43" t="str">
        <f>IFERROR(__xludf.DUMMYFUNCTION("""COMPUTED_VALUE"""),"Turkey")</f>
        <v>Turkey</v>
      </c>
      <c r="J946" s="43" t="str">
        <f>IFERROR(__xludf.DUMMYFUNCTION("""COMPUTED_VALUE"""),"ISTANBUL")</f>
        <v>ISTANBUL</v>
      </c>
      <c r="K946" s="44" t="str">
        <f>IFERROR(__xludf.DUMMYFUNCTION("""COMPUTED_VALUE"""),"https://expa.aiesec.org/opportunities/1289536")</f>
        <v>https://expa.aiesec.org/opportunities/1289536</v>
      </c>
      <c r="L946" s="43" t="str">
        <f>IFERROR(__xludf.DUMMYFUNCTION("""COMPUTED_VALUE"""),"GV")</f>
        <v>GV</v>
      </c>
      <c r="M946" s="43" t="str">
        <f>IFERROR(__xludf.DUMMYFUNCTION("""COMPUTED_VALUE"""),"short")</f>
        <v>short</v>
      </c>
      <c r="N946" s="45">
        <f>IFERROR(__xludf.DUMMYFUNCTION("""COMPUTED_VALUE"""),45075.0)</f>
        <v>45075</v>
      </c>
      <c r="O946" s="45">
        <f>IFERROR(__xludf.DUMMYFUNCTION("""COMPUTED_VALUE"""),45216.0)</f>
        <v>45216</v>
      </c>
      <c r="P946" s="45">
        <f>IFERROR(__xludf.DUMMYFUNCTION("""COMPUTED_VALUE"""),45258.0)</f>
        <v>45258</v>
      </c>
      <c r="Q946" s="45"/>
      <c r="R946" s="45"/>
      <c r="S946" s="43"/>
      <c r="T946" s="43"/>
      <c r="U946" s="43" t="str">
        <f>IFERROR(__xludf.DUMMYFUNCTION("""COMPUTED_VALUE"""),"Global Classroom")</f>
        <v>Global Classroom</v>
      </c>
      <c r="V946" s="43" t="str">
        <f>IFERROR(__xludf.DUMMYFUNCTION("""COMPUTED_VALUE"""),"São Paulo - USP")</f>
        <v>São Paulo - USP</v>
      </c>
      <c r="W946" s="43" t="str">
        <f>IFERROR(__xludf.DUMMYFUNCTION("""COMPUTED_VALUE"""),"2023-05-26T21:14:01Z")</f>
        <v>2023-05-26T21:14:01Z</v>
      </c>
      <c r="X946" s="43"/>
      <c r="Y946" s="43"/>
      <c r="Z946" s="43"/>
    </row>
    <row r="947" hidden="1">
      <c r="A947" s="43" t="str">
        <f>IFERROR(__xludf.DUMMYFUNCTION("""COMPUTED_VALUE"""),"5262870_1291929")</f>
        <v>5262870_1291929</v>
      </c>
      <c r="B947" s="43" t="str">
        <f>IFERROR(__xludf.DUMMYFUNCTION("""COMPUTED_VALUE"""),"Amina Menasra")</f>
        <v>Amina Menasra</v>
      </c>
      <c r="C947" s="43" t="str">
        <f>IFERROR(__xludf.DUMMYFUNCTION("""COMPUTED_VALUE"""),"approved")</f>
        <v>approved</v>
      </c>
      <c r="D947" s="43" t="str">
        <f>IFERROR(__xludf.DUMMYFUNCTION("""COMPUTED_VALUE"""),"No")</f>
        <v>No</v>
      </c>
      <c r="E947" s="43" t="str">
        <f>IFERROR(__xludf.DUMMYFUNCTION("""COMPUTED_VALUE"""),"p_e535e298a3b8b28357d50a3f6fa8bb59d9e92e8d@inbound.aiesec.org")</f>
        <v>p_e535e298a3b8b28357d50a3f6fa8bb59d9e92e8d@inbound.aiesec.org</v>
      </c>
      <c r="F947" s="43">
        <f>IFERROR(__xludf.DUMMYFUNCTION("""COMPUTED_VALUE"""),6.96499198E8)</f>
        <v>696499198</v>
      </c>
      <c r="G947" s="43" t="str">
        <f>IFERROR(__xludf.DUMMYFUNCTION("""COMPUTED_VALUE"""),"Algeria")</f>
        <v>Algeria</v>
      </c>
      <c r="H947" s="43" t="str">
        <f>IFERROR(__xludf.DUMMYFUNCTION("""COMPUTED_VALUE"""),"Oran")</f>
        <v>Oran</v>
      </c>
      <c r="I947" s="43" t="str">
        <f>IFERROR(__xludf.DUMMYFUNCTION("""COMPUTED_VALUE"""),"Turkey")</f>
        <v>Turkey</v>
      </c>
      <c r="J947" s="43" t="str">
        <f>IFERROR(__xludf.DUMMYFUNCTION("""COMPUTED_VALUE"""),"TRABZON")</f>
        <v>TRABZON</v>
      </c>
      <c r="K947" s="44" t="str">
        <f>IFERROR(__xludf.DUMMYFUNCTION("""COMPUTED_VALUE"""),"https://expa.aiesec.org/opportunities/1291929")</f>
        <v>https://expa.aiesec.org/opportunities/1291929</v>
      </c>
      <c r="L947" s="43" t="str">
        <f>IFERROR(__xludf.DUMMYFUNCTION("""COMPUTED_VALUE"""),"GV")</f>
        <v>GV</v>
      </c>
      <c r="M947" s="43" t="str">
        <f>IFERROR(__xludf.DUMMYFUNCTION("""COMPUTED_VALUE"""),"short")</f>
        <v>short</v>
      </c>
      <c r="N947" s="45">
        <f>IFERROR(__xludf.DUMMYFUNCTION("""COMPUTED_VALUE"""),45075.0)</f>
        <v>45075</v>
      </c>
      <c r="O947" s="45">
        <f>IFERROR(__xludf.DUMMYFUNCTION("""COMPUTED_VALUE"""),45128.0)</f>
        <v>45128</v>
      </c>
      <c r="P947" s="45">
        <f>IFERROR(__xludf.DUMMYFUNCTION("""COMPUTED_VALUE"""),45170.0)</f>
        <v>45170</v>
      </c>
      <c r="Q947" s="45"/>
      <c r="R947" s="45"/>
      <c r="S947" s="43"/>
      <c r="T947" s="43"/>
      <c r="U947" s="43" t="str">
        <f>IFERROR(__xludf.DUMMYFUNCTION("""COMPUTED_VALUE"""),"Global Classroom")</f>
        <v>Global Classroom</v>
      </c>
      <c r="V947" s="43" t="str">
        <f>IFERROR(__xludf.DUMMYFUNCTION("""COMPUTED_VALUE"""),"AIESEC in Oran")</f>
        <v>AIESEC in Oran</v>
      </c>
      <c r="W947" s="43" t="str">
        <f>IFERROR(__xludf.DUMMYFUNCTION("""COMPUTED_VALUE"""),"2023-05-18T11:23:17Z")</f>
        <v>2023-05-18T11:23:17Z</v>
      </c>
      <c r="X947" s="43"/>
      <c r="Y947" s="43"/>
      <c r="Z947" s="43"/>
    </row>
    <row r="948" hidden="1">
      <c r="A948" s="43" t="str">
        <f>IFERROR(__xludf.DUMMYFUNCTION("""COMPUTED_VALUE"""),"5266721_1287210")</f>
        <v>5266721_1287210</v>
      </c>
      <c r="B948" s="43" t="str">
        <f>IFERROR(__xludf.DUMMYFUNCTION("""COMPUTED_VALUE"""),"Fatma  zahra Mehrez")</f>
        <v>Fatma  zahra Mehrez</v>
      </c>
      <c r="C948" s="43" t="str">
        <f>IFERROR(__xludf.DUMMYFUNCTION("""COMPUTED_VALUE"""),"approved")</f>
        <v>approved</v>
      </c>
      <c r="D948" s="43" t="str">
        <f>IFERROR(__xludf.DUMMYFUNCTION("""COMPUTED_VALUE"""),"No")</f>
        <v>No</v>
      </c>
      <c r="E948" s="43" t="str">
        <f>IFERROR(__xludf.DUMMYFUNCTION("""COMPUTED_VALUE"""),"p_6c5898bf04dfae993694a1cf4ca31a0e2884a1b7@inbound.aiesec.org")</f>
        <v>p_6c5898bf04dfae993694a1cf4ca31a0e2884a1b7@inbound.aiesec.org</v>
      </c>
      <c r="F948" s="43"/>
      <c r="G948" s="43" t="str">
        <f>IFERROR(__xludf.DUMMYFUNCTION("""COMPUTED_VALUE"""),"Tunisia")</f>
        <v>Tunisia</v>
      </c>
      <c r="H948" s="43" t="str">
        <f>IFERROR(__xludf.DUMMYFUNCTION("""COMPUTED_VALUE"""),"UNIVERSITY")</f>
        <v>UNIVERSITY</v>
      </c>
      <c r="I948" s="43" t="str">
        <f>IFERROR(__xludf.DUMMYFUNCTION("""COMPUTED_VALUE"""),"Turkey")</f>
        <v>Turkey</v>
      </c>
      <c r="J948" s="43" t="str">
        <f>IFERROR(__xludf.DUMMYFUNCTION("""COMPUTED_VALUE"""),"ISTANBUL WEST")</f>
        <v>ISTANBUL WEST</v>
      </c>
      <c r="K948" s="44" t="str">
        <f>IFERROR(__xludf.DUMMYFUNCTION("""COMPUTED_VALUE"""),"https://expa.aiesec.org/opportunities/1287210")</f>
        <v>https://expa.aiesec.org/opportunities/1287210</v>
      </c>
      <c r="L948" s="43" t="str">
        <f>IFERROR(__xludf.DUMMYFUNCTION("""COMPUTED_VALUE"""),"GV")</f>
        <v>GV</v>
      </c>
      <c r="M948" s="43" t="str">
        <f>IFERROR(__xludf.DUMMYFUNCTION("""COMPUTED_VALUE"""),"short")</f>
        <v>short</v>
      </c>
      <c r="N948" s="45">
        <f>IFERROR(__xludf.DUMMYFUNCTION("""COMPUTED_VALUE"""),45076.0)</f>
        <v>45076</v>
      </c>
      <c r="O948" s="45">
        <f>IFERROR(__xludf.DUMMYFUNCTION("""COMPUTED_VALUE"""),45131.0)</f>
        <v>45131</v>
      </c>
      <c r="P948" s="45">
        <f>IFERROR(__xludf.DUMMYFUNCTION("""COMPUTED_VALUE"""),45173.0)</f>
        <v>45173</v>
      </c>
      <c r="Q948" s="45"/>
      <c r="R948" s="45"/>
      <c r="S948" s="43"/>
      <c r="T948" s="43"/>
      <c r="U948" s="43" t="str">
        <f>IFERROR(__xludf.DUMMYFUNCTION("""COMPUTED_VALUE"""),"Global Classroom")</f>
        <v>Global Classroom</v>
      </c>
      <c r="V948" s="43" t="str">
        <f>IFERROR(__xludf.DUMMYFUNCTION("""COMPUTED_VALUE"""),"FST")</f>
        <v>FST</v>
      </c>
      <c r="W948" s="43" t="str">
        <f>IFERROR(__xludf.DUMMYFUNCTION("""COMPUTED_VALUE"""),"2023-05-25T19:13:37Z")</f>
        <v>2023-05-25T19:13:37Z</v>
      </c>
      <c r="X948" s="43"/>
      <c r="Y948" s="43"/>
      <c r="Z948" s="43"/>
    </row>
    <row r="949" hidden="1">
      <c r="A949" s="43" t="str">
        <f>IFERROR(__xludf.DUMMYFUNCTION("""COMPUTED_VALUE"""),"5216433_1294795")</f>
        <v>5216433_1294795</v>
      </c>
      <c r="B949" s="43" t="str">
        <f>IFERROR(__xludf.DUMMYFUNCTION("""COMPUTED_VALUE"""),"Haseeb Sediqi")</f>
        <v>Haseeb Sediqi</v>
      </c>
      <c r="C949" s="43" t="str">
        <f>IFERROR(__xludf.DUMMYFUNCTION("""COMPUTED_VALUE"""),"approved")</f>
        <v>approved</v>
      </c>
      <c r="D949" s="43" t="str">
        <f>IFERROR(__xludf.DUMMYFUNCTION("""COMPUTED_VALUE"""),"No")</f>
        <v>No</v>
      </c>
      <c r="E949" s="43" t="str">
        <f>IFERROR(__xludf.DUMMYFUNCTION("""COMPUTED_VALUE"""),"p_8c7a12ef862f98705fdbf4e139917b25a0f1da16@inbound.aiesec.org")</f>
        <v>p_8c7a12ef862f98705fdbf4e139917b25a0f1da16@inbound.aiesec.org</v>
      </c>
      <c r="F949" s="43">
        <f>IFERROR(__xludf.DUMMYFUNCTION("""COMPUTED_VALUE"""),3.518446474E9)</f>
        <v>3518446474</v>
      </c>
      <c r="G949" s="43" t="str">
        <f>IFERROR(__xludf.DUMMYFUNCTION("""COMPUTED_VALUE"""),"Italy")</f>
        <v>Italy</v>
      </c>
      <c r="H949" s="43" t="str">
        <f>IFERROR(__xludf.DUMMYFUNCTION("""COMPUTED_VALUE"""),"PoliTO")</f>
        <v>PoliTO</v>
      </c>
      <c r="I949" s="43" t="str">
        <f>IFERROR(__xludf.DUMMYFUNCTION("""COMPUTED_VALUE"""),"Turkey")</f>
        <v>Turkey</v>
      </c>
      <c r="J949" s="43" t="str">
        <f>IFERROR(__xludf.DUMMYFUNCTION("""COMPUTED_VALUE"""),"ADANA")</f>
        <v>ADANA</v>
      </c>
      <c r="K949" s="44" t="str">
        <f>IFERROR(__xludf.DUMMYFUNCTION("""COMPUTED_VALUE"""),"https://expa.aiesec.org/opportunities/1294795")</f>
        <v>https://expa.aiesec.org/opportunities/1294795</v>
      </c>
      <c r="L949" s="43" t="str">
        <f>IFERROR(__xludf.DUMMYFUNCTION("""COMPUTED_VALUE"""),"GV")</f>
        <v>GV</v>
      </c>
      <c r="M949" s="43" t="str">
        <f>IFERROR(__xludf.DUMMYFUNCTION("""COMPUTED_VALUE"""),"short")</f>
        <v>short</v>
      </c>
      <c r="N949" s="45">
        <f>IFERROR(__xludf.DUMMYFUNCTION("""COMPUTED_VALUE"""),45076.0)</f>
        <v>45076</v>
      </c>
      <c r="O949" s="45">
        <f>IFERROR(__xludf.DUMMYFUNCTION("""COMPUTED_VALUE"""),45110.0)</f>
        <v>45110</v>
      </c>
      <c r="P949" s="45">
        <f>IFERROR(__xludf.DUMMYFUNCTION("""COMPUTED_VALUE"""),45156.0)</f>
        <v>45156</v>
      </c>
      <c r="Q949" s="45"/>
      <c r="R949" s="45"/>
      <c r="S949" s="43"/>
      <c r="T949" s="43"/>
      <c r="U949" s="43" t="str">
        <f>IFERROR(__xludf.DUMMYFUNCTION("""COMPUTED_VALUE"""),"Global Classroom")</f>
        <v>Global Classroom</v>
      </c>
      <c r="V949" s="43" t="str">
        <f>IFERROR(__xludf.DUMMYFUNCTION("""COMPUTED_VALUE"""),"Trento")</f>
        <v>Trento</v>
      </c>
      <c r="W949" s="43" t="str">
        <f>IFERROR(__xludf.DUMMYFUNCTION("""COMPUTED_VALUE"""),"2023-03-14T20:07:42Z")</f>
        <v>2023-03-14T20:07:42Z</v>
      </c>
      <c r="X949" s="43"/>
      <c r="Y949" s="43"/>
      <c r="Z949" s="43"/>
    </row>
    <row r="950" hidden="1">
      <c r="A950" s="43" t="str">
        <f>IFERROR(__xludf.DUMMYFUNCTION("""COMPUTED_VALUE"""),"5196153_1294103")</f>
        <v>5196153_1294103</v>
      </c>
      <c r="B950" s="43" t="str">
        <f>IFERROR(__xludf.DUMMYFUNCTION("""COMPUTED_VALUE"""),"Daria Zalitok")</f>
        <v>Daria Zalitok</v>
      </c>
      <c r="C950" s="43" t="str">
        <f>IFERROR(__xludf.DUMMYFUNCTION("""COMPUTED_VALUE"""),"completed")</f>
        <v>completed</v>
      </c>
      <c r="D950" s="43" t="str">
        <f>IFERROR(__xludf.DUMMYFUNCTION("""COMPUTED_VALUE"""),"No")</f>
        <v>No</v>
      </c>
      <c r="E950" s="43" t="str">
        <f>IFERROR(__xludf.DUMMYFUNCTION("""COMPUTED_VALUE"""),"p_066808f21e8d0165fbf7e0ca94bcc5cb05d08c30@inbound.aiesec.org")</f>
        <v>p_066808f21e8d0165fbf7e0ca94bcc5cb05d08c30@inbound.aiesec.org</v>
      </c>
      <c r="F950" s="43">
        <f>IFERROR(__xludf.DUMMYFUNCTION("""COMPUTED_VALUE"""),9.70015409E8)</f>
        <v>970015409</v>
      </c>
      <c r="G950" s="43" t="str">
        <f>IFERROR(__xludf.DUMMYFUNCTION("""COMPUTED_VALUE"""),"Ukraine")</f>
        <v>Ukraine</v>
      </c>
      <c r="H950" s="43" t="str">
        <f>IFERROR(__xludf.DUMMYFUNCTION("""COMPUTED_VALUE"""),"LVIV")</f>
        <v>LVIV</v>
      </c>
      <c r="I950" s="43" t="str">
        <f>IFERROR(__xludf.DUMMYFUNCTION("""COMPUTED_VALUE"""),"Turkey")</f>
        <v>Turkey</v>
      </c>
      <c r="J950" s="43" t="str">
        <f>IFERROR(__xludf.DUMMYFUNCTION("""COMPUTED_VALUE"""),"İZMİR")</f>
        <v>İZMİR</v>
      </c>
      <c r="K950" s="44" t="str">
        <f>IFERROR(__xludf.DUMMYFUNCTION("""COMPUTED_VALUE"""),"https://expa.aiesec.org/opportunities/1294103")</f>
        <v>https://expa.aiesec.org/opportunities/1294103</v>
      </c>
      <c r="L950" s="43" t="str">
        <f>IFERROR(__xludf.DUMMYFUNCTION("""COMPUTED_VALUE"""),"GV")</f>
        <v>GV</v>
      </c>
      <c r="M950" s="43" t="str">
        <f>IFERROR(__xludf.DUMMYFUNCTION("""COMPUTED_VALUE"""),"short")</f>
        <v>short</v>
      </c>
      <c r="N950" s="45">
        <f>IFERROR(__xludf.DUMMYFUNCTION("""COMPUTED_VALUE"""),45076.0)</f>
        <v>45076</v>
      </c>
      <c r="O950" s="45">
        <f>IFERROR(__xludf.DUMMYFUNCTION("""COMPUTED_VALUE"""),45103.0)</f>
        <v>45103</v>
      </c>
      <c r="P950" s="45">
        <f>IFERROR(__xludf.DUMMYFUNCTION("""COMPUTED_VALUE"""),45145.0)</f>
        <v>45145</v>
      </c>
      <c r="Q950" s="45">
        <f>IFERROR(__xludf.DUMMYFUNCTION("""COMPUTED_VALUE"""),45101.0)</f>
        <v>45101</v>
      </c>
      <c r="R950" s="45">
        <f>IFERROR(__xludf.DUMMYFUNCTION("""COMPUTED_VALUE"""),45145.0)</f>
        <v>45145</v>
      </c>
      <c r="S950" s="43"/>
      <c r="T950" s="43"/>
      <c r="U950" s="43" t="str">
        <f>IFERROR(__xludf.DUMMYFUNCTION("""COMPUTED_VALUE"""),"Skill Up!")</f>
        <v>Skill Up!</v>
      </c>
      <c r="V950" s="43" t="str">
        <f>IFERROR(__xludf.DUMMYFUNCTION("""COMPUTED_VALUE"""),"Lviv ")</f>
        <v>Lviv </v>
      </c>
      <c r="W950" s="43" t="str">
        <f>IFERROR(__xludf.DUMMYFUNCTION("""COMPUTED_VALUE"""),"2023-02-21T18:06:34Z")</f>
        <v>2023-02-21T18:06:34Z</v>
      </c>
      <c r="X950" s="43"/>
      <c r="Y950" s="43"/>
      <c r="Z950" s="43"/>
    </row>
    <row r="951" hidden="1">
      <c r="A951" s="43" t="str">
        <f>IFERROR(__xludf.DUMMYFUNCTION("""COMPUTED_VALUE"""),"4575328_1289596")</f>
        <v>4575328_1289596</v>
      </c>
      <c r="B951" s="43" t="str">
        <f>IFERROR(__xludf.DUMMYFUNCTION("""COMPUTED_VALUE"""),"Fabriciano Barbosa de Souza")</f>
        <v>Fabriciano Barbosa de Souza</v>
      </c>
      <c r="C951" s="43" t="str">
        <f>IFERROR(__xludf.DUMMYFUNCTION("""COMPUTED_VALUE"""),"approved")</f>
        <v>approved</v>
      </c>
      <c r="D951" s="43" t="str">
        <f>IFERROR(__xludf.DUMMYFUNCTION("""COMPUTED_VALUE"""),"No")</f>
        <v>No</v>
      </c>
      <c r="E951" s="43" t="str">
        <f>IFERROR(__xludf.DUMMYFUNCTION("""COMPUTED_VALUE"""),"p_8e7ef6ffeb0e970dcc40042835d6e8563f8b42ae@inbound.aiesec.org")</f>
        <v>p_8e7ef6ffeb0e970dcc40042835d6e8563f8b42ae@inbound.aiesec.org</v>
      </c>
      <c r="F951" s="43">
        <f>IFERROR(__xludf.DUMMYFUNCTION("""COMPUTED_VALUE"""),2.7998559289E10)</f>
        <v>27998559289</v>
      </c>
      <c r="G951" s="43" t="str">
        <f>IFERROR(__xludf.DUMMYFUNCTION("""COMPUTED_VALUE"""),"Brazil")</f>
        <v>Brazil</v>
      </c>
      <c r="H951" s="43" t="str">
        <f>IFERROR(__xludf.DUMMYFUNCTION("""COMPUTED_VALUE"""),"VITÓRIA")</f>
        <v>VITÓRIA</v>
      </c>
      <c r="I951" s="43" t="str">
        <f>IFERROR(__xludf.DUMMYFUNCTION("""COMPUTED_VALUE"""),"Turkey")</f>
        <v>Turkey</v>
      </c>
      <c r="J951" s="43" t="str">
        <f>IFERROR(__xludf.DUMMYFUNCTION("""COMPUTED_VALUE"""),"ISPARTA")</f>
        <v>ISPARTA</v>
      </c>
      <c r="K951" s="44" t="str">
        <f>IFERROR(__xludf.DUMMYFUNCTION("""COMPUTED_VALUE"""),"https://expa.aiesec.org/opportunities/1289596")</f>
        <v>https://expa.aiesec.org/opportunities/1289596</v>
      </c>
      <c r="L951" s="43" t="str">
        <f>IFERROR(__xludf.DUMMYFUNCTION("""COMPUTED_VALUE"""),"GV")</f>
        <v>GV</v>
      </c>
      <c r="M951" s="43" t="str">
        <f>IFERROR(__xludf.DUMMYFUNCTION("""COMPUTED_VALUE"""),"short")</f>
        <v>short</v>
      </c>
      <c r="N951" s="45">
        <f>IFERROR(__xludf.DUMMYFUNCTION("""COMPUTED_VALUE"""),45076.0)</f>
        <v>45076</v>
      </c>
      <c r="O951" s="45">
        <f>IFERROR(__xludf.DUMMYFUNCTION("""COMPUTED_VALUE"""),45467.0)</f>
        <v>45467</v>
      </c>
      <c r="P951" s="45">
        <f>IFERROR(__xludf.DUMMYFUNCTION("""COMPUTED_VALUE"""),45509.0)</f>
        <v>45509</v>
      </c>
      <c r="Q951" s="45"/>
      <c r="R951" s="45"/>
      <c r="S951" s="43"/>
      <c r="T951" s="43"/>
      <c r="U951" s="43" t="str">
        <f>IFERROR(__xludf.DUMMYFUNCTION("""COMPUTED_VALUE"""),"Global Classroom")</f>
        <v>Global Classroom</v>
      </c>
      <c r="V951" s="43" t="str">
        <f>IFERROR(__xludf.DUMMYFUNCTION("""COMPUTED_VALUE"""),"Vitória")</f>
        <v>Vitória</v>
      </c>
      <c r="W951" s="43" t="str">
        <f>IFERROR(__xludf.DUMMYFUNCTION("""COMPUTED_VALUE"""),"2021-03-11T18:47:47Z")</f>
        <v>2021-03-11T18:47:47Z</v>
      </c>
      <c r="X951" s="43"/>
      <c r="Y951" s="43"/>
      <c r="Z951" s="43"/>
    </row>
    <row r="952" hidden="1">
      <c r="A952" s="43" t="str">
        <f>IFERROR(__xludf.DUMMYFUNCTION("""COMPUTED_VALUE"""),"5263752_1287380")</f>
        <v>5263752_1287380</v>
      </c>
      <c r="B952" s="43" t="str">
        <f>IFERROR(__xludf.DUMMYFUNCTION("""COMPUTED_VALUE"""),"Eya Khelifi")</f>
        <v>Eya Khelifi</v>
      </c>
      <c r="C952" s="43" t="str">
        <f>IFERROR(__xludf.DUMMYFUNCTION("""COMPUTED_VALUE"""),"completed")</f>
        <v>completed</v>
      </c>
      <c r="D952" s="43" t="str">
        <f>IFERROR(__xludf.DUMMYFUNCTION("""COMPUTED_VALUE"""),"No")</f>
        <v>No</v>
      </c>
      <c r="E952" s="43" t="str">
        <f>IFERROR(__xludf.DUMMYFUNCTION("""COMPUTED_VALUE"""),"p_f8c3cabc11759afd14b00ad197737d7660fc8997@inbound.aiesec.org")</f>
        <v>p_f8c3cabc11759afd14b00ad197737d7660fc8997@inbound.aiesec.org</v>
      </c>
      <c r="F952" s="43">
        <f>IFERROR(__xludf.DUMMYFUNCTION("""COMPUTED_VALUE"""),5.0428563E7)</f>
        <v>50428563</v>
      </c>
      <c r="G952" s="43" t="str">
        <f>IFERROR(__xludf.DUMMYFUNCTION("""COMPUTED_VALUE"""),"Tunisia")</f>
        <v>Tunisia</v>
      </c>
      <c r="H952" s="43" t="str">
        <f>IFERROR(__xludf.DUMMYFUNCTION("""COMPUTED_VALUE"""),"BARDO")</f>
        <v>BARDO</v>
      </c>
      <c r="I952" s="43" t="str">
        <f>IFERROR(__xludf.DUMMYFUNCTION("""COMPUTED_VALUE"""),"Turkey")</f>
        <v>Turkey</v>
      </c>
      <c r="J952" s="43" t="str">
        <f>IFERROR(__xludf.DUMMYFUNCTION("""COMPUTED_VALUE"""),"KOCAELI")</f>
        <v>KOCAELI</v>
      </c>
      <c r="K952" s="44" t="str">
        <f>IFERROR(__xludf.DUMMYFUNCTION("""COMPUTED_VALUE"""),"https://expa.aiesec.org/opportunities/1287380")</f>
        <v>https://expa.aiesec.org/opportunities/1287380</v>
      </c>
      <c r="L952" s="43" t="str">
        <f>IFERROR(__xludf.DUMMYFUNCTION("""COMPUTED_VALUE"""),"GV")</f>
        <v>GV</v>
      </c>
      <c r="M952" s="43" t="str">
        <f>IFERROR(__xludf.DUMMYFUNCTION("""COMPUTED_VALUE"""),"short")</f>
        <v>short</v>
      </c>
      <c r="N952" s="45">
        <f>IFERROR(__xludf.DUMMYFUNCTION("""COMPUTED_VALUE"""),45077.0)</f>
        <v>45077</v>
      </c>
      <c r="O952" s="45">
        <f>IFERROR(__xludf.DUMMYFUNCTION("""COMPUTED_VALUE"""),45110.0)</f>
        <v>45110</v>
      </c>
      <c r="P952" s="45">
        <f>IFERROR(__xludf.DUMMYFUNCTION("""COMPUTED_VALUE"""),45152.0)</f>
        <v>45152</v>
      </c>
      <c r="Q952" s="45">
        <f>IFERROR(__xludf.DUMMYFUNCTION("""COMPUTED_VALUE"""),45110.0)</f>
        <v>45110</v>
      </c>
      <c r="R952" s="45">
        <f>IFERROR(__xludf.DUMMYFUNCTION("""COMPUTED_VALUE"""),45152.0)</f>
        <v>45152</v>
      </c>
      <c r="S952" s="43"/>
      <c r="T952" s="43"/>
      <c r="U952" s="43" t="str">
        <f>IFERROR(__xludf.DUMMYFUNCTION("""COMPUTED_VALUE"""),"Global Classroom")</f>
        <v>Global Classroom</v>
      </c>
      <c r="V952" s="43" t="str">
        <f>IFERROR(__xludf.DUMMYFUNCTION("""COMPUTED_VALUE"""),"ISG Tunis")</f>
        <v>ISG Tunis</v>
      </c>
      <c r="W952" s="43" t="str">
        <f>IFERROR(__xludf.DUMMYFUNCTION("""COMPUTED_VALUE"""),"2023-05-19T19:25:00Z")</f>
        <v>2023-05-19T19:25:00Z</v>
      </c>
      <c r="X952" s="43"/>
      <c r="Y952" s="43"/>
      <c r="Z952" s="43"/>
    </row>
    <row r="953" hidden="1">
      <c r="A953" s="43" t="str">
        <f>IFERROR(__xludf.DUMMYFUNCTION("""COMPUTED_VALUE"""),"5078236_1294372")</f>
        <v>5078236_1294372</v>
      </c>
      <c r="B953" s="43" t="str">
        <f>IFERROR(__xludf.DUMMYFUNCTION("""COMPUTED_VALUE"""),"Nada Sara Takdenti")</f>
        <v>Nada Sara Takdenti</v>
      </c>
      <c r="C953" s="43" t="str">
        <f>IFERROR(__xludf.DUMMYFUNCTION("""COMPUTED_VALUE"""),"approved")</f>
        <v>approved</v>
      </c>
      <c r="D953" s="43" t="str">
        <f>IFERROR(__xludf.DUMMYFUNCTION("""COMPUTED_VALUE"""),"No")</f>
        <v>No</v>
      </c>
      <c r="E953" s="43" t="str">
        <f>IFERROR(__xludf.DUMMYFUNCTION("""COMPUTED_VALUE"""),"p_d64232d09e29d0477978410e7428930f42dfc697@inbound.aiesec.org")</f>
        <v>p_d64232d09e29d0477978410e7428930f42dfc697@inbound.aiesec.org</v>
      </c>
      <c r="F953" s="43"/>
      <c r="G953" s="43" t="str">
        <f>IFERROR(__xludf.DUMMYFUNCTION("""COMPUTED_VALUE"""),"Algeria")</f>
        <v>Algeria</v>
      </c>
      <c r="H953" s="43" t="str">
        <f>IFERROR(__xludf.DUMMYFUNCTION("""COMPUTED_VALUE"""),"Blida")</f>
        <v>Blida</v>
      </c>
      <c r="I953" s="43" t="str">
        <f>IFERROR(__xludf.DUMMYFUNCTION("""COMPUTED_VALUE"""),"Turkey")</f>
        <v>Turkey</v>
      </c>
      <c r="J953" s="43" t="str">
        <f>IFERROR(__xludf.DUMMYFUNCTION("""COMPUTED_VALUE"""),"ANKARA")</f>
        <v>ANKARA</v>
      </c>
      <c r="K953" s="44" t="str">
        <f>IFERROR(__xludf.DUMMYFUNCTION("""COMPUTED_VALUE"""),"https://expa.aiesec.org/opportunities/1294372")</f>
        <v>https://expa.aiesec.org/opportunities/1294372</v>
      </c>
      <c r="L953" s="43" t="str">
        <f>IFERROR(__xludf.DUMMYFUNCTION("""COMPUTED_VALUE"""),"GV")</f>
        <v>GV</v>
      </c>
      <c r="M953" s="43" t="str">
        <f>IFERROR(__xludf.DUMMYFUNCTION("""COMPUTED_VALUE"""),"short")</f>
        <v>short</v>
      </c>
      <c r="N953" s="45">
        <f>IFERROR(__xludf.DUMMYFUNCTION("""COMPUTED_VALUE"""),45077.0)</f>
        <v>45077</v>
      </c>
      <c r="O953" s="45">
        <f>IFERROR(__xludf.DUMMYFUNCTION("""COMPUTED_VALUE"""),45110.0)</f>
        <v>45110</v>
      </c>
      <c r="P953" s="45">
        <f>IFERROR(__xludf.DUMMYFUNCTION("""COMPUTED_VALUE"""),45152.0)</f>
        <v>45152</v>
      </c>
      <c r="Q953" s="45"/>
      <c r="R953" s="45"/>
      <c r="S953" s="43"/>
      <c r="T953" s="43"/>
      <c r="U953" s="43" t="str">
        <f>IFERROR(__xludf.DUMMYFUNCTION("""COMPUTED_VALUE"""),"Global Classroom")</f>
        <v>Global Classroom</v>
      </c>
      <c r="V953" s="43" t="str">
        <f>IFERROR(__xludf.DUMMYFUNCTION("""COMPUTED_VALUE"""),"-")</f>
        <v>-</v>
      </c>
      <c r="W953" s="43" t="str">
        <f>IFERROR(__xludf.DUMMYFUNCTION("""COMPUTED_VALUE"""),"2022-06-30T01:36:55Z")</f>
        <v>2022-06-30T01:36:55Z</v>
      </c>
      <c r="X953" s="43"/>
      <c r="Y953" s="43"/>
      <c r="Z953" s="43"/>
    </row>
    <row r="954" hidden="1">
      <c r="A954" s="43" t="str">
        <f>IFERROR(__xludf.DUMMYFUNCTION("""COMPUTED_VALUE"""),"5243383_1284670")</f>
        <v>5243383_1284670</v>
      </c>
      <c r="B954" s="43" t="str">
        <f>IFERROR(__xludf.DUMMYFUNCTION("""COMPUTED_VALUE"""),"Telmo Abreu")</f>
        <v>Telmo Abreu</v>
      </c>
      <c r="C954" s="43" t="str">
        <f>IFERROR(__xludf.DUMMYFUNCTION("""COMPUTED_VALUE"""),"approved")</f>
        <v>approved</v>
      </c>
      <c r="D954" s="43" t="str">
        <f>IFERROR(__xludf.DUMMYFUNCTION("""COMPUTED_VALUE"""),"No")</f>
        <v>No</v>
      </c>
      <c r="E954" s="43" t="str">
        <f>IFERROR(__xludf.DUMMYFUNCTION("""COMPUTED_VALUE"""),"p_1d55bd6351fa72528165b6d4c6ffde4a29788af4@inbound.aiesec.org")</f>
        <v>p_1d55bd6351fa72528165b6d4c6ffde4a29788af4@inbound.aiesec.org</v>
      </c>
      <c r="F954" s="43"/>
      <c r="G954" s="43" t="str">
        <f>IFERROR(__xludf.DUMMYFUNCTION("""COMPUTED_VALUE"""),"Portugal")</f>
        <v>Portugal</v>
      </c>
      <c r="H954" s="43" t="str">
        <f>IFERROR(__xludf.DUMMYFUNCTION("""COMPUTED_VALUE"""),"PORTO FEP")</f>
        <v>PORTO FEP</v>
      </c>
      <c r="I954" s="43" t="str">
        <f>IFERROR(__xludf.DUMMYFUNCTION("""COMPUTED_VALUE"""),"Turkey")</f>
        <v>Turkey</v>
      </c>
      <c r="J954" s="43" t="str">
        <f>IFERROR(__xludf.DUMMYFUNCTION("""COMPUTED_VALUE"""),"ISTANBUL")</f>
        <v>ISTANBUL</v>
      </c>
      <c r="K954" s="44" t="str">
        <f>IFERROR(__xludf.DUMMYFUNCTION("""COMPUTED_VALUE"""),"https://expa.aiesec.org/opportunities/1284670")</f>
        <v>https://expa.aiesec.org/opportunities/1284670</v>
      </c>
      <c r="L954" s="43" t="str">
        <f>IFERROR(__xludf.DUMMYFUNCTION("""COMPUTED_VALUE"""),"GV")</f>
        <v>GV</v>
      </c>
      <c r="M954" s="43" t="str">
        <f>IFERROR(__xludf.DUMMYFUNCTION("""COMPUTED_VALUE"""),"short")</f>
        <v>short</v>
      </c>
      <c r="N954" s="45">
        <f>IFERROR(__xludf.DUMMYFUNCTION("""COMPUTED_VALUE"""),45077.0)</f>
        <v>45077</v>
      </c>
      <c r="O954" s="45">
        <f>IFERROR(__xludf.DUMMYFUNCTION("""COMPUTED_VALUE"""),45110.0)</f>
        <v>45110</v>
      </c>
      <c r="P954" s="45">
        <f>IFERROR(__xludf.DUMMYFUNCTION("""COMPUTED_VALUE"""),45152.0)</f>
        <v>45152</v>
      </c>
      <c r="Q954" s="45"/>
      <c r="R954" s="45"/>
      <c r="S954" s="43"/>
      <c r="T954" s="43"/>
      <c r="U954" s="43" t="str">
        <f>IFERROR(__xludf.DUMMYFUNCTION("""COMPUTED_VALUE"""),"Heartbeat")</f>
        <v>Heartbeat</v>
      </c>
      <c r="V954" s="43" t="str">
        <f>IFERROR(__xludf.DUMMYFUNCTION("""COMPUTED_VALUE"""),"-")</f>
        <v>-</v>
      </c>
      <c r="W954" s="43" t="str">
        <f>IFERROR(__xludf.DUMMYFUNCTION("""COMPUTED_VALUE"""),"2023-04-16T19:06:41Z")</f>
        <v>2023-04-16T19:06:41Z</v>
      </c>
      <c r="X954" s="43"/>
      <c r="Y954" s="43"/>
      <c r="Z954" s="43"/>
    </row>
    <row r="955" hidden="1">
      <c r="A955" s="43" t="str">
        <f>IFERROR(__xludf.DUMMYFUNCTION("""COMPUTED_VALUE"""),"5266161_1294068")</f>
        <v>5266161_1294068</v>
      </c>
      <c r="B955" s="43" t="str">
        <f>IFERROR(__xludf.DUMMYFUNCTION("""COMPUTED_VALUE"""),"Niculae Marian Iulian")</f>
        <v>Niculae Marian Iulian</v>
      </c>
      <c r="C955" s="43" t="str">
        <f>IFERROR(__xludf.DUMMYFUNCTION("""COMPUTED_VALUE"""),"completed")</f>
        <v>completed</v>
      </c>
      <c r="D955" s="43" t="str">
        <f>IFERROR(__xludf.DUMMYFUNCTION("""COMPUTED_VALUE"""),"No")</f>
        <v>No</v>
      </c>
      <c r="E955" s="43" t="str">
        <f>IFERROR(__xludf.DUMMYFUNCTION("""COMPUTED_VALUE"""),"p_42131f9bde92ba04dad192161cd9055d4a199167@inbound.aiesec.org")</f>
        <v>p_42131f9bde92ba04dad192161cd9055d4a199167@inbound.aiesec.org</v>
      </c>
      <c r="F955" s="43"/>
      <c r="G955" s="43" t="str">
        <f>IFERROR(__xludf.DUMMYFUNCTION("""COMPUTED_VALUE"""),"Romania")</f>
        <v>Romania</v>
      </c>
      <c r="H955" s="43" t="str">
        <f>IFERROR(__xludf.DUMMYFUNCTION("""COMPUTED_VALUE"""),"BUCURESTI")</f>
        <v>BUCURESTI</v>
      </c>
      <c r="I955" s="43" t="str">
        <f>IFERROR(__xludf.DUMMYFUNCTION("""COMPUTED_VALUE"""),"Turkey")</f>
        <v>Turkey</v>
      </c>
      <c r="J955" s="43" t="str">
        <f>IFERROR(__xludf.DUMMYFUNCTION("""COMPUTED_VALUE"""),"DENIZLI")</f>
        <v>DENIZLI</v>
      </c>
      <c r="K955" s="44" t="str">
        <f>IFERROR(__xludf.DUMMYFUNCTION("""COMPUTED_VALUE"""),"https://expa.aiesec.org/opportunities/1294068")</f>
        <v>https://expa.aiesec.org/opportunities/1294068</v>
      </c>
      <c r="L955" s="43" t="str">
        <f>IFERROR(__xludf.DUMMYFUNCTION("""COMPUTED_VALUE"""),"GV")</f>
        <v>GV</v>
      </c>
      <c r="M955" s="43" t="str">
        <f>IFERROR(__xludf.DUMMYFUNCTION("""COMPUTED_VALUE"""),"short")</f>
        <v>short</v>
      </c>
      <c r="N955" s="45">
        <f>IFERROR(__xludf.DUMMYFUNCTION("""COMPUTED_VALUE"""),45077.0)</f>
        <v>45077</v>
      </c>
      <c r="O955" s="45">
        <f>IFERROR(__xludf.DUMMYFUNCTION("""COMPUTED_VALUE"""),45124.0)</f>
        <v>45124</v>
      </c>
      <c r="P955" s="45">
        <f>IFERROR(__xludf.DUMMYFUNCTION("""COMPUTED_VALUE"""),45166.0)</f>
        <v>45166</v>
      </c>
      <c r="Q955" s="45">
        <f>IFERROR(__xludf.DUMMYFUNCTION("""COMPUTED_VALUE"""),45124.0)</f>
        <v>45124</v>
      </c>
      <c r="R955" s="45">
        <f>IFERROR(__xludf.DUMMYFUNCTION("""COMPUTED_VALUE"""),45166.0)</f>
        <v>45166</v>
      </c>
      <c r="S955" s="43"/>
      <c r="T955" s="43"/>
      <c r="U955" s="43" t="str">
        <f>IFERROR(__xludf.DUMMYFUNCTION("""COMPUTED_VALUE"""),"Equify")</f>
        <v>Equify</v>
      </c>
      <c r="V955" s="43" t="str">
        <f>IFERROR(__xludf.DUMMYFUNCTION("""COMPUTED_VALUE"""),"-")</f>
        <v>-</v>
      </c>
      <c r="W955" s="43" t="str">
        <f>IFERROR(__xludf.DUMMYFUNCTION("""COMPUTED_VALUE"""),"2023-05-24T18:14:23Z")</f>
        <v>2023-05-24T18:14:23Z</v>
      </c>
      <c r="X955" s="43"/>
      <c r="Y955" s="43"/>
      <c r="Z955" s="43"/>
    </row>
    <row r="956" hidden="1">
      <c r="A956" s="43" t="str">
        <f>IFERROR(__xludf.DUMMYFUNCTION("""COMPUTED_VALUE"""),"5262435_1289596")</f>
        <v>5262435_1289596</v>
      </c>
      <c r="B956" s="43" t="str">
        <f>IFERROR(__xludf.DUMMYFUNCTION("""COMPUTED_VALUE"""),"amira elgaml")</f>
        <v>amira elgaml</v>
      </c>
      <c r="C956" s="43" t="str">
        <f>IFERROR(__xludf.DUMMYFUNCTION("""COMPUTED_VALUE"""),"finished")</f>
        <v>finished</v>
      </c>
      <c r="D956" s="43" t="str">
        <f>IFERROR(__xludf.DUMMYFUNCTION("""COMPUTED_VALUE"""),"No")</f>
        <v>No</v>
      </c>
      <c r="E956" s="43" t="str">
        <f>IFERROR(__xludf.DUMMYFUNCTION("""COMPUTED_VALUE"""),"p_448b23074d0fe15bb1dd14d44acf9adf24c48249@inbound.aiesec.org")</f>
        <v>p_448b23074d0fe15bb1dd14d44acf9adf24c48249@inbound.aiesec.org</v>
      </c>
      <c r="F956" s="43">
        <f>IFERROR(__xludf.DUMMYFUNCTION("""COMPUTED_VALUE"""),1.050506413E9)</f>
        <v>1050506413</v>
      </c>
      <c r="G956" s="43" t="str">
        <f>IFERROR(__xludf.DUMMYFUNCTION("""COMPUTED_VALUE"""),"Egypt")</f>
        <v>Egypt</v>
      </c>
      <c r="H956" s="43" t="str">
        <f>IFERROR(__xludf.DUMMYFUNCTION("""COMPUTED_VALUE"""),"Mansoura")</f>
        <v>Mansoura</v>
      </c>
      <c r="I956" s="43" t="str">
        <f>IFERROR(__xludf.DUMMYFUNCTION("""COMPUTED_VALUE"""),"Turkey")</f>
        <v>Turkey</v>
      </c>
      <c r="J956" s="43" t="str">
        <f>IFERROR(__xludf.DUMMYFUNCTION("""COMPUTED_VALUE"""),"ISPARTA")</f>
        <v>ISPARTA</v>
      </c>
      <c r="K956" s="44" t="str">
        <f>IFERROR(__xludf.DUMMYFUNCTION("""COMPUTED_VALUE"""),"https://expa.aiesec.org/opportunities/1289596")</f>
        <v>https://expa.aiesec.org/opportunities/1289596</v>
      </c>
      <c r="L956" s="43" t="str">
        <f>IFERROR(__xludf.DUMMYFUNCTION("""COMPUTED_VALUE"""),"GV")</f>
        <v>GV</v>
      </c>
      <c r="M956" s="43" t="str">
        <f>IFERROR(__xludf.DUMMYFUNCTION("""COMPUTED_VALUE"""),"short")</f>
        <v>short</v>
      </c>
      <c r="N956" s="45">
        <f>IFERROR(__xludf.DUMMYFUNCTION("""COMPUTED_VALUE"""),45077.0)</f>
        <v>45077</v>
      </c>
      <c r="O956" s="45">
        <f>IFERROR(__xludf.DUMMYFUNCTION("""COMPUTED_VALUE"""),45257.0)</f>
        <v>45257</v>
      </c>
      <c r="P956" s="45">
        <f>IFERROR(__xludf.DUMMYFUNCTION("""COMPUTED_VALUE"""),45299.0)</f>
        <v>45299</v>
      </c>
      <c r="Q956" s="45">
        <f>IFERROR(__xludf.DUMMYFUNCTION("""COMPUTED_VALUE"""),45258.0)</f>
        <v>45258</v>
      </c>
      <c r="R956" s="45">
        <f>IFERROR(__xludf.DUMMYFUNCTION("""COMPUTED_VALUE"""),45299.0)</f>
        <v>45299</v>
      </c>
      <c r="S956" s="43"/>
      <c r="T956" s="43"/>
      <c r="U956" s="43" t="str">
        <f>IFERROR(__xludf.DUMMYFUNCTION("""COMPUTED_VALUE"""),"Global Classroom")</f>
        <v>Global Classroom</v>
      </c>
      <c r="V956" s="43" t="str">
        <f>IFERROR(__xludf.DUMMYFUNCTION("""COMPUTED_VALUE"""),"Mansoura")</f>
        <v>Mansoura</v>
      </c>
      <c r="W956" s="43" t="str">
        <f>IFERROR(__xludf.DUMMYFUNCTION("""COMPUTED_VALUE"""),"2023-05-17T13:40:32Z")</f>
        <v>2023-05-17T13:40:32Z</v>
      </c>
      <c r="X956" s="43"/>
      <c r="Y956" s="43"/>
      <c r="Z956" s="43"/>
    </row>
    <row r="957" hidden="1">
      <c r="A957" s="43" t="str">
        <f>IFERROR(__xludf.DUMMYFUNCTION("""COMPUTED_VALUE"""),"5270197_1294795")</f>
        <v>5270197_1294795</v>
      </c>
      <c r="B957" s="43" t="str">
        <f>IFERROR(__xludf.DUMMYFUNCTION("""COMPUTED_VALUE"""),"ela laadhari")</f>
        <v>ela laadhari</v>
      </c>
      <c r="C957" s="43" t="str">
        <f>IFERROR(__xludf.DUMMYFUNCTION("""COMPUTED_VALUE"""),"completed")</f>
        <v>completed</v>
      </c>
      <c r="D957" s="43" t="str">
        <f>IFERROR(__xludf.DUMMYFUNCTION("""COMPUTED_VALUE"""),"No")</f>
        <v>No</v>
      </c>
      <c r="E957" s="43" t="str">
        <f>IFERROR(__xludf.DUMMYFUNCTION("""COMPUTED_VALUE"""),"p_b60bb0a7854ee88a7af984657be31fb7632cfced@inbound.aiesec.org")</f>
        <v>p_b60bb0a7854ee88a7af984657be31fb7632cfced@inbound.aiesec.org</v>
      </c>
      <c r="F957" s="43"/>
      <c r="G957" s="43" t="str">
        <f>IFERROR(__xludf.DUMMYFUNCTION("""COMPUTED_VALUE"""),"Tunisia")</f>
        <v>Tunisia</v>
      </c>
      <c r="H957" s="43" t="str">
        <f>IFERROR(__xludf.DUMMYFUNCTION("""COMPUTED_VALUE"""),"HADRUMET")</f>
        <v>HADRUMET</v>
      </c>
      <c r="I957" s="43" t="str">
        <f>IFERROR(__xludf.DUMMYFUNCTION("""COMPUTED_VALUE"""),"Turkey")</f>
        <v>Turkey</v>
      </c>
      <c r="J957" s="43" t="str">
        <f>IFERROR(__xludf.DUMMYFUNCTION("""COMPUTED_VALUE"""),"ADANA")</f>
        <v>ADANA</v>
      </c>
      <c r="K957" s="44" t="str">
        <f>IFERROR(__xludf.DUMMYFUNCTION("""COMPUTED_VALUE"""),"https://expa.aiesec.org/opportunities/1294795")</f>
        <v>https://expa.aiesec.org/opportunities/1294795</v>
      </c>
      <c r="L957" s="43" t="str">
        <f>IFERROR(__xludf.DUMMYFUNCTION("""COMPUTED_VALUE"""),"GV")</f>
        <v>GV</v>
      </c>
      <c r="M957" s="43" t="str">
        <f>IFERROR(__xludf.DUMMYFUNCTION("""COMPUTED_VALUE"""),"short")</f>
        <v>short</v>
      </c>
      <c r="N957" s="45">
        <f>IFERROR(__xludf.DUMMYFUNCTION("""COMPUTED_VALUE"""),45078.0)</f>
        <v>45078</v>
      </c>
      <c r="O957" s="45">
        <f>IFERROR(__xludf.DUMMYFUNCTION("""COMPUTED_VALUE"""),45110.0)</f>
        <v>45110</v>
      </c>
      <c r="P957" s="45">
        <f>IFERROR(__xludf.DUMMYFUNCTION("""COMPUTED_VALUE"""),45156.0)</f>
        <v>45156</v>
      </c>
      <c r="Q957" s="45">
        <f>IFERROR(__xludf.DUMMYFUNCTION("""COMPUTED_VALUE"""),45110.0)</f>
        <v>45110</v>
      </c>
      <c r="R957" s="45">
        <f>IFERROR(__xludf.DUMMYFUNCTION("""COMPUTED_VALUE"""),45156.0)</f>
        <v>45156</v>
      </c>
      <c r="S957" s="43"/>
      <c r="T957" s="43"/>
      <c r="U957" s="43" t="str">
        <f>IFERROR(__xludf.DUMMYFUNCTION("""COMPUTED_VALUE"""),"Global Classroom")</f>
        <v>Global Classroom</v>
      </c>
      <c r="V957" s="43" t="str">
        <f>IFERROR(__xludf.DUMMYFUNCTION("""COMPUTED_VALUE"""),"ISET Sousse")</f>
        <v>ISET Sousse</v>
      </c>
      <c r="W957" s="43" t="str">
        <f>IFERROR(__xludf.DUMMYFUNCTION("""COMPUTED_VALUE"""),"2023-06-01T13:38:55Z")</f>
        <v>2023-06-01T13:38:55Z</v>
      </c>
      <c r="X957" s="43"/>
      <c r="Y957" s="43"/>
      <c r="Z957" s="43"/>
    </row>
    <row r="958" hidden="1">
      <c r="A958" s="43" t="str">
        <f>IFERROR(__xludf.DUMMYFUNCTION("""COMPUTED_VALUE"""),"5245157_1291336")</f>
        <v>5245157_1291336</v>
      </c>
      <c r="B958" s="43" t="str">
        <f>IFERROR(__xludf.DUMMYFUNCTION("""COMPUTED_VALUE"""),"ZARINA ABITOVA")</f>
        <v>ZARINA ABITOVA</v>
      </c>
      <c r="C958" s="43" t="str">
        <f>IFERROR(__xludf.DUMMYFUNCTION("""COMPUTED_VALUE"""),"completed")</f>
        <v>completed</v>
      </c>
      <c r="D958" s="43" t="str">
        <f>IFERROR(__xludf.DUMMYFUNCTION("""COMPUTED_VALUE"""),"No")</f>
        <v>No</v>
      </c>
      <c r="E958" s="43" t="str">
        <f>IFERROR(__xludf.DUMMYFUNCTION("""COMPUTED_VALUE"""),"p_f041fb7e05199b45027322e7e4e6f413f1e56641@inbound.aiesec.org")</f>
        <v>p_f041fb7e05199b45027322e7e4e6f413f1e56641@inbound.aiesec.org</v>
      </c>
      <c r="F958" s="43">
        <f>IFERROR(__xludf.DUMMYFUNCTION("""COMPUTED_VALUE"""),7.778507636E9)</f>
        <v>7778507636</v>
      </c>
      <c r="G958" s="43" t="str">
        <f>IFERROR(__xludf.DUMMYFUNCTION("""COMPUTED_VALUE"""),"Kazakhstan")</f>
        <v>Kazakhstan</v>
      </c>
      <c r="H958" s="43" t="str">
        <f>IFERROR(__xludf.DUMMYFUNCTION("""COMPUTED_VALUE"""),"Astana")</f>
        <v>Astana</v>
      </c>
      <c r="I958" s="43" t="str">
        <f>IFERROR(__xludf.DUMMYFUNCTION("""COMPUTED_VALUE"""),"Turkey")</f>
        <v>Turkey</v>
      </c>
      <c r="J958" s="43" t="str">
        <f>IFERROR(__xludf.DUMMYFUNCTION("""COMPUTED_VALUE"""),"DENIZLI")</f>
        <v>DENIZLI</v>
      </c>
      <c r="K958" s="44" t="str">
        <f>IFERROR(__xludf.DUMMYFUNCTION("""COMPUTED_VALUE"""),"https://expa.aiesec.org/opportunities/1291336")</f>
        <v>https://expa.aiesec.org/opportunities/1291336</v>
      </c>
      <c r="L958" s="43" t="str">
        <f>IFERROR(__xludf.DUMMYFUNCTION("""COMPUTED_VALUE"""),"GV")</f>
        <v>GV</v>
      </c>
      <c r="M958" s="43" t="str">
        <f>IFERROR(__xludf.DUMMYFUNCTION("""COMPUTED_VALUE"""),"short")</f>
        <v>short</v>
      </c>
      <c r="N958" s="45">
        <f>IFERROR(__xludf.DUMMYFUNCTION("""COMPUTED_VALUE"""),45078.0)</f>
        <v>45078</v>
      </c>
      <c r="O958" s="45">
        <f>IFERROR(__xludf.DUMMYFUNCTION("""COMPUTED_VALUE"""),45124.0)</f>
        <v>45124</v>
      </c>
      <c r="P958" s="45">
        <f>IFERROR(__xludf.DUMMYFUNCTION("""COMPUTED_VALUE"""),45166.0)</f>
        <v>45166</v>
      </c>
      <c r="Q958" s="45">
        <f>IFERROR(__xludf.DUMMYFUNCTION("""COMPUTED_VALUE"""),45119.0)</f>
        <v>45119</v>
      </c>
      <c r="R958" s="45">
        <f>IFERROR(__xludf.DUMMYFUNCTION("""COMPUTED_VALUE"""),45166.0)</f>
        <v>45166</v>
      </c>
      <c r="S958" s="43"/>
      <c r="T958" s="43"/>
      <c r="U958" s="43" t="str">
        <f>IFERROR(__xludf.DUMMYFUNCTION("""COMPUTED_VALUE"""),"Global Classroom")</f>
        <v>Global Classroom</v>
      </c>
      <c r="V958" s="43" t="str">
        <f>IFERROR(__xludf.DUMMYFUNCTION("""COMPUTED_VALUE"""),"Ust'-Kamenogorsk")</f>
        <v>Ust'-Kamenogorsk</v>
      </c>
      <c r="W958" s="43" t="str">
        <f>IFERROR(__xludf.DUMMYFUNCTION("""COMPUTED_VALUE"""),"2023-04-19T09:40:05Z")</f>
        <v>2023-04-19T09:40:05Z</v>
      </c>
      <c r="X958" s="43"/>
      <c r="Y958" s="43"/>
      <c r="Z958" s="43"/>
    </row>
    <row r="959" hidden="1">
      <c r="A959" s="43" t="str">
        <f>IFERROR(__xludf.DUMMYFUNCTION("""COMPUTED_VALUE"""),"5270647_1288582")</f>
        <v>5270647_1288582</v>
      </c>
      <c r="B959" s="43" t="str">
        <f>IFERROR(__xludf.DUMMYFUNCTION("""COMPUTED_VALUE"""),"Ali Abdalla")</f>
        <v>Ali Abdalla</v>
      </c>
      <c r="C959" s="43" t="str">
        <f>IFERROR(__xludf.DUMMYFUNCTION("""COMPUTED_VALUE"""),"finished")</f>
        <v>finished</v>
      </c>
      <c r="D959" s="43" t="str">
        <f>IFERROR(__xludf.DUMMYFUNCTION("""COMPUTED_VALUE"""),"No")</f>
        <v>No</v>
      </c>
      <c r="E959" s="43" t="str">
        <f>IFERROR(__xludf.DUMMYFUNCTION("""COMPUTED_VALUE"""),"p_9e0672e052f447bb60205c7949fbe6b4ddcc00b2@inbound.aiesec.org")</f>
        <v>p_9e0672e052f447bb60205c7949fbe6b4ddcc00b2@inbound.aiesec.org</v>
      </c>
      <c r="F959" s="43">
        <f>IFERROR(__xludf.DUMMYFUNCTION("""COMPUTED_VALUE"""),1.121412476E9)</f>
        <v>1121412476</v>
      </c>
      <c r="G959" s="43" t="str">
        <f>IFERROR(__xludf.DUMMYFUNCTION("""COMPUTED_VALUE"""),"Egypt")</f>
        <v>Egypt</v>
      </c>
      <c r="H959" s="43" t="str">
        <f>IFERROR(__xludf.DUMMYFUNCTION("""COMPUTED_VALUE"""),"Suez")</f>
        <v>Suez</v>
      </c>
      <c r="I959" s="43" t="str">
        <f>IFERROR(__xludf.DUMMYFUNCTION("""COMPUTED_VALUE"""),"Turkey")</f>
        <v>Turkey</v>
      </c>
      <c r="J959" s="43" t="str">
        <f>IFERROR(__xludf.DUMMYFUNCTION("""COMPUTED_VALUE"""),"GAZIANTEP")</f>
        <v>GAZIANTEP</v>
      </c>
      <c r="K959" s="44" t="str">
        <f>IFERROR(__xludf.DUMMYFUNCTION("""COMPUTED_VALUE"""),"https://expa.aiesec.org/opportunities/1288582")</f>
        <v>https://expa.aiesec.org/opportunities/1288582</v>
      </c>
      <c r="L959" s="43" t="str">
        <f>IFERROR(__xludf.DUMMYFUNCTION("""COMPUTED_VALUE"""),"GV")</f>
        <v>GV</v>
      </c>
      <c r="M959" s="43" t="str">
        <f>IFERROR(__xludf.DUMMYFUNCTION("""COMPUTED_VALUE"""),"short")</f>
        <v>short</v>
      </c>
      <c r="N959" s="45">
        <f>IFERROR(__xludf.DUMMYFUNCTION("""COMPUTED_VALUE"""),45079.0)</f>
        <v>45079</v>
      </c>
      <c r="O959" s="45">
        <f>IFERROR(__xludf.DUMMYFUNCTION("""COMPUTED_VALUE"""),45140.0)</f>
        <v>45140</v>
      </c>
      <c r="P959" s="45">
        <f>IFERROR(__xludf.DUMMYFUNCTION("""COMPUTED_VALUE"""),45182.0)</f>
        <v>45182</v>
      </c>
      <c r="Q959" s="45">
        <f>IFERROR(__xludf.DUMMYFUNCTION("""COMPUTED_VALUE"""),45140.0)</f>
        <v>45140</v>
      </c>
      <c r="R959" s="45">
        <f>IFERROR(__xludf.DUMMYFUNCTION("""COMPUTED_VALUE"""),45182.0)</f>
        <v>45182</v>
      </c>
      <c r="S959" s="43"/>
      <c r="T959" s="43"/>
      <c r="U959" s="43" t="str">
        <f>IFERROR(__xludf.DUMMYFUNCTION("""COMPUTED_VALUE"""),"Global Classroom")</f>
        <v>Global Classroom</v>
      </c>
      <c r="V959" s="43" t="str">
        <f>IFERROR(__xludf.DUMMYFUNCTION("""COMPUTED_VALUE"""),"Sherouk Academy")</f>
        <v>Sherouk Academy</v>
      </c>
      <c r="W959" s="43" t="str">
        <f>IFERROR(__xludf.DUMMYFUNCTION("""COMPUTED_VALUE"""),"2023-06-02T14:10:24Z")</f>
        <v>2023-06-02T14:10:24Z</v>
      </c>
      <c r="X959" s="43"/>
      <c r="Y959" s="43"/>
      <c r="Z959" s="43"/>
    </row>
    <row r="960" hidden="1">
      <c r="A960" s="43" t="str">
        <f>IFERROR(__xludf.DUMMYFUNCTION("""COMPUTED_VALUE"""),"5270593_1294795")</f>
        <v>5270593_1294795</v>
      </c>
      <c r="B960" s="43" t="str">
        <f>IFERROR(__xludf.DUMMYFUNCTION("""COMPUTED_VALUE"""),"ghaida hammemi")</f>
        <v>ghaida hammemi</v>
      </c>
      <c r="C960" s="43" t="str">
        <f>IFERROR(__xludf.DUMMYFUNCTION("""COMPUTED_VALUE"""),"completed")</f>
        <v>completed</v>
      </c>
      <c r="D960" s="43" t="str">
        <f>IFERROR(__xludf.DUMMYFUNCTION("""COMPUTED_VALUE"""),"No")</f>
        <v>No</v>
      </c>
      <c r="E960" s="43" t="str">
        <f>IFERROR(__xludf.DUMMYFUNCTION("""COMPUTED_VALUE"""),"p_0bf4c72abd245608ce0976527d285e50becfd4fb@inbound.aiesec.org")</f>
        <v>p_0bf4c72abd245608ce0976527d285e50becfd4fb@inbound.aiesec.org</v>
      </c>
      <c r="F960" s="43">
        <f>IFERROR(__xludf.DUMMYFUNCTION("""COMPUTED_VALUE"""),5.0853589E7)</f>
        <v>50853589</v>
      </c>
      <c r="G960" s="43" t="str">
        <f>IFERROR(__xludf.DUMMYFUNCTION("""COMPUTED_VALUE"""),"Tunisia")</f>
        <v>Tunisia</v>
      </c>
      <c r="H960" s="43" t="str">
        <f>IFERROR(__xludf.DUMMYFUNCTION("""COMPUTED_VALUE"""),"HADRUMET")</f>
        <v>HADRUMET</v>
      </c>
      <c r="I960" s="43" t="str">
        <f>IFERROR(__xludf.DUMMYFUNCTION("""COMPUTED_VALUE"""),"Turkey")</f>
        <v>Turkey</v>
      </c>
      <c r="J960" s="43" t="str">
        <f>IFERROR(__xludf.DUMMYFUNCTION("""COMPUTED_VALUE"""),"ADANA")</f>
        <v>ADANA</v>
      </c>
      <c r="K960" s="44" t="str">
        <f>IFERROR(__xludf.DUMMYFUNCTION("""COMPUTED_VALUE"""),"https://expa.aiesec.org/opportunities/1294795")</f>
        <v>https://expa.aiesec.org/opportunities/1294795</v>
      </c>
      <c r="L960" s="43" t="str">
        <f>IFERROR(__xludf.DUMMYFUNCTION("""COMPUTED_VALUE"""),"GV")</f>
        <v>GV</v>
      </c>
      <c r="M960" s="43" t="str">
        <f>IFERROR(__xludf.DUMMYFUNCTION("""COMPUTED_VALUE"""),"short")</f>
        <v>short</v>
      </c>
      <c r="N960" s="45">
        <f>IFERROR(__xludf.DUMMYFUNCTION("""COMPUTED_VALUE"""),45079.0)</f>
        <v>45079</v>
      </c>
      <c r="O960" s="45">
        <f>IFERROR(__xludf.DUMMYFUNCTION("""COMPUTED_VALUE"""),45159.0)</f>
        <v>45159</v>
      </c>
      <c r="P960" s="45">
        <f>IFERROR(__xludf.DUMMYFUNCTION("""COMPUTED_VALUE"""),45205.0)</f>
        <v>45205</v>
      </c>
      <c r="Q960" s="45">
        <f>IFERROR(__xludf.DUMMYFUNCTION("""COMPUTED_VALUE"""),45171.0)</f>
        <v>45171</v>
      </c>
      <c r="R960" s="45">
        <f>IFERROR(__xludf.DUMMYFUNCTION("""COMPUTED_VALUE"""),45218.0)</f>
        <v>45218</v>
      </c>
      <c r="S960" s="43"/>
      <c r="T960" s="43"/>
      <c r="U960" s="43" t="str">
        <f>IFERROR(__xludf.DUMMYFUNCTION("""COMPUTED_VALUE"""),"Global Classroom")</f>
        <v>Global Classroom</v>
      </c>
      <c r="V960" s="43" t="str">
        <f>IFERROR(__xludf.DUMMYFUNCTION("""COMPUTED_VALUE"""),"FLSH Sousse")</f>
        <v>FLSH Sousse</v>
      </c>
      <c r="W960" s="43" t="str">
        <f>IFERROR(__xludf.DUMMYFUNCTION("""COMPUTED_VALUE"""),"2023-06-02T12:32:46Z")</f>
        <v>2023-06-02T12:32:46Z</v>
      </c>
      <c r="X960" s="43"/>
      <c r="Y960" s="43"/>
      <c r="Z960" s="43"/>
    </row>
    <row r="961" hidden="1">
      <c r="A961" s="43" t="str">
        <f>IFERROR(__xludf.DUMMYFUNCTION("""COMPUTED_VALUE"""),"5228099_1294127")</f>
        <v>5228099_1294127</v>
      </c>
      <c r="B961" s="43" t="str">
        <f>IFERROR(__xludf.DUMMYFUNCTION("""COMPUTED_VALUE"""),"Youssef Kobbi")</f>
        <v>Youssef Kobbi</v>
      </c>
      <c r="C961" s="43" t="str">
        <f>IFERROR(__xludf.DUMMYFUNCTION("""COMPUTED_VALUE"""),"completed")</f>
        <v>completed</v>
      </c>
      <c r="D961" s="43" t="str">
        <f>IFERROR(__xludf.DUMMYFUNCTION("""COMPUTED_VALUE"""),"No")</f>
        <v>No</v>
      </c>
      <c r="E961" s="43" t="str">
        <f>IFERROR(__xludf.DUMMYFUNCTION("""COMPUTED_VALUE"""),"p_d766e66fccc9e2d1ef2895fa88f8c9c45ed8e1bc@inbound.aiesec.org")</f>
        <v>p_d766e66fccc9e2d1ef2895fa88f8c9c45ed8e1bc@inbound.aiesec.org</v>
      </c>
      <c r="F961" s="43">
        <f>IFERROR(__xludf.DUMMYFUNCTION("""COMPUTED_VALUE"""),2.9160486E7)</f>
        <v>29160486</v>
      </c>
      <c r="G961" s="43" t="str">
        <f>IFERROR(__xludf.DUMMYFUNCTION("""COMPUTED_VALUE"""),"Tunisia")</f>
        <v>Tunisia</v>
      </c>
      <c r="H961" s="43" t="str">
        <f>IFERROR(__xludf.DUMMYFUNCTION("""COMPUTED_VALUE"""),"BARDO")</f>
        <v>BARDO</v>
      </c>
      <c r="I961" s="43" t="str">
        <f>IFERROR(__xludf.DUMMYFUNCTION("""COMPUTED_VALUE"""),"Turkey")</f>
        <v>Turkey</v>
      </c>
      <c r="J961" s="43" t="str">
        <f>IFERROR(__xludf.DUMMYFUNCTION("""COMPUTED_VALUE"""),"ADANA")</f>
        <v>ADANA</v>
      </c>
      <c r="K961" s="44" t="str">
        <f>IFERROR(__xludf.DUMMYFUNCTION("""COMPUTED_VALUE"""),"https://expa.aiesec.org/opportunities/1294127")</f>
        <v>https://expa.aiesec.org/opportunities/1294127</v>
      </c>
      <c r="L961" s="43" t="str">
        <f>IFERROR(__xludf.DUMMYFUNCTION("""COMPUTED_VALUE"""),"GV")</f>
        <v>GV</v>
      </c>
      <c r="M961" s="43" t="str">
        <f>IFERROR(__xludf.DUMMYFUNCTION("""COMPUTED_VALUE"""),"short")</f>
        <v>short</v>
      </c>
      <c r="N961" s="45">
        <f>IFERROR(__xludf.DUMMYFUNCTION("""COMPUTED_VALUE"""),45079.0)</f>
        <v>45079</v>
      </c>
      <c r="O961" s="45">
        <f>IFERROR(__xludf.DUMMYFUNCTION("""COMPUTED_VALUE"""),45092.0)</f>
        <v>45092</v>
      </c>
      <c r="P961" s="45">
        <f>IFERROR(__xludf.DUMMYFUNCTION("""COMPUTED_VALUE"""),45138.0)</f>
        <v>45138</v>
      </c>
      <c r="Q961" s="45">
        <f>IFERROR(__xludf.DUMMYFUNCTION("""COMPUTED_VALUE"""),45090.0)</f>
        <v>45090</v>
      </c>
      <c r="R961" s="45">
        <f>IFERROR(__xludf.DUMMYFUNCTION("""COMPUTED_VALUE"""),45138.0)</f>
        <v>45138</v>
      </c>
      <c r="S961" s="43"/>
      <c r="T961" s="43"/>
      <c r="U961" s="43" t="str">
        <f>IFERROR(__xludf.DUMMYFUNCTION("""COMPUTED_VALUE"""),"Equify")</f>
        <v>Equify</v>
      </c>
      <c r="V961" s="43" t="str">
        <f>IFERROR(__xludf.DUMMYFUNCTION("""COMPUTED_VALUE"""),"ISG Tunis")</f>
        <v>ISG Tunis</v>
      </c>
      <c r="W961" s="43" t="str">
        <f>IFERROR(__xludf.DUMMYFUNCTION("""COMPUTED_VALUE"""),"2023-03-27T12:31:49Z")</f>
        <v>2023-03-27T12:31:49Z</v>
      </c>
      <c r="X961" s="43"/>
      <c r="Y961" s="43"/>
      <c r="Z961" s="43"/>
    </row>
    <row r="962" hidden="1">
      <c r="A962" s="43" t="str">
        <f>IFERROR(__xludf.DUMMYFUNCTION("""COMPUTED_VALUE"""),"5266090_1294622")</f>
        <v>5266090_1294622</v>
      </c>
      <c r="B962" s="43" t="str">
        <f>IFERROR(__xludf.DUMMYFUNCTION("""COMPUTED_VALUE"""),"Ευαγγελία Μπέκου")</f>
        <v>Ευαγγελία Μπέκου</v>
      </c>
      <c r="C962" s="43" t="str">
        <f>IFERROR(__xludf.DUMMYFUNCTION("""COMPUTED_VALUE"""),"realization_broken")</f>
        <v>realization_broken</v>
      </c>
      <c r="D962" s="43" t="str">
        <f>IFERROR(__xludf.DUMMYFUNCTION("""COMPUTED_VALUE"""),"No")</f>
        <v>No</v>
      </c>
      <c r="E962" s="43" t="str">
        <f>IFERROR(__xludf.DUMMYFUNCTION("""COMPUTED_VALUE"""),"p_0b886349ce112b479a17827bd5b88885c5d6420f@inbound.aiesec.org")</f>
        <v>p_0b886349ce112b479a17827bd5b88885c5d6420f@inbound.aiesec.org</v>
      </c>
      <c r="F962" s="43">
        <f>IFERROR(__xludf.DUMMYFUNCTION("""COMPUTED_VALUE"""),6.983721387E9)</f>
        <v>6983721387</v>
      </c>
      <c r="G962" s="43" t="str">
        <f>IFERROR(__xludf.DUMMYFUNCTION("""COMPUTED_VALUE"""),"Greece")</f>
        <v>Greece</v>
      </c>
      <c r="H962" s="43" t="str">
        <f>IFERROR(__xludf.DUMMYFUNCTION("""COMPUTED_VALUE"""),"Piraeus UNIPI (Athens)")</f>
        <v>Piraeus UNIPI (Athens)</v>
      </c>
      <c r="I962" s="43" t="str">
        <f>IFERROR(__xludf.DUMMYFUNCTION("""COMPUTED_VALUE"""),"Turkey")</f>
        <v>Turkey</v>
      </c>
      <c r="J962" s="43" t="str">
        <f>IFERROR(__xludf.DUMMYFUNCTION("""COMPUTED_VALUE"""),"ADANA")</f>
        <v>ADANA</v>
      </c>
      <c r="K962" s="44" t="str">
        <f>IFERROR(__xludf.DUMMYFUNCTION("""COMPUTED_VALUE"""),"https://expa.aiesec.org/opportunities/1294622")</f>
        <v>https://expa.aiesec.org/opportunities/1294622</v>
      </c>
      <c r="L962" s="43" t="str">
        <f>IFERROR(__xludf.DUMMYFUNCTION("""COMPUTED_VALUE"""),"GV")</f>
        <v>GV</v>
      </c>
      <c r="M962" s="43" t="str">
        <f>IFERROR(__xludf.DUMMYFUNCTION("""COMPUTED_VALUE"""),"short")</f>
        <v>short</v>
      </c>
      <c r="N962" s="45">
        <f>IFERROR(__xludf.DUMMYFUNCTION("""COMPUTED_VALUE"""),45079.0)</f>
        <v>45079</v>
      </c>
      <c r="O962" s="45">
        <f>IFERROR(__xludf.DUMMYFUNCTION("""COMPUTED_VALUE"""),45194.0)</f>
        <v>45194</v>
      </c>
      <c r="P962" s="45">
        <f>IFERROR(__xludf.DUMMYFUNCTION("""COMPUTED_VALUE"""),45240.0)</f>
        <v>45240</v>
      </c>
      <c r="Q962" s="45"/>
      <c r="R962" s="45"/>
      <c r="S962" s="43"/>
      <c r="T962" s="43"/>
      <c r="U962" s="43" t="str">
        <f>IFERROR(__xludf.DUMMYFUNCTION("""COMPUTED_VALUE"""),"Equify")</f>
        <v>Equify</v>
      </c>
      <c r="V962" s="43" t="str">
        <f>IFERROR(__xludf.DUMMYFUNCTION("""COMPUTED_VALUE"""),"-")</f>
        <v>-</v>
      </c>
      <c r="W962" s="43" t="str">
        <f>IFERROR(__xludf.DUMMYFUNCTION("""COMPUTED_VALUE"""),"2023-05-24T15:51:35Z")</f>
        <v>2023-05-24T15:51:35Z</v>
      </c>
      <c r="X962" s="43"/>
      <c r="Y962" s="43"/>
      <c r="Z962" s="43"/>
    </row>
    <row r="963" hidden="1">
      <c r="A963" s="43" t="str">
        <f>IFERROR(__xludf.DUMMYFUNCTION("""COMPUTED_VALUE"""),"5266491_1283891")</f>
        <v>5266491_1283891</v>
      </c>
      <c r="B963" s="43" t="str">
        <f>IFERROR(__xludf.DUMMYFUNCTION("""COMPUTED_VALUE"""),"Ilma Kazagić")</f>
        <v>Ilma Kazagić</v>
      </c>
      <c r="C963" s="43" t="str">
        <f>IFERROR(__xludf.DUMMYFUNCTION("""COMPUTED_VALUE"""),"finished")</f>
        <v>finished</v>
      </c>
      <c r="D963" s="43" t="str">
        <f>IFERROR(__xludf.DUMMYFUNCTION("""COMPUTED_VALUE"""),"No")</f>
        <v>No</v>
      </c>
      <c r="E963" s="43" t="str">
        <f>IFERROR(__xludf.DUMMYFUNCTION("""COMPUTED_VALUE"""),"p_c5153bdd946a2640c277be7f44312a3075bfb741@inbound.aiesec.org")</f>
        <v>p_c5153bdd946a2640c277be7f44312a3075bfb741@inbound.aiesec.org</v>
      </c>
      <c r="F963" s="43">
        <f>IFERROR(__xludf.DUMMYFUNCTION("""COMPUTED_VALUE"""),6.2518143E7)</f>
        <v>62518143</v>
      </c>
      <c r="G963" s="43" t="str">
        <f>IFERROR(__xludf.DUMMYFUNCTION("""COMPUTED_VALUE"""),"Bosnia and Herzegovina")</f>
        <v>Bosnia and Herzegovina</v>
      </c>
      <c r="H963" s="43" t="str">
        <f>IFERROR(__xludf.DUMMYFUNCTION("""COMPUTED_VALUE"""),"SARAJEVO")</f>
        <v>SARAJEVO</v>
      </c>
      <c r="I963" s="43" t="str">
        <f>IFERROR(__xludf.DUMMYFUNCTION("""COMPUTED_VALUE"""),"Turkey")</f>
        <v>Turkey</v>
      </c>
      <c r="J963" s="43" t="str">
        <f>IFERROR(__xludf.DUMMYFUNCTION("""COMPUTED_VALUE"""),"ISTANBUL ASIA")</f>
        <v>ISTANBUL ASIA</v>
      </c>
      <c r="K963" s="44" t="str">
        <f>IFERROR(__xludf.DUMMYFUNCTION("""COMPUTED_VALUE"""),"https://expa.aiesec.org/opportunities/1283891")</f>
        <v>https://expa.aiesec.org/opportunities/1283891</v>
      </c>
      <c r="L963" s="43" t="str">
        <f>IFERROR(__xludf.DUMMYFUNCTION("""COMPUTED_VALUE"""),"GV")</f>
        <v>GV</v>
      </c>
      <c r="M963" s="43" t="str">
        <f>IFERROR(__xludf.DUMMYFUNCTION("""COMPUTED_VALUE"""),"short")</f>
        <v>short</v>
      </c>
      <c r="N963" s="45">
        <f>IFERROR(__xludf.DUMMYFUNCTION("""COMPUTED_VALUE"""),45079.0)</f>
        <v>45079</v>
      </c>
      <c r="O963" s="45">
        <f>IFERROR(__xludf.DUMMYFUNCTION("""COMPUTED_VALUE"""),45187.0)</f>
        <v>45187</v>
      </c>
      <c r="P963" s="45">
        <f>IFERROR(__xludf.DUMMYFUNCTION("""COMPUTED_VALUE"""),45229.0)</f>
        <v>45229</v>
      </c>
      <c r="Q963" s="45">
        <f>IFERROR(__xludf.DUMMYFUNCTION("""COMPUTED_VALUE"""),45188.0)</f>
        <v>45188</v>
      </c>
      <c r="R963" s="45">
        <f>IFERROR(__xludf.DUMMYFUNCTION("""COMPUTED_VALUE"""),45229.0)</f>
        <v>45229</v>
      </c>
      <c r="S963" s="43"/>
      <c r="T963" s="43"/>
      <c r="U963" s="43" t="str">
        <f>IFERROR(__xludf.DUMMYFUNCTION("""COMPUTED_VALUE"""),"Global Classroom")</f>
        <v>Global Classroom</v>
      </c>
      <c r="V963" s="43" t="str">
        <f>IFERROR(__xludf.DUMMYFUNCTION("""COMPUTED_VALUE"""),"Sarajevo")</f>
        <v>Sarajevo</v>
      </c>
      <c r="W963" s="43" t="str">
        <f>IFERROR(__xludf.DUMMYFUNCTION("""COMPUTED_VALUE"""),"2023-05-25T10:47:32Z")</f>
        <v>2023-05-25T10:47:32Z</v>
      </c>
      <c r="X963" s="43"/>
      <c r="Y963" s="43"/>
      <c r="Z963" s="43"/>
    </row>
    <row r="964" hidden="1">
      <c r="A964" s="43" t="str">
        <f>IFERROR(__xludf.DUMMYFUNCTION("""COMPUTED_VALUE"""),"5270938_1295575")</f>
        <v>5270938_1295575</v>
      </c>
      <c r="B964" s="43" t="str">
        <f>IFERROR(__xludf.DUMMYFUNCTION("""COMPUTED_VALUE"""),"athir belhassen")</f>
        <v>athir belhassen</v>
      </c>
      <c r="C964" s="43" t="str">
        <f>IFERROR(__xludf.DUMMYFUNCTION("""COMPUTED_VALUE"""),"approved")</f>
        <v>approved</v>
      </c>
      <c r="D964" s="43" t="str">
        <f>IFERROR(__xludf.DUMMYFUNCTION("""COMPUTED_VALUE"""),"No")</f>
        <v>No</v>
      </c>
      <c r="E964" s="43" t="str">
        <f>IFERROR(__xludf.DUMMYFUNCTION("""COMPUTED_VALUE"""),"p_67a7cfc6f5adc65578ff29120b8f768e65f09185@inbound.aiesec.org")</f>
        <v>p_67a7cfc6f5adc65578ff29120b8f768e65f09185@inbound.aiesec.org</v>
      </c>
      <c r="F964" s="43">
        <f>IFERROR(__xludf.DUMMYFUNCTION("""COMPUTED_VALUE"""),5.8151641E7)</f>
        <v>58151641</v>
      </c>
      <c r="G964" s="43" t="str">
        <f>IFERROR(__xludf.DUMMYFUNCTION("""COMPUTED_VALUE"""),"Tunisia")</f>
        <v>Tunisia</v>
      </c>
      <c r="H964" s="43" t="str">
        <f>IFERROR(__xludf.DUMMYFUNCTION("""COMPUTED_VALUE"""),"HADRUMET")</f>
        <v>HADRUMET</v>
      </c>
      <c r="I964" s="43" t="str">
        <f>IFERROR(__xludf.DUMMYFUNCTION("""COMPUTED_VALUE"""),"Turkey")</f>
        <v>Turkey</v>
      </c>
      <c r="J964" s="43" t="str">
        <f>IFERROR(__xludf.DUMMYFUNCTION("""COMPUTED_VALUE"""),"ADANA")</f>
        <v>ADANA</v>
      </c>
      <c r="K964" s="44" t="str">
        <f>IFERROR(__xludf.DUMMYFUNCTION("""COMPUTED_VALUE"""),"https://expa.aiesec.org/opportunities/1295575")</f>
        <v>https://expa.aiesec.org/opportunities/1295575</v>
      </c>
      <c r="L964" s="43" t="str">
        <f>IFERROR(__xludf.DUMMYFUNCTION("""COMPUTED_VALUE"""),"GV")</f>
        <v>GV</v>
      </c>
      <c r="M964" s="43" t="str">
        <f>IFERROR(__xludf.DUMMYFUNCTION("""COMPUTED_VALUE"""),"short")</f>
        <v>short</v>
      </c>
      <c r="N964" s="45">
        <f>IFERROR(__xludf.DUMMYFUNCTION("""COMPUTED_VALUE"""),45080.0)</f>
        <v>45080</v>
      </c>
      <c r="O964" s="45">
        <f>IFERROR(__xludf.DUMMYFUNCTION("""COMPUTED_VALUE"""),45138.0)</f>
        <v>45138</v>
      </c>
      <c r="P964" s="45">
        <f>IFERROR(__xludf.DUMMYFUNCTION("""COMPUTED_VALUE"""),45184.0)</f>
        <v>45184</v>
      </c>
      <c r="Q964" s="45"/>
      <c r="R964" s="45"/>
      <c r="S964" s="43"/>
      <c r="T964" s="43"/>
      <c r="U964" s="43" t="str">
        <f>IFERROR(__xludf.DUMMYFUNCTION("""COMPUTED_VALUE"""),"Global Classroom")</f>
        <v>Global Classroom</v>
      </c>
      <c r="V964" s="43" t="str">
        <f>IFERROR(__xludf.DUMMYFUNCTION("""COMPUTED_VALUE"""),"FLSH Sousse")</f>
        <v>FLSH Sousse</v>
      </c>
      <c r="W964" s="43" t="str">
        <f>IFERROR(__xludf.DUMMYFUNCTION("""COMPUTED_VALUE"""),"2023-06-03T09:48:44Z")</f>
        <v>2023-06-03T09:48:44Z</v>
      </c>
      <c r="X964" s="43"/>
      <c r="Y964" s="43"/>
      <c r="Z964" s="43"/>
    </row>
    <row r="965" hidden="1">
      <c r="A965" s="43" t="str">
        <f>IFERROR(__xludf.DUMMYFUNCTION("""COMPUTED_VALUE"""),"5270948_1293726")</f>
        <v>5270948_1293726</v>
      </c>
      <c r="B965" s="43" t="str">
        <f>IFERROR(__xludf.DUMMYFUNCTION("""COMPUTED_VALUE"""),"roua hajali")</f>
        <v>roua hajali</v>
      </c>
      <c r="C965" s="43" t="str">
        <f>IFERROR(__xludf.DUMMYFUNCTION("""COMPUTED_VALUE"""),"approved")</f>
        <v>approved</v>
      </c>
      <c r="D965" s="43" t="str">
        <f>IFERROR(__xludf.DUMMYFUNCTION("""COMPUTED_VALUE"""),"No")</f>
        <v>No</v>
      </c>
      <c r="E965" s="43" t="str">
        <f>IFERROR(__xludf.DUMMYFUNCTION("""COMPUTED_VALUE"""),"p_4c6eaef1448b93a4e372e37e200193f55a700e18@inbound.aiesec.org")</f>
        <v>p_4c6eaef1448b93a4e372e37e200193f55a700e18@inbound.aiesec.org</v>
      </c>
      <c r="F965" s="43">
        <f>IFERROR(__xludf.DUMMYFUNCTION("""COMPUTED_VALUE"""),9.3098489E7)</f>
        <v>93098489</v>
      </c>
      <c r="G965" s="43" t="str">
        <f>IFERROR(__xludf.DUMMYFUNCTION("""COMPUTED_VALUE"""),"Tunisia")</f>
        <v>Tunisia</v>
      </c>
      <c r="H965" s="43" t="str">
        <f>IFERROR(__xludf.DUMMYFUNCTION("""COMPUTED_VALUE"""),"HADRUMET")</f>
        <v>HADRUMET</v>
      </c>
      <c r="I965" s="43" t="str">
        <f>IFERROR(__xludf.DUMMYFUNCTION("""COMPUTED_VALUE"""),"Turkey")</f>
        <v>Turkey</v>
      </c>
      <c r="J965" s="43" t="str">
        <f>IFERROR(__xludf.DUMMYFUNCTION("""COMPUTED_VALUE"""),"DENIZLI")</f>
        <v>DENIZLI</v>
      </c>
      <c r="K965" s="44" t="str">
        <f>IFERROR(__xludf.DUMMYFUNCTION("""COMPUTED_VALUE"""),"https://expa.aiesec.org/opportunities/1293726")</f>
        <v>https://expa.aiesec.org/opportunities/1293726</v>
      </c>
      <c r="L965" s="43" t="str">
        <f>IFERROR(__xludf.DUMMYFUNCTION("""COMPUTED_VALUE"""),"GV")</f>
        <v>GV</v>
      </c>
      <c r="M965" s="43" t="str">
        <f>IFERROR(__xludf.DUMMYFUNCTION("""COMPUTED_VALUE"""),"short")</f>
        <v>short</v>
      </c>
      <c r="N965" s="45">
        <f>IFERROR(__xludf.DUMMYFUNCTION("""COMPUTED_VALUE"""),45080.0)</f>
        <v>45080</v>
      </c>
      <c r="O965" s="45">
        <f>IFERROR(__xludf.DUMMYFUNCTION("""COMPUTED_VALUE"""),45110.0)</f>
        <v>45110</v>
      </c>
      <c r="P965" s="45">
        <f>IFERROR(__xludf.DUMMYFUNCTION("""COMPUTED_VALUE"""),45152.0)</f>
        <v>45152</v>
      </c>
      <c r="Q965" s="45"/>
      <c r="R965" s="45"/>
      <c r="S965" s="43"/>
      <c r="T965" s="43"/>
      <c r="U965" s="43" t="str">
        <f>IFERROR(__xludf.DUMMYFUNCTION("""COMPUTED_VALUE"""),"Global Classroom")</f>
        <v>Global Classroom</v>
      </c>
      <c r="V965" s="43" t="str">
        <f>IFERROR(__xludf.DUMMYFUNCTION("""COMPUTED_VALUE"""),"FLSH Sousse")</f>
        <v>FLSH Sousse</v>
      </c>
      <c r="W965" s="43" t="str">
        <f>IFERROR(__xludf.DUMMYFUNCTION("""COMPUTED_VALUE"""),"2023-06-03T10:04:57Z")</f>
        <v>2023-06-03T10:04:57Z</v>
      </c>
      <c r="X965" s="43"/>
      <c r="Y965" s="43"/>
      <c r="Z965" s="43"/>
    </row>
    <row r="966" hidden="1">
      <c r="A966" s="43" t="str">
        <f>IFERROR(__xludf.DUMMYFUNCTION("""COMPUTED_VALUE"""),"5270540_1285687")</f>
        <v>5270540_1285687</v>
      </c>
      <c r="B966" s="43" t="str">
        <f>IFERROR(__xludf.DUMMYFUNCTION("""COMPUTED_VALUE"""),"Nour Ben slimen")</f>
        <v>Nour Ben slimen</v>
      </c>
      <c r="C966" s="43" t="str">
        <f>IFERROR(__xludf.DUMMYFUNCTION("""COMPUTED_VALUE"""),"completed")</f>
        <v>completed</v>
      </c>
      <c r="D966" s="43" t="str">
        <f>IFERROR(__xludf.DUMMYFUNCTION("""COMPUTED_VALUE"""),"No")</f>
        <v>No</v>
      </c>
      <c r="E966" s="43" t="str">
        <f>IFERROR(__xludf.DUMMYFUNCTION("""COMPUTED_VALUE"""),"p_6f50029fc9dd2ddc8ddbef4faaf902317573f9d5@inbound.aiesec.org")</f>
        <v>p_6f50029fc9dd2ddc8ddbef4faaf902317573f9d5@inbound.aiesec.org</v>
      </c>
      <c r="F966" s="43"/>
      <c r="G966" s="43" t="str">
        <f>IFERROR(__xludf.DUMMYFUNCTION("""COMPUTED_VALUE"""),"Tunisia")</f>
        <v>Tunisia</v>
      </c>
      <c r="H966" s="43" t="str">
        <f>IFERROR(__xludf.DUMMYFUNCTION("""COMPUTED_VALUE"""),"Carthage")</f>
        <v>Carthage</v>
      </c>
      <c r="I966" s="43" t="str">
        <f>IFERROR(__xludf.DUMMYFUNCTION("""COMPUTED_VALUE"""),"Turkey")</f>
        <v>Turkey</v>
      </c>
      <c r="J966" s="43" t="str">
        <f>IFERROR(__xludf.DUMMYFUNCTION("""COMPUTED_VALUE"""),"ISTANBUL")</f>
        <v>ISTANBUL</v>
      </c>
      <c r="K966" s="44" t="str">
        <f>IFERROR(__xludf.DUMMYFUNCTION("""COMPUTED_VALUE"""),"https://expa.aiesec.org/opportunities/1285687")</f>
        <v>https://expa.aiesec.org/opportunities/1285687</v>
      </c>
      <c r="L966" s="43" t="str">
        <f>IFERROR(__xludf.DUMMYFUNCTION("""COMPUTED_VALUE"""),"GV")</f>
        <v>GV</v>
      </c>
      <c r="M966" s="43" t="str">
        <f>IFERROR(__xludf.DUMMYFUNCTION("""COMPUTED_VALUE"""),"short")</f>
        <v>short</v>
      </c>
      <c r="N966" s="45">
        <f>IFERROR(__xludf.DUMMYFUNCTION("""COMPUTED_VALUE"""),45080.0)</f>
        <v>45080</v>
      </c>
      <c r="O966" s="45">
        <f>IFERROR(__xludf.DUMMYFUNCTION("""COMPUTED_VALUE"""),45097.0)</f>
        <v>45097</v>
      </c>
      <c r="P966" s="45">
        <f>IFERROR(__xludf.DUMMYFUNCTION("""COMPUTED_VALUE"""),45139.0)</f>
        <v>45139</v>
      </c>
      <c r="Q966" s="45">
        <f>IFERROR(__xludf.DUMMYFUNCTION("""COMPUTED_VALUE"""),45104.0)</f>
        <v>45104</v>
      </c>
      <c r="R966" s="45">
        <f>IFERROR(__xludf.DUMMYFUNCTION("""COMPUTED_VALUE"""),45144.0)</f>
        <v>45144</v>
      </c>
      <c r="S966" s="43"/>
      <c r="T966" s="43"/>
      <c r="U966" s="43" t="str">
        <f>IFERROR(__xludf.DUMMYFUNCTION("""COMPUTED_VALUE"""),"Youth 4 Impact")</f>
        <v>Youth 4 Impact</v>
      </c>
      <c r="V966" s="43" t="str">
        <f>IFERROR(__xludf.DUMMYFUNCTION("""COMPUTED_VALUE"""),"-")</f>
        <v>-</v>
      </c>
      <c r="W966" s="43" t="str">
        <f>IFERROR(__xludf.DUMMYFUNCTION("""COMPUTED_VALUE"""),"2023-06-02T10:50:17Z")</f>
        <v>2023-06-02T10:50:17Z</v>
      </c>
      <c r="X966" s="43"/>
      <c r="Y966" s="43"/>
      <c r="Z966" s="43"/>
    </row>
    <row r="967" hidden="1">
      <c r="A967" s="43" t="str">
        <f>IFERROR(__xludf.DUMMYFUNCTION("""COMPUTED_VALUE"""),"5228163_1295261")</f>
        <v>5228163_1295261</v>
      </c>
      <c r="B967" s="43" t="str">
        <f>IFERROR(__xludf.DUMMYFUNCTION("""COMPUTED_VALUE"""),"sarra aissaoui")</f>
        <v>sarra aissaoui</v>
      </c>
      <c r="C967" s="43" t="str">
        <f>IFERROR(__xludf.DUMMYFUNCTION("""COMPUTED_VALUE"""),"completed")</f>
        <v>completed</v>
      </c>
      <c r="D967" s="43" t="str">
        <f>IFERROR(__xludf.DUMMYFUNCTION("""COMPUTED_VALUE"""),"No")</f>
        <v>No</v>
      </c>
      <c r="E967" s="43" t="str">
        <f>IFERROR(__xludf.DUMMYFUNCTION("""COMPUTED_VALUE"""),"p_26316d25e8ba567c8dd47106116095dac08d21e7@inbound.aiesec.org")</f>
        <v>p_26316d25e8ba567c8dd47106116095dac08d21e7@inbound.aiesec.org</v>
      </c>
      <c r="F967" s="43">
        <f>IFERROR(__xludf.DUMMYFUNCTION("""COMPUTED_VALUE"""),9.399947E7)</f>
        <v>93999470</v>
      </c>
      <c r="G967" s="43" t="str">
        <f>IFERROR(__xludf.DUMMYFUNCTION("""COMPUTED_VALUE"""),"Tunisia")</f>
        <v>Tunisia</v>
      </c>
      <c r="H967" s="43" t="str">
        <f>IFERROR(__xludf.DUMMYFUNCTION("""COMPUTED_VALUE"""),"BARDO")</f>
        <v>BARDO</v>
      </c>
      <c r="I967" s="43" t="str">
        <f>IFERROR(__xludf.DUMMYFUNCTION("""COMPUTED_VALUE"""),"Turkey")</f>
        <v>Turkey</v>
      </c>
      <c r="J967" s="43" t="str">
        <f>IFERROR(__xludf.DUMMYFUNCTION("""COMPUTED_VALUE"""),"KOCAELI")</f>
        <v>KOCAELI</v>
      </c>
      <c r="K967" s="44" t="str">
        <f>IFERROR(__xludf.DUMMYFUNCTION("""COMPUTED_VALUE"""),"https://expa.aiesec.org/opportunities/1295261")</f>
        <v>https://expa.aiesec.org/opportunities/1295261</v>
      </c>
      <c r="L967" s="43" t="str">
        <f>IFERROR(__xludf.DUMMYFUNCTION("""COMPUTED_VALUE"""),"GV")</f>
        <v>GV</v>
      </c>
      <c r="M967" s="43" t="str">
        <f>IFERROR(__xludf.DUMMYFUNCTION("""COMPUTED_VALUE"""),"short")</f>
        <v>short</v>
      </c>
      <c r="N967" s="45">
        <f>IFERROR(__xludf.DUMMYFUNCTION("""COMPUTED_VALUE"""),45080.0)</f>
        <v>45080</v>
      </c>
      <c r="O967" s="45">
        <f>IFERROR(__xludf.DUMMYFUNCTION("""COMPUTED_VALUE"""),45110.0)</f>
        <v>45110</v>
      </c>
      <c r="P967" s="45">
        <f>IFERROR(__xludf.DUMMYFUNCTION("""COMPUTED_VALUE"""),45152.0)</f>
        <v>45152</v>
      </c>
      <c r="Q967" s="45">
        <f>IFERROR(__xludf.DUMMYFUNCTION("""COMPUTED_VALUE"""),45110.0)</f>
        <v>45110</v>
      </c>
      <c r="R967" s="45">
        <f>IFERROR(__xludf.DUMMYFUNCTION("""COMPUTED_VALUE"""),45152.0)</f>
        <v>45152</v>
      </c>
      <c r="S967" s="43"/>
      <c r="T967" s="43"/>
      <c r="U967" s="43" t="str">
        <f>IFERROR(__xludf.DUMMYFUNCTION("""COMPUTED_VALUE"""),"Rooted")</f>
        <v>Rooted</v>
      </c>
      <c r="V967" s="43" t="str">
        <f>IFERROR(__xludf.DUMMYFUNCTION("""COMPUTED_VALUE"""),"ESPRIT El Ghazela ")</f>
        <v>ESPRIT El Ghazela </v>
      </c>
      <c r="W967" s="43" t="str">
        <f>IFERROR(__xludf.DUMMYFUNCTION("""COMPUTED_VALUE"""),"2023-03-27T13:35:22Z")</f>
        <v>2023-03-27T13:35:22Z</v>
      </c>
      <c r="X967" s="43"/>
      <c r="Y967" s="43"/>
      <c r="Z967" s="43"/>
    </row>
    <row r="968" hidden="1">
      <c r="A968" s="43" t="str">
        <f>IFERROR(__xludf.DUMMYFUNCTION("""COMPUTED_VALUE"""),"5263007_1288490")</f>
        <v>5263007_1288490</v>
      </c>
      <c r="B968" s="43" t="str">
        <f>IFERROR(__xludf.DUMMYFUNCTION("""COMPUTED_VALUE"""),"Hana Mamdouh")</f>
        <v>Hana Mamdouh</v>
      </c>
      <c r="C968" s="43" t="str">
        <f>IFERROR(__xludf.DUMMYFUNCTION("""COMPUTED_VALUE"""),"approved")</f>
        <v>approved</v>
      </c>
      <c r="D968" s="43" t="str">
        <f>IFERROR(__xludf.DUMMYFUNCTION("""COMPUTED_VALUE"""),"No")</f>
        <v>No</v>
      </c>
      <c r="E968" s="43" t="str">
        <f>IFERROR(__xludf.DUMMYFUNCTION("""COMPUTED_VALUE"""),"p_f5093a6770f362a23af21e8e4ee5cba510bdc99b@inbound.aiesec.org")</f>
        <v>p_f5093a6770f362a23af21e8e4ee5cba510bdc99b@inbound.aiesec.org</v>
      </c>
      <c r="F968" s="43">
        <f>IFERROR(__xludf.DUMMYFUNCTION("""COMPUTED_VALUE"""),1.018524421E9)</f>
        <v>1018524421</v>
      </c>
      <c r="G968" s="43" t="str">
        <f>IFERROR(__xludf.DUMMYFUNCTION("""COMPUTED_VALUE"""),"Egypt")</f>
        <v>Egypt</v>
      </c>
      <c r="H968" s="43" t="str">
        <f>IFERROR(__xludf.DUMMYFUNCTION("""COMPUTED_VALUE"""),"Alexandria")</f>
        <v>Alexandria</v>
      </c>
      <c r="I968" s="43" t="str">
        <f>IFERROR(__xludf.DUMMYFUNCTION("""COMPUTED_VALUE"""),"Turkey")</f>
        <v>Turkey</v>
      </c>
      <c r="J968" s="43" t="str">
        <f>IFERROR(__xludf.DUMMYFUNCTION("""COMPUTED_VALUE"""),"ISPARTA")</f>
        <v>ISPARTA</v>
      </c>
      <c r="K968" s="44" t="str">
        <f>IFERROR(__xludf.DUMMYFUNCTION("""COMPUTED_VALUE"""),"https://expa.aiesec.org/opportunities/1288490")</f>
        <v>https://expa.aiesec.org/opportunities/1288490</v>
      </c>
      <c r="L968" s="43" t="str">
        <f>IFERROR(__xludf.DUMMYFUNCTION("""COMPUTED_VALUE"""),"GV")</f>
        <v>GV</v>
      </c>
      <c r="M968" s="43" t="str">
        <f>IFERROR(__xludf.DUMMYFUNCTION("""COMPUTED_VALUE"""),"short")</f>
        <v>short</v>
      </c>
      <c r="N968" s="45">
        <f>IFERROR(__xludf.DUMMYFUNCTION("""COMPUTED_VALUE"""),45080.0)</f>
        <v>45080</v>
      </c>
      <c r="O968" s="45">
        <f>IFERROR(__xludf.DUMMYFUNCTION("""COMPUTED_VALUE"""),45173.0)</f>
        <v>45173</v>
      </c>
      <c r="P968" s="45">
        <f>IFERROR(__xludf.DUMMYFUNCTION("""COMPUTED_VALUE"""),45215.0)</f>
        <v>45215</v>
      </c>
      <c r="Q968" s="45"/>
      <c r="R968" s="45"/>
      <c r="S968" s="43"/>
      <c r="T968" s="43"/>
      <c r="U968" s="43" t="str">
        <f>IFERROR(__xludf.DUMMYFUNCTION("""COMPUTED_VALUE"""),"Global Classroom")</f>
        <v>Global Classroom</v>
      </c>
      <c r="V968" s="43" t="str">
        <f>IFERROR(__xludf.DUMMYFUNCTION("""COMPUTED_VALUE"""),"Alexandria University")</f>
        <v>Alexandria University</v>
      </c>
      <c r="W968" s="43" t="str">
        <f>IFERROR(__xludf.DUMMYFUNCTION("""COMPUTED_VALUE"""),"2023-05-18T15:08:06Z")</f>
        <v>2023-05-18T15:08:06Z</v>
      </c>
      <c r="X968" s="43"/>
      <c r="Y968" s="43"/>
      <c r="Z968" s="43"/>
    </row>
    <row r="969">
      <c r="A969" s="43" t="str">
        <f>IFERROR(__xludf.DUMMYFUNCTION("""COMPUTED_VALUE"""),"5260418_1285687")</f>
        <v>5260418_1285687</v>
      </c>
      <c r="B969" s="43" t="str">
        <f>IFERROR(__xludf.DUMMYFUNCTION("""COMPUTED_VALUE"""),"Diana Ashimova")</f>
        <v>Diana Ashimova</v>
      </c>
      <c r="C969" s="43" t="str">
        <f>IFERROR(__xludf.DUMMYFUNCTION("""COMPUTED_VALUE"""),"approved")</f>
        <v>approved</v>
      </c>
      <c r="D969" s="43" t="str">
        <f>IFERROR(__xludf.DUMMYFUNCTION("""COMPUTED_VALUE"""),"No")</f>
        <v>No</v>
      </c>
      <c r="E969" s="43" t="str">
        <f>IFERROR(__xludf.DUMMYFUNCTION("""COMPUTED_VALUE"""),"p_9dd796f30bb722bba7c4a0c2453017683b537aa0@inbound.aiesec.org")</f>
        <v>p_9dd796f30bb722bba7c4a0c2453017683b537aa0@inbound.aiesec.org</v>
      </c>
      <c r="F969" s="43">
        <f>IFERROR(__xludf.DUMMYFUNCTION("""COMPUTED_VALUE"""),7.751093556E9)</f>
        <v>7751093556</v>
      </c>
      <c r="G969" s="43" t="str">
        <f>IFERROR(__xludf.DUMMYFUNCTION("""COMPUTED_VALUE"""),"Kazakhstan")</f>
        <v>Kazakhstan</v>
      </c>
      <c r="H969" s="43" t="str">
        <f>IFERROR(__xludf.DUMMYFUNCTION("""COMPUTED_VALUE"""),"Astana")</f>
        <v>Astana</v>
      </c>
      <c r="I969" s="43" t="str">
        <f>IFERROR(__xludf.DUMMYFUNCTION("""COMPUTED_VALUE"""),"Turkey")</f>
        <v>Turkey</v>
      </c>
      <c r="J969" s="43" t="str">
        <f>IFERROR(__xludf.DUMMYFUNCTION("""COMPUTED_VALUE"""),"ISTANBUL")</f>
        <v>ISTANBUL</v>
      </c>
      <c r="K969" s="44" t="str">
        <f>IFERROR(__xludf.DUMMYFUNCTION("""COMPUTED_VALUE"""),"https://expa.aiesec.org/opportunities/1285687")</f>
        <v>https://expa.aiesec.org/opportunities/1285687</v>
      </c>
      <c r="L969" s="43" t="str">
        <f>IFERROR(__xludf.DUMMYFUNCTION("""COMPUTED_VALUE"""),"GV")</f>
        <v>GV</v>
      </c>
      <c r="M969" s="43" t="str">
        <f>IFERROR(__xludf.DUMMYFUNCTION("""COMPUTED_VALUE"""),"short")</f>
        <v>short</v>
      </c>
      <c r="N969" s="45">
        <f>IFERROR(__xludf.DUMMYFUNCTION("""COMPUTED_VALUE"""),45081.0)</f>
        <v>45081</v>
      </c>
      <c r="O969" s="45">
        <f>IFERROR(__xludf.DUMMYFUNCTION("""COMPUTED_VALUE"""),45097.0)</f>
        <v>45097</v>
      </c>
      <c r="P969" s="45">
        <f>IFERROR(__xludf.DUMMYFUNCTION("""COMPUTED_VALUE"""),45139.0)</f>
        <v>45139</v>
      </c>
      <c r="Q969" s="45"/>
      <c r="R969" s="45"/>
      <c r="S969" s="43"/>
      <c r="T969" s="43"/>
      <c r="U969" s="43" t="str">
        <f>IFERROR(__xludf.DUMMYFUNCTION("""COMPUTED_VALUE"""),"Youth 4 Impact")</f>
        <v>Youth 4 Impact</v>
      </c>
      <c r="V969" s="43" t="str">
        <f>IFERROR(__xludf.DUMMYFUNCTION("""COMPUTED_VALUE"""),"Astana")</f>
        <v>Astana</v>
      </c>
      <c r="W969" s="43" t="str">
        <f>IFERROR(__xludf.DUMMYFUNCTION("""COMPUTED_VALUE"""),"2023-05-13T10:31:07Z")</f>
        <v>2023-05-13T10:31:07Z</v>
      </c>
      <c r="X969" s="43"/>
      <c r="Y969" s="43"/>
      <c r="Z969" s="43"/>
    </row>
    <row r="970" hidden="1">
      <c r="A970" s="43" t="str">
        <f>IFERROR(__xludf.DUMMYFUNCTION("""COMPUTED_VALUE"""),"2394496_1294068")</f>
        <v>2394496_1294068</v>
      </c>
      <c r="B970" s="43" t="str">
        <f>IFERROR(__xludf.DUMMYFUNCTION("""COMPUTED_VALUE"""),"Ghofrane Charradi")</f>
        <v>Ghofrane Charradi</v>
      </c>
      <c r="C970" s="43" t="str">
        <f>IFERROR(__xludf.DUMMYFUNCTION("""COMPUTED_VALUE"""),"completed")</f>
        <v>completed</v>
      </c>
      <c r="D970" s="43" t="str">
        <f>IFERROR(__xludf.DUMMYFUNCTION("""COMPUTED_VALUE"""),"No")</f>
        <v>No</v>
      </c>
      <c r="E970" s="43" t="str">
        <f>IFERROR(__xludf.DUMMYFUNCTION("""COMPUTED_VALUE"""),"p_b9566bce2a460a86b19f31233fecbaf33a7c4b3f@inbound.aiesec.org")</f>
        <v>p_b9566bce2a460a86b19f31233fecbaf33a7c4b3f@inbound.aiesec.org</v>
      </c>
      <c r="F970" s="43"/>
      <c r="G970" s="43" t="str">
        <f>IFERROR(__xludf.DUMMYFUNCTION("""COMPUTED_VALUE"""),"Tunisia")</f>
        <v>Tunisia</v>
      </c>
      <c r="H970" s="43" t="str">
        <f>IFERROR(__xludf.DUMMYFUNCTION("""COMPUTED_VALUE"""),"BARDO")</f>
        <v>BARDO</v>
      </c>
      <c r="I970" s="43" t="str">
        <f>IFERROR(__xludf.DUMMYFUNCTION("""COMPUTED_VALUE"""),"Turkey")</f>
        <v>Turkey</v>
      </c>
      <c r="J970" s="43" t="str">
        <f>IFERROR(__xludf.DUMMYFUNCTION("""COMPUTED_VALUE"""),"DENIZLI")</f>
        <v>DENIZLI</v>
      </c>
      <c r="K970" s="44" t="str">
        <f>IFERROR(__xludf.DUMMYFUNCTION("""COMPUTED_VALUE"""),"https://expa.aiesec.org/opportunities/1294068")</f>
        <v>https://expa.aiesec.org/opportunities/1294068</v>
      </c>
      <c r="L970" s="43" t="str">
        <f>IFERROR(__xludf.DUMMYFUNCTION("""COMPUTED_VALUE"""),"GV")</f>
        <v>GV</v>
      </c>
      <c r="M970" s="43" t="str">
        <f>IFERROR(__xludf.DUMMYFUNCTION("""COMPUTED_VALUE"""),"short")</f>
        <v>short</v>
      </c>
      <c r="N970" s="45">
        <f>IFERROR(__xludf.DUMMYFUNCTION("""COMPUTED_VALUE"""),45082.0)</f>
        <v>45082</v>
      </c>
      <c r="O970" s="45">
        <f>IFERROR(__xludf.DUMMYFUNCTION("""COMPUTED_VALUE"""),45124.0)</f>
        <v>45124</v>
      </c>
      <c r="P970" s="45">
        <f>IFERROR(__xludf.DUMMYFUNCTION("""COMPUTED_VALUE"""),45166.0)</f>
        <v>45166</v>
      </c>
      <c r="Q970" s="45">
        <f>IFERROR(__xludf.DUMMYFUNCTION("""COMPUTED_VALUE"""),45127.0)</f>
        <v>45127</v>
      </c>
      <c r="R970" s="45">
        <f>IFERROR(__xludf.DUMMYFUNCTION("""COMPUTED_VALUE"""),45167.0)</f>
        <v>45167</v>
      </c>
      <c r="S970" s="43"/>
      <c r="T970" s="43"/>
      <c r="U970" s="43" t="str">
        <f>IFERROR(__xludf.DUMMYFUNCTION("""COMPUTED_VALUE"""),"Equify")</f>
        <v>Equify</v>
      </c>
      <c r="V970" s="43" t="str">
        <f>IFERROR(__xludf.DUMMYFUNCTION("""COMPUTED_VALUE"""),"-")</f>
        <v>-</v>
      </c>
      <c r="W970" s="43" t="str">
        <f>IFERROR(__xludf.DUMMYFUNCTION("""COMPUTED_VALUE"""),"2018-07-01T21:40:34Z")</f>
        <v>2018-07-01T21:40:34Z</v>
      </c>
      <c r="X970" s="43"/>
      <c r="Y970" s="43"/>
      <c r="Z970" s="43"/>
    </row>
    <row r="971" hidden="1">
      <c r="A971" s="43" t="str">
        <f>IFERROR(__xludf.DUMMYFUNCTION("""COMPUTED_VALUE"""),"5271346_1287488")</f>
        <v>5271346_1287488</v>
      </c>
      <c r="B971" s="43" t="str">
        <f>IFERROR(__xludf.DUMMYFUNCTION("""COMPUTED_VALUE"""),"Yelizada Yernar")</f>
        <v>Yelizada Yernar</v>
      </c>
      <c r="C971" s="43" t="str">
        <f>IFERROR(__xludf.DUMMYFUNCTION("""COMPUTED_VALUE"""),"completed")</f>
        <v>completed</v>
      </c>
      <c r="D971" s="43" t="str">
        <f>IFERROR(__xludf.DUMMYFUNCTION("""COMPUTED_VALUE"""),"No")</f>
        <v>No</v>
      </c>
      <c r="E971" s="43" t="str">
        <f>IFERROR(__xludf.DUMMYFUNCTION("""COMPUTED_VALUE"""),"p_0de5b1afd53cee7a67039231c45dbc36ea6a3be6@inbound.aiesec.org")</f>
        <v>p_0de5b1afd53cee7a67039231c45dbc36ea6a3be6@inbound.aiesec.org</v>
      </c>
      <c r="F971" s="43"/>
      <c r="G971" s="43" t="str">
        <f>IFERROR(__xludf.DUMMYFUNCTION("""COMPUTED_VALUE"""),"Kazakhstan")</f>
        <v>Kazakhstan</v>
      </c>
      <c r="H971" s="43" t="str">
        <f>IFERROR(__xludf.DUMMYFUNCTION("""COMPUTED_VALUE"""),"ALMATY")</f>
        <v>ALMATY</v>
      </c>
      <c r="I971" s="43" t="str">
        <f>IFERROR(__xludf.DUMMYFUNCTION("""COMPUTED_VALUE"""),"Turkey")</f>
        <v>Turkey</v>
      </c>
      <c r="J971" s="43" t="str">
        <f>IFERROR(__xludf.DUMMYFUNCTION("""COMPUTED_VALUE"""),"ISTANBUL ASIA")</f>
        <v>ISTANBUL ASIA</v>
      </c>
      <c r="K971" s="44" t="str">
        <f>IFERROR(__xludf.DUMMYFUNCTION("""COMPUTED_VALUE"""),"https://expa.aiesec.org/opportunities/1287488")</f>
        <v>https://expa.aiesec.org/opportunities/1287488</v>
      </c>
      <c r="L971" s="43" t="str">
        <f>IFERROR(__xludf.DUMMYFUNCTION("""COMPUTED_VALUE"""),"GV")</f>
        <v>GV</v>
      </c>
      <c r="M971" s="43" t="str">
        <f>IFERROR(__xludf.DUMMYFUNCTION("""COMPUTED_VALUE"""),"short")</f>
        <v>short</v>
      </c>
      <c r="N971" s="45">
        <f>IFERROR(__xludf.DUMMYFUNCTION("""COMPUTED_VALUE"""),45082.0)</f>
        <v>45082</v>
      </c>
      <c r="O971" s="45">
        <f>IFERROR(__xludf.DUMMYFUNCTION("""COMPUTED_VALUE"""),45110.0)</f>
        <v>45110</v>
      </c>
      <c r="P971" s="45">
        <f>IFERROR(__xludf.DUMMYFUNCTION("""COMPUTED_VALUE"""),45152.0)</f>
        <v>45152</v>
      </c>
      <c r="Q971" s="45">
        <f>IFERROR(__xludf.DUMMYFUNCTION("""COMPUTED_VALUE"""),45127.0)</f>
        <v>45127</v>
      </c>
      <c r="R971" s="45">
        <f>IFERROR(__xludf.DUMMYFUNCTION("""COMPUTED_VALUE"""),45169.0)</f>
        <v>45169</v>
      </c>
      <c r="S971" s="43"/>
      <c r="T971" s="43"/>
      <c r="U971" s="43" t="str">
        <f>IFERROR(__xludf.DUMMYFUNCTION("""COMPUTED_VALUE"""),"Global Classroom")</f>
        <v>Global Classroom</v>
      </c>
      <c r="V971" s="43" t="str">
        <f>IFERROR(__xludf.DUMMYFUNCTION("""COMPUTED_VALUE"""),"-")</f>
        <v>-</v>
      </c>
      <c r="W971" s="43" t="str">
        <f>IFERROR(__xludf.DUMMYFUNCTION("""COMPUTED_VALUE"""),"2023-06-04T16:06:44Z")</f>
        <v>2023-06-04T16:06:44Z</v>
      </c>
      <c r="X971" s="43"/>
      <c r="Y971" s="43"/>
      <c r="Z971" s="43"/>
    </row>
    <row r="972" hidden="1">
      <c r="A972" s="43" t="str">
        <f>IFERROR(__xludf.DUMMYFUNCTION("""COMPUTED_VALUE"""),"5270092_1292556")</f>
        <v>5270092_1292556</v>
      </c>
      <c r="B972" s="43" t="str">
        <f>IFERROR(__xludf.DUMMYFUNCTION("""COMPUTED_VALUE"""),"Daria Hvozdetska")</f>
        <v>Daria Hvozdetska</v>
      </c>
      <c r="C972" s="43" t="str">
        <f>IFERROR(__xludf.DUMMYFUNCTION("""COMPUTED_VALUE"""),"approved")</f>
        <v>approved</v>
      </c>
      <c r="D972" s="43" t="str">
        <f>IFERROR(__xludf.DUMMYFUNCTION("""COMPUTED_VALUE"""),"No")</f>
        <v>No</v>
      </c>
      <c r="E972" s="43" t="str">
        <f>IFERROR(__xludf.DUMMYFUNCTION("""COMPUTED_VALUE"""),"p_0526e4c48f740113d3968e8847c610fd83d4e452@inbound.aiesec.org")</f>
        <v>p_0526e4c48f740113d3968e8847c610fd83d4e452@inbound.aiesec.org</v>
      </c>
      <c r="F972" s="43">
        <f>IFERROR(__xludf.DUMMYFUNCTION("""COMPUTED_VALUE"""),9.70163118E8)</f>
        <v>970163118</v>
      </c>
      <c r="G972" s="43" t="str">
        <f>IFERROR(__xludf.DUMMYFUNCTION("""COMPUTED_VALUE"""),"Ukraine")</f>
        <v>Ukraine</v>
      </c>
      <c r="H972" s="43" t="str">
        <f>IFERROR(__xludf.DUMMYFUNCTION("""COMPUTED_VALUE"""),"KYIV")</f>
        <v>KYIV</v>
      </c>
      <c r="I972" s="43" t="str">
        <f>IFERROR(__xludf.DUMMYFUNCTION("""COMPUTED_VALUE"""),"Turkey")</f>
        <v>Turkey</v>
      </c>
      <c r="J972" s="43" t="str">
        <f>IFERROR(__xludf.DUMMYFUNCTION("""COMPUTED_VALUE"""),"DENIZLI")</f>
        <v>DENIZLI</v>
      </c>
      <c r="K972" s="44" t="str">
        <f>IFERROR(__xludf.DUMMYFUNCTION("""COMPUTED_VALUE"""),"https://expa.aiesec.org/opportunities/1292556")</f>
        <v>https://expa.aiesec.org/opportunities/1292556</v>
      </c>
      <c r="L972" s="43" t="str">
        <f>IFERROR(__xludf.DUMMYFUNCTION("""COMPUTED_VALUE"""),"GV")</f>
        <v>GV</v>
      </c>
      <c r="M972" s="43" t="str">
        <f>IFERROR(__xludf.DUMMYFUNCTION("""COMPUTED_VALUE"""),"short")</f>
        <v>short</v>
      </c>
      <c r="N972" s="45">
        <f>IFERROR(__xludf.DUMMYFUNCTION("""COMPUTED_VALUE"""),45082.0)</f>
        <v>45082</v>
      </c>
      <c r="O972" s="45">
        <f>IFERROR(__xludf.DUMMYFUNCTION("""COMPUTED_VALUE"""),45110.0)</f>
        <v>45110</v>
      </c>
      <c r="P972" s="45">
        <f>IFERROR(__xludf.DUMMYFUNCTION("""COMPUTED_VALUE"""),45152.0)</f>
        <v>45152</v>
      </c>
      <c r="Q972" s="45"/>
      <c r="R972" s="45"/>
      <c r="S972" s="43"/>
      <c r="T972" s="43"/>
      <c r="U972" s="43" t="str">
        <f>IFERROR(__xludf.DUMMYFUNCTION("""COMPUTED_VALUE"""),"Global Classroom")</f>
        <v>Global Classroom</v>
      </c>
      <c r="V972" s="43" t="str">
        <f>IFERROR(__xludf.DUMMYFUNCTION("""COMPUTED_VALUE"""),"Kyiv")</f>
        <v>Kyiv</v>
      </c>
      <c r="W972" s="43" t="str">
        <f>IFERROR(__xludf.DUMMYFUNCTION("""COMPUTED_VALUE"""),"2023-06-01T10:20:33Z")</f>
        <v>2023-06-01T10:20:33Z</v>
      </c>
      <c r="X972" s="43"/>
      <c r="Y972" s="43"/>
      <c r="Z972" s="43"/>
    </row>
    <row r="973" hidden="1">
      <c r="A973" s="43" t="str">
        <f>IFERROR(__xludf.DUMMYFUNCTION("""COMPUTED_VALUE"""),"5247928_1288721")</f>
        <v>5247928_1288721</v>
      </c>
      <c r="B973" s="43" t="str">
        <f>IFERROR(__xludf.DUMMYFUNCTION("""COMPUTED_VALUE"""),"Rahma Bouzlima")</f>
        <v>Rahma Bouzlima</v>
      </c>
      <c r="C973" s="43" t="str">
        <f>IFERROR(__xludf.DUMMYFUNCTION("""COMPUTED_VALUE"""),"completed")</f>
        <v>completed</v>
      </c>
      <c r="D973" s="43" t="str">
        <f>IFERROR(__xludf.DUMMYFUNCTION("""COMPUTED_VALUE"""),"No")</f>
        <v>No</v>
      </c>
      <c r="E973" s="43" t="str">
        <f>IFERROR(__xludf.DUMMYFUNCTION("""COMPUTED_VALUE"""),"p_3a05ed1464b41bdff839e15ca74d7dc81625f23b@inbound.aiesec.org")</f>
        <v>p_3a05ed1464b41bdff839e15ca74d7dc81625f23b@inbound.aiesec.org</v>
      </c>
      <c r="F973" s="43">
        <f>IFERROR(__xludf.DUMMYFUNCTION("""COMPUTED_VALUE"""),2.2913783E7)</f>
        <v>22913783</v>
      </c>
      <c r="G973" s="43" t="str">
        <f>IFERROR(__xludf.DUMMYFUNCTION("""COMPUTED_VALUE"""),"Tunisia")</f>
        <v>Tunisia</v>
      </c>
      <c r="H973" s="43" t="str">
        <f>IFERROR(__xludf.DUMMYFUNCTION("""COMPUTED_VALUE"""),"RUSPINA")</f>
        <v>RUSPINA</v>
      </c>
      <c r="I973" s="43" t="str">
        <f>IFERROR(__xludf.DUMMYFUNCTION("""COMPUTED_VALUE"""),"Turkey")</f>
        <v>Turkey</v>
      </c>
      <c r="J973" s="43" t="str">
        <f>IFERROR(__xludf.DUMMYFUNCTION("""COMPUTED_VALUE"""),"KUTAHYA")</f>
        <v>KUTAHYA</v>
      </c>
      <c r="K973" s="44" t="str">
        <f>IFERROR(__xludf.DUMMYFUNCTION("""COMPUTED_VALUE"""),"https://expa.aiesec.org/opportunities/1288721")</f>
        <v>https://expa.aiesec.org/opportunities/1288721</v>
      </c>
      <c r="L973" s="43" t="str">
        <f>IFERROR(__xludf.DUMMYFUNCTION("""COMPUTED_VALUE"""),"GV")</f>
        <v>GV</v>
      </c>
      <c r="M973" s="43" t="str">
        <f>IFERROR(__xludf.DUMMYFUNCTION("""COMPUTED_VALUE"""),"short")</f>
        <v>short</v>
      </c>
      <c r="N973" s="45">
        <f>IFERROR(__xludf.DUMMYFUNCTION("""COMPUTED_VALUE"""),45083.0)</f>
        <v>45083</v>
      </c>
      <c r="O973" s="45">
        <f>IFERROR(__xludf.DUMMYFUNCTION("""COMPUTED_VALUE"""),45096.0)</f>
        <v>45096</v>
      </c>
      <c r="P973" s="45">
        <f>IFERROR(__xludf.DUMMYFUNCTION("""COMPUTED_VALUE"""),45138.0)</f>
        <v>45138</v>
      </c>
      <c r="Q973" s="45">
        <f>IFERROR(__xludf.DUMMYFUNCTION("""COMPUTED_VALUE"""),45097.0)</f>
        <v>45097</v>
      </c>
      <c r="R973" s="45">
        <f>IFERROR(__xludf.DUMMYFUNCTION("""COMPUTED_VALUE"""),45138.0)</f>
        <v>45138</v>
      </c>
      <c r="S973" s="43"/>
      <c r="T973" s="43"/>
      <c r="U973" s="43" t="str">
        <f>IFERROR(__xludf.DUMMYFUNCTION("""COMPUTED_VALUE"""),"On The Map")</f>
        <v>On The Map</v>
      </c>
      <c r="V973" s="43" t="str">
        <f>IFERROR(__xludf.DUMMYFUNCTION("""COMPUTED_VALUE"""),"ISSAT Mahdia")</f>
        <v>ISSAT Mahdia</v>
      </c>
      <c r="W973" s="43" t="str">
        <f>IFERROR(__xludf.DUMMYFUNCTION("""COMPUTED_VALUE"""),"2023-04-23T19:12:32Z")</f>
        <v>2023-04-23T19:12:32Z</v>
      </c>
      <c r="X973" s="43"/>
      <c r="Y973" s="43"/>
      <c r="Z973" s="43"/>
    </row>
    <row r="974" hidden="1">
      <c r="A974" s="43" t="str">
        <f>IFERROR(__xludf.DUMMYFUNCTION("""COMPUTED_VALUE"""),"5160597_1295453")</f>
        <v>5160597_1295453</v>
      </c>
      <c r="B974" s="43" t="str">
        <f>IFERROR(__xludf.DUMMYFUNCTION("""COMPUTED_VALUE"""),"wajahat lakhani")</f>
        <v>wajahat lakhani</v>
      </c>
      <c r="C974" s="43" t="str">
        <f>IFERROR(__xludf.DUMMYFUNCTION("""COMPUTED_VALUE"""),"completed")</f>
        <v>completed</v>
      </c>
      <c r="D974" s="43" t="str">
        <f>IFERROR(__xludf.DUMMYFUNCTION("""COMPUTED_VALUE"""),"No")</f>
        <v>No</v>
      </c>
      <c r="E974" s="43" t="str">
        <f>IFERROR(__xludf.DUMMYFUNCTION("""COMPUTED_VALUE"""),"p_5635e9ba141c2723b8a0bb21f09054c1c6eb8c01@inbound.aiesec.org")</f>
        <v>p_5635e9ba141c2723b8a0bb21f09054c1c6eb8c01@inbound.aiesec.org</v>
      </c>
      <c r="F974" s="43">
        <f>IFERROR(__xludf.DUMMYFUNCTION("""COMPUTED_VALUE"""),3.009230886E9)</f>
        <v>3009230886</v>
      </c>
      <c r="G974" s="43" t="str">
        <f>IFERROR(__xludf.DUMMYFUNCTION("""COMPUTED_VALUE"""),"Pakistan")</f>
        <v>Pakistan</v>
      </c>
      <c r="H974" s="43" t="str">
        <f>IFERROR(__xludf.DUMMYFUNCTION("""COMPUTED_VALUE"""),"Karachi South")</f>
        <v>Karachi South</v>
      </c>
      <c r="I974" s="43" t="str">
        <f>IFERROR(__xludf.DUMMYFUNCTION("""COMPUTED_VALUE"""),"Turkey")</f>
        <v>Turkey</v>
      </c>
      <c r="J974" s="43" t="str">
        <f>IFERROR(__xludf.DUMMYFUNCTION("""COMPUTED_VALUE"""),"GAZIANTEP")</f>
        <v>GAZIANTEP</v>
      </c>
      <c r="K974" s="44" t="str">
        <f>IFERROR(__xludf.DUMMYFUNCTION("""COMPUTED_VALUE"""),"https://expa.aiesec.org/opportunities/1295453")</f>
        <v>https://expa.aiesec.org/opportunities/1295453</v>
      </c>
      <c r="L974" s="43" t="str">
        <f>IFERROR(__xludf.DUMMYFUNCTION("""COMPUTED_VALUE"""),"GV")</f>
        <v>GV</v>
      </c>
      <c r="M974" s="43" t="str">
        <f>IFERROR(__xludf.DUMMYFUNCTION("""COMPUTED_VALUE"""),"short")</f>
        <v>short</v>
      </c>
      <c r="N974" s="45">
        <f>IFERROR(__xludf.DUMMYFUNCTION("""COMPUTED_VALUE"""),45083.0)</f>
        <v>45083</v>
      </c>
      <c r="O974" s="45">
        <f>IFERROR(__xludf.DUMMYFUNCTION("""COMPUTED_VALUE"""),45110.0)</f>
        <v>45110</v>
      </c>
      <c r="P974" s="45">
        <f>IFERROR(__xludf.DUMMYFUNCTION("""COMPUTED_VALUE"""),45152.0)</f>
        <v>45152</v>
      </c>
      <c r="Q974" s="45">
        <f>IFERROR(__xludf.DUMMYFUNCTION("""COMPUTED_VALUE"""),45109.0)</f>
        <v>45109</v>
      </c>
      <c r="R974" s="45">
        <f>IFERROR(__xludf.DUMMYFUNCTION("""COMPUTED_VALUE"""),45152.0)</f>
        <v>45152</v>
      </c>
      <c r="S974" s="43"/>
      <c r="T974" s="43"/>
      <c r="U974" s="43" t="str">
        <f>IFERROR(__xludf.DUMMYFUNCTION("""COMPUTED_VALUE"""),"Global Classroom")</f>
        <v>Global Classroom</v>
      </c>
      <c r="V974" s="43" t="str">
        <f>IFERROR(__xludf.DUMMYFUNCTION("""COMPUTED_VALUE"""),"Karachi - SZABIST ")</f>
        <v>Karachi - SZABIST </v>
      </c>
      <c r="W974" s="43" t="str">
        <f>IFERROR(__xludf.DUMMYFUNCTION("""COMPUTED_VALUE"""),"2022-11-29T18:37:09Z")</f>
        <v>2022-11-29T18:37:09Z</v>
      </c>
      <c r="X974" s="43"/>
      <c r="Y974" s="43"/>
      <c r="Z974" s="43"/>
    </row>
    <row r="975" hidden="1">
      <c r="A975" s="43" t="str">
        <f>IFERROR(__xludf.DUMMYFUNCTION("""COMPUTED_VALUE"""),"5270075_1295575")</f>
        <v>5270075_1295575</v>
      </c>
      <c r="B975" s="43" t="str">
        <f>IFERROR(__xludf.DUMMYFUNCTION("""COMPUTED_VALUE"""),"Asser Seddiq")</f>
        <v>Asser Seddiq</v>
      </c>
      <c r="C975" s="43" t="str">
        <f>IFERROR(__xludf.DUMMYFUNCTION("""COMPUTED_VALUE"""),"completed")</f>
        <v>completed</v>
      </c>
      <c r="D975" s="43" t="str">
        <f>IFERROR(__xludf.DUMMYFUNCTION("""COMPUTED_VALUE"""),"No")</f>
        <v>No</v>
      </c>
      <c r="E975" s="43" t="str">
        <f>IFERROR(__xludf.DUMMYFUNCTION("""COMPUTED_VALUE"""),"p_1bc91fc0477e78edf61ad3320a0478ebc1660c9b@inbound.aiesec.org")</f>
        <v>p_1bc91fc0477e78edf61ad3320a0478ebc1660c9b@inbound.aiesec.org</v>
      </c>
      <c r="F975" s="43">
        <f>IFERROR(__xludf.DUMMYFUNCTION("""COMPUTED_VALUE"""),1.014400526E9)</f>
        <v>1014400526</v>
      </c>
      <c r="G975" s="43" t="str">
        <f>IFERROR(__xludf.DUMMYFUNCTION("""COMPUTED_VALUE"""),"Egypt")</f>
        <v>Egypt</v>
      </c>
      <c r="H975" s="43" t="str">
        <f>IFERROR(__xludf.DUMMYFUNCTION("""COMPUTED_VALUE"""),"Ain Shams University")</f>
        <v>Ain Shams University</v>
      </c>
      <c r="I975" s="43" t="str">
        <f>IFERROR(__xludf.DUMMYFUNCTION("""COMPUTED_VALUE"""),"Turkey")</f>
        <v>Turkey</v>
      </c>
      <c r="J975" s="43" t="str">
        <f>IFERROR(__xludf.DUMMYFUNCTION("""COMPUTED_VALUE"""),"ADANA")</f>
        <v>ADANA</v>
      </c>
      <c r="K975" s="44" t="str">
        <f>IFERROR(__xludf.DUMMYFUNCTION("""COMPUTED_VALUE"""),"https://expa.aiesec.org/opportunities/1295575")</f>
        <v>https://expa.aiesec.org/opportunities/1295575</v>
      </c>
      <c r="L975" s="43" t="str">
        <f>IFERROR(__xludf.DUMMYFUNCTION("""COMPUTED_VALUE"""),"GV")</f>
        <v>GV</v>
      </c>
      <c r="M975" s="43" t="str">
        <f>IFERROR(__xludf.DUMMYFUNCTION("""COMPUTED_VALUE"""),"short")</f>
        <v>short</v>
      </c>
      <c r="N975" s="45">
        <f>IFERROR(__xludf.DUMMYFUNCTION("""COMPUTED_VALUE"""),45083.0)</f>
        <v>45083</v>
      </c>
      <c r="O975" s="45">
        <f>IFERROR(__xludf.DUMMYFUNCTION("""COMPUTED_VALUE"""),45131.0)</f>
        <v>45131</v>
      </c>
      <c r="P975" s="45">
        <f>IFERROR(__xludf.DUMMYFUNCTION("""COMPUTED_VALUE"""),45177.0)</f>
        <v>45177</v>
      </c>
      <c r="Q975" s="45">
        <f>IFERROR(__xludf.DUMMYFUNCTION("""COMPUTED_VALUE"""),45145.0)</f>
        <v>45145</v>
      </c>
      <c r="R975" s="45">
        <f>IFERROR(__xludf.DUMMYFUNCTION("""COMPUTED_VALUE"""),45191.0)</f>
        <v>45191</v>
      </c>
      <c r="S975" s="43"/>
      <c r="T975" s="43"/>
      <c r="U975" s="43" t="str">
        <f>IFERROR(__xludf.DUMMYFUNCTION("""COMPUTED_VALUE"""),"Global Classroom")</f>
        <v>Global Classroom</v>
      </c>
      <c r="V975" s="43" t="str">
        <f>IFERROR(__xludf.DUMMYFUNCTION("""COMPUTED_VALUE"""),"Ain Shams University")</f>
        <v>Ain Shams University</v>
      </c>
      <c r="W975" s="43" t="str">
        <f>IFERROR(__xludf.DUMMYFUNCTION("""COMPUTED_VALUE"""),"2023-06-01T09:39:44Z")</f>
        <v>2023-06-01T09:39:44Z</v>
      </c>
      <c r="X975" s="43"/>
      <c r="Y975" s="43"/>
      <c r="Z975" s="43"/>
    </row>
    <row r="976" hidden="1">
      <c r="A976" s="43" t="str">
        <f>IFERROR(__xludf.DUMMYFUNCTION("""COMPUTED_VALUE"""),"4993622_1294127")</f>
        <v>4993622_1294127</v>
      </c>
      <c r="B976" s="43" t="str">
        <f>IFERROR(__xludf.DUMMYFUNCTION("""COMPUTED_VALUE"""),"Nour Sherif")</f>
        <v>Nour Sherif</v>
      </c>
      <c r="C976" s="43" t="str">
        <f>IFERROR(__xludf.DUMMYFUNCTION("""COMPUTED_VALUE"""),"finished")</f>
        <v>finished</v>
      </c>
      <c r="D976" s="43" t="str">
        <f>IFERROR(__xludf.DUMMYFUNCTION("""COMPUTED_VALUE"""),"No")</f>
        <v>No</v>
      </c>
      <c r="E976" s="43" t="str">
        <f>IFERROR(__xludf.DUMMYFUNCTION("""COMPUTED_VALUE"""),"p_ba862b629278af667d8367232fde07207294bf27@inbound.aiesec.org")</f>
        <v>p_ba862b629278af667d8367232fde07207294bf27@inbound.aiesec.org</v>
      </c>
      <c r="F976" s="43">
        <f>IFERROR(__xludf.DUMMYFUNCTION("""COMPUTED_VALUE"""),1.064878976E9)</f>
        <v>1064878976</v>
      </c>
      <c r="G976" s="43" t="str">
        <f>IFERROR(__xludf.DUMMYFUNCTION("""COMPUTED_VALUE"""),"Egypt")</f>
        <v>Egypt</v>
      </c>
      <c r="H976" s="43" t="str">
        <f>IFERROR(__xludf.DUMMYFUNCTION("""COMPUTED_VALUE"""),"Cairo University")</f>
        <v>Cairo University</v>
      </c>
      <c r="I976" s="43" t="str">
        <f>IFERROR(__xludf.DUMMYFUNCTION("""COMPUTED_VALUE"""),"Turkey")</f>
        <v>Turkey</v>
      </c>
      <c r="J976" s="43" t="str">
        <f>IFERROR(__xludf.DUMMYFUNCTION("""COMPUTED_VALUE"""),"ADANA")</f>
        <v>ADANA</v>
      </c>
      <c r="K976" s="44" t="str">
        <f>IFERROR(__xludf.DUMMYFUNCTION("""COMPUTED_VALUE"""),"https://expa.aiesec.org/opportunities/1294127")</f>
        <v>https://expa.aiesec.org/opportunities/1294127</v>
      </c>
      <c r="L976" s="43" t="str">
        <f>IFERROR(__xludf.DUMMYFUNCTION("""COMPUTED_VALUE"""),"GV")</f>
        <v>GV</v>
      </c>
      <c r="M976" s="43" t="str">
        <f>IFERROR(__xludf.DUMMYFUNCTION("""COMPUTED_VALUE"""),"short")</f>
        <v>short</v>
      </c>
      <c r="N976" s="45">
        <f>IFERROR(__xludf.DUMMYFUNCTION("""COMPUTED_VALUE"""),45083.0)</f>
        <v>45083</v>
      </c>
      <c r="O976" s="45">
        <f>IFERROR(__xludf.DUMMYFUNCTION("""COMPUTED_VALUE"""),45180.0)</f>
        <v>45180</v>
      </c>
      <c r="P976" s="45">
        <f>IFERROR(__xludf.DUMMYFUNCTION("""COMPUTED_VALUE"""),45226.0)</f>
        <v>45226</v>
      </c>
      <c r="Q976" s="45">
        <f>IFERROR(__xludf.DUMMYFUNCTION("""COMPUTED_VALUE"""),45182.0)</f>
        <v>45182</v>
      </c>
      <c r="R976" s="45">
        <f>IFERROR(__xludf.DUMMYFUNCTION("""COMPUTED_VALUE"""),45228.0)</f>
        <v>45228</v>
      </c>
      <c r="S976" s="43"/>
      <c r="T976" s="43"/>
      <c r="U976" s="43" t="str">
        <f>IFERROR(__xludf.DUMMYFUNCTION("""COMPUTED_VALUE"""),"Equify")</f>
        <v>Equify</v>
      </c>
      <c r="V976" s="43" t="str">
        <f>IFERROR(__xludf.DUMMYFUNCTION("""COMPUTED_VALUE"""),"Cairo Univeristy")</f>
        <v>Cairo Univeristy</v>
      </c>
      <c r="W976" s="43" t="str">
        <f>IFERROR(__xludf.DUMMYFUNCTION("""COMPUTED_VALUE"""),"2022-03-19T16:06:18Z")</f>
        <v>2022-03-19T16:06:18Z</v>
      </c>
      <c r="X976" s="43"/>
      <c r="Y976" s="43"/>
      <c r="Z976" s="43"/>
    </row>
    <row r="977" hidden="1">
      <c r="A977" s="43" t="str">
        <f>IFERROR(__xludf.DUMMYFUNCTION("""COMPUTED_VALUE"""),"5170002_1294127")</f>
        <v>5170002_1294127</v>
      </c>
      <c r="B977" s="43" t="str">
        <f>IFERROR(__xludf.DUMMYFUNCTION("""COMPUTED_VALUE"""),"Hager Ibrahem")</f>
        <v>Hager Ibrahem</v>
      </c>
      <c r="C977" s="43" t="str">
        <f>IFERROR(__xludf.DUMMYFUNCTION("""COMPUTED_VALUE"""),"realization_broken")</f>
        <v>realization_broken</v>
      </c>
      <c r="D977" s="43" t="str">
        <f>IFERROR(__xludf.DUMMYFUNCTION("""COMPUTED_VALUE"""),"No")</f>
        <v>No</v>
      </c>
      <c r="E977" s="43" t="str">
        <f>IFERROR(__xludf.DUMMYFUNCTION("""COMPUTED_VALUE"""),"p_9a7f7725278449bb28623fdf4986f5e7183cf33a@inbound.aiesec.org")</f>
        <v>p_9a7f7725278449bb28623fdf4986f5e7183cf33a@inbound.aiesec.org</v>
      </c>
      <c r="F977" s="43"/>
      <c r="G977" s="43" t="str">
        <f>IFERROR(__xludf.DUMMYFUNCTION("""COMPUTED_VALUE"""),"Egypt")</f>
        <v>Egypt</v>
      </c>
      <c r="H977" s="43" t="str">
        <f>IFERROR(__xludf.DUMMYFUNCTION("""COMPUTED_VALUE"""),"Cairo University")</f>
        <v>Cairo University</v>
      </c>
      <c r="I977" s="43" t="str">
        <f>IFERROR(__xludf.DUMMYFUNCTION("""COMPUTED_VALUE"""),"Turkey")</f>
        <v>Turkey</v>
      </c>
      <c r="J977" s="43" t="str">
        <f>IFERROR(__xludf.DUMMYFUNCTION("""COMPUTED_VALUE"""),"ADANA")</f>
        <v>ADANA</v>
      </c>
      <c r="K977" s="44" t="str">
        <f>IFERROR(__xludf.DUMMYFUNCTION("""COMPUTED_VALUE"""),"https://expa.aiesec.org/opportunities/1294127")</f>
        <v>https://expa.aiesec.org/opportunities/1294127</v>
      </c>
      <c r="L977" s="43" t="str">
        <f>IFERROR(__xludf.DUMMYFUNCTION("""COMPUTED_VALUE"""),"GV")</f>
        <v>GV</v>
      </c>
      <c r="M977" s="43" t="str">
        <f>IFERROR(__xludf.DUMMYFUNCTION("""COMPUTED_VALUE"""),"short")</f>
        <v>short</v>
      </c>
      <c r="N977" s="45">
        <f>IFERROR(__xludf.DUMMYFUNCTION("""COMPUTED_VALUE"""),45083.0)</f>
        <v>45083</v>
      </c>
      <c r="O977" s="45">
        <f>IFERROR(__xludf.DUMMYFUNCTION("""COMPUTED_VALUE"""),45180.0)</f>
        <v>45180</v>
      </c>
      <c r="P977" s="45">
        <f>IFERROR(__xludf.DUMMYFUNCTION("""COMPUTED_VALUE"""),45226.0)</f>
        <v>45226</v>
      </c>
      <c r="Q977" s="45"/>
      <c r="R977" s="45"/>
      <c r="S977" s="43"/>
      <c r="T977" s="43"/>
      <c r="U977" s="43" t="str">
        <f>IFERROR(__xludf.DUMMYFUNCTION("""COMPUTED_VALUE"""),"Equify")</f>
        <v>Equify</v>
      </c>
      <c r="V977" s="43" t="str">
        <f>IFERROR(__xludf.DUMMYFUNCTION("""COMPUTED_VALUE"""),"-")</f>
        <v>-</v>
      </c>
      <c r="W977" s="43" t="str">
        <f>IFERROR(__xludf.DUMMYFUNCTION("""COMPUTED_VALUE"""),"2022-12-24T20:34:40Z")</f>
        <v>2022-12-24T20:34:40Z</v>
      </c>
      <c r="X977" s="43"/>
      <c r="Y977" s="43"/>
      <c r="Z977" s="43"/>
    </row>
    <row r="978" hidden="1">
      <c r="A978" s="43" t="str">
        <f>IFERROR(__xludf.DUMMYFUNCTION("""COMPUTED_VALUE"""),"5106611_1292793")</f>
        <v>5106611_1292793</v>
      </c>
      <c r="B978" s="43" t="str">
        <f>IFERROR(__xludf.DUMMYFUNCTION("""COMPUTED_VALUE"""),"Andjela Stojanovic")</f>
        <v>Andjela Stojanovic</v>
      </c>
      <c r="C978" s="43" t="str">
        <f>IFERROR(__xludf.DUMMYFUNCTION("""COMPUTED_VALUE"""),"realized")</f>
        <v>realized</v>
      </c>
      <c r="D978" s="43" t="str">
        <f>IFERROR(__xludf.DUMMYFUNCTION("""COMPUTED_VALUE"""),"No")</f>
        <v>No</v>
      </c>
      <c r="E978" s="43" t="str">
        <f>IFERROR(__xludf.DUMMYFUNCTION("""COMPUTED_VALUE"""),"p_5536dd255898f664558f01f2429d68efde6fab4b@inbound.aiesec.org")</f>
        <v>p_5536dd255898f664558f01f2429d68efde6fab4b@inbound.aiesec.org</v>
      </c>
      <c r="F978" s="43"/>
      <c r="G978" s="43" t="str">
        <f>IFERROR(__xludf.DUMMYFUNCTION("""COMPUTED_VALUE"""),"Serbia")</f>
        <v>Serbia</v>
      </c>
      <c r="H978" s="43" t="str">
        <f>IFERROR(__xludf.DUMMYFUNCTION("""COMPUTED_VALUE"""),"NIS")</f>
        <v>NIS</v>
      </c>
      <c r="I978" s="43" t="str">
        <f>IFERROR(__xludf.DUMMYFUNCTION("""COMPUTED_VALUE"""),"Turkey")</f>
        <v>Turkey</v>
      </c>
      <c r="J978" s="43" t="str">
        <f>IFERROR(__xludf.DUMMYFUNCTION("""COMPUTED_VALUE"""),"ANTALYA")</f>
        <v>ANTALYA</v>
      </c>
      <c r="K978" s="44" t="str">
        <f>IFERROR(__xludf.DUMMYFUNCTION("""COMPUTED_VALUE"""),"https://expa.aiesec.org/opportunities/1292793")</f>
        <v>https://expa.aiesec.org/opportunities/1292793</v>
      </c>
      <c r="L978" s="43" t="str">
        <f>IFERROR(__xludf.DUMMYFUNCTION("""COMPUTED_VALUE"""),"GV")</f>
        <v>GV</v>
      </c>
      <c r="M978" s="43" t="str">
        <f>IFERROR(__xludf.DUMMYFUNCTION("""COMPUTED_VALUE"""),"short")</f>
        <v>short</v>
      </c>
      <c r="N978" s="45">
        <f>IFERROR(__xludf.DUMMYFUNCTION("""COMPUTED_VALUE"""),45083.0)</f>
        <v>45083</v>
      </c>
      <c r="O978" s="45">
        <f>IFERROR(__xludf.DUMMYFUNCTION("""COMPUTED_VALUE"""),45201.0)</f>
        <v>45201</v>
      </c>
      <c r="P978" s="45">
        <f>IFERROR(__xludf.DUMMYFUNCTION("""COMPUTED_VALUE"""),45243.0)</f>
        <v>45243</v>
      </c>
      <c r="Q978" s="45">
        <f>IFERROR(__xludf.DUMMYFUNCTION("""COMPUTED_VALUE"""),45204.0)</f>
        <v>45204</v>
      </c>
      <c r="R978" s="45">
        <f>IFERROR(__xludf.DUMMYFUNCTION("""COMPUTED_VALUE"""),45244.0)</f>
        <v>45244</v>
      </c>
      <c r="S978" s="43"/>
      <c r="T978" s="43"/>
      <c r="U978" s="43" t="str">
        <f>IFERROR(__xludf.DUMMYFUNCTION("""COMPUTED_VALUE"""),"Global Classroom")</f>
        <v>Global Classroom</v>
      </c>
      <c r="V978" s="43" t="str">
        <f>IFERROR(__xludf.DUMMYFUNCTION("""COMPUTED_VALUE"""),"-")</f>
        <v>-</v>
      </c>
      <c r="W978" s="43" t="str">
        <f>IFERROR(__xludf.DUMMYFUNCTION("""COMPUTED_VALUE"""),"2022-09-06T10:36:55Z")</f>
        <v>2022-09-06T10:36:55Z</v>
      </c>
      <c r="X978" s="43"/>
      <c r="Y978" s="43"/>
      <c r="Z978" s="43"/>
    </row>
    <row r="979" hidden="1">
      <c r="A979" s="43" t="str">
        <f>IFERROR(__xludf.DUMMYFUNCTION("""COMPUTED_VALUE"""),"5249791_1295453")</f>
        <v>5249791_1295453</v>
      </c>
      <c r="B979" s="43" t="str">
        <f>IFERROR(__xludf.DUMMYFUNCTION("""COMPUTED_VALUE"""),"Anmol Kumari")</f>
        <v>Anmol Kumari</v>
      </c>
      <c r="C979" s="43" t="str">
        <f>IFERROR(__xludf.DUMMYFUNCTION("""COMPUTED_VALUE"""),"completed")</f>
        <v>completed</v>
      </c>
      <c r="D979" s="43" t="str">
        <f>IFERROR(__xludf.DUMMYFUNCTION("""COMPUTED_VALUE"""),"No")</f>
        <v>No</v>
      </c>
      <c r="E979" s="43" t="str">
        <f>IFERROR(__xludf.DUMMYFUNCTION("""COMPUTED_VALUE"""),"p_4ca653964061890f20bc1189e331f6ca00b3656b@inbound.aiesec.org")</f>
        <v>p_4ca653964061890f20bc1189e331f6ca00b3656b@inbound.aiesec.org</v>
      </c>
      <c r="F979" s="43">
        <f>IFERROR(__xludf.DUMMYFUNCTION("""COMPUTED_VALUE"""),3.350120515E9)</f>
        <v>3350120515</v>
      </c>
      <c r="G979" s="43" t="str">
        <f>IFERROR(__xludf.DUMMYFUNCTION("""COMPUTED_VALUE"""),"Pakistan")</f>
        <v>Pakistan</v>
      </c>
      <c r="H979" s="43" t="str">
        <f>IFERROR(__xludf.DUMMYFUNCTION("""COMPUTED_VALUE"""),"Karachi South")</f>
        <v>Karachi South</v>
      </c>
      <c r="I979" s="43" t="str">
        <f>IFERROR(__xludf.DUMMYFUNCTION("""COMPUTED_VALUE"""),"Turkey")</f>
        <v>Turkey</v>
      </c>
      <c r="J979" s="43" t="str">
        <f>IFERROR(__xludf.DUMMYFUNCTION("""COMPUTED_VALUE"""),"GAZIANTEP")</f>
        <v>GAZIANTEP</v>
      </c>
      <c r="K979" s="44" t="str">
        <f>IFERROR(__xludf.DUMMYFUNCTION("""COMPUTED_VALUE"""),"https://expa.aiesec.org/opportunities/1295453")</f>
        <v>https://expa.aiesec.org/opportunities/1295453</v>
      </c>
      <c r="L979" s="43" t="str">
        <f>IFERROR(__xludf.DUMMYFUNCTION("""COMPUTED_VALUE"""),"GV")</f>
        <v>GV</v>
      </c>
      <c r="M979" s="43" t="str">
        <f>IFERROR(__xludf.DUMMYFUNCTION("""COMPUTED_VALUE"""),"short")</f>
        <v>short</v>
      </c>
      <c r="N979" s="45">
        <f>IFERROR(__xludf.DUMMYFUNCTION("""COMPUTED_VALUE"""),45083.0)</f>
        <v>45083</v>
      </c>
      <c r="O979" s="45">
        <f>IFERROR(__xludf.DUMMYFUNCTION("""COMPUTED_VALUE"""),45110.0)</f>
        <v>45110</v>
      </c>
      <c r="P979" s="45">
        <f>IFERROR(__xludf.DUMMYFUNCTION("""COMPUTED_VALUE"""),45152.0)</f>
        <v>45152</v>
      </c>
      <c r="Q979" s="45">
        <f>IFERROR(__xludf.DUMMYFUNCTION("""COMPUTED_VALUE"""),45125.0)</f>
        <v>45125</v>
      </c>
      <c r="R979" s="45">
        <f>IFERROR(__xludf.DUMMYFUNCTION("""COMPUTED_VALUE"""),45166.0)</f>
        <v>45166</v>
      </c>
      <c r="S979" s="43"/>
      <c r="T979" s="43"/>
      <c r="U979" s="43" t="str">
        <f>IFERROR(__xludf.DUMMYFUNCTION("""COMPUTED_VALUE"""),"Global Classroom")</f>
        <v>Global Classroom</v>
      </c>
      <c r="V979" s="43" t="str">
        <f>IFERROR(__xludf.DUMMYFUNCTION("""COMPUTED_VALUE"""),"Karachi - SZABIST ")</f>
        <v>Karachi - SZABIST </v>
      </c>
      <c r="W979" s="43" t="str">
        <f>IFERROR(__xludf.DUMMYFUNCTION("""COMPUTED_VALUE"""),"2023-04-26T11:22:10Z")</f>
        <v>2023-04-26T11:22:10Z</v>
      </c>
      <c r="X979" s="43"/>
      <c r="Y979" s="43"/>
      <c r="Z979" s="43"/>
    </row>
    <row r="980" hidden="1">
      <c r="A980" s="43" t="str">
        <f>IFERROR(__xludf.DUMMYFUNCTION("""COMPUTED_VALUE"""),"5272332_1295453")</f>
        <v>5272332_1295453</v>
      </c>
      <c r="B980" s="43" t="str">
        <f>IFERROR(__xludf.DUMMYFUNCTION("""COMPUTED_VALUE"""),"Usman Ahmad")</f>
        <v>Usman Ahmad</v>
      </c>
      <c r="C980" s="43" t="str">
        <f>IFERROR(__xludf.DUMMYFUNCTION("""COMPUTED_VALUE"""),"completed")</f>
        <v>completed</v>
      </c>
      <c r="D980" s="43" t="str">
        <f>IFERROR(__xludf.DUMMYFUNCTION("""COMPUTED_VALUE"""),"No")</f>
        <v>No</v>
      </c>
      <c r="E980" s="43" t="str">
        <f>IFERROR(__xludf.DUMMYFUNCTION("""COMPUTED_VALUE"""),"p_2bf92edb19e4b7e6286f2df7b8461a5c8f308394@inbound.aiesec.org")</f>
        <v>p_2bf92edb19e4b7e6286f2df7b8461a5c8f308394@inbound.aiesec.org</v>
      </c>
      <c r="F980" s="43">
        <f>IFERROR(__xludf.DUMMYFUNCTION("""COMPUTED_VALUE"""),3.039039551E9)</f>
        <v>3039039551</v>
      </c>
      <c r="G980" s="43" t="str">
        <f>IFERROR(__xludf.DUMMYFUNCTION("""COMPUTED_VALUE"""),"Pakistan")</f>
        <v>Pakistan</v>
      </c>
      <c r="H980" s="43" t="str">
        <f>IFERROR(__xludf.DUMMYFUNCTION("""COMPUTED_VALUE"""),"Lahore - Pak")</f>
        <v>Lahore - Pak</v>
      </c>
      <c r="I980" s="43" t="str">
        <f>IFERROR(__xludf.DUMMYFUNCTION("""COMPUTED_VALUE"""),"Turkey")</f>
        <v>Turkey</v>
      </c>
      <c r="J980" s="43" t="str">
        <f>IFERROR(__xludf.DUMMYFUNCTION("""COMPUTED_VALUE"""),"GAZIANTEP")</f>
        <v>GAZIANTEP</v>
      </c>
      <c r="K980" s="44" t="str">
        <f>IFERROR(__xludf.DUMMYFUNCTION("""COMPUTED_VALUE"""),"https://expa.aiesec.org/opportunities/1295453")</f>
        <v>https://expa.aiesec.org/opportunities/1295453</v>
      </c>
      <c r="L980" s="43" t="str">
        <f>IFERROR(__xludf.DUMMYFUNCTION("""COMPUTED_VALUE"""),"GV")</f>
        <v>GV</v>
      </c>
      <c r="M980" s="43" t="str">
        <f>IFERROR(__xludf.DUMMYFUNCTION("""COMPUTED_VALUE"""),"short")</f>
        <v>short</v>
      </c>
      <c r="N980" s="45">
        <f>IFERROR(__xludf.DUMMYFUNCTION("""COMPUTED_VALUE"""),45084.0)</f>
        <v>45084</v>
      </c>
      <c r="O980" s="45">
        <f>IFERROR(__xludf.DUMMYFUNCTION("""COMPUTED_VALUE"""),45110.0)</f>
        <v>45110</v>
      </c>
      <c r="P980" s="45">
        <f>IFERROR(__xludf.DUMMYFUNCTION("""COMPUTED_VALUE"""),45152.0)</f>
        <v>45152</v>
      </c>
      <c r="Q980" s="45">
        <f>IFERROR(__xludf.DUMMYFUNCTION("""COMPUTED_VALUE"""),45108.0)</f>
        <v>45108</v>
      </c>
      <c r="R980" s="45">
        <f>IFERROR(__xludf.DUMMYFUNCTION("""COMPUTED_VALUE"""),45152.0)</f>
        <v>45152</v>
      </c>
      <c r="S980" s="43"/>
      <c r="T980" s="43"/>
      <c r="U980" s="43" t="str">
        <f>IFERROR(__xludf.DUMMYFUNCTION("""COMPUTED_VALUE"""),"Global Classroom")</f>
        <v>Global Classroom</v>
      </c>
      <c r="V980" s="43" t="str">
        <f>IFERROR(__xludf.DUMMYFUNCTION("""COMPUTED_VALUE"""),"Lahore - FAST NUCES ")</f>
        <v>Lahore - FAST NUCES </v>
      </c>
      <c r="W980" s="43" t="str">
        <f>IFERROR(__xludf.DUMMYFUNCTION("""COMPUTED_VALUE"""),"2023-06-07T09:06:05Z")</f>
        <v>2023-06-07T09:06:05Z</v>
      </c>
      <c r="X980" s="43"/>
      <c r="Y980" s="43"/>
      <c r="Z980" s="43"/>
    </row>
    <row r="981" hidden="1">
      <c r="A981" s="43" t="str">
        <f>IFERROR(__xludf.DUMMYFUNCTION("""COMPUTED_VALUE"""),"5233010_1294061")</f>
        <v>5233010_1294061</v>
      </c>
      <c r="B981" s="43" t="str">
        <f>IFERROR(__xludf.DUMMYFUNCTION("""COMPUTED_VALUE"""),"Asma Zehi")</f>
        <v>Asma Zehi</v>
      </c>
      <c r="C981" s="43" t="str">
        <f>IFERROR(__xludf.DUMMYFUNCTION("""COMPUTED_VALUE"""),"completed")</f>
        <v>completed</v>
      </c>
      <c r="D981" s="43" t="str">
        <f>IFERROR(__xludf.DUMMYFUNCTION("""COMPUTED_VALUE"""),"No")</f>
        <v>No</v>
      </c>
      <c r="E981" s="43" t="str">
        <f>IFERROR(__xludf.DUMMYFUNCTION("""COMPUTED_VALUE"""),"p_e000ddea3814653477be8e57943228b9b2836f7d@inbound.aiesec.org")</f>
        <v>p_e000ddea3814653477be8e57943228b9b2836f7d@inbound.aiesec.org</v>
      </c>
      <c r="F981" s="43"/>
      <c r="G981" s="43" t="str">
        <f>IFERROR(__xludf.DUMMYFUNCTION("""COMPUTED_VALUE"""),"Tunisia")</f>
        <v>Tunisia</v>
      </c>
      <c r="H981" s="43" t="str">
        <f>IFERROR(__xludf.DUMMYFUNCTION("""COMPUTED_VALUE"""),"BARDO")</f>
        <v>BARDO</v>
      </c>
      <c r="I981" s="43" t="str">
        <f>IFERROR(__xludf.DUMMYFUNCTION("""COMPUTED_VALUE"""),"Turkey")</f>
        <v>Turkey</v>
      </c>
      <c r="J981" s="43" t="str">
        <f>IFERROR(__xludf.DUMMYFUNCTION("""COMPUTED_VALUE"""),"KOCAELI")</f>
        <v>KOCAELI</v>
      </c>
      <c r="K981" s="44" t="str">
        <f>IFERROR(__xludf.DUMMYFUNCTION("""COMPUTED_VALUE"""),"https://expa.aiesec.org/opportunities/1294061")</f>
        <v>https://expa.aiesec.org/opportunities/1294061</v>
      </c>
      <c r="L981" s="43" t="str">
        <f>IFERROR(__xludf.DUMMYFUNCTION("""COMPUTED_VALUE"""),"GV")</f>
        <v>GV</v>
      </c>
      <c r="M981" s="43" t="str">
        <f>IFERROR(__xludf.DUMMYFUNCTION("""COMPUTED_VALUE"""),"short")</f>
        <v>short</v>
      </c>
      <c r="N981" s="45">
        <f>IFERROR(__xludf.DUMMYFUNCTION("""COMPUTED_VALUE"""),45084.0)</f>
        <v>45084</v>
      </c>
      <c r="O981" s="45">
        <f>IFERROR(__xludf.DUMMYFUNCTION("""COMPUTED_VALUE"""),45095.0)</f>
        <v>45095</v>
      </c>
      <c r="P981" s="45">
        <f>IFERROR(__xludf.DUMMYFUNCTION("""COMPUTED_VALUE"""),45137.0)</f>
        <v>45137</v>
      </c>
      <c r="Q981" s="45">
        <f>IFERROR(__xludf.DUMMYFUNCTION("""COMPUTED_VALUE"""),45103.0)</f>
        <v>45103</v>
      </c>
      <c r="R981" s="45">
        <f>IFERROR(__xludf.DUMMYFUNCTION("""COMPUTED_VALUE"""),45145.0)</f>
        <v>45145</v>
      </c>
      <c r="S981" s="43"/>
      <c r="T981" s="43"/>
      <c r="U981" s="43" t="str">
        <f>IFERROR(__xludf.DUMMYFUNCTION("""COMPUTED_VALUE"""),"Global Classroom")</f>
        <v>Global Classroom</v>
      </c>
      <c r="V981" s="43" t="str">
        <f>IFERROR(__xludf.DUMMYFUNCTION("""COMPUTED_VALUE"""),"-")</f>
        <v>-</v>
      </c>
      <c r="W981" s="43" t="str">
        <f>IFERROR(__xludf.DUMMYFUNCTION("""COMPUTED_VALUE"""),"2023-04-01T23:47:12Z")</f>
        <v>2023-04-01T23:47:12Z</v>
      </c>
      <c r="X981" s="43"/>
      <c r="Y981" s="43"/>
      <c r="Z981" s="43"/>
    </row>
    <row r="982" hidden="1">
      <c r="A982" s="43" t="str">
        <f>IFERROR(__xludf.DUMMYFUNCTION("""COMPUTED_VALUE"""),"5196010_1295575")</f>
        <v>5196010_1295575</v>
      </c>
      <c r="B982" s="43" t="str">
        <f>IFERROR(__xludf.DUMMYFUNCTION("""COMPUTED_VALUE"""),"Hossam Ali")</f>
        <v>Hossam Ali</v>
      </c>
      <c r="C982" s="43" t="str">
        <f>IFERROR(__xludf.DUMMYFUNCTION("""COMPUTED_VALUE"""),"approval_broken")</f>
        <v>approval_broken</v>
      </c>
      <c r="D982" s="43" t="str">
        <f>IFERROR(__xludf.DUMMYFUNCTION("""COMPUTED_VALUE"""),"No")</f>
        <v>No</v>
      </c>
      <c r="E982" s="43" t="str">
        <f>IFERROR(__xludf.DUMMYFUNCTION("""COMPUTED_VALUE"""),"p_530ed4a2e3b86564f931bb4c78282197e5bb5f3a@inbound.aiesec.org")</f>
        <v>p_530ed4a2e3b86564f931bb4c78282197e5bb5f3a@inbound.aiesec.org</v>
      </c>
      <c r="F982" s="43">
        <f>IFERROR(__xludf.DUMMYFUNCTION("""COMPUTED_VALUE"""),1.22928323E9)</f>
        <v>1229283230</v>
      </c>
      <c r="G982" s="43" t="str">
        <f>IFERROR(__xludf.DUMMYFUNCTION("""COMPUTED_VALUE"""),"Egypt")</f>
        <v>Egypt</v>
      </c>
      <c r="H982" s="43" t="str">
        <f>IFERROR(__xludf.DUMMYFUNCTION("""COMPUTED_VALUE"""),"Zagazig")</f>
        <v>Zagazig</v>
      </c>
      <c r="I982" s="43" t="str">
        <f>IFERROR(__xludf.DUMMYFUNCTION("""COMPUTED_VALUE"""),"Turkey")</f>
        <v>Turkey</v>
      </c>
      <c r="J982" s="43" t="str">
        <f>IFERROR(__xludf.DUMMYFUNCTION("""COMPUTED_VALUE"""),"ADANA")</f>
        <v>ADANA</v>
      </c>
      <c r="K982" s="44" t="str">
        <f>IFERROR(__xludf.DUMMYFUNCTION("""COMPUTED_VALUE"""),"https://expa.aiesec.org/opportunities/1295575")</f>
        <v>https://expa.aiesec.org/opportunities/1295575</v>
      </c>
      <c r="L982" s="43" t="str">
        <f>IFERROR(__xludf.DUMMYFUNCTION("""COMPUTED_VALUE"""),"GV")</f>
        <v>GV</v>
      </c>
      <c r="M982" s="43" t="str">
        <f>IFERROR(__xludf.DUMMYFUNCTION("""COMPUTED_VALUE"""),"short")</f>
        <v>short</v>
      </c>
      <c r="N982" s="45">
        <f>IFERROR(__xludf.DUMMYFUNCTION("""COMPUTED_VALUE"""),45138.0)</f>
        <v>45138</v>
      </c>
      <c r="O982" s="45">
        <f>IFERROR(__xludf.DUMMYFUNCTION("""COMPUTED_VALUE"""),45131.0)</f>
        <v>45131</v>
      </c>
      <c r="P982" s="45">
        <f>IFERROR(__xludf.DUMMYFUNCTION("""COMPUTED_VALUE"""),45177.0)</f>
        <v>45177</v>
      </c>
      <c r="Q982" s="45"/>
      <c r="R982" s="45"/>
      <c r="S982" s="43"/>
      <c r="T982" s="43"/>
      <c r="U982" s="43" t="str">
        <f>IFERROR(__xludf.DUMMYFUNCTION("""COMPUTED_VALUE"""),"Global Classroom")</f>
        <v>Global Classroom</v>
      </c>
      <c r="V982" s="43" t="str">
        <f>IFERROR(__xludf.DUMMYFUNCTION("""COMPUTED_VALUE"""),"Zagazig")</f>
        <v>Zagazig</v>
      </c>
      <c r="W982" s="43" t="str">
        <f>IFERROR(__xludf.DUMMYFUNCTION("""COMPUTED_VALUE"""),"2023-02-21T14:52:29Z")</f>
        <v>2023-02-21T14:52:29Z</v>
      </c>
      <c r="X982" s="43"/>
      <c r="Y982" s="43"/>
      <c r="Z982" s="43"/>
    </row>
    <row r="983" hidden="1">
      <c r="A983" s="43" t="str">
        <f>IFERROR(__xludf.DUMMYFUNCTION("""COMPUTED_VALUE"""),"5269990_1295575")</f>
        <v>5269990_1295575</v>
      </c>
      <c r="B983" s="43" t="str">
        <f>IFERROR(__xludf.DUMMYFUNCTION("""COMPUTED_VALUE"""),"Jumana Elshagie")</f>
        <v>Jumana Elshagie</v>
      </c>
      <c r="C983" s="43" t="str">
        <f>IFERROR(__xludf.DUMMYFUNCTION("""COMPUTED_VALUE"""),"completed")</f>
        <v>completed</v>
      </c>
      <c r="D983" s="43" t="str">
        <f>IFERROR(__xludf.DUMMYFUNCTION("""COMPUTED_VALUE"""),"No")</f>
        <v>No</v>
      </c>
      <c r="E983" s="43" t="str">
        <f>IFERROR(__xludf.DUMMYFUNCTION("""COMPUTED_VALUE"""),"p_060e4845da7e220117e669049d3554f287a62412@inbound.aiesec.org")</f>
        <v>p_060e4845da7e220117e669049d3554f287a62412@inbound.aiesec.org</v>
      </c>
      <c r="F983" s="43">
        <f>IFERROR(__xludf.DUMMYFUNCTION("""COMPUTED_VALUE"""),1.285270883E9)</f>
        <v>1285270883</v>
      </c>
      <c r="G983" s="43" t="str">
        <f>IFERROR(__xludf.DUMMYFUNCTION("""COMPUTED_VALUE"""),"Egypt")</f>
        <v>Egypt</v>
      </c>
      <c r="H983" s="43" t="str">
        <f>IFERROR(__xludf.DUMMYFUNCTION("""COMPUTED_VALUE"""),"Ain Shams University")</f>
        <v>Ain Shams University</v>
      </c>
      <c r="I983" s="43" t="str">
        <f>IFERROR(__xludf.DUMMYFUNCTION("""COMPUTED_VALUE"""),"Turkey")</f>
        <v>Turkey</v>
      </c>
      <c r="J983" s="43" t="str">
        <f>IFERROR(__xludf.DUMMYFUNCTION("""COMPUTED_VALUE"""),"ADANA")</f>
        <v>ADANA</v>
      </c>
      <c r="K983" s="44" t="str">
        <f>IFERROR(__xludf.DUMMYFUNCTION("""COMPUTED_VALUE"""),"https://expa.aiesec.org/opportunities/1295575")</f>
        <v>https://expa.aiesec.org/opportunities/1295575</v>
      </c>
      <c r="L983" s="43" t="str">
        <f>IFERROR(__xludf.DUMMYFUNCTION("""COMPUTED_VALUE"""),"GV")</f>
        <v>GV</v>
      </c>
      <c r="M983" s="43" t="str">
        <f>IFERROR(__xludf.DUMMYFUNCTION("""COMPUTED_VALUE"""),"short")</f>
        <v>short</v>
      </c>
      <c r="N983" s="45">
        <f>IFERROR(__xludf.DUMMYFUNCTION("""COMPUTED_VALUE"""),45084.0)</f>
        <v>45084</v>
      </c>
      <c r="O983" s="45">
        <f>IFERROR(__xludf.DUMMYFUNCTION("""COMPUTED_VALUE"""),45131.0)</f>
        <v>45131</v>
      </c>
      <c r="P983" s="45">
        <f>IFERROR(__xludf.DUMMYFUNCTION("""COMPUTED_VALUE"""),45177.0)</f>
        <v>45177</v>
      </c>
      <c r="Q983" s="45">
        <f>IFERROR(__xludf.DUMMYFUNCTION("""COMPUTED_VALUE"""),45147.0)</f>
        <v>45147</v>
      </c>
      <c r="R983" s="45">
        <f>IFERROR(__xludf.DUMMYFUNCTION("""COMPUTED_VALUE"""),45193.0)</f>
        <v>45193</v>
      </c>
      <c r="S983" s="43"/>
      <c r="T983" s="43"/>
      <c r="U983" s="43" t="str">
        <f>IFERROR(__xludf.DUMMYFUNCTION("""COMPUTED_VALUE"""),"Global Classroom")</f>
        <v>Global Classroom</v>
      </c>
      <c r="V983" s="43" t="str">
        <f>IFERROR(__xludf.DUMMYFUNCTION("""COMPUTED_VALUE"""),"Ain Shams University")</f>
        <v>Ain Shams University</v>
      </c>
      <c r="W983" s="43" t="str">
        <f>IFERROR(__xludf.DUMMYFUNCTION("""COMPUTED_VALUE"""),"2023-06-01T04:55:08Z")</f>
        <v>2023-06-01T04:55:08Z</v>
      </c>
      <c r="X983" s="43"/>
      <c r="Y983" s="43"/>
      <c r="Z983" s="43"/>
    </row>
    <row r="984" hidden="1">
      <c r="A984" s="43" t="str">
        <f>IFERROR(__xludf.DUMMYFUNCTION("""COMPUTED_VALUE"""),"5270685_1288280")</f>
        <v>5270685_1288280</v>
      </c>
      <c r="B984" s="43" t="str">
        <f>IFERROR(__xludf.DUMMYFUNCTION("""COMPUTED_VALUE"""),"nouran ibrahim")</f>
        <v>nouran ibrahim</v>
      </c>
      <c r="C984" s="43" t="str">
        <f>IFERROR(__xludf.DUMMYFUNCTION("""COMPUTED_VALUE"""),"approved")</f>
        <v>approved</v>
      </c>
      <c r="D984" s="43" t="str">
        <f>IFERROR(__xludf.DUMMYFUNCTION("""COMPUTED_VALUE"""),"No")</f>
        <v>No</v>
      </c>
      <c r="E984" s="43" t="str">
        <f>IFERROR(__xludf.DUMMYFUNCTION("""COMPUTED_VALUE"""),"p_6f299ab2b8e9dbf8947e4d51041cc97e4fce8f9e@inbound.aiesec.org")</f>
        <v>p_6f299ab2b8e9dbf8947e4d51041cc97e4fce8f9e@inbound.aiesec.org</v>
      </c>
      <c r="F984" s="43">
        <f>IFERROR(__xludf.DUMMYFUNCTION("""COMPUTED_VALUE"""),1.122573322E9)</f>
        <v>1122573322</v>
      </c>
      <c r="G984" s="43" t="str">
        <f>IFERROR(__xludf.DUMMYFUNCTION("""COMPUTED_VALUE"""),"Egypt")</f>
        <v>Egypt</v>
      </c>
      <c r="H984" s="43" t="str">
        <f>IFERROR(__xludf.DUMMYFUNCTION("""COMPUTED_VALUE"""),"Ain Shams University")</f>
        <v>Ain Shams University</v>
      </c>
      <c r="I984" s="43" t="str">
        <f>IFERROR(__xludf.DUMMYFUNCTION("""COMPUTED_VALUE"""),"Turkey")</f>
        <v>Turkey</v>
      </c>
      <c r="J984" s="43" t="str">
        <f>IFERROR(__xludf.DUMMYFUNCTION("""COMPUTED_VALUE"""),"İZMİR")</f>
        <v>İZMİR</v>
      </c>
      <c r="K984" s="44" t="str">
        <f>IFERROR(__xludf.DUMMYFUNCTION("""COMPUTED_VALUE"""),"https://expa.aiesec.org/opportunities/1288280")</f>
        <v>https://expa.aiesec.org/opportunities/1288280</v>
      </c>
      <c r="L984" s="43" t="str">
        <f>IFERROR(__xludf.DUMMYFUNCTION("""COMPUTED_VALUE"""),"GV")</f>
        <v>GV</v>
      </c>
      <c r="M984" s="43" t="str">
        <f>IFERROR(__xludf.DUMMYFUNCTION("""COMPUTED_VALUE"""),"short")</f>
        <v>short</v>
      </c>
      <c r="N984" s="45">
        <f>IFERROR(__xludf.DUMMYFUNCTION("""COMPUTED_VALUE"""),45084.0)</f>
        <v>45084</v>
      </c>
      <c r="O984" s="45">
        <f>IFERROR(__xludf.DUMMYFUNCTION("""COMPUTED_VALUE"""),45172.0)</f>
        <v>45172</v>
      </c>
      <c r="P984" s="45">
        <f>IFERROR(__xludf.DUMMYFUNCTION("""COMPUTED_VALUE"""),45214.0)</f>
        <v>45214</v>
      </c>
      <c r="Q984" s="45"/>
      <c r="R984" s="45"/>
      <c r="S984" s="43"/>
      <c r="T984" s="43"/>
      <c r="U984" s="43" t="str">
        <f>IFERROR(__xludf.DUMMYFUNCTION("""COMPUTED_VALUE"""),"Global Classroom")</f>
        <v>Global Classroom</v>
      </c>
      <c r="V984" s="43" t="str">
        <f>IFERROR(__xludf.DUMMYFUNCTION("""COMPUTED_VALUE"""),"Chinese University")</f>
        <v>Chinese University</v>
      </c>
      <c r="W984" s="43" t="str">
        <f>IFERROR(__xludf.DUMMYFUNCTION("""COMPUTED_VALUE"""),"2023-06-02T15:06:50Z")</f>
        <v>2023-06-02T15:06:50Z</v>
      </c>
      <c r="X984" s="43"/>
      <c r="Y984" s="43"/>
      <c r="Z984" s="43"/>
    </row>
    <row r="985" hidden="1">
      <c r="A985" s="43" t="str">
        <f>IFERROR(__xludf.DUMMYFUNCTION("""COMPUTED_VALUE"""),"5269288_1287380")</f>
        <v>5269288_1287380</v>
      </c>
      <c r="B985" s="43" t="str">
        <f>IFERROR(__xludf.DUMMYFUNCTION("""COMPUTED_VALUE"""),"Fang Li")</f>
        <v>Fang Li</v>
      </c>
      <c r="C985" s="43" t="str">
        <f>IFERROR(__xludf.DUMMYFUNCTION("""COMPUTED_VALUE"""),"completed")</f>
        <v>completed</v>
      </c>
      <c r="D985" s="43" t="str">
        <f>IFERROR(__xludf.DUMMYFUNCTION("""COMPUTED_VALUE"""),"No")</f>
        <v>No</v>
      </c>
      <c r="E985" s="43" t="str">
        <f>IFERROR(__xludf.DUMMYFUNCTION("""COMPUTED_VALUE"""),"p_8d9e50d38a91fff9c00563bbc4e656408cce98d6@inbound.aiesec.org")</f>
        <v>p_8d9e50d38a91fff9c00563bbc4e656408cce98d6@inbound.aiesec.org</v>
      </c>
      <c r="F985" s="43"/>
      <c r="G985" s="43" t="str">
        <f>IFERROR(__xludf.DUMMYFUNCTION("""COMPUTED_VALUE"""),"Mainland of China")</f>
        <v>Mainland of China</v>
      </c>
      <c r="H985" s="43" t="str">
        <f>IFERROR(__xludf.DUMMYFUNCTION("""COMPUTED_VALUE"""),"Wenzhou")</f>
        <v>Wenzhou</v>
      </c>
      <c r="I985" s="43" t="str">
        <f>IFERROR(__xludf.DUMMYFUNCTION("""COMPUTED_VALUE"""),"Turkey")</f>
        <v>Turkey</v>
      </c>
      <c r="J985" s="43" t="str">
        <f>IFERROR(__xludf.DUMMYFUNCTION("""COMPUTED_VALUE"""),"KOCAELI")</f>
        <v>KOCAELI</v>
      </c>
      <c r="K985" s="44" t="str">
        <f>IFERROR(__xludf.DUMMYFUNCTION("""COMPUTED_VALUE"""),"https://expa.aiesec.org/opportunities/1287380")</f>
        <v>https://expa.aiesec.org/opportunities/1287380</v>
      </c>
      <c r="L985" s="43" t="str">
        <f>IFERROR(__xludf.DUMMYFUNCTION("""COMPUTED_VALUE"""),"GV")</f>
        <v>GV</v>
      </c>
      <c r="M985" s="43" t="str">
        <f>IFERROR(__xludf.DUMMYFUNCTION("""COMPUTED_VALUE"""),"short")</f>
        <v>short</v>
      </c>
      <c r="N985" s="45">
        <f>IFERROR(__xludf.DUMMYFUNCTION("""COMPUTED_VALUE"""),45084.0)</f>
        <v>45084</v>
      </c>
      <c r="O985" s="45">
        <f>IFERROR(__xludf.DUMMYFUNCTION("""COMPUTED_VALUE"""),45110.0)</f>
        <v>45110</v>
      </c>
      <c r="P985" s="45">
        <f>IFERROR(__xludf.DUMMYFUNCTION("""COMPUTED_VALUE"""),45152.0)</f>
        <v>45152</v>
      </c>
      <c r="Q985" s="45">
        <f>IFERROR(__xludf.DUMMYFUNCTION("""COMPUTED_VALUE"""),45110.0)</f>
        <v>45110</v>
      </c>
      <c r="R985" s="45">
        <f>IFERROR(__xludf.DUMMYFUNCTION("""COMPUTED_VALUE"""),45152.0)</f>
        <v>45152</v>
      </c>
      <c r="S985" s="43"/>
      <c r="T985" s="43"/>
      <c r="U985" s="43" t="str">
        <f>IFERROR(__xludf.DUMMYFUNCTION("""COMPUTED_VALUE"""),"Global Classroom")</f>
        <v>Global Classroom</v>
      </c>
      <c r="V985" s="43" t="str">
        <f>IFERROR(__xludf.DUMMYFUNCTION("""COMPUTED_VALUE"""),"-")</f>
        <v>-</v>
      </c>
      <c r="W985" s="43" t="str">
        <f>IFERROR(__xludf.DUMMYFUNCTION("""COMPUTED_VALUE"""),"2023-05-31T07:24:23Z")</f>
        <v>2023-05-31T07:24:23Z</v>
      </c>
      <c r="X985" s="43"/>
      <c r="Y985" s="43"/>
      <c r="Z985" s="43"/>
    </row>
    <row r="986" hidden="1">
      <c r="A986" s="43" t="str">
        <f>IFERROR(__xludf.DUMMYFUNCTION("""COMPUTED_VALUE"""),"5272419_1294211")</f>
        <v>5272419_1294211</v>
      </c>
      <c r="B986" s="43" t="str">
        <f>IFERROR(__xludf.DUMMYFUNCTION("""COMPUTED_VALUE"""),"Haifa khlifi")</f>
        <v>Haifa khlifi</v>
      </c>
      <c r="C986" s="43" t="str">
        <f>IFERROR(__xludf.DUMMYFUNCTION("""COMPUTED_VALUE"""),"approved")</f>
        <v>approved</v>
      </c>
      <c r="D986" s="43" t="str">
        <f>IFERROR(__xludf.DUMMYFUNCTION("""COMPUTED_VALUE"""),"No")</f>
        <v>No</v>
      </c>
      <c r="E986" s="43" t="str">
        <f>IFERROR(__xludf.DUMMYFUNCTION("""COMPUTED_VALUE"""),"p_4d8addaca5e6f78a829a3fe04cac5db78e0d9c85@inbound.aiesec.org")</f>
        <v>p_4d8addaca5e6f78a829a3fe04cac5db78e0d9c85@inbound.aiesec.org</v>
      </c>
      <c r="F986" s="43">
        <f>IFERROR(__xludf.DUMMYFUNCTION("""COMPUTED_VALUE"""),9.5049479E7)</f>
        <v>95049479</v>
      </c>
      <c r="G986" s="43" t="str">
        <f>IFERROR(__xludf.DUMMYFUNCTION("""COMPUTED_VALUE"""),"Tunisia")</f>
        <v>Tunisia</v>
      </c>
      <c r="H986" s="43" t="str">
        <f>IFERROR(__xludf.DUMMYFUNCTION("""COMPUTED_VALUE"""),"RUSPINA")</f>
        <v>RUSPINA</v>
      </c>
      <c r="I986" s="43" t="str">
        <f>IFERROR(__xludf.DUMMYFUNCTION("""COMPUTED_VALUE"""),"Turkey")</f>
        <v>Turkey</v>
      </c>
      <c r="J986" s="43" t="str">
        <f>IFERROR(__xludf.DUMMYFUNCTION("""COMPUTED_VALUE"""),"KUTAHYA")</f>
        <v>KUTAHYA</v>
      </c>
      <c r="K986" s="44" t="str">
        <f>IFERROR(__xludf.DUMMYFUNCTION("""COMPUTED_VALUE"""),"https://expa.aiesec.org/opportunities/1294211")</f>
        <v>https://expa.aiesec.org/opportunities/1294211</v>
      </c>
      <c r="L986" s="43" t="str">
        <f>IFERROR(__xludf.DUMMYFUNCTION("""COMPUTED_VALUE"""),"GV")</f>
        <v>GV</v>
      </c>
      <c r="M986" s="43" t="str">
        <f>IFERROR(__xludf.DUMMYFUNCTION("""COMPUTED_VALUE"""),"short")</f>
        <v>short</v>
      </c>
      <c r="N986" s="45">
        <f>IFERROR(__xludf.DUMMYFUNCTION("""COMPUTED_VALUE"""),45085.0)</f>
        <v>45085</v>
      </c>
      <c r="O986" s="45">
        <f>IFERROR(__xludf.DUMMYFUNCTION("""COMPUTED_VALUE"""),45236.0)</f>
        <v>45236</v>
      </c>
      <c r="P986" s="45">
        <f>IFERROR(__xludf.DUMMYFUNCTION("""COMPUTED_VALUE"""),45278.0)</f>
        <v>45278</v>
      </c>
      <c r="Q986" s="45"/>
      <c r="R986" s="45"/>
      <c r="S986" s="43"/>
      <c r="T986" s="43"/>
      <c r="U986" s="43" t="str">
        <f>IFERROR(__xludf.DUMMYFUNCTION("""COMPUTED_VALUE"""),"Rooted")</f>
        <v>Rooted</v>
      </c>
      <c r="V986" s="43" t="str">
        <f>IFERROR(__xludf.DUMMYFUNCTION("""COMPUTED_VALUE"""),"ISSAT Mahdia")</f>
        <v>ISSAT Mahdia</v>
      </c>
      <c r="W986" s="43" t="str">
        <f>IFERROR(__xludf.DUMMYFUNCTION("""COMPUTED_VALUE"""),"2023-06-07T11:53:34Z")</f>
        <v>2023-06-07T11:53:34Z</v>
      </c>
      <c r="X986" s="43"/>
      <c r="Y986" s="43"/>
      <c r="Z986" s="43"/>
    </row>
    <row r="987" hidden="1">
      <c r="A987" s="43" t="str">
        <f>IFERROR(__xludf.DUMMYFUNCTION("""COMPUTED_VALUE"""),"5264608_1295261")</f>
        <v>5264608_1295261</v>
      </c>
      <c r="B987" s="43" t="str">
        <f>IFERROR(__xludf.DUMMYFUNCTION("""COMPUTED_VALUE"""),"Sarra Ayari")</f>
        <v>Sarra Ayari</v>
      </c>
      <c r="C987" s="43" t="str">
        <f>IFERROR(__xludf.DUMMYFUNCTION("""COMPUTED_VALUE"""),"completed")</f>
        <v>completed</v>
      </c>
      <c r="D987" s="43" t="str">
        <f>IFERROR(__xludf.DUMMYFUNCTION("""COMPUTED_VALUE"""),"No")</f>
        <v>No</v>
      </c>
      <c r="E987" s="43" t="str">
        <f>IFERROR(__xludf.DUMMYFUNCTION("""COMPUTED_VALUE"""),"p_821e43827d821ae495812bd7ae586edcf5bb1c7b@inbound.aiesec.org")</f>
        <v>p_821e43827d821ae495812bd7ae586edcf5bb1c7b@inbound.aiesec.org</v>
      </c>
      <c r="F987" s="43"/>
      <c r="G987" s="43" t="str">
        <f>IFERROR(__xludf.DUMMYFUNCTION("""COMPUTED_VALUE"""),"Tunisia")</f>
        <v>Tunisia</v>
      </c>
      <c r="H987" s="43" t="str">
        <f>IFERROR(__xludf.DUMMYFUNCTION("""COMPUTED_VALUE"""),"BARDO")</f>
        <v>BARDO</v>
      </c>
      <c r="I987" s="43" t="str">
        <f>IFERROR(__xludf.DUMMYFUNCTION("""COMPUTED_VALUE"""),"Turkey")</f>
        <v>Turkey</v>
      </c>
      <c r="J987" s="43" t="str">
        <f>IFERROR(__xludf.DUMMYFUNCTION("""COMPUTED_VALUE"""),"KOCAELI")</f>
        <v>KOCAELI</v>
      </c>
      <c r="K987" s="44" t="str">
        <f>IFERROR(__xludf.DUMMYFUNCTION("""COMPUTED_VALUE"""),"https://expa.aiesec.org/opportunities/1295261")</f>
        <v>https://expa.aiesec.org/opportunities/1295261</v>
      </c>
      <c r="L987" s="43" t="str">
        <f>IFERROR(__xludf.DUMMYFUNCTION("""COMPUTED_VALUE"""),"GV")</f>
        <v>GV</v>
      </c>
      <c r="M987" s="43" t="str">
        <f>IFERROR(__xludf.DUMMYFUNCTION("""COMPUTED_VALUE"""),"short")</f>
        <v>short</v>
      </c>
      <c r="N987" s="45">
        <f>IFERROR(__xludf.DUMMYFUNCTION("""COMPUTED_VALUE"""),45085.0)</f>
        <v>45085</v>
      </c>
      <c r="O987" s="45">
        <f>IFERROR(__xludf.DUMMYFUNCTION("""COMPUTED_VALUE"""),45110.0)</f>
        <v>45110</v>
      </c>
      <c r="P987" s="45">
        <f>IFERROR(__xludf.DUMMYFUNCTION("""COMPUTED_VALUE"""),45152.0)</f>
        <v>45152</v>
      </c>
      <c r="Q987" s="45">
        <f>IFERROR(__xludf.DUMMYFUNCTION("""COMPUTED_VALUE"""),45110.0)</f>
        <v>45110</v>
      </c>
      <c r="R987" s="45">
        <f>IFERROR(__xludf.DUMMYFUNCTION("""COMPUTED_VALUE"""),45152.0)</f>
        <v>45152</v>
      </c>
      <c r="S987" s="43"/>
      <c r="T987" s="43"/>
      <c r="U987" s="43" t="str">
        <f>IFERROR(__xludf.DUMMYFUNCTION("""COMPUTED_VALUE"""),"Rooted")</f>
        <v>Rooted</v>
      </c>
      <c r="V987" s="43" t="str">
        <f>IFERROR(__xludf.DUMMYFUNCTION("""COMPUTED_VALUE"""),"-")</f>
        <v>-</v>
      </c>
      <c r="W987" s="43" t="str">
        <f>IFERROR(__xludf.DUMMYFUNCTION("""COMPUTED_VALUE"""),"2023-05-21T20:48:04Z")</f>
        <v>2023-05-21T20:48:04Z</v>
      </c>
      <c r="X987" s="43"/>
      <c r="Y987" s="43"/>
      <c r="Z987" s="43"/>
    </row>
    <row r="988" hidden="1">
      <c r="A988" s="43" t="str">
        <f>IFERROR(__xludf.DUMMYFUNCTION("""COMPUTED_VALUE"""),"5077290_1294878")</f>
        <v>5077290_1294878</v>
      </c>
      <c r="B988" s="43" t="str">
        <f>IFERROR(__xludf.DUMMYFUNCTION("""COMPUTED_VALUE"""),"roua boufaid")</f>
        <v>roua boufaid</v>
      </c>
      <c r="C988" s="43" t="str">
        <f>IFERROR(__xludf.DUMMYFUNCTION("""COMPUTED_VALUE"""),"finished")</f>
        <v>finished</v>
      </c>
      <c r="D988" s="43" t="str">
        <f>IFERROR(__xludf.DUMMYFUNCTION("""COMPUTED_VALUE"""),"No")</f>
        <v>No</v>
      </c>
      <c r="E988" s="43" t="str">
        <f>IFERROR(__xludf.DUMMYFUNCTION("""COMPUTED_VALUE"""),"p_735f65e454b0bfc40e4fb38483cbede05b08029d@inbound.aiesec.org")</f>
        <v>p_735f65e454b0bfc40e4fb38483cbede05b08029d@inbound.aiesec.org</v>
      </c>
      <c r="F988" s="43">
        <f>IFERROR(__xludf.DUMMYFUNCTION("""COMPUTED_VALUE"""),9.5937809E7)</f>
        <v>95937809</v>
      </c>
      <c r="G988" s="43" t="str">
        <f>IFERROR(__xludf.DUMMYFUNCTION("""COMPUTED_VALUE"""),"Tunisia")</f>
        <v>Tunisia</v>
      </c>
      <c r="H988" s="43" t="str">
        <f>IFERROR(__xludf.DUMMYFUNCTION("""COMPUTED_VALUE"""),"MEDINA")</f>
        <v>MEDINA</v>
      </c>
      <c r="I988" s="43" t="str">
        <f>IFERROR(__xludf.DUMMYFUNCTION("""COMPUTED_VALUE"""),"Turkey")</f>
        <v>Turkey</v>
      </c>
      <c r="J988" s="43" t="str">
        <f>IFERROR(__xludf.DUMMYFUNCTION("""COMPUTED_VALUE"""),"BURSA")</f>
        <v>BURSA</v>
      </c>
      <c r="K988" s="44" t="str">
        <f>IFERROR(__xludf.DUMMYFUNCTION("""COMPUTED_VALUE"""),"https://expa.aiesec.org/opportunities/1294878")</f>
        <v>https://expa.aiesec.org/opportunities/1294878</v>
      </c>
      <c r="L988" s="43" t="str">
        <f>IFERROR(__xludf.DUMMYFUNCTION("""COMPUTED_VALUE"""),"GV")</f>
        <v>GV</v>
      </c>
      <c r="M988" s="43" t="str">
        <f>IFERROR(__xludf.DUMMYFUNCTION("""COMPUTED_VALUE"""),"short")</f>
        <v>short</v>
      </c>
      <c r="N988" s="45">
        <f>IFERROR(__xludf.DUMMYFUNCTION("""COMPUTED_VALUE"""),45085.0)</f>
        <v>45085</v>
      </c>
      <c r="O988" s="45">
        <f>IFERROR(__xludf.DUMMYFUNCTION("""COMPUTED_VALUE"""),45187.0)</f>
        <v>45187</v>
      </c>
      <c r="P988" s="45">
        <f>IFERROR(__xludf.DUMMYFUNCTION("""COMPUTED_VALUE"""),45229.0)</f>
        <v>45229</v>
      </c>
      <c r="Q988" s="45">
        <f>IFERROR(__xludf.DUMMYFUNCTION("""COMPUTED_VALUE"""),45194.0)</f>
        <v>45194</v>
      </c>
      <c r="R988" s="45">
        <f>IFERROR(__xludf.DUMMYFUNCTION("""COMPUTED_VALUE"""),45236.0)</f>
        <v>45236</v>
      </c>
      <c r="S988" s="43"/>
      <c r="T988" s="43"/>
      <c r="U988" s="43" t="str">
        <f>IFERROR(__xludf.DUMMYFUNCTION("""COMPUTED_VALUE"""),"Youth 4 Impact")</f>
        <v>Youth 4 Impact</v>
      </c>
      <c r="V988" s="43" t="str">
        <f>IFERROR(__xludf.DUMMYFUNCTION("""COMPUTED_VALUE"""),"ESC MANOUBA")</f>
        <v>ESC MANOUBA</v>
      </c>
      <c r="W988" s="43" t="str">
        <f>IFERROR(__xludf.DUMMYFUNCTION("""COMPUTED_VALUE"""),"2022-06-27T21:29:21Z")</f>
        <v>2022-06-27T21:29:21Z</v>
      </c>
      <c r="X988" s="43"/>
      <c r="Y988" s="43"/>
      <c r="Z988" s="43"/>
    </row>
    <row r="989" hidden="1">
      <c r="A989" s="43" t="str">
        <f>IFERROR(__xludf.DUMMYFUNCTION("""COMPUTED_VALUE"""),"5253866_1291336")</f>
        <v>5253866_1291336</v>
      </c>
      <c r="B989" s="43" t="str">
        <f>IFERROR(__xludf.DUMMYFUNCTION("""COMPUTED_VALUE"""),"SAYAZHAN ORALBEKOVA")</f>
        <v>SAYAZHAN ORALBEKOVA</v>
      </c>
      <c r="C989" s="43" t="str">
        <f>IFERROR(__xludf.DUMMYFUNCTION("""COMPUTED_VALUE"""),"completed")</f>
        <v>completed</v>
      </c>
      <c r="D989" s="43" t="str">
        <f>IFERROR(__xludf.DUMMYFUNCTION("""COMPUTED_VALUE"""),"No")</f>
        <v>No</v>
      </c>
      <c r="E989" s="43" t="str">
        <f>IFERROR(__xludf.DUMMYFUNCTION("""COMPUTED_VALUE"""),"p_730fd3df55bf6f7aba19df58228af69646ef9ab9@inbound.aiesec.org")</f>
        <v>p_730fd3df55bf6f7aba19df58228af69646ef9ab9@inbound.aiesec.org</v>
      </c>
      <c r="F989" s="43">
        <f>IFERROR(__xludf.DUMMYFUNCTION("""COMPUTED_VALUE"""),7.087304113E9)</f>
        <v>7087304113</v>
      </c>
      <c r="G989" s="43" t="str">
        <f>IFERROR(__xludf.DUMMYFUNCTION("""COMPUTED_VALUE"""),"Kazakhstan")</f>
        <v>Kazakhstan</v>
      </c>
      <c r="H989" s="43" t="str">
        <f>IFERROR(__xludf.DUMMYFUNCTION("""COMPUTED_VALUE"""),"Astana")</f>
        <v>Astana</v>
      </c>
      <c r="I989" s="43" t="str">
        <f>IFERROR(__xludf.DUMMYFUNCTION("""COMPUTED_VALUE"""),"Turkey")</f>
        <v>Turkey</v>
      </c>
      <c r="J989" s="43" t="str">
        <f>IFERROR(__xludf.DUMMYFUNCTION("""COMPUTED_VALUE"""),"DENIZLI")</f>
        <v>DENIZLI</v>
      </c>
      <c r="K989" s="44" t="str">
        <f>IFERROR(__xludf.DUMMYFUNCTION("""COMPUTED_VALUE"""),"https://expa.aiesec.org/opportunities/1291336")</f>
        <v>https://expa.aiesec.org/opportunities/1291336</v>
      </c>
      <c r="L989" s="43" t="str">
        <f>IFERROR(__xludf.DUMMYFUNCTION("""COMPUTED_VALUE"""),"GV")</f>
        <v>GV</v>
      </c>
      <c r="M989" s="43" t="str">
        <f>IFERROR(__xludf.DUMMYFUNCTION("""COMPUTED_VALUE"""),"short")</f>
        <v>short</v>
      </c>
      <c r="N989" s="45">
        <f>IFERROR(__xludf.DUMMYFUNCTION("""COMPUTED_VALUE"""),45085.0)</f>
        <v>45085</v>
      </c>
      <c r="O989" s="45">
        <f>IFERROR(__xludf.DUMMYFUNCTION("""COMPUTED_VALUE"""),45124.0)</f>
        <v>45124</v>
      </c>
      <c r="P989" s="45">
        <f>IFERROR(__xludf.DUMMYFUNCTION("""COMPUTED_VALUE"""),45166.0)</f>
        <v>45166</v>
      </c>
      <c r="Q989" s="45">
        <f>IFERROR(__xludf.DUMMYFUNCTION("""COMPUTED_VALUE"""),45124.0)</f>
        <v>45124</v>
      </c>
      <c r="R989" s="45">
        <f>IFERROR(__xludf.DUMMYFUNCTION("""COMPUTED_VALUE"""),45166.0)</f>
        <v>45166</v>
      </c>
      <c r="S989" s="43"/>
      <c r="T989" s="43"/>
      <c r="U989" s="43" t="str">
        <f>IFERROR(__xludf.DUMMYFUNCTION("""COMPUTED_VALUE"""),"Global Classroom")</f>
        <v>Global Classroom</v>
      </c>
      <c r="V989" s="43" t="str">
        <f>IFERROR(__xludf.DUMMYFUNCTION("""COMPUTED_VALUE"""),"Ust'-Kamenogorsk")</f>
        <v>Ust'-Kamenogorsk</v>
      </c>
      <c r="W989" s="43" t="str">
        <f>IFERROR(__xludf.DUMMYFUNCTION("""COMPUTED_VALUE"""),"2023-05-01T18:27:19Z")</f>
        <v>2023-05-01T18:27:19Z</v>
      </c>
      <c r="X989" s="43"/>
      <c r="Y989" s="43"/>
      <c r="Z989" s="43"/>
    </row>
    <row r="990" hidden="1">
      <c r="A990" s="43" t="str">
        <f>IFERROR(__xludf.DUMMYFUNCTION("""COMPUTED_VALUE"""),"5239754_1294061")</f>
        <v>5239754_1294061</v>
      </c>
      <c r="B990" s="43" t="str">
        <f>IFERROR(__xludf.DUMMYFUNCTION("""COMPUTED_VALUE"""),"Mohamed dhia eddine Boudali")</f>
        <v>Mohamed dhia eddine Boudali</v>
      </c>
      <c r="C990" s="43" t="str">
        <f>IFERROR(__xludf.DUMMYFUNCTION("""COMPUTED_VALUE"""),"completed")</f>
        <v>completed</v>
      </c>
      <c r="D990" s="43" t="str">
        <f>IFERROR(__xludf.DUMMYFUNCTION("""COMPUTED_VALUE"""),"No")</f>
        <v>No</v>
      </c>
      <c r="E990" s="43" t="str">
        <f>IFERROR(__xludf.DUMMYFUNCTION("""COMPUTED_VALUE"""),"p_20c387a8e5b72bf789bf0411e840876c042d2fa5@inbound.aiesec.org")</f>
        <v>p_20c387a8e5b72bf789bf0411e840876c042d2fa5@inbound.aiesec.org</v>
      </c>
      <c r="F990" s="43">
        <f>IFERROR(__xludf.DUMMYFUNCTION("""COMPUTED_VALUE"""),5.83328E7)</f>
        <v>58332800</v>
      </c>
      <c r="G990" s="43" t="str">
        <f>IFERROR(__xludf.DUMMYFUNCTION("""COMPUTED_VALUE"""),"Tunisia")</f>
        <v>Tunisia</v>
      </c>
      <c r="H990" s="43" t="str">
        <f>IFERROR(__xludf.DUMMYFUNCTION("""COMPUTED_VALUE"""),"BARDO")</f>
        <v>BARDO</v>
      </c>
      <c r="I990" s="43" t="str">
        <f>IFERROR(__xludf.DUMMYFUNCTION("""COMPUTED_VALUE"""),"Turkey")</f>
        <v>Turkey</v>
      </c>
      <c r="J990" s="43" t="str">
        <f>IFERROR(__xludf.DUMMYFUNCTION("""COMPUTED_VALUE"""),"KOCAELI")</f>
        <v>KOCAELI</v>
      </c>
      <c r="K990" s="44" t="str">
        <f>IFERROR(__xludf.DUMMYFUNCTION("""COMPUTED_VALUE"""),"https://expa.aiesec.org/opportunities/1294061")</f>
        <v>https://expa.aiesec.org/opportunities/1294061</v>
      </c>
      <c r="L990" s="43" t="str">
        <f>IFERROR(__xludf.DUMMYFUNCTION("""COMPUTED_VALUE"""),"GV")</f>
        <v>GV</v>
      </c>
      <c r="M990" s="43" t="str">
        <f>IFERROR(__xludf.DUMMYFUNCTION("""COMPUTED_VALUE"""),"short")</f>
        <v>short</v>
      </c>
      <c r="N990" s="45">
        <f>IFERROR(__xludf.DUMMYFUNCTION("""COMPUTED_VALUE"""),45086.0)</f>
        <v>45086</v>
      </c>
      <c r="O990" s="45">
        <f>IFERROR(__xludf.DUMMYFUNCTION("""COMPUTED_VALUE"""),45095.0)</f>
        <v>45095</v>
      </c>
      <c r="P990" s="45">
        <f>IFERROR(__xludf.DUMMYFUNCTION("""COMPUTED_VALUE"""),45137.0)</f>
        <v>45137</v>
      </c>
      <c r="Q990" s="45">
        <f>IFERROR(__xludf.DUMMYFUNCTION("""COMPUTED_VALUE"""),45094.0)</f>
        <v>45094</v>
      </c>
      <c r="R990" s="45">
        <f>IFERROR(__xludf.DUMMYFUNCTION("""COMPUTED_VALUE"""),45137.0)</f>
        <v>45137</v>
      </c>
      <c r="S990" s="43"/>
      <c r="T990" s="43"/>
      <c r="U990" s="43" t="str">
        <f>IFERROR(__xludf.DUMMYFUNCTION("""COMPUTED_VALUE"""),"Global Classroom")</f>
        <v>Global Classroom</v>
      </c>
      <c r="V990" s="43" t="str">
        <f>IFERROR(__xludf.DUMMYFUNCTION("""COMPUTED_VALUE"""),"ESPRIT El Ghazela ")</f>
        <v>ESPRIT El Ghazela </v>
      </c>
      <c r="W990" s="43" t="str">
        <f>IFERROR(__xludf.DUMMYFUNCTION("""COMPUTED_VALUE"""),"2023-04-11T18:17:04Z")</f>
        <v>2023-04-11T18:17:04Z</v>
      </c>
      <c r="X990" s="43"/>
      <c r="Y990" s="43"/>
      <c r="Z990" s="43"/>
    </row>
    <row r="991" hidden="1">
      <c r="A991" s="43" t="str">
        <f>IFERROR(__xludf.DUMMYFUNCTION("""COMPUTED_VALUE"""),"5177251_1295408")</f>
        <v>5177251_1295408</v>
      </c>
      <c r="B991" s="43" t="str">
        <f>IFERROR(__xludf.DUMMYFUNCTION("""COMPUTED_VALUE"""),"Samia Tika")</f>
        <v>Samia Tika</v>
      </c>
      <c r="C991" s="43" t="str">
        <f>IFERROR(__xludf.DUMMYFUNCTION("""COMPUTED_VALUE"""),"finished")</f>
        <v>finished</v>
      </c>
      <c r="D991" s="43" t="str">
        <f>IFERROR(__xludf.DUMMYFUNCTION("""COMPUTED_VALUE"""),"No")</f>
        <v>No</v>
      </c>
      <c r="E991" s="43" t="str">
        <f>IFERROR(__xludf.DUMMYFUNCTION("""COMPUTED_VALUE"""),"p_7a197bf203ab79a9b500d4a54ca3f34cc1d139e3@inbound.aiesec.org")</f>
        <v>p_7a197bf203ab79a9b500d4a54ca3f34cc1d139e3@inbound.aiesec.org</v>
      </c>
      <c r="F991" s="43"/>
      <c r="G991" s="43" t="str">
        <f>IFERROR(__xludf.DUMMYFUNCTION("""COMPUTED_VALUE"""),"Morocco")</f>
        <v>Morocco</v>
      </c>
      <c r="H991" s="43" t="str">
        <f>IFERROR(__xludf.DUMMYFUNCTION("""COMPUTED_VALUE"""),"Casablanca")</f>
        <v>Casablanca</v>
      </c>
      <c r="I991" s="43" t="str">
        <f>IFERROR(__xludf.DUMMYFUNCTION("""COMPUTED_VALUE"""),"Turkey")</f>
        <v>Turkey</v>
      </c>
      <c r="J991" s="43" t="str">
        <f>IFERROR(__xludf.DUMMYFUNCTION("""COMPUTED_VALUE"""),"ANKARA")</f>
        <v>ANKARA</v>
      </c>
      <c r="K991" s="44" t="str">
        <f>IFERROR(__xludf.DUMMYFUNCTION("""COMPUTED_VALUE"""),"https://expa.aiesec.org/opportunities/1295408")</f>
        <v>https://expa.aiesec.org/opportunities/1295408</v>
      </c>
      <c r="L991" s="43" t="str">
        <f>IFERROR(__xludf.DUMMYFUNCTION("""COMPUTED_VALUE"""),"GV")</f>
        <v>GV</v>
      </c>
      <c r="M991" s="43" t="str">
        <f>IFERROR(__xludf.DUMMYFUNCTION("""COMPUTED_VALUE"""),"short")</f>
        <v>short</v>
      </c>
      <c r="N991" s="45">
        <f>IFERROR(__xludf.DUMMYFUNCTION("""COMPUTED_VALUE"""),45086.0)</f>
        <v>45086</v>
      </c>
      <c r="O991" s="45">
        <f>IFERROR(__xludf.DUMMYFUNCTION("""COMPUTED_VALUE"""),45124.0)</f>
        <v>45124</v>
      </c>
      <c r="P991" s="45">
        <f>IFERROR(__xludf.DUMMYFUNCTION("""COMPUTED_VALUE"""),45166.0)</f>
        <v>45166</v>
      </c>
      <c r="Q991" s="45">
        <f>IFERROR(__xludf.DUMMYFUNCTION("""COMPUTED_VALUE"""),45128.0)</f>
        <v>45128</v>
      </c>
      <c r="R991" s="45">
        <f>IFERROR(__xludf.DUMMYFUNCTION("""COMPUTED_VALUE"""),45168.0)</f>
        <v>45168</v>
      </c>
      <c r="S991" s="43"/>
      <c r="T991" s="43"/>
      <c r="U991" s="43" t="str">
        <f>IFERROR(__xludf.DUMMYFUNCTION("""COMPUTED_VALUE"""),"Global Classroom")</f>
        <v>Global Classroom</v>
      </c>
      <c r="V991" s="43" t="str">
        <f>IFERROR(__xludf.DUMMYFUNCTION("""COMPUTED_VALUE"""),"-")</f>
        <v>-</v>
      </c>
      <c r="W991" s="43" t="str">
        <f>IFERROR(__xludf.DUMMYFUNCTION("""COMPUTED_VALUE"""),"2023-01-16T19:56:28Z")</f>
        <v>2023-01-16T19:56:28Z</v>
      </c>
      <c r="X991" s="43"/>
      <c r="Y991" s="43"/>
      <c r="Z991" s="43"/>
    </row>
    <row r="992" hidden="1">
      <c r="A992" s="43" t="str">
        <f>IFERROR(__xludf.DUMMYFUNCTION("""COMPUTED_VALUE"""),"3611511_1295457")</f>
        <v>3611511_1295457</v>
      </c>
      <c r="B992" s="43" t="str">
        <f>IFERROR(__xludf.DUMMYFUNCTION("""COMPUTED_VALUE"""),"Ferroudji Chahinez")</f>
        <v>Ferroudji Chahinez</v>
      </c>
      <c r="C992" s="43" t="str">
        <f>IFERROR(__xludf.DUMMYFUNCTION("""COMPUTED_VALUE"""),"approved")</f>
        <v>approved</v>
      </c>
      <c r="D992" s="43" t="str">
        <f>IFERROR(__xludf.DUMMYFUNCTION("""COMPUTED_VALUE"""),"No")</f>
        <v>No</v>
      </c>
      <c r="E992" s="43" t="str">
        <f>IFERROR(__xludf.DUMMYFUNCTION("""COMPUTED_VALUE"""),"p_ae451739e386f7bfa87625e9f2734154008afcc8@inbound.aiesec.org")</f>
        <v>p_ae451739e386f7bfa87625e9f2734154008afcc8@inbound.aiesec.org</v>
      </c>
      <c r="F992" s="43">
        <f>IFERROR(__xludf.DUMMYFUNCTION("""COMPUTED_VALUE"""),6.56018294E8)</f>
        <v>656018294</v>
      </c>
      <c r="G992" s="43" t="str">
        <f>IFERROR(__xludf.DUMMYFUNCTION("""COMPUTED_VALUE"""),"Algeria")</f>
        <v>Algeria</v>
      </c>
      <c r="H992" s="43" t="str">
        <f>IFERROR(__xludf.DUMMYFUNCTION("""COMPUTED_VALUE"""),"Constantine")</f>
        <v>Constantine</v>
      </c>
      <c r="I992" s="43" t="str">
        <f>IFERROR(__xludf.DUMMYFUNCTION("""COMPUTED_VALUE"""),"Turkey")</f>
        <v>Turkey</v>
      </c>
      <c r="J992" s="43" t="str">
        <f>IFERROR(__xludf.DUMMYFUNCTION("""COMPUTED_VALUE"""),"BURSA")</f>
        <v>BURSA</v>
      </c>
      <c r="K992" s="44" t="str">
        <f>IFERROR(__xludf.DUMMYFUNCTION("""COMPUTED_VALUE"""),"https://expa.aiesec.org/opportunities/1295457")</f>
        <v>https://expa.aiesec.org/opportunities/1295457</v>
      </c>
      <c r="L992" s="43" t="str">
        <f>IFERROR(__xludf.DUMMYFUNCTION("""COMPUTED_VALUE"""),"GV")</f>
        <v>GV</v>
      </c>
      <c r="M992" s="43" t="str">
        <f>IFERROR(__xludf.DUMMYFUNCTION("""COMPUTED_VALUE"""),"short")</f>
        <v>short</v>
      </c>
      <c r="N992" s="45">
        <f>IFERROR(__xludf.DUMMYFUNCTION("""COMPUTED_VALUE"""),45086.0)</f>
        <v>45086</v>
      </c>
      <c r="O992" s="45">
        <f>IFERROR(__xludf.DUMMYFUNCTION("""COMPUTED_VALUE"""),45124.0)</f>
        <v>45124</v>
      </c>
      <c r="P992" s="45">
        <f>IFERROR(__xludf.DUMMYFUNCTION("""COMPUTED_VALUE"""),45166.0)</f>
        <v>45166</v>
      </c>
      <c r="Q992" s="45"/>
      <c r="R992" s="45"/>
      <c r="S992" s="43"/>
      <c r="T992" s="43"/>
      <c r="U992" s="43" t="str">
        <f>IFERROR(__xludf.DUMMYFUNCTION("""COMPUTED_VALUE"""),"Youth 4 Impact")</f>
        <v>Youth 4 Impact</v>
      </c>
      <c r="V992" s="43" t="str">
        <f>IFERROR(__xludf.DUMMYFUNCTION("""COMPUTED_VALUE"""),"AIESEC in Babez")</f>
        <v>AIESEC in Babez</v>
      </c>
      <c r="W992" s="43" t="str">
        <f>IFERROR(__xludf.DUMMYFUNCTION("""COMPUTED_VALUE"""),"2019-07-06T16:37:57Z")</f>
        <v>2019-07-06T16:37:57Z</v>
      </c>
      <c r="X992" s="43"/>
      <c r="Y992" s="43"/>
      <c r="Z992" s="43"/>
    </row>
    <row r="993" hidden="1">
      <c r="A993" s="43" t="str">
        <f>IFERROR(__xludf.DUMMYFUNCTION("""COMPUTED_VALUE"""),"2610149_1295453")</f>
        <v>2610149_1295453</v>
      </c>
      <c r="B993" s="43" t="str">
        <f>IFERROR(__xludf.DUMMYFUNCTION("""COMPUTED_VALUE"""),"harizi abdallah")</f>
        <v>harizi abdallah</v>
      </c>
      <c r="C993" s="43" t="str">
        <f>IFERROR(__xludf.DUMMYFUNCTION("""COMPUTED_VALUE"""),"completed")</f>
        <v>completed</v>
      </c>
      <c r="D993" s="43" t="str">
        <f>IFERROR(__xludf.DUMMYFUNCTION("""COMPUTED_VALUE"""),"No")</f>
        <v>No</v>
      </c>
      <c r="E993" s="43" t="str">
        <f>IFERROR(__xludf.DUMMYFUNCTION("""COMPUTED_VALUE"""),"p_f0899d87206c3df6bba1807602d73a3b6eb58a47@inbound.aiesec.org")</f>
        <v>p_f0899d87206c3df6bba1807602d73a3b6eb58a47@inbound.aiesec.org</v>
      </c>
      <c r="F993" s="43">
        <f>IFERROR(__xludf.DUMMYFUNCTION("""COMPUTED_VALUE"""),6.76070857E8)</f>
        <v>676070857</v>
      </c>
      <c r="G993" s="43" t="str">
        <f>IFERROR(__xludf.DUMMYFUNCTION("""COMPUTED_VALUE"""),"Algeria")</f>
        <v>Algeria</v>
      </c>
      <c r="H993" s="43" t="str">
        <f>IFERROR(__xludf.DUMMYFUNCTION("""COMPUTED_VALUE"""),"Ouargla")</f>
        <v>Ouargla</v>
      </c>
      <c r="I993" s="43" t="str">
        <f>IFERROR(__xludf.DUMMYFUNCTION("""COMPUTED_VALUE"""),"Turkey")</f>
        <v>Turkey</v>
      </c>
      <c r="J993" s="43" t="str">
        <f>IFERROR(__xludf.DUMMYFUNCTION("""COMPUTED_VALUE"""),"GAZIANTEP")</f>
        <v>GAZIANTEP</v>
      </c>
      <c r="K993" s="44" t="str">
        <f>IFERROR(__xludf.DUMMYFUNCTION("""COMPUTED_VALUE"""),"https://expa.aiesec.org/opportunities/1295453")</f>
        <v>https://expa.aiesec.org/opportunities/1295453</v>
      </c>
      <c r="L993" s="43" t="str">
        <f>IFERROR(__xludf.DUMMYFUNCTION("""COMPUTED_VALUE"""),"GV")</f>
        <v>GV</v>
      </c>
      <c r="M993" s="43" t="str">
        <f>IFERROR(__xludf.DUMMYFUNCTION("""COMPUTED_VALUE"""),"short")</f>
        <v>short</v>
      </c>
      <c r="N993" s="45">
        <f>IFERROR(__xludf.DUMMYFUNCTION("""COMPUTED_VALUE"""),45086.0)</f>
        <v>45086</v>
      </c>
      <c r="O993" s="45">
        <f>IFERROR(__xludf.DUMMYFUNCTION("""COMPUTED_VALUE"""),45110.0)</f>
        <v>45110</v>
      </c>
      <c r="P993" s="45">
        <f>IFERROR(__xludf.DUMMYFUNCTION("""COMPUTED_VALUE"""),45152.0)</f>
        <v>45152</v>
      </c>
      <c r="Q993" s="45">
        <f>IFERROR(__xludf.DUMMYFUNCTION("""COMPUTED_VALUE"""),45111.0)</f>
        <v>45111</v>
      </c>
      <c r="R993" s="45">
        <f>IFERROR(__xludf.DUMMYFUNCTION("""COMPUTED_VALUE"""),45152.0)</f>
        <v>45152</v>
      </c>
      <c r="S993" s="43"/>
      <c r="T993" s="43"/>
      <c r="U993" s="43" t="str">
        <f>IFERROR(__xludf.DUMMYFUNCTION("""COMPUTED_VALUE"""),"Global Classroom")</f>
        <v>Global Classroom</v>
      </c>
      <c r="V993" s="43" t="str">
        <f>IFERROR(__xludf.DUMMYFUNCTION("""COMPUTED_VALUE"""),"AIESEC in Benak")</f>
        <v>AIESEC in Benak</v>
      </c>
      <c r="W993" s="43" t="str">
        <f>IFERROR(__xludf.DUMMYFUNCTION("""COMPUTED_VALUE"""),"2018-10-05T21:04:22Z")</f>
        <v>2018-10-05T21:04:22Z</v>
      </c>
      <c r="X993" s="43"/>
      <c r="Y993" s="43"/>
      <c r="Z993" s="43"/>
    </row>
    <row r="994" hidden="1">
      <c r="A994" s="43" t="str">
        <f>IFERROR(__xludf.DUMMYFUNCTION("""COMPUTED_VALUE"""),"5267508_1292793")</f>
        <v>5267508_1292793</v>
      </c>
      <c r="B994" s="43" t="str">
        <f>IFERROR(__xludf.DUMMYFUNCTION("""COMPUTED_VALUE"""),"Andjela Stankovic")</f>
        <v>Andjela Stankovic</v>
      </c>
      <c r="C994" s="43" t="str">
        <f>IFERROR(__xludf.DUMMYFUNCTION("""COMPUTED_VALUE"""),"finished")</f>
        <v>finished</v>
      </c>
      <c r="D994" s="43" t="str">
        <f>IFERROR(__xludf.DUMMYFUNCTION("""COMPUTED_VALUE"""),"No")</f>
        <v>No</v>
      </c>
      <c r="E994" s="43" t="str">
        <f>IFERROR(__xludf.DUMMYFUNCTION("""COMPUTED_VALUE"""),"p_7d5bad46f2972e78a7f8a7909727b979b5ef6003@inbound.aiesec.org")</f>
        <v>p_7d5bad46f2972e78a7f8a7909727b979b5ef6003@inbound.aiesec.org</v>
      </c>
      <c r="F994" s="43">
        <f>IFERROR(__xludf.DUMMYFUNCTION("""COMPUTED_VALUE"""),6.91303022E8)</f>
        <v>691303022</v>
      </c>
      <c r="G994" s="43" t="str">
        <f>IFERROR(__xludf.DUMMYFUNCTION("""COMPUTED_VALUE"""),"Serbia")</f>
        <v>Serbia</v>
      </c>
      <c r="H994" s="43" t="str">
        <f>IFERROR(__xludf.DUMMYFUNCTION("""COMPUTED_VALUE"""),"NIS")</f>
        <v>NIS</v>
      </c>
      <c r="I994" s="43" t="str">
        <f>IFERROR(__xludf.DUMMYFUNCTION("""COMPUTED_VALUE"""),"Turkey")</f>
        <v>Turkey</v>
      </c>
      <c r="J994" s="43" t="str">
        <f>IFERROR(__xludf.DUMMYFUNCTION("""COMPUTED_VALUE"""),"ANTALYA")</f>
        <v>ANTALYA</v>
      </c>
      <c r="K994" s="44" t="str">
        <f>IFERROR(__xludf.DUMMYFUNCTION("""COMPUTED_VALUE"""),"https://expa.aiesec.org/opportunities/1292793")</f>
        <v>https://expa.aiesec.org/opportunities/1292793</v>
      </c>
      <c r="L994" s="43" t="str">
        <f>IFERROR(__xludf.DUMMYFUNCTION("""COMPUTED_VALUE"""),"GV")</f>
        <v>GV</v>
      </c>
      <c r="M994" s="43" t="str">
        <f>IFERROR(__xludf.DUMMYFUNCTION("""COMPUTED_VALUE"""),"short")</f>
        <v>short</v>
      </c>
      <c r="N994" s="45">
        <f>IFERROR(__xludf.DUMMYFUNCTION("""COMPUTED_VALUE"""),45086.0)</f>
        <v>45086</v>
      </c>
      <c r="O994" s="45">
        <f>IFERROR(__xludf.DUMMYFUNCTION("""COMPUTED_VALUE"""),45201.0)</f>
        <v>45201</v>
      </c>
      <c r="P994" s="45">
        <f>IFERROR(__xludf.DUMMYFUNCTION("""COMPUTED_VALUE"""),45243.0)</f>
        <v>45243</v>
      </c>
      <c r="Q994" s="45">
        <f>IFERROR(__xludf.DUMMYFUNCTION("""COMPUTED_VALUE"""),45204.0)</f>
        <v>45204</v>
      </c>
      <c r="R994" s="45">
        <f>IFERROR(__xludf.DUMMYFUNCTION("""COMPUTED_VALUE"""),45244.0)</f>
        <v>45244</v>
      </c>
      <c r="S994" s="43"/>
      <c r="T994" s="43"/>
      <c r="U994" s="43" t="str">
        <f>IFERROR(__xludf.DUMMYFUNCTION("""COMPUTED_VALUE"""),"Global Classroom")</f>
        <v>Global Classroom</v>
      </c>
      <c r="V994" s="43" t="str">
        <f>IFERROR(__xludf.DUMMYFUNCTION("""COMPUTED_VALUE"""),"University of Nis")</f>
        <v>University of Nis</v>
      </c>
      <c r="W994" s="43" t="str">
        <f>IFERROR(__xludf.DUMMYFUNCTION("""COMPUTED_VALUE"""),"2023-05-27T13:23:00Z")</f>
        <v>2023-05-27T13:23:00Z</v>
      </c>
      <c r="X994" s="43"/>
      <c r="Y994" s="43"/>
      <c r="Z994" s="43"/>
    </row>
    <row r="995" hidden="1">
      <c r="A995" s="43" t="str">
        <f>IFERROR(__xludf.DUMMYFUNCTION("""COMPUTED_VALUE"""),"5271525_1293726")</f>
        <v>5271525_1293726</v>
      </c>
      <c r="B995" s="43" t="str">
        <f>IFERROR(__xludf.DUMMYFUNCTION("""COMPUTED_VALUE"""),"Fidan Ibadzadə")</f>
        <v>Fidan Ibadzadə</v>
      </c>
      <c r="C995" s="43" t="str">
        <f>IFERROR(__xludf.DUMMYFUNCTION("""COMPUTED_VALUE"""),"completed")</f>
        <v>completed</v>
      </c>
      <c r="D995" s="43" t="str">
        <f>IFERROR(__xludf.DUMMYFUNCTION("""COMPUTED_VALUE"""),"No")</f>
        <v>No</v>
      </c>
      <c r="E995" s="43" t="str">
        <f>IFERROR(__xludf.DUMMYFUNCTION("""COMPUTED_VALUE"""),"p_1bd873d30eb5f93354ea1bd443266f5a8c6aeb86@inbound.aiesec.org")</f>
        <v>p_1bd873d30eb5f93354ea1bd443266f5a8c6aeb86@inbound.aiesec.org</v>
      </c>
      <c r="F995" s="43">
        <f>IFERROR(__xludf.DUMMYFUNCTION("""COMPUTED_VALUE"""),5.1215695E8)</f>
        <v>512156950</v>
      </c>
      <c r="G995" s="43" t="str">
        <f>IFERROR(__xludf.DUMMYFUNCTION("""COMPUTED_VALUE"""),"Azerbaijan")</f>
        <v>Azerbaijan</v>
      </c>
      <c r="H995" s="43" t="str">
        <f>IFERROR(__xludf.DUMMYFUNCTION("""COMPUTED_VALUE"""),"Baku Qafqaz")</f>
        <v>Baku Qafqaz</v>
      </c>
      <c r="I995" s="43" t="str">
        <f>IFERROR(__xludf.DUMMYFUNCTION("""COMPUTED_VALUE"""),"Turkey")</f>
        <v>Turkey</v>
      </c>
      <c r="J995" s="43" t="str">
        <f>IFERROR(__xludf.DUMMYFUNCTION("""COMPUTED_VALUE"""),"DENIZLI")</f>
        <v>DENIZLI</v>
      </c>
      <c r="K995" s="44" t="str">
        <f>IFERROR(__xludf.DUMMYFUNCTION("""COMPUTED_VALUE"""),"https://expa.aiesec.org/opportunities/1293726")</f>
        <v>https://expa.aiesec.org/opportunities/1293726</v>
      </c>
      <c r="L995" s="43" t="str">
        <f>IFERROR(__xludf.DUMMYFUNCTION("""COMPUTED_VALUE"""),"GV")</f>
        <v>GV</v>
      </c>
      <c r="M995" s="43" t="str">
        <f>IFERROR(__xludf.DUMMYFUNCTION("""COMPUTED_VALUE"""),"short")</f>
        <v>short</v>
      </c>
      <c r="N995" s="45">
        <f>IFERROR(__xludf.DUMMYFUNCTION("""COMPUTED_VALUE"""),45087.0)</f>
        <v>45087</v>
      </c>
      <c r="O995" s="45">
        <f>IFERROR(__xludf.DUMMYFUNCTION("""COMPUTED_VALUE"""),45110.0)</f>
        <v>45110</v>
      </c>
      <c r="P995" s="45">
        <f>IFERROR(__xludf.DUMMYFUNCTION("""COMPUTED_VALUE"""),45152.0)</f>
        <v>45152</v>
      </c>
      <c r="Q995" s="45">
        <f>IFERROR(__xludf.DUMMYFUNCTION("""COMPUTED_VALUE"""),45110.0)</f>
        <v>45110</v>
      </c>
      <c r="R995" s="45">
        <f>IFERROR(__xludf.DUMMYFUNCTION("""COMPUTED_VALUE"""),45152.0)</f>
        <v>45152</v>
      </c>
      <c r="S995" s="43"/>
      <c r="T995" s="43"/>
      <c r="U995" s="43" t="str">
        <f>IFERROR(__xludf.DUMMYFUNCTION("""COMPUTED_VALUE"""),"Global Classroom")</f>
        <v>Global Classroom</v>
      </c>
      <c r="V995" s="43" t="str">
        <f>IFERROR(__xludf.DUMMYFUNCTION("""COMPUTED_VALUE"""),"Baku Business University")</f>
        <v>Baku Business University</v>
      </c>
      <c r="W995" s="43" t="str">
        <f>IFERROR(__xludf.DUMMYFUNCTION("""COMPUTED_VALUE"""),"2023-06-05T07:36:20Z")</f>
        <v>2023-06-05T07:36:20Z</v>
      </c>
      <c r="X995" s="43"/>
      <c r="Y995" s="43"/>
      <c r="Z995" s="43"/>
    </row>
    <row r="996" hidden="1">
      <c r="A996" s="43" t="str">
        <f>IFERROR(__xludf.DUMMYFUNCTION("""COMPUTED_VALUE"""),"5253125_1295458")</f>
        <v>5253125_1295458</v>
      </c>
      <c r="B996" s="43" t="str">
        <f>IFERROR(__xludf.DUMMYFUNCTION("""COMPUTED_VALUE"""),"AHMED KHATTARA")</f>
        <v>AHMED KHATTARA</v>
      </c>
      <c r="C996" s="43" t="str">
        <f>IFERROR(__xludf.DUMMYFUNCTION("""COMPUTED_VALUE"""),"realization_broken")</f>
        <v>realization_broken</v>
      </c>
      <c r="D996" s="43" t="str">
        <f>IFERROR(__xludf.DUMMYFUNCTION("""COMPUTED_VALUE"""),"No")</f>
        <v>No</v>
      </c>
      <c r="E996" s="43" t="str">
        <f>IFERROR(__xludf.DUMMYFUNCTION("""COMPUTED_VALUE"""),"p_3b764d0209ed82380d42aeeb097a43046b78212b@inbound.aiesec.org")</f>
        <v>p_3b764d0209ed82380d42aeeb097a43046b78212b@inbound.aiesec.org</v>
      </c>
      <c r="F996" s="43">
        <f>IFERROR(__xludf.DUMMYFUNCTION("""COMPUTED_VALUE"""),5.41571876E8)</f>
        <v>541571876</v>
      </c>
      <c r="G996" s="43" t="str">
        <f>IFERROR(__xludf.DUMMYFUNCTION("""COMPUTED_VALUE"""),"Algeria")</f>
        <v>Algeria</v>
      </c>
      <c r="H996" s="43" t="str">
        <f>IFERROR(__xludf.DUMMYFUNCTION("""COMPUTED_VALUE"""),"Ouargla")</f>
        <v>Ouargla</v>
      </c>
      <c r="I996" s="43" t="str">
        <f>IFERROR(__xludf.DUMMYFUNCTION("""COMPUTED_VALUE"""),"Turkey")</f>
        <v>Turkey</v>
      </c>
      <c r="J996" s="43" t="str">
        <f>IFERROR(__xludf.DUMMYFUNCTION("""COMPUTED_VALUE"""),"BURSA")</f>
        <v>BURSA</v>
      </c>
      <c r="K996" s="44" t="str">
        <f>IFERROR(__xludf.DUMMYFUNCTION("""COMPUTED_VALUE"""),"https://expa.aiesec.org/opportunities/1295458")</f>
        <v>https://expa.aiesec.org/opportunities/1295458</v>
      </c>
      <c r="L996" s="43" t="str">
        <f>IFERROR(__xludf.DUMMYFUNCTION("""COMPUTED_VALUE"""),"GV")</f>
        <v>GV</v>
      </c>
      <c r="M996" s="43" t="str">
        <f>IFERROR(__xludf.DUMMYFUNCTION("""COMPUTED_VALUE"""),"short")</f>
        <v>short</v>
      </c>
      <c r="N996" s="45">
        <f>IFERROR(__xludf.DUMMYFUNCTION("""COMPUTED_VALUE"""),45087.0)</f>
        <v>45087</v>
      </c>
      <c r="O996" s="45">
        <f>IFERROR(__xludf.DUMMYFUNCTION("""COMPUTED_VALUE"""),45110.0)</f>
        <v>45110</v>
      </c>
      <c r="P996" s="45">
        <f>IFERROR(__xludf.DUMMYFUNCTION("""COMPUTED_VALUE"""),45152.0)</f>
        <v>45152</v>
      </c>
      <c r="Q996" s="45"/>
      <c r="R996" s="45"/>
      <c r="S996" s="43"/>
      <c r="T996" s="43"/>
      <c r="U996" s="43" t="str">
        <f>IFERROR(__xludf.DUMMYFUNCTION("""COMPUTED_VALUE"""),"Youth 4 Impact")</f>
        <v>Youth 4 Impact</v>
      </c>
      <c r="V996" s="43" t="str">
        <f>IFERROR(__xludf.DUMMYFUNCTION("""COMPUTED_VALUE"""),"AIESEC in Ouargla")</f>
        <v>AIESEC in Ouargla</v>
      </c>
      <c r="W996" s="43" t="str">
        <f>IFERROR(__xludf.DUMMYFUNCTION("""COMPUTED_VALUE"""),"2023-04-30T13:29:04Z")</f>
        <v>2023-04-30T13:29:04Z</v>
      </c>
      <c r="X996" s="43"/>
      <c r="Y996" s="43"/>
      <c r="Z996" s="43"/>
    </row>
    <row r="997" hidden="1">
      <c r="A997" s="43" t="str">
        <f>IFERROR(__xludf.DUMMYFUNCTION("""COMPUTED_VALUE"""),"5048545_1295457")</f>
        <v>5048545_1295457</v>
      </c>
      <c r="B997" s="43" t="str">
        <f>IFERROR(__xludf.DUMMYFUNCTION("""COMPUTED_VALUE"""),"Nirmal Aahooja")</f>
        <v>Nirmal Aahooja</v>
      </c>
      <c r="C997" s="43" t="str">
        <f>IFERROR(__xludf.DUMMYFUNCTION("""COMPUTED_VALUE"""),"approved")</f>
        <v>approved</v>
      </c>
      <c r="D997" s="43" t="str">
        <f>IFERROR(__xludf.DUMMYFUNCTION("""COMPUTED_VALUE"""),"No")</f>
        <v>No</v>
      </c>
      <c r="E997" s="43" t="str">
        <f>IFERROR(__xludf.DUMMYFUNCTION("""COMPUTED_VALUE"""),"p_faf725f9599d76a6ade6f9198b6f7ecdeec2380c@inbound.aiesec.org")</f>
        <v>p_faf725f9599d76a6ade6f9198b6f7ecdeec2380c@inbound.aiesec.org</v>
      </c>
      <c r="F997" s="43">
        <f>IFERROR(__xludf.DUMMYFUNCTION("""COMPUTED_VALUE"""),3.05100198E9)</f>
        <v>3051001980</v>
      </c>
      <c r="G997" s="43" t="str">
        <f>IFERROR(__xludf.DUMMYFUNCTION("""COMPUTED_VALUE"""),"Pakistan")</f>
        <v>Pakistan</v>
      </c>
      <c r="H997" s="43" t="str">
        <f>IFERROR(__xludf.DUMMYFUNCTION("""COMPUTED_VALUE"""),"Karachi")</f>
        <v>Karachi</v>
      </c>
      <c r="I997" s="43" t="str">
        <f>IFERROR(__xludf.DUMMYFUNCTION("""COMPUTED_VALUE"""),"Turkey")</f>
        <v>Turkey</v>
      </c>
      <c r="J997" s="43" t="str">
        <f>IFERROR(__xludf.DUMMYFUNCTION("""COMPUTED_VALUE"""),"BURSA")</f>
        <v>BURSA</v>
      </c>
      <c r="K997" s="44" t="str">
        <f>IFERROR(__xludf.DUMMYFUNCTION("""COMPUTED_VALUE"""),"https://expa.aiesec.org/opportunities/1295457")</f>
        <v>https://expa.aiesec.org/opportunities/1295457</v>
      </c>
      <c r="L997" s="43" t="str">
        <f>IFERROR(__xludf.DUMMYFUNCTION("""COMPUTED_VALUE"""),"GV")</f>
        <v>GV</v>
      </c>
      <c r="M997" s="43" t="str">
        <f>IFERROR(__xludf.DUMMYFUNCTION("""COMPUTED_VALUE"""),"short")</f>
        <v>short</v>
      </c>
      <c r="N997" s="45">
        <f>IFERROR(__xludf.DUMMYFUNCTION("""COMPUTED_VALUE"""),45087.0)</f>
        <v>45087</v>
      </c>
      <c r="O997" s="45">
        <f>IFERROR(__xludf.DUMMYFUNCTION("""COMPUTED_VALUE"""),45124.0)</f>
        <v>45124</v>
      </c>
      <c r="P997" s="45">
        <f>IFERROR(__xludf.DUMMYFUNCTION("""COMPUTED_VALUE"""),45166.0)</f>
        <v>45166</v>
      </c>
      <c r="Q997" s="45"/>
      <c r="R997" s="45"/>
      <c r="S997" s="43"/>
      <c r="T997" s="43"/>
      <c r="U997" s="43" t="str">
        <f>IFERROR(__xludf.DUMMYFUNCTION("""COMPUTED_VALUE"""),"Youth 4 Impact")</f>
        <v>Youth 4 Impact</v>
      </c>
      <c r="V997" s="43" t="str">
        <f>IFERROR(__xludf.DUMMYFUNCTION("""COMPUTED_VALUE"""),"Karachi - Iqra University")</f>
        <v>Karachi - Iqra University</v>
      </c>
      <c r="W997" s="43" t="str">
        <f>IFERROR(__xludf.DUMMYFUNCTION("""COMPUTED_VALUE"""),"2022-04-29T12:31:54Z")</f>
        <v>2022-04-29T12:31:54Z</v>
      </c>
      <c r="X997" s="43"/>
      <c r="Y997" s="43"/>
      <c r="Z997" s="43"/>
    </row>
    <row r="998">
      <c r="A998" s="43" t="str">
        <f>IFERROR(__xludf.DUMMYFUNCTION("""COMPUTED_VALUE"""),"5269870_1292773")</f>
        <v>5269870_1292773</v>
      </c>
      <c r="B998" s="43" t="str">
        <f>IFERROR(__xludf.DUMMYFUNCTION("""COMPUTED_VALUE"""),"Akua Achiaa Amoako")</f>
        <v>Akua Achiaa Amoako</v>
      </c>
      <c r="C998" s="43" t="str">
        <f>IFERROR(__xludf.DUMMYFUNCTION("""COMPUTED_VALUE"""),"approved")</f>
        <v>approved</v>
      </c>
      <c r="D998" s="43" t="str">
        <f>IFERROR(__xludf.DUMMYFUNCTION("""COMPUTED_VALUE"""),"No")</f>
        <v>No</v>
      </c>
      <c r="E998" s="43" t="str">
        <f>IFERROR(__xludf.DUMMYFUNCTION("""COMPUTED_VALUE"""),"p_86bd7f83796079dbfc15af17c6d5c41ccb4b970b@inbound.aiesec.org")</f>
        <v>p_86bd7f83796079dbfc15af17c6d5c41ccb4b970b@inbound.aiesec.org</v>
      </c>
      <c r="F998" s="43"/>
      <c r="G998" s="43" t="str">
        <f>IFERROR(__xludf.DUMMYFUNCTION("""COMPUTED_VALUE"""),"Ghana")</f>
        <v>Ghana</v>
      </c>
      <c r="H998" s="43" t="str">
        <f>IFERROR(__xludf.DUMMYFUNCTION("""COMPUTED_VALUE""")," RMU")</f>
        <v> RMU</v>
      </c>
      <c r="I998" s="43" t="str">
        <f>IFERROR(__xludf.DUMMYFUNCTION("""COMPUTED_VALUE"""),"Turkey")</f>
        <v>Turkey</v>
      </c>
      <c r="J998" s="43" t="str">
        <f>IFERROR(__xludf.DUMMYFUNCTION("""COMPUTED_VALUE"""),"ESKISEHIR")</f>
        <v>ESKISEHIR</v>
      </c>
      <c r="K998" s="44" t="str">
        <f>IFERROR(__xludf.DUMMYFUNCTION("""COMPUTED_VALUE"""),"https://expa.aiesec.org/opportunities/1292773")</f>
        <v>https://expa.aiesec.org/opportunities/1292773</v>
      </c>
      <c r="L998" s="43" t="str">
        <f>IFERROR(__xludf.DUMMYFUNCTION("""COMPUTED_VALUE"""),"GV")</f>
        <v>GV</v>
      </c>
      <c r="M998" s="43" t="str">
        <f>IFERROR(__xludf.DUMMYFUNCTION("""COMPUTED_VALUE"""),"short")</f>
        <v>short</v>
      </c>
      <c r="N998" s="45">
        <f>IFERROR(__xludf.DUMMYFUNCTION("""COMPUTED_VALUE"""),45088.0)</f>
        <v>45088</v>
      </c>
      <c r="O998" s="45">
        <f>IFERROR(__xludf.DUMMYFUNCTION("""COMPUTED_VALUE"""),45103.0)</f>
        <v>45103</v>
      </c>
      <c r="P998" s="45">
        <f>IFERROR(__xludf.DUMMYFUNCTION("""COMPUTED_VALUE"""),45145.0)</f>
        <v>45145</v>
      </c>
      <c r="Q998" s="45"/>
      <c r="R998" s="45"/>
      <c r="S998" s="43"/>
      <c r="T998" s="43"/>
      <c r="U998" s="43" t="str">
        <f>IFERROR(__xludf.DUMMYFUNCTION("""COMPUTED_VALUE"""),"Raise Your Voice")</f>
        <v>Raise Your Voice</v>
      </c>
      <c r="V998" s="43" t="str">
        <f>IFERROR(__xludf.DUMMYFUNCTION("""COMPUTED_VALUE"""),"Accra - Regional Maritime University")</f>
        <v>Accra - Regional Maritime University</v>
      </c>
      <c r="W998" s="43" t="str">
        <f>IFERROR(__xludf.DUMMYFUNCTION("""COMPUTED_VALUE"""),"2023-05-31T20:21:42Z")</f>
        <v>2023-05-31T20:21:42Z</v>
      </c>
      <c r="X998" s="43"/>
      <c r="Y998" s="43"/>
      <c r="Z998" s="43"/>
    </row>
    <row r="999" hidden="1">
      <c r="A999" s="43" t="str">
        <f>IFERROR(__xludf.DUMMYFUNCTION("""COMPUTED_VALUE"""),"5236280_1294452")</f>
        <v>5236280_1294452</v>
      </c>
      <c r="B999" s="43" t="str">
        <f>IFERROR(__xludf.DUMMYFUNCTION("""COMPUTED_VALUE"""),"Sohaila hossein")</f>
        <v>Sohaila hossein</v>
      </c>
      <c r="C999" s="43" t="str">
        <f>IFERROR(__xludf.DUMMYFUNCTION("""COMPUTED_VALUE"""),"finished")</f>
        <v>finished</v>
      </c>
      <c r="D999" s="43" t="str">
        <f>IFERROR(__xludf.DUMMYFUNCTION("""COMPUTED_VALUE"""),"No")</f>
        <v>No</v>
      </c>
      <c r="E999" s="43" t="str">
        <f>IFERROR(__xludf.DUMMYFUNCTION("""COMPUTED_VALUE"""),"p_7921bd2950dfc333bfe342e75d1b1b807441e713@inbound.aiesec.org")</f>
        <v>p_7921bd2950dfc333bfe342e75d1b1b807441e713@inbound.aiesec.org</v>
      </c>
      <c r="F999" s="43">
        <f>IFERROR(__xludf.DUMMYFUNCTION("""COMPUTED_VALUE"""),1.017273646E9)</f>
        <v>1017273646</v>
      </c>
      <c r="G999" s="43" t="str">
        <f>IFERROR(__xludf.DUMMYFUNCTION("""COMPUTED_VALUE"""),"Egypt")</f>
        <v>Egypt</v>
      </c>
      <c r="H999" s="43" t="str">
        <f>IFERROR(__xludf.DUMMYFUNCTION("""COMPUTED_VALUE"""),"Cairo University")</f>
        <v>Cairo University</v>
      </c>
      <c r="I999" s="43" t="str">
        <f>IFERROR(__xludf.DUMMYFUNCTION("""COMPUTED_VALUE"""),"Turkey")</f>
        <v>Turkey</v>
      </c>
      <c r="J999" s="43" t="str">
        <f>IFERROR(__xludf.DUMMYFUNCTION("""COMPUTED_VALUE"""),"ESKISEHIR")</f>
        <v>ESKISEHIR</v>
      </c>
      <c r="K999" s="44" t="str">
        <f>IFERROR(__xludf.DUMMYFUNCTION("""COMPUTED_VALUE"""),"https://expa.aiesec.org/opportunities/1294452")</f>
        <v>https://expa.aiesec.org/opportunities/1294452</v>
      </c>
      <c r="L999" s="43" t="str">
        <f>IFERROR(__xludf.DUMMYFUNCTION("""COMPUTED_VALUE"""),"GV")</f>
        <v>GV</v>
      </c>
      <c r="M999" s="43" t="str">
        <f>IFERROR(__xludf.DUMMYFUNCTION("""COMPUTED_VALUE"""),"short")</f>
        <v>short</v>
      </c>
      <c r="N999" s="45">
        <f>IFERROR(__xludf.DUMMYFUNCTION("""COMPUTED_VALUE"""),45088.0)</f>
        <v>45088</v>
      </c>
      <c r="O999" s="45">
        <f>IFERROR(__xludf.DUMMYFUNCTION("""COMPUTED_VALUE"""),45152.0)</f>
        <v>45152</v>
      </c>
      <c r="P999" s="45">
        <f>IFERROR(__xludf.DUMMYFUNCTION("""COMPUTED_VALUE"""),45194.0)</f>
        <v>45194</v>
      </c>
      <c r="Q999" s="45">
        <f>IFERROR(__xludf.DUMMYFUNCTION("""COMPUTED_VALUE"""),45188.0)</f>
        <v>45188</v>
      </c>
      <c r="R999" s="45">
        <f>IFERROR(__xludf.DUMMYFUNCTION("""COMPUTED_VALUE"""),45228.0)</f>
        <v>45228</v>
      </c>
      <c r="S999" s="43"/>
      <c r="T999" s="43"/>
      <c r="U999" s="43" t="str">
        <f>IFERROR(__xludf.DUMMYFUNCTION("""COMPUTED_VALUE"""),"On The Map")</f>
        <v>On The Map</v>
      </c>
      <c r="V999" s="43" t="str">
        <f>IFERROR(__xludf.DUMMYFUNCTION("""COMPUTED_VALUE"""),"Cairo Univeristy")</f>
        <v>Cairo Univeristy</v>
      </c>
      <c r="W999" s="43" t="str">
        <f>IFERROR(__xludf.DUMMYFUNCTION("""COMPUTED_VALUE"""),"2023-04-06T11:08:20Z")</f>
        <v>2023-04-06T11:08:20Z</v>
      </c>
      <c r="X999" s="43"/>
      <c r="Y999" s="43"/>
      <c r="Z999" s="43"/>
    </row>
    <row r="1000" hidden="1">
      <c r="A1000" s="43" t="str">
        <f>IFERROR(__xludf.DUMMYFUNCTION("""COMPUTED_VALUE"""),"5259195_1285687")</f>
        <v>5259195_1285687</v>
      </c>
      <c r="B1000" s="43" t="str">
        <f>IFERROR(__xludf.DUMMYFUNCTION("""COMPUTED_VALUE"""),"Poomrapee Sommana")</f>
        <v>Poomrapee Sommana</v>
      </c>
      <c r="C1000" s="43" t="str">
        <f>IFERROR(__xludf.DUMMYFUNCTION("""COMPUTED_VALUE"""),"completed")</f>
        <v>completed</v>
      </c>
      <c r="D1000" s="43" t="str">
        <f>IFERROR(__xludf.DUMMYFUNCTION("""COMPUTED_VALUE"""),"No")</f>
        <v>No</v>
      </c>
      <c r="E1000" s="43" t="str">
        <f>IFERROR(__xludf.DUMMYFUNCTION("""COMPUTED_VALUE"""),"p_1e7e71310194c83e0aa0de68bd61f03768eb4939@inbound.aiesec.org")</f>
        <v>p_1e7e71310194c83e0aa0de68bd61f03768eb4939@inbound.aiesec.org</v>
      </c>
      <c r="F1000" s="43"/>
      <c r="G1000" s="43" t="str">
        <f>IFERROR(__xludf.DUMMYFUNCTION("""COMPUTED_VALUE"""),"Thailand")</f>
        <v>Thailand</v>
      </c>
      <c r="H1000" s="43" t="str">
        <f>IFERROR(__xludf.DUMMYFUNCTION("""COMPUTED_VALUE"""),"Chulalongkorn University")</f>
        <v>Chulalongkorn University</v>
      </c>
      <c r="I1000" s="43" t="str">
        <f>IFERROR(__xludf.DUMMYFUNCTION("""COMPUTED_VALUE"""),"Turkey")</f>
        <v>Turkey</v>
      </c>
      <c r="J1000" s="43" t="str">
        <f>IFERROR(__xludf.DUMMYFUNCTION("""COMPUTED_VALUE"""),"ISTANBUL")</f>
        <v>ISTANBUL</v>
      </c>
      <c r="K1000" s="44" t="str">
        <f>IFERROR(__xludf.DUMMYFUNCTION("""COMPUTED_VALUE"""),"https://expa.aiesec.org/opportunities/1285687")</f>
        <v>https://expa.aiesec.org/opportunities/1285687</v>
      </c>
      <c r="L1000" s="43" t="str">
        <f>IFERROR(__xludf.DUMMYFUNCTION("""COMPUTED_VALUE"""),"GV")</f>
        <v>GV</v>
      </c>
      <c r="M1000" s="43" t="str">
        <f>IFERROR(__xludf.DUMMYFUNCTION("""COMPUTED_VALUE"""),"short")</f>
        <v>short</v>
      </c>
      <c r="N1000" s="45">
        <f>IFERROR(__xludf.DUMMYFUNCTION("""COMPUTED_VALUE"""),45088.0)</f>
        <v>45088</v>
      </c>
      <c r="O1000" s="45">
        <f>IFERROR(__xludf.DUMMYFUNCTION("""COMPUTED_VALUE"""),45097.0)</f>
        <v>45097</v>
      </c>
      <c r="P1000" s="45">
        <f>IFERROR(__xludf.DUMMYFUNCTION("""COMPUTED_VALUE"""),45139.0)</f>
        <v>45139</v>
      </c>
      <c r="Q1000" s="45">
        <f>IFERROR(__xludf.DUMMYFUNCTION("""COMPUTED_VALUE"""),45104.0)</f>
        <v>45104</v>
      </c>
      <c r="R1000" s="45">
        <f>IFERROR(__xludf.DUMMYFUNCTION("""COMPUTED_VALUE"""),45144.0)</f>
        <v>45144</v>
      </c>
      <c r="S1000" s="43"/>
      <c r="T1000" s="43"/>
      <c r="U1000" s="43" t="str">
        <f>IFERROR(__xludf.DUMMYFUNCTION("""COMPUTED_VALUE"""),"Youth 4 Impact")</f>
        <v>Youth 4 Impact</v>
      </c>
      <c r="V1000" s="43" t="str">
        <f>IFERROR(__xludf.DUMMYFUNCTION("""COMPUTED_VALUE"""),"Chulalongkorn University")</f>
        <v>Chulalongkorn University</v>
      </c>
      <c r="W1000" s="43" t="str">
        <f>IFERROR(__xludf.DUMMYFUNCTION("""COMPUTED_VALUE"""),"2023-05-10T20:41:29Z")</f>
        <v>2023-05-10T20:41:29Z</v>
      </c>
      <c r="X1000" s="43"/>
      <c r="Y1000" s="43"/>
      <c r="Z1000" s="43"/>
    </row>
    <row r="1001" hidden="1">
      <c r="A1001" s="43" t="str">
        <f>IFERROR(__xludf.DUMMYFUNCTION("""COMPUTED_VALUE"""),"5223683_1289536")</f>
        <v>5223683_1289536</v>
      </c>
      <c r="B1001" s="43" t="str">
        <f>IFERROR(__xludf.DUMMYFUNCTION("""COMPUTED_VALUE"""),"Tudor Constantinescu")</f>
        <v>Tudor Constantinescu</v>
      </c>
      <c r="C1001" s="43" t="str">
        <f>IFERROR(__xludf.DUMMYFUNCTION("""COMPUTED_VALUE"""),"finished")</f>
        <v>finished</v>
      </c>
      <c r="D1001" s="43" t="str">
        <f>IFERROR(__xludf.DUMMYFUNCTION("""COMPUTED_VALUE"""),"No")</f>
        <v>No</v>
      </c>
      <c r="E1001" s="43" t="str">
        <f>IFERROR(__xludf.DUMMYFUNCTION("""COMPUTED_VALUE"""),"p_dc98d403dcee7e4437419c77a5eb30fc79820973@inbound.aiesec.org")</f>
        <v>p_dc98d403dcee7e4437419c77a5eb30fc79820973@inbound.aiesec.org</v>
      </c>
      <c r="F1001" s="43">
        <f>IFERROR(__xludf.DUMMYFUNCTION("""COMPUTED_VALUE"""),7.55375006E8)</f>
        <v>755375006</v>
      </c>
      <c r="G1001" s="43" t="str">
        <f>IFERROR(__xludf.DUMMYFUNCTION("""COMPUTED_VALUE"""),"Romania")</f>
        <v>Romania</v>
      </c>
      <c r="H1001" s="43" t="str">
        <f>IFERROR(__xludf.DUMMYFUNCTION("""COMPUTED_VALUE"""),"Cluj-Napoca")</f>
        <v>Cluj-Napoca</v>
      </c>
      <c r="I1001" s="43" t="str">
        <f>IFERROR(__xludf.DUMMYFUNCTION("""COMPUTED_VALUE"""),"Turkey")</f>
        <v>Turkey</v>
      </c>
      <c r="J1001" s="43" t="str">
        <f>IFERROR(__xludf.DUMMYFUNCTION("""COMPUTED_VALUE"""),"ISTANBUL")</f>
        <v>ISTANBUL</v>
      </c>
      <c r="K1001" s="44" t="str">
        <f>IFERROR(__xludf.DUMMYFUNCTION("""COMPUTED_VALUE"""),"https://expa.aiesec.org/opportunities/1289536")</f>
        <v>https://expa.aiesec.org/opportunities/1289536</v>
      </c>
      <c r="L1001" s="43" t="str">
        <f>IFERROR(__xludf.DUMMYFUNCTION("""COMPUTED_VALUE"""),"GV")</f>
        <v>GV</v>
      </c>
      <c r="M1001" s="43" t="str">
        <f>IFERROR(__xludf.DUMMYFUNCTION("""COMPUTED_VALUE"""),"short")</f>
        <v>short</v>
      </c>
      <c r="N1001" s="45">
        <f>IFERROR(__xludf.DUMMYFUNCTION("""COMPUTED_VALUE"""),45088.0)</f>
        <v>45088</v>
      </c>
      <c r="O1001" s="45">
        <f>IFERROR(__xludf.DUMMYFUNCTION("""COMPUTED_VALUE"""),45174.0)</f>
        <v>45174</v>
      </c>
      <c r="P1001" s="45">
        <f>IFERROR(__xludf.DUMMYFUNCTION("""COMPUTED_VALUE"""),45216.0)</f>
        <v>45216</v>
      </c>
      <c r="Q1001" s="45">
        <f>IFERROR(__xludf.DUMMYFUNCTION("""COMPUTED_VALUE"""),45180.0)</f>
        <v>45180</v>
      </c>
      <c r="R1001" s="45">
        <f>IFERROR(__xludf.DUMMYFUNCTION("""COMPUTED_VALUE"""),45220.0)</f>
        <v>45220</v>
      </c>
      <c r="S1001" s="43"/>
      <c r="T1001" s="43"/>
      <c r="U1001" s="43" t="str">
        <f>IFERROR(__xludf.DUMMYFUNCTION("""COMPUTED_VALUE"""),"Global Classroom")</f>
        <v>Global Classroom</v>
      </c>
      <c r="V1001" s="43" t="str">
        <f>IFERROR(__xludf.DUMMYFUNCTION("""COMPUTED_VALUE"""),"Cluj-Napoca")</f>
        <v>Cluj-Napoca</v>
      </c>
      <c r="W1001" s="43" t="str">
        <f>IFERROR(__xludf.DUMMYFUNCTION("""COMPUTED_VALUE"""),"2023-03-22T11:28:58Z")</f>
        <v>2023-03-22T11:28:58Z</v>
      </c>
      <c r="X1001" s="43"/>
      <c r="Y1001" s="43"/>
      <c r="Z1001" s="43"/>
    </row>
    <row r="1002" hidden="1">
      <c r="A1002" s="43" t="str">
        <f>IFERROR(__xludf.DUMMYFUNCTION("""COMPUTED_VALUE"""),"5195767_1295461")</f>
        <v>5195767_1295461</v>
      </c>
      <c r="B1002" s="43" t="str">
        <f>IFERROR(__xludf.DUMMYFUNCTION("""COMPUTED_VALUE"""),"Sara Diaa")</f>
        <v>Sara Diaa</v>
      </c>
      <c r="C1002" s="43" t="str">
        <f>IFERROR(__xludf.DUMMYFUNCTION("""COMPUTED_VALUE"""),"completed")</f>
        <v>completed</v>
      </c>
      <c r="D1002" s="43" t="str">
        <f>IFERROR(__xludf.DUMMYFUNCTION("""COMPUTED_VALUE"""),"No")</f>
        <v>No</v>
      </c>
      <c r="E1002" s="43" t="str">
        <f>IFERROR(__xludf.DUMMYFUNCTION("""COMPUTED_VALUE"""),"p_a35fcf98eef4fd9f1b05b793ba3d5924e247a779@inbound.aiesec.org")</f>
        <v>p_a35fcf98eef4fd9f1b05b793ba3d5924e247a779@inbound.aiesec.org</v>
      </c>
      <c r="F1002" s="43"/>
      <c r="G1002" s="43" t="str">
        <f>IFERROR(__xludf.DUMMYFUNCTION("""COMPUTED_VALUE"""),"Egypt")</f>
        <v>Egypt</v>
      </c>
      <c r="H1002" s="43" t="str">
        <f>IFERROR(__xludf.DUMMYFUNCTION("""COMPUTED_VALUE"""),"MIU")</f>
        <v>MIU</v>
      </c>
      <c r="I1002" s="43" t="str">
        <f>IFERROR(__xludf.DUMMYFUNCTION("""COMPUTED_VALUE"""),"Turkey")</f>
        <v>Turkey</v>
      </c>
      <c r="J1002" s="43" t="str">
        <f>IFERROR(__xludf.DUMMYFUNCTION("""COMPUTED_VALUE"""),"BURSA")</f>
        <v>BURSA</v>
      </c>
      <c r="K1002" s="44" t="str">
        <f>IFERROR(__xludf.DUMMYFUNCTION("""COMPUTED_VALUE"""),"https://expa.aiesec.org/opportunities/1295461")</f>
        <v>https://expa.aiesec.org/opportunities/1295461</v>
      </c>
      <c r="L1002" s="43" t="str">
        <f>IFERROR(__xludf.DUMMYFUNCTION("""COMPUTED_VALUE"""),"GV")</f>
        <v>GV</v>
      </c>
      <c r="M1002" s="43" t="str">
        <f>IFERROR(__xludf.DUMMYFUNCTION("""COMPUTED_VALUE"""),"short")</f>
        <v>short</v>
      </c>
      <c r="N1002" s="45">
        <f>IFERROR(__xludf.DUMMYFUNCTION("""COMPUTED_VALUE"""),45089.0)</f>
        <v>45089</v>
      </c>
      <c r="O1002" s="45">
        <f>IFERROR(__xludf.DUMMYFUNCTION("""COMPUTED_VALUE"""),45152.0)</f>
        <v>45152</v>
      </c>
      <c r="P1002" s="45">
        <f>IFERROR(__xludf.DUMMYFUNCTION("""COMPUTED_VALUE"""),45194.0)</f>
        <v>45194</v>
      </c>
      <c r="Q1002" s="45">
        <f>IFERROR(__xludf.DUMMYFUNCTION("""COMPUTED_VALUE"""),45159.0)</f>
        <v>45159</v>
      </c>
      <c r="R1002" s="45">
        <f>IFERROR(__xludf.DUMMYFUNCTION("""COMPUTED_VALUE"""),45199.0)</f>
        <v>45199</v>
      </c>
      <c r="S1002" s="43"/>
      <c r="T1002" s="43"/>
      <c r="U1002" s="43" t="str">
        <f>IFERROR(__xludf.DUMMYFUNCTION("""COMPUTED_VALUE"""),"Youth 4 Impact")</f>
        <v>Youth 4 Impact</v>
      </c>
      <c r="V1002" s="43" t="str">
        <f>IFERROR(__xludf.DUMMYFUNCTION("""COMPUTED_VALUE"""),"-")</f>
        <v>-</v>
      </c>
      <c r="W1002" s="43" t="str">
        <f>IFERROR(__xludf.DUMMYFUNCTION("""COMPUTED_VALUE"""),"2023-02-21T09:55:54Z")</f>
        <v>2023-02-21T09:55:54Z</v>
      </c>
      <c r="X1002" s="43"/>
      <c r="Y1002" s="43"/>
      <c r="Z1002" s="43"/>
    </row>
    <row r="1003" hidden="1">
      <c r="A1003" s="43" t="str">
        <f>IFERROR(__xludf.DUMMYFUNCTION("""COMPUTED_VALUE"""),"5260204_1296118")</f>
        <v>5260204_1296118</v>
      </c>
      <c r="B1003" s="43" t="str">
        <f>IFERROR(__xludf.DUMMYFUNCTION("""COMPUTED_VALUE"""),"Aleksa Dabic")</f>
        <v>Aleksa Dabic</v>
      </c>
      <c r="C1003" s="43" t="str">
        <f>IFERROR(__xludf.DUMMYFUNCTION("""COMPUTED_VALUE"""),"finished")</f>
        <v>finished</v>
      </c>
      <c r="D1003" s="43" t="str">
        <f>IFERROR(__xludf.DUMMYFUNCTION("""COMPUTED_VALUE"""),"No")</f>
        <v>No</v>
      </c>
      <c r="E1003" s="43" t="str">
        <f>IFERROR(__xludf.DUMMYFUNCTION("""COMPUTED_VALUE"""),"p_ed346c3c58e6e3cd5728531c5ceabdebb6f75dbd@inbound.aiesec.org")</f>
        <v>p_ed346c3c58e6e3cd5728531c5ceabdebb6f75dbd@inbound.aiesec.org</v>
      </c>
      <c r="F1003" s="43">
        <f>IFERROR(__xludf.DUMMYFUNCTION("""COMPUTED_VALUE"""),6.5175207E7)</f>
        <v>65175207</v>
      </c>
      <c r="G1003" s="43" t="str">
        <f>IFERROR(__xludf.DUMMYFUNCTION("""COMPUTED_VALUE"""),"Bosnia and Herzegovina")</f>
        <v>Bosnia and Herzegovina</v>
      </c>
      <c r="H1003" s="43" t="str">
        <f>IFERROR(__xludf.DUMMYFUNCTION("""COMPUTED_VALUE"""),"BANjA LUKA")</f>
        <v>BANjA LUKA</v>
      </c>
      <c r="I1003" s="43" t="str">
        <f>IFERROR(__xludf.DUMMYFUNCTION("""COMPUTED_VALUE"""),"Turkey")</f>
        <v>Turkey</v>
      </c>
      <c r="J1003" s="43" t="str">
        <f>IFERROR(__xludf.DUMMYFUNCTION("""COMPUTED_VALUE"""),"ISTANBUL WEST")</f>
        <v>ISTANBUL WEST</v>
      </c>
      <c r="K1003" s="44" t="str">
        <f>IFERROR(__xludf.DUMMYFUNCTION("""COMPUTED_VALUE"""),"https://expa.aiesec.org/opportunities/1296118")</f>
        <v>https://expa.aiesec.org/opportunities/1296118</v>
      </c>
      <c r="L1003" s="43" t="str">
        <f>IFERROR(__xludf.DUMMYFUNCTION("""COMPUTED_VALUE"""),"GV")</f>
        <v>GV</v>
      </c>
      <c r="M1003" s="43" t="str">
        <f>IFERROR(__xludf.DUMMYFUNCTION("""COMPUTED_VALUE"""),"short")</f>
        <v>short</v>
      </c>
      <c r="N1003" s="45">
        <f>IFERROR(__xludf.DUMMYFUNCTION("""COMPUTED_VALUE"""),45089.0)</f>
        <v>45089</v>
      </c>
      <c r="O1003" s="45">
        <f>IFERROR(__xludf.DUMMYFUNCTION("""COMPUTED_VALUE"""),45117.0)</f>
        <v>45117</v>
      </c>
      <c r="P1003" s="45">
        <f>IFERROR(__xludf.DUMMYFUNCTION("""COMPUTED_VALUE"""),45159.0)</f>
        <v>45159</v>
      </c>
      <c r="Q1003" s="45">
        <f>IFERROR(__xludf.DUMMYFUNCTION("""COMPUTED_VALUE"""),45116.0)</f>
        <v>45116</v>
      </c>
      <c r="R1003" s="45">
        <f>IFERROR(__xludf.DUMMYFUNCTION("""COMPUTED_VALUE"""),45159.0)</f>
        <v>45159</v>
      </c>
      <c r="S1003" s="43"/>
      <c r="T1003" s="43"/>
      <c r="U1003" s="43" t="str">
        <f>IFERROR(__xludf.DUMMYFUNCTION("""COMPUTED_VALUE"""),"Fingerprint")</f>
        <v>Fingerprint</v>
      </c>
      <c r="V1003" s="43" t="str">
        <f>IFERROR(__xludf.DUMMYFUNCTION("""COMPUTED_VALUE"""),"Banja Luka")</f>
        <v>Banja Luka</v>
      </c>
      <c r="W1003" s="43" t="str">
        <f>IFERROR(__xludf.DUMMYFUNCTION("""COMPUTED_VALUE"""),"2023-05-12T20:39:39Z")</f>
        <v>2023-05-12T20:39:39Z</v>
      </c>
      <c r="X1003" s="43"/>
      <c r="Y1003" s="43"/>
      <c r="Z1003" s="43"/>
    </row>
    <row r="1004" hidden="1">
      <c r="A1004" s="43" t="str">
        <f>IFERROR(__xludf.DUMMYFUNCTION("""COMPUTED_VALUE"""),"5032438_1295458")</f>
        <v>5032438_1295458</v>
      </c>
      <c r="B1004" s="43" t="str">
        <f>IFERROR(__xludf.DUMMYFUNCTION("""COMPUTED_VALUE"""),"aziz ben nessir")</f>
        <v>aziz ben nessir</v>
      </c>
      <c r="C1004" s="43" t="str">
        <f>IFERROR(__xludf.DUMMYFUNCTION("""COMPUTED_VALUE"""),"completed")</f>
        <v>completed</v>
      </c>
      <c r="D1004" s="43" t="str">
        <f>IFERROR(__xludf.DUMMYFUNCTION("""COMPUTED_VALUE"""),"No")</f>
        <v>No</v>
      </c>
      <c r="E1004" s="43" t="str">
        <f>IFERROR(__xludf.DUMMYFUNCTION("""COMPUTED_VALUE"""),"p_e43a169dcb69331a5711b1447877b6e70766cae9@inbound.aiesec.org")</f>
        <v>p_e43a169dcb69331a5711b1447877b6e70766cae9@inbound.aiesec.org</v>
      </c>
      <c r="F1004" s="43">
        <f>IFERROR(__xludf.DUMMYFUNCTION("""COMPUTED_VALUE"""),9.5218627E7)</f>
        <v>95218627</v>
      </c>
      <c r="G1004" s="43" t="str">
        <f>IFERROR(__xludf.DUMMYFUNCTION("""COMPUTED_VALUE"""),"Tunisia")</f>
        <v>Tunisia</v>
      </c>
      <c r="H1004" s="43" t="str">
        <f>IFERROR(__xludf.DUMMYFUNCTION("""COMPUTED_VALUE"""),"UNIVERSITY")</f>
        <v>UNIVERSITY</v>
      </c>
      <c r="I1004" s="43" t="str">
        <f>IFERROR(__xludf.DUMMYFUNCTION("""COMPUTED_VALUE"""),"Turkey")</f>
        <v>Turkey</v>
      </c>
      <c r="J1004" s="43" t="str">
        <f>IFERROR(__xludf.DUMMYFUNCTION("""COMPUTED_VALUE"""),"BURSA")</f>
        <v>BURSA</v>
      </c>
      <c r="K1004" s="44" t="str">
        <f>IFERROR(__xludf.DUMMYFUNCTION("""COMPUTED_VALUE"""),"https://expa.aiesec.org/opportunities/1295458")</f>
        <v>https://expa.aiesec.org/opportunities/1295458</v>
      </c>
      <c r="L1004" s="43" t="str">
        <f>IFERROR(__xludf.DUMMYFUNCTION("""COMPUTED_VALUE"""),"GV")</f>
        <v>GV</v>
      </c>
      <c r="M1004" s="43" t="str">
        <f>IFERROR(__xludf.DUMMYFUNCTION("""COMPUTED_VALUE"""),"short")</f>
        <v>short</v>
      </c>
      <c r="N1004" s="45">
        <f>IFERROR(__xludf.DUMMYFUNCTION("""COMPUTED_VALUE"""),45089.0)</f>
        <v>45089</v>
      </c>
      <c r="O1004" s="45">
        <f>IFERROR(__xludf.DUMMYFUNCTION("""COMPUTED_VALUE"""),45110.0)</f>
        <v>45110</v>
      </c>
      <c r="P1004" s="45">
        <f>IFERROR(__xludf.DUMMYFUNCTION("""COMPUTED_VALUE"""),45152.0)</f>
        <v>45152</v>
      </c>
      <c r="Q1004" s="45">
        <f>IFERROR(__xludf.DUMMYFUNCTION("""COMPUTED_VALUE"""),45109.0)</f>
        <v>45109</v>
      </c>
      <c r="R1004" s="45">
        <f>IFERROR(__xludf.DUMMYFUNCTION("""COMPUTED_VALUE"""),45152.0)</f>
        <v>45152</v>
      </c>
      <c r="S1004" s="43"/>
      <c r="T1004" s="43"/>
      <c r="U1004" s="43" t="str">
        <f>IFERROR(__xludf.DUMMYFUNCTION("""COMPUTED_VALUE"""),"Youth 4 Impact")</f>
        <v>Youth 4 Impact</v>
      </c>
      <c r="V1004" s="43" t="str">
        <f>IFERROR(__xludf.DUMMYFUNCTION("""COMPUTED_VALUE"""),"ISI Tunis")</f>
        <v>ISI Tunis</v>
      </c>
      <c r="W1004" s="43" t="str">
        <f>IFERROR(__xludf.DUMMYFUNCTION("""COMPUTED_VALUE"""),"2022-04-09T15:02:08Z")</f>
        <v>2022-04-09T15:02:08Z</v>
      </c>
      <c r="X1004" s="43"/>
      <c r="Y1004" s="43"/>
      <c r="Z1004" s="43"/>
    </row>
    <row r="1005" hidden="1">
      <c r="A1005" s="43" t="str">
        <f>IFERROR(__xludf.DUMMYFUNCTION("""COMPUTED_VALUE"""),"5264629_1295461")</f>
        <v>5264629_1295461</v>
      </c>
      <c r="B1005" s="43" t="str">
        <f>IFERROR(__xludf.DUMMYFUNCTION("""COMPUTED_VALUE"""),"Hajer Arrad")</f>
        <v>Hajer Arrad</v>
      </c>
      <c r="C1005" s="43" t="str">
        <f>IFERROR(__xludf.DUMMYFUNCTION("""COMPUTED_VALUE"""),"completed")</f>
        <v>completed</v>
      </c>
      <c r="D1005" s="43" t="str">
        <f>IFERROR(__xludf.DUMMYFUNCTION("""COMPUTED_VALUE"""),"No")</f>
        <v>No</v>
      </c>
      <c r="E1005" s="43" t="str">
        <f>IFERROR(__xludf.DUMMYFUNCTION("""COMPUTED_VALUE"""),"p_6bc50f8a26a238d3ef0553eff2b267f45c89ac34@inbound.aiesec.org")</f>
        <v>p_6bc50f8a26a238d3ef0553eff2b267f45c89ac34@inbound.aiesec.org</v>
      </c>
      <c r="F1005" s="43">
        <f>IFERROR(__xludf.DUMMYFUNCTION("""COMPUTED_VALUE"""),5.2517646E7)</f>
        <v>52517646</v>
      </c>
      <c r="G1005" s="43" t="str">
        <f>IFERROR(__xludf.DUMMYFUNCTION("""COMPUTED_VALUE"""),"Tunisia")</f>
        <v>Tunisia</v>
      </c>
      <c r="H1005" s="43" t="str">
        <f>IFERROR(__xludf.DUMMYFUNCTION("""COMPUTED_VALUE"""),"BARDO")</f>
        <v>BARDO</v>
      </c>
      <c r="I1005" s="43" t="str">
        <f>IFERROR(__xludf.DUMMYFUNCTION("""COMPUTED_VALUE"""),"Turkey")</f>
        <v>Turkey</v>
      </c>
      <c r="J1005" s="43" t="str">
        <f>IFERROR(__xludf.DUMMYFUNCTION("""COMPUTED_VALUE"""),"BURSA")</f>
        <v>BURSA</v>
      </c>
      <c r="K1005" s="44" t="str">
        <f>IFERROR(__xludf.DUMMYFUNCTION("""COMPUTED_VALUE"""),"https://expa.aiesec.org/opportunities/1295461")</f>
        <v>https://expa.aiesec.org/opportunities/1295461</v>
      </c>
      <c r="L1005" s="43" t="str">
        <f>IFERROR(__xludf.DUMMYFUNCTION("""COMPUTED_VALUE"""),"GV")</f>
        <v>GV</v>
      </c>
      <c r="M1005" s="43" t="str">
        <f>IFERROR(__xludf.DUMMYFUNCTION("""COMPUTED_VALUE"""),"short")</f>
        <v>short</v>
      </c>
      <c r="N1005" s="45">
        <f>IFERROR(__xludf.DUMMYFUNCTION("""COMPUTED_VALUE"""),45089.0)</f>
        <v>45089</v>
      </c>
      <c r="O1005" s="45">
        <f>IFERROR(__xludf.DUMMYFUNCTION("""COMPUTED_VALUE"""),45110.0)</f>
        <v>45110</v>
      </c>
      <c r="P1005" s="45">
        <f>IFERROR(__xludf.DUMMYFUNCTION("""COMPUTED_VALUE"""),45152.0)</f>
        <v>45152</v>
      </c>
      <c r="Q1005" s="45">
        <f>IFERROR(__xludf.DUMMYFUNCTION("""COMPUTED_VALUE"""),45109.0)</f>
        <v>45109</v>
      </c>
      <c r="R1005" s="45">
        <f>IFERROR(__xludf.DUMMYFUNCTION("""COMPUTED_VALUE"""),45152.0)</f>
        <v>45152</v>
      </c>
      <c r="S1005" s="43"/>
      <c r="T1005" s="43"/>
      <c r="U1005" s="43" t="str">
        <f>IFERROR(__xludf.DUMMYFUNCTION("""COMPUTED_VALUE"""),"Youth 4 Impact")</f>
        <v>Youth 4 Impact</v>
      </c>
      <c r="V1005" s="43" t="str">
        <f>IFERROR(__xludf.DUMMYFUNCTION("""COMPUTED_VALUE"""),"École normale supérieure")</f>
        <v>École normale supérieure</v>
      </c>
      <c r="W1005" s="43" t="str">
        <f>IFERROR(__xludf.DUMMYFUNCTION("""COMPUTED_VALUE"""),"2023-05-21T21:51:04Z")</f>
        <v>2023-05-21T21:51:04Z</v>
      </c>
      <c r="X1005" s="43"/>
      <c r="Y1005" s="43"/>
      <c r="Z1005" s="43"/>
    </row>
    <row r="1006" hidden="1">
      <c r="A1006" s="43" t="str">
        <f>IFERROR(__xludf.DUMMYFUNCTION("""COMPUTED_VALUE"""),"5265321_1291252")</f>
        <v>5265321_1291252</v>
      </c>
      <c r="B1006" s="43" t="str">
        <f>IFERROR(__xludf.DUMMYFUNCTION("""COMPUTED_VALUE"""),"Roxana Haiduc")</f>
        <v>Roxana Haiduc</v>
      </c>
      <c r="C1006" s="43" t="str">
        <f>IFERROR(__xludf.DUMMYFUNCTION("""COMPUTED_VALUE"""),"completed")</f>
        <v>completed</v>
      </c>
      <c r="D1006" s="43" t="str">
        <f>IFERROR(__xludf.DUMMYFUNCTION("""COMPUTED_VALUE"""),"No")</f>
        <v>No</v>
      </c>
      <c r="E1006" s="43" t="str">
        <f>IFERROR(__xludf.DUMMYFUNCTION("""COMPUTED_VALUE"""),"p_0e8b033938c21a79e13977e7cd69c1e24a6f3640@inbound.aiesec.org")</f>
        <v>p_0e8b033938c21a79e13977e7cd69c1e24a6f3640@inbound.aiesec.org</v>
      </c>
      <c r="F1006" s="43"/>
      <c r="G1006" s="43" t="str">
        <f>IFERROR(__xludf.DUMMYFUNCTION("""COMPUTED_VALUE"""),"Romania")</f>
        <v>Romania</v>
      </c>
      <c r="H1006" s="43" t="str">
        <f>IFERROR(__xludf.DUMMYFUNCTION("""COMPUTED_VALUE"""),"TIMISOARA")</f>
        <v>TIMISOARA</v>
      </c>
      <c r="I1006" s="43" t="str">
        <f>IFERROR(__xludf.DUMMYFUNCTION("""COMPUTED_VALUE"""),"Turkey")</f>
        <v>Turkey</v>
      </c>
      <c r="J1006" s="43" t="str">
        <f>IFERROR(__xludf.DUMMYFUNCTION("""COMPUTED_VALUE"""),"KOCAELI")</f>
        <v>KOCAELI</v>
      </c>
      <c r="K1006" s="44" t="str">
        <f>IFERROR(__xludf.DUMMYFUNCTION("""COMPUTED_VALUE"""),"https://expa.aiesec.org/opportunities/1291252")</f>
        <v>https://expa.aiesec.org/opportunities/1291252</v>
      </c>
      <c r="L1006" s="43" t="str">
        <f>IFERROR(__xludf.DUMMYFUNCTION("""COMPUTED_VALUE"""),"GV")</f>
        <v>GV</v>
      </c>
      <c r="M1006" s="43" t="str">
        <f>IFERROR(__xludf.DUMMYFUNCTION("""COMPUTED_VALUE"""),"short")</f>
        <v>short</v>
      </c>
      <c r="N1006" s="45">
        <f>IFERROR(__xludf.DUMMYFUNCTION("""COMPUTED_VALUE"""),45089.0)</f>
        <v>45089</v>
      </c>
      <c r="O1006" s="45">
        <f>IFERROR(__xludf.DUMMYFUNCTION("""COMPUTED_VALUE"""),45153.0)</f>
        <v>45153</v>
      </c>
      <c r="P1006" s="45">
        <f>IFERROR(__xludf.DUMMYFUNCTION("""COMPUTED_VALUE"""),45195.0)</f>
        <v>45195</v>
      </c>
      <c r="Q1006" s="45">
        <f>IFERROR(__xludf.DUMMYFUNCTION("""COMPUTED_VALUE"""),45153.0)</f>
        <v>45153</v>
      </c>
      <c r="R1006" s="45">
        <f>IFERROR(__xludf.DUMMYFUNCTION("""COMPUTED_VALUE"""),45195.0)</f>
        <v>45195</v>
      </c>
      <c r="S1006" s="43"/>
      <c r="T1006" s="43"/>
      <c r="U1006" s="43" t="str">
        <f>IFERROR(__xludf.DUMMYFUNCTION("""COMPUTED_VALUE"""),"Global Classroom")</f>
        <v>Global Classroom</v>
      </c>
      <c r="V1006" s="43" t="str">
        <f>IFERROR(__xludf.DUMMYFUNCTION("""COMPUTED_VALUE"""),"-")</f>
        <v>-</v>
      </c>
      <c r="W1006" s="43" t="str">
        <f>IFERROR(__xludf.DUMMYFUNCTION("""COMPUTED_VALUE"""),"2023-05-23T11:06:26Z")</f>
        <v>2023-05-23T11:06:26Z</v>
      </c>
      <c r="X1006" s="43"/>
      <c r="Y1006" s="43"/>
      <c r="Z1006" s="43"/>
    </row>
    <row r="1007" hidden="1">
      <c r="A1007" s="43" t="str">
        <f>IFERROR(__xludf.DUMMYFUNCTION("""COMPUTED_VALUE"""),"5271303_1293726")</f>
        <v>5271303_1293726</v>
      </c>
      <c r="B1007" s="43" t="str">
        <f>IFERROR(__xludf.DUMMYFUNCTION("""COMPUTED_VALUE"""),"Aidana Shman")</f>
        <v>Aidana Shman</v>
      </c>
      <c r="C1007" s="43" t="str">
        <f>IFERROR(__xludf.DUMMYFUNCTION("""COMPUTED_VALUE"""),"completed")</f>
        <v>completed</v>
      </c>
      <c r="D1007" s="43" t="str">
        <f>IFERROR(__xludf.DUMMYFUNCTION("""COMPUTED_VALUE"""),"No")</f>
        <v>No</v>
      </c>
      <c r="E1007" s="43" t="str">
        <f>IFERROR(__xludf.DUMMYFUNCTION("""COMPUTED_VALUE"""),"p_67cf88ecc2bc8f49fdc017c76ed5ea61c5d750a1@inbound.aiesec.org")</f>
        <v>p_67cf88ecc2bc8f49fdc017c76ed5ea61c5d750a1@inbound.aiesec.org</v>
      </c>
      <c r="F1007" s="43">
        <f>IFERROR(__xludf.DUMMYFUNCTION("""COMPUTED_VALUE"""),7.051264249E9)</f>
        <v>7051264249</v>
      </c>
      <c r="G1007" s="43" t="str">
        <f>IFERROR(__xludf.DUMMYFUNCTION("""COMPUTED_VALUE"""),"Kazakhstan")</f>
        <v>Kazakhstan</v>
      </c>
      <c r="H1007" s="43" t="str">
        <f>IFERROR(__xludf.DUMMYFUNCTION("""COMPUTED_VALUE"""),"ALMATY")</f>
        <v>ALMATY</v>
      </c>
      <c r="I1007" s="43" t="str">
        <f>IFERROR(__xludf.DUMMYFUNCTION("""COMPUTED_VALUE"""),"Turkey")</f>
        <v>Turkey</v>
      </c>
      <c r="J1007" s="43" t="str">
        <f>IFERROR(__xludf.DUMMYFUNCTION("""COMPUTED_VALUE"""),"DENIZLI")</f>
        <v>DENIZLI</v>
      </c>
      <c r="K1007" s="44" t="str">
        <f>IFERROR(__xludf.DUMMYFUNCTION("""COMPUTED_VALUE"""),"https://expa.aiesec.org/opportunities/1293726")</f>
        <v>https://expa.aiesec.org/opportunities/1293726</v>
      </c>
      <c r="L1007" s="43" t="str">
        <f>IFERROR(__xludf.DUMMYFUNCTION("""COMPUTED_VALUE"""),"GV")</f>
        <v>GV</v>
      </c>
      <c r="M1007" s="43" t="str">
        <f>IFERROR(__xludf.DUMMYFUNCTION("""COMPUTED_VALUE"""),"short")</f>
        <v>short</v>
      </c>
      <c r="N1007" s="45">
        <f>IFERROR(__xludf.DUMMYFUNCTION("""COMPUTED_VALUE"""),45089.0)</f>
        <v>45089</v>
      </c>
      <c r="O1007" s="45">
        <f>IFERROR(__xludf.DUMMYFUNCTION("""COMPUTED_VALUE"""),45110.0)</f>
        <v>45110</v>
      </c>
      <c r="P1007" s="45">
        <f>IFERROR(__xludf.DUMMYFUNCTION("""COMPUTED_VALUE"""),45152.0)</f>
        <v>45152</v>
      </c>
      <c r="Q1007" s="45">
        <f>IFERROR(__xludf.DUMMYFUNCTION("""COMPUTED_VALUE"""),45110.0)</f>
        <v>45110</v>
      </c>
      <c r="R1007" s="45">
        <f>IFERROR(__xludf.DUMMYFUNCTION("""COMPUTED_VALUE"""),45152.0)</f>
        <v>45152</v>
      </c>
      <c r="S1007" s="43"/>
      <c r="T1007" s="43"/>
      <c r="U1007" s="43" t="str">
        <f>IFERROR(__xludf.DUMMYFUNCTION("""COMPUTED_VALUE"""),"Global Classroom")</f>
        <v>Global Classroom</v>
      </c>
      <c r="V1007" s="43" t="str">
        <f>IFERROR(__xludf.DUMMYFUNCTION("""COMPUTED_VALUE"""),"Almaty")</f>
        <v>Almaty</v>
      </c>
      <c r="W1007" s="43" t="str">
        <f>IFERROR(__xludf.DUMMYFUNCTION("""COMPUTED_VALUE"""),"2023-06-04T13:16:10Z")</f>
        <v>2023-06-04T13:16:10Z</v>
      </c>
      <c r="X1007" s="43"/>
      <c r="Y1007" s="43"/>
      <c r="Z1007" s="43"/>
    </row>
    <row r="1008" hidden="1">
      <c r="A1008" s="43" t="str">
        <f>IFERROR(__xludf.DUMMYFUNCTION("""COMPUTED_VALUE"""),"5140907_1295404")</f>
        <v>5140907_1295404</v>
      </c>
      <c r="B1008" s="43" t="str">
        <f>IFERROR(__xludf.DUMMYFUNCTION("""COMPUTED_VALUE"""),"Manaal Siddiq")</f>
        <v>Manaal Siddiq</v>
      </c>
      <c r="C1008" s="43" t="str">
        <f>IFERROR(__xludf.DUMMYFUNCTION("""COMPUTED_VALUE"""),"finished")</f>
        <v>finished</v>
      </c>
      <c r="D1008" s="43" t="str">
        <f>IFERROR(__xludf.DUMMYFUNCTION("""COMPUTED_VALUE"""),"No")</f>
        <v>No</v>
      </c>
      <c r="E1008" s="43" t="str">
        <f>IFERROR(__xludf.DUMMYFUNCTION("""COMPUTED_VALUE"""),"p_0dc7537d737ca046f1cfb9cb7ec640334595faf8@inbound.aiesec.org")</f>
        <v>p_0dc7537d737ca046f1cfb9cb7ec640334595faf8@inbound.aiesec.org</v>
      </c>
      <c r="F1008" s="43">
        <f>IFERROR(__xludf.DUMMYFUNCTION("""COMPUTED_VALUE"""),3.302746047E9)</f>
        <v>3302746047</v>
      </c>
      <c r="G1008" s="43" t="str">
        <f>IFERROR(__xludf.DUMMYFUNCTION("""COMPUTED_VALUE"""),"Pakistan")</f>
        <v>Pakistan</v>
      </c>
      <c r="H1008" s="43" t="str">
        <f>IFERROR(__xludf.DUMMYFUNCTION("""COMPUTED_VALUE"""),"Karachi")</f>
        <v>Karachi</v>
      </c>
      <c r="I1008" s="43" t="str">
        <f>IFERROR(__xludf.DUMMYFUNCTION("""COMPUTED_VALUE"""),"Turkey")</f>
        <v>Turkey</v>
      </c>
      <c r="J1008" s="43" t="str">
        <f>IFERROR(__xludf.DUMMYFUNCTION("""COMPUTED_VALUE"""),"ANKARA")</f>
        <v>ANKARA</v>
      </c>
      <c r="K1008" s="44" t="str">
        <f>IFERROR(__xludf.DUMMYFUNCTION("""COMPUTED_VALUE"""),"https://expa.aiesec.org/opportunities/1295404")</f>
        <v>https://expa.aiesec.org/opportunities/1295404</v>
      </c>
      <c r="L1008" s="43" t="str">
        <f>IFERROR(__xludf.DUMMYFUNCTION("""COMPUTED_VALUE"""),"GV")</f>
        <v>GV</v>
      </c>
      <c r="M1008" s="43" t="str">
        <f>IFERROR(__xludf.DUMMYFUNCTION("""COMPUTED_VALUE"""),"short")</f>
        <v>short</v>
      </c>
      <c r="N1008" s="45">
        <f>IFERROR(__xludf.DUMMYFUNCTION("""COMPUTED_VALUE"""),45089.0)</f>
        <v>45089</v>
      </c>
      <c r="O1008" s="45">
        <f>IFERROR(__xludf.DUMMYFUNCTION("""COMPUTED_VALUE"""),45124.0)</f>
        <v>45124</v>
      </c>
      <c r="P1008" s="45">
        <f>IFERROR(__xludf.DUMMYFUNCTION("""COMPUTED_VALUE"""),45166.0)</f>
        <v>45166</v>
      </c>
      <c r="Q1008" s="45">
        <f>IFERROR(__xludf.DUMMYFUNCTION("""COMPUTED_VALUE"""),45128.0)</f>
        <v>45128</v>
      </c>
      <c r="R1008" s="45">
        <f>IFERROR(__xludf.DUMMYFUNCTION("""COMPUTED_VALUE"""),45168.0)</f>
        <v>45168</v>
      </c>
      <c r="S1008" s="43"/>
      <c r="T1008" s="43"/>
      <c r="U1008" s="43" t="str">
        <f>IFERROR(__xludf.DUMMYFUNCTION("""COMPUTED_VALUE"""),"Global Classroom")</f>
        <v>Global Classroom</v>
      </c>
      <c r="V1008" s="43" t="str">
        <f>IFERROR(__xludf.DUMMYFUNCTION("""COMPUTED_VALUE"""),"Karachi - Institute of Business Management")</f>
        <v>Karachi - Institute of Business Management</v>
      </c>
      <c r="W1008" s="43" t="str">
        <f>IFERROR(__xludf.DUMMYFUNCTION("""COMPUTED_VALUE"""),"2022-10-26T15:05:23Z")</f>
        <v>2022-10-26T15:05:23Z</v>
      </c>
      <c r="X1008" s="43"/>
      <c r="Y1008" s="43"/>
      <c r="Z1008" s="43"/>
    </row>
    <row r="1009" hidden="1">
      <c r="A1009" s="43" t="str">
        <f>IFERROR(__xludf.DUMMYFUNCTION("""COMPUTED_VALUE"""),"4614059_1288490")</f>
        <v>4614059_1288490</v>
      </c>
      <c r="B1009" s="43" t="str">
        <f>IFERROR(__xludf.DUMMYFUNCTION("""COMPUTED_VALUE"""),"Rana Hammam")</f>
        <v>Rana Hammam</v>
      </c>
      <c r="C1009" s="43" t="str">
        <f>IFERROR(__xludf.DUMMYFUNCTION("""COMPUTED_VALUE"""),"approved")</f>
        <v>approved</v>
      </c>
      <c r="D1009" s="43" t="str">
        <f>IFERROR(__xludf.DUMMYFUNCTION("""COMPUTED_VALUE"""),"No")</f>
        <v>No</v>
      </c>
      <c r="E1009" s="43" t="str">
        <f>IFERROR(__xludf.DUMMYFUNCTION("""COMPUTED_VALUE"""),"p_296c14b651d30939f0604a84d8fbfeea107dfb96@inbound.aiesec.org")</f>
        <v>p_296c14b651d30939f0604a84d8fbfeea107dfb96@inbound.aiesec.org</v>
      </c>
      <c r="F1009" s="43">
        <f>IFERROR(__xludf.DUMMYFUNCTION("""COMPUTED_VALUE"""),1.111228218E9)</f>
        <v>1111228218</v>
      </c>
      <c r="G1009" s="43" t="str">
        <f>IFERROR(__xludf.DUMMYFUNCTION("""COMPUTED_VALUE"""),"Egypt")</f>
        <v>Egypt</v>
      </c>
      <c r="H1009" s="43" t="str">
        <f>IFERROR(__xludf.DUMMYFUNCTION("""COMPUTED_VALUE"""),"Luxor &amp; Aswan (Closed)")</f>
        <v>Luxor &amp; Aswan (Closed)</v>
      </c>
      <c r="I1009" s="43" t="str">
        <f>IFERROR(__xludf.DUMMYFUNCTION("""COMPUTED_VALUE"""),"Turkey")</f>
        <v>Turkey</v>
      </c>
      <c r="J1009" s="43" t="str">
        <f>IFERROR(__xludf.DUMMYFUNCTION("""COMPUTED_VALUE"""),"ISPARTA")</f>
        <v>ISPARTA</v>
      </c>
      <c r="K1009" s="44" t="str">
        <f>IFERROR(__xludf.DUMMYFUNCTION("""COMPUTED_VALUE"""),"https://expa.aiesec.org/opportunities/1288490")</f>
        <v>https://expa.aiesec.org/opportunities/1288490</v>
      </c>
      <c r="L1009" s="43" t="str">
        <f>IFERROR(__xludf.DUMMYFUNCTION("""COMPUTED_VALUE"""),"GV")</f>
        <v>GV</v>
      </c>
      <c r="M1009" s="43" t="str">
        <f>IFERROR(__xludf.DUMMYFUNCTION("""COMPUTED_VALUE"""),"short")</f>
        <v>short</v>
      </c>
      <c r="N1009" s="45">
        <f>IFERROR(__xludf.DUMMYFUNCTION("""COMPUTED_VALUE"""),45089.0)</f>
        <v>45089</v>
      </c>
      <c r="O1009" s="45">
        <f>IFERROR(__xludf.DUMMYFUNCTION("""COMPUTED_VALUE"""),45215.0)</f>
        <v>45215</v>
      </c>
      <c r="P1009" s="45">
        <f>IFERROR(__xludf.DUMMYFUNCTION("""COMPUTED_VALUE"""),45257.0)</f>
        <v>45257</v>
      </c>
      <c r="Q1009" s="45"/>
      <c r="R1009" s="45"/>
      <c r="S1009" s="43"/>
      <c r="T1009" s="43"/>
      <c r="U1009" s="43" t="str">
        <f>IFERROR(__xludf.DUMMYFUNCTION("""COMPUTED_VALUE"""),"Global Classroom")</f>
        <v>Global Classroom</v>
      </c>
      <c r="V1009" s="43" t="str">
        <f>IFERROR(__xludf.DUMMYFUNCTION("""COMPUTED_VALUE"""),"Sohag")</f>
        <v>Sohag</v>
      </c>
      <c r="W1009" s="43" t="str">
        <f>IFERROR(__xludf.DUMMYFUNCTION("""COMPUTED_VALUE"""),"2021-04-12T16:51:52Z")</f>
        <v>2021-04-12T16:51:52Z</v>
      </c>
      <c r="X1009" s="43"/>
      <c r="Y1009" s="43"/>
      <c r="Z1009" s="43"/>
    </row>
    <row r="1010" hidden="1">
      <c r="A1010" s="43" t="str">
        <f>IFERROR(__xludf.DUMMYFUNCTION("""COMPUTED_VALUE"""),"1526407_1295459")</f>
        <v>1526407_1295459</v>
      </c>
      <c r="B1010" s="43" t="str">
        <f>IFERROR(__xludf.DUMMYFUNCTION("""COMPUTED_VALUE"""),"sana awafi salhi")</f>
        <v>sana awafi salhi</v>
      </c>
      <c r="C1010" s="43" t="str">
        <f>IFERROR(__xludf.DUMMYFUNCTION("""COMPUTED_VALUE"""),"finished")</f>
        <v>finished</v>
      </c>
      <c r="D1010" s="43" t="str">
        <f>IFERROR(__xludf.DUMMYFUNCTION("""COMPUTED_VALUE"""),"No")</f>
        <v>No</v>
      </c>
      <c r="E1010" s="43" t="str">
        <f>IFERROR(__xludf.DUMMYFUNCTION("""COMPUTED_VALUE"""),"p_f0ab536f34ada157624733c23559741ce57f2146@inbound.aiesec.org")</f>
        <v>p_f0ab536f34ada157624733c23559741ce57f2146@inbound.aiesec.org</v>
      </c>
      <c r="F1010" s="43">
        <f>IFERROR(__xludf.DUMMYFUNCTION("""COMPUTED_VALUE"""),5.0724736E7)</f>
        <v>50724736</v>
      </c>
      <c r="G1010" s="43" t="str">
        <f>IFERROR(__xludf.DUMMYFUNCTION("""COMPUTED_VALUE"""),"Tunisia")</f>
        <v>Tunisia</v>
      </c>
      <c r="H1010" s="43" t="str">
        <f>IFERROR(__xludf.DUMMYFUNCTION("""COMPUTED_VALUE"""),"MEDINA")</f>
        <v>MEDINA</v>
      </c>
      <c r="I1010" s="43" t="str">
        <f>IFERROR(__xludf.DUMMYFUNCTION("""COMPUTED_VALUE"""),"Turkey")</f>
        <v>Turkey</v>
      </c>
      <c r="J1010" s="43" t="str">
        <f>IFERROR(__xludf.DUMMYFUNCTION("""COMPUTED_VALUE"""),"BURSA")</f>
        <v>BURSA</v>
      </c>
      <c r="K1010" s="44" t="str">
        <f>IFERROR(__xludf.DUMMYFUNCTION("""COMPUTED_VALUE"""),"https://expa.aiesec.org/opportunities/1295459")</f>
        <v>https://expa.aiesec.org/opportunities/1295459</v>
      </c>
      <c r="L1010" s="43" t="str">
        <f>IFERROR(__xludf.DUMMYFUNCTION("""COMPUTED_VALUE"""),"GV")</f>
        <v>GV</v>
      </c>
      <c r="M1010" s="43" t="str">
        <f>IFERROR(__xludf.DUMMYFUNCTION("""COMPUTED_VALUE"""),"short")</f>
        <v>short</v>
      </c>
      <c r="N1010" s="45">
        <f>IFERROR(__xludf.DUMMYFUNCTION("""COMPUTED_VALUE"""),45090.0)</f>
        <v>45090</v>
      </c>
      <c r="O1010" s="45">
        <f>IFERROR(__xludf.DUMMYFUNCTION("""COMPUTED_VALUE"""),45110.0)</f>
        <v>45110</v>
      </c>
      <c r="P1010" s="45">
        <f>IFERROR(__xludf.DUMMYFUNCTION("""COMPUTED_VALUE"""),45152.0)</f>
        <v>45152</v>
      </c>
      <c r="Q1010" s="45">
        <f>IFERROR(__xludf.DUMMYFUNCTION("""COMPUTED_VALUE"""),45109.0)</f>
        <v>45109</v>
      </c>
      <c r="R1010" s="45">
        <f>IFERROR(__xludf.DUMMYFUNCTION("""COMPUTED_VALUE"""),45152.0)</f>
        <v>45152</v>
      </c>
      <c r="S1010" s="43"/>
      <c r="T1010" s="43"/>
      <c r="U1010" s="43" t="str">
        <f>IFERROR(__xludf.DUMMYFUNCTION("""COMPUTED_VALUE"""),"Youth 4 Impact")</f>
        <v>Youth 4 Impact</v>
      </c>
      <c r="V1010" s="43" t="str">
        <f>IFERROR(__xludf.DUMMYFUNCTION("""COMPUTED_VALUE"""),"-")</f>
        <v>-</v>
      </c>
      <c r="W1010" s="43" t="str">
        <f>IFERROR(__xludf.DUMMYFUNCTION("""COMPUTED_VALUE"""),"2017-04-24T22:28:45Z")</f>
        <v>2017-04-24T22:28:45Z</v>
      </c>
      <c r="X1010" s="43"/>
      <c r="Y1010" s="43"/>
      <c r="Z1010" s="43"/>
    </row>
    <row r="1011" hidden="1">
      <c r="A1011" s="43" t="str">
        <f>IFERROR(__xludf.DUMMYFUNCTION("""COMPUTED_VALUE"""),"5167031_1294878")</f>
        <v>5167031_1294878</v>
      </c>
      <c r="B1011" s="43" t="str">
        <f>IFERROR(__xludf.DUMMYFUNCTION("""COMPUTED_VALUE"""),"omnia zaghloul")</f>
        <v>omnia zaghloul</v>
      </c>
      <c r="C1011" s="43" t="str">
        <f>IFERROR(__xludf.DUMMYFUNCTION("""COMPUTED_VALUE"""),"approved")</f>
        <v>approved</v>
      </c>
      <c r="D1011" s="43" t="str">
        <f>IFERROR(__xludf.DUMMYFUNCTION("""COMPUTED_VALUE"""),"No")</f>
        <v>No</v>
      </c>
      <c r="E1011" s="43" t="str">
        <f>IFERROR(__xludf.DUMMYFUNCTION("""COMPUTED_VALUE"""),"p_0313a62f2ffb5ae8e6237b2027d507356e7e5e11@inbound.aiesec.org")</f>
        <v>p_0313a62f2ffb5ae8e6237b2027d507356e7e5e11@inbound.aiesec.org</v>
      </c>
      <c r="F1011" s="43">
        <f>IFERROR(__xludf.DUMMYFUNCTION("""COMPUTED_VALUE"""),1.013497742E9)</f>
        <v>1013497742</v>
      </c>
      <c r="G1011" s="43" t="str">
        <f>IFERROR(__xludf.DUMMYFUNCTION("""COMPUTED_VALUE"""),"Egypt")</f>
        <v>Egypt</v>
      </c>
      <c r="H1011" s="43" t="str">
        <f>IFERROR(__xludf.DUMMYFUNCTION("""COMPUTED_VALUE"""),"Cairo University")</f>
        <v>Cairo University</v>
      </c>
      <c r="I1011" s="43" t="str">
        <f>IFERROR(__xludf.DUMMYFUNCTION("""COMPUTED_VALUE"""),"Turkey")</f>
        <v>Turkey</v>
      </c>
      <c r="J1011" s="43" t="str">
        <f>IFERROR(__xludf.DUMMYFUNCTION("""COMPUTED_VALUE"""),"BURSA")</f>
        <v>BURSA</v>
      </c>
      <c r="K1011" s="44" t="str">
        <f>IFERROR(__xludf.DUMMYFUNCTION("""COMPUTED_VALUE"""),"https://expa.aiesec.org/opportunities/1294878")</f>
        <v>https://expa.aiesec.org/opportunities/1294878</v>
      </c>
      <c r="L1011" s="43" t="str">
        <f>IFERROR(__xludf.DUMMYFUNCTION("""COMPUTED_VALUE"""),"GV")</f>
        <v>GV</v>
      </c>
      <c r="M1011" s="43" t="str">
        <f>IFERROR(__xludf.DUMMYFUNCTION("""COMPUTED_VALUE"""),"short")</f>
        <v>short</v>
      </c>
      <c r="N1011" s="45">
        <f>IFERROR(__xludf.DUMMYFUNCTION("""COMPUTED_VALUE"""),45090.0)</f>
        <v>45090</v>
      </c>
      <c r="O1011" s="45">
        <f>IFERROR(__xludf.DUMMYFUNCTION("""COMPUTED_VALUE"""),45187.0)</f>
        <v>45187</v>
      </c>
      <c r="P1011" s="45">
        <f>IFERROR(__xludf.DUMMYFUNCTION("""COMPUTED_VALUE"""),45229.0)</f>
        <v>45229</v>
      </c>
      <c r="Q1011" s="45"/>
      <c r="R1011" s="45"/>
      <c r="S1011" s="43"/>
      <c r="T1011" s="43"/>
      <c r="U1011" s="43" t="str">
        <f>IFERROR(__xludf.DUMMYFUNCTION("""COMPUTED_VALUE"""),"Youth 4 Impact")</f>
        <v>Youth 4 Impact</v>
      </c>
      <c r="V1011" s="43" t="str">
        <f>IFERROR(__xludf.DUMMYFUNCTION("""COMPUTED_VALUE"""),"New Giza University")</f>
        <v>New Giza University</v>
      </c>
      <c r="W1011" s="43" t="str">
        <f>IFERROR(__xludf.DUMMYFUNCTION("""COMPUTED_VALUE"""),"2022-12-16T20:40:28Z")</f>
        <v>2022-12-16T20:40:28Z</v>
      </c>
      <c r="X1011" s="43"/>
      <c r="Y1011" s="43"/>
      <c r="Z1011" s="43"/>
    </row>
    <row r="1012" hidden="1">
      <c r="A1012" s="43" t="str">
        <f>IFERROR(__xludf.DUMMYFUNCTION("""COMPUTED_VALUE"""),"4971938_1295261")</f>
        <v>4971938_1295261</v>
      </c>
      <c r="B1012" s="43" t="str">
        <f>IFERROR(__xludf.DUMMYFUNCTION("""COMPUTED_VALUE"""),"Anita Grnja")</f>
        <v>Anita Grnja</v>
      </c>
      <c r="C1012" s="43" t="str">
        <f>IFERROR(__xludf.DUMMYFUNCTION("""COMPUTED_VALUE"""),"completed")</f>
        <v>completed</v>
      </c>
      <c r="D1012" s="43" t="str">
        <f>IFERROR(__xludf.DUMMYFUNCTION("""COMPUTED_VALUE"""),"No")</f>
        <v>No</v>
      </c>
      <c r="E1012" s="43" t="str">
        <f>IFERROR(__xludf.DUMMYFUNCTION("""COMPUTED_VALUE"""),"p_91aa123b7ae30a72fb172ee6924ce62e60b147ac@inbound.aiesec.org")</f>
        <v>p_91aa123b7ae30a72fb172ee6924ce62e60b147ac@inbound.aiesec.org</v>
      </c>
      <c r="F1012" s="43">
        <f>IFERROR(__xludf.DUMMYFUNCTION("""COMPUTED_VALUE"""),6.05858573E8)</f>
        <v>605858573</v>
      </c>
      <c r="G1012" s="43" t="str">
        <f>IFERROR(__xludf.DUMMYFUNCTION("""COMPUTED_VALUE"""),"Serbia")</f>
        <v>Serbia</v>
      </c>
      <c r="H1012" s="43" t="str">
        <f>IFERROR(__xludf.DUMMYFUNCTION("""COMPUTED_VALUE"""),"NOVI SAD")</f>
        <v>NOVI SAD</v>
      </c>
      <c r="I1012" s="43" t="str">
        <f>IFERROR(__xludf.DUMMYFUNCTION("""COMPUTED_VALUE"""),"Turkey")</f>
        <v>Turkey</v>
      </c>
      <c r="J1012" s="43" t="str">
        <f>IFERROR(__xludf.DUMMYFUNCTION("""COMPUTED_VALUE"""),"KOCAELI")</f>
        <v>KOCAELI</v>
      </c>
      <c r="K1012" s="44" t="str">
        <f>IFERROR(__xludf.DUMMYFUNCTION("""COMPUTED_VALUE"""),"https://expa.aiesec.org/opportunities/1295261")</f>
        <v>https://expa.aiesec.org/opportunities/1295261</v>
      </c>
      <c r="L1012" s="43" t="str">
        <f>IFERROR(__xludf.DUMMYFUNCTION("""COMPUTED_VALUE"""),"GV")</f>
        <v>GV</v>
      </c>
      <c r="M1012" s="43" t="str">
        <f>IFERROR(__xludf.DUMMYFUNCTION("""COMPUTED_VALUE"""),"short")</f>
        <v>short</v>
      </c>
      <c r="N1012" s="45">
        <f>IFERROR(__xludf.DUMMYFUNCTION("""COMPUTED_VALUE"""),45090.0)</f>
        <v>45090</v>
      </c>
      <c r="O1012" s="45">
        <f>IFERROR(__xludf.DUMMYFUNCTION("""COMPUTED_VALUE"""),45110.0)</f>
        <v>45110</v>
      </c>
      <c r="P1012" s="45">
        <f>IFERROR(__xludf.DUMMYFUNCTION("""COMPUTED_VALUE"""),45152.0)</f>
        <v>45152</v>
      </c>
      <c r="Q1012" s="45">
        <f>IFERROR(__xludf.DUMMYFUNCTION("""COMPUTED_VALUE"""),45110.0)</f>
        <v>45110</v>
      </c>
      <c r="R1012" s="45">
        <f>IFERROR(__xludf.DUMMYFUNCTION("""COMPUTED_VALUE"""),45152.0)</f>
        <v>45152</v>
      </c>
      <c r="S1012" s="43"/>
      <c r="T1012" s="43"/>
      <c r="U1012" s="43" t="str">
        <f>IFERROR(__xludf.DUMMYFUNCTION("""COMPUTED_VALUE"""),"Rooted")</f>
        <v>Rooted</v>
      </c>
      <c r="V1012" s="43" t="str">
        <f>IFERROR(__xludf.DUMMYFUNCTION("""COMPUTED_VALUE"""),"Novi Sad")</f>
        <v>Novi Sad</v>
      </c>
      <c r="W1012" s="43" t="str">
        <f>IFERROR(__xludf.DUMMYFUNCTION("""COMPUTED_VALUE"""),"2022-03-08T19:21:02Z")</f>
        <v>2022-03-08T19:21:02Z</v>
      </c>
      <c r="X1012" s="43"/>
      <c r="Y1012" s="43"/>
      <c r="Z1012" s="43"/>
    </row>
    <row r="1013" hidden="1">
      <c r="A1013" s="43" t="str">
        <f>IFERROR(__xludf.DUMMYFUNCTION("""COMPUTED_VALUE"""),"3226700_1294452")</f>
        <v>3226700_1294452</v>
      </c>
      <c r="B1013" s="43" t="str">
        <f>IFERROR(__xludf.DUMMYFUNCTION("""COMPUTED_VALUE"""),"Fatema Alhagar")</f>
        <v>Fatema Alhagar</v>
      </c>
      <c r="C1013" s="43" t="str">
        <f>IFERROR(__xludf.DUMMYFUNCTION("""COMPUTED_VALUE"""),"approved")</f>
        <v>approved</v>
      </c>
      <c r="D1013" s="43" t="str">
        <f>IFERROR(__xludf.DUMMYFUNCTION("""COMPUTED_VALUE"""),"No")</f>
        <v>No</v>
      </c>
      <c r="E1013" s="43" t="str">
        <f>IFERROR(__xludf.DUMMYFUNCTION("""COMPUTED_VALUE"""),"p_915deabdb39b011191cbb752d9c2750fd674c9c0@inbound.aiesec.org")</f>
        <v>p_915deabdb39b011191cbb752d9c2750fd674c9c0@inbound.aiesec.org</v>
      </c>
      <c r="F1013" s="43">
        <f>IFERROR(__xludf.DUMMYFUNCTION("""COMPUTED_VALUE"""),1.116663641E9)</f>
        <v>1116663641</v>
      </c>
      <c r="G1013" s="43" t="str">
        <f>IFERROR(__xludf.DUMMYFUNCTION("""COMPUTED_VALUE"""),"Egypt")</f>
        <v>Egypt</v>
      </c>
      <c r="H1013" s="43" t="str">
        <f>IFERROR(__xludf.DUMMYFUNCTION("""COMPUTED_VALUE"""),"Cairo University")</f>
        <v>Cairo University</v>
      </c>
      <c r="I1013" s="43" t="str">
        <f>IFERROR(__xludf.DUMMYFUNCTION("""COMPUTED_VALUE"""),"Turkey")</f>
        <v>Turkey</v>
      </c>
      <c r="J1013" s="43" t="str">
        <f>IFERROR(__xludf.DUMMYFUNCTION("""COMPUTED_VALUE"""),"ESKISEHIR")</f>
        <v>ESKISEHIR</v>
      </c>
      <c r="K1013" s="44" t="str">
        <f>IFERROR(__xludf.DUMMYFUNCTION("""COMPUTED_VALUE"""),"https://expa.aiesec.org/opportunities/1294452")</f>
        <v>https://expa.aiesec.org/opportunities/1294452</v>
      </c>
      <c r="L1013" s="43" t="str">
        <f>IFERROR(__xludf.DUMMYFUNCTION("""COMPUTED_VALUE"""),"GV")</f>
        <v>GV</v>
      </c>
      <c r="M1013" s="43" t="str">
        <f>IFERROR(__xludf.DUMMYFUNCTION("""COMPUTED_VALUE"""),"short")</f>
        <v>short</v>
      </c>
      <c r="N1013" s="45">
        <f>IFERROR(__xludf.DUMMYFUNCTION("""COMPUTED_VALUE"""),45090.0)</f>
        <v>45090</v>
      </c>
      <c r="O1013" s="45">
        <f>IFERROR(__xludf.DUMMYFUNCTION("""COMPUTED_VALUE"""),45152.0)</f>
        <v>45152</v>
      </c>
      <c r="P1013" s="45">
        <f>IFERROR(__xludf.DUMMYFUNCTION("""COMPUTED_VALUE"""),45194.0)</f>
        <v>45194</v>
      </c>
      <c r="Q1013" s="45"/>
      <c r="R1013" s="45"/>
      <c r="S1013" s="43"/>
      <c r="T1013" s="43"/>
      <c r="U1013" s="43" t="str">
        <f>IFERROR(__xludf.DUMMYFUNCTION("""COMPUTED_VALUE"""),"On The Map")</f>
        <v>On The Map</v>
      </c>
      <c r="V1013" s="43" t="str">
        <f>IFERROR(__xludf.DUMMYFUNCTION("""COMPUTED_VALUE"""),"Cairo Univeristy")</f>
        <v>Cairo Univeristy</v>
      </c>
      <c r="W1013" s="43" t="str">
        <f>IFERROR(__xludf.DUMMYFUNCTION("""COMPUTED_VALUE"""),"2019-03-15T18:07:58Z")</f>
        <v>2019-03-15T18:07:58Z</v>
      </c>
      <c r="X1013" s="43"/>
      <c r="Y1013" s="43"/>
      <c r="Z1013" s="43"/>
    </row>
    <row r="1014" hidden="1">
      <c r="A1014" s="43" t="str">
        <f>IFERROR(__xludf.DUMMYFUNCTION("""COMPUTED_VALUE"""),"5264165_1284976")</f>
        <v>5264165_1284976</v>
      </c>
      <c r="B1014" s="43" t="str">
        <f>IFERROR(__xludf.DUMMYFUNCTION("""COMPUTED_VALUE"""),"Fatma Samy Faisal")</f>
        <v>Fatma Samy Faisal</v>
      </c>
      <c r="C1014" s="43" t="str">
        <f>IFERROR(__xludf.DUMMYFUNCTION("""COMPUTED_VALUE"""),"completed")</f>
        <v>completed</v>
      </c>
      <c r="D1014" s="43" t="str">
        <f>IFERROR(__xludf.DUMMYFUNCTION("""COMPUTED_VALUE"""),"No")</f>
        <v>No</v>
      </c>
      <c r="E1014" s="43" t="str">
        <f>IFERROR(__xludf.DUMMYFUNCTION("""COMPUTED_VALUE"""),"p_4f138c8388a3069983edf3a0c0dd7c48de27f652@inbound.aiesec.org")</f>
        <v>p_4f138c8388a3069983edf3a0c0dd7c48de27f652@inbound.aiesec.org</v>
      </c>
      <c r="F1014" s="43">
        <f>IFERROR(__xludf.DUMMYFUNCTION("""COMPUTED_VALUE"""),1.015163893E9)</f>
        <v>1015163893</v>
      </c>
      <c r="G1014" s="43" t="str">
        <f>IFERROR(__xludf.DUMMYFUNCTION("""COMPUTED_VALUE"""),"Egypt")</f>
        <v>Egypt</v>
      </c>
      <c r="H1014" s="43" t="str">
        <f>IFERROR(__xludf.DUMMYFUNCTION("""COMPUTED_VALUE"""),"Cairo University")</f>
        <v>Cairo University</v>
      </c>
      <c r="I1014" s="43" t="str">
        <f>IFERROR(__xludf.DUMMYFUNCTION("""COMPUTED_VALUE"""),"Turkey")</f>
        <v>Turkey</v>
      </c>
      <c r="J1014" s="43" t="str">
        <f>IFERROR(__xludf.DUMMYFUNCTION("""COMPUTED_VALUE"""),"ISPARTA")</f>
        <v>ISPARTA</v>
      </c>
      <c r="K1014" s="44" t="str">
        <f>IFERROR(__xludf.DUMMYFUNCTION("""COMPUTED_VALUE"""),"https://expa.aiesec.org/opportunities/1284976")</f>
        <v>https://expa.aiesec.org/opportunities/1284976</v>
      </c>
      <c r="L1014" s="43" t="str">
        <f>IFERROR(__xludf.DUMMYFUNCTION("""COMPUTED_VALUE"""),"GV")</f>
        <v>GV</v>
      </c>
      <c r="M1014" s="43" t="str">
        <f>IFERROR(__xludf.DUMMYFUNCTION("""COMPUTED_VALUE"""),"short")</f>
        <v>short</v>
      </c>
      <c r="N1014" s="45">
        <f>IFERROR(__xludf.DUMMYFUNCTION("""COMPUTED_VALUE"""),45090.0)</f>
        <v>45090</v>
      </c>
      <c r="O1014" s="45">
        <f>IFERROR(__xludf.DUMMYFUNCTION("""COMPUTED_VALUE"""),45124.0)</f>
        <v>45124</v>
      </c>
      <c r="P1014" s="45">
        <f>IFERROR(__xludf.DUMMYFUNCTION("""COMPUTED_VALUE"""),45166.0)</f>
        <v>45166</v>
      </c>
      <c r="Q1014" s="45">
        <f>IFERROR(__xludf.DUMMYFUNCTION("""COMPUTED_VALUE"""),45126.0)</f>
        <v>45126</v>
      </c>
      <c r="R1014" s="45">
        <f>IFERROR(__xludf.DUMMYFUNCTION("""COMPUTED_VALUE"""),45166.0)</f>
        <v>45166</v>
      </c>
      <c r="S1014" s="43"/>
      <c r="T1014" s="43"/>
      <c r="U1014" s="43" t="str">
        <f>IFERROR(__xludf.DUMMYFUNCTION("""COMPUTED_VALUE"""),"Youth 4 Impact")</f>
        <v>Youth 4 Impact</v>
      </c>
      <c r="V1014" s="43" t="str">
        <f>IFERROR(__xludf.DUMMYFUNCTION("""COMPUTED_VALUE"""),"Cairo Univeristy")</f>
        <v>Cairo Univeristy</v>
      </c>
      <c r="W1014" s="43" t="str">
        <f>IFERROR(__xludf.DUMMYFUNCTION("""COMPUTED_VALUE"""),"2023-05-20T16:09:04Z")</f>
        <v>2023-05-20T16:09:04Z</v>
      </c>
      <c r="X1014" s="43"/>
      <c r="Y1014" s="43"/>
      <c r="Z1014" s="43"/>
    </row>
    <row r="1015">
      <c r="A1015" s="43" t="str">
        <f>IFERROR(__xludf.DUMMYFUNCTION("""COMPUTED_VALUE"""),"5249196_1292773")</f>
        <v>5249196_1292773</v>
      </c>
      <c r="B1015" s="43" t="str">
        <f>IFERROR(__xludf.DUMMYFUNCTION("""COMPUTED_VALUE"""),"Rowayda Abdelwahed")</f>
        <v>Rowayda Abdelwahed</v>
      </c>
      <c r="C1015" s="43" t="str">
        <f>IFERROR(__xludf.DUMMYFUNCTION("""COMPUTED_VALUE"""),"approved")</f>
        <v>approved</v>
      </c>
      <c r="D1015" s="43" t="str">
        <f>IFERROR(__xludf.DUMMYFUNCTION("""COMPUTED_VALUE"""),"No")</f>
        <v>No</v>
      </c>
      <c r="E1015" s="43" t="str">
        <f>IFERROR(__xludf.DUMMYFUNCTION("""COMPUTED_VALUE"""),"p_5d743d447e6c677db8f3c6173444f28ce2b83107@inbound.aiesec.org")</f>
        <v>p_5d743d447e6c677db8f3c6173444f28ce2b83107@inbound.aiesec.org</v>
      </c>
      <c r="F1015" s="43">
        <f>IFERROR(__xludf.DUMMYFUNCTION("""COMPUTED_VALUE"""),1.282806822E9)</f>
        <v>1282806822</v>
      </c>
      <c r="G1015" s="43" t="str">
        <f>IFERROR(__xludf.DUMMYFUNCTION("""COMPUTED_VALUE"""),"Egypt")</f>
        <v>Egypt</v>
      </c>
      <c r="H1015" s="43" t="str">
        <f>IFERROR(__xludf.DUMMYFUNCTION("""COMPUTED_VALUE"""),"Ain Shams University")</f>
        <v>Ain Shams University</v>
      </c>
      <c r="I1015" s="43" t="str">
        <f>IFERROR(__xludf.DUMMYFUNCTION("""COMPUTED_VALUE"""),"Turkey")</f>
        <v>Turkey</v>
      </c>
      <c r="J1015" s="43" t="str">
        <f>IFERROR(__xludf.DUMMYFUNCTION("""COMPUTED_VALUE"""),"ESKISEHIR")</f>
        <v>ESKISEHIR</v>
      </c>
      <c r="K1015" s="44" t="str">
        <f>IFERROR(__xludf.DUMMYFUNCTION("""COMPUTED_VALUE"""),"https://expa.aiesec.org/opportunities/1292773")</f>
        <v>https://expa.aiesec.org/opportunities/1292773</v>
      </c>
      <c r="L1015" s="43" t="str">
        <f>IFERROR(__xludf.DUMMYFUNCTION("""COMPUTED_VALUE"""),"GV")</f>
        <v>GV</v>
      </c>
      <c r="M1015" s="43" t="str">
        <f>IFERROR(__xludf.DUMMYFUNCTION("""COMPUTED_VALUE"""),"short")</f>
        <v>short</v>
      </c>
      <c r="N1015" s="45">
        <f>IFERROR(__xludf.DUMMYFUNCTION("""COMPUTED_VALUE"""),45090.0)</f>
        <v>45090</v>
      </c>
      <c r="O1015" s="45">
        <f>IFERROR(__xludf.DUMMYFUNCTION("""COMPUTED_VALUE"""),45103.0)</f>
        <v>45103</v>
      </c>
      <c r="P1015" s="45">
        <f>IFERROR(__xludf.DUMMYFUNCTION("""COMPUTED_VALUE"""),45145.0)</f>
        <v>45145</v>
      </c>
      <c r="Q1015" s="45"/>
      <c r="R1015" s="45"/>
      <c r="S1015" s="43"/>
      <c r="T1015" s="43"/>
      <c r="U1015" s="43" t="str">
        <f>IFERROR(__xludf.DUMMYFUNCTION("""COMPUTED_VALUE"""),"Raise Your Voice")</f>
        <v>Raise Your Voice</v>
      </c>
      <c r="V1015" s="43" t="str">
        <f>IFERROR(__xludf.DUMMYFUNCTION("""COMPUTED_VALUE"""),"Ain Shams University")</f>
        <v>Ain Shams University</v>
      </c>
      <c r="W1015" s="43" t="str">
        <f>IFERROR(__xludf.DUMMYFUNCTION("""COMPUTED_VALUE"""),"2023-04-25T16:06:07Z")</f>
        <v>2023-04-25T16:06:07Z</v>
      </c>
      <c r="X1015" s="43"/>
      <c r="Y1015" s="43"/>
      <c r="Z1015" s="43"/>
    </row>
    <row r="1016" hidden="1">
      <c r="A1016" s="43" t="str">
        <f>IFERROR(__xludf.DUMMYFUNCTION("""COMPUTED_VALUE"""),"5275412_1294061")</f>
        <v>5275412_1294061</v>
      </c>
      <c r="B1016" s="43" t="str">
        <f>IFERROR(__xludf.DUMMYFUNCTION("""COMPUTED_VALUE"""),"rim tlili")</f>
        <v>rim tlili</v>
      </c>
      <c r="C1016" s="43" t="str">
        <f>IFERROR(__xludf.DUMMYFUNCTION("""COMPUTED_VALUE"""),"completed")</f>
        <v>completed</v>
      </c>
      <c r="D1016" s="43" t="str">
        <f>IFERROR(__xludf.DUMMYFUNCTION("""COMPUTED_VALUE"""),"No")</f>
        <v>No</v>
      </c>
      <c r="E1016" s="43" t="str">
        <f>IFERROR(__xludf.DUMMYFUNCTION("""COMPUTED_VALUE"""),"p_bdcbf4e37deb98442a8d143b92a738cb7c8726a5@inbound.aiesec.org")</f>
        <v>p_bdcbf4e37deb98442a8d143b92a738cb7c8726a5@inbound.aiesec.org</v>
      </c>
      <c r="F1016" s="43">
        <f>IFERROR(__xludf.DUMMYFUNCTION("""COMPUTED_VALUE"""),5.1991537E7)</f>
        <v>51991537</v>
      </c>
      <c r="G1016" s="43" t="str">
        <f>IFERROR(__xludf.DUMMYFUNCTION("""COMPUTED_VALUE"""),"Tunisia")</f>
        <v>Tunisia</v>
      </c>
      <c r="H1016" s="43" t="str">
        <f>IFERROR(__xludf.DUMMYFUNCTION("""COMPUTED_VALUE"""),"HADRUMET")</f>
        <v>HADRUMET</v>
      </c>
      <c r="I1016" s="43" t="str">
        <f>IFERROR(__xludf.DUMMYFUNCTION("""COMPUTED_VALUE"""),"Turkey")</f>
        <v>Turkey</v>
      </c>
      <c r="J1016" s="43" t="str">
        <f>IFERROR(__xludf.DUMMYFUNCTION("""COMPUTED_VALUE"""),"KOCAELI")</f>
        <v>KOCAELI</v>
      </c>
      <c r="K1016" s="44" t="str">
        <f>IFERROR(__xludf.DUMMYFUNCTION("""COMPUTED_VALUE"""),"https://expa.aiesec.org/opportunities/1294061")</f>
        <v>https://expa.aiesec.org/opportunities/1294061</v>
      </c>
      <c r="L1016" s="43" t="str">
        <f>IFERROR(__xludf.DUMMYFUNCTION("""COMPUTED_VALUE"""),"GV")</f>
        <v>GV</v>
      </c>
      <c r="M1016" s="43" t="str">
        <f>IFERROR(__xludf.DUMMYFUNCTION("""COMPUTED_VALUE"""),"short")</f>
        <v>short</v>
      </c>
      <c r="N1016" s="45">
        <f>IFERROR(__xludf.DUMMYFUNCTION("""COMPUTED_VALUE"""),45091.0)</f>
        <v>45091</v>
      </c>
      <c r="O1016" s="45">
        <f>IFERROR(__xludf.DUMMYFUNCTION("""COMPUTED_VALUE"""),45095.0)</f>
        <v>45095</v>
      </c>
      <c r="P1016" s="45">
        <f>IFERROR(__xludf.DUMMYFUNCTION("""COMPUTED_VALUE"""),45137.0)</f>
        <v>45137</v>
      </c>
      <c r="Q1016" s="45">
        <f>IFERROR(__xludf.DUMMYFUNCTION("""COMPUTED_VALUE"""),45102.0)</f>
        <v>45102</v>
      </c>
      <c r="R1016" s="45">
        <f>IFERROR(__xludf.DUMMYFUNCTION("""COMPUTED_VALUE"""),45144.0)</f>
        <v>45144</v>
      </c>
      <c r="S1016" s="43"/>
      <c r="T1016" s="43"/>
      <c r="U1016" s="43" t="str">
        <f>IFERROR(__xludf.DUMMYFUNCTION("""COMPUTED_VALUE"""),"Global Classroom")</f>
        <v>Global Classroom</v>
      </c>
      <c r="V1016" s="43" t="str">
        <f>IFERROR(__xludf.DUMMYFUNCTION("""COMPUTED_VALUE"""),"FMS (Faculté de Médecine de Sousse)")</f>
        <v>FMS (Faculté de Médecine de Sousse)</v>
      </c>
      <c r="W1016" s="43" t="str">
        <f>IFERROR(__xludf.DUMMYFUNCTION("""COMPUTED_VALUE"""),"2023-06-14T21:23:45Z")</f>
        <v>2023-06-14T21:23:45Z</v>
      </c>
      <c r="X1016" s="43"/>
      <c r="Y1016" s="43"/>
      <c r="Z1016" s="43"/>
    </row>
    <row r="1017" hidden="1">
      <c r="A1017" s="43" t="str">
        <f>IFERROR(__xludf.DUMMYFUNCTION("""COMPUTED_VALUE"""),"5275408_1294061")</f>
        <v>5275408_1294061</v>
      </c>
      <c r="B1017" s="43" t="str">
        <f>IFERROR(__xludf.DUMMYFUNCTION("""COMPUTED_VALUE"""),"nada kadhi")</f>
        <v>nada kadhi</v>
      </c>
      <c r="C1017" s="43" t="str">
        <f>IFERROR(__xludf.DUMMYFUNCTION("""COMPUTED_VALUE"""),"completed")</f>
        <v>completed</v>
      </c>
      <c r="D1017" s="43" t="str">
        <f>IFERROR(__xludf.DUMMYFUNCTION("""COMPUTED_VALUE"""),"No")</f>
        <v>No</v>
      </c>
      <c r="E1017" s="43" t="str">
        <f>IFERROR(__xludf.DUMMYFUNCTION("""COMPUTED_VALUE"""),"p_0be961d807b6ae5bcd8c739a4bca363b01f6ee47@inbound.aiesec.org")</f>
        <v>p_0be961d807b6ae5bcd8c739a4bca363b01f6ee47@inbound.aiesec.org</v>
      </c>
      <c r="F1017" s="43"/>
      <c r="G1017" s="43" t="str">
        <f>IFERROR(__xludf.DUMMYFUNCTION("""COMPUTED_VALUE"""),"Tunisia")</f>
        <v>Tunisia</v>
      </c>
      <c r="H1017" s="43" t="str">
        <f>IFERROR(__xludf.DUMMYFUNCTION("""COMPUTED_VALUE"""),"HADRUMET")</f>
        <v>HADRUMET</v>
      </c>
      <c r="I1017" s="43" t="str">
        <f>IFERROR(__xludf.DUMMYFUNCTION("""COMPUTED_VALUE"""),"Turkey")</f>
        <v>Turkey</v>
      </c>
      <c r="J1017" s="43" t="str">
        <f>IFERROR(__xludf.DUMMYFUNCTION("""COMPUTED_VALUE"""),"KOCAELI")</f>
        <v>KOCAELI</v>
      </c>
      <c r="K1017" s="44" t="str">
        <f>IFERROR(__xludf.DUMMYFUNCTION("""COMPUTED_VALUE"""),"https://expa.aiesec.org/opportunities/1294061")</f>
        <v>https://expa.aiesec.org/opportunities/1294061</v>
      </c>
      <c r="L1017" s="43" t="str">
        <f>IFERROR(__xludf.DUMMYFUNCTION("""COMPUTED_VALUE"""),"GV")</f>
        <v>GV</v>
      </c>
      <c r="M1017" s="43" t="str">
        <f>IFERROR(__xludf.DUMMYFUNCTION("""COMPUTED_VALUE"""),"short")</f>
        <v>short</v>
      </c>
      <c r="N1017" s="45">
        <f>IFERROR(__xludf.DUMMYFUNCTION("""COMPUTED_VALUE"""),45091.0)</f>
        <v>45091</v>
      </c>
      <c r="O1017" s="45">
        <f>IFERROR(__xludf.DUMMYFUNCTION("""COMPUTED_VALUE"""),45101.0)</f>
        <v>45101</v>
      </c>
      <c r="P1017" s="45">
        <f>IFERROR(__xludf.DUMMYFUNCTION("""COMPUTED_VALUE"""),45143.0)</f>
        <v>45143</v>
      </c>
      <c r="Q1017" s="45">
        <f>IFERROR(__xludf.DUMMYFUNCTION("""COMPUTED_VALUE"""),45102.0)</f>
        <v>45102</v>
      </c>
      <c r="R1017" s="45">
        <f>IFERROR(__xludf.DUMMYFUNCTION("""COMPUTED_VALUE"""),45143.0)</f>
        <v>45143</v>
      </c>
      <c r="S1017" s="43"/>
      <c r="T1017" s="43"/>
      <c r="U1017" s="43" t="str">
        <f>IFERROR(__xludf.DUMMYFUNCTION("""COMPUTED_VALUE"""),"Global Classroom")</f>
        <v>Global Classroom</v>
      </c>
      <c r="V1017" s="43" t="str">
        <f>IFERROR(__xludf.DUMMYFUNCTION("""COMPUTED_VALUE"""),"FMS (Faculté de Médecine de Sousse)")</f>
        <v>FMS (Faculté de Médecine de Sousse)</v>
      </c>
      <c r="W1017" s="43" t="str">
        <f>IFERROR(__xludf.DUMMYFUNCTION("""COMPUTED_VALUE"""),"2023-06-14T21:06:01Z")</f>
        <v>2023-06-14T21:06:01Z</v>
      </c>
      <c r="X1017" s="43"/>
      <c r="Y1017" s="43"/>
      <c r="Z1017" s="43"/>
    </row>
    <row r="1018" hidden="1">
      <c r="A1018" s="43" t="str">
        <f>IFERROR(__xludf.DUMMYFUNCTION("""COMPUTED_VALUE"""),"5274739_1289505")</f>
        <v>5274739_1289505</v>
      </c>
      <c r="B1018" s="43" t="str">
        <f>IFERROR(__xludf.DUMMYFUNCTION("""COMPUTED_VALUE"""),"hadil smida")</f>
        <v>hadil smida</v>
      </c>
      <c r="C1018" s="43" t="str">
        <f>IFERROR(__xludf.DUMMYFUNCTION("""COMPUTED_VALUE"""),"completed")</f>
        <v>completed</v>
      </c>
      <c r="D1018" s="43" t="str">
        <f>IFERROR(__xludf.DUMMYFUNCTION("""COMPUTED_VALUE"""),"No")</f>
        <v>No</v>
      </c>
      <c r="E1018" s="43" t="str">
        <f>IFERROR(__xludf.DUMMYFUNCTION("""COMPUTED_VALUE"""),"p_3cf3d0147231d756d3450bc13f00d4976e23f61e@inbound.aiesec.org")</f>
        <v>p_3cf3d0147231d756d3450bc13f00d4976e23f61e@inbound.aiesec.org</v>
      </c>
      <c r="F1018" s="43">
        <f>IFERROR(__xludf.DUMMYFUNCTION("""COMPUTED_VALUE"""),5.0043163E7)</f>
        <v>50043163</v>
      </c>
      <c r="G1018" s="43" t="str">
        <f>IFERROR(__xludf.DUMMYFUNCTION("""COMPUTED_VALUE"""),"Tunisia")</f>
        <v>Tunisia</v>
      </c>
      <c r="H1018" s="43" t="str">
        <f>IFERROR(__xludf.DUMMYFUNCTION("""COMPUTED_VALUE"""),"HADRUMET")</f>
        <v>HADRUMET</v>
      </c>
      <c r="I1018" s="43" t="str">
        <f>IFERROR(__xludf.DUMMYFUNCTION("""COMPUTED_VALUE"""),"Turkey")</f>
        <v>Turkey</v>
      </c>
      <c r="J1018" s="43" t="str">
        <f>IFERROR(__xludf.DUMMYFUNCTION("""COMPUTED_VALUE"""),"KOCAELI")</f>
        <v>KOCAELI</v>
      </c>
      <c r="K1018" s="44" t="str">
        <f>IFERROR(__xludf.DUMMYFUNCTION("""COMPUTED_VALUE"""),"https://expa.aiesec.org/opportunities/1289505")</f>
        <v>https://expa.aiesec.org/opportunities/1289505</v>
      </c>
      <c r="L1018" s="43" t="str">
        <f>IFERROR(__xludf.DUMMYFUNCTION("""COMPUTED_VALUE"""),"GV")</f>
        <v>GV</v>
      </c>
      <c r="M1018" s="43" t="str">
        <f>IFERROR(__xludf.DUMMYFUNCTION("""COMPUTED_VALUE"""),"short")</f>
        <v>short</v>
      </c>
      <c r="N1018" s="45">
        <f>IFERROR(__xludf.DUMMYFUNCTION("""COMPUTED_VALUE"""),45091.0)</f>
        <v>45091</v>
      </c>
      <c r="O1018" s="45">
        <f>IFERROR(__xludf.DUMMYFUNCTION("""COMPUTED_VALUE"""),45117.0)</f>
        <v>45117</v>
      </c>
      <c r="P1018" s="45">
        <f>IFERROR(__xludf.DUMMYFUNCTION("""COMPUTED_VALUE"""),45159.0)</f>
        <v>45159</v>
      </c>
      <c r="Q1018" s="45">
        <f>IFERROR(__xludf.DUMMYFUNCTION("""COMPUTED_VALUE"""),45117.0)</f>
        <v>45117</v>
      </c>
      <c r="R1018" s="45">
        <f>IFERROR(__xludf.DUMMYFUNCTION("""COMPUTED_VALUE"""),45159.0)</f>
        <v>45159</v>
      </c>
      <c r="S1018" s="43"/>
      <c r="T1018" s="43"/>
      <c r="U1018" s="43" t="str">
        <f>IFERROR(__xludf.DUMMYFUNCTION("""COMPUTED_VALUE"""),"Youth 4 Impact")</f>
        <v>Youth 4 Impact</v>
      </c>
      <c r="V1018" s="43" t="str">
        <f>IFERROR(__xludf.DUMMYFUNCTION("""COMPUTED_VALUE"""),"IHEC Sousse")</f>
        <v>IHEC Sousse</v>
      </c>
      <c r="W1018" s="43" t="str">
        <f>IFERROR(__xludf.DUMMYFUNCTION("""COMPUTED_VALUE"""),"2023-06-13T09:00:29Z")</f>
        <v>2023-06-13T09:00:29Z</v>
      </c>
      <c r="X1018" s="43"/>
      <c r="Y1018" s="43"/>
      <c r="Z1018" s="43"/>
    </row>
    <row r="1019" hidden="1">
      <c r="A1019" s="43" t="str">
        <f>IFERROR(__xludf.DUMMYFUNCTION("""COMPUTED_VALUE"""),"5181957_1296037")</f>
        <v>5181957_1296037</v>
      </c>
      <c r="B1019" s="43" t="str">
        <f>IFERROR(__xludf.DUMMYFUNCTION("""COMPUTED_VALUE"""),"Faxriyya Suleymanova")</f>
        <v>Faxriyya Suleymanova</v>
      </c>
      <c r="C1019" s="43" t="str">
        <f>IFERROR(__xludf.DUMMYFUNCTION("""COMPUTED_VALUE"""),"approved")</f>
        <v>approved</v>
      </c>
      <c r="D1019" s="43" t="str">
        <f>IFERROR(__xludf.DUMMYFUNCTION("""COMPUTED_VALUE"""),"No")</f>
        <v>No</v>
      </c>
      <c r="E1019" s="43" t="str">
        <f>IFERROR(__xludf.DUMMYFUNCTION("""COMPUTED_VALUE"""),"p_97a636942e037803fd41100fca0e1a4fb8195bfd@inbound.aiesec.org")</f>
        <v>p_97a636942e037803fd41100fca0e1a4fb8195bfd@inbound.aiesec.org</v>
      </c>
      <c r="F1019" s="43">
        <f>IFERROR(__xludf.DUMMYFUNCTION("""COMPUTED_VALUE"""),5.55805163E8)</f>
        <v>555805163</v>
      </c>
      <c r="G1019" s="43" t="str">
        <f>IFERROR(__xludf.DUMMYFUNCTION("""COMPUTED_VALUE"""),"Azerbaijan")</f>
        <v>Azerbaijan</v>
      </c>
      <c r="H1019" s="43" t="str">
        <f>IFERROR(__xludf.DUMMYFUNCTION("""COMPUTED_VALUE"""),"Baku ADA")</f>
        <v>Baku ADA</v>
      </c>
      <c r="I1019" s="43" t="str">
        <f>IFERROR(__xludf.DUMMYFUNCTION("""COMPUTED_VALUE"""),"Turkey")</f>
        <v>Turkey</v>
      </c>
      <c r="J1019" s="43" t="str">
        <f>IFERROR(__xludf.DUMMYFUNCTION("""COMPUTED_VALUE"""),"ADANA")</f>
        <v>ADANA</v>
      </c>
      <c r="K1019" s="44" t="str">
        <f>IFERROR(__xludf.DUMMYFUNCTION("""COMPUTED_VALUE"""),"https://expa.aiesec.org/opportunities/1296037")</f>
        <v>https://expa.aiesec.org/opportunities/1296037</v>
      </c>
      <c r="L1019" s="43" t="str">
        <f>IFERROR(__xludf.DUMMYFUNCTION("""COMPUTED_VALUE"""),"GV")</f>
        <v>GV</v>
      </c>
      <c r="M1019" s="43" t="str">
        <f>IFERROR(__xludf.DUMMYFUNCTION("""COMPUTED_VALUE"""),"short")</f>
        <v>short</v>
      </c>
      <c r="N1019" s="45">
        <f>IFERROR(__xludf.DUMMYFUNCTION("""COMPUTED_VALUE"""),45091.0)</f>
        <v>45091</v>
      </c>
      <c r="O1019" s="45">
        <f>IFERROR(__xludf.DUMMYFUNCTION("""COMPUTED_VALUE"""),45131.0)</f>
        <v>45131</v>
      </c>
      <c r="P1019" s="45">
        <f>IFERROR(__xludf.DUMMYFUNCTION("""COMPUTED_VALUE"""),45177.0)</f>
        <v>45177</v>
      </c>
      <c r="Q1019" s="45"/>
      <c r="R1019" s="45"/>
      <c r="S1019" s="43"/>
      <c r="T1019" s="43"/>
      <c r="U1019" s="43" t="str">
        <f>IFERROR(__xludf.DUMMYFUNCTION("""COMPUTED_VALUE"""),"Global Classroom")</f>
        <v>Global Classroom</v>
      </c>
      <c r="V1019" s="43" t="str">
        <f>IFERROR(__xludf.DUMMYFUNCTION("""COMPUTED_VALUE"""),"ADA University")</f>
        <v>ADA University</v>
      </c>
      <c r="W1019" s="43" t="str">
        <f>IFERROR(__xludf.DUMMYFUNCTION("""COMPUTED_VALUE"""),"2023-01-29T14:43:22Z")</f>
        <v>2023-01-29T14:43:22Z</v>
      </c>
      <c r="X1019" s="43"/>
      <c r="Y1019" s="43"/>
      <c r="Z1019" s="43"/>
    </row>
    <row r="1020" hidden="1">
      <c r="A1020" s="43" t="str">
        <f>IFERROR(__xludf.DUMMYFUNCTION("""COMPUTED_VALUE"""),"5267348_1289505")</f>
        <v>5267348_1289505</v>
      </c>
      <c r="B1020" s="43" t="str">
        <f>IFERROR(__xludf.DUMMYFUNCTION("""COMPUTED_VALUE"""),"Marwa Magdy")</f>
        <v>Marwa Magdy</v>
      </c>
      <c r="C1020" s="43" t="str">
        <f>IFERROR(__xludf.DUMMYFUNCTION("""COMPUTED_VALUE"""),"approved")</f>
        <v>approved</v>
      </c>
      <c r="D1020" s="43" t="str">
        <f>IFERROR(__xludf.DUMMYFUNCTION("""COMPUTED_VALUE"""),"No")</f>
        <v>No</v>
      </c>
      <c r="E1020" s="43" t="str">
        <f>IFERROR(__xludf.DUMMYFUNCTION("""COMPUTED_VALUE"""),"p_75e7699df7251936ac1b5db98f4811ba3d884b77@inbound.aiesec.org")</f>
        <v>p_75e7699df7251936ac1b5db98f4811ba3d884b77@inbound.aiesec.org</v>
      </c>
      <c r="F1020" s="43">
        <f>IFERROR(__xludf.DUMMYFUNCTION("""COMPUTED_VALUE"""),1.016775818E9)</f>
        <v>1016775818</v>
      </c>
      <c r="G1020" s="43" t="str">
        <f>IFERROR(__xludf.DUMMYFUNCTION("""COMPUTED_VALUE"""),"Egypt")</f>
        <v>Egypt</v>
      </c>
      <c r="H1020" s="43" t="str">
        <f>IFERROR(__xludf.DUMMYFUNCTION("""COMPUTED_VALUE"""),"Cairo University")</f>
        <v>Cairo University</v>
      </c>
      <c r="I1020" s="43" t="str">
        <f>IFERROR(__xludf.DUMMYFUNCTION("""COMPUTED_VALUE"""),"Turkey")</f>
        <v>Turkey</v>
      </c>
      <c r="J1020" s="43" t="str">
        <f>IFERROR(__xludf.DUMMYFUNCTION("""COMPUTED_VALUE"""),"KOCAELI")</f>
        <v>KOCAELI</v>
      </c>
      <c r="K1020" s="44" t="str">
        <f>IFERROR(__xludf.DUMMYFUNCTION("""COMPUTED_VALUE"""),"https://expa.aiesec.org/opportunities/1289505")</f>
        <v>https://expa.aiesec.org/opportunities/1289505</v>
      </c>
      <c r="L1020" s="43" t="str">
        <f>IFERROR(__xludf.DUMMYFUNCTION("""COMPUTED_VALUE"""),"GV")</f>
        <v>GV</v>
      </c>
      <c r="M1020" s="43" t="str">
        <f>IFERROR(__xludf.DUMMYFUNCTION("""COMPUTED_VALUE"""),"short")</f>
        <v>short</v>
      </c>
      <c r="N1020" s="45">
        <f>IFERROR(__xludf.DUMMYFUNCTION("""COMPUTED_VALUE"""),45091.0)</f>
        <v>45091</v>
      </c>
      <c r="O1020" s="45">
        <f>IFERROR(__xludf.DUMMYFUNCTION("""COMPUTED_VALUE"""),45152.0)</f>
        <v>45152</v>
      </c>
      <c r="P1020" s="45">
        <f>IFERROR(__xludf.DUMMYFUNCTION("""COMPUTED_VALUE"""),45194.0)</f>
        <v>45194</v>
      </c>
      <c r="Q1020" s="45"/>
      <c r="R1020" s="45"/>
      <c r="S1020" s="43"/>
      <c r="T1020" s="43"/>
      <c r="U1020" s="43" t="str">
        <f>IFERROR(__xludf.DUMMYFUNCTION("""COMPUTED_VALUE"""),"Youth 4 Impact")</f>
        <v>Youth 4 Impact</v>
      </c>
      <c r="V1020" s="43" t="str">
        <f>IFERROR(__xludf.DUMMYFUNCTION("""COMPUTED_VALUE"""),"Cairo Univeristy")</f>
        <v>Cairo Univeristy</v>
      </c>
      <c r="W1020" s="43" t="str">
        <f>IFERROR(__xludf.DUMMYFUNCTION("""COMPUTED_VALUE"""),"2023-05-27T01:27:00Z")</f>
        <v>2023-05-27T01:27:00Z</v>
      </c>
      <c r="X1020" s="43"/>
      <c r="Y1020" s="43"/>
      <c r="Z1020" s="43"/>
    </row>
    <row r="1021" hidden="1">
      <c r="A1021" s="43" t="str">
        <f>IFERROR(__xludf.DUMMYFUNCTION("""COMPUTED_VALUE"""),"5176864_1296037")</f>
        <v>5176864_1296037</v>
      </c>
      <c r="B1021" s="43" t="str">
        <f>IFERROR(__xludf.DUMMYFUNCTION("""COMPUTED_VALUE"""),"Safura Hacıyeva")</f>
        <v>Safura Hacıyeva</v>
      </c>
      <c r="C1021" s="43" t="str">
        <f>IFERROR(__xludf.DUMMYFUNCTION("""COMPUTED_VALUE"""),"approved")</f>
        <v>approved</v>
      </c>
      <c r="D1021" s="43" t="str">
        <f>IFERROR(__xludf.DUMMYFUNCTION("""COMPUTED_VALUE"""),"No")</f>
        <v>No</v>
      </c>
      <c r="E1021" s="43" t="str">
        <f>IFERROR(__xludf.DUMMYFUNCTION("""COMPUTED_VALUE"""),"p_4aa65622ec910794bc6ebd2693e20d2aa8648547@inbound.aiesec.org")</f>
        <v>p_4aa65622ec910794bc6ebd2693e20d2aa8648547@inbound.aiesec.org</v>
      </c>
      <c r="F1021" s="43"/>
      <c r="G1021" s="43" t="str">
        <f>IFERROR(__xludf.DUMMYFUNCTION("""COMPUTED_VALUE"""),"Azerbaijan")</f>
        <v>Azerbaijan</v>
      </c>
      <c r="H1021" s="43" t="str">
        <f>IFERROR(__xludf.DUMMYFUNCTION("""COMPUTED_VALUE"""),"Baku ADA")</f>
        <v>Baku ADA</v>
      </c>
      <c r="I1021" s="43" t="str">
        <f>IFERROR(__xludf.DUMMYFUNCTION("""COMPUTED_VALUE"""),"Turkey")</f>
        <v>Turkey</v>
      </c>
      <c r="J1021" s="43" t="str">
        <f>IFERROR(__xludf.DUMMYFUNCTION("""COMPUTED_VALUE"""),"ADANA")</f>
        <v>ADANA</v>
      </c>
      <c r="K1021" s="44" t="str">
        <f>IFERROR(__xludf.DUMMYFUNCTION("""COMPUTED_VALUE"""),"https://expa.aiesec.org/opportunities/1296037")</f>
        <v>https://expa.aiesec.org/opportunities/1296037</v>
      </c>
      <c r="L1021" s="43" t="str">
        <f>IFERROR(__xludf.DUMMYFUNCTION("""COMPUTED_VALUE"""),"GV")</f>
        <v>GV</v>
      </c>
      <c r="M1021" s="43" t="str">
        <f>IFERROR(__xludf.DUMMYFUNCTION("""COMPUTED_VALUE"""),"short")</f>
        <v>short</v>
      </c>
      <c r="N1021" s="45">
        <f>IFERROR(__xludf.DUMMYFUNCTION("""COMPUTED_VALUE"""),45091.0)</f>
        <v>45091</v>
      </c>
      <c r="O1021" s="45">
        <f>IFERROR(__xludf.DUMMYFUNCTION("""COMPUTED_VALUE"""),45131.0)</f>
        <v>45131</v>
      </c>
      <c r="P1021" s="45">
        <f>IFERROR(__xludf.DUMMYFUNCTION("""COMPUTED_VALUE"""),45177.0)</f>
        <v>45177</v>
      </c>
      <c r="Q1021" s="45"/>
      <c r="R1021" s="45"/>
      <c r="S1021" s="43"/>
      <c r="T1021" s="43"/>
      <c r="U1021" s="43" t="str">
        <f>IFERROR(__xludf.DUMMYFUNCTION("""COMPUTED_VALUE"""),"Global Classroom")</f>
        <v>Global Classroom</v>
      </c>
      <c r="V1021" s="43" t="str">
        <f>IFERROR(__xludf.DUMMYFUNCTION("""COMPUTED_VALUE"""),"-")</f>
        <v>-</v>
      </c>
      <c r="W1021" s="43" t="str">
        <f>IFERROR(__xludf.DUMMYFUNCTION("""COMPUTED_VALUE"""),"2023-01-15T20:46:13Z")</f>
        <v>2023-01-15T20:46:13Z</v>
      </c>
      <c r="X1021" s="43"/>
      <c r="Y1021" s="43"/>
      <c r="Z1021" s="43"/>
    </row>
    <row r="1022" hidden="1">
      <c r="A1022" s="43" t="str">
        <f>IFERROR(__xludf.DUMMYFUNCTION("""COMPUTED_VALUE"""),"5254591_1289228")</f>
        <v>5254591_1289228</v>
      </c>
      <c r="B1022" s="43" t="str">
        <f>IFERROR(__xludf.DUMMYFUNCTION("""COMPUTED_VALUE"""),"Chaimaa Elansali")</f>
        <v>Chaimaa Elansali</v>
      </c>
      <c r="C1022" s="43" t="str">
        <f>IFERROR(__xludf.DUMMYFUNCTION("""COMPUTED_VALUE"""),"finished")</f>
        <v>finished</v>
      </c>
      <c r="D1022" s="43" t="str">
        <f>IFERROR(__xludf.DUMMYFUNCTION("""COMPUTED_VALUE"""),"No")</f>
        <v>No</v>
      </c>
      <c r="E1022" s="43" t="str">
        <f>IFERROR(__xludf.DUMMYFUNCTION("""COMPUTED_VALUE"""),"p_dd9d4a3bf6ef130d12f5a034d4e2339503d18ed3@inbound.aiesec.org")</f>
        <v>p_dd9d4a3bf6ef130d12f5a034d4e2339503d18ed3@inbound.aiesec.org</v>
      </c>
      <c r="F1022" s="43"/>
      <c r="G1022" s="43" t="str">
        <f>IFERROR(__xludf.DUMMYFUNCTION("""COMPUTED_VALUE"""),"Morocco")</f>
        <v>Morocco</v>
      </c>
      <c r="H1022" s="43" t="str">
        <f>IFERROR(__xludf.DUMMYFUNCTION("""COMPUTED_VALUE"""),"Casablanca")</f>
        <v>Casablanca</v>
      </c>
      <c r="I1022" s="43" t="str">
        <f>IFERROR(__xludf.DUMMYFUNCTION("""COMPUTED_VALUE"""),"Turkey")</f>
        <v>Turkey</v>
      </c>
      <c r="J1022" s="43" t="str">
        <f>IFERROR(__xludf.DUMMYFUNCTION("""COMPUTED_VALUE"""),"ISTANBUL WEST")</f>
        <v>ISTANBUL WEST</v>
      </c>
      <c r="K1022" s="44" t="str">
        <f>IFERROR(__xludf.DUMMYFUNCTION("""COMPUTED_VALUE"""),"https://expa.aiesec.org/opportunities/1289228")</f>
        <v>https://expa.aiesec.org/opportunities/1289228</v>
      </c>
      <c r="L1022" s="43" t="str">
        <f>IFERROR(__xludf.DUMMYFUNCTION("""COMPUTED_VALUE"""),"GV")</f>
        <v>GV</v>
      </c>
      <c r="M1022" s="43" t="str">
        <f>IFERROR(__xludf.DUMMYFUNCTION("""COMPUTED_VALUE"""),"short")</f>
        <v>short</v>
      </c>
      <c r="N1022" s="45">
        <f>IFERROR(__xludf.DUMMYFUNCTION("""COMPUTED_VALUE"""),45091.0)</f>
        <v>45091</v>
      </c>
      <c r="O1022" s="45">
        <f>IFERROR(__xludf.DUMMYFUNCTION("""COMPUTED_VALUE"""),45236.0)</f>
        <v>45236</v>
      </c>
      <c r="P1022" s="45">
        <f>IFERROR(__xludf.DUMMYFUNCTION("""COMPUTED_VALUE"""),45278.0)</f>
        <v>45278</v>
      </c>
      <c r="Q1022" s="45">
        <f>IFERROR(__xludf.DUMMYFUNCTION("""COMPUTED_VALUE"""),45247.0)</f>
        <v>45247</v>
      </c>
      <c r="R1022" s="45">
        <f>IFERROR(__xludf.DUMMYFUNCTION("""COMPUTED_VALUE"""),45287.0)</f>
        <v>45287</v>
      </c>
      <c r="S1022" s="43"/>
      <c r="T1022" s="43"/>
      <c r="U1022" s="43" t="str">
        <f>IFERROR(__xludf.DUMMYFUNCTION("""COMPUTED_VALUE"""),"Global Classroom")</f>
        <v>Global Classroom</v>
      </c>
      <c r="V1022" s="43" t="str">
        <f>IFERROR(__xludf.DUMMYFUNCTION("""COMPUTED_VALUE"""),"Other-CASABLANCA")</f>
        <v>Other-CASABLANCA</v>
      </c>
      <c r="W1022" s="43" t="str">
        <f>IFERROR(__xludf.DUMMYFUNCTION("""COMPUTED_VALUE"""),"2023-05-02T21:24:51Z")</f>
        <v>2023-05-02T21:24:51Z</v>
      </c>
      <c r="X1022" s="43"/>
      <c r="Y1022" s="43"/>
      <c r="Z1022" s="43"/>
    </row>
    <row r="1023" hidden="1">
      <c r="A1023" s="43" t="str">
        <f>IFERROR(__xludf.DUMMYFUNCTION("""COMPUTED_VALUE"""),"5230671_1287851")</f>
        <v>5230671_1287851</v>
      </c>
      <c r="B1023" s="43" t="str">
        <f>IFERROR(__xludf.DUMMYFUNCTION("""COMPUTED_VALUE"""),"Jacob Hamaker")</f>
        <v>Jacob Hamaker</v>
      </c>
      <c r="C1023" s="43" t="str">
        <f>IFERROR(__xludf.DUMMYFUNCTION("""COMPUTED_VALUE"""),"finished")</f>
        <v>finished</v>
      </c>
      <c r="D1023" s="43" t="str">
        <f>IFERROR(__xludf.DUMMYFUNCTION("""COMPUTED_VALUE"""),"No")</f>
        <v>No</v>
      </c>
      <c r="E1023" s="43" t="str">
        <f>IFERROR(__xludf.DUMMYFUNCTION("""COMPUTED_VALUE"""),"p_b523629c0182092e93dd7d1d8a4fb73fff00d85a@inbound.aiesec.org")</f>
        <v>p_b523629c0182092e93dd7d1d8a4fb73fff00d85a@inbound.aiesec.org</v>
      </c>
      <c r="F1023" s="43">
        <f>IFERROR(__xludf.DUMMYFUNCTION("""COMPUTED_VALUE"""),4.25318951E9)</f>
        <v>4253189510</v>
      </c>
      <c r="G1023" s="43" t="str">
        <f>IFERROR(__xludf.DUMMYFUNCTION("""COMPUTED_VALUE"""),"United States")</f>
        <v>United States</v>
      </c>
      <c r="H1023" s="43" t="str">
        <f>IFERROR(__xludf.DUMMYFUNCTION("""COMPUTED_VALUE"""),"SEATTLE")</f>
        <v>SEATTLE</v>
      </c>
      <c r="I1023" s="43" t="str">
        <f>IFERROR(__xludf.DUMMYFUNCTION("""COMPUTED_VALUE"""),"Turkey")</f>
        <v>Turkey</v>
      </c>
      <c r="J1023" s="43" t="str">
        <f>IFERROR(__xludf.DUMMYFUNCTION("""COMPUTED_VALUE"""),"KOCAELI")</f>
        <v>KOCAELI</v>
      </c>
      <c r="K1023" s="44" t="str">
        <f>IFERROR(__xludf.DUMMYFUNCTION("""COMPUTED_VALUE"""),"https://expa.aiesec.org/opportunities/1287851")</f>
        <v>https://expa.aiesec.org/opportunities/1287851</v>
      </c>
      <c r="L1023" s="43" t="str">
        <f>IFERROR(__xludf.DUMMYFUNCTION("""COMPUTED_VALUE"""),"GV")</f>
        <v>GV</v>
      </c>
      <c r="M1023" s="43" t="str">
        <f>IFERROR(__xludf.DUMMYFUNCTION("""COMPUTED_VALUE"""),"short")</f>
        <v>short</v>
      </c>
      <c r="N1023" s="45">
        <f>IFERROR(__xludf.DUMMYFUNCTION("""COMPUTED_VALUE"""),45091.0)</f>
        <v>45091</v>
      </c>
      <c r="O1023" s="45">
        <f>IFERROR(__xludf.DUMMYFUNCTION("""COMPUTED_VALUE"""),45180.0)</f>
        <v>45180</v>
      </c>
      <c r="P1023" s="45">
        <f>IFERROR(__xludf.DUMMYFUNCTION("""COMPUTED_VALUE"""),45222.0)</f>
        <v>45222</v>
      </c>
      <c r="Q1023" s="45">
        <f>IFERROR(__xludf.DUMMYFUNCTION("""COMPUTED_VALUE"""),45180.0)</f>
        <v>45180</v>
      </c>
      <c r="R1023" s="45">
        <f>IFERROR(__xludf.DUMMYFUNCTION("""COMPUTED_VALUE"""),45222.0)</f>
        <v>45222</v>
      </c>
      <c r="S1023" s="43"/>
      <c r="T1023" s="43"/>
      <c r="U1023" s="43" t="str">
        <f>IFERROR(__xludf.DUMMYFUNCTION("""COMPUTED_VALUE"""),"Heartbeat")</f>
        <v>Heartbeat</v>
      </c>
      <c r="V1023" s="43" t="str">
        <f>IFERROR(__xludf.DUMMYFUNCTION("""COMPUTED_VALUE"""),"University of Washington – Seattle")</f>
        <v>University of Washington – Seattle</v>
      </c>
      <c r="W1023" s="43" t="str">
        <f>IFERROR(__xludf.DUMMYFUNCTION("""COMPUTED_VALUE"""),"2023-03-30T03:54:17Z")</f>
        <v>2023-03-30T03:54:17Z</v>
      </c>
      <c r="X1023" s="43"/>
      <c r="Y1023" s="43"/>
      <c r="Z1023" s="43"/>
    </row>
    <row r="1024" hidden="1">
      <c r="A1024" s="43" t="str">
        <f>IFERROR(__xludf.DUMMYFUNCTION("""COMPUTED_VALUE"""),"5275618_1295404")</f>
        <v>5275618_1295404</v>
      </c>
      <c r="B1024" s="43" t="str">
        <f>IFERROR(__xludf.DUMMYFUNCTION("""COMPUTED_VALUE"""),"Hadj ali Nour")</f>
        <v>Hadj ali Nour</v>
      </c>
      <c r="C1024" s="43" t="str">
        <f>IFERROR(__xludf.DUMMYFUNCTION("""COMPUTED_VALUE"""),"completed")</f>
        <v>completed</v>
      </c>
      <c r="D1024" s="43" t="str">
        <f>IFERROR(__xludf.DUMMYFUNCTION("""COMPUTED_VALUE"""),"No")</f>
        <v>No</v>
      </c>
      <c r="E1024" s="43" t="str">
        <f>IFERROR(__xludf.DUMMYFUNCTION("""COMPUTED_VALUE"""),"p_59a19f5d94847e6f4c39d9333ca5b7f86355f6cf@inbound.aiesec.org")</f>
        <v>p_59a19f5d94847e6f4c39d9333ca5b7f86355f6cf@inbound.aiesec.org</v>
      </c>
      <c r="F1024" s="43">
        <f>IFERROR(__xludf.DUMMYFUNCTION("""COMPUTED_VALUE"""),5.584996E7)</f>
        <v>55849960</v>
      </c>
      <c r="G1024" s="43" t="str">
        <f>IFERROR(__xludf.DUMMYFUNCTION("""COMPUTED_VALUE"""),"Tunisia")</f>
        <v>Tunisia</v>
      </c>
      <c r="H1024" s="43" t="str">
        <f>IFERROR(__xludf.DUMMYFUNCTION("""COMPUTED_VALUE"""),"RUSPINA")</f>
        <v>RUSPINA</v>
      </c>
      <c r="I1024" s="43" t="str">
        <f>IFERROR(__xludf.DUMMYFUNCTION("""COMPUTED_VALUE"""),"Turkey")</f>
        <v>Turkey</v>
      </c>
      <c r="J1024" s="43" t="str">
        <f>IFERROR(__xludf.DUMMYFUNCTION("""COMPUTED_VALUE"""),"ANKARA")</f>
        <v>ANKARA</v>
      </c>
      <c r="K1024" s="44" t="str">
        <f>IFERROR(__xludf.DUMMYFUNCTION("""COMPUTED_VALUE"""),"https://expa.aiesec.org/opportunities/1295404")</f>
        <v>https://expa.aiesec.org/opportunities/1295404</v>
      </c>
      <c r="L1024" s="43" t="str">
        <f>IFERROR(__xludf.DUMMYFUNCTION("""COMPUTED_VALUE"""),"GV")</f>
        <v>GV</v>
      </c>
      <c r="M1024" s="43" t="str">
        <f>IFERROR(__xludf.DUMMYFUNCTION("""COMPUTED_VALUE"""),"short")</f>
        <v>short</v>
      </c>
      <c r="N1024" s="45">
        <f>IFERROR(__xludf.DUMMYFUNCTION("""COMPUTED_VALUE"""),45092.0)</f>
        <v>45092</v>
      </c>
      <c r="O1024" s="45">
        <f>IFERROR(__xludf.DUMMYFUNCTION("""COMPUTED_VALUE"""),45124.0)</f>
        <v>45124</v>
      </c>
      <c r="P1024" s="45">
        <f>IFERROR(__xludf.DUMMYFUNCTION("""COMPUTED_VALUE"""),45166.0)</f>
        <v>45166</v>
      </c>
      <c r="Q1024" s="45">
        <f>IFERROR(__xludf.DUMMYFUNCTION("""COMPUTED_VALUE"""),45128.0)</f>
        <v>45128</v>
      </c>
      <c r="R1024" s="45">
        <f>IFERROR(__xludf.DUMMYFUNCTION("""COMPUTED_VALUE"""),45168.0)</f>
        <v>45168</v>
      </c>
      <c r="S1024" s="43"/>
      <c r="T1024" s="43"/>
      <c r="U1024" s="43" t="str">
        <f>IFERROR(__xludf.DUMMYFUNCTION("""COMPUTED_VALUE"""),"Global Classroom")</f>
        <v>Global Classroom</v>
      </c>
      <c r="V1024" s="43" t="str">
        <f>IFERROR(__xludf.DUMMYFUNCTION("""COMPUTED_VALUE"""),"FSM")</f>
        <v>FSM</v>
      </c>
      <c r="W1024" s="43" t="str">
        <f>IFERROR(__xludf.DUMMYFUNCTION("""COMPUTED_VALUE"""),"2023-06-15T11:05:12Z")</f>
        <v>2023-06-15T11:05:12Z</v>
      </c>
      <c r="X1024" s="43"/>
      <c r="Y1024" s="43"/>
      <c r="Z1024" s="43"/>
    </row>
    <row r="1025" hidden="1">
      <c r="A1025" s="43" t="str">
        <f>IFERROR(__xludf.DUMMYFUNCTION("""COMPUTED_VALUE"""),"5275623_1295453")</f>
        <v>5275623_1295453</v>
      </c>
      <c r="B1025" s="43" t="str">
        <f>IFERROR(__xludf.DUMMYFUNCTION("""COMPUTED_VALUE"""),"Muhammad Danish")</f>
        <v>Muhammad Danish</v>
      </c>
      <c r="C1025" s="43" t="str">
        <f>IFERROR(__xludf.DUMMYFUNCTION("""COMPUTED_VALUE"""),"approved")</f>
        <v>approved</v>
      </c>
      <c r="D1025" s="43" t="str">
        <f>IFERROR(__xludf.DUMMYFUNCTION("""COMPUTED_VALUE"""),"No")</f>
        <v>No</v>
      </c>
      <c r="E1025" s="43" t="str">
        <f>IFERROR(__xludf.DUMMYFUNCTION("""COMPUTED_VALUE"""),"p_aa9431a4290d233cf2865041b5bd4ebda400add4@inbound.aiesec.org")</f>
        <v>p_aa9431a4290d233cf2865041b5bd4ebda400add4@inbound.aiesec.org</v>
      </c>
      <c r="F1025" s="43">
        <f>IFERROR(__xludf.DUMMYFUNCTION("""COMPUTED_VALUE"""),3.40675978E9)</f>
        <v>3406759780</v>
      </c>
      <c r="G1025" s="43" t="str">
        <f>IFERROR(__xludf.DUMMYFUNCTION("""COMPUTED_VALUE"""),"Pakistan")</f>
        <v>Pakistan</v>
      </c>
      <c r="H1025" s="43" t="str">
        <f>IFERROR(__xludf.DUMMYFUNCTION("""COMPUTED_VALUE"""),"Lahore - Pak")</f>
        <v>Lahore - Pak</v>
      </c>
      <c r="I1025" s="43" t="str">
        <f>IFERROR(__xludf.DUMMYFUNCTION("""COMPUTED_VALUE"""),"Turkey")</f>
        <v>Turkey</v>
      </c>
      <c r="J1025" s="43" t="str">
        <f>IFERROR(__xludf.DUMMYFUNCTION("""COMPUTED_VALUE"""),"GAZIANTEP")</f>
        <v>GAZIANTEP</v>
      </c>
      <c r="K1025" s="44" t="str">
        <f>IFERROR(__xludf.DUMMYFUNCTION("""COMPUTED_VALUE"""),"https://expa.aiesec.org/opportunities/1295453")</f>
        <v>https://expa.aiesec.org/opportunities/1295453</v>
      </c>
      <c r="L1025" s="43" t="str">
        <f>IFERROR(__xludf.DUMMYFUNCTION("""COMPUTED_VALUE"""),"GV")</f>
        <v>GV</v>
      </c>
      <c r="M1025" s="43" t="str">
        <f>IFERROR(__xludf.DUMMYFUNCTION("""COMPUTED_VALUE"""),"short")</f>
        <v>short</v>
      </c>
      <c r="N1025" s="45">
        <f>IFERROR(__xludf.DUMMYFUNCTION("""COMPUTED_VALUE"""),45092.0)</f>
        <v>45092</v>
      </c>
      <c r="O1025" s="45">
        <f>IFERROR(__xludf.DUMMYFUNCTION("""COMPUTED_VALUE"""),45124.0)</f>
        <v>45124</v>
      </c>
      <c r="P1025" s="45">
        <f>IFERROR(__xludf.DUMMYFUNCTION("""COMPUTED_VALUE"""),45166.0)</f>
        <v>45166</v>
      </c>
      <c r="Q1025" s="45"/>
      <c r="R1025" s="45"/>
      <c r="S1025" s="43"/>
      <c r="T1025" s="43"/>
      <c r="U1025" s="43" t="str">
        <f>IFERROR(__xludf.DUMMYFUNCTION("""COMPUTED_VALUE"""),"Global Classroom")</f>
        <v>Global Classroom</v>
      </c>
      <c r="V1025" s="43" t="str">
        <f>IFERROR(__xludf.DUMMYFUNCTION("""COMPUTED_VALUE"""),"Lahore - Punjab University ")</f>
        <v>Lahore - Punjab University </v>
      </c>
      <c r="W1025" s="43" t="str">
        <f>IFERROR(__xludf.DUMMYFUNCTION("""COMPUTED_VALUE"""),"2023-06-15T11:24:33Z")</f>
        <v>2023-06-15T11:24:33Z</v>
      </c>
      <c r="X1025" s="43"/>
      <c r="Y1025" s="43"/>
      <c r="Z1025" s="43"/>
    </row>
    <row r="1026" hidden="1">
      <c r="A1026" s="43" t="str">
        <f>IFERROR(__xludf.DUMMYFUNCTION("""COMPUTED_VALUE"""),"4959962_1291252")</f>
        <v>4959962_1291252</v>
      </c>
      <c r="B1026" s="43" t="str">
        <f>IFERROR(__xludf.DUMMYFUNCTION("""COMPUTED_VALUE"""),"Aisara Torekhan")</f>
        <v>Aisara Torekhan</v>
      </c>
      <c r="C1026" s="43" t="str">
        <f>IFERROR(__xludf.DUMMYFUNCTION("""COMPUTED_VALUE"""),"completed")</f>
        <v>completed</v>
      </c>
      <c r="D1026" s="43" t="str">
        <f>IFERROR(__xludf.DUMMYFUNCTION("""COMPUTED_VALUE"""),"No")</f>
        <v>No</v>
      </c>
      <c r="E1026" s="43" t="str">
        <f>IFERROR(__xludf.DUMMYFUNCTION("""COMPUTED_VALUE"""),"p_dc7093145b2fd674a1d39ca83effdfa7a8eb30e4@inbound.aiesec.org")</f>
        <v>p_dc7093145b2fd674a1d39ca83effdfa7a8eb30e4@inbound.aiesec.org</v>
      </c>
      <c r="F1026" s="43">
        <f>IFERROR(__xludf.DUMMYFUNCTION("""COMPUTED_VALUE"""),7.478367199E9)</f>
        <v>7478367199</v>
      </c>
      <c r="G1026" s="43" t="str">
        <f>IFERROR(__xludf.DUMMYFUNCTION("""COMPUTED_VALUE"""),"Kazakhstan")</f>
        <v>Kazakhstan</v>
      </c>
      <c r="H1026" s="43" t="str">
        <f>IFERROR(__xludf.DUMMYFUNCTION("""COMPUTED_VALUE"""),"Astana")</f>
        <v>Astana</v>
      </c>
      <c r="I1026" s="43" t="str">
        <f>IFERROR(__xludf.DUMMYFUNCTION("""COMPUTED_VALUE"""),"Turkey")</f>
        <v>Turkey</v>
      </c>
      <c r="J1026" s="43" t="str">
        <f>IFERROR(__xludf.DUMMYFUNCTION("""COMPUTED_VALUE"""),"KOCAELI")</f>
        <v>KOCAELI</v>
      </c>
      <c r="K1026" s="44" t="str">
        <f>IFERROR(__xludf.DUMMYFUNCTION("""COMPUTED_VALUE"""),"https://expa.aiesec.org/opportunities/1291252")</f>
        <v>https://expa.aiesec.org/opportunities/1291252</v>
      </c>
      <c r="L1026" s="43" t="str">
        <f>IFERROR(__xludf.DUMMYFUNCTION("""COMPUTED_VALUE"""),"GV")</f>
        <v>GV</v>
      </c>
      <c r="M1026" s="43" t="str">
        <f>IFERROR(__xludf.DUMMYFUNCTION("""COMPUTED_VALUE"""),"short")</f>
        <v>short</v>
      </c>
      <c r="N1026" s="45">
        <f>IFERROR(__xludf.DUMMYFUNCTION("""COMPUTED_VALUE"""),45092.0)</f>
        <v>45092</v>
      </c>
      <c r="O1026" s="45">
        <f>IFERROR(__xludf.DUMMYFUNCTION("""COMPUTED_VALUE"""),45105.0)</f>
        <v>45105</v>
      </c>
      <c r="P1026" s="45">
        <f>IFERROR(__xludf.DUMMYFUNCTION("""COMPUTED_VALUE"""),45147.0)</f>
        <v>45147</v>
      </c>
      <c r="Q1026" s="45">
        <f>IFERROR(__xludf.DUMMYFUNCTION("""COMPUTED_VALUE"""),45103.0)</f>
        <v>45103</v>
      </c>
      <c r="R1026" s="45">
        <f>IFERROR(__xludf.DUMMYFUNCTION("""COMPUTED_VALUE"""),45147.0)</f>
        <v>45147</v>
      </c>
      <c r="S1026" s="43"/>
      <c r="T1026" s="43"/>
      <c r="U1026" s="43" t="str">
        <f>IFERROR(__xludf.DUMMYFUNCTION("""COMPUTED_VALUE"""),"Global Classroom")</f>
        <v>Global Classroom</v>
      </c>
      <c r="V1026" s="43" t="str">
        <f>IFERROR(__xludf.DUMMYFUNCTION("""COMPUTED_VALUE"""),"Pavlodar")</f>
        <v>Pavlodar</v>
      </c>
      <c r="W1026" s="43" t="str">
        <f>IFERROR(__xludf.DUMMYFUNCTION("""COMPUTED_VALUE"""),"2022-03-03T10:16:55Z")</f>
        <v>2022-03-03T10:16:55Z</v>
      </c>
      <c r="X1026" s="43"/>
      <c r="Y1026" s="43"/>
      <c r="Z1026" s="43"/>
    </row>
    <row r="1027" hidden="1">
      <c r="A1027" s="43" t="str">
        <f>IFERROR(__xludf.DUMMYFUNCTION("""COMPUTED_VALUE"""),"5270550_1296037")</f>
        <v>5270550_1296037</v>
      </c>
      <c r="B1027" s="43" t="str">
        <f>IFERROR(__xludf.DUMMYFUNCTION("""COMPUTED_VALUE"""),"Sehar Bano")</f>
        <v>Sehar Bano</v>
      </c>
      <c r="C1027" s="43" t="str">
        <f>IFERROR(__xludf.DUMMYFUNCTION("""COMPUTED_VALUE"""),"completed")</f>
        <v>completed</v>
      </c>
      <c r="D1027" s="43" t="str">
        <f>IFERROR(__xludf.DUMMYFUNCTION("""COMPUTED_VALUE"""),"No")</f>
        <v>No</v>
      </c>
      <c r="E1027" s="43" t="str">
        <f>IFERROR(__xludf.DUMMYFUNCTION("""COMPUTED_VALUE"""),"p_2e0b6999db716d2cdb8bb914df66501f77f7d125@inbound.aiesec.org")</f>
        <v>p_2e0b6999db716d2cdb8bb914df66501f77f7d125@inbound.aiesec.org</v>
      </c>
      <c r="F1027" s="43">
        <f>IFERROR(__xludf.DUMMYFUNCTION("""COMPUTED_VALUE"""),3.217980656E9)</f>
        <v>3217980656</v>
      </c>
      <c r="G1027" s="43" t="str">
        <f>IFERROR(__xludf.DUMMYFUNCTION("""COMPUTED_VALUE"""),"Pakistan")</f>
        <v>Pakistan</v>
      </c>
      <c r="H1027" s="43" t="str">
        <f>IFERROR(__xludf.DUMMYFUNCTION("""COMPUTED_VALUE"""),"Lahore - Pak")</f>
        <v>Lahore - Pak</v>
      </c>
      <c r="I1027" s="43" t="str">
        <f>IFERROR(__xludf.DUMMYFUNCTION("""COMPUTED_VALUE"""),"Turkey")</f>
        <v>Turkey</v>
      </c>
      <c r="J1027" s="43" t="str">
        <f>IFERROR(__xludf.DUMMYFUNCTION("""COMPUTED_VALUE"""),"ADANA")</f>
        <v>ADANA</v>
      </c>
      <c r="K1027" s="44" t="str">
        <f>IFERROR(__xludf.DUMMYFUNCTION("""COMPUTED_VALUE"""),"https://expa.aiesec.org/opportunities/1296037")</f>
        <v>https://expa.aiesec.org/opportunities/1296037</v>
      </c>
      <c r="L1027" s="43" t="str">
        <f>IFERROR(__xludf.DUMMYFUNCTION("""COMPUTED_VALUE"""),"GV")</f>
        <v>GV</v>
      </c>
      <c r="M1027" s="43" t="str">
        <f>IFERROR(__xludf.DUMMYFUNCTION("""COMPUTED_VALUE"""),"short")</f>
        <v>short</v>
      </c>
      <c r="N1027" s="45">
        <f>IFERROR(__xludf.DUMMYFUNCTION("""COMPUTED_VALUE"""),45092.0)</f>
        <v>45092</v>
      </c>
      <c r="O1027" s="45">
        <f>IFERROR(__xludf.DUMMYFUNCTION("""COMPUTED_VALUE"""),45131.0)</f>
        <v>45131</v>
      </c>
      <c r="P1027" s="45">
        <f>IFERROR(__xludf.DUMMYFUNCTION("""COMPUTED_VALUE"""),45177.0)</f>
        <v>45177</v>
      </c>
      <c r="Q1027" s="45">
        <f>IFERROR(__xludf.DUMMYFUNCTION("""COMPUTED_VALUE"""),45131.0)</f>
        <v>45131</v>
      </c>
      <c r="R1027" s="45">
        <f>IFERROR(__xludf.DUMMYFUNCTION("""COMPUTED_VALUE"""),45177.0)</f>
        <v>45177</v>
      </c>
      <c r="S1027" s="43"/>
      <c r="T1027" s="43"/>
      <c r="U1027" s="43" t="str">
        <f>IFERROR(__xludf.DUMMYFUNCTION("""COMPUTED_VALUE"""),"Global Classroom")</f>
        <v>Global Classroom</v>
      </c>
      <c r="V1027" s="43" t="str">
        <f>IFERROR(__xludf.DUMMYFUNCTION("""COMPUTED_VALUE"""),"Lahore - Other")</f>
        <v>Lahore - Other</v>
      </c>
      <c r="W1027" s="43" t="str">
        <f>IFERROR(__xludf.DUMMYFUNCTION("""COMPUTED_VALUE"""),"2023-06-02T11:14:31Z")</f>
        <v>2023-06-02T11:14:31Z</v>
      </c>
      <c r="X1027" s="43"/>
      <c r="Y1027" s="43"/>
      <c r="Z1027" s="43"/>
    </row>
    <row r="1028" hidden="1">
      <c r="A1028" s="43" t="str">
        <f>IFERROR(__xludf.DUMMYFUNCTION("""COMPUTED_VALUE"""),"5268345_1295572")</f>
        <v>5268345_1295572</v>
      </c>
      <c r="B1028" s="43" t="str">
        <f>IFERROR(__xludf.DUMMYFUNCTION("""COMPUTED_VALUE"""),"Ikhsan Imeramzayev")</f>
        <v>Ikhsan Imeramzayev</v>
      </c>
      <c r="C1028" s="43" t="str">
        <f>IFERROR(__xludf.DUMMYFUNCTION("""COMPUTED_VALUE"""),"finished")</f>
        <v>finished</v>
      </c>
      <c r="D1028" s="43" t="str">
        <f>IFERROR(__xludf.DUMMYFUNCTION("""COMPUTED_VALUE"""),"No")</f>
        <v>No</v>
      </c>
      <c r="E1028" s="43" t="str">
        <f>IFERROR(__xludf.DUMMYFUNCTION("""COMPUTED_VALUE"""),"p_0d6f0db63c7de9ecff44b65d59c84dcfd3fcc4d6@inbound.aiesec.org")</f>
        <v>p_0d6f0db63c7de9ecff44b65d59c84dcfd3fcc4d6@inbound.aiesec.org</v>
      </c>
      <c r="F1028" s="43">
        <f>IFERROR(__xludf.DUMMYFUNCTION("""COMPUTED_VALUE"""),7.0122304E9)</f>
        <v>7012230400</v>
      </c>
      <c r="G1028" s="43" t="str">
        <f>IFERROR(__xludf.DUMMYFUNCTION("""COMPUTED_VALUE"""),"Kazakhstan")</f>
        <v>Kazakhstan</v>
      </c>
      <c r="H1028" s="43" t="str">
        <f>IFERROR(__xludf.DUMMYFUNCTION("""COMPUTED_VALUE"""),"ALMATY")</f>
        <v>ALMATY</v>
      </c>
      <c r="I1028" s="43" t="str">
        <f>IFERROR(__xludf.DUMMYFUNCTION("""COMPUTED_VALUE"""),"Turkey")</f>
        <v>Turkey</v>
      </c>
      <c r="J1028" s="43" t="str">
        <f>IFERROR(__xludf.DUMMYFUNCTION("""COMPUTED_VALUE"""),"ESKISEHIR")</f>
        <v>ESKISEHIR</v>
      </c>
      <c r="K1028" s="44" t="str">
        <f>IFERROR(__xludf.DUMMYFUNCTION("""COMPUTED_VALUE"""),"https://expa.aiesec.org/opportunities/1295572")</f>
        <v>https://expa.aiesec.org/opportunities/1295572</v>
      </c>
      <c r="L1028" s="43" t="str">
        <f>IFERROR(__xludf.DUMMYFUNCTION("""COMPUTED_VALUE"""),"GV")</f>
        <v>GV</v>
      </c>
      <c r="M1028" s="43" t="str">
        <f>IFERROR(__xludf.DUMMYFUNCTION("""COMPUTED_VALUE"""),"short")</f>
        <v>short</v>
      </c>
      <c r="N1028" s="45">
        <f>IFERROR(__xludf.DUMMYFUNCTION("""COMPUTED_VALUE"""),45092.0)</f>
        <v>45092</v>
      </c>
      <c r="O1028" s="45">
        <f>IFERROR(__xludf.DUMMYFUNCTION("""COMPUTED_VALUE"""),45117.0)</f>
        <v>45117</v>
      </c>
      <c r="P1028" s="45">
        <f>IFERROR(__xludf.DUMMYFUNCTION("""COMPUTED_VALUE"""),45159.0)</f>
        <v>45159</v>
      </c>
      <c r="Q1028" s="45">
        <f>IFERROR(__xludf.DUMMYFUNCTION("""COMPUTED_VALUE"""),45118.0)</f>
        <v>45118</v>
      </c>
      <c r="R1028" s="45">
        <f>IFERROR(__xludf.DUMMYFUNCTION("""COMPUTED_VALUE"""),45159.0)</f>
        <v>45159</v>
      </c>
      <c r="S1028" s="43"/>
      <c r="T1028" s="43"/>
      <c r="U1028" s="43" t="str">
        <f>IFERROR(__xludf.DUMMYFUNCTION("""COMPUTED_VALUE"""),"Equify")</f>
        <v>Equify</v>
      </c>
      <c r="V1028" s="43" t="str">
        <f>IFERROR(__xludf.DUMMYFUNCTION("""COMPUTED_VALUE"""),"Almaty")</f>
        <v>Almaty</v>
      </c>
      <c r="W1028" s="43" t="str">
        <f>IFERROR(__xludf.DUMMYFUNCTION("""COMPUTED_VALUE"""),"2023-05-29T15:52:23Z")</f>
        <v>2023-05-29T15:52:23Z</v>
      </c>
      <c r="X1028" s="43"/>
      <c r="Y1028" s="43"/>
      <c r="Z1028" s="43"/>
    </row>
    <row r="1029" hidden="1">
      <c r="A1029" s="43" t="str">
        <f>IFERROR(__xludf.DUMMYFUNCTION("""COMPUTED_VALUE"""),"5274738_1294651")</f>
        <v>5274738_1294651</v>
      </c>
      <c r="B1029" s="43" t="str">
        <f>IFERROR(__xludf.DUMMYFUNCTION("""COMPUTED_VALUE"""),"연수 김")</f>
        <v>연수 김</v>
      </c>
      <c r="C1029" s="43" t="str">
        <f>IFERROR(__xludf.DUMMYFUNCTION("""COMPUTED_VALUE"""),"completed")</f>
        <v>completed</v>
      </c>
      <c r="D1029" s="43" t="str">
        <f>IFERROR(__xludf.DUMMYFUNCTION("""COMPUTED_VALUE"""),"No")</f>
        <v>No</v>
      </c>
      <c r="E1029" s="43" t="str">
        <f>IFERROR(__xludf.DUMMYFUNCTION("""COMPUTED_VALUE"""),"p_258f16e3f0fba61eed0da67a67963556d0e3f0fb@inbound.aiesec.org")</f>
        <v>p_258f16e3f0fba61eed0da67a67963556d0e3f0fb@inbound.aiesec.org</v>
      </c>
      <c r="F1029" s="43"/>
      <c r="G1029" s="43" t="str">
        <f>IFERROR(__xludf.DUMMYFUNCTION("""COMPUTED_VALUE"""),"South Korea")</f>
        <v>South Korea</v>
      </c>
      <c r="H1029" s="43" t="str">
        <f>IFERROR(__xludf.DUMMYFUNCTION("""COMPUTED_VALUE"""),"HIU")</f>
        <v>HIU</v>
      </c>
      <c r="I1029" s="43" t="str">
        <f>IFERROR(__xludf.DUMMYFUNCTION("""COMPUTED_VALUE"""),"Turkey")</f>
        <v>Turkey</v>
      </c>
      <c r="J1029" s="43" t="str">
        <f>IFERROR(__xludf.DUMMYFUNCTION("""COMPUTED_VALUE"""),"ANKARA")</f>
        <v>ANKARA</v>
      </c>
      <c r="K1029" s="44" t="str">
        <f>IFERROR(__xludf.DUMMYFUNCTION("""COMPUTED_VALUE"""),"https://expa.aiesec.org/opportunities/1294651")</f>
        <v>https://expa.aiesec.org/opportunities/1294651</v>
      </c>
      <c r="L1029" s="43" t="str">
        <f>IFERROR(__xludf.DUMMYFUNCTION("""COMPUTED_VALUE"""),"GV")</f>
        <v>GV</v>
      </c>
      <c r="M1029" s="43" t="str">
        <f>IFERROR(__xludf.DUMMYFUNCTION("""COMPUTED_VALUE"""),"short")</f>
        <v>short</v>
      </c>
      <c r="N1029" s="45">
        <f>IFERROR(__xludf.DUMMYFUNCTION("""COMPUTED_VALUE"""),45092.0)</f>
        <v>45092</v>
      </c>
      <c r="O1029" s="45">
        <f>IFERROR(__xludf.DUMMYFUNCTION("""COMPUTED_VALUE"""),45110.0)</f>
        <v>45110</v>
      </c>
      <c r="P1029" s="45">
        <f>IFERROR(__xludf.DUMMYFUNCTION("""COMPUTED_VALUE"""),45152.0)</f>
        <v>45152</v>
      </c>
      <c r="Q1029" s="45">
        <f>IFERROR(__xludf.DUMMYFUNCTION("""COMPUTED_VALUE"""),45111.0)</f>
        <v>45111</v>
      </c>
      <c r="R1029" s="45">
        <f>IFERROR(__xludf.DUMMYFUNCTION("""COMPUTED_VALUE"""),45152.0)</f>
        <v>45152</v>
      </c>
      <c r="S1029" s="43"/>
      <c r="T1029" s="43"/>
      <c r="U1029" s="43" t="str">
        <f>IFERROR(__xludf.DUMMYFUNCTION("""COMPUTED_VALUE"""),"Global Classroom")</f>
        <v>Global Classroom</v>
      </c>
      <c r="V1029" s="43" t="str">
        <f>IFERROR(__xludf.DUMMYFUNCTION("""COMPUTED_VALUE"""),"-")</f>
        <v>-</v>
      </c>
      <c r="W1029" s="43" t="str">
        <f>IFERROR(__xludf.DUMMYFUNCTION("""COMPUTED_VALUE"""),"2023-06-13T08:58:17Z")</f>
        <v>2023-06-13T08:58:17Z</v>
      </c>
      <c r="X1029" s="43"/>
      <c r="Y1029" s="43"/>
      <c r="Z1029" s="43"/>
    </row>
    <row r="1030" hidden="1">
      <c r="A1030" s="43" t="str">
        <f>IFERROR(__xludf.DUMMYFUNCTION("""COMPUTED_VALUE"""),"5014011_1295459")</f>
        <v>5014011_1295459</v>
      </c>
      <c r="B1030" s="43" t="str">
        <f>IFERROR(__xludf.DUMMYFUNCTION("""COMPUTED_VALUE"""),"Lina Khrouf")</f>
        <v>Lina Khrouf</v>
      </c>
      <c r="C1030" s="43" t="str">
        <f>IFERROR(__xludf.DUMMYFUNCTION("""COMPUTED_VALUE"""),"finished")</f>
        <v>finished</v>
      </c>
      <c r="D1030" s="43" t="str">
        <f>IFERROR(__xludf.DUMMYFUNCTION("""COMPUTED_VALUE"""),"No")</f>
        <v>No</v>
      </c>
      <c r="E1030" s="43" t="str">
        <f>IFERROR(__xludf.DUMMYFUNCTION("""COMPUTED_VALUE"""),"p_512d24bccb5253090ca7c82ca6670b316b818bbb@inbound.aiesec.org")</f>
        <v>p_512d24bccb5253090ca7c82ca6670b316b818bbb@inbound.aiesec.org</v>
      </c>
      <c r="F1030" s="43">
        <f>IFERROR(__xludf.DUMMYFUNCTION("""COMPUTED_VALUE"""),5.4361004E7)</f>
        <v>54361004</v>
      </c>
      <c r="G1030" s="43" t="str">
        <f>IFERROR(__xludf.DUMMYFUNCTION("""COMPUTED_VALUE"""),"Tunisia")</f>
        <v>Tunisia</v>
      </c>
      <c r="H1030" s="43" t="str">
        <f>IFERROR(__xludf.DUMMYFUNCTION("""COMPUTED_VALUE"""),"SFAX")</f>
        <v>SFAX</v>
      </c>
      <c r="I1030" s="43" t="str">
        <f>IFERROR(__xludf.DUMMYFUNCTION("""COMPUTED_VALUE"""),"Turkey")</f>
        <v>Turkey</v>
      </c>
      <c r="J1030" s="43" t="str">
        <f>IFERROR(__xludf.DUMMYFUNCTION("""COMPUTED_VALUE"""),"BURSA")</f>
        <v>BURSA</v>
      </c>
      <c r="K1030" s="44" t="str">
        <f>IFERROR(__xludf.DUMMYFUNCTION("""COMPUTED_VALUE"""),"https://expa.aiesec.org/opportunities/1295459")</f>
        <v>https://expa.aiesec.org/opportunities/1295459</v>
      </c>
      <c r="L1030" s="43" t="str">
        <f>IFERROR(__xludf.DUMMYFUNCTION("""COMPUTED_VALUE"""),"GV")</f>
        <v>GV</v>
      </c>
      <c r="M1030" s="43" t="str">
        <f>IFERROR(__xludf.DUMMYFUNCTION("""COMPUTED_VALUE"""),"short")</f>
        <v>short</v>
      </c>
      <c r="N1030" s="45">
        <f>IFERROR(__xludf.DUMMYFUNCTION("""COMPUTED_VALUE"""),45092.0)</f>
        <v>45092</v>
      </c>
      <c r="O1030" s="45">
        <f>IFERROR(__xludf.DUMMYFUNCTION("""COMPUTED_VALUE"""),45110.0)</f>
        <v>45110</v>
      </c>
      <c r="P1030" s="45">
        <f>IFERROR(__xludf.DUMMYFUNCTION("""COMPUTED_VALUE"""),45152.0)</f>
        <v>45152</v>
      </c>
      <c r="Q1030" s="45">
        <f>IFERROR(__xludf.DUMMYFUNCTION("""COMPUTED_VALUE"""),45109.0)</f>
        <v>45109</v>
      </c>
      <c r="R1030" s="45">
        <f>IFERROR(__xludf.DUMMYFUNCTION("""COMPUTED_VALUE"""),45152.0)</f>
        <v>45152</v>
      </c>
      <c r="S1030" s="43"/>
      <c r="T1030" s="43"/>
      <c r="U1030" s="43" t="str">
        <f>IFERROR(__xludf.DUMMYFUNCTION("""COMPUTED_VALUE"""),"Youth 4 Impact")</f>
        <v>Youth 4 Impact</v>
      </c>
      <c r="V1030" s="43" t="str">
        <f>IFERROR(__xludf.DUMMYFUNCTION("""COMPUTED_VALUE"""),"FLSH sfax ")</f>
        <v>FLSH sfax </v>
      </c>
      <c r="W1030" s="43" t="str">
        <f>IFERROR(__xludf.DUMMYFUNCTION("""COMPUTED_VALUE"""),"2022-03-29T18:11:41Z")</f>
        <v>2022-03-29T18:11:41Z</v>
      </c>
      <c r="X1030" s="43"/>
      <c r="Y1030" s="43"/>
      <c r="Z1030" s="43"/>
    </row>
    <row r="1031" hidden="1">
      <c r="A1031" s="43" t="str">
        <f>IFERROR(__xludf.DUMMYFUNCTION("""COMPUTED_VALUE"""),"5264459_1294452")</f>
        <v>5264459_1294452</v>
      </c>
      <c r="B1031" s="43" t="str">
        <f>IFERROR(__xludf.DUMMYFUNCTION("""COMPUTED_VALUE"""),"shafquat ali")</f>
        <v>shafquat ali</v>
      </c>
      <c r="C1031" s="43" t="str">
        <f>IFERROR(__xludf.DUMMYFUNCTION("""COMPUTED_VALUE"""),"approved")</f>
        <v>approved</v>
      </c>
      <c r="D1031" s="43" t="str">
        <f>IFERROR(__xludf.DUMMYFUNCTION("""COMPUTED_VALUE"""),"No")</f>
        <v>No</v>
      </c>
      <c r="E1031" s="43" t="str">
        <f>IFERROR(__xludf.DUMMYFUNCTION("""COMPUTED_VALUE"""),"p_da82624fcbe9cff6256cbfe5fb6c52fcbae6e026@inbound.aiesec.org")</f>
        <v>p_da82624fcbe9cff6256cbfe5fb6c52fcbae6e026@inbound.aiesec.org</v>
      </c>
      <c r="F1031" s="43">
        <f>IFERROR(__xludf.DUMMYFUNCTION("""COMPUTED_VALUE"""),3.323320732E9)</f>
        <v>3323320732</v>
      </c>
      <c r="G1031" s="43" t="str">
        <f>IFERROR(__xludf.DUMMYFUNCTION("""COMPUTED_VALUE"""),"Pakistan")</f>
        <v>Pakistan</v>
      </c>
      <c r="H1031" s="43" t="str">
        <f>IFERROR(__xludf.DUMMYFUNCTION("""COMPUTED_VALUE"""),"Karachi")</f>
        <v>Karachi</v>
      </c>
      <c r="I1031" s="43" t="str">
        <f>IFERROR(__xludf.DUMMYFUNCTION("""COMPUTED_VALUE"""),"Turkey")</f>
        <v>Turkey</v>
      </c>
      <c r="J1031" s="43" t="str">
        <f>IFERROR(__xludf.DUMMYFUNCTION("""COMPUTED_VALUE"""),"ESKISEHIR")</f>
        <v>ESKISEHIR</v>
      </c>
      <c r="K1031" s="44" t="str">
        <f>IFERROR(__xludf.DUMMYFUNCTION("""COMPUTED_VALUE"""),"https://expa.aiesec.org/opportunities/1294452")</f>
        <v>https://expa.aiesec.org/opportunities/1294452</v>
      </c>
      <c r="L1031" s="43" t="str">
        <f>IFERROR(__xludf.DUMMYFUNCTION("""COMPUTED_VALUE"""),"GV")</f>
        <v>GV</v>
      </c>
      <c r="M1031" s="43" t="str">
        <f>IFERROR(__xludf.DUMMYFUNCTION("""COMPUTED_VALUE"""),"short")</f>
        <v>short</v>
      </c>
      <c r="N1031" s="45">
        <f>IFERROR(__xludf.DUMMYFUNCTION("""COMPUTED_VALUE"""),45092.0)</f>
        <v>45092</v>
      </c>
      <c r="O1031" s="45">
        <f>IFERROR(__xludf.DUMMYFUNCTION("""COMPUTED_VALUE"""),45152.0)</f>
        <v>45152</v>
      </c>
      <c r="P1031" s="45">
        <f>IFERROR(__xludf.DUMMYFUNCTION("""COMPUTED_VALUE"""),45194.0)</f>
        <v>45194</v>
      </c>
      <c r="Q1031" s="45"/>
      <c r="R1031" s="45"/>
      <c r="S1031" s="43"/>
      <c r="T1031" s="43"/>
      <c r="U1031" s="43" t="str">
        <f>IFERROR(__xludf.DUMMYFUNCTION("""COMPUTED_VALUE"""),"On The Map")</f>
        <v>On The Map</v>
      </c>
      <c r="V1031" s="43" t="str">
        <f>IFERROR(__xludf.DUMMYFUNCTION("""COMPUTED_VALUE"""),"Karachi - Iqra University")</f>
        <v>Karachi - Iqra University</v>
      </c>
      <c r="W1031" s="43" t="str">
        <f>IFERROR(__xludf.DUMMYFUNCTION("""COMPUTED_VALUE"""),"2023-05-21T12:59:06Z")</f>
        <v>2023-05-21T12:59:06Z</v>
      </c>
      <c r="X1031" s="43"/>
      <c r="Y1031" s="43"/>
      <c r="Z1031" s="43"/>
    </row>
    <row r="1032" hidden="1">
      <c r="A1032" s="43" t="str">
        <f>IFERROR(__xludf.DUMMYFUNCTION("""COMPUTED_VALUE"""),"4770862_1295461")</f>
        <v>4770862_1295461</v>
      </c>
      <c r="B1032" s="43" t="str">
        <f>IFERROR(__xludf.DUMMYFUNCTION("""COMPUTED_VALUE"""),"Hedil Baldi")</f>
        <v>Hedil Baldi</v>
      </c>
      <c r="C1032" s="43" t="str">
        <f>IFERROR(__xludf.DUMMYFUNCTION("""COMPUTED_VALUE"""),"completed")</f>
        <v>completed</v>
      </c>
      <c r="D1032" s="43" t="str">
        <f>IFERROR(__xludf.DUMMYFUNCTION("""COMPUTED_VALUE"""),"No")</f>
        <v>No</v>
      </c>
      <c r="E1032" s="43" t="str">
        <f>IFERROR(__xludf.DUMMYFUNCTION("""COMPUTED_VALUE"""),"p_c94f37af27a31b63aab6e51766835569a51968af@inbound.aiesec.org")</f>
        <v>p_c94f37af27a31b63aab6e51766835569a51968af@inbound.aiesec.org</v>
      </c>
      <c r="F1032" s="43">
        <f>IFERROR(__xludf.DUMMYFUNCTION("""COMPUTED_VALUE"""),5.5007134E7)</f>
        <v>55007134</v>
      </c>
      <c r="G1032" s="43" t="str">
        <f>IFERROR(__xludf.DUMMYFUNCTION("""COMPUTED_VALUE"""),"Tunisia")</f>
        <v>Tunisia</v>
      </c>
      <c r="H1032" s="43" t="str">
        <f>IFERROR(__xludf.DUMMYFUNCTION("""COMPUTED_VALUE"""),"MEDINA")</f>
        <v>MEDINA</v>
      </c>
      <c r="I1032" s="43" t="str">
        <f>IFERROR(__xludf.DUMMYFUNCTION("""COMPUTED_VALUE"""),"Turkey")</f>
        <v>Turkey</v>
      </c>
      <c r="J1032" s="43" t="str">
        <f>IFERROR(__xludf.DUMMYFUNCTION("""COMPUTED_VALUE"""),"BURSA")</f>
        <v>BURSA</v>
      </c>
      <c r="K1032" s="44" t="str">
        <f>IFERROR(__xludf.DUMMYFUNCTION("""COMPUTED_VALUE"""),"https://expa.aiesec.org/opportunities/1295461")</f>
        <v>https://expa.aiesec.org/opportunities/1295461</v>
      </c>
      <c r="L1032" s="43" t="str">
        <f>IFERROR(__xludf.DUMMYFUNCTION("""COMPUTED_VALUE"""),"GV")</f>
        <v>GV</v>
      </c>
      <c r="M1032" s="43" t="str">
        <f>IFERROR(__xludf.DUMMYFUNCTION("""COMPUTED_VALUE"""),"short")</f>
        <v>short</v>
      </c>
      <c r="N1032" s="45">
        <f>IFERROR(__xludf.DUMMYFUNCTION("""COMPUTED_VALUE"""),45093.0)</f>
        <v>45093</v>
      </c>
      <c r="O1032" s="45">
        <f>IFERROR(__xludf.DUMMYFUNCTION("""COMPUTED_VALUE"""),45110.0)</f>
        <v>45110</v>
      </c>
      <c r="P1032" s="45">
        <f>IFERROR(__xludf.DUMMYFUNCTION("""COMPUTED_VALUE"""),45152.0)</f>
        <v>45152</v>
      </c>
      <c r="Q1032" s="45">
        <f>IFERROR(__xludf.DUMMYFUNCTION("""COMPUTED_VALUE"""),45109.0)</f>
        <v>45109</v>
      </c>
      <c r="R1032" s="45">
        <f>IFERROR(__xludf.DUMMYFUNCTION("""COMPUTED_VALUE"""),45152.0)</f>
        <v>45152</v>
      </c>
      <c r="S1032" s="43"/>
      <c r="T1032" s="43"/>
      <c r="U1032" s="43" t="str">
        <f>IFERROR(__xludf.DUMMYFUNCTION("""COMPUTED_VALUE"""),"Youth 4 Impact")</f>
        <v>Youth 4 Impact</v>
      </c>
      <c r="V1032" s="43" t="str">
        <f>IFERROR(__xludf.DUMMYFUNCTION("""COMPUTED_VALUE"""),"ESEN")</f>
        <v>ESEN</v>
      </c>
      <c r="W1032" s="43" t="str">
        <f>IFERROR(__xludf.DUMMYFUNCTION("""COMPUTED_VALUE"""),"2021-10-23T20:50:00Z")</f>
        <v>2021-10-23T20:50:00Z</v>
      </c>
      <c r="X1032" s="43"/>
      <c r="Y1032" s="43"/>
      <c r="Z1032" s="43"/>
    </row>
    <row r="1033" hidden="1">
      <c r="A1033" s="43" t="str">
        <f>IFERROR(__xludf.DUMMYFUNCTION("""COMPUTED_VALUE"""),"5043381_1291427")</f>
        <v>5043381_1291427</v>
      </c>
      <c r="B1033" s="43" t="str">
        <f>IFERROR(__xludf.DUMMYFUNCTION("""COMPUTED_VALUE"""),"Yasaman Mammadova")</f>
        <v>Yasaman Mammadova</v>
      </c>
      <c r="C1033" s="43" t="str">
        <f>IFERROR(__xludf.DUMMYFUNCTION("""COMPUTED_VALUE"""),"completed")</f>
        <v>completed</v>
      </c>
      <c r="D1033" s="43" t="str">
        <f>IFERROR(__xludf.DUMMYFUNCTION("""COMPUTED_VALUE"""),"No")</f>
        <v>No</v>
      </c>
      <c r="E1033" s="43" t="str">
        <f>IFERROR(__xludf.DUMMYFUNCTION("""COMPUTED_VALUE"""),"p_712e3dc7de9048f755f0e73302ee19199236efeb@inbound.aiesec.org")</f>
        <v>p_712e3dc7de9048f755f0e73302ee19199236efeb@inbound.aiesec.org</v>
      </c>
      <c r="F1033" s="43">
        <f>IFERROR(__xludf.DUMMYFUNCTION("""COMPUTED_VALUE"""),5.03919114E8)</f>
        <v>503919114</v>
      </c>
      <c r="G1033" s="43" t="str">
        <f>IFERROR(__xludf.DUMMYFUNCTION("""COMPUTED_VALUE"""),"Azerbaijan")</f>
        <v>Azerbaijan</v>
      </c>
      <c r="H1033" s="43" t="str">
        <f>IFERROR(__xludf.DUMMYFUNCTION("""COMPUTED_VALUE"""),"Baku Synergy")</f>
        <v>Baku Synergy</v>
      </c>
      <c r="I1033" s="43" t="str">
        <f>IFERROR(__xludf.DUMMYFUNCTION("""COMPUTED_VALUE"""),"Turkey")</f>
        <v>Turkey</v>
      </c>
      <c r="J1033" s="43" t="str">
        <f>IFERROR(__xludf.DUMMYFUNCTION("""COMPUTED_VALUE"""),"ISTANBUL WEST")</f>
        <v>ISTANBUL WEST</v>
      </c>
      <c r="K1033" s="44" t="str">
        <f>IFERROR(__xludf.DUMMYFUNCTION("""COMPUTED_VALUE"""),"https://expa.aiesec.org/opportunities/1291427")</f>
        <v>https://expa.aiesec.org/opportunities/1291427</v>
      </c>
      <c r="L1033" s="43" t="str">
        <f>IFERROR(__xludf.DUMMYFUNCTION("""COMPUTED_VALUE"""),"GV")</f>
        <v>GV</v>
      </c>
      <c r="M1033" s="43" t="str">
        <f>IFERROR(__xludf.DUMMYFUNCTION("""COMPUTED_VALUE"""),"short")</f>
        <v>short</v>
      </c>
      <c r="N1033" s="45">
        <f>IFERROR(__xludf.DUMMYFUNCTION("""COMPUTED_VALUE"""),45093.0)</f>
        <v>45093</v>
      </c>
      <c r="O1033" s="45">
        <f>IFERROR(__xludf.DUMMYFUNCTION("""COMPUTED_VALUE"""),45117.0)</f>
        <v>45117</v>
      </c>
      <c r="P1033" s="45">
        <f>IFERROR(__xludf.DUMMYFUNCTION("""COMPUTED_VALUE"""),45159.0)</f>
        <v>45159</v>
      </c>
      <c r="Q1033" s="45">
        <f>IFERROR(__xludf.DUMMYFUNCTION("""COMPUTED_VALUE"""),45116.0)</f>
        <v>45116</v>
      </c>
      <c r="R1033" s="45">
        <f>IFERROR(__xludf.DUMMYFUNCTION("""COMPUTED_VALUE"""),45159.0)</f>
        <v>45159</v>
      </c>
      <c r="S1033" s="43"/>
      <c r="T1033" s="43"/>
      <c r="U1033" s="43" t="str">
        <f>IFERROR(__xludf.DUMMYFUNCTION("""COMPUTED_VALUE"""),"Fingerprint")</f>
        <v>Fingerprint</v>
      </c>
      <c r="V1033" s="43" t="str">
        <f>IFERROR(__xludf.DUMMYFUNCTION("""COMPUTED_VALUE"""),"Azerbaijan State University of Economics")</f>
        <v>Azerbaijan State University of Economics</v>
      </c>
      <c r="W1033" s="43" t="str">
        <f>IFERROR(__xludf.DUMMYFUNCTION("""COMPUTED_VALUE"""),"2022-04-21T16:39:40Z")</f>
        <v>2022-04-21T16:39:40Z</v>
      </c>
      <c r="X1033" s="43"/>
      <c r="Y1033" s="43"/>
      <c r="Z1033" s="43"/>
    </row>
    <row r="1034" hidden="1">
      <c r="A1034" s="43" t="str">
        <f>IFERROR(__xludf.DUMMYFUNCTION("""COMPUTED_VALUE"""),"5220410_1295830")</f>
        <v>5220410_1295830</v>
      </c>
      <c r="B1034" s="43" t="str">
        <f>IFERROR(__xludf.DUMMYFUNCTION("""COMPUTED_VALUE"""),"Clara Makram")</f>
        <v>Clara Makram</v>
      </c>
      <c r="C1034" s="43" t="str">
        <f>IFERROR(__xludf.DUMMYFUNCTION("""COMPUTED_VALUE"""),"approved")</f>
        <v>approved</v>
      </c>
      <c r="D1034" s="43" t="str">
        <f>IFERROR(__xludf.DUMMYFUNCTION("""COMPUTED_VALUE"""),"No")</f>
        <v>No</v>
      </c>
      <c r="E1034" s="43" t="str">
        <f>IFERROR(__xludf.DUMMYFUNCTION("""COMPUTED_VALUE"""),"p_bd4f86f9360de90085dd7d0ccd86b6d67cbcebeb@inbound.aiesec.org")</f>
        <v>p_bd4f86f9360de90085dd7d0ccd86b6d67cbcebeb@inbound.aiesec.org</v>
      </c>
      <c r="F1034" s="43">
        <f>IFERROR(__xludf.DUMMYFUNCTION("""COMPUTED_VALUE"""),1.008294648E9)</f>
        <v>1008294648</v>
      </c>
      <c r="G1034" s="43" t="str">
        <f>IFERROR(__xludf.DUMMYFUNCTION("""COMPUTED_VALUE"""),"Egypt")</f>
        <v>Egypt</v>
      </c>
      <c r="H1034" s="43" t="str">
        <f>IFERROR(__xludf.DUMMYFUNCTION("""COMPUTED_VALUE"""),"AUC")</f>
        <v>AUC</v>
      </c>
      <c r="I1034" s="43" t="str">
        <f>IFERROR(__xludf.DUMMYFUNCTION("""COMPUTED_VALUE"""),"Turkey")</f>
        <v>Turkey</v>
      </c>
      <c r="J1034" s="43" t="str">
        <f>IFERROR(__xludf.DUMMYFUNCTION("""COMPUTED_VALUE"""),"ANKARA")</f>
        <v>ANKARA</v>
      </c>
      <c r="K1034" s="44" t="str">
        <f>IFERROR(__xludf.DUMMYFUNCTION("""COMPUTED_VALUE"""),"https://expa.aiesec.org/opportunities/1295830")</f>
        <v>https://expa.aiesec.org/opportunities/1295830</v>
      </c>
      <c r="L1034" s="43" t="str">
        <f>IFERROR(__xludf.DUMMYFUNCTION("""COMPUTED_VALUE"""),"GV")</f>
        <v>GV</v>
      </c>
      <c r="M1034" s="43" t="str">
        <f>IFERROR(__xludf.DUMMYFUNCTION("""COMPUTED_VALUE"""),"short")</f>
        <v>short</v>
      </c>
      <c r="N1034" s="45">
        <f>IFERROR(__xludf.DUMMYFUNCTION("""COMPUTED_VALUE"""),45093.0)</f>
        <v>45093</v>
      </c>
      <c r="O1034" s="45">
        <f>IFERROR(__xludf.DUMMYFUNCTION("""COMPUTED_VALUE"""),45159.0)</f>
        <v>45159</v>
      </c>
      <c r="P1034" s="45">
        <f>IFERROR(__xludf.DUMMYFUNCTION("""COMPUTED_VALUE"""),45201.0)</f>
        <v>45201</v>
      </c>
      <c r="Q1034" s="45"/>
      <c r="R1034" s="45"/>
      <c r="S1034" s="43"/>
      <c r="T1034" s="43"/>
      <c r="U1034" s="43" t="str">
        <f>IFERROR(__xludf.DUMMYFUNCTION("""COMPUTED_VALUE"""),"Global Classroom")</f>
        <v>Global Classroom</v>
      </c>
      <c r="V1034" s="43" t="str">
        <f>IFERROR(__xludf.DUMMYFUNCTION("""COMPUTED_VALUE"""),"AUC")</f>
        <v>AUC</v>
      </c>
      <c r="W1034" s="43" t="str">
        <f>IFERROR(__xludf.DUMMYFUNCTION("""COMPUTED_VALUE"""),"2023-03-18T15:23:40Z")</f>
        <v>2023-03-18T15:23:40Z</v>
      </c>
      <c r="X1034" s="43"/>
      <c r="Y1034" s="43"/>
      <c r="Z1034" s="43"/>
    </row>
    <row r="1035" hidden="1">
      <c r="A1035" s="43" t="str">
        <f>IFERROR(__xludf.DUMMYFUNCTION("""COMPUTED_VALUE"""),"4843954_1291252")</f>
        <v>4843954_1291252</v>
      </c>
      <c r="B1035" s="43" t="str">
        <f>IFERROR(__xludf.DUMMYFUNCTION("""COMPUTED_VALUE"""),"Daniela Mihaela Harabagiu")</f>
        <v>Daniela Mihaela Harabagiu</v>
      </c>
      <c r="C1035" s="43" t="str">
        <f>IFERROR(__xludf.DUMMYFUNCTION("""COMPUTED_VALUE"""),"completed")</f>
        <v>completed</v>
      </c>
      <c r="D1035" s="43" t="str">
        <f>IFERROR(__xludf.DUMMYFUNCTION("""COMPUTED_VALUE"""),"No")</f>
        <v>No</v>
      </c>
      <c r="E1035" s="43" t="str">
        <f>IFERROR(__xludf.DUMMYFUNCTION("""COMPUTED_VALUE"""),"p_caca677a4fd9a3fd3678e9e7e89e942ba0e13caa@inbound.aiesec.org")</f>
        <v>p_caca677a4fd9a3fd3678e9e7e89e942ba0e13caa@inbound.aiesec.org</v>
      </c>
      <c r="F1035" s="43">
        <f>IFERROR(__xludf.DUMMYFUNCTION("""COMPUTED_VALUE"""),7.71770344E8)</f>
        <v>771770344</v>
      </c>
      <c r="G1035" s="43" t="str">
        <f>IFERROR(__xludf.DUMMYFUNCTION("""COMPUTED_VALUE"""),"Romania")</f>
        <v>Romania</v>
      </c>
      <c r="H1035" s="43" t="str">
        <f>IFERROR(__xludf.DUMMYFUNCTION("""COMPUTED_VALUE"""),"IASI")</f>
        <v>IASI</v>
      </c>
      <c r="I1035" s="43" t="str">
        <f>IFERROR(__xludf.DUMMYFUNCTION("""COMPUTED_VALUE"""),"Turkey")</f>
        <v>Turkey</v>
      </c>
      <c r="J1035" s="43" t="str">
        <f>IFERROR(__xludf.DUMMYFUNCTION("""COMPUTED_VALUE"""),"KOCAELI")</f>
        <v>KOCAELI</v>
      </c>
      <c r="K1035" s="44" t="str">
        <f>IFERROR(__xludf.DUMMYFUNCTION("""COMPUTED_VALUE"""),"https://expa.aiesec.org/opportunities/1291252")</f>
        <v>https://expa.aiesec.org/opportunities/1291252</v>
      </c>
      <c r="L1035" s="43" t="str">
        <f>IFERROR(__xludf.DUMMYFUNCTION("""COMPUTED_VALUE"""),"GV")</f>
        <v>GV</v>
      </c>
      <c r="M1035" s="43" t="str">
        <f>IFERROR(__xludf.DUMMYFUNCTION("""COMPUTED_VALUE"""),"short")</f>
        <v>short</v>
      </c>
      <c r="N1035" s="45">
        <f>IFERROR(__xludf.DUMMYFUNCTION("""COMPUTED_VALUE"""),45093.0)</f>
        <v>45093</v>
      </c>
      <c r="O1035" s="45">
        <f>IFERROR(__xludf.DUMMYFUNCTION("""COMPUTED_VALUE"""),45153.0)</f>
        <v>45153</v>
      </c>
      <c r="P1035" s="45">
        <f>IFERROR(__xludf.DUMMYFUNCTION("""COMPUTED_VALUE"""),45195.0)</f>
        <v>45195</v>
      </c>
      <c r="Q1035" s="45">
        <f>IFERROR(__xludf.DUMMYFUNCTION("""COMPUTED_VALUE"""),45153.0)</f>
        <v>45153</v>
      </c>
      <c r="R1035" s="45">
        <f>IFERROR(__xludf.DUMMYFUNCTION("""COMPUTED_VALUE"""),45195.0)</f>
        <v>45195</v>
      </c>
      <c r="S1035" s="43"/>
      <c r="T1035" s="43"/>
      <c r="U1035" s="43" t="str">
        <f>IFERROR(__xludf.DUMMYFUNCTION("""COMPUTED_VALUE"""),"Global Classroom")</f>
        <v>Global Classroom</v>
      </c>
      <c r="V1035" s="43" t="str">
        <f>IFERROR(__xludf.DUMMYFUNCTION("""COMPUTED_VALUE"""),"Bucuresti")</f>
        <v>Bucuresti</v>
      </c>
      <c r="W1035" s="43" t="str">
        <f>IFERROR(__xludf.DUMMYFUNCTION("""COMPUTED_VALUE"""),"2021-12-14T18:13:19Z")</f>
        <v>2021-12-14T18:13:19Z</v>
      </c>
      <c r="X1035" s="43"/>
      <c r="Y1035" s="43"/>
      <c r="Z1035" s="43"/>
    </row>
    <row r="1036" hidden="1">
      <c r="A1036" s="43" t="str">
        <f>IFERROR(__xludf.DUMMYFUNCTION("""COMPUTED_VALUE"""),"5275309_1295453")</f>
        <v>5275309_1295453</v>
      </c>
      <c r="B1036" s="43" t="str">
        <f>IFERROR(__xludf.DUMMYFUNCTION("""COMPUTED_VALUE"""),"Mariam Elsamak")</f>
        <v>Mariam Elsamak</v>
      </c>
      <c r="C1036" s="43" t="str">
        <f>IFERROR(__xludf.DUMMYFUNCTION("""COMPUTED_VALUE"""),"approved")</f>
        <v>approved</v>
      </c>
      <c r="D1036" s="43" t="str">
        <f>IFERROR(__xludf.DUMMYFUNCTION("""COMPUTED_VALUE"""),"No")</f>
        <v>No</v>
      </c>
      <c r="E1036" s="43" t="str">
        <f>IFERROR(__xludf.DUMMYFUNCTION("""COMPUTED_VALUE"""),"p_d9d263b375387686749fa997e9a2bd62e93dacc3@inbound.aiesec.org")</f>
        <v>p_d9d263b375387686749fa997e9a2bd62e93dacc3@inbound.aiesec.org</v>
      </c>
      <c r="F1036" s="43">
        <f>IFERROR(__xludf.DUMMYFUNCTION("""COMPUTED_VALUE"""),1.012723062E9)</f>
        <v>1012723062</v>
      </c>
      <c r="G1036" s="43" t="str">
        <f>IFERROR(__xludf.DUMMYFUNCTION("""COMPUTED_VALUE"""),"Egypt")</f>
        <v>Egypt</v>
      </c>
      <c r="H1036" s="43" t="str">
        <f>IFERROR(__xludf.DUMMYFUNCTION("""COMPUTED_VALUE"""),"Suez")</f>
        <v>Suez</v>
      </c>
      <c r="I1036" s="43" t="str">
        <f>IFERROR(__xludf.DUMMYFUNCTION("""COMPUTED_VALUE"""),"Turkey")</f>
        <v>Turkey</v>
      </c>
      <c r="J1036" s="43" t="str">
        <f>IFERROR(__xludf.DUMMYFUNCTION("""COMPUTED_VALUE"""),"GAZIANTEP")</f>
        <v>GAZIANTEP</v>
      </c>
      <c r="K1036" s="44" t="str">
        <f>IFERROR(__xludf.DUMMYFUNCTION("""COMPUTED_VALUE"""),"https://expa.aiesec.org/opportunities/1295453")</f>
        <v>https://expa.aiesec.org/opportunities/1295453</v>
      </c>
      <c r="L1036" s="43" t="str">
        <f>IFERROR(__xludf.DUMMYFUNCTION("""COMPUTED_VALUE"""),"GV")</f>
        <v>GV</v>
      </c>
      <c r="M1036" s="43" t="str">
        <f>IFERROR(__xludf.DUMMYFUNCTION("""COMPUTED_VALUE"""),"short")</f>
        <v>short</v>
      </c>
      <c r="N1036" s="45">
        <f>IFERROR(__xludf.DUMMYFUNCTION("""COMPUTED_VALUE"""),45094.0)</f>
        <v>45094</v>
      </c>
      <c r="O1036" s="45">
        <f>IFERROR(__xludf.DUMMYFUNCTION("""COMPUTED_VALUE"""),45124.0)</f>
        <v>45124</v>
      </c>
      <c r="P1036" s="45">
        <f>IFERROR(__xludf.DUMMYFUNCTION("""COMPUTED_VALUE"""),45166.0)</f>
        <v>45166</v>
      </c>
      <c r="Q1036" s="45"/>
      <c r="R1036" s="45"/>
      <c r="S1036" s="43"/>
      <c r="T1036" s="43"/>
      <c r="U1036" s="43" t="str">
        <f>IFERROR(__xludf.DUMMYFUNCTION("""COMPUTED_VALUE"""),"Global Classroom")</f>
        <v>Global Classroom</v>
      </c>
      <c r="V1036" s="43" t="str">
        <f>IFERROR(__xludf.DUMMYFUNCTION("""COMPUTED_VALUE"""),"Sherouk Academy")</f>
        <v>Sherouk Academy</v>
      </c>
      <c r="W1036" s="43" t="str">
        <f>IFERROR(__xludf.DUMMYFUNCTION("""COMPUTED_VALUE"""),"2023-06-14T16:12:43Z")</f>
        <v>2023-06-14T16:12:43Z</v>
      </c>
      <c r="X1036" s="43"/>
      <c r="Y1036" s="43"/>
      <c r="Z1036" s="43"/>
    </row>
    <row r="1037" hidden="1">
      <c r="A1037" s="43" t="str">
        <f>IFERROR(__xludf.DUMMYFUNCTION("""COMPUTED_VALUE"""),"5264994_1283483")</f>
        <v>5264994_1283483</v>
      </c>
      <c r="B1037" s="43" t="str">
        <f>IFERROR(__xludf.DUMMYFUNCTION("""COMPUTED_VALUE"""),"OLMES ATENBAYEVA")</f>
        <v>OLMES ATENBAYEVA</v>
      </c>
      <c r="C1037" s="43" t="str">
        <f>IFERROR(__xludf.DUMMYFUNCTION("""COMPUTED_VALUE"""),"completed")</f>
        <v>completed</v>
      </c>
      <c r="D1037" s="43" t="str">
        <f>IFERROR(__xludf.DUMMYFUNCTION("""COMPUTED_VALUE"""),"No")</f>
        <v>No</v>
      </c>
      <c r="E1037" s="43" t="str">
        <f>IFERROR(__xludf.DUMMYFUNCTION("""COMPUTED_VALUE"""),"p_67c261a21dfd82f6493105b355430e6ad0bb3467@inbound.aiesec.org")</f>
        <v>p_67c261a21dfd82f6493105b355430e6ad0bb3467@inbound.aiesec.org</v>
      </c>
      <c r="F1037" s="43">
        <f>IFERROR(__xludf.DUMMYFUNCTION("""COMPUTED_VALUE"""),7.756253055E9)</f>
        <v>7756253055</v>
      </c>
      <c r="G1037" s="43" t="str">
        <f>IFERROR(__xludf.DUMMYFUNCTION("""COMPUTED_VALUE"""),"Kazakhstan")</f>
        <v>Kazakhstan</v>
      </c>
      <c r="H1037" s="43" t="str">
        <f>IFERROR(__xludf.DUMMYFUNCTION("""COMPUTED_VALUE"""),"ALMATY")</f>
        <v>ALMATY</v>
      </c>
      <c r="I1037" s="43" t="str">
        <f>IFERROR(__xludf.DUMMYFUNCTION("""COMPUTED_VALUE"""),"Turkey")</f>
        <v>Turkey</v>
      </c>
      <c r="J1037" s="43" t="str">
        <f>IFERROR(__xludf.DUMMYFUNCTION("""COMPUTED_VALUE"""),"KONYA")</f>
        <v>KONYA</v>
      </c>
      <c r="K1037" s="44" t="str">
        <f>IFERROR(__xludf.DUMMYFUNCTION("""COMPUTED_VALUE"""),"https://expa.aiesec.org/opportunities/1283483")</f>
        <v>https://expa.aiesec.org/opportunities/1283483</v>
      </c>
      <c r="L1037" s="43" t="str">
        <f>IFERROR(__xludf.DUMMYFUNCTION("""COMPUTED_VALUE"""),"GV")</f>
        <v>GV</v>
      </c>
      <c r="M1037" s="43" t="str">
        <f>IFERROR(__xludf.DUMMYFUNCTION("""COMPUTED_VALUE"""),"short")</f>
        <v>short</v>
      </c>
      <c r="N1037" s="45">
        <f>IFERROR(__xludf.DUMMYFUNCTION("""COMPUTED_VALUE"""),45094.0)</f>
        <v>45094</v>
      </c>
      <c r="O1037" s="45">
        <f>IFERROR(__xludf.DUMMYFUNCTION("""COMPUTED_VALUE"""),45088.0)</f>
        <v>45088</v>
      </c>
      <c r="P1037" s="45">
        <f>IFERROR(__xludf.DUMMYFUNCTION("""COMPUTED_VALUE"""),45130.0)</f>
        <v>45130</v>
      </c>
      <c r="Q1037" s="45">
        <f>IFERROR(__xludf.DUMMYFUNCTION("""COMPUTED_VALUE"""),45094.0)</f>
        <v>45094</v>
      </c>
      <c r="R1037" s="45">
        <f>IFERROR(__xludf.DUMMYFUNCTION("""COMPUTED_VALUE"""),45136.0)</f>
        <v>45136</v>
      </c>
      <c r="S1037" s="43"/>
      <c r="T1037" s="43"/>
      <c r="U1037" s="43" t="str">
        <f>IFERROR(__xludf.DUMMYFUNCTION("""COMPUTED_VALUE"""),"Global Classroom")</f>
        <v>Global Classroom</v>
      </c>
      <c r="V1037" s="43" t="str">
        <f>IFERROR(__xludf.DUMMYFUNCTION("""COMPUTED_VALUE"""),"Shymkent")</f>
        <v>Shymkent</v>
      </c>
      <c r="W1037" s="43" t="str">
        <f>IFERROR(__xludf.DUMMYFUNCTION("""COMPUTED_VALUE"""),"2023-05-22T17:31:18Z")</f>
        <v>2023-05-22T17:31:18Z</v>
      </c>
      <c r="X1037" s="43"/>
      <c r="Y1037" s="43"/>
      <c r="Z1037" s="43"/>
    </row>
    <row r="1038" hidden="1">
      <c r="A1038" s="43" t="str">
        <f>IFERROR(__xludf.DUMMYFUNCTION("""COMPUTED_VALUE"""),"5276128_1295408")</f>
        <v>5276128_1295408</v>
      </c>
      <c r="B1038" s="43" t="str">
        <f>IFERROR(__xludf.DUMMYFUNCTION("""COMPUTED_VALUE"""),"Shaimaa Mahmoud")</f>
        <v>Shaimaa Mahmoud</v>
      </c>
      <c r="C1038" s="43" t="str">
        <f>IFERROR(__xludf.DUMMYFUNCTION("""COMPUTED_VALUE"""),"finished")</f>
        <v>finished</v>
      </c>
      <c r="D1038" s="43" t="str">
        <f>IFERROR(__xludf.DUMMYFUNCTION("""COMPUTED_VALUE"""),"No")</f>
        <v>No</v>
      </c>
      <c r="E1038" s="43" t="str">
        <f>IFERROR(__xludf.DUMMYFUNCTION("""COMPUTED_VALUE"""),"p_9ecb2c55bba22d5db84a3232a6745dffbe28283b@inbound.aiesec.org")</f>
        <v>p_9ecb2c55bba22d5db84a3232a6745dffbe28283b@inbound.aiesec.org</v>
      </c>
      <c r="F1038" s="43">
        <f>IFERROR(__xludf.DUMMYFUNCTION("""COMPUTED_VALUE"""),1.009085828E9)</f>
        <v>1009085828</v>
      </c>
      <c r="G1038" s="43" t="str">
        <f>IFERROR(__xludf.DUMMYFUNCTION("""COMPUTED_VALUE"""),"Egypt")</f>
        <v>Egypt</v>
      </c>
      <c r="H1038" s="43" t="str">
        <f>IFERROR(__xludf.DUMMYFUNCTION("""COMPUTED_VALUE"""),"AAST Alexandria")</f>
        <v>AAST Alexandria</v>
      </c>
      <c r="I1038" s="43" t="str">
        <f>IFERROR(__xludf.DUMMYFUNCTION("""COMPUTED_VALUE"""),"Turkey")</f>
        <v>Turkey</v>
      </c>
      <c r="J1038" s="43" t="str">
        <f>IFERROR(__xludf.DUMMYFUNCTION("""COMPUTED_VALUE"""),"ANKARA")</f>
        <v>ANKARA</v>
      </c>
      <c r="K1038" s="44" t="str">
        <f>IFERROR(__xludf.DUMMYFUNCTION("""COMPUTED_VALUE"""),"https://expa.aiesec.org/opportunities/1295408")</f>
        <v>https://expa.aiesec.org/opportunities/1295408</v>
      </c>
      <c r="L1038" s="43" t="str">
        <f>IFERROR(__xludf.DUMMYFUNCTION("""COMPUTED_VALUE"""),"GV")</f>
        <v>GV</v>
      </c>
      <c r="M1038" s="43" t="str">
        <f>IFERROR(__xludf.DUMMYFUNCTION("""COMPUTED_VALUE"""),"short")</f>
        <v>short</v>
      </c>
      <c r="N1038" s="45">
        <f>IFERROR(__xludf.DUMMYFUNCTION("""COMPUTED_VALUE"""),45095.0)</f>
        <v>45095</v>
      </c>
      <c r="O1038" s="45">
        <f>IFERROR(__xludf.DUMMYFUNCTION("""COMPUTED_VALUE"""),45124.0)</f>
        <v>45124</v>
      </c>
      <c r="P1038" s="45">
        <f>IFERROR(__xludf.DUMMYFUNCTION("""COMPUTED_VALUE"""),45166.0)</f>
        <v>45166</v>
      </c>
      <c r="Q1038" s="45">
        <f>IFERROR(__xludf.DUMMYFUNCTION("""COMPUTED_VALUE"""),45147.0)</f>
        <v>45147</v>
      </c>
      <c r="R1038" s="45">
        <f>IFERROR(__xludf.DUMMYFUNCTION("""COMPUTED_VALUE"""),45187.0)</f>
        <v>45187</v>
      </c>
      <c r="S1038" s="43"/>
      <c r="T1038" s="43"/>
      <c r="U1038" s="43" t="str">
        <f>IFERROR(__xludf.DUMMYFUNCTION("""COMPUTED_VALUE"""),"Global Classroom")</f>
        <v>Global Classroom</v>
      </c>
      <c r="V1038" s="43" t="str">
        <f>IFERROR(__xludf.DUMMYFUNCTION("""COMPUTED_VALUE"""),"AAST in Alexandria")</f>
        <v>AAST in Alexandria</v>
      </c>
      <c r="W1038" s="43" t="str">
        <f>IFERROR(__xludf.DUMMYFUNCTION("""COMPUTED_VALUE"""),"2023-06-16T18:25:10Z")</f>
        <v>2023-06-16T18:25:10Z</v>
      </c>
      <c r="X1038" s="43"/>
      <c r="Y1038" s="43"/>
      <c r="Z1038" s="43"/>
    </row>
    <row r="1039" hidden="1">
      <c r="A1039" s="43" t="str">
        <f>IFERROR(__xludf.DUMMYFUNCTION("""COMPUTED_VALUE"""),"5206884_1296101")</f>
        <v>5206884_1296101</v>
      </c>
      <c r="B1039" s="43" t="str">
        <f>IFERROR(__xludf.DUMMYFUNCTION("""COMPUTED_VALUE"""),"Lamis Mohamed")</f>
        <v>Lamis Mohamed</v>
      </c>
      <c r="C1039" s="43" t="str">
        <f>IFERROR(__xludf.DUMMYFUNCTION("""COMPUTED_VALUE"""),"completed")</f>
        <v>completed</v>
      </c>
      <c r="D1039" s="43" t="str">
        <f>IFERROR(__xludf.DUMMYFUNCTION("""COMPUTED_VALUE"""),"No")</f>
        <v>No</v>
      </c>
      <c r="E1039" s="43" t="str">
        <f>IFERROR(__xludf.DUMMYFUNCTION("""COMPUTED_VALUE"""),"p_c9fbc753df8f9696714e0e4736157035cfc99ba1@inbound.aiesec.org")</f>
        <v>p_c9fbc753df8f9696714e0e4736157035cfc99ba1@inbound.aiesec.org</v>
      </c>
      <c r="F1039" s="43">
        <f>IFERROR(__xludf.DUMMYFUNCTION("""COMPUTED_VALUE"""),1.275600449E9)</f>
        <v>1275600449</v>
      </c>
      <c r="G1039" s="43" t="str">
        <f>IFERROR(__xludf.DUMMYFUNCTION("""COMPUTED_VALUE"""),"Egypt")</f>
        <v>Egypt</v>
      </c>
      <c r="H1039" s="43" t="str">
        <f>IFERROR(__xludf.DUMMYFUNCTION("""COMPUTED_VALUE"""),"AAST Alexandria")</f>
        <v>AAST Alexandria</v>
      </c>
      <c r="I1039" s="43" t="str">
        <f>IFERROR(__xludf.DUMMYFUNCTION("""COMPUTED_VALUE"""),"Turkey")</f>
        <v>Turkey</v>
      </c>
      <c r="J1039" s="43" t="str">
        <f>IFERROR(__xludf.DUMMYFUNCTION("""COMPUTED_VALUE"""),"ANKARA")</f>
        <v>ANKARA</v>
      </c>
      <c r="K1039" s="44" t="str">
        <f>IFERROR(__xludf.DUMMYFUNCTION("""COMPUTED_VALUE"""),"https://expa.aiesec.org/opportunities/1296101")</f>
        <v>https://expa.aiesec.org/opportunities/1296101</v>
      </c>
      <c r="L1039" s="43" t="str">
        <f>IFERROR(__xludf.DUMMYFUNCTION("""COMPUTED_VALUE"""),"GV")</f>
        <v>GV</v>
      </c>
      <c r="M1039" s="43" t="str">
        <f>IFERROR(__xludf.DUMMYFUNCTION("""COMPUTED_VALUE"""),"short")</f>
        <v>short</v>
      </c>
      <c r="N1039" s="45">
        <f>IFERROR(__xludf.DUMMYFUNCTION("""COMPUTED_VALUE"""),45095.0)</f>
        <v>45095</v>
      </c>
      <c r="O1039" s="45">
        <f>IFERROR(__xludf.DUMMYFUNCTION("""COMPUTED_VALUE"""),45124.0)</f>
        <v>45124</v>
      </c>
      <c r="P1039" s="45">
        <f>IFERROR(__xludf.DUMMYFUNCTION("""COMPUTED_VALUE"""),45166.0)</f>
        <v>45166</v>
      </c>
      <c r="Q1039" s="45">
        <f>IFERROR(__xludf.DUMMYFUNCTION("""COMPUTED_VALUE"""),45147.0)</f>
        <v>45147</v>
      </c>
      <c r="R1039" s="45">
        <f>IFERROR(__xludf.DUMMYFUNCTION("""COMPUTED_VALUE"""),45187.0)</f>
        <v>45187</v>
      </c>
      <c r="S1039" s="43"/>
      <c r="T1039" s="43"/>
      <c r="U1039" s="43" t="str">
        <f>IFERROR(__xludf.DUMMYFUNCTION("""COMPUTED_VALUE"""),"Fingerprint")</f>
        <v>Fingerprint</v>
      </c>
      <c r="V1039" s="43" t="str">
        <f>IFERROR(__xludf.DUMMYFUNCTION("""COMPUTED_VALUE"""),"AAST in Alexandria")</f>
        <v>AAST in Alexandria</v>
      </c>
      <c r="W1039" s="43" t="str">
        <f>IFERROR(__xludf.DUMMYFUNCTION("""COMPUTED_VALUE"""),"2023-03-05T21:57:38Z")</f>
        <v>2023-03-05T21:57:38Z</v>
      </c>
      <c r="X1039" s="43"/>
      <c r="Y1039" s="43"/>
      <c r="Z1039" s="43"/>
    </row>
    <row r="1040" hidden="1">
      <c r="A1040" s="43" t="str">
        <f>IFERROR(__xludf.DUMMYFUNCTION("""COMPUTED_VALUE"""),"5273085_1295453")</f>
        <v>5273085_1295453</v>
      </c>
      <c r="B1040" s="43" t="str">
        <f>IFERROR(__xludf.DUMMYFUNCTION("""COMPUTED_VALUE"""),"Raghav Narula")</f>
        <v>Raghav Narula</v>
      </c>
      <c r="C1040" s="43" t="str">
        <f>IFERROR(__xludf.DUMMYFUNCTION("""COMPUTED_VALUE"""),"approved")</f>
        <v>approved</v>
      </c>
      <c r="D1040" s="43" t="str">
        <f>IFERROR(__xludf.DUMMYFUNCTION("""COMPUTED_VALUE"""),"No")</f>
        <v>No</v>
      </c>
      <c r="E1040" s="43" t="str">
        <f>IFERROR(__xludf.DUMMYFUNCTION("""COMPUTED_VALUE"""),"p_9fd64457f8045a056d7b5246161ffdc30a67259a@inbound.aiesec.org")</f>
        <v>p_9fd64457f8045a056d7b5246161ffdc30a67259a@inbound.aiesec.org</v>
      </c>
      <c r="F1040" s="43">
        <f>IFERROR(__xludf.DUMMYFUNCTION("""COMPUTED_VALUE"""),9.9147091E9)</f>
        <v>9914709100</v>
      </c>
      <c r="G1040" s="43" t="str">
        <f>IFERROR(__xludf.DUMMYFUNCTION("""COMPUTED_VALUE"""),"India")</f>
        <v>India</v>
      </c>
      <c r="H1040" s="43" t="str">
        <f>IFERROR(__xludf.DUMMYFUNCTION("""COMPUTED_VALUE"""),"Ludhiana")</f>
        <v>Ludhiana</v>
      </c>
      <c r="I1040" s="43" t="str">
        <f>IFERROR(__xludf.DUMMYFUNCTION("""COMPUTED_VALUE"""),"Turkey")</f>
        <v>Turkey</v>
      </c>
      <c r="J1040" s="43" t="str">
        <f>IFERROR(__xludf.DUMMYFUNCTION("""COMPUTED_VALUE"""),"GAZIANTEP")</f>
        <v>GAZIANTEP</v>
      </c>
      <c r="K1040" s="44" t="str">
        <f>IFERROR(__xludf.DUMMYFUNCTION("""COMPUTED_VALUE"""),"https://expa.aiesec.org/opportunities/1295453")</f>
        <v>https://expa.aiesec.org/opportunities/1295453</v>
      </c>
      <c r="L1040" s="43" t="str">
        <f>IFERROR(__xludf.DUMMYFUNCTION("""COMPUTED_VALUE"""),"GV")</f>
        <v>GV</v>
      </c>
      <c r="M1040" s="43" t="str">
        <f>IFERROR(__xludf.DUMMYFUNCTION("""COMPUTED_VALUE"""),"short")</f>
        <v>short</v>
      </c>
      <c r="N1040" s="45">
        <f>IFERROR(__xludf.DUMMYFUNCTION("""COMPUTED_VALUE"""),45095.0)</f>
        <v>45095</v>
      </c>
      <c r="O1040" s="45">
        <f>IFERROR(__xludf.DUMMYFUNCTION("""COMPUTED_VALUE"""),45110.0)</f>
        <v>45110</v>
      </c>
      <c r="P1040" s="45">
        <f>IFERROR(__xludf.DUMMYFUNCTION("""COMPUTED_VALUE"""),45152.0)</f>
        <v>45152</v>
      </c>
      <c r="Q1040" s="45"/>
      <c r="R1040" s="45"/>
      <c r="S1040" s="43"/>
      <c r="T1040" s="43"/>
      <c r="U1040" s="43" t="str">
        <f>IFERROR(__xludf.DUMMYFUNCTION("""COMPUTED_VALUE"""),"Global Classroom")</f>
        <v>Global Classroom</v>
      </c>
      <c r="V1040" s="43" t="str">
        <f>IFERROR(__xludf.DUMMYFUNCTION("""COMPUTED_VALUE"""),"Ludhiana")</f>
        <v>Ludhiana</v>
      </c>
      <c r="W1040" s="43" t="str">
        <f>IFERROR(__xludf.DUMMYFUNCTION("""COMPUTED_VALUE"""),"2023-06-08T18:33:08Z")</f>
        <v>2023-06-08T18:33:08Z</v>
      </c>
      <c r="X1040" s="43"/>
      <c r="Y1040" s="43"/>
      <c r="Z1040" s="43"/>
    </row>
    <row r="1041" hidden="1">
      <c r="A1041" s="43" t="str">
        <f>IFERROR(__xludf.DUMMYFUNCTION("""COMPUTED_VALUE"""),"5275256_1287851")</f>
        <v>5275256_1287851</v>
      </c>
      <c r="B1041" s="43" t="str">
        <f>IFERROR(__xludf.DUMMYFUNCTION("""COMPUTED_VALUE"""),"Jonida Veliu")</f>
        <v>Jonida Veliu</v>
      </c>
      <c r="C1041" s="43" t="str">
        <f>IFERROR(__xludf.DUMMYFUNCTION("""COMPUTED_VALUE"""),"completed")</f>
        <v>completed</v>
      </c>
      <c r="D1041" s="43" t="str">
        <f>IFERROR(__xludf.DUMMYFUNCTION("""COMPUTED_VALUE"""),"No")</f>
        <v>No</v>
      </c>
      <c r="E1041" s="43" t="str">
        <f>IFERROR(__xludf.DUMMYFUNCTION("""COMPUTED_VALUE"""),"p_03e20d16827d27744965285148727c328630f46a@inbound.aiesec.org")</f>
        <v>p_03e20d16827d27744965285148727c328630f46a@inbound.aiesec.org</v>
      </c>
      <c r="F1041" s="43">
        <f>IFERROR(__xludf.DUMMYFUNCTION("""COMPUTED_VALUE"""),3.519442117E9)</f>
        <v>3519442117</v>
      </c>
      <c r="G1041" s="43" t="str">
        <f>IFERROR(__xludf.DUMMYFUNCTION("""COMPUTED_VALUE"""),"Italy")</f>
        <v>Italy</v>
      </c>
      <c r="H1041" s="43" t="str">
        <f>IFERROR(__xludf.DUMMYFUNCTION("""COMPUTED_VALUE"""),"Roma Sapienza")</f>
        <v>Roma Sapienza</v>
      </c>
      <c r="I1041" s="43" t="str">
        <f>IFERROR(__xludf.DUMMYFUNCTION("""COMPUTED_VALUE"""),"Turkey")</f>
        <v>Turkey</v>
      </c>
      <c r="J1041" s="43" t="str">
        <f>IFERROR(__xludf.DUMMYFUNCTION("""COMPUTED_VALUE"""),"KOCAELI")</f>
        <v>KOCAELI</v>
      </c>
      <c r="K1041" s="44" t="str">
        <f>IFERROR(__xludf.DUMMYFUNCTION("""COMPUTED_VALUE"""),"https://expa.aiesec.org/opportunities/1287851")</f>
        <v>https://expa.aiesec.org/opportunities/1287851</v>
      </c>
      <c r="L1041" s="43" t="str">
        <f>IFERROR(__xludf.DUMMYFUNCTION("""COMPUTED_VALUE"""),"GV")</f>
        <v>GV</v>
      </c>
      <c r="M1041" s="43" t="str">
        <f>IFERROR(__xludf.DUMMYFUNCTION("""COMPUTED_VALUE"""),"short")</f>
        <v>short</v>
      </c>
      <c r="N1041" s="45">
        <f>IFERROR(__xludf.DUMMYFUNCTION("""COMPUTED_VALUE"""),45095.0)</f>
        <v>45095</v>
      </c>
      <c r="O1041" s="45">
        <f>IFERROR(__xludf.DUMMYFUNCTION("""COMPUTED_VALUE"""),45179.0)</f>
        <v>45179</v>
      </c>
      <c r="P1041" s="45">
        <f>IFERROR(__xludf.DUMMYFUNCTION("""COMPUTED_VALUE"""),45221.0)</f>
        <v>45221</v>
      </c>
      <c r="Q1041" s="45">
        <f>IFERROR(__xludf.DUMMYFUNCTION("""COMPUTED_VALUE"""),45179.0)</f>
        <v>45179</v>
      </c>
      <c r="R1041" s="45">
        <f>IFERROR(__xludf.DUMMYFUNCTION("""COMPUTED_VALUE"""),45221.0)</f>
        <v>45221</v>
      </c>
      <c r="S1041" s="43"/>
      <c r="T1041" s="43"/>
      <c r="U1041" s="43" t="str">
        <f>IFERROR(__xludf.DUMMYFUNCTION("""COMPUTED_VALUE"""),"Heartbeat")</f>
        <v>Heartbeat</v>
      </c>
      <c r="V1041" s="43" t="str">
        <f>IFERROR(__xludf.DUMMYFUNCTION("""COMPUTED_VALUE"""),"-")</f>
        <v>-</v>
      </c>
      <c r="W1041" s="43" t="str">
        <f>IFERROR(__xludf.DUMMYFUNCTION("""COMPUTED_VALUE"""),"2023-06-14T14:18:02Z")</f>
        <v>2023-06-14T14:18:02Z</v>
      </c>
      <c r="X1041" s="43"/>
      <c r="Y1041" s="43"/>
      <c r="Z1041" s="43"/>
    </row>
    <row r="1042" hidden="1">
      <c r="A1042" s="43" t="str">
        <f>IFERROR(__xludf.DUMMYFUNCTION("""COMPUTED_VALUE"""),"5273702_1295830")</f>
        <v>5273702_1295830</v>
      </c>
      <c r="B1042" s="43" t="str">
        <f>IFERROR(__xludf.DUMMYFUNCTION("""COMPUTED_VALUE"""),"Sarah Makram")</f>
        <v>Sarah Makram</v>
      </c>
      <c r="C1042" s="43" t="str">
        <f>IFERROR(__xludf.DUMMYFUNCTION("""COMPUTED_VALUE"""),"approved")</f>
        <v>approved</v>
      </c>
      <c r="D1042" s="43" t="str">
        <f>IFERROR(__xludf.DUMMYFUNCTION("""COMPUTED_VALUE"""),"No")</f>
        <v>No</v>
      </c>
      <c r="E1042" s="43" t="str">
        <f>IFERROR(__xludf.DUMMYFUNCTION("""COMPUTED_VALUE"""),"p_4e7243c12a6942ee1bfbe6d2cf2640091cf2e47f@inbound.aiesec.org")</f>
        <v>p_4e7243c12a6942ee1bfbe6d2cf2640091cf2e47f@inbound.aiesec.org</v>
      </c>
      <c r="F1042" s="43">
        <f>IFERROR(__xludf.DUMMYFUNCTION("""COMPUTED_VALUE"""),1.009473883E9)</f>
        <v>1009473883</v>
      </c>
      <c r="G1042" s="43" t="str">
        <f>IFERROR(__xludf.DUMMYFUNCTION("""COMPUTED_VALUE"""),"Egypt")</f>
        <v>Egypt</v>
      </c>
      <c r="H1042" s="43" t="str">
        <f>IFERROR(__xludf.DUMMYFUNCTION("""COMPUTED_VALUE"""),"AAST Alexandria")</f>
        <v>AAST Alexandria</v>
      </c>
      <c r="I1042" s="43" t="str">
        <f>IFERROR(__xludf.DUMMYFUNCTION("""COMPUTED_VALUE"""),"Turkey")</f>
        <v>Turkey</v>
      </c>
      <c r="J1042" s="43" t="str">
        <f>IFERROR(__xludf.DUMMYFUNCTION("""COMPUTED_VALUE"""),"ANKARA")</f>
        <v>ANKARA</v>
      </c>
      <c r="K1042" s="44" t="str">
        <f>IFERROR(__xludf.DUMMYFUNCTION("""COMPUTED_VALUE"""),"https://expa.aiesec.org/opportunities/1295830")</f>
        <v>https://expa.aiesec.org/opportunities/1295830</v>
      </c>
      <c r="L1042" s="43" t="str">
        <f>IFERROR(__xludf.DUMMYFUNCTION("""COMPUTED_VALUE"""),"GV")</f>
        <v>GV</v>
      </c>
      <c r="M1042" s="43" t="str">
        <f>IFERROR(__xludf.DUMMYFUNCTION("""COMPUTED_VALUE"""),"short")</f>
        <v>short</v>
      </c>
      <c r="N1042" s="45">
        <f>IFERROR(__xludf.DUMMYFUNCTION("""COMPUTED_VALUE"""),45095.0)</f>
        <v>45095</v>
      </c>
      <c r="O1042" s="45">
        <f>IFERROR(__xludf.DUMMYFUNCTION("""COMPUTED_VALUE"""),45159.0)</f>
        <v>45159</v>
      </c>
      <c r="P1042" s="45">
        <f>IFERROR(__xludf.DUMMYFUNCTION("""COMPUTED_VALUE"""),45201.0)</f>
        <v>45201</v>
      </c>
      <c r="Q1042" s="45"/>
      <c r="R1042" s="45"/>
      <c r="S1042" s="43"/>
      <c r="T1042" s="43"/>
      <c r="U1042" s="43" t="str">
        <f>IFERROR(__xludf.DUMMYFUNCTION("""COMPUTED_VALUE"""),"Global Classroom")</f>
        <v>Global Classroom</v>
      </c>
      <c r="V1042" s="43" t="str">
        <f>IFERROR(__xludf.DUMMYFUNCTION("""COMPUTED_VALUE"""),"AAST in Alexandria")</f>
        <v>AAST in Alexandria</v>
      </c>
      <c r="W1042" s="43" t="str">
        <f>IFERROR(__xludf.DUMMYFUNCTION("""COMPUTED_VALUE"""),"2023-06-10T16:48:58Z")</f>
        <v>2023-06-10T16:48:58Z</v>
      </c>
      <c r="X1042" s="43"/>
      <c r="Y1042" s="43"/>
      <c r="Z1042" s="43"/>
    </row>
    <row r="1043" hidden="1">
      <c r="A1043" s="43" t="str">
        <f>IFERROR(__xludf.DUMMYFUNCTION("""COMPUTED_VALUE"""),"5273594_1295240")</f>
        <v>5273594_1295240</v>
      </c>
      <c r="B1043" s="43" t="str">
        <f>IFERROR(__xludf.DUMMYFUNCTION("""COMPUTED_VALUE"""),"Taya Savosh")</f>
        <v>Taya Savosh</v>
      </c>
      <c r="C1043" s="43" t="str">
        <f>IFERROR(__xludf.DUMMYFUNCTION("""COMPUTED_VALUE"""),"approved")</f>
        <v>approved</v>
      </c>
      <c r="D1043" s="43" t="str">
        <f>IFERROR(__xludf.DUMMYFUNCTION("""COMPUTED_VALUE"""),"No")</f>
        <v>No</v>
      </c>
      <c r="E1043" s="43" t="str">
        <f>IFERROR(__xludf.DUMMYFUNCTION("""COMPUTED_VALUE"""),"p_80c898d95a30b8dc1850c564d06128e4c47a97df@inbound.aiesec.org")</f>
        <v>p_80c898d95a30b8dc1850c564d06128e4c47a97df@inbound.aiesec.org</v>
      </c>
      <c r="F1043" s="43"/>
      <c r="G1043" s="43" t="str">
        <f>IFERROR(__xludf.DUMMYFUNCTION("""COMPUTED_VALUE"""),"Ukraine")</f>
        <v>Ukraine</v>
      </c>
      <c r="H1043" s="43" t="str">
        <f>IFERROR(__xludf.DUMMYFUNCTION("""COMPUTED_VALUE"""),"VINNYTSIA")</f>
        <v>VINNYTSIA</v>
      </c>
      <c r="I1043" s="43" t="str">
        <f>IFERROR(__xludf.DUMMYFUNCTION("""COMPUTED_VALUE"""),"Turkey")</f>
        <v>Turkey</v>
      </c>
      <c r="J1043" s="43" t="str">
        <f>IFERROR(__xludf.DUMMYFUNCTION("""COMPUTED_VALUE"""),"İZMİR")</f>
        <v>İZMİR</v>
      </c>
      <c r="K1043" s="44" t="str">
        <f>IFERROR(__xludf.DUMMYFUNCTION("""COMPUTED_VALUE"""),"https://expa.aiesec.org/opportunities/1295240")</f>
        <v>https://expa.aiesec.org/opportunities/1295240</v>
      </c>
      <c r="L1043" s="43" t="str">
        <f>IFERROR(__xludf.DUMMYFUNCTION("""COMPUTED_VALUE"""),"GV")</f>
        <v>GV</v>
      </c>
      <c r="M1043" s="43" t="str">
        <f>IFERROR(__xludf.DUMMYFUNCTION("""COMPUTED_VALUE"""),"short")</f>
        <v>short</v>
      </c>
      <c r="N1043" s="45">
        <f>IFERROR(__xludf.DUMMYFUNCTION("""COMPUTED_VALUE"""),45095.0)</f>
        <v>45095</v>
      </c>
      <c r="O1043" s="45">
        <f>IFERROR(__xludf.DUMMYFUNCTION("""COMPUTED_VALUE"""),45152.0)</f>
        <v>45152</v>
      </c>
      <c r="P1043" s="45">
        <f>IFERROR(__xludf.DUMMYFUNCTION("""COMPUTED_VALUE"""),45194.0)</f>
        <v>45194</v>
      </c>
      <c r="Q1043" s="45"/>
      <c r="R1043" s="45"/>
      <c r="S1043" s="43"/>
      <c r="T1043" s="43"/>
      <c r="U1043" s="43" t="str">
        <f>IFERROR(__xludf.DUMMYFUNCTION("""COMPUTED_VALUE"""),"Fingerprint")</f>
        <v>Fingerprint</v>
      </c>
      <c r="V1043" s="43" t="str">
        <f>IFERROR(__xludf.DUMMYFUNCTION("""COMPUTED_VALUE"""),"-")</f>
        <v>-</v>
      </c>
      <c r="W1043" s="43" t="str">
        <f>IFERROR(__xludf.DUMMYFUNCTION("""COMPUTED_VALUE"""),"2023-06-10T09:41:14Z")</f>
        <v>2023-06-10T09:41:14Z</v>
      </c>
      <c r="X1043" s="43"/>
      <c r="Y1043" s="43"/>
      <c r="Z1043" s="43"/>
    </row>
    <row r="1044" hidden="1">
      <c r="A1044" s="43" t="str">
        <f>IFERROR(__xludf.DUMMYFUNCTION("""COMPUTED_VALUE"""),"3073398_1294452")</f>
        <v>3073398_1294452</v>
      </c>
      <c r="B1044" s="43" t="str">
        <f>IFERROR(__xludf.DUMMYFUNCTION("""COMPUTED_VALUE"""),"Zimra Razzak")</f>
        <v>Zimra Razzak</v>
      </c>
      <c r="C1044" s="43" t="str">
        <f>IFERROR(__xludf.DUMMYFUNCTION("""COMPUTED_VALUE"""),"finished")</f>
        <v>finished</v>
      </c>
      <c r="D1044" s="43" t="str">
        <f>IFERROR(__xludf.DUMMYFUNCTION("""COMPUTED_VALUE"""),"No")</f>
        <v>No</v>
      </c>
      <c r="E1044" s="43" t="str">
        <f>IFERROR(__xludf.DUMMYFUNCTION("""COMPUTED_VALUE"""),"p_6e5a150b1fc2882d7d0158aae4c215d8963735c0@inbound.aiesec.org")</f>
        <v>p_6e5a150b1fc2882d7d0158aae4c215d8963735c0@inbound.aiesec.org</v>
      </c>
      <c r="F1044" s="43">
        <f>IFERROR(__xludf.DUMMYFUNCTION("""COMPUTED_VALUE"""),3.335428333E9)</f>
        <v>3335428333</v>
      </c>
      <c r="G1044" s="43" t="str">
        <f>IFERROR(__xludf.DUMMYFUNCTION("""COMPUTED_VALUE"""),"Pakistan")</f>
        <v>Pakistan</v>
      </c>
      <c r="H1044" s="43" t="str">
        <f>IFERROR(__xludf.DUMMYFUNCTION("""COMPUTED_VALUE"""),"NUST")</f>
        <v>NUST</v>
      </c>
      <c r="I1044" s="43" t="str">
        <f>IFERROR(__xludf.DUMMYFUNCTION("""COMPUTED_VALUE"""),"Turkey")</f>
        <v>Turkey</v>
      </c>
      <c r="J1044" s="43" t="str">
        <f>IFERROR(__xludf.DUMMYFUNCTION("""COMPUTED_VALUE"""),"ESKISEHIR")</f>
        <v>ESKISEHIR</v>
      </c>
      <c r="K1044" s="44" t="str">
        <f>IFERROR(__xludf.DUMMYFUNCTION("""COMPUTED_VALUE"""),"https://expa.aiesec.org/opportunities/1294452")</f>
        <v>https://expa.aiesec.org/opportunities/1294452</v>
      </c>
      <c r="L1044" s="43" t="str">
        <f>IFERROR(__xludf.DUMMYFUNCTION("""COMPUTED_VALUE"""),"GV")</f>
        <v>GV</v>
      </c>
      <c r="M1044" s="43" t="str">
        <f>IFERROR(__xludf.DUMMYFUNCTION("""COMPUTED_VALUE"""),"short")</f>
        <v>short</v>
      </c>
      <c r="N1044" s="45">
        <f>IFERROR(__xludf.DUMMYFUNCTION("""COMPUTED_VALUE"""),45095.0)</f>
        <v>45095</v>
      </c>
      <c r="O1044" s="45">
        <f>IFERROR(__xludf.DUMMYFUNCTION("""COMPUTED_VALUE"""),45152.0)</f>
        <v>45152</v>
      </c>
      <c r="P1044" s="45">
        <f>IFERROR(__xludf.DUMMYFUNCTION("""COMPUTED_VALUE"""),45194.0)</f>
        <v>45194</v>
      </c>
      <c r="Q1044" s="45">
        <f>IFERROR(__xludf.DUMMYFUNCTION("""COMPUTED_VALUE"""),45153.0)</f>
        <v>45153</v>
      </c>
      <c r="R1044" s="45">
        <f>IFERROR(__xludf.DUMMYFUNCTION("""COMPUTED_VALUE"""),45194.0)</f>
        <v>45194</v>
      </c>
      <c r="S1044" s="43"/>
      <c r="T1044" s="43"/>
      <c r="U1044" s="43" t="str">
        <f>IFERROR(__xludf.DUMMYFUNCTION("""COMPUTED_VALUE"""),"On The Map")</f>
        <v>On The Map</v>
      </c>
      <c r="V1044" s="43" t="str">
        <f>IFERROR(__xludf.DUMMYFUNCTION("""COMPUTED_VALUE"""),"Islamabad - NUST (H-12)")</f>
        <v>Islamabad - NUST (H-12)</v>
      </c>
      <c r="W1044" s="43" t="str">
        <f>IFERROR(__xludf.DUMMYFUNCTION("""COMPUTED_VALUE"""),"2019-02-12T15:07:23Z")</f>
        <v>2019-02-12T15:07:23Z</v>
      </c>
      <c r="X1044" s="43"/>
      <c r="Y1044" s="43"/>
      <c r="Z1044" s="43"/>
    </row>
    <row r="1045" hidden="1">
      <c r="A1045" s="43" t="str">
        <f>IFERROR(__xludf.DUMMYFUNCTION("""COMPUTED_VALUE"""),"5277073_1279126")</f>
        <v>5277073_1279126</v>
      </c>
      <c r="B1045" s="43" t="str">
        <f>IFERROR(__xludf.DUMMYFUNCTION("""COMPUTED_VALUE"""),"Bassem Ben Khmais")</f>
        <v>Bassem Ben Khmais</v>
      </c>
      <c r="C1045" s="43" t="str">
        <f>IFERROR(__xludf.DUMMYFUNCTION("""COMPUTED_VALUE"""),"completed")</f>
        <v>completed</v>
      </c>
      <c r="D1045" s="43" t="str">
        <f>IFERROR(__xludf.DUMMYFUNCTION("""COMPUTED_VALUE"""),"No")</f>
        <v>No</v>
      </c>
      <c r="E1045" s="43" t="str">
        <f>IFERROR(__xludf.DUMMYFUNCTION("""COMPUTED_VALUE"""),"p_8ebe74997a210c5a8c16628ce58d3b198f3aba6d@inbound.aiesec.org")</f>
        <v>p_8ebe74997a210c5a8c16628ce58d3b198f3aba6d@inbound.aiesec.org</v>
      </c>
      <c r="F1045" s="43">
        <f>IFERROR(__xludf.DUMMYFUNCTION("""COMPUTED_VALUE"""),4.6323711E7)</f>
        <v>46323711</v>
      </c>
      <c r="G1045" s="43" t="str">
        <f>IFERROR(__xludf.DUMMYFUNCTION("""COMPUTED_VALUE"""),"Tunisia")</f>
        <v>Tunisia</v>
      </c>
      <c r="H1045" s="43" t="str">
        <f>IFERROR(__xludf.DUMMYFUNCTION("""COMPUTED_VALUE"""),"NABEL")</f>
        <v>NABEL</v>
      </c>
      <c r="I1045" s="43" t="str">
        <f>IFERROR(__xludf.DUMMYFUNCTION("""COMPUTED_VALUE"""),"Turkey")</f>
        <v>Turkey</v>
      </c>
      <c r="J1045" s="43" t="str">
        <f>IFERROR(__xludf.DUMMYFUNCTION("""COMPUTED_VALUE"""),"KOCAELI")</f>
        <v>KOCAELI</v>
      </c>
      <c r="K1045" s="44" t="str">
        <f>IFERROR(__xludf.DUMMYFUNCTION("""COMPUTED_VALUE"""),"https://expa.aiesec.org/opportunities/1279126")</f>
        <v>https://expa.aiesec.org/opportunities/1279126</v>
      </c>
      <c r="L1045" s="43" t="str">
        <f>IFERROR(__xludf.DUMMYFUNCTION("""COMPUTED_VALUE"""),"GV")</f>
        <v>GV</v>
      </c>
      <c r="M1045" s="43" t="str">
        <f>IFERROR(__xludf.DUMMYFUNCTION("""COMPUTED_VALUE"""),"short")</f>
        <v>short</v>
      </c>
      <c r="N1045" s="45">
        <f>IFERROR(__xludf.DUMMYFUNCTION("""COMPUTED_VALUE"""),45096.0)</f>
        <v>45096</v>
      </c>
      <c r="O1045" s="45">
        <f>IFERROR(__xludf.DUMMYFUNCTION("""COMPUTED_VALUE"""),45110.0)</f>
        <v>45110</v>
      </c>
      <c r="P1045" s="45">
        <f>IFERROR(__xludf.DUMMYFUNCTION("""COMPUTED_VALUE"""),45152.0)</f>
        <v>45152</v>
      </c>
      <c r="Q1045" s="45">
        <f>IFERROR(__xludf.DUMMYFUNCTION("""COMPUTED_VALUE"""),45110.0)</f>
        <v>45110</v>
      </c>
      <c r="R1045" s="45">
        <f>IFERROR(__xludf.DUMMYFUNCTION("""COMPUTED_VALUE"""),45152.0)</f>
        <v>45152</v>
      </c>
      <c r="S1045" s="43"/>
      <c r="T1045" s="43"/>
      <c r="U1045" s="43" t="str">
        <f>IFERROR(__xludf.DUMMYFUNCTION("""COMPUTED_VALUE"""),"Global Classroom")</f>
        <v>Global Classroom</v>
      </c>
      <c r="V1045" s="43" t="str">
        <f>IFERROR(__xludf.DUMMYFUNCTION("""COMPUTED_VALUE"""),"ISET Nabel")</f>
        <v>ISET Nabel</v>
      </c>
      <c r="W1045" s="43" t="str">
        <f>IFERROR(__xludf.DUMMYFUNCTION("""COMPUTED_VALUE"""),"2023-06-19T13:48:23Z")</f>
        <v>2023-06-19T13:48:23Z</v>
      </c>
      <c r="X1045" s="43"/>
      <c r="Y1045" s="43"/>
      <c r="Z1045" s="43"/>
    </row>
    <row r="1046" hidden="1">
      <c r="A1046" s="43" t="str">
        <f>IFERROR(__xludf.DUMMYFUNCTION("""COMPUTED_VALUE"""),"5262025_1296115")</f>
        <v>5262025_1296115</v>
      </c>
      <c r="B1046" s="43" t="str">
        <f>IFERROR(__xludf.DUMMYFUNCTION("""COMPUTED_VALUE"""),"Mariam Gaddour")</f>
        <v>Mariam Gaddour</v>
      </c>
      <c r="C1046" s="43" t="str">
        <f>IFERROR(__xludf.DUMMYFUNCTION("""COMPUTED_VALUE"""),"completed")</f>
        <v>completed</v>
      </c>
      <c r="D1046" s="43" t="str">
        <f>IFERROR(__xludf.DUMMYFUNCTION("""COMPUTED_VALUE"""),"No")</f>
        <v>No</v>
      </c>
      <c r="E1046" s="43" t="str">
        <f>IFERROR(__xludf.DUMMYFUNCTION("""COMPUTED_VALUE"""),"p_0f4318babae7cdbb488b97ee14d3c27b4955b9ad@inbound.aiesec.org")</f>
        <v>p_0f4318babae7cdbb488b97ee14d3c27b4955b9ad@inbound.aiesec.org</v>
      </c>
      <c r="F1046" s="43">
        <f>IFERROR(__xludf.DUMMYFUNCTION("""COMPUTED_VALUE"""),5.4615948E7)</f>
        <v>54615948</v>
      </c>
      <c r="G1046" s="43" t="str">
        <f>IFERROR(__xludf.DUMMYFUNCTION("""COMPUTED_VALUE"""),"Tunisia")</f>
        <v>Tunisia</v>
      </c>
      <c r="H1046" s="43" t="str">
        <f>IFERROR(__xludf.DUMMYFUNCTION("""COMPUTED_VALUE"""),"UNIVERSITY")</f>
        <v>UNIVERSITY</v>
      </c>
      <c r="I1046" s="43" t="str">
        <f>IFERROR(__xludf.DUMMYFUNCTION("""COMPUTED_VALUE"""),"Turkey")</f>
        <v>Turkey</v>
      </c>
      <c r="J1046" s="43" t="str">
        <f>IFERROR(__xludf.DUMMYFUNCTION("""COMPUTED_VALUE"""),"ISTANBUL ASIA")</f>
        <v>ISTANBUL ASIA</v>
      </c>
      <c r="K1046" s="44" t="str">
        <f>IFERROR(__xludf.DUMMYFUNCTION("""COMPUTED_VALUE"""),"https://expa.aiesec.org/opportunities/1296115")</f>
        <v>https://expa.aiesec.org/opportunities/1296115</v>
      </c>
      <c r="L1046" s="43" t="str">
        <f>IFERROR(__xludf.DUMMYFUNCTION("""COMPUTED_VALUE"""),"GV")</f>
        <v>GV</v>
      </c>
      <c r="M1046" s="43" t="str">
        <f>IFERROR(__xludf.DUMMYFUNCTION("""COMPUTED_VALUE"""),"short")</f>
        <v>short</v>
      </c>
      <c r="N1046" s="45">
        <f>IFERROR(__xludf.DUMMYFUNCTION("""COMPUTED_VALUE"""),45096.0)</f>
        <v>45096</v>
      </c>
      <c r="O1046" s="45">
        <f>IFERROR(__xludf.DUMMYFUNCTION("""COMPUTED_VALUE"""),45107.0)</f>
        <v>45107</v>
      </c>
      <c r="P1046" s="45">
        <f>IFERROR(__xludf.DUMMYFUNCTION("""COMPUTED_VALUE"""),45156.0)</f>
        <v>45156</v>
      </c>
      <c r="Q1046" s="45">
        <f>IFERROR(__xludf.DUMMYFUNCTION("""COMPUTED_VALUE"""),45113.0)</f>
        <v>45113</v>
      </c>
      <c r="R1046" s="45">
        <f>IFERROR(__xludf.DUMMYFUNCTION("""COMPUTED_VALUE"""),45162.0)</f>
        <v>45162</v>
      </c>
      <c r="S1046" s="43"/>
      <c r="T1046" s="43"/>
      <c r="U1046" s="43" t="str">
        <f>IFERROR(__xludf.DUMMYFUNCTION("""COMPUTED_VALUE"""),"Explorer")</f>
        <v>Explorer</v>
      </c>
      <c r="V1046" s="43" t="str">
        <f>IFERROR(__xludf.DUMMYFUNCTION("""COMPUTED_VALUE"""),"FSEGT")</f>
        <v>FSEGT</v>
      </c>
      <c r="W1046" s="43" t="str">
        <f>IFERROR(__xludf.DUMMYFUNCTION("""COMPUTED_VALUE"""),"2023-05-16T17:41:14Z")</f>
        <v>2023-05-16T17:41:14Z</v>
      </c>
      <c r="X1046" s="43"/>
      <c r="Y1046" s="43"/>
      <c r="Z1046" s="43"/>
    </row>
    <row r="1047" hidden="1">
      <c r="A1047" s="43" t="str">
        <f>IFERROR(__xludf.DUMMYFUNCTION("""COMPUTED_VALUE"""),"4986021_1294387")</f>
        <v>4986021_1294387</v>
      </c>
      <c r="B1047" s="43" t="str">
        <f>IFERROR(__xludf.DUMMYFUNCTION("""COMPUTED_VALUE"""),"Islem Raissi")</f>
        <v>Islem Raissi</v>
      </c>
      <c r="C1047" s="43" t="str">
        <f>IFERROR(__xludf.DUMMYFUNCTION("""COMPUTED_VALUE"""),"completed")</f>
        <v>completed</v>
      </c>
      <c r="D1047" s="43" t="str">
        <f>IFERROR(__xludf.DUMMYFUNCTION("""COMPUTED_VALUE"""),"No")</f>
        <v>No</v>
      </c>
      <c r="E1047" s="43" t="str">
        <f>IFERROR(__xludf.DUMMYFUNCTION("""COMPUTED_VALUE"""),"p_2db4a5a4acc915742f8c94ff68d2582f1ceb32b7@inbound.aiesec.org")</f>
        <v>p_2db4a5a4acc915742f8c94ff68d2582f1ceb32b7@inbound.aiesec.org</v>
      </c>
      <c r="F1047" s="43">
        <f>IFERROR(__xludf.DUMMYFUNCTION("""COMPUTED_VALUE"""),9.0102922E7)</f>
        <v>90102922</v>
      </c>
      <c r="G1047" s="43" t="str">
        <f>IFERROR(__xludf.DUMMYFUNCTION("""COMPUTED_VALUE"""),"Tunisia")</f>
        <v>Tunisia</v>
      </c>
      <c r="H1047" s="43" t="str">
        <f>IFERROR(__xludf.DUMMYFUNCTION("""COMPUTED_VALUE"""),"UNIVERSITY")</f>
        <v>UNIVERSITY</v>
      </c>
      <c r="I1047" s="43" t="str">
        <f>IFERROR(__xludf.DUMMYFUNCTION("""COMPUTED_VALUE"""),"Turkey")</f>
        <v>Turkey</v>
      </c>
      <c r="J1047" s="43" t="str">
        <f>IFERROR(__xludf.DUMMYFUNCTION("""COMPUTED_VALUE"""),"BURSA")</f>
        <v>BURSA</v>
      </c>
      <c r="K1047" s="44" t="str">
        <f>IFERROR(__xludf.DUMMYFUNCTION("""COMPUTED_VALUE"""),"https://expa.aiesec.org/opportunities/1294387")</f>
        <v>https://expa.aiesec.org/opportunities/1294387</v>
      </c>
      <c r="L1047" s="43" t="str">
        <f>IFERROR(__xludf.DUMMYFUNCTION("""COMPUTED_VALUE"""),"GV")</f>
        <v>GV</v>
      </c>
      <c r="M1047" s="43" t="str">
        <f>IFERROR(__xludf.DUMMYFUNCTION("""COMPUTED_VALUE"""),"short")</f>
        <v>short</v>
      </c>
      <c r="N1047" s="45">
        <f>IFERROR(__xludf.DUMMYFUNCTION("""COMPUTED_VALUE"""),45096.0)</f>
        <v>45096</v>
      </c>
      <c r="O1047" s="45">
        <f>IFERROR(__xludf.DUMMYFUNCTION("""COMPUTED_VALUE"""),45110.0)</f>
        <v>45110</v>
      </c>
      <c r="P1047" s="45">
        <f>IFERROR(__xludf.DUMMYFUNCTION("""COMPUTED_VALUE"""),45152.0)</f>
        <v>45152</v>
      </c>
      <c r="Q1047" s="45">
        <f>IFERROR(__xludf.DUMMYFUNCTION("""COMPUTED_VALUE"""),45109.0)</f>
        <v>45109</v>
      </c>
      <c r="R1047" s="45">
        <f>IFERROR(__xludf.DUMMYFUNCTION("""COMPUTED_VALUE"""),45152.0)</f>
        <v>45152</v>
      </c>
      <c r="S1047" s="43"/>
      <c r="T1047" s="43"/>
      <c r="U1047" s="43" t="str">
        <f>IFERROR(__xludf.DUMMYFUNCTION("""COMPUTED_VALUE"""),"Youth 4 Impact")</f>
        <v>Youth 4 Impact</v>
      </c>
      <c r="V1047" s="43" t="str">
        <f>IFERROR(__xludf.DUMMYFUNCTION("""COMPUTED_VALUE"""),"ISI Tunis")</f>
        <v>ISI Tunis</v>
      </c>
      <c r="W1047" s="43" t="str">
        <f>IFERROR(__xludf.DUMMYFUNCTION("""COMPUTED_VALUE"""),"2022-03-15T21:19:27Z")</f>
        <v>2022-03-15T21:19:27Z</v>
      </c>
      <c r="X1047" s="43"/>
      <c r="Y1047" s="43"/>
      <c r="Z1047" s="43"/>
    </row>
    <row r="1048" hidden="1">
      <c r="A1048" s="43" t="str">
        <f>IFERROR(__xludf.DUMMYFUNCTION("""COMPUTED_VALUE"""),"1705773_1294372")</f>
        <v>1705773_1294372</v>
      </c>
      <c r="B1048" s="43" t="str">
        <f>IFERROR(__xludf.DUMMYFUNCTION("""COMPUTED_VALUE"""),"Usama Farooq")</f>
        <v>Usama Farooq</v>
      </c>
      <c r="C1048" s="43" t="str">
        <f>IFERROR(__xludf.DUMMYFUNCTION("""COMPUTED_VALUE"""),"approved")</f>
        <v>approved</v>
      </c>
      <c r="D1048" s="43" t="str">
        <f>IFERROR(__xludf.DUMMYFUNCTION("""COMPUTED_VALUE"""),"No")</f>
        <v>No</v>
      </c>
      <c r="E1048" s="43" t="str">
        <f>IFERROR(__xludf.DUMMYFUNCTION("""COMPUTED_VALUE"""),"p_fdb05f13e3856f3bd38104d6a6ffd1dff6e57a0d@inbound.aiesec.org")</f>
        <v>p_fdb05f13e3856f3bd38104d6a6ffd1dff6e57a0d@inbound.aiesec.org</v>
      </c>
      <c r="F1048" s="43">
        <f>IFERROR(__xludf.DUMMYFUNCTION("""COMPUTED_VALUE"""),3.024733534E9)</f>
        <v>3024733534</v>
      </c>
      <c r="G1048" s="43" t="str">
        <f>IFERROR(__xludf.DUMMYFUNCTION("""COMPUTED_VALUE"""),"Pakistan")</f>
        <v>Pakistan</v>
      </c>
      <c r="H1048" s="43" t="str">
        <f>IFERROR(__xludf.DUMMYFUNCTION("""COMPUTED_VALUE"""),"Islamabad")</f>
        <v>Islamabad</v>
      </c>
      <c r="I1048" s="43" t="str">
        <f>IFERROR(__xludf.DUMMYFUNCTION("""COMPUTED_VALUE"""),"Turkey")</f>
        <v>Turkey</v>
      </c>
      <c r="J1048" s="43" t="str">
        <f>IFERROR(__xludf.DUMMYFUNCTION("""COMPUTED_VALUE"""),"ANKARA")</f>
        <v>ANKARA</v>
      </c>
      <c r="K1048" s="44" t="str">
        <f>IFERROR(__xludf.DUMMYFUNCTION("""COMPUTED_VALUE"""),"https://expa.aiesec.org/opportunities/1294372")</f>
        <v>https://expa.aiesec.org/opportunities/1294372</v>
      </c>
      <c r="L1048" s="43" t="str">
        <f>IFERROR(__xludf.DUMMYFUNCTION("""COMPUTED_VALUE"""),"GV")</f>
        <v>GV</v>
      </c>
      <c r="M1048" s="43" t="str">
        <f>IFERROR(__xludf.DUMMYFUNCTION("""COMPUTED_VALUE"""),"short")</f>
        <v>short</v>
      </c>
      <c r="N1048" s="45">
        <f>IFERROR(__xludf.DUMMYFUNCTION("""COMPUTED_VALUE"""),45096.0)</f>
        <v>45096</v>
      </c>
      <c r="O1048" s="45">
        <f>IFERROR(__xludf.DUMMYFUNCTION("""COMPUTED_VALUE"""),45110.0)</f>
        <v>45110</v>
      </c>
      <c r="P1048" s="45">
        <f>IFERROR(__xludf.DUMMYFUNCTION("""COMPUTED_VALUE"""),45152.0)</f>
        <v>45152</v>
      </c>
      <c r="Q1048" s="45"/>
      <c r="R1048" s="45"/>
      <c r="S1048" s="43"/>
      <c r="T1048" s="43"/>
      <c r="U1048" s="43" t="str">
        <f>IFERROR(__xludf.DUMMYFUNCTION("""COMPUTED_VALUE"""),"Global Classroom")</f>
        <v>Global Classroom</v>
      </c>
      <c r="V1048" s="43" t="str">
        <f>IFERROR(__xludf.DUMMYFUNCTION("""COMPUTED_VALUE"""),"-")</f>
        <v>-</v>
      </c>
      <c r="W1048" s="43" t="str">
        <f>IFERROR(__xludf.DUMMYFUNCTION("""COMPUTED_VALUE"""),"2017-08-25T16:41:32Z")</f>
        <v>2017-08-25T16:41:32Z</v>
      </c>
      <c r="X1048" s="43"/>
      <c r="Y1048" s="43"/>
      <c r="Z1048" s="43"/>
    </row>
    <row r="1049" hidden="1">
      <c r="A1049" s="43" t="str">
        <f>IFERROR(__xludf.DUMMYFUNCTION("""COMPUTED_VALUE"""),"5261484_1296101")</f>
        <v>5261484_1296101</v>
      </c>
      <c r="B1049" s="43" t="str">
        <f>IFERROR(__xludf.DUMMYFUNCTION("""COMPUTED_VALUE"""),"Nouran Osama")</f>
        <v>Nouran Osama</v>
      </c>
      <c r="C1049" s="43" t="str">
        <f>IFERROR(__xludf.DUMMYFUNCTION("""COMPUTED_VALUE"""),"approved")</f>
        <v>approved</v>
      </c>
      <c r="D1049" s="43" t="str">
        <f>IFERROR(__xludf.DUMMYFUNCTION("""COMPUTED_VALUE"""),"No")</f>
        <v>No</v>
      </c>
      <c r="E1049" s="43" t="str">
        <f>IFERROR(__xludf.DUMMYFUNCTION("""COMPUTED_VALUE"""),"p_19f8c5d88e4494dc23243a18c5ac0310347e7b64@inbound.aiesec.org")</f>
        <v>p_19f8c5d88e4494dc23243a18c5ac0310347e7b64@inbound.aiesec.org</v>
      </c>
      <c r="F1049" s="43">
        <f>IFERROR(__xludf.DUMMYFUNCTION("""COMPUTED_VALUE"""),1.093169849E9)</f>
        <v>1093169849</v>
      </c>
      <c r="G1049" s="43" t="str">
        <f>IFERROR(__xludf.DUMMYFUNCTION("""COMPUTED_VALUE"""),"Egypt")</f>
        <v>Egypt</v>
      </c>
      <c r="H1049" s="43" t="str">
        <f>IFERROR(__xludf.DUMMYFUNCTION("""COMPUTED_VALUE"""),"Cairo University")</f>
        <v>Cairo University</v>
      </c>
      <c r="I1049" s="43" t="str">
        <f>IFERROR(__xludf.DUMMYFUNCTION("""COMPUTED_VALUE"""),"Turkey")</f>
        <v>Turkey</v>
      </c>
      <c r="J1049" s="43" t="str">
        <f>IFERROR(__xludf.DUMMYFUNCTION("""COMPUTED_VALUE"""),"ANKARA")</f>
        <v>ANKARA</v>
      </c>
      <c r="K1049" s="44" t="str">
        <f>IFERROR(__xludf.DUMMYFUNCTION("""COMPUTED_VALUE"""),"https://expa.aiesec.org/opportunities/1296101")</f>
        <v>https://expa.aiesec.org/opportunities/1296101</v>
      </c>
      <c r="L1049" s="43" t="str">
        <f>IFERROR(__xludf.DUMMYFUNCTION("""COMPUTED_VALUE"""),"GV")</f>
        <v>GV</v>
      </c>
      <c r="M1049" s="43" t="str">
        <f>IFERROR(__xludf.DUMMYFUNCTION("""COMPUTED_VALUE"""),"short")</f>
        <v>short</v>
      </c>
      <c r="N1049" s="45">
        <f>IFERROR(__xludf.DUMMYFUNCTION("""COMPUTED_VALUE"""),45096.0)</f>
        <v>45096</v>
      </c>
      <c r="O1049" s="45">
        <f>IFERROR(__xludf.DUMMYFUNCTION("""COMPUTED_VALUE"""),45166.0)</f>
        <v>45166</v>
      </c>
      <c r="P1049" s="45">
        <f>IFERROR(__xludf.DUMMYFUNCTION("""COMPUTED_VALUE"""),45208.0)</f>
        <v>45208</v>
      </c>
      <c r="Q1049" s="45"/>
      <c r="R1049" s="45"/>
      <c r="S1049" s="43"/>
      <c r="T1049" s="43"/>
      <c r="U1049" s="43" t="str">
        <f>IFERROR(__xludf.DUMMYFUNCTION("""COMPUTED_VALUE"""),"Fingerprint")</f>
        <v>Fingerprint</v>
      </c>
      <c r="V1049" s="43" t="str">
        <f>IFERROR(__xludf.DUMMYFUNCTION("""COMPUTED_VALUE"""),"Cairo Univeristy")</f>
        <v>Cairo Univeristy</v>
      </c>
      <c r="W1049" s="43" t="str">
        <f>IFERROR(__xludf.DUMMYFUNCTION("""COMPUTED_VALUE"""),"2023-05-15T16:49:28Z")</f>
        <v>2023-05-15T16:49:28Z</v>
      </c>
      <c r="X1049" s="43"/>
      <c r="Y1049" s="43"/>
      <c r="Z1049" s="43"/>
    </row>
    <row r="1050" hidden="1">
      <c r="A1050" s="43" t="str">
        <f>IFERROR(__xludf.DUMMYFUNCTION("""COMPUTED_VALUE"""),"5184890_1293726")</f>
        <v>5184890_1293726</v>
      </c>
      <c r="B1050" s="43" t="str">
        <f>IFERROR(__xludf.DUMMYFUNCTION("""COMPUTED_VALUE"""),"Youssef Benarbia")</f>
        <v>Youssef Benarbia</v>
      </c>
      <c r="C1050" s="43" t="str">
        <f>IFERROR(__xludf.DUMMYFUNCTION("""COMPUTED_VALUE"""),"completed")</f>
        <v>completed</v>
      </c>
      <c r="D1050" s="43" t="str">
        <f>IFERROR(__xludf.DUMMYFUNCTION("""COMPUTED_VALUE"""),"No")</f>
        <v>No</v>
      </c>
      <c r="E1050" s="43" t="str">
        <f>IFERROR(__xludf.DUMMYFUNCTION("""COMPUTED_VALUE"""),"p_57997e749933fbf3d2a4ba7cc86498681071efcc@inbound.aiesec.org")</f>
        <v>p_57997e749933fbf3d2a4ba7cc86498681071efcc@inbound.aiesec.org</v>
      </c>
      <c r="F1050" s="43">
        <f>IFERROR(__xludf.DUMMYFUNCTION("""COMPUTED_VALUE"""),5.506061E7)</f>
        <v>55060610</v>
      </c>
      <c r="G1050" s="43" t="str">
        <f>IFERROR(__xludf.DUMMYFUNCTION("""COMPUTED_VALUE"""),"Tunisia")</f>
        <v>Tunisia</v>
      </c>
      <c r="H1050" s="43" t="str">
        <f>IFERROR(__xludf.DUMMYFUNCTION("""COMPUTED_VALUE"""),"NABEL")</f>
        <v>NABEL</v>
      </c>
      <c r="I1050" s="43" t="str">
        <f>IFERROR(__xludf.DUMMYFUNCTION("""COMPUTED_VALUE"""),"Turkey")</f>
        <v>Turkey</v>
      </c>
      <c r="J1050" s="43" t="str">
        <f>IFERROR(__xludf.DUMMYFUNCTION("""COMPUTED_VALUE"""),"DENIZLI")</f>
        <v>DENIZLI</v>
      </c>
      <c r="K1050" s="44" t="str">
        <f>IFERROR(__xludf.DUMMYFUNCTION("""COMPUTED_VALUE"""),"https://expa.aiesec.org/opportunities/1293726")</f>
        <v>https://expa.aiesec.org/opportunities/1293726</v>
      </c>
      <c r="L1050" s="43" t="str">
        <f>IFERROR(__xludf.DUMMYFUNCTION("""COMPUTED_VALUE"""),"GV")</f>
        <v>GV</v>
      </c>
      <c r="M1050" s="43" t="str">
        <f>IFERROR(__xludf.DUMMYFUNCTION("""COMPUTED_VALUE"""),"short")</f>
        <v>short</v>
      </c>
      <c r="N1050" s="45">
        <f>IFERROR(__xludf.DUMMYFUNCTION("""COMPUTED_VALUE"""),45096.0)</f>
        <v>45096</v>
      </c>
      <c r="O1050" s="45">
        <f>IFERROR(__xludf.DUMMYFUNCTION("""COMPUTED_VALUE"""),45110.0)</f>
        <v>45110</v>
      </c>
      <c r="P1050" s="45">
        <f>IFERROR(__xludf.DUMMYFUNCTION("""COMPUTED_VALUE"""),45152.0)</f>
        <v>45152</v>
      </c>
      <c r="Q1050" s="45">
        <f>IFERROR(__xludf.DUMMYFUNCTION("""COMPUTED_VALUE"""),45110.0)</f>
        <v>45110</v>
      </c>
      <c r="R1050" s="45">
        <f>IFERROR(__xludf.DUMMYFUNCTION("""COMPUTED_VALUE"""),45152.0)</f>
        <v>45152</v>
      </c>
      <c r="S1050" s="43"/>
      <c r="T1050" s="43"/>
      <c r="U1050" s="43" t="str">
        <f>IFERROR(__xludf.DUMMYFUNCTION("""COMPUTED_VALUE"""),"Global Classroom")</f>
        <v>Global Classroom</v>
      </c>
      <c r="V1050" s="43" t="str">
        <f>IFERROR(__xludf.DUMMYFUNCTION("""COMPUTED_VALUE"""),"ISET Nabel")</f>
        <v>ISET Nabel</v>
      </c>
      <c r="W1050" s="43" t="str">
        <f>IFERROR(__xludf.DUMMYFUNCTION("""COMPUTED_VALUE"""),"2023-02-03T13:49:34Z")</f>
        <v>2023-02-03T13:49:34Z</v>
      </c>
      <c r="X1050" s="43"/>
      <c r="Y1050" s="43"/>
      <c r="Z1050" s="43"/>
    </row>
    <row r="1051" hidden="1">
      <c r="A1051" s="43" t="str">
        <f>IFERROR(__xludf.DUMMYFUNCTION("""COMPUTED_VALUE"""),"5222110_1295404")</f>
        <v>5222110_1295404</v>
      </c>
      <c r="B1051" s="43" t="str">
        <f>IFERROR(__xludf.DUMMYFUNCTION("""COMPUTED_VALUE"""),"Huong Thao Bui")</f>
        <v>Huong Thao Bui</v>
      </c>
      <c r="C1051" s="43" t="str">
        <f>IFERROR(__xludf.DUMMYFUNCTION("""COMPUTED_VALUE"""),"completed")</f>
        <v>completed</v>
      </c>
      <c r="D1051" s="43" t="str">
        <f>IFERROR(__xludf.DUMMYFUNCTION("""COMPUTED_VALUE"""),"No")</f>
        <v>No</v>
      </c>
      <c r="E1051" s="43" t="str">
        <f>IFERROR(__xludf.DUMMYFUNCTION("""COMPUTED_VALUE"""),"p_0c3c2479b80a187606851c09058462734fc827fa@inbound.aiesec.org")</f>
        <v>p_0c3c2479b80a187606851c09058462734fc827fa@inbound.aiesec.org</v>
      </c>
      <c r="F1051" s="43">
        <f>IFERROR(__xludf.DUMMYFUNCTION("""COMPUTED_VALUE"""),6.4706512E8)</f>
        <v>647065120</v>
      </c>
      <c r="G1051" s="43" t="str">
        <f>IFERROR(__xludf.DUMMYFUNCTION("""COMPUTED_VALUE"""),"The Netherlands")</f>
        <v>The Netherlands</v>
      </c>
      <c r="H1051" s="43" t="str">
        <f>IFERROR(__xludf.DUMMYFUNCTION("""COMPUTED_VALUE"""),"ROTTERDAM")</f>
        <v>ROTTERDAM</v>
      </c>
      <c r="I1051" s="43" t="str">
        <f>IFERROR(__xludf.DUMMYFUNCTION("""COMPUTED_VALUE"""),"Turkey")</f>
        <v>Turkey</v>
      </c>
      <c r="J1051" s="43" t="str">
        <f>IFERROR(__xludf.DUMMYFUNCTION("""COMPUTED_VALUE"""),"ANKARA")</f>
        <v>ANKARA</v>
      </c>
      <c r="K1051" s="44" t="str">
        <f>IFERROR(__xludf.DUMMYFUNCTION("""COMPUTED_VALUE"""),"https://expa.aiesec.org/opportunities/1295404")</f>
        <v>https://expa.aiesec.org/opportunities/1295404</v>
      </c>
      <c r="L1051" s="43" t="str">
        <f>IFERROR(__xludf.DUMMYFUNCTION("""COMPUTED_VALUE"""),"GV")</f>
        <v>GV</v>
      </c>
      <c r="M1051" s="43" t="str">
        <f>IFERROR(__xludf.DUMMYFUNCTION("""COMPUTED_VALUE"""),"short")</f>
        <v>short</v>
      </c>
      <c r="N1051" s="45">
        <f>IFERROR(__xludf.DUMMYFUNCTION("""COMPUTED_VALUE"""),45096.0)</f>
        <v>45096</v>
      </c>
      <c r="O1051" s="45">
        <f>IFERROR(__xludf.DUMMYFUNCTION("""COMPUTED_VALUE"""),45124.0)</f>
        <v>45124</v>
      </c>
      <c r="P1051" s="45">
        <f>IFERROR(__xludf.DUMMYFUNCTION("""COMPUTED_VALUE"""),45166.0)</f>
        <v>45166</v>
      </c>
      <c r="Q1051" s="45">
        <f>IFERROR(__xludf.DUMMYFUNCTION("""COMPUTED_VALUE"""),45128.0)</f>
        <v>45128</v>
      </c>
      <c r="R1051" s="45">
        <f>IFERROR(__xludf.DUMMYFUNCTION("""COMPUTED_VALUE"""),45168.0)</f>
        <v>45168</v>
      </c>
      <c r="S1051" s="43"/>
      <c r="T1051" s="43"/>
      <c r="U1051" s="43" t="str">
        <f>IFERROR(__xludf.DUMMYFUNCTION("""COMPUTED_VALUE"""),"Global Classroom")</f>
        <v>Global Classroom</v>
      </c>
      <c r="V1051" s="43" t="str">
        <f>IFERROR(__xludf.DUMMYFUNCTION("""COMPUTED_VALUE"""),"Rotterdam / Global Volunteer")</f>
        <v>Rotterdam / Global Volunteer</v>
      </c>
      <c r="W1051" s="43" t="str">
        <f>IFERROR(__xludf.DUMMYFUNCTION("""COMPUTED_VALUE"""),"2023-03-20T21:38:38Z")</f>
        <v>2023-03-20T21:38:38Z</v>
      </c>
      <c r="X1051" s="43"/>
      <c r="Y1051" s="43"/>
      <c r="Z1051" s="43"/>
    </row>
    <row r="1052" hidden="1">
      <c r="A1052" s="43" t="str">
        <f>IFERROR(__xludf.DUMMYFUNCTION("""COMPUTED_VALUE"""),"3267898_1294452")</f>
        <v>3267898_1294452</v>
      </c>
      <c r="B1052" s="43" t="str">
        <f>IFERROR(__xludf.DUMMYFUNCTION("""COMPUTED_VALUE"""),"Abdul Qayyum Chatha")</f>
        <v>Abdul Qayyum Chatha</v>
      </c>
      <c r="C1052" s="43" t="str">
        <f>IFERROR(__xludf.DUMMYFUNCTION("""COMPUTED_VALUE"""),"finished")</f>
        <v>finished</v>
      </c>
      <c r="D1052" s="43" t="str">
        <f>IFERROR(__xludf.DUMMYFUNCTION("""COMPUTED_VALUE"""),"No")</f>
        <v>No</v>
      </c>
      <c r="E1052" s="43" t="str">
        <f>IFERROR(__xludf.DUMMYFUNCTION("""COMPUTED_VALUE"""),"p_894bbca04b7cf3cfb3308d854328df8da8d57af0@inbound.aiesec.org")</f>
        <v>p_894bbca04b7cf3cfb3308d854328df8da8d57af0@inbound.aiesec.org</v>
      </c>
      <c r="F1052" s="43">
        <f>IFERROR(__xludf.DUMMYFUNCTION("""COMPUTED_VALUE"""),3.14584422E9)</f>
        <v>3145844220</v>
      </c>
      <c r="G1052" s="43" t="str">
        <f>IFERROR(__xludf.DUMMYFUNCTION("""COMPUTED_VALUE"""),"Pakistan")</f>
        <v>Pakistan</v>
      </c>
      <c r="H1052" s="43" t="str">
        <f>IFERROR(__xludf.DUMMYFUNCTION("""COMPUTED_VALUE"""),"NUST")</f>
        <v>NUST</v>
      </c>
      <c r="I1052" s="43" t="str">
        <f>IFERROR(__xludf.DUMMYFUNCTION("""COMPUTED_VALUE"""),"Turkey")</f>
        <v>Turkey</v>
      </c>
      <c r="J1052" s="43" t="str">
        <f>IFERROR(__xludf.DUMMYFUNCTION("""COMPUTED_VALUE"""),"ESKISEHIR")</f>
        <v>ESKISEHIR</v>
      </c>
      <c r="K1052" s="44" t="str">
        <f>IFERROR(__xludf.DUMMYFUNCTION("""COMPUTED_VALUE"""),"https://expa.aiesec.org/opportunities/1294452")</f>
        <v>https://expa.aiesec.org/opportunities/1294452</v>
      </c>
      <c r="L1052" s="43" t="str">
        <f>IFERROR(__xludf.DUMMYFUNCTION("""COMPUTED_VALUE"""),"GV")</f>
        <v>GV</v>
      </c>
      <c r="M1052" s="43" t="str">
        <f>IFERROR(__xludf.DUMMYFUNCTION("""COMPUTED_VALUE"""),"short")</f>
        <v>short</v>
      </c>
      <c r="N1052" s="45">
        <f>IFERROR(__xludf.DUMMYFUNCTION("""COMPUTED_VALUE"""),45096.0)</f>
        <v>45096</v>
      </c>
      <c r="O1052" s="45">
        <f>IFERROR(__xludf.DUMMYFUNCTION("""COMPUTED_VALUE"""),45152.0)</f>
        <v>45152</v>
      </c>
      <c r="P1052" s="45">
        <f>IFERROR(__xludf.DUMMYFUNCTION("""COMPUTED_VALUE"""),45194.0)</f>
        <v>45194</v>
      </c>
      <c r="Q1052" s="45">
        <f>IFERROR(__xludf.DUMMYFUNCTION("""COMPUTED_VALUE"""),45153.0)</f>
        <v>45153</v>
      </c>
      <c r="R1052" s="45">
        <f>IFERROR(__xludf.DUMMYFUNCTION("""COMPUTED_VALUE"""),45194.0)</f>
        <v>45194</v>
      </c>
      <c r="S1052" s="43"/>
      <c r="T1052" s="43"/>
      <c r="U1052" s="43" t="str">
        <f>IFERROR(__xludf.DUMMYFUNCTION("""COMPUTED_VALUE"""),"On The Map")</f>
        <v>On The Map</v>
      </c>
      <c r="V1052" s="43" t="str">
        <f>IFERROR(__xludf.DUMMYFUNCTION("""COMPUTED_VALUE"""),"Islamabad - NUST (H-12)")</f>
        <v>Islamabad - NUST (H-12)</v>
      </c>
      <c r="W1052" s="43" t="str">
        <f>IFERROR(__xludf.DUMMYFUNCTION("""COMPUTED_VALUE"""),"2019-03-25T18:59:35Z")</f>
        <v>2019-03-25T18:59:35Z</v>
      </c>
      <c r="X1052" s="43"/>
      <c r="Y1052" s="43"/>
      <c r="Z1052" s="43"/>
    </row>
    <row r="1053" hidden="1">
      <c r="A1053" s="43" t="str">
        <f>IFERROR(__xludf.DUMMYFUNCTION("""COMPUTED_VALUE"""),"4863388_1280973")</f>
        <v>4863388_1280973</v>
      </c>
      <c r="B1053" s="43" t="str">
        <f>IFERROR(__xludf.DUMMYFUNCTION("""COMPUTED_VALUE"""),"Yannick Buggle")</f>
        <v>Yannick Buggle</v>
      </c>
      <c r="C1053" s="43" t="str">
        <f>IFERROR(__xludf.DUMMYFUNCTION("""COMPUTED_VALUE"""),"completed")</f>
        <v>completed</v>
      </c>
      <c r="D1053" s="43" t="str">
        <f>IFERROR(__xludf.DUMMYFUNCTION("""COMPUTED_VALUE"""),"No")</f>
        <v>No</v>
      </c>
      <c r="E1053" s="43" t="str">
        <f>IFERROR(__xludf.DUMMYFUNCTION("""COMPUTED_VALUE"""),"p_f06c062d76d6765e41827844a12f0a6702569cdf@inbound.aiesec.org")</f>
        <v>p_f06c062d76d6765e41827844a12f0a6702569cdf@inbound.aiesec.org</v>
      </c>
      <c r="F1053" s="43"/>
      <c r="G1053" s="43" t="str">
        <f>IFERROR(__xludf.DUMMYFUNCTION("""COMPUTED_VALUE"""),"The Netherlands")</f>
        <v>The Netherlands</v>
      </c>
      <c r="H1053" s="43" t="str">
        <f>IFERROR(__xludf.DUMMYFUNCTION("""COMPUTED_VALUE"""),"AMSTERDAM")</f>
        <v>AMSTERDAM</v>
      </c>
      <c r="I1053" s="43" t="str">
        <f>IFERROR(__xludf.DUMMYFUNCTION("""COMPUTED_VALUE"""),"Turkey")</f>
        <v>Turkey</v>
      </c>
      <c r="J1053" s="43" t="str">
        <f>IFERROR(__xludf.DUMMYFUNCTION("""COMPUTED_VALUE"""),"KOCAELI")</f>
        <v>KOCAELI</v>
      </c>
      <c r="K1053" s="44" t="str">
        <f>IFERROR(__xludf.DUMMYFUNCTION("""COMPUTED_VALUE"""),"https://expa.aiesec.org/opportunities/1280973")</f>
        <v>https://expa.aiesec.org/opportunities/1280973</v>
      </c>
      <c r="L1053" s="43" t="str">
        <f>IFERROR(__xludf.DUMMYFUNCTION("""COMPUTED_VALUE"""),"GV")</f>
        <v>GV</v>
      </c>
      <c r="M1053" s="43" t="str">
        <f>IFERROR(__xludf.DUMMYFUNCTION("""COMPUTED_VALUE"""),"short")</f>
        <v>short</v>
      </c>
      <c r="N1053" s="45">
        <f>IFERROR(__xludf.DUMMYFUNCTION("""COMPUTED_VALUE"""),45096.0)</f>
        <v>45096</v>
      </c>
      <c r="O1053" s="45">
        <f>IFERROR(__xludf.DUMMYFUNCTION("""COMPUTED_VALUE"""),45201.0)</f>
        <v>45201</v>
      </c>
      <c r="P1053" s="45">
        <f>IFERROR(__xludf.DUMMYFUNCTION("""COMPUTED_VALUE"""),45243.0)</f>
        <v>45243</v>
      </c>
      <c r="Q1053" s="45">
        <f>IFERROR(__xludf.DUMMYFUNCTION("""COMPUTED_VALUE"""),45202.0)</f>
        <v>45202</v>
      </c>
      <c r="R1053" s="45">
        <f>IFERROR(__xludf.DUMMYFUNCTION("""COMPUTED_VALUE"""),45243.0)</f>
        <v>45243</v>
      </c>
      <c r="S1053" s="43"/>
      <c r="T1053" s="43"/>
      <c r="U1053" s="43" t="str">
        <f>IFERROR(__xludf.DUMMYFUNCTION("""COMPUTED_VALUE"""),"Global Classroom")</f>
        <v>Global Classroom</v>
      </c>
      <c r="V1053" s="43" t="str">
        <f>IFERROR(__xludf.DUMMYFUNCTION("""COMPUTED_VALUE"""),"Amsterdam / Global Volunteer")</f>
        <v>Amsterdam / Global Volunteer</v>
      </c>
      <c r="W1053" s="43" t="str">
        <f>IFERROR(__xludf.DUMMYFUNCTION("""COMPUTED_VALUE"""),"2022-01-01T17:26:29Z")</f>
        <v>2022-01-01T17:26:29Z</v>
      </c>
      <c r="X1053" s="43"/>
      <c r="Y1053" s="43"/>
      <c r="Z1053" s="43"/>
    </row>
    <row r="1054" hidden="1">
      <c r="A1054" s="43" t="str">
        <f>IFERROR(__xludf.DUMMYFUNCTION("""COMPUTED_VALUE"""),"5072794_1284125")</f>
        <v>5072794_1284125</v>
      </c>
      <c r="B1054" s="43" t="str">
        <f>IFERROR(__xludf.DUMMYFUNCTION("""COMPUTED_VALUE"""),"hediene saidani")</f>
        <v>hediene saidani</v>
      </c>
      <c r="C1054" s="43" t="str">
        <f>IFERROR(__xludf.DUMMYFUNCTION("""COMPUTED_VALUE"""),"completed")</f>
        <v>completed</v>
      </c>
      <c r="D1054" s="43" t="str">
        <f>IFERROR(__xludf.DUMMYFUNCTION("""COMPUTED_VALUE"""),"No")</f>
        <v>No</v>
      </c>
      <c r="E1054" s="43" t="str">
        <f>IFERROR(__xludf.DUMMYFUNCTION("""COMPUTED_VALUE"""),"p_bd27ee7f64a634282f6c8cc348fff1bce8098942@inbound.aiesec.org")</f>
        <v>p_bd27ee7f64a634282f6c8cc348fff1bce8098942@inbound.aiesec.org</v>
      </c>
      <c r="F1054" s="43"/>
      <c r="G1054" s="43" t="str">
        <f>IFERROR(__xludf.DUMMYFUNCTION("""COMPUTED_VALUE"""),"Tunisia")</f>
        <v>Tunisia</v>
      </c>
      <c r="H1054" s="43" t="str">
        <f>IFERROR(__xludf.DUMMYFUNCTION("""COMPUTED_VALUE"""),"UNIVERSITY")</f>
        <v>UNIVERSITY</v>
      </c>
      <c r="I1054" s="43" t="str">
        <f>IFERROR(__xludf.DUMMYFUNCTION("""COMPUTED_VALUE"""),"Turkey")</f>
        <v>Turkey</v>
      </c>
      <c r="J1054" s="43" t="str">
        <f>IFERROR(__xludf.DUMMYFUNCTION("""COMPUTED_VALUE"""),"ISTANBUL WEST")</f>
        <v>ISTANBUL WEST</v>
      </c>
      <c r="K1054" s="44" t="str">
        <f>IFERROR(__xludf.DUMMYFUNCTION("""COMPUTED_VALUE"""),"https://expa.aiesec.org/opportunities/1284125")</f>
        <v>https://expa.aiesec.org/opportunities/1284125</v>
      </c>
      <c r="L1054" s="43" t="str">
        <f>IFERROR(__xludf.DUMMYFUNCTION("""COMPUTED_VALUE"""),"GV")</f>
        <v>GV</v>
      </c>
      <c r="M1054" s="43" t="str">
        <f>IFERROR(__xludf.DUMMYFUNCTION("""COMPUTED_VALUE"""),"short")</f>
        <v>short</v>
      </c>
      <c r="N1054" s="45">
        <f>IFERROR(__xludf.DUMMYFUNCTION("""COMPUTED_VALUE"""),45097.0)</f>
        <v>45097</v>
      </c>
      <c r="O1054" s="45">
        <f>IFERROR(__xludf.DUMMYFUNCTION("""COMPUTED_VALUE"""),45110.0)</f>
        <v>45110</v>
      </c>
      <c r="P1054" s="45">
        <f>IFERROR(__xludf.DUMMYFUNCTION("""COMPUTED_VALUE"""),45152.0)</f>
        <v>45152</v>
      </c>
      <c r="Q1054" s="45">
        <f>IFERROR(__xludf.DUMMYFUNCTION("""COMPUTED_VALUE"""),45111.0)</f>
        <v>45111</v>
      </c>
      <c r="R1054" s="45">
        <f>IFERROR(__xludf.DUMMYFUNCTION("""COMPUTED_VALUE"""),45152.0)</f>
        <v>45152</v>
      </c>
      <c r="S1054" s="43"/>
      <c r="T1054" s="43"/>
      <c r="U1054" s="43" t="str">
        <f>IFERROR(__xludf.DUMMYFUNCTION("""COMPUTED_VALUE"""),"Global Classroom")</f>
        <v>Global Classroom</v>
      </c>
      <c r="V1054" s="43" t="str">
        <f>IFERROR(__xludf.DUMMYFUNCTION("""COMPUTED_VALUE"""),"-")</f>
        <v>-</v>
      </c>
      <c r="W1054" s="43" t="str">
        <f>IFERROR(__xludf.DUMMYFUNCTION("""COMPUTED_VALUE"""),"2022-06-15T10:42:27Z")</f>
        <v>2022-06-15T10:42:27Z</v>
      </c>
      <c r="X1054" s="43"/>
      <c r="Y1054" s="43"/>
      <c r="Z1054" s="43"/>
    </row>
    <row r="1055" hidden="1">
      <c r="A1055" s="43" t="str">
        <f>IFERROR(__xludf.DUMMYFUNCTION("""COMPUTED_VALUE"""),"5249789_1291427")</f>
        <v>5249789_1291427</v>
      </c>
      <c r="B1055" s="43" t="str">
        <f>IFERROR(__xludf.DUMMYFUNCTION("""COMPUTED_VALUE"""),"Jasmina Destanović")</f>
        <v>Jasmina Destanović</v>
      </c>
      <c r="C1055" s="43" t="str">
        <f>IFERROR(__xludf.DUMMYFUNCTION("""COMPUTED_VALUE"""),"finished")</f>
        <v>finished</v>
      </c>
      <c r="D1055" s="43" t="str">
        <f>IFERROR(__xludf.DUMMYFUNCTION("""COMPUTED_VALUE"""),"No")</f>
        <v>No</v>
      </c>
      <c r="E1055" s="43" t="str">
        <f>IFERROR(__xludf.DUMMYFUNCTION("""COMPUTED_VALUE"""),"p_5cb37751c9df15d3bf4ea50044105a86f9830b4a@inbound.aiesec.org")</f>
        <v>p_5cb37751c9df15d3bf4ea50044105a86f9830b4a@inbound.aiesec.org</v>
      </c>
      <c r="F1055" s="43">
        <f>IFERROR(__xludf.DUMMYFUNCTION("""COMPUTED_VALUE"""),6.03001324E8)</f>
        <v>603001324</v>
      </c>
      <c r="G1055" s="43" t="str">
        <f>IFERROR(__xludf.DUMMYFUNCTION("""COMPUTED_VALUE"""),"Bosnia and Herzegovina")</f>
        <v>Bosnia and Herzegovina</v>
      </c>
      <c r="H1055" s="43" t="str">
        <f>IFERROR(__xludf.DUMMYFUNCTION("""COMPUTED_VALUE"""),"SARAJEVO")</f>
        <v>SARAJEVO</v>
      </c>
      <c r="I1055" s="43" t="str">
        <f>IFERROR(__xludf.DUMMYFUNCTION("""COMPUTED_VALUE"""),"Turkey")</f>
        <v>Turkey</v>
      </c>
      <c r="J1055" s="43" t="str">
        <f>IFERROR(__xludf.DUMMYFUNCTION("""COMPUTED_VALUE"""),"ISTANBUL WEST")</f>
        <v>ISTANBUL WEST</v>
      </c>
      <c r="K1055" s="44" t="str">
        <f>IFERROR(__xludf.DUMMYFUNCTION("""COMPUTED_VALUE"""),"https://expa.aiesec.org/opportunities/1291427")</f>
        <v>https://expa.aiesec.org/opportunities/1291427</v>
      </c>
      <c r="L1055" s="43" t="str">
        <f>IFERROR(__xludf.DUMMYFUNCTION("""COMPUTED_VALUE"""),"GV")</f>
        <v>GV</v>
      </c>
      <c r="M1055" s="43" t="str">
        <f>IFERROR(__xludf.DUMMYFUNCTION("""COMPUTED_VALUE"""),"short")</f>
        <v>short</v>
      </c>
      <c r="N1055" s="45">
        <f>IFERROR(__xludf.DUMMYFUNCTION("""COMPUTED_VALUE"""),45097.0)</f>
        <v>45097</v>
      </c>
      <c r="O1055" s="45">
        <f>IFERROR(__xludf.DUMMYFUNCTION("""COMPUTED_VALUE"""),45117.0)</f>
        <v>45117</v>
      </c>
      <c r="P1055" s="45">
        <f>IFERROR(__xludf.DUMMYFUNCTION("""COMPUTED_VALUE"""),45159.0)</f>
        <v>45159</v>
      </c>
      <c r="Q1055" s="45">
        <f>IFERROR(__xludf.DUMMYFUNCTION("""COMPUTED_VALUE"""),45116.0)</f>
        <v>45116</v>
      </c>
      <c r="R1055" s="45">
        <f>IFERROR(__xludf.DUMMYFUNCTION("""COMPUTED_VALUE"""),45159.0)</f>
        <v>45159</v>
      </c>
      <c r="S1055" s="43"/>
      <c r="T1055" s="43"/>
      <c r="U1055" s="43" t="str">
        <f>IFERROR(__xludf.DUMMYFUNCTION("""COMPUTED_VALUE"""),"Fingerprint")</f>
        <v>Fingerprint</v>
      </c>
      <c r="V1055" s="43" t="str">
        <f>IFERROR(__xludf.DUMMYFUNCTION("""COMPUTED_VALUE"""),"Sarajevo")</f>
        <v>Sarajevo</v>
      </c>
      <c r="W1055" s="43" t="str">
        <f>IFERROR(__xludf.DUMMYFUNCTION("""COMPUTED_VALUE"""),"2023-04-26T11:19:05Z")</f>
        <v>2023-04-26T11:19:05Z</v>
      </c>
      <c r="X1055" s="43"/>
      <c r="Y1055" s="43"/>
      <c r="Z1055" s="43"/>
    </row>
    <row r="1056" hidden="1">
      <c r="A1056" s="43" t="str">
        <f>IFERROR(__xludf.DUMMYFUNCTION("""COMPUTED_VALUE"""),"5264543_1284077")</f>
        <v>5264543_1284077</v>
      </c>
      <c r="B1056" s="43" t="str">
        <f>IFERROR(__xludf.DUMMYFUNCTION("""COMPUTED_VALUE"""),"Norhene BENHASSEN")</f>
        <v>Norhene BENHASSEN</v>
      </c>
      <c r="C1056" s="43" t="str">
        <f>IFERROR(__xludf.DUMMYFUNCTION("""COMPUTED_VALUE"""),"completed")</f>
        <v>completed</v>
      </c>
      <c r="D1056" s="43" t="str">
        <f>IFERROR(__xludf.DUMMYFUNCTION("""COMPUTED_VALUE"""),"No")</f>
        <v>No</v>
      </c>
      <c r="E1056" s="43" t="str">
        <f>IFERROR(__xludf.DUMMYFUNCTION("""COMPUTED_VALUE"""),"p_794c20da6747d74a9ec1c823f1e2e95b298a3ef9@inbound.aiesec.org")</f>
        <v>p_794c20da6747d74a9ec1c823f1e2e95b298a3ef9@inbound.aiesec.org</v>
      </c>
      <c r="F1056" s="43">
        <f>IFERROR(__xludf.DUMMYFUNCTION("""COMPUTED_VALUE"""),2.1525339E7)</f>
        <v>21525339</v>
      </c>
      <c r="G1056" s="43" t="str">
        <f>IFERROR(__xludf.DUMMYFUNCTION("""COMPUTED_VALUE"""),"Tunisia")</f>
        <v>Tunisia</v>
      </c>
      <c r="H1056" s="43" t="str">
        <f>IFERROR(__xludf.DUMMYFUNCTION("""COMPUTED_VALUE"""),"UNIVERSITY")</f>
        <v>UNIVERSITY</v>
      </c>
      <c r="I1056" s="43" t="str">
        <f>IFERROR(__xludf.DUMMYFUNCTION("""COMPUTED_VALUE"""),"Turkey")</f>
        <v>Turkey</v>
      </c>
      <c r="J1056" s="43" t="str">
        <f>IFERROR(__xludf.DUMMYFUNCTION("""COMPUTED_VALUE"""),"GAZIANTEP")</f>
        <v>GAZIANTEP</v>
      </c>
      <c r="K1056" s="44" t="str">
        <f>IFERROR(__xludf.DUMMYFUNCTION("""COMPUTED_VALUE"""),"https://expa.aiesec.org/opportunities/1284077")</f>
        <v>https://expa.aiesec.org/opportunities/1284077</v>
      </c>
      <c r="L1056" s="43" t="str">
        <f>IFERROR(__xludf.DUMMYFUNCTION("""COMPUTED_VALUE"""),"GV")</f>
        <v>GV</v>
      </c>
      <c r="M1056" s="43" t="str">
        <f>IFERROR(__xludf.DUMMYFUNCTION("""COMPUTED_VALUE"""),"short")</f>
        <v>short</v>
      </c>
      <c r="N1056" s="45">
        <f>IFERROR(__xludf.DUMMYFUNCTION("""COMPUTED_VALUE"""),45097.0)</f>
        <v>45097</v>
      </c>
      <c r="O1056" s="45">
        <f>IFERROR(__xludf.DUMMYFUNCTION("""COMPUTED_VALUE"""),45141.0)</f>
        <v>45141</v>
      </c>
      <c r="P1056" s="45">
        <f>IFERROR(__xludf.DUMMYFUNCTION("""COMPUTED_VALUE"""),45183.0)</f>
        <v>45183</v>
      </c>
      <c r="Q1056" s="45">
        <f>IFERROR(__xludf.DUMMYFUNCTION("""COMPUTED_VALUE"""),45147.0)</f>
        <v>45147</v>
      </c>
      <c r="R1056" s="45">
        <f>IFERROR(__xludf.DUMMYFUNCTION("""COMPUTED_VALUE"""),45188.0)</f>
        <v>45188</v>
      </c>
      <c r="S1056" s="43"/>
      <c r="T1056" s="43"/>
      <c r="U1056" s="43" t="str">
        <f>IFERROR(__xludf.DUMMYFUNCTION("""COMPUTED_VALUE"""),"Global Classroom")</f>
        <v>Global Classroom</v>
      </c>
      <c r="V1056" s="43" t="str">
        <f>IFERROR(__xludf.DUMMYFUNCTION("""COMPUTED_VALUE"""),"FST")</f>
        <v>FST</v>
      </c>
      <c r="W1056" s="43" t="str">
        <f>IFERROR(__xludf.DUMMYFUNCTION("""COMPUTED_VALUE"""),"2023-05-21T17:31:32Z")</f>
        <v>2023-05-21T17:31:32Z</v>
      </c>
      <c r="X1056" s="43"/>
      <c r="Y1056" s="43"/>
      <c r="Z1056" s="43"/>
    </row>
    <row r="1057" hidden="1">
      <c r="A1057" s="43" t="str">
        <f>IFERROR(__xludf.DUMMYFUNCTION("""COMPUTED_VALUE"""),"5262113_1295459")</f>
        <v>5262113_1295459</v>
      </c>
      <c r="B1057" s="43" t="str">
        <f>IFERROR(__xludf.DUMMYFUNCTION("""COMPUTED_VALUE"""),"Ines BARA")</f>
        <v>Ines BARA</v>
      </c>
      <c r="C1057" s="43" t="str">
        <f>IFERROR(__xludf.DUMMYFUNCTION("""COMPUTED_VALUE"""),"finished")</f>
        <v>finished</v>
      </c>
      <c r="D1057" s="43" t="str">
        <f>IFERROR(__xludf.DUMMYFUNCTION("""COMPUTED_VALUE"""),"No")</f>
        <v>No</v>
      </c>
      <c r="E1057" s="43" t="str">
        <f>IFERROR(__xludf.DUMMYFUNCTION("""COMPUTED_VALUE"""),"p_d9fcf771547a62dac98503ee171dc4f3230126ff@inbound.aiesec.org")</f>
        <v>p_d9fcf771547a62dac98503ee171dc4f3230126ff@inbound.aiesec.org</v>
      </c>
      <c r="F1057" s="43">
        <f>IFERROR(__xludf.DUMMYFUNCTION("""COMPUTED_VALUE"""),7.95959753E8)</f>
        <v>795959753</v>
      </c>
      <c r="G1057" s="43" t="str">
        <f>IFERROR(__xludf.DUMMYFUNCTION("""COMPUTED_VALUE"""),"Algeria")</f>
        <v>Algeria</v>
      </c>
      <c r="H1057" s="43" t="str">
        <f>IFERROR(__xludf.DUMMYFUNCTION("""COMPUTED_VALUE"""),"Constantine")</f>
        <v>Constantine</v>
      </c>
      <c r="I1057" s="43" t="str">
        <f>IFERROR(__xludf.DUMMYFUNCTION("""COMPUTED_VALUE"""),"Turkey")</f>
        <v>Turkey</v>
      </c>
      <c r="J1057" s="43" t="str">
        <f>IFERROR(__xludf.DUMMYFUNCTION("""COMPUTED_VALUE"""),"BURSA")</f>
        <v>BURSA</v>
      </c>
      <c r="K1057" s="44" t="str">
        <f>IFERROR(__xludf.DUMMYFUNCTION("""COMPUTED_VALUE"""),"https://expa.aiesec.org/opportunities/1295459")</f>
        <v>https://expa.aiesec.org/opportunities/1295459</v>
      </c>
      <c r="L1057" s="43" t="str">
        <f>IFERROR(__xludf.DUMMYFUNCTION("""COMPUTED_VALUE"""),"GV")</f>
        <v>GV</v>
      </c>
      <c r="M1057" s="43" t="str">
        <f>IFERROR(__xludf.DUMMYFUNCTION("""COMPUTED_VALUE"""),"short")</f>
        <v>short</v>
      </c>
      <c r="N1057" s="45">
        <f>IFERROR(__xludf.DUMMYFUNCTION("""COMPUTED_VALUE"""),45097.0)</f>
        <v>45097</v>
      </c>
      <c r="O1057" s="45">
        <f>IFERROR(__xludf.DUMMYFUNCTION("""COMPUTED_VALUE"""),45110.0)</f>
        <v>45110</v>
      </c>
      <c r="P1057" s="45">
        <f>IFERROR(__xludf.DUMMYFUNCTION("""COMPUTED_VALUE"""),45152.0)</f>
        <v>45152</v>
      </c>
      <c r="Q1057" s="45">
        <f>IFERROR(__xludf.DUMMYFUNCTION("""COMPUTED_VALUE"""),45121.0)</f>
        <v>45121</v>
      </c>
      <c r="R1057" s="45">
        <f>IFERROR(__xludf.DUMMYFUNCTION("""COMPUTED_VALUE"""),45163.0)</f>
        <v>45163</v>
      </c>
      <c r="S1057" s="43"/>
      <c r="T1057" s="43"/>
      <c r="U1057" s="43" t="str">
        <f>IFERROR(__xludf.DUMMYFUNCTION("""COMPUTED_VALUE"""),"Youth 4 Impact")</f>
        <v>Youth 4 Impact</v>
      </c>
      <c r="V1057" s="43" t="str">
        <f>IFERROR(__xludf.DUMMYFUNCTION("""COMPUTED_VALUE"""),"AIESEC in Constantine")</f>
        <v>AIESEC in Constantine</v>
      </c>
      <c r="W1057" s="43" t="str">
        <f>IFERROR(__xludf.DUMMYFUNCTION("""COMPUTED_VALUE"""),"2023-05-16T21:33:29Z")</f>
        <v>2023-05-16T21:33:29Z</v>
      </c>
      <c r="X1057" s="43"/>
      <c r="Y1057" s="43"/>
      <c r="Z1057" s="43"/>
    </row>
    <row r="1058" hidden="1">
      <c r="A1058" s="43" t="str">
        <f>IFERROR(__xludf.DUMMYFUNCTION("""COMPUTED_VALUE"""),"4988053_1295453")</f>
        <v>4988053_1295453</v>
      </c>
      <c r="B1058" s="43" t="str">
        <f>IFERROR(__xludf.DUMMYFUNCTION("""COMPUTED_VALUE"""),"Ahsan Waseem Hanif")</f>
        <v>Ahsan Waseem Hanif</v>
      </c>
      <c r="C1058" s="43" t="str">
        <f>IFERROR(__xludf.DUMMYFUNCTION("""COMPUTED_VALUE"""),"approved")</f>
        <v>approved</v>
      </c>
      <c r="D1058" s="43" t="str">
        <f>IFERROR(__xludf.DUMMYFUNCTION("""COMPUTED_VALUE"""),"No")</f>
        <v>No</v>
      </c>
      <c r="E1058" s="43" t="str">
        <f>IFERROR(__xludf.DUMMYFUNCTION("""COMPUTED_VALUE"""),"p_9841ea0c5aee084d69c16a410fb8f21805bfb001@inbound.aiesec.org")</f>
        <v>p_9841ea0c5aee084d69c16a410fb8f21805bfb001@inbound.aiesec.org</v>
      </c>
      <c r="F1058" s="43">
        <f>IFERROR(__xludf.DUMMYFUNCTION("""COMPUTED_VALUE"""),3.03301117E9)</f>
        <v>3033011170</v>
      </c>
      <c r="G1058" s="43" t="str">
        <f>IFERROR(__xludf.DUMMYFUNCTION("""COMPUTED_VALUE"""),"Pakistan")</f>
        <v>Pakistan</v>
      </c>
      <c r="H1058" s="43" t="str">
        <f>IFERROR(__xludf.DUMMYFUNCTION("""COMPUTED_VALUE"""),"IBA")</f>
        <v>IBA</v>
      </c>
      <c r="I1058" s="43" t="str">
        <f>IFERROR(__xludf.DUMMYFUNCTION("""COMPUTED_VALUE"""),"Turkey")</f>
        <v>Turkey</v>
      </c>
      <c r="J1058" s="43" t="str">
        <f>IFERROR(__xludf.DUMMYFUNCTION("""COMPUTED_VALUE"""),"GAZIANTEP")</f>
        <v>GAZIANTEP</v>
      </c>
      <c r="K1058" s="44" t="str">
        <f>IFERROR(__xludf.DUMMYFUNCTION("""COMPUTED_VALUE"""),"https://expa.aiesec.org/opportunities/1295453")</f>
        <v>https://expa.aiesec.org/opportunities/1295453</v>
      </c>
      <c r="L1058" s="43" t="str">
        <f>IFERROR(__xludf.DUMMYFUNCTION("""COMPUTED_VALUE"""),"GV")</f>
        <v>GV</v>
      </c>
      <c r="M1058" s="43" t="str">
        <f>IFERROR(__xludf.DUMMYFUNCTION("""COMPUTED_VALUE"""),"short")</f>
        <v>short</v>
      </c>
      <c r="N1058" s="45">
        <f>IFERROR(__xludf.DUMMYFUNCTION("""COMPUTED_VALUE"""),45098.0)</f>
        <v>45098</v>
      </c>
      <c r="O1058" s="45">
        <f>IFERROR(__xludf.DUMMYFUNCTION("""COMPUTED_VALUE"""),45124.0)</f>
        <v>45124</v>
      </c>
      <c r="P1058" s="45">
        <f>IFERROR(__xludf.DUMMYFUNCTION("""COMPUTED_VALUE"""),45166.0)</f>
        <v>45166</v>
      </c>
      <c r="Q1058" s="45"/>
      <c r="R1058" s="45"/>
      <c r="S1058" s="43"/>
      <c r="T1058" s="43"/>
      <c r="U1058" s="43" t="str">
        <f>IFERROR(__xludf.DUMMYFUNCTION("""COMPUTED_VALUE"""),"Global Classroom")</f>
        <v>Global Classroom</v>
      </c>
      <c r="V1058" s="43" t="str">
        <f>IFERROR(__xludf.DUMMYFUNCTION("""COMPUTED_VALUE"""),"Karachi - IBA")</f>
        <v>Karachi - IBA</v>
      </c>
      <c r="W1058" s="43" t="str">
        <f>IFERROR(__xludf.DUMMYFUNCTION("""COMPUTED_VALUE"""),"2022-03-16T19:34:08Z")</f>
        <v>2022-03-16T19:34:08Z</v>
      </c>
      <c r="X1058" s="43"/>
      <c r="Y1058" s="43"/>
      <c r="Z1058" s="43"/>
    </row>
    <row r="1059" hidden="1">
      <c r="A1059" s="43" t="str">
        <f>IFERROR(__xludf.DUMMYFUNCTION("""COMPUTED_VALUE"""),"5277588_1294372")</f>
        <v>5277588_1294372</v>
      </c>
      <c r="B1059" s="43" t="str">
        <f>IFERROR(__xludf.DUMMYFUNCTION("""COMPUTED_VALUE"""),"Abdesselam Semaoui")</f>
        <v>Abdesselam Semaoui</v>
      </c>
      <c r="C1059" s="43" t="str">
        <f>IFERROR(__xludf.DUMMYFUNCTION("""COMPUTED_VALUE"""),"approved")</f>
        <v>approved</v>
      </c>
      <c r="D1059" s="43" t="str">
        <f>IFERROR(__xludf.DUMMYFUNCTION("""COMPUTED_VALUE"""),"No")</f>
        <v>No</v>
      </c>
      <c r="E1059" s="43" t="str">
        <f>IFERROR(__xludf.DUMMYFUNCTION("""COMPUTED_VALUE"""),"p_549647b5d5c7a63894566f122a555c7e40419b3c@inbound.aiesec.org")</f>
        <v>p_549647b5d5c7a63894566f122a555c7e40419b3c@inbound.aiesec.org</v>
      </c>
      <c r="F1059" s="43">
        <f>IFERROR(__xludf.DUMMYFUNCTION("""COMPUTED_VALUE"""),7.92694784E8)</f>
        <v>792694784</v>
      </c>
      <c r="G1059" s="43" t="str">
        <f>IFERROR(__xludf.DUMMYFUNCTION("""COMPUTED_VALUE"""),"Algeria")</f>
        <v>Algeria</v>
      </c>
      <c r="H1059" s="43" t="str">
        <f>IFERROR(__xludf.DUMMYFUNCTION("""COMPUTED_VALUE"""),"Blida")</f>
        <v>Blida</v>
      </c>
      <c r="I1059" s="43" t="str">
        <f>IFERROR(__xludf.DUMMYFUNCTION("""COMPUTED_VALUE"""),"Turkey")</f>
        <v>Turkey</v>
      </c>
      <c r="J1059" s="43" t="str">
        <f>IFERROR(__xludf.DUMMYFUNCTION("""COMPUTED_VALUE"""),"ANKARA")</f>
        <v>ANKARA</v>
      </c>
      <c r="K1059" s="44" t="str">
        <f>IFERROR(__xludf.DUMMYFUNCTION("""COMPUTED_VALUE"""),"https://expa.aiesec.org/opportunities/1294372")</f>
        <v>https://expa.aiesec.org/opportunities/1294372</v>
      </c>
      <c r="L1059" s="43" t="str">
        <f>IFERROR(__xludf.DUMMYFUNCTION("""COMPUTED_VALUE"""),"GV")</f>
        <v>GV</v>
      </c>
      <c r="M1059" s="43" t="str">
        <f>IFERROR(__xludf.DUMMYFUNCTION("""COMPUTED_VALUE"""),"short")</f>
        <v>short</v>
      </c>
      <c r="N1059" s="45">
        <f>IFERROR(__xludf.DUMMYFUNCTION("""COMPUTED_VALUE"""),45098.0)</f>
        <v>45098</v>
      </c>
      <c r="O1059" s="45">
        <f>IFERROR(__xludf.DUMMYFUNCTION("""COMPUTED_VALUE"""),45110.0)</f>
        <v>45110</v>
      </c>
      <c r="P1059" s="45">
        <f>IFERROR(__xludf.DUMMYFUNCTION("""COMPUTED_VALUE"""),45152.0)</f>
        <v>45152</v>
      </c>
      <c r="Q1059" s="45"/>
      <c r="R1059" s="45"/>
      <c r="S1059" s="43"/>
      <c r="T1059" s="43"/>
      <c r="U1059" s="43" t="str">
        <f>IFERROR(__xludf.DUMMYFUNCTION("""COMPUTED_VALUE"""),"Global Classroom")</f>
        <v>Global Classroom</v>
      </c>
      <c r="V1059" s="43" t="str">
        <f>IFERROR(__xludf.DUMMYFUNCTION("""COMPUTED_VALUE"""),"AIESEC in Blida")</f>
        <v>AIESEC in Blida</v>
      </c>
      <c r="W1059" s="43" t="str">
        <f>IFERROR(__xludf.DUMMYFUNCTION("""COMPUTED_VALUE"""),"2023-06-20T14:49:30Z")</f>
        <v>2023-06-20T14:49:30Z</v>
      </c>
      <c r="X1059" s="43"/>
      <c r="Y1059" s="43"/>
      <c r="Z1059" s="43"/>
    </row>
    <row r="1060" hidden="1">
      <c r="A1060" s="43" t="str">
        <f>IFERROR(__xludf.DUMMYFUNCTION("""COMPUTED_VALUE"""),"5265923_1295240")</f>
        <v>5265923_1295240</v>
      </c>
      <c r="B1060" s="43" t="str">
        <f>IFERROR(__xludf.DUMMYFUNCTION("""COMPUTED_VALUE"""),"ΣΟΦΙΑ ΤΣΑΟΥΣΙΔΟΥ-ΠΕΤΡΙΤΣΗ")</f>
        <v>ΣΟΦΙΑ ΤΣΑΟΥΣΙΔΟΥ-ΠΕΤΡΙΤΣΗ</v>
      </c>
      <c r="C1060" s="43" t="str">
        <f>IFERROR(__xludf.DUMMYFUNCTION("""COMPUTED_VALUE"""),"completed")</f>
        <v>completed</v>
      </c>
      <c r="D1060" s="43" t="str">
        <f>IFERROR(__xludf.DUMMYFUNCTION("""COMPUTED_VALUE"""),"No")</f>
        <v>No</v>
      </c>
      <c r="E1060" s="43" t="str">
        <f>IFERROR(__xludf.DUMMYFUNCTION("""COMPUTED_VALUE"""),"p_f85c43cac07520c27eab0b1678ec556586118bf9@inbound.aiesec.org")</f>
        <v>p_f85c43cac07520c27eab0b1678ec556586118bf9@inbound.aiesec.org</v>
      </c>
      <c r="F1060" s="43">
        <f>IFERROR(__xludf.DUMMYFUNCTION("""COMPUTED_VALUE"""),6.98061193E9)</f>
        <v>6980611930</v>
      </c>
      <c r="G1060" s="43" t="str">
        <f>IFERROR(__xludf.DUMMYFUNCTION("""COMPUTED_VALUE"""),"Greece")</f>
        <v>Greece</v>
      </c>
      <c r="H1060" s="43" t="str">
        <f>IFERROR(__xludf.DUMMYFUNCTION("""COMPUTED_VALUE"""),"AUTH")</f>
        <v>AUTH</v>
      </c>
      <c r="I1060" s="43" t="str">
        <f>IFERROR(__xludf.DUMMYFUNCTION("""COMPUTED_VALUE"""),"Turkey")</f>
        <v>Turkey</v>
      </c>
      <c r="J1060" s="43" t="str">
        <f>IFERROR(__xludf.DUMMYFUNCTION("""COMPUTED_VALUE"""),"İZMİR")</f>
        <v>İZMİR</v>
      </c>
      <c r="K1060" s="44" t="str">
        <f>IFERROR(__xludf.DUMMYFUNCTION("""COMPUTED_VALUE"""),"https://expa.aiesec.org/opportunities/1295240")</f>
        <v>https://expa.aiesec.org/opportunities/1295240</v>
      </c>
      <c r="L1060" s="43" t="str">
        <f>IFERROR(__xludf.DUMMYFUNCTION("""COMPUTED_VALUE"""),"GV")</f>
        <v>GV</v>
      </c>
      <c r="M1060" s="43" t="str">
        <f>IFERROR(__xludf.DUMMYFUNCTION("""COMPUTED_VALUE"""),"short")</f>
        <v>short</v>
      </c>
      <c r="N1060" s="45">
        <f>IFERROR(__xludf.DUMMYFUNCTION("""COMPUTED_VALUE"""),45098.0)</f>
        <v>45098</v>
      </c>
      <c r="O1060" s="45">
        <f>IFERROR(__xludf.DUMMYFUNCTION("""COMPUTED_VALUE"""),45194.0)</f>
        <v>45194</v>
      </c>
      <c r="P1060" s="45">
        <f>IFERROR(__xludf.DUMMYFUNCTION("""COMPUTED_VALUE"""),45236.0)</f>
        <v>45236</v>
      </c>
      <c r="Q1060" s="45">
        <f>IFERROR(__xludf.DUMMYFUNCTION("""COMPUTED_VALUE"""),45196.0)</f>
        <v>45196</v>
      </c>
      <c r="R1060" s="45">
        <f>IFERROR(__xludf.DUMMYFUNCTION("""COMPUTED_VALUE"""),45238.0)</f>
        <v>45238</v>
      </c>
      <c r="S1060" s="43"/>
      <c r="T1060" s="43"/>
      <c r="U1060" s="43" t="str">
        <f>IFERROR(__xludf.DUMMYFUNCTION("""COMPUTED_VALUE"""),"Fingerprint")</f>
        <v>Fingerprint</v>
      </c>
      <c r="V1060" s="43" t="str">
        <f>IFERROR(__xludf.DUMMYFUNCTION("""COMPUTED_VALUE"""),"-")</f>
        <v>-</v>
      </c>
      <c r="W1060" s="43" t="str">
        <f>IFERROR(__xludf.DUMMYFUNCTION("""COMPUTED_VALUE"""),"2023-05-24T11:19:37Z")</f>
        <v>2023-05-24T11:19:37Z</v>
      </c>
      <c r="X1060" s="43"/>
      <c r="Y1060" s="43"/>
      <c r="Z1060" s="43"/>
    </row>
    <row r="1061" hidden="1">
      <c r="A1061" s="43" t="str">
        <f>IFERROR(__xludf.DUMMYFUNCTION("""COMPUTED_VALUE"""),"5273045_1294410")</f>
        <v>5273045_1294410</v>
      </c>
      <c r="B1061" s="43" t="str">
        <f>IFERROR(__xludf.DUMMYFUNCTION("""COMPUTED_VALUE"""),"Sagiba Musayeva")</f>
        <v>Sagiba Musayeva</v>
      </c>
      <c r="C1061" s="43" t="str">
        <f>IFERROR(__xludf.DUMMYFUNCTION("""COMPUTED_VALUE"""),"finished")</f>
        <v>finished</v>
      </c>
      <c r="D1061" s="43" t="str">
        <f>IFERROR(__xludf.DUMMYFUNCTION("""COMPUTED_VALUE"""),"No")</f>
        <v>No</v>
      </c>
      <c r="E1061" s="43" t="str">
        <f>IFERROR(__xludf.DUMMYFUNCTION("""COMPUTED_VALUE"""),"p_c6d25d4e393dbb6722385592fde21b67ea48a881@inbound.aiesec.org")</f>
        <v>p_c6d25d4e393dbb6722385592fde21b67ea48a881@inbound.aiesec.org</v>
      </c>
      <c r="F1061" s="43">
        <f>IFERROR(__xludf.DUMMYFUNCTION("""COMPUTED_VALUE"""),5.13332104E8)</f>
        <v>513332104</v>
      </c>
      <c r="G1061" s="43" t="str">
        <f>IFERROR(__xludf.DUMMYFUNCTION("""COMPUTED_VALUE"""),"Azerbaijan")</f>
        <v>Azerbaijan</v>
      </c>
      <c r="H1061" s="43" t="str">
        <f>IFERROR(__xludf.DUMMYFUNCTION("""COMPUTED_VALUE"""),"Baku Qafqaz")</f>
        <v>Baku Qafqaz</v>
      </c>
      <c r="I1061" s="43" t="str">
        <f>IFERROR(__xludf.DUMMYFUNCTION("""COMPUTED_VALUE"""),"Turkey")</f>
        <v>Turkey</v>
      </c>
      <c r="J1061" s="43" t="str">
        <f>IFERROR(__xludf.DUMMYFUNCTION("""COMPUTED_VALUE"""),"İZMİR")</f>
        <v>İZMİR</v>
      </c>
      <c r="K1061" s="44" t="str">
        <f>IFERROR(__xludf.DUMMYFUNCTION("""COMPUTED_VALUE"""),"https://expa.aiesec.org/opportunities/1294410")</f>
        <v>https://expa.aiesec.org/opportunities/1294410</v>
      </c>
      <c r="L1061" s="43" t="str">
        <f>IFERROR(__xludf.DUMMYFUNCTION("""COMPUTED_VALUE"""),"GV")</f>
        <v>GV</v>
      </c>
      <c r="M1061" s="43" t="str">
        <f>IFERROR(__xludf.DUMMYFUNCTION("""COMPUTED_VALUE"""),"short")</f>
        <v>short</v>
      </c>
      <c r="N1061" s="45">
        <f>IFERROR(__xludf.DUMMYFUNCTION("""COMPUTED_VALUE"""),45098.0)</f>
        <v>45098</v>
      </c>
      <c r="O1061" s="45">
        <f>IFERROR(__xludf.DUMMYFUNCTION("""COMPUTED_VALUE"""),45138.0)</f>
        <v>45138</v>
      </c>
      <c r="P1061" s="45">
        <f>IFERROR(__xludf.DUMMYFUNCTION("""COMPUTED_VALUE"""),45180.0)</f>
        <v>45180</v>
      </c>
      <c r="Q1061" s="45">
        <f>IFERROR(__xludf.DUMMYFUNCTION("""COMPUTED_VALUE"""),45138.0)</f>
        <v>45138</v>
      </c>
      <c r="R1061" s="45">
        <f>IFERROR(__xludf.DUMMYFUNCTION("""COMPUTED_VALUE"""),45180.0)</f>
        <v>45180</v>
      </c>
      <c r="S1061" s="43"/>
      <c r="T1061" s="43"/>
      <c r="U1061" s="43" t="str">
        <f>IFERROR(__xludf.DUMMYFUNCTION("""COMPUTED_VALUE"""),"Global Classroom")</f>
        <v>Global Classroom</v>
      </c>
      <c r="V1061" s="43" t="str">
        <f>IFERROR(__xludf.DUMMYFUNCTION("""COMPUTED_VALUE"""),"Baku State University")</f>
        <v>Baku State University</v>
      </c>
      <c r="W1061" s="43" t="str">
        <f>IFERROR(__xludf.DUMMYFUNCTION("""COMPUTED_VALUE"""),"2023-06-08T16:58:46Z")</f>
        <v>2023-06-08T16:58:46Z</v>
      </c>
      <c r="X1061" s="43"/>
      <c r="Y1061" s="43"/>
      <c r="Z1061" s="43"/>
    </row>
    <row r="1062" hidden="1">
      <c r="A1062" s="43" t="str">
        <f>IFERROR(__xludf.DUMMYFUNCTION("""COMPUTED_VALUE"""),"5275182_1291336")</f>
        <v>5275182_1291336</v>
      </c>
      <c r="B1062" s="43" t="str">
        <f>IFERROR(__xludf.DUMMYFUNCTION("""COMPUTED_VALUE"""),"Narmin Bagirova")</f>
        <v>Narmin Bagirova</v>
      </c>
      <c r="C1062" s="43" t="str">
        <f>IFERROR(__xludf.DUMMYFUNCTION("""COMPUTED_VALUE"""),"completed")</f>
        <v>completed</v>
      </c>
      <c r="D1062" s="43" t="str">
        <f>IFERROR(__xludf.DUMMYFUNCTION("""COMPUTED_VALUE"""),"No")</f>
        <v>No</v>
      </c>
      <c r="E1062" s="43" t="str">
        <f>IFERROR(__xludf.DUMMYFUNCTION("""COMPUTED_VALUE"""),"p_fb095e10ac71c8daa8bc4226c6af2e3ce333e95a@inbound.aiesec.org")</f>
        <v>p_fb095e10ac71c8daa8bc4226c6af2e3ce333e95a@inbound.aiesec.org</v>
      </c>
      <c r="F1062" s="43"/>
      <c r="G1062" s="43" t="str">
        <f>IFERROR(__xludf.DUMMYFUNCTION("""COMPUTED_VALUE"""),"Azerbaijan")</f>
        <v>Azerbaijan</v>
      </c>
      <c r="H1062" s="43" t="str">
        <f>IFERROR(__xludf.DUMMYFUNCTION("""COMPUTED_VALUE"""),"Baku Qafqaz")</f>
        <v>Baku Qafqaz</v>
      </c>
      <c r="I1062" s="43" t="str">
        <f>IFERROR(__xludf.DUMMYFUNCTION("""COMPUTED_VALUE"""),"Turkey")</f>
        <v>Turkey</v>
      </c>
      <c r="J1062" s="43" t="str">
        <f>IFERROR(__xludf.DUMMYFUNCTION("""COMPUTED_VALUE"""),"DENIZLI")</f>
        <v>DENIZLI</v>
      </c>
      <c r="K1062" s="44" t="str">
        <f>IFERROR(__xludf.DUMMYFUNCTION("""COMPUTED_VALUE"""),"https://expa.aiesec.org/opportunities/1291336")</f>
        <v>https://expa.aiesec.org/opportunities/1291336</v>
      </c>
      <c r="L1062" s="43" t="str">
        <f>IFERROR(__xludf.DUMMYFUNCTION("""COMPUTED_VALUE"""),"GV")</f>
        <v>GV</v>
      </c>
      <c r="M1062" s="43" t="str">
        <f>IFERROR(__xludf.DUMMYFUNCTION("""COMPUTED_VALUE"""),"short")</f>
        <v>short</v>
      </c>
      <c r="N1062" s="45">
        <f>IFERROR(__xludf.DUMMYFUNCTION("""COMPUTED_VALUE"""),45098.0)</f>
        <v>45098</v>
      </c>
      <c r="O1062" s="45">
        <f>IFERROR(__xludf.DUMMYFUNCTION("""COMPUTED_VALUE"""),45124.0)</f>
        <v>45124</v>
      </c>
      <c r="P1062" s="45">
        <f>IFERROR(__xludf.DUMMYFUNCTION("""COMPUTED_VALUE"""),45166.0)</f>
        <v>45166</v>
      </c>
      <c r="Q1062" s="45">
        <f>IFERROR(__xludf.DUMMYFUNCTION("""COMPUTED_VALUE"""),45124.0)</f>
        <v>45124</v>
      </c>
      <c r="R1062" s="45">
        <f>IFERROR(__xludf.DUMMYFUNCTION("""COMPUTED_VALUE"""),45166.0)</f>
        <v>45166</v>
      </c>
      <c r="S1062" s="43"/>
      <c r="T1062" s="43"/>
      <c r="U1062" s="43" t="str">
        <f>IFERROR(__xludf.DUMMYFUNCTION("""COMPUTED_VALUE"""),"Global Classroom")</f>
        <v>Global Classroom</v>
      </c>
      <c r="V1062" s="43" t="str">
        <f>IFERROR(__xludf.DUMMYFUNCTION("""COMPUTED_VALUE"""),"-")</f>
        <v>-</v>
      </c>
      <c r="W1062" s="43" t="str">
        <f>IFERROR(__xludf.DUMMYFUNCTION("""COMPUTED_VALUE"""),"2023-06-14T10:12:55Z")</f>
        <v>2023-06-14T10:12:55Z</v>
      </c>
      <c r="X1062" s="43"/>
      <c r="Y1062" s="43"/>
      <c r="Z1062" s="43"/>
    </row>
    <row r="1063" hidden="1">
      <c r="A1063" s="43" t="str">
        <f>IFERROR(__xludf.DUMMYFUNCTION("""COMPUTED_VALUE"""),"5165785_1292557")</f>
        <v>5165785_1292557</v>
      </c>
      <c r="B1063" s="43" t="str">
        <f>IFERROR(__xludf.DUMMYFUNCTION("""COMPUTED_VALUE"""),"Rahma Hmida")</f>
        <v>Rahma Hmida</v>
      </c>
      <c r="C1063" s="43" t="str">
        <f>IFERROR(__xludf.DUMMYFUNCTION("""COMPUTED_VALUE"""),"completed")</f>
        <v>completed</v>
      </c>
      <c r="D1063" s="43" t="str">
        <f>IFERROR(__xludf.DUMMYFUNCTION("""COMPUTED_VALUE"""),"No")</f>
        <v>No</v>
      </c>
      <c r="E1063" s="43" t="str">
        <f>IFERROR(__xludf.DUMMYFUNCTION("""COMPUTED_VALUE"""),"p_3ccb5c8922bfbf81451619fcbab2e839247701fc@inbound.aiesec.org")</f>
        <v>p_3ccb5c8922bfbf81451619fcbab2e839247701fc@inbound.aiesec.org</v>
      </c>
      <c r="F1063" s="43">
        <f>IFERROR(__xludf.DUMMYFUNCTION("""COMPUTED_VALUE"""),5.8011188E7)</f>
        <v>58011188</v>
      </c>
      <c r="G1063" s="43" t="str">
        <f>IFERROR(__xludf.DUMMYFUNCTION("""COMPUTED_VALUE"""),"Tunisia")</f>
        <v>Tunisia</v>
      </c>
      <c r="H1063" s="43" t="str">
        <f>IFERROR(__xludf.DUMMYFUNCTION("""COMPUTED_VALUE"""),"NABEL")</f>
        <v>NABEL</v>
      </c>
      <c r="I1063" s="43" t="str">
        <f>IFERROR(__xludf.DUMMYFUNCTION("""COMPUTED_VALUE"""),"Turkey")</f>
        <v>Turkey</v>
      </c>
      <c r="J1063" s="43" t="str">
        <f>IFERROR(__xludf.DUMMYFUNCTION("""COMPUTED_VALUE"""),"DENIZLI")</f>
        <v>DENIZLI</v>
      </c>
      <c r="K1063" s="44" t="str">
        <f>IFERROR(__xludf.DUMMYFUNCTION("""COMPUTED_VALUE"""),"https://expa.aiesec.org/opportunities/1292557")</f>
        <v>https://expa.aiesec.org/opportunities/1292557</v>
      </c>
      <c r="L1063" s="43" t="str">
        <f>IFERROR(__xludf.DUMMYFUNCTION("""COMPUTED_VALUE"""),"GV")</f>
        <v>GV</v>
      </c>
      <c r="M1063" s="43" t="str">
        <f>IFERROR(__xludf.DUMMYFUNCTION("""COMPUTED_VALUE"""),"short")</f>
        <v>short</v>
      </c>
      <c r="N1063" s="45">
        <f>IFERROR(__xludf.DUMMYFUNCTION("""COMPUTED_VALUE"""),45099.0)</f>
        <v>45099</v>
      </c>
      <c r="O1063" s="45">
        <f>IFERROR(__xludf.DUMMYFUNCTION("""COMPUTED_VALUE"""),45117.0)</f>
        <v>45117</v>
      </c>
      <c r="P1063" s="45">
        <f>IFERROR(__xludf.DUMMYFUNCTION("""COMPUTED_VALUE"""),45159.0)</f>
        <v>45159</v>
      </c>
      <c r="Q1063" s="45">
        <f>IFERROR(__xludf.DUMMYFUNCTION("""COMPUTED_VALUE"""),45119.0)</f>
        <v>45119</v>
      </c>
      <c r="R1063" s="45">
        <f>IFERROR(__xludf.DUMMYFUNCTION("""COMPUTED_VALUE"""),45159.0)</f>
        <v>45159</v>
      </c>
      <c r="S1063" s="43"/>
      <c r="T1063" s="43"/>
      <c r="U1063" s="43" t="str">
        <f>IFERROR(__xludf.DUMMYFUNCTION("""COMPUTED_VALUE"""),"Equify")</f>
        <v>Equify</v>
      </c>
      <c r="V1063" s="43" t="str">
        <f>IFERROR(__xludf.DUMMYFUNCTION("""COMPUTED_VALUE"""),"ISET Nabel")</f>
        <v>ISET Nabel</v>
      </c>
      <c r="W1063" s="43" t="str">
        <f>IFERROR(__xludf.DUMMYFUNCTION("""COMPUTED_VALUE"""),"2022-12-13T16:51:17Z")</f>
        <v>2022-12-13T16:51:17Z</v>
      </c>
      <c r="X1063" s="43"/>
      <c r="Y1063" s="43"/>
      <c r="Z1063" s="43"/>
    </row>
    <row r="1064" hidden="1">
      <c r="A1064" s="43" t="str">
        <f>IFERROR(__xludf.DUMMYFUNCTION("""COMPUTED_VALUE"""),"4988053_1295572")</f>
        <v>4988053_1295572</v>
      </c>
      <c r="B1064" s="43" t="str">
        <f>IFERROR(__xludf.DUMMYFUNCTION("""COMPUTED_VALUE"""),"Ahsan Waseem Hanif")</f>
        <v>Ahsan Waseem Hanif</v>
      </c>
      <c r="C1064" s="43" t="str">
        <f>IFERROR(__xludf.DUMMYFUNCTION("""COMPUTED_VALUE"""),"finished")</f>
        <v>finished</v>
      </c>
      <c r="D1064" s="43" t="str">
        <f>IFERROR(__xludf.DUMMYFUNCTION("""COMPUTED_VALUE"""),"No")</f>
        <v>No</v>
      </c>
      <c r="E1064" s="43" t="str">
        <f>IFERROR(__xludf.DUMMYFUNCTION("""COMPUTED_VALUE"""),"p_9841ea0c5aee084d69c16a410fb8f21805bfb001@inbound.aiesec.org")</f>
        <v>p_9841ea0c5aee084d69c16a410fb8f21805bfb001@inbound.aiesec.org</v>
      </c>
      <c r="F1064" s="43">
        <f>IFERROR(__xludf.DUMMYFUNCTION("""COMPUTED_VALUE"""),3.03301117E9)</f>
        <v>3033011170</v>
      </c>
      <c r="G1064" s="43" t="str">
        <f>IFERROR(__xludf.DUMMYFUNCTION("""COMPUTED_VALUE"""),"Pakistan")</f>
        <v>Pakistan</v>
      </c>
      <c r="H1064" s="43" t="str">
        <f>IFERROR(__xludf.DUMMYFUNCTION("""COMPUTED_VALUE"""),"IBA")</f>
        <v>IBA</v>
      </c>
      <c r="I1064" s="43" t="str">
        <f>IFERROR(__xludf.DUMMYFUNCTION("""COMPUTED_VALUE"""),"Turkey")</f>
        <v>Turkey</v>
      </c>
      <c r="J1064" s="43" t="str">
        <f>IFERROR(__xludf.DUMMYFUNCTION("""COMPUTED_VALUE"""),"ESKISEHIR")</f>
        <v>ESKISEHIR</v>
      </c>
      <c r="K1064" s="44" t="str">
        <f>IFERROR(__xludf.DUMMYFUNCTION("""COMPUTED_VALUE"""),"https://expa.aiesec.org/opportunities/1295572")</f>
        <v>https://expa.aiesec.org/opportunities/1295572</v>
      </c>
      <c r="L1064" s="43" t="str">
        <f>IFERROR(__xludf.DUMMYFUNCTION("""COMPUTED_VALUE"""),"GV")</f>
        <v>GV</v>
      </c>
      <c r="M1064" s="43" t="str">
        <f>IFERROR(__xludf.DUMMYFUNCTION("""COMPUTED_VALUE"""),"short")</f>
        <v>short</v>
      </c>
      <c r="N1064" s="45">
        <f>IFERROR(__xludf.DUMMYFUNCTION("""COMPUTED_VALUE"""),45099.0)</f>
        <v>45099</v>
      </c>
      <c r="O1064" s="45">
        <f>IFERROR(__xludf.DUMMYFUNCTION("""COMPUTED_VALUE"""),45117.0)</f>
        <v>45117</v>
      </c>
      <c r="P1064" s="45">
        <f>IFERROR(__xludf.DUMMYFUNCTION("""COMPUTED_VALUE"""),45159.0)</f>
        <v>45159</v>
      </c>
      <c r="Q1064" s="45">
        <f>IFERROR(__xludf.DUMMYFUNCTION("""COMPUTED_VALUE"""),45126.0)</f>
        <v>45126</v>
      </c>
      <c r="R1064" s="45">
        <f>IFERROR(__xludf.DUMMYFUNCTION("""COMPUTED_VALUE"""),45168.0)</f>
        <v>45168</v>
      </c>
      <c r="S1064" s="43"/>
      <c r="T1064" s="43"/>
      <c r="U1064" s="43" t="str">
        <f>IFERROR(__xludf.DUMMYFUNCTION("""COMPUTED_VALUE"""),"Equify")</f>
        <v>Equify</v>
      </c>
      <c r="V1064" s="43" t="str">
        <f>IFERROR(__xludf.DUMMYFUNCTION("""COMPUTED_VALUE"""),"Karachi - IBA")</f>
        <v>Karachi - IBA</v>
      </c>
      <c r="W1064" s="43" t="str">
        <f>IFERROR(__xludf.DUMMYFUNCTION("""COMPUTED_VALUE"""),"2022-03-16T19:34:08Z")</f>
        <v>2022-03-16T19:34:08Z</v>
      </c>
      <c r="X1064" s="43"/>
      <c r="Y1064" s="43"/>
      <c r="Z1064" s="43"/>
    </row>
    <row r="1065" hidden="1">
      <c r="A1065" s="43" t="str">
        <f>IFERROR(__xludf.DUMMYFUNCTION("""COMPUTED_VALUE"""),"5165792_1291336")</f>
        <v>5165792_1291336</v>
      </c>
      <c r="B1065" s="43" t="str">
        <f>IFERROR(__xludf.DUMMYFUNCTION("""COMPUTED_VALUE"""),"Nourhene Brinci")</f>
        <v>Nourhene Brinci</v>
      </c>
      <c r="C1065" s="43" t="str">
        <f>IFERROR(__xludf.DUMMYFUNCTION("""COMPUTED_VALUE"""),"finished")</f>
        <v>finished</v>
      </c>
      <c r="D1065" s="43" t="str">
        <f>IFERROR(__xludf.DUMMYFUNCTION("""COMPUTED_VALUE"""),"No")</f>
        <v>No</v>
      </c>
      <c r="E1065" s="43" t="str">
        <f>IFERROR(__xludf.DUMMYFUNCTION("""COMPUTED_VALUE"""),"p_1011c0374655d9bd4149631e40b801c702b093cb@inbound.aiesec.org")</f>
        <v>p_1011c0374655d9bd4149631e40b801c702b093cb@inbound.aiesec.org</v>
      </c>
      <c r="F1065" s="43">
        <f>IFERROR(__xludf.DUMMYFUNCTION("""COMPUTED_VALUE"""),2.3433923E7)</f>
        <v>23433923</v>
      </c>
      <c r="G1065" s="43" t="str">
        <f>IFERROR(__xludf.DUMMYFUNCTION("""COMPUTED_VALUE"""),"Tunisia")</f>
        <v>Tunisia</v>
      </c>
      <c r="H1065" s="43" t="str">
        <f>IFERROR(__xludf.DUMMYFUNCTION("""COMPUTED_VALUE"""),"NABEL")</f>
        <v>NABEL</v>
      </c>
      <c r="I1065" s="43" t="str">
        <f>IFERROR(__xludf.DUMMYFUNCTION("""COMPUTED_VALUE"""),"Turkey")</f>
        <v>Turkey</v>
      </c>
      <c r="J1065" s="43" t="str">
        <f>IFERROR(__xludf.DUMMYFUNCTION("""COMPUTED_VALUE"""),"DENIZLI")</f>
        <v>DENIZLI</v>
      </c>
      <c r="K1065" s="44" t="str">
        <f>IFERROR(__xludf.DUMMYFUNCTION("""COMPUTED_VALUE"""),"https://expa.aiesec.org/opportunities/1291336")</f>
        <v>https://expa.aiesec.org/opportunities/1291336</v>
      </c>
      <c r="L1065" s="43" t="str">
        <f>IFERROR(__xludf.DUMMYFUNCTION("""COMPUTED_VALUE"""),"GV")</f>
        <v>GV</v>
      </c>
      <c r="M1065" s="43" t="str">
        <f>IFERROR(__xludf.DUMMYFUNCTION("""COMPUTED_VALUE"""),"short")</f>
        <v>short</v>
      </c>
      <c r="N1065" s="45">
        <f>IFERROR(__xludf.DUMMYFUNCTION("""COMPUTED_VALUE"""),45099.0)</f>
        <v>45099</v>
      </c>
      <c r="O1065" s="45">
        <f>IFERROR(__xludf.DUMMYFUNCTION("""COMPUTED_VALUE"""),45124.0)</f>
        <v>45124</v>
      </c>
      <c r="P1065" s="45">
        <f>IFERROR(__xludf.DUMMYFUNCTION("""COMPUTED_VALUE"""),45166.0)</f>
        <v>45166</v>
      </c>
      <c r="Q1065" s="45">
        <f>IFERROR(__xludf.DUMMYFUNCTION("""COMPUTED_VALUE"""),45127.0)</f>
        <v>45127</v>
      </c>
      <c r="R1065" s="45">
        <f>IFERROR(__xludf.DUMMYFUNCTION("""COMPUTED_VALUE"""),45167.0)</f>
        <v>45167</v>
      </c>
      <c r="S1065" s="43"/>
      <c r="T1065" s="43"/>
      <c r="U1065" s="43" t="str">
        <f>IFERROR(__xludf.DUMMYFUNCTION("""COMPUTED_VALUE"""),"Global Classroom")</f>
        <v>Global Classroom</v>
      </c>
      <c r="V1065" s="43" t="str">
        <f>IFERROR(__xludf.DUMMYFUNCTION("""COMPUTED_VALUE"""),"ISET Nabel")</f>
        <v>ISET Nabel</v>
      </c>
      <c r="W1065" s="43" t="str">
        <f>IFERROR(__xludf.DUMMYFUNCTION("""COMPUTED_VALUE"""),"2022-12-13T16:56:57Z")</f>
        <v>2022-12-13T16:56:57Z</v>
      </c>
      <c r="X1065" s="43"/>
      <c r="Y1065" s="43"/>
      <c r="Z1065" s="43"/>
    </row>
    <row r="1066" hidden="1">
      <c r="A1066" s="43" t="str">
        <f>IFERROR(__xludf.DUMMYFUNCTION("""COMPUTED_VALUE"""),"5145202_1286920")</f>
        <v>5145202_1286920</v>
      </c>
      <c r="B1066" s="43" t="str">
        <f>IFERROR(__xludf.DUMMYFUNCTION("""COMPUTED_VALUE"""),"Firas Ghrimil")</f>
        <v>Firas Ghrimil</v>
      </c>
      <c r="C1066" s="43" t="str">
        <f>IFERROR(__xludf.DUMMYFUNCTION("""COMPUTED_VALUE"""),"completed")</f>
        <v>completed</v>
      </c>
      <c r="D1066" s="43" t="str">
        <f>IFERROR(__xludf.DUMMYFUNCTION("""COMPUTED_VALUE"""),"No")</f>
        <v>No</v>
      </c>
      <c r="E1066" s="43" t="str">
        <f>IFERROR(__xludf.DUMMYFUNCTION("""COMPUTED_VALUE"""),"p_1170e53ff324f2cc759db31d421dd5a0d021558e@inbound.aiesec.org")</f>
        <v>p_1170e53ff324f2cc759db31d421dd5a0d021558e@inbound.aiesec.org</v>
      </c>
      <c r="F1066" s="43">
        <f>IFERROR(__xludf.DUMMYFUNCTION("""COMPUTED_VALUE"""),9.5339402E7)</f>
        <v>95339402</v>
      </c>
      <c r="G1066" s="43" t="str">
        <f>IFERROR(__xludf.DUMMYFUNCTION("""COMPUTED_VALUE"""),"Tunisia")</f>
        <v>Tunisia</v>
      </c>
      <c r="H1066" s="43" t="str">
        <f>IFERROR(__xludf.DUMMYFUNCTION("""COMPUTED_VALUE"""),"NABEL")</f>
        <v>NABEL</v>
      </c>
      <c r="I1066" s="43" t="str">
        <f>IFERROR(__xludf.DUMMYFUNCTION("""COMPUTED_VALUE"""),"Turkey")</f>
        <v>Turkey</v>
      </c>
      <c r="J1066" s="43" t="str">
        <f>IFERROR(__xludf.DUMMYFUNCTION("""COMPUTED_VALUE"""),"DENIZLI")</f>
        <v>DENIZLI</v>
      </c>
      <c r="K1066" s="44" t="str">
        <f>IFERROR(__xludf.DUMMYFUNCTION("""COMPUTED_VALUE"""),"https://expa.aiesec.org/opportunities/1286920")</f>
        <v>https://expa.aiesec.org/opportunities/1286920</v>
      </c>
      <c r="L1066" s="43" t="str">
        <f>IFERROR(__xludf.DUMMYFUNCTION("""COMPUTED_VALUE"""),"GV")</f>
        <v>GV</v>
      </c>
      <c r="M1066" s="43" t="str">
        <f>IFERROR(__xludf.DUMMYFUNCTION("""COMPUTED_VALUE"""),"short")</f>
        <v>short</v>
      </c>
      <c r="N1066" s="45">
        <f>IFERROR(__xludf.DUMMYFUNCTION("""COMPUTED_VALUE"""),45099.0)</f>
        <v>45099</v>
      </c>
      <c r="O1066" s="45">
        <f>IFERROR(__xludf.DUMMYFUNCTION("""COMPUTED_VALUE"""),45117.0)</f>
        <v>45117</v>
      </c>
      <c r="P1066" s="45">
        <f>IFERROR(__xludf.DUMMYFUNCTION("""COMPUTED_VALUE"""),45159.0)</f>
        <v>45159</v>
      </c>
      <c r="Q1066" s="45">
        <f>IFERROR(__xludf.DUMMYFUNCTION("""COMPUTED_VALUE"""),45119.0)</f>
        <v>45119</v>
      </c>
      <c r="R1066" s="45">
        <f>IFERROR(__xludf.DUMMYFUNCTION("""COMPUTED_VALUE"""),45159.0)</f>
        <v>45159</v>
      </c>
      <c r="S1066" s="43"/>
      <c r="T1066" s="43"/>
      <c r="U1066" s="43" t="str">
        <f>IFERROR(__xludf.DUMMYFUNCTION("""COMPUTED_VALUE"""),"Global Classroom")</f>
        <v>Global Classroom</v>
      </c>
      <c r="V1066" s="43" t="str">
        <f>IFERROR(__xludf.DUMMYFUNCTION("""COMPUTED_VALUE"""),"ISET Nabel")</f>
        <v>ISET Nabel</v>
      </c>
      <c r="W1066" s="43" t="str">
        <f>IFERROR(__xludf.DUMMYFUNCTION("""COMPUTED_VALUE"""),"2022-11-02T15:54:11Z")</f>
        <v>2022-11-02T15:54:11Z</v>
      </c>
      <c r="X1066" s="43"/>
      <c r="Y1066" s="43"/>
      <c r="Z1066" s="43"/>
    </row>
    <row r="1067" hidden="1">
      <c r="A1067" s="43" t="str">
        <f>IFERROR(__xludf.DUMMYFUNCTION("""COMPUTED_VALUE"""),"5276161_1296239")</f>
        <v>5276161_1296239</v>
      </c>
      <c r="B1067" s="43" t="str">
        <f>IFERROR(__xludf.DUMMYFUNCTION("""COMPUTED_VALUE"""),"arij bougarras")</f>
        <v>arij bougarras</v>
      </c>
      <c r="C1067" s="43" t="str">
        <f>IFERROR(__xludf.DUMMYFUNCTION("""COMPUTED_VALUE"""),"approved")</f>
        <v>approved</v>
      </c>
      <c r="D1067" s="43" t="str">
        <f>IFERROR(__xludf.DUMMYFUNCTION("""COMPUTED_VALUE"""),"No")</f>
        <v>No</v>
      </c>
      <c r="E1067" s="43" t="str">
        <f>IFERROR(__xludf.DUMMYFUNCTION("""COMPUTED_VALUE"""),"p_f1bb2556cc76de7b5620e1d0db4bc1cc6b8c98c8@inbound.aiesec.org")</f>
        <v>p_f1bb2556cc76de7b5620e1d0db4bc1cc6b8c98c8@inbound.aiesec.org</v>
      </c>
      <c r="F1067" s="43">
        <f>IFERROR(__xludf.DUMMYFUNCTION("""COMPUTED_VALUE"""),2.3622554E7)</f>
        <v>23622554</v>
      </c>
      <c r="G1067" s="43" t="str">
        <f>IFERROR(__xludf.DUMMYFUNCTION("""COMPUTED_VALUE"""),"Tunisia")</f>
        <v>Tunisia</v>
      </c>
      <c r="H1067" s="43" t="str">
        <f>IFERROR(__xludf.DUMMYFUNCTION("""COMPUTED_VALUE"""),"UNIVERSITY")</f>
        <v>UNIVERSITY</v>
      </c>
      <c r="I1067" s="43" t="str">
        <f>IFERROR(__xludf.DUMMYFUNCTION("""COMPUTED_VALUE"""),"Turkey")</f>
        <v>Turkey</v>
      </c>
      <c r="J1067" s="43" t="str">
        <f>IFERROR(__xludf.DUMMYFUNCTION("""COMPUTED_VALUE"""),"GAZIANTEP")</f>
        <v>GAZIANTEP</v>
      </c>
      <c r="K1067" s="44" t="str">
        <f>IFERROR(__xludf.DUMMYFUNCTION("""COMPUTED_VALUE"""),"https://expa.aiesec.org/opportunities/1296239")</f>
        <v>https://expa.aiesec.org/opportunities/1296239</v>
      </c>
      <c r="L1067" s="43" t="str">
        <f>IFERROR(__xludf.DUMMYFUNCTION("""COMPUTED_VALUE"""),"GV")</f>
        <v>GV</v>
      </c>
      <c r="M1067" s="43" t="str">
        <f>IFERROR(__xludf.DUMMYFUNCTION("""COMPUTED_VALUE"""),"short")</f>
        <v>short</v>
      </c>
      <c r="N1067" s="45">
        <f>IFERROR(__xludf.DUMMYFUNCTION("""COMPUTED_VALUE"""),45099.0)</f>
        <v>45099</v>
      </c>
      <c r="O1067" s="45">
        <f>IFERROR(__xludf.DUMMYFUNCTION("""COMPUTED_VALUE"""),45145.0)</f>
        <v>45145</v>
      </c>
      <c r="P1067" s="45">
        <f>IFERROR(__xludf.DUMMYFUNCTION("""COMPUTED_VALUE"""),45187.0)</f>
        <v>45187</v>
      </c>
      <c r="Q1067" s="45"/>
      <c r="R1067" s="45"/>
      <c r="S1067" s="43"/>
      <c r="T1067" s="43"/>
      <c r="U1067" s="43" t="str">
        <f>IFERROR(__xludf.DUMMYFUNCTION("""COMPUTED_VALUE"""),"Global Classroom")</f>
        <v>Global Classroom</v>
      </c>
      <c r="V1067" s="43" t="str">
        <f>IFERROR(__xludf.DUMMYFUNCTION("""COMPUTED_VALUE"""),"FST")</f>
        <v>FST</v>
      </c>
      <c r="W1067" s="43" t="str">
        <f>IFERROR(__xludf.DUMMYFUNCTION("""COMPUTED_VALUE"""),"2023-06-16T21:03:36Z")</f>
        <v>2023-06-16T21:03:36Z</v>
      </c>
      <c r="X1067" s="43"/>
      <c r="Y1067" s="43"/>
      <c r="Z1067" s="43"/>
    </row>
    <row r="1068" hidden="1">
      <c r="A1068" s="43" t="str">
        <f>IFERROR(__xludf.DUMMYFUNCTION("""COMPUTED_VALUE"""),"5273083_1288989")</f>
        <v>5273083_1288989</v>
      </c>
      <c r="B1068" s="43" t="str">
        <f>IFERROR(__xludf.DUMMYFUNCTION("""COMPUTED_VALUE"""),"Khalil Hajji")</f>
        <v>Khalil Hajji</v>
      </c>
      <c r="C1068" s="43" t="str">
        <f>IFERROR(__xludf.DUMMYFUNCTION("""COMPUTED_VALUE"""),"completed")</f>
        <v>completed</v>
      </c>
      <c r="D1068" s="43" t="str">
        <f>IFERROR(__xludf.DUMMYFUNCTION("""COMPUTED_VALUE"""),"No")</f>
        <v>No</v>
      </c>
      <c r="E1068" s="43" t="str">
        <f>IFERROR(__xludf.DUMMYFUNCTION("""COMPUTED_VALUE"""),"p_d38dc19c4f179728b098681c65d7a0b095a419f2@inbound.aiesec.org")</f>
        <v>p_d38dc19c4f179728b098681c65d7a0b095a419f2@inbound.aiesec.org</v>
      </c>
      <c r="F1068" s="43"/>
      <c r="G1068" s="43" t="str">
        <f>IFERROR(__xludf.DUMMYFUNCTION("""COMPUTED_VALUE"""),"Tunisia")</f>
        <v>Tunisia</v>
      </c>
      <c r="H1068" s="43" t="str">
        <f>IFERROR(__xludf.DUMMYFUNCTION("""COMPUTED_VALUE"""),"NABEL")</f>
        <v>NABEL</v>
      </c>
      <c r="I1068" s="43" t="str">
        <f>IFERROR(__xludf.DUMMYFUNCTION("""COMPUTED_VALUE"""),"Turkey")</f>
        <v>Turkey</v>
      </c>
      <c r="J1068" s="43" t="str">
        <f>IFERROR(__xludf.DUMMYFUNCTION("""COMPUTED_VALUE"""),"KUTAHYA")</f>
        <v>KUTAHYA</v>
      </c>
      <c r="K1068" s="44" t="str">
        <f>IFERROR(__xludf.DUMMYFUNCTION("""COMPUTED_VALUE"""),"https://expa.aiesec.org/opportunities/1288989")</f>
        <v>https://expa.aiesec.org/opportunities/1288989</v>
      </c>
      <c r="L1068" s="43" t="str">
        <f>IFERROR(__xludf.DUMMYFUNCTION("""COMPUTED_VALUE"""),"GV")</f>
        <v>GV</v>
      </c>
      <c r="M1068" s="43" t="str">
        <f>IFERROR(__xludf.DUMMYFUNCTION("""COMPUTED_VALUE"""),"short")</f>
        <v>short</v>
      </c>
      <c r="N1068" s="45">
        <f>IFERROR(__xludf.DUMMYFUNCTION("""COMPUTED_VALUE"""),45100.0)</f>
        <v>45100</v>
      </c>
      <c r="O1068" s="45">
        <f>IFERROR(__xludf.DUMMYFUNCTION("""COMPUTED_VALUE"""),45145.0)</f>
        <v>45145</v>
      </c>
      <c r="P1068" s="45">
        <f>IFERROR(__xludf.DUMMYFUNCTION("""COMPUTED_VALUE"""),45187.0)</f>
        <v>45187</v>
      </c>
      <c r="Q1068" s="45">
        <f>IFERROR(__xludf.DUMMYFUNCTION("""COMPUTED_VALUE"""),45143.0)</f>
        <v>45143</v>
      </c>
      <c r="R1068" s="45">
        <f>IFERROR(__xludf.DUMMYFUNCTION("""COMPUTED_VALUE"""),45187.0)</f>
        <v>45187</v>
      </c>
      <c r="S1068" s="43"/>
      <c r="T1068" s="43"/>
      <c r="U1068" s="43" t="str">
        <f>IFERROR(__xludf.DUMMYFUNCTION("""COMPUTED_VALUE"""),"Green Leaders")</f>
        <v>Green Leaders</v>
      </c>
      <c r="V1068" s="43" t="str">
        <f>IFERROR(__xludf.DUMMYFUNCTION("""COMPUTED_VALUE"""),"-")</f>
        <v>-</v>
      </c>
      <c r="W1068" s="43" t="str">
        <f>IFERROR(__xludf.DUMMYFUNCTION("""COMPUTED_VALUE"""),"2023-06-08T18:28:12Z")</f>
        <v>2023-06-08T18:28:12Z</v>
      </c>
      <c r="X1068" s="43"/>
      <c r="Y1068" s="43"/>
      <c r="Z1068" s="43"/>
    </row>
    <row r="1069" hidden="1">
      <c r="A1069" s="43" t="str">
        <f>IFERROR(__xludf.DUMMYFUNCTION("""COMPUTED_VALUE"""),"5274532_1295149")</f>
        <v>5274532_1295149</v>
      </c>
      <c r="B1069" s="43" t="str">
        <f>IFERROR(__xludf.DUMMYFUNCTION("""COMPUTED_VALUE"""),"Youssef Zariat")</f>
        <v>Youssef Zariat</v>
      </c>
      <c r="C1069" s="43" t="str">
        <f>IFERROR(__xludf.DUMMYFUNCTION("""COMPUTED_VALUE"""),"completed")</f>
        <v>completed</v>
      </c>
      <c r="D1069" s="43" t="str">
        <f>IFERROR(__xludf.DUMMYFUNCTION("""COMPUTED_VALUE"""),"No")</f>
        <v>No</v>
      </c>
      <c r="E1069" s="43" t="str">
        <f>IFERROR(__xludf.DUMMYFUNCTION("""COMPUTED_VALUE"""),"p_33b5b565988a387ffa20e5113d229e901e657b3d@inbound.aiesec.org")</f>
        <v>p_33b5b565988a387ffa20e5113d229e901e657b3d@inbound.aiesec.org</v>
      </c>
      <c r="F1069" s="43">
        <f>IFERROR(__xludf.DUMMYFUNCTION("""COMPUTED_VALUE"""),5.0331902E7)</f>
        <v>50331902</v>
      </c>
      <c r="G1069" s="43" t="str">
        <f>IFERROR(__xludf.DUMMYFUNCTION("""COMPUTED_VALUE"""),"Tunisia")</f>
        <v>Tunisia</v>
      </c>
      <c r="H1069" s="43" t="str">
        <f>IFERROR(__xludf.DUMMYFUNCTION("""COMPUTED_VALUE"""),"NABEL")</f>
        <v>NABEL</v>
      </c>
      <c r="I1069" s="43" t="str">
        <f>IFERROR(__xludf.DUMMYFUNCTION("""COMPUTED_VALUE"""),"Turkey")</f>
        <v>Turkey</v>
      </c>
      <c r="J1069" s="43" t="str">
        <f>IFERROR(__xludf.DUMMYFUNCTION("""COMPUTED_VALUE"""),"DENIZLI")</f>
        <v>DENIZLI</v>
      </c>
      <c r="K1069" s="44" t="str">
        <f>IFERROR(__xludf.DUMMYFUNCTION("""COMPUTED_VALUE"""),"https://expa.aiesec.org/opportunities/1295149")</f>
        <v>https://expa.aiesec.org/opportunities/1295149</v>
      </c>
      <c r="L1069" s="43" t="str">
        <f>IFERROR(__xludf.DUMMYFUNCTION("""COMPUTED_VALUE"""),"GV")</f>
        <v>GV</v>
      </c>
      <c r="M1069" s="43" t="str">
        <f>IFERROR(__xludf.DUMMYFUNCTION("""COMPUTED_VALUE"""),"short")</f>
        <v>short</v>
      </c>
      <c r="N1069" s="45">
        <f>IFERROR(__xludf.DUMMYFUNCTION("""COMPUTED_VALUE"""),45100.0)</f>
        <v>45100</v>
      </c>
      <c r="O1069" s="45">
        <f>IFERROR(__xludf.DUMMYFUNCTION("""COMPUTED_VALUE"""),45152.0)</f>
        <v>45152</v>
      </c>
      <c r="P1069" s="45">
        <f>IFERROR(__xludf.DUMMYFUNCTION("""COMPUTED_VALUE"""),45194.0)</f>
        <v>45194</v>
      </c>
      <c r="Q1069" s="45">
        <f>IFERROR(__xludf.DUMMYFUNCTION("""COMPUTED_VALUE"""),45153.0)</f>
        <v>45153</v>
      </c>
      <c r="R1069" s="45">
        <f>IFERROR(__xludf.DUMMYFUNCTION("""COMPUTED_VALUE"""),45194.0)</f>
        <v>45194</v>
      </c>
      <c r="S1069" s="43"/>
      <c r="T1069" s="43"/>
      <c r="U1069" s="43" t="str">
        <f>IFERROR(__xludf.DUMMYFUNCTION("""COMPUTED_VALUE"""),"Youth 4 Impact")</f>
        <v>Youth 4 Impact</v>
      </c>
      <c r="V1069" s="43" t="str">
        <f>IFERROR(__xludf.DUMMYFUNCTION("""COMPUTED_VALUE"""),"ISBAN")</f>
        <v>ISBAN</v>
      </c>
      <c r="W1069" s="43" t="str">
        <f>IFERROR(__xludf.DUMMYFUNCTION("""COMPUTED_VALUE"""),"2023-06-12T19:31:21Z")</f>
        <v>2023-06-12T19:31:21Z</v>
      </c>
      <c r="X1069" s="43"/>
      <c r="Y1069" s="43"/>
      <c r="Z1069" s="43"/>
    </row>
    <row r="1070" hidden="1">
      <c r="A1070" s="43" t="str">
        <f>IFERROR(__xludf.DUMMYFUNCTION("""COMPUTED_VALUE"""),"5277474_1295575")</f>
        <v>5277474_1295575</v>
      </c>
      <c r="B1070" s="43" t="str">
        <f>IFERROR(__xludf.DUMMYFUNCTION("""COMPUTED_VALUE"""),"Khadija Shakoor")</f>
        <v>Khadija Shakoor</v>
      </c>
      <c r="C1070" s="43" t="str">
        <f>IFERROR(__xludf.DUMMYFUNCTION("""COMPUTED_VALUE"""),"completed")</f>
        <v>completed</v>
      </c>
      <c r="D1070" s="43" t="str">
        <f>IFERROR(__xludf.DUMMYFUNCTION("""COMPUTED_VALUE"""),"No")</f>
        <v>No</v>
      </c>
      <c r="E1070" s="43" t="str">
        <f>IFERROR(__xludf.DUMMYFUNCTION("""COMPUTED_VALUE"""),"p_8a062a4f750b2a13dac6e66cda16b270cf917109@inbound.aiesec.org")</f>
        <v>p_8a062a4f750b2a13dac6e66cda16b270cf917109@inbound.aiesec.org</v>
      </c>
      <c r="F1070" s="43">
        <f>IFERROR(__xludf.DUMMYFUNCTION("""COMPUTED_VALUE"""),3.337467371E9)</f>
        <v>3337467371</v>
      </c>
      <c r="G1070" s="43" t="str">
        <f>IFERROR(__xludf.DUMMYFUNCTION("""COMPUTED_VALUE"""),"Pakistan")</f>
        <v>Pakistan</v>
      </c>
      <c r="H1070" s="43" t="str">
        <f>IFERROR(__xludf.DUMMYFUNCTION("""COMPUTED_VALUE"""),"Lahore - Pak")</f>
        <v>Lahore - Pak</v>
      </c>
      <c r="I1070" s="43" t="str">
        <f>IFERROR(__xludf.DUMMYFUNCTION("""COMPUTED_VALUE"""),"Turkey")</f>
        <v>Turkey</v>
      </c>
      <c r="J1070" s="43" t="str">
        <f>IFERROR(__xludf.DUMMYFUNCTION("""COMPUTED_VALUE"""),"ADANA")</f>
        <v>ADANA</v>
      </c>
      <c r="K1070" s="44" t="str">
        <f>IFERROR(__xludf.DUMMYFUNCTION("""COMPUTED_VALUE"""),"https://expa.aiesec.org/opportunities/1295575")</f>
        <v>https://expa.aiesec.org/opportunities/1295575</v>
      </c>
      <c r="L1070" s="43" t="str">
        <f>IFERROR(__xludf.DUMMYFUNCTION("""COMPUTED_VALUE"""),"GV")</f>
        <v>GV</v>
      </c>
      <c r="M1070" s="43" t="str">
        <f>IFERROR(__xludf.DUMMYFUNCTION("""COMPUTED_VALUE"""),"short")</f>
        <v>short</v>
      </c>
      <c r="N1070" s="45">
        <f>IFERROR(__xludf.DUMMYFUNCTION("""COMPUTED_VALUE"""),45100.0)</f>
        <v>45100</v>
      </c>
      <c r="O1070" s="45">
        <f>IFERROR(__xludf.DUMMYFUNCTION("""COMPUTED_VALUE"""),45138.0)</f>
        <v>45138</v>
      </c>
      <c r="P1070" s="45">
        <f>IFERROR(__xludf.DUMMYFUNCTION("""COMPUTED_VALUE"""),45184.0)</f>
        <v>45184</v>
      </c>
      <c r="Q1070" s="45">
        <f>IFERROR(__xludf.DUMMYFUNCTION("""COMPUTED_VALUE"""),45138.0)</f>
        <v>45138</v>
      </c>
      <c r="R1070" s="45">
        <f>IFERROR(__xludf.DUMMYFUNCTION("""COMPUTED_VALUE"""),45184.0)</f>
        <v>45184</v>
      </c>
      <c r="S1070" s="43"/>
      <c r="T1070" s="43"/>
      <c r="U1070" s="43" t="str">
        <f>IFERROR(__xludf.DUMMYFUNCTION("""COMPUTED_VALUE"""),"Global Classroom")</f>
        <v>Global Classroom</v>
      </c>
      <c r="V1070" s="43" t="str">
        <f>IFERROR(__xludf.DUMMYFUNCTION("""COMPUTED_VALUE"""),"Lahore - University of Lahore (UoL)")</f>
        <v>Lahore - University of Lahore (UoL)</v>
      </c>
      <c r="W1070" s="43" t="str">
        <f>IFERROR(__xludf.DUMMYFUNCTION("""COMPUTED_VALUE"""),"2023-06-20T11:22:49Z")</f>
        <v>2023-06-20T11:22:49Z</v>
      </c>
      <c r="X1070" s="43"/>
      <c r="Y1070" s="43"/>
      <c r="Z1070" s="43"/>
    </row>
    <row r="1071" hidden="1">
      <c r="A1071" s="43" t="str">
        <f>IFERROR(__xludf.DUMMYFUNCTION("""COMPUTED_VALUE"""),"5158674_1291336")</f>
        <v>5158674_1291336</v>
      </c>
      <c r="B1071" s="43" t="str">
        <f>IFERROR(__xludf.DUMMYFUNCTION("""COMPUTED_VALUE"""),"Moldir Agzamova")</f>
        <v>Moldir Agzamova</v>
      </c>
      <c r="C1071" s="43" t="str">
        <f>IFERROR(__xludf.DUMMYFUNCTION("""COMPUTED_VALUE"""),"completed")</f>
        <v>completed</v>
      </c>
      <c r="D1071" s="43" t="str">
        <f>IFERROR(__xludf.DUMMYFUNCTION("""COMPUTED_VALUE"""),"No")</f>
        <v>No</v>
      </c>
      <c r="E1071" s="43" t="str">
        <f>IFERROR(__xludf.DUMMYFUNCTION("""COMPUTED_VALUE"""),"p_7705c4578d5b4df3c3dc27397d5463669db4ae92@inbound.aiesec.org")</f>
        <v>p_7705c4578d5b4df3c3dc27397d5463669db4ae92@inbound.aiesec.org</v>
      </c>
      <c r="F1071" s="43">
        <f>IFERROR(__xludf.DUMMYFUNCTION("""COMPUTED_VALUE"""),7.475181157E9)</f>
        <v>7475181157</v>
      </c>
      <c r="G1071" s="43" t="str">
        <f>IFERROR(__xludf.DUMMYFUNCTION("""COMPUTED_VALUE"""),"Kazakhstan")</f>
        <v>Kazakhstan</v>
      </c>
      <c r="H1071" s="43" t="str">
        <f>IFERROR(__xludf.DUMMYFUNCTION("""COMPUTED_VALUE"""),"Astana")</f>
        <v>Astana</v>
      </c>
      <c r="I1071" s="43" t="str">
        <f>IFERROR(__xludf.DUMMYFUNCTION("""COMPUTED_VALUE"""),"Turkey")</f>
        <v>Turkey</v>
      </c>
      <c r="J1071" s="43" t="str">
        <f>IFERROR(__xludf.DUMMYFUNCTION("""COMPUTED_VALUE"""),"DENIZLI")</f>
        <v>DENIZLI</v>
      </c>
      <c r="K1071" s="44" t="str">
        <f>IFERROR(__xludf.DUMMYFUNCTION("""COMPUTED_VALUE"""),"https://expa.aiesec.org/opportunities/1291336")</f>
        <v>https://expa.aiesec.org/opportunities/1291336</v>
      </c>
      <c r="L1071" s="43" t="str">
        <f>IFERROR(__xludf.DUMMYFUNCTION("""COMPUTED_VALUE"""),"GV")</f>
        <v>GV</v>
      </c>
      <c r="M1071" s="43" t="str">
        <f>IFERROR(__xludf.DUMMYFUNCTION("""COMPUTED_VALUE"""),"short")</f>
        <v>short</v>
      </c>
      <c r="N1071" s="45">
        <f>IFERROR(__xludf.DUMMYFUNCTION("""COMPUTED_VALUE"""),45100.0)</f>
        <v>45100</v>
      </c>
      <c r="O1071" s="45">
        <f>IFERROR(__xludf.DUMMYFUNCTION("""COMPUTED_VALUE"""),45173.0)</f>
        <v>45173</v>
      </c>
      <c r="P1071" s="45">
        <f>IFERROR(__xludf.DUMMYFUNCTION("""COMPUTED_VALUE"""),45215.0)</f>
        <v>45215</v>
      </c>
      <c r="Q1071" s="45">
        <f>IFERROR(__xludf.DUMMYFUNCTION("""COMPUTED_VALUE"""),45176.0)</f>
        <v>45176</v>
      </c>
      <c r="R1071" s="45">
        <f>IFERROR(__xludf.DUMMYFUNCTION("""COMPUTED_VALUE"""),45216.0)</f>
        <v>45216</v>
      </c>
      <c r="S1071" s="43"/>
      <c r="T1071" s="43"/>
      <c r="U1071" s="43" t="str">
        <f>IFERROR(__xludf.DUMMYFUNCTION("""COMPUTED_VALUE"""),"Global Classroom")</f>
        <v>Global Classroom</v>
      </c>
      <c r="V1071" s="43" t="str">
        <f>IFERROR(__xludf.DUMMYFUNCTION("""COMPUTED_VALUE"""),"Astana")</f>
        <v>Astana</v>
      </c>
      <c r="W1071" s="43" t="str">
        <f>IFERROR(__xludf.DUMMYFUNCTION("""COMPUTED_VALUE"""),"2022-11-25T09:31:15Z")</f>
        <v>2022-11-25T09:31:15Z</v>
      </c>
      <c r="X1071" s="43"/>
      <c r="Y1071" s="43"/>
      <c r="Z1071" s="43"/>
    </row>
    <row r="1072" hidden="1">
      <c r="A1072" s="43" t="str">
        <f>IFERROR(__xludf.DUMMYFUNCTION("""COMPUTED_VALUE"""),"5278657_1294972")</f>
        <v>5278657_1294972</v>
      </c>
      <c r="B1072" s="43" t="str">
        <f>IFERROR(__xludf.DUMMYFUNCTION("""COMPUTED_VALUE"""),"Harshi Kesh")</f>
        <v>Harshi Kesh</v>
      </c>
      <c r="C1072" s="43" t="str">
        <f>IFERROR(__xludf.DUMMYFUNCTION("""COMPUTED_VALUE"""),"finished")</f>
        <v>finished</v>
      </c>
      <c r="D1072" s="43" t="str">
        <f>IFERROR(__xludf.DUMMYFUNCTION("""COMPUTED_VALUE"""),"No")</f>
        <v>No</v>
      </c>
      <c r="E1072" s="43" t="str">
        <f>IFERROR(__xludf.DUMMYFUNCTION("""COMPUTED_VALUE"""),"p_52285954e872c1a81e1f2a060e3497fcd8f12b14@inbound.aiesec.org")</f>
        <v>p_52285954e872c1a81e1f2a060e3497fcd8f12b14@inbound.aiesec.org</v>
      </c>
      <c r="F1072" s="43">
        <f>IFERROR(__xludf.DUMMYFUNCTION("""COMPUTED_VALUE"""),3.357707704E9)</f>
        <v>3357707704</v>
      </c>
      <c r="G1072" s="43" t="str">
        <f>IFERROR(__xludf.DUMMYFUNCTION("""COMPUTED_VALUE"""),"Pakistan")</f>
        <v>Pakistan</v>
      </c>
      <c r="H1072" s="43" t="str">
        <f>IFERROR(__xludf.DUMMYFUNCTION("""COMPUTED_VALUE"""),"IBA")</f>
        <v>IBA</v>
      </c>
      <c r="I1072" s="43" t="str">
        <f>IFERROR(__xludf.DUMMYFUNCTION("""COMPUTED_VALUE"""),"Turkey")</f>
        <v>Turkey</v>
      </c>
      <c r="J1072" s="43" t="str">
        <f>IFERROR(__xludf.DUMMYFUNCTION("""COMPUTED_VALUE"""),"ESKISEHIR")</f>
        <v>ESKISEHIR</v>
      </c>
      <c r="K1072" s="44" t="str">
        <f>IFERROR(__xludf.DUMMYFUNCTION("""COMPUTED_VALUE"""),"https://expa.aiesec.org/opportunities/1294972")</f>
        <v>https://expa.aiesec.org/opportunities/1294972</v>
      </c>
      <c r="L1072" s="43" t="str">
        <f>IFERROR(__xludf.DUMMYFUNCTION("""COMPUTED_VALUE"""),"GV")</f>
        <v>GV</v>
      </c>
      <c r="M1072" s="43" t="str">
        <f>IFERROR(__xludf.DUMMYFUNCTION("""COMPUTED_VALUE"""),"short")</f>
        <v>short</v>
      </c>
      <c r="N1072" s="45">
        <f>IFERROR(__xludf.DUMMYFUNCTION("""COMPUTED_VALUE"""),45101.0)</f>
        <v>45101</v>
      </c>
      <c r="O1072" s="45">
        <f>IFERROR(__xludf.DUMMYFUNCTION("""COMPUTED_VALUE"""),45110.0)</f>
        <v>45110</v>
      </c>
      <c r="P1072" s="45">
        <f>IFERROR(__xludf.DUMMYFUNCTION("""COMPUTED_VALUE"""),45152.0)</f>
        <v>45152</v>
      </c>
      <c r="Q1072" s="45">
        <f>IFERROR(__xludf.DUMMYFUNCTION("""COMPUTED_VALUE"""),45109.0)</f>
        <v>45109</v>
      </c>
      <c r="R1072" s="45">
        <f>IFERROR(__xludf.DUMMYFUNCTION("""COMPUTED_VALUE"""),45152.0)</f>
        <v>45152</v>
      </c>
      <c r="S1072" s="43"/>
      <c r="T1072" s="43"/>
      <c r="U1072" s="43" t="str">
        <f>IFERROR(__xludf.DUMMYFUNCTION("""COMPUTED_VALUE"""),"Global Classroom")</f>
        <v>Global Classroom</v>
      </c>
      <c r="V1072" s="43" t="str">
        <f>IFERROR(__xludf.DUMMYFUNCTION("""COMPUTED_VALUE"""),"Karachi - IBA")</f>
        <v>Karachi - IBA</v>
      </c>
      <c r="W1072" s="43" t="str">
        <f>IFERROR(__xludf.DUMMYFUNCTION("""COMPUTED_VALUE"""),"2023-06-23T12:17:50Z")</f>
        <v>2023-06-23T12:17:50Z</v>
      </c>
      <c r="X1072" s="43"/>
      <c r="Y1072" s="43"/>
      <c r="Z1072" s="43"/>
    </row>
    <row r="1073" hidden="1">
      <c r="A1073" s="43" t="str">
        <f>IFERROR(__xludf.DUMMYFUNCTION("""COMPUTED_VALUE"""),"5278479_1288582")</f>
        <v>5278479_1288582</v>
      </c>
      <c r="B1073" s="43" t="str">
        <f>IFERROR(__xludf.DUMMYFUNCTION("""COMPUTED_VALUE"""),"Muhammad Haris")</f>
        <v>Muhammad Haris</v>
      </c>
      <c r="C1073" s="43" t="str">
        <f>IFERROR(__xludf.DUMMYFUNCTION("""COMPUTED_VALUE"""),"completed")</f>
        <v>completed</v>
      </c>
      <c r="D1073" s="43" t="str">
        <f>IFERROR(__xludf.DUMMYFUNCTION("""COMPUTED_VALUE"""),"No")</f>
        <v>No</v>
      </c>
      <c r="E1073" s="43" t="str">
        <f>IFERROR(__xludf.DUMMYFUNCTION("""COMPUTED_VALUE"""),"p_261c581927cd00cf693f6225dd8ee1da780dca37@inbound.aiesec.org")</f>
        <v>p_261c581927cd00cf693f6225dd8ee1da780dca37@inbound.aiesec.org</v>
      </c>
      <c r="F1073" s="43"/>
      <c r="G1073" s="43" t="str">
        <f>IFERROR(__xludf.DUMMYFUNCTION("""COMPUTED_VALUE"""),"Pakistan")</f>
        <v>Pakistan</v>
      </c>
      <c r="H1073" s="43" t="str">
        <f>IFERROR(__xludf.DUMMYFUNCTION("""COMPUTED_VALUE"""),"Lahore - Pak")</f>
        <v>Lahore - Pak</v>
      </c>
      <c r="I1073" s="43" t="str">
        <f>IFERROR(__xludf.DUMMYFUNCTION("""COMPUTED_VALUE"""),"Turkey")</f>
        <v>Turkey</v>
      </c>
      <c r="J1073" s="43" t="str">
        <f>IFERROR(__xludf.DUMMYFUNCTION("""COMPUTED_VALUE"""),"GAZIANTEP")</f>
        <v>GAZIANTEP</v>
      </c>
      <c r="K1073" s="44" t="str">
        <f>IFERROR(__xludf.DUMMYFUNCTION("""COMPUTED_VALUE"""),"https://expa.aiesec.org/opportunities/1288582")</f>
        <v>https://expa.aiesec.org/opportunities/1288582</v>
      </c>
      <c r="L1073" s="43" t="str">
        <f>IFERROR(__xludf.DUMMYFUNCTION("""COMPUTED_VALUE"""),"GV")</f>
        <v>GV</v>
      </c>
      <c r="M1073" s="43" t="str">
        <f>IFERROR(__xludf.DUMMYFUNCTION("""COMPUTED_VALUE"""),"short")</f>
        <v>short</v>
      </c>
      <c r="N1073" s="45">
        <f>IFERROR(__xludf.DUMMYFUNCTION("""COMPUTED_VALUE"""),45101.0)</f>
        <v>45101</v>
      </c>
      <c r="O1073" s="45">
        <f>IFERROR(__xludf.DUMMYFUNCTION("""COMPUTED_VALUE"""),45140.0)</f>
        <v>45140</v>
      </c>
      <c r="P1073" s="45">
        <f>IFERROR(__xludf.DUMMYFUNCTION("""COMPUTED_VALUE"""),45182.0)</f>
        <v>45182</v>
      </c>
      <c r="Q1073" s="45">
        <f>IFERROR(__xludf.DUMMYFUNCTION("""COMPUTED_VALUE"""),45138.0)</f>
        <v>45138</v>
      </c>
      <c r="R1073" s="45">
        <f>IFERROR(__xludf.DUMMYFUNCTION("""COMPUTED_VALUE"""),45182.0)</f>
        <v>45182</v>
      </c>
      <c r="S1073" s="43"/>
      <c r="T1073" s="43"/>
      <c r="U1073" s="43" t="str">
        <f>IFERROR(__xludf.DUMMYFUNCTION("""COMPUTED_VALUE"""),"Global Classroom")</f>
        <v>Global Classroom</v>
      </c>
      <c r="V1073" s="43" t="str">
        <f>IFERROR(__xludf.DUMMYFUNCTION("""COMPUTED_VALUE"""),"-")</f>
        <v>-</v>
      </c>
      <c r="W1073" s="43" t="str">
        <f>IFERROR(__xludf.DUMMYFUNCTION("""COMPUTED_VALUE"""),"2023-06-22T20:07:49Z")</f>
        <v>2023-06-22T20:07:49Z</v>
      </c>
      <c r="X1073" s="43"/>
      <c r="Y1073" s="43"/>
      <c r="Z1073" s="43"/>
    </row>
    <row r="1074" hidden="1">
      <c r="A1074" s="43" t="str">
        <f>IFERROR(__xludf.DUMMYFUNCTION("""COMPUTED_VALUE"""),"4538034_1296101")</f>
        <v>4538034_1296101</v>
      </c>
      <c r="B1074" s="43" t="str">
        <f>IFERROR(__xludf.DUMMYFUNCTION("""COMPUTED_VALUE"""),"Abanoub Magdy Adly Megaly")</f>
        <v>Abanoub Magdy Adly Megaly</v>
      </c>
      <c r="C1074" s="43" t="str">
        <f>IFERROR(__xludf.DUMMYFUNCTION("""COMPUTED_VALUE"""),"approved")</f>
        <v>approved</v>
      </c>
      <c r="D1074" s="43" t="str">
        <f>IFERROR(__xludf.DUMMYFUNCTION("""COMPUTED_VALUE"""),"No")</f>
        <v>No</v>
      </c>
      <c r="E1074" s="43" t="str">
        <f>IFERROR(__xludf.DUMMYFUNCTION("""COMPUTED_VALUE"""),"p_12b07f1e9a4afaeb2173ef0b63d666f9803525a6@inbound.aiesec.org")</f>
        <v>p_12b07f1e9a4afaeb2173ef0b63d666f9803525a6@inbound.aiesec.org</v>
      </c>
      <c r="F1074" s="43">
        <f>IFERROR(__xludf.DUMMYFUNCTION("""COMPUTED_VALUE"""),1.201511347E9)</f>
        <v>1201511347</v>
      </c>
      <c r="G1074" s="43" t="str">
        <f>IFERROR(__xludf.DUMMYFUNCTION("""COMPUTED_VALUE"""),"Egypt")</f>
        <v>Egypt</v>
      </c>
      <c r="H1074" s="43" t="str">
        <f>IFERROR(__xludf.DUMMYFUNCTION("""COMPUTED_VALUE"""),"Alexandria")</f>
        <v>Alexandria</v>
      </c>
      <c r="I1074" s="43" t="str">
        <f>IFERROR(__xludf.DUMMYFUNCTION("""COMPUTED_VALUE"""),"Turkey")</f>
        <v>Turkey</v>
      </c>
      <c r="J1074" s="43" t="str">
        <f>IFERROR(__xludf.DUMMYFUNCTION("""COMPUTED_VALUE"""),"ANKARA")</f>
        <v>ANKARA</v>
      </c>
      <c r="K1074" s="44" t="str">
        <f>IFERROR(__xludf.DUMMYFUNCTION("""COMPUTED_VALUE"""),"https://expa.aiesec.org/opportunities/1296101")</f>
        <v>https://expa.aiesec.org/opportunities/1296101</v>
      </c>
      <c r="L1074" s="43" t="str">
        <f>IFERROR(__xludf.DUMMYFUNCTION("""COMPUTED_VALUE"""),"GV")</f>
        <v>GV</v>
      </c>
      <c r="M1074" s="43" t="str">
        <f>IFERROR(__xludf.DUMMYFUNCTION("""COMPUTED_VALUE"""),"short")</f>
        <v>short</v>
      </c>
      <c r="N1074" s="45">
        <f>IFERROR(__xludf.DUMMYFUNCTION("""COMPUTED_VALUE"""),45101.0)</f>
        <v>45101</v>
      </c>
      <c r="O1074" s="45">
        <f>IFERROR(__xludf.DUMMYFUNCTION("""COMPUTED_VALUE"""),45334.0)</f>
        <v>45334</v>
      </c>
      <c r="P1074" s="45">
        <f>IFERROR(__xludf.DUMMYFUNCTION("""COMPUTED_VALUE"""),45376.0)</f>
        <v>45376</v>
      </c>
      <c r="Q1074" s="45"/>
      <c r="R1074" s="45"/>
      <c r="S1074" s="43"/>
      <c r="T1074" s="43"/>
      <c r="U1074" s="43" t="str">
        <f>IFERROR(__xludf.DUMMYFUNCTION("""COMPUTED_VALUE"""),"Fingerprint")</f>
        <v>Fingerprint</v>
      </c>
      <c r="V1074" s="43" t="str">
        <f>IFERROR(__xludf.DUMMYFUNCTION("""COMPUTED_VALUE"""),"Alexandria University")</f>
        <v>Alexandria University</v>
      </c>
      <c r="W1074" s="43" t="str">
        <f>IFERROR(__xludf.DUMMYFUNCTION("""COMPUTED_VALUE"""),"2021-02-09T08:58:17Z")</f>
        <v>2021-02-09T08:58:17Z</v>
      </c>
      <c r="X1074" s="43"/>
      <c r="Y1074" s="43"/>
      <c r="Z1074" s="43"/>
    </row>
    <row r="1075" hidden="1">
      <c r="A1075" s="43" t="str">
        <f>IFERROR(__xludf.DUMMYFUNCTION("""COMPUTED_VALUE"""),"5276180_1296105")</f>
        <v>5276180_1296105</v>
      </c>
      <c r="B1075" s="43" t="str">
        <f>IFERROR(__xludf.DUMMYFUNCTION("""COMPUTED_VALUE"""),"Mostafa Mahmoud")</f>
        <v>Mostafa Mahmoud</v>
      </c>
      <c r="C1075" s="43" t="str">
        <f>IFERROR(__xludf.DUMMYFUNCTION("""COMPUTED_VALUE"""),"approved")</f>
        <v>approved</v>
      </c>
      <c r="D1075" s="43" t="str">
        <f>IFERROR(__xludf.DUMMYFUNCTION("""COMPUTED_VALUE"""),"No")</f>
        <v>No</v>
      </c>
      <c r="E1075" s="43" t="str">
        <f>IFERROR(__xludf.DUMMYFUNCTION("""COMPUTED_VALUE"""),"p_b0366010d748c319ed5bbce24574ae1349ca503c@inbound.aiesec.org")</f>
        <v>p_b0366010d748c319ed5bbce24574ae1349ca503c@inbound.aiesec.org</v>
      </c>
      <c r="F1075" s="43">
        <f>IFERROR(__xludf.DUMMYFUNCTION("""COMPUTED_VALUE"""),1.006529006E9)</f>
        <v>1006529006</v>
      </c>
      <c r="G1075" s="43" t="str">
        <f>IFERROR(__xludf.DUMMYFUNCTION("""COMPUTED_VALUE"""),"Egypt")</f>
        <v>Egypt</v>
      </c>
      <c r="H1075" s="43" t="str">
        <f>IFERROR(__xludf.DUMMYFUNCTION("""COMPUTED_VALUE"""),"Alexandria")</f>
        <v>Alexandria</v>
      </c>
      <c r="I1075" s="43" t="str">
        <f>IFERROR(__xludf.DUMMYFUNCTION("""COMPUTED_VALUE"""),"Turkey")</f>
        <v>Turkey</v>
      </c>
      <c r="J1075" s="43" t="str">
        <f>IFERROR(__xludf.DUMMYFUNCTION("""COMPUTED_VALUE"""),"ANKARA")</f>
        <v>ANKARA</v>
      </c>
      <c r="K1075" s="44" t="str">
        <f>IFERROR(__xludf.DUMMYFUNCTION("""COMPUTED_VALUE"""),"https://expa.aiesec.org/opportunities/1296105")</f>
        <v>https://expa.aiesec.org/opportunities/1296105</v>
      </c>
      <c r="L1075" s="43" t="str">
        <f>IFERROR(__xludf.DUMMYFUNCTION("""COMPUTED_VALUE"""),"GV")</f>
        <v>GV</v>
      </c>
      <c r="M1075" s="43" t="str">
        <f>IFERROR(__xludf.DUMMYFUNCTION("""COMPUTED_VALUE"""),"short")</f>
        <v>short</v>
      </c>
      <c r="N1075" s="45">
        <f>IFERROR(__xludf.DUMMYFUNCTION("""COMPUTED_VALUE"""),45101.0)</f>
        <v>45101</v>
      </c>
      <c r="O1075" s="45">
        <f>IFERROR(__xludf.DUMMYFUNCTION("""COMPUTED_VALUE"""),45180.0)</f>
        <v>45180</v>
      </c>
      <c r="P1075" s="45">
        <f>IFERROR(__xludf.DUMMYFUNCTION("""COMPUTED_VALUE"""),45222.0)</f>
        <v>45222</v>
      </c>
      <c r="Q1075" s="45"/>
      <c r="R1075" s="45"/>
      <c r="S1075" s="43"/>
      <c r="T1075" s="43"/>
      <c r="U1075" s="43" t="str">
        <f>IFERROR(__xludf.DUMMYFUNCTION("""COMPUTED_VALUE"""),"Fingerprint")</f>
        <v>Fingerprint</v>
      </c>
      <c r="V1075" s="43" t="str">
        <f>IFERROR(__xludf.DUMMYFUNCTION("""COMPUTED_VALUE"""),"Alexandria University")</f>
        <v>Alexandria University</v>
      </c>
      <c r="W1075" s="43" t="str">
        <f>IFERROR(__xludf.DUMMYFUNCTION("""COMPUTED_VALUE"""),"2023-06-16T21:30:25Z")</f>
        <v>2023-06-16T21:30:25Z</v>
      </c>
      <c r="X1075" s="43"/>
      <c r="Y1075" s="43"/>
      <c r="Z1075" s="43"/>
    </row>
    <row r="1076" hidden="1">
      <c r="A1076" s="43" t="str">
        <f>IFERROR(__xludf.DUMMYFUNCTION("""COMPUTED_VALUE"""),"5279227_1289100")</f>
        <v>5279227_1289100</v>
      </c>
      <c r="B1076" s="43" t="str">
        <f>IFERROR(__xludf.DUMMYFUNCTION("""COMPUTED_VALUE"""),"anoire jomaa")</f>
        <v>anoire jomaa</v>
      </c>
      <c r="C1076" s="43" t="str">
        <f>IFERROR(__xludf.DUMMYFUNCTION("""COMPUTED_VALUE"""),"completed")</f>
        <v>completed</v>
      </c>
      <c r="D1076" s="43" t="str">
        <f>IFERROR(__xludf.DUMMYFUNCTION("""COMPUTED_VALUE"""),"No")</f>
        <v>No</v>
      </c>
      <c r="E1076" s="43" t="str">
        <f>IFERROR(__xludf.DUMMYFUNCTION("""COMPUTED_VALUE"""),"p_3f1ff7455e9ecd1096b5d1419a936b1143e92b4b@inbound.aiesec.org")</f>
        <v>p_3f1ff7455e9ecd1096b5d1419a936b1143e92b4b@inbound.aiesec.org</v>
      </c>
      <c r="F1076" s="43">
        <f>IFERROR(__xludf.DUMMYFUNCTION("""COMPUTED_VALUE"""),5.3017296E7)</f>
        <v>53017296</v>
      </c>
      <c r="G1076" s="43" t="str">
        <f>IFERROR(__xludf.DUMMYFUNCTION("""COMPUTED_VALUE"""),"Tunisia")</f>
        <v>Tunisia</v>
      </c>
      <c r="H1076" s="43" t="str">
        <f>IFERROR(__xludf.DUMMYFUNCTION("""COMPUTED_VALUE"""),"HADRUMET")</f>
        <v>HADRUMET</v>
      </c>
      <c r="I1076" s="43" t="str">
        <f>IFERROR(__xludf.DUMMYFUNCTION("""COMPUTED_VALUE"""),"Turkey")</f>
        <v>Turkey</v>
      </c>
      <c r="J1076" s="43" t="str">
        <f>IFERROR(__xludf.DUMMYFUNCTION("""COMPUTED_VALUE"""),"KOCAELI")</f>
        <v>KOCAELI</v>
      </c>
      <c r="K1076" s="44" t="str">
        <f>IFERROR(__xludf.DUMMYFUNCTION("""COMPUTED_VALUE"""),"https://expa.aiesec.org/opportunities/1289100")</f>
        <v>https://expa.aiesec.org/opportunities/1289100</v>
      </c>
      <c r="L1076" s="43" t="str">
        <f>IFERROR(__xludf.DUMMYFUNCTION("""COMPUTED_VALUE"""),"GV")</f>
        <v>GV</v>
      </c>
      <c r="M1076" s="43" t="str">
        <f>IFERROR(__xludf.DUMMYFUNCTION("""COMPUTED_VALUE"""),"short")</f>
        <v>short</v>
      </c>
      <c r="N1076" s="45">
        <f>IFERROR(__xludf.DUMMYFUNCTION("""COMPUTED_VALUE"""),45102.0)</f>
        <v>45102</v>
      </c>
      <c r="O1076" s="45">
        <f>IFERROR(__xludf.DUMMYFUNCTION("""COMPUTED_VALUE"""),45152.0)</f>
        <v>45152</v>
      </c>
      <c r="P1076" s="45">
        <f>IFERROR(__xludf.DUMMYFUNCTION("""COMPUTED_VALUE"""),45194.0)</f>
        <v>45194</v>
      </c>
      <c r="Q1076" s="45">
        <f>IFERROR(__xludf.DUMMYFUNCTION("""COMPUTED_VALUE"""),45152.0)</f>
        <v>45152</v>
      </c>
      <c r="R1076" s="45">
        <f>IFERROR(__xludf.DUMMYFUNCTION("""COMPUTED_VALUE"""),45194.0)</f>
        <v>45194</v>
      </c>
      <c r="S1076" s="43"/>
      <c r="T1076" s="43"/>
      <c r="U1076" s="43" t="str">
        <f>IFERROR(__xludf.DUMMYFUNCTION("""COMPUTED_VALUE"""),"Global Classroom")</f>
        <v>Global Classroom</v>
      </c>
      <c r="V1076" s="43" t="str">
        <f>IFERROR(__xludf.DUMMYFUNCTION("""COMPUTED_VALUE"""),"IHEC Sousse")</f>
        <v>IHEC Sousse</v>
      </c>
      <c r="W1076" s="43" t="str">
        <f>IFERROR(__xludf.DUMMYFUNCTION("""COMPUTED_VALUE"""),"2023-06-25T13:07:44Z")</f>
        <v>2023-06-25T13:07:44Z</v>
      </c>
      <c r="X1076" s="43"/>
      <c r="Y1076" s="43"/>
      <c r="Z1076" s="43"/>
    </row>
    <row r="1077" hidden="1">
      <c r="A1077" s="43" t="str">
        <f>IFERROR(__xludf.DUMMYFUNCTION("""COMPUTED_VALUE"""),"5276265_1295458")</f>
        <v>5276265_1295458</v>
      </c>
      <c r="B1077" s="43" t="str">
        <f>IFERROR(__xludf.DUMMYFUNCTION("""COMPUTED_VALUE"""),"Aruzhan Kenjabayeva")</f>
        <v>Aruzhan Kenjabayeva</v>
      </c>
      <c r="C1077" s="43" t="str">
        <f>IFERROR(__xludf.DUMMYFUNCTION("""COMPUTED_VALUE"""),"finished")</f>
        <v>finished</v>
      </c>
      <c r="D1077" s="43" t="str">
        <f>IFERROR(__xludf.DUMMYFUNCTION("""COMPUTED_VALUE"""),"No")</f>
        <v>No</v>
      </c>
      <c r="E1077" s="43" t="str">
        <f>IFERROR(__xludf.DUMMYFUNCTION("""COMPUTED_VALUE"""),"p_3416da00c928887659390817aa3946852c056a68@inbound.aiesec.org")</f>
        <v>p_3416da00c928887659390817aa3946852c056a68@inbound.aiesec.org</v>
      </c>
      <c r="F1077" s="43">
        <f>IFERROR(__xludf.DUMMYFUNCTION("""COMPUTED_VALUE"""),7.779734115E9)</f>
        <v>7779734115</v>
      </c>
      <c r="G1077" s="43" t="str">
        <f>IFERROR(__xludf.DUMMYFUNCTION("""COMPUTED_VALUE"""),"Kazakhstan")</f>
        <v>Kazakhstan</v>
      </c>
      <c r="H1077" s="43" t="str">
        <f>IFERROR(__xludf.DUMMYFUNCTION("""COMPUTED_VALUE"""),"ALMATY")</f>
        <v>ALMATY</v>
      </c>
      <c r="I1077" s="43" t="str">
        <f>IFERROR(__xludf.DUMMYFUNCTION("""COMPUTED_VALUE"""),"Turkey")</f>
        <v>Turkey</v>
      </c>
      <c r="J1077" s="43" t="str">
        <f>IFERROR(__xludf.DUMMYFUNCTION("""COMPUTED_VALUE"""),"BURSA")</f>
        <v>BURSA</v>
      </c>
      <c r="K1077" s="44" t="str">
        <f>IFERROR(__xludf.DUMMYFUNCTION("""COMPUTED_VALUE"""),"https://expa.aiesec.org/opportunities/1295458")</f>
        <v>https://expa.aiesec.org/opportunities/1295458</v>
      </c>
      <c r="L1077" s="43" t="str">
        <f>IFERROR(__xludf.DUMMYFUNCTION("""COMPUTED_VALUE"""),"GV")</f>
        <v>GV</v>
      </c>
      <c r="M1077" s="43" t="str">
        <f>IFERROR(__xludf.DUMMYFUNCTION("""COMPUTED_VALUE"""),"short")</f>
        <v>short</v>
      </c>
      <c r="N1077" s="45">
        <f>IFERROR(__xludf.DUMMYFUNCTION("""COMPUTED_VALUE"""),45102.0)</f>
        <v>45102</v>
      </c>
      <c r="O1077" s="45">
        <f>IFERROR(__xludf.DUMMYFUNCTION("""COMPUTED_VALUE"""),45110.0)</f>
        <v>45110</v>
      </c>
      <c r="P1077" s="45">
        <f>IFERROR(__xludf.DUMMYFUNCTION("""COMPUTED_VALUE"""),45152.0)</f>
        <v>45152</v>
      </c>
      <c r="Q1077" s="45">
        <f>IFERROR(__xludf.DUMMYFUNCTION("""COMPUTED_VALUE"""),45109.0)</f>
        <v>45109</v>
      </c>
      <c r="R1077" s="45">
        <f>IFERROR(__xludf.DUMMYFUNCTION("""COMPUTED_VALUE"""),45152.0)</f>
        <v>45152</v>
      </c>
      <c r="S1077" s="43"/>
      <c r="T1077" s="43"/>
      <c r="U1077" s="43" t="str">
        <f>IFERROR(__xludf.DUMMYFUNCTION("""COMPUTED_VALUE"""),"Youth 4 Impact")</f>
        <v>Youth 4 Impact</v>
      </c>
      <c r="V1077" s="43" t="str">
        <f>IFERROR(__xludf.DUMMYFUNCTION("""COMPUTED_VALUE"""),"Shymkent")</f>
        <v>Shymkent</v>
      </c>
      <c r="W1077" s="43" t="str">
        <f>IFERROR(__xludf.DUMMYFUNCTION("""COMPUTED_VALUE"""),"2023-06-17T08:32:29Z")</f>
        <v>2023-06-17T08:32:29Z</v>
      </c>
      <c r="X1077" s="43"/>
      <c r="Y1077" s="43"/>
      <c r="Z1077" s="43"/>
    </row>
    <row r="1078" hidden="1">
      <c r="A1078" s="43" t="str">
        <f>IFERROR(__xludf.DUMMYFUNCTION("""COMPUTED_VALUE"""),"5279492_1287380")</f>
        <v>5279492_1287380</v>
      </c>
      <c r="B1078" s="43" t="str">
        <f>IFERROR(__xludf.DUMMYFUNCTION("""COMPUTED_VALUE"""),"malek takeli")</f>
        <v>malek takeli</v>
      </c>
      <c r="C1078" s="43" t="str">
        <f>IFERROR(__xludf.DUMMYFUNCTION("""COMPUTED_VALUE"""),"completed")</f>
        <v>completed</v>
      </c>
      <c r="D1078" s="43" t="str">
        <f>IFERROR(__xludf.DUMMYFUNCTION("""COMPUTED_VALUE"""),"No")</f>
        <v>No</v>
      </c>
      <c r="E1078" s="43" t="str">
        <f>IFERROR(__xludf.DUMMYFUNCTION("""COMPUTED_VALUE"""),"p_e2532afa5c8f4ece5869146b54a45204d1add4ea@inbound.aiesec.org")</f>
        <v>p_e2532afa5c8f4ece5869146b54a45204d1add4ea@inbound.aiesec.org</v>
      </c>
      <c r="F1078" s="43"/>
      <c r="G1078" s="43" t="str">
        <f>IFERROR(__xludf.DUMMYFUNCTION("""COMPUTED_VALUE"""),"Tunisia")</f>
        <v>Tunisia</v>
      </c>
      <c r="H1078" s="43" t="str">
        <f>IFERROR(__xludf.DUMMYFUNCTION("""COMPUTED_VALUE"""),"HADRUMET")</f>
        <v>HADRUMET</v>
      </c>
      <c r="I1078" s="43" t="str">
        <f>IFERROR(__xludf.DUMMYFUNCTION("""COMPUTED_VALUE"""),"Turkey")</f>
        <v>Turkey</v>
      </c>
      <c r="J1078" s="43" t="str">
        <f>IFERROR(__xludf.DUMMYFUNCTION("""COMPUTED_VALUE"""),"KOCAELI")</f>
        <v>KOCAELI</v>
      </c>
      <c r="K1078" s="44" t="str">
        <f>IFERROR(__xludf.DUMMYFUNCTION("""COMPUTED_VALUE"""),"https://expa.aiesec.org/opportunities/1287380")</f>
        <v>https://expa.aiesec.org/opportunities/1287380</v>
      </c>
      <c r="L1078" s="43" t="str">
        <f>IFERROR(__xludf.DUMMYFUNCTION("""COMPUTED_VALUE"""),"GV")</f>
        <v>GV</v>
      </c>
      <c r="M1078" s="43" t="str">
        <f>IFERROR(__xludf.DUMMYFUNCTION("""COMPUTED_VALUE"""),"short")</f>
        <v>short</v>
      </c>
      <c r="N1078" s="45">
        <f>IFERROR(__xludf.DUMMYFUNCTION("""COMPUTED_VALUE"""),45103.0)</f>
        <v>45103</v>
      </c>
      <c r="O1078" s="45">
        <f>IFERROR(__xludf.DUMMYFUNCTION("""COMPUTED_VALUE"""),45110.0)</f>
        <v>45110</v>
      </c>
      <c r="P1078" s="45">
        <f>IFERROR(__xludf.DUMMYFUNCTION("""COMPUTED_VALUE"""),45152.0)</f>
        <v>45152</v>
      </c>
      <c r="Q1078" s="45">
        <f>IFERROR(__xludf.DUMMYFUNCTION("""COMPUTED_VALUE"""),45103.0)</f>
        <v>45103</v>
      </c>
      <c r="R1078" s="45">
        <f>IFERROR(__xludf.DUMMYFUNCTION("""COMPUTED_VALUE"""),45152.0)</f>
        <v>45152</v>
      </c>
      <c r="S1078" s="43"/>
      <c r="T1078" s="43"/>
      <c r="U1078" s="43" t="str">
        <f>IFERROR(__xludf.DUMMYFUNCTION("""COMPUTED_VALUE"""),"Global Classroom")</f>
        <v>Global Classroom</v>
      </c>
      <c r="V1078" s="43" t="str">
        <f>IFERROR(__xludf.DUMMYFUNCTION("""COMPUTED_VALUE"""),"IHEC Sousse")</f>
        <v>IHEC Sousse</v>
      </c>
      <c r="W1078" s="43" t="str">
        <f>IFERROR(__xludf.DUMMYFUNCTION("""COMPUTED_VALUE"""),"2023-06-26T10:58:32Z")</f>
        <v>2023-06-26T10:58:32Z</v>
      </c>
      <c r="X1078" s="43"/>
      <c r="Y1078" s="43"/>
      <c r="Z1078" s="43"/>
    </row>
    <row r="1079" hidden="1">
      <c r="A1079" s="43" t="str">
        <f>IFERROR(__xludf.DUMMYFUNCTION("""COMPUTED_VALUE"""),"5228934_1294878")</f>
        <v>5228934_1294878</v>
      </c>
      <c r="B1079" s="43" t="str">
        <f>IFERROR(__xludf.DUMMYFUNCTION("""COMPUTED_VALUE"""),"Firdaous Abjiou")</f>
        <v>Firdaous Abjiou</v>
      </c>
      <c r="C1079" s="43" t="str">
        <f>IFERROR(__xludf.DUMMYFUNCTION("""COMPUTED_VALUE"""),"approved")</f>
        <v>approved</v>
      </c>
      <c r="D1079" s="43" t="str">
        <f>IFERROR(__xludf.DUMMYFUNCTION("""COMPUTED_VALUE"""),"No")</f>
        <v>No</v>
      </c>
      <c r="E1079" s="43" t="str">
        <f>IFERROR(__xludf.DUMMYFUNCTION("""COMPUTED_VALUE"""),"p_206531345017e704e9402f98aecb975385a2a7b2@inbound.aiesec.org")</f>
        <v>p_206531345017e704e9402f98aecb975385a2a7b2@inbound.aiesec.org</v>
      </c>
      <c r="F1079" s="43"/>
      <c r="G1079" s="43" t="str">
        <f>IFERROR(__xludf.DUMMYFUNCTION("""COMPUTED_VALUE"""),"Morocco")</f>
        <v>Morocco</v>
      </c>
      <c r="H1079" s="43" t="str">
        <f>IFERROR(__xludf.DUMMYFUNCTION("""COMPUTED_VALUE"""),"Tetouan")</f>
        <v>Tetouan</v>
      </c>
      <c r="I1079" s="43" t="str">
        <f>IFERROR(__xludf.DUMMYFUNCTION("""COMPUTED_VALUE"""),"Turkey")</f>
        <v>Turkey</v>
      </c>
      <c r="J1079" s="43" t="str">
        <f>IFERROR(__xludf.DUMMYFUNCTION("""COMPUTED_VALUE"""),"BURSA")</f>
        <v>BURSA</v>
      </c>
      <c r="K1079" s="44" t="str">
        <f>IFERROR(__xludf.DUMMYFUNCTION("""COMPUTED_VALUE"""),"https://expa.aiesec.org/opportunities/1294878")</f>
        <v>https://expa.aiesec.org/opportunities/1294878</v>
      </c>
      <c r="L1079" s="43" t="str">
        <f>IFERROR(__xludf.DUMMYFUNCTION("""COMPUTED_VALUE"""),"GV")</f>
        <v>GV</v>
      </c>
      <c r="M1079" s="43" t="str">
        <f>IFERROR(__xludf.DUMMYFUNCTION("""COMPUTED_VALUE"""),"short")</f>
        <v>short</v>
      </c>
      <c r="N1079" s="45">
        <f>IFERROR(__xludf.DUMMYFUNCTION("""COMPUTED_VALUE"""),45103.0)</f>
        <v>45103</v>
      </c>
      <c r="O1079" s="45">
        <f>IFERROR(__xludf.DUMMYFUNCTION("""COMPUTED_VALUE"""),45250.0)</f>
        <v>45250</v>
      </c>
      <c r="P1079" s="45">
        <f>IFERROR(__xludf.DUMMYFUNCTION("""COMPUTED_VALUE"""),45292.0)</f>
        <v>45292</v>
      </c>
      <c r="Q1079" s="45"/>
      <c r="R1079" s="45"/>
      <c r="S1079" s="43"/>
      <c r="T1079" s="43"/>
      <c r="U1079" s="43" t="str">
        <f>IFERROR(__xludf.DUMMYFUNCTION("""COMPUTED_VALUE"""),"Youth 4 Impact")</f>
        <v>Youth 4 Impact</v>
      </c>
      <c r="V1079" s="43" t="str">
        <f>IFERROR(__xludf.DUMMYFUNCTION("""COMPUTED_VALUE"""),"Other-TETOUAN")</f>
        <v>Other-TETOUAN</v>
      </c>
      <c r="W1079" s="43" t="str">
        <f>IFERROR(__xludf.DUMMYFUNCTION("""COMPUTED_VALUE"""),"2023-03-28T11:38:05Z")</f>
        <v>2023-03-28T11:38:05Z</v>
      </c>
      <c r="X1079" s="43"/>
      <c r="Y1079" s="43"/>
      <c r="Z1079" s="43"/>
    </row>
    <row r="1080" hidden="1">
      <c r="A1080" s="43" t="str">
        <f>IFERROR(__xludf.DUMMYFUNCTION("""COMPUTED_VALUE"""),"5279241_1288611")</f>
        <v>5279241_1288611</v>
      </c>
      <c r="B1080" s="43" t="str">
        <f>IFERROR(__xludf.DUMMYFUNCTION("""COMPUTED_VALUE"""),"Amel Boussaid")</f>
        <v>Amel Boussaid</v>
      </c>
      <c r="C1080" s="43" t="str">
        <f>IFERROR(__xludf.DUMMYFUNCTION("""COMPUTED_VALUE"""),"completed")</f>
        <v>completed</v>
      </c>
      <c r="D1080" s="43" t="str">
        <f>IFERROR(__xludf.DUMMYFUNCTION("""COMPUTED_VALUE"""),"No")</f>
        <v>No</v>
      </c>
      <c r="E1080" s="43" t="str">
        <f>IFERROR(__xludf.DUMMYFUNCTION("""COMPUTED_VALUE"""),"p_0d63371871b3c46bafa0c1fbf1d956fa5d82c7aa@inbound.aiesec.org")</f>
        <v>p_0d63371871b3c46bafa0c1fbf1d956fa5d82c7aa@inbound.aiesec.org</v>
      </c>
      <c r="F1080" s="43">
        <f>IFERROR(__xludf.DUMMYFUNCTION("""COMPUTED_VALUE"""),6.66790499E8)</f>
        <v>666790499</v>
      </c>
      <c r="G1080" s="43" t="str">
        <f>IFERROR(__xludf.DUMMYFUNCTION("""COMPUTED_VALUE"""),"Algeria")</f>
        <v>Algeria</v>
      </c>
      <c r="H1080" s="43" t="str">
        <f>IFERROR(__xludf.DUMMYFUNCTION("""COMPUTED_VALUE"""),"Oran")</f>
        <v>Oran</v>
      </c>
      <c r="I1080" s="43" t="str">
        <f>IFERROR(__xludf.DUMMYFUNCTION("""COMPUTED_VALUE"""),"Turkey")</f>
        <v>Turkey</v>
      </c>
      <c r="J1080" s="43" t="str">
        <f>IFERROR(__xludf.DUMMYFUNCTION("""COMPUTED_VALUE"""),"ISTANBUL")</f>
        <v>ISTANBUL</v>
      </c>
      <c r="K1080" s="44" t="str">
        <f>IFERROR(__xludf.DUMMYFUNCTION("""COMPUTED_VALUE"""),"https://expa.aiesec.org/opportunities/1288611")</f>
        <v>https://expa.aiesec.org/opportunities/1288611</v>
      </c>
      <c r="L1080" s="43" t="str">
        <f>IFERROR(__xludf.DUMMYFUNCTION("""COMPUTED_VALUE"""),"GV")</f>
        <v>GV</v>
      </c>
      <c r="M1080" s="43" t="str">
        <f>IFERROR(__xludf.DUMMYFUNCTION("""COMPUTED_VALUE"""),"short")</f>
        <v>short</v>
      </c>
      <c r="N1080" s="45">
        <f>IFERROR(__xludf.DUMMYFUNCTION("""COMPUTED_VALUE"""),45104.0)</f>
        <v>45104</v>
      </c>
      <c r="O1080" s="45">
        <f>IFERROR(__xludf.DUMMYFUNCTION("""COMPUTED_VALUE"""),45145.0)</f>
        <v>45145</v>
      </c>
      <c r="P1080" s="45">
        <f>IFERROR(__xludf.DUMMYFUNCTION("""COMPUTED_VALUE"""),45187.0)</f>
        <v>45187</v>
      </c>
      <c r="Q1080" s="45">
        <f>IFERROR(__xludf.DUMMYFUNCTION("""COMPUTED_VALUE"""),45152.0)</f>
        <v>45152</v>
      </c>
      <c r="R1080" s="45">
        <f>IFERROR(__xludf.DUMMYFUNCTION("""COMPUTED_VALUE"""),45192.0)</f>
        <v>45192</v>
      </c>
      <c r="S1080" s="43"/>
      <c r="T1080" s="43"/>
      <c r="U1080" s="43" t="str">
        <f>IFERROR(__xludf.DUMMYFUNCTION("""COMPUTED_VALUE"""),"Global Classroom")</f>
        <v>Global Classroom</v>
      </c>
      <c r="V1080" s="43" t="str">
        <f>IFERROR(__xludf.DUMMYFUNCTION("""COMPUTED_VALUE"""),"AIESEC in Oran")</f>
        <v>AIESEC in Oran</v>
      </c>
      <c r="W1080" s="43" t="str">
        <f>IFERROR(__xludf.DUMMYFUNCTION("""COMPUTED_VALUE"""),"2023-06-25T13:29:18Z")</f>
        <v>2023-06-25T13:29:18Z</v>
      </c>
      <c r="X1080" s="43"/>
      <c r="Y1080" s="43"/>
      <c r="Z1080" s="43"/>
    </row>
    <row r="1081" hidden="1">
      <c r="A1081" s="43" t="str">
        <f>IFERROR(__xludf.DUMMYFUNCTION("""COMPUTED_VALUE"""),"5277210_1280872")</f>
        <v>5277210_1280872</v>
      </c>
      <c r="B1081" s="43" t="str">
        <f>IFERROR(__xludf.DUMMYFUNCTION("""COMPUTED_VALUE"""),"lallouani sanaa")</f>
        <v>lallouani sanaa</v>
      </c>
      <c r="C1081" s="43" t="str">
        <f>IFERROR(__xludf.DUMMYFUNCTION("""COMPUTED_VALUE"""),"approved")</f>
        <v>approved</v>
      </c>
      <c r="D1081" s="43" t="str">
        <f>IFERROR(__xludf.DUMMYFUNCTION("""COMPUTED_VALUE"""),"No")</f>
        <v>No</v>
      </c>
      <c r="E1081" s="43" t="str">
        <f>IFERROR(__xludf.DUMMYFUNCTION("""COMPUTED_VALUE"""),"p_2865471ad8e6ba04ea4b85069b66f97ef9119f26@inbound.aiesec.org")</f>
        <v>p_2865471ad8e6ba04ea4b85069b66f97ef9119f26@inbound.aiesec.org</v>
      </c>
      <c r="F1081" s="43">
        <f>IFERROR(__xludf.DUMMYFUNCTION("""COMPUTED_VALUE"""),6.75286183E8)</f>
        <v>675286183</v>
      </c>
      <c r="G1081" s="43" t="str">
        <f>IFERROR(__xludf.DUMMYFUNCTION("""COMPUTED_VALUE"""),"Algeria")</f>
        <v>Algeria</v>
      </c>
      <c r="H1081" s="43" t="str">
        <f>IFERROR(__xludf.DUMMYFUNCTION("""COMPUTED_VALUE"""),"Oran")</f>
        <v>Oran</v>
      </c>
      <c r="I1081" s="43" t="str">
        <f>IFERROR(__xludf.DUMMYFUNCTION("""COMPUTED_VALUE"""),"Turkey")</f>
        <v>Turkey</v>
      </c>
      <c r="J1081" s="43" t="str">
        <f>IFERROR(__xludf.DUMMYFUNCTION("""COMPUTED_VALUE"""),"KOCAELI")</f>
        <v>KOCAELI</v>
      </c>
      <c r="K1081" s="44" t="str">
        <f>IFERROR(__xludf.DUMMYFUNCTION("""COMPUTED_VALUE"""),"https://expa.aiesec.org/opportunities/1280872")</f>
        <v>https://expa.aiesec.org/opportunities/1280872</v>
      </c>
      <c r="L1081" s="43" t="str">
        <f>IFERROR(__xludf.DUMMYFUNCTION("""COMPUTED_VALUE"""),"GV")</f>
        <v>GV</v>
      </c>
      <c r="M1081" s="43" t="str">
        <f>IFERROR(__xludf.DUMMYFUNCTION("""COMPUTED_VALUE"""),"short")</f>
        <v>short</v>
      </c>
      <c r="N1081" s="45">
        <f>IFERROR(__xludf.DUMMYFUNCTION("""COMPUTED_VALUE"""),45104.0)</f>
        <v>45104</v>
      </c>
      <c r="O1081" s="45">
        <f>IFERROR(__xludf.DUMMYFUNCTION("""COMPUTED_VALUE"""),45145.0)</f>
        <v>45145</v>
      </c>
      <c r="P1081" s="45">
        <f>IFERROR(__xludf.DUMMYFUNCTION("""COMPUTED_VALUE"""),45187.0)</f>
        <v>45187</v>
      </c>
      <c r="Q1081" s="45"/>
      <c r="R1081" s="45"/>
      <c r="S1081" s="43"/>
      <c r="T1081" s="43"/>
      <c r="U1081" s="43" t="str">
        <f>IFERROR(__xludf.DUMMYFUNCTION("""COMPUTED_VALUE"""),"Skill Up!")</f>
        <v>Skill Up!</v>
      </c>
      <c r="V1081" s="43" t="str">
        <f>IFERROR(__xludf.DUMMYFUNCTION("""COMPUTED_VALUE"""),"AIESEC in Oran")</f>
        <v>AIESEC in Oran</v>
      </c>
      <c r="W1081" s="43" t="str">
        <f>IFERROR(__xludf.DUMMYFUNCTION("""COMPUTED_VALUE"""),"2023-06-19T19:50:51Z")</f>
        <v>2023-06-19T19:50:51Z</v>
      </c>
      <c r="X1081" s="43"/>
      <c r="Y1081" s="43"/>
      <c r="Z1081" s="43"/>
    </row>
    <row r="1082" hidden="1">
      <c r="A1082" s="43" t="str">
        <f>IFERROR(__xludf.DUMMYFUNCTION("""COMPUTED_VALUE"""),"3908255_1295461")</f>
        <v>3908255_1295461</v>
      </c>
      <c r="B1082" s="43" t="str">
        <f>IFERROR(__xludf.DUMMYFUNCTION("""COMPUTED_VALUE"""),"Assmaa Massouf")</f>
        <v>Assmaa Massouf</v>
      </c>
      <c r="C1082" s="43" t="str">
        <f>IFERROR(__xludf.DUMMYFUNCTION("""COMPUTED_VALUE"""),"completed")</f>
        <v>completed</v>
      </c>
      <c r="D1082" s="43" t="str">
        <f>IFERROR(__xludf.DUMMYFUNCTION("""COMPUTED_VALUE"""),"No")</f>
        <v>No</v>
      </c>
      <c r="E1082" s="43" t="str">
        <f>IFERROR(__xludf.DUMMYFUNCTION("""COMPUTED_VALUE"""),"p_d03156eaf308e5954551fa83d07ccf952a244eaf@inbound.aiesec.org")</f>
        <v>p_d03156eaf308e5954551fa83d07ccf952a244eaf@inbound.aiesec.org</v>
      </c>
      <c r="F1082" s="43">
        <f>IFERROR(__xludf.DUMMYFUNCTION("""COMPUTED_VALUE"""),7.71966453E8)</f>
        <v>771966453</v>
      </c>
      <c r="G1082" s="43" t="str">
        <f>IFERROR(__xludf.DUMMYFUNCTION("""COMPUTED_VALUE"""),"Morocco")</f>
        <v>Morocco</v>
      </c>
      <c r="H1082" s="43" t="str">
        <f>IFERROR(__xludf.DUMMYFUNCTION("""COMPUTED_VALUE"""),"Morocco (MC)")</f>
        <v>Morocco (MC)</v>
      </c>
      <c r="I1082" s="43" t="str">
        <f>IFERROR(__xludf.DUMMYFUNCTION("""COMPUTED_VALUE"""),"Turkey")</f>
        <v>Turkey</v>
      </c>
      <c r="J1082" s="43" t="str">
        <f>IFERROR(__xludf.DUMMYFUNCTION("""COMPUTED_VALUE"""),"BURSA")</f>
        <v>BURSA</v>
      </c>
      <c r="K1082" s="44" t="str">
        <f>IFERROR(__xludf.DUMMYFUNCTION("""COMPUTED_VALUE"""),"https://expa.aiesec.org/opportunities/1295461")</f>
        <v>https://expa.aiesec.org/opportunities/1295461</v>
      </c>
      <c r="L1082" s="43" t="str">
        <f>IFERROR(__xludf.DUMMYFUNCTION("""COMPUTED_VALUE"""),"GV")</f>
        <v>GV</v>
      </c>
      <c r="M1082" s="43" t="str">
        <f>IFERROR(__xludf.DUMMYFUNCTION("""COMPUTED_VALUE"""),"short")</f>
        <v>short</v>
      </c>
      <c r="N1082" s="45">
        <f>IFERROR(__xludf.DUMMYFUNCTION("""COMPUTED_VALUE"""),45104.0)</f>
        <v>45104</v>
      </c>
      <c r="O1082" s="45">
        <f>IFERROR(__xludf.DUMMYFUNCTION("""COMPUTED_VALUE"""),45152.0)</f>
        <v>45152</v>
      </c>
      <c r="P1082" s="45">
        <f>IFERROR(__xludf.DUMMYFUNCTION("""COMPUTED_VALUE"""),45194.0)</f>
        <v>45194</v>
      </c>
      <c r="Q1082" s="45">
        <f>IFERROR(__xludf.DUMMYFUNCTION("""COMPUTED_VALUE"""),45159.0)</f>
        <v>45159</v>
      </c>
      <c r="R1082" s="45">
        <f>IFERROR(__xludf.DUMMYFUNCTION("""COMPUTED_VALUE"""),45199.0)</f>
        <v>45199</v>
      </c>
      <c r="S1082" s="43"/>
      <c r="T1082" s="43"/>
      <c r="U1082" s="43" t="str">
        <f>IFERROR(__xludf.DUMMYFUNCTION("""COMPUTED_VALUE"""),"Youth 4 Impact")</f>
        <v>Youth 4 Impact</v>
      </c>
      <c r="V1082" s="43" t="str">
        <f>IFERROR(__xludf.DUMMYFUNCTION("""COMPUTED_VALUE"""),"AUC Beni Mellal")</f>
        <v>AUC Beni Mellal</v>
      </c>
      <c r="W1082" s="43" t="str">
        <f>IFERROR(__xludf.DUMMYFUNCTION("""COMPUTED_VALUE"""),"2019-10-19T18:56:56Z")</f>
        <v>2019-10-19T18:56:56Z</v>
      </c>
      <c r="X1082" s="43"/>
      <c r="Y1082" s="43"/>
      <c r="Z1082" s="43"/>
    </row>
    <row r="1083" hidden="1">
      <c r="A1083" s="43" t="str">
        <f>IFERROR(__xludf.DUMMYFUNCTION("""COMPUTED_VALUE"""),"5216433_1295002")</f>
        <v>5216433_1295002</v>
      </c>
      <c r="B1083" s="43" t="str">
        <f>IFERROR(__xludf.DUMMYFUNCTION("""COMPUTED_VALUE"""),"Haseeb Sediqi")</f>
        <v>Haseeb Sediqi</v>
      </c>
      <c r="C1083" s="43" t="str">
        <f>IFERROR(__xludf.DUMMYFUNCTION("""COMPUTED_VALUE"""),"completed")</f>
        <v>completed</v>
      </c>
      <c r="D1083" s="43" t="str">
        <f>IFERROR(__xludf.DUMMYFUNCTION("""COMPUTED_VALUE"""),"No")</f>
        <v>No</v>
      </c>
      <c r="E1083" s="43" t="str">
        <f>IFERROR(__xludf.DUMMYFUNCTION("""COMPUTED_VALUE"""),"p_8c7a12ef862f98705fdbf4e139917b25a0f1da16@inbound.aiesec.org")</f>
        <v>p_8c7a12ef862f98705fdbf4e139917b25a0f1da16@inbound.aiesec.org</v>
      </c>
      <c r="F1083" s="43">
        <f>IFERROR(__xludf.DUMMYFUNCTION("""COMPUTED_VALUE"""),3.518446474E9)</f>
        <v>3518446474</v>
      </c>
      <c r="G1083" s="43" t="str">
        <f>IFERROR(__xludf.DUMMYFUNCTION("""COMPUTED_VALUE"""),"Italy")</f>
        <v>Italy</v>
      </c>
      <c r="H1083" s="43" t="str">
        <f>IFERROR(__xludf.DUMMYFUNCTION("""COMPUTED_VALUE"""),"PoliTO")</f>
        <v>PoliTO</v>
      </c>
      <c r="I1083" s="43" t="str">
        <f>IFERROR(__xludf.DUMMYFUNCTION("""COMPUTED_VALUE"""),"Turkey")</f>
        <v>Turkey</v>
      </c>
      <c r="J1083" s="43" t="str">
        <f>IFERROR(__xludf.DUMMYFUNCTION("""COMPUTED_VALUE"""),"ADANA")</f>
        <v>ADANA</v>
      </c>
      <c r="K1083" s="44" t="str">
        <f>IFERROR(__xludf.DUMMYFUNCTION("""COMPUTED_VALUE"""),"https://expa.aiesec.org/opportunities/1295002")</f>
        <v>https://expa.aiesec.org/opportunities/1295002</v>
      </c>
      <c r="L1083" s="43" t="str">
        <f>IFERROR(__xludf.DUMMYFUNCTION("""COMPUTED_VALUE"""),"GV")</f>
        <v>GV</v>
      </c>
      <c r="M1083" s="43" t="str">
        <f>IFERROR(__xludf.DUMMYFUNCTION("""COMPUTED_VALUE"""),"short")</f>
        <v>short</v>
      </c>
      <c r="N1083" s="45">
        <f>IFERROR(__xludf.DUMMYFUNCTION("""COMPUTED_VALUE"""),45105.0)</f>
        <v>45105</v>
      </c>
      <c r="O1083" s="45">
        <f>IFERROR(__xludf.DUMMYFUNCTION("""COMPUTED_VALUE"""),45117.0)</f>
        <v>45117</v>
      </c>
      <c r="P1083" s="45">
        <f>IFERROR(__xludf.DUMMYFUNCTION("""COMPUTED_VALUE"""),45159.0)</f>
        <v>45159</v>
      </c>
      <c r="Q1083" s="45">
        <f>IFERROR(__xludf.DUMMYFUNCTION("""COMPUTED_VALUE"""),45112.0)</f>
        <v>45112</v>
      </c>
      <c r="R1083" s="45">
        <f>IFERROR(__xludf.DUMMYFUNCTION("""COMPUTED_VALUE"""),45159.0)</f>
        <v>45159</v>
      </c>
      <c r="S1083" s="43"/>
      <c r="T1083" s="43"/>
      <c r="U1083" s="43" t="str">
        <f>IFERROR(__xludf.DUMMYFUNCTION("""COMPUTED_VALUE"""),"Global Classroom")</f>
        <v>Global Classroom</v>
      </c>
      <c r="V1083" s="43" t="str">
        <f>IFERROR(__xludf.DUMMYFUNCTION("""COMPUTED_VALUE"""),"Altre Università o Istituti della Calabria")</f>
        <v>Altre Università o Istituti della Calabria</v>
      </c>
      <c r="W1083" s="43" t="str">
        <f>IFERROR(__xludf.DUMMYFUNCTION("""COMPUTED_VALUE"""),"2023-03-14T20:07:42Z")</f>
        <v>2023-03-14T20:07:42Z</v>
      </c>
      <c r="X1083" s="43"/>
      <c r="Y1083" s="43"/>
      <c r="Z1083" s="43"/>
    </row>
    <row r="1084" hidden="1">
      <c r="A1084" s="43" t="str">
        <f>IFERROR(__xludf.DUMMYFUNCTION("""COMPUTED_VALUE"""),"5279786_1294372")</f>
        <v>5279786_1294372</v>
      </c>
      <c r="B1084" s="43" t="str">
        <f>IFERROR(__xludf.DUMMYFUNCTION("""COMPUTED_VALUE"""),"Diana Ashimova")</f>
        <v>Diana Ashimova</v>
      </c>
      <c r="C1084" s="43" t="str">
        <f>IFERROR(__xludf.DUMMYFUNCTION("""COMPUTED_VALUE"""),"finished")</f>
        <v>finished</v>
      </c>
      <c r="D1084" s="43" t="str">
        <f>IFERROR(__xludf.DUMMYFUNCTION("""COMPUTED_VALUE"""),"No")</f>
        <v>No</v>
      </c>
      <c r="E1084" s="43" t="str">
        <f>IFERROR(__xludf.DUMMYFUNCTION("""COMPUTED_VALUE"""),"p_e4b287703f7a5ac53afb64e629fc790f57bcc2df@inbound.aiesec.org")</f>
        <v>p_e4b287703f7a5ac53afb64e629fc790f57bcc2df@inbound.aiesec.org</v>
      </c>
      <c r="F1084" s="43">
        <f>IFERROR(__xludf.DUMMYFUNCTION("""COMPUTED_VALUE"""),7.751093556E9)</f>
        <v>7751093556</v>
      </c>
      <c r="G1084" s="43" t="str">
        <f>IFERROR(__xludf.DUMMYFUNCTION("""COMPUTED_VALUE"""),"Kazakhstan")</f>
        <v>Kazakhstan</v>
      </c>
      <c r="H1084" s="43" t="str">
        <f>IFERROR(__xludf.DUMMYFUNCTION("""COMPUTED_VALUE"""),"Astana")</f>
        <v>Astana</v>
      </c>
      <c r="I1084" s="43" t="str">
        <f>IFERROR(__xludf.DUMMYFUNCTION("""COMPUTED_VALUE"""),"Turkey")</f>
        <v>Turkey</v>
      </c>
      <c r="J1084" s="43" t="str">
        <f>IFERROR(__xludf.DUMMYFUNCTION("""COMPUTED_VALUE"""),"ANKARA")</f>
        <v>ANKARA</v>
      </c>
      <c r="K1084" s="44" t="str">
        <f>IFERROR(__xludf.DUMMYFUNCTION("""COMPUTED_VALUE"""),"https://expa.aiesec.org/opportunities/1294372")</f>
        <v>https://expa.aiesec.org/opportunities/1294372</v>
      </c>
      <c r="L1084" s="43" t="str">
        <f>IFERROR(__xludf.DUMMYFUNCTION("""COMPUTED_VALUE"""),"GV")</f>
        <v>GV</v>
      </c>
      <c r="M1084" s="43" t="str">
        <f>IFERROR(__xludf.DUMMYFUNCTION("""COMPUTED_VALUE"""),"short")</f>
        <v>short</v>
      </c>
      <c r="N1084" s="45">
        <f>IFERROR(__xludf.DUMMYFUNCTION("""COMPUTED_VALUE"""),45105.0)</f>
        <v>45105</v>
      </c>
      <c r="O1084" s="45">
        <f>IFERROR(__xludf.DUMMYFUNCTION("""COMPUTED_VALUE"""),45110.0)</f>
        <v>45110</v>
      </c>
      <c r="P1084" s="45">
        <f>IFERROR(__xludf.DUMMYFUNCTION("""COMPUTED_VALUE"""),45152.0)</f>
        <v>45152</v>
      </c>
      <c r="Q1084" s="45">
        <f>IFERROR(__xludf.DUMMYFUNCTION("""COMPUTED_VALUE"""),45111.0)</f>
        <v>45111</v>
      </c>
      <c r="R1084" s="45">
        <f>IFERROR(__xludf.DUMMYFUNCTION("""COMPUTED_VALUE"""),45152.0)</f>
        <v>45152</v>
      </c>
      <c r="S1084" s="43"/>
      <c r="T1084" s="43"/>
      <c r="U1084" s="43" t="str">
        <f>IFERROR(__xludf.DUMMYFUNCTION("""COMPUTED_VALUE"""),"Global Classroom")</f>
        <v>Global Classroom</v>
      </c>
      <c r="V1084" s="43" t="str">
        <f>IFERROR(__xludf.DUMMYFUNCTION("""COMPUTED_VALUE"""),"Astana")</f>
        <v>Astana</v>
      </c>
      <c r="W1084" s="43" t="str">
        <f>IFERROR(__xludf.DUMMYFUNCTION("""COMPUTED_VALUE"""),"2023-06-27T09:17:42Z")</f>
        <v>2023-06-27T09:17:42Z</v>
      </c>
      <c r="X1084" s="43"/>
      <c r="Y1084" s="43"/>
      <c r="Z1084" s="43"/>
    </row>
    <row r="1085" hidden="1">
      <c r="A1085" s="43" t="str">
        <f>IFERROR(__xludf.DUMMYFUNCTION("""COMPUTED_VALUE"""),"5279337_1294877")</f>
        <v>5279337_1294877</v>
      </c>
      <c r="B1085" s="43" t="str">
        <f>IFERROR(__xludf.DUMMYFUNCTION("""COMPUTED_VALUE"""),"Anastasiia Skirak")</f>
        <v>Anastasiia Skirak</v>
      </c>
      <c r="C1085" s="43" t="str">
        <f>IFERROR(__xludf.DUMMYFUNCTION("""COMPUTED_VALUE"""),"approved")</f>
        <v>approved</v>
      </c>
      <c r="D1085" s="43" t="str">
        <f>IFERROR(__xludf.DUMMYFUNCTION("""COMPUTED_VALUE"""),"No")</f>
        <v>No</v>
      </c>
      <c r="E1085" s="43" t="str">
        <f>IFERROR(__xludf.DUMMYFUNCTION("""COMPUTED_VALUE"""),"p_b87934590e80749939ce9a1d9f773cf1d5d8551d@inbound.aiesec.org")</f>
        <v>p_b87934590e80749939ce9a1d9f773cf1d5d8551d@inbound.aiesec.org</v>
      </c>
      <c r="F1085" s="43">
        <f>IFERROR(__xludf.DUMMYFUNCTION("""COMPUTED_VALUE"""),9.80252581E8)</f>
        <v>980252581</v>
      </c>
      <c r="G1085" s="43" t="str">
        <f>IFERROR(__xludf.DUMMYFUNCTION("""COMPUTED_VALUE"""),"Ukraine")</f>
        <v>Ukraine</v>
      </c>
      <c r="H1085" s="43" t="str">
        <f>IFERROR(__xludf.DUMMYFUNCTION("""COMPUTED_VALUE"""),"TERNOPIL")</f>
        <v>TERNOPIL</v>
      </c>
      <c r="I1085" s="43" t="str">
        <f>IFERROR(__xludf.DUMMYFUNCTION("""COMPUTED_VALUE"""),"Turkey")</f>
        <v>Turkey</v>
      </c>
      <c r="J1085" s="43" t="str">
        <f>IFERROR(__xludf.DUMMYFUNCTION("""COMPUTED_VALUE"""),"BURSA")</f>
        <v>BURSA</v>
      </c>
      <c r="K1085" s="44" t="str">
        <f>IFERROR(__xludf.DUMMYFUNCTION("""COMPUTED_VALUE"""),"https://expa.aiesec.org/opportunities/1294877")</f>
        <v>https://expa.aiesec.org/opportunities/1294877</v>
      </c>
      <c r="L1085" s="43" t="str">
        <f>IFERROR(__xludf.DUMMYFUNCTION("""COMPUTED_VALUE"""),"GV")</f>
        <v>GV</v>
      </c>
      <c r="M1085" s="43" t="str">
        <f>IFERROR(__xludf.DUMMYFUNCTION("""COMPUTED_VALUE"""),"short")</f>
        <v>short</v>
      </c>
      <c r="N1085" s="45">
        <f>IFERROR(__xludf.DUMMYFUNCTION("""COMPUTED_VALUE"""),45105.0)</f>
        <v>45105</v>
      </c>
      <c r="O1085" s="45">
        <f>IFERROR(__xludf.DUMMYFUNCTION("""COMPUTED_VALUE"""),45201.0)</f>
        <v>45201</v>
      </c>
      <c r="P1085" s="45">
        <f>IFERROR(__xludf.DUMMYFUNCTION("""COMPUTED_VALUE"""),45243.0)</f>
        <v>45243</v>
      </c>
      <c r="Q1085" s="45"/>
      <c r="R1085" s="45"/>
      <c r="S1085" s="43"/>
      <c r="T1085" s="43"/>
      <c r="U1085" s="43" t="str">
        <f>IFERROR(__xludf.DUMMYFUNCTION("""COMPUTED_VALUE"""),"Youth 4 Impact")</f>
        <v>Youth 4 Impact</v>
      </c>
      <c r="V1085" s="43" t="str">
        <f>IFERROR(__xludf.DUMMYFUNCTION("""COMPUTED_VALUE""")," Rivne")</f>
        <v> Rivne</v>
      </c>
      <c r="W1085" s="43" t="str">
        <f>IFERROR(__xludf.DUMMYFUNCTION("""COMPUTED_VALUE"""),"2023-06-25T18:16:05Z")</f>
        <v>2023-06-25T18:16:05Z</v>
      </c>
      <c r="X1085" s="43"/>
      <c r="Y1085" s="43"/>
      <c r="Z1085" s="43"/>
    </row>
    <row r="1086" hidden="1">
      <c r="A1086" s="43" t="str">
        <f>IFERROR(__xludf.DUMMYFUNCTION("""COMPUTED_VALUE"""),"5278451_1296118")</f>
        <v>5278451_1296118</v>
      </c>
      <c r="B1086" s="43" t="str">
        <f>IFERROR(__xludf.DUMMYFUNCTION("""COMPUTED_VALUE"""),"Hla Zahran")</f>
        <v>Hla Zahran</v>
      </c>
      <c r="C1086" s="43" t="str">
        <f>IFERROR(__xludf.DUMMYFUNCTION("""COMPUTED_VALUE"""),"approved")</f>
        <v>approved</v>
      </c>
      <c r="D1086" s="43" t="str">
        <f>IFERROR(__xludf.DUMMYFUNCTION("""COMPUTED_VALUE"""),"No")</f>
        <v>No</v>
      </c>
      <c r="E1086" s="43" t="str">
        <f>IFERROR(__xludf.DUMMYFUNCTION("""COMPUTED_VALUE"""),"p_3fbd57c58cfbf9cc2d034e793b5aaa7605d53e8a@inbound.aiesec.org")</f>
        <v>p_3fbd57c58cfbf9cc2d034e793b5aaa7605d53e8a@inbound.aiesec.org</v>
      </c>
      <c r="F1086" s="43">
        <f>IFERROR(__xludf.DUMMYFUNCTION("""COMPUTED_VALUE"""),1.22474521E9)</f>
        <v>1224745210</v>
      </c>
      <c r="G1086" s="43" t="str">
        <f>IFERROR(__xludf.DUMMYFUNCTION("""COMPUTED_VALUE"""),"Egypt")</f>
        <v>Egypt</v>
      </c>
      <c r="H1086" s="43" t="str">
        <f>IFERROR(__xludf.DUMMYFUNCTION("""COMPUTED_VALUE"""),"Ain Shams University")</f>
        <v>Ain Shams University</v>
      </c>
      <c r="I1086" s="43" t="str">
        <f>IFERROR(__xludf.DUMMYFUNCTION("""COMPUTED_VALUE"""),"Turkey")</f>
        <v>Turkey</v>
      </c>
      <c r="J1086" s="43" t="str">
        <f>IFERROR(__xludf.DUMMYFUNCTION("""COMPUTED_VALUE"""),"ISTANBUL WEST")</f>
        <v>ISTANBUL WEST</v>
      </c>
      <c r="K1086" s="44" t="str">
        <f>IFERROR(__xludf.DUMMYFUNCTION("""COMPUTED_VALUE"""),"https://expa.aiesec.org/opportunities/1296118")</f>
        <v>https://expa.aiesec.org/opportunities/1296118</v>
      </c>
      <c r="L1086" s="43" t="str">
        <f>IFERROR(__xludf.DUMMYFUNCTION("""COMPUTED_VALUE"""),"GV")</f>
        <v>GV</v>
      </c>
      <c r="M1086" s="43" t="str">
        <f>IFERROR(__xludf.DUMMYFUNCTION("""COMPUTED_VALUE"""),"short")</f>
        <v>short</v>
      </c>
      <c r="N1086" s="45">
        <f>IFERROR(__xludf.DUMMYFUNCTION("""COMPUTED_VALUE"""),45105.0)</f>
        <v>45105</v>
      </c>
      <c r="O1086" s="45">
        <f>IFERROR(__xludf.DUMMYFUNCTION("""COMPUTED_VALUE"""),45159.0)</f>
        <v>45159</v>
      </c>
      <c r="P1086" s="45">
        <f>IFERROR(__xludf.DUMMYFUNCTION("""COMPUTED_VALUE"""),45201.0)</f>
        <v>45201</v>
      </c>
      <c r="Q1086" s="45"/>
      <c r="R1086" s="45"/>
      <c r="S1086" s="43"/>
      <c r="T1086" s="43"/>
      <c r="U1086" s="43" t="str">
        <f>IFERROR(__xludf.DUMMYFUNCTION("""COMPUTED_VALUE"""),"Fingerprint")</f>
        <v>Fingerprint</v>
      </c>
      <c r="V1086" s="43" t="str">
        <f>IFERROR(__xludf.DUMMYFUNCTION("""COMPUTED_VALUE"""),"Ain Shams University")</f>
        <v>Ain Shams University</v>
      </c>
      <c r="W1086" s="43" t="str">
        <f>IFERROR(__xludf.DUMMYFUNCTION("""COMPUTED_VALUE"""),"2023-06-22T18:05:18Z")</f>
        <v>2023-06-22T18:05:18Z</v>
      </c>
      <c r="X1086" s="43"/>
      <c r="Y1086" s="43"/>
      <c r="Z1086" s="43"/>
    </row>
    <row r="1087" hidden="1">
      <c r="A1087" s="43" t="str">
        <f>IFERROR(__xludf.DUMMYFUNCTION("""COMPUTED_VALUE"""),"5278068_1294622")</f>
        <v>5278068_1294622</v>
      </c>
      <c r="B1087" s="43" t="str">
        <f>IFERROR(__xludf.DUMMYFUNCTION("""COMPUTED_VALUE"""),"Alina Voitiuk")</f>
        <v>Alina Voitiuk</v>
      </c>
      <c r="C1087" s="43" t="str">
        <f>IFERROR(__xludf.DUMMYFUNCTION("""COMPUTED_VALUE"""),"approved")</f>
        <v>approved</v>
      </c>
      <c r="D1087" s="43" t="str">
        <f>IFERROR(__xludf.DUMMYFUNCTION("""COMPUTED_VALUE"""),"No")</f>
        <v>No</v>
      </c>
      <c r="E1087" s="43" t="str">
        <f>IFERROR(__xludf.DUMMYFUNCTION("""COMPUTED_VALUE"""),"p_396f7e71ec074ac557b9a328959f57928bbe76db@inbound.aiesec.org")</f>
        <v>p_396f7e71ec074ac557b9a328959f57928bbe76db@inbound.aiesec.org</v>
      </c>
      <c r="F1087" s="43">
        <f>IFERROR(__xludf.DUMMYFUNCTION("""COMPUTED_VALUE"""),5.04266466E8)</f>
        <v>504266466</v>
      </c>
      <c r="G1087" s="43" t="str">
        <f>IFERROR(__xludf.DUMMYFUNCTION("""COMPUTED_VALUE"""),"Ukraine")</f>
        <v>Ukraine</v>
      </c>
      <c r="H1087" s="43" t="str">
        <f>IFERROR(__xludf.DUMMYFUNCTION("""COMPUTED_VALUE"""),"KHARKIV")</f>
        <v>KHARKIV</v>
      </c>
      <c r="I1087" s="43" t="str">
        <f>IFERROR(__xludf.DUMMYFUNCTION("""COMPUTED_VALUE"""),"Turkey")</f>
        <v>Turkey</v>
      </c>
      <c r="J1087" s="43" t="str">
        <f>IFERROR(__xludf.DUMMYFUNCTION("""COMPUTED_VALUE"""),"ADANA")</f>
        <v>ADANA</v>
      </c>
      <c r="K1087" s="44" t="str">
        <f>IFERROR(__xludf.DUMMYFUNCTION("""COMPUTED_VALUE"""),"https://expa.aiesec.org/opportunities/1294622")</f>
        <v>https://expa.aiesec.org/opportunities/1294622</v>
      </c>
      <c r="L1087" s="43" t="str">
        <f>IFERROR(__xludf.DUMMYFUNCTION("""COMPUTED_VALUE"""),"GV")</f>
        <v>GV</v>
      </c>
      <c r="M1087" s="43" t="str">
        <f>IFERROR(__xludf.DUMMYFUNCTION("""COMPUTED_VALUE"""),"short")</f>
        <v>short</v>
      </c>
      <c r="N1087" s="45">
        <f>IFERROR(__xludf.DUMMYFUNCTION("""COMPUTED_VALUE"""),45105.0)</f>
        <v>45105</v>
      </c>
      <c r="O1087" s="45">
        <f>IFERROR(__xludf.DUMMYFUNCTION("""COMPUTED_VALUE"""),45145.0)</f>
        <v>45145</v>
      </c>
      <c r="P1087" s="45">
        <f>IFERROR(__xludf.DUMMYFUNCTION("""COMPUTED_VALUE"""),45191.0)</f>
        <v>45191</v>
      </c>
      <c r="Q1087" s="45"/>
      <c r="R1087" s="45"/>
      <c r="S1087" s="43"/>
      <c r="T1087" s="43"/>
      <c r="U1087" s="43" t="str">
        <f>IFERROR(__xludf.DUMMYFUNCTION("""COMPUTED_VALUE"""),"Equify")</f>
        <v>Equify</v>
      </c>
      <c r="V1087" s="43" t="str">
        <f>IFERROR(__xludf.DUMMYFUNCTION("""COMPUTED_VALUE"""),"Kyiv")</f>
        <v>Kyiv</v>
      </c>
      <c r="W1087" s="43" t="str">
        <f>IFERROR(__xludf.DUMMYFUNCTION("""COMPUTED_VALUE"""),"2023-06-21T17:02:06Z")</f>
        <v>2023-06-21T17:02:06Z</v>
      </c>
      <c r="X1087" s="43"/>
      <c r="Y1087" s="43"/>
      <c r="Z1087" s="43"/>
    </row>
    <row r="1088" hidden="1">
      <c r="A1088" s="43" t="str">
        <f>IFERROR(__xludf.DUMMYFUNCTION("""COMPUTED_VALUE"""),"4736983_1295572")</f>
        <v>4736983_1295572</v>
      </c>
      <c r="B1088" s="43" t="str">
        <f>IFERROR(__xludf.DUMMYFUNCTION("""COMPUTED_VALUE"""),"hedil dhahri")</f>
        <v>hedil dhahri</v>
      </c>
      <c r="C1088" s="43" t="str">
        <f>IFERROR(__xludf.DUMMYFUNCTION("""COMPUTED_VALUE"""),"completed")</f>
        <v>completed</v>
      </c>
      <c r="D1088" s="43" t="str">
        <f>IFERROR(__xludf.DUMMYFUNCTION("""COMPUTED_VALUE"""),"No")</f>
        <v>No</v>
      </c>
      <c r="E1088" s="43" t="str">
        <f>IFERROR(__xludf.DUMMYFUNCTION("""COMPUTED_VALUE"""),"p_c22b042c0112f6e543f84c4bfe06d28b71dd8011@inbound.aiesec.org")</f>
        <v>p_c22b042c0112f6e543f84c4bfe06d28b71dd8011@inbound.aiesec.org</v>
      </c>
      <c r="F1088" s="43">
        <f>IFERROR(__xludf.DUMMYFUNCTION("""COMPUTED_VALUE"""),2.6355466E7)</f>
        <v>26355466</v>
      </c>
      <c r="G1088" s="43" t="str">
        <f>IFERROR(__xludf.DUMMYFUNCTION("""COMPUTED_VALUE"""),"Tunisia")</f>
        <v>Tunisia</v>
      </c>
      <c r="H1088" s="43" t="str">
        <f>IFERROR(__xludf.DUMMYFUNCTION("""COMPUTED_VALUE"""),"Carthage")</f>
        <v>Carthage</v>
      </c>
      <c r="I1088" s="43" t="str">
        <f>IFERROR(__xludf.DUMMYFUNCTION("""COMPUTED_VALUE"""),"Turkey")</f>
        <v>Turkey</v>
      </c>
      <c r="J1088" s="43" t="str">
        <f>IFERROR(__xludf.DUMMYFUNCTION("""COMPUTED_VALUE"""),"ESKISEHIR")</f>
        <v>ESKISEHIR</v>
      </c>
      <c r="K1088" s="44" t="str">
        <f>IFERROR(__xludf.DUMMYFUNCTION("""COMPUTED_VALUE"""),"https://expa.aiesec.org/opportunities/1295572")</f>
        <v>https://expa.aiesec.org/opportunities/1295572</v>
      </c>
      <c r="L1088" s="43" t="str">
        <f>IFERROR(__xludf.DUMMYFUNCTION("""COMPUTED_VALUE"""),"GV")</f>
        <v>GV</v>
      </c>
      <c r="M1088" s="43" t="str">
        <f>IFERROR(__xludf.DUMMYFUNCTION("""COMPUTED_VALUE"""),"short")</f>
        <v>short</v>
      </c>
      <c r="N1088" s="45">
        <f>IFERROR(__xludf.DUMMYFUNCTION("""COMPUTED_VALUE"""),45106.0)</f>
        <v>45106</v>
      </c>
      <c r="O1088" s="45">
        <f>IFERROR(__xludf.DUMMYFUNCTION("""COMPUTED_VALUE"""),45117.0)</f>
        <v>45117</v>
      </c>
      <c r="P1088" s="45">
        <f>IFERROR(__xludf.DUMMYFUNCTION("""COMPUTED_VALUE"""),45159.0)</f>
        <v>45159</v>
      </c>
      <c r="Q1088" s="45">
        <f>IFERROR(__xludf.DUMMYFUNCTION("""COMPUTED_VALUE"""),45118.0)</f>
        <v>45118</v>
      </c>
      <c r="R1088" s="45">
        <f>IFERROR(__xludf.DUMMYFUNCTION("""COMPUTED_VALUE"""),45159.0)</f>
        <v>45159</v>
      </c>
      <c r="S1088" s="43"/>
      <c r="T1088" s="43"/>
      <c r="U1088" s="43" t="str">
        <f>IFERROR(__xludf.DUMMYFUNCTION("""COMPUTED_VALUE"""),"Equify")</f>
        <v>Equify</v>
      </c>
      <c r="V1088" s="43" t="str">
        <f>IFERROR(__xludf.DUMMYFUNCTION("""COMPUTED_VALUE"""),"ISLT")</f>
        <v>ISLT</v>
      </c>
      <c r="W1088" s="43" t="str">
        <f>IFERROR(__xludf.DUMMYFUNCTION("""COMPUTED_VALUE"""),"2021-09-14T13:09:08Z")</f>
        <v>2021-09-14T13:09:08Z</v>
      </c>
      <c r="X1088" s="43"/>
      <c r="Y1088" s="43"/>
      <c r="Z1088" s="43"/>
    </row>
    <row r="1089" hidden="1">
      <c r="A1089" s="43" t="str">
        <f>IFERROR(__xludf.DUMMYFUNCTION("""COMPUTED_VALUE"""),"5221810_1295240")</f>
        <v>5221810_1295240</v>
      </c>
      <c r="B1089" s="43" t="str">
        <f>IFERROR(__xludf.DUMMYFUNCTION("""COMPUTED_VALUE"""),"Antonio Florin Stancu")</f>
        <v>Antonio Florin Stancu</v>
      </c>
      <c r="C1089" s="43" t="str">
        <f>IFERROR(__xludf.DUMMYFUNCTION("""COMPUTED_VALUE"""),"approved")</f>
        <v>approved</v>
      </c>
      <c r="D1089" s="43" t="str">
        <f>IFERROR(__xludf.DUMMYFUNCTION("""COMPUTED_VALUE"""),"No")</f>
        <v>No</v>
      </c>
      <c r="E1089" s="43" t="str">
        <f>IFERROR(__xludf.DUMMYFUNCTION("""COMPUTED_VALUE"""),"p_173bcc46a25fb7ad6220232ba53e07e31470883e@inbound.aiesec.org")</f>
        <v>p_173bcc46a25fb7ad6220232ba53e07e31470883e@inbound.aiesec.org</v>
      </c>
      <c r="F1089" s="43"/>
      <c r="G1089" s="43" t="str">
        <f>IFERROR(__xludf.DUMMYFUNCTION("""COMPUTED_VALUE"""),"Romania")</f>
        <v>Romania</v>
      </c>
      <c r="H1089" s="43" t="str">
        <f>IFERROR(__xludf.DUMMYFUNCTION("""COMPUTED_VALUE"""),"University of Bucharest")</f>
        <v>University of Bucharest</v>
      </c>
      <c r="I1089" s="43" t="str">
        <f>IFERROR(__xludf.DUMMYFUNCTION("""COMPUTED_VALUE"""),"Turkey")</f>
        <v>Turkey</v>
      </c>
      <c r="J1089" s="43" t="str">
        <f>IFERROR(__xludf.DUMMYFUNCTION("""COMPUTED_VALUE"""),"İZMİR")</f>
        <v>İZMİR</v>
      </c>
      <c r="K1089" s="44" t="str">
        <f>IFERROR(__xludf.DUMMYFUNCTION("""COMPUTED_VALUE"""),"https://expa.aiesec.org/opportunities/1295240")</f>
        <v>https://expa.aiesec.org/opportunities/1295240</v>
      </c>
      <c r="L1089" s="43" t="str">
        <f>IFERROR(__xludf.DUMMYFUNCTION("""COMPUTED_VALUE"""),"GV")</f>
        <v>GV</v>
      </c>
      <c r="M1089" s="43" t="str">
        <f>IFERROR(__xludf.DUMMYFUNCTION("""COMPUTED_VALUE"""),"short")</f>
        <v>short</v>
      </c>
      <c r="N1089" s="45">
        <f>IFERROR(__xludf.DUMMYFUNCTION("""COMPUTED_VALUE"""),45106.0)</f>
        <v>45106</v>
      </c>
      <c r="O1089" s="45">
        <f>IFERROR(__xludf.DUMMYFUNCTION("""COMPUTED_VALUE"""),45194.0)</f>
        <v>45194</v>
      </c>
      <c r="P1089" s="45">
        <f>IFERROR(__xludf.DUMMYFUNCTION("""COMPUTED_VALUE"""),45236.0)</f>
        <v>45236</v>
      </c>
      <c r="Q1089" s="45"/>
      <c r="R1089" s="45"/>
      <c r="S1089" s="43"/>
      <c r="T1089" s="43"/>
      <c r="U1089" s="43" t="str">
        <f>IFERROR(__xludf.DUMMYFUNCTION("""COMPUTED_VALUE"""),"Fingerprint")</f>
        <v>Fingerprint</v>
      </c>
      <c r="V1089" s="43" t="str">
        <f>IFERROR(__xludf.DUMMYFUNCTION("""COMPUTED_VALUE"""),"-")</f>
        <v>-</v>
      </c>
      <c r="W1089" s="43" t="str">
        <f>IFERROR(__xludf.DUMMYFUNCTION("""COMPUTED_VALUE"""),"2023-03-20T15:22:37Z")</f>
        <v>2023-03-20T15:22:37Z</v>
      </c>
      <c r="X1089" s="43"/>
      <c r="Y1089" s="43"/>
      <c r="Z1089" s="43"/>
    </row>
    <row r="1090" hidden="1">
      <c r="A1090" s="43" t="str">
        <f>IFERROR(__xludf.DUMMYFUNCTION("""COMPUTED_VALUE"""),"5268544_1296103")</f>
        <v>5268544_1296103</v>
      </c>
      <c r="B1090" s="43" t="str">
        <f>IFERROR(__xludf.DUMMYFUNCTION("""COMPUTED_VALUE"""),"Marlin Grace")</f>
        <v>Marlin Grace</v>
      </c>
      <c r="C1090" s="43" t="str">
        <f>IFERROR(__xludf.DUMMYFUNCTION("""COMPUTED_VALUE"""),"approved")</f>
        <v>approved</v>
      </c>
      <c r="D1090" s="43" t="str">
        <f>IFERROR(__xludf.DUMMYFUNCTION("""COMPUTED_VALUE"""),"No")</f>
        <v>No</v>
      </c>
      <c r="E1090" s="43" t="str">
        <f>IFERROR(__xludf.DUMMYFUNCTION("""COMPUTED_VALUE"""),"p_7d8c0bc828556e89778485c941608663dd0f81ab@inbound.aiesec.org")</f>
        <v>p_7d8c0bc828556e89778485c941608663dd0f81ab@inbound.aiesec.org</v>
      </c>
      <c r="F1090" s="43">
        <f>IFERROR(__xludf.DUMMYFUNCTION("""COMPUTED_VALUE"""),1.281458507E9)</f>
        <v>1281458507</v>
      </c>
      <c r="G1090" s="43" t="str">
        <f>IFERROR(__xludf.DUMMYFUNCTION("""COMPUTED_VALUE"""),"Egypt")</f>
        <v>Egypt</v>
      </c>
      <c r="H1090" s="43" t="str">
        <f>IFERROR(__xludf.DUMMYFUNCTION("""COMPUTED_VALUE"""),"Alexandria")</f>
        <v>Alexandria</v>
      </c>
      <c r="I1090" s="43" t="str">
        <f>IFERROR(__xludf.DUMMYFUNCTION("""COMPUTED_VALUE"""),"Turkey")</f>
        <v>Turkey</v>
      </c>
      <c r="J1090" s="43" t="str">
        <f>IFERROR(__xludf.DUMMYFUNCTION("""COMPUTED_VALUE"""),"ANKARA")</f>
        <v>ANKARA</v>
      </c>
      <c r="K1090" s="44" t="str">
        <f>IFERROR(__xludf.DUMMYFUNCTION("""COMPUTED_VALUE"""),"https://expa.aiesec.org/opportunities/1296103")</f>
        <v>https://expa.aiesec.org/opportunities/1296103</v>
      </c>
      <c r="L1090" s="43" t="str">
        <f>IFERROR(__xludf.DUMMYFUNCTION("""COMPUTED_VALUE"""),"GV")</f>
        <v>GV</v>
      </c>
      <c r="M1090" s="43" t="str">
        <f>IFERROR(__xludf.DUMMYFUNCTION("""COMPUTED_VALUE"""),"short")</f>
        <v>short</v>
      </c>
      <c r="N1090" s="45">
        <f>IFERROR(__xludf.DUMMYFUNCTION("""COMPUTED_VALUE"""),45106.0)</f>
        <v>45106</v>
      </c>
      <c r="O1090" s="45">
        <f>IFERROR(__xludf.DUMMYFUNCTION("""COMPUTED_VALUE"""),45376.0)</f>
        <v>45376</v>
      </c>
      <c r="P1090" s="45">
        <f>IFERROR(__xludf.DUMMYFUNCTION("""COMPUTED_VALUE"""),45418.0)</f>
        <v>45418</v>
      </c>
      <c r="Q1090" s="45"/>
      <c r="R1090" s="45"/>
      <c r="S1090" s="43"/>
      <c r="T1090" s="43"/>
      <c r="U1090" s="43" t="str">
        <f>IFERROR(__xludf.DUMMYFUNCTION("""COMPUTED_VALUE"""),"Green Leaders")</f>
        <v>Green Leaders</v>
      </c>
      <c r="V1090" s="43" t="str">
        <f>IFERROR(__xludf.DUMMYFUNCTION("""COMPUTED_VALUE"""),"Alexandria University")</f>
        <v>Alexandria University</v>
      </c>
      <c r="W1090" s="43" t="str">
        <f>IFERROR(__xludf.DUMMYFUNCTION("""COMPUTED_VALUE"""),"2023-05-30T01:43:23Z")</f>
        <v>2023-05-30T01:43:23Z</v>
      </c>
      <c r="X1090" s="43"/>
      <c r="Y1090" s="43"/>
      <c r="Z1090" s="43"/>
    </row>
    <row r="1091" hidden="1">
      <c r="A1091" s="43" t="str">
        <f>IFERROR(__xludf.DUMMYFUNCTION("""COMPUTED_VALUE"""),"5280824_1284976")</f>
        <v>5280824_1284976</v>
      </c>
      <c r="B1091" s="43" t="str">
        <f>IFERROR(__xludf.DUMMYFUNCTION("""COMPUTED_VALUE"""),"Skander Omar")</f>
        <v>Skander Omar</v>
      </c>
      <c r="C1091" s="43" t="str">
        <f>IFERROR(__xludf.DUMMYFUNCTION("""COMPUTED_VALUE"""),"completed")</f>
        <v>completed</v>
      </c>
      <c r="D1091" s="43" t="str">
        <f>IFERROR(__xludf.DUMMYFUNCTION("""COMPUTED_VALUE"""),"No")</f>
        <v>No</v>
      </c>
      <c r="E1091" s="43" t="str">
        <f>IFERROR(__xludf.DUMMYFUNCTION("""COMPUTED_VALUE"""),"p_f798461bc2f44b98a6b6833c343763a5d5ad6d55@inbound.aiesec.org")</f>
        <v>p_f798461bc2f44b98a6b6833c343763a5d5ad6d55@inbound.aiesec.org</v>
      </c>
      <c r="F1091" s="43"/>
      <c r="G1091" s="43" t="str">
        <f>IFERROR(__xludf.DUMMYFUNCTION("""COMPUTED_VALUE"""),"Tunisia")</f>
        <v>Tunisia</v>
      </c>
      <c r="H1091" s="43" t="str">
        <f>IFERROR(__xludf.DUMMYFUNCTION("""COMPUTED_VALUE"""),"BARDO")</f>
        <v>BARDO</v>
      </c>
      <c r="I1091" s="43" t="str">
        <f>IFERROR(__xludf.DUMMYFUNCTION("""COMPUTED_VALUE"""),"Turkey")</f>
        <v>Turkey</v>
      </c>
      <c r="J1091" s="43" t="str">
        <f>IFERROR(__xludf.DUMMYFUNCTION("""COMPUTED_VALUE"""),"ISPARTA")</f>
        <v>ISPARTA</v>
      </c>
      <c r="K1091" s="44" t="str">
        <f>IFERROR(__xludf.DUMMYFUNCTION("""COMPUTED_VALUE"""),"https://expa.aiesec.org/opportunities/1284976")</f>
        <v>https://expa.aiesec.org/opportunities/1284976</v>
      </c>
      <c r="L1091" s="43" t="str">
        <f>IFERROR(__xludf.DUMMYFUNCTION("""COMPUTED_VALUE"""),"GV")</f>
        <v>GV</v>
      </c>
      <c r="M1091" s="43" t="str">
        <f>IFERROR(__xludf.DUMMYFUNCTION("""COMPUTED_VALUE"""),"short")</f>
        <v>short</v>
      </c>
      <c r="N1091" s="45">
        <f>IFERROR(__xludf.DUMMYFUNCTION("""COMPUTED_VALUE"""),45107.0)</f>
        <v>45107</v>
      </c>
      <c r="O1091" s="45">
        <f>IFERROR(__xludf.DUMMYFUNCTION("""COMPUTED_VALUE"""),45124.0)</f>
        <v>45124</v>
      </c>
      <c r="P1091" s="45">
        <f>IFERROR(__xludf.DUMMYFUNCTION("""COMPUTED_VALUE"""),45166.0)</f>
        <v>45166</v>
      </c>
      <c r="Q1091" s="45">
        <f>IFERROR(__xludf.DUMMYFUNCTION("""COMPUTED_VALUE"""),45126.0)</f>
        <v>45126</v>
      </c>
      <c r="R1091" s="45">
        <f>IFERROR(__xludf.DUMMYFUNCTION("""COMPUTED_VALUE"""),45166.0)</f>
        <v>45166</v>
      </c>
      <c r="S1091" s="43"/>
      <c r="T1091" s="43"/>
      <c r="U1091" s="43" t="str">
        <f>IFERROR(__xludf.DUMMYFUNCTION("""COMPUTED_VALUE"""),"Youth 4 Impact")</f>
        <v>Youth 4 Impact</v>
      </c>
      <c r="V1091" s="43" t="str">
        <f>IFERROR(__xludf.DUMMYFUNCTION("""COMPUTED_VALUE"""),"ESPRIT El Ghazela ")</f>
        <v>ESPRIT El Ghazela </v>
      </c>
      <c r="W1091" s="43" t="str">
        <f>IFERROR(__xludf.DUMMYFUNCTION("""COMPUTED_VALUE"""),"2023-06-30T15:02:59Z")</f>
        <v>2023-06-30T15:02:59Z</v>
      </c>
      <c r="X1091" s="43"/>
      <c r="Y1091" s="43"/>
      <c r="Z1091" s="43"/>
    </row>
    <row r="1092" hidden="1">
      <c r="A1092" s="43" t="str">
        <f>IFERROR(__xludf.DUMMYFUNCTION("""COMPUTED_VALUE"""),"5280508_1289100")</f>
        <v>5280508_1289100</v>
      </c>
      <c r="B1092" s="43" t="str">
        <f>IFERROR(__xludf.DUMMYFUNCTION("""COMPUTED_VALUE"""),"Chadhe Baazaoui")</f>
        <v>Chadhe Baazaoui</v>
      </c>
      <c r="C1092" s="43" t="str">
        <f>IFERROR(__xludf.DUMMYFUNCTION("""COMPUTED_VALUE"""),"completed")</f>
        <v>completed</v>
      </c>
      <c r="D1092" s="43" t="str">
        <f>IFERROR(__xludf.DUMMYFUNCTION("""COMPUTED_VALUE"""),"No")</f>
        <v>No</v>
      </c>
      <c r="E1092" s="43" t="str">
        <f>IFERROR(__xludf.DUMMYFUNCTION("""COMPUTED_VALUE"""),"p_8176f4448859d640bcf3dbd5af5ad0faa098933b@inbound.aiesec.org")</f>
        <v>p_8176f4448859d640bcf3dbd5af5ad0faa098933b@inbound.aiesec.org</v>
      </c>
      <c r="F1092" s="43">
        <f>IFERROR(__xludf.DUMMYFUNCTION("""COMPUTED_VALUE"""),2.9209451E7)</f>
        <v>29209451</v>
      </c>
      <c r="G1092" s="43" t="str">
        <f>IFERROR(__xludf.DUMMYFUNCTION("""COMPUTED_VALUE"""),"Tunisia")</f>
        <v>Tunisia</v>
      </c>
      <c r="H1092" s="43" t="str">
        <f>IFERROR(__xludf.DUMMYFUNCTION("""COMPUTED_VALUE"""),"MEDINA")</f>
        <v>MEDINA</v>
      </c>
      <c r="I1092" s="43" t="str">
        <f>IFERROR(__xludf.DUMMYFUNCTION("""COMPUTED_VALUE"""),"Turkey")</f>
        <v>Turkey</v>
      </c>
      <c r="J1092" s="43" t="str">
        <f>IFERROR(__xludf.DUMMYFUNCTION("""COMPUTED_VALUE"""),"KOCAELI")</f>
        <v>KOCAELI</v>
      </c>
      <c r="K1092" s="44" t="str">
        <f>IFERROR(__xludf.DUMMYFUNCTION("""COMPUTED_VALUE"""),"https://expa.aiesec.org/opportunities/1289100")</f>
        <v>https://expa.aiesec.org/opportunities/1289100</v>
      </c>
      <c r="L1092" s="43" t="str">
        <f>IFERROR(__xludf.DUMMYFUNCTION("""COMPUTED_VALUE"""),"GV")</f>
        <v>GV</v>
      </c>
      <c r="M1092" s="43" t="str">
        <f>IFERROR(__xludf.DUMMYFUNCTION("""COMPUTED_VALUE"""),"short")</f>
        <v>short</v>
      </c>
      <c r="N1092" s="45">
        <f>IFERROR(__xludf.DUMMYFUNCTION("""COMPUTED_VALUE"""),45107.0)</f>
        <v>45107</v>
      </c>
      <c r="O1092" s="45">
        <f>IFERROR(__xludf.DUMMYFUNCTION("""COMPUTED_VALUE"""),45152.0)</f>
        <v>45152</v>
      </c>
      <c r="P1092" s="45">
        <f>IFERROR(__xludf.DUMMYFUNCTION("""COMPUTED_VALUE"""),45194.0)</f>
        <v>45194</v>
      </c>
      <c r="Q1092" s="45">
        <f>IFERROR(__xludf.DUMMYFUNCTION("""COMPUTED_VALUE"""),45152.0)</f>
        <v>45152</v>
      </c>
      <c r="R1092" s="45">
        <f>IFERROR(__xludf.DUMMYFUNCTION("""COMPUTED_VALUE"""),45194.0)</f>
        <v>45194</v>
      </c>
      <c r="S1092" s="43"/>
      <c r="T1092" s="43"/>
      <c r="U1092" s="43" t="str">
        <f>IFERROR(__xludf.DUMMYFUNCTION("""COMPUTED_VALUE"""),"Global Classroom")</f>
        <v>Global Classroom</v>
      </c>
      <c r="V1092" s="43" t="str">
        <f>IFERROR(__xludf.DUMMYFUNCTION("""COMPUTED_VALUE"""),"FLAH")</f>
        <v>FLAH</v>
      </c>
      <c r="W1092" s="43" t="str">
        <f>IFERROR(__xludf.DUMMYFUNCTION("""COMPUTED_VALUE"""),"2023-06-29T19:00:06Z")</f>
        <v>2023-06-29T19:00:06Z</v>
      </c>
      <c r="X1092" s="43"/>
      <c r="Y1092" s="43"/>
      <c r="Z1092" s="43"/>
    </row>
    <row r="1093" hidden="1">
      <c r="A1093" s="43" t="str">
        <f>IFERROR(__xludf.DUMMYFUNCTION("""COMPUTED_VALUE"""),"5226559_1295002")</f>
        <v>5226559_1295002</v>
      </c>
      <c r="B1093" s="43" t="str">
        <f>IFERROR(__xludf.DUMMYFUNCTION("""COMPUTED_VALUE"""),"Dounia Kouadri")</f>
        <v>Dounia Kouadri</v>
      </c>
      <c r="C1093" s="43" t="str">
        <f>IFERROR(__xludf.DUMMYFUNCTION("""COMPUTED_VALUE"""),"completed")</f>
        <v>completed</v>
      </c>
      <c r="D1093" s="43" t="str">
        <f>IFERROR(__xludf.DUMMYFUNCTION("""COMPUTED_VALUE"""),"No")</f>
        <v>No</v>
      </c>
      <c r="E1093" s="43" t="str">
        <f>IFERROR(__xludf.DUMMYFUNCTION("""COMPUTED_VALUE"""),"p_8b5f7433f720e43da2b361bbddd5997fea458deb@inbound.aiesec.org")</f>
        <v>p_8b5f7433f720e43da2b361bbddd5997fea458deb@inbound.aiesec.org</v>
      </c>
      <c r="F1093" s="43">
        <f>IFERROR(__xludf.DUMMYFUNCTION("""COMPUTED_VALUE"""),7.81654037E8)</f>
        <v>781654037</v>
      </c>
      <c r="G1093" s="43" t="str">
        <f>IFERROR(__xludf.DUMMYFUNCTION("""COMPUTED_VALUE"""),"Algeria")</f>
        <v>Algeria</v>
      </c>
      <c r="H1093" s="43" t="str">
        <f>IFERROR(__xludf.DUMMYFUNCTION("""COMPUTED_VALUE"""),"Babez")</f>
        <v>Babez</v>
      </c>
      <c r="I1093" s="43" t="str">
        <f>IFERROR(__xludf.DUMMYFUNCTION("""COMPUTED_VALUE"""),"Turkey")</f>
        <v>Turkey</v>
      </c>
      <c r="J1093" s="43" t="str">
        <f>IFERROR(__xludf.DUMMYFUNCTION("""COMPUTED_VALUE"""),"ADANA")</f>
        <v>ADANA</v>
      </c>
      <c r="K1093" s="44" t="str">
        <f>IFERROR(__xludf.DUMMYFUNCTION("""COMPUTED_VALUE"""),"https://expa.aiesec.org/opportunities/1295002")</f>
        <v>https://expa.aiesec.org/opportunities/1295002</v>
      </c>
      <c r="L1093" s="43" t="str">
        <f>IFERROR(__xludf.DUMMYFUNCTION("""COMPUTED_VALUE"""),"GV")</f>
        <v>GV</v>
      </c>
      <c r="M1093" s="43" t="str">
        <f>IFERROR(__xludf.DUMMYFUNCTION("""COMPUTED_VALUE"""),"short")</f>
        <v>short</v>
      </c>
      <c r="N1093" s="45">
        <f>IFERROR(__xludf.DUMMYFUNCTION("""COMPUTED_VALUE"""),45107.0)</f>
        <v>45107</v>
      </c>
      <c r="O1093" s="45">
        <f>IFERROR(__xludf.DUMMYFUNCTION("""COMPUTED_VALUE"""),45117.0)</f>
        <v>45117</v>
      </c>
      <c r="P1093" s="45">
        <f>IFERROR(__xludf.DUMMYFUNCTION("""COMPUTED_VALUE"""),45159.0)</f>
        <v>45159</v>
      </c>
      <c r="Q1093" s="45">
        <f>IFERROR(__xludf.DUMMYFUNCTION("""COMPUTED_VALUE"""),45112.0)</f>
        <v>45112</v>
      </c>
      <c r="R1093" s="45">
        <f>IFERROR(__xludf.DUMMYFUNCTION("""COMPUTED_VALUE"""),45159.0)</f>
        <v>45159</v>
      </c>
      <c r="S1093" s="43"/>
      <c r="T1093" s="43"/>
      <c r="U1093" s="43" t="str">
        <f>IFERROR(__xludf.DUMMYFUNCTION("""COMPUTED_VALUE"""),"Global Classroom")</f>
        <v>Global Classroom</v>
      </c>
      <c r="V1093" s="43" t="str">
        <f>IFERROR(__xludf.DUMMYFUNCTION("""COMPUTED_VALUE"""),"AIESEC in Babez")</f>
        <v>AIESEC in Babez</v>
      </c>
      <c r="W1093" s="43" t="str">
        <f>IFERROR(__xludf.DUMMYFUNCTION("""COMPUTED_VALUE"""),"2023-03-25T10:57:04Z")</f>
        <v>2023-03-25T10:57:04Z</v>
      </c>
      <c r="X1093" s="43"/>
      <c r="Y1093" s="43"/>
      <c r="Z1093" s="43"/>
    </row>
    <row r="1094" hidden="1">
      <c r="A1094" s="43" t="str">
        <f>IFERROR(__xludf.DUMMYFUNCTION("""COMPUTED_VALUE"""),"5270054_1296101")</f>
        <v>5270054_1296101</v>
      </c>
      <c r="B1094" s="43" t="str">
        <f>IFERROR(__xludf.DUMMYFUNCTION("""COMPUTED_VALUE"""),"Fatma Zgarni")</f>
        <v>Fatma Zgarni</v>
      </c>
      <c r="C1094" s="43" t="str">
        <f>IFERROR(__xludf.DUMMYFUNCTION("""COMPUTED_VALUE"""),"completed")</f>
        <v>completed</v>
      </c>
      <c r="D1094" s="43" t="str">
        <f>IFERROR(__xludf.DUMMYFUNCTION("""COMPUTED_VALUE"""),"No")</f>
        <v>No</v>
      </c>
      <c r="E1094" s="43" t="str">
        <f>IFERROR(__xludf.DUMMYFUNCTION("""COMPUTED_VALUE"""),"p_a8bc833fb69c65c742ec718ecb3bca7719c45100@inbound.aiesec.org")</f>
        <v>p_a8bc833fb69c65c742ec718ecb3bca7719c45100@inbound.aiesec.org</v>
      </c>
      <c r="F1094" s="43">
        <f>IFERROR(__xludf.DUMMYFUNCTION("""COMPUTED_VALUE"""),5.3700824E7)</f>
        <v>53700824</v>
      </c>
      <c r="G1094" s="43" t="str">
        <f>IFERROR(__xludf.DUMMYFUNCTION("""COMPUTED_VALUE"""),"Tunisia")</f>
        <v>Tunisia</v>
      </c>
      <c r="H1094" s="43" t="str">
        <f>IFERROR(__xludf.DUMMYFUNCTION("""COMPUTED_VALUE"""),"UNIVERSITY")</f>
        <v>UNIVERSITY</v>
      </c>
      <c r="I1094" s="43" t="str">
        <f>IFERROR(__xludf.DUMMYFUNCTION("""COMPUTED_VALUE"""),"Turkey")</f>
        <v>Turkey</v>
      </c>
      <c r="J1094" s="43" t="str">
        <f>IFERROR(__xludf.DUMMYFUNCTION("""COMPUTED_VALUE"""),"ANKARA")</f>
        <v>ANKARA</v>
      </c>
      <c r="K1094" s="44" t="str">
        <f>IFERROR(__xludf.DUMMYFUNCTION("""COMPUTED_VALUE"""),"https://expa.aiesec.org/opportunities/1296101")</f>
        <v>https://expa.aiesec.org/opportunities/1296101</v>
      </c>
      <c r="L1094" s="43" t="str">
        <f>IFERROR(__xludf.DUMMYFUNCTION("""COMPUTED_VALUE"""),"GV")</f>
        <v>GV</v>
      </c>
      <c r="M1094" s="43" t="str">
        <f>IFERROR(__xludf.DUMMYFUNCTION("""COMPUTED_VALUE"""),"short")</f>
        <v>short</v>
      </c>
      <c r="N1094" s="45">
        <f>IFERROR(__xludf.DUMMYFUNCTION("""COMPUTED_VALUE"""),45107.0)</f>
        <v>45107</v>
      </c>
      <c r="O1094" s="45">
        <f>IFERROR(__xludf.DUMMYFUNCTION("""COMPUTED_VALUE"""),45124.0)</f>
        <v>45124</v>
      </c>
      <c r="P1094" s="45">
        <f>IFERROR(__xludf.DUMMYFUNCTION("""COMPUTED_VALUE"""),45166.0)</f>
        <v>45166</v>
      </c>
      <c r="Q1094" s="45">
        <f>IFERROR(__xludf.DUMMYFUNCTION("""COMPUTED_VALUE"""),45170.0)</f>
        <v>45170</v>
      </c>
      <c r="R1094" s="45">
        <f>IFERROR(__xludf.DUMMYFUNCTION("""COMPUTED_VALUE"""),45210.0)</f>
        <v>45210</v>
      </c>
      <c r="S1094" s="43"/>
      <c r="T1094" s="43"/>
      <c r="U1094" s="43" t="str">
        <f>IFERROR(__xludf.DUMMYFUNCTION("""COMPUTED_VALUE"""),"Fingerprint")</f>
        <v>Fingerprint</v>
      </c>
      <c r="V1094" s="43" t="str">
        <f>IFERROR(__xludf.DUMMYFUNCTION("""COMPUTED_VALUE"""),"FST")</f>
        <v>FST</v>
      </c>
      <c r="W1094" s="43" t="str">
        <f>IFERROR(__xludf.DUMMYFUNCTION("""COMPUTED_VALUE"""),"2023-06-01T09:03:44Z")</f>
        <v>2023-06-01T09:03:44Z</v>
      </c>
      <c r="X1094" s="43"/>
      <c r="Y1094" s="43"/>
      <c r="Z1094" s="43"/>
    </row>
    <row r="1095" hidden="1">
      <c r="A1095" s="43" t="str">
        <f>IFERROR(__xludf.DUMMYFUNCTION("""COMPUTED_VALUE"""),"5278110_1295149")</f>
        <v>5278110_1295149</v>
      </c>
      <c r="B1095" s="43" t="str">
        <f>IFERROR(__xludf.DUMMYFUNCTION("""COMPUTED_VALUE"""),"Francisco Santos")</f>
        <v>Francisco Santos</v>
      </c>
      <c r="C1095" s="43" t="str">
        <f>IFERROR(__xludf.DUMMYFUNCTION("""COMPUTED_VALUE"""),"completed")</f>
        <v>completed</v>
      </c>
      <c r="D1095" s="43" t="str">
        <f>IFERROR(__xludf.DUMMYFUNCTION("""COMPUTED_VALUE"""),"No")</f>
        <v>No</v>
      </c>
      <c r="E1095" s="43" t="str">
        <f>IFERROR(__xludf.DUMMYFUNCTION("""COMPUTED_VALUE"""),"p_0803e6fd97ef5c5d5c0cbe4bc68604f845b5a2d1@inbound.aiesec.org")</f>
        <v>p_0803e6fd97ef5c5d5c0cbe4bc68604f845b5a2d1@inbound.aiesec.org</v>
      </c>
      <c r="F1095" s="43">
        <f>IFERROR(__xludf.DUMMYFUNCTION("""COMPUTED_VALUE"""),9.12222914E8)</f>
        <v>912222914</v>
      </c>
      <c r="G1095" s="43" t="str">
        <f>IFERROR(__xludf.DUMMYFUNCTION("""COMPUTED_VALUE"""),"Portugal")</f>
        <v>Portugal</v>
      </c>
      <c r="H1095" s="43" t="str">
        <f>IFERROR(__xludf.DUMMYFUNCTION("""COMPUTED_VALUE"""),"Lisboa ISEG")</f>
        <v>Lisboa ISEG</v>
      </c>
      <c r="I1095" s="43" t="str">
        <f>IFERROR(__xludf.DUMMYFUNCTION("""COMPUTED_VALUE"""),"Turkey")</f>
        <v>Turkey</v>
      </c>
      <c r="J1095" s="43" t="str">
        <f>IFERROR(__xludf.DUMMYFUNCTION("""COMPUTED_VALUE"""),"DENIZLI")</f>
        <v>DENIZLI</v>
      </c>
      <c r="K1095" s="44" t="str">
        <f>IFERROR(__xludf.DUMMYFUNCTION("""COMPUTED_VALUE"""),"https://expa.aiesec.org/opportunities/1295149")</f>
        <v>https://expa.aiesec.org/opportunities/1295149</v>
      </c>
      <c r="L1095" s="43" t="str">
        <f>IFERROR(__xludf.DUMMYFUNCTION("""COMPUTED_VALUE"""),"GV")</f>
        <v>GV</v>
      </c>
      <c r="M1095" s="43" t="str">
        <f>IFERROR(__xludf.DUMMYFUNCTION("""COMPUTED_VALUE"""),"short")</f>
        <v>short</v>
      </c>
      <c r="N1095" s="45">
        <f>IFERROR(__xludf.DUMMYFUNCTION("""COMPUTED_VALUE"""),45107.0)</f>
        <v>45107</v>
      </c>
      <c r="O1095" s="45">
        <f>IFERROR(__xludf.DUMMYFUNCTION("""COMPUTED_VALUE"""),45152.0)</f>
        <v>45152</v>
      </c>
      <c r="P1095" s="45">
        <f>IFERROR(__xludf.DUMMYFUNCTION("""COMPUTED_VALUE"""),45194.0)</f>
        <v>45194</v>
      </c>
      <c r="Q1095" s="45">
        <f>IFERROR(__xludf.DUMMYFUNCTION("""COMPUTED_VALUE"""),45153.0)</f>
        <v>45153</v>
      </c>
      <c r="R1095" s="45">
        <f>IFERROR(__xludf.DUMMYFUNCTION("""COMPUTED_VALUE"""),45194.0)</f>
        <v>45194</v>
      </c>
      <c r="S1095" s="43"/>
      <c r="T1095" s="43"/>
      <c r="U1095" s="43" t="str">
        <f>IFERROR(__xludf.DUMMYFUNCTION("""COMPUTED_VALUE"""),"Youth 4 Impact")</f>
        <v>Youth 4 Impact</v>
      </c>
      <c r="V1095" s="43" t="str">
        <f>IFERROR(__xludf.DUMMYFUNCTION("""COMPUTED_VALUE"""),"Universidade de Lisboa - Instituto Superior de Economia e Gestão (ISEG)")</f>
        <v>Universidade de Lisboa - Instituto Superior de Economia e Gestão (ISEG)</v>
      </c>
      <c r="W1095" s="43" t="str">
        <f>IFERROR(__xludf.DUMMYFUNCTION("""COMPUTED_VALUE"""),"2023-06-21T19:12:08Z")</f>
        <v>2023-06-21T19:12:08Z</v>
      </c>
      <c r="X1095" s="43"/>
      <c r="Y1095" s="43"/>
      <c r="Z1095" s="43"/>
    </row>
    <row r="1096" hidden="1">
      <c r="A1096" s="43" t="str">
        <f>IFERROR(__xludf.DUMMYFUNCTION("""COMPUTED_VALUE"""),"5270867_1289505")</f>
        <v>5270867_1289505</v>
      </c>
      <c r="B1096" s="43" t="str">
        <f>IFERROR(__xludf.DUMMYFUNCTION("""COMPUTED_VALUE"""),"Himari Inoue")</f>
        <v>Himari Inoue</v>
      </c>
      <c r="C1096" s="43" t="str">
        <f>IFERROR(__xludf.DUMMYFUNCTION("""COMPUTED_VALUE"""),"completed")</f>
        <v>completed</v>
      </c>
      <c r="D1096" s="43" t="str">
        <f>IFERROR(__xludf.DUMMYFUNCTION("""COMPUTED_VALUE"""),"No")</f>
        <v>No</v>
      </c>
      <c r="E1096" s="43" t="str">
        <f>IFERROR(__xludf.DUMMYFUNCTION("""COMPUTED_VALUE"""),"p_59e9a9fce372eaf68d76d06866b140085f68be21@inbound.aiesec.org")</f>
        <v>p_59e9a9fce372eaf68d76d06866b140085f68be21@inbound.aiesec.org</v>
      </c>
      <c r="F1096" s="43"/>
      <c r="G1096" s="43" t="str">
        <f>IFERROR(__xludf.DUMMYFUNCTION("""COMPUTED_VALUE"""),"Japan")</f>
        <v>Japan</v>
      </c>
      <c r="H1096" s="43" t="str">
        <f>IFERROR(__xludf.DUMMYFUNCTION("""COMPUTED_VALUE"""),"KOBE UNIVERSITY")</f>
        <v>KOBE UNIVERSITY</v>
      </c>
      <c r="I1096" s="43" t="str">
        <f>IFERROR(__xludf.DUMMYFUNCTION("""COMPUTED_VALUE"""),"Turkey")</f>
        <v>Turkey</v>
      </c>
      <c r="J1096" s="43" t="str">
        <f>IFERROR(__xludf.DUMMYFUNCTION("""COMPUTED_VALUE"""),"KOCAELI")</f>
        <v>KOCAELI</v>
      </c>
      <c r="K1096" s="44" t="str">
        <f>IFERROR(__xludf.DUMMYFUNCTION("""COMPUTED_VALUE"""),"https://expa.aiesec.org/opportunities/1289505")</f>
        <v>https://expa.aiesec.org/opportunities/1289505</v>
      </c>
      <c r="L1096" s="43" t="str">
        <f>IFERROR(__xludf.DUMMYFUNCTION("""COMPUTED_VALUE"""),"GV")</f>
        <v>GV</v>
      </c>
      <c r="M1096" s="43" t="str">
        <f>IFERROR(__xludf.DUMMYFUNCTION("""COMPUTED_VALUE"""),"short")</f>
        <v>short</v>
      </c>
      <c r="N1096" s="45">
        <f>IFERROR(__xludf.DUMMYFUNCTION("""COMPUTED_VALUE"""),45107.0)</f>
        <v>45107</v>
      </c>
      <c r="O1096" s="45">
        <f>IFERROR(__xludf.DUMMYFUNCTION("""COMPUTED_VALUE"""),45152.0)</f>
        <v>45152</v>
      </c>
      <c r="P1096" s="45">
        <f>IFERROR(__xludf.DUMMYFUNCTION("""COMPUTED_VALUE"""),45194.0)</f>
        <v>45194</v>
      </c>
      <c r="Q1096" s="45">
        <f>IFERROR(__xludf.DUMMYFUNCTION("""COMPUTED_VALUE"""),45152.0)</f>
        <v>45152</v>
      </c>
      <c r="R1096" s="45">
        <f>IFERROR(__xludf.DUMMYFUNCTION("""COMPUTED_VALUE"""),45194.0)</f>
        <v>45194</v>
      </c>
      <c r="S1096" s="43"/>
      <c r="T1096" s="43"/>
      <c r="U1096" s="43" t="str">
        <f>IFERROR(__xludf.DUMMYFUNCTION("""COMPUTED_VALUE"""),"Youth 4 Impact")</f>
        <v>Youth 4 Impact</v>
      </c>
      <c r="V1096" s="43" t="str">
        <f>IFERROR(__xludf.DUMMYFUNCTION("""COMPUTED_VALUE"""),"-")</f>
        <v>-</v>
      </c>
      <c r="W1096" s="43" t="str">
        <f>IFERROR(__xludf.DUMMYFUNCTION("""COMPUTED_VALUE"""),"2023-06-03T02:15:53Z")</f>
        <v>2023-06-03T02:15:53Z</v>
      </c>
      <c r="X1096" s="43"/>
      <c r="Y1096" s="43"/>
      <c r="Z1096" s="43"/>
    </row>
    <row r="1097" hidden="1">
      <c r="A1097" s="43" t="str">
        <f>IFERROR(__xludf.DUMMYFUNCTION("""COMPUTED_VALUE"""),"5275061_1295893")</f>
        <v>5275061_1295893</v>
      </c>
      <c r="B1097" s="43" t="str">
        <f>IFERROR(__xludf.DUMMYFUNCTION("""COMPUTED_VALUE"""),"Anna Serra Folch")</f>
        <v>Anna Serra Folch</v>
      </c>
      <c r="C1097" s="43" t="str">
        <f>IFERROR(__xludf.DUMMYFUNCTION("""COMPUTED_VALUE"""),"finished")</f>
        <v>finished</v>
      </c>
      <c r="D1097" s="43" t="str">
        <f>IFERROR(__xludf.DUMMYFUNCTION("""COMPUTED_VALUE"""),"No")</f>
        <v>No</v>
      </c>
      <c r="E1097" s="43" t="str">
        <f>IFERROR(__xludf.DUMMYFUNCTION("""COMPUTED_VALUE"""),"p_8e5b32f67025be8842083a7adf8df81c9a5811a8@inbound.aiesec.org")</f>
        <v>p_8e5b32f67025be8842083a7adf8df81c9a5811a8@inbound.aiesec.org</v>
      </c>
      <c r="F1097" s="43">
        <f>IFERROR(__xludf.DUMMYFUNCTION("""COMPUTED_VALUE"""),6.22392547E8)</f>
        <v>622392547</v>
      </c>
      <c r="G1097" s="43" t="str">
        <f>IFERROR(__xludf.DUMMYFUNCTION("""COMPUTED_VALUE"""),"Spain")</f>
        <v>Spain</v>
      </c>
      <c r="H1097" s="43" t="str">
        <f>IFERROR(__xludf.DUMMYFUNCTION("""COMPUTED_VALUE"""),"Pompeu Fabra Barcelona")</f>
        <v>Pompeu Fabra Barcelona</v>
      </c>
      <c r="I1097" s="43" t="str">
        <f>IFERROR(__xludf.DUMMYFUNCTION("""COMPUTED_VALUE"""),"Turkey")</f>
        <v>Turkey</v>
      </c>
      <c r="J1097" s="43" t="str">
        <f>IFERROR(__xludf.DUMMYFUNCTION("""COMPUTED_VALUE"""),"ADANA")</f>
        <v>ADANA</v>
      </c>
      <c r="K1097" s="44" t="str">
        <f>IFERROR(__xludf.DUMMYFUNCTION("""COMPUTED_VALUE"""),"https://expa.aiesec.org/opportunities/1295893")</f>
        <v>https://expa.aiesec.org/opportunities/1295893</v>
      </c>
      <c r="L1097" s="43" t="str">
        <f>IFERROR(__xludf.DUMMYFUNCTION("""COMPUTED_VALUE"""),"GV")</f>
        <v>GV</v>
      </c>
      <c r="M1097" s="43" t="str">
        <f>IFERROR(__xludf.DUMMYFUNCTION("""COMPUTED_VALUE"""),"short")</f>
        <v>short</v>
      </c>
      <c r="N1097" s="45">
        <f>IFERROR(__xludf.DUMMYFUNCTION("""COMPUTED_VALUE"""),45108.0)</f>
        <v>45108</v>
      </c>
      <c r="O1097" s="45">
        <f>IFERROR(__xludf.DUMMYFUNCTION("""COMPUTED_VALUE"""),45187.0)</f>
        <v>45187</v>
      </c>
      <c r="P1097" s="45">
        <f>IFERROR(__xludf.DUMMYFUNCTION("""COMPUTED_VALUE"""),45229.0)</f>
        <v>45229</v>
      </c>
      <c r="Q1097" s="45">
        <f>IFERROR(__xludf.DUMMYFUNCTION("""COMPUTED_VALUE"""),45188.0)</f>
        <v>45188</v>
      </c>
      <c r="R1097" s="45">
        <f>IFERROR(__xludf.DUMMYFUNCTION("""COMPUTED_VALUE"""),45229.0)</f>
        <v>45229</v>
      </c>
      <c r="S1097" s="43"/>
      <c r="T1097" s="43"/>
      <c r="U1097" s="43" t="str">
        <f>IFERROR(__xludf.DUMMYFUNCTION("""COMPUTED_VALUE"""),"Global Classroom")</f>
        <v>Global Classroom</v>
      </c>
      <c r="V1097" s="43" t="str">
        <f>IFERROR(__xludf.DUMMYFUNCTION("""COMPUTED_VALUE"""),"Cataluña - Universitat de Barcelona - Facultad de Derecho ")</f>
        <v>Cataluña - Universitat de Barcelona - Facultad de Derecho </v>
      </c>
      <c r="W1097" s="43" t="str">
        <f>IFERROR(__xludf.DUMMYFUNCTION("""COMPUTED_VALUE"""),"2023-06-13T21:55:41Z")</f>
        <v>2023-06-13T21:55:41Z</v>
      </c>
      <c r="X1097" s="43"/>
      <c r="Y1097" s="43"/>
      <c r="Z1097" s="43"/>
    </row>
    <row r="1098" hidden="1">
      <c r="A1098" s="43" t="str">
        <f>IFERROR(__xludf.DUMMYFUNCTION("""COMPUTED_VALUE"""),"5263638_1295240")</f>
        <v>5263638_1295240</v>
      </c>
      <c r="B1098" s="43" t="str">
        <f>IFERROR(__xludf.DUMMYFUNCTION("""COMPUTED_VALUE"""),"Nataly Nabil")</f>
        <v>Nataly Nabil</v>
      </c>
      <c r="C1098" s="43" t="str">
        <f>IFERROR(__xludf.DUMMYFUNCTION("""COMPUTED_VALUE"""),"realization_broken")</f>
        <v>realization_broken</v>
      </c>
      <c r="D1098" s="43" t="str">
        <f>IFERROR(__xludf.DUMMYFUNCTION("""COMPUTED_VALUE"""),"No")</f>
        <v>No</v>
      </c>
      <c r="E1098" s="43" t="str">
        <f>IFERROR(__xludf.DUMMYFUNCTION("""COMPUTED_VALUE"""),"p_38eef92e47ecb2002b75be1bb7b6bc8a2373cbb7@inbound.aiesec.org")</f>
        <v>p_38eef92e47ecb2002b75be1bb7b6bc8a2373cbb7@inbound.aiesec.org</v>
      </c>
      <c r="F1098" s="43">
        <f>IFERROR(__xludf.DUMMYFUNCTION("""COMPUTED_VALUE"""),1.065318018E9)</f>
        <v>1065318018</v>
      </c>
      <c r="G1098" s="43" t="str">
        <f>IFERROR(__xludf.DUMMYFUNCTION("""COMPUTED_VALUE"""),"Egypt")</f>
        <v>Egypt</v>
      </c>
      <c r="H1098" s="43" t="str">
        <f>IFERROR(__xludf.DUMMYFUNCTION("""COMPUTED_VALUE"""),"Tanta")</f>
        <v>Tanta</v>
      </c>
      <c r="I1098" s="43" t="str">
        <f>IFERROR(__xludf.DUMMYFUNCTION("""COMPUTED_VALUE"""),"Turkey")</f>
        <v>Turkey</v>
      </c>
      <c r="J1098" s="43" t="str">
        <f>IFERROR(__xludf.DUMMYFUNCTION("""COMPUTED_VALUE"""),"İZMİR")</f>
        <v>İZMİR</v>
      </c>
      <c r="K1098" s="44" t="str">
        <f>IFERROR(__xludf.DUMMYFUNCTION("""COMPUTED_VALUE"""),"https://expa.aiesec.org/opportunities/1295240")</f>
        <v>https://expa.aiesec.org/opportunities/1295240</v>
      </c>
      <c r="L1098" s="43" t="str">
        <f>IFERROR(__xludf.DUMMYFUNCTION("""COMPUTED_VALUE"""),"GV")</f>
        <v>GV</v>
      </c>
      <c r="M1098" s="43" t="str">
        <f>IFERROR(__xludf.DUMMYFUNCTION("""COMPUTED_VALUE"""),"short")</f>
        <v>short</v>
      </c>
      <c r="N1098" s="45">
        <f>IFERROR(__xludf.DUMMYFUNCTION("""COMPUTED_VALUE"""),45108.0)</f>
        <v>45108</v>
      </c>
      <c r="O1098" s="45">
        <f>IFERROR(__xludf.DUMMYFUNCTION("""COMPUTED_VALUE"""),45152.0)</f>
        <v>45152</v>
      </c>
      <c r="P1098" s="45">
        <f>IFERROR(__xludf.DUMMYFUNCTION("""COMPUTED_VALUE"""),45194.0)</f>
        <v>45194</v>
      </c>
      <c r="Q1098" s="45"/>
      <c r="R1098" s="45"/>
      <c r="S1098" s="43"/>
      <c r="T1098" s="43"/>
      <c r="U1098" s="43" t="str">
        <f>IFERROR(__xludf.DUMMYFUNCTION("""COMPUTED_VALUE"""),"Fingerprint")</f>
        <v>Fingerprint</v>
      </c>
      <c r="V1098" s="43" t="str">
        <f>IFERROR(__xludf.DUMMYFUNCTION("""COMPUTED_VALUE"""),"Kafr El-Sheikh University")</f>
        <v>Kafr El-Sheikh University</v>
      </c>
      <c r="W1098" s="43" t="str">
        <f>IFERROR(__xludf.DUMMYFUNCTION("""COMPUTED_VALUE"""),"2023-05-19T15:39:03Z")</f>
        <v>2023-05-19T15:39:03Z</v>
      </c>
      <c r="X1098" s="43"/>
      <c r="Y1098" s="43"/>
      <c r="Z1098" s="43"/>
    </row>
    <row r="1099" hidden="1">
      <c r="A1099" s="43" t="str">
        <f>IFERROR(__xludf.DUMMYFUNCTION("""COMPUTED_VALUE"""),"5274822_1295830")</f>
        <v>5274822_1295830</v>
      </c>
      <c r="B1099" s="43" t="str">
        <f>IFERROR(__xludf.DUMMYFUNCTION("""COMPUTED_VALUE"""),"Daniela Pereira")</f>
        <v>Daniela Pereira</v>
      </c>
      <c r="C1099" s="43" t="str">
        <f>IFERROR(__xludf.DUMMYFUNCTION("""COMPUTED_VALUE"""),"completed")</f>
        <v>completed</v>
      </c>
      <c r="D1099" s="43" t="str">
        <f>IFERROR(__xludf.DUMMYFUNCTION("""COMPUTED_VALUE"""),"No")</f>
        <v>No</v>
      </c>
      <c r="E1099" s="43" t="str">
        <f>IFERROR(__xludf.DUMMYFUNCTION("""COMPUTED_VALUE"""),"p_969bbc852b24291a87103bf81258fb928fb372af@inbound.aiesec.org")</f>
        <v>p_969bbc852b24291a87103bf81258fb928fb372af@inbound.aiesec.org</v>
      </c>
      <c r="F1099" s="43"/>
      <c r="G1099" s="43" t="str">
        <f>IFERROR(__xludf.DUMMYFUNCTION("""COMPUTED_VALUE"""),"Portugal")</f>
        <v>Portugal</v>
      </c>
      <c r="H1099" s="43" t="str">
        <f>IFERROR(__xludf.DUMMYFUNCTION("""COMPUTED_VALUE"""),"Lisboa ISEG")</f>
        <v>Lisboa ISEG</v>
      </c>
      <c r="I1099" s="43" t="str">
        <f>IFERROR(__xludf.DUMMYFUNCTION("""COMPUTED_VALUE"""),"Turkey")</f>
        <v>Turkey</v>
      </c>
      <c r="J1099" s="43" t="str">
        <f>IFERROR(__xludf.DUMMYFUNCTION("""COMPUTED_VALUE"""),"ANKARA")</f>
        <v>ANKARA</v>
      </c>
      <c r="K1099" s="44" t="str">
        <f>IFERROR(__xludf.DUMMYFUNCTION("""COMPUTED_VALUE"""),"https://expa.aiesec.org/opportunities/1295830")</f>
        <v>https://expa.aiesec.org/opportunities/1295830</v>
      </c>
      <c r="L1099" s="43" t="str">
        <f>IFERROR(__xludf.DUMMYFUNCTION("""COMPUTED_VALUE"""),"GV")</f>
        <v>GV</v>
      </c>
      <c r="M1099" s="43" t="str">
        <f>IFERROR(__xludf.DUMMYFUNCTION("""COMPUTED_VALUE"""),"short")</f>
        <v>short</v>
      </c>
      <c r="N1099" s="45">
        <f>IFERROR(__xludf.DUMMYFUNCTION("""COMPUTED_VALUE"""),45108.0)</f>
        <v>45108</v>
      </c>
      <c r="O1099" s="45">
        <f>IFERROR(__xludf.DUMMYFUNCTION("""COMPUTED_VALUE"""),45120.0)</f>
        <v>45120</v>
      </c>
      <c r="P1099" s="45">
        <f>IFERROR(__xludf.DUMMYFUNCTION("""COMPUTED_VALUE"""),45162.0)</f>
        <v>45162</v>
      </c>
      <c r="Q1099" s="45">
        <f>IFERROR(__xludf.DUMMYFUNCTION("""COMPUTED_VALUE"""),45120.0)</f>
        <v>45120</v>
      </c>
      <c r="R1099" s="45">
        <f>IFERROR(__xludf.DUMMYFUNCTION("""COMPUTED_VALUE"""),45162.0)</f>
        <v>45162</v>
      </c>
      <c r="S1099" s="43"/>
      <c r="T1099" s="43"/>
      <c r="U1099" s="43" t="str">
        <f>IFERROR(__xludf.DUMMYFUNCTION("""COMPUTED_VALUE"""),"Global Classroom")</f>
        <v>Global Classroom</v>
      </c>
      <c r="V1099" s="43" t="str">
        <f>IFERROR(__xludf.DUMMYFUNCTION("""COMPUTED_VALUE"""),"Universidade de Lisboa - Instituto Superior de Economia e Gestão (ISEG)")</f>
        <v>Universidade de Lisboa - Instituto Superior de Economia e Gestão (ISEG)</v>
      </c>
      <c r="W1099" s="43" t="str">
        <f>IFERROR(__xludf.DUMMYFUNCTION("""COMPUTED_VALUE"""),"2023-06-13T11:58:31Z")</f>
        <v>2023-06-13T11:58:31Z</v>
      </c>
      <c r="X1099" s="43"/>
      <c r="Y1099" s="43"/>
      <c r="Z1099" s="43"/>
    </row>
    <row r="1100" hidden="1">
      <c r="A1100" s="43" t="str">
        <f>IFERROR(__xludf.DUMMYFUNCTION("""COMPUTED_VALUE"""),"5250470_1289505")</f>
        <v>5250470_1289505</v>
      </c>
      <c r="B1100" s="43" t="str">
        <f>IFERROR(__xludf.DUMMYFUNCTION("""COMPUTED_VALUE"""),"Caterina Tarantello")</f>
        <v>Caterina Tarantello</v>
      </c>
      <c r="C1100" s="43" t="str">
        <f>IFERROR(__xludf.DUMMYFUNCTION("""COMPUTED_VALUE"""),"completed")</f>
        <v>completed</v>
      </c>
      <c r="D1100" s="43" t="str">
        <f>IFERROR(__xludf.DUMMYFUNCTION("""COMPUTED_VALUE"""),"No")</f>
        <v>No</v>
      </c>
      <c r="E1100" s="43" t="str">
        <f>IFERROR(__xludf.DUMMYFUNCTION("""COMPUTED_VALUE"""),"p_c06a0c4585b60eb0a9098d9c3a17b26f46fd8974@inbound.aiesec.org")</f>
        <v>p_c06a0c4585b60eb0a9098d9c3a17b26f46fd8974@inbound.aiesec.org</v>
      </c>
      <c r="F1100" s="43">
        <f>IFERROR(__xludf.DUMMYFUNCTION("""COMPUTED_VALUE"""),3.453579536E9)</f>
        <v>3453579536</v>
      </c>
      <c r="G1100" s="43" t="str">
        <f>IFERROR(__xludf.DUMMYFUNCTION("""COMPUTED_VALUE"""),"Italy")</f>
        <v>Italy</v>
      </c>
      <c r="H1100" s="43" t="str">
        <f>IFERROR(__xludf.DUMMYFUNCTION("""COMPUTED_VALUE"""),"Milano")</f>
        <v>Milano</v>
      </c>
      <c r="I1100" s="43" t="str">
        <f>IFERROR(__xludf.DUMMYFUNCTION("""COMPUTED_VALUE"""),"Turkey")</f>
        <v>Turkey</v>
      </c>
      <c r="J1100" s="43" t="str">
        <f>IFERROR(__xludf.DUMMYFUNCTION("""COMPUTED_VALUE"""),"KOCAELI")</f>
        <v>KOCAELI</v>
      </c>
      <c r="K1100" s="44" t="str">
        <f>IFERROR(__xludf.DUMMYFUNCTION("""COMPUTED_VALUE"""),"https://expa.aiesec.org/opportunities/1289505")</f>
        <v>https://expa.aiesec.org/opportunities/1289505</v>
      </c>
      <c r="L1100" s="43" t="str">
        <f>IFERROR(__xludf.DUMMYFUNCTION("""COMPUTED_VALUE"""),"GV")</f>
        <v>GV</v>
      </c>
      <c r="M1100" s="43" t="str">
        <f>IFERROR(__xludf.DUMMYFUNCTION("""COMPUTED_VALUE"""),"short")</f>
        <v>short</v>
      </c>
      <c r="N1100" s="45">
        <f>IFERROR(__xludf.DUMMYFUNCTION("""COMPUTED_VALUE"""),45108.0)</f>
        <v>45108</v>
      </c>
      <c r="O1100" s="45">
        <f>IFERROR(__xludf.DUMMYFUNCTION("""COMPUTED_VALUE"""),45145.0)</f>
        <v>45145</v>
      </c>
      <c r="P1100" s="45">
        <f>IFERROR(__xludf.DUMMYFUNCTION("""COMPUTED_VALUE"""),45187.0)</f>
        <v>45187</v>
      </c>
      <c r="Q1100" s="45">
        <f>IFERROR(__xludf.DUMMYFUNCTION("""COMPUTED_VALUE"""),45144.0)</f>
        <v>45144</v>
      </c>
      <c r="R1100" s="45">
        <f>IFERROR(__xludf.DUMMYFUNCTION("""COMPUTED_VALUE"""),45187.0)</f>
        <v>45187</v>
      </c>
      <c r="S1100" s="43"/>
      <c r="T1100" s="43"/>
      <c r="U1100" s="43" t="str">
        <f>IFERROR(__xludf.DUMMYFUNCTION("""COMPUTED_VALUE"""),"Youth 4 Impact")</f>
        <v>Youth 4 Impact</v>
      </c>
      <c r="V1100" s="43" t="str">
        <f>IFERROR(__xludf.DUMMYFUNCTION("""COMPUTED_VALUE"""),"-")</f>
        <v>-</v>
      </c>
      <c r="W1100" s="43" t="str">
        <f>IFERROR(__xludf.DUMMYFUNCTION("""COMPUTED_VALUE"""),"2023-04-27T09:01:07Z")</f>
        <v>2023-04-27T09:01:07Z</v>
      </c>
      <c r="X1100" s="43"/>
      <c r="Y1100" s="43"/>
      <c r="Z1100" s="43"/>
    </row>
    <row r="1101" hidden="1">
      <c r="A1101" s="43" t="str">
        <f>IFERROR(__xludf.DUMMYFUNCTION("""COMPUTED_VALUE"""),"5160087_1284670")</f>
        <v>5160087_1284670</v>
      </c>
      <c r="B1101" s="43" t="str">
        <f>IFERROR(__xludf.DUMMYFUNCTION("""COMPUTED_VALUE"""),"Eduardo Hale García")</f>
        <v>Eduardo Hale García</v>
      </c>
      <c r="C1101" s="43" t="str">
        <f>IFERROR(__xludf.DUMMYFUNCTION("""COMPUTED_VALUE"""),"completed")</f>
        <v>completed</v>
      </c>
      <c r="D1101" s="43" t="str">
        <f>IFERROR(__xludf.DUMMYFUNCTION("""COMPUTED_VALUE"""),"No")</f>
        <v>No</v>
      </c>
      <c r="E1101" s="43" t="str">
        <f>IFERROR(__xludf.DUMMYFUNCTION("""COMPUTED_VALUE"""),"p_518ed490a4e09029fba2dbb64e22c4eaa10b676d@inbound.aiesec.org")</f>
        <v>p_518ed490a4e09029fba2dbb64e22c4eaa10b676d@inbound.aiesec.org</v>
      </c>
      <c r="F1101" s="43">
        <f>IFERROR(__xludf.DUMMYFUNCTION("""COMPUTED_VALUE"""),5.52905601E9)</f>
        <v>5529056010</v>
      </c>
      <c r="G1101" s="43" t="str">
        <f>IFERROR(__xludf.DUMMYFUNCTION("""COMPUTED_VALUE"""),"Mexico")</f>
        <v>Mexico</v>
      </c>
      <c r="H1101" s="43" t="str">
        <f>IFERROR(__xludf.DUMMYFUNCTION("""COMPUTED_VALUE"""),"UP")</f>
        <v>UP</v>
      </c>
      <c r="I1101" s="43" t="str">
        <f>IFERROR(__xludf.DUMMYFUNCTION("""COMPUTED_VALUE"""),"Turkey")</f>
        <v>Turkey</v>
      </c>
      <c r="J1101" s="43" t="str">
        <f>IFERROR(__xludf.DUMMYFUNCTION("""COMPUTED_VALUE"""),"ISTANBUL")</f>
        <v>ISTANBUL</v>
      </c>
      <c r="K1101" s="44" t="str">
        <f>IFERROR(__xludf.DUMMYFUNCTION("""COMPUTED_VALUE"""),"https://expa.aiesec.org/opportunities/1284670")</f>
        <v>https://expa.aiesec.org/opportunities/1284670</v>
      </c>
      <c r="L1101" s="43" t="str">
        <f>IFERROR(__xludf.DUMMYFUNCTION("""COMPUTED_VALUE"""),"GV")</f>
        <v>GV</v>
      </c>
      <c r="M1101" s="43" t="str">
        <f>IFERROR(__xludf.DUMMYFUNCTION("""COMPUTED_VALUE"""),"short")</f>
        <v>short</v>
      </c>
      <c r="N1101" s="45">
        <f>IFERROR(__xludf.DUMMYFUNCTION("""COMPUTED_VALUE"""),45108.0)</f>
        <v>45108</v>
      </c>
      <c r="O1101" s="45">
        <f>IFERROR(__xludf.DUMMYFUNCTION("""COMPUTED_VALUE"""),45110.0)</f>
        <v>45110</v>
      </c>
      <c r="P1101" s="45">
        <f>IFERROR(__xludf.DUMMYFUNCTION("""COMPUTED_VALUE"""),45152.0)</f>
        <v>45152</v>
      </c>
      <c r="Q1101" s="45">
        <f>IFERROR(__xludf.DUMMYFUNCTION("""COMPUTED_VALUE"""),45110.0)</f>
        <v>45110</v>
      </c>
      <c r="R1101" s="45">
        <f>IFERROR(__xludf.DUMMYFUNCTION("""COMPUTED_VALUE"""),45152.0)</f>
        <v>45152</v>
      </c>
      <c r="S1101" s="43"/>
      <c r="T1101" s="43"/>
      <c r="U1101" s="43" t="str">
        <f>IFERROR(__xludf.DUMMYFUNCTION("""COMPUTED_VALUE"""),"Heartbeat")</f>
        <v>Heartbeat</v>
      </c>
      <c r="V1101" s="43" t="str">
        <f>IFERROR(__xludf.DUMMYFUNCTION("""COMPUTED_VALUE"""),"CDMX - Universidad Panamericana (UP)")</f>
        <v>CDMX - Universidad Panamericana (UP)</v>
      </c>
      <c r="W1101" s="43" t="str">
        <f>IFERROR(__xludf.DUMMYFUNCTION("""COMPUTED_VALUE"""),"2022-11-28T20:04:41Z")</f>
        <v>2022-11-28T20:04:41Z</v>
      </c>
      <c r="X1101" s="43"/>
      <c r="Y1101" s="43"/>
      <c r="Z1101" s="43"/>
    </row>
    <row r="1102" hidden="1">
      <c r="A1102" s="43" t="str">
        <f>IFERROR(__xludf.DUMMYFUNCTION("""COMPUTED_VALUE"""),"1314239_1294452")</f>
        <v>1314239_1294452</v>
      </c>
      <c r="B1102" s="43" t="str">
        <f>IFERROR(__xludf.DUMMYFUNCTION("""COMPUTED_VALUE"""),"Shahreen Iftikhar")</f>
        <v>Shahreen Iftikhar</v>
      </c>
      <c r="C1102" s="43" t="str">
        <f>IFERROR(__xludf.DUMMYFUNCTION("""COMPUTED_VALUE"""),"completed")</f>
        <v>completed</v>
      </c>
      <c r="D1102" s="43" t="str">
        <f>IFERROR(__xludf.DUMMYFUNCTION("""COMPUTED_VALUE"""),"No")</f>
        <v>No</v>
      </c>
      <c r="E1102" s="43" t="str">
        <f>IFERROR(__xludf.DUMMYFUNCTION("""COMPUTED_VALUE"""),"p_00ffba6dcb489a035253a1141eccc8244ce239b0@inbound.aiesec.org")</f>
        <v>p_00ffba6dcb489a035253a1141eccc8244ce239b0@inbound.aiesec.org</v>
      </c>
      <c r="F1102" s="43">
        <f>IFERROR(__xludf.DUMMYFUNCTION("""COMPUTED_VALUE"""),3.224568699E9)</f>
        <v>3224568699</v>
      </c>
      <c r="G1102" s="43" t="str">
        <f>IFERROR(__xludf.DUMMYFUNCTION("""COMPUTED_VALUE"""),"Pakistan")</f>
        <v>Pakistan</v>
      </c>
      <c r="H1102" s="43" t="str">
        <f>IFERROR(__xludf.DUMMYFUNCTION("""COMPUTED_VALUE"""),"Lahore - Pak")</f>
        <v>Lahore - Pak</v>
      </c>
      <c r="I1102" s="43" t="str">
        <f>IFERROR(__xludf.DUMMYFUNCTION("""COMPUTED_VALUE"""),"Turkey")</f>
        <v>Turkey</v>
      </c>
      <c r="J1102" s="43" t="str">
        <f>IFERROR(__xludf.DUMMYFUNCTION("""COMPUTED_VALUE"""),"ESKISEHIR")</f>
        <v>ESKISEHIR</v>
      </c>
      <c r="K1102" s="44" t="str">
        <f>IFERROR(__xludf.DUMMYFUNCTION("""COMPUTED_VALUE"""),"https://expa.aiesec.org/opportunities/1294452")</f>
        <v>https://expa.aiesec.org/opportunities/1294452</v>
      </c>
      <c r="L1102" s="43" t="str">
        <f>IFERROR(__xludf.DUMMYFUNCTION("""COMPUTED_VALUE"""),"GV")</f>
        <v>GV</v>
      </c>
      <c r="M1102" s="43" t="str">
        <f>IFERROR(__xludf.DUMMYFUNCTION("""COMPUTED_VALUE"""),"short")</f>
        <v>short</v>
      </c>
      <c r="N1102" s="45">
        <f>IFERROR(__xludf.DUMMYFUNCTION("""COMPUTED_VALUE"""),45109.0)</f>
        <v>45109</v>
      </c>
      <c r="O1102" s="45">
        <f>IFERROR(__xludf.DUMMYFUNCTION("""COMPUTED_VALUE"""),45152.0)</f>
        <v>45152</v>
      </c>
      <c r="P1102" s="45">
        <f>IFERROR(__xludf.DUMMYFUNCTION("""COMPUTED_VALUE"""),45194.0)</f>
        <v>45194</v>
      </c>
      <c r="Q1102" s="45">
        <f>IFERROR(__xludf.DUMMYFUNCTION("""COMPUTED_VALUE"""),45153.0)</f>
        <v>45153</v>
      </c>
      <c r="R1102" s="45">
        <f>IFERROR(__xludf.DUMMYFUNCTION("""COMPUTED_VALUE"""),45194.0)</f>
        <v>45194</v>
      </c>
      <c r="S1102" s="43"/>
      <c r="T1102" s="43"/>
      <c r="U1102" s="43" t="str">
        <f>IFERROR(__xludf.DUMMYFUNCTION("""COMPUTED_VALUE"""),"On The Map")</f>
        <v>On The Map</v>
      </c>
      <c r="V1102" s="43" t="str">
        <f>IFERROR(__xludf.DUMMYFUNCTION("""COMPUTED_VALUE"""),"-")</f>
        <v>-</v>
      </c>
      <c r="W1102" s="43" t="str">
        <f>IFERROR(__xludf.DUMMYFUNCTION("""COMPUTED_VALUE"""),"2017-01-08T08:33:59Z")</f>
        <v>2017-01-08T08:33:59Z</v>
      </c>
      <c r="X1102" s="43"/>
      <c r="Y1102" s="43"/>
      <c r="Z1102" s="43"/>
    </row>
    <row r="1103" hidden="1">
      <c r="A1103" s="43" t="str">
        <f>IFERROR(__xludf.DUMMYFUNCTION("""COMPUTED_VALUE"""),"5185689_1294877")</f>
        <v>5185689_1294877</v>
      </c>
      <c r="B1103" s="43" t="str">
        <f>IFERROR(__xludf.DUMMYFUNCTION("""COMPUTED_VALUE"""),"atmane boussouf")</f>
        <v>atmane boussouf</v>
      </c>
      <c r="C1103" s="43" t="str">
        <f>IFERROR(__xludf.DUMMYFUNCTION("""COMPUTED_VALUE"""),"completed")</f>
        <v>completed</v>
      </c>
      <c r="D1103" s="43" t="str">
        <f>IFERROR(__xludf.DUMMYFUNCTION("""COMPUTED_VALUE"""),"No")</f>
        <v>No</v>
      </c>
      <c r="E1103" s="43" t="str">
        <f>IFERROR(__xludf.DUMMYFUNCTION("""COMPUTED_VALUE"""),"p_1f4687d863c4d3113b462af3260e26b687b44c48@inbound.aiesec.org")</f>
        <v>p_1f4687d863c4d3113b462af3260e26b687b44c48@inbound.aiesec.org</v>
      </c>
      <c r="F1103" s="43">
        <f>IFERROR(__xludf.DUMMYFUNCTION("""COMPUTED_VALUE"""),5.54076782E8)</f>
        <v>554076782</v>
      </c>
      <c r="G1103" s="43" t="str">
        <f>IFERROR(__xludf.DUMMYFUNCTION("""COMPUTED_VALUE"""),"Algeria")</f>
        <v>Algeria</v>
      </c>
      <c r="H1103" s="43" t="str">
        <f>IFERROR(__xludf.DUMMYFUNCTION("""COMPUTED_VALUE"""),"Babez")</f>
        <v>Babez</v>
      </c>
      <c r="I1103" s="43" t="str">
        <f>IFERROR(__xludf.DUMMYFUNCTION("""COMPUTED_VALUE"""),"Turkey")</f>
        <v>Turkey</v>
      </c>
      <c r="J1103" s="43" t="str">
        <f>IFERROR(__xludf.DUMMYFUNCTION("""COMPUTED_VALUE"""),"BURSA")</f>
        <v>BURSA</v>
      </c>
      <c r="K1103" s="44" t="str">
        <f>IFERROR(__xludf.DUMMYFUNCTION("""COMPUTED_VALUE"""),"https://expa.aiesec.org/opportunities/1294877")</f>
        <v>https://expa.aiesec.org/opportunities/1294877</v>
      </c>
      <c r="L1103" s="43" t="str">
        <f>IFERROR(__xludf.DUMMYFUNCTION("""COMPUTED_VALUE"""),"GV")</f>
        <v>GV</v>
      </c>
      <c r="M1103" s="43" t="str">
        <f>IFERROR(__xludf.DUMMYFUNCTION("""COMPUTED_VALUE"""),"short")</f>
        <v>short</v>
      </c>
      <c r="N1103" s="45">
        <f>IFERROR(__xludf.DUMMYFUNCTION("""COMPUTED_VALUE"""),45109.0)</f>
        <v>45109</v>
      </c>
      <c r="O1103" s="45">
        <f>IFERROR(__xludf.DUMMYFUNCTION("""COMPUTED_VALUE"""),45201.0)</f>
        <v>45201</v>
      </c>
      <c r="P1103" s="45">
        <f>IFERROR(__xludf.DUMMYFUNCTION("""COMPUTED_VALUE"""),45243.0)</f>
        <v>45243</v>
      </c>
      <c r="Q1103" s="45">
        <f>IFERROR(__xludf.DUMMYFUNCTION("""COMPUTED_VALUE"""),45201.0)</f>
        <v>45201</v>
      </c>
      <c r="R1103" s="45">
        <f>IFERROR(__xludf.DUMMYFUNCTION("""COMPUTED_VALUE"""),45243.0)</f>
        <v>45243</v>
      </c>
      <c r="S1103" s="43"/>
      <c r="T1103" s="43"/>
      <c r="U1103" s="43" t="str">
        <f>IFERROR(__xludf.DUMMYFUNCTION("""COMPUTED_VALUE"""),"Youth 4 Impact")</f>
        <v>Youth 4 Impact</v>
      </c>
      <c r="V1103" s="43" t="str">
        <f>IFERROR(__xludf.DUMMYFUNCTION("""COMPUTED_VALUE"""),"AIESEC in Babez")</f>
        <v>AIESEC in Babez</v>
      </c>
      <c r="W1103" s="43" t="str">
        <f>IFERROR(__xludf.DUMMYFUNCTION("""COMPUTED_VALUE"""),"2023-02-04T23:05:53Z")</f>
        <v>2023-02-04T23:05:53Z</v>
      </c>
      <c r="X1103" s="43"/>
      <c r="Y1103" s="43"/>
      <c r="Z1103" s="43"/>
    </row>
    <row r="1104" hidden="1">
      <c r="A1104" s="43" t="str">
        <f>IFERROR(__xludf.DUMMYFUNCTION("""COMPUTED_VALUE"""),"5267697_1295830")</f>
        <v>5267697_1295830</v>
      </c>
      <c r="B1104" s="43" t="str">
        <f>IFERROR(__xludf.DUMMYFUNCTION("""COMPUTED_VALUE"""),"chaima Abouda")</f>
        <v>chaima Abouda</v>
      </c>
      <c r="C1104" s="43" t="str">
        <f>IFERROR(__xludf.DUMMYFUNCTION("""COMPUTED_VALUE"""),"completed")</f>
        <v>completed</v>
      </c>
      <c r="D1104" s="43" t="str">
        <f>IFERROR(__xludf.DUMMYFUNCTION("""COMPUTED_VALUE"""),"No")</f>
        <v>No</v>
      </c>
      <c r="E1104" s="43" t="str">
        <f>IFERROR(__xludf.DUMMYFUNCTION("""COMPUTED_VALUE"""),"p_ebed5e3b1964023518a53d5b29f3dd134d93f939@inbound.aiesec.org")</f>
        <v>p_ebed5e3b1964023518a53d5b29f3dd134d93f939@inbound.aiesec.org</v>
      </c>
      <c r="F1104" s="43">
        <f>IFERROR(__xludf.DUMMYFUNCTION("""COMPUTED_VALUE"""),9.3237033E7)</f>
        <v>93237033</v>
      </c>
      <c r="G1104" s="43" t="str">
        <f>IFERROR(__xludf.DUMMYFUNCTION("""COMPUTED_VALUE"""),"Tunisia")</f>
        <v>Tunisia</v>
      </c>
      <c r="H1104" s="43" t="str">
        <f>IFERROR(__xludf.DUMMYFUNCTION("""COMPUTED_VALUE"""),"UNIVERSITY")</f>
        <v>UNIVERSITY</v>
      </c>
      <c r="I1104" s="43" t="str">
        <f>IFERROR(__xludf.DUMMYFUNCTION("""COMPUTED_VALUE"""),"Turkey")</f>
        <v>Turkey</v>
      </c>
      <c r="J1104" s="43" t="str">
        <f>IFERROR(__xludf.DUMMYFUNCTION("""COMPUTED_VALUE"""),"ANKARA")</f>
        <v>ANKARA</v>
      </c>
      <c r="K1104" s="44" t="str">
        <f>IFERROR(__xludf.DUMMYFUNCTION("""COMPUTED_VALUE"""),"https://expa.aiesec.org/opportunities/1295830")</f>
        <v>https://expa.aiesec.org/opportunities/1295830</v>
      </c>
      <c r="L1104" s="43" t="str">
        <f>IFERROR(__xludf.DUMMYFUNCTION("""COMPUTED_VALUE"""),"GV")</f>
        <v>GV</v>
      </c>
      <c r="M1104" s="43" t="str">
        <f>IFERROR(__xludf.DUMMYFUNCTION("""COMPUTED_VALUE"""),"short")</f>
        <v>short</v>
      </c>
      <c r="N1104" s="45">
        <f>IFERROR(__xludf.DUMMYFUNCTION("""COMPUTED_VALUE"""),45110.0)</f>
        <v>45110</v>
      </c>
      <c r="O1104" s="45">
        <f>IFERROR(__xludf.DUMMYFUNCTION("""COMPUTED_VALUE"""),45120.0)</f>
        <v>45120</v>
      </c>
      <c r="P1104" s="45">
        <f>IFERROR(__xludf.DUMMYFUNCTION("""COMPUTED_VALUE"""),45162.0)</f>
        <v>45162</v>
      </c>
      <c r="Q1104" s="45">
        <f>IFERROR(__xludf.DUMMYFUNCTION("""COMPUTED_VALUE"""),45120.0)</f>
        <v>45120</v>
      </c>
      <c r="R1104" s="45">
        <f>IFERROR(__xludf.DUMMYFUNCTION("""COMPUTED_VALUE"""),45162.0)</f>
        <v>45162</v>
      </c>
      <c r="S1104" s="43"/>
      <c r="T1104" s="43"/>
      <c r="U1104" s="43" t="str">
        <f>IFERROR(__xludf.DUMMYFUNCTION("""COMPUTED_VALUE"""),"Global Classroom")</f>
        <v>Global Classroom</v>
      </c>
      <c r="V1104" s="43" t="str">
        <f>IFERROR(__xludf.DUMMYFUNCTION("""COMPUTED_VALUE"""),"ISSHT")</f>
        <v>ISSHT</v>
      </c>
      <c r="W1104" s="43" t="str">
        <f>IFERROR(__xludf.DUMMYFUNCTION("""COMPUTED_VALUE"""),"2023-05-27T19:44:57Z")</f>
        <v>2023-05-27T19:44:57Z</v>
      </c>
      <c r="X1104" s="43"/>
      <c r="Y1104" s="43"/>
      <c r="Z1104" s="43"/>
    </row>
    <row r="1105" hidden="1">
      <c r="A1105" s="43" t="str">
        <f>IFERROR(__xludf.DUMMYFUNCTION("""COMPUTED_VALUE"""),"5280842_1296118")</f>
        <v>5280842_1296118</v>
      </c>
      <c r="B1105" s="43" t="str">
        <f>IFERROR(__xludf.DUMMYFUNCTION("""COMPUTED_VALUE"""),"Nohaila Elhassani")</f>
        <v>Nohaila Elhassani</v>
      </c>
      <c r="C1105" s="43" t="str">
        <f>IFERROR(__xludf.DUMMYFUNCTION("""COMPUTED_VALUE"""),"finished")</f>
        <v>finished</v>
      </c>
      <c r="D1105" s="43" t="str">
        <f>IFERROR(__xludf.DUMMYFUNCTION("""COMPUTED_VALUE"""),"No")</f>
        <v>No</v>
      </c>
      <c r="E1105" s="43" t="str">
        <f>IFERROR(__xludf.DUMMYFUNCTION("""COMPUTED_VALUE"""),"p_9ef56ca4e9009db892f782806771bbd1963f63c0@inbound.aiesec.org")</f>
        <v>p_9ef56ca4e9009db892f782806771bbd1963f63c0@inbound.aiesec.org</v>
      </c>
      <c r="F1105" s="43">
        <f>IFERROR(__xludf.DUMMYFUNCTION("""COMPUTED_VALUE"""),6.90552557E8)</f>
        <v>690552557</v>
      </c>
      <c r="G1105" s="43" t="str">
        <f>IFERROR(__xludf.DUMMYFUNCTION("""COMPUTED_VALUE"""),"Morocco")</f>
        <v>Morocco</v>
      </c>
      <c r="H1105" s="43" t="str">
        <f>IFERROR(__xludf.DUMMYFUNCTION("""COMPUTED_VALUE"""),"Casablanca")</f>
        <v>Casablanca</v>
      </c>
      <c r="I1105" s="43" t="str">
        <f>IFERROR(__xludf.DUMMYFUNCTION("""COMPUTED_VALUE"""),"Turkey")</f>
        <v>Turkey</v>
      </c>
      <c r="J1105" s="43" t="str">
        <f>IFERROR(__xludf.DUMMYFUNCTION("""COMPUTED_VALUE"""),"ISTANBUL WEST")</f>
        <v>ISTANBUL WEST</v>
      </c>
      <c r="K1105" s="44" t="str">
        <f>IFERROR(__xludf.DUMMYFUNCTION("""COMPUTED_VALUE"""),"https://expa.aiesec.org/opportunities/1296118")</f>
        <v>https://expa.aiesec.org/opportunities/1296118</v>
      </c>
      <c r="L1105" s="43" t="str">
        <f>IFERROR(__xludf.DUMMYFUNCTION("""COMPUTED_VALUE"""),"GV")</f>
        <v>GV</v>
      </c>
      <c r="M1105" s="43" t="str">
        <f>IFERROR(__xludf.DUMMYFUNCTION("""COMPUTED_VALUE"""),"short")</f>
        <v>short</v>
      </c>
      <c r="N1105" s="45">
        <f>IFERROR(__xludf.DUMMYFUNCTION("""COMPUTED_VALUE"""),45110.0)</f>
        <v>45110</v>
      </c>
      <c r="O1105" s="45">
        <f>IFERROR(__xludf.DUMMYFUNCTION("""COMPUTED_VALUE"""),45117.0)</f>
        <v>45117</v>
      </c>
      <c r="P1105" s="45">
        <f>IFERROR(__xludf.DUMMYFUNCTION("""COMPUTED_VALUE"""),45159.0)</f>
        <v>45159</v>
      </c>
      <c r="Q1105" s="45">
        <f>IFERROR(__xludf.DUMMYFUNCTION("""COMPUTED_VALUE"""),45120.0)</f>
        <v>45120</v>
      </c>
      <c r="R1105" s="45">
        <f>IFERROR(__xludf.DUMMYFUNCTION("""COMPUTED_VALUE"""),45160.0)</f>
        <v>45160</v>
      </c>
      <c r="S1105" s="43"/>
      <c r="T1105" s="43"/>
      <c r="U1105" s="43" t="str">
        <f>IFERROR(__xludf.DUMMYFUNCTION("""COMPUTED_VALUE"""),"Fingerprint")</f>
        <v>Fingerprint</v>
      </c>
      <c r="V1105" s="43" t="str">
        <f>IFERROR(__xludf.DUMMYFUNCTION("""COMPUTED_VALUE"""),"Other-CASABLANCA")</f>
        <v>Other-CASABLANCA</v>
      </c>
      <c r="W1105" s="43" t="str">
        <f>IFERROR(__xludf.DUMMYFUNCTION("""COMPUTED_VALUE"""),"2023-06-30T15:53:08Z")</f>
        <v>2023-06-30T15:53:08Z</v>
      </c>
      <c r="X1105" s="43"/>
      <c r="Y1105" s="43"/>
      <c r="Z1105" s="43"/>
    </row>
    <row r="1106" hidden="1">
      <c r="A1106" s="43" t="str">
        <f>IFERROR(__xludf.DUMMYFUNCTION("""COMPUTED_VALUE"""),"5276655_1289505")</f>
        <v>5276655_1289505</v>
      </c>
      <c r="B1106" s="43" t="str">
        <f>IFERROR(__xludf.DUMMYFUNCTION("""COMPUTED_VALUE"""),"Narimane Acila")</f>
        <v>Narimane Acila</v>
      </c>
      <c r="C1106" s="43" t="str">
        <f>IFERROR(__xludf.DUMMYFUNCTION("""COMPUTED_VALUE"""),"approved")</f>
        <v>approved</v>
      </c>
      <c r="D1106" s="43" t="str">
        <f>IFERROR(__xludf.DUMMYFUNCTION("""COMPUTED_VALUE"""),"No")</f>
        <v>No</v>
      </c>
      <c r="E1106" s="43" t="str">
        <f>IFERROR(__xludf.DUMMYFUNCTION("""COMPUTED_VALUE"""),"p_1f2693558a786673fd13e515c6900f7f3425748d@inbound.aiesec.org")</f>
        <v>p_1f2693558a786673fd13e515c6900f7f3425748d@inbound.aiesec.org</v>
      </c>
      <c r="F1106" s="43">
        <f>IFERROR(__xludf.DUMMYFUNCTION("""COMPUTED_VALUE"""),5.4034703E7)</f>
        <v>54034703</v>
      </c>
      <c r="G1106" s="43" t="str">
        <f>IFERROR(__xludf.DUMMYFUNCTION("""COMPUTED_VALUE"""),"Tunisia")</f>
        <v>Tunisia</v>
      </c>
      <c r="H1106" s="43" t="str">
        <f>IFERROR(__xludf.DUMMYFUNCTION("""COMPUTED_VALUE"""),"UNIVERSITY")</f>
        <v>UNIVERSITY</v>
      </c>
      <c r="I1106" s="43" t="str">
        <f>IFERROR(__xludf.DUMMYFUNCTION("""COMPUTED_VALUE"""),"Turkey")</f>
        <v>Turkey</v>
      </c>
      <c r="J1106" s="43" t="str">
        <f>IFERROR(__xludf.DUMMYFUNCTION("""COMPUTED_VALUE"""),"KOCAELI")</f>
        <v>KOCAELI</v>
      </c>
      <c r="K1106" s="44" t="str">
        <f>IFERROR(__xludf.DUMMYFUNCTION("""COMPUTED_VALUE"""),"https://expa.aiesec.org/opportunities/1289505")</f>
        <v>https://expa.aiesec.org/opportunities/1289505</v>
      </c>
      <c r="L1106" s="43" t="str">
        <f>IFERROR(__xludf.DUMMYFUNCTION("""COMPUTED_VALUE"""),"GV")</f>
        <v>GV</v>
      </c>
      <c r="M1106" s="43" t="str">
        <f>IFERROR(__xludf.DUMMYFUNCTION("""COMPUTED_VALUE"""),"short")</f>
        <v>short</v>
      </c>
      <c r="N1106" s="45">
        <f>IFERROR(__xludf.DUMMYFUNCTION("""COMPUTED_VALUE"""),45110.0)</f>
        <v>45110</v>
      </c>
      <c r="O1106" s="45">
        <f>IFERROR(__xludf.DUMMYFUNCTION("""COMPUTED_VALUE"""),45117.0)</f>
        <v>45117</v>
      </c>
      <c r="P1106" s="45">
        <f>IFERROR(__xludf.DUMMYFUNCTION("""COMPUTED_VALUE"""),45159.0)</f>
        <v>45159</v>
      </c>
      <c r="Q1106" s="45"/>
      <c r="R1106" s="45"/>
      <c r="S1106" s="43"/>
      <c r="T1106" s="43"/>
      <c r="U1106" s="43" t="str">
        <f>IFERROR(__xludf.DUMMYFUNCTION("""COMPUTED_VALUE"""),"Youth 4 Impact")</f>
        <v>Youth 4 Impact</v>
      </c>
      <c r="V1106" s="43" t="str">
        <f>IFERROR(__xludf.DUMMYFUNCTION("""COMPUTED_VALUE"""),"IHET")</f>
        <v>IHET</v>
      </c>
      <c r="W1106" s="43" t="str">
        <f>IFERROR(__xludf.DUMMYFUNCTION("""COMPUTED_VALUE"""),"2023-06-18T08:44:18Z")</f>
        <v>2023-06-18T08:44:18Z</v>
      </c>
      <c r="X1106" s="43"/>
      <c r="Y1106" s="43"/>
      <c r="Z1106" s="43"/>
    </row>
    <row r="1107" hidden="1">
      <c r="A1107" s="43" t="str">
        <f>IFERROR(__xludf.DUMMYFUNCTION("""COMPUTED_VALUE"""),"5281590_1296103")</f>
        <v>5281590_1296103</v>
      </c>
      <c r="B1107" s="43" t="str">
        <f>IFERROR(__xludf.DUMMYFUNCTION("""COMPUTED_VALUE"""),"Hassan Rasheed")</f>
        <v>Hassan Rasheed</v>
      </c>
      <c r="C1107" s="43" t="str">
        <f>IFERROR(__xludf.DUMMYFUNCTION("""COMPUTED_VALUE"""),"approved")</f>
        <v>approved</v>
      </c>
      <c r="D1107" s="43" t="str">
        <f>IFERROR(__xludf.DUMMYFUNCTION("""COMPUTED_VALUE"""),"No")</f>
        <v>No</v>
      </c>
      <c r="E1107" s="43" t="str">
        <f>IFERROR(__xludf.DUMMYFUNCTION("""COMPUTED_VALUE"""),"p_efaae8dc5894adaefe1bc4810e90c2a08aea1f7d@inbound.aiesec.org")</f>
        <v>p_efaae8dc5894adaefe1bc4810e90c2a08aea1f7d@inbound.aiesec.org</v>
      </c>
      <c r="F1107" s="43"/>
      <c r="G1107" s="43" t="str">
        <f>IFERROR(__xludf.DUMMYFUNCTION("""COMPUTED_VALUE"""),"Pakistan")</f>
        <v>Pakistan</v>
      </c>
      <c r="H1107" s="43" t="str">
        <f>IFERROR(__xludf.DUMMYFUNCTION("""COMPUTED_VALUE"""),"Lahore - Pak")</f>
        <v>Lahore - Pak</v>
      </c>
      <c r="I1107" s="43" t="str">
        <f>IFERROR(__xludf.DUMMYFUNCTION("""COMPUTED_VALUE"""),"Turkey")</f>
        <v>Turkey</v>
      </c>
      <c r="J1107" s="43" t="str">
        <f>IFERROR(__xludf.DUMMYFUNCTION("""COMPUTED_VALUE"""),"ANKARA")</f>
        <v>ANKARA</v>
      </c>
      <c r="K1107" s="44" t="str">
        <f>IFERROR(__xludf.DUMMYFUNCTION("""COMPUTED_VALUE"""),"https://expa.aiesec.org/opportunities/1296103")</f>
        <v>https://expa.aiesec.org/opportunities/1296103</v>
      </c>
      <c r="L1107" s="43" t="str">
        <f>IFERROR(__xludf.DUMMYFUNCTION("""COMPUTED_VALUE"""),"GV")</f>
        <v>GV</v>
      </c>
      <c r="M1107" s="43" t="str">
        <f>IFERROR(__xludf.DUMMYFUNCTION("""COMPUTED_VALUE"""),"short")</f>
        <v>short</v>
      </c>
      <c r="N1107" s="45">
        <f>IFERROR(__xludf.DUMMYFUNCTION("""COMPUTED_VALUE"""),45110.0)</f>
        <v>45110</v>
      </c>
      <c r="O1107" s="45">
        <f>IFERROR(__xludf.DUMMYFUNCTION("""COMPUTED_VALUE"""),45376.0)</f>
        <v>45376</v>
      </c>
      <c r="P1107" s="45">
        <f>IFERROR(__xludf.DUMMYFUNCTION("""COMPUTED_VALUE"""),45418.0)</f>
        <v>45418</v>
      </c>
      <c r="Q1107" s="45"/>
      <c r="R1107" s="45"/>
      <c r="S1107" s="43"/>
      <c r="T1107" s="43"/>
      <c r="U1107" s="43" t="str">
        <f>IFERROR(__xludf.DUMMYFUNCTION("""COMPUTED_VALUE"""),"Green Leaders")</f>
        <v>Green Leaders</v>
      </c>
      <c r="V1107" s="43" t="str">
        <f>IFERROR(__xludf.DUMMYFUNCTION("""COMPUTED_VALUE"""),"Lahore - Other")</f>
        <v>Lahore - Other</v>
      </c>
      <c r="W1107" s="43" t="str">
        <f>IFERROR(__xludf.DUMMYFUNCTION("""COMPUTED_VALUE"""),"2023-07-02T20:53:08Z")</f>
        <v>2023-07-02T20:53:08Z</v>
      </c>
      <c r="X1107" s="43"/>
      <c r="Y1107" s="43"/>
      <c r="Z1107" s="43"/>
    </row>
    <row r="1108" hidden="1">
      <c r="A1108" s="43" t="str">
        <f>IFERROR(__xludf.DUMMYFUNCTION("""COMPUTED_VALUE"""),"5208586_1288989")</f>
        <v>5208586_1288989</v>
      </c>
      <c r="B1108" s="43" t="str">
        <f>IFERROR(__xludf.DUMMYFUNCTION("""COMPUTED_VALUE"""),"Meryem BENYAMANE")</f>
        <v>Meryem BENYAMANE</v>
      </c>
      <c r="C1108" s="43" t="str">
        <f>IFERROR(__xludf.DUMMYFUNCTION("""COMPUTED_VALUE"""),"completed")</f>
        <v>completed</v>
      </c>
      <c r="D1108" s="43" t="str">
        <f>IFERROR(__xludf.DUMMYFUNCTION("""COMPUTED_VALUE"""),"No")</f>
        <v>No</v>
      </c>
      <c r="E1108" s="43" t="str">
        <f>IFERROR(__xludf.DUMMYFUNCTION("""COMPUTED_VALUE"""),"p_c08ff77c436e13f2ca68eae5c8121ff9d8762020@inbound.aiesec.org")</f>
        <v>p_c08ff77c436e13f2ca68eae5c8121ff9d8762020@inbound.aiesec.org</v>
      </c>
      <c r="F1108" s="43">
        <f>IFERROR(__xludf.DUMMYFUNCTION("""COMPUTED_VALUE"""),6.58879689E8)</f>
        <v>658879689</v>
      </c>
      <c r="G1108" s="43" t="str">
        <f>IFERROR(__xludf.DUMMYFUNCTION("""COMPUTED_VALUE"""),"Morocco")</f>
        <v>Morocco</v>
      </c>
      <c r="H1108" s="43" t="str">
        <f>IFERROR(__xludf.DUMMYFUNCTION("""COMPUTED_VALUE"""),"Kenitra")</f>
        <v>Kenitra</v>
      </c>
      <c r="I1108" s="43" t="str">
        <f>IFERROR(__xludf.DUMMYFUNCTION("""COMPUTED_VALUE"""),"Turkey")</f>
        <v>Turkey</v>
      </c>
      <c r="J1108" s="43" t="str">
        <f>IFERROR(__xludf.DUMMYFUNCTION("""COMPUTED_VALUE"""),"KUTAHYA")</f>
        <v>KUTAHYA</v>
      </c>
      <c r="K1108" s="44" t="str">
        <f>IFERROR(__xludf.DUMMYFUNCTION("""COMPUTED_VALUE"""),"https://expa.aiesec.org/opportunities/1288989")</f>
        <v>https://expa.aiesec.org/opportunities/1288989</v>
      </c>
      <c r="L1108" s="43" t="str">
        <f>IFERROR(__xludf.DUMMYFUNCTION("""COMPUTED_VALUE"""),"GV")</f>
        <v>GV</v>
      </c>
      <c r="M1108" s="43" t="str">
        <f>IFERROR(__xludf.DUMMYFUNCTION("""COMPUTED_VALUE"""),"short")</f>
        <v>short</v>
      </c>
      <c r="N1108" s="45">
        <f>IFERROR(__xludf.DUMMYFUNCTION("""COMPUTED_VALUE"""),45110.0)</f>
        <v>45110</v>
      </c>
      <c r="O1108" s="45">
        <f>IFERROR(__xludf.DUMMYFUNCTION("""COMPUTED_VALUE"""),45145.0)</f>
        <v>45145</v>
      </c>
      <c r="P1108" s="45">
        <f>IFERROR(__xludf.DUMMYFUNCTION("""COMPUTED_VALUE"""),45187.0)</f>
        <v>45187</v>
      </c>
      <c r="Q1108" s="45">
        <f>IFERROR(__xludf.DUMMYFUNCTION("""COMPUTED_VALUE"""),45145.0)</f>
        <v>45145</v>
      </c>
      <c r="R1108" s="45">
        <f>IFERROR(__xludf.DUMMYFUNCTION("""COMPUTED_VALUE"""),45187.0)</f>
        <v>45187</v>
      </c>
      <c r="S1108" s="43"/>
      <c r="T1108" s="43"/>
      <c r="U1108" s="43" t="str">
        <f>IFERROR(__xludf.DUMMYFUNCTION("""COMPUTED_VALUE"""),"Green Leaders")</f>
        <v>Green Leaders</v>
      </c>
      <c r="V1108" s="43" t="str">
        <f>IFERROR(__xludf.DUMMYFUNCTION("""COMPUTED_VALUE"""),"Faculté Des Sciences Kénitra")</f>
        <v>Faculté Des Sciences Kénitra</v>
      </c>
      <c r="W1108" s="43" t="str">
        <f>IFERROR(__xludf.DUMMYFUNCTION("""COMPUTED_VALUE"""),"2023-03-07T12:28:59Z")</f>
        <v>2023-03-07T12:28:59Z</v>
      </c>
      <c r="X1108" s="43"/>
      <c r="Y1108" s="43"/>
      <c r="Z1108" s="43"/>
    </row>
    <row r="1109" hidden="1">
      <c r="A1109" s="43" t="str">
        <f>IFERROR(__xludf.DUMMYFUNCTION("""COMPUTED_VALUE"""),"5277465_1286920")</f>
        <v>5277465_1286920</v>
      </c>
      <c r="B1109" s="43" t="str">
        <f>IFERROR(__xludf.DUMMYFUNCTION("""COMPUTED_VALUE"""),"Mirmurad Sultanli")</f>
        <v>Mirmurad Sultanli</v>
      </c>
      <c r="C1109" s="43" t="str">
        <f>IFERROR(__xludf.DUMMYFUNCTION("""COMPUTED_VALUE"""),"completed")</f>
        <v>completed</v>
      </c>
      <c r="D1109" s="43" t="str">
        <f>IFERROR(__xludf.DUMMYFUNCTION("""COMPUTED_VALUE"""),"No")</f>
        <v>No</v>
      </c>
      <c r="E1109" s="43" t="str">
        <f>IFERROR(__xludf.DUMMYFUNCTION("""COMPUTED_VALUE"""),"p_88fb818f2f2b64720bbeaf66a665a2ad3f8972a8@inbound.aiesec.org")</f>
        <v>p_88fb818f2f2b64720bbeaf66a665a2ad3f8972a8@inbound.aiesec.org</v>
      </c>
      <c r="F1109" s="43"/>
      <c r="G1109" s="43" t="str">
        <f>IFERROR(__xludf.DUMMYFUNCTION("""COMPUTED_VALUE"""),"Azerbaijan")</f>
        <v>Azerbaijan</v>
      </c>
      <c r="H1109" s="43" t="str">
        <f>IFERROR(__xludf.DUMMYFUNCTION("""COMPUTED_VALUE"""),"Baku Synergy")</f>
        <v>Baku Synergy</v>
      </c>
      <c r="I1109" s="43" t="str">
        <f>IFERROR(__xludf.DUMMYFUNCTION("""COMPUTED_VALUE"""),"Turkey")</f>
        <v>Turkey</v>
      </c>
      <c r="J1109" s="43" t="str">
        <f>IFERROR(__xludf.DUMMYFUNCTION("""COMPUTED_VALUE"""),"DENIZLI")</f>
        <v>DENIZLI</v>
      </c>
      <c r="K1109" s="44" t="str">
        <f>IFERROR(__xludf.DUMMYFUNCTION("""COMPUTED_VALUE"""),"https://expa.aiesec.org/opportunities/1286920")</f>
        <v>https://expa.aiesec.org/opportunities/1286920</v>
      </c>
      <c r="L1109" s="43" t="str">
        <f>IFERROR(__xludf.DUMMYFUNCTION("""COMPUTED_VALUE"""),"GV")</f>
        <v>GV</v>
      </c>
      <c r="M1109" s="43" t="str">
        <f>IFERROR(__xludf.DUMMYFUNCTION("""COMPUTED_VALUE"""),"short")</f>
        <v>short</v>
      </c>
      <c r="N1109" s="45">
        <f>IFERROR(__xludf.DUMMYFUNCTION("""COMPUTED_VALUE"""),45111.0)</f>
        <v>45111</v>
      </c>
      <c r="O1109" s="45">
        <f>IFERROR(__xludf.DUMMYFUNCTION("""COMPUTED_VALUE"""),45124.0)</f>
        <v>45124</v>
      </c>
      <c r="P1109" s="45">
        <f>IFERROR(__xludf.DUMMYFUNCTION("""COMPUTED_VALUE"""),45166.0)</f>
        <v>45166</v>
      </c>
      <c r="Q1109" s="45">
        <f>IFERROR(__xludf.DUMMYFUNCTION("""COMPUTED_VALUE"""),45124.0)</f>
        <v>45124</v>
      </c>
      <c r="R1109" s="45">
        <f>IFERROR(__xludf.DUMMYFUNCTION("""COMPUTED_VALUE"""),45166.0)</f>
        <v>45166</v>
      </c>
      <c r="S1109" s="43"/>
      <c r="T1109" s="43"/>
      <c r="U1109" s="43" t="str">
        <f>IFERROR(__xludf.DUMMYFUNCTION("""COMPUTED_VALUE"""),"Global Classroom")</f>
        <v>Global Classroom</v>
      </c>
      <c r="V1109" s="43" t="str">
        <f>IFERROR(__xludf.DUMMYFUNCTION("""COMPUTED_VALUE"""),"-")</f>
        <v>-</v>
      </c>
      <c r="W1109" s="43" t="str">
        <f>IFERROR(__xludf.DUMMYFUNCTION("""COMPUTED_VALUE"""),"2023-06-20T11:12:12Z")</f>
        <v>2023-06-20T11:12:12Z</v>
      </c>
      <c r="X1109" s="43"/>
      <c r="Y1109" s="43"/>
      <c r="Z1109" s="43"/>
    </row>
    <row r="1110" hidden="1">
      <c r="A1110" s="43" t="str">
        <f>IFERROR(__xludf.DUMMYFUNCTION("""COMPUTED_VALUE"""),"5281909_1292962")</f>
        <v>5281909_1292962</v>
      </c>
      <c r="B1110" s="43" t="str">
        <f>IFERROR(__xludf.DUMMYFUNCTION("""COMPUTED_VALUE"""),"Lujaina Naser")</f>
        <v>Lujaina Naser</v>
      </c>
      <c r="C1110" s="43" t="str">
        <f>IFERROR(__xludf.DUMMYFUNCTION("""COMPUTED_VALUE"""),"approved")</f>
        <v>approved</v>
      </c>
      <c r="D1110" s="43" t="str">
        <f>IFERROR(__xludf.DUMMYFUNCTION("""COMPUTED_VALUE"""),"No")</f>
        <v>No</v>
      </c>
      <c r="E1110" s="43" t="str">
        <f>IFERROR(__xludf.DUMMYFUNCTION("""COMPUTED_VALUE"""),"p_2e0ed303a16557d4cbc511d3a9f580a085486e40@inbound.aiesec.org")</f>
        <v>p_2e0ed303a16557d4cbc511d3a9f580a085486e40@inbound.aiesec.org</v>
      </c>
      <c r="F1110" s="43">
        <f>IFERROR(__xludf.DUMMYFUNCTION("""COMPUTED_VALUE"""),1.008441041E9)</f>
        <v>1008441041</v>
      </c>
      <c r="G1110" s="43" t="str">
        <f>IFERROR(__xludf.DUMMYFUNCTION("""COMPUTED_VALUE"""),"Egypt")</f>
        <v>Egypt</v>
      </c>
      <c r="H1110" s="43" t="str">
        <f>IFERROR(__xludf.DUMMYFUNCTION("""COMPUTED_VALUE"""),"Zagazig")</f>
        <v>Zagazig</v>
      </c>
      <c r="I1110" s="43" t="str">
        <f>IFERROR(__xludf.DUMMYFUNCTION("""COMPUTED_VALUE"""),"Turkey")</f>
        <v>Turkey</v>
      </c>
      <c r="J1110" s="43" t="str">
        <f>IFERROR(__xludf.DUMMYFUNCTION("""COMPUTED_VALUE"""),"BURSA")</f>
        <v>BURSA</v>
      </c>
      <c r="K1110" s="44" t="str">
        <f>IFERROR(__xludf.DUMMYFUNCTION("""COMPUTED_VALUE"""),"https://expa.aiesec.org/opportunities/1292962")</f>
        <v>https://expa.aiesec.org/opportunities/1292962</v>
      </c>
      <c r="L1110" s="43" t="str">
        <f>IFERROR(__xludf.DUMMYFUNCTION("""COMPUTED_VALUE"""),"GV")</f>
        <v>GV</v>
      </c>
      <c r="M1110" s="43" t="str">
        <f>IFERROR(__xludf.DUMMYFUNCTION("""COMPUTED_VALUE"""),"short")</f>
        <v>short</v>
      </c>
      <c r="N1110" s="45">
        <f>IFERROR(__xludf.DUMMYFUNCTION("""COMPUTED_VALUE"""),45111.0)</f>
        <v>45111</v>
      </c>
      <c r="O1110" s="45">
        <f>IFERROR(__xludf.DUMMYFUNCTION("""COMPUTED_VALUE"""),45194.0)</f>
        <v>45194</v>
      </c>
      <c r="P1110" s="45">
        <f>IFERROR(__xludf.DUMMYFUNCTION("""COMPUTED_VALUE"""),45236.0)</f>
        <v>45236</v>
      </c>
      <c r="Q1110" s="45"/>
      <c r="R1110" s="45"/>
      <c r="S1110" s="43"/>
      <c r="T1110" s="43"/>
      <c r="U1110" s="43" t="str">
        <f>IFERROR(__xludf.DUMMYFUNCTION("""COMPUTED_VALUE"""),"Youth 4 Impact")</f>
        <v>Youth 4 Impact</v>
      </c>
      <c r="V1110" s="43" t="str">
        <f>IFERROR(__xludf.DUMMYFUNCTION("""COMPUTED_VALUE"""),"Zagazig")</f>
        <v>Zagazig</v>
      </c>
      <c r="W1110" s="43" t="str">
        <f>IFERROR(__xludf.DUMMYFUNCTION("""COMPUTED_VALUE"""),"2023-07-03T22:28:14Z")</f>
        <v>2023-07-03T22:28:14Z</v>
      </c>
      <c r="X1110" s="43"/>
      <c r="Y1110" s="43"/>
      <c r="Z1110" s="43"/>
    </row>
    <row r="1111" hidden="1">
      <c r="A1111" s="43" t="str">
        <f>IFERROR(__xludf.DUMMYFUNCTION("""COMPUTED_VALUE"""),"5282160_1281010")</f>
        <v>5282160_1281010</v>
      </c>
      <c r="B1111" s="43" t="str">
        <f>IFERROR(__xludf.DUMMYFUNCTION("""COMPUTED_VALUE"""),"Tebrizi Imen")</f>
        <v>Tebrizi Imen</v>
      </c>
      <c r="C1111" s="43" t="str">
        <f>IFERROR(__xludf.DUMMYFUNCTION("""COMPUTED_VALUE"""),"completed")</f>
        <v>completed</v>
      </c>
      <c r="D1111" s="43" t="str">
        <f>IFERROR(__xludf.DUMMYFUNCTION("""COMPUTED_VALUE"""),"No")</f>
        <v>No</v>
      </c>
      <c r="E1111" s="43" t="str">
        <f>IFERROR(__xludf.DUMMYFUNCTION("""COMPUTED_VALUE"""),"p_4cf6750dd63cb28fe9c4046b5eb2eea6aa0465ea@inbound.aiesec.org")</f>
        <v>p_4cf6750dd63cb28fe9c4046b5eb2eea6aa0465ea@inbound.aiesec.org</v>
      </c>
      <c r="F1111" s="43">
        <f>IFERROR(__xludf.DUMMYFUNCTION("""COMPUTED_VALUE"""),5.6079561E7)</f>
        <v>56079561</v>
      </c>
      <c r="G1111" s="43" t="str">
        <f>IFERROR(__xludf.DUMMYFUNCTION("""COMPUTED_VALUE"""),"Tunisia")</f>
        <v>Tunisia</v>
      </c>
      <c r="H1111" s="43" t="str">
        <f>IFERROR(__xludf.DUMMYFUNCTION("""COMPUTED_VALUE"""),"MEDINA")</f>
        <v>MEDINA</v>
      </c>
      <c r="I1111" s="43" t="str">
        <f>IFERROR(__xludf.DUMMYFUNCTION("""COMPUTED_VALUE"""),"Turkey")</f>
        <v>Turkey</v>
      </c>
      <c r="J1111" s="43" t="str">
        <f>IFERROR(__xludf.DUMMYFUNCTION("""COMPUTED_VALUE"""),"KOCAELI")</f>
        <v>KOCAELI</v>
      </c>
      <c r="K1111" s="44" t="str">
        <f>IFERROR(__xludf.DUMMYFUNCTION("""COMPUTED_VALUE"""),"https://expa.aiesec.org/opportunities/1281010")</f>
        <v>https://expa.aiesec.org/opportunities/1281010</v>
      </c>
      <c r="L1111" s="43" t="str">
        <f>IFERROR(__xludf.DUMMYFUNCTION("""COMPUTED_VALUE"""),"GV")</f>
        <v>GV</v>
      </c>
      <c r="M1111" s="43" t="str">
        <f>IFERROR(__xludf.DUMMYFUNCTION("""COMPUTED_VALUE"""),"short")</f>
        <v>short</v>
      </c>
      <c r="N1111" s="45">
        <f>IFERROR(__xludf.DUMMYFUNCTION("""COMPUTED_VALUE"""),45111.0)</f>
        <v>45111</v>
      </c>
      <c r="O1111" s="45">
        <f>IFERROR(__xludf.DUMMYFUNCTION("""COMPUTED_VALUE"""),45125.0)</f>
        <v>45125</v>
      </c>
      <c r="P1111" s="45">
        <f>IFERROR(__xludf.DUMMYFUNCTION("""COMPUTED_VALUE"""),45167.0)</f>
        <v>45167</v>
      </c>
      <c r="Q1111" s="45">
        <f>IFERROR(__xludf.DUMMYFUNCTION("""COMPUTED_VALUE"""),45117.0)</f>
        <v>45117</v>
      </c>
      <c r="R1111" s="45">
        <f>IFERROR(__xludf.DUMMYFUNCTION("""COMPUTED_VALUE"""),45167.0)</f>
        <v>45167</v>
      </c>
      <c r="S1111" s="43"/>
      <c r="T1111" s="43"/>
      <c r="U1111" s="43" t="str">
        <f>IFERROR(__xludf.DUMMYFUNCTION("""COMPUTED_VALUE"""),"Global Classroom")</f>
        <v>Global Classroom</v>
      </c>
      <c r="V1111" s="43" t="str">
        <f>IFERROR(__xludf.DUMMYFUNCTION("""COMPUTED_VALUE"""),"ISCAE Mannouba")</f>
        <v>ISCAE Mannouba</v>
      </c>
      <c r="W1111" s="43" t="str">
        <f>IFERROR(__xludf.DUMMYFUNCTION("""COMPUTED_VALUE"""),"2023-07-04T17:20:48Z")</f>
        <v>2023-07-04T17:20:48Z</v>
      </c>
      <c r="X1111" s="43"/>
      <c r="Y1111" s="43"/>
      <c r="Z1111" s="43"/>
    </row>
    <row r="1112" hidden="1">
      <c r="A1112" s="43" t="str">
        <f>IFERROR(__xludf.DUMMYFUNCTION("""COMPUTED_VALUE"""),"5281531_1294452")</f>
        <v>5281531_1294452</v>
      </c>
      <c r="B1112" s="43" t="str">
        <f>IFERROR(__xludf.DUMMYFUNCTION("""COMPUTED_VALUE"""),"Sudeep Maharjan")</f>
        <v>Sudeep Maharjan</v>
      </c>
      <c r="C1112" s="43" t="str">
        <f>IFERROR(__xludf.DUMMYFUNCTION("""COMPUTED_VALUE"""),"approved")</f>
        <v>approved</v>
      </c>
      <c r="D1112" s="43" t="str">
        <f>IFERROR(__xludf.DUMMYFUNCTION("""COMPUTED_VALUE"""),"No")</f>
        <v>No</v>
      </c>
      <c r="E1112" s="43" t="str">
        <f>IFERROR(__xludf.DUMMYFUNCTION("""COMPUTED_VALUE"""),"p_b314b49d58aae25584a1f721b018c7f0c0cf7100@inbound.aiesec.org")</f>
        <v>p_b314b49d58aae25584a1f721b018c7f0c0cf7100@inbound.aiesec.org</v>
      </c>
      <c r="F1112" s="43">
        <f>IFERROR(__xludf.DUMMYFUNCTION("""COMPUTED_VALUE"""),9.813139797E9)</f>
        <v>9813139797</v>
      </c>
      <c r="G1112" s="43" t="str">
        <f>IFERROR(__xludf.DUMMYFUNCTION("""COMPUTED_VALUE"""),"Nepal")</f>
        <v>Nepal</v>
      </c>
      <c r="H1112" s="43" t="str">
        <f>IFERROR(__xludf.DUMMYFUNCTION("""COMPUTED_VALUE"""),"Kathmandu")</f>
        <v>Kathmandu</v>
      </c>
      <c r="I1112" s="43" t="str">
        <f>IFERROR(__xludf.DUMMYFUNCTION("""COMPUTED_VALUE"""),"Turkey")</f>
        <v>Turkey</v>
      </c>
      <c r="J1112" s="43" t="str">
        <f>IFERROR(__xludf.DUMMYFUNCTION("""COMPUTED_VALUE"""),"ESKISEHIR")</f>
        <v>ESKISEHIR</v>
      </c>
      <c r="K1112" s="44" t="str">
        <f>IFERROR(__xludf.DUMMYFUNCTION("""COMPUTED_VALUE"""),"https://expa.aiesec.org/opportunities/1294452")</f>
        <v>https://expa.aiesec.org/opportunities/1294452</v>
      </c>
      <c r="L1112" s="43" t="str">
        <f>IFERROR(__xludf.DUMMYFUNCTION("""COMPUTED_VALUE"""),"GV")</f>
        <v>GV</v>
      </c>
      <c r="M1112" s="43" t="str">
        <f>IFERROR(__xludf.DUMMYFUNCTION("""COMPUTED_VALUE"""),"short")</f>
        <v>short</v>
      </c>
      <c r="N1112" s="45">
        <f>IFERROR(__xludf.DUMMYFUNCTION("""COMPUTED_VALUE"""),45112.0)</f>
        <v>45112</v>
      </c>
      <c r="O1112" s="45">
        <f>IFERROR(__xludf.DUMMYFUNCTION("""COMPUTED_VALUE"""),45152.0)</f>
        <v>45152</v>
      </c>
      <c r="P1112" s="45">
        <f>IFERROR(__xludf.DUMMYFUNCTION("""COMPUTED_VALUE"""),45194.0)</f>
        <v>45194</v>
      </c>
      <c r="Q1112" s="45"/>
      <c r="R1112" s="45"/>
      <c r="S1112" s="43"/>
      <c r="T1112" s="43"/>
      <c r="U1112" s="43" t="str">
        <f>IFERROR(__xludf.DUMMYFUNCTION("""COMPUTED_VALUE"""),"On The Map")</f>
        <v>On The Map</v>
      </c>
      <c r="V1112" s="43" t="str">
        <f>IFERROR(__xludf.DUMMYFUNCTION("""COMPUTED_VALUE"""),"People's Campus, Paknajol")</f>
        <v>People's Campus, Paknajol</v>
      </c>
      <c r="W1112" s="43" t="str">
        <f>IFERROR(__xludf.DUMMYFUNCTION("""COMPUTED_VALUE"""),"2023-07-02T15:52:19Z")</f>
        <v>2023-07-02T15:52:19Z</v>
      </c>
      <c r="X1112" s="43"/>
      <c r="Y1112" s="43"/>
      <c r="Z1112" s="43"/>
    </row>
    <row r="1113" hidden="1">
      <c r="A1113" s="43" t="str">
        <f>IFERROR(__xludf.DUMMYFUNCTION("""COMPUTED_VALUE"""),"5203632_1296453")</f>
        <v>5203632_1296453</v>
      </c>
      <c r="B1113" s="43" t="str">
        <f>IFERROR(__xludf.DUMMYFUNCTION("""COMPUTED_VALUE"""),"Saleha hassan Alvi")</f>
        <v>Saleha hassan Alvi</v>
      </c>
      <c r="C1113" s="43" t="str">
        <f>IFERROR(__xludf.DUMMYFUNCTION("""COMPUTED_VALUE"""),"completed")</f>
        <v>completed</v>
      </c>
      <c r="D1113" s="43" t="str">
        <f>IFERROR(__xludf.DUMMYFUNCTION("""COMPUTED_VALUE"""),"No")</f>
        <v>No</v>
      </c>
      <c r="E1113" s="43" t="str">
        <f>IFERROR(__xludf.DUMMYFUNCTION("""COMPUTED_VALUE"""),"p_2253a70ec2326e3d0b48e93268cc32b4b4260093@inbound.aiesec.org")</f>
        <v>p_2253a70ec2326e3d0b48e93268cc32b4b4260093@inbound.aiesec.org</v>
      </c>
      <c r="F1113" s="43"/>
      <c r="G1113" s="43" t="str">
        <f>IFERROR(__xludf.DUMMYFUNCTION("""COMPUTED_VALUE"""),"Pakistan")</f>
        <v>Pakistan</v>
      </c>
      <c r="H1113" s="43" t="str">
        <f>IFERROR(__xludf.DUMMYFUNCTION("""COMPUTED_VALUE"""),"Lahore - Pak")</f>
        <v>Lahore - Pak</v>
      </c>
      <c r="I1113" s="43" t="str">
        <f>IFERROR(__xludf.DUMMYFUNCTION("""COMPUTED_VALUE"""),"Turkey")</f>
        <v>Turkey</v>
      </c>
      <c r="J1113" s="43" t="str">
        <f>IFERROR(__xludf.DUMMYFUNCTION("""COMPUTED_VALUE"""),"GAZIANTEP")</f>
        <v>GAZIANTEP</v>
      </c>
      <c r="K1113" s="44" t="str">
        <f>IFERROR(__xludf.DUMMYFUNCTION("""COMPUTED_VALUE"""),"https://expa.aiesec.org/opportunities/1296453")</f>
        <v>https://expa.aiesec.org/opportunities/1296453</v>
      </c>
      <c r="L1113" s="43" t="str">
        <f>IFERROR(__xludf.DUMMYFUNCTION("""COMPUTED_VALUE"""),"GV")</f>
        <v>GV</v>
      </c>
      <c r="M1113" s="43" t="str">
        <f>IFERROR(__xludf.DUMMYFUNCTION("""COMPUTED_VALUE"""),"short")</f>
        <v>short</v>
      </c>
      <c r="N1113" s="45">
        <f>IFERROR(__xludf.DUMMYFUNCTION("""COMPUTED_VALUE"""),45112.0)</f>
        <v>45112</v>
      </c>
      <c r="O1113" s="45">
        <f>IFERROR(__xludf.DUMMYFUNCTION("""COMPUTED_VALUE"""),45127.0)</f>
        <v>45127</v>
      </c>
      <c r="P1113" s="45">
        <f>IFERROR(__xludf.DUMMYFUNCTION("""COMPUTED_VALUE"""),45169.0)</f>
        <v>45169</v>
      </c>
      <c r="Q1113" s="45">
        <f>IFERROR(__xludf.DUMMYFUNCTION("""COMPUTED_VALUE"""),45134.0)</f>
        <v>45134</v>
      </c>
      <c r="R1113" s="45">
        <f>IFERROR(__xludf.DUMMYFUNCTION("""COMPUTED_VALUE"""),45175.0)</f>
        <v>45175</v>
      </c>
      <c r="S1113" s="43"/>
      <c r="T1113" s="43"/>
      <c r="U1113" s="43" t="str">
        <f>IFERROR(__xludf.DUMMYFUNCTION("""COMPUTED_VALUE"""),"Global Classroom")</f>
        <v>Global Classroom</v>
      </c>
      <c r="V1113" s="43" t="str">
        <f>IFERROR(__xludf.DUMMYFUNCTION("""COMPUTED_VALUE"""),"Lahore - Lahore School for Economics")</f>
        <v>Lahore - Lahore School for Economics</v>
      </c>
      <c r="W1113" s="43" t="str">
        <f>IFERROR(__xludf.DUMMYFUNCTION("""COMPUTED_VALUE"""),"2023-03-02T12:59:39Z")</f>
        <v>2023-03-02T12:59:39Z</v>
      </c>
      <c r="X1113" s="43"/>
      <c r="Y1113" s="43"/>
      <c r="Z1113" s="43"/>
    </row>
    <row r="1114" hidden="1">
      <c r="A1114" s="43" t="str">
        <f>IFERROR(__xludf.DUMMYFUNCTION("""COMPUTED_VALUE"""),"5077561_1295453")</f>
        <v>5077561_1295453</v>
      </c>
      <c r="B1114" s="43" t="str">
        <f>IFERROR(__xludf.DUMMYFUNCTION("""COMPUTED_VALUE"""),"Muhammad Zaid Kharadi")</f>
        <v>Muhammad Zaid Kharadi</v>
      </c>
      <c r="C1114" s="43" t="str">
        <f>IFERROR(__xludf.DUMMYFUNCTION("""COMPUTED_VALUE"""),"completed")</f>
        <v>completed</v>
      </c>
      <c r="D1114" s="43" t="str">
        <f>IFERROR(__xludf.DUMMYFUNCTION("""COMPUTED_VALUE"""),"No")</f>
        <v>No</v>
      </c>
      <c r="E1114" s="43" t="str">
        <f>IFERROR(__xludf.DUMMYFUNCTION("""COMPUTED_VALUE"""),"p_0508b3797cbcd744c09606a0baae3001df812ce5@inbound.aiesec.org")</f>
        <v>p_0508b3797cbcd744c09606a0baae3001df812ce5@inbound.aiesec.org</v>
      </c>
      <c r="F1114" s="43">
        <f>IFERROR(__xludf.DUMMYFUNCTION("""COMPUTED_VALUE"""),3.453500215E9)</f>
        <v>3453500215</v>
      </c>
      <c r="G1114" s="43" t="str">
        <f>IFERROR(__xludf.DUMMYFUNCTION("""COMPUTED_VALUE"""),"Pakistan")</f>
        <v>Pakistan</v>
      </c>
      <c r="H1114" s="43" t="str">
        <f>IFERROR(__xludf.DUMMYFUNCTION("""COMPUTED_VALUE"""),"Karachi")</f>
        <v>Karachi</v>
      </c>
      <c r="I1114" s="43" t="str">
        <f>IFERROR(__xludf.DUMMYFUNCTION("""COMPUTED_VALUE"""),"Turkey")</f>
        <v>Turkey</v>
      </c>
      <c r="J1114" s="43" t="str">
        <f>IFERROR(__xludf.DUMMYFUNCTION("""COMPUTED_VALUE"""),"GAZIANTEP")</f>
        <v>GAZIANTEP</v>
      </c>
      <c r="K1114" s="44" t="str">
        <f>IFERROR(__xludf.DUMMYFUNCTION("""COMPUTED_VALUE"""),"https://expa.aiesec.org/opportunities/1295453")</f>
        <v>https://expa.aiesec.org/opportunities/1295453</v>
      </c>
      <c r="L1114" s="43" t="str">
        <f>IFERROR(__xludf.DUMMYFUNCTION("""COMPUTED_VALUE"""),"GV")</f>
        <v>GV</v>
      </c>
      <c r="M1114" s="43" t="str">
        <f>IFERROR(__xludf.DUMMYFUNCTION("""COMPUTED_VALUE"""),"short")</f>
        <v>short</v>
      </c>
      <c r="N1114" s="45">
        <f>IFERROR(__xludf.DUMMYFUNCTION("""COMPUTED_VALUE"""),45113.0)</f>
        <v>45113</v>
      </c>
      <c r="O1114" s="45">
        <f>IFERROR(__xludf.DUMMYFUNCTION("""COMPUTED_VALUE"""),45124.0)</f>
        <v>45124</v>
      </c>
      <c r="P1114" s="45">
        <f>IFERROR(__xludf.DUMMYFUNCTION("""COMPUTED_VALUE"""),45166.0)</f>
        <v>45166</v>
      </c>
      <c r="Q1114" s="45">
        <f>IFERROR(__xludf.DUMMYFUNCTION("""COMPUTED_VALUE"""),45117.0)</f>
        <v>45117</v>
      </c>
      <c r="R1114" s="45">
        <f>IFERROR(__xludf.DUMMYFUNCTION("""COMPUTED_VALUE"""),45166.0)</f>
        <v>45166</v>
      </c>
      <c r="S1114" s="43"/>
      <c r="T1114" s="43"/>
      <c r="U1114" s="43" t="str">
        <f>IFERROR(__xludf.DUMMYFUNCTION("""COMPUTED_VALUE"""),"Global Classroom")</f>
        <v>Global Classroom</v>
      </c>
      <c r="V1114" s="43" t="str">
        <f>IFERROR(__xludf.DUMMYFUNCTION("""COMPUTED_VALUE"""),"Karachi - Other")</f>
        <v>Karachi - Other</v>
      </c>
      <c r="W1114" s="43" t="str">
        <f>IFERROR(__xludf.DUMMYFUNCTION("""COMPUTED_VALUE"""),"2022-06-28T16:10:09Z")</f>
        <v>2022-06-28T16:10:09Z</v>
      </c>
      <c r="X1114" s="43"/>
      <c r="Y1114" s="43"/>
      <c r="Z1114" s="43"/>
    </row>
    <row r="1115" hidden="1">
      <c r="A1115" s="43" t="str">
        <f>IFERROR(__xludf.DUMMYFUNCTION("""COMPUTED_VALUE"""),"5190756_1295453")</f>
        <v>5190756_1295453</v>
      </c>
      <c r="B1115" s="43" t="str">
        <f>IFERROR(__xludf.DUMMYFUNCTION("""COMPUTED_VALUE"""),"moiz butt")</f>
        <v>moiz butt</v>
      </c>
      <c r="C1115" s="43" t="str">
        <f>IFERROR(__xludf.DUMMYFUNCTION("""COMPUTED_VALUE"""),"completed")</f>
        <v>completed</v>
      </c>
      <c r="D1115" s="43" t="str">
        <f>IFERROR(__xludf.DUMMYFUNCTION("""COMPUTED_VALUE"""),"No")</f>
        <v>No</v>
      </c>
      <c r="E1115" s="43" t="str">
        <f>IFERROR(__xludf.DUMMYFUNCTION("""COMPUTED_VALUE"""),"p_367bc764990fe0771251f49b511b087715cdab20@inbound.aiesec.org")</f>
        <v>p_367bc764990fe0771251f49b511b087715cdab20@inbound.aiesec.org</v>
      </c>
      <c r="F1115" s="43"/>
      <c r="G1115" s="43" t="str">
        <f>IFERROR(__xludf.DUMMYFUNCTION("""COMPUTED_VALUE"""),"Pakistan")</f>
        <v>Pakistan</v>
      </c>
      <c r="H1115" s="43" t="str">
        <f>IFERROR(__xludf.DUMMYFUNCTION("""COMPUTED_VALUE"""),"Karachi")</f>
        <v>Karachi</v>
      </c>
      <c r="I1115" s="43" t="str">
        <f>IFERROR(__xludf.DUMMYFUNCTION("""COMPUTED_VALUE"""),"Turkey")</f>
        <v>Turkey</v>
      </c>
      <c r="J1115" s="43" t="str">
        <f>IFERROR(__xludf.DUMMYFUNCTION("""COMPUTED_VALUE"""),"GAZIANTEP")</f>
        <v>GAZIANTEP</v>
      </c>
      <c r="K1115" s="44" t="str">
        <f>IFERROR(__xludf.DUMMYFUNCTION("""COMPUTED_VALUE"""),"https://expa.aiesec.org/opportunities/1295453")</f>
        <v>https://expa.aiesec.org/opportunities/1295453</v>
      </c>
      <c r="L1115" s="43" t="str">
        <f>IFERROR(__xludf.DUMMYFUNCTION("""COMPUTED_VALUE"""),"GV")</f>
        <v>GV</v>
      </c>
      <c r="M1115" s="43" t="str">
        <f>IFERROR(__xludf.DUMMYFUNCTION("""COMPUTED_VALUE"""),"short")</f>
        <v>short</v>
      </c>
      <c r="N1115" s="45">
        <f>IFERROR(__xludf.DUMMYFUNCTION("""COMPUTED_VALUE"""),45113.0)</f>
        <v>45113</v>
      </c>
      <c r="O1115" s="45">
        <f>IFERROR(__xludf.DUMMYFUNCTION("""COMPUTED_VALUE"""),45124.0)</f>
        <v>45124</v>
      </c>
      <c r="P1115" s="45">
        <f>IFERROR(__xludf.DUMMYFUNCTION("""COMPUTED_VALUE"""),45166.0)</f>
        <v>45166</v>
      </c>
      <c r="Q1115" s="45">
        <f>IFERROR(__xludf.DUMMYFUNCTION("""COMPUTED_VALUE"""),45117.0)</f>
        <v>45117</v>
      </c>
      <c r="R1115" s="45">
        <f>IFERROR(__xludf.DUMMYFUNCTION("""COMPUTED_VALUE"""),45166.0)</f>
        <v>45166</v>
      </c>
      <c r="S1115" s="43"/>
      <c r="T1115" s="43"/>
      <c r="U1115" s="43" t="str">
        <f>IFERROR(__xludf.DUMMYFUNCTION("""COMPUTED_VALUE"""),"Global Classroom")</f>
        <v>Global Classroom</v>
      </c>
      <c r="V1115" s="43" t="str">
        <f>IFERROR(__xludf.DUMMYFUNCTION("""COMPUTED_VALUE"""),"-")</f>
        <v>-</v>
      </c>
      <c r="W1115" s="43" t="str">
        <f>IFERROR(__xludf.DUMMYFUNCTION("""COMPUTED_VALUE"""),"2023-02-14T17:02:36Z")</f>
        <v>2023-02-14T17:02:36Z</v>
      </c>
      <c r="X1115" s="43"/>
      <c r="Y1115" s="43"/>
      <c r="Z1115" s="43"/>
    </row>
    <row r="1116" hidden="1">
      <c r="A1116" s="43" t="str">
        <f>IFERROR(__xludf.DUMMYFUNCTION("""COMPUTED_VALUE"""),"1444789_1296105")</f>
        <v>1444789_1296105</v>
      </c>
      <c r="B1116" s="43" t="str">
        <f>IFERROR(__xludf.DUMMYFUNCTION("""COMPUTED_VALUE"""),"Roney Rajan Rajan George")</f>
        <v>Roney Rajan Rajan George</v>
      </c>
      <c r="C1116" s="43" t="str">
        <f>IFERROR(__xludf.DUMMYFUNCTION("""COMPUTED_VALUE"""),"approved")</f>
        <v>approved</v>
      </c>
      <c r="D1116" s="43" t="str">
        <f>IFERROR(__xludf.DUMMYFUNCTION("""COMPUTED_VALUE"""),"No")</f>
        <v>No</v>
      </c>
      <c r="E1116" s="43" t="str">
        <f>IFERROR(__xludf.DUMMYFUNCTION("""COMPUTED_VALUE"""),"p_b982c5d25713db2fec50f8bf5b1db5eeb5d10aa0@inbound.aiesec.org")</f>
        <v>p_b982c5d25713db2fec50f8bf5b1db5eeb5d10aa0@inbound.aiesec.org</v>
      </c>
      <c r="F1116" s="43">
        <f>IFERROR(__xludf.DUMMYFUNCTION("""COMPUTED_VALUE"""),9.087543101E9)</f>
        <v>9087543101</v>
      </c>
      <c r="G1116" s="43" t="str">
        <f>IFERROR(__xludf.DUMMYFUNCTION("""COMPUTED_VALUE"""),"India")</f>
        <v>India</v>
      </c>
      <c r="H1116" s="43" t="str">
        <f>IFERROR(__xludf.DUMMYFUNCTION("""COMPUTED_VALUE"""),"Chennai")</f>
        <v>Chennai</v>
      </c>
      <c r="I1116" s="43" t="str">
        <f>IFERROR(__xludf.DUMMYFUNCTION("""COMPUTED_VALUE"""),"Turkey")</f>
        <v>Turkey</v>
      </c>
      <c r="J1116" s="43" t="str">
        <f>IFERROR(__xludf.DUMMYFUNCTION("""COMPUTED_VALUE"""),"ANKARA")</f>
        <v>ANKARA</v>
      </c>
      <c r="K1116" s="44" t="str">
        <f>IFERROR(__xludf.DUMMYFUNCTION("""COMPUTED_VALUE"""),"https://expa.aiesec.org/opportunities/1296105")</f>
        <v>https://expa.aiesec.org/opportunities/1296105</v>
      </c>
      <c r="L1116" s="43" t="str">
        <f>IFERROR(__xludf.DUMMYFUNCTION("""COMPUTED_VALUE"""),"GV")</f>
        <v>GV</v>
      </c>
      <c r="M1116" s="43" t="str">
        <f>IFERROR(__xludf.DUMMYFUNCTION("""COMPUTED_VALUE"""),"short")</f>
        <v>short</v>
      </c>
      <c r="N1116" s="45">
        <f>IFERROR(__xludf.DUMMYFUNCTION("""COMPUTED_VALUE"""),45113.0)</f>
        <v>45113</v>
      </c>
      <c r="O1116" s="45">
        <f>IFERROR(__xludf.DUMMYFUNCTION("""COMPUTED_VALUE"""),45180.0)</f>
        <v>45180</v>
      </c>
      <c r="P1116" s="45">
        <f>IFERROR(__xludf.DUMMYFUNCTION("""COMPUTED_VALUE"""),45222.0)</f>
        <v>45222</v>
      </c>
      <c r="Q1116" s="45"/>
      <c r="R1116" s="45"/>
      <c r="S1116" s="43"/>
      <c r="T1116" s="43"/>
      <c r="U1116" s="43" t="str">
        <f>IFERROR(__xludf.DUMMYFUNCTION("""COMPUTED_VALUE"""),"Fingerprint")</f>
        <v>Fingerprint</v>
      </c>
      <c r="V1116" s="43" t="str">
        <f>IFERROR(__xludf.DUMMYFUNCTION("""COMPUTED_VALUE"""),"-")</f>
        <v>-</v>
      </c>
      <c r="W1116" s="43" t="str">
        <f>IFERROR(__xludf.DUMMYFUNCTION("""COMPUTED_VALUE"""),"2017-03-23T15:12:16Z")</f>
        <v>2017-03-23T15:12:16Z</v>
      </c>
      <c r="X1116" s="43"/>
      <c r="Y1116" s="43"/>
      <c r="Z1116" s="43"/>
    </row>
    <row r="1117" hidden="1">
      <c r="A1117" s="43" t="str">
        <f>IFERROR(__xludf.DUMMYFUNCTION("""COMPUTED_VALUE"""),"5145456_1287380")</f>
        <v>5145456_1287380</v>
      </c>
      <c r="B1117" s="43" t="str">
        <f>IFERROR(__xludf.DUMMYFUNCTION("""COMPUTED_VALUE"""),"zaghdoudi louay")</f>
        <v>zaghdoudi louay</v>
      </c>
      <c r="C1117" s="43" t="str">
        <f>IFERROR(__xludf.DUMMYFUNCTION("""COMPUTED_VALUE"""),"completed")</f>
        <v>completed</v>
      </c>
      <c r="D1117" s="43" t="str">
        <f>IFERROR(__xludf.DUMMYFUNCTION("""COMPUTED_VALUE"""),"No")</f>
        <v>No</v>
      </c>
      <c r="E1117" s="43" t="str">
        <f>IFERROR(__xludf.DUMMYFUNCTION("""COMPUTED_VALUE"""),"p_1ca6f0a886d6a6d26e3a0718f445e2fc4e7c5c6d@inbound.aiesec.org")</f>
        <v>p_1ca6f0a886d6a6d26e3a0718f445e2fc4e7c5c6d@inbound.aiesec.org</v>
      </c>
      <c r="F1117" s="43">
        <f>IFERROR(__xludf.DUMMYFUNCTION("""COMPUTED_VALUE"""),5.4116857E7)</f>
        <v>54116857</v>
      </c>
      <c r="G1117" s="43" t="str">
        <f>IFERROR(__xludf.DUMMYFUNCTION("""COMPUTED_VALUE"""),"Tunisia")</f>
        <v>Tunisia</v>
      </c>
      <c r="H1117" s="43" t="str">
        <f>IFERROR(__xludf.DUMMYFUNCTION("""COMPUTED_VALUE"""),"NABEL")</f>
        <v>NABEL</v>
      </c>
      <c r="I1117" s="43" t="str">
        <f>IFERROR(__xludf.DUMMYFUNCTION("""COMPUTED_VALUE"""),"Turkey")</f>
        <v>Turkey</v>
      </c>
      <c r="J1117" s="43" t="str">
        <f>IFERROR(__xludf.DUMMYFUNCTION("""COMPUTED_VALUE"""),"KOCAELI")</f>
        <v>KOCAELI</v>
      </c>
      <c r="K1117" s="44" t="str">
        <f>IFERROR(__xludf.DUMMYFUNCTION("""COMPUTED_VALUE"""),"https://expa.aiesec.org/opportunities/1287380")</f>
        <v>https://expa.aiesec.org/opportunities/1287380</v>
      </c>
      <c r="L1117" s="43" t="str">
        <f>IFERROR(__xludf.DUMMYFUNCTION("""COMPUTED_VALUE"""),"GV")</f>
        <v>GV</v>
      </c>
      <c r="M1117" s="43" t="str">
        <f>IFERROR(__xludf.DUMMYFUNCTION("""COMPUTED_VALUE"""),"short")</f>
        <v>short</v>
      </c>
      <c r="N1117" s="45">
        <f>IFERROR(__xludf.DUMMYFUNCTION("""COMPUTED_VALUE"""),45113.0)</f>
        <v>45113</v>
      </c>
      <c r="O1117" s="45">
        <f>IFERROR(__xludf.DUMMYFUNCTION("""COMPUTED_VALUE"""),45124.0)</f>
        <v>45124</v>
      </c>
      <c r="P1117" s="45">
        <f>IFERROR(__xludf.DUMMYFUNCTION("""COMPUTED_VALUE"""),45166.0)</f>
        <v>45166</v>
      </c>
      <c r="Q1117" s="45">
        <f>IFERROR(__xludf.DUMMYFUNCTION("""COMPUTED_VALUE"""),45113.0)</f>
        <v>45113</v>
      </c>
      <c r="R1117" s="45">
        <f>IFERROR(__xludf.DUMMYFUNCTION("""COMPUTED_VALUE"""),45166.0)</f>
        <v>45166</v>
      </c>
      <c r="S1117" s="43"/>
      <c r="T1117" s="43"/>
      <c r="U1117" s="43" t="str">
        <f>IFERROR(__xludf.DUMMYFUNCTION("""COMPUTED_VALUE"""),"Global Classroom")</f>
        <v>Global Classroom</v>
      </c>
      <c r="V1117" s="43" t="str">
        <f>IFERROR(__xludf.DUMMYFUNCTION("""COMPUTED_VALUE"""),"-")</f>
        <v>-</v>
      </c>
      <c r="W1117" s="43" t="str">
        <f>IFERROR(__xludf.DUMMYFUNCTION("""COMPUTED_VALUE"""),"2022-11-02T20:46:26Z")</f>
        <v>2022-11-02T20:46:26Z</v>
      </c>
      <c r="X1117" s="43"/>
      <c r="Y1117" s="43"/>
      <c r="Z1117" s="43"/>
    </row>
    <row r="1118" hidden="1">
      <c r="A1118" s="43" t="str">
        <f>IFERROR(__xludf.DUMMYFUNCTION("""COMPUTED_VALUE"""),"5274346_1295149")</f>
        <v>5274346_1295149</v>
      </c>
      <c r="B1118" s="43" t="str">
        <f>IFERROR(__xludf.DUMMYFUNCTION("""COMPUTED_VALUE"""),"Ao Odoro")</f>
        <v>Ao Odoro</v>
      </c>
      <c r="C1118" s="43" t="str">
        <f>IFERROR(__xludf.DUMMYFUNCTION("""COMPUTED_VALUE"""),"finished")</f>
        <v>finished</v>
      </c>
      <c r="D1118" s="43" t="str">
        <f>IFERROR(__xludf.DUMMYFUNCTION("""COMPUTED_VALUE"""),"No")</f>
        <v>No</v>
      </c>
      <c r="E1118" s="43" t="str">
        <f>IFERROR(__xludf.DUMMYFUNCTION("""COMPUTED_VALUE"""),"p_8e80c072b9e1c13c7fa6d9f42dc83c2092ee0bcb@inbound.aiesec.org")</f>
        <v>p_8e80c072b9e1c13c7fa6d9f42dc83c2092ee0bcb@inbound.aiesec.org</v>
      </c>
      <c r="F1118" s="43"/>
      <c r="G1118" s="43" t="str">
        <f>IFERROR(__xludf.DUMMYFUNCTION("""COMPUTED_VALUE"""),"Japan")</f>
        <v>Japan</v>
      </c>
      <c r="H1118" s="43" t="str">
        <f>IFERROR(__xludf.DUMMYFUNCTION("""COMPUTED_VALUE"""),"KYOTO UNIVERSITY")</f>
        <v>KYOTO UNIVERSITY</v>
      </c>
      <c r="I1118" s="43" t="str">
        <f>IFERROR(__xludf.DUMMYFUNCTION("""COMPUTED_VALUE"""),"Turkey")</f>
        <v>Turkey</v>
      </c>
      <c r="J1118" s="43" t="str">
        <f>IFERROR(__xludf.DUMMYFUNCTION("""COMPUTED_VALUE"""),"DENIZLI")</f>
        <v>DENIZLI</v>
      </c>
      <c r="K1118" s="44" t="str">
        <f>IFERROR(__xludf.DUMMYFUNCTION("""COMPUTED_VALUE"""),"https://expa.aiesec.org/opportunities/1295149")</f>
        <v>https://expa.aiesec.org/opportunities/1295149</v>
      </c>
      <c r="L1118" s="43" t="str">
        <f>IFERROR(__xludf.DUMMYFUNCTION("""COMPUTED_VALUE"""),"GV")</f>
        <v>GV</v>
      </c>
      <c r="M1118" s="43" t="str">
        <f>IFERROR(__xludf.DUMMYFUNCTION("""COMPUTED_VALUE"""),"short")</f>
        <v>short</v>
      </c>
      <c r="N1118" s="45">
        <f>IFERROR(__xludf.DUMMYFUNCTION("""COMPUTED_VALUE"""),45113.0)</f>
        <v>45113</v>
      </c>
      <c r="O1118" s="45">
        <f>IFERROR(__xludf.DUMMYFUNCTION("""COMPUTED_VALUE"""),45152.0)</f>
        <v>45152</v>
      </c>
      <c r="P1118" s="45">
        <f>IFERROR(__xludf.DUMMYFUNCTION("""COMPUTED_VALUE"""),45194.0)</f>
        <v>45194</v>
      </c>
      <c r="Q1118" s="45">
        <f>IFERROR(__xludf.DUMMYFUNCTION("""COMPUTED_VALUE"""),45153.0)</f>
        <v>45153</v>
      </c>
      <c r="R1118" s="45">
        <f>IFERROR(__xludf.DUMMYFUNCTION("""COMPUTED_VALUE"""),45194.0)</f>
        <v>45194</v>
      </c>
      <c r="S1118" s="43"/>
      <c r="T1118" s="43"/>
      <c r="U1118" s="43" t="str">
        <f>IFERROR(__xludf.DUMMYFUNCTION("""COMPUTED_VALUE"""),"Youth 4 Impact")</f>
        <v>Youth 4 Impact</v>
      </c>
      <c r="V1118" s="43" t="str">
        <f>IFERROR(__xludf.DUMMYFUNCTION("""COMPUTED_VALUE"""),"-")</f>
        <v>-</v>
      </c>
      <c r="W1118" s="43" t="str">
        <f>IFERROR(__xludf.DUMMYFUNCTION("""COMPUTED_VALUE"""),"2023-06-12T10:57:40Z")</f>
        <v>2023-06-12T10:57:40Z</v>
      </c>
      <c r="X1118" s="43"/>
      <c r="Y1118" s="43"/>
      <c r="Z1118" s="43"/>
    </row>
    <row r="1119" hidden="1">
      <c r="A1119" s="43" t="str">
        <f>IFERROR(__xludf.DUMMYFUNCTION("""COMPUTED_VALUE"""),"5281725_1295572")</f>
        <v>5281725_1295572</v>
      </c>
      <c r="B1119" s="43" t="str">
        <f>IFERROR(__xludf.DUMMYFUNCTION("""COMPUTED_VALUE"""),"sinda kallel")</f>
        <v>sinda kallel</v>
      </c>
      <c r="C1119" s="43" t="str">
        <f>IFERROR(__xludf.DUMMYFUNCTION("""COMPUTED_VALUE"""),"completed")</f>
        <v>completed</v>
      </c>
      <c r="D1119" s="43" t="str">
        <f>IFERROR(__xludf.DUMMYFUNCTION("""COMPUTED_VALUE"""),"No")</f>
        <v>No</v>
      </c>
      <c r="E1119" s="43" t="str">
        <f>IFERROR(__xludf.DUMMYFUNCTION("""COMPUTED_VALUE"""),"p_a9f9073601a2a0b269bf3cc8444af1c1bd2b6361@inbound.aiesec.org")</f>
        <v>p_a9f9073601a2a0b269bf3cc8444af1c1bd2b6361@inbound.aiesec.org</v>
      </c>
      <c r="F1119" s="43">
        <f>IFERROR(__xludf.DUMMYFUNCTION("""COMPUTED_VALUE"""),5.2986688E7)</f>
        <v>52986688</v>
      </c>
      <c r="G1119" s="43" t="str">
        <f>IFERROR(__xludf.DUMMYFUNCTION("""COMPUTED_VALUE"""),"Tunisia")</f>
        <v>Tunisia</v>
      </c>
      <c r="H1119" s="43" t="str">
        <f>IFERROR(__xludf.DUMMYFUNCTION("""COMPUTED_VALUE"""),"BARDO")</f>
        <v>BARDO</v>
      </c>
      <c r="I1119" s="43" t="str">
        <f>IFERROR(__xludf.DUMMYFUNCTION("""COMPUTED_VALUE"""),"Turkey")</f>
        <v>Turkey</v>
      </c>
      <c r="J1119" s="43" t="str">
        <f>IFERROR(__xludf.DUMMYFUNCTION("""COMPUTED_VALUE"""),"ESKISEHIR")</f>
        <v>ESKISEHIR</v>
      </c>
      <c r="K1119" s="44" t="str">
        <f>IFERROR(__xludf.DUMMYFUNCTION("""COMPUTED_VALUE"""),"https://expa.aiesec.org/opportunities/1295572")</f>
        <v>https://expa.aiesec.org/opportunities/1295572</v>
      </c>
      <c r="L1119" s="43" t="str">
        <f>IFERROR(__xludf.DUMMYFUNCTION("""COMPUTED_VALUE"""),"GV")</f>
        <v>GV</v>
      </c>
      <c r="M1119" s="43" t="str">
        <f>IFERROR(__xludf.DUMMYFUNCTION("""COMPUTED_VALUE"""),"short")</f>
        <v>short</v>
      </c>
      <c r="N1119" s="45">
        <f>IFERROR(__xludf.DUMMYFUNCTION("""COMPUTED_VALUE"""),45114.0)</f>
        <v>45114</v>
      </c>
      <c r="O1119" s="45">
        <f>IFERROR(__xludf.DUMMYFUNCTION("""COMPUTED_VALUE"""),45127.0)</f>
        <v>45127</v>
      </c>
      <c r="P1119" s="45">
        <f>IFERROR(__xludf.DUMMYFUNCTION("""COMPUTED_VALUE"""),45169.0)</f>
        <v>45169</v>
      </c>
      <c r="Q1119" s="45">
        <f>IFERROR(__xludf.DUMMYFUNCTION("""COMPUTED_VALUE"""),45122.0)</f>
        <v>45122</v>
      </c>
      <c r="R1119" s="45">
        <f>IFERROR(__xludf.DUMMYFUNCTION("""COMPUTED_VALUE"""),45169.0)</f>
        <v>45169</v>
      </c>
      <c r="S1119" s="43"/>
      <c r="T1119" s="43"/>
      <c r="U1119" s="43" t="str">
        <f>IFERROR(__xludf.DUMMYFUNCTION("""COMPUTED_VALUE"""),"Equify")</f>
        <v>Equify</v>
      </c>
      <c r="V1119" s="43" t="str">
        <f>IFERROR(__xludf.DUMMYFUNCTION("""COMPUTED_VALUE"""),"ESPRIT El Ghazela ")</f>
        <v>ESPRIT El Ghazela </v>
      </c>
      <c r="W1119" s="43" t="str">
        <f>IFERROR(__xludf.DUMMYFUNCTION("""COMPUTED_VALUE"""),"2023-07-03T12:06:15Z")</f>
        <v>2023-07-03T12:06:15Z</v>
      </c>
      <c r="X1119" s="43"/>
      <c r="Y1119" s="43"/>
      <c r="Z1119" s="43"/>
    </row>
    <row r="1120" hidden="1">
      <c r="A1120" s="43" t="str">
        <f>IFERROR(__xludf.DUMMYFUNCTION("""COMPUTED_VALUE"""),"5283171_1279126")</f>
        <v>5283171_1279126</v>
      </c>
      <c r="B1120" s="43" t="str">
        <f>IFERROR(__xludf.DUMMYFUNCTION("""COMPUTED_VALUE"""),"Andreea Minea")</f>
        <v>Andreea Minea</v>
      </c>
      <c r="C1120" s="43" t="str">
        <f>IFERROR(__xludf.DUMMYFUNCTION("""COMPUTED_VALUE"""),"completed")</f>
        <v>completed</v>
      </c>
      <c r="D1120" s="43" t="str">
        <f>IFERROR(__xludf.DUMMYFUNCTION("""COMPUTED_VALUE"""),"No")</f>
        <v>No</v>
      </c>
      <c r="E1120" s="43" t="str">
        <f>IFERROR(__xludf.DUMMYFUNCTION("""COMPUTED_VALUE"""),"p_7683f90a99c09387c3225dbd06d18b259f287e3d@inbound.aiesec.org")</f>
        <v>p_7683f90a99c09387c3225dbd06d18b259f287e3d@inbound.aiesec.org</v>
      </c>
      <c r="F1120" s="43">
        <f>IFERROR(__xludf.DUMMYFUNCTION("""COMPUTED_VALUE"""),7.71676033E8)</f>
        <v>771676033</v>
      </c>
      <c r="G1120" s="43" t="str">
        <f>IFERROR(__xludf.DUMMYFUNCTION("""COMPUTED_VALUE"""),"Romania")</f>
        <v>Romania</v>
      </c>
      <c r="H1120" s="43" t="str">
        <f>IFERROR(__xludf.DUMMYFUNCTION("""COMPUTED_VALUE"""),"BUCURESTI")</f>
        <v>BUCURESTI</v>
      </c>
      <c r="I1120" s="43" t="str">
        <f>IFERROR(__xludf.DUMMYFUNCTION("""COMPUTED_VALUE"""),"Turkey")</f>
        <v>Turkey</v>
      </c>
      <c r="J1120" s="43" t="str">
        <f>IFERROR(__xludf.DUMMYFUNCTION("""COMPUTED_VALUE"""),"KOCAELI")</f>
        <v>KOCAELI</v>
      </c>
      <c r="K1120" s="44" t="str">
        <f>IFERROR(__xludf.DUMMYFUNCTION("""COMPUTED_VALUE"""),"https://expa.aiesec.org/opportunities/1279126")</f>
        <v>https://expa.aiesec.org/opportunities/1279126</v>
      </c>
      <c r="L1120" s="43" t="str">
        <f>IFERROR(__xludf.DUMMYFUNCTION("""COMPUTED_VALUE"""),"GV")</f>
        <v>GV</v>
      </c>
      <c r="M1120" s="43" t="str">
        <f>IFERROR(__xludf.DUMMYFUNCTION("""COMPUTED_VALUE"""),"short")</f>
        <v>short</v>
      </c>
      <c r="N1120" s="45">
        <f>IFERROR(__xludf.DUMMYFUNCTION("""COMPUTED_VALUE"""),45114.0)</f>
        <v>45114</v>
      </c>
      <c r="O1120" s="45">
        <f>IFERROR(__xludf.DUMMYFUNCTION("""COMPUTED_VALUE"""),45138.0)</f>
        <v>45138</v>
      </c>
      <c r="P1120" s="45">
        <f>IFERROR(__xludf.DUMMYFUNCTION("""COMPUTED_VALUE"""),45180.0)</f>
        <v>45180</v>
      </c>
      <c r="Q1120" s="45">
        <f>IFERROR(__xludf.DUMMYFUNCTION("""COMPUTED_VALUE"""),45138.0)</f>
        <v>45138</v>
      </c>
      <c r="R1120" s="45">
        <f>IFERROR(__xludf.DUMMYFUNCTION("""COMPUTED_VALUE"""),45180.0)</f>
        <v>45180</v>
      </c>
      <c r="S1120" s="43"/>
      <c r="T1120" s="43"/>
      <c r="U1120" s="43" t="str">
        <f>IFERROR(__xludf.DUMMYFUNCTION("""COMPUTED_VALUE"""),"Global Classroom")</f>
        <v>Global Classroom</v>
      </c>
      <c r="V1120" s="43" t="str">
        <f>IFERROR(__xludf.DUMMYFUNCTION("""COMPUTED_VALUE"""),"Ploiesti")</f>
        <v>Ploiesti</v>
      </c>
      <c r="W1120" s="43" t="str">
        <f>IFERROR(__xludf.DUMMYFUNCTION("""COMPUTED_VALUE"""),"2023-07-07T17:52:52Z")</f>
        <v>2023-07-07T17:52:52Z</v>
      </c>
      <c r="X1120" s="43"/>
      <c r="Y1120" s="43"/>
      <c r="Z1120" s="43"/>
    </row>
    <row r="1121" hidden="1">
      <c r="A1121" s="43" t="str">
        <f>IFERROR(__xludf.DUMMYFUNCTION("""COMPUTED_VALUE"""),"5279805_1296101")</f>
        <v>5279805_1296101</v>
      </c>
      <c r="B1121" s="43" t="str">
        <f>IFERROR(__xludf.DUMMYFUNCTION("""COMPUTED_VALUE"""),"Ricardo Lopes Moura")</f>
        <v>Ricardo Lopes Moura</v>
      </c>
      <c r="C1121" s="43" t="str">
        <f>IFERROR(__xludf.DUMMYFUNCTION("""COMPUTED_VALUE"""),"completed")</f>
        <v>completed</v>
      </c>
      <c r="D1121" s="43" t="str">
        <f>IFERROR(__xludf.DUMMYFUNCTION("""COMPUTED_VALUE"""),"No")</f>
        <v>No</v>
      </c>
      <c r="E1121" s="43" t="str">
        <f>IFERROR(__xludf.DUMMYFUNCTION("""COMPUTED_VALUE"""),"p_cc360eb6615734b3cf65e77cab17e08061e056f6@inbound.aiesec.org")</f>
        <v>p_cc360eb6615734b3cf65e77cab17e08061e056f6@inbound.aiesec.org</v>
      </c>
      <c r="F1121" s="43">
        <f>IFERROR(__xludf.DUMMYFUNCTION("""COMPUTED_VALUE"""),6.21761542E8)</f>
        <v>621761542</v>
      </c>
      <c r="G1121" s="43" t="str">
        <f>IFERROR(__xludf.DUMMYFUNCTION("""COMPUTED_VALUE"""),"Portugal")</f>
        <v>Portugal</v>
      </c>
      <c r="H1121" s="43" t="str">
        <f>IFERROR(__xludf.DUMMYFUNCTION("""COMPUTED_VALUE"""),"UMINHO")</f>
        <v>UMINHO</v>
      </c>
      <c r="I1121" s="43" t="str">
        <f>IFERROR(__xludf.DUMMYFUNCTION("""COMPUTED_VALUE"""),"Turkey")</f>
        <v>Turkey</v>
      </c>
      <c r="J1121" s="43" t="str">
        <f>IFERROR(__xludf.DUMMYFUNCTION("""COMPUTED_VALUE"""),"ANKARA")</f>
        <v>ANKARA</v>
      </c>
      <c r="K1121" s="44" t="str">
        <f>IFERROR(__xludf.DUMMYFUNCTION("""COMPUTED_VALUE"""),"https://expa.aiesec.org/opportunities/1296101")</f>
        <v>https://expa.aiesec.org/opportunities/1296101</v>
      </c>
      <c r="L1121" s="43" t="str">
        <f>IFERROR(__xludf.DUMMYFUNCTION("""COMPUTED_VALUE"""),"GV")</f>
        <v>GV</v>
      </c>
      <c r="M1121" s="43" t="str">
        <f>IFERROR(__xludf.DUMMYFUNCTION("""COMPUTED_VALUE"""),"short")</f>
        <v>short</v>
      </c>
      <c r="N1121" s="45">
        <f>IFERROR(__xludf.DUMMYFUNCTION("""COMPUTED_VALUE"""),45115.0)</f>
        <v>45115</v>
      </c>
      <c r="O1121" s="45">
        <f>IFERROR(__xludf.DUMMYFUNCTION("""COMPUTED_VALUE"""),45208.0)</f>
        <v>45208</v>
      </c>
      <c r="P1121" s="45">
        <f>IFERROR(__xludf.DUMMYFUNCTION("""COMPUTED_VALUE"""),45250.0)</f>
        <v>45250</v>
      </c>
      <c r="Q1121" s="45">
        <f>IFERROR(__xludf.DUMMYFUNCTION("""COMPUTED_VALUE"""),45211.0)</f>
        <v>45211</v>
      </c>
      <c r="R1121" s="45">
        <f>IFERROR(__xludf.DUMMYFUNCTION("""COMPUTED_VALUE"""),45253.0)</f>
        <v>45253</v>
      </c>
      <c r="S1121" s="43"/>
      <c r="T1121" s="43"/>
      <c r="U1121" s="43" t="str">
        <f>IFERROR(__xludf.DUMMYFUNCTION("""COMPUTED_VALUE"""),"Fingerprint")</f>
        <v>Fingerprint</v>
      </c>
      <c r="V1121" s="43" t="str">
        <f>IFERROR(__xludf.DUMMYFUNCTION("""COMPUTED_VALUE"""),"Universidade do Minho - Escola de Economia e Gestão (EEGUM)")</f>
        <v>Universidade do Minho - Escola de Economia e Gestão (EEGUM)</v>
      </c>
      <c r="W1121" s="43" t="str">
        <f>IFERROR(__xludf.DUMMYFUNCTION("""COMPUTED_VALUE"""),"2023-06-27T10:16:13Z")</f>
        <v>2023-06-27T10:16:13Z</v>
      </c>
      <c r="X1121" s="43"/>
      <c r="Y1121" s="43"/>
      <c r="Z1121" s="43"/>
    </row>
    <row r="1122" hidden="1">
      <c r="A1122" s="43" t="str">
        <f>IFERROR(__xludf.DUMMYFUNCTION("""COMPUTED_VALUE"""),"5283323_1289505")</f>
        <v>5283323_1289505</v>
      </c>
      <c r="B1122" s="43" t="str">
        <f>IFERROR(__xludf.DUMMYFUNCTION("""COMPUTED_VALUE"""),"Narimane Acila")</f>
        <v>Narimane Acila</v>
      </c>
      <c r="C1122" s="43" t="str">
        <f>IFERROR(__xludf.DUMMYFUNCTION("""COMPUTED_VALUE"""),"approved")</f>
        <v>approved</v>
      </c>
      <c r="D1122" s="43" t="str">
        <f>IFERROR(__xludf.DUMMYFUNCTION("""COMPUTED_VALUE"""),"No")</f>
        <v>No</v>
      </c>
      <c r="E1122" s="43" t="str">
        <f>IFERROR(__xludf.DUMMYFUNCTION("""COMPUTED_VALUE"""),"p_c2f4565212e3c75dbad01c303b8d6222872e00ed@inbound.aiesec.org")</f>
        <v>p_c2f4565212e3c75dbad01c303b8d6222872e00ed@inbound.aiesec.org</v>
      </c>
      <c r="F1122" s="43">
        <f>IFERROR(__xludf.DUMMYFUNCTION("""COMPUTED_VALUE"""),5.4034703E7)</f>
        <v>54034703</v>
      </c>
      <c r="G1122" s="43" t="str">
        <f>IFERROR(__xludf.DUMMYFUNCTION("""COMPUTED_VALUE"""),"Tunisia")</f>
        <v>Tunisia</v>
      </c>
      <c r="H1122" s="43" t="str">
        <f>IFERROR(__xludf.DUMMYFUNCTION("""COMPUTED_VALUE"""),"UNIVERSITY")</f>
        <v>UNIVERSITY</v>
      </c>
      <c r="I1122" s="43" t="str">
        <f>IFERROR(__xludf.DUMMYFUNCTION("""COMPUTED_VALUE"""),"Turkey")</f>
        <v>Turkey</v>
      </c>
      <c r="J1122" s="43" t="str">
        <f>IFERROR(__xludf.DUMMYFUNCTION("""COMPUTED_VALUE"""),"KOCAELI")</f>
        <v>KOCAELI</v>
      </c>
      <c r="K1122" s="44" t="str">
        <f>IFERROR(__xludf.DUMMYFUNCTION("""COMPUTED_VALUE"""),"https://expa.aiesec.org/opportunities/1289505")</f>
        <v>https://expa.aiesec.org/opportunities/1289505</v>
      </c>
      <c r="L1122" s="43" t="str">
        <f>IFERROR(__xludf.DUMMYFUNCTION("""COMPUTED_VALUE"""),"GV")</f>
        <v>GV</v>
      </c>
      <c r="M1122" s="43" t="str">
        <f>IFERROR(__xludf.DUMMYFUNCTION("""COMPUTED_VALUE"""),"short")</f>
        <v>short</v>
      </c>
      <c r="N1122" s="45">
        <f>IFERROR(__xludf.DUMMYFUNCTION("""COMPUTED_VALUE"""),45115.0)</f>
        <v>45115</v>
      </c>
      <c r="O1122" s="45">
        <f>IFERROR(__xludf.DUMMYFUNCTION("""COMPUTED_VALUE"""),45145.0)</f>
        <v>45145</v>
      </c>
      <c r="P1122" s="45">
        <f>IFERROR(__xludf.DUMMYFUNCTION("""COMPUTED_VALUE"""),45187.0)</f>
        <v>45187</v>
      </c>
      <c r="Q1122" s="45"/>
      <c r="R1122" s="45"/>
      <c r="S1122" s="43"/>
      <c r="T1122" s="43"/>
      <c r="U1122" s="43" t="str">
        <f>IFERROR(__xludf.DUMMYFUNCTION("""COMPUTED_VALUE"""),"Youth 4 Impact")</f>
        <v>Youth 4 Impact</v>
      </c>
      <c r="V1122" s="43" t="str">
        <f>IFERROR(__xludf.DUMMYFUNCTION("""COMPUTED_VALUE"""),"IHET")</f>
        <v>IHET</v>
      </c>
      <c r="W1122" s="43" t="str">
        <f>IFERROR(__xludf.DUMMYFUNCTION("""COMPUTED_VALUE"""),"2023-07-08T13:35:38Z")</f>
        <v>2023-07-08T13:35:38Z</v>
      </c>
      <c r="X1122" s="43"/>
      <c r="Y1122" s="43"/>
      <c r="Z1122" s="43"/>
    </row>
    <row r="1123" hidden="1">
      <c r="A1123" s="43" t="str">
        <f>IFERROR(__xludf.DUMMYFUNCTION("""COMPUTED_VALUE"""),"2036557_1288490")</f>
        <v>2036557_1288490</v>
      </c>
      <c r="B1123" s="43" t="str">
        <f>IFERROR(__xludf.DUMMYFUNCTION("""COMPUTED_VALUE"""),"Khaled Walid")</f>
        <v>Khaled Walid</v>
      </c>
      <c r="C1123" s="43" t="str">
        <f>IFERROR(__xludf.DUMMYFUNCTION("""COMPUTED_VALUE"""),"approval_broken")</f>
        <v>approval_broken</v>
      </c>
      <c r="D1123" s="43" t="str">
        <f>IFERROR(__xludf.DUMMYFUNCTION("""COMPUTED_VALUE"""),"No")</f>
        <v>No</v>
      </c>
      <c r="E1123" s="43" t="str">
        <f>IFERROR(__xludf.DUMMYFUNCTION("""COMPUTED_VALUE"""),"p_634bef64a75c4fbbc64230b004b8195a2d4f8481@inbound.aiesec.org")</f>
        <v>p_634bef64a75c4fbbc64230b004b8195a2d4f8481@inbound.aiesec.org</v>
      </c>
      <c r="F1123" s="43">
        <f>IFERROR(__xludf.DUMMYFUNCTION("""COMPUTED_VALUE"""),1.033552008E9)</f>
        <v>1033552008</v>
      </c>
      <c r="G1123" s="43" t="str">
        <f>IFERROR(__xludf.DUMMYFUNCTION("""COMPUTED_VALUE"""),"Egypt")</f>
        <v>Egypt</v>
      </c>
      <c r="H1123" s="43" t="str">
        <f>IFERROR(__xludf.DUMMYFUNCTION("""COMPUTED_VALUE"""),"Cairo University")</f>
        <v>Cairo University</v>
      </c>
      <c r="I1123" s="43" t="str">
        <f>IFERROR(__xludf.DUMMYFUNCTION("""COMPUTED_VALUE"""),"Turkey")</f>
        <v>Turkey</v>
      </c>
      <c r="J1123" s="43" t="str">
        <f>IFERROR(__xludf.DUMMYFUNCTION("""COMPUTED_VALUE"""),"ISPARTA")</f>
        <v>ISPARTA</v>
      </c>
      <c r="K1123" s="44" t="str">
        <f>IFERROR(__xludf.DUMMYFUNCTION("""COMPUTED_VALUE"""),"https://expa.aiesec.org/opportunities/1288490")</f>
        <v>https://expa.aiesec.org/opportunities/1288490</v>
      </c>
      <c r="L1123" s="43" t="str">
        <f>IFERROR(__xludf.DUMMYFUNCTION("""COMPUTED_VALUE"""),"GV")</f>
        <v>GV</v>
      </c>
      <c r="M1123" s="43" t="str">
        <f>IFERROR(__xludf.DUMMYFUNCTION("""COMPUTED_VALUE"""),"short")</f>
        <v>short</v>
      </c>
      <c r="N1123" s="45">
        <f>IFERROR(__xludf.DUMMYFUNCTION("""COMPUTED_VALUE"""),45133.0)</f>
        <v>45133</v>
      </c>
      <c r="O1123" s="45">
        <f>IFERROR(__xludf.DUMMYFUNCTION("""COMPUTED_VALUE"""),45141.0)</f>
        <v>45141</v>
      </c>
      <c r="P1123" s="45">
        <f>IFERROR(__xludf.DUMMYFUNCTION("""COMPUTED_VALUE"""),45183.0)</f>
        <v>45183</v>
      </c>
      <c r="Q1123" s="45"/>
      <c r="R1123" s="45"/>
      <c r="S1123" s="43"/>
      <c r="T1123" s="43"/>
      <c r="U1123" s="43" t="str">
        <f>IFERROR(__xludf.DUMMYFUNCTION("""COMPUTED_VALUE"""),"Global Classroom")</f>
        <v>Global Classroom</v>
      </c>
      <c r="V1123" s="43" t="str">
        <f>IFERROR(__xludf.DUMMYFUNCTION("""COMPUTED_VALUE"""),"-")</f>
        <v>-</v>
      </c>
      <c r="W1123" s="43" t="str">
        <f>IFERROR(__xludf.DUMMYFUNCTION("""COMPUTED_VALUE"""),"2018-02-15T17:10:14Z")</f>
        <v>2018-02-15T17:10:14Z</v>
      </c>
      <c r="X1123" s="43"/>
      <c r="Y1123" s="43"/>
      <c r="Z1123" s="43"/>
    </row>
    <row r="1124" hidden="1">
      <c r="A1124" s="43" t="str">
        <f>IFERROR(__xludf.DUMMYFUNCTION("""COMPUTED_VALUE"""),"5281958_1284484")</f>
        <v>5281958_1284484</v>
      </c>
      <c r="B1124" s="43" t="str">
        <f>IFERROR(__xludf.DUMMYFUNCTION("""COMPUTED_VALUE"""),"Joey Hou")</f>
        <v>Joey Hou</v>
      </c>
      <c r="C1124" s="43" t="str">
        <f>IFERROR(__xludf.DUMMYFUNCTION("""COMPUTED_VALUE"""),"completed")</f>
        <v>completed</v>
      </c>
      <c r="D1124" s="43" t="str">
        <f>IFERROR(__xludf.DUMMYFUNCTION("""COMPUTED_VALUE"""),"No")</f>
        <v>No</v>
      </c>
      <c r="E1124" s="43" t="str">
        <f>IFERROR(__xludf.DUMMYFUNCTION("""COMPUTED_VALUE"""),"p_fea94f9f49820606064a0607f7da310b32b7a563@inbound.aiesec.org")</f>
        <v>p_fea94f9f49820606064a0607f7da310b32b7a563@inbound.aiesec.org</v>
      </c>
      <c r="F1124" s="43"/>
      <c r="G1124" s="43" t="str">
        <f>IFERROR(__xludf.DUMMYFUNCTION("""COMPUTED_VALUE"""),"Mainland of China")</f>
        <v>Mainland of China</v>
      </c>
      <c r="H1124" s="43" t="str">
        <f>IFERROR(__xludf.DUMMYFUNCTION("""COMPUTED_VALUE"""),"Suzhou")</f>
        <v>Suzhou</v>
      </c>
      <c r="I1124" s="43" t="str">
        <f>IFERROR(__xludf.DUMMYFUNCTION("""COMPUTED_VALUE"""),"Turkey")</f>
        <v>Turkey</v>
      </c>
      <c r="J1124" s="43" t="str">
        <f>IFERROR(__xludf.DUMMYFUNCTION("""COMPUTED_VALUE"""),"DENIZLI")</f>
        <v>DENIZLI</v>
      </c>
      <c r="K1124" s="44" t="str">
        <f>IFERROR(__xludf.DUMMYFUNCTION("""COMPUTED_VALUE"""),"https://expa.aiesec.org/opportunities/1284484")</f>
        <v>https://expa.aiesec.org/opportunities/1284484</v>
      </c>
      <c r="L1124" s="43" t="str">
        <f>IFERROR(__xludf.DUMMYFUNCTION("""COMPUTED_VALUE"""),"GV")</f>
        <v>GV</v>
      </c>
      <c r="M1124" s="43" t="str">
        <f>IFERROR(__xludf.DUMMYFUNCTION("""COMPUTED_VALUE"""),"short")</f>
        <v>short</v>
      </c>
      <c r="N1124" s="45">
        <f>IFERROR(__xludf.DUMMYFUNCTION("""COMPUTED_VALUE"""),45116.0)</f>
        <v>45116</v>
      </c>
      <c r="O1124" s="45">
        <f>IFERROR(__xludf.DUMMYFUNCTION("""COMPUTED_VALUE"""),45124.0)</f>
        <v>45124</v>
      </c>
      <c r="P1124" s="45">
        <f>IFERROR(__xludf.DUMMYFUNCTION("""COMPUTED_VALUE"""),45166.0)</f>
        <v>45166</v>
      </c>
      <c r="Q1124" s="45">
        <f>IFERROR(__xludf.DUMMYFUNCTION("""COMPUTED_VALUE"""),45124.0)</f>
        <v>45124</v>
      </c>
      <c r="R1124" s="45">
        <f>IFERROR(__xludf.DUMMYFUNCTION("""COMPUTED_VALUE"""),45166.0)</f>
        <v>45166</v>
      </c>
      <c r="S1124" s="43"/>
      <c r="T1124" s="43"/>
      <c r="U1124" s="43" t="str">
        <f>IFERROR(__xludf.DUMMYFUNCTION("""COMPUTED_VALUE"""),"Youth 4 Impact")</f>
        <v>Youth 4 Impact</v>
      </c>
      <c r="V1124" s="43" t="str">
        <f>IFERROR(__xludf.DUMMYFUNCTION("""COMPUTED_VALUE"""),"-")</f>
        <v>-</v>
      </c>
      <c r="W1124" s="43" t="str">
        <f>IFERROR(__xludf.DUMMYFUNCTION("""COMPUTED_VALUE"""),"2023-07-04T04:31:29Z")</f>
        <v>2023-07-04T04:31:29Z</v>
      </c>
      <c r="X1124" s="43"/>
      <c r="Y1124" s="43"/>
      <c r="Z1124" s="43"/>
    </row>
    <row r="1125" hidden="1">
      <c r="A1125" s="43" t="str">
        <f>IFERROR(__xludf.DUMMYFUNCTION("""COMPUTED_VALUE"""),"5283372_1296105")</f>
        <v>5283372_1296105</v>
      </c>
      <c r="B1125" s="43" t="str">
        <f>IFERROR(__xludf.DUMMYFUNCTION("""COMPUTED_VALUE"""),"Ahmed Elsayed")</f>
        <v>Ahmed Elsayed</v>
      </c>
      <c r="C1125" s="43" t="str">
        <f>IFERROR(__xludf.DUMMYFUNCTION("""COMPUTED_VALUE"""),"approved")</f>
        <v>approved</v>
      </c>
      <c r="D1125" s="43" t="str">
        <f>IFERROR(__xludf.DUMMYFUNCTION("""COMPUTED_VALUE"""),"No")</f>
        <v>No</v>
      </c>
      <c r="E1125" s="43" t="str">
        <f>IFERROR(__xludf.DUMMYFUNCTION("""COMPUTED_VALUE"""),"p_e562363370e8cd796d2aecfc87328ad9167e86ca@inbound.aiesec.org")</f>
        <v>p_e562363370e8cd796d2aecfc87328ad9167e86ca@inbound.aiesec.org</v>
      </c>
      <c r="F1125" s="43">
        <f>IFERROR(__xludf.DUMMYFUNCTION("""COMPUTED_VALUE"""),1.146485778E9)</f>
        <v>1146485778</v>
      </c>
      <c r="G1125" s="43" t="str">
        <f>IFERROR(__xludf.DUMMYFUNCTION("""COMPUTED_VALUE"""),"Egypt")</f>
        <v>Egypt</v>
      </c>
      <c r="H1125" s="43" t="str">
        <f>IFERROR(__xludf.DUMMYFUNCTION("""COMPUTED_VALUE"""),"AAST In CAIRO")</f>
        <v>AAST In CAIRO</v>
      </c>
      <c r="I1125" s="43" t="str">
        <f>IFERROR(__xludf.DUMMYFUNCTION("""COMPUTED_VALUE"""),"Turkey")</f>
        <v>Turkey</v>
      </c>
      <c r="J1125" s="43" t="str">
        <f>IFERROR(__xludf.DUMMYFUNCTION("""COMPUTED_VALUE"""),"ANKARA")</f>
        <v>ANKARA</v>
      </c>
      <c r="K1125" s="44" t="str">
        <f>IFERROR(__xludf.DUMMYFUNCTION("""COMPUTED_VALUE"""),"https://expa.aiesec.org/opportunities/1296105")</f>
        <v>https://expa.aiesec.org/opportunities/1296105</v>
      </c>
      <c r="L1125" s="43" t="str">
        <f>IFERROR(__xludf.DUMMYFUNCTION("""COMPUTED_VALUE"""),"GV")</f>
        <v>GV</v>
      </c>
      <c r="M1125" s="43" t="str">
        <f>IFERROR(__xludf.DUMMYFUNCTION("""COMPUTED_VALUE"""),"short")</f>
        <v>short</v>
      </c>
      <c r="N1125" s="45">
        <f>IFERROR(__xludf.DUMMYFUNCTION("""COMPUTED_VALUE"""),45117.0)</f>
        <v>45117</v>
      </c>
      <c r="O1125" s="45">
        <f>IFERROR(__xludf.DUMMYFUNCTION("""COMPUTED_VALUE"""),45180.0)</f>
        <v>45180</v>
      </c>
      <c r="P1125" s="45">
        <f>IFERROR(__xludf.DUMMYFUNCTION("""COMPUTED_VALUE"""),45222.0)</f>
        <v>45222</v>
      </c>
      <c r="Q1125" s="45"/>
      <c r="R1125" s="45"/>
      <c r="S1125" s="43"/>
      <c r="T1125" s="43"/>
      <c r="U1125" s="43" t="str">
        <f>IFERROR(__xludf.DUMMYFUNCTION("""COMPUTED_VALUE"""),"Fingerprint")</f>
        <v>Fingerprint</v>
      </c>
      <c r="V1125" s="43" t="str">
        <f>IFERROR(__xludf.DUMMYFUNCTION("""COMPUTED_VALUE"""),"AAST in Cairo Univeristy")</f>
        <v>AAST in Cairo Univeristy</v>
      </c>
      <c r="W1125" s="43" t="str">
        <f>IFERROR(__xludf.DUMMYFUNCTION("""COMPUTED_VALUE"""),"2023-07-08T16:59:35Z")</f>
        <v>2023-07-08T16:59:35Z</v>
      </c>
      <c r="X1125" s="43"/>
      <c r="Y1125" s="43"/>
      <c r="Z1125" s="43"/>
    </row>
    <row r="1126" hidden="1">
      <c r="A1126" s="43" t="str">
        <f>IFERROR(__xludf.DUMMYFUNCTION("""COMPUTED_VALUE"""),"5266814_1289505")</f>
        <v>5266814_1289505</v>
      </c>
      <c r="B1126" s="43" t="str">
        <f>IFERROR(__xludf.DUMMYFUNCTION("""COMPUTED_VALUE"""),"Takeshi Inoue")</f>
        <v>Takeshi Inoue</v>
      </c>
      <c r="C1126" s="43" t="str">
        <f>IFERROR(__xludf.DUMMYFUNCTION("""COMPUTED_VALUE"""),"completed")</f>
        <v>completed</v>
      </c>
      <c r="D1126" s="43" t="str">
        <f>IFERROR(__xludf.DUMMYFUNCTION("""COMPUTED_VALUE"""),"No")</f>
        <v>No</v>
      </c>
      <c r="E1126" s="43" t="str">
        <f>IFERROR(__xludf.DUMMYFUNCTION("""COMPUTED_VALUE"""),"p_2e78ee6255af9c06d7e8ebcbd46642f343048dc4@inbound.aiesec.org")</f>
        <v>p_2e78ee6255af9c06d7e8ebcbd46642f343048dc4@inbound.aiesec.org</v>
      </c>
      <c r="F1126" s="43"/>
      <c r="G1126" s="43" t="str">
        <f>IFERROR(__xludf.DUMMYFUNCTION("""COMPUTED_VALUE"""),"Japan")</f>
        <v>Japan</v>
      </c>
      <c r="H1126" s="43" t="str">
        <f>IFERROR(__xludf.DUMMYFUNCTION("""COMPUTED_VALUE"""),"The University of Tokyo")</f>
        <v>The University of Tokyo</v>
      </c>
      <c r="I1126" s="43" t="str">
        <f>IFERROR(__xludf.DUMMYFUNCTION("""COMPUTED_VALUE"""),"Turkey")</f>
        <v>Turkey</v>
      </c>
      <c r="J1126" s="43" t="str">
        <f>IFERROR(__xludf.DUMMYFUNCTION("""COMPUTED_VALUE"""),"KOCAELI")</f>
        <v>KOCAELI</v>
      </c>
      <c r="K1126" s="44" t="str">
        <f>IFERROR(__xludf.DUMMYFUNCTION("""COMPUTED_VALUE"""),"https://expa.aiesec.org/opportunities/1289505")</f>
        <v>https://expa.aiesec.org/opportunities/1289505</v>
      </c>
      <c r="L1126" s="43" t="str">
        <f>IFERROR(__xludf.DUMMYFUNCTION("""COMPUTED_VALUE"""),"GV")</f>
        <v>GV</v>
      </c>
      <c r="M1126" s="43" t="str">
        <f>IFERROR(__xludf.DUMMYFUNCTION("""COMPUTED_VALUE"""),"short")</f>
        <v>short</v>
      </c>
      <c r="N1126" s="45">
        <f>IFERROR(__xludf.DUMMYFUNCTION("""COMPUTED_VALUE"""),45117.0)</f>
        <v>45117</v>
      </c>
      <c r="O1126" s="45">
        <f>IFERROR(__xludf.DUMMYFUNCTION("""COMPUTED_VALUE"""),45152.0)</f>
        <v>45152</v>
      </c>
      <c r="P1126" s="45">
        <f>IFERROR(__xludf.DUMMYFUNCTION("""COMPUTED_VALUE"""),45194.0)</f>
        <v>45194</v>
      </c>
      <c r="Q1126" s="45">
        <f>IFERROR(__xludf.DUMMYFUNCTION("""COMPUTED_VALUE"""),45152.0)</f>
        <v>45152</v>
      </c>
      <c r="R1126" s="45">
        <f>IFERROR(__xludf.DUMMYFUNCTION("""COMPUTED_VALUE"""),45194.0)</f>
        <v>45194</v>
      </c>
      <c r="S1126" s="43"/>
      <c r="T1126" s="43"/>
      <c r="U1126" s="43" t="str">
        <f>IFERROR(__xludf.DUMMYFUNCTION("""COMPUTED_VALUE"""),"Youth 4 Impact")</f>
        <v>Youth 4 Impact</v>
      </c>
      <c r="V1126" s="43" t="str">
        <f>IFERROR(__xludf.DUMMYFUNCTION("""COMPUTED_VALUE"""),"東京大学委員会")</f>
        <v>東京大学委員会</v>
      </c>
      <c r="W1126" s="43" t="str">
        <f>IFERROR(__xludf.DUMMYFUNCTION("""COMPUTED_VALUE"""),"2023-05-26T01:05:55Z")</f>
        <v>2023-05-26T01:05:55Z</v>
      </c>
      <c r="X1126" s="43"/>
      <c r="Y1126" s="43"/>
      <c r="Z1126" s="43"/>
    </row>
    <row r="1127" hidden="1">
      <c r="A1127" s="43" t="str">
        <f>IFERROR(__xludf.DUMMYFUNCTION("""COMPUTED_VALUE"""),"5021082_1296101")</f>
        <v>5021082_1296101</v>
      </c>
      <c r="B1127" s="43" t="str">
        <f>IFERROR(__xludf.DUMMYFUNCTION("""COMPUTED_VALUE"""),"Areesha Qasim")</f>
        <v>Areesha Qasim</v>
      </c>
      <c r="C1127" s="43" t="str">
        <f>IFERROR(__xludf.DUMMYFUNCTION("""COMPUTED_VALUE"""),"approved")</f>
        <v>approved</v>
      </c>
      <c r="D1127" s="43" t="str">
        <f>IFERROR(__xludf.DUMMYFUNCTION("""COMPUTED_VALUE"""),"No")</f>
        <v>No</v>
      </c>
      <c r="E1127" s="43" t="str">
        <f>IFERROR(__xludf.DUMMYFUNCTION("""COMPUTED_VALUE"""),"p_87777e771cbbcf05ce48650139044ad248642a44@inbound.aiesec.org")</f>
        <v>p_87777e771cbbcf05ce48650139044ad248642a44@inbound.aiesec.org</v>
      </c>
      <c r="F1127" s="43">
        <f>IFERROR(__xludf.DUMMYFUNCTION("""COMPUTED_VALUE"""),3.462806104E9)</f>
        <v>3462806104</v>
      </c>
      <c r="G1127" s="43" t="str">
        <f>IFERROR(__xludf.DUMMYFUNCTION("""COMPUTED_VALUE"""),"Pakistan")</f>
        <v>Pakistan</v>
      </c>
      <c r="H1127" s="43" t="str">
        <f>IFERROR(__xludf.DUMMYFUNCTION("""COMPUTED_VALUE"""),"Karachi")</f>
        <v>Karachi</v>
      </c>
      <c r="I1127" s="43" t="str">
        <f>IFERROR(__xludf.DUMMYFUNCTION("""COMPUTED_VALUE"""),"Turkey")</f>
        <v>Turkey</v>
      </c>
      <c r="J1127" s="43" t="str">
        <f>IFERROR(__xludf.DUMMYFUNCTION("""COMPUTED_VALUE"""),"ANKARA")</f>
        <v>ANKARA</v>
      </c>
      <c r="K1127" s="44" t="str">
        <f>IFERROR(__xludf.DUMMYFUNCTION("""COMPUTED_VALUE"""),"https://expa.aiesec.org/opportunities/1296101")</f>
        <v>https://expa.aiesec.org/opportunities/1296101</v>
      </c>
      <c r="L1127" s="43" t="str">
        <f>IFERROR(__xludf.DUMMYFUNCTION("""COMPUTED_VALUE"""),"GV")</f>
        <v>GV</v>
      </c>
      <c r="M1127" s="43" t="str">
        <f>IFERROR(__xludf.DUMMYFUNCTION("""COMPUTED_VALUE"""),"short")</f>
        <v>short</v>
      </c>
      <c r="N1127" s="45">
        <f>IFERROR(__xludf.DUMMYFUNCTION("""COMPUTED_VALUE"""),45117.0)</f>
        <v>45117</v>
      </c>
      <c r="O1127" s="45">
        <f>IFERROR(__xludf.DUMMYFUNCTION("""COMPUTED_VALUE"""),45166.0)</f>
        <v>45166</v>
      </c>
      <c r="P1127" s="45">
        <f>IFERROR(__xludf.DUMMYFUNCTION("""COMPUTED_VALUE"""),45208.0)</f>
        <v>45208</v>
      </c>
      <c r="Q1127" s="45"/>
      <c r="R1127" s="45"/>
      <c r="S1127" s="43"/>
      <c r="T1127" s="43"/>
      <c r="U1127" s="43" t="str">
        <f>IFERROR(__xludf.DUMMYFUNCTION("""COMPUTED_VALUE"""),"Fingerprint")</f>
        <v>Fingerprint</v>
      </c>
      <c r="V1127" s="43" t="str">
        <f>IFERROR(__xludf.DUMMYFUNCTION("""COMPUTED_VALUE"""),"Karachi - Institute of Business Management")</f>
        <v>Karachi - Institute of Business Management</v>
      </c>
      <c r="W1127" s="43" t="str">
        <f>IFERROR(__xludf.DUMMYFUNCTION("""COMPUTED_VALUE"""),"2022-04-02T09:09:15Z")</f>
        <v>2022-04-02T09:09:15Z</v>
      </c>
      <c r="X1127" s="43"/>
      <c r="Y1127" s="43"/>
      <c r="Z1127" s="43"/>
    </row>
    <row r="1128" hidden="1">
      <c r="A1128" s="43" t="str">
        <f>IFERROR(__xludf.DUMMYFUNCTION("""COMPUTED_VALUE"""),"5260750_1281010")</f>
        <v>5260750_1281010</v>
      </c>
      <c r="B1128" s="43" t="str">
        <f>IFERROR(__xludf.DUMMYFUNCTION("""COMPUTED_VALUE"""),"Shintaro Kawamoto")</f>
        <v>Shintaro Kawamoto</v>
      </c>
      <c r="C1128" s="43" t="str">
        <f>IFERROR(__xludf.DUMMYFUNCTION("""COMPUTED_VALUE"""),"completed")</f>
        <v>completed</v>
      </c>
      <c r="D1128" s="43" t="str">
        <f>IFERROR(__xludf.DUMMYFUNCTION("""COMPUTED_VALUE"""),"No")</f>
        <v>No</v>
      </c>
      <c r="E1128" s="43" t="str">
        <f>IFERROR(__xludf.DUMMYFUNCTION("""COMPUTED_VALUE"""),"p_c52e54c19a3962f056d9e53008a9e43a9abb0b4e@inbound.aiesec.org")</f>
        <v>p_c52e54c19a3962f056d9e53008a9e43a9abb0b4e@inbound.aiesec.org</v>
      </c>
      <c r="F1128" s="43">
        <f>IFERROR(__xludf.DUMMYFUNCTION("""COMPUTED_VALUE"""),9.022450908E9)</f>
        <v>9022450908</v>
      </c>
      <c r="G1128" s="43" t="str">
        <f>IFERROR(__xludf.DUMMYFUNCTION("""COMPUTED_VALUE"""),"Japan")</f>
        <v>Japan</v>
      </c>
      <c r="H1128" s="43" t="str">
        <f>IFERROR(__xludf.DUMMYFUNCTION("""COMPUTED_VALUE"""),"SOPHIA UNIVERSITY")</f>
        <v>SOPHIA UNIVERSITY</v>
      </c>
      <c r="I1128" s="43" t="str">
        <f>IFERROR(__xludf.DUMMYFUNCTION("""COMPUTED_VALUE"""),"Turkey")</f>
        <v>Turkey</v>
      </c>
      <c r="J1128" s="43" t="str">
        <f>IFERROR(__xludf.DUMMYFUNCTION("""COMPUTED_VALUE"""),"KOCAELI")</f>
        <v>KOCAELI</v>
      </c>
      <c r="K1128" s="44" t="str">
        <f>IFERROR(__xludf.DUMMYFUNCTION("""COMPUTED_VALUE"""),"https://expa.aiesec.org/opportunities/1281010")</f>
        <v>https://expa.aiesec.org/opportunities/1281010</v>
      </c>
      <c r="L1128" s="43" t="str">
        <f>IFERROR(__xludf.DUMMYFUNCTION("""COMPUTED_VALUE"""),"GV")</f>
        <v>GV</v>
      </c>
      <c r="M1128" s="43" t="str">
        <f>IFERROR(__xludf.DUMMYFUNCTION("""COMPUTED_VALUE"""),"short")</f>
        <v>short</v>
      </c>
      <c r="N1128" s="45">
        <f>IFERROR(__xludf.DUMMYFUNCTION("""COMPUTED_VALUE"""),45117.0)</f>
        <v>45117</v>
      </c>
      <c r="O1128" s="45">
        <f>IFERROR(__xludf.DUMMYFUNCTION("""COMPUTED_VALUE"""),45152.0)</f>
        <v>45152</v>
      </c>
      <c r="P1128" s="45">
        <f>IFERROR(__xludf.DUMMYFUNCTION("""COMPUTED_VALUE"""),45194.0)</f>
        <v>45194</v>
      </c>
      <c r="Q1128" s="45">
        <f>IFERROR(__xludf.DUMMYFUNCTION("""COMPUTED_VALUE"""),45152.0)</f>
        <v>45152</v>
      </c>
      <c r="R1128" s="45">
        <f>IFERROR(__xludf.DUMMYFUNCTION("""COMPUTED_VALUE"""),45194.0)</f>
        <v>45194</v>
      </c>
      <c r="S1128" s="43"/>
      <c r="T1128" s="43"/>
      <c r="U1128" s="43" t="str">
        <f>IFERROR(__xludf.DUMMYFUNCTION("""COMPUTED_VALUE"""),"Global Classroom")</f>
        <v>Global Classroom</v>
      </c>
      <c r="V1128" s="43" t="str">
        <f>IFERROR(__xludf.DUMMYFUNCTION("""COMPUTED_VALUE"""),"上智大学委員会")</f>
        <v>上智大学委員会</v>
      </c>
      <c r="W1128" s="43" t="str">
        <f>IFERROR(__xludf.DUMMYFUNCTION("""COMPUTED_VALUE"""),"2023-05-14T05:54:22Z")</f>
        <v>2023-05-14T05:54:22Z</v>
      </c>
      <c r="X1128" s="43"/>
      <c r="Y1128" s="43"/>
      <c r="Z1128" s="43"/>
    </row>
    <row r="1129" hidden="1">
      <c r="A1129" s="43" t="str">
        <f>IFERROR(__xludf.DUMMYFUNCTION("""COMPUTED_VALUE"""),"5278815_1296118")</f>
        <v>5278815_1296118</v>
      </c>
      <c r="B1129" s="43" t="str">
        <f>IFERROR(__xludf.DUMMYFUNCTION("""COMPUTED_VALUE"""),"Rahaf Gouiaa")</f>
        <v>Rahaf Gouiaa</v>
      </c>
      <c r="C1129" s="43" t="str">
        <f>IFERROR(__xludf.DUMMYFUNCTION("""COMPUTED_VALUE"""),"approved")</f>
        <v>approved</v>
      </c>
      <c r="D1129" s="43" t="str">
        <f>IFERROR(__xludf.DUMMYFUNCTION("""COMPUTED_VALUE"""),"No")</f>
        <v>No</v>
      </c>
      <c r="E1129" s="43" t="str">
        <f>IFERROR(__xludf.DUMMYFUNCTION("""COMPUTED_VALUE"""),"p_9de045c5bf01af0ee79cef0fbc9ab528520fa66d@inbound.aiesec.org")</f>
        <v>p_9de045c5bf01af0ee79cef0fbc9ab528520fa66d@inbound.aiesec.org</v>
      </c>
      <c r="F1129" s="43">
        <f>IFERROR(__xludf.DUMMYFUNCTION("""COMPUTED_VALUE"""),2.9556757E7)</f>
        <v>29556757</v>
      </c>
      <c r="G1129" s="43" t="str">
        <f>IFERROR(__xludf.DUMMYFUNCTION("""COMPUTED_VALUE"""),"Tunisia")</f>
        <v>Tunisia</v>
      </c>
      <c r="H1129" s="43" t="str">
        <f>IFERROR(__xludf.DUMMYFUNCTION("""COMPUTED_VALUE"""),"MEDINA")</f>
        <v>MEDINA</v>
      </c>
      <c r="I1129" s="43" t="str">
        <f>IFERROR(__xludf.DUMMYFUNCTION("""COMPUTED_VALUE"""),"Turkey")</f>
        <v>Turkey</v>
      </c>
      <c r="J1129" s="43" t="str">
        <f>IFERROR(__xludf.DUMMYFUNCTION("""COMPUTED_VALUE"""),"ISTANBUL WEST")</f>
        <v>ISTANBUL WEST</v>
      </c>
      <c r="K1129" s="44" t="str">
        <f>IFERROR(__xludf.DUMMYFUNCTION("""COMPUTED_VALUE"""),"https://expa.aiesec.org/opportunities/1296118")</f>
        <v>https://expa.aiesec.org/opportunities/1296118</v>
      </c>
      <c r="L1129" s="43" t="str">
        <f>IFERROR(__xludf.DUMMYFUNCTION("""COMPUTED_VALUE"""),"GV")</f>
        <v>GV</v>
      </c>
      <c r="M1129" s="43" t="str">
        <f>IFERROR(__xludf.DUMMYFUNCTION("""COMPUTED_VALUE"""),"short")</f>
        <v>short</v>
      </c>
      <c r="N1129" s="45">
        <f>IFERROR(__xludf.DUMMYFUNCTION("""COMPUTED_VALUE"""),45117.0)</f>
        <v>45117</v>
      </c>
      <c r="O1129" s="45">
        <f>IFERROR(__xludf.DUMMYFUNCTION("""COMPUTED_VALUE"""),45159.0)</f>
        <v>45159</v>
      </c>
      <c r="P1129" s="45">
        <f>IFERROR(__xludf.DUMMYFUNCTION("""COMPUTED_VALUE"""),45201.0)</f>
        <v>45201</v>
      </c>
      <c r="Q1129" s="45"/>
      <c r="R1129" s="45"/>
      <c r="S1129" s="43"/>
      <c r="T1129" s="43"/>
      <c r="U1129" s="43" t="str">
        <f>IFERROR(__xludf.DUMMYFUNCTION("""COMPUTED_VALUE"""),"Fingerprint")</f>
        <v>Fingerprint</v>
      </c>
      <c r="V1129" s="43" t="str">
        <f>IFERROR(__xludf.DUMMYFUNCTION("""COMPUTED_VALUE"""),"ESSTED")</f>
        <v>ESSTED</v>
      </c>
      <c r="W1129" s="43" t="str">
        <f>IFERROR(__xludf.DUMMYFUNCTION("""COMPUTED_VALUE"""),"2023-06-23T21:18:33Z")</f>
        <v>2023-06-23T21:18:33Z</v>
      </c>
      <c r="X1129" s="43"/>
      <c r="Y1129" s="43"/>
      <c r="Z1129" s="43"/>
    </row>
    <row r="1130" hidden="1">
      <c r="A1130" s="43" t="str">
        <f>IFERROR(__xludf.DUMMYFUNCTION("""COMPUTED_VALUE"""),"5153712_1287210")</f>
        <v>5153712_1287210</v>
      </c>
      <c r="B1130" s="43" t="str">
        <f>IFERROR(__xludf.DUMMYFUNCTION("""COMPUTED_VALUE"""),"fatima ezzahra bouabid")</f>
        <v>fatima ezzahra bouabid</v>
      </c>
      <c r="C1130" s="43" t="str">
        <f>IFERROR(__xludf.DUMMYFUNCTION("""COMPUTED_VALUE"""),"realization_broken")</f>
        <v>realization_broken</v>
      </c>
      <c r="D1130" s="43" t="str">
        <f>IFERROR(__xludf.DUMMYFUNCTION("""COMPUTED_VALUE"""),"No")</f>
        <v>No</v>
      </c>
      <c r="E1130" s="43" t="str">
        <f>IFERROR(__xludf.DUMMYFUNCTION("""COMPUTED_VALUE"""),"p_0cb4ba2af4be9d6ca8ef83bc4356708cbdc35885@inbound.aiesec.org")</f>
        <v>p_0cb4ba2af4be9d6ca8ef83bc4356708cbdc35885@inbound.aiesec.org</v>
      </c>
      <c r="F1130" s="43">
        <f>IFERROR(__xludf.DUMMYFUNCTION("""COMPUTED_VALUE"""),6.72433742E8)</f>
        <v>672433742</v>
      </c>
      <c r="G1130" s="43" t="str">
        <f>IFERROR(__xludf.DUMMYFUNCTION("""COMPUTED_VALUE"""),"Morocco")</f>
        <v>Morocco</v>
      </c>
      <c r="H1130" s="43" t="str">
        <f>IFERROR(__xludf.DUMMYFUNCTION("""COMPUTED_VALUE"""),"Morocco (MC)")</f>
        <v>Morocco (MC)</v>
      </c>
      <c r="I1130" s="43" t="str">
        <f>IFERROR(__xludf.DUMMYFUNCTION("""COMPUTED_VALUE"""),"Turkey")</f>
        <v>Turkey</v>
      </c>
      <c r="J1130" s="43" t="str">
        <f>IFERROR(__xludf.DUMMYFUNCTION("""COMPUTED_VALUE"""),"ISTANBUL WEST")</f>
        <v>ISTANBUL WEST</v>
      </c>
      <c r="K1130" s="44" t="str">
        <f>IFERROR(__xludf.DUMMYFUNCTION("""COMPUTED_VALUE"""),"https://expa.aiesec.org/opportunities/1287210")</f>
        <v>https://expa.aiesec.org/opportunities/1287210</v>
      </c>
      <c r="L1130" s="43" t="str">
        <f>IFERROR(__xludf.DUMMYFUNCTION("""COMPUTED_VALUE"""),"GV")</f>
        <v>GV</v>
      </c>
      <c r="M1130" s="43" t="str">
        <f>IFERROR(__xludf.DUMMYFUNCTION("""COMPUTED_VALUE"""),"short")</f>
        <v>short</v>
      </c>
      <c r="N1130" s="45">
        <f>IFERROR(__xludf.DUMMYFUNCTION("""COMPUTED_VALUE"""),45117.0)</f>
        <v>45117</v>
      </c>
      <c r="O1130" s="45">
        <f>IFERROR(__xludf.DUMMYFUNCTION("""COMPUTED_VALUE"""),45130.0)</f>
        <v>45130</v>
      </c>
      <c r="P1130" s="45">
        <f>IFERROR(__xludf.DUMMYFUNCTION("""COMPUTED_VALUE"""),45172.0)</f>
        <v>45172</v>
      </c>
      <c r="Q1130" s="45"/>
      <c r="R1130" s="45"/>
      <c r="S1130" s="43"/>
      <c r="T1130" s="43"/>
      <c r="U1130" s="43" t="str">
        <f>IFERROR(__xludf.DUMMYFUNCTION("""COMPUTED_VALUE"""),"Global Classroom")</f>
        <v>Global Classroom</v>
      </c>
      <c r="V1130" s="43" t="str">
        <f>IFERROR(__xludf.DUMMYFUNCTION("""COMPUTED_VALUE"""),"École nationale d'architecture Rabat (ENA)  ")</f>
        <v>École nationale d'architecture Rabat (ENA)  </v>
      </c>
      <c r="W1130" s="43" t="str">
        <f>IFERROR(__xludf.DUMMYFUNCTION("""COMPUTED_VALUE"""),"2022-11-15T21:41:07Z")</f>
        <v>2022-11-15T21:41:07Z</v>
      </c>
      <c r="X1130" s="43"/>
      <c r="Y1130" s="43"/>
      <c r="Z1130" s="43"/>
    </row>
    <row r="1131" hidden="1">
      <c r="A1131" s="43" t="str">
        <f>IFERROR(__xludf.DUMMYFUNCTION("""COMPUTED_VALUE"""),"4530311_1295572")</f>
        <v>4530311_1295572</v>
      </c>
      <c r="B1131" s="43" t="str">
        <f>IFERROR(__xludf.DUMMYFUNCTION("""COMPUTED_VALUE"""),"Rasika Gharpure")</f>
        <v>Rasika Gharpure</v>
      </c>
      <c r="C1131" s="43" t="str">
        <f>IFERROR(__xludf.DUMMYFUNCTION("""COMPUTED_VALUE"""),"completed")</f>
        <v>completed</v>
      </c>
      <c r="D1131" s="43" t="str">
        <f>IFERROR(__xludf.DUMMYFUNCTION("""COMPUTED_VALUE"""),"No")</f>
        <v>No</v>
      </c>
      <c r="E1131" s="43" t="str">
        <f>IFERROR(__xludf.DUMMYFUNCTION("""COMPUTED_VALUE"""),"p_5a82eafe47693091f8a294a96224711ab0b1fb79@inbound.aiesec.org")</f>
        <v>p_5a82eafe47693091f8a294a96224711ab0b1fb79@inbound.aiesec.org</v>
      </c>
      <c r="F1131" s="43">
        <f>IFERROR(__xludf.DUMMYFUNCTION("""COMPUTED_VALUE"""),9.765731171E9)</f>
        <v>9765731171</v>
      </c>
      <c r="G1131" s="43" t="str">
        <f>IFERROR(__xludf.DUMMYFUNCTION("""COMPUTED_VALUE"""),"India")</f>
        <v>India</v>
      </c>
      <c r="H1131" s="43" t="str">
        <f>IFERROR(__xludf.DUMMYFUNCTION("""COMPUTED_VALUE"""),"Pune")</f>
        <v>Pune</v>
      </c>
      <c r="I1131" s="43" t="str">
        <f>IFERROR(__xludf.DUMMYFUNCTION("""COMPUTED_VALUE"""),"Turkey")</f>
        <v>Turkey</v>
      </c>
      <c r="J1131" s="43" t="str">
        <f>IFERROR(__xludf.DUMMYFUNCTION("""COMPUTED_VALUE"""),"ESKISEHIR")</f>
        <v>ESKISEHIR</v>
      </c>
      <c r="K1131" s="44" t="str">
        <f>IFERROR(__xludf.DUMMYFUNCTION("""COMPUTED_VALUE"""),"https://expa.aiesec.org/opportunities/1295572")</f>
        <v>https://expa.aiesec.org/opportunities/1295572</v>
      </c>
      <c r="L1131" s="43" t="str">
        <f>IFERROR(__xludf.DUMMYFUNCTION("""COMPUTED_VALUE"""),"GV")</f>
        <v>GV</v>
      </c>
      <c r="M1131" s="43" t="str">
        <f>IFERROR(__xludf.DUMMYFUNCTION("""COMPUTED_VALUE"""),"short")</f>
        <v>short</v>
      </c>
      <c r="N1131" s="45">
        <f>IFERROR(__xludf.DUMMYFUNCTION("""COMPUTED_VALUE"""),45118.0)</f>
        <v>45118</v>
      </c>
      <c r="O1131" s="45">
        <f>IFERROR(__xludf.DUMMYFUNCTION("""COMPUTED_VALUE"""),45127.0)</f>
        <v>45127</v>
      </c>
      <c r="P1131" s="45">
        <f>IFERROR(__xludf.DUMMYFUNCTION("""COMPUTED_VALUE"""),45169.0)</f>
        <v>45169</v>
      </c>
      <c r="Q1131" s="45">
        <f>IFERROR(__xludf.DUMMYFUNCTION("""COMPUTED_VALUE"""),45126.0)</f>
        <v>45126</v>
      </c>
      <c r="R1131" s="45">
        <f>IFERROR(__xludf.DUMMYFUNCTION("""COMPUTED_VALUE"""),45169.0)</f>
        <v>45169</v>
      </c>
      <c r="S1131" s="43"/>
      <c r="T1131" s="43"/>
      <c r="U1131" s="43" t="str">
        <f>IFERROR(__xludf.DUMMYFUNCTION("""COMPUTED_VALUE"""),"Equify")</f>
        <v>Equify</v>
      </c>
      <c r="V1131" s="43" t="str">
        <f>IFERROR(__xludf.DUMMYFUNCTION("""COMPUTED_VALUE"""),"BMCC, Pune")</f>
        <v>BMCC, Pune</v>
      </c>
      <c r="W1131" s="43" t="str">
        <f>IFERROR(__xludf.DUMMYFUNCTION("""COMPUTED_VALUE"""),"2021-02-01T21:46:03Z")</f>
        <v>2021-02-01T21:46:03Z</v>
      </c>
      <c r="X1131" s="43"/>
      <c r="Y1131" s="43"/>
      <c r="Z1131" s="43"/>
    </row>
    <row r="1132" hidden="1">
      <c r="A1132" s="43" t="str">
        <f>IFERROR(__xludf.DUMMYFUNCTION("""COMPUTED_VALUE"""),"5284240_1288265")</f>
        <v>5284240_1288265</v>
      </c>
      <c r="B1132" s="43" t="str">
        <f>IFERROR(__xludf.DUMMYFUNCTION("""COMPUTED_VALUE"""),"hassen mosbeh")</f>
        <v>hassen mosbeh</v>
      </c>
      <c r="C1132" s="43" t="str">
        <f>IFERROR(__xludf.DUMMYFUNCTION("""COMPUTED_VALUE"""),"completed")</f>
        <v>completed</v>
      </c>
      <c r="D1132" s="43" t="str">
        <f>IFERROR(__xludf.DUMMYFUNCTION("""COMPUTED_VALUE"""),"No")</f>
        <v>No</v>
      </c>
      <c r="E1132" s="43" t="str">
        <f>IFERROR(__xludf.DUMMYFUNCTION("""COMPUTED_VALUE"""),"p_cfd8a0ced87708423370a778420a93b6c34c9249@inbound.aiesec.org")</f>
        <v>p_cfd8a0ced87708423370a778420a93b6c34c9249@inbound.aiesec.org</v>
      </c>
      <c r="F1132" s="43"/>
      <c r="G1132" s="43" t="str">
        <f>IFERROR(__xludf.DUMMYFUNCTION("""COMPUTED_VALUE"""),"Tunisia")</f>
        <v>Tunisia</v>
      </c>
      <c r="H1132" s="43" t="str">
        <f>IFERROR(__xludf.DUMMYFUNCTION("""COMPUTED_VALUE"""),"HADRUMET")</f>
        <v>HADRUMET</v>
      </c>
      <c r="I1132" s="43" t="str">
        <f>IFERROR(__xludf.DUMMYFUNCTION("""COMPUTED_VALUE"""),"Turkey")</f>
        <v>Turkey</v>
      </c>
      <c r="J1132" s="43" t="str">
        <f>IFERROR(__xludf.DUMMYFUNCTION("""COMPUTED_VALUE"""),"KOCAELI")</f>
        <v>KOCAELI</v>
      </c>
      <c r="K1132" s="44" t="str">
        <f>IFERROR(__xludf.DUMMYFUNCTION("""COMPUTED_VALUE"""),"https://expa.aiesec.org/opportunities/1288265")</f>
        <v>https://expa.aiesec.org/opportunities/1288265</v>
      </c>
      <c r="L1132" s="43" t="str">
        <f>IFERROR(__xludf.DUMMYFUNCTION("""COMPUTED_VALUE"""),"GV")</f>
        <v>GV</v>
      </c>
      <c r="M1132" s="43" t="str">
        <f>IFERROR(__xludf.DUMMYFUNCTION("""COMPUTED_VALUE"""),"short")</f>
        <v>short</v>
      </c>
      <c r="N1132" s="45">
        <f>IFERROR(__xludf.DUMMYFUNCTION("""COMPUTED_VALUE"""),45118.0)</f>
        <v>45118</v>
      </c>
      <c r="O1132" s="45">
        <f>IFERROR(__xludf.DUMMYFUNCTION("""COMPUTED_VALUE"""),45124.0)</f>
        <v>45124</v>
      </c>
      <c r="P1132" s="45">
        <f>IFERROR(__xludf.DUMMYFUNCTION("""COMPUTED_VALUE"""),45166.0)</f>
        <v>45166</v>
      </c>
      <c r="Q1132" s="45">
        <f>IFERROR(__xludf.DUMMYFUNCTION("""COMPUTED_VALUE"""),45118.0)</f>
        <v>45118</v>
      </c>
      <c r="R1132" s="45">
        <f>IFERROR(__xludf.DUMMYFUNCTION("""COMPUTED_VALUE"""),45166.0)</f>
        <v>45166</v>
      </c>
      <c r="S1132" s="43"/>
      <c r="T1132" s="43"/>
      <c r="U1132" s="43" t="str">
        <f>IFERROR(__xludf.DUMMYFUNCTION("""COMPUTED_VALUE"""),"Skill Up!")</f>
        <v>Skill Up!</v>
      </c>
      <c r="V1132" s="43" t="str">
        <f>IFERROR(__xludf.DUMMYFUNCTION("""COMPUTED_VALUE"""),"ISG Sousse")</f>
        <v>ISG Sousse</v>
      </c>
      <c r="W1132" s="43" t="str">
        <f>IFERROR(__xludf.DUMMYFUNCTION("""COMPUTED_VALUE"""),"2023-07-11T10:54:28Z")</f>
        <v>2023-07-11T10:54:28Z</v>
      </c>
      <c r="X1132" s="43"/>
      <c r="Y1132" s="43"/>
      <c r="Z1132" s="43"/>
    </row>
    <row r="1133" hidden="1">
      <c r="A1133" s="43" t="str">
        <f>IFERROR(__xludf.DUMMYFUNCTION("""COMPUTED_VALUE"""),"5283683_1295572")</f>
        <v>5283683_1295572</v>
      </c>
      <c r="B1133" s="43" t="str">
        <f>IFERROR(__xludf.DUMMYFUNCTION("""COMPUTED_VALUE"""),"Theona-Ioana Adomnoae")</f>
        <v>Theona-Ioana Adomnoae</v>
      </c>
      <c r="C1133" s="43" t="str">
        <f>IFERROR(__xludf.DUMMYFUNCTION("""COMPUTED_VALUE"""),"realization_broken")</f>
        <v>realization_broken</v>
      </c>
      <c r="D1133" s="43" t="str">
        <f>IFERROR(__xludf.DUMMYFUNCTION("""COMPUTED_VALUE"""),"No")</f>
        <v>No</v>
      </c>
      <c r="E1133" s="43" t="str">
        <f>IFERROR(__xludf.DUMMYFUNCTION("""COMPUTED_VALUE"""),"p_9afb30e8917cb6459f6b543d6005b408082c0fe7@inbound.aiesec.org")</f>
        <v>p_9afb30e8917cb6459f6b543d6005b408082c0fe7@inbound.aiesec.org</v>
      </c>
      <c r="F1133" s="43">
        <f>IFERROR(__xludf.DUMMYFUNCTION("""COMPUTED_VALUE"""),7.49416811E8)</f>
        <v>749416811</v>
      </c>
      <c r="G1133" s="43" t="str">
        <f>IFERROR(__xludf.DUMMYFUNCTION("""COMPUTED_VALUE"""),"Romania")</f>
        <v>Romania</v>
      </c>
      <c r="H1133" s="43" t="str">
        <f>IFERROR(__xludf.DUMMYFUNCTION("""COMPUTED_VALUE"""),"Cluj-Napoca")</f>
        <v>Cluj-Napoca</v>
      </c>
      <c r="I1133" s="43" t="str">
        <f>IFERROR(__xludf.DUMMYFUNCTION("""COMPUTED_VALUE"""),"Turkey")</f>
        <v>Turkey</v>
      </c>
      <c r="J1133" s="43" t="str">
        <f>IFERROR(__xludf.DUMMYFUNCTION("""COMPUTED_VALUE"""),"ESKISEHIR")</f>
        <v>ESKISEHIR</v>
      </c>
      <c r="K1133" s="44" t="str">
        <f>IFERROR(__xludf.DUMMYFUNCTION("""COMPUTED_VALUE"""),"https://expa.aiesec.org/opportunities/1295572")</f>
        <v>https://expa.aiesec.org/opportunities/1295572</v>
      </c>
      <c r="L1133" s="43" t="str">
        <f>IFERROR(__xludf.DUMMYFUNCTION("""COMPUTED_VALUE"""),"GV")</f>
        <v>GV</v>
      </c>
      <c r="M1133" s="43" t="str">
        <f>IFERROR(__xludf.DUMMYFUNCTION("""COMPUTED_VALUE"""),"short")</f>
        <v>short</v>
      </c>
      <c r="N1133" s="45">
        <f>IFERROR(__xludf.DUMMYFUNCTION("""COMPUTED_VALUE"""),45118.0)</f>
        <v>45118</v>
      </c>
      <c r="O1133" s="45">
        <f>IFERROR(__xludf.DUMMYFUNCTION("""COMPUTED_VALUE"""),45127.0)</f>
        <v>45127</v>
      </c>
      <c r="P1133" s="45">
        <f>IFERROR(__xludf.DUMMYFUNCTION("""COMPUTED_VALUE"""),45169.0)</f>
        <v>45169</v>
      </c>
      <c r="Q1133" s="45"/>
      <c r="R1133" s="45"/>
      <c r="S1133" s="43"/>
      <c r="T1133" s="43"/>
      <c r="U1133" s="43" t="str">
        <f>IFERROR(__xludf.DUMMYFUNCTION("""COMPUTED_VALUE"""),"Equify")</f>
        <v>Equify</v>
      </c>
      <c r="V1133" s="43" t="str">
        <f>IFERROR(__xludf.DUMMYFUNCTION("""COMPUTED_VALUE"""),"Cluj-Napoca")</f>
        <v>Cluj-Napoca</v>
      </c>
      <c r="W1133" s="43" t="str">
        <f>IFERROR(__xludf.DUMMYFUNCTION("""COMPUTED_VALUE"""),"2023-07-09T18:19:54Z")</f>
        <v>2023-07-09T18:19:54Z</v>
      </c>
      <c r="X1133" s="43"/>
      <c r="Y1133" s="43"/>
      <c r="Z1133" s="43"/>
    </row>
    <row r="1134" hidden="1">
      <c r="A1134" s="43" t="str">
        <f>IFERROR(__xludf.DUMMYFUNCTION("""COMPUTED_VALUE"""),"2036557_1296671")</f>
        <v>2036557_1296671</v>
      </c>
      <c r="B1134" s="43" t="str">
        <f>IFERROR(__xludf.DUMMYFUNCTION("""COMPUTED_VALUE"""),"Khaled Walid")</f>
        <v>Khaled Walid</v>
      </c>
      <c r="C1134" s="43" t="str">
        <f>IFERROR(__xludf.DUMMYFUNCTION("""COMPUTED_VALUE"""),"approved")</f>
        <v>approved</v>
      </c>
      <c r="D1134" s="43" t="str">
        <f>IFERROR(__xludf.DUMMYFUNCTION("""COMPUTED_VALUE"""),"No")</f>
        <v>No</v>
      </c>
      <c r="E1134" s="43" t="str">
        <f>IFERROR(__xludf.DUMMYFUNCTION("""COMPUTED_VALUE"""),"p_634bef64a75c4fbbc64230b004b8195a2d4f8481@inbound.aiesec.org")</f>
        <v>p_634bef64a75c4fbbc64230b004b8195a2d4f8481@inbound.aiesec.org</v>
      </c>
      <c r="F1134" s="43">
        <f>IFERROR(__xludf.DUMMYFUNCTION("""COMPUTED_VALUE"""),1.033552008E9)</f>
        <v>1033552008</v>
      </c>
      <c r="G1134" s="43" t="str">
        <f>IFERROR(__xludf.DUMMYFUNCTION("""COMPUTED_VALUE"""),"Egypt")</f>
        <v>Egypt</v>
      </c>
      <c r="H1134" s="43" t="str">
        <f>IFERROR(__xludf.DUMMYFUNCTION("""COMPUTED_VALUE"""),"Cairo University")</f>
        <v>Cairo University</v>
      </c>
      <c r="I1134" s="43" t="str">
        <f>IFERROR(__xludf.DUMMYFUNCTION("""COMPUTED_VALUE"""),"Turkey")</f>
        <v>Turkey</v>
      </c>
      <c r="J1134" s="43" t="str">
        <f>IFERROR(__xludf.DUMMYFUNCTION("""COMPUTED_VALUE"""),"BURSA")</f>
        <v>BURSA</v>
      </c>
      <c r="K1134" s="44" t="str">
        <f>IFERROR(__xludf.DUMMYFUNCTION("""COMPUTED_VALUE"""),"https://expa.aiesec.org/opportunities/1296671")</f>
        <v>https://expa.aiesec.org/opportunities/1296671</v>
      </c>
      <c r="L1134" s="43" t="str">
        <f>IFERROR(__xludf.DUMMYFUNCTION("""COMPUTED_VALUE"""),"GV")</f>
        <v>GV</v>
      </c>
      <c r="M1134" s="43" t="str">
        <f>IFERROR(__xludf.DUMMYFUNCTION("""COMPUTED_VALUE"""),"short")</f>
        <v>short</v>
      </c>
      <c r="N1134" s="45">
        <f>IFERROR(__xludf.DUMMYFUNCTION("""COMPUTED_VALUE"""),45118.0)</f>
        <v>45118</v>
      </c>
      <c r="O1134" s="45">
        <f>IFERROR(__xludf.DUMMYFUNCTION("""COMPUTED_VALUE"""),45152.0)</f>
        <v>45152</v>
      </c>
      <c r="P1134" s="45">
        <f>IFERROR(__xludf.DUMMYFUNCTION("""COMPUTED_VALUE"""),45194.0)</f>
        <v>45194</v>
      </c>
      <c r="Q1134" s="45"/>
      <c r="R1134" s="45"/>
      <c r="S1134" s="43"/>
      <c r="T1134" s="43"/>
      <c r="U1134" s="43" t="str">
        <f>IFERROR(__xludf.DUMMYFUNCTION("""COMPUTED_VALUE"""),"Youth 4 Impact")</f>
        <v>Youth 4 Impact</v>
      </c>
      <c r="V1134" s="43" t="str">
        <f>IFERROR(__xludf.DUMMYFUNCTION("""COMPUTED_VALUE"""),"-")</f>
        <v>-</v>
      </c>
      <c r="W1134" s="43" t="str">
        <f>IFERROR(__xludf.DUMMYFUNCTION("""COMPUTED_VALUE"""),"2018-02-15T17:10:14Z")</f>
        <v>2018-02-15T17:10:14Z</v>
      </c>
      <c r="X1134" s="43"/>
      <c r="Y1134" s="43"/>
      <c r="Z1134" s="43"/>
    </row>
    <row r="1135" hidden="1">
      <c r="A1135" s="43" t="str">
        <f>IFERROR(__xludf.DUMMYFUNCTION("""COMPUTED_VALUE"""),"5267467_1281010")</f>
        <v>5267467_1281010</v>
      </c>
      <c r="B1135" s="43" t="str">
        <f>IFERROR(__xludf.DUMMYFUNCTION("""COMPUTED_VALUE"""),"Philipp Wert")</f>
        <v>Philipp Wert</v>
      </c>
      <c r="C1135" s="43" t="str">
        <f>IFERROR(__xludf.DUMMYFUNCTION("""COMPUTED_VALUE"""),"completed")</f>
        <v>completed</v>
      </c>
      <c r="D1135" s="43" t="str">
        <f>IFERROR(__xludf.DUMMYFUNCTION("""COMPUTED_VALUE"""),"No")</f>
        <v>No</v>
      </c>
      <c r="E1135" s="43" t="str">
        <f>IFERROR(__xludf.DUMMYFUNCTION("""COMPUTED_VALUE"""),"p_3b13ccb98d9c7edbaf9052248f919a28ba6bb489@inbound.aiesec.org")</f>
        <v>p_3b13ccb98d9c7edbaf9052248f919a28ba6bb489@inbound.aiesec.org</v>
      </c>
      <c r="F1135" s="43">
        <f>IFERROR(__xludf.DUMMYFUNCTION("""COMPUTED_VALUE"""),1.735201354E9)</f>
        <v>1735201354</v>
      </c>
      <c r="G1135" s="43" t="str">
        <f>IFERROR(__xludf.DUMMYFUNCTION("""COMPUTED_VALUE"""),"Germany")</f>
        <v>Germany</v>
      </c>
      <c r="H1135" s="43" t="str">
        <f>IFERROR(__xludf.DUMMYFUNCTION("""COMPUTED_VALUE"""),"PASSAU")</f>
        <v>PASSAU</v>
      </c>
      <c r="I1135" s="43" t="str">
        <f>IFERROR(__xludf.DUMMYFUNCTION("""COMPUTED_VALUE"""),"Turkey")</f>
        <v>Turkey</v>
      </c>
      <c r="J1135" s="43" t="str">
        <f>IFERROR(__xludf.DUMMYFUNCTION("""COMPUTED_VALUE"""),"KOCAELI")</f>
        <v>KOCAELI</v>
      </c>
      <c r="K1135" s="44" t="str">
        <f>IFERROR(__xludf.DUMMYFUNCTION("""COMPUTED_VALUE"""),"https://expa.aiesec.org/opportunities/1281010")</f>
        <v>https://expa.aiesec.org/opportunities/1281010</v>
      </c>
      <c r="L1135" s="43" t="str">
        <f>IFERROR(__xludf.DUMMYFUNCTION("""COMPUTED_VALUE"""),"GV")</f>
        <v>GV</v>
      </c>
      <c r="M1135" s="43" t="str">
        <f>IFERROR(__xludf.DUMMYFUNCTION("""COMPUTED_VALUE"""),"short")</f>
        <v>short</v>
      </c>
      <c r="N1135" s="45">
        <f>IFERROR(__xludf.DUMMYFUNCTION("""COMPUTED_VALUE"""),45118.0)</f>
        <v>45118</v>
      </c>
      <c r="O1135" s="45">
        <f>IFERROR(__xludf.DUMMYFUNCTION("""COMPUTED_VALUE"""),45125.0)</f>
        <v>45125</v>
      </c>
      <c r="P1135" s="45">
        <f>IFERROR(__xludf.DUMMYFUNCTION("""COMPUTED_VALUE"""),45167.0)</f>
        <v>45167</v>
      </c>
      <c r="Q1135" s="45">
        <f>IFERROR(__xludf.DUMMYFUNCTION("""COMPUTED_VALUE"""),45124.0)</f>
        <v>45124</v>
      </c>
      <c r="R1135" s="45">
        <f>IFERROR(__xludf.DUMMYFUNCTION("""COMPUTED_VALUE"""),45167.0)</f>
        <v>45167</v>
      </c>
      <c r="S1135" s="43"/>
      <c r="T1135" s="43"/>
      <c r="U1135" s="43" t="str">
        <f>IFERROR(__xludf.DUMMYFUNCTION("""COMPUTED_VALUE"""),"Global Classroom")</f>
        <v>Global Classroom</v>
      </c>
      <c r="V1135" s="43" t="str">
        <f>IFERROR(__xludf.DUMMYFUNCTION("""COMPUTED_VALUE"""),"Passau")</f>
        <v>Passau</v>
      </c>
      <c r="W1135" s="43" t="str">
        <f>IFERROR(__xludf.DUMMYFUNCTION("""COMPUTED_VALUE"""),"2023-05-27T11:31:12Z")</f>
        <v>2023-05-27T11:31:12Z</v>
      </c>
      <c r="X1135" s="43"/>
      <c r="Y1135" s="43"/>
      <c r="Z1135" s="43"/>
    </row>
    <row r="1136" hidden="1">
      <c r="A1136" s="43" t="str">
        <f>IFERROR(__xludf.DUMMYFUNCTION("""COMPUTED_VALUE"""),"5278532_1294068")</f>
        <v>5278532_1294068</v>
      </c>
      <c r="B1136" s="43" t="str">
        <f>IFERROR(__xludf.DUMMYFUNCTION("""COMPUTED_VALUE"""),"zeineb belghith")</f>
        <v>zeineb belghith</v>
      </c>
      <c r="C1136" s="43" t="str">
        <f>IFERROR(__xludf.DUMMYFUNCTION("""COMPUTED_VALUE"""),"completed")</f>
        <v>completed</v>
      </c>
      <c r="D1136" s="43" t="str">
        <f>IFERROR(__xludf.DUMMYFUNCTION("""COMPUTED_VALUE"""),"No")</f>
        <v>No</v>
      </c>
      <c r="E1136" s="43" t="str">
        <f>IFERROR(__xludf.DUMMYFUNCTION("""COMPUTED_VALUE"""),"p_77dbec02770474fb1d4feaa7e94c9dc439d607f6@inbound.aiesec.org")</f>
        <v>p_77dbec02770474fb1d4feaa7e94c9dc439d607f6@inbound.aiesec.org</v>
      </c>
      <c r="F1136" s="43"/>
      <c r="G1136" s="43" t="str">
        <f>IFERROR(__xludf.DUMMYFUNCTION("""COMPUTED_VALUE"""),"Tunisia")</f>
        <v>Tunisia</v>
      </c>
      <c r="H1136" s="43" t="str">
        <f>IFERROR(__xludf.DUMMYFUNCTION("""COMPUTED_VALUE"""),"NABEL")</f>
        <v>NABEL</v>
      </c>
      <c r="I1136" s="43" t="str">
        <f>IFERROR(__xludf.DUMMYFUNCTION("""COMPUTED_VALUE"""),"Turkey")</f>
        <v>Turkey</v>
      </c>
      <c r="J1136" s="43" t="str">
        <f>IFERROR(__xludf.DUMMYFUNCTION("""COMPUTED_VALUE"""),"DENIZLI")</f>
        <v>DENIZLI</v>
      </c>
      <c r="K1136" s="44" t="str">
        <f>IFERROR(__xludf.DUMMYFUNCTION("""COMPUTED_VALUE"""),"https://expa.aiesec.org/opportunities/1294068")</f>
        <v>https://expa.aiesec.org/opportunities/1294068</v>
      </c>
      <c r="L1136" s="43" t="str">
        <f>IFERROR(__xludf.DUMMYFUNCTION("""COMPUTED_VALUE"""),"GV")</f>
        <v>GV</v>
      </c>
      <c r="M1136" s="43" t="str">
        <f>IFERROR(__xludf.DUMMYFUNCTION("""COMPUTED_VALUE"""),"short")</f>
        <v>short</v>
      </c>
      <c r="N1136" s="45">
        <f>IFERROR(__xludf.DUMMYFUNCTION("""COMPUTED_VALUE"""),45118.0)</f>
        <v>45118</v>
      </c>
      <c r="O1136" s="45">
        <f>IFERROR(__xludf.DUMMYFUNCTION("""COMPUTED_VALUE"""),45124.0)</f>
        <v>45124</v>
      </c>
      <c r="P1136" s="45">
        <f>IFERROR(__xludf.DUMMYFUNCTION("""COMPUTED_VALUE"""),45166.0)</f>
        <v>45166</v>
      </c>
      <c r="Q1136" s="45">
        <f>IFERROR(__xludf.DUMMYFUNCTION("""COMPUTED_VALUE"""),45124.0)</f>
        <v>45124</v>
      </c>
      <c r="R1136" s="45">
        <f>IFERROR(__xludf.DUMMYFUNCTION("""COMPUTED_VALUE"""),45166.0)</f>
        <v>45166</v>
      </c>
      <c r="S1136" s="43"/>
      <c r="T1136" s="43"/>
      <c r="U1136" s="43" t="str">
        <f>IFERROR(__xludf.DUMMYFUNCTION("""COMPUTED_VALUE"""),"Equify")</f>
        <v>Equify</v>
      </c>
      <c r="V1136" s="43" t="str">
        <f>IFERROR(__xludf.DUMMYFUNCTION("""COMPUTED_VALUE"""),"-")</f>
        <v>-</v>
      </c>
      <c r="W1136" s="43" t="str">
        <f>IFERROR(__xludf.DUMMYFUNCTION("""COMPUTED_VALUE"""),"2023-06-23T00:35:50Z")</f>
        <v>2023-06-23T00:35:50Z</v>
      </c>
      <c r="X1136" s="43"/>
      <c r="Y1136" s="43"/>
      <c r="Z1136" s="43"/>
    </row>
    <row r="1137" hidden="1">
      <c r="A1137" s="43" t="str">
        <f>IFERROR(__xludf.DUMMYFUNCTION("""COMPUTED_VALUE"""),"5272341_1296103")</f>
        <v>5272341_1296103</v>
      </c>
      <c r="B1137" s="43" t="str">
        <f>IFERROR(__xludf.DUMMYFUNCTION("""COMPUTED_VALUE"""),"Ibrahim Arhoun")</f>
        <v>Ibrahim Arhoun</v>
      </c>
      <c r="C1137" s="43" t="str">
        <f>IFERROR(__xludf.DUMMYFUNCTION("""COMPUTED_VALUE"""),"approved")</f>
        <v>approved</v>
      </c>
      <c r="D1137" s="43" t="str">
        <f>IFERROR(__xludf.DUMMYFUNCTION("""COMPUTED_VALUE"""),"No")</f>
        <v>No</v>
      </c>
      <c r="E1137" s="43" t="str">
        <f>IFERROR(__xludf.DUMMYFUNCTION("""COMPUTED_VALUE"""),"p_77641e1ed625a3694956ea0920bc593d614b35af@inbound.aiesec.org")</f>
        <v>p_77641e1ed625a3694956ea0920bc593d614b35af@inbound.aiesec.org</v>
      </c>
      <c r="F1137" s="43">
        <f>IFERROR(__xludf.DUMMYFUNCTION("""COMPUTED_VALUE"""),6.40179292E8)</f>
        <v>640179292</v>
      </c>
      <c r="G1137" s="43" t="str">
        <f>IFERROR(__xludf.DUMMYFUNCTION("""COMPUTED_VALUE"""),"Morocco")</f>
        <v>Morocco</v>
      </c>
      <c r="H1137" s="43" t="str">
        <f>IFERROR(__xludf.DUMMYFUNCTION("""COMPUTED_VALUE"""),"Tangier")</f>
        <v>Tangier</v>
      </c>
      <c r="I1137" s="43" t="str">
        <f>IFERROR(__xludf.DUMMYFUNCTION("""COMPUTED_VALUE"""),"Turkey")</f>
        <v>Turkey</v>
      </c>
      <c r="J1137" s="43" t="str">
        <f>IFERROR(__xludf.DUMMYFUNCTION("""COMPUTED_VALUE"""),"ANKARA")</f>
        <v>ANKARA</v>
      </c>
      <c r="K1137" s="44" t="str">
        <f>IFERROR(__xludf.DUMMYFUNCTION("""COMPUTED_VALUE"""),"https://expa.aiesec.org/opportunities/1296103")</f>
        <v>https://expa.aiesec.org/opportunities/1296103</v>
      </c>
      <c r="L1137" s="43" t="str">
        <f>IFERROR(__xludf.DUMMYFUNCTION("""COMPUTED_VALUE"""),"GV")</f>
        <v>GV</v>
      </c>
      <c r="M1137" s="43" t="str">
        <f>IFERROR(__xludf.DUMMYFUNCTION("""COMPUTED_VALUE"""),"short")</f>
        <v>short</v>
      </c>
      <c r="N1137" s="45">
        <f>IFERROR(__xludf.DUMMYFUNCTION("""COMPUTED_VALUE"""),45119.0)</f>
        <v>45119</v>
      </c>
      <c r="O1137" s="45">
        <f>IFERROR(__xludf.DUMMYFUNCTION("""COMPUTED_VALUE"""),45418.0)</f>
        <v>45418</v>
      </c>
      <c r="P1137" s="45">
        <f>IFERROR(__xludf.DUMMYFUNCTION("""COMPUTED_VALUE"""),45460.0)</f>
        <v>45460</v>
      </c>
      <c r="Q1137" s="45"/>
      <c r="R1137" s="45"/>
      <c r="S1137" s="43"/>
      <c r="T1137" s="43"/>
      <c r="U1137" s="43" t="str">
        <f>IFERROR(__xludf.DUMMYFUNCTION("""COMPUTED_VALUE"""),"Green Leaders")</f>
        <v>Green Leaders</v>
      </c>
      <c r="V1137" s="43" t="str">
        <f>IFERROR(__xludf.DUMMYFUNCTION("""COMPUTED_VALUE"""),"FSJES Tanger")</f>
        <v>FSJES Tanger</v>
      </c>
      <c r="W1137" s="43" t="str">
        <f>IFERROR(__xludf.DUMMYFUNCTION("""COMPUTED_VALUE"""),"2023-06-07T09:26:31Z")</f>
        <v>2023-06-07T09:26:31Z</v>
      </c>
      <c r="X1137" s="43"/>
      <c r="Y1137" s="43"/>
      <c r="Z1137" s="43"/>
    </row>
    <row r="1138" hidden="1">
      <c r="A1138" s="43" t="str">
        <f>IFERROR(__xludf.DUMMYFUNCTION("""COMPUTED_VALUE"""),"5257026_1288490")</f>
        <v>5257026_1288490</v>
      </c>
      <c r="B1138" s="43" t="str">
        <f>IFERROR(__xludf.DUMMYFUNCTION("""COMPUTED_VALUE"""),"Somaya Rashad")</f>
        <v>Somaya Rashad</v>
      </c>
      <c r="C1138" s="43" t="str">
        <f>IFERROR(__xludf.DUMMYFUNCTION("""COMPUTED_VALUE"""),"completed")</f>
        <v>completed</v>
      </c>
      <c r="D1138" s="43" t="str">
        <f>IFERROR(__xludf.DUMMYFUNCTION("""COMPUTED_VALUE"""),"No")</f>
        <v>No</v>
      </c>
      <c r="E1138" s="43" t="str">
        <f>IFERROR(__xludf.DUMMYFUNCTION("""COMPUTED_VALUE"""),"p_7dfcda8a7267d1fe6bbbd4cc43e4587ff74e3bc8@inbound.aiesec.org")</f>
        <v>p_7dfcda8a7267d1fe6bbbd4cc43e4587ff74e3bc8@inbound.aiesec.org</v>
      </c>
      <c r="F1138" s="43">
        <f>IFERROR(__xludf.DUMMYFUNCTION("""COMPUTED_VALUE"""),1.143337027E9)</f>
        <v>1143337027</v>
      </c>
      <c r="G1138" s="43" t="str">
        <f>IFERROR(__xludf.DUMMYFUNCTION("""COMPUTED_VALUE"""),"Egypt")</f>
        <v>Egypt</v>
      </c>
      <c r="H1138" s="43" t="str">
        <f>IFERROR(__xludf.DUMMYFUNCTION("""COMPUTED_VALUE"""),"Cairo University")</f>
        <v>Cairo University</v>
      </c>
      <c r="I1138" s="43" t="str">
        <f>IFERROR(__xludf.DUMMYFUNCTION("""COMPUTED_VALUE"""),"Turkey")</f>
        <v>Turkey</v>
      </c>
      <c r="J1138" s="43" t="str">
        <f>IFERROR(__xludf.DUMMYFUNCTION("""COMPUTED_VALUE"""),"ISPARTA")</f>
        <v>ISPARTA</v>
      </c>
      <c r="K1138" s="44" t="str">
        <f>IFERROR(__xludf.DUMMYFUNCTION("""COMPUTED_VALUE"""),"https://expa.aiesec.org/opportunities/1288490")</f>
        <v>https://expa.aiesec.org/opportunities/1288490</v>
      </c>
      <c r="L1138" s="43" t="str">
        <f>IFERROR(__xludf.DUMMYFUNCTION("""COMPUTED_VALUE"""),"GV")</f>
        <v>GV</v>
      </c>
      <c r="M1138" s="43" t="str">
        <f>IFERROR(__xludf.DUMMYFUNCTION("""COMPUTED_VALUE"""),"short")</f>
        <v>short</v>
      </c>
      <c r="N1138" s="45">
        <f>IFERROR(__xludf.DUMMYFUNCTION("""COMPUTED_VALUE"""),45119.0)</f>
        <v>45119</v>
      </c>
      <c r="O1138" s="45">
        <f>IFERROR(__xludf.DUMMYFUNCTION("""COMPUTED_VALUE"""),45141.0)</f>
        <v>45141</v>
      </c>
      <c r="P1138" s="45">
        <f>IFERROR(__xludf.DUMMYFUNCTION("""COMPUTED_VALUE"""),45183.0)</f>
        <v>45183</v>
      </c>
      <c r="Q1138" s="45">
        <f>IFERROR(__xludf.DUMMYFUNCTION("""COMPUTED_VALUE"""),45154.0)</f>
        <v>45154</v>
      </c>
      <c r="R1138" s="45">
        <f>IFERROR(__xludf.DUMMYFUNCTION("""COMPUTED_VALUE"""),45196.0)</f>
        <v>45196</v>
      </c>
      <c r="S1138" s="43"/>
      <c r="T1138" s="43"/>
      <c r="U1138" s="43" t="str">
        <f>IFERROR(__xludf.DUMMYFUNCTION("""COMPUTED_VALUE"""),"Global Classroom")</f>
        <v>Global Classroom</v>
      </c>
      <c r="V1138" s="43" t="str">
        <f>IFERROR(__xludf.DUMMYFUNCTION("""COMPUTED_VALUE"""),"Cairo Univeristy")</f>
        <v>Cairo Univeristy</v>
      </c>
      <c r="W1138" s="43" t="str">
        <f>IFERROR(__xludf.DUMMYFUNCTION("""COMPUTED_VALUE"""),"2023-05-07T06:58:43Z")</f>
        <v>2023-05-07T06:58:43Z</v>
      </c>
      <c r="X1138" s="43"/>
      <c r="Y1138" s="43"/>
      <c r="Z1138" s="43"/>
    </row>
    <row r="1139" hidden="1">
      <c r="A1139" s="43" t="str">
        <f>IFERROR(__xludf.DUMMYFUNCTION("""COMPUTED_VALUE"""),"5283868_1289505")</f>
        <v>5283868_1289505</v>
      </c>
      <c r="B1139" s="43" t="str">
        <f>IFERROR(__xludf.DUMMYFUNCTION("""COMPUTED_VALUE"""),"Natsu Yamashita")</f>
        <v>Natsu Yamashita</v>
      </c>
      <c r="C1139" s="43" t="str">
        <f>IFERROR(__xludf.DUMMYFUNCTION("""COMPUTED_VALUE"""),"completed")</f>
        <v>completed</v>
      </c>
      <c r="D1139" s="43" t="str">
        <f>IFERROR(__xludf.DUMMYFUNCTION("""COMPUTED_VALUE"""),"No")</f>
        <v>No</v>
      </c>
      <c r="E1139" s="43" t="str">
        <f>IFERROR(__xludf.DUMMYFUNCTION("""COMPUTED_VALUE"""),"p_7c79c8c4915273d2b9420e0e98d397b6a897e053@inbound.aiesec.org")</f>
        <v>p_7c79c8c4915273d2b9420e0e98d397b6a897e053@inbound.aiesec.org</v>
      </c>
      <c r="F1139" s="43"/>
      <c r="G1139" s="43" t="str">
        <f>IFERROR(__xludf.DUMMYFUNCTION("""COMPUTED_VALUE"""),"Japan")</f>
        <v>Japan</v>
      </c>
      <c r="H1139" s="43" t="str">
        <f>IFERROR(__xludf.DUMMYFUNCTION("""COMPUTED_VALUE"""),"HIROSHIMA")</f>
        <v>HIROSHIMA</v>
      </c>
      <c r="I1139" s="43" t="str">
        <f>IFERROR(__xludf.DUMMYFUNCTION("""COMPUTED_VALUE"""),"Turkey")</f>
        <v>Turkey</v>
      </c>
      <c r="J1139" s="43" t="str">
        <f>IFERROR(__xludf.DUMMYFUNCTION("""COMPUTED_VALUE"""),"KOCAELI")</f>
        <v>KOCAELI</v>
      </c>
      <c r="K1139" s="44" t="str">
        <f>IFERROR(__xludf.DUMMYFUNCTION("""COMPUTED_VALUE"""),"https://expa.aiesec.org/opportunities/1289505")</f>
        <v>https://expa.aiesec.org/opportunities/1289505</v>
      </c>
      <c r="L1139" s="43" t="str">
        <f>IFERROR(__xludf.DUMMYFUNCTION("""COMPUTED_VALUE"""),"GV")</f>
        <v>GV</v>
      </c>
      <c r="M1139" s="43" t="str">
        <f>IFERROR(__xludf.DUMMYFUNCTION("""COMPUTED_VALUE"""),"short")</f>
        <v>short</v>
      </c>
      <c r="N1139" s="45">
        <f>IFERROR(__xludf.DUMMYFUNCTION("""COMPUTED_VALUE"""),45119.0)</f>
        <v>45119</v>
      </c>
      <c r="O1139" s="45">
        <f>IFERROR(__xludf.DUMMYFUNCTION("""COMPUTED_VALUE"""),45159.0)</f>
        <v>45159</v>
      </c>
      <c r="P1139" s="45">
        <f>IFERROR(__xludf.DUMMYFUNCTION("""COMPUTED_VALUE"""),45201.0)</f>
        <v>45201</v>
      </c>
      <c r="Q1139" s="45">
        <f>IFERROR(__xludf.DUMMYFUNCTION("""COMPUTED_VALUE"""),45156.0)</f>
        <v>45156</v>
      </c>
      <c r="R1139" s="45">
        <f>IFERROR(__xludf.DUMMYFUNCTION("""COMPUTED_VALUE"""),45201.0)</f>
        <v>45201</v>
      </c>
      <c r="S1139" s="43"/>
      <c r="T1139" s="43"/>
      <c r="U1139" s="43" t="str">
        <f>IFERROR(__xludf.DUMMYFUNCTION("""COMPUTED_VALUE"""),"Youth 4 Impact")</f>
        <v>Youth 4 Impact</v>
      </c>
      <c r="V1139" s="43" t="str">
        <f>IFERROR(__xludf.DUMMYFUNCTION("""COMPUTED_VALUE"""),"-")</f>
        <v>-</v>
      </c>
      <c r="W1139" s="43" t="str">
        <f>IFERROR(__xludf.DUMMYFUNCTION("""COMPUTED_VALUE"""),"2023-07-10T12:16:44Z")</f>
        <v>2023-07-10T12:16:44Z</v>
      </c>
      <c r="X1139" s="43"/>
      <c r="Y1139" s="43"/>
      <c r="Z1139" s="43"/>
    </row>
    <row r="1140" hidden="1">
      <c r="A1140" s="43" t="str">
        <f>IFERROR(__xludf.DUMMYFUNCTION("""COMPUTED_VALUE"""),"5280954_1288490")</f>
        <v>5280954_1288490</v>
      </c>
      <c r="B1140" s="43" t="str">
        <f>IFERROR(__xludf.DUMMYFUNCTION("""COMPUTED_VALUE"""),"Yomna Mohammed")</f>
        <v>Yomna Mohammed</v>
      </c>
      <c r="C1140" s="43" t="str">
        <f>IFERROR(__xludf.DUMMYFUNCTION("""COMPUTED_VALUE"""),"completed")</f>
        <v>completed</v>
      </c>
      <c r="D1140" s="43" t="str">
        <f>IFERROR(__xludf.DUMMYFUNCTION("""COMPUTED_VALUE"""),"No")</f>
        <v>No</v>
      </c>
      <c r="E1140" s="43" t="str">
        <f>IFERROR(__xludf.DUMMYFUNCTION("""COMPUTED_VALUE"""),"p_4d2da6d8af04d25c3da499bc9f8b0770e0968a71@inbound.aiesec.org")</f>
        <v>p_4d2da6d8af04d25c3da499bc9f8b0770e0968a71@inbound.aiesec.org</v>
      </c>
      <c r="F1140" s="43">
        <f>IFERROR(__xludf.DUMMYFUNCTION("""COMPUTED_VALUE"""),1.030038165E9)</f>
        <v>1030038165</v>
      </c>
      <c r="G1140" s="43" t="str">
        <f>IFERROR(__xludf.DUMMYFUNCTION("""COMPUTED_VALUE"""),"Egypt")</f>
        <v>Egypt</v>
      </c>
      <c r="H1140" s="43" t="str">
        <f>IFERROR(__xludf.DUMMYFUNCTION("""COMPUTED_VALUE"""),"Cairo University")</f>
        <v>Cairo University</v>
      </c>
      <c r="I1140" s="43" t="str">
        <f>IFERROR(__xludf.DUMMYFUNCTION("""COMPUTED_VALUE"""),"Turkey")</f>
        <v>Turkey</v>
      </c>
      <c r="J1140" s="43" t="str">
        <f>IFERROR(__xludf.DUMMYFUNCTION("""COMPUTED_VALUE"""),"ISPARTA")</f>
        <v>ISPARTA</v>
      </c>
      <c r="K1140" s="44" t="str">
        <f>IFERROR(__xludf.DUMMYFUNCTION("""COMPUTED_VALUE"""),"https://expa.aiesec.org/opportunities/1288490")</f>
        <v>https://expa.aiesec.org/opportunities/1288490</v>
      </c>
      <c r="L1140" s="43" t="str">
        <f>IFERROR(__xludf.DUMMYFUNCTION("""COMPUTED_VALUE"""),"GV")</f>
        <v>GV</v>
      </c>
      <c r="M1140" s="43" t="str">
        <f>IFERROR(__xludf.DUMMYFUNCTION("""COMPUTED_VALUE"""),"short")</f>
        <v>short</v>
      </c>
      <c r="N1140" s="45">
        <f>IFERROR(__xludf.DUMMYFUNCTION("""COMPUTED_VALUE"""),45119.0)</f>
        <v>45119</v>
      </c>
      <c r="O1140" s="45">
        <f>IFERROR(__xludf.DUMMYFUNCTION("""COMPUTED_VALUE"""),45141.0)</f>
        <v>45141</v>
      </c>
      <c r="P1140" s="45">
        <f>IFERROR(__xludf.DUMMYFUNCTION("""COMPUTED_VALUE"""),45183.0)</f>
        <v>45183</v>
      </c>
      <c r="Q1140" s="45">
        <f>IFERROR(__xludf.DUMMYFUNCTION("""COMPUTED_VALUE"""),45154.0)</f>
        <v>45154</v>
      </c>
      <c r="R1140" s="45">
        <f>IFERROR(__xludf.DUMMYFUNCTION("""COMPUTED_VALUE"""),45196.0)</f>
        <v>45196</v>
      </c>
      <c r="S1140" s="43"/>
      <c r="T1140" s="43"/>
      <c r="U1140" s="43" t="str">
        <f>IFERROR(__xludf.DUMMYFUNCTION("""COMPUTED_VALUE"""),"Global Classroom")</f>
        <v>Global Classroom</v>
      </c>
      <c r="V1140" s="43" t="str">
        <f>IFERROR(__xludf.DUMMYFUNCTION("""COMPUTED_VALUE"""),"Cairo Univeristy")</f>
        <v>Cairo Univeristy</v>
      </c>
      <c r="W1140" s="43" t="str">
        <f>IFERROR(__xludf.DUMMYFUNCTION("""COMPUTED_VALUE"""),"2023-06-30T21:12:16Z")</f>
        <v>2023-06-30T21:12:16Z</v>
      </c>
      <c r="X1140" s="43"/>
      <c r="Y1140" s="43"/>
      <c r="Z1140" s="43"/>
    </row>
    <row r="1141" hidden="1">
      <c r="A1141" s="43" t="str">
        <f>IFERROR(__xludf.DUMMYFUNCTION("""COMPUTED_VALUE"""),"5242059_1294068")</f>
        <v>5242059_1294068</v>
      </c>
      <c r="B1141" s="43" t="str">
        <f>IFERROR(__xludf.DUMMYFUNCTION("""COMPUTED_VALUE"""),"Abir Tlili")</f>
        <v>Abir Tlili</v>
      </c>
      <c r="C1141" s="43" t="str">
        <f>IFERROR(__xludf.DUMMYFUNCTION("""COMPUTED_VALUE"""),"finished")</f>
        <v>finished</v>
      </c>
      <c r="D1141" s="43" t="str">
        <f>IFERROR(__xludf.DUMMYFUNCTION("""COMPUTED_VALUE"""),"No")</f>
        <v>No</v>
      </c>
      <c r="E1141" s="43" t="str">
        <f>IFERROR(__xludf.DUMMYFUNCTION("""COMPUTED_VALUE"""),"p_13163fd4e77e016f3e7ae67b2931a5a363531b63@inbound.aiesec.org")</f>
        <v>p_13163fd4e77e016f3e7ae67b2931a5a363531b63@inbound.aiesec.org</v>
      </c>
      <c r="F1141" s="43">
        <f>IFERROR(__xludf.DUMMYFUNCTION("""COMPUTED_VALUE"""),5.401405E7)</f>
        <v>54014050</v>
      </c>
      <c r="G1141" s="43" t="str">
        <f>IFERROR(__xludf.DUMMYFUNCTION("""COMPUTED_VALUE"""),"Tunisia")</f>
        <v>Tunisia</v>
      </c>
      <c r="H1141" s="43" t="str">
        <f>IFERROR(__xludf.DUMMYFUNCTION("""COMPUTED_VALUE"""),"NABEL")</f>
        <v>NABEL</v>
      </c>
      <c r="I1141" s="43" t="str">
        <f>IFERROR(__xludf.DUMMYFUNCTION("""COMPUTED_VALUE"""),"Turkey")</f>
        <v>Turkey</v>
      </c>
      <c r="J1141" s="43" t="str">
        <f>IFERROR(__xludf.DUMMYFUNCTION("""COMPUTED_VALUE"""),"DENIZLI")</f>
        <v>DENIZLI</v>
      </c>
      <c r="K1141" s="44" t="str">
        <f>IFERROR(__xludf.DUMMYFUNCTION("""COMPUTED_VALUE"""),"https://expa.aiesec.org/opportunities/1294068")</f>
        <v>https://expa.aiesec.org/opportunities/1294068</v>
      </c>
      <c r="L1141" s="43" t="str">
        <f>IFERROR(__xludf.DUMMYFUNCTION("""COMPUTED_VALUE"""),"GV")</f>
        <v>GV</v>
      </c>
      <c r="M1141" s="43" t="str">
        <f>IFERROR(__xludf.DUMMYFUNCTION("""COMPUTED_VALUE"""),"short")</f>
        <v>short</v>
      </c>
      <c r="N1141" s="45">
        <f>IFERROR(__xludf.DUMMYFUNCTION("""COMPUTED_VALUE"""),45120.0)</f>
        <v>45120</v>
      </c>
      <c r="O1141" s="45">
        <f>IFERROR(__xludf.DUMMYFUNCTION("""COMPUTED_VALUE"""),45124.0)</f>
        <v>45124</v>
      </c>
      <c r="P1141" s="45">
        <f>IFERROR(__xludf.DUMMYFUNCTION("""COMPUTED_VALUE"""),45166.0)</f>
        <v>45166</v>
      </c>
      <c r="Q1141" s="45">
        <f>IFERROR(__xludf.DUMMYFUNCTION("""COMPUTED_VALUE"""),45124.0)</f>
        <v>45124</v>
      </c>
      <c r="R1141" s="45">
        <f>IFERROR(__xludf.DUMMYFUNCTION("""COMPUTED_VALUE"""),45166.0)</f>
        <v>45166</v>
      </c>
      <c r="S1141" s="43"/>
      <c r="T1141" s="43"/>
      <c r="U1141" s="43" t="str">
        <f>IFERROR(__xludf.DUMMYFUNCTION("""COMPUTED_VALUE"""),"Equify")</f>
        <v>Equify</v>
      </c>
      <c r="V1141" s="43" t="str">
        <f>IFERROR(__xludf.DUMMYFUNCTION("""COMPUTED_VALUE"""),"IMSET Nabeul")</f>
        <v>IMSET Nabeul</v>
      </c>
      <c r="W1141" s="43" t="str">
        <f>IFERROR(__xludf.DUMMYFUNCTION("""COMPUTED_VALUE"""),"2023-04-14T14:58:02Z")</f>
        <v>2023-04-14T14:58:02Z</v>
      </c>
      <c r="X1141" s="43"/>
      <c r="Y1141" s="43"/>
      <c r="Z1141" s="43"/>
    </row>
    <row r="1142" hidden="1">
      <c r="A1142" s="43" t="str">
        <f>IFERROR(__xludf.DUMMYFUNCTION("""COMPUTED_VALUE"""),"5281377_1284976")</f>
        <v>5281377_1284976</v>
      </c>
      <c r="B1142" s="43" t="str">
        <f>IFERROR(__xludf.DUMMYFUNCTION("""COMPUTED_VALUE"""),"Syrga Duishembieva")</f>
        <v>Syrga Duishembieva</v>
      </c>
      <c r="C1142" s="43" t="str">
        <f>IFERROR(__xludf.DUMMYFUNCTION("""COMPUTED_VALUE"""),"completed")</f>
        <v>completed</v>
      </c>
      <c r="D1142" s="43" t="str">
        <f>IFERROR(__xludf.DUMMYFUNCTION("""COMPUTED_VALUE"""),"No")</f>
        <v>No</v>
      </c>
      <c r="E1142" s="43" t="str">
        <f>IFERROR(__xludf.DUMMYFUNCTION("""COMPUTED_VALUE"""),"p_6c9273ca33a6f3266e0d4448d8bc959ae653add7@inbound.aiesec.org")</f>
        <v>p_6c9273ca33a6f3266e0d4448d8bc959ae653add7@inbound.aiesec.org</v>
      </c>
      <c r="F1142" s="43">
        <f>IFERROR(__xludf.DUMMYFUNCTION("""COMPUTED_VALUE"""),7.00994069E8)</f>
        <v>700994069</v>
      </c>
      <c r="G1142" s="43" t="str">
        <f>IFERROR(__xludf.DUMMYFUNCTION("""COMPUTED_VALUE"""),"Kyrgyzstan")</f>
        <v>Kyrgyzstan</v>
      </c>
      <c r="H1142" s="43" t="str">
        <f>IFERROR(__xludf.DUMMYFUNCTION("""COMPUTED_VALUE"""),"Dragon")</f>
        <v>Dragon</v>
      </c>
      <c r="I1142" s="43" t="str">
        <f>IFERROR(__xludf.DUMMYFUNCTION("""COMPUTED_VALUE"""),"Turkey")</f>
        <v>Turkey</v>
      </c>
      <c r="J1142" s="43" t="str">
        <f>IFERROR(__xludf.DUMMYFUNCTION("""COMPUTED_VALUE"""),"ISPARTA")</f>
        <v>ISPARTA</v>
      </c>
      <c r="K1142" s="44" t="str">
        <f>IFERROR(__xludf.DUMMYFUNCTION("""COMPUTED_VALUE"""),"https://expa.aiesec.org/opportunities/1284976")</f>
        <v>https://expa.aiesec.org/opportunities/1284976</v>
      </c>
      <c r="L1142" s="43" t="str">
        <f>IFERROR(__xludf.DUMMYFUNCTION("""COMPUTED_VALUE"""),"GV")</f>
        <v>GV</v>
      </c>
      <c r="M1142" s="43" t="str">
        <f>IFERROR(__xludf.DUMMYFUNCTION("""COMPUTED_VALUE"""),"short")</f>
        <v>short</v>
      </c>
      <c r="N1142" s="45">
        <f>IFERROR(__xludf.DUMMYFUNCTION("""COMPUTED_VALUE"""),45120.0)</f>
        <v>45120</v>
      </c>
      <c r="O1142" s="45">
        <f>IFERROR(__xludf.DUMMYFUNCTION("""COMPUTED_VALUE"""),45124.0)</f>
        <v>45124</v>
      </c>
      <c r="P1142" s="45">
        <f>IFERROR(__xludf.DUMMYFUNCTION("""COMPUTED_VALUE"""),45166.0)</f>
        <v>45166</v>
      </c>
      <c r="Q1142" s="45">
        <f>IFERROR(__xludf.DUMMYFUNCTION("""COMPUTED_VALUE"""),45126.0)</f>
        <v>45126</v>
      </c>
      <c r="R1142" s="45">
        <f>IFERROR(__xludf.DUMMYFUNCTION("""COMPUTED_VALUE"""),45166.0)</f>
        <v>45166</v>
      </c>
      <c r="S1142" s="43"/>
      <c r="T1142" s="43"/>
      <c r="U1142" s="43" t="str">
        <f>IFERROR(__xludf.DUMMYFUNCTION("""COMPUTED_VALUE"""),"Youth 4 Impact")</f>
        <v>Youth 4 Impact</v>
      </c>
      <c r="V1142" s="43" t="str">
        <f>IFERROR(__xludf.DUMMYFUNCTION("""COMPUTED_VALUE"""),"AUCA (Other departments) АУЦА (Другие отделения)")</f>
        <v>AUCA (Other departments) АУЦА (Другие отделения)</v>
      </c>
      <c r="W1142" s="43" t="str">
        <f>IFERROR(__xludf.DUMMYFUNCTION("""COMPUTED_VALUE"""),"2023-07-02T07:11:33Z")</f>
        <v>2023-07-02T07:11:33Z</v>
      </c>
      <c r="X1142" s="43"/>
      <c r="Y1142" s="43"/>
      <c r="Z1142" s="43"/>
    </row>
    <row r="1143" hidden="1">
      <c r="A1143" s="43" t="str">
        <f>IFERROR(__xludf.DUMMYFUNCTION("""COMPUTED_VALUE"""),"5282141_1295745")</f>
        <v>5282141_1295745</v>
      </c>
      <c r="B1143" s="43" t="str">
        <f>IFERROR(__xludf.DUMMYFUNCTION("""COMPUTED_VALUE"""),"Parcina Aziz")</f>
        <v>Parcina Aziz</v>
      </c>
      <c r="C1143" s="43" t="str">
        <f>IFERROR(__xludf.DUMMYFUNCTION("""COMPUTED_VALUE"""),"approved")</f>
        <v>approved</v>
      </c>
      <c r="D1143" s="43" t="str">
        <f>IFERROR(__xludf.DUMMYFUNCTION("""COMPUTED_VALUE"""),"No")</f>
        <v>No</v>
      </c>
      <c r="E1143" s="43" t="str">
        <f>IFERROR(__xludf.DUMMYFUNCTION("""COMPUTED_VALUE"""),"p_a3aaa173d05d9e57b1cb5790683bd79c4e32cdd4@inbound.aiesec.org")</f>
        <v>p_a3aaa173d05d9e57b1cb5790683bd79c4e32cdd4@inbound.aiesec.org</v>
      </c>
      <c r="F1143" s="43">
        <f>IFERROR(__xludf.DUMMYFUNCTION("""COMPUTED_VALUE"""),1.225968632E9)</f>
        <v>1225968632</v>
      </c>
      <c r="G1143" s="43" t="str">
        <f>IFERROR(__xludf.DUMMYFUNCTION("""COMPUTED_VALUE"""),"Egypt")</f>
        <v>Egypt</v>
      </c>
      <c r="H1143" s="43" t="str">
        <f>IFERROR(__xludf.DUMMYFUNCTION("""COMPUTED_VALUE"""),"Ain Shams University")</f>
        <v>Ain Shams University</v>
      </c>
      <c r="I1143" s="43" t="str">
        <f>IFERROR(__xludf.DUMMYFUNCTION("""COMPUTED_VALUE"""),"Turkey")</f>
        <v>Turkey</v>
      </c>
      <c r="J1143" s="43" t="str">
        <f>IFERROR(__xludf.DUMMYFUNCTION("""COMPUTED_VALUE"""),"ISTANBUL WEST")</f>
        <v>ISTANBUL WEST</v>
      </c>
      <c r="K1143" s="44" t="str">
        <f>IFERROR(__xludf.DUMMYFUNCTION("""COMPUTED_VALUE"""),"https://expa.aiesec.org/opportunities/1295745")</f>
        <v>https://expa.aiesec.org/opportunities/1295745</v>
      </c>
      <c r="L1143" s="43" t="str">
        <f>IFERROR(__xludf.DUMMYFUNCTION("""COMPUTED_VALUE"""),"GV")</f>
        <v>GV</v>
      </c>
      <c r="M1143" s="43" t="str">
        <f>IFERROR(__xludf.DUMMYFUNCTION("""COMPUTED_VALUE"""),"short")</f>
        <v>short</v>
      </c>
      <c r="N1143" s="45">
        <f>IFERROR(__xludf.DUMMYFUNCTION("""COMPUTED_VALUE"""),45120.0)</f>
        <v>45120</v>
      </c>
      <c r="O1143" s="45">
        <f>IFERROR(__xludf.DUMMYFUNCTION("""COMPUTED_VALUE"""),45229.0)</f>
        <v>45229</v>
      </c>
      <c r="P1143" s="45">
        <f>IFERROR(__xludf.DUMMYFUNCTION("""COMPUTED_VALUE"""),45271.0)</f>
        <v>45271</v>
      </c>
      <c r="Q1143" s="45"/>
      <c r="R1143" s="45"/>
      <c r="S1143" s="43"/>
      <c r="T1143" s="43"/>
      <c r="U1143" s="43" t="str">
        <f>IFERROR(__xludf.DUMMYFUNCTION("""COMPUTED_VALUE"""),"Fingerprint")</f>
        <v>Fingerprint</v>
      </c>
      <c r="V1143" s="43" t="str">
        <f>IFERROR(__xludf.DUMMYFUNCTION("""COMPUTED_VALUE"""),"New Cairo Academy")</f>
        <v>New Cairo Academy</v>
      </c>
      <c r="W1143" s="43" t="str">
        <f>IFERROR(__xludf.DUMMYFUNCTION("""COMPUTED_VALUE"""),"2023-07-04T16:21:55Z")</f>
        <v>2023-07-04T16:21:55Z</v>
      </c>
      <c r="X1143" s="43"/>
      <c r="Y1143" s="43"/>
      <c r="Z1143" s="43"/>
    </row>
    <row r="1144" hidden="1">
      <c r="A1144" s="43" t="str">
        <f>IFERROR(__xludf.DUMMYFUNCTION("""COMPUTED_VALUE"""),"5282890_1296234")</f>
        <v>5282890_1296234</v>
      </c>
      <c r="B1144" s="43" t="str">
        <f>IFERROR(__xludf.DUMMYFUNCTION("""COMPUTED_VALUE"""),"Algaziyev Aibar")</f>
        <v>Algaziyev Aibar</v>
      </c>
      <c r="C1144" s="43" t="str">
        <f>IFERROR(__xludf.DUMMYFUNCTION("""COMPUTED_VALUE"""),"completed")</f>
        <v>completed</v>
      </c>
      <c r="D1144" s="43" t="str">
        <f>IFERROR(__xludf.DUMMYFUNCTION("""COMPUTED_VALUE"""),"No")</f>
        <v>No</v>
      </c>
      <c r="E1144" s="43" t="str">
        <f>IFERROR(__xludf.DUMMYFUNCTION("""COMPUTED_VALUE"""),"p_e5fbdc4ab9642c92cff437811df351833fa1be5c@inbound.aiesec.org")</f>
        <v>p_e5fbdc4ab9642c92cff437811df351833fa1be5c@inbound.aiesec.org</v>
      </c>
      <c r="F1144" s="43">
        <f>IFERROR(__xludf.DUMMYFUNCTION("""COMPUTED_VALUE"""),7.753396404E9)</f>
        <v>7753396404</v>
      </c>
      <c r="G1144" s="43" t="str">
        <f>IFERROR(__xludf.DUMMYFUNCTION("""COMPUTED_VALUE"""),"Kazakhstan")</f>
        <v>Kazakhstan</v>
      </c>
      <c r="H1144" s="43" t="str">
        <f>IFERROR(__xludf.DUMMYFUNCTION("""COMPUTED_VALUE"""),"ALMATY")</f>
        <v>ALMATY</v>
      </c>
      <c r="I1144" s="43" t="str">
        <f>IFERROR(__xludf.DUMMYFUNCTION("""COMPUTED_VALUE"""),"Turkey")</f>
        <v>Turkey</v>
      </c>
      <c r="J1144" s="43" t="str">
        <f>IFERROR(__xludf.DUMMYFUNCTION("""COMPUTED_VALUE"""),"GAZIANTEP")</f>
        <v>GAZIANTEP</v>
      </c>
      <c r="K1144" s="44" t="str">
        <f>IFERROR(__xludf.DUMMYFUNCTION("""COMPUTED_VALUE"""),"https://expa.aiesec.org/opportunities/1296234")</f>
        <v>https://expa.aiesec.org/opportunities/1296234</v>
      </c>
      <c r="L1144" s="43" t="str">
        <f>IFERROR(__xludf.DUMMYFUNCTION("""COMPUTED_VALUE"""),"GV")</f>
        <v>GV</v>
      </c>
      <c r="M1144" s="43" t="str">
        <f>IFERROR(__xludf.DUMMYFUNCTION("""COMPUTED_VALUE"""),"short")</f>
        <v>short</v>
      </c>
      <c r="N1144" s="45">
        <f>IFERROR(__xludf.DUMMYFUNCTION("""COMPUTED_VALUE"""),45120.0)</f>
        <v>45120</v>
      </c>
      <c r="O1144" s="45">
        <f>IFERROR(__xludf.DUMMYFUNCTION("""COMPUTED_VALUE"""),45131.0)</f>
        <v>45131</v>
      </c>
      <c r="P1144" s="45">
        <f>IFERROR(__xludf.DUMMYFUNCTION("""COMPUTED_VALUE"""),45173.0)</f>
        <v>45173</v>
      </c>
      <c r="Q1144" s="45">
        <f>IFERROR(__xludf.DUMMYFUNCTION("""COMPUTED_VALUE"""),45127.0)</f>
        <v>45127</v>
      </c>
      <c r="R1144" s="45">
        <f>IFERROR(__xludf.DUMMYFUNCTION("""COMPUTED_VALUE"""),45173.0)</f>
        <v>45173</v>
      </c>
      <c r="S1144" s="43"/>
      <c r="T1144" s="43"/>
      <c r="U1144" s="43" t="str">
        <f>IFERROR(__xludf.DUMMYFUNCTION("""COMPUTED_VALUE"""),"Global Classroom")</f>
        <v>Global Classroom</v>
      </c>
      <c r="V1144" s="43" t="str">
        <f>IFERROR(__xludf.DUMMYFUNCTION("""COMPUTED_VALUE"""),"Almaty")</f>
        <v>Almaty</v>
      </c>
      <c r="W1144" s="43" t="str">
        <f>IFERROR(__xludf.DUMMYFUNCTION("""COMPUTED_VALUE"""),"2023-07-06T20:10:56Z")</f>
        <v>2023-07-06T20:10:56Z</v>
      </c>
      <c r="X1144" s="43"/>
      <c r="Y1144" s="43"/>
      <c r="Z1144" s="43"/>
    </row>
    <row r="1145" hidden="1">
      <c r="A1145" s="43" t="str">
        <f>IFERROR(__xludf.DUMMYFUNCTION("""COMPUTED_VALUE"""),"5285073_1296670")</f>
        <v>5285073_1296670</v>
      </c>
      <c r="B1145" s="43" t="str">
        <f>IFERROR(__xludf.DUMMYFUNCTION("""COMPUTED_VALUE"""),"Seif eddine Haddad")</f>
        <v>Seif eddine Haddad</v>
      </c>
      <c r="C1145" s="43" t="str">
        <f>IFERROR(__xludf.DUMMYFUNCTION("""COMPUTED_VALUE"""),"completed")</f>
        <v>completed</v>
      </c>
      <c r="D1145" s="43" t="str">
        <f>IFERROR(__xludf.DUMMYFUNCTION("""COMPUTED_VALUE"""),"No")</f>
        <v>No</v>
      </c>
      <c r="E1145" s="43" t="str">
        <f>IFERROR(__xludf.DUMMYFUNCTION("""COMPUTED_VALUE"""),"p_caa3fb6f7908ad28ba88d026fd73e32a342c2a18@inbound.aiesec.org")</f>
        <v>p_caa3fb6f7908ad28ba88d026fd73e32a342c2a18@inbound.aiesec.org</v>
      </c>
      <c r="F1145" s="43">
        <f>IFERROR(__xludf.DUMMYFUNCTION("""COMPUTED_VALUE"""),5.5063271E7)</f>
        <v>55063271</v>
      </c>
      <c r="G1145" s="43" t="str">
        <f>IFERROR(__xludf.DUMMYFUNCTION("""COMPUTED_VALUE"""),"Tunisia")</f>
        <v>Tunisia</v>
      </c>
      <c r="H1145" s="43" t="str">
        <f>IFERROR(__xludf.DUMMYFUNCTION("""COMPUTED_VALUE"""),"UNIVERSITY")</f>
        <v>UNIVERSITY</v>
      </c>
      <c r="I1145" s="43" t="str">
        <f>IFERROR(__xludf.DUMMYFUNCTION("""COMPUTED_VALUE"""),"Turkey")</f>
        <v>Turkey</v>
      </c>
      <c r="J1145" s="43" t="str">
        <f>IFERROR(__xludf.DUMMYFUNCTION("""COMPUTED_VALUE"""),"BURSA")</f>
        <v>BURSA</v>
      </c>
      <c r="K1145" s="44" t="str">
        <f>IFERROR(__xludf.DUMMYFUNCTION("""COMPUTED_VALUE"""),"https://expa.aiesec.org/opportunities/1296670")</f>
        <v>https://expa.aiesec.org/opportunities/1296670</v>
      </c>
      <c r="L1145" s="43" t="str">
        <f>IFERROR(__xludf.DUMMYFUNCTION("""COMPUTED_VALUE"""),"GV")</f>
        <v>GV</v>
      </c>
      <c r="M1145" s="43" t="str">
        <f>IFERROR(__xludf.DUMMYFUNCTION("""COMPUTED_VALUE"""),"short")</f>
        <v>short</v>
      </c>
      <c r="N1145" s="45">
        <f>IFERROR(__xludf.DUMMYFUNCTION("""COMPUTED_VALUE"""),45121.0)</f>
        <v>45121</v>
      </c>
      <c r="O1145" s="45">
        <f>IFERROR(__xludf.DUMMYFUNCTION("""COMPUTED_VALUE"""),45152.0)</f>
        <v>45152</v>
      </c>
      <c r="P1145" s="45">
        <f>IFERROR(__xludf.DUMMYFUNCTION("""COMPUTED_VALUE"""),45194.0)</f>
        <v>45194</v>
      </c>
      <c r="Q1145" s="45">
        <f>IFERROR(__xludf.DUMMYFUNCTION("""COMPUTED_VALUE"""),45150.0)</f>
        <v>45150</v>
      </c>
      <c r="R1145" s="45">
        <f>IFERROR(__xludf.DUMMYFUNCTION("""COMPUTED_VALUE"""),45195.0)</f>
        <v>45195</v>
      </c>
      <c r="S1145" s="43"/>
      <c r="T1145" s="43"/>
      <c r="U1145" s="43" t="str">
        <f>IFERROR(__xludf.DUMMYFUNCTION("""COMPUTED_VALUE"""),"Youth 4 Impact")</f>
        <v>Youth 4 Impact</v>
      </c>
      <c r="V1145" s="43" t="str">
        <f>IFERROR(__xludf.DUMMYFUNCTION("""COMPUTED_VALUE"""),"SESAME")</f>
        <v>SESAME</v>
      </c>
      <c r="W1145" s="43" t="str">
        <f>IFERROR(__xludf.DUMMYFUNCTION("""COMPUTED_VALUE"""),"2023-07-13T21:23:07Z")</f>
        <v>2023-07-13T21:23:07Z</v>
      </c>
      <c r="X1145" s="43"/>
      <c r="Y1145" s="43"/>
      <c r="Z1145" s="43"/>
    </row>
    <row r="1146" hidden="1">
      <c r="A1146" s="43" t="str">
        <f>IFERROR(__xludf.DUMMYFUNCTION("""COMPUTED_VALUE"""),"5277381_1296234")</f>
        <v>5277381_1296234</v>
      </c>
      <c r="B1146" s="43" t="str">
        <f>IFERROR(__xludf.DUMMYFUNCTION("""COMPUTED_VALUE"""),"huang yilang")</f>
        <v>huang yilang</v>
      </c>
      <c r="C1146" s="43" t="str">
        <f>IFERROR(__xludf.DUMMYFUNCTION("""COMPUTED_VALUE"""),"completed")</f>
        <v>completed</v>
      </c>
      <c r="D1146" s="43" t="str">
        <f>IFERROR(__xludf.DUMMYFUNCTION("""COMPUTED_VALUE"""),"No")</f>
        <v>No</v>
      </c>
      <c r="E1146" s="43" t="str">
        <f>IFERROR(__xludf.DUMMYFUNCTION("""COMPUTED_VALUE"""),"p_147fbd6f8a2c2d4ba56bcf9152a20f0dd92069f5@inbound.aiesec.org")</f>
        <v>p_147fbd6f8a2c2d4ba56bcf9152a20f0dd92069f5@inbound.aiesec.org</v>
      </c>
      <c r="F1146" s="43">
        <f>IFERROR(__xludf.DUMMYFUNCTION("""COMPUTED_VALUE"""),1.3808827372E10)</f>
        <v>13808827372</v>
      </c>
      <c r="G1146" s="43" t="str">
        <f>IFERROR(__xludf.DUMMYFUNCTION("""COMPUTED_VALUE"""),"Mainland of China")</f>
        <v>Mainland of China</v>
      </c>
      <c r="H1146" s="43" t="str">
        <f>IFERROR(__xludf.DUMMYFUNCTION("""COMPUTED_VALUE"""),"Guangzhou &amp; Shenzhen")</f>
        <v>Guangzhou &amp; Shenzhen</v>
      </c>
      <c r="I1146" s="43" t="str">
        <f>IFERROR(__xludf.DUMMYFUNCTION("""COMPUTED_VALUE"""),"Turkey")</f>
        <v>Turkey</v>
      </c>
      <c r="J1146" s="43" t="str">
        <f>IFERROR(__xludf.DUMMYFUNCTION("""COMPUTED_VALUE"""),"GAZIANTEP")</f>
        <v>GAZIANTEP</v>
      </c>
      <c r="K1146" s="44" t="str">
        <f>IFERROR(__xludf.DUMMYFUNCTION("""COMPUTED_VALUE"""),"https://expa.aiesec.org/opportunities/1296234")</f>
        <v>https://expa.aiesec.org/opportunities/1296234</v>
      </c>
      <c r="L1146" s="43" t="str">
        <f>IFERROR(__xludf.DUMMYFUNCTION("""COMPUTED_VALUE"""),"GV")</f>
        <v>GV</v>
      </c>
      <c r="M1146" s="43" t="str">
        <f>IFERROR(__xludf.DUMMYFUNCTION("""COMPUTED_VALUE"""),"short")</f>
        <v>short</v>
      </c>
      <c r="N1146" s="45">
        <f>IFERROR(__xludf.DUMMYFUNCTION("""COMPUTED_VALUE"""),45121.0)</f>
        <v>45121</v>
      </c>
      <c r="O1146" s="45">
        <f>IFERROR(__xludf.DUMMYFUNCTION("""COMPUTED_VALUE"""),45139.0)</f>
        <v>45139</v>
      </c>
      <c r="P1146" s="45">
        <f>IFERROR(__xludf.DUMMYFUNCTION("""COMPUTED_VALUE"""),45181.0)</f>
        <v>45181</v>
      </c>
      <c r="Q1146" s="45">
        <f>IFERROR(__xludf.DUMMYFUNCTION("""COMPUTED_VALUE"""),45141.0)</f>
        <v>45141</v>
      </c>
      <c r="R1146" s="45">
        <f>IFERROR(__xludf.DUMMYFUNCTION("""COMPUTED_VALUE"""),45183.0)</f>
        <v>45183</v>
      </c>
      <c r="S1146" s="43"/>
      <c r="T1146" s="43"/>
      <c r="U1146" s="43" t="str">
        <f>IFERROR(__xludf.DUMMYFUNCTION("""COMPUTED_VALUE"""),"Global Classroom")</f>
        <v>Global Classroom</v>
      </c>
      <c r="V1146" s="43" t="str">
        <f>IFERROR(__xludf.DUMMYFUNCTION("""COMPUTED_VALUE"""),"GUANGZHOU 广州")</f>
        <v>GUANGZHOU 广州</v>
      </c>
      <c r="W1146" s="43" t="str">
        <f>IFERROR(__xludf.DUMMYFUNCTION("""COMPUTED_VALUE"""),"2023-06-20T08:32:19Z")</f>
        <v>2023-06-20T08:32:19Z</v>
      </c>
      <c r="X1146" s="43"/>
      <c r="Y1146" s="43"/>
      <c r="Z1146" s="43"/>
    </row>
    <row r="1147" hidden="1">
      <c r="A1147" s="43" t="str">
        <f>IFERROR(__xludf.DUMMYFUNCTION("""COMPUTED_VALUE"""),"3742064_1294127")</f>
        <v>3742064_1294127</v>
      </c>
      <c r="B1147" s="43" t="str">
        <f>IFERROR(__xludf.DUMMYFUNCTION("""COMPUTED_VALUE"""),"kousar anisa")</f>
        <v>kousar anisa</v>
      </c>
      <c r="C1147" s="43" t="str">
        <f>IFERROR(__xludf.DUMMYFUNCTION("""COMPUTED_VALUE"""),"approved")</f>
        <v>approved</v>
      </c>
      <c r="D1147" s="43" t="str">
        <f>IFERROR(__xludf.DUMMYFUNCTION("""COMPUTED_VALUE"""),"No")</f>
        <v>No</v>
      </c>
      <c r="E1147" s="43" t="str">
        <f>IFERROR(__xludf.DUMMYFUNCTION("""COMPUTED_VALUE"""),"p_307ed5e98cc7d8020f02cf03bdf1e81c00a826ef@inbound.aiesec.org")</f>
        <v>p_307ed5e98cc7d8020f02cf03bdf1e81c00a826ef@inbound.aiesec.org</v>
      </c>
      <c r="F1147" s="43">
        <f>IFERROR(__xludf.DUMMYFUNCTION("""COMPUTED_VALUE"""),6.716464E7)</f>
        <v>67164640</v>
      </c>
      <c r="G1147" s="43" t="str">
        <f>IFERROR(__xludf.DUMMYFUNCTION("""COMPUTED_VALUE"""),"Hong Kong")</f>
        <v>Hong Kong</v>
      </c>
      <c r="H1147" s="43" t="str">
        <f>IFERROR(__xludf.DUMMYFUNCTION("""COMPUTED_VALUE"""),"PolyU")</f>
        <v>PolyU</v>
      </c>
      <c r="I1147" s="43" t="str">
        <f>IFERROR(__xludf.DUMMYFUNCTION("""COMPUTED_VALUE"""),"Turkey")</f>
        <v>Turkey</v>
      </c>
      <c r="J1147" s="43" t="str">
        <f>IFERROR(__xludf.DUMMYFUNCTION("""COMPUTED_VALUE"""),"ADANA")</f>
        <v>ADANA</v>
      </c>
      <c r="K1147" s="44" t="str">
        <f>IFERROR(__xludf.DUMMYFUNCTION("""COMPUTED_VALUE"""),"https://expa.aiesec.org/opportunities/1294127")</f>
        <v>https://expa.aiesec.org/opportunities/1294127</v>
      </c>
      <c r="L1147" s="43" t="str">
        <f>IFERROR(__xludf.DUMMYFUNCTION("""COMPUTED_VALUE"""),"GV")</f>
        <v>GV</v>
      </c>
      <c r="M1147" s="43" t="str">
        <f>IFERROR(__xludf.DUMMYFUNCTION("""COMPUTED_VALUE"""),"short")</f>
        <v>short</v>
      </c>
      <c r="N1147" s="45">
        <f>IFERROR(__xludf.DUMMYFUNCTION("""COMPUTED_VALUE"""),45121.0)</f>
        <v>45121</v>
      </c>
      <c r="O1147" s="45">
        <f>IFERROR(__xludf.DUMMYFUNCTION("""COMPUTED_VALUE"""),45131.0)</f>
        <v>45131</v>
      </c>
      <c r="P1147" s="45">
        <f>IFERROR(__xludf.DUMMYFUNCTION("""COMPUTED_VALUE"""),45177.0)</f>
        <v>45177</v>
      </c>
      <c r="Q1147" s="45"/>
      <c r="R1147" s="45"/>
      <c r="S1147" s="43"/>
      <c r="T1147" s="43"/>
      <c r="U1147" s="43" t="str">
        <f>IFERROR(__xludf.DUMMYFUNCTION("""COMPUTED_VALUE"""),"Equify")</f>
        <v>Equify</v>
      </c>
      <c r="V1147" s="43" t="str">
        <f>IFERROR(__xludf.DUMMYFUNCTION("""COMPUTED_VALUE"""),"PolyU School of Professional Education and Executive Development")</f>
        <v>PolyU School of Professional Education and Executive Development</v>
      </c>
      <c r="W1147" s="43" t="str">
        <f>IFERROR(__xludf.DUMMYFUNCTION("""COMPUTED_VALUE"""),"2019-08-05T14:57:15Z")</f>
        <v>2019-08-05T14:57:15Z</v>
      </c>
      <c r="X1147" s="43"/>
      <c r="Y1147" s="43"/>
      <c r="Z1147" s="43"/>
    </row>
    <row r="1148" hidden="1">
      <c r="A1148" s="43" t="str">
        <f>IFERROR(__xludf.DUMMYFUNCTION("""COMPUTED_VALUE"""),"5283050_1296671")</f>
        <v>5283050_1296671</v>
      </c>
      <c r="B1148" s="43" t="str">
        <f>IFERROR(__xludf.DUMMYFUNCTION("""COMPUTED_VALUE"""),"Nabiha Ashraf")</f>
        <v>Nabiha Ashraf</v>
      </c>
      <c r="C1148" s="43" t="str">
        <f>IFERROR(__xludf.DUMMYFUNCTION("""COMPUTED_VALUE"""),"completed")</f>
        <v>completed</v>
      </c>
      <c r="D1148" s="43" t="str">
        <f>IFERROR(__xludf.DUMMYFUNCTION("""COMPUTED_VALUE"""),"No")</f>
        <v>No</v>
      </c>
      <c r="E1148" s="43" t="str">
        <f>IFERROR(__xludf.DUMMYFUNCTION("""COMPUTED_VALUE"""),"p_c2838b1f0a7feb224a8be033e6ecd27f7f6776a0@inbound.aiesec.org")</f>
        <v>p_c2838b1f0a7feb224a8be033e6ecd27f7f6776a0@inbound.aiesec.org</v>
      </c>
      <c r="F1148" s="43">
        <f>IFERROR(__xludf.DUMMYFUNCTION("""COMPUTED_VALUE"""),8.46804443E9)</f>
        <v>8468044430</v>
      </c>
      <c r="G1148" s="43" t="str">
        <f>IFERROR(__xludf.DUMMYFUNCTION("""COMPUTED_VALUE"""),"India")</f>
        <v>India</v>
      </c>
      <c r="H1148" s="43" t="str">
        <f>IFERROR(__xludf.DUMMYFUNCTION("""COMPUTED_VALUE"""),"Delhi IIT")</f>
        <v>Delhi IIT</v>
      </c>
      <c r="I1148" s="43" t="str">
        <f>IFERROR(__xludf.DUMMYFUNCTION("""COMPUTED_VALUE"""),"Turkey")</f>
        <v>Turkey</v>
      </c>
      <c r="J1148" s="43" t="str">
        <f>IFERROR(__xludf.DUMMYFUNCTION("""COMPUTED_VALUE"""),"BURSA")</f>
        <v>BURSA</v>
      </c>
      <c r="K1148" s="44" t="str">
        <f>IFERROR(__xludf.DUMMYFUNCTION("""COMPUTED_VALUE"""),"https://expa.aiesec.org/opportunities/1296671")</f>
        <v>https://expa.aiesec.org/opportunities/1296671</v>
      </c>
      <c r="L1148" s="43" t="str">
        <f>IFERROR(__xludf.DUMMYFUNCTION("""COMPUTED_VALUE"""),"GV")</f>
        <v>GV</v>
      </c>
      <c r="M1148" s="43" t="str">
        <f>IFERROR(__xludf.DUMMYFUNCTION("""COMPUTED_VALUE"""),"short")</f>
        <v>short</v>
      </c>
      <c r="N1148" s="45">
        <f>IFERROR(__xludf.DUMMYFUNCTION("""COMPUTED_VALUE"""),45121.0)</f>
        <v>45121</v>
      </c>
      <c r="O1148" s="45">
        <f>IFERROR(__xludf.DUMMYFUNCTION("""COMPUTED_VALUE"""),45152.0)</f>
        <v>45152</v>
      </c>
      <c r="P1148" s="45">
        <f>IFERROR(__xludf.DUMMYFUNCTION("""COMPUTED_VALUE"""),45194.0)</f>
        <v>45194</v>
      </c>
      <c r="Q1148" s="45">
        <f>IFERROR(__xludf.DUMMYFUNCTION("""COMPUTED_VALUE"""),45156.0)</f>
        <v>45156</v>
      </c>
      <c r="R1148" s="45">
        <f>IFERROR(__xludf.DUMMYFUNCTION("""COMPUTED_VALUE"""),45198.0)</f>
        <v>45198</v>
      </c>
      <c r="S1148" s="43"/>
      <c r="T1148" s="43"/>
      <c r="U1148" s="43" t="str">
        <f>IFERROR(__xludf.DUMMYFUNCTION("""COMPUTED_VALUE"""),"Youth 4 Impact")</f>
        <v>Youth 4 Impact</v>
      </c>
      <c r="V1148" s="43" t="str">
        <f>IFERROR(__xludf.DUMMYFUNCTION("""COMPUTED_VALUE"""),"Ramanujan College, Delhi University")</f>
        <v>Ramanujan College, Delhi University</v>
      </c>
      <c r="W1148" s="43" t="str">
        <f>IFERROR(__xludf.DUMMYFUNCTION("""COMPUTED_VALUE"""),"2023-07-07T10:59:48Z")</f>
        <v>2023-07-07T10:59:48Z</v>
      </c>
      <c r="X1148" s="43"/>
      <c r="Y1148" s="43"/>
      <c r="Z1148" s="43"/>
    </row>
    <row r="1149" hidden="1">
      <c r="A1149" s="43" t="str">
        <f>IFERROR(__xludf.DUMMYFUNCTION("""COMPUTED_VALUE"""),"5051871_1296101")</f>
        <v>5051871_1296101</v>
      </c>
      <c r="B1149" s="43" t="str">
        <f>IFERROR(__xludf.DUMMYFUNCTION("""COMPUTED_VALUE"""),"Salah DRIES")</f>
        <v>Salah DRIES</v>
      </c>
      <c r="C1149" s="43" t="str">
        <f>IFERROR(__xludf.DUMMYFUNCTION("""COMPUTED_VALUE"""),"approved")</f>
        <v>approved</v>
      </c>
      <c r="D1149" s="43" t="str">
        <f>IFERROR(__xludf.DUMMYFUNCTION("""COMPUTED_VALUE"""),"No")</f>
        <v>No</v>
      </c>
      <c r="E1149" s="43" t="str">
        <f>IFERROR(__xludf.DUMMYFUNCTION("""COMPUTED_VALUE"""),"p_e959ff184eb5cb99817a3a50d6c43555019cc798@inbound.aiesec.org")</f>
        <v>p_e959ff184eb5cb99817a3a50d6c43555019cc798@inbound.aiesec.org</v>
      </c>
      <c r="F1149" s="43">
        <f>IFERROR(__xludf.DUMMYFUNCTION("""COMPUTED_VALUE"""),5.49295131E8)</f>
        <v>549295131</v>
      </c>
      <c r="G1149" s="43" t="str">
        <f>IFERROR(__xludf.DUMMYFUNCTION("""COMPUTED_VALUE"""),"Algeria")</f>
        <v>Algeria</v>
      </c>
      <c r="H1149" s="43" t="str">
        <f>IFERROR(__xludf.DUMMYFUNCTION("""COMPUTED_VALUE"""),"Tlemcen")</f>
        <v>Tlemcen</v>
      </c>
      <c r="I1149" s="43" t="str">
        <f>IFERROR(__xludf.DUMMYFUNCTION("""COMPUTED_VALUE"""),"Turkey")</f>
        <v>Turkey</v>
      </c>
      <c r="J1149" s="43" t="str">
        <f>IFERROR(__xludf.DUMMYFUNCTION("""COMPUTED_VALUE"""),"ANKARA")</f>
        <v>ANKARA</v>
      </c>
      <c r="K1149" s="44" t="str">
        <f>IFERROR(__xludf.DUMMYFUNCTION("""COMPUTED_VALUE"""),"https://expa.aiesec.org/opportunities/1296101")</f>
        <v>https://expa.aiesec.org/opportunities/1296101</v>
      </c>
      <c r="L1149" s="43" t="str">
        <f>IFERROR(__xludf.DUMMYFUNCTION("""COMPUTED_VALUE"""),"GV")</f>
        <v>GV</v>
      </c>
      <c r="M1149" s="43" t="str">
        <f>IFERROR(__xludf.DUMMYFUNCTION("""COMPUTED_VALUE"""),"short")</f>
        <v>short</v>
      </c>
      <c r="N1149" s="45">
        <f>IFERROR(__xludf.DUMMYFUNCTION("""COMPUTED_VALUE"""),45121.0)</f>
        <v>45121</v>
      </c>
      <c r="O1149" s="45">
        <f>IFERROR(__xludf.DUMMYFUNCTION("""COMPUTED_VALUE"""),45208.0)</f>
        <v>45208</v>
      </c>
      <c r="P1149" s="45">
        <f>IFERROR(__xludf.DUMMYFUNCTION("""COMPUTED_VALUE"""),45250.0)</f>
        <v>45250</v>
      </c>
      <c r="Q1149" s="45"/>
      <c r="R1149" s="45"/>
      <c r="S1149" s="43"/>
      <c r="T1149" s="43"/>
      <c r="U1149" s="43" t="str">
        <f>IFERROR(__xludf.DUMMYFUNCTION("""COMPUTED_VALUE"""),"Fingerprint")</f>
        <v>Fingerprint</v>
      </c>
      <c r="V1149" s="43" t="str">
        <f>IFERROR(__xludf.DUMMYFUNCTION("""COMPUTED_VALUE"""),"AIESEC in Tlemcen")</f>
        <v>AIESEC in Tlemcen</v>
      </c>
      <c r="W1149" s="43" t="str">
        <f>IFERROR(__xludf.DUMMYFUNCTION("""COMPUTED_VALUE"""),"2022-05-05T23:00:15Z")</f>
        <v>2022-05-05T23:00:15Z</v>
      </c>
      <c r="X1149" s="43"/>
      <c r="Y1149" s="43"/>
      <c r="Z1149" s="43"/>
    </row>
    <row r="1150" hidden="1">
      <c r="A1150" s="43" t="str">
        <f>IFERROR(__xludf.DUMMYFUNCTION("""COMPUTED_VALUE"""),"5285274_1287226")</f>
        <v>5285274_1287226</v>
      </c>
      <c r="B1150" s="43" t="str">
        <f>IFERROR(__xludf.DUMMYFUNCTION("""COMPUTED_VALUE"""),"rahma jridi")</f>
        <v>rahma jridi</v>
      </c>
      <c r="C1150" s="43" t="str">
        <f>IFERROR(__xludf.DUMMYFUNCTION("""COMPUTED_VALUE"""),"approved")</f>
        <v>approved</v>
      </c>
      <c r="D1150" s="43" t="str">
        <f>IFERROR(__xludf.DUMMYFUNCTION("""COMPUTED_VALUE"""),"No")</f>
        <v>No</v>
      </c>
      <c r="E1150" s="43" t="str">
        <f>IFERROR(__xludf.DUMMYFUNCTION("""COMPUTED_VALUE"""),"p_b3aec5904f4d92a23d16f9fa9c01951164369f81@inbound.aiesec.org")</f>
        <v>p_b3aec5904f4d92a23d16f9fa9c01951164369f81@inbound.aiesec.org</v>
      </c>
      <c r="F1150" s="43"/>
      <c r="G1150" s="43" t="str">
        <f>IFERROR(__xludf.DUMMYFUNCTION("""COMPUTED_VALUE"""),"Tunisia")</f>
        <v>Tunisia</v>
      </c>
      <c r="H1150" s="43" t="str">
        <f>IFERROR(__xludf.DUMMYFUNCTION("""COMPUTED_VALUE"""),"MEDINA")</f>
        <v>MEDINA</v>
      </c>
      <c r="I1150" s="43" t="str">
        <f>IFERROR(__xludf.DUMMYFUNCTION("""COMPUTED_VALUE"""),"Turkey")</f>
        <v>Turkey</v>
      </c>
      <c r="J1150" s="43" t="str">
        <f>IFERROR(__xludf.DUMMYFUNCTION("""COMPUTED_VALUE"""),"ISTANBUL ASIA")</f>
        <v>ISTANBUL ASIA</v>
      </c>
      <c r="K1150" s="44" t="str">
        <f>IFERROR(__xludf.DUMMYFUNCTION("""COMPUTED_VALUE"""),"https://expa.aiesec.org/opportunities/1287226")</f>
        <v>https://expa.aiesec.org/opportunities/1287226</v>
      </c>
      <c r="L1150" s="43" t="str">
        <f>IFERROR(__xludf.DUMMYFUNCTION("""COMPUTED_VALUE"""),"GV")</f>
        <v>GV</v>
      </c>
      <c r="M1150" s="43" t="str">
        <f>IFERROR(__xludf.DUMMYFUNCTION("""COMPUTED_VALUE"""),"short")</f>
        <v>short</v>
      </c>
      <c r="N1150" s="45">
        <f>IFERROR(__xludf.DUMMYFUNCTION("""COMPUTED_VALUE"""),45121.0)</f>
        <v>45121</v>
      </c>
      <c r="O1150" s="45">
        <f>IFERROR(__xludf.DUMMYFUNCTION("""COMPUTED_VALUE"""),45129.0)</f>
        <v>45129</v>
      </c>
      <c r="P1150" s="45">
        <f>IFERROR(__xludf.DUMMYFUNCTION("""COMPUTED_VALUE"""),45171.0)</f>
        <v>45171</v>
      </c>
      <c r="Q1150" s="45"/>
      <c r="R1150" s="45"/>
      <c r="S1150" s="43"/>
      <c r="T1150" s="43"/>
      <c r="U1150" s="43" t="str">
        <f>IFERROR(__xludf.DUMMYFUNCTION("""COMPUTED_VALUE"""),"Global Classroom")</f>
        <v>Global Classroom</v>
      </c>
      <c r="V1150" s="43" t="str">
        <f>IFERROR(__xludf.DUMMYFUNCTION("""COMPUTED_VALUE"""),"-")</f>
        <v>-</v>
      </c>
      <c r="W1150" s="43" t="str">
        <f>IFERROR(__xludf.DUMMYFUNCTION("""COMPUTED_VALUE"""),"2023-07-14T15:26:24Z")</f>
        <v>2023-07-14T15:26:24Z</v>
      </c>
      <c r="X1150" s="43"/>
      <c r="Y1150" s="43"/>
      <c r="Z1150" s="43"/>
    </row>
    <row r="1151" hidden="1">
      <c r="A1151" s="43" t="str">
        <f>IFERROR(__xludf.DUMMYFUNCTION("""COMPUTED_VALUE"""),"5274354_1294452")</f>
        <v>5274354_1294452</v>
      </c>
      <c r="B1151" s="43" t="str">
        <f>IFERROR(__xludf.DUMMYFUNCTION("""COMPUTED_VALUE"""),"Yash Rajgarhia")</f>
        <v>Yash Rajgarhia</v>
      </c>
      <c r="C1151" s="43" t="str">
        <f>IFERROR(__xludf.DUMMYFUNCTION("""COMPUTED_VALUE"""),"finished")</f>
        <v>finished</v>
      </c>
      <c r="D1151" s="43" t="str">
        <f>IFERROR(__xludf.DUMMYFUNCTION("""COMPUTED_VALUE"""),"No")</f>
        <v>No</v>
      </c>
      <c r="E1151" s="43" t="str">
        <f>IFERROR(__xludf.DUMMYFUNCTION("""COMPUTED_VALUE"""),"p_d289c968226df4a40994df209661901ca788ecc4@inbound.aiesec.org")</f>
        <v>p_d289c968226df4a40994df209661901ca788ecc4@inbound.aiesec.org</v>
      </c>
      <c r="F1151" s="43"/>
      <c r="G1151" s="43" t="str">
        <f>IFERROR(__xludf.DUMMYFUNCTION("""COMPUTED_VALUE"""),"India")</f>
        <v>India</v>
      </c>
      <c r="H1151" s="43" t="str">
        <f>IFERROR(__xludf.DUMMYFUNCTION("""COMPUTED_VALUE"""),"Kolkata")</f>
        <v>Kolkata</v>
      </c>
      <c r="I1151" s="43" t="str">
        <f>IFERROR(__xludf.DUMMYFUNCTION("""COMPUTED_VALUE"""),"Turkey")</f>
        <v>Turkey</v>
      </c>
      <c r="J1151" s="43" t="str">
        <f>IFERROR(__xludf.DUMMYFUNCTION("""COMPUTED_VALUE"""),"ESKISEHIR")</f>
        <v>ESKISEHIR</v>
      </c>
      <c r="K1151" s="44" t="str">
        <f>IFERROR(__xludf.DUMMYFUNCTION("""COMPUTED_VALUE"""),"https://expa.aiesec.org/opportunities/1294452")</f>
        <v>https://expa.aiesec.org/opportunities/1294452</v>
      </c>
      <c r="L1151" s="43" t="str">
        <f>IFERROR(__xludf.DUMMYFUNCTION("""COMPUTED_VALUE"""),"GV")</f>
        <v>GV</v>
      </c>
      <c r="M1151" s="43" t="str">
        <f>IFERROR(__xludf.DUMMYFUNCTION("""COMPUTED_VALUE"""),"short")</f>
        <v>short</v>
      </c>
      <c r="N1151" s="45">
        <f>IFERROR(__xludf.DUMMYFUNCTION("""COMPUTED_VALUE"""),45122.0)</f>
        <v>45122</v>
      </c>
      <c r="O1151" s="45">
        <f>IFERROR(__xludf.DUMMYFUNCTION("""COMPUTED_VALUE"""),45152.0)</f>
        <v>45152</v>
      </c>
      <c r="P1151" s="45">
        <f>IFERROR(__xludf.DUMMYFUNCTION("""COMPUTED_VALUE"""),45194.0)</f>
        <v>45194</v>
      </c>
      <c r="Q1151" s="45">
        <f>IFERROR(__xludf.DUMMYFUNCTION("""COMPUTED_VALUE"""),45153.0)</f>
        <v>45153</v>
      </c>
      <c r="R1151" s="45">
        <f>IFERROR(__xludf.DUMMYFUNCTION("""COMPUTED_VALUE"""),45194.0)</f>
        <v>45194</v>
      </c>
      <c r="S1151" s="43"/>
      <c r="T1151" s="43"/>
      <c r="U1151" s="43" t="str">
        <f>IFERROR(__xludf.DUMMYFUNCTION("""COMPUTED_VALUE"""),"On The Map")</f>
        <v>On The Map</v>
      </c>
      <c r="V1151" s="43" t="str">
        <f>IFERROR(__xludf.DUMMYFUNCTION("""COMPUTED_VALUE"""),"-")</f>
        <v>-</v>
      </c>
      <c r="W1151" s="43" t="str">
        <f>IFERROR(__xludf.DUMMYFUNCTION("""COMPUTED_VALUE"""),"2023-06-12T11:09:06Z")</f>
        <v>2023-06-12T11:09:06Z</v>
      </c>
      <c r="X1151" s="43"/>
      <c r="Y1151" s="43"/>
      <c r="Z1151" s="43"/>
    </row>
    <row r="1152" hidden="1">
      <c r="A1152" s="43" t="str">
        <f>IFERROR(__xludf.DUMMYFUNCTION("""COMPUTED_VALUE"""),"5261089_1287488")</f>
        <v>5261089_1287488</v>
      </c>
      <c r="B1152" s="43" t="str">
        <f>IFERROR(__xludf.DUMMYFUNCTION("""COMPUTED_VALUE"""),"Fadwa alaa")</f>
        <v>Fadwa alaa</v>
      </c>
      <c r="C1152" s="43" t="str">
        <f>IFERROR(__xludf.DUMMYFUNCTION("""COMPUTED_VALUE"""),"completed")</f>
        <v>completed</v>
      </c>
      <c r="D1152" s="43" t="str">
        <f>IFERROR(__xludf.DUMMYFUNCTION("""COMPUTED_VALUE"""),"No")</f>
        <v>No</v>
      </c>
      <c r="E1152" s="43" t="str">
        <f>IFERROR(__xludf.DUMMYFUNCTION("""COMPUTED_VALUE"""),"p_5716c89e3a597b77a19b07c1df5b7c8b8e5d0259@inbound.aiesec.org")</f>
        <v>p_5716c89e3a597b77a19b07c1df5b7c8b8e5d0259@inbound.aiesec.org</v>
      </c>
      <c r="F1152" s="43">
        <f>IFERROR(__xludf.DUMMYFUNCTION("""COMPUTED_VALUE"""),1.009384532E9)</f>
        <v>1009384532</v>
      </c>
      <c r="G1152" s="43" t="str">
        <f>IFERROR(__xludf.DUMMYFUNCTION("""COMPUTED_VALUE"""),"Egypt")</f>
        <v>Egypt</v>
      </c>
      <c r="H1152" s="43" t="str">
        <f>IFERROR(__xludf.DUMMYFUNCTION("""COMPUTED_VALUE"""),"Alexandria")</f>
        <v>Alexandria</v>
      </c>
      <c r="I1152" s="43" t="str">
        <f>IFERROR(__xludf.DUMMYFUNCTION("""COMPUTED_VALUE"""),"Turkey")</f>
        <v>Turkey</v>
      </c>
      <c r="J1152" s="43" t="str">
        <f>IFERROR(__xludf.DUMMYFUNCTION("""COMPUTED_VALUE"""),"ISTANBUL ASIA")</f>
        <v>ISTANBUL ASIA</v>
      </c>
      <c r="K1152" s="44" t="str">
        <f>IFERROR(__xludf.DUMMYFUNCTION("""COMPUTED_VALUE"""),"https://expa.aiesec.org/opportunities/1287488")</f>
        <v>https://expa.aiesec.org/opportunities/1287488</v>
      </c>
      <c r="L1152" s="43" t="str">
        <f>IFERROR(__xludf.DUMMYFUNCTION("""COMPUTED_VALUE"""),"GV")</f>
        <v>GV</v>
      </c>
      <c r="M1152" s="43" t="str">
        <f>IFERROR(__xludf.DUMMYFUNCTION("""COMPUTED_VALUE"""),"short")</f>
        <v>short</v>
      </c>
      <c r="N1152" s="45">
        <f>IFERROR(__xludf.DUMMYFUNCTION("""COMPUTED_VALUE"""),45123.0)</f>
        <v>45123</v>
      </c>
      <c r="O1152" s="45">
        <f>IFERROR(__xludf.DUMMYFUNCTION("""COMPUTED_VALUE"""),45201.0)</f>
        <v>45201</v>
      </c>
      <c r="P1152" s="45">
        <f>IFERROR(__xludf.DUMMYFUNCTION("""COMPUTED_VALUE"""),45243.0)</f>
        <v>45243</v>
      </c>
      <c r="Q1152" s="45">
        <f>IFERROR(__xludf.DUMMYFUNCTION("""COMPUTED_VALUE"""),45203.0)</f>
        <v>45203</v>
      </c>
      <c r="R1152" s="45">
        <f>IFERROR(__xludf.DUMMYFUNCTION("""COMPUTED_VALUE"""),45243.0)</f>
        <v>45243</v>
      </c>
      <c r="S1152" s="43"/>
      <c r="T1152" s="43"/>
      <c r="U1152" s="43" t="str">
        <f>IFERROR(__xludf.DUMMYFUNCTION("""COMPUTED_VALUE"""),"Global Classroom")</f>
        <v>Global Classroom</v>
      </c>
      <c r="V1152" s="43" t="str">
        <f>IFERROR(__xludf.DUMMYFUNCTION("""COMPUTED_VALUE"""),"Alexandria University")</f>
        <v>Alexandria University</v>
      </c>
      <c r="W1152" s="43" t="str">
        <f>IFERROR(__xludf.DUMMYFUNCTION("""COMPUTED_VALUE"""),"2023-05-14T21:54:08Z")</f>
        <v>2023-05-14T21:54:08Z</v>
      </c>
      <c r="X1152" s="43"/>
      <c r="Y1152" s="43"/>
      <c r="Z1152" s="43"/>
    </row>
    <row r="1153" hidden="1">
      <c r="A1153" s="43" t="str">
        <f>IFERROR(__xludf.DUMMYFUNCTION("""COMPUTED_VALUE"""),"4109741_1294877")</f>
        <v>4109741_1294877</v>
      </c>
      <c r="B1153" s="43" t="str">
        <f>IFERROR(__xludf.DUMMYFUNCTION("""COMPUTED_VALUE"""),"karim hassab")</f>
        <v>karim hassab</v>
      </c>
      <c r="C1153" s="43" t="str">
        <f>IFERROR(__xludf.DUMMYFUNCTION("""COMPUTED_VALUE"""),"completed")</f>
        <v>completed</v>
      </c>
      <c r="D1153" s="43" t="str">
        <f>IFERROR(__xludf.DUMMYFUNCTION("""COMPUTED_VALUE"""),"No")</f>
        <v>No</v>
      </c>
      <c r="E1153" s="43" t="str">
        <f>IFERROR(__xludf.DUMMYFUNCTION("""COMPUTED_VALUE"""),"p_648aad3f9314d708936d3eed2751c8e9add36c59@inbound.aiesec.org")</f>
        <v>p_648aad3f9314d708936d3eed2751c8e9add36c59@inbound.aiesec.org</v>
      </c>
      <c r="F1153" s="43">
        <f>IFERROR(__xludf.DUMMYFUNCTION("""COMPUTED_VALUE"""),6.55417538E8)</f>
        <v>655417538</v>
      </c>
      <c r="G1153" s="43" t="str">
        <f>IFERROR(__xludf.DUMMYFUNCTION("""COMPUTED_VALUE"""),"Algeria")</f>
        <v>Algeria</v>
      </c>
      <c r="H1153" s="43" t="str">
        <f>IFERROR(__xludf.DUMMYFUNCTION("""COMPUTED_VALUE"""),"Ouargla")</f>
        <v>Ouargla</v>
      </c>
      <c r="I1153" s="43" t="str">
        <f>IFERROR(__xludf.DUMMYFUNCTION("""COMPUTED_VALUE"""),"Turkey")</f>
        <v>Turkey</v>
      </c>
      <c r="J1153" s="43" t="str">
        <f>IFERROR(__xludf.DUMMYFUNCTION("""COMPUTED_VALUE"""),"BURSA")</f>
        <v>BURSA</v>
      </c>
      <c r="K1153" s="44" t="str">
        <f>IFERROR(__xludf.DUMMYFUNCTION("""COMPUTED_VALUE"""),"https://expa.aiesec.org/opportunities/1294877")</f>
        <v>https://expa.aiesec.org/opportunities/1294877</v>
      </c>
      <c r="L1153" s="43" t="str">
        <f>IFERROR(__xludf.DUMMYFUNCTION("""COMPUTED_VALUE"""),"GV")</f>
        <v>GV</v>
      </c>
      <c r="M1153" s="43" t="str">
        <f>IFERROR(__xludf.DUMMYFUNCTION("""COMPUTED_VALUE"""),"short")</f>
        <v>short</v>
      </c>
      <c r="N1153" s="45">
        <f>IFERROR(__xludf.DUMMYFUNCTION("""COMPUTED_VALUE"""),45124.0)</f>
        <v>45124</v>
      </c>
      <c r="O1153" s="45">
        <f>IFERROR(__xludf.DUMMYFUNCTION("""COMPUTED_VALUE"""),45264.0)</f>
        <v>45264</v>
      </c>
      <c r="P1153" s="45">
        <f>IFERROR(__xludf.DUMMYFUNCTION("""COMPUTED_VALUE"""),45306.0)</f>
        <v>45306</v>
      </c>
      <c r="Q1153" s="45">
        <f>IFERROR(__xludf.DUMMYFUNCTION("""COMPUTED_VALUE"""),45265.0)</f>
        <v>45265</v>
      </c>
      <c r="R1153" s="45">
        <f>IFERROR(__xludf.DUMMYFUNCTION("""COMPUTED_VALUE"""),45306.0)</f>
        <v>45306</v>
      </c>
      <c r="S1153" s="43"/>
      <c r="T1153" s="43"/>
      <c r="U1153" s="43" t="str">
        <f>IFERROR(__xludf.DUMMYFUNCTION("""COMPUTED_VALUE"""),"Youth 4 Impact")</f>
        <v>Youth 4 Impact</v>
      </c>
      <c r="V1153" s="43" t="str">
        <f>IFERROR(__xludf.DUMMYFUNCTION("""COMPUTED_VALUE"""),"AIESEC in Benak")</f>
        <v>AIESEC in Benak</v>
      </c>
      <c r="W1153" s="43" t="str">
        <f>IFERROR(__xludf.DUMMYFUNCTION("""COMPUTED_VALUE"""),"2019-12-20T11:41:57Z")</f>
        <v>2019-12-20T11:41:57Z</v>
      </c>
      <c r="X1153" s="43"/>
      <c r="Y1153" s="43"/>
      <c r="Z1153" s="43"/>
    </row>
    <row r="1154" hidden="1">
      <c r="A1154" s="43" t="str">
        <f>IFERROR(__xludf.DUMMYFUNCTION("""COMPUTED_VALUE"""),"5281121_1287488")</f>
        <v>5281121_1287488</v>
      </c>
      <c r="B1154" s="43" t="str">
        <f>IFERROR(__xludf.DUMMYFUNCTION("""COMPUTED_VALUE"""),"Afsun Ozdemir")</f>
        <v>Afsun Ozdemir</v>
      </c>
      <c r="C1154" s="43" t="str">
        <f>IFERROR(__xludf.DUMMYFUNCTION("""COMPUTED_VALUE"""),"realization_broken")</f>
        <v>realization_broken</v>
      </c>
      <c r="D1154" s="43" t="str">
        <f>IFERROR(__xludf.DUMMYFUNCTION("""COMPUTED_VALUE"""),"No")</f>
        <v>No</v>
      </c>
      <c r="E1154" s="43" t="str">
        <f>IFERROR(__xludf.DUMMYFUNCTION("""COMPUTED_VALUE"""),"p_2099f001d3ce37aae4ac4dcad8bfafa7cd82d6c0@inbound.aiesec.org")</f>
        <v>p_2099f001d3ce37aae4ac4dcad8bfafa7cd82d6c0@inbound.aiesec.org</v>
      </c>
      <c r="F1154" s="43">
        <f>IFERROR(__xludf.DUMMYFUNCTION("""COMPUTED_VALUE"""),7.720295733E9)</f>
        <v>7720295733</v>
      </c>
      <c r="G1154" s="43" t="str">
        <f>IFERROR(__xludf.DUMMYFUNCTION("""COMPUTED_VALUE"""),"United Kingdom")</f>
        <v>United Kingdom</v>
      </c>
      <c r="H1154" s="43" t="str">
        <f>IFERROR(__xludf.DUMMYFUNCTION("""COMPUTED_VALUE"""),"UCL")</f>
        <v>UCL</v>
      </c>
      <c r="I1154" s="43" t="str">
        <f>IFERROR(__xludf.DUMMYFUNCTION("""COMPUTED_VALUE"""),"Turkey")</f>
        <v>Turkey</v>
      </c>
      <c r="J1154" s="43" t="str">
        <f>IFERROR(__xludf.DUMMYFUNCTION("""COMPUTED_VALUE"""),"ISTANBUL ASIA")</f>
        <v>ISTANBUL ASIA</v>
      </c>
      <c r="K1154" s="44" t="str">
        <f>IFERROR(__xludf.DUMMYFUNCTION("""COMPUTED_VALUE"""),"https://expa.aiesec.org/opportunities/1287488")</f>
        <v>https://expa.aiesec.org/opportunities/1287488</v>
      </c>
      <c r="L1154" s="43" t="str">
        <f>IFERROR(__xludf.DUMMYFUNCTION("""COMPUTED_VALUE"""),"GV")</f>
        <v>GV</v>
      </c>
      <c r="M1154" s="43" t="str">
        <f>IFERROR(__xludf.DUMMYFUNCTION("""COMPUTED_VALUE"""),"short")</f>
        <v>short</v>
      </c>
      <c r="N1154" s="45">
        <f>IFERROR(__xludf.DUMMYFUNCTION("""COMPUTED_VALUE"""),45124.0)</f>
        <v>45124</v>
      </c>
      <c r="O1154" s="45">
        <f>IFERROR(__xludf.DUMMYFUNCTION("""COMPUTED_VALUE"""),45201.0)</f>
        <v>45201</v>
      </c>
      <c r="P1154" s="45">
        <f>IFERROR(__xludf.DUMMYFUNCTION("""COMPUTED_VALUE"""),45243.0)</f>
        <v>45243</v>
      </c>
      <c r="Q1154" s="45"/>
      <c r="R1154" s="45"/>
      <c r="S1154" s="43"/>
      <c r="T1154" s="43"/>
      <c r="U1154" s="43" t="str">
        <f>IFERROR(__xludf.DUMMYFUNCTION("""COMPUTED_VALUE"""),"Global Classroom")</f>
        <v>Global Classroom</v>
      </c>
      <c r="V1154" s="43" t="str">
        <f>IFERROR(__xludf.DUMMYFUNCTION("""COMPUTED_VALUE"""),"University College London")</f>
        <v>University College London</v>
      </c>
      <c r="W1154" s="43" t="str">
        <f>IFERROR(__xludf.DUMMYFUNCTION("""COMPUTED_VALUE"""),"2023-07-01T12:35:24Z")</f>
        <v>2023-07-01T12:35:24Z</v>
      </c>
      <c r="X1154" s="43"/>
      <c r="Y1154" s="43"/>
      <c r="Z1154" s="43"/>
    </row>
    <row r="1155" hidden="1">
      <c r="A1155" s="43" t="str">
        <f>IFERROR(__xludf.DUMMYFUNCTION("""COMPUTED_VALUE"""),"5230562_1296327")</f>
        <v>5230562_1296327</v>
      </c>
      <c r="B1155" s="43" t="str">
        <f>IFERROR(__xludf.DUMMYFUNCTION("""COMPUTED_VALUE"""),"ranya ninir")</f>
        <v>ranya ninir</v>
      </c>
      <c r="C1155" s="43" t="str">
        <f>IFERROR(__xludf.DUMMYFUNCTION("""COMPUTED_VALUE"""),"finished")</f>
        <v>finished</v>
      </c>
      <c r="D1155" s="43" t="str">
        <f>IFERROR(__xludf.DUMMYFUNCTION("""COMPUTED_VALUE"""),"No")</f>
        <v>No</v>
      </c>
      <c r="E1155" s="43" t="str">
        <f>IFERROR(__xludf.DUMMYFUNCTION("""COMPUTED_VALUE"""),"p_0c9a39918198d4d0f8a05550dccc3f796174cffa@inbound.aiesec.org")</f>
        <v>p_0c9a39918198d4d0f8a05550dccc3f796174cffa@inbound.aiesec.org</v>
      </c>
      <c r="F1155" s="43">
        <f>IFERROR(__xludf.DUMMYFUNCTION("""COMPUTED_VALUE"""),6.44690198E8)</f>
        <v>644690198</v>
      </c>
      <c r="G1155" s="43" t="str">
        <f>IFERROR(__xludf.DUMMYFUNCTION("""COMPUTED_VALUE"""),"Morocco")</f>
        <v>Morocco</v>
      </c>
      <c r="H1155" s="43" t="str">
        <f>IFERROR(__xludf.DUMMYFUNCTION("""COMPUTED_VALUE"""),"Morocco (MC)")</f>
        <v>Morocco (MC)</v>
      </c>
      <c r="I1155" s="43" t="str">
        <f>IFERROR(__xludf.DUMMYFUNCTION("""COMPUTED_VALUE"""),"Turkey")</f>
        <v>Turkey</v>
      </c>
      <c r="J1155" s="43" t="str">
        <f>IFERROR(__xludf.DUMMYFUNCTION("""COMPUTED_VALUE"""),"İZMİR")</f>
        <v>İZMİR</v>
      </c>
      <c r="K1155" s="44" t="str">
        <f>IFERROR(__xludf.DUMMYFUNCTION("""COMPUTED_VALUE"""),"https://expa.aiesec.org/opportunities/1296327")</f>
        <v>https://expa.aiesec.org/opportunities/1296327</v>
      </c>
      <c r="L1155" s="43" t="str">
        <f>IFERROR(__xludf.DUMMYFUNCTION("""COMPUTED_VALUE"""),"GV")</f>
        <v>GV</v>
      </c>
      <c r="M1155" s="43" t="str">
        <f>IFERROR(__xludf.DUMMYFUNCTION("""COMPUTED_VALUE"""),"short")</f>
        <v>short</v>
      </c>
      <c r="N1155" s="45">
        <f>IFERROR(__xludf.DUMMYFUNCTION("""COMPUTED_VALUE"""),45124.0)</f>
        <v>45124</v>
      </c>
      <c r="O1155" s="45">
        <f>IFERROR(__xludf.DUMMYFUNCTION("""COMPUTED_VALUE"""),45140.0)</f>
        <v>45140</v>
      </c>
      <c r="P1155" s="45">
        <f>IFERROR(__xludf.DUMMYFUNCTION("""COMPUTED_VALUE"""),45182.0)</f>
        <v>45182</v>
      </c>
      <c r="Q1155" s="45">
        <f>IFERROR(__xludf.DUMMYFUNCTION("""COMPUTED_VALUE"""),45160.0)</f>
        <v>45160</v>
      </c>
      <c r="R1155" s="45">
        <f>IFERROR(__xludf.DUMMYFUNCTION("""COMPUTED_VALUE"""),45202.0)</f>
        <v>45202</v>
      </c>
      <c r="S1155" s="43"/>
      <c r="T1155" s="43"/>
      <c r="U1155" s="43" t="str">
        <f>IFERROR(__xludf.DUMMYFUNCTION("""COMPUTED_VALUE"""),"Fingerprint")</f>
        <v>Fingerprint</v>
      </c>
      <c r="V1155" s="43" t="str">
        <f>IFERROR(__xludf.DUMMYFUNCTION("""COMPUTED_VALUE"""),"FMP Marrakech")</f>
        <v>FMP Marrakech</v>
      </c>
      <c r="W1155" s="43" t="str">
        <f>IFERROR(__xludf.DUMMYFUNCTION("""COMPUTED_VALUE"""),"2023-03-29T22:45:48Z")</f>
        <v>2023-03-29T22:45:48Z</v>
      </c>
      <c r="X1155" s="43"/>
      <c r="Y1155" s="43"/>
      <c r="Z1155" s="43"/>
    </row>
    <row r="1156" hidden="1">
      <c r="A1156" s="43" t="str">
        <f>IFERROR(__xludf.DUMMYFUNCTION("""COMPUTED_VALUE"""),"5260221_1295986")</f>
        <v>5260221_1295986</v>
      </c>
      <c r="B1156" s="43" t="str">
        <f>IFERROR(__xludf.DUMMYFUNCTION("""COMPUTED_VALUE"""),"Nassima Farhi")</f>
        <v>Nassima Farhi</v>
      </c>
      <c r="C1156" s="43" t="str">
        <f>IFERROR(__xludf.DUMMYFUNCTION("""COMPUTED_VALUE"""),"finished")</f>
        <v>finished</v>
      </c>
      <c r="D1156" s="43" t="str">
        <f>IFERROR(__xludf.DUMMYFUNCTION("""COMPUTED_VALUE"""),"No")</f>
        <v>No</v>
      </c>
      <c r="E1156" s="43" t="str">
        <f>IFERROR(__xludf.DUMMYFUNCTION("""COMPUTED_VALUE"""),"p_a1a2d5528870b3b2cc4a4f0a7a2418a657698859@inbound.aiesec.org")</f>
        <v>p_a1a2d5528870b3b2cc4a4f0a7a2418a657698859@inbound.aiesec.org</v>
      </c>
      <c r="F1156" s="43">
        <f>IFERROR(__xludf.DUMMYFUNCTION("""COMPUTED_VALUE"""),5.546824E8)</f>
        <v>554682400</v>
      </c>
      <c r="G1156" s="43" t="str">
        <f>IFERROR(__xludf.DUMMYFUNCTION("""COMPUTED_VALUE"""),"Algeria")</f>
        <v>Algeria</v>
      </c>
      <c r="H1156" s="43" t="str">
        <f>IFERROR(__xludf.DUMMYFUNCTION("""COMPUTED_VALUE"""),"Oran")</f>
        <v>Oran</v>
      </c>
      <c r="I1156" s="43" t="str">
        <f>IFERROR(__xludf.DUMMYFUNCTION("""COMPUTED_VALUE"""),"Turkey")</f>
        <v>Turkey</v>
      </c>
      <c r="J1156" s="43" t="str">
        <f>IFERROR(__xludf.DUMMYFUNCTION("""COMPUTED_VALUE"""),"İZMİR")</f>
        <v>İZMİR</v>
      </c>
      <c r="K1156" s="44" t="str">
        <f>IFERROR(__xludf.DUMMYFUNCTION("""COMPUTED_VALUE"""),"https://expa.aiesec.org/opportunities/1295986")</f>
        <v>https://expa.aiesec.org/opportunities/1295986</v>
      </c>
      <c r="L1156" s="43" t="str">
        <f>IFERROR(__xludf.DUMMYFUNCTION("""COMPUTED_VALUE"""),"GV")</f>
        <v>GV</v>
      </c>
      <c r="M1156" s="43" t="str">
        <f>IFERROR(__xludf.DUMMYFUNCTION("""COMPUTED_VALUE"""),"short")</f>
        <v>short</v>
      </c>
      <c r="N1156" s="45">
        <f>IFERROR(__xludf.DUMMYFUNCTION("""COMPUTED_VALUE"""),45124.0)</f>
        <v>45124</v>
      </c>
      <c r="O1156" s="45">
        <f>IFERROR(__xludf.DUMMYFUNCTION("""COMPUTED_VALUE"""),45158.0)</f>
        <v>45158</v>
      </c>
      <c r="P1156" s="45">
        <f>IFERROR(__xludf.DUMMYFUNCTION("""COMPUTED_VALUE"""),45200.0)</f>
        <v>45200</v>
      </c>
      <c r="Q1156" s="45">
        <f>IFERROR(__xludf.DUMMYFUNCTION("""COMPUTED_VALUE"""),45160.0)</f>
        <v>45160</v>
      </c>
      <c r="R1156" s="45">
        <f>IFERROR(__xludf.DUMMYFUNCTION("""COMPUTED_VALUE"""),45202.0)</f>
        <v>45202</v>
      </c>
      <c r="S1156" s="43"/>
      <c r="T1156" s="43"/>
      <c r="U1156" s="43" t="str">
        <f>IFERROR(__xludf.DUMMYFUNCTION("""COMPUTED_VALUE"""),"Fingerprint")</f>
        <v>Fingerprint</v>
      </c>
      <c r="V1156" s="43" t="str">
        <f>IFERROR(__xludf.DUMMYFUNCTION("""COMPUTED_VALUE"""),"AIESEC in Oran")</f>
        <v>AIESEC in Oran</v>
      </c>
      <c r="W1156" s="43" t="str">
        <f>IFERROR(__xludf.DUMMYFUNCTION("""COMPUTED_VALUE"""),"2023-05-12T21:40:16Z")</f>
        <v>2023-05-12T21:40:16Z</v>
      </c>
      <c r="X1156" s="43"/>
      <c r="Y1156" s="43"/>
      <c r="Z1156" s="43"/>
    </row>
    <row r="1157" hidden="1">
      <c r="A1157" s="43" t="str">
        <f>IFERROR(__xludf.DUMMYFUNCTION("""COMPUTED_VALUE"""),"3943564_1289261")</f>
        <v>3943564_1289261</v>
      </c>
      <c r="B1157" s="43" t="str">
        <f>IFERROR(__xludf.DUMMYFUNCTION("""COMPUTED_VALUE"""),"Abrar Salam")</f>
        <v>Abrar Salam</v>
      </c>
      <c r="C1157" s="43" t="str">
        <f>IFERROR(__xludf.DUMMYFUNCTION("""COMPUTED_VALUE"""),"approved")</f>
        <v>approved</v>
      </c>
      <c r="D1157" s="43" t="str">
        <f>IFERROR(__xludf.DUMMYFUNCTION("""COMPUTED_VALUE"""),"No")</f>
        <v>No</v>
      </c>
      <c r="E1157" s="43" t="str">
        <f>IFERROR(__xludf.DUMMYFUNCTION("""COMPUTED_VALUE"""),"p_47213df8a9085a13c7d53e579b3bf41bc59e4078@inbound.aiesec.org")</f>
        <v>p_47213df8a9085a13c7d53e579b3bf41bc59e4078@inbound.aiesec.org</v>
      </c>
      <c r="F1157" s="43">
        <f>IFERROR(__xludf.DUMMYFUNCTION("""COMPUTED_VALUE"""),1.002358395E9)</f>
        <v>1002358395</v>
      </c>
      <c r="G1157" s="43" t="str">
        <f>IFERROR(__xludf.DUMMYFUNCTION("""COMPUTED_VALUE"""),"Egypt")</f>
        <v>Egypt</v>
      </c>
      <c r="H1157" s="43" t="str">
        <f>IFERROR(__xludf.DUMMYFUNCTION("""COMPUTED_VALUE"""),"Alexandria")</f>
        <v>Alexandria</v>
      </c>
      <c r="I1157" s="43" t="str">
        <f>IFERROR(__xludf.DUMMYFUNCTION("""COMPUTED_VALUE"""),"Turkey")</f>
        <v>Turkey</v>
      </c>
      <c r="J1157" s="43" t="str">
        <f>IFERROR(__xludf.DUMMYFUNCTION("""COMPUTED_VALUE"""),"İZMİR")</f>
        <v>İZMİR</v>
      </c>
      <c r="K1157" s="44" t="str">
        <f>IFERROR(__xludf.DUMMYFUNCTION("""COMPUTED_VALUE"""),"https://expa.aiesec.org/opportunities/1289261")</f>
        <v>https://expa.aiesec.org/opportunities/1289261</v>
      </c>
      <c r="L1157" s="43" t="str">
        <f>IFERROR(__xludf.DUMMYFUNCTION("""COMPUTED_VALUE"""),"GV")</f>
        <v>GV</v>
      </c>
      <c r="M1157" s="43" t="str">
        <f>IFERROR(__xludf.DUMMYFUNCTION("""COMPUTED_VALUE"""),"short")</f>
        <v>short</v>
      </c>
      <c r="N1157" s="45">
        <f>IFERROR(__xludf.DUMMYFUNCTION("""COMPUTED_VALUE"""),45124.0)</f>
        <v>45124</v>
      </c>
      <c r="O1157" s="45">
        <f>IFERROR(__xludf.DUMMYFUNCTION("""COMPUTED_VALUE"""),45172.0)</f>
        <v>45172</v>
      </c>
      <c r="P1157" s="45">
        <f>IFERROR(__xludf.DUMMYFUNCTION("""COMPUTED_VALUE"""),45214.0)</f>
        <v>45214</v>
      </c>
      <c r="Q1157" s="45"/>
      <c r="R1157" s="45"/>
      <c r="S1157" s="43"/>
      <c r="T1157" s="43"/>
      <c r="U1157" s="43" t="str">
        <f>IFERROR(__xludf.DUMMYFUNCTION("""COMPUTED_VALUE"""),"Global Classroom")</f>
        <v>Global Classroom</v>
      </c>
      <c r="V1157" s="43" t="str">
        <f>IFERROR(__xludf.DUMMYFUNCTION("""COMPUTED_VALUE"""),"Alexandria University")</f>
        <v>Alexandria University</v>
      </c>
      <c r="W1157" s="43" t="str">
        <f>IFERROR(__xludf.DUMMYFUNCTION("""COMPUTED_VALUE"""),"2019-11-01T21:20:33Z")</f>
        <v>2019-11-01T21:20:33Z</v>
      </c>
      <c r="X1157" s="43"/>
      <c r="Y1157" s="43"/>
      <c r="Z1157" s="43"/>
    </row>
    <row r="1158" hidden="1">
      <c r="A1158" s="43" t="str">
        <f>IFERROR(__xludf.DUMMYFUNCTION("""COMPUTED_VALUE"""),"5284429_1296101")</f>
        <v>5284429_1296101</v>
      </c>
      <c r="B1158" s="43" t="str">
        <f>IFERROR(__xludf.DUMMYFUNCTION("""COMPUTED_VALUE"""),"Lamis Mohammed Ibrahim")</f>
        <v>Lamis Mohammed Ibrahim</v>
      </c>
      <c r="C1158" s="43" t="str">
        <f>IFERROR(__xludf.DUMMYFUNCTION("""COMPUTED_VALUE"""),"finished")</f>
        <v>finished</v>
      </c>
      <c r="D1158" s="43" t="str">
        <f>IFERROR(__xludf.DUMMYFUNCTION("""COMPUTED_VALUE"""),"No")</f>
        <v>No</v>
      </c>
      <c r="E1158" s="43" t="str">
        <f>IFERROR(__xludf.DUMMYFUNCTION("""COMPUTED_VALUE"""),"p_d6b93ce01074a9b5f9e98d17f445263510be0d14@inbound.aiesec.org")</f>
        <v>p_d6b93ce01074a9b5f9e98d17f445263510be0d14@inbound.aiesec.org</v>
      </c>
      <c r="F1158" s="43">
        <f>IFERROR(__xludf.DUMMYFUNCTION("""COMPUTED_VALUE"""),1.27234038E9)</f>
        <v>1272340380</v>
      </c>
      <c r="G1158" s="43" t="str">
        <f>IFERROR(__xludf.DUMMYFUNCTION("""COMPUTED_VALUE"""),"Egypt")</f>
        <v>Egypt</v>
      </c>
      <c r="H1158" s="43" t="str">
        <f>IFERROR(__xludf.DUMMYFUNCTION("""COMPUTED_VALUE"""),"Alexandria")</f>
        <v>Alexandria</v>
      </c>
      <c r="I1158" s="43" t="str">
        <f>IFERROR(__xludf.DUMMYFUNCTION("""COMPUTED_VALUE"""),"Turkey")</f>
        <v>Turkey</v>
      </c>
      <c r="J1158" s="43" t="str">
        <f>IFERROR(__xludf.DUMMYFUNCTION("""COMPUTED_VALUE"""),"ANKARA")</f>
        <v>ANKARA</v>
      </c>
      <c r="K1158" s="44" t="str">
        <f>IFERROR(__xludf.DUMMYFUNCTION("""COMPUTED_VALUE"""),"https://expa.aiesec.org/opportunities/1296101")</f>
        <v>https://expa.aiesec.org/opportunities/1296101</v>
      </c>
      <c r="L1158" s="43" t="str">
        <f>IFERROR(__xludf.DUMMYFUNCTION("""COMPUTED_VALUE"""),"GV")</f>
        <v>GV</v>
      </c>
      <c r="M1158" s="43" t="str">
        <f>IFERROR(__xludf.DUMMYFUNCTION("""COMPUTED_VALUE"""),"short")</f>
        <v>short</v>
      </c>
      <c r="N1158" s="45">
        <f>IFERROR(__xludf.DUMMYFUNCTION("""COMPUTED_VALUE"""),45125.0)</f>
        <v>45125</v>
      </c>
      <c r="O1158" s="45">
        <f>IFERROR(__xludf.DUMMYFUNCTION("""COMPUTED_VALUE"""),45166.0)</f>
        <v>45166</v>
      </c>
      <c r="P1158" s="45">
        <f>IFERROR(__xludf.DUMMYFUNCTION("""COMPUTED_VALUE"""),45208.0)</f>
        <v>45208</v>
      </c>
      <c r="Q1158" s="45">
        <f>IFERROR(__xludf.DUMMYFUNCTION("""COMPUTED_VALUE"""),45170.0)</f>
        <v>45170</v>
      </c>
      <c r="R1158" s="45">
        <f>IFERROR(__xludf.DUMMYFUNCTION("""COMPUTED_VALUE"""),45210.0)</f>
        <v>45210</v>
      </c>
      <c r="S1158" s="43"/>
      <c r="T1158" s="43"/>
      <c r="U1158" s="43" t="str">
        <f>IFERROR(__xludf.DUMMYFUNCTION("""COMPUTED_VALUE"""),"Fingerprint")</f>
        <v>Fingerprint</v>
      </c>
      <c r="V1158" s="43" t="str">
        <f>IFERROR(__xludf.DUMMYFUNCTION("""COMPUTED_VALUE"""),"Alexandria University")</f>
        <v>Alexandria University</v>
      </c>
      <c r="W1158" s="43" t="str">
        <f>IFERROR(__xludf.DUMMYFUNCTION("""COMPUTED_VALUE"""),"2023-07-11T21:02:28Z")</f>
        <v>2023-07-11T21:02:28Z</v>
      </c>
      <c r="X1158" s="43"/>
      <c r="Y1158" s="43"/>
      <c r="Z1158" s="43"/>
    </row>
    <row r="1159" hidden="1">
      <c r="A1159" s="43" t="str">
        <f>IFERROR(__xludf.DUMMYFUNCTION("""COMPUTED_VALUE"""),"5237618_1295572")</f>
        <v>5237618_1295572</v>
      </c>
      <c r="B1159" s="43" t="str">
        <f>IFERROR(__xludf.DUMMYFUNCTION("""COMPUTED_VALUE"""),"Sara Aliyeva")</f>
        <v>Sara Aliyeva</v>
      </c>
      <c r="C1159" s="43" t="str">
        <f>IFERROR(__xludf.DUMMYFUNCTION("""COMPUTED_VALUE"""),"completed")</f>
        <v>completed</v>
      </c>
      <c r="D1159" s="43" t="str">
        <f>IFERROR(__xludf.DUMMYFUNCTION("""COMPUTED_VALUE"""),"No")</f>
        <v>No</v>
      </c>
      <c r="E1159" s="43" t="str">
        <f>IFERROR(__xludf.DUMMYFUNCTION("""COMPUTED_VALUE"""),"p_b2000e645414d3e46087b9d1e78422b0ca631dd8@inbound.aiesec.org")</f>
        <v>p_b2000e645414d3e46087b9d1e78422b0ca631dd8@inbound.aiesec.org</v>
      </c>
      <c r="F1159" s="43"/>
      <c r="G1159" s="43" t="str">
        <f>IFERROR(__xludf.DUMMYFUNCTION("""COMPUTED_VALUE"""),"Azerbaijan")</f>
        <v>Azerbaijan</v>
      </c>
      <c r="H1159" s="43" t="str">
        <f>IFERROR(__xludf.DUMMYFUNCTION("""COMPUTED_VALUE"""),"Baku ADA")</f>
        <v>Baku ADA</v>
      </c>
      <c r="I1159" s="43" t="str">
        <f>IFERROR(__xludf.DUMMYFUNCTION("""COMPUTED_VALUE"""),"Turkey")</f>
        <v>Turkey</v>
      </c>
      <c r="J1159" s="43" t="str">
        <f>IFERROR(__xludf.DUMMYFUNCTION("""COMPUTED_VALUE"""),"ESKISEHIR")</f>
        <v>ESKISEHIR</v>
      </c>
      <c r="K1159" s="44" t="str">
        <f>IFERROR(__xludf.DUMMYFUNCTION("""COMPUTED_VALUE"""),"https://expa.aiesec.org/opportunities/1295572")</f>
        <v>https://expa.aiesec.org/opportunities/1295572</v>
      </c>
      <c r="L1159" s="43" t="str">
        <f>IFERROR(__xludf.DUMMYFUNCTION("""COMPUTED_VALUE"""),"GV")</f>
        <v>GV</v>
      </c>
      <c r="M1159" s="43" t="str">
        <f>IFERROR(__xludf.DUMMYFUNCTION("""COMPUTED_VALUE"""),"short")</f>
        <v>short</v>
      </c>
      <c r="N1159" s="45">
        <f>IFERROR(__xludf.DUMMYFUNCTION("""COMPUTED_VALUE"""),45125.0)</f>
        <v>45125</v>
      </c>
      <c r="O1159" s="45">
        <f>IFERROR(__xludf.DUMMYFUNCTION("""COMPUTED_VALUE"""),45127.0)</f>
        <v>45127</v>
      </c>
      <c r="P1159" s="45">
        <f>IFERROR(__xludf.DUMMYFUNCTION("""COMPUTED_VALUE"""),45169.0)</f>
        <v>45169</v>
      </c>
      <c r="Q1159" s="45">
        <f>IFERROR(__xludf.DUMMYFUNCTION("""COMPUTED_VALUE"""),45128.0)</f>
        <v>45128</v>
      </c>
      <c r="R1159" s="45">
        <f>IFERROR(__xludf.DUMMYFUNCTION("""COMPUTED_VALUE"""),45169.0)</f>
        <v>45169</v>
      </c>
      <c r="S1159" s="43"/>
      <c r="T1159" s="43"/>
      <c r="U1159" s="43" t="str">
        <f>IFERROR(__xludf.DUMMYFUNCTION("""COMPUTED_VALUE"""),"Equify")</f>
        <v>Equify</v>
      </c>
      <c r="V1159" s="43" t="str">
        <f>IFERROR(__xludf.DUMMYFUNCTION("""COMPUTED_VALUE"""),"-")</f>
        <v>-</v>
      </c>
      <c r="W1159" s="43" t="str">
        <f>IFERROR(__xludf.DUMMYFUNCTION("""COMPUTED_VALUE"""),"2023-04-08T14:08:04Z")</f>
        <v>2023-04-08T14:08:04Z</v>
      </c>
      <c r="X1159" s="43"/>
      <c r="Y1159" s="43"/>
      <c r="Z1159" s="43"/>
    </row>
    <row r="1160" hidden="1">
      <c r="A1160" s="43" t="str">
        <f>IFERROR(__xludf.DUMMYFUNCTION("""COMPUTED_VALUE"""),"5233933_1295572")</f>
        <v>5233933_1295572</v>
      </c>
      <c r="B1160" s="43" t="str">
        <f>IFERROR(__xludf.DUMMYFUNCTION("""COMPUTED_VALUE"""),"Narmin Bahramova")</f>
        <v>Narmin Bahramova</v>
      </c>
      <c r="C1160" s="43" t="str">
        <f>IFERROR(__xludf.DUMMYFUNCTION("""COMPUTED_VALUE"""),"completed")</f>
        <v>completed</v>
      </c>
      <c r="D1160" s="43" t="str">
        <f>IFERROR(__xludf.DUMMYFUNCTION("""COMPUTED_VALUE"""),"No")</f>
        <v>No</v>
      </c>
      <c r="E1160" s="43" t="str">
        <f>IFERROR(__xludf.DUMMYFUNCTION("""COMPUTED_VALUE"""),"p_dad9b85f1b0fe9d8935607c61861063ad6f3065c@inbound.aiesec.org")</f>
        <v>p_dad9b85f1b0fe9d8935607c61861063ad6f3065c@inbound.aiesec.org</v>
      </c>
      <c r="F1160" s="43"/>
      <c r="G1160" s="43" t="str">
        <f>IFERROR(__xludf.DUMMYFUNCTION("""COMPUTED_VALUE"""),"Azerbaijan")</f>
        <v>Azerbaijan</v>
      </c>
      <c r="H1160" s="43" t="str">
        <f>IFERROR(__xludf.DUMMYFUNCTION("""COMPUTED_VALUE"""),"Baku Synergy")</f>
        <v>Baku Synergy</v>
      </c>
      <c r="I1160" s="43" t="str">
        <f>IFERROR(__xludf.DUMMYFUNCTION("""COMPUTED_VALUE"""),"Turkey")</f>
        <v>Turkey</v>
      </c>
      <c r="J1160" s="43" t="str">
        <f>IFERROR(__xludf.DUMMYFUNCTION("""COMPUTED_VALUE"""),"ESKISEHIR")</f>
        <v>ESKISEHIR</v>
      </c>
      <c r="K1160" s="44" t="str">
        <f>IFERROR(__xludf.DUMMYFUNCTION("""COMPUTED_VALUE"""),"https://expa.aiesec.org/opportunities/1295572")</f>
        <v>https://expa.aiesec.org/opportunities/1295572</v>
      </c>
      <c r="L1160" s="43" t="str">
        <f>IFERROR(__xludf.DUMMYFUNCTION("""COMPUTED_VALUE"""),"GV")</f>
        <v>GV</v>
      </c>
      <c r="M1160" s="43" t="str">
        <f>IFERROR(__xludf.DUMMYFUNCTION("""COMPUTED_VALUE"""),"short")</f>
        <v>short</v>
      </c>
      <c r="N1160" s="45">
        <f>IFERROR(__xludf.DUMMYFUNCTION("""COMPUTED_VALUE"""),45125.0)</f>
        <v>45125</v>
      </c>
      <c r="O1160" s="45">
        <f>IFERROR(__xludf.DUMMYFUNCTION("""COMPUTED_VALUE"""),45127.0)</f>
        <v>45127</v>
      </c>
      <c r="P1160" s="45">
        <f>IFERROR(__xludf.DUMMYFUNCTION("""COMPUTED_VALUE"""),45169.0)</f>
        <v>45169</v>
      </c>
      <c r="Q1160" s="45">
        <f>IFERROR(__xludf.DUMMYFUNCTION("""COMPUTED_VALUE"""),45128.0)</f>
        <v>45128</v>
      </c>
      <c r="R1160" s="45">
        <f>IFERROR(__xludf.DUMMYFUNCTION("""COMPUTED_VALUE"""),45169.0)</f>
        <v>45169</v>
      </c>
      <c r="S1160" s="43"/>
      <c r="T1160" s="43"/>
      <c r="U1160" s="43" t="str">
        <f>IFERROR(__xludf.DUMMYFUNCTION("""COMPUTED_VALUE"""),"Equify")</f>
        <v>Equify</v>
      </c>
      <c r="V1160" s="43" t="str">
        <f>IFERROR(__xludf.DUMMYFUNCTION("""COMPUTED_VALUE"""),"-")</f>
        <v>-</v>
      </c>
      <c r="W1160" s="43" t="str">
        <f>IFERROR(__xludf.DUMMYFUNCTION("""COMPUTED_VALUE"""),"2023-04-03T11:32:26Z")</f>
        <v>2023-04-03T11:32:26Z</v>
      </c>
      <c r="X1160" s="43"/>
      <c r="Y1160" s="43"/>
      <c r="Z1160" s="43"/>
    </row>
    <row r="1161" hidden="1">
      <c r="A1161" s="43" t="str">
        <f>IFERROR(__xludf.DUMMYFUNCTION("""COMPUTED_VALUE"""),"5184743_1295572")</f>
        <v>5184743_1295572</v>
      </c>
      <c r="B1161" s="43" t="str">
        <f>IFERROR(__xludf.DUMMYFUNCTION("""COMPUTED_VALUE"""),"Dinara Garayeva")</f>
        <v>Dinara Garayeva</v>
      </c>
      <c r="C1161" s="43" t="str">
        <f>IFERROR(__xludf.DUMMYFUNCTION("""COMPUTED_VALUE"""),"completed")</f>
        <v>completed</v>
      </c>
      <c r="D1161" s="43" t="str">
        <f>IFERROR(__xludf.DUMMYFUNCTION("""COMPUTED_VALUE"""),"No")</f>
        <v>No</v>
      </c>
      <c r="E1161" s="43" t="str">
        <f>IFERROR(__xludf.DUMMYFUNCTION("""COMPUTED_VALUE"""),"p_cfc84658cb7a543deb94b9d4a8e969c3d17d2536@inbound.aiesec.org")</f>
        <v>p_cfc84658cb7a543deb94b9d4a8e969c3d17d2536@inbound.aiesec.org</v>
      </c>
      <c r="F1161" s="43"/>
      <c r="G1161" s="43" t="str">
        <f>IFERROR(__xludf.DUMMYFUNCTION("""COMPUTED_VALUE"""),"Azerbaijan")</f>
        <v>Azerbaijan</v>
      </c>
      <c r="H1161" s="43" t="str">
        <f>IFERROR(__xludf.DUMMYFUNCTION("""COMPUTED_VALUE"""),"Baku Synergy")</f>
        <v>Baku Synergy</v>
      </c>
      <c r="I1161" s="43" t="str">
        <f>IFERROR(__xludf.DUMMYFUNCTION("""COMPUTED_VALUE"""),"Turkey")</f>
        <v>Turkey</v>
      </c>
      <c r="J1161" s="43" t="str">
        <f>IFERROR(__xludf.DUMMYFUNCTION("""COMPUTED_VALUE"""),"ESKISEHIR")</f>
        <v>ESKISEHIR</v>
      </c>
      <c r="K1161" s="44" t="str">
        <f>IFERROR(__xludf.DUMMYFUNCTION("""COMPUTED_VALUE"""),"https://expa.aiesec.org/opportunities/1295572")</f>
        <v>https://expa.aiesec.org/opportunities/1295572</v>
      </c>
      <c r="L1161" s="43" t="str">
        <f>IFERROR(__xludf.DUMMYFUNCTION("""COMPUTED_VALUE"""),"GV")</f>
        <v>GV</v>
      </c>
      <c r="M1161" s="43" t="str">
        <f>IFERROR(__xludf.DUMMYFUNCTION("""COMPUTED_VALUE"""),"short")</f>
        <v>short</v>
      </c>
      <c r="N1161" s="45">
        <f>IFERROR(__xludf.DUMMYFUNCTION("""COMPUTED_VALUE"""),45125.0)</f>
        <v>45125</v>
      </c>
      <c r="O1161" s="45">
        <f>IFERROR(__xludf.DUMMYFUNCTION("""COMPUTED_VALUE"""),45127.0)</f>
        <v>45127</v>
      </c>
      <c r="P1161" s="45">
        <f>IFERROR(__xludf.DUMMYFUNCTION("""COMPUTED_VALUE"""),45169.0)</f>
        <v>45169</v>
      </c>
      <c r="Q1161" s="45">
        <f>IFERROR(__xludf.DUMMYFUNCTION("""COMPUTED_VALUE"""),45128.0)</f>
        <v>45128</v>
      </c>
      <c r="R1161" s="45">
        <f>IFERROR(__xludf.DUMMYFUNCTION("""COMPUTED_VALUE"""),45169.0)</f>
        <v>45169</v>
      </c>
      <c r="S1161" s="43"/>
      <c r="T1161" s="43"/>
      <c r="U1161" s="43" t="str">
        <f>IFERROR(__xludf.DUMMYFUNCTION("""COMPUTED_VALUE"""),"Equify")</f>
        <v>Equify</v>
      </c>
      <c r="V1161" s="43" t="str">
        <f>IFERROR(__xludf.DUMMYFUNCTION("""COMPUTED_VALUE"""),"-")</f>
        <v>-</v>
      </c>
      <c r="W1161" s="43" t="str">
        <f>IFERROR(__xludf.DUMMYFUNCTION("""COMPUTED_VALUE"""),"2023-02-03T09:51:57Z")</f>
        <v>2023-02-03T09:51:57Z</v>
      </c>
      <c r="X1161" s="43"/>
      <c r="Y1161" s="43"/>
      <c r="Z1161" s="43"/>
    </row>
    <row r="1162" hidden="1">
      <c r="A1162" s="43" t="str">
        <f>IFERROR(__xludf.DUMMYFUNCTION("""COMPUTED_VALUE"""),"5282055_1294061")</f>
        <v>5282055_1294061</v>
      </c>
      <c r="B1162" s="43" t="str">
        <f>IFERROR(__xludf.DUMMYFUNCTION("""COMPUTED_VALUE"""),"Samaya Pashayeva")</f>
        <v>Samaya Pashayeva</v>
      </c>
      <c r="C1162" s="43" t="str">
        <f>IFERROR(__xludf.DUMMYFUNCTION("""COMPUTED_VALUE"""),"completed")</f>
        <v>completed</v>
      </c>
      <c r="D1162" s="43" t="str">
        <f>IFERROR(__xludf.DUMMYFUNCTION("""COMPUTED_VALUE"""),"No")</f>
        <v>No</v>
      </c>
      <c r="E1162" s="43" t="str">
        <f>IFERROR(__xludf.DUMMYFUNCTION("""COMPUTED_VALUE"""),"p_a0f416574cf4fed9c8912c9601fec7c3d9515feb@inbound.aiesec.org")</f>
        <v>p_a0f416574cf4fed9c8912c9601fec7c3d9515feb@inbound.aiesec.org</v>
      </c>
      <c r="F1162" s="43"/>
      <c r="G1162" s="43" t="str">
        <f>IFERROR(__xludf.DUMMYFUNCTION("""COMPUTED_VALUE"""),"Azerbaijan")</f>
        <v>Azerbaijan</v>
      </c>
      <c r="H1162" s="43" t="str">
        <f>IFERROR(__xludf.DUMMYFUNCTION("""COMPUTED_VALUE"""),"Baku Synergy")</f>
        <v>Baku Synergy</v>
      </c>
      <c r="I1162" s="43" t="str">
        <f>IFERROR(__xludf.DUMMYFUNCTION("""COMPUTED_VALUE"""),"Turkey")</f>
        <v>Turkey</v>
      </c>
      <c r="J1162" s="43" t="str">
        <f>IFERROR(__xludf.DUMMYFUNCTION("""COMPUTED_VALUE"""),"KOCAELI")</f>
        <v>KOCAELI</v>
      </c>
      <c r="K1162" s="44" t="str">
        <f>IFERROR(__xludf.DUMMYFUNCTION("""COMPUTED_VALUE"""),"https://expa.aiesec.org/opportunities/1294061")</f>
        <v>https://expa.aiesec.org/opportunities/1294061</v>
      </c>
      <c r="L1162" s="43" t="str">
        <f>IFERROR(__xludf.DUMMYFUNCTION("""COMPUTED_VALUE"""),"GV")</f>
        <v>GV</v>
      </c>
      <c r="M1162" s="43" t="str">
        <f>IFERROR(__xludf.DUMMYFUNCTION("""COMPUTED_VALUE"""),"short")</f>
        <v>short</v>
      </c>
      <c r="N1162" s="45">
        <f>IFERROR(__xludf.DUMMYFUNCTION("""COMPUTED_VALUE"""),45125.0)</f>
        <v>45125</v>
      </c>
      <c r="O1162" s="45">
        <f>IFERROR(__xludf.DUMMYFUNCTION("""COMPUTED_VALUE"""),45152.0)</f>
        <v>45152</v>
      </c>
      <c r="P1162" s="45">
        <f>IFERROR(__xludf.DUMMYFUNCTION("""COMPUTED_VALUE"""),45194.0)</f>
        <v>45194</v>
      </c>
      <c r="Q1162" s="45">
        <f>IFERROR(__xludf.DUMMYFUNCTION("""COMPUTED_VALUE"""),45152.0)</f>
        <v>45152</v>
      </c>
      <c r="R1162" s="45">
        <f>IFERROR(__xludf.DUMMYFUNCTION("""COMPUTED_VALUE"""),45194.0)</f>
        <v>45194</v>
      </c>
      <c r="S1162" s="43"/>
      <c r="T1162" s="43"/>
      <c r="U1162" s="43" t="str">
        <f>IFERROR(__xludf.DUMMYFUNCTION("""COMPUTED_VALUE"""),"Global Classroom")</f>
        <v>Global Classroom</v>
      </c>
      <c r="V1162" s="43" t="str">
        <f>IFERROR(__xludf.DUMMYFUNCTION("""COMPUTED_VALUE"""),"-")</f>
        <v>-</v>
      </c>
      <c r="W1162" s="43" t="str">
        <f>IFERROR(__xludf.DUMMYFUNCTION("""COMPUTED_VALUE"""),"2023-07-04T11:44:51Z")</f>
        <v>2023-07-04T11:44:51Z</v>
      </c>
      <c r="X1162" s="43"/>
      <c r="Y1162" s="43"/>
      <c r="Z1162" s="43"/>
    </row>
    <row r="1163" hidden="1">
      <c r="A1163" s="43" t="str">
        <f>IFERROR(__xludf.DUMMYFUNCTION("""COMPUTED_VALUE"""),"5286479_1295893")</f>
        <v>5286479_1295893</v>
      </c>
      <c r="B1163" s="43" t="str">
        <f>IFERROR(__xludf.DUMMYFUNCTION("""COMPUTED_VALUE"""),"Michele Lomazzo")</f>
        <v>Michele Lomazzo</v>
      </c>
      <c r="C1163" s="43" t="str">
        <f>IFERROR(__xludf.DUMMYFUNCTION("""COMPUTED_VALUE"""),"finished")</f>
        <v>finished</v>
      </c>
      <c r="D1163" s="43" t="str">
        <f>IFERROR(__xludf.DUMMYFUNCTION("""COMPUTED_VALUE"""),"No")</f>
        <v>No</v>
      </c>
      <c r="E1163" s="43" t="str">
        <f>IFERROR(__xludf.DUMMYFUNCTION("""COMPUTED_VALUE"""),"p_5d2b02a6fa2e153e822000f5e12ca33bca281cac@inbound.aiesec.org")</f>
        <v>p_5d2b02a6fa2e153e822000f5e12ca33bca281cac@inbound.aiesec.org</v>
      </c>
      <c r="F1163" s="43"/>
      <c r="G1163" s="43" t="str">
        <f>IFERROR(__xludf.DUMMYFUNCTION("""COMPUTED_VALUE"""),"Italy")</f>
        <v>Italy</v>
      </c>
      <c r="H1163" s="43" t="str">
        <f>IFERROR(__xludf.DUMMYFUNCTION("""COMPUTED_VALUE"""),"Torino")</f>
        <v>Torino</v>
      </c>
      <c r="I1163" s="43" t="str">
        <f>IFERROR(__xludf.DUMMYFUNCTION("""COMPUTED_VALUE"""),"Turkey")</f>
        <v>Turkey</v>
      </c>
      <c r="J1163" s="43" t="str">
        <f>IFERROR(__xludf.DUMMYFUNCTION("""COMPUTED_VALUE"""),"ADANA")</f>
        <v>ADANA</v>
      </c>
      <c r="K1163" s="44" t="str">
        <f>IFERROR(__xludf.DUMMYFUNCTION("""COMPUTED_VALUE"""),"https://expa.aiesec.org/opportunities/1295893")</f>
        <v>https://expa.aiesec.org/opportunities/1295893</v>
      </c>
      <c r="L1163" s="43" t="str">
        <f>IFERROR(__xludf.DUMMYFUNCTION("""COMPUTED_VALUE"""),"GV")</f>
        <v>GV</v>
      </c>
      <c r="M1163" s="43" t="str">
        <f>IFERROR(__xludf.DUMMYFUNCTION("""COMPUTED_VALUE"""),"short")</f>
        <v>short</v>
      </c>
      <c r="N1163" s="45">
        <f>IFERROR(__xludf.DUMMYFUNCTION("""COMPUTED_VALUE"""),45126.0)</f>
        <v>45126</v>
      </c>
      <c r="O1163" s="45">
        <f>IFERROR(__xludf.DUMMYFUNCTION("""COMPUTED_VALUE"""),45264.0)</f>
        <v>45264</v>
      </c>
      <c r="P1163" s="45">
        <f>IFERROR(__xludf.DUMMYFUNCTION("""COMPUTED_VALUE"""),45310.0)</f>
        <v>45310</v>
      </c>
      <c r="Q1163" s="45">
        <f>IFERROR(__xludf.DUMMYFUNCTION("""COMPUTED_VALUE"""),45266.0)</f>
        <v>45266</v>
      </c>
      <c r="R1163" s="45">
        <f>IFERROR(__xludf.DUMMYFUNCTION("""COMPUTED_VALUE"""),45312.0)</f>
        <v>45312</v>
      </c>
      <c r="S1163" s="43"/>
      <c r="T1163" s="43"/>
      <c r="U1163" s="43" t="str">
        <f>IFERROR(__xludf.DUMMYFUNCTION("""COMPUTED_VALUE"""),"Global Classroom")</f>
        <v>Global Classroom</v>
      </c>
      <c r="V1163" s="43" t="str">
        <f>IFERROR(__xludf.DUMMYFUNCTION("""COMPUTED_VALUE"""),"-")</f>
        <v>-</v>
      </c>
      <c r="W1163" s="43" t="str">
        <f>IFERROR(__xludf.DUMMYFUNCTION("""COMPUTED_VALUE"""),"2023-07-18T08:09:53Z")</f>
        <v>2023-07-18T08:09:53Z</v>
      </c>
      <c r="X1163" s="43"/>
      <c r="Y1163" s="43"/>
      <c r="Z1163" s="43"/>
    </row>
    <row r="1164" hidden="1">
      <c r="A1164" s="43" t="str">
        <f>IFERROR(__xludf.DUMMYFUNCTION("""COMPUTED_VALUE"""),"5286573_1287210")</f>
        <v>5286573_1287210</v>
      </c>
      <c r="B1164" s="43" t="str">
        <f>IFERROR(__xludf.DUMMYFUNCTION("""COMPUTED_VALUE"""),"Aiganym Kussaiyn")</f>
        <v>Aiganym Kussaiyn</v>
      </c>
      <c r="C1164" s="43" t="str">
        <f>IFERROR(__xludf.DUMMYFUNCTION("""COMPUTED_VALUE"""),"completed")</f>
        <v>completed</v>
      </c>
      <c r="D1164" s="43" t="str">
        <f>IFERROR(__xludf.DUMMYFUNCTION("""COMPUTED_VALUE"""),"No")</f>
        <v>No</v>
      </c>
      <c r="E1164" s="43" t="str">
        <f>IFERROR(__xludf.DUMMYFUNCTION("""COMPUTED_VALUE"""),"p_db471d5226a6fd754985c86b43fb818ca392c1c4@inbound.aiesec.org")</f>
        <v>p_db471d5226a6fd754985c86b43fb818ca392c1c4@inbound.aiesec.org</v>
      </c>
      <c r="F1164" s="43">
        <f>IFERROR(__xludf.DUMMYFUNCTION("""COMPUTED_VALUE"""),7.073968635E9)</f>
        <v>7073968635</v>
      </c>
      <c r="G1164" s="43" t="str">
        <f>IFERROR(__xludf.DUMMYFUNCTION("""COMPUTED_VALUE"""),"Kazakhstan")</f>
        <v>Kazakhstan</v>
      </c>
      <c r="H1164" s="43" t="str">
        <f>IFERROR(__xludf.DUMMYFUNCTION("""COMPUTED_VALUE"""),"ALMATY")</f>
        <v>ALMATY</v>
      </c>
      <c r="I1164" s="43" t="str">
        <f>IFERROR(__xludf.DUMMYFUNCTION("""COMPUTED_VALUE"""),"Turkey")</f>
        <v>Turkey</v>
      </c>
      <c r="J1164" s="43" t="str">
        <f>IFERROR(__xludf.DUMMYFUNCTION("""COMPUTED_VALUE"""),"ISTANBUL WEST")</f>
        <v>ISTANBUL WEST</v>
      </c>
      <c r="K1164" s="44" t="str">
        <f>IFERROR(__xludf.DUMMYFUNCTION("""COMPUTED_VALUE"""),"https://expa.aiesec.org/opportunities/1287210")</f>
        <v>https://expa.aiesec.org/opportunities/1287210</v>
      </c>
      <c r="L1164" s="43" t="str">
        <f>IFERROR(__xludf.DUMMYFUNCTION("""COMPUTED_VALUE"""),"GV")</f>
        <v>GV</v>
      </c>
      <c r="M1164" s="43" t="str">
        <f>IFERROR(__xludf.DUMMYFUNCTION("""COMPUTED_VALUE"""),"short")</f>
        <v>short</v>
      </c>
      <c r="N1164" s="45">
        <f>IFERROR(__xludf.DUMMYFUNCTION("""COMPUTED_VALUE"""),45127.0)</f>
        <v>45127</v>
      </c>
      <c r="O1164" s="45">
        <f>IFERROR(__xludf.DUMMYFUNCTION("""COMPUTED_VALUE"""),45141.0)</f>
        <v>45141</v>
      </c>
      <c r="P1164" s="45">
        <f>IFERROR(__xludf.DUMMYFUNCTION("""COMPUTED_VALUE"""),45183.0)</f>
        <v>45183</v>
      </c>
      <c r="Q1164" s="45">
        <f>IFERROR(__xludf.DUMMYFUNCTION("""COMPUTED_VALUE"""),45134.0)</f>
        <v>45134</v>
      </c>
      <c r="R1164" s="45">
        <f>IFERROR(__xludf.DUMMYFUNCTION("""COMPUTED_VALUE"""),45183.0)</f>
        <v>45183</v>
      </c>
      <c r="S1164" s="43"/>
      <c r="T1164" s="43"/>
      <c r="U1164" s="43" t="str">
        <f>IFERROR(__xludf.DUMMYFUNCTION("""COMPUTED_VALUE"""),"Global Classroom")</f>
        <v>Global Classroom</v>
      </c>
      <c r="V1164" s="43" t="str">
        <f>IFERROR(__xludf.DUMMYFUNCTION("""COMPUTED_VALUE"""),"Almaty")</f>
        <v>Almaty</v>
      </c>
      <c r="W1164" s="43" t="str">
        <f>IFERROR(__xludf.DUMMYFUNCTION("""COMPUTED_VALUE"""),"2023-07-18T10:45:24Z")</f>
        <v>2023-07-18T10:45:24Z</v>
      </c>
      <c r="X1164" s="43"/>
      <c r="Y1164" s="43"/>
      <c r="Z1164" s="43"/>
    </row>
    <row r="1165" hidden="1">
      <c r="A1165" s="43" t="str">
        <f>IFERROR(__xludf.DUMMYFUNCTION("""COMPUTED_VALUE"""),"5285988_1287210")</f>
        <v>5285988_1287210</v>
      </c>
      <c r="B1165" s="43" t="str">
        <f>IFERROR(__xludf.DUMMYFUNCTION("""COMPUTED_VALUE"""),"Gaukhar Saduakassova")</f>
        <v>Gaukhar Saduakassova</v>
      </c>
      <c r="C1165" s="43" t="str">
        <f>IFERROR(__xludf.DUMMYFUNCTION("""COMPUTED_VALUE"""),"completed")</f>
        <v>completed</v>
      </c>
      <c r="D1165" s="43" t="str">
        <f>IFERROR(__xludf.DUMMYFUNCTION("""COMPUTED_VALUE"""),"No")</f>
        <v>No</v>
      </c>
      <c r="E1165" s="43" t="str">
        <f>IFERROR(__xludf.DUMMYFUNCTION("""COMPUTED_VALUE"""),"p_b5fc53f3e2445454af961ce4466ee73f07a07ec7@inbound.aiesec.org")</f>
        <v>p_b5fc53f3e2445454af961ce4466ee73f07a07ec7@inbound.aiesec.org</v>
      </c>
      <c r="F1165" s="43">
        <f>IFERROR(__xludf.DUMMYFUNCTION("""COMPUTED_VALUE"""),7.472875408E9)</f>
        <v>7472875408</v>
      </c>
      <c r="G1165" s="43" t="str">
        <f>IFERROR(__xludf.DUMMYFUNCTION("""COMPUTED_VALUE"""),"Kazakhstan")</f>
        <v>Kazakhstan</v>
      </c>
      <c r="H1165" s="43" t="str">
        <f>IFERROR(__xludf.DUMMYFUNCTION("""COMPUTED_VALUE"""),"ALMATY")</f>
        <v>ALMATY</v>
      </c>
      <c r="I1165" s="43" t="str">
        <f>IFERROR(__xludf.DUMMYFUNCTION("""COMPUTED_VALUE"""),"Turkey")</f>
        <v>Turkey</v>
      </c>
      <c r="J1165" s="43" t="str">
        <f>IFERROR(__xludf.DUMMYFUNCTION("""COMPUTED_VALUE"""),"ISTANBUL WEST")</f>
        <v>ISTANBUL WEST</v>
      </c>
      <c r="K1165" s="44" t="str">
        <f>IFERROR(__xludf.DUMMYFUNCTION("""COMPUTED_VALUE"""),"https://expa.aiesec.org/opportunities/1287210")</f>
        <v>https://expa.aiesec.org/opportunities/1287210</v>
      </c>
      <c r="L1165" s="43" t="str">
        <f>IFERROR(__xludf.DUMMYFUNCTION("""COMPUTED_VALUE"""),"GV")</f>
        <v>GV</v>
      </c>
      <c r="M1165" s="43" t="str">
        <f>IFERROR(__xludf.DUMMYFUNCTION("""COMPUTED_VALUE"""),"short")</f>
        <v>short</v>
      </c>
      <c r="N1165" s="45">
        <f>IFERROR(__xludf.DUMMYFUNCTION("""COMPUTED_VALUE"""),45127.0)</f>
        <v>45127</v>
      </c>
      <c r="O1165" s="45">
        <f>IFERROR(__xludf.DUMMYFUNCTION("""COMPUTED_VALUE"""),45141.0)</f>
        <v>45141</v>
      </c>
      <c r="P1165" s="45">
        <f>IFERROR(__xludf.DUMMYFUNCTION("""COMPUTED_VALUE"""),45183.0)</f>
        <v>45183</v>
      </c>
      <c r="Q1165" s="45">
        <f>IFERROR(__xludf.DUMMYFUNCTION("""COMPUTED_VALUE"""),45134.0)</f>
        <v>45134</v>
      </c>
      <c r="R1165" s="45">
        <f>IFERROR(__xludf.DUMMYFUNCTION("""COMPUTED_VALUE"""),45183.0)</f>
        <v>45183</v>
      </c>
      <c r="S1165" s="43"/>
      <c r="T1165" s="43"/>
      <c r="U1165" s="43" t="str">
        <f>IFERROR(__xludf.DUMMYFUNCTION("""COMPUTED_VALUE"""),"Global Classroom")</f>
        <v>Global Classroom</v>
      </c>
      <c r="V1165" s="43" t="str">
        <f>IFERROR(__xludf.DUMMYFUNCTION("""COMPUTED_VALUE"""),"Almaty")</f>
        <v>Almaty</v>
      </c>
      <c r="W1165" s="43" t="str">
        <f>IFERROR(__xludf.DUMMYFUNCTION("""COMPUTED_VALUE"""),"2023-07-17T08:00:57Z")</f>
        <v>2023-07-17T08:00:57Z</v>
      </c>
      <c r="X1165" s="43"/>
      <c r="Y1165" s="43"/>
      <c r="Z1165" s="43"/>
    </row>
    <row r="1166" hidden="1">
      <c r="A1166" s="43" t="str">
        <f>IFERROR(__xludf.DUMMYFUNCTION("""COMPUTED_VALUE"""),"5278129_1296670")</f>
        <v>5278129_1296670</v>
      </c>
      <c r="B1166" s="43" t="str">
        <f>IFERROR(__xludf.DUMMYFUNCTION("""COMPUTED_VALUE"""),"Aalaa Ahmed")</f>
        <v>Aalaa Ahmed</v>
      </c>
      <c r="C1166" s="43" t="str">
        <f>IFERROR(__xludf.DUMMYFUNCTION("""COMPUTED_VALUE"""),"approved")</f>
        <v>approved</v>
      </c>
      <c r="D1166" s="43" t="str">
        <f>IFERROR(__xludf.DUMMYFUNCTION("""COMPUTED_VALUE"""),"No")</f>
        <v>No</v>
      </c>
      <c r="E1166" s="43" t="str">
        <f>IFERROR(__xludf.DUMMYFUNCTION("""COMPUTED_VALUE"""),"p_f4783b2aaab7e84baf3704dc9506ab09322ddaba@inbound.aiesec.org")</f>
        <v>p_f4783b2aaab7e84baf3704dc9506ab09322ddaba@inbound.aiesec.org</v>
      </c>
      <c r="F1166" s="43">
        <f>IFERROR(__xludf.DUMMYFUNCTION("""COMPUTED_VALUE"""),1.279492074E9)</f>
        <v>1279492074</v>
      </c>
      <c r="G1166" s="43" t="str">
        <f>IFERROR(__xludf.DUMMYFUNCTION("""COMPUTED_VALUE"""),"Egypt")</f>
        <v>Egypt</v>
      </c>
      <c r="H1166" s="43" t="str">
        <f>IFERROR(__xludf.DUMMYFUNCTION("""COMPUTED_VALUE"""),"Alexandria")</f>
        <v>Alexandria</v>
      </c>
      <c r="I1166" s="43" t="str">
        <f>IFERROR(__xludf.DUMMYFUNCTION("""COMPUTED_VALUE"""),"Turkey")</f>
        <v>Turkey</v>
      </c>
      <c r="J1166" s="43" t="str">
        <f>IFERROR(__xludf.DUMMYFUNCTION("""COMPUTED_VALUE"""),"BURSA")</f>
        <v>BURSA</v>
      </c>
      <c r="K1166" s="44" t="str">
        <f>IFERROR(__xludf.DUMMYFUNCTION("""COMPUTED_VALUE"""),"https://expa.aiesec.org/opportunities/1296670")</f>
        <v>https://expa.aiesec.org/opportunities/1296670</v>
      </c>
      <c r="L1166" s="43" t="str">
        <f>IFERROR(__xludf.DUMMYFUNCTION("""COMPUTED_VALUE"""),"GV")</f>
        <v>GV</v>
      </c>
      <c r="M1166" s="43" t="str">
        <f>IFERROR(__xludf.DUMMYFUNCTION("""COMPUTED_VALUE"""),"short")</f>
        <v>short</v>
      </c>
      <c r="N1166" s="45">
        <f>IFERROR(__xludf.DUMMYFUNCTION("""COMPUTED_VALUE"""),45127.0)</f>
        <v>45127</v>
      </c>
      <c r="O1166" s="45">
        <f>IFERROR(__xludf.DUMMYFUNCTION("""COMPUTED_VALUE"""),45152.0)</f>
        <v>45152</v>
      </c>
      <c r="P1166" s="45">
        <f>IFERROR(__xludf.DUMMYFUNCTION("""COMPUTED_VALUE"""),45194.0)</f>
        <v>45194</v>
      </c>
      <c r="Q1166" s="45"/>
      <c r="R1166" s="45"/>
      <c r="S1166" s="43"/>
      <c r="T1166" s="43"/>
      <c r="U1166" s="43" t="str">
        <f>IFERROR(__xludf.DUMMYFUNCTION("""COMPUTED_VALUE"""),"Youth 4 Impact")</f>
        <v>Youth 4 Impact</v>
      </c>
      <c r="V1166" s="43" t="str">
        <f>IFERROR(__xludf.DUMMYFUNCTION("""COMPUTED_VALUE"""),"Alexandria University")</f>
        <v>Alexandria University</v>
      </c>
      <c r="W1166" s="43" t="str">
        <f>IFERROR(__xludf.DUMMYFUNCTION("""COMPUTED_VALUE"""),"2023-06-21T20:05:08Z")</f>
        <v>2023-06-21T20:05:08Z</v>
      </c>
      <c r="X1166" s="43"/>
      <c r="Y1166" s="43"/>
      <c r="Z1166" s="43"/>
    </row>
    <row r="1167" hidden="1">
      <c r="A1167" s="43" t="str">
        <f>IFERROR(__xludf.DUMMYFUNCTION("""COMPUTED_VALUE"""),"5287556_1288989")</f>
        <v>5287556_1288989</v>
      </c>
      <c r="B1167" s="43" t="str">
        <f>IFERROR(__xludf.DUMMYFUNCTION("""COMPUTED_VALUE"""),"Firas Sassi")</f>
        <v>Firas Sassi</v>
      </c>
      <c r="C1167" s="43" t="str">
        <f>IFERROR(__xludf.DUMMYFUNCTION("""COMPUTED_VALUE"""),"completed")</f>
        <v>completed</v>
      </c>
      <c r="D1167" s="43" t="str">
        <f>IFERROR(__xludf.DUMMYFUNCTION("""COMPUTED_VALUE"""),"No")</f>
        <v>No</v>
      </c>
      <c r="E1167" s="43" t="str">
        <f>IFERROR(__xludf.DUMMYFUNCTION("""COMPUTED_VALUE"""),"p_c577cd0c1b01829b7567b017d93548712a9a2973@inbound.aiesec.org")</f>
        <v>p_c577cd0c1b01829b7567b017d93548712a9a2973@inbound.aiesec.org</v>
      </c>
      <c r="F1167" s="43">
        <f>IFERROR(__xludf.DUMMYFUNCTION("""COMPUTED_VALUE"""),5.1919305E7)</f>
        <v>51919305</v>
      </c>
      <c r="G1167" s="43" t="str">
        <f>IFERROR(__xludf.DUMMYFUNCTION("""COMPUTED_VALUE"""),"Tunisia")</f>
        <v>Tunisia</v>
      </c>
      <c r="H1167" s="43" t="str">
        <f>IFERROR(__xludf.DUMMYFUNCTION("""COMPUTED_VALUE"""),"RUSPINA")</f>
        <v>RUSPINA</v>
      </c>
      <c r="I1167" s="43" t="str">
        <f>IFERROR(__xludf.DUMMYFUNCTION("""COMPUTED_VALUE"""),"Turkey")</f>
        <v>Turkey</v>
      </c>
      <c r="J1167" s="43" t="str">
        <f>IFERROR(__xludf.DUMMYFUNCTION("""COMPUTED_VALUE"""),"KUTAHYA")</f>
        <v>KUTAHYA</v>
      </c>
      <c r="K1167" s="44" t="str">
        <f>IFERROR(__xludf.DUMMYFUNCTION("""COMPUTED_VALUE"""),"https://expa.aiesec.org/opportunities/1288989")</f>
        <v>https://expa.aiesec.org/opportunities/1288989</v>
      </c>
      <c r="L1167" s="43" t="str">
        <f>IFERROR(__xludf.DUMMYFUNCTION("""COMPUTED_VALUE"""),"GV")</f>
        <v>GV</v>
      </c>
      <c r="M1167" s="43" t="str">
        <f>IFERROR(__xludf.DUMMYFUNCTION("""COMPUTED_VALUE"""),"short")</f>
        <v>short</v>
      </c>
      <c r="N1167" s="45">
        <f>IFERROR(__xludf.DUMMYFUNCTION("""COMPUTED_VALUE"""),45127.0)</f>
        <v>45127</v>
      </c>
      <c r="O1167" s="45">
        <f>IFERROR(__xludf.DUMMYFUNCTION("""COMPUTED_VALUE"""),45145.0)</f>
        <v>45145</v>
      </c>
      <c r="P1167" s="45">
        <f>IFERROR(__xludf.DUMMYFUNCTION("""COMPUTED_VALUE"""),45187.0)</f>
        <v>45187</v>
      </c>
      <c r="Q1167" s="45">
        <f>IFERROR(__xludf.DUMMYFUNCTION("""COMPUTED_VALUE"""),45145.0)</f>
        <v>45145</v>
      </c>
      <c r="R1167" s="45">
        <f>IFERROR(__xludf.DUMMYFUNCTION("""COMPUTED_VALUE"""),45187.0)</f>
        <v>45187</v>
      </c>
      <c r="S1167" s="43"/>
      <c r="T1167" s="43"/>
      <c r="U1167" s="43" t="str">
        <f>IFERROR(__xludf.DUMMYFUNCTION("""COMPUTED_VALUE"""),"Green Leaders")</f>
        <v>Green Leaders</v>
      </c>
      <c r="V1167" s="43" t="str">
        <f>IFERROR(__xludf.DUMMYFUNCTION("""COMPUTED_VALUE"""),"ESPRIM")</f>
        <v>ESPRIM</v>
      </c>
      <c r="W1167" s="43" t="str">
        <f>IFERROR(__xludf.DUMMYFUNCTION("""COMPUTED_VALUE"""),"2023-07-20T14:34:27Z")</f>
        <v>2023-07-20T14:34:27Z</v>
      </c>
      <c r="X1167" s="43"/>
      <c r="Y1167" s="43"/>
      <c r="Z1167" s="43"/>
    </row>
    <row r="1168" hidden="1">
      <c r="A1168" s="43" t="str">
        <f>IFERROR(__xludf.DUMMYFUNCTION("""COMPUTED_VALUE"""),"5287231_1289536")</f>
        <v>5287231_1289536</v>
      </c>
      <c r="B1168" s="43" t="str">
        <f>IFERROR(__xludf.DUMMYFUNCTION("""COMPUTED_VALUE"""),"Samiksha Sanjay Singh")</f>
        <v>Samiksha Sanjay Singh</v>
      </c>
      <c r="C1168" s="43" t="str">
        <f>IFERROR(__xludf.DUMMYFUNCTION("""COMPUTED_VALUE"""),"approved")</f>
        <v>approved</v>
      </c>
      <c r="D1168" s="43" t="str">
        <f>IFERROR(__xludf.DUMMYFUNCTION("""COMPUTED_VALUE"""),"No")</f>
        <v>No</v>
      </c>
      <c r="E1168" s="43" t="str">
        <f>IFERROR(__xludf.DUMMYFUNCTION("""COMPUTED_VALUE"""),"p_64aca34357909bf27ed426c7f7a0c94d9a0de813@inbound.aiesec.org")</f>
        <v>p_64aca34357909bf27ed426c7f7a0c94d9a0de813@inbound.aiesec.org</v>
      </c>
      <c r="F1168" s="43"/>
      <c r="G1168" s="43" t="str">
        <f>IFERROR(__xludf.DUMMYFUNCTION("""COMPUTED_VALUE"""),"India")</f>
        <v>India</v>
      </c>
      <c r="H1168" s="43" t="str">
        <f>IFERROR(__xludf.DUMMYFUNCTION("""COMPUTED_VALUE"""),"Mumbai")</f>
        <v>Mumbai</v>
      </c>
      <c r="I1168" s="43" t="str">
        <f>IFERROR(__xludf.DUMMYFUNCTION("""COMPUTED_VALUE"""),"Turkey")</f>
        <v>Turkey</v>
      </c>
      <c r="J1168" s="43" t="str">
        <f>IFERROR(__xludf.DUMMYFUNCTION("""COMPUTED_VALUE"""),"ISTANBUL")</f>
        <v>ISTANBUL</v>
      </c>
      <c r="K1168" s="44" t="str">
        <f>IFERROR(__xludf.DUMMYFUNCTION("""COMPUTED_VALUE"""),"https://expa.aiesec.org/opportunities/1289536")</f>
        <v>https://expa.aiesec.org/opportunities/1289536</v>
      </c>
      <c r="L1168" s="43" t="str">
        <f>IFERROR(__xludf.DUMMYFUNCTION("""COMPUTED_VALUE"""),"GV")</f>
        <v>GV</v>
      </c>
      <c r="M1168" s="43" t="str">
        <f>IFERROR(__xludf.DUMMYFUNCTION("""COMPUTED_VALUE"""),"short")</f>
        <v>short</v>
      </c>
      <c r="N1168" s="45">
        <f>IFERROR(__xludf.DUMMYFUNCTION("""COMPUTED_VALUE"""),45127.0)</f>
        <v>45127</v>
      </c>
      <c r="O1168" s="45">
        <f>IFERROR(__xludf.DUMMYFUNCTION("""COMPUTED_VALUE"""),45444.0)</f>
        <v>45444</v>
      </c>
      <c r="P1168" s="45">
        <f>IFERROR(__xludf.DUMMYFUNCTION("""COMPUTED_VALUE"""),45486.0)</f>
        <v>45486</v>
      </c>
      <c r="Q1168" s="45"/>
      <c r="R1168" s="45"/>
      <c r="S1168" s="43"/>
      <c r="T1168" s="43"/>
      <c r="U1168" s="43" t="str">
        <f>IFERROR(__xludf.DUMMYFUNCTION("""COMPUTED_VALUE"""),"Global Classroom")</f>
        <v>Global Classroom</v>
      </c>
      <c r="V1168" s="43" t="str">
        <f>IFERROR(__xludf.DUMMYFUNCTION("""COMPUTED_VALUE"""),"-")</f>
        <v>-</v>
      </c>
      <c r="W1168" s="43" t="str">
        <f>IFERROR(__xludf.DUMMYFUNCTION("""COMPUTED_VALUE"""),"2023-07-19T16:04:06Z")</f>
        <v>2023-07-19T16:04:06Z</v>
      </c>
      <c r="X1168" s="43"/>
      <c r="Y1168" s="43"/>
      <c r="Z1168" s="43"/>
    </row>
    <row r="1169" hidden="1">
      <c r="A1169" s="43" t="str">
        <f>IFERROR(__xludf.DUMMYFUNCTION("""COMPUTED_VALUE"""),"5280178_1296103")</f>
        <v>5280178_1296103</v>
      </c>
      <c r="B1169" s="43" t="str">
        <f>IFERROR(__xludf.DUMMYFUNCTION("""COMPUTED_VALUE"""),"Phebe Ong")</f>
        <v>Phebe Ong</v>
      </c>
      <c r="C1169" s="43" t="str">
        <f>IFERROR(__xludf.DUMMYFUNCTION("""COMPUTED_VALUE"""),"approved")</f>
        <v>approved</v>
      </c>
      <c r="D1169" s="43" t="str">
        <f>IFERROR(__xludf.DUMMYFUNCTION("""COMPUTED_VALUE"""),"No")</f>
        <v>No</v>
      </c>
      <c r="E1169" s="43" t="str">
        <f>IFERROR(__xludf.DUMMYFUNCTION("""COMPUTED_VALUE"""),"p_0056a7f472193661cc578ee3d47fe81a15153b38@inbound.aiesec.org")</f>
        <v>p_0056a7f472193661cc578ee3d47fe81a15153b38@inbound.aiesec.org</v>
      </c>
      <c r="F1169" s="43"/>
      <c r="G1169" s="43" t="str">
        <f>IFERROR(__xludf.DUMMYFUNCTION("""COMPUTED_VALUE"""),"Philippines")</f>
        <v>Philippines</v>
      </c>
      <c r="H1169" s="43" t="str">
        <f>IFERROR(__xludf.DUMMYFUNCTION("""COMPUTED_VALUE"""),"De La Salle University")</f>
        <v>De La Salle University</v>
      </c>
      <c r="I1169" s="43" t="str">
        <f>IFERROR(__xludf.DUMMYFUNCTION("""COMPUTED_VALUE"""),"Turkey")</f>
        <v>Turkey</v>
      </c>
      <c r="J1169" s="43" t="str">
        <f>IFERROR(__xludf.DUMMYFUNCTION("""COMPUTED_VALUE"""),"ANKARA")</f>
        <v>ANKARA</v>
      </c>
      <c r="K1169" s="44" t="str">
        <f>IFERROR(__xludf.DUMMYFUNCTION("""COMPUTED_VALUE"""),"https://expa.aiesec.org/opportunities/1296103")</f>
        <v>https://expa.aiesec.org/opportunities/1296103</v>
      </c>
      <c r="L1169" s="43" t="str">
        <f>IFERROR(__xludf.DUMMYFUNCTION("""COMPUTED_VALUE"""),"GV")</f>
        <v>GV</v>
      </c>
      <c r="M1169" s="43" t="str">
        <f>IFERROR(__xludf.DUMMYFUNCTION("""COMPUTED_VALUE"""),"short")</f>
        <v>short</v>
      </c>
      <c r="N1169" s="45">
        <f>IFERROR(__xludf.DUMMYFUNCTION("""COMPUTED_VALUE"""),45128.0)</f>
        <v>45128</v>
      </c>
      <c r="O1169" s="45">
        <f>IFERROR(__xludf.DUMMYFUNCTION("""COMPUTED_VALUE"""),45418.0)</f>
        <v>45418</v>
      </c>
      <c r="P1169" s="45">
        <f>IFERROR(__xludf.DUMMYFUNCTION("""COMPUTED_VALUE"""),45460.0)</f>
        <v>45460</v>
      </c>
      <c r="Q1169" s="45"/>
      <c r="R1169" s="45"/>
      <c r="S1169" s="43"/>
      <c r="T1169" s="43"/>
      <c r="U1169" s="43" t="str">
        <f>IFERROR(__xludf.DUMMYFUNCTION("""COMPUTED_VALUE"""),"Green Leaders")</f>
        <v>Green Leaders</v>
      </c>
      <c r="V1169" s="43" t="str">
        <f>IFERROR(__xludf.DUMMYFUNCTION("""COMPUTED_VALUE"""),"-")</f>
        <v>-</v>
      </c>
      <c r="W1169" s="43" t="str">
        <f>IFERROR(__xludf.DUMMYFUNCTION("""COMPUTED_VALUE"""),"2023-06-28T14:43:06Z")</f>
        <v>2023-06-28T14:43:06Z</v>
      </c>
      <c r="X1169" s="43"/>
      <c r="Y1169" s="43"/>
      <c r="Z1169" s="43"/>
    </row>
    <row r="1170" hidden="1">
      <c r="A1170" s="43" t="str">
        <f>IFERROR(__xludf.DUMMYFUNCTION("""COMPUTED_VALUE"""),"5262547_1289505")</f>
        <v>5262547_1289505</v>
      </c>
      <c r="B1170" s="43" t="str">
        <f>IFERROR(__xludf.DUMMYFUNCTION("""COMPUTED_VALUE"""),"paolo aimar")</f>
        <v>paolo aimar</v>
      </c>
      <c r="C1170" s="43" t="str">
        <f>IFERROR(__xludf.DUMMYFUNCTION("""COMPUTED_VALUE"""),"completed")</f>
        <v>completed</v>
      </c>
      <c r="D1170" s="43" t="str">
        <f>IFERROR(__xludf.DUMMYFUNCTION("""COMPUTED_VALUE"""),"No")</f>
        <v>No</v>
      </c>
      <c r="E1170" s="43" t="str">
        <f>IFERROR(__xludf.DUMMYFUNCTION("""COMPUTED_VALUE"""),"p_7d5e29d0ef43208f0c860ad66aa5a4e4dd305a37@inbound.aiesec.org")</f>
        <v>p_7d5e29d0ef43208f0c860ad66aa5a4e4dd305a37@inbound.aiesec.org</v>
      </c>
      <c r="F1170" s="43">
        <f>IFERROR(__xludf.DUMMYFUNCTION("""COMPUTED_VALUE"""),3.515070412E9)</f>
        <v>3515070412</v>
      </c>
      <c r="G1170" s="43" t="str">
        <f>IFERROR(__xludf.DUMMYFUNCTION("""COMPUTED_VALUE"""),"Italy")</f>
        <v>Italy</v>
      </c>
      <c r="H1170" s="43" t="str">
        <f>IFERROR(__xludf.DUMMYFUNCTION("""COMPUTED_VALUE"""),"PoliTO")</f>
        <v>PoliTO</v>
      </c>
      <c r="I1170" s="43" t="str">
        <f>IFERROR(__xludf.DUMMYFUNCTION("""COMPUTED_VALUE"""),"Turkey")</f>
        <v>Turkey</v>
      </c>
      <c r="J1170" s="43" t="str">
        <f>IFERROR(__xludf.DUMMYFUNCTION("""COMPUTED_VALUE"""),"KOCAELI")</f>
        <v>KOCAELI</v>
      </c>
      <c r="K1170" s="44" t="str">
        <f>IFERROR(__xludf.DUMMYFUNCTION("""COMPUTED_VALUE"""),"https://expa.aiesec.org/opportunities/1289505")</f>
        <v>https://expa.aiesec.org/opportunities/1289505</v>
      </c>
      <c r="L1170" s="43" t="str">
        <f>IFERROR(__xludf.DUMMYFUNCTION("""COMPUTED_VALUE"""),"GV")</f>
        <v>GV</v>
      </c>
      <c r="M1170" s="43" t="str">
        <f>IFERROR(__xludf.DUMMYFUNCTION("""COMPUTED_VALUE"""),"short")</f>
        <v>short</v>
      </c>
      <c r="N1170" s="45">
        <f>IFERROR(__xludf.DUMMYFUNCTION("""COMPUTED_VALUE"""),45128.0)</f>
        <v>45128</v>
      </c>
      <c r="O1170" s="45">
        <f>IFERROR(__xludf.DUMMYFUNCTION("""COMPUTED_VALUE"""),45145.0)</f>
        <v>45145</v>
      </c>
      <c r="P1170" s="45">
        <f>IFERROR(__xludf.DUMMYFUNCTION("""COMPUTED_VALUE"""),45187.0)</f>
        <v>45187</v>
      </c>
      <c r="Q1170" s="45">
        <f>IFERROR(__xludf.DUMMYFUNCTION("""COMPUTED_VALUE"""),45144.0)</f>
        <v>45144</v>
      </c>
      <c r="R1170" s="45">
        <f>IFERROR(__xludf.DUMMYFUNCTION("""COMPUTED_VALUE"""),45187.0)</f>
        <v>45187</v>
      </c>
      <c r="S1170" s="43"/>
      <c r="T1170" s="43"/>
      <c r="U1170" s="43" t="str">
        <f>IFERROR(__xludf.DUMMYFUNCTION("""COMPUTED_VALUE"""),"Youth 4 Impact")</f>
        <v>Youth 4 Impact</v>
      </c>
      <c r="V1170" s="43" t="str">
        <f>IFERROR(__xludf.DUMMYFUNCTION("""COMPUTED_VALUE"""),"-")</f>
        <v>-</v>
      </c>
      <c r="W1170" s="43" t="str">
        <f>IFERROR(__xludf.DUMMYFUNCTION("""COMPUTED_VALUE"""),"2023-05-17T17:22:08Z")</f>
        <v>2023-05-17T17:22:08Z</v>
      </c>
      <c r="X1170" s="43"/>
      <c r="Y1170" s="43"/>
      <c r="Z1170" s="43"/>
    </row>
    <row r="1171" hidden="1">
      <c r="A1171" s="43" t="str">
        <f>IFERROR(__xludf.DUMMYFUNCTION("""COMPUTED_VALUE"""),"5284913_1295149")</f>
        <v>5284913_1295149</v>
      </c>
      <c r="B1171" s="43" t="str">
        <f>IFERROR(__xludf.DUMMYFUNCTION("""COMPUTED_VALUE"""),"Firas Gadhgadhi")</f>
        <v>Firas Gadhgadhi</v>
      </c>
      <c r="C1171" s="43" t="str">
        <f>IFERROR(__xludf.DUMMYFUNCTION("""COMPUTED_VALUE"""),"approved")</f>
        <v>approved</v>
      </c>
      <c r="D1171" s="43" t="str">
        <f>IFERROR(__xludf.DUMMYFUNCTION("""COMPUTED_VALUE"""),"No")</f>
        <v>No</v>
      </c>
      <c r="E1171" s="43" t="str">
        <f>IFERROR(__xludf.DUMMYFUNCTION("""COMPUTED_VALUE"""),"p_2c8564f281618d6cdd0769ee5814eaf357bfd878@inbound.aiesec.org")</f>
        <v>p_2c8564f281618d6cdd0769ee5814eaf357bfd878@inbound.aiesec.org</v>
      </c>
      <c r="F1171" s="43">
        <f>IFERROR(__xludf.DUMMYFUNCTION("""COMPUTED_VALUE"""),2.1441027E7)</f>
        <v>21441027</v>
      </c>
      <c r="G1171" s="43" t="str">
        <f>IFERROR(__xludf.DUMMYFUNCTION("""COMPUTED_VALUE"""),"Tunisia")</f>
        <v>Tunisia</v>
      </c>
      <c r="H1171" s="43" t="str">
        <f>IFERROR(__xludf.DUMMYFUNCTION("""COMPUTED_VALUE"""),"NABEL")</f>
        <v>NABEL</v>
      </c>
      <c r="I1171" s="43" t="str">
        <f>IFERROR(__xludf.DUMMYFUNCTION("""COMPUTED_VALUE"""),"Turkey")</f>
        <v>Turkey</v>
      </c>
      <c r="J1171" s="43" t="str">
        <f>IFERROR(__xludf.DUMMYFUNCTION("""COMPUTED_VALUE"""),"DENIZLI")</f>
        <v>DENIZLI</v>
      </c>
      <c r="K1171" s="44" t="str">
        <f>IFERROR(__xludf.DUMMYFUNCTION("""COMPUTED_VALUE"""),"https://expa.aiesec.org/opportunities/1295149")</f>
        <v>https://expa.aiesec.org/opportunities/1295149</v>
      </c>
      <c r="L1171" s="43" t="str">
        <f>IFERROR(__xludf.DUMMYFUNCTION("""COMPUTED_VALUE"""),"GV")</f>
        <v>GV</v>
      </c>
      <c r="M1171" s="43" t="str">
        <f>IFERROR(__xludf.DUMMYFUNCTION("""COMPUTED_VALUE"""),"short")</f>
        <v>short</v>
      </c>
      <c r="N1171" s="45">
        <f>IFERROR(__xludf.DUMMYFUNCTION("""COMPUTED_VALUE"""),45128.0)</f>
        <v>45128</v>
      </c>
      <c r="O1171" s="45">
        <f>IFERROR(__xludf.DUMMYFUNCTION("""COMPUTED_VALUE"""),45152.0)</f>
        <v>45152</v>
      </c>
      <c r="P1171" s="45">
        <f>IFERROR(__xludf.DUMMYFUNCTION("""COMPUTED_VALUE"""),45194.0)</f>
        <v>45194</v>
      </c>
      <c r="Q1171" s="45"/>
      <c r="R1171" s="45"/>
      <c r="S1171" s="43"/>
      <c r="T1171" s="43"/>
      <c r="U1171" s="43" t="str">
        <f>IFERROR(__xludf.DUMMYFUNCTION("""COMPUTED_VALUE"""),"Youth 4 Impact")</f>
        <v>Youth 4 Impact</v>
      </c>
      <c r="V1171" s="43" t="str">
        <f>IFERROR(__xludf.DUMMYFUNCTION("""COMPUTED_VALUE"""),"ISET Nabel")</f>
        <v>ISET Nabel</v>
      </c>
      <c r="W1171" s="43" t="str">
        <f>IFERROR(__xludf.DUMMYFUNCTION("""COMPUTED_VALUE"""),"2023-07-13T11:50:59Z")</f>
        <v>2023-07-13T11:50:59Z</v>
      </c>
      <c r="X1171" s="43"/>
      <c r="Y1171" s="43"/>
      <c r="Z1171" s="43"/>
    </row>
    <row r="1172" hidden="1">
      <c r="A1172" s="43" t="str">
        <f>IFERROR(__xludf.DUMMYFUNCTION("""COMPUTED_VALUE"""),"5286547_1283683")</f>
        <v>5286547_1283683</v>
      </c>
      <c r="B1172" s="43" t="str">
        <f>IFERROR(__xludf.DUMMYFUNCTION("""COMPUTED_VALUE"""),"Nahal Fatima")</f>
        <v>Nahal Fatima</v>
      </c>
      <c r="C1172" s="43" t="str">
        <f>IFERROR(__xludf.DUMMYFUNCTION("""COMPUTED_VALUE"""),"realization_broken")</f>
        <v>realization_broken</v>
      </c>
      <c r="D1172" s="43" t="str">
        <f>IFERROR(__xludf.DUMMYFUNCTION("""COMPUTED_VALUE"""),"No")</f>
        <v>No</v>
      </c>
      <c r="E1172" s="43" t="str">
        <f>IFERROR(__xludf.DUMMYFUNCTION("""COMPUTED_VALUE"""),"p_39c2bdd95422a24788f65a1fc075f4946a027bd7@inbound.aiesec.org")</f>
        <v>p_39c2bdd95422a24788f65a1fc075f4946a027bd7@inbound.aiesec.org</v>
      </c>
      <c r="F1172" s="43">
        <f>IFERROR(__xludf.DUMMYFUNCTION("""COMPUTED_VALUE"""),3.02867001E9)</f>
        <v>3028670010</v>
      </c>
      <c r="G1172" s="43" t="str">
        <f>IFERROR(__xludf.DUMMYFUNCTION("""COMPUTED_VALUE"""),"Pakistan")</f>
        <v>Pakistan</v>
      </c>
      <c r="H1172" s="43" t="str">
        <f>IFERROR(__xludf.DUMMYFUNCTION("""COMPUTED_VALUE"""),"Multan")</f>
        <v>Multan</v>
      </c>
      <c r="I1172" s="43" t="str">
        <f>IFERROR(__xludf.DUMMYFUNCTION("""COMPUTED_VALUE"""),"Turkey")</f>
        <v>Turkey</v>
      </c>
      <c r="J1172" s="43" t="str">
        <f>IFERROR(__xludf.DUMMYFUNCTION("""COMPUTED_VALUE"""),"GAZIANTEP")</f>
        <v>GAZIANTEP</v>
      </c>
      <c r="K1172" s="44" t="str">
        <f>IFERROR(__xludf.DUMMYFUNCTION("""COMPUTED_VALUE"""),"https://expa.aiesec.org/opportunities/1283683")</f>
        <v>https://expa.aiesec.org/opportunities/1283683</v>
      </c>
      <c r="L1172" s="43" t="str">
        <f>IFERROR(__xludf.DUMMYFUNCTION("""COMPUTED_VALUE"""),"GV")</f>
        <v>GV</v>
      </c>
      <c r="M1172" s="43" t="str">
        <f>IFERROR(__xludf.DUMMYFUNCTION("""COMPUTED_VALUE"""),"short")</f>
        <v>short</v>
      </c>
      <c r="N1172" s="45">
        <f>IFERROR(__xludf.DUMMYFUNCTION("""COMPUTED_VALUE"""),45130.0)</f>
        <v>45130</v>
      </c>
      <c r="O1172" s="45">
        <f>IFERROR(__xludf.DUMMYFUNCTION("""COMPUTED_VALUE"""),45153.0)</f>
        <v>45153</v>
      </c>
      <c r="P1172" s="45">
        <f>IFERROR(__xludf.DUMMYFUNCTION("""COMPUTED_VALUE"""),45195.0)</f>
        <v>45195</v>
      </c>
      <c r="Q1172" s="45"/>
      <c r="R1172" s="45"/>
      <c r="S1172" s="43"/>
      <c r="T1172" s="43"/>
      <c r="U1172" s="43" t="str">
        <f>IFERROR(__xludf.DUMMYFUNCTION("""COMPUTED_VALUE"""),"Global Classroom")</f>
        <v>Global Classroom</v>
      </c>
      <c r="V1172" s="43" t="str">
        <f>IFERROR(__xludf.DUMMYFUNCTION("""COMPUTED_VALUE"""),"Multan - Other")</f>
        <v>Multan - Other</v>
      </c>
      <c r="W1172" s="43" t="str">
        <f>IFERROR(__xludf.DUMMYFUNCTION("""COMPUTED_VALUE"""),"2023-07-18T09:54:48Z")</f>
        <v>2023-07-18T09:54:48Z</v>
      </c>
      <c r="X1172" s="43"/>
      <c r="Y1172" s="43"/>
      <c r="Z1172" s="43"/>
    </row>
    <row r="1173" hidden="1">
      <c r="A1173" s="43" t="str">
        <f>IFERROR(__xludf.DUMMYFUNCTION("""COMPUTED_VALUE"""),"5286770_1289505")</f>
        <v>5286770_1289505</v>
      </c>
      <c r="B1173" s="43" t="str">
        <f>IFERROR(__xludf.DUMMYFUNCTION("""COMPUTED_VALUE"""),"Taima Zorgui")</f>
        <v>Taima Zorgui</v>
      </c>
      <c r="C1173" s="43" t="str">
        <f>IFERROR(__xludf.DUMMYFUNCTION("""COMPUTED_VALUE"""),"completed")</f>
        <v>completed</v>
      </c>
      <c r="D1173" s="43" t="str">
        <f>IFERROR(__xludf.DUMMYFUNCTION("""COMPUTED_VALUE"""),"No")</f>
        <v>No</v>
      </c>
      <c r="E1173" s="43" t="str">
        <f>IFERROR(__xludf.DUMMYFUNCTION("""COMPUTED_VALUE"""),"p_e6721006cedea7229ad24ec7aff813a48e3a1b40@inbound.aiesec.org")</f>
        <v>p_e6721006cedea7229ad24ec7aff813a48e3a1b40@inbound.aiesec.org</v>
      </c>
      <c r="F1173" s="43">
        <f>IFERROR(__xludf.DUMMYFUNCTION("""COMPUTED_VALUE"""),5.6063542E7)</f>
        <v>56063542</v>
      </c>
      <c r="G1173" s="43" t="str">
        <f>IFERROR(__xludf.DUMMYFUNCTION("""COMPUTED_VALUE"""),"Tunisia")</f>
        <v>Tunisia</v>
      </c>
      <c r="H1173" s="43" t="str">
        <f>IFERROR(__xludf.DUMMYFUNCTION("""COMPUTED_VALUE"""),"Carthage")</f>
        <v>Carthage</v>
      </c>
      <c r="I1173" s="43" t="str">
        <f>IFERROR(__xludf.DUMMYFUNCTION("""COMPUTED_VALUE"""),"Turkey")</f>
        <v>Turkey</v>
      </c>
      <c r="J1173" s="43" t="str">
        <f>IFERROR(__xludf.DUMMYFUNCTION("""COMPUTED_VALUE"""),"KOCAELI")</f>
        <v>KOCAELI</v>
      </c>
      <c r="K1173" s="44" t="str">
        <f>IFERROR(__xludf.DUMMYFUNCTION("""COMPUTED_VALUE"""),"https://expa.aiesec.org/opportunities/1289505")</f>
        <v>https://expa.aiesec.org/opportunities/1289505</v>
      </c>
      <c r="L1173" s="43" t="str">
        <f>IFERROR(__xludf.DUMMYFUNCTION("""COMPUTED_VALUE"""),"GV")</f>
        <v>GV</v>
      </c>
      <c r="M1173" s="43" t="str">
        <f>IFERROR(__xludf.DUMMYFUNCTION("""COMPUTED_VALUE"""),"short")</f>
        <v>short</v>
      </c>
      <c r="N1173" s="45">
        <f>IFERROR(__xludf.DUMMYFUNCTION("""COMPUTED_VALUE"""),45130.0)</f>
        <v>45130</v>
      </c>
      <c r="O1173" s="45">
        <f>IFERROR(__xludf.DUMMYFUNCTION("""COMPUTED_VALUE"""),45145.0)</f>
        <v>45145</v>
      </c>
      <c r="P1173" s="45">
        <f>IFERROR(__xludf.DUMMYFUNCTION("""COMPUTED_VALUE"""),45187.0)</f>
        <v>45187</v>
      </c>
      <c r="Q1173" s="45">
        <f>IFERROR(__xludf.DUMMYFUNCTION("""COMPUTED_VALUE"""),45145.0)</f>
        <v>45145</v>
      </c>
      <c r="R1173" s="45">
        <f>IFERROR(__xludf.DUMMYFUNCTION("""COMPUTED_VALUE"""),45187.0)</f>
        <v>45187</v>
      </c>
      <c r="S1173" s="43"/>
      <c r="T1173" s="43"/>
      <c r="U1173" s="43" t="str">
        <f>IFERROR(__xludf.DUMMYFUNCTION("""COMPUTED_VALUE"""),"Youth 4 Impact")</f>
        <v>Youth 4 Impact</v>
      </c>
      <c r="V1173" s="43" t="str">
        <f>IFERROR(__xludf.DUMMYFUNCTION("""COMPUTED_VALUE"""),"IHEC Carthage")</f>
        <v>IHEC Carthage</v>
      </c>
      <c r="W1173" s="43" t="str">
        <f>IFERROR(__xludf.DUMMYFUNCTION("""COMPUTED_VALUE"""),"2023-07-18T16:27:26Z")</f>
        <v>2023-07-18T16:27:26Z</v>
      </c>
      <c r="X1173" s="43"/>
      <c r="Y1173" s="43"/>
      <c r="Z1173" s="43"/>
    </row>
    <row r="1174" hidden="1">
      <c r="A1174" s="43" t="str">
        <f>IFERROR(__xludf.DUMMYFUNCTION("""COMPUTED_VALUE"""),"5272104_1287488")</f>
        <v>5272104_1287488</v>
      </c>
      <c r="B1174" s="43" t="str">
        <f>IFERROR(__xludf.DUMMYFUNCTION("""COMPUTED_VALUE"""),"Lorena Juršić")</f>
        <v>Lorena Juršić</v>
      </c>
      <c r="C1174" s="43" t="str">
        <f>IFERROR(__xludf.DUMMYFUNCTION("""COMPUTED_VALUE"""),"approved")</f>
        <v>approved</v>
      </c>
      <c r="D1174" s="43" t="str">
        <f>IFERROR(__xludf.DUMMYFUNCTION("""COMPUTED_VALUE"""),"No")</f>
        <v>No</v>
      </c>
      <c r="E1174" s="43" t="str">
        <f>IFERROR(__xludf.DUMMYFUNCTION("""COMPUTED_VALUE"""),"p_3fabe4df5728a7596c6d6c85430fff28caecf5c6@inbound.aiesec.org")</f>
        <v>p_3fabe4df5728a7596c6d6c85430fff28caecf5c6@inbound.aiesec.org</v>
      </c>
      <c r="F1174" s="43"/>
      <c r="G1174" s="43" t="str">
        <f>IFERROR(__xludf.DUMMYFUNCTION("""COMPUTED_VALUE"""),"Croatia")</f>
        <v>Croatia</v>
      </c>
      <c r="H1174" s="43" t="str">
        <f>IFERROR(__xludf.DUMMYFUNCTION("""COMPUTED_VALUE"""),"ZAGREB")</f>
        <v>ZAGREB</v>
      </c>
      <c r="I1174" s="43" t="str">
        <f>IFERROR(__xludf.DUMMYFUNCTION("""COMPUTED_VALUE"""),"Turkey")</f>
        <v>Turkey</v>
      </c>
      <c r="J1174" s="43" t="str">
        <f>IFERROR(__xludf.DUMMYFUNCTION("""COMPUTED_VALUE"""),"ISTANBUL ASIA")</f>
        <v>ISTANBUL ASIA</v>
      </c>
      <c r="K1174" s="44" t="str">
        <f>IFERROR(__xludf.DUMMYFUNCTION("""COMPUTED_VALUE"""),"https://expa.aiesec.org/opportunities/1287488")</f>
        <v>https://expa.aiesec.org/opportunities/1287488</v>
      </c>
      <c r="L1174" s="43" t="str">
        <f>IFERROR(__xludf.DUMMYFUNCTION("""COMPUTED_VALUE"""),"GV")</f>
        <v>GV</v>
      </c>
      <c r="M1174" s="43" t="str">
        <f>IFERROR(__xludf.DUMMYFUNCTION("""COMPUTED_VALUE"""),"short")</f>
        <v>short</v>
      </c>
      <c r="N1174" s="45">
        <f>IFERROR(__xludf.DUMMYFUNCTION("""COMPUTED_VALUE"""),45130.0)</f>
        <v>45130</v>
      </c>
      <c r="O1174" s="45">
        <f>IFERROR(__xludf.DUMMYFUNCTION("""COMPUTED_VALUE"""),45243.0)</f>
        <v>45243</v>
      </c>
      <c r="P1174" s="45">
        <f>IFERROR(__xludf.DUMMYFUNCTION("""COMPUTED_VALUE"""),45285.0)</f>
        <v>45285</v>
      </c>
      <c r="Q1174" s="45"/>
      <c r="R1174" s="45"/>
      <c r="S1174" s="43"/>
      <c r="T1174" s="43"/>
      <c r="U1174" s="43" t="str">
        <f>IFERROR(__xludf.DUMMYFUNCTION("""COMPUTED_VALUE"""),"Global Classroom")</f>
        <v>Global Classroom</v>
      </c>
      <c r="V1174" s="43" t="str">
        <f>IFERROR(__xludf.DUMMYFUNCTION("""COMPUTED_VALUE"""),"-")</f>
        <v>-</v>
      </c>
      <c r="W1174" s="43" t="str">
        <f>IFERROR(__xludf.DUMMYFUNCTION("""COMPUTED_VALUE"""),"2023-06-06T15:45:34Z")</f>
        <v>2023-06-06T15:45:34Z</v>
      </c>
      <c r="X1174" s="43"/>
      <c r="Y1174" s="43"/>
      <c r="Z1174" s="43"/>
    </row>
    <row r="1175" hidden="1">
      <c r="A1175" s="43" t="str">
        <f>IFERROR(__xludf.DUMMYFUNCTION("""COMPUTED_VALUE"""),"5287502_1294976")</f>
        <v>5287502_1294976</v>
      </c>
      <c r="B1175" s="43" t="str">
        <f>IFERROR(__xludf.DUMMYFUNCTION("""COMPUTED_VALUE"""),"Ahmed Khattara")</f>
        <v>Ahmed Khattara</v>
      </c>
      <c r="C1175" s="43" t="str">
        <f>IFERROR(__xludf.DUMMYFUNCTION("""COMPUTED_VALUE"""),"completed")</f>
        <v>completed</v>
      </c>
      <c r="D1175" s="43" t="str">
        <f>IFERROR(__xludf.DUMMYFUNCTION("""COMPUTED_VALUE"""),"No")</f>
        <v>No</v>
      </c>
      <c r="E1175" s="43" t="str">
        <f>IFERROR(__xludf.DUMMYFUNCTION("""COMPUTED_VALUE"""),"p_152ff3f3e9c7c7a5f4dea1a8fa550a6a259e1d63@inbound.aiesec.org")</f>
        <v>p_152ff3f3e9c7c7a5f4dea1a8fa550a6a259e1d63@inbound.aiesec.org</v>
      </c>
      <c r="F1175" s="43">
        <f>IFERROR(__xludf.DUMMYFUNCTION("""COMPUTED_VALUE"""),5.41571876E8)</f>
        <v>541571876</v>
      </c>
      <c r="G1175" s="43" t="str">
        <f>IFERROR(__xludf.DUMMYFUNCTION("""COMPUTED_VALUE"""),"Algeria")</f>
        <v>Algeria</v>
      </c>
      <c r="H1175" s="43" t="str">
        <f>IFERROR(__xludf.DUMMYFUNCTION("""COMPUTED_VALUE"""),"Ouargla")</f>
        <v>Ouargla</v>
      </c>
      <c r="I1175" s="43" t="str">
        <f>IFERROR(__xludf.DUMMYFUNCTION("""COMPUTED_VALUE"""),"Turkey")</f>
        <v>Turkey</v>
      </c>
      <c r="J1175" s="43" t="str">
        <f>IFERROR(__xludf.DUMMYFUNCTION("""COMPUTED_VALUE"""),"BURSA")</f>
        <v>BURSA</v>
      </c>
      <c r="K1175" s="44" t="str">
        <f>IFERROR(__xludf.DUMMYFUNCTION("""COMPUTED_VALUE"""),"https://expa.aiesec.org/opportunities/1294976")</f>
        <v>https://expa.aiesec.org/opportunities/1294976</v>
      </c>
      <c r="L1175" s="43" t="str">
        <f>IFERROR(__xludf.DUMMYFUNCTION("""COMPUTED_VALUE"""),"GV")</f>
        <v>GV</v>
      </c>
      <c r="M1175" s="43" t="str">
        <f>IFERROR(__xludf.DUMMYFUNCTION("""COMPUTED_VALUE"""),"short")</f>
        <v>short</v>
      </c>
      <c r="N1175" s="45">
        <f>IFERROR(__xludf.DUMMYFUNCTION("""COMPUTED_VALUE"""),45131.0)</f>
        <v>45131</v>
      </c>
      <c r="O1175" s="45">
        <f>IFERROR(__xludf.DUMMYFUNCTION("""COMPUTED_VALUE"""),45131.0)</f>
        <v>45131</v>
      </c>
      <c r="P1175" s="45">
        <f>IFERROR(__xludf.DUMMYFUNCTION("""COMPUTED_VALUE"""),45173.0)</f>
        <v>45173</v>
      </c>
      <c r="Q1175" s="45">
        <f>IFERROR(__xludf.DUMMYFUNCTION("""COMPUTED_VALUE"""),45139.0)</f>
        <v>45139</v>
      </c>
      <c r="R1175" s="45">
        <f>IFERROR(__xludf.DUMMYFUNCTION("""COMPUTED_VALUE"""),45179.0)</f>
        <v>45179</v>
      </c>
      <c r="S1175" s="43"/>
      <c r="T1175" s="43"/>
      <c r="U1175" s="43" t="str">
        <f>IFERROR(__xludf.DUMMYFUNCTION("""COMPUTED_VALUE"""),"Youth 4 Impact")</f>
        <v>Youth 4 Impact</v>
      </c>
      <c r="V1175" s="43" t="str">
        <f>IFERROR(__xludf.DUMMYFUNCTION("""COMPUTED_VALUE"""),"AIESEC in Ouargla")</f>
        <v>AIESEC in Ouargla</v>
      </c>
      <c r="W1175" s="43" t="str">
        <f>IFERROR(__xludf.DUMMYFUNCTION("""COMPUTED_VALUE"""),"2023-07-20T11:49:42Z")</f>
        <v>2023-07-20T11:49:42Z</v>
      </c>
      <c r="X1175" s="43"/>
      <c r="Y1175" s="43"/>
      <c r="Z1175" s="43"/>
    </row>
    <row r="1176" hidden="1">
      <c r="A1176" s="43" t="str">
        <f>IFERROR(__xludf.DUMMYFUNCTION("""COMPUTED_VALUE"""),"4258781_1296118")</f>
        <v>4258781_1296118</v>
      </c>
      <c r="B1176" s="43" t="str">
        <f>IFERROR(__xludf.DUMMYFUNCTION("""COMPUTED_VALUE"""),"Amal Aiech")</f>
        <v>Amal Aiech</v>
      </c>
      <c r="C1176" s="43" t="str">
        <f>IFERROR(__xludf.DUMMYFUNCTION("""COMPUTED_VALUE"""),"completed")</f>
        <v>completed</v>
      </c>
      <c r="D1176" s="43" t="str">
        <f>IFERROR(__xludf.DUMMYFUNCTION("""COMPUTED_VALUE"""),"No")</f>
        <v>No</v>
      </c>
      <c r="E1176" s="43" t="str">
        <f>IFERROR(__xludf.DUMMYFUNCTION("""COMPUTED_VALUE"""),"p_e72b2f607d31507d2280bc57581548ed5c6296f4@inbound.aiesec.org")</f>
        <v>p_e72b2f607d31507d2280bc57581548ed5c6296f4@inbound.aiesec.org</v>
      </c>
      <c r="F1176" s="43">
        <f>IFERROR(__xludf.DUMMYFUNCTION("""COMPUTED_VALUE"""),5.49572183E8)</f>
        <v>549572183</v>
      </c>
      <c r="G1176" s="43" t="str">
        <f>IFERROR(__xludf.DUMMYFUNCTION("""COMPUTED_VALUE"""),"Algeria")</f>
        <v>Algeria</v>
      </c>
      <c r="H1176" s="43" t="str">
        <f>IFERROR(__xludf.DUMMYFUNCTION("""COMPUTED_VALUE"""),"Ouargla")</f>
        <v>Ouargla</v>
      </c>
      <c r="I1176" s="43" t="str">
        <f>IFERROR(__xludf.DUMMYFUNCTION("""COMPUTED_VALUE"""),"Turkey")</f>
        <v>Turkey</v>
      </c>
      <c r="J1176" s="43" t="str">
        <f>IFERROR(__xludf.DUMMYFUNCTION("""COMPUTED_VALUE"""),"ISTANBUL WEST")</f>
        <v>ISTANBUL WEST</v>
      </c>
      <c r="K1176" s="44" t="str">
        <f>IFERROR(__xludf.DUMMYFUNCTION("""COMPUTED_VALUE"""),"https://expa.aiesec.org/opportunities/1296118")</f>
        <v>https://expa.aiesec.org/opportunities/1296118</v>
      </c>
      <c r="L1176" s="43" t="str">
        <f>IFERROR(__xludf.DUMMYFUNCTION("""COMPUTED_VALUE"""),"GV")</f>
        <v>GV</v>
      </c>
      <c r="M1176" s="43" t="str">
        <f>IFERROR(__xludf.DUMMYFUNCTION("""COMPUTED_VALUE"""),"short")</f>
        <v>short</v>
      </c>
      <c r="N1176" s="45">
        <f>IFERROR(__xludf.DUMMYFUNCTION("""COMPUTED_VALUE"""),45131.0)</f>
        <v>45131</v>
      </c>
      <c r="O1176" s="45">
        <f>IFERROR(__xludf.DUMMYFUNCTION("""COMPUTED_VALUE"""),45201.0)</f>
        <v>45201</v>
      </c>
      <c r="P1176" s="45">
        <f>IFERROR(__xludf.DUMMYFUNCTION("""COMPUTED_VALUE"""),45243.0)</f>
        <v>45243</v>
      </c>
      <c r="Q1176" s="45">
        <f>IFERROR(__xludf.DUMMYFUNCTION("""COMPUTED_VALUE"""),45214.0)</f>
        <v>45214</v>
      </c>
      <c r="R1176" s="45">
        <f>IFERROR(__xludf.DUMMYFUNCTION("""COMPUTED_VALUE"""),45257.0)</f>
        <v>45257</v>
      </c>
      <c r="S1176" s="43"/>
      <c r="T1176" s="43"/>
      <c r="U1176" s="43" t="str">
        <f>IFERROR(__xludf.DUMMYFUNCTION("""COMPUTED_VALUE"""),"Fingerprint")</f>
        <v>Fingerprint</v>
      </c>
      <c r="V1176" s="43" t="str">
        <f>IFERROR(__xludf.DUMMYFUNCTION("""COMPUTED_VALUE"""),"AIESEC in Benak")</f>
        <v>AIESEC in Benak</v>
      </c>
      <c r="W1176" s="43" t="str">
        <f>IFERROR(__xludf.DUMMYFUNCTION("""COMPUTED_VALUE"""),"2020-03-16T12:00:41Z")</f>
        <v>2020-03-16T12:00:41Z</v>
      </c>
      <c r="X1176" s="43"/>
      <c r="Y1176" s="43"/>
      <c r="Z1176" s="43"/>
    </row>
    <row r="1177" hidden="1">
      <c r="A1177" s="43" t="str">
        <f>IFERROR(__xludf.DUMMYFUNCTION("""COMPUTED_VALUE"""),"5182527_1288393")</f>
        <v>5182527_1288393</v>
      </c>
      <c r="B1177" s="43" t="str">
        <f>IFERROR(__xludf.DUMMYFUNCTION("""COMPUTED_VALUE"""),"Sirine Kerkeni")</f>
        <v>Sirine Kerkeni</v>
      </c>
      <c r="C1177" s="43" t="str">
        <f>IFERROR(__xludf.DUMMYFUNCTION("""COMPUTED_VALUE"""),"completed")</f>
        <v>completed</v>
      </c>
      <c r="D1177" s="43" t="str">
        <f>IFERROR(__xludf.DUMMYFUNCTION("""COMPUTED_VALUE"""),"No")</f>
        <v>No</v>
      </c>
      <c r="E1177" s="43" t="str">
        <f>IFERROR(__xludf.DUMMYFUNCTION("""COMPUTED_VALUE"""),"p_e9f7bea11696ff5648d612f52fdb127a1e789cd8@inbound.aiesec.org")</f>
        <v>p_e9f7bea11696ff5648d612f52fdb127a1e789cd8@inbound.aiesec.org</v>
      </c>
      <c r="F1177" s="43">
        <f>IFERROR(__xludf.DUMMYFUNCTION("""COMPUTED_VALUE"""),2.7106629E7)</f>
        <v>27106629</v>
      </c>
      <c r="G1177" s="43" t="str">
        <f>IFERROR(__xludf.DUMMYFUNCTION("""COMPUTED_VALUE"""),"Tunisia")</f>
        <v>Tunisia</v>
      </c>
      <c r="H1177" s="43" t="str">
        <f>IFERROR(__xludf.DUMMYFUNCTION("""COMPUTED_VALUE"""),"BARDO")</f>
        <v>BARDO</v>
      </c>
      <c r="I1177" s="43" t="str">
        <f>IFERROR(__xludf.DUMMYFUNCTION("""COMPUTED_VALUE"""),"Turkey")</f>
        <v>Turkey</v>
      </c>
      <c r="J1177" s="43" t="str">
        <f>IFERROR(__xludf.DUMMYFUNCTION("""COMPUTED_VALUE"""),"ISTANBUL")</f>
        <v>ISTANBUL</v>
      </c>
      <c r="K1177" s="44" t="str">
        <f>IFERROR(__xludf.DUMMYFUNCTION("""COMPUTED_VALUE"""),"https://expa.aiesec.org/opportunities/1288393")</f>
        <v>https://expa.aiesec.org/opportunities/1288393</v>
      </c>
      <c r="L1177" s="43" t="str">
        <f>IFERROR(__xludf.DUMMYFUNCTION("""COMPUTED_VALUE"""),"GV")</f>
        <v>GV</v>
      </c>
      <c r="M1177" s="43" t="str">
        <f>IFERROR(__xludf.DUMMYFUNCTION("""COMPUTED_VALUE"""),"short")</f>
        <v>short</v>
      </c>
      <c r="N1177" s="45">
        <f>IFERROR(__xludf.DUMMYFUNCTION("""COMPUTED_VALUE"""),45131.0)</f>
        <v>45131</v>
      </c>
      <c r="O1177" s="45">
        <f>IFERROR(__xludf.DUMMYFUNCTION("""COMPUTED_VALUE"""),45152.0)</f>
        <v>45152</v>
      </c>
      <c r="P1177" s="45">
        <f>IFERROR(__xludf.DUMMYFUNCTION("""COMPUTED_VALUE"""),45194.0)</f>
        <v>45194</v>
      </c>
      <c r="Q1177" s="45">
        <f>IFERROR(__xludf.DUMMYFUNCTION("""COMPUTED_VALUE"""),45156.0)</f>
        <v>45156</v>
      </c>
      <c r="R1177" s="45">
        <f>IFERROR(__xludf.DUMMYFUNCTION("""COMPUTED_VALUE"""),45198.0)</f>
        <v>45198</v>
      </c>
      <c r="S1177" s="43"/>
      <c r="T1177" s="43"/>
      <c r="U1177" s="43" t="str">
        <f>IFERROR(__xludf.DUMMYFUNCTION("""COMPUTED_VALUE"""),"Global Classroom")</f>
        <v>Global Classroom</v>
      </c>
      <c r="V1177" s="43" t="str">
        <f>IFERROR(__xludf.DUMMYFUNCTION("""COMPUTED_VALUE"""),"TBS")</f>
        <v>TBS</v>
      </c>
      <c r="W1177" s="43" t="str">
        <f>IFERROR(__xludf.DUMMYFUNCTION("""COMPUTED_VALUE"""),"2023-01-30T23:31:17Z")</f>
        <v>2023-01-30T23:31:17Z</v>
      </c>
      <c r="X1177" s="43"/>
      <c r="Y1177" s="43"/>
      <c r="Z1177" s="43"/>
    </row>
    <row r="1178" hidden="1">
      <c r="A1178" s="43" t="str">
        <f>IFERROR(__xludf.DUMMYFUNCTION("""COMPUTED_VALUE"""),"5285617_1289505")</f>
        <v>5285617_1289505</v>
      </c>
      <c r="B1178" s="43" t="str">
        <f>IFERROR(__xludf.DUMMYFUNCTION("""COMPUTED_VALUE"""),"Sarah Belaid")</f>
        <v>Sarah Belaid</v>
      </c>
      <c r="C1178" s="43" t="str">
        <f>IFERROR(__xludf.DUMMYFUNCTION("""COMPUTED_VALUE"""),"completed")</f>
        <v>completed</v>
      </c>
      <c r="D1178" s="43" t="str">
        <f>IFERROR(__xludf.DUMMYFUNCTION("""COMPUTED_VALUE"""),"No")</f>
        <v>No</v>
      </c>
      <c r="E1178" s="43" t="str">
        <f>IFERROR(__xludf.DUMMYFUNCTION("""COMPUTED_VALUE"""),"p_56f7bad6d1ed51de82b5aefcf8dbb11266774301@inbound.aiesec.org")</f>
        <v>p_56f7bad6d1ed51de82b5aefcf8dbb11266774301@inbound.aiesec.org</v>
      </c>
      <c r="F1178" s="43">
        <f>IFERROR(__xludf.DUMMYFUNCTION("""COMPUTED_VALUE"""),5.41978296E8)</f>
        <v>541978296</v>
      </c>
      <c r="G1178" s="43" t="str">
        <f>IFERROR(__xludf.DUMMYFUNCTION("""COMPUTED_VALUE"""),"Algeria")</f>
        <v>Algeria</v>
      </c>
      <c r="H1178" s="43" t="str">
        <f>IFERROR(__xludf.DUMMYFUNCTION("""COMPUTED_VALUE"""),"Babez")</f>
        <v>Babez</v>
      </c>
      <c r="I1178" s="43" t="str">
        <f>IFERROR(__xludf.DUMMYFUNCTION("""COMPUTED_VALUE"""),"Turkey")</f>
        <v>Turkey</v>
      </c>
      <c r="J1178" s="43" t="str">
        <f>IFERROR(__xludf.DUMMYFUNCTION("""COMPUTED_VALUE"""),"KOCAELI")</f>
        <v>KOCAELI</v>
      </c>
      <c r="K1178" s="44" t="str">
        <f>IFERROR(__xludf.DUMMYFUNCTION("""COMPUTED_VALUE"""),"https://expa.aiesec.org/opportunities/1289505")</f>
        <v>https://expa.aiesec.org/opportunities/1289505</v>
      </c>
      <c r="L1178" s="43" t="str">
        <f>IFERROR(__xludf.DUMMYFUNCTION("""COMPUTED_VALUE"""),"GV")</f>
        <v>GV</v>
      </c>
      <c r="M1178" s="43" t="str">
        <f>IFERROR(__xludf.DUMMYFUNCTION("""COMPUTED_VALUE"""),"short")</f>
        <v>short</v>
      </c>
      <c r="N1178" s="45">
        <f>IFERROR(__xludf.DUMMYFUNCTION("""COMPUTED_VALUE"""),45131.0)</f>
        <v>45131</v>
      </c>
      <c r="O1178" s="45">
        <f>IFERROR(__xludf.DUMMYFUNCTION("""COMPUTED_VALUE"""),45159.0)</f>
        <v>45159</v>
      </c>
      <c r="P1178" s="45">
        <f>IFERROR(__xludf.DUMMYFUNCTION("""COMPUTED_VALUE"""),45201.0)</f>
        <v>45201</v>
      </c>
      <c r="Q1178" s="45">
        <f>IFERROR(__xludf.DUMMYFUNCTION("""COMPUTED_VALUE"""),45169.0)</f>
        <v>45169</v>
      </c>
      <c r="R1178" s="45">
        <f>IFERROR(__xludf.DUMMYFUNCTION("""COMPUTED_VALUE"""),45211.0)</f>
        <v>45211</v>
      </c>
      <c r="S1178" s="43"/>
      <c r="T1178" s="43"/>
      <c r="U1178" s="43" t="str">
        <f>IFERROR(__xludf.DUMMYFUNCTION("""COMPUTED_VALUE"""),"Youth 4 Impact")</f>
        <v>Youth 4 Impact</v>
      </c>
      <c r="V1178" s="43" t="str">
        <f>IFERROR(__xludf.DUMMYFUNCTION("""COMPUTED_VALUE"""),"AIESEC in Babez")</f>
        <v>AIESEC in Babez</v>
      </c>
      <c r="W1178" s="43" t="str">
        <f>IFERROR(__xludf.DUMMYFUNCTION("""COMPUTED_VALUE"""),"2023-07-15T20:59:42Z")</f>
        <v>2023-07-15T20:59:42Z</v>
      </c>
      <c r="X1178" s="43"/>
      <c r="Y1178" s="43"/>
      <c r="Z1178" s="43"/>
    </row>
    <row r="1179" hidden="1">
      <c r="A1179" s="43" t="str">
        <f>IFERROR(__xludf.DUMMYFUNCTION("""COMPUTED_VALUE"""),"4219762_1294211")</f>
        <v>4219762_1294211</v>
      </c>
      <c r="B1179" s="43" t="str">
        <f>IFERROR(__xludf.DUMMYFUNCTION("""COMPUTED_VALUE"""),"Mennatallah Ali")</f>
        <v>Mennatallah Ali</v>
      </c>
      <c r="C1179" s="43" t="str">
        <f>IFERROR(__xludf.DUMMYFUNCTION("""COMPUTED_VALUE"""),"approved")</f>
        <v>approved</v>
      </c>
      <c r="D1179" s="43" t="str">
        <f>IFERROR(__xludf.DUMMYFUNCTION("""COMPUTED_VALUE"""),"No")</f>
        <v>No</v>
      </c>
      <c r="E1179" s="43" t="str">
        <f>IFERROR(__xludf.DUMMYFUNCTION("""COMPUTED_VALUE"""),"p_198f4451cdb1773150dd6bd0120583056f452b44@inbound.aiesec.org")</f>
        <v>p_198f4451cdb1773150dd6bd0120583056f452b44@inbound.aiesec.org</v>
      </c>
      <c r="F1179" s="43">
        <f>IFERROR(__xludf.DUMMYFUNCTION("""COMPUTED_VALUE"""),1.029617021E9)</f>
        <v>1029617021</v>
      </c>
      <c r="G1179" s="43" t="str">
        <f>IFERROR(__xludf.DUMMYFUNCTION("""COMPUTED_VALUE"""),"Egypt")</f>
        <v>Egypt</v>
      </c>
      <c r="H1179" s="43" t="str">
        <f>IFERROR(__xludf.DUMMYFUNCTION("""COMPUTED_VALUE"""),"Helwan")</f>
        <v>Helwan</v>
      </c>
      <c r="I1179" s="43" t="str">
        <f>IFERROR(__xludf.DUMMYFUNCTION("""COMPUTED_VALUE"""),"Turkey")</f>
        <v>Turkey</v>
      </c>
      <c r="J1179" s="43" t="str">
        <f>IFERROR(__xludf.DUMMYFUNCTION("""COMPUTED_VALUE"""),"KUTAHYA")</f>
        <v>KUTAHYA</v>
      </c>
      <c r="K1179" s="44" t="str">
        <f>IFERROR(__xludf.DUMMYFUNCTION("""COMPUTED_VALUE"""),"https://expa.aiesec.org/opportunities/1294211")</f>
        <v>https://expa.aiesec.org/opportunities/1294211</v>
      </c>
      <c r="L1179" s="43" t="str">
        <f>IFERROR(__xludf.DUMMYFUNCTION("""COMPUTED_VALUE"""),"GV")</f>
        <v>GV</v>
      </c>
      <c r="M1179" s="43" t="str">
        <f>IFERROR(__xludf.DUMMYFUNCTION("""COMPUTED_VALUE"""),"short")</f>
        <v>short</v>
      </c>
      <c r="N1179" s="45">
        <f>IFERROR(__xludf.DUMMYFUNCTION("""COMPUTED_VALUE"""),45131.0)</f>
        <v>45131</v>
      </c>
      <c r="O1179" s="45">
        <f>IFERROR(__xludf.DUMMYFUNCTION("""COMPUTED_VALUE"""),45236.0)</f>
        <v>45236</v>
      </c>
      <c r="P1179" s="45">
        <f>IFERROR(__xludf.DUMMYFUNCTION("""COMPUTED_VALUE"""),45278.0)</f>
        <v>45278</v>
      </c>
      <c r="Q1179" s="45"/>
      <c r="R1179" s="45"/>
      <c r="S1179" s="43"/>
      <c r="T1179" s="43"/>
      <c r="U1179" s="43" t="str">
        <f>IFERROR(__xludf.DUMMYFUNCTION("""COMPUTED_VALUE"""),"Rooted")</f>
        <v>Rooted</v>
      </c>
      <c r="V1179" s="43" t="str">
        <f>IFERROR(__xludf.DUMMYFUNCTION("""COMPUTED_VALUE"""),"Helwan University")</f>
        <v>Helwan University</v>
      </c>
      <c r="W1179" s="43" t="str">
        <f>IFERROR(__xludf.DUMMYFUNCTION("""COMPUTED_VALUE"""),"2020-02-27T13:26:36Z")</f>
        <v>2020-02-27T13:26:36Z</v>
      </c>
      <c r="X1179" s="43"/>
      <c r="Y1179" s="43"/>
      <c r="Z1179" s="43"/>
    </row>
    <row r="1180" hidden="1">
      <c r="A1180" s="43" t="str">
        <f>IFERROR(__xludf.DUMMYFUNCTION("""COMPUTED_VALUE"""),"5287443_1288582")</f>
        <v>5287443_1288582</v>
      </c>
      <c r="B1180" s="43" t="str">
        <f>IFERROR(__xludf.DUMMYFUNCTION("""COMPUTED_VALUE"""),"Dilnaz Mukataeva")</f>
        <v>Dilnaz Mukataeva</v>
      </c>
      <c r="C1180" s="43" t="str">
        <f>IFERROR(__xludf.DUMMYFUNCTION("""COMPUTED_VALUE"""),"completed")</f>
        <v>completed</v>
      </c>
      <c r="D1180" s="43" t="str">
        <f>IFERROR(__xludf.DUMMYFUNCTION("""COMPUTED_VALUE"""),"No")</f>
        <v>No</v>
      </c>
      <c r="E1180" s="43" t="str">
        <f>IFERROR(__xludf.DUMMYFUNCTION("""COMPUTED_VALUE"""),"p_be34dcd888f49fadd71aa38a46ed37ba486a3051@inbound.aiesec.org")</f>
        <v>p_be34dcd888f49fadd71aa38a46ed37ba486a3051@inbound.aiesec.org</v>
      </c>
      <c r="F1180" s="43">
        <f>IFERROR(__xludf.DUMMYFUNCTION("""COMPUTED_VALUE"""),7.473622476E9)</f>
        <v>7473622476</v>
      </c>
      <c r="G1180" s="43" t="str">
        <f>IFERROR(__xludf.DUMMYFUNCTION("""COMPUTED_VALUE"""),"Kazakhstan")</f>
        <v>Kazakhstan</v>
      </c>
      <c r="H1180" s="43" t="str">
        <f>IFERROR(__xludf.DUMMYFUNCTION("""COMPUTED_VALUE"""),"ALMATY")</f>
        <v>ALMATY</v>
      </c>
      <c r="I1180" s="43" t="str">
        <f>IFERROR(__xludf.DUMMYFUNCTION("""COMPUTED_VALUE"""),"Turkey")</f>
        <v>Turkey</v>
      </c>
      <c r="J1180" s="43" t="str">
        <f>IFERROR(__xludf.DUMMYFUNCTION("""COMPUTED_VALUE"""),"GAZIANTEP")</f>
        <v>GAZIANTEP</v>
      </c>
      <c r="K1180" s="44" t="str">
        <f>IFERROR(__xludf.DUMMYFUNCTION("""COMPUTED_VALUE"""),"https://expa.aiesec.org/opportunities/1288582")</f>
        <v>https://expa.aiesec.org/opportunities/1288582</v>
      </c>
      <c r="L1180" s="43" t="str">
        <f>IFERROR(__xludf.DUMMYFUNCTION("""COMPUTED_VALUE"""),"GV")</f>
        <v>GV</v>
      </c>
      <c r="M1180" s="43" t="str">
        <f>IFERROR(__xludf.DUMMYFUNCTION("""COMPUTED_VALUE"""),"short")</f>
        <v>short</v>
      </c>
      <c r="N1180" s="45">
        <f>IFERROR(__xludf.DUMMYFUNCTION("""COMPUTED_VALUE"""),45132.0)</f>
        <v>45132</v>
      </c>
      <c r="O1180" s="45">
        <f>IFERROR(__xludf.DUMMYFUNCTION("""COMPUTED_VALUE"""),45140.0)</f>
        <v>45140</v>
      </c>
      <c r="P1180" s="45">
        <f>IFERROR(__xludf.DUMMYFUNCTION("""COMPUTED_VALUE"""),45182.0)</f>
        <v>45182</v>
      </c>
      <c r="Q1180" s="45">
        <f>IFERROR(__xludf.DUMMYFUNCTION("""COMPUTED_VALUE"""),45138.0)</f>
        <v>45138</v>
      </c>
      <c r="R1180" s="45">
        <f>IFERROR(__xludf.DUMMYFUNCTION("""COMPUTED_VALUE"""),45182.0)</f>
        <v>45182</v>
      </c>
      <c r="S1180" s="43"/>
      <c r="T1180" s="43"/>
      <c r="U1180" s="43" t="str">
        <f>IFERROR(__xludf.DUMMYFUNCTION("""COMPUTED_VALUE"""),"Global Classroom")</f>
        <v>Global Classroom</v>
      </c>
      <c r="V1180" s="43" t="str">
        <f>IFERROR(__xludf.DUMMYFUNCTION("""COMPUTED_VALUE"""),"Almaty")</f>
        <v>Almaty</v>
      </c>
      <c r="W1180" s="43" t="str">
        <f>IFERROR(__xludf.DUMMYFUNCTION("""COMPUTED_VALUE"""),"2023-07-20T09:07:21Z")</f>
        <v>2023-07-20T09:07:21Z</v>
      </c>
      <c r="X1180" s="43"/>
      <c r="Y1180" s="43"/>
      <c r="Z1180" s="43"/>
    </row>
    <row r="1181" hidden="1">
      <c r="A1181" s="43" t="str">
        <f>IFERROR(__xludf.DUMMYFUNCTION("""COMPUTED_VALUE"""),"5282577_1288490")</f>
        <v>5282577_1288490</v>
      </c>
      <c r="B1181" s="43" t="str">
        <f>IFERROR(__xludf.DUMMYFUNCTION("""COMPUTED_VALUE"""),"Abderrahmane Khiari")</f>
        <v>Abderrahmane Khiari</v>
      </c>
      <c r="C1181" s="43" t="str">
        <f>IFERROR(__xludf.DUMMYFUNCTION("""COMPUTED_VALUE"""),"approved")</f>
        <v>approved</v>
      </c>
      <c r="D1181" s="43" t="str">
        <f>IFERROR(__xludf.DUMMYFUNCTION("""COMPUTED_VALUE"""),"No")</f>
        <v>No</v>
      </c>
      <c r="E1181" s="43" t="str">
        <f>IFERROR(__xludf.DUMMYFUNCTION("""COMPUTED_VALUE"""),"p_d5b2aeab81a4c379bb80774e83b2fecc249c76ae@inbound.aiesec.org")</f>
        <v>p_d5b2aeab81a4c379bb80774e83b2fecc249c76ae@inbound.aiesec.org</v>
      </c>
      <c r="F1181" s="43">
        <f>IFERROR(__xludf.DUMMYFUNCTION("""COMPUTED_VALUE"""),5.5679681E8)</f>
        <v>556796810</v>
      </c>
      <c r="G1181" s="43" t="str">
        <f>IFERROR(__xludf.DUMMYFUNCTION("""COMPUTED_VALUE"""),"Algeria")</f>
        <v>Algeria</v>
      </c>
      <c r="H1181" s="43" t="str">
        <f>IFERROR(__xludf.DUMMYFUNCTION("""COMPUTED_VALUE"""),"Constantine")</f>
        <v>Constantine</v>
      </c>
      <c r="I1181" s="43" t="str">
        <f>IFERROR(__xludf.DUMMYFUNCTION("""COMPUTED_VALUE"""),"Turkey")</f>
        <v>Turkey</v>
      </c>
      <c r="J1181" s="43" t="str">
        <f>IFERROR(__xludf.DUMMYFUNCTION("""COMPUTED_VALUE"""),"ISPARTA")</f>
        <v>ISPARTA</v>
      </c>
      <c r="K1181" s="44" t="str">
        <f>IFERROR(__xludf.DUMMYFUNCTION("""COMPUTED_VALUE"""),"https://expa.aiesec.org/opportunities/1288490")</f>
        <v>https://expa.aiesec.org/opportunities/1288490</v>
      </c>
      <c r="L1181" s="43" t="str">
        <f>IFERROR(__xludf.DUMMYFUNCTION("""COMPUTED_VALUE"""),"GV")</f>
        <v>GV</v>
      </c>
      <c r="M1181" s="43" t="str">
        <f>IFERROR(__xludf.DUMMYFUNCTION("""COMPUTED_VALUE"""),"short")</f>
        <v>short</v>
      </c>
      <c r="N1181" s="45">
        <f>IFERROR(__xludf.DUMMYFUNCTION("""COMPUTED_VALUE"""),45132.0)</f>
        <v>45132</v>
      </c>
      <c r="O1181" s="45">
        <f>IFERROR(__xludf.DUMMYFUNCTION("""COMPUTED_VALUE"""),45173.0)</f>
        <v>45173</v>
      </c>
      <c r="P1181" s="45">
        <f>IFERROR(__xludf.DUMMYFUNCTION("""COMPUTED_VALUE"""),45215.0)</f>
        <v>45215</v>
      </c>
      <c r="Q1181" s="45"/>
      <c r="R1181" s="45"/>
      <c r="S1181" s="43"/>
      <c r="T1181" s="43"/>
      <c r="U1181" s="43" t="str">
        <f>IFERROR(__xludf.DUMMYFUNCTION("""COMPUTED_VALUE"""),"Global Classroom")</f>
        <v>Global Classroom</v>
      </c>
      <c r="V1181" s="43" t="str">
        <f>IFERROR(__xludf.DUMMYFUNCTION("""COMPUTED_VALUE"""),"AIESEC in Constantine")</f>
        <v>AIESEC in Constantine</v>
      </c>
      <c r="W1181" s="43" t="str">
        <f>IFERROR(__xludf.DUMMYFUNCTION("""COMPUTED_VALUE"""),"2023-07-05T23:58:31Z")</f>
        <v>2023-07-05T23:58:31Z</v>
      </c>
      <c r="X1181" s="43"/>
      <c r="Y1181" s="43"/>
      <c r="Z1181" s="43"/>
    </row>
    <row r="1182" hidden="1">
      <c r="A1182" s="43" t="str">
        <f>IFERROR(__xludf.DUMMYFUNCTION("""COMPUTED_VALUE"""),"5287548_1296818")</f>
        <v>5287548_1296818</v>
      </c>
      <c r="B1182" s="43" t="str">
        <f>IFERROR(__xludf.DUMMYFUNCTION("""COMPUTED_VALUE"""),"Freya Jain")</f>
        <v>Freya Jain</v>
      </c>
      <c r="C1182" s="43" t="str">
        <f>IFERROR(__xludf.DUMMYFUNCTION("""COMPUTED_VALUE"""),"realization_broken")</f>
        <v>realization_broken</v>
      </c>
      <c r="D1182" s="43" t="str">
        <f>IFERROR(__xludf.DUMMYFUNCTION("""COMPUTED_VALUE"""),"No")</f>
        <v>No</v>
      </c>
      <c r="E1182" s="43" t="str">
        <f>IFERROR(__xludf.DUMMYFUNCTION("""COMPUTED_VALUE"""),"p_3d00d4a9696b0dde4846c09aabe31597515ee6ac@inbound.aiesec.org")</f>
        <v>p_3d00d4a9696b0dde4846c09aabe31597515ee6ac@inbound.aiesec.org</v>
      </c>
      <c r="F1182" s="43">
        <f>IFERROR(__xludf.DUMMYFUNCTION("""COMPUTED_VALUE"""),8.975672158E9)</f>
        <v>8975672158</v>
      </c>
      <c r="G1182" s="43" t="str">
        <f>IFERROR(__xludf.DUMMYFUNCTION("""COMPUTED_VALUE"""),"India")</f>
        <v>India</v>
      </c>
      <c r="H1182" s="43" t="str">
        <f>IFERROR(__xludf.DUMMYFUNCTION("""COMPUTED_VALUE"""),"Pune")</f>
        <v>Pune</v>
      </c>
      <c r="I1182" s="43" t="str">
        <f>IFERROR(__xludf.DUMMYFUNCTION("""COMPUTED_VALUE"""),"Turkey")</f>
        <v>Turkey</v>
      </c>
      <c r="J1182" s="43" t="str">
        <f>IFERROR(__xludf.DUMMYFUNCTION("""COMPUTED_VALUE"""),"ESKISEHIR")</f>
        <v>ESKISEHIR</v>
      </c>
      <c r="K1182" s="44" t="str">
        <f>IFERROR(__xludf.DUMMYFUNCTION("""COMPUTED_VALUE"""),"https://expa.aiesec.org/opportunities/1296818")</f>
        <v>https://expa.aiesec.org/opportunities/1296818</v>
      </c>
      <c r="L1182" s="43" t="str">
        <f>IFERROR(__xludf.DUMMYFUNCTION("""COMPUTED_VALUE"""),"GV")</f>
        <v>GV</v>
      </c>
      <c r="M1182" s="43" t="str">
        <f>IFERROR(__xludf.DUMMYFUNCTION("""COMPUTED_VALUE"""),"short")</f>
        <v>short</v>
      </c>
      <c r="N1182" s="45">
        <f>IFERROR(__xludf.DUMMYFUNCTION("""COMPUTED_VALUE"""),45132.0)</f>
        <v>45132</v>
      </c>
      <c r="O1182" s="45">
        <f>IFERROR(__xludf.DUMMYFUNCTION("""COMPUTED_VALUE"""),45173.0)</f>
        <v>45173</v>
      </c>
      <c r="P1182" s="45">
        <f>IFERROR(__xludf.DUMMYFUNCTION("""COMPUTED_VALUE"""),45215.0)</f>
        <v>45215</v>
      </c>
      <c r="Q1182" s="45"/>
      <c r="R1182" s="45"/>
      <c r="S1182" s="43"/>
      <c r="T1182" s="43"/>
      <c r="U1182" s="43" t="str">
        <f>IFERROR(__xludf.DUMMYFUNCTION("""COMPUTED_VALUE"""),"Global Classroom")</f>
        <v>Global Classroom</v>
      </c>
      <c r="V1182" s="43" t="str">
        <f>IFERROR(__xludf.DUMMYFUNCTION("""COMPUTED_VALUE"""),"Pune")</f>
        <v>Pune</v>
      </c>
      <c r="W1182" s="43" t="str">
        <f>IFERROR(__xludf.DUMMYFUNCTION("""COMPUTED_VALUE"""),"2023-07-20T14:15:52Z")</f>
        <v>2023-07-20T14:15:52Z</v>
      </c>
      <c r="X1182" s="43"/>
      <c r="Y1182" s="43"/>
      <c r="Z1182" s="43"/>
    </row>
    <row r="1183" hidden="1">
      <c r="A1183" s="43" t="str">
        <f>IFERROR(__xludf.DUMMYFUNCTION("""COMPUTED_VALUE"""),"5289957_1295285")</f>
        <v>5289957_1295285</v>
      </c>
      <c r="B1183" s="43" t="str">
        <f>IFERROR(__xludf.DUMMYFUNCTION("""COMPUTED_VALUE"""),"chada mensi")</f>
        <v>chada mensi</v>
      </c>
      <c r="C1183" s="43" t="str">
        <f>IFERROR(__xludf.DUMMYFUNCTION("""COMPUTED_VALUE"""),"completed")</f>
        <v>completed</v>
      </c>
      <c r="D1183" s="43" t="str">
        <f>IFERROR(__xludf.DUMMYFUNCTION("""COMPUTED_VALUE"""),"No")</f>
        <v>No</v>
      </c>
      <c r="E1183" s="43" t="str">
        <f>IFERROR(__xludf.DUMMYFUNCTION("""COMPUTED_VALUE"""),"p_0e15242099f4212c58b5c92affa864061e19d945@inbound.aiesec.org")</f>
        <v>p_0e15242099f4212c58b5c92affa864061e19d945@inbound.aiesec.org</v>
      </c>
      <c r="F1183" s="43">
        <f>IFERROR(__xludf.DUMMYFUNCTION("""COMPUTED_VALUE"""),5.2755313E7)</f>
        <v>52755313</v>
      </c>
      <c r="G1183" s="43" t="str">
        <f>IFERROR(__xludf.DUMMYFUNCTION("""COMPUTED_VALUE"""),"Tunisia")</f>
        <v>Tunisia</v>
      </c>
      <c r="H1183" s="43" t="str">
        <f>IFERROR(__xludf.DUMMYFUNCTION("""COMPUTED_VALUE"""),"HADRUMET")</f>
        <v>HADRUMET</v>
      </c>
      <c r="I1183" s="43" t="str">
        <f>IFERROR(__xludf.DUMMYFUNCTION("""COMPUTED_VALUE"""),"Turkey")</f>
        <v>Turkey</v>
      </c>
      <c r="J1183" s="43" t="str">
        <f>IFERROR(__xludf.DUMMYFUNCTION("""COMPUTED_VALUE"""),"ISTANBUL WEST")</f>
        <v>ISTANBUL WEST</v>
      </c>
      <c r="K1183" s="44" t="str">
        <f>IFERROR(__xludf.DUMMYFUNCTION("""COMPUTED_VALUE"""),"https://expa.aiesec.org/opportunities/1295285")</f>
        <v>https://expa.aiesec.org/opportunities/1295285</v>
      </c>
      <c r="L1183" s="43" t="str">
        <f>IFERROR(__xludf.DUMMYFUNCTION("""COMPUTED_VALUE"""),"GV")</f>
        <v>GV</v>
      </c>
      <c r="M1183" s="43" t="str">
        <f>IFERROR(__xludf.DUMMYFUNCTION("""COMPUTED_VALUE"""),"short")</f>
        <v>short</v>
      </c>
      <c r="N1183" s="45">
        <f>IFERROR(__xludf.DUMMYFUNCTION("""COMPUTED_VALUE"""),45133.0)</f>
        <v>45133</v>
      </c>
      <c r="O1183" s="45">
        <f>IFERROR(__xludf.DUMMYFUNCTION("""COMPUTED_VALUE"""),45159.0)</f>
        <v>45159</v>
      </c>
      <c r="P1183" s="45">
        <f>IFERROR(__xludf.DUMMYFUNCTION("""COMPUTED_VALUE"""),45201.0)</f>
        <v>45201</v>
      </c>
      <c r="Q1183" s="45">
        <f>IFERROR(__xludf.DUMMYFUNCTION("""COMPUTED_VALUE"""),45161.0)</f>
        <v>45161</v>
      </c>
      <c r="R1183" s="45">
        <f>IFERROR(__xludf.DUMMYFUNCTION("""COMPUTED_VALUE"""),45201.0)</f>
        <v>45201</v>
      </c>
      <c r="S1183" s="43"/>
      <c r="T1183" s="43"/>
      <c r="U1183" s="43" t="str">
        <f>IFERROR(__xludf.DUMMYFUNCTION("""COMPUTED_VALUE"""),"Fingerprint")</f>
        <v>Fingerprint</v>
      </c>
      <c r="V1183" s="43" t="str">
        <f>IFERROR(__xludf.DUMMYFUNCTION("""COMPUTED_VALUE"""),"IHEC Sousse")</f>
        <v>IHEC Sousse</v>
      </c>
      <c r="W1183" s="43" t="str">
        <f>IFERROR(__xludf.DUMMYFUNCTION("""COMPUTED_VALUE"""),"2023-07-26T17:37:31Z")</f>
        <v>2023-07-26T17:37:31Z</v>
      </c>
      <c r="X1183" s="43"/>
      <c r="Y1183" s="43"/>
      <c r="Z1183" s="43"/>
    </row>
    <row r="1184" hidden="1">
      <c r="A1184" s="43" t="str">
        <f>IFERROR(__xludf.DUMMYFUNCTION("""COMPUTED_VALUE"""),"5289197_1294622")</f>
        <v>5289197_1294622</v>
      </c>
      <c r="B1184" s="43" t="str">
        <f>IFERROR(__xludf.DUMMYFUNCTION("""COMPUTED_VALUE"""),"Marharyta Didkivska")</f>
        <v>Marharyta Didkivska</v>
      </c>
      <c r="C1184" s="43" t="str">
        <f>IFERROR(__xludf.DUMMYFUNCTION("""COMPUTED_VALUE"""),"finished")</f>
        <v>finished</v>
      </c>
      <c r="D1184" s="43" t="str">
        <f>IFERROR(__xludf.DUMMYFUNCTION("""COMPUTED_VALUE"""),"No")</f>
        <v>No</v>
      </c>
      <c r="E1184" s="43" t="str">
        <f>IFERROR(__xludf.DUMMYFUNCTION("""COMPUTED_VALUE"""),"p_e5f8aa586038ed5a82a62f6cc4b8330d7c62b38a@inbound.aiesec.org")</f>
        <v>p_e5f8aa586038ed5a82a62f6cc4b8330d7c62b38a@inbound.aiesec.org</v>
      </c>
      <c r="F1184" s="43">
        <f>IFERROR(__xludf.DUMMYFUNCTION("""COMPUTED_VALUE"""),9.73173488E8)</f>
        <v>973173488</v>
      </c>
      <c r="G1184" s="43" t="str">
        <f>IFERROR(__xludf.DUMMYFUNCTION("""COMPUTED_VALUE"""),"Ukraine")</f>
        <v>Ukraine</v>
      </c>
      <c r="H1184" s="43" t="str">
        <f>IFERROR(__xludf.DUMMYFUNCTION("""COMPUTED_VALUE"""),"KYIV")</f>
        <v>KYIV</v>
      </c>
      <c r="I1184" s="43" t="str">
        <f>IFERROR(__xludf.DUMMYFUNCTION("""COMPUTED_VALUE"""),"Turkey")</f>
        <v>Turkey</v>
      </c>
      <c r="J1184" s="43" t="str">
        <f>IFERROR(__xludf.DUMMYFUNCTION("""COMPUTED_VALUE"""),"ADANA")</f>
        <v>ADANA</v>
      </c>
      <c r="K1184" s="44" t="str">
        <f>IFERROR(__xludf.DUMMYFUNCTION("""COMPUTED_VALUE"""),"https://expa.aiesec.org/opportunities/1294622")</f>
        <v>https://expa.aiesec.org/opportunities/1294622</v>
      </c>
      <c r="L1184" s="43" t="str">
        <f>IFERROR(__xludf.DUMMYFUNCTION("""COMPUTED_VALUE"""),"GV")</f>
        <v>GV</v>
      </c>
      <c r="M1184" s="43" t="str">
        <f>IFERROR(__xludf.DUMMYFUNCTION("""COMPUTED_VALUE"""),"short")</f>
        <v>short</v>
      </c>
      <c r="N1184" s="45">
        <f>IFERROR(__xludf.DUMMYFUNCTION("""COMPUTED_VALUE"""),45133.0)</f>
        <v>45133</v>
      </c>
      <c r="O1184" s="45">
        <f>IFERROR(__xludf.DUMMYFUNCTION("""COMPUTED_VALUE"""),45194.0)</f>
        <v>45194</v>
      </c>
      <c r="P1184" s="45">
        <f>IFERROR(__xludf.DUMMYFUNCTION("""COMPUTED_VALUE"""),45240.0)</f>
        <v>45240</v>
      </c>
      <c r="Q1184" s="45">
        <f>IFERROR(__xludf.DUMMYFUNCTION("""COMPUTED_VALUE"""),45196.0)</f>
        <v>45196</v>
      </c>
      <c r="R1184" s="45">
        <f>IFERROR(__xludf.DUMMYFUNCTION("""COMPUTED_VALUE"""),45242.0)</f>
        <v>45242</v>
      </c>
      <c r="S1184" s="43"/>
      <c r="T1184" s="43"/>
      <c r="U1184" s="43" t="str">
        <f>IFERROR(__xludf.DUMMYFUNCTION("""COMPUTED_VALUE"""),"Equify")</f>
        <v>Equify</v>
      </c>
      <c r="V1184" s="43" t="str">
        <f>IFERROR(__xludf.DUMMYFUNCTION("""COMPUTED_VALUE"""),"Kyiv")</f>
        <v>Kyiv</v>
      </c>
      <c r="W1184" s="43" t="str">
        <f>IFERROR(__xludf.DUMMYFUNCTION("""COMPUTED_VALUE"""),"2023-07-25T09:45:55Z")</f>
        <v>2023-07-25T09:45:55Z</v>
      </c>
      <c r="X1184" s="43"/>
      <c r="Y1184" s="43"/>
      <c r="Z1184" s="43"/>
    </row>
    <row r="1185" hidden="1">
      <c r="A1185" s="43" t="str">
        <f>IFERROR(__xludf.DUMMYFUNCTION("""COMPUTED_VALUE"""),"4991970_1289505")</f>
        <v>4991970_1289505</v>
      </c>
      <c r="B1185" s="43" t="str">
        <f>IFERROR(__xludf.DUMMYFUNCTION("""COMPUTED_VALUE"""),"Mohamed Nadhir Groun")</f>
        <v>Mohamed Nadhir Groun</v>
      </c>
      <c r="C1185" s="43" t="str">
        <f>IFERROR(__xludf.DUMMYFUNCTION("""COMPUTED_VALUE"""),"completed")</f>
        <v>completed</v>
      </c>
      <c r="D1185" s="43" t="str">
        <f>IFERROR(__xludf.DUMMYFUNCTION("""COMPUTED_VALUE"""),"No")</f>
        <v>No</v>
      </c>
      <c r="E1185" s="43" t="str">
        <f>IFERROR(__xludf.DUMMYFUNCTION("""COMPUTED_VALUE"""),"p_23723cec72170e46946d9b4c51247e5587856d65@inbound.aiesec.org")</f>
        <v>p_23723cec72170e46946d9b4c51247e5587856d65@inbound.aiesec.org</v>
      </c>
      <c r="F1185" s="43">
        <f>IFERROR(__xludf.DUMMYFUNCTION("""COMPUTED_VALUE"""),2.539017E7)</f>
        <v>25390170</v>
      </c>
      <c r="G1185" s="43" t="str">
        <f>IFERROR(__xludf.DUMMYFUNCTION("""COMPUTED_VALUE"""),"Tunisia")</f>
        <v>Tunisia</v>
      </c>
      <c r="H1185" s="43" t="str">
        <f>IFERROR(__xludf.DUMMYFUNCTION("""COMPUTED_VALUE"""),"Carthage")</f>
        <v>Carthage</v>
      </c>
      <c r="I1185" s="43" t="str">
        <f>IFERROR(__xludf.DUMMYFUNCTION("""COMPUTED_VALUE"""),"Turkey")</f>
        <v>Turkey</v>
      </c>
      <c r="J1185" s="43" t="str">
        <f>IFERROR(__xludf.DUMMYFUNCTION("""COMPUTED_VALUE"""),"KOCAELI")</f>
        <v>KOCAELI</v>
      </c>
      <c r="K1185" s="44" t="str">
        <f>IFERROR(__xludf.DUMMYFUNCTION("""COMPUTED_VALUE"""),"https://expa.aiesec.org/opportunities/1289505")</f>
        <v>https://expa.aiesec.org/opportunities/1289505</v>
      </c>
      <c r="L1185" s="43" t="str">
        <f>IFERROR(__xludf.DUMMYFUNCTION("""COMPUTED_VALUE"""),"GV")</f>
        <v>GV</v>
      </c>
      <c r="M1185" s="43" t="str">
        <f>IFERROR(__xludf.DUMMYFUNCTION("""COMPUTED_VALUE"""),"short")</f>
        <v>short</v>
      </c>
      <c r="N1185" s="45">
        <f>IFERROR(__xludf.DUMMYFUNCTION("""COMPUTED_VALUE"""),45133.0)</f>
        <v>45133</v>
      </c>
      <c r="O1185" s="45">
        <f>IFERROR(__xludf.DUMMYFUNCTION("""COMPUTED_VALUE"""),45145.0)</f>
        <v>45145</v>
      </c>
      <c r="P1185" s="45">
        <f>IFERROR(__xludf.DUMMYFUNCTION("""COMPUTED_VALUE"""),45187.0)</f>
        <v>45187</v>
      </c>
      <c r="Q1185" s="45">
        <f>IFERROR(__xludf.DUMMYFUNCTION("""COMPUTED_VALUE"""),45144.0)</f>
        <v>45144</v>
      </c>
      <c r="R1185" s="45">
        <f>IFERROR(__xludf.DUMMYFUNCTION("""COMPUTED_VALUE"""),45187.0)</f>
        <v>45187</v>
      </c>
      <c r="S1185" s="43"/>
      <c r="T1185" s="43"/>
      <c r="U1185" s="43" t="str">
        <f>IFERROR(__xludf.DUMMYFUNCTION("""COMPUTED_VALUE"""),"Youth 4 Impact")</f>
        <v>Youth 4 Impact</v>
      </c>
      <c r="V1185" s="43" t="str">
        <f>IFERROR(__xludf.DUMMYFUNCTION("""COMPUTED_VALUE"""),"IHEC Carthage")</f>
        <v>IHEC Carthage</v>
      </c>
      <c r="W1185" s="43" t="str">
        <f>IFERROR(__xludf.DUMMYFUNCTION("""COMPUTED_VALUE"""),"2022-03-18T21:13:40Z")</f>
        <v>2022-03-18T21:13:40Z</v>
      </c>
      <c r="X1185" s="43"/>
      <c r="Y1185" s="43"/>
      <c r="Z1185" s="43"/>
    </row>
    <row r="1186" hidden="1">
      <c r="A1186" s="43" t="str">
        <f>IFERROR(__xludf.DUMMYFUNCTION("""COMPUTED_VALUE"""),"5282078_1296105")</f>
        <v>5282078_1296105</v>
      </c>
      <c r="B1186" s="43" t="str">
        <f>IFERROR(__xludf.DUMMYFUNCTION("""COMPUTED_VALUE"""),"Natasha Abbas")</f>
        <v>Natasha Abbas</v>
      </c>
      <c r="C1186" s="43" t="str">
        <f>IFERROR(__xludf.DUMMYFUNCTION("""COMPUTED_VALUE"""),"approved")</f>
        <v>approved</v>
      </c>
      <c r="D1186" s="43" t="str">
        <f>IFERROR(__xludf.DUMMYFUNCTION("""COMPUTED_VALUE"""),"No")</f>
        <v>No</v>
      </c>
      <c r="E1186" s="43" t="str">
        <f>IFERROR(__xludf.DUMMYFUNCTION("""COMPUTED_VALUE"""),"p_1adfdfef31b64073e87dd0fd23e938da650bb70d@inbound.aiesec.org")</f>
        <v>p_1adfdfef31b64073e87dd0fd23e938da650bb70d@inbound.aiesec.org</v>
      </c>
      <c r="F1186" s="43">
        <f>IFERROR(__xludf.DUMMYFUNCTION("""COMPUTED_VALUE"""),3.165475087E9)</f>
        <v>3165475087</v>
      </c>
      <c r="G1186" s="43" t="str">
        <f>IFERROR(__xludf.DUMMYFUNCTION("""COMPUTED_VALUE"""),"Pakistan")</f>
        <v>Pakistan</v>
      </c>
      <c r="H1186" s="43" t="str">
        <f>IFERROR(__xludf.DUMMYFUNCTION("""COMPUTED_VALUE"""),"Islamabad")</f>
        <v>Islamabad</v>
      </c>
      <c r="I1186" s="43" t="str">
        <f>IFERROR(__xludf.DUMMYFUNCTION("""COMPUTED_VALUE"""),"Turkey")</f>
        <v>Turkey</v>
      </c>
      <c r="J1186" s="43" t="str">
        <f>IFERROR(__xludf.DUMMYFUNCTION("""COMPUTED_VALUE"""),"ANKARA")</f>
        <v>ANKARA</v>
      </c>
      <c r="K1186" s="44" t="str">
        <f>IFERROR(__xludf.DUMMYFUNCTION("""COMPUTED_VALUE"""),"https://expa.aiesec.org/opportunities/1296105")</f>
        <v>https://expa.aiesec.org/opportunities/1296105</v>
      </c>
      <c r="L1186" s="43" t="str">
        <f>IFERROR(__xludf.DUMMYFUNCTION("""COMPUTED_VALUE"""),"GV")</f>
        <v>GV</v>
      </c>
      <c r="M1186" s="43" t="str">
        <f>IFERROR(__xludf.DUMMYFUNCTION("""COMPUTED_VALUE"""),"short")</f>
        <v>short</v>
      </c>
      <c r="N1186" s="45">
        <f>IFERROR(__xludf.DUMMYFUNCTION("""COMPUTED_VALUE"""),45134.0)</f>
        <v>45134</v>
      </c>
      <c r="O1186" s="45">
        <f>IFERROR(__xludf.DUMMYFUNCTION("""COMPUTED_VALUE"""),45180.0)</f>
        <v>45180</v>
      </c>
      <c r="P1186" s="45">
        <f>IFERROR(__xludf.DUMMYFUNCTION("""COMPUTED_VALUE"""),45222.0)</f>
        <v>45222</v>
      </c>
      <c r="Q1186" s="45"/>
      <c r="R1186" s="45"/>
      <c r="S1186" s="43"/>
      <c r="T1186" s="43"/>
      <c r="U1186" s="43" t="str">
        <f>IFERROR(__xludf.DUMMYFUNCTION("""COMPUTED_VALUE"""),"Fingerprint")</f>
        <v>Fingerprint</v>
      </c>
      <c r="V1186" s="43" t="str">
        <f>IFERROR(__xludf.DUMMYFUNCTION("""COMPUTED_VALUE"""),"Islamabad - Foundation University ")</f>
        <v>Islamabad - Foundation University </v>
      </c>
      <c r="W1186" s="43" t="str">
        <f>IFERROR(__xludf.DUMMYFUNCTION("""COMPUTED_VALUE"""),"2023-07-04T12:33:03Z")</f>
        <v>2023-07-04T12:33:03Z</v>
      </c>
      <c r="X1186" s="43"/>
      <c r="Y1186" s="43"/>
      <c r="Z1186" s="43"/>
    </row>
    <row r="1187" hidden="1">
      <c r="A1187" s="43" t="str">
        <f>IFERROR(__xludf.DUMMYFUNCTION("""COMPUTED_VALUE"""),"4909256_1296453")</f>
        <v>4909256_1296453</v>
      </c>
      <c r="B1187" s="43" t="str">
        <f>IFERROR(__xludf.DUMMYFUNCTION("""COMPUTED_VALUE"""),"Mario Yousri")</f>
        <v>Mario Yousri</v>
      </c>
      <c r="C1187" s="43" t="str">
        <f>IFERROR(__xludf.DUMMYFUNCTION("""COMPUTED_VALUE"""),"approved")</f>
        <v>approved</v>
      </c>
      <c r="D1187" s="43" t="str">
        <f>IFERROR(__xludf.DUMMYFUNCTION("""COMPUTED_VALUE"""),"No")</f>
        <v>No</v>
      </c>
      <c r="E1187" s="43" t="str">
        <f>IFERROR(__xludf.DUMMYFUNCTION("""COMPUTED_VALUE"""),"p_d68a797af865867c29ce6eb95498f65c363bf521@inbound.aiesec.org")</f>
        <v>p_d68a797af865867c29ce6eb95498f65c363bf521@inbound.aiesec.org</v>
      </c>
      <c r="F1187" s="43">
        <f>IFERROR(__xludf.DUMMYFUNCTION("""COMPUTED_VALUE"""),1.22078876E9)</f>
        <v>1220788760</v>
      </c>
      <c r="G1187" s="43" t="str">
        <f>IFERROR(__xludf.DUMMYFUNCTION("""COMPUTED_VALUE"""),"Egypt")</f>
        <v>Egypt</v>
      </c>
      <c r="H1187" s="43" t="str">
        <f>IFERROR(__xludf.DUMMYFUNCTION("""COMPUTED_VALUE"""),"AAST In CAIRO")</f>
        <v>AAST In CAIRO</v>
      </c>
      <c r="I1187" s="43" t="str">
        <f>IFERROR(__xludf.DUMMYFUNCTION("""COMPUTED_VALUE"""),"Turkey")</f>
        <v>Turkey</v>
      </c>
      <c r="J1187" s="43" t="str">
        <f>IFERROR(__xludf.DUMMYFUNCTION("""COMPUTED_VALUE"""),"GAZIANTEP")</f>
        <v>GAZIANTEP</v>
      </c>
      <c r="K1187" s="44" t="str">
        <f>IFERROR(__xludf.DUMMYFUNCTION("""COMPUTED_VALUE"""),"https://expa.aiesec.org/opportunities/1296453")</f>
        <v>https://expa.aiesec.org/opportunities/1296453</v>
      </c>
      <c r="L1187" s="43" t="str">
        <f>IFERROR(__xludf.DUMMYFUNCTION("""COMPUTED_VALUE"""),"GV")</f>
        <v>GV</v>
      </c>
      <c r="M1187" s="43" t="str">
        <f>IFERROR(__xludf.DUMMYFUNCTION("""COMPUTED_VALUE"""),"short")</f>
        <v>short</v>
      </c>
      <c r="N1187" s="45">
        <f>IFERROR(__xludf.DUMMYFUNCTION("""COMPUTED_VALUE"""),45134.0)</f>
        <v>45134</v>
      </c>
      <c r="O1187" s="45">
        <f>IFERROR(__xludf.DUMMYFUNCTION("""COMPUTED_VALUE"""),45141.0)</f>
        <v>45141</v>
      </c>
      <c r="P1187" s="45">
        <f>IFERROR(__xludf.DUMMYFUNCTION("""COMPUTED_VALUE"""),45183.0)</f>
        <v>45183</v>
      </c>
      <c r="Q1187" s="45"/>
      <c r="R1187" s="45"/>
      <c r="S1187" s="43"/>
      <c r="T1187" s="43"/>
      <c r="U1187" s="43" t="str">
        <f>IFERROR(__xludf.DUMMYFUNCTION("""COMPUTED_VALUE"""),"Global Classroom")</f>
        <v>Global Classroom</v>
      </c>
      <c r="V1187" s="43" t="str">
        <f>IFERROR(__xludf.DUMMYFUNCTION("""COMPUTED_VALUE"""),"AAST in Cairo Univeristy")</f>
        <v>AAST in Cairo Univeristy</v>
      </c>
      <c r="W1187" s="43" t="str">
        <f>IFERROR(__xludf.DUMMYFUNCTION("""COMPUTED_VALUE"""),"2022-02-01T19:18:09Z")</f>
        <v>2022-02-01T19:18:09Z</v>
      </c>
      <c r="X1187" s="43"/>
      <c r="Y1187" s="43"/>
      <c r="Z1187" s="43"/>
    </row>
    <row r="1188" hidden="1">
      <c r="A1188" s="43" t="str">
        <f>IFERROR(__xludf.DUMMYFUNCTION("""COMPUTED_VALUE"""),"5286186_1296671")</f>
        <v>5286186_1296671</v>
      </c>
      <c r="B1188" s="43" t="str">
        <f>IFERROR(__xludf.DUMMYFUNCTION("""COMPUTED_VALUE"""),"Sherwet Tarek")</f>
        <v>Sherwet Tarek</v>
      </c>
      <c r="C1188" s="43" t="str">
        <f>IFERROR(__xludf.DUMMYFUNCTION("""COMPUTED_VALUE"""),"realization_broken")</f>
        <v>realization_broken</v>
      </c>
      <c r="D1188" s="43" t="str">
        <f>IFERROR(__xludf.DUMMYFUNCTION("""COMPUTED_VALUE"""),"No")</f>
        <v>No</v>
      </c>
      <c r="E1188" s="43" t="str">
        <f>IFERROR(__xludf.DUMMYFUNCTION("""COMPUTED_VALUE"""),"p_c4573b104a28e260c0a1e251b22daf56e210f3da@inbound.aiesec.org")</f>
        <v>p_c4573b104a28e260c0a1e251b22daf56e210f3da@inbound.aiesec.org</v>
      </c>
      <c r="F1188" s="43">
        <f>IFERROR(__xludf.DUMMYFUNCTION("""COMPUTED_VALUE"""),1.060888464E9)</f>
        <v>1060888464</v>
      </c>
      <c r="G1188" s="43" t="str">
        <f>IFERROR(__xludf.DUMMYFUNCTION("""COMPUTED_VALUE"""),"Egypt")</f>
        <v>Egypt</v>
      </c>
      <c r="H1188" s="43" t="str">
        <f>IFERROR(__xludf.DUMMYFUNCTION("""COMPUTED_VALUE"""),"Cairo University")</f>
        <v>Cairo University</v>
      </c>
      <c r="I1188" s="43" t="str">
        <f>IFERROR(__xludf.DUMMYFUNCTION("""COMPUTED_VALUE"""),"Turkey")</f>
        <v>Turkey</v>
      </c>
      <c r="J1188" s="43" t="str">
        <f>IFERROR(__xludf.DUMMYFUNCTION("""COMPUTED_VALUE"""),"BURSA")</f>
        <v>BURSA</v>
      </c>
      <c r="K1188" s="44" t="str">
        <f>IFERROR(__xludf.DUMMYFUNCTION("""COMPUTED_VALUE"""),"https://expa.aiesec.org/opportunities/1296671")</f>
        <v>https://expa.aiesec.org/opportunities/1296671</v>
      </c>
      <c r="L1188" s="43" t="str">
        <f>IFERROR(__xludf.DUMMYFUNCTION("""COMPUTED_VALUE"""),"GV")</f>
        <v>GV</v>
      </c>
      <c r="M1188" s="43" t="str">
        <f>IFERROR(__xludf.DUMMYFUNCTION("""COMPUTED_VALUE"""),"short")</f>
        <v>short</v>
      </c>
      <c r="N1188" s="45">
        <f>IFERROR(__xludf.DUMMYFUNCTION("""COMPUTED_VALUE"""),45135.0)</f>
        <v>45135</v>
      </c>
      <c r="O1188" s="45">
        <f>IFERROR(__xludf.DUMMYFUNCTION("""COMPUTED_VALUE"""),45152.0)</f>
        <v>45152</v>
      </c>
      <c r="P1188" s="45">
        <f>IFERROR(__xludf.DUMMYFUNCTION("""COMPUTED_VALUE"""),45194.0)</f>
        <v>45194</v>
      </c>
      <c r="Q1188" s="45"/>
      <c r="R1188" s="45"/>
      <c r="S1188" s="43"/>
      <c r="T1188" s="43"/>
      <c r="U1188" s="43" t="str">
        <f>IFERROR(__xludf.DUMMYFUNCTION("""COMPUTED_VALUE"""),"Youth 4 Impact")</f>
        <v>Youth 4 Impact</v>
      </c>
      <c r="V1188" s="43" t="str">
        <f>IFERROR(__xludf.DUMMYFUNCTION("""COMPUTED_VALUE"""),"Cairo Univeristy")</f>
        <v>Cairo Univeristy</v>
      </c>
      <c r="W1188" s="43" t="str">
        <f>IFERROR(__xludf.DUMMYFUNCTION("""COMPUTED_VALUE"""),"2023-07-17T17:24:03Z")</f>
        <v>2023-07-17T17:24:03Z</v>
      </c>
      <c r="X1188" s="43"/>
      <c r="Y1188" s="43"/>
      <c r="Z1188" s="43"/>
    </row>
    <row r="1189" hidden="1">
      <c r="A1189" s="43" t="str">
        <f>IFERROR(__xludf.DUMMYFUNCTION("""COMPUTED_VALUE"""),"5178029_1294622")</f>
        <v>5178029_1294622</v>
      </c>
      <c r="B1189" s="43" t="str">
        <f>IFERROR(__xludf.DUMMYFUNCTION("""COMPUTED_VALUE"""),"Eya Marzouk Bahri")</f>
        <v>Eya Marzouk Bahri</v>
      </c>
      <c r="C1189" s="43" t="str">
        <f>IFERROR(__xludf.DUMMYFUNCTION("""COMPUTED_VALUE"""),"completed")</f>
        <v>completed</v>
      </c>
      <c r="D1189" s="43" t="str">
        <f>IFERROR(__xludf.DUMMYFUNCTION("""COMPUTED_VALUE"""),"No")</f>
        <v>No</v>
      </c>
      <c r="E1189" s="43" t="str">
        <f>IFERROR(__xludf.DUMMYFUNCTION("""COMPUTED_VALUE"""),"p_3d578ad82de526484bedcc86079753a3a069b3c5@inbound.aiesec.org")</f>
        <v>p_3d578ad82de526484bedcc86079753a3a069b3c5@inbound.aiesec.org</v>
      </c>
      <c r="F1189" s="43">
        <f>IFERROR(__xludf.DUMMYFUNCTION("""COMPUTED_VALUE"""),5.0180847E7)</f>
        <v>50180847</v>
      </c>
      <c r="G1189" s="43" t="str">
        <f>IFERROR(__xludf.DUMMYFUNCTION("""COMPUTED_VALUE"""),"Tunisia")</f>
        <v>Tunisia</v>
      </c>
      <c r="H1189" s="43" t="str">
        <f>IFERROR(__xludf.DUMMYFUNCTION("""COMPUTED_VALUE"""),"UNIVERSITY")</f>
        <v>UNIVERSITY</v>
      </c>
      <c r="I1189" s="43" t="str">
        <f>IFERROR(__xludf.DUMMYFUNCTION("""COMPUTED_VALUE"""),"Turkey")</f>
        <v>Turkey</v>
      </c>
      <c r="J1189" s="43" t="str">
        <f>IFERROR(__xludf.DUMMYFUNCTION("""COMPUTED_VALUE"""),"ADANA")</f>
        <v>ADANA</v>
      </c>
      <c r="K1189" s="44" t="str">
        <f>IFERROR(__xludf.DUMMYFUNCTION("""COMPUTED_VALUE"""),"https://expa.aiesec.org/opportunities/1294622")</f>
        <v>https://expa.aiesec.org/opportunities/1294622</v>
      </c>
      <c r="L1189" s="43" t="str">
        <f>IFERROR(__xludf.DUMMYFUNCTION("""COMPUTED_VALUE"""),"GV")</f>
        <v>GV</v>
      </c>
      <c r="M1189" s="43" t="str">
        <f>IFERROR(__xludf.DUMMYFUNCTION("""COMPUTED_VALUE"""),"short")</f>
        <v>short</v>
      </c>
      <c r="N1189" s="45">
        <f>IFERROR(__xludf.DUMMYFUNCTION("""COMPUTED_VALUE"""),45135.0)</f>
        <v>45135</v>
      </c>
      <c r="O1189" s="45">
        <f>IFERROR(__xludf.DUMMYFUNCTION("""COMPUTED_VALUE"""),45145.0)</f>
        <v>45145</v>
      </c>
      <c r="P1189" s="45">
        <f>IFERROR(__xludf.DUMMYFUNCTION("""COMPUTED_VALUE"""),45191.0)</f>
        <v>45191</v>
      </c>
      <c r="Q1189" s="45">
        <f>IFERROR(__xludf.DUMMYFUNCTION("""COMPUTED_VALUE"""),45147.0)</f>
        <v>45147</v>
      </c>
      <c r="R1189" s="45">
        <f>IFERROR(__xludf.DUMMYFUNCTION("""COMPUTED_VALUE"""),45193.0)</f>
        <v>45193</v>
      </c>
      <c r="S1189" s="43"/>
      <c r="T1189" s="43"/>
      <c r="U1189" s="43" t="str">
        <f>IFERROR(__xludf.DUMMYFUNCTION("""COMPUTED_VALUE"""),"Equify")</f>
        <v>Equify</v>
      </c>
      <c r="V1189" s="43" t="str">
        <f>IFERROR(__xludf.DUMMYFUNCTION("""COMPUTED_VALUE"""),"ISSHT")</f>
        <v>ISSHT</v>
      </c>
      <c r="W1189" s="43" t="str">
        <f>IFERROR(__xludf.DUMMYFUNCTION("""COMPUTED_VALUE"""),"2023-01-18T16:32:19Z")</f>
        <v>2023-01-18T16:32:19Z</v>
      </c>
      <c r="X1189" s="43"/>
      <c r="Y1189" s="43"/>
      <c r="Z1189" s="43"/>
    </row>
    <row r="1190" hidden="1">
      <c r="A1190" s="43" t="str">
        <f>IFERROR(__xludf.DUMMYFUNCTION("""COMPUTED_VALUE"""),"4543862_1287226")</f>
        <v>4543862_1287226</v>
      </c>
      <c r="B1190" s="43" t="str">
        <f>IFERROR(__xludf.DUMMYFUNCTION("""COMPUTED_VALUE"""),"Hamda Farah")</f>
        <v>Hamda Farah</v>
      </c>
      <c r="C1190" s="43" t="str">
        <f>IFERROR(__xludf.DUMMYFUNCTION("""COMPUTED_VALUE"""),"completed")</f>
        <v>completed</v>
      </c>
      <c r="D1190" s="43" t="str">
        <f>IFERROR(__xludf.DUMMYFUNCTION("""COMPUTED_VALUE"""),"No")</f>
        <v>No</v>
      </c>
      <c r="E1190" s="43" t="str">
        <f>IFERROR(__xludf.DUMMYFUNCTION("""COMPUTED_VALUE"""),"p_1731ac41595325081064c96ee80adcb25a430f68@inbound.aiesec.org")</f>
        <v>p_1731ac41595325081064c96ee80adcb25a430f68@inbound.aiesec.org</v>
      </c>
      <c r="F1190" s="43">
        <f>IFERROR(__xludf.DUMMYFUNCTION("""COMPUTED_VALUE"""),2.987854E7)</f>
        <v>29878540</v>
      </c>
      <c r="G1190" s="43" t="str">
        <f>IFERROR(__xludf.DUMMYFUNCTION("""COMPUTED_VALUE"""),"Tunisia")</f>
        <v>Tunisia</v>
      </c>
      <c r="H1190" s="43" t="str">
        <f>IFERROR(__xludf.DUMMYFUNCTION("""COMPUTED_VALUE"""),"BARDO")</f>
        <v>BARDO</v>
      </c>
      <c r="I1190" s="43" t="str">
        <f>IFERROR(__xludf.DUMMYFUNCTION("""COMPUTED_VALUE"""),"Turkey")</f>
        <v>Turkey</v>
      </c>
      <c r="J1190" s="43" t="str">
        <f>IFERROR(__xludf.DUMMYFUNCTION("""COMPUTED_VALUE"""),"ISTANBUL ASIA")</f>
        <v>ISTANBUL ASIA</v>
      </c>
      <c r="K1190" s="44" t="str">
        <f>IFERROR(__xludf.DUMMYFUNCTION("""COMPUTED_VALUE"""),"https://expa.aiesec.org/opportunities/1287226")</f>
        <v>https://expa.aiesec.org/opportunities/1287226</v>
      </c>
      <c r="L1190" s="43" t="str">
        <f>IFERROR(__xludf.DUMMYFUNCTION("""COMPUTED_VALUE"""),"GV")</f>
        <v>GV</v>
      </c>
      <c r="M1190" s="43" t="str">
        <f>IFERROR(__xludf.DUMMYFUNCTION("""COMPUTED_VALUE"""),"short")</f>
        <v>short</v>
      </c>
      <c r="N1190" s="45">
        <f>IFERROR(__xludf.DUMMYFUNCTION("""COMPUTED_VALUE"""),45136.0)</f>
        <v>45136</v>
      </c>
      <c r="O1190" s="45">
        <f>IFERROR(__xludf.DUMMYFUNCTION("""COMPUTED_VALUE"""),45138.0)</f>
        <v>45138</v>
      </c>
      <c r="P1190" s="45">
        <f>IFERROR(__xludf.DUMMYFUNCTION("""COMPUTED_VALUE"""),45180.0)</f>
        <v>45180</v>
      </c>
      <c r="Q1190" s="45">
        <f>IFERROR(__xludf.DUMMYFUNCTION("""COMPUTED_VALUE"""),45141.0)</f>
        <v>45141</v>
      </c>
      <c r="R1190" s="45">
        <f>IFERROR(__xludf.DUMMYFUNCTION("""COMPUTED_VALUE"""),45184.0)</f>
        <v>45184</v>
      </c>
      <c r="S1190" s="43"/>
      <c r="T1190" s="43"/>
      <c r="U1190" s="43" t="str">
        <f>IFERROR(__xludf.DUMMYFUNCTION("""COMPUTED_VALUE"""),"Global Classroom")</f>
        <v>Global Classroom</v>
      </c>
      <c r="V1190" s="43" t="str">
        <f>IFERROR(__xludf.DUMMYFUNCTION("""COMPUTED_VALUE"""),"TBS")</f>
        <v>TBS</v>
      </c>
      <c r="W1190" s="43" t="str">
        <f>IFERROR(__xludf.DUMMYFUNCTION("""COMPUTED_VALUE"""),"2021-02-13T10:06:26Z")</f>
        <v>2021-02-13T10:06:26Z</v>
      </c>
      <c r="X1190" s="43"/>
      <c r="Y1190" s="43"/>
      <c r="Z1190" s="43"/>
    </row>
    <row r="1191" hidden="1">
      <c r="A1191" s="43" t="str">
        <f>IFERROR(__xludf.DUMMYFUNCTION("""COMPUTED_VALUE"""),"5273678_1296101")</f>
        <v>5273678_1296101</v>
      </c>
      <c r="B1191" s="43" t="str">
        <f>IFERROR(__xludf.DUMMYFUNCTION("""COMPUTED_VALUE"""),"Amanullah wassan")</f>
        <v>Amanullah wassan</v>
      </c>
      <c r="C1191" s="43" t="str">
        <f>IFERROR(__xludf.DUMMYFUNCTION("""COMPUTED_VALUE"""),"finished")</f>
        <v>finished</v>
      </c>
      <c r="D1191" s="43" t="str">
        <f>IFERROR(__xludf.DUMMYFUNCTION("""COMPUTED_VALUE"""),"No")</f>
        <v>No</v>
      </c>
      <c r="E1191" s="43" t="str">
        <f>IFERROR(__xludf.DUMMYFUNCTION("""COMPUTED_VALUE"""),"p_ba9b4f13425ae69f07a735c3fa4e754c856bf6c5@inbound.aiesec.org")</f>
        <v>p_ba9b4f13425ae69f07a735c3fa4e754c856bf6c5@inbound.aiesec.org</v>
      </c>
      <c r="F1191" s="43">
        <f>IFERROR(__xludf.DUMMYFUNCTION("""COMPUTED_VALUE"""),3.22130743E9)</f>
        <v>3221307430</v>
      </c>
      <c r="G1191" s="43" t="str">
        <f>IFERROR(__xludf.DUMMYFUNCTION("""COMPUTED_VALUE"""),"Pakistan")</f>
        <v>Pakistan</v>
      </c>
      <c r="H1191" s="43" t="str">
        <f>IFERROR(__xludf.DUMMYFUNCTION("""COMPUTED_VALUE"""),"Karachi South")</f>
        <v>Karachi South</v>
      </c>
      <c r="I1191" s="43" t="str">
        <f>IFERROR(__xludf.DUMMYFUNCTION("""COMPUTED_VALUE"""),"Turkey")</f>
        <v>Turkey</v>
      </c>
      <c r="J1191" s="43" t="str">
        <f>IFERROR(__xludf.DUMMYFUNCTION("""COMPUTED_VALUE"""),"ANKARA")</f>
        <v>ANKARA</v>
      </c>
      <c r="K1191" s="44" t="str">
        <f>IFERROR(__xludf.DUMMYFUNCTION("""COMPUTED_VALUE"""),"https://expa.aiesec.org/opportunities/1296101")</f>
        <v>https://expa.aiesec.org/opportunities/1296101</v>
      </c>
      <c r="L1191" s="43" t="str">
        <f>IFERROR(__xludf.DUMMYFUNCTION("""COMPUTED_VALUE"""),"GV")</f>
        <v>GV</v>
      </c>
      <c r="M1191" s="43" t="str">
        <f>IFERROR(__xludf.DUMMYFUNCTION("""COMPUTED_VALUE"""),"short")</f>
        <v>short</v>
      </c>
      <c r="N1191" s="45">
        <f>IFERROR(__xludf.DUMMYFUNCTION("""COMPUTED_VALUE"""),45137.0)</f>
        <v>45137</v>
      </c>
      <c r="O1191" s="45">
        <f>IFERROR(__xludf.DUMMYFUNCTION("""COMPUTED_VALUE"""),45166.0)</f>
        <v>45166</v>
      </c>
      <c r="P1191" s="45">
        <f>IFERROR(__xludf.DUMMYFUNCTION("""COMPUTED_VALUE"""),45208.0)</f>
        <v>45208</v>
      </c>
      <c r="Q1191" s="45">
        <f>IFERROR(__xludf.DUMMYFUNCTION("""COMPUTED_VALUE"""),45170.0)</f>
        <v>45170</v>
      </c>
      <c r="R1191" s="45">
        <f>IFERROR(__xludf.DUMMYFUNCTION("""COMPUTED_VALUE"""),45210.0)</f>
        <v>45210</v>
      </c>
      <c r="S1191" s="43"/>
      <c r="T1191" s="43"/>
      <c r="U1191" s="43" t="str">
        <f>IFERROR(__xludf.DUMMYFUNCTION("""COMPUTED_VALUE"""),"Fingerprint")</f>
        <v>Fingerprint</v>
      </c>
      <c r="V1191" s="43" t="str">
        <f>IFERROR(__xludf.DUMMYFUNCTION("""COMPUTED_VALUE"""),"Karachi - Ziauddin University")</f>
        <v>Karachi - Ziauddin University</v>
      </c>
      <c r="W1191" s="43" t="str">
        <f>IFERROR(__xludf.DUMMYFUNCTION("""COMPUTED_VALUE"""),"2023-06-10T15:12:13Z")</f>
        <v>2023-06-10T15:12:13Z</v>
      </c>
      <c r="X1191" s="43"/>
      <c r="Y1191" s="43"/>
      <c r="Z1191" s="43"/>
    </row>
    <row r="1192" hidden="1">
      <c r="A1192" s="43" t="str">
        <f>IFERROR(__xludf.DUMMYFUNCTION("""COMPUTED_VALUE"""),"5158229_1289596")</f>
        <v>5158229_1289596</v>
      </c>
      <c r="B1192" s="43" t="str">
        <f>IFERROR(__xludf.DUMMYFUNCTION("""COMPUTED_VALUE"""),"Omnia Adli")</f>
        <v>Omnia Adli</v>
      </c>
      <c r="C1192" s="43" t="str">
        <f>IFERROR(__xludf.DUMMYFUNCTION("""COMPUTED_VALUE"""),"approved")</f>
        <v>approved</v>
      </c>
      <c r="D1192" s="43" t="str">
        <f>IFERROR(__xludf.DUMMYFUNCTION("""COMPUTED_VALUE"""),"No")</f>
        <v>No</v>
      </c>
      <c r="E1192" s="43" t="str">
        <f>IFERROR(__xludf.DUMMYFUNCTION("""COMPUTED_VALUE"""),"p_1940fbca91d72b5888df41381a56a54f1972f2d7@inbound.aiesec.org")</f>
        <v>p_1940fbca91d72b5888df41381a56a54f1972f2d7@inbound.aiesec.org</v>
      </c>
      <c r="F1192" s="43">
        <f>IFERROR(__xludf.DUMMYFUNCTION("""COMPUTED_VALUE"""),1.121343379E9)</f>
        <v>1121343379</v>
      </c>
      <c r="G1192" s="43" t="str">
        <f>IFERROR(__xludf.DUMMYFUNCTION("""COMPUTED_VALUE"""),"Egypt")</f>
        <v>Egypt</v>
      </c>
      <c r="H1192" s="43" t="str">
        <f>IFERROR(__xludf.DUMMYFUNCTION("""COMPUTED_VALUE"""),"Cairo University")</f>
        <v>Cairo University</v>
      </c>
      <c r="I1192" s="43" t="str">
        <f>IFERROR(__xludf.DUMMYFUNCTION("""COMPUTED_VALUE"""),"Turkey")</f>
        <v>Turkey</v>
      </c>
      <c r="J1192" s="43" t="str">
        <f>IFERROR(__xludf.DUMMYFUNCTION("""COMPUTED_VALUE"""),"ISPARTA")</f>
        <v>ISPARTA</v>
      </c>
      <c r="K1192" s="44" t="str">
        <f>IFERROR(__xludf.DUMMYFUNCTION("""COMPUTED_VALUE"""),"https://expa.aiesec.org/opportunities/1289596")</f>
        <v>https://expa.aiesec.org/opportunities/1289596</v>
      </c>
      <c r="L1192" s="43" t="str">
        <f>IFERROR(__xludf.DUMMYFUNCTION("""COMPUTED_VALUE"""),"GV")</f>
        <v>GV</v>
      </c>
      <c r="M1192" s="43" t="str">
        <f>IFERROR(__xludf.DUMMYFUNCTION("""COMPUTED_VALUE"""),"short")</f>
        <v>short</v>
      </c>
      <c r="N1192" s="45">
        <f>IFERROR(__xludf.DUMMYFUNCTION("""COMPUTED_VALUE"""),45137.0)</f>
        <v>45137</v>
      </c>
      <c r="O1192" s="45">
        <f>IFERROR(__xludf.DUMMYFUNCTION("""COMPUTED_VALUE"""),45341.0)</f>
        <v>45341</v>
      </c>
      <c r="P1192" s="45">
        <f>IFERROR(__xludf.DUMMYFUNCTION("""COMPUTED_VALUE"""),45383.0)</f>
        <v>45383</v>
      </c>
      <c r="Q1192" s="45"/>
      <c r="R1192" s="45"/>
      <c r="S1192" s="43"/>
      <c r="T1192" s="43"/>
      <c r="U1192" s="43" t="str">
        <f>IFERROR(__xludf.DUMMYFUNCTION("""COMPUTED_VALUE"""),"Global Classroom")</f>
        <v>Global Classroom</v>
      </c>
      <c r="V1192" s="43" t="str">
        <f>IFERROR(__xludf.DUMMYFUNCTION("""COMPUTED_VALUE"""),"Cairo Univeristy")</f>
        <v>Cairo Univeristy</v>
      </c>
      <c r="W1192" s="43" t="str">
        <f>IFERROR(__xludf.DUMMYFUNCTION("""COMPUTED_VALUE"""),"2022-11-24T09:37:03Z")</f>
        <v>2022-11-24T09:37:03Z</v>
      </c>
      <c r="X1192" s="43"/>
      <c r="Y1192" s="43"/>
      <c r="Z1192" s="43"/>
    </row>
    <row r="1193" hidden="1">
      <c r="A1193" s="43" t="str">
        <f>IFERROR(__xludf.DUMMYFUNCTION("""COMPUTED_VALUE"""),"5289606_1288490")</f>
        <v>5289606_1288490</v>
      </c>
      <c r="B1193" s="43" t="str">
        <f>IFERROR(__xludf.DUMMYFUNCTION("""COMPUTED_VALUE"""),"MARIUS ASAN")</f>
        <v>MARIUS ASAN</v>
      </c>
      <c r="C1193" s="43" t="str">
        <f>IFERROR(__xludf.DUMMYFUNCTION("""COMPUTED_VALUE"""),"approved")</f>
        <v>approved</v>
      </c>
      <c r="D1193" s="43" t="str">
        <f>IFERROR(__xludf.DUMMYFUNCTION("""COMPUTED_VALUE"""),"No")</f>
        <v>No</v>
      </c>
      <c r="E1193" s="43" t="str">
        <f>IFERROR(__xludf.DUMMYFUNCTION("""COMPUTED_VALUE"""),"p_06ad2c01f79b8e5e793ad4b8e4829a535c5ce08b@inbound.aiesec.org")</f>
        <v>p_06ad2c01f79b8e5e793ad4b8e4829a535c5ce08b@inbound.aiesec.org</v>
      </c>
      <c r="F1193" s="43">
        <f>IFERROR(__xludf.DUMMYFUNCTION("""COMPUTED_VALUE"""),7.57345658E8)</f>
        <v>757345658</v>
      </c>
      <c r="G1193" s="43" t="str">
        <f>IFERROR(__xludf.DUMMYFUNCTION("""COMPUTED_VALUE"""),"Romania")</f>
        <v>Romania</v>
      </c>
      <c r="H1193" s="43" t="str">
        <f>IFERROR(__xludf.DUMMYFUNCTION("""COMPUTED_VALUE"""),"University of Bucharest")</f>
        <v>University of Bucharest</v>
      </c>
      <c r="I1193" s="43" t="str">
        <f>IFERROR(__xludf.DUMMYFUNCTION("""COMPUTED_VALUE"""),"Turkey")</f>
        <v>Turkey</v>
      </c>
      <c r="J1193" s="43" t="str">
        <f>IFERROR(__xludf.DUMMYFUNCTION("""COMPUTED_VALUE"""),"ISPARTA")</f>
        <v>ISPARTA</v>
      </c>
      <c r="K1193" s="44" t="str">
        <f>IFERROR(__xludf.DUMMYFUNCTION("""COMPUTED_VALUE"""),"https://expa.aiesec.org/opportunities/1288490")</f>
        <v>https://expa.aiesec.org/opportunities/1288490</v>
      </c>
      <c r="L1193" s="43" t="str">
        <f>IFERROR(__xludf.DUMMYFUNCTION("""COMPUTED_VALUE"""),"GV")</f>
        <v>GV</v>
      </c>
      <c r="M1193" s="43" t="str">
        <f>IFERROR(__xludf.DUMMYFUNCTION("""COMPUTED_VALUE"""),"short")</f>
        <v>short</v>
      </c>
      <c r="N1193" s="45">
        <f>IFERROR(__xludf.DUMMYFUNCTION("""COMPUTED_VALUE"""),45139.0)</f>
        <v>45139</v>
      </c>
      <c r="O1193" s="45">
        <f>IFERROR(__xludf.DUMMYFUNCTION("""COMPUTED_VALUE"""),45173.0)</f>
        <v>45173</v>
      </c>
      <c r="P1193" s="45">
        <f>IFERROR(__xludf.DUMMYFUNCTION("""COMPUTED_VALUE"""),45215.0)</f>
        <v>45215</v>
      </c>
      <c r="Q1193" s="45"/>
      <c r="R1193" s="45"/>
      <c r="S1193" s="43"/>
      <c r="T1193" s="43"/>
      <c r="U1193" s="43" t="str">
        <f>IFERROR(__xludf.DUMMYFUNCTION("""COMPUTED_VALUE"""),"Global Classroom")</f>
        <v>Global Classroom</v>
      </c>
      <c r="V1193" s="43" t="str">
        <f>IFERROR(__xludf.DUMMYFUNCTION("""COMPUTED_VALUE"""),"Bucuresti - Universitatea din Bucuresti")</f>
        <v>Bucuresti - Universitatea din Bucuresti</v>
      </c>
      <c r="W1193" s="43" t="str">
        <f>IFERROR(__xludf.DUMMYFUNCTION("""COMPUTED_VALUE"""),"2023-07-26T08:21:54Z")</f>
        <v>2023-07-26T08:21:54Z</v>
      </c>
      <c r="X1193" s="43"/>
      <c r="Y1193" s="43"/>
      <c r="Z1193" s="43"/>
    </row>
    <row r="1194" hidden="1">
      <c r="A1194" s="43" t="str">
        <f>IFERROR(__xludf.DUMMYFUNCTION("""COMPUTED_VALUE"""),"5258299_1291055")</f>
        <v>5258299_1291055</v>
      </c>
      <c r="B1194" s="43" t="str">
        <f>IFERROR(__xludf.DUMMYFUNCTION("""COMPUTED_VALUE"""),"Ange Vanette MBASSI Ihna")</f>
        <v>Ange Vanette MBASSI Ihna</v>
      </c>
      <c r="C1194" s="43" t="str">
        <f>IFERROR(__xludf.DUMMYFUNCTION("""COMPUTED_VALUE"""),"approved")</f>
        <v>approved</v>
      </c>
      <c r="D1194" s="43" t="str">
        <f>IFERROR(__xludf.DUMMYFUNCTION("""COMPUTED_VALUE"""),"No")</f>
        <v>No</v>
      </c>
      <c r="E1194" s="43" t="str">
        <f>IFERROR(__xludf.DUMMYFUNCTION("""COMPUTED_VALUE"""),"p_35c79452a0abc257c4b68975a8d7b5d0321bc46b@inbound.aiesec.org")</f>
        <v>p_35c79452a0abc257c4b68975a8d7b5d0321bc46b@inbound.aiesec.org</v>
      </c>
      <c r="F1194" s="43">
        <f>IFERROR(__xludf.DUMMYFUNCTION("""COMPUTED_VALUE"""),6.99421316E8)</f>
        <v>699421316</v>
      </c>
      <c r="G1194" s="43" t="str">
        <f>IFERROR(__xludf.DUMMYFUNCTION("""COMPUTED_VALUE"""),"Cameroon")</f>
        <v>Cameroon</v>
      </c>
      <c r="H1194" s="43" t="str">
        <f>IFERROR(__xludf.DUMMYFUNCTION("""COMPUTED_VALUE"""),"Douala")</f>
        <v>Douala</v>
      </c>
      <c r="I1194" s="43" t="str">
        <f>IFERROR(__xludf.DUMMYFUNCTION("""COMPUTED_VALUE"""),"Turkey")</f>
        <v>Turkey</v>
      </c>
      <c r="J1194" s="43" t="str">
        <f>IFERROR(__xludf.DUMMYFUNCTION("""COMPUTED_VALUE"""),"SAKARYA")</f>
        <v>SAKARYA</v>
      </c>
      <c r="K1194" s="44" t="str">
        <f>IFERROR(__xludf.DUMMYFUNCTION("""COMPUTED_VALUE"""),"https://expa.aiesec.org/opportunities/1291055")</f>
        <v>https://expa.aiesec.org/opportunities/1291055</v>
      </c>
      <c r="L1194" s="43" t="str">
        <f>IFERROR(__xludf.DUMMYFUNCTION("""COMPUTED_VALUE"""),"GV")</f>
        <v>GV</v>
      </c>
      <c r="M1194" s="43" t="str">
        <f>IFERROR(__xludf.DUMMYFUNCTION("""COMPUTED_VALUE"""),"short")</f>
        <v>short</v>
      </c>
      <c r="N1194" s="45">
        <f>IFERROR(__xludf.DUMMYFUNCTION("""COMPUTED_VALUE"""),45141.0)</f>
        <v>45141</v>
      </c>
      <c r="O1194" s="45">
        <f>IFERROR(__xludf.DUMMYFUNCTION("""COMPUTED_VALUE"""),45180.0)</f>
        <v>45180</v>
      </c>
      <c r="P1194" s="45">
        <f>IFERROR(__xludf.DUMMYFUNCTION("""COMPUTED_VALUE"""),45222.0)</f>
        <v>45222</v>
      </c>
      <c r="Q1194" s="45"/>
      <c r="R1194" s="45"/>
      <c r="S1194" s="43"/>
      <c r="T1194" s="43"/>
      <c r="U1194" s="43" t="str">
        <f>IFERROR(__xludf.DUMMYFUNCTION("""COMPUTED_VALUE"""),"Youth 4 Impact")</f>
        <v>Youth 4 Impact</v>
      </c>
      <c r="V1194" s="43" t="str">
        <f>IFERROR(__xludf.DUMMYFUNCTION("""COMPUTED_VALUE"""),"UNV Douala")</f>
        <v>UNV Douala</v>
      </c>
      <c r="W1194" s="43" t="str">
        <f>IFERROR(__xludf.DUMMYFUNCTION("""COMPUTED_VALUE"""),"2023-05-09T13:39:00Z")</f>
        <v>2023-05-09T13:39:00Z</v>
      </c>
      <c r="X1194" s="43"/>
      <c r="Y1194" s="43"/>
      <c r="Z1194" s="43"/>
    </row>
    <row r="1195" hidden="1">
      <c r="A1195" s="43" t="str">
        <f>IFERROR(__xludf.DUMMYFUNCTION("""COMPUTED_VALUE"""),"5273661_1295002")</f>
        <v>5273661_1295002</v>
      </c>
      <c r="B1195" s="43" t="str">
        <f>IFERROR(__xludf.DUMMYFUNCTION("""COMPUTED_VALUE"""),"Chaima Tarhouni")</f>
        <v>Chaima Tarhouni</v>
      </c>
      <c r="C1195" s="43" t="str">
        <f>IFERROR(__xludf.DUMMYFUNCTION("""COMPUTED_VALUE"""),"completed")</f>
        <v>completed</v>
      </c>
      <c r="D1195" s="43" t="str">
        <f>IFERROR(__xludf.DUMMYFUNCTION("""COMPUTED_VALUE"""),"No")</f>
        <v>No</v>
      </c>
      <c r="E1195" s="43" t="str">
        <f>IFERROR(__xludf.DUMMYFUNCTION("""COMPUTED_VALUE"""),"p_bac587016c1cc9db205df8feecd9661e7b224e6c@inbound.aiesec.org")</f>
        <v>p_bac587016c1cc9db205df8feecd9661e7b224e6c@inbound.aiesec.org</v>
      </c>
      <c r="F1195" s="43">
        <f>IFERROR(__xludf.DUMMYFUNCTION("""COMPUTED_VALUE"""),2.2668053E7)</f>
        <v>22668053</v>
      </c>
      <c r="G1195" s="43" t="str">
        <f>IFERROR(__xludf.DUMMYFUNCTION("""COMPUTED_VALUE"""),"Tunisia")</f>
        <v>Tunisia</v>
      </c>
      <c r="H1195" s="43" t="str">
        <f>IFERROR(__xludf.DUMMYFUNCTION("""COMPUTED_VALUE"""),"RUSPINA")</f>
        <v>RUSPINA</v>
      </c>
      <c r="I1195" s="43" t="str">
        <f>IFERROR(__xludf.DUMMYFUNCTION("""COMPUTED_VALUE"""),"Turkey")</f>
        <v>Turkey</v>
      </c>
      <c r="J1195" s="43" t="str">
        <f>IFERROR(__xludf.DUMMYFUNCTION("""COMPUTED_VALUE"""),"ADANA")</f>
        <v>ADANA</v>
      </c>
      <c r="K1195" s="44" t="str">
        <f>IFERROR(__xludf.DUMMYFUNCTION("""COMPUTED_VALUE"""),"https://expa.aiesec.org/opportunities/1295002")</f>
        <v>https://expa.aiesec.org/opportunities/1295002</v>
      </c>
      <c r="L1195" s="43" t="str">
        <f>IFERROR(__xludf.DUMMYFUNCTION("""COMPUTED_VALUE"""),"GV")</f>
        <v>GV</v>
      </c>
      <c r="M1195" s="43" t="str">
        <f>IFERROR(__xludf.DUMMYFUNCTION("""COMPUTED_VALUE"""),"short")</f>
        <v>short</v>
      </c>
      <c r="N1195" s="45">
        <f>IFERROR(__xludf.DUMMYFUNCTION("""COMPUTED_VALUE"""),45141.0)</f>
        <v>45141</v>
      </c>
      <c r="O1195" s="45">
        <f>IFERROR(__xludf.DUMMYFUNCTION("""COMPUTED_VALUE"""),45145.0)</f>
        <v>45145</v>
      </c>
      <c r="P1195" s="45">
        <f>IFERROR(__xludf.DUMMYFUNCTION("""COMPUTED_VALUE"""),45191.0)</f>
        <v>45191</v>
      </c>
      <c r="Q1195" s="45">
        <f>IFERROR(__xludf.DUMMYFUNCTION("""COMPUTED_VALUE"""),45149.0)</f>
        <v>45149</v>
      </c>
      <c r="R1195" s="45">
        <f>IFERROR(__xludf.DUMMYFUNCTION("""COMPUTED_VALUE"""),45195.0)</f>
        <v>45195</v>
      </c>
      <c r="S1195" s="43"/>
      <c r="T1195" s="43"/>
      <c r="U1195" s="43" t="str">
        <f>IFERROR(__xludf.DUMMYFUNCTION("""COMPUTED_VALUE"""),"Global Classroom")</f>
        <v>Global Classroom</v>
      </c>
      <c r="V1195" s="43" t="str">
        <f>IFERROR(__xludf.DUMMYFUNCTION("""COMPUTED_VALUE"""),"ISLAA Moknine")</f>
        <v>ISLAA Moknine</v>
      </c>
      <c r="W1195" s="43" t="str">
        <f>IFERROR(__xludf.DUMMYFUNCTION("""COMPUTED_VALUE"""),"2023-06-10T14:08:23Z")</f>
        <v>2023-06-10T14:08:23Z</v>
      </c>
      <c r="X1195" s="43"/>
      <c r="Y1195" s="43"/>
      <c r="Z1195" s="43"/>
    </row>
    <row r="1196" hidden="1">
      <c r="A1196" s="43" t="str">
        <f>IFERROR(__xludf.DUMMYFUNCTION("""COMPUTED_VALUE"""),"5265134_1291055")</f>
        <v>5265134_1291055</v>
      </c>
      <c r="B1196" s="43" t="str">
        <f>IFERROR(__xludf.DUMMYFUNCTION("""COMPUTED_VALUE"""),"Emagou Latifa junelle")</f>
        <v>Emagou Latifa junelle</v>
      </c>
      <c r="C1196" s="43" t="str">
        <f>IFERROR(__xludf.DUMMYFUNCTION("""COMPUTED_VALUE"""),"approved")</f>
        <v>approved</v>
      </c>
      <c r="D1196" s="43" t="str">
        <f>IFERROR(__xludf.DUMMYFUNCTION("""COMPUTED_VALUE"""),"No")</f>
        <v>No</v>
      </c>
      <c r="E1196" s="43" t="str">
        <f>IFERROR(__xludf.DUMMYFUNCTION("""COMPUTED_VALUE"""),"p_61ebd6081d8cf1d6091360c197a7b7e88a208cac@inbound.aiesec.org")</f>
        <v>p_61ebd6081d8cf1d6091360c197a7b7e88a208cac@inbound.aiesec.org</v>
      </c>
      <c r="F1196" s="43">
        <f>IFERROR(__xludf.DUMMYFUNCTION("""COMPUTED_VALUE"""),6.91744625E8)</f>
        <v>691744625</v>
      </c>
      <c r="G1196" s="43" t="str">
        <f>IFERROR(__xludf.DUMMYFUNCTION("""COMPUTED_VALUE"""),"Cameroon")</f>
        <v>Cameroon</v>
      </c>
      <c r="H1196" s="43" t="str">
        <f>IFERROR(__xludf.DUMMYFUNCTION("""COMPUTED_VALUE"""),"Douala")</f>
        <v>Douala</v>
      </c>
      <c r="I1196" s="43" t="str">
        <f>IFERROR(__xludf.DUMMYFUNCTION("""COMPUTED_VALUE"""),"Turkey")</f>
        <v>Turkey</v>
      </c>
      <c r="J1196" s="43" t="str">
        <f>IFERROR(__xludf.DUMMYFUNCTION("""COMPUTED_VALUE"""),"SAKARYA")</f>
        <v>SAKARYA</v>
      </c>
      <c r="K1196" s="44" t="str">
        <f>IFERROR(__xludf.DUMMYFUNCTION("""COMPUTED_VALUE"""),"https://expa.aiesec.org/opportunities/1291055")</f>
        <v>https://expa.aiesec.org/opportunities/1291055</v>
      </c>
      <c r="L1196" s="43" t="str">
        <f>IFERROR(__xludf.DUMMYFUNCTION("""COMPUTED_VALUE"""),"GV")</f>
        <v>GV</v>
      </c>
      <c r="M1196" s="43" t="str">
        <f>IFERROR(__xludf.DUMMYFUNCTION("""COMPUTED_VALUE"""),"short")</f>
        <v>short</v>
      </c>
      <c r="N1196" s="45">
        <f>IFERROR(__xludf.DUMMYFUNCTION("""COMPUTED_VALUE"""),45142.0)</f>
        <v>45142</v>
      </c>
      <c r="O1196" s="45">
        <f>IFERROR(__xludf.DUMMYFUNCTION("""COMPUTED_VALUE"""),45180.0)</f>
        <v>45180</v>
      </c>
      <c r="P1196" s="45">
        <f>IFERROR(__xludf.DUMMYFUNCTION("""COMPUTED_VALUE"""),45222.0)</f>
        <v>45222</v>
      </c>
      <c r="Q1196" s="45"/>
      <c r="R1196" s="45"/>
      <c r="S1196" s="43"/>
      <c r="T1196" s="43"/>
      <c r="U1196" s="43" t="str">
        <f>IFERROR(__xludf.DUMMYFUNCTION("""COMPUTED_VALUE"""),"Youth 4 Impact")</f>
        <v>Youth 4 Impact</v>
      </c>
      <c r="V1196" s="43" t="str">
        <f>IFERROR(__xludf.DUMMYFUNCTION("""COMPUTED_VALUE"""),"UNV Douala")</f>
        <v>UNV Douala</v>
      </c>
      <c r="W1196" s="43" t="str">
        <f>IFERROR(__xludf.DUMMYFUNCTION("""COMPUTED_VALUE"""),"2023-05-22T22:31:00Z")</f>
        <v>2023-05-22T22:31:00Z</v>
      </c>
      <c r="X1196" s="43"/>
      <c r="Y1196" s="43"/>
      <c r="Z1196" s="43"/>
    </row>
    <row r="1197" hidden="1">
      <c r="A1197" s="43" t="str">
        <f>IFERROR(__xludf.DUMMYFUNCTION("""COMPUTED_VALUE"""),"5261270_1288393")</f>
        <v>5261270_1288393</v>
      </c>
      <c r="B1197" s="43" t="str">
        <f>IFERROR(__xludf.DUMMYFUNCTION("""COMPUTED_VALUE"""),"Asma Slim")</f>
        <v>Asma Slim</v>
      </c>
      <c r="C1197" s="43" t="str">
        <f>IFERROR(__xludf.DUMMYFUNCTION("""COMPUTED_VALUE"""),"finished")</f>
        <v>finished</v>
      </c>
      <c r="D1197" s="43" t="str">
        <f>IFERROR(__xludf.DUMMYFUNCTION("""COMPUTED_VALUE"""),"No")</f>
        <v>No</v>
      </c>
      <c r="E1197" s="43" t="str">
        <f>IFERROR(__xludf.DUMMYFUNCTION("""COMPUTED_VALUE"""),"p_7947a59c6abd48f4b757ef039c05f31eb7650451@inbound.aiesec.org")</f>
        <v>p_7947a59c6abd48f4b757ef039c05f31eb7650451@inbound.aiesec.org</v>
      </c>
      <c r="F1197" s="43">
        <f>IFERROR(__xludf.DUMMYFUNCTION("""COMPUTED_VALUE"""),2.3602869E7)</f>
        <v>23602869</v>
      </c>
      <c r="G1197" s="43" t="str">
        <f>IFERROR(__xludf.DUMMYFUNCTION("""COMPUTED_VALUE"""),"Tunisia")</f>
        <v>Tunisia</v>
      </c>
      <c r="H1197" s="43" t="str">
        <f>IFERROR(__xludf.DUMMYFUNCTION("""COMPUTED_VALUE"""),"BARDO")</f>
        <v>BARDO</v>
      </c>
      <c r="I1197" s="43" t="str">
        <f>IFERROR(__xludf.DUMMYFUNCTION("""COMPUTED_VALUE"""),"Turkey")</f>
        <v>Turkey</v>
      </c>
      <c r="J1197" s="43" t="str">
        <f>IFERROR(__xludf.DUMMYFUNCTION("""COMPUTED_VALUE"""),"ISTANBUL")</f>
        <v>ISTANBUL</v>
      </c>
      <c r="K1197" s="44" t="str">
        <f>IFERROR(__xludf.DUMMYFUNCTION("""COMPUTED_VALUE"""),"https://expa.aiesec.org/opportunities/1288393")</f>
        <v>https://expa.aiesec.org/opportunities/1288393</v>
      </c>
      <c r="L1197" s="43" t="str">
        <f>IFERROR(__xludf.DUMMYFUNCTION("""COMPUTED_VALUE"""),"GV")</f>
        <v>GV</v>
      </c>
      <c r="M1197" s="43" t="str">
        <f>IFERROR(__xludf.DUMMYFUNCTION("""COMPUTED_VALUE"""),"short")</f>
        <v>short</v>
      </c>
      <c r="N1197" s="45">
        <f>IFERROR(__xludf.DUMMYFUNCTION("""COMPUTED_VALUE"""),45143.0)</f>
        <v>45143</v>
      </c>
      <c r="O1197" s="45">
        <f>IFERROR(__xludf.DUMMYFUNCTION("""COMPUTED_VALUE"""),45152.0)</f>
        <v>45152</v>
      </c>
      <c r="P1197" s="45">
        <f>IFERROR(__xludf.DUMMYFUNCTION("""COMPUTED_VALUE"""),45194.0)</f>
        <v>45194</v>
      </c>
      <c r="Q1197" s="45">
        <f>IFERROR(__xludf.DUMMYFUNCTION("""COMPUTED_VALUE"""),45152.0)</f>
        <v>45152</v>
      </c>
      <c r="R1197" s="45">
        <f>IFERROR(__xludf.DUMMYFUNCTION("""COMPUTED_VALUE"""),45194.0)</f>
        <v>45194</v>
      </c>
      <c r="S1197" s="43"/>
      <c r="T1197" s="43"/>
      <c r="U1197" s="43" t="str">
        <f>IFERROR(__xludf.DUMMYFUNCTION("""COMPUTED_VALUE"""),"Global Classroom")</f>
        <v>Global Classroom</v>
      </c>
      <c r="V1197" s="43" t="str">
        <f>IFERROR(__xludf.DUMMYFUNCTION("""COMPUTED_VALUE"""),"ISBAT")</f>
        <v>ISBAT</v>
      </c>
      <c r="W1197" s="43" t="str">
        <f>IFERROR(__xludf.DUMMYFUNCTION("""COMPUTED_VALUE"""),"2023-05-15T11:04:58Z")</f>
        <v>2023-05-15T11:04:58Z</v>
      </c>
      <c r="X1197" s="43"/>
      <c r="Y1197" s="43"/>
      <c r="Z1197" s="43"/>
    </row>
    <row r="1198" hidden="1">
      <c r="A1198" s="43" t="str">
        <f>IFERROR(__xludf.DUMMYFUNCTION("""COMPUTED_VALUE"""),"5292678_1289536")</f>
        <v>5292678_1289536</v>
      </c>
      <c r="B1198" s="43" t="str">
        <f>IFERROR(__xludf.DUMMYFUNCTION("""COMPUTED_VALUE"""),"Aditya Parekh")</f>
        <v>Aditya Parekh</v>
      </c>
      <c r="C1198" s="43" t="str">
        <f>IFERROR(__xludf.DUMMYFUNCTION("""COMPUTED_VALUE"""),"approved")</f>
        <v>approved</v>
      </c>
      <c r="D1198" s="43" t="str">
        <f>IFERROR(__xludf.DUMMYFUNCTION("""COMPUTED_VALUE"""),"No")</f>
        <v>No</v>
      </c>
      <c r="E1198" s="43" t="str">
        <f>IFERROR(__xludf.DUMMYFUNCTION("""COMPUTED_VALUE"""),"p_082f69950c4265d2e6a6b4735630f941b43a729f@inbound.aiesec.org")</f>
        <v>p_082f69950c4265d2e6a6b4735630f941b43a729f@inbound.aiesec.org</v>
      </c>
      <c r="F1198" s="43">
        <f>IFERROR(__xludf.DUMMYFUNCTION("""COMPUTED_VALUE"""),9.978285555E9)</f>
        <v>9978285555</v>
      </c>
      <c r="G1198" s="43" t="str">
        <f>IFERROR(__xludf.DUMMYFUNCTION("""COMPUTED_VALUE"""),"India")</f>
        <v>India</v>
      </c>
      <c r="H1198" s="43" t="str">
        <f>IFERROR(__xludf.DUMMYFUNCTION("""COMPUTED_VALUE"""),"Mumbai")</f>
        <v>Mumbai</v>
      </c>
      <c r="I1198" s="43" t="str">
        <f>IFERROR(__xludf.DUMMYFUNCTION("""COMPUTED_VALUE"""),"Turkey")</f>
        <v>Turkey</v>
      </c>
      <c r="J1198" s="43" t="str">
        <f>IFERROR(__xludf.DUMMYFUNCTION("""COMPUTED_VALUE"""),"ISTANBUL")</f>
        <v>ISTANBUL</v>
      </c>
      <c r="K1198" s="44" t="str">
        <f>IFERROR(__xludf.DUMMYFUNCTION("""COMPUTED_VALUE"""),"https://expa.aiesec.org/opportunities/1289536")</f>
        <v>https://expa.aiesec.org/opportunities/1289536</v>
      </c>
      <c r="L1198" s="43" t="str">
        <f>IFERROR(__xludf.DUMMYFUNCTION("""COMPUTED_VALUE"""),"GV")</f>
        <v>GV</v>
      </c>
      <c r="M1198" s="43" t="str">
        <f>IFERROR(__xludf.DUMMYFUNCTION("""COMPUTED_VALUE"""),"short")</f>
        <v>short</v>
      </c>
      <c r="N1198" s="45">
        <f>IFERROR(__xludf.DUMMYFUNCTION("""COMPUTED_VALUE"""),45143.0)</f>
        <v>45143</v>
      </c>
      <c r="O1198" s="45">
        <f>IFERROR(__xludf.DUMMYFUNCTION("""COMPUTED_VALUE"""),45397.0)</f>
        <v>45397</v>
      </c>
      <c r="P1198" s="45">
        <f>IFERROR(__xludf.DUMMYFUNCTION("""COMPUTED_VALUE"""),45439.0)</f>
        <v>45439</v>
      </c>
      <c r="Q1198" s="45"/>
      <c r="R1198" s="45"/>
      <c r="S1198" s="43"/>
      <c r="T1198" s="43"/>
      <c r="U1198" s="43" t="str">
        <f>IFERROR(__xludf.DUMMYFUNCTION("""COMPUTED_VALUE"""),"Global Classroom")</f>
        <v>Global Classroom</v>
      </c>
      <c r="V1198" s="43" t="str">
        <f>IFERROR(__xludf.DUMMYFUNCTION("""COMPUTED_VALUE"""),"Mumbai")</f>
        <v>Mumbai</v>
      </c>
      <c r="W1198" s="43" t="str">
        <f>IFERROR(__xludf.DUMMYFUNCTION("""COMPUTED_VALUE"""),"2023-08-01T12:58:22Z")</f>
        <v>2023-08-01T12:58:22Z</v>
      </c>
      <c r="X1198" s="43"/>
      <c r="Y1198" s="43"/>
      <c r="Z1198" s="43"/>
    </row>
    <row r="1199" hidden="1">
      <c r="A1199" s="43" t="str">
        <f>IFERROR(__xludf.DUMMYFUNCTION("""COMPUTED_VALUE"""),"5296037_1297781")</f>
        <v>5296037_1297781</v>
      </c>
      <c r="B1199" s="43" t="str">
        <f>IFERROR(__xludf.DUMMYFUNCTION("""COMPUTED_VALUE"""),"Anastasiia Alieksa")</f>
        <v>Anastasiia Alieksa</v>
      </c>
      <c r="C1199" s="43" t="str">
        <f>IFERROR(__xludf.DUMMYFUNCTION("""COMPUTED_VALUE"""),"completed")</f>
        <v>completed</v>
      </c>
      <c r="D1199" s="43" t="str">
        <f>IFERROR(__xludf.DUMMYFUNCTION("""COMPUTED_VALUE"""),"No")</f>
        <v>No</v>
      </c>
      <c r="E1199" s="43" t="str">
        <f>IFERROR(__xludf.DUMMYFUNCTION("""COMPUTED_VALUE"""),"p_2fac243d7386f68b32aaf07880293c90c664f80b@inbound.aiesec.org")</f>
        <v>p_2fac243d7386f68b32aaf07880293c90c664f80b@inbound.aiesec.org</v>
      </c>
      <c r="F1199" s="43">
        <f>IFERROR(__xludf.DUMMYFUNCTION("""COMPUTED_VALUE"""),6.83128968E8)</f>
        <v>683128968</v>
      </c>
      <c r="G1199" s="43" t="str">
        <f>IFERROR(__xludf.DUMMYFUNCTION("""COMPUTED_VALUE"""),"Ukraine")</f>
        <v>Ukraine</v>
      </c>
      <c r="H1199" s="43" t="str">
        <f>IFERROR(__xludf.DUMMYFUNCTION("""COMPUTED_VALUE"""),"ODESA")</f>
        <v>ODESA</v>
      </c>
      <c r="I1199" s="43" t="str">
        <f>IFERROR(__xludf.DUMMYFUNCTION("""COMPUTED_VALUE"""),"Turkey")</f>
        <v>Turkey</v>
      </c>
      <c r="J1199" s="43" t="str">
        <f>IFERROR(__xludf.DUMMYFUNCTION("""COMPUTED_VALUE"""),"ADANA")</f>
        <v>ADANA</v>
      </c>
      <c r="K1199" s="44" t="str">
        <f>IFERROR(__xludf.DUMMYFUNCTION("""COMPUTED_VALUE"""),"https://expa.aiesec.org/opportunities/1297781")</f>
        <v>https://expa.aiesec.org/opportunities/1297781</v>
      </c>
      <c r="L1199" s="43" t="str">
        <f>IFERROR(__xludf.DUMMYFUNCTION("""COMPUTED_VALUE"""),"GV")</f>
        <v>GV</v>
      </c>
      <c r="M1199" s="43" t="str">
        <f>IFERROR(__xludf.DUMMYFUNCTION("""COMPUTED_VALUE"""),"short")</f>
        <v>short</v>
      </c>
      <c r="N1199" s="45">
        <f>IFERROR(__xludf.DUMMYFUNCTION("""COMPUTED_VALUE"""),45143.0)</f>
        <v>45143</v>
      </c>
      <c r="O1199" s="45">
        <f>IFERROR(__xludf.DUMMYFUNCTION("""COMPUTED_VALUE"""),45180.0)</f>
        <v>45180</v>
      </c>
      <c r="P1199" s="45">
        <f>IFERROR(__xludf.DUMMYFUNCTION("""COMPUTED_VALUE"""),45222.0)</f>
        <v>45222</v>
      </c>
      <c r="Q1199" s="45">
        <f>IFERROR(__xludf.DUMMYFUNCTION("""COMPUTED_VALUE"""),45180.0)</f>
        <v>45180</v>
      </c>
      <c r="R1199" s="45">
        <f>IFERROR(__xludf.DUMMYFUNCTION("""COMPUTED_VALUE"""),45222.0)</f>
        <v>45222</v>
      </c>
      <c r="S1199" s="43"/>
      <c r="T1199" s="43"/>
      <c r="U1199" s="43" t="str">
        <f>IFERROR(__xludf.DUMMYFUNCTION("""COMPUTED_VALUE"""),"Raise Your Voice")</f>
        <v>Raise Your Voice</v>
      </c>
      <c r="V1199" s="43" t="str">
        <f>IFERROR(__xludf.DUMMYFUNCTION("""COMPUTED_VALUE"""),"Odesa")</f>
        <v>Odesa</v>
      </c>
      <c r="W1199" s="43" t="str">
        <f>IFERROR(__xludf.DUMMYFUNCTION("""COMPUTED_VALUE"""),"2023-08-03T21:08:56Z")</f>
        <v>2023-08-03T21:08:56Z</v>
      </c>
      <c r="X1199" s="43"/>
      <c r="Y1199" s="43"/>
      <c r="Z1199" s="43"/>
    </row>
    <row r="1200" hidden="1">
      <c r="A1200" s="43" t="str">
        <f>IFERROR(__xludf.DUMMYFUNCTION("""COMPUTED_VALUE"""),"5234131_1294127")</f>
        <v>5234131_1294127</v>
      </c>
      <c r="B1200" s="43" t="str">
        <f>IFERROR(__xludf.DUMMYFUNCTION("""COMPUTED_VALUE"""),"Fidan Babayeva")</f>
        <v>Fidan Babayeva</v>
      </c>
      <c r="C1200" s="43" t="str">
        <f>IFERROR(__xludf.DUMMYFUNCTION("""COMPUTED_VALUE"""),"finished")</f>
        <v>finished</v>
      </c>
      <c r="D1200" s="43" t="str">
        <f>IFERROR(__xludf.DUMMYFUNCTION("""COMPUTED_VALUE"""),"No")</f>
        <v>No</v>
      </c>
      <c r="E1200" s="43" t="str">
        <f>IFERROR(__xludf.DUMMYFUNCTION("""COMPUTED_VALUE"""),"p_92f86cea76127c896e1f9d3e718b5a2c851b7103@inbound.aiesec.org")</f>
        <v>p_92f86cea76127c896e1f9d3e718b5a2c851b7103@inbound.aiesec.org</v>
      </c>
      <c r="F1200" s="43">
        <f>IFERROR(__xludf.DUMMYFUNCTION("""COMPUTED_VALUE"""),7.73007087E8)</f>
        <v>773007087</v>
      </c>
      <c r="G1200" s="43" t="str">
        <f>IFERROR(__xludf.DUMMYFUNCTION("""COMPUTED_VALUE"""),"Azerbaijan")</f>
        <v>Azerbaijan</v>
      </c>
      <c r="H1200" s="43" t="str">
        <f>IFERROR(__xludf.DUMMYFUNCTION("""COMPUTED_VALUE"""),"Baku ADA")</f>
        <v>Baku ADA</v>
      </c>
      <c r="I1200" s="43" t="str">
        <f>IFERROR(__xludf.DUMMYFUNCTION("""COMPUTED_VALUE"""),"Turkey")</f>
        <v>Turkey</v>
      </c>
      <c r="J1200" s="43" t="str">
        <f>IFERROR(__xludf.DUMMYFUNCTION("""COMPUTED_VALUE"""),"ADANA")</f>
        <v>ADANA</v>
      </c>
      <c r="K1200" s="44" t="str">
        <f>IFERROR(__xludf.DUMMYFUNCTION("""COMPUTED_VALUE"""),"https://expa.aiesec.org/opportunities/1294127")</f>
        <v>https://expa.aiesec.org/opportunities/1294127</v>
      </c>
      <c r="L1200" s="43" t="str">
        <f>IFERROR(__xludf.DUMMYFUNCTION("""COMPUTED_VALUE"""),"GV")</f>
        <v>GV</v>
      </c>
      <c r="M1200" s="43" t="str">
        <f>IFERROR(__xludf.DUMMYFUNCTION("""COMPUTED_VALUE"""),"short")</f>
        <v>short</v>
      </c>
      <c r="N1200" s="45">
        <f>IFERROR(__xludf.DUMMYFUNCTION("""COMPUTED_VALUE"""),45145.0)</f>
        <v>45145</v>
      </c>
      <c r="O1200" s="45">
        <f>IFERROR(__xludf.DUMMYFUNCTION("""COMPUTED_VALUE"""),45153.0)</f>
        <v>45153</v>
      </c>
      <c r="P1200" s="45">
        <f>IFERROR(__xludf.DUMMYFUNCTION("""COMPUTED_VALUE"""),45195.0)</f>
        <v>45195</v>
      </c>
      <c r="Q1200" s="45">
        <f>IFERROR(__xludf.DUMMYFUNCTION("""COMPUTED_VALUE"""),45145.0)</f>
        <v>45145</v>
      </c>
      <c r="R1200" s="45">
        <f>IFERROR(__xludf.DUMMYFUNCTION("""COMPUTED_VALUE"""),45195.0)</f>
        <v>45195</v>
      </c>
      <c r="S1200" s="43"/>
      <c r="T1200" s="43"/>
      <c r="U1200" s="43" t="str">
        <f>IFERROR(__xludf.DUMMYFUNCTION("""COMPUTED_VALUE"""),"Equify")</f>
        <v>Equify</v>
      </c>
      <c r="V1200" s="43" t="str">
        <f>IFERROR(__xludf.DUMMYFUNCTION("""COMPUTED_VALUE"""),"Azerbaijan State Pedagogical University")</f>
        <v>Azerbaijan State Pedagogical University</v>
      </c>
      <c r="W1200" s="43" t="str">
        <f>IFERROR(__xludf.DUMMYFUNCTION("""COMPUTED_VALUE"""),"2023-04-03T15:53:47Z")</f>
        <v>2023-04-03T15:53:47Z</v>
      </c>
      <c r="X1200" s="43"/>
      <c r="Y1200" s="43"/>
      <c r="Z1200" s="43"/>
    </row>
    <row r="1201" hidden="1">
      <c r="A1201" s="43" t="str">
        <f>IFERROR(__xludf.DUMMYFUNCTION("""COMPUTED_VALUE"""),"5249416_1294127")</f>
        <v>5249416_1294127</v>
      </c>
      <c r="B1201" s="43" t="str">
        <f>IFERROR(__xludf.DUMMYFUNCTION("""COMPUTED_VALUE"""),"Fatma Jafarli")</f>
        <v>Fatma Jafarli</v>
      </c>
      <c r="C1201" s="43" t="str">
        <f>IFERROR(__xludf.DUMMYFUNCTION("""COMPUTED_VALUE"""),"finished")</f>
        <v>finished</v>
      </c>
      <c r="D1201" s="43" t="str">
        <f>IFERROR(__xludf.DUMMYFUNCTION("""COMPUTED_VALUE"""),"No")</f>
        <v>No</v>
      </c>
      <c r="E1201" s="43" t="str">
        <f>IFERROR(__xludf.DUMMYFUNCTION("""COMPUTED_VALUE"""),"p_73a6d55117c778bcedaa2918040080aca7c072db@inbound.aiesec.org")</f>
        <v>p_73a6d55117c778bcedaa2918040080aca7c072db@inbound.aiesec.org</v>
      </c>
      <c r="F1201" s="43">
        <f>IFERROR(__xludf.DUMMYFUNCTION("""COMPUTED_VALUE"""),5.5246194E8)</f>
        <v>552461940</v>
      </c>
      <c r="G1201" s="43" t="str">
        <f>IFERROR(__xludf.DUMMYFUNCTION("""COMPUTED_VALUE"""),"Azerbaijan")</f>
        <v>Azerbaijan</v>
      </c>
      <c r="H1201" s="43" t="str">
        <f>IFERROR(__xludf.DUMMYFUNCTION("""COMPUTED_VALUE"""),"Baku ADA")</f>
        <v>Baku ADA</v>
      </c>
      <c r="I1201" s="43" t="str">
        <f>IFERROR(__xludf.DUMMYFUNCTION("""COMPUTED_VALUE"""),"Turkey")</f>
        <v>Turkey</v>
      </c>
      <c r="J1201" s="43" t="str">
        <f>IFERROR(__xludf.DUMMYFUNCTION("""COMPUTED_VALUE"""),"ADANA")</f>
        <v>ADANA</v>
      </c>
      <c r="K1201" s="44" t="str">
        <f>IFERROR(__xludf.DUMMYFUNCTION("""COMPUTED_VALUE"""),"https://expa.aiesec.org/opportunities/1294127")</f>
        <v>https://expa.aiesec.org/opportunities/1294127</v>
      </c>
      <c r="L1201" s="43" t="str">
        <f>IFERROR(__xludf.DUMMYFUNCTION("""COMPUTED_VALUE"""),"GV")</f>
        <v>GV</v>
      </c>
      <c r="M1201" s="43" t="str">
        <f>IFERROR(__xludf.DUMMYFUNCTION("""COMPUTED_VALUE"""),"short")</f>
        <v>short</v>
      </c>
      <c r="N1201" s="45">
        <f>IFERROR(__xludf.DUMMYFUNCTION("""COMPUTED_VALUE"""),45145.0)</f>
        <v>45145</v>
      </c>
      <c r="O1201" s="45">
        <f>IFERROR(__xludf.DUMMYFUNCTION("""COMPUTED_VALUE"""),45153.0)</f>
        <v>45153</v>
      </c>
      <c r="P1201" s="45">
        <f>IFERROR(__xludf.DUMMYFUNCTION("""COMPUTED_VALUE"""),45195.0)</f>
        <v>45195</v>
      </c>
      <c r="Q1201" s="45">
        <f>IFERROR(__xludf.DUMMYFUNCTION("""COMPUTED_VALUE"""),45145.0)</f>
        <v>45145</v>
      </c>
      <c r="R1201" s="45">
        <f>IFERROR(__xludf.DUMMYFUNCTION("""COMPUTED_VALUE"""),45195.0)</f>
        <v>45195</v>
      </c>
      <c r="S1201" s="43"/>
      <c r="T1201" s="43"/>
      <c r="U1201" s="43" t="str">
        <f>IFERROR(__xludf.DUMMYFUNCTION("""COMPUTED_VALUE"""),"Equify")</f>
        <v>Equify</v>
      </c>
      <c r="V1201" s="43" t="str">
        <f>IFERROR(__xludf.DUMMYFUNCTION("""COMPUTED_VALUE"""),"Azerbaijan State Pedagogical University")</f>
        <v>Azerbaijan State Pedagogical University</v>
      </c>
      <c r="W1201" s="43" t="str">
        <f>IFERROR(__xludf.DUMMYFUNCTION("""COMPUTED_VALUE"""),"2023-04-25T20:54:11Z")</f>
        <v>2023-04-25T20:54:11Z</v>
      </c>
      <c r="X1201" s="43"/>
      <c r="Y1201" s="43"/>
      <c r="Z1201" s="43"/>
    </row>
    <row r="1202" hidden="1">
      <c r="A1202" s="43" t="str">
        <f>IFERROR(__xludf.DUMMYFUNCTION("""COMPUTED_VALUE"""),"5287907_1288461")</f>
        <v>5287907_1288461</v>
      </c>
      <c r="B1202" s="43" t="str">
        <f>IFERROR(__xludf.DUMMYFUNCTION("""COMPUTED_VALUE"""),"Zulaika Rasul kyzy")</f>
        <v>Zulaika Rasul kyzy</v>
      </c>
      <c r="C1202" s="43" t="str">
        <f>IFERROR(__xludf.DUMMYFUNCTION("""COMPUTED_VALUE"""),"completed")</f>
        <v>completed</v>
      </c>
      <c r="D1202" s="43" t="str">
        <f>IFERROR(__xludf.DUMMYFUNCTION("""COMPUTED_VALUE"""),"No")</f>
        <v>No</v>
      </c>
      <c r="E1202" s="43" t="str">
        <f>IFERROR(__xludf.DUMMYFUNCTION("""COMPUTED_VALUE"""),"p_cb14f55e5b0ba7c67efbff7395bd91517069e24f@inbound.aiesec.org")</f>
        <v>p_cb14f55e5b0ba7c67efbff7395bd91517069e24f@inbound.aiesec.org</v>
      </c>
      <c r="F1202" s="43">
        <f>IFERROR(__xludf.DUMMYFUNCTION("""COMPUTED_VALUE"""),7.0072174E8)</f>
        <v>700721740</v>
      </c>
      <c r="G1202" s="43" t="str">
        <f>IFERROR(__xludf.DUMMYFUNCTION("""COMPUTED_VALUE"""),"Kyrgyzstan")</f>
        <v>Kyrgyzstan</v>
      </c>
      <c r="H1202" s="43" t="str">
        <f>IFERROR(__xludf.DUMMYFUNCTION("""COMPUTED_VALUE"""),"Dragon")</f>
        <v>Dragon</v>
      </c>
      <c r="I1202" s="43" t="str">
        <f>IFERROR(__xludf.DUMMYFUNCTION("""COMPUTED_VALUE"""),"Turkey")</f>
        <v>Turkey</v>
      </c>
      <c r="J1202" s="43" t="str">
        <f>IFERROR(__xludf.DUMMYFUNCTION("""COMPUTED_VALUE"""),"GAZIANTEP")</f>
        <v>GAZIANTEP</v>
      </c>
      <c r="K1202" s="44" t="str">
        <f>IFERROR(__xludf.DUMMYFUNCTION("""COMPUTED_VALUE"""),"https://expa.aiesec.org/opportunities/1288461")</f>
        <v>https://expa.aiesec.org/opportunities/1288461</v>
      </c>
      <c r="L1202" s="43" t="str">
        <f>IFERROR(__xludf.DUMMYFUNCTION("""COMPUTED_VALUE"""),"GV")</f>
        <v>GV</v>
      </c>
      <c r="M1202" s="43" t="str">
        <f>IFERROR(__xludf.DUMMYFUNCTION("""COMPUTED_VALUE"""),"short")</f>
        <v>short</v>
      </c>
      <c r="N1202" s="45">
        <f>IFERROR(__xludf.DUMMYFUNCTION("""COMPUTED_VALUE"""),45145.0)</f>
        <v>45145</v>
      </c>
      <c r="O1202" s="45">
        <f>IFERROR(__xludf.DUMMYFUNCTION("""COMPUTED_VALUE"""),45193.0)</f>
        <v>45193</v>
      </c>
      <c r="P1202" s="45">
        <f>IFERROR(__xludf.DUMMYFUNCTION("""COMPUTED_VALUE"""),45235.0)</f>
        <v>45235</v>
      </c>
      <c r="Q1202" s="45">
        <f>IFERROR(__xludf.DUMMYFUNCTION("""COMPUTED_VALUE"""),45192.0)</f>
        <v>45192</v>
      </c>
      <c r="R1202" s="45">
        <f>IFERROR(__xludf.DUMMYFUNCTION("""COMPUTED_VALUE"""),45235.0)</f>
        <v>45235</v>
      </c>
      <c r="S1202" s="43"/>
      <c r="T1202" s="43"/>
      <c r="U1202" s="43" t="str">
        <f>IFERROR(__xludf.DUMMYFUNCTION("""COMPUTED_VALUE"""),"Fingerprint")</f>
        <v>Fingerprint</v>
      </c>
      <c r="V1202" s="43" t="str">
        <f>IFERROR(__xludf.DUMMYFUNCTION("""COMPUTED_VALUE"""),"Международный Университет Алатоо (Отделение Международных Отношений или Лингвистики) International Alatoo University (department of IR or Linguistics)")</f>
        <v>Международный Университет Алатоо (Отделение Международных Отношений или Лингвистики) International Alatoo University (department of IR or Linguistics)</v>
      </c>
      <c r="W1202" s="43" t="str">
        <f>IFERROR(__xludf.DUMMYFUNCTION("""COMPUTED_VALUE"""),"2023-07-21T15:37:05Z")</f>
        <v>2023-07-21T15:37:05Z</v>
      </c>
      <c r="X1202" s="43"/>
      <c r="Y1202" s="43"/>
      <c r="Z1202" s="43"/>
    </row>
    <row r="1203" hidden="1">
      <c r="A1203" s="43" t="str">
        <f>IFERROR(__xludf.DUMMYFUNCTION("""COMPUTED_VALUE"""),"5292488_1297781")</f>
        <v>5292488_1297781</v>
      </c>
      <c r="B1203" s="43" t="str">
        <f>IFERROR(__xludf.DUMMYFUNCTION("""COMPUTED_VALUE"""),"Yaroslava Kalynchuk")</f>
        <v>Yaroslava Kalynchuk</v>
      </c>
      <c r="C1203" s="43" t="str">
        <f>IFERROR(__xludf.DUMMYFUNCTION("""COMPUTED_VALUE"""),"completed")</f>
        <v>completed</v>
      </c>
      <c r="D1203" s="43" t="str">
        <f>IFERROR(__xludf.DUMMYFUNCTION("""COMPUTED_VALUE"""),"No")</f>
        <v>No</v>
      </c>
      <c r="E1203" s="43" t="str">
        <f>IFERROR(__xludf.DUMMYFUNCTION("""COMPUTED_VALUE"""),"p_35f41c47ba118e295f33a8176a62c0be391de419@inbound.aiesec.org")</f>
        <v>p_35f41c47ba118e295f33a8176a62c0be391de419@inbound.aiesec.org</v>
      </c>
      <c r="F1203" s="43">
        <f>IFERROR(__xludf.DUMMYFUNCTION("""COMPUTED_VALUE"""),9.85061332E8)</f>
        <v>985061332</v>
      </c>
      <c r="G1203" s="43" t="str">
        <f>IFERROR(__xludf.DUMMYFUNCTION("""COMPUTED_VALUE"""),"Ukraine")</f>
        <v>Ukraine</v>
      </c>
      <c r="H1203" s="43" t="str">
        <f>IFERROR(__xludf.DUMMYFUNCTION("""COMPUTED_VALUE"""),"IVANO-FRANKIVSK")</f>
        <v>IVANO-FRANKIVSK</v>
      </c>
      <c r="I1203" s="43" t="str">
        <f>IFERROR(__xludf.DUMMYFUNCTION("""COMPUTED_VALUE"""),"Turkey")</f>
        <v>Turkey</v>
      </c>
      <c r="J1203" s="43" t="str">
        <f>IFERROR(__xludf.DUMMYFUNCTION("""COMPUTED_VALUE"""),"ADANA")</f>
        <v>ADANA</v>
      </c>
      <c r="K1203" s="44" t="str">
        <f>IFERROR(__xludf.DUMMYFUNCTION("""COMPUTED_VALUE"""),"https://expa.aiesec.org/opportunities/1297781")</f>
        <v>https://expa.aiesec.org/opportunities/1297781</v>
      </c>
      <c r="L1203" s="43" t="str">
        <f>IFERROR(__xludf.DUMMYFUNCTION("""COMPUTED_VALUE"""),"GV")</f>
        <v>GV</v>
      </c>
      <c r="M1203" s="43" t="str">
        <f>IFERROR(__xludf.DUMMYFUNCTION("""COMPUTED_VALUE"""),"short")</f>
        <v>short</v>
      </c>
      <c r="N1203" s="45">
        <f>IFERROR(__xludf.DUMMYFUNCTION("""COMPUTED_VALUE"""),45145.0)</f>
        <v>45145</v>
      </c>
      <c r="O1203" s="45">
        <f>IFERROR(__xludf.DUMMYFUNCTION("""COMPUTED_VALUE"""),45180.0)</f>
        <v>45180</v>
      </c>
      <c r="P1203" s="45">
        <f>IFERROR(__xludf.DUMMYFUNCTION("""COMPUTED_VALUE"""),45222.0)</f>
        <v>45222</v>
      </c>
      <c r="Q1203" s="45">
        <f>IFERROR(__xludf.DUMMYFUNCTION("""COMPUTED_VALUE"""),45180.0)</f>
        <v>45180</v>
      </c>
      <c r="R1203" s="45">
        <f>IFERROR(__xludf.DUMMYFUNCTION("""COMPUTED_VALUE"""),45222.0)</f>
        <v>45222</v>
      </c>
      <c r="S1203" s="43"/>
      <c r="T1203" s="43"/>
      <c r="U1203" s="43" t="str">
        <f>IFERROR(__xludf.DUMMYFUNCTION("""COMPUTED_VALUE"""),"Raise Your Voice")</f>
        <v>Raise Your Voice</v>
      </c>
      <c r="V1203" s="43" t="str">
        <f>IFERROR(__xludf.DUMMYFUNCTION("""COMPUTED_VALUE"""),"Ivano-Frankivsk")</f>
        <v>Ivano-Frankivsk</v>
      </c>
      <c r="W1203" s="43" t="str">
        <f>IFERROR(__xludf.DUMMYFUNCTION("""COMPUTED_VALUE"""),"2023-08-01T07:51:06Z")</f>
        <v>2023-08-01T07:51:06Z</v>
      </c>
      <c r="X1203" s="43"/>
      <c r="Y1203" s="43"/>
      <c r="Z1203" s="43"/>
    </row>
    <row r="1204" hidden="1">
      <c r="A1204" s="43" t="str">
        <f>IFERROR(__xludf.DUMMYFUNCTION("""COMPUTED_VALUE"""),"3753893_1284081")</f>
        <v>3753893_1284081</v>
      </c>
      <c r="B1204" s="43" t="str">
        <f>IFERROR(__xludf.DUMMYFUNCTION("""COMPUTED_VALUE"""),"Mennatala Osama sayed")</f>
        <v>Mennatala Osama sayed</v>
      </c>
      <c r="C1204" s="43" t="str">
        <f>IFERROR(__xludf.DUMMYFUNCTION("""COMPUTED_VALUE"""),"finished")</f>
        <v>finished</v>
      </c>
      <c r="D1204" s="43" t="str">
        <f>IFERROR(__xludf.DUMMYFUNCTION("""COMPUTED_VALUE"""),"No")</f>
        <v>No</v>
      </c>
      <c r="E1204" s="43" t="str">
        <f>IFERROR(__xludf.DUMMYFUNCTION("""COMPUTED_VALUE"""),"p_c4533d9be54d3ecdf6e8aa6e114bf1ce89d9f46e@inbound.aiesec.org")</f>
        <v>p_c4533d9be54d3ecdf6e8aa6e114bf1ce89d9f46e@inbound.aiesec.org</v>
      </c>
      <c r="F1204" s="43">
        <f>IFERROR(__xludf.DUMMYFUNCTION("""COMPUTED_VALUE"""),1.060478337E9)</f>
        <v>1060478337</v>
      </c>
      <c r="G1204" s="43" t="str">
        <f>IFERROR(__xludf.DUMMYFUNCTION("""COMPUTED_VALUE"""),"Egypt")</f>
        <v>Egypt</v>
      </c>
      <c r="H1204" s="43" t="str">
        <f>IFERROR(__xludf.DUMMYFUNCTION("""COMPUTED_VALUE"""),"Cairo University")</f>
        <v>Cairo University</v>
      </c>
      <c r="I1204" s="43" t="str">
        <f>IFERROR(__xludf.DUMMYFUNCTION("""COMPUTED_VALUE"""),"Turkey")</f>
        <v>Turkey</v>
      </c>
      <c r="J1204" s="43" t="str">
        <f>IFERROR(__xludf.DUMMYFUNCTION("""COMPUTED_VALUE"""),"KOCAELI")</f>
        <v>KOCAELI</v>
      </c>
      <c r="K1204" s="44" t="str">
        <f>IFERROR(__xludf.DUMMYFUNCTION("""COMPUTED_VALUE"""),"https://expa.aiesec.org/opportunities/1284081")</f>
        <v>https://expa.aiesec.org/opportunities/1284081</v>
      </c>
      <c r="L1204" s="43" t="str">
        <f>IFERROR(__xludf.DUMMYFUNCTION("""COMPUTED_VALUE"""),"GV")</f>
        <v>GV</v>
      </c>
      <c r="M1204" s="43" t="str">
        <f>IFERROR(__xludf.DUMMYFUNCTION("""COMPUTED_VALUE"""),"short")</f>
        <v>short</v>
      </c>
      <c r="N1204" s="45">
        <f>IFERROR(__xludf.DUMMYFUNCTION("""COMPUTED_VALUE"""),45145.0)</f>
        <v>45145</v>
      </c>
      <c r="O1204" s="45">
        <f>IFERROR(__xludf.DUMMYFUNCTION("""COMPUTED_VALUE"""),45214.0)</f>
        <v>45214</v>
      </c>
      <c r="P1204" s="45">
        <f>IFERROR(__xludf.DUMMYFUNCTION("""COMPUTED_VALUE"""),45256.0)</f>
        <v>45256</v>
      </c>
      <c r="Q1204" s="45">
        <f>IFERROR(__xludf.DUMMYFUNCTION("""COMPUTED_VALUE"""),45225.0)</f>
        <v>45225</v>
      </c>
      <c r="R1204" s="45">
        <f>IFERROR(__xludf.DUMMYFUNCTION("""COMPUTED_VALUE"""),45267.0)</f>
        <v>45267</v>
      </c>
      <c r="S1204" s="43"/>
      <c r="T1204" s="43"/>
      <c r="U1204" s="43" t="str">
        <f>IFERROR(__xludf.DUMMYFUNCTION("""COMPUTED_VALUE"""),"Global Classroom")</f>
        <v>Global Classroom</v>
      </c>
      <c r="V1204" s="43" t="str">
        <f>IFERROR(__xludf.DUMMYFUNCTION("""COMPUTED_VALUE"""),"Cairo Univeristy")</f>
        <v>Cairo Univeristy</v>
      </c>
      <c r="W1204" s="43" t="str">
        <f>IFERROR(__xludf.DUMMYFUNCTION("""COMPUTED_VALUE"""),"2019-08-09T09:36:28Z")</f>
        <v>2019-08-09T09:36:28Z</v>
      </c>
      <c r="X1204" s="43"/>
      <c r="Y1204" s="43"/>
      <c r="Z1204" s="43"/>
    </row>
    <row r="1205" hidden="1">
      <c r="A1205" s="43" t="str">
        <f>IFERROR(__xludf.DUMMYFUNCTION("""COMPUTED_VALUE"""),"1622511_1294651")</f>
        <v>1622511_1294651</v>
      </c>
      <c r="B1205" s="43" t="str">
        <f>IFERROR(__xludf.DUMMYFUNCTION("""COMPUTED_VALUE"""),"Usama Farooq")</f>
        <v>Usama Farooq</v>
      </c>
      <c r="C1205" s="43" t="str">
        <f>IFERROR(__xludf.DUMMYFUNCTION("""COMPUTED_VALUE"""),"completed")</f>
        <v>completed</v>
      </c>
      <c r="D1205" s="43" t="str">
        <f>IFERROR(__xludf.DUMMYFUNCTION("""COMPUTED_VALUE"""),"No")</f>
        <v>No</v>
      </c>
      <c r="E1205" s="43" t="str">
        <f>IFERROR(__xludf.DUMMYFUNCTION("""COMPUTED_VALUE"""),"p_938f977bbfcc7458994fb121fa8e57890c8f58a6@inbound.aiesec.org")</f>
        <v>p_938f977bbfcc7458994fb121fa8e57890c8f58a6@inbound.aiesec.org</v>
      </c>
      <c r="F1205" s="43">
        <f>IFERROR(__xludf.DUMMYFUNCTION("""COMPUTED_VALUE"""),3.024733534E9)</f>
        <v>3024733534</v>
      </c>
      <c r="G1205" s="43" t="str">
        <f>IFERROR(__xludf.DUMMYFUNCTION("""COMPUTED_VALUE"""),"Pakistan")</f>
        <v>Pakistan</v>
      </c>
      <c r="H1205" s="43" t="str">
        <f>IFERROR(__xludf.DUMMYFUNCTION("""COMPUTED_VALUE"""),"Islamabad")</f>
        <v>Islamabad</v>
      </c>
      <c r="I1205" s="43" t="str">
        <f>IFERROR(__xludf.DUMMYFUNCTION("""COMPUTED_VALUE"""),"Turkey")</f>
        <v>Turkey</v>
      </c>
      <c r="J1205" s="43" t="str">
        <f>IFERROR(__xludf.DUMMYFUNCTION("""COMPUTED_VALUE"""),"ANKARA")</f>
        <v>ANKARA</v>
      </c>
      <c r="K1205" s="44" t="str">
        <f>IFERROR(__xludf.DUMMYFUNCTION("""COMPUTED_VALUE"""),"https://expa.aiesec.org/opportunities/1294651")</f>
        <v>https://expa.aiesec.org/opportunities/1294651</v>
      </c>
      <c r="L1205" s="43" t="str">
        <f>IFERROR(__xludf.DUMMYFUNCTION("""COMPUTED_VALUE"""),"GV")</f>
        <v>GV</v>
      </c>
      <c r="M1205" s="43" t="str">
        <f>IFERROR(__xludf.DUMMYFUNCTION("""COMPUTED_VALUE"""),"short")</f>
        <v>short</v>
      </c>
      <c r="N1205" s="45">
        <f>IFERROR(__xludf.DUMMYFUNCTION("""COMPUTED_VALUE"""),45145.0)</f>
        <v>45145</v>
      </c>
      <c r="O1205" s="45">
        <f>IFERROR(__xludf.DUMMYFUNCTION("""COMPUTED_VALUE"""),45153.0)</f>
        <v>45153</v>
      </c>
      <c r="P1205" s="45">
        <f>IFERROR(__xludf.DUMMYFUNCTION("""COMPUTED_VALUE"""),45195.0)</f>
        <v>45195</v>
      </c>
      <c r="Q1205" s="45">
        <f>IFERROR(__xludf.DUMMYFUNCTION("""COMPUTED_VALUE"""),45177.0)</f>
        <v>45177</v>
      </c>
      <c r="R1205" s="45">
        <f>IFERROR(__xludf.DUMMYFUNCTION("""COMPUTED_VALUE"""),45217.0)</f>
        <v>45217</v>
      </c>
      <c r="S1205" s="43"/>
      <c r="T1205" s="43"/>
      <c r="U1205" s="43" t="str">
        <f>IFERROR(__xludf.DUMMYFUNCTION("""COMPUTED_VALUE"""),"Global Classroom")</f>
        <v>Global Classroom</v>
      </c>
      <c r="V1205" s="43" t="str">
        <f>IFERROR(__xludf.DUMMYFUNCTION("""COMPUTED_VALUE"""),"-")</f>
        <v>-</v>
      </c>
      <c r="W1205" s="43" t="str">
        <f>IFERROR(__xludf.DUMMYFUNCTION("""COMPUTED_VALUE"""),"2017-06-17T10:03:55Z")</f>
        <v>2017-06-17T10:03:55Z</v>
      </c>
      <c r="X1205" s="43"/>
      <c r="Y1205" s="43"/>
      <c r="Z1205" s="43"/>
    </row>
    <row r="1206" hidden="1">
      <c r="A1206" s="43" t="str">
        <f>IFERROR(__xludf.DUMMYFUNCTION("""COMPUTED_VALUE"""),"5298128_1288393")</f>
        <v>5298128_1288393</v>
      </c>
      <c r="B1206" s="43" t="str">
        <f>IFERROR(__xludf.DUMMYFUNCTION("""COMPUTED_VALUE"""),"Hafiz Taha Jamil")</f>
        <v>Hafiz Taha Jamil</v>
      </c>
      <c r="C1206" s="43" t="str">
        <f>IFERROR(__xludf.DUMMYFUNCTION("""COMPUTED_VALUE"""),"completed")</f>
        <v>completed</v>
      </c>
      <c r="D1206" s="43" t="str">
        <f>IFERROR(__xludf.DUMMYFUNCTION("""COMPUTED_VALUE"""),"No")</f>
        <v>No</v>
      </c>
      <c r="E1206" s="43" t="str">
        <f>IFERROR(__xludf.DUMMYFUNCTION("""COMPUTED_VALUE"""),"p_d875c9ded64af7ecc6b260b10dd92f53cba47274@inbound.aiesec.org")</f>
        <v>p_d875c9ded64af7ecc6b260b10dd92f53cba47274@inbound.aiesec.org</v>
      </c>
      <c r="F1206" s="43"/>
      <c r="G1206" s="43" t="str">
        <f>IFERROR(__xludf.DUMMYFUNCTION("""COMPUTED_VALUE"""),"Pakistan")</f>
        <v>Pakistan</v>
      </c>
      <c r="H1206" s="43" t="str">
        <f>IFERROR(__xludf.DUMMYFUNCTION("""COMPUTED_VALUE"""),"Lahore - Pak")</f>
        <v>Lahore - Pak</v>
      </c>
      <c r="I1206" s="43" t="str">
        <f>IFERROR(__xludf.DUMMYFUNCTION("""COMPUTED_VALUE"""),"Turkey")</f>
        <v>Turkey</v>
      </c>
      <c r="J1206" s="43" t="str">
        <f>IFERROR(__xludf.DUMMYFUNCTION("""COMPUTED_VALUE"""),"ISTANBUL")</f>
        <v>ISTANBUL</v>
      </c>
      <c r="K1206" s="44" t="str">
        <f>IFERROR(__xludf.DUMMYFUNCTION("""COMPUTED_VALUE"""),"https://expa.aiesec.org/opportunities/1288393")</f>
        <v>https://expa.aiesec.org/opportunities/1288393</v>
      </c>
      <c r="L1206" s="43" t="str">
        <f>IFERROR(__xludf.DUMMYFUNCTION("""COMPUTED_VALUE"""),"GV")</f>
        <v>GV</v>
      </c>
      <c r="M1206" s="43" t="str">
        <f>IFERROR(__xludf.DUMMYFUNCTION("""COMPUTED_VALUE"""),"short")</f>
        <v>short</v>
      </c>
      <c r="N1206" s="45">
        <f>IFERROR(__xludf.DUMMYFUNCTION("""COMPUTED_VALUE"""),45145.0)</f>
        <v>45145</v>
      </c>
      <c r="O1206" s="45">
        <f>IFERROR(__xludf.DUMMYFUNCTION("""COMPUTED_VALUE"""),45194.0)</f>
        <v>45194</v>
      </c>
      <c r="P1206" s="45">
        <f>IFERROR(__xludf.DUMMYFUNCTION("""COMPUTED_VALUE"""),45236.0)</f>
        <v>45236</v>
      </c>
      <c r="Q1206" s="45">
        <f>IFERROR(__xludf.DUMMYFUNCTION("""COMPUTED_VALUE"""),45194.0)</f>
        <v>45194</v>
      </c>
      <c r="R1206" s="45">
        <f>IFERROR(__xludf.DUMMYFUNCTION("""COMPUTED_VALUE"""),45236.0)</f>
        <v>45236</v>
      </c>
      <c r="S1206" s="43"/>
      <c r="T1206" s="43"/>
      <c r="U1206" s="43" t="str">
        <f>IFERROR(__xludf.DUMMYFUNCTION("""COMPUTED_VALUE"""),"Global Classroom")</f>
        <v>Global Classroom</v>
      </c>
      <c r="V1206" s="43" t="str">
        <f>IFERROR(__xludf.DUMMYFUNCTION("""COMPUTED_VALUE"""),"-")</f>
        <v>-</v>
      </c>
      <c r="W1206" s="43" t="str">
        <f>IFERROR(__xludf.DUMMYFUNCTION("""COMPUTED_VALUE"""),"2023-08-06T00:40:18Z")</f>
        <v>2023-08-06T00:40:18Z</v>
      </c>
      <c r="X1206" s="43"/>
      <c r="Y1206" s="43"/>
      <c r="Z1206" s="43"/>
    </row>
    <row r="1207" hidden="1">
      <c r="A1207" s="43" t="str">
        <f>IFERROR(__xludf.DUMMYFUNCTION("""COMPUTED_VALUE"""),"4342280_1284081")</f>
        <v>4342280_1284081</v>
      </c>
      <c r="B1207" s="43" t="str">
        <f>IFERROR(__xludf.DUMMYFUNCTION("""COMPUTED_VALUE"""),"Esraa osama")</f>
        <v>Esraa osama</v>
      </c>
      <c r="C1207" s="43" t="str">
        <f>IFERROR(__xludf.DUMMYFUNCTION("""COMPUTED_VALUE"""),"finished")</f>
        <v>finished</v>
      </c>
      <c r="D1207" s="43" t="str">
        <f>IFERROR(__xludf.DUMMYFUNCTION("""COMPUTED_VALUE"""),"No")</f>
        <v>No</v>
      </c>
      <c r="E1207" s="43" t="str">
        <f>IFERROR(__xludf.DUMMYFUNCTION("""COMPUTED_VALUE"""),"p_190e2b0bd1d4a499002a8dda54f8ad1ea710cfb5@inbound.aiesec.org")</f>
        <v>p_190e2b0bd1d4a499002a8dda54f8ad1ea710cfb5@inbound.aiesec.org</v>
      </c>
      <c r="F1207" s="43">
        <f>IFERROR(__xludf.DUMMYFUNCTION("""COMPUTED_VALUE"""),1.148838496E9)</f>
        <v>1148838496</v>
      </c>
      <c r="G1207" s="43" t="str">
        <f>IFERROR(__xludf.DUMMYFUNCTION("""COMPUTED_VALUE"""),"Egypt")</f>
        <v>Egypt</v>
      </c>
      <c r="H1207" s="43" t="str">
        <f>IFERROR(__xludf.DUMMYFUNCTION("""COMPUTED_VALUE"""),"Cairo University")</f>
        <v>Cairo University</v>
      </c>
      <c r="I1207" s="43" t="str">
        <f>IFERROR(__xludf.DUMMYFUNCTION("""COMPUTED_VALUE"""),"Turkey")</f>
        <v>Turkey</v>
      </c>
      <c r="J1207" s="43" t="str">
        <f>IFERROR(__xludf.DUMMYFUNCTION("""COMPUTED_VALUE"""),"KOCAELI")</f>
        <v>KOCAELI</v>
      </c>
      <c r="K1207" s="44" t="str">
        <f>IFERROR(__xludf.DUMMYFUNCTION("""COMPUTED_VALUE"""),"https://expa.aiesec.org/opportunities/1284081")</f>
        <v>https://expa.aiesec.org/opportunities/1284081</v>
      </c>
      <c r="L1207" s="43" t="str">
        <f>IFERROR(__xludf.DUMMYFUNCTION("""COMPUTED_VALUE"""),"GV")</f>
        <v>GV</v>
      </c>
      <c r="M1207" s="43" t="str">
        <f>IFERROR(__xludf.DUMMYFUNCTION("""COMPUTED_VALUE"""),"short")</f>
        <v>short</v>
      </c>
      <c r="N1207" s="45">
        <f>IFERROR(__xludf.DUMMYFUNCTION("""COMPUTED_VALUE"""),45146.0)</f>
        <v>45146</v>
      </c>
      <c r="O1207" s="45">
        <f>IFERROR(__xludf.DUMMYFUNCTION("""COMPUTED_VALUE"""),45214.0)</f>
        <v>45214</v>
      </c>
      <c r="P1207" s="45">
        <f>IFERROR(__xludf.DUMMYFUNCTION("""COMPUTED_VALUE"""),45256.0)</f>
        <v>45256</v>
      </c>
      <c r="Q1207" s="45">
        <f>IFERROR(__xludf.DUMMYFUNCTION("""COMPUTED_VALUE"""),45225.0)</f>
        <v>45225</v>
      </c>
      <c r="R1207" s="45">
        <f>IFERROR(__xludf.DUMMYFUNCTION("""COMPUTED_VALUE"""),45267.0)</f>
        <v>45267</v>
      </c>
      <c r="S1207" s="43"/>
      <c r="T1207" s="43"/>
      <c r="U1207" s="43" t="str">
        <f>IFERROR(__xludf.DUMMYFUNCTION("""COMPUTED_VALUE"""),"Global Classroom")</f>
        <v>Global Classroom</v>
      </c>
      <c r="V1207" s="43" t="str">
        <f>IFERROR(__xludf.DUMMYFUNCTION("""COMPUTED_VALUE"""),"Cairo Univeristy")</f>
        <v>Cairo Univeristy</v>
      </c>
      <c r="W1207" s="43" t="str">
        <f>IFERROR(__xludf.DUMMYFUNCTION("""COMPUTED_VALUE"""),"2020-08-12T15:20:03Z")</f>
        <v>2020-08-12T15:20:03Z</v>
      </c>
      <c r="X1207" s="43"/>
      <c r="Y1207" s="43"/>
      <c r="Z1207" s="43"/>
    </row>
    <row r="1208" hidden="1">
      <c r="A1208" s="43" t="str">
        <f>IFERROR(__xludf.DUMMYFUNCTION("""COMPUTED_VALUE"""),"5299383_1296101")</f>
        <v>5299383_1296101</v>
      </c>
      <c r="B1208" s="43" t="str">
        <f>IFERROR(__xludf.DUMMYFUNCTION("""COMPUTED_VALUE"""),"Abdelfettah mohammed Chikhi")</f>
        <v>Abdelfettah mohammed Chikhi</v>
      </c>
      <c r="C1208" s="43" t="str">
        <f>IFERROR(__xludf.DUMMYFUNCTION("""COMPUTED_VALUE"""),"completed")</f>
        <v>completed</v>
      </c>
      <c r="D1208" s="43" t="str">
        <f>IFERROR(__xludf.DUMMYFUNCTION("""COMPUTED_VALUE"""),"No")</f>
        <v>No</v>
      </c>
      <c r="E1208" s="43" t="str">
        <f>IFERROR(__xludf.DUMMYFUNCTION("""COMPUTED_VALUE"""),"p_a63a16de19fd6582865e21f42af2489f0cd18596@inbound.aiesec.org")</f>
        <v>p_a63a16de19fd6582865e21f42af2489f0cd18596@inbound.aiesec.org</v>
      </c>
      <c r="F1208" s="43">
        <f>IFERROR(__xludf.DUMMYFUNCTION("""COMPUTED_VALUE"""),7.82661282E8)</f>
        <v>782661282</v>
      </c>
      <c r="G1208" s="43" t="str">
        <f>IFERROR(__xludf.DUMMYFUNCTION("""COMPUTED_VALUE"""),"Algeria")</f>
        <v>Algeria</v>
      </c>
      <c r="H1208" s="43" t="str">
        <f>IFERROR(__xludf.DUMMYFUNCTION("""COMPUTED_VALUE"""),"Tlemcen")</f>
        <v>Tlemcen</v>
      </c>
      <c r="I1208" s="43" t="str">
        <f>IFERROR(__xludf.DUMMYFUNCTION("""COMPUTED_VALUE"""),"Turkey")</f>
        <v>Turkey</v>
      </c>
      <c r="J1208" s="43" t="str">
        <f>IFERROR(__xludf.DUMMYFUNCTION("""COMPUTED_VALUE"""),"ANKARA")</f>
        <v>ANKARA</v>
      </c>
      <c r="K1208" s="44" t="str">
        <f>IFERROR(__xludf.DUMMYFUNCTION("""COMPUTED_VALUE"""),"https://expa.aiesec.org/opportunities/1296101")</f>
        <v>https://expa.aiesec.org/opportunities/1296101</v>
      </c>
      <c r="L1208" s="43" t="str">
        <f>IFERROR(__xludf.DUMMYFUNCTION("""COMPUTED_VALUE"""),"GV")</f>
        <v>GV</v>
      </c>
      <c r="M1208" s="43" t="str">
        <f>IFERROR(__xludf.DUMMYFUNCTION("""COMPUTED_VALUE"""),"short")</f>
        <v>short</v>
      </c>
      <c r="N1208" s="45">
        <f>IFERROR(__xludf.DUMMYFUNCTION("""COMPUTED_VALUE"""),45146.0)</f>
        <v>45146</v>
      </c>
      <c r="O1208" s="45">
        <f>IFERROR(__xludf.DUMMYFUNCTION("""COMPUTED_VALUE"""),45166.0)</f>
        <v>45166</v>
      </c>
      <c r="P1208" s="45">
        <f>IFERROR(__xludf.DUMMYFUNCTION("""COMPUTED_VALUE"""),45208.0)</f>
        <v>45208</v>
      </c>
      <c r="Q1208" s="45">
        <f>IFERROR(__xludf.DUMMYFUNCTION("""COMPUTED_VALUE"""),45170.0)</f>
        <v>45170</v>
      </c>
      <c r="R1208" s="45">
        <f>IFERROR(__xludf.DUMMYFUNCTION("""COMPUTED_VALUE"""),45210.0)</f>
        <v>45210</v>
      </c>
      <c r="S1208" s="43"/>
      <c r="T1208" s="43"/>
      <c r="U1208" s="43" t="str">
        <f>IFERROR(__xludf.DUMMYFUNCTION("""COMPUTED_VALUE"""),"Fingerprint")</f>
        <v>Fingerprint</v>
      </c>
      <c r="V1208" s="43" t="str">
        <f>IFERROR(__xludf.DUMMYFUNCTION("""COMPUTED_VALUE"""),"AIESEC in Tlemcen")</f>
        <v>AIESEC in Tlemcen</v>
      </c>
      <c r="W1208" s="43" t="str">
        <f>IFERROR(__xludf.DUMMYFUNCTION("""COMPUTED_VALUE"""),"2023-08-08T11:15:53Z")</f>
        <v>2023-08-08T11:15:53Z</v>
      </c>
      <c r="X1208" s="43"/>
      <c r="Y1208" s="43"/>
      <c r="Z1208" s="43"/>
    </row>
    <row r="1209" hidden="1">
      <c r="A1209" s="43" t="str">
        <f>IFERROR(__xludf.DUMMYFUNCTION("""COMPUTED_VALUE"""),"5048545_1296105")</f>
        <v>5048545_1296105</v>
      </c>
      <c r="B1209" s="43" t="str">
        <f>IFERROR(__xludf.DUMMYFUNCTION("""COMPUTED_VALUE"""),"Nirmal Aahooja")</f>
        <v>Nirmal Aahooja</v>
      </c>
      <c r="C1209" s="43" t="str">
        <f>IFERROR(__xludf.DUMMYFUNCTION("""COMPUTED_VALUE"""),"finished")</f>
        <v>finished</v>
      </c>
      <c r="D1209" s="43" t="str">
        <f>IFERROR(__xludf.DUMMYFUNCTION("""COMPUTED_VALUE"""),"No")</f>
        <v>No</v>
      </c>
      <c r="E1209" s="43" t="str">
        <f>IFERROR(__xludf.DUMMYFUNCTION("""COMPUTED_VALUE"""),"p_faf725f9599d76a6ade6f9198b6f7ecdeec2380c@inbound.aiesec.org")</f>
        <v>p_faf725f9599d76a6ade6f9198b6f7ecdeec2380c@inbound.aiesec.org</v>
      </c>
      <c r="F1209" s="43">
        <f>IFERROR(__xludf.DUMMYFUNCTION("""COMPUTED_VALUE"""),3.05100198E9)</f>
        <v>3051001980</v>
      </c>
      <c r="G1209" s="43" t="str">
        <f>IFERROR(__xludf.DUMMYFUNCTION("""COMPUTED_VALUE"""),"Pakistan")</f>
        <v>Pakistan</v>
      </c>
      <c r="H1209" s="43" t="str">
        <f>IFERROR(__xludf.DUMMYFUNCTION("""COMPUTED_VALUE"""),"Karachi")</f>
        <v>Karachi</v>
      </c>
      <c r="I1209" s="43" t="str">
        <f>IFERROR(__xludf.DUMMYFUNCTION("""COMPUTED_VALUE"""),"Turkey")</f>
        <v>Turkey</v>
      </c>
      <c r="J1209" s="43" t="str">
        <f>IFERROR(__xludf.DUMMYFUNCTION("""COMPUTED_VALUE"""),"ANKARA")</f>
        <v>ANKARA</v>
      </c>
      <c r="K1209" s="44" t="str">
        <f>IFERROR(__xludf.DUMMYFUNCTION("""COMPUTED_VALUE"""),"https://expa.aiesec.org/opportunities/1296105")</f>
        <v>https://expa.aiesec.org/opportunities/1296105</v>
      </c>
      <c r="L1209" s="43" t="str">
        <f>IFERROR(__xludf.DUMMYFUNCTION("""COMPUTED_VALUE"""),"GV")</f>
        <v>GV</v>
      </c>
      <c r="M1209" s="43" t="str">
        <f>IFERROR(__xludf.DUMMYFUNCTION("""COMPUTED_VALUE"""),"short")</f>
        <v>short</v>
      </c>
      <c r="N1209" s="45">
        <f>IFERROR(__xludf.DUMMYFUNCTION("""COMPUTED_VALUE"""),45147.0)</f>
        <v>45147</v>
      </c>
      <c r="O1209" s="45">
        <f>IFERROR(__xludf.DUMMYFUNCTION("""COMPUTED_VALUE"""),45180.0)</f>
        <v>45180</v>
      </c>
      <c r="P1209" s="45">
        <f>IFERROR(__xludf.DUMMYFUNCTION("""COMPUTED_VALUE"""),45222.0)</f>
        <v>45222</v>
      </c>
      <c r="Q1209" s="45">
        <f>IFERROR(__xludf.DUMMYFUNCTION("""COMPUTED_VALUE"""),45191.0)</f>
        <v>45191</v>
      </c>
      <c r="R1209" s="45">
        <f>IFERROR(__xludf.DUMMYFUNCTION("""COMPUTED_VALUE"""),45231.0)</f>
        <v>45231</v>
      </c>
      <c r="S1209" s="43"/>
      <c r="T1209" s="43"/>
      <c r="U1209" s="43" t="str">
        <f>IFERROR(__xludf.DUMMYFUNCTION("""COMPUTED_VALUE"""),"Fingerprint")</f>
        <v>Fingerprint</v>
      </c>
      <c r="V1209" s="43" t="str">
        <f>IFERROR(__xludf.DUMMYFUNCTION("""COMPUTED_VALUE"""),"Karachi - Iqra University")</f>
        <v>Karachi - Iqra University</v>
      </c>
      <c r="W1209" s="43" t="str">
        <f>IFERROR(__xludf.DUMMYFUNCTION("""COMPUTED_VALUE"""),"2022-04-29T12:31:54Z")</f>
        <v>2022-04-29T12:31:54Z</v>
      </c>
      <c r="X1209" s="43"/>
      <c r="Y1209" s="43"/>
      <c r="Z1209" s="43"/>
    </row>
    <row r="1210" hidden="1">
      <c r="A1210" s="43" t="str">
        <f>IFERROR(__xludf.DUMMYFUNCTION("""COMPUTED_VALUE"""),"5110303_1283683")</f>
        <v>5110303_1283683</v>
      </c>
      <c r="B1210" s="43" t="str">
        <f>IFERROR(__xludf.DUMMYFUNCTION("""COMPUTED_VALUE"""),"Muhammad Ibrahim Khan Babar")</f>
        <v>Muhammad Ibrahim Khan Babar</v>
      </c>
      <c r="C1210" s="43" t="str">
        <f>IFERROR(__xludf.DUMMYFUNCTION("""COMPUTED_VALUE"""),"finished")</f>
        <v>finished</v>
      </c>
      <c r="D1210" s="43" t="str">
        <f>IFERROR(__xludf.DUMMYFUNCTION("""COMPUTED_VALUE"""),"No")</f>
        <v>No</v>
      </c>
      <c r="E1210" s="43" t="str">
        <f>IFERROR(__xludf.DUMMYFUNCTION("""COMPUTED_VALUE"""),"p_a99db036af69bae5657dc38ea9e1b9c2a3504ccb@inbound.aiesec.org")</f>
        <v>p_a99db036af69bae5657dc38ea9e1b9c2a3504ccb@inbound.aiesec.org</v>
      </c>
      <c r="F1210" s="43">
        <f>IFERROR(__xludf.DUMMYFUNCTION("""COMPUTED_VALUE"""),3.03087405E9)</f>
        <v>3030874050</v>
      </c>
      <c r="G1210" s="43" t="str">
        <f>IFERROR(__xludf.DUMMYFUNCTION("""COMPUTED_VALUE"""),"Pakistan")</f>
        <v>Pakistan</v>
      </c>
      <c r="H1210" s="43" t="str">
        <f>IFERROR(__xludf.DUMMYFUNCTION("""COMPUTED_VALUE"""),"Multan")</f>
        <v>Multan</v>
      </c>
      <c r="I1210" s="43" t="str">
        <f>IFERROR(__xludf.DUMMYFUNCTION("""COMPUTED_VALUE"""),"Turkey")</f>
        <v>Turkey</v>
      </c>
      <c r="J1210" s="43" t="str">
        <f>IFERROR(__xludf.DUMMYFUNCTION("""COMPUTED_VALUE"""),"GAZIANTEP")</f>
        <v>GAZIANTEP</v>
      </c>
      <c r="K1210" s="44" t="str">
        <f>IFERROR(__xludf.DUMMYFUNCTION("""COMPUTED_VALUE"""),"https://expa.aiesec.org/opportunities/1283683")</f>
        <v>https://expa.aiesec.org/opportunities/1283683</v>
      </c>
      <c r="L1210" s="43" t="str">
        <f>IFERROR(__xludf.DUMMYFUNCTION("""COMPUTED_VALUE"""),"GV")</f>
        <v>GV</v>
      </c>
      <c r="M1210" s="43" t="str">
        <f>IFERROR(__xludf.DUMMYFUNCTION("""COMPUTED_VALUE"""),"short")</f>
        <v>short</v>
      </c>
      <c r="N1210" s="45">
        <f>IFERROR(__xludf.DUMMYFUNCTION("""COMPUTED_VALUE"""),45148.0)</f>
        <v>45148</v>
      </c>
      <c r="O1210" s="45">
        <f>IFERROR(__xludf.DUMMYFUNCTION("""COMPUTED_VALUE"""),45153.0)</f>
        <v>45153</v>
      </c>
      <c r="P1210" s="45">
        <f>IFERROR(__xludf.DUMMYFUNCTION("""COMPUTED_VALUE"""),45195.0)</f>
        <v>45195</v>
      </c>
      <c r="Q1210" s="45">
        <f>IFERROR(__xludf.DUMMYFUNCTION("""COMPUTED_VALUE"""),45185.0)</f>
        <v>45185</v>
      </c>
      <c r="R1210" s="45">
        <f>IFERROR(__xludf.DUMMYFUNCTION("""COMPUTED_VALUE"""),45226.0)</f>
        <v>45226</v>
      </c>
      <c r="S1210" s="43"/>
      <c r="T1210" s="43"/>
      <c r="U1210" s="43" t="str">
        <f>IFERROR(__xludf.DUMMYFUNCTION("""COMPUTED_VALUE"""),"Global Classroom")</f>
        <v>Global Classroom</v>
      </c>
      <c r="V1210" s="43" t="str">
        <f>IFERROR(__xludf.DUMMYFUNCTION("""COMPUTED_VALUE"""),"Multan - Other")</f>
        <v>Multan - Other</v>
      </c>
      <c r="W1210" s="43" t="str">
        <f>IFERROR(__xludf.DUMMYFUNCTION("""COMPUTED_VALUE"""),"2022-09-11T18:34:43Z")</f>
        <v>2022-09-11T18:34:43Z</v>
      </c>
      <c r="X1210" s="43"/>
      <c r="Y1210" s="43"/>
      <c r="Z1210" s="43"/>
    </row>
    <row r="1211" hidden="1">
      <c r="A1211" s="43" t="str">
        <f>IFERROR(__xludf.DUMMYFUNCTION("""COMPUTED_VALUE"""),"5299493_1295149")</f>
        <v>5299493_1295149</v>
      </c>
      <c r="B1211" s="43" t="str">
        <f>IFERROR(__xludf.DUMMYFUNCTION("""COMPUTED_VALUE"""),"Rahaf Gouiaa")</f>
        <v>Rahaf Gouiaa</v>
      </c>
      <c r="C1211" s="43" t="str">
        <f>IFERROR(__xludf.DUMMYFUNCTION("""COMPUTED_VALUE"""),"completed")</f>
        <v>completed</v>
      </c>
      <c r="D1211" s="43" t="str">
        <f>IFERROR(__xludf.DUMMYFUNCTION("""COMPUTED_VALUE"""),"No")</f>
        <v>No</v>
      </c>
      <c r="E1211" s="43" t="str">
        <f>IFERROR(__xludf.DUMMYFUNCTION("""COMPUTED_VALUE"""),"p_a90abb901e6b87fb326314f28ee1ca887a69f7ce@inbound.aiesec.org")</f>
        <v>p_a90abb901e6b87fb326314f28ee1ca887a69f7ce@inbound.aiesec.org</v>
      </c>
      <c r="F1211" s="43"/>
      <c r="G1211" s="43" t="str">
        <f>IFERROR(__xludf.DUMMYFUNCTION("""COMPUTED_VALUE"""),"Tunisia")</f>
        <v>Tunisia</v>
      </c>
      <c r="H1211" s="43" t="str">
        <f>IFERROR(__xludf.DUMMYFUNCTION("""COMPUTED_VALUE"""),"MEDINA")</f>
        <v>MEDINA</v>
      </c>
      <c r="I1211" s="43" t="str">
        <f>IFERROR(__xludf.DUMMYFUNCTION("""COMPUTED_VALUE"""),"Turkey")</f>
        <v>Turkey</v>
      </c>
      <c r="J1211" s="43" t="str">
        <f>IFERROR(__xludf.DUMMYFUNCTION("""COMPUTED_VALUE"""),"DENIZLI")</f>
        <v>DENIZLI</v>
      </c>
      <c r="K1211" s="44" t="str">
        <f>IFERROR(__xludf.DUMMYFUNCTION("""COMPUTED_VALUE"""),"https://expa.aiesec.org/opportunities/1295149")</f>
        <v>https://expa.aiesec.org/opportunities/1295149</v>
      </c>
      <c r="L1211" s="43" t="str">
        <f>IFERROR(__xludf.DUMMYFUNCTION("""COMPUTED_VALUE"""),"GV")</f>
        <v>GV</v>
      </c>
      <c r="M1211" s="43" t="str">
        <f>IFERROR(__xludf.DUMMYFUNCTION("""COMPUTED_VALUE"""),"short")</f>
        <v>short</v>
      </c>
      <c r="N1211" s="45">
        <f>IFERROR(__xludf.DUMMYFUNCTION("""COMPUTED_VALUE"""),45148.0)</f>
        <v>45148</v>
      </c>
      <c r="O1211" s="45">
        <f>IFERROR(__xludf.DUMMYFUNCTION("""COMPUTED_VALUE"""),45152.0)</f>
        <v>45152</v>
      </c>
      <c r="P1211" s="45">
        <f>IFERROR(__xludf.DUMMYFUNCTION("""COMPUTED_VALUE"""),45194.0)</f>
        <v>45194</v>
      </c>
      <c r="Q1211" s="45">
        <f>IFERROR(__xludf.DUMMYFUNCTION("""COMPUTED_VALUE"""),45153.0)</f>
        <v>45153</v>
      </c>
      <c r="R1211" s="45">
        <f>IFERROR(__xludf.DUMMYFUNCTION("""COMPUTED_VALUE"""),45194.0)</f>
        <v>45194</v>
      </c>
      <c r="S1211" s="43"/>
      <c r="T1211" s="43"/>
      <c r="U1211" s="43" t="str">
        <f>IFERROR(__xludf.DUMMYFUNCTION("""COMPUTED_VALUE"""),"Youth 4 Impact")</f>
        <v>Youth 4 Impact</v>
      </c>
      <c r="V1211" s="43" t="str">
        <f>IFERROR(__xludf.DUMMYFUNCTION("""COMPUTED_VALUE"""),"-")</f>
        <v>-</v>
      </c>
      <c r="W1211" s="43" t="str">
        <f>IFERROR(__xludf.DUMMYFUNCTION("""COMPUTED_VALUE"""),"2023-08-08T14:43:43Z")</f>
        <v>2023-08-08T14:43:43Z</v>
      </c>
      <c r="X1211" s="43"/>
      <c r="Y1211" s="43"/>
      <c r="Z1211" s="43"/>
    </row>
    <row r="1212" hidden="1">
      <c r="A1212" s="43" t="str">
        <f>IFERROR(__xludf.DUMMYFUNCTION("""COMPUTED_VALUE"""),"5292692_1294651")</f>
        <v>5292692_1294651</v>
      </c>
      <c r="B1212" s="43" t="str">
        <f>IFERROR(__xludf.DUMMYFUNCTION("""COMPUTED_VALUE"""),"Mahmoudi Maher")</f>
        <v>Mahmoudi Maher</v>
      </c>
      <c r="C1212" s="43" t="str">
        <f>IFERROR(__xludf.DUMMYFUNCTION("""COMPUTED_VALUE"""),"finished")</f>
        <v>finished</v>
      </c>
      <c r="D1212" s="43" t="str">
        <f>IFERROR(__xludf.DUMMYFUNCTION("""COMPUTED_VALUE"""),"No")</f>
        <v>No</v>
      </c>
      <c r="E1212" s="43" t="str">
        <f>IFERROR(__xludf.DUMMYFUNCTION("""COMPUTED_VALUE"""),"p_caab317518194c4da9ffa452d8bb74f9a92cf6ac@inbound.aiesec.org")</f>
        <v>p_caab317518194c4da9ffa452d8bb74f9a92cf6ac@inbound.aiesec.org</v>
      </c>
      <c r="F1212" s="43">
        <f>IFERROR(__xludf.DUMMYFUNCTION("""COMPUTED_VALUE"""),2.2214729E7)</f>
        <v>22214729</v>
      </c>
      <c r="G1212" s="43" t="str">
        <f>IFERROR(__xludf.DUMMYFUNCTION("""COMPUTED_VALUE"""),"Tunisia")</f>
        <v>Tunisia</v>
      </c>
      <c r="H1212" s="43" t="str">
        <f>IFERROR(__xludf.DUMMYFUNCTION("""COMPUTED_VALUE"""),"Carthage")</f>
        <v>Carthage</v>
      </c>
      <c r="I1212" s="43" t="str">
        <f>IFERROR(__xludf.DUMMYFUNCTION("""COMPUTED_VALUE"""),"Turkey")</f>
        <v>Turkey</v>
      </c>
      <c r="J1212" s="43" t="str">
        <f>IFERROR(__xludf.DUMMYFUNCTION("""COMPUTED_VALUE"""),"ANKARA")</f>
        <v>ANKARA</v>
      </c>
      <c r="K1212" s="44" t="str">
        <f>IFERROR(__xludf.DUMMYFUNCTION("""COMPUTED_VALUE"""),"https://expa.aiesec.org/opportunities/1294651")</f>
        <v>https://expa.aiesec.org/opportunities/1294651</v>
      </c>
      <c r="L1212" s="43" t="str">
        <f>IFERROR(__xludf.DUMMYFUNCTION("""COMPUTED_VALUE"""),"GV")</f>
        <v>GV</v>
      </c>
      <c r="M1212" s="43" t="str">
        <f>IFERROR(__xludf.DUMMYFUNCTION("""COMPUTED_VALUE"""),"short")</f>
        <v>short</v>
      </c>
      <c r="N1212" s="45">
        <f>IFERROR(__xludf.DUMMYFUNCTION("""COMPUTED_VALUE"""),45149.0)</f>
        <v>45149</v>
      </c>
      <c r="O1212" s="45">
        <f>IFERROR(__xludf.DUMMYFUNCTION("""COMPUTED_VALUE"""),45153.0)</f>
        <v>45153</v>
      </c>
      <c r="P1212" s="45">
        <f>IFERROR(__xludf.DUMMYFUNCTION("""COMPUTED_VALUE"""),45195.0)</f>
        <v>45195</v>
      </c>
      <c r="Q1212" s="45">
        <f>IFERROR(__xludf.DUMMYFUNCTION("""COMPUTED_VALUE"""),45155.0)</f>
        <v>45155</v>
      </c>
      <c r="R1212" s="45">
        <f>IFERROR(__xludf.DUMMYFUNCTION("""COMPUTED_VALUE"""),45195.0)</f>
        <v>45195</v>
      </c>
      <c r="S1212" s="43"/>
      <c r="T1212" s="43"/>
      <c r="U1212" s="43" t="str">
        <f>IFERROR(__xludf.DUMMYFUNCTION("""COMPUTED_VALUE"""),"Global Classroom")</f>
        <v>Global Classroom</v>
      </c>
      <c r="V1212" s="43" t="str">
        <f>IFERROR(__xludf.DUMMYFUNCTION("""COMPUTED_VALUE"""),"INSAT")</f>
        <v>INSAT</v>
      </c>
      <c r="W1212" s="43" t="str">
        <f>IFERROR(__xludf.DUMMYFUNCTION("""COMPUTED_VALUE"""),"2023-08-01T13:38:08Z")</f>
        <v>2023-08-01T13:38:08Z</v>
      </c>
      <c r="X1212" s="43"/>
      <c r="Y1212" s="43"/>
      <c r="Z1212" s="43"/>
    </row>
    <row r="1213" hidden="1">
      <c r="A1213" s="43" t="str">
        <f>IFERROR(__xludf.DUMMYFUNCTION("""COMPUTED_VALUE"""),"4169932_1281010")</f>
        <v>4169932_1281010</v>
      </c>
      <c r="B1213" s="43" t="str">
        <f>IFERROR(__xludf.DUMMYFUNCTION("""COMPUTED_VALUE"""),"Miqueias Santos")</f>
        <v>Miqueias Santos</v>
      </c>
      <c r="C1213" s="43" t="str">
        <f>IFERROR(__xludf.DUMMYFUNCTION("""COMPUTED_VALUE"""),"approved")</f>
        <v>approved</v>
      </c>
      <c r="D1213" s="43" t="str">
        <f>IFERROR(__xludf.DUMMYFUNCTION("""COMPUTED_VALUE"""),"No")</f>
        <v>No</v>
      </c>
      <c r="E1213" s="43" t="str">
        <f>IFERROR(__xludf.DUMMYFUNCTION("""COMPUTED_VALUE"""),"p_9ae76016f188ab020c734ef2af05a95dba0a9dc0@inbound.aiesec.org")</f>
        <v>p_9ae76016f188ab020c734ef2af05a95dba0a9dc0@inbound.aiesec.org</v>
      </c>
      <c r="F1213" s="43">
        <f>IFERROR(__xludf.DUMMYFUNCTION("""COMPUTED_VALUE"""),9.34304876E8)</f>
        <v>934304876</v>
      </c>
      <c r="G1213" s="43" t="str">
        <f>IFERROR(__xludf.DUMMYFUNCTION("""COMPUTED_VALUE"""),"Portugal")</f>
        <v>Portugal</v>
      </c>
      <c r="H1213" s="43" t="str">
        <f>IFERROR(__xludf.DUMMYFUNCTION("""COMPUTED_VALUE"""),"AVEIRO")</f>
        <v>AVEIRO</v>
      </c>
      <c r="I1213" s="43" t="str">
        <f>IFERROR(__xludf.DUMMYFUNCTION("""COMPUTED_VALUE"""),"Turkey")</f>
        <v>Turkey</v>
      </c>
      <c r="J1213" s="43" t="str">
        <f>IFERROR(__xludf.DUMMYFUNCTION("""COMPUTED_VALUE"""),"KOCAELI")</f>
        <v>KOCAELI</v>
      </c>
      <c r="K1213" s="44" t="str">
        <f>IFERROR(__xludf.DUMMYFUNCTION("""COMPUTED_VALUE"""),"https://expa.aiesec.org/opportunities/1281010")</f>
        <v>https://expa.aiesec.org/opportunities/1281010</v>
      </c>
      <c r="L1213" s="43" t="str">
        <f>IFERROR(__xludf.DUMMYFUNCTION("""COMPUTED_VALUE"""),"GV")</f>
        <v>GV</v>
      </c>
      <c r="M1213" s="43" t="str">
        <f>IFERROR(__xludf.DUMMYFUNCTION("""COMPUTED_VALUE"""),"short")</f>
        <v>short</v>
      </c>
      <c r="N1213" s="45">
        <f>IFERROR(__xludf.DUMMYFUNCTION("""COMPUTED_VALUE"""),45149.0)</f>
        <v>45149</v>
      </c>
      <c r="O1213" s="45">
        <f>IFERROR(__xludf.DUMMYFUNCTION("""COMPUTED_VALUE"""),45215.0)</f>
        <v>45215</v>
      </c>
      <c r="P1213" s="45">
        <f>IFERROR(__xludf.DUMMYFUNCTION("""COMPUTED_VALUE"""),45257.0)</f>
        <v>45257</v>
      </c>
      <c r="Q1213" s="45"/>
      <c r="R1213" s="45"/>
      <c r="S1213" s="43"/>
      <c r="T1213" s="43"/>
      <c r="U1213" s="43" t="str">
        <f>IFERROR(__xludf.DUMMYFUNCTION("""COMPUTED_VALUE"""),"Global Classroom")</f>
        <v>Global Classroom</v>
      </c>
      <c r="V1213" s="43" t="str">
        <f>IFERROR(__xludf.DUMMYFUNCTION("""COMPUTED_VALUE"""),"Universidade de Aveiro - Departamento de Química (DQ)")</f>
        <v>Universidade de Aveiro - Departamento de Química (DQ)</v>
      </c>
      <c r="W1213" s="43" t="str">
        <f>IFERROR(__xludf.DUMMYFUNCTION("""COMPUTED_VALUE"""),"2020-02-06T14:26:33Z")</f>
        <v>2020-02-06T14:26:33Z</v>
      </c>
      <c r="X1213" s="43"/>
      <c r="Y1213" s="43"/>
      <c r="Z1213" s="43"/>
    </row>
    <row r="1214" hidden="1">
      <c r="A1214" s="43" t="str">
        <f>IFERROR(__xludf.DUMMYFUNCTION("""COMPUTED_VALUE"""),"5302002_1295149")</f>
        <v>5302002_1295149</v>
      </c>
      <c r="B1214" s="43" t="str">
        <f>IFERROR(__xludf.DUMMYFUNCTION("""COMPUTED_VALUE"""),"Achref Sahbi")</f>
        <v>Achref Sahbi</v>
      </c>
      <c r="C1214" s="43" t="str">
        <f>IFERROR(__xludf.DUMMYFUNCTION("""COMPUTED_VALUE"""),"approved")</f>
        <v>approved</v>
      </c>
      <c r="D1214" s="43" t="str">
        <f>IFERROR(__xludf.DUMMYFUNCTION("""COMPUTED_VALUE"""),"No")</f>
        <v>No</v>
      </c>
      <c r="E1214" s="43" t="str">
        <f>IFERROR(__xludf.DUMMYFUNCTION("""COMPUTED_VALUE"""),"p_15bfff38c0572b222db365c0473c077e2058523e@inbound.aiesec.org")</f>
        <v>p_15bfff38c0572b222db365c0473c077e2058523e@inbound.aiesec.org</v>
      </c>
      <c r="F1214" s="43">
        <f>IFERROR(__xludf.DUMMYFUNCTION("""COMPUTED_VALUE"""),5.8969347E7)</f>
        <v>58969347</v>
      </c>
      <c r="G1214" s="43" t="str">
        <f>IFERROR(__xludf.DUMMYFUNCTION("""COMPUTED_VALUE"""),"Tunisia")</f>
        <v>Tunisia</v>
      </c>
      <c r="H1214" s="43" t="str">
        <f>IFERROR(__xludf.DUMMYFUNCTION("""COMPUTED_VALUE"""),"HADRUMET")</f>
        <v>HADRUMET</v>
      </c>
      <c r="I1214" s="43" t="str">
        <f>IFERROR(__xludf.DUMMYFUNCTION("""COMPUTED_VALUE"""),"Turkey")</f>
        <v>Turkey</v>
      </c>
      <c r="J1214" s="43" t="str">
        <f>IFERROR(__xludf.DUMMYFUNCTION("""COMPUTED_VALUE"""),"DENIZLI")</f>
        <v>DENIZLI</v>
      </c>
      <c r="K1214" s="44" t="str">
        <f>IFERROR(__xludf.DUMMYFUNCTION("""COMPUTED_VALUE"""),"https://expa.aiesec.org/opportunities/1295149")</f>
        <v>https://expa.aiesec.org/opportunities/1295149</v>
      </c>
      <c r="L1214" s="43" t="str">
        <f>IFERROR(__xludf.DUMMYFUNCTION("""COMPUTED_VALUE"""),"GV")</f>
        <v>GV</v>
      </c>
      <c r="M1214" s="43" t="str">
        <f>IFERROR(__xludf.DUMMYFUNCTION("""COMPUTED_VALUE"""),"short")</f>
        <v>short</v>
      </c>
      <c r="N1214" s="45">
        <f>IFERROR(__xludf.DUMMYFUNCTION("""COMPUTED_VALUE"""),45151.0)</f>
        <v>45151</v>
      </c>
      <c r="O1214" s="45">
        <f>IFERROR(__xludf.DUMMYFUNCTION("""COMPUTED_VALUE"""),45152.0)</f>
        <v>45152</v>
      </c>
      <c r="P1214" s="45">
        <f>IFERROR(__xludf.DUMMYFUNCTION("""COMPUTED_VALUE"""),45194.0)</f>
        <v>45194</v>
      </c>
      <c r="Q1214" s="45"/>
      <c r="R1214" s="45"/>
      <c r="S1214" s="43"/>
      <c r="T1214" s="43"/>
      <c r="U1214" s="43" t="str">
        <f>IFERROR(__xludf.DUMMYFUNCTION("""COMPUTED_VALUE"""),"Youth 4 Impact")</f>
        <v>Youth 4 Impact</v>
      </c>
      <c r="V1214" s="43" t="str">
        <f>IFERROR(__xludf.DUMMYFUNCTION("""COMPUTED_VALUE"""),"IHE Sousse")</f>
        <v>IHE Sousse</v>
      </c>
      <c r="W1214" s="43" t="str">
        <f>IFERROR(__xludf.DUMMYFUNCTION("""COMPUTED_VALUE"""),"2023-08-13T14:36:23Z")</f>
        <v>2023-08-13T14:36:23Z</v>
      </c>
      <c r="X1214" s="43"/>
      <c r="Y1214" s="43"/>
      <c r="Z1214" s="43"/>
    </row>
    <row r="1215" hidden="1">
      <c r="A1215" s="43" t="str">
        <f>IFERROR(__xludf.DUMMYFUNCTION("""COMPUTED_VALUE"""),"4622778_1296670")</f>
        <v>4622778_1296670</v>
      </c>
      <c r="B1215" s="43" t="str">
        <f>IFERROR(__xludf.DUMMYFUNCTION("""COMPUTED_VALUE"""),"Mariam Bouzidi")</f>
        <v>Mariam Bouzidi</v>
      </c>
      <c r="C1215" s="43" t="str">
        <f>IFERROR(__xludf.DUMMYFUNCTION("""COMPUTED_VALUE"""),"completed")</f>
        <v>completed</v>
      </c>
      <c r="D1215" s="43" t="str">
        <f>IFERROR(__xludf.DUMMYFUNCTION("""COMPUTED_VALUE"""),"No")</f>
        <v>No</v>
      </c>
      <c r="E1215" s="43" t="str">
        <f>IFERROR(__xludf.DUMMYFUNCTION("""COMPUTED_VALUE"""),"p_4088ace015b776e0db82f499a59103f699ee7c42@inbound.aiesec.org")</f>
        <v>p_4088ace015b776e0db82f499a59103f699ee7c42@inbound.aiesec.org</v>
      </c>
      <c r="F1215" s="43">
        <f>IFERROR(__xludf.DUMMYFUNCTION("""COMPUTED_VALUE"""),2.9642771E7)</f>
        <v>29642771</v>
      </c>
      <c r="G1215" s="43" t="str">
        <f>IFERROR(__xludf.DUMMYFUNCTION("""COMPUTED_VALUE"""),"Tunisia")</f>
        <v>Tunisia</v>
      </c>
      <c r="H1215" s="43" t="str">
        <f>IFERROR(__xludf.DUMMYFUNCTION("""COMPUTED_VALUE"""),"UNIVERSITY")</f>
        <v>UNIVERSITY</v>
      </c>
      <c r="I1215" s="43" t="str">
        <f>IFERROR(__xludf.DUMMYFUNCTION("""COMPUTED_VALUE"""),"Turkey")</f>
        <v>Turkey</v>
      </c>
      <c r="J1215" s="43" t="str">
        <f>IFERROR(__xludf.DUMMYFUNCTION("""COMPUTED_VALUE"""),"BURSA")</f>
        <v>BURSA</v>
      </c>
      <c r="K1215" s="44" t="str">
        <f>IFERROR(__xludf.DUMMYFUNCTION("""COMPUTED_VALUE"""),"https://expa.aiesec.org/opportunities/1296670")</f>
        <v>https://expa.aiesec.org/opportunities/1296670</v>
      </c>
      <c r="L1215" s="43" t="str">
        <f>IFERROR(__xludf.DUMMYFUNCTION("""COMPUTED_VALUE"""),"GV")</f>
        <v>GV</v>
      </c>
      <c r="M1215" s="43" t="str">
        <f>IFERROR(__xludf.DUMMYFUNCTION("""COMPUTED_VALUE"""),"short")</f>
        <v>short</v>
      </c>
      <c r="N1215" s="45">
        <f>IFERROR(__xludf.DUMMYFUNCTION("""COMPUTED_VALUE"""),45152.0)</f>
        <v>45152</v>
      </c>
      <c r="O1215" s="45">
        <f>IFERROR(__xludf.DUMMYFUNCTION("""COMPUTED_VALUE"""),45152.0)</f>
        <v>45152</v>
      </c>
      <c r="P1215" s="45">
        <f>IFERROR(__xludf.DUMMYFUNCTION("""COMPUTED_VALUE"""),45194.0)</f>
        <v>45194</v>
      </c>
      <c r="Q1215" s="45">
        <f>IFERROR(__xludf.DUMMYFUNCTION("""COMPUTED_VALUE"""),45156.0)</f>
        <v>45156</v>
      </c>
      <c r="R1215" s="45">
        <f>IFERROR(__xludf.DUMMYFUNCTION("""COMPUTED_VALUE"""),45199.0)</f>
        <v>45199</v>
      </c>
      <c r="S1215" s="43"/>
      <c r="T1215" s="43"/>
      <c r="U1215" s="43" t="str">
        <f>IFERROR(__xludf.DUMMYFUNCTION("""COMPUTED_VALUE"""),"Youth 4 Impact")</f>
        <v>Youth 4 Impact</v>
      </c>
      <c r="V1215" s="43" t="str">
        <f>IFERROR(__xludf.DUMMYFUNCTION("""COMPUTED_VALUE"""),"FST")</f>
        <v>FST</v>
      </c>
      <c r="W1215" s="43" t="str">
        <f>IFERROR(__xludf.DUMMYFUNCTION("""COMPUTED_VALUE"""),"2021-04-20T09:19:42Z")</f>
        <v>2021-04-20T09:19:42Z</v>
      </c>
      <c r="X1215" s="43"/>
      <c r="Y1215" s="43"/>
      <c r="Z1215" s="43"/>
    </row>
    <row r="1216" hidden="1">
      <c r="A1216" s="43" t="str">
        <f>IFERROR(__xludf.DUMMYFUNCTION("""COMPUTED_VALUE"""),"5240649_1297982")</f>
        <v>5240649_1297982</v>
      </c>
      <c r="B1216" s="43" t="str">
        <f>IFERROR(__xludf.DUMMYFUNCTION("""COMPUTED_VALUE"""),"Mariam Elsawy")</f>
        <v>Mariam Elsawy</v>
      </c>
      <c r="C1216" s="43" t="str">
        <f>IFERROR(__xludf.DUMMYFUNCTION("""COMPUTED_VALUE"""),"approved")</f>
        <v>approved</v>
      </c>
      <c r="D1216" s="43" t="str">
        <f>IFERROR(__xludf.DUMMYFUNCTION("""COMPUTED_VALUE"""),"No")</f>
        <v>No</v>
      </c>
      <c r="E1216" s="43" t="str">
        <f>IFERROR(__xludf.DUMMYFUNCTION("""COMPUTED_VALUE"""),"p_5136a84b3c766632afb58b580f56d4c3d078447c@inbound.aiesec.org")</f>
        <v>p_5136a84b3c766632afb58b580f56d4c3d078447c@inbound.aiesec.org</v>
      </c>
      <c r="F1216" s="43">
        <f>IFERROR(__xludf.DUMMYFUNCTION("""COMPUTED_VALUE"""),1.091127E9)</f>
        <v>1091127000</v>
      </c>
      <c r="G1216" s="43" t="str">
        <f>IFERROR(__xludf.DUMMYFUNCTION("""COMPUTED_VALUE"""),"Egypt")</f>
        <v>Egypt</v>
      </c>
      <c r="H1216" s="43" t="str">
        <f>IFERROR(__xludf.DUMMYFUNCTION("""COMPUTED_VALUE"""),"AAST In CAIRO")</f>
        <v>AAST In CAIRO</v>
      </c>
      <c r="I1216" s="43" t="str">
        <f>IFERROR(__xludf.DUMMYFUNCTION("""COMPUTED_VALUE"""),"Turkey")</f>
        <v>Turkey</v>
      </c>
      <c r="J1216" s="43" t="str">
        <f>IFERROR(__xludf.DUMMYFUNCTION("""COMPUTED_VALUE"""),"İZMİR")</f>
        <v>İZMİR</v>
      </c>
      <c r="K1216" s="44" t="str">
        <f>IFERROR(__xludf.DUMMYFUNCTION("""COMPUTED_VALUE"""),"https://expa.aiesec.org/opportunities/1297982")</f>
        <v>https://expa.aiesec.org/opportunities/1297982</v>
      </c>
      <c r="L1216" s="43" t="str">
        <f>IFERROR(__xludf.DUMMYFUNCTION("""COMPUTED_VALUE"""),"GV")</f>
        <v>GV</v>
      </c>
      <c r="M1216" s="43" t="str">
        <f>IFERROR(__xludf.DUMMYFUNCTION("""COMPUTED_VALUE"""),"short")</f>
        <v>short</v>
      </c>
      <c r="N1216" s="45">
        <f>IFERROR(__xludf.DUMMYFUNCTION("""COMPUTED_VALUE"""),45152.0)</f>
        <v>45152</v>
      </c>
      <c r="O1216" s="45">
        <f>IFERROR(__xludf.DUMMYFUNCTION("""COMPUTED_VALUE"""),45159.0)</f>
        <v>45159</v>
      </c>
      <c r="P1216" s="45">
        <f>IFERROR(__xludf.DUMMYFUNCTION("""COMPUTED_VALUE"""),45201.0)</f>
        <v>45201</v>
      </c>
      <c r="Q1216" s="45"/>
      <c r="R1216" s="45"/>
      <c r="S1216" s="43"/>
      <c r="T1216" s="43"/>
      <c r="U1216" s="43" t="str">
        <f>IFERROR(__xludf.DUMMYFUNCTION("""COMPUTED_VALUE"""),"Fingerprint")</f>
        <v>Fingerprint</v>
      </c>
      <c r="V1216" s="43" t="str">
        <f>IFERROR(__xludf.DUMMYFUNCTION("""COMPUTED_VALUE"""),"AAST in Cairo Univeristy")</f>
        <v>AAST in Cairo Univeristy</v>
      </c>
      <c r="W1216" s="43" t="str">
        <f>IFERROR(__xludf.DUMMYFUNCTION("""COMPUTED_VALUE"""),"2023-04-12T18:59:09Z")</f>
        <v>2023-04-12T18:59:09Z</v>
      </c>
      <c r="X1216" s="43"/>
      <c r="Y1216" s="43"/>
      <c r="Z1216" s="43"/>
    </row>
    <row r="1217" hidden="1">
      <c r="A1217" s="43" t="str">
        <f>IFERROR(__xludf.DUMMYFUNCTION("""COMPUTED_VALUE"""),"5288461_1297982")</f>
        <v>5288461_1297982</v>
      </c>
      <c r="B1217" s="43" t="str">
        <f>IFERROR(__xludf.DUMMYFUNCTION("""COMPUTED_VALUE"""),"Enas El sebaee")</f>
        <v>Enas El sebaee</v>
      </c>
      <c r="C1217" s="43" t="str">
        <f>IFERROR(__xludf.DUMMYFUNCTION("""COMPUTED_VALUE"""),"approved")</f>
        <v>approved</v>
      </c>
      <c r="D1217" s="43" t="str">
        <f>IFERROR(__xludf.DUMMYFUNCTION("""COMPUTED_VALUE"""),"No")</f>
        <v>No</v>
      </c>
      <c r="E1217" s="43" t="str">
        <f>IFERROR(__xludf.DUMMYFUNCTION("""COMPUTED_VALUE"""),"p_2b423d010bcc91514e3d14ed697a75b48b933972@inbound.aiesec.org")</f>
        <v>p_2b423d010bcc91514e3d14ed697a75b48b933972@inbound.aiesec.org</v>
      </c>
      <c r="F1217" s="43">
        <f>IFERROR(__xludf.DUMMYFUNCTION("""COMPUTED_VALUE"""),1.094996628E9)</f>
        <v>1094996628</v>
      </c>
      <c r="G1217" s="43" t="str">
        <f>IFERROR(__xludf.DUMMYFUNCTION("""COMPUTED_VALUE"""),"Egypt")</f>
        <v>Egypt</v>
      </c>
      <c r="H1217" s="43" t="str">
        <f>IFERROR(__xludf.DUMMYFUNCTION("""COMPUTED_VALUE"""),"AAST In CAIRO")</f>
        <v>AAST In CAIRO</v>
      </c>
      <c r="I1217" s="43" t="str">
        <f>IFERROR(__xludf.DUMMYFUNCTION("""COMPUTED_VALUE"""),"Turkey")</f>
        <v>Turkey</v>
      </c>
      <c r="J1217" s="43" t="str">
        <f>IFERROR(__xludf.DUMMYFUNCTION("""COMPUTED_VALUE"""),"İZMİR")</f>
        <v>İZMİR</v>
      </c>
      <c r="K1217" s="44" t="str">
        <f>IFERROR(__xludf.DUMMYFUNCTION("""COMPUTED_VALUE"""),"https://expa.aiesec.org/opportunities/1297982")</f>
        <v>https://expa.aiesec.org/opportunities/1297982</v>
      </c>
      <c r="L1217" s="43" t="str">
        <f>IFERROR(__xludf.DUMMYFUNCTION("""COMPUTED_VALUE"""),"GV")</f>
        <v>GV</v>
      </c>
      <c r="M1217" s="43" t="str">
        <f>IFERROR(__xludf.DUMMYFUNCTION("""COMPUTED_VALUE"""),"short")</f>
        <v>short</v>
      </c>
      <c r="N1217" s="45">
        <f>IFERROR(__xludf.DUMMYFUNCTION("""COMPUTED_VALUE"""),45152.0)</f>
        <v>45152</v>
      </c>
      <c r="O1217" s="45">
        <f>IFERROR(__xludf.DUMMYFUNCTION("""COMPUTED_VALUE"""),45159.0)</f>
        <v>45159</v>
      </c>
      <c r="P1217" s="45">
        <f>IFERROR(__xludf.DUMMYFUNCTION("""COMPUTED_VALUE"""),45201.0)</f>
        <v>45201</v>
      </c>
      <c r="Q1217" s="45"/>
      <c r="R1217" s="45"/>
      <c r="S1217" s="43"/>
      <c r="T1217" s="43"/>
      <c r="U1217" s="43" t="str">
        <f>IFERROR(__xludf.DUMMYFUNCTION("""COMPUTED_VALUE"""),"Fingerprint")</f>
        <v>Fingerprint</v>
      </c>
      <c r="V1217" s="43" t="str">
        <f>IFERROR(__xludf.DUMMYFUNCTION("""COMPUTED_VALUE"""),"AAST in Cairo Univeristy")</f>
        <v>AAST in Cairo Univeristy</v>
      </c>
      <c r="W1217" s="43" t="str">
        <f>IFERROR(__xludf.DUMMYFUNCTION("""COMPUTED_VALUE"""),"2023-07-23T14:20:56Z")</f>
        <v>2023-07-23T14:20:56Z</v>
      </c>
      <c r="X1217" s="43"/>
      <c r="Y1217" s="43"/>
      <c r="Z1217" s="43"/>
    </row>
    <row r="1218" hidden="1">
      <c r="A1218" s="43" t="str">
        <f>IFERROR(__xludf.DUMMYFUNCTION("""COMPUTED_VALUE"""),"5299033_1286326")</f>
        <v>5299033_1286326</v>
      </c>
      <c r="B1218" s="43" t="str">
        <f>IFERROR(__xludf.DUMMYFUNCTION("""COMPUTED_VALUE"""),"sarra hajria")</f>
        <v>sarra hajria</v>
      </c>
      <c r="C1218" s="43" t="str">
        <f>IFERROR(__xludf.DUMMYFUNCTION("""COMPUTED_VALUE"""),"approved")</f>
        <v>approved</v>
      </c>
      <c r="D1218" s="43" t="str">
        <f>IFERROR(__xludf.DUMMYFUNCTION("""COMPUTED_VALUE"""),"No")</f>
        <v>No</v>
      </c>
      <c r="E1218" s="43" t="str">
        <f>IFERROR(__xludf.DUMMYFUNCTION("""COMPUTED_VALUE"""),"p_e42c0e3cdd0a72f93ad98182676ec82c341803b4@inbound.aiesec.org")</f>
        <v>p_e42c0e3cdd0a72f93ad98182676ec82c341803b4@inbound.aiesec.org</v>
      </c>
      <c r="F1218" s="43"/>
      <c r="G1218" s="43" t="str">
        <f>IFERROR(__xludf.DUMMYFUNCTION("""COMPUTED_VALUE"""),"Tunisia")</f>
        <v>Tunisia</v>
      </c>
      <c r="H1218" s="43" t="str">
        <f>IFERROR(__xludf.DUMMYFUNCTION("""COMPUTED_VALUE"""),"UNIVERSITY")</f>
        <v>UNIVERSITY</v>
      </c>
      <c r="I1218" s="43" t="str">
        <f>IFERROR(__xludf.DUMMYFUNCTION("""COMPUTED_VALUE"""),"Turkey")</f>
        <v>Turkey</v>
      </c>
      <c r="J1218" s="43" t="str">
        <f>IFERROR(__xludf.DUMMYFUNCTION("""COMPUTED_VALUE"""),"ADANA")</f>
        <v>ADANA</v>
      </c>
      <c r="K1218" s="44" t="str">
        <f>IFERROR(__xludf.DUMMYFUNCTION("""COMPUTED_VALUE"""),"https://expa.aiesec.org/opportunities/1286326")</f>
        <v>https://expa.aiesec.org/opportunities/1286326</v>
      </c>
      <c r="L1218" s="43" t="str">
        <f>IFERROR(__xludf.DUMMYFUNCTION("""COMPUTED_VALUE"""),"GV")</f>
        <v>GV</v>
      </c>
      <c r="M1218" s="43" t="str">
        <f>IFERROR(__xludf.DUMMYFUNCTION("""COMPUTED_VALUE"""),"short")</f>
        <v>short</v>
      </c>
      <c r="N1218" s="45">
        <f>IFERROR(__xludf.DUMMYFUNCTION("""COMPUTED_VALUE"""),45152.0)</f>
        <v>45152</v>
      </c>
      <c r="O1218" s="45">
        <f>IFERROR(__xludf.DUMMYFUNCTION("""COMPUTED_VALUE"""),45194.0)</f>
        <v>45194</v>
      </c>
      <c r="P1218" s="45">
        <f>IFERROR(__xludf.DUMMYFUNCTION("""COMPUTED_VALUE"""),45240.0)</f>
        <v>45240</v>
      </c>
      <c r="Q1218" s="45"/>
      <c r="R1218" s="45"/>
      <c r="S1218" s="43"/>
      <c r="T1218" s="43"/>
      <c r="U1218" s="43" t="str">
        <f>IFERROR(__xludf.DUMMYFUNCTION("""COMPUTED_VALUE"""),"Equify")</f>
        <v>Equify</v>
      </c>
      <c r="V1218" s="43" t="str">
        <f>IFERROR(__xludf.DUMMYFUNCTION("""COMPUTED_VALUE"""),"-")</f>
        <v>-</v>
      </c>
      <c r="W1218" s="43" t="str">
        <f>IFERROR(__xludf.DUMMYFUNCTION("""COMPUTED_VALUE"""),"2023-08-07T15:51:31Z")</f>
        <v>2023-08-07T15:51:31Z</v>
      </c>
      <c r="X1218" s="43"/>
      <c r="Y1218" s="43"/>
      <c r="Z1218" s="43"/>
    </row>
    <row r="1219" hidden="1">
      <c r="A1219" s="43" t="str">
        <f>IFERROR(__xludf.DUMMYFUNCTION("""COMPUTED_VALUE"""),"5140709_1279126")</f>
        <v>5140709_1279126</v>
      </c>
      <c r="B1219" s="43" t="str">
        <f>IFERROR(__xludf.DUMMYFUNCTION("""COMPUTED_VALUE"""),"ons ghariani")</f>
        <v>ons ghariani</v>
      </c>
      <c r="C1219" s="43" t="str">
        <f>IFERROR(__xludf.DUMMYFUNCTION("""COMPUTED_VALUE"""),"approved")</f>
        <v>approved</v>
      </c>
      <c r="D1219" s="43" t="str">
        <f>IFERROR(__xludf.DUMMYFUNCTION("""COMPUTED_VALUE"""),"No")</f>
        <v>No</v>
      </c>
      <c r="E1219" s="43" t="str">
        <f>IFERROR(__xludf.DUMMYFUNCTION("""COMPUTED_VALUE"""),"p_784ce0381a90986c01381c3950f89e5e77f07f80@inbound.aiesec.org")</f>
        <v>p_784ce0381a90986c01381c3950f89e5e77f07f80@inbound.aiesec.org</v>
      </c>
      <c r="F1219" s="43">
        <f>IFERROR(__xludf.DUMMYFUNCTION("""COMPUTED_VALUE"""),2.9899854E7)</f>
        <v>29899854</v>
      </c>
      <c r="G1219" s="43" t="str">
        <f>IFERROR(__xludf.DUMMYFUNCTION("""COMPUTED_VALUE"""),"Tunisia")</f>
        <v>Tunisia</v>
      </c>
      <c r="H1219" s="43" t="str">
        <f>IFERROR(__xludf.DUMMYFUNCTION("""COMPUTED_VALUE"""),"BARDO")</f>
        <v>BARDO</v>
      </c>
      <c r="I1219" s="43" t="str">
        <f>IFERROR(__xludf.DUMMYFUNCTION("""COMPUTED_VALUE"""),"Turkey")</f>
        <v>Turkey</v>
      </c>
      <c r="J1219" s="43" t="str">
        <f>IFERROR(__xludf.DUMMYFUNCTION("""COMPUTED_VALUE"""),"KOCAELI")</f>
        <v>KOCAELI</v>
      </c>
      <c r="K1219" s="44" t="str">
        <f>IFERROR(__xludf.DUMMYFUNCTION("""COMPUTED_VALUE"""),"https://expa.aiesec.org/opportunities/1279126")</f>
        <v>https://expa.aiesec.org/opportunities/1279126</v>
      </c>
      <c r="L1219" s="43" t="str">
        <f>IFERROR(__xludf.DUMMYFUNCTION("""COMPUTED_VALUE"""),"GV")</f>
        <v>GV</v>
      </c>
      <c r="M1219" s="43" t="str">
        <f>IFERROR(__xludf.DUMMYFUNCTION("""COMPUTED_VALUE"""),"short")</f>
        <v>short</v>
      </c>
      <c r="N1219" s="45">
        <f>IFERROR(__xludf.DUMMYFUNCTION("""COMPUTED_VALUE"""),45152.0)</f>
        <v>45152</v>
      </c>
      <c r="O1219" s="45">
        <f>IFERROR(__xludf.DUMMYFUNCTION("""COMPUTED_VALUE"""),45458.0)</f>
        <v>45458</v>
      </c>
      <c r="P1219" s="45">
        <f>IFERROR(__xludf.DUMMYFUNCTION("""COMPUTED_VALUE"""),45500.0)</f>
        <v>45500</v>
      </c>
      <c r="Q1219" s="45"/>
      <c r="R1219" s="45"/>
      <c r="S1219" s="43"/>
      <c r="T1219" s="43"/>
      <c r="U1219" s="43" t="str">
        <f>IFERROR(__xludf.DUMMYFUNCTION("""COMPUTED_VALUE"""),"Global Classroom")</f>
        <v>Global Classroom</v>
      </c>
      <c r="V1219" s="43" t="str">
        <f>IFERROR(__xludf.DUMMYFUNCTION("""COMPUTED_VALUE"""),"ESPRIT El Ghazela ")</f>
        <v>ESPRIT El Ghazela </v>
      </c>
      <c r="W1219" s="43" t="str">
        <f>IFERROR(__xludf.DUMMYFUNCTION("""COMPUTED_VALUE"""),"2022-10-26T10:51:23Z")</f>
        <v>2022-10-26T10:51:23Z</v>
      </c>
      <c r="X1219" s="43"/>
      <c r="Y1219" s="43"/>
      <c r="Z1219" s="43"/>
    </row>
    <row r="1220" hidden="1">
      <c r="A1220" s="43" t="str">
        <f>IFERROR(__xludf.DUMMYFUNCTION("""COMPUTED_VALUE"""),"5300300_1296105")</f>
        <v>5300300_1296105</v>
      </c>
      <c r="B1220" s="43" t="str">
        <f>IFERROR(__xludf.DUMMYFUNCTION("""COMPUTED_VALUE"""),"Mudit Solapurkar")</f>
        <v>Mudit Solapurkar</v>
      </c>
      <c r="C1220" s="43" t="str">
        <f>IFERROR(__xludf.DUMMYFUNCTION("""COMPUTED_VALUE"""),"approved")</f>
        <v>approved</v>
      </c>
      <c r="D1220" s="43" t="str">
        <f>IFERROR(__xludf.DUMMYFUNCTION("""COMPUTED_VALUE"""),"No")</f>
        <v>No</v>
      </c>
      <c r="E1220" s="43" t="str">
        <f>IFERROR(__xludf.DUMMYFUNCTION("""COMPUTED_VALUE"""),"p_156b0e091c697130aeb403f76155d30d96d3e059@inbound.aiesec.org")</f>
        <v>p_156b0e091c697130aeb403f76155d30d96d3e059@inbound.aiesec.org</v>
      </c>
      <c r="F1220" s="43">
        <f>IFERROR(__xludf.DUMMYFUNCTION("""COMPUTED_VALUE"""),8.319188078E9)</f>
        <v>8319188078</v>
      </c>
      <c r="G1220" s="43" t="str">
        <f>IFERROR(__xludf.DUMMYFUNCTION("""COMPUTED_VALUE"""),"India")</f>
        <v>India</v>
      </c>
      <c r="H1220" s="43" t="str">
        <f>IFERROR(__xludf.DUMMYFUNCTION("""COMPUTED_VALUE"""),"Pune")</f>
        <v>Pune</v>
      </c>
      <c r="I1220" s="43" t="str">
        <f>IFERROR(__xludf.DUMMYFUNCTION("""COMPUTED_VALUE"""),"Turkey")</f>
        <v>Turkey</v>
      </c>
      <c r="J1220" s="43" t="str">
        <f>IFERROR(__xludf.DUMMYFUNCTION("""COMPUTED_VALUE"""),"ANKARA")</f>
        <v>ANKARA</v>
      </c>
      <c r="K1220" s="44" t="str">
        <f>IFERROR(__xludf.DUMMYFUNCTION("""COMPUTED_VALUE"""),"https://expa.aiesec.org/opportunities/1296105")</f>
        <v>https://expa.aiesec.org/opportunities/1296105</v>
      </c>
      <c r="L1220" s="43" t="str">
        <f>IFERROR(__xludf.DUMMYFUNCTION("""COMPUTED_VALUE"""),"GV")</f>
        <v>GV</v>
      </c>
      <c r="M1220" s="43" t="str">
        <f>IFERROR(__xludf.DUMMYFUNCTION("""COMPUTED_VALUE"""),"short")</f>
        <v>short</v>
      </c>
      <c r="N1220" s="45">
        <f>IFERROR(__xludf.DUMMYFUNCTION("""COMPUTED_VALUE"""),45152.0)</f>
        <v>45152</v>
      </c>
      <c r="O1220" s="45">
        <f>IFERROR(__xludf.DUMMYFUNCTION("""COMPUTED_VALUE"""),45264.0)</f>
        <v>45264</v>
      </c>
      <c r="P1220" s="45">
        <f>IFERROR(__xludf.DUMMYFUNCTION("""COMPUTED_VALUE"""),45306.0)</f>
        <v>45306</v>
      </c>
      <c r="Q1220" s="45"/>
      <c r="R1220" s="45"/>
      <c r="S1220" s="43"/>
      <c r="T1220" s="43"/>
      <c r="U1220" s="43" t="str">
        <f>IFERROR(__xludf.DUMMYFUNCTION("""COMPUTED_VALUE"""),"Fingerprint")</f>
        <v>Fingerprint</v>
      </c>
      <c r="V1220" s="43" t="str">
        <f>IFERROR(__xludf.DUMMYFUNCTION("""COMPUTED_VALUE"""),"Maharashtra Institute of Technology, Pune")</f>
        <v>Maharashtra Institute of Technology, Pune</v>
      </c>
      <c r="W1220" s="43" t="str">
        <f>IFERROR(__xludf.DUMMYFUNCTION("""COMPUTED_VALUE"""),"2023-08-09T19:46:53Z")</f>
        <v>2023-08-09T19:46:53Z</v>
      </c>
      <c r="X1220" s="43"/>
      <c r="Y1220" s="43"/>
      <c r="Z1220" s="43"/>
    </row>
    <row r="1221" hidden="1">
      <c r="A1221" s="43" t="str">
        <f>IFERROR(__xludf.DUMMYFUNCTION("""COMPUTED_VALUE"""),"5301141_1272564")</f>
        <v>5301141_1272564</v>
      </c>
      <c r="B1221" s="43" t="str">
        <f>IFERROR(__xludf.DUMMYFUNCTION("""COMPUTED_VALUE"""),"Diana Onishchenko")</f>
        <v>Diana Onishchenko</v>
      </c>
      <c r="C1221" s="43" t="str">
        <f>IFERROR(__xludf.DUMMYFUNCTION("""COMPUTED_VALUE"""),"finished")</f>
        <v>finished</v>
      </c>
      <c r="D1221" s="43" t="str">
        <f>IFERROR(__xludf.DUMMYFUNCTION("""COMPUTED_VALUE"""),"No")</f>
        <v>No</v>
      </c>
      <c r="E1221" s="43" t="str">
        <f>IFERROR(__xludf.DUMMYFUNCTION("""COMPUTED_VALUE"""),"p_7117169f01bbb5db55bd04efb1c80aadd7d768d5@inbound.aiesec.org")</f>
        <v>p_7117169f01bbb5db55bd04efb1c80aadd7d768d5@inbound.aiesec.org</v>
      </c>
      <c r="F1221" s="43">
        <f>IFERROR(__xludf.DUMMYFUNCTION("""COMPUTED_VALUE"""),6.74612342E8)</f>
        <v>674612342</v>
      </c>
      <c r="G1221" s="43" t="str">
        <f>IFERROR(__xludf.DUMMYFUNCTION("""COMPUTED_VALUE"""),"Ukraine")</f>
        <v>Ukraine</v>
      </c>
      <c r="H1221" s="43" t="str">
        <f>IFERROR(__xludf.DUMMYFUNCTION("""COMPUTED_VALUE"""),"KYIV")</f>
        <v>KYIV</v>
      </c>
      <c r="I1221" s="43" t="str">
        <f>IFERROR(__xludf.DUMMYFUNCTION("""COMPUTED_VALUE"""),"Turkey")</f>
        <v>Turkey</v>
      </c>
      <c r="J1221" s="43" t="str">
        <f>IFERROR(__xludf.DUMMYFUNCTION("""COMPUTED_VALUE"""),"ISTANBUL")</f>
        <v>ISTANBUL</v>
      </c>
      <c r="K1221" s="44" t="str">
        <f>IFERROR(__xludf.DUMMYFUNCTION("""COMPUTED_VALUE"""),"https://expa.aiesec.org/opportunities/1272564")</f>
        <v>https://expa.aiesec.org/opportunities/1272564</v>
      </c>
      <c r="L1221" s="43" t="str">
        <f>IFERROR(__xludf.DUMMYFUNCTION("""COMPUTED_VALUE"""),"GV")</f>
        <v>GV</v>
      </c>
      <c r="M1221" s="43" t="str">
        <f>IFERROR(__xludf.DUMMYFUNCTION("""COMPUTED_VALUE"""),"short")</f>
        <v>short</v>
      </c>
      <c r="N1221" s="45">
        <f>IFERROR(__xludf.DUMMYFUNCTION("""COMPUTED_VALUE"""),45152.0)</f>
        <v>45152</v>
      </c>
      <c r="O1221" s="45">
        <f>IFERROR(__xludf.DUMMYFUNCTION("""COMPUTED_VALUE"""),45198.0)</f>
        <v>45198</v>
      </c>
      <c r="P1221" s="45">
        <f>IFERROR(__xludf.DUMMYFUNCTION("""COMPUTED_VALUE"""),45240.0)</f>
        <v>45240</v>
      </c>
      <c r="Q1221" s="45">
        <f>IFERROR(__xludf.DUMMYFUNCTION("""COMPUTED_VALUE"""),45198.0)</f>
        <v>45198</v>
      </c>
      <c r="R1221" s="45">
        <f>IFERROR(__xludf.DUMMYFUNCTION("""COMPUTED_VALUE"""),45240.0)</f>
        <v>45240</v>
      </c>
      <c r="S1221" s="43"/>
      <c r="T1221" s="43"/>
      <c r="U1221" s="43" t="str">
        <f>IFERROR(__xludf.DUMMYFUNCTION("""COMPUTED_VALUE"""),"Global Classroom")</f>
        <v>Global Classroom</v>
      </c>
      <c r="V1221" s="43" t="str">
        <f>IFERROR(__xludf.DUMMYFUNCTION("""COMPUTED_VALUE"""),"Kyiv")</f>
        <v>Kyiv</v>
      </c>
      <c r="W1221" s="43" t="str">
        <f>IFERROR(__xludf.DUMMYFUNCTION("""COMPUTED_VALUE"""),"2023-08-11T11:05:21Z")</f>
        <v>2023-08-11T11:05:21Z</v>
      </c>
      <c r="X1221" s="43"/>
      <c r="Y1221" s="43"/>
      <c r="Z1221" s="43"/>
    </row>
    <row r="1222" hidden="1">
      <c r="A1222" s="43" t="str">
        <f>IFERROR(__xludf.DUMMYFUNCTION("""COMPUTED_VALUE"""),"5249385_1294878")</f>
        <v>5249385_1294878</v>
      </c>
      <c r="B1222" s="43" t="str">
        <f>IFERROR(__xludf.DUMMYFUNCTION("""COMPUTED_VALUE"""),"Aditya Agnihotri")</f>
        <v>Aditya Agnihotri</v>
      </c>
      <c r="C1222" s="43" t="str">
        <f>IFERROR(__xludf.DUMMYFUNCTION("""COMPUTED_VALUE"""),"finished")</f>
        <v>finished</v>
      </c>
      <c r="D1222" s="43" t="str">
        <f>IFERROR(__xludf.DUMMYFUNCTION("""COMPUTED_VALUE"""),"No")</f>
        <v>No</v>
      </c>
      <c r="E1222" s="43" t="str">
        <f>IFERROR(__xludf.DUMMYFUNCTION("""COMPUTED_VALUE"""),"p_165e340de1212ee2f94f05ea57f3e5d1592e31ea@inbound.aiesec.org")</f>
        <v>p_165e340de1212ee2f94f05ea57f3e5d1592e31ea@inbound.aiesec.org</v>
      </c>
      <c r="F1222" s="43"/>
      <c r="G1222" s="43" t="str">
        <f>IFERROR(__xludf.DUMMYFUNCTION("""COMPUTED_VALUE"""),"India")</f>
        <v>India</v>
      </c>
      <c r="H1222" s="43" t="str">
        <f>IFERROR(__xludf.DUMMYFUNCTION("""COMPUTED_VALUE"""),"Indore")</f>
        <v>Indore</v>
      </c>
      <c r="I1222" s="43" t="str">
        <f>IFERROR(__xludf.DUMMYFUNCTION("""COMPUTED_VALUE"""),"Turkey")</f>
        <v>Turkey</v>
      </c>
      <c r="J1222" s="43" t="str">
        <f>IFERROR(__xludf.DUMMYFUNCTION("""COMPUTED_VALUE"""),"BURSA")</f>
        <v>BURSA</v>
      </c>
      <c r="K1222" s="44" t="str">
        <f>IFERROR(__xludf.DUMMYFUNCTION("""COMPUTED_VALUE"""),"https://expa.aiesec.org/opportunities/1294878")</f>
        <v>https://expa.aiesec.org/opportunities/1294878</v>
      </c>
      <c r="L1222" s="43" t="str">
        <f>IFERROR(__xludf.DUMMYFUNCTION("""COMPUTED_VALUE"""),"GV")</f>
        <v>GV</v>
      </c>
      <c r="M1222" s="43" t="str">
        <f>IFERROR(__xludf.DUMMYFUNCTION("""COMPUTED_VALUE"""),"short")</f>
        <v>short</v>
      </c>
      <c r="N1222" s="45">
        <f>IFERROR(__xludf.DUMMYFUNCTION("""COMPUTED_VALUE"""),45152.0)</f>
        <v>45152</v>
      </c>
      <c r="O1222" s="45">
        <f>IFERROR(__xludf.DUMMYFUNCTION("""COMPUTED_VALUE"""),45250.0)</f>
        <v>45250</v>
      </c>
      <c r="P1222" s="45">
        <f>IFERROR(__xludf.DUMMYFUNCTION("""COMPUTED_VALUE"""),45292.0)</f>
        <v>45292</v>
      </c>
      <c r="Q1222" s="45">
        <f>IFERROR(__xludf.DUMMYFUNCTION("""COMPUTED_VALUE"""),45250.0)</f>
        <v>45250</v>
      </c>
      <c r="R1222" s="45">
        <f>IFERROR(__xludf.DUMMYFUNCTION("""COMPUTED_VALUE"""),45292.0)</f>
        <v>45292</v>
      </c>
      <c r="S1222" s="43"/>
      <c r="T1222" s="43"/>
      <c r="U1222" s="43" t="str">
        <f>IFERROR(__xludf.DUMMYFUNCTION("""COMPUTED_VALUE"""),"Youth 4 Impact")</f>
        <v>Youth 4 Impact</v>
      </c>
      <c r="V1222" s="43" t="str">
        <f>IFERROR(__xludf.DUMMYFUNCTION("""COMPUTED_VALUE"""),"-")</f>
        <v>-</v>
      </c>
      <c r="W1222" s="43" t="str">
        <f>IFERROR(__xludf.DUMMYFUNCTION("""COMPUTED_VALUE"""),"2023-04-25T19:32:41Z")</f>
        <v>2023-04-25T19:32:41Z</v>
      </c>
      <c r="X1222" s="43"/>
      <c r="Y1222" s="43"/>
      <c r="Z1222" s="43"/>
    </row>
    <row r="1223" hidden="1">
      <c r="A1223" s="43" t="str">
        <f>IFERROR(__xludf.DUMMYFUNCTION("""COMPUTED_VALUE"""),"5300925_1296818")</f>
        <v>5300925_1296818</v>
      </c>
      <c r="B1223" s="43" t="str">
        <f>IFERROR(__xludf.DUMMYFUNCTION("""COMPUTED_VALUE"""),"hritika Choudhary")</f>
        <v>hritika Choudhary</v>
      </c>
      <c r="C1223" s="43" t="str">
        <f>IFERROR(__xludf.DUMMYFUNCTION("""COMPUTED_VALUE"""),"realization_broken")</f>
        <v>realization_broken</v>
      </c>
      <c r="D1223" s="43" t="str">
        <f>IFERROR(__xludf.DUMMYFUNCTION("""COMPUTED_VALUE"""),"No")</f>
        <v>No</v>
      </c>
      <c r="E1223" s="43" t="str">
        <f>IFERROR(__xludf.DUMMYFUNCTION("""COMPUTED_VALUE"""),"p_88204317caba872ecfb729e56aa30b781c7bd692@inbound.aiesec.org")</f>
        <v>p_88204317caba872ecfb729e56aa30b781c7bd692@inbound.aiesec.org</v>
      </c>
      <c r="F1223" s="43">
        <f>IFERROR(__xludf.DUMMYFUNCTION("""COMPUTED_VALUE"""),8.383908098E9)</f>
        <v>8383908098</v>
      </c>
      <c r="G1223" s="43" t="str">
        <f>IFERROR(__xludf.DUMMYFUNCTION("""COMPUTED_VALUE"""),"India")</f>
        <v>India</v>
      </c>
      <c r="H1223" s="43" t="str">
        <f>IFERROR(__xludf.DUMMYFUNCTION("""COMPUTED_VALUE"""),"Pune")</f>
        <v>Pune</v>
      </c>
      <c r="I1223" s="43" t="str">
        <f>IFERROR(__xludf.DUMMYFUNCTION("""COMPUTED_VALUE"""),"Turkey")</f>
        <v>Turkey</v>
      </c>
      <c r="J1223" s="43" t="str">
        <f>IFERROR(__xludf.DUMMYFUNCTION("""COMPUTED_VALUE"""),"ESKISEHIR")</f>
        <v>ESKISEHIR</v>
      </c>
      <c r="K1223" s="44" t="str">
        <f>IFERROR(__xludf.DUMMYFUNCTION("""COMPUTED_VALUE"""),"https://expa.aiesec.org/opportunities/1296818")</f>
        <v>https://expa.aiesec.org/opportunities/1296818</v>
      </c>
      <c r="L1223" s="43" t="str">
        <f>IFERROR(__xludf.DUMMYFUNCTION("""COMPUTED_VALUE"""),"GV")</f>
        <v>GV</v>
      </c>
      <c r="M1223" s="43" t="str">
        <f>IFERROR(__xludf.DUMMYFUNCTION("""COMPUTED_VALUE"""),"short")</f>
        <v>short</v>
      </c>
      <c r="N1223" s="45">
        <f>IFERROR(__xludf.DUMMYFUNCTION("""COMPUTED_VALUE"""),45152.0)</f>
        <v>45152</v>
      </c>
      <c r="O1223" s="45">
        <f>IFERROR(__xludf.DUMMYFUNCTION("""COMPUTED_VALUE"""),45173.0)</f>
        <v>45173</v>
      </c>
      <c r="P1223" s="45">
        <f>IFERROR(__xludf.DUMMYFUNCTION("""COMPUTED_VALUE"""),45215.0)</f>
        <v>45215</v>
      </c>
      <c r="Q1223" s="45"/>
      <c r="R1223" s="45"/>
      <c r="S1223" s="43"/>
      <c r="T1223" s="43"/>
      <c r="U1223" s="43" t="str">
        <f>IFERROR(__xludf.DUMMYFUNCTION("""COMPUTED_VALUE"""),"Global Classroom")</f>
        <v>Global Classroom</v>
      </c>
      <c r="V1223" s="43" t="str">
        <f>IFERROR(__xludf.DUMMYFUNCTION("""COMPUTED_VALUE"""),"Maharashtra Institute of Technology, Pune")</f>
        <v>Maharashtra Institute of Technology, Pune</v>
      </c>
      <c r="W1223" s="43" t="str">
        <f>IFERROR(__xludf.DUMMYFUNCTION("""COMPUTED_VALUE"""),"2023-08-10T20:34:19Z")</f>
        <v>2023-08-10T20:34:19Z</v>
      </c>
      <c r="X1223" s="43"/>
      <c r="Y1223" s="43"/>
      <c r="Z1223" s="43"/>
    </row>
    <row r="1224" hidden="1">
      <c r="A1224" s="43" t="str">
        <f>IFERROR(__xludf.DUMMYFUNCTION("""COMPUTED_VALUE"""),"4320596_1292962")</f>
        <v>4320596_1292962</v>
      </c>
      <c r="B1224" s="43" t="str">
        <f>IFERROR(__xludf.DUMMYFUNCTION("""COMPUTED_VALUE"""),"Lazreg Intissar")</f>
        <v>Lazreg Intissar</v>
      </c>
      <c r="C1224" s="43" t="str">
        <f>IFERROR(__xludf.DUMMYFUNCTION("""COMPUTED_VALUE"""),"completed")</f>
        <v>completed</v>
      </c>
      <c r="D1224" s="43" t="str">
        <f>IFERROR(__xludf.DUMMYFUNCTION("""COMPUTED_VALUE"""),"No")</f>
        <v>No</v>
      </c>
      <c r="E1224" s="43" t="str">
        <f>IFERROR(__xludf.DUMMYFUNCTION("""COMPUTED_VALUE"""),"p_81cceebcb20ad18c3024e223589f1b326f63ae61@inbound.aiesec.org")</f>
        <v>p_81cceebcb20ad18c3024e223589f1b326f63ae61@inbound.aiesec.org</v>
      </c>
      <c r="F1224" s="43">
        <f>IFERROR(__xludf.DUMMYFUNCTION("""COMPUTED_VALUE"""),6.98191642E8)</f>
        <v>698191642</v>
      </c>
      <c r="G1224" s="43" t="str">
        <f>IFERROR(__xludf.DUMMYFUNCTION("""COMPUTED_VALUE"""),"Algeria")</f>
        <v>Algeria</v>
      </c>
      <c r="H1224" s="43" t="str">
        <f>IFERROR(__xludf.DUMMYFUNCTION("""COMPUTED_VALUE"""),"Oran")</f>
        <v>Oran</v>
      </c>
      <c r="I1224" s="43" t="str">
        <f>IFERROR(__xludf.DUMMYFUNCTION("""COMPUTED_VALUE"""),"Turkey")</f>
        <v>Turkey</v>
      </c>
      <c r="J1224" s="43" t="str">
        <f>IFERROR(__xludf.DUMMYFUNCTION("""COMPUTED_VALUE"""),"BURSA")</f>
        <v>BURSA</v>
      </c>
      <c r="K1224" s="44" t="str">
        <f>IFERROR(__xludf.DUMMYFUNCTION("""COMPUTED_VALUE"""),"https://expa.aiesec.org/opportunities/1292962")</f>
        <v>https://expa.aiesec.org/opportunities/1292962</v>
      </c>
      <c r="L1224" s="43" t="str">
        <f>IFERROR(__xludf.DUMMYFUNCTION("""COMPUTED_VALUE"""),"GV")</f>
        <v>GV</v>
      </c>
      <c r="M1224" s="43" t="str">
        <f>IFERROR(__xludf.DUMMYFUNCTION("""COMPUTED_VALUE"""),"short")</f>
        <v>short</v>
      </c>
      <c r="N1224" s="45">
        <f>IFERROR(__xludf.DUMMYFUNCTION("""COMPUTED_VALUE"""),45153.0)</f>
        <v>45153</v>
      </c>
      <c r="O1224" s="45">
        <f>IFERROR(__xludf.DUMMYFUNCTION("""COMPUTED_VALUE"""),45194.0)</f>
        <v>45194</v>
      </c>
      <c r="P1224" s="45">
        <f>IFERROR(__xludf.DUMMYFUNCTION("""COMPUTED_VALUE"""),45236.0)</f>
        <v>45236</v>
      </c>
      <c r="Q1224" s="45">
        <f>IFERROR(__xludf.DUMMYFUNCTION("""COMPUTED_VALUE"""),45193.0)</f>
        <v>45193</v>
      </c>
      <c r="R1224" s="45">
        <f>IFERROR(__xludf.DUMMYFUNCTION("""COMPUTED_VALUE"""),45236.0)</f>
        <v>45236</v>
      </c>
      <c r="S1224" s="43"/>
      <c r="T1224" s="43"/>
      <c r="U1224" s="43" t="str">
        <f>IFERROR(__xludf.DUMMYFUNCTION("""COMPUTED_VALUE"""),"Youth 4 Impact")</f>
        <v>Youth 4 Impact</v>
      </c>
      <c r="V1224" s="43" t="str">
        <f>IFERROR(__xludf.DUMMYFUNCTION("""COMPUTED_VALUE"""),"AIESEC in Bejaia")</f>
        <v>AIESEC in Bejaia</v>
      </c>
      <c r="W1224" s="43" t="str">
        <f>IFERROR(__xludf.DUMMYFUNCTION("""COMPUTED_VALUE"""),"2020-06-30T12:39:49Z")</f>
        <v>2020-06-30T12:39:49Z</v>
      </c>
      <c r="X1224" s="43"/>
      <c r="Y1224" s="43"/>
      <c r="Z1224" s="43"/>
    </row>
    <row r="1225" hidden="1">
      <c r="A1225" s="43" t="str">
        <f>IFERROR(__xludf.DUMMYFUNCTION("""COMPUTED_VALUE"""),"5302967_1296101")</f>
        <v>5302967_1296101</v>
      </c>
      <c r="B1225" s="43" t="str">
        <f>IFERROR(__xludf.DUMMYFUNCTION("""COMPUTED_VALUE"""),"fatma ben mohammed")</f>
        <v>fatma ben mohammed</v>
      </c>
      <c r="C1225" s="43" t="str">
        <f>IFERROR(__xludf.DUMMYFUNCTION("""COMPUTED_VALUE"""),"completed")</f>
        <v>completed</v>
      </c>
      <c r="D1225" s="43" t="str">
        <f>IFERROR(__xludf.DUMMYFUNCTION("""COMPUTED_VALUE"""),"No")</f>
        <v>No</v>
      </c>
      <c r="E1225" s="43" t="str">
        <f>IFERROR(__xludf.DUMMYFUNCTION("""COMPUTED_VALUE"""),"p_adf5e8bbfa1850ac3c586660a6064eccc119ad6f@inbound.aiesec.org")</f>
        <v>p_adf5e8bbfa1850ac3c586660a6064eccc119ad6f@inbound.aiesec.org</v>
      </c>
      <c r="F1225" s="43">
        <f>IFERROR(__xludf.DUMMYFUNCTION("""COMPUTED_VALUE"""),5.0757254E7)</f>
        <v>50757254</v>
      </c>
      <c r="G1225" s="43" t="str">
        <f>IFERROR(__xludf.DUMMYFUNCTION("""COMPUTED_VALUE"""),"Tunisia")</f>
        <v>Tunisia</v>
      </c>
      <c r="H1225" s="43" t="str">
        <f>IFERROR(__xludf.DUMMYFUNCTION("""COMPUTED_VALUE"""),"UNIVERSITY")</f>
        <v>UNIVERSITY</v>
      </c>
      <c r="I1225" s="43" t="str">
        <f>IFERROR(__xludf.DUMMYFUNCTION("""COMPUTED_VALUE"""),"Turkey")</f>
        <v>Turkey</v>
      </c>
      <c r="J1225" s="43" t="str">
        <f>IFERROR(__xludf.DUMMYFUNCTION("""COMPUTED_VALUE"""),"ANKARA")</f>
        <v>ANKARA</v>
      </c>
      <c r="K1225" s="44" t="str">
        <f>IFERROR(__xludf.DUMMYFUNCTION("""COMPUTED_VALUE"""),"https://expa.aiesec.org/opportunities/1296101")</f>
        <v>https://expa.aiesec.org/opportunities/1296101</v>
      </c>
      <c r="L1225" s="43" t="str">
        <f>IFERROR(__xludf.DUMMYFUNCTION("""COMPUTED_VALUE"""),"GV")</f>
        <v>GV</v>
      </c>
      <c r="M1225" s="43" t="str">
        <f>IFERROR(__xludf.DUMMYFUNCTION("""COMPUTED_VALUE"""),"short")</f>
        <v>short</v>
      </c>
      <c r="N1225" s="45">
        <f>IFERROR(__xludf.DUMMYFUNCTION("""COMPUTED_VALUE"""),45153.0)</f>
        <v>45153</v>
      </c>
      <c r="O1225" s="45">
        <f>IFERROR(__xludf.DUMMYFUNCTION("""COMPUTED_VALUE"""),45166.0)</f>
        <v>45166</v>
      </c>
      <c r="P1225" s="45">
        <f>IFERROR(__xludf.DUMMYFUNCTION("""COMPUTED_VALUE"""),45208.0)</f>
        <v>45208</v>
      </c>
      <c r="Q1225" s="45">
        <f>IFERROR(__xludf.DUMMYFUNCTION("""COMPUTED_VALUE"""),45170.0)</f>
        <v>45170</v>
      </c>
      <c r="R1225" s="45">
        <f>IFERROR(__xludf.DUMMYFUNCTION("""COMPUTED_VALUE"""),45210.0)</f>
        <v>45210</v>
      </c>
      <c r="S1225" s="43"/>
      <c r="T1225" s="43"/>
      <c r="U1225" s="43" t="str">
        <f>IFERROR(__xludf.DUMMYFUNCTION("""COMPUTED_VALUE"""),"Fingerprint")</f>
        <v>Fingerprint</v>
      </c>
      <c r="V1225" s="43" t="str">
        <f>IFERROR(__xludf.DUMMYFUNCTION("""COMPUTED_VALUE"""),"Université Centrale Droit et Gestion")</f>
        <v>Université Centrale Droit et Gestion</v>
      </c>
      <c r="W1225" s="43" t="str">
        <f>IFERROR(__xludf.DUMMYFUNCTION("""COMPUTED_VALUE"""),"2023-08-15T11:39:56Z")</f>
        <v>2023-08-15T11:39:56Z</v>
      </c>
      <c r="X1225" s="43"/>
      <c r="Y1225" s="43"/>
      <c r="Z1225" s="43"/>
    </row>
    <row r="1226" hidden="1">
      <c r="A1226" s="43" t="str">
        <f>IFERROR(__xludf.DUMMYFUNCTION("""COMPUTED_VALUE"""),"5302108_1292118")</f>
        <v>5302108_1292118</v>
      </c>
      <c r="B1226" s="43" t="str">
        <f>IFERROR(__xludf.DUMMYFUNCTION("""COMPUTED_VALUE"""),"Afnen Daiki")</f>
        <v>Afnen Daiki</v>
      </c>
      <c r="C1226" s="43" t="str">
        <f>IFERROR(__xludf.DUMMYFUNCTION("""COMPUTED_VALUE"""),"approved")</f>
        <v>approved</v>
      </c>
      <c r="D1226" s="43" t="str">
        <f>IFERROR(__xludf.DUMMYFUNCTION("""COMPUTED_VALUE"""),"No")</f>
        <v>No</v>
      </c>
      <c r="E1226" s="43" t="str">
        <f>IFERROR(__xludf.DUMMYFUNCTION("""COMPUTED_VALUE"""),"p_0f5555965ca6ec473488fbc0b2605b7a51c45930@inbound.aiesec.org")</f>
        <v>p_0f5555965ca6ec473488fbc0b2605b7a51c45930@inbound.aiesec.org</v>
      </c>
      <c r="F1226" s="43">
        <f>IFERROR(__xludf.DUMMYFUNCTION("""COMPUTED_VALUE"""),2.885469E7)</f>
        <v>28854690</v>
      </c>
      <c r="G1226" s="43" t="str">
        <f>IFERROR(__xludf.DUMMYFUNCTION("""COMPUTED_VALUE"""),"Tunisia")</f>
        <v>Tunisia</v>
      </c>
      <c r="H1226" s="43" t="str">
        <f>IFERROR(__xludf.DUMMYFUNCTION("""COMPUTED_VALUE"""),"MEDINA")</f>
        <v>MEDINA</v>
      </c>
      <c r="I1226" s="43" t="str">
        <f>IFERROR(__xludf.DUMMYFUNCTION("""COMPUTED_VALUE"""),"Turkey")</f>
        <v>Turkey</v>
      </c>
      <c r="J1226" s="43" t="str">
        <f>IFERROR(__xludf.DUMMYFUNCTION("""COMPUTED_VALUE"""),"KOCAELI")</f>
        <v>KOCAELI</v>
      </c>
      <c r="K1226" s="44" t="str">
        <f>IFERROR(__xludf.DUMMYFUNCTION("""COMPUTED_VALUE"""),"https://expa.aiesec.org/opportunities/1292118")</f>
        <v>https://expa.aiesec.org/opportunities/1292118</v>
      </c>
      <c r="L1226" s="43" t="str">
        <f>IFERROR(__xludf.DUMMYFUNCTION("""COMPUTED_VALUE"""),"GV")</f>
        <v>GV</v>
      </c>
      <c r="M1226" s="43" t="str">
        <f>IFERROR(__xludf.DUMMYFUNCTION("""COMPUTED_VALUE"""),"short")</f>
        <v>short</v>
      </c>
      <c r="N1226" s="45">
        <f>IFERROR(__xludf.DUMMYFUNCTION("""COMPUTED_VALUE"""),45153.0)</f>
        <v>45153</v>
      </c>
      <c r="O1226" s="45">
        <f>IFERROR(__xludf.DUMMYFUNCTION("""COMPUTED_VALUE"""),45180.0)</f>
        <v>45180</v>
      </c>
      <c r="P1226" s="45">
        <f>IFERROR(__xludf.DUMMYFUNCTION("""COMPUTED_VALUE"""),45222.0)</f>
        <v>45222</v>
      </c>
      <c r="Q1226" s="45"/>
      <c r="R1226" s="45"/>
      <c r="S1226" s="43"/>
      <c r="T1226" s="43"/>
      <c r="U1226" s="43" t="str">
        <f>IFERROR(__xludf.DUMMYFUNCTION("""COMPUTED_VALUE"""),"Global Classroom")</f>
        <v>Global Classroom</v>
      </c>
      <c r="V1226" s="43" t="str">
        <f>IFERROR(__xludf.DUMMYFUNCTION("""COMPUTED_VALUE"""),"FLAH")</f>
        <v>FLAH</v>
      </c>
      <c r="W1226" s="43" t="str">
        <f>IFERROR(__xludf.DUMMYFUNCTION("""COMPUTED_VALUE"""),"2023-08-13T20:24:19Z")</f>
        <v>2023-08-13T20:24:19Z</v>
      </c>
      <c r="X1226" s="43"/>
      <c r="Y1226" s="43"/>
      <c r="Z1226" s="43"/>
    </row>
    <row r="1227" hidden="1">
      <c r="A1227" s="43" t="str">
        <f>IFERROR(__xludf.DUMMYFUNCTION("""COMPUTED_VALUE"""),"5301114_1279126")</f>
        <v>5301114_1279126</v>
      </c>
      <c r="B1227" s="43" t="str">
        <f>IFERROR(__xludf.DUMMYFUNCTION("""COMPUTED_VALUE"""),"Ayoub Manai")</f>
        <v>Ayoub Manai</v>
      </c>
      <c r="C1227" s="43" t="str">
        <f>IFERROR(__xludf.DUMMYFUNCTION("""COMPUTED_VALUE"""),"approved")</f>
        <v>approved</v>
      </c>
      <c r="D1227" s="43" t="str">
        <f>IFERROR(__xludf.DUMMYFUNCTION("""COMPUTED_VALUE"""),"No")</f>
        <v>No</v>
      </c>
      <c r="E1227" s="43" t="str">
        <f>IFERROR(__xludf.DUMMYFUNCTION("""COMPUTED_VALUE"""),"p_a6a42dc144a2294dcbb6e2f27e3b866bb66a15e6@inbound.aiesec.org")</f>
        <v>p_a6a42dc144a2294dcbb6e2f27e3b866bb66a15e6@inbound.aiesec.org</v>
      </c>
      <c r="F1227" s="43"/>
      <c r="G1227" s="43" t="str">
        <f>IFERROR(__xludf.DUMMYFUNCTION("""COMPUTED_VALUE"""),"Tunisia")</f>
        <v>Tunisia</v>
      </c>
      <c r="H1227" s="43" t="str">
        <f>IFERROR(__xludf.DUMMYFUNCTION("""COMPUTED_VALUE"""),"UNIVERSITY")</f>
        <v>UNIVERSITY</v>
      </c>
      <c r="I1227" s="43" t="str">
        <f>IFERROR(__xludf.DUMMYFUNCTION("""COMPUTED_VALUE"""),"Turkey")</f>
        <v>Turkey</v>
      </c>
      <c r="J1227" s="43" t="str">
        <f>IFERROR(__xludf.DUMMYFUNCTION("""COMPUTED_VALUE"""),"KOCAELI")</f>
        <v>KOCAELI</v>
      </c>
      <c r="K1227" s="44" t="str">
        <f>IFERROR(__xludf.DUMMYFUNCTION("""COMPUTED_VALUE"""),"https://expa.aiesec.org/opportunities/1279126")</f>
        <v>https://expa.aiesec.org/opportunities/1279126</v>
      </c>
      <c r="L1227" s="43" t="str">
        <f>IFERROR(__xludf.DUMMYFUNCTION("""COMPUTED_VALUE"""),"GV")</f>
        <v>GV</v>
      </c>
      <c r="M1227" s="43" t="str">
        <f>IFERROR(__xludf.DUMMYFUNCTION("""COMPUTED_VALUE"""),"short")</f>
        <v>short</v>
      </c>
      <c r="N1227" s="45">
        <f>IFERROR(__xludf.DUMMYFUNCTION("""COMPUTED_VALUE"""),45154.0)</f>
        <v>45154</v>
      </c>
      <c r="O1227" s="45">
        <f>IFERROR(__xludf.DUMMYFUNCTION("""COMPUTED_VALUE"""),45458.0)</f>
        <v>45458</v>
      </c>
      <c r="P1227" s="45">
        <f>IFERROR(__xludf.DUMMYFUNCTION("""COMPUTED_VALUE"""),45500.0)</f>
        <v>45500</v>
      </c>
      <c r="Q1227" s="45"/>
      <c r="R1227" s="45"/>
      <c r="S1227" s="43"/>
      <c r="T1227" s="43"/>
      <c r="U1227" s="43" t="str">
        <f>IFERROR(__xludf.DUMMYFUNCTION("""COMPUTED_VALUE"""),"Global Classroom")</f>
        <v>Global Classroom</v>
      </c>
      <c r="V1227" s="43" t="str">
        <f>IFERROR(__xludf.DUMMYFUNCTION("""COMPUTED_VALUE"""),"-")</f>
        <v>-</v>
      </c>
      <c r="W1227" s="43" t="str">
        <f>IFERROR(__xludf.DUMMYFUNCTION("""COMPUTED_VALUE"""),"2023-08-11T10:10:15Z")</f>
        <v>2023-08-11T10:10:15Z</v>
      </c>
      <c r="X1227" s="43"/>
      <c r="Y1227" s="43"/>
      <c r="Z1227" s="43"/>
    </row>
    <row r="1228" hidden="1">
      <c r="A1228" s="43" t="str">
        <f>IFERROR(__xludf.DUMMYFUNCTION("""COMPUTED_VALUE"""),"3393714_1296105")</f>
        <v>3393714_1296105</v>
      </c>
      <c r="B1228" s="43" t="str">
        <f>IFERROR(__xludf.DUMMYFUNCTION("""COMPUTED_VALUE"""),"Donia Hassan")</f>
        <v>Donia Hassan</v>
      </c>
      <c r="C1228" s="43" t="str">
        <f>IFERROR(__xludf.DUMMYFUNCTION("""COMPUTED_VALUE"""),"completed")</f>
        <v>completed</v>
      </c>
      <c r="D1228" s="43" t="str">
        <f>IFERROR(__xludf.DUMMYFUNCTION("""COMPUTED_VALUE"""),"No")</f>
        <v>No</v>
      </c>
      <c r="E1228" s="43" t="str">
        <f>IFERROR(__xludf.DUMMYFUNCTION("""COMPUTED_VALUE"""),"p_8cfdc082e5957e6223aef89221ee1274a05fdded@inbound.aiesec.org")</f>
        <v>p_8cfdc082e5957e6223aef89221ee1274a05fdded@inbound.aiesec.org</v>
      </c>
      <c r="F1228" s="43">
        <f>IFERROR(__xludf.DUMMYFUNCTION("""COMPUTED_VALUE"""),1.550562889E9)</f>
        <v>1550562889</v>
      </c>
      <c r="G1228" s="43" t="str">
        <f>IFERROR(__xludf.DUMMYFUNCTION("""COMPUTED_VALUE"""),"Egypt")</f>
        <v>Egypt</v>
      </c>
      <c r="H1228" s="43" t="str">
        <f>IFERROR(__xludf.DUMMYFUNCTION("""COMPUTED_VALUE"""),"Alexandria")</f>
        <v>Alexandria</v>
      </c>
      <c r="I1228" s="43" t="str">
        <f>IFERROR(__xludf.DUMMYFUNCTION("""COMPUTED_VALUE"""),"Turkey")</f>
        <v>Turkey</v>
      </c>
      <c r="J1228" s="43" t="str">
        <f>IFERROR(__xludf.DUMMYFUNCTION("""COMPUTED_VALUE"""),"ANKARA")</f>
        <v>ANKARA</v>
      </c>
      <c r="K1228" s="44" t="str">
        <f>IFERROR(__xludf.DUMMYFUNCTION("""COMPUTED_VALUE"""),"https://expa.aiesec.org/opportunities/1296105")</f>
        <v>https://expa.aiesec.org/opportunities/1296105</v>
      </c>
      <c r="L1228" s="43" t="str">
        <f>IFERROR(__xludf.DUMMYFUNCTION("""COMPUTED_VALUE"""),"GV")</f>
        <v>GV</v>
      </c>
      <c r="M1228" s="43" t="str">
        <f>IFERROR(__xludf.DUMMYFUNCTION("""COMPUTED_VALUE"""),"short")</f>
        <v>short</v>
      </c>
      <c r="N1228" s="45">
        <f>IFERROR(__xludf.DUMMYFUNCTION("""COMPUTED_VALUE"""),45154.0)</f>
        <v>45154</v>
      </c>
      <c r="O1228" s="45">
        <f>IFERROR(__xludf.DUMMYFUNCTION("""COMPUTED_VALUE"""),45264.0)</f>
        <v>45264</v>
      </c>
      <c r="P1228" s="45">
        <f>IFERROR(__xludf.DUMMYFUNCTION("""COMPUTED_VALUE"""),45306.0)</f>
        <v>45306</v>
      </c>
      <c r="Q1228" s="45">
        <f>IFERROR(__xludf.DUMMYFUNCTION("""COMPUTED_VALUE"""),45266.0)</f>
        <v>45266</v>
      </c>
      <c r="R1228" s="45">
        <f>IFERROR(__xludf.DUMMYFUNCTION("""COMPUTED_VALUE"""),45306.0)</f>
        <v>45306</v>
      </c>
      <c r="S1228" s="43"/>
      <c r="T1228" s="43"/>
      <c r="U1228" s="43" t="str">
        <f>IFERROR(__xludf.DUMMYFUNCTION("""COMPUTED_VALUE"""),"Fingerprint")</f>
        <v>Fingerprint</v>
      </c>
      <c r="V1228" s="43" t="str">
        <f>IFERROR(__xludf.DUMMYFUNCTION("""COMPUTED_VALUE"""),"Minya")</f>
        <v>Minya</v>
      </c>
      <c r="W1228" s="43" t="str">
        <f>IFERROR(__xludf.DUMMYFUNCTION("""COMPUTED_VALUE"""),"2019-05-03T13:47:08Z")</f>
        <v>2019-05-03T13:47:08Z</v>
      </c>
      <c r="X1228" s="43"/>
      <c r="Y1228" s="43"/>
      <c r="Z1228" s="43"/>
    </row>
    <row r="1229" hidden="1">
      <c r="A1229" s="43" t="str">
        <f>IFERROR(__xludf.DUMMYFUNCTION("""COMPUTED_VALUE"""),"5302347_1295830")</f>
        <v>5302347_1295830</v>
      </c>
      <c r="B1229" s="43" t="str">
        <f>IFERROR(__xludf.DUMMYFUNCTION("""COMPUTED_VALUE"""),"Kristine Voskaniani")</f>
        <v>Kristine Voskaniani</v>
      </c>
      <c r="C1229" s="43" t="str">
        <f>IFERROR(__xludf.DUMMYFUNCTION("""COMPUTED_VALUE"""),"completed")</f>
        <v>completed</v>
      </c>
      <c r="D1229" s="43" t="str">
        <f>IFERROR(__xludf.DUMMYFUNCTION("""COMPUTED_VALUE"""),"No")</f>
        <v>No</v>
      </c>
      <c r="E1229" s="43" t="str">
        <f>IFERROR(__xludf.DUMMYFUNCTION("""COMPUTED_VALUE"""),"p_436262140e504c7e18908e673dd27771a39a53dd@inbound.aiesec.org")</f>
        <v>p_436262140e504c7e18908e673dd27771a39a53dd@inbound.aiesec.org</v>
      </c>
      <c r="F1229" s="43">
        <f>IFERROR(__xludf.DUMMYFUNCTION("""COMPUTED_VALUE"""),5.74802454E8)</f>
        <v>574802454</v>
      </c>
      <c r="G1229" s="43" t="str">
        <f>IFERROR(__xludf.DUMMYFUNCTION("""COMPUTED_VALUE"""),"Georgia")</f>
        <v>Georgia</v>
      </c>
      <c r="H1229" s="43" t="str">
        <f>IFERROR(__xludf.DUMMYFUNCTION("""COMPUTED_VALUE"""),"TBILISI")</f>
        <v>TBILISI</v>
      </c>
      <c r="I1229" s="43" t="str">
        <f>IFERROR(__xludf.DUMMYFUNCTION("""COMPUTED_VALUE"""),"Turkey")</f>
        <v>Turkey</v>
      </c>
      <c r="J1229" s="43" t="str">
        <f>IFERROR(__xludf.DUMMYFUNCTION("""COMPUTED_VALUE"""),"ANKARA")</f>
        <v>ANKARA</v>
      </c>
      <c r="K1229" s="44" t="str">
        <f>IFERROR(__xludf.DUMMYFUNCTION("""COMPUTED_VALUE"""),"https://expa.aiesec.org/opportunities/1295830")</f>
        <v>https://expa.aiesec.org/opportunities/1295830</v>
      </c>
      <c r="L1229" s="43" t="str">
        <f>IFERROR(__xludf.DUMMYFUNCTION("""COMPUTED_VALUE"""),"GV")</f>
        <v>GV</v>
      </c>
      <c r="M1229" s="43" t="str">
        <f>IFERROR(__xludf.DUMMYFUNCTION("""COMPUTED_VALUE"""),"short")</f>
        <v>short</v>
      </c>
      <c r="N1229" s="45">
        <f>IFERROR(__xludf.DUMMYFUNCTION("""COMPUTED_VALUE"""),45154.0)</f>
        <v>45154</v>
      </c>
      <c r="O1229" s="45">
        <f>IFERROR(__xludf.DUMMYFUNCTION("""COMPUTED_VALUE"""),45159.0)</f>
        <v>45159</v>
      </c>
      <c r="P1229" s="45">
        <f>IFERROR(__xludf.DUMMYFUNCTION("""COMPUTED_VALUE"""),45201.0)</f>
        <v>45201</v>
      </c>
      <c r="Q1229" s="45">
        <f>IFERROR(__xludf.DUMMYFUNCTION("""COMPUTED_VALUE"""),45170.0)</f>
        <v>45170</v>
      </c>
      <c r="R1229" s="45">
        <f>IFERROR(__xludf.DUMMYFUNCTION("""COMPUTED_VALUE"""),45210.0)</f>
        <v>45210</v>
      </c>
      <c r="S1229" s="43"/>
      <c r="T1229" s="43"/>
      <c r="U1229" s="43" t="str">
        <f>IFERROR(__xludf.DUMMYFUNCTION("""COMPUTED_VALUE"""),"Global Classroom")</f>
        <v>Global Classroom</v>
      </c>
      <c r="V1229" s="43" t="str">
        <f>IFERROR(__xludf.DUMMYFUNCTION("""COMPUTED_VALUE"""),"Ivane Javakhishvili Tbilisi State University")</f>
        <v>Ivane Javakhishvili Tbilisi State University</v>
      </c>
      <c r="W1229" s="43" t="str">
        <f>IFERROR(__xludf.DUMMYFUNCTION("""COMPUTED_VALUE"""),"2023-08-14T13:14:03Z")</f>
        <v>2023-08-14T13:14:03Z</v>
      </c>
      <c r="X1229" s="43"/>
      <c r="Y1229" s="43"/>
      <c r="Z1229" s="43"/>
    </row>
    <row r="1230" hidden="1">
      <c r="A1230" s="43" t="str">
        <f>IFERROR(__xludf.DUMMYFUNCTION("""COMPUTED_VALUE"""),"5287132_1296101")</f>
        <v>5287132_1296101</v>
      </c>
      <c r="B1230" s="43" t="str">
        <f>IFERROR(__xludf.DUMMYFUNCTION("""COMPUTED_VALUE"""),"Areesha Qasim")</f>
        <v>Areesha Qasim</v>
      </c>
      <c r="C1230" s="43" t="str">
        <f>IFERROR(__xludf.DUMMYFUNCTION("""COMPUTED_VALUE"""),"approved")</f>
        <v>approved</v>
      </c>
      <c r="D1230" s="43" t="str">
        <f>IFERROR(__xludf.DUMMYFUNCTION("""COMPUTED_VALUE"""),"No")</f>
        <v>No</v>
      </c>
      <c r="E1230" s="43" t="str">
        <f>IFERROR(__xludf.DUMMYFUNCTION("""COMPUTED_VALUE"""),"p_79d8e3be2ed1220a052809dfa76a1ec8ef60ee88@inbound.aiesec.org")</f>
        <v>p_79d8e3be2ed1220a052809dfa76a1ec8ef60ee88@inbound.aiesec.org</v>
      </c>
      <c r="F1230" s="43"/>
      <c r="G1230" s="43" t="str">
        <f>IFERROR(__xludf.DUMMYFUNCTION("""COMPUTED_VALUE"""),"Pakistan")</f>
        <v>Pakistan</v>
      </c>
      <c r="H1230" s="43" t="str">
        <f>IFERROR(__xludf.DUMMYFUNCTION("""COMPUTED_VALUE"""),"Karachi")</f>
        <v>Karachi</v>
      </c>
      <c r="I1230" s="43" t="str">
        <f>IFERROR(__xludf.DUMMYFUNCTION("""COMPUTED_VALUE"""),"Turkey")</f>
        <v>Turkey</v>
      </c>
      <c r="J1230" s="43" t="str">
        <f>IFERROR(__xludf.DUMMYFUNCTION("""COMPUTED_VALUE"""),"ANKARA")</f>
        <v>ANKARA</v>
      </c>
      <c r="K1230" s="44" t="str">
        <f>IFERROR(__xludf.DUMMYFUNCTION("""COMPUTED_VALUE"""),"https://expa.aiesec.org/opportunities/1296101")</f>
        <v>https://expa.aiesec.org/opportunities/1296101</v>
      </c>
      <c r="L1230" s="43" t="str">
        <f>IFERROR(__xludf.DUMMYFUNCTION("""COMPUTED_VALUE"""),"GV")</f>
        <v>GV</v>
      </c>
      <c r="M1230" s="43" t="str">
        <f>IFERROR(__xludf.DUMMYFUNCTION("""COMPUTED_VALUE"""),"short")</f>
        <v>short</v>
      </c>
      <c r="N1230" s="45">
        <f>IFERROR(__xludf.DUMMYFUNCTION("""COMPUTED_VALUE"""),45155.0)</f>
        <v>45155</v>
      </c>
      <c r="O1230" s="45">
        <f>IFERROR(__xludf.DUMMYFUNCTION("""COMPUTED_VALUE"""),45334.0)</f>
        <v>45334</v>
      </c>
      <c r="P1230" s="45">
        <f>IFERROR(__xludf.DUMMYFUNCTION("""COMPUTED_VALUE"""),45376.0)</f>
        <v>45376</v>
      </c>
      <c r="Q1230" s="45"/>
      <c r="R1230" s="45"/>
      <c r="S1230" s="43"/>
      <c r="T1230" s="43"/>
      <c r="U1230" s="43" t="str">
        <f>IFERROR(__xludf.DUMMYFUNCTION("""COMPUTED_VALUE"""),"Fingerprint")</f>
        <v>Fingerprint</v>
      </c>
      <c r="V1230" s="43" t="str">
        <f>IFERROR(__xludf.DUMMYFUNCTION("""COMPUTED_VALUE"""),"-")</f>
        <v>-</v>
      </c>
      <c r="W1230" s="43" t="str">
        <f>IFERROR(__xludf.DUMMYFUNCTION("""COMPUTED_VALUE"""),"2023-07-19T12:27:30Z")</f>
        <v>2023-07-19T12:27:30Z</v>
      </c>
      <c r="X1230" s="43"/>
      <c r="Y1230" s="43"/>
      <c r="Z1230" s="43"/>
    </row>
    <row r="1231" hidden="1">
      <c r="A1231" s="43" t="str">
        <f>IFERROR(__xludf.DUMMYFUNCTION("""COMPUTED_VALUE"""),"4609715_1296671")</f>
        <v>4609715_1296671</v>
      </c>
      <c r="B1231" s="43" t="str">
        <f>IFERROR(__xludf.DUMMYFUNCTION("""COMPUTED_VALUE"""),"Tayseer Gamaleldin")</f>
        <v>Tayseer Gamaleldin</v>
      </c>
      <c r="C1231" s="43" t="str">
        <f>IFERROR(__xludf.DUMMYFUNCTION("""COMPUTED_VALUE"""),"completed")</f>
        <v>completed</v>
      </c>
      <c r="D1231" s="43" t="str">
        <f>IFERROR(__xludf.DUMMYFUNCTION("""COMPUTED_VALUE"""),"No")</f>
        <v>No</v>
      </c>
      <c r="E1231" s="43" t="str">
        <f>IFERROR(__xludf.DUMMYFUNCTION("""COMPUTED_VALUE"""),"p_ac16474f3fa66e8c5b9c36d4d1375596d1d193b2@inbound.aiesec.org")</f>
        <v>p_ac16474f3fa66e8c5b9c36d4d1375596d1d193b2@inbound.aiesec.org</v>
      </c>
      <c r="F1231" s="43">
        <f>IFERROR(__xludf.DUMMYFUNCTION("""COMPUTED_VALUE"""),1.006701205E9)</f>
        <v>1006701205</v>
      </c>
      <c r="G1231" s="43" t="str">
        <f>IFERROR(__xludf.DUMMYFUNCTION("""COMPUTED_VALUE"""),"Egypt")</f>
        <v>Egypt</v>
      </c>
      <c r="H1231" s="43" t="str">
        <f>IFERROR(__xludf.DUMMYFUNCTION("""COMPUTED_VALUE"""),"Zagazig")</f>
        <v>Zagazig</v>
      </c>
      <c r="I1231" s="43" t="str">
        <f>IFERROR(__xludf.DUMMYFUNCTION("""COMPUTED_VALUE"""),"Turkey")</f>
        <v>Turkey</v>
      </c>
      <c r="J1231" s="43" t="str">
        <f>IFERROR(__xludf.DUMMYFUNCTION("""COMPUTED_VALUE"""),"BURSA")</f>
        <v>BURSA</v>
      </c>
      <c r="K1231" s="44" t="str">
        <f>IFERROR(__xludf.DUMMYFUNCTION("""COMPUTED_VALUE"""),"https://expa.aiesec.org/opportunities/1296671")</f>
        <v>https://expa.aiesec.org/opportunities/1296671</v>
      </c>
      <c r="L1231" s="43" t="str">
        <f>IFERROR(__xludf.DUMMYFUNCTION("""COMPUTED_VALUE"""),"GV")</f>
        <v>GV</v>
      </c>
      <c r="M1231" s="43" t="str">
        <f>IFERROR(__xludf.DUMMYFUNCTION("""COMPUTED_VALUE"""),"short")</f>
        <v>short</v>
      </c>
      <c r="N1231" s="45">
        <f>IFERROR(__xludf.DUMMYFUNCTION("""COMPUTED_VALUE"""),45155.0)</f>
        <v>45155</v>
      </c>
      <c r="O1231" s="45">
        <f>IFERROR(__xludf.DUMMYFUNCTION("""COMPUTED_VALUE"""),45194.0)</f>
        <v>45194</v>
      </c>
      <c r="P1231" s="45">
        <f>IFERROR(__xludf.DUMMYFUNCTION("""COMPUTED_VALUE"""),45236.0)</f>
        <v>45236</v>
      </c>
      <c r="Q1231" s="45">
        <f>IFERROR(__xludf.DUMMYFUNCTION("""COMPUTED_VALUE"""),45195.0)</f>
        <v>45195</v>
      </c>
      <c r="R1231" s="45">
        <f>IFERROR(__xludf.DUMMYFUNCTION("""COMPUTED_VALUE"""),45236.0)</f>
        <v>45236</v>
      </c>
      <c r="S1231" s="43"/>
      <c r="T1231" s="43"/>
      <c r="U1231" s="43" t="str">
        <f>IFERROR(__xludf.DUMMYFUNCTION("""COMPUTED_VALUE"""),"Youth 4 Impact")</f>
        <v>Youth 4 Impact</v>
      </c>
      <c r="V1231" s="43" t="str">
        <f>IFERROR(__xludf.DUMMYFUNCTION("""COMPUTED_VALUE"""),"Azhar University")</f>
        <v>Azhar University</v>
      </c>
      <c r="W1231" s="43" t="str">
        <f>IFERROR(__xludf.DUMMYFUNCTION("""COMPUTED_VALUE"""),"2021-04-08T02:20:19Z")</f>
        <v>2021-04-08T02:20:19Z</v>
      </c>
      <c r="X1231" s="43"/>
      <c r="Y1231" s="43"/>
      <c r="Z1231" s="43"/>
    </row>
    <row r="1232" hidden="1">
      <c r="A1232" s="43" t="str">
        <f>IFERROR(__xludf.DUMMYFUNCTION("""COMPUTED_VALUE"""),"5288403_1296325")</f>
        <v>5288403_1296325</v>
      </c>
      <c r="B1232" s="43" t="str">
        <f>IFERROR(__xludf.DUMMYFUNCTION("""COMPUTED_VALUE"""),"Malak Ashmawy")</f>
        <v>Malak Ashmawy</v>
      </c>
      <c r="C1232" s="43" t="str">
        <f>IFERROR(__xludf.DUMMYFUNCTION("""COMPUTED_VALUE"""),"approved")</f>
        <v>approved</v>
      </c>
      <c r="D1232" s="43" t="str">
        <f>IFERROR(__xludf.DUMMYFUNCTION("""COMPUTED_VALUE"""),"No")</f>
        <v>No</v>
      </c>
      <c r="E1232" s="43" t="str">
        <f>IFERROR(__xludf.DUMMYFUNCTION("""COMPUTED_VALUE"""),"p_13004d0ae8b3be53f1cd9bf60c39fa808778cabf@inbound.aiesec.org")</f>
        <v>p_13004d0ae8b3be53f1cd9bf60c39fa808778cabf@inbound.aiesec.org</v>
      </c>
      <c r="F1232" s="43">
        <f>IFERROR(__xludf.DUMMYFUNCTION("""COMPUTED_VALUE"""),1.00843501E9)</f>
        <v>1008435010</v>
      </c>
      <c r="G1232" s="43" t="str">
        <f>IFERROR(__xludf.DUMMYFUNCTION("""COMPUTED_VALUE"""),"Egypt")</f>
        <v>Egypt</v>
      </c>
      <c r="H1232" s="43" t="str">
        <f>IFERROR(__xludf.DUMMYFUNCTION("""COMPUTED_VALUE"""),"Ain Shams University")</f>
        <v>Ain Shams University</v>
      </c>
      <c r="I1232" s="43" t="str">
        <f>IFERROR(__xludf.DUMMYFUNCTION("""COMPUTED_VALUE"""),"Turkey")</f>
        <v>Turkey</v>
      </c>
      <c r="J1232" s="43" t="str">
        <f>IFERROR(__xludf.DUMMYFUNCTION("""COMPUTED_VALUE"""),"İZMİR")</f>
        <v>İZMİR</v>
      </c>
      <c r="K1232" s="44" t="str">
        <f>IFERROR(__xludf.DUMMYFUNCTION("""COMPUTED_VALUE"""),"https://expa.aiesec.org/opportunities/1296325")</f>
        <v>https://expa.aiesec.org/opportunities/1296325</v>
      </c>
      <c r="L1232" s="43" t="str">
        <f>IFERROR(__xludf.DUMMYFUNCTION("""COMPUTED_VALUE"""),"GV")</f>
        <v>GV</v>
      </c>
      <c r="M1232" s="43" t="str">
        <f>IFERROR(__xludf.DUMMYFUNCTION("""COMPUTED_VALUE"""),"short")</f>
        <v>short</v>
      </c>
      <c r="N1232" s="45">
        <f>IFERROR(__xludf.DUMMYFUNCTION("""COMPUTED_VALUE"""),45155.0)</f>
        <v>45155</v>
      </c>
      <c r="O1232" s="45">
        <f>IFERROR(__xludf.DUMMYFUNCTION("""COMPUTED_VALUE"""),45165.0)</f>
        <v>45165</v>
      </c>
      <c r="P1232" s="45">
        <f>IFERROR(__xludf.DUMMYFUNCTION("""COMPUTED_VALUE"""),45207.0)</f>
        <v>45207</v>
      </c>
      <c r="Q1232" s="45"/>
      <c r="R1232" s="45"/>
      <c r="S1232" s="43"/>
      <c r="T1232" s="43"/>
      <c r="U1232" s="43" t="str">
        <f>IFERROR(__xludf.DUMMYFUNCTION("""COMPUTED_VALUE"""),"Fingerprint")</f>
        <v>Fingerprint</v>
      </c>
      <c r="V1232" s="43" t="str">
        <f>IFERROR(__xludf.DUMMYFUNCTION("""COMPUTED_VALUE"""),"Ain Shams University")</f>
        <v>Ain Shams University</v>
      </c>
      <c r="W1232" s="43" t="str">
        <f>IFERROR(__xludf.DUMMYFUNCTION("""COMPUTED_VALUE"""),"2023-07-23T11:05:03Z")</f>
        <v>2023-07-23T11:05:03Z</v>
      </c>
      <c r="X1232" s="43"/>
      <c r="Y1232" s="43"/>
      <c r="Z1232" s="43"/>
    </row>
    <row r="1233" hidden="1">
      <c r="A1233" s="43" t="str">
        <f>IFERROR(__xludf.DUMMYFUNCTION("""COMPUTED_VALUE"""),"3593200_1297982")</f>
        <v>3593200_1297982</v>
      </c>
      <c r="B1233" s="43" t="str">
        <f>IFERROR(__xludf.DUMMYFUNCTION("""COMPUTED_VALUE"""),"Joud El Ma'ani")</f>
        <v>Joud El Ma'ani</v>
      </c>
      <c r="C1233" s="43" t="str">
        <f>IFERROR(__xludf.DUMMYFUNCTION("""COMPUTED_VALUE"""),"approved")</f>
        <v>approved</v>
      </c>
      <c r="D1233" s="43" t="str">
        <f>IFERROR(__xludf.DUMMYFUNCTION("""COMPUTED_VALUE"""),"No")</f>
        <v>No</v>
      </c>
      <c r="E1233" s="43" t="str">
        <f>IFERROR(__xludf.DUMMYFUNCTION("""COMPUTED_VALUE"""),"p_1de1de7edc2ce9389a4fd21c80609af744520181@inbound.aiesec.org")</f>
        <v>p_1de1de7edc2ce9389a4fd21c80609af744520181@inbound.aiesec.org</v>
      </c>
      <c r="F1233" s="43">
        <f>IFERROR(__xludf.DUMMYFUNCTION("""COMPUTED_VALUE"""),7.97157825E8)</f>
        <v>797157825</v>
      </c>
      <c r="G1233" s="43" t="str">
        <f>IFERROR(__xludf.DUMMYFUNCTION("""COMPUTED_VALUE"""),"Jordan")</f>
        <v>Jordan</v>
      </c>
      <c r="H1233" s="43" t="str">
        <f>IFERROR(__xludf.DUMMYFUNCTION("""COMPUTED_VALUE"""),"AMMAN")</f>
        <v>AMMAN</v>
      </c>
      <c r="I1233" s="43" t="str">
        <f>IFERROR(__xludf.DUMMYFUNCTION("""COMPUTED_VALUE"""),"Turkey")</f>
        <v>Turkey</v>
      </c>
      <c r="J1233" s="43" t="str">
        <f>IFERROR(__xludf.DUMMYFUNCTION("""COMPUTED_VALUE"""),"İZMİR")</f>
        <v>İZMİR</v>
      </c>
      <c r="K1233" s="44" t="str">
        <f>IFERROR(__xludf.DUMMYFUNCTION("""COMPUTED_VALUE"""),"https://expa.aiesec.org/opportunities/1297982")</f>
        <v>https://expa.aiesec.org/opportunities/1297982</v>
      </c>
      <c r="L1233" s="43" t="str">
        <f>IFERROR(__xludf.DUMMYFUNCTION("""COMPUTED_VALUE"""),"GV")</f>
        <v>GV</v>
      </c>
      <c r="M1233" s="43" t="str">
        <f>IFERROR(__xludf.DUMMYFUNCTION("""COMPUTED_VALUE"""),"short")</f>
        <v>short</v>
      </c>
      <c r="N1233" s="45">
        <f>IFERROR(__xludf.DUMMYFUNCTION("""COMPUTED_VALUE"""),45156.0)</f>
        <v>45156</v>
      </c>
      <c r="O1233" s="45">
        <f>IFERROR(__xludf.DUMMYFUNCTION("""COMPUTED_VALUE"""),45159.0)</f>
        <v>45159</v>
      </c>
      <c r="P1233" s="45">
        <f>IFERROR(__xludf.DUMMYFUNCTION("""COMPUTED_VALUE"""),45201.0)</f>
        <v>45201</v>
      </c>
      <c r="Q1233" s="45"/>
      <c r="R1233" s="45"/>
      <c r="S1233" s="43"/>
      <c r="T1233" s="43"/>
      <c r="U1233" s="43" t="str">
        <f>IFERROR(__xludf.DUMMYFUNCTION("""COMPUTED_VALUE"""),"Fingerprint")</f>
        <v>Fingerprint</v>
      </c>
      <c r="V1233" s="43" t="str">
        <f>IFERROR(__xludf.DUMMYFUNCTION("""COMPUTED_VALUE"""),"PSUT")</f>
        <v>PSUT</v>
      </c>
      <c r="W1233" s="43" t="str">
        <f>IFERROR(__xludf.DUMMYFUNCTION("""COMPUTED_VALUE"""),"2019-07-01T20:33:15Z")</f>
        <v>2019-07-01T20:33:15Z</v>
      </c>
      <c r="X1233" s="43"/>
      <c r="Y1233" s="43"/>
      <c r="Z1233" s="43"/>
    </row>
    <row r="1234" hidden="1">
      <c r="A1234" s="43" t="str">
        <f>IFERROR(__xludf.DUMMYFUNCTION("""COMPUTED_VALUE"""),"5303473_1297781")</f>
        <v>5303473_1297781</v>
      </c>
      <c r="B1234" s="43" t="str">
        <f>IFERROR(__xludf.DUMMYFUNCTION("""COMPUTED_VALUE"""),"Marina Chihichina")</f>
        <v>Marina Chihichina</v>
      </c>
      <c r="C1234" s="43" t="str">
        <f>IFERROR(__xludf.DUMMYFUNCTION("""COMPUTED_VALUE"""),"completed")</f>
        <v>completed</v>
      </c>
      <c r="D1234" s="43" t="str">
        <f>IFERROR(__xludf.DUMMYFUNCTION("""COMPUTED_VALUE"""),"No")</f>
        <v>No</v>
      </c>
      <c r="E1234" s="43" t="str">
        <f>IFERROR(__xludf.DUMMYFUNCTION("""COMPUTED_VALUE"""),"p_ae1c70d95e7ab03f998c4e3849636a37d3867e2e@inbound.aiesec.org")</f>
        <v>p_ae1c70d95e7ab03f998c4e3849636a37d3867e2e@inbound.aiesec.org</v>
      </c>
      <c r="F1234" s="43"/>
      <c r="G1234" s="43" t="str">
        <f>IFERROR(__xludf.DUMMYFUNCTION("""COMPUTED_VALUE"""),"Ukraine")</f>
        <v>Ukraine</v>
      </c>
      <c r="H1234" s="43" t="str">
        <f>IFERROR(__xludf.DUMMYFUNCTION("""COMPUTED_VALUE"""),"KYIV")</f>
        <v>KYIV</v>
      </c>
      <c r="I1234" s="43" t="str">
        <f>IFERROR(__xludf.DUMMYFUNCTION("""COMPUTED_VALUE"""),"Turkey")</f>
        <v>Turkey</v>
      </c>
      <c r="J1234" s="43" t="str">
        <f>IFERROR(__xludf.DUMMYFUNCTION("""COMPUTED_VALUE"""),"ADANA")</f>
        <v>ADANA</v>
      </c>
      <c r="K1234" s="44" t="str">
        <f>IFERROR(__xludf.DUMMYFUNCTION("""COMPUTED_VALUE"""),"https://expa.aiesec.org/opportunities/1297781")</f>
        <v>https://expa.aiesec.org/opportunities/1297781</v>
      </c>
      <c r="L1234" s="43" t="str">
        <f>IFERROR(__xludf.DUMMYFUNCTION("""COMPUTED_VALUE"""),"GV")</f>
        <v>GV</v>
      </c>
      <c r="M1234" s="43" t="str">
        <f>IFERROR(__xludf.DUMMYFUNCTION("""COMPUTED_VALUE"""),"short")</f>
        <v>short</v>
      </c>
      <c r="N1234" s="45">
        <f>IFERROR(__xludf.DUMMYFUNCTION("""COMPUTED_VALUE"""),45156.0)</f>
        <v>45156</v>
      </c>
      <c r="O1234" s="45">
        <f>IFERROR(__xludf.DUMMYFUNCTION("""COMPUTED_VALUE"""),45180.0)</f>
        <v>45180</v>
      </c>
      <c r="P1234" s="45">
        <f>IFERROR(__xludf.DUMMYFUNCTION("""COMPUTED_VALUE"""),45222.0)</f>
        <v>45222</v>
      </c>
      <c r="Q1234" s="45">
        <f>IFERROR(__xludf.DUMMYFUNCTION("""COMPUTED_VALUE"""),45180.0)</f>
        <v>45180</v>
      </c>
      <c r="R1234" s="45">
        <f>IFERROR(__xludf.DUMMYFUNCTION("""COMPUTED_VALUE"""),45222.0)</f>
        <v>45222</v>
      </c>
      <c r="S1234" s="43"/>
      <c r="T1234" s="43"/>
      <c r="U1234" s="43" t="str">
        <f>IFERROR(__xludf.DUMMYFUNCTION("""COMPUTED_VALUE"""),"Raise Your Voice")</f>
        <v>Raise Your Voice</v>
      </c>
      <c r="V1234" s="43" t="str">
        <f>IFERROR(__xludf.DUMMYFUNCTION("""COMPUTED_VALUE"""),"-")</f>
        <v>-</v>
      </c>
      <c r="W1234" s="43" t="str">
        <f>IFERROR(__xludf.DUMMYFUNCTION("""COMPUTED_VALUE"""),"2023-08-16T08:08:39Z")</f>
        <v>2023-08-16T08:08:39Z</v>
      </c>
      <c r="X1234" s="43"/>
      <c r="Y1234" s="43"/>
      <c r="Z1234" s="43"/>
    </row>
    <row r="1235" hidden="1">
      <c r="A1235" s="43" t="str">
        <f>IFERROR(__xludf.DUMMYFUNCTION("""COMPUTED_VALUE"""),"5212839_1294878")</f>
        <v>5212839_1294878</v>
      </c>
      <c r="B1235" s="43" t="str">
        <f>IFERROR(__xludf.DUMMYFUNCTION("""COMPUTED_VALUE"""),"Menna Tallah Alaa")</f>
        <v>Menna Tallah Alaa</v>
      </c>
      <c r="C1235" s="43" t="str">
        <f>IFERROR(__xludf.DUMMYFUNCTION("""COMPUTED_VALUE"""),"approved")</f>
        <v>approved</v>
      </c>
      <c r="D1235" s="43" t="str">
        <f>IFERROR(__xludf.DUMMYFUNCTION("""COMPUTED_VALUE"""),"No")</f>
        <v>No</v>
      </c>
      <c r="E1235" s="43" t="str">
        <f>IFERROR(__xludf.DUMMYFUNCTION("""COMPUTED_VALUE"""),"p_63b15bcc69e9ce8de1ef8bf61cbe99e3734058e2@inbound.aiesec.org")</f>
        <v>p_63b15bcc69e9ce8de1ef8bf61cbe99e3734058e2@inbound.aiesec.org</v>
      </c>
      <c r="F1235" s="43">
        <f>IFERROR(__xludf.DUMMYFUNCTION("""COMPUTED_VALUE"""),1.029002655E9)</f>
        <v>1029002655</v>
      </c>
      <c r="G1235" s="43" t="str">
        <f>IFERROR(__xludf.DUMMYFUNCTION("""COMPUTED_VALUE"""),"Egypt")</f>
        <v>Egypt</v>
      </c>
      <c r="H1235" s="43" t="str">
        <f>IFERROR(__xludf.DUMMYFUNCTION("""COMPUTED_VALUE"""),"MSA")</f>
        <v>MSA</v>
      </c>
      <c r="I1235" s="43" t="str">
        <f>IFERROR(__xludf.DUMMYFUNCTION("""COMPUTED_VALUE"""),"Turkey")</f>
        <v>Turkey</v>
      </c>
      <c r="J1235" s="43" t="str">
        <f>IFERROR(__xludf.DUMMYFUNCTION("""COMPUTED_VALUE"""),"BURSA")</f>
        <v>BURSA</v>
      </c>
      <c r="K1235" s="44" t="str">
        <f>IFERROR(__xludf.DUMMYFUNCTION("""COMPUTED_VALUE"""),"https://expa.aiesec.org/opportunities/1294878")</f>
        <v>https://expa.aiesec.org/opportunities/1294878</v>
      </c>
      <c r="L1235" s="43" t="str">
        <f>IFERROR(__xludf.DUMMYFUNCTION("""COMPUTED_VALUE"""),"GV")</f>
        <v>GV</v>
      </c>
      <c r="M1235" s="43" t="str">
        <f>IFERROR(__xludf.DUMMYFUNCTION("""COMPUTED_VALUE"""),"short")</f>
        <v>short</v>
      </c>
      <c r="N1235" s="45">
        <f>IFERROR(__xludf.DUMMYFUNCTION("""COMPUTED_VALUE"""),45157.0)</f>
        <v>45157</v>
      </c>
      <c r="O1235" s="45">
        <f>IFERROR(__xludf.DUMMYFUNCTION("""COMPUTED_VALUE"""),45414.0)</f>
        <v>45414</v>
      </c>
      <c r="P1235" s="45">
        <f>IFERROR(__xludf.DUMMYFUNCTION("""COMPUTED_VALUE"""),45456.0)</f>
        <v>45456</v>
      </c>
      <c r="Q1235" s="45"/>
      <c r="R1235" s="45"/>
      <c r="S1235" s="43"/>
      <c r="T1235" s="43"/>
      <c r="U1235" s="43" t="str">
        <f>IFERROR(__xludf.DUMMYFUNCTION("""COMPUTED_VALUE"""),"Youth 4 Impact")</f>
        <v>Youth 4 Impact</v>
      </c>
      <c r="V1235" s="43" t="str">
        <f>IFERROR(__xludf.DUMMYFUNCTION("""COMPUTED_VALUE"""),"MSA Univeristy")</f>
        <v>MSA Univeristy</v>
      </c>
      <c r="W1235" s="43" t="str">
        <f>IFERROR(__xludf.DUMMYFUNCTION("""COMPUTED_VALUE"""),"2023-03-11T10:55:05Z")</f>
        <v>2023-03-11T10:55:05Z</v>
      </c>
      <c r="X1235" s="43"/>
      <c r="Y1235" s="43"/>
      <c r="Z1235" s="43"/>
    </row>
    <row r="1236" hidden="1">
      <c r="A1236" s="43" t="str">
        <f>IFERROR(__xludf.DUMMYFUNCTION("""COMPUTED_VALUE"""),"4759738_1296671")</f>
        <v>4759738_1296671</v>
      </c>
      <c r="B1236" s="43" t="str">
        <f>IFERROR(__xludf.DUMMYFUNCTION("""COMPUTED_VALUE"""),"Malak Ghandour")</f>
        <v>Malak Ghandour</v>
      </c>
      <c r="C1236" s="43" t="str">
        <f>IFERROR(__xludf.DUMMYFUNCTION("""COMPUTED_VALUE"""),"finished")</f>
        <v>finished</v>
      </c>
      <c r="D1236" s="43" t="str">
        <f>IFERROR(__xludf.DUMMYFUNCTION("""COMPUTED_VALUE"""),"No")</f>
        <v>No</v>
      </c>
      <c r="E1236" s="43" t="str">
        <f>IFERROR(__xludf.DUMMYFUNCTION("""COMPUTED_VALUE"""),"p_4975fa10e3f2d3778d9dbfb7ac15a8046cd52f6e@inbound.aiesec.org")</f>
        <v>p_4975fa10e3f2d3778d9dbfb7ac15a8046cd52f6e@inbound.aiesec.org</v>
      </c>
      <c r="F1236" s="43">
        <f>IFERROR(__xludf.DUMMYFUNCTION("""COMPUTED_VALUE"""),9.7663646E7)</f>
        <v>97663646</v>
      </c>
      <c r="G1236" s="43" t="str">
        <f>IFERROR(__xludf.DUMMYFUNCTION("""COMPUTED_VALUE"""),"Tunisia")</f>
        <v>Tunisia</v>
      </c>
      <c r="H1236" s="43" t="str">
        <f>IFERROR(__xludf.DUMMYFUNCTION("""COMPUTED_VALUE"""),"BARDO")</f>
        <v>BARDO</v>
      </c>
      <c r="I1236" s="43" t="str">
        <f>IFERROR(__xludf.DUMMYFUNCTION("""COMPUTED_VALUE"""),"Turkey")</f>
        <v>Turkey</v>
      </c>
      <c r="J1236" s="43" t="str">
        <f>IFERROR(__xludf.DUMMYFUNCTION("""COMPUTED_VALUE"""),"BURSA")</f>
        <v>BURSA</v>
      </c>
      <c r="K1236" s="44" t="str">
        <f>IFERROR(__xludf.DUMMYFUNCTION("""COMPUTED_VALUE"""),"https://expa.aiesec.org/opportunities/1296671")</f>
        <v>https://expa.aiesec.org/opportunities/1296671</v>
      </c>
      <c r="L1236" s="43" t="str">
        <f>IFERROR(__xludf.DUMMYFUNCTION("""COMPUTED_VALUE"""),"GV")</f>
        <v>GV</v>
      </c>
      <c r="M1236" s="43" t="str">
        <f>IFERROR(__xludf.DUMMYFUNCTION("""COMPUTED_VALUE"""),"short")</f>
        <v>short</v>
      </c>
      <c r="N1236" s="45">
        <f>IFERROR(__xludf.DUMMYFUNCTION("""COMPUTED_VALUE"""),45157.0)</f>
        <v>45157</v>
      </c>
      <c r="O1236" s="45">
        <f>IFERROR(__xludf.DUMMYFUNCTION("""COMPUTED_VALUE"""),45236.0)</f>
        <v>45236</v>
      </c>
      <c r="P1236" s="45">
        <f>IFERROR(__xludf.DUMMYFUNCTION("""COMPUTED_VALUE"""),45278.0)</f>
        <v>45278</v>
      </c>
      <c r="Q1236" s="45">
        <f>IFERROR(__xludf.DUMMYFUNCTION("""COMPUTED_VALUE"""),45236.0)</f>
        <v>45236</v>
      </c>
      <c r="R1236" s="45">
        <f>IFERROR(__xludf.DUMMYFUNCTION("""COMPUTED_VALUE"""),45278.0)</f>
        <v>45278</v>
      </c>
      <c r="S1236" s="43"/>
      <c r="T1236" s="43"/>
      <c r="U1236" s="43" t="str">
        <f>IFERROR(__xludf.DUMMYFUNCTION("""COMPUTED_VALUE"""),"Youth 4 Impact")</f>
        <v>Youth 4 Impact</v>
      </c>
      <c r="V1236" s="43" t="str">
        <f>IFERROR(__xludf.DUMMYFUNCTION("""COMPUTED_VALUE"""),"TBS")</f>
        <v>TBS</v>
      </c>
      <c r="W1236" s="43" t="str">
        <f>IFERROR(__xludf.DUMMYFUNCTION("""COMPUTED_VALUE"""),"2021-10-06T23:00:10Z")</f>
        <v>2021-10-06T23:00:10Z</v>
      </c>
      <c r="X1236" s="43"/>
      <c r="Y1236" s="43"/>
      <c r="Z1236" s="43"/>
    </row>
    <row r="1237" hidden="1">
      <c r="A1237" s="43" t="str">
        <f>IFERROR(__xludf.DUMMYFUNCTION("""COMPUTED_VALUE"""),"5296674_1296671")</f>
        <v>5296674_1296671</v>
      </c>
      <c r="B1237" s="43" t="str">
        <f>IFERROR(__xludf.DUMMYFUNCTION("""COMPUTED_VALUE"""),"Maria Kalykaki")</f>
        <v>Maria Kalykaki</v>
      </c>
      <c r="C1237" s="43" t="str">
        <f>IFERROR(__xludf.DUMMYFUNCTION("""COMPUTED_VALUE"""),"completed")</f>
        <v>completed</v>
      </c>
      <c r="D1237" s="43" t="str">
        <f>IFERROR(__xludf.DUMMYFUNCTION("""COMPUTED_VALUE"""),"No")</f>
        <v>No</v>
      </c>
      <c r="E1237" s="43" t="str">
        <f>IFERROR(__xludf.DUMMYFUNCTION("""COMPUTED_VALUE"""),"p_6cb2ddd34404edbab1652c93afac1fc85b1273f7@inbound.aiesec.org")</f>
        <v>p_6cb2ddd34404edbab1652c93afac1fc85b1273f7@inbound.aiesec.org</v>
      </c>
      <c r="F1237" s="43">
        <f>IFERROR(__xludf.DUMMYFUNCTION("""COMPUTED_VALUE"""),6.985701563E9)</f>
        <v>6985701563</v>
      </c>
      <c r="G1237" s="43" t="str">
        <f>IFERROR(__xludf.DUMMYFUNCTION("""COMPUTED_VALUE"""),"Greece")</f>
        <v>Greece</v>
      </c>
      <c r="H1237" s="43" t="str">
        <f>IFERROR(__xludf.DUMMYFUNCTION("""COMPUTED_VALUE"""),"ATHENS")</f>
        <v>ATHENS</v>
      </c>
      <c r="I1237" s="43" t="str">
        <f>IFERROR(__xludf.DUMMYFUNCTION("""COMPUTED_VALUE"""),"Turkey")</f>
        <v>Turkey</v>
      </c>
      <c r="J1237" s="43" t="str">
        <f>IFERROR(__xludf.DUMMYFUNCTION("""COMPUTED_VALUE"""),"BURSA")</f>
        <v>BURSA</v>
      </c>
      <c r="K1237" s="44" t="str">
        <f>IFERROR(__xludf.DUMMYFUNCTION("""COMPUTED_VALUE"""),"https://expa.aiesec.org/opportunities/1296671")</f>
        <v>https://expa.aiesec.org/opportunities/1296671</v>
      </c>
      <c r="L1237" s="43" t="str">
        <f>IFERROR(__xludf.DUMMYFUNCTION("""COMPUTED_VALUE"""),"GV")</f>
        <v>GV</v>
      </c>
      <c r="M1237" s="43" t="str">
        <f>IFERROR(__xludf.DUMMYFUNCTION("""COMPUTED_VALUE"""),"short")</f>
        <v>short</v>
      </c>
      <c r="N1237" s="45">
        <f>IFERROR(__xludf.DUMMYFUNCTION("""COMPUTED_VALUE"""),45160.0)</f>
        <v>45160</v>
      </c>
      <c r="O1237" s="45">
        <f>IFERROR(__xludf.DUMMYFUNCTION("""COMPUTED_VALUE"""),45194.0)</f>
        <v>45194</v>
      </c>
      <c r="P1237" s="45">
        <f>IFERROR(__xludf.DUMMYFUNCTION("""COMPUTED_VALUE"""),45236.0)</f>
        <v>45236</v>
      </c>
      <c r="Q1237" s="45">
        <f>IFERROR(__xludf.DUMMYFUNCTION("""COMPUTED_VALUE"""),45193.0)</f>
        <v>45193</v>
      </c>
      <c r="R1237" s="45">
        <f>IFERROR(__xludf.DUMMYFUNCTION("""COMPUTED_VALUE"""),45236.0)</f>
        <v>45236</v>
      </c>
      <c r="S1237" s="43"/>
      <c r="T1237" s="43"/>
      <c r="U1237" s="43" t="str">
        <f>IFERROR(__xludf.DUMMYFUNCTION("""COMPUTED_VALUE"""),"Youth 4 Impact")</f>
        <v>Youth 4 Impact</v>
      </c>
      <c r="V1237" s="43" t="str">
        <f>IFERROR(__xludf.DUMMYFUNCTION("""COMPUTED_VALUE"""),"University of Crete")</f>
        <v>University of Crete</v>
      </c>
      <c r="W1237" s="43" t="str">
        <f>IFERROR(__xludf.DUMMYFUNCTION("""COMPUTED_VALUE"""),"2023-08-04T10:18:39Z")</f>
        <v>2023-08-04T10:18:39Z</v>
      </c>
      <c r="X1237" s="43"/>
      <c r="Y1237" s="43"/>
      <c r="Z1237" s="43"/>
    </row>
    <row r="1238" hidden="1">
      <c r="A1238" s="43" t="str">
        <f>IFERROR(__xludf.DUMMYFUNCTION("""COMPUTED_VALUE"""),"5043232_1296105")</f>
        <v>5043232_1296105</v>
      </c>
      <c r="B1238" s="43" t="str">
        <f>IFERROR(__xludf.DUMMYFUNCTION("""COMPUTED_VALUE"""),"Manal Moustaqimi")</f>
        <v>Manal Moustaqimi</v>
      </c>
      <c r="C1238" s="43" t="str">
        <f>IFERROR(__xludf.DUMMYFUNCTION("""COMPUTED_VALUE"""),"approved")</f>
        <v>approved</v>
      </c>
      <c r="D1238" s="43" t="str">
        <f>IFERROR(__xludf.DUMMYFUNCTION("""COMPUTED_VALUE"""),"No")</f>
        <v>No</v>
      </c>
      <c r="E1238" s="43" t="str">
        <f>IFERROR(__xludf.DUMMYFUNCTION("""COMPUTED_VALUE"""),"p_6db9dc680fbde150ceb1688874386fef5f07f6a1@inbound.aiesec.org")</f>
        <v>p_6db9dc680fbde150ceb1688874386fef5f07f6a1@inbound.aiesec.org</v>
      </c>
      <c r="F1238" s="43">
        <f>IFERROR(__xludf.DUMMYFUNCTION("""COMPUTED_VALUE"""),6.43910532E8)</f>
        <v>643910532</v>
      </c>
      <c r="G1238" s="43" t="str">
        <f>IFERROR(__xludf.DUMMYFUNCTION("""COMPUTED_VALUE"""),"Morocco")</f>
        <v>Morocco</v>
      </c>
      <c r="H1238" s="43" t="str">
        <f>IFERROR(__xludf.DUMMYFUNCTION("""COMPUTED_VALUE"""),"Casablanca")</f>
        <v>Casablanca</v>
      </c>
      <c r="I1238" s="43" t="str">
        <f>IFERROR(__xludf.DUMMYFUNCTION("""COMPUTED_VALUE"""),"Turkey")</f>
        <v>Turkey</v>
      </c>
      <c r="J1238" s="43" t="str">
        <f>IFERROR(__xludf.DUMMYFUNCTION("""COMPUTED_VALUE"""),"ANKARA")</f>
        <v>ANKARA</v>
      </c>
      <c r="K1238" s="44" t="str">
        <f>IFERROR(__xludf.DUMMYFUNCTION("""COMPUTED_VALUE"""),"https://expa.aiesec.org/opportunities/1296105")</f>
        <v>https://expa.aiesec.org/opportunities/1296105</v>
      </c>
      <c r="L1238" s="43" t="str">
        <f>IFERROR(__xludf.DUMMYFUNCTION("""COMPUTED_VALUE"""),"GV")</f>
        <v>GV</v>
      </c>
      <c r="M1238" s="43" t="str">
        <f>IFERROR(__xludf.DUMMYFUNCTION("""COMPUTED_VALUE"""),"short")</f>
        <v>short</v>
      </c>
      <c r="N1238" s="45">
        <f>IFERROR(__xludf.DUMMYFUNCTION("""COMPUTED_VALUE"""),45160.0)</f>
        <v>45160</v>
      </c>
      <c r="O1238" s="45">
        <f>IFERROR(__xludf.DUMMYFUNCTION("""COMPUTED_VALUE"""),45180.0)</f>
        <v>45180</v>
      </c>
      <c r="P1238" s="45">
        <f>IFERROR(__xludf.DUMMYFUNCTION("""COMPUTED_VALUE"""),45222.0)</f>
        <v>45222</v>
      </c>
      <c r="Q1238" s="45"/>
      <c r="R1238" s="45"/>
      <c r="S1238" s="43"/>
      <c r="T1238" s="43"/>
      <c r="U1238" s="43" t="str">
        <f>IFERROR(__xludf.DUMMYFUNCTION("""COMPUTED_VALUE"""),"Fingerprint")</f>
        <v>Fingerprint</v>
      </c>
      <c r="V1238" s="43" t="str">
        <f>IFERROR(__xludf.DUMMYFUNCTION("""COMPUTED_VALUE"""),"Other-CASABLANCA")</f>
        <v>Other-CASABLANCA</v>
      </c>
      <c r="W1238" s="43" t="str">
        <f>IFERROR(__xludf.DUMMYFUNCTION("""COMPUTED_VALUE"""),"2022-04-21T13:24:09Z")</f>
        <v>2022-04-21T13:24:09Z</v>
      </c>
      <c r="X1238" s="43"/>
      <c r="Y1238" s="43"/>
      <c r="Z1238" s="43"/>
    </row>
    <row r="1239" hidden="1">
      <c r="A1239" s="43" t="str">
        <f>IFERROR(__xludf.DUMMYFUNCTION("""COMPUTED_VALUE"""),"5303007_1279126")</f>
        <v>5303007_1279126</v>
      </c>
      <c r="B1239" s="43" t="str">
        <f>IFERROR(__xludf.DUMMYFUNCTION("""COMPUTED_VALUE"""),"marane khedher")</f>
        <v>marane khedher</v>
      </c>
      <c r="C1239" s="43" t="str">
        <f>IFERROR(__xludf.DUMMYFUNCTION("""COMPUTED_VALUE"""),"approved")</f>
        <v>approved</v>
      </c>
      <c r="D1239" s="43" t="str">
        <f>IFERROR(__xludf.DUMMYFUNCTION("""COMPUTED_VALUE"""),"No")</f>
        <v>No</v>
      </c>
      <c r="E1239" s="43" t="str">
        <f>IFERROR(__xludf.DUMMYFUNCTION("""COMPUTED_VALUE"""),"p_2b3281c59b952e1ec7fd681667aba6eaebee8aef@inbound.aiesec.org")</f>
        <v>p_2b3281c59b952e1ec7fd681667aba6eaebee8aef@inbound.aiesec.org</v>
      </c>
      <c r="F1239" s="43">
        <f>IFERROR(__xludf.DUMMYFUNCTION("""COMPUTED_VALUE"""),2.0582819E7)</f>
        <v>20582819</v>
      </c>
      <c r="G1239" s="43" t="str">
        <f>IFERROR(__xludf.DUMMYFUNCTION("""COMPUTED_VALUE"""),"Tunisia")</f>
        <v>Tunisia</v>
      </c>
      <c r="H1239" s="43" t="str">
        <f>IFERROR(__xludf.DUMMYFUNCTION("""COMPUTED_VALUE"""),"BARDO")</f>
        <v>BARDO</v>
      </c>
      <c r="I1239" s="43" t="str">
        <f>IFERROR(__xludf.DUMMYFUNCTION("""COMPUTED_VALUE"""),"Turkey")</f>
        <v>Turkey</v>
      </c>
      <c r="J1239" s="43" t="str">
        <f>IFERROR(__xludf.DUMMYFUNCTION("""COMPUTED_VALUE"""),"KOCAELI")</f>
        <v>KOCAELI</v>
      </c>
      <c r="K1239" s="44" t="str">
        <f>IFERROR(__xludf.DUMMYFUNCTION("""COMPUTED_VALUE"""),"https://expa.aiesec.org/opportunities/1279126")</f>
        <v>https://expa.aiesec.org/opportunities/1279126</v>
      </c>
      <c r="L1239" s="43" t="str">
        <f>IFERROR(__xludf.DUMMYFUNCTION("""COMPUTED_VALUE"""),"GV")</f>
        <v>GV</v>
      </c>
      <c r="M1239" s="43" t="str">
        <f>IFERROR(__xludf.DUMMYFUNCTION("""COMPUTED_VALUE"""),"short")</f>
        <v>short</v>
      </c>
      <c r="N1239" s="45">
        <f>IFERROR(__xludf.DUMMYFUNCTION("""COMPUTED_VALUE"""),45160.0)</f>
        <v>45160</v>
      </c>
      <c r="O1239" s="45">
        <f>IFERROR(__xludf.DUMMYFUNCTION("""COMPUTED_VALUE"""),45458.0)</f>
        <v>45458</v>
      </c>
      <c r="P1239" s="45">
        <f>IFERROR(__xludf.DUMMYFUNCTION("""COMPUTED_VALUE"""),45500.0)</f>
        <v>45500</v>
      </c>
      <c r="Q1239" s="45"/>
      <c r="R1239" s="45"/>
      <c r="S1239" s="43"/>
      <c r="T1239" s="43"/>
      <c r="U1239" s="43" t="str">
        <f>IFERROR(__xludf.DUMMYFUNCTION("""COMPUTED_VALUE"""),"Global Classroom")</f>
        <v>Global Classroom</v>
      </c>
      <c r="V1239" s="43" t="str">
        <f>IFERROR(__xludf.DUMMYFUNCTION("""COMPUTED_VALUE"""),"Institut préparatoire aux études d'ingénieurs ipeit")</f>
        <v>Institut préparatoire aux études d'ingénieurs ipeit</v>
      </c>
      <c r="W1239" s="43" t="str">
        <f>IFERROR(__xludf.DUMMYFUNCTION("""COMPUTED_VALUE"""),"2023-08-15T13:08:46Z")</f>
        <v>2023-08-15T13:08:46Z</v>
      </c>
      <c r="X1239" s="43"/>
      <c r="Y1239" s="43"/>
      <c r="Z1239" s="43"/>
    </row>
    <row r="1240" hidden="1">
      <c r="A1240" s="43" t="str">
        <f>IFERROR(__xludf.DUMMYFUNCTION("""COMPUTED_VALUE"""),"5305479_1292557")</f>
        <v>5305479_1292557</v>
      </c>
      <c r="B1240" s="43" t="str">
        <f>IFERROR(__xludf.DUMMYFUNCTION("""COMPUTED_VALUE"""),"Katerina Dmitrieva")</f>
        <v>Katerina Dmitrieva</v>
      </c>
      <c r="C1240" s="43" t="str">
        <f>IFERROR(__xludf.DUMMYFUNCTION("""COMPUTED_VALUE"""),"approved")</f>
        <v>approved</v>
      </c>
      <c r="D1240" s="43" t="str">
        <f>IFERROR(__xludf.DUMMYFUNCTION("""COMPUTED_VALUE"""),"No")</f>
        <v>No</v>
      </c>
      <c r="E1240" s="43" t="str">
        <f>IFERROR(__xludf.DUMMYFUNCTION("""COMPUTED_VALUE"""),"p_19e4896e6e38f766ac9febf8f9d93e1d43f9c381@inbound.aiesec.org")</f>
        <v>p_19e4896e6e38f766ac9febf8f9d93e1d43f9c381@inbound.aiesec.org</v>
      </c>
      <c r="F1240" s="43"/>
      <c r="G1240" s="43" t="str">
        <f>IFERROR(__xludf.DUMMYFUNCTION("""COMPUTED_VALUE"""),"Ukraine")</f>
        <v>Ukraine</v>
      </c>
      <c r="H1240" s="43" t="str">
        <f>IFERROR(__xludf.DUMMYFUNCTION("""COMPUTED_VALUE"""),"KHARKIV")</f>
        <v>KHARKIV</v>
      </c>
      <c r="I1240" s="43" t="str">
        <f>IFERROR(__xludf.DUMMYFUNCTION("""COMPUTED_VALUE"""),"Turkey")</f>
        <v>Turkey</v>
      </c>
      <c r="J1240" s="43" t="str">
        <f>IFERROR(__xludf.DUMMYFUNCTION("""COMPUTED_VALUE"""),"DENIZLI")</f>
        <v>DENIZLI</v>
      </c>
      <c r="K1240" s="44" t="str">
        <f>IFERROR(__xludf.DUMMYFUNCTION("""COMPUTED_VALUE"""),"https://expa.aiesec.org/opportunities/1292557")</f>
        <v>https://expa.aiesec.org/opportunities/1292557</v>
      </c>
      <c r="L1240" s="43" t="str">
        <f>IFERROR(__xludf.DUMMYFUNCTION("""COMPUTED_VALUE"""),"GV")</f>
        <v>GV</v>
      </c>
      <c r="M1240" s="43" t="str">
        <f>IFERROR(__xludf.DUMMYFUNCTION("""COMPUTED_VALUE"""),"short")</f>
        <v>short</v>
      </c>
      <c r="N1240" s="45">
        <f>IFERROR(__xludf.DUMMYFUNCTION("""COMPUTED_VALUE"""),45160.0)</f>
        <v>45160</v>
      </c>
      <c r="O1240" s="45">
        <f>IFERROR(__xludf.DUMMYFUNCTION("""COMPUTED_VALUE"""),45488.0)</f>
        <v>45488</v>
      </c>
      <c r="P1240" s="45">
        <f>IFERROR(__xludf.DUMMYFUNCTION("""COMPUTED_VALUE"""),45530.0)</f>
        <v>45530</v>
      </c>
      <c r="Q1240" s="45"/>
      <c r="R1240" s="45"/>
      <c r="S1240" s="43"/>
      <c r="T1240" s="43"/>
      <c r="U1240" s="43" t="str">
        <f>IFERROR(__xludf.DUMMYFUNCTION("""COMPUTED_VALUE"""),"Equify")</f>
        <v>Equify</v>
      </c>
      <c r="V1240" s="43" t="str">
        <f>IFERROR(__xludf.DUMMYFUNCTION("""COMPUTED_VALUE"""),"-")</f>
        <v>-</v>
      </c>
      <c r="W1240" s="43" t="str">
        <f>IFERROR(__xludf.DUMMYFUNCTION("""COMPUTED_VALUE"""),"2023-08-19T16:47:17Z")</f>
        <v>2023-08-19T16:47:17Z</v>
      </c>
      <c r="X1240" s="43"/>
      <c r="Y1240" s="43"/>
      <c r="Z1240" s="43"/>
    </row>
    <row r="1241" hidden="1">
      <c r="A1241" s="43" t="str">
        <f>IFERROR(__xludf.DUMMYFUNCTION("""COMPUTED_VALUE"""),"2037808_1286034")</f>
        <v>2037808_1286034</v>
      </c>
      <c r="B1241" s="43" t="str">
        <f>IFERROR(__xludf.DUMMYFUNCTION("""COMPUTED_VALUE"""),"Oum kaltoum Bennani")</f>
        <v>Oum kaltoum Bennani</v>
      </c>
      <c r="C1241" s="43" t="str">
        <f>IFERROR(__xludf.DUMMYFUNCTION("""COMPUTED_VALUE"""),"approved")</f>
        <v>approved</v>
      </c>
      <c r="D1241" s="43" t="str">
        <f>IFERROR(__xludf.DUMMYFUNCTION("""COMPUTED_VALUE"""),"No")</f>
        <v>No</v>
      </c>
      <c r="E1241" s="43" t="str">
        <f>IFERROR(__xludf.DUMMYFUNCTION("""COMPUTED_VALUE"""),"p_8c408e1e7aa31945d3e1327436b60f34d0139043@inbound.aiesec.org")</f>
        <v>p_8c408e1e7aa31945d3e1327436b60f34d0139043@inbound.aiesec.org</v>
      </c>
      <c r="F1241" s="43">
        <f>IFERROR(__xludf.DUMMYFUNCTION("""COMPUTED_VALUE"""),6.95118727E8)</f>
        <v>695118727</v>
      </c>
      <c r="G1241" s="43" t="str">
        <f>IFERROR(__xludf.DUMMYFUNCTION("""COMPUTED_VALUE"""),"Morocco")</f>
        <v>Morocco</v>
      </c>
      <c r="H1241" s="43" t="str">
        <f>IFERROR(__xludf.DUMMYFUNCTION("""COMPUTED_VALUE"""),"CLOSED ( Rabat )")</f>
        <v>CLOSED ( Rabat )</v>
      </c>
      <c r="I1241" s="43" t="str">
        <f>IFERROR(__xludf.DUMMYFUNCTION("""COMPUTED_VALUE"""),"Turkey")</f>
        <v>Turkey</v>
      </c>
      <c r="J1241" s="43" t="str">
        <f>IFERROR(__xludf.DUMMYFUNCTION("""COMPUTED_VALUE"""),"ANTALYA")</f>
        <v>ANTALYA</v>
      </c>
      <c r="K1241" s="44" t="str">
        <f>IFERROR(__xludf.DUMMYFUNCTION("""COMPUTED_VALUE"""),"https://expa.aiesec.org/opportunities/1286034")</f>
        <v>https://expa.aiesec.org/opportunities/1286034</v>
      </c>
      <c r="L1241" s="43" t="str">
        <f>IFERROR(__xludf.DUMMYFUNCTION("""COMPUTED_VALUE"""),"GV")</f>
        <v>GV</v>
      </c>
      <c r="M1241" s="43" t="str">
        <f>IFERROR(__xludf.DUMMYFUNCTION("""COMPUTED_VALUE"""),"short")</f>
        <v>short</v>
      </c>
      <c r="N1241" s="45">
        <f>IFERROR(__xludf.DUMMYFUNCTION("""COMPUTED_VALUE"""),45161.0)</f>
        <v>45161</v>
      </c>
      <c r="O1241" s="45">
        <f>IFERROR(__xludf.DUMMYFUNCTION("""COMPUTED_VALUE"""),45208.0)</f>
        <v>45208</v>
      </c>
      <c r="P1241" s="45">
        <f>IFERROR(__xludf.DUMMYFUNCTION("""COMPUTED_VALUE"""),45250.0)</f>
        <v>45250</v>
      </c>
      <c r="Q1241" s="45"/>
      <c r="R1241" s="45"/>
      <c r="S1241" s="43"/>
      <c r="T1241" s="43"/>
      <c r="U1241" s="43" t="str">
        <f>IFERROR(__xludf.DUMMYFUNCTION("""COMPUTED_VALUE"""),"Global Classroom")</f>
        <v>Global Classroom</v>
      </c>
      <c r="V1241" s="43" t="str">
        <f>IFERROR(__xludf.DUMMYFUNCTION("""COMPUTED_VALUE"""),"-")</f>
        <v>-</v>
      </c>
      <c r="W1241" s="43" t="str">
        <f>IFERROR(__xludf.DUMMYFUNCTION("""COMPUTED_VALUE"""),"2018-02-16T09:31:35Z")</f>
        <v>2018-02-16T09:31:35Z</v>
      </c>
      <c r="X1241" s="43"/>
      <c r="Y1241" s="43"/>
      <c r="Z1241" s="43"/>
    </row>
    <row r="1242" hidden="1">
      <c r="A1242" s="43" t="str">
        <f>IFERROR(__xludf.DUMMYFUNCTION("""COMPUTED_VALUE"""),"5280864_1283891")</f>
        <v>5280864_1283891</v>
      </c>
      <c r="B1242" s="43" t="str">
        <f>IFERROR(__xludf.DUMMYFUNCTION("""COMPUTED_VALUE"""),"Greta Nozza")</f>
        <v>Greta Nozza</v>
      </c>
      <c r="C1242" s="43" t="str">
        <f>IFERROR(__xludf.DUMMYFUNCTION("""COMPUTED_VALUE"""),"completed")</f>
        <v>completed</v>
      </c>
      <c r="D1242" s="43" t="str">
        <f>IFERROR(__xludf.DUMMYFUNCTION("""COMPUTED_VALUE"""),"No")</f>
        <v>No</v>
      </c>
      <c r="E1242" s="43" t="str">
        <f>IFERROR(__xludf.DUMMYFUNCTION("""COMPUTED_VALUE"""),"p_cf89468ab97e0567aedecf9d49c880c25f4f6f10@inbound.aiesec.org")</f>
        <v>p_cf89468ab97e0567aedecf9d49c880c25f4f6f10@inbound.aiesec.org</v>
      </c>
      <c r="F1242" s="43">
        <f>IFERROR(__xludf.DUMMYFUNCTION("""COMPUTED_VALUE"""),3.343012082E9)</f>
        <v>3343012082</v>
      </c>
      <c r="G1242" s="43" t="str">
        <f>IFERROR(__xludf.DUMMYFUNCTION("""COMPUTED_VALUE"""),"Italy")</f>
        <v>Italy</v>
      </c>
      <c r="H1242" s="43" t="str">
        <f>IFERROR(__xludf.DUMMYFUNCTION("""COMPUTED_VALUE"""),"PoliTO")</f>
        <v>PoliTO</v>
      </c>
      <c r="I1242" s="43" t="str">
        <f>IFERROR(__xludf.DUMMYFUNCTION("""COMPUTED_VALUE"""),"Turkey")</f>
        <v>Turkey</v>
      </c>
      <c r="J1242" s="43" t="str">
        <f>IFERROR(__xludf.DUMMYFUNCTION("""COMPUTED_VALUE"""),"ISTANBUL ASIA")</f>
        <v>ISTANBUL ASIA</v>
      </c>
      <c r="K1242" s="44" t="str">
        <f>IFERROR(__xludf.DUMMYFUNCTION("""COMPUTED_VALUE"""),"https://expa.aiesec.org/opportunities/1283891")</f>
        <v>https://expa.aiesec.org/opportunities/1283891</v>
      </c>
      <c r="L1242" s="43" t="str">
        <f>IFERROR(__xludf.DUMMYFUNCTION("""COMPUTED_VALUE"""),"GV")</f>
        <v>GV</v>
      </c>
      <c r="M1242" s="43" t="str">
        <f>IFERROR(__xludf.DUMMYFUNCTION("""COMPUTED_VALUE"""),"short")</f>
        <v>short</v>
      </c>
      <c r="N1242" s="45">
        <f>IFERROR(__xludf.DUMMYFUNCTION("""COMPUTED_VALUE"""),45161.0)</f>
        <v>45161</v>
      </c>
      <c r="O1242" s="45">
        <f>IFERROR(__xludf.DUMMYFUNCTION("""COMPUTED_VALUE"""),45187.0)</f>
        <v>45187</v>
      </c>
      <c r="P1242" s="45">
        <f>IFERROR(__xludf.DUMMYFUNCTION("""COMPUTED_VALUE"""),45229.0)</f>
        <v>45229</v>
      </c>
      <c r="Q1242" s="45">
        <f>IFERROR(__xludf.DUMMYFUNCTION("""COMPUTED_VALUE"""),45188.0)</f>
        <v>45188</v>
      </c>
      <c r="R1242" s="45">
        <f>IFERROR(__xludf.DUMMYFUNCTION("""COMPUTED_VALUE"""),45229.0)</f>
        <v>45229</v>
      </c>
      <c r="S1242" s="43"/>
      <c r="T1242" s="43"/>
      <c r="U1242" s="43" t="str">
        <f>IFERROR(__xludf.DUMMYFUNCTION("""COMPUTED_VALUE"""),"Global Classroom")</f>
        <v>Global Classroom</v>
      </c>
      <c r="V1242" s="43" t="str">
        <f>IFERROR(__xludf.DUMMYFUNCTION("""COMPUTED_VALUE"""),"-")</f>
        <v>-</v>
      </c>
      <c r="W1242" s="43" t="str">
        <f>IFERROR(__xludf.DUMMYFUNCTION("""COMPUTED_VALUE"""),"2023-06-30T16:22:01Z")</f>
        <v>2023-06-30T16:22:01Z</v>
      </c>
      <c r="X1242" s="43"/>
      <c r="Y1242" s="43"/>
      <c r="Z1242" s="43"/>
    </row>
    <row r="1243" hidden="1">
      <c r="A1243" s="43" t="str">
        <f>IFERROR(__xludf.DUMMYFUNCTION("""COMPUTED_VALUE"""),"5273709_1296670")</f>
        <v>5273709_1296670</v>
      </c>
      <c r="B1243" s="43" t="str">
        <f>IFERROR(__xludf.DUMMYFUNCTION("""COMPUTED_VALUE"""),"Mahmoud El Aasar")</f>
        <v>Mahmoud El Aasar</v>
      </c>
      <c r="C1243" s="43" t="str">
        <f>IFERROR(__xludf.DUMMYFUNCTION("""COMPUTED_VALUE"""),"completed")</f>
        <v>completed</v>
      </c>
      <c r="D1243" s="43" t="str">
        <f>IFERROR(__xludf.DUMMYFUNCTION("""COMPUTED_VALUE"""),"No")</f>
        <v>No</v>
      </c>
      <c r="E1243" s="43" t="str">
        <f>IFERROR(__xludf.DUMMYFUNCTION("""COMPUTED_VALUE"""),"p_6eddbddc86a7854ed4de031670f066d8eee3a514@inbound.aiesec.org")</f>
        <v>p_6eddbddc86a7854ed4de031670f066d8eee3a514@inbound.aiesec.org</v>
      </c>
      <c r="F1243" s="43"/>
      <c r="G1243" s="43" t="str">
        <f>IFERROR(__xludf.DUMMYFUNCTION("""COMPUTED_VALUE"""),"Egypt")</f>
        <v>Egypt</v>
      </c>
      <c r="H1243" s="43" t="str">
        <f>IFERROR(__xludf.DUMMYFUNCTION("""COMPUTED_VALUE"""),"Zagazig")</f>
        <v>Zagazig</v>
      </c>
      <c r="I1243" s="43" t="str">
        <f>IFERROR(__xludf.DUMMYFUNCTION("""COMPUTED_VALUE"""),"Turkey")</f>
        <v>Turkey</v>
      </c>
      <c r="J1243" s="43" t="str">
        <f>IFERROR(__xludf.DUMMYFUNCTION("""COMPUTED_VALUE"""),"BURSA")</f>
        <v>BURSA</v>
      </c>
      <c r="K1243" s="44" t="str">
        <f>IFERROR(__xludf.DUMMYFUNCTION("""COMPUTED_VALUE"""),"https://expa.aiesec.org/opportunities/1296670")</f>
        <v>https://expa.aiesec.org/opportunities/1296670</v>
      </c>
      <c r="L1243" s="43" t="str">
        <f>IFERROR(__xludf.DUMMYFUNCTION("""COMPUTED_VALUE"""),"GV")</f>
        <v>GV</v>
      </c>
      <c r="M1243" s="43" t="str">
        <f>IFERROR(__xludf.DUMMYFUNCTION("""COMPUTED_VALUE"""),"short")</f>
        <v>short</v>
      </c>
      <c r="N1243" s="45">
        <f>IFERROR(__xludf.DUMMYFUNCTION("""COMPUTED_VALUE"""),45161.0)</f>
        <v>45161</v>
      </c>
      <c r="O1243" s="45">
        <f>IFERROR(__xludf.DUMMYFUNCTION("""COMPUTED_VALUE"""),45194.0)</f>
        <v>45194</v>
      </c>
      <c r="P1243" s="45">
        <f>IFERROR(__xludf.DUMMYFUNCTION("""COMPUTED_VALUE"""),45236.0)</f>
        <v>45236</v>
      </c>
      <c r="Q1243" s="45">
        <f>IFERROR(__xludf.DUMMYFUNCTION("""COMPUTED_VALUE"""),45205.0)</f>
        <v>45205</v>
      </c>
      <c r="R1243" s="45">
        <f>IFERROR(__xludf.DUMMYFUNCTION("""COMPUTED_VALUE"""),45247.0)</f>
        <v>45247</v>
      </c>
      <c r="S1243" s="43"/>
      <c r="T1243" s="43"/>
      <c r="U1243" s="43" t="str">
        <f>IFERROR(__xludf.DUMMYFUNCTION("""COMPUTED_VALUE"""),"Youth 4 Impact")</f>
        <v>Youth 4 Impact</v>
      </c>
      <c r="V1243" s="43" t="str">
        <f>IFERROR(__xludf.DUMMYFUNCTION("""COMPUTED_VALUE"""),"Zagazig")</f>
        <v>Zagazig</v>
      </c>
      <c r="W1243" s="43" t="str">
        <f>IFERROR(__xludf.DUMMYFUNCTION("""COMPUTED_VALUE"""),"2023-06-10T17:15:53Z")</f>
        <v>2023-06-10T17:15:53Z</v>
      </c>
      <c r="X1243" s="43"/>
      <c r="Y1243" s="43"/>
      <c r="Z1243" s="43"/>
    </row>
    <row r="1244" hidden="1">
      <c r="A1244" s="43" t="str">
        <f>IFERROR(__xludf.DUMMYFUNCTION("""COMPUTED_VALUE"""),"5299724_1296105")</f>
        <v>5299724_1296105</v>
      </c>
      <c r="B1244" s="43" t="str">
        <f>IFERROR(__xludf.DUMMYFUNCTION("""COMPUTED_VALUE"""),"Khalid Essakouti")</f>
        <v>Khalid Essakouti</v>
      </c>
      <c r="C1244" s="43" t="str">
        <f>IFERROR(__xludf.DUMMYFUNCTION("""COMPUTED_VALUE"""),"finished")</f>
        <v>finished</v>
      </c>
      <c r="D1244" s="43" t="str">
        <f>IFERROR(__xludf.DUMMYFUNCTION("""COMPUTED_VALUE"""),"No")</f>
        <v>No</v>
      </c>
      <c r="E1244" s="43" t="str">
        <f>IFERROR(__xludf.DUMMYFUNCTION("""COMPUTED_VALUE"""),"p_d5ef16b8bed3e0c32d7c8369df92ed9af4004797@inbound.aiesec.org")</f>
        <v>p_d5ef16b8bed3e0c32d7c8369df92ed9af4004797@inbound.aiesec.org</v>
      </c>
      <c r="F1244" s="43">
        <f>IFERROR(__xludf.DUMMYFUNCTION("""COMPUTED_VALUE"""),6.89133749E8)</f>
        <v>689133749</v>
      </c>
      <c r="G1244" s="43" t="str">
        <f>IFERROR(__xludf.DUMMYFUNCTION("""COMPUTED_VALUE"""),"Morocco")</f>
        <v>Morocco</v>
      </c>
      <c r="H1244" s="43" t="str">
        <f>IFERROR(__xludf.DUMMYFUNCTION("""COMPUTED_VALUE"""),"Agadir")</f>
        <v>Agadir</v>
      </c>
      <c r="I1244" s="43" t="str">
        <f>IFERROR(__xludf.DUMMYFUNCTION("""COMPUTED_VALUE"""),"Turkey")</f>
        <v>Turkey</v>
      </c>
      <c r="J1244" s="43" t="str">
        <f>IFERROR(__xludf.DUMMYFUNCTION("""COMPUTED_VALUE"""),"ANKARA")</f>
        <v>ANKARA</v>
      </c>
      <c r="K1244" s="44" t="str">
        <f>IFERROR(__xludf.DUMMYFUNCTION("""COMPUTED_VALUE"""),"https://expa.aiesec.org/opportunities/1296105")</f>
        <v>https://expa.aiesec.org/opportunities/1296105</v>
      </c>
      <c r="L1244" s="43" t="str">
        <f>IFERROR(__xludf.DUMMYFUNCTION("""COMPUTED_VALUE"""),"GV")</f>
        <v>GV</v>
      </c>
      <c r="M1244" s="43" t="str">
        <f>IFERROR(__xludf.DUMMYFUNCTION("""COMPUTED_VALUE"""),"short")</f>
        <v>short</v>
      </c>
      <c r="N1244" s="45">
        <f>IFERROR(__xludf.DUMMYFUNCTION("""COMPUTED_VALUE"""),45163.0)</f>
        <v>45163</v>
      </c>
      <c r="O1244" s="45">
        <f>IFERROR(__xludf.DUMMYFUNCTION("""COMPUTED_VALUE"""),45222.0)</f>
        <v>45222</v>
      </c>
      <c r="P1244" s="45">
        <f>IFERROR(__xludf.DUMMYFUNCTION("""COMPUTED_VALUE"""),45264.0)</f>
        <v>45264</v>
      </c>
      <c r="Q1244" s="45">
        <f>IFERROR(__xludf.DUMMYFUNCTION("""COMPUTED_VALUE"""),45225.0)</f>
        <v>45225</v>
      </c>
      <c r="R1244" s="45">
        <f>IFERROR(__xludf.DUMMYFUNCTION("""COMPUTED_VALUE"""),45265.0)</f>
        <v>45265</v>
      </c>
      <c r="S1244" s="43"/>
      <c r="T1244" s="43"/>
      <c r="U1244" s="43" t="str">
        <f>IFERROR(__xludf.DUMMYFUNCTION("""COMPUTED_VALUE"""),"Fingerprint")</f>
        <v>Fingerprint</v>
      </c>
      <c r="V1244" s="43" t="str">
        <f>IFERROR(__xludf.DUMMYFUNCTION("""COMPUTED_VALUE"""),"FSJES Ait melloul")</f>
        <v>FSJES Ait melloul</v>
      </c>
      <c r="W1244" s="43" t="str">
        <f>IFERROR(__xludf.DUMMYFUNCTION("""COMPUTED_VALUE"""),"2023-08-08T21:50:10Z")</f>
        <v>2023-08-08T21:50:10Z</v>
      </c>
      <c r="X1244" s="43"/>
      <c r="Y1244" s="43"/>
      <c r="Z1244" s="43"/>
    </row>
    <row r="1245" hidden="1">
      <c r="A1245" s="43" t="str">
        <f>IFERROR(__xludf.DUMMYFUNCTION("""COMPUTED_VALUE"""),"5305433_1289596")</f>
        <v>5305433_1289596</v>
      </c>
      <c r="B1245" s="43" t="str">
        <f>IFERROR(__xludf.DUMMYFUNCTION("""COMPUTED_VALUE"""),"mariam elessawyy")</f>
        <v>mariam elessawyy</v>
      </c>
      <c r="C1245" s="43" t="str">
        <f>IFERROR(__xludf.DUMMYFUNCTION("""COMPUTED_VALUE"""),"approved")</f>
        <v>approved</v>
      </c>
      <c r="D1245" s="43" t="str">
        <f>IFERROR(__xludf.DUMMYFUNCTION("""COMPUTED_VALUE"""),"No")</f>
        <v>No</v>
      </c>
      <c r="E1245" s="43" t="str">
        <f>IFERROR(__xludf.DUMMYFUNCTION("""COMPUTED_VALUE"""),"p_9be17c0f36fc8f90142fe04317f431b9caa41cca@inbound.aiesec.org")</f>
        <v>p_9be17c0f36fc8f90142fe04317f431b9caa41cca@inbound.aiesec.org</v>
      </c>
      <c r="F1245" s="43"/>
      <c r="G1245" s="43" t="str">
        <f>IFERROR(__xludf.DUMMYFUNCTION("""COMPUTED_VALUE"""),"Egypt")</f>
        <v>Egypt</v>
      </c>
      <c r="H1245" s="43" t="str">
        <f>IFERROR(__xludf.DUMMYFUNCTION("""COMPUTED_VALUE"""),"6th October University")</f>
        <v>6th October University</v>
      </c>
      <c r="I1245" s="43" t="str">
        <f>IFERROR(__xludf.DUMMYFUNCTION("""COMPUTED_VALUE"""),"Turkey")</f>
        <v>Turkey</v>
      </c>
      <c r="J1245" s="43" t="str">
        <f>IFERROR(__xludf.DUMMYFUNCTION("""COMPUTED_VALUE"""),"ISPARTA")</f>
        <v>ISPARTA</v>
      </c>
      <c r="K1245" s="44" t="str">
        <f>IFERROR(__xludf.DUMMYFUNCTION("""COMPUTED_VALUE"""),"https://expa.aiesec.org/opportunities/1289596")</f>
        <v>https://expa.aiesec.org/opportunities/1289596</v>
      </c>
      <c r="L1245" s="43" t="str">
        <f>IFERROR(__xludf.DUMMYFUNCTION("""COMPUTED_VALUE"""),"GV")</f>
        <v>GV</v>
      </c>
      <c r="M1245" s="43" t="str">
        <f>IFERROR(__xludf.DUMMYFUNCTION("""COMPUTED_VALUE"""),"short")</f>
        <v>short</v>
      </c>
      <c r="N1245" s="45">
        <f>IFERROR(__xludf.DUMMYFUNCTION("""COMPUTED_VALUE"""),45163.0)</f>
        <v>45163</v>
      </c>
      <c r="O1245" s="45">
        <f>IFERROR(__xludf.DUMMYFUNCTION("""COMPUTED_VALUE"""),45551.0)</f>
        <v>45551</v>
      </c>
      <c r="P1245" s="45">
        <f>IFERROR(__xludf.DUMMYFUNCTION("""COMPUTED_VALUE"""),45593.0)</f>
        <v>45593</v>
      </c>
      <c r="Q1245" s="45"/>
      <c r="R1245" s="45"/>
      <c r="S1245" s="43"/>
      <c r="T1245" s="43"/>
      <c r="U1245" s="43" t="str">
        <f>IFERROR(__xludf.DUMMYFUNCTION("""COMPUTED_VALUE"""),"Global Classroom")</f>
        <v>Global Classroom</v>
      </c>
      <c r="V1245" s="43" t="str">
        <f>IFERROR(__xludf.DUMMYFUNCTION("""COMPUTED_VALUE"""),"-")</f>
        <v>-</v>
      </c>
      <c r="W1245" s="43" t="str">
        <f>IFERROR(__xludf.DUMMYFUNCTION("""COMPUTED_VALUE"""),"2023-08-19T15:37:53Z")</f>
        <v>2023-08-19T15:37:53Z</v>
      </c>
      <c r="X1245" s="43"/>
      <c r="Y1245" s="43"/>
      <c r="Z1245" s="43"/>
    </row>
    <row r="1246" hidden="1">
      <c r="A1246" s="43" t="str">
        <f>IFERROR(__xludf.DUMMYFUNCTION("""COMPUTED_VALUE"""),"5285091_1294651")</f>
        <v>5285091_1294651</v>
      </c>
      <c r="B1246" s="43" t="str">
        <f>IFERROR(__xludf.DUMMYFUNCTION("""COMPUTED_VALUE"""),"sojoud hamdy")</f>
        <v>sojoud hamdy</v>
      </c>
      <c r="C1246" s="43" t="str">
        <f>IFERROR(__xludf.DUMMYFUNCTION("""COMPUTED_VALUE"""),"finished")</f>
        <v>finished</v>
      </c>
      <c r="D1246" s="43" t="str">
        <f>IFERROR(__xludf.DUMMYFUNCTION("""COMPUTED_VALUE"""),"No")</f>
        <v>No</v>
      </c>
      <c r="E1246" s="43" t="str">
        <f>IFERROR(__xludf.DUMMYFUNCTION("""COMPUTED_VALUE"""),"p_a95b507e152fc8df56b5f164d27be7dcea14ac99@inbound.aiesec.org")</f>
        <v>p_a95b507e152fc8df56b5f164d27be7dcea14ac99@inbound.aiesec.org</v>
      </c>
      <c r="F1246" s="43">
        <f>IFERROR(__xludf.DUMMYFUNCTION("""COMPUTED_VALUE"""),1.124698184E9)</f>
        <v>1124698184</v>
      </c>
      <c r="G1246" s="43" t="str">
        <f>IFERROR(__xludf.DUMMYFUNCTION("""COMPUTED_VALUE"""),"Egypt")</f>
        <v>Egypt</v>
      </c>
      <c r="H1246" s="43" t="str">
        <f>IFERROR(__xludf.DUMMYFUNCTION("""COMPUTED_VALUE"""),"AAST Alexandria")</f>
        <v>AAST Alexandria</v>
      </c>
      <c r="I1246" s="43" t="str">
        <f>IFERROR(__xludf.DUMMYFUNCTION("""COMPUTED_VALUE"""),"Turkey")</f>
        <v>Turkey</v>
      </c>
      <c r="J1246" s="43" t="str">
        <f>IFERROR(__xludf.DUMMYFUNCTION("""COMPUTED_VALUE"""),"ANKARA")</f>
        <v>ANKARA</v>
      </c>
      <c r="K1246" s="44" t="str">
        <f>IFERROR(__xludf.DUMMYFUNCTION("""COMPUTED_VALUE"""),"https://expa.aiesec.org/opportunities/1294651")</f>
        <v>https://expa.aiesec.org/opportunities/1294651</v>
      </c>
      <c r="L1246" s="43" t="str">
        <f>IFERROR(__xludf.DUMMYFUNCTION("""COMPUTED_VALUE"""),"GV")</f>
        <v>GV</v>
      </c>
      <c r="M1246" s="43" t="str">
        <f>IFERROR(__xludf.DUMMYFUNCTION("""COMPUTED_VALUE"""),"short")</f>
        <v>short</v>
      </c>
      <c r="N1246" s="45">
        <f>IFERROR(__xludf.DUMMYFUNCTION("""COMPUTED_VALUE"""),45164.0)</f>
        <v>45164</v>
      </c>
      <c r="O1246" s="45">
        <f>IFERROR(__xludf.DUMMYFUNCTION("""COMPUTED_VALUE"""),45194.0)</f>
        <v>45194</v>
      </c>
      <c r="P1246" s="45">
        <f>IFERROR(__xludf.DUMMYFUNCTION("""COMPUTED_VALUE"""),45236.0)</f>
        <v>45236</v>
      </c>
      <c r="Q1246" s="45">
        <f>IFERROR(__xludf.DUMMYFUNCTION("""COMPUTED_VALUE"""),45198.0)</f>
        <v>45198</v>
      </c>
      <c r="R1246" s="45">
        <f>IFERROR(__xludf.DUMMYFUNCTION("""COMPUTED_VALUE"""),45240.0)</f>
        <v>45240</v>
      </c>
      <c r="S1246" s="43"/>
      <c r="T1246" s="43"/>
      <c r="U1246" s="43" t="str">
        <f>IFERROR(__xludf.DUMMYFUNCTION("""COMPUTED_VALUE"""),"Global Classroom")</f>
        <v>Global Classroom</v>
      </c>
      <c r="V1246" s="43" t="str">
        <f>IFERROR(__xludf.DUMMYFUNCTION("""COMPUTED_VALUE"""),"Pharos University Alexandria")</f>
        <v>Pharos University Alexandria</v>
      </c>
      <c r="W1246" s="43" t="str">
        <f>IFERROR(__xludf.DUMMYFUNCTION("""COMPUTED_VALUE"""),"2023-07-13T23:34:03Z")</f>
        <v>2023-07-13T23:34:03Z</v>
      </c>
      <c r="X1246" s="43"/>
      <c r="Y1246" s="43"/>
      <c r="Z1246" s="43"/>
    </row>
    <row r="1247" hidden="1">
      <c r="A1247" s="43" t="str">
        <f>IFERROR(__xludf.DUMMYFUNCTION("""COMPUTED_VALUE"""),"5170046_1295453")</f>
        <v>5170046_1295453</v>
      </c>
      <c r="B1247" s="43" t="str">
        <f>IFERROR(__xludf.DUMMYFUNCTION("""COMPUTED_VALUE"""),"Hussein Magdy")</f>
        <v>Hussein Magdy</v>
      </c>
      <c r="C1247" s="43" t="str">
        <f>IFERROR(__xludf.DUMMYFUNCTION("""COMPUTED_VALUE"""),"finished")</f>
        <v>finished</v>
      </c>
      <c r="D1247" s="43" t="str">
        <f>IFERROR(__xludf.DUMMYFUNCTION("""COMPUTED_VALUE"""),"No")</f>
        <v>No</v>
      </c>
      <c r="E1247" s="43" t="str">
        <f>IFERROR(__xludf.DUMMYFUNCTION("""COMPUTED_VALUE"""),"p_081789e0f0e7612061f94198888195a662812156@inbound.aiesec.org")</f>
        <v>p_081789e0f0e7612061f94198888195a662812156@inbound.aiesec.org</v>
      </c>
      <c r="F1247" s="43">
        <f>IFERROR(__xludf.DUMMYFUNCTION("""COMPUTED_VALUE"""),1.11827298E9)</f>
        <v>1118272980</v>
      </c>
      <c r="G1247" s="43" t="str">
        <f>IFERROR(__xludf.DUMMYFUNCTION("""COMPUTED_VALUE"""),"Egypt")</f>
        <v>Egypt</v>
      </c>
      <c r="H1247" s="43" t="str">
        <f>IFERROR(__xludf.DUMMYFUNCTION("""COMPUTED_VALUE"""),"Ain Shams University")</f>
        <v>Ain Shams University</v>
      </c>
      <c r="I1247" s="43" t="str">
        <f>IFERROR(__xludf.DUMMYFUNCTION("""COMPUTED_VALUE"""),"Turkey")</f>
        <v>Turkey</v>
      </c>
      <c r="J1247" s="43" t="str">
        <f>IFERROR(__xludf.DUMMYFUNCTION("""COMPUTED_VALUE"""),"GAZIANTEP")</f>
        <v>GAZIANTEP</v>
      </c>
      <c r="K1247" s="44" t="str">
        <f>IFERROR(__xludf.DUMMYFUNCTION("""COMPUTED_VALUE"""),"https://expa.aiesec.org/opportunities/1295453")</f>
        <v>https://expa.aiesec.org/opportunities/1295453</v>
      </c>
      <c r="L1247" s="43" t="str">
        <f>IFERROR(__xludf.DUMMYFUNCTION("""COMPUTED_VALUE"""),"GV")</f>
        <v>GV</v>
      </c>
      <c r="M1247" s="43" t="str">
        <f>IFERROR(__xludf.DUMMYFUNCTION("""COMPUTED_VALUE"""),"short")</f>
        <v>short</v>
      </c>
      <c r="N1247" s="45">
        <f>IFERROR(__xludf.DUMMYFUNCTION("""COMPUTED_VALUE"""),45164.0)</f>
        <v>45164</v>
      </c>
      <c r="O1247" s="45">
        <f>IFERROR(__xludf.DUMMYFUNCTION("""COMPUTED_VALUE"""),45208.0)</f>
        <v>45208</v>
      </c>
      <c r="P1247" s="45">
        <f>IFERROR(__xludf.DUMMYFUNCTION("""COMPUTED_VALUE"""),45250.0)</f>
        <v>45250</v>
      </c>
      <c r="Q1247" s="45">
        <f>IFERROR(__xludf.DUMMYFUNCTION("""COMPUTED_VALUE"""),45232.0)</f>
        <v>45232</v>
      </c>
      <c r="R1247" s="45">
        <f>IFERROR(__xludf.DUMMYFUNCTION("""COMPUTED_VALUE"""),45257.0)</f>
        <v>45257</v>
      </c>
      <c r="S1247" s="43"/>
      <c r="T1247" s="43"/>
      <c r="U1247" s="43" t="str">
        <f>IFERROR(__xludf.DUMMYFUNCTION("""COMPUTED_VALUE"""),"Global Classroom")</f>
        <v>Global Classroom</v>
      </c>
      <c r="V1247" s="43" t="str">
        <f>IFERROR(__xludf.DUMMYFUNCTION("""COMPUTED_VALUE"""),"Ain Shams University")</f>
        <v>Ain Shams University</v>
      </c>
      <c r="W1247" s="43" t="str">
        <f>IFERROR(__xludf.DUMMYFUNCTION("""COMPUTED_VALUE"""),"2022-12-25T01:39:51Z")</f>
        <v>2022-12-25T01:39:51Z</v>
      </c>
      <c r="X1247" s="43"/>
      <c r="Y1247" s="43"/>
      <c r="Z1247" s="43"/>
    </row>
    <row r="1248" hidden="1">
      <c r="A1248" s="43" t="str">
        <f>IFERROR(__xludf.DUMMYFUNCTION("""COMPUTED_VALUE"""),"5306929_1289536")</f>
        <v>5306929_1289536</v>
      </c>
      <c r="B1248" s="43" t="str">
        <f>IFERROR(__xludf.DUMMYFUNCTION("""COMPUTED_VALUE"""),"Bipasha Ghosh Roy")</f>
        <v>Bipasha Ghosh Roy</v>
      </c>
      <c r="C1248" s="43" t="str">
        <f>IFERROR(__xludf.DUMMYFUNCTION("""COMPUTED_VALUE"""),"approved")</f>
        <v>approved</v>
      </c>
      <c r="D1248" s="43" t="str">
        <f>IFERROR(__xludf.DUMMYFUNCTION("""COMPUTED_VALUE"""),"No")</f>
        <v>No</v>
      </c>
      <c r="E1248" s="43" t="str">
        <f>IFERROR(__xludf.DUMMYFUNCTION("""COMPUTED_VALUE"""),"p_cb305e69cb84d1c7da58f6453c61d2b10c788fc4@inbound.aiesec.org")</f>
        <v>p_cb305e69cb84d1c7da58f6453c61d2b10c788fc4@inbound.aiesec.org</v>
      </c>
      <c r="F1248" s="43"/>
      <c r="G1248" s="43" t="str">
        <f>IFERROR(__xludf.DUMMYFUNCTION("""COMPUTED_VALUE"""),"India")</f>
        <v>India</v>
      </c>
      <c r="H1248" s="43" t="str">
        <f>IFERROR(__xludf.DUMMYFUNCTION("""COMPUTED_VALUE"""),"Bengaluru")</f>
        <v>Bengaluru</v>
      </c>
      <c r="I1248" s="43" t="str">
        <f>IFERROR(__xludf.DUMMYFUNCTION("""COMPUTED_VALUE"""),"Turkey")</f>
        <v>Turkey</v>
      </c>
      <c r="J1248" s="43" t="str">
        <f>IFERROR(__xludf.DUMMYFUNCTION("""COMPUTED_VALUE"""),"ISTANBUL")</f>
        <v>ISTANBUL</v>
      </c>
      <c r="K1248" s="44" t="str">
        <f>IFERROR(__xludf.DUMMYFUNCTION("""COMPUTED_VALUE"""),"https://expa.aiesec.org/opportunities/1289536")</f>
        <v>https://expa.aiesec.org/opportunities/1289536</v>
      </c>
      <c r="L1248" s="43" t="str">
        <f>IFERROR(__xludf.DUMMYFUNCTION("""COMPUTED_VALUE"""),"GV")</f>
        <v>GV</v>
      </c>
      <c r="M1248" s="43" t="str">
        <f>IFERROR(__xludf.DUMMYFUNCTION("""COMPUTED_VALUE"""),"short")</f>
        <v>short</v>
      </c>
      <c r="N1248" s="45">
        <f>IFERROR(__xludf.DUMMYFUNCTION("""COMPUTED_VALUE"""),45165.0)</f>
        <v>45165</v>
      </c>
      <c r="O1248" s="45">
        <f>IFERROR(__xludf.DUMMYFUNCTION("""COMPUTED_VALUE"""),45263.0)</f>
        <v>45263</v>
      </c>
      <c r="P1248" s="45">
        <f>IFERROR(__xludf.DUMMYFUNCTION("""COMPUTED_VALUE"""),45305.0)</f>
        <v>45305</v>
      </c>
      <c r="Q1248" s="45"/>
      <c r="R1248" s="45"/>
      <c r="S1248" s="43"/>
      <c r="T1248" s="43"/>
      <c r="U1248" s="43" t="str">
        <f>IFERROR(__xludf.DUMMYFUNCTION("""COMPUTED_VALUE"""),"Global Classroom")</f>
        <v>Global Classroom</v>
      </c>
      <c r="V1248" s="43" t="str">
        <f>IFERROR(__xludf.DUMMYFUNCTION("""COMPUTED_VALUE"""),"-")</f>
        <v>-</v>
      </c>
      <c r="W1248" s="43" t="str">
        <f>IFERROR(__xludf.DUMMYFUNCTION("""COMPUTED_VALUE"""),"2023-08-22T06:37:36Z")</f>
        <v>2023-08-22T06:37:36Z</v>
      </c>
      <c r="X1248" s="43"/>
      <c r="Y1248" s="43"/>
      <c r="Z1248" s="43"/>
    </row>
    <row r="1249" hidden="1">
      <c r="A1249" s="43" t="str">
        <f>IFERROR(__xludf.DUMMYFUNCTION("""COMPUTED_VALUE"""),"5309061_1289536")</f>
        <v>5309061_1289536</v>
      </c>
      <c r="B1249" s="43" t="str">
        <f>IFERROR(__xludf.DUMMYFUNCTION("""COMPUTED_VALUE"""),"Shaurya Anand")</f>
        <v>Shaurya Anand</v>
      </c>
      <c r="C1249" s="43" t="str">
        <f>IFERROR(__xludf.DUMMYFUNCTION("""COMPUTED_VALUE"""),"finished")</f>
        <v>finished</v>
      </c>
      <c r="D1249" s="43" t="str">
        <f>IFERROR(__xludf.DUMMYFUNCTION("""COMPUTED_VALUE"""),"No")</f>
        <v>No</v>
      </c>
      <c r="E1249" s="43" t="str">
        <f>IFERROR(__xludf.DUMMYFUNCTION("""COMPUTED_VALUE"""),"p_0e3a8359656565afaa055efe9b516ee4db42334e@inbound.aiesec.org")</f>
        <v>p_0e3a8359656565afaa055efe9b516ee4db42334e@inbound.aiesec.org</v>
      </c>
      <c r="F1249" s="43">
        <f>IFERROR(__xludf.DUMMYFUNCTION("""COMPUTED_VALUE"""),7.739882194E9)</f>
        <v>7739882194</v>
      </c>
      <c r="G1249" s="43" t="str">
        <f>IFERROR(__xludf.DUMMYFUNCTION("""COMPUTED_VALUE"""),"India")</f>
        <v>India</v>
      </c>
      <c r="H1249" s="43" t="str">
        <f>IFERROR(__xludf.DUMMYFUNCTION("""COMPUTED_VALUE"""),"Bengaluru")</f>
        <v>Bengaluru</v>
      </c>
      <c r="I1249" s="43" t="str">
        <f>IFERROR(__xludf.DUMMYFUNCTION("""COMPUTED_VALUE"""),"Turkey")</f>
        <v>Turkey</v>
      </c>
      <c r="J1249" s="43" t="str">
        <f>IFERROR(__xludf.DUMMYFUNCTION("""COMPUTED_VALUE"""),"ISTANBUL")</f>
        <v>ISTANBUL</v>
      </c>
      <c r="K1249" s="44" t="str">
        <f>IFERROR(__xludf.DUMMYFUNCTION("""COMPUTED_VALUE"""),"https://expa.aiesec.org/opportunities/1289536")</f>
        <v>https://expa.aiesec.org/opportunities/1289536</v>
      </c>
      <c r="L1249" s="43" t="str">
        <f>IFERROR(__xludf.DUMMYFUNCTION("""COMPUTED_VALUE"""),"GV")</f>
        <v>GV</v>
      </c>
      <c r="M1249" s="43" t="str">
        <f>IFERROR(__xludf.DUMMYFUNCTION("""COMPUTED_VALUE"""),"short")</f>
        <v>short</v>
      </c>
      <c r="N1249" s="45">
        <f>IFERROR(__xludf.DUMMYFUNCTION("""COMPUTED_VALUE"""),45165.0)</f>
        <v>45165</v>
      </c>
      <c r="O1249" s="45">
        <f>IFERROR(__xludf.DUMMYFUNCTION("""COMPUTED_VALUE"""),45263.0)</f>
        <v>45263</v>
      </c>
      <c r="P1249" s="45">
        <f>IFERROR(__xludf.DUMMYFUNCTION("""COMPUTED_VALUE"""),45305.0)</f>
        <v>45305</v>
      </c>
      <c r="Q1249" s="45">
        <f>IFERROR(__xludf.DUMMYFUNCTION("""COMPUTED_VALUE"""),45278.0)</f>
        <v>45278</v>
      </c>
      <c r="R1249" s="45">
        <f>IFERROR(__xludf.DUMMYFUNCTION("""COMPUTED_VALUE"""),45318.0)</f>
        <v>45318</v>
      </c>
      <c r="S1249" s="43"/>
      <c r="T1249" s="43"/>
      <c r="U1249" s="43" t="str">
        <f>IFERROR(__xludf.DUMMYFUNCTION("""COMPUTED_VALUE"""),"Global Classroom")</f>
        <v>Global Classroom</v>
      </c>
      <c r="V1249" s="43" t="str">
        <f>IFERROR(__xludf.DUMMYFUNCTION("""COMPUTED_VALUE"""),"Bangalore University")</f>
        <v>Bangalore University</v>
      </c>
      <c r="W1249" s="43" t="str">
        <f>IFERROR(__xludf.DUMMYFUNCTION("""COMPUTED_VALUE"""),"2023-08-25T05:48:56Z")</f>
        <v>2023-08-25T05:48:56Z</v>
      </c>
      <c r="X1249" s="43"/>
      <c r="Y1249" s="43"/>
      <c r="Z1249" s="43"/>
    </row>
    <row r="1250" hidden="1">
      <c r="A1250" s="43" t="str">
        <f>IFERROR(__xludf.DUMMYFUNCTION("""COMPUTED_VALUE"""),"5305054_1284476")</f>
        <v>5305054_1284476</v>
      </c>
      <c r="B1250" s="43" t="str">
        <f>IFERROR(__xludf.DUMMYFUNCTION("""COMPUTED_VALUE"""),"Omar Khattab")</f>
        <v>Omar Khattab</v>
      </c>
      <c r="C1250" s="43" t="str">
        <f>IFERROR(__xludf.DUMMYFUNCTION("""COMPUTED_VALUE"""),"approved")</f>
        <v>approved</v>
      </c>
      <c r="D1250" s="43" t="str">
        <f>IFERROR(__xludf.DUMMYFUNCTION("""COMPUTED_VALUE"""),"No")</f>
        <v>No</v>
      </c>
      <c r="E1250" s="43" t="str">
        <f>IFERROR(__xludf.DUMMYFUNCTION("""COMPUTED_VALUE"""),"p_2c7001ea07daa39275cda47fbf4d9c7384b2935a@inbound.aiesec.org")</f>
        <v>p_2c7001ea07daa39275cda47fbf4d9c7384b2935a@inbound.aiesec.org</v>
      </c>
      <c r="F1250" s="43">
        <f>IFERROR(__xludf.DUMMYFUNCTION("""COMPUTED_VALUE"""),1.025619407E9)</f>
        <v>1025619407</v>
      </c>
      <c r="G1250" s="43" t="str">
        <f>IFERROR(__xludf.DUMMYFUNCTION("""COMPUTED_VALUE"""),"Egypt")</f>
        <v>Egypt</v>
      </c>
      <c r="H1250" s="43" t="str">
        <f>IFERROR(__xludf.DUMMYFUNCTION("""COMPUTED_VALUE"""),"Mansoura")</f>
        <v>Mansoura</v>
      </c>
      <c r="I1250" s="43" t="str">
        <f>IFERROR(__xludf.DUMMYFUNCTION("""COMPUTED_VALUE"""),"Turkey")</f>
        <v>Turkey</v>
      </c>
      <c r="J1250" s="43" t="str">
        <f>IFERROR(__xludf.DUMMYFUNCTION("""COMPUTED_VALUE"""),"ADANA")</f>
        <v>ADANA</v>
      </c>
      <c r="K1250" s="44" t="str">
        <f>IFERROR(__xludf.DUMMYFUNCTION("""COMPUTED_VALUE"""),"https://expa.aiesec.org/opportunities/1284476")</f>
        <v>https://expa.aiesec.org/opportunities/1284476</v>
      </c>
      <c r="L1250" s="43" t="str">
        <f>IFERROR(__xludf.DUMMYFUNCTION("""COMPUTED_VALUE"""),"GV")</f>
        <v>GV</v>
      </c>
      <c r="M1250" s="43" t="str">
        <f>IFERROR(__xludf.DUMMYFUNCTION("""COMPUTED_VALUE"""),"short")</f>
        <v>short</v>
      </c>
      <c r="N1250" s="45">
        <f>IFERROR(__xludf.DUMMYFUNCTION("""COMPUTED_VALUE"""),45165.0)</f>
        <v>45165</v>
      </c>
      <c r="O1250" s="45">
        <f>IFERROR(__xludf.DUMMYFUNCTION("""COMPUTED_VALUE"""),45236.0)</f>
        <v>45236</v>
      </c>
      <c r="P1250" s="45">
        <f>IFERROR(__xludf.DUMMYFUNCTION("""COMPUTED_VALUE"""),45282.0)</f>
        <v>45282</v>
      </c>
      <c r="Q1250" s="45"/>
      <c r="R1250" s="45"/>
      <c r="S1250" s="43"/>
      <c r="T1250" s="43"/>
      <c r="U1250" s="43" t="str">
        <f>IFERROR(__xludf.DUMMYFUNCTION("""COMPUTED_VALUE"""),"Global Classroom")</f>
        <v>Global Classroom</v>
      </c>
      <c r="V1250" s="43" t="str">
        <f>IFERROR(__xludf.DUMMYFUNCTION("""COMPUTED_VALUE"""),"Mansoura")</f>
        <v>Mansoura</v>
      </c>
      <c r="W1250" s="43" t="str">
        <f>IFERROR(__xludf.DUMMYFUNCTION("""COMPUTED_VALUE"""),"2023-08-19T01:29:01Z")</f>
        <v>2023-08-19T01:29:01Z</v>
      </c>
      <c r="X1250" s="43"/>
      <c r="Y1250" s="43"/>
      <c r="Z1250" s="43"/>
    </row>
    <row r="1251" hidden="1">
      <c r="A1251" s="43" t="str">
        <f>IFERROR(__xludf.DUMMYFUNCTION("""COMPUTED_VALUE"""),"3310164_1296101")</f>
        <v>3310164_1296101</v>
      </c>
      <c r="B1251" s="43" t="str">
        <f>IFERROR(__xludf.DUMMYFUNCTION("""COMPUTED_VALUE"""),"Mennal Amjad Khan")</f>
        <v>Mennal Amjad Khan</v>
      </c>
      <c r="C1251" s="43" t="str">
        <f>IFERROR(__xludf.DUMMYFUNCTION("""COMPUTED_VALUE"""),"approved")</f>
        <v>approved</v>
      </c>
      <c r="D1251" s="43" t="str">
        <f>IFERROR(__xludf.DUMMYFUNCTION("""COMPUTED_VALUE"""),"No")</f>
        <v>No</v>
      </c>
      <c r="E1251" s="43" t="str">
        <f>IFERROR(__xludf.DUMMYFUNCTION("""COMPUTED_VALUE"""),"p_76e2dffc0bda5e2f507f28ee13638a0ab5e8fd6e@inbound.aiesec.org")</f>
        <v>p_76e2dffc0bda5e2f507f28ee13638a0ab5e8fd6e@inbound.aiesec.org</v>
      </c>
      <c r="F1251" s="43">
        <f>IFERROR(__xludf.DUMMYFUNCTION("""COMPUTED_VALUE"""),9.23005035425E11)</f>
        <v>923005035425</v>
      </c>
      <c r="G1251" s="43" t="str">
        <f>IFERROR(__xludf.DUMMYFUNCTION("""COMPUTED_VALUE"""),"Pakistan")</f>
        <v>Pakistan</v>
      </c>
      <c r="H1251" s="43" t="str">
        <f>IFERROR(__xludf.DUMMYFUNCTION("""COMPUTED_VALUE"""),"Islamabad")</f>
        <v>Islamabad</v>
      </c>
      <c r="I1251" s="43" t="str">
        <f>IFERROR(__xludf.DUMMYFUNCTION("""COMPUTED_VALUE"""),"Turkey")</f>
        <v>Turkey</v>
      </c>
      <c r="J1251" s="43" t="str">
        <f>IFERROR(__xludf.DUMMYFUNCTION("""COMPUTED_VALUE"""),"ANKARA")</f>
        <v>ANKARA</v>
      </c>
      <c r="K1251" s="44" t="str">
        <f>IFERROR(__xludf.DUMMYFUNCTION("""COMPUTED_VALUE"""),"https://expa.aiesec.org/opportunities/1296101")</f>
        <v>https://expa.aiesec.org/opportunities/1296101</v>
      </c>
      <c r="L1251" s="43" t="str">
        <f>IFERROR(__xludf.DUMMYFUNCTION("""COMPUTED_VALUE"""),"GV")</f>
        <v>GV</v>
      </c>
      <c r="M1251" s="43" t="str">
        <f>IFERROR(__xludf.DUMMYFUNCTION("""COMPUTED_VALUE"""),"short")</f>
        <v>short</v>
      </c>
      <c r="N1251" s="45">
        <f>IFERROR(__xludf.DUMMYFUNCTION("""COMPUTED_VALUE"""),45166.0)</f>
        <v>45166</v>
      </c>
      <c r="O1251" s="45">
        <f>IFERROR(__xludf.DUMMYFUNCTION("""COMPUTED_VALUE"""),45292.0)</f>
        <v>45292</v>
      </c>
      <c r="P1251" s="45">
        <f>IFERROR(__xludf.DUMMYFUNCTION("""COMPUTED_VALUE"""),45334.0)</f>
        <v>45334</v>
      </c>
      <c r="Q1251" s="45"/>
      <c r="R1251" s="45"/>
      <c r="S1251" s="43"/>
      <c r="T1251" s="43"/>
      <c r="U1251" s="43" t="str">
        <f>IFERROR(__xludf.DUMMYFUNCTION("""COMPUTED_VALUE"""),"Fingerprint")</f>
        <v>Fingerprint</v>
      </c>
      <c r="V1251" s="43" t="str">
        <f>IFERROR(__xludf.DUMMYFUNCTION("""COMPUTED_VALUE"""),"-")</f>
        <v>-</v>
      </c>
      <c r="W1251" s="43" t="str">
        <f>IFERROR(__xludf.DUMMYFUNCTION("""COMPUTED_VALUE"""),"2019-04-08T18:54:28Z")</f>
        <v>2019-04-08T18:54:28Z</v>
      </c>
      <c r="X1251" s="43"/>
      <c r="Y1251" s="43"/>
      <c r="Z1251" s="43"/>
    </row>
    <row r="1252" hidden="1">
      <c r="A1252" s="43" t="str">
        <f>IFERROR(__xludf.DUMMYFUNCTION("""COMPUTED_VALUE"""),"5307447_1296671")</f>
        <v>5307447_1296671</v>
      </c>
      <c r="B1252" s="43" t="str">
        <f>IFERROR(__xludf.DUMMYFUNCTION("""COMPUTED_VALUE"""),"Moaz Ahmed")</f>
        <v>Moaz Ahmed</v>
      </c>
      <c r="C1252" s="43" t="str">
        <f>IFERROR(__xludf.DUMMYFUNCTION("""COMPUTED_VALUE"""),"approved")</f>
        <v>approved</v>
      </c>
      <c r="D1252" s="43" t="str">
        <f>IFERROR(__xludf.DUMMYFUNCTION("""COMPUTED_VALUE"""),"No")</f>
        <v>No</v>
      </c>
      <c r="E1252" s="43" t="str">
        <f>IFERROR(__xludf.DUMMYFUNCTION("""COMPUTED_VALUE"""),"p_916b7f7038370d012f4f482240301d2ed95037fa@inbound.aiesec.org")</f>
        <v>p_916b7f7038370d012f4f482240301d2ed95037fa@inbound.aiesec.org</v>
      </c>
      <c r="F1252" s="43">
        <f>IFERROR(__xludf.DUMMYFUNCTION("""COMPUTED_VALUE"""),1.127144901E9)</f>
        <v>1127144901</v>
      </c>
      <c r="G1252" s="43" t="str">
        <f>IFERROR(__xludf.DUMMYFUNCTION("""COMPUTED_VALUE"""),"Egypt")</f>
        <v>Egypt</v>
      </c>
      <c r="H1252" s="43" t="str">
        <f>IFERROR(__xludf.DUMMYFUNCTION("""COMPUTED_VALUE"""),"Zagazig")</f>
        <v>Zagazig</v>
      </c>
      <c r="I1252" s="43" t="str">
        <f>IFERROR(__xludf.DUMMYFUNCTION("""COMPUTED_VALUE"""),"Turkey")</f>
        <v>Turkey</v>
      </c>
      <c r="J1252" s="43" t="str">
        <f>IFERROR(__xludf.DUMMYFUNCTION("""COMPUTED_VALUE"""),"BURSA")</f>
        <v>BURSA</v>
      </c>
      <c r="K1252" s="44" t="str">
        <f>IFERROR(__xludf.DUMMYFUNCTION("""COMPUTED_VALUE"""),"https://expa.aiesec.org/opportunities/1296671")</f>
        <v>https://expa.aiesec.org/opportunities/1296671</v>
      </c>
      <c r="L1252" s="43" t="str">
        <f>IFERROR(__xludf.DUMMYFUNCTION("""COMPUTED_VALUE"""),"GV")</f>
        <v>GV</v>
      </c>
      <c r="M1252" s="43" t="str">
        <f>IFERROR(__xludf.DUMMYFUNCTION("""COMPUTED_VALUE"""),"short")</f>
        <v>short</v>
      </c>
      <c r="N1252" s="45">
        <f>IFERROR(__xludf.DUMMYFUNCTION("""COMPUTED_VALUE"""),45166.0)</f>
        <v>45166</v>
      </c>
      <c r="O1252" s="45">
        <f>IFERROR(__xludf.DUMMYFUNCTION("""COMPUTED_VALUE"""),45327.0)</f>
        <v>45327</v>
      </c>
      <c r="P1252" s="45">
        <f>IFERROR(__xludf.DUMMYFUNCTION("""COMPUTED_VALUE"""),45369.0)</f>
        <v>45369</v>
      </c>
      <c r="Q1252" s="45"/>
      <c r="R1252" s="45"/>
      <c r="S1252" s="43"/>
      <c r="T1252" s="43"/>
      <c r="U1252" s="43" t="str">
        <f>IFERROR(__xludf.DUMMYFUNCTION("""COMPUTED_VALUE"""),"Youth 4 Impact")</f>
        <v>Youth 4 Impact</v>
      </c>
      <c r="V1252" s="43" t="str">
        <f>IFERROR(__xludf.DUMMYFUNCTION("""COMPUTED_VALUE"""),"Benha University")</f>
        <v>Benha University</v>
      </c>
      <c r="W1252" s="43" t="str">
        <f>IFERROR(__xludf.DUMMYFUNCTION("""COMPUTED_VALUE"""),"2023-08-22T18:16:16Z")</f>
        <v>2023-08-22T18:16:16Z</v>
      </c>
      <c r="X1252" s="43"/>
      <c r="Y1252" s="43"/>
      <c r="Z1252" s="43"/>
    </row>
    <row r="1253" hidden="1">
      <c r="A1253" s="43" t="str">
        <f>IFERROR(__xludf.DUMMYFUNCTION("""COMPUTED_VALUE"""),"5310965_1294878")</f>
        <v>5310965_1294878</v>
      </c>
      <c r="B1253" s="43" t="str">
        <f>IFERROR(__xludf.DUMMYFUNCTION("""COMPUTED_VALUE"""),"Safy Badr")</f>
        <v>Safy Badr</v>
      </c>
      <c r="C1253" s="43" t="str">
        <f>IFERROR(__xludf.DUMMYFUNCTION("""COMPUTED_VALUE"""),"approved")</f>
        <v>approved</v>
      </c>
      <c r="D1253" s="43" t="str">
        <f>IFERROR(__xludf.DUMMYFUNCTION("""COMPUTED_VALUE"""),"No")</f>
        <v>No</v>
      </c>
      <c r="E1253" s="43" t="str">
        <f>IFERROR(__xludf.DUMMYFUNCTION("""COMPUTED_VALUE"""),"p_abead48fea10648a2b13882c5284441df99e46e4@inbound.aiesec.org")</f>
        <v>p_abead48fea10648a2b13882c5284441df99e46e4@inbound.aiesec.org</v>
      </c>
      <c r="F1253" s="43">
        <f>IFERROR(__xludf.DUMMYFUNCTION("""COMPUTED_VALUE"""),1.098060475E9)</f>
        <v>1098060475</v>
      </c>
      <c r="G1253" s="43" t="str">
        <f>IFERROR(__xludf.DUMMYFUNCTION("""COMPUTED_VALUE"""),"Egypt")</f>
        <v>Egypt</v>
      </c>
      <c r="H1253" s="43" t="str">
        <f>IFERROR(__xludf.DUMMYFUNCTION("""COMPUTED_VALUE"""),"Zagazig")</f>
        <v>Zagazig</v>
      </c>
      <c r="I1253" s="43" t="str">
        <f>IFERROR(__xludf.DUMMYFUNCTION("""COMPUTED_VALUE"""),"Turkey")</f>
        <v>Turkey</v>
      </c>
      <c r="J1253" s="43" t="str">
        <f>IFERROR(__xludf.DUMMYFUNCTION("""COMPUTED_VALUE"""),"BURSA")</f>
        <v>BURSA</v>
      </c>
      <c r="K1253" s="44" t="str">
        <f>IFERROR(__xludf.DUMMYFUNCTION("""COMPUTED_VALUE"""),"https://expa.aiesec.org/opportunities/1294878")</f>
        <v>https://expa.aiesec.org/opportunities/1294878</v>
      </c>
      <c r="L1253" s="43" t="str">
        <f>IFERROR(__xludf.DUMMYFUNCTION("""COMPUTED_VALUE"""),"GV")</f>
        <v>GV</v>
      </c>
      <c r="M1253" s="43" t="str">
        <f>IFERROR(__xludf.DUMMYFUNCTION("""COMPUTED_VALUE"""),"short")</f>
        <v>short</v>
      </c>
      <c r="N1253" s="45">
        <f>IFERROR(__xludf.DUMMYFUNCTION("""COMPUTED_VALUE"""),45166.0)</f>
        <v>45166</v>
      </c>
      <c r="O1253" s="45">
        <f>IFERROR(__xludf.DUMMYFUNCTION("""COMPUTED_VALUE"""),45327.0)</f>
        <v>45327</v>
      </c>
      <c r="P1253" s="45">
        <f>IFERROR(__xludf.DUMMYFUNCTION("""COMPUTED_VALUE"""),45369.0)</f>
        <v>45369</v>
      </c>
      <c r="Q1253" s="45"/>
      <c r="R1253" s="45"/>
      <c r="S1253" s="43"/>
      <c r="T1253" s="43"/>
      <c r="U1253" s="43" t="str">
        <f>IFERROR(__xludf.DUMMYFUNCTION("""COMPUTED_VALUE"""),"Youth 4 Impact")</f>
        <v>Youth 4 Impact</v>
      </c>
      <c r="V1253" s="43" t="str">
        <f>IFERROR(__xludf.DUMMYFUNCTION("""COMPUTED_VALUE"""),"Zagazig")</f>
        <v>Zagazig</v>
      </c>
      <c r="W1253" s="43" t="str">
        <f>IFERROR(__xludf.DUMMYFUNCTION("""COMPUTED_VALUE"""),"2023-08-27T16:10:50Z")</f>
        <v>2023-08-27T16:10:50Z</v>
      </c>
      <c r="X1253" s="43"/>
      <c r="Y1253" s="43"/>
      <c r="Z1253" s="43"/>
    </row>
    <row r="1254" hidden="1">
      <c r="A1254" s="43" t="str">
        <f>IFERROR(__xludf.DUMMYFUNCTION("""COMPUTED_VALUE"""),"5308825_1289502")</f>
        <v>5308825_1289502</v>
      </c>
      <c r="B1254" s="43" t="str">
        <f>IFERROR(__xludf.DUMMYFUNCTION("""COMPUTED_VALUE"""),"mariam mohamed")</f>
        <v>mariam mohamed</v>
      </c>
      <c r="C1254" s="43" t="str">
        <f>IFERROR(__xludf.DUMMYFUNCTION("""COMPUTED_VALUE"""),"approved")</f>
        <v>approved</v>
      </c>
      <c r="D1254" s="43" t="str">
        <f>IFERROR(__xludf.DUMMYFUNCTION("""COMPUTED_VALUE"""),"No")</f>
        <v>No</v>
      </c>
      <c r="E1254" s="43" t="str">
        <f>IFERROR(__xludf.DUMMYFUNCTION("""COMPUTED_VALUE"""),"p_718c7adb9727b85ad4f31fd2eb054e08e3fb8acc@inbound.aiesec.org")</f>
        <v>p_718c7adb9727b85ad4f31fd2eb054e08e3fb8acc@inbound.aiesec.org</v>
      </c>
      <c r="F1254" s="43">
        <f>IFERROR(__xludf.DUMMYFUNCTION("""COMPUTED_VALUE"""),1.099091444E9)</f>
        <v>1099091444</v>
      </c>
      <c r="G1254" s="43" t="str">
        <f>IFERROR(__xludf.DUMMYFUNCTION("""COMPUTED_VALUE"""),"Egypt")</f>
        <v>Egypt</v>
      </c>
      <c r="H1254" s="43" t="str">
        <f>IFERROR(__xludf.DUMMYFUNCTION("""COMPUTED_VALUE"""),"MSA")</f>
        <v>MSA</v>
      </c>
      <c r="I1254" s="43" t="str">
        <f>IFERROR(__xludf.DUMMYFUNCTION("""COMPUTED_VALUE"""),"Turkey")</f>
        <v>Turkey</v>
      </c>
      <c r="J1254" s="43" t="str">
        <f>IFERROR(__xludf.DUMMYFUNCTION("""COMPUTED_VALUE"""),"BURSA")</f>
        <v>BURSA</v>
      </c>
      <c r="K1254" s="44" t="str">
        <f>IFERROR(__xludf.DUMMYFUNCTION("""COMPUTED_VALUE"""),"https://expa.aiesec.org/opportunities/1289502")</f>
        <v>https://expa.aiesec.org/opportunities/1289502</v>
      </c>
      <c r="L1254" s="43" t="str">
        <f>IFERROR(__xludf.DUMMYFUNCTION("""COMPUTED_VALUE"""),"GV")</f>
        <v>GV</v>
      </c>
      <c r="M1254" s="43" t="str">
        <f>IFERROR(__xludf.DUMMYFUNCTION("""COMPUTED_VALUE"""),"short")</f>
        <v>short</v>
      </c>
      <c r="N1254" s="45">
        <f>IFERROR(__xludf.DUMMYFUNCTION("""COMPUTED_VALUE"""),45167.0)</f>
        <v>45167</v>
      </c>
      <c r="O1254" s="45">
        <f>IFERROR(__xludf.DUMMYFUNCTION("""COMPUTED_VALUE"""),45341.0)</f>
        <v>45341</v>
      </c>
      <c r="P1254" s="45">
        <f>IFERROR(__xludf.DUMMYFUNCTION("""COMPUTED_VALUE"""),45383.0)</f>
        <v>45383</v>
      </c>
      <c r="Q1254" s="45"/>
      <c r="R1254" s="45"/>
      <c r="S1254" s="43"/>
      <c r="T1254" s="43"/>
      <c r="U1254" s="43" t="str">
        <f>IFERROR(__xludf.DUMMYFUNCTION("""COMPUTED_VALUE"""),"Youth 4 Impact")</f>
        <v>Youth 4 Impact</v>
      </c>
      <c r="V1254" s="43" t="str">
        <f>IFERROR(__xludf.DUMMYFUNCTION("""COMPUTED_VALUE"""),"Ahram Canadian University")</f>
        <v>Ahram Canadian University</v>
      </c>
      <c r="W1254" s="43" t="str">
        <f>IFERROR(__xludf.DUMMYFUNCTION("""COMPUTED_VALUE"""),"2023-08-24T18:30:02Z")</f>
        <v>2023-08-24T18:30:02Z</v>
      </c>
      <c r="X1254" s="43"/>
      <c r="Y1254" s="43"/>
      <c r="Z1254" s="43"/>
    </row>
    <row r="1255" hidden="1">
      <c r="A1255" s="43" t="str">
        <f>IFERROR(__xludf.DUMMYFUNCTION("""COMPUTED_VALUE"""),"5306446_1286326")</f>
        <v>5306446_1286326</v>
      </c>
      <c r="B1255" s="43" t="str">
        <f>IFERROR(__xludf.DUMMYFUNCTION("""COMPUTED_VALUE"""),"Polina Zaiats")</f>
        <v>Polina Zaiats</v>
      </c>
      <c r="C1255" s="43" t="str">
        <f>IFERROR(__xludf.DUMMYFUNCTION("""COMPUTED_VALUE"""),"realized")</f>
        <v>realized</v>
      </c>
      <c r="D1255" s="43" t="str">
        <f>IFERROR(__xludf.DUMMYFUNCTION("""COMPUTED_VALUE"""),"No")</f>
        <v>No</v>
      </c>
      <c r="E1255" s="43" t="str">
        <f>IFERROR(__xludf.DUMMYFUNCTION("""COMPUTED_VALUE"""),"p_7c566e28b637d1da23b38bb3fc7d7178b264e9dc@inbound.aiesec.org")</f>
        <v>p_7c566e28b637d1da23b38bb3fc7d7178b264e9dc@inbound.aiesec.org</v>
      </c>
      <c r="F1255" s="43">
        <f>IFERROR(__xludf.DUMMYFUNCTION("""COMPUTED_VALUE"""),6.66510373E8)</f>
        <v>666510373</v>
      </c>
      <c r="G1255" s="43" t="str">
        <f>IFERROR(__xludf.DUMMYFUNCTION("""COMPUTED_VALUE"""),"Ukraine")</f>
        <v>Ukraine</v>
      </c>
      <c r="H1255" s="43" t="str">
        <f>IFERROR(__xludf.DUMMYFUNCTION("""COMPUTED_VALUE"""),"VINNYTSIA")</f>
        <v>VINNYTSIA</v>
      </c>
      <c r="I1255" s="43" t="str">
        <f>IFERROR(__xludf.DUMMYFUNCTION("""COMPUTED_VALUE"""),"Turkey")</f>
        <v>Turkey</v>
      </c>
      <c r="J1255" s="43" t="str">
        <f>IFERROR(__xludf.DUMMYFUNCTION("""COMPUTED_VALUE"""),"ADANA")</f>
        <v>ADANA</v>
      </c>
      <c r="K1255" s="44" t="str">
        <f>IFERROR(__xludf.DUMMYFUNCTION("""COMPUTED_VALUE"""),"https://expa.aiesec.org/opportunities/1286326")</f>
        <v>https://expa.aiesec.org/opportunities/1286326</v>
      </c>
      <c r="L1255" s="43" t="str">
        <f>IFERROR(__xludf.DUMMYFUNCTION("""COMPUTED_VALUE"""),"GV")</f>
        <v>GV</v>
      </c>
      <c r="M1255" s="43" t="str">
        <f>IFERROR(__xludf.DUMMYFUNCTION("""COMPUTED_VALUE"""),"short")</f>
        <v>short</v>
      </c>
      <c r="N1255" s="45">
        <f>IFERROR(__xludf.DUMMYFUNCTION("""COMPUTED_VALUE"""),45167.0)</f>
        <v>45167</v>
      </c>
      <c r="O1255" s="45">
        <f>IFERROR(__xludf.DUMMYFUNCTION("""COMPUTED_VALUE"""),45299.0)</f>
        <v>45299</v>
      </c>
      <c r="P1255" s="45">
        <f>IFERROR(__xludf.DUMMYFUNCTION("""COMPUTED_VALUE"""),45341.0)</f>
        <v>45341</v>
      </c>
      <c r="Q1255" s="45">
        <f>IFERROR(__xludf.DUMMYFUNCTION("""COMPUTED_VALUE"""),45300.0)</f>
        <v>45300</v>
      </c>
      <c r="R1255" s="45">
        <f>IFERROR(__xludf.DUMMYFUNCTION("""COMPUTED_VALUE"""),45341.0)</f>
        <v>45341</v>
      </c>
      <c r="S1255" s="43"/>
      <c r="T1255" s="43"/>
      <c r="U1255" s="43" t="str">
        <f>IFERROR(__xludf.DUMMYFUNCTION("""COMPUTED_VALUE"""),"Equify")</f>
        <v>Equify</v>
      </c>
      <c r="V1255" s="43" t="str">
        <f>IFERROR(__xludf.DUMMYFUNCTION("""COMPUTED_VALUE"""),"Vinnytsia")</f>
        <v>Vinnytsia</v>
      </c>
      <c r="W1255" s="43" t="str">
        <f>IFERROR(__xludf.DUMMYFUNCTION("""COMPUTED_VALUE"""),"2023-08-21T12:12:34Z")</f>
        <v>2023-08-21T12:12:34Z</v>
      </c>
      <c r="X1255" s="43"/>
      <c r="Y1255" s="43"/>
      <c r="Z1255" s="43"/>
    </row>
    <row r="1256" hidden="1">
      <c r="A1256" s="43" t="str">
        <f>IFERROR(__xludf.DUMMYFUNCTION("""COMPUTED_VALUE"""),"3027840_1296105")</f>
        <v>3027840_1296105</v>
      </c>
      <c r="B1256" s="43" t="str">
        <f>IFERROR(__xludf.DUMMYFUNCTION("""COMPUTED_VALUE"""),"Haris Naeem")</f>
        <v>Haris Naeem</v>
      </c>
      <c r="C1256" s="43" t="str">
        <f>IFERROR(__xludf.DUMMYFUNCTION("""COMPUTED_VALUE"""),"approved")</f>
        <v>approved</v>
      </c>
      <c r="D1256" s="43" t="str">
        <f>IFERROR(__xludf.DUMMYFUNCTION("""COMPUTED_VALUE"""),"No")</f>
        <v>No</v>
      </c>
      <c r="E1256" s="43" t="str">
        <f>IFERROR(__xludf.DUMMYFUNCTION("""COMPUTED_VALUE"""),"p_29ee42997427ca8aacc3a5c3aa4e2fd363e34a13@inbound.aiesec.org")</f>
        <v>p_29ee42997427ca8aacc3a5c3aa4e2fd363e34a13@inbound.aiesec.org</v>
      </c>
      <c r="F1256" s="43">
        <f>IFERROR(__xludf.DUMMYFUNCTION("""COMPUTED_VALUE"""),3.009101273E9)</f>
        <v>3009101273</v>
      </c>
      <c r="G1256" s="43" t="str">
        <f>IFERROR(__xludf.DUMMYFUNCTION("""COMPUTED_VALUE"""),"Pakistan")</f>
        <v>Pakistan</v>
      </c>
      <c r="H1256" s="43" t="str">
        <f>IFERROR(__xludf.DUMMYFUNCTION("""COMPUTED_VALUE"""),"Islamabad")</f>
        <v>Islamabad</v>
      </c>
      <c r="I1256" s="43" t="str">
        <f>IFERROR(__xludf.DUMMYFUNCTION("""COMPUTED_VALUE"""),"Turkey")</f>
        <v>Turkey</v>
      </c>
      <c r="J1256" s="43" t="str">
        <f>IFERROR(__xludf.DUMMYFUNCTION("""COMPUTED_VALUE"""),"ANKARA")</f>
        <v>ANKARA</v>
      </c>
      <c r="K1256" s="44" t="str">
        <f>IFERROR(__xludf.DUMMYFUNCTION("""COMPUTED_VALUE"""),"https://expa.aiesec.org/opportunities/1296105")</f>
        <v>https://expa.aiesec.org/opportunities/1296105</v>
      </c>
      <c r="L1256" s="43" t="str">
        <f>IFERROR(__xludf.DUMMYFUNCTION("""COMPUTED_VALUE"""),"GV")</f>
        <v>GV</v>
      </c>
      <c r="M1256" s="43" t="str">
        <f>IFERROR(__xludf.DUMMYFUNCTION("""COMPUTED_VALUE"""),"short")</f>
        <v>short</v>
      </c>
      <c r="N1256" s="45">
        <f>IFERROR(__xludf.DUMMYFUNCTION("""COMPUTED_VALUE"""),45167.0)</f>
        <v>45167</v>
      </c>
      <c r="O1256" s="45">
        <f>IFERROR(__xludf.DUMMYFUNCTION("""COMPUTED_VALUE"""),45264.0)</f>
        <v>45264</v>
      </c>
      <c r="P1256" s="45">
        <f>IFERROR(__xludf.DUMMYFUNCTION("""COMPUTED_VALUE"""),45306.0)</f>
        <v>45306</v>
      </c>
      <c r="Q1256" s="45"/>
      <c r="R1256" s="45"/>
      <c r="S1256" s="43"/>
      <c r="T1256" s="43"/>
      <c r="U1256" s="43" t="str">
        <f>IFERROR(__xludf.DUMMYFUNCTION("""COMPUTED_VALUE"""),"Fingerprint")</f>
        <v>Fingerprint</v>
      </c>
      <c r="V1256" s="43" t="str">
        <f>IFERROR(__xludf.DUMMYFUNCTION("""COMPUTED_VALUE"""),"-")</f>
        <v>-</v>
      </c>
      <c r="W1256" s="43" t="str">
        <f>IFERROR(__xludf.DUMMYFUNCTION("""COMPUTED_VALUE"""),"2019-01-20T15:15:41Z")</f>
        <v>2019-01-20T15:15:41Z</v>
      </c>
      <c r="X1256" s="43"/>
      <c r="Y1256" s="43"/>
      <c r="Z1256" s="43"/>
    </row>
    <row r="1257" hidden="1">
      <c r="A1257" s="43" t="str">
        <f>IFERROR(__xludf.DUMMYFUNCTION("""COMPUTED_VALUE"""),"5307991_1297990")</f>
        <v>5307991_1297990</v>
      </c>
      <c r="B1257" s="43" t="str">
        <f>IFERROR(__xludf.DUMMYFUNCTION("""COMPUTED_VALUE"""),"Natasa Markovic")</f>
        <v>Natasa Markovic</v>
      </c>
      <c r="C1257" s="43" t="str">
        <f>IFERROR(__xludf.DUMMYFUNCTION("""COMPUTED_VALUE"""),"finished")</f>
        <v>finished</v>
      </c>
      <c r="D1257" s="43" t="str">
        <f>IFERROR(__xludf.DUMMYFUNCTION("""COMPUTED_VALUE"""),"No")</f>
        <v>No</v>
      </c>
      <c r="E1257" s="43" t="str">
        <f>IFERROR(__xludf.DUMMYFUNCTION("""COMPUTED_VALUE"""),"p_859149a7cadf1f85a3943fa6274f7029deaa4a1c@inbound.aiesec.org")</f>
        <v>p_859149a7cadf1f85a3943fa6274f7029deaa4a1c@inbound.aiesec.org</v>
      </c>
      <c r="F1257" s="43">
        <f>IFERROR(__xludf.DUMMYFUNCTION("""COMPUTED_VALUE"""),6.3522029E7)</f>
        <v>63522029</v>
      </c>
      <c r="G1257" s="43" t="str">
        <f>IFERROR(__xludf.DUMMYFUNCTION("""COMPUTED_VALUE"""),"Serbia")</f>
        <v>Serbia</v>
      </c>
      <c r="H1257" s="43" t="str">
        <f>IFERROR(__xludf.DUMMYFUNCTION("""COMPUTED_VALUE"""),"Belgrade Faculty of Economics (EF)")</f>
        <v>Belgrade Faculty of Economics (EF)</v>
      </c>
      <c r="I1257" s="43" t="str">
        <f>IFERROR(__xludf.DUMMYFUNCTION("""COMPUTED_VALUE"""),"Turkey")</f>
        <v>Turkey</v>
      </c>
      <c r="J1257" s="43" t="str">
        <f>IFERROR(__xludf.DUMMYFUNCTION("""COMPUTED_VALUE"""),"İZMİR")</f>
        <v>İZMİR</v>
      </c>
      <c r="K1257" s="44" t="str">
        <f>IFERROR(__xludf.DUMMYFUNCTION("""COMPUTED_VALUE"""),"https://expa.aiesec.org/opportunities/1297990")</f>
        <v>https://expa.aiesec.org/opportunities/1297990</v>
      </c>
      <c r="L1257" s="43" t="str">
        <f>IFERROR(__xludf.DUMMYFUNCTION("""COMPUTED_VALUE"""),"GV")</f>
        <v>GV</v>
      </c>
      <c r="M1257" s="43" t="str">
        <f>IFERROR(__xludf.DUMMYFUNCTION("""COMPUTED_VALUE"""),"short")</f>
        <v>short</v>
      </c>
      <c r="N1257" s="45">
        <f>IFERROR(__xludf.DUMMYFUNCTION("""COMPUTED_VALUE"""),45168.0)</f>
        <v>45168</v>
      </c>
      <c r="O1257" s="45">
        <f>IFERROR(__xludf.DUMMYFUNCTION("""COMPUTED_VALUE"""),45214.0)</f>
        <v>45214</v>
      </c>
      <c r="P1257" s="45">
        <f>IFERROR(__xludf.DUMMYFUNCTION("""COMPUTED_VALUE"""),45256.0)</f>
        <v>45256</v>
      </c>
      <c r="Q1257" s="45">
        <f>IFERROR(__xludf.DUMMYFUNCTION("""COMPUTED_VALUE"""),45226.0)</f>
        <v>45226</v>
      </c>
      <c r="R1257" s="45">
        <f>IFERROR(__xludf.DUMMYFUNCTION("""COMPUTED_VALUE"""),45268.0)</f>
        <v>45268</v>
      </c>
      <c r="S1257" s="43"/>
      <c r="T1257" s="43"/>
      <c r="U1257" s="43" t="str">
        <f>IFERROR(__xludf.DUMMYFUNCTION("""COMPUTED_VALUE"""),"Fingerprint")</f>
        <v>Fingerprint</v>
      </c>
      <c r="V1257" s="43" t="str">
        <f>IFERROR(__xludf.DUMMYFUNCTION("""COMPUTED_VALUE"""),"Faculty of Economics, Belgrade")</f>
        <v>Faculty of Economics, Belgrade</v>
      </c>
      <c r="W1257" s="43" t="str">
        <f>IFERROR(__xludf.DUMMYFUNCTION("""COMPUTED_VALUE"""),"2023-08-23T14:45:29Z")</f>
        <v>2023-08-23T14:45:29Z</v>
      </c>
      <c r="X1257" s="43"/>
      <c r="Y1257" s="43"/>
      <c r="Z1257" s="43"/>
    </row>
    <row r="1258" hidden="1">
      <c r="A1258" s="43" t="str">
        <f>IFERROR(__xludf.DUMMYFUNCTION("""COMPUTED_VALUE"""),"3751580_1279126")</f>
        <v>3751580_1279126</v>
      </c>
      <c r="B1258" s="43" t="str">
        <f>IFERROR(__xludf.DUMMYFUNCTION("""COMPUTED_VALUE"""),"Carlos Segundo")</f>
        <v>Carlos Segundo</v>
      </c>
      <c r="C1258" s="43" t="str">
        <f>IFERROR(__xludf.DUMMYFUNCTION("""COMPUTED_VALUE"""),"approved")</f>
        <v>approved</v>
      </c>
      <c r="D1258" s="43" t="str">
        <f>IFERROR(__xludf.DUMMYFUNCTION("""COMPUTED_VALUE"""),"No")</f>
        <v>No</v>
      </c>
      <c r="E1258" s="43" t="str">
        <f>IFERROR(__xludf.DUMMYFUNCTION("""COMPUTED_VALUE"""),"p_990996cdbec22d02fa7fa00f089ff8b1e8bb0203@inbound.aiesec.org")</f>
        <v>p_990996cdbec22d02fa7fa00f089ff8b1e8bb0203@inbound.aiesec.org</v>
      </c>
      <c r="F1258" s="43"/>
      <c r="G1258" s="43" t="str">
        <f>IFERROR(__xludf.DUMMYFUNCTION("""COMPUTED_VALUE"""),"Brazil")</f>
        <v>Brazil</v>
      </c>
      <c r="H1258" s="43" t="str">
        <f>IFERROR(__xludf.DUMMYFUNCTION("""COMPUTED_VALUE"""),"SALVADOR")</f>
        <v>SALVADOR</v>
      </c>
      <c r="I1258" s="43" t="str">
        <f>IFERROR(__xludf.DUMMYFUNCTION("""COMPUTED_VALUE"""),"Turkey")</f>
        <v>Turkey</v>
      </c>
      <c r="J1258" s="43" t="str">
        <f>IFERROR(__xludf.DUMMYFUNCTION("""COMPUTED_VALUE"""),"KOCAELI")</f>
        <v>KOCAELI</v>
      </c>
      <c r="K1258" s="44" t="str">
        <f>IFERROR(__xludf.DUMMYFUNCTION("""COMPUTED_VALUE"""),"https://expa.aiesec.org/opportunities/1279126")</f>
        <v>https://expa.aiesec.org/opportunities/1279126</v>
      </c>
      <c r="L1258" s="43" t="str">
        <f>IFERROR(__xludf.DUMMYFUNCTION("""COMPUTED_VALUE"""),"GV")</f>
        <v>GV</v>
      </c>
      <c r="M1258" s="43" t="str">
        <f>IFERROR(__xludf.DUMMYFUNCTION("""COMPUTED_VALUE"""),"short")</f>
        <v>short</v>
      </c>
      <c r="N1258" s="45">
        <f>IFERROR(__xludf.DUMMYFUNCTION("""COMPUTED_VALUE"""),45168.0)</f>
        <v>45168</v>
      </c>
      <c r="O1258" s="45">
        <f>IFERROR(__xludf.DUMMYFUNCTION("""COMPUTED_VALUE"""),45458.0)</f>
        <v>45458</v>
      </c>
      <c r="P1258" s="45">
        <f>IFERROR(__xludf.DUMMYFUNCTION("""COMPUTED_VALUE"""),45500.0)</f>
        <v>45500</v>
      </c>
      <c r="Q1258" s="45"/>
      <c r="R1258" s="45"/>
      <c r="S1258" s="43"/>
      <c r="T1258" s="43"/>
      <c r="U1258" s="43" t="str">
        <f>IFERROR(__xludf.DUMMYFUNCTION("""COMPUTED_VALUE"""),"Global Classroom")</f>
        <v>Global Classroom</v>
      </c>
      <c r="V1258" s="43" t="str">
        <f>IFERROR(__xludf.DUMMYFUNCTION("""COMPUTED_VALUE"""),"Salvador")</f>
        <v>Salvador</v>
      </c>
      <c r="W1258" s="43" t="str">
        <f>IFERROR(__xludf.DUMMYFUNCTION("""COMPUTED_VALUE"""),"2019-08-08T13:51:38Z")</f>
        <v>2019-08-08T13:51:38Z</v>
      </c>
      <c r="X1258" s="43"/>
      <c r="Y1258" s="43"/>
      <c r="Z1258" s="43"/>
    </row>
    <row r="1259" hidden="1">
      <c r="A1259" s="43" t="str">
        <f>IFERROR(__xludf.DUMMYFUNCTION("""COMPUTED_VALUE"""),"5302538_1292557")</f>
        <v>5302538_1292557</v>
      </c>
      <c r="B1259" s="43" t="str">
        <f>IFERROR(__xludf.DUMMYFUNCTION("""COMPUTED_VALUE"""),"Anthonia Obinna")</f>
        <v>Anthonia Obinna</v>
      </c>
      <c r="C1259" s="43" t="str">
        <f>IFERROR(__xludf.DUMMYFUNCTION("""COMPUTED_VALUE"""),"approved")</f>
        <v>approved</v>
      </c>
      <c r="D1259" s="43" t="str">
        <f>IFERROR(__xludf.DUMMYFUNCTION("""COMPUTED_VALUE"""),"No")</f>
        <v>No</v>
      </c>
      <c r="E1259" s="43" t="str">
        <f>IFERROR(__xludf.DUMMYFUNCTION("""COMPUTED_VALUE"""),"p_36849ddebba501cd7032e32cd951fd81e8f3225b@inbound.aiesec.org")</f>
        <v>p_36849ddebba501cd7032e32cd951fd81e8f3225b@inbound.aiesec.org</v>
      </c>
      <c r="F1259" s="43">
        <f>IFERROR(__xludf.DUMMYFUNCTION("""COMPUTED_VALUE"""),9.030680006E9)</f>
        <v>9030680006</v>
      </c>
      <c r="G1259" s="43" t="str">
        <f>IFERROR(__xludf.DUMMYFUNCTION("""COMPUTED_VALUE"""),"Nigeria")</f>
        <v>Nigeria</v>
      </c>
      <c r="H1259" s="43" t="str">
        <f>IFERROR(__xludf.DUMMYFUNCTION("""COMPUTED_VALUE"""),"Nig")</f>
        <v>Nig</v>
      </c>
      <c r="I1259" s="43" t="str">
        <f>IFERROR(__xludf.DUMMYFUNCTION("""COMPUTED_VALUE"""),"Turkey")</f>
        <v>Turkey</v>
      </c>
      <c r="J1259" s="43" t="str">
        <f>IFERROR(__xludf.DUMMYFUNCTION("""COMPUTED_VALUE"""),"DENIZLI")</f>
        <v>DENIZLI</v>
      </c>
      <c r="K1259" s="44" t="str">
        <f>IFERROR(__xludf.DUMMYFUNCTION("""COMPUTED_VALUE"""),"https://expa.aiesec.org/opportunities/1292557")</f>
        <v>https://expa.aiesec.org/opportunities/1292557</v>
      </c>
      <c r="L1259" s="43" t="str">
        <f>IFERROR(__xludf.DUMMYFUNCTION("""COMPUTED_VALUE"""),"GV")</f>
        <v>GV</v>
      </c>
      <c r="M1259" s="43" t="str">
        <f>IFERROR(__xludf.DUMMYFUNCTION("""COMPUTED_VALUE"""),"short")</f>
        <v>short</v>
      </c>
      <c r="N1259" s="45">
        <f>IFERROR(__xludf.DUMMYFUNCTION("""COMPUTED_VALUE"""),45168.0)</f>
        <v>45168</v>
      </c>
      <c r="O1259" s="45">
        <f>IFERROR(__xludf.DUMMYFUNCTION("""COMPUTED_VALUE"""),45488.0)</f>
        <v>45488</v>
      </c>
      <c r="P1259" s="45">
        <f>IFERROR(__xludf.DUMMYFUNCTION("""COMPUTED_VALUE"""),45530.0)</f>
        <v>45530</v>
      </c>
      <c r="Q1259" s="45"/>
      <c r="R1259" s="45"/>
      <c r="S1259" s="43"/>
      <c r="T1259" s="43"/>
      <c r="U1259" s="43" t="str">
        <f>IFERROR(__xludf.DUMMYFUNCTION("""COMPUTED_VALUE"""),"Equify")</f>
        <v>Equify</v>
      </c>
      <c r="V1259" s="43" t="str">
        <f>IFERROR(__xludf.DUMMYFUNCTION("""COMPUTED_VALUE"""),"Others")</f>
        <v>Others</v>
      </c>
      <c r="W1259" s="43" t="str">
        <f>IFERROR(__xludf.DUMMYFUNCTION("""COMPUTED_VALUE"""),"2023-08-14T18:21:29Z")</f>
        <v>2023-08-14T18:21:29Z</v>
      </c>
      <c r="X1259" s="43"/>
      <c r="Y1259" s="43"/>
      <c r="Z1259" s="43"/>
    </row>
    <row r="1260" hidden="1">
      <c r="A1260" s="43" t="str">
        <f>IFERROR(__xludf.DUMMYFUNCTION("""COMPUTED_VALUE"""),"5278528_1297247")</f>
        <v>5278528_1297247</v>
      </c>
      <c r="B1260" s="43" t="str">
        <f>IFERROR(__xludf.DUMMYFUNCTION("""COMPUTED_VALUE"""),"fatma jazzar")</f>
        <v>fatma jazzar</v>
      </c>
      <c r="C1260" s="43" t="str">
        <f>IFERROR(__xludf.DUMMYFUNCTION("""COMPUTED_VALUE"""),"completed")</f>
        <v>completed</v>
      </c>
      <c r="D1260" s="43" t="str">
        <f>IFERROR(__xludf.DUMMYFUNCTION("""COMPUTED_VALUE"""),"No")</f>
        <v>No</v>
      </c>
      <c r="E1260" s="43" t="str">
        <f>IFERROR(__xludf.DUMMYFUNCTION("""COMPUTED_VALUE"""),"p_937139bc7949524844f3c423cb956279f16ac79c@inbound.aiesec.org")</f>
        <v>p_937139bc7949524844f3c423cb956279f16ac79c@inbound.aiesec.org</v>
      </c>
      <c r="F1260" s="43"/>
      <c r="G1260" s="43" t="str">
        <f>IFERROR(__xludf.DUMMYFUNCTION("""COMPUTED_VALUE"""),"Tunisia")</f>
        <v>Tunisia</v>
      </c>
      <c r="H1260" s="43" t="str">
        <f>IFERROR(__xludf.DUMMYFUNCTION("""COMPUTED_VALUE"""),"Carthage")</f>
        <v>Carthage</v>
      </c>
      <c r="I1260" s="43" t="str">
        <f>IFERROR(__xludf.DUMMYFUNCTION("""COMPUTED_VALUE"""),"Turkey")</f>
        <v>Turkey</v>
      </c>
      <c r="J1260" s="43" t="str">
        <f>IFERROR(__xludf.DUMMYFUNCTION("""COMPUTED_VALUE"""),"KOCAELI")</f>
        <v>KOCAELI</v>
      </c>
      <c r="K1260" s="44" t="str">
        <f>IFERROR(__xludf.DUMMYFUNCTION("""COMPUTED_VALUE"""),"https://expa.aiesec.org/opportunities/1297247")</f>
        <v>https://expa.aiesec.org/opportunities/1297247</v>
      </c>
      <c r="L1260" s="43" t="str">
        <f>IFERROR(__xludf.DUMMYFUNCTION("""COMPUTED_VALUE"""),"GV")</f>
        <v>GV</v>
      </c>
      <c r="M1260" s="43" t="str">
        <f>IFERROR(__xludf.DUMMYFUNCTION("""COMPUTED_VALUE"""),"short")</f>
        <v>short</v>
      </c>
      <c r="N1260" s="45">
        <f>IFERROR(__xludf.DUMMYFUNCTION("""COMPUTED_VALUE"""),45168.0)</f>
        <v>45168</v>
      </c>
      <c r="O1260" s="45">
        <f>IFERROR(__xludf.DUMMYFUNCTION("""COMPUTED_VALUE"""),45178.0)</f>
        <v>45178</v>
      </c>
      <c r="P1260" s="45">
        <f>IFERROR(__xludf.DUMMYFUNCTION("""COMPUTED_VALUE"""),45220.0)</f>
        <v>45220</v>
      </c>
      <c r="Q1260" s="45">
        <f>IFERROR(__xludf.DUMMYFUNCTION("""COMPUTED_VALUE"""),45180.0)</f>
        <v>45180</v>
      </c>
      <c r="R1260" s="45">
        <f>IFERROR(__xludf.DUMMYFUNCTION("""COMPUTED_VALUE"""),45220.0)</f>
        <v>45220</v>
      </c>
      <c r="S1260" s="43"/>
      <c r="T1260" s="43"/>
      <c r="U1260" s="43" t="str">
        <f>IFERROR(__xludf.DUMMYFUNCTION("""COMPUTED_VALUE"""),"Global Classroom")</f>
        <v>Global Classroom</v>
      </c>
      <c r="V1260" s="43" t="str">
        <f>IFERROR(__xludf.DUMMYFUNCTION("""COMPUTED_VALUE"""),"-")</f>
        <v>-</v>
      </c>
      <c r="W1260" s="43" t="str">
        <f>IFERROR(__xludf.DUMMYFUNCTION("""COMPUTED_VALUE"""),"2023-06-23T00:13:17Z")</f>
        <v>2023-06-23T00:13:17Z</v>
      </c>
      <c r="X1260" s="43"/>
      <c r="Y1260" s="43"/>
      <c r="Z1260" s="43"/>
    </row>
    <row r="1261" hidden="1">
      <c r="A1261" s="43" t="str">
        <f>IFERROR(__xludf.DUMMYFUNCTION("""COMPUTED_VALUE"""),"5300220_1296671")</f>
        <v>5300220_1296671</v>
      </c>
      <c r="B1261" s="43" t="str">
        <f>IFERROR(__xludf.DUMMYFUNCTION("""COMPUTED_VALUE"""),"BALTI Youser")</f>
        <v>BALTI Youser</v>
      </c>
      <c r="C1261" s="43" t="str">
        <f>IFERROR(__xludf.DUMMYFUNCTION("""COMPUTED_VALUE"""),"completed")</f>
        <v>completed</v>
      </c>
      <c r="D1261" s="43" t="str">
        <f>IFERROR(__xludf.DUMMYFUNCTION("""COMPUTED_VALUE"""),"No")</f>
        <v>No</v>
      </c>
      <c r="E1261" s="43" t="str">
        <f>IFERROR(__xludf.DUMMYFUNCTION("""COMPUTED_VALUE"""),"p_42f2d2f57e55df2e213e5a66b1f43f78d9d86373@inbound.aiesec.org")</f>
        <v>p_42f2d2f57e55df2e213e5a66b1f43f78d9d86373@inbound.aiesec.org</v>
      </c>
      <c r="F1261" s="43"/>
      <c r="G1261" s="43" t="str">
        <f>IFERROR(__xludf.DUMMYFUNCTION("""COMPUTED_VALUE"""),"Tunisia")</f>
        <v>Tunisia</v>
      </c>
      <c r="H1261" s="43" t="str">
        <f>IFERROR(__xludf.DUMMYFUNCTION("""COMPUTED_VALUE"""),"BARDO")</f>
        <v>BARDO</v>
      </c>
      <c r="I1261" s="43" t="str">
        <f>IFERROR(__xludf.DUMMYFUNCTION("""COMPUTED_VALUE"""),"Turkey")</f>
        <v>Turkey</v>
      </c>
      <c r="J1261" s="43" t="str">
        <f>IFERROR(__xludf.DUMMYFUNCTION("""COMPUTED_VALUE"""),"BURSA")</f>
        <v>BURSA</v>
      </c>
      <c r="K1261" s="44" t="str">
        <f>IFERROR(__xludf.DUMMYFUNCTION("""COMPUTED_VALUE"""),"https://expa.aiesec.org/opportunities/1296671")</f>
        <v>https://expa.aiesec.org/opportunities/1296671</v>
      </c>
      <c r="L1261" s="43" t="str">
        <f>IFERROR(__xludf.DUMMYFUNCTION("""COMPUTED_VALUE"""),"GV")</f>
        <v>GV</v>
      </c>
      <c r="M1261" s="43" t="str">
        <f>IFERROR(__xludf.DUMMYFUNCTION("""COMPUTED_VALUE"""),"short")</f>
        <v>short</v>
      </c>
      <c r="N1261" s="45">
        <f>IFERROR(__xludf.DUMMYFUNCTION("""COMPUTED_VALUE"""),45169.0)</f>
        <v>45169</v>
      </c>
      <c r="O1261" s="45">
        <f>IFERROR(__xludf.DUMMYFUNCTION("""COMPUTED_VALUE"""),45194.0)</f>
        <v>45194</v>
      </c>
      <c r="P1261" s="45">
        <f>IFERROR(__xludf.DUMMYFUNCTION("""COMPUTED_VALUE"""),45236.0)</f>
        <v>45236</v>
      </c>
      <c r="Q1261" s="45">
        <f>IFERROR(__xludf.DUMMYFUNCTION("""COMPUTED_VALUE"""),45194.0)</f>
        <v>45194</v>
      </c>
      <c r="R1261" s="45">
        <f>IFERROR(__xludf.DUMMYFUNCTION("""COMPUTED_VALUE"""),45236.0)</f>
        <v>45236</v>
      </c>
      <c r="S1261" s="43"/>
      <c r="T1261" s="43"/>
      <c r="U1261" s="43" t="str">
        <f>IFERROR(__xludf.DUMMYFUNCTION("""COMPUTED_VALUE"""),"Youth 4 Impact")</f>
        <v>Youth 4 Impact</v>
      </c>
      <c r="V1261" s="43" t="str">
        <f>IFERROR(__xludf.DUMMYFUNCTION("""COMPUTED_VALUE"""),"-")</f>
        <v>-</v>
      </c>
      <c r="W1261" s="43" t="str">
        <f>IFERROR(__xludf.DUMMYFUNCTION("""COMPUTED_VALUE"""),"2023-08-09T16:55:31Z")</f>
        <v>2023-08-09T16:55:31Z</v>
      </c>
      <c r="X1261" s="43"/>
      <c r="Y1261" s="43"/>
      <c r="Z1261" s="43"/>
    </row>
    <row r="1262" hidden="1">
      <c r="A1262" s="43" t="str">
        <f>IFERROR(__xludf.DUMMYFUNCTION("""COMPUTED_VALUE"""),"5308875_1298556")</f>
        <v>5308875_1298556</v>
      </c>
      <c r="B1262" s="43" t="str">
        <f>IFERROR(__xludf.DUMMYFUNCTION("""COMPUTED_VALUE"""),"Amira Karkoub")</f>
        <v>Amira Karkoub</v>
      </c>
      <c r="C1262" s="43" t="str">
        <f>IFERROR(__xludf.DUMMYFUNCTION("""COMPUTED_VALUE"""),"approved")</f>
        <v>approved</v>
      </c>
      <c r="D1262" s="43" t="str">
        <f>IFERROR(__xludf.DUMMYFUNCTION("""COMPUTED_VALUE"""),"No")</f>
        <v>No</v>
      </c>
      <c r="E1262" s="43" t="str">
        <f>IFERROR(__xludf.DUMMYFUNCTION("""COMPUTED_VALUE"""),"p_3782e6e261f3e2df19788f4e54b22dfc60cd236f@inbound.aiesec.org")</f>
        <v>p_3782e6e261f3e2df19788f4e54b22dfc60cd236f@inbound.aiesec.org</v>
      </c>
      <c r="F1262" s="43">
        <f>IFERROR(__xludf.DUMMYFUNCTION("""COMPUTED_VALUE"""),9.3437393E7)</f>
        <v>93437393</v>
      </c>
      <c r="G1262" s="43" t="str">
        <f>IFERROR(__xludf.DUMMYFUNCTION("""COMPUTED_VALUE"""),"Tunisia")</f>
        <v>Tunisia</v>
      </c>
      <c r="H1262" s="43" t="str">
        <f>IFERROR(__xludf.DUMMYFUNCTION("""COMPUTED_VALUE"""),"RUSPINA")</f>
        <v>RUSPINA</v>
      </c>
      <c r="I1262" s="43" t="str">
        <f>IFERROR(__xludf.DUMMYFUNCTION("""COMPUTED_VALUE"""),"Turkey")</f>
        <v>Turkey</v>
      </c>
      <c r="J1262" s="43" t="str">
        <f>IFERROR(__xludf.DUMMYFUNCTION("""COMPUTED_VALUE"""),"KUTAHYA")</f>
        <v>KUTAHYA</v>
      </c>
      <c r="K1262" s="44" t="str">
        <f>IFERROR(__xludf.DUMMYFUNCTION("""COMPUTED_VALUE"""),"https://expa.aiesec.org/opportunities/1298556")</f>
        <v>https://expa.aiesec.org/opportunities/1298556</v>
      </c>
      <c r="L1262" s="43" t="str">
        <f>IFERROR(__xludf.DUMMYFUNCTION("""COMPUTED_VALUE"""),"GV")</f>
        <v>GV</v>
      </c>
      <c r="M1262" s="43" t="str">
        <f>IFERROR(__xludf.DUMMYFUNCTION("""COMPUTED_VALUE"""),"short")</f>
        <v>short</v>
      </c>
      <c r="N1262" s="45">
        <f>IFERROR(__xludf.DUMMYFUNCTION("""COMPUTED_VALUE"""),45169.0)</f>
        <v>45169</v>
      </c>
      <c r="O1262" s="45">
        <f>IFERROR(__xludf.DUMMYFUNCTION("""COMPUTED_VALUE"""),45495.0)</f>
        <v>45495</v>
      </c>
      <c r="P1262" s="45">
        <f>IFERROR(__xludf.DUMMYFUNCTION("""COMPUTED_VALUE"""),45537.0)</f>
        <v>45537</v>
      </c>
      <c r="Q1262" s="45"/>
      <c r="R1262" s="45"/>
      <c r="S1262" s="43"/>
      <c r="T1262" s="43"/>
      <c r="U1262" s="43" t="str">
        <f>IFERROR(__xludf.DUMMYFUNCTION("""COMPUTED_VALUE"""),"On The Map")</f>
        <v>On The Map</v>
      </c>
      <c r="V1262" s="43" t="str">
        <f>IFERROR(__xludf.DUMMYFUNCTION("""COMPUTED_VALUE"""),"FSEG Mahdia")</f>
        <v>FSEG Mahdia</v>
      </c>
      <c r="W1262" s="43" t="str">
        <f>IFERROR(__xludf.DUMMYFUNCTION("""COMPUTED_VALUE"""),"2023-08-24T20:26:26Z")</f>
        <v>2023-08-24T20:26:26Z</v>
      </c>
      <c r="X1262" s="43"/>
      <c r="Y1262" s="43"/>
      <c r="Z1262" s="43"/>
    </row>
    <row r="1263" hidden="1">
      <c r="A1263" s="43" t="str">
        <f>IFERROR(__xludf.DUMMYFUNCTION("""COMPUTED_VALUE"""),"5308874_1298556")</f>
        <v>5308874_1298556</v>
      </c>
      <c r="B1263" s="43" t="str">
        <f>IFERROR(__xludf.DUMMYFUNCTION("""COMPUTED_VALUE"""),"Ikbel Karkoub")</f>
        <v>Ikbel Karkoub</v>
      </c>
      <c r="C1263" s="43" t="str">
        <f>IFERROR(__xludf.DUMMYFUNCTION("""COMPUTED_VALUE"""),"approved")</f>
        <v>approved</v>
      </c>
      <c r="D1263" s="43" t="str">
        <f>IFERROR(__xludf.DUMMYFUNCTION("""COMPUTED_VALUE"""),"No")</f>
        <v>No</v>
      </c>
      <c r="E1263" s="43" t="str">
        <f>IFERROR(__xludf.DUMMYFUNCTION("""COMPUTED_VALUE"""),"p_7f2925005e37ad93073b35d6ebc94977134f7e87@inbound.aiesec.org")</f>
        <v>p_7f2925005e37ad93073b35d6ebc94977134f7e87@inbound.aiesec.org</v>
      </c>
      <c r="F1263" s="43">
        <f>IFERROR(__xludf.DUMMYFUNCTION("""COMPUTED_VALUE"""),2.2406064E7)</f>
        <v>22406064</v>
      </c>
      <c r="G1263" s="43" t="str">
        <f>IFERROR(__xludf.DUMMYFUNCTION("""COMPUTED_VALUE"""),"Tunisia")</f>
        <v>Tunisia</v>
      </c>
      <c r="H1263" s="43" t="str">
        <f>IFERROR(__xludf.DUMMYFUNCTION("""COMPUTED_VALUE"""),"RUSPINA")</f>
        <v>RUSPINA</v>
      </c>
      <c r="I1263" s="43" t="str">
        <f>IFERROR(__xludf.DUMMYFUNCTION("""COMPUTED_VALUE"""),"Turkey")</f>
        <v>Turkey</v>
      </c>
      <c r="J1263" s="43" t="str">
        <f>IFERROR(__xludf.DUMMYFUNCTION("""COMPUTED_VALUE"""),"KUTAHYA")</f>
        <v>KUTAHYA</v>
      </c>
      <c r="K1263" s="44" t="str">
        <f>IFERROR(__xludf.DUMMYFUNCTION("""COMPUTED_VALUE"""),"https://expa.aiesec.org/opportunities/1298556")</f>
        <v>https://expa.aiesec.org/opportunities/1298556</v>
      </c>
      <c r="L1263" s="43" t="str">
        <f>IFERROR(__xludf.DUMMYFUNCTION("""COMPUTED_VALUE"""),"GV")</f>
        <v>GV</v>
      </c>
      <c r="M1263" s="43" t="str">
        <f>IFERROR(__xludf.DUMMYFUNCTION("""COMPUTED_VALUE"""),"short")</f>
        <v>short</v>
      </c>
      <c r="N1263" s="45">
        <f>IFERROR(__xludf.DUMMYFUNCTION("""COMPUTED_VALUE"""),45169.0)</f>
        <v>45169</v>
      </c>
      <c r="O1263" s="45">
        <f>IFERROR(__xludf.DUMMYFUNCTION("""COMPUTED_VALUE"""),45495.0)</f>
        <v>45495</v>
      </c>
      <c r="P1263" s="45">
        <f>IFERROR(__xludf.DUMMYFUNCTION("""COMPUTED_VALUE"""),45537.0)</f>
        <v>45537</v>
      </c>
      <c r="Q1263" s="45"/>
      <c r="R1263" s="45"/>
      <c r="S1263" s="43"/>
      <c r="T1263" s="43"/>
      <c r="U1263" s="43" t="str">
        <f>IFERROR(__xludf.DUMMYFUNCTION("""COMPUTED_VALUE"""),"On The Map")</f>
        <v>On The Map</v>
      </c>
      <c r="V1263" s="43" t="str">
        <f>IFERROR(__xludf.DUMMYFUNCTION("""COMPUTED_VALUE"""),"FSEG Mahdia")</f>
        <v>FSEG Mahdia</v>
      </c>
      <c r="W1263" s="43" t="str">
        <f>IFERROR(__xludf.DUMMYFUNCTION("""COMPUTED_VALUE"""),"2023-08-24T20:23:53Z")</f>
        <v>2023-08-24T20:23:53Z</v>
      </c>
      <c r="X1263" s="43"/>
      <c r="Y1263" s="43"/>
      <c r="Z1263" s="43"/>
    </row>
    <row r="1264" hidden="1">
      <c r="A1264" s="43" t="str">
        <f>IFERROR(__xludf.DUMMYFUNCTION("""COMPUTED_VALUE"""),"5253123_1297247")</f>
        <v>5253123_1297247</v>
      </c>
      <c r="B1264" s="43" t="str">
        <f>IFERROR(__xludf.DUMMYFUNCTION("""COMPUTED_VALUE"""),"Aigerim MARKIBAY")</f>
        <v>Aigerim MARKIBAY</v>
      </c>
      <c r="C1264" s="43" t="str">
        <f>IFERROR(__xludf.DUMMYFUNCTION("""COMPUTED_VALUE"""),"completed")</f>
        <v>completed</v>
      </c>
      <c r="D1264" s="43" t="str">
        <f>IFERROR(__xludf.DUMMYFUNCTION("""COMPUTED_VALUE"""),"No")</f>
        <v>No</v>
      </c>
      <c r="E1264" s="43" t="str">
        <f>IFERROR(__xludf.DUMMYFUNCTION("""COMPUTED_VALUE"""),"p_c5f746d2753eacc3d64454348924a94e279f4b45@inbound.aiesec.org")</f>
        <v>p_c5f746d2753eacc3d64454348924a94e279f4b45@inbound.aiesec.org</v>
      </c>
      <c r="F1264" s="43">
        <f>IFERROR(__xludf.DUMMYFUNCTION("""COMPUTED_VALUE"""),7.054868633E9)</f>
        <v>7054868633</v>
      </c>
      <c r="G1264" s="43" t="str">
        <f>IFERROR(__xludf.DUMMYFUNCTION("""COMPUTED_VALUE"""),"Kazakhstan")</f>
        <v>Kazakhstan</v>
      </c>
      <c r="H1264" s="43" t="str">
        <f>IFERROR(__xludf.DUMMYFUNCTION("""COMPUTED_VALUE"""),"ALMATY")</f>
        <v>ALMATY</v>
      </c>
      <c r="I1264" s="43" t="str">
        <f>IFERROR(__xludf.DUMMYFUNCTION("""COMPUTED_VALUE"""),"Turkey")</f>
        <v>Turkey</v>
      </c>
      <c r="J1264" s="43" t="str">
        <f>IFERROR(__xludf.DUMMYFUNCTION("""COMPUTED_VALUE"""),"KOCAELI")</f>
        <v>KOCAELI</v>
      </c>
      <c r="K1264" s="44" t="str">
        <f>IFERROR(__xludf.DUMMYFUNCTION("""COMPUTED_VALUE"""),"https://expa.aiesec.org/opportunities/1297247")</f>
        <v>https://expa.aiesec.org/opportunities/1297247</v>
      </c>
      <c r="L1264" s="43" t="str">
        <f>IFERROR(__xludf.DUMMYFUNCTION("""COMPUTED_VALUE"""),"GV")</f>
        <v>GV</v>
      </c>
      <c r="M1264" s="43" t="str">
        <f>IFERROR(__xludf.DUMMYFUNCTION("""COMPUTED_VALUE"""),"short")</f>
        <v>short</v>
      </c>
      <c r="N1264" s="45">
        <f>IFERROR(__xludf.DUMMYFUNCTION("""COMPUTED_VALUE"""),45169.0)</f>
        <v>45169</v>
      </c>
      <c r="O1264" s="45">
        <f>IFERROR(__xludf.DUMMYFUNCTION("""COMPUTED_VALUE"""),45178.0)</f>
        <v>45178</v>
      </c>
      <c r="P1264" s="45">
        <f>IFERROR(__xludf.DUMMYFUNCTION("""COMPUTED_VALUE"""),45220.0)</f>
        <v>45220</v>
      </c>
      <c r="Q1264" s="45">
        <f>IFERROR(__xludf.DUMMYFUNCTION("""COMPUTED_VALUE"""),45178.0)</f>
        <v>45178</v>
      </c>
      <c r="R1264" s="45">
        <f>IFERROR(__xludf.DUMMYFUNCTION("""COMPUTED_VALUE"""),45220.0)</f>
        <v>45220</v>
      </c>
      <c r="S1264" s="43"/>
      <c r="T1264" s="43"/>
      <c r="U1264" s="43" t="str">
        <f>IFERROR(__xludf.DUMMYFUNCTION("""COMPUTED_VALUE"""),"Global Classroom")</f>
        <v>Global Classroom</v>
      </c>
      <c r="V1264" s="43" t="str">
        <f>IFERROR(__xludf.DUMMYFUNCTION("""COMPUTED_VALUE"""),"Shymkent")</f>
        <v>Shymkent</v>
      </c>
      <c r="W1264" s="43" t="str">
        <f>IFERROR(__xludf.DUMMYFUNCTION("""COMPUTED_VALUE"""),"2023-04-30T13:27:31Z")</f>
        <v>2023-04-30T13:27:31Z</v>
      </c>
      <c r="X1264" s="43"/>
      <c r="Y1264" s="43"/>
      <c r="Z1264" s="43"/>
    </row>
    <row r="1265" hidden="1">
      <c r="A1265" s="43" t="str">
        <f>IFERROR(__xludf.DUMMYFUNCTION("""COMPUTED_VALUE"""),"5298347_1295745")</f>
        <v>5298347_1295745</v>
      </c>
      <c r="B1265" s="43" t="str">
        <f>IFERROR(__xludf.DUMMYFUNCTION("""COMPUTED_VALUE"""),"santhushya weerapperuma")</f>
        <v>santhushya weerapperuma</v>
      </c>
      <c r="C1265" s="43" t="str">
        <f>IFERROR(__xludf.DUMMYFUNCTION("""COMPUTED_VALUE"""),"approved")</f>
        <v>approved</v>
      </c>
      <c r="D1265" s="43" t="str">
        <f>IFERROR(__xludf.DUMMYFUNCTION("""COMPUTED_VALUE"""),"No")</f>
        <v>No</v>
      </c>
      <c r="E1265" s="43" t="str">
        <f>IFERROR(__xludf.DUMMYFUNCTION("""COMPUTED_VALUE"""),"p_7cf1590decf7d99688d2c6b6fcc593f64e8da37b@inbound.aiesec.org")</f>
        <v>p_7cf1590decf7d99688d2c6b6fcc593f64e8da37b@inbound.aiesec.org</v>
      </c>
      <c r="F1265" s="43">
        <f>IFERROR(__xludf.DUMMYFUNCTION("""COMPUTED_VALUE"""),7.61900038E8)</f>
        <v>761900038</v>
      </c>
      <c r="G1265" s="43" t="str">
        <f>IFERROR(__xludf.DUMMYFUNCTION("""COMPUTED_VALUE"""),"Sri Lanka")</f>
        <v>Sri Lanka</v>
      </c>
      <c r="H1265" s="43" t="str">
        <f>IFERROR(__xludf.DUMMYFUNCTION("""COMPUTED_VALUE"""),"COLOMBO SOUTH")</f>
        <v>COLOMBO SOUTH</v>
      </c>
      <c r="I1265" s="43" t="str">
        <f>IFERROR(__xludf.DUMMYFUNCTION("""COMPUTED_VALUE"""),"Turkey")</f>
        <v>Turkey</v>
      </c>
      <c r="J1265" s="43" t="str">
        <f>IFERROR(__xludf.DUMMYFUNCTION("""COMPUTED_VALUE"""),"ISTANBUL WEST")</f>
        <v>ISTANBUL WEST</v>
      </c>
      <c r="K1265" s="44" t="str">
        <f>IFERROR(__xludf.DUMMYFUNCTION("""COMPUTED_VALUE"""),"https://expa.aiesec.org/opportunities/1295745")</f>
        <v>https://expa.aiesec.org/opportunities/1295745</v>
      </c>
      <c r="L1265" s="43" t="str">
        <f>IFERROR(__xludf.DUMMYFUNCTION("""COMPUTED_VALUE"""),"GV")</f>
        <v>GV</v>
      </c>
      <c r="M1265" s="43" t="str">
        <f>IFERROR(__xludf.DUMMYFUNCTION("""COMPUTED_VALUE"""),"short")</f>
        <v>short</v>
      </c>
      <c r="N1265" s="45">
        <f>IFERROR(__xludf.DUMMYFUNCTION("""COMPUTED_VALUE"""),45169.0)</f>
        <v>45169</v>
      </c>
      <c r="O1265" s="45">
        <f>IFERROR(__xludf.DUMMYFUNCTION("""COMPUTED_VALUE"""),45383.0)</f>
        <v>45383</v>
      </c>
      <c r="P1265" s="45">
        <f>IFERROR(__xludf.DUMMYFUNCTION("""COMPUTED_VALUE"""),45425.0)</f>
        <v>45425</v>
      </c>
      <c r="Q1265" s="45"/>
      <c r="R1265" s="45"/>
      <c r="S1265" s="43"/>
      <c r="T1265" s="43"/>
      <c r="U1265" s="43" t="str">
        <f>IFERROR(__xludf.DUMMYFUNCTION("""COMPUTED_VALUE"""),"Fingerprint")</f>
        <v>Fingerprint</v>
      </c>
      <c r="V1265" s="43" t="str">
        <f>IFERROR(__xludf.DUMMYFUNCTION("""COMPUTED_VALUE"""),"Rajarata University of Sri Lanka")</f>
        <v>Rajarata University of Sri Lanka</v>
      </c>
      <c r="W1265" s="43" t="str">
        <f>IFERROR(__xludf.DUMMYFUNCTION("""COMPUTED_VALUE"""),"2023-08-06T12:59:09Z")</f>
        <v>2023-08-06T12:59:09Z</v>
      </c>
      <c r="X1265" s="43"/>
      <c r="Y1265" s="43"/>
      <c r="Z1265" s="43"/>
    </row>
    <row r="1266" hidden="1">
      <c r="A1266" s="43" t="str">
        <f>IFERROR(__xludf.DUMMYFUNCTION("""COMPUTED_VALUE"""),"5122802_1289597")</f>
        <v>5122802_1289597</v>
      </c>
      <c r="B1266" s="43" t="str">
        <f>IFERROR(__xludf.DUMMYFUNCTION("""COMPUTED_VALUE"""),"Abdelrahman Badr el din")</f>
        <v>Abdelrahman Badr el din</v>
      </c>
      <c r="C1266" s="43" t="str">
        <f>IFERROR(__xludf.DUMMYFUNCTION("""COMPUTED_VALUE"""),"approved")</f>
        <v>approved</v>
      </c>
      <c r="D1266" s="43" t="str">
        <f>IFERROR(__xludf.DUMMYFUNCTION("""COMPUTED_VALUE"""),"No")</f>
        <v>No</v>
      </c>
      <c r="E1266" s="43" t="str">
        <f>IFERROR(__xludf.DUMMYFUNCTION("""COMPUTED_VALUE"""),"p_9b8902f7a2902ccdfc244b5a3644d5e5f60beaee@inbound.aiesec.org")</f>
        <v>p_9b8902f7a2902ccdfc244b5a3644d5e5f60beaee@inbound.aiesec.org</v>
      </c>
      <c r="F1266" s="43">
        <f>IFERROR(__xludf.DUMMYFUNCTION("""COMPUTED_VALUE"""),1.007961466E9)</f>
        <v>1007961466</v>
      </c>
      <c r="G1266" s="43" t="str">
        <f>IFERROR(__xludf.DUMMYFUNCTION("""COMPUTED_VALUE"""),"Egypt")</f>
        <v>Egypt</v>
      </c>
      <c r="H1266" s="43" t="str">
        <f>IFERROR(__xludf.DUMMYFUNCTION("""COMPUTED_VALUE"""),"Cairo University")</f>
        <v>Cairo University</v>
      </c>
      <c r="I1266" s="43" t="str">
        <f>IFERROR(__xludf.DUMMYFUNCTION("""COMPUTED_VALUE"""),"Turkey")</f>
        <v>Turkey</v>
      </c>
      <c r="J1266" s="43" t="str">
        <f>IFERROR(__xludf.DUMMYFUNCTION("""COMPUTED_VALUE"""),"ISPARTA")</f>
        <v>ISPARTA</v>
      </c>
      <c r="K1266" s="44" t="str">
        <f>IFERROR(__xludf.DUMMYFUNCTION("""COMPUTED_VALUE"""),"https://expa.aiesec.org/opportunities/1289597")</f>
        <v>https://expa.aiesec.org/opportunities/1289597</v>
      </c>
      <c r="L1266" s="43" t="str">
        <f>IFERROR(__xludf.DUMMYFUNCTION("""COMPUTED_VALUE"""),"GV")</f>
        <v>GV</v>
      </c>
      <c r="M1266" s="43" t="str">
        <f>IFERROR(__xludf.DUMMYFUNCTION("""COMPUTED_VALUE"""),"short")</f>
        <v>short</v>
      </c>
      <c r="N1266" s="45">
        <f>IFERROR(__xludf.DUMMYFUNCTION("""COMPUTED_VALUE"""),45170.0)</f>
        <v>45170</v>
      </c>
      <c r="O1266" s="45">
        <f>IFERROR(__xludf.DUMMYFUNCTION("""COMPUTED_VALUE"""),45201.0)</f>
        <v>45201</v>
      </c>
      <c r="P1266" s="45">
        <f>IFERROR(__xludf.DUMMYFUNCTION("""COMPUTED_VALUE"""),45243.0)</f>
        <v>45243</v>
      </c>
      <c r="Q1266" s="45"/>
      <c r="R1266" s="45"/>
      <c r="S1266" s="43"/>
      <c r="T1266" s="43"/>
      <c r="U1266" s="43" t="str">
        <f>IFERROR(__xludf.DUMMYFUNCTION("""COMPUTED_VALUE"""),"Global Classroom")</f>
        <v>Global Classroom</v>
      </c>
      <c r="V1266" s="43" t="str">
        <f>IFERROR(__xludf.DUMMYFUNCTION("""COMPUTED_VALUE"""),"Cairo Univeristy")</f>
        <v>Cairo Univeristy</v>
      </c>
      <c r="W1266" s="43" t="str">
        <f>IFERROR(__xludf.DUMMYFUNCTION("""COMPUTED_VALUE"""),"2022-09-30T11:49:22Z")</f>
        <v>2022-09-30T11:49:22Z</v>
      </c>
      <c r="X1266" s="43"/>
      <c r="Y1266" s="43"/>
      <c r="Z1266" s="43"/>
    </row>
    <row r="1267" hidden="1">
      <c r="A1267" s="43" t="str">
        <f>IFERROR(__xludf.DUMMYFUNCTION("""COMPUTED_VALUE"""),"5310145_1296328")</f>
        <v>5310145_1296328</v>
      </c>
      <c r="B1267" s="43" t="str">
        <f>IFERROR(__xludf.DUMMYFUNCTION("""COMPUTED_VALUE"""),"Jana Ahmed")</f>
        <v>Jana Ahmed</v>
      </c>
      <c r="C1267" s="43" t="str">
        <f>IFERROR(__xludf.DUMMYFUNCTION("""COMPUTED_VALUE"""),"approved")</f>
        <v>approved</v>
      </c>
      <c r="D1267" s="43" t="str">
        <f>IFERROR(__xludf.DUMMYFUNCTION("""COMPUTED_VALUE"""),"No")</f>
        <v>No</v>
      </c>
      <c r="E1267" s="43" t="str">
        <f>IFERROR(__xludf.DUMMYFUNCTION("""COMPUTED_VALUE"""),"p_bcd8a2127946f68be7c75af64ca4d8c6ed6e5a19@inbound.aiesec.org")</f>
        <v>p_bcd8a2127946f68be7c75af64ca4d8c6ed6e5a19@inbound.aiesec.org</v>
      </c>
      <c r="F1267" s="43">
        <f>IFERROR(__xludf.DUMMYFUNCTION("""COMPUTED_VALUE"""),1.062231433E9)</f>
        <v>1062231433</v>
      </c>
      <c r="G1267" s="43" t="str">
        <f>IFERROR(__xludf.DUMMYFUNCTION("""COMPUTED_VALUE"""),"Egypt")</f>
        <v>Egypt</v>
      </c>
      <c r="H1267" s="43" t="str">
        <f>IFERROR(__xludf.DUMMYFUNCTION("""COMPUTED_VALUE"""),"AAST In CAIRO")</f>
        <v>AAST In CAIRO</v>
      </c>
      <c r="I1267" s="43" t="str">
        <f>IFERROR(__xludf.DUMMYFUNCTION("""COMPUTED_VALUE"""),"Turkey")</f>
        <v>Turkey</v>
      </c>
      <c r="J1267" s="43" t="str">
        <f>IFERROR(__xludf.DUMMYFUNCTION("""COMPUTED_VALUE"""),"İZMİR")</f>
        <v>İZMİR</v>
      </c>
      <c r="K1267" s="44" t="str">
        <f>IFERROR(__xludf.DUMMYFUNCTION("""COMPUTED_VALUE"""),"https://expa.aiesec.org/opportunities/1296328")</f>
        <v>https://expa.aiesec.org/opportunities/1296328</v>
      </c>
      <c r="L1267" s="43" t="str">
        <f>IFERROR(__xludf.DUMMYFUNCTION("""COMPUTED_VALUE"""),"GV")</f>
        <v>GV</v>
      </c>
      <c r="M1267" s="43" t="str">
        <f>IFERROR(__xludf.DUMMYFUNCTION("""COMPUTED_VALUE"""),"short")</f>
        <v>short</v>
      </c>
      <c r="N1267" s="45">
        <f>IFERROR(__xludf.DUMMYFUNCTION("""COMPUTED_VALUE"""),45170.0)</f>
        <v>45170</v>
      </c>
      <c r="O1267" s="45">
        <f>IFERROR(__xludf.DUMMYFUNCTION("""COMPUTED_VALUE"""),45403.0)</f>
        <v>45403</v>
      </c>
      <c r="P1267" s="45">
        <f>IFERROR(__xludf.DUMMYFUNCTION("""COMPUTED_VALUE"""),45445.0)</f>
        <v>45445</v>
      </c>
      <c r="Q1267" s="45"/>
      <c r="R1267" s="45"/>
      <c r="S1267" s="43"/>
      <c r="T1267" s="43"/>
      <c r="U1267" s="43" t="str">
        <f>IFERROR(__xludf.DUMMYFUNCTION("""COMPUTED_VALUE"""),"Fingerprint")</f>
        <v>Fingerprint</v>
      </c>
      <c r="V1267" s="43" t="str">
        <f>IFERROR(__xludf.DUMMYFUNCTION("""COMPUTED_VALUE"""),"AAST in Cairo Univeristy")</f>
        <v>AAST in Cairo Univeristy</v>
      </c>
      <c r="W1267" s="43" t="str">
        <f>IFERROR(__xludf.DUMMYFUNCTION("""COMPUTED_VALUE"""),"2023-08-26T13:35:29Z")</f>
        <v>2023-08-26T13:35:29Z</v>
      </c>
      <c r="X1267" s="43"/>
      <c r="Y1267" s="43"/>
      <c r="Z1267" s="43"/>
    </row>
    <row r="1268" hidden="1">
      <c r="A1268" s="43" t="str">
        <f>IFERROR(__xludf.DUMMYFUNCTION("""COMPUTED_VALUE"""),"4591209_1294211")</f>
        <v>4591209_1294211</v>
      </c>
      <c r="B1268" s="43" t="str">
        <f>IFERROR(__xludf.DUMMYFUNCTION("""COMPUTED_VALUE"""),"Farah hammoud")</f>
        <v>Farah hammoud</v>
      </c>
      <c r="C1268" s="43" t="str">
        <f>IFERROR(__xludf.DUMMYFUNCTION("""COMPUTED_VALUE"""),"approved")</f>
        <v>approved</v>
      </c>
      <c r="D1268" s="43" t="str">
        <f>IFERROR(__xludf.DUMMYFUNCTION("""COMPUTED_VALUE"""),"No")</f>
        <v>No</v>
      </c>
      <c r="E1268" s="43" t="str">
        <f>IFERROR(__xludf.DUMMYFUNCTION("""COMPUTED_VALUE"""),"p_0e5e202531f39eeb408e1fcb4bff45b7e20b44f7@inbound.aiesec.org")</f>
        <v>p_0e5e202531f39eeb408e1fcb4bff45b7e20b44f7@inbound.aiesec.org</v>
      </c>
      <c r="F1268" s="43">
        <f>IFERROR(__xludf.DUMMYFUNCTION("""COMPUTED_VALUE"""),1.099792054E9)</f>
        <v>1099792054</v>
      </c>
      <c r="G1268" s="43" t="str">
        <f>IFERROR(__xludf.DUMMYFUNCTION("""COMPUTED_VALUE"""),"Egypt")</f>
        <v>Egypt</v>
      </c>
      <c r="H1268" s="43" t="str">
        <f>IFERROR(__xludf.DUMMYFUNCTION("""COMPUTED_VALUE"""),"AAST In CAIRO")</f>
        <v>AAST In CAIRO</v>
      </c>
      <c r="I1268" s="43" t="str">
        <f>IFERROR(__xludf.DUMMYFUNCTION("""COMPUTED_VALUE"""),"Turkey")</f>
        <v>Turkey</v>
      </c>
      <c r="J1268" s="43" t="str">
        <f>IFERROR(__xludf.DUMMYFUNCTION("""COMPUTED_VALUE"""),"KUTAHYA")</f>
        <v>KUTAHYA</v>
      </c>
      <c r="K1268" s="44" t="str">
        <f>IFERROR(__xludf.DUMMYFUNCTION("""COMPUTED_VALUE"""),"https://expa.aiesec.org/opportunities/1294211")</f>
        <v>https://expa.aiesec.org/opportunities/1294211</v>
      </c>
      <c r="L1268" s="43" t="str">
        <f>IFERROR(__xludf.DUMMYFUNCTION("""COMPUTED_VALUE"""),"GV")</f>
        <v>GV</v>
      </c>
      <c r="M1268" s="43" t="str">
        <f>IFERROR(__xludf.DUMMYFUNCTION("""COMPUTED_VALUE"""),"short")</f>
        <v>short</v>
      </c>
      <c r="N1268" s="45">
        <f>IFERROR(__xludf.DUMMYFUNCTION("""COMPUTED_VALUE"""),45170.0)</f>
        <v>45170</v>
      </c>
      <c r="O1268" s="45">
        <f>IFERROR(__xludf.DUMMYFUNCTION("""COMPUTED_VALUE"""),45236.0)</f>
        <v>45236</v>
      </c>
      <c r="P1268" s="45">
        <f>IFERROR(__xludf.DUMMYFUNCTION("""COMPUTED_VALUE"""),45278.0)</f>
        <v>45278</v>
      </c>
      <c r="Q1268" s="45"/>
      <c r="R1268" s="45"/>
      <c r="S1268" s="43"/>
      <c r="T1268" s="43"/>
      <c r="U1268" s="43" t="str">
        <f>IFERROR(__xludf.DUMMYFUNCTION("""COMPUTED_VALUE"""),"Rooted")</f>
        <v>Rooted</v>
      </c>
      <c r="V1268" s="43" t="str">
        <f>IFERROR(__xludf.DUMMYFUNCTION("""COMPUTED_VALUE"""),"AAST in Cairo Univeristy")</f>
        <v>AAST in Cairo Univeristy</v>
      </c>
      <c r="W1268" s="43" t="str">
        <f>IFERROR(__xludf.DUMMYFUNCTION("""COMPUTED_VALUE"""),"2021-03-24T13:21:23Z")</f>
        <v>2021-03-24T13:21:23Z</v>
      </c>
      <c r="X1268" s="43"/>
      <c r="Y1268" s="43"/>
      <c r="Z1268" s="43"/>
    </row>
    <row r="1269" hidden="1">
      <c r="A1269" s="43" t="str">
        <f>IFERROR(__xludf.DUMMYFUNCTION("""COMPUTED_VALUE"""),"5251956_1285161")</f>
        <v>5251956_1285161</v>
      </c>
      <c r="B1269" s="43" t="str">
        <f>IFERROR(__xludf.DUMMYFUNCTION("""COMPUTED_VALUE"""),"Martyna Bizoń")</f>
        <v>Martyna Bizoń</v>
      </c>
      <c r="C1269" s="43" t="str">
        <f>IFERROR(__xludf.DUMMYFUNCTION("""COMPUTED_VALUE"""),"completed")</f>
        <v>completed</v>
      </c>
      <c r="D1269" s="43" t="str">
        <f>IFERROR(__xludf.DUMMYFUNCTION("""COMPUTED_VALUE"""),"No")</f>
        <v>No</v>
      </c>
      <c r="E1269" s="43" t="str">
        <f>IFERROR(__xludf.DUMMYFUNCTION("""COMPUTED_VALUE"""),"p_08b4320999194dfb813731a52b3eab22c0f1f5ea@inbound.aiesec.org")</f>
        <v>p_08b4320999194dfb813731a52b3eab22c0f1f5ea@inbound.aiesec.org</v>
      </c>
      <c r="F1269" s="43"/>
      <c r="G1269" s="43" t="str">
        <f>IFERROR(__xludf.DUMMYFUNCTION("""COMPUTED_VALUE"""),"Poland")</f>
        <v>Poland</v>
      </c>
      <c r="H1269" s="43" t="str">
        <f>IFERROR(__xludf.DUMMYFUNCTION("""COMPUTED_VALUE"""),"GDANSK UG")</f>
        <v>GDANSK UG</v>
      </c>
      <c r="I1269" s="43" t="str">
        <f>IFERROR(__xludf.DUMMYFUNCTION("""COMPUTED_VALUE"""),"Turkey")</f>
        <v>Turkey</v>
      </c>
      <c r="J1269" s="43" t="str">
        <f>IFERROR(__xludf.DUMMYFUNCTION("""COMPUTED_VALUE"""),"KOCAELI")</f>
        <v>KOCAELI</v>
      </c>
      <c r="K1269" s="44" t="str">
        <f>IFERROR(__xludf.DUMMYFUNCTION("""COMPUTED_VALUE"""),"https://expa.aiesec.org/opportunities/1285161")</f>
        <v>https://expa.aiesec.org/opportunities/1285161</v>
      </c>
      <c r="L1269" s="43" t="str">
        <f>IFERROR(__xludf.DUMMYFUNCTION("""COMPUTED_VALUE"""),"GV")</f>
        <v>GV</v>
      </c>
      <c r="M1269" s="43" t="str">
        <f>IFERROR(__xludf.DUMMYFUNCTION("""COMPUTED_VALUE"""),"short")</f>
        <v>short</v>
      </c>
      <c r="N1269" s="45">
        <f>IFERROR(__xludf.DUMMYFUNCTION("""COMPUTED_VALUE"""),45172.0)</f>
        <v>45172</v>
      </c>
      <c r="O1269" s="45">
        <f>IFERROR(__xludf.DUMMYFUNCTION("""COMPUTED_VALUE"""),45173.0)</f>
        <v>45173</v>
      </c>
      <c r="P1269" s="45">
        <f>IFERROR(__xludf.DUMMYFUNCTION("""COMPUTED_VALUE"""),45215.0)</f>
        <v>45215</v>
      </c>
      <c r="Q1269" s="45">
        <f>IFERROR(__xludf.DUMMYFUNCTION("""COMPUTED_VALUE"""),45173.0)</f>
        <v>45173</v>
      </c>
      <c r="R1269" s="45">
        <f>IFERROR(__xludf.DUMMYFUNCTION("""COMPUTED_VALUE"""),45215.0)</f>
        <v>45215</v>
      </c>
      <c r="S1269" s="43"/>
      <c r="T1269" s="43"/>
      <c r="U1269" s="43" t="str">
        <f>IFERROR(__xludf.DUMMYFUNCTION("""COMPUTED_VALUE"""),"Global Classroom")</f>
        <v>Global Classroom</v>
      </c>
      <c r="V1269" s="43" t="str">
        <f>IFERROR(__xludf.DUMMYFUNCTION("""COMPUTED_VALUE"""),"-")</f>
        <v>-</v>
      </c>
      <c r="W1269" s="43" t="str">
        <f>IFERROR(__xludf.DUMMYFUNCTION("""COMPUTED_VALUE"""),"2023-04-28T15:46:26Z")</f>
        <v>2023-04-28T15:46:26Z</v>
      </c>
      <c r="X1269" s="43"/>
      <c r="Y1269" s="43"/>
      <c r="Z1269" s="43"/>
    </row>
    <row r="1270" hidden="1">
      <c r="A1270" s="43" t="str">
        <f>IFERROR(__xludf.DUMMYFUNCTION("""COMPUTED_VALUE"""),"5308681_1285161")</f>
        <v>5308681_1285161</v>
      </c>
      <c r="B1270" s="43" t="str">
        <f>IFERROR(__xludf.DUMMYFUNCTION("""COMPUTED_VALUE"""),"Oliwer Białorudzki")</f>
        <v>Oliwer Białorudzki</v>
      </c>
      <c r="C1270" s="43" t="str">
        <f>IFERROR(__xludf.DUMMYFUNCTION("""COMPUTED_VALUE"""),"completed")</f>
        <v>completed</v>
      </c>
      <c r="D1270" s="43" t="str">
        <f>IFERROR(__xludf.DUMMYFUNCTION("""COMPUTED_VALUE"""),"No")</f>
        <v>No</v>
      </c>
      <c r="E1270" s="43" t="str">
        <f>IFERROR(__xludf.DUMMYFUNCTION("""COMPUTED_VALUE"""),"p_4c0d7a751d917054e6e9bc26189a358026ad87bb@inbound.aiesec.org")</f>
        <v>p_4c0d7a751d917054e6e9bc26189a358026ad87bb@inbound.aiesec.org</v>
      </c>
      <c r="F1270" s="43">
        <f>IFERROR(__xludf.DUMMYFUNCTION("""COMPUTED_VALUE"""),5.18112147E8)</f>
        <v>518112147</v>
      </c>
      <c r="G1270" s="43" t="str">
        <f>IFERROR(__xludf.DUMMYFUNCTION("""COMPUTED_VALUE"""),"Poland")</f>
        <v>Poland</v>
      </c>
      <c r="H1270" s="43" t="str">
        <f>IFERROR(__xludf.DUMMYFUNCTION("""COMPUTED_VALUE"""),"GDANSK UG")</f>
        <v>GDANSK UG</v>
      </c>
      <c r="I1270" s="43" t="str">
        <f>IFERROR(__xludf.DUMMYFUNCTION("""COMPUTED_VALUE"""),"Turkey")</f>
        <v>Turkey</v>
      </c>
      <c r="J1270" s="43" t="str">
        <f>IFERROR(__xludf.DUMMYFUNCTION("""COMPUTED_VALUE"""),"KOCAELI")</f>
        <v>KOCAELI</v>
      </c>
      <c r="K1270" s="44" t="str">
        <f>IFERROR(__xludf.DUMMYFUNCTION("""COMPUTED_VALUE"""),"https://expa.aiesec.org/opportunities/1285161")</f>
        <v>https://expa.aiesec.org/opportunities/1285161</v>
      </c>
      <c r="L1270" s="43" t="str">
        <f>IFERROR(__xludf.DUMMYFUNCTION("""COMPUTED_VALUE"""),"GV")</f>
        <v>GV</v>
      </c>
      <c r="M1270" s="43" t="str">
        <f>IFERROR(__xludf.DUMMYFUNCTION("""COMPUTED_VALUE"""),"short")</f>
        <v>short</v>
      </c>
      <c r="N1270" s="45">
        <f>IFERROR(__xludf.DUMMYFUNCTION("""COMPUTED_VALUE"""),45172.0)</f>
        <v>45172</v>
      </c>
      <c r="O1270" s="45">
        <f>IFERROR(__xludf.DUMMYFUNCTION("""COMPUTED_VALUE"""),45173.0)</f>
        <v>45173</v>
      </c>
      <c r="P1270" s="45">
        <f>IFERROR(__xludf.DUMMYFUNCTION("""COMPUTED_VALUE"""),45215.0)</f>
        <v>45215</v>
      </c>
      <c r="Q1270" s="45">
        <f>IFERROR(__xludf.DUMMYFUNCTION("""COMPUTED_VALUE"""),45173.0)</f>
        <v>45173</v>
      </c>
      <c r="R1270" s="45">
        <f>IFERROR(__xludf.DUMMYFUNCTION("""COMPUTED_VALUE"""),45215.0)</f>
        <v>45215</v>
      </c>
      <c r="S1270" s="43"/>
      <c r="T1270" s="43"/>
      <c r="U1270" s="43" t="str">
        <f>IFERROR(__xludf.DUMMYFUNCTION("""COMPUTED_VALUE"""),"Global Classroom")</f>
        <v>Global Classroom</v>
      </c>
      <c r="V1270" s="43" t="str">
        <f>IFERROR(__xludf.DUMMYFUNCTION("""COMPUTED_VALUE"""),"Gdańsk")</f>
        <v>Gdańsk</v>
      </c>
      <c r="W1270" s="43" t="str">
        <f>IFERROR(__xludf.DUMMYFUNCTION("""COMPUTED_VALUE"""),"2023-08-24T14:22:47Z")</f>
        <v>2023-08-24T14:22:47Z</v>
      </c>
      <c r="X1270" s="43"/>
      <c r="Y1270" s="43"/>
      <c r="Z1270" s="43"/>
    </row>
    <row r="1271" hidden="1">
      <c r="A1271" s="43" t="str">
        <f>IFERROR(__xludf.DUMMYFUNCTION("""COMPUTED_VALUE"""),"4629455_1295893")</f>
        <v>4629455_1295893</v>
      </c>
      <c r="B1271" s="43" t="str">
        <f>IFERROR(__xludf.DUMMYFUNCTION("""COMPUTED_VALUE"""),"Yuliana Vatsyk")</f>
        <v>Yuliana Vatsyk</v>
      </c>
      <c r="C1271" s="43" t="str">
        <f>IFERROR(__xludf.DUMMYFUNCTION("""COMPUTED_VALUE"""),"realized")</f>
        <v>realized</v>
      </c>
      <c r="D1271" s="43" t="str">
        <f>IFERROR(__xludf.DUMMYFUNCTION("""COMPUTED_VALUE"""),"No")</f>
        <v>No</v>
      </c>
      <c r="E1271" s="43" t="str">
        <f>IFERROR(__xludf.DUMMYFUNCTION("""COMPUTED_VALUE"""),"p_66252e00d5806b9880c63b98eebf2b2adeb4664d@inbound.aiesec.org")</f>
        <v>p_66252e00d5806b9880c63b98eebf2b2adeb4664d@inbound.aiesec.org</v>
      </c>
      <c r="F1271" s="43">
        <f>IFERROR(__xludf.DUMMYFUNCTION("""COMPUTED_VALUE"""),9.90465355E8)</f>
        <v>990465355</v>
      </c>
      <c r="G1271" s="43" t="str">
        <f>IFERROR(__xludf.DUMMYFUNCTION("""COMPUTED_VALUE"""),"Ukraine")</f>
        <v>Ukraine</v>
      </c>
      <c r="H1271" s="43" t="str">
        <f>IFERROR(__xludf.DUMMYFUNCTION("""COMPUTED_VALUE"""),"IVANO-FRANKIVSK")</f>
        <v>IVANO-FRANKIVSK</v>
      </c>
      <c r="I1271" s="43" t="str">
        <f>IFERROR(__xludf.DUMMYFUNCTION("""COMPUTED_VALUE"""),"Turkey")</f>
        <v>Turkey</v>
      </c>
      <c r="J1271" s="43" t="str">
        <f>IFERROR(__xludf.DUMMYFUNCTION("""COMPUTED_VALUE"""),"ADANA")</f>
        <v>ADANA</v>
      </c>
      <c r="K1271" s="44" t="str">
        <f>IFERROR(__xludf.DUMMYFUNCTION("""COMPUTED_VALUE"""),"https://expa.aiesec.org/opportunities/1295893")</f>
        <v>https://expa.aiesec.org/opportunities/1295893</v>
      </c>
      <c r="L1271" s="43" t="str">
        <f>IFERROR(__xludf.DUMMYFUNCTION("""COMPUTED_VALUE"""),"GV")</f>
        <v>GV</v>
      </c>
      <c r="M1271" s="43" t="str">
        <f>IFERROR(__xludf.DUMMYFUNCTION("""COMPUTED_VALUE"""),"short")</f>
        <v>short</v>
      </c>
      <c r="N1271" s="45">
        <f>IFERROR(__xludf.DUMMYFUNCTION("""COMPUTED_VALUE"""),45172.0)</f>
        <v>45172</v>
      </c>
      <c r="O1271" s="45">
        <f>IFERROR(__xludf.DUMMYFUNCTION("""COMPUTED_VALUE"""),45313.0)</f>
        <v>45313</v>
      </c>
      <c r="P1271" s="45">
        <f>IFERROR(__xludf.DUMMYFUNCTION("""COMPUTED_VALUE"""),45359.0)</f>
        <v>45359</v>
      </c>
      <c r="Q1271" s="45">
        <f>IFERROR(__xludf.DUMMYFUNCTION("""COMPUTED_VALUE"""),45310.0)</f>
        <v>45310</v>
      </c>
      <c r="R1271" s="45">
        <f>IFERROR(__xludf.DUMMYFUNCTION("""COMPUTED_VALUE"""),45359.0)</f>
        <v>45359</v>
      </c>
      <c r="S1271" s="43"/>
      <c r="T1271" s="43"/>
      <c r="U1271" s="43" t="str">
        <f>IFERROR(__xludf.DUMMYFUNCTION("""COMPUTED_VALUE"""),"Global Classroom")</f>
        <v>Global Classroom</v>
      </c>
      <c r="V1271" s="43" t="str">
        <f>IFERROR(__xludf.DUMMYFUNCTION("""COMPUTED_VALUE"""),"Chernivtsi ")</f>
        <v>Chernivtsi </v>
      </c>
      <c r="W1271" s="43" t="str">
        <f>IFERROR(__xludf.DUMMYFUNCTION("""COMPUTED_VALUE"""),"2021-04-26T07:26:44Z")</f>
        <v>2021-04-26T07:26:44Z</v>
      </c>
      <c r="X1271" s="43"/>
      <c r="Y1271" s="43"/>
      <c r="Z1271" s="43"/>
    </row>
    <row r="1272" hidden="1">
      <c r="A1272" s="43" t="str">
        <f>IFERROR(__xludf.DUMMYFUNCTION("""COMPUTED_VALUE"""),"5311941_1295893")</f>
        <v>5311941_1295893</v>
      </c>
      <c r="B1272" s="43" t="str">
        <f>IFERROR(__xludf.DUMMYFUNCTION("""COMPUTED_VALUE"""),"Iryna Skavinska")</f>
        <v>Iryna Skavinska</v>
      </c>
      <c r="C1272" s="43" t="str">
        <f>IFERROR(__xludf.DUMMYFUNCTION("""COMPUTED_VALUE"""),"approved")</f>
        <v>approved</v>
      </c>
      <c r="D1272" s="43" t="str">
        <f>IFERROR(__xludf.DUMMYFUNCTION("""COMPUTED_VALUE"""),"No")</f>
        <v>No</v>
      </c>
      <c r="E1272" s="43" t="str">
        <f>IFERROR(__xludf.DUMMYFUNCTION("""COMPUTED_VALUE"""),"p_4dd8b54ddd1d6e0d038ec024716665489fbe17b1@inbound.aiesec.org")</f>
        <v>p_4dd8b54ddd1d6e0d038ec024716665489fbe17b1@inbound.aiesec.org</v>
      </c>
      <c r="F1272" s="43">
        <f>IFERROR(__xludf.DUMMYFUNCTION("""COMPUTED_VALUE"""),9.67373317E8)</f>
        <v>967373317</v>
      </c>
      <c r="G1272" s="43" t="str">
        <f>IFERROR(__xludf.DUMMYFUNCTION("""COMPUTED_VALUE"""),"Ukraine")</f>
        <v>Ukraine</v>
      </c>
      <c r="H1272" s="43" t="str">
        <f>IFERROR(__xludf.DUMMYFUNCTION("""COMPUTED_VALUE"""),"IVANO-FRANKIVSK")</f>
        <v>IVANO-FRANKIVSK</v>
      </c>
      <c r="I1272" s="43" t="str">
        <f>IFERROR(__xludf.DUMMYFUNCTION("""COMPUTED_VALUE"""),"Turkey")</f>
        <v>Turkey</v>
      </c>
      <c r="J1272" s="43" t="str">
        <f>IFERROR(__xludf.DUMMYFUNCTION("""COMPUTED_VALUE"""),"ADANA")</f>
        <v>ADANA</v>
      </c>
      <c r="K1272" s="44" t="str">
        <f>IFERROR(__xludf.DUMMYFUNCTION("""COMPUTED_VALUE"""),"https://expa.aiesec.org/opportunities/1295893")</f>
        <v>https://expa.aiesec.org/opportunities/1295893</v>
      </c>
      <c r="L1272" s="43" t="str">
        <f>IFERROR(__xludf.DUMMYFUNCTION("""COMPUTED_VALUE"""),"GV")</f>
        <v>GV</v>
      </c>
      <c r="M1272" s="43" t="str">
        <f>IFERROR(__xludf.DUMMYFUNCTION("""COMPUTED_VALUE"""),"short")</f>
        <v>short</v>
      </c>
      <c r="N1272" s="45">
        <f>IFERROR(__xludf.DUMMYFUNCTION("""COMPUTED_VALUE"""),45172.0)</f>
        <v>45172</v>
      </c>
      <c r="O1272" s="45">
        <f>IFERROR(__xludf.DUMMYFUNCTION("""COMPUTED_VALUE"""),45313.0)</f>
        <v>45313</v>
      </c>
      <c r="P1272" s="45">
        <f>IFERROR(__xludf.DUMMYFUNCTION("""COMPUTED_VALUE"""),45359.0)</f>
        <v>45359</v>
      </c>
      <c r="Q1272" s="45"/>
      <c r="R1272" s="45"/>
      <c r="S1272" s="43"/>
      <c r="T1272" s="43"/>
      <c r="U1272" s="43" t="str">
        <f>IFERROR(__xludf.DUMMYFUNCTION("""COMPUTED_VALUE"""),"Global Classroom")</f>
        <v>Global Classroom</v>
      </c>
      <c r="V1272" s="43" t="str">
        <f>IFERROR(__xludf.DUMMYFUNCTION("""COMPUTED_VALUE"""),"Ivano-Frankivsk")</f>
        <v>Ivano-Frankivsk</v>
      </c>
      <c r="W1272" s="43" t="str">
        <f>IFERROR(__xludf.DUMMYFUNCTION("""COMPUTED_VALUE"""),"2023-08-29T06:00:54Z")</f>
        <v>2023-08-29T06:00:54Z</v>
      </c>
      <c r="X1272" s="43"/>
      <c r="Y1272" s="43"/>
      <c r="Z1272" s="43"/>
    </row>
    <row r="1273" hidden="1">
      <c r="A1273" s="43" t="str">
        <f>IFERROR(__xludf.DUMMYFUNCTION("""COMPUTED_VALUE"""),"5289527_1296101")</f>
        <v>5289527_1296101</v>
      </c>
      <c r="B1273" s="43" t="str">
        <f>IFERROR(__xludf.DUMMYFUNCTION("""COMPUTED_VALUE"""),"Kaoula SI AHMED")</f>
        <v>Kaoula SI AHMED</v>
      </c>
      <c r="C1273" s="43" t="str">
        <f>IFERROR(__xludf.DUMMYFUNCTION("""COMPUTED_VALUE"""),"completed")</f>
        <v>completed</v>
      </c>
      <c r="D1273" s="43" t="str">
        <f>IFERROR(__xludf.DUMMYFUNCTION("""COMPUTED_VALUE"""),"No")</f>
        <v>No</v>
      </c>
      <c r="E1273" s="43" t="str">
        <f>IFERROR(__xludf.DUMMYFUNCTION("""COMPUTED_VALUE"""),"p_ddbec906bbee0309b86545d381bfb07dec25779a@inbound.aiesec.org")</f>
        <v>p_ddbec906bbee0309b86545d381bfb07dec25779a@inbound.aiesec.org</v>
      </c>
      <c r="F1273" s="43">
        <f>IFERROR(__xludf.DUMMYFUNCTION("""COMPUTED_VALUE"""),6.97249093E8)</f>
        <v>697249093</v>
      </c>
      <c r="G1273" s="43" t="str">
        <f>IFERROR(__xludf.DUMMYFUNCTION("""COMPUTED_VALUE"""),"Algeria")</f>
        <v>Algeria</v>
      </c>
      <c r="H1273" s="43" t="str">
        <f>IFERROR(__xludf.DUMMYFUNCTION("""COMPUTED_VALUE"""),"Tlemcen")</f>
        <v>Tlemcen</v>
      </c>
      <c r="I1273" s="43" t="str">
        <f>IFERROR(__xludf.DUMMYFUNCTION("""COMPUTED_VALUE"""),"Turkey")</f>
        <v>Turkey</v>
      </c>
      <c r="J1273" s="43" t="str">
        <f>IFERROR(__xludf.DUMMYFUNCTION("""COMPUTED_VALUE"""),"ANKARA")</f>
        <v>ANKARA</v>
      </c>
      <c r="K1273" s="44" t="str">
        <f>IFERROR(__xludf.DUMMYFUNCTION("""COMPUTED_VALUE"""),"https://expa.aiesec.org/opportunities/1296101")</f>
        <v>https://expa.aiesec.org/opportunities/1296101</v>
      </c>
      <c r="L1273" s="43" t="str">
        <f>IFERROR(__xludf.DUMMYFUNCTION("""COMPUTED_VALUE"""),"GV")</f>
        <v>GV</v>
      </c>
      <c r="M1273" s="43" t="str">
        <f>IFERROR(__xludf.DUMMYFUNCTION("""COMPUTED_VALUE"""),"short")</f>
        <v>short</v>
      </c>
      <c r="N1273" s="45">
        <f>IFERROR(__xludf.DUMMYFUNCTION("""COMPUTED_VALUE"""),45172.0)</f>
        <v>45172</v>
      </c>
      <c r="O1273" s="45">
        <f>IFERROR(__xludf.DUMMYFUNCTION("""COMPUTED_VALUE"""),45208.0)</f>
        <v>45208</v>
      </c>
      <c r="P1273" s="45">
        <f>IFERROR(__xludf.DUMMYFUNCTION("""COMPUTED_VALUE"""),45250.0)</f>
        <v>45250</v>
      </c>
      <c r="Q1273" s="45">
        <f>IFERROR(__xludf.DUMMYFUNCTION("""COMPUTED_VALUE"""),45211.0)</f>
        <v>45211</v>
      </c>
      <c r="R1273" s="45">
        <f>IFERROR(__xludf.DUMMYFUNCTION("""COMPUTED_VALUE"""),45253.0)</f>
        <v>45253</v>
      </c>
      <c r="S1273" s="43"/>
      <c r="T1273" s="43"/>
      <c r="U1273" s="43" t="str">
        <f>IFERROR(__xludf.DUMMYFUNCTION("""COMPUTED_VALUE"""),"Fingerprint")</f>
        <v>Fingerprint</v>
      </c>
      <c r="V1273" s="43" t="str">
        <f>IFERROR(__xludf.DUMMYFUNCTION("""COMPUTED_VALUE"""),"AIESEC in Blida")</f>
        <v>AIESEC in Blida</v>
      </c>
      <c r="W1273" s="43" t="str">
        <f>IFERROR(__xludf.DUMMYFUNCTION("""COMPUTED_VALUE"""),"2023-07-26T00:34:10Z")</f>
        <v>2023-07-26T00:34:10Z</v>
      </c>
      <c r="X1273" s="43"/>
      <c r="Y1273" s="43"/>
      <c r="Z1273" s="43"/>
    </row>
    <row r="1274" hidden="1">
      <c r="A1274" s="43" t="str">
        <f>IFERROR(__xludf.DUMMYFUNCTION("""COMPUTED_VALUE"""),"5313604_1296328")</f>
        <v>5313604_1296328</v>
      </c>
      <c r="B1274" s="43" t="str">
        <f>IFERROR(__xludf.DUMMYFUNCTION("""COMPUTED_VALUE"""),"Mariam Aletribi")</f>
        <v>Mariam Aletribi</v>
      </c>
      <c r="C1274" s="43" t="str">
        <f>IFERROR(__xludf.DUMMYFUNCTION("""COMPUTED_VALUE"""),"approved")</f>
        <v>approved</v>
      </c>
      <c r="D1274" s="43" t="str">
        <f>IFERROR(__xludf.DUMMYFUNCTION("""COMPUTED_VALUE"""),"No")</f>
        <v>No</v>
      </c>
      <c r="E1274" s="43" t="str">
        <f>IFERROR(__xludf.DUMMYFUNCTION("""COMPUTED_VALUE"""),"p_45047df4fde1ebafb560e3437670d5fa90e515a7@inbound.aiesec.org")</f>
        <v>p_45047df4fde1ebafb560e3437670d5fa90e515a7@inbound.aiesec.org</v>
      </c>
      <c r="F1274" s="43">
        <f>IFERROR(__xludf.DUMMYFUNCTION("""COMPUTED_VALUE"""),1.122871114E9)</f>
        <v>1122871114</v>
      </c>
      <c r="G1274" s="43" t="str">
        <f>IFERROR(__xludf.DUMMYFUNCTION("""COMPUTED_VALUE"""),"Egypt")</f>
        <v>Egypt</v>
      </c>
      <c r="H1274" s="43" t="str">
        <f>IFERROR(__xludf.DUMMYFUNCTION("""COMPUTED_VALUE"""),"AAST In CAIRO")</f>
        <v>AAST In CAIRO</v>
      </c>
      <c r="I1274" s="43" t="str">
        <f>IFERROR(__xludf.DUMMYFUNCTION("""COMPUTED_VALUE"""),"Turkey")</f>
        <v>Turkey</v>
      </c>
      <c r="J1274" s="43" t="str">
        <f>IFERROR(__xludf.DUMMYFUNCTION("""COMPUTED_VALUE"""),"İZMİR")</f>
        <v>İZMİR</v>
      </c>
      <c r="K1274" s="44" t="str">
        <f>IFERROR(__xludf.DUMMYFUNCTION("""COMPUTED_VALUE"""),"https://expa.aiesec.org/opportunities/1296328")</f>
        <v>https://expa.aiesec.org/opportunities/1296328</v>
      </c>
      <c r="L1274" s="43" t="str">
        <f>IFERROR(__xludf.DUMMYFUNCTION("""COMPUTED_VALUE"""),"GV")</f>
        <v>GV</v>
      </c>
      <c r="M1274" s="43" t="str">
        <f>IFERROR(__xludf.DUMMYFUNCTION("""COMPUTED_VALUE"""),"short")</f>
        <v>short</v>
      </c>
      <c r="N1274" s="45">
        <f>IFERROR(__xludf.DUMMYFUNCTION("""COMPUTED_VALUE"""),45172.0)</f>
        <v>45172</v>
      </c>
      <c r="O1274" s="45">
        <f>IFERROR(__xludf.DUMMYFUNCTION("""COMPUTED_VALUE"""),45403.0)</f>
        <v>45403</v>
      </c>
      <c r="P1274" s="45">
        <f>IFERROR(__xludf.DUMMYFUNCTION("""COMPUTED_VALUE"""),45445.0)</f>
        <v>45445</v>
      </c>
      <c r="Q1274" s="45"/>
      <c r="R1274" s="45"/>
      <c r="S1274" s="43"/>
      <c r="T1274" s="43"/>
      <c r="U1274" s="43" t="str">
        <f>IFERROR(__xludf.DUMMYFUNCTION("""COMPUTED_VALUE"""),"Fingerprint")</f>
        <v>Fingerprint</v>
      </c>
      <c r="V1274" s="43" t="str">
        <f>IFERROR(__xludf.DUMMYFUNCTION("""COMPUTED_VALUE"""),"AAST in Cairo Univeristy")</f>
        <v>AAST in Cairo Univeristy</v>
      </c>
      <c r="W1274" s="43" t="str">
        <f>IFERROR(__xludf.DUMMYFUNCTION("""COMPUTED_VALUE"""),"2023-08-30T15:21:51Z")</f>
        <v>2023-08-30T15:21:51Z</v>
      </c>
      <c r="X1274" s="43"/>
      <c r="Y1274" s="43"/>
      <c r="Z1274" s="43"/>
    </row>
    <row r="1275" hidden="1">
      <c r="A1275" s="43" t="str">
        <f>IFERROR(__xludf.DUMMYFUNCTION("""COMPUTED_VALUE"""),"5317603_1295893")</f>
        <v>5317603_1295893</v>
      </c>
      <c r="B1275" s="43" t="str">
        <f>IFERROR(__xludf.DUMMYFUNCTION("""COMPUTED_VALUE"""),"Inna Polova")</f>
        <v>Inna Polova</v>
      </c>
      <c r="C1275" s="43" t="str">
        <f>IFERROR(__xludf.DUMMYFUNCTION("""COMPUTED_VALUE"""),"realized")</f>
        <v>realized</v>
      </c>
      <c r="D1275" s="43" t="str">
        <f>IFERROR(__xludf.DUMMYFUNCTION("""COMPUTED_VALUE"""),"No")</f>
        <v>No</v>
      </c>
      <c r="E1275" s="43" t="str">
        <f>IFERROR(__xludf.DUMMYFUNCTION("""COMPUTED_VALUE"""),"p_c987e0e1bb699ea5b66906aa9fce267f9eab9c27@inbound.aiesec.org")</f>
        <v>p_c987e0e1bb699ea5b66906aa9fce267f9eab9c27@inbound.aiesec.org</v>
      </c>
      <c r="F1275" s="43">
        <f>IFERROR(__xludf.DUMMYFUNCTION("""COMPUTED_VALUE"""),9.59034252E8)</f>
        <v>959034252</v>
      </c>
      <c r="G1275" s="43" t="str">
        <f>IFERROR(__xludf.DUMMYFUNCTION("""COMPUTED_VALUE"""),"Ukraine")</f>
        <v>Ukraine</v>
      </c>
      <c r="H1275" s="43" t="str">
        <f>IFERROR(__xludf.DUMMYFUNCTION("""COMPUTED_VALUE"""),"IVANO-FRANKIVSK")</f>
        <v>IVANO-FRANKIVSK</v>
      </c>
      <c r="I1275" s="43" t="str">
        <f>IFERROR(__xludf.DUMMYFUNCTION("""COMPUTED_VALUE"""),"Turkey")</f>
        <v>Turkey</v>
      </c>
      <c r="J1275" s="43" t="str">
        <f>IFERROR(__xludf.DUMMYFUNCTION("""COMPUTED_VALUE"""),"ADANA")</f>
        <v>ADANA</v>
      </c>
      <c r="K1275" s="44" t="str">
        <f>IFERROR(__xludf.DUMMYFUNCTION("""COMPUTED_VALUE"""),"https://expa.aiesec.org/opportunities/1295893")</f>
        <v>https://expa.aiesec.org/opportunities/1295893</v>
      </c>
      <c r="L1275" s="43" t="str">
        <f>IFERROR(__xludf.DUMMYFUNCTION("""COMPUTED_VALUE"""),"GV")</f>
        <v>GV</v>
      </c>
      <c r="M1275" s="43" t="str">
        <f>IFERROR(__xludf.DUMMYFUNCTION("""COMPUTED_VALUE"""),"short")</f>
        <v>short</v>
      </c>
      <c r="N1275" s="45">
        <f>IFERROR(__xludf.DUMMYFUNCTION("""COMPUTED_VALUE"""),45172.0)</f>
        <v>45172</v>
      </c>
      <c r="O1275" s="45">
        <f>IFERROR(__xludf.DUMMYFUNCTION("""COMPUTED_VALUE"""),45313.0)</f>
        <v>45313</v>
      </c>
      <c r="P1275" s="45">
        <f>IFERROR(__xludf.DUMMYFUNCTION("""COMPUTED_VALUE"""),45359.0)</f>
        <v>45359</v>
      </c>
      <c r="Q1275" s="45">
        <f>IFERROR(__xludf.DUMMYFUNCTION("""COMPUTED_VALUE"""),45310.0)</f>
        <v>45310</v>
      </c>
      <c r="R1275" s="45">
        <f>IFERROR(__xludf.DUMMYFUNCTION("""COMPUTED_VALUE"""),45359.0)</f>
        <v>45359</v>
      </c>
      <c r="S1275" s="43"/>
      <c r="T1275" s="43"/>
      <c r="U1275" s="43" t="str">
        <f>IFERROR(__xludf.DUMMYFUNCTION("""COMPUTED_VALUE"""),"Global Classroom")</f>
        <v>Global Classroom</v>
      </c>
      <c r="V1275" s="43" t="str">
        <f>IFERROR(__xludf.DUMMYFUNCTION("""COMPUTED_VALUE"""),"Ivano-Frankivsk")</f>
        <v>Ivano-Frankivsk</v>
      </c>
      <c r="W1275" s="43" t="str">
        <f>IFERROR(__xludf.DUMMYFUNCTION("""COMPUTED_VALUE"""),"2023-09-03T17:12:02Z")</f>
        <v>2023-09-03T17:12:02Z</v>
      </c>
      <c r="X1275" s="43"/>
      <c r="Y1275" s="43"/>
      <c r="Z1275" s="43"/>
    </row>
    <row r="1276" hidden="1">
      <c r="A1276" s="43" t="str">
        <f>IFERROR(__xludf.DUMMYFUNCTION("""COMPUTED_VALUE"""),"5317938_1279126")</f>
        <v>5317938_1279126</v>
      </c>
      <c r="B1276" s="43" t="str">
        <f>IFERROR(__xludf.DUMMYFUNCTION("""COMPUTED_VALUE"""),"Refka Abroug")</f>
        <v>Refka Abroug</v>
      </c>
      <c r="C1276" s="43" t="str">
        <f>IFERROR(__xludf.DUMMYFUNCTION("""COMPUTED_VALUE"""),"approved")</f>
        <v>approved</v>
      </c>
      <c r="D1276" s="43" t="str">
        <f>IFERROR(__xludf.DUMMYFUNCTION("""COMPUTED_VALUE"""),"No")</f>
        <v>No</v>
      </c>
      <c r="E1276" s="43" t="str">
        <f>IFERROR(__xludf.DUMMYFUNCTION("""COMPUTED_VALUE"""),"p_303b70d44ae423181eef6ca6c5be3f237237c8ab@inbound.aiesec.org")</f>
        <v>p_303b70d44ae423181eef6ca6c5be3f237237c8ab@inbound.aiesec.org</v>
      </c>
      <c r="F1276" s="43">
        <f>IFERROR(__xludf.DUMMYFUNCTION("""COMPUTED_VALUE"""),5.2517896E7)</f>
        <v>52517896</v>
      </c>
      <c r="G1276" s="43" t="str">
        <f>IFERROR(__xludf.DUMMYFUNCTION("""COMPUTED_VALUE"""),"Tunisia")</f>
        <v>Tunisia</v>
      </c>
      <c r="H1276" s="43" t="str">
        <f>IFERROR(__xludf.DUMMYFUNCTION("""COMPUTED_VALUE"""),"HADRUMET")</f>
        <v>HADRUMET</v>
      </c>
      <c r="I1276" s="43" t="str">
        <f>IFERROR(__xludf.DUMMYFUNCTION("""COMPUTED_VALUE"""),"Turkey")</f>
        <v>Turkey</v>
      </c>
      <c r="J1276" s="43" t="str">
        <f>IFERROR(__xludf.DUMMYFUNCTION("""COMPUTED_VALUE"""),"KOCAELI")</f>
        <v>KOCAELI</v>
      </c>
      <c r="K1276" s="44" t="str">
        <f>IFERROR(__xludf.DUMMYFUNCTION("""COMPUTED_VALUE"""),"https://expa.aiesec.org/opportunities/1279126")</f>
        <v>https://expa.aiesec.org/opportunities/1279126</v>
      </c>
      <c r="L1276" s="43" t="str">
        <f>IFERROR(__xludf.DUMMYFUNCTION("""COMPUTED_VALUE"""),"GV")</f>
        <v>GV</v>
      </c>
      <c r="M1276" s="43" t="str">
        <f>IFERROR(__xludf.DUMMYFUNCTION("""COMPUTED_VALUE"""),"short")</f>
        <v>short</v>
      </c>
      <c r="N1276" s="45">
        <f>IFERROR(__xludf.DUMMYFUNCTION("""COMPUTED_VALUE"""),45173.0)</f>
        <v>45173</v>
      </c>
      <c r="O1276" s="45">
        <f>IFERROR(__xludf.DUMMYFUNCTION("""COMPUTED_VALUE"""),45458.0)</f>
        <v>45458</v>
      </c>
      <c r="P1276" s="45">
        <f>IFERROR(__xludf.DUMMYFUNCTION("""COMPUTED_VALUE"""),45500.0)</f>
        <v>45500</v>
      </c>
      <c r="Q1276" s="45"/>
      <c r="R1276" s="45"/>
      <c r="S1276" s="43"/>
      <c r="T1276" s="43"/>
      <c r="U1276" s="43" t="str">
        <f>IFERROR(__xludf.DUMMYFUNCTION("""COMPUTED_VALUE"""),"Global Classroom")</f>
        <v>Global Classroom</v>
      </c>
      <c r="V1276" s="43" t="str">
        <f>IFERROR(__xludf.DUMMYFUNCTION("""COMPUTED_VALUE"""),"ISSAT Sousse")</f>
        <v>ISSAT Sousse</v>
      </c>
      <c r="W1276" s="43" t="str">
        <f>IFERROR(__xludf.DUMMYFUNCTION("""COMPUTED_VALUE"""),"2023-09-04T10:33:32Z")</f>
        <v>2023-09-04T10:33:32Z</v>
      </c>
      <c r="X1276" s="43"/>
      <c r="Y1276" s="43"/>
      <c r="Z1276" s="43"/>
    </row>
    <row r="1277" hidden="1">
      <c r="A1277" s="43" t="str">
        <f>IFERROR(__xludf.DUMMYFUNCTION("""COMPUTED_VALUE"""),"5312149_1286228")</f>
        <v>5312149_1286228</v>
      </c>
      <c r="B1277" s="43" t="str">
        <f>IFERROR(__xludf.DUMMYFUNCTION("""COMPUTED_VALUE"""),"Aisha Khamis")</f>
        <v>Aisha Khamis</v>
      </c>
      <c r="C1277" s="43" t="str">
        <f>IFERROR(__xludf.DUMMYFUNCTION("""COMPUTED_VALUE"""),"approved")</f>
        <v>approved</v>
      </c>
      <c r="D1277" s="43" t="str">
        <f>IFERROR(__xludf.DUMMYFUNCTION("""COMPUTED_VALUE"""),"No")</f>
        <v>No</v>
      </c>
      <c r="E1277" s="43" t="str">
        <f>IFERROR(__xludf.DUMMYFUNCTION("""COMPUTED_VALUE"""),"p_38720a9d2cee4dc1b6aec538fe0f11834a651488@inbound.aiesec.org")</f>
        <v>p_38720a9d2cee4dc1b6aec538fe0f11834a651488@inbound.aiesec.org</v>
      </c>
      <c r="F1277" s="43">
        <f>IFERROR(__xludf.DUMMYFUNCTION("""COMPUTED_VALUE"""),1.224540902E9)</f>
        <v>1224540902</v>
      </c>
      <c r="G1277" s="43" t="str">
        <f>IFERROR(__xludf.DUMMYFUNCTION("""COMPUTED_VALUE"""),"Egypt")</f>
        <v>Egypt</v>
      </c>
      <c r="H1277" s="43" t="str">
        <f>IFERROR(__xludf.DUMMYFUNCTION("""COMPUTED_VALUE"""),"Alexandria")</f>
        <v>Alexandria</v>
      </c>
      <c r="I1277" s="43" t="str">
        <f>IFERROR(__xludf.DUMMYFUNCTION("""COMPUTED_VALUE"""),"Turkey")</f>
        <v>Turkey</v>
      </c>
      <c r="J1277" s="43" t="str">
        <f>IFERROR(__xludf.DUMMYFUNCTION("""COMPUTED_VALUE"""),"ISTANBUL WEST")</f>
        <v>ISTANBUL WEST</v>
      </c>
      <c r="K1277" s="44" t="str">
        <f>IFERROR(__xludf.DUMMYFUNCTION("""COMPUTED_VALUE"""),"https://expa.aiesec.org/opportunities/1286228")</f>
        <v>https://expa.aiesec.org/opportunities/1286228</v>
      </c>
      <c r="L1277" s="43" t="str">
        <f>IFERROR(__xludf.DUMMYFUNCTION("""COMPUTED_VALUE"""),"GV")</f>
        <v>GV</v>
      </c>
      <c r="M1277" s="43" t="str">
        <f>IFERROR(__xludf.DUMMYFUNCTION("""COMPUTED_VALUE"""),"short")</f>
        <v>short</v>
      </c>
      <c r="N1277" s="45">
        <f>IFERROR(__xludf.DUMMYFUNCTION("""COMPUTED_VALUE"""),45173.0)</f>
        <v>45173</v>
      </c>
      <c r="O1277" s="45">
        <f>IFERROR(__xludf.DUMMYFUNCTION("""COMPUTED_VALUE"""),45235.0)</f>
        <v>45235</v>
      </c>
      <c r="P1277" s="45">
        <f>IFERROR(__xludf.DUMMYFUNCTION("""COMPUTED_VALUE"""),45277.0)</f>
        <v>45277</v>
      </c>
      <c r="Q1277" s="45"/>
      <c r="R1277" s="45"/>
      <c r="S1277" s="43"/>
      <c r="T1277" s="43"/>
      <c r="U1277" s="43" t="str">
        <f>IFERROR(__xludf.DUMMYFUNCTION("""COMPUTED_VALUE"""),"Global Classroom")</f>
        <v>Global Classroom</v>
      </c>
      <c r="V1277" s="43" t="str">
        <f>IFERROR(__xludf.DUMMYFUNCTION("""COMPUTED_VALUE"""),"Alexandria University")</f>
        <v>Alexandria University</v>
      </c>
      <c r="W1277" s="43" t="str">
        <f>IFERROR(__xludf.DUMMYFUNCTION("""COMPUTED_VALUE"""),"2023-08-29T14:30:49Z")</f>
        <v>2023-08-29T14:30:49Z</v>
      </c>
      <c r="X1277" s="43"/>
      <c r="Y1277" s="43"/>
      <c r="Z1277" s="43"/>
    </row>
    <row r="1278" hidden="1">
      <c r="A1278" s="43" t="str">
        <f>IFERROR(__xludf.DUMMYFUNCTION("""COMPUTED_VALUE"""),"4198667_1296670")</f>
        <v>4198667_1296670</v>
      </c>
      <c r="B1278" s="43" t="str">
        <f>IFERROR(__xludf.DUMMYFUNCTION("""COMPUTED_VALUE"""),"Idzni Azhani Firdaus")</f>
        <v>Idzni Azhani Firdaus</v>
      </c>
      <c r="C1278" s="43" t="str">
        <f>IFERROR(__xludf.DUMMYFUNCTION("""COMPUTED_VALUE"""),"approved")</f>
        <v>approved</v>
      </c>
      <c r="D1278" s="43" t="str">
        <f>IFERROR(__xludf.DUMMYFUNCTION("""COMPUTED_VALUE"""),"No")</f>
        <v>No</v>
      </c>
      <c r="E1278" s="43" t="str">
        <f>IFERROR(__xludf.DUMMYFUNCTION("""COMPUTED_VALUE"""),"p_9915045e9b0259b5fcf89e00298a038f3b551fdb@inbound.aiesec.org")</f>
        <v>p_9915045e9b0259b5fcf89e00298a038f3b551fdb@inbound.aiesec.org</v>
      </c>
      <c r="F1278" s="43">
        <f>IFERROR(__xludf.DUMMYFUNCTION("""COMPUTED_VALUE"""),8.1911745289E10)</f>
        <v>81911745289</v>
      </c>
      <c r="G1278" s="43" t="str">
        <f>IFERROR(__xludf.DUMMYFUNCTION("""COMPUTED_VALUE"""),"Indonesia")</f>
        <v>Indonesia</v>
      </c>
      <c r="H1278" s="43" t="str">
        <f>IFERROR(__xludf.DUMMYFUNCTION("""COMPUTED_VALUE"""),"Bandung")</f>
        <v>Bandung</v>
      </c>
      <c r="I1278" s="43" t="str">
        <f>IFERROR(__xludf.DUMMYFUNCTION("""COMPUTED_VALUE"""),"Turkey")</f>
        <v>Turkey</v>
      </c>
      <c r="J1278" s="43" t="str">
        <f>IFERROR(__xludf.DUMMYFUNCTION("""COMPUTED_VALUE"""),"BURSA")</f>
        <v>BURSA</v>
      </c>
      <c r="K1278" s="44" t="str">
        <f>IFERROR(__xludf.DUMMYFUNCTION("""COMPUTED_VALUE"""),"https://expa.aiesec.org/opportunities/1296670")</f>
        <v>https://expa.aiesec.org/opportunities/1296670</v>
      </c>
      <c r="L1278" s="43" t="str">
        <f>IFERROR(__xludf.DUMMYFUNCTION("""COMPUTED_VALUE"""),"GV")</f>
        <v>GV</v>
      </c>
      <c r="M1278" s="43" t="str">
        <f>IFERROR(__xludf.DUMMYFUNCTION("""COMPUTED_VALUE"""),"short")</f>
        <v>short</v>
      </c>
      <c r="N1278" s="45">
        <f>IFERROR(__xludf.DUMMYFUNCTION("""COMPUTED_VALUE"""),45174.0)</f>
        <v>45174</v>
      </c>
      <c r="O1278" s="45">
        <f>IFERROR(__xludf.DUMMYFUNCTION("""COMPUTED_VALUE"""),45327.0)</f>
        <v>45327</v>
      </c>
      <c r="P1278" s="45">
        <f>IFERROR(__xludf.DUMMYFUNCTION("""COMPUTED_VALUE"""),45369.0)</f>
        <v>45369</v>
      </c>
      <c r="Q1278" s="45"/>
      <c r="R1278" s="45"/>
      <c r="S1278" s="43"/>
      <c r="T1278" s="43"/>
      <c r="U1278" s="43" t="str">
        <f>IFERROR(__xludf.DUMMYFUNCTION("""COMPUTED_VALUE"""),"Youth 4 Impact")</f>
        <v>Youth 4 Impact</v>
      </c>
      <c r="V1278" s="43" t="str">
        <f>IFERROR(__xludf.DUMMYFUNCTION("""COMPUTED_VALUE"""),"Universitas Pendidikan Indonesia")</f>
        <v>Universitas Pendidikan Indonesia</v>
      </c>
      <c r="W1278" s="43" t="str">
        <f>IFERROR(__xludf.DUMMYFUNCTION("""COMPUTED_VALUE"""),"2020-02-19T15:40:19Z")</f>
        <v>2020-02-19T15:40:19Z</v>
      </c>
      <c r="X1278" s="43"/>
      <c r="Y1278" s="43"/>
      <c r="Z1278" s="43"/>
    </row>
    <row r="1279" hidden="1">
      <c r="A1279" s="43" t="str">
        <f>IFERROR(__xludf.DUMMYFUNCTION("""COMPUTED_VALUE"""),"5299486_1292557")</f>
        <v>5299486_1292557</v>
      </c>
      <c r="B1279" s="43" t="str">
        <f>IFERROR(__xludf.DUMMYFUNCTION("""COMPUTED_VALUE"""),"Maddalena Bellini")</f>
        <v>Maddalena Bellini</v>
      </c>
      <c r="C1279" s="43" t="str">
        <f>IFERROR(__xludf.DUMMYFUNCTION("""COMPUTED_VALUE"""),"approved")</f>
        <v>approved</v>
      </c>
      <c r="D1279" s="43" t="str">
        <f>IFERROR(__xludf.DUMMYFUNCTION("""COMPUTED_VALUE"""),"No")</f>
        <v>No</v>
      </c>
      <c r="E1279" s="43" t="str">
        <f>IFERROR(__xludf.DUMMYFUNCTION("""COMPUTED_VALUE"""),"p_0e4f8e7f68a9c29db8ae041f9e752dec0b1816f4@inbound.aiesec.org")</f>
        <v>p_0e4f8e7f68a9c29db8ae041f9e752dec0b1816f4@inbound.aiesec.org</v>
      </c>
      <c r="F1279" s="43">
        <f>IFERROR(__xludf.DUMMYFUNCTION("""COMPUTED_VALUE"""),3.483837908E9)</f>
        <v>3483837908</v>
      </c>
      <c r="G1279" s="43" t="str">
        <f>IFERROR(__xludf.DUMMYFUNCTION("""COMPUTED_VALUE"""),"Italy")</f>
        <v>Italy</v>
      </c>
      <c r="H1279" s="43" t="str">
        <f>IFERROR(__xludf.DUMMYFUNCTION("""COMPUTED_VALUE"""),"Padova")</f>
        <v>Padova</v>
      </c>
      <c r="I1279" s="43" t="str">
        <f>IFERROR(__xludf.DUMMYFUNCTION("""COMPUTED_VALUE"""),"Turkey")</f>
        <v>Turkey</v>
      </c>
      <c r="J1279" s="43" t="str">
        <f>IFERROR(__xludf.DUMMYFUNCTION("""COMPUTED_VALUE"""),"DENIZLI")</f>
        <v>DENIZLI</v>
      </c>
      <c r="K1279" s="44" t="str">
        <f>IFERROR(__xludf.DUMMYFUNCTION("""COMPUTED_VALUE"""),"https://expa.aiesec.org/opportunities/1292557")</f>
        <v>https://expa.aiesec.org/opportunities/1292557</v>
      </c>
      <c r="L1279" s="43" t="str">
        <f>IFERROR(__xludf.DUMMYFUNCTION("""COMPUTED_VALUE"""),"GV")</f>
        <v>GV</v>
      </c>
      <c r="M1279" s="43" t="str">
        <f>IFERROR(__xludf.DUMMYFUNCTION("""COMPUTED_VALUE"""),"short")</f>
        <v>short</v>
      </c>
      <c r="N1279" s="45">
        <f>IFERROR(__xludf.DUMMYFUNCTION("""COMPUTED_VALUE"""),45174.0)</f>
        <v>45174</v>
      </c>
      <c r="O1279" s="45">
        <f>IFERROR(__xludf.DUMMYFUNCTION("""COMPUTED_VALUE"""),45488.0)</f>
        <v>45488</v>
      </c>
      <c r="P1279" s="45">
        <f>IFERROR(__xludf.DUMMYFUNCTION("""COMPUTED_VALUE"""),45530.0)</f>
        <v>45530</v>
      </c>
      <c r="Q1279" s="45"/>
      <c r="R1279" s="45"/>
      <c r="S1279" s="43"/>
      <c r="T1279" s="43"/>
      <c r="U1279" s="43" t="str">
        <f>IFERROR(__xludf.DUMMYFUNCTION("""COMPUTED_VALUE"""),"Equify")</f>
        <v>Equify</v>
      </c>
      <c r="V1279" s="43" t="str">
        <f>IFERROR(__xludf.DUMMYFUNCTION("""COMPUTED_VALUE"""),"-")</f>
        <v>-</v>
      </c>
      <c r="W1279" s="43" t="str">
        <f>IFERROR(__xludf.DUMMYFUNCTION("""COMPUTED_VALUE"""),"2023-08-08T14:33:00Z")</f>
        <v>2023-08-08T14:33:00Z</v>
      </c>
      <c r="X1279" s="43"/>
      <c r="Y1279" s="43"/>
      <c r="Z1279" s="43"/>
    </row>
    <row r="1280" hidden="1">
      <c r="A1280" s="43" t="str">
        <f>IFERROR(__xludf.DUMMYFUNCTION("""COMPUTED_VALUE"""),"5311044_1296103")</f>
        <v>5311044_1296103</v>
      </c>
      <c r="B1280" s="43" t="str">
        <f>IFERROR(__xludf.DUMMYFUNCTION("""COMPUTED_VALUE"""),"Ayesha Chaudhary")</f>
        <v>Ayesha Chaudhary</v>
      </c>
      <c r="C1280" s="43" t="str">
        <f>IFERROR(__xludf.DUMMYFUNCTION("""COMPUTED_VALUE"""),"approved")</f>
        <v>approved</v>
      </c>
      <c r="D1280" s="43" t="str">
        <f>IFERROR(__xludf.DUMMYFUNCTION("""COMPUTED_VALUE"""),"No")</f>
        <v>No</v>
      </c>
      <c r="E1280" s="43" t="str">
        <f>IFERROR(__xludf.DUMMYFUNCTION("""COMPUTED_VALUE"""),"p_00029ca9bd56dc86e1a62b7dfda1f2420e2720f1@inbound.aiesec.org")</f>
        <v>p_00029ca9bd56dc86e1a62b7dfda1f2420e2720f1@inbound.aiesec.org</v>
      </c>
      <c r="F1280" s="43">
        <f>IFERROR(__xludf.DUMMYFUNCTION("""COMPUTED_VALUE"""),3.005925608E9)</f>
        <v>3005925608</v>
      </c>
      <c r="G1280" s="43" t="str">
        <f>IFERROR(__xludf.DUMMYFUNCTION("""COMPUTED_VALUE"""),"Pakistan")</f>
        <v>Pakistan</v>
      </c>
      <c r="H1280" s="43" t="str">
        <f>IFERROR(__xludf.DUMMYFUNCTION("""COMPUTED_VALUE"""),"Islamabad")</f>
        <v>Islamabad</v>
      </c>
      <c r="I1280" s="43" t="str">
        <f>IFERROR(__xludf.DUMMYFUNCTION("""COMPUTED_VALUE"""),"Turkey")</f>
        <v>Turkey</v>
      </c>
      <c r="J1280" s="43" t="str">
        <f>IFERROR(__xludf.DUMMYFUNCTION("""COMPUTED_VALUE"""),"ANKARA")</f>
        <v>ANKARA</v>
      </c>
      <c r="K1280" s="44" t="str">
        <f>IFERROR(__xludf.DUMMYFUNCTION("""COMPUTED_VALUE"""),"https://expa.aiesec.org/opportunities/1296103")</f>
        <v>https://expa.aiesec.org/opportunities/1296103</v>
      </c>
      <c r="L1280" s="43" t="str">
        <f>IFERROR(__xludf.DUMMYFUNCTION("""COMPUTED_VALUE"""),"GV")</f>
        <v>GV</v>
      </c>
      <c r="M1280" s="43" t="str">
        <f>IFERROR(__xludf.DUMMYFUNCTION("""COMPUTED_VALUE"""),"short")</f>
        <v>short</v>
      </c>
      <c r="N1280" s="45">
        <f>IFERROR(__xludf.DUMMYFUNCTION("""COMPUTED_VALUE"""),45174.0)</f>
        <v>45174</v>
      </c>
      <c r="O1280" s="45">
        <f>IFERROR(__xludf.DUMMYFUNCTION("""COMPUTED_VALUE"""),45376.0)</f>
        <v>45376</v>
      </c>
      <c r="P1280" s="45">
        <f>IFERROR(__xludf.DUMMYFUNCTION("""COMPUTED_VALUE"""),45418.0)</f>
        <v>45418</v>
      </c>
      <c r="Q1280" s="45"/>
      <c r="R1280" s="45"/>
      <c r="S1280" s="43"/>
      <c r="T1280" s="43"/>
      <c r="U1280" s="43" t="str">
        <f>IFERROR(__xludf.DUMMYFUNCTION("""COMPUTED_VALUE"""),"Green Leaders")</f>
        <v>Green Leaders</v>
      </c>
      <c r="V1280" s="43" t="str">
        <f>IFERROR(__xludf.DUMMYFUNCTION("""COMPUTED_VALUE"""),"Islamabad - National Defence University (NDU)")</f>
        <v>Islamabad - National Defence University (NDU)</v>
      </c>
      <c r="W1280" s="43" t="str">
        <f>IFERROR(__xludf.DUMMYFUNCTION("""COMPUTED_VALUE"""),"2023-08-27T18:55:22Z")</f>
        <v>2023-08-27T18:55:22Z</v>
      </c>
      <c r="X1280" s="43"/>
      <c r="Y1280" s="43"/>
      <c r="Z1280" s="43"/>
    </row>
    <row r="1281" hidden="1">
      <c r="A1281" s="43" t="str">
        <f>IFERROR(__xludf.DUMMYFUNCTION("""COMPUTED_VALUE"""),"5278089_1295453")</f>
        <v>5278089_1295453</v>
      </c>
      <c r="B1281" s="43" t="str">
        <f>IFERROR(__xludf.DUMMYFUNCTION("""COMPUTED_VALUE"""),"Zainab Bouaziz")</f>
        <v>Zainab Bouaziz</v>
      </c>
      <c r="C1281" s="43" t="str">
        <f>IFERROR(__xludf.DUMMYFUNCTION("""COMPUTED_VALUE"""),"approved")</f>
        <v>approved</v>
      </c>
      <c r="D1281" s="43" t="str">
        <f>IFERROR(__xludf.DUMMYFUNCTION("""COMPUTED_VALUE"""),"No")</f>
        <v>No</v>
      </c>
      <c r="E1281" s="43" t="str">
        <f>IFERROR(__xludf.DUMMYFUNCTION("""COMPUTED_VALUE"""),"p_420be3c0bdda5d5a08a23b762c76e3afe5540c9b@inbound.aiesec.org")</f>
        <v>p_420be3c0bdda5d5a08a23b762c76e3afe5540c9b@inbound.aiesec.org</v>
      </c>
      <c r="F1281" s="43"/>
      <c r="G1281" s="43" t="str">
        <f>IFERROR(__xludf.DUMMYFUNCTION("""COMPUTED_VALUE"""),"Tunisia")</f>
        <v>Tunisia</v>
      </c>
      <c r="H1281" s="43" t="str">
        <f>IFERROR(__xludf.DUMMYFUNCTION("""COMPUTED_VALUE"""),"RUSPINA")</f>
        <v>RUSPINA</v>
      </c>
      <c r="I1281" s="43" t="str">
        <f>IFERROR(__xludf.DUMMYFUNCTION("""COMPUTED_VALUE"""),"Turkey")</f>
        <v>Turkey</v>
      </c>
      <c r="J1281" s="43" t="str">
        <f>IFERROR(__xludf.DUMMYFUNCTION("""COMPUTED_VALUE"""),"GAZIANTEP")</f>
        <v>GAZIANTEP</v>
      </c>
      <c r="K1281" s="44" t="str">
        <f>IFERROR(__xludf.DUMMYFUNCTION("""COMPUTED_VALUE"""),"https://expa.aiesec.org/opportunities/1295453")</f>
        <v>https://expa.aiesec.org/opportunities/1295453</v>
      </c>
      <c r="L1281" s="43" t="str">
        <f>IFERROR(__xludf.DUMMYFUNCTION("""COMPUTED_VALUE"""),"GV")</f>
        <v>GV</v>
      </c>
      <c r="M1281" s="43" t="str">
        <f>IFERROR(__xludf.DUMMYFUNCTION("""COMPUTED_VALUE"""),"short")</f>
        <v>short</v>
      </c>
      <c r="N1281" s="45">
        <f>IFERROR(__xludf.DUMMYFUNCTION("""COMPUTED_VALUE"""),45174.0)</f>
        <v>45174</v>
      </c>
      <c r="O1281" s="45">
        <f>IFERROR(__xludf.DUMMYFUNCTION("""COMPUTED_VALUE"""),45483.0)</f>
        <v>45483</v>
      </c>
      <c r="P1281" s="45">
        <f>IFERROR(__xludf.DUMMYFUNCTION("""COMPUTED_VALUE"""),45525.0)</f>
        <v>45525</v>
      </c>
      <c r="Q1281" s="45"/>
      <c r="R1281" s="45"/>
      <c r="S1281" s="43"/>
      <c r="T1281" s="43"/>
      <c r="U1281" s="43" t="str">
        <f>IFERROR(__xludf.DUMMYFUNCTION("""COMPUTED_VALUE"""),"Global Classroom")</f>
        <v>Global Classroom</v>
      </c>
      <c r="V1281" s="43" t="str">
        <f>IFERROR(__xludf.DUMMYFUNCTION("""COMPUTED_VALUE"""),"-")</f>
        <v>-</v>
      </c>
      <c r="W1281" s="43" t="str">
        <f>IFERROR(__xludf.DUMMYFUNCTION("""COMPUTED_VALUE"""),"2023-06-21T18:03:29Z")</f>
        <v>2023-06-21T18:03:29Z</v>
      </c>
      <c r="X1281" s="43"/>
      <c r="Y1281" s="43"/>
      <c r="Z1281" s="43"/>
    </row>
    <row r="1282" hidden="1">
      <c r="A1282" s="43" t="str">
        <f>IFERROR(__xludf.DUMMYFUNCTION("""COMPUTED_VALUE"""),"4591209_1295453")</f>
        <v>4591209_1295453</v>
      </c>
      <c r="B1282" s="43" t="str">
        <f>IFERROR(__xludf.DUMMYFUNCTION("""COMPUTED_VALUE"""),"Farah hammoud")</f>
        <v>Farah hammoud</v>
      </c>
      <c r="C1282" s="43" t="str">
        <f>IFERROR(__xludf.DUMMYFUNCTION("""COMPUTED_VALUE"""),"finished")</f>
        <v>finished</v>
      </c>
      <c r="D1282" s="43" t="str">
        <f>IFERROR(__xludf.DUMMYFUNCTION("""COMPUTED_VALUE"""),"No")</f>
        <v>No</v>
      </c>
      <c r="E1282" s="43" t="str">
        <f>IFERROR(__xludf.DUMMYFUNCTION("""COMPUTED_VALUE"""),"p_0e5e202531f39eeb408e1fcb4bff45b7e20b44f7@inbound.aiesec.org")</f>
        <v>p_0e5e202531f39eeb408e1fcb4bff45b7e20b44f7@inbound.aiesec.org</v>
      </c>
      <c r="F1282" s="43">
        <f>IFERROR(__xludf.DUMMYFUNCTION("""COMPUTED_VALUE"""),1.099792054E9)</f>
        <v>1099792054</v>
      </c>
      <c r="G1282" s="43" t="str">
        <f>IFERROR(__xludf.DUMMYFUNCTION("""COMPUTED_VALUE"""),"Egypt")</f>
        <v>Egypt</v>
      </c>
      <c r="H1282" s="43" t="str">
        <f>IFERROR(__xludf.DUMMYFUNCTION("""COMPUTED_VALUE"""),"AAST In CAIRO")</f>
        <v>AAST In CAIRO</v>
      </c>
      <c r="I1282" s="43" t="str">
        <f>IFERROR(__xludf.DUMMYFUNCTION("""COMPUTED_VALUE"""),"Turkey")</f>
        <v>Turkey</v>
      </c>
      <c r="J1282" s="43" t="str">
        <f>IFERROR(__xludf.DUMMYFUNCTION("""COMPUTED_VALUE"""),"GAZIANTEP")</f>
        <v>GAZIANTEP</v>
      </c>
      <c r="K1282" s="44" t="str">
        <f>IFERROR(__xludf.DUMMYFUNCTION("""COMPUTED_VALUE"""),"https://expa.aiesec.org/opportunities/1295453")</f>
        <v>https://expa.aiesec.org/opportunities/1295453</v>
      </c>
      <c r="L1282" s="43" t="str">
        <f>IFERROR(__xludf.DUMMYFUNCTION("""COMPUTED_VALUE"""),"GV")</f>
        <v>GV</v>
      </c>
      <c r="M1282" s="43" t="str">
        <f>IFERROR(__xludf.DUMMYFUNCTION("""COMPUTED_VALUE"""),"short")</f>
        <v>short</v>
      </c>
      <c r="N1282" s="45">
        <f>IFERROR(__xludf.DUMMYFUNCTION("""COMPUTED_VALUE"""),45174.0)</f>
        <v>45174</v>
      </c>
      <c r="O1282" s="45">
        <f>IFERROR(__xludf.DUMMYFUNCTION("""COMPUTED_VALUE"""),45240.0)</f>
        <v>45240</v>
      </c>
      <c r="P1282" s="45">
        <f>IFERROR(__xludf.DUMMYFUNCTION("""COMPUTED_VALUE"""),45282.0)</f>
        <v>45282</v>
      </c>
      <c r="Q1282" s="45">
        <f>IFERROR(__xludf.DUMMYFUNCTION("""COMPUTED_VALUE"""),45240.0)</f>
        <v>45240</v>
      </c>
      <c r="R1282" s="45">
        <f>IFERROR(__xludf.DUMMYFUNCTION("""COMPUTED_VALUE"""),45282.0)</f>
        <v>45282</v>
      </c>
      <c r="S1282" s="43"/>
      <c r="T1282" s="43"/>
      <c r="U1282" s="43" t="str">
        <f>IFERROR(__xludf.DUMMYFUNCTION("""COMPUTED_VALUE"""),"Global Classroom")</f>
        <v>Global Classroom</v>
      </c>
      <c r="V1282" s="43" t="str">
        <f>IFERROR(__xludf.DUMMYFUNCTION("""COMPUTED_VALUE"""),"AAST in Cairo Univeristy")</f>
        <v>AAST in Cairo Univeristy</v>
      </c>
      <c r="W1282" s="43" t="str">
        <f>IFERROR(__xludf.DUMMYFUNCTION("""COMPUTED_VALUE"""),"2021-03-24T13:21:23Z")</f>
        <v>2021-03-24T13:21:23Z</v>
      </c>
      <c r="X1282" s="43"/>
      <c r="Y1282" s="43"/>
      <c r="Z1282" s="43"/>
    </row>
    <row r="1283" hidden="1">
      <c r="A1283" s="43" t="str">
        <f>IFERROR(__xludf.DUMMYFUNCTION("""COMPUTED_VALUE"""),"5317695_1295453")</f>
        <v>5317695_1295453</v>
      </c>
      <c r="B1283" s="43" t="str">
        <f>IFERROR(__xludf.DUMMYFUNCTION("""COMPUTED_VALUE"""),"Dina Elmakhzangy")</f>
        <v>Dina Elmakhzangy</v>
      </c>
      <c r="C1283" s="43" t="str">
        <f>IFERROR(__xludf.DUMMYFUNCTION("""COMPUTED_VALUE"""),"finished")</f>
        <v>finished</v>
      </c>
      <c r="D1283" s="43" t="str">
        <f>IFERROR(__xludf.DUMMYFUNCTION("""COMPUTED_VALUE"""),"No")</f>
        <v>No</v>
      </c>
      <c r="E1283" s="43" t="str">
        <f>IFERROR(__xludf.DUMMYFUNCTION("""COMPUTED_VALUE"""),"p_c16a866b0dc87f7e97e1017a6426a955a5d32364@inbound.aiesec.org")</f>
        <v>p_c16a866b0dc87f7e97e1017a6426a955a5d32364@inbound.aiesec.org</v>
      </c>
      <c r="F1283" s="43">
        <f>IFERROR(__xludf.DUMMYFUNCTION("""COMPUTED_VALUE"""),1.208799991E9)</f>
        <v>1208799991</v>
      </c>
      <c r="G1283" s="43" t="str">
        <f>IFERROR(__xludf.DUMMYFUNCTION("""COMPUTED_VALUE"""),"Egypt")</f>
        <v>Egypt</v>
      </c>
      <c r="H1283" s="43" t="str">
        <f>IFERROR(__xludf.DUMMYFUNCTION("""COMPUTED_VALUE"""),"AAST In CAIRO")</f>
        <v>AAST In CAIRO</v>
      </c>
      <c r="I1283" s="43" t="str">
        <f>IFERROR(__xludf.DUMMYFUNCTION("""COMPUTED_VALUE"""),"Turkey")</f>
        <v>Turkey</v>
      </c>
      <c r="J1283" s="43" t="str">
        <f>IFERROR(__xludf.DUMMYFUNCTION("""COMPUTED_VALUE"""),"GAZIANTEP")</f>
        <v>GAZIANTEP</v>
      </c>
      <c r="K1283" s="44" t="str">
        <f>IFERROR(__xludf.DUMMYFUNCTION("""COMPUTED_VALUE"""),"https://expa.aiesec.org/opportunities/1295453")</f>
        <v>https://expa.aiesec.org/opportunities/1295453</v>
      </c>
      <c r="L1283" s="43" t="str">
        <f>IFERROR(__xludf.DUMMYFUNCTION("""COMPUTED_VALUE"""),"GV")</f>
        <v>GV</v>
      </c>
      <c r="M1283" s="43" t="str">
        <f>IFERROR(__xludf.DUMMYFUNCTION("""COMPUTED_VALUE"""),"short")</f>
        <v>short</v>
      </c>
      <c r="N1283" s="45">
        <f>IFERROR(__xludf.DUMMYFUNCTION("""COMPUTED_VALUE"""),45174.0)</f>
        <v>45174</v>
      </c>
      <c r="O1283" s="45">
        <f>IFERROR(__xludf.DUMMYFUNCTION("""COMPUTED_VALUE"""),45240.0)</f>
        <v>45240</v>
      </c>
      <c r="P1283" s="45">
        <f>IFERROR(__xludf.DUMMYFUNCTION("""COMPUTED_VALUE"""),45282.0)</f>
        <v>45282</v>
      </c>
      <c r="Q1283" s="45">
        <f>IFERROR(__xludf.DUMMYFUNCTION("""COMPUTED_VALUE"""),45240.0)</f>
        <v>45240</v>
      </c>
      <c r="R1283" s="45">
        <f>IFERROR(__xludf.DUMMYFUNCTION("""COMPUTED_VALUE"""),45282.0)</f>
        <v>45282</v>
      </c>
      <c r="S1283" s="43"/>
      <c r="T1283" s="43"/>
      <c r="U1283" s="43" t="str">
        <f>IFERROR(__xludf.DUMMYFUNCTION("""COMPUTED_VALUE"""),"Global Classroom")</f>
        <v>Global Classroom</v>
      </c>
      <c r="V1283" s="43" t="str">
        <f>IFERROR(__xludf.DUMMYFUNCTION("""COMPUTED_VALUE"""),"AAST in Cairo Univeristy")</f>
        <v>AAST in Cairo Univeristy</v>
      </c>
      <c r="W1283" s="43" t="str">
        <f>IFERROR(__xludf.DUMMYFUNCTION("""COMPUTED_VALUE"""),"2023-09-03T19:34:07Z")</f>
        <v>2023-09-03T19:34:07Z</v>
      </c>
      <c r="X1283" s="43"/>
      <c r="Y1283" s="43"/>
      <c r="Z1283" s="43"/>
    </row>
    <row r="1284" hidden="1">
      <c r="A1284" s="43" t="str">
        <f>IFERROR(__xludf.DUMMYFUNCTION("""COMPUTED_VALUE"""),"5291973_1296239")</f>
        <v>5291973_1296239</v>
      </c>
      <c r="B1284" s="43" t="str">
        <f>IFERROR(__xludf.DUMMYFUNCTION("""COMPUTED_VALUE"""),"Mohamed Berama")</f>
        <v>Mohamed Berama</v>
      </c>
      <c r="C1284" s="43" t="str">
        <f>IFERROR(__xludf.DUMMYFUNCTION("""COMPUTED_VALUE"""),"approved")</f>
        <v>approved</v>
      </c>
      <c r="D1284" s="43" t="str">
        <f>IFERROR(__xludf.DUMMYFUNCTION("""COMPUTED_VALUE"""),"No")</f>
        <v>No</v>
      </c>
      <c r="E1284" s="43" t="str">
        <f>IFERROR(__xludf.DUMMYFUNCTION("""COMPUTED_VALUE"""),"p_f6c19be0cece8072562824d3271eb4d0b7dca72e@inbound.aiesec.org")</f>
        <v>p_f6c19be0cece8072562824d3271eb4d0b7dca72e@inbound.aiesec.org</v>
      </c>
      <c r="F1284" s="43">
        <f>IFERROR(__xludf.DUMMYFUNCTION("""COMPUTED_VALUE"""),1.129577629E9)</f>
        <v>1129577629</v>
      </c>
      <c r="G1284" s="43" t="str">
        <f>IFERROR(__xludf.DUMMYFUNCTION("""COMPUTED_VALUE"""),"Egypt")</f>
        <v>Egypt</v>
      </c>
      <c r="H1284" s="43" t="str">
        <f>IFERROR(__xludf.DUMMYFUNCTION("""COMPUTED_VALUE"""),"AAST In CAIRO")</f>
        <v>AAST In CAIRO</v>
      </c>
      <c r="I1284" s="43" t="str">
        <f>IFERROR(__xludf.DUMMYFUNCTION("""COMPUTED_VALUE"""),"Turkey")</f>
        <v>Turkey</v>
      </c>
      <c r="J1284" s="43" t="str">
        <f>IFERROR(__xludf.DUMMYFUNCTION("""COMPUTED_VALUE"""),"GAZIANTEP")</f>
        <v>GAZIANTEP</v>
      </c>
      <c r="K1284" s="44" t="str">
        <f>IFERROR(__xludf.DUMMYFUNCTION("""COMPUTED_VALUE"""),"https://expa.aiesec.org/opportunities/1296239")</f>
        <v>https://expa.aiesec.org/opportunities/1296239</v>
      </c>
      <c r="L1284" s="43" t="str">
        <f>IFERROR(__xludf.DUMMYFUNCTION("""COMPUTED_VALUE"""),"GV")</f>
        <v>GV</v>
      </c>
      <c r="M1284" s="43" t="str">
        <f>IFERROR(__xludf.DUMMYFUNCTION("""COMPUTED_VALUE"""),"short")</f>
        <v>short</v>
      </c>
      <c r="N1284" s="45">
        <f>IFERROR(__xludf.DUMMYFUNCTION("""COMPUTED_VALUE"""),45174.0)</f>
        <v>45174</v>
      </c>
      <c r="O1284" s="45">
        <f>IFERROR(__xludf.DUMMYFUNCTION("""COMPUTED_VALUE"""),45200.0)</f>
        <v>45200</v>
      </c>
      <c r="P1284" s="45">
        <f>IFERROR(__xludf.DUMMYFUNCTION("""COMPUTED_VALUE"""),45242.0)</f>
        <v>45242</v>
      </c>
      <c r="Q1284" s="45"/>
      <c r="R1284" s="45"/>
      <c r="S1284" s="43"/>
      <c r="T1284" s="43"/>
      <c r="U1284" s="43" t="str">
        <f>IFERROR(__xludf.DUMMYFUNCTION("""COMPUTED_VALUE"""),"Global Classroom")</f>
        <v>Global Classroom</v>
      </c>
      <c r="V1284" s="43" t="str">
        <f>IFERROR(__xludf.DUMMYFUNCTION("""COMPUTED_VALUE"""),"AAST in Cairo Univeristy")</f>
        <v>AAST in Cairo Univeristy</v>
      </c>
      <c r="W1284" s="43" t="str">
        <f>IFERROR(__xludf.DUMMYFUNCTION("""COMPUTED_VALUE"""),"2023-07-31T02:48:56Z")</f>
        <v>2023-07-31T02:48:56Z</v>
      </c>
      <c r="X1284" s="43"/>
      <c r="Y1284" s="43"/>
      <c r="Z1284" s="43"/>
    </row>
    <row r="1285" hidden="1">
      <c r="A1285" s="43" t="str">
        <f>IFERROR(__xludf.DUMMYFUNCTION("""COMPUTED_VALUE"""),"5212777_1279126")</f>
        <v>5212777_1279126</v>
      </c>
      <c r="B1285" s="43" t="str">
        <f>IFERROR(__xludf.DUMMYFUNCTION("""COMPUTED_VALUE"""),"Jasmine Essam")</f>
        <v>Jasmine Essam</v>
      </c>
      <c r="C1285" s="43" t="str">
        <f>IFERROR(__xludf.DUMMYFUNCTION("""COMPUTED_VALUE"""),"approved")</f>
        <v>approved</v>
      </c>
      <c r="D1285" s="43" t="str">
        <f>IFERROR(__xludf.DUMMYFUNCTION("""COMPUTED_VALUE"""),"No")</f>
        <v>No</v>
      </c>
      <c r="E1285" s="43" t="str">
        <f>IFERROR(__xludf.DUMMYFUNCTION("""COMPUTED_VALUE"""),"p_7b0f7d021bdb60ecf4a8db1c3f4d0ad4cb290969@inbound.aiesec.org")</f>
        <v>p_7b0f7d021bdb60ecf4a8db1c3f4d0ad4cb290969@inbound.aiesec.org</v>
      </c>
      <c r="F1285" s="43">
        <f>IFERROR(__xludf.DUMMYFUNCTION("""COMPUTED_VALUE"""),1.032014376E9)</f>
        <v>1032014376</v>
      </c>
      <c r="G1285" s="43" t="str">
        <f>IFERROR(__xludf.DUMMYFUNCTION("""COMPUTED_VALUE"""),"Egypt")</f>
        <v>Egypt</v>
      </c>
      <c r="H1285" s="43" t="str">
        <f>IFERROR(__xludf.DUMMYFUNCTION("""COMPUTED_VALUE"""),"Cairo University")</f>
        <v>Cairo University</v>
      </c>
      <c r="I1285" s="43" t="str">
        <f>IFERROR(__xludf.DUMMYFUNCTION("""COMPUTED_VALUE"""),"Turkey")</f>
        <v>Turkey</v>
      </c>
      <c r="J1285" s="43" t="str">
        <f>IFERROR(__xludf.DUMMYFUNCTION("""COMPUTED_VALUE"""),"KOCAELI")</f>
        <v>KOCAELI</v>
      </c>
      <c r="K1285" s="44" t="str">
        <f>IFERROR(__xludf.DUMMYFUNCTION("""COMPUTED_VALUE"""),"https://expa.aiesec.org/opportunities/1279126")</f>
        <v>https://expa.aiesec.org/opportunities/1279126</v>
      </c>
      <c r="L1285" s="43" t="str">
        <f>IFERROR(__xludf.DUMMYFUNCTION("""COMPUTED_VALUE"""),"GV")</f>
        <v>GV</v>
      </c>
      <c r="M1285" s="43" t="str">
        <f>IFERROR(__xludf.DUMMYFUNCTION("""COMPUTED_VALUE"""),"short")</f>
        <v>short</v>
      </c>
      <c r="N1285" s="45">
        <f>IFERROR(__xludf.DUMMYFUNCTION("""COMPUTED_VALUE"""),45174.0)</f>
        <v>45174</v>
      </c>
      <c r="O1285" s="45">
        <f>IFERROR(__xludf.DUMMYFUNCTION("""COMPUTED_VALUE"""),45418.0)</f>
        <v>45418</v>
      </c>
      <c r="P1285" s="45">
        <f>IFERROR(__xludf.DUMMYFUNCTION("""COMPUTED_VALUE"""),45460.0)</f>
        <v>45460</v>
      </c>
      <c r="Q1285" s="45"/>
      <c r="R1285" s="45"/>
      <c r="S1285" s="43"/>
      <c r="T1285" s="43"/>
      <c r="U1285" s="43" t="str">
        <f>IFERROR(__xludf.DUMMYFUNCTION("""COMPUTED_VALUE"""),"Global Classroom")</f>
        <v>Global Classroom</v>
      </c>
      <c r="V1285" s="43" t="str">
        <f>IFERROR(__xludf.DUMMYFUNCTION("""COMPUTED_VALUE"""),"Cairo Univeristy")</f>
        <v>Cairo Univeristy</v>
      </c>
      <c r="W1285" s="43" t="str">
        <f>IFERROR(__xludf.DUMMYFUNCTION("""COMPUTED_VALUE"""),"2023-03-11T09:42:03Z")</f>
        <v>2023-03-11T09:42:03Z</v>
      </c>
      <c r="X1285" s="43"/>
      <c r="Y1285" s="43"/>
      <c r="Z1285" s="43"/>
    </row>
    <row r="1286" hidden="1">
      <c r="A1286" s="43" t="str">
        <f>IFERROR(__xludf.DUMMYFUNCTION("""COMPUTED_VALUE"""),"5317095_1295893")</f>
        <v>5317095_1295893</v>
      </c>
      <c r="B1286" s="43" t="str">
        <f>IFERROR(__xludf.DUMMYFUNCTION("""COMPUTED_VALUE"""),"Salma Wessam")</f>
        <v>Salma Wessam</v>
      </c>
      <c r="C1286" s="43" t="str">
        <f>IFERROR(__xludf.DUMMYFUNCTION("""COMPUTED_VALUE"""),"approved")</f>
        <v>approved</v>
      </c>
      <c r="D1286" s="43" t="str">
        <f>IFERROR(__xludf.DUMMYFUNCTION("""COMPUTED_VALUE"""),"No")</f>
        <v>No</v>
      </c>
      <c r="E1286" s="43" t="str">
        <f>IFERROR(__xludf.DUMMYFUNCTION("""COMPUTED_VALUE"""),"p_7c41de691ca0276c92180484d6b9ca552b2bfd95@inbound.aiesec.org")</f>
        <v>p_7c41de691ca0276c92180484d6b9ca552b2bfd95@inbound.aiesec.org</v>
      </c>
      <c r="F1286" s="43">
        <f>IFERROR(__xludf.DUMMYFUNCTION("""COMPUTED_VALUE"""),1.030106236E9)</f>
        <v>1030106236</v>
      </c>
      <c r="G1286" s="43" t="str">
        <f>IFERROR(__xludf.DUMMYFUNCTION("""COMPUTED_VALUE"""),"Egypt")</f>
        <v>Egypt</v>
      </c>
      <c r="H1286" s="43" t="str">
        <f>IFERROR(__xludf.DUMMYFUNCTION("""COMPUTED_VALUE"""),"MUST")</f>
        <v>MUST</v>
      </c>
      <c r="I1286" s="43" t="str">
        <f>IFERROR(__xludf.DUMMYFUNCTION("""COMPUTED_VALUE"""),"Turkey")</f>
        <v>Turkey</v>
      </c>
      <c r="J1286" s="43" t="str">
        <f>IFERROR(__xludf.DUMMYFUNCTION("""COMPUTED_VALUE"""),"ADANA")</f>
        <v>ADANA</v>
      </c>
      <c r="K1286" s="44" t="str">
        <f>IFERROR(__xludf.DUMMYFUNCTION("""COMPUTED_VALUE"""),"https://expa.aiesec.org/opportunities/1295893")</f>
        <v>https://expa.aiesec.org/opportunities/1295893</v>
      </c>
      <c r="L1286" s="43" t="str">
        <f>IFERROR(__xludf.DUMMYFUNCTION("""COMPUTED_VALUE"""),"GV")</f>
        <v>GV</v>
      </c>
      <c r="M1286" s="43" t="str">
        <f>IFERROR(__xludf.DUMMYFUNCTION("""COMPUTED_VALUE"""),"short")</f>
        <v>short</v>
      </c>
      <c r="N1286" s="45">
        <f>IFERROR(__xludf.DUMMYFUNCTION("""COMPUTED_VALUE"""),45174.0)</f>
        <v>45174</v>
      </c>
      <c r="O1286" s="45">
        <f>IFERROR(__xludf.DUMMYFUNCTION("""COMPUTED_VALUE"""),45313.0)</f>
        <v>45313</v>
      </c>
      <c r="P1286" s="45">
        <f>IFERROR(__xludf.DUMMYFUNCTION("""COMPUTED_VALUE"""),45359.0)</f>
        <v>45359</v>
      </c>
      <c r="Q1286" s="45"/>
      <c r="R1286" s="45"/>
      <c r="S1286" s="43"/>
      <c r="T1286" s="43"/>
      <c r="U1286" s="43" t="str">
        <f>IFERROR(__xludf.DUMMYFUNCTION("""COMPUTED_VALUE"""),"Global Classroom")</f>
        <v>Global Classroom</v>
      </c>
      <c r="V1286" s="43" t="str">
        <f>IFERROR(__xludf.DUMMYFUNCTION("""COMPUTED_VALUE"""),"MUST University")</f>
        <v>MUST University</v>
      </c>
      <c r="W1286" s="43" t="str">
        <f>IFERROR(__xludf.DUMMYFUNCTION("""COMPUTED_VALUE"""),"2023-09-02T20:49:23Z")</f>
        <v>2023-09-02T20:49:23Z</v>
      </c>
      <c r="X1286" s="43"/>
      <c r="Y1286" s="43"/>
      <c r="Z1286" s="43"/>
    </row>
    <row r="1287" hidden="1">
      <c r="A1287" s="43" t="str">
        <f>IFERROR(__xludf.DUMMYFUNCTION("""COMPUTED_VALUE"""),"4706490_1298556")</f>
        <v>4706490_1298556</v>
      </c>
      <c r="B1287" s="43" t="str">
        <f>IFERROR(__xludf.DUMMYFUNCTION("""COMPUTED_VALUE"""),"momen gamal")</f>
        <v>momen gamal</v>
      </c>
      <c r="C1287" s="43" t="str">
        <f>IFERROR(__xludf.DUMMYFUNCTION("""COMPUTED_VALUE"""),"approved")</f>
        <v>approved</v>
      </c>
      <c r="D1287" s="43" t="str">
        <f>IFERROR(__xludf.DUMMYFUNCTION("""COMPUTED_VALUE"""),"No")</f>
        <v>No</v>
      </c>
      <c r="E1287" s="43" t="str">
        <f>IFERROR(__xludf.DUMMYFUNCTION("""COMPUTED_VALUE"""),"p_ae5225506db4b7009cf08335c4ceefa4675f2ec0@inbound.aiesec.org")</f>
        <v>p_ae5225506db4b7009cf08335c4ceefa4675f2ec0@inbound.aiesec.org</v>
      </c>
      <c r="F1287" s="43">
        <f>IFERROR(__xludf.DUMMYFUNCTION("""COMPUTED_VALUE"""),1.145082274E9)</f>
        <v>1145082274</v>
      </c>
      <c r="G1287" s="43" t="str">
        <f>IFERROR(__xludf.DUMMYFUNCTION("""COMPUTED_VALUE"""),"Egypt")</f>
        <v>Egypt</v>
      </c>
      <c r="H1287" s="43" t="str">
        <f>IFERROR(__xludf.DUMMYFUNCTION("""COMPUTED_VALUE"""),"Ain Shams University")</f>
        <v>Ain Shams University</v>
      </c>
      <c r="I1287" s="43" t="str">
        <f>IFERROR(__xludf.DUMMYFUNCTION("""COMPUTED_VALUE"""),"Turkey")</f>
        <v>Turkey</v>
      </c>
      <c r="J1287" s="43" t="str">
        <f>IFERROR(__xludf.DUMMYFUNCTION("""COMPUTED_VALUE"""),"KUTAHYA")</f>
        <v>KUTAHYA</v>
      </c>
      <c r="K1287" s="44" t="str">
        <f>IFERROR(__xludf.DUMMYFUNCTION("""COMPUTED_VALUE"""),"https://expa.aiesec.org/opportunities/1298556")</f>
        <v>https://expa.aiesec.org/opportunities/1298556</v>
      </c>
      <c r="L1287" s="43" t="str">
        <f>IFERROR(__xludf.DUMMYFUNCTION("""COMPUTED_VALUE"""),"GV")</f>
        <v>GV</v>
      </c>
      <c r="M1287" s="43" t="str">
        <f>IFERROR(__xludf.DUMMYFUNCTION("""COMPUTED_VALUE"""),"short")</f>
        <v>short</v>
      </c>
      <c r="N1287" s="45">
        <f>IFERROR(__xludf.DUMMYFUNCTION("""COMPUTED_VALUE"""),45175.0)</f>
        <v>45175</v>
      </c>
      <c r="O1287" s="45">
        <f>IFERROR(__xludf.DUMMYFUNCTION("""COMPUTED_VALUE"""),45495.0)</f>
        <v>45495</v>
      </c>
      <c r="P1287" s="45">
        <f>IFERROR(__xludf.DUMMYFUNCTION("""COMPUTED_VALUE"""),45537.0)</f>
        <v>45537</v>
      </c>
      <c r="Q1287" s="45"/>
      <c r="R1287" s="45"/>
      <c r="S1287" s="43"/>
      <c r="T1287" s="43"/>
      <c r="U1287" s="43" t="str">
        <f>IFERROR(__xludf.DUMMYFUNCTION("""COMPUTED_VALUE"""),"On The Map")</f>
        <v>On The Map</v>
      </c>
      <c r="V1287" s="43" t="str">
        <f>IFERROR(__xludf.DUMMYFUNCTION("""COMPUTED_VALUE"""),"Ain Shams University")</f>
        <v>Ain Shams University</v>
      </c>
      <c r="W1287" s="43" t="str">
        <f>IFERROR(__xludf.DUMMYFUNCTION("""COMPUTED_VALUE"""),"2021-08-07T15:07:49Z")</f>
        <v>2021-08-07T15:07:49Z</v>
      </c>
      <c r="X1287" s="43"/>
      <c r="Y1287" s="43"/>
      <c r="Z1287" s="43"/>
    </row>
    <row r="1288" hidden="1">
      <c r="A1288" s="43" t="str">
        <f>IFERROR(__xludf.DUMMYFUNCTION("""COMPUTED_VALUE"""),"5074345_1297247")</f>
        <v>5074345_1297247</v>
      </c>
      <c r="B1288" s="43" t="str">
        <f>IFERROR(__xludf.DUMMYFUNCTION("""COMPUTED_VALUE"""),"Islem Agrebi")</f>
        <v>Islem Agrebi</v>
      </c>
      <c r="C1288" s="43" t="str">
        <f>IFERROR(__xludf.DUMMYFUNCTION("""COMPUTED_VALUE"""),"completed")</f>
        <v>completed</v>
      </c>
      <c r="D1288" s="43" t="str">
        <f>IFERROR(__xludf.DUMMYFUNCTION("""COMPUTED_VALUE"""),"No")</f>
        <v>No</v>
      </c>
      <c r="E1288" s="43" t="str">
        <f>IFERROR(__xludf.DUMMYFUNCTION("""COMPUTED_VALUE"""),"p_12e8bc6e9db24ce3be7c3bdfbfb6b6f04006b282@inbound.aiesec.org")</f>
        <v>p_12e8bc6e9db24ce3be7c3bdfbfb6b6f04006b282@inbound.aiesec.org</v>
      </c>
      <c r="F1288" s="43"/>
      <c r="G1288" s="43" t="str">
        <f>IFERROR(__xludf.DUMMYFUNCTION("""COMPUTED_VALUE"""),"Tunisia")</f>
        <v>Tunisia</v>
      </c>
      <c r="H1288" s="43" t="str">
        <f>IFERROR(__xludf.DUMMYFUNCTION("""COMPUTED_VALUE"""),"HADRUMET")</f>
        <v>HADRUMET</v>
      </c>
      <c r="I1288" s="43" t="str">
        <f>IFERROR(__xludf.DUMMYFUNCTION("""COMPUTED_VALUE"""),"Turkey")</f>
        <v>Turkey</v>
      </c>
      <c r="J1288" s="43" t="str">
        <f>IFERROR(__xludf.DUMMYFUNCTION("""COMPUTED_VALUE"""),"KOCAELI")</f>
        <v>KOCAELI</v>
      </c>
      <c r="K1288" s="44" t="str">
        <f>IFERROR(__xludf.DUMMYFUNCTION("""COMPUTED_VALUE"""),"https://expa.aiesec.org/opportunities/1297247")</f>
        <v>https://expa.aiesec.org/opportunities/1297247</v>
      </c>
      <c r="L1288" s="43" t="str">
        <f>IFERROR(__xludf.DUMMYFUNCTION("""COMPUTED_VALUE"""),"GV")</f>
        <v>GV</v>
      </c>
      <c r="M1288" s="43" t="str">
        <f>IFERROR(__xludf.DUMMYFUNCTION("""COMPUTED_VALUE"""),"short")</f>
        <v>short</v>
      </c>
      <c r="N1288" s="45">
        <f>IFERROR(__xludf.DUMMYFUNCTION("""COMPUTED_VALUE"""),45175.0)</f>
        <v>45175</v>
      </c>
      <c r="O1288" s="45">
        <f>IFERROR(__xludf.DUMMYFUNCTION("""COMPUTED_VALUE"""),45220.0)</f>
        <v>45220</v>
      </c>
      <c r="P1288" s="45">
        <f>IFERROR(__xludf.DUMMYFUNCTION("""COMPUTED_VALUE"""),45262.0)</f>
        <v>45262</v>
      </c>
      <c r="Q1288" s="45">
        <f>IFERROR(__xludf.DUMMYFUNCTION("""COMPUTED_VALUE"""),45220.0)</f>
        <v>45220</v>
      </c>
      <c r="R1288" s="45">
        <f>IFERROR(__xludf.DUMMYFUNCTION("""COMPUTED_VALUE"""),45262.0)</f>
        <v>45262</v>
      </c>
      <c r="S1288" s="43"/>
      <c r="T1288" s="43"/>
      <c r="U1288" s="43" t="str">
        <f>IFERROR(__xludf.DUMMYFUNCTION("""COMPUTED_VALUE"""),"Global Classroom")</f>
        <v>Global Classroom</v>
      </c>
      <c r="V1288" s="43" t="str">
        <f>IFERROR(__xludf.DUMMYFUNCTION("""COMPUTED_VALUE"""),"EPI Sousse")</f>
        <v>EPI Sousse</v>
      </c>
      <c r="W1288" s="43" t="str">
        <f>IFERROR(__xludf.DUMMYFUNCTION("""COMPUTED_VALUE"""),"2022-06-19T11:20:24Z")</f>
        <v>2022-06-19T11:20:24Z</v>
      </c>
      <c r="X1288" s="43"/>
      <c r="Y1288" s="43"/>
      <c r="Z1288" s="43"/>
    </row>
    <row r="1289" hidden="1">
      <c r="A1289" s="43" t="str">
        <f>IFERROR(__xludf.DUMMYFUNCTION("""COMPUTED_VALUE"""),"5319255_1286326")</f>
        <v>5319255_1286326</v>
      </c>
      <c r="B1289" s="43" t="str">
        <f>IFERROR(__xludf.DUMMYFUNCTION("""COMPUTED_VALUE"""),"bharat gupta")</f>
        <v>bharat gupta</v>
      </c>
      <c r="C1289" s="43" t="str">
        <f>IFERROR(__xludf.DUMMYFUNCTION("""COMPUTED_VALUE"""),"approved")</f>
        <v>approved</v>
      </c>
      <c r="D1289" s="43" t="str">
        <f>IFERROR(__xludf.DUMMYFUNCTION("""COMPUTED_VALUE"""),"No")</f>
        <v>No</v>
      </c>
      <c r="E1289" s="43" t="str">
        <f>IFERROR(__xludf.DUMMYFUNCTION("""COMPUTED_VALUE"""),"p_91685ff3af1fea8cf6bd23fafe259477851f7023@inbound.aiesec.org")</f>
        <v>p_91685ff3af1fea8cf6bd23fafe259477851f7023@inbound.aiesec.org</v>
      </c>
      <c r="F1289" s="43">
        <f>IFERROR(__xludf.DUMMYFUNCTION("""COMPUTED_VALUE"""),9.953805059E9)</f>
        <v>9953805059</v>
      </c>
      <c r="G1289" s="43" t="str">
        <f>IFERROR(__xludf.DUMMYFUNCTION("""COMPUTED_VALUE"""),"India")</f>
        <v>India</v>
      </c>
      <c r="H1289" s="43" t="str">
        <f>IFERROR(__xludf.DUMMYFUNCTION("""COMPUTED_VALUE"""),"Delhi IIT")</f>
        <v>Delhi IIT</v>
      </c>
      <c r="I1289" s="43" t="str">
        <f>IFERROR(__xludf.DUMMYFUNCTION("""COMPUTED_VALUE"""),"Turkey")</f>
        <v>Turkey</v>
      </c>
      <c r="J1289" s="43" t="str">
        <f>IFERROR(__xludf.DUMMYFUNCTION("""COMPUTED_VALUE"""),"ADANA")</f>
        <v>ADANA</v>
      </c>
      <c r="K1289" s="44" t="str">
        <f>IFERROR(__xludf.DUMMYFUNCTION("""COMPUTED_VALUE"""),"https://expa.aiesec.org/opportunities/1286326")</f>
        <v>https://expa.aiesec.org/opportunities/1286326</v>
      </c>
      <c r="L1289" s="43" t="str">
        <f>IFERROR(__xludf.DUMMYFUNCTION("""COMPUTED_VALUE"""),"GV")</f>
        <v>GV</v>
      </c>
      <c r="M1289" s="43" t="str">
        <f>IFERROR(__xludf.DUMMYFUNCTION("""COMPUTED_VALUE"""),"short")</f>
        <v>short</v>
      </c>
      <c r="N1289" s="45">
        <f>IFERROR(__xludf.DUMMYFUNCTION("""COMPUTED_VALUE"""),45175.0)</f>
        <v>45175</v>
      </c>
      <c r="O1289" s="45">
        <f>IFERROR(__xludf.DUMMYFUNCTION("""COMPUTED_VALUE"""),45250.0)</f>
        <v>45250</v>
      </c>
      <c r="P1289" s="45">
        <f>IFERROR(__xludf.DUMMYFUNCTION("""COMPUTED_VALUE"""),45292.0)</f>
        <v>45292</v>
      </c>
      <c r="Q1289" s="45"/>
      <c r="R1289" s="45"/>
      <c r="S1289" s="43"/>
      <c r="T1289" s="43"/>
      <c r="U1289" s="43" t="str">
        <f>IFERROR(__xludf.DUMMYFUNCTION("""COMPUTED_VALUE"""),"Equify")</f>
        <v>Equify</v>
      </c>
      <c r="V1289" s="43" t="str">
        <f>IFERROR(__xludf.DUMMYFUNCTION("""COMPUTED_VALUE"""),"Delhi IIT")</f>
        <v>Delhi IIT</v>
      </c>
      <c r="W1289" s="43" t="str">
        <f>IFERROR(__xludf.DUMMYFUNCTION("""COMPUTED_VALUE"""),"2023-09-06T18:05:28Z")</f>
        <v>2023-09-06T18:05:28Z</v>
      </c>
      <c r="X1289" s="43"/>
      <c r="Y1289" s="43"/>
      <c r="Z1289" s="43"/>
    </row>
    <row r="1290" hidden="1">
      <c r="A1290" s="43" t="str">
        <f>IFERROR(__xludf.DUMMYFUNCTION("""COMPUTED_VALUE"""),"3921906_1295893")</f>
        <v>3921906_1295893</v>
      </c>
      <c r="B1290" s="43" t="str">
        <f>IFERROR(__xludf.DUMMYFUNCTION("""COMPUTED_VALUE"""),"Abdulrahman Elgamal")</f>
        <v>Abdulrahman Elgamal</v>
      </c>
      <c r="C1290" s="43" t="str">
        <f>IFERROR(__xludf.DUMMYFUNCTION("""COMPUTED_VALUE"""),"approved")</f>
        <v>approved</v>
      </c>
      <c r="D1290" s="43" t="str">
        <f>IFERROR(__xludf.DUMMYFUNCTION("""COMPUTED_VALUE"""),"No")</f>
        <v>No</v>
      </c>
      <c r="E1290" s="43" t="str">
        <f>IFERROR(__xludf.DUMMYFUNCTION("""COMPUTED_VALUE"""),"p_9ee86ebe206711204fb8bb852710e75e4e5c440a@inbound.aiesec.org")</f>
        <v>p_9ee86ebe206711204fb8bb852710e75e4e5c440a@inbound.aiesec.org</v>
      </c>
      <c r="F1290" s="43">
        <f>IFERROR(__xludf.DUMMYFUNCTION("""COMPUTED_VALUE"""),1.154853402E9)</f>
        <v>1154853402</v>
      </c>
      <c r="G1290" s="43" t="str">
        <f>IFERROR(__xludf.DUMMYFUNCTION("""COMPUTED_VALUE"""),"Egypt")</f>
        <v>Egypt</v>
      </c>
      <c r="H1290" s="43" t="str">
        <f>IFERROR(__xludf.DUMMYFUNCTION("""COMPUTED_VALUE"""),"Mansoura")</f>
        <v>Mansoura</v>
      </c>
      <c r="I1290" s="43" t="str">
        <f>IFERROR(__xludf.DUMMYFUNCTION("""COMPUTED_VALUE"""),"Turkey")</f>
        <v>Turkey</v>
      </c>
      <c r="J1290" s="43" t="str">
        <f>IFERROR(__xludf.DUMMYFUNCTION("""COMPUTED_VALUE"""),"ADANA")</f>
        <v>ADANA</v>
      </c>
      <c r="K1290" s="44" t="str">
        <f>IFERROR(__xludf.DUMMYFUNCTION("""COMPUTED_VALUE"""),"https://expa.aiesec.org/opportunities/1295893")</f>
        <v>https://expa.aiesec.org/opportunities/1295893</v>
      </c>
      <c r="L1290" s="43" t="str">
        <f>IFERROR(__xludf.DUMMYFUNCTION("""COMPUTED_VALUE"""),"GV")</f>
        <v>GV</v>
      </c>
      <c r="M1290" s="43" t="str">
        <f>IFERROR(__xludf.DUMMYFUNCTION("""COMPUTED_VALUE"""),"short")</f>
        <v>short</v>
      </c>
      <c r="N1290" s="45">
        <f>IFERROR(__xludf.DUMMYFUNCTION("""COMPUTED_VALUE"""),45175.0)</f>
        <v>45175</v>
      </c>
      <c r="O1290" s="45">
        <f>IFERROR(__xludf.DUMMYFUNCTION("""COMPUTED_VALUE"""),45264.0)</f>
        <v>45264</v>
      </c>
      <c r="P1290" s="45">
        <f>IFERROR(__xludf.DUMMYFUNCTION("""COMPUTED_VALUE"""),45310.0)</f>
        <v>45310</v>
      </c>
      <c r="Q1290" s="45"/>
      <c r="R1290" s="45"/>
      <c r="S1290" s="43"/>
      <c r="T1290" s="43"/>
      <c r="U1290" s="43" t="str">
        <f>IFERROR(__xludf.DUMMYFUNCTION("""COMPUTED_VALUE"""),"Global Classroom")</f>
        <v>Global Classroom</v>
      </c>
      <c r="V1290" s="43" t="str">
        <f>IFERROR(__xludf.DUMMYFUNCTION("""COMPUTED_VALUE"""),"-")</f>
        <v>-</v>
      </c>
      <c r="W1290" s="43" t="str">
        <f>IFERROR(__xludf.DUMMYFUNCTION("""COMPUTED_VALUE"""),"2019-10-24T13:06:58Z")</f>
        <v>2019-10-24T13:06:58Z</v>
      </c>
      <c r="X1290" s="43"/>
      <c r="Y1290" s="43"/>
      <c r="Z1290" s="43"/>
    </row>
    <row r="1291" hidden="1">
      <c r="A1291" s="43" t="str">
        <f>IFERROR(__xludf.DUMMYFUNCTION("""COMPUTED_VALUE"""),"5210657_1296105")</f>
        <v>5210657_1296105</v>
      </c>
      <c r="B1291" s="43" t="str">
        <f>IFERROR(__xludf.DUMMYFUNCTION("""COMPUTED_VALUE"""),"Ibtissam Fdeli")</f>
        <v>Ibtissam Fdeli</v>
      </c>
      <c r="C1291" s="43" t="str">
        <f>IFERROR(__xludf.DUMMYFUNCTION("""COMPUTED_VALUE"""),"completed")</f>
        <v>completed</v>
      </c>
      <c r="D1291" s="43" t="str">
        <f>IFERROR(__xludf.DUMMYFUNCTION("""COMPUTED_VALUE"""),"No")</f>
        <v>No</v>
      </c>
      <c r="E1291" s="43" t="str">
        <f>IFERROR(__xludf.DUMMYFUNCTION("""COMPUTED_VALUE"""),"p_63ad1ccbf74fe3c3119dec75700ca586e4911a5a@inbound.aiesec.org")</f>
        <v>p_63ad1ccbf74fe3c3119dec75700ca586e4911a5a@inbound.aiesec.org</v>
      </c>
      <c r="F1291" s="43">
        <f>IFERROR(__xludf.DUMMYFUNCTION("""COMPUTED_VALUE"""),6.18978343E8)</f>
        <v>618978343</v>
      </c>
      <c r="G1291" s="43" t="str">
        <f>IFERROR(__xludf.DUMMYFUNCTION("""COMPUTED_VALUE"""),"Morocco")</f>
        <v>Morocco</v>
      </c>
      <c r="H1291" s="43" t="str">
        <f>IFERROR(__xludf.DUMMYFUNCTION("""COMPUTED_VALUE"""),"Fez")</f>
        <v>Fez</v>
      </c>
      <c r="I1291" s="43" t="str">
        <f>IFERROR(__xludf.DUMMYFUNCTION("""COMPUTED_VALUE"""),"Turkey")</f>
        <v>Turkey</v>
      </c>
      <c r="J1291" s="43" t="str">
        <f>IFERROR(__xludf.DUMMYFUNCTION("""COMPUTED_VALUE"""),"ANKARA")</f>
        <v>ANKARA</v>
      </c>
      <c r="K1291" s="44" t="str">
        <f>IFERROR(__xludf.DUMMYFUNCTION("""COMPUTED_VALUE"""),"https://expa.aiesec.org/opportunities/1296105")</f>
        <v>https://expa.aiesec.org/opportunities/1296105</v>
      </c>
      <c r="L1291" s="43" t="str">
        <f>IFERROR(__xludf.DUMMYFUNCTION("""COMPUTED_VALUE"""),"GV")</f>
        <v>GV</v>
      </c>
      <c r="M1291" s="43" t="str">
        <f>IFERROR(__xludf.DUMMYFUNCTION("""COMPUTED_VALUE"""),"short")</f>
        <v>short</v>
      </c>
      <c r="N1291" s="45">
        <f>IFERROR(__xludf.DUMMYFUNCTION("""COMPUTED_VALUE"""),45175.0)</f>
        <v>45175</v>
      </c>
      <c r="O1291" s="45">
        <f>IFERROR(__xludf.DUMMYFUNCTION("""COMPUTED_VALUE"""),45264.0)</f>
        <v>45264</v>
      </c>
      <c r="P1291" s="45">
        <f>IFERROR(__xludf.DUMMYFUNCTION("""COMPUTED_VALUE"""),45306.0)</f>
        <v>45306</v>
      </c>
      <c r="Q1291" s="45">
        <f>IFERROR(__xludf.DUMMYFUNCTION("""COMPUTED_VALUE"""),45266.0)</f>
        <v>45266</v>
      </c>
      <c r="R1291" s="45">
        <f>IFERROR(__xludf.DUMMYFUNCTION("""COMPUTED_VALUE"""),45306.0)</f>
        <v>45306</v>
      </c>
      <c r="S1291" s="43"/>
      <c r="T1291" s="43"/>
      <c r="U1291" s="43" t="str">
        <f>IFERROR(__xludf.DUMMYFUNCTION("""COMPUTED_VALUE"""),"Fingerprint")</f>
        <v>Fingerprint</v>
      </c>
      <c r="V1291" s="43" t="str">
        <f>IFERROR(__xludf.DUMMYFUNCTION("""COMPUTED_VALUE"""),"Ecole Nationale Des Sciences Appliquées Fès (ENSAF)")</f>
        <v>Ecole Nationale Des Sciences Appliquées Fès (ENSAF)</v>
      </c>
      <c r="W1291" s="43" t="str">
        <f>IFERROR(__xludf.DUMMYFUNCTION("""COMPUTED_VALUE"""),"2023-03-09T09:01:00Z")</f>
        <v>2023-03-09T09:01:00Z</v>
      </c>
      <c r="X1291" s="43"/>
      <c r="Y1291" s="43"/>
      <c r="Z1291" s="43"/>
    </row>
    <row r="1292" hidden="1">
      <c r="A1292" s="43" t="str">
        <f>IFERROR(__xludf.DUMMYFUNCTION("""COMPUTED_VALUE"""),"5318750_1279126")</f>
        <v>5318750_1279126</v>
      </c>
      <c r="B1292" s="43" t="str">
        <f>IFERROR(__xludf.DUMMYFUNCTION("""COMPUTED_VALUE"""),"Mariem Trabelsi")</f>
        <v>Mariem Trabelsi</v>
      </c>
      <c r="C1292" s="43" t="str">
        <f>IFERROR(__xludf.DUMMYFUNCTION("""COMPUTED_VALUE"""),"approved")</f>
        <v>approved</v>
      </c>
      <c r="D1292" s="43" t="str">
        <f>IFERROR(__xludf.DUMMYFUNCTION("""COMPUTED_VALUE"""),"No")</f>
        <v>No</v>
      </c>
      <c r="E1292" s="43" t="str">
        <f>IFERROR(__xludf.DUMMYFUNCTION("""COMPUTED_VALUE"""),"p_f057161110215e112c6e55dc64b71d50f6db72c2@inbound.aiesec.org")</f>
        <v>p_f057161110215e112c6e55dc64b71d50f6db72c2@inbound.aiesec.org</v>
      </c>
      <c r="F1292" s="43"/>
      <c r="G1292" s="43" t="str">
        <f>IFERROR(__xludf.DUMMYFUNCTION("""COMPUTED_VALUE"""),"Tunisia")</f>
        <v>Tunisia</v>
      </c>
      <c r="H1292" s="43" t="str">
        <f>IFERROR(__xludf.DUMMYFUNCTION("""COMPUTED_VALUE"""),"Carthage")</f>
        <v>Carthage</v>
      </c>
      <c r="I1292" s="43" t="str">
        <f>IFERROR(__xludf.DUMMYFUNCTION("""COMPUTED_VALUE"""),"Turkey")</f>
        <v>Turkey</v>
      </c>
      <c r="J1292" s="43" t="str">
        <f>IFERROR(__xludf.DUMMYFUNCTION("""COMPUTED_VALUE"""),"KOCAELI")</f>
        <v>KOCAELI</v>
      </c>
      <c r="K1292" s="44" t="str">
        <f>IFERROR(__xludf.DUMMYFUNCTION("""COMPUTED_VALUE"""),"https://expa.aiesec.org/opportunities/1279126")</f>
        <v>https://expa.aiesec.org/opportunities/1279126</v>
      </c>
      <c r="L1292" s="43" t="str">
        <f>IFERROR(__xludf.DUMMYFUNCTION("""COMPUTED_VALUE"""),"GV")</f>
        <v>GV</v>
      </c>
      <c r="M1292" s="43" t="str">
        <f>IFERROR(__xludf.DUMMYFUNCTION("""COMPUTED_VALUE"""),"short")</f>
        <v>short</v>
      </c>
      <c r="N1292" s="45">
        <f>IFERROR(__xludf.DUMMYFUNCTION("""COMPUTED_VALUE"""),45176.0)</f>
        <v>45176</v>
      </c>
      <c r="O1292" s="45">
        <f>IFERROR(__xludf.DUMMYFUNCTION("""COMPUTED_VALUE"""),45458.0)</f>
        <v>45458</v>
      </c>
      <c r="P1292" s="45">
        <f>IFERROR(__xludf.DUMMYFUNCTION("""COMPUTED_VALUE"""),45500.0)</f>
        <v>45500</v>
      </c>
      <c r="Q1292" s="45"/>
      <c r="R1292" s="45"/>
      <c r="S1292" s="43"/>
      <c r="T1292" s="43"/>
      <c r="U1292" s="43" t="str">
        <f>IFERROR(__xludf.DUMMYFUNCTION("""COMPUTED_VALUE"""),"Global Classroom")</f>
        <v>Global Classroom</v>
      </c>
      <c r="V1292" s="43" t="str">
        <f>IFERROR(__xludf.DUMMYFUNCTION("""COMPUTED_VALUE"""),"-")</f>
        <v>-</v>
      </c>
      <c r="W1292" s="43" t="str">
        <f>IFERROR(__xludf.DUMMYFUNCTION("""COMPUTED_VALUE"""),"2023-09-05T21:00:58Z")</f>
        <v>2023-09-05T21:00:58Z</v>
      </c>
      <c r="X1292" s="43"/>
      <c r="Y1292" s="43"/>
      <c r="Z1292" s="43"/>
    </row>
    <row r="1293" hidden="1">
      <c r="A1293" s="43" t="str">
        <f>IFERROR(__xludf.DUMMYFUNCTION("""COMPUTED_VALUE"""),"5306063_1280872")</f>
        <v>5306063_1280872</v>
      </c>
      <c r="B1293" s="43" t="str">
        <f>IFERROR(__xludf.DUMMYFUNCTION("""COMPUTED_VALUE"""),"Mohamed Ben Khlifa")</f>
        <v>Mohamed Ben Khlifa</v>
      </c>
      <c r="C1293" s="43" t="str">
        <f>IFERROR(__xludf.DUMMYFUNCTION("""COMPUTED_VALUE"""),"approved")</f>
        <v>approved</v>
      </c>
      <c r="D1293" s="43" t="str">
        <f>IFERROR(__xludf.DUMMYFUNCTION("""COMPUTED_VALUE"""),"No")</f>
        <v>No</v>
      </c>
      <c r="E1293" s="43" t="str">
        <f>IFERROR(__xludf.DUMMYFUNCTION("""COMPUTED_VALUE"""),"p_0bba5e9e81ba8ce01d493eb77c0a108ac50bb329@inbound.aiesec.org")</f>
        <v>p_0bba5e9e81ba8ce01d493eb77c0a108ac50bb329@inbound.aiesec.org</v>
      </c>
      <c r="F1293" s="43"/>
      <c r="G1293" s="43" t="str">
        <f>IFERROR(__xludf.DUMMYFUNCTION("""COMPUTED_VALUE"""),"Tunisia")</f>
        <v>Tunisia</v>
      </c>
      <c r="H1293" s="43" t="str">
        <f>IFERROR(__xludf.DUMMYFUNCTION("""COMPUTED_VALUE"""),"Carthage")</f>
        <v>Carthage</v>
      </c>
      <c r="I1293" s="43" t="str">
        <f>IFERROR(__xludf.DUMMYFUNCTION("""COMPUTED_VALUE"""),"Turkey")</f>
        <v>Turkey</v>
      </c>
      <c r="J1293" s="43" t="str">
        <f>IFERROR(__xludf.DUMMYFUNCTION("""COMPUTED_VALUE"""),"KOCAELI")</f>
        <v>KOCAELI</v>
      </c>
      <c r="K1293" s="44" t="str">
        <f>IFERROR(__xludf.DUMMYFUNCTION("""COMPUTED_VALUE"""),"https://expa.aiesec.org/opportunities/1280872")</f>
        <v>https://expa.aiesec.org/opportunities/1280872</v>
      </c>
      <c r="L1293" s="43" t="str">
        <f>IFERROR(__xludf.DUMMYFUNCTION("""COMPUTED_VALUE"""),"GV")</f>
        <v>GV</v>
      </c>
      <c r="M1293" s="43" t="str">
        <f>IFERROR(__xludf.DUMMYFUNCTION("""COMPUTED_VALUE"""),"short")</f>
        <v>short</v>
      </c>
      <c r="N1293" s="45">
        <f>IFERROR(__xludf.DUMMYFUNCTION("""COMPUTED_VALUE"""),45176.0)</f>
        <v>45176</v>
      </c>
      <c r="O1293" s="45">
        <f>IFERROR(__xludf.DUMMYFUNCTION("""COMPUTED_VALUE"""),45334.0)</f>
        <v>45334</v>
      </c>
      <c r="P1293" s="45">
        <f>IFERROR(__xludf.DUMMYFUNCTION("""COMPUTED_VALUE"""),45376.0)</f>
        <v>45376</v>
      </c>
      <c r="Q1293" s="45"/>
      <c r="R1293" s="45"/>
      <c r="S1293" s="43"/>
      <c r="T1293" s="43"/>
      <c r="U1293" s="43" t="str">
        <f>IFERROR(__xludf.DUMMYFUNCTION("""COMPUTED_VALUE"""),"Skill Up!")</f>
        <v>Skill Up!</v>
      </c>
      <c r="V1293" s="43" t="str">
        <f>IFERROR(__xludf.DUMMYFUNCTION("""COMPUTED_VALUE"""),"Polytech INTL")</f>
        <v>Polytech INTL</v>
      </c>
      <c r="W1293" s="43" t="str">
        <f>IFERROR(__xludf.DUMMYFUNCTION("""COMPUTED_VALUE"""),"2023-08-20T17:51:00Z")</f>
        <v>2023-08-20T17:51:00Z</v>
      </c>
      <c r="X1293" s="43"/>
      <c r="Y1293" s="43"/>
      <c r="Z1293" s="43"/>
    </row>
    <row r="1294" hidden="1">
      <c r="A1294" s="43" t="str">
        <f>IFERROR(__xludf.DUMMYFUNCTION("""COMPUTED_VALUE"""),"5286920_1295453")</f>
        <v>5286920_1295453</v>
      </c>
      <c r="B1294" s="43" t="str">
        <f>IFERROR(__xludf.DUMMYFUNCTION("""COMPUTED_VALUE"""),"Rana Wagih")</f>
        <v>Rana Wagih</v>
      </c>
      <c r="C1294" s="43" t="str">
        <f>IFERROR(__xludf.DUMMYFUNCTION("""COMPUTED_VALUE"""),"approved")</f>
        <v>approved</v>
      </c>
      <c r="D1294" s="43" t="str">
        <f>IFERROR(__xludf.DUMMYFUNCTION("""COMPUTED_VALUE"""),"No")</f>
        <v>No</v>
      </c>
      <c r="E1294" s="43" t="str">
        <f>IFERROR(__xludf.DUMMYFUNCTION("""COMPUTED_VALUE"""),"p_d065b39a19024d6e0b21874b90cb0f56cec7dcc1@inbound.aiesec.org")</f>
        <v>p_d065b39a19024d6e0b21874b90cb0f56cec7dcc1@inbound.aiesec.org</v>
      </c>
      <c r="F1294" s="43">
        <f>IFERROR(__xludf.DUMMYFUNCTION("""COMPUTED_VALUE"""),1.065340518E9)</f>
        <v>1065340518</v>
      </c>
      <c r="G1294" s="43" t="str">
        <f>IFERROR(__xludf.DUMMYFUNCTION("""COMPUTED_VALUE"""),"Egypt")</f>
        <v>Egypt</v>
      </c>
      <c r="H1294" s="43" t="str">
        <f>IFERROR(__xludf.DUMMYFUNCTION("""COMPUTED_VALUE"""),"Ain Shams University")</f>
        <v>Ain Shams University</v>
      </c>
      <c r="I1294" s="43" t="str">
        <f>IFERROR(__xludf.DUMMYFUNCTION("""COMPUTED_VALUE"""),"Turkey")</f>
        <v>Turkey</v>
      </c>
      <c r="J1294" s="43" t="str">
        <f>IFERROR(__xludf.DUMMYFUNCTION("""COMPUTED_VALUE"""),"GAZIANTEP")</f>
        <v>GAZIANTEP</v>
      </c>
      <c r="K1294" s="44" t="str">
        <f>IFERROR(__xludf.DUMMYFUNCTION("""COMPUTED_VALUE"""),"https://expa.aiesec.org/opportunities/1295453")</f>
        <v>https://expa.aiesec.org/opportunities/1295453</v>
      </c>
      <c r="L1294" s="43" t="str">
        <f>IFERROR(__xludf.DUMMYFUNCTION("""COMPUTED_VALUE"""),"GV")</f>
        <v>GV</v>
      </c>
      <c r="M1294" s="43" t="str">
        <f>IFERROR(__xludf.DUMMYFUNCTION("""COMPUTED_VALUE"""),"short")</f>
        <v>short</v>
      </c>
      <c r="N1294" s="45">
        <f>IFERROR(__xludf.DUMMYFUNCTION("""COMPUTED_VALUE"""),45177.0)</f>
        <v>45177</v>
      </c>
      <c r="O1294" s="45">
        <f>IFERROR(__xludf.DUMMYFUNCTION("""COMPUTED_VALUE"""),45516.0)</f>
        <v>45516</v>
      </c>
      <c r="P1294" s="45">
        <f>IFERROR(__xludf.DUMMYFUNCTION("""COMPUTED_VALUE"""),45558.0)</f>
        <v>45558</v>
      </c>
      <c r="Q1294" s="45"/>
      <c r="R1294" s="45"/>
      <c r="S1294" s="43"/>
      <c r="T1294" s="43"/>
      <c r="U1294" s="43" t="str">
        <f>IFERROR(__xludf.DUMMYFUNCTION("""COMPUTED_VALUE"""),"Global Classroom")</f>
        <v>Global Classroom</v>
      </c>
      <c r="V1294" s="43" t="str">
        <f>IFERROR(__xludf.DUMMYFUNCTION("""COMPUTED_VALUE"""),"Ain Shams University")</f>
        <v>Ain Shams University</v>
      </c>
      <c r="W1294" s="43" t="str">
        <f>IFERROR(__xludf.DUMMYFUNCTION("""COMPUTED_VALUE"""),"2023-07-18T23:24:38Z")</f>
        <v>2023-07-18T23:24:38Z</v>
      </c>
      <c r="X1294" s="43"/>
      <c r="Y1294" s="43"/>
      <c r="Z1294" s="43"/>
    </row>
    <row r="1295" hidden="1">
      <c r="A1295" s="43" t="str">
        <f>IFERROR(__xludf.DUMMYFUNCTION("""COMPUTED_VALUE"""),"5311093_1295453")</f>
        <v>5311093_1295453</v>
      </c>
      <c r="B1295" s="43" t="str">
        <f>IFERROR(__xludf.DUMMYFUNCTION("""COMPUTED_VALUE"""),"Amira Hussein Gamil")</f>
        <v>Amira Hussein Gamil</v>
      </c>
      <c r="C1295" s="43" t="str">
        <f>IFERROR(__xludf.DUMMYFUNCTION("""COMPUTED_VALUE"""),"approved")</f>
        <v>approved</v>
      </c>
      <c r="D1295" s="43" t="str">
        <f>IFERROR(__xludf.DUMMYFUNCTION("""COMPUTED_VALUE"""),"No")</f>
        <v>No</v>
      </c>
      <c r="E1295" s="43" t="str">
        <f>IFERROR(__xludf.DUMMYFUNCTION("""COMPUTED_VALUE"""),"p_e389617dcd5ce38d6fe963d9b4d8f8493331e1dd@inbound.aiesec.org")</f>
        <v>p_e389617dcd5ce38d6fe963d9b4d8f8493331e1dd@inbound.aiesec.org</v>
      </c>
      <c r="F1295" s="43">
        <f>IFERROR(__xludf.DUMMYFUNCTION("""COMPUTED_VALUE"""),1.093793117E9)</f>
        <v>1093793117</v>
      </c>
      <c r="G1295" s="43" t="str">
        <f>IFERROR(__xludf.DUMMYFUNCTION("""COMPUTED_VALUE"""),"Egypt")</f>
        <v>Egypt</v>
      </c>
      <c r="H1295" s="43" t="str">
        <f>IFERROR(__xludf.DUMMYFUNCTION("""COMPUTED_VALUE"""),"Ain Shams University")</f>
        <v>Ain Shams University</v>
      </c>
      <c r="I1295" s="43" t="str">
        <f>IFERROR(__xludf.DUMMYFUNCTION("""COMPUTED_VALUE"""),"Turkey")</f>
        <v>Turkey</v>
      </c>
      <c r="J1295" s="43" t="str">
        <f>IFERROR(__xludf.DUMMYFUNCTION("""COMPUTED_VALUE"""),"GAZIANTEP")</f>
        <v>GAZIANTEP</v>
      </c>
      <c r="K1295" s="44" t="str">
        <f>IFERROR(__xludf.DUMMYFUNCTION("""COMPUTED_VALUE"""),"https://expa.aiesec.org/opportunities/1295453")</f>
        <v>https://expa.aiesec.org/opportunities/1295453</v>
      </c>
      <c r="L1295" s="43" t="str">
        <f>IFERROR(__xludf.DUMMYFUNCTION("""COMPUTED_VALUE"""),"GV")</f>
        <v>GV</v>
      </c>
      <c r="M1295" s="43" t="str">
        <f>IFERROR(__xludf.DUMMYFUNCTION("""COMPUTED_VALUE"""),"short")</f>
        <v>short</v>
      </c>
      <c r="N1295" s="45">
        <f>IFERROR(__xludf.DUMMYFUNCTION("""COMPUTED_VALUE"""),45177.0)</f>
        <v>45177</v>
      </c>
      <c r="O1295" s="45">
        <f>IFERROR(__xludf.DUMMYFUNCTION("""COMPUTED_VALUE"""),45516.0)</f>
        <v>45516</v>
      </c>
      <c r="P1295" s="45">
        <f>IFERROR(__xludf.DUMMYFUNCTION("""COMPUTED_VALUE"""),45558.0)</f>
        <v>45558</v>
      </c>
      <c r="Q1295" s="45"/>
      <c r="R1295" s="45"/>
      <c r="S1295" s="43"/>
      <c r="T1295" s="43"/>
      <c r="U1295" s="43" t="str">
        <f>IFERROR(__xludf.DUMMYFUNCTION("""COMPUTED_VALUE"""),"Global Classroom")</f>
        <v>Global Classroom</v>
      </c>
      <c r="V1295" s="43" t="str">
        <f>IFERROR(__xludf.DUMMYFUNCTION("""COMPUTED_VALUE"""),"Ain Shams University")</f>
        <v>Ain Shams University</v>
      </c>
      <c r="W1295" s="43" t="str">
        <f>IFERROR(__xludf.DUMMYFUNCTION("""COMPUTED_VALUE"""),"2023-08-27T21:13:09Z")</f>
        <v>2023-08-27T21:13:09Z</v>
      </c>
      <c r="X1295" s="43"/>
      <c r="Y1295" s="43"/>
      <c r="Z1295" s="43"/>
    </row>
    <row r="1296" hidden="1">
      <c r="A1296" s="43" t="str">
        <f>IFERROR(__xludf.DUMMYFUNCTION("""COMPUTED_VALUE"""),"5258299_1295575")</f>
        <v>5258299_1295575</v>
      </c>
      <c r="B1296" s="43" t="str">
        <f>IFERROR(__xludf.DUMMYFUNCTION("""COMPUTED_VALUE"""),"Ange Vanette MBASSI Ihna")</f>
        <v>Ange Vanette MBASSI Ihna</v>
      </c>
      <c r="C1296" s="43" t="str">
        <f>IFERROR(__xludf.DUMMYFUNCTION("""COMPUTED_VALUE"""),"approved")</f>
        <v>approved</v>
      </c>
      <c r="D1296" s="43" t="str">
        <f>IFERROR(__xludf.DUMMYFUNCTION("""COMPUTED_VALUE"""),"No")</f>
        <v>No</v>
      </c>
      <c r="E1296" s="43" t="str">
        <f>IFERROR(__xludf.DUMMYFUNCTION("""COMPUTED_VALUE"""),"p_35c79452a0abc257c4b68975a8d7b5d0321bc46b@inbound.aiesec.org")</f>
        <v>p_35c79452a0abc257c4b68975a8d7b5d0321bc46b@inbound.aiesec.org</v>
      </c>
      <c r="F1296" s="43">
        <f>IFERROR(__xludf.DUMMYFUNCTION("""COMPUTED_VALUE"""),6.99421316E8)</f>
        <v>699421316</v>
      </c>
      <c r="G1296" s="43" t="str">
        <f>IFERROR(__xludf.DUMMYFUNCTION("""COMPUTED_VALUE"""),"Cameroon")</f>
        <v>Cameroon</v>
      </c>
      <c r="H1296" s="43" t="str">
        <f>IFERROR(__xludf.DUMMYFUNCTION("""COMPUTED_VALUE"""),"Douala")</f>
        <v>Douala</v>
      </c>
      <c r="I1296" s="43" t="str">
        <f>IFERROR(__xludf.DUMMYFUNCTION("""COMPUTED_VALUE"""),"Turkey")</f>
        <v>Turkey</v>
      </c>
      <c r="J1296" s="43" t="str">
        <f>IFERROR(__xludf.DUMMYFUNCTION("""COMPUTED_VALUE"""),"ADANA")</f>
        <v>ADANA</v>
      </c>
      <c r="K1296" s="44" t="str">
        <f>IFERROR(__xludf.DUMMYFUNCTION("""COMPUTED_VALUE"""),"https://expa.aiesec.org/opportunities/1295575")</f>
        <v>https://expa.aiesec.org/opportunities/1295575</v>
      </c>
      <c r="L1296" s="43" t="str">
        <f>IFERROR(__xludf.DUMMYFUNCTION("""COMPUTED_VALUE"""),"GV")</f>
        <v>GV</v>
      </c>
      <c r="M1296" s="43" t="str">
        <f>IFERROR(__xludf.DUMMYFUNCTION("""COMPUTED_VALUE"""),"short")</f>
        <v>short</v>
      </c>
      <c r="N1296" s="45">
        <f>IFERROR(__xludf.DUMMYFUNCTION("""COMPUTED_VALUE"""),45177.0)</f>
        <v>45177</v>
      </c>
      <c r="O1296" s="45">
        <f>IFERROR(__xludf.DUMMYFUNCTION("""COMPUTED_VALUE"""),45180.0)</f>
        <v>45180</v>
      </c>
      <c r="P1296" s="45">
        <f>IFERROR(__xludf.DUMMYFUNCTION("""COMPUTED_VALUE"""),45222.0)</f>
        <v>45222</v>
      </c>
      <c r="Q1296" s="45"/>
      <c r="R1296" s="45"/>
      <c r="S1296" s="43"/>
      <c r="T1296" s="43"/>
      <c r="U1296" s="43" t="str">
        <f>IFERROR(__xludf.DUMMYFUNCTION("""COMPUTED_VALUE"""),"Global Classroom")</f>
        <v>Global Classroom</v>
      </c>
      <c r="V1296" s="43" t="str">
        <f>IFERROR(__xludf.DUMMYFUNCTION("""COMPUTED_VALUE"""),"UNV Douala")</f>
        <v>UNV Douala</v>
      </c>
      <c r="W1296" s="43" t="str">
        <f>IFERROR(__xludf.DUMMYFUNCTION("""COMPUTED_VALUE"""),"2023-05-09T13:39:00Z")</f>
        <v>2023-05-09T13:39:00Z</v>
      </c>
      <c r="X1296" s="43"/>
      <c r="Y1296" s="43"/>
      <c r="Z1296" s="43"/>
    </row>
    <row r="1297" hidden="1">
      <c r="A1297" s="43" t="str">
        <f>IFERROR(__xludf.DUMMYFUNCTION("""COMPUTED_VALUE"""),"5124320_1286326")</f>
        <v>5124320_1286326</v>
      </c>
      <c r="B1297" s="43" t="str">
        <f>IFERROR(__xludf.DUMMYFUNCTION("""COMPUTED_VALUE"""),"Anastasia Hrytsay")</f>
        <v>Anastasia Hrytsay</v>
      </c>
      <c r="C1297" s="43" t="str">
        <f>IFERROR(__xludf.DUMMYFUNCTION("""COMPUTED_VALUE"""),"approved")</f>
        <v>approved</v>
      </c>
      <c r="D1297" s="43" t="str">
        <f>IFERROR(__xludf.DUMMYFUNCTION("""COMPUTED_VALUE"""),"No")</f>
        <v>No</v>
      </c>
      <c r="E1297" s="43" t="str">
        <f>IFERROR(__xludf.DUMMYFUNCTION("""COMPUTED_VALUE"""),"p_2b16e029ae595febc898022539ba2a273e83fa6f@inbound.aiesec.org")</f>
        <v>p_2b16e029ae595febc898022539ba2a273e83fa6f@inbound.aiesec.org</v>
      </c>
      <c r="F1297" s="43">
        <f>IFERROR(__xludf.DUMMYFUNCTION("""COMPUTED_VALUE"""),6.61469904E8)</f>
        <v>661469904</v>
      </c>
      <c r="G1297" s="43" t="str">
        <f>IFERROR(__xludf.DUMMYFUNCTION("""COMPUTED_VALUE"""),"Ukraine")</f>
        <v>Ukraine</v>
      </c>
      <c r="H1297" s="43" t="str">
        <f>IFERROR(__xludf.DUMMYFUNCTION("""COMPUTED_VALUE"""),"IVANO-FRANKIVSK")</f>
        <v>IVANO-FRANKIVSK</v>
      </c>
      <c r="I1297" s="43" t="str">
        <f>IFERROR(__xludf.DUMMYFUNCTION("""COMPUTED_VALUE"""),"Turkey")</f>
        <v>Turkey</v>
      </c>
      <c r="J1297" s="43" t="str">
        <f>IFERROR(__xludf.DUMMYFUNCTION("""COMPUTED_VALUE"""),"ADANA")</f>
        <v>ADANA</v>
      </c>
      <c r="K1297" s="44" t="str">
        <f>IFERROR(__xludf.DUMMYFUNCTION("""COMPUTED_VALUE"""),"https://expa.aiesec.org/opportunities/1286326")</f>
        <v>https://expa.aiesec.org/opportunities/1286326</v>
      </c>
      <c r="L1297" s="43" t="str">
        <f>IFERROR(__xludf.DUMMYFUNCTION("""COMPUTED_VALUE"""),"GV")</f>
        <v>GV</v>
      </c>
      <c r="M1297" s="43" t="str">
        <f>IFERROR(__xludf.DUMMYFUNCTION("""COMPUTED_VALUE"""),"short")</f>
        <v>short</v>
      </c>
      <c r="N1297" s="45">
        <f>IFERROR(__xludf.DUMMYFUNCTION("""COMPUTED_VALUE"""),45177.0)</f>
        <v>45177</v>
      </c>
      <c r="O1297" s="45">
        <f>IFERROR(__xludf.DUMMYFUNCTION("""COMPUTED_VALUE"""),45348.0)</f>
        <v>45348</v>
      </c>
      <c r="P1297" s="45">
        <f>IFERROR(__xludf.DUMMYFUNCTION("""COMPUTED_VALUE"""),45390.0)</f>
        <v>45390</v>
      </c>
      <c r="Q1297" s="45"/>
      <c r="R1297" s="45"/>
      <c r="S1297" s="43"/>
      <c r="T1297" s="43"/>
      <c r="U1297" s="43" t="str">
        <f>IFERROR(__xludf.DUMMYFUNCTION("""COMPUTED_VALUE"""),"Equify")</f>
        <v>Equify</v>
      </c>
      <c r="V1297" s="43" t="str">
        <f>IFERROR(__xludf.DUMMYFUNCTION("""COMPUTED_VALUE"""),"Ivano-Frankivsk")</f>
        <v>Ivano-Frankivsk</v>
      </c>
      <c r="W1297" s="43" t="str">
        <f>IFERROR(__xludf.DUMMYFUNCTION("""COMPUTED_VALUE"""),"2022-10-03T13:06:28Z")</f>
        <v>2022-10-03T13:06:28Z</v>
      </c>
      <c r="X1297" s="43"/>
      <c r="Y1297" s="43"/>
      <c r="Z1297" s="43"/>
    </row>
    <row r="1298" hidden="1">
      <c r="A1298" s="43" t="str">
        <f>IFERROR(__xludf.DUMMYFUNCTION("""COMPUTED_VALUE"""),"5317291_1286326")</f>
        <v>5317291_1286326</v>
      </c>
      <c r="B1298" s="43" t="str">
        <f>IFERROR(__xludf.DUMMYFUNCTION("""COMPUTED_VALUE"""),"Anna Vytvytska")</f>
        <v>Anna Vytvytska</v>
      </c>
      <c r="C1298" s="43" t="str">
        <f>IFERROR(__xludf.DUMMYFUNCTION("""COMPUTED_VALUE"""),"approved")</f>
        <v>approved</v>
      </c>
      <c r="D1298" s="43" t="str">
        <f>IFERROR(__xludf.DUMMYFUNCTION("""COMPUTED_VALUE"""),"No")</f>
        <v>No</v>
      </c>
      <c r="E1298" s="43" t="str">
        <f>IFERROR(__xludf.DUMMYFUNCTION("""COMPUTED_VALUE"""),"p_274307a4c539472fc1586a2d1bf585f2c94549db@inbound.aiesec.org")</f>
        <v>p_274307a4c539472fc1586a2d1bf585f2c94549db@inbound.aiesec.org</v>
      </c>
      <c r="F1298" s="43">
        <f>IFERROR(__xludf.DUMMYFUNCTION("""COMPUTED_VALUE"""),9.88725612E8)</f>
        <v>988725612</v>
      </c>
      <c r="G1298" s="43" t="str">
        <f>IFERROR(__xludf.DUMMYFUNCTION("""COMPUTED_VALUE"""),"Ukraine")</f>
        <v>Ukraine</v>
      </c>
      <c r="H1298" s="43" t="str">
        <f>IFERROR(__xludf.DUMMYFUNCTION("""COMPUTED_VALUE"""),"IVANO-FRANKIVSK")</f>
        <v>IVANO-FRANKIVSK</v>
      </c>
      <c r="I1298" s="43" t="str">
        <f>IFERROR(__xludf.DUMMYFUNCTION("""COMPUTED_VALUE"""),"Turkey")</f>
        <v>Turkey</v>
      </c>
      <c r="J1298" s="43" t="str">
        <f>IFERROR(__xludf.DUMMYFUNCTION("""COMPUTED_VALUE"""),"ADANA")</f>
        <v>ADANA</v>
      </c>
      <c r="K1298" s="44" t="str">
        <f>IFERROR(__xludf.DUMMYFUNCTION("""COMPUTED_VALUE"""),"https://expa.aiesec.org/opportunities/1286326")</f>
        <v>https://expa.aiesec.org/opportunities/1286326</v>
      </c>
      <c r="L1298" s="43" t="str">
        <f>IFERROR(__xludf.DUMMYFUNCTION("""COMPUTED_VALUE"""),"GV")</f>
        <v>GV</v>
      </c>
      <c r="M1298" s="43" t="str">
        <f>IFERROR(__xludf.DUMMYFUNCTION("""COMPUTED_VALUE"""),"short")</f>
        <v>short</v>
      </c>
      <c r="N1298" s="45">
        <f>IFERROR(__xludf.DUMMYFUNCTION("""COMPUTED_VALUE"""),45178.0)</f>
        <v>45178</v>
      </c>
      <c r="O1298" s="45">
        <f>IFERROR(__xludf.DUMMYFUNCTION("""COMPUTED_VALUE"""),45299.0)</f>
        <v>45299</v>
      </c>
      <c r="P1298" s="45">
        <f>IFERROR(__xludf.DUMMYFUNCTION("""COMPUTED_VALUE"""),45341.0)</f>
        <v>45341</v>
      </c>
      <c r="Q1298" s="45"/>
      <c r="R1298" s="45"/>
      <c r="S1298" s="43"/>
      <c r="T1298" s="43"/>
      <c r="U1298" s="43" t="str">
        <f>IFERROR(__xludf.DUMMYFUNCTION("""COMPUTED_VALUE"""),"Equify")</f>
        <v>Equify</v>
      </c>
      <c r="V1298" s="43" t="str">
        <f>IFERROR(__xludf.DUMMYFUNCTION("""COMPUTED_VALUE"""),"Ivano-Frankivsk")</f>
        <v>Ivano-Frankivsk</v>
      </c>
      <c r="W1298" s="43" t="str">
        <f>IFERROR(__xludf.DUMMYFUNCTION("""COMPUTED_VALUE"""),"2023-09-03T10:00:39Z")</f>
        <v>2023-09-03T10:00:39Z</v>
      </c>
      <c r="X1298" s="43"/>
      <c r="Y1298" s="43"/>
      <c r="Z1298" s="43"/>
    </row>
    <row r="1299" hidden="1">
      <c r="A1299" s="43" t="str">
        <f>IFERROR(__xludf.DUMMYFUNCTION("""COMPUTED_VALUE"""),"5271484_1296670")</f>
        <v>5271484_1296670</v>
      </c>
      <c r="B1299" s="43" t="str">
        <f>IFERROR(__xludf.DUMMYFUNCTION("""COMPUTED_VALUE"""),"Amr Waleed")</f>
        <v>Amr Waleed</v>
      </c>
      <c r="C1299" s="43" t="str">
        <f>IFERROR(__xludf.DUMMYFUNCTION("""COMPUTED_VALUE"""),"approved")</f>
        <v>approved</v>
      </c>
      <c r="D1299" s="43" t="str">
        <f>IFERROR(__xludf.DUMMYFUNCTION("""COMPUTED_VALUE"""),"No")</f>
        <v>No</v>
      </c>
      <c r="E1299" s="43" t="str">
        <f>IFERROR(__xludf.DUMMYFUNCTION("""COMPUTED_VALUE"""),"p_ff13e8bd11daa9d57207dba867e1a6e83d8c37e1@inbound.aiesec.org")</f>
        <v>p_ff13e8bd11daa9d57207dba867e1a6e83d8c37e1@inbound.aiesec.org</v>
      </c>
      <c r="F1299" s="43">
        <f>IFERROR(__xludf.DUMMYFUNCTION("""COMPUTED_VALUE"""),1.01071777E9)</f>
        <v>1010717770</v>
      </c>
      <c r="G1299" s="43" t="str">
        <f>IFERROR(__xludf.DUMMYFUNCTION("""COMPUTED_VALUE"""),"Egypt")</f>
        <v>Egypt</v>
      </c>
      <c r="H1299" s="43" t="str">
        <f>IFERROR(__xludf.DUMMYFUNCTION("""COMPUTED_VALUE"""),"Zagazig")</f>
        <v>Zagazig</v>
      </c>
      <c r="I1299" s="43" t="str">
        <f>IFERROR(__xludf.DUMMYFUNCTION("""COMPUTED_VALUE"""),"Turkey")</f>
        <v>Turkey</v>
      </c>
      <c r="J1299" s="43" t="str">
        <f>IFERROR(__xludf.DUMMYFUNCTION("""COMPUTED_VALUE"""),"BURSA")</f>
        <v>BURSA</v>
      </c>
      <c r="K1299" s="44" t="str">
        <f>IFERROR(__xludf.DUMMYFUNCTION("""COMPUTED_VALUE"""),"https://expa.aiesec.org/opportunities/1296670")</f>
        <v>https://expa.aiesec.org/opportunities/1296670</v>
      </c>
      <c r="L1299" s="43" t="str">
        <f>IFERROR(__xludf.DUMMYFUNCTION("""COMPUTED_VALUE"""),"GV")</f>
        <v>GV</v>
      </c>
      <c r="M1299" s="43" t="str">
        <f>IFERROR(__xludf.DUMMYFUNCTION("""COMPUTED_VALUE"""),"short")</f>
        <v>short</v>
      </c>
      <c r="N1299" s="45">
        <f>IFERROR(__xludf.DUMMYFUNCTION("""COMPUTED_VALUE"""),45178.0)</f>
        <v>45178</v>
      </c>
      <c r="O1299" s="45">
        <f>IFERROR(__xludf.DUMMYFUNCTION("""COMPUTED_VALUE"""),45327.0)</f>
        <v>45327</v>
      </c>
      <c r="P1299" s="45">
        <f>IFERROR(__xludf.DUMMYFUNCTION("""COMPUTED_VALUE"""),45369.0)</f>
        <v>45369</v>
      </c>
      <c r="Q1299" s="45"/>
      <c r="R1299" s="45"/>
      <c r="S1299" s="43"/>
      <c r="T1299" s="43"/>
      <c r="U1299" s="43" t="str">
        <f>IFERROR(__xludf.DUMMYFUNCTION("""COMPUTED_VALUE"""),"Youth 4 Impact")</f>
        <v>Youth 4 Impact</v>
      </c>
      <c r="V1299" s="43" t="str">
        <f>IFERROR(__xludf.DUMMYFUNCTION("""COMPUTED_VALUE"""),"Benha University")</f>
        <v>Benha University</v>
      </c>
      <c r="W1299" s="43" t="str">
        <f>IFERROR(__xludf.DUMMYFUNCTION("""COMPUTED_VALUE"""),"2023-06-05T02:36:03Z")</f>
        <v>2023-06-05T02:36:03Z</v>
      </c>
      <c r="X1299" s="43"/>
      <c r="Y1299" s="43"/>
      <c r="Z1299" s="43"/>
    </row>
    <row r="1300" hidden="1">
      <c r="A1300" s="43" t="str">
        <f>IFERROR(__xludf.DUMMYFUNCTION("""COMPUTED_VALUE"""),"5314070_1289536")</f>
        <v>5314070_1289536</v>
      </c>
      <c r="B1300" s="43" t="str">
        <f>IFERROR(__xludf.DUMMYFUNCTION("""COMPUTED_VALUE"""),"Tomás Almeida")</f>
        <v>Tomás Almeida</v>
      </c>
      <c r="C1300" s="43" t="str">
        <f>IFERROR(__xludf.DUMMYFUNCTION("""COMPUTED_VALUE"""),"finished")</f>
        <v>finished</v>
      </c>
      <c r="D1300" s="43" t="str">
        <f>IFERROR(__xludf.DUMMYFUNCTION("""COMPUTED_VALUE"""),"No")</f>
        <v>No</v>
      </c>
      <c r="E1300" s="43" t="str">
        <f>IFERROR(__xludf.DUMMYFUNCTION("""COMPUTED_VALUE"""),"p_f28cd736b22f2ade8fa738fc3ae8425467cd0c33@inbound.aiesec.org")</f>
        <v>p_f28cd736b22f2ade8fa738fc3ae8425467cd0c33@inbound.aiesec.org</v>
      </c>
      <c r="F1300" s="43">
        <f>IFERROR(__xludf.DUMMYFUNCTION("""COMPUTED_VALUE"""),9.38645123E8)</f>
        <v>938645123</v>
      </c>
      <c r="G1300" s="43" t="str">
        <f>IFERROR(__xludf.DUMMYFUNCTION("""COMPUTED_VALUE"""),"Portugal")</f>
        <v>Portugal</v>
      </c>
      <c r="H1300" s="43" t="str">
        <f>IFERROR(__xludf.DUMMYFUNCTION("""COMPUTED_VALUE"""),"PORTO FEP")</f>
        <v>PORTO FEP</v>
      </c>
      <c r="I1300" s="43" t="str">
        <f>IFERROR(__xludf.DUMMYFUNCTION("""COMPUTED_VALUE"""),"Turkey")</f>
        <v>Turkey</v>
      </c>
      <c r="J1300" s="43" t="str">
        <f>IFERROR(__xludf.DUMMYFUNCTION("""COMPUTED_VALUE"""),"ISTANBUL")</f>
        <v>ISTANBUL</v>
      </c>
      <c r="K1300" s="44" t="str">
        <f>IFERROR(__xludf.DUMMYFUNCTION("""COMPUTED_VALUE"""),"https://expa.aiesec.org/opportunities/1289536")</f>
        <v>https://expa.aiesec.org/opportunities/1289536</v>
      </c>
      <c r="L1300" s="43" t="str">
        <f>IFERROR(__xludf.DUMMYFUNCTION("""COMPUTED_VALUE"""),"GV")</f>
        <v>GV</v>
      </c>
      <c r="M1300" s="43" t="str">
        <f>IFERROR(__xludf.DUMMYFUNCTION("""COMPUTED_VALUE"""),"short")</f>
        <v>short</v>
      </c>
      <c r="N1300" s="45">
        <f>IFERROR(__xludf.DUMMYFUNCTION("""COMPUTED_VALUE"""),45178.0)</f>
        <v>45178</v>
      </c>
      <c r="O1300" s="45">
        <f>IFERROR(__xludf.DUMMYFUNCTION("""COMPUTED_VALUE"""),45216.0)</f>
        <v>45216</v>
      </c>
      <c r="P1300" s="45">
        <f>IFERROR(__xludf.DUMMYFUNCTION("""COMPUTED_VALUE"""),45258.0)</f>
        <v>45258</v>
      </c>
      <c r="Q1300" s="45">
        <f>IFERROR(__xludf.DUMMYFUNCTION("""COMPUTED_VALUE"""),45216.0)</f>
        <v>45216</v>
      </c>
      <c r="R1300" s="45">
        <f>IFERROR(__xludf.DUMMYFUNCTION("""COMPUTED_VALUE"""),45258.0)</f>
        <v>45258</v>
      </c>
      <c r="S1300" s="43"/>
      <c r="T1300" s="43"/>
      <c r="U1300" s="43" t="str">
        <f>IFERROR(__xludf.DUMMYFUNCTION("""COMPUTED_VALUE"""),"Global Classroom")</f>
        <v>Global Classroom</v>
      </c>
      <c r="V1300" s="43" t="str">
        <f>IFERROR(__xludf.DUMMYFUNCTION("""COMPUTED_VALUE"""),"Universidade NOVA de Lisboa - NOVA School of Business and Economics (SBE)")</f>
        <v>Universidade NOVA de Lisboa - NOVA School of Business and Economics (SBE)</v>
      </c>
      <c r="W1300" s="43" t="str">
        <f>IFERROR(__xludf.DUMMYFUNCTION("""COMPUTED_VALUE"""),"2023-08-31T00:07:33Z")</f>
        <v>2023-08-31T00:07:33Z</v>
      </c>
      <c r="X1300" s="43"/>
      <c r="Y1300" s="43"/>
      <c r="Z1300" s="43"/>
    </row>
    <row r="1301" hidden="1">
      <c r="A1301" s="43" t="str">
        <f>IFERROR(__xludf.DUMMYFUNCTION("""COMPUTED_VALUE"""),"5130281_1298556")</f>
        <v>5130281_1298556</v>
      </c>
      <c r="B1301" s="43" t="str">
        <f>IFERROR(__xludf.DUMMYFUNCTION("""COMPUTED_VALUE"""),"Khaled Anas")</f>
        <v>Khaled Anas</v>
      </c>
      <c r="C1301" s="43" t="str">
        <f>IFERROR(__xludf.DUMMYFUNCTION("""COMPUTED_VALUE"""),"approved")</f>
        <v>approved</v>
      </c>
      <c r="D1301" s="43" t="str">
        <f>IFERROR(__xludf.DUMMYFUNCTION("""COMPUTED_VALUE"""),"No")</f>
        <v>No</v>
      </c>
      <c r="E1301" s="43" t="str">
        <f>IFERROR(__xludf.DUMMYFUNCTION("""COMPUTED_VALUE"""),"p_dbeaf0bc417062776aef25250970c0380782acb1@inbound.aiesec.org")</f>
        <v>p_dbeaf0bc417062776aef25250970c0380782acb1@inbound.aiesec.org</v>
      </c>
      <c r="F1301" s="43"/>
      <c r="G1301" s="43" t="str">
        <f>IFERROR(__xludf.DUMMYFUNCTION("""COMPUTED_VALUE"""),"Egypt")</f>
        <v>Egypt</v>
      </c>
      <c r="H1301" s="43" t="str">
        <f>IFERROR(__xludf.DUMMYFUNCTION("""COMPUTED_VALUE"""),"AAST In CAIRO")</f>
        <v>AAST In CAIRO</v>
      </c>
      <c r="I1301" s="43" t="str">
        <f>IFERROR(__xludf.DUMMYFUNCTION("""COMPUTED_VALUE"""),"Turkey")</f>
        <v>Turkey</v>
      </c>
      <c r="J1301" s="43" t="str">
        <f>IFERROR(__xludf.DUMMYFUNCTION("""COMPUTED_VALUE"""),"KUTAHYA")</f>
        <v>KUTAHYA</v>
      </c>
      <c r="K1301" s="44" t="str">
        <f>IFERROR(__xludf.DUMMYFUNCTION("""COMPUTED_VALUE"""),"https://expa.aiesec.org/opportunities/1298556")</f>
        <v>https://expa.aiesec.org/opportunities/1298556</v>
      </c>
      <c r="L1301" s="43" t="str">
        <f>IFERROR(__xludf.DUMMYFUNCTION("""COMPUTED_VALUE"""),"GV")</f>
        <v>GV</v>
      </c>
      <c r="M1301" s="43" t="str">
        <f>IFERROR(__xludf.DUMMYFUNCTION("""COMPUTED_VALUE"""),"short")</f>
        <v>short</v>
      </c>
      <c r="N1301" s="45">
        <f>IFERROR(__xludf.DUMMYFUNCTION("""COMPUTED_VALUE"""),45179.0)</f>
        <v>45179</v>
      </c>
      <c r="O1301" s="45">
        <f>IFERROR(__xludf.DUMMYFUNCTION("""COMPUTED_VALUE"""),45495.0)</f>
        <v>45495</v>
      </c>
      <c r="P1301" s="45">
        <f>IFERROR(__xludf.DUMMYFUNCTION("""COMPUTED_VALUE"""),45537.0)</f>
        <v>45537</v>
      </c>
      <c r="Q1301" s="45"/>
      <c r="R1301" s="45"/>
      <c r="S1301" s="43"/>
      <c r="T1301" s="43"/>
      <c r="U1301" s="43" t="str">
        <f>IFERROR(__xludf.DUMMYFUNCTION("""COMPUTED_VALUE"""),"On The Map")</f>
        <v>On The Map</v>
      </c>
      <c r="V1301" s="43" t="str">
        <f>IFERROR(__xludf.DUMMYFUNCTION("""COMPUTED_VALUE"""),"-")</f>
        <v>-</v>
      </c>
      <c r="W1301" s="43" t="str">
        <f>IFERROR(__xludf.DUMMYFUNCTION("""COMPUTED_VALUE"""),"2022-10-11T18:50:55Z")</f>
        <v>2022-10-11T18:50:55Z</v>
      </c>
      <c r="X1301" s="43"/>
      <c r="Y1301" s="43"/>
      <c r="Z1301" s="43"/>
    </row>
    <row r="1302" hidden="1">
      <c r="A1302" s="43" t="str">
        <f>IFERROR(__xludf.DUMMYFUNCTION("""COMPUTED_VALUE"""),"5314223_1279126")</f>
        <v>5314223_1279126</v>
      </c>
      <c r="B1302" s="43" t="str">
        <f>IFERROR(__xludf.DUMMYFUNCTION("""COMPUTED_VALUE"""),"Aaryaa Bheda")</f>
        <v>Aaryaa Bheda</v>
      </c>
      <c r="C1302" s="43" t="str">
        <f>IFERROR(__xludf.DUMMYFUNCTION("""COMPUTED_VALUE"""),"approved")</f>
        <v>approved</v>
      </c>
      <c r="D1302" s="43" t="str">
        <f>IFERROR(__xludf.DUMMYFUNCTION("""COMPUTED_VALUE"""),"No")</f>
        <v>No</v>
      </c>
      <c r="E1302" s="43" t="str">
        <f>IFERROR(__xludf.DUMMYFUNCTION("""COMPUTED_VALUE"""),"p_04b80d11f3de38b7b19fb84879641b8c3a960445@inbound.aiesec.org")</f>
        <v>p_04b80d11f3de38b7b19fb84879641b8c3a960445@inbound.aiesec.org</v>
      </c>
      <c r="F1302" s="43">
        <f>IFERROR(__xludf.DUMMYFUNCTION("""COMPUTED_VALUE"""),8.657500601E9)</f>
        <v>8657500601</v>
      </c>
      <c r="G1302" s="43" t="str">
        <f>IFERROR(__xludf.DUMMYFUNCTION("""COMPUTED_VALUE"""),"India")</f>
        <v>India</v>
      </c>
      <c r="H1302" s="43" t="str">
        <f>IFERROR(__xludf.DUMMYFUNCTION("""COMPUTED_VALUE"""),"Mumbai")</f>
        <v>Mumbai</v>
      </c>
      <c r="I1302" s="43" t="str">
        <f>IFERROR(__xludf.DUMMYFUNCTION("""COMPUTED_VALUE"""),"Turkey")</f>
        <v>Turkey</v>
      </c>
      <c r="J1302" s="43" t="str">
        <f>IFERROR(__xludf.DUMMYFUNCTION("""COMPUTED_VALUE"""),"KOCAELI")</f>
        <v>KOCAELI</v>
      </c>
      <c r="K1302" s="44" t="str">
        <f>IFERROR(__xludf.DUMMYFUNCTION("""COMPUTED_VALUE"""),"https://expa.aiesec.org/opportunities/1279126")</f>
        <v>https://expa.aiesec.org/opportunities/1279126</v>
      </c>
      <c r="L1302" s="43" t="str">
        <f>IFERROR(__xludf.DUMMYFUNCTION("""COMPUTED_VALUE"""),"GV")</f>
        <v>GV</v>
      </c>
      <c r="M1302" s="43" t="str">
        <f>IFERROR(__xludf.DUMMYFUNCTION("""COMPUTED_VALUE"""),"short")</f>
        <v>short</v>
      </c>
      <c r="N1302" s="45">
        <f>IFERROR(__xludf.DUMMYFUNCTION("""COMPUTED_VALUE"""),45180.0)</f>
        <v>45180</v>
      </c>
      <c r="O1302" s="45">
        <f>IFERROR(__xludf.DUMMYFUNCTION("""COMPUTED_VALUE"""),45201.0)</f>
        <v>45201</v>
      </c>
      <c r="P1302" s="45">
        <f>IFERROR(__xludf.DUMMYFUNCTION("""COMPUTED_VALUE"""),45243.0)</f>
        <v>45243</v>
      </c>
      <c r="Q1302" s="45"/>
      <c r="R1302" s="45"/>
      <c r="S1302" s="43"/>
      <c r="T1302" s="43"/>
      <c r="U1302" s="43" t="str">
        <f>IFERROR(__xludf.DUMMYFUNCTION("""COMPUTED_VALUE"""),"Global Classroom")</f>
        <v>Global Classroom</v>
      </c>
      <c r="V1302" s="43" t="str">
        <f>IFERROR(__xludf.DUMMYFUNCTION("""COMPUTED_VALUE"""),"Mithibai College of Commerce and Science, Vile Parle")</f>
        <v>Mithibai College of Commerce and Science, Vile Parle</v>
      </c>
      <c r="W1302" s="43" t="str">
        <f>IFERROR(__xludf.DUMMYFUNCTION("""COMPUTED_VALUE"""),"2023-08-31T07:15:47Z")</f>
        <v>2023-08-31T07:15:47Z</v>
      </c>
      <c r="X1302" s="43"/>
      <c r="Y1302" s="43"/>
      <c r="Z1302" s="43"/>
    </row>
    <row r="1303" hidden="1">
      <c r="A1303" s="43" t="str">
        <f>IFERROR(__xludf.DUMMYFUNCTION("""COMPUTED_VALUE"""),"5256352_1289502")</f>
        <v>5256352_1289502</v>
      </c>
      <c r="B1303" s="43" t="str">
        <f>IFERROR(__xludf.DUMMYFUNCTION("""COMPUTED_VALUE"""),"Nairouz Abidi")</f>
        <v>Nairouz Abidi</v>
      </c>
      <c r="C1303" s="43" t="str">
        <f>IFERROR(__xludf.DUMMYFUNCTION("""COMPUTED_VALUE"""),"completed")</f>
        <v>completed</v>
      </c>
      <c r="D1303" s="43" t="str">
        <f>IFERROR(__xludf.DUMMYFUNCTION("""COMPUTED_VALUE"""),"No")</f>
        <v>No</v>
      </c>
      <c r="E1303" s="43" t="str">
        <f>IFERROR(__xludf.DUMMYFUNCTION("""COMPUTED_VALUE"""),"p_c6519bd5276400d404ede0a14e2d12fdda9358a5@inbound.aiesec.org")</f>
        <v>p_c6519bd5276400d404ede0a14e2d12fdda9358a5@inbound.aiesec.org</v>
      </c>
      <c r="F1303" s="43">
        <f>IFERROR(__xludf.DUMMYFUNCTION("""COMPUTED_VALUE"""),9.3894402E7)</f>
        <v>93894402</v>
      </c>
      <c r="G1303" s="43" t="str">
        <f>IFERROR(__xludf.DUMMYFUNCTION("""COMPUTED_VALUE"""),"Tunisia")</f>
        <v>Tunisia</v>
      </c>
      <c r="H1303" s="43" t="str">
        <f>IFERROR(__xludf.DUMMYFUNCTION("""COMPUTED_VALUE"""),"SFAX")</f>
        <v>SFAX</v>
      </c>
      <c r="I1303" s="43" t="str">
        <f>IFERROR(__xludf.DUMMYFUNCTION("""COMPUTED_VALUE"""),"Turkey")</f>
        <v>Turkey</v>
      </c>
      <c r="J1303" s="43" t="str">
        <f>IFERROR(__xludf.DUMMYFUNCTION("""COMPUTED_VALUE"""),"BURSA")</f>
        <v>BURSA</v>
      </c>
      <c r="K1303" s="44" t="str">
        <f>IFERROR(__xludf.DUMMYFUNCTION("""COMPUTED_VALUE"""),"https://expa.aiesec.org/opportunities/1289502")</f>
        <v>https://expa.aiesec.org/opportunities/1289502</v>
      </c>
      <c r="L1303" s="43" t="str">
        <f>IFERROR(__xludf.DUMMYFUNCTION("""COMPUTED_VALUE"""),"GV")</f>
        <v>GV</v>
      </c>
      <c r="M1303" s="43" t="str">
        <f>IFERROR(__xludf.DUMMYFUNCTION("""COMPUTED_VALUE"""),"short")</f>
        <v>short</v>
      </c>
      <c r="N1303" s="45">
        <f>IFERROR(__xludf.DUMMYFUNCTION("""COMPUTED_VALUE"""),45180.0)</f>
        <v>45180</v>
      </c>
      <c r="O1303" s="45">
        <f>IFERROR(__xludf.DUMMYFUNCTION("""COMPUTED_VALUE"""),45189.0)</f>
        <v>45189</v>
      </c>
      <c r="P1303" s="45">
        <f>IFERROR(__xludf.DUMMYFUNCTION("""COMPUTED_VALUE"""),45231.0)</f>
        <v>45231</v>
      </c>
      <c r="Q1303" s="45">
        <f>IFERROR(__xludf.DUMMYFUNCTION("""COMPUTED_VALUE"""),45190.0)</f>
        <v>45190</v>
      </c>
      <c r="R1303" s="45">
        <f>IFERROR(__xludf.DUMMYFUNCTION("""COMPUTED_VALUE"""),45231.0)</f>
        <v>45231</v>
      </c>
      <c r="S1303" s="43"/>
      <c r="T1303" s="43"/>
      <c r="U1303" s="43" t="str">
        <f>IFERROR(__xludf.DUMMYFUNCTION("""COMPUTED_VALUE"""),"Youth 4 Impact")</f>
        <v>Youth 4 Impact</v>
      </c>
      <c r="V1303" s="43" t="str">
        <f>IFERROR(__xludf.DUMMYFUNCTION("""COMPUTED_VALUE"""),"FLSH sfax ")</f>
        <v>FLSH sfax </v>
      </c>
      <c r="W1303" s="43" t="str">
        <f>IFERROR(__xludf.DUMMYFUNCTION("""COMPUTED_VALUE"""),"2023-05-05T14:28:20Z")</f>
        <v>2023-05-05T14:28:20Z</v>
      </c>
      <c r="X1303" s="43"/>
      <c r="Y1303" s="43"/>
      <c r="Z1303" s="43"/>
    </row>
    <row r="1304" hidden="1">
      <c r="A1304" s="43" t="str">
        <f>IFERROR(__xludf.DUMMYFUNCTION("""COMPUTED_VALUE"""),"5309237_1291254")</f>
        <v>5309237_1291254</v>
      </c>
      <c r="B1304" s="43" t="str">
        <f>IFERROR(__xludf.DUMMYFUNCTION("""COMPUTED_VALUE"""),"Samrudhi Rathod")</f>
        <v>Samrudhi Rathod</v>
      </c>
      <c r="C1304" s="43" t="str">
        <f>IFERROR(__xludf.DUMMYFUNCTION("""COMPUTED_VALUE"""),"approved")</f>
        <v>approved</v>
      </c>
      <c r="D1304" s="43" t="str">
        <f>IFERROR(__xludf.DUMMYFUNCTION("""COMPUTED_VALUE"""),"No")</f>
        <v>No</v>
      </c>
      <c r="E1304" s="43" t="str">
        <f>IFERROR(__xludf.DUMMYFUNCTION("""COMPUTED_VALUE"""),"p_0770d5fd8a65ebcf7805e7a10b97e07f92c4f03c@inbound.aiesec.org")</f>
        <v>p_0770d5fd8a65ebcf7805e7a10b97e07f92c4f03c@inbound.aiesec.org</v>
      </c>
      <c r="F1304" s="43"/>
      <c r="G1304" s="43" t="str">
        <f>IFERROR(__xludf.DUMMYFUNCTION("""COMPUTED_VALUE"""),"India")</f>
        <v>India</v>
      </c>
      <c r="H1304" s="43" t="str">
        <f>IFERROR(__xludf.DUMMYFUNCTION("""COMPUTED_VALUE"""),"Mumbai")</f>
        <v>Mumbai</v>
      </c>
      <c r="I1304" s="43" t="str">
        <f>IFERROR(__xludf.DUMMYFUNCTION("""COMPUTED_VALUE"""),"Turkey")</f>
        <v>Turkey</v>
      </c>
      <c r="J1304" s="43" t="str">
        <f>IFERROR(__xludf.DUMMYFUNCTION("""COMPUTED_VALUE"""),"KOCAELI")</f>
        <v>KOCAELI</v>
      </c>
      <c r="K1304" s="44" t="str">
        <f>IFERROR(__xludf.DUMMYFUNCTION("""COMPUTED_VALUE"""),"https://expa.aiesec.org/opportunities/1291254")</f>
        <v>https://expa.aiesec.org/opportunities/1291254</v>
      </c>
      <c r="L1304" s="43" t="str">
        <f>IFERROR(__xludf.DUMMYFUNCTION("""COMPUTED_VALUE"""),"GV")</f>
        <v>GV</v>
      </c>
      <c r="M1304" s="43" t="str">
        <f>IFERROR(__xludf.DUMMYFUNCTION("""COMPUTED_VALUE"""),"short")</f>
        <v>short</v>
      </c>
      <c r="N1304" s="45">
        <f>IFERROR(__xludf.DUMMYFUNCTION("""COMPUTED_VALUE"""),45180.0)</f>
        <v>45180</v>
      </c>
      <c r="O1304" s="45">
        <f>IFERROR(__xludf.DUMMYFUNCTION("""COMPUTED_VALUE"""),45215.0)</f>
        <v>45215</v>
      </c>
      <c r="P1304" s="45">
        <f>IFERROR(__xludf.DUMMYFUNCTION("""COMPUTED_VALUE"""),45257.0)</f>
        <v>45257</v>
      </c>
      <c r="Q1304" s="45"/>
      <c r="R1304" s="45"/>
      <c r="S1304" s="43"/>
      <c r="T1304" s="43"/>
      <c r="U1304" s="43" t="str">
        <f>IFERROR(__xludf.DUMMYFUNCTION("""COMPUTED_VALUE"""),"Global Classroom")</f>
        <v>Global Classroom</v>
      </c>
      <c r="V1304" s="43" t="str">
        <f>IFERROR(__xludf.DUMMYFUNCTION("""COMPUTED_VALUE"""),"-")</f>
        <v>-</v>
      </c>
      <c r="W1304" s="43" t="str">
        <f>IFERROR(__xludf.DUMMYFUNCTION("""COMPUTED_VALUE"""),"2023-08-25T11:47:12Z")</f>
        <v>2023-08-25T11:47:12Z</v>
      </c>
      <c r="X1304" s="43"/>
      <c r="Y1304" s="43"/>
      <c r="Z1304" s="43"/>
    </row>
    <row r="1305" hidden="1">
      <c r="A1305" s="43" t="str">
        <f>IFERROR(__xludf.DUMMYFUNCTION("""COMPUTED_VALUE"""),"5321324_1295453")</f>
        <v>5321324_1295453</v>
      </c>
      <c r="B1305" s="43" t="str">
        <f>IFERROR(__xludf.DUMMYFUNCTION("""COMPUTED_VALUE"""),"Latiifa Annuuru Widayani")</f>
        <v>Latiifa Annuuru Widayani</v>
      </c>
      <c r="C1305" s="43" t="str">
        <f>IFERROR(__xludf.DUMMYFUNCTION("""COMPUTED_VALUE"""),"approved")</f>
        <v>approved</v>
      </c>
      <c r="D1305" s="43" t="str">
        <f>IFERROR(__xludf.DUMMYFUNCTION("""COMPUTED_VALUE"""),"No")</f>
        <v>No</v>
      </c>
      <c r="E1305" s="43" t="str">
        <f>IFERROR(__xludf.DUMMYFUNCTION("""COMPUTED_VALUE"""),"p_2467d02a7b9a6b0efd5a4ccd8c513676e5716a3d@inbound.aiesec.org")</f>
        <v>p_2467d02a7b9a6b0efd5a4ccd8c513676e5716a3d@inbound.aiesec.org</v>
      </c>
      <c r="F1305" s="43">
        <f>IFERROR(__xludf.DUMMYFUNCTION("""COMPUTED_VALUE"""),1.554460892E9)</f>
        <v>1554460892</v>
      </c>
      <c r="G1305" s="43" t="str">
        <f>IFERROR(__xludf.DUMMYFUNCTION("""COMPUTED_VALUE"""),"Egypt")</f>
        <v>Egypt</v>
      </c>
      <c r="H1305" s="43" t="str">
        <f>IFERROR(__xludf.DUMMYFUNCTION("""COMPUTED_VALUE"""),"Ain Shams University")</f>
        <v>Ain Shams University</v>
      </c>
      <c r="I1305" s="43" t="str">
        <f>IFERROR(__xludf.DUMMYFUNCTION("""COMPUTED_VALUE"""),"Turkey")</f>
        <v>Turkey</v>
      </c>
      <c r="J1305" s="43" t="str">
        <f>IFERROR(__xludf.DUMMYFUNCTION("""COMPUTED_VALUE"""),"GAZIANTEP")</f>
        <v>GAZIANTEP</v>
      </c>
      <c r="K1305" s="44" t="str">
        <f>IFERROR(__xludf.DUMMYFUNCTION("""COMPUTED_VALUE"""),"https://expa.aiesec.org/opportunities/1295453")</f>
        <v>https://expa.aiesec.org/opportunities/1295453</v>
      </c>
      <c r="L1305" s="43" t="str">
        <f>IFERROR(__xludf.DUMMYFUNCTION("""COMPUTED_VALUE"""),"GV")</f>
        <v>GV</v>
      </c>
      <c r="M1305" s="43" t="str">
        <f>IFERROR(__xludf.DUMMYFUNCTION("""COMPUTED_VALUE"""),"short")</f>
        <v>short</v>
      </c>
      <c r="N1305" s="45">
        <f>IFERROR(__xludf.DUMMYFUNCTION("""COMPUTED_VALUE"""),45180.0)</f>
        <v>45180</v>
      </c>
      <c r="O1305" s="45">
        <f>IFERROR(__xludf.DUMMYFUNCTION("""COMPUTED_VALUE"""),45323.0)</f>
        <v>45323</v>
      </c>
      <c r="P1305" s="45">
        <f>IFERROR(__xludf.DUMMYFUNCTION("""COMPUTED_VALUE"""),45365.0)</f>
        <v>45365</v>
      </c>
      <c r="Q1305" s="45"/>
      <c r="R1305" s="45"/>
      <c r="S1305" s="43"/>
      <c r="T1305" s="43"/>
      <c r="U1305" s="43" t="str">
        <f>IFERROR(__xludf.DUMMYFUNCTION("""COMPUTED_VALUE"""),"Global Classroom")</f>
        <v>Global Classroom</v>
      </c>
      <c r="V1305" s="43" t="str">
        <f>IFERROR(__xludf.DUMMYFUNCTION("""COMPUTED_VALUE"""),"Azhar University")</f>
        <v>Azhar University</v>
      </c>
      <c r="W1305" s="43" t="str">
        <f>IFERROR(__xludf.DUMMYFUNCTION("""COMPUTED_VALUE"""),"2023-09-10T21:11:42Z")</f>
        <v>2023-09-10T21:11:42Z</v>
      </c>
      <c r="X1305" s="43"/>
      <c r="Y1305" s="43"/>
      <c r="Z1305" s="43"/>
    </row>
    <row r="1306" hidden="1">
      <c r="A1306" s="43" t="str">
        <f>IFERROR(__xludf.DUMMYFUNCTION("""COMPUTED_VALUE"""),"5080111_1296101")</f>
        <v>5080111_1296101</v>
      </c>
      <c r="B1306" s="43" t="str">
        <f>IFERROR(__xludf.DUMMYFUNCTION("""COMPUTED_VALUE"""),"Amira Nasr")</f>
        <v>Amira Nasr</v>
      </c>
      <c r="C1306" s="43" t="str">
        <f>IFERROR(__xludf.DUMMYFUNCTION("""COMPUTED_VALUE"""),"realized")</f>
        <v>realized</v>
      </c>
      <c r="D1306" s="43" t="str">
        <f>IFERROR(__xludf.DUMMYFUNCTION("""COMPUTED_VALUE"""),"No")</f>
        <v>No</v>
      </c>
      <c r="E1306" s="43" t="str">
        <f>IFERROR(__xludf.DUMMYFUNCTION("""COMPUTED_VALUE"""),"p_619b84660a14391efa0959b25d8f10a3681dc0ff@inbound.aiesec.org")</f>
        <v>p_619b84660a14391efa0959b25d8f10a3681dc0ff@inbound.aiesec.org</v>
      </c>
      <c r="F1306" s="43">
        <f>IFERROR(__xludf.DUMMYFUNCTION("""COMPUTED_VALUE"""),2.2168927E7)</f>
        <v>22168927</v>
      </c>
      <c r="G1306" s="43" t="str">
        <f>IFERROR(__xludf.DUMMYFUNCTION("""COMPUTED_VALUE"""),"Tunisia")</f>
        <v>Tunisia</v>
      </c>
      <c r="H1306" s="43" t="str">
        <f>IFERROR(__xludf.DUMMYFUNCTION("""COMPUTED_VALUE"""),"UNIVERSITY")</f>
        <v>UNIVERSITY</v>
      </c>
      <c r="I1306" s="43" t="str">
        <f>IFERROR(__xludf.DUMMYFUNCTION("""COMPUTED_VALUE"""),"Turkey")</f>
        <v>Turkey</v>
      </c>
      <c r="J1306" s="43" t="str">
        <f>IFERROR(__xludf.DUMMYFUNCTION("""COMPUTED_VALUE"""),"ANKARA")</f>
        <v>ANKARA</v>
      </c>
      <c r="K1306" s="44" t="str">
        <f>IFERROR(__xludf.DUMMYFUNCTION("""COMPUTED_VALUE"""),"https://expa.aiesec.org/opportunities/1296101")</f>
        <v>https://expa.aiesec.org/opportunities/1296101</v>
      </c>
      <c r="L1306" s="43" t="str">
        <f>IFERROR(__xludf.DUMMYFUNCTION("""COMPUTED_VALUE"""),"GV")</f>
        <v>GV</v>
      </c>
      <c r="M1306" s="43" t="str">
        <f>IFERROR(__xludf.DUMMYFUNCTION("""COMPUTED_VALUE"""),"short")</f>
        <v>short</v>
      </c>
      <c r="N1306" s="45">
        <f>IFERROR(__xludf.DUMMYFUNCTION("""COMPUTED_VALUE"""),45180.0)</f>
        <v>45180</v>
      </c>
      <c r="O1306" s="45">
        <f>IFERROR(__xludf.DUMMYFUNCTION("""COMPUTED_VALUE"""),45292.0)</f>
        <v>45292</v>
      </c>
      <c r="P1306" s="45">
        <f>IFERROR(__xludf.DUMMYFUNCTION("""COMPUTED_VALUE"""),45334.0)</f>
        <v>45334</v>
      </c>
      <c r="Q1306" s="45">
        <f>IFERROR(__xludf.DUMMYFUNCTION("""COMPUTED_VALUE"""),45293.0)</f>
        <v>45293</v>
      </c>
      <c r="R1306" s="45">
        <f>IFERROR(__xludf.DUMMYFUNCTION("""COMPUTED_VALUE"""),45334.0)</f>
        <v>45334</v>
      </c>
      <c r="S1306" s="43"/>
      <c r="T1306" s="43"/>
      <c r="U1306" s="43" t="str">
        <f>IFERROR(__xludf.DUMMYFUNCTION("""COMPUTED_VALUE"""),"Fingerprint")</f>
        <v>Fingerprint</v>
      </c>
      <c r="V1306" s="43" t="str">
        <f>IFERROR(__xludf.DUMMYFUNCTION("""COMPUTED_VALUE"""),"Institut supérieur des technologies médicales de Tunis ISTMT")</f>
        <v>Institut supérieur des technologies médicales de Tunis ISTMT</v>
      </c>
      <c r="W1306" s="43" t="str">
        <f>IFERROR(__xludf.DUMMYFUNCTION("""COMPUTED_VALUE"""),"2022-07-05T23:43:08Z")</f>
        <v>2022-07-05T23:43:08Z</v>
      </c>
      <c r="X1306" s="43"/>
      <c r="Y1306" s="43"/>
      <c r="Z1306" s="43"/>
    </row>
    <row r="1307" hidden="1">
      <c r="A1307" s="43" t="str">
        <f>IFERROR(__xludf.DUMMYFUNCTION("""COMPUTED_VALUE"""),"5319499_1296325")</f>
        <v>5319499_1296325</v>
      </c>
      <c r="B1307" s="43" t="str">
        <f>IFERROR(__xludf.DUMMYFUNCTION("""COMPUTED_VALUE"""),"Neerav Lalwani")</f>
        <v>Neerav Lalwani</v>
      </c>
      <c r="C1307" s="43" t="str">
        <f>IFERROR(__xludf.DUMMYFUNCTION("""COMPUTED_VALUE"""),"realized")</f>
        <v>realized</v>
      </c>
      <c r="D1307" s="43" t="str">
        <f>IFERROR(__xludf.DUMMYFUNCTION("""COMPUTED_VALUE"""),"No")</f>
        <v>No</v>
      </c>
      <c r="E1307" s="43" t="str">
        <f>IFERROR(__xludf.DUMMYFUNCTION("""COMPUTED_VALUE"""),"p_875cd4d9d2c0dc70dadd338a913a8dfa149c5441@inbound.aiesec.org")</f>
        <v>p_875cd4d9d2c0dc70dadd338a913a8dfa149c5441@inbound.aiesec.org</v>
      </c>
      <c r="F1307" s="43">
        <f>IFERROR(__xludf.DUMMYFUNCTION("""COMPUTED_VALUE"""),8.660474821E9)</f>
        <v>8660474821</v>
      </c>
      <c r="G1307" s="43" t="str">
        <f>IFERROR(__xludf.DUMMYFUNCTION("""COMPUTED_VALUE"""),"India")</f>
        <v>India</v>
      </c>
      <c r="H1307" s="43" t="str">
        <f>IFERROR(__xludf.DUMMYFUNCTION("""COMPUTED_VALUE"""),"Bengaluru")</f>
        <v>Bengaluru</v>
      </c>
      <c r="I1307" s="43" t="str">
        <f>IFERROR(__xludf.DUMMYFUNCTION("""COMPUTED_VALUE"""),"Turkey")</f>
        <v>Turkey</v>
      </c>
      <c r="J1307" s="43" t="str">
        <f>IFERROR(__xludf.DUMMYFUNCTION("""COMPUTED_VALUE"""),"İZMİR")</f>
        <v>İZMİR</v>
      </c>
      <c r="K1307" s="44" t="str">
        <f>IFERROR(__xludf.DUMMYFUNCTION("""COMPUTED_VALUE"""),"https://expa.aiesec.org/opportunities/1296325")</f>
        <v>https://expa.aiesec.org/opportunities/1296325</v>
      </c>
      <c r="L1307" s="43" t="str">
        <f>IFERROR(__xludf.DUMMYFUNCTION("""COMPUTED_VALUE"""),"GV")</f>
        <v>GV</v>
      </c>
      <c r="M1307" s="43" t="str">
        <f>IFERROR(__xludf.DUMMYFUNCTION("""COMPUTED_VALUE"""),"short")</f>
        <v>short</v>
      </c>
      <c r="N1307" s="45">
        <f>IFERROR(__xludf.DUMMYFUNCTION("""COMPUTED_VALUE"""),45181.0)</f>
        <v>45181</v>
      </c>
      <c r="O1307" s="45">
        <f>IFERROR(__xludf.DUMMYFUNCTION("""COMPUTED_VALUE"""),45249.0)</f>
        <v>45249</v>
      </c>
      <c r="P1307" s="45">
        <f>IFERROR(__xludf.DUMMYFUNCTION("""COMPUTED_VALUE"""),45291.0)</f>
        <v>45291</v>
      </c>
      <c r="Q1307" s="45">
        <f>IFERROR(__xludf.DUMMYFUNCTION("""COMPUTED_VALUE"""),45285.0)</f>
        <v>45285</v>
      </c>
      <c r="R1307" s="45">
        <f>IFERROR(__xludf.DUMMYFUNCTION("""COMPUTED_VALUE"""),45327.0)</f>
        <v>45327</v>
      </c>
      <c r="S1307" s="43"/>
      <c r="T1307" s="43"/>
      <c r="U1307" s="43" t="str">
        <f>IFERROR(__xludf.DUMMYFUNCTION("""COMPUTED_VALUE"""),"Fingerprint")</f>
        <v>Fingerprint</v>
      </c>
      <c r="V1307" s="43" t="str">
        <f>IFERROR(__xludf.DUMMYFUNCTION("""COMPUTED_VALUE"""),"Sri Bhagwan Mahaveer Jain College, Bangalore")</f>
        <v>Sri Bhagwan Mahaveer Jain College, Bangalore</v>
      </c>
      <c r="W1307" s="43" t="str">
        <f>IFERROR(__xludf.DUMMYFUNCTION("""COMPUTED_VALUE"""),"2023-09-07T07:48:24Z")</f>
        <v>2023-09-07T07:48:24Z</v>
      </c>
      <c r="X1307" s="43"/>
      <c r="Y1307" s="43"/>
      <c r="Z1307" s="43"/>
    </row>
    <row r="1308" hidden="1">
      <c r="A1308" s="43" t="str">
        <f>IFERROR(__xludf.DUMMYFUNCTION("""COMPUTED_VALUE"""),"5322287_1279126")</f>
        <v>5322287_1279126</v>
      </c>
      <c r="B1308" s="43" t="str">
        <f>IFERROR(__xludf.DUMMYFUNCTION("""COMPUTED_VALUE"""),"Hajer Boussandel")</f>
        <v>Hajer Boussandel</v>
      </c>
      <c r="C1308" s="43" t="str">
        <f>IFERROR(__xludf.DUMMYFUNCTION("""COMPUTED_VALUE"""),"approved")</f>
        <v>approved</v>
      </c>
      <c r="D1308" s="43" t="str">
        <f>IFERROR(__xludf.DUMMYFUNCTION("""COMPUTED_VALUE"""),"No")</f>
        <v>No</v>
      </c>
      <c r="E1308" s="43" t="str">
        <f>IFERROR(__xludf.DUMMYFUNCTION("""COMPUTED_VALUE"""),"p_fd6cb52f07f0dc029ce22ad099b3dc8438b1efac@inbound.aiesec.org")</f>
        <v>p_fd6cb52f07f0dc029ce22ad099b3dc8438b1efac@inbound.aiesec.org</v>
      </c>
      <c r="F1308" s="43">
        <f>IFERROR(__xludf.DUMMYFUNCTION("""COMPUTED_VALUE"""),9.0095854E7)</f>
        <v>90095854</v>
      </c>
      <c r="G1308" s="43" t="str">
        <f>IFERROR(__xludf.DUMMYFUNCTION("""COMPUTED_VALUE"""),"Tunisia")</f>
        <v>Tunisia</v>
      </c>
      <c r="H1308" s="43" t="str">
        <f>IFERROR(__xludf.DUMMYFUNCTION("""COMPUTED_VALUE"""),"Carthage")</f>
        <v>Carthage</v>
      </c>
      <c r="I1308" s="43" t="str">
        <f>IFERROR(__xludf.DUMMYFUNCTION("""COMPUTED_VALUE"""),"Turkey")</f>
        <v>Turkey</v>
      </c>
      <c r="J1308" s="43" t="str">
        <f>IFERROR(__xludf.DUMMYFUNCTION("""COMPUTED_VALUE"""),"KOCAELI")</f>
        <v>KOCAELI</v>
      </c>
      <c r="K1308" s="44" t="str">
        <f>IFERROR(__xludf.DUMMYFUNCTION("""COMPUTED_VALUE"""),"https://expa.aiesec.org/opportunities/1279126")</f>
        <v>https://expa.aiesec.org/opportunities/1279126</v>
      </c>
      <c r="L1308" s="43" t="str">
        <f>IFERROR(__xludf.DUMMYFUNCTION("""COMPUTED_VALUE"""),"GV")</f>
        <v>GV</v>
      </c>
      <c r="M1308" s="43" t="str">
        <f>IFERROR(__xludf.DUMMYFUNCTION("""COMPUTED_VALUE"""),"short")</f>
        <v>short</v>
      </c>
      <c r="N1308" s="45">
        <f>IFERROR(__xludf.DUMMYFUNCTION("""COMPUTED_VALUE"""),45181.0)</f>
        <v>45181</v>
      </c>
      <c r="O1308" s="45">
        <f>IFERROR(__xludf.DUMMYFUNCTION("""COMPUTED_VALUE"""),45488.0)</f>
        <v>45488</v>
      </c>
      <c r="P1308" s="45">
        <f>IFERROR(__xludf.DUMMYFUNCTION("""COMPUTED_VALUE"""),45530.0)</f>
        <v>45530</v>
      </c>
      <c r="Q1308" s="45"/>
      <c r="R1308" s="45"/>
      <c r="S1308" s="43"/>
      <c r="T1308" s="43"/>
      <c r="U1308" s="43" t="str">
        <f>IFERROR(__xludf.DUMMYFUNCTION("""COMPUTED_VALUE"""),"Global Classroom")</f>
        <v>Global Classroom</v>
      </c>
      <c r="V1308" s="43" t="str">
        <f>IFERROR(__xludf.DUMMYFUNCTION("""COMPUTED_VALUE"""),"IHEC Carthage")</f>
        <v>IHEC Carthage</v>
      </c>
      <c r="W1308" s="43" t="str">
        <f>IFERROR(__xludf.DUMMYFUNCTION("""COMPUTED_VALUE"""),"2023-09-12T11:13:24Z")</f>
        <v>2023-09-12T11:13:24Z</v>
      </c>
      <c r="X1308" s="43"/>
      <c r="Y1308" s="43"/>
      <c r="Z1308" s="43"/>
    </row>
    <row r="1309" hidden="1">
      <c r="A1309" s="43" t="str">
        <f>IFERROR(__xludf.DUMMYFUNCTION("""COMPUTED_VALUE"""),"5311535_1279126")</f>
        <v>5311535_1279126</v>
      </c>
      <c r="B1309" s="43" t="str">
        <f>IFERROR(__xludf.DUMMYFUNCTION("""COMPUTED_VALUE"""),"Eya Ferjeni")</f>
        <v>Eya Ferjeni</v>
      </c>
      <c r="C1309" s="43" t="str">
        <f>IFERROR(__xludf.DUMMYFUNCTION("""COMPUTED_VALUE"""),"finished")</f>
        <v>finished</v>
      </c>
      <c r="D1309" s="43" t="str">
        <f>IFERROR(__xludf.DUMMYFUNCTION("""COMPUTED_VALUE"""),"No")</f>
        <v>No</v>
      </c>
      <c r="E1309" s="43" t="str">
        <f>IFERROR(__xludf.DUMMYFUNCTION("""COMPUTED_VALUE"""),"p_47b2ddcaa8b5c86d5be77a114a6a1be04a0bbe93@inbound.aiesec.org")</f>
        <v>p_47b2ddcaa8b5c86d5be77a114a6a1be04a0bbe93@inbound.aiesec.org</v>
      </c>
      <c r="F1309" s="43">
        <f>IFERROR(__xludf.DUMMYFUNCTION("""COMPUTED_VALUE"""),2.2687607E7)</f>
        <v>22687607</v>
      </c>
      <c r="G1309" s="43" t="str">
        <f>IFERROR(__xludf.DUMMYFUNCTION("""COMPUTED_VALUE"""),"Tunisia")</f>
        <v>Tunisia</v>
      </c>
      <c r="H1309" s="43" t="str">
        <f>IFERROR(__xludf.DUMMYFUNCTION("""COMPUTED_VALUE"""),"Carthage")</f>
        <v>Carthage</v>
      </c>
      <c r="I1309" s="43" t="str">
        <f>IFERROR(__xludf.DUMMYFUNCTION("""COMPUTED_VALUE"""),"Turkey")</f>
        <v>Turkey</v>
      </c>
      <c r="J1309" s="43" t="str">
        <f>IFERROR(__xludf.DUMMYFUNCTION("""COMPUTED_VALUE"""),"KOCAELI")</f>
        <v>KOCAELI</v>
      </c>
      <c r="K1309" s="44" t="str">
        <f>IFERROR(__xludf.DUMMYFUNCTION("""COMPUTED_VALUE"""),"https://expa.aiesec.org/opportunities/1279126")</f>
        <v>https://expa.aiesec.org/opportunities/1279126</v>
      </c>
      <c r="L1309" s="43" t="str">
        <f>IFERROR(__xludf.DUMMYFUNCTION("""COMPUTED_VALUE"""),"GV")</f>
        <v>GV</v>
      </c>
      <c r="M1309" s="43" t="str">
        <f>IFERROR(__xludf.DUMMYFUNCTION("""COMPUTED_VALUE"""),"short")</f>
        <v>short</v>
      </c>
      <c r="N1309" s="45">
        <f>IFERROR(__xludf.DUMMYFUNCTION("""COMPUTED_VALUE"""),45181.0)</f>
        <v>45181</v>
      </c>
      <c r="O1309" s="45">
        <f>IFERROR(__xludf.DUMMYFUNCTION("""COMPUTED_VALUE"""),45243.0)</f>
        <v>45243</v>
      </c>
      <c r="P1309" s="45">
        <f>IFERROR(__xludf.DUMMYFUNCTION("""COMPUTED_VALUE"""),45285.0)</f>
        <v>45285</v>
      </c>
      <c r="Q1309" s="45">
        <f>IFERROR(__xludf.DUMMYFUNCTION("""COMPUTED_VALUE"""),45243.0)</f>
        <v>45243</v>
      </c>
      <c r="R1309" s="45">
        <f>IFERROR(__xludf.DUMMYFUNCTION("""COMPUTED_VALUE"""),45285.0)</f>
        <v>45285</v>
      </c>
      <c r="S1309" s="43"/>
      <c r="T1309" s="43"/>
      <c r="U1309" s="43" t="str">
        <f>IFERROR(__xludf.DUMMYFUNCTION("""COMPUTED_VALUE"""),"Global Classroom")</f>
        <v>Global Classroom</v>
      </c>
      <c r="V1309" s="43" t="str">
        <f>IFERROR(__xludf.DUMMYFUNCTION("""COMPUTED_VALUE"""),"ISLT")</f>
        <v>ISLT</v>
      </c>
      <c r="W1309" s="43" t="str">
        <f>IFERROR(__xludf.DUMMYFUNCTION("""COMPUTED_VALUE"""),"2023-08-28T14:42:18Z")</f>
        <v>2023-08-28T14:42:18Z</v>
      </c>
      <c r="X1309" s="43"/>
      <c r="Y1309" s="43"/>
      <c r="Z1309" s="43"/>
    </row>
    <row r="1310" hidden="1">
      <c r="A1310" s="43" t="str">
        <f>IFERROR(__xludf.DUMMYFUNCTION("""COMPUTED_VALUE"""),"5319567_1291144")</f>
        <v>5319567_1291144</v>
      </c>
      <c r="B1310" s="43" t="str">
        <f>IFERROR(__xludf.DUMMYFUNCTION("""COMPUTED_VALUE"""),"Javeria Zulfiqar")</f>
        <v>Javeria Zulfiqar</v>
      </c>
      <c r="C1310" s="43" t="str">
        <f>IFERROR(__xludf.DUMMYFUNCTION("""COMPUTED_VALUE"""),"completed")</f>
        <v>completed</v>
      </c>
      <c r="D1310" s="43" t="str">
        <f>IFERROR(__xludf.DUMMYFUNCTION("""COMPUTED_VALUE"""),"No")</f>
        <v>No</v>
      </c>
      <c r="E1310" s="43" t="str">
        <f>IFERROR(__xludf.DUMMYFUNCTION("""COMPUTED_VALUE"""),"p_3c7dc75223c5df8a9b434aef8be7dd227e58225e@inbound.aiesec.org")</f>
        <v>p_3c7dc75223c5df8a9b434aef8be7dd227e58225e@inbound.aiesec.org</v>
      </c>
      <c r="F1310" s="43"/>
      <c r="G1310" s="43" t="str">
        <f>IFERROR(__xludf.DUMMYFUNCTION("""COMPUTED_VALUE"""),"Pakistan")</f>
        <v>Pakistan</v>
      </c>
      <c r="H1310" s="43" t="str">
        <f>IFERROR(__xludf.DUMMYFUNCTION("""COMPUTED_VALUE"""),"Lahore - Pak")</f>
        <v>Lahore - Pak</v>
      </c>
      <c r="I1310" s="43" t="str">
        <f>IFERROR(__xludf.DUMMYFUNCTION("""COMPUTED_VALUE"""),"Turkey")</f>
        <v>Turkey</v>
      </c>
      <c r="J1310" s="43" t="str">
        <f>IFERROR(__xludf.DUMMYFUNCTION("""COMPUTED_VALUE"""),"ESKISEHIR")</f>
        <v>ESKISEHIR</v>
      </c>
      <c r="K1310" s="44" t="str">
        <f>IFERROR(__xludf.DUMMYFUNCTION("""COMPUTED_VALUE"""),"https://expa.aiesec.org/opportunities/1291144")</f>
        <v>https://expa.aiesec.org/opportunities/1291144</v>
      </c>
      <c r="L1310" s="43" t="str">
        <f>IFERROR(__xludf.DUMMYFUNCTION("""COMPUTED_VALUE"""),"GV")</f>
        <v>GV</v>
      </c>
      <c r="M1310" s="43" t="str">
        <f>IFERROR(__xludf.DUMMYFUNCTION("""COMPUTED_VALUE"""),"short")</f>
        <v>short</v>
      </c>
      <c r="N1310" s="45">
        <f>IFERROR(__xludf.DUMMYFUNCTION("""COMPUTED_VALUE"""),45181.0)</f>
        <v>45181</v>
      </c>
      <c r="O1310" s="45">
        <f>IFERROR(__xludf.DUMMYFUNCTION("""COMPUTED_VALUE"""),45190.0)</f>
        <v>45190</v>
      </c>
      <c r="P1310" s="45">
        <f>IFERROR(__xludf.DUMMYFUNCTION("""COMPUTED_VALUE"""),45232.0)</f>
        <v>45232</v>
      </c>
      <c r="Q1310" s="45">
        <f>IFERROR(__xludf.DUMMYFUNCTION("""COMPUTED_VALUE"""),45188.0)</f>
        <v>45188</v>
      </c>
      <c r="R1310" s="45">
        <f>IFERROR(__xludf.DUMMYFUNCTION("""COMPUTED_VALUE"""),45232.0)</f>
        <v>45232</v>
      </c>
      <c r="S1310" s="43"/>
      <c r="T1310" s="43"/>
      <c r="U1310" s="43" t="str">
        <f>IFERROR(__xludf.DUMMYFUNCTION("""COMPUTED_VALUE"""),"Global Classroom")</f>
        <v>Global Classroom</v>
      </c>
      <c r="V1310" s="43" t="str">
        <f>IFERROR(__xludf.DUMMYFUNCTION("""COMPUTED_VALUE"""),"-")</f>
        <v>-</v>
      </c>
      <c r="W1310" s="43" t="str">
        <f>IFERROR(__xludf.DUMMYFUNCTION("""COMPUTED_VALUE"""),"2023-09-07T10:59:16Z")</f>
        <v>2023-09-07T10:59:16Z</v>
      </c>
      <c r="X1310" s="43"/>
      <c r="Y1310" s="43"/>
      <c r="Z1310" s="43"/>
    </row>
    <row r="1311" hidden="1">
      <c r="A1311" s="43" t="str">
        <f>IFERROR(__xludf.DUMMYFUNCTION("""COMPUTED_VALUE"""),"5319589_1296325")</f>
        <v>5319589_1296325</v>
      </c>
      <c r="B1311" s="43" t="str">
        <f>IFERROR(__xludf.DUMMYFUNCTION("""COMPUTED_VALUE"""),"Rana Hossam El Dine")</f>
        <v>Rana Hossam El Dine</v>
      </c>
      <c r="C1311" s="43" t="str">
        <f>IFERROR(__xludf.DUMMYFUNCTION("""COMPUTED_VALUE"""),"approved")</f>
        <v>approved</v>
      </c>
      <c r="D1311" s="43" t="str">
        <f>IFERROR(__xludf.DUMMYFUNCTION("""COMPUTED_VALUE"""),"No")</f>
        <v>No</v>
      </c>
      <c r="E1311" s="43" t="str">
        <f>IFERROR(__xludf.DUMMYFUNCTION("""COMPUTED_VALUE"""),"p_2fa816e610b3ad69aa14fd07e803e8388dc67111@inbound.aiesec.org")</f>
        <v>p_2fa816e610b3ad69aa14fd07e803e8388dc67111@inbound.aiesec.org</v>
      </c>
      <c r="F1311" s="43">
        <f>IFERROR(__xludf.DUMMYFUNCTION("""COMPUTED_VALUE"""),1.201888913E9)</f>
        <v>1201888913</v>
      </c>
      <c r="G1311" s="43" t="str">
        <f>IFERROR(__xludf.DUMMYFUNCTION("""COMPUTED_VALUE"""),"Egypt")</f>
        <v>Egypt</v>
      </c>
      <c r="H1311" s="43" t="str">
        <f>IFERROR(__xludf.DUMMYFUNCTION("""COMPUTED_VALUE"""),"Ain Shams University")</f>
        <v>Ain Shams University</v>
      </c>
      <c r="I1311" s="43" t="str">
        <f>IFERROR(__xludf.DUMMYFUNCTION("""COMPUTED_VALUE"""),"Turkey")</f>
        <v>Turkey</v>
      </c>
      <c r="J1311" s="43" t="str">
        <f>IFERROR(__xludf.DUMMYFUNCTION("""COMPUTED_VALUE"""),"İZMİR")</f>
        <v>İZMİR</v>
      </c>
      <c r="K1311" s="44" t="str">
        <f>IFERROR(__xludf.DUMMYFUNCTION("""COMPUTED_VALUE"""),"https://expa.aiesec.org/opportunities/1296325")</f>
        <v>https://expa.aiesec.org/opportunities/1296325</v>
      </c>
      <c r="L1311" s="43" t="str">
        <f>IFERROR(__xludf.DUMMYFUNCTION("""COMPUTED_VALUE"""),"GV")</f>
        <v>GV</v>
      </c>
      <c r="M1311" s="43" t="str">
        <f>IFERROR(__xludf.DUMMYFUNCTION("""COMPUTED_VALUE"""),"short")</f>
        <v>short</v>
      </c>
      <c r="N1311" s="45">
        <f>IFERROR(__xludf.DUMMYFUNCTION("""COMPUTED_VALUE"""),45181.0)</f>
        <v>45181</v>
      </c>
      <c r="O1311" s="45">
        <f>IFERROR(__xludf.DUMMYFUNCTION("""COMPUTED_VALUE"""),45207.0)</f>
        <v>45207</v>
      </c>
      <c r="P1311" s="45">
        <f>IFERROR(__xludf.DUMMYFUNCTION("""COMPUTED_VALUE"""),45249.0)</f>
        <v>45249</v>
      </c>
      <c r="Q1311" s="45"/>
      <c r="R1311" s="45"/>
      <c r="S1311" s="43"/>
      <c r="T1311" s="43"/>
      <c r="U1311" s="43" t="str">
        <f>IFERROR(__xludf.DUMMYFUNCTION("""COMPUTED_VALUE"""),"Fingerprint")</f>
        <v>Fingerprint</v>
      </c>
      <c r="V1311" s="43" t="str">
        <f>IFERROR(__xludf.DUMMYFUNCTION("""COMPUTED_VALUE"""),"Ain Shams University")</f>
        <v>Ain Shams University</v>
      </c>
      <c r="W1311" s="43" t="str">
        <f>IFERROR(__xludf.DUMMYFUNCTION("""COMPUTED_VALUE"""),"2023-09-07T11:33:02Z")</f>
        <v>2023-09-07T11:33:02Z</v>
      </c>
      <c r="X1311" s="43"/>
      <c r="Y1311" s="43"/>
      <c r="Z1311" s="43"/>
    </row>
    <row r="1312" hidden="1">
      <c r="A1312" s="43" t="str">
        <f>IFERROR(__xludf.DUMMYFUNCTION("""COMPUTED_VALUE"""),"5319390_1296325")</f>
        <v>5319390_1296325</v>
      </c>
      <c r="B1312" s="43" t="str">
        <f>IFERROR(__xludf.DUMMYFUNCTION("""COMPUTED_VALUE"""),"Lourane Essam")</f>
        <v>Lourane Essam</v>
      </c>
      <c r="C1312" s="43" t="str">
        <f>IFERROR(__xludf.DUMMYFUNCTION("""COMPUTED_VALUE"""),"approved")</f>
        <v>approved</v>
      </c>
      <c r="D1312" s="43" t="str">
        <f>IFERROR(__xludf.DUMMYFUNCTION("""COMPUTED_VALUE"""),"No")</f>
        <v>No</v>
      </c>
      <c r="E1312" s="43" t="str">
        <f>IFERROR(__xludf.DUMMYFUNCTION("""COMPUTED_VALUE"""),"p_5354aa42ec8201c4fbc40373515a4d7511e9821d@inbound.aiesec.org")</f>
        <v>p_5354aa42ec8201c4fbc40373515a4d7511e9821d@inbound.aiesec.org</v>
      </c>
      <c r="F1312" s="43">
        <f>IFERROR(__xludf.DUMMYFUNCTION("""COMPUTED_VALUE"""),1.277730887E9)</f>
        <v>1277730887</v>
      </c>
      <c r="G1312" s="43" t="str">
        <f>IFERROR(__xludf.DUMMYFUNCTION("""COMPUTED_VALUE"""),"Egypt")</f>
        <v>Egypt</v>
      </c>
      <c r="H1312" s="43" t="str">
        <f>IFERROR(__xludf.DUMMYFUNCTION("""COMPUTED_VALUE"""),"Ain Shams University")</f>
        <v>Ain Shams University</v>
      </c>
      <c r="I1312" s="43" t="str">
        <f>IFERROR(__xludf.DUMMYFUNCTION("""COMPUTED_VALUE"""),"Turkey")</f>
        <v>Turkey</v>
      </c>
      <c r="J1312" s="43" t="str">
        <f>IFERROR(__xludf.DUMMYFUNCTION("""COMPUTED_VALUE"""),"İZMİR")</f>
        <v>İZMİR</v>
      </c>
      <c r="K1312" s="44" t="str">
        <f>IFERROR(__xludf.DUMMYFUNCTION("""COMPUTED_VALUE"""),"https://expa.aiesec.org/opportunities/1296325")</f>
        <v>https://expa.aiesec.org/opportunities/1296325</v>
      </c>
      <c r="L1312" s="43" t="str">
        <f>IFERROR(__xludf.DUMMYFUNCTION("""COMPUTED_VALUE"""),"GV")</f>
        <v>GV</v>
      </c>
      <c r="M1312" s="43" t="str">
        <f>IFERROR(__xludf.DUMMYFUNCTION("""COMPUTED_VALUE"""),"short")</f>
        <v>short</v>
      </c>
      <c r="N1312" s="45">
        <f>IFERROR(__xludf.DUMMYFUNCTION("""COMPUTED_VALUE"""),45181.0)</f>
        <v>45181</v>
      </c>
      <c r="O1312" s="45">
        <f>IFERROR(__xludf.DUMMYFUNCTION("""COMPUTED_VALUE"""),45207.0)</f>
        <v>45207</v>
      </c>
      <c r="P1312" s="45">
        <f>IFERROR(__xludf.DUMMYFUNCTION("""COMPUTED_VALUE"""),45249.0)</f>
        <v>45249</v>
      </c>
      <c r="Q1312" s="45"/>
      <c r="R1312" s="45"/>
      <c r="S1312" s="43"/>
      <c r="T1312" s="43"/>
      <c r="U1312" s="43" t="str">
        <f>IFERROR(__xludf.DUMMYFUNCTION("""COMPUTED_VALUE"""),"Fingerprint")</f>
        <v>Fingerprint</v>
      </c>
      <c r="V1312" s="43" t="str">
        <f>IFERROR(__xludf.DUMMYFUNCTION("""COMPUTED_VALUE"""),"Ain Shams University")</f>
        <v>Ain Shams University</v>
      </c>
      <c r="W1312" s="43" t="str">
        <f>IFERROR(__xludf.DUMMYFUNCTION("""COMPUTED_VALUE"""),"2023-09-06T23:39:03Z")</f>
        <v>2023-09-06T23:39:03Z</v>
      </c>
      <c r="X1312" s="43"/>
      <c r="Y1312" s="43"/>
      <c r="Z1312" s="43"/>
    </row>
    <row r="1313" hidden="1">
      <c r="A1313" s="43" t="str">
        <f>IFERROR(__xludf.DUMMYFUNCTION("""COMPUTED_VALUE"""),"2562603_1280872")</f>
        <v>2562603_1280872</v>
      </c>
      <c r="B1313" s="43" t="str">
        <f>IFERROR(__xludf.DUMMYFUNCTION("""COMPUTED_VALUE"""),"jabeur wael")</f>
        <v>jabeur wael</v>
      </c>
      <c r="C1313" s="43" t="str">
        <f>IFERROR(__xludf.DUMMYFUNCTION("""COMPUTED_VALUE"""),"realized")</f>
        <v>realized</v>
      </c>
      <c r="D1313" s="43" t="str">
        <f>IFERROR(__xludf.DUMMYFUNCTION("""COMPUTED_VALUE"""),"No")</f>
        <v>No</v>
      </c>
      <c r="E1313" s="43" t="str">
        <f>IFERROR(__xludf.DUMMYFUNCTION("""COMPUTED_VALUE"""),"p_212ca3f8240f3bcf406286bc9f5c8457cf0fb182@inbound.aiesec.org")</f>
        <v>p_212ca3f8240f3bcf406286bc9f5c8457cf0fb182@inbound.aiesec.org</v>
      </c>
      <c r="F1313" s="43">
        <f>IFERROR(__xludf.DUMMYFUNCTION("""COMPUTED_VALUE"""),5.1538978E7)</f>
        <v>51538978</v>
      </c>
      <c r="G1313" s="43" t="str">
        <f>IFERROR(__xludf.DUMMYFUNCTION("""COMPUTED_VALUE"""),"Tunisia")</f>
        <v>Tunisia</v>
      </c>
      <c r="H1313" s="43" t="str">
        <f>IFERROR(__xludf.DUMMYFUNCTION("""COMPUTED_VALUE"""),"Carthage")</f>
        <v>Carthage</v>
      </c>
      <c r="I1313" s="43" t="str">
        <f>IFERROR(__xludf.DUMMYFUNCTION("""COMPUTED_VALUE"""),"Turkey")</f>
        <v>Turkey</v>
      </c>
      <c r="J1313" s="43" t="str">
        <f>IFERROR(__xludf.DUMMYFUNCTION("""COMPUTED_VALUE"""),"KOCAELI")</f>
        <v>KOCAELI</v>
      </c>
      <c r="K1313" s="44" t="str">
        <f>IFERROR(__xludf.DUMMYFUNCTION("""COMPUTED_VALUE"""),"https://expa.aiesec.org/opportunities/1280872")</f>
        <v>https://expa.aiesec.org/opportunities/1280872</v>
      </c>
      <c r="L1313" s="43" t="str">
        <f>IFERROR(__xludf.DUMMYFUNCTION("""COMPUTED_VALUE"""),"GV")</f>
        <v>GV</v>
      </c>
      <c r="M1313" s="43" t="str">
        <f>IFERROR(__xludf.DUMMYFUNCTION("""COMPUTED_VALUE"""),"short")</f>
        <v>short</v>
      </c>
      <c r="N1313" s="45">
        <f>IFERROR(__xludf.DUMMYFUNCTION("""COMPUTED_VALUE"""),45181.0)</f>
        <v>45181</v>
      </c>
      <c r="O1313" s="45">
        <f>IFERROR(__xludf.DUMMYFUNCTION("""COMPUTED_VALUE"""),45292.0)</f>
        <v>45292</v>
      </c>
      <c r="P1313" s="45">
        <f>IFERROR(__xludf.DUMMYFUNCTION("""COMPUTED_VALUE"""),45334.0)</f>
        <v>45334</v>
      </c>
      <c r="Q1313" s="45">
        <f>IFERROR(__xludf.DUMMYFUNCTION("""COMPUTED_VALUE"""),45293.0)</f>
        <v>45293</v>
      </c>
      <c r="R1313" s="45">
        <f>IFERROR(__xludf.DUMMYFUNCTION("""COMPUTED_VALUE"""),45334.0)</f>
        <v>45334</v>
      </c>
      <c r="S1313" s="43"/>
      <c r="T1313" s="43"/>
      <c r="U1313" s="43" t="str">
        <f>IFERROR(__xludf.DUMMYFUNCTION("""COMPUTED_VALUE"""),"Skill Up!")</f>
        <v>Skill Up!</v>
      </c>
      <c r="V1313" s="43" t="str">
        <f>IFERROR(__xludf.DUMMYFUNCTION("""COMPUTED_VALUE"""),"ENAU")</f>
        <v>ENAU</v>
      </c>
      <c r="W1313" s="43" t="str">
        <f>IFERROR(__xludf.DUMMYFUNCTION("""COMPUTED_VALUE"""),"2018-09-18T22:08:22Z")</f>
        <v>2018-09-18T22:08:22Z</v>
      </c>
      <c r="X1313" s="43"/>
      <c r="Y1313" s="43"/>
      <c r="Z1313" s="43"/>
    </row>
    <row r="1314" hidden="1">
      <c r="A1314" s="43" t="str">
        <f>IFERROR(__xludf.DUMMYFUNCTION("""COMPUTED_VALUE"""),"5322447_1279126")</f>
        <v>5322447_1279126</v>
      </c>
      <c r="B1314" s="43" t="str">
        <f>IFERROR(__xludf.DUMMYFUNCTION("""COMPUTED_VALUE"""),"Aysha Sameh")</f>
        <v>Aysha Sameh</v>
      </c>
      <c r="C1314" s="43" t="str">
        <f>IFERROR(__xludf.DUMMYFUNCTION("""COMPUTED_VALUE"""),"approved")</f>
        <v>approved</v>
      </c>
      <c r="D1314" s="43" t="str">
        <f>IFERROR(__xludf.DUMMYFUNCTION("""COMPUTED_VALUE"""),"No")</f>
        <v>No</v>
      </c>
      <c r="E1314" s="43" t="str">
        <f>IFERROR(__xludf.DUMMYFUNCTION("""COMPUTED_VALUE"""),"p_a63fe3e7ca42bfbedebb766d495233890b8e08f0@inbound.aiesec.org")</f>
        <v>p_a63fe3e7ca42bfbedebb766d495233890b8e08f0@inbound.aiesec.org</v>
      </c>
      <c r="F1314" s="43">
        <f>IFERROR(__xludf.DUMMYFUNCTION("""COMPUTED_VALUE"""),1.151700027E9)</f>
        <v>1151700027</v>
      </c>
      <c r="G1314" s="43" t="str">
        <f>IFERROR(__xludf.DUMMYFUNCTION("""COMPUTED_VALUE"""),"Egypt")</f>
        <v>Egypt</v>
      </c>
      <c r="H1314" s="43" t="str">
        <f>IFERROR(__xludf.DUMMYFUNCTION("""COMPUTED_VALUE"""),"Ain Shams University")</f>
        <v>Ain Shams University</v>
      </c>
      <c r="I1314" s="43" t="str">
        <f>IFERROR(__xludf.DUMMYFUNCTION("""COMPUTED_VALUE"""),"Turkey")</f>
        <v>Turkey</v>
      </c>
      <c r="J1314" s="43" t="str">
        <f>IFERROR(__xludf.DUMMYFUNCTION("""COMPUTED_VALUE"""),"KOCAELI")</f>
        <v>KOCAELI</v>
      </c>
      <c r="K1314" s="44" t="str">
        <f>IFERROR(__xludf.DUMMYFUNCTION("""COMPUTED_VALUE"""),"https://expa.aiesec.org/opportunities/1279126")</f>
        <v>https://expa.aiesec.org/opportunities/1279126</v>
      </c>
      <c r="L1314" s="43" t="str">
        <f>IFERROR(__xludf.DUMMYFUNCTION("""COMPUTED_VALUE"""),"GV")</f>
        <v>GV</v>
      </c>
      <c r="M1314" s="43" t="str">
        <f>IFERROR(__xludf.DUMMYFUNCTION("""COMPUTED_VALUE"""),"short")</f>
        <v>short</v>
      </c>
      <c r="N1314" s="45">
        <f>IFERROR(__xludf.DUMMYFUNCTION("""COMPUTED_VALUE"""),45182.0)</f>
        <v>45182</v>
      </c>
      <c r="O1314" s="45">
        <f>IFERROR(__xludf.DUMMYFUNCTION("""COMPUTED_VALUE"""),45458.0)</f>
        <v>45458</v>
      </c>
      <c r="P1314" s="45">
        <f>IFERROR(__xludf.DUMMYFUNCTION("""COMPUTED_VALUE"""),45500.0)</f>
        <v>45500</v>
      </c>
      <c r="Q1314" s="45"/>
      <c r="R1314" s="45"/>
      <c r="S1314" s="43"/>
      <c r="T1314" s="43"/>
      <c r="U1314" s="43" t="str">
        <f>IFERROR(__xludf.DUMMYFUNCTION("""COMPUTED_VALUE"""),"Global Classroom")</f>
        <v>Global Classroom</v>
      </c>
      <c r="V1314" s="43" t="str">
        <f>IFERROR(__xludf.DUMMYFUNCTION("""COMPUTED_VALUE"""),"Ain Shams University")</f>
        <v>Ain Shams University</v>
      </c>
      <c r="W1314" s="43" t="str">
        <f>IFERROR(__xludf.DUMMYFUNCTION("""COMPUTED_VALUE"""),"2023-09-12T14:17:43Z")</f>
        <v>2023-09-12T14:17:43Z</v>
      </c>
      <c r="X1314" s="43"/>
      <c r="Y1314" s="43"/>
      <c r="Z1314" s="43"/>
    </row>
    <row r="1315" hidden="1">
      <c r="A1315" s="43" t="str">
        <f>IFERROR(__xludf.DUMMYFUNCTION("""COMPUTED_VALUE"""),"5320848_1286920")</f>
        <v>5320848_1286920</v>
      </c>
      <c r="B1315" s="43" t="str">
        <f>IFERROR(__xludf.DUMMYFUNCTION("""COMPUTED_VALUE"""),"Nour Abdallah")</f>
        <v>Nour Abdallah</v>
      </c>
      <c r="C1315" s="43" t="str">
        <f>IFERROR(__xludf.DUMMYFUNCTION("""COMPUTED_VALUE"""),"approved")</f>
        <v>approved</v>
      </c>
      <c r="D1315" s="43" t="str">
        <f>IFERROR(__xludf.DUMMYFUNCTION("""COMPUTED_VALUE"""),"No")</f>
        <v>No</v>
      </c>
      <c r="E1315" s="43" t="str">
        <f>IFERROR(__xludf.DUMMYFUNCTION("""COMPUTED_VALUE"""),"p_d64b6e742ef61b941dd287c2f920ad6b5e3b576a@inbound.aiesec.org")</f>
        <v>p_d64b6e742ef61b941dd287c2f920ad6b5e3b576a@inbound.aiesec.org</v>
      </c>
      <c r="F1315" s="43">
        <f>IFERROR(__xludf.DUMMYFUNCTION("""COMPUTED_VALUE"""),1.007096552E9)</f>
        <v>1007096552</v>
      </c>
      <c r="G1315" s="43" t="str">
        <f>IFERROR(__xludf.DUMMYFUNCTION("""COMPUTED_VALUE"""),"Egypt")</f>
        <v>Egypt</v>
      </c>
      <c r="H1315" s="43" t="str">
        <f>IFERROR(__xludf.DUMMYFUNCTION("""COMPUTED_VALUE"""),"MSA")</f>
        <v>MSA</v>
      </c>
      <c r="I1315" s="43" t="str">
        <f>IFERROR(__xludf.DUMMYFUNCTION("""COMPUTED_VALUE"""),"Turkey")</f>
        <v>Turkey</v>
      </c>
      <c r="J1315" s="43" t="str">
        <f>IFERROR(__xludf.DUMMYFUNCTION("""COMPUTED_VALUE"""),"DENIZLI")</f>
        <v>DENIZLI</v>
      </c>
      <c r="K1315" s="44" t="str">
        <f>IFERROR(__xludf.DUMMYFUNCTION("""COMPUTED_VALUE"""),"https://expa.aiesec.org/opportunities/1286920")</f>
        <v>https://expa.aiesec.org/opportunities/1286920</v>
      </c>
      <c r="L1315" s="43" t="str">
        <f>IFERROR(__xludf.DUMMYFUNCTION("""COMPUTED_VALUE"""),"GV")</f>
        <v>GV</v>
      </c>
      <c r="M1315" s="43" t="str">
        <f>IFERROR(__xludf.DUMMYFUNCTION("""COMPUTED_VALUE"""),"short")</f>
        <v>short</v>
      </c>
      <c r="N1315" s="45">
        <f>IFERROR(__xludf.DUMMYFUNCTION("""COMPUTED_VALUE"""),45182.0)</f>
        <v>45182</v>
      </c>
      <c r="O1315" s="45">
        <f>IFERROR(__xludf.DUMMYFUNCTION("""COMPUTED_VALUE"""),45488.0)</f>
        <v>45488</v>
      </c>
      <c r="P1315" s="45">
        <f>IFERROR(__xludf.DUMMYFUNCTION("""COMPUTED_VALUE"""),45530.0)</f>
        <v>45530</v>
      </c>
      <c r="Q1315" s="45"/>
      <c r="R1315" s="45"/>
      <c r="S1315" s="43"/>
      <c r="T1315" s="43"/>
      <c r="U1315" s="43" t="str">
        <f>IFERROR(__xludf.DUMMYFUNCTION("""COMPUTED_VALUE"""),"Global Classroom")</f>
        <v>Global Classroom</v>
      </c>
      <c r="V1315" s="43" t="str">
        <f>IFERROR(__xludf.DUMMYFUNCTION("""COMPUTED_VALUE"""),"MSA Univeristy")</f>
        <v>MSA Univeristy</v>
      </c>
      <c r="W1315" s="43" t="str">
        <f>IFERROR(__xludf.DUMMYFUNCTION("""COMPUTED_VALUE"""),"2023-09-09T14:42:48Z")</f>
        <v>2023-09-09T14:42:48Z</v>
      </c>
      <c r="X1315" s="43"/>
      <c r="Y1315" s="43"/>
      <c r="Z1315" s="43"/>
    </row>
    <row r="1316" hidden="1">
      <c r="A1316" s="43" t="str">
        <f>IFERROR(__xludf.DUMMYFUNCTION("""COMPUTED_VALUE"""),"5279345_1291055")</f>
        <v>5279345_1291055</v>
      </c>
      <c r="B1316" s="43" t="str">
        <f>IFERROR(__xludf.DUMMYFUNCTION("""COMPUTED_VALUE"""),"Ahmed karam")</f>
        <v>Ahmed karam</v>
      </c>
      <c r="C1316" s="43" t="str">
        <f>IFERROR(__xludf.DUMMYFUNCTION("""COMPUTED_VALUE"""),"approved")</f>
        <v>approved</v>
      </c>
      <c r="D1316" s="43" t="str">
        <f>IFERROR(__xludf.DUMMYFUNCTION("""COMPUTED_VALUE"""),"No")</f>
        <v>No</v>
      </c>
      <c r="E1316" s="43" t="str">
        <f>IFERROR(__xludf.DUMMYFUNCTION("""COMPUTED_VALUE"""),"p_1221a33d03d541f9bba29312f4c900a35f2ec12e@inbound.aiesec.org")</f>
        <v>p_1221a33d03d541f9bba29312f4c900a35f2ec12e@inbound.aiesec.org</v>
      </c>
      <c r="F1316" s="43">
        <f>IFERROR(__xludf.DUMMYFUNCTION("""COMPUTED_VALUE"""),1.012433824E9)</f>
        <v>1012433824</v>
      </c>
      <c r="G1316" s="43" t="str">
        <f>IFERROR(__xludf.DUMMYFUNCTION("""COMPUTED_VALUE"""),"Egypt")</f>
        <v>Egypt</v>
      </c>
      <c r="H1316" s="43" t="str">
        <f>IFERROR(__xludf.DUMMYFUNCTION("""COMPUTED_VALUE"""),"6th October University")</f>
        <v>6th October University</v>
      </c>
      <c r="I1316" s="43" t="str">
        <f>IFERROR(__xludf.DUMMYFUNCTION("""COMPUTED_VALUE"""),"Turkey")</f>
        <v>Turkey</v>
      </c>
      <c r="J1316" s="43" t="str">
        <f>IFERROR(__xludf.DUMMYFUNCTION("""COMPUTED_VALUE"""),"SAKARYA")</f>
        <v>SAKARYA</v>
      </c>
      <c r="K1316" s="44" t="str">
        <f>IFERROR(__xludf.DUMMYFUNCTION("""COMPUTED_VALUE"""),"https://expa.aiesec.org/opportunities/1291055")</f>
        <v>https://expa.aiesec.org/opportunities/1291055</v>
      </c>
      <c r="L1316" s="43" t="str">
        <f>IFERROR(__xludf.DUMMYFUNCTION("""COMPUTED_VALUE"""),"GV")</f>
        <v>GV</v>
      </c>
      <c r="M1316" s="43" t="str">
        <f>IFERROR(__xludf.DUMMYFUNCTION("""COMPUTED_VALUE"""),"short")</f>
        <v>short</v>
      </c>
      <c r="N1316" s="45">
        <f>IFERROR(__xludf.DUMMYFUNCTION("""COMPUTED_VALUE"""),45182.0)</f>
        <v>45182</v>
      </c>
      <c r="O1316" s="45">
        <f>IFERROR(__xludf.DUMMYFUNCTION("""COMPUTED_VALUE"""),45243.0)</f>
        <v>45243</v>
      </c>
      <c r="P1316" s="45">
        <f>IFERROR(__xludf.DUMMYFUNCTION("""COMPUTED_VALUE"""),45285.0)</f>
        <v>45285</v>
      </c>
      <c r="Q1316" s="45"/>
      <c r="R1316" s="45"/>
      <c r="S1316" s="43"/>
      <c r="T1316" s="43"/>
      <c r="U1316" s="43" t="str">
        <f>IFERROR(__xludf.DUMMYFUNCTION("""COMPUTED_VALUE"""),"Youth 4 Impact")</f>
        <v>Youth 4 Impact</v>
      </c>
      <c r="V1316" s="43" t="str">
        <f>IFERROR(__xludf.DUMMYFUNCTION("""COMPUTED_VALUE"""),"6th of October University")</f>
        <v>6th of October University</v>
      </c>
      <c r="W1316" s="43" t="str">
        <f>IFERROR(__xludf.DUMMYFUNCTION("""COMPUTED_VALUE"""),"2023-06-25T19:13:08Z")</f>
        <v>2023-06-25T19:13:08Z</v>
      </c>
      <c r="X1316" s="43"/>
      <c r="Y1316" s="43"/>
      <c r="Z1316" s="43"/>
    </row>
    <row r="1317" hidden="1">
      <c r="A1317" s="43" t="str">
        <f>IFERROR(__xludf.DUMMYFUNCTION("""COMPUTED_VALUE"""),"5321376_1298556")</f>
        <v>5321376_1298556</v>
      </c>
      <c r="B1317" s="43" t="str">
        <f>IFERROR(__xludf.DUMMYFUNCTION("""COMPUTED_VALUE"""),"Unnati Agrawal")</f>
        <v>Unnati Agrawal</v>
      </c>
      <c r="C1317" s="43" t="str">
        <f>IFERROR(__xludf.DUMMYFUNCTION("""COMPUTED_VALUE"""),"approved")</f>
        <v>approved</v>
      </c>
      <c r="D1317" s="43" t="str">
        <f>IFERROR(__xludf.DUMMYFUNCTION("""COMPUTED_VALUE"""),"No")</f>
        <v>No</v>
      </c>
      <c r="E1317" s="43" t="str">
        <f>IFERROR(__xludf.DUMMYFUNCTION("""COMPUTED_VALUE"""),"p_2928f6da9beaf237dc259c126648d6692f4bf1b1@inbound.aiesec.org")</f>
        <v>p_2928f6da9beaf237dc259c126648d6692f4bf1b1@inbound.aiesec.org</v>
      </c>
      <c r="F1317" s="43">
        <f>IFERROR(__xludf.DUMMYFUNCTION("""COMPUTED_VALUE"""),7.667401201E9)</f>
        <v>7667401201</v>
      </c>
      <c r="G1317" s="43" t="str">
        <f>IFERROR(__xludf.DUMMYFUNCTION("""COMPUTED_VALUE"""),"India")</f>
        <v>India</v>
      </c>
      <c r="H1317" s="43" t="str">
        <f>IFERROR(__xludf.DUMMYFUNCTION("""COMPUTED_VALUE"""),"Mumbai")</f>
        <v>Mumbai</v>
      </c>
      <c r="I1317" s="43" t="str">
        <f>IFERROR(__xludf.DUMMYFUNCTION("""COMPUTED_VALUE"""),"Turkey")</f>
        <v>Turkey</v>
      </c>
      <c r="J1317" s="43" t="str">
        <f>IFERROR(__xludf.DUMMYFUNCTION("""COMPUTED_VALUE"""),"KUTAHYA")</f>
        <v>KUTAHYA</v>
      </c>
      <c r="K1317" s="44" t="str">
        <f>IFERROR(__xludf.DUMMYFUNCTION("""COMPUTED_VALUE"""),"https://expa.aiesec.org/opportunities/1298556")</f>
        <v>https://expa.aiesec.org/opportunities/1298556</v>
      </c>
      <c r="L1317" s="43" t="str">
        <f>IFERROR(__xludf.DUMMYFUNCTION("""COMPUTED_VALUE"""),"GV")</f>
        <v>GV</v>
      </c>
      <c r="M1317" s="43" t="str">
        <f>IFERROR(__xludf.DUMMYFUNCTION("""COMPUTED_VALUE"""),"short")</f>
        <v>short</v>
      </c>
      <c r="N1317" s="45">
        <f>IFERROR(__xludf.DUMMYFUNCTION("""COMPUTED_VALUE"""),45183.0)</f>
        <v>45183</v>
      </c>
      <c r="O1317" s="45">
        <f>IFERROR(__xludf.DUMMYFUNCTION("""COMPUTED_VALUE"""),45495.0)</f>
        <v>45495</v>
      </c>
      <c r="P1317" s="45">
        <f>IFERROR(__xludf.DUMMYFUNCTION("""COMPUTED_VALUE"""),45537.0)</f>
        <v>45537</v>
      </c>
      <c r="Q1317" s="45"/>
      <c r="R1317" s="45"/>
      <c r="S1317" s="43"/>
      <c r="T1317" s="43"/>
      <c r="U1317" s="43" t="str">
        <f>IFERROR(__xludf.DUMMYFUNCTION("""COMPUTED_VALUE"""),"On The Map")</f>
        <v>On The Map</v>
      </c>
      <c r="V1317" s="43" t="str">
        <f>IFERROR(__xludf.DUMMYFUNCTION("""COMPUTED_VALUE"""),"Mithibai College of Commerce and Science, Vile Parle")</f>
        <v>Mithibai College of Commerce and Science, Vile Parle</v>
      </c>
      <c r="W1317" s="43" t="str">
        <f>IFERROR(__xludf.DUMMYFUNCTION("""COMPUTED_VALUE"""),"2023-09-11T01:15:02Z")</f>
        <v>2023-09-11T01:15:02Z</v>
      </c>
      <c r="X1317" s="43"/>
      <c r="Y1317" s="43"/>
      <c r="Z1317" s="43"/>
    </row>
    <row r="1318" hidden="1">
      <c r="A1318" s="43" t="str">
        <f>IFERROR(__xludf.DUMMYFUNCTION("""COMPUTED_VALUE"""),"5321389_1298556")</f>
        <v>5321389_1298556</v>
      </c>
      <c r="B1318" s="43" t="str">
        <f>IFERROR(__xludf.DUMMYFUNCTION("""COMPUTED_VALUE"""),"Tanisha Agrawal")</f>
        <v>Tanisha Agrawal</v>
      </c>
      <c r="C1318" s="43" t="str">
        <f>IFERROR(__xludf.DUMMYFUNCTION("""COMPUTED_VALUE"""),"approved")</f>
        <v>approved</v>
      </c>
      <c r="D1318" s="43" t="str">
        <f>IFERROR(__xludf.DUMMYFUNCTION("""COMPUTED_VALUE"""),"No")</f>
        <v>No</v>
      </c>
      <c r="E1318" s="43" t="str">
        <f>IFERROR(__xludf.DUMMYFUNCTION("""COMPUTED_VALUE"""),"p_fdd234c7c0550349d9e6632fa5aef86a238b2ca4@inbound.aiesec.org")</f>
        <v>p_fdd234c7c0550349d9e6632fa5aef86a238b2ca4@inbound.aiesec.org</v>
      </c>
      <c r="F1318" s="43">
        <f>IFERROR(__xludf.DUMMYFUNCTION("""COMPUTED_VALUE"""),8.827536161E9)</f>
        <v>8827536161</v>
      </c>
      <c r="G1318" s="43" t="str">
        <f>IFERROR(__xludf.DUMMYFUNCTION("""COMPUTED_VALUE"""),"India")</f>
        <v>India</v>
      </c>
      <c r="H1318" s="43" t="str">
        <f>IFERROR(__xludf.DUMMYFUNCTION("""COMPUTED_VALUE"""),"Mumbai")</f>
        <v>Mumbai</v>
      </c>
      <c r="I1318" s="43" t="str">
        <f>IFERROR(__xludf.DUMMYFUNCTION("""COMPUTED_VALUE"""),"Turkey")</f>
        <v>Turkey</v>
      </c>
      <c r="J1318" s="43" t="str">
        <f>IFERROR(__xludf.DUMMYFUNCTION("""COMPUTED_VALUE"""),"KUTAHYA")</f>
        <v>KUTAHYA</v>
      </c>
      <c r="K1318" s="44" t="str">
        <f>IFERROR(__xludf.DUMMYFUNCTION("""COMPUTED_VALUE"""),"https://expa.aiesec.org/opportunities/1298556")</f>
        <v>https://expa.aiesec.org/opportunities/1298556</v>
      </c>
      <c r="L1318" s="43" t="str">
        <f>IFERROR(__xludf.DUMMYFUNCTION("""COMPUTED_VALUE"""),"GV")</f>
        <v>GV</v>
      </c>
      <c r="M1318" s="43" t="str">
        <f>IFERROR(__xludf.DUMMYFUNCTION("""COMPUTED_VALUE"""),"short")</f>
        <v>short</v>
      </c>
      <c r="N1318" s="45">
        <f>IFERROR(__xludf.DUMMYFUNCTION("""COMPUTED_VALUE"""),45183.0)</f>
        <v>45183</v>
      </c>
      <c r="O1318" s="45">
        <f>IFERROR(__xludf.DUMMYFUNCTION("""COMPUTED_VALUE"""),45495.0)</f>
        <v>45495</v>
      </c>
      <c r="P1318" s="45">
        <f>IFERROR(__xludf.DUMMYFUNCTION("""COMPUTED_VALUE"""),45537.0)</f>
        <v>45537</v>
      </c>
      <c r="Q1318" s="45"/>
      <c r="R1318" s="45"/>
      <c r="S1318" s="43"/>
      <c r="T1318" s="43"/>
      <c r="U1318" s="43" t="str">
        <f>IFERROR(__xludf.DUMMYFUNCTION("""COMPUTED_VALUE"""),"On The Map")</f>
        <v>On The Map</v>
      </c>
      <c r="V1318" s="43" t="str">
        <f>IFERROR(__xludf.DUMMYFUNCTION("""COMPUTED_VALUE"""),"Mithibai College of Commerce and Science, Vile Parle")</f>
        <v>Mithibai College of Commerce and Science, Vile Parle</v>
      </c>
      <c r="W1318" s="43" t="str">
        <f>IFERROR(__xludf.DUMMYFUNCTION("""COMPUTED_VALUE"""),"2023-09-11T02:01:51Z")</f>
        <v>2023-09-11T02:01:51Z</v>
      </c>
      <c r="X1318" s="43"/>
      <c r="Y1318" s="43"/>
      <c r="Z1318" s="43"/>
    </row>
    <row r="1319" hidden="1">
      <c r="A1319" s="43" t="str">
        <f>IFERROR(__xludf.DUMMYFUNCTION("""COMPUTED_VALUE"""),"3886454_1298556")</f>
        <v>3886454_1298556</v>
      </c>
      <c r="B1319" s="43" t="str">
        <f>IFERROR(__xludf.DUMMYFUNCTION("""COMPUTED_VALUE"""),"Elizabeth Mutisya")</f>
        <v>Elizabeth Mutisya</v>
      </c>
      <c r="C1319" s="43" t="str">
        <f>IFERROR(__xludf.DUMMYFUNCTION("""COMPUTED_VALUE"""),"approved")</f>
        <v>approved</v>
      </c>
      <c r="D1319" s="43" t="str">
        <f>IFERROR(__xludf.DUMMYFUNCTION("""COMPUTED_VALUE"""),"No")</f>
        <v>No</v>
      </c>
      <c r="E1319" s="43" t="str">
        <f>IFERROR(__xludf.DUMMYFUNCTION("""COMPUTED_VALUE"""),"p_17191217e5c377f84a2d0ceb094b35c58446f814@inbound.aiesec.org")</f>
        <v>p_17191217e5c377f84a2d0ceb094b35c58446f814@inbound.aiesec.org</v>
      </c>
      <c r="F1319" s="43">
        <f>IFERROR(__xludf.DUMMYFUNCTION("""COMPUTED_VALUE"""),7.13021636E8)</f>
        <v>713021636</v>
      </c>
      <c r="G1319" s="43" t="str">
        <f>IFERROR(__xludf.DUMMYFUNCTION("""COMPUTED_VALUE"""),"Kenya")</f>
        <v>Kenya</v>
      </c>
      <c r="H1319" s="43" t="str">
        <f>IFERROR(__xludf.DUMMYFUNCTION("""COMPUTED_VALUE"""),"STRATHMORE UNIVERSITY")</f>
        <v>STRATHMORE UNIVERSITY</v>
      </c>
      <c r="I1319" s="43" t="str">
        <f>IFERROR(__xludf.DUMMYFUNCTION("""COMPUTED_VALUE"""),"Turkey")</f>
        <v>Turkey</v>
      </c>
      <c r="J1319" s="43" t="str">
        <f>IFERROR(__xludf.DUMMYFUNCTION("""COMPUTED_VALUE"""),"KUTAHYA")</f>
        <v>KUTAHYA</v>
      </c>
      <c r="K1319" s="44" t="str">
        <f>IFERROR(__xludf.DUMMYFUNCTION("""COMPUTED_VALUE"""),"https://expa.aiesec.org/opportunities/1298556")</f>
        <v>https://expa.aiesec.org/opportunities/1298556</v>
      </c>
      <c r="L1319" s="43" t="str">
        <f>IFERROR(__xludf.DUMMYFUNCTION("""COMPUTED_VALUE"""),"GV")</f>
        <v>GV</v>
      </c>
      <c r="M1319" s="43" t="str">
        <f>IFERROR(__xludf.DUMMYFUNCTION("""COMPUTED_VALUE"""),"short")</f>
        <v>short</v>
      </c>
      <c r="N1319" s="45">
        <f>IFERROR(__xludf.DUMMYFUNCTION("""COMPUTED_VALUE"""),45183.0)</f>
        <v>45183</v>
      </c>
      <c r="O1319" s="45">
        <f>IFERROR(__xludf.DUMMYFUNCTION("""COMPUTED_VALUE"""),45495.0)</f>
        <v>45495</v>
      </c>
      <c r="P1319" s="45">
        <f>IFERROR(__xludf.DUMMYFUNCTION("""COMPUTED_VALUE"""),45537.0)</f>
        <v>45537</v>
      </c>
      <c r="Q1319" s="45"/>
      <c r="R1319" s="45"/>
      <c r="S1319" s="43"/>
      <c r="T1319" s="43"/>
      <c r="U1319" s="43" t="str">
        <f>IFERROR(__xludf.DUMMYFUNCTION("""COMPUTED_VALUE"""),"On The Map")</f>
        <v>On The Map</v>
      </c>
      <c r="V1319" s="43" t="str">
        <f>IFERROR(__xludf.DUMMYFUNCTION("""COMPUTED_VALUE"""),"Strathmore University")</f>
        <v>Strathmore University</v>
      </c>
      <c r="W1319" s="43" t="str">
        <f>IFERROR(__xludf.DUMMYFUNCTION("""COMPUTED_VALUE"""),"2019-10-10T11:27:30Z")</f>
        <v>2019-10-10T11:27:30Z</v>
      </c>
      <c r="X1319" s="43"/>
      <c r="Y1319" s="43"/>
      <c r="Z1319" s="43"/>
    </row>
    <row r="1320" hidden="1">
      <c r="A1320" s="43" t="str">
        <f>IFERROR(__xludf.DUMMYFUNCTION("""COMPUTED_VALUE"""),"5321040_1285690")</f>
        <v>5321040_1285690</v>
      </c>
      <c r="B1320" s="43" t="str">
        <f>IFERROR(__xludf.DUMMYFUNCTION("""COMPUTED_VALUE"""),"Daria Lebid")</f>
        <v>Daria Lebid</v>
      </c>
      <c r="C1320" s="43" t="str">
        <f>IFERROR(__xludf.DUMMYFUNCTION("""COMPUTED_VALUE"""),"finished")</f>
        <v>finished</v>
      </c>
      <c r="D1320" s="43" t="str">
        <f>IFERROR(__xludf.DUMMYFUNCTION("""COMPUTED_VALUE"""),"No")</f>
        <v>No</v>
      </c>
      <c r="E1320" s="43" t="str">
        <f>IFERROR(__xludf.DUMMYFUNCTION("""COMPUTED_VALUE"""),"p_eb32e6adccc3da3f8f48b4fa6a1a0792df5f08d4@inbound.aiesec.org")</f>
        <v>p_eb32e6adccc3da3f8f48b4fa6a1a0792df5f08d4@inbound.aiesec.org</v>
      </c>
      <c r="F1320" s="43"/>
      <c r="G1320" s="43" t="str">
        <f>IFERROR(__xludf.DUMMYFUNCTION("""COMPUTED_VALUE"""),"Ukraine")</f>
        <v>Ukraine</v>
      </c>
      <c r="H1320" s="43" t="str">
        <f>IFERROR(__xludf.DUMMYFUNCTION("""COMPUTED_VALUE"""),"KYIV")</f>
        <v>KYIV</v>
      </c>
      <c r="I1320" s="43" t="str">
        <f>IFERROR(__xludf.DUMMYFUNCTION("""COMPUTED_VALUE"""),"Turkey")</f>
        <v>Turkey</v>
      </c>
      <c r="J1320" s="43" t="str">
        <f>IFERROR(__xludf.DUMMYFUNCTION("""COMPUTED_VALUE"""),"ISTANBUL")</f>
        <v>ISTANBUL</v>
      </c>
      <c r="K1320" s="44" t="str">
        <f>IFERROR(__xludf.DUMMYFUNCTION("""COMPUTED_VALUE"""),"https://expa.aiesec.org/opportunities/1285690")</f>
        <v>https://expa.aiesec.org/opportunities/1285690</v>
      </c>
      <c r="L1320" s="43" t="str">
        <f>IFERROR(__xludf.DUMMYFUNCTION("""COMPUTED_VALUE"""),"GV")</f>
        <v>GV</v>
      </c>
      <c r="M1320" s="43" t="str">
        <f>IFERROR(__xludf.DUMMYFUNCTION("""COMPUTED_VALUE"""),"short")</f>
        <v>short</v>
      </c>
      <c r="N1320" s="45">
        <f>IFERROR(__xludf.DUMMYFUNCTION("""COMPUTED_VALUE"""),45183.0)</f>
        <v>45183</v>
      </c>
      <c r="O1320" s="45">
        <f>IFERROR(__xludf.DUMMYFUNCTION("""COMPUTED_VALUE"""),45214.0)</f>
        <v>45214</v>
      </c>
      <c r="P1320" s="45">
        <f>IFERROR(__xludf.DUMMYFUNCTION("""COMPUTED_VALUE"""),45256.0)</f>
        <v>45256</v>
      </c>
      <c r="Q1320" s="45">
        <f>IFERROR(__xludf.DUMMYFUNCTION("""COMPUTED_VALUE"""),45215.0)</f>
        <v>45215</v>
      </c>
      <c r="R1320" s="45">
        <f>IFERROR(__xludf.DUMMYFUNCTION("""COMPUTED_VALUE"""),45256.0)</f>
        <v>45256</v>
      </c>
      <c r="S1320" s="43"/>
      <c r="T1320" s="43"/>
      <c r="U1320" s="43" t="str">
        <f>IFERROR(__xludf.DUMMYFUNCTION("""COMPUTED_VALUE"""),"Global Classroom")</f>
        <v>Global Classroom</v>
      </c>
      <c r="V1320" s="43" t="str">
        <f>IFERROR(__xludf.DUMMYFUNCTION("""COMPUTED_VALUE"""),"-")</f>
        <v>-</v>
      </c>
      <c r="W1320" s="43" t="str">
        <f>IFERROR(__xludf.DUMMYFUNCTION("""COMPUTED_VALUE"""),"2023-09-10T07:49:00Z")</f>
        <v>2023-09-10T07:49:00Z</v>
      </c>
      <c r="X1320" s="43"/>
      <c r="Y1320" s="43"/>
      <c r="Z1320" s="43"/>
    </row>
    <row r="1321" hidden="1">
      <c r="A1321" s="43" t="str">
        <f>IFERROR(__xludf.DUMMYFUNCTION("""COMPUTED_VALUE"""),"5323519_1287966")</f>
        <v>5323519_1287966</v>
      </c>
      <c r="B1321" s="43" t="str">
        <f>IFERROR(__xludf.DUMMYFUNCTION("""COMPUTED_VALUE"""),"asma yasmine rouis")</f>
        <v>asma yasmine rouis</v>
      </c>
      <c r="C1321" s="43" t="str">
        <f>IFERROR(__xludf.DUMMYFUNCTION("""COMPUTED_VALUE"""),"approved")</f>
        <v>approved</v>
      </c>
      <c r="D1321" s="43" t="str">
        <f>IFERROR(__xludf.DUMMYFUNCTION("""COMPUTED_VALUE"""),"No")</f>
        <v>No</v>
      </c>
      <c r="E1321" s="43" t="str">
        <f>IFERROR(__xludf.DUMMYFUNCTION("""COMPUTED_VALUE"""),"p_2f02f51c42d4501a634edf9893e9e39f41f2905e@inbound.aiesec.org")</f>
        <v>p_2f02f51c42d4501a634edf9893e9e39f41f2905e@inbound.aiesec.org</v>
      </c>
      <c r="F1321" s="43">
        <f>IFERROR(__xludf.DUMMYFUNCTION("""COMPUTED_VALUE"""),9.3038874E7)</f>
        <v>93038874</v>
      </c>
      <c r="G1321" s="43" t="str">
        <f>IFERROR(__xludf.DUMMYFUNCTION("""COMPUTED_VALUE"""),"Tunisia")</f>
        <v>Tunisia</v>
      </c>
      <c r="H1321" s="43" t="str">
        <f>IFERROR(__xludf.DUMMYFUNCTION("""COMPUTED_VALUE"""),"Carthage")</f>
        <v>Carthage</v>
      </c>
      <c r="I1321" s="43" t="str">
        <f>IFERROR(__xludf.DUMMYFUNCTION("""COMPUTED_VALUE"""),"Turkey")</f>
        <v>Turkey</v>
      </c>
      <c r="J1321" s="43" t="str">
        <f>IFERROR(__xludf.DUMMYFUNCTION("""COMPUTED_VALUE"""),"ISTANBUL")</f>
        <v>ISTANBUL</v>
      </c>
      <c r="K1321" s="44" t="str">
        <f>IFERROR(__xludf.DUMMYFUNCTION("""COMPUTED_VALUE"""),"https://expa.aiesec.org/opportunities/1287966")</f>
        <v>https://expa.aiesec.org/opportunities/1287966</v>
      </c>
      <c r="L1321" s="43" t="str">
        <f>IFERROR(__xludf.DUMMYFUNCTION("""COMPUTED_VALUE"""),"GV")</f>
        <v>GV</v>
      </c>
      <c r="M1321" s="43" t="str">
        <f>IFERROR(__xludf.DUMMYFUNCTION("""COMPUTED_VALUE"""),"short")</f>
        <v>short</v>
      </c>
      <c r="N1321" s="45">
        <f>IFERROR(__xludf.DUMMYFUNCTION("""COMPUTED_VALUE"""),45183.0)</f>
        <v>45183</v>
      </c>
      <c r="O1321" s="45">
        <f>IFERROR(__xludf.DUMMYFUNCTION("""COMPUTED_VALUE"""),45242.0)</f>
        <v>45242</v>
      </c>
      <c r="P1321" s="45">
        <f>IFERROR(__xludf.DUMMYFUNCTION("""COMPUTED_VALUE"""),45284.0)</f>
        <v>45284</v>
      </c>
      <c r="Q1321" s="45"/>
      <c r="R1321" s="45"/>
      <c r="S1321" s="43"/>
      <c r="T1321" s="43"/>
      <c r="U1321" s="43" t="str">
        <f>IFERROR(__xludf.DUMMYFUNCTION("""COMPUTED_VALUE"""),"Heartbeat")</f>
        <v>Heartbeat</v>
      </c>
      <c r="V1321" s="43" t="str">
        <f>IFERROR(__xludf.DUMMYFUNCTION("""COMPUTED_VALUE"""),"IHEC Carthage")</f>
        <v>IHEC Carthage</v>
      </c>
      <c r="W1321" s="43" t="str">
        <f>IFERROR(__xludf.DUMMYFUNCTION("""COMPUTED_VALUE"""),"2023-09-13T23:40:54Z")</f>
        <v>2023-09-13T23:40:54Z</v>
      </c>
      <c r="X1321" s="43"/>
      <c r="Y1321" s="43"/>
      <c r="Z1321" s="43"/>
    </row>
    <row r="1322" hidden="1">
      <c r="A1322" s="43" t="str">
        <f>IFERROR(__xludf.DUMMYFUNCTION("""COMPUTED_VALUE"""),"5283295_1284081")</f>
        <v>5283295_1284081</v>
      </c>
      <c r="B1322" s="43" t="str">
        <f>IFERROR(__xludf.DUMMYFUNCTION("""COMPUTED_VALUE"""),"Fatima zohra Benmazouza")</f>
        <v>Fatima zohra Benmazouza</v>
      </c>
      <c r="C1322" s="43" t="str">
        <f>IFERROR(__xludf.DUMMYFUNCTION("""COMPUTED_VALUE"""),"finished")</f>
        <v>finished</v>
      </c>
      <c r="D1322" s="43" t="str">
        <f>IFERROR(__xludf.DUMMYFUNCTION("""COMPUTED_VALUE"""),"No")</f>
        <v>No</v>
      </c>
      <c r="E1322" s="43" t="str">
        <f>IFERROR(__xludf.DUMMYFUNCTION("""COMPUTED_VALUE"""),"p_cf57e17e7229c72c26d52275a9fa435ee294fccc@inbound.aiesec.org")</f>
        <v>p_cf57e17e7229c72c26d52275a9fa435ee294fccc@inbound.aiesec.org</v>
      </c>
      <c r="F1322" s="43">
        <f>IFERROR(__xludf.DUMMYFUNCTION("""COMPUTED_VALUE"""),7.99277487E8)</f>
        <v>799277487</v>
      </c>
      <c r="G1322" s="43" t="str">
        <f>IFERROR(__xludf.DUMMYFUNCTION("""COMPUTED_VALUE"""),"Algeria")</f>
        <v>Algeria</v>
      </c>
      <c r="H1322" s="43" t="str">
        <f>IFERROR(__xludf.DUMMYFUNCTION("""COMPUTED_VALUE"""),"Oran")</f>
        <v>Oran</v>
      </c>
      <c r="I1322" s="43" t="str">
        <f>IFERROR(__xludf.DUMMYFUNCTION("""COMPUTED_VALUE"""),"Turkey")</f>
        <v>Turkey</v>
      </c>
      <c r="J1322" s="43" t="str">
        <f>IFERROR(__xludf.DUMMYFUNCTION("""COMPUTED_VALUE"""),"KOCAELI")</f>
        <v>KOCAELI</v>
      </c>
      <c r="K1322" s="44" t="str">
        <f>IFERROR(__xludf.DUMMYFUNCTION("""COMPUTED_VALUE"""),"https://expa.aiesec.org/opportunities/1284081")</f>
        <v>https://expa.aiesec.org/opportunities/1284081</v>
      </c>
      <c r="L1322" s="43" t="str">
        <f>IFERROR(__xludf.DUMMYFUNCTION("""COMPUTED_VALUE"""),"GV")</f>
        <v>GV</v>
      </c>
      <c r="M1322" s="43" t="str">
        <f>IFERROR(__xludf.DUMMYFUNCTION("""COMPUTED_VALUE"""),"short")</f>
        <v>short</v>
      </c>
      <c r="N1322" s="45">
        <f>IFERROR(__xludf.DUMMYFUNCTION("""COMPUTED_VALUE"""),45183.0)</f>
        <v>45183</v>
      </c>
      <c r="O1322" s="45">
        <f>IFERROR(__xludf.DUMMYFUNCTION("""COMPUTED_VALUE"""),45257.0)</f>
        <v>45257</v>
      </c>
      <c r="P1322" s="45">
        <f>IFERROR(__xludf.DUMMYFUNCTION("""COMPUTED_VALUE"""),45299.0)</f>
        <v>45299</v>
      </c>
      <c r="Q1322" s="45">
        <f>IFERROR(__xludf.DUMMYFUNCTION("""COMPUTED_VALUE"""),45258.0)</f>
        <v>45258</v>
      </c>
      <c r="R1322" s="45">
        <f>IFERROR(__xludf.DUMMYFUNCTION("""COMPUTED_VALUE"""),45299.0)</f>
        <v>45299</v>
      </c>
      <c r="S1322" s="43"/>
      <c r="T1322" s="43"/>
      <c r="U1322" s="43" t="str">
        <f>IFERROR(__xludf.DUMMYFUNCTION("""COMPUTED_VALUE"""),"Global Classroom")</f>
        <v>Global Classroom</v>
      </c>
      <c r="V1322" s="43" t="str">
        <f>IFERROR(__xludf.DUMMYFUNCTION("""COMPUTED_VALUE"""),"AIESEC in Oran")</f>
        <v>AIESEC in Oran</v>
      </c>
      <c r="W1322" s="43" t="str">
        <f>IFERROR(__xludf.DUMMYFUNCTION("""COMPUTED_VALUE"""),"2023-07-08T11:07:42Z")</f>
        <v>2023-07-08T11:07:42Z</v>
      </c>
      <c r="X1322" s="43"/>
      <c r="Y1322" s="43"/>
      <c r="Z1322" s="43"/>
    </row>
    <row r="1323" hidden="1">
      <c r="A1323" s="43" t="str">
        <f>IFERROR(__xludf.DUMMYFUNCTION("""COMPUTED_VALUE"""),"5066224_1289502")</f>
        <v>5066224_1289502</v>
      </c>
      <c r="B1323" s="43" t="str">
        <f>IFERROR(__xludf.DUMMYFUNCTION("""COMPUTED_VALUE"""),"Nour el houda Hayaoui")</f>
        <v>Nour el houda Hayaoui</v>
      </c>
      <c r="C1323" s="43" t="str">
        <f>IFERROR(__xludf.DUMMYFUNCTION("""COMPUTED_VALUE"""),"finished")</f>
        <v>finished</v>
      </c>
      <c r="D1323" s="43" t="str">
        <f>IFERROR(__xludf.DUMMYFUNCTION("""COMPUTED_VALUE"""),"No")</f>
        <v>No</v>
      </c>
      <c r="E1323" s="43" t="str">
        <f>IFERROR(__xludf.DUMMYFUNCTION("""COMPUTED_VALUE"""),"p_af4307e7a937edfe01bb8fc60bac2019cf620981@inbound.aiesec.org")</f>
        <v>p_af4307e7a937edfe01bb8fc60bac2019cf620981@inbound.aiesec.org</v>
      </c>
      <c r="F1323" s="43">
        <f>IFERROR(__xludf.DUMMYFUNCTION("""COMPUTED_VALUE"""),5.41816772E8)</f>
        <v>541816772</v>
      </c>
      <c r="G1323" s="43" t="str">
        <f>IFERROR(__xludf.DUMMYFUNCTION("""COMPUTED_VALUE"""),"Algeria")</f>
        <v>Algeria</v>
      </c>
      <c r="H1323" s="43" t="str">
        <f>IFERROR(__xludf.DUMMYFUNCTION("""COMPUTED_VALUE"""),"Tlemcen")</f>
        <v>Tlemcen</v>
      </c>
      <c r="I1323" s="43" t="str">
        <f>IFERROR(__xludf.DUMMYFUNCTION("""COMPUTED_VALUE"""),"Turkey")</f>
        <v>Turkey</v>
      </c>
      <c r="J1323" s="43" t="str">
        <f>IFERROR(__xludf.DUMMYFUNCTION("""COMPUTED_VALUE"""),"BURSA")</f>
        <v>BURSA</v>
      </c>
      <c r="K1323" s="44" t="str">
        <f>IFERROR(__xludf.DUMMYFUNCTION("""COMPUTED_VALUE"""),"https://expa.aiesec.org/opportunities/1289502")</f>
        <v>https://expa.aiesec.org/opportunities/1289502</v>
      </c>
      <c r="L1323" s="43" t="str">
        <f>IFERROR(__xludf.DUMMYFUNCTION("""COMPUTED_VALUE"""),"GV")</f>
        <v>GV</v>
      </c>
      <c r="M1323" s="43" t="str">
        <f>IFERROR(__xludf.DUMMYFUNCTION("""COMPUTED_VALUE"""),"short")</f>
        <v>short</v>
      </c>
      <c r="N1323" s="45">
        <f>IFERROR(__xludf.DUMMYFUNCTION("""COMPUTED_VALUE"""),45183.0)</f>
        <v>45183</v>
      </c>
      <c r="O1323" s="45">
        <f>IFERROR(__xludf.DUMMYFUNCTION("""COMPUTED_VALUE"""),45189.0)</f>
        <v>45189</v>
      </c>
      <c r="P1323" s="45">
        <f>IFERROR(__xludf.DUMMYFUNCTION("""COMPUTED_VALUE"""),45231.0)</f>
        <v>45231</v>
      </c>
      <c r="Q1323" s="45">
        <f>IFERROR(__xludf.DUMMYFUNCTION("""COMPUTED_VALUE"""),45201.0)</f>
        <v>45201</v>
      </c>
      <c r="R1323" s="45">
        <f>IFERROR(__xludf.DUMMYFUNCTION("""COMPUTED_VALUE"""),45243.0)</f>
        <v>45243</v>
      </c>
      <c r="S1323" s="43"/>
      <c r="T1323" s="43"/>
      <c r="U1323" s="43" t="str">
        <f>IFERROR(__xludf.DUMMYFUNCTION("""COMPUTED_VALUE"""),"Youth 4 Impact")</f>
        <v>Youth 4 Impact</v>
      </c>
      <c r="V1323" s="43" t="str">
        <f>IFERROR(__xludf.DUMMYFUNCTION("""COMPUTED_VALUE"""),"AIESEC in Tlemcen")</f>
        <v>AIESEC in Tlemcen</v>
      </c>
      <c r="W1323" s="43" t="str">
        <f>IFERROR(__xludf.DUMMYFUNCTION("""COMPUTED_VALUE"""),"2022-05-30T21:08:59Z")</f>
        <v>2022-05-30T21:08:59Z</v>
      </c>
      <c r="X1323" s="43"/>
      <c r="Y1323" s="43"/>
      <c r="Z1323" s="43"/>
    </row>
    <row r="1324" hidden="1">
      <c r="A1324" s="43" t="str">
        <f>IFERROR(__xludf.DUMMYFUNCTION("""COMPUTED_VALUE"""),"5286092_1279126")</f>
        <v>5286092_1279126</v>
      </c>
      <c r="B1324" s="43" t="str">
        <f>IFERROR(__xludf.DUMMYFUNCTION("""COMPUTED_VALUE"""),"Eya Boughanmi")</f>
        <v>Eya Boughanmi</v>
      </c>
      <c r="C1324" s="43" t="str">
        <f>IFERROR(__xludf.DUMMYFUNCTION("""COMPUTED_VALUE"""),"approved")</f>
        <v>approved</v>
      </c>
      <c r="D1324" s="43" t="str">
        <f>IFERROR(__xludf.DUMMYFUNCTION("""COMPUTED_VALUE"""),"No")</f>
        <v>No</v>
      </c>
      <c r="E1324" s="43" t="str">
        <f>IFERROR(__xludf.DUMMYFUNCTION("""COMPUTED_VALUE"""),"p_1d432c69083c332214cb601e40102f72b9d28033@inbound.aiesec.org")</f>
        <v>p_1d432c69083c332214cb601e40102f72b9d28033@inbound.aiesec.org</v>
      </c>
      <c r="F1324" s="43"/>
      <c r="G1324" s="43" t="str">
        <f>IFERROR(__xludf.DUMMYFUNCTION("""COMPUTED_VALUE"""),"Tunisia")</f>
        <v>Tunisia</v>
      </c>
      <c r="H1324" s="43" t="str">
        <f>IFERROR(__xludf.DUMMYFUNCTION("""COMPUTED_VALUE"""),"Carthage")</f>
        <v>Carthage</v>
      </c>
      <c r="I1324" s="43" t="str">
        <f>IFERROR(__xludf.DUMMYFUNCTION("""COMPUTED_VALUE"""),"Turkey")</f>
        <v>Turkey</v>
      </c>
      <c r="J1324" s="43" t="str">
        <f>IFERROR(__xludf.DUMMYFUNCTION("""COMPUTED_VALUE"""),"KOCAELI")</f>
        <v>KOCAELI</v>
      </c>
      <c r="K1324" s="44" t="str">
        <f>IFERROR(__xludf.DUMMYFUNCTION("""COMPUTED_VALUE"""),"https://expa.aiesec.org/opportunities/1279126")</f>
        <v>https://expa.aiesec.org/opportunities/1279126</v>
      </c>
      <c r="L1324" s="43" t="str">
        <f>IFERROR(__xludf.DUMMYFUNCTION("""COMPUTED_VALUE"""),"GV")</f>
        <v>GV</v>
      </c>
      <c r="M1324" s="43" t="str">
        <f>IFERROR(__xludf.DUMMYFUNCTION("""COMPUTED_VALUE"""),"short")</f>
        <v>short</v>
      </c>
      <c r="N1324" s="45">
        <f>IFERROR(__xludf.DUMMYFUNCTION("""COMPUTED_VALUE"""),45184.0)</f>
        <v>45184</v>
      </c>
      <c r="O1324" s="45">
        <f>IFERROR(__xludf.DUMMYFUNCTION("""COMPUTED_VALUE"""),45488.0)</f>
        <v>45488</v>
      </c>
      <c r="P1324" s="45">
        <f>IFERROR(__xludf.DUMMYFUNCTION("""COMPUTED_VALUE"""),45530.0)</f>
        <v>45530</v>
      </c>
      <c r="Q1324" s="45"/>
      <c r="R1324" s="45"/>
      <c r="S1324" s="43"/>
      <c r="T1324" s="43"/>
      <c r="U1324" s="43" t="str">
        <f>IFERROR(__xludf.DUMMYFUNCTION("""COMPUTED_VALUE"""),"Global Classroom")</f>
        <v>Global Classroom</v>
      </c>
      <c r="V1324" s="43" t="str">
        <f>IFERROR(__xludf.DUMMYFUNCTION("""COMPUTED_VALUE"""),"-")</f>
        <v>-</v>
      </c>
      <c r="W1324" s="43" t="str">
        <f>IFERROR(__xludf.DUMMYFUNCTION("""COMPUTED_VALUE"""),"2023-07-17T13:06:24Z")</f>
        <v>2023-07-17T13:06:24Z</v>
      </c>
      <c r="X1324" s="43"/>
      <c r="Y1324" s="43"/>
      <c r="Z1324" s="43"/>
    </row>
    <row r="1325" hidden="1">
      <c r="A1325" s="43" t="str">
        <f>IFERROR(__xludf.DUMMYFUNCTION("""COMPUTED_VALUE"""),"5324418_1279126")</f>
        <v>5324418_1279126</v>
      </c>
      <c r="B1325" s="43" t="str">
        <f>IFERROR(__xludf.DUMMYFUNCTION("""COMPUTED_VALUE"""),"Jawher Abida")</f>
        <v>Jawher Abida</v>
      </c>
      <c r="C1325" s="43" t="str">
        <f>IFERROR(__xludf.DUMMYFUNCTION("""COMPUTED_VALUE"""),"approved")</f>
        <v>approved</v>
      </c>
      <c r="D1325" s="43" t="str">
        <f>IFERROR(__xludf.DUMMYFUNCTION("""COMPUTED_VALUE"""),"No")</f>
        <v>No</v>
      </c>
      <c r="E1325" s="43" t="str">
        <f>IFERROR(__xludf.DUMMYFUNCTION("""COMPUTED_VALUE"""),"p_234bfe35c634bbb94c0045ce8a72926a32aa64c6@inbound.aiesec.org")</f>
        <v>p_234bfe35c634bbb94c0045ce8a72926a32aa64c6@inbound.aiesec.org</v>
      </c>
      <c r="F1325" s="43">
        <f>IFERROR(__xludf.DUMMYFUNCTION("""COMPUTED_VALUE"""),9.5830383E7)</f>
        <v>95830383</v>
      </c>
      <c r="G1325" s="43" t="str">
        <f>IFERROR(__xludf.DUMMYFUNCTION("""COMPUTED_VALUE"""),"Tunisia")</f>
        <v>Tunisia</v>
      </c>
      <c r="H1325" s="43" t="str">
        <f>IFERROR(__xludf.DUMMYFUNCTION("""COMPUTED_VALUE"""),"Carthage")</f>
        <v>Carthage</v>
      </c>
      <c r="I1325" s="43" t="str">
        <f>IFERROR(__xludf.DUMMYFUNCTION("""COMPUTED_VALUE"""),"Turkey")</f>
        <v>Turkey</v>
      </c>
      <c r="J1325" s="43" t="str">
        <f>IFERROR(__xludf.DUMMYFUNCTION("""COMPUTED_VALUE"""),"KOCAELI")</f>
        <v>KOCAELI</v>
      </c>
      <c r="K1325" s="44" t="str">
        <f>IFERROR(__xludf.DUMMYFUNCTION("""COMPUTED_VALUE"""),"https://expa.aiesec.org/opportunities/1279126")</f>
        <v>https://expa.aiesec.org/opportunities/1279126</v>
      </c>
      <c r="L1325" s="43" t="str">
        <f>IFERROR(__xludf.DUMMYFUNCTION("""COMPUTED_VALUE"""),"GV")</f>
        <v>GV</v>
      </c>
      <c r="M1325" s="43" t="str">
        <f>IFERROR(__xludf.DUMMYFUNCTION("""COMPUTED_VALUE"""),"short")</f>
        <v>short</v>
      </c>
      <c r="N1325" s="45">
        <f>IFERROR(__xludf.DUMMYFUNCTION("""COMPUTED_VALUE"""),45184.0)</f>
        <v>45184</v>
      </c>
      <c r="O1325" s="45">
        <f>IFERROR(__xludf.DUMMYFUNCTION("""COMPUTED_VALUE"""),45488.0)</f>
        <v>45488</v>
      </c>
      <c r="P1325" s="45">
        <f>IFERROR(__xludf.DUMMYFUNCTION("""COMPUTED_VALUE"""),45530.0)</f>
        <v>45530</v>
      </c>
      <c r="Q1325" s="45"/>
      <c r="R1325" s="45"/>
      <c r="S1325" s="43"/>
      <c r="T1325" s="43"/>
      <c r="U1325" s="43" t="str">
        <f>IFERROR(__xludf.DUMMYFUNCTION("""COMPUTED_VALUE"""),"Global Classroom")</f>
        <v>Global Classroom</v>
      </c>
      <c r="V1325" s="43" t="str">
        <f>IFERROR(__xludf.DUMMYFUNCTION("""COMPUTED_VALUE"""),"MSB")</f>
        <v>MSB</v>
      </c>
      <c r="W1325" s="43" t="str">
        <f>IFERROR(__xludf.DUMMYFUNCTION("""COMPUTED_VALUE"""),"2023-09-15T08:25:39Z")</f>
        <v>2023-09-15T08:25:39Z</v>
      </c>
      <c r="X1325" s="43"/>
      <c r="Y1325" s="43"/>
      <c r="Z1325" s="43"/>
    </row>
    <row r="1326" hidden="1">
      <c r="A1326" s="43" t="str">
        <f>IFERROR(__xludf.DUMMYFUNCTION("""COMPUTED_VALUE"""),"4707117_1279126")</f>
        <v>4707117_1279126</v>
      </c>
      <c r="B1326" s="43" t="str">
        <f>IFERROR(__xludf.DUMMYFUNCTION("""COMPUTED_VALUE"""),"Mainá Martins")</f>
        <v>Mainá Martins</v>
      </c>
      <c r="C1326" s="43" t="str">
        <f>IFERROR(__xludf.DUMMYFUNCTION("""COMPUTED_VALUE"""),"approved")</f>
        <v>approved</v>
      </c>
      <c r="D1326" s="43" t="str">
        <f>IFERROR(__xludf.DUMMYFUNCTION("""COMPUTED_VALUE"""),"No")</f>
        <v>No</v>
      </c>
      <c r="E1326" s="43" t="str">
        <f>IFERROR(__xludf.DUMMYFUNCTION("""COMPUTED_VALUE"""),"p_c512a5383aae12a43febaf0ac281b4dfc802c2bd@inbound.aiesec.org")</f>
        <v>p_c512a5383aae12a43febaf0ac281b4dfc802c2bd@inbound.aiesec.org</v>
      </c>
      <c r="F1326" s="43">
        <f>IFERROR(__xludf.DUMMYFUNCTION("""COMPUTED_VALUE"""),7.193600311E9)</f>
        <v>7193600311</v>
      </c>
      <c r="G1326" s="43" t="str">
        <f>IFERROR(__xludf.DUMMYFUNCTION("""COMPUTED_VALUE"""),"Brazil")</f>
        <v>Brazil</v>
      </c>
      <c r="H1326" s="43" t="str">
        <f>IFERROR(__xludf.DUMMYFUNCTION("""COMPUTED_VALUE"""),"SALVADOR")</f>
        <v>SALVADOR</v>
      </c>
      <c r="I1326" s="43" t="str">
        <f>IFERROR(__xludf.DUMMYFUNCTION("""COMPUTED_VALUE"""),"Turkey")</f>
        <v>Turkey</v>
      </c>
      <c r="J1326" s="43" t="str">
        <f>IFERROR(__xludf.DUMMYFUNCTION("""COMPUTED_VALUE"""),"KOCAELI")</f>
        <v>KOCAELI</v>
      </c>
      <c r="K1326" s="44" t="str">
        <f>IFERROR(__xludf.DUMMYFUNCTION("""COMPUTED_VALUE"""),"https://expa.aiesec.org/opportunities/1279126")</f>
        <v>https://expa.aiesec.org/opportunities/1279126</v>
      </c>
      <c r="L1326" s="43" t="str">
        <f>IFERROR(__xludf.DUMMYFUNCTION("""COMPUTED_VALUE"""),"GV")</f>
        <v>GV</v>
      </c>
      <c r="M1326" s="43" t="str">
        <f>IFERROR(__xludf.DUMMYFUNCTION("""COMPUTED_VALUE"""),"short")</f>
        <v>short</v>
      </c>
      <c r="N1326" s="45">
        <f>IFERROR(__xludf.DUMMYFUNCTION("""COMPUTED_VALUE"""),45184.0)</f>
        <v>45184</v>
      </c>
      <c r="O1326" s="45">
        <f>IFERROR(__xludf.DUMMYFUNCTION("""COMPUTED_VALUE"""),45488.0)</f>
        <v>45488</v>
      </c>
      <c r="P1326" s="45">
        <f>IFERROR(__xludf.DUMMYFUNCTION("""COMPUTED_VALUE"""),45530.0)</f>
        <v>45530</v>
      </c>
      <c r="Q1326" s="45"/>
      <c r="R1326" s="45"/>
      <c r="S1326" s="43"/>
      <c r="T1326" s="43"/>
      <c r="U1326" s="43" t="str">
        <f>IFERROR(__xludf.DUMMYFUNCTION("""COMPUTED_VALUE"""),"Global Classroom")</f>
        <v>Global Classroom</v>
      </c>
      <c r="V1326" s="43" t="str">
        <f>IFERROR(__xludf.DUMMYFUNCTION("""COMPUTED_VALUE"""),"Salvador")</f>
        <v>Salvador</v>
      </c>
      <c r="W1326" s="43" t="str">
        <f>IFERROR(__xludf.DUMMYFUNCTION("""COMPUTED_VALUE"""),"2021-08-08T15:26:31Z")</f>
        <v>2021-08-08T15:26:31Z</v>
      </c>
      <c r="X1326" s="43"/>
      <c r="Y1326" s="43"/>
      <c r="Z1326" s="43"/>
    </row>
    <row r="1327" hidden="1">
      <c r="A1327" s="43" t="str">
        <f>IFERROR(__xludf.DUMMYFUNCTION("""COMPUTED_VALUE"""),"2505771_1297990")</f>
        <v>2505771_1297990</v>
      </c>
      <c r="B1327" s="43" t="str">
        <f>IFERROR(__xludf.DUMMYFUNCTION("""COMPUTED_VALUE"""),"Sami Mahmood")</f>
        <v>Sami Mahmood</v>
      </c>
      <c r="C1327" s="43" t="str">
        <f>IFERROR(__xludf.DUMMYFUNCTION("""COMPUTED_VALUE"""),"approved")</f>
        <v>approved</v>
      </c>
      <c r="D1327" s="43" t="str">
        <f>IFERROR(__xludf.DUMMYFUNCTION("""COMPUTED_VALUE"""),"No")</f>
        <v>No</v>
      </c>
      <c r="E1327" s="43" t="str">
        <f>IFERROR(__xludf.DUMMYFUNCTION("""COMPUTED_VALUE"""),"p_5b17ee0f002d12b737c019cb0bf836771bfa92e8@inbound.aiesec.org")</f>
        <v>p_5b17ee0f002d12b737c019cb0bf836771bfa92e8@inbound.aiesec.org</v>
      </c>
      <c r="F1327" s="43"/>
      <c r="G1327" s="43" t="str">
        <f>IFERROR(__xludf.DUMMYFUNCTION("""COMPUTED_VALUE"""),"Pakistan")</f>
        <v>Pakistan</v>
      </c>
      <c r="H1327" s="43" t="str">
        <f>IFERROR(__xludf.DUMMYFUNCTION("""COMPUTED_VALUE"""),"Lahore - Pak")</f>
        <v>Lahore - Pak</v>
      </c>
      <c r="I1327" s="43" t="str">
        <f>IFERROR(__xludf.DUMMYFUNCTION("""COMPUTED_VALUE"""),"Turkey")</f>
        <v>Turkey</v>
      </c>
      <c r="J1327" s="43" t="str">
        <f>IFERROR(__xludf.DUMMYFUNCTION("""COMPUTED_VALUE"""),"İZMİR")</f>
        <v>İZMİR</v>
      </c>
      <c r="K1327" s="44" t="str">
        <f>IFERROR(__xludf.DUMMYFUNCTION("""COMPUTED_VALUE"""),"https://expa.aiesec.org/opportunities/1297990")</f>
        <v>https://expa.aiesec.org/opportunities/1297990</v>
      </c>
      <c r="L1327" s="43" t="str">
        <f>IFERROR(__xludf.DUMMYFUNCTION("""COMPUTED_VALUE"""),"GV")</f>
        <v>GV</v>
      </c>
      <c r="M1327" s="43" t="str">
        <f>IFERROR(__xludf.DUMMYFUNCTION("""COMPUTED_VALUE"""),"short")</f>
        <v>short</v>
      </c>
      <c r="N1327" s="45">
        <f>IFERROR(__xludf.DUMMYFUNCTION("""COMPUTED_VALUE"""),45184.0)</f>
        <v>45184</v>
      </c>
      <c r="O1327" s="45">
        <f>IFERROR(__xludf.DUMMYFUNCTION("""COMPUTED_VALUE"""),45256.0)</f>
        <v>45256</v>
      </c>
      <c r="P1327" s="45">
        <f>IFERROR(__xludf.DUMMYFUNCTION("""COMPUTED_VALUE"""),45298.0)</f>
        <v>45298</v>
      </c>
      <c r="Q1327" s="45"/>
      <c r="R1327" s="45"/>
      <c r="S1327" s="43"/>
      <c r="T1327" s="43"/>
      <c r="U1327" s="43" t="str">
        <f>IFERROR(__xludf.DUMMYFUNCTION("""COMPUTED_VALUE"""),"Fingerprint")</f>
        <v>Fingerprint</v>
      </c>
      <c r="V1327" s="43" t="str">
        <f>IFERROR(__xludf.DUMMYFUNCTION("""COMPUTED_VALUE"""),"-")</f>
        <v>-</v>
      </c>
      <c r="W1327" s="43" t="str">
        <f>IFERROR(__xludf.DUMMYFUNCTION("""COMPUTED_VALUE"""),"2018-08-25T10:24:32Z")</f>
        <v>2018-08-25T10:24:32Z</v>
      </c>
      <c r="X1327" s="43"/>
      <c r="Y1327" s="43"/>
      <c r="Z1327" s="43"/>
    </row>
    <row r="1328" hidden="1">
      <c r="A1328" s="43" t="str">
        <f>IFERROR(__xludf.DUMMYFUNCTION("""COMPUTED_VALUE"""),"5167917_1295893")</f>
        <v>5167917_1295893</v>
      </c>
      <c r="B1328" s="43" t="str">
        <f>IFERROR(__xludf.DUMMYFUNCTION("""COMPUTED_VALUE"""),"Dawn Kuttaiah")</f>
        <v>Dawn Kuttaiah</v>
      </c>
      <c r="C1328" s="43" t="str">
        <f>IFERROR(__xludf.DUMMYFUNCTION("""COMPUTED_VALUE"""),"approved")</f>
        <v>approved</v>
      </c>
      <c r="D1328" s="43" t="str">
        <f>IFERROR(__xludf.DUMMYFUNCTION("""COMPUTED_VALUE"""),"No")</f>
        <v>No</v>
      </c>
      <c r="E1328" s="43" t="str">
        <f>IFERROR(__xludf.DUMMYFUNCTION("""COMPUTED_VALUE"""),"p_fe84a19962221a5334d54fbef846639ad4223987@inbound.aiesec.org")</f>
        <v>p_fe84a19962221a5334d54fbef846639ad4223987@inbound.aiesec.org</v>
      </c>
      <c r="F1328" s="43">
        <f>IFERROR(__xludf.DUMMYFUNCTION("""COMPUTED_VALUE"""),8.762430199E9)</f>
        <v>8762430199</v>
      </c>
      <c r="G1328" s="43" t="str">
        <f>IFERROR(__xludf.DUMMYFUNCTION("""COMPUTED_VALUE"""),"India")</f>
        <v>India</v>
      </c>
      <c r="H1328" s="43" t="str">
        <f>IFERROR(__xludf.DUMMYFUNCTION("""COMPUTED_VALUE"""),"Bengaluru")</f>
        <v>Bengaluru</v>
      </c>
      <c r="I1328" s="43" t="str">
        <f>IFERROR(__xludf.DUMMYFUNCTION("""COMPUTED_VALUE"""),"Turkey")</f>
        <v>Turkey</v>
      </c>
      <c r="J1328" s="43" t="str">
        <f>IFERROR(__xludf.DUMMYFUNCTION("""COMPUTED_VALUE"""),"ADANA")</f>
        <v>ADANA</v>
      </c>
      <c r="K1328" s="44" t="str">
        <f>IFERROR(__xludf.DUMMYFUNCTION("""COMPUTED_VALUE"""),"https://expa.aiesec.org/opportunities/1295893")</f>
        <v>https://expa.aiesec.org/opportunities/1295893</v>
      </c>
      <c r="L1328" s="43" t="str">
        <f>IFERROR(__xludf.DUMMYFUNCTION("""COMPUTED_VALUE"""),"GV")</f>
        <v>GV</v>
      </c>
      <c r="M1328" s="43" t="str">
        <f>IFERROR(__xludf.DUMMYFUNCTION("""COMPUTED_VALUE"""),"short")</f>
        <v>short</v>
      </c>
      <c r="N1328" s="45">
        <f>IFERROR(__xludf.DUMMYFUNCTION("""COMPUTED_VALUE"""),45184.0)</f>
        <v>45184</v>
      </c>
      <c r="O1328" s="45">
        <f>IFERROR(__xludf.DUMMYFUNCTION("""COMPUTED_VALUE"""),45362.0)</f>
        <v>45362</v>
      </c>
      <c r="P1328" s="45">
        <f>IFERROR(__xludf.DUMMYFUNCTION("""COMPUTED_VALUE"""),45408.0)</f>
        <v>45408</v>
      </c>
      <c r="Q1328" s="45"/>
      <c r="R1328" s="45"/>
      <c r="S1328" s="43"/>
      <c r="T1328" s="43"/>
      <c r="U1328" s="43" t="str">
        <f>IFERROR(__xludf.DUMMYFUNCTION("""COMPUTED_VALUE"""),"Global Classroom")</f>
        <v>Global Classroom</v>
      </c>
      <c r="V1328" s="43" t="str">
        <f>IFERROR(__xludf.DUMMYFUNCTION("""COMPUTED_VALUE"""),"Bangalore")</f>
        <v>Bangalore</v>
      </c>
      <c r="W1328" s="43" t="str">
        <f>IFERROR(__xludf.DUMMYFUNCTION("""COMPUTED_VALUE"""),"2022-12-19T14:08:01Z")</f>
        <v>2022-12-19T14:08:01Z</v>
      </c>
      <c r="X1328" s="43"/>
      <c r="Y1328" s="43"/>
      <c r="Z1328" s="43"/>
    </row>
    <row r="1329" hidden="1">
      <c r="A1329" s="43" t="str">
        <f>IFERROR(__xludf.DUMMYFUNCTION("""COMPUTED_VALUE"""),"3828170_1295893")</f>
        <v>3828170_1295893</v>
      </c>
      <c r="B1329" s="43" t="str">
        <f>IFERROR(__xludf.DUMMYFUNCTION("""COMPUTED_VALUE"""),"Stacey Giselle Coutinho")</f>
        <v>Stacey Giselle Coutinho</v>
      </c>
      <c r="C1329" s="43" t="str">
        <f>IFERROR(__xludf.DUMMYFUNCTION("""COMPUTED_VALUE"""),"approved")</f>
        <v>approved</v>
      </c>
      <c r="D1329" s="43" t="str">
        <f>IFERROR(__xludf.DUMMYFUNCTION("""COMPUTED_VALUE"""),"No")</f>
        <v>No</v>
      </c>
      <c r="E1329" s="43" t="str">
        <f>IFERROR(__xludf.DUMMYFUNCTION("""COMPUTED_VALUE"""),"p_7782674f4e7af9129b9f22b1c7e2c85f029d8e20@inbound.aiesec.org")</f>
        <v>p_7782674f4e7af9129b9f22b1c7e2c85f029d8e20@inbound.aiesec.org</v>
      </c>
      <c r="F1329" s="43">
        <f>IFERROR(__xludf.DUMMYFUNCTION("""COMPUTED_VALUE"""),9.742067693E9)</f>
        <v>9742067693</v>
      </c>
      <c r="G1329" s="43" t="str">
        <f>IFERROR(__xludf.DUMMYFUNCTION("""COMPUTED_VALUE"""),"India")</f>
        <v>India</v>
      </c>
      <c r="H1329" s="43" t="str">
        <f>IFERROR(__xludf.DUMMYFUNCTION("""COMPUTED_VALUE"""),"Bengaluru")</f>
        <v>Bengaluru</v>
      </c>
      <c r="I1329" s="43" t="str">
        <f>IFERROR(__xludf.DUMMYFUNCTION("""COMPUTED_VALUE"""),"Turkey")</f>
        <v>Turkey</v>
      </c>
      <c r="J1329" s="43" t="str">
        <f>IFERROR(__xludf.DUMMYFUNCTION("""COMPUTED_VALUE"""),"ADANA")</f>
        <v>ADANA</v>
      </c>
      <c r="K1329" s="44" t="str">
        <f>IFERROR(__xludf.DUMMYFUNCTION("""COMPUTED_VALUE"""),"https://expa.aiesec.org/opportunities/1295893")</f>
        <v>https://expa.aiesec.org/opportunities/1295893</v>
      </c>
      <c r="L1329" s="43" t="str">
        <f>IFERROR(__xludf.DUMMYFUNCTION("""COMPUTED_VALUE"""),"GV")</f>
        <v>GV</v>
      </c>
      <c r="M1329" s="43" t="str">
        <f>IFERROR(__xludf.DUMMYFUNCTION("""COMPUTED_VALUE"""),"short")</f>
        <v>short</v>
      </c>
      <c r="N1329" s="45">
        <f>IFERROR(__xludf.DUMMYFUNCTION("""COMPUTED_VALUE"""),45184.0)</f>
        <v>45184</v>
      </c>
      <c r="O1329" s="45">
        <f>IFERROR(__xludf.DUMMYFUNCTION("""COMPUTED_VALUE"""),45362.0)</f>
        <v>45362</v>
      </c>
      <c r="P1329" s="45">
        <f>IFERROR(__xludf.DUMMYFUNCTION("""COMPUTED_VALUE"""),45408.0)</f>
        <v>45408</v>
      </c>
      <c r="Q1329" s="45"/>
      <c r="R1329" s="45"/>
      <c r="S1329" s="43"/>
      <c r="T1329" s="43"/>
      <c r="U1329" s="43" t="str">
        <f>IFERROR(__xludf.DUMMYFUNCTION("""COMPUTED_VALUE"""),"Global Classroom")</f>
        <v>Global Classroom</v>
      </c>
      <c r="V1329" s="43" t="str">
        <f>IFERROR(__xludf.DUMMYFUNCTION("""COMPUTED_VALUE"""),"Christ University (Main Campus), Bangalore")</f>
        <v>Christ University (Main Campus), Bangalore</v>
      </c>
      <c r="W1329" s="43" t="str">
        <f>IFERROR(__xludf.DUMMYFUNCTION("""COMPUTED_VALUE"""),"2019-09-12T10:34:40Z")</f>
        <v>2019-09-12T10:34:40Z</v>
      </c>
      <c r="X1329" s="43"/>
      <c r="Y1329" s="43"/>
      <c r="Z1329" s="43"/>
    </row>
    <row r="1330" hidden="1">
      <c r="A1330" s="43" t="str">
        <f>IFERROR(__xludf.DUMMYFUNCTION("""COMPUTED_VALUE"""),"5318590_1295893")</f>
        <v>5318590_1295893</v>
      </c>
      <c r="B1330" s="43" t="str">
        <f>IFERROR(__xludf.DUMMYFUNCTION("""COMPUTED_VALUE"""),"Sofiia Martyshchuk")</f>
        <v>Sofiia Martyshchuk</v>
      </c>
      <c r="C1330" s="43" t="str">
        <f>IFERROR(__xludf.DUMMYFUNCTION("""COMPUTED_VALUE"""),"approved")</f>
        <v>approved</v>
      </c>
      <c r="D1330" s="43" t="str">
        <f>IFERROR(__xludf.DUMMYFUNCTION("""COMPUTED_VALUE"""),"No")</f>
        <v>No</v>
      </c>
      <c r="E1330" s="43" t="str">
        <f>IFERROR(__xludf.DUMMYFUNCTION("""COMPUTED_VALUE"""),"p_cd2f1f6a34a38ad128d6b45bbabd5d1428e80be3@inbound.aiesec.org")</f>
        <v>p_cd2f1f6a34a38ad128d6b45bbabd5d1428e80be3@inbound.aiesec.org</v>
      </c>
      <c r="F1330" s="43">
        <f>IFERROR(__xludf.DUMMYFUNCTION("""COMPUTED_VALUE"""),9.81156952E8)</f>
        <v>981156952</v>
      </c>
      <c r="G1330" s="43" t="str">
        <f>IFERROR(__xludf.DUMMYFUNCTION("""COMPUTED_VALUE"""),"Ukraine")</f>
        <v>Ukraine</v>
      </c>
      <c r="H1330" s="43" t="str">
        <f>IFERROR(__xludf.DUMMYFUNCTION("""COMPUTED_VALUE"""),"IVANO-FRANKIVSK")</f>
        <v>IVANO-FRANKIVSK</v>
      </c>
      <c r="I1330" s="43" t="str">
        <f>IFERROR(__xludf.DUMMYFUNCTION("""COMPUTED_VALUE"""),"Turkey")</f>
        <v>Turkey</v>
      </c>
      <c r="J1330" s="43" t="str">
        <f>IFERROR(__xludf.DUMMYFUNCTION("""COMPUTED_VALUE"""),"ADANA")</f>
        <v>ADANA</v>
      </c>
      <c r="K1330" s="44" t="str">
        <f>IFERROR(__xludf.DUMMYFUNCTION("""COMPUTED_VALUE"""),"https://expa.aiesec.org/opportunities/1295893")</f>
        <v>https://expa.aiesec.org/opportunities/1295893</v>
      </c>
      <c r="L1330" s="43" t="str">
        <f>IFERROR(__xludf.DUMMYFUNCTION("""COMPUTED_VALUE"""),"GV")</f>
        <v>GV</v>
      </c>
      <c r="M1330" s="43" t="str">
        <f>IFERROR(__xludf.DUMMYFUNCTION("""COMPUTED_VALUE"""),"short")</f>
        <v>short</v>
      </c>
      <c r="N1330" s="45">
        <f>IFERROR(__xludf.DUMMYFUNCTION("""COMPUTED_VALUE"""),45184.0)</f>
        <v>45184</v>
      </c>
      <c r="O1330" s="45">
        <f>IFERROR(__xludf.DUMMYFUNCTION("""COMPUTED_VALUE"""),45327.0)</f>
        <v>45327</v>
      </c>
      <c r="P1330" s="45">
        <f>IFERROR(__xludf.DUMMYFUNCTION("""COMPUTED_VALUE"""),45369.0)</f>
        <v>45369</v>
      </c>
      <c r="Q1330" s="45"/>
      <c r="R1330" s="45"/>
      <c r="S1330" s="43"/>
      <c r="T1330" s="43"/>
      <c r="U1330" s="43" t="str">
        <f>IFERROR(__xludf.DUMMYFUNCTION("""COMPUTED_VALUE"""),"Global Classroom")</f>
        <v>Global Classroom</v>
      </c>
      <c r="V1330" s="43" t="str">
        <f>IFERROR(__xludf.DUMMYFUNCTION("""COMPUTED_VALUE"""),"Ivano-Frankivsk")</f>
        <v>Ivano-Frankivsk</v>
      </c>
      <c r="W1330" s="43" t="str">
        <f>IFERROR(__xludf.DUMMYFUNCTION("""COMPUTED_VALUE"""),"2023-09-05T14:17:50Z")</f>
        <v>2023-09-05T14:17:50Z</v>
      </c>
      <c r="X1330" s="43"/>
      <c r="Y1330" s="43"/>
      <c r="Z1330" s="43"/>
    </row>
    <row r="1331" hidden="1">
      <c r="A1331" s="43" t="str">
        <f>IFERROR(__xludf.DUMMYFUNCTION("""COMPUTED_VALUE"""),"5324834_1284476")</f>
        <v>5324834_1284476</v>
      </c>
      <c r="B1331" s="43" t="str">
        <f>IFERROR(__xludf.DUMMYFUNCTION("""COMPUTED_VALUE"""),"Abdelrhman Salh")</f>
        <v>Abdelrhman Salh</v>
      </c>
      <c r="C1331" s="43" t="str">
        <f>IFERROR(__xludf.DUMMYFUNCTION("""COMPUTED_VALUE"""),"approved")</f>
        <v>approved</v>
      </c>
      <c r="D1331" s="43" t="str">
        <f>IFERROR(__xludf.DUMMYFUNCTION("""COMPUTED_VALUE"""),"No")</f>
        <v>No</v>
      </c>
      <c r="E1331" s="43" t="str">
        <f>IFERROR(__xludf.DUMMYFUNCTION("""COMPUTED_VALUE"""),"p_835433d011151f37d77baed10995aaed5b47a965@inbound.aiesec.org")</f>
        <v>p_835433d011151f37d77baed10995aaed5b47a965@inbound.aiesec.org</v>
      </c>
      <c r="F1331" s="43">
        <f>IFERROR(__xludf.DUMMYFUNCTION("""COMPUTED_VALUE"""),1.128461329E9)</f>
        <v>1128461329</v>
      </c>
      <c r="G1331" s="43" t="str">
        <f>IFERROR(__xludf.DUMMYFUNCTION("""COMPUTED_VALUE"""),"Egypt")</f>
        <v>Egypt</v>
      </c>
      <c r="H1331" s="43" t="str">
        <f>IFERROR(__xludf.DUMMYFUNCTION("""COMPUTED_VALUE"""),"Suez")</f>
        <v>Suez</v>
      </c>
      <c r="I1331" s="43" t="str">
        <f>IFERROR(__xludf.DUMMYFUNCTION("""COMPUTED_VALUE"""),"Turkey")</f>
        <v>Turkey</v>
      </c>
      <c r="J1331" s="43" t="str">
        <f>IFERROR(__xludf.DUMMYFUNCTION("""COMPUTED_VALUE"""),"ADANA")</f>
        <v>ADANA</v>
      </c>
      <c r="K1331" s="44" t="str">
        <f>IFERROR(__xludf.DUMMYFUNCTION("""COMPUTED_VALUE"""),"https://expa.aiesec.org/opportunities/1284476")</f>
        <v>https://expa.aiesec.org/opportunities/1284476</v>
      </c>
      <c r="L1331" s="43" t="str">
        <f>IFERROR(__xludf.DUMMYFUNCTION("""COMPUTED_VALUE"""),"GV")</f>
        <v>GV</v>
      </c>
      <c r="M1331" s="43" t="str">
        <f>IFERROR(__xludf.DUMMYFUNCTION("""COMPUTED_VALUE"""),"short")</f>
        <v>short</v>
      </c>
      <c r="N1331" s="45">
        <f>IFERROR(__xludf.DUMMYFUNCTION("""COMPUTED_VALUE"""),45184.0)</f>
        <v>45184</v>
      </c>
      <c r="O1331" s="45">
        <f>IFERROR(__xludf.DUMMYFUNCTION("""COMPUTED_VALUE"""),45264.0)</f>
        <v>45264</v>
      </c>
      <c r="P1331" s="45">
        <f>IFERROR(__xludf.DUMMYFUNCTION("""COMPUTED_VALUE"""),45310.0)</f>
        <v>45310</v>
      </c>
      <c r="Q1331" s="45"/>
      <c r="R1331" s="45"/>
      <c r="S1331" s="43"/>
      <c r="T1331" s="43"/>
      <c r="U1331" s="43" t="str">
        <f>IFERROR(__xludf.DUMMYFUNCTION("""COMPUTED_VALUE"""),"Global Classroom")</f>
        <v>Global Classroom</v>
      </c>
      <c r="V1331" s="43" t="str">
        <f>IFERROR(__xludf.DUMMYFUNCTION("""COMPUTED_VALUE"""),"Suez Canal University")</f>
        <v>Suez Canal University</v>
      </c>
      <c r="W1331" s="43" t="str">
        <f>IFERROR(__xludf.DUMMYFUNCTION("""COMPUTED_VALUE"""),"2023-09-15T16:38:19Z")</f>
        <v>2023-09-15T16:38:19Z</v>
      </c>
      <c r="X1331" s="43"/>
      <c r="Y1331" s="43"/>
      <c r="Z1331" s="43"/>
    </row>
    <row r="1332" hidden="1">
      <c r="A1332" s="43" t="str">
        <f>IFERROR(__xludf.DUMMYFUNCTION("""COMPUTED_VALUE"""),"5292641_1279126")</f>
        <v>5292641_1279126</v>
      </c>
      <c r="B1332" s="43" t="str">
        <f>IFERROR(__xludf.DUMMYFUNCTION("""COMPUTED_VALUE"""),"Mariem Labib")</f>
        <v>Mariem Labib</v>
      </c>
      <c r="C1332" s="43" t="str">
        <f>IFERROR(__xludf.DUMMYFUNCTION("""COMPUTED_VALUE"""),"approved")</f>
        <v>approved</v>
      </c>
      <c r="D1332" s="43" t="str">
        <f>IFERROR(__xludf.DUMMYFUNCTION("""COMPUTED_VALUE"""),"No")</f>
        <v>No</v>
      </c>
      <c r="E1332" s="43" t="str">
        <f>IFERROR(__xludf.DUMMYFUNCTION("""COMPUTED_VALUE"""),"p_ca88bd7bc436980aff1a6d04a5b7ae591e10452d@inbound.aiesec.org")</f>
        <v>p_ca88bd7bc436980aff1a6d04a5b7ae591e10452d@inbound.aiesec.org</v>
      </c>
      <c r="F1332" s="43">
        <f>IFERROR(__xludf.DUMMYFUNCTION("""COMPUTED_VALUE"""),1.002009229E9)</f>
        <v>1002009229</v>
      </c>
      <c r="G1332" s="43" t="str">
        <f>IFERROR(__xludf.DUMMYFUNCTION("""COMPUTED_VALUE"""),"Egypt")</f>
        <v>Egypt</v>
      </c>
      <c r="H1332" s="43" t="str">
        <f>IFERROR(__xludf.DUMMYFUNCTION("""COMPUTED_VALUE"""),"Ain Shams University")</f>
        <v>Ain Shams University</v>
      </c>
      <c r="I1332" s="43" t="str">
        <f>IFERROR(__xludf.DUMMYFUNCTION("""COMPUTED_VALUE"""),"Turkey")</f>
        <v>Turkey</v>
      </c>
      <c r="J1332" s="43" t="str">
        <f>IFERROR(__xludf.DUMMYFUNCTION("""COMPUTED_VALUE"""),"KOCAELI")</f>
        <v>KOCAELI</v>
      </c>
      <c r="K1332" s="44" t="str">
        <f>IFERROR(__xludf.DUMMYFUNCTION("""COMPUTED_VALUE"""),"https://expa.aiesec.org/opportunities/1279126")</f>
        <v>https://expa.aiesec.org/opportunities/1279126</v>
      </c>
      <c r="L1332" s="43" t="str">
        <f>IFERROR(__xludf.DUMMYFUNCTION("""COMPUTED_VALUE"""),"GV")</f>
        <v>GV</v>
      </c>
      <c r="M1332" s="43" t="str">
        <f>IFERROR(__xludf.DUMMYFUNCTION("""COMPUTED_VALUE"""),"short")</f>
        <v>short</v>
      </c>
      <c r="N1332" s="45">
        <f>IFERROR(__xludf.DUMMYFUNCTION("""COMPUTED_VALUE"""),45184.0)</f>
        <v>45184</v>
      </c>
      <c r="O1332" s="45">
        <f>IFERROR(__xludf.DUMMYFUNCTION("""COMPUTED_VALUE"""),45285.0)</f>
        <v>45285</v>
      </c>
      <c r="P1332" s="45">
        <f>IFERROR(__xludf.DUMMYFUNCTION("""COMPUTED_VALUE"""),45327.0)</f>
        <v>45327</v>
      </c>
      <c r="Q1332" s="45"/>
      <c r="R1332" s="45"/>
      <c r="S1332" s="43"/>
      <c r="T1332" s="43"/>
      <c r="U1332" s="43" t="str">
        <f>IFERROR(__xludf.DUMMYFUNCTION("""COMPUTED_VALUE"""),"Global Classroom")</f>
        <v>Global Classroom</v>
      </c>
      <c r="V1332" s="43" t="str">
        <f>IFERROR(__xludf.DUMMYFUNCTION("""COMPUTED_VALUE"""),"Ain Shams University")</f>
        <v>Ain Shams University</v>
      </c>
      <c r="W1332" s="43" t="str">
        <f>IFERROR(__xludf.DUMMYFUNCTION("""COMPUTED_VALUE"""),"2023-08-01T12:07:25Z")</f>
        <v>2023-08-01T12:07:25Z</v>
      </c>
      <c r="X1332" s="43"/>
      <c r="Y1332" s="43"/>
      <c r="Z1332" s="43"/>
    </row>
    <row r="1333" hidden="1">
      <c r="A1333" s="43" t="str">
        <f>IFERROR(__xludf.DUMMYFUNCTION("""COMPUTED_VALUE"""),"5310506_1289596")</f>
        <v>5310506_1289596</v>
      </c>
      <c r="B1333" s="43" t="str">
        <f>IFERROR(__xludf.DUMMYFUNCTION("""COMPUTED_VALUE"""),"Carina Oliveira")</f>
        <v>Carina Oliveira</v>
      </c>
      <c r="C1333" s="43" t="str">
        <f>IFERROR(__xludf.DUMMYFUNCTION("""COMPUTED_VALUE"""),"approved")</f>
        <v>approved</v>
      </c>
      <c r="D1333" s="43" t="str">
        <f>IFERROR(__xludf.DUMMYFUNCTION("""COMPUTED_VALUE"""),"No")</f>
        <v>No</v>
      </c>
      <c r="E1333" s="43" t="str">
        <f>IFERROR(__xludf.DUMMYFUNCTION("""COMPUTED_VALUE"""),"p_3ec5b3763cf85471fae7555ec4dd283a18bc861c@inbound.aiesec.org")</f>
        <v>p_3ec5b3763cf85471fae7555ec4dd283a18bc861c@inbound.aiesec.org</v>
      </c>
      <c r="F1333" s="43">
        <f>IFERROR(__xludf.DUMMYFUNCTION("""COMPUTED_VALUE"""),1.1998613714E10)</f>
        <v>11998613714</v>
      </c>
      <c r="G1333" s="43" t="str">
        <f>IFERROR(__xludf.DUMMYFUNCTION("""COMPUTED_VALUE"""),"Brazil")</f>
        <v>Brazil</v>
      </c>
      <c r="H1333" s="43" t="str">
        <f>IFERROR(__xludf.DUMMYFUNCTION("""COMPUTED_VALUE"""),"ABC")</f>
        <v>ABC</v>
      </c>
      <c r="I1333" s="43" t="str">
        <f>IFERROR(__xludf.DUMMYFUNCTION("""COMPUTED_VALUE"""),"Turkey")</f>
        <v>Turkey</v>
      </c>
      <c r="J1333" s="43" t="str">
        <f>IFERROR(__xludf.DUMMYFUNCTION("""COMPUTED_VALUE"""),"ISPARTA")</f>
        <v>ISPARTA</v>
      </c>
      <c r="K1333" s="44" t="str">
        <f>IFERROR(__xludf.DUMMYFUNCTION("""COMPUTED_VALUE"""),"https://expa.aiesec.org/opportunities/1289596")</f>
        <v>https://expa.aiesec.org/opportunities/1289596</v>
      </c>
      <c r="L1333" s="43" t="str">
        <f>IFERROR(__xludf.DUMMYFUNCTION("""COMPUTED_VALUE"""),"GV")</f>
        <v>GV</v>
      </c>
      <c r="M1333" s="43" t="str">
        <f>IFERROR(__xludf.DUMMYFUNCTION("""COMPUTED_VALUE"""),"short")</f>
        <v>short</v>
      </c>
      <c r="N1333" s="45">
        <f>IFERROR(__xludf.DUMMYFUNCTION("""COMPUTED_VALUE"""),45185.0)</f>
        <v>45185</v>
      </c>
      <c r="O1333" s="45">
        <f>IFERROR(__xludf.DUMMYFUNCTION("""COMPUTED_VALUE"""),45551.0)</f>
        <v>45551</v>
      </c>
      <c r="P1333" s="45">
        <f>IFERROR(__xludf.DUMMYFUNCTION("""COMPUTED_VALUE"""),45593.0)</f>
        <v>45593</v>
      </c>
      <c r="Q1333" s="45"/>
      <c r="R1333" s="45"/>
      <c r="S1333" s="43"/>
      <c r="T1333" s="43"/>
      <c r="U1333" s="43" t="str">
        <f>IFERROR(__xludf.DUMMYFUNCTION("""COMPUTED_VALUE"""),"Global Classroom")</f>
        <v>Global Classroom</v>
      </c>
      <c r="V1333" s="43" t="str">
        <f>IFERROR(__xludf.DUMMYFUNCTION("""COMPUTED_VALUE"""),"São Paulo - ABC")</f>
        <v>São Paulo - ABC</v>
      </c>
      <c r="W1333" s="43" t="str">
        <f>IFERROR(__xludf.DUMMYFUNCTION("""COMPUTED_VALUE"""),"2023-08-26T21:53:01Z")</f>
        <v>2023-08-26T21:53:01Z</v>
      </c>
      <c r="X1333" s="43"/>
      <c r="Y1333" s="43"/>
      <c r="Z1333" s="43"/>
    </row>
    <row r="1334" hidden="1">
      <c r="A1334" s="43" t="str">
        <f>IFERROR(__xludf.DUMMYFUNCTION("""COMPUTED_VALUE"""),"5270242_1279126")</f>
        <v>5270242_1279126</v>
      </c>
      <c r="B1334" s="43" t="str">
        <f>IFERROR(__xludf.DUMMYFUNCTION("""COMPUTED_VALUE"""),"ameni jomaa")</f>
        <v>ameni jomaa</v>
      </c>
      <c r="C1334" s="43" t="str">
        <f>IFERROR(__xludf.DUMMYFUNCTION("""COMPUTED_VALUE"""),"approved")</f>
        <v>approved</v>
      </c>
      <c r="D1334" s="43" t="str">
        <f>IFERROR(__xludf.DUMMYFUNCTION("""COMPUTED_VALUE"""),"No")</f>
        <v>No</v>
      </c>
      <c r="E1334" s="43" t="str">
        <f>IFERROR(__xludf.DUMMYFUNCTION("""COMPUTED_VALUE"""),"p_ee94e4145a88ee957fd7903efb23ada35c451895@inbound.aiesec.org")</f>
        <v>p_ee94e4145a88ee957fd7903efb23ada35c451895@inbound.aiesec.org</v>
      </c>
      <c r="F1334" s="43">
        <f>IFERROR(__xludf.DUMMYFUNCTION("""COMPUTED_VALUE"""),5.4565563E7)</f>
        <v>54565563</v>
      </c>
      <c r="G1334" s="43" t="str">
        <f>IFERROR(__xludf.DUMMYFUNCTION("""COMPUTED_VALUE"""),"Tunisia")</f>
        <v>Tunisia</v>
      </c>
      <c r="H1334" s="43" t="str">
        <f>IFERROR(__xludf.DUMMYFUNCTION("""COMPUTED_VALUE"""),"HADRUMET")</f>
        <v>HADRUMET</v>
      </c>
      <c r="I1334" s="43" t="str">
        <f>IFERROR(__xludf.DUMMYFUNCTION("""COMPUTED_VALUE"""),"Turkey")</f>
        <v>Turkey</v>
      </c>
      <c r="J1334" s="43" t="str">
        <f>IFERROR(__xludf.DUMMYFUNCTION("""COMPUTED_VALUE"""),"KOCAELI")</f>
        <v>KOCAELI</v>
      </c>
      <c r="K1334" s="44" t="str">
        <f>IFERROR(__xludf.DUMMYFUNCTION("""COMPUTED_VALUE"""),"https://expa.aiesec.org/opportunities/1279126")</f>
        <v>https://expa.aiesec.org/opportunities/1279126</v>
      </c>
      <c r="L1334" s="43" t="str">
        <f>IFERROR(__xludf.DUMMYFUNCTION("""COMPUTED_VALUE"""),"GV")</f>
        <v>GV</v>
      </c>
      <c r="M1334" s="43" t="str">
        <f>IFERROR(__xludf.DUMMYFUNCTION("""COMPUTED_VALUE"""),"short")</f>
        <v>short</v>
      </c>
      <c r="N1334" s="45">
        <f>IFERROR(__xludf.DUMMYFUNCTION("""COMPUTED_VALUE"""),45186.0)</f>
        <v>45186</v>
      </c>
      <c r="O1334" s="45">
        <f>IFERROR(__xludf.DUMMYFUNCTION("""COMPUTED_VALUE"""),45488.0)</f>
        <v>45488</v>
      </c>
      <c r="P1334" s="45">
        <f>IFERROR(__xludf.DUMMYFUNCTION("""COMPUTED_VALUE"""),45530.0)</f>
        <v>45530</v>
      </c>
      <c r="Q1334" s="45"/>
      <c r="R1334" s="45"/>
      <c r="S1334" s="43"/>
      <c r="T1334" s="43"/>
      <c r="U1334" s="43" t="str">
        <f>IFERROR(__xludf.DUMMYFUNCTION("""COMPUTED_VALUE"""),"Global Classroom")</f>
        <v>Global Classroom</v>
      </c>
      <c r="V1334" s="43" t="str">
        <f>IFERROR(__xludf.DUMMYFUNCTION("""COMPUTED_VALUE"""),"EPI Sousse")</f>
        <v>EPI Sousse</v>
      </c>
      <c r="W1334" s="43" t="str">
        <f>IFERROR(__xludf.DUMMYFUNCTION("""COMPUTED_VALUE"""),"2023-06-01T15:22:06Z")</f>
        <v>2023-06-01T15:22:06Z</v>
      </c>
      <c r="X1334" s="43"/>
      <c r="Y1334" s="43"/>
      <c r="Z1334" s="43"/>
    </row>
    <row r="1335" hidden="1">
      <c r="A1335" s="43" t="str">
        <f>IFERROR(__xludf.DUMMYFUNCTION("""COMPUTED_VALUE"""),"5303490_1292557")</f>
        <v>5303490_1292557</v>
      </c>
      <c r="B1335" s="43" t="str">
        <f>IFERROR(__xludf.DUMMYFUNCTION("""COMPUTED_VALUE"""),"Fiorella Vargas")</f>
        <v>Fiorella Vargas</v>
      </c>
      <c r="C1335" s="43" t="str">
        <f>IFERROR(__xludf.DUMMYFUNCTION("""COMPUTED_VALUE"""),"approved")</f>
        <v>approved</v>
      </c>
      <c r="D1335" s="43" t="str">
        <f>IFERROR(__xludf.DUMMYFUNCTION("""COMPUTED_VALUE"""),"No")</f>
        <v>No</v>
      </c>
      <c r="E1335" s="43" t="str">
        <f>IFERROR(__xludf.DUMMYFUNCTION("""COMPUTED_VALUE"""),"p_5ffed4a763ff9e68f826be5492596400c44d46b6@inbound.aiesec.org")</f>
        <v>p_5ffed4a763ff9e68f826be5492596400c44d46b6@inbound.aiesec.org</v>
      </c>
      <c r="F1335" s="43">
        <f>IFERROR(__xludf.DUMMYFUNCTION("""COMPUTED_VALUE"""),9.604880322E9)</f>
        <v>9604880322</v>
      </c>
      <c r="G1335" s="43" t="str">
        <f>IFERROR(__xludf.DUMMYFUNCTION("""COMPUTED_VALUE"""),"Canada")</f>
        <v>Canada</v>
      </c>
      <c r="H1335" s="43" t="str">
        <f>IFERROR(__xludf.DUMMYFUNCTION("""COMPUTED_VALUE"""),"UBC")</f>
        <v>UBC</v>
      </c>
      <c r="I1335" s="43" t="str">
        <f>IFERROR(__xludf.DUMMYFUNCTION("""COMPUTED_VALUE"""),"Turkey")</f>
        <v>Turkey</v>
      </c>
      <c r="J1335" s="43" t="str">
        <f>IFERROR(__xludf.DUMMYFUNCTION("""COMPUTED_VALUE"""),"DENIZLI")</f>
        <v>DENIZLI</v>
      </c>
      <c r="K1335" s="44" t="str">
        <f>IFERROR(__xludf.DUMMYFUNCTION("""COMPUTED_VALUE"""),"https://expa.aiesec.org/opportunities/1292557")</f>
        <v>https://expa.aiesec.org/opportunities/1292557</v>
      </c>
      <c r="L1335" s="43" t="str">
        <f>IFERROR(__xludf.DUMMYFUNCTION("""COMPUTED_VALUE"""),"GV")</f>
        <v>GV</v>
      </c>
      <c r="M1335" s="43" t="str">
        <f>IFERROR(__xludf.DUMMYFUNCTION("""COMPUTED_VALUE"""),"short")</f>
        <v>short</v>
      </c>
      <c r="N1335" s="45">
        <f>IFERROR(__xludf.DUMMYFUNCTION("""COMPUTED_VALUE"""),45186.0)</f>
        <v>45186</v>
      </c>
      <c r="O1335" s="45">
        <f>IFERROR(__xludf.DUMMYFUNCTION("""COMPUTED_VALUE"""),45488.0)</f>
        <v>45488</v>
      </c>
      <c r="P1335" s="45">
        <f>IFERROR(__xludf.DUMMYFUNCTION("""COMPUTED_VALUE"""),45530.0)</f>
        <v>45530</v>
      </c>
      <c r="Q1335" s="45"/>
      <c r="R1335" s="45"/>
      <c r="S1335" s="43"/>
      <c r="T1335" s="43"/>
      <c r="U1335" s="43" t="str">
        <f>IFERROR(__xludf.DUMMYFUNCTION("""COMPUTED_VALUE"""),"Equify")</f>
        <v>Equify</v>
      </c>
      <c r="V1335" s="43" t="str">
        <f>IFERROR(__xludf.DUMMYFUNCTION("""COMPUTED_VALUE"""),"University of British Columbia")</f>
        <v>University of British Columbia</v>
      </c>
      <c r="W1335" s="43" t="str">
        <f>IFERROR(__xludf.DUMMYFUNCTION("""COMPUTED_VALUE"""),"2023-08-16T08:42:57Z")</f>
        <v>2023-08-16T08:42:57Z</v>
      </c>
      <c r="X1335" s="43"/>
      <c r="Y1335" s="43"/>
      <c r="Z1335" s="43"/>
    </row>
    <row r="1336" hidden="1">
      <c r="A1336" s="43" t="str">
        <f>IFERROR(__xludf.DUMMYFUNCTION("""COMPUTED_VALUE"""),"5321371_1288497")</f>
        <v>5321371_1288497</v>
      </c>
      <c r="B1336" s="43" t="str">
        <f>IFERROR(__xludf.DUMMYFUNCTION("""COMPUTED_VALUE"""),"Abdelrahman Yehia")</f>
        <v>Abdelrahman Yehia</v>
      </c>
      <c r="C1336" s="43" t="str">
        <f>IFERROR(__xludf.DUMMYFUNCTION("""COMPUTED_VALUE"""),"approved")</f>
        <v>approved</v>
      </c>
      <c r="D1336" s="43" t="str">
        <f>IFERROR(__xludf.DUMMYFUNCTION("""COMPUTED_VALUE"""),"No")</f>
        <v>No</v>
      </c>
      <c r="E1336" s="43" t="str">
        <f>IFERROR(__xludf.DUMMYFUNCTION("""COMPUTED_VALUE"""),"p_4db9ee51d112473bf718992fca96be508bb4a0ee@inbound.aiesec.org")</f>
        <v>p_4db9ee51d112473bf718992fca96be508bb4a0ee@inbound.aiesec.org</v>
      </c>
      <c r="F1336" s="43">
        <f>IFERROR(__xludf.DUMMYFUNCTION("""COMPUTED_VALUE"""),1.016504474E9)</f>
        <v>1016504474</v>
      </c>
      <c r="G1336" s="43" t="str">
        <f>IFERROR(__xludf.DUMMYFUNCTION("""COMPUTED_VALUE"""),"Egypt")</f>
        <v>Egypt</v>
      </c>
      <c r="H1336" s="43" t="str">
        <f>IFERROR(__xludf.DUMMYFUNCTION("""COMPUTED_VALUE"""),"MUST")</f>
        <v>MUST</v>
      </c>
      <c r="I1336" s="43" t="str">
        <f>IFERROR(__xludf.DUMMYFUNCTION("""COMPUTED_VALUE"""),"Turkey")</f>
        <v>Turkey</v>
      </c>
      <c r="J1336" s="43" t="str">
        <f>IFERROR(__xludf.DUMMYFUNCTION("""COMPUTED_VALUE"""),"DENIZLI")</f>
        <v>DENIZLI</v>
      </c>
      <c r="K1336" s="44" t="str">
        <f>IFERROR(__xludf.DUMMYFUNCTION("""COMPUTED_VALUE"""),"https://expa.aiesec.org/opportunities/1288497")</f>
        <v>https://expa.aiesec.org/opportunities/1288497</v>
      </c>
      <c r="L1336" s="43" t="str">
        <f>IFERROR(__xludf.DUMMYFUNCTION("""COMPUTED_VALUE"""),"GV")</f>
        <v>GV</v>
      </c>
      <c r="M1336" s="43" t="str">
        <f>IFERROR(__xludf.DUMMYFUNCTION("""COMPUTED_VALUE"""),"short")</f>
        <v>short</v>
      </c>
      <c r="N1336" s="45">
        <f>IFERROR(__xludf.DUMMYFUNCTION("""COMPUTED_VALUE"""),45186.0)</f>
        <v>45186</v>
      </c>
      <c r="O1336" s="45">
        <f>IFERROR(__xludf.DUMMYFUNCTION("""COMPUTED_VALUE"""),45488.0)</f>
        <v>45488</v>
      </c>
      <c r="P1336" s="45">
        <f>IFERROR(__xludf.DUMMYFUNCTION("""COMPUTED_VALUE"""),45530.0)</f>
        <v>45530</v>
      </c>
      <c r="Q1336" s="45"/>
      <c r="R1336" s="45"/>
      <c r="S1336" s="43"/>
      <c r="T1336" s="43"/>
      <c r="U1336" s="43" t="str">
        <f>IFERROR(__xludf.DUMMYFUNCTION("""COMPUTED_VALUE"""),"Youth 4 Impact")</f>
        <v>Youth 4 Impact</v>
      </c>
      <c r="V1336" s="43" t="str">
        <f>IFERROR(__xludf.DUMMYFUNCTION("""COMPUTED_VALUE"""),"Nile University")</f>
        <v>Nile University</v>
      </c>
      <c r="W1336" s="43" t="str">
        <f>IFERROR(__xludf.DUMMYFUNCTION("""COMPUTED_VALUE"""),"2023-09-11T01:01:19Z")</f>
        <v>2023-09-11T01:01:19Z</v>
      </c>
      <c r="X1336" s="43"/>
      <c r="Y1336" s="43"/>
      <c r="Z1336" s="43"/>
    </row>
    <row r="1337" hidden="1">
      <c r="A1337" s="43" t="str">
        <f>IFERROR(__xludf.DUMMYFUNCTION("""COMPUTED_VALUE"""),"5321362_1288497")</f>
        <v>5321362_1288497</v>
      </c>
      <c r="B1337" s="43" t="str">
        <f>IFERROR(__xludf.DUMMYFUNCTION("""COMPUTED_VALUE"""),"yassin ahmed")</f>
        <v>yassin ahmed</v>
      </c>
      <c r="C1337" s="43" t="str">
        <f>IFERROR(__xludf.DUMMYFUNCTION("""COMPUTED_VALUE"""),"approved")</f>
        <v>approved</v>
      </c>
      <c r="D1337" s="43" t="str">
        <f>IFERROR(__xludf.DUMMYFUNCTION("""COMPUTED_VALUE"""),"No")</f>
        <v>No</v>
      </c>
      <c r="E1337" s="43" t="str">
        <f>IFERROR(__xludf.DUMMYFUNCTION("""COMPUTED_VALUE"""),"p_5648a521a391aa4bf4919981b91c1ef09052f24a@inbound.aiesec.org")</f>
        <v>p_5648a521a391aa4bf4919981b91c1ef09052f24a@inbound.aiesec.org</v>
      </c>
      <c r="F1337" s="43">
        <f>IFERROR(__xludf.DUMMYFUNCTION("""COMPUTED_VALUE"""),1.00604297E9)</f>
        <v>1006042970</v>
      </c>
      <c r="G1337" s="43" t="str">
        <f>IFERROR(__xludf.DUMMYFUNCTION("""COMPUTED_VALUE"""),"Egypt")</f>
        <v>Egypt</v>
      </c>
      <c r="H1337" s="43" t="str">
        <f>IFERROR(__xludf.DUMMYFUNCTION("""COMPUTED_VALUE"""),"MUST")</f>
        <v>MUST</v>
      </c>
      <c r="I1337" s="43" t="str">
        <f>IFERROR(__xludf.DUMMYFUNCTION("""COMPUTED_VALUE"""),"Turkey")</f>
        <v>Turkey</v>
      </c>
      <c r="J1337" s="43" t="str">
        <f>IFERROR(__xludf.DUMMYFUNCTION("""COMPUTED_VALUE"""),"DENIZLI")</f>
        <v>DENIZLI</v>
      </c>
      <c r="K1337" s="44" t="str">
        <f>IFERROR(__xludf.DUMMYFUNCTION("""COMPUTED_VALUE"""),"https://expa.aiesec.org/opportunities/1288497")</f>
        <v>https://expa.aiesec.org/opportunities/1288497</v>
      </c>
      <c r="L1337" s="43" t="str">
        <f>IFERROR(__xludf.DUMMYFUNCTION("""COMPUTED_VALUE"""),"GV")</f>
        <v>GV</v>
      </c>
      <c r="M1337" s="43" t="str">
        <f>IFERROR(__xludf.DUMMYFUNCTION("""COMPUTED_VALUE"""),"short")</f>
        <v>short</v>
      </c>
      <c r="N1337" s="45">
        <f>IFERROR(__xludf.DUMMYFUNCTION("""COMPUTED_VALUE"""),45186.0)</f>
        <v>45186</v>
      </c>
      <c r="O1337" s="45">
        <f>IFERROR(__xludf.DUMMYFUNCTION("""COMPUTED_VALUE"""),45488.0)</f>
        <v>45488</v>
      </c>
      <c r="P1337" s="45">
        <f>IFERROR(__xludf.DUMMYFUNCTION("""COMPUTED_VALUE"""),45530.0)</f>
        <v>45530</v>
      </c>
      <c r="Q1337" s="45"/>
      <c r="R1337" s="45"/>
      <c r="S1337" s="43"/>
      <c r="T1337" s="43"/>
      <c r="U1337" s="43" t="str">
        <f>IFERROR(__xludf.DUMMYFUNCTION("""COMPUTED_VALUE"""),"Youth 4 Impact")</f>
        <v>Youth 4 Impact</v>
      </c>
      <c r="V1337" s="43" t="str">
        <f>IFERROR(__xludf.DUMMYFUNCTION("""COMPUTED_VALUE"""),"Nile University")</f>
        <v>Nile University</v>
      </c>
      <c r="W1337" s="43" t="str">
        <f>IFERROR(__xludf.DUMMYFUNCTION("""COMPUTED_VALUE"""),"2023-09-10T23:53:43Z")</f>
        <v>2023-09-10T23:53:43Z</v>
      </c>
      <c r="X1337" s="43"/>
      <c r="Y1337" s="43"/>
      <c r="Z1337" s="43"/>
    </row>
    <row r="1338" hidden="1">
      <c r="A1338" s="43" t="str">
        <f>IFERROR(__xludf.DUMMYFUNCTION("""COMPUTED_VALUE"""),"5323412_1296101")</f>
        <v>5323412_1296101</v>
      </c>
      <c r="B1338" s="43" t="str">
        <f>IFERROR(__xludf.DUMMYFUNCTION("""COMPUTED_VALUE"""),"Sofiia Nykolaichuk")</f>
        <v>Sofiia Nykolaichuk</v>
      </c>
      <c r="C1338" s="43" t="str">
        <f>IFERROR(__xludf.DUMMYFUNCTION("""COMPUTED_VALUE"""),"approved")</f>
        <v>approved</v>
      </c>
      <c r="D1338" s="43" t="str">
        <f>IFERROR(__xludf.DUMMYFUNCTION("""COMPUTED_VALUE"""),"No")</f>
        <v>No</v>
      </c>
      <c r="E1338" s="43" t="str">
        <f>IFERROR(__xludf.DUMMYFUNCTION("""COMPUTED_VALUE"""),"p_3dbd7516a03aeb56a9ef8665bc3f64018469a39b@inbound.aiesec.org")</f>
        <v>p_3dbd7516a03aeb56a9ef8665bc3f64018469a39b@inbound.aiesec.org</v>
      </c>
      <c r="F1338" s="43">
        <f>IFERROR(__xludf.DUMMYFUNCTION("""COMPUTED_VALUE"""),5.02126216E8)</f>
        <v>502126216</v>
      </c>
      <c r="G1338" s="43" t="str">
        <f>IFERROR(__xludf.DUMMYFUNCTION("""COMPUTED_VALUE"""),"Ukraine")</f>
        <v>Ukraine</v>
      </c>
      <c r="H1338" s="43" t="str">
        <f>IFERROR(__xludf.DUMMYFUNCTION("""COMPUTED_VALUE"""),"LVIV")</f>
        <v>LVIV</v>
      </c>
      <c r="I1338" s="43" t="str">
        <f>IFERROR(__xludf.DUMMYFUNCTION("""COMPUTED_VALUE"""),"Turkey")</f>
        <v>Turkey</v>
      </c>
      <c r="J1338" s="43" t="str">
        <f>IFERROR(__xludf.DUMMYFUNCTION("""COMPUTED_VALUE"""),"ANKARA")</f>
        <v>ANKARA</v>
      </c>
      <c r="K1338" s="44" t="str">
        <f>IFERROR(__xludf.DUMMYFUNCTION("""COMPUTED_VALUE"""),"https://expa.aiesec.org/opportunities/1296101")</f>
        <v>https://expa.aiesec.org/opportunities/1296101</v>
      </c>
      <c r="L1338" s="43" t="str">
        <f>IFERROR(__xludf.DUMMYFUNCTION("""COMPUTED_VALUE"""),"GV")</f>
        <v>GV</v>
      </c>
      <c r="M1338" s="43" t="str">
        <f>IFERROR(__xludf.DUMMYFUNCTION("""COMPUTED_VALUE"""),"short")</f>
        <v>short</v>
      </c>
      <c r="N1338" s="45">
        <f>IFERROR(__xludf.DUMMYFUNCTION("""COMPUTED_VALUE"""),45186.0)</f>
        <v>45186</v>
      </c>
      <c r="O1338" s="45">
        <f>IFERROR(__xludf.DUMMYFUNCTION("""COMPUTED_VALUE"""),45292.0)</f>
        <v>45292</v>
      </c>
      <c r="P1338" s="45">
        <f>IFERROR(__xludf.DUMMYFUNCTION("""COMPUTED_VALUE"""),45334.0)</f>
        <v>45334</v>
      </c>
      <c r="Q1338" s="45"/>
      <c r="R1338" s="45"/>
      <c r="S1338" s="43"/>
      <c r="T1338" s="43"/>
      <c r="U1338" s="43" t="str">
        <f>IFERROR(__xludf.DUMMYFUNCTION("""COMPUTED_VALUE"""),"Fingerprint")</f>
        <v>Fingerprint</v>
      </c>
      <c r="V1338" s="43" t="str">
        <f>IFERROR(__xludf.DUMMYFUNCTION("""COMPUTED_VALUE"""),"Lviv ")</f>
        <v>Lviv </v>
      </c>
      <c r="W1338" s="43" t="str">
        <f>IFERROR(__xludf.DUMMYFUNCTION("""COMPUTED_VALUE"""),"2023-09-13T18:45:51Z")</f>
        <v>2023-09-13T18:45:51Z</v>
      </c>
      <c r="X1338" s="43"/>
      <c r="Y1338" s="43"/>
      <c r="Z1338" s="43"/>
    </row>
    <row r="1339" hidden="1">
      <c r="A1339" s="43" t="str">
        <f>IFERROR(__xludf.DUMMYFUNCTION("""COMPUTED_VALUE"""),"5319583_1295745")</f>
        <v>5319583_1295745</v>
      </c>
      <c r="B1339" s="43" t="str">
        <f>IFERROR(__xludf.DUMMYFUNCTION("""COMPUTED_VALUE"""),"Oleksandra Korobko")</f>
        <v>Oleksandra Korobko</v>
      </c>
      <c r="C1339" s="43" t="str">
        <f>IFERROR(__xludf.DUMMYFUNCTION("""COMPUTED_VALUE"""),"approved")</f>
        <v>approved</v>
      </c>
      <c r="D1339" s="43" t="str">
        <f>IFERROR(__xludf.DUMMYFUNCTION("""COMPUTED_VALUE"""),"No")</f>
        <v>No</v>
      </c>
      <c r="E1339" s="43" t="str">
        <f>IFERROR(__xludf.DUMMYFUNCTION("""COMPUTED_VALUE"""),"p_c66e7ea479efcd864231b66437f690eed38ea187@inbound.aiesec.org")</f>
        <v>p_c66e7ea479efcd864231b66437f690eed38ea187@inbound.aiesec.org</v>
      </c>
      <c r="F1339" s="43">
        <f>IFERROR(__xludf.DUMMYFUNCTION("""COMPUTED_VALUE"""),6.35500928E8)</f>
        <v>635500928</v>
      </c>
      <c r="G1339" s="43" t="str">
        <f>IFERROR(__xludf.DUMMYFUNCTION("""COMPUTED_VALUE"""),"Ukraine")</f>
        <v>Ukraine</v>
      </c>
      <c r="H1339" s="43" t="str">
        <f>IFERROR(__xludf.DUMMYFUNCTION("""COMPUTED_VALUE"""),"LVIV")</f>
        <v>LVIV</v>
      </c>
      <c r="I1339" s="43" t="str">
        <f>IFERROR(__xludf.DUMMYFUNCTION("""COMPUTED_VALUE"""),"Turkey")</f>
        <v>Turkey</v>
      </c>
      <c r="J1339" s="43" t="str">
        <f>IFERROR(__xludf.DUMMYFUNCTION("""COMPUTED_VALUE"""),"ISTANBUL WEST")</f>
        <v>ISTANBUL WEST</v>
      </c>
      <c r="K1339" s="44" t="str">
        <f>IFERROR(__xludf.DUMMYFUNCTION("""COMPUTED_VALUE"""),"https://expa.aiesec.org/opportunities/1295745")</f>
        <v>https://expa.aiesec.org/opportunities/1295745</v>
      </c>
      <c r="L1339" s="43" t="str">
        <f>IFERROR(__xludf.DUMMYFUNCTION("""COMPUTED_VALUE"""),"GV")</f>
        <v>GV</v>
      </c>
      <c r="M1339" s="43" t="str">
        <f>IFERROR(__xludf.DUMMYFUNCTION("""COMPUTED_VALUE"""),"short")</f>
        <v>short</v>
      </c>
      <c r="N1339" s="45">
        <f>IFERROR(__xludf.DUMMYFUNCTION("""COMPUTED_VALUE"""),45186.0)</f>
        <v>45186</v>
      </c>
      <c r="O1339" s="45">
        <f>IFERROR(__xludf.DUMMYFUNCTION("""COMPUTED_VALUE"""),45334.0)</f>
        <v>45334</v>
      </c>
      <c r="P1339" s="45">
        <f>IFERROR(__xludf.DUMMYFUNCTION("""COMPUTED_VALUE"""),45376.0)</f>
        <v>45376</v>
      </c>
      <c r="Q1339" s="45"/>
      <c r="R1339" s="45"/>
      <c r="S1339" s="43"/>
      <c r="T1339" s="43"/>
      <c r="U1339" s="43" t="str">
        <f>IFERROR(__xludf.DUMMYFUNCTION("""COMPUTED_VALUE"""),"Fingerprint")</f>
        <v>Fingerprint</v>
      </c>
      <c r="V1339" s="43" t="str">
        <f>IFERROR(__xludf.DUMMYFUNCTION("""COMPUTED_VALUE""")," Rivne")</f>
        <v> Rivne</v>
      </c>
      <c r="W1339" s="43" t="str">
        <f>IFERROR(__xludf.DUMMYFUNCTION("""COMPUTED_VALUE"""),"2023-09-07T11:22:02Z")</f>
        <v>2023-09-07T11:22:02Z</v>
      </c>
      <c r="X1339" s="43"/>
      <c r="Y1339" s="43"/>
      <c r="Z1339" s="43"/>
    </row>
    <row r="1340" hidden="1">
      <c r="A1340" s="43" t="str">
        <f>IFERROR(__xludf.DUMMYFUNCTION("""COMPUTED_VALUE"""),"2151446_1295453")</f>
        <v>2151446_1295453</v>
      </c>
      <c r="B1340" s="43" t="str">
        <f>IFERROR(__xludf.DUMMYFUNCTION("""COMPUTED_VALUE"""),"Lamees Mohamed")</f>
        <v>Lamees Mohamed</v>
      </c>
      <c r="C1340" s="43" t="str">
        <f>IFERROR(__xludf.DUMMYFUNCTION("""COMPUTED_VALUE"""),"realized")</f>
        <v>realized</v>
      </c>
      <c r="D1340" s="43" t="str">
        <f>IFERROR(__xludf.DUMMYFUNCTION("""COMPUTED_VALUE"""),"No")</f>
        <v>No</v>
      </c>
      <c r="E1340" s="43" t="str">
        <f>IFERROR(__xludf.DUMMYFUNCTION("""COMPUTED_VALUE"""),"p_0cf0e048e9997081e7cd988b8f831f2628236292@inbound.aiesec.org")</f>
        <v>p_0cf0e048e9997081e7cd988b8f831f2628236292@inbound.aiesec.org</v>
      </c>
      <c r="F1340" s="43">
        <f>IFERROR(__xludf.DUMMYFUNCTION("""COMPUTED_VALUE"""),1.114765688E9)</f>
        <v>1114765688</v>
      </c>
      <c r="G1340" s="43" t="str">
        <f>IFERROR(__xludf.DUMMYFUNCTION("""COMPUTED_VALUE"""),"Egypt")</f>
        <v>Egypt</v>
      </c>
      <c r="H1340" s="43" t="str">
        <f>IFERROR(__xludf.DUMMYFUNCTION("""COMPUTED_VALUE"""),"Ain Shams University")</f>
        <v>Ain Shams University</v>
      </c>
      <c r="I1340" s="43" t="str">
        <f>IFERROR(__xludf.DUMMYFUNCTION("""COMPUTED_VALUE"""),"Turkey")</f>
        <v>Turkey</v>
      </c>
      <c r="J1340" s="43" t="str">
        <f>IFERROR(__xludf.DUMMYFUNCTION("""COMPUTED_VALUE"""),"GAZIANTEP")</f>
        <v>GAZIANTEP</v>
      </c>
      <c r="K1340" s="44" t="str">
        <f>IFERROR(__xludf.DUMMYFUNCTION("""COMPUTED_VALUE"""),"https://expa.aiesec.org/opportunities/1295453")</f>
        <v>https://expa.aiesec.org/opportunities/1295453</v>
      </c>
      <c r="L1340" s="43" t="str">
        <f>IFERROR(__xludf.DUMMYFUNCTION("""COMPUTED_VALUE"""),"GV")</f>
        <v>GV</v>
      </c>
      <c r="M1340" s="43" t="str">
        <f>IFERROR(__xludf.DUMMYFUNCTION("""COMPUTED_VALUE"""),"short")</f>
        <v>short</v>
      </c>
      <c r="N1340" s="45">
        <f>IFERROR(__xludf.DUMMYFUNCTION("""COMPUTED_VALUE"""),45186.0)</f>
        <v>45186</v>
      </c>
      <c r="O1340" s="45">
        <f>IFERROR(__xludf.DUMMYFUNCTION("""COMPUTED_VALUE"""),45292.0)</f>
        <v>45292</v>
      </c>
      <c r="P1340" s="45">
        <f>IFERROR(__xludf.DUMMYFUNCTION("""COMPUTED_VALUE"""),45334.0)</f>
        <v>45334</v>
      </c>
      <c r="Q1340" s="45">
        <f>IFERROR(__xludf.DUMMYFUNCTION("""COMPUTED_VALUE"""),45315.0)</f>
        <v>45315</v>
      </c>
      <c r="R1340" s="45">
        <f>IFERROR(__xludf.DUMMYFUNCTION("""COMPUTED_VALUE"""),45357.0)</f>
        <v>45357</v>
      </c>
      <c r="S1340" s="43"/>
      <c r="T1340" s="43"/>
      <c r="U1340" s="43" t="str">
        <f>IFERROR(__xludf.DUMMYFUNCTION("""COMPUTED_VALUE"""),"Global Classroom")</f>
        <v>Global Classroom</v>
      </c>
      <c r="V1340" s="43" t="str">
        <f>IFERROR(__xludf.DUMMYFUNCTION("""COMPUTED_VALUE"""),"Ain Shams University")</f>
        <v>Ain Shams University</v>
      </c>
      <c r="W1340" s="43" t="str">
        <f>IFERROR(__xludf.DUMMYFUNCTION("""COMPUTED_VALUE"""),"2018-03-28T08:56:32Z")</f>
        <v>2018-03-28T08:56:32Z</v>
      </c>
      <c r="X1340" s="43"/>
      <c r="Y1340" s="43"/>
      <c r="Z1340" s="43"/>
    </row>
    <row r="1341" hidden="1">
      <c r="A1341" s="43" t="str">
        <f>IFERROR(__xludf.DUMMYFUNCTION("""COMPUTED_VALUE"""),"5299010_1287966")</f>
        <v>5299010_1287966</v>
      </c>
      <c r="B1341" s="43" t="str">
        <f>IFERROR(__xludf.DUMMYFUNCTION("""COMPUTED_VALUE"""),"Chidera Nnamani")</f>
        <v>Chidera Nnamani</v>
      </c>
      <c r="C1341" s="43" t="str">
        <f>IFERROR(__xludf.DUMMYFUNCTION("""COMPUTED_VALUE"""),"approved")</f>
        <v>approved</v>
      </c>
      <c r="D1341" s="43" t="str">
        <f>IFERROR(__xludf.DUMMYFUNCTION("""COMPUTED_VALUE"""),"No")</f>
        <v>No</v>
      </c>
      <c r="E1341" s="43" t="str">
        <f>IFERROR(__xludf.DUMMYFUNCTION("""COMPUTED_VALUE"""),"p_856b96757742832352547c956bdcbb2c8176f8b7@inbound.aiesec.org")</f>
        <v>p_856b96757742832352547c956bdcbb2c8176f8b7@inbound.aiesec.org</v>
      </c>
      <c r="F1341" s="43">
        <f>IFERROR(__xludf.DUMMYFUNCTION("""COMPUTED_VALUE"""),5.52650843E8)</f>
        <v>552650843</v>
      </c>
      <c r="G1341" s="43" t="str">
        <f>IFERROR(__xludf.DUMMYFUNCTION("""COMPUTED_VALUE"""),"United Arab Emirates")</f>
        <v>United Arab Emirates</v>
      </c>
      <c r="H1341" s="43" t="str">
        <f>IFERROR(__xludf.DUMMYFUNCTION("""COMPUTED_VALUE"""),"Sharjah")</f>
        <v>Sharjah</v>
      </c>
      <c r="I1341" s="43" t="str">
        <f>IFERROR(__xludf.DUMMYFUNCTION("""COMPUTED_VALUE"""),"Turkey")</f>
        <v>Turkey</v>
      </c>
      <c r="J1341" s="43" t="str">
        <f>IFERROR(__xludf.DUMMYFUNCTION("""COMPUTED_VALUE"""),"ISTANBUL")</f>
        <v>ISTANBUL</v>
      </c>
      <c r="K1341" s="44" t="str">
        <f>IFERROR(__xludf.DUMMYFUNCTION("""COMPUTED_VALUE"""),"https://expa.aiesec.org/opportunities/1287966")</f>
        <v>https://expa.aiesec.org/opportunities/1287966</v>
      </c>
      <c r="L1341" s="43" t="str">
        <f>IFERROR(__xludf.DUMMYFUNCTION("""COMPUTED_VALUE"""),"GV")</f>
        <v>GV</v>
      </c>
      <c r="M1341" s="43" t="str">
        <f>IFERROR(__xludf.DUMMYFUNCTION("""COMPUTED_VALUE"""),"short")</f>
        <v>short</v>
      </c>
      <c r="N1341" s="45">
        <f>IFERROR(__xludf.DUMMYFUNCTION("""COMPUTED_VALUE"""),45186.0)</f>
        <v>45186</v>
      </c>
      <c r="O1341" s="45">
        <f>IFERROR(__xludf.DUMMYFUNCTION("""COMPUTED_VALUE"""),45242.0)</f>
        <v>45242</v>
      </c>
      <c r="P1341" s="45">
        <f>IFERROR(__xludf.DUMMYFUNCTION("""COMPUTED_VALUE"""),45284.0)</f>
        <v>45284</v>
      </c>
      <c r="Q1341" s="45"/>
      <c r="R1341" s="45"/>
      <c r="S1341" s="43"/>
      <c r="T1341" s="43"/>
      <c r="U1341" s="43" t="str">
        <f>IFERROR(__xludf.DUMMYFUNCTION("""COMPUTED_VALUE"""),"Heartbeat")</f>
        <v>Heartbeat</v>
      </c>
      <c r="V1341" s="43" t="str">
        <f>IFERROR(__xludf.DUMMYFUNCTION("""COMPUTED_VALUE"""),"Abu Dhabi University")</f>
        <v>Abu Dhabi University</v>
      </c>
      <c r="W1341" s="43" t="str">
        <f>IFERROR(__xludf.DUMMYFUNCTION("""COMPUTED_VALUE"""),"2023-08-07T15:19:11Z")</f>
        <v>2023-08-07T15:19:11Z</v>
      </c>
      <c r="X1341" s="43"/>
      <c r="Y1341" s="43"/>
      <c r="Z1341" s="43"/>
    </row>
    <row r="1342" hidden="1">
      <c r="A1342" s="43" t="str">
        <f>IFERROR(__xludf.DUMMYFUNCTION("""COMPUTED_VALUE"""),"5326462_1279126")</f>
        <v>5326462_1279126</v>
      </c>
      <c r="B1342" s="43" t="str">
        <f>IFERROR(__xludf.DUMMYFUNCTION("""COMPUTED_VALUE"""),"Ghofrane Baazaoui")</f>
        <v>Ghofrane Baazaoui</v>
      </c>
      <c r="C1342" s="43" t="str">
        <f>IFERROR(__xludf.DUMMYFUNCTION("""COMPUTED_VALUE"""),"approved")</f>
        <v>approved</v>
      </c>
      <c r="D1342" s="43" t="str">
        <f>IFERROR(__xludf.DUMMYFUNCTION("""COMPUTED_VALUE"""),"No")</f>
        <v>No</v>
      </c>
      <c r="E1342" s="43" t="str">
        <f>IFERROR(__xludf.DUMMYFUNCTION("""COMPUTED_VALUE"""),"p_629a037f7e2d2d602f94c58433e164262038dcdc@inbound.aiesec.org")</f>
        <v>p_629a037f7e2d2d602f94c58433e164262038dcdc@inbound.aiesec.org</v>
      </c>
      <c r="F1342" s="43">
        <f>IFERROR(__xludf.DUMMYFUNCTION("""COMPUTED_VALUE"""),2.1402436E7)</f>
        <v>21402436</v>
      </c>
      <c r="G1342" s="43" t="str">
        <f>IFERROR(__xludf.DUMMYFUNCTION("""COMPUTED_VALUE"""),"Tunisia")</f>
        <v>Tunisia</v>
      </c>
      <c r="H1342" s="43" t="str">
        <f>IFERROR(__xludf.DUMMYFUNCTION("""COMPUTED_VALUE"""),"Carthage")</f>
        <v>Carthage</v>
      </c>
      <c r="I1342" s="43" t="str">
        <f>IFERROR(__xludf.DUMMYFUNCTION("""COMPUTED_VALUE"""),"Turkey")</f>
        <v>Turkey</v>
      </c>
      <c r="J1342" s="43" t="str">
        <f>IFERROR(__xludf.DUMMYFUNCTION("""COMPUTED_VALUE"""),"KOCAELI")</f>
        <v>KOCAELI</v>
      </c>
      <c r="K1342" s="44" t="str">
        <f>IFERROR(__xludf.DUMMYFUNCTION("""COMPUTED_VALUE"""),"https://expa.aiesec.org/opportunities/1279126")</f>
        <v>https://expa.aiesec.org/opportunities/1279126</v>
      </c>
      <c r="L1342" s="43" t="str">
        <f>IFERROR(__xludf.DUMMYFUNCTION("""COMPUTED_VALUE"""),"GV")</f>
        <v>GV</v>
      </c>
      <c r="M1342" s="43" t="str">
        <f>IFERROR(__xludf.DUMMYFUNCTION("""COMPUTED_VALUE"""),"short")</f>
        <v>short</v>
      </c>
      <c r="N1342" s="45">
        <f>IFERROR(__xludf.DUMMYFUNCTION("""COMPUTED_VALUE"""),45187.0)</f>
        <v>45187</v>
      </c>
      <c r="O1342" s="45">
        <f>IFERROR(__xludf.DUMMYFUNCTION("""COMPUTED_VALUE"""),45488.0)</f>
        <v>45488</v>
      </c>
      <c r="P1342" s="45">
        <f>IFERROR(__xludf.DUMMYFUNCTION("""COMPUTED_VALUE"""),45530.0)</f>
        <v>45530</v>
      </c>
      <c r="Q1342" s="45"/>
      <c r="R1342" s="45"/>
      <c r="S1342" s="43"/>
      <c r="T1342" s="43"/>
      <c r="U1342" s="43" t="str">
        <f>IFERROR(__xludf.DUMMYFUNCTION("""COMPUTED_VALUE"""),"Global Classroom")</f>
        <v>Global Classroom</v>
      </c>
      <c r="V1342" s="43" t="str">
        <f>IFERROR(__xludf.DUMMYFUNCTION("""COMPUTED_VALUE"""),"Polytech INTL")</f>
        <v>Polytech INTL</v>
      </c>
      <c r="W1342" s="43" t="str">
        <f>IFERROR(__xludf.DUMMYFUNCTION("""COMPUTED_VALUE"""),"2023-09-18T08:55:27Z")</f>
        <v>2023-09-18T08:55:27Z</v>
      </c>
      <c r="X1342" s="43"/>
      <c r="Y1342" s="43"/>
      <c r="Z1342" s="43"/>
    </row>
    <row r="1343" hidden="1">
      <c r="A1343" s="43" t="str">
        <f>IFERROR(__xludf.DUMMYFUNCTION("""COMPUTED_VALUE"""),"5121704_1286920")</f>
        <v>5121704_1286920</v>
      </c>
      <c r="B1343" s="43" t="str">
        <f>IFERROR(__xludf.DUMMYFUNCTION("""COMPUTED_VALUE"""),"Roba Yasser")</f>
        <v>Roba Yasser</v>
      </c>
      <c r="C1343" s="43" t="str">
        <f>IFERROR(__xludf.DUMMYFUNCTION("""COMPUTED_VALUE"""),"approved")</f>
        <v>approved</v>
      </c>
      <c r="D1343" s="43" t="str">
        <f>IFERROR(__xludf.DUMMYFUNCTION("""COMPUTED_VALUE"""),"No")</f>
        <v>No</v>
      </c>
      <c r="E1343" s="43" t="str">
        <f>IFERROR(__xludf.DUMMYFUNCTION("""COMPUTED_VALUE"""),"p_ae0c352d0b9ea66400407f1384f6940782380c60@inbound.aiesec.org")</f>
        <v>p_ae0c352d0b9ea66400407f1384f6940782380c60@inbound.aiesec.org</v>
      </c>
      <c r="F1343" s="43">
        <f>IFERROR(__xludf.DUMMYFUNCTION("""COMPUTED_VALUE"""),1.000155939E9)</f>
        <v>1000155939</v>
      </c>
      <c r="G1343" s="43" t="str">
        <f>IFERROR(__xludf.DUMMYFUNCTION("""COMPUTED_VALUE"""),"Egypt")</f>
        <v>Egypt</v>
      </c>
      <c r="H1343" s="43" t="str">
        <f>IFERROR(__xludf.DUMMYFUNCTION("""COMPUTED_VALUE"""),"AUC")</f>
        <v>AUC</v>
      </c>
      <c r="I1343" s="43" t="str">
        <f>IFERROR(__xludf.DUMMYFUNCTION("""COMPUTED_VALUE"""),"Turkey")</f>
        <v>Turkey</v>
      </c>
      <c r="J1343" s="43" t="str">
        <f>IFERROR(__xludf.DUMMYFUNCTION("""COMPUTED_VALUE"""),"DENIZLI")</f>
        <v>DENIZLI</v>
      </c>
      <c r="K1343" s="44" t="str">
        <f>IFERROR(__xludf.DUMMYFUNCTION("""COMPUTED_VALUE"""),"https://expa.aiesec.org/opportunities/1286920")</f>
        <v>https://expa.aiesec.org/opportunities/1286920</v>
      </c>
      <c r="L1343" s="43" t="str">
        <f>IFERROR(__xludf.DUMMYFUNCTION("""COMPUTED_VALUE"""),"GV")</f>
        <v>GV</v>
      </c>
      <c r="M1343" s="43" t="str">
        <f>IFERROR(__xludf.DUMMYFUNCTION("""COMPUTED_VALUE"""),"short")</f>
        <v>short</v>
      </c>
      <c r="N1343" s="45">
        <f>IFERROR(__xludf.DUMMYFUNCTION("""COMPUTED_VALUE"""),45187.0)</f>
        <v>45187</v>
      </c>
      <c r="O1343" s="45">
        <f>IFERROR(__xludf.DUMMYFUNCTION("""COMPUTED_VALUE"""),45488.0)</f>
        <v>45488</v>
      </c>
      <c r="P1343" s="45">
        <f>IFERROR(__xludf.DUMMYFUNCTION("""COMPUTED_VALUE"""),45530.0)</f>
        <v>45530</v>
      </c>
      <c r="Q1343" s="45"/>
      <c r="R1343" s="45"/>
      <c r="S1343" s="43"/>
      <c r="T1343" s="43"/>
      <c r="U1343" s="43" t="str">
        <f>IFERROR(__xludf.DUMMYFUNCTION("""COMPUTED_VALUE"""),"Global Classroom")</f>
        <v>Global Classroom</v>
      </c>
      <c r="V1343" s="43" t="str">
        <f>IFERROR(__xludf.DUMMYFUNCTION("""COMPUTED_VALUE"""),"AUC")</f>
        <v>AUC</v>
      </c>
      <c r="W1343" s="43" t="str">
        <f>IFERROR(__xludf.DUMMYFUNCTION("""COMPUTED_VALUE"""),"2022-09-28T20:24:29Z")</f>
        <v>2022-09-28T20:24:29Z</v>
      </c>
      <c r="X1343" s="43"/>
      <c r="Y1343" s="43"/>
      <c r="Z1343" s="43"/>
    </row>
    <row r="1344" hidden="1">
      <c r="A1344" s="43" t="str">
        <f>IFERROR(__xludf.DUMMYFUNCTION("""COMPUTED_VALUE"""),"5326019_1279126")</f>
        <v>5326019_1279126</v>
      </c>
      <c r="B1344" s="43" t="str">
        <f>IFERROR(__xludf.DUMMYFUNCTION("""COMPUTED_VALUE"""),"Siwar Ben hlima skhiri")</f>
        <v>Siwar Ben hlima skhiri</v>
      </c>
      <c r="C1344" s="43" t="str">
        <f>IFERROR(__xludf.DUMMYFUNCTION("""COMPUTED_VALUE"""),"approved")</f>
        <v>approved</v>
      </c>
      <c r="D1344" s="43" t="str">
        <f>IFERROR(__xludf.DUMMYFUNCTION("""COMPUTED_VALUE"""),"No")</f>
        <v>No</v>
      </c>
      <c r="E1344" s="43" t="str">
        <f>IFERROR(__xludf.DUMMYFUNCTION("""COMPUTED_VALUE"""),"p_005b302ddf9db1e91d5841aa94f0a31307ac5415@inbound.aiesec.org")</f>
        <v>p_005b302ddf9db1e91d5841aa94f0a31307ac5415@inbound.aiesec.org</v>
      </c>
      <c r="F1344" s="43">
        <f>IFERROR(__xludf.DUMMYFUNCTION("""COMPUTED_VALUE"""),5.3512722E7)</f>
        <v>53512722</v>
      </c>
      <c r="G1344" s="43" t="str">
        <f>IFERROR(__xludf.DUMMYFUNCTION("""COMPUTED_VALUE"""),"Tunisia")</f>
        <v>Tunisia</v>
      </c>
      <c r="H1344" s="43" t="str">
        <f>IFERROR(__xludf.DUMMYFUNCTION("""COMPUTED_VALUE"""),"HADRUMET")</f>
        <v>HADRUMET</v>
      </c>
      <c r="I1344" s="43" t="str">
        <f>IFERROR(__xludf.DUMMYFUNCTION("""COMPUTED_VALUE"""),"Turkey")</f>
        <v>Turkey</v>
      </c>
      <c r="J1344" s="43" t="str">
        <f>IFERROR(__xludf.DUMMYFUNCTION("""COMPUTED_VALUE"""),"KOCAELI")</f>
        <v>KOCAELI</v>
      </c>
      <c r="K1344" s="44" t="str">
        <f>IFERROR(__xludf.DUMMYFUNCTION("""COMPUTED_VALUE"""),"https://expa.aiesec.org/opportunities/1279126")</f>
        <v>https://expa.aiesec.org/opportunities/1279126</v>
      </c>
      <c r="L1344" s="43" t="str">
        <f>IFERROR(__xludf.DUMMYFUNCTION("""COMPUTED_VALUE"""),"GV")</f>
        <v>GV</v>
      </c>
      <c r="M1344" s="43" t="str">
        <f>IFERROR(__xludf.DUMMYFUNCTION("""COMPUTED_VALUE"""),"short")</f>
        <v>short</v>
      </c>
      <c r="N1344" s="45">
        <f>IFERROR(__xludf.DUMMYFUNCTION("""COMPUTED_VALUE"""),45187.0)</f>
        <v>45187</v>
      </c>
      <c r="O1344" s="45">
        <f>IFERROR(__xludf.DUMMYFUNCTION("""COMPUTED_VALUE"""),45488.0)</f>
        <v>45488</v>
      </c>
      <c r="P1344" s="45">
        <f>IFERROR(__xludf.DUMMYFUNCTION("""COMPUTED_VALUE"""),45530.0)</f>
        <v>45530</v>
      </c>
      <c r="Q1344" s="45"/>
      <c r="R1344" s="45"/>
      <c r="S1344" s="43"/>
      <c r="T1344" s="43"/>
      <c r="U1344" s="43" t="str">
        <f>IFERROR(__xludf.DUMMYFUNCTION("""COMPUTED_VALUE"""),"Global Classroom")</f>
        <v>Global Classroom</v>
      </c>
      <c r="V1344" s="43" t="str">
        <f>IFERROR(__xludf.DUMMYFUNCTION("""COMPUTED_VALUE"""),"EPI Sousse")</f>
        <v>EPI Sousse</v>
      </c>
      <c r="W1344" s="43" t="str">
        <f>IFERROR(__xludf.DUMMYFUNCTION("""COMPUTED_VALUE"""),"2023-09-17T11:44:07Z")</f>
        <v>2023-09-17T11:44:07Z</v>
      </c>
      <c r="X1344" s="43"/>
      <c r="Y1344" s="43"/>
      <c r="Z1344" s="43"/>
    </row>
    <row r="1345" hidden="1">
      <c r="A1345" s="43" t="str">
        <f>IFERROR(__xludf.DUMMYFUNCTION("""COMPUTED_VALUE"""),"4762990_1286236")</f>
        <v>4762990_1286236</v>
      </c>
      <c r="B1345" s="43" t="str">
        <f>IFERROR(__xludf.DUMMYFUNCTION("""COMPUTED_VALUE"""),"Nada Mamdouh Ibrahim")</f>
        <v>Nada Mamdouh Ibrahim</v>
      </c>
      <c r="C1345" s="43" t="str">
        <f>IFERROR(__xludf.DUMMYFUNCTION("""COMPUTED_VALUE"""),"approved")</f>
        <v>approved</v>
      </c>
      <c r="D1345" s="43" t="str">
        <f>IFERROR(__xludf.DUMMYFUNCTION("""COMPUTED_VALUE"""),"No")</f>
        <v>No</v>
      </c>
      <c r="E1345" s="43" t="str">
        <f>IFERROR(__xludf.DUMMYFUNCTION("""COMPUTED_VALUE"""),"p_afd7115dd935eaa56d2290c8b919d2311c034cec@inbound.aiesec.org")</f>
        <v>p_afd7115dd935eaa56d2290c8b919d2311c034cec@inbound.aiesec.org</v>
      </c>
      <c r="F1345" s="43">
        <f>IFERROR(__xludf.DUMMYFUNCTION("""COMPUTED_VALUE"""),1.140449444E9)</f>
        <v>1140449444</v>
      </c>
      <c r="G1345" s="43" t="str">
        <f>IFERROR(__xludf.DUMMYFUNCTION("""COMPUTED_VALUE"""),"Egypt")</f>
        <v>Egypt</v>
      </c>
      <c r="H1345" s="43" t="str">
        <f>IFERROR(__xludf.DUMMYFUNCTION("""COMPUTED_VALUE"""),"Alexandria")</f>
        <v>Alexandria</v>
      </c>
      <c r="I1345" s="43" t="str">
        <f>IFERROR(__xludf.DUMMYFUNCTION("""COMPUTED_VALUE"""),"Turkey")</f>
        <v>Turkey</v>
      </c>
      <c r="J1345" s="43" t="str">
        <f>IFERROR(__xludf.DUMMYFUNCTION("""COMPUTED_VALUE"""),"ISPARTA")</f>
        <v>ISPARTA</v>
      </c>
      <c r="K1345" s="44" t="str">
        <f>IFERROR(__xludf.DUMMYFUNCTION("""COMPUTED_VALUE"""),"https://expa.aiesec.org/opportunities/1286236")</f>
        <v>https://expa.aiesec.org/opportunities/1286236</v>
      </c>
      <c r="L1345" s="43" t="str">
        <f>IFERROR(__xludf.DUMMYFUNCTION("""COMPUTED_VALUE"""),"GV")</f>
        <v>GV</v>
      </c>
      <c r="M1345" s="43" t="str">
        <f>IFERROR(__xludf.DUMMYFUNCTION("""COMPUTED_VALUE"""),"short")</f>
        <v>short</v>
      </c>
      <c r="N1345" s="45">
        <f>IFERROR(__xludf.DUMMYFUNCTION("""COMPUTED_VALUE"""),45188.0)</f>
        <v>45188</v>
      </c>
      <c r="O1345" s="45">
        <f>IFERROR(__xludf.DUMMYFUNCTION("""COMPUTED_VALUE"""),45263.0)</f>
        <v>45263</v>
      </c>
      <c r="P1345" s="45">
        <f>IFERROR(__xludf.DUMMYFUNCTION("""COMPUTED_VALUE"""),45305.0)</f>
        <v>45305</v>
      </c>
      <c r="Q1345" s="45"/>
      <c r="R1345" s="45"/>
      <c r="S1345" s="43"/>
      <c r="T1345" s="43"/>
      <c r="U1345" s="43" t="str">
        <f>IFERROR(__xludf.DUMMYFUNCTION("""COMPUTED_VALUE"""),"Global Classroom")</f>
        <v>Global Classroom</v>
      </c>
      <c r="V1345" s="43" t="str">
        <f>IFERROR(__xludf.DUMMYFUNCTION("""COMPUTED_VALUE"""),"Alexandria University")</f>
        <v>Alexandria University</v>
      </c>
      <c r="W1345" s="43" t="str">
        <f>IFERROR(__xludf.DUMMYFUNCTION("""COMPUTED_VALUE"""),"2021-10-12T01:01:27Z")</f>
        <v>2021-10-12T01:01:27Z</v>
      </c>
      <c r="X1345" s="43"/>
      <c r="Y1345" s="43"/>
      <c r="Z1345" s="43"/>
    </row>
    <row r="1346" hidden="1">
      <c r="A1346" s="43" t="str">
        <f>IFERROR(__xludf.DUMMYFUNCTION("""COMPUTED_VALUE"""),"5307757_1295453")</f>
        <v>5307757_1295453</v>
      </c>
      <c r="B1346" s="43" t="str">
        <f>IFERROR(__xludf.DUMMYFUNCTION("""COMPUTED_VALUE"""),"Jannatul Ferdous Esha")</f>
        <v>Jannatul Ferdous Esha</v>
      </c>
      <c r="C1346" s="43" t="str">
        <f>IFERROR(__xludf.DUMMYFUNCTION("""COMPUTED_VALUE"""),"approved")</f>
        <v>approved</v>
      </c>
      <c r="D1346" s="43" t="str">
        <f>IFERROR(__xludf.DUMMYFUNCTION("""COMPUTED_VALUE"""),"No")</f>
        <v>No</v>
      </c>
      <c r="E1346" s="43" t="str">
        <f>IFERROR(__xludf.DUMMYFUNCTION("""COMPUTED_VALUE"""),"p_7aecfa8ca83fca704a172fa3a3f3fe0603c4c601@inbound.aiesec.org")</f>
        <v>p_7aecfa8ca83fca704a172fa3a3f3fe0603c4c601@inbound.aiesec.org</v>
      </c>
      <c r="F1346" s="43">
        <f>IFERROR(__xludf.DUMMYFUNCTION("""COMPUTED_VALUE"""),1.551181019E9)</f>
        <v>1551181019</v>
      </c>
      <c r="G1346" s="43" t="str">
        <f>IFERROR(__xludf.DUMMYFUNCTION("""COMPUTED_VALUE"""),"Egypt")</f>
        <v>Egypt</v>
      </c>
      <c r="H1346" s="43" t="str">
        <f>IFERROR(__xludf.DUMMYFUNCTION("""COMPUTED_VALUE"""),"Cairo University")</f>
        <v>Cairo University</v>
      </c>
      <c r="I1346" s="43" t="str">
        <f>IFERROR(__xludf.DUMMYFUNCTION("""COMPUTED_VALUE"""),"Turkey")</f>
        <v>Turkey</v>
      </c>
      <c r="J1346" s="43" t="str">
        <f>IFERROR(__xludf.DUMMYFUNCTION("""COMPUTED_VALUE"""),"GAZIANTEP")</f>
        <v>GAZIANTEP</v>
      </c>
      <c r="K1346" s="44" t="str">
        <f>IFERROR(__xludf.DUMMYFUNCTION("""COMPUTED_VALUE"""),"https://expa.aiesec.org/opportunities/1295453")</f>
        <v>https://expa.aiesec.org/opportunities/1295453</v>
      </c>
      <c r="L1346" s="43" t="str">
        <f>IFERROR(__xludf.DUMMYFUNCTION("""COMPUTED_VALUE"""),"GV")</f>
        <v>GV</v>
      </c>
      <c r="M1346" s="43" t="str">
        <f>IFERROR(__xludf.DUMMYFUNCTION("""COMPUTED_VALUE"""),"short")</f>
        <v>short</v>
      </c>
      <c r="N1346" s="45">
        <f>IFERROR(__xludf.DUMMYFUNCTION("""COMPUTED_VALUE"""),45188.0)</f>
        <v>45188</v>
      </c>
      <c r="O1346" s="45">
        <f>IFERROR(__xludf.DUMMYFUNCTION("""COMPUTED_VALUE"""),45516.0)</f>
        <v>45516</v>
      </c>
      <c r="P1346" s="45">
        <f>IFERROR(__xludf.DUMMYFUNCTION("""COMPUTED_VALUE"""),45558.0)</f>
        <v>45558</v>
      </c>
      <c r="Q1346" s="45"/>
      <c r="R1346" s="45"/>
      <c r="S1346" s="43"/>
      <c r="T1346" s="43"/>
      <c r="U1346" s="43" t="str">
        <f>IFERROR(__xludf.DUMMYFUNCTION("""COMPUTED_VALUE"""),"Global Classroom")</f>
        <v>Global Classroom</v>
      </c>
      <c r="V1346" s="43" t="str">
        <f>IFERROR(__xludf.DUMMYFUNCTION("""COMPUTED_VALUE"""),"Cairo Univeristy")</f>
        <v>Cairo Univeristy</v>
      </c>
      <c r="W1346" s="43" t="str">
        <f>IFERROR(__xludf.DUMMYFUNCTION("""COMPUTED_VALUE"""),"2023-08-23T09:21:33Z")</f>
        <v>2023-08-23T09:21:33Z</v>
      </c>
      <c r="X1346" s="43"/>
      <c r="Y1346" s="43"/>
      <c r="Z1346" s="43"/>
    </row>
    <row r="1347" hidden="1">
      <c r="A1347" s="43" t="str">
        <f>IFERROR(__xludf.DUMMYFUNCTION("""COMPUTED_VALUE"""),"5289963_1288970")</f>
        <v>5289963_1288970</v>
      </c>
      <c r="B1347" s="43" t="str">
        <f>IFERROR(__xludf.DUMMYFUNCTION("""COMPUTED_VALUE"""),"Ofure Julisu")</f>
        <v>Ofure Julisu</v>
      </c>
      <c r="C1347" s="43" t="str">
        <f>IFERROR(__xludf.DUMMYFUNCTION("""COMPUTED_VALUE"""),"approved")</f>
        <v>approved</v>
      </c>
      <c r="D1347" s="43" t="str">
        <f>IFERROR(__xludf.DUMMYFUNCTION("""COMPUTED_VALUE"""),"No")</f>
        <v>No</v>
      </c>
      <c r="E1347" s="43" t="str">
        <f>IFERROR(__xludf.DUMMYFUNCTION("""COMPUTED_VALUE"""),"p_b06b7f54257010ee75aaacd68b054599b76e4a4d@inbound.aiesec.org")</f>
        <v>p_b06b7f54257010ee75aaacd68b054599b76e4a4d@inbound.aiesec.org</v>
      </c>
      <c r="F1347" s="43">
        <f>IFERROR(__xludf.DUMMYFUNCTION("""COMPUTED_VALUE"""),7.036297448E9)</f>
        <v>7036297448</v>
      </c>
      <c r="G1347" s="43" t="str">
        <f>IFERROR(__xludf.DUMMYFUNCTION("""COMPUTED_VALUE"""),"Nigeria")</f>
        <v>Nigeria</v>
      </c>
      <c r="H1347" s="43" t="str">
        <f>IFERROR(__xludf.DUMMYFUNCTION("""COMPUTED_VALUE"""),"Nig")</f>
        <v>Nig</v>
      </c>
      <c r="I1347" s="43" t="str">
        <f>IFERROR(__xludf.DUMMYFUNCTION("""COMPUTED_VALUE"""),"Turkey")</f>
        <v>Turkey</v>
      </c>
      <c r="J1347" s="43" t="str">
        <f>IFERROR(__xludf.DUMMYFUNCTION("""COMPUTED_VALUE"""),"İZMİR")</f>
        <v>İZMİR</v>
      </c>
      <c r="K1347" s="44" t="str">
        <f>IFERROR(__xludf.DUMMYFUNCTION("""COMPUTED_VALUE"""),"https://expa.aiesec.org/opportunities/1288970")</f>
        <v>https://expa.aiesec.org/opportunities/1288970</v>
      </c>
      <c r="L1347" s="43" t="str">
        <f>IFERROR(__xludf.DUMMYFUNCTION("""COMPUTED_VALUE"""),"GV")</f>
        <v>GV</v>
      </c>
      <c r="M1347" s="43" t="str">
        <f>IFERROR(__xludf.DUMMYFUNCTION("""COMPUTED_VALUE"""),"short")</f>
        <v>short</v>
      </c>
      <c r="N1347" s="45">
        <f>IFERROR(__xludf.DUMMYFUNCTION("""COMPUTED_VALUE"""),45188.0)</f>
        <v>45188</v>
      </c>
      <c r="O1347" s="45">
        <f>IFERROR(__xludf.DUMMYFUNCTION("""COMPUTED_VALUE"""),45207.0)</f>
        <v>45207</v>
      </c>
      <c r="P1347" s="45">
        <f>IFERROR(__xludf.DUMMYFUNCTION("""COMPUTED_VALUE"""),45249.0)</f>
        <v>45249</v>
      </c>
      <c r="Q1347" s="45"/>
      <c r="R1347" s="45"/>
      <c r="S1347" s="43"/>
      <c r="T1347" s="43"/>
      <c r="U1347" s="43" t="str">
        <f>IFERROR(__xludf.DUMMYFUNCTION("""COMPUTED_VALUE"""),"Fingerprint")</f>
        <v>Fingerprint</v>
      </c>
      <c r="V1347" s="43" t="str">
        <f>IFERROR(__xludf.DUMMYFUNCTION("""COMPUTED_VALUE"""),"Others")</f>
        <v>Others</v>
      </c>
      <c r="W1347" s="43" t="str">
        <f>IFERROR(__xludf.DUMMYFUNCTION("""COMPUTED_VALUE"""),"2023-07-26T17:55:46Z")</f>
        <v>2023-07-26T17:55:46Z</v>
      </c>
      <c r="X1347" s="43"/>
      <c r="Y1347" s="43"/>
      <c r="Z1347" s="43"/>
    </row>
    <row r="1348" hidden="1">
      <c r="A1348" s="43" t="str">
        <f>IFERROR(__xludf.DUMMYFUNCTION("""COMPUTED_VALUE"""),"3611511_1296671")</f>
        <v>3611511_1296671</v>
      </c>
      <c r="B1348" s="43" t="str">
        <f>IFERROR(__xludf.DUMMYFUNCTION("""COMPUTED_VALUE"""),"Ferroudji Chahinez")</f>
        <v>Ferroudji Chahinez</v>
      </c>
      <c r="C1348" s="43" t="str">
        <f>IFERROR(__xludf.DUMMYFUNCTION("""COMPUTED_VALUE"""),"finished")</f>
        <v>finished</v>
      </c>
      <c r="D1348" s="43" t="str">
        <f>IFERROR(__xludf.DUMMYFUNCTION("""COMPUTED_VALUE"""),"No")</f>
        <v>No</v>
      </c>
      <c r="E1348" s="43" t="str">
        <f>IFERROR(__xludf.DUMMYFUNCTION("""COMPUTED_VALUE"""),"p_ae451739e386f7bfa87625e9f2734154008afcc8@inbound.aiesec.org")</f>
        <v>p_ae451739e386f7bfa87625e9f2734154008afcc8@inbound.aiesec.org</v>
      </c>
      <c r="F1348" s="43">
        <f>IFERROR(__xludf.DUMMYFUNCTION("""COMPUTED_VALUE"""),6.56018294E8)</f>
        <v>656018294</v>
      </c>
      <c r="G1348" s="43" t="str">
        <f>IFERROR(__xludf.DUMMYFUNCTION("""COMPUTED_VALUE"""),"Algeria")</f>
        <v>Algeria</v>
      </c>
      <c r="H1348" s="43" t="str">
        <f>IFERROR(__xludf.DUMMYFUNCTION("""COMPUTED_VALUE"""),"Constantine")</f>
        <v>Constantine</v>
      </c>
      <c r="I1348" s="43" t="str">
        <f>IFERROR(__xludf.DUMMYFUNCTION("""COMPUTED_VALUE"""),"Turkey")</f>
        <v>Turkey</v>
      </c>
      <c r="J1348" s="43" t="str">
        <f>IFERROR(__xludf.DUMMYFUNCTION("""COMPUTED_VALUE"""),"BURSA")</f>
        <v>BURSA</v>
      </c>
      <c r="K1348" s="44" t="str">
        <f>IFERROR(__xludf.DUMMYFUNCTION("""COMPUTED_VALUE"""),"https://expa.aiesec.org/opportunities/1296671")</f>
        <v>https://expa.aiesec.org/opportunities/1296671</v>
      </c>
      <c r="L1348" s="43" t="str">
        <f>IFERROR(__xludf.DUMMYFUNCTION("""COMPUTED_VALUE"""),"GV")</f>
        <v>GV</v>
      </c>
      <c r="M1348" s="43" t="str">
        <f>IFERROR(__xludf.DUMMYFUNCTION("""COMPUTED_VALUE"""),"short")</f>
        <v>short</v>
      </c>
      <c r="N1348" s="45">
        <f>IFERROR(__xludf.DUMMYFUNCTION("""COMPUTED_VALUE"""),45189.0)</f>
        <v>45189</v>
      </c>
      <c r="O1348" s="45">
        <f>IFERROR(__xludf.DUMMYFUNCTION("""COMPUTED_VALUE"""),45194.0)</f>
        <v>45194</v>
      </c>
      <c r="P1348" s="45">
        <f>IFERROR(__xludf.DUMMYFUNCTION("""COMPUTED_VALUE"""),45236.0)</f>
        <v>45236</v>
      </c>
      <c r="Q1348" s="45">
        <f>IFERROR(__xludf.DUMMYFUNCTION("""COMPUTED_VALUE"""),45210.0)</f>
        <v>45210</v>
      </c>
      <c r="R1348" s="45">
        <f>IFERROR(__xludf.DUMMYFUNCTION("""COMPUTED_VALUE"""),45250.0)</f>
        <v>45250</v>
      </c>
      <c r="S1348" s="43"/>
      <c r="T1348" s="43"/>
      <c r="U1348" s="43" t="str">
        <f>IFERROR(__xludf.DUMMYFUNCTION("""COMPUTED_VALUE"""),"Youth 4 Impact")</f>
        <v>Youth 4 Impact</v>
      </c>
      <c r="V1348" s="43" t="str">
        <f>IFERROR(__xludf.DUMMYFUNCTION("""COMPUTED_VALUE"""),"AIESEC in Babez")</f>
        <v>AIESEC in Babez</v>
      </c>
      <c r="W1348" s="43" t="str">
        <f>IFERROR(__xludf.DUMMYFUNCTION("""COMPUTED_VALUE"""),"2019-07-06T16:37:57Z")</f>
        <v>2019-07-06T16:37:57Z</v>
      </c>
      <c r="X1348" s="43"/>
      <c r="Y1348" s="43"/>
      <c r="Z1348" s="43"/>
    </row>
    <row r="1349" hidden="1">
      <c r="A1349" s="43" t="str">
        <f>IFERROR(__xludf.DUMMYFUNCTION("""COMPUTED_VALUE"""),"5294263_1289536")</f>
        <v>5294263_1289536</v>
      </c>
      <c r="B1349" s="43" t="str">
        <f>IFERROR(__xludf.DUMMYFUNCTION("""COMPUTED_VALUE"""),"Michael Kamel")</f>
        <v>Michael Kamel</v>
      </c>
      <c r="C1349" s="43" t="str">
        <f>IFERROR(__xludf.DUMMYFUNCTION("""COMPUTED_VALUE"""),"approved")</f>
        <v>approved</v>
      </c>
      <c r="D1349" s="43" t="str">
        <f>IFERROR(__xludf.DUMMYFUNCTION("""COMPUTED_VALUE"""),"No")</f>
        <v>No</v>
      </c>
      <c r="E1349" s="43" t="str">
        <f>IFERROR(__xludf.DUMMYFUNCTION("""COMPUTED_VALUE"""),"p_3ac797e55be795945f95ac9bd76385d0fb3c79b0@inbound.aiesec.org")</f>
        <v>p_3ac797e55be795945f95ac9bd76385d0fb3c79b0@inbound.aiesec.org</v>
      </c>
      <c r="F1349" s="43">
        <f>IFERROR(__xludf.DUMMYFUNCTION("""COMPUTED_VALUE"""),1.287632727E9)</f>
        <v>1287632727</v>
      </c>
      <c r="G1349" s="43" t="str">
        <f>IFERROR(__xludf.DUMMYFUNCTION("""COMPUTED_VALUE"""),"Egypt")</f>
        <v>Egypt</v>
      </c>
      <c r="H1349" s="43" t="str">
        <f>IFERROR(__xludf.DUMMYFUNCTION("""COMPUTED_VALUE"""),"6th October University")</f>
        <v>6th October University</v>
      </c>
      <c r="I1349" s="43" t="str">
        <f>IFERROR(__xludf.DUMMYFUNCTION("""COMPUTED_VALUE"""),"Turkey")</f>
        <v>Turkey</v>
      </c>
      <c r="J1349" s="43" t="str">
        <f>IFERROR(__xludf.DUMMYFUNCTION("""COMPUTED_VALUE"""),"ISTANBUL")</f>
        <v>ISTANBUL</v>
      </c>
      <c r="K1349" s="44" t="str">
        <f>IFERROR(__xludf.DUMMYFUNCTION("""COMPUTED_VALUE"""),"https://expa.aiesec.org/opportunities/1289536")</f>
        <v>https://expa.aiesec.org/opportunities/1289536</v>
      </c>
      <c r="L1349" s="43" t="str">
        <f>IFERROR(__xludf.DUMMYFUNCTION("""COMPUTED_VALUE"""),"GV")</f>
        <v>GV</v>
      </c>
      <c r="M1349" s="43" t="str">
        <f>IFERROR(__xludf.DUMMYFUNCTION("""COMPUTED_VALUE"""),"short")</f>
        <v>short</v>
      </c>
      <c r="N1349" s="45">
        <f>IFERROR(__xludf.DUMMYFUNCTION("""COMPUTED_VALUE"""),45189.0)</f>
        <v>45189</v>
      </c>
      <c r="O1349" s="45">
        <f>IFERROR(__xludf.DUMMYFUNCTION("""COMPUTED_VALUE"""),45305.0)</f>
        <v>45305</v>
      </c>
      <c r="P1349" s="45">
        <f>IFERROR(__xludf.DUMMYFUNCTION("""COMPUTED_VALUE"""),45347.0)</f>
        <v>45347</v>
      </c>
      <c r="Q1349" s="45"/>
      <c r="R1349" s="45"/>
      <c r="S1349" s="43"/>
      <c r="T1349" s="43"/>
      <c r="U1349" s="43" t="str">
        <f>IFERROR(__xludf.DUMMYFUNCTION("""COMPUTED_VALUE"""),"Global Classroom")</f>
        <v>Global Classroom</v>
      </c>
      <c r="V1349" s="43" t="str">
        <f>IFERROR(__xludf.DUMMYFUNCTION("""COMPUTED_VALUE"""),"Higher Technological Institute 6th October")</f>
        <v>Higher Technological Institute 6th October</v>
      </c>
      <c r="W1349" s="43" t="str">
        <f>IFERROR(__xludf.DUMMYFUNCTION("""COMPUTED_VALUE"""),"2023-08-02T22:56:23Z")</f>
        <v>2023-08-02T22:56:23Z</v>
      </c>
      <c r="X1349" s="43"/>
      <c r="Y1349" s="43"/>
      <c r="Z1349" s="43"/>
    </row>
    <row r="1350" hidden="1">
      <c r="A1350" s="43" t="str">
        <f>IFERROR(__xludf.DUMMYFUNCTION("""COMPUTED_VALUE"""),"5328340_1285681")</f>
        <v>5328340_1285681</v>
      </c>
      <c r="B1350" s="43" t="str">
        <f>IFERROR(__xludf.DUMMYFUNCTION("""COMPUTED_VALUE"""),"Seif Mohammed")</f>
        <v>Seif Mohammed</v>
      </c>
      <c r="C1350" s="43" t="str">
        <f>IFERROR(__xludf.DUMMYFUNCTION("""COMPUTED_VALUE"""),"approved")</f>
        <v>approved</v>
      </c>
      <c r="D1350" s="43" t="str">
        <f>IFERROR(__xludf.DUMMYFUNCTION("""COMPUTED_VALUE"""),"No")</f>
        <v>No</v>
      </c>
      <c r="E1350" s="43" t="str">
        <f>IFERROR(__xludf.DUMMYFUNCTION("""COMPUTED_VALUE"""),"p_6128ff5c29db049ba00e44e383d626fd59c61cdb@inbound.aiesec.org")</f>
        <v>p_6128ff5c29db049ba00e44e383d626fd59c61cdb@inbound.aiesec.org</v>
      </c>
      <c r="F1350" s="43">
        <f>IFERROR(__xludf.DUMMYFUNCTION("""COMPUTED_VALUE"""),1.006123118E9)</f>
        <v>1006123118</v>
      </c>
      <c r="G1350" s="43" t="str">
        <f>IFERROR(__xludf.DUMMYFUNCTION("""COMPUTED_VALUE"""),"Egypt")</f>
        <v>Egypt</v>
      </c>
      <c r="H1350" s="43" t="str">
        <f>IFERROR(__xludf.DUMMYFUNCTION("""COMPUTED_VALUE"""),"MUST")</f>
        <v>MUST</v>
      </c>
      <c r="I1350" s="43" t="str">
        <f>IFERROR(__xludf.DUMMYFUNCTION("""COMPUTED_VALUE"""),"Turkey")</f>
        <v>Turkey</v>
      </c>
      <c r="J1350" s="43" t="str">
        <f>IFERROR(__xludf.DUMMYFUNCTION("""COMPUTED_VALUE"""),"DENIZLI")</f>
        <v>DENIZLI</v>
      </c>
      <c r="K1350" s="44" t="str">
        <f>IFERROR(__xludf.DUMMYFUNCTION("""COMPUTED_VALUE"""),"https://expa.aiesec.org/opportunities/1285681")</f>
        <v>https://expa.aiesec.org/opportunities/1285681</v>
      </c>
      <c r="L1350" s="43" t="str">
        <f>IFERROR(__xludf.DUMMYFUNCTION("""COMPUTED_VALUE"""),"GV")</f>
        <v>GV</v>
      </c>
      <c r="M1350" s="43" t="str">
        <f>IFERROR(__xludf.DUMMYFUNCTION("""COMPUTED_VALUE"""),"short")</f>
        <v>short</v>
      </c>
      <c r="N1350" s="45">
        <f>IFERROR(__xludf.DUMMYFUNCTION("""COMPUTED_VALUE"""),45190.0)</f>
        <v>45190</v>
      </c>
      <c r="O1350" s="45">
        <f>IFERROR(__xludf.DUMMYFUNCTION("""COMPUTED_VALUE"""),45488.0)</f>
        <v>45488</v>
      </c>
      <c r="P1350" s="45">
        <f>IFERROR(__xludf.DUMMYFUNCTION("""COMPUTED_VALUE"""),45530.0)</f>
        <v>45530</v>
      </c>
      <c r="Q1350" s="45"/>
      <c r="R1350" s="45"/>
      <c r="S1350" s="43"/>
      <c r="T1350" s="43"/>
      <c r="U1350" s="43" t="str">
        <f>IFERROR(__xludf.DUMMYFUNCTION("""COMPUTED_VALUE"""),"Equify")</f>
        <v>Equify</v>
      </c>
      <c r="V1350" s="43" t="str">
        <f>IFERROR(__xludf.DUMMYFUNCTION("""COMPUTED_VALUE"""),"Nile University")</f>
        <v>Nile University</v>
      </c>
      <c r="W1350" s="43" t="str">
        <f>IFERROR(__xludf.DUMMYFUNCTION("""COMPUTED_VALUE"""),"2023-09-20T16:01:08Z")</f>
        <v>2023-09-20T16:01:08Z</v>
      </c>
      <c r="X1350" s="43"/>
      <c r="Y1350" s="43"/>
      <c r="Z1350" s="43"/>
    </row>
    <row r="1351" hidden="1">
      <c r="A1351" s="43" t="str">
        <f>IFERROR(__xludf.DUMMYFUNCTION("""COMPUTED_VALUE"""),"5187455_1289596")</f>
        <v>5187455_1289596</v>
      </c>
      <c r="B1351" s="43" t="str">
        <f>IFERROR(__xludf.DUMMYFUNCTION("""COMPUTED_VALUE"""),"Mohamin Wasti")</f>
        <v>Mohamin Wasti</v>
      </c>
      <c r="C1351" s="43" t="str">
        <f>IFERROR(__xludf.DUMMYFUNCTION("""COMPUTED_VALUE"""),"approved")</f>
        <v>approved</v>
      </c>
      <c r="D1351" s="43" t="str">
        <f>IFERROR(__xludf.DUMMYFUNCTION("""COMPUTED_VALUE"""),"No")</f>
        <v>No</v>
      </c>
      <c r="E1351" s="43" t="str">
        <f>IFERROR(__xludf.DUMMYFUNCTION("""COMPUTED_VALUE"""),"p_43bf3e59ccacb12453555291f576c36b730f0abe@inbound.aiesec.org")</f>
        <v>p_43bf3e59ccacb12453555291f576c36b730f0abe@inbound.aiesec.org</v>
      </c>
      <c r="F1351" s="43">
        <f>IFERROR(__xludf.DUMMYFUNCTION("""COMPUTED_VALUE"""),3.165390979E9)</f>
        <v>3165390979</v>
      </c>
      <c r="G1351" s="43" t="str">
        <f>IFERROR(__xludf.DUMMYFUNCTION("""COMPUTED_VALUE"""),"Pakistan")</f>
        <v>Pakistan</v>
      </c>
      <c r="H1351" s="43" t="str">
        <f>IFERROR(__xludf.DUMMYFUNCTION("""COMPUTED_VALUE"""),"Islamabad")</f>
        <v>Islamabad</v>
      </c>
      <c r="I1351" s="43" t="str">
        <f>IFERROR(__xludf.DUMMYFUNCTION("""COMPUTED_VALUE"""),"Turkey")</f>
        <v>Turkey</v>
      </c>
      <c r="J1351" s="43" t="str">
        <f>IFERROR(__xludf.DUMMYFUNCTION("""COMPUTED_VALUE"""),"ISPARTA")</f>
        <v>ISPARTA</v>
      </c>
      <c r="K1351" s="44" t="str">
        <f>IFERROR(__xludf.DUMMYFUNCTION("""COMPUTED_VALUE"""),"https://expa.aiesec.org/opportunities/1289596")</f>
        <v>https://expa.aiesec.org/opportunities/1289596</v>
      </c>
      <c r="L1351" s="43" t="str">
        <f>IFERROR(__xludf.DUMMYFUNCTION("""COMPUTED_VALUE"""),"GV")</f>
        <v>GV</v>
      </c>
      <c r="M1351" s="43" t="str">
        <f>IFERROR(__xludf.DUMMYFUNCTION("""COMPUTED_VALUE"""),"short")</f>
        <v>short</v>
      </c>
      <c r="N1351" s="45">
        <f>IFERROR(__xludf.DUMMYFUNCTION("""COMPUTED_VALUE"""),45190.0)</f>
        <v>45190</v>
      </c>
      <c r="O1351" s="45">
        <f>IFERROR(__xludf.DUMMYFUNCTION("""COMPUTED_VALUE"""),45467.0)</f>
        <v>45467</v>
      </c>
      <c r="P1351" s="45">
        <f>IFERROR(__xludf.DUMMYFUNCTION("""COMPUTED_VALUE"""),45509.0)</f>
        <v>45509</v>
      </c>
      <c r="Q1351" s="45"/>
      <c r="R1351" s="45"/>
      <c r="S1351" s="43"/>
      <c r="T1351" s="43"/>
      <c r="U1351" s="43" t="str">
        <f>IFERROR(__xludf.DUMMYFUNCTION("""COMPUTED_VALUE"""),"Global Classroom")</f>
        <v>Global Classroom</v>
      </c>
      <c r="V1351" s="43" t="str">
        <f>IFERROR(__xludf.DUMMYFUNCTION("""COMPUTED_VALUE"""),"Islamabad - Foundation University ")</f>
        <v>Islamabad - Foundation University </v>
      </c>
      <c r="W1351" s="43" t="str">
        <f>IFERROR(__xludf.DUMMYFUNCTION("""COMPUTED_VALUE"""),"2023-02-08T15:54:56Z")</f>
        <v>2023-02-08T15:54:56Z</v>
      </c>
      <c r="X1351" s="43"/>
      <c r="Y1351" s="43"/>
      <c r="Z1351" s="43"/>
    </row>
    <row r="1352" hidden="1">
      <c r="A1352" s="43" t="str">
        <f>IFERROR(__xludf.DUMMYFUNCTION("""COMPUTED_VALUE"""),"5325250_1289347")</f>
        <v>5325250_1289347</v>
      </c>
      <c r="B1352" s="43" t="str">
        <f>IFERROR(__xludf.DUMMYFUNCTION("""COMPUTED_VALUE"""),"Ansh Tyagi")</f>
        <v>Ansh Tyagi</v>
      </c>
      <c r="C1352" s="43" t="str">
        <f>IFERROR(__xludf.DUMMYFUNCTION("""COMPUTED_VALUE"""),"approved")</f>
        <v>approved</v>
      </c>
      <c r="D1352" s="43" t="str">
        <f>IFERROR(__xludf.DUMMYFUNCTION("""COMPUTED_VALUE"""),"No")</f>
        <v>No</v>
      </c>
      <c r="E1352" s="43" t="str">
        <f>IFERROR(__xludf.DUMMYFUNCTION("""COMPUTED_VALUE"""),"p_ce52448a38730f13c82cb31a48bd887af5480d1a@inbound.aiesec.org")</f>
        <v>p_ce52448a38730f13c82cb31a48bd887af5480d1a@inbound.aiesec.org</v>
      </c>
      <c r="F1352" s="43">
        <f>IFERROR(__xludf.DUMMYFUNCTION("""COMPUTED_VALUE"""),8.628919879E9)</f>
        <v>8628919879</v>
      </c>
      <c r="G1352" s="43" t="str">
        <f>IFERROR(__xludf.DUMMYFUNCTION("""COMPUTED_VALUE"""),"India")</f>
        <v>India</v>
      </c>
      <c r="H1352" s="43" t="str">
        <f>IFERROR(__xludf.DUMMYFUNCTION("""COMPUTED_VALUE"""),"Noida")</f>
        <v>Noida</v>
      </c>
      <c r="I1352" s="43" t="str">
        <f>IFERROR(__xludf.DUMMYFUNCTION("""COMPUTED_VALUE"""),"Turkey")</f>
        <v>Turkey</v>
      </c>
      <c r="J1352" s="43" t="str">
        <f>IFERROR(__xludf.DUMMYFUNCTION("""COMPUTED_VALUE"""),"ADANA")</f>
        <v>ADANA</v>
      </c>
      <c r="K1352" s="44" t="str">
        <f>IFERROR(__xludf.DUMMYFUNCTION("""COMPUTED_VALUE"""),"https://expa.aiesec.org/opportunities/1289347")</f>
        <v>https://expa.aiesec.org/opportunities/1289347</v>
      </c>
      <c r="L1352" s="43" t="str">
        <f>IFERROR(__xludf.DUMMYFUNCTION("""COMPUTED_VALUE"""),"GV")</f>
        <v>GV</v>
      </c>
      <c r="M1352" s="43" t="str">
        <f>IFERROR(__xludf.DUMMYFUNCTION("""COMPUTED_VALUE"""),"short")</f>
        <v>short</v>
      </c>
      <c r="N1352" s="45">
        <f>IFERROR(__xludf.DUMMYFUNCTION("""COMPUTED_VALUE"""),45191.0)</f>
        <v>45191</v>
      </c>
      <c r="O1352" s="45">
        <f>IFERROR(__xludf.DUMMYFUNCTION("""COMPUTED_VALUE"""),45474.0)</f>
        <v>45474</v>
      </c>
      <c r="P1352" s="45">
        <f>IFERROR(__xludf.DUMMYFUNCTION("""COMPUTED_VALUE"""),45516.0)</f>
        <v>45516</v>
      </c>
      <c r="Q1352" s="45"/>
      <c r="R1352" s="45"/>
      <c r="S1352" s="43"/>
      <c r="T1352" s="43"/>
      <c r="U1352" s="43" t="str">
        <f>IFERROR(__xludf.DUMMYFUNCTION("""COMPUTED_VALUE"""),"Global Classroom")</f>
        <v>Global Classroom</v>
      </c>
      <c r="V1352" s="43" t="str">
        <f>IFERROR(__xludf.DUMMYFUNCTION("""COMPUTED_VALUE"""),"Amity University, Noida")</f>
        <v>Amity University, Noida</v>
      </c>
      <c r="W1352" s="43" t="str">
        <f>IFERROR(__xludf.DUMMYFUNCTION("""COMPUTED_VALUE"""),"2023-09-16T09:21:35Z")</f>
        <v>2023-09-16T09:21:35Z</v>
      </c>
      <c r="X1352" s="43"/>
      <c r="Y1352" s="43"/>
      <c r="Z1352" s="43"/>
    </row>
    <row r="1353" hidden="1">
      <c r="A1353" s="43" t="str">
        <f>IFERROR(__xludf.DUMMYFUNCTION("""COMPUTED_VALUE"""),"5330024_1279126")</f>
        <v>5330024_1279126</v>
      </c>
      <c r="B1353" s="43" t="str">
        <f>IFERROR(__xludf.DUMMYFUNCTION("""COMPUTED_VALUE"""),"Souhir Ayechi")</f>
        <v>Souhir Ayechi</v>
      </c>
      <c r="C1353" s="43" t="str">
        <f>IFERROR(__xludf.DUMMYFUNCTION("""COMPUTED_VALUE"""),"finished")</f>
        <v>finished</v>
      </c>
      <c r="D1353" s="43" t="str">
        <f>IFERROR(__xludf.DUMMYFUNCTION("""COMPUTED_VALUE"""),"No")</f>
        <v>No</v>
      </c>
      <c r="E1353" s="43" t="str">
        <f>IFERROR(__xludf.DUMMYFUNCTION("""COMPUTED_VALUE"""),"p_348b2cbeb26c46d4e0a1422b656f8054845f05f3@inbound.aiesec.org")</f>
        <v>p_348b2cbeb26c46d4e0a1422b656f8054845f05f3@inbound.aiesec.org</v>
      </c>
      <c r="F1353" s="43">
        <f>IFERROR(__xludf.DUMMYFUNCTION("""COMPUTED_VALUE"""),2.9753469E7)</f>
        <v>29753469</v>
      </c>
      <c r="G1353" s="43" t="str">
        <f>IFERROR(__xludf.DUMMYFUNCTION("""COMPUTED_VALUE"""),"Tunisia")</f>
        <v>Tunisia</v>
      </c>
      <c r="H1353" s="43" t="str">
        <f>IFERROR(__xludf.DUMMYFUNCTION("""COMPUTED_VALUE"""),"Carthage")</f>
        <v>Carthage</v>
      </c>
      <c r="I1353" s="43" t="str">
        <f>IFERROR(__xludf.DUMMYFUNCTION("""COMPUTED_VALUE"""),"Turkey")</f>
        <v>Turkey</v>
      </c>
      <c r="J1353" s="43" t="str">
        <f>IFERROR(__xludf.DUMMYFUNCTION("""COMPUTED_VALUE"""),"KOCAELI")</f>
        <v>KOCAELI</v>
      </c>
      <c r="K1353" s="44" t="str">
        <f>IFERROR(__xludf.DUMMYFUNCTION("""COMPUTED_VALUE"""),"https://expa.aiesec.org/opportunities/1279126")</f>
        <v>https://expa.aiesec.org/opportunities/1279126</v>
      </c>
      <c r="L1353" s="43" t="str">
        <f>IFERROR(__xludf.DUMMYFUNCTION("""COMPUTED_VALUE"""),"GV")</f>
        <v>GV</v>
      </c>
      <c r="M1353" s="43" t="str">
        <f>IFERROR(__xludf.DUMMYFUNCTION("""COMPUTED_VALUE"""),"short")</f>
        <v>short</v>
      </c>
      <c r="N1353" s="45">
        <f>IFERROR(__xludf.DUMMYFUNCTION("""COMPUTED_VALUE"""),45191.0)</f>
        <v>45191</v>
      </c>
      <c r="O1353" s="45">
        <f>IFERROR(__xludf.DUMMYFUNCTION("""COMPUTED_VALUE"""),45243.0)</f>
        <v>45243</v>
      </c>
      <c r="P1353" s="45">
        <f>IFERROR(__xludf.DUMMYFUNCTION("""COMPUTED_VALUE"""),45285.0)</f>
        <v>45285</v>
      </c>
      <c r="Q1353" s="45">
        <f>IFERROR(__xludf.DUMMYFUNCTION("""COMPUTED_VALUE"""),45243.0)</f>
        <v>45243</v>
      </c>
      <c r="R1353" s="45">
        <f>IFERROR(__xludf.DUMMYFUNCTION("""COMPUTED_VALUE"""),45285.0)</f>
        <v>45285</v>
      </c>
      <c r="S1353" s="43"/>
      <c r="T1353" s="43"/>
      <c r="U1353" s="43" t="str">
        <f>IFERROR(__xludf.DUMMYFUNCTION("""COMPUTED_VALUE"""),"Global Classroom")</f>
        <v>Global Classroom</v>
      </c>
      <c r="V1353" s="43" t="str">
        <f>IFERROR(__xludf.DUMMYFUNCTION("""COMPUTED_VALUE"""),"FSJPST")</f>
        <v>FSJPST</v>
      </c>
      <c r="W1353" s="43" t="str">
        <f>IFERROR(__xludf.DUMMYFUNCTION("""COMPUTED_VALUE"""),"2023-09-22T13:51:22Z")</f>
        <v>2023-09-22T13:51:22Z</v>
      </c>
      <c r="X1353" s="43"/>
      <c r="Y1353" s="43"/>
      <c r="Z1353" s="43"/>
    </row>
    <row r="1354" hidden="1">
      <c r="A1354" s="43" t="str">
        <f>IFERROR(__xludf.DUMMYFUNCTION("""COMPUTED_VALUE"""),"5329994_1279126")</f>
        <v>5329994_1279126</v>
      </c>
      <c r="B1354" s="43" t="str">
        <f>IFERROR(__xludf.DUMMYFUNCTION("""COMPUTED_VALUE"""),"Amal Ettayeb")</f>
        <v>Amal Ettayeb</v>
      </c>
      <c r="C1354" s="43" t="str">
        <f>IFERROR(__xludf.DUMMYFUNCTION("""COMPUTED_VALUE"""),"approved")</f>
        <v>approved</v>
      </c>
      <c r="D1354" s="43" t="str">
        <f>IFERROR(__xludf.DUMMYFUNCTION("""COMPUTED_VALUE"""),"No")</f>
        <v>No</v>
      </c>
      <c r="E1354" s="43" t="str">
        <f>IFERROR(__xludf.DUMMYFUNCTION("""COMPUTED_VALUE"""),"p_8152f2e40c9c8931af48e60c371b8c386fbba0c6@inbound.aiesec.org")</f>
        <v>p_8152f2e40c9c8931af48e60c371b8c386fbba0c6@inbound.aiesec.org</v>
      </c>
      <c r="F1354" s="43">
        <f>IFERROR(__xludf.DUMMYFUNCTION("""COMPUTED_VALUE"""),2.9734729E7)</f>
        <v>29734729</v>
      </c>
      <c r="G1354" s="43" t="str">
        <f>IFERROR(__xludf.DUMMYFUNCTION("""COMPUTED_VALUE"""),"Tunisia")</f>
        <v>Tunisia</v>
      </c>
      <c r="H1354" s="43" t="str">
        <f>IFERROR(__xludf.DUMMYFUNCTION("""COMPUTED_VALUE"""),"HADRUMET")</f>
        <v>HADRUMET</v>
      </c>
      <c r="I1354" s="43" t="str">
        <f>IFERROR(__xludf.DUMMYFUNCTION("""COMPUTED_VALUE"""),"Turkey")</f>
        <v>Turkey</v>
      </c>
      <c r="J1354" s="43" t="str">
        <f>IFERROR(__xludf.DUMMYFUNCTION("""COMPUTED_VALUE"""),"KOCAELI")</f>
        <v>KOCAELI</v>
      </c>
      <c r="K1354" s="44" t="str">
        <f>IFERROR(__xludf.DUMMYFUNCTION("""COMPUTED_VALUE"""),"https://expa.aiesec.org/opportunities/1279126")</f>
        <v>https://expa.aiesec.org/opportunities/1279126</v>
      </c>
      <c r="L1354" s="43" t="str">
        <f>IFERROR(__xludf.DUMMYFUNCTION("""COMPUTED_VALUE"""),"GV")</f>
        <v>GV</v>
      </c>
      <c r="M1354" s="43" t="str">
        <f>IFERROR(__xludf.DUMMYFUNCTION("""COMPUTED_VALUE"""),"short")</f>
        <v>short</v>
      </c>
      <c r="N1354" s="45">
        <f>IFERROR(__xludf.DUMMYFUNCTION("""COMPUTED_VALUE"""),45191.0)</f>
        <v>45191</v>
      </c>
      <c r="O1354" s="45">
        <f>IFERROR(__xludf.DUMMYFUNCTION("""COMPUTED_VALUE"""),45334.0)</f>
        <v>45334</v>
      </c>
      <c r="P1354" s="45">
        <f>IFERROR(__xludf.DUMMYFUNCTION("""COMPUTED_VALUE"""),45376.0)</f>
        <v>45376</v>
      </c>
      <c r="Q1354" s="45"/>
      <c r="R1354" s="45"/>
      <c r="S1354" s="43"/>
      <c r="T1354" s="43"/>
      <c r="U1354" s="43" t="str">
        <f>IFERROR(__xludf.DUMMYFUNCTION("""COMPUTED_VALUE"""),"Global Classroom")</f>
        <v>Global Classroom</v>
      </c>
      <c r="V1354" s="43" t="str">
        <f>IFERROR(__xludf.DUMMYFUNCTION("""COMPUTED_VALUE"""),"Faculté de Droit et des Sciences  Politiques de Sousse")</f>
        <v>Faculté de Droit et des Sciences  Politiques de Sousse</v>
      </c>
      <c r="W1354" s="43" t="str">
        <f>IFERROR(__xludf.DUMMYFUNCTION("""COMPUTED_VALUE"""),"2023-09-22T13:16:31Z")</f>
        <v>2023-09-22T13:16:31Z</v>
      </c>
      <c r="X1354" s="43"/>
      <c r="Y1354" s="43"/>
      <c r="Z1354" s="43"/>
    </row>
    <row r="1355" hidden="1">
      <c r="A1355" s="43" t="str">
        <f>IFERROR(__xludf.DUMMYFUNCTION("""COMPUTED_VALUE"""),"5320447_1295453")</f>
        <v>5320447_1295453</v>
      </c>
      <c r="B1355" s="43" t="str">
        <f>IFERROR(__xludf.DUMMYFUNCTION("""COMPUTED_VALUE"""),"sandra hafez")</f>
        <v>sandra hafez</v>
      </c>
      <c r="C1355" s="43" t="str">
        <f>IFERROR(__xludf.DUMMYFUNCTION("""COMPUTED_VALUE"""),"approved")</f>
        <v>approved</v>
      </c>
      <c r="D1355" s="43" t="str">
        <f>IFERROR(__xludf.DUMMYFUNCTION("""COMPUTED_VALUE"""),"No")</f>
        <v>No</v>
      </c>
      <c r="E1355" s="43" t="str">
        <f>IFERROR(__xludf.DUMMYFUNCTION("""COMPUTED_VALUE"""),"p_4303d570fc52eb89e91047800f05f165c9046a53@inbound.aiesec.org")</f>
        <v>p_4303d570fc52eb89e91047800f05f165c9046a53@inbound.aiesec.org</v>
      </c>
      <c r="F1355" s="43">
        <f>IFERROR(__xludf.DUMMYFUNCTION("""COMPUTED_VALUE"""),1.279898499E9)</f>
        <v>1279898499</v>
      </c>
      <c r="G1355" s="43" t="str">
        <f>IFERROR(__xludf.DUMMYFUNCTION("""COMPUTED_VALUE"""),"Egypt")</f>
        <v>Egypt</v>
      </c>
      <c r="H1355" s="43" t="str">
        <f>IFERROR(__xludf.DUMMYFUNCTION("""COMPUTED_VALUE"""),"Ain Shams University")</f>
        <v>Ain Shams University</v>
      </c>
      <c r="I1355" s="43" t="str">
        <f>IFERROR(__xludf.DUMMYFUNCTION("""COMPUTED_VALUE"""),"Turkey")</f>
        <v>Turkey</v>
      </c>
      <c r="J1355" s="43" t="str">
        <f>IFERROR(__xludf.DUMMYFUNCTION("""COMPUTED_VALUE"""),"GAZIANTEP")</f>
        <v>GAZIANTEP</v>
      </c>
      <c r="K1355" s="44" t="str">
        <f>IFERROR(__xludf.DUMMYFUNCTION("""COMPUTED_VALUE"""),"https://expa.aiesec.org/opportunities/1295453")</f>
        <v>https://expa.aiesec.org/opportunities/1295453</v>
      </c>
      <c r="L1355" s="43" t="str">
        <f>IFERROR(__xludf.DUMMYFUNCTION("""COMPUTED_VALUE"""),"GV")</f>
        <v>GV</v>
      </c>
      <c r="M1355" s="43" t="str">
        <f>IFERROR(__xludf.DUMMYFUNCTION("""COMPUTED_VALUE"""),"short")</f>
        <v>short</v>
      </c>
      <c r="N1355" s="45">
        <f>IFERROR(__xludf.DUMMYFUNCTION("""COMPUTED_VALUE"""),45192.0)</f>
        <v>45192</v>
      </c>
      <c r="O1355" s="45">
        <f>IFERROR(__xludf.DUMMYFUNCTION("""COMPUTED_VALUE"""),45516.0)</f>
        <v>45516</v>
      </c>
      <c r="P1355" s="45">
        <f>IFERROR(__xludf.DUMMYFUNCTION("""COMPUTED_VALUE"""),45558.0)</f>
        <v>45558</v>
      </c>
      <c r="Q1355" s="45"/>
      <c r="R1355" s="45"/>
      <c r="S1355" s="43"/>
      <c r="T1355" s="43"/>
      <c r="U1355" s="43" t="str">
        <f>IFERROR(__xludf.DUMMYFUNCTION("""COMPUTED_VALUE"""),"Global Classroom")</f>
        <v>Global Classroom</v>
      </c>
      <c r="V1355" s="43" t="str">
        <f>IFERROR(__xludf.DUMMYFUNCTION("""COMPUTED_VALUE"""),"Ain Shams University")</f>
        <v>Ain Shams University</v>
      </c>
      <c r="W1355" s="43" t="str">
        <f>IFERROR(__xludf.DUMMYFUNCTION("""COMPUTED_VALUE"""),"2023-09-08T16:04:27Z")</f>
        <v>2023-09-08T16:04:27Z</v>
      </c>
      <c r="X1355" s="43"/>
      <c r="Y1355" s="43"/>
      <c r="Z1355" s="43"/>
    </row>
    <row r="1356" hidden="1">
      <c r="A1356" s="43" t="str">
        <f>IFERROR(__xludf.DUMMYFUNCTION("""COMPUTED_VALUE"""),"5319802_1295453")</f>
        <v>5319802_1295453</v>
      </c>
      <c r="B1356" s="43" t="str">
        <f>IFERROR(__xludf.DUMMYFUNCTION("""COMPUTED_VALUE"""),"susanna mokhtar")</f>
        <v>susanna mokhtar</v>
      </c>
      <c r="C1356" s="43" t="str">
        <f>IFERROR(__xludf.DUMMYFUNCTION("""COMPUTED_VALUE"""),"approved")</f>
        <v>approved</v>
      </c>
      <c r="D1356" s="43" t="str">
        <f>IFERROR(__xludf.DUMMYFUNCTION("""COMPUTED_VALUE"""),"No")</f>
        <v>No</v>
      </c>
      <c r="E1356" s="43" t="str">
        <f>IFERROR(__xludf.DUMMYFUNCTION("""COMPUTED_VALUE"""),"p_c252a07641ed5a81b3fa03866c0366a7914bd43b@inbound.aiesec.org")</f>
        <v>p_c252a07641ed5a81b3fa03866c0366a7914bd43b@inbound.aiesec.org</v>
      </c>
      <c r="F1356" s="43">
        <f>IFERROR(__xludf.DUMMYFUNCTION("""COMPUTED_VALUE"""),1.208369361E9)</f>
        <v>1208369361</v>
      </c>
      <c r="G1356" s="43" t="str">
        <f>IFERROR(__xludf.DUMMYFUNCTION("""COMPUTED_VALUE"""),"Egypt")</f>
        <v>Egypt</v>
      </c>
      <c r="H1356" s="43" t="str">
        <f>IFERROR(__xludf.DUMMYFUNCTION("""COMPUTED_VALUE"""),"Ain Shams University")</f>
        <v>Ain Shams University</v>
      </c>
      <c r="I1356" s="43" t="str">
        <f>IFERROR(__xludf.DUMMYFUNCTION("""COMPUTED_VALUE"""),"Turkey")</f>
        <v>Turkey</v>
      </c>
      <c r="J1356" s="43" t="str">
        <f>IFERROR(__xludf.DUMMYFUNCTION("""COMPUTED_VALUE"""),"GAZIANTEP")</f>
        <v>GAZIANTEP</v>
      </c>
      <c r="K1356" s="44" t="str">
        <f>IFERROR(__xludf.DUMMYFUNCTION("""COMPUTED_VALUE"""),"https://expa.aiesec.org/opportunities/1295453")</f>
        <v>https://expa.aiesec.org/opportunities/1295453</v>
      </c>
      <c r="L1356" s="43" t="str">
        <f>IFERROR(__xludf.DUMMYFUNCTION("""COMPUTED_VALUE"""),"GV")</f>
        <v>GV</v>
      </c>
      <c r="M1356" s="43" t="str">
        <f>IFERROR(__xludf.DUMMYFUNCTION("""COMPUTED_VALUE"""),"short")</f>
        <v>short</v>
      </c>
      <c r="N1356" s="45">
        <f>IFERROR(__xludf.DUMMYFUNCTION("""COMPUTED_VALUE"""),45192.0)</f>
        <v>45192</v>
      </c>
      <c r="O1356" s="45">
        <f>IFERROR(__xludf.DUMMYFUNCTION("""COMPUTED_VALUE"""),45516.0)</f>
        <v>45516</v>
      </c>
      <c r="P1356" s="45">
        <f>IFERROR(__xludf.DUMMYFUNCTION("""COMPUTED_VALUE"""),45558.0)</f>
        <v>45558</v>
      </c>
      <c r="Q1356" s="45"/>
      <c r="R1356" s="45"/>
      <c r="S1356" s="43"/>
      <c r="T1356" s="43"/>
      <c r="U1356" s="43" t="str">
        <f>IFERROR(__xludf.DUMMYFUNCTION("""COMPUTED_VALUE"""),"Global Classroom")</f>
        <v>Global Classroom</v>
      </c>
      <c r="V1356" s="43" t="str">
        <f>IFERROR(__xludf.DUMMYFUNCTION("""COMPUTED_VALUE"""),"Ain Shams University")</f>
        <v>Ain Shams University</v>
      </c>
      <c r="W1356" s="43" t="str">
        <f>IFERROR(__xludf.DUMMYFUNCTION("""COMPUTED_VALUE"""),"2023-09-07T15:41:49Z")</f>
        <v>2023-09-07T15:41:49Z</v>
      </c>
      <c r="X1356" s="43"/>
      <c r="Y1356" s="43"/>
      <c r="Z1356" s="43"/>
    </row>
    <row r="1357" hidden="1">
      <c r="A1357" s="43" t="str">
        <f>IFERROR(__xludf.DUMMYFUNCTION("""COMPUTED_VALUE"""),"5317265_1272564")</f>
        <v>5317265_1272564</v>
      </c>
      <c r="B1357" s="43" t="str">
        <f>IFERROR(__xludf.DUMMYFUNCTION("""COMPUTED_VALUE"""),"Olena Yeromina")</f>
        <v>Olena Yeromina</v>
      </c>
      <c r="C1357" s="43" t="str">
        <f>IFERROR(__xludf.DUMMYFUNCTION("""COMPUTED_VALUE"""),"completed")</f>
        <v>completed</v>
      </c>
      <c r="D1357" s="43" t="str">
        <f>IFERROR(__xludf.DUMMYFUNCTION("""COMPUTED_VALUE"""),"No")</f>
        <v>No</v>
      </c>
      <c r="E1357" s="43" t="str">
        <f>IFERROR(__xludf.DUMMYFUNCTION("""COMPUTED_VALUE"""),"p_f97dbdc3bfd74ee07ed40ee894b332caaae5e25f@inbound.aiesec.org")</f>
        <v>p_f97dbdc3bfd74ee07ed40ee894b332caaae5e25f@inbound.aiesec.org</v>
      </c>
      <c r="F1357" s="43"/>
      <c r="G1357" s="43" t="str">
        <f>IFERROR(__xludf.DUMMYFUNCTION("""COMPUTED_VALUE"""),"Ukraine")</f>
        <v>Ukraine</v>
      </c>
      <c r="H1357" s="43" t="str">
        <f>IFERROR(__xludf.DUMMYFUNCTION("""COMPUTED_VALUE"""),"CHERNIVTSI")</f>
        <v>CHERNIVTSI</v>
      </c>
      <c r="I1357" s="43" t="str">
        <f>IFERROR(__xludf.DUMMYFUNCTION("""COMPUTED_VALUE"""),"Turkey")</f>
        <v>Turkey</v>
      </c>
      <c r="J1357" s="43" t="str">
        <f>IFERROR(__xludf.DUMMYFUNCTION("""COMPUTED_VALUE"""),"ISTANBUL")</f>
        <v>ISTANBUL</v>
      </c>
      <c r="K1357" s="44" t="str">
        <f>IFERROR(__xludf.DUMMYFUNCTION("""COMPUTED_VALUE"""),"https://expa.aiesec.org/opportunities/1272564")</f>
        <v>https://expa.aiesec.org/opportunities/1272564</v>
      </c>
      <c r="L1357" s="43" t="str">
        <f>IFERROR(__xludf.DUMMYFUNCTION("""COMPUTED_VALUE"""),"GV")</f>
        <v>GV</v>
      </c>
      <c r="M1357" s="43" t="str">
        <f>IFERROR(__xludf.DUMMYFUNCTION("""COMPUTED_VALUE"""),"short")</f>
        <v>short</v>
      </c>
      <c r="N1357" s="45">
        <f>IFERROR(__xludf.DUMMYFUNCTION("""COMPUTED_VALUE"""),45192.0)</f>
        <v>45192</v>
      </c>
      <c r="O1357" s="45">
        <f>IFERROR(__xludf.DUMMYFUNCTION("""COMPUTED_VALUE"""),45256.0)</f>
        <v>45256</v>
      </c>
      <c r="P1357" s="45">
        <f>IFERROR(__xludf.DUMMYFUNCTION("""COMPUTED_VALUE"""),45298.0)</f>
        <v>45298</v>
      </c>
      <c r="Q1357" s="45">
        <f>IFERROR(__xludf.DUMMYFUNCTION("""COMPUTED_VALUE"""),45257.0)</f>
        <v>45257</v>
      </c>
      <c r="R1357" s="45">
        <f>IFERROR(__xludf.DUMMYFUNCTION("""COMPUTED_VALUE"""),45298.0)</f>
        <v>45298</v>
      </c>
      <c r="S1357" s="43"/>
      <c r="T1357" s="43"/>
      <c r="U1357" s="43" t="str">
        <f>IFERROR(__xludf.DUMMYFUNCTION("""COMPUTED_VALUE"""),"Global Classroom")</f>
        <v>Global Classroom</v>
      </c>
      <c r="V1357" s="43" t="str">
        <f>IFERROR(__xludf.DUMMYFUNCTION("""COMPUTED_VALUE"""),"-")</f>
        <v>-</v>
      </c>
      <c r="W1357" s="43" t="str">
        <f>IFERROR(__xludf.DUMMYFUNCTION("""COMPUTED_VALUE"""),"2023-09-03T08:42:33Z")</f>
        <v>2023-09-03T08:42:33Z</v>
      </c>
      <c r="X1357" s="43"/>
      <c r="Y1357" s="43"/>
      <c r="Z1357" s="43"/>
    </row>
    <row r="1358" hidden="1">
      <c r="A1358" s="43" t="str">
        <f>IFERROR(__xludf.DUMMYFUNCTION("""COMPUTED_VALUE"""),"5325632_1295453")</f>
        <v>5325632_1295453</v>
      </c>
      <c r="B1358" s="43" t="str">
        <f>IFERROR(__xludf.DUMMYFUNCTION("""COMPUTED_VALUE"""),"mohamed hamada")</f>
        <v>mohamed hamada</v>
      </c>
      <c r="C1358" s="43" t="str">
        <f>IFERROR(__xludf.DUMMYFUNCTION("""COMPUTED_VALUE"""),"approved")</f>
        <v>approved</v>
      </c>
      <c r="D1358" s="43" t="str">
        <f>IFERROR(__xludf.DUMMYFUNCTION("""COMPUTED_VALUE"""),"No")</f>
        <v>No</v>
      </c>
      <c r="E1358" s="43" t="str">
        <f>IFERROR(__xludf.DUMMYFUNCTION("""COMPUTED_VALUE"""),"p_82ca3cda9afc91dbeaadb21addc561cd603d62b7@inbound.aiesec.org")</f>
        <v>p_82ca3cda9afc91dbeaadb21addc561cd603d62b7@inbound.aiesec.org</v>
      </c>
      <c r="F1358" s="43">
        <f>IFERROR(__xludf.DUMMYFUNCTION("""COMPUTED_VALUE"""),1.011181272E9)</f>
        <v>1011181272</v>
      </c>
      <c r="G1358" s="43" t="str">
        <f>IFERROR(__xludf.DUMMYFUNCTION("""COMPUTED_VALUE"""),"Egypt")</f>
        <v>Egypt</v>
      </c>
      <c r="H1358" s="43" t="str">
        <f>IFERROR(__xludf.DUMMYFUNCTION("""COMPUTED_VALUE"""),"Ain Shams University")</f>
        <v>Ain Shams University</v>
      </c>
      <c r="I1358" s="43" t="str">
        <f>IFERROR(__xludf.DUMMYFUNCTION("""COMPUTED_VALUE"""),"Turkey")</f>
        <v>Turkey</v>
      </c>
      <c r="J1358" s="43" t="str">
        <f>IFERROR(__xludf.DUMMYFUNCTION("""COMPUTED_VALUE"""),"GAZIANTEP")</f>
        <v>GAZIANTEP</v>
      </c>
      <c r="K1358" s="44" t="str">
        <f>IFERROR(__xludf.DUMMYFUNCTION("""COMPUTED_VALUE"""),"https://expa.aiesec.org/opportunities/1295453")</f>
        <v>https://expa.aiesec.org/opportunities/1295453</v>
      </c>
      <c r="L1358" s="43" t="str">
        <f>IFERROR(__xludf.DUMMYFUNCTION("""COMPUTED_VALUE"""),"GV")</f>
        <v>GV</v>
      </c>
      <c r="M1358" s="43" t="str">
        <f>IFERROR(__xludf.DUMMYFUNCTION("""COMPUTED_VALUE"""),"short")</f>
        <v>short</v>
      </c>
      <c r="N1358" s="45">
        <f>IFERROR(__xludf.DUMMYFUNCTION("""COMPUTED_VALUE"""),45192.0)</f>
        <v>45192</v>
      </c>
      <c r="O1358" s="45">
        <f>IFERROR(__xludf.DUMMYFUNCTION("""COMPUTED_VALUE"""),45483.0)</f>
        <v>45483</v>
      </c>
      <c r="P1358" s="45">
        <f>IFERROR(__xludf.DUMMYFUNCTION("""COMPUTED_VALUE"""),45525.0)</f>
        <v>45525</v>
      </c>
      <c r="Q1358" s="45"/>
      <c r="R1358" s="45"/>
      <c r="S1358" s="43"/>
      <c r="T1358" s="43"/>
      <c r="U1358" s="43" t="str">
        <f>IFERROR(__xludf.DUMMYFUNCTION("""COMPUTED_VALUE"""),"Global Classroom")</f>
        <v>Global Classroom</v>
      </c>
      <c r="V1358" s="43" t="str">
        <f>IFERROR(__xludf.DUMMYFUNCTION("""COMPUTED_VALUE"""),"Ain Shams University")</f>
        <v>Ain Shams University</v>
      </c>
      <c r="W1358" s="43" t="str">
        <f>IFERROR(__xludf.DUMMYFUNCTION("""COMPUTED_VALUE"""),"2023-09-16T19:53:02Z")</f>
        <v>2023-09-16T19:53:02Z</v>
      </c>
      <c r="X1358" s="43"/>
      <c r="Y1358" s="43"/>
      <c r="Z1358" s="43"/>
    </row>
    <row r="1359" hidden="1">
      <c r="A1359" s="43" t="str">
        <f>IFERROR(__xludf.DUMMYFUNCTION("""COMPUTED_VALUE"""),"4325094_1289596")</f>
        <v>4325094_1289596</v>
      </c>
      <c r="B1359" s="43" t="str">
        <f>IFERROR(__xludf.DUMMYFUNCTION("""COMPUTED_VALUE"""),"Stefany Martins")</f>
        <v>Stefany Martins</v>
      </c>
      <c r="C1359" s="43" t="str">
        <f>IFERROR(__xludf.DUMMYFUNCTION("""COMPUTED_VALUE"""),"approved")</f>
        <v>approved</v>
      </c>
      <c r="D1359" s="43" t="str">
        <f>IFERROR(__xludf.DUMMYFUNCTION("""COMPUTED_VALUE"""),"No")</f>
        <v>No</v>
      </c>
      <c r="E1359" s="43" t="str">
        <f>IFERROR(__xludf.DUMMYFUNCTION("""COMPUTED_VALUE"""),"p_a3b211bc439124ed6cb5b544663b4d9adff5f451@inbound.aiesec.org")</f>
        <v>p_a3b211bc439124ed6cb5b544663b4d9adff5f451@inbound.aiesec.org</v>
      </c>
      <c r="F1359" s="43">
        <f>IFERROR(__xludf.DUMMYFUNCTION("""COMPUTED_VALUE"""),1.1931518382E10)</f>
        <v>11931518382</v>
      </c>
      <c r="G1359" s="43" t="str">
        <f>IFERROR(__xludf.DUMMYFUNCTION("""COMPUTED_VALUE"""),"Brazil")</f>
        <v>Brazil</v>
      </c>
      <c r="H1359" s="43" t="str">
        <f>IFERROR(__xludf.DUMMYFUNCTION("""COMPUTED_VALUE"""),"USP")</f>
        <v>USP</v>
      </c>
      <c r="I1359" s="43" t="str">
        <f>IFERROR(__xludf.DUMMYFUNCTION("""COMPUTED_VALUE"""),"Turkey")</f>
        <v>Turkey</v>
      </c>
      <c r="J1359" s="43" t="str">
        <f>IFERROR(__xludf.DUMMYFUNCTION("""COMPUTED_VALUE"""),"ISPARTA")</f>
        <v>ISPARTA</v>
      </c>
      <c r="K1359" s="44" t="str">
        <f>IFERROR(__xludf.DUMMYFUNCTION("""COMPUTED_VALUE"""),"https://expa.aiesec.org/opportunities/1289596")</f>
        <v>https://expa.aiesec.org/opportunities/1289596</v>
      </c>
      <c r="L1359" s="43" t="str">
        <f>IFERROR(__xludf.DUMMYFUNCTION("""COMPUTED_VALUE"""),"GV")</f>
        <v>GV</v>
      </c>
      <c r="M1359" s="43" t="str">
        <f>IFERROR(__xludf.DUMMYFUNCTION("""COMPUTED_VALUE"""),"short")</f>
        <v>short</v>
      </c>
      <c r="N1359" s="45">
        <f>IFERROR(__xludf.DUMMYFUNCTION("""COMPUTED_VALUE"""),45192.0)</f>
        <v>45192</v>
      </c>
      <c r="O1359" s="45">
        <f>IFERROR(__xludf.DUMMYFUNCTION("""COMPUTED_VALUE"""),45551.0)</f>
        <v>45551</v>
      </c>
      <c r="P1359" s="45">
        <f>IFERROR(__xludf.DUMMYFUNCTION("""COMPUTED_VALUE"""),45593.0)</f>
        <v>45593</v>
      </c>
      <c r="Q1359" s="45"/>
      <c r="R1359" s="45"/>
      <c r="S1359" s="43"/>
      <c r="T1359" s="43"/>
      <c r="U1359" s="43" t="str">
        <f>IFERROR(__xludf.DUMMYFUNCTION("""COMPUTED_VALUE"""),"Global Classroom")</f>
        <v>Global Classroom</v>
      </c>
      <c r="V1359" s="43" t="str">
        <f>IFERROR(__xludf.DUMMYFUNCTION("""COMPUTED_VALUE"""),"São Paulo - USP")</f>
        <v>São Paulo - USP</v>
      </c>
      <c r="W1359" s="43" t="str">
        <f>IFERROR(__xludf.DUMMYFUNCTION("""COMPUTED_VALUE"""),"2020-07-07T18:04:12Z")</f>
        <v>2020-07-07T18:04:12Z</v>
      </c>
      <c r="X1359" s="43"/>
      <c r="Y1359" s="43"/>
      <c r="Z1359" s="43"/>
    </row>
    <row r="1360" hidden="1">
      <c r="A1360" s="43" t="str">
        <f>IFERROR(__xludf.DUMMYFUNCTION("""COMPUTED_VALUE"""),"5306209_1272564")</f>
        <v>5306209_1272564</v>
      </c>
      <c r="B1360" s="43" t="str">
        <f>IFERROR(__xludf.DUMMYFUNCTION("""COMPUTED_VALUE"""),"Mutiara Ananda Hambali")</f>
        <v>Mutiara Ananda Hambali</v>
      </c>
      <c r="C1360" s="43" t="str">
        <f>IFERROR(__xludf.DUMMYFUNCTION("""COMPUTED_VALUE"""),"realized")</f>
        <v>realized</v>
      </c>
      <c r="D1360" s="43" t="str">
        <f>IFERROR(__xludf.DUMMYFUNCTION("""COMPUTED_VALUE"""),"No")</f>
        <v>No</v>
      </c>
      <c r="E1360" s="43" t="str">
        <f>IFERROR(__xludf.DUMMYFUNCTION("""COMPUTED_VALUE"""),"p_c462fb3a5f1d49b77d5bc7b869ea76012e33a85c@inbound.aiesec.org")</f>
        <v>p_c462fb3a5f1d49b77d5bc7b869ea76012e33a85c@inbound.aiesec.org</v>
      </c>
      <c r="F1360" s="43">
        <f>IFERROR(__xludf.DUMMYFUNCTION("""COMPUTED_VALUE"""),8.1617818171E10)</f>
        <v>81617818171</v>
      </c>
      <c r="G1360" s="43" t="str">
        <f>IFERROR(__xludf.DUMMYFUNCTION("""COMPUTED_VALUE"""),"Indonesia")</f>
        <v>Indonesia</v>
      </c>
      <c r="H1360" s="43" t="str">
        <f>IFERROR(__xludf.DUMMYFUNCTION("""COMPUTED_VALUE"""),"UPNVJ")</f>
        <v>UPNVJ</v>
      </c>
      <c r="I1360" s="43" t="str">
        <f>IFERROR(__xludf.DUMMYFUNCTION("""COMPUTED_VALUE"""),"Turkey")</f>
        <v>Turkey</v>
      </c>
      <c r="J1360" s="43" t="str">
        <f>IFERROR(__xludf.DUMMYFUNCTION("""COMPUTED_VALUE"""),"ISTANBUL")</f>
        <v>ISTANBUL</v>
      </c>
      <c r="K1360" s="44" t="str">
        <f>IFERROR(__xludf.DUMMYFUNCTION("""COMPUTED_VALUE"""),"https://expa.aiesec.org/opportunities/1272564")</f>
        <v>https://expa.aiesec.org/opportunities/1272564</v>
      </c>
      <c r="L1360" s="43" t="str">
        <f>IFERROR(__xludf.DUMMYFUNCTION("""COMPUTED_VALUE"""),"GV")</f>
        <v>GV</v>
      </c>
      <c r="M1360" s="43" t="str">
        <f>IFERROR(__xludf.DUMMYFUNCTION("""COMPUTED_VALUE"""),"short")</f>
        <v>short</v>
      </c>
      <c r="N1360" s="45">
        <f>IFERROR(__xludf.DUMMYFUNCTION("""COMPUTED_VALUE"""),45193.0)</f>
        <v>45193</v>
      </c>
      <c r="O1360" s="45">
        <f>IFERROR(__xludf.DUMMYFUNCTION("""COMPUTED_VALUE"""),45298.0)</f>
        <v>45298</v>
      </c>
      <c r="P1360" s="45">
        <f>IFERROR(__xludf.DUMMYFUNCTION("""COMPUTED_VALUE"""),45340.0)</f>
        <v>45340</v>
      </c>
      <c r="Q1360" s="45">
        <f>IFERROR(__xludf.DUMMYFUNCTION("""COMPUTED_VALUE"""),45300.0)</f>
        <v>45300</v>
      </c>
      <c r="R1360" s="45">
        <f>IFERROR(__xludf.DUMMYFUNCTION("""COMPUTED_VALUE"""),45340.0)</f>
        <v>45340</v>
      </c>
      <c r="S1360" s="43"/>
      <c r="T1360" s="43"/>
      <c r="U1360" s="43" t="str">
        <f>IFERROR(__xludf.DUMMYFUNCTION("""COMPUTED_VALUE"""),"Global Classroom")</f>
        <v>Global Classroom</v>
      </c>
      <c r="V1360" s="43" t="str">
        <f>IFERROR(__xludf.DUMMYFUNCTION("""COMPUTED_VALUE"""),"Universitas Pembangunan Nasional ""Veteran""  Jakarta")</f>
        <v>Universitas Pembangunan Nasional "Veteran"  Jakarta</v>
      </c>
      <c r="W1360" s="43" t="str">
        <f>IFERROR(__xludf.DUMMYFUNCTION("""COMPUTED_VALUE"""),"2023-08-21T03:16:19Z")</f>
        <v>2023-08-21T03:16:19Z</v>
      </c>
      <c r="X1360" s="43"/>
      <c r="Y1360" s="43"/>
      <c r="Z1360" s="43"/>
    </row>
    <row r="1361" hidden="1">
      <c r="A1361" s="43" t="str">
        <f>IFERROR(__xludf.DUMMYFUNCTION("""COMPUTED_VALUE"""),"5324999_1288663")</f>
        <v>5324999_1288663</v>
      </c>
      <c r="B1361" s="43" t="str">
        <f>IFERROR(__xludf.DUMMYFUNCTION("""COMPUTED_VALUE"""),"Abdelrahman Sobhy")</f>
        <v>Abdelrahman Sobhy</v>
      </c>
      <c r="C1361" s="43" t="str">
        <f>IFERROR(__xludf.DUMMYFUNCTION("""COMPUTED_VALUE"""),"approved")</f>
        <v>approved</v>
      </c>
      <c r="D1361" s="43" t="str">
        <f>IFERROR(__xludf.DUMMYFUNCTION("""COMPUTED_VALUE"""),"No")</f>
        <v>No</v>
      </c>
      <c r="E1361" s="43" t="str">
        <f>IFERROR(__xludf.DUMMYFUNCTION("""COMPUTED_VALUE"""),"p_ad116efa860a76d08bcae619134d0849457c6596@inbound.aiesec.org")</f>
        <v>p_ad116efa860a76d08bcae619134d0849457c6596@inbound.aiesec.org</v>
      </c>
      <c r="F1361" s="43">
        <f>IFERROR(__xludf.DUMMYFUNCTION("""COMPUTED_VALUE"""),1.117719565E9)</f>
        <v>1117719565</v>
      </c>
      <c r="G1361" s="43" t="str">
        <f>IFERROR(__xludf.DUMMYFUNCTION("""COMPUTED_VALUE"""),"Egypt")</f>
        <v>Egypt</v>
      </c>
      <c r="H1361" s="43" t="str">
        <f>IFERROR(__xludf.DUMMYFUNCTION("""COMPUTED_VALUE"""),"Alexandria")</f>
        <v>Alexandria</v>
      </c>
      <c r="I1361" s="43" t="str">
        <f>IFERROR(__xludf.DUMMYFUNCTION("""COMPUTED_VALUE"""),"Turkey")</f>
        <v>Turkey</v>
      </c>
      <c r="J1361" s="43" t="str">
        <f>IFERROR(__xludf.DUMMYFUNCTION("""COMPUTED_VALUE"""),"İZMİR")</f>
        <v>İZMİR</v>
      </c>
      <c r="K1361" s="44" t="str">
        <f>IFERROR(__xludf.DUMMYFUNCTION("""COMPUTED_VALUE"""),"https://expa.aiesec.org/opportunities/1288663")</f>
        <v>https://expa.aiesec.org/opportunities/1288663</v>
      </c>
      <c r="L1361" s="43" t="str">
        <f>IFERROR(__xludf.DUMMYFUNCTION("""COMPUTED_VALUE"""),"GV")</f>
        <v>GV</v>
      </c>
      <c r="M1361" s="43" t="str">
        <f>IFERROR(__xludf.DUMMYFUNCTION("""COMPUTED_VALUE"""),"short")</f>
        <v>short</v>
      </c>
      <c r="N1361" s="45">
        <f>IFERROR(__xludf.DUMMYFUNCTION("""COMPUTED_VALUE"""),45193.0)</f>
        <v>45193</v>
      </c>
      <c r="O1361" s="45">
        <f>IFERROR(__xludf.DUMMYFUNCTION("""COMPUTED_VALUE"""),45333.0)</f>
        <v>45333</v>
      </c>
      <c r="P1361" s="45">
        <f>IFERROR(__xludf.DUMMYFUNCTION("""COMPUTED_VALUE"""),45375.0)</f>
        <v>45375</v>
      </c>
      <c r="Q1361" s="45"/>
      <c r="R1361" s="45"/>
      <c r="S1361" s="43"/>
      <c r="T1361" s="43"/>
      <c r="U1361" s="43" t="str">
        <f>IFERROR(__xludf.DUMMYFUNCTION("""COMPUTED_VALUE"""),"Global Classroom")</f>
        <v>Global Classroom</v>
      </c>
      <c r="V1361" s="43" t="str">
        <f>IFERROR(__xludf.DUMMYFUNCTION("""COMPUTED_VALUE"""),"Alexandria University")</f>
        <v>Alexandria University</v>
      </c>
      <c r="W1361" s="43" t="str">
        <f>IFERROR(__xludf.DUMMYFUNCTION("""COMPUTED_VALUE"""),"2023-09-15T21:56:43Z")</f>
        <v>2023-09-15T21:56:43Z</v>
      </c>
      <c r="X1361" s="43"/>
      <c r="Y1361" s="43"/>
      <c r="Z1361" s="43"/>
    </row>
    <row r="1362" hidden="1">
      <c r="A1362" s="43" t="str">
        <f>IFERROR(__xludf.DUMMYFUNCTION("""COMPUTED_VALUE"""),"5331800_1289505")</f>
        <v>5331800_1289505</v>
      </c>
      <c r="B1362" s="43" t="str">
        <f>IFERROR(__xludf.DUMMYFUNCTION("""COMPUTED_VALUE"""),"Amal Bouchahda")</f>
        <v>Amal Bouchahda</v>
      </c>
      <c r="C1362" s="43" t="str">
        <f>IFERROR(__xludf.DUMMYFUNCTION("""COMPUTED_VALUE"""),"approved")</f>
        <v>approved</v>
      </c>
      <c r="D1362" s="43" t="str">
        <f>IFERROR(__xludf.DUMMYFUNCTION("""COMPUTED_VALUE"""),"No")</f>
        <v>No</v>
      </c>
      <c r="E1362" s="43" t="str">
        <f>IFERROR(__xludf.DUMMYFUNCTION("""COMPUTED_VALUE"""),"p_57a551b72896557dc1aa2db502b92cd415a74434@inbound.aiesec.org")</f>
        <v>p_57a551b72896557dc1aa2db502b92cd415a74434@inbound.aiesec.org</v>
      </c>
      <c r="F1362" s="43">
        <f>IFERROR(__xludf.DUMMYFUNCTION("""COMPUTED_VALUE"""),2.6827464E7)</f>
        <v>26827464</v>
      </c>
      <c r="G1362" s="43" t="str">
        <f>IFERROR(__xludf.DUMMYFUNCTION("""COMPUTED_VALUE"""),"Tunisia")</f>
        <v>Tunisia</v>
      </c>
      <c r="H1362" s="43" t="str">
        <f>IFERROR(__xludf.DUMMYFUNCTION("""COMPUTED_VALUE"""),"HADRUMET")</f>
        <v>HADRUMET</v>
      </c>
      <c r="I1362" s="43" t="str">
        <f>IFERROR(__xludf.DUMMYFUNCTION("""COMPUTED_VALUE"""),"Turkey")</f>
        <v>Turkey</v>
      </c>
      <c r="J1362" s="43" t="str">
        <f>IFERROR(__xludf.DUMMYFUNCTION("""COMPUTED_VALUE"""),"KOCAELI")</f>
        <v>KOCAELI</v>
      </c>
      <c r="K1362" s="44" t="str">
        <f>IFERROR(__xludf.DUMMYFUNCTION("""COMPUTED_VALUE"""),"https://expa.aiesec.org/opportunities/1289505")</f>
        <v>https://expa.aiesec.org/opportunities/1289505</v>
      </c>
      <c r="L1362" s="43" t="str">
        <f>IFERROR(__xludf.DUMMYFUNCTION("""COMPUTED_VALUE"""),"GV")</f>
        <v>GV</v>
      </c>
      <c r="M1362" s="43" t="str">
        <f>IFERROR(__xludf.DUMMYFUNCTION("""COMPUTED_VALUE"""),"short")</f>
        <v>short</v>
      </c>
      <c r="N1362" s="45">
        <f>IFERROR(__xludf.DUMMYFUNCTION("""COMPUTED_VALUE"""),45194.0)</f>
        <v>45194</v>
      </c>
      <c r="O1362" s="45">
        <f>IFERROR(__xludf.DUMMYFUNCTION("""COMPUTED_VALUE"""),45481.0)</f>
        <v>45481</v>
      </c>
      <c r="P1362" s="45">
        <f>IFERROR(__xludf.DUMMYFUNCTION("""COMPUTED_VALUE"""),45523.0)</f>
        <v>45523</v>
      </c>
      <c r="Q1362" s="45"/>
      <c r="R1362" s="45"/>
      <c r="S1362" s="43"/>
      <c r="T1362" s="43"/>
      <c r="U1362" s="43" t="str">
        <f>IFERROR(__xludf.DUMMYFUNCTION("""COMPUTED_VALUE"""),"Youth 4 Impact")</f>
        <v>Youth 4 Impact</v>
      </c>
      <c r="V1362" s="43" t="str">
        <f>IFERROR(__xludf.DUMMYFUNCTION("""COMPUTED_VALUE"""),"FLSH Sousse")</f>
        <v>FLSH Sousse</v>
      </c>
      <c r="W1362" s="43" t="str">
        <f>IFERROR(__xludf.DUMMYFUNCTION("""COMPUTED_VALUE"""),"2023-09-25T09:34:26Z")</f>
        <v>2023-09-25T09:34:26Z</v>
      </c>
      <c r="X1362" s="43"/>
      <c r="Y1362" s="43"/>
      <c r="Z1362" s="43"/>
    </row>
    <row r="1363" hidden="1">
      <c r="A1363" s="43" t="str">
        <f>IFERROR(__xludf.DUMMYFUNCTION("""COMPUTED_VALUE"""),"5324868_1297990")</f>
        <v>5324868_1297990</v>
      </c>
      <c r="B1363" s="43" t="str">
        <f>IFERROR(__xludf.DUMMYFUNCTION("""COMPUTED_VALUE"""),"Zuha Shah")</f>
        <v>Zuha Shah</v>
      </c>
      <c r="C1363" s="43" t="str">
        <f>IFERROR(__xludf.DUMMYFUNCTION("""COMPUTED_VALUE"""),"realized")</f>
        <v>realized</v>
      </c>
      <c r="D1363" s="43" t="str">
        <f>IFERROR(__xludf.DUMMYFUNCTION("""COMPUTED_VALUE"""),"No")</f>
        <v>No</v>
      </c>
      <c r="E1363" s="43" t="str">
        <f>IFERROR(__xludf.DUMMYFUNCTION("""COMPUTED_VALUE"""),"p_a9c77614f11539d44b2a9571ec84c8fe508fe225@inbound.aiesec.org")</f>
        <v>p_a9c77614f11539d44b2a9571ec84c8fe508fe225@inbound.aiesec.org</v>
      </c>
      <c r="F1363" s="43"/>
      <c r="G1363" s="43" t="str">
        <f>IFERROR(__xludf.DUMMYFUNCTION("""COMPUTED_VALUE"""),"Malaysia")</f>
        <v>Malaysia</v>
      </c>
      <c r="H1363" s="43" t="str">
        <f>IFERROR(__xludf.DUMMYFUNCTION("""COMPUTED_VALUE"""),"Universiti  Malaya (UM) , Kuala Lumpur")</f>
        <v>Universiti  Malaya (UM) , Kuala Lumpur</v>
      </c>
      <c r="I1363" s="43" t="str">
        <f>IFERROR(__xludf.DUMMYFUNCTION("""COMPUTED_VALUE"""),"Turkey")</f>
        <v>Turkey</v>
      </c>
      <c r="J1363" s="43" t="str">
        <f>IFERROR(__xludf.DUMMYFUNCTION("""COMPUTED_VALUE"""),"İZMİR")</f>
        <v>İZMİR</v>
      </c>
      <c r="K1363" s="44" t="str">
        <f>IFERROR(__xludf.DUMMYFUNCTION("""COMPUTED_VALUE"""),"https://expa.aiesec.org/opportunities/1297990")</f>
        <v>https://expa.aiesec.org/opportunities/1297990</v>
      </c>
      <c r="L1363" s="43" t="str">
        <f>IFERROR(__xludf.DUMMYFUNCTION("""COMPUTED_VALUE"""),"GV")</f>
        <v>GV</v>
      </c>
      <c r="M1363" s="43" t="str">
        <f>IFERROR(__xludf.DUMMYFUNCTION("""COMPUTED_VALUE"""),"short")</f>
        <v>short</v>
      </c>
      <c r="N1363" s="45">
        <f>IFERROR(__xludf.DUMMYFUNCTION("""COMPUTED_VALUE"""),45194.0)</f>
        <v>45194</v>
      </c>
      <c r="O1363" s="45">
        <f>IFERROR(__xludf.DUMMYFUNCTION("""COMPUTED_VALUE"""),45298.0)</f>
        <v>45298</v>
      </c>
      <c r="P1363" s="45">
        <f>IFERROR(__xludf.DUMMYFUNCTION("""COMPUTED_VALUE"""),45340.0)</f>
        <v>45340</v>
      </c>
      <c r="Q1363" s="45">
        <f>IFERROR(__xludf.DUMMYFUNCTION("""COMPUTED_VALUE"""),45307.0)</f>
        <v>45307</v>
      </c>
      <c r="R1363" s="45">
        <f>IFERROR(__xludf.DUMMYFUNCTION("""COMPUTED_VALUE"""),45349.0)</f>
        <v>45349</v>
      </c>
      <c r="S1363" s="43"/>
      <c r="T1363" s="43"/>
      <c r="U1363" s="43" t="str">
        <f>IFERROR(__xludf.DUMMYFUNCTION("""COMPUTED_VALUE"""),"Fingerprint")</f>
        <v>Fingerprint</v>
      </c>
      <c r="V1363" s="43" t="str">
        <f>IFERROR(__xludf.DUMMYFUNCTION("""COMPUTED_VALUE"""),"-")</f>
        <v>-</v>
      </c>
      <c r="W1363" s="43" t="str">
        <f>IFERROR(__xludf.DUMMYFUNCTION("""COMPUTED_VALUE"""),"2023-09-15T17:44:04Z")</f>
        <v>2023-09-15T17:44:04Z</v>
      </c>
      <c r="X1363" s="43"/>
      <c r="Y1363" s="43"/>
      <c r="Z1363" s="43"/>
    </row>
    <row r="1364" hidden="1">
      <c r="A1364" s="43" t="str">
        <f>IFERROR(__xludf.DUMMYFUNCTION("""COMPUTED_VALUE"""),"5322340_1289536")</f>
        <v>5322340_1289536</v>
      </c>
      <c r="B1364" s="43" t="str">
        <f>IFERROR(__xludf.DUMMYFUNCTION("""COMPUTED_VALUE"""),"Aala Ben hamada")</f>
        <v>Aala Ben hamada</v>
      </c>
      <c r="C1364" s="43" t="str">
        <f>IFERROR(__xludf.DUMMYFUNCTION("""COMPUTED_VALUE"""),"completed")</f>
        <v>completed</v>
      </c>
      <c r="D1364" s="43" t="str">
        <f>IFERROR(__xludf.DUMMYFUNCTION("""COMPUTED_VALUE"""),"No")</f>
        <v>No</v>
      </c>
      <c r="E1364" s="43" t="str">
        <f>IFERROR(__xludf.DUMMYFUNCTION("""COMPUTED_VALUE"""),"p_46149a68c890cbde3184211924ae8daaf9deb958@inbound.aiesec.org")</f>
        <v>p_46149a68c890cbde3184211924ae8daaf9deb958@inbound.aiesec.org</v>
      </c>
      <c r="F1364" s="43">
        <f>IFERROR(__xludf.DUMMYFUNCTION("""COMPUTED_VALUE"""),2.9643159E7)</f>
        <v>29643159</v>
      </c>
      <c r="G1364" s="43" t="str">
        <f>IFERROR(__xludf.DUMMYFUNCTION("""COMPUTED_VALUE"""),"Tunisia")</f>
        <v>Tunisia</v>
      </c>
      <c r="H1364" s="43" t="str">
        <f>IFERROR(__xludf.DUMMYFUNCTION("""COMPUTED_VALUE"""),"Carthage")</f>
        <v>Carthage</v>
      </c>
      <c r="I1364" s="43" t="str">
        <f>IFERROR(__xludf.DUMMYFUNCTION("""COMPUTED_VALUE"""),"Turkey")</f>
        <v>Turkey</v>
      </c>
      <c r="J1364" s="43" t="str">
        <f>IFERROR(__xludf.DUMMYFUNCTION("""COMPUTED_VALUE"""),"ISTANBUL")</f>
        <v>ISTANBUL</v>
      </c>
      <c r="K1364" s="44" t="str">
        <f>IFERROR(__xludf.DUMMYFUNCTION("""COMPUTED_VALUE"""),"https://expa.aiesec.org/opportunities/1289536")</f>
        <v>https://expa.aiesec.org/opportunities/1289536</v>
      </c>
      <c r="L1364" s="43" t="str">
        <f>IFERROR(__xludf.DUMMYFUNCTION("""COMPUTED_VALUE"""),"GV")</f>
        <v>GV</v>
      </c>
      <c r="M1364" s="43" t="str">
        <f>IFERROR(__xludf.DUMMYFUNCTION("""COMPUTED_VALUE"""),"short")</f>
        <v>short</v>
      </c>
      <c r="N1364" s="45">
        <f>IFERROR(__xludf.DUMMYFUNCTION("""COMPUTED_VALUE"""),45194.0)</f>
        <v>45194</v>
      </c>
      <c r="O1364" s="45">
        <f>IFERROR(__xludf.DUMMYFUNCTION("""COMPUTED_VALUE"""),45212.0)</f>
        <v>45212</v>
      </c>
      <c r="P1364" s="45">
        <f>IFERROR(__xludf.DUMMYFUNCTION("""COMPUTED_VALUE"""),45254.0)</f>
        <v>45254</v>
      </c>
      <c r="Q1364" s="45">
        <f>IFERROR(__xludf.DUMMYFUNCTION("""COMPUTED_VALUE"""),45215.0)</f>
        <v>45215</v>
      </c>
      <c r="R1364" s="45">
        <f>IFERROR(__xludf.DUMMYFUNCTION("""COMPUTED_VALUE"""),45256.0)</f>
        <v>45256</v>
      </c>
      <c r="S1364" s="43"/>
      <c r="T1364" s="43"/>
      <c r="U1364" s="43" t="str">
        <f>IFERROR(__xludf.DUMMYFUNCTION("""COMPUTED_VALUE"""),"Global Classroom")</f>
        <v>Global Classroom</v>
      </c>
      <c r="V1364" s="43" t="str">
        <f>IFERROR(__xludf.DUMMYFUNCTION("""COMPUTED_VALUE"""),"IHEC Carthage")</f>
        <v>IHEC Carthage</v>
      </c>
      <c r="W1364" s="43" t="str">
        <f>IFERROR(__xludf.DUMMYFUNCTION("""COMPUTED_VALUE"""),"2023-09-12T12:41:48Z")</f>
        <v>2023-09-12T12:41:48Z</v>
      </c>
      <c r="X1364" s="43"/>
      <c r="Y1364" s="43"/>
      <c r="Z1364" s="43"/>
    </row>
    <row r="1365" hidden="1">
      <c r="A1365" s="43" t="str">
        <f>IFERROR(__xludf.DUMMYFUNCTION("""COMPUTED_VALUE"""),"5305267_1289505")</f>
        <v>5305267_1289505</v>
      </c>
      <c r="B1365" s="43" t="str">
        <f>IFERROR(__xludf.DUMMYFUNCTION("""COMPUTED_VALUE"""),"Jihen Dhaouadi")</f>
        <v>Jihen Dhaouadi</v>
      </c>
      <c r="C1365" s="43" t="str">
        <f>IFERROR(__xludf.DUMMYFUNCTION("""COMPUTED_VALUE"""),"approved")</f>
        <v>approved</v>
      </c>
      <c r="D1365" s="43" t="str">
        <f>IFERROR(__xludf.DUMMYFUNCTION("""COMPUTED_VALUE"""),"No")</f>
        <v>No</v>
      </c>
      <c r="E1365" s="43" t="str">
        <f>IFERROR(__xludf.DUMMYFUNCTION("""COMPUTED_VALUE"""),"p_cacc72ffbaefd25180ecfcd8701f397f00bb6b83@inbound.aiesec.org")</f>
        <v>p_cacc72ffbaefd25180ecfcd8701f397f00bb6b83@inbound.aiesec.org</v>
      </c>
      <c r="F1365" s="43">
        <f>IFERROR(__xludf.DUMMYFUNCTION("""COMPUTED_VALUE"""),2.5943147E7)</f>
        <v>25943147</v>
      </c>
      <c r="G1365" s="43" t="str">
        <f>IFERROR(__xludf.DUMMYFUNCTION("""COMPUTED_VALUE"""),"Tunisia")</f>
        <v>Tunisia</v>
      </c>
      <c r="H1365" s="43" t="str">
        <f>IFERROR(__xludf.DUMMYFUNCTION("""COMPUTED_VALUE"""),"Carthage")</f>
        <v>Carthage</v>
      </c>
      <c r="I1365" s="43" t="str">
        <f>IFERROR(__xludf.DUMMYFUNCTION("""COMPUTED_VALUE"""),"Turkey")</f>
        <v>Turkey</v>
      </c>
      <c r="J1365" s="43" t="str">
        <f>IFERROR(__xludf.DUMMYFUNCTION("""COMPUTED_VALUE"""),"KOCAELI")</f>
        <v>KOCAELI</v>
      </c>
      <c r="K1365" s="44" t="str">
        <f>IFERROR(__xludf.DUMMYFUNCTION("""COMPUTED_VALUE"""),"https://expa.aiesec.org/opportunities/1289505")</f>
        <v>https://expa.aiesec.org/opportunities/1289505</v>
      </c>
      <c r="L1365" s="43" t="str">
        <f>IFERROR(__xludf.DUMMYFUNCTION("""COMPUTED_VALUE"""),"GV")</f>
        <v>GV</v>
      </c>
      <c r="M1365" s="43" t="str">
        <f>IFERROR(__xludf.DUMMYFUNCTION("""COMPUTED_VALUE"""),"short")</f>
        <v>short</v>
      </c>
      <c r="N1365" s="45">
        <f>IFERROR(__xludf.DUMMYFUNCTION("""COMPUTED_VALUE"""),45194.0)</f>
        <v>45194</v>
      </c>
      <c r="O1365" s="45">
        <f>IFERROR(__xludf.DUMMYFUNCTION("""COMPUTED_VALUE"""),45481.0)</f>
        <v>45481</v>
      </c>
      <c r="P1365" s="45">
        <f>IFERROR(__xludf.DUMMYFUNCTION("""COMPUTED_VALUE"""),45523.0)</f>
        <v>45523</v>
      </c>
      <c r="Q1365" s="45"/>
      <c r="R1365" s="45"/>
      <c r="S1365" s="43"/>
      <c r="T1365" s="43"/>
      <c r="U1365" s="43" t="str">
        <f>IFERROR(__xludf.DUMMYFUNCTION("""COMPUTED_VALUE"""),"Youth 4 Impact")</f>
        <v>Youth 4 Impact</v>
      </c>
      <c r="V1365" s="43" t="str">
        <f>IFERROR(__xludf.DUMMYFUNCTION("""COMPUTED_VALUE"""),"FSJPST")</f>
        <v>FSJPST</v>
      </c>
      <c r="W1365" s="43" t="str">
        <f>IFERROR(__xludf.DUMMYFUNCTION("""COMPUTED_VALUE"""),"2023-08-19T10:49:10Z")</f>
        <v>2023-08-19T10:49:10Z</v>
      </c>
      <c r="X1365" s="43"/>
      <c r="Y1365" s="43"/>
      <c r="Z1365" s="43"/>
    </row>
    <row r="1366" hidden="1">
      <c r="A1366" s="43" t="str">
        <f>IFERROR(__xludf.DUMMYFUNCTION("""COMPUTED_VALUE"""),"5323982_1299474")</f>
        <v>5323982_1299474</v>
      </c>
      <c r="B1366" s="43" t="str">
        <f>IFERROR(__xludf.DUMMYFUNCTION("""COMPUTED_VALUE"""),"Asma Tayechi")</f>
        <v>Asma Tayechi</v>
      </c>
      <c r="C1366" s="43" t="str">
        <f>IFERROR(__xludf.DUMMYFUNCTION("""COMPUTED_VALUE"""),"realized")</f>
        <v>realized</v>
      </c>
      <c r="D1366" s="43" t="str">
        <f>IFERROR(__xludf.DUMMYFUNCTION("""COMPUTED_VALUE"""),"No")</f>
        <v>No</v>
      </c>
      <c r="E1366" s="43" t="str">
        <f>IFERROR(__xludf.DUMMYFUNCTION("""COMPUTED_VALUE"""),"p_b098847e5de2e4becb0625e27819e236cee6742e@inbound.aiesec.org")</f>
        <v>p_b098847e5de2e4becb0625e27819e236cee6742e@inbound.aiesec.org</v>
      </c>
      <c r="F1366" s="43">
        <f>IFERROR(__xludf.DUMMYFUNCTION("""COMPUTED_VALUE"""),5.3160482E7)</f>
        <v>53160482</v>
      </c>
      <c r="G1366" s="43" t="str">
        <f>IFERROR(__xludf.DUMMYFUNCTION("""COMPUTED_VALUE"""),"Tunisia")</f>
        <v>Tunisia</v>
      </c>
      <c r="H1366" s="43" t="str">
        <f>IFERROR(__xludf.DUMMYFUNCTION("""COMPUTED_VALUE"""),"UNIVERSITY")</f>
        <v>UNIVERSITY</v>
      </c>
      <c r="I1366" s="43" t="str">
        <f>IFERROR(__xludf.DUMMYFUNCTION("""COMPUTED_VALUE"""),"Turkey")</f>
        <v>Turkey</v>
      </c>
      <c r="J1366" s="43" t="str">
        <f>IFERROR(__xludf.DUMMYFUNCTION("""COMPUTED_VALUE"""),"ANKARA")</f>
        <v>ANKARA</v>
      </c>
      <c r="K1366" s="44" t="str">
        <f>IFERROR(__xludf.DUMMYFUNCTION("""COMPUTED_VALUE"""),"https://expa.aiesec.org/opportunities/1299474")</f>
        <v>https://expa.aiesec.org/opportunities/1299474</v>
      </c>
      <c r="L1366" s="43" t="str">
        <f>IFERROR(__xludf.DUMMYFUNCTION("""COMPUTED_VALUE"""),"GV")</f>
        <v>GV</v>
      </c>
      <c r="M1366" s="43" t="str">
        <f>IFERROR(__xludf.DUMMYFUNCTION("""COMPUTED_VALUE"""),"short")</f>
        <v>short</v>
      </c>
      <c r="N1366" s="45">
        <f>IFERROR(__xludf.DUMMYFUNCTION("""COMPUTED_VALUE"""),45194.0)</f>
        <v>45194</v>
      </c>
      <c r="O1366" s="45">
        <f>IFERROR(__xludf.DUMMYFUNCTION("""COMPUTED_VALUE"""),45285.0)</f>
        <v>45285</v>
      </c>
      <c r="P1366" s="45">
        <f>IFERROR(__xludf.DUMMYFUNCTION("""COMPUTED_VALUE"""),45327.0)</f>
        <v>45327</v>
      </c>
      <c r="Q1366" s="45">
        <f>IFERROR(__xludf.DUMMYFUNCTION("""COMPUTED_VALUE"""),45293.0)</f>
        <v>45293</v>
      </c>
      <c r="R1366" s="45">
        <f>IFERROR(__xludf.DUMMYFUNCTION("""COMPUTED_VALUE"""),45335.0)</f>
        <v>45335</v>
      </c>
      <c r="S1366" s="43"/>
      <c r="T1366" s="43"/>
      <c r="U1366" s="43" t="str">
        <f>IFERROR(__xludf.DUMMYFUNCTION("""COMPUTED_VALUE"""),"Global Classroom")</f>
        <v>Global Classroom</v>
      </c>
      <c r="V1366" s="43" t="str">
        <f>IFERROR(__xludf.DUMMYFUNCTION("""COMPUTED_VALUE"""),"Université Centrale Droit et Gestion")</f>
        <v>Université Centrale Droit et Gestion</v>
      </c>
      <c r="W1366" s="43" t="str">
        <f>IFERROR(__xludf.DUMMYFUNCTION("""COMPUTED_VALUE"""),"2023-09-14T17:19:42Z")</f>
        <v>2023-09-14T17:19:42Z</v>
      </c>
      <c r="X1366" s="43"/>
      <c r="Y1366" s="43"/>
      <c r="Z1366" s="43"/>
    </row>
    <row r="1367" hidden="1">
      <c r="A1367" s="43" t="str">
        <f>IFERROR(__xludf.DUMMYFUNCTION("""COMPUTED_VALUE"""),"5307985_1289505")</f>
        <v>5307985_1289505</v>
      </c>
      <c r="B1367" s="43" t="str">
        <f>IFERROR(__xludf.DUMMYFUNCTION("""COMPUTED_VALUE"""),"Ahmed Ben Tanfous")</f>
        <v>Ahmed Ben Tanfous</v>
      </c>
      <c r="C1367" s="43" t="str">
        <f>IFERROR(__xludf.DUMMYFUNCTION("""COMPUTED_VALUE"""),"approved")</f>
        <v>approved</v>
      </c>
      <c r="D1367" s="43" t="str">
        <f>IFERROR(__xludf.DUMMYFUNCTION("""COMPUTED_VALUE"""),"No")</f>
        <v>No</v>
      </c>
      <c r="E1367" s="43" t="str">
        <f>IFERROR(__xludf.DUMMYFUNCTION("""COMPUTED_VALUE"""),"p_3a1ad5385046ff5c71e02271b20a65b2d0d241ad@inbound.aiesec.org")</f>
        <v>p_3a1ad5385046ff5c71e02271b20a65b2d0d241ad@inbound.aiesec.org</v>
      </c>
      <c r="F1367" s="43"/>
      <c r="G1367" s="43" t="str">
        <f>IFERROR(__xludf.DUMMYFUNCTION("""COMPUTED_VALUE"""),"Tunisia")</f>
        <v>Tunisia</v>
      </c>
      <c r="H1367" s="43" t="str">
        <f>IFERROR(__xludf.DUMMYFUNCTION("""COMPUTED_VALUE"""),"Carthage")</f>
        <v>Carthage</v>
      </c>
      <c r="I1367" s="43" t="str">
        <f>IFERROR(__xludf.DUMMYFUNCTION("""COMPUTED_VALUE"""),"Turkey")</f>
        <v>Turkey</v>
      </c>
      <c r="J1367" s="43" t="str">
        <f>IFERROR(__xludf.DUMMYFUNCTION("""COMPUTED_VALUE"""),"KOCAELI")</f>
        <v>KOCAELI</v>
      </c>
      <c r="K1367" s="44" t="str">
        <f>IFERROR(__xludf.DUMMYFUNCTION("""COMPUTED_VALUE"""),"https://expa.aiesec.org/opportunities/1289505")</f>
        <v>https://expa.aiesec.org/opportunities/1289505</v>
      </c>
      <c r="L1367" s="43" t="str">
        <f>IFERROR(__xludf.DUMMYFUNCTION("""COMPUTED_VALUE"""),"GV")</f>
        <v>GV</v>
      </c>
      <c r="M1367" s="43" t="str">
        <f>IFERROR(__xludf.DUMMYFUNCTION("""COMPUTED_VALUE"""),"short")</f>
        <v>short</v>
      </c>
      <c r="N1367" s="45">
        <f>IFERROR(__xludf.DUMMYFUNCTION("""COMPUTED_VALUE"""),45195.0)</f>
        <v>45195</v>
      </c>
      <c r="O1367" s="45">
        <f>IFERROR(__xludf.DUMMYFUNCTION("""COMPUTED_VALUE"""),45481.0)</f>
        <v>45481</v>
      </c>
      <c r="P1367" s="45">
        <f>IFERROR(__xludf.DUMMYFUNCTION("""COMPUTED_VALUE"""),45523.0)</f>
        <v>45523</v>
      </c>
      <c r="Q1367" s="45"/>
      <c r="R1367" s="45"/>
      <c r="S1367" s="43"/>
      <c r="T1367" s="43"/>
      <c r="U1367" s="43" t="str">
        <f>IFERROR(__xludf.DUMMYFUNCTION("""COMPUTED_VALUE"""),"Youth 4 Impact")</f>
        <v>Youth 4 Impact</v>
      </c>
      <c r="V1367" s="43" t="str">
        <f>IFERROR(__xludf.DUMMYFUNCTION("""COMPUTED_VALUE"""),"-")</f>
        <v>-</v>
      </c>
      <c r="W1367" s="43" t="str">
        <f>IFERROR(__xludf.DUMMYFUNCTION("""COMPUTED_VALUE"""),"2023-08-23T14:37:51Z")</f>
        <v>2023-08-23T14:37:51Z</v>
      </c>
      <c r="X1367" s="43"/>
      <c r="Y1367" s="43"/>
      <c r="Z1367" s="43"/>
    </row>
    <row r="1368" hidden="1">
      <c r="A1368" s="43" t="str">
        <f>IFERROR(__xludf.DUMMYFUNCTION("""COMPUTED_VALUE"""),"5155964_1272564")</f>
        <v>5155964_1272564</v>
      </c>
      <c r="B1368" s="43" t="str">
        <f>IFERROR(__xludf.DUMMYFUNCTION("""COMPUTED_VALUE"""),"Ines kadem")</f>
        <v>Ines kadem</v>
      </c>
      <c r="C1368" s="43" t="str">
        <f>IFERROR(__xludf.DUMMYFUNCTION("""COMPUTED_VALUE"""),"approved")</f>
        <v>approved</v>
      </c>
      <c r="D1368" s="43" t="str">
        <f>IFERROR(__xludf.DUMMYFUNCTION("""COMPUTED_VALUE"""),"No")</f>
        <v>No</v>
      </c>
      <c r="E1368" s="43" t="str">
        <f>IFERROR(__xludf.DUMMYFUNCTION("""COMPUTED_VALUE"""),"p_c88df9a7fe1a189efb7f17318814963d441ab6da@inbound.aiesec.org")</f>
        <v>p_c88df9a7fe1a189efb7f17318814963d441ab6da@inbound.aiesec.org</v>
      </c>
      <c r="F1368" s="43"/>
      <c r="G1368" s="43" t="str">
        <f>IFERROR(__xludf.DUMMYFUNCTION("""COMPUTED_VALUE"""),"Algeria")</f>
        <v>Algeria</v>
      </c>
      <c r="H1368" s="43" t="str">
        <f>IFERROR(__xludf.DUMMYFUNCTION("""COMPUTED_VALUE"""),"Oran")</f>
        <v>Oran</v>
      </c>
      <c r="I1368" s="43" t="str">
        <f>IFERROR(__xludf.DUMMYFUNCTION("""COMPUTED_VALUE"""),"Turkey")</f>
        <v>Turkey</v>
      </c>
      <c r="J1368" s="43" t="str">
        <f>IFERROR(__xludf.DUMMYFUNCTION("""COMPUTED_VALUE"""),"ISTANBUL")</f>
        <v>ISTANBUL</v>
      </c>
      <c r="K1368" s="44" t="str">
        <f>IFERROR(__xludf.DUMMYFUNCTION("""COMPUTED_VALUE"""),"https://expa.aiesec.org/opportunities/1272564")</f>
        <v>https://expa.aiesec.org/opportunities/1272564</v>
      </c>
      <c r="L1368" s="43" t="str">
        <f>IFERROR(__xludf.DUMMYFUNCTION("""COMPUTED_VALUE"""),"GV")</f>
        <v>GV</v>
      </c>
      <c r="M1368" s="43" t="str">
        <f>IFERROR(__xludf.DUMMYFUNCTION("""COMPUTED_VALUE"""),"short")</f>
        <v>short</v>
      </c>
      <c r="N1368" s="45">
        <f>IFERROR(__xludf.DUMMYFUNCTION("""COMPUTED_VALUE"""),45195.0)</f>
        <v>45195</v>
      </c>
      <c r="O1368" s="45">
        <f>IFERROR(__xludf.DUMMYFUNCTION("""COMPUTED_VALUE"""),45256.0)</f>
        <v>45256</v>
      </c>
      <c r="P1368" s="45">
        <f>IFERROR(__xludf.DUMMYFUNCTION("""COMPUTED_VALUE"""),45298.0)</f>
        <v>45298</v>
      </c>
      <c r="Q1368" s="45"/>
      <c r="R1368" s="45"/>
      <c r="S1368" s="43"/>
      <c r="T1368" s="43"/>
      <c r="U1368" s="43" t="str">
        <f>IFERROR(__xludf.DUMMYFUNCTION("""COMPUTED_VALUE"""),"Global Classroom")</f>
        <v>Global Classroom</v>
      </c>
      <c r="V1368" s="43" t="str">
        <f>IFERROR(__xludf.DUMMYFUNCTION("""COMPUTED_VALUE"""),"-")</f>
        <v>-</v>
      </c>
      <c r="W1368" s="43" t="str">
        <f>IFERROR(__xludf.DUMMYFUNCTION("""COMPUTED_VALUE"""),"2022-11-20T00:38:18Z")</f>
        <v>2022-11-20T00:38:18Z</v>
      </c>
      <c r="X1368" s="43"/>
      <c r="Y1368" s="43"/>
      <c r="Z1368" s="43"/>
    </row>
    <row r="1369" hidden="1">
      <c r="A1369" s="43" t="str">
        <f>IFERROR(__xludf.DUMMYFUNCTION("""COMPUTED_VALUE"""),"5322280_1295453")</f>
        <v>5322280_1295453</v>
      </c>
      <c r="B1369" s="43" t="str">
        <f>IFERROR(__xludf.DUMMYFUNCTION("""COMPUTED_VALUE"""),"Ilécio Fragoso")</f>
        <v>Ilécio Fragoso</v>
      </c>
      <c r="C1369" s="43" t="str">
        <f>IFERROR(__xludf.DUMMYFUNCTION("""COMPUTED_VALUE"""),"approved")</f>
        <v>approved</v>
      </c>
      <c r="D1369" s="43" t="str">
        <f>IFERROR(__xludf.DUMMYFUNCTION("""COMPUTED_VALUE"""),"No")</f>
        <v>No</v>
      </c>
      <c r="E1369" s="43" t="str">
        <f>IFERROR(__xludf.DUMMYFUNCTION("""COMPUTED_VALUE"""),"p_3faf070df8896c3dd6954a318bd6dd9849a35bf4@inbound.aiesec.org")</f>
        <v>p_3faf070df8896c3dd6954a318bd6dd9849a35bf4@inbound.aiesec.org</v>
      </c>
      <c r="F1369" s="43">
        <f>IFERROR(__xludf.DUMMYFUNCTION("""COMPUTED_VALUE"""),8.47554071E8)</f>
        <v>847554071</v>
      </c>
      <c r="G1369" s="43" t="str">
        <f>IFERROR(__xludf.DUMMYFUNCTION("""COMPUTED_VALUE"""),"Mozambique")</f>
        <v>Mozambique</v>
      </c>
      <c r="H1369" s="43" t="str">
        <f>IFERROR(__xludf.DUMMYFUNCTION("""COMPUTED_VALUE"""),"ISCTEM")</f>
        <v>ISCTEM</v>
      </c>
      <c r="I1369" s="43" t="str">
        <f>IFERROR(__xludf.DUMMYFUNCTION("""COMPUTED_VALUE"""),"Turkey")</f>
        <v>Turkey</v>
      </c>
      <c r="J1369" s="43" t="str">
        <f>IFERROR(__xludf.DUMMYFUNCTION("""COMPUTED_VALUE"""),"GAZIANTEP")</f>
        <v>GAZIANTEP</v>
      </c>
      <c r="K1369" s="44" t="str">
        <f>IFERROR(__xludf.DUMMYFUNCTION("""COMPUTED_VALUE"""),"https://expa.aiesec.org/opportunities/1295453")</f>
        <v>https://expa.aiesec.org/opportunities/1295453</v>
      </c>
      <c r="L1369" s="43" t="str">
        <f>IFERROR(__xludf.DUMMYFUNCTION("""COMPUTED_VALUE"""),"GV")</f>
        <v>GV</v>
      </c>
      <c r="M1369" s="43" t="str">
        <f>IFERROR(__xludf.DUMMYFUNCTION("""COMPUTED_VALUE"""),"short")</f>
        <v>short</v>
      </c>
      <c r="N1369" s="45">
        <f>IFERROR(__xludf.DUMMYFUNCTION("""COMPUTED_VALUE"""),45195.0)</f>
        <v>45195</v>
      </c>
      <c r="O1369" s="45">
        <f>IFERROR(__xludf.DUMMYFUNCTION("""COMPUTED_VALUE"""),45292.0)</f>
        <v>45292</v>
      </c>
      <c r="P1369" s="45">
        <f>IFERROR(__xludf.DUMMYFUNCTION("""COMPUTED_VALUE"""),45334.0)</f>
        <v>45334</v>
      </c>
      <c r="Q1369" s="45"/>
      <c r="R1369" s="45"/>
      <c r="S1369" s="43"/>
      <c r="T1369" s="43"/>
      <c r="U1369" s="43" t="str">
        <f>IFERROR(__xludf.DUMMYFUNCTION("""COMPUTED_VALUE"""),"Global Classroom")</f>
        <v>Global Classroom</v>
      </c>
      <c r="V1369" s="43" t="str">
        <f>IFERROR(__xludf.DUMMYFUNCTION("""COMPUTED_VALUE"""),"ISCTEM (Maputo)")</f>
        <v>ISCTEM (Maputo)</v>
      </c>
      <c r="W1369" s="43" t="str">
        <f>IFERROR(__xludf.DUMMYFUNCTION("""COMPUTED_VALUE"""),"2023-09-12T11:06:09Z")</f>
        <v>2023-09-12T11:06:09Z</v>
      </c>
      <c r="X1369" s="43"/>
      <c r="Y1369" s="43"/>
      <c r="Z1369" s="43"/>
    </row>
    <row r="1370" hidden="1">
      <c r="A1370" s="43" t="str">
        <f>IFERROR(__xludf.DUMMYFUNCTION("""COMPUTED_VALUE"""),"4981937_1295453")</f>
        <v>4981937_1295453</v>
      </c>
      <c r="B1370" s="43" t="str">
        <f>IFERROR(__xludf.DUMMYFUNCTION("""COMPUTED_VALUE"""),"Ziad Rashad")</f>
        <v>Ziad Rashad</v>
      </c>
      <c r="C1370" s="43" t="str">
        <f>IFERROR(__xludf.DUMMYFUNCTION("""COMPUTED_VALUE"""),"approved")</f>
        <v>approved</v>
      </c>
      <c r="D1370" s="43" t="str">
        <f>IFERROR(__xludf.DUMMYFUNCTION("""COMPUTED_VALUE"""),"No")</f>
        <v>No</v>
      </c>
      <c r="E1370" s="43" t="str">
        <f>IFERROR(__xludf.DUMMYFUNCTION("""COMPUTED_VALUE"""),"p_d4044ee5d5fc4a799b290668fa5c5248a97bd1a3@inbound.aiesec.org")</f>
        <v>p_d4044ee5d5fc4a799b290668fa5c5248a97bd1a3@inbound.aiesec.org</v>
      </c>
      <c r="F1370" s="43"/>
      <c r="G1370" s="43" t="str">
        <f>IFERROR(__xludf.DUMMYFUNCTION("""COMPUTED_VALUE"""),"Egypt")</f>
        <v>Egypt</v>
      </c>
      <c r="H1370" s="43" t="str">
        <f>IFERROR(__xludf.DUMMYFUNCTION("""COMPUTED_VALUE"""),"6th October University")</f>
        <v>6th October University</v>
      </c>
      <c r="I1370" s="43" t="str">
        <f>IFERROR(__xludf.DUMMYFUNCTION("""COMPUTED_VALUE"""),"Turkey")</f>
        <v>Turkey</v>
      </c>
      <c r="J1370" s="43" t="str">
        <f>IFERROR(__xludf.DUMMYFUNCTION("""COMPUTED_VALUE"""),"GAZIANTEP")</f>
        <v>GAZIANTEP</v>
      </c>
      <c r="K1370" s="44" t="str">
        <f>IFERROR(__xludf.DUMMYFUNCTION("""COMPUTED_VALUE"""),"https://expa.aiesec.org/opportunities/1295453")</f>
        <v>https://expa.aiesec.org/opportunities/1295453</v>
      </c>
      <c r="L1370" s="43" t="str">
        <f>IFERROR(__xludf.DUMMYFUNCTION("""COMPUTED_VALUE"""),"GV")</f>
        <v>GV</v>
      </c>
      <c r="M1370" s="43" t="str">
        <f>IFERROR(__xludf.DUMMYFUNCTION("""COMPUTED_VALUE"""),"short")</f>
        <v>short</v>
      </c>
      <c r="N1370" s="45">
        <f>IFERROR(__xludf.DUMMYFUNCTION("""COMPUTED_VALUE"""),45195.0)</f>
        <v>45195</v>
      </c>
      <c r="O1370" s="45">
        <f>IFERROR(__xludf.DUMMYFUNCTION("""COMPUTED_VALUE"""),45323.0)</f>
        <v>45323</v>
      </c>
      <c r="P1370" s="45">
        <f>IFERROR(__xludf.DUMMYFUNCTION("""COMPUTED_VALUE"""),45365.0)</f>
        <v>45365</v>
      </c>
      <c r="Q1370" s="45"/>
      <c r="R1370" s="45"/>
      <c r="S1370" s="43"/>
      <c r="T1370" s="43"/>
      <c r="U1370" s="43" t="str">
        <f>IFERROR(__xludf.DUMMYFUNCTION("""COMPUTED_VALUE"""),"Global Classroom")</f>
        <v>Global Classroom</v>
      </c>
      <c r="V1370" s="43" t="str">
        <f>IFERROR(__xludf.DUMMYFUNCTION("""COMPUTED_VALUE"""),"6th of October University")</f>
        <v>6th of October University</v>
      </c>
      <c r="W1370" s="43" t="str">
        <f>IFERROR(__xludf.DUMMYFUNCTION("""COMPUTED_VALUE"""),"2022-03-13T15:25:36Z")</f>
        <v>2022-03-13T15:25:36Z</v>
      </c>
      <c r="X1370" s="43"/>
      <c r="Y1370" s="43"/>
      <c r="Z1370" s="43"/>
    </row>
    <row r="1371" hidden="1">
      <c r="A1371" s="43" t="str">
        <f>IFERROR(__xludf.DUMMYFUNCTION("""COMPUTED_VALUE"""),"5258299_1296037")</f>
        <v>5258299_1296037</v>
      </c>
      <c r="B1371" s="43" t="str">
        <f>IFERROR(__xludf.DUMMYFUNCTION("""COMPUTED_VALUE"""),"Ange Vanette MBASSI Ihna")</f>
        <v>Ange Vanette MBASSI Ihna</v>
      </c>
      <c r="C1371" s="43" t="str">
        <f>IFERROR(__xludf.DUMMYFUNCTION("""COMPUTED_VALUE"""),"finished")</f>
        <v>finished</v>
      </c>
      <c r="D1371" s="43" t="str">
        <f>IFERROR(__xludf.DUMMYFUNCTION("""COMPUTED_VALUE"""),"No")</f>
        <v>No</v>
      </c>
      <c r="E1371" s="43" t="str">
        <f>IFERROR(__xludf.DUMMYFUNCTION("""COMPUTED_VALUE"""),"p_35c79452a0abc257c4b68975a8d7b5d0321bc46b@inbound.aiesec.org")</f>
        <v>p_35c79452a0abc257c4b68975a8d7b5d0321bc46b@inbound.aiesec.org</v>
      </c>
      <c r="F1371" s="43">
        <f>IFERROR(__xludf.DUMMYFUNCTION("""COMPUTED_VALUE"""),6.99421316E8)</f>
        <v>699421316</v>
      </c>
      <c r="G1371" s="43" t="str">
        <f>IFERROR(__xludf.DUMMYFUNCTION("""COMPUTED_VALUE"""),"Cameroon")</f>
        <v>Cameroon</v>
      </c>
      <c r="H1371" s="43" t="str">
        <f>IFERROR(__xludf.DUMMYFUNCTION("""COMPUTED_VALUE"""),"Douala")</f>
        <v>Douala</v>
      </c>
      <c r="I1371" s="43" t="str">
        <f>IFERROR(__xludf.DUMMYFUNCTION("""COMPUTED_VALUE"""),"Turkey")</f>
        <v>Turkey</v>
      </c>
      <c r="J1371" s="43" t="str">
        <f>IFERROR(__xludf.DUMMYFUNCTION("""COMPUTED_VALUE"""),"ADANA")</f>
        <v>ADANA</v>
      </c>
      <c r="K1371" s="44" t="str">
        <f>IFERROR(__xludf.DUMMYFUNCTION("""COMPUTED_VALUE"""),"https://expa.aiesec.org/opportunities/1296037")</f>
        <v>https://expa.aiesec.org/opportunities/1296037</v>
      </c>
      <c r="L1371" s="43" t="str">
        <f>IFERROR(__xludf.DUMMYFUNCTION("""COMPUTED_VALUE"""),"GV")</f>
        <v>GV</v>
      </c>
      <c r="M1371" s="43" t="str">
        <f>IFERROR(__xludf.DUMMYFUNCTION("""COMPUTED_VALUE"""),"short")</f>
        <v>short</v>
      </c>
      <c r="N1371" s="45">
        <f>IFERROR(__xludf.DUMMYFUNCTION("""COMPUTED_VALUE"""),45196.0)</f>
        <v>45196</v>
      </c>
      <c r="O1371" s="45">
        <f>IFERROR(__xludf.DUMMYFUNCTION("""COMPUTED_VALUE"""),45208.0)</f>
        <v>45208</v>
      </c>
      <c r="P1371" s="45">
        <f>IFERROR(__xludf.DUMMYFUNCTION("""COMPUTED_VALUE"""),45250.0)</f>
        <v>45250</v>
      </c>
      <c r="Q1371" s="45">
        <f>IFERROR(__xludf.DUMMYFUNCTION("""COMPUTED_VALUE"""),45210.0)</f>
        <v>45210</v>
      </c>
      <c r="R1371" s="45">
        <f>IFERROR(__xludf.DUMMYFUNCTION("""COMPUTED_VALUE"""),45252.0)</f>
        <v>45252</v>
      </c>
      <c r="S1371" s="43"/>
      <c r="T1371" s="43"/>
      <c r="U1371" s="43" t="str">
        <f>IFERROR(__xludf.DUMMYFUNCTION("""COMPUTED_VALUE"""),"Global Classroom")</f>
        <v>Global Classroom</v>
      </c>
      <c r="V1371" s="43" t="str">
        <f>IFERROR(__xludf.DUMMYFUNCTION("""COMPUTED_VALUE"""),"UNV Douala")</f>
        <v>UNV Douala</v>
      </c>
      <c r="W1371" s="43" t="str">
        <f>IFERROR(__xludf.DUMMYFUNCTION("""COMPUTED_VALUE"""),"2023-05-09T13:39:00Z")</f>
        <v>2023-05-09T13:39:00Z</v>
      </c>
      <c r="X1371" s="43"/>
      <c r="Y1371" s="43"/>
      <c r="Z1371" s="43"/>
    </row>
    <row r="1372" hidden="1">
      <c r="A1372" s="43" t="str">
        <f>IFERROR(__xludf.DUMMYFUNCTION("""COMPUTED_VALUE"""),"5301775_1287488")</f>
        <v>5301775_1287488</v>
      </c>
      <c r="B1372" s="43" t="str">
        <f>IFERROR(__xludf.DUMMYFUNCTION("""COMPUTED_VALUE"""),"Omkar Karjule")</f>
        <v>Omkar Karjule</v>
      </c>
      <c r="C1372" s="43" t="str">
        <f>IFERROR(__xludf.DUMMYFUNCTION("""COMPUTED_VALUE"""),"approved")</f>
        <v>approved</v>
      </c>
      <c r="D1372" s="43" t="str">
        <f>IFERROR(__xludf.DUMMYFUNCTION("""COMPUTED_VALUE"""),"No")</f>
        <v>No</v>
      </c>
      <c r="E1372" s="43" t="str">
        <f>IFERROR(__xludf.DUMMYFUNCTION("""COMPUTED_VALUE"""),"p_b128e322a47f9d4ef016bca93a10603712d691d5@inbound.aiesec.org")</f>
        <v>p_b128e322a47f9d4ef016bca93a10603712d691d5@inbound.aiesec.org</v>
      </c>
      <c r="F1372" s="43">
        <f>IFERROR(__xludf.DUMMYFUNCTION("""COMPUTED_VALUE"""),1.552272639E9)</f>
        <v>1552272639</v>
      </c>
      <c r="G1372" s="43" t="str">
        <f>IFERROR(__xludf.DUMMYFUNCTION("""COMPUTED_VALUE"""),"Egypt")</f>
        <v>Egypt</v>
      </c>
      <c r="H1372" s="43" t="str">
        <f>IFERROR(__xludf.DUMMYFUNCTION("""COMPUTED_VALUE"""),"Ain Shams University")</f>
        <v>Ain Shams University</v>
      </c>
      <c r="I1372" s="43" t="str">
        <f>IFERROR(__xludf.DUMMYFUNCTION("""COMPUTED_VALUE"""),"Turkey")</f>
        <v>Turkey</v>
      </c>
      <c r="J1372" s="43" t="str">
        <f>IFERROR(__xludf.DUMMYFUNCTION("""COMPUTED_VALUE"""),"ISTANBUL ASIA")</f>
        <v>ISTANBUL ASIA</v>
      </c>
      <c r="K1372" s="44" t="str">
        <f>IFERROR(__xludf.DUMMYFUNCTION("""COMPUTED_VALUE"""),"https://expa.aiesec.org/opportunities/1287488")</f>
        <v>https://expa.aiesec.org/opportunities/1287488</v>
      </c>
      <c r="L1372" s="43" t="str">
        <f>IFERROR(__xludf.DUMMYFUNCTION("""COMPUTED_VALUE"""),"GV")</f>
        <v>GV</v>
      </c>
      <c r="M1372" s="43" t="str">
        <f>IFERROR(__xludf.DUMMYFUNCTION("""COMPUTED_VALUE"""),"short")</f>
        <v>short</v>
      </c>
      <c r="N1372" s="45">
        <f>IFERROR(__xludf.DUMMYFUNCTION("""COMPUTED_VALUE"""),45196.0)</f>
        <v>45196</v>
      </c>
      <c r="O1372" s="45">
        <f>IFERROR(__xludf.DUMMYFUNCTION("""COMPUTED_VALUE"""),45334.0)</f>
        <v>45334</v>
      </c>
      <c r="P1372" s="45">
        <f>IFERROR(__xludf.DUMMYFUNCTION("""COMPUTED_VALUE"""),45376.0)</f>
        <v>45376</v>
      </c>
      <c r="Q1372" s="45"/>
      <c r="R1372" s="45"/>
      <c r="S1372" s="43"/>
      <c r="T1372" s="43"/>
      <c r="U1372" s="43" t="str">
        <f>IFERROR(__xludf.DUMMYFUNCTION("""COMPUTED_VALUE"""),"Global Classroom")</f>
        <v>Global Classroom</v>
      </c>
      <c r="V1372" s="43" t="str">
        <f>IFERROR(__xludf.DUMMYFUNCTION("""COMPUTED_VALUE"""),"Ain Shams University")</f>
        <v>Ain Shams University</v>
      </c>
      <c r="W1372" s="43" t="str">
        <f>IFERROR(__xludf.DUMMYFUNCTION("""COMPUTED_VALUE"""),"2023-08-12T21:54:17Z")</f>
        <v>2023-08-12T21:54:17Z</v>
      </c>
      <c r="X1372" s="43"/>
      <c r="Y1372" s="43"/>
      <c r="Z1372" s="43"/>
    </row>
    <row r="1373" hidden="1">
      <c r="A1373" s="43" t="str">
        <f>IFERROR(__xludf.DUMMYFUNCTION("""COMPUTED_VALUE"""),"5331388_1295453")</f>
        <v>5331388_1295453</v>
      </c>
      <c r="B1373" s="43" t="str">
        <f>IFERROR(__xludf.DUMMYFUNCTION("""COMPUTED_VALUE"""),"Hazem Ramadan")</f>
        <v>Hazem Ramadan</v>
      </c>
      <c r="C1373" s="43" t="str">
        <f>IFERROR(__xludf.DUMMYFUNCTION("""COMPUTED_VALUE"""),"approved")</f>
        <v>approved</v>
      </c>
      <c r="D1373" s="43" t="str">
        <f>IFERROR(__xludf.DUMMYFUNCTION("""COMPUTED_VALUE"""),"No")</f>
        <v>No</v>
      </c>
      <c r="E1373" s="43" t="str">
        <f>IFERROR(__xludf.DUMMYFUNCTION("""COMPUTED_VALUE"""),"p_717546c671f9695fc8fe4cd0eda7e4b35e2671d1@inbound.aiesec.org")</f>
        <v>p_717546c671f9695fc8fe4cd0eda7e4b35e2671d1@inbound.aiesec.org</v>
      </c>
      <c r="F1373" s="43">
        <f>IFERROR(__xludf.DUMMYFUNCTION("""COMPUTED_VALUE"""),1.211537349E9)</f>
        <v>1211537349</v>
      </c>
      <c r="G1373" s="43" t="str">
        <f>IFERROR(__xludf.DUMMYFUNCTION("""COMPUTED_VALUE"""),"Egypt")</f>
        <v>Egypt</v>
      </c>
      <c r="H1373" s="43" t="str">
        <f>IFERROR(__xludf.DUMMYFUNCTION("""COMPUTED_VALUE"""),"Alexandria")</f>
        <v>Alexandria</v>
      </c>
      <c r="I1373" s="43" t="str">
        <f>IFERROR(__xludf.DUMMYFUNCTION("""COMPUTED_VALUE"""),"Turkey")</f>
        <v>Turkey</v>
      </c>
      <c r="J1373" s="43" t="str">
        <f>IFERROR(__xludf.DUMMYFUNCTION("""COMPUTED_VALUE"""),"GAZIANTEP")</f>
        <v>GAZIANTEP</v>
      </c>
      <c r="K1373" s="44" t="str">
        <f>IFERROR(__xludf.DUMMYFUNCTION("""COMPUTED_VALUE"""),"https://expa.aiesec.org/opportunities/1295453")</f>
        <v>https://expa.aiesec.org/opportunities/1295453</v>
      </c>
      <c r="L1373" s="43" t="str">
        <f>IFERROR(__xludf.DUMMYFUNCTION("""COMPUTED_VALUE"""),"GV")</f>
        <v>GV</v>
      </c>
      <c r="M1373" s="43" t="str">
        <f>IFERROR(__xludf.DUMMYFUNCTION("""COMPUTED_VALUE"""),"short")</f>
        <v>short</v>
      </c>
      <c r="N1373" s="45">
        <f>IFERROR(__xludf.DUMMYFUNCTION("""COMPUTED_VALUE"""),45196.0)</f>
        <v>45196</v>
      </c>
      <c r="O1373" s="45">
        <f>IFERROR(__xludf.DUMMYFUNCTION("""COMPUTED_VALUE"""),45240.0)</f>
        <v>45240</v>
      </c>
      <c r="P1373" s="45">
        <f>IFERROR(__xludf.DUMMYFUNCTION("""COMPUTED_VALUE"""),45282.0)</f>
        <v>45282</v>
      </c>
      <c r="Q1373" s="45"/>
      <c r="R1373" s="45"/>
      <c r="S1373" s="43"/>
      <c r="T1373" s="43"/>
      <c r="U1373" s="43" t="str">
        <f>IFERROR(__xludf.DUMMYFUNCTION("""COMPUTED_VALUE"""),"Global Classroom")</f>
        <v>Global Classroom</v>
      </c>
      <c r="V1373" s="43" t="str">
        <f>IFERROR(__xludf.DUMMYFUNCTION("""COMPUTED_VALUE"""),"Alexandria University")</f>
        <v>Alexandria University</v>
      </c>
      <c r="W1373" s="43" t="str">
        <f>IFERROR(__xludf.DUMMYFUNCTION("""COMPUTED_VALUE"""),"2023-09-24T16:17:20Z")</f>
        <v>2023-09-24T16:17:20Z</v>
      </c>
      <c r="X1373" s="43"/>
      <c r="Y1373" s="43"/>
      <c r="Z1373" s="43"/>
    </row>
    <row r="1374" hidden="1">
      <c r="A1374" s="43" t="str">
        <f>IFERROR(__xludf.DUMMYFUNCTION("""COMPUTED_VALUE"""),"5264637_1298284")</f>
        <v>5264637_1298284</v>
      </c>
      <c r="B1374" s="43" t="str">
        <f>IFERROR(__xludf.DUMMYFUNCTION("""COMPUTED_VALUE"""),"Zair SOUMIA")</f>
        <v>Zair SOUMIA</v>
      </c>
      <c r="C1374" s="43" t="str">
        <f>IFERROR(__xludf.DUMMYFUNCTION("""COMPUTED_VALUE"""),"approved")</f>
        <v>approved</v>
      </c>
      <c r="D1374" s="43" t="str">
        <f>IFERROR(__xludf.DUMMYFUNCTION("""COMPUTED_VALUE"""),"No")</f>
        <v>No</v>
      </c>
      <c r="E1374" s="43" t="str">
        <f>IFERROR(__xludf.DUMMYFUNCTION("""COMPUTED_VALUE"""),"p_682fde1a1f552d943ff9b8069c9219c67b17b512@inbound.aiesec.org")</f>
        <v>p_682fde1a1f552d943ff9b8069c9219c67b17b512@inbound.aiesec.org</v>
      </c>
      <c r="F1374" s="43">
        <f>IFERROR(__xludf.DUMMYFUNCTION("""COMPUTED_VALUE"""),7.93302296E8)</f>
        <v>793302296</v>
      </c>
      <c r="G1374" s="43" t="str">
        <f>IFERROR(__xludf.DUMMYFUNCTION("""COMPUTED_VALUE"""),"Algeria")</f>
        <v>Algeria</v>
      </c>
      <c r="H1374" s="43" t="str">
        <f>IFERROR(__xludf.DUMMYFUNCTION("""COMPUTED_VALUE"""),"Oran")</f>
        <v>Oran</v>
      </c>
      <c r="I1374" s="43" t="str">
        <f>IFERROR(__xludf.DUMMYFUNCTION("""COMPUTED_VALUE"""),"Turkey")</f>
        <v>Turkey</v>
      </c>
      <c r="J1374" s="43" t="str">
        <f>IFERROR(__xludf.DUMMYFUNCTION("""COMPUTED_VALUE"""),"ISTANBUL")</f>
        <v>ISTANBUL</v>
      </c>
      <c r="K1374" s="44" t="str">
        <f>IFERROR(__xludf.DUMMYFUNCTION("""COMPUTED_VALUE"""),"https://expa.aiesec.org/opportunities/1298284")</f>
        <v>https://expa.aiesec.org/opportunities/1298284</v>
      </c>
      <c r="L1374" s="43" t="str">
        <f>IFERROR(__xludf.DUMMYFUNCTION("""COMPUTED_VALUE"""),"GV")</f>
        <v>GV</v>
      </c>
      <c r="M1374" s="43" t="str">
        <f>IFERROR(__xludf.DUMMYFUNCTION("""COMPUTED_VALUE"""),"short")</f>
        <v>short</v>
      </c>
      <c r="N1374" s="45">
        <f>IFERROR(__xludf.DUMMYFUNCTION("""COMPUTED_VALUE"""),45196.0)</f>
        <v>45196</v>
      </c>
      <c r="O1374" s="45">
        <f>IFERROR(__xludf.DUMMYFUNCTION("""COMPUTED_VALUE"""),45291.0)</f>
        <v>45291</v>
      </c>
      <c r="P1374" s="45">
        <f>IFERROR(__xludf.DUMMYFUNCTION("""COMPUTED_VALUE"""),45333.0)</f>
        <v>45333</v>
      </c>
      <c r="Q1374" s="45"/>
      <c r="R1374" s="45"/>
      <c r="S1374" s="43"/>
      <c r="T1374" s="43"/>
      <c r="U1374" s="43" t="str">
        <f>IFERROR(__xludf.DUMMYFUNCTION("""COMPUTED_VALUE"""),"Global Classroom")</f>
        <v>Global Classroom</v>
      </c>
      <c r="V1374" s="43" t="str">
        <f>IFERROR(__xludf.DUMMYFUNCTION("""COMPUTED_VALUE"""),"AIESEC in Oran")</f>
        <v>AIESEC in Oran</v>
      </c>
      <c r="W1374" s="43" t="str">
        <f>IFERROR(__xludf.DUMMYFUNCTION("""COMPUTED_VALUE"""),"2023-05-21T22:52:49Z")</f>
        <v>2023-05-21T22:52:49Z</v>
      </c>
      <c r="X1374" s="43"/>
      <c r="Y1374" s="43"/>
      <c r="Z1374" s="43"/>
    </row>
    <row r="1375" hidden="1">
      <c r="A1375" s="43" t="str">
        <f>IFERROR(__xludf.DUMMYFUNCTION("""COMPUTED_VALUE"""),"4219762_1298556")</f>
        <v>4219762_1298556</v>
      </c>
      <c r="B1375" s="43" t="str">
        <f>IFERROR(__xludf.DUMMYFUNCTION("""COMPUTED_VALUE"""),"Mennatallah Ali")</f>
        <v>Mennatallah Ali</v>
      </c>
      <c r="C1375" s="43" t="str">
        <f>IFERROR(__xludf.DUMMYFUNCTION("""COMPUTED_VALUE"""),"approved")</f>
        <v>approved</v>
      </c>
      <c r="D1375" s="43" t="str">
        <f>IFERROR(__xludf.DUMMYFUNCTION("""COMPUTED_VALUE"""),"No")</f>
        <v>No</v>
      </c>
      <c r="E1375" s="43" t="str">
        <f>IFERROR(__xludf.DUMMYFUNCTION("""COMPUTED_VALUE"""),"p_198f4451cdb1773150dd6bd0120583056f452b44@inbound.aiesec.org")</f>
        <v>p_198f4451cdb1773150dd6bd0120583056f452b44@inbound.aiesec.org</v>
      </c>
      <c r="F1375" s="43">
        <f>IFERROR(__xludf.DUMMYFUNCTION("""COMPUTED_VALUE"""),1.029617021E9)</f>
        <v>1029617021</v>
      </c>
      <c r="G1375" s="43" t="str">
        <f>IFERROR(__xludf.DUMMYFUNCTION("""COMPUTED_VALUE"""),"Egypt")</f>
        <v>Egypt</v>
      </c>
      <c r="H1375" s="43" t="str">
        <f>IFERROR(__xludf.DUMMYFUNCTION("""COMPUTED_VALUE"""),"Helwan")</f>
        <v>Helwan</v>
      </c>
      <c r="I1375" s="43" t="str">
        <f>IFERROR(__xludf.DUMMYFUNCTION("""COMPUTED_VALUE"""),"Turkey")</f>
        <v>Turkey</v>
      </c>
      <c r="J1375" s="43" t="str">
        <f>IFERROR(__xludf.DUMMYFUNCTION("""COMPUTED_VALUE"""),"KUTAHYA")</f>
        <v>KUTAHYA</v>
      </c>
      <c r="K1375" s="44" t="str">
        <f>IFERROR(__xludf.DUMMYFUNCTION("""COMPUTED_VALUE"""),"https://expa.aiesec.org/opportunities/1298556")</f>
        <v>https://expa.aiesec.org/opportunities/1298556</v>
      </c>
      <c r="L1375" s="43" t="str">
        <f>IFERROR(__xludf.DUMMYFUNCTION("""COMPUTED_VALUE"""),"GV")</f>
        <v>GV</v>
      </c>
      <c r="M1375" s="43" t="str">
        <f>IFERROR(__xludf.DUMMYFUNCTION("""COMPUTED_VALUE"""),"short")</f>
        <v>short</v>
      </c>
      <c r="N1375" s="45">
        <f>IFERROR(__xludf.DUMMYFUNCTION("""COMPUTED_VALUE"""),45196.0)</f>
        <v>45196</v>
      </c>
      <c r="O1375" s="45">
        <f>IFERROR(__xludf.DUMMYFUNCTION("""COMPUTED_VALUE"""),45495.0)</f>
        <v>45495</v>
      </c>
      <c r="P1375" s="45">
        <f>IFERROR(__xludf.DUMMYFUNCTION("""COMPUTED_VALUE"""),45537.0)</f>
        <v>45537</v>
      </c>
      <c r="Q1375" s="45"/>
      <c r="R1375" s="45"/>
      <c r="S1375" s="43"/>
      <c r="T1375" s="43"/>
      <c r="U1375" s="43" t="str">
        <f>IFERROR(__xludf.DUMMYFUNCTION("""COMPUTED_VALUE"""),"On The Map")</f>
        <v>On The Map</v>
      </c>
      <c r="V1375" s="43" t="str">
        <f>IFERROR(__xludf.DUMMYFUNCTION("""COMPUTED_VALUE"""),"Helwan University")</f>
        <v>Helwan University</v>
      </c>
      <c r="W1375" s="43" t="str">
        <f>IFERROR(__xludf.DUMMYFUNCTION("""COMPUTED_VALUE"""),"2020-02-27T13:26:36Z")</f>
        <v>2020-02-27T13:26:36Z</v>
      </c>
      <c r="X1375" s="43"/>
      <c r="Y1375" s="43"/>
      <c r="Z1375" s="43"/>
    </row>
    <row r="1376" hidden="1">
      <c r="A1376" s="43" t="str">
        <f>IFERROR(__xludf.DUMMYFUNCTION("""COMPUTED_VALUE"""),"4997167_1296670")</f>
        <v>4997167_1296670</v>
      </c>
      <c r="B1376" s="43" t="str">
        <f>IFERROR(__xludf.DUMMYFUNCTION("""COMPUTED_VALUE"""),"Tuka Adel Ahmed")</f>
        <v>Tuka Adel Ahmed</v>
      </c>
      <c r="C1376" s="43" t="str">
        <f>IFERROR(__xludf.DUMMYFUNCTION("""COMPUTED_VALUE"""),"approved")</f>
        <v>approved</v>
      </c>
      <c r="D1376" s="43" t="str">
        <f>IFERROR(__xludf.DUMMYFUNCTION("""COMPUTED_VALUE"""),"No")</f>
        <v>No</v>
      </c>
      <c r="E1376" s="43" t="str">
        <f>IFERROR(__xludf.DUMMYFUNCTION("""COMPUTED_VALUE"""),"p_4adb3dc6881073ce9579982c3fab5b5b05141c0f@inbound.aiesec.org")</f>
        <v>p_4adb3dc6881073ce9579982c3fab5b5b05141c0f@inbound.aiesec.org</v>
      </c>
      <c r="F1376" s="43">
        <f>IFERROR(__xludf.DUMMYFUNCTION("""COMPUTED_VALUE"""),1.150381019E9)</f>
        <v>1150381019</v>
      </c>
      <c r="G1376" s="43" t="str">
        <f>IFERROR(__xludf.DUMMYFUNCTION("""COMPUTED_VALUE"""),"Egypt")</f>
        <v>Egypt</v>
      </c>
      <c r="H1376" s="43" t="str">
        <f>IFERROR(__xludf.DUMMYFUNCTION("""COMPUTED_VALUE"""),"6th October University")</f>
        <v>6th October University</v>
      </c>
      <c r="I1376" s="43" t="str">
        <f>IFERROR(__xludf.DUMMYFUNCTION("""COMPUTED_VALUE"""),"Turkey")</f>
        <v>Turkey</v>
      </c>
      <c r="J1376" s="43" t="str">
        <f>IFERROR(__xludf.DUMMYFUNCTION("""COMPUTED_VALUE"""),"BURSA")</f>
        <v>BURSA</v>
      </c>
      <c r="K1376" s="44" t="str">
        <f>IFERROR(__xludf.DUMMYFUNCTION("""COMPUTED_VALUE"""),"https://expa.aiesec.org/opportunities/1296670")</f>
        <v>https://expa.aiesec.org/opportunities/1296670</v>
      </c>
      <c r="L1376" s="43" t="str">
        <f>IFERROR(__xludf.DUMMYFUNCTION("""COMPUTED_VALUE"""),"GV")</f>
        <v>GV</v>
      </c>
      <c r="M1376" s="43" t="str">
        <f>IFERROR(__xludf.DUMMYFUNCTION("""COMPUTED_VALUE"""),"short")</f>
        <v>short</v>
      </c>
      <c r="N1376" s="45">
        <f>IFERROR(__xludf.DUMMYFUNCTION("""COMPUTED_VALUE"""),45197.0)</f>
        <v>45197</v>
      </c>
      <c r="O1376" s="45">
        <f>IFERROR(__xludf.DUMMYFUNCTION("""COMPUTED_VALUE"""),45327.0)</f>
        <v>45327</v>
      </c>
      <c r="P1376" s="45">
        <f>IFERROR(__xludf.DUMMYFUNCTION("""COMPUTED_VALUE"""),45369.0)</f>
        <v>45369</v>
      </c>
      <c r="Q1376" s="45"/>
      <c r="R1376" s="45"/>
      <c r="S1376" s="43"/>
      <c r="T1376" s="43"/>
      <c r="U1376" s="43" t="str">
        <f>IFERROR(__xludf.DUMMYFUNCTION("""COMPUTED_VALUE"""),"Youth 4 Impact")</f>
        <v>Youth 4 Impact</v>
      </c>
      <c r="V1376" s="43" t="str">
        <f>IFERROR(__xludf.DUMMYFUNCTION("""COMPUTED_VALUE"""),"6th of October University")</f>
        <v>6th of October University</v>
      </c>
      <c r="W1376" s="43" t="str">
        <f>IFERROR(__xludf.DUMMYFUNCTION("""COMPUTED_VALUE"""),"2022-03-21T14:59:28Z")</f>
        <v>2022-03-21T14:59:28Z</v>
      </c>
      <c r="X1376" s="43"/>
      <c r="Y1376" s="43"/>
      <c r="Z1376" s="43"/>
    </row>
    <row r="1377" hidden="1">
      <c r="A1377" s="43" t="str">
        <f>IFERROR(__xludf.DUMMYFUNCTION("""COMPUTED_VALUE"""),"5307548_1272564")</f>
        <v>5307548_1272564</v>
      </c>
      <c r="B1377" s="43" t="str">
        <f>IFERROR(__xludf.DUMMYFUNCTION("""COMPUTED_VALUE"""),"Imene KHATIR")</f>
        <v>Imene KHATIR</v>
      </c>
      <c r="C1377" s="43" t="str">
        <f>IFERROR(__xludf.DUMMYFUNCTION("""COMPUTED_VALUE"""),"finished")</f>
        <v>finished</v>
      </c>
      <c r="D1377" s="43" t="str">
        <f>IFERROR(__xludf.DUMMYFUNCTION("""COMPUTED_VALUE"""),"No")</f>
        <v>No</v>
      </c>
      <c r="E1377" s="43" t="str">
        <f>IFERROR(__xludf.DUMMYFUNCTION("""COMPUTED_VALUE"""),"p_f68f615986854efaabf54dd2b6c8ece2081f0675@inbound.aiesec.org")</f>
        <v>p_f68f615986854efaabf54dd2b6c8ece2081f0675@inbound.aiesec.org</v>
      </c>
      <c r="F1377" s="43">
        <f>IFERROR(__xludf.DUMMYFUNCTION("""COMPUTED_VALUE"""),6.71226697E8)</f>
        <v>671226697</v>
      </c>
      <c r="G1377" s="43" t="str">
        <f>IFERROR(__xludf.DUMMYFUNCTION("""COMPUTED_VALUE"""),"Algeria")</f>
        <v>Algeria</v>
      </c>
      <c r="H1377" s="43" t="str">
        <f>IFERROR(__xludf.DUMMYFUNCTION("""COMPUTED_VALUE"""),"Oran")</f>
        <v>Oran</v>
      </c>
      <c r="I1377" s="43" t="str">
        <f>IFERROR(__xludf.DUMMYFUNCTION("""COMPUTED_VALUE"""),"Turkey")</f>
        <v>Turkey</v>
      </c>
      <c r="J1377" s="43" t="str">
        <f>IFERROR(__xludf.DUMMYFUNCTION("""COMPUTED_VALUE"""),"ISTANBUL")</f>
        <v>ISTANBUL</v>
      </c>
      <c r="K1377" s="44" t="str">
        <f>IFERROR(__xludf.DUMMYFUNCTION("""COMPUTED_VALUE"""),"https://expa.aiesec.org/opportunities/1272564")</f>
        <v>https://expa.aiesec.org/opportunities/1272564</v>
      </c>
      <c r="L1377" s="43" t="str">
        <f>IFERROR(__xludf.DUMMYFUNCTION("""COMPUTED_VALUE"""),"GV")</f>
        <v>GV</v>
      </c>
      <c r="M1377" s="43" t="str">
        <f>IFERROR(__xludf.DUMMYFUNCTION("""COMPUTED_VALUE"""),"short")</f>
        <v>short</v>
      </c>
      <c r="N1377" s="45">
        <f>IFERROR(__xludf.DUMMYFUNCTION("""COMPUTED_VALUE"""),45197.0)</f>
        <v>45197</v>
      </c>
      <c r="O1377" s="45">
        <f>IFERROR(__xludf.DUMMYFUNCTION("""COMPUTED_VALUE"""),45214.0)</f>
        <v>45214</v>
      </c>
      <c r="P1377" s="45">
        <f>IFERROR(__xludf.DUMMYFUNCTION("""COMPUTED_VALUE"""),45256.0)</f>
        <v>45256</v>
      </c>
      <c r="Q1377" s="45">
        <f>IFERROR(__xludf.DUMMYFUNCTION("""COMPUTED_VALUE"""),45216.0)</f>
        <v>45216</v>
      </c>
      <c r="R1377" s="45">
        <f>IFERROR(__xludf.DUMMYFUNCTION("""COMPUTED_VALUE"""),45256.0)</f>
        <v>45256</v>
      </c>
      <c r="S1377" s="43"/>
      <c r="T1377" s="43"/>
      <c r="U1377" s="43" t="str">
        <f>IFERROR(__xludf.DUMMYFUNCTION("""COMPUTED_VALUE"""),"Global Classroom")</f>
        <v>Global Classroom</v>
      </c>
      <c r="V1377" s="43" t="str">
        <f>IFERROR(__xludf.DUMMYFUNCTION("""COMPUTED_VALUE"""),"AIESEC in Oran")</f>
        <v>AIESEC in Oran</v>
      </c>
      <c r="W1377" s="43" t="str">
        <f>IFERROR(__xludf.DUMMYFUNCTION("""COMPUTED_VALUE"""),"2023-08-22T22:58:32Z")</f>
        <v>2023-08-22T22:58:32Z</v>
      </c>
      <c r="X1377" s="43"/>
      <c r="Y1377" s="43"/>
      <c r="Z1377" s="43"/>
    </row>
    <row r="1378" hidden="1">
      <c r="A1378" s="43" t="str">
        <f>IFERROR(__xludf.DUMMYFUNCTION("""COMPUTED_VALUE"""),"5336747_1298284")</f>
        <v>5336747_1298284</v>
      </c>
      <c r="B1378" s="43" t="str">
        <f>IFERROR(__xludf.DUMMYFUNCTION("""COMPUTED_VALUE"""),"allagui adem")</f>
        <v>allagui adem</v>
      </c>
      <c r="C1378" s="43" t="str">
        <f>IFERROR(__xludf.DUMMYFUNCTION("""COMPUTED_VALUE"""),"approved")</f>
        <v>approved</v>
      </c>
      <c r="D1378" s="43" t="str">
        <f>IFERROR(__xludf.DUMMYFUNCTION("""COMPUTED_VALUE"""),"No")</f>
        <v>No</v>
      </c>
      <c r="E1378" s="43" t="str">
        <f>IFERROR(__xludf.DUMMYFUNCTION("""COMPUTED_VALUE"""),"p_8d46a133e25e82e5653116ed74a17ced362bd023@inbound.aiesec.org")</f>
        <v>p_8d46a133e25e82e5653116ed74a17ced362bd023@inbound.aiesec.org</v>
      </c>
      <c r="F1378" s="43">
        <f>IFERROR(__xludf.DUMMYFUNCTION("""COMPUTED_VALUE"""),9.0365915E7)</f>
        <v>90365915</v>
      </c>
      <c r="G1378" s="43" t="str">
        <f>IFERROR(__xludf.DUMMYFUNCTION("""COMPUTED_VALUE"""),"Tunisia")</f>
        <v>Tunisia</v>
      </c>
      <c r="H1378" s="43" t="str">
        <f>IFERROR(__xludf.DUMMYFUNCTION("""COMPUTED_VALUE"""),"Carthage")</f>
        <v>Carthage</v>
      </c>
      <c r="I1378" s="43" t="str">
        <f>IFERROR(__xludf.DUMMYFUNCTION("""COMPUTED_VALUE"""),"Turkey")</f>
        <v>Turkey</v>
      </c>
      <c r="J1378" s="43" t="str">
        <f>IFERROR(__xludf.DUMMYFUNCTION("""COMPUTED_VALUE"""),"ISTANBUL")</f>
        <v>ISTANBUL</v>
      </c>
      <c r="K1378" s="44" t="str">
        <f>IFERROR(__xludf.DUMMYFUNCTION("""COMPUTED_VALUE"""),"https://expa.aiesec.org/opportunities/1298284")</f>
        <v>https://expa.aiesec.org/opportunities/1298284</v>
      </c>
      <c r="L1378" s="43" t="str">
        <f>IFERROR(__xludf.DUMMYFUNCTION("""COMPUTED_VALUE"""),"GV")</f>
        <v>GV</v>
      </c>
      <c r="M1378" s="43" t="str">
        <f>IFERROR(__xludf.DUMMYFUNCTION("""COMPUTED_VALUE"""),"short")</f>
        <v>short</v>
      </c>
      <c r="N1378" s="45">
        <f>IFERROR(__xludf.DUMMYFUNCTION("""COMPUTED_VALUE"""),45198.0)</f>
        <v>45198</v>
      </c>
      <c r="O1378" s="45">
        <f>IFERROR(__xludf.DUMMYFUNCTION("""COMPUTED_VALUE"""),45474.0)</f>
        <v>45474</v>
      </c>
      <c r="P1378" s="45">
        <f>IFERROR(__xludf.DUMMYFUNCTION("""COMPUTED_VALUE"""),45516.0)</f>
        <v>45516</v>
      </c>
      <c r="Q1378" s="45"/>
      <c r="R1378" s="45"/>
      <c r="S1378" s="43"/>
      <c r="T1378" s="43"/>
      <c r="U1378" s="43" t="str">
        <f>IFERROR(__xludf.DUMMYFUNCTION("""COMPUTED_VALUE"""),"Global Classroom")</f>
        <v>Global Classroom</v>
      </c>
      <c r="V1378" s="43" t="str">
        <f>IFERROR(__xludf.DUMMYFUNCTION("""COMPUTED_VALUE"""),"IHET Sidi Dhrif")</f>
        <v>IHET Sidi Dhrif</v>
      </c>
      <c r="W1378" s="43" t="str">
        <f>IFERROR(__xludf.DUMMYFUNCTION("""COMPUTED_VALUE"""),"2023-09-28T21:56:37Z")</f>
        <v>2023-09-28T21:56:37Z</v>
      </c>
      <c r="X1378" s="43"/>
      <c r="Y1378" s="43"/>
      <c r="Z1378" s="43"/>
    </row>
    <row r="1379" hidden="1">
      <c r="A1379" s="43" t="str">
        <f>IFERROR(__xludf.DUMMYFUNCTION("""COMPUTED_VALUE"""),"5288817_1295893")</f>
        <v>5288817_1295893</v>
      </c>
      <c r="B1379" s="43" t="str">
        <f>IFERROR(__xludf.DUMMYFUNCTION("""COMPUTED_VALUE"""),"Ziad Maher")</f>
        <v>Ziad Maher</v>
      </c>
      <c r="C1379" s="43" t="str">
        <f>IFERROR(__xludf.DUMMYFUNCTION("""COMPUTED_VALUE"""),"approved")</f>
        <v>approved</v>
      </c>
      <c r="D1379" s="43" t="str">
        <f>IFERROR(__xludf.DUMMYFUNCTION("""COMPUTED_VALUE"""),"No")</f>
        <v>No</v>
      </c>
      <c r="E1379" s="43" t="str">
        <f>IFERROR(__xludf.DUMMYFUNCTION("""COMPUTED_VALUE"""),"p_078b1a9bd7a7ea9331f604a792dcb3a85f761c56@inbound.aiesec.org")</f>
        <v>p_078b1a9bd7a7ea9331f604a792dcb3a85f761c56@inbound.aiesec.org</v>
      </c>
      <c r="F1379" s="43"/>
      <c r="G1379" s="43" t="str">
        <f>IFERROR(__xludf.DUMMYFUNCTION("""COMPUTED_VALUE"""),"Egypt")</f>
        <v>Egypt</v>
      </c>
      <c r="H1379" s="43" t="str">
        <f>IFERROR(__xludf.DUMMYFUNCTION("""COMPUTED_VALUE"""),"MUST")</f>
        <v>MUST</v>
      </c>
      <c r="I1379" s="43" t="str">
        <f>IFERROR(__xludf.DUMMYFUNCTION("""COMPUTED_VALUE"""),"Turkey")</f>
        <v>Turkey</v>
      </c>
      <c r="J1379" s="43" t="str">
        <f>IFERROR(__xludf.DUMMYFUNCTION("""COMPUTED_VALUE"""),"ADANA")</f>
        <v>ADANA</v>
      </c>
      <c r="K1379" s="44" t="str">
        <f>IFERROR(__xludf.DUMMYFUNCTION("""COMPUTED_VALUE"""),"https://expa.aiesec.org/opportunities/1295893")</f>
        <v>https://expa.aiesec.org/opportunities/1295893</v>
      </c>
      <c r="L1379" s="43" t="str">
        <f>IFERROR(__xludf.DUMMYFUNCTION("""COMPUTED_VALUE"""),"GV")</f>
        <v>GV</v>
      </c>
      <c r="M1379" s="43" t="str">
        <f>IFERROR(__xludf.DUMMYFUNCTION("""COMPUTED_VALUE"""),"short")</f>
        <v>short</v>
      </c>
      <c r="N1379" s="45">
        <f>IFERROR(__xludf.DUMMYFUNCTION("""COMPUTED_VALUE"""),45198.0)</f>
        <v>45198</v>
      </c>
      <c r="O1379" s="45">
        <f>IFERROR(__xludf.DUMMYFUNCTION("""COMPUTED_VALUE"""),45411.0)</f>
        <v>45411</v>
      </c>
      <c r="P1379" s="45">
        <f>IFERROR(__xludf.DUMMYFUNCTION("""COMPUTED_VALUE"""),45457.0)</f>
        <v>45457</v>
      </c>
      <c r="Q1379" s="45"/>
      <c r="R1379" s="45"/>
      <c r="S1379" s="43"/>
      <c r="T1379" s="43"/>
      <c r="U1379" s="43" t="str">
        <f>IFERROR(__xludf.DUMMYFUNCTION("""COMPUTED_VALUE"""),"Global Classroom")</f>
        <v>Global Classroom</v>
      </c>
      <c r="V1379" s="43" t="str">
        <f>IFERROR(__xludf.DUMMYFUNCTION("""COMPUTED_VALUE"""),"-")</f>
        <v>-</v>
      </c>
      <c r="W1379" s="43" t="str">
        <f>IFERROR(__xludf.DUMMYFUNCTION("""COMPUTED_VALUE"""),"2023-07-24T14:26:50Z")</f>
        <v>2023-07-24T14:26:50Z</v>
      </c>
      <c r="X1379" s="43"/>
      <c r="Y1379" s="43"/>
      <c r="Z1379" s="43"/>
    </row>
    <row r="1380" hidden="1">
      <c r="A1380" s="43" t="str">
        <f>IFERROR(__xludf.DUMMYFUNCTION("""COMPUTED_VALUE"""),"5233351_1298282")</f>
        <v>5233351_1298282</v>
      </c>
      <c r="B1380" s="43" t="str">
        <f>IFERROR(__xludf.DUMMYFUNCTION("""COMPUTED_VALUE"""),"Viktoriia Illesh")</f>
        <v>Viktoriia Illesh</v>
      </c>
      <c r="C1380" s="43" t="str">
        <f>IFERROR(__xludf.DUMMYFUNCTION("""COMPUTED_VALUE"""),"approved")</f>
        <v>approved</v>
      </c>
      <c r="D1380" s="43" t="str">
        <f>IFERROR(__xludf.DUMMYFUNCTION("""COMPUTED_VALUE"""),"No")</f>
        <v>No</v>
      </c>
      <c r="E1380" s="43" t="str">
        <f>IFERROR(__xludf.DUMMYFUNCTION("""COMPUTED_VALUE"""),"p_665d73854cc1876efeda9194275896e133686643@inbound.aiesec.org")</f>
        <v>p_665d73854cc1876efeda9194275896e133686643@inbound.aiesec.org</v>
      </c>
      <c r="F1380" s="43"/>
      <c r="G1380" s="43" t="str">
        <f>IFERROR(__xludf.DUMMYFUNCTION("""COMPUTED_VALUE"""),"Ukraine")</f>
        <v>Ukraine</v>
      </c>
      <c r="H1380" s="43" t="str">
        <f>IFERROR(__xludf.DUMMYFUNCTION("""COMPUTED_VALUE"""),"IVANO-FRANKIVSK")</f>
        <v>IVANO-FRANKIVSK</v>
      </c>
      <c r="I1380" s="43" t="str">
        <f>IFERROR(__xludf.DUMMYFUNCTION("""COMPUTED_VALUE"""),"Turkey")</f>
        <v>Turkey</v>
      </c>
      <c r="J1380" s="43" t="str">
        <f>IFERROR(__xludf.DUMMYFUNCTION("""COMPUTED_VALUE"""),"ISTANBUL")</f>
        <v>ISTANBUL</v>
      </c>
      <c r="K1380" s="44" t="str">
        <f>IFERROR(__xludf.DUMMYFUNCTION("""COMPUTED_VALUE"""),"https://expa.aiesec.org/opportunities/1298282")</f>
        <v>https://expa.aiesec.org/opportunities/1298282</v>
      </c>
      <c r="L1380" s="43" t="str">
        <f>IFERROR(__xludf.DUMMYFUNCTION("""COMPUTED_VALUE"""),"GV")</f>
        <v>GV</v>
      </c>
      <c r="M1380" s="43" t="str">
        <f>IFERROR(__xludf.DUMMYFUNCTION("""COMPUTED_VALUE"""),"short")</f>
        <v>short</v>
      </c>
      <c r="N1380" s="45">
        <f>IFERROR(__xludf.DUMMYFUNCTION("""COMPUTED_VALUE"""),45199.0)</f>
        <v>45199</v>
      </c>
      <c r="O1380" s="45">
        <f>IFERROR(__xludf.DUMMYFUNCTION("""COMPUTED_VALUE"""),45375.0)</f>
        <v>45375</v>
      </c>
      <c r="P1380" s="45">
        <f>IFERROR(__xludf.DUMMYFUNCTION("""COMPUTED_VALUE"""),45417.0)</f>
        <v>45417</v>
      </c>
      <c r="Q1380" s="45"/>
      <c r="R1380" s="45"/>
      <c r="S1380" s="43"/>
      <c r="T1380" s="43"/>
      <c r="U1380" s="43" t="str">
        <f>IFERROR(__xludf.DUMMYFUNCTION("""COMPUTED_VALUE"""),"Green Leaders")</f>
        <v>Green Leaders</v>
      </c>
      <c r="V1380" s="43" t="str">
        <f>IFERROR(__xludf.DUMMYFUNCTION("""COMPUTED_VALUE"""),"-")</f>
        <v>-</v>
      </c>
      <c r="W1380" s="43" t="str">
        <f>IFERROR(__xludf.DUMMYFUNCTION("""COMPUTED_VALUE"""),"2023-04-02T16:09:22Z")</f>
        <v>2023-04-02T16:09:22Z</v>
      </c>
      <c r="X1380" s="43"/>
      <c r="Y1380" s="43"/>
      <c r="Z1380" s="43"/>
    </row>
    <row r="1381" hidden="1">
      <c r="A1381" s="43" t="str">
        <f>IFERROR(__xludf.DUMMYFUNCTION("""COMPUTED_VALUE"""),"5337857_1289536")</f>
        <v>5337857_1289536</v>
      </c>
      <c r="B1381" s="43" t="str">
        <f>IFERROR(__xludf.DUMMYFUNCTION("""COMPUTED_VALUE"""),"Baha Eddine Zitouni")</f>
        <v>Baha Eddine Zitouni</v>
      </c>
      <c r="C1381" s="43" t="str">
        <f>IFERROR(__xludf.DUMMYFUNCTION("""COMPUTED_VALUE"""),"approved")</f>
        <v>approved</v>
      </c>
      <c r="D1381" s="43" t="str">
        <f>IFERROR(__xludf.DUMMYFUNCTION("""COMPUTED_VALUE"""),"No")</f>
        <v>No</v>
      </c>
      <c r="E1381" s="43" t="str">
        <f>IFERROR(__xludf.DUMMYFUNCTION("""COMPUTED_VALUE"""),"p_f86d164746bce634ec5145411e6fc67c5d71070e@inbound.aiesec.org")</f>
        <v>p_f86d164746bce634ec5145411e6fc67c5d71070e@inbound.aiesec.org</v>
      </c>
      <c r="F1381" s="43">
        <f>IFERROR(__xludf.DUMMYFUNCTION("""COMPUTED_VALUE"""),2.699293E7)</f>
        <v>26992930</v>
      </c>
      <c r="G1381" s="43" t="str">
        <f>IFERROR(__xludf.DUMMYFUNCTION("""COMPUTED_VALUE"""),"Tunisia")</f>
        <v>Tunisia</v>
      </c>
      <c r="H1381" s="43" t="str">
        <f>IFERROR(__xludf.DUMMYFUNCTION("""COMPUTED_VALUE"""),"Carthage")</f>
        <v>Carthage</v>
      </c>
      <c r="I1381" s="43" t="str">
        <f>IFERROR(__xludf.DUMMYFUNCTION("""COMPUTED_VALUE"""),"Turkey")</f>
        <v>Turkey</v>
      </c>
      <c r="J1381" s="43" t="str">
        <f>IFERROR(__xludf.DUMMYFUNCTION("""COMPUTED_VALUE"""),"ISTANBUL")</f>
        <v>ISTANBUL</v>
      </c>
      <c r="K1381" s="44" t="str">
        <f>IFERROR(__xludf.DUMMYFUNCTION("""COMPUTED_VALUE"""),"https://expa.aiesec.org/opportunities/1289536")</f>
        <v>https://expa.aiesec.org/opportunities/1289536</v>
      </c>
      <c r="L1381" s="43" t="str">
        <f>IFERROR(__xludf.DUMMYFUNCTION("""COMPUTED_VALUE"""),"GV")</f>
        <v>GV</v>
      </c>
      <c r="M1381" s="43" t="str">
        <f>IFERROR(__xludf.DUMMYFUNCTION("""COMPUTED_VALUE"""),"short")</f>
        <v>short</v>
      </c>
      <c r="N1381" s="45">
        <f>IFERROR(__xludf.DUMMYFUNCTION("""COMPUTED_VALUE"""),45199.0)</f>
        <v>45199</v>
      </c>
      <c r="O1381" s="45">
        <f>IFERROR(__xludf.DUMMYFUNCTION("""COMPUTED_VALUE"""),45474.0)</f>
        <v>45474</v>
      </c>
      <c r="P1381" s="45">
        <f>IFERROR(__xludf.DUMMYFUNCTION("""COMPUTED_VALUE"""),45516.0)</f>
        <v>45516</v>
      </c>
      <c r="Q1381" s="45"/>
      <c r="R1381" s="45"/>
      <c r="S1381" s="43"/>
      <c r="T1381" s="43"/>
      <c r="U1381" s="43" t="str">
        <f>IFERROR(__xludf.DUMMYFUNCTION("""COMPUTED_VALUE"""),"Global Classroom")</f>
        <v>Global Classroom</v>
      </c>
      <c r="V1381" s="43" t="str">
        <f>IFERROR(__xludf.DUMMYFUNCTION("""COMPUTED_VALUE"""),"Polytech INTL")</f>
        <v>Polytech INTL</v>
      </c>
      <c r="W1381" s="43" t="str">
        <f>IFERROR(__xludf.DUMMYFUNCTION("""COMPUTED_VALUE"""),"2023-09-29T21:59:01Z")</f>
        <v>2023-09-29T21:59:01Z</v>
      </c>
      <c r="X1381" s="43"/>
      <c r="Y1381" s="43"/>
      <c r="Z1381" s="43"/>
    </row>
    <row r="1382" hidden="1">
      <c r="A1382" s="43" t="str">
        <f>IFERROR(__xludf.DUMMYFUNCTION("""COMPUTED_VALUE"""),"5330084_1289347")</f>
        <v>5330084_1289347</v>
      </c>
      <c r="B1382" s="43" t="str">
        <f>IFERROR(__xludf.DUMMYFUNCTION("""COMPUTED_VALUE"""),"Haneen Alaa")</f>
        <v>Haneen Alaa</v>
      </c>
      <c r="C1382" s="43" t="str">
        <f>IFERROR(__xludf.DUMMYFUNCTION("""COMPUTED_VALUE"""),"approved")</f>
        <v>approved</v>
      </c>
      <c r="D1382" s="43" t="str">
        <f>IFERROR(__xludf.DUMMYFUNCTION("""COMPUTED_VALUE"""),"No")</f>
        <v>No</v>
      </c>
      <c r="E1382" s="43" t="str">
        <f>IFERROR(__xludf.DUMMYFUNCTION("""COMPUTED_VALUE"""),"p_a9fd752292ecbe86fdd6c2a5ffeb8f763b9e4f3a@inbound.aiesec.org")</f>
        <v>p_a9fd752292ecbe86fdd6c2a5ffeb8f763b9e4f3a@inbound.aiesec.org</v>
      </c>
      <c r="F1382" s="43">
        <f>IFERROR(__xludf.DUMMYFUNCTION("""COMPUTED_VALUE"""),1.120783035E9)</f>
        <v>1120783035</v>
      </c>
      <c r="G1382" s="43" t="str">
        <f>IFERROR(__xludf.DUMMYFUNCTION("""COMPUTED_VALUE"""),"Egypt")</f>
        <v>Egypt</v>
      </c>
      <c r="H1382" s="43" t="str">
        <f>IFERROR(__xludf.DUMMYFUNCTION("""COMPUTED_VALUE"""),"MUST")</f>
        <v>MUST</v>
      </c>
      <c r="I1382" s="43" t="str">
        <f>IFERROR(__xludf.DUMMYFUNCTION("""COMPUTED_VALUE"""),"Turkey")</f>
        <v>Turkey</v>
      </c>
      <c r="J1382" s="43" t="str">
        <f>IFERROR(__xludf.DUMMYFUNCTION("""COMPUTED_VALUE"""),"ADANA")</f>
        <v>ADANA</v>
      </c>
      <c r="K1382" s="44" t="str">
        <f>IFERROR(__xludf.DUMMYFUNCTION("""COMPUTED_VALUE"""),"https://expa.aiesec.org/opportunities/1289347")</f>
        <v>https://expa.aiesec.org/opportunities/1289347</v>
      </c>
      <c r="L1382" s="43" t="str">
        <f>IFERROR(__xludf.DUMMYFUNCTION("""COMPUTED_VALUE"""),"GV")</f>
        <v>GV</v>
      </c>
      <c r="M1382" s="43" t="str">
        <f>IFERROR(__xludf.DUMMYFUNCTION("""COMPUTED_VALUE"""),"short")</f>
        <v>short</v>
      </c>
      <c r="N1382" s="45">
        <f>IFERROR(__xludf.DUMMYFUNCTION("""COMPUTED_VALUE"""),45199.0)</f>
        <v>45199</v>
      </c>
      <c r="O1382" s="45">
        <f>IFERROR(__xludf.DUMMYFUNCTION("""COMPUTED_VALUE"""),45474.0)</f>
        <v>45474</v>
      </c>
      <c r="P1382" s="45">
        <f>IFERROR(__xludf.DUMMYFUNCTION("""COMPUTED_VALUE"""),45516.0)</f>
        <v>45516</v>
      </c>
      <c r="Q1382" s="45"/>
      <c r="R1382" s="45"/>
      <c r="S1382" s="43"/>
      <c r="T1382" s="43"/>
      <c r="U1382" s="43" t="str">
        <f>IFERROR(__xludf.DUMMYFUNCTION("""COMPUTED_VALUE"""),"Global Classroom")</f>
        <v>Global Classroom</v>
      </c>
      <c r="V1382" s="43" t="str">
        <f>IFERROR(__xludf.DUMMYFUNCTION("""COMPUTED_VALUE"""),"MUST University")</f>
        <v>MUST University</v>
      </c>
      <c r="W1382" s="43" t="str">
        <f>IFERROR(__xludf.DUMMYFUNCTION("""COMPUTED_VALUE"""),"2023-09-22T15:28:45Z")</f>
        <v>2023-09-22T15:28:45Z</v>
      </c>
      <c r="X1382" s="43"/>
      <c r="Y1382" s="43"/>
      <c r="Z1382" s="43"/>
    </row>
    <row r="1383" hidden="1">
      <c r="A1383" s="43" t="str">
        <f>IFERROR(__xludf.DUMMYFUNCTION("""COMPUTED_VALUE"""),"5338099_1286326")</f>
        <v>5338099_1286326</v>
      </c>
      <c r="B1383" s="43" t="str">
        <f>IFERROR(__xludf.DUMMYFUNCTION("""COMPUTED_VALUE"""),"Ivanna Pikula")</f>
        <v>Ivanna Pikula</v>
      </c>
      <c r="C1383" s="43" t="str">
        <f>IFERROR(__xludf.DUMMYFUNCTION("""COMPUTED_VALUE"""),"approved")</f>
        <v>approved</v>
      </c>
      <c r="D1383" s="43" t="str">
        <f>IFERROR(__xludf.DUMMYFUNCTION("""COMPUTED_VALUE"""),"No")</f>
        <v>No</v>
      </c>
      <c r="E1383" s="43" t="str">
        <f>IFERROR(__xludf.DUMMYFUNCTION("""COMPUTED_VALUE"""),"p_08585ef42138204d05682a952a24c372bf9a9901@inbound.aiesec.org")</f>
        <v>p_08585ef42138204d05682a952a24c372bf9a9901@inbound.aiesec.org</v>
      </c>
      <c r="F1383" s="43"/>
      <c r="G1383" s="43" t="str">
        <f>IFERROR(__xludf.DUMMYFUNCTION("""COMPUTED_VALUE"""),"Ukraine")</f>
        <v>Ukraine</v>
      </c>
      <c r="H1383" s="43" t="str">
        <f>IFERROR(__xludf.DUMMYFUNCTION("""COMPUTED_VALUE"""),"IVANO-FRANKIVSK")</f>
        <v>IVANO-FRANKIVSK</v>
      </c>
      <c r="I1383" s="43" t="str">
        <f>IFERROR(__xludf.DUMMYFUNCTION("""COMPUTED_VALUE"""),"Turkey")</f>
        <v>Turkey</v>
      </c>
      <c r="J1383" s="43" t="str">
        <f>IFERROR(__xludf.DUMMYFUNCTION("""COMPUTED_VALUE"""),"ADANA")</f>
        <v>ADANA</v>
      </c>
      <c r="K1383" s="44" t="str">
        <f>IFERROR(__xludf.DUMMYFUNCTION("""COMPUTED_VALUE"""),"https://expa.aiesec.org/opportunities/1286326")</f>
        <v>https://expa.aiesec.org/opportunities/1286326</v>
      </c>
      <c r="L1383" s="43" t="str">
        <f>IFERROR(__xludf.DUMMYFUNCTION("""COMPUTED_VALUE"""),"GV")</f>
        <v>GV</v>
      </c>
      <c r="M1383" s="43" t="str">
        <f>IFERROR(__xludf.DUMMYFUNCTION("""COMPUTED_VALUE"""),"short")</f>
        <v>short</v>
      </c>
      <c r="N1383" s="45">
        <f>IFERROR(__xludf.DUMMYFUNCTION("""COMPUTED_VALUE"""),45199.0)</f>
        <v>45199</v>
      </c>
      <c r="O1383" s="45">
        <f>IFERROR(__xludf.DUMMYFUNCTION("""COMPUTED_VALUE"""),45474.0)</f>
        <v>45474</v>
      </c>
      <c r="P1383" s="45">
        <f>IFERROR(__xludf.DUMMYFUNCTION("""COMPUTED_VALUE"""),45516.0)</f>
        <v>45516</v>
      </c>
      <c r="Q1383" s="45"/>
      <c r="R1383" s="45"/>
      <c r="S1383" s="43"/>
      <c r="T1383" s="43"/>
      <c r="U1383" s="43" t="str">
        <f>IFERROR(__xludf.DUMMYFUNCTION("""COMPUTED_VALUE"""),"Equify")</f>
        <v>Equify</v>
      </c>
      <c r="V1383" s="43" t="str">
        <f>IFERROR(__xludf.DUMMYFUNCTION("""COMPUTED_VALUE"""),"Ivano-Frankivsk")</f>
        <v>Ivano-Frankivsk</v>
      </c>
      <c r="W1383" s="43" t="str">
        <f>IFERROR(__xludf.DUMMYFUNCTION("""COMPUTED_VALUE"""),"2023-09-30T08:10:43Z")</f>
        <v>2023-09-30T08:10:43Z</v>
      </c>
      <c r="X1383" s="43"/>
      <c r="Y1383" s="43"/>
      <c r="Z1383" s="43"/>
    </row>
    <row r="1384" hidden="1">
      <c r="A1384" s="43" t="str">
        <f>IFERROR(__xludf.DUMMYFUNCTION("""COMPUTED_VALUE"""),"4190204_1272564")</f>
        <v>4190204_1272564</v>
      </c>
      <c r="B1384" s="43" t="str">
        <f>IFERROR(__xludf.DUMMYFUNCTION("""COMPUTED_VALUE"""),"Katerina Kirvas")</f>
        <v>Katerina Kirvas</v>
      </c>
      <c r="C1384" s="43" t="str">
        <f>IFERROR(__xludf.DUMMYFUNCTION("""COMPUTED_VALUE"""),"approved")</f>
        <v>approved</v>
      </c>
      <c r="D1384" s="43" t="str">
        <f>IFERROR(__xludf.DUMMYFUNCTION("""COMPUTED_VALUE"""),"No")</f>
        <v>No</v>
      </c>
      <c r="E1384" s="43" t="str">
        <f>IFERROR(__xludf.DUMMYFUNCTION("""COMPUTED_VALUE"""),"p_ba336d932f93fb729d83eaa640f947fa583c1928@inbound.aiesec.org")</f>
        <v>p_ba336d932f93fb729d83eaa640f947fa583c1928@inbound.aiesec.org</v>
      </c>
      <c r="F1384" s="43">
        <f>IFERROR(__xludf.DUMMYFUNCTION("""COMPUTED_VALUE"""),6.77414092E8)</f>
        <v>677414092</v>
      </c>
      <c r="G1384" s="43" t="str">
        <f>IFERROR(__xludf.DUMMYFUNCTION("""COMPUTED_VALUE"""),"Ukraine")</f>
        <v>Ukraine</v>
      </c>
      <c r="H1384" s="43" t="str">
        <f>IFERROR(__xludf.DUMMYFUNCTION("""COMPUTED_VALUE"""),"KYIV")</f>
        <v>KYIV</v>
      </c>
      <c r="I1384" s="43" t="str">
        <f>IFERROR(__xludf.DUMMYFUNCTION("""COMPUTED_VALUE"""),"Turkey")</f>
        <v>Turkey</v>
      </c>
      <c r="J1384" s="43" t="str">
        <f>IFERROR(__xludf.DUMMYFUNCTION("""COMPUTED_VALUE"""),"ISTANBUL")</f>
        <v>ISTANBUL</v>
      </c>
      <c r="K1384" s="44" t="str">
        <f>IFERROR(__xludf.DUMMYFUNCTION("""COMPUTED_VALUE"""),"https://expa.aiesec.org/opportunities/1272564")</f>
        <v>https://expa.aiesec.org/opportunities/1272564</v>
      </c>
      <c r="L1384" s="43" t="str">
        <f>IFERROR(__xludf.DUMMYFUNCTION("""COMPUTED_VALUE"""),"GV")</f>
        <v>GV</v>
      </c>
      <c r="M1384" s="43" t="str">
        <f>IFERROR(__xludf.DUMMYFUNCTION("""COMPUTED_VALUE"""),"short")</f>
        <v>short</v>
      </c>
      <c r="N1384" s="45">
        <f>IFERROR(__xludf.DUMMYFUNCTION("""COMPUTED_VALUE"""),45199.0)</f>
        <v>45199</v>
      </c>
      <c r="O1384" s="45">
        <f>IFERROR(__xludf.DUMMYFUNCTION("""COMPUTED_VALUE"""),45483.0)</f>
        <v>45483</v>
      </c>
      <c r="P1384" s="45">
        <f>IFERROR(__xludf.DUMMYFUNCTION("""COMPUTED_VALUE"""),45525.0)</f>
        <v>45525</v>
      </c>
      <c r="Q1384" s="45"/>
      <c r="R1384" s="45"/>
      <c r="S1384" s="43"/>
      <c r="T1384" s="43"/>
      <c r="U1384" s="43" t="str">
        <f>IFERROR(__xludf.DUMMYFUNCTION("""COMPUTED_VALUE"""),"Global Classroom")</f>
        <v>Global Classroom</v>
      </c>
      <c r="V1384" s="43" t="str">
        <f>IFERROR(__xludf.DUMMYFUNCTION("""COMPUTED_VALUE"""),"Kyiv")</f>
        <v>Kyiv</v>
      </c>
      <c r="W1384" s="43" t="str">
        <f>IFERROR(__xludf.DUMMYFUNCTION("""COMPUTED_VALUE"""),"2020-02-16T20:02:24Z")</f>
        <v>2020-02-16T20:02:24Z</v>
      </c>
      <c r="X1384" s="43"/>
      <c r="Y1384" s="43"/>
      <c r="Z1384" s="43"/>
    </row>
    <row r="1385" hidden="1">
      <c r="A1385" s="43" t="str">
        <f>IFERROR(__xludf.DUMMYFUNCTION("""COMPUTED_VALUE"""),"4753499_1272564")</f>
        <v>4753499_1272564</v>
      </c>
      <c r="B1385" s="43" t="str">
        <f>IFERROR(__xludf.DUMMYFUNCTION("""COMPUTED_VALUE"""),"Daryna Bank")</f>
        <v>Daryna Bank</v>
      </c>
      <c r="C1385" s="43" t="str">
        <f>IFERROR(__xludf.DUMMYFUNCTION("""COMPUTED_VALUE"""),"approved")</f>
        <v>approved</v>
      </c>
      <c r="D1385" s="43" t="str">
        <f>IFERROR(__xludf.DUMMYFUNCTION("""COMPUTED_VALUE"""),"No")</f>
        <v>No</v>
      </c>
      <c r="E1385" s="43" t="str">
        <f>IFERROR(__xludf.DUMMYFUNCTION("""COMPUTED_VALUE"""),"p_a11c2181ec96e1ffa66214eff132fb0aa983bb2f@inbound.aiesec.org")</f>
        <v>p_a11c2181ec96e1ffa66214eff132fb0aa983bb2f@inbound.aiesec.org</v>
      </c>
      <c r="F1385" s="43"/>
      <c r="G1385" s="43" t="str">
        <f>IFERROR(__xludf.DUMMYFUNCTION("""COMPUTED_VALUE"""),"Ukraine")</f>
        <v>Ukraine</v>
      </c>
      <c r="H1385" s="43" t="str">
        <f>IFERROR(__xludf.DUMMYFUNCTION("""COMPUTED_VALUE"""),"KYIV")</f>
        <v>KYIV</v>
      </c>
      <c r="I1385" s="43" t="str">
        <f>IFERROR(__xludf.DUMMYFUNCTION("""COMPUTED_VALUE"""),"Turkey")</f>
        <v>Turkey</v>
      </c>
      <c r="J1385" s="43" t="str">
        <f>IFERROR(__xludf.DUMMYFUNCTION("""COMPUTED_VALUE"""),"ISTANBUL")</f>
        <v>ISTANBUL</v>
      </c>
      <c r="K1385" s="44" t="str">
        <f>IFERROR(__xludf.DUMMYFUNCTION("""COMPUTED_VALUE"""),"https://expa.aiesec.org/opportunities/1272564")</f>
        <v>https://expa.aiesec.org/opportunities/1272564</v>
      </c>
      <c r="L1385" s="43" t="str">
        <f>IFERROR(__xludf.DUMMYFUNCTION("""COMPUTED_VALUE"""),"GV")</f>
        <v>GV</v>
      </c>
      <c r="M1385" s="43" t="str">
        <f>IFERROR(__xludf.DUMMYFUNCTION("""COMPUTED_VALUE"""),"short")</f>
        <v>short</v>
      </c>
      <c r="N1385" s="45">
        <f>IFERROR(__xludf.DUMMYFUNCTION("""COMPUTED_VALUE"""),45199.0)</f>
        <v>45199</v>
      </c>
      <c r="O1385" s="45">
        <f>IFERROR(__xludf.DUMMYFUNCTION("""COMPUTED_VALUE"""),45369.0)</f>
        <v>45369</v>
      </c>
      <c r="P1385" s="45">
        <f>IFERROR(__xludf.DUMMYFUNCTION("""COMPUTED_VALUE"""),45411.0)</f>
        <v>45411</v>
      </c>
      <c r="Q1385" s="45"/>
      <c r="R1385" s="45"/>
      <c r="S1385" s="43"/>
      <c r="T1385" s="43"/>
      <c r="U1385" s="43" t="str">
        <f>IFERROR(__xludf.DUMMYFUNCTION("""COMPUTED_VALUE"""),"Global Classroom")</f>
        <v>Global Classroom</v>
      </c>
      <c r="V1385" s="43" t="str">
        <f>IFERROR(__xludf.DUMMYFUNCTION("""COMPUTED_VALUE"""),"Kyiv")</f>
        <v>Kyiv</v>
      </c>
      <c r="W1385" s="43" t="str">
        <f>IFERROR(__xludf.DUMMYFUNCTION("""COMPUTED_VALUE"""),"2021-09-30T08:47:59Z")</f>
        <v>2021-09-30T08:47:59Z</v>
      </c>
      <c r="X1385" s="43"/>
      <c r="Y1385" s="43"/>
      <c r="Z1385" s="43"/>
    </row>
    <row r="1386" hidden="1">
      <c r="A1386" s="43" t="str">
        <f>IFERROR(__xludf.DUMMYFUNCTION("""COMPUTED_VALUE"""),"5194339_1298284")</f>
        <v>5194339_1298284</v>
      </c>
      <c r="B1386" s="43" t="str">
        <f>IFERROR(__xludf.DUMMYFUNCTION("""COMPUTED_VALUE"""),"Shahd Sherif")</f>
        <v>Shahd Sherif</v>
      </c>
      <c r="C1386" s="43" t="str">
        <f>IFERROR(__xludf.DUMMYFUNCTION("""COMPUTED_VALUE"""),"approved")</f>
        <v>approved</v>
      </c>
      <c r="D1386" s="43" t="str">
        <f>IFERROR(__xludf.DUMMYFUNCTION("""COMPUTED_VALUE"""),"No")</f>
        <v>No</v>
      </c>
      <c r="E1386" s="43" t="str">
        <f>IFERROR(__xludf.DUMMYFUNCTION("""COMPUTED_VALUE"""),"p_7b966031ee98e97dab881bdb97a124f11bf431bb@inbound.aiesec.org")</f>
        <v>p_7b966031ee98e97dab881bdb97a124f11bf431bb@inbound.aiesec.org</v>
      </c>
      <c r="F1386" s="43"/>
      <c r="G1386" s="43" t="str">
        <f>IFERROR(__xludf.DUMMYFUNCTION("""COMPUTED_VALUE"""),"Egypt")</f>
        <v>Egypt</v>
      </c>
      <c r="H1386" s="43" t="str">
        <f>IFERROR(__xludf.DUMMYFUNCTION("""COMPUTED_VALUE"""),"Cairo University")</f>
        <v>Cairo University</v>
      </c>
      <c r="I1386" s="43" t="str">
        <f>IFERROR(__xludf.DUMMYFUNCTION("""COMPUTED_VALUE"""),"Turkey")</f>
        <v>Turkey</v>
      </c>
      <c r="J1386" s="43" t="str">
        <f>IFERROR(__xludf.DUMMYFUNCTION("""COMPUTED_VALUE"""),"ISTANBUL")</f>
        <v>ISTANBUL</v>
      </c>
      <c r="K1386" s="44" t="str">
        <f>IFERROR(__xludf.DUMMYFUNCTION("""COMPUTED_VALUE"""),"https://expa.aiesec.org/opportunities/1298284")</f>
        <v>https://expa.aiesec.org/opportunities/1298284</v>
      </c>
      <c r="L1386" s="43" t="str">
        <f>IFERROR(__xludf.DUMMYFUNCTION("""COMPUTED_VALUE"""),"GV")</f>
        <v>GV</v>
      </c>
      <c r="M1386" s="43" t="str">
        <f>IFERROR(__xludf.DUMMYFUNCTION("""COMPUTED_VALUE"""),"short")</f>
        <v>short</v>
      </c>
      <c r="N1386" s="45">
        <f>IFERROR(__xludf.DUMMYFUNCTION("""COMPUTED_VALUE"""),45199.0)</f>
        <v>45199</v>
      </c>
      <c r="O1386" s="45">
        <f>IFERROR(__xludf.DUMMYFUNCTION("""COMPUTED_VALUE"""),45474.0)</f>
        <v>45474</v>
      </c>
      <c r="P1386" s="45">
        <f>IFERROR(__xludf.DUMMYFUNCTION("""COMPUTED_VALUE"""),45516.0)</f>
        <v>45516</v>
      </c>
      <c r="Q1386" s="45"/>
      <c r="R1386" s="45"/>
      <c r="S1386" s="43"/>
      <c r="T1386" s="43"/>
      <c r="U1386" s="43" t="str">
        <f>IFERROR(__xludf.DUMMYFUNCTION("""COMPUTED_VALUE"""),"Global Classroom")</f>
        <v>Global Classroom</v>
      </c>
      <c r="V1386" s="43" t="str">
        <f>IFERROR(__xludf.DUMMYFUNCTION("""COMPUTED_VALUE"""),"Cairo Univeristy")</f>
        <v>Cairo Univeristy</v>
      </c>
      <c r="W1386" s="43" t="str">
        <f>IFERROR(__xludf.DUMMYFUNCTION("""COMPUTED_VALUE"""),"2023-02-19T06:08:37Z")</f>
        <v>2023-02-19T06:08:37Z</v>
      </c>
      <c r="X1386" s="43"/>
      <c r="Y1386" s="43"/>
      <c r="Z1386" s="43"/>
    </row>
    <row r="1387" hidden="1">
      <c r="A1387" s="43" t="str">
        <f>IFERROR(__xludf.DUMMYFUNCTION("""COMPUTED_VALUE"""),"4835212_1286920")</f>
        <v>4835212_1286920</v>
      </c>
      <c r="B1387" s="43" t="str">
        <f>IFERROR(__xludf.DUMMYFUNCTION("""COMPUTED_VALUE"""),"mohamed hassan")</f>
        <v>mohamed hassan</v>
      </c>
      <c r="C1387" s="43" t="str">
        <f>IFERROR(__xludf.DUMMYFUNCTION("""COMPUTED_VALUE"""),"approved")</f>
        <v>approved</v>
      </c>
      <c r="D1387" s="43" t="str">
        <f>IFERROR(__xludf.DUMMYFUNCTION("""COMPUTED_VALUE"""),"No")</f>
        <v>No</v>
      </c>
      <c r="E1387" s="43" t="str">
        <f>IFERROR(__xludf.DUMMYFUNCTION("""COMPUTED_VALUE"""),"p_ea42abeadeb94087a5f8ca6e5ffbe58925adc49c@inbound.aiesec.org")</f>
        <v>p_ea42abeadeb94087a5f8ca6e5ffbe58925adc49c@inbound.aiesec.org</v>
      </c>
      <c r="F1387" s="43">
        <f>IFERROR(__xludf.DUMMYFUNCTION("""COMPUTED_VALUE"""),2.001067119496E12)</f>
        <v>2001067119496</v>
      </c>
      <c r="G1387" s="43" t="str">
        <f>IFERROR(__xludf.DUMMYFUNCTION("""COMPUTED_VALUE"""),"Egypt")</f>
        <v>Egypt</v>
      </c>
      <c r="H1387" s="43" t="str">
        <f>IFERROR(__xludf.DUMMYFUNCTION("""COMPUTED_VALUE"""),"Ain Shams University")</f>
        <v>Ain Shams University</v>
      </c>
      <c r="I1387" s="43" t="str">
        <f>IFERROR(__xludf.DUMMYFUNCTION("""COMPUTED_VALUE"""),"Turkey")</f>
        <v>Turkey</v>
      </c>
      <c r="J1387" s="43" t="str">
        <f>IFERROR(__xludf.DUMMYFUNCTION("""COMPUTED_VALUE"""),"DENIZLI")</f>
        <v>DENIZLI</v>
      </c>
      <c r="K1387" s="44" t="str">
        <f>IFERROR(__xludf.DUMMYFUNCTION("""COMPUTED_VALUE"""),"https://expa.aiesec.org/opportunities/1286920")</f>
        <v>https://expa.aiesec.org/opportunities/1286920</v>
      </c>
      <c r="L1387" s="43" t="str">
        <f>IFERROR(__xludf.DUMMYFUNCTION("""COMPUTED_VALUE"""),"GV")</f>
        <v>GV</v>
      </c>
      <c r="M1387" s="43" t="str">
        <f>IFERROR(__xludf.DUMMYFUNCTION("""COMPUTED_VALUE"""),"short")</f>
        <v>short</v>
      </c>
      <c r="N1387" s="45">
        <f>IFERROR(__xludf.DUMMYFUNCTION("""COMPUTED_VALUE"""),45199.0)</f>
        <v>45199</v>
      </c>
      <c r="O1387" s="45">
        <f>IFERROR(__xludf.DUMMYFUNCTION("""COMPUTED_VALUE"""),45488.0)</f>
        <v>45488</v>
      </c>
      <c r="P1387" s="45">
        <f>IFERROR(__xludf.DUMMYFUNCTION("""COMPUTED_VALUE"""),45530.0)</f>
        <v>45530</v>
      </c>
      <c r="Q1387" s="45"/>
      <c r="R1387" s="45"/>
      <c r="S1387" s="43"/>
      <c r="T1387" s="43"/>
      <c r="U1387" s="43" t="str">
        <f>IFERROR(__xludf.DUMMYFUNCTION("""COMPUTED_VALUE"""),"Global Classroom")</f>
        <v>Global Classroom</v>
      </c>
      <c r="V1387" s="43" t="str">
        <f>IFERROR(__xludf.DUMMYFUNCTION("""COMPUTED_VALUE"""),"Ain Shams University")</f>
        <v>Ain Shams University</v>
      </c>
      <c r="W1387" s="43" t="str">
        <f>IFERROR(__xludf.DUMMYFUNCTION("""COMPUTED_VALUE"""),"2021-12-08T17:53:15Z")</f>
        <v>2021-12-08T17:53:15Z</v>
      </c>
      <c r="X1387" s="43"/>
      <c r="Y1387" s="43"/>
      <c r="Z1387" s="43"/>
    </row>
    <row r="1388" hidden="1">
      <c r="A1388" s="43" t="str">
        <f>IFERROR(__xludf.DUMMYFUNCTION("""COMPUTED_VALUE"""),"5287561_1286326")</f>
        <v>5287561_1286326</v>
      </c>
      <c r="B1388" s="43" t="str">
        <f>IFERROR(__xludf.DUMMYFUNCTION("""COMPUTED_VALUE"""),"Ivanna Chykur")</f>
        <v>Ivanna Chykur</v>
      </c>
      <c r="C1388" s="43" t="str">
        <f>IFERROR(__xludf.DUMMYFUNCTION("""COMPUTED_VALUE"""),"approved")</f>
        <v>approved</v>
      </c>
      <c r="D1388" s="43" t="str">
        <f>IFERROR(__xludf.DUMMYFUNCTION("""COMPUTED_VALUE"""),"No")</f>
        <v>No</v>
      </c>
      <c r="E1388" s="43" t="str">
        <f>IFERROR(__xludf.DUMMYFUNCTION("""COMPUTED_VALUE"""),"p_bcc7b4994f36476091ef40ebdc6ebcdb9754dd9c@inbound.aiesec.org")</f>
        <v>p_bcc7b4994f36476091ef40ebdc6ebcdb9754dd9c@inbound.aiesec.org</v>
      </c>
      <c r="F1388" s="43">
        <f>IFERROR(__xludf.DUMMYFUNCTION("""COMPUTED_VALUE"""),6.89893068E8)</f>
        <v>689893068</v>
      </c>
      <c r="G1388" s="43" t="str">
        <f>IFERROR(__xludf.DUMMYFUNCTION("""COMPUTED_VALUE"""),"Ukraine")</f>
        <v>Ukraine</v>
      </c>
      <c r="H1388" s="43" t="str">
        <f>IFERROR(__xludf.DUMMYFUNCTION("""COMPUTED_VALUE"""),"IVANO-FRANKIVSK")</f>
        <v>IVANO-FRANKIVSK</v>
      </c>
      <c r="I1388" s="43" t="str">
        <f>IFERROR(__xludf.DUMMYFUNCTION("""COMPUTED_VALUE"""),"Turkey")</f>
        <v>Turkey</v>
      </c>
      <c r="J1388" s="43" t="str">
        <f>IFERROR(__xludf.DUMMYFUNCTION("""COMPUTED_VALUE"""),"ADANA")</f>
        <v>ADANA</v>
      </c>
      <c r="K1388" s="44" t="str">
        <f>IFERROR(__xludf.DUMMYFUNCTION("""COMPUTED_VALUE"""),"https://expa.aiesec.org/opportunities/1286326")</f>
        <v>https://expa.aiesec.org/opportunities/1286326</v>
      </c>
      <c r="L1388" s="43" t="str">
        <f>IFERROR(__xludf.DUMMYFUNCTION("""COMPUTED_VALUE"""),"GV")</f>
        <v>GV</v>
      </c>
      <c r="M1388" s="43" t="str">
        <f>IFERROR(__xludf.DUMMYFUNCTION("""COMPUTED_VALUE"""),"short")</f>
        <v>short</v>
      </c>
      <c r="N1388" s="45">
        <f>IFERROR(__xludf.DUMMYFUNCTION("""COMPUTED_VALUE"""),45200.0)</f>
        <v>45200</v>
      </c>
      <c r="O1388" s="45">
        <f>IFERROR(__xludf.DUMMYFUNCTION("""COMPUTED_VALUE"""),45474.0)</f>
        <v>45474</v>
      </c>
      <c r="P1388" s="45">
        <f>IFERROR(__xludf.DUMMYFUNCTION("""COMPUTED_VALUE"""),45516.0)</f>
        <v>45516</v>
      </c>
      <c r="Q1388" s="45"/>
      <c r="R1388" s="45"/>
      <c r="S1388" s="43"/>
      <c r="T1388" s="43"/>
      <c r="U1388" s="43" t="str">
        <f>IFERROR(__xludf.DUMMYFUNCTION("""COMPUTED_VALUE"""),"Equify")</f>
        <v>Equify</v>
      </c>
      <c r="V1388" s="43" t="str">
        <f>IFERROR(__xludf.DUMMYFUNCTION("""COMPUTED_VALUE"""),"Ivano-Frankivsk")</f>
        <v>Ivano-Frankivsk</v>
      </c>
      <c r="W1388" s="43" t="str">
        <f>IFERROR(__xludf.DUMMYFUNCTION("""COMPUTED_VALUE"""),"2023-07-20T14:55:09Z")</f>
        <v>2023-07-20T14:55:09Z</v>
      </c>
      <c r="X1388" s="43"/>
      <c r="Y1388" s="43"/>
      <c r="Z1388" s="43"/>
    </row>
    <row r="1389" hidden="1">
      <c r="A1389" s="43" t="str">
        <f>IFERROR(__xludf.DUMMYFUNCTION("""COMPUTED_VALUE"""),"5338307_1286326")</f>
        <v>5338307_1286326</v>
      </c>
      <c r="B1389" s="43" t="str">
        <f>IFERROR(__xludf.DUMMYFUNCTION("""COMPUTED_VALUE"""),"Adriana Kulyk")</f>
        <v>Adriana Kulyk</v>
      </c>
      <c r="C1389" s="43" t="str">
        <f>IFERROR(__xludf.DUMMYFUNCTION("""COMPUTED_VALUE"""),"approved")</f>
        <v>approved</v>
      </c>
      <c r="D1389" s="43" t="str">
        <f>IFERROR(__xludf.DUMMYFUNCTION("""COMPUTED_VALUE"""),"No")</f>
        <v>No</v>
      </c>
      <c r="E1389" s="43" t="str">
        <f>IFERROR(__xludf.DUMMYFUNCTION("""COMPUTED_VALUE"""),"p_99fae93d446ac65b44e22241e1c4d727a199912b@inbound.aiesec.org")</f>
        <v>p_99fae93d446ac65b44e22241e1c4d727a199912b@inbound.aiesec.org</v>
      </c>
      <c r="F1389" s="43">
        <f>IFERROR(__xludf.DUMMYFUNCTION("""COMPUTED_VALUE"""),6.65288745E8)</f>
        <v>665288745</v>
      </c>
      <c r="G1389" s="43" t="str">
        <f>IFERROR(__xludf.DUMMYFUNCTION("""COMPUTED_VALUE"""),"Ukraine")</f>
        <v>Ukraine</v>
      </c>
      <c r="H1389" s="43" t="str">
        <f>IFERROR(__xludf.DUMMYFUNCTION("""COMPUTED_VALUE"""),"IVANO-FRANKIVSK")</f>
        <v>IVANO-FRANKIVSK</v>
      </c>
      <c r="I1389" s="43" t="str">
        <f>IFERROR(__xludf.DUMMYFUNCTION("""COMPUTED_VALUE"""),"Turkey")</f>
        <v>Turkey</v>
      </c>
      <c r="J1389" s="43" t="str">
        <f>IFERROR(__xludf.DUMMYFUNCTION("""COMPUTED_VALUE"""),"ADANA")</f>
        <v>ADANA</v>
      </c>
      <c r="K1389" s="44" t="str">
        <f>IFERROR(__xludf.DUMMYFUNCTION("""COMPUTED_VALUE"""),"https://expa.aiesec.org/opportunities/1286326")</f>
        <v>https://expa.aiesec.org/opportunities/1286326</v>
      </c>
      <c r="L1389" s="43" t="str">
        <f>IFERROR(__xludf.DUMMYFUNCTION("""COMPUTED_VALUE"""),"GV")</f>
        <v>GV</v>
      </c>
      <c r="M1389" s="43" t="str">
        <f>IFERROR(__xludf.DUMMYFUNCTION("""COMPUTED_VALUE"""),"short")</f>
        <v>short</v>
      </c>
      <c r="N1389" s="45">
        <f>IFERROR(__xludf.DUMMYFUNCTION("""COMPUTED_VALUE"""),45200.0)</f>
        <v>45200</v>
      </c>
      <c r="O1389" s="45">
        <f>IFERROR(__xludf.DUMMYFUNCTION("""COMPUTED_VALUE"""),45474.0)</f>
        <v>45474</v>
      </c>
      <c r="P1389" s="45">
        <f>IFERROR(__xludf.DUMMYFUNCTION("""COMPUTED_VALUE"""),45516.0)</f>
        <v>45516</v>
      </c>
      <c r="Q1389" s="45"/>
      <c r="R1389" s="45"/>
      <c r="S1389" s="43"/>
      <c r="T1389" s="43"/>
      <c r="U1389" s="43" t="str">
        <f>IFERROR(__xludf.DUMMYFUNCTION("""COMPUTED_VALUE"""),"Equify")</f>
        <v>Equify</v>
      </c>
      <c r="V1389" s="43" t="str">
        <f>IFERROR(__xludf.DUMMYFUNCTION("""COMPUTED_VALUE"""),"Ivano-Frankivsk")</f>
        <v>Ivano-Frankivsk</v>
      </c>
      <c r="W1389" s="43" t="str">
        <f>IFERROR(__xludf.DUMMYFUNCTION("""COMPUTED_VALUE"""),"2023-09-30T12:38:02Z")</f>
        <v>2023-09-30T12:38:02Z</v>
      </c>
      <c r="X1389" s="43"/>
      <c r="Y1389" s="43"/>
      <c r="Z1389" s="43"/>
    </row>
    <row r="1390" hidden="1">
      <c r="A1390" s="43" t="str">
        <f>IFERROR(__xludf.DUMMYFUNCTION("""COMPUTED_VALUE"""),"4381594_1272564")</f>
        <v>4381594_1272564</v>
      </c>
      <c r="B1390" s="43" t="str">
        <f>IFERROR(__xludf.DUMMYFUNCTION("""COMPUTED_VALUE"""),"Yevheniia Starodubtseva")</f>
        <v>Yevheniia Starodubtseva</v>
      </c>
      <c r="C1390" s="43" t="str">
        <f>IFERROR(__xludf.DUMMYFUNCTION("""COMPUTED_VALUE"""),"approved")</f>
        <v>approved</v>
      </c>
      <c r="D1390" s="43" t="str">
        <f>IFERROR(__xludf.DUMMYFUNCTION("""COMPUTED_VALUE"""),"No")</f>
        <v>No</v>
      </c>
      <c r="E1390" s="43" t="str">
        <f>IFERROR(__xludf.DUMMYFUNCTION("""COMPUTED_VALUE"""),"p_01d57887cdec6925ede715b8c9b6d5d2fcda422f@inbound.aiesec.org")</f>
        <v>p_01d57887cdec6925ede715b8c9b6d5d2fcda422f@inbound.aiesec.org</v>
      </c>
      <c r="F1390" s="43">
        <f>IFERROR(__xludf.DUMMYFUNCTION("""COMPUTED_VALUE"""),6.34610756E8)</f>
        <v>634610756</v>
      </c>
      <c r="G1390" s="43" t="str">
        <f>IFERROR(__xludf.DUMMYFUNCTION("""COMPUTED_VALUE"""),"Ukraine")</f>
        <v>Ukraine</v>
      </c>
      <c r="H1390" s="43" t="str">
        <f>IFERROR(__xludf.DUMMYFUNCTION("""COMPUTED_VALUE"""),"KYIV")</f>
        <v>KYIV</v>
      </c>
      <c r="I1390" s="43" t="str">
        <f>IFERROR(__xludf.DUMMYFUNCTION("""COMPUTED_VALUE"""),"Turkey")</f>
        <v>Turkey</v>
      </c>
      <c r="J1390" s="43" t="str">
        <f>IFERROR(__xludf.DUMMYFUNCTION("""COMPUTED_VALUE"""),"ISTANBUL")</f>
        <v>ISTANBUL</v>
      </c>
      <c r="K1390" s="44" t="str">
        <f>IFERROR(__xludf.DUMMYFUNCTION("""COMPUTED_VALUE"""),"https://expa.aiesec.org/opportunities/1272564")</f>
        <v>https://expa.aiesec.org/opportunities/1272564</v>
      </c>
      <c r="L1390" s="43" t="str">
        <f>IFERROR(__xludf.DUMMYFUNCTION("""COMPUTED_VALUE"""),"GV")</f>
        <v>GV</v>
      </c>
      <c r="M1390" s="43" t="str">
        <f>IFERROR(__xludf.DUMMYFUNCTION("""COMPUTED_VALUE"""),"short")</f>
        <v>short</v>
      </c>
      <c r="N1390" s="45">
        <f>IFERROR(__xludf.DUMMYFUNCTION("""COMPUTED_VALUE"""),45200.0)</f>
        <v>45200</v>
      </c>
      <c r="O1390" s="45">
        <f>IFERROR(__xludf.DUMMYFUNCTION("""COMPUTED_VALUE"""),45369.0)</f>
        <v>45369</v>
      </c>
      <c r="P1390" s="45">
        <f>IFERROR(__xludf.DUMMYFUNCTION("""COMPUTED_VALUE"""),45411.0)</f>
        <v>45411</v>
      </c>
      <c r="Q1390" s="45"/>
      <c r="R1390" s="45"/>
      <c r="S1390" s="43"/>
      <c r="T1390" s="43"/>
      <c r="U1390" s="43" t="str">
        <f>IFERROR(__xludf.DUMMYFUNCTION("""COMPUTED_VALUE"""),"Global Classroom")</f>
        <v>Global Classroom</v>
      </c>
      <c r="V1390" s="43" t="str">
        <f>IFERROR(__xludf.DUMMYFUNCTION("""COMPUTED_VALUE"""),"Kyiv")</f>
        <v>Kyiv</v>
      </c>
      <c r="W1390" s="43" t="str">
        <f>IFERROR(__xludf.DUMMYFUNCTION("""COMPUTED_VALUE"""),"2020-09-29T07:05:06Z")</f>
        <v>2020-09-29T07:05:06Z</v>
      </c>
      <c r="X1390" s="43"/>
      <c r="Y1390" s="43"/>
      <c r="Z1390" s="43"/>
    </row>
    <row r="1391" hidden="1">
      <c r="A1391" s="43" t="str">
        <f>IFERROR(__xludf.DUMMYFUNCTION("""COMPUTED_VALUE"""),"4974288_1295453")</f>
        <v>4974288_1295453</v>
      </c>
      <c r="B1391" s="43" t="str">
        <f>IFERROR(__xludf.DUMMYFUNCTION("""COMPUTED_VALUE"""),"Sarah Ashraf Elsawaf")</f>
        <v>Sarah Ashraf Elsawaf</v>
      </c>
      <c r="C1391" s="43" t="str">
        <f>IFERROR(__xludf.DUMMYFUNCTION("""COMPUTED_VALUE"""),"approved")</f>
        <v>approved</v>
      </c>
      <c r="D1391" s="43" t="str">
        <f>IFERROR(__xludf.DUMMYFUNCTION("""COMPUTED_VALUE"""),"No")</f>
        <v>No</v>
      </c>
      <c r="E1391" s="43" t="str">
        <f>IFERROR(__xludf.DUMMYFUNCTION("""COMPUTED_VALUE"""),"p_7e12dbcafb1e11e050594ab8997e0204a06b5b9b@inbound.aiesec.org")</f>
        <v>p_7e12dbcafb1e11e050594ab8997e0204a06b5b9b@inbound.aiesec.org</v>
      </c>
      <c r="F1391" s="43"/>
      <c r="G1391" s="43" t="str">
        <f>IFERROR(__xludf.DUMMYFUNCTION("""COMPUTED_VALUE"""),"Egypt")</f>
        <v>Egypt</v>
      </c>
      <c r="H1391" s="43" t="str">
        <f>IFERROR(__xludf.DUMMYFUNCTION("""COMPUTED_VALUE"""),"Tanta")</f>
        <v>Tanta</v>
      </c>
      <c r="I1391" s="43" t="str">
        <f>IFERROR(__xludf.DUMMYFUNCTION("""COMPUTED_VALUE"""),"Turkey")</f>
        <v>Turkey</v>
      </c>
      <c r="J1391" s="43" t="str">
        <f>IFERROR(__xludf.DUMMYFUNCTION("""COMPUTED_VALUE"""),"GAZIANTEP")</f>
        <v>GAZIANTEP</v>
      </c>
      <c r="K1391" s="44" t="str">
        <f>IFERROR(__xludf.DUMMYFUNCTION("""COMPUTED_VALUE"""),"https://expa.aiesec.org/opportunities/1295453")</f>
        <v>https://expa.aiesec.org/opportunities/1295453</v>
      </c>
      <c r="L1391" s="43" t="str">
        <f>IFERROR(__xludf.DUMMYFUNCTION("""COMPUTED_VALUE"""),"GV")</f>
        <v>GV</v>
      </c>
      <c r="M1391" s="43" t="str">
        <f>IFERROR(__xludf.DUMMYFUNCTION("""COMPUTED_VALUE"""),"short")</f>
        <v>short</v>
      </c>
      <c r="N1391" s="45">
        <f>IFERROR(__xludf.DUMMYFUNCTION("""COMPUTED_VALUE"""),45200.0)</f>
        <v>45200</v>
      </c>
      <c r="O1391" s="45">
        <f>IFERROR(__xludf.DUMMYFUNCTION("""COMPUTED_VALUE"""),45516.0)</f>
        <v>45516</v>
      </c>
      <c r="P1391" s="45">
        <f>IFERROR(__xludf.DUMMYFUNCTION("""COMPUTED_VALUE"""),45558.0)</f>
        <v>45558</v>
      </c>
      <c r="Q1391" s="45"/>
      <c r="R1391" s="45"/>
      <c r="S1391" s="43"/>
      <c r="T1391" s="43"/>
      <c r="U1391" s="43" t="str">
        <f>IFERROR(__xludf.DUMMYFUNCTION("""COMPUTED_VALUE"""),"Global Classroom")</f>
        <v>Global Classroom</v>
      </c>
      <c r="V1391" s="43" t="str">
        <f>IFERROR(__xludf.DUMMYFUNCTION("""COMPUTED_VALUE"""),"-")</f>
        <v>-</v>
      </c>
      <c r="W1391" s="43" t="str">
        <f>IFERROR(__xludf.DUMMYFUNCTION("""COMPUTED_VALUE"""),"2022-03-09T16:59:29Z")</f>
        <v>2022-03-09T16:59:29Z</v>
      </c>
      <c r="X1391" s="43"/>
      <c r="Y1391" s="43"/>
      <c r="Z1391" s="43"/>
    </row>
    <row r="1392" hidden="1">
      <c r="A1392" s="43" t="str">
        <f>IFERROR(__xludf.DUMMYFUNCTION("""COMPUTED_VALUE"""),"5321403_1286236")</f>
        <v>5321403_1286236</v>
      </c>
      <c r="B1392" s="43" t="str">
        <f>IFERROR(__xludf.DUMMYFUNCTION("""COMPUTED_VALUE"""),"Pirzada Aimen Ishtiaq")</f>
        <v>Pirzada Aimen Ishtiaq</v>
      </c>
      <c r="C1392" s="43" t="str">
        <f>IFERROR(__xludf.DUMMYFUNCTION("""COMPUTED_VALUE"""),"approved")</f>
        <v>approved</v>
      </c>
      <c r="D1392" s="43" t="str">
        <f>IFERROR(__xludf.DUMMYFUNCTION("""COMPUTED_VALUE"""),"No")</f>
        <v>No</v>
      </c>
      <c r="E1392" s="43" t="str">
        <f>IFERROR(__xludf.DUMMYFUNCTION("""COMPUTED_VALUE"""),"p_0d170fc3d5476733aee9df116236d902bda5649a@inbound.aiesec.org")</f>
        <v>p_0d170fc3d5476733aee9df116236d902bda5649a@inbound.aiesec.org</v>
      </c>
      <c r="F1392" s="43">
        <f>IFERROR(__xludf.DUMMYFUNCTION("""COMPUTED_VALUE"""),3.325322008E9)</f>
        <v>3325322008</v>
      </c>
      <c r="G1392" s="43" t="str">
        <f>IFERROR(__xludf.DUMMYFUNCTION("""COMPUTED_VALUE"""),"Pakistan")</f>
        <v>Pakistan</v>
      </c>
      <c r="H1392" s="43" t="str">
        <f>IFERROR(__xludf.DUMMYFUNCTION("""COMPUTED_VALUE"""),"Islamabad")</f>
        <v>Islamabad</v>
      </c>
      <c r="I1392" s="43" t="str">
        <f>IFERROR(__xludf.DUMMYFUNCTION("""COMPUTED_VALUE"""),"Turkey")</f>
        <v>Turkey</v>
      </c>
      <c r="J1392" s="43" t="str">
        <f>IFERROR(__xludf.DUMMYFUNCTION("""COMPUTED_VALUE"""),"ISPARTA")</f>
        <v>ISPARTA</v>
      </c>
      <c r="K1392" s="44" t="str">
        <f>IFERROR(__xludf.DUMMYFUNCTION("""COMPUTED_VALUE"""),"https://expa.aiesec.org/opportunities/1286236")</f>
        <v>https://expa.aiesec.org/opportunities/1286236</v>
      </c>
      <c r="L1392" s="43" t="str">
        <f>IFERROR(__xludf.DUMMYFUNCTION("""COMPUTED_VALUE"""),"GV")</f>
        <v>GV</v>
      </c>
      <c r="M1392" s="43" t="str">
        <f>IFERROR(__xludf.DUMMYFUNCTION("""COMPUTED_VALUE"""),"short")</f>
        <v>short</v>
      </c>
      <c r="N1392" s="45">
        <f>IFERROR(__xludf.DUMMYFUNCTION("""COMPUTED_VALUE"""),45200.0)</f>
        <v>45200</v>
      </c>
      <c r="O1392" s="45">
        <f>IFERROR(__xludf.DUMMYFUNCTION("""COMPUTED_VALUE"""),45306.0)</f>
        <v>45306</v>
      </c>
      <c r="P1392" s="45">
        <f>IFERROR(__xludf.DUMMYFUNCTION("""COMPUTED_VALUE"""),45348.0)</f>
        <v>45348</v>
      </c>
      <c r="Q1392" s="45"/>
      <c r="R1392" s="45"/>
      <c r="S1392" s="43"/>
      <c r="T1392" s="43"/>
      <c r="U1392" s="43" t="str">
        <f>IFERROR(__xludf.DUMMYFUNCTION("""COMPUTED_VALUE"""),"Global Classroom")</f>
        <v>Global Classroom</v>
      </c>
      <c r="V1392" s="43" t="str">
        <f>IFERROR(__xludf.DUMMYFUNCTION("""COMPUTED_VALUE"""),"Islamabad - Air University")</f>
        <v>Islamabad - Air University</v>
      </c>
      <c r="W1392" s="43" t="str">
        <f>IFERROR(__xludf.DUMMYFUNCTION("""COMPUTED_VALUE"""),"2023-09-11T03:44:38Z")</f>
        <v>2023-09-11T03:44:38Z</v>
      </c>
      <c r="X1392" s="43"/>
      <c r="Y1392" s="43"/>
      <c r="Z1392" s="43"/>
    </row>
    <row r="1393" hidden="1">
      <c r="A1393" s="43" t="str">
        <f>IFERROR(__xludf.DUMMYFUNCTION("""COMPUTED_VALUE"""),"5338274_1289347")</f>
        <v>5338274_1289347</v>
      </c>
      <c r="B1393" s="43" t="str">
        <f>IFERROR(__xludf.DUMMYFUNCTION("""COMPUTED_VALUE"""),"Tasneem Ezz")</f>
        <v>Tasneem Ezz</v>
      </c>
      <c r="C1393" s="43" t="str">
        <f>IFERROR(__xludf.DUMMYFUNCTION("""COMPUTED_VALUE"""),"approved")</f>
        <v>approved</v>
      </c>
      <c r="D1393" s="43" t="str">
        <f>IFERROR(__xludf.DUMMYFUNCTION("""COMPUTED_VALUE"""),"No")</f>
        <v>No</v>
      </c>
      <c r="E1393" s="43" t="str">
        <f>IFERROR(__xludf.DUMMYFUNCTION("""COMPUTED_VALUE"""),"p_c413ed5b9e60ca19c538249d54cfcf825870b150@inbound.aiesec.org")</f>
        <v>p_c413ed5b9e60ca19c538249d54cfcf825870b150@inbound.aiesec.org</v>
      </c>
      <c r="F1393" s="43">
        <f>IFERROR(__xludf.DUMMYFUNCTION("""COMPUTED_VALUE"""),1.028316328E9)</f>
        <v>1028316328</v>
      </c>
      <c r="G1393" s="43" t="str">
        <f>IFERROR(__xludf.DUMMYFUNCTION("""COMPUTED_VALUE"""),"Egypt")</f>
        <v>Egypt</v>
      </c>
      <c r="H1393" s="43" t="str">
        <f>IFERROR(__xludf.DUMMYFUNCTION("""COMPUTED_VALUE"""),"MUST")</f>
        <v>MUST</v>
      </c>
      <c r="I1393" s="43" t="str">
        <f>IFERROR(__xludf.DUMMYFUNCTION("""COMPUTED_VALUE"""),"Turkey")</f>
        <v>Turkey</v>
      </c>
      <c r="J1393" s="43" t="str">
        <f>IFERROR(__xludf.DUMMYFUNCTION("""COMPUTED_VALUE"""),"ADANA")</f>
        <v>ADANA</v>
      </c>
      <c r="K1393" s="44" t="str">
        <f>IFERROR(__xludf.DUMMYFUNCTION("""COMPUTED_VALUE"""),"https://expa.aiesec.org/opportunities/1289347")</f>
        <v>https://expa.aiesec.org/opportunities/1289347</v>
      </c>
      <c r="L1393" s="43" t="str">
        <f>IFERROR(__xludf.DUMMYFUNCTION("""COMPUTED_VALUE"""),"GV")</f>
        <v>GV</v>
      </c>
      <c r="M1393" s="43" t="str">
        <f>IFERROR(__xludf.DUMMYFUNCTION("""COMPUTED_VALUE"""),"short")</f>
        <v>short</v>
      </c>
      <c r="N1393" s="45">
        <f>IFERROR(__xludf.DUMMYFUNCTION("""COMPUTED_VALUE"""),45201.0)</f>
        <v>45201</v>
      </c>
      <c r="O1393" s="45">
        <f>IFERROR(__xludf.DUMMYFUNCTION("""COMPUTED_VALUE"""),45474.0)</f>
        <v>45474</v>
      </c>
      <c r="P1393" s="45">
        <f>IFERROR(__xludf.DUMMYFUNCTION("""COMPUTED_VALUE"""),45516.0)</f>
        <v>45516</v>
      </c>
      <c r="Q1393" s="45"/>
      <c r="R1393" s="45"/>
      <c r="S1393" s="43"/>
      <c r="T1393" s="43"/>
      <c r="U1393" s="43" t="str">
        <f>IFERROR(__xludf.DUMMYFUNCTION("""COMPUTED_VALUE"""),"Global Classroom")</f>
        <v>Global Classroom</v>
      </c>
      <c r="V1393" s="43" t="str">
        <f>IFERROR(__xludf.DUMMYFUNCTION("""COMPUTED_VALUE"""),"MUST University")</f>
        <v>MUST University</v>
      </c>
      <c r="W1393" s="43" t="str">
        <f>IFERROR(__xludf.DUMMYFUNCTION("""COMPUTED_VALUE"""),"2023-09-30T11:45:53Z")</f>
        <v>2023-09-30T11:45:53Z</v>
      </c>
      <c r="X1393" s="43"/>
      <c r="Y1393" s="43"/>
      <c r="Z1393" s="43"/>
    </row>
    <row r="1394" hidden="1">
      <c r="A1394" s="43" t="str">
        <f>IFERROR(__xludf.DUMMYFUNCTION("""COMPUTED_VALUE"""),"4709318_1279126")</f>
        <v>4709318_1279126</v>
      </c>
      <c r="B1394" s="43" t="str">
        <f>IFERROR(__xludf.DUMMYFUNCTION("""COMPUTED_VALUE"""),"Anna Júlia Júlia de Alcântara Lira")</f>
        <v>Anna Júlia Júlia de Alcântara Lira</v>
      </c>
      <c r="C1394" s="43" t="str">
        <f>IFERROR(__xludf.DUMMYFUNCTION("""COMPUTED_VALUE"""),"approved")</f>
        <v>approved</v>
      </c>
      <c r="D1394" s="43" t="str">
        <f>IFERROR(__xludf.DUMMYFUNCTION("""COMPUTED_VALUE"""),"No")</f>
        <v>No</v>
      </c>
      <c r="E1394" s="43" t="str">
        <f>IFERROR(__xludf.DUMMYFUNCTION("""COMPUTED_VALUE"""),"p_4a33dbd851ff068129cb1a5d72e033cb2f3b102e@inbound.aiesec.org")</f>
        <v>p_4a33dbd851ff068129cb1a5d72e033cb2f3b102e@inbound.aiesec.org</v>
      </c>
      <c r="F1394" s="43">
        <f>IFERROR(__xludf.DUMMYFUNCTION("""COMPUTED_VALUE"""),7.9999961623E10)</f>
        <v>79999961623</v>
      </c>
      <c r="G1394" s="43" t="str">
        <f>IFERROR(__xludf.DUMMYFUNCTION("""COMPUTED_VALUE"""),"Brazil")</f>
        <v>Brazil</v>
      </c>
      <c r="H1394" s="43" t="str">
        <f>IFERROR(__xludf.DUMMYFUNCTION("""COMPUTED_VALUE"""),"ARACAJU")</f>
        <v>ARACAJU</v>
      </c>
      <c r="I1394" s="43" t="str">
        <f>IFERROR(__xludf.DUMMYFUNCTION("""COMPUTED_VALUE"""),"Turkey")</f>
        <v>Turkey</v>
      </c>
      <c r="J1394" s="43" t="str">
        <f>IFERROR(__xludf.DUMMYFUNCTION("""COMPUTED_VALUE"""),"KOCAELI")</f>
        <v>KOCAELI</v>
      </c>
      <c r="K1394" s="44" t="str">
        <f>IFERROR(__xludf.DUMMYFUNCTION("""COMPUTED_VALUE"""),"https://expa.aiesec.org/opportunities/1279126")</f>
        <v>https://expa.aiesec.org/opportunities/1279126</v>
      </c>
      <c r="L1394" s="43" t="str">
        <f>IFERROR(__xludf.DUMMYFUNCTION("""COMPUTED_VALUE"""),"GV")</f>
        <v>GV</v>
      </c>
      <c r="M1394" s="43" t="str">
        <f>IFERROR(__xludf.DUMMYFUNCTION("""COMPUTED_VALUE"""),"short")</f>
        <v>short</v>
      </c>
      <c r="N1394" s="45">
        <f>IFERROR(__xludf.DUMMYFUNCTION("""COMPUTED_VALUE"""),45201.0)</f>
        <v>45201</v>
      </c>
      <c r="O1394" s="45">
        <f>IFERROR(__xludf.DUMMYFUNCTION("""COMPUTED_VALUE"""),45418.0)</f>
        <v>45418</v>
      </c>
      <c r="P1394" s="45">
        <f>IFERROR(__xludf.DUMMYFUNCTION("""COMPUTED_VALUE"""),45460.0)</f>
        <v>45460</v>
      </c>
      <c r="Q1394" s="45"/>
      <c r="R1394" s="45"/>
      <c r="S1394" s="43"/>
      <c r="T1394" s="43"/>
      <c r="U1394" s="43" t="str">
        <f>IFERROR(__xludf.DUMMYFUNCTION("""COMPUTED_VALUE"""),"Global Classroom")</f>
        <v>Global Classroom</v>
      </c>
      <c r="V1394" s="43" t="str">
        <f>IFERROR(__xludf.DUMMYFUNCTION("""COMPUTED_VALUE"""),"Aracaju")</f>
        <v>Aracaju</v>
      </c>
      <c r="W1394" s="43" t="str">
        <f>IFERROR(__xludf.DUMMYFUNCTION("""COMPUTED_VALUE"""),"2021-08-11T21:07:56Z")</f>
        <v>2021-08-11T21:07:56Z</v>
      </c>
      <c r="X1394" s="43"/>
      <c r="Y1394" s="43"/>
      <c r="Z1394" s="43"/>
    </row>
    <row r="1395" hidden="1">
      <c r="A1395" s="43" t="str">
        <f>IFERROR(__xludf.DUMMYFUNCTION("""COMPUTED_VALUE"""),"2024387_1295745")</f>
        <v>2024387_1295745</v>
      </c>
      <c r="B1395" s="43" t="str">
        <f>IFERROR(__xludf.DUMMYFUNCTION("""COMPUTED_VALUE"""),"AMANDA De Castro Barbosa")</f>
        <v>AMANDA De Castro Barbosa</v>
      </c>
      <c r="C1395" s="43" t="str">
        <f>IFERROR(__xludf.DUMMYFUNCTION("""COMPUTED_VALUE"""),"approved")</f>
        <v>approved</v>
      </c>
      <c r="D1395" s="43" t="str">
        <f>IFERROR(__xludf.DUMMYFUNCTION("""COMPUTED_VALUE"""),"No")</f>
        <v>No</v>
      </c>
      <c r="E1395" s="43" t="str">
        <f>IFERROR(__xludf.DUMMYFUNCTION("""COMPUTED_VALUE"""),"p_18c88ad2ce7725b9fe1ba9540ee1591a735b7f5e@inbound.aiesec.org")</f>
        <v>p_18c88ad2ce7725b9fe1ba9540ee1591a735b7f5e@inbound.aiesec.org</v>
      </c>
      <c r="F1395" s="43">
        <f>IFERROR(__xludf.DUMMYFUNCTION("""COMPUTED_VALUE"""),1.1967341444E10)</f>
        <v>11967341444</v>
      </c>
      <c r="G1395" s="43" t="str">
        <f>IFERROR(__xludf.DUMMYFUNCTION("""COMPUTED_VALUE"""),"Brazil")</f>
        <v>Brazil</v>
      </c>
      <c r="H1395" s="43" t="str">
        <f>IFERROR(__xludf.DUMMYFUNCTION("""COMPUTED_VALUE"""),"USP")</f>
        <v>USP</v>
      </c>
      <c r="I1395" s="43" t="str">
        <f>IFERROR(__xludf.DUMMYFUNCTION("""COMPUTED_VALUE"""),"Turkey")</f>
        <v>Turkey</v>
      </c>
      <c r="J1395" s="43" t="str">
        <f>IFERROR(__xludf.DUMMYFUNCTION("""COMPUTED_VALUE"""),"ISTANBUL WEST")</f>
        <v>ISTANBUL WEST</v>
      </c>
      <c r="K1395" s="44" t="str">
        <f>IFERROR(__xludf.DUMMYFUNCTION("""COMPUTED_VALUE"""),"https://expa.aiesec.org/opportunities/1295745")</f>
        <v>https://expa.aiesec.org/opportunities/1295745</v>
      </c>
      <c r="L1395" s="43" t="str">
        <f>IFERROR(__xludf.DUMMYFUNCTION("""COMPUTED_VALUE"""),"GV")</f>
        <v>GV</v>
      </c>
      <c r="M1395" s="43" t="str">
        <f>IFERROR(__xludf.DUMMYFUNCTION("""COMPUTED_VALUE"""),"short")</f>
        <v>short</v>
      </c>
      <c r="N1395" s="45">
        <f>IFERROR(__xludf.DUMMYFUNCTION("""COMPUTED_VALUE"""),45202.0)</f>
        <v>45202</v>
      </c>
      <c r="O1395" s="45">
        <f>IFERROR(__xludf.DUMMYFUNCTION("""COMPUTED_VALUE"""),45383.0)</f>
        <v>45383</v>
      </c>
      <c r="P1395" s="45">
        <f>IFERROR(__xludf.DUMMYFUNCTION("""COMPUTED_VALUE"""),45425.0)</f>
        <v>45425</v>
      </c>
      <c r="Q1395" s="45"/>
      <c r="R1395" s="45"/>
      <c r="S1395" s="43"/>
      <c r="T1395" s="43"/>
      <c r="U1395" s="43" t="str">
        <f>IFERROR(__xludf.DUMMYFUNCTION("""COMPUTED_VALUE"""),"Fingerprint")</f>
        <v>Fingerprint</v>
      </c>
      <c r="V1395" s="43" t="str">
        <f>IFERROR(__xludf.DUMMYFUNCTION("""COMPUTED_VALUE"""),"-")</f>
        <v>-</v>
      </c>
      <c r="W1395" s="43" t="str">
        <f>IFERROR(__xludf.DUMMYFUNCTION("""COMPUTED_VALUE"""),"2018-02-08T20:04:08Z")</f>
        <v>2018-02-08T20:04:08Z</v>
      </c>
      <c r="X1395" s="43"/>
      <c r="Y1395" s="43"/>
      <c r="Z1395" s="43"/>
    </row>
    <row r="1396" hidden="1">
      <c r="A1396" s="43" t="str">
        <f>IFERROR(__xludf.DUMMYFUNCTION("""COMPUTED_VALUE"""),"5331897_1289347")</f>
        <v>5331897_1289347</v>
      </c>
      <c r="B1396" s="43" t="str">
        <f>IFERROR(__xludf.DUMMYFUNCTION("""COMPUTED_VALUE"""),"Omar Tamer")</f>
        <v>Omar Tamer</v>
      </c>
      <c r="C1396" s="43" t="str">
        <f>IFERROR(__xludf.DUMMYFUNCTION("""COMPUTED_VALUE"""),"approved")</f>
        <v>approved</v>
      </c>
      <c r="D1396" s="43" t="str">
        <f>IFERROR(__xludf.DUMMYFUNCTION("""COMPUTED_VALUE"""),"No")</f>
        <v>No</v>
      </c>
      <c r="E1396" s="43" t="str">
        <f>IFERROR(__xludf.DUMMYFUNCTION("""COMPUTED_VALUE"""),"p_b7798c5b66d9aa866eb83ab4fee2dafd1eb92c9a@inbound.aiesec.org")</f>
        <v>p_b7798c5b66d9aa866eb83ab4fee2dafd1eb92c9a@inbound.aiesec.org</v>
      </c>
      <c r="F1396" s="43">
        <f>IFERROR(__xludf.DUMMYFUNCTION("""COMPUTED_VALUE"""),1.098518966E9)</f>
        <v>1098518966</v>
      </c>
      <c r="G1396" s="43" t="str">
        <f>IFERROR(__xludf.DUMMYFUNCTION("""COMPUTED_VALUE"""),"Egypt")</f>
        <v>Egypt</v>
      </c>
      <c r="H1396" s="43" t="str">
        <f>IFERROR(__xludf.DUMMYFUNCTION("""COMPUTED_VALUE"""),"MUST")</f>
        <v>MUST</v>
      </c>
      <c r="I1396" s="43" t="str">
        <f>IFERROR(__xludf.DUMMYFUNCTION("""COMPUTED_VALUE"""),"Turkey")</f>
        <v>Turkey</v>
      </c>
      <c r="J1396" s="43" t="str">
        <f>IFERROR(__xludf.DUMMYFUNCTION("""COMPUTED_VALUE"""),"ADANA")</f>
        <v>ADANA</v>
      </c>
      <c r="K1396" s="44" t="str">
        <f>IFERROR(__xludf.DUMMYFUNCTION("""COMPUTED_VALUE"""),"https://expa.aiesec.org/opportunities/1289347")</f>
        <v>https://expa.aiesec.org/opportunities/1289347</v>
      </c>
      <c r="L1396" s="43" t="str">
        <f>IFERROR(__xludf.DUMMYFUNCTION("""COMPUTED_VALUE"""),"GV")</f>
        <v>GV</v>
      </c>
      <c r="M1396" s="43" t="str">
        <f>IFERROR(__xludf.DUMMYFUNCTION("""COMPUTED_VALUE"""),"short")</f>
        <v>short</v>
      </c>
      <c r="N1396" s="45">
        <f>IFERROR(__xludf.DUMMYFUNCTION("""COMPUTED_VALUE"""),45203.0)</f>
        <v>45203</v>
      </c>
      <c r="O1396" s="45">
        <f>IFERROR(__xludf.DUMMYFUNCTION("""COMPUTED_VALUE"""),45474.0)</f>
        <v>45474</v>
      </c>
      <c r="P1396" s="45">
        <f>IFERROR(__xludf.DUMMYFUNCTION("""COMPUTED_VALUE"""),45516.0)</f>
        <v>45516</v>
      </c>
      <c r="Q1396" s="45"/>
      <c r="R1396" s="45"/>
      <c r="S1396" s="43"/>
      <c r="T1396" s="43"/>
      <c r="U1396" s="43" t="str">
        <f>IFERROR(__xludf.DUMMYFUNCTION("""COMPUTED_VALUE"""),"Global Classroom")</f>
        <v>Global Classroom</v>
      </c>
      <c r="V1396" s="43" t="str">
        <f>IFERROR(__xludf.DUMMYFUNCTION("""COMPUTED_VALUE"""),"Nile University")</f>
        <v>Nile University</v>
      </c>
      <c r="W1396" s="43" t="str">
        <f>IFERROR(__xludf.DUMMYFUNCTION("""COMPUTED_VALUE"""),"2023-09-25T11:27:09Z")</f>
        <v>2023-09-25T11:27:09Z</v>
      </c>
      <c r="X1396" s="43"/>
      <c r="Y1396" s="43"/>
      <c r="Z1396" s="43"/>
    </row>
    <row r="1397" hidden="1">
      <c r="A1397" s="43" t="str">
        <f>IFERROR(__xludf.DUMMYFUNCTION("""COMPUTED_VALUE"""),"5336056_1289536")</f>
        <v>5336056_1289536</v>
      </c>
      <c r="B1397" s="43" t="str">
        <f>IFERROR(__xludf.DUMMYFUNCTION("""COMPUTED_VALUE"""),"Habiba Abdelhamid")</f>
        <v>Habiba Abdelhamid</v>
      </c>
      <c r="C1397" s="43" t="str">
        <f>IFERROR(__xludf.DUMMYFUNCTION("""COMPUTED_VALUE"""),"approved")</f>
        <v>approved</v>
      </c>
      <c r="D1397" s="43" t="str">
        <f>IFERROR(__xludf.DUMMYFUNCTION("""COMPUTED_VALUE"""),"No")</f>
        <v>No</v>
      </c>
      <c r="E1397" s="43" t="str">
        <f>IFERROR(__xludf.DUMMYFUNCTION("""COMPUTED_VALUE"""),"p_13a8242a7f18d84ca6870985e2dbba5afe1cf291@inbound.aiesec.org")</f>
        <v>p_13a8242a7f18d84ca6870985e2dbba5afe1cf291@inbound.aiesec.org</v>
      </c>
      <c r="F1397" s="43">
        <f>IFERROR(__xludf.DUMMYFUNCTION("""COMPUTED_VALUE"""),1.024415068E9)</f>
        <v>1024415068</v>
      </c>
      <c r="G1397" s="43" t="str">
        <f>IFERROR(__xludf.DUMMYFUNCTION("""COMPUTED_VALUE"""),"Egypt")</f>
        <v>Egypt</v>
      </c>
      <c r="H1397" s="43" t="str">
        <f>IFERROR(__xludf.DUMMYFUNCTION("""COMPUTED_VALUE"""),"Beni Suef")</f>
        <v>Beni Suef</v>
      </c>
      <c r="I1397" s="43" t="str">
        <f>IFERROR(__xludf.DUMMYFUNCTION("""COMPUTED_VALUE"""),"Turkey")</f>
        <v>Turkey</v>
      </c>
      <c r="J1397" s="43" t="str">
        <f>IFERROR(__xludf.DUMMYFUNCTION("""COMPUTED_VALUE"""),"ISTANBUL")</f>
        <v>ISTANBUL</v>
      </c>
      <c r="K1397" s="44" t="str">
        <f>IFERROR(__xludf.DUMMYFUNCTION("""COMPUTED_VALUE"""),"https://expa.aiesec.org/opportunities/1289536")</f>
        <v>https://expa.aiesec.org/opportunities/1289536</v>
      </c>
      <c r="L1397" s="43" t="str">
        <f>IFERROR(__xludf.DUMMYFUNCTION("""COMPUTED_VALUE"""),"GV")</f>
        <v>GV</v>
      </c>
      <c r="M1397" s="43" t="str">
        <f>IFERROR(__xludf.DUMMYFUNCTION("""COMPUTED_VALUE"""),"short")</f>
        <v>short</v>
      </c>
      <c r="N1397" s="45">
        <f>IFERROR(__xludf.DUMMYFUNCTION("""COMPUTED_VALUE"""),45203.0)</f>
        <v>45203</v>
      </c>
      <c r="O1397" s="45">
        <f>IFERROR(__xludf.DUMMYFUNCTION("""COMPUTED_VALUE"""),45487.0)</f>
        <v>45487</v>
      </c>
      <c r="P1397" s="45">
        <f>IFERROR(__xludf.DUMMYFUNCTION("""COMPUTED_VALUE"""),45529.0)</f>
        <v>45529</v>
      </c>
      <c r="Q1397" s="45"/>
      <c r="R1397" s="45"/>
      <c r="S1397" s="43"/>
      <c r="T1397" s="43"/>
      <c r="U1397" s="43" t="str">
        <f>IFERROR(__xludf.DUMMYFUNCTION("""COMPUTED_VALUE"""),"Global Classroom")</f>
        <v>Global Classroom</v>
      </c>
      <c r="V1397" s="43" t="str">
        <f>IFERROR(__xludf.DUMMYFUNCTION("""COMPUTED_VALUE"""),"Beni Suef")</f>
        <v>Beni Suef</v>
      </c>
      <c r="W1397" s="43" t="str">
        <f>IFERROR(__xludf.DUMMYFUNCTION("""COMPUTED_VALUE"""),"2023-09-28T10:10:03Z")</f>
        <v>2023-09-28T10:10:03Z</v>
      </c>
      <c r="X1397" s="43"/>
      <c r="Y1397" s="43"/>
      <c r="Z1397" s="43"/>
    </row>
    <row r="1398" hidden="1">
      <c r="A1398" s="43" t="str">
        <f>IFERROR(__xludf.DUMMYFUNCTION("""COMPUTED_VALUE"""),"5333586_1284077")</f>
        <v>5333586_1284077</v>
      </c>
      <c r="B1398" s="43" t="str">
        <f>IFERROR(__xludf.DUMMYFUNCTION("""COMPUTED_VALUE"""),"Ayham Ayman")</f>
        <v>Ayham Ayman</v>
      </c>
      <c r="C1398" s="43" t="str">
        <f>IFERROR(__xludf.DUMMYFUNCTION("""COMPUTED_VALUE"""),"approved")</f>
        <v>approved</v>
      </c>
      <c r="D1398" s="43" t="str">
        <f>IFERROR(__xludf.DUMMYFUNCTION("""COMPUTED_VALUE"""),"No")</f>
        <v>No</v>
      </c>
      <c r="E1398" s="43" t="str">
        <f>IFERROR(__xludf.DUMMYFUNCTION("""COMPUTED_VALUE"""),"p_d6cbbf06c21f201c2fb473c8840ad0dd44769e83@inbound.aiesec.org")</f>
        <v>p_d6cbbf06c21f201c2fb473c8840ad0dd44769e83@inbound.aiesec.org</v>
      </c>
      <c r="F1398" s="43">
        <f>IFERROR(__xludf.DUMMYFUNCTION("""COMPUTED_VALUE"""),1.155347617E9)</f>
        <v>1155347617</v>
      </c>
      <c r="G1398" s="43" t="str">
        <f>IFERROR(__xludf.DUMMYFUNCTION("""COMPUTED_VALUE"""),"Egypt")</f>
        <v>Egypt</v>
      </c>
      <c r="H1398" s="43" t="str">
        <f>IFERROR(__xludf.DUMMYFUNCTION("""COMPUTED_VALUE"""),"MUST")</f>
        <v>MUST</v>
      </c>
      <c r="I1398" s="43" t="str">
        <f>IFERROR(__xludf.DUMMYFUNCTION("""COMPUTED_VALUE"""),"Turkey")</f>
        <v>Turkey</v>
      </c>
      <c r="J1398" s="43" t="str">
        <f>IFERROR(__xludf.DUMMYFUNCTION("""COMPUTED_VALUE"""),"GAZIANTEP")</f>
        <v>GAZIANTEP</v>
      </c>
      <c r="K1398" s="44" t="str">
        <f>IFERROR(__xludf.DUMMYFUNCTION("""COMPUTED_VALUE"""),"https://expa.aiesec.org/opportunities/1284077")</f>
        <v>https://expa.aiesec.org/opportunities/1284077</v>
      </c>
      <c r="L1398" s="43" t="str">
        <f>IFERROR(__xludf.DUMMYFUNCTION("""COMPUTED_VALUE"""),"GV")</f>
        <v>GV</v>
      </c>
      <c r="M1398" s="43" t="str">
        <f>IFERROR(__xludf.DUMMYFUNCTION("""COMPUTED_VALUE"""),"short")</f>
        <v>short</v>
      </c>
      <c r="N1398" s="45">
        <f>IFERROR(__xludf.DUMMYFUNCTION("""COMPUTED_VALUE"""),45204.0)</f>
        <v>45204</v>
      </c>
      <c r="O1398" s="45">
        <f>IFERROR(__xludf.DUMMYFUNCTION("""COMPUTED_VALUE"""),45519.0)</f>
        <v>45519</v>
      </c>
      <c r="P1398" s="45">
        <f>IFERROR(__xludf.DUMMYFUNCTION("""COMPUTED_VALUE"""),45561.0)</f>
        <v>45561</v>
      </c>
      <c r="Q1398" s="45"/>
      <c r="R1398" s="45"/>
      <c r="S1398" s="43"/>
      <c r="T1398" s="43"/>
      <c r="U1398" s="43" t="str">
        <f>IFERROR(__xludf.DUMMYFUNCTION("""COMPUTED_VALUE"""),"Global Classroom")</f>
        <v>Global Classroom</v>
      </c>
      <c r="V1398" s="43" t="str">
        <f>IFERROR(__xludf.DUMMYFUNCTION("""COMPUTED_VALUE"""),"Nile University")</f>
        <v>Nile University</v>
      </c>
      <c r="W1398" s="43" t="str">
        <f>IFERROR(__xludf.DUMMYFUNCTION("""COMPUTED_VALUE"""),"2023-09-26T12:42:04Z")</f>
        <v>2023-09-26T12:42:04Z</v>
      </c>
      <c r="X1398" s="43"/>
      <c r="Y1398" s="43"/>
      <c r="Z1398" s="43"/>
    </row>
    <row r="1399" hidden="1">
      <c r="A1399" s="43" t="str">
        <f>IFERROR(__xludf.DUMMYFUNCTION("""COMPUTED_VALUE"""),"1495980_1289536")</f>
        <v>1495980_1289536</v>
      </c>
      <c r="B1399" s="43" t="str">
        <f>IFERROR(__xludf.DUMMYFUNCTION("""COMPUTED_VALUE"""),"YOUNGEUN SONG")</f>
        <v>YOUNGEUN SONG</v>
      </c>
      <c r="C1399" s="43" t="str">
        <f>IFERROR(__xludf.DUMMYFUNCTION("""COMPUTED_VALUE"""),"approved")</f>
        <v>approved</v>
      </c>
      <c r="D1399" s="43" t="str">
        <f>IFERROR(__xludf.DUMMYFUNCTION("""COMPUTED_VALUE"""),"No")</f>
        <v>No</v>
      </c>
      <c r="E1399" s="43" t="str">
        <f>IFERROR(__xludf.DUMMYFUNCTION("""COMPUTED_VALUE"""),"p_c4d89ae4eb8ddb24363069cd438ebdb187d90613@inbound.aiesec.org")</f>
        <v>p_c4d89ae4eb8ddb24363069cd438ebdb187d90613@inbound.aiesec.org</v>
      </c>
      <c r="F1399" s="43">
        <f>IFERROR(__xludf.DUMMYFUNCTION("""COMPUTED_VALUE"""),4.11344901E8)</f>
        <v>411344901</v>
      </c>
      <c r="G1399" s="43" t="str">
        <f>IFERROR(__xludf.DUMMYFUNCTION("""COMPUTED_VALUE"""),"Australia")</f>
        <v>Australia</v>
      </c>
      <c r="H1399" s="43" t="str">
        <f>IFERROR(__xludf.DUMMYFUNCTION("""COMPUTED_VALUE"""),"Monash University")</f>
        <v>Monash University</v>
      </c>
      <c r="I1399" s="43" t="str">
        <f>IFERROR(__xludf.DUMMYFUNCTION("""COMPUTED_VALUE"""),"Turkey")</f>
        <v>Turkey</v>
      </c>
      <c r="J1399" s="43" t="str">
        <f>IFERROR(__xludf.DUMMYFUNCTION("""COMPUTED_VALUE"""),"ISTANBUL")</f>
        <v>ISTANBUL</v>
      </c>
      <c r="K1399" s="44" t="str">
        <f>IFERROR(__xludf.DUMMYFUNCTION("""COMPUTED_VALUE"""),"https://expa.aiesec.org/opportunities/1289536")</f>
        <v>https://expa.aiesec.org/opportunities/1289536</v>
      </c>
      <c r="L1399" s="43" t="str">
        <f>IFERROR(__xludf.DUMMYFUNCTION("""COMPUTED_VALUE"""),"GV")</f>
        <v>GV</v>
      </c>
      <c r="M1399" s="43" t="str">
        <f>IFERROR(__xludf.DUMMYFUNCTION("""COMPUTED_VALUE"""),"short")</f>
        <v>short</v>
      </c>
      <c r="N1399" s="45">
        <f>IFERROR(__xludf.DUMMYFUNCTION("""COMPUTED_VALUE"""),45204.0)</f>
        <v>45204</v>
      </c>
      <c r="O1399" s="45">
        <f>IFERROR(__xludf.DUMMYFUNCTION("""COMPUTED_VALUE"""),45305.0)</f>
        <v>45305</v>
      </c>
      <c r="P1399" s="45">
        <f>IFERROR(__xludf.DUMMYFUNCTION("""COMPUTED_VALUE"""),45347.0)</f>
        <v>45347</v>
      </c>
      <c r="Q1399" s="45"/>
      <c r="R1399" s="45"/>
      <c r="S1399" s="43"/>
      <c r="T1399" s="43"/>
      <c r="U1399" s="43" t="str">
        <f>IFERROR(__xludf.DUMMYFUNCTION("""COMPUTED_VALUE"""),"Global Classroom")</f>
        <v>Global Classroom</v>
      </c>
      <c r="V1399" s="43" t="str">
        <f>IFERROR(__xludf.DUMMYFUNCTION("""COMPUTED_VALUE"""),"-")</f>
        <v>-</v>
      </c>
      <c r="W1399" s="43" t="str">
        <f>IFERROR(__xludf.DUMMYFUNCTION("""COMPUTED_VALUE"""),"2017-04-12T01:45:04Z")</f>
        <v>2017-04-12T01:45:04Z</v>
      </c>
      <c r="X1399" s="43"/>
      <c r="Y1399" s="43"/>
      <c r="Z1399" s="43"/>
    </row>
    <row r="1400" hidden="1">
      <c r="A1400" s="43" t="str">
        <f>IFERROR(__xludf.DUMMYFUNCTION("""COMPUTED_VALUE"""),"5343115_1289536")</f>
        <v>5343115_1289536</v>
      </c>
      <c r="B1400" s="43" t="str">
        <f>IFERROR(__xludf.DUMMYFUNCTION("""COMPUTED_VALUE"""),"Mariam Mohamed")</f>
        <v>Mariam Mohamed</v>
      </c>
      <c r="C1400" s="43" t="str">
        <f>IFERROR(__xludf.DUMMYFUNCTION("""COMPUTED_VALUE"""),"approved")</f>
        <v>approved</v>
      </c>
      <c r="D1400" s="43" t="str">
        <f>IFERROR(__xludf.DUMMYFUNCTION("""COMPUTED_VALUE"""),"No")</f>
        <v>No</v>
      </c>
      <c r="E1400" s="43" t="str">
        <f>IFERROR(__xludf.DUMMYFUNCTION("""COMPUTED_VALUE"""),"p_5d1a9834e6d6973f1f0ef44439a065ac546aad51@inbound.aiesec.org")</f>
        <v>p_5d1a9834e6d6973f1f0ef44439a065ac546aad51@inbound.aiesec.org</v>
      </c>
      <c r="F1400" s="43">
        <f>IFERROR(__xludf.DUMMYFUNCTION("""COMPUTED_VALUE"""),1.025989783E9)</f>
        <v>1025989783</v>
      </c>
      <c r="G1400" s="43" t="str">
        <f>IFERROR(__xludf.DUMMYFUNCTION("""COMPUTED_VALUE"""),"Egypt")</f>
        <v>Egypt</v>
      </c>
      <c r="H1400" s="43" t="str">
        <f>IFERROR(__xludf.DUMMYFUNCTION("""COMPUTED_VALUE"""),"Beni Suef")</f>
        <v>Beni Suef</v>
      </c>
      <c r="I1400" s="43" t="str">
        <f>IFERROR(__xludf.DUMMYFUNCTION("""COMPUTED_VALUE"""),"Turkey")</f>
        <v>Turkey</v>
      </c>
      <c r="J1400" s="43" t="str">
        <f>IFERROR(__xludf.DUMMYFUNCTION("""COMPUTED_VALUE"""),"ISTANBUL")</f>
        <v>ISTANBUL</v>
      </c>
      <c r="K1400" s="44" t="str">
        <f>IFERROR(__xludf.DUMMYFUNCTION("""COMPUTED_VALUE"""),"https://expa.aiesec.org/opportunities/1289536")</f>
        <v>https://expa.aiesec.org/opportunities/1289536</v>
      </c>
      <c r="L1400" s="43" t="str">
        <f>IFERROR(__xludf.DUMMYFUNCTION("""COMPUTED_VALUE"""),"GV")</f>
        <v>GV</v>
      </c>
      <c r="M1400" s="43" t="str">
        <f>IFERROR(__xludf.DUMMYFUNCTION("""COMPUTED_VALUE"""),"short")</f>
        <v>short</v>
      </c>
      <c r="N1400" s="45">
        <f>IFERROR(__xludf.DUMMYFUNCTION("""COMPUTED_VALUE"""),45204.0)</f>
        <v>45204</v>
      </c>
      <c r="O1400" s="45">
        <f>IFERROR(__xludf.DUMMYFUNCTION("""COMPUTED_VALUE"""),45474.0)</f>
        <v>45474</v>
      </c>
      <c r="P1400" s="45">
        <f>IFERROR(__xludf.DUMMYFUNCTION("""COMPUTED_VALUE"""),45516.0)</f>
        <v>45516</v>
      </c>
      <c r="Q1400" s="45"/>
      <c r="R1400" s="45"/>
      <c r="S1400" s="43"/>
      <c r="T1400" s="43"/>
      <c r="U1400" s="43" t="str">
        <f>IFERROR(__xludf.DUMMYFUNCTION("""COMPUTED_VALUE"""),"Global Classroom")</f>
        <v>Global Classroom</v>
      </c>
      <c r="V1400" s="43" t="str">
        <f>IFERROR(__xludf.DUMMYFUNCTION("""COMPUTED_VALUE"""),"Beni Suef")</f>
        <v>Beni Suef</v>
      </c>
      <c r="W1400" s="43" t="str">
        <f>IFERROR(__xludf.DUMMYFUNCTION("""COMPUTED_VALUE"""),"2023-10-05T12:23:03Z")</f>
        <v>2023-10-05T12:23:03Z</v>
      </c>
      <c r="X1400" s="43"/>
      <c r="Y1400" s="43"/>
      <c r="Z1400" s="43"/>
    </row>
    <row r="1401" hidden="1">
      <c r="A1401" s="43" t="str">
        <f>IFERROR(__xludf.DUMMYFUNCTION("""COMPUTED_VALUE"""),"5336638_1289536")</f>
        <v>5336638_1289536</v>
      </c>
      <c r="B1401" s="43" t="str">
        <f>IFERROR(__xludf.DUMMYFUNCTION("""COMPUTED_VALUE"""),"Roaa Samir")</f>
        <v>Roaa Samir</v>
      </c>
      <c r="C1401" s="43" t="str">
        <f>IFERROR(__xludf.DUMMYFUNCTION("""COMPUTED_VALUE"""),"approved")</f>
        <v>approved</v>
      </c>
      <c r="D1401" s="43" t="str">
        <f>IFERROR(__xludf.DUMMYFUNCTION("""COMPUTED_VALUE"""),"No")</f>
        <v>No</v>
      </c>
      <c r="E1401" s="43" t="str">
        <f>IFERROR(__xludf.DUMMYFUNCTION("""COMPUTED_VALUE"""),"p_e4c5e0a7d2c630743006de0f2366cfd231fd129f@inbound.aiesec.org")</f>
        <v>p_e4c5e0a7d2c630743006de0f2366cfd231fd129f@inbound.aiesec.org</v>
      </c>
      <c r="F1401" s="43">
        <f>IFERROR(__xludf.DUMMYFUNCTION("""COMPUTED_VALUE"""),1.014399816E9)</f>
        <v>1014399816</v>
      </c>
      <c r="G1401" s="43" t="str">
        <f>IFERROR(__xludf.DUMMYFUNCTION("""COMPUTED_VALUE"""),"Egypt")</f>
        <v>Egypt</v>
      </c>
      <c r="H1401" s="43" t="str">
        <f>IFERROR(__xludf.DUMMYFUNCTION("""COMPUTED_VALUE"""),"Beni Suef")</f>
        <v>Beni Suef</v>
      </c>
      <c r="I1401" s="43" t="str">
        <f>IFERROR(__xludf.DUMMYFUNCTION("""COMPUTED_VALUE"""),"Turkey")</f>
        <v>Turkey</v>
      </c>
      <c r="J1401" s="43" t="str">
        <f>IFERROR(__xludf.DUMMYFUNCTION("""COMPUTED_VALUE"""),"ISTANBUL")</f>
        <v>ISTANBUL</v>
      </c>
      <c r="K1401" s="44" t="str">
        <f>IFERROR(__xludf.DUMMYFUNCTION("""COMPUTED_VALUE"""),"https://expa.aiesec.org/opportunities/1289536")</f>
        <v>https://expa.aiesec.org/opportunities/1289536</v>
      </c>
      <c r="L1401" s="43" t="str">
        <f>IFERROR(__xludf.DUMMYFUNCTION("""COMPUTED_VALUE"""),"GV")</f>
        <v>GV</v>
      </c>
      <c r="M1401" s="43" t="str">
        <f>IFERROR(__xludf.DUMMYFUNCTION("""COMPUTED_VALUE"""),"short")</f>
        <v>short</v>
      </c>
      <c r="N1401" s="45">
        <f>IFERROR(__xludf.DUMMYFUNCTION("""COMPUTED_VALUE"""),45204.0)</f>
        <v>45204</v>
      </c>
      <c r="O1401" s="45">
        <f>IFERROR(__xludf.DUMMYFUNCTION("""COMPUTED_VALUE"""),45487.0)</f>
        <v>45487</v>
      </c>
      <c r="P1401" s="45">
        <f>IFERROR(__xludf.DUMMYFUNCTION("""COMPUTED_VALUE"""),45529.0)</f>
        <v>45529</v>
      </c>
      <c r="Q1401" s="45"/>
      <c r="R1401" s="45"/>
      <c r="S1401" s="43"/>
      <c r="T1401" s="43"/>
      <c r="U1401" s="43" t="str">
        <f>IFERROR(__xludf.DUMMYFUNCTION("""COMPUTED_VALUE"""),"Global Classroom")</f>
        <v>Global Classroom</v>
      </c>
      <c r="V1401" s="43" t="str">
        <f>IFERROR(__xludf.DUMMYFUNCTION("""COMPUTED_VALUE"""),"Beni Suef")</f>
        <v>Beni Suef</v>
      </c>
      <c r="W1401" s="43" t="str">
        <f>IFERROR(__xludf.DUMMYFUNCTION("""COMPUTED_VALUE"""),"2023-09-28T19:36:43Z")</f>
        <v>2023-09-28T19:36:43Z</v>
      </c>
      <c r="X1401" s="43"/>
      <c r="Y1401" s="43"/>
      <c r="Z1401" s="43"/>
    </row>
    <row r="1402" hidden="1">
      <c r="A1402" s="43" t="str">
        <f>IFERROR(__xludf.DUMMYFUNCTION("""COMPUTED_VALUE"""),"5328005_1288497")</f>
        <v>5328005_1288497</v>
      </c>
      <c r="B1402" s="43" t="str">
        <f>IFERROR(__xludf.DUMMYFUNCTION("""COMPUTED_VALUE"""),"Beatriz Pires")</f>
        <v>Beatriz Pires</v>
      </c>
      <c r="C1402" s="43" t="str">
        <f>IFERROR(__xludf.DUMMYFUNCTION("""COMPUTED_VALUE"""),"approved")</f>
        <v>approved</v>
      </c>
      <c r="D1402" s="43" t="str">
        <f>IFERROR(__xludf.DUMMYFUNCTION("""COMPUTED_VALUE"""),"No")</f>
        <v>No</v>
      </c>
      <c r="E1402" s="43" t="str">
        <f>IFERROR(__xludf.DUMMYFUNCTION("""COMPUTED_VALUE"""),"p_6b5fbdcc515369413427a65c8f111e3b47215db4@inbound.aiesec.org")</f>
        <v>p_6b5fbdcc515369413427a65c8f111e3b47215db4@inbound.aiesec.org</v>
      </c>
      <c r="F1402" s="43">
        <f>IFERROR(__xludf.DUMMYFUNCTION("""COMPUTED_VALUE"""),9.6251041E8)</f>
        <v>962510410</v>
      </c>
      <c r="G1402" s="43" t="str">
        <f>IFERROR(__xludf.DUMMYFUNCTION("""COMPUTED_VALUE"""),"Portugal")</f>
        <v>Portugal</v>
      </c>
      <c r="H1402" s="43" t="str">
        <f>IFERROR(__xludf.DUMMYFUNCTION("""COMPUTED_VALUE"""),"Lisboa ISEG")</f>
        <v>Lisboa ISEG</v>
      </c>
      <c r="I1402" s="43" t="str">
        <f>IFERROR(__xludf.DUMMYFUNCTION("""COMPUTED_VALUE"""),"Turkey")</f>
        <v>Turkey</v>
      </c>
      <c r="J1402" s="43" t="str">
        <f>IFERROR(__xludf.DUMMYFUNCTION("""COMPUTED_VALUE"""),"DENIZLI")</f>
        <v>DENIZLI</v>
      </c>
      <c r="K1402" s="44" t="str">
        <f>IFERROR(__xludf.DUMMYFUNCTION("""COMPUTED_VALUE"""),"https://expa.aiesec.org/opportunities/1288497")</f>
        <v>https://expa.aiesec.org/opportunities/1288497</v>
      </c>
      <c r="L1402" s="43" t="str">
        <f>IFERROR(__xludf.DUMMYFUNCTION("""COMPUTED_VALUE"""),"GV")</f>
        <v>GV</v>
      </c>
      <c r="M1402" s="43" t="str">
        <f>IFERROR(__xludf.DUMMYFUNCTION("""COMPUTED_VALUE"""),"short")</f>
        <v>short</v>
      </c>
      <c r="N1402" s="45">
        <f>IFERROR(__xludf.DUMMYFUNCTION("""COMPUTED_VALUE"""),45204.0)</f>
        <v>45204</v>
      </c>
      <c r="O1402" s="45">
        <f>IFERROR(__xludf.DUMMYFUNCTION("""COMPUTED_VALUE"""),45488.0)</f>
        <v>45488</v>
      </c>
      <c r="P1402" s="45">
        <f>IFERROR(__xludf.DUMMYFUNCTION("""COMPUTED_VALUE"""),45530.0)</f>
        <v>45530</v>
      </c>
      <c r="Q1402" s="45"/>
      <c r="R1402" s="45"/>
      <c r="S1402" s="43"/>
      <c r="T1402" s="43"/>
      <c r="U1402" s="43" t="str">
        <f>IFERROR(__xludf.DUMMYFUNCTION("""COMPUTED_VALUE"""),"Youth 4 Impact")</f>
        <v>Youth 4 Impact</v>
      </c>
      <c r="V1402" s="43" t="str">
        <f>IFERROR(__xludf.DUMMYFUNCTION("""COMPUTED_VALUE"""),"Instituto Politécnico de Lisboa - Escola Superior de Comunicação Social (ESCS)")</f>
        <v>Instituto Politécnico de Lisboa - Escola Superior de Comunicação Social (ESCS)</v>
      </c>
      <c r="W1402" s="43" t="str">
        <f>IFERROR(__xludf.DUMMYFUNCTION("""COMPUTED_VALUE"""),"2023-09-20T09:18:44Z")</f>
        <v>2023-09-20T09:18:44Z</v>
      </c>
      <c r="X1402" s="43"/>
      <c r="Y1402" s="43"/>
      <c r="Z1402" s="43"/>
    </row>
    <row r="1403" hidden="1">
      <c r="A1403" s="43" t="str">
        <f>IFERROR(__xludf.DUMMYFUNCTION("""COMPUTED_VALUE"""),"5341273_1293417")</f>
        <v>5341273_1293417</v>
      </c>
      <c r="B1403" s="43" t="str">
        <f>IFERROR(__xludf.DUMMYFUNCTION("""COMPUTED_VALUE"""),"Sabrine Ayari")</f>
        <v>Sabrine Ayari</v>
      </c>
      <c r="C1403" s="43" t="str">
        <f>IFERROR(__xludf.DUMMYFUNCTION("""COMPUTED_VALUE"""),"approved")</f>
        <v>approved</v>
      </c>
      <c r="D1403" s="43" t="str">
        <f>IFERROR(__xludf.DUMMYFUNCTION("""COMPUTED_VALUE"""),"No")</f>
        <v>No</v>
      </c>
      <c r="E1403" s="43" t="str">
        <f>IFERROR(__xludf.DUMMYFUNCTION("""COMPUTED_VALUE"""),"p_b160a5488136dea7ac2954baea148efb13f96bbf@inbound.aiesec.org")</f>
        <v>p_b160a5488136dea7ac2954baea148efb13f96bbf@inbound.aiesec.org</v>
      </c>
      <c r="F1403" s="43">
        <f>IFERROR(__xludf.DUMMYFUNCTION("""COMPUTED_VALUE"""),2.3361258E7)</f>
        <v>23361258</v>
      </c>
      <c r="G1403" s="43" t="str">
        <f>IFERROR(__xludf.DUMMYFUNCTION("""COMPUTED_VALUE"""),"Tunisia")</f>
        <v>Tunisia</v>
      </c>
      <c r="H1403" s="43" t="str">
        <f>IFERROR(__xludf.DUMMYFUNCTION("""COMPUTED_VALUE"""),"MEDINA")</f>
        <v>MEDINA</v>
      </c>
      <c r="I1403" s="43" t="str">
        <f>IFERROR(__xludf.DUMMYFUNCTION("""COMPUTED_VALUE"""),"Turkey")</f>
        <v>Turkey</v>
      </c>
      <c r="J1403" s="43" t="str">
        <f>IFERROR(__xludf.DUMMYFUNCTION("""COMPUTED_VALUE"""),"ISTANBUL")</f>
        <v>ISTANBUL</v>
      </c>
      <c r="K1403" s="44" t="str">
        <f>IFERROR(__xludf.DUMMYFUNCTION("""COMPUTED_VALUE"""),"https://expa.aiesec.org/opportunities/1293417")</f>
        <v>https://expa.aiesec.org/opportunities/1293417</v>
      </c>
      <c r="L1403" s="43" t="str">
        <f>IFERROR(__xludf.DUMMYFUNCTION("""COMPUTED_VALUE"""),"GV")</f>
        <v>GV</v>
      </c>
      <c r="M1403" s="43" t="str">
        <f>IFERROR(__xludf.DUMMYFUNCTION("""COMPUTED_VALUE"""),"short")</f>
        <v>short</v>
      </c>
      <c r="N1403" s="45">
        <f>IFERROR(__xludf.DUMMYFUNCTION("""COMPUTED_VALUE"""),45204.0)</f>
        <v>45204</v>
      </c>
      <c r="O1403" s="45">
        <f>IFERROR(__xludf.DUMMYFUNCTION("""COMPUTED_VALUE"""),45256.0)</f>
        <v>45256</v>
      </c>
      <c r="P1403" s="45">
        <f>IFERROR(__xludf.DUMMYFUNCTION("""COMPUTED_VALUE"""),45298.0)</f>
        <v>45298</v>
      </c>
      <c r="Q1403" s="45"/>
      <c r="R1403" s="45"/>
      <c r="S1403" s="43"/>
      <c r="T1403" s="43"/>
      <c r="U1403" s="43" t="str">
        <f>IFERROR(__xludf.DUMMYFUNCTION("""COMPUTED_VALUE"""),"Global Classroom")</f>
        <v>Global Classroom</v>
      </c>
      <c r="V1403" s="43" t="str">
        <f>IFERROR(__xludf.DUMMYFUNCTION("""COMPUTED_VALUE"""),"IPSI")</f>
        <v>IPSI</v>
      </c>
      <c r="W1403" s="43" t="str">
        <f>IFERROR(__xludf.DUMMYFUNCTION("""COMPUTED_VALUE"""),"2023-10-03T17:36:00Z")</f>
        <v>2023-10-03T17:36:00Z</v>
      </c>
      <c r="X1403" s="43"/>
      <c r="Y1403" s="43"/>
      <c r="Z1403" s="43"/>
    </row>
    <row r="1404" hidden="1">
      <c r="A1404" s="43" t="str">
        <f>IFERROR(__xludf.DUMMYFUNCTION("""COMPUTED_VALUE"""),"5325340_1299037")</f>
        <v>5325340_1299037</v>
      </c>
      <c r="B1404" s="43" t="str">
        <f>IFERROR(__xludf.DUMMYFUNCTION("""COMPUTED_VALUE"""),"Aya Mohamed")</f>
        <v>Aya Mohamed</v>
      </c>
      <c r="C1404" s="43" t="str">
        <f>IFERROR(__xludf.DUMMYFUNCTION("""COMPUTED_VALUE"""),"rejected")</f>
        <v>rejected</v>
      </c>
      <c r="D1404" s="43" t="str">
        <f>IFERROR(__xludf.DUMMYFUNCTION("""COMPUTED_VALUE"""),"No")</f>
        <v>No</v>
      </c>
      <c r="E1404" s="43" t="str">
        <f>IFERROR(__xludf.DUMMYFUNCTION("""COMPUTED_VALUE"""),"p_e4edadea2cce489746f0b8db382a451cdd7e3ccb@inbound.aiesec.org")</f>
        <v>p_e4edadea2cce489746f0b8db382a451cdd7e3ccb@inbound.aiesec.org</v>
      </c>
      <c r="F1404" s="43">
        <f>IFERROR(__xludf.DUMMYFUNCTION("""COMPUTED_VALUE"""),1.015152252E9)</f>
        <v>1015152252</v>
      </c>
      <c r="G1404" s="43" t="str">
        <f>IFERROR(__xludf.DUMMYFUNCTION("""COMPUTED_VALUE"""),"Egypt")</f>
        <v>Egypt</v>
      </c>
      <c r="H1404" s="43" t="str">
        <f>IFERROR(__xludf.DUMMYFUNCTION("""COMPUTED_VALUE"""),"Mansoura")</f>
        <v>Mansoura</v>
      </c>
      <c r="I1404" s="43" t="str">
        <f>IFERROR(__xludf.DUMMYFUNCTION("""COMPUTED_VALUE"""),"Turkey")</f>
        <v>Turkey</v>
      </c>
      <c r="J1404" s="43" t="str">
        <f>IFERROR(__xludf.DUMMYFUNCTION("""COMPUTED_VALUE"""),"SAKARYA")</f>
        <v>SAKARYA</v>
      </c>
      <c r="K1404" s="44" t="str">
        <f>IFERROR(__xludf.DUMMYFUNCTION("""COMPUTED_VALUE"""),"https://expa.aiesec.org/opportunities/1299037")</f>
        <v>https://expa.aiesec.org/opportunities/1299037</v>
      </c>
      <c r="L1404" s="43" t="str">
        <f>IFERROR(__xludf.DUMMYFUNCTION("""COMPUTED_VALUE"""),"GV")</f>
        <v>GV</v>
      </c>
      <c r="M1404" s="43" t="str">
        <f>IFERROR(__xludf.DUMMYFUNCTION("""COMPUTED_VALUE"""),"short")</f>
        <v>short</v>
      </c>
      <c r="N1404" s="45">
        <f>IFERROR(__xludf.DUMMYFUNCTION("""COMPUTED_VALUE"""),45205.0)</f>
        <v>45205</v>
      </c>
      <c r="O1404" s="45">
        <f>IFERROR(__xludf.DUMMYFUNCTION("""COMPUTED_VALUE"""),45259.0)</f>
        <v>45259</v>
      </c>
      <c r="P1404" s="45">
        <f>IFERROR(__xludf.DUMMYFUNCTION("""COMPUTED_VALUE"""),45301.0)</f>
        <v>45301</v>
      </c>
      <c r="Q1404" s="45">
        <f>IFERROR(__xludf.DUMMYFUNCTION("""COMPUTED_VALUE"""),45262.0)</f>
        <v>45262</v>
      </c>
      <c r="R1404" s="45">
        <f>IFERROR(__xludf.DUMMYFUNCTION("""COMPUTED_VALUE"""),45302.0)</f>
        <v>45302</v>
      </c>
      <c r="S1404" s="43"/>
      <c r="T1404" s="43"/>
      <c r="U1404" s="43" t="str">
        <f>IFERROR(__xludf.DUMMYFUNCTION("""COMPUTED_VALUE"""),"Global Classroom")</f>
        <v>Global Classroom</v>
      </c>
      <c r="V1404" s="43" t="str">
        <f>IFERROR(__xludf.DUMMYFUNCTION("""COMPUTED_VALUE"""),"Mansoura")</f>
        <v>Mansoura</v>
      </c>
      <c r="W1404" s="43" t="str">
        <f>IFERROR(__xludf.DUMMYFUNCTION("""COMPUTED_VALUE"""),"2023-09-16T11:46:40Z")</f>
        <v>2023-09-16T11:46:40Z</v>
      </c>
      <c r="X1404" s="43"/>
      <c r="Y1404" s="43"/>
      <c r="Z1404" s="43"/>
    </row>
    <row r="1405" hidden="1">
      <c r="A1405" s="43" t="str">
        <f>IFERROR(__xludf.DUMMYFUNCTION("""COMPUTED_VALUE"""),"5343943_1287966")</f>
        <v>5343943_1287966</v>
      </c>
      <c r="B1405" s="43" t="str">
        <f>IFERROR(__xludf.DUMMYFUNCTION("""COMPUTED_VALUE"""),"Nabihah Ahmad Munawir")</f>
        <v>Nabihah Ahmad Munawir</v>
      </c>
      <c r="C1405" s="43" t="str">
        <f>IFERROR(__xludf.DUMMYFUNCTION("""COMPUTED_VALUE"""),"approved")</f>
        <v>approved</v>
      </c>
      <c r="D1405" s="43" t="str">
        <f>IFERROR(__xludf.DUMMYFUNCTION("""COMPUTED_VALUE"""),"No")</f>
        <v>No</v>
      </c>
      <c r="E1405" s="43" t="str">
        <f>IFERROR(__xludf.DUMMYFUNCTION("""COMPUTED_VALUE"""),"p_c7089b063745e201a3f0d66b313b805d7ba0200b@inbound.aiesec.org")</f>
        <v>p_c7089b063745e201a3f0d66b313b805d7ba0200b@inbound.aiesec.org</v>
      </c>
      <c r="F1405" s="43">
        <f>IFERROR(__xludf.DUMMYFUNCTION("""COMPUTED_VALUE"""),1.03952072E8)</f>
        <v>103952072</v>
      </c>
      <c r="G1405" s="43" t="str">
        <f>IFERROR(__xludf.DUMMYFUNCTION("""COMPUTED_VALUE"""),"Malaysia")</f>
        <v>Malaysia</v>
      </c>
      <c r="H1405" s="43" t="str">
        <f>IFERROR(__xludf.DUMMYFUNCTION("""COMPUTED_VALUE"""),"Taylor's University (TU) , Subang Jaya")</f>
        <v>Taylor's University (TU) , Subang Jaya</v>
      </c>
      <c r="I1405" s="43" t="str">
        <f>IFERROR(__xludf.DUMMYFUNCTION("""COMPUTED_VALUE"""),"Turkey")</f>
        <v>Turkey</v>
      </c>
      <c r="J1405" s="43" t="str">
        <f>IFERROR(__xludf.DUMMYFUNCTION("""COMPUTED_VALUE"""),"ISTANBUL")</f>
        <v>ISTANBUL</v>
      </c>
      <c r="K1405" s="44" t="str">
        <f>IFERROR(__xludf.DUMMYFUNCTION("""COMPUTED_VALUE"""),"https://expa.aiesec.org/opportunities/1287966")</f>
        <v>https://expa.aiesec.org/opportunities/1287966</v>
      </c>
      <c r="L1405" s="43" t="str">
        <f>IFERROR(__xludf.DUMMYFUNCTION("""COMPUTED_VALUE"""),"GV")</f>
        <v>GV</v>
      </c>
      <c r="M1405" s="43" t="str">
        <f>IFERROR(__xludf.DUMMYFUNCTION("""COMPUTED_VALUE"""),"short")</f>
        <v>short</v>
      </c>
      <c r="N1405" s="45">
        <f>IFERROR(__xludf.DUMMYFUNCTION("""COMPUTED_VALUE"""),45206.0)</f>
        <v>45206</v>
      </c>
      <c r="O1405" s="45">
        <f>IFERROR(__xludf.DUMMYFUNCTION("""COMPUTED_VALUE"""),45333.0)</f>
        <v>45333</v>
      </c>
      <c r="P1405" s="45">
        <f>IFERROR(__xludf.DUMMYFUNCTION("""COMPUTED_VALUE"""),45375.0)</f>
        <v>45375</v>
      </c>
      <c r="Q1405" s="45"/>
      <c r="R1405" s="45"/>
      <c r="S1405" s="43"/>
      <c r="T1405" s="43"/>
      <c r="U1405" s="43" t="str">
        <f>IFERROR(__xludf.DUMMYFUNCTION("""COMPUTED_VALUE"""),"Heartbeat")</f>
        <v>Heartbeat</v>
      </c>
      <c r="V1405" s="43" t="str">
        <f>IFERROR(__xludf.DUMMYFUNCTION("""COMPUTED_VALUE"""),"Taylor's University (TU), Subang Jaya")</f>
        <v>Taylor's University (TU), Subang Jaya</v>
      </c>
      <c r="W1405" s="43" t="str">
        <f>IFERROR(__xludf.DUMMYFUNCTION("""COMPUTED_VALUE"""),"2023-10-06T14:47:39Z")</f>
        <v>2023-10-06T14:47:39Z</v>
      </c>
      <c r="X1405" s="43"/>
      <c r="Y1405" s="43"/>
      <c r="Z1405" s="43"/>
    </row>
    <row r="1406" hidden="1">
      <c r="A1406" s="43" t="str">
        <f>IFERROR(__xludf.DUMMYFUNCTION("""COMPUTED_VALUE"""),"3220166_1298284")</f>
        <v>3220166_1298284</v>
      </c>
      <c r="B1406" s="43" t="str">
        <f>IFERROR(__xludf.DUMMYFUNCTION("""COMPUTED_VALUE"""),"Valentyna Duka")</f>
        <v>Valentyna Duka</v>
      </c>
      <c r="C1406" s="43" t="str">
        <f>IFERROR(__xludf.DUMMYFUNCTION("""COMPUTED_VALUE"""),"approved")</f>
        <v>approved</v>
      </c>
      <c r="D1406" s="43" t="str">
        <f>IFERROR(__xludf.DUMMYFUNCTION("""COMPUTED_VALUE"""),"No")</f>
        <v>No</v>
      </c>
      <c r="E1406" s="43" t="str">
        <f>IFERROR(__xludf.DUMMYFUNCTION("""COMPUTED_VALUE"""),"p_a1584685b6af6471652a9c380b4064788a5a7e51@inbound.aiesec.org")</f>
        <v>p_a1584685b6af6471652a9c380b4064788a5a7e51@inbound.aiesec.org</v>
      </c>
      <c r="F1406" s="43">
        <f>IFERROR(__xludf.DUMMYFUNCTION("""COMPUTED_VALUE"""),6.35501003E8)</f>
        <v>635501003</v>
      </c>
      <c r="G1406" s="43" t="str">
        <f>IFERROR(__xludf.DUMMYFUNCTION("""COMPUTED_VALUE"""),"Ukraine")</f>
        <v>Ukraine</v>
      </c>
      <c r="H1406" s="43" t="str">
        <f>IFERROR(__xludf.DUMMYFUNCTION("""COMPUTED_VALUE"""),"TERNOPIL")</f>
        <v>TERNOPIL</v>
      </c>
      <c r="I1406" s="43" t="str">
        <f>IFERROR(__xludf.DUMMYFUNCTION("""COMPUTED_VALUE"""),"Turkey")</f>
        <v>Turkey</v>
      </c>
      <c r="J1406" s="43" t="str">
        <f>IFERROR(__xludf.DUMMYFUNCTION("""COMPUTED_VALUE"""),"ISTANBUL")</f>
        <v>ISTANBUL</v>
      </c>
      <c r="K1406" s="44" t="str">
        <f>IFERROR(__xludf.DUMMYFUNCTION("""COMPUTED_VALUE"""),"https://expa.aiesec.org/opportunities/1298284")</f>
        <v>https://expa.aiesec.org/opportunities/1298284</v>
      </c>
      <c r="L1406" s="43" t="str">
        <f>IFERROR(__xludf.DUMMYFUNCTION("""COMPUTED_VALUE"""),"GV")</f>
        <v>GV</v>
      </c>
      <c r="M1406" s="43" t="str">
        <f>IFERROR(__xludf.DUMMYFUNCTION("""COMPUTED_VALUE"""),"short")</f>
        <v>short</v>
      </c>
      <c r="N1406" s="45">
        <f>IFERROR(__xludf.DUMMYFUNCTION("""COMPUTED_VALUE"""),45206.0)</f>
        <v>45206</v>
      </c>
      <c r="O1406" s="45">
        <f>IFERROR(__xludf.DUMMYFUNCTION("""COMPUTED_VALUE"""),45375.0)</f>
        <v>45375</v>
      </c>
      <c r="P1406" s="45">
        <f>IFERROR(__xludf.DUMMYFUNCTION("""COMPUTED_VALUE"""),45417.0)</f>
        <v>45417</v>
      </c>
      <c r="Q1406" s="45"/>
      <c r="R1406" s="45"/>
      <c r="S1406" s="43"/>
      <c r="T1406" s="43"/>
      <c r="U1406" s="43" t="str">
        <f>IFERROR(__xludf.DUMMYFUNCTION("""COMPUTED_VALUE"""),"Global Classroom")</f>
        <v>Global Classroom</v>
      </c>
      <c r="V1406" s="43" t="str">
        <f>IFERROR(__xludf.DUMMYFUNCTION("""COMPUTED_VALUE"""),"Donetsk")</f>
        <v>Donetsk</v>
      </c>
      <c r="W1406" s="43" t="str">
        <f>IFERROR(__xludf.DUMMYFUNCTION("""COMPUTED_VALUE"""),"2019-03-14T14:10:17Z")</f>
        <v>2019-03-14T14:10:17Z</v>
      </c>
      <c r="X1406" s="43"/>
      <c r="Y1406" s="43"/>
      <c r="Z1406" s="43"/>
    </row>
    <row r="1407" hidden="1">
      <c r="A1407" s="43" t="str">
        <f>IFERROR(__xludf.DUMMYFUNCTION("""COMPUTED_VALUE"""),"5341556_1295893")</f>
        <v>5341556_1295893</v>
      </c>
      <c r="B1407" s="43" t="str">
        <f>IFERROR(__xludf.DUMMYFUNCTION("""COMPUTED_VALUE"""),"Omar Mostafa")</f>
        <v>Omar Mostafa</v>
      </c>
      <c r="C1407" s="43" t="str">
        <f>IFERROR(__xludf.DUMMYFUNCTION("""COMPUTED_VALUE"""),"approved")</f>
        <v>approved</v>
      </c>
      <c r="D1407" s="43" t="str">
        <f>IFERROR(__xludf.DUMMYFUNCTION("""COMPUTED_VALUE"""),"No")</f>
        <v>No</v>
      </c>
      <c r="E1407" s="43" t="str">
        <f>IFERROR(__xludf.DUMMYFUNCTION("""COMPUTED_VALUE"""),"p_e82a9de962d4467771fea889d202d5a1332771af@inbound.aiesec.org")</f>
        <v>p_e82a9de962d4467771fea889d202d5a1332771af@inbound.aiesec.org</v>
      </c>
      <c r="F1407" s="43">
        <f>IFERROR(__xludf.DUMMYFUNCTION("""COMPUTED_VALUE"""),1.123513422E9)</f>
        <v>1123513422</v>
      </c>
      <c r="G1407" s="43" t="str">
        <f>IFERROR(__xludf.DUMMYFUNCTION("""COMPUTED_VALUE"""),"Egypt")</f>
        <v>Egypt</v>
      </c>
      <c r="H1407" s="43" t="str">
        <f>IFERROR(__xludf.DUMMYFUNCTION("""COMPUTED_VALUE"""),"Zagazig")</f>
        <v>Zagazig</v>
      </c>
      <c r="I1407" s="43" t="str">
        <f>IFERROR(__xludf.DUMMYFUNCTION("""COMPUTED_VALUE"""),"Turkey")</f>
        <v>Turkey</v>
      </c>
      <c r="J1407" s="43" t="str">
        <f>IFERROR(__xludf.DUMMYFUNCTION("""COMPUTED_VALUE"""),"ADANA")</f>
        <v>ADANA</v>
      </c>
      <c r="K1407" s="44" t="str">
        <f>IFERROR(__xludf.DUMMYFUNCTION("""COMPUTED_VALUE"""),"https://expa.aiesec.org/opportunities/1295893")</f>
        <v>https://expa.aiesec.org/opportunities/1295893</v>
      </c>
      <c r="L1407" s="43" t="str">
        <f>IFERROR(__xludf.DUMMYFUNCTION("""COMPUTED_VALUE"""),"GV")</f>
        <v>GV</v>
      </c>
      <c r="M1407" s="43" t="str">
        <f>IFERROR(__xludf.DUMMYFUNCTION("""COMPUTED_VALUE"""),"short")</f>
        <v>short</v>
      </c>
      <c r="N1407" s="45">
        <f>IFERROR(__xludf.DUMMYFUNCTION("""COMPUTED_VALUE"""),45207.0)</f>
        <v>45207</v>
      </c>
      <c r="O1407" s="45">
        <f>IFERROR(__xludf.DUMMYFUNCTION("""COMPUTED_VALUE"""),45264.0)</f>
        <v>45264</v>
      </c>
      <c r="P1407" s="45">
        <f>IFERROR(__xludf.DUMMYFUNCTION("""COMPUTED_VALUE"""),45310.0)</f>
        <v>45310</v>
      </c>
      <c r="Q1407" s="45"/>
      <c r="R1407" s="45"/>
      <c r="S1407" s="43"/>
      <c r="T1407" s="43"/>
      <c r="U1407" s="43" t="str">
        <f>IFERROR(__xludf.DUMMYFUNCTION("""COMPUTED_VALUE"""),"Global Classroom")</f>
        <v>Global Classroom</v>
      </c>
      <c r="V1407" s="43" t="str">
        <f>IFERROR(__xludf.DUMMYFUNCTION("""COMPUTED_VALUE"""),"Benha University")</f>
        <v>Benha University</v>
      </c>
      <c r="W1407" s="43" t="str">
        <f>IFERROR(__xludf.DUMMYFUNCTION("""COMPUTED_VALUE"""),"2023-10-04T05:30:09Z")</f>
        <v>2023-10-04T05:30:09Z</v>
      </c>
      <c r="X1407" s="43"/>
      <c r="Y1407" s="43"/>
      <c r="Z1407" s="43"/>
    </row>
    <row r="1408" hidden="1">
      <c r="A1408" s="43" t="str">
        <f>IFERROR(__xludf.DUMMYFUNCTION("""COMPUTED_VALUE"""),"5336489_1299037")</f>
        <v>5336489_1299037</v>
      </c>
      <c r="B1408" s="43" t="str">
        <f>IFERROR(__xludf.DUMMYFUNCTION("""COMPUTED_VALUE"""),"Nada Moustafa")</f>
        <v>Nada Moustafa</v>
      </c>
      <c r="C1408" s="43" t="str">
        <f>IFERROR(__xludf.DUMMYFUNCTION("""COMPUTED_VALUE"""),"approved")</f>
        <v>approved</v>
      </c>
      <c r="D1408" s="43" t="str">
        <f>IFERROR(__xludf.DUMMYFUNCTION("""COMPUTED_VALUE"""),"No")</f>
        <v>No</v>
      </c>
      <c r="E1408" s="43" t="str">
        <f>IFERROR(__xludf.DUMMYFUNCTION("""COMPUTED_VALUE"""),"p_c4aa75a46727e8b7426af5520c91309004a2a927@inbound.aiesec.org")</f>
        <v>p_c4aa75a46727e8b7426af5520c91309004a2a927@inbound.aiesec.org</v>
      </c>
      <c r="F1408" s="43">
        <f>IFERROR(__xludf.DUMMYFUNCTION("""COMPUTED_VALUE"""),1.062185371E9)</f>
        <v>1062185371</v>
      </c>
      <c r="G1408" s="43" t="str">
        <f>IFERROR(__xludf.DUMMYFUNCTION("""COMPUTED_VALUE"""),"Egypt")</f>
        <v>Egypt</v>
      </c>
      <c r="H1408" s="43" t="str">
        <f>IFERROR(__xludf.DUMMYFUNCTION("""COMPUTED_VALUE"""),"Mansoura")</f>
        <v>Mansoura</v>
      </c>
      <c r="I1408" s="43" t="str">
        <f>IFERROR(__xludf.DUMMYFUNCTION("""COMPUTED_VALUE"""),"Turkey")</f>
        <v>Turkey</v>
      </c>
      <c r="J1408" s="43" t="str">
        <f>IFERROR(__xludf.DUMMYFUNCTION("""COMPUTED_VALUE"""),"SAKARYA")</f>
        <v>SAKARYA</v>
      </c>
      <c r="K1408" s="44" t="str">
        <f>IFERROR(__xludf.DUMMYFUNCTION("""COMPUTED_VALUE"""),"https://expa.aiesec.org/opportunities/1299037")</f>
        <v>https://expa.aiesec.org/opportunities/1299037</v>
      </c>
      <c r="L1408" s="43" t="str">
        <f>IFERROR(__xludf.DUMMYFUNCTION("""COMPUTED_VALUE"""),"GV")</f>
        <v>GV</v>
      </c>
      <c r="M1408" s="43" t="str">
        <f>IFERROR(__xludf.DUMMYFUNCTION("""COMPUTED_VALUE"""),"short")</f>
        <v>short</v>
      </c>
      <c r="N1408" s="45">
        <f>IFERROR(__xludf.DUMMYFUNCTION("""COMPUTED_VALUE"""),45207.0)</f>
        <v>45207</v>
      </c>
      <c r="O1408" s="45">
        <f>IFERROR(__xludf.DUMMYFUNCTION("""COMPUTED_VALUE"""),45259.0)</f>
        <v>45259</v>
      </c>
      <c r="P1408" s="45">
        <f>IFERROR(__xludf.DUMMYFUNCTION("""COMPUTED_VALUE"""),45301.0)</f>
        <v>45301</v>
      </c>
      <c r="Q1408" s="45"/>
      <c r="R1408" s="45"/>
      <c r="S1408" s="43"/>
      <c r="T1408" s="43"/>
      <c r="U1408" s="43" t="str">
        <f>IFERROR(__xludf.DUMMYFUNCTION("""COMPUTED_VALUE"""),"Global Classroom")</f>
        <v>Global Classroom</v>
      </c>
      <c r="V1408" s="43" t="str">
        <f>IFERROR(__xludf.DUMMYFUNCTION("""COMPUTED_VALUE"""),"Mansoura")</f>
        <v>Mansoura</v>
      </c>
      <c r="W1408" s="43" t="str">
        <f>IFERROR(__xludf.DUMMYFUNCTION("""COMPUTED_VALUE"""),"2023-09-28T16:25:02Z")</f>
        <v>2023-09-28T16:25:02Z</v>
      </c>
      <c r="X1408" s="43"/>
      <c r="Y1408" s="43"/>
      <c r="Z1408" s="43"/>
    </row>
    <row r="1409" hidden="1">
      <c r="A1409" s="43" t="str">
        <f>IFERROR(__xludf.DUMMYFUNCTION("""COMPUTED_VALUE"""),"5344041_1289347")</f>
        <v>5344041_1289347</v>
      </c>
      <c r="B1409" s="43" t="str">
        <f>IFERROR(__xludf.DUMMYFUNCTION("""COMPUTED_VALUE"""),"Rahma Ashraf")</f>
        <v>Rahma Ashraf</v>
      </c>
      <c r="C1409" s="43" t="str">
        <f>IFERROR(__xludf.DUMMYFUNCTION("""COMPUTED_VALUE"""),"approved")</f>
        <v>approved</v>
      </c>
      <c r="D1409" s="43" t="str">
        <f>IFERROR(__xludf.DUMMYFUNCTION("""COMPUTED_VALUE"""),"No")</f>
        <v>No</v>
      </c>
      <c r="E1409" s="43" t="str">
        <f>IFERROR(__xludf.DUMMYFUNCTION("""COMPUTED_VALUE"""),"p_df6487437729fc7369a28f24300886e53f1944b3@inbound.aiesec.org")</f>
        <v>p_df6487437729fc7369a28f24300886e53f1944b3@inbound.aiesec.org</v>
      </c>
      <c r="F1409" s="43"/>
      <c r="G1409" s="43" t="str">
        <f>IFERROR(__xludf.DUMMYFUNCTION("""COMPUTED_VALUE"""),"Egypt")</f>
        <v>Egypt</v>
      </c>
      <c r="H1409" s="43" t="str">
        <f>IFERROR(__xludf.DUMMYFUNCTION("""COMPUTED_VALUE"""),"MUST")</f>
        <v>MUST</v>
      </c>
      <c r="I1409" s="43" t="str">
        <f>IFERROR(__xludf.DUMMYFUNCTION("""COMPUTED_VALUE"""),"Turkey")</f>
        <v>Turkey</v>
      </c>
      <c r="J1409" s="43" t="str">
        <f>IFERROR(__xludf.DUMMYFUNCTION("""COMPUTED_VALUE"""),"ADANA")</f>
        <v>ADANA</v>
      </c>
      <c r="K1409" s="44" t="str">
        <f>IFERROR(__xludf.DUMMYFUNCTION("""COMPUTED_VALUE"""),"https://expa.aiesec.org/opportunities/1289347")</f>
        <v>https://expa.aiesec.org/opportunities/1289347</v>
      </c>
      <c r="L1409" s="43" t="str">
        <f>IFERROR(__xludf.DUMMYFUNCTION("""COMPUTED_VALUE"""),"GV")</f>
        <v>GV</v>
      </c>
      <c r="M1409" s="43" t="str">
        <f>IFERROR(__xludf.DUMMYFUNCTION("""COMPUTED_VALUE"""),"short")</f>
        <v>short</v>
      </c>
      <c r="N1409" s="45">
        <f>IFERROR(__xludf.DUMMYFUNCTION("""COMPUTED_VALUE"""),45208.0)</f>
        <v>45208</v>
      </c>
      <c r="O1409" s="45">
        <f>IFERROR(__xludf.DUMMYFUNCTION("""COMPUTED_VALUE"""),45474.0)</f>
        <v>45474</v>
      </c>
      <c r="P1409" s="45">
        <f>IFERROR(__xludf.DUMMYFUNCTION("""COMPUTED_VALUE"""),45516.0)</f>
        <v>45516</v>
      </c>
      <c r="Q1409" s="45"/>
      <c r="R1409" s="45"/>
      <c r="S1409" s="43"/>
      <c r="T1409" s="43"/>
      <c r="U1409" s="43" t="str">
        <f>IFERROR(__xludf.DUMMYFUNCTION("""COMPUTED_VALUE"""),"Global Classroom")</f>
        <v>Global Classroom</v>
      </c>
      <c r="V1409" s="43" t="str">
        <f>IFERROR(__xludf.DUMMYFUNCTION("""COMPUTED_VALUE"""),"-")</f>
        <v>-</v>
      </c>
      <c r="W1409" s="43" t="str">
        <f>IFERROR(__xludf.DUMMYFUNCTION("""COMPUTED_VALUE"""),"2023-10-06T18:22:38Z")</f>
        <v>2023-10-06T18:22:38Z</v>
      </c>
      <c r="X1409" s="43"/>
      <c r="Y1409" s="43"/>
      <c r="Z1409" s="43"/>
    </row>
    <row r="1410" hidden="1">
      <c r="A1410" s="43" t="str">
        <f>IFERROR(__xludf.DUMMYFUNCTION("""COMPUTED_VALUE"""),"5331975_1289347")</f>
        <v>5331975_1289347</v>
      </c>
      <c r="B1410" s="43" t="str">
        <f>IFERROR(__xludf.DUMMYFUNCTION("""COMPUTED_VALUE"""),"Ali Belal")</f>
        <v>Ali Belal</v>
      </c>
      <c r="C1410" s="43" t="str">
        <f>IFERROR(__xludf.DUMMYFUNCTION("""COMPUTED_VALUE"""),"approved")</f>
        <v>approved</v>
      </c>
      <c r="D1410" s="43" t="str">
        <f>IFERROR(__xludf.DUMMYFUNCTION("""COMPUTED_VALUE"""),"No")</f>
        <v>No</v>
      </c>
      <c r="E1410" s="43" t="str">
        <f>IFERROR(__xludf.DUMMYFUNCTION("""COMPUTED_VALUE"""),"p_d0d5755e15cc766eee02a5f450617f1f2d86961b@inbound.aiesec.org")</f>
        <v>p_d0d5755e15cc766eee02a5f450617f1f2d86961b@inbound.aiesec.org</v>
      </c>
      <c r="F1410" s="43">
        <f>IFERROR(__xludf.DUMMYFUNCTION("""COMPUTED_VALUE"""),1.002005969E9)</f>
        <v>1002005969</v>
      </c>
      <c r="G1410" s="43" t="str">
        <f>IFERROR(__xludf.DUMMYFUNCTION("""COMPUTED_VALUE"""),"Egypt")</f>
        <v>Egypt</v>
      </c>
      <c r="H1410" s="43" t="str">
        <f>IFERROR(__xludf.DUMMYFUNCTION("""COMPUTED_VALUE"""),"MUST")</f>
        <v>MUST</v>
      </c>
      <c r="I1410" s="43" t="str">
        <f>IFERROR(__xludf.DUMMYFUNCTION("""COMPUTED_VALUE"""),"Turkey")</f>
        <v>Turkey</v>
      </c>
      <c r="J1410" s="43" t="str">
        <f>IFERROR(__xludf.DUMMYFUNCTION("""COMPUTED_VALUE"""),"ADANA")</f>
        <v>ADANA</v>
      </c>
      <c r="K1410" s="44" t="str">
        <f>IFERROR(__xludf.DUMMYFUNCTION("""COMPUTED_VALUE"""),"https://expa.aiesec.org/opportunities/1289347")</f>
        <v>https://expa.aiesec.org/opportunities/1289347</v>
      </c>
      <c r="L1410" s="43" t="str">
        <f>IFERROR(__xludf.DUMMYFUNCTION("""COMPUTED_VALUE"""),"GV")</f>
        <v>GV</v>
      </c>
      <c r="M1410" s="43" t="str">
        <f>IFERROR(__xludf.DUMMYFUNCTION("""COMPUTED_VALUE"""),"short")</f>
        <v>short</v>
      </c>
      <c r="N1410" s="45">
        <f>IFERROR(__xludf.DUMMYFUNCTION("""COMPUTED_VALUE"""),45208.0)</f>
        <v>45208</v>
      </c>
      <c r="O1410" s="45">
        <f>IFERROR(__xludf.DUMMYFUNCTION("""COMPUTED_VALUE"""),45474.0)</f>
        <v>45474</v>
      </c>
      <c r="P1410" s="45">
        <f>IFERROR(__xludf.DUMMYFUNCTION("""COMPUTED_VALUE"""),45516.0)</f>
        <v>45516</v>
      </c>
      <c r="Q1410" s="45"/>
      <c r="R1410" s="45"/>
      <c r="S1410" s="43"/>
      <c r="T1410" s="43"/>
      <c r="U1410" s="43" t="str">
        <f>IFERROR(__xludf.DUMMYFUNCTION("""COMPUTED_VALUE"""),"Global Classroom")</f>
        <v>Global Classroom</v>
      </c>
      <c r="V1410" s="43" t="str">
        <f>IFERROR(__xludf.DUMMYFUNCTION("""COMPUTED_VALUE"""),"Nile University")</f>
        <v>Nile University</v>
      </c>
      <c r="W1410" s="43" t="str">
        <f>IFERROR(__xludf.DUMMYFUNCTION("""COMPUTED_VALUE"""),"2023-09-25T12:02:04Z")</f>
        <v>2023-09-25T12:02:04Z</v>
      </c>
      <c r="X1410" s="43"/>
      <c r="Y1410" s="43"/>
      <c r="Z1410" s="43"/>
    </row>
    <row r="1411" hidden="1">
      <c r="A1411" s="43" t="str">
        <f>IFERROR(__xludf.DUMMYFUNCTION("""COMPUTED_VALUE"""),"5341367_1279126")</f>
        <v>5341367_1279126</v>
      </c>
      <c r="B1411" s="43" t="str">
        <f>IFERROR(__xludf.DUMMYFUNCTION("""COMPUTED_VALUE"""),"Yevheniia Poliakova")</f>
        <v>Yevheniia Poliakova</v>
      </c>
      <c r="C1411" s="43" t="str">
        <f>IFERROR(__xludf.DUMMYFUNCTION("""COMPUTED_VALUE"""),"approved")</f>
        <v>approved</v>
      </c>
      <c r="D1411" s="43" t="str">
        <f>IFERROR(__xludf.DUMMYFUNCTION("""COMPUTED_VALUE"""),"No")</f>
        <v>No</v>
      </c>
      <c r="E1411" s="43" t="str">
        <f>IFERROR(__xludf.DUMMYFUNCTION("""COMPUTED_VALUE"""),"p_5141ab8be84a5faab11ae463f84773e4bf93d86f@inbound.aiesec.org")</f>
        <v>p_5141ab8be84a5faab11ae463f84773e4bf93d86f@inbound.aiesec.org</v>
      </c>
      <c r="F1411" s="43"/>
      <c r="G1411" s="43" t="str">
        <f>IFERROR(__xludf.DUMMYFUNCTION("""COMPUTED_VALUE"""),"Ukraine")</f>
        <v>Ukraine</v>
      </c>
      <c r="H1411" s="43" t="str">
        <f>IFERROR(__xludf.DUMMYFUNCTION("""COMPUTED_VALUE"""),"KHARKIV")</f>
        <v>KHARKIV</v>
      </c>
      <c r="I1411" s="43" t="str">
        <f>IFERROR(__xludf.DUMMYFUNCTION("""COMPUTED_VALUE"""),"Turkey")</f>
        <v>Turkey</v>
      </c>
      <c r="J1411" s="43" t="str">
        <f>IFERROR(__xludf.DUMMYFUNCTION("""COMPUTED_VALUE"""),"KOCAELI")</f>
        <v>KOCAELI</v>
      </c>
      <c r="K1411" s="44" t="str">
        <f>IFERROR(__xludf.DUMMYFUNCTION("""COMPUTED_VALUE"""),"https://expa.aiesec.org/opportunities/1279126")</f>
        <v>https://expa.aiesec.org/opportunities/1279126</v>
      </c>
      <c r="L1411" s="43" t="str">
        <f>IFERROR(__xludf.DUMMYFUNCTION("""COMPUTED_VALUE"""),"GV")</f>
        <v>GV</v>
      </c>
      <c r="M1411" s="43" t="str">
        <f>IFERROR(__xludf.DUMMYFUNCTION("""COMPUTED_VALUE"""),"short")</f>
        <v>short</v>
      </c>
      <c r="N1411" s="45">
        <f>IFERROR(__xludf.DUMMYFUNCTION("""COMPUTED_VALUE"""),45209.0)</f>
        <v>45209</v>
      </c>
      <c r="O1411" s="45">
        <f>IFERROR(__xludf.DUMMYFUNCTION("""COMPUTED_VALUE"""),45334.0)</f>
        <v>45334</v>
      </c>
      <c r="P1411" s="45">
        <f>IFERROR(__xludf.DUMMYFUNCTION("""COMPUTED_VALUE"""),45376.0)</f>
        <v>45376</v>
      </c>
      <c r="Q1411" s="45"/>
      <c r="R1411" s="45"/>
      <c r="S1411" s="43"/>
      <c r="T1411" s="43"/>
      <c r="U1411" s="43" t="str">
        <f>IFERROR(__xludf.DUMMYFUNCTION("""COMPUTED_VALUE"""),"Global Classroom")</f>
        <v>Global Classroom</v>
      </c>
      <c r="V1411" s="43" t="str">
        <f>IFERROR(__xludf.DUMMYFUNCTION("""COMPUTED_VALUE"""),"-")</f>
        <v>-</v>
      </c>
      <c r="W1411" s="43" t="str">
        <f>IFERROR(__xludf.DUMMYFUNCTION("""COMPUTED_VALUE"""),"2023-10-03T21:17:17Z")</f>
        <v>2023-10-03T21:17:17Z</v>
      </c>
      <c r="X1411" s="43"/>
      <c r="Y1411" s="43"/>
      <c r="Z1411" s="43"/>
    </row>
    <row r="1412" hidden="1">
      <c r="A1412" s="43" t="str">
        <f>IFERROR(__xludf.DUMMYFUNCTION("""COMPUTED_VALUE"""),"5348065_1289536")</f>
        <v>5348065_1289536</v>
      </c>
      <c r="B1412" s="43" t="str">
        <f>IFERROR(__xludf.DUMMYFUNCTION("""COMPUTED_VALUE"""),"mahdi jaouadi")</f>
        <v>mahdi jaouadi</v>
      </c>
      <c r="C1412" s="43" t="str">
        <f>IFERROR(__xludf.DUMMYFUNCTION("""COMPUTED_VALUE"""),"approved")</f>
        <v>approved</v>
      </c>
      <c r="D1412" s="43" t="str">
        <f>IFERROR(__xludf.DUMMYFUNCTION("""COMPUTED_VALUE"""),"No")</f>
        <v>No</v>
      </c>
      <c r="E1412" s="43" t="str">
        <f>IFERROR(__xludf.DUMMYFUNCTION("""COMPUTED_VALUE"""),"p_dc9f1cde46cba79cf6e7605f6ab3c942569ab99a@inbound.aiesec.org")</f>
        <v>p_dc9f1cde46cba79cf6e7605f6ab3c942569ab99a@inbound.aiesec.org</v>
      </c>
      <c r="F1412" s="43"/>
      <c r="G1412" s="43" t="str">
        <f>IFERROR(__xludf.DUMMYFUNCTION("""COMPUTED_VALUE"""),"Tunisia")</f>
        <v>Tunisia</v>
      </c>
      <c r="H1412" s="43" t="str">
        <f>IFERROR(__xludf.DUMMYFUNCTION("""COMPUTED_VALUE"""),"Carthage")</f>
        <v>Carthage</v>
      </c>
      <c r="I1412" s="43" t="str">
        <f>IFERROR(__xludf.DUMMYFUNCTION("""COMPUTED_VALUE"""),"Turkey")</f>
        <v>Turkey</v>
      </c>
      <c r="J1412" s="43" t="str">
        <f>IFERROR(__xludf.DUMMYFUNCTION("""COMPUTED_VALUE"""),"ISTANBUL")</f>
        <v>ISTANBUL</v>
      </c>
      <c r="K1412" s="44" t="str">
        <f>IFERROR(__xludf.DUMMYFUNCTION("""COMPUTED_VALUE"""),"https://expa.aiesec.org/opportunities/1289536")</f>
        <v>https://expa.aiesec.org/opportunities/1289536</v>
      </c>
      <c r="L1412" s="43" t="str">
        <f>IFERROR(__xludf.DUMMYFUNCTION("""COMPUTED_VALUE"""),"GV")</f>
        <v>GV</v>
      </c>
      <c r="M1412" s="43" t="str">
        <f>IFERROR(__xludf.DUMMYFUNCTION("""COMPUTED_VALUE"""),"short")</f>
        <v>short</v>
      </c>
      <c r="N1412" s="45">
        <f>IFERROR(__xludf.DUMMYFUNCTION("""COMPUTED_VALUE"""),45209.0)</f>
        <v>45209</v>
      </c>
      <c r="O1412" s="45">
        <f>IFERROR(__xludf.DUMMYFUNCTION("""COMPUTED_VALUE"""),45487.0)</f>
        <v>45487</v>
      </c>
      <c r="P1412" s="45">
        <f>IFERROR(__xludf.DUMMYFUNCTION("""COMPUTED_VALUE"""),45529.0)</f>
        <v>45529</v>
      </c>
      <c r="Q1412" s="45"/>
      <c r="R1412" s="45"/>
      <c r="S1412" s="43"/>
      <c r="T1412" s="43"/>
      <c r="U1412" s="43" t="str">
        <f>IFERROR(__xludf.DUMMYFUNCTION("""COMPUTED_VALUE"""),"Global Classroom")</f>
        <v>Global Classroom</v>
      </c>
      <c r="V1412" s="43" t="str">
        <f>IFERROR(__xludf.DUMMYFUNCTION("""COMPUTED_VALUE"""),"-")</f>
        <v>-</v>
      </c>
      <c r="W1412" s="43" t="str">
        <f>IFERROR(__xludf.DUMMYFUNCTION("""COMPUTED_VALUE"""),"2023-10-10T13:29:39Z")</f>
        <v>2023-10-10T13:29:39Z</v>
      </c>
      <c r="X1412" s="43"/>
      <c r="Y1412" s="43"/>
      <c r="Z1412" s="43"/>
    </row>
    <row r="1413" hidden="1">
      <c r="A1413" s="43" t="str">
        <f>IFERROR(__xludf.DUMMYFUNCTION("""COMPUTED_VALUE"""),"5343305_1289536")</f>
        <v>5343305_1289536</v>
      </c>
      <c r="B1413" s="43" t="str">
        <f>IFERROR(__xludf.DUMMYFUNCTION("""COMPUTED_VALUE"""),"Haythem Mami")</f>
        <v>Haythem Mami</v>
      </c>
      <c r="C1413" s="43" t="str">
        <f>IFERROR(__xludf.DUMMYFUNCTION("""COMPUTED_VALUE"""),"approved")</f>
        <v>approved</v>
      </c>
      <c r="D1413" s="43" t="str">
        <f>IFERROR(__xludf.DUMMYFUNCTION("""COMPUTED_VALUE"""),"No")</f>
        <v>No</v>
      </c>
      <c r="E1413" s="43" t="str">
        <f>IFERROR(__xludf.DUMMYFUNCTION("""COMPUTED_VALUE"""),"p_1a06e4873e0f6fb59a19a21d3e25da2363fd59a1@inbound.aiesec.org")</f>
        <v>p_1a06e4873e0f6fb59a19a21d3e25da2363fd59a1@inbound.aiesec.org</v>
      </c>
      <c r="F1413" s="43">
        <f>IFERROR(__xludf.DUMMYFUNCTION("""COMPUTED_VALUE"""),5.0205841E7)</f>
        <v>50205841</v>
      </c>
      <c r="G1413" s="43" t="str">
        <f>IFERROR(__xludf.DUMMYFUNCTION("""COMPUTED_VALUE"""),"Tunisia")</f>
        <v>Tunisia</v>
      </c>
      <c r="H1413" s="43" t="str">
        <f>IFERROR(__xludf.DUMMYFUNCTION("""COMPUTED_VALUE"""),"Carthage")</f>
        <v>Carthage</v>
      </c>
      <c r="I1413" s="43" t="str">
        <f>IFERROR(__xludf.DUMMYFUNCTION("""COMPUTED_VALUE"""),"Turkey")</f>
        <v>Turkey</v>
      </c>
      <c r="J1413" s="43" t="str">
        <f>IFERROR(__xludf.DUMMYFUNCTION("""COMPUTED_VALUE"""),"ISTANBUL")</f>
        <v>ISTANBUL</v>
      </c>
      <c r="K1413" s="44" t="str">
        <f>IFERROR(__xludf.DUMMYFUNCTION("""COMPUTED_VALUE"""),"https://expa.aiesec.org/opportunities/1289536")</f>
        <v>https://expa.aiesec.org/opportunities/1289536</v>
      </c>
      <c r="L1413" s="43" t="str">
        <f>IFERROR(__xludf.DUMMYFUNCTION("""COMPUTED_VALUE"""),"GV")</f>
        <v>GV</v>
      </c>
      <c r="M1413" s="43" t="str">
        <f>IFERROR(__xludf.DUMMYFUNCTION("""COMPUTED_VALUE"""),"short")</f>
        <v>short</v>
      </c>
      <c r="N1413" s="45">
        <f>IFERROR(__xludf.DUMMYFUNCTION("""COMPUTED_VALUE"""),45209.0)</f>
        <v>45209</v>
      </c>
      <c r="O1413" s="45">
        <f>IFERROR(__xludf.DUMMYFUNCTION("""COMPUTED_VALUE"""),45474.0)</f>
        <v>45474</v>
      </c>
      <c r="P1413" s="45">
        <f>IFERROR(__xludf.DUMMYFUNCTION("""COMPUTED_VALUE"""),45516.0)</f>
        <v>45516</v>
      </c>
      <c r="Q1413" s="45"/>
      <c r="R1413" s="45"/>
      <c r="S1413" s="43"/>
      <c r="T1413" s="43"/>
      <c r="U1413" s="43" t="str">
        <f>IFERROR(__xludf.DUMMYFUNCTION("""COMPUTED_VALUE"""),"Global Classroom")</f>
        <v>Global Classroom</v>
      </c>
      <c r="V1413" s="43" t="str">
        <f>IFERROR(__xludf.DUMMYFUNCTION("""COMPUTED_VALUE"""),"INSAT")</f>
        <v>INSAT</v>
      </c>
      <c r="W1413" s="43" t="str">
        <f>IFERROR(__xludf.DUMMYFUNCTION("""COMPUTED_VALUE"""),"2023-10-05T16:41:51Z")</f>
        <v>2023-10-05T16:41:51Z</v>
      </c>
      <c r="X1413" s="43"/>
      <c r="Y1413" s="43"/>
      <c r="Z1413" s="43"/>
    </row>
    <row r="1414" hidden="1">
      <c r="A1414" s="43" t="str">
        <f>IFERROR(__xludf.DUMMYFUNCTION("""COMPUTED_VALUE"""),"5335043_1294254")</f>
        <v>5335043_1294254</v>
      </c>
      <c r="B1414" s="43" t="str">
        <f>IFERROR(__xludf.DUMMYFUNCTION("""COMPUTED_VALUE"""),"Niharika Godara")</f>
        <v>Niharika Godara</v>
      </c>
      <c r="C1414" s="43" t="str">
        <f>IFERROR(__xludf.DUMMYFUNCTION("""COMPUTED_VALUE"""),"approved")</f>
        <v>approved</v>
      </c>
      <c r="D1414" s="43" t="str">
        <f>IFERROR(__xludf.DUMMYFUNCTION("""COMPUTED_VALUE"""),"No")</f>
        <v>No</v>
      </c>
      <c r="E1414" s="43" t="str">
        <f>IFERROR(__xludf.DUMMYFUNCTION("""COMPUTED_VALUE"""),"p_289954c3fe5312c0ed09cde3cbe3d7fc90a83b63@inbound.aiesec.org")</f>
        <v>p_289954c3fe5312c0ed09cde3cbe3d7fc90a83b63@inbound.aiesec.org</v>
      </c>
      <c r="F1414" s="43"/>
      <c r="G1414" s="43" t="str">
        <f>IFERROR(__xludf.DUMMYFUNCTION("""COMPUTED_VALUE"""),"India")</f>
        <v>India</v>
      </c>
      <c r="H1414" s="43" t="str">
        <f>IFERROR(__xludf.DUMMYFUNCTION("""COMPUTED_VALUE"""),"Chennai")</f>
        <v>Chennai</v>
      </c>
      <c r="I1414" s="43" t="str">
        <f>IFERROR(__xludf.DUMMYFUNCTION("""COMPUTED_VALUE"""),"Turkey")</f>
        <v>Turkey</v>
      </c>
      <c r="J1414" s="43" t="str">
        <f>IFERROR(__xludf.DUMMYFUNCTION("""COMPUTED_VALUE"""),"İZMİR")</f>
        <v>İZMİR</v>
      </c>
      <c r="K1414" s="44" t="str">
        <f>IFERROR(__xludf.DUMMYFUNCTION("""COMPUTED_VALUE"""),"https://expa.aiesec.org/opportunities/1294254")</f>
        <v>https://expa.aiesec.org/opportunities/1294254</v>
      </c>
      <c r="L1414" s="43" t="str">
        <f>IFERROR(__xludf.DUMMYFUNCTION("""COMPUTED_VALUE"""),"GV")</f>
        <v>GV</v>
      </c>
      <c r="M1414" s="43" t="str">
        <f>IFERROR(__xludf.DUMMYFUNCTION("""COMPUTED_VALUE"""),"short")</f>
        <v>short</v>
      </c>
      <c r="N1414" s="45">
        <f>IFERROR(__xludf.DUMMYFUNCTION("""COMPUTED_VALUE"""),45209.0)</f>
        <v>45209</v>
      </c>
      <c r="O1414" s="45">
        <f>IFERROR(__xludf.DUMMYFUNCTION("""COMPUTED_VALUE"""),45250.0)</f>
        <v>45250</v>
      </c>
      <c r="P1414" s="45">
        <f>IFERROR(__xludf.DUMMYFUNCTION("""COMPUTED_VALUE"""),45292.0)</f>
        <v>45292</v>
      </c>
      <c r="Q1414" s="45"/>
      <c r="R1414" s="45"/>
      <c r="S1414" s="43"/>
      <c r="T1414" s="43"/>
      <c r="U1414" s="43" t="str">
        <f>IFERROR(__xludf.DUMMYFUNCTION("""COMPUTED_VALUE"""),"Skill Up!")</f>
        <v>Skill Up!</v>
      </c>
      <c r="V1414" s="43" t="str">
        <f>IFERROR(__xludf.DUMMYFUNCTION("""COMPUTED_VALUE"""),"-")</f>
        <v>-</v>
      </c>
      <c r="W1414" s="43" t="str">
        <f>IFERROR(__xludf.DUMMYFUNCTION("""COMPUTED_VALUE"""),"2023-09-27T13:51:20Z")</f>
        <v>2023-09-27T13:51:20Z</v>
      </c>
      <c r="X1414" s="43"/>
      <c r="Y1414" s="43"/>
      <c r="Z1414" s="43"/>
    </row>
    <row r="1415" hidden="1">
      <c r="A1415" s="43" t="str">
        <f>IFERROR(__xludf.DUMMYFUNCTION("""COMPUTED_VALUE"""),"3086656_1294254")</f>
        <v>3086656_1294254</v>
      </c>
      <c r="B1415" s="43" t="str">
        <f>IFERROR(__xludf.DUMMYFUNCTION("""COMPUTED_VALUE"""),"Melvin Joel")</f>
        <v>Melvin Joel</v>
      </c>
      <c r="C1415" s="43" t="str">
        <f>IFERROR(__xludf.DUMMYFUNCTION("""COMPUTED_VALUE"""),"approved")</f>
        <v>approved</v>
      </c>
      <c r="D1415" s="43" t="str">
        <f>IFERROR(__xludf.DUMMYFUNCTION("""COMPUTED_VALUE"""),"No")</f>
        <v>No</v>
      </c>
      <c r="E1415" s="43" t="str">
        <f>IFERROR(__xludf.DUMMYFUNCTION("""COMPUTED_VALUE"""),"p_9671263ccaad862f1c4d097e5e756cae956674bb@inbound.aiesec.org")</f>
        <v>p_9671263ccaad862f1c4d097e5e756cae956674bb@inbound.aiesec.org</v>
      </c>
      <c r="F1415" s="43">
        <f>IFERROR(__xludf.DUMMYFUNCTION("""COMPUTED_VALUE"""),9.003847718E9)</f>
        <v>9003847718</v>
      </c>
      <c r="G1415" s="43" t="str">
        <f>IFERROR(__xludf.DUMMYFUNCTION("""COMPUTED_VALUE"""),"India")</f>
        <v>India</v>
      </c>
      <c r="H1415" s="43" t="str">
        <f>IFERROR(__xludf.DUMMYFUNCTION("""COMPUTED_VALUE"""),"Chennai")</f>
        <v>Chennai</v>
      </c>
      <c r="I1415" s="43" t="str">
        <f>IFERROR(__xludf.DUMMYFUNCTION("""COMPUTED_VALUE"""),"Turkey")</f>
        <v>Turkey</v>
      </c>
      <c r="J1415" s="43" t="str">
        <f>IFERROR(__xludf.DUMMYFUNCTION("""COMPUTED_VALUE"""),"İZMİR")</f>
        <v>İZMİR</v>
      </c>
      <c r="K1415" s="44" t="str">
        <f>IFERROR(__xludf.DUMMYFUNCTION("""COMPUTED_VALUE"""),"https://expa.aiesec.org/opportunities/1294254")</f>
        <v>https://expa.aiesec.org/opportunities/1294254</v>
      </c>
      <c r="L1415" s="43" t="str">
        <f>IFERROR(__xludf.DUMMYFUNCTION("""COMPUTED_VALUE"""),"GV")</f>
        <v>GV</v>
      </c>
      <c r="M1415" s="43" t="str">
        <f>IFERROR(__xludf.DUMMYFUNCTION("""COMPUTED_VALUE"""),"short")</f>
        <v>short</v>
      </c>
      <c r="N1415" s="45">
        <f>IFERROR(__xludf.DUMMYFUNCTION("""COMPUTED_VALUE"""),45209.0)</f>
        <v>45209</v>
      </c>
      <c r="O1415" s="45">
        <f>IFERROR(__xludf.DUMMYFUNCTION("""COMPUTED_VALUE"""),45250.0)</f>
        <v>45250</v>
      </c>
      <c r="P1415" s="45">
        <f>IFERROR(__xludf.DUMMYFUNCTION("""COMPUTED_VALUE"""),45292.0)</f>
        <v>45292</v>
      </c>
      <c r="Q1415" s="45"/>
      <c r="R1415" s="45"/>
      <c r="S1415" s="43"/>
      <c r="T1415" s="43"/>
      <c r="U1415" s="43" t="str">
        <f>IFERROR(__xludf.DUMMYFUNCTION("""COMPUTED_VALUE"""),"Skill Up!")</f>
        <v>Skill Up!</v>
      </c>
      <c r="V1415" s="43" t="str">
        <f>IFERROR(__xludf.DUMMYFUNCTION("""COMPUTED_VALUE"""),"-")</f>
        <v>-</v>
      </c>
      <c r="W1415" s="43" t="str">
        <f>IFERROR(__xludf.DUMMYFUNCTION("""COMPUTED_VALUE"""),"2019-02-17T12:57:44Z")</f>
        <v>2019-02-17T12:57:44Z</v>
      </c>
      <c r="X1415" s="43"/>
      <c r="Y1415" s="43"/>
      <c r="Z1415" s="43"/>
    </row>
    <row r="1416" hidden="1">
      <c r="A1416" s="43" t="str">
        <f>IFERROR(__xludf.DUMMYFUNCTION("""COMPUTED_VALUE"""),"5348349_1298284")</f>
        <v>5348349_1298284</v>
      </c>
      <c r="B1416" s="43" t="str">
        <f>IFERROR(__xludf.DUMMYFUNCTION("""COMPUTED_VALUE"""),"mariem gaaliche")</f>
        <v>mariem gaaliche</v>
      </c>
      <c r="C1416" s="43" t="str">
        <f>IFERROR(__xludf.DUMMYFUNCTION("""COMPUTED_VALUE"""),"approved")</f>
        <v>approved</v>
      </c>
      <c r="D1416" s="43" t="str">
        <f>IFERROR(__xludf.DUMMYFUNCTION("""COMPUTED_VALUE"""),"No")</f>
        <v>No</v>
      </c>
      <c r="E1416" s="43" t="str">
        <f>IFERROR(__xludf.DUMMYFUNCTION("""COMPUTED_VALUE"""),"p_f3b5a63e27bc68db6fbcc9ac548594ed217c69d3@inbound.aiesec.org")</f>
        <v>p_f3b5a63e27bc68db6fbcc9ac548594ed217c69d3@inbound.aiesec.org</v>
      </c>
      <c r="F1416" s="43">
        <f>IFERROR(__xludf.DUMMYFUNCTION("""COMPUTED_VALUE"""),2.9814824E7)</f>
        <v>29814824</v>
      </c>
      <c r="G1416" s="43" t="str">
        <f>IFERROR(__xludf.DUMMYFUNCTION("""COMPUTED_VALUE"""),"Tunisia")</f>
        <v>Tunisia</v>
      </c>
      <c r="H1416" s="43" t="str">
        <f>IFERROR(__xludf.DUMMYFUNCTION("""COMPUTED_VALUE"""),"HADRUMET")</f>
        <v>HADRUMET</v>
      </c>
      <c r="I1416" s="43" t="str">
        <f>IFERROR(__xludf.DUMMYFUNCTION("""COMPUTED_VALUE"""),"Turkey")</f>
        <v>Turkey</v>
      </c>
      <c r="J1416" s="43" t="str">
        <f>IFERROR(__xludf.DUMMYFUNCTION("""COMPUTED_VALUE"""),"ISTANBUL")</f>
        <v>ISTANBUL</v>
      </c>
      <c r="K1416" s="44" t="str">
        <f>IFERROR(__xludf.DUMMYFUNCTION("""COMPUTED_VALUE"""),"https://expa.aiesec.org/opportunities/1298284")</f>
        <v>https://expa.aiesec.org/opportunities/1298284</v>
      </c>
      <c r="L1416" s="43" t="str">
        <f>IFERROR(__xludf.DUMMYFUNCTION("""COMPUTED_VALUE"""),"GV")</f>
        <v>GV</v>
      </c>
      <c r="M1416" s="43" t="str">
        <f>IFERROR(__xludf.DUMMYFUNCTION("""COMPUTED_VALUE"""),"short")</f>
        <v>short</v>
      </c>
      <c r="N1416" s="45">
        <f>IFERROR(__xludf.DUMMYFUNCTION("""COMPUTED_VALUE"""),45209.0)</f>
        <v>45209</v>
      </c>
      <c r="O1416" s="45">
        <f>IFERROR(__xludf.DUMMYFUNCTION("""COMPUTED_VALUE"""),45474.0)</f>
        <v>45474</v>
      </c>
      <c r="P1416" s="45">
        <f>IFERROR(__xludf.DUMMYFUNCTION("""COMPUTED_VALUE"""),45516.0)</f>
        <v>45516</v>
      </c>
      <c r="Q1416" s="45"/>
      <c r="R1416" s="45"/>
      <c r="S1416" s="43"/>
      <c r="T1416" s="43"/>
      <c r="U1416" s="43" t="str">
        <f>IFERROR(__xludf.DUMMYFUNCTION("""COMPUTED_VALUE"""),"Global Classroom")</f>
        <v>Global Classroom</v>
      </c>
      <c r="V1416" s="43" t="str">
        <f>IFERROR(__xludf.DUMMYFUNCTION("""COMPUTED_VALUE"""),"ISIT COM Sousse")</f>
        <v>ISIT COM Sousse</v>
      </c>
      <c r="W1416" s="43" t="str">
        <f>IFERROR(__xludf.DUMMYFUNCTION("""COMPUTED_VALUE"""),"2023-10-10T17:42:23Z")</f>
        <v>2023-10-10T17:42:23Z</v>
      </c>
      <c r="X1416" s="43"/>
      <c r="Y1416" s="43"/>
      <c r="Z1416" s="43"/>
    </row>
    <row r="1417" hidden="1">
      <c r="A1417" s="43" t="str">
        <f>IFERROR(__xludf.DUMMYFUNCTION("""COMPUTED_VALUE"""),"5344136_1294068")</f>
        <v>5344136_1294068</v>
      </c>
      <c r="B1417" s="43" t="str">
        <f>IFERROR(__xludf.DUMMYFUNCTION("""COMPUTED_VALUE"""),"Rawan Tamer")</f>
        <v>Rawan Tamer</v>
      </c>
      <c r="C1417" s="43" t="str">
        <f>IFERROR(__xludf.DUMMYFUNCTION("""COMPUTED_VALUE"""),"approved")</f>
        <v>approved</v>
      </c>
      <c r="D1417" s="43" t="str">
        <f>IFERROR(__xludf.DUMMYFUNCTION("""COMPUTED_VALUE"""),"No")</f>
        <v>No</v>
      </c>
      <c r="E1417" s="43" t="str">
        <f>IFERROR(__xludf.DUMMYFUNCTION("""COMPUTED_VALUE"""),"p_a07c8f5ba2b4a216691b8d8c43763146e492a281@inbound.aiesec.org")</f>
        <v>p_a07c8f5ba2b4a216691b8d8c43763146e492a281@inbound.aiesec.org</v>
      </c>
      <c r="F1417" s="43">
        <f>IFERROR(__xludf.DUMMYFUNCTION("""COMPUTED_VALUE"""),1.228877773E9)</f>
        <v>1228877773</v>
      </c>
      <c r="G1417" s="43" t="str">
        <f>IFERROR(__xludf.DUMMYFUNCTION("""COMPUTED_VALUE"""),"Egypt")</f>
        <v>Egypt</v>
      </c>
      <c r="H1417" s="43" t="str">
        <f>IFERROR(__xludf.DUMMYFUNCTION("""COMPUTED_VALUE"""),"Ain Shams University")</f>
        <v>Ain Shams University</v>
      </c>
      <c r="I1417" s="43" t="str">
        <f>IFERROR(__xludf.DUMMYFUNCTION("""COMPUTED_VALUE"""),"Turkey")</f>
        <v>Turkey</v>
      </c>
      <c r="J1417" s="43" t="str">
        <f>IFERROR(__xludf.DUMMYFUNCTION("""COMPUTED_VALUE"""),"DENIZLI")</f>
        <v>DENIZLI</v>
      </c>
      <c r="K1417" s="44" t="str">
        <f>IFERROR(__xludf.DUMMYFUNCTION("""COMPUTED_VALUE"""),"https://expa.aiesec.org/opportunities/1294068")</f>
        <v>https://expa.aiesec.org/opportunities/1294068</v>
      </c>
      <c r="L1417" s="43" t="str">
        <f>IFERROR(__xludf.DUMMYFUNCTION("""COMPUTED_VALUE"""),"GV")</f>
        <v>GV</v>
      </c>
      <c r="M1417" s="43" t="str">
        <f>IFERROR(__xludf.DUMMYFUNCTION("""COMPUTED_VALUE"""),"short")</f>
        <v>short</v>
      </c>
      <c r="N1417" s="45">
        <f>IFERROR(__xludf.DUMMYFUNCTION("""COMPUTED_VALUE"""),45209.0)</f>
        <v>45209</v>
      </c>
      <c r="O1417" s="45">
        <f>IFERROR(__xludf.DUMMYFUNCTION("""COMPUTED_VALUE"""),45488.0)</f>
        <v>45488</v>
      </c>
      <c r="P1417" s="45">
        <f>IFERROR(__xludf.DUMMYFUNCTION("""COMPUTED_VALUE"""),45530.0)</f>
        <v>45530</v>
      </c>
      <c r="Q1417" s="45"/>
      <c r="R1417" s="45"/>
      <c r="S1417" s="43"/>
      <c r="T1417" s="43"/>
      <c r="U1417" s="43" t="str">
        <f>IFERROR(__xludf.DUMMYFUNCTION("""COMPUTED_VALUE"""),"Equify")</f>
        <v>Equify</v>
      </c>
      <c r="V1417" s="43" t="str">
        <f>IFERROR(__xludf.DUMMYFUNCTION("""COMPUTED_VALUE"""),"Ain Shams University")</f>
        <v>Ain Shams University</v>
      </c>
      <c r="W1417" s="43" t="str">
        <f>IFERROR(__xludf.DUMMYFUNCTION("""COMPUTED_VALUE"""),"2023-10-06T22:22:43Z")</f>
        <v>2023-10-06T22:22:43Z</v>
      </c>
      <c r="X1417" s="43"/>
      <c r="Y1417" s="43"/>
      <c r="Z1417" s="43"/>
    </row>
    <row r="1418" hidden="1">
      <c r="A1418" s="43" t="str">
        <f>IFERROR(__xludf.DUMMYFUNCTION("""COMPUTED_VALUE"""),"5340065_1286920")</f>
        <v>5340065_1286920</v>
      </c>
      <c r="B1418" s="43" t="str">
        <f>IFERROR(__xludf.DUMMYFUNCTION("""COMPUTED_VALUE"""),"Hana Ehab")</f>
        <v>Hana Ehab</v>
      </c>
      <c r="C1418" s="43" t="str">
        <f>IFERROR(__xludf.DUMMYFUNCTION("""COMPUTED_VALUE"""),"approved")</f>
        <v>approved</v>
      </c>
      <c r="D1418" s="43" t="str">
        <f>IFERROR(__xludf.DUMMYFUNCTION("""COMPUTED_VALUE"""),"No")</f>
        <v>No</v>
      </c>
      <c r="E1418" s="43" t="str">
        <f>IFERROR(__xludf.DUMMYFUNCTION("""COMPUTED_VALUE"""),"p_72b3d46c94e24058b2648caad5ad43d8b939a89b@inbound.aiesec.org")</f>
        <v>p_72b3d46c94e24058b2648caad5ad43d8b939a89b@inbound.aiesec.org</v>
      </c>
      <c r="F1418" s="43">
        <f>IFERROR(__xludf.DUMMYFUNCTION("""COMPUTED_VALUE"""),1.200838222E9)</f>
        <v>1200838222</v>
      </c>
      <c r="G1418" s="43" t="str">
        <f>IFERROR(__xludf.DUMMYFUNCTION("""COMPUTED_VALUE"""),"Egypt")</f>
        <v>Egypt</v>
      </c>
      <c r="H1418" s="43" t="str">
        <f>IFERROR(__xludf.DUMMYFUNCTION("""COMPUTED_VALUE"""),"Ain Shams University")</f>
        <v>Ain Shams University</v>
      </c>
      <c r="I1418" s="43" t="str">
        <f>IFERROR(__xludf.DUMMYFUNCTION("""COMPUTED_VALUE"""),"Turkey")</f>
        <v>Turkey</v>
      </c>
      <c r="J1418" s="43" t="str">
        <f>IFERROR(__xludf.DUMMYFUNCTION("""COMPUTED_VALUE"""),"DENIZLI")</f>
        <v>DENIZLI</v>
      </c>
      <c r="K1418" s="44" t="str">
        <f>IFERROR(__xludf.DUMMYFUNCTION("""COMPUTED_VALUE"""),"https://expa.aiesec.org/opportunities/1286920")</f>
        <v>https://expa.aiesec.org/opportunities/1286920</v>
      </c>
      <c r="L1418" s="43" t="str">
        <f>IFERROR(__xludf.DUMMYFUNCTION("""COMPUTED_VALUE"""),"GV")</f>
        <v>GV</v>
      </c>
      <c r="M1418" s="43" t="str">
        <f>IFERROR(__xludf.DUMMYFUNCTION("""COMPUTED_VALUE"""),"short")</f>
        <v>short</v>
      </c>
      <c r="N1418" s="45">
        <f>IFERROR(__xludf.DUMMYFUNCTION("""COMPUTED_VALUE"""),45209.0)</f>
        <v>45209</v>
      </c>
      <c r="O1418" s="45">
        <f>IFERROR(__xludf.DUMMYFUNCTION("""COMPUTED_VALUE"""),45488.0)</f>
        <v>45488</v>
      </c>
      <c r="P1418" s="45">
        <f>IFERROR(__xludf.DUMMYFUNCTION("""COMPUTED_VALUE"""),45530.0)</f>
        <v>45530</v>
      </c>
      <c r="Q1418" s="45"/>
      <c r="R1418" s="45"/>
      <c r="S1418" s="43"/>
      <c r="T1418" s="43"/>
      <c r="U1418" s="43" t="str">
        <f>IFERROR(__xludf.DUMMYFUNCTION("""COMPUTED_VALUE"""),"Global Classroom")</f>
        <v>Global Classroom</v>
      </c>
      <c r="V1418" s="43" t="str">
        <f>IFERROR(__xludf.DUMMYFUNCTION("""COMPUTED_VALUE"""),"Ain Shams University")</f>
        <v>Ain Shams University</v>
      </c>
      <c r="W1418" s="43" t="str">
        <f>IFERROR(__xludf.DUMMYFUNCTION("""COMPUTED_VALUE"""),"2023-10-02T18:57:38Z")</f>
        <v>2023-10-02T18:57:38Z</v>
      </c>
      <c r="X1418" s="43"/>
      <c r="Y1418" s="43"/>
      <c r="Z1418" s="43"/>
    </row>
    <row r="1419" hidden="1">
      <c r="A1419" s="43" t="str">
        <f>IFERROR(__xludf.DUMMYFUNCTION("""COMPUTED_VALUE"""),"5348463_1289536")</f>
        <v>5348463_1289536</v>
      </c>
      <c r="B1419" s="43" t="str">
        <f>IFERROR(__xludf.DUMMYFUNCTION("""COMPUTED_VALUE"""),"Mathias Lobo de Camargo Pereira")</f>
        <v>Mathias Lobo de Camargo Pereira</v>
      </c>
      <c r="C1419" s="43" t="str">
        <f>IFERROR(__xludf.DUMMYFUNCTION("""COMPUTED_VALUE"""),"approved")</f>
        <v>approved</v>
      </c>
      <c r="D1419" s="43" t="str">
        <f>IFERROR(__xludf.DUMMYFUNCTION("""COMPUTED_VALUE"""),"No")</f>
        <v>No</v>
      </c>
      <c r="E1419" s="43" t="str">
        <f>IFERROR(__xludf.DUMMYFUNCTION("""COMPUTED_VALUE"""),"p_4229bd5fc78f47477798bb68478157a2bd4a2958@inbound.aiesec.org")</f>
        <v>p_4229bd5fc78f47477798bb68478157a2bd4a2958@inbound.aiesec.org</v>
      </c>
      <c r="F1419" s="43">
        <f>IFERROR(__xludf.DUMMYFUNCTION("""COMPUTED_VALUE"""),9.26028172E8)</f>
        <v>926028172</v>
      </c>
      <c r="G1419" s="43" t="str">
        <f>IFERROR(__xludf.DUMMYFUNCTION("""COMPUTED_VALUE"""),"Portugal")</f>
        <v>Portugal</v>
      </c>
      <c r="H1419" s="43" t="str">
        <f>IFERROR(__xludf.DUMMYFUNCTION("""COMPUTED_VALUE"""),"Lisboa ISEG")</f>
        <v>Lisboa ISEG</v>
      </c>
      <c r="I1419" s="43" t="str">
        <f>IFERROR(__xludf.DUMMYFUNCTION("""COMPUTED_VALUE"""),"Turkey")</f>
        <v>Turkey</v>
      </c>
      <c r="J1419" s="43" t="str">
        <f>IFERROR(__xludf.DUMMYFUNCTION("""COMPUTED_VALUE"""),"ISTANBUL")</f>
        <v>ISTANBUL</v>
      </c>
      <c r="K1419" s="44" t="str">
        <f>IFERROR(__xludf.DUMMYFUNCTION("""COMPUTED_VALUE"""),"https://expa.aiesec.org/opportunities/1289536")</f>
        <v>https://expa.aiesec.org/opportunities/1289536</v>
      </c>
      <c r="L1419" s="43" t="str">
        <f>IFERROR(__xludf.DUMMYFUNCTION("""COMPUTED_VALUE"""),"GV")</f>
        <v>GV</v>
      </c>
      <c r="M1419" s="43" t="str">
        <f>IFERROR(__xludf.DUMMYFUNCTION("""COMPUTED_VALUE"""),"short")</f>
        <v>short</v>
      </c>
      <c r="N1419" s="45">
        <f>IFERROR(__xludf.DUMMYFUNCTION("""COMPUTED_VALUE"""),45209.0)</f>
        <v>45209</v>
      </c>
      <c r="O1419" s="45">
        <f>IFERROR(__xludf.DUMMYFUNCTION("""COMPUTED_VALUE"""),45487.0)</f>
        <v>45487</v>
      </c>
      <c r="P1419" s="45">
        <f>IFERROR(__xludf.DUMMYFUNCTION("""COMPUTED_VALUE"""),45529.0)</f>
        <v>45529</v>
      </c>
      <c r="Q1419" s="45"/>
      <c r="R1419" s="45"/>
      <c r="S1419" s="43"/>
      <c r="T1419" s="43"/>
      <c r="U1419" s="43" t="str">
        <f>IFERROR(__xludf.DUMMYFUNCTION("""COMPUTED_VALUE"""),"Global Classroom")</f>
        <v>Global Classroom</v>
      </c>
      <c r="V1419" s="43" t="str">
        <f>IFERROR(__xludf.DUMMYFUNCTION("""COMPUTED_VALUE"""),"Universidade de Lisboa - Instituto Superior de Economia e Gestão (ISEG)")</f>
        <v>Universidade de Lisboa - Instituto Superior de Economia e Gestão (ISEG)</v>
      </c>
      <c r="W1419" s="43" t="str">
        <f>IFERROR(__xludf.DUMMYFUNCTION("""COMPUTED_VALUE"""),"2023-10-10T20:32:59Z")</f>
        <v>2023-10-10T20:32:59Z</v>
      </c>
      <c r="X1419" s="43"/>
      <c r="Y1419" s="43"/>
      <c r="Z1419" s="43"/>
    </row>
    <row r="1420" hidden="1">
      <c r="A1420" s="43" t="str">
        <f>IFERROR(__xludf.DUMMYFUNCTION("""COMPUTED_VALUE"""),"5341335_1298284")</f>
        <v>5341335_1298284</v>
      </c>
      <c r="B1420" s="43" t="str">
        <f>IFERROR(__xludf.DUMMYFUNCTION("""COMPUTED_VALUE"""),"Hazem Mensi")</f>
        <v>Hazem Mensi</v>
      </c>
      <c r="C1420" s="43" t="str">
        <f>IFERROR(__xludf.DUMMYFUNCTION("""COMPUTED_VALUE"""),"approved")</f>
        <v>approved</v>
      </c>
      <c r="D1420" s="43" t="str">
        <f>IFERROR(__xludf.DUMMYFUNCTION("""COMPUTED_VALUE"""),"No")</f>
        <v>No</v>
      </c>
      <c r="E1420" s="43" t="str">
        <f>IFERROR(__xludf.DUMMYFUNCTION("""COMPUTED_VALUE"""),"p_97f2c770835de9ac2ea5c6a823356433c79b7f3a@inbound.aiesec.org")</f>
        <v>p_97f2c770835de9ac2ea5c6a823356433c79b7f3a@inbound.aiesec.org</v>
      </c>
      <c r="F1420" s="43">
        <f>IFERROR(__xludf.DUMMYFUNCTION("""COMPUTED_VALUE"""),9.0104872E7)</f>
        <v>90104872</v>
      </c>
      <c r="G1420" s="43" t="str">
        <f>IFERROR(__xludf.DUMMYFUNCTION("""COMPUTED_VALUE"""),"Tunisia")</f>
        <v>Tunisia</v>
      </c>
      <c r="H1420" s="43" t="str">
        <f>IFERROR(__xludf.DUMMYFUNCTION("""COMPUTED_VALUE"""),"Carthage")</f>
        <v>Carthage</v>
      </c>
      <c r="I1420" s="43" t="str">
        <f>IFERROR(__xludf.DUMMYFUNCTION("""COMPUTED_VALUE"""),"Turkey")</f>
        <v>Turkey</v>
      </c>
      <c r="J1420" s="43" t="str">
        <f>IFERROR(__xludf.DUMMYFUNCTION("""COMPUTED_VALUE"""),"ISTANBUL")</f>
        <v>ISTANBUL</v>
      </c>
      <c r="K1420" s="44" t="str">
        <f>IFERROR(__xludf.DUMMYFUNCTION("""COMPUTED_VALUE"""),"https://expa.aiesec.org/opportunities/1298284")</f>
        <v>https://expa.aiesec.org/opportunities/1298284</v>
      </c>
      <c r="L1420" s="43" t="str">
        <f>IFERROR(__xludf.DUMMYFUNCTION("""COMPUTED_VALUE"""),"GV")</f>
        <v>GV</v>
      </c>
      <c r="M1420" s="43" t="str">
        <f>IFERROR(__xludf.DUMMYFUNCTION("""COMPUTED_VALUE"""),"short")</f>
        <v>short</v>
      </c>
      <c r="N1420" s="45">
        <f>IFERROR(__xludf.DUMMYFUNCTION("""COMPUTED_VALUE"""),45210.0)</f>
        <v>45210</v>
      </c>
      <c r="O1420" s="45">
        <f>IFERROR(__xludf.DUMMYFUNCTION("""COMPUTED_VALUE"""),45474.0)</f>
        <v>45474</v>
      </c>
      <c r="P1420" s="45">
        <f>IFERROR(__xludf.DUMMYFUNCTION("""COMPUTED_VALUE"""),45516.0)</f>
        <v>45516</v>
      </c>
      <c r="Q1420" s="45"/>
      <c r="R1420" s="45"/>
      <c r="S1420" s="43"/>
      <c r="T1420" s="43"/>
      <c r="U1420" s="43" t="str">
        <f>IFERROR(__xludf.DUMMYFUNCTION("""COMPUTED_VALUE"""),"Global Classroom")</f>
        <v>Global Classroom</v>
      </c>
      <c r="V1420" s="43" t="str">
        <f>IFERROR(__xludf.DUMMYFUNCTION("""COMPUTED_VALUE"""),"INSAT")</f>
        <v>INSAT</v>
      </c>
      <c r="W1420" s="43" t="str">
        <f>IFERROR(__xludf.DUMMYFUNCTION("""COMPUTED_VALUE"""),"2023-10-03T19:44:51Z")</f>
        <v>2023-10-03T19:44:51Z</v>
      </c>
      <c r="X1420" s="43"/>
      <c r="Y1420" s="43"/>
      <c r="Z1420" s="43"/>
    </row>
    <row r="1421" hidden="1">
      <c r="A1421" s="43" t="str">
        <f>IFERROR(__xludf.DUMMYFUNCTION("""COMPUTED_VALUE"""),"5343119_1298284")</f>
        <v>5343119_1298284</v>
      </c>
      <c r="B1421" s="43" t="str">
        <f>IFERROR(__xludf.DUMMYFUNCTION("""COMPUTED_VALUE"""),"Bader ettamem Hamdouni")</f>
        <v>Bader ettamem Hamdouni</v>
      </c>
      <c r="C1421" s="43" t="str">
        <f>IFERROR(__xludf.DUMMYFUNCTION("""COMPUTED_VALUE"""),"approved")</f>
        <v>approved</v>
      </c>
      <c r="D1421" s="43" t="str">
        <f>IFERROR(__xludf.DUMMYFUNCTION("""COMPUTED_VALUE"""),"No")</f>
        <v>No</v>
      </c>
      <c r="E1421" s="43" t="str">
        <f>IFERROR(__xludf.DUMMYFUNCTION("""COMPUTED_VALUE"""),"p_2409d3c784c4c078473116798e690da2827ddcd8@inbound.aiesec.org")</f>
        <v>p_2409d3c784c4c078473116798e690da2827ddcd8@inbound.aiesec.org</v>
      </c>
      <c r="F1421" s="43">
        <f>IFERROR(__xludf.DUMMYFUNCTION("""COMPUTED_VALUE"""),9.6029331E7)</f>
        <v>96029331</v>
      </c>
      <c r="G1421" s="43" t="str">
        <f>IFERROR(__xludf.DUMMYFUNCTION("""COMPUTED_VALUE"""),"Tunisia")</f>
        <v>Tunisia</v>
      </c>
      <c r="H1421" s="43" t="str">
        <f>IFERROR(__xludf.DUMMYFUNCTION("""COMPUTED_VALUE"""),"Carthage")</f>
        <v>Carthage</v>
      </c>
      <c r="I1421" s="43" t="str">
        <f>IFERROR(__xludf.DUMMYFUNCTION("""COMPUTED_VALUE"""),"Turkey")</f>
        <v>Turkey</v>
      </c>
      <c r="J1421" s="43" t="str">
        <f>IFERROR(__xludf.DUMMYFUNCTION("""COMPUTED_VALUE"""),"ISTANBUL")</f>
        <v>ISTANBUL</v>
      </c>
      <c r="K1421" s="44" t="str">
        <f>IFERROR(__xludf.DUMMYFUNCTION("""COMPUTED_VALUE"""),"https://expa.aiesec.org/opportunities/1298284")</f>
        <v>https://expa.aiesec.org/opportunities/1298284</v>
      </c>
      <c r="L1421" s="43" t="str">
        <f>IFERROR(__xludf.DUMMYFUNCTION("""COMPUTED_VALUE"""),"GV")</f>
        <v>GV</v>
      </c>
      <c r="M1421" s="43" t="str">
        <f>IFERROR(__xludf.DUMMYFUNCTION("""COMPUTED_VALUE"""),"short")</f>
        <v>short</v>
      </c>
      <c r="N1421" s="45">
        <f>IFERROR(__xludf.DUMMYFUNCTION("""COMPUTED_VALUE"""),45210.0)</f>
        <v>45210</v>
      </c>
      <c r="O1421" s="45">
        <f>IFERROR(__xludf.DUMMYFUNCTION("""COMPUTED_VALUE"""),45474.0)</f>
        <v>45474</v>
      </c>
      <c r="P1421" s="45">
        <f>IFERROR(__xludf.DUMMYFUNCTION("""COMPUTED_VALUE"""),45516.0)</f>
        <v>45516</v>
      </c>
      <c r="Q1421" s="45"/>
      <c r="R1421" s="45"/>
      <c r="S1421" s="43"/>
      <c r="T1421" s="43"/>
      <c r="U1421" s="43" t="str">
        <f>IFERROR(__xludf.DUMMYFUNCTION("""COMPUTED_VALUE"""),"Global Classroom")</f>
        <v>Global Classroom</v>
      </c>
      <c r="V1421" s="43" t="str">
        <f>IFERROR(__xludf.DUMMYFUNCTION("""COMPUTED_VALUE"""),"INSAT")</f>
        <v>INSAT</v>
      </c>
      <c r="W1421" s="43" t="str">
        <f>IFERROR(__xludf.DUMMYFUNCTION("""COMPUTED_VALUE"""),"2023-10-05T12:25:37Z")</f>
        <v>2023-10-05T12:25:37Z</v>
      </c>
      <c r="X1421" s="43"/>
      <c r="Y1421" s="43"/>
      <c r="Z1421" s="43"/>
    </row>
    <row r="1422" hidden="1">
      <c r="A1422" s="43" t="str">
        <f>IFERROR(__xludf.DUMMYFUNCTION("""COMPUTED_VALUE"""),"5343373_1289505")</f>
        <v>5343373_1289505</v>
      </c>
      <c r="B1422" s="43" t="str">
        <f>IFERROR(__xludf.DUMMYFUNCTION("""COMPUTED_VALUE"""),"Zeineb Taieb")</f>
        <v>Zeineb Taieb</v>
      </c>
      <c r="C1422" s="43" t="str">
        <f>IFERROR(__xludf.DUMMYFUNCTION("""COMPUTED_VALUE"""),"approved")</f>
        <v>approved</v>
      </c>
      <c r="D1422" s="43" t="str">
        <f>IFERROR(__xludf.DUMMYFUNCTION("""COMPUTED_VALUE"""),"No")</f>
        <v>No</v>
      </c>
      <c r="E1422" s="43" t="str">
        <f>IFERROR(__xludf.DUMMYFUNCTION("""COMPUTED_VALUE"""),"p_f32faea8c29169aa21f05114bebaf902b567923d@inbound.aiesec.org")</f>
        <v>p_f32faea8c29169aa21f05114bebaf902b567923d@inbound.aiesec.org</v>
      </c>
      <c r="F1422" s="43">
        <f>IFERROR(__xludf.DUMMYFUNCTION("""COMPUTED_VALUE"""),2.1852704E7)</f>
        <v>21852704</v>
      </c>
      <c r="G1422" s="43" t="str">
        <f>IFERROR(__xludf.DUMMYFUNCTION("""COMPUTED_VALUE"""),"Tunisia")</f>
        <v>Tunisia</v>
      </c>
      <c r="H1422" s="43" t="str">
        <f>IFERROR(__xludf.DUMMYFUNCTION("""COMPUTED_VALUE"""),"Carthage")</f>
        <v>Carthage</v>
      </c>
      <c r="I1422" s="43" t="str">
        <f>IFERROR(__xludf.DUMMYFUNCTION("""COMPUTED_VALUE"""),"Turkey")</f>
        <v>Turkey</v>
      </c>
      <c r="J1422" s="43" t="str">
        <f>IFERROR(__xludf.DUMMYFUNCTION("""COMPUTED_VALUE"""),"KOCAELI")</f>
        <v>KOCAELI</v>
      </c>
      <c r="K1422" s="44" t="str">
        <f>IFERROR(__xludf.DUMMYFUNCTION("""COMPUTED_VALUE"""),"https://expa.aiesec.org/opportunities/1289505")</f>
        <v>https://expa.aiesec.org/opportunities/1289505</v>
      </c>
      <c r="L1422" s="43" t="str">
        <f>IFERROR(__xludf.DUMMYFUNCTION("""COMPUTED_VALUE"""),"GV")</f>
        <v>GV</v>
      </c>
      <c r="M1422" s="43" t="str">
        <f>IFERROR(__xludf.DUMMYFUNCTION("""COMPUTED_VALUE"""),"short")</f>
        <v>short</v>
      </c>
      <c r="N1422" s="45">
        <f>IFERROR(__xludf.DUMMYFUNCTION("""COMPUTED_VALUE"""),45210.0)</f>
        <v>45210</v>
      </c>
      <c r="O1422" s="45">
        <f>IFERROR(__xludf.DUMMYFUNCTION("""COMPUTED_VALUE"""),45481.0)</f>
        <v>45481</v>
      </c>
      <c r="P1422" s="45">
        <f>IFERROR(__xludf.DUMMYFUNCTION("""COMPUTED_VALUE"""),45523.0)</f>
        <v>45523</v>
      </c>
      <c r="Q1422" s="45"/>
      <c r="R1422" s="45"/>
      <c r="S1422" s="43"/>
      <c r="T1422" s="43"/>
      <c r="U1422" s="43" t="str">
        <f>IFERROR(__xludf.DUMMYFUNCTION("""COMPUTED_VALUE"""),"Youth 4 Impact")</f>
        <v>Youth 4 Impact</v>
      </c>
      <c r="V1422" s="43" t="str">
        <f>IFERROR(__xludf.DUMMYFUNCTION("""COMPUTED_VALUE"""),"ENAU")</f>
        <v>ENAU</v>
      </c>
      <c r="W1422" s="43" t="str">
        <f>IFERROR(__xludf.DUMMYFUNCTION("""COMPUTED_VALUE"""),"2023-10-05T18:20:45Z")</f>
        <v>2023-10-05T18:20:45Z</v>
      </c>
      <c r="X1422" s="43"/>
      <c r="Y1422" s="43"/>
      <c r="Z1422" s="43"/>
    </row>
    <row r="1423" hidden="1">
      <c r="A1423" s="43" t="str">
        <f>IFERROR(__xludf.DUMMYFUNCTION("""COMPUTED_VALUE"""),"5346989_1295893")</f>
        <v>5346989_1295893</v>
      </c>
      <c r="B1423" s="43" t="str">
        <f>IFERROR(__xludf.DUMMYFUNCTION("""COMPUTED_VALUE"""),"Karen Effat")</f>
        <v>Karen Effat</v>
      </c>
      <c r="C1423" s="43" t="str">
        <f>IFERROR(__xludf.DUMMYFUNCTION("""COMPUTED_VALUE"""),"approved")</f>
        <v>approved</v>
      </c>
      <c r="D1423" s="43" t="str">
        <f>IFERROR(__xludf.DUMMYFUNCTION("""COMPUTED_VALUE"""),"No")</f>
        <v>No</v>
      </c>
      <c r="E1423" s="43" t="str">
        <f>IFERROR(__xludf.DUMMYFUNCTION("""COMPUTED_VALUE"""),"p_587b306c4aa37fc7cefb76ec1def1dc8433c7590@inbound.aiesec.org")</f>
        <v>p_587b306c4aa37fc7cefb76ec1def1dc8433c7590@inbound.aiesec.org</v>
      </c>
      <c r="F1423" s="43">
        <f>IFERROR(__xludf.DUMMYFUNCTION("""COMPUTED_VALUE"""),1.287188577E9)</f>
        <v>1287188577</v>
      </c>
      <c r="G1423" s="43" t="str">
        <f>IFERROR(__xludf.DUMMYFUNCTION("""COMPUTED_VALUE"""),"Egypt")</f>
        <v>Egypt</v>
      </c>
      <c r="H1423" s="43" t="str">
        <f>IFERROR(__xludf.DUMMYFUNCTION("""COMPUTED_VALUE"""),"MUST")</f>
        <v>MUST</v>
      </c>
      <c r="I1423" s="43" t="str">
        <f>IFERROR(__xludf.DUMMYFUNCTION("""COMPUTED_VALUE"""),"Turkey")</f>
        <v>Turkey</v>
      </c>
      <c r="J1423" s="43" t="str">
        <f>IFERROR(__xludf.DUMMYFUNCTION("""COMPUTED_VALUE"""),"ADANA")</f>
        <v>ADANA</v>
      </c>
      <c r="K1423" s="44" t="str">
        <f>IFERROR(__xludf.DUMMYFUNCTION("""COMPUTED_VALUE"""),"https://expa.aiesec.org/opportunities/1295893")</f>
        <v>https://expa.aiesec.org/opportunities/1295893</v>
      </c>
      <c r="L1423" s="43" t="str">
        <f>IFERROR(__xludf.DUMMYFUNCTION("""COMPUTED_VALUE"""),"GV")</f>
        <v>GV</v>
      </c>
      <c r="M1423" s="43" t="str">
        <f>IFERROR(__xludf.DUMMYFUNCTION("""COMPUTED_VALUE"""),"short")</f>
        <v>short</v>
      </c>
      <c r="N1423" s="45">
        <f>IFERROR(__xludf.DUMMYFUNCTION("""COMPUTED_VALUE"""),45210.0)</f>
        <v>45210</v>
      </c>
      <c r="O1423" s="45">
        <f>IFERROR(__xludf.DUMMYFUNCTION("""COMPUTED_VALUE"""),45411.0)</f>
        <v>45411</v>
      </c>
      <c r="P1423" s="45">
        <f>IFERROR(__xludf.DUMMYFUNCTION("""COMPUTED_VALUE"""),45457.0)</f>
        <v>45457</v>
      </c>
      <c r="Q1423" s="45"/>
      <c r="R1423" s="45"/>
      <c r="S1423" s="43"/>
      <c r="T1423" s="43"/>
      <c r="U1423" s="43" t="str">
        <f>IFERROR(__xludf.DUMMYFUNCTION("""COMPUTED_VALUE"""),"Global Classroom")</f>
        <v>Global Classroom</v>
      </c>
      <c r="V1423" s="43" t="str">
        <f>IFERROR(__xludf.DUMMYFUNCTION("""COMPUTED_VALUE"""),"Nile University")</f>
        <v>Nile University</v>
      </c>
      <c r="W1423" s="43" t="str">
        <f>IFERROR(__xludf.DUMMYFUNCTION("""COMPUTED_VALUE"""),"2023-10-09T15:25:03Z")</f>
        <v>2023-10-09T15:25:03Z</v>
      </c>
      <c r="X1423" s="43"/>
      <c r="Y1423" s="43"/>
      <c r="Z1423" s="43"/>
    </row>
    <row r="1424" hidden="1">
      <c r="A1424" s="43" t="str">
        <f>IFERROR(__xludf.DUMMYFUNCTION("""COMPUTED_VALUE"""),"5346236_1288970")</f>
        <v>5346236_1288970</v>
      </c>
      <c r="B1424" s="43" t="str">
        <f>IFERROR(__xludf.DUMMYFUNCTION("""COMPUTED_VALUE"""),"Sonia Julius")</f>
        <v>Sonia Julius</v>
      </c>
      <c r="C1424" s="43" t="str">
        <f>IFERROR(__xludf.DUMMYFUNCTION("""COMPUTED_VALUE"""),"realized")</f>
        <v>realized</v>
      </c>
      <c r="D1424" s="43" t="str">
        <f>IFERROR(__xludf.DUMMYFUNCTION("""COMPUTED_VALUE"""),"No")</f>
        <v>No</v>
      </c>
      <c r="E1424" s="43" t="str">
        <f>IFERROR(__xludf.DUMMYFUNCTION("""COMPUTED_VALUE"""),"p_891d5e9a5a6a47a8a1f99e89665a3b960c0e409e@inbound.aiesec.org")</f>
        <v>p_891d5e9a5a6a47a8a1f99e89665a3b960c0e409e@inbound.aiesec.org</v>
      </c>
      <c r="F1424" s="43">
        <f>IFERROR(__xludf.DUMMYFUNCTION("""COMPUTED_VALUE"""),7.013633533E9)</f>
        <v>7013633533</v>
      </c>
      <c r="G1424" s="43" t="str">
        <f>IFERROR(__xludf.DUMMYFUNCTION("""COMPUTED_VALUE"""),"Nigeria")</f>
        <v>Nigeria</v>
      </c>
      <c r="H1424" s="43" t="str">
        <f>IFERROR(__xludf.DUMMYFUNCTION("""COMPUTED_VALUE"""),"IBADAN")</f>
        <v>IBADAN</v>
      </c>
      <c r="I1424" s="43" t="str">
        <f>IFERROR(__xludf.DUMMYFUNCTION("""COMPUTED_VALUE"""),"Turkey")</f>
        <v>Turkey</v>
      </c>
      <c r="J1424" s="43" t="str">
        <f>IFERROR(__xludf.DUMMYFUNCTION("""COMPUTED_VALUE"""),"İZMİR")</f>
        <v>İZMİR</v>
      </c>
      <c r="K1424" s="44" t="str">
        <f>IFERROR(__xludf.DUMMYFUNCTION("""COMPUTED_VALUE"""),"https://expa.aiesec.org/opportunities/1288970")</f>
        <v>https://expa.aiesec.org/opportunities/1288970</v>
      </c>
      <c r="L1424" s="43" t="str">
        <f>IFERROR(__xludf.DUMMYFUNCTION("""COMPUTED_VALUE"""),"GV")</f>
        <v>GV</v>
      </c>
      <c r="M1424" s="43" t="str">
        <f>IFERROR(__xludf.DUMMYFUNCTION("""COMPUTED_VALUE"""),"short")</f>
        <v>short</v>
      </c>
      <c r="N1424" s="45">
        <f>IFERROR(__xludf.DUMMYFUNCTION("""COMPUTED_VALUE"""),45210.0)</f>
        <v>45210</v>
      </c>
      <c r="O1424" s="45">
        <f>IFERROR(__xludf.DUMMYFUNCTION("""COMPUTED_VALUE"""),45249.0)</f>
        <v>45249</v>
      </c>
      <c r="P1424" s="45">
        <f>IFERROR(__xludf.DUMMYFUNCTION("""COMPUTED_VALUE"""),45291.0)</f>
        <v>45291</v>
      </c>
      <c r="Q1424" s="45">
        <f>IFERROR(__xludf.DUMMYFUNCTION("""COMPUTED_VALUE"""),45294.0)</f>
        <v>45294</v>
      </c>
      <c r="R1424" s="45">
        <f>IFERROR(__xludf.DUMMYFUNCTION("""COMPUTED_VALUE"""),45336.0)</f>
        <v>45336</v>
      </c>
      <c r="S1424" s="43"/>
      <c r="T1424" s="43"/>
      <c r="U1424" s="43" t="str">
        <f>IFERROR(__xludf.DUMMYFUNCTION("""COMPUTED_VALUE"""),"Fingerprint")</f>
        <v>Fingerprint</v>
      </c>
      <c r="V1424" s="43" t="str">
        <f>IFERROR(__xludf.DUMMYFUNCTION("""COMPUTED_VALUE"""),"University of Ibadan, Ibadan")</f>
        <v>University of Ibadan, Ibadan</v>
      </c>
      <c r="W1424" s="43" t="str">
        <f>IFERROR(__xludf.DUMMYFUNCTION("""COMPUTED_VALUE"""),"2023-10-09T09:07:47Z")</f>
        <v>2023-10-09T09:07:47Z</v>
      </c>
      <c r="X1424" s="43"/>
      <c r="Y1424" s="43"/>
      <c r="Z1424" s="43"/>
    </row>
    <row r="1425" hidden="1">
      <c r="A1425" s="43" t="str">
        <f>IFERROR(__xludf.DUMMYFUNCTION("""COMPUTED_VALUE"""),"5346467_1295893")</f>
        <v>5346467_1295893</v>
      </c>
      <c r="B1425" s="43" t="str">
        <f>IFERROR(__xludf.DUMMYFUNCTION("""COMPUTED_VALUE"""),"Mohammed Rashed")</f>
        <v>Mohammed Rashed</v>
      </c>
      <c r="C1425" s="43" t="str">
        <f>IFERROR(__xludf.DUMMYFUNCTION("""COMPUTED_VALUE"""),"approved")</f>
        <v>approved</v>
      </c>
      <c r="D1425" s="43" t="str">
        <f>IFERROR(__xludf.DUMMYFUNCTION("""COMPUTED_VALUE"""),"No")</f>
        <v>No</v>
      </c>
      <c r="E1425" s="43" t="str">
        <f>IFERROR(__xludf.DUMMYFUNCTION("""COMPUTED_VALUE"""),"p_125f3a4c11e9854ec0a307110501f5b188d3e8af@inbound.aiesec.org")</f>
        <v>p_125f3a4c11e9854ec0a307110501f5b188d3e8af@inbound.aiesec.org</v>
      </c>
      <c r="F1425" s="43">
        <f>IFERROR(__xludf.DUMMYFUNCTION("""COMPUTED_VALUE"""),1.114181155E9)</f>
        <v>1114181155</v>
      </c>
      <c r="G1425" s="43" t="str">
        <f>IFERROR(__xludf.DUMMYFUNCTION("""COMPUTED_VALUE"""),"Egypt")</f>
        <v>Egypt</v>
      </c>
      <c r="H1425" s="43" t="str">
        <f>IFERROR(__xludf.DUMMYFUNCTION("""COMPUTED_VALUE"""),"MUST")</f>
        <v>MUST</v>
      </c>
      <c r="I1425" s="43" t="str">
        <f>IFERROR(__xludf.DUMMYFUNCTION("""COMPUTED_VALUE"""),"Turkey")</f>
        <v>Turkey</v>
      </c>
      <c r="J1425" s="43" t="str">
        <f>IFERROR(__xludf.DUMMYFUNCTION("""COMPUTED_VALUE"""),"ADANA")</f>
        <v>ADANA</v>
      </c>
      <c r="K1425" s="44" t="str">
        <f>IFERROR(__xludf.DUMMYFUNCTION("""COMPUTED_VALUE"""),"https://expa.aiesec.org/opportunities/1295893")</f>
        <v>https://expa.aiesec.org/opportunities/1295893</v>
      </c>
      <c r="L1425" s="43" t="str">
        <f>IFERROR(__xludf.DUMMYFUNCTION("""COMPUTED_VALUE"""),"GV")</f>
        <v>GV</v>
      </c>
      <c r="M1425" s="43" t="str">
        <f>IFERROR(__xludf.DUMMYFUNCTION("""COMPUTED_VALUE"""),"short")</f>
        <v>short</v>
      </c>
      <c r="N1425" s="45">
        <f>IFERROR(__xludf.DUMMYFUNCTION("""COMPUTED_VALUE"""),45210.0)</f>
        <v>45210</v>
      </c>
      <c r="O1425" s="45">
        <f>IFERROR(__xludf.DUMMYFUNCTION("""COMPUTED_VALUE"""),45362.0)</f>
        <v>45362</v>
      </c>
      <c r="P1425" s="45">
        <f>IFERROR(__xludf.DUMMYFUNCTION("""COMPUTED_VALUE"""),45408.0)</f>
        <v>45408</v>
      </c>
      <c r="Q1425" s="45"/>
      <c r="R1425" s="45"/>
      <c r="S1425" s="43"/>
      <c r="T1425" s="43"/>
      <c r="U1425" s="43" t="str">
        <f>IFERROR(__xludf.DUMMYFUNCTION("""COMPUTED_VALUE"""),"Global Classroom")</f>
        <v>Global Classroom</v>
      </c>
      <c r="V1425" s="43" t="str">
        <f>IFERROR(__xludf.DUMMYFUNCTION("""COMPUTED_VALUE"""),"Nile University")</f>
        <v>Nile University</v>
      </c>
      <c r="W1425" s="43" t="str">
        <f>IFERROR(__xludf.DUMMYFUNCTION("""COMPUTED_VALUE"""),"2023-10-09T11:20:22Z")</f>
        <v>2023-10-09T11:20:22Z</v>
      </c>
      <c r="X1425" s="43"/>
      <c r="Y1425" s="43"/>
      <c r="Z1425" s="43"/>
    </row>
    <row r="1426" hidden="1">
      <c r="A1426" s="43" t="str">
        <f>IFERROR(__xludf.DUMMYFUNCTION("""COMPUTED_VALUE"""),"5216520_1299113")</f>
        <v>5216520_1299113</v>
      </c>
      <c r="B1426" s="43" t="str">
        <f>IFERROR(__xludf.DUMMYFUNCTION("""COMPUTED_VALUE"""),"Hadissad Obay")</f>
        <v>Hadissad Obay</v>
      </c>
      <c r="C1426" s="43" t="str">
        <f>IFERROR(__xludf.DUMMYFUNCTION("""COMPUTED_VALUE"""),"approved")</f>
        <v>approved</v>
      </c>
      <c r="D1426" s="43" t="str">
        <f>IFERROR(__xludf.DUMMYFUNCTION("""COMPUTED_VALUE"""),"No")</f>
        <v>No</v>
      </c>
      <c r="E1426" s="43" t="str">
        <f>IFERROR(__xludf.DUMMYFUNCTION("""COMPUTED_VALUE"""),"p_42a57e3d07035b1b00986f6dc88c4321e899002b@inbound.aiesec.org")</f>
        <v>p_42a57e3d07035b1b00986f6dc88c4321e899002b@inbound.aiesec.org</v>
      </c>
      <c r="F1426" s="43">
        <f>IFERROR(__xludf.DUMMYFUNCTION("""COMPUTED_VALUE"""),1.111067774E9)</f>
        <v>1111067774</v>
      </c>
      <c r="G1426" s="43" t="str">
        <f>IFERROR(__xludf.DUMMYFUNCTION("""COMPUTED_VALUE"""),"Egypt")</f>
        <v>Egypt</v>
      </c>
      <c r="H1426" s="43" t="str">
        <f>IFERROR(__xludf.DUMMYFUNCTION("""COMPUTED_VALUE"""),"Ain Shams University")</f>
        <v>Ain Shams University</v>
      </c>
      <c r="I1426" s="43" t="str">
        <f>IFERROR(__xludf.DUMMYFUNCTION("""COMPUTED_VALUE"""),"Turkey")</f>
        <v>Turkey</v>
      </c>
      <c r="J1426" s="43" t="str">
        <f>IFERROR(__xludf.DUMMYFUNCTION("""COMPUTED_VALUE"""),"ISTANBUL ASIA")</f>
        <v>ISTANBUL ASIA</v>
      </c>
      <c r="K1426" s="44" t="str">
        <f>IFERROR(__xludf.DUMMYFUNCTION("""COMPUTED_VALUE"""),"https://expa.aiesec.org/opportunities/1299113")</f>
        <v>https://expa.aiesec.org/opportunities/1299113</v>
      </c>
      <c r="L1426" s="43" t="str">
        <f>IFERROR(__xludf.DUMMYFUNCTION("""COMPUTED_VALUE"""),"GV")</f>
        <v>GV</v>
      </c>
      <c r="M1426" s="43" t="str">
        <f>IFERROR(__xludf.DUMMYFUNCTION("""COMPUTED_VALUE"""),"short")</f>
        <v>short</v>
      </c>
      <c r="N1426" s="45">
        <f>IFERROR(__xludf.DUMMYFUNCTION("""COMPUTED_VALUE"""),45211.0)</f>
        <v>45211</v>
      </c>
      <c r="O1426" s="45">
        <f>IFERROR(__xludf.DUMMYFUNCTION("""COMPUTED_VALUE"""),45334.0)</f>
        <v>45334</v>
      </c>
      <c r="P1426" s="45">
        <f>IFERROR(__xludf.DUMMYFUNCTION("""COMPUTED_VALUE"""),45376.0)</f>
        <v>45376</v>
      </c>
      <c r="Q1426" s="45"/>
      <c r="R1426" s="45"/>
      <c r="S1426" s="43"/>
      <c r="T1426" s="43"/>
      <c r="U1426" s="43" t="str">
        <f>IFERROR(__xludf.DUMMYFUNCTION("""COMPUTED_VALUE"""),"Global Classroom")</f>
        <v>Global Classroom</v>
      </c>
      <c r="V1426" s="43" t="str">
        <f>IFERROR(__xludf.DUMMYFUNCTION("""COMPUTED_VALUE"""),"Ain Shams University")</f>
        <v>Ain Shams University</v>
      </c>
      <c r="W1426" s="43" t="str">
        <f>IFERROR(__xludf.DUMMYFUNCTION("""COMPUTED_VALUE"""),"2023-03-14T22:07:04Z")</f>
        <v>2023-03-14T22:07:04Z</v>
      </c>
      <c r="X1426" s="43"/>
      <c r="Y1426" s="43"/>
      <c r="Z1426" s="43"/>
    </row>
    <row r="1427" hidden="1">
      <c r="A1427" s="43" t="str">
        <f>IFERROR(__xludf.DUMMYFUNCTION("""COMPUTED_VALUE"""),"5349298_1289505")</f>
        <v>5349298_1289505</v>
      </c>
      <c r="B1427" s="43" t="str">
        <f>IFERROR(__xludf.DUMMYFUNCTION("""COMPUTED_VALUE"""),"Taycir Abdelmoula")</f>
        <v>Taycir Abdelmoula</v>
      </c>
      <c r="C1427" s="43" t="str">
        <f>IFERROR(__xludf.DUMMYFUNCTION("""COMPUTED_VALUE"""),"approved")</f>
        <v>approved</v>
      </c>
      <c r="D1427" s="43" t="str">
        <f>IFERROR(__xludf.DUMMYFUNCTION("""COMPUTED_VALUE"""),"No")</f>
        <v>No</v>
      </c>
      <c r="E1427" s="43" t="str">
        <f>IFERROR(__xludf.DUMMYFUNCTION("""COMPUTED_VALUE"""),"p_640322c4e966a2f6d1748223dc99d9d395ea15ff@inbound.aiesec.org")</f>
        <v>p_640322c4e966a2f6d1748223dc99d9d395ea15ff@inbound.aiesec.org</v>
      </c>
      <c r="F1427" s="43">
        <f>IFERROR(__xludf.DUMMYFUNCTION("""COMPUTED_VALUE"""),5.4797453E7)</f>
        <v>54797453</v>
      </c>
      <c r="G1427" s="43" t="str">
        <f>IFERROR(__xludf.DUMMYFUNCTION("""COMPUTED_VALUE"""),"Tunisia")</f>
        <v>Tunisia</v>
      </c>
      <c r="H1427" s="43" t="str">
        <f>IFERROR(__xludf.DUMMYFUNCTION("""COMPUTED_VALUE"""),"Carthage")</f>
        <v>Carthage</v>
      </c>
      <c r="I1427" s="43" t="str">
        <f>IFERROR(__xludf.DUMMYFUNCTION("""COMPUTED_VALUE"""),"Turkey")</f>
        <v>Turkey</v>
      </c>
      <c r="J1427" s="43" t="str">
        <f>IFERROR(__xludf.DUMMYFUNCTION("""COMPUTED_VALUE"""),"KOCAELI")</f>
        <v>KOCAELI</v>
      </c>
      <c r="K1427" s="44" t="str">
        <f>IFERROR(__xludf.DUMMYFUNCTION("""COMPUTED_VALUE"""),"https://expa.aiesec.org/opportunities/1289505")</f>
        <v>https://expa.aiesec.org/opportunities/1289505</v>
      </c>
      <c r="L1427" s="43" t="str">
        <f>IFERROR(__xludf.DUMMYFUNCTION("""COMPUTED_VALUE"""),"GV")</f>
        <v>GV</v>
      </c>
      <c r="M1427" s="43" t="str">
        <f>IFERROR(__xludf.DUMMYFUNCTION("""COMPUTED_VALUE"""),"short")</f>
        <v>short</v>
      </c>
      <c r="N1427" s="45">
        <f>IFERROR(__xludf.DUMMYFUNCTION("""COMPUTED_VALUE"""),45211.0)</f>
        <v>45211</v>
      </c>
      <c r="O1427" s="45">
        <f>IFERROR(__xludf.DUMMYFUNCTION("""COMPUTED_VALUE"""),45481.0)</f>
        <v>45481</v>
      </c>
      <c r="P1427" s="45">
        <f>IFERROR(__xludf.DUMMYFUNCTION("""COMPUTED_VALUE"""),45523.0)</f>
        <v>45523</v>
      </c>
      <c r="Q1427" s="45"/>
      <c r="R1427" s="45"/>
      <c r="S1427" s="43"/>
      <c r="T1427" s="43"/>
      <c r="U1427" s="43" t="str">
        <f>IFERROR(__xludf.DUMMYFUNCTION("""COMPUTED_VALUE"""),"Youth 4 Impact")</f>
        <v>Youth 4 Impact</v>
      </c>
      <c r="V1427" s="43" t="str">
        <f>IFERROR(__xludf.DUMMYFUNCTION("""COMPUTED_VALUE"""),"INSAT")</f>
        <v>INSAT</v>
      </c>
      <c r="W1427" s="43" t="str">
        <f>IFERROR(__xludf.DUMMYFUNCTION("""COMPUTED_VALUE"""),"2023-10-11T13:06:35Z")</f>
        <v>2023-10-11T13:06:35Z</v>
      </c>
      <c r="X1427" s="43"/>
      <c r="Y1427" s="43"/>
      <c r="Z1427" s="43"/>
    </row>
    <row r="1428" hidden="1">
      <c r="A1428" s="43" t="str">
        <f>IFERROR(__xludf.DUMMYFUNCTION("""COMPUTED_VALUE"""),"5345746_1280872")</f>
        <v>5345746_1280872</v>
      </c>
      <c r="B1428" s="43" t="str">
        <f>IFERROR(__xludf.DUMMYFUNCTION("""COMPUTED_VALUE"""),"Mariya Yakuba")</f>
        <v>Mariya Yakuba</v>
      </c>
      <c r="C1428" s="43" t="str">
        <f>IFERROR(__xludf.DUMMYFUNCTION("""COMPUTED_VALUE"""),"approved")</f>
        <v>approved</v>
      </c>
      <c r="D1428" s="43" t="str">
        <f>IFERROR(__xludf.DUMMYFUNCTION("""COMPUTED_VALUE"""),"No")</f>
        <v>No</v>
      </c>
      <c r="E1428" s="43" t="str">
        <f>IFERROR(__xludf.DUMMYFUNCTION("""COMPUTED_VALUE"""),"p_829254d79fdd0b95f2cad80524267f817efefdd4@inbound.aiesec.org")</f>
        <v>p_829254d79fdd0b95f2cad80524267f817efefdd4@inbound.aiesec.org</v>
      </c>
      <c r="F1428" s="43"/>
      <c r="G1428" s="43" t="str">
        <f>IFERROR(__xludf.DUMMYFUNCTION("""COMPUTED_VALUE"""),"Ukraine")</f>
        <v>Ukraine</v>
      </c>
      <c r="H1428" s="43" t="str">
        <f>IFERROR(__xludf.DUMMYFUNCTION("""COMPUTED_VALUE"""),"KHARKIV")</f>
        <v>KHARKIV</v>
      </c>
      <c r="I1428" s="43" t="str">
        <f>IFERROR(__xludf.DUMMYFUNCTION("""COMPUTED_VALUE"""),"Turkey")</f>
        <v>Turkey</v>
      </c>
      <c r="J1428" s="43" t="str">
        <f>IFERROR(__xludf.DUMMYFUNCTION("""COMPUTED_VALUE"""),"KOCAELI")</f>
        <v>KOCAELI</v>
      </c>
      <c r="K1428" s="44" t="str">
        <f>IFERROR(__xludf.DUMMYFUNCTION("""COMPUTED_VALUE"""),"https://expa.aiesec.org/opportunities/1280872")</f>
        <v>https://expa.aiesec.org/opportunities/1280872</v>
      </c>
      <c r="L1428" s="43" t="str">
        <f>IFERROR(__xludf.DUMMYFUNCTION("""COMPUTED_VALUE"""),"GV")</f>
        <v>GV</v>
      </c>
      <c r="M1428" s="43" t="str">
        <f>IFERROR(__xludf.DUMMYFUNCTION("""COMPUTED_VALUE"""),"short")</f>
        <v>short</v>
      </c>
      <c r="N1428" s="45">
        <f>IFERROR(__xludf.DUMMYFUNCTION("""COMPUTED_VALUE"""),45211.0)</f>
        <v>45211</v>
      </c>
      <c r="O1428" s="45">
        <f>IFERROR(__xludf.DUMMYFUNCTION("""COMPUTED_VALUE"""),45418.0)</f>
        <v>45418</v>
      </c>
      <c r="P1428" s="45">
        <f>IFERROR(__xludf.DUMMYFUNCTION("""COMPUTED_VALUE"""),45460.0)</f>
        <v>45460</v>
      </c>
      <c r="Q1428" s="45"/>
      <c r="R1428" s="45"/>
      <c r="S1428" s="43"/>
      <c r="T1428" s="43"/>
      <c r="U1428" s="43" t="str">
        <f>IFERROR(__xludf.DUMMYFUNCTION("""COMPUTED_VALUE"""),"Skill Up!")</f>
        <v>Skill Up!</v>
      </c>
      <c r="V1428" s="43" t="str">
        <f>IFERROR(__xludf.DUMMYFUNCTION("""COMPUTED_VALUE"""),"-")</f>
        <v>-</v>
      </c>
      <c r="W1428" s="43" t="str">
        <f>IFERROR(__xludf.DUMMYFUNCTION("""COMPUTED_VALUE"""),"2023-10-08T13:34:24Z")</f>
        <v>2023-10-08T13:34:24Z</v>
      </c>
      <c r="X1428" s="43"/>
      <c r="Y1428" s="43"/>
      <c r="Z1428" s="43"/>
    </row>
    <row r="1429" hidden="1">
      <c r="A1429" s="43" t="str">
        <f>IFERROR(__xludf.DUMMYFUNCTION("""COMPUTED_VALUE"""),"5348510_1289505")</f>
        <v>5348510_1289505</v>
      </c>
      <c r="B1429" s="43" t="str">
        <f>IFERROR(__xludf.DUMMYFUNCTION("""COMPUTED_VALUE"""),"souha jlassi")</f>
        <v>souha jlassi</v>
      </c>
      <c r="C1429" s="43" t="str">
        <f>IFERROR(__xludf.DUMMYFUNCTION("""COMPUTED_VALUE"""),"approved")</f>
        <v>approved</v>
      </c>
      <c r="D1429" s="43" t="str">
        <f>IFERROR(__xludf.DUMMYFUNCTION("""COMPUTED_VALUE"""),"No")</f>
        <v>No</v>
      </c>
      <c r="E1429" s="43" t="str">
        <f>IFERROR(__xludf.DUMMYFUNCTION("""COMPUTED_VALUE"""),"p_8f4a333d6ca8199eef8996cda6d6b0b1a521c223@inbound.aiesec.org")</f>
        <v>p_8f4a333d6ca8199eef8996cda6d6b0b1a521c223@inbound.aiesec.org</v>
      </c>
      <c r="F1429" s="43">
        <f>IFERROR(__xludf.DUMMYFUNCTION("""COMPUTED_VALUE"""),2.6856828E7)</f>
        <v>26856828</v>
      </c>
      <c r="G1429" s="43" t="str">
        <f>IFERROR(__xludf.DUMMYFUNCTION("""COMPUTED_VALUE"""),"Tunisia")</f>
        <v>Tunisia</v>
      </c>
      <c r="H1429" s="43" t="str">
        <f>IFERROR(__xludf.DUMMYFUNCTION("""COMPUTED_VALUE"""),"Carthage")</f>
        <v>Carthage</v>
      </c>
      <c r="I1429" s="43" t="str">
        <f>IFERROR(__xludf.DUMMYFUNCTION("""COMPUTED_VALUE"""),"Turkey")</f>
        <v>Turkey</v>
      </c>
      <c r="J1429" s="43" t="str">
        <f>IFERROR(__xludf.DUMMYFUNCTION("""COMPUTED_VALUE"""),"KOCAELI")</f>
        <v>KOCAELI</v>
      </c>
      <c r="K1429" s="44" t="str">
        <f>IFERROR(__xludf.DUMMYFUNCTION("""COMPUTED_VALUE"""),"https://expa.aiesec.org/opportunities/1289505")</f>
        <v>https://expa.aiesec.org/opportunities/1289505</v>
      </c>
      <c r="L1429" s="43" t="str">
        <f>IFERROR(__xludf.DUMMYFUNCTION("""COMPUTED_VALUE"""),"GV")</f>
        <v>GV</v>
      </c>
      <c r="M1429" s="43" t="str">
        <f>IFERROR(__xludf.DUMMYFUNCTION("""COMPUTED_VALUE"""),"short")</f>
        <v>short</v>
      </c>
      <c r="N1429" s="45">
        <f>IFERROR(__xludf.DUMMYFUNCTION("""COMPUTED_VALUE"""),45212.0)</f>
        <v>45212</v>
      </c>
      <c r="O1429" s="45">
        <f>IFERROR(__xludf.DUMMYFUNCTION("""COMPUTED_VALUE"""),45481.0)</f>
        <v>45481</v>
      </c>
      <c r="P1429" s="45">
        <f>IFERROR(__xludf.DUMMYFUNCTION("""COMPUTED_VALUE"""),45523.0)</f>
        <v>45523</v>
      </c>
      <c r="Q1429" s="45"/>
      <c r="R1429" s="45"/>
      <c r="S1429" s="43"/>
      <c r="T1429" s="43"/>
      <c r="U1429" s="43" t="str">
        <f>IFERROR(__xludf.DUMMYFUNCTION("""COMPUTED_VALUE"""),"Youth 4 Impact")</f>
        <v>Youth 4 Impact</v>
      </c>
      <c r="V1429" s="43" t="str">
        <f>IFERROR(__xludf.DUMMYFUNCTION("""COMPUTED_VALUE"""),"INSAT")</f>
        <v>INSAT</v>
      </c>
      <c r="W1429" s="43" t="str">
        <f>IFERROR(__xludf.DUMMYFUNCTION("""COMPUTED_VALUE"""),"2023-10-10T21:57:28Z")</f>
        <v>2023-10-10T21:57:28Z</v>
      </c>
      <c r="X1429" s="43"/>
      <c r="Y1429" s="43"/>
      <c r="Z1429" s="43"/>
    </row>
    <row r="1430" hidden="1">
      <c r="A1430" s="43" t="str">
        <f>IFERROR(__xludf.DUMMYFUNCTION("""COMPUTED_VALUE"""),"5349432_1299474")</f>
        <v>5349432_1299474</v>
      </c>
      <c r="B1430" s="43" t="str">
        <f>IFERROR(__xludf.DUMMYFUNCTION("""COMPUTED_VALUE"""),"Eya Aouadi")</f>
        <v>Eya Aouadi</v>
      </c>
      <c r="C1430" s="43" t="str">
        <f>IFERROR(__xludf.DUMMYFUNCTION("""COMPUTED_VALUE"""),"approved")</f>
        <v>approved</v>
      </c>
      <c r="D1430" s="43" t="str">
        <f>IFERROR(__xludf.DUMMYFUNCTION("""COMPUTED_VALUE"""),"No")</f>
        <v>No</v>
      </c>
      <c r="E1430" s="43" t="str">
        <f>IFERROR(__xludf.DUMMYFUNCTION("""COMPUTED_VALUE"""),"p_ec2a6d58bd473a3a5ea15f623c0538cfd03e25b3@inbound.aiesec.org")</f>
        <v>p_ec2a6d58bd473a3a5ea15f623c0538cfd03e25b3@inbound.aiesec.org</v>
      </c>
      <c r="F1430" s="43">
        <f>IFERROR(__xludf.DUMMYFUNCTION("""COMPUTED_VALUE"""),9.296896E7)</f>
        <v>92968960</v>
      </c>
      <c r="G1430" s="43" t="str">
        <f>IFERROR(__xludf.DUMMYFUNCTION("""COMPUTED_VALUE"""),"Tunisia")</f>
        <v>Tunisia</v>
      </c>
      <c r="H1430" s="43" t="str">
        <f>IFERROR(__xludf.DUMMYFUNCTION("""COMPUTED_VALUE"""),"UNIVERSITY")</f>
        <v>UNIVERSITY</v>
      </c>
      <c r="I1430" s="43" t="str">
        <f>IFERROR(__xludf.DUMMYFUNCTION("""COMPUTED_VALUE"""),"Turkey")</f>
        <v>Turkey</v>
      </c>
      <c r="J1430" s="43" t="str">
        <f>IFERROR(__xludf.DUMMYFUNCTION("""COMPUTED_VALUE"""),"ANKARA")</f>
        <v>ANKARA</v>
      </c>
      <c r="K1430" s="44" t="str">
        <f>IFERROR(__xludf.DUMMYFUNCTION("""COMPUTED_VALUE"""),"https://expa.aiesec.org/opportunities/1299474")</f>
        <v>https://expa.aiesec.org/opportunities/1299474</v>
      </c>
      <c r="L1430" s="43" t="str">
        <f>IFERROR(__xludf.DUMMYFUNCTION("""COMPUTED_VALUE"""),"GV")</f>
        <v>GV</v>
      </c>
      <c r="M1430" s="43" t="str">
        <f>IFERROR(__xludf.DUMMYFUNCTION("""COMPUTED_VALUE"""),"short")</f>
        <v>short</v>
      </c>
      <c r="N1430" s="45">
        <f>IFERROR(__xludf.DUMMYFUNCTION("""COMPUTED_VALUE"""),45212.0)</f>
        <v>45212</v>
      </c>
      <c r="O1430" s="45">
        <f>IFERROR(__xludf.DUMMYFUNCTION("""COMPUTED_VALUE"""),45453.0)</f>
        <v>45453</v>
      </c>
      <c r="P1430" s="45">
        <f>IFERROR(__xludf.DUMMYFUNCTION("""COMPUTED_VALUE"""),45495.0)</f>
        <v>45495</v>
      </c>
      <c r="Q1430" s="45"/>
      <c r="R1430" s="45"/>
      <c r="S1430" s="43"/>
      <c r="T1430" s="43"/>
      <c r="U1430" s="43" t="str">
        <f>IFERROR(__xludf.DUMMYFUNCTION("""COMPUTED_VALUE"""),"Global Classroom")</f>
        <v>Global Classroom</v>
      </c>
      <c r="V1430" s="43" t="str">
        <f>IFERROR(__xludf.DUMMYFUNCTION("""COMPUTED_VALUE"""),"FDSPT")</f>
        <v>FDSPT</v>
      </c>
      <c r="W1430" s="43" t="str">
        <f>IFERROR(__xludf.DUMMYFUNCTION("""COMPUTED_VALUE"""),"2023-10-11T15:15:29Z")</f>
        <v>2023-10-11T15:15:29Z</v>
      </c>
      <c r="X1430" s="43"/>
      <c r="Y1430" s="43"/>
      <c r="Z1430" s="43"/>
    </row>
    <row r="1431" hidden="1">
      <c r="A1431" s="43" t="str">
        <f>IFERROR(__xludf.DUMMYFUNCTION("""COMPUTED_VALUE"""),"5350689_1289505")</f>
        <v>5350689_1289505</v>
      </c>
      <c r="B1431" s="43" t="str">
        <f>IFERROR(__xludf.DUMMYFUNCTION("""COMPUTED_VALUE"""),"Rawen Saouassi")</f>
        <v>Rawen Saouassi</v>
      </c>
      <c r="C1431" s="43" t="str">
        <f>IFERROR(__xludf.DUMMYFUNCTION("""COMPUTED_VALUE"""),"approved")</f>
        <v>approved</v>
      </c>
      <c r="D1431" s="43" t="str">
        <f>IFERROR(__xludf.DUMMYFUNCTION("""COMPUTED_VALUE"""),"No")</f>
        <v>No</v>
      </c>
      <c r="E1431" s="43" t="str">
        <f>IFERROR(__xludf.DUMMYFUNCTION("""COMPUTED_VALUE"""),"p_51dc37c62f646f73ac25950025ea66aa6b7cd156@inbound.aiesec.org")</f>
        <v>p_51dc37c62f646f73ac25950025ea66aa6b7cd156@inbound.aiesec.org</v>
      </c>
      <c r="F1431" s="43">
        <f>IFERROR(__xludf.DUMMYFUNCTION("""COMPUTED_VALUE"""),9.4739959E7)</f>
        <v>94739959</v>
      </c>
      <c r="G1431" s="43" t="str">
        <f>IFERROR(__xludf.DUMMYFUNCTION("""COMPUTED_VALUE"""),"Tunisia")</f>
        <v>Tunisia</v>
      </c>
      <c r="H1431" s="43" t="str">
        <f>IFERROR(__xludf.DUMMYFUNCTION("""COMPUTED_VALUE"""),"Carthage")</f>
        <v>Carthage</v>
      </c>
      <c r="I1431" s="43" t="str">
        <f>IFERROR(__xludf.DUMMYFUNCTION("""COMPUTED_VALUE"""),"Turkey")</f>
        <v>Turkey</v>
      </c>
      <c r="J1431" s="43" t="str">
        <f>IFERROR(__xludf.DUMMYFUNCTION("""COMPUTED_VALUE"""),"KOCAELI")</f>
        <v>KOCAELI</v>
      </c>
      <c r="K1431" s="44" t="str">
        <f>IFERROR(__xludf.DUMMYFUNCTION("""COMPUTED_VALUE"""),"https://expa.aiesec.org/opportunities/1289505")</f>
        <v>https://expa.aiesec.org/opportunities/1289505</v>
      </c>
      <c r="L1431" s="43" t="str">
        <f>IFERROR(__xludf.DUMMYFUNCTION("""COMPUTED_VALUE"""),"GV")</f>
        <v>GV</v>
      </c>
      <c r="M1431" s="43" t="str">
        <f>IFERROR(__xludf.DUMMYFUNCTION("""COMPUTED_VALUE"""),"short")</f>
        <v>short</v>
      </c>
      <c r="N1431" s="45">
        <f>IFERROR(__xludf.DUMMYFUNCTION("""COMPUTED_VALUE"""),45212.0)</f>
        <v>45212</v>
      </c>
      <c r="O1431" s="45">
        <f>IFERROR(__xludf.DUMMYFUNCTION("""COMPUTED_VALUE"""),45481.0)</f>
        <v>45481</v>
      </c>
      <c r="P1431" s="45">
        <f>IFERROR(__xludf.DUMMYFUNCTION("""COMPUTED_VALUE"""),45523.0)</f>
        <v>45523</v>
      </c>
      <c r="Q1431" s="45"/>
      <c r="R1431" s="45"/>
      <c r="S1431" s="43"/>
      <c r="T1431" s="43"/>
      <c r="U1431" s="43" t="str">
        <f>IFERROR(__xludf.DUMMYFUNCTION("""COMPUTED_VALUE"""),"Youth 4 Impact")</f>
        <v>Youth 4 Impact</v>
      </c>
      <c r="V1431" s="43" t="str">
        <f>IFERROR(__xludf.DUMMYFUNCTION("""COMPUTED_VALUE"""),"INSAT")</f>
        <v>INSAT</v>
      </c>
      <c r="W1431" s="43" t="str">
        <f>IFERROR(__xludf.DUMMYFUNCTION("""COMPUTED_VALUE"""),"2023-10-12T20:02:40Z")</f>
        <v>2023-10-12T20:02:40Z</v>
      </c>
      <c r="X1431" s="43"/>
      <c r="Y1431" s="43"/>
      <c r="Z1431" s="43"/>
    </row>
    <row r="1432" hidden="1">
      <c r="A1432" s="43" t="str">
        <f>IFERROR(__xludf.DUMMYFUNCTION("""COMPUTED_VALUE"""),"5337797_1300056")</f>
        <v>5337797_1300056</v>
      </c>
      <c r="B1432" s="43" t="str">
        <f>IFERROR(__xludf.DUMMYFUNCTION("""COMPUTED_VALUE"""),"Maria Vales")</f>
        <v>Maria Vales</v>
      </c>
      <c r="C1432" s="43" t="str">
        <f>IFERROR(__xludf.DUMMYFUNCTION("""COMPUTED_VALUE"""),"approved")</f>
        <v>approved</v>
      </c>
      <c r="D1432" s="43" t="str">
        <f>IFERROR(__xludf.DUMMYFUNCTION("""COMPUTED_VALUE"""),"No")</f>
        <v>No</v>
      </c>
      <c r="E1432" s="43" t="str">
        <f>IFERROR(__xludf.DUMMYFUNCTION("""COMPUTED_VALUE"""),"p_c3c4b7a324601b15d82baa8bfcb7539576837c39@inbound.aiesec.org")</f>
        <v>p_c3c4b7a324601b15d82baa8bfcb7539576837c39@inbound.aiesec.org</v>
      </c>
      <c r="F1432" s="43">
        <f>IFERROR(__xludf.DUMMYFUNCTION("""COMPUTED_VALUE"""),9.396763E8)</f>
        <v>939676300</v>
      </c>
      <c r="G1432" s="43" t="str">
        <f>IFERROR(__xludf.DUMMYFUNCTION("""COMPUTED_VALUE"""),"Portugal")</f>
        <v>Portugal</v>
      </c>
      <c r="H1432" s="43" t="str">
        <f>IFERROR(__xludf.DUMMYFUNCTION("""COMPUTED_VALUE"""),"UMINHO")</f>
        <v>UMINHO</v>
      </c>
      <c r="I1432" s="43" t="str">
        <f>IFERROR(__xludf.DUMMYFUNCTION("""COMPUTED_VALUE"""),"Turkey")</f>
        <v>Turkey</v>
      </c>
      <c r="J1432" s="43" t="str">
        <f>IFERROR(__xludf.DUMMYFUNCTION("""COMPUTED_VALUE"""),"ANKARA")</f>
        <v>ANKARA</v>
      </c>
      <c r="K1432" s="44" t="str">
        <f>IFERROR(__xludf.DUMMYFUNCTION("""COMPUTED_VALUE"""),"https://expa.aiesec.org/opportunities/1300056")</f>
        <v>https://expa.aiesec.org/opportunities/1300056</v>
      </c>
      <c r="L1432" s="43" t="str">
        <f>IFERROR(__xludf.DUMMYFUNCTION("""COMPUTED_VALUE"""),"GV")</f>
        <v>GV</v>
      </c>
      <c r="M1432" s="43" t="str">
        <f>IFERROR(__xludf.DUMMYFUNCTION("""COMPUTED_VALUE"""),"short")</f>
        <v>short</v>
      </c>
      <c r="N1432" s="45">
        <f>IFERROR(__xludf.DUMMYFUNCTION("""COMPUTED_VALUE"""),45212.0)</f>
        <v>45212</v>
      </c>
      <c r="O1432" s="45">
        <f>IFERROR(__xludf.DUMMYFUNCTION("""COMPUTED_VALUE"""),45509.0)</f>
        <v>45509</v>
      </c>
      <c r="P1432" s="45">
        <f>IFERROR(__xludf.DUMMYFUNCTION("""COMPUTED_VALUE"""),45551.0)</f>
        <v>45551</v>
      </c>
      <c r="Q1432" s="45"/>
      <c r="R1432" s="45"/>
      <c r="S1432" s="43"/>
      <c r="T1432" s="43"/>
      <c r="U1432" s="43" t="str">
        <f>IFERROR(__xludf.DUMMYFUNCTION("""COMPUTED_VALUE"""),"Fingerprint")</f>
        <v>Fingerprint</v>
      </c>
      <c r="V1432" s="43" t="str">
        <f>IFERROR(__xludf.DUMMYFUNCTION("""COMPUTED_VALUE"""),"Universidade do Minho - Escola de Economia e Gestão (EEGUM)")</f>
        <v>Universidade do Minho - Escola de Economia e Gestão (EEGUM)</v>
      </c>
      <c r="W1432" s="43" t="str">
        <f>IFERROR(__xludf.DUMMYFUNCTION("""COMPUTED_VALUE"""),"2023-09-29T19:52:56Z")</f>
        <v>2023-09-29T19:52:56Z</v>
      </c>
      <c r="X1432" s="43"/>
      <c r="Y1432" s="43"/>
      <c r="Z1432" s="43"/>
    </row>
    <row r="1433" hidden="1">
      <c r="A1433" s="43" t="str">
        <f>IFERROR(__xludf.DUMMYFUNCTION("""COMPUTED_VALUE"""),"5348885_1299474")</f>
        <v>5348885_1299474</v>
      </c>
      <c r="B1433" s="43" t="str">
        <f>IFERROR(__xludf.DUMMYFUNCTION("""COMPUTED_VALUE"""),"Jebli Roudayna")</f>
        <v>Jebli Roudayna</v>
      </c>
      <c r="C1433" s="43" t="str">
        <f>IFERROR(__xludf.DUMMYFUNCTION("""COMPUTED_VALUE"""),"approved")</f>
        <v>approved</v>
      </c>
      <c r="D1433" s="43" t="str">
        <f>IFERROR(__xludf.DUMMYFUNCTION("""COMPUTED_VALUE"""),"No")</f>
        <v>No</v>
      </c>
      <c r="E1433" s="43" t="str">
        <f>IFERROR(__xludf.DUMMYFUNCTION("""COMPUTED_VALUE"""),"p_157c0bf09d58dc10e16a22a2c4a2c4b6f79d5ddb@inbound.aiesec.org")</f>
        <v>p_157c0bf09d58dc10e16a22a2c4a2c4b6f79d5ddb@inbound.aiesec.org</v>
      </c>
      <c r="F1433" s="43">
        <f>IFERROR(__xludf.DUMMYFUNCTION("""COMPUTED_VALUE"""),2.9721728E7)</f>
        <v>29721728</v>
      </c>
      <c r="G1433" s="43" t="str">
        <f>IFERROR(__xludf.DUMMYFUNCTION("""COMPUTED_VALUE"""),"Tunisia")</f>
        <v>Tunisia</v>
      </c>
      <c r="H1433" s="43" t="str">
        <f>IFERROR(__xludf.DUMMYFUNCTION("""COMPUTED_VALUE"""),"UNIVERSITY")</f>
        <v>UNIVERSITY</v>
      </c>
      <c r="I1433" s="43" t="str">
        <f>IFERROR(__xludf.DUMMYFUNCTION("""COMPUTED_VALUE"""),"Turkey")</f>
        <v>Turkey</v>
      </c>
      <c r="J1433" s="43" t="str">
        <f>IFERROR(__xludf.DUMMYFUNCTION("""COMPUTED_VALUE"""),"ANKARA")</f>
        <v>ANKARA</v>
      </c>
      <c r="K1433" s="44" t="str">
        <f>IFERROR(__xludf.DUMMYFUNCTION("""COMPUTED_VALUE"""),"https://expa.aiesec.org/opportunities/1299474")</f>
        <v>https://expa.aiesec.org/opportunities/1299474</v>
      </c>
      <c r="L1433" s="43" t="str">
        <f>IFERROR(__xludf.DUMMYFUNCTION("""COMPUTED_VALUE"""),"GV")</f>
        <v>GV</v>
      </c>
      <c r="M1433" s="43" t="str">
        <f>IFERROR(__xludf.DUMMYFUNCTION("""COMPUTED_VALUE"""),"short")</f>
        <v>short</v>
      </c>
      <c r="N1433" s="45">
        <f>IFERROR(__xludf.DUMMYFUNCTION("""COMPUTED_VALUE"""),45212.0)</f>
        <v>45212</v>
      </c>
      <c r="O1433" s="45">
        <f>IFERROR(__xludf.DUMMYFUNCTION("""COMPUTED_VALUE"""),45453.0)</f>
        <v>45453</v>
      </c>
      <c r="P1433" s="45">
        <f>IFERROR(__xludf.DUMMYFUNCTION("""COMPUTED_VALUE"""),45495.0)</f>
        <v>45495</v>
      </c>
      <c r="Q1433" s="45"/>
      <c r="R1433" s="45"/>
      <c r="S1433" s="43"/>
      <c r="T1433" s="43"/>
      <c r="U1433" s="43" t="str">
        <f>IFERROR(__xludf.DUMMYFUNCTION("""COMPUTED_VALUE"""),"Global Classroom")</f>
        <v>Global Classroom</v>
      </c>
      <c r="V1433" s="43" t="str">
        <f>IFERROR(__xludf.DUMMYFUNCTION("""COMPUTED_VALUE"""),"FDSPT")</f>
        <v>FDSPT</v>
      </c>
      <c r="W1433" s="43" t="str">
        <f>IFERROR(__xludf.DUMMYFUNCTION("""COMPUTED_VALUE"""),"2023-10-11T10:25:36Z")</f>
        <v>2023-10-11T10:25:36Z</v>
      </c>
      <c r="X1433" s="43"/>
      <c r="Y1433" s="43"/>
      <c r="Z1433" s="43"/>
    </row>
    <row r="1434" hidden="1">
      <c r="A1434" s="43" t="str">
        <f>IFERROR(__xludf.DUMMYFUNCTION("""COMPUTED_VALUE"""),"5350709_1289505")</f>
        <v>5350709_1289505</v>
      </c>
      <c r="B1434" s="43" t="str">
        <f>IFERROR(__xludf.DUMMYFUNCTION("""COMPUTED_VALUE"""),"Houssem Chourou")</f>
        <v>Houssem Chourou</v>
      </c>
      <c r="C1434" s="43" t="str">
        <f>IFERROR(__xludf.DUMMYFUNCTION("""COMPUTED_VALUE"""),"approved")</f>
        <v>approved</v>
      </c>
      <c r="D1434" s="43" t="str">
        <f>IFERROR(__xludf.DUMMYFUNCTION("""COMPUTED_VALUE"""),"No")</f>
        <v>No</v>
      </c>
      <c r="E1434" s="43" t="str">
        <f>IFERROR(__xludf.DUMMYFUNCTION("""COMPUTED_VALUE"""),"p_8f674580ecd57bb0c00cfdaf3818af87b52c2012@inbound.aiesec.org")</f>
        <v>p_8f674580ecd57bb0c00cfdaf3818af87b52c2012@inbound.aiesec.org</v>
      </c>
      <c r="F1434" s="43">
        <f>IFERROR(__xludf.DUMMYFUNCTION("""COMPUTED_VALUE"""),9.2824054E7)</f>
        <v>92824054</v>
      </c>
      <c r="G1434" s="43" t="str">
        <f>IFERROR(__xludf.DUMMYFUNCTION("""COMPUTED_VALUE"""),"Tunisia")</f>
        <v>Tunisia</v>
      </c>
      <c r="H1434" s="43" t="str">
        <f>IFERROR(__xludf.DUMMYFUNCTION("""COMPUTED_VALUE"""),"Carthage")</f>
        <v>Carthage</v>
      </c>
      <c r="I1434" s="43" t="str">
        <f>IFERROR(__xludf.DUMMYFUNCTION("""COMPUTED_VALUE"""),"Turkey")</f>
        <v>Turkey</v>
      </c>
      <c r="J1434" s="43" t="str">
        <f>IFERROR(__xludf.DUMMYFUNCTION("""COMPUTED_VALUE"""),"KOCAELI")</f>
        <v>KOCAELI</v>
      </c>
      <c r="K1434" s="44" t="str">
        <f>IFERROR(__xludf.DUMMYFUNCTION("""COMPUTED_VALUE"""),"https://expa.aiesec.org/opportunities/1289505")</f>
        <v>https://expa.aiesec.org/opportunities/1289505</v>
      </c>
      <c r="L1434" s="43" t="str">
        <f>IFERROR(__xludf.DUMMYFUNCTION("""COMPUTED_VALUE"""),"GV")</f>
        <v>GV</v>
      </c>
      <c r="M1434" s="43" t="str">
        <f>IFERROR(__xludf.DUMMYFUNCTION("""COMPUTED_VALUE"""),"short")</f>
        <v>short</v>
      </c>
      <c r="N1434" s="45">
        <f>IFERROR(__xludf.DUMMYFUNCTION("""COMPUTED_VALUE"""),45213.0)</f>
        <v>45213</v>
      </c>
      <c r="O1434" s="45">
        <f>IFERROR(__xludf.DUMMYFUNCTION("""COMPUTED_VALUE"""),45481.0)</f>
        <v>45481</v>
      </c>
      <c r="P1434" s="45">
        <f>IFERROR(__xludf.DUMMYFUNCTION("""COMPUTED_VALUE"""),45523.0)</f>
        <v>45523</v>
      </c>
      <c r="Q1434" s="45"/>
      <c r="R1434" s="45"/>
      <c r="S1434" s="43"/>
      <c r="T1434" s="43"/>
      <c r="U1434" s="43" t="str">
        <f>IFERROR(__xludf.DUMMYFUNCTION("""COMPUTED_VALUE"""),"Youth 4 Impact")</f>
        <v>Youth 4 Impact</v>
      </c>
      <c r="V1434" s="43" t="str">
        <f>IFERROR(__xludf.DUMMYFUNCTION("""COMPUTED_VALUE"""),"INSAT")</f>
        <v>INSAT</v>
      </c>
      <c r="W1434" s="43" t="str">
        <f>IFERROR(__xludf.DUMMYFUNCTION("""COMPUTED_VALUE"""),"2023-10-12T20:52:36Z")</f>
        <v>2023-10-12T20:52:36Z</v>
      </c>
      <c r="X1434" s="43"/>
      <c r="Y1434" s="43"/>
      <c r="Z1434" s="43"/>
    </row>
    <row r="1435" hidden="1">
      <c r="A1435" s="43" t="str">
        <f>IFERROR(__xludf.DUMMYFUNCTION("""COMPUTED_VALUE"""),"4745505_1299041")</f>
        <v>4745505_1299041</v>
      </c>
      <c r="B1435" s="43" t="str">
        <f>IFERROR(__xludf.DUMMYFUNCTION("""COMPUTED_VALUE"""),"Arianna Maschio")</f>
        <v>Arianna Maschio</v>
      </c>
      <c r="C1435" s="43" t="str">
        <f>IFERROR(__xludf.DUMMYFUNCTION("""COMPUTED_VALUE"""),"approved")</f>
        <v>approved</v>
      </c>
      <c r="D1435" s="43" t="str">
        <f>IFERROR(__xludf.DUMMYFUNCTION("""COMPUTED_VALUE"""),"No")</f>
        <v>No</v>
      </c>
      <c r="E1435" s="43" t="str">
        <f>IFERROR(__xludf.DUMMYFUNCTION("""COMPUTED_VALUE"""),"p_5e00cae059427c8216b2c80cf381f08908a9325a@inbound.aiesec.org")</f>
        <v>p_5e00cae059427c8216b2c80cf381f08908a9325a@inbound.aiesec.org</v>
      </c>
      <c r="F1435" s="43"/>
      <c r="G1435" s="43" t="str">
        <f>IFERROR(__xludf.DUMMYFUNCTION("""COMPUTED_VALUE"""),"Italy")</f>
        <v>Italy</v>
      </c>
      <c r="H1435" s="43" t="str">
        <f>IFERROR(__xludf.DUMMYFUNCTION("""COMPUTED_VALUE"""),"Padova")</f>
        <v>Padova</v>
      </c>
      <c r="I1435" s="43" t="str">
        <f>IFERROR(__xludf.DUMMYFUNCTION("""COMPUTED_VALUE"""),"Turkey")</f>
        <v>Turkey</v>
      </c>
      <c r="J1435" s="43" t="str">
        <f>IFERROR(__xludf.DUMMYFUNCTION("""COMPUTED_VALUE"""),"ANTALYA")</f>
        <v>ANTALYA</v>
      </c>
      <c r="K1435" s="44" t="str">
        <f>IFERROR(__xludf.DUMMYFUNCTION("""COMPUTED_VALUE"""),"https://expa.aiesec.org/opportunities/1299041")</f>
        <v>https://expa.aiesec.org/opportunities/1299041</v>
      </c>
      <c r="L1435" s="43" t="str">
        <f>IFERROR(__xludf.DUMMYFUNCTION("""COMPUTED_VALUE"""),"GV")</f>
        <v>GV</v>
      </c>
      <c r="M1435" s="43" t="str">
        <f>IFERROR(__xludf.DUMMYFUNCTION("""COMPUTED_VALUE"""),"short")</f>
        <v>short</v>
      </c>
      <c r="N1435" s="45">
        <f>IFERROR(__xludf.DUMMYFUNCTION("""COMPUTED_VALUE"""),45214.0)</f>
        <v>45214</v>
      </c>
      <c r="O1435" s="45">
        <f>IFERROR(__xludf.DUMMYFUNCTION("""COMPUTED_VALUE"""),45362.0)</f>
        <v>45362</v>
      </c>
      <c r="P1435" s="45">
        <f>IFERROR(__xludf.DUMMYFUNCTION("""COMPUTED_VALUE"""),45404.0)</f>
        <v>45404</v>
      </c>
      <c r="Q1435" s="45"/>
      <c r="R1435" s="45"/>
      <c r="S1435" s="43"/>
      <c r="T1435" s="43"/>
      <c r="U1435" s="43" t="str">
        <f>IFERROR(__xludf.DUMMYFUNCTION("""COMPUTED_VALUE"""),"Fingerprint")</f>
        <v>Fingerprint</v>
      </c>
      <c r="V1435" s="43" t="str">
        <f>IFERROR(__xludf.DUMMYFUNCTION("""COMPUTED_VALUE"""),"-")</f>
        <v>-</v>
      </c>
      <c r="W1435" s="43" t="str">
        <f>IFERROR(__xludf.DUMMYFUNCTION("""COMPUTED_VALUE"""),"2021-09-22T19:05:31Z")</f>
        <v>2021-09-22T19:05:31Z</v>
      </c>
      <c r="X1435" s="43"/>
      <c r="Y1435" s="43"/>
      <c r="Z1435" s="43"/>
    </row>
    <row r="1436" hidden="1">
      <c r="A1436" s="43" t="str">
        <f>IFERROR(__xludf.DUMMYFUNCTION("""COMPUTED_VALUE"""),"5349252_1289536")</f>
        <v>5349252_1289536</v>
      </c>
      <c r="B1436" s="43" t="str">
        <f>IFERROR(__xludf.DUMMYFUNCTION("""COMPUTED_VALUE"""),"Maryam Said")</f>
        <v>Maryam Said</v>
      </c>
      <c r="C1436" s="43" t="str">
        <f>IFERROR(__xludf.DUMMYFUNCTION("""COMPUTED_VALUE"""),"approved")</f>
        <v>approved</v>
      </c>
      <c r="D1436" s="43" t="str">
        <f>IFERROR(__xludf.DUMMYFUNCTION("""COMPUTED_VALUE"""),"No")</f>
        <v>No</v>
      </c>
      <c r="E1436" s="43" t="str">
        <f>IFERROR(__xludf.DUMMYFUNCTION("""COMPUTED_VALUE"""),"p_026ff510b7bc15bfca33cf657e5b9d097859b2c7@inbound.aiesec.org")</f>
        <v>p_026ff510b7bc15bfca33cf657e5b9d097859b2c7@inbound.aiesec.org</v>
      </c>
      <c r="F1436" s="43">
        <f>IFERROR(__xludf.DUMMYFUNCTION("""COMPUTED_VALUE"""),3.450560704E9)</f>
        <v>3450560704</v>
      </c>
      <c r="G1436" s="43" t="str">
        <f>IFERROR(__xludf.DUMMYFUNCTION("""COMPUTED_VALUE"""),"Egypt")</f>
        <v>Egypt</v>
      </c>
      <c r="H1436" s="43" t="str">
        <f>IFERROR(__xludf.DUMMYFUNCTION("""COMPUTED_VALUE"""),"Alexandria")</f>
        <v>Alexandria</v>
      </c>
      <c r="I1436" s="43" t="str">
        <f>IFERROR(__xludf.DUMMYFUNCTION("""COMPUTED_VALUE"""),"Turkey")</f>
        <v>Turkey</v>
      </c>
      <c r="J1436" s="43" t="str">
        <f>IFERROR(__xludf.DUMMYFUNCTION("""COMPUTED_VALUE"""),"ISTANBUL")</f>
        <v>ISTANBUL</v>
      </c>
      <c r="K1436" s="44" t="str">
        <f>IFERROR(__xludf.DUMMYFUNCTION("""COMPUTED_VALUE"""),"https://expa.aiesec.org/opportunities/1289536")</f>
        <v>https://expa.aiesec.org/opportunities/1289536</v>
      </c>
      <c r="L1436" s="43" t="str">
        <f>IFERROR(__xludf.DUMMYFUNCTION("""COMPUTED_VALUE"""),"GV")</f>
        <v>GV</v>
      </c>
      <c r="M1436" s="43" t="str">
        <f>IFERROR(__xludf.DUMMYFUNCTION("""COMPUTED_VALUE"""),"short")</f>
        <v>short</v>
      </c>
      <c r="N1436" s="45">
        <f>IFERROR(__xludf.DUMMYFUNCTION("""COMPUTED_VALUE"""),45214.0)</f>
        <v>45214</v>
      </c>
      <c r="O1436" s="45">
        <f>IFERROR(__xludf.DUMMYFUNCTION("""COMPUTED_VALUE"""),45487.0)</f>
        <v>45487</v>
      </c>
      <c r="P1436" s="45">
        <f>IFERROR(__xludf.DUMMYFUNCTION("""COMPUTED_VALUE"""),45529.0)</f>
        <v>45529</v>
      </c>
      <c r="Q1436" s="45"/>
      <c r="R1436" s="45"/>
      <c r="S1436" s="43"/>
      <c r="T1436" s="43"/>
      <c r="U1436" s="43" t="str">
        <f>IFERROR(__xludf.DUMMYFUNCTION("""COMPUTED_VALUE"""),"Global Classroom")</f>
        <v>Global Classroom</v>
      </c>
      <c r="V1436" s="43" t="str">
        <f>IFERROR(__xludf.DUMMYFUNCTION("""COMPUTED_VALUE"""),"Alexandria University")</f>
        <v>Alexandria University</v>
      </c>
      <c r="W1436" s="43" t="str">
        <f>IFERROR(__xludf.DUMMYFUNCTION("""COMPUTED_VALUE"""),"2023-10-11T12:40:15Z")</f>
        <v>2023-10-11T12:40:15Z</v>
      </c>
      <c r="X1436" s="43"/>
      <c r="Y1436" s="43"/>
      <c r="Z1436" s="43"/>
    </row>
    <row r="1437" hidden="1">
      <c r="A1437" s="43" t="str">
        <f>IFERROR(__xludf.DUMMYFUNCTION("""COMPUTED_VALUE"""),"5345856_1286920")</f>
        <v>5345856_1286920</v>
      </c>
      <c r="B1437" s="43" t="str">
        <f>IFERROR(__xludf.DUMMYFUNCTION("""COMPUTED_VALUE"""),"Aysen Mustafayeva")</f>
        <v>Aysen Mustafayeva</v>
      </c>
      <c r="C1437" s="43" t="str">
        <f>IFERROR(__xludf.DUMMYFUNCTION("""COMPUTED_VALUE"""),"approved")</f>
        <v>approved</v>
      </c>
      <c r="D1437" s="43" t="str">
        <f>IFERROR(__xludf.DUMMYFUNCTION("""COMPUTED_VALUE"""),"No")</f>
        <v>No</v>
      </c>
      <c r="E1437" s="43" t="str">
        <f>IFERROR(__xludf.DUMMYFUNCTION("""COMPUTED_VALUE"""),"p_16c068c925166d006daf2a0a6e4628da9ec6c5a9@inbound.aiesec.org")</f>
        <v>p_16c068c925166d006daf2a0a6e4628da9ec6c5a9@inbound.aiesec.org</v>
      </c>
      <c r="F1437" s="43">
        <f>IFERROR(__xludf.DUMMYFUNCTION("""COMPUTED_VALUE"""),5.04517677E8)</f>
        <v>504517677</v>
      </c>
      <c r="G1437" s="43" t="str">
        <f>IFERROR(__xludf.DUMMYFUNCTION("""COMPUTED_VALUE"""),"Azerbaijan")</f>
        <v>Azerbaijan</v>
      </c>
      <c r="H1437" s="43" t="str">
        <f>IFERROR(__xludf.DUMMYFUNCTION("""COMPUTED_VALUE"""),"Baku Qafqaz")</f>
        <v>Baku Qafqaz</v>
      </c>
      <c r="I1437" s="43" t="str">
        <f>IFERROR(__xludf.DUMMYFUNCTION("""COMPUTED_VALUE"""),"Turkey")</f>
        <v>Turkey</v>
      </c>
      <c r="J1437" s="43" t="str">
        <f>IFERROR(__xludf.DUMMYFUNCTION("""COMPUTED_VALUE"""),"DENIZLI")</f>
        <v>DENIZLI</v>
      </c>
      <c r="K1437" s="44" t="str">
        <f>IFERROR(__xludf.DUMMYFUNCTION("""COMPUTED_VALUE"""),"https://expa.aiesec.org/opportunities/1286920")</f>
        <v>https://expa.aiesec.org/opportunities/1286920</v>
      </c>
      <c r="L1437" s="43" t="str">
        <f>IFERROR(__xludf.DUMMYFUNCTION("""COMPUTED_VALUE"""),"GV")</f>
        <v>GV</v>
      </c>
      <c r="M1437" s="43" t="str">
        <f>IFERROR(__xludf.DUMMYFUNCTION("""COMPUTED_VALUE"""),"short")</f>
        <v>short</v>
      </c>
      <c r="N1437" s="45">
        <f>IFERROR(__xludf.DUMMYFUNCTION("""COMPUTED_VALUE"""),45214.0)</f>
        <v>45214</v>
      </c>
      <c r="O1437" s="45">
        <f>IFERROR(__xludf.DUMMYFUNCTION("""COMPUTED_VALUE"""),45488.0)</f>
        <v>45488</v>
      </c>
      <c r="P1437" s="45">
        <f>IFERROR(__xludf.DUMMYFUNCTION("""COMPUTED_VALUE"""),45530.0)</f>
        <v>45530</v>
      </c>
      <c r="Q1437" s="45"/>
      <c r="R1437" s="45"/>
      <c r="S1437" s="43"/>
      <c r="T1437" s="43"/>
      <c r="U1437" s="43" t="str">
        <f>IFERROR(__xludf.DUMMYFUNCTION("""COMPUTED_VALUE"""),"Global Classroom")</f>
        <v>Global Classroom</v>
      </c>
      <c r="V1437" s="43" t="str">
        <f>IFERROR(__xludf.DUMMYFUNCTION("""COMPUTED_VALUE"""),"Baku State University")</f>
        <v>Baku State University</v>
      </c>
      <c r="W1437" s="43" t="str">
        <f>IFERROR(__xludf.DUMMYFUNCTION("""COMPUTED_VALUE"""),"2023-10-08T15:41:54Z")</f>
        <v>2023-10-08T15:41:54Z</v>
      </c>
      <c r="X1437" s="43"/>
      <c r="Y1437" s="43"/>
      <c r="Z1437" s="43"/>
    </row>
    <row r="1438" hidden="1">
      <c r="A1438" s="43" t="str">
        <f>IFERROR(__xludf.DUMMYFUNCTION("""COMPUTED_VALUE"""),"5351079_1292557")</f>
        <v>5351079_1292557</v>
      </c>
      <c r="B1438" s="43" t="str">
        <f>IFERROR(__xludf.DUMMYFUNCTION("""COMPUTED_VALUE"""),"Nazarii Makhovyk")</f>
        <v>Nazarii Makhovyk</v>
      </c>
      <c r="C1438" s="43" t="str">
        <f>IFERROR(__xludf.DUMMYFUNCTION("""COMPUTED_VALUE"""),"approved")</f>
        <v>approved</v>
      </c>
      <c r="D1438" s="43" t="str">
        <f>IFERROR(__xludf.DUMMYFUNCTION("""COMPUTED_VALUE"""),"No")</f>
        <v>No</v>
      </c>
      <c r="E1438" s="43" t="str">
        <f>IFERROR(__xludf.DUMMYFUNCTION("""COMPUTED_VALUE"""),"p_11ff6bc557a0fbfea73a8ca536cead4ca06e9d9f@inbound.aiesec.org")</f>
        <v>p_11ff6bc557a0fbfea73a8ca536cead4ca06e9d9f@inbound.aiesec.org</v>
      </c>
      <c r="F1438" s="43">
        <f>IFERROR(__xludf.DUMMYFUNCTION("""COMPUTED_VALUE"""),6.603803558E9)</f>
        <v>6603803558</v>
      </c>
      <c r="G1438" s="43" t="str">
        <f>IFERROR(__xludf.DUMMYFUNCTION("""COMPUTED_VALUE"""),"Ukraine")</f>
        <v>Ukraine</v>
      </c>
      <c r="H1438" s="43" t="str">
        <f>IFERROR(__xludf.DUMMYFUNCTION("""COMPUTED_VALUE"""),"KHARKIV")</f>
        <v>KHARKIV</v>
      </c>
      <c r="I1438" s="43" t="str">
        <f>IFERROR(__xludf.DUMMYFUNCTION("""COMPUTED_VALUE"""),"Turkey")</f>
        <v>Turkey</v>
      </c>
      <c r="J1438" s="43" t="str">
        <f>IFERROR(__xludf.DUMMYFUNCTION("""COMPUTED_VALUE"""),"DENIZLI")</f>
        <v>DENIZLI</v>
      </c>
      <c r="K1438" s="44" t="str">
        <f>IFERROR(__xludf.DUMMYFUNCTION("""COMPUTED_VALUE"""),"https://expa.aiesec.org/opportunities/1292557")</f>
        <v>https://expa.aiesec.org/opportunities/1292557</v>
      </c>
      <c r="L1438" s="43" t="str">
        <f>IFERROR(__xludf.DUMMYFUNCTION("""COMPUTED_VALUE"""),"GV")</f>
        <v>GV</v>
      </c>
      <c r="M1438" s="43" t="str">
        <f>IFERROR(__xludf.DUMMYFUNCTION("""COMPUTED_VALUE"""),"short")</f>
        <v>short</v>
      </c>
      <c r="N1438" s="45">
        <f>IFERROR(__xludf.DUMMYFUNCTION("""COMPUTED_VALUE"""),45214.0)</f>
        <v>45214</v>
      </c>
      <c r="O1438" s="45">
        <f>IFERROR(__xludf.DUMMYFUNCTION("""COMPUTED_VALUE"""),45488.0)</f>
        <v>45488</v>
      </c>
      <c r="P1438" s="45">
        <f>IFERROR(__xludf.DUMMYFUNCTION("""COMPUTED_VALUE"""),45530.0)</f>
        <v>45530</v>
      </c>
      <c r="Q1438" s="45"/>
      <c r="R1438" s="45"/>
      <c r="S1438" s="43"/>
      <c r="T1438" s="43"/>
      <c r="U1438" s="43" t="str">
        <f>IFERROR(__xludf.DUMMYFUNCTION("""COMPUTED_VALUE"""),"Equify")</f>
        <v>Equify</v>
      </c>
      <c r="V1438" s="43" t="str">
        <f>IFERROR(__xludf.DUMMYFUNCTION("""COMPUTED_VALUE"""),"Kharkiv")</f>
        <v>Kharkiv</v>
      </c>
      <c r="W1438" s="43" t="str">
        <f>IFERROR(__xludf.DUMMYFUNCTION("""COMPUTED_VALUE"""),"2023-10-13T13:46:09Z")</f>
        <v>2023-10-13T13:46:09Z</v>
      </c>
      <c r="X1438" s="43"/>
      <c r="Y1438" s="43"/>
      <c r="Z1438" s="43"/>
    </row>
    <row r="1439" hidden="1">
      <c r="A1439" s="43" t="str">
        <f>IFERROR(__xludf.DUMMYFUNCTION("""COMPUTED_VALUE"""),"5054327_1300056")</f>
        <v>5054327_1300056</v>
      </c>
      <c r="B1439" s="43" t="str">
        <f>IFERROR(__xludf.DUMMYFUNCTION("""COMPUTED_VALUE"""),"Bristena Muțiu")</f>
        <v>Bristena Muțiu</v>
      </c>
      <c r="C1439" s="43" t="str">
        <f>IFERROR(__xludf.DUMMYFUNCTION("""COMPUTED_VALUE"""),"approved")</f>
        <v>approved</v>
      </c>
      <c r="D1439" s="43" t="str">
        <f>IFERROR(__xludf.DUMMYFUNCTION("""COMPUTED_VALUE"""),"No")</f>
        <v>No</v>
      </c>
      <c r="E1439" s="43" t="str">
        <f>IFERROR(__xludf.DUMMYFUNCTION("""COMPUTED_VALUE"""),"p_02f2830369511ef479e0101f2ff2d67349bc3c51@inbound.aiesec.org")</f>
        <v>p_02f2830369511ef479e0101f2ff2d67349bc3c51@inbound.aiesec.org</v>
      </c>
      <c r="F1439" s="43">
        <f>IFERROR(__xludf.DUMMYFUNCTION("""COMPUTED_VALUE"""),7.41378549E8)</f>
        <v>741378549</v>
      </c>
      <c r="G1439" s="43" t="str">
        <f>IFERROR(__xludf.DUMMYFUNCTION("""COMPUTED_VALUE"""),"Romania")</f>
        <v>Romania</v>
      </c>
      <c r="H1439" s="43" t="str">
        <f>IFERROR(__xludf.DUMMYFUNCTION("""COMPUTED_VALUE"""),"Cluj-Napoca")</f>
        <v>Cluj-Napoca</v>
      </c>
      <c r="I1439" s="43" t="str">
        <f>IFERROR(__xludf.DUMMYFUNCTION("""COMPUTED_VALUE"""),"Turkey")</f>
        <v>Turkey</v>
      </c>
      <c r="J1439" s="43" t="str">
        <f>IFERROR(__xludf.DUMMYFUNCTION("""COMPUTED_VALUE"""),"ANKARA")</f>
        <v>ANKARA</v>
      </c>
      <c r="K1439" s="44" t="str">
        <f>IFERROR(__xludf.DUMMYFUNCTION("""COMPUTED_VALUE"""),"https://expa.aiesec.org/opportunities/1300056")</f>
        <v>https://expa.aiesec.org/opportunities/1300056</v>
      </c>
      <c r="L1439" s="43" t="str">
        <f>IFERROR(__xludf.DUMMYFUNCTION("""COMPUTED_VALUE"""),"GV")</f>
        <v>GV</v>
      </c>
      <c r="M1439" s="43" t="str">
        <f>IFERROR(__xludf.DUMMYFUNCTION("""COMPUTED_VALUE"""),"short")</f>
        <v>short</v>
      </c>
      <c r="N1439" s="45">
        <f>IFERROR(__xludf.DUMMYFUNCTION("""COMPUTED_VALUE"""),45215.0)</f>
        <v>45215</v>
      </c>
      <c r="O1439" s="45">
        <f>IFERROR(__xludf.DUMMYFUNCTION("""COMPUTED_VALUE"""),45509.0)</f>
        <v>45509</v>
      </c>
      <c r="P1439" s="45">
        <f>IFERROR(__xludf.DUMMYFUNCTION("""COMPUTED_VALUE"""),45551.0)</f>
        <v>45551</v>
      </c>
      <c r="Q1439" s="45"/>
      <c r="R1439" s="45"/>
      <c r="S1439" s="43"/>
      <c r="T1439" s="43"/>
      <c r="U1439" s="43" t="str">
        <f>IFERROR(__xludf.DUMMYFUNCTION("""COMPUTED_VALUE"""),"Fingerprint")</f>
        <v>Fingerprint</v>
      </c>
      <c r="V1439" s="43" t="str">
        <f>IFERROR(__xludf.DUMMYFUNCTION("""COMPUTED_VALUE"""),"Cluj-Napoca")</f>
        <v>Cluj-Napoca</v>
      </c>
      <c r="W1439" s="43" t="str">
        <f>IFERROR(__xludf.DUMMYFUNCTION("""COMPUTED_VALUE"""),"2022-05-10T14:14:24Z")</f>
        <v>2022-05-10T14:14:24Z</v>
      </c>
      <c r="X1439" s="43"/>
      <c r="Y1439" s="43"/>
      <c r="Z1439" s="43"/>
    </row>
    <row r="1440" hidden="1">
      <c r="A1440" s="43" t="str">
        <f>IFERROR(__xludf.DUMMYFUNCTION("""COMPUTED_VALUE"""),"5341416_1296234")</f>
        <v>5341416_1296234</v>
      </c>
      <c r="B1440" s="43" t="str">
        <f>IFERROR(__xludf.DUMMYFUNCTION("""COMPUTED_VALUE"""),"Madonna Refaat")</f>
        <v>Madonna Refaat</v>
      </c>
      <c r="C1440" s="43" t="str">
        <f>IFERROR(__xludf.DUMMYFUNCTION("""COMPUTED_VALUE"""),"approved")</f>
        <v>approved</v>
      </c>
      <c r="D1440" s="43" t="str">
        <f>IFERROR(__xludf.DUMMYFUNCTION("""COMPUTED_VALUE"""),"No")</f>
        <v>No</v>
      </c>
      <c r="E1440" s="43" t="str">
        <f>IFERROR(__xludf.DUMMYFUNCTION("""COMPUTED_VALUE"""),"p_4b72bd274a8674c2130a2fd3078f2ed51a67ec39@inbound.aiesec.org")</f>
        <v>p_4b72bd274a8674c2130a2fd3078f2ed51a67ec39@inbound.aiesec.org</v>
      </c>
      <c r="F1440" s="43">
        <f>IFERROR(__xludf.DUMMYFUNCTION("""COMPUTED_VALUE"""),1.273525249E9)</f>
        <v>1273525249</v>
      </c>
      <c r="G1440" s="43" t="str">
        <f>IFERROR(__xludf.DUMMYFUNCTION("""COMPUTED_VALUE"""),"Egypt")</f>
        <v>Egypt</v>
      </c>
      <c r="H1440" s="43" t="str">
        <f>IFERROR(__xludf.DUMMYFUNCTION("""COMPUTED_VALUE"""),"Helwan")</f>
        <v>Helwan</v>
      </c>
      <c r="I1440" s="43" t="str">
        <f>IFERROR(__xludf.DUMMYFUNCTION("""COMPUTED_VALUE"""),"Turkey")</f>
        <v>Turkey</v>
      </c>
      <c r="J1440" s="43" t="str">
        <f>IFERROR(__xludf.DUMMYFUNCTION("""COMPUTED_VALUE"""),"GAZIANTEP")</f>
        <v>GAZIANTEP</v>
      </c>
      <c r="K1440" s="44" t="str">
        <f>IFERROR(__xludf.DUMMYFUNCTION("""COMPUTED_VALUE"""),"https://expa.aiesec.org/opportunities/1296234")</f>
        <v>https://expa.aiesec.org/opportunities/1296234</v>
      </c>
      <c r="L1440" s="43" t="str">
        <f>IFERROR(__xludf.DUMMYFUNCTION("""COMPUTED_VALUE"""),"GV")</f>
        <v>GV</v>
      </c>
      <c r="M1440" s="43" t="str">
        <f>IFERROR(__xludf.DUMMYFUNCTION("""COMPUTED_VALUE"""),"short")</f>
        <v>short</v>
      </c>
      <c r="N1440" s="45">
        <f>IFERROR(__xludf.DUMMYFUNCTION("""COMPUTED_VALUE"""),45215.0)</f>
        <v>45215</v>
      </c>
      <c r="O1440" s="45">
        <f>IFERROR(__xludf.DUMMYFUNCTION("""COMPUTED_VALUE"""),45493.0)</f>
        <v>45493</v>
      </c>
      <c r="P1440" s="45">
        <f>IFERROR(__xludf.DUMMYFUNCTION("""COMPUTED_VALUE"""),45535.0)</f>
        <v>45535</v>
      </c>
      <c r="Q1440" s="45"/>
      <c r="R1440" s="45"/>
      <c r="S1440" s="43"/>
      <c r="T1440" s="43"/>
      <c r="U1440" s="43" t="str">
        <f>IFERROR(__xludf.DUMMYFUNCTION("""COMPUTED_VALUE"""),"Global Classroom")</f>
        <v>Global Classroom</v>
      </c>
      <c r="V1440" s="43" t="str">
        <f>IFERROR(__xludf.DUMMYFUNCTION("""COMPUTED_VALUE"""),"Minya")</f>
        <v>Minya</v>
      </c>
      <c r="W1440" s="43" t="str">
        <f>IFERROR(__xludf.DUMMYFUNCTION("""COMPUTED_VALUE"""),"2023-10-03T23:12:47Z")</f>
        <v>2023-10-03T23:12:47Z</v>
      </c>
      <c r="X1440" s="43"/>
      <c r="Y1440" s="43"/>
      <c r="Z1440" s="43"/>
    </row>
    <row r="1441" hidden="1">
      <c r="A1441" s="43" t="str">
        <f>IFERROR(__xludf.DUMMYFUNCTION("""COMPUTED_VALUE"""),"5353047_1279126")</f>
        <v>5353047_1279126</v>
      </c>
      <c r="B1441" s="43" t="str">
        <f>IFERROR(__xludf.DUMMYFUNCTION("""COMPUTED_VALUE"""),"mariem el gayed")</f>
        <v>mariem el gayed</v>
      </c>
      <c r="C1441" s="43" t="str">
        <f>IFERROR(__xludf.DUMMYFUNCTION("""COMPUTED_VALUE"""),"approved")</f>
        <v>approved</v>
      </c>
      <c r="D1441" s="43" t="str">
        <f>IFERROR(__xludf.DUMMYFUNCTION("""COMPUTED_VALUE"""),"No")</f>
        <v>No</v>
      </c>
      <c r="E1441" s="43" t="str">
        <f>IFERROR(__xludf.DUMMYFUNCTION("""COMPUTED_VALUE"""),"p_fcf661b3de9029d8532c826c2aa7299724ed5ef7@inbound.aiesec.org")</f>
        <v>p_fcf661b3de9029d8532c826c2aa7299724ed5ef7@inbound.aiesec.org</v>
      </c>
      <c r="F1441" s="43">
        <f>IFERROR(__xludf.DUMMYFUNCTION("""COMPUTED_VALUE"""),2.9692847E7)</f>
        <v>29692847</v>
      </c>
      <c r="G1441" s="43" t="str">
        <f>IFERROR(__xludf.DUMMYFUNCTION("""COMPUTED_VALUE"""),"Tunisia")</f>
        <v>Tunisia</v>
      </c>
      <c r="H1441" s="43" t="str">
        <f>IFERROR(__xludf.DUMMYFUNCTION("""COMPUTED_VALUE"""),"HADRUMET")</f>
        <v>HADRUMET</v>
      </c>
      <c r="I1441" s="43" t="str">
        <f>IFERROR(__xludf.DUMMYFUNCTION("""COMPUTED_VALUE"""),"Turkey")</f>
        <v>Turkey</v>
      </c>
      <c r="J1441" s="43" t="str">
        <f>IFERROR(__xludf.DUMMYFUNCTION("""COMPUTED_VALUE"""),"KOCAELI")</f>
        <v>KOCAELI</v>
      </c>
      <c r="K1441" s="44" t="str">
        <f>IFERROR(__xludf.DUMMYFUNCTION("""COMPUTED_VALUE"""),"https://expa.aiesec.org/opportunities/1279126")</f>
        <v>https://expa.aiesec.org/opportunities/1279126</v>
      </c>
      <c r="L1441" s="43" t="str">
        <f>IFERROR(__xludf.DUMMYFUNCTION("""COMPUTED_VALUE"""),"GV")</f>
        <v>GV</v>
      </c>
      <c r="M1441" s="43" t="str">
        <f>IFERROR(__xludf.DUMMYFUNCTION("""COMPUTED_VALUE"""),"short")</f>
        <v>short</v>
      </c>
      <c r="N1441" s="45">
        <f>IFERROR(__xludf.DUMMYFUNCTION("""COMPUTED_VALUE"""),45215.0)</f>
        <v>45215</v>
      </c>
      <c r="O1441" s="45">
        <f>IFERROR(__xludf.DUMMYFUNCTION("""COMPUTED_VALUE"""),45481.0)</f>
        <v>45481</v>
      </c>
      <c r="P1441" s="45">
        <f>IFERROR(__xludf.DUMMYFUNCTION("""COMPUTED_VALUE"""),45523.0)</f>
        <v>45523</v>
      </c>
      <c r="Q1441" s="45"/>
      <c r="R1441" s="45"/>
      <c r="S1441" s="43"/>
      <c r="T1441" s="43"/>
      <c r="U1441" s="43" t="str">
        <f>IFERROR(__xludf.DUMMYFUNCTION("""COMPUTED_VALUE"""),"Global Classroom")</f>
        <v>Global Classroom</v>
      </c>
      <c r="V1441" s="43" t="str">
        <f>IFERROR(__xludf.DUMMYFUNCTION("""COMPUTED_VALUE"""),"UPSAT Sousse")</f>
        <v>UPSAT Sousse</v>
      </c>
      <c r="W1441" s="43" t="str">
        <f>IFERROR(__xludf.DUMMYFUNCTION("""COMPUTED_VALUE"""),"2023-10-16T17:24:39Z")</f>
        <v>2023-10-16T17:24:39Z</v>
      </c>
      <c r="X1441" s="43"/>
      <c r="Y1441" s="43"/>
      <c r="Z1441" s="43"/>
    </row>
    <row r="1442" hidden="1">
      <c r="A1442" s="43" t="str">
        <f>IFERROR(__xludf.DUMMYFUNCTION("""COMPUTED_VALUE"""),"5353036_1279126")</f>
        <v>5353036_1279126</v>
      </c>
      <c r="B1442" s="43" t="str">
        <f>IFERROR(__xludf.DUMMYFUNCTION("""COMPUTED_VALUE"""),"Eya terd")</f>
        <v>Eya terd</v>
      </c>
      <c r="C1442" s="43" t="str">
        <f>IFERROR(__xludf.DUMMYFUNCTION("""COMPUTED_VALUE"""),"approved")</f>
        <v>approved</v>
      </c>
      <c r="D1442" s="43" t="str">
        <f>IFERROR(__xludf.DUMMYFUNCTION("""COMPUTED_VALUE"""),"No")</f>
        <v>No</v>
      </c>
      <c r="E1442" s="43" t="str">
        <f>IFERROR(__xludf.DUMMYFUNCTION("""COMPUTED_VALUE"""),"p_26a0654dfeb52a4f95fd8ba9902e07084c70a51c@inbound.aiesec.org")</f>
        <v>p_26a0654dfeb52a4f95fd8ba9902e07084c70a51c@inbound.aiesec.org</v>
      </c>
      <c r="F1442" s="43">
        <f>IFERROR(__xludf.DUMMYFUNCTION("""COMPUTED_VALUE"""),5.6677599E7)</f>
        <v>56677599</v>
      </c>
      <c r="G1442" s="43" t="str">
        <f>IFERROR(__xludf.DUMMYFUNCTION("""COMPUTED_VALUE"""),"Tunisia")</f>
        <v>Tunisia</v>
      </c>
      <c r="H1442" s="43" t="str">
        <f>IFERROR(__xludf.DUMMYFUNCTION("""COMPUTED_VALUE"""),"HADRUMET")</f>
        <v>HADRUMET</v>
      </c>
      <c r="I1442" s="43" t="str">
        <f>IFERROR(__xludf.DUMMYFUNCTION("""COMPUTED_VALUE"""),"Turkey")</f>
        <v>Turkey</v>
      </c>
      <c r="J1442" s="43" t="str">
        <f>IFERROR(__xludf.DUMMYFUNCTION("""COMPUTED_VALUE"""),"KOCAELI")</f>
        <v>KOCAELI</v>
      </c>
      <c r="K1442" s="44" t="str">
        <f>IFERROR(__xludf.DUMMYFUNCTION("""COMPUTED_VALUE"""),"https://expa.aiesec.org/opportunities/1279126")</f>
        <v>https://expa.aiesec.org/opportunities/1279126</v>
      </c>
      <c r="L1442" s="43" t="str">
        <f>IFERROR(__xludf.DUMMYFUNCTION("""COMPUTED_VALUE"""),"GV")</f>
        <v>GV</v>
      </c>
      <c r="M1442" s="43" t="str">
        <f>IFERROR(__xludf.DUMMYFUNCTION("""COMPUTED_VALUE"""),"short")</f>
        <v>short</v>
      </c>
      <c r="N1442" s="45">
        <f>IFERROR(__xludf.DUMMYFUNCTION("""COMPUTED_VALUE"""),45215.0)</f>
        <v>45215</v>
      </c>
      <c r="O1442" s="45">
        <f>IFERROR(__xludf.DUMMYFUNCTION("""COMPUTED_VALUE"""),45481.0)</f>
        <v>45481</v>
      </c>
      <c r="P1442" s="45">
        <f>IFERROR(__xludf.DUMMYFUNCTION("""COMPUTED_VALUE"""),45523.0)</f>
        <v>45523</v>
      </c>
      <c r="Q1442" s="45"/>
      <c r="R1442" s="45"/>
      <c r="S1442" s="43"/>
      <c r="T1442" s="43"/>
      <c r="U1442" s="43" t="str">
        <f>IFERROR(__xludf.DUMMYFUNCTION("""COMPUTED_VALUE"""),"Global Classroom")</f>
        <v>Global Classroom</v>
      </c>
      <c r="V1442" s="43" t="str">
        <f>IFERROR(__xludf.DUMMYFUNCTION("""COMPUTED_VALUE"""),"UPSAT Sousse")</f>
        <v>UPSAT Sousse</v>
      </c>
      <c r="W1442" s="43" t="str">
        <f>IFERROR(__xludf.DUMMYFUNCTION("""COMPUTED_VALUE"""),"2023-10-16T17:05:00Z")</f>
        <v>2023-10-16T17:05:00Z</v>
      </c>
      <c r="X1442" s="43"/>
      <c r="Y1442" s="43"/>
      <c r="Z1442" s="43"/>
    </row>
    <row r="1443" hidden="1">
      <c r="A1443" s="43" t="str">
        <f>IFERROR(__xludf.DUMMYFUNCTION("""COMPUTED_VALUE"""),"5331076_1298556")</f>
        <v>5331076_1298556</v>
      </c>
      <c r="B1443" s="43" t="str">
        <f>IFERROR(__xludf.DUMMYFUNCTION("""COMPUTED_VALUE"""),"Isa Akhverdiyev")</f>
        <v>Isa Akhverdiyev</v>
      </c>
      <c r="C1443" s="43" t="str">
        <f>IFERROR(__xludf.DUMMYFUNCTION("""COMPUTED_VALUE"""),"approved")</f>
        <v>approved</v>
      </c>
      <c r="D1443" s="43" t="str">
        <f>IFERROR(__xludf.DUMMYFUNCTION("""COMPUTED_VALUE"""),"No")</f>
        <v>No</v>
      </c>
      <c r="E1443" s="43" t="str">
        <f>IFERROR(__xludf.DUMMYFUNCTION("""COMPUTED_VALUE"""),"p_264e1497a31bd2a36d8028a77e9eb139cfa1ef85@inbound.aiesec.org")</f>
        <v>p_264e1497a31bd2a36d8028a77e9eb139cfa1ef85@inbound.aiesec.org</v>
      </c>
      <c r="F1443" s="43">
        <f>IFERROR(__xludf.DUMMYFUNCTION("""COMPUTED_VALUE"""),5.54932048E8)</f>
        <v>554932048</v>
      </c>
      <c r="G1443" s="43" t="str">
        <f>IFERROR(__xludf.DUMMYFUNCTION("""COMPUTED_VALUE"""),"Azerbaijan")</f>
        <v>Azerbaijan</v>
      </c>
      <c r="H1443" s="43" t="str">
        <f>IFERROR(__xludf.DUMMYFUNCTION("""COMPUTED_VALUE"""),"Baku Synergy")</f>
        <v>Baku Synergy</v>
      </c>
      <c r="I1443" s="43" t="str">
        <f>IFERROR(__xludf.DUMMYFUNCTION("""COMPUTED_VALUE"""),"Turkey")</f>
        <v>Turkey</v>
      </c>
      <c r="J1443" s="43" t="str">
        <f>IFERROR(__xludf.DUMMYFUNCTION("""COMPUTED_VALUE"""),"KUTAHYA")</f>
        <v>KUTAHYA</v>
      </c>
      <c r="K1443" s="44" t="str">
        <f>IFERROR(__xludf.DUMMYFUNCTION("""COMPUTED_VALUE"""),"https://expa.aiesec.org/opportunities/1298556")</f>
        <v>https://expa.aiesec.org/opportunities/1298556</v>
      </c>
      <c r="L1443" s="43" t="str">
        <f>IFERROR(__xludf.DUMMYFUNCTION("""COMPUTED_VALUE"""),"GV")</f>
        <v>GV</v>
      </c>
      <c r="M1443" s="43" t="str">
        <f>IFERROR(__xludf.DUMMYFUNCTION("""COMPUTED_VALUE"""),"short")</f>
        <v>short</v>
      </c>
      <c r="N1443" s="45">
        <f>IFERROR(__xludf.DUMMYFUNCTION("""COMPUTED_VALUE"""),45215.0)</f>
        <v>45215</v>
      </c>
      <c r="O1443" s="45">
        <f>IFERROR(__xludf.DUMMYFUNCTION("""COMPUTED_VALUE"""),45495.0)</f>
        <v>45495</v>
      </c>
      <c r="P1443" s="45">
        <f>IFERROR(__xludf.DUMMYFUNCTION("""COMPUTED_VALUE"""),45537.0)</f>
        <v>45537</v>
      </c>
      <c r="Q1443" s="45"/>
      <c r="R1443" s="45"/>
      <c r="S1443" s="43"/>
      <c r="T1443" s="43"/>
      <c r="U1443" s="43" t="str">
        <f>IFERROR(__xludf.DUMMYFUNCTION("""COMPUTED_VALUE"""),"On The Map")</f>
        <v>On The Map</v>
      </c>
      <c r="V1443" s="43" t="str">
        <f>IFERROR(__xludf.DUMMYFUNCTION("""COMPUTED_VALUE"""),"Azerbaijan State University of Economics")</f>
        <v>Azerbaijan State University of Economics</v>
      </c>
      <c r="W1443" s="43" t="str">
        <f>IFERROR(__xludf.DUMMYFUNCTION("""COMPUTED_VALUE"""),"2023-09-24T09:31:56Z")</f>
        <v>2023-09-24T09:31:56Z</v>
      </c>
      <c r="X1443" s="43"/>
      <c r="Y1443" s="43"/>
      <c r="Z1443" s="43"/>
    </row>
    <row r="1444" hidden="1">
      <c r="A1444" s="43" t="str">
        <f>IFERROR(__xludf.DUMMYFUNCTION("""COMPUTED_VALUE"""),"5348168_1289536")</f>
        <v>5348168_1289536</v>
      </c>
      <c r="B1444" s="43" t="str">
        <f>IFERROR(__xludf.DUMMYFUNCTION("""COMPUTED_VALUE"""),"Youssef Abdelsatar")</f>
        <v>Youssef Abdelsatar</v>
      </c>
      <c r="C1444" s="43" t="str">
        <f>IFERROR(__xludf.DUMMYFUNCTION("""COMPUTED_VALUE"""),"approved")</f>
        <v>approved</v>
      </c>
      <c r="D1444" s="43" t="str">
        <f>IFERROR(__xludf.DUMMYFUNCTION("""COMPUTED_VALUE"""),"No")</f>
        <v>No</v>
      </c>
      <c r="E1444" s="43" t="str">
        <f>IFERROR(__xludf.DUMMYFUNCTION("""COMPUTED_VALUE"""),"p_95630a51237077df4c6edbbd4ea64b6365daae43@inbound.aiesec.org")</f>
        <v>p_95630a51237077df4c6edbbd4ea64b6365daae43@inbound.aiesec.org</v>
      </c>
      <c r="F1444" s="43">
        <f>IFERROR(__xludf.DUMMYFUNCTION("""COMPUTED_VALUE"""),1.202282131E9)</f>
        <v>1202282131</v>
      </c>
      <c r="G1444" s="43" t="str">
        <f>IFERROR(__xludf.DUMMYFUNCTION("""COMPUTED_VALUE"""),"Egypt")</f>
        <v>Egypt</v>
      </c>
      <c r="H1444" s="43" t="str">
        <f>IFERROR(__xludf.DUMMYFUNCTION("""COMPUTED_VALUE"""),"Alexandria")</f>
        <v>Alexandria</v>
      </c>
      <c r="I1444" s="43" t="str">
        <f>IFERROR(__xludf.DUMMYFUNCTION("""COMPUTED_VALUE"""),"Turkey")</f>
        <v>Turkey</v>
      </c>
      <c r="J1444" s="43" t="str">
        <f>IFERROR(__xludf.DUMMYFUNCTION("""COMPUTED_VALUE"""),"ISTANBUL")</f>
        <v>ISTANBUL</v>
      </c>
      <c r="K1444" s="44" t="str">
        <f>IFERROR(__xludf.DUMMYFUNCTION("""COMPUTED_VALUE"""),"https://expa.aiesec.org/opportunities/1289536")</f>
        <v>https://expa.aiesec.org/opportunities/1289536</v>
      </c>
      <c r="L1444" s="43" t="str">
        <f>IFERROR(__xludf.DUMMYFUNCTION("""COMPUTED_VALUE"""),"GV")</f>
        <v>GV</v>
      </c>
      <c r="M1444" s="43" t="str">
        <f>IFERROR(__xludf.DUMMYFUNCTION("""COMPUTED_VALUE"""),"short")</f>
        <v>short</v>
      </c>
      <c r="N1444" s="45">
        <f>IFERROR(__xludf.DUMMYFUNCTION("""COMPUTED_VALUE"""),45215.0)</f>
        <v>45215</v>
      </c>
      <c r="O1444" s="45">
        <f>IFERROR(__xludf.DUMMYFUNCTION("""COMPUTED_VALUE"""),45474.0)</f>
        <v>45474</v>
      </c>
      <c r="P1444" s="45">
        <f>IFERROR(__xludf.DUMMYFUNCTION("""COMPUTED_VALUE"""),45516.0)</f>
        <v>45516</v>
      </c>
      <c r="Q1444" s="45"/>
      <c r="R1444" s="45"/>
      <c r="S1444" s="43"/>
      <c r="T1444" s="43"/>
      <c r="U1444" s="43" t="str">
        <f>IFERROR(__xludf.DUMMYFUNCTION("""COMPUTED_VALUE"""),"Global Classroom")</f>
        <v>Global Classroom</v>
      </c>
      <c r="V1444" s="43" t="str">
        <f>IFERROR(__xludf.DUMMYFUNCTION("""COMPUTED_VALUE"""),"Alexandria University")</f>
        <v>Alexandria University</v>
      </c>
      <c r="W1444" s="43" t="str">
        <f>IFERROR(__xludf.DUMMYFUNCTION("""COMPUTED_VALUE"""),"2023-10-10T14:31:16Z")</f>
        <v>2023-10-10T14:31:16Z</v>
      </c>
      <c r="X1444" s="43"/>
      <c r="Y1444" s="43"/>
      <c r="Z1444" s="43"/>
    </row>
    <row r="1445" hidden="1">
      <c r="A1445" s="43" t="str">
        <f>IFERROR(__xludf.DUMMYFUNCTION("""COMPUTED_VALUE"""),"5353105_1289536")</f>
        <v>5353105_1289536</v>
      </c>
      <c r="B1445" s="43" t="str">
        <f>IFERROR(__xludf.DUMMYFUNCTION("""COMPUTED_VALUE"""),"Somaya Khaled")</f>
        <v>Somaya Khaled</v>
      </c>
      <c r="C1445" s="43" t="str">
        <f>IFERROR(__xludf.DUMMYFUNCTION("""COMPUTED_VALUE"""),"approved")</f>
        <v>approved</v>
      </c>
      <c r="D1445" s="43" t="str">
        <f>IFERROR(__xludf.DUMMYFUNCTION("""COMPUTED_VALUE"""),"No")</f>
        <v>No</v>
      </c>
      <c r="E1445" s="43" t="str">
        <f>IFERROR(__xludf.DUMMYFUNCTION("""COMPUTED_VALUE"""),"p_f73dccaac743a7a7ffa191c18450ba6e730b169d@inbound.aiesec.org")</f>
        <v>p_f73dccaac743a7a7ffa191c18450ba6e730b169d@inbound.aiesec.org</v>
      </c>
      <c r="F1445" s="43">
        <f>IFERROR(__xludf.DUMMYFUNCTION("""COMPUTED_VALUE"""),1.093528408E9)</f>
        <v>1093528408</v>
      </c>
      <c r="G1445" s="43" t="str">
        <f>IFERROR(__xludf.DUMMYFUNCTION("""COMPUTED_VALUE"""),"Egypt")</f>
        <v>Egypt</v>
      </c>
      <c r="H1445" s="43" t="str">
        <f>IFERROR(__xludf.DUMMYFUNCTION("""COMPUTED_VALUE"""),"Alexandria")</f>
        <v>Alexandria</v>
      </c>
      <c r="I1445" s="43" t="str">
        <f>IFERROR(__xludf.DUMMYFUNCTION("""COMPUTED_VALUE"""),"Turkey")</f>
        <v>Turkey</v>
      </c>
      <c r="J1445" s="43" t="str">
        <f>IFERROR(__xludf.DUMMYFUNCTION("""COMPUTED_VALUE"""),"ISTANBUL")</f>
        <v>ISTANBUL</v>
      </c>
      <c r="K1445" s="44" t="str">
        <f>IFERROR(__xludf.DUMMYFUNCTION("""COMPUTED_VALUE"""),"https://expa.aiesec.org/opportunities/1289536")</f>
        <v>https://expa.aiesec.org/opportunities/1289536</v>
      </c>
      <c r="L1445" s="43" t="str">
        <f>IFERROR(__xludf.DUMMYFUNCTION("""COMPUTED_VALUE"""),"GV")</f>
        <v>GV</v>
      </c>
      <c r="M1445" s="43" t="str">
        <f>IFERROR(__xludf.DUMMYFUNCTION("""COMPUTED_VALUE"""),"short")</f>
        <v>short</v>
      </c>
      <c r="N1445" s="45">
        <f>IFERROR(__xludf.DUMMYFUNCTION("""COMPUTED_VALUE"""),45215.0)</f>
        <v>45215</v>
      </c>
      <c r="O1445" s="45">
        <f>IFERROR(__xludf.DUMMYFUNCTION("""COMPUTED_VALUE"""),45474.0)</f>
        <v>45474</v>
      </c>
      <c r="P1445" s="45">
        <f>IFERROR(__xludf.DUMMYFUNCTION("""COMPUTED_VALUE"""),45516.0)</f>
        <v>45516</v>
      </c>
      <c r="Q1445" s="45"/>
      <c r="R1445" s="45"/>
      <c r="S1445" s="43"/>
      <c r="T1445" s="43"/>
      <c r="U1445" s="43" t="str">
        <f>IFERROR(__xludf.DUMMYFUNCTION("""COMPUTED_VALUE"""),"Global Classroom")</f>
        <v>Global Classroom</v>
      </c>
      <c r="V1445" s="43" t="str">
        <f>IFERROR(__xludf.DUMMYFUNCTION("""COMPUTED_VALUE"""),"Alexandria University")</f>
        <v>Alexandria University</v>
      </c>
      <c r="W1445" s="43" t="str">
        <f>IFERROR(__xludf.DUMMYFUNCTION("""COMPUTED_VALUE"""),"2023-10-16T19:29:25Z")</f>
        <v>2023-10-16T19:29:25Z</v>
      </c>
      <c r="X1445" s="43"/>
      <c r="Y1445" s="43"/>
      <c r="Z1445" s="43"/>
    </row>
    <row r="1446" hidden="1">
      <c r="A1446" s="43" t="str">
        <f>IFERROR(__xludf.DUMMYFUNCTION("""COMPUTED_VALUE"""),"4729940_1285687")</f>
        <v>4729940_1285687</v>
      </c>
      <c r="B1446" s="43" t="str">
        <f>IFERROR(__xludf.DUMMYFUNCTION("""COMPUTED_VALUE"""),"Shifa Shaikh")</f>
        <v>Shifa Shaikh</v>
      </c>
      <c r="C1446" s="43" t="str">
        <f>IFERROR(__xludf.DUMMYFUNCTION("""COMPUTED_VALUE"""),"finished")</f>
        <v>finished</v>
      </c>
      <c r="D1446" s="43" t="str">
        <f>IFERROR(__xludf.DUMMYFUNCTION("""COMPUTED_VALUE"""),"No")</f>
        <v>No</v>
      </c>
      <c r="E1446" s="43" t="str">
        <f>IFERROR(__xludf.DUMMYFUNCTION("""COMPUTED_VALUE"""),"p_b64468bec0b32a65cf3be03653f75090139e3692@inbound.aiesec.org")</f>
        <v>p_b64468bec0b32a65cf3be03653f75090139e3692@inbound.aiesec.org</v>
      </c>
      <c r="F1446" s="43">
        <f>IFERROR(__xludf.DUMMYFUNCTION("""COMPUTED_VALUE"""),7.045046181E9)</f>
        <v>7045046181</v>
      </c>
      <c r="G1446" s="43" t="str">
        <f>IFERROR(__xludf.DUMMYFUNCTION("""COMPUTED_VALUE"""),"India")</f>
        <v>India</v>
      </c>
      <c r="H1446" s="43" t="str">
        <f>IFERROR(__xludf.DUMMYFUNCTION("""COMPUTED_VALUE"""),"Mumbai")</f>
        <v>Mumbai</v>
      </c>
      <c r="I1446" s="43" t="str">
        <f>IFERROR(__xludf.DUMMYFUNCTION("""COMPUTED_VALUE"""),"Turkey")</f>
        <v>Turkey</v>
      </c>
      <c r="J1446" s="43" t="str">
        <f>IFERROR(__xludf.DUMMYFUNCTION("""COMPUTED_VALUE"""),"ISTANBUL")</f>
        <v>ISTANBUL</v>
      </c>
      <c r="K1446" s="44" t="str">
        <f>IFERROR(__xludf.DUMMYFUNCTION("""COMPUTED_VALUE"""),"https://expa.aiesec.org/opportunities/1285687")</f>
        <v>https://expa.aiesec.org/opportunities/1285687</v>
      </c>
      <c r="L1446" s="43" t="str">
        <f>IFERROR(__xludf.DUMMYFUNCTION("""COMPUTED_VALUE"""),"GV")</f>
        <v>GV</v>
      </c>
      <c r="M1446" s="43" t="str">
        <f>IFERROR(__xludf.DUMMYFUNCTION("""COMPUTED_VALUE"""),"short")</f>
        <v>short</v>
      </c>
      <c r="N1446" s="45">
        <f>IFERROR(__xludf.DUMMYFUNCTION("""COMPUTED_VALUE"""),45216.0)</f>
        <v>45216</v>
      </c>
      <c r="O1446" s="45">
        <f>IFERROR(__xludf.DUMMYFUNCTION("""COMPUTED_VALUE"""),45242.0)</f>
        <v>45242</v>
      </c>
      <c r="P1446" s="45">
        <f>IFERROR(__xludf.DUMMYFUNCTION("""COMPUTED_VALUE"""),45284.0)</f>
        <v>45284</v>
      </c>
      <c r="Q1446" s="45">
        <f>IFERROR(__xludf.DUMMYFUNCTION("""COMPUTED_VALUE"""),45243.0)</f>
        <v>45243</v>
      </c>
      <c r="R1446" s="45">
        <f>IFERROR(__xludf.DUMMYFUNCTION("""COMPUTED_VALUE"""),45284.0)</f>
        <v>45284</v>
      </c>
      <c r="S1446" s="43"/>
      <c r="T1446" s="43"/>
      <c r="U1446" s="43" t="str">
        <f>IFERROR(__xludf.DUMMYFUNCTION("""COMPUTED_VALUE"""),"Youth 4 Impact")</f>
        <v>Youth 4 Impact</v>
      </c>
      <c r="V1446" s="43" t="str">
        <f>IFERROR(__xludf.DUMMYFUNCTION("""COMPUTED_VALUE"""),"Ritumbara College, Vile Parle")</f>
        <v>Ritumbara College, Vile Parle</v>
      </c>
      <c r="W1446" s="43" t="str">
        <f>IFERROR(__xludf.DUMMYFUNCTION("""COMPUTED_VALUE"""),"2021-09-05T16:30:29Z")</f>
        <v>2021-09-05T16:30:29Z</v>
      </c>
      <c r="X1446" s="43"/>
      <c r="Y1446" s="43"/>
      <c r="Z1446" s="43"/>
    </row>
    <row r="1447" hidden="1">
      <c r="A1447" s="43" t="str">
        <f>IFERROR(__xludf.DUMMYFUNCTION("""COMPUTED_VALUE"""),"5317679_1281357")</f>
        <v>5317679_1281357</v>
      </c>
      <c r="B1447" s="43" t="str">
        <f>IFERROR(__xludf.DUMMYFUNCTION("""COMPUTED_VALUE"""),"Mohammed Lahloub")</f>
        <v>Mohammed Lahloub</v>
      </c>
      <c r="C1447" s="43" t="str">
        <f>IFERROR(__xludf.DUMMYFUNCTION("""COMPUTED_VALUE"""),"approved")</f>
        <v>approved</v>
      </c>
      <c r="D1447" s="43" t="str">
        <f>IFERROR(__xludf.DUMMYFUNCTION("""COMPUTED_VALUE"""),"No")</f>
        <v>No</v>
      </c>
      <c r="E1447" s="43" t="str">
        <f>IFERROR(__xludf.DUMMYFUNCTION("""COMPUTED_VALUE"""),"p_59c0c37290869107e4539059973bbab5aaf622c5@inbound.aiesec.org")</f>
        <v>p_59c0c37290869107e4539059973bbab5aaf622c5@inbound.aiesec.org</v>
      </c>
      <c r="F1447" s="43">
        <f>IFERROR(__xludf.DUMMYFUNCTION("""COMPUTED_VALUE"""),2.9529292E7)</f>
        <v>29529292</v>
      </c>
      <c r="G1447" s="43" t="str">
        <f>IFERROR(__xludf.DUMMYFUNCTION("""COMPUTED_VALUE"""),"Tunisia")</f>
        <v>Tunisia</v>
      </c>
      <c r="H1447" s="43" t="str">
        <f>IFERROR(__xludf.DUMMYFUNCTION("""COMPUTED_VALUE"""),"UNIVERSITY")</f>
        <v>UNIVERSITY</v>
      </c>
      <c r="I1447" s="43" t="str">
        <f>IFERROR(__xludf.DUMMYFUNCTION("""COMPUTED_VALUE"""),"Turkey")</f>
        <v>Turkey</v>
      </c>
      <c r="J1447" s="43" t="str">
        <f>IFERROR(__xludf.DUMMYFUNCTION("""COMPUTED_VALUE"""),"GAZIANTEP")</f>
        <v>GAZIANTEP</v>
      </c>
      <c r="K1447" s="44" t="str">
        <f>IFERROR(__xludf.DUMMYFUNCTION("""COMPUTED_VALUE"""),"https://expa.aiesec.org/opportunities/1281357")</f>
        <v>https://expa.aiesec.org/opportunities/1281357</v>
      </c>
      <c r="L1447" s="43" t="str">
        <f>IFERROR(__xludf.DUMMYFUNCTION("""COMPUTED_VALUE"""),"GV")</f>
        <v>GV</v>
      </c>
      <c r="M1447" s="43" t="str">
        <f>IFERROR(__xludf.DUMMYFUNCTION("""COMPUTED_VALUE"""),"short")</f>
        <v>short</v>
      </c>
      <c r="N1447" s="45">
        <f>IFERROR(__xludf.DUMMYFUNCTION("""COMPUTED_VALUE"""),45216.0)</f>
        <v>45216</v>
      </c>
      <c r="O1447" s="45">
        <f>IFERROR(__xludf.DUMMYFUNCTION("""COMPUTED_VALUE"""),45488.0)</f>
        <v>45488</v>
      </c>
      <c r="P1447" s="45">
        <f>IFERROR(__xludf.DUMMYFUNCTION("""COMPUTED_VALUE"""),45530.0)</f>
        <v>45530</v>
      </c>
      <c r="Q1447" s="45"/>
      <c r="R1447" s="45"/>
      <c r="S1447" s="43"/>
      <c r="T1447" s="43"/>
      <c r="U1447" s="43" t="str">
        <f>IFERROR(__xludf.DUMMYFUNCTION("""COMPUTED_VALUE"""),"Global Classroom")</f>
        <v>Global Classroom</v>
      </c>
      <c r="V1447" s="43" t="str">
        <f>IFERROR(__xludf.DUMMYFUNCTION("""COMPUTED_VALUE"""),"Time University")</f>
        <v>Time University</v>
      </c>
      <c r="W1447" s="43" t="str">
        <f>IFERROR(__xludf.DUMMYFUNCTION("""COMPUTED_VALUE"""),"2023-09-03T19:03:27Z")</f>
        <v>2023-09-03T19:03:27Z</v>
      </c>
      <c r="X1447" s="43"/>
      <c r="Y1447" s="43"/>
      <c r="Z1447" s="43"/>
    </row>
    <row r="1448" hidden="1">
      <c r="A1448" s="43" t="str">
        <f>IFERROR(__xludf.DUMMYFUNCTION("""COMPUTED_VALUE"""),"4811677_1298284")</f>
        <v>4811677_1298284</v>
      </c>
      <c r="B1448" s="43" t="str">
        <f>IFERROR(__xludf.DUMMYFUNCTION("""COMPUTED_VALUE"""),"chadha chibani")</f>
        <v>chadha chibani</v>
      </c>
      <c r="C1448" s="43" t="str">
        <f>IFERROR(__xludf.DUMMYFUNCTION("""COMPUTED_VALUE"""),"approved")</f>
        <v>approved</v>
      </c>
      <c r="D1448" s="43" t="str">
        <f>IFERROR(__xludf.DUMMYFUNCTION("""COMPUTED_VALUE"""),"No")</f>
        <v>No</v>
      </c>
      <c r="E1448" s="43" t="str">
        <f>IFERROR(__xludf.DUMMYFUNCTION("""COMPUTED_VALUE"""),"p_b61716958f5b76fad63781220c49f0d2349cc7ff@inbound.aiesec.org")</f>
        <v>p_b61716958f5b76fad63781220c49f0d2349cc7ff@inbound.aiesec.org</v>
      </c>
      <c r="F1448" s="43">
        <f>IFERROR(__xludf.DUMMYFUNCTION("""COMPUTED_VALUE"""),5.2739038E7)</f>
        <v>52739038</v>
      </c>
      <c r="G1448" s="43" t="str">
        <f>IFERROR(__xludf.DUMMYFUNCTION("""COMPUTED_VALUE"""),"Tunisia")</f>
        <v>Tunisia</v>
      </c>
      <c r="H1448" s="43" t="str">
        <f>IFERROR(__xludf.DUMMYFUNCTION("""COMPUTED_VALUE"""),"Carthage")</f>
        <v>Carthage</v>
      </c>
      <c r="I1448" s="43" t="str">
        <f>IFERROR(__xludf.DUMMYFUNCTION("""COMPUTED_VALUE"""),"Turkey")</f>
        <v>Turkey</v>
      </c>
      <c r="J1448" s="43" t="str">
        <f>IFERROR(__xludf.DUMMYFUNCTION("""COMPUTED_VALUE"""),"ISTANBUL")</f>
        <v>ISTANBUL</v>
      </c>
      <c r="K1448" s="44" t="str">
        <f>IFERROR(__xludf.DUMMYFUNCTION("""COMPUTED_VALUE"""),"https://expa.aiesec.org/opportunities/1298284")</f>
        <v>https://expa.aiesec.org/opportunities/1298284</v>
      </c>
      <c r="L1448" s="43" t="str">
        <f>IFERROR(__xludf.DUMMYFUNCTION("""COMPUTED_VALUE"""),"GV")</f>
        <v>GV</v>
      </c>
      <c r="M1448" s="43" t="str">
        <f>IFERROR(__xludf.DUMMYFUNCTION("""COMPUTED_VALUE"""),"short")</f>
        <v>short</v>
      </c>
      <c r="N1448" s="45">
        <f>IFERROR(__xludf.DUMMYFUNCTION("""COMPUTED_VALUE"""),45216.0)</f>
        <v>45216</v>
      </c>
      <c r="O1448" s="45">
        <f>IFERROR(__xludf.DUMMYFUNCTION("""COMPUTED_VALUE"""),45474.0)</f>
        <v>45474</v>
      </c>
      <c r="P1448" s="45">
        <f>IFERROR(__xludf.DUMMYFUNCTION("""COMPUTED_VALUE"""),45516.0)</f>
        <v>45516</v>
      </c>
      <c r="Q1448" s="45"/>
      <c r="R1448" s="45"/>
      <c r="S1448" s="43"/>
      <c r="T1448" s="43"/>
      <c r="U1448" s="43" t="str">
        <f>IFERROR(__xludf.DUMMYFUNCTION("""COMPUTED_VALUE"""),"Global Classroom")</f>
        <v>Global Classroom</v>
      </c>
      <c r="V1448" s="43" t="str">
        <f>IFERROR(__xludf.DUMMYFUNCTION("""COMPUTED_VALUE"""),"Polytech INTL")</f>
        <v>Polytech INTL</v>
      </c>
      <c r="W1448" s="43" t="str">
        <f>IFERROR(__xludf.DUMMYFUNCTION("""COMPUTED_VALUE"""),"2021-11-22T23:14:30Z")</f>
        <v>2021-11-22T23:14:30Z</v>
      </c>
      <c r="X1448" s="43"/>
      <c r="Y1448" s="43"/>
      <c r="Z1448" s="43"/>
    </row>
    <row r="1449" hidden="1">
      <c r="A1449" s="43" t="str">
        <f>IFERROR(__xludf.DUMMYFUNCTION("""COMPUTED_VALUE"""),"5352675_1289505")</f>
        <v>5352675_1289505</v>
      </c>
      <c r="B1449" s="43" t="str">
        <f>IFERROR(__xludf.DUMMYFUNCTION("""COMPUTED_VALUE"""),"Feirouz zrig")</f>
        <v>Feirouz zrig</v>
      </c>
      <c r="C1449" s="43" t="str">
        <f>IFERROR(__xludf.DUMMYFUNCTION("""COMPUTED_VALUE"""),"approved")</f>
        <v>approved</v>
      </c>
      <c r="D1449" s="43" t="str">
        <f>IFERROR(__xludf.DUMMYFUNCTION("""COMPUTED_VALUE"""),"No")</f>
        <v>No</v>
      </c>
      <c r="E1449" s="43" t="str">
        <f>IFERROR(__xludf.DUMMYFUNCTION("""COMPUTED_VALUE"""),"p_e637a2fa748edd592ded61e12a49006764971b61@inbound.aiesec.org")</f>
        <v>p_e637a2fa748edd592ded61e12a49006764971b61@inbound.aiesec.org</v>
      </c>
      <c r="F1449" s="43">
        <f>IFERROR(__xludf.DUMMYFUNCTION("""COMPUTED_VALUE"""),2.6485361E7)</f>
        <v>26485361</v>
      </c>
      <c r="G1449" s="43" t="str">
        <f>IFERROR(__xludf.DUMMYFUNCTION("""COMPUTED_VALUE"""),"Tunisia")</f>
        <v>Tunisia</v>
      </c>
      <c r="H1449" s="43" t="str">
        <f>IFERROR(__xludf.DUMMYFUNCTION("""COMPUTED_VALUE"""),"HADRUMET")</f>
        <v>HADRUMET</v>
      </c>
      <c r="I1449" s="43" t="str">
        <f>IFERROR(__xludf.DUMMYFUNCTION("""COMPUTED_VALUE"""),"Turkey")</f>
        <v>Turkey</v>
      </c>
      <c r="J1449" s="43" t="str">
        <f>IFERROR(__xludf.DUMMYFUNCTION("""COMPUTED_VALUE"""),"KOCAELI")</f>
        <v>KOCAELI</v>
      </c>
      <c r="K1449" s="44" t="str">
        <f>IFERROR(__xludf.DUMMYFUNCTION("""COMPUTED_VALUE"""),"https://expa.aiesec.org/opportunities/1289505")</f>
        <v>https://expa.aiesec.org/opportunities/1289505</v>
      </c>
      <c r="L1449" s="43" t="str">
        <f>IFERROR(__xludf.DUMMYFUNCTION("""COMPUTED_VALUE"""),"GV")</f>
        <v>GV</v>
      </c>
      <c r="M1449" s="43" t="str">
        <f>IFERROR(__xludf.DUMMYFUNCTION("""COMPUTED_VALUE"""),"short")</f>
        <v>short</v>
      </c>
      <c r="N1449" s="45">
        <f>IFERROR(__xludf.DUMMYFUNCTION("""COMPUTED_VALUE"""),45216.0)</f>
        <v>45216</v>
      </c>
      <c r="O1449" s="45">
        <f>IFERROR(__xludf.DUMMYFUNCTION("""COMPUTED_VALUE"""),45491.0)</f>
        <v>45491</v>
      </c>
      <c r="P1449" s="45">
        <f>IFERROR(__xludf.DUMMYFUNCTION("""COMPUTED_VALUE"""),45533.0)</f>
        <v>45533</v>
      </c>
      <c r="Q1449" s="45"/>
      <c r="R1449" s="45"/>
      <c r="S1449" s="43"/>
      <c r="T1449" s="43"/>
      <c r="U1449" s="43" t="str">
        <f>IFERROR(__xludf.DUMMYFUNCTION("""COMPUTED_VALUE"""),"Youth 4 Impact")</f>
        <v>Youth 4 Impact</v>
      </c>
      <c r="V1449" s="43" t="str">
        <f>IFERROR(__xludf.DUMMYFUNCTION("""COMPUTED_VALUE"""),"Faculté de Droit et des Sciences  Politiques de Sousse")</f>
        <v>Faculté de Droit et des Sciences  Politiques de Sousse</v>
      </c>
      <c r="W1449" s="43" t="str">
        <f>IFERROR(__xludf.DUMMYFUNCTION("""COMPUTED_VALUE"""),"2023-10-16T10:08:30Z")</f>
        <v>2023-10-16T10:08:30Z</v>
      </c>
      <c r="X1449" s="43"/>
      <c r="Y1449" s="43"/>
      <c r="Z1449" s="43"/>
    </row>
    <row r="1450" hidden="1">
      <c r="A1450" s="43" t="str">
        <f>IFERROR(__xludf.DUMMYFUNCTION("""COMPUTED_VALUE"""),"5264868_1296105")</f>
        <v>5264868_1296105</v>
      </c>
      <c r="B1450" s="43" t="str">
        <f>IFERROR(__xludf.DUMMYFUNCTION("""COMPUTED_VALUE"""),"Hassiba Mahieddine")</f>
        <v>Hassiba Mahieddine</v>
      </c>
      <c r="C1450" s="43" t="str">
        <f>IFERROR(__xludf.DUMMYFUNCTION("""COMPUTED_VALUE"""),"approved")</f>
        <v>approved</v>
      </c>
      <c r="D1450" s="43" t="str">
        <f>IFERROR(__xludf.DUMMYFUNCTION("""COMPUTED_VALUE"""),"No")</f>
        <v>No</v>
      </c>
      <c r="E1450" s="43" t="str">
        <f>IFERROR(__xludf.DUMMYFUNCTION("""COMPUTED_VALUE"""),"p_0a8542edc1f2e6e00fa7f9a61cc9783ffd4c97cf@inbound.aiesec.org")</f>
        <v>p_0a8542edc1f2e6e00fa7f9a61cc9783ffd4c97cf@inbound.aiesec.org</v>
      </c>
      <c r="F1450" s="43">
        <f>IFERROR(__xludf.DUMMYFUNCTION("""COMPUTED_VALUE"""),7.98886553E8)</f>
        <v>798886553</v>
      </c>
      <c r="G1450" s="43" t="str">
        <f>IFERROR(__xludf.DUMMYFUNCTION("""COMPUTED_VALUE"""),"Algeria")</f>
        <v>Algeria</v>
      </c>
      <c r="H1450" s="43" t="str">
        <f>IFERROR(__xludf.DUMMYFUNCTION("""COMPUTED_VALUE"""),"Blida")</f>
        <v>Blida</v>
      </c>
      <c r="I1450" s="43" t="str">
        <f>IFERROR(__xludf.DUMMYFUNCTION("""COMPUTED_VALUE"""),"Turkey")</f>
        <v>Turkey</v>
      </c>
      <c r="J1450" s="43" t="str">
        <f>IFERROR(__xludf.DUMMYFUNCTION("""COMPUTED_VALUE"""),"ANKARA")</f>
        <v>ANKARA</v>
      </c>
      <c r="K1450" s="44" t="str">
        <f>IFERROR(__xludf.DUMMYFUNCTION("""COMPUTED_VALUE"""),"https://expa.aiesec.org/opportunities/1296105")</f>
        <v>https://expa.aiesec.org/opportunities/1296105</v>
      </c>
      <c r="L1450" s="43" t="str">
        <f>IFERROR(__xludf.DUMMYFUNCTION("""COMPUTED_VALUE"""),"GV")</f>
        <v>GV</v>
      </c>
      <c r="M1450" s="43" t="str">
        <f>IFERROR(__xludf.DUMMYFUNCTION("""COMPUTED_VALUE"""),"short")</f>
        <v>short</v>
      </c>
      <c r="N1450" s="45">
        <f>IFERROR(__xludf.DUMMYFUNCTION("""COMPUTED_VALUE"""),45217.0)</f>
        <v>45217</v>
      </c>
      <c r="O1450" s="45">
        <f>IFERROR(__xludf.DUMMYFUNCTION("""COMPUTED_VALUE"""),45222.0)</f>
        <v>45222</v>
      </c>
      <c r="P1450" s="45">
        <f>IFERROR(__xludf.DUMMYFUNCTION("""COMPUTED_VALUE"""),45264.0)</f>
        <v>45264</v>
      </c>
      <c r="Q1450" s="45"/>
      <c r="R1450" s="45"/>
      <c r="S1450" s="43"/>
      <c r="T1450" s="43"/>
      <c r="U1450" s="43" t="str">
        <f>IFERROR(__xludf.DUMMYFUNCTION("""COMPUTED_VALUE"""),"Fingerprint")</f>
        <v>Fingerprint</v>
      </c>
      <c r="V1450" s="43" t="str">
        <f>IFERROR(__xludf.DUMMYFUNCTION("""COMPUTED_VALUE"""),"AIESEC in Blida")</f>
        <v>AIESEC in Blida</v>
      </c>
      <c r="W1450" s="43" t="str">
        <f>IFERROR(__xludf.DUMMYFUNCTION("""COMPUTED_VALUE"""),"2023-05-22T14:15:22Z")</f>
        <v>2023-05-22T14:15:22Z</v>
      </c>
      <c r="X1450" s="43"/>
      <c r="Y1450" s="43"/>
      <c r="Z1450" s="43"/>
    </row>
    <row r="1451" hidden="1">
      <c r="A1451" s="43" t="str">
        <f>IFERROR(__xludf.DUMMYFUNCTION("""COMPUTED_VALUE"""),"5355692_1279126")</f>
        <v>5355692_1279126</v>
      </c>
      <c r="B1451" s="43" t="str">
        <f>IFERROR(__xludf.DUMMYFUNCTION("""COMPUTED_VALUE"""),"Emna Allegui")</f>
        <v>Emna Allegui</v>
      </c>
      <c r="C1451" s="43" t="str">
        <f>IFERROR(__xludf.DUMMYFUNCTION("""COMPUTED_VALUE"""),"approved")</f>
        <v>approved</v>
      </c>
      <c r="D1451" s="43" t="str">
        <f>IFERROR(__xludf.DUMMYFUNCTION("""COMPUTED_VALUE"""),"No")</f>
        <v>No</v>
      </c>
      <c r="E1451" s="43" t="str">
        <f>IFERROR(__xludf.DUMMYFUNCTION("""COMPUTED_VALUE"""),"p_b38094ff2a3d943eed3ee86eafb078e15c1351ed@inbound.aiesec.org")</f>
        <v>p_b38094ff2a3d943eed3ee86eafb078e15c1351ed@inbound.aiesec.org</v>
      </c>
      <c r="F1451" s="43">
        <f>IFERROR(__xludf.DUMMYFUNCTION("""COMPUTED_VALUE"""),9.3597235E7)</f>
        <v>93597235</v>
      </c>
      <c r="G1451" s="43" t="str">
        <f>IFERROR(__xludf.DUMMYFUNCTION("""COMPUTED_VALUE"""),"Tunisia")</f>
        <v>Tunisia</v>
      </c>
      <c r="H1451" s="43" t="str">
        <f>IFERROR(__xludf.DUMMYFUNCTION("""COMPUTED_VALUE"""),"Carthage")</f>
        <v>Carthage</v>
      </c>
      <c r="I1451" s="43" t="str">
        <f>IFERROR(__xludf.DUMMYFUNCTION("""COMPUTED_VALUE"""),"Turkey")</f>
        <v>Turkey</v>
      </c>
      <c r="J1451" s="43" t="str">
        <f>IFERROR(__xludf.DUMMYFUNCTION("""COMPUTED_VALUE"""),"KOCAELI")</f>
        <v>KOCAELI</v>
      </c>
      <c r="K1451" s="44" t="str">
        <f>IFERROR(__xludf.DUMMYFUNCTION("""COMPUTED_VALUE"""),"https://expa.aiesec.org/opportunities/1279126")</f>
        <v>https://expa.aiesec.org/opportunities/1279126</v>
      </c>
      <c r="L1451" s="43" t="str">
        <f>IFERROR(__xludf.DUMMYFUNCTION("""COMPUTED_VALUE"""),"GV")</f>
        <v>GV</v>
      </c>
      <c r="M1451" s="43" t="str">
        <f>IFERROR(__xludf.DUMMYFUNCTION("""COMPUTED_VALUE"""),"short")</f>
        <v>short</v>
      </c>
      <c r="N1451" s="45">
        <f>IFERROR(__xludf.DUMMYFUNCTION("""COMPUTED_VALUE"""),45218.0)</f>
        <v>45218</v>
      </c>
      <c r="O1451" s="45">
        <f>IFERROR(__xludf.DUMMYFUNCTION("""COMPUTED_VALUE"""),45481.0)</f>
        <v>45481</v>
      </c>
      <c r="P1451" s="45">
        <f>IFERROR(__xludf.DUMMYFUNCTION("""COMPUTED_VALUE"""),45523.0)</f>
        <v>45523</v>
      </c>
      <c r="Q1451" s="45"/>
      <c r="R1451" s="45"/>
      <c r="S1451" s="43"/>
      <c r="T1451" s="43"/>
      <c r="U1451" s="43" t="str">
        <f>IFERROR(__xludf.DUMMYFUNCTION("""COMPUTED_VALUE"""),"Global Classroom")</f>
        <v>Global Classroom</v>
      </c>
      <c r="V1451" s="43" t="str">
        <f>IFERROR(__xludf.DUMMYFUNCTION("""COMPUTED_VALUE"""),"IHEC Carthage")</f>
        <v>IHEC Carthage</v>
      </c>
      <c r="W1451" s="43" t="str">
        <f>IFERROR(__xludf.DUMMYFUNCTION("""COMPUTED_VALUE"""),"2023-10-19T16:58:54Z")</f>
        <v>2023-10-19T16:58:54Z</v>
      </c>
      <c r="X1451" s="43"/>
      <c r="Y1451" s="43"/>
      <c r="Z1451" s="43"/>
    </row>
    <row r="1452" hidden="1">
      <c r="A1452" s="43" t="str">
        <f>IFERROR(__xludf.DUMMYFUNCTION("""COMPUTED_VALUE"""),"5355710_1279126")</f>
        <v>5355710_1279126</v>
      </c>
      <c r="B1452" s="43" t="str">
        <f>IFERROR(__xludf.DUMMYFUNCTION("""COMPUTED_VALUE"""),"Mohamed aziz Jouini")</f>
        <v>Mohamed aziz Jouini</v>
      </c>
      <c r="C1452" s="43" t="str">
        <f>IFERROR(__xludf.DUMMYFUNCTION("""COMPUTED_VALUE"""),"approved")</f>
        <v>approved</v>
      </c>
      <c r="D1452" s="43" t="str">
        <f>IFERROR(__xludf.DUMMYFUNCTION("""COMPUTED_VALUE"""),"No")</f>
        <v>No</v>
      </c>
      <c r="E1452" s="43" t="str">
        <f>IFERROR(__xludf.DUMMYFUNCTION("""COMPUTED_VALUE"""),"p_b07b552b1f621060a073ca140c6fa1e8a14c00f1@inbound.aiesec.org")</f>
        <v>p_b07b552b1f621060a073ca140c6fa1e8a14c00f1@inbound.aiesec.org</v>
      </c>
      <c r="F1452" s="43">
        <f>IFERROR(__xludf.DUMMYFUNCTION("""COMPUTED_VALUE"""),2.8268482E7)</f>
        <v>28268482</v>
      </c>
      <c r="G1452" s="43" t="str">
        <f>IFERROR(__xludf.DUMMYFUNCTION("""COMPUTED_VALUE"""),"Tunisia")</f>
        <v>Tunisia</v>
      </c>
      <c r="H1452" s="43" t="str">
        <f>IFERROR(__xludf.DUMMYFUNCTION("""COMPUTED_VALUE"""),"Carthage")</f>
        <v>Carthage</v>
      </c>
      <c r="I1452" s="43" t="str">
        <f>IFERROR(__xludf.DUMMYFUNCTION("""COMPUTED_VALUE"""),"Turkey")</f>
        <v>Turkey</v>
      </c>
      <c r="J1452" s="43" t="str">
        <f>IFERROR(__xludf.DUMMYFUNCTION("""COMPUTED_VALUE"""),"KOCAELI")</f>
        <v>KOCAELI</v>
      </c>
      <c r="K1452" s="44" t="str">
        <f>IFERROR(__xludf.DUMMYFUNCTION("""COMPUTED_VALUE"""),"https://expa.aiesec.org/opportunities/1279126")</f>
        <v>https://expa.aiesec.org/opportunities/1279126</v>
      </c>
      <c r="L1452" s="43" t="str">
        <f>IFERROR(__xludf.DUMMYFUNCTION("""COMPUTED_VALUE"""),"GV")</f>
        <v>GV</v>
      </c>
      <c r="M1452" s="43" t="str">
        <f>IFERROR(__xludf.DUMMYFUNCTION("""COMPUTED_VALUE"""),"short")</f>
        <v>short</v>
      </c>
      <c r="N1452" s="45">
        <f>IFERROR(__xludf.DUMMYFUNCTION("""COMPUTED_VALUE"""),45218.0)</f>
        <v>45218</v>
      </c>
      <c r="O1452" s="45">
        <f>IFERROR(__xludf.DUMMYFUNCTION("""COMPUTED_VALUE"""),45481.0)</f>
        <v>45481</v>
      </c>
      <c r="P1452" s="45">
        <f>IFERROR(__xludf.DUMMYFUNCTION("""COMPUTED_VALUE"""),45523.0)</f>
        <v>45523</v>
      </c>
      <c r="Q1452" s="45"/>
      <c r="R1452" s="45"/>
      <c r="S1452" s="43"/>
      <c r="T1452" s="43"/>
      <c r="U1452" s="43" t="str">
        <f>IFERROR(__xludf.DUMMYFUNCTION("""COMPUTED_VALUE"""),"Global Classroom")</f>
        <v>Global Classroom</v>
      </c>
      <c r="V1452" s="43" t="str">
        <f>IFERROR(__xludf.DUMMYFUNCTION("""COMPUTED_VALUE"""),"IHEC Carthage")</f>
        <v>IHEC Carthage</v>
      </c>
      <c r="W1452" s="43" t="str">
        <f>IFERROR(__xludf.DUMMYFUNCTION("""COMPUTED_VALUE"""),"2023-10-19T17:23:31Z")</f>
        <v>2023-10-19T17:23:31Z</v>
      </c>
      <c r="X1452" s="43"/>
      <c r="Y1452" s="43"/>
      <c r="Z1452" s="43"/>
    </row>
    <row r="1453" hidden="1">
      <c r="A1453" s="43" t="str">
        <f>IFERROR(__xludf.DUMMYFUNCTION("""COMPUTED_VALUE"""),"5355680_1289347")</f>
        <v>5355680_1289347</v>
      </c>
      <c r="B1453" s="43" t="str">
        <f>IFERROR(__xludf.DUMMYFUNCTION("""COMPUTED_VALUE"""),"Maryem Fathallah")</f>
        <v>Maryem Fathallah</v>
      </c>
      <c r="C1453" s="43" t="str">
        <f>IFERROR(__xludf.DUMMYFUNCTION("""COMPUTED_VALUE"""),"approved")</f>
        <v>approved</v>
      </c>
      <c r="D1453" s="43" t="str">
        <f>IFERROR(__xludf.DUMMYFUNCTION("""COMPUTED_VALUE"""),"No")</f>
        <v>No</v>
      </c>
      <c r="E1453" s="43" t="str">
        <f>IFERROR(__xludf.DUMMYFUNCTION("""COMPUTED_VALUE"""),"p_d0d07cc2c58eeee1476ddd8044fa56cf10c65df2@inbound.aiesec.org")</f>
        <v>p_d0d07cc2c58eeee1476ddd8044fa56cf10c65df2@inbound.aiesec.org</v>
      </c>
      <c r="F1453" s="43">
        <f>IFERROR(__xludf.DUMMYFUNCTION("""COMPUTED_VALUE"""),2.9577245E7)</f>
        <v>29577245</v>
      </c>
      <c r="G1453" s="43" t="str">
        <f>IFERROR(__xludf.DUMMYFUNCTION("""COMPUTED_VALUE"""),"Tunisia")</f>
        <v>Tunisia</v>
      </c>
      <c r="H1453" s="43" t="str">
        <f>IFERROR(__xludf.DUMMYFUNCTION("""COMPUTED_VALUE"""),"HADRUMET")</f>
        <v>HADRUMET</v>
      </c>
      <c r="I1453" s="43" t="str">
        <f>IFERROR(__xludf.DUMMYFUNCTION("""COMPUTED_VALUE"""),"Turkey")</f>
        <v>Turkey</v>
      </c>
      <c r="J1453" s="43" t="str">
        <f>IFERROR(__xludf.DUMMYFUNCTION("""COMPUTED_VALUE"""),"ADANA")</f>
        <v>ADANA</v>
      </c>
      <c r="K1453" s="44" t="str">
        <f>IFERROR(__xludf.DUMMYFUNCTION("""COMPUTED_VALUE"""),"https://expa.aiesec.org/opportunities/1289347")</f>
        <v>https://expa.aiesec.org/opportunities/1289347</v>
      </c>
      <c r="L1453" s="43" t="str">
        <f>IFERROR(__xludf.DUMMYFUNCTION("""COMPUTED_VALUE"""),"GV")</f>
        <v>GV</v>
      </c>
      <c r="M1453" s="43" t="str">
        <f>IFERROR(__xludf.DUMMYFUNCTION("""COMPUTED_VALUE"""),"short")</f>
        <v>short</v>
      </c>
      <c r="N1453" s="45">
        <f>IFERROR(__xludf.DUMMYFUNCTION("""COMPUTED_VALUE"""),45219.0)</f>
        <v>45219</v>
      </c>
      <c r="O1453" s="45">
        <f>IFERROR(__xludf.DUMMYFUNCTION("""COMPUTED_VALUE"""),45474.0)</f>
        <v>45474</v>
      </c>
      <c r="P1453" s="45">
        <f>IFERROR(__xludf.DUMMYFUNCTION("""COMPUTED_VALUE"""),45516.0)</f>
        <v>45516</v>
      </c>
      <c r="Q1453" s="45"/>
      <c r="R1453" s="45"/>
      <c r="S1453" s="43"/>
      <c r="T1453" s="43"/>
      <c r="U1453" s="43" t="str">
        <f>IFERROR(__xludf.DUMMYFUNCTION("""COMPUTED_VALUE"""),"Global Classroom")</f>
        <v>Global Classroom</v>
      </c>
      <c r="V1453" s="43" t="str">
        <f>IFERROR(__xludf.DUMMYFUNCTION("""COMPUTED_VALUE"""),"ISG Sousse")</f>
        <v>ISG Sousse</v>
      </c>
      <c r="W1453" s="43" t="str">
        <f>IFERROR(__xludf.DUMMYFUNCTION("""COMPUTED_VALUE"""),"2023-10-19T16:33:43Z")</f>
        <v>2023-10-19T16:33:43Z</v>
      </c>
      <c r="X1453" s="43"/>
      <c r="Y1453" s="43"/>
      <c r="Z1453" s="43"/>
    </row>
    <row r="1454" hidden="1">
      <c r="A1454" s="43" t="str">
        <f>IFERROR(__xludf.DUMMYFUNCTION("""COMPUTED_VALUE"""),"5354584_1294795")</f>
        <v>5354584_1294795</v>
      </c>
      <c r="B1454" s="43" t="str">
        <f>IFERROR(__xludf.DUMMYFUNCTION("""COMPUTED_VALUE"""),"Youstina Salah")</f>
        <v>Youstina Salah</v>
      </c>
      <c r="C1454" s="43" t="str">
        <f>IFERROR(__xludf.DUMMYFUNCTION("""COMPUTED_VALUE"""),"approved")</f>
        <v>approved</v>
      </c>
      <c r="D1454" s="43" t="str">
        <f>IFERROR(__xludf.DUMMYFUNCTION("""COMPUTED_VALUE"""),"No")</f>
        <v>No</v>
      </c>
      <c r="E1454" s="43" t="str">
        <f>IFERROR(__xludf.DUMMYFUNCTION("""COMPUTED_VALUE"""),"p_f32bb28dd7d8c0d4e68e9a9f48c6085fc0c6a685@inbound.aiesec.org")</f>
        <v>p_f32bb28dd7d8c0d4e68e9a9f48c6085fc0c6a685@inbound.aiesec.org</v>
      </c>
      <c r="F1454" s="43">
        <f>IFERROR(__xludf.DUMMYFUNCTION("""COMPUTED_VALUE"""),1.270497289E9)</f>
        <v>1270497289</v>
      </c>
      <c r="G1454" s="43" t="str">
        <f>IFERROR(__xludf.DUMMYFUNCTION("""COMPUTED_VALUE"""),"Egypt")</f>
        <v>Egypt</v>
      </c>
      <c r="H1454" s="43" t="str">
        <f>IFERROR(__xludf.DUMMYFUNCTION("""COMPUTED_VALUE"""),"MUST")</f>
        <v>MUST</v>
      </c>
      <c r="I1454" s="43" t="str">
        <f>IFERROR(__xludf.DUMMYFUNCTION("""COMPUTED_VALUE"""),"Turkey")</f>
        <v>Turkey</v>
      </c>
      <c r="J1454" s="43" t="str">
        <f>IFERROR(__xludf.DUMMYFUNCTION("""COMPUTED_VALUE"""),"ADANA")</f>
        <v>ADANA</v>
      </c>
      <c r="K1454" s="44" t="str">
        <f>IFERROR(__xludf.DUMMYFUNCTION("""COMPUTED_VALUE"""),"https://expa.aiesec.org/opportunities/1294795")</f>
        <v>https://expa.aiesec.org/opportunities/1294795</v>
      </c>
      <c r="L1454" s="43" t="str">
        <f>IFERROR(__xludf.DUMMYFUNCTION("""COMPUTED_VALUE"""),"GV")</f>
        <v>GV</v>
      </c>
      <c r="M1454" s="43" t="str">
        <f>IFERROR(__xludf.DUMMYFUNCTION("""COMPUTED_VALUE"""),"short")</f>
        <v>short</v>
      </c>
      <c r="N1454" s="45">
        <f>IFERROR(__xludf.DUMMYFUNCTION("""COMPUTED_VALUE"""),45219.0)</f>
        <v>45219</v>
      </c>
      <c r="O1454" s="45">
        <f>IFERROR(__xludf.DUMMYFUNCTION("""COMPUTED_VALUE"""),45327.0)</f>
        <v>45327</v>
      </c>
      <c r="P1454" s="45">
        <f>IFERROR(__xludf.DUMMYFUNCTION("""COMPUTED_VALUE"""),45369.0)</f>
        <v>45369</v>
      </c>
      <c r="Q1454" s="45"/>
      <c r="R1454" s="45"/>
      <c r="S1454" s="43"/>
      <c r="T1454" s="43"/>
      <c r="U1454" s="43" t="str">
        <f>IFERROR(__xludf.DUMMYFUNCTION("""COMPUTED_VALUE"""),"Global Classroom")</f>
        <v>Global Classroom</v>
      </c>
      <c r="V1454" s="43" t="str">
        <f>IFERROR(__xludf.DUMMYFUNCTION("""COMPUTED_VALUE"""),"MUST University")</f>
        <v>MUST University</v>
      </c>
      <c r="W1454" s="43" t="str">
        <f>IFERROR(__xludf.DUMMYFUNCTION("""COMPUTED_VALUE"""),"2023-10-18T11:22:23Z")</f>
        <v>2023-10-18T11:22:23Z</v>
      </c>
      <c r="X1454" s="43"/>
      <c r="Y1454" s="43"/>
      <c r="Z1454" s="43"/>
    </row>
    <row r="1455" hidden="1">
      <c r="A1455" s="43" t="str">
        <f>IFERROR(__xludf.DUMMYFUNCTION("""COMPUTED_VALUE"""),"3742064_1286326")</f>
        <v>3742064_1286326</v>
      </c>
      <c r="B1455" s="43" t="str">
        <f>IFERROR(__xludf.DUMMYFUNCTION("""COMPUTED_VALUE"""),"kousar anisa")</f>
        <v>kousar anisa</v>
      </c>
      <c r="C1455" s="43" t="str">
        <f>IFERROR(__xludf.DUMMYFUNCTION("""COMPUTED_VALUE"""),"finished")</f>
        <v>finished</v>
      </c>
      <c r="D1455" s="43" t="str">
        <f>IFERROR(__xludf.DUMMYFUNCTION("""COMPUTED_VALUE"""),"No")</f>
        <v>No</v>
      </c>
      <c r="E1455" s="43" t="str">
        <f>IFERROR(__xludf.DUMMYFUNCTION("""COMPUTED_VALUE"""),"p_307ed5e98cc7d8020f02cf03bdf1e81c00a826ef@inbound.aiesec.org")</f>
        <v>p_307ed5e98cc7d8020f02cf03bdf1e81c00a826ef@inbound.aiesec.org</v>
      </c>
      <c r="F1455" s="43">
        <f>IFERROR(__xludf.DUMMYFUNCTION("""COMPUTED_VALUE"""),6.716464E7)</f>
        <v>67164640</v>
      </c>
      <c r="G1455" s="43" t="str">
        <f>IFERROR(__xludf.DUMMYFUNCTION("""COMPUTED_VALUE"""),"Hong Kong")</f>
        <v>Hong Kong</v>
      </c>
      <c r="H1455" s="43" t="str">
        <f>IFERROR(__xludf.DUMMYFUNCTION("""COMPUTED_VALUE"""),"PolyU")</f>
        <v>PolyU</v>
      </c>
      <c r="I1455" s="43" t="str">
        <f>IFERROR(__xludf.DUMMYFUNCTION("""COMPUTED_VALUE"""),"Turkey")</f>
        <v>Turkey</v>
      </c>
      <c r="J1455" s="43" t="str">
        <f>IFERROR(__xludf.DUMMYFUNCTION("""COMPUTED_VALUE"""),"ADANA")</f>
        <v>ADANA</v>
      </c>
      <c r="K1455" s="44" t="str">
        <f>IFERROR(__xludf.DUMMYFUNCTION("""COMPUTED_VALUE"""),"https://expa.aiesec.org/opportunities/1286326")</f>
        <v>https://expa.aiesec.org/opportunities/1286326</v>
      </c>
      <c r="L1455" s="43" t="str">
        <f>IFERROR(__xludf.DUMMYFUNCTION("""COMPUTED_VALUE"""),"GV")</f>
        <v>GV</v>
      </c>
      <c r="M1455" s="43" t="str">
        <f>IFERROR(__xludf.DUMMYFUNCTION("""COMPUTED_VALUE"""),"short")</f>
        <v>short</v>
      </c>
      <c r="N1455" s="45">
        <f>IFERROR(__xludf.DUMMYFUNCTION("""COMPUTED_VALUE"""),45219.0)</f>
        <v>45219</v>
      </c>
      <c r="O1455" s="45">
        <f>IFERROR(__xludf.DUMMYFUNCTION("""COMPUTED_VALUE"""),45250.0)</f>
        <v>45250</v>
      </c>
      <c r="P1455" s="45">
        <f>IFERROR(__xludf.DUMMYFUNCTION("""COMPUTED_VALUE"""),45292.0)</f>
        <v>45292</v>
      </c>
      <c r="Q1455" s="45">
        <f>IFERROR(__xludf.DUMMYFUNCTION("""COMPUTED_VALUE"""),45257.0)</f>
        <v>45257</v>
      </c>
      <c r="R1455" s="45">
        <f>IFERROR(__xludf.DUMMYFUNCTION("""COMPUTED_VALUE"""),45299.0)</f>
        <v>45299</v>
      </c>
      <c r="S1455" s="43"/>
      <c r="T1455" s="43"/>
      <c r="U1455" s="43" t="str">
        <f>IFERROR(__xludf.DUMMYFUNCTION("""COMPUTED_VALUE"""),"Equify")</f>
        <v>Equify</v>
      </c>
      <c r="V1455" s="43" t="str">
        <f>IFERROR(__xludf.DUMMYFUNCTION("""COMPUTED_VALUE"""),"PolyU School of Professional Education and Executive Development")</f>
        <v>PolyU School of Professional Education and Executive Development</v>
      </c>
      <c r="W1455" s="43" t="str">
        <f>IFERROR(__xludf.DUMMYFUNCTION("""COMPUTED_VALUE"""),"2019-08-05T14:57:15Z")</f>
        <v>2019-08-05T14:57:15Z</v>
      </c>
      <c r="X1455" s="43"/>
      <c r="Y1455" s="43"/>
      <c r="Z1455" s="43"/>
    </row>
    <row r="1456" hidden="1">
      <c r="A1456" s="43" t="str">
        <f>IFERROR(__xludf.DUMMYFUNCTION("""COMPUTED_VALUE"""),"5310331_1298284")</f>
        <v>5310331_1298284</v>
      </c>
      <c r="B1456" s="43" t="str">
        <f>IFERROR(__xludf.DUMMYFUNCTION("""COMPUTED_VALUE"""),"Pallavi Chanana")</f>
        <v>Pallavi Chanana</v>
      </c>
      <c r="C1456" s="43" t="str">
        <f>IFERROR(__xludf.DUMMYFUNCTION("""COMPUTED_VALUE"""),"realization_broken")</f>
        <v>realization_broken</v>
      </c>
      <c r="D1456" s="43" t="str">
        <f>IFERROR(__xludf.DUMMYFUNCTION("""COMPUTED_VALUE"""),"No")</f>
        <v>No</v>
      </c>
      <c r="E1456" s="43" t="str">
        <f>IFERROR(__xludf.DUMMYFUNCTION("""COMPUTED_VALUE"""),"p_6f640af7a7902d0a1d5a68d31443dcc3e4d8b7a2@inbound.aiesec.org")</f>
        <v>p_6f640af7a7902d0a1d5a68d31443dcc3e4d8b7a2@inbound.aiesec.org</v>
      </c>
      <c r="F1456" s="43"/>
      <c r="G1456" s="43" t="str">
        <f>IFERROR(__xludf.DUMMYFUNCTION("""COMPUTED_VALUE"""),"India")</f>
        <v>India</v>
      </c>
      <c r="H1456" s="43" t="str">
        <f>IFERROR(__xludf.DUMMYFUNCTION("""COMPUTED_VALUE"""),"Delhi IIT")</f>
        <v>Delhi IIT</v>
      </c>
      <c r="I1456" s="43" t="str">
        <f>IFERROR(__xludf.DUMMYFUNCTION("""COMPUTED_VALUE"""),"Turkey")</f>
        <v>Turkey</v>
      </c>
      <c r="J1456" s="43" t="str">
        <f>IFERROR(__xludf.DUMMYFUNCTION("""COMPUTED_VALUE"""),"ISTANBUL")</f>
        <v>ISTANBUL</v>
      </c>
      <c r="K1456" s="44" t="str">
        <f>IFERROR(__xludf.DUMMYFUNCTION("""COMPUTED_VALUE"""),"https://expa.aiesec.org/opportunities/1298284")</f>
        <v>https://expa.aiesec.org/opportunities/1298284</v>
      </c>
      <c r="L1456" s="43" t="str">
        <f>IFERROR(__xludf.DUMMYFUNCTION("""COMPUTED_VALUE"""),"GV")</f>
        <v>GV</v>
      </c>
      <c r="M1456" s="43" t="str">
        <f>IFERROR(__xludf.DUMMYFUNCTION("""COMPUTED_VALUE"""),"short")</f>
        <v>short</v>
      </c>
      <c r="N1456" s="45">
        <f>IFERROR(__xludf.DUMMYFUNCTION("""COMPUTED_VALUE"""),45219.0)</f>
        <v>45219</v>
      </c>
      <c r="O1456" s="45">
        <f>IFERROR(__xludf.DUMMYFUNCTION("""COMPUTED_VALUE"""),45249.0)</f>
        <v>45249</v>
      </c>
      <c r="P1456" s="45">
        <f>IFERROR(__xludf.DUMMYFUNCTION("""COMPUTED_VALUE"""),45291.0)</f>
        <v>45291</v>
      </c>
      <c r="Q1456" s="45"/>
      <c r="R1456" s="45"/>
      <c r="S1456" s="43"/>
      <c r="T1456" s="43"/>
      <c r="U1456" s="43" t="str">
        <f>IFERROR(__xludf.DUMMYFUNCTION("""COMPUTED_VALUE"""),"Global Classroom")</f>
        <v>Global Classroom</v>
      </c>
      <c r="V1456" s="43" t="str">
        <f>IFERROR(__xludf.DUMMYFUNCTION("""COMPUTED_VALUE"""),"-")</f>
        <v>-</v>
      </c>
      <c r="W1456" s="43" t="str">
        <f>IFERROR(__xludf.DUMMYFUNCTION("""COMPUTED_VALUE"""),"2023-08-26T15:56:49Z")</f>
        <v>2023-08-26T15:56:49Z</v>
      </c>
      <c r="X1456" s="43"/>
      <c r="Y1456" s="43"/>
      <c r="Z1456" s="43"/>
    </row>
    <row r="1457" hidden="1">
      <c r="A1457" s="43" t="str">
        <f>IFERROR(__xludf.DUMMYFUNCTION("""COMPUTED_VALUE"""),"5324324_1286326")</f>
        <v>5324324_1286326</v>
      </c>
      <c r="B1457" s="43" t="str">
        <f>IFERROR(__xludf.DUMMYFUNCTION("""COMPUTED_VALUE"""),"vedaang kapoor")</f>
        <v>vedaang kapoor</v>
      </c>
      <c r="C1457" s="43" t="str">
        <f>IFERROR(__xludf.DUMMYFUNCTION("""COMPUTED_VALUE"""),"approved")</f>
        <v>approved</v>
      </c>
      <c r="D1457" s="43" t="str">
        <f>IFERROR(__xludf.DUMMYFUNCTION("""COMPUTED_VALUE"""),"No")</f>
        <v>No</v>
      </c>
      <c r="E1457" s="43" t="str">
        <f>IFERROR(__xludf.DUMMYFUNCTION("""COMPUTED_VALUE"""),"p_900e2dd6e7270afb658591e357ea60dd686bfe08@inbound.aiesec.org")</f>
        <v>p_900e2dd6e7270afb658591e357ea60dd686bfe08@inbound.aiesec.org</v>
      </c>
      <c r="F1457" s="43"/>
      <c r="G1457" s="43" t="str">
        <f>IFERROR(__xludf.DUMMYFUNCTION("""COMPUTED_VALUE"""),"India")</f>
        <v>India</v>
      </c>
      <c r="H1457" s="43" t="str">
        <f>IFERROR(__xludf.DUMMYFUNCTION("""COMPUTED_VALUE"""),"Delhi IIT")</f>
        <v>Delhi IIT</v>
      </c>
      <c r="I1457" s="43" t="str">
        <f>IFERROR(__xludf.DUMMYFUNCTION("""COMPUTED_VALUE"""),"Turkey")</f>
        <v>Turkey</v>
      </c>
      <c r="J1457" s="43" t="str">
        <f>IFERROR(__xludf.DUMMYFUNCTION("""COMPUTED_VALUE"""),"ADANA")</f>
        <v>ADANA</v>
      </c>
      <c r="K1457" s="44" t="str">
        <f>IFERROR(__xludf.DUMMYFUNCTION("""COMPUTED_VALUE"""),"https://expa.aiesec.org/opportunities/1286326")</f>
        <v>https://expa.aiesec.org/opportunities/1286326</v>
      </c>
      <c r="L1457" s="43" t="str">
        <f>IFERROR(__xludf.DUMMYFUNCTION("""COMPUTED_VALUE"""),"GV")</f>
        <v>GV</v>
      </c>
      <c r="M1457" s="43" t="str">
        <f>IFERROR(__xludf.DUMMYFUNCTION("""COMPUTED_VALUE"""),"short")</f>
        <v>short</v>
      </c>
      <c r="N1457" s="45">
        <f>IFERROR(__xludf.DUMMYFUNCTION("""COMPUTED_VALUE"""),45219.0)</f>
        <v>45219</v>
      </c>
      <c r="O1457" s="45">
        <f>IFERROR(__xludf.DUMMYFUNCTION("""COMPUTED_VALUE"""),45299.0)</f>
        <v>45299</v>
      </c>
      <c r="P1457" s="45">
        <f>IFERROR(__xludf.DUMMYFUNCTION("""COMPUTED_VALUE"""),45341.0)</f>
        <v>45341</v>
      </c>
      <c r="Q1457" s="45"/>
      <c r="R1457" s="45"/>
      <c r="S1457" s="43"/>
      <c r="T1457" s="43"/>
      <c r="U1457" s="43" t="str">
        <f>IFERROR(__xludf.DUMMYFUNCTION("""COMPUTED_VALUE"""),"Equify")</f>
        <v>Equify</v>
      </c>
      <c r="V1457" s="43" t="str">
        <f>IFERROR(__xludf.DUMMYFUNCTION("""COMPUTED_VALUE"""),"-")</f>
        <v>-</v>
      </c>
      <c r="W1457" s="43" t="str">
        <f>IFERROR(__xludf.DUMMYFUNCTION("""COMPUTED_VALUE"""),"2023-09-15T06:58:50Z")</f>
        <v>2023-09-15T06:58:50Z</v>
      </c>
      <c r="X1457" s="43"/>
      <c r="Y1457" s="43"/>
      <c r="Z1457" s="43"/>
    </row>
    <row r="1458" hidden="1">
      <c r="A1458" s="43" t="str">
        <f>IFERROR(__xludf.DUMMYFUNCTION("""COMPUTED_VALUE"""),"5159036_1288663")</f>
        <v>5159036_1288663</v>
      </c>
      <c r="B1458" s="43" t="str">
        <f>IFERROR(__xludf.DUMMYFUNCTION("""COMPUTED_VALUE"""),"Aasis Sethi")</f>
        <v>Aasis Sethi</v>
      </c>
      <c r="C1458" s="43" t="str">
        <f>IFERROR(__xludf.DUMMYFUNCTION("""COMPUTED_VALUE"""),"approved")</f>
        <v>approved</v>
      </c>
      <c r="D1458" s="43" t="str">
        <f>IFERROR(__xludf.DUMMYFUNCTION("""COMPUTED_VALUE"""),"No")</f>
        <v>No</v>
      </c>
      <c r="E1458" s="43" t="str">
        <f>IFERROR(__xludf.DUMMYFUNCTION("""COMPUTED_VALUE"""),"p_bb9d8898a9415116f0e37a482ad1bd4214862986@inbound.aiesec.org")</f>
        <v>p_bb9d8898a9415116f0e37a482ad1bd4214862986@inbound.aiesec.org</v>
      </c>
      <c r="F1458" s="43">
        <f>IFERROR(__xludf.DUMMYFUNCTION("""COMPUTED_VALUE"""),8.76620554E9)</f>
        <v>8766205540</v>
      </c>
      <c r="G1458" s="43" t="str">
        <f>IFERROR(__xludf.DUMMYFUNCTION("""COMPUTED_VALUE"""),"India")</f>
        <v>India</v>
      </c>
      <c r="H1458" s="43" t="str">
        <f>IFERROR(__xludf.DUMMYFUNCTION("""COMPUTED_VALUE"""),"Delhi University")</f>
        <v>Delhi University</v>
      </c>
      <c r="I1458" s="43" t="str">
        <f>IFERROR(__xludf.DUMMYFUNCTION("""COMPUTED_VALUE"""),"Turkey")</f>
        <v>Turkey</v>
      </c>
      <c r="J1458" s="43" t="str">
        <f>IFERROR(__xludf.DUMMYFUNCTION("""COMPUTED_VALUE"""),"İZMİR")</f>
        <v>İZMİR</v>
      </c>
      <c r="K1458" s="44" t="str">
        <f>IFERROR(__xludf.DUMMYFUNCTION("""COMPUTED_VALUE"""),"https://expa.aiesec.org/opportunities/1288663")</f>
        <v>https://expa.aiesec.org/opportunities/1288663</v>
      </c>
      <c r="L1458" s="43" t="str">
        <f>IFERROR(__xludf.DUMMYFUNCTION("""COMPUTED_VALUE"""),"GV")</f>
        <v>GV</v>
      </c>
      <c r="M1458" s="43" t="str">
        <f>IFERROR(__xludf.DUMMYFUNCTION("""COMPUTED_VALUE"""),"short")</f>
        <v>short</v>
      </c>
      <c r="N1458" s="45">
        <f>IFERROR(__xludf.DUMMYFUNCTION("""COMPUTED_VALUE"""),45219.0)</f>
        <v>45219</v>
      </c>
      <c r="O1458" s="45">
        <f>IFERROR(__xludf.DUMMYFUNCTION("""COMPUTED_VALUE"""),45333.0)</f>
        <v>45333</v>
      </c>
      <c r="P1458" s="45">
        <f>IFERROR(__xludf.DUMMYFUNCTION("""COMPUTED_VALUE"""),45375.0)</f>
        <v>45375</v>
      </c>
      <c r="Q1458" s="45"/>
      <c r="R1458" s="45"/>
      <c r="S1458" s="43"/>
      <c r="T1458" s="43"/>
      <c r="U1458" s="43" t="str">
        <f>IFERROR(__xludf.DUMMYFUNCTION("""COMPUTED_VALUE"""),"Global Classroom")</f>
        <v>Global Classroom</v>
      </c>
      <c r="V1458" s="43" t="str">
        <f>IFERROR(__xludf.DUMMYFUNCTION("""COMPUTED_VALUE"""),"North Campus, Delhi University")</f>
        <v>North Campus, Delhi University</v>
      </c>
      <c r="W1458" s="43" t="str">
        <f>IFERROR(__xludf.DUMMYFUNCTION("""COMPUTED_VALUE"""),"2022-11-26T06:29:07Z")</f>
        <v>2022-11-26T06:29:07Z</v>
      </c>
      <c r="X1458" s="43"/>
      <c r="Y1458" s="43"/>
      <c r="Z1458" s="43"/>
    </row>
    <row r="1459" hidden="1">
      <c r="A1459" s="43" t="str">
        <f>IFERROR(__xludf.DUMMYFUNCTION("""COMPUTED_VALUE"""),"5356301_1289347")</f>
        <v>5356301_1289347</v>
      </c>
      <c r="B1459" s="43" t="str">
        <f>IFERROR(__xludf.DUMMYFUNCTION("""COMPUTED_VALUE"""),"asma gharsalli")</f>
        <v>asma gharsalli</v>
      </c>
      <c r="C1459" s="43" t="str">
        <f>IFERROR(__xludf.DUMMYFUNCTION("""COMPUTED_VALUE"""),"approved")</f>
        <v>approved</v>
      </c>
      <c r="D1459" s="43" t="str">
        <f>IFERROR(__xludf.DUMMYFUNCTION("""COMPUTED_VALUE"""),"No")</f>
        <v>No</v>
      </c>
      <c r="E1459" s="43" t="str">
        <f>IFERROR(__xludf.DUMMYFUNCTION("""COMPUTED_VALUE"""),"p_5d27477921c2a59de61989582c4b0e92025e4719@inbound.aiesec.org")</f>
        <v>p_5d27477921c2a59de61989582c4b0e92025e4719@inbound.aiesec.org</v>
      </c>
      <c r="F1459" s="43">
        <f>IFERROR(__xludf.DUMMYFUNCTION("""COMPUTED_VALUE"""),2.988394E7)</f>
        <v>29883940</v>
      </c>
      <c r="G1459" s="43" t="str">
        <f>IFERROR(__xludf.DUMMYFUNCTION("""COMPUTED_VALUE"""),"Tunisia")</f>
        <v>Tunisia</v>
      </c>
      <c r="H1459" s="43" t="str">
        <f>IFERROR(__xludf.DUMMYFUNCTION("""COMPUTED_VALUE"""),"HADRUMET")</f>
        <v>HADRUMET</v>
      </c>
      <c r="I1459" s="43" t="str">
        <f>IFERROR(__xludf.DUMMYFUNCTION("""COMPUTED_VALUE"""),"Turkey")</f>
        <v>Turkey</v>
      </c>
      <c r="J1459" s="43" t="str">
        <f>IFERROR(__xludf.DUMMYFUNCTION("""COMPUTED_VALUE"""),"ADANA")</f>
        <v>ADANA</v>
      </c>
      <c r="K1459" s="44" t="str">
        <f>IFERROR(__xludf.DUMMYFUNCTION("""COMPUTED_VALUE"""),"https://expa.aiesec.org/opportunities/1289347")</f>
        <v>https://expa.aiesec.org/opportunities/1289347</v>
      </c>
      <c r="L1459" s="43" t="str">
        <f>IFERROR(__xludf.DUMMYFUNCTION("""COMPUTED_VALUE"""),"GV")</f>
        <v>GV</v>
      </c>
      <c r="M1459" s="43" t="str">
        <f>IFERROR(__xludf.DUMMYFUNCTION("""COMPUTED_VALUE"""),"short")</f>
        <v>short</v>
      </c>
      <c r="N1459" s="45">
        <f>IFERROR(__xludf.DUMMYFUNCTION("""COMPUTED_VALUE"""),45219.0)</f>
        <v>45219</v>
      </c>
      <c r="O1459" s="45">
        <f>IFERROR(__xludf.DUMMYFUNCTION("""COMPUTED_VALUE"""),45474.0)</f>
        <v>45474</v>
      </c>
      <c r="P1459" s="45">
        <f>IFERROR(__xludf.DUMMYFUNCTION("""COMPUTED_VALUE"""),45516.0)</f>
        <v>45516</v>
      </c>
      <c r="Q1459" s="45"/>
      <c r="R1459" s="45"/>
      <c r="S1459" s="43"/>
      <c r="T1459" s="43"/>
      <c r="U1459" s="43" t="str">
        <f>IFERROR(__xludf.DUMMYFUNCTION("""COMPUTED_VALUE"""),"Global Classroom")</f>
        <v>Global Classroom</v>
      </c>
      <c r="V1459" s="43" t="str">
        <f>IFERROR(__xludf.DUMMYFUNCTION("""COMPUTED_VALUE"""),"ISG Sousse")</f>
        <v>ISG Sousse</v>
      </c>
      <c r="W1459" s="43" t="str">
        <f>IFERROR(__xludf.DUMMYFUNCTION("""COMPUTED_VALUE"""),"2023-10-20T16:22:48Z")</f>
        <v>2023-10-20T16:22:48Z</v>
      </c>
      <c r="X1459" s="43"/>
      <c r="Y1459" s="43"/>
      <c r="Z1459" s="43"/>
    </row>
    <row r="1460" hidden="1">
      <c r="A1460" s="43" t="str">
        <f>IFERROR(__xludf.DUMMYFUNCTION("""COMPUTED_VALUE"""),"5347921_1281357")</f>
        <v>5347921_1281357</v>
      </c>
      <c r="B1460" s="43" t="str">
        <f>IFERROR(__xludf.DUMMYFUNCTION("""COMPUTED_VALUE"""),"Gursimar Sodhi")</f>
        <v>Gursimar Sodhi</v>
      </c>
      <c r="C1460" s="43" t="str">
        <f>IFERROR(__xludf.DUMMYFUNCTION("""COMPUTED_VALUE"""),"realized")</f>
        <v>realized</v>
      </c>
      <c r="D1460" s="43" t="str">
        <f>IFERROR(__xludf.DUMMYFUNCTION("""COMPUTED_VALUE"""),"No")</f>
        <v>No</v>
      </c>
      <c r="E1460" s="43" t="str">
        <f>IFERROR(__xludf.DUMMYFUNCTION("""COMPUTED_VALUE"""),"p_6ead2e34c2e1478bdbdf1ddd0f022f2fb9ce3788@inbound.aiesec.org")</f>
        <v>p_6ead2e34c2e1478bdbdf1ddd0f022f2fb9ce3788@inbound.aiesec.org</v>
      </c>
      <c r="F1460" s="43">
        <f>IFERROR(__xludf.DUMMYFUNCTION("""COMPUTED_VALUE"""),6.38013639E9)</f>
        <v>6380136390</v>
      </c>
      <c r="G1460" s="43" t="str">
        <f>IFERROR(__xludf.DUMMYFUNCTION("""COMPUTED_VALUE"""),"India")</f>
        <v>India</v>
      </c>
      <c r="H1460" s="43" t="str">
        <f>IFERROR(__xludf.DUMMYFUNCTION("""COMPUTED_VALUE"""),"Ludhiana")</f>
        <v>Ludhiana</v>
      </c>
      <c r="I1460" s="43" t="str">
        <f>IFERROR(__xludf.DUMMYFUNCTION("""COMPUTED_VALUE"""),"Turkey")</f>
        <v>Turkey</v>
      </c>
      <c r="J1460" s="43" t="str">
        <f>IFERROR(__xludf.DUMMYFUNCTION("""COMPUTED_VALUE"""),"GAZIANTEP")</f>
        <v>GAZIANTEP</v>
      </c>
      <c r="K1460" s="44" t="str">
        <f>IFERROR(__xludf.DUMMYFUNCTION("""COMPUTED_VALUE"""),"https://expa.aiesec.org/opportunities/1281357")</f>
        <v>https://expa.aiesec.org/opportunities/1281357</v>
      </c>
      <c r="L1460" s="43" t="str">
        <f>IFERROR(__xludf.DUMMYFUNCTION("""COMPUTED_VALUE"""),"GV")</f>
        <v>GV</v>
      </c>
      <c r="M1460" s="43" t="str">
        <f>IFERROR(__xludf.DUMMYFUNCTION("""COMPUTED_VALUE"""),"short")</f>
        <v>short</v>
      </c>
      <c r="N1460" s="45">
        <f>IFERROR(__xludf.DUMMYFUNCTION("""COMPUTED_VALUE"""),45219.0)</f>
        <v>45219</v>
      </c>
      <c r="O1460" s="45">
        <f>IFERROR(__xludf.DUMMYFUNCTION("""COMPUTED_VALUE"""),45294.0)</f>
        <v>45294</v>
      </c>
      <c r="P1460" s="45">
        <f>IFERROR(__xludf.DUMMYFUNCTION("""COMPUTED_VALUE"""),45336.0)</f>
        <v>45336</v>
      </c>
      <c r="Q1460" s="45">
        <f>IFERROR(__xludf.DUMMYFUNCTION("""COMPUTED_VALUE"""),45295.0)</f>
        <v>45295</v>
      </c>
      <c r="R1460" s="45">
        <f>IFERROR(__xludf.DUMMYFUNCTION("""COMPUTED_VALUE"""),45337.0)</f>
        <v>45337</v>
      </c>
      <c r="S1460" s="43"/>
      <c r="T1460" s="43"/>
      <c r="U1460" s="43" t="str">
        <f>IFERROR(__xludf.DUMMYFUNCTION("""COMPUTED_VALUE"""),"Global Classroom")</f>
        <v>Global Classroom</v>
      </c>
      <c r="V1460" s="43" t="str">
        <f>IFERROR(__xludf.DUMMYFUNCTION("""COMPUTED_VALUE"""),"SCD Govt. College, Ludhiana")</f>
        <v>SCD Govt. College, Ludhiana</v>
      </c>
      <c r="W1460" s="43" t="str">
        <f>IFERROR(__xludf.DUMMYFUNCTION("""COMPUTED_VALUE"""),"2023-10-10T12:23:40Z")</f>
        <v>2023-10-10T12:23:40Z</v>
      </c>
      <c r="X1460" s="43"/>
      <c r="Y1460" s="43"/>
      <c r="Z1460" s="43"/>
    </row>
    <row r="1461" hidden="1">
      <c r="A1461" s="43" t="str">
        <f>IFERROR(__xludf.DUMMYFUNCTION("""COMPUTED_VALUE"""),"5195890_1272564")</f>
        <v>5195890_1272564</v>
      </c>
      <c r="B1461" s="43" t="str">
        <f>IFERROR(__xludf.DUMMYFUNCTION("""COMPUTED_VALUE"""),"Daryna Demianishyna")</f>
        <v>Daryna Demianishyna</v>
      </c>
      <c r="C1461" s="43" t="str">
        <f>IFERROR(__xludf.DUMMYFUNCTION("""COMPUTED_VALUE"""),"approved")</f>
        <v>approved</v>
      </c>
      <c r="D1461" s="43" t="str">
        <f>IFERROR(__xludf.DUMMYFUNCTION("""COMPUTED_VALUE"""),"No")</f>
        <v>No</v>
      </c>
      <c r="E1461" s="43" t="str">
        <f>IFERROR(__xludf.DUMMYFUNCTION("""COMPUTED_VALUE"""),"p_5ca40e0f5a9502b141e74da23cc52114cc6267e1@inbound.aiesec.org")</f>
        <v>p_5ca40e0f5a9502b141e74da23cc52114cc6267e1@inbound.aiesec.org</v>
      </c>
      <c r="F1461" s="43">
        <f>IFERROR(__xludf.DUMMYFUNCTION("""COMPUTED_VALUE"""),9.72951879E8)</f>
        <v>972951879</v>
      </c>
      <c r="G1461" s="43" t="str">
        <f>IFERROR(__xludf.DUMMYFUNCTION("""COMPUTED_VALUE"""),"Ukraine")</f>
        <v>Ukraine</v>
      </c>
      <c r="H1461" s="43" t="str">
        <f>IFERROR(__xludf.DUMMYFUNCTION("""COMPUTED_VALUE"""),"KYIV")</f>
        <v>KYIV</v>
      </c>
      <c r="I1461" s="43" t="str">
        <f>IFERROR(__xludf.DUMMYFUNCTION("""COMPUTED_VALUE"""),"Turkey")</f>
        <v>Turkey</v>
      </c>
      <c r="J1461" s="43" t="str">
        <f>IFERROR(__xludf.DUMMYFUNCTION("""COMPUTED_VALUE"""),"ISTANBUL")</f>
        <v>ISTANBUL</v>
      </c>
      <c r="K1461" s="44" t="str">
        <f>IFERROR(__xludf.DUMMYFUNCTION("""COMPUTED_VALUE"""),"https://expa.aiesec.org/opportunities/1272564")</f>
        <v>https://expa.aiesec.org/opportunities/1272564</v>
      </c>
      <c r="L1461" s="43" t="str">
        <f>IFERROR(__xludf.DUMMYFUNCTION("""COMPUTED_VALUE"""),"GV")</f>
        <v>GV</v>
      </c>
      <c r="M1461" s="43" t="str">
        <f>IFERROR(__xludf.DUMMYFUNCTION("""COMPUTED_VALUE"""),"short")</f>
        <v>short</v>
      </c>
      <c r="N1461" s="45">
        <f>IFERROR(__xludf.DUMMYFUNCTION("""COMPUTED_VALUE"""),45220.0)</f>
        <v>45220</v>
      </c>
      <c r="O1461" s="45">
        <f>IFERROR(__xludf.DUMMYFUNCTION("""COMPUTED_VALUE"""),45483.0)</f>
        <v>45483</v>
      </c>
      <c r="P1461" s="45">
        <f>IFERROR(__xludf.DUMMYFUNCTION("""COMPUTED_VALUE"""),45525.0)</f>
        <v>45525</v>
      </c>
      <c r="Q1461" s="45"/>
      <c r="R1461" s="45"/>
      <c r="S1461" s="43"/>
      <c r="T1461" s="43"/>
      <c r="U1461" s="43" t="str">
        <f>IFERROR(__xludf.DUMMYFUNCTION("""COMPUTED_VALUE"""),"Global Classroom")</f>
        <v>Global Classroom</v>
      </c>
      <c r="V1461" s="43" t="str">
        <f>IFERROR(__xludf.DUMMYFUNCTION("""COMPUTED_VALUE"""),"Kyiv")</f>
        <v>Kyiv</v>
      </c>
      <c r="W1461" s="43" t="str">
        <f>IFERROR(__xludf.DUMMYFUNCTION("""COMPUTED_VALUE"""),"2023-02-21T12:14:26Z")</f>
        <v>2023-02-21T12:14:26Z</v>
      </c>
      <c r="X1461" s="43"/>
      <c r="Y1461" s="43"/>
      <c r="Z1461" s="43"/>
    </row>
    <row r="1462" hidden="1">
      <c r="A1462" s="43" t="str">
        <f>IFERROR(__xludf.DUMMYFUNCTION("""COMPUTED_VALUE"""),"5348601_1296234")</f>
        <v>5348601_1296234</v>
      </c>
      <c r="B1462" s="43" t="str">
        <f>IFERROR(__xludf.DUMMYFUNCTION("""COMPUTED_VALUE"""),"Nour Sabry")</f>
        <v>Nour Sabry</v>
      </c>
      <c r="C1462" s="43" t="str">
        <f>IFERROR(__xludf.DUMMYFUNCTION("""COMPUTED_VALUE"""),"approved")</f>
        <v>approved</v>
      </c>
      <c r="D1462" s="43" t="str">
        <f>IFERROR(__xludf.DUMMYFUNCTION("""COMPUTED_VALUE"""),"No")</f>
        <v>No</v>
      </c>
      <c r="E1462" s="43" t="str">
        <f>IFERROR(__xludf.DUMMYFUNCTION("""COMPUTED_VALUE"""),"p_c829b1a43a561f32d05688bf9a64c4642f05ef7c@inbound.aiesec.org")</f>
        <v>p_c829b1a43a561f32d05688bf9a64c4642f05ef7c@inbound.aiesec.org</v>
      </c>
      <c r="F1462" s="43">
        <f>IFERROR(__xludf.DUMMYFUNCTION("""COMPUTED_VALUE"""),1.010796817E9)</f>
        <v>1010796817</v>
      </c>
      <c r="G1462" s="43" t="str">
        <f>IFERROR(__xludf.DUMMYFUNCTION("""COMPUTED_VALUE"""),"Egypt")</f>
        <v>Egypt</v>
      </c>
      <c r="H1462" s="43" t="str">
        <f>IFERROR(__xludf.DUMMYFUNCTION("""COMPUTED_VALUE"""),"Alexandria")</f>
        <v>Alexandria</v>
      </c>
      <c r="I1462" s="43" t="str">
        <f>IFERROR(__xludf.DUMMYFUNCTION("""COMPUTED_VALUE"""),"Turkey")</f>
        <v>Turkey</v>
      </c>
      <c r="J1462" s="43" t="str">
        <f>IFERROR(__xludf.DUMMYFUNCTION("""COMPUTED_VALUE"""),"GAZIANTEP")</f>
        <v>GAZIANTEP</v>
      </c>
      <c r="K1462" s="44" t="str">
        <f>IFERROR(__xludf.DUMMYFUNCTION("""COMPUTED_VALUE"""),"https://expa.aiesec.org/opportunities/1296234")</f>
        <v>https://expa.aiesec.org/opportunities/1296234</v>
      </c>
      <c r="L1462" s="43" t="str">
        <f>IFERROR(__xludf.DUMMYFUNCTION("""COMPUTED_VALUE"""),"GV")</f>
        <v>GV</v>
      </c>
      <c r="M1462" s="43" t="str">
        <f>IFERROR(__xludf.DUMMYFUNCTION("""COMPUTED_VALUE"""),"short")</f>
        <v>short</v>
      </c>
      <c r="N1462" s="45">
        <f>IFERROR(__xludf.DUMMYFUNCTION("""COMPUTED_VALUE"""),45221.0)</f>
        <v>45221</v>
      </c>
      <c r="O1462" s="45">
        <f>IFERROR(__xludf.DUMMYFUNCTION("""COMPUTED_VALUE"""),45493.0)</f>
        <v>45493</v>
      </c>
      <c r="P1462" s="45">
        <f>IFERROR(__xludf.DUMMYFUNCTION("""COMPUTED_VALUE"""),45535.0)</f>
        <v>45535</v>
      </c>
      <c r="Q1462" s="45"/>
      <c r="R1462" s="45"/>
      <c r="S1462" s="43"/>
      <c r="T1462" s="43"/>
      <c r="U1462" s="43" t="str">
        <f>IFERROR(__xludf.DUMMYFUNCTION("""COMPUTED_VALUE"""),"Global Classroom")</f>
        <v>Global Classroom</v>
      </c>
      <c r="V1462" s="43" t="str">
        <f>IFERROR(__xludf.DUMMYFUNCTION("""COMPUTED_VALUE"""),"Alexandria University")</f>
        <v>Alexandria University</v>
      </c>
      <c r="W1462" s="43" t="str">
        <f>IFERROR(__xludf.DUMMYFUNCTION("""COMPUTED_VALUE"""),"2023-10-11T03:53:56Z")</f>
        <v>2023-10-11T03:53:56Z</v>
      </c>
      <c r="X1462" s="43"/>
      <c r="Y1462" s="43"/>
      <c r="Z1462" s="43"/>
    </row>
    <row r="1463" hidden="1">
      <c r="A1463" s="43" t="str">
        <f>IFERROR(__xludf.DUMMYFUNCTION("""COMPUTED_VALUE"""),"5328078_1298284")</f>
        <v>5328078_1298284</v>
      </c>
      <c r="B1463" s="43" t="str">
        <f>IFERROR(__xludf.DUMMYFUNCTION("""COMPUTED_VALUE"""),"Tiago Cunha")</f>
        <v>Tiago Cunha</v>
      </c>
      <c r="C1463" s="43" t="str">
        <f>IFERROR(__xludf.DUMMYFUNCTION("""COMPUTED_VALUE"""),"approved")</f>
        <v>approved</v>
      </c>
      <c r="D1463" s="43" t="str">
        <f>IFERROR(__xludf.DUMMYFUNCTION("""COMPUTED_VALUE"""),"No")</f>
        <v>No</v>
      </c>
      <c r="E1463" s="43" t="str">
        <f>IFERROR(__xludf.DUMMYFUNCTION("""COMPUTED_VALUE"""),"p_289028ecfdc84bc9c202273be7cb0bea08b44a2f@inbound.aiesec.org")</f>
        <v>p_289028ecfdc84bc9c202273be7cb0bea08b44a2f@inbound.aiesec.org</v>
      </c>
      <c r="F1463" s="43">
        <f>IFERROR(__xludf.DUMMYFUNCTION("""COMPUTED_VALUE"""),9.25249246E8)</f>
        <v>925249246</v>
      </c>
      <c r="G1463" s="43" t="str">
        <f>IFERROR(__xludf.DUMMYFUNCTION("""COMPUTED_VALUE"""),"Portugal")</f>
        <v>Portugal</v>
      </c>
      <c r="H1463" s="43" t="str">
        <f>IFERROR(__xludf.DUMMYFUNCTION("""COMPUTED_VALUE"""),"Lisboa ISEG")</f>
        <v>Lisboa ISEG</v>
      </c>
      <c r="I1463" s="43" t="str">
        <f>IFERROR(__xludf.DUMMYFUNCTION("""COMPUTED_VALUE"""),"Turkey")</f>
        <v>Turkey</v>
      </c>
      <c r="J1463" s="43" t="str">
        <f>IFERROR(__xludf.DUMMYFUNCTION("""COMPUTED_VALUE"""),"ISTANBUL")</f>
        <v>ISTANBUL</v>
      </c>
      <c r="K1463" s="44" t="str">
        <f>IFERROR(__xludf.DUMMYFUNCTION("""COMPUTED_VALUE"""),"https://expa.aiesec.org/opportunities/1298284")</f>
        <v>https://expa.aiesec.org/opportunities/1298284</v>
      </c>
      <c r="L1463" s="43" t="str">
        <f>IFERROR(__xludf.DUMMYFUNCTION("""COMPUTED_VALUE"""),"GV")</f>
        <v>GV</v>
      </c>
      <c r="M1463" s="43" t="str">
        <f>IFERROR(__xludf.DUMMYFUNCTION("""COMPUTED_VALUE"""),"short")</f>
        <v>short</v>
      </c>
      <c r="N1463" s="45">
        <f>IFERROR(__xludf.DUMMYFUNCTION("""COMPUTED_VALUE"""),45221.0)</f>
        <v>45221</v>
      </c>
      <c r="O1463" s="45">
        <f>IFERROR(__xludf.DUMMYFUNCTION("""COMPUTED_VALUE"""),45474.0)</f>
        <v>45474</v>
      </c>
      <c r="P1463" s="45">
        <f>IFERROR(__xludf.DUMMYFUNCTION("""COMPUTED_VALUE"""),45516.0)</f>
        <v>45516</v>
      </c>
      <c r="Q1463" s="45"/>
      <c r="R1463" s="45"/>
      <c r="S1463" s="43"/>
      <c r="T1463" s="43"/>
      <c r="U1463" s="43" t="str">
        <f>IFERROR(__xludf.DUMMYFUNCTION("""COMPUTED_VALUE"""),"Global Classroom")</f>
        <v>Global Classroom</v>
      </c>
      <c r="V1463" s="43" t="str">
        <f>IFERROR(__xludf.DUMMYFUNCTION("""COMPUTED_VALUE"""),"Universidade de Lisboa - Instituto Superior de Economia e Gestão (ISEG)")</f>
        <v>Universidade de Lisboa - Instituto Superior de Economia e Gestão (ISEG)</v>
      </c>
      <c r="W1463" s="43" t="str">
        <f>IFERROR(__xludf.DUMMYFUNCTION("""COMPUTED_VALUE"""),"2023-09-20T10:40:22Z")</f>
        <v>2023-09-20T10:40:22Z</v>
      </c>
      <c r="X1463" s="43"/>
      <c r="Y1463" s="43"/>
      <c r="Z1463" s="43"/>
    </row>
    <row r="1464" hidden="1">
      <c r="A1464" s="43" t="str">
        <f>IFERROR(__xludf.DUMMYFUNCTION("""COMPUTED_VALUE"""),"5323466_1299113")</f>
        <v>5323466_1299113</v>
      </c>
      <c r="B1464" s="43" t="str">
        <f>IFERROR(__xludf.DUMMYFUNCTION("""COMPUTED_VALUE"""),"Marco Ciaramella")</f>
        <v>Marco Ciaramella</v>
      </c>
      <c r="C1464" s="43" t="str">
        <f>IFERROR(__xludf.DUMMYFUNCTION("""COMPUTED_VALUE"""),"approved")</f>
        <v>approved</v>
      </c>
      <c r="D1464" s="43" t="str">
        <f>IFERROR(__xludf.DUMMYFUNCTION("""COMPUTED_VALUE"""),"No")</f>
        <v>No</v>
      </c>
      <c r="E1464" s="43" t="str">
        <f>IFERROR(__xludf.DUMMYFUNCTION("""COMPUTED_VALUE"""),"p_134b64683214d61436e5a085bfecc465ca7d6779@inbound.aiesec.org")</f>
        <v>p_134b64683214d61436e5a085bfecc465ca7d6779@inbound.aiesec.org</v>
      </c>
      <c r="F1464" s="43">
        <f>IFERROR(__xludf.DUMMYFUNCTION("""COMPUTED_VALUE"""),3.890165994E9)</f>
        <v>3890165994</v>
      </c>
      <c r="G1464" s="43" t="str">
        <f>IFERROR(__xludf.DUMMYFUNCTION("""COMPUTED_VALUE"""),"Italy")</f>
        <v>Italy</v>
      </c>
      <c r="H1464" s="43" t="str">
        <f>IFERROR(__xludf.DUMMYFUNCTION("""COMPUTED_VALUE"""),"PoliTO")</f>
        <v>PoliTO</v>
      </c>
      <c r="I1464" s="43" t="str">
        <f>IFERROR(__xludf.DUMMYFUNCTION("""COMPUTED_VALUE"""),"Turkey")</f>
        <v>Turkey</v>
      </c>
      <c r="J1464" s="43" t="str">
        <f>IFERROR(__xludf.DUMMYFUNCTION("""COMPUTED_VALUE"""),"ISTANBUL ASIA")</f>
        <v>ISTANBUL ASIA</v>
      </c>
      <c r="K1464" s="44" t="str">
        <f>IFERROR(__xludf.DUMMYFUNCTION("""COMPUTED_VALUE"""),"https://expa.aiesec.org/opportunities/1299113")</f>
        <v>https://expa.aiesec.org/opportunities/1299113</v>
      </c>
      <c r="L1464" s="43" t="str">
        <f>IFERROR(__xludf.DUMMYFUNCTION("""COMPUTED_VALUE"""),"GV")</f>
        <v>GV</v>
      </c>
      <c r="M1464" s="43" t="str">
        <f>IFERROR(__xludf.DUMMYFUNCTION("""COMPUTED_VALUE"""),"short")</f>
        <v>short</v>
      </c>
      <c r="N1464" s="45">
        <f>IFERROR(__xludf.DUMMYFUNCTION("""COMPUTED_VALUE"""),45222.0)</f>
        <v>45222</v>
      </c>
      <c r="O1464" s="45">
        <f>IFERROR(__xludf.DUMMYFUNCTION("""COMPUTED_VALUE"""),45334.0)</f>
        <v>45334</v>
      </c>
      <c r="P1464" s="45">
        <f>IFERROR(__xludf.DUMMYFUNCTION("""COMPUTED_VALUE"""),45376.0)</f>
        <v>45376</v>
      </c>
      <c r="Q1464" s="45"/>
      <c r="R1464" s="45"/>
      <c r="S1464" s="43"/>
      <c r="T1464" s="43"/>
      <c r="U1464" s="43" t="str">
        <f>IFERROR(__xludf.DUMMYFUNCTION("""COMPUTED_VALUE"""),"Global Classroom")</f>
        <v>Global Classroom</v>
      </c>
      <c r="V1464" s="43" t="str">
        <f>IFERROR(__xludf.DUMMYFUNCTION("""COMPUTED_VALUE"""),"-")</f>
        <v>-</v>
      </c>
      <c r="W1464" s="43" t="str">
        <f>IFERROR(__xludf.DUMMYFUNCTION("""COMPUTED_VALUE"""),"2023-09-13T21:17:15Z")</f>
        <v>2023-09-13T21:17:15Z</v>
      </c>
      <c r="X1464" s="43"/>
      <c r="Y1464" s="43"/>
      <c r="Z1464" s="43"/>
    </row>
    <row r="1465" hidden="1">
      <c r="A1465" s="43" t="str">
        <f>IFERROR(__xludf.DUMMYFUNCTION("""COMPUTED_VALUE"""),"5343755_1279126")</f>
        <v>5343755_1279126</v>
      </c>
      <c r="B1465" s="43" t="str">
        <f>IFERROR(__xludf.DUMMYFUNCTION("""COMPUTED_VALUE"""),"Dimitris Gkotsopoulos")</f>
        <v>Dimitris Gkotsopoulos</v>
      </c>
      <c r="C1465" s="43" t="str">
        <f>IFERROR(__xludf.DUMMYFUNCTION("""COMPUTED_VALUE"""),"approved")</f>
        <v>approved</v>
      </c>
      <c r="D1465" s="43" t="str">
        <f>IFERROR(__xludf.DUMMYFUNCTION("""COMPUTED_VALUE"""),"No")</f>
        <v>No</v>
      </c>
      <c r="E1465" s="43" t="str">
        <f>IFERROR(__xludf.DUMMYFUNCTION("""COMPUTED_VALUE"""),"p_36d9b04b5c31adefaa25596efb689a7c7a6934af@inbound.aiesec.org")</f>
        <v>p_36d9b04b5c31adefaa25596efb689a7c7a6934af@inbound.aiesec.org</v>
      </c>
      <c r="F1465" s="43">
        <f>IFERROR(__xludf.DUMMYFUNCTION("""COMPUTED_VALUE"""),6.988697025E9)</f>
        <v>6988697025</v>
      </c>
      <c r="G1465" s="43" t="str">
        <f>IFERROR(__xludf.DUMMYFUNCTION("""COMPUTED_VALUE"""),"Greece")</f>
        <v>Greece</v>
      </c>
      <c r="H1465" s="43" t="str">
        <f>IFERROR(__xludf.DUMMYFUNCTION("""COMPUTED_VALUE"""),"ATHENS")</f>
        <v>ATHENS</v>
      </c>
      <c r="I1465" s="43" t="str">
        <f>IFERROR(__xludf.DUMMYFUNCTION("""COMPUTED_VALUE"""),"Turkey")</f>
        <v>Turkey</v>
      </c>
      <c r="J1465" s="43" t="str">
        <f>IFERROR(__xludf.DUMMYFUNCTION("""COMPUTED_VALUE"""),"KOCAELI")</f>
        <v>KOCAELI</v>
      </c>
      <c r="K1465" s="44" t="str">
        <f>IFERROR(__xludf.DUMMYFUNCTION("""COMPUTED_VALUE"""),"https://expa.aiesec.org/opportunities/1279126")</f>
        <v>https://expa.aiesec.org/opportunities/1279126</v>
      </c>
      <c r="L1465" s="43" t="str">
        <f>IFERROR(__xludf.DUMMYFUNCTION("""COMPUTED_VALUE"""),"GV")</f>
        <v>GV</v>
      </c>
      <c r="M1465" s="43" t="str">
        <f>IFERROR(__xludf.DUMMYFUNCTION("""COMPUTED_VALUE"""),"short")</f>
        <v>short</v>
      </c>
      <c r="N1465" s="45">
        <f>IFERROR(__xludf.DUMMYFUNCTION("""COMPUTED_VALUE"""),45223.0)</f>
        <v>45223</v>
      </c>
      <c r="O1465" s="45">
        <f>IFERROR(__xludf.DUMMYFUNCTION("""COMPUTED_VALUE"""),45334.0)</f>
        <v>45334</v>
      </c>
      <c r="P1465" s="45">
        <f>IFERROR(__xludf.DUMMYFUNCTION("""COMPUTED_VALUE"""),45376.0)</f>
        <v>45376</v>
      </c>
      <c r="Q1465" s="45"/>
      <c r="R1465" s="45"/>
      <c r="S1465" s="43"/>
      <c r="T1465" s="43"/>
      <c r="U1465" s="43" t="str">
        <f>IFERROR(__xludf.DUMMYFUNCTION("""COMPUTED_VALUE"""),"Global Classroom")</f>
        <v>Global Classroom</v>
      </c>
      <c r="V1465" s="43" t="str">
        <f>IFERROR(__xludf.DUMMYFUNCTION("""COMPUTED_VALUE"""),"-")</f>
        <v>-</v>
      </c>
      <c r="W1465" s="43" t="str">
        <f>IFERROR(__xludf.DUMMYFUNCTION("""COMPUTED_VALUE"""),"2023-10-06T10:02:13Z")</f>
        <v>2023-10-06T10:02:13Z</v>
      </c>
      <c r="X1465" s="43"/>
      <c r="Y1465" s="43"/>
      <c r="Z1465" s="43"/>
    </row>
    <row r="1466" hidden="1">
      <c r="A1466" s="43" t="str">
        <f>IFERROR(__xludf.DUMMYFUNCTION("""COMPUTED_VALUE"""),"5245030_1289536")</f>
        <v>5245030_1289536</v>
      </c>
      <c r="B1466" s="43" t="str">
        <f>IFERROR(__xludf.DUMMYFUNCTION("""COMPUTED_VALUE"""),"Həvva Shahbazova")</f>
        <v>Həvva Shahbazova</v>
      </c>
      <c r="C1466" s="43" t="str">
        <f>IFERROR(__xludf.DUMMYFUNCTION("""COMPUTED_VALUE"""),"approved")</f>
        <v>approved</v>
      </c>
      <c r="D1466" s="43" t="str">
        <f>IFERROR(__xludf.DUMMYFUNCTION("""COMPUTED_VALUE"""),"No")</f>
        <v>No</v>
      </c>
      <c r="E1466" s="43" t="str">
        <f>IFERROR(__xludf.DUMMYFUNCTION("""COMPUTED_VALUE"""),"p_968f835d9c7e2f1626e1a5924fe068e24eaccbad@inbound.aiesec.org")</f>
        <v>p_968f835d9c7e2f1626e1a5924fe068e24eaccbad@inbound.aiesec.org</v>
      </c>
      <c r="F1466" s="43"/>
      <c r="G1466" s="43" t="str">
        <f>IFERROR(__xludf.DUMMYFUNCTION("""COMPUTED_VALUE"""),"Azerbaijan")</f>
        <v>Azerbaijan</v>
      </c>
      <c r="H1466" s="43" t="str">
        <f>IFERROR(__xludf.DUMMYFUNCTION("""COMPUTED_VALUE"""),"Baku Synergy")</f>
        <v>Baku Synergy</v>
      </c>
      <c r="I1466" s="43" t="str">
        <f>IFERROR(__xludf.DUMMYFUNCTION("""COMPUTED_VALUE"""),"Turkey")</f>
        <v>Turkey</v>
      </c>
      <c r="J1466" s="43" t="str">
        <f>IFERROR(__xludf.DUMMYFUNCTION("""COMPUTED_VALUE"""),"ISTANBUL")</f>
        <v>ISTANBUL</v>
      </c>
      <c r="K1466" s="44" t="str">
        <f>IFERROR(__xludf.DUMMYFUNCTION("""COMPUTED_VALUE"""),"https://expa.aiesec.org/opportunities/1289536")</f>
        <v>https://expa.aiesec.org/opportunities/1289536</v>
      </c>
      <c r="L1466" s="43" t="str">
        <f>IFERROR(__xludf.DUMMYFUNCTION("""COMPUTED_VALUE"""),"GV")</f>
        <v>GV</v>
      </c>
      <c r="M1466" s="43" t="str">
        <f>IFERROR(__xludf.DUMMYFUNCTION("""COMPUTED_VALUE"""),"short")</f>
        <v>short</v>
      </c>
      <c r="N1466" s="45">
        <f>IFERROR(__xludf.DUMMYFUNCTION("""COMPUTED_VALUE"""),45223.0)</f>
        <v>45223</v>
      </c>
      <c r="O1466" s="45">
        <f>IFERROR(__xludf.DUMMYFUNCTION("""COMPUTED_VALUE"""),45474.0)</f>
        <v>45474</v>
      </c>
      <c r="P1466" s="45">
        <f>IFERROR(__xludf.DUMMYFUNCTION("""COMPUTED_VALUE"""),45516.0)</f>
        <v>45516</v>
      </c>
      <c r="Q1466" s="45"/>
      <c r="R1466" s="45"/>
      <c r="S1466" s="43"/>
      <c r="T1466" s="43"/>
      <c r="U1466" s="43" t="str">
        <f>IFERROR(__xludf.DUMMYFUNCTION("""COMPUTED_VALUE"""),"Global Classroom")</f>
        <v>Global Classroom</v>
      </c>
      <c r="V1466" s="43" t="str">
        <f>IFERROR(__xludf.DUMMYFUNCTION("""COMPUTED_VALUE"""),"-")</f>
        <v>-</v>
      </c>
      <c r="W1466" s="43" t="str">
        <f>IFERROR(__xludf.DUMMYFUNCTION("""COMPUTED_VALUE"""),"2023-04-19T06:33:31Z")</f>
        <v>2023-04-19T06:33:31Z</v>
      </c>
      <c r="X1466" s="43"/>
      <c r="Y1466" s="43"/>
      <c r="Z1466" s="43"/>
    </row>
    <row r="1467" hidden="1">
      <c r="A1467" s="43" t="str">
        <f>IFERROR(__xludf.DUMMYFUNCTION("""COMPUTED_VALUE"""),"5116448_1296105")</f>
        <v>5116448_1296105</v>
      </c>
      <c r="B1467" s="43" t="str">
        <f>IFERROR(__xludf.DUMMYFUNCTION("""COMPUTED_VALUE"""),"Greta Lentz")</f>
        <v>Greta Lentz</v>
      </c>
      <c r="C1467" s="43" t="str">
        <f>IFERROR(__xludf.DUMMYFUNCTION("""COMPUTED_VALUE"""),"completed")</f>
        <v>completed</v>
      </c>
      <c r="D1467" s="43" t="str">
        <f>IFERROR(__xludf.DUMMYFUNCTION("""COMPUTED_VALUE"""),"No")</f>
        <v>No</v>
      </c>
      <c r="E1467" s="43" t="str">
        <f>IFERROR(__xludf.DUMMYFUNCTION("""COMPUTED_VALUE"""),"p_c1ae287046a8077cdbe80db671bf87a8bac8a839@inbound.aiesec.org")</f>
        <v>p_c1ae287046a8077cdbe80db671bf87a8bac8a839@inbound.aiesec.org</v>
      </c>
      <c r="F1467" s="43">
        <f>IFERROR(__xludf.DUMMYFUNCTION("""COMPUTED_VALUE"""),1.752294609E9)</f>
        <v>1752294609</v>
      </c>
      <c r="G1467" s="43" t="str">
        <f>IFERROR(__xludf.DUMMYFUNCTION("""COMPUTED_VALUE"""),"Germany")</f>
        <v>Germany</v>
      </c>
      <c r="H1467" s="43" t="str">
        <f>IFERROR(__xludf.DUMMYFUNCTION("""COMPUTED_VALUE"""),"FRANKFURT (MAIN)")</f>
        <v>FRANKFURT (MAIN)</v>
      </c>
      <c r="I1467" s="43" t="str">
        <f>IFERROR(__xludf.DUMMYFUNCTION("""COMPUTED_VALUE"""),"Turkey")</f>
        <v>Turkey</v>
      </c>
      <c r="J1467" s="43" t="str">
        <f>IFERROR(__xludf.DUMMYFUNCTION("""COMPUTED_VALUE"""),"ANKARA")</f>
        <v>ANKARA</v>
      </c>
      <c r="K1467" s="44" t="str">
        <f>IFERROR(__xludf.DUMMYFUNCTION("""COMPUTED_VALUE"""),"https://expa.aiesec.org/opportunities/1296105")</f>
        <v>https://expa.aiesec.org/opportunities/1296105</v>
      </c>
      <c r="L1467" s="43" t="str">
        <f>IFERROR(__xludf.DUMMYFUNCTION("""COMPUTED_VALUE"""),"GV")</f>
        <v>GV</v>
      </c>
      <c r="M1467" s="43" t="str">
        <f>IFERROR(__xludf.DUMMYFUNCTION("""COMPUTED_VALUE"""),"short")</f>
        <v>short</v>
      </c>
      <c r="N1467" s="45">
        <f>IFERROR(__xludf.DUMMYFUNCTION("""COMPUTED_VALUE"""),45223.0)</f>
        <v>45223</v>
      </c>
      <c r="O1467" s="45">
        <f>IFERROR(__xludf.DUMMYFUNCTION("""COMPUTED_VALUE"""),45264.0)</f>
        <v>45264</v>
      </c>
      <c r="P1467" s="45">
        <f>IFERROR(__xludf.DUMMYFUNCTION("""COMPUTED_VALUE"""),45306.0)</f>
        <v>45306</v>
      </c>
      <c r="Q1467" s="45">
        <f>IFERROR(__xludf.DUMMYFUNCTION("""COMPUTED_VALUE"""),45266.0)</f>
        <v>45266</v>
      </c>
      <c r="R1467" s="45">
        <f>IFERROR(__xludf.DUMMYFUNCTION("""COMPUTED_VALUE"""),45306.0)</f>
        <v>45306</v>
      </c>
      <c r="S1467" s="43"/>
      <c r="T1467" s="43"/>
      <c r="U1467" s="43" t="str">
        <f>IFERROR(__xludf.DUMMYFUNCTION("""COMPUTED_VALUE"""),"Fingerprint")</f>
        <v>Fingerprint</v>
      </c>
      <c r="V1467" s="43" t="str">
        <f>IFERROR(__xludf.DUMMYFUNCTION("""COMPUTED_VALUE"""),"Frankfurt (Main)")</f>
        <v>Frankfurt (Main)</v>
      </c>
      <c r="W1467" s="43" t="str">
        <f>IFERROR(__xludf.DUMMYFUNCTION("""COMPUTED_VALUE"""),"2022-09-20T17:12:00Z")</f>
        <v>2022-09-20T17:12:00Z</v>
      </c>
      <c r="X1467" s="43"/>
      <c r="Y1467" s="43"/>
      <c r="Z1467" s="43"/>
    </row>
    <row r="1468" hidden="1">
      <c r="A1468" s="43" t="str">
        <f>IFERROR(__xludf.DUMMYFUNCTION("""COMPUTED_VALUE"""),"5340417_1289596")</f>
        <v>5340417_1289596</v>
      </c>
      <c r="B1468" s="43" t="str">
        <f>IFERROR(__xludf.DUMMYFUNCTION("""COMPUTED_VALUE"""),"Zainab Alam")</f>
        <v>Zainab Alam</v>
      </c>
      <c r="C1468" s="43" t="str">
        <f>IFERROR(__xludf.DUMMYFUNCTION("""COMPUTED_VALUE"""),"realized")</f>
        <v>realized</v>
      </c>
      <c r="D1468" s="43" t="str">
        <f>IFERROR(__xludf.DUMMYFUNCTION("""COMPUTED_VALUE"""),"No")</f>
        <v>No</v>
      </c>
      <c r="E1468" s="43" t="str">
        <f>IFERROR(__xludf.DUMMYFUNCTION("""COMPUTED_VALUE"""),"p_182864b43a87fbdfddde46e1acb783e34eaae649@inbound.aiesec.org")</f>
        <v>p_182864b43a87fbdfddde46e1acb783e34eaae649@inbound.aiesec.org</v>
      </c>
      <c r="F1468" s="43">
        <f>IFERROR(__xludf.DUMMYFUNCTION("""COMPUTED_VALUE"""),3.6787111E7)</f>
        <v>36787111</v>
      </c>
      <c r="G1468" s="43" t="str">
        <f>IFERROR(__xludf.DUMMYFUNCTION("""COMPUTED_VALUE"""),"Bahrain")</f>
        <v>Bahrain</v>
      </c>
      <c r="H1468" s="43" t="str">
        <f>IFERROR(__xludf.DUMMYFUNCTION("""COMPUTED_VALUE"""),"Tylos")</f>
        <v>Tylos</v>
      </c>
      <c r="I1468" s="43" t="str">
        <f>IFERROR(__xludf.DUMMYFUNCTION("""COMPUTED_VALUE"""),"Turkey")</f>
        <v>Turkey</v>
      </c>
      <c r="J1468" s="43" t="str">
        <f>IFERROR(__xludf.DUMMYFUNCTION("""COMPUTED_VALUE"""),"ISPARTA")</f>
        <v>ISPARTA</v>
      </c>
      <c r="K1468" s="44" t="str">
        <f>IFERROR(__xludf.DUMMYFUNCTION("""COMPUTED_VALUE"""),"https://expa.aiesec.org/opportunities/1289596")</f>
        <v>https://expa.aiesec.org/opportunities/1289596</v>
      </c>
      <c r="L1468" s="43" t="str">
        <f>IFERROR(__xludf.DUMMYFUNCTION("""COMPUTED_VALUE"""),"GV")</f>
        <v>GV</v>
      </c>
      <c r="M1468" s="43" t="str">
        <f>IFERROR(__xludf.DUMMYFUNCTION("""COMPUTED_VALUE"""),"short")</f>
        <v>short</v>
      </c>
      <c r="N1468" s="45">
        <f>IFERROR(__xludf.DUMMYFUNCTION("""COMPUTED_VALUE"""),45223.0)</f>
        <v>45223</v>
      </c>
      <c r="O1468" s="45">
        <f>IFERROR(__xludf.DUMMYFUNCTION("""COMPUTED_VALUE"""),45299.0)</f>
        <v>45299</v>
      </c>
      <c r="P1468" s="45">
        <f>IFERROR(__xludf.DUMMYFUNCTION("""COMPUTED_VALUE"""),45341.0)</f>
        <v>45341</v>
      </c>
      <c r="Q1468" s="45">
        <f>IFERROR(__xludf.DUMMYFUNCTION("""COMPUTED_VALUE"""),45299.0)</f>
        <v>45299</v>
      </c>
      <c r="R1468" s="45">
        <f>IFERROR(__xludf.DUMMYFUNCTION("""COMPUTED_VALUE"""),45341.0)</f>
        <v>45341</v>
      </c>
      <c r="S1468" s="43"/>
      <c r="T1468" s="43"/>
      <c r="U1468" s="43" t="str">
        <f>IFERROR(__xludf.DUMMYFUNCTION("""COMPUTED_VALUE"""),"Global Classroom")</f>
        <v>Global Classroom</v>
      </c>
      <c r="V1468" s="43" t="str">
        <f>IFERROR(__xludf.DUMMYFUNCTION("""COMPUTED_VALUE"""),"Bahrain Polytechnic")</f>
        <v>Bahrain Polytechnic</v>
      </c>
      <c r="W1468" s="43" t="str">
        <f>IFERROR(__xludf.DUMMYFUNCTION("""COMPUTED_VALUE"""),"2023-10-03T08:57:32Z")</f>
        <v>2023-10-03T08:57:32Z</v>
      </c>
      <c r="X1468" s="43"/>
      <c r="Y1468" s="43"/>
      <c r="Z1468" s="43"/>
    </row>
    <row r="1469" hidden="1">
      <c r="A1469" s="43" t="str">
        <f>IFERROR(__xludf.DUMMYFUNCTION("""COMPUTED_VALUE"""),"5356390_1292557")</f>
        <v>5356390_1292557</v>
      </c>
      <c r="B1469" s="43" t="str">
        <f>IFERROR(__xludf.DUMMYFUNCTION("""COMPUTED_VALUE"""),"seif ben moussa")</f>
        <v>seif ben moussa</v>
      </c>
      <c r="C1469" s="43" t="str">
        <f>IFERROR(__xludf.DUMMYFUNCTION("""COMPUTED_VALUE"""),"approved")</f>
        <v>approved</v>
      </c>
      <c r="D1469" s="43" t="str">
        <f>IFERROR(__xludf.DUMMYFUNCTION("""COMPUTED_VALUE"""),"No")</f>
        <v>No</v>
      </c>
      <c r="E1469" s="43" t="str">
        <f>IFERROR(__xludf.DUMMYFUNCTION("""COMPUTED_VALUE"""),"p_ed0ef6ba78ab7ebd2cc50c5463bc706fa56fb660@inbound.aiesec.org")</f>
        <v>p_ed0ef6ba78ab7ebd2cc50c5463bc706fa56fb660@inbound.aiesec.org</v>
      </c>
      <c r="F1469" s="43">
        <f>IFERROR(__xludf.DUMMYFUNCTION("""COMPUTED_VALUE"""),5.830945E7)</f>
        <v>58309450</v>
      </c>
      <c r="G1469" s="43" t="str">
        <f>IFERROR(__xludf.DUMMYFUNCTION("""COMPUTED_VALUE"""),"Tunisia")</f>
        <v>Tunisia</v>
      </c>
      <c r="H1469" s="43" t="str">
        <f>IFERROR(__xludf.DUMMYFUNCTION("""COMPUTED_VALUE"""),"HADRUMET")</f>
        <v>HADRUMET</v>
      </c>
      <c r="I1469" s="43" t="str">
        <f>IFERROR(__xludf.DUMMYFUNCTION("""COMPUTED_VALUE"""),"Turkey")</f>
        <v>Turkey</v>
      </c>
      <c r="J1469" s="43" t="str">
        <f>IFERROR(__xludf.DUMMYFUNCTION("""COMPUTED_VALUE"""),"DENIZLI")</f>
        <v>DENIZLI</v>
      </c>
      <c r="K1469" s="44" t="str">
        <f>IFERROR(__xludf.DUMMYFUNCTION("""COMPUTED_VALUE"""),"https://expa.aiesec.org/opportunities/1292557")</f>
        <v>https://expa.aiesec.org/opportunities/1292557</v>
      </c>
      <c r="L1469" s="43" t="str">
        <f>IFERROR(__xludf.DUMMYFUNCTION("""COMPUTED_VALUE"""),"GV")</f>
        <v>GV</v>
      </c>
      <c r="M1469" s="43" t="str">
        <f>IFERROR(__xludf.DUMMYFUNCTION("""COMPUTED_VALUE"""),"short")</f>
        <v>short</v>
      </c>
      <c r="N1469" s="45">
        <f>IFERROR(__xludf.DUMMYFUNCTION("""COMPUTED_VALUE"""),45223.0)</f>
        <v>45223</v>
      </c>
      <c r="O1469" s="45">
        <f>IFERROR(__xludf.DUMMYFUNCTION("""COMPUTED_VALUE"""),45488.0)</f>
        <v>45488</v>
      </c>
      <c r="P1469" s="45">
        <f>IFERROR(__xludf.DUMMYFUNCTION("""COMPUTED_VALUE"""),45530.0)</f>
        <v>45530</v>
      </c>
      <c r="Q1469" s="45"/>
      <c r="R1469" s="45"/>
      <c r="S1469" s="43"/>
      <c r="T1469" s="43"/>
      <c r="U1469" s="43" t="str">
        <f>IFERROR(__xludf.DUMMYFUNCTION("""COMPUTED_VALUE"""),"Equify")</f>
        <v>Equify</v>
      </c>
      <c r="V1469" s="43" t="str">
        <f>IFERROR(__xludf.DUMMYFUNCTION("""COMPUTED_VALUE"""),"FLSH Sousse")</f>
        <v>FLSH Sousse</v>
      </c>
      <c r="W1469" s="43" t="str">
        <f>IFERROR(__xludf.DUMMYFUNCTION("""COMPUTED_VALUE"""),"2023-10-20T18:59:54Z")</f>
        <v>2023-10-20T18:59:54Z</v>
      </c>
      <c r="X1469" s="43"/>
      <c r="Y1469" s="43"/>
      <c r="Z1469" s="43"/>
    </row>
    <row r="1470" hidden="1">
      <c r="A1470" s="43" t="str">
        <f>IFERROR(__xludf.DUMMYFUNCTION("""COMPUTED_VALUE"""),"5356820_1296670")</f>
        <v>5356820_1296670</v>
      </c>
      <c r="B1470" s="43" t="str">
        <f>IFERROR(__xludf.DUMMYFUNCTION("""COMPUTED_VALUE"""),"Rahali Jassem")</f>
        <v>Rahali Jassem</v>
      </c>
      <c r="C1470" s="43" t="str">
        <f>IFERROR(__xludf.DUMMYFUNCTION("""COMPUTED_VALUE"""),"approved")</f>
        <v>approved</v>
      </c>
      <c r="D1470" s="43" t="str">
        <f>IFERROR(__xludf.DUMMYFUNCTION("""COMPUTED_VALUE"""),"No")</f>
        <v>No</v>
      </c>
      <c r="E1470" s="43" t="str">
        <f>IFERROR(__xludf.DUMMYFUNCTION("""COMPUTED_VALUE"""),"p_917d540996e8d46e35082a1b47abece037a30f9a@inbound.aiesec.org")</f>
        <v>p_917d540996e8d46e35082a1b47abece037a30f9a@inbound.aiesec.org</v>
      </c>
      <c r="F1470" s="43">
        <f>IFERROR(__xludf.DUMMYFUNCTION("""COMPUTED_VALUE"""),2.3111405E7)</f>
        <v>23111405</v>
      </c>
      <c r="G1470" s="43" t="str">
        <f>IFERROR(__xludf.DUMMYFUNCTION("""COMPUTED_VALUE"""),"Tunisia")</f>
        <v>Tunisia</v>
      </c>
      <c r="H1470" s="43" t="str">
        <f>IFERROR(__xludf.DUMMYFUNCTION("""COMPUTED_VALUE"""),"UNIVERSITY")</f>
        <v>UNIVERSITY</v>
      </c>
      <c r="I1470" s="43" t="str">
        <f>IFERROR(__xludf.DUMMYFUNCTION("""COMPUTED_VALUE"""),"Turkey")</f>
        <v>Turkey</v>
      </c>
      <c r="J1470" s="43" t="str">
        <f>IFERROR(__xludf.DUMMYFUNCTION("""COMPUTED_VALUE"""),"BURSA")</f>
        <v>BURSA</v>
      </c>
      <c r="K1470" s="44" t="str">
        <f>IFERROR(__xludf.DUMMYFUNCTION("""COMPUTED_VALUE"""),"https://expa.aiesec.org/opportunities/1296670")</f>
        <v>https://expa.aiesec.org/opportunities/1296670</v>
      </c>
      <c r="L1470" s="43" t="str">
        <f>IFERROR(__xludf.DUMMYFUNCTION("""COMPUTED_VALUE"""),"GV")</f>
        <v>GV</v>
      </c>
      <c r="M1470" s="43" t="str">
        <f>IFERROR(__xludf.DUMMYFUNCTION("""COMPUTED_VALUE"""),"short")</f>
        <v>short</v>
      </c>
      <c r="N1470" s="45">
        <f>IFERROR(__xludf.DUMMYFUNCTION("""COMPUTED_VALUE"""),45226.0)</f>
        <v>45226</v>
      </c>
      <c r="O1470" s="45">
        <f>IFERROR(__xludf.DUMMYFUNCTION("""COMPUTED_VALUE"""),45369.0)</f>
        <v>45369</v>
      </c>
      <c r="P1470" s="45">
        <f>IFERROR(__xludf.DUMMYFUNCTION("""COMPUTED_VALUE"""),45411.0)</f>
        <v>45411</v>
      </c>
      <c r="Q1470" s="45"/>
      <c r="R1470" s="45"/>
      <c r="S1470" s="43"/>
      <c r="T1470" s="43"/>
      <c r="U1470" s="43" t="str">
        <f>IFERROR(__xludf.DUMMYFUNCTION("""COMPUTED_VALUE"""),"Youth 4 Impact")</f>
        <v>Youth 4 Impact</v>
      </c>
      <c r="V1470" s="43" t="str">
        <f>IFERROR(__xludf.DUMMYFUNCTION("""COMPUTED_VALUE"""),"FST")</f>
        <v>FST</v>
      </c>
      <c r="W1470" s="43" t="str">
        <f>IFERROR(__xludf.DUMMYFUNCTION("""COMPUTED_VALUE"""),"2023-10-21T19:18:55Z")</f>
        <v>2023-10-21T19:18:55Z</v>
      </c>
      <c r="X1470" s="43"/>
      <c r="Y1470" s="43"/>
      <c r="Z1470" s="43"/>
    </row>
    <row r="1471" hidden="1">
      <c r="A1471" s="43" t="str">
        <f>IFERROR(__xludf.DUMMYFUNCTION("""COMPUTED_VALUE"""),"5361576_1289505")</f>
        <v>5361576_1289505</v>
      </c>
      <c r="B1471" s="43" t="str">
        <f>IFERROR(__xludf.DUMMYFUNCTION("""COMPUTED_VALUE"""),"wejdenne jawedi")</f>
        <v>wejdenne jawedi</v>
      </c>
      <c r="C1471" s="43" t="str">
        <f>IFERROR(__xludf.DUMMYFUNCTION("""COMPUTED_VALUE"""),"approved")</f>
        <v>approved</v>
      </c>
      <c r="D1471" s="43" t="str">
        <f>IFERROR(__xludf.DUMMYFUNCTION("""COMPUTED_VALUE"""),"No")</f>
        <v>No</v>
      </c>
      <c r="E1471" s="43" t="str">
        <f>IFERROR(__xludf.DUMMYFUNCTION("""COMPUTED_VALUE"""),"p_ecb836760dde7a64d9a776ff6f98c6cdf5116598@inbound.aiesec.org")</f>
        <v>p_ecb836760dde7a64d9a776ff6f98c6cdf5116598@inbound.aiesec.org</v>
      </c>
      <c r="F1471" s="43">
        <f>IFERROR(__xludf.DUMMYFUNCTION("""COMPUTED_VALUE"""),2.9454189E7)</f>
        <v>29454189</v>
      </c>
      <c r="G1471" s="43" t="str">
        <f>IFERROR(__xludf.DUMMYFUNCTION("""COMPUTED_VALUE"""),"Tunisia")</f>
        <v>Tunisia</v>
      </c>
      <c r="H1471" s="43" t="str">
        <f>IFERROR(__xludf.DUMMYFUNCTION("""COMPUTED_VALUE"""),"Carthage")</f>
        <v>Carthage</v>
      </c>
      <c r="I1471" s="43" t="str">
        <f>IFERROR(__xludf.DUMMYFUNCTION("""COMPUTED_VALUE"""),"Turkey")</f>
        <v>Turkey</v>
      </c>
      <c r="J1471" s="43" t="str">
        <f>IFERROR(__xludf.DUMMYFUNCTION("""COMPUTED_VALUE"""),"KOCAELI")</f>
        <v>KOCAELI</v>
      </c>
      <c r="K1471" s="44" t="str">
        <f>IFERROR(__xludf.DUMMYFUNCTION("""COMPUTED_VALUE"""),"https://expa.aiesec.org/opportunities/1289505")</f>
        <v>https://expa.aiesec.org/opportunities/1289505</v>
      </c>
      <c r="L1471" s="43" t="str">
        <f>IFERROR(__xludf.DUMMYFUNCTION("""COMPUTED_VALUE"""),"GV")</f>
        <v>GV</v>
      </c>
      <c r="M1471" s="43" t="str">
        <f>IFERROR(__xludf.DUMMYFUNCTION("""COMPUTED_VALUE"""),"short")</f>
        <v>short</v>
      </c>
      <c r="N1471" s="45">
        <f>IFERROR(__xludf.DUMMYFUNCTION("""COMPUTED_VALUE"""),45226.0)</f>
        <v>45226</v>
      </c>
      <c r="O1471" s="45">
        <f>IFERROR(__xludf.DUMMYFUNCTION("""COMPUTED_VALUE"""),45491.0)</f>
        <v>45491</v>
      </c>
      <c r="P1471" s="45">
        <f>IFERROR(__xludf.DUMMYFUNCTION("""COMPUTED_VALUE"""),45533.0)</f>
        <v>45533</v>
      </c>
      <c r="Q1471" s="45"/>
      <c r="R1471" s="45"/>
      <c r="S1471" s="43"/>
      <c r="T1471" s="43"/>
      <c r="U1471" s="43" t="str">
        <f>IFERROR(__xludf.DUMMYFUNCTION("""COMPUTED_VALUE"""),"Youth 4 Impact")</f>
        <v>Youth 4 Impact</v>
      </c>
      <c r="V1471" s="43" t="str">
        <f>IFERROR(__xludf.DUMMYFUNCTION("""COMPUTED_VALUE"""),"IHEC Carthage")</f>
        <v>IHEC Carthage</v>
      </c>
      <c r="W1471" s="43" t="str">
        <f>IFERROR(__xludf.DUMMYFUNCTION("""COMPUTED_VALUE"""),"2023-10-27T16:40:55Z")</f>
        <v>2023-10-27T16:40:55Z</v>
      </c>
      <c r="X1471" s="43"/>
      <c r="Y1471" s="43"/>
      <c r="Z1471" s="43"/>
    </row>
    <row r="1472" hidden="1">
      <c r="A1472" s="43" t="str">
        <f>IFERROR(__xludf.DUMMYFUNCTION("""COMPUTED_VALUE"""),"5361793_1289505")</f>
        <v>5361793_1289505</v>
      </c>
      <c r="B1472" s="43" t="str">
        <f>IFERROR(__xludf.DUMMYFUNCTION("""COMPUTED_VALUE"""),"Jazil Gasmi")</f>
        <v>Jazil Gasmi</v>
      </c>
      <c r="C1472" s="43" t="str">
        <f>IFERROR(__xludf.DUMMYFUNCTION("""COMPUTED_VALUE"""),"approved")</f>
        <v>approved</v>
      </c>
      <c r="D1472" s="43" t="str">
        <f>IFERROR(__xludf.DUMMYFUNCTION("""COMPUTED_VALUE"""),"No")</f>
        <v>No</v>
      </c>
      <c r="E1472" s="43" t="str">
        <f>IFERROR(__xludf.DUMMYFUNCTION("""COMPUTED_VALUE"""),"p_15dcca6372a87d49eecbcfd46ce59de4be6c1390@inbound.aiesec.org")</f>
        <v>p_15dcca6372a87d49eecbcfd46ce59de4be6c1390@inbound.aiesec.org</v>
      </c>
      <c r="F1472" s="43">
        <f>IFERROR(__xludf.DUMMYFUNCTION("""COMPUTED_VALUE"""),5.0936633E7)</f>
        <v>50936633</v>
      </c>
      <c r="G1472" s="43" t="str">
        <f>IFERROR(__xludf.DUMMYFUNCTION("""COMPUTED_VALUE"""),"Tunisia")</f>
        <v>Tunisia</v>
      </c>
      <c r="H1472" s="43" t="str">
        <f>IFERROR(__xludf.DUMMYFUNCTION("""COMPUTED_VALUE"""),"Carthage")</f>
        <v>Carthage</v>
      </c>
      <c r="I1472" s="43" t="str">
        <f>IFERROR(__xludf.DUMMYFUNCTION("""COMPUTED_VALUE"""),"Turkey")</f>
        <v>Turkey</v>
      </c>
      <c r="J1472" s="43" t="str">
        <f>IFERROR(__xludf.DUMMYFUNCTION("""COMPUTED_VALUE"""),"KOCAELI")</f>
        <v>KOCAELI</v>
      </c>
      <c r="K1472" s="44" t="str">
        <f>IFERROR(__xludf.DUMMYFUNCTION("""COMPUTED_VALUE"""),"https://expa.aiesec.org/opportunities/1289505")</f>
        <v>https://expa.aiesec.org/opportunities/1289505</v>
      </c>
      <c r="L1472" s="43" t="str">
        <f>IFERROR(__xludf.DUMMYFUNCTION("""COMPUTED_VALUE"""),"GV")</f>
        <v>GV</v>
      </c>
      <c r="M1472" s="43" t="str">
        <f>IFERROR(__xludf.DUMMYFUNCTION("""COMPUTED_VALUE"""),"short")</f>
        <v>short</v>
      </c>
      <c r="N1472" s="45">
        <f>IFERROR(__xludf.DUMMYFUNCTION("""COMPUTED_VALUE"""),45226.0)</f>
        <v>45226</v>
      </c>
      <c r="O1472" s="45">
        <f>IFERROR(__xludf.DUMMYFUNCTION("""COMPUTED_VALUE"""),45481.0)</f>
        <v>45481</v>
      </c>
      <c r="P1472" s="45">
        <f>IFERROR(__xludf.DUMMYFUNCTION("""COMPUTED_VALUE"""),45523.0)</f>
        <v>45523</v>
      </c>
      <c r="Q1472" s="45"/>
      <c r="R1472" s="45"/>
      <c r="S1472" s="43"/>
      <c r="T1472" s="43"/>
      <c r="U1472" s="43" t="str">
        <f>IFERROR(__xludf.DUMMYFUNCTION("""COMPUTED_VALUE"""),"Youth 4 Impact")</f>
        <v>Youth 4 Impact</v>
      </c>
      <c r="V1472" s="43" t="str">
        <f>IFERROR(__xludf.DUMMYFUNCTION("""COMPUTED_VALUE"""),"INSAT")</f>
        <v>INSAT</v>
      </c>
      <c r="W1472" s="43" t="str">
        <f>IFERROR(__xludf.DUMMYFUNCTION("""COMPUTED_VALUE"""),"2023-10-27T20:17:55Z")</f>
        <v>2023-10-27T20:17:55Z</v>
      </c>
      <c r="X1472" s="43"/>
      <c r="Y1472" s="43"/>
      <c r="Z1472" s="43"/>
    </row>
    <row r="1473" hidden="1">
      <c r="A1473" s="43" t="str">
        <f>IFERROR(__xludf.DUMMYFUNCTION("""COMPUTED_VALUE"""),"5362094_1284670")</f>
        <v>5362094_1284670</v>
      </c>
      <c r="B1473" s="43" t="str">
        <f>IFERROR(__xludf.DUMMYFUNCTION("""COMPUTED_VALUE"""),"menyar kahlawi")</f>
        <v>menyar kahlawi</v>
      </c>
      <c r="C1473" s="43" t="str">
        <f>IFERROR(__xludf.DUMMYFUNCTION("""COMPUTED_VALUE"""),"approved")</f>
        <v>approved</v>
      </c>
      <c r="D1473" s="43" t="str">
        <f>IFERROR(__xludf.DUMMYFUNCTION("""COMPUTED_VALUE"""),"No")</f>
        <v>No</v>
      </c>
      <c r="E1473" s="43" t="str">
        <f>IFERROR(__xludf.DUMMYFUNCTION("""COMPUTED_VALUE"""),"p_ebd7b6693f989540f48ac7e365a3783897c34803@inbound.aiesec.org")</f>
        <v>p_ebd7b6693f989540f48ac7e365a3783897c34803@inbound.aiesec.org</v>
      </c>
      <c r="F1473" s="43">
        <f>IFERROR(__xludf.DUMMYFUNCTION("""COMPUTED_VALUE"""),5.538345E7)</f>
        <v>55383450</v>
      </c>
      <c r="G1473" s="43" t="str">
        <f>IFERROR(__xludf.DUMMYFUNCTION("""COMPUTED_VALUE"""),"Tunisia")</f>
        <v>Tunisia</v>
      </c>
      <c r="H1473" s="43" t="str">
        <f>IFERROR(__xludf.DUMMYFUNCTION("""COMPUTED_VALUE"""),"HADRUMET")</f>
        <v>HADRUMET</v>
      </c>
      <c r="I1473" s="43" t="str">
        <f>IFERROR(__xludf.DUMMYFUNCTION("""COMPUTED_VALUE"""),"Turkey")</f>
        <v>Turkey</v>
      </c>
      <c r="J1473" s="43" t="str">
        <f>IFERROR(__xludf.DUMMYFUNCTION("""COMPUTED_VALUE"""),"ISTANBUL")</f>
        <v>ISTANBUL</v>
      </c>
      <c r="K1473" s="44" t="str">
        <f>IFERROR(__xludf.DUMMYFUNCTION("""COMPUTED_VALUE"""),"https://expa.aiesec.org/opportunities/1284670")</f>
        <v>https://expa.aiesec.org/opportunities/1284670</v>
      </c>
      <c r="L1473" s="43" t="str">
        <f>IFERROR(__xludf.DUMMYFUNCTION("""COMPUTED_VALUE"""),"GV")</f>
        <v>GV</v>
      </c>
      <c r="M1473" s="43" t="str">
        <f>IFERROR(__xludf.DUMMYFUNCTION("""COMPUTED_VALUE"""),"short")</f>
        <v>short</v>
      </c>
      <c r="N1473" s="45">
        <f>IFERROR(__xludf.DUMMYFUNCTION("""COMPUTED_VALUE"""),45227.0)</f>
        <v>45227</v>
      </c>
      <c r="O1473" s="45">
        <f>IFERROR(__xludf.DUMMYFUNCTION("""COMPUTED_VALUE"""),45476.0)</f>
        <v>45476</v>
      </c>
      <c r="P1473" s="45">
        <f>IFERROR(__xludf.DUMMYFUNCTION("""COMPUTED_VALUE"""),45518.0)</f>
        <v>45518</v>
      </c>
      <c r="Q1473" s="45"/>
      <c r="R1473" s="45"/>
      <c r="S1473" s="43"/>
      <c r="T1473" s="43"/>
      <c r="U1473" s="43" t="str">
        <f>IFERROR(__xludf.DUMMYFUNCTION("""COMPUTED_VALUE"""),"Heartbeat")</f>
        <v>Heartbeat</v>
      </c>
      <c r="V1473" s="43" t="str">
        <f>IFERROR(__xludf.DUMMYFUNCTION("""COMPUTED_VALUE"""),"FMS (Faculté de Médecine de Sousse)")</f>
        <v>FMS (Faculté de Médecine de Sousse)</v>
      </c>
      <c r="W1473" s="43" t="str">
        <f>IFERROR(__xludf.DUMMYFUNCTION("""COMPUTED_VALUE"""),"2023-10-28T11:52:15Z")</f>
        <v>2023-10-28T11:52:15Z</v>
      </c>
      <c r="X1473" s="43"/>
      <c r="Y1473" s="43"/>
      <c r="Z1473" s="43"/>
    </row>
    <row r="1474" hidden="1">
      <c r="A1474" s="43" t="str">
        <f>IFERROR(__xludf.DUMMYFUNCTION("""COMPUTED_VALUE"""),"5362177_1298102")</f>
        <v>5362177_1298102</v>
      </c>
      <c r="B1474" s="43" t="str">
        <f>IFERROR(__xludf.DUMMYFUNCTION("""COMPUTED_VALUE"""),"khadija bensaad")</f>
        <v>khadija bensaad</v>
      </c>
      <c r="C1474" s="43" t="str">
        <f>IFERROR(__xludf.DUMMYFUNCTION("""COMPUTED_VALUE"""),"approved")</f>
        <v>approved</v>
      </c>
      <c r="D1474" s="43" t="str">
        <f>IFERROR(__xludf.DUMMYFUNCTION("""COMPUTED_VALUE"""),"No")</f>
        <v>No</v>
      </c>
      <c r="E1474" s="43" t="str">
        <f>IFERROR(__xludf.DUMMYFUNCTION("""COMPUTED_VALUE"""),"p_a06ac1adbe37735ac48ee345d9b6b9db76787716@inbound.aiesec.org")</f>
        <v>p_a06ac1adbe37735ac48ee345d9b6b9db76787716@inbound.aiesec.org</v>
      </c>
      <c r="F1474" s="43">
        <f>IFERROR(__xludf.DUMMYFUNCTION("""COMPUTED_VALUE"""),5.4550005E7)</f>
        <v>54550005</v>
      </c>
      <c r="G1474" s="43" t="str">
        <f>IFERROR(__xludf.DUMMYFUNCTION("""COMPUTED_VALUE"""),"Tunisia")</f>
        <v>Tunisia</v>
      </c>
      <c r="H1474" s="43" t="str">
        <f>IFERROR(__xludf.DUMMYFUNCTION("""COMPUTED_VALUE"""),"HADRUMET")</f>
        <v>HADRUMET</v>
      </c>
      <c r="I1474" s="43" t="str">
        <f>IFERROR(__xludf.DUMMYFUNCTION("""COMPUTED_VALUE"""),"Turkey")</f>
        <v>Turkey</v>
      </c>
      <c r="J1474" s="43" t="str">
        <f>IFERROR(__xludf.DUMMYFUNCTION("""COMPUTED_VALUE"""),"KOCAELI")</f>
        <v>KOCAELI</v>
      </c>
      <c r="K1474" s="44" t="str">
        <f>IFERROR(__xludf.DUMMYFUNCTION("""COMPUTED_VALUE"""),"https://expa.aiesec.org/opportunities/1298102")</f>
        <v>https://expa.aiesec.org/opportunities/1298102</v>
      </c>
      <c r="L1474" s="43" t="str">
        <f>IFERROR(__xludf.DUMMYFUNCTION("""COMPUTED_VALUE"""),"GV")</f>
        <v>GV</v>
      </c>
      <c r="M1474" s="43" t="str">
        <f>IFERROR(__xludf.DUMMYFUNCTION("""COMPUTED_VALUE"""),"short")</f>
        <v>short</v>
      </c>
      <c r="N1474" s="45">
        <f>IFERROR(__xludf.DUMMYFUNCTION("""COMPUTED_VALUE"""),45228.0)</f>
        <v>45228</v>
      </c>
      <c r="O1474" s="45">
        <f>IFERROR(__xludf.DUMMYFUNCTION("""COMPUTED_VALUE"""),45446.0)</f>
        <v>45446</v>
      </c>
      <c r="P1474" s="45">
        <f>IFERROR(__xludf.DUMMYFUNCTION("""COMPUTED_VALUE"""),45488.0)</f>
        <v>45488</v>
      </c>
      <c r="Q1474" s="45"/>
      <c r="R1474" s="45"/>
      <c r="S1474" s="43"/>
      <c r="T1474" s="43"/>
      <c r="U1474" s="43" t="str">
        <f>IFERROR(__xludf.DUMMYFUNCTION("""COMPUTED_VALUE"""),"Global Classroom")</f>
        <v>Global Classroom</v>
      </c>
      <c r="V1474" s="43" t="str">
        <f>IFERROR(__xludf.DUMMYFUNCTION("""COMPUTED_VALUE"""),"ESSTHS")</f>
        <v>ESSTHS</v>
      </c>
      <c r="W1474" s="43" t="str">
        <f>IFERROR(__xludf.DUMMYFUNCTION("""COMPUTED_VALUE"""),"2023-10-28T15:56:24Z")</f>
        <v>2023-10-28T15:56:24Z</v>
      </c>
      <c r="X1474" s="43"/>
      <c r="Y1474" s="43"/>
      <c r="Z1474" s="43"/>
    </row>
    <row r="1475" hidden="1">
      <c r="A1475" s="43" t="str">
        <f>IFERROR(__xludf.DUMMYFUNCTION("""COMPUTED_VALUE"""),"3317780_1299113")</f>
        <v>3317780_1299113</v>
      </c>
      <c r="B1475" s="43" t="str">
        <f>IFERROR(__xludf.DUMMYFUNCTION("""COMPUTED_VALUE"""),"Nourhan Hesham")</f>
        <v>Nourhan Hesham</v>
      </c>
      <c r="C1475" s="43" t="str">
        <f>IFERROR(__xludf.DUMMYFUNCTION("""COMPUTED_VALUE"""),"approved")</f>
        <v>approved</v>
      </c>
      <c r="D1475" s="43" t="str">
        <f>IFERROR(__xludf.DUMMYFUNCTION("""COMPUTED_VALUE"""),"No")</f>
        <v>No</v>
      </c>
      <c r="E1475" s="43" t="str">
        <f>IFERROR(__xludf.DUMMYFUNCTION("""COMPUTED_VALUE"""),"p_5cbdb2a5d50f009718f2731dcba7091b57cdd1c4@inbound.aiesec.org")</f>
        <v>p_5cbdb2a5d50f009718f2731dcba7091b57cdd1c4@inbound.aiesec.org</v>
      </c>
      <c r="F1475" s="43"/>
      <c r="G1475" s="43" t="str">
        <f>IFERROR(__xludf.DUMMYFUNCTION("""COMPUTED_VALUE"""),"Egypt")</f>
        <v>Egypt</v>
      </c>
      <c r="H1475" s="43" t="str">
        <f>IFERROR(__xludf.DUMMYFUNCTION("""COMPUTED_VALUE"""),"Ain Shams University")</f>
        <v>Ain Shams University</v>
      </c>
      <c r="I1475" s="43" t="str">
        <f>IFERROR(__xludf.DUMMYFUNCTION("""COMPUTED_VALUE"""),"Turkey")</f>
        <v>Turkey</v>
      </c>
      <c r="J1475" s="43" t="str">
        <f>IFERROR(__xludf.DUMMYFUNCTION("""COMPUTED_VALUE"""),"ISTANBUL ASIA")</f>
        <v>ISTANBUL ASIA</v>
      </c>
      <c r="K1475" s="44" t="str">
        <f>IFERROR(__xludf.DUMMYFUNCTION("""COMPUTED_VALUE"""),"https://expa.aiesec.org/opportunities/1299113")</f>
        <v>https://expa.aiesec.org/opportunities/1299113</v>
      </c>
      <c r="L1475" s="43" t="str">
        <f>IFERROR(__xludf.DUMMYFUNCTION("""COMPUTED_VALUE"""),"GV")</f>
        <v>GV</v>
      </c>
      <c r="M1475" s="43" t="str">
        <f>IFERROR(__xludf.DUMMYFUNCTION("""COMPUTED_VALUE"""),"short")</f>
        <v>short</v>
      </c>
      <c r="N1475" s="45">
        <f>IFERROR(__xludf.DUMMYFUNCTION("""COMPUTED_VALUE"""),45228.0)</f>
        <v>45228</v>
      </c>
      <c r="O1475" s="45">
        <f>IFERROR(__xludf.DUMMYFUNCTION("""COMPUTED_VALUE"""),45292.0)</f>
        <v>45292</v>
      </c>
      <c r="P1475" s="45">
        <f>IFERROR(__xludf.DUMMYFUNCTION("""COMPUTED_VALUE"""),45334.0)</f>
        <v>45334</v>
      </c>
      <c r="Q1475" s="45"/>
      <c r="R1475" s="45"/>
      <c r="S1475" s="43"/>
      <c r="T1475" s="43"/>
      <c r="U1475" s="43" t="str">
        <f>IFERROR(__xludf.DUMMYFUNCTION("""COMPUTED_VALUE"""),"Global Classroom")</f>
        <v>Global Classroom</v>
      </c>
      <c r="V1475" s="43" t="str">
        <f>IFERROR(__xludf.DUMMYFUNCTION("""COMPUTED_VALUE"""),"-")</f>
        <v>-</v>
      </c>
      <c r="W1475" s="43" t="str">
        <f>IFERROR(__xludf.DUMMYFUNCTION("""COMPUTED_VALUE"""),"2019-04-10T22:02:18Z")</f>
        <v>2019-04-10T22:02:18Z</v>
      </c>
      <c r="X1475" s="43"/>
      <c r="Y1475" s="43"/>
      <c r="Z1475" s="43"/>
    </row>
    <row r="1476" hidden="1">
      <c r="A1476" s="43" t="str">
        <f>IFERROR(__xludf.DUMMYFUNCTION("""COMPUTED_VALUE"""),"5264868_1295830")</f>
        <v>5264868_1295830</v>
      </c>
      <c r="B1476" s="43" t="str">
        <f>IFERROR(__xludf.DUMMYFUNCTION("""COMPUTED_VALUE"""),"Hassiba Mahieddine")</f>
        <v>Hassiba Mahieddine</v>
      </c>
      <c r="C1476" s="43" t="str">
        <f>IFERROR(__xludf.DUMMYFUNCTION("""COMPUTED_VALUE"""),"completed")</f>
        <v>completed</v>
      </c>
      <c r="D1476" s="43" t="str">
        <f>IFERROR(__xludf.DUMMYFUNCTION("""COMPUTED_VALUE"""),"No")</f>
        <v>No</v>
      </c>
      <c r="E1476" s="43" t="str">
        <f>IFERROR(__xludf.DUMMYFUNCTION("""COMPUTED_VALUE"""),"p_0a8542edc1f2e6e00fa7f9a61cc9783ffd4c97cf@inbound.aiesec.org")</f>
        <v>p_0a8542edc1f2e6e00fa7f9a61cc9783ffd4c97cf@inbound.aiesec.org</v>
      </c>
      <c r="F1476" s="43">
        <f>IFERROR(__xludf.DUMMYFUNCTION("""COMPUTED_VALUE"""),7.98886553E8)</f>
        <v>798886553</v>
      </c>
      <c r="G1476" s="43" t="str">
        <f>IFERROR(__xludf.DUMMYFUNCTION("""COMPUTED_VALUE"""),"Algeria")</f>
        <v>Algeria</v>
      </c>
      <c r="H1476" s="43" t="str">
        <f>IFERROR(__xludf.DUMMYFUNCTION("""COMPUTED_VALUE"""),"Blida")</f>
        <v>Blida</v>
      </c>
      <c r="I1476" s="43" t="str">
        <f>IFERROR(__xludf.DUMMYFUNCTION("""COMPUTED_VALUE"""),"Turkey")</f>
        <v>Turkey</v>
      </c>
      <c r="J1476" s="43" t="str">
        <f>IFERROR(__xludf.DUMMYFUNCTION("""COMPUTED_VALUE"""),"ANKARA")</f>
        <v>ANKARA</v>
      </c>
      <c r="K1476" s="44" t="str">
        <f>IFERROR(__xludf.DUMMYFUNCTION("""COMPUTED_VALUE"""),"https://expa.aiesec.org/opportunities/1295830")</f>
        <v>https://expa.aiesec.org/opportunities/1295830</v>
      </c>
      <c r="L1476" s="43" t="str">
        <f>IFERROR(__xludf.DUMMYFUNCTION("""COMPUTED_VALUE"""),"GV")</f>
        <v>GV</v>
      </c>
      <c r="M1476" s="43" t="str">
        <f>IFERROR(__xludf.DUMMYFUNCTION("""COMPUTED_VALUE"""),"short")</f>
        <v>short</v>
      </c>
      <c r="N1476" s="45">
        <f>IFERROR(__xludf.DUMMYFUNCTION("""COMPUTED_VALUE"""),45228.0)</f>
        <v>45228</v>
      </c>
      <c r="O1476" s="45">
        <f>IFERROR(__xludf.DUMMYFUNCTION("""COMPUTED_VALUE"""),45243.0)</f>
        <v>45243</v>
      </c>
      <c r="P1476" s="45">
        <f>IFERROR(__xludf.DUMMYFUNCTION("""COMPUTED_VALUE"""),45285.0)</f>
        <v>45285</v>
      </c>
      <c r="Q1476" s="45">
        <f>IFERROR(__xludf.DUMMYFUNCTION("""COMPUTED_VALUE"""),45246.0)</f>
        <v>45246</v>
      </c>
      <c r="R1476" s="45">
        <f>IFERROR(__xludf.DUMMYFUNCTION("""COMPUTED_VALUE"""),45288.0)</f>
        <v>45288</v>
      </c>
      <c r="S1476" s="43"/>
      <c r="T1476" s="43"/>
      <c r="U1476" s="43" t="str">
        <f>IFERROR(__xludf.DUMMYFUNCTION("""COMPUTED_VALUE"""),"Global Classroom")</f>
        <v>Global Classroom</v>
      </c>
      <c r="V1476" s="43" t="str">
        <f>IFERROR(__xludf.DUMMYFUNCTION("""COMPUTED_VALUE"""),"AIESEC in Blida")</f>
        <v>AIESEC in Blida</v>
      </c>
      <c r="W1476" s="43" t="str">
        <f>IFERROR(__xludf.DUMMYFUNCTION("""COMPUTED_VALUE"""),"2023-05-22T14:15:22Z")</f>
        <v>2023-05-22T14:15:22Z</v>
      </c>
      <c r="X1476" s="43"/>
      <c r="Y1476" s="43"/>
      <c r="Z1476" s="43"/>
    </row>
    <row r="1477" hidden="1">
      <c r="A1477" s="43" t="str">
        <f>IFERROR(__xludf.DUMMYFUNCTION("""COMPUTED_VALUE"""),"5360326_1279126")</f>
        <v>5360326_1279126</v>
      </c>
      <c r="B1477" s="43" t="str">
        <f>IFERROR(__xludf.DUMMYFUNCTION("""COMPUTED_VALUE"""),"Medamine Ghali")</f>
        <v>Medamine Ghali</v>
      </c>
      <c r="C1477" s="43" t="str">
        <f>IFERROR(__xludf.DUMMYFUNCTION("""COMPUTED_VALUE"""),"approved")</f>
        <v>approved</v>
      </c>
      <c r="D1477" s="43" t="str">
        <f>IFERROR(__xludf.DUMMYFUNCTION("""COMPUTED_VALUE"""),"No")</f>
        <v>No</v>
      </c>
      <c r="E1477" s="43" t="str">
        <f>IFERROR(__xludf.DUMMYFUNCTION("""COMPUTED_VALUE"""),"p_e7f69def258619e304cc460c586fefd992f09b20@inbound.aiesec.org")</f>
        <v>p_e7f69def258619e304cc460c586fefd992f09b20@inbound.aiesec.org</v>
      </c>
      <c r="F1477" s="43">
        <f>IFERROR(__xludf.DUMMYFUNCTION("""COMPUTED_VALUE"""),2.227324E7)</f>
        <v>22273240</v>
      </c>
      <c r="G1477" s="43" t="str">
        <f>IFERROR(__xludf.DUMMYFUNCTION("""COMPUTED_VALUE"""),"Tunisia")</f>
        <v>Tunisia</v>
      </c>
      <c r="H1477" s="43" t="str">
        <f>IFERROR(__xludf.DUMMYFUNCTION("""COMPUTED_VALUE"""),"HADRUMET")</f>
        <v>HADRUMET</v>
      </c>
      <c r="I1477" s="43" t="str">
        <f>IFERROR(__xludf.DUMMYFUNCTION("""COMPUTED_VALUE"""),"Turkey")</f>
        <v>Turkey</v>
      </c>
      <c r="J1477" s="43" t="str">
        <f>IFERROR(__xludf.DUMMYFUNCTION("""COMPUTED_VALUE"""),"KOCAELI")</f>
        <v>KOCAELI</v>
      </c>
      <c r="K1477" s="44" t="str">
        <f>IFERROR(__xludf.DUMMYFUNCTION("""COMPUTED_VALUE"""),"https://expa.aiesec.org/opportunities/1279126")</f>
        <v>https://expa.aiesec.org/opportunities/1279126</v>
      </c>
      <c r="L1477" s="43" t="str">
        <f>IFERROR(__xludf.DUMMYFUNCTION("""COMPUTED_VALUE"""),"GV")</f>
        <v>GV</v>
      </c>
      <c r="M1477" s="43" t="str">
        <f>IFERROR(__xludf.DUMMYFUNCTION("""COMPUTED_VALUE"""),"short")</f>
        <v>short</v>
      </c>
      <c r="N1477" s="45">
        <f>IFERROR(__xludf.DUMMYFUNCTION("""COMPUTED_VALUE"""),45229.0)</f>
        <v>45229</v>
      </c>
      <c r="O1477" s="45">
        <f>IFERROR(__xludf.DUMMYFUNCTION("""COMPUTED_VALUE"""),45488.0)</f>
        <v>45488</v>
      </c>
      <c r="P1477" s="45">
        <f>IFERROR(__xludf.DUMMYFUNCTION("""COMPUTED_VALUE"""),45530.0)</f>
        <v>45530</v>
      </c>
      <c r="Q1477" s="45"/>
      <c r="R1477" s="45"/>
      <c r="S1477" s="43"/>
      <c r="T1477" s="43"/>
      <c r="U1477" s="43" t="str">
        <f>IFERROR(__xludf.DUMMYFUNCTION("""COMPUTED_VALUE"""),"Global Classroom")</f>
        <v>Global Classroom</v>
      </c>
      <c r="V1477" s="43" t="str">
        <f>IFERROR(__xludf.DUMMYFUNCTION("""COMPUTED_VALUE"""),"IMSET Sousse")</f>
        <v>IMSET Sousse</v>
      </c>
      <c r="W1477" s="43" t="str">
        <f>IFERROR(__xludf.DUMMYFUNCTION("""COMPUTED_VALUE"""),"2023-10-25T19:40:54Z")</f>
        <v>2023-10-25T19:40:54Z</v>
      </c>
      <c r="X1477" s="43"/>
      <c r="Y1477" s="43"/>
      <c r="Z1477" s="43"/>
    </row>
    <row r="1478" hidden="1">
      <c r="A1478" s="43" t="str">
        <f>IFERROR(__xludf.DUMMYFUNCTION("""COMPUTED_VALUE"""),"5363507_1293726")</f>
        <v>5363507_1293726</v>
      </c>
      <c r="B1478" s="43" t="str">
        <f>IFERROR(__xludf.DUMMYFUNCTION("""COMPUTED_VALUE"""),"Feriel Dakhlia")</f>
        <v>Feriel Dakhlia</v>
      </c>
      <c r="C1478" s="43" t="str">
        <f>IFERROR(__xludf.DUMMYFUNCTION("""COMPUTED_VALUE"""),"approved")</f>
        <v>approved</v>
      </c>
      <c r="D1478" s="43" t="str">
        <f>IFERROR(__xludf.DUMMYFUNCTION("""COMPUTED_VALUE"""),"No")</f>
        <v>No</v>
      </c>
      <c r="E1478" s="43" t="str">
        <f>IFERROR(__xludf.DUMMYFUNCTION("""COMPUTED_VALUE"""),"p_98c21b8c0b28f22258330aaf091c127100a7392f@inbound.aiesec.org")</f>
        <v>p_98c21b8c0b28f22258330aaf091c127100a7392f@inbound.aiesec.org</v>
      </c>
      <c r="F1478" s="43">
        <f>IFERROR(__xludf.DUMMYFUNCTION("""COMPUTED_VALUE"""),9.7955289E7)</f>
        <v>97955289</v>
      </c>
      <c r="G1478" s="43" t="str">
        <f>IFERROR(__xludf.DUMMYFUNCTION("""COMPUTED_VALUE"""),"Tunisia")</f>
        <v>Tunisia</v>
      </c>
      <c r="H1478" s="43" t="str">
        <f>IFERROR(__xludf.DUMMYFUNCTION("""COMPUTED_VALUE"""),"HADRUMET")</f>
        <v>HADRUMET</v>
      </c>
      <c r="I1478" s="43" t="str">
        <f>IFERROR(__xludf.DUMMYFUNCTION("""COMPUTED_VALUE"""),"Turkey")</f>
        <v>Turkey</v>
      </c>
      <c r="J1478" s="43" t="str">
        <f>IFERROR(__xludf.DUMMYFUNCTION("""COMPUTED_VALUE"""),"DENIZLI")</f>
        <v>DENIZLI</v>
      </c>
      <c r="K1478" s="44" t="str">
        <f>IFERROR(__xludf.DUMMYFUNCTION("""COMPUTED_VALUE"""),"https://expa.aiesec.org/opportunities/1293726")</f>
        <v>https://expa.aiesec.org/opportunities/1293726</v>
      </c>
      <c r="L1478" s="43" t="str">
        <f>IFERROR(__xludf.DUMMYFUNCTION("""COMPUTED_VALUE"""),"GV")</f>
        <v>GV</v>
      </c>
      <c r="M1478" s="43" t="str">
        <f>IFERROR(__xludf.DUMMYFUNCTION("""COMPUTED_VALUE"""),"short")</f>
        <v>short</v>
      </c>
      <c r="N1478" s="45">
        <f>IFERROR(__xludf.DUMMYFUNCTION("""COMPUTED_VALUE"""),45229.0)</f>
        <v>45229</v>
      </c>
      <c r="O1478" s="45">
        <f>IFERROR(__xludf.DUMMYFUNCTION("""COMPUTED_VALUE"""),45488.0)</f>
        <v>45488</v>
      </c>
      <c r="P1478" s="45">
        <f>IFERROR(__xludf.DUMMYFUNCTION("""COMPUTED_VALUE"""),45530.0)</f>
        <v>45530</v>
      </c>
      <c r="Q1478" s="45"/>
      <c r="R1478" s="45"/>
      <c r="S1478" s="43"/>
      <c r="T1478" s="43"/>
      <c r="U1478" s="43" t="str">
        <f>IFERROR(__xludf.DUMMYFUNCTION("""COMPUTED_VALUE"""),"Global Classroom")</f>
        <v>Global Classroom</v>
      </c>
      <c r="V1478" s="43" t="str">
        <f>IFERROR(__xludf.DUMMYFUNCTION("""COMPUTED_VALUE"""),"FMS (Faculté de Médecine de Sousse)")</f>
        <v>FMS (Faculté de Médecine de Sousse)</v>
      </c>
      <c r="W1478" s="43" t="str">
        <f>IFERROR(__xludf.DUMMYFUNCTION("""COMPUTED_VALUE"""),"2023-10-30T15:33:57Z")</f>
        <v>2023-10-30T15:33:57Z</v>
      </c>
      <c r="X1478" s="43"/>
      <c r="Y1478" s="43"/>
      <c r="Z1478" s="43"/>
    </row>
    <row r="1479" hidden="1">
      <c r="A1479" s="43" t="str">
        <f>IFERROR(__xludf.DUMMYFUNCTION("""COMPUTED_VALUE"""),"5363837_1289505")</f>
        <v>5363837_1289505</v>
      </c>
      <c r="B1479" s="43" t="str">
        <f>IFERROR(__xludf.DUMMYFUNCTION("""COMPUTED_VALUE"""),"Mnakbi Tayssir")</f>
        <v>Mnakbi Tayssir</v>
      </c>
      <c r="C1479" s="43" t="str">
        <f>IFERROR(__xludf.DUMMYFUNCTION("""COMPUTED_VALUE"""),"approved")</f>
        <v>approved</v>
      </c>
      <c r="D1479" s="43" t="str">
        <f>IFERROR(__xludf.DUMMYFUNCTION("""COMPUTED_VALUE"""),"No")</f>
        <v>No</v>
      </c>
      <c r="E1479" s="43" t="str">
        <f>IFERROR(__xludf.DUMMYFUNCTION("""COMPUTED_VALUE"""),"p_984501be2aa57f2268d3c0359faa44273a0c7ae5@inbound.aiesec.org")</f>
        <v>p_984501be2aa57f2268d3c0359faa44273a0c7ae5@inbound.aiesec.org</v>
      </c>
      <c r="F1479" s="43">
        <f>IFERROR(__xludf.DUMMYFUNCTION("""COMPUTED_VALUE"""),9.2656312E7)</f>
        <v>92656312</v>
      </c>
      <c r="G1479" s="43" t="str">
        <f>IFERROR(__xludf.DUMMYFUNCTION("""COMPUTED_VALUE"""),"Tunisia")</f>
        <v>Tunisia</v>
      </c>
      <c r="H1479" s="43" t="str">
        <f>IFERROR(__xludf.DUMMYFUNCTION("""COMPUTED_VALUE"""),"Carthage")</f>
        <v>Carthage</v>
      </c>
      <c r="I1479" s="43" t="str">
        <f>IFERROR(__xludf.DUMMYFUNCTION("""COMPUTED_VALUE"""),"Turkey")</f>
        <v>Turkey</v>
      </c>
      <c r="J1479" s="43" t="str">
        <f>IFERROR(__xludf.DUMMYFUNCTION("""COMPUTED_VALUE"""),"KOCAELI")</f>
        <v>KOCAELI</v>
      </c>
      <c r="K1479" s="44" t="str">
        <f>IFERROR(__xludf.DUMMYFUNCTION("""COMPUTED_VALUE"""),"https://expa.aiesec.org/opportunities/1289505")</f>
        <v>https://expa.aiesec.org/opportunities/1289505</v>
      </c>
      <c r="L1479" s="43" t="str">
        <f>IFERROR(__xludf.DUMMYFUNCTION("""COMPUTED_VALUE"""),"GV")</f>
        <v>GV</v>
      </c>
      <c r="M1479" s="43" t="str">
        <f>IFERROR(__xludf.DUMMYFUNCTION("""COMPUTED_VALUE"""),"short")</f>
        <v>short</v>
      </c>
      <c r="N1479" s="45">
        <f>IFERROR(__xludf.DUMMYFUNCTION("""COMPUTED_VALUE"""),45229.0)</f>
        <v>45229</v>
      </c>
      <c r="O1479" s="45">
        <f>IFERROR(__xludf.DUMMYFUNCTION("""COMPUTED_VALUE"""),45509.0)</f>
        <v>45509</v>
      </c>
      <c r="P1479" s="45">
        <f>IFERROR(__xludf.DUMMYFUNCTION("""COMPUTED_VALUE"""),45551.0)</f>
        <v>45551</v>
      </c>
      <c r="Q1479" s="45"/>
      <c r="R1479" s="45"/>
      <c r="S1479" s="43"/>
      <c r="T1479" s="43"/>
      <c r="U1479" s="43" t="str">
        <f>IFERROR(__xludf.DUMMYFUNCTION("""COMPUTED_VALUE"""),"Youth 4 Impact")</f>
        <v>Youth 4 Impact</v>
      </c>
      <c r="V1479" s="43" t="str">
        <f>IFERROR(__xludf.DUMMYFUNCTION("""COMPUTED_VALUE"""),"IHEC Carthage")</f>
        <v>IHEC Carthage</v>
      </c>
      <c r="W1479" s="43" t="str">
        <f>IFERROR(__xludf.DUMMYFUNCTION("""COMPUTED_VALUE"""),"2023-10-30T22:59:46Z")</f>
        <v>2023-10-30T22:59:46Z</v>
      </c>
      <c r="X1479" s="43"/>
      <c r="Y1479" s="43"/>
      <c r="Z1479" s="43"/>
    </row>
    <row r="1480" hidden="1">
      <c r="A1480" s="43" t="str">
        <f>IFERROR(__xludf.DUMMYFUNCTION("""COMPUTED_VALUE"""),"5363776_1289505")</f>
        <v>5363776_1289505</v>
      </c>
      <c r="B1480" s="43" t="str">
        <f>IFERROR(__xludf.DUMMYFUNCTION("""COMPUTED_VALUE"""),"Farah Taboubi")</f>
        <v>Farah Taboubi</v>
      </c>
      <c r="C1480" s="43" t="str">
        <f>IFERROR(__xludf.DUMMYFUNCTION("""COMPUTED_VALUE"""),"approved")</f>
        <v>approved</v>
      </c>
      <c r="D1480" s="43" t="str">
        <f>IFERROR(__xludf.DUMMYFUNCTION("""COMPUTED_VALUE"""),"No")</f>
        <v>No</v>
      </c>
      <c r="E1480" s="43" t="str">
        <f>IFERROR(__xludf.DUMMYFUNCTION("""COMPUTED_VALUE"""),"p_2694a048f8aca9a462c6ebcc8bc0368113d12561@inbound.aiesec.org")</f>
        <v>p_2694a048f8aca9a462c6ebcc8bc0368113d12561@inbound.aiesec.org</v>
      </c>
      <c r="F1480" s="43">
        <f>IFERROR(__xludf.DUMMYFUNCTION("""COMPUTED_VALUE"""),9.9942428E7)</f>
        <v>99942428</v>
      </c>
      <c r="G1480" s="43" t="str">
        <f>IFERROR(__xludf.DUMMYFUNCTION("""COMPUTED_VALUE"""),"Tunisia")</f>
        <v>Tunisia</v>
      </c>
      <c r="H1480" s="43" t="str">
        <f>IFERROR(__xludf.DUMMYFUNCTION("""COMPUTED_VALUE"""),"Carthage")</f>
        <v>Carthage</v>
      </c>
      <c r="I1480" s="43" t="str">
        <f>IFERROR(__xludf.DUMMYFUNCTION("""COMPUTED_VALUE"""),"Turkey")</f>
        <v>Turkey</v>
      </c>
      <c r="J1480" s="43" t="str">
        <f>IFERROR(__xludf.DUMMYFUNCTION("""COMPUTED_VALUE"""),"KOCAELI")</f>
        <v>KOCAELI</v>
      </c>
      <c r="K1480" s="44" t="str">
        <f>IFERROR(__xludf.DUMMYFUNCTION("""COMPUTED_VALUE"""),"https://expa.aiesec.org/opportunities/1289505")</f>
        <v>https://expa.aiesec.org/opportunities/1289505</v>
      </c>
      <c r="L1480" s="43" t="str">
        <f>IFERROR(__xludf.DUMMYFUNCTION("""COMPUTED_VALUE"""),"GV")</f>
        <v>GV</v>
      </c>
      <c r="M1480" s="43" t="str">
        <f>IFERROR(__xludf.DUMMYFUNCTION("""COMPUTED_VALUE"""),"short")</f>
        <v>short</v>
      </c>
      <c r="N1480" s="45">
        <f>IFERROR(__xludf.DUMMYFUNCTION("""COMPUTED_VALUE"""),45229.0)</f>
        <v>45229</v>
      </c>
      <c r="O1480" s="45">
        <f>IFERROR(__xludf.DUMMYFUNCTION("""COMPUTED_VALUE"""),45509.0)</f>
        <v>45509</v>
      </c>
      <c r="P1480" s="45">
        <f>IFERROR(__xludf.DUMMYFUNCTION("""COMPUTED_VALUE"""),45551.0)</f>
        <v>45551</v>
      </c>
      <c r="Q1480" s="45"/>
      <c r="R1480" s="45"/>
      <c r="S1480" s="43"/>
      <c r="T1480" s="43"/>
      <c r="U1480" s="43" t="str">
        <f>IFERROR(__xludf.DUMMYFUNCTION("""COMPUTED_VALUE"""),"Youth 4 Impact")</f>
        <v>Youth 4 Impact</v>
      </c>
      <c r="V1480" s="43" t="str">
        <f>IFERROR(__xludf.DUMMYFUNCTION("""COMPUTED_VALUE"""),"IHEC Carthage")</f>
        <v>IHEC Carthage</v>
      </c>
      <c r="W1480" s="43" t="str">
        <f>IFERROR(__xludf.DUMMYFUNCTION("""COMPUTED_VALUE"""),"2023-10-30T20:35:01Z")</f>
        <v>2023-10-30T20:35:01Z</v>
      </c>
      <c r="X1480" s="43"/>
      <c r="Y1480" s="43"/>
      <c r="Z1480" s="43"/>
    </row>
    <row r="1481" hidden="1">
      <c r="A1481" s="43" t="str">
        <f>IFERROR(__xludf.DUMMYFUNCTION("""COMPUTED_VALUE"""),"5363690_1289502")</f>
        <v>5363690_1289502</v>
      </c>
      <c r="B1481" s="43" t="str">
        <f>IFERROR(__xludf.DUMMYFUNCTION("""COMPUTED_VALUE"""),"Mariem Barhoumi")</f>
        <v>Mariem Barhoumi</v>
      </c>
      <c r="C1481" s="43" t="str">
        <f>IFERROR(__xludf.DUMMYFUNCTION("""COMPUTED_VALUE"""),"completed")</f>
        <v>completed</v>
      </c>
      <c r="D1481" s="43" t="str">
        <f>IFERROR(__xludf.DUMMYFUNCTION("""COMPUTED_VALUE"""),"No")</f>
        <v>No</v>
      </c>
      <c r="E1481" s="43" t="str">
        <f>IFERROR(__xludf.DUMMYFUNCTION("""COMPUTED_VALUE"""),"p_e0e9283db48fa6b690c537db502b629e900d9c4c@inbound.aiesec.org")</f>
        <v>p_e0e9283db48fa6b690c537db502b629e900d9c4c@inbound.aiesec.org</v>
      </c>
      <c r="F1481" s="43">
        <f>IFERROR(__xludf.DUMMYFUNCTION("""COMPUTED_VALUE"""),9.5040088E7)</f>
        <v>95040088</v>
      </c>
      <c r="G1481" s="43" t="str">
        <f>IFERROR(__xludf.DUMMYFUNCTION("""COMPUTED_VALUE"""),"Tunisia")</f>
        <v>Tunisia</v>
      </c>
      <c r="H1481" s="43" t="str">
        <f>IFERROR(__xludf.DUMMYFUNCTION("""COMPUTED_VALUE"""),"BARDO")</f>
        <v>BARDO</v>
      </c>
      <c r="I1481" s="43" t="str">
        <f>IFERROR(__xludf.DUMMYFUNCTION("""COMPUTED_VALUE"""),"Turkey")</f>
        <v>Turkey</v>
      </c>
      <c r="J1481" s="43" t="str">
        <f>IFERROR(__xludf.DUMMYFUNCTION("""COMPUTED_VALUE"""),"BURSA")</f>
        <v>BURSA</v>
      </c>
      <c r="K1481" s="44" t="str">
        <f>IFERROR(__xludf.DUMMYFUNCTION("""COMPUTED_VALUE"""),"https://expa.aiesec.org/opportunities/1289502")</f>
        <v>https://expa.aiesec.org/opportunities/1289502</v>
      </c>
      <c r="L1481" s="43" t="str">
        <f>IFERROR(__xludf.DUMMYFUNCTION("""COMPUTED_VALUE"""),"GV")</f>
        <v>GV</v>
      </c>
      <c r="M1481" s="43" t="str">
        <f>IFERROR(__xludf.DUMMYFUNCTION("""COMPUTED_VALUE"""),"short")</f>
        <v>short</v>
      </c>
      <c r="N1481" s="45">
        <f>IFERROR(__xludf.DUMMYFUNCTION("""COMPUTED_VALUE"""),45229.0)</f>
        <v>45229</v>
      </c>
      <c r="O1481" s="45">
        <f>IFERROR(__xludf.DUMMYFUNCTION("""COMPUTED_VALUE"""),45257.0)</f>
        <v>45257</v>
      </c>
      <c r="P1481" s="45">
        <f>IFERROR(__xludf.DUMMYFUNCTION("""COMPUTED_VALUE"""),45299.0)</f>
        <v>45299</v>
      </c>
      <c r="Q1481" s="45">
        <f>IFERROR(__xludf.DUMMYFUNCTION("""COMPUTED_VALUE"""),45258.0)</f>
        <v>45258</v>
      </c>
      <c r="R1481" s="45">
        <f>IFERROR(__xludf.DUMMYFUNCTION("""COMPUTED_VALUE"""),45299.0)</f>
        <v>45299</v>
      </c>
      <c r="S1481" s="43"/>
      <c r="T1481" s="43"/>
      <c r="U1481" s="43" t="str">
        <f>IFERROR(__xludf.DUMMYFUNCTION("""COMPUTED_VALUE"""),"Youth 4 Impact")</f>
        <v>Youth 4 Impact</v>
      </c>
      <c r="V1481" s="43" t="str">
        <f>IFERROR(__xludf.DUMMYFUNCTION("""COMPUTED_VALUE"""),"TBS")</f>
        <v>TBS</v>
      </c>
      <c r="W1481" s="43" t="str">
        <f>IFERROR(__xludf.DUMMYFUNCTION("""COMPUTED_VALUE"""),"2023-10-30T18:09:35Z")</f>
        <v>2023-10-30T18:09:35Z</v>
      </c>
      <c r="X1481" s="43"/>
      <c r="Y1481" s="43"/>
      <c r="Z1481" s="43"/>
    </row>
    <row r="1482" hidden="1">
      <c r="A1482" s="43" t="str">
        <f>IFERROR(__xludf.DUMMYFUNCTION("""COMPUTED_VALUE"""),"5359455_1299265")</f>
        <v>5359455_1299265</v>
      </c>
      <c r="B1482" s="43" t="str">
        <f>IFERROR(__xludf.DUMMYFUNCTION("""COMPUTED_VALUE"""),"Sara Mohamed")</f>
        <v>Sara Mohamed</v>
      </c>
      <c r="C1482" s="43" t="str">
        <f>IFERROR(__xludf.DUMMYFUNCTION("""COMPUTED_VALUE"""),"approved")</f>
        <v>approved</v>
      </c>
      <c r="D1482" s="43" t="str">
        <f>IFERROR(__xludf.DUMMYFUNCTION("""COMPUTED_VALUE"""),"No")</f>
        <v>No</v>
      </c>
      <c r="E1482" s="43" t="str">
        <f>IFERROR(__xludf.DUMMYFUNCTION("""COMPUTED_VALUE"""),"p_e2dbde3c544bd135a526750716cc24bbb0e971be@inbound.aiesec.org")</f>
        <v>p_e2dbde3c544bd135a526750716cc24bbb0e971be@inbound.aiesec.org</v>
      </c>
      <c r="F1482" s="43">
        <f>IFERROR(__xludf.DUMMYFUNCTION("""COMPUTED_VALUE"""),1.098776462E9)</f>
        <v>1098776462</v>
      </c>
      <c r="G1482" s="43" t="str">
        <f>IFERROR(__xludf.DUMMYFUNCTION("""COMPUTED_VALUE"""),"Egypt")</f>
        <v>Egypt</v>
      </c>
      <c r="H1482" s="43" t="str">
        <f>IFERROR(__xludf.DUMMYFUNCTION("""COMPUTED_VALUE"""),"6th October University")</f>
        <v>6th October University</v>
      </c>
      <c r="I1482" s="43" t="str">
        <f>IFERROR(__xludf.DUMMYFUNCTION("""COMPUTED_VALUE"""),"Turkey")</f>
        <v>Turkey</v>
      </c>
      <c r="J1482" s="43" t="str">
        <f>IFERROR(__xludf.DUMMYFUNCTION("""COMPUTED_VALUE"""),"ISTANBUL ASIA")</f>
        <v>ISTANBUL ASIA</v>
      </c>
      <c r="K1482" s="44" t="str">
        <f>IFERROR(__xludf.DUMMYFUNCTION("""COMPUTED_VALUE"""),"https://expa.aiesec.org/opportunities/1299265")</f>
        <v>https://expa.aiesec.org/opportunities/1299265</v>
      </c>
      <c r="L1482" s="43" t="str">
        <f>IFERROR(__xludf.DUMMYFUNCTION("""COMPUTED_VALUE"""),"GV")</f>
        <v>GV</v>
      </c>
      <c r="M1482" s="43" t="str">
        <f>IFERROR(__xludf.DUMMYFUNCTION("""COMPUTED_VALUE"""),"short")</f>
        <v>short</v>
      </c>
      <c r="N1482" s="45">
        <f>IFERROR(__xludf.DUMMYFUNCTION("""COMPUTED_VALUE"""),45230.0)</f>
        <v>45230</v>
      </c>
      <c r="O1482" s="45">
        <f>IFERROR(__xludf.DUMMYFUNCTION("""COMPUTED_VALUE"""),45257.0)</f>
        <v>45257</v>
      </c>
      <c r="P1482" s="45">
        <f>IFERROR(__xludf.DUMMYFUNCTION("""COMPUTED_VALUE"""),45299.0)</f>
        <v>45299</v>
      </c>
      <c r="Q1482" s="45"/>
      <c r="R1482" s="45"/>
      <c r="S1482" s="43"/>
      <c r="T1482" s="43"/>
      <c r="U1482" s="43" t="str">
        <f>IFERROR(__xludf.DUMMYFUNCTION("""COMPUTED_VALUE"""),"Global Classroom")</f>
        <v>Global Classroom</v>
      </c>
      <c r="V1482" s="43" t="str">
        <f>IFERROR(__xludf.DUMMYFUNCTION("""COMPUTED_VALUE"""),"6th of October University")</f>
        <v>6th of October University</v>
      </c>
      <c r="W1482" s="43" t="str">
        <f>IFERROR(__xludf.DUMMYFUNCTION("""COMPUTED_VALUE"""),"2023-10-24T21:49:35Z")</f>
        <v>2023-10-24T21:49:35Z</v>
      </c>
      <c r="X1482" s="43"/>
      <c r="Y1482" s="43"/>
      <c r="Z1482" s="43"/>
    </row>
    <row r="1483" hidden="1">
      <c r="A1483" s="43" t="str">
        <f>IFERROR(__xludf.DUMMYFUNCTION("""COMPUTED_VALUE"""),"5323447_1295453")</f>
        <v>5323447_1295453</v>
      </c>
      <c r="B1483" s="43" t="str">
        <f>IFERROR(__xludf.DUMMYFUNCTION("""COMPUTED_VALUE"""),"Ahmed Abou-bakr")</f>
        <v>Ahmed Abou-bakr</v>
      </c>
      <c r="C1483" s="43" t="str">
        <f>IFERROR(__xludf.DUMMYFUNCTION("""COMPUTED_VALUE"""),"approved")</f>
        <v>approved</v>
      </c>
      <c r="D1483" s="43" t="str">
        <f>IFERROR(__xludf.DUMMYFUNCTION("""COMPUTED_VALUE"""),"No")</f>
        <v>No</v>
      </c>
      <c r="E1483" s="43" t="str">
        <f>IFERROR(__xludf.DUMMYFUNCTION("""COMPUTED_VALUE"""),"p_c6084cfb912b8489f0ac01075c6ac7a465521b19@inbound.aiesec.org")</f>
        <v>p_c6084cfb912b8489f0ac01075c6ac7a465521b19@inbound.aiesec.org</v>
      </c>
      <c r="F1483" s="43">
        <f>IFERROR(__xludf.DUMMYFUNCTION("""COMPUTED_VALUE"""),1.287513012E9)</f>
        <v>1287513012</v>
      </c>
      <c r="G1483" s="43" t="str">
        <f>IFERROR(__xludf.DUMMYFUNCTION("""COMPUTED_VALUE"""),"Egypt")</f>
        <v>Egypt</v>
      </c>
      <c r="H1483" s="43" t="str">
        <f>IFERROR(__xludf.DUMMYFUNCTION("""COMPUTED_VALUE"""),"AAST In CAIRO")</f>
        <v>AAST In CAIRO</v>
      </c>
      <c r="I1483" s="43" t="str">
        <f>IFERROR(__xludf.DUMMYFUNCTION("""COMPUTED_VALUE"""),"Turkey")</f>
        <v>Turkey</v>
      </c>
      <c r="J1483" s="43" t="str">
        <f>IFERROR(__xludf.DUMMYFUNCTION("""COMPUTED_VALUE"""),"GAZIANTEP")</f>
        <v>GAZIANTEP</v>
      </c>
      <c r="K1483" s="44" t="str">
        <f>IFERROR(__xludf.DUMMYFUNCTION("""COMPUTED_VALUE"""),"https://expa.aiesec.org/opportunities/1295453")</f>
        <v>https://expa.aiesec.org/opportunities/1295453</v>
      </c>
      <c r="L1483" s="43" t="str">
        <f>IFERROR(__xludf.DUMMYFUNCTION("""COMPUTED_VALUE"""),"GV")</f>
        <v>GV</v>
      </c>
      <c r="M1483" s="43" t="str">
        <f>IFERROR(__xludf.DUMMYFUNCTION("""COMPUTED_VALUE"""),"short")</f>
        <v>short</v>
      </c>
      <c r="N1483" s="45">
        <f>IFERROR(__xludf.DUMMYFUNCTION("""COMPUTED_VALUE"""),45230.0)</f>
        <v>45230</v>
      </c>
      <c r="O1483" s="45">
        <f>IFERROR(__xludf.DUMMYFUNCTION("""COMPUTED_VALUE"""),45483.0)</f>
        <v>45483</v>
      </c>
      <c r="P1483" s="45">
        <f>IFERROR(__xludf.DUMMYFUNCTION("""COMPUTED_VALUE"""),45525.0)</f>
        <v>45525</v>
      </c>
      <c r="Q1483" s="45"/>
      <c r="R1483" s="45"/>
      <c r="S1483" s="43"/>
      <c r="T1483" s="43"/>
      <c r="U1483" s="43" t="str">
        <f>IFERROR(__xludf.DUMMYFUNCTION("""COMPUTED_VALUE"""),"Global Classroom")</f>
        <v>Global Classroom</v>
      </c>
      <c r="V1483" s="43" t="str">
        <f>IFERROR(__xludf.DUMMYFUNCTION("""COMPUTED_VALUE"""),"BUE University")</f>
        <v>BUE University</v>
      </c>
      <c r="W1483" s="43" t="str">
        <f>IFERROR(__xludf.DUMMYFUNCTION("""COMPUTED_VALUE"""),"2023-09-13T20:27:28Z")</f>
        <v>2023-09-13T20:27:28Z</v>
      </c>
      <c r="X1483" s="43"/>
      <c r="Y1483" s="43"/>
      <c r="Z1483" s="43"/>
    </row>
    <row r="1484" hidden="1">
      <c r="A1484" s="43" t="str">
        <f>IFERROR(__xludf.DUMMYFUNCTION("""COMPUTED_VALUE"""),"5364275_1289505")</f>
        <v>5364275_1289505</v>
      </c>
      <c r="B1484" s="43" t="str">
        <f>IFERROR(__xludf.DUMMYFUNCTION("""COMPUTED_VALUE"""),"Cyrine .")</f>
        <v>Cyrine .</v>
      </c>
      <c r="C1484" s="43" t="str">
        <f>IFERROR(__xludf.DUMMYFUNCTION("""COMPUTED_VALUE"""),"approved")</f>
        <v>approved</v>
      </c>
      <c r="D1484" s="43" t="str">
        <f>IFERROR(__xludf.DUMMYFUNCTION("""COMPUTED_VALUE"""),"No")</f>
        <v>No</v>
      </c>
      <c r="E1484" s="43" t="str">
        <f>IFERROR(__xludf.DUMMYFUNCTION("""COMPUTED_VALUE"""),"p_5d88e02c4ceb429bd36fe989544bf2dfb479eb09@inbound.aiesec.org")</f>
        <v>p_5d88e02c4ceb429bd36fe989544bf2dfb479eb09@inbound.aiesec.org</v>
      </c>
      <c r="F1484" s="43">
        <f>IFERROR(__xludf.DUMMYFUNCTION("""COMPUTED_VALUE"""),2.9404821E7)</f>
        <v>29404821</v>
      </c>
      <c r="G1484" s="43" t="str">
        <f>IFERROR(__xludf.DUMMYFUNCTION("""COMPUTED_VALUE"""),"Tunisia")</f>
        <v>Tunisia</v>
      </c>
      <c r="H1484" s="43" t="str">
        <f>IFERROR(__xludf.DUMMYFUNCTION("""COMPUTED_VALUE"""),"HADRUMET")</f>
        <v>HADRUMET</v>
      </c>
      <c r="I1484" s="43" t="str">
        <f>IFERROR(__xludf.DUMMYFUNCTION("""COMPUTED_VALUE"""),"Turkey")</f>
        <v>Turkey</v>
      </c>
      <c r="J1484" s="43" t="str">
        <f>IFERROR(__xludf.DUMMYFUNCTION("""COMPUTED_VALUE"""),"KOCAELI")</f>
        <v>KOCAELI</v>
      </c>
      <c r="K1484" s="44" t="str">
        <f>IFERROR(__xludf.DUMMYFUNCTION("""COMPUTED_VALUE"""),"https://expa.aiesec.org/opportunities/1289505")</f>
        <v>https://expa.aiesec.org/opportunities/1289505</v>
      </c>
      <c r="L1484" s="43" t="str">
        <f>IFERROR(__xludf.DUMMYFUNCTION("""COMPUTED_VALUE"""),"GV")</f>
        <v>GV</v>
      </c>
      <c r="M1484" s="43" t="str">
        <f>IFERROR(__xludf.DUMMYFUNCTION("""COMPUTED_VALUE"""),"short")</f>
        <v>short</v>
      </c>
      <c r="N1484" s="45">
        <f>IFERROR(__xludf.DUMMYFUNCTION("""COMPUTED_VALUE"""),45230.0)</f>
        <v>45230</v>
      </c>
      <c r="O1484" s="45">
        <f>IFERROR(__xludf.DUMMYFUNCTION("""COMPUTED_VALUE"""),45491.0)</f>
        <v>45491</v>
      </c>
      <c r="P1484" s="45">
        <f>IFERROR(__xludf.DUMMYFUNCTION("""COMPUTED_VALUE"""),45533.0)</f>
        <v>45533</v>
      </c>
      <c r="Q1484" s="45"/>
      <c r="R1484" s="45"/>
      <c r="S1484" s="43"/>
      <c r="T1484" s="43"/>
      <c r="U1484" s="43" t="str">
        <f>IFERROR(__xludf.DUMMYFUNCTION("""COMPUTED_VALUE"""),"Youth 4 Impact")</f>
        <v>Youth 4 Impact</v>
      </c>
      <c r="V1484" s="43" t="str">
        <f>IFERROR(__xludf.DUMMYFUNCTION("""COMPUTED_VALUE"""),"Faculté de Droit et des Sciences  Politiques de Sousse")</f>
        <v>Faculté de Droit et des Sciences  Politiques de Sousse</v>
      </c>
      <c r="W1484" s="43" t="str">
        <f>IFERROR(__xludf.DUMMYFUNCTION("""COMPUTED_VALUE"""),"2023-10-31T14:41:31Z")</f>
        <v>2023-10-31T14:41:31Z</v>
      </c>
      <c r="X1484" s="43"/>
      <c r="Y1484" s="43"/>
      <c r="Z1484" s="43"/>
    </row>
    <row r="1485" hidden="1">
      <c r="A1485" s="43" t="str">
        <f>IFERROR(__xludf.DUMMYFUNCTION("""COMPUTED_VALUE"""),"5362017_1294795")</f>
        <v>5362017_1294795</v>
      </c>
      <c r="B1485" s="43" t="str">
        <f>IFERROR(__xludf.DUMMYFUNCTION("""COMPUTED_VALUE"""),"Tetiana Petruk")</f>
        <v>Tetiana Petruk</v>
      </c>
      <c r="C1485" s="43" t="str">
        <f>IFERROR(__xludf.DUMMYFUNCTION("""COMPUTED_VALUE"""),"approved")</f>
        <v>approved</v>
      </c>
      <c r="D1485" s="43" t="str">
        <f>IFERROR(__xludf.DUMMYFUNCTION("""COMPUTED_VALUE"""),"No")</f>
        <v>No</v>
      </c>
      <c r="E1485" s="43" t="str">
        <f>IFERROR(__xludf.DUMMYFUNCTION("""COMPUTED_VALUE"""),"p_158d64f762c45ca4a10c2cdcd7ff4c1c32876cb6@inbound.aiesec.org")</f>
        <v>p_158d64f762c45ca4a10c2cdcd7ff4c1c32876cb6@inbound.aiesec.org</v>
      </c>
      <c r="F1485" s="43"/>
      <c r="G1485" s="43" t="str">
        <f>IFERROR(__xludf.DUMMYFUNCTION("""COMPUTED_VALUE"""),"Ukraine")</f>
        <v>Ukraine</v>
      </c>
      <c r="H1485" s="43" t="str">
        <f>IFERROR(__xludf.DUMMYFUNCTION("""COMPUTED_VALUE"""),"LVIV")</f>
        <v>LVIV</v>
      </c>
      <c r="I1485" s="43" t="str">
        <f>IFERROR(__xludf.DUMMYFUNCTION("""COMPUTED_VALUE"""),"Turkey")</f>
        <v>Turkey</v>
      </c>
      <c r="J1485" s="43" t="str">
        <f>IFERROR(__xludf.DUMMYFUNCTION("""COMPUTED_VALUE"""),"ADANA")</f>
        <v>ADANA</v>
      </c>
      <c r="K1485" s="44" t="str">
        <f>IFERROR(__xludf.DUMMYFUNCTION("""COMPUTED_VALUE"""),"https://expa.aiesec.org/opportunities/1294795")</f>
        <v>https://expa.aiesec.org/opportunities/1294795</v>
      </c>
      <c r="L1485" s="43" t="str">
        <f>IFERROR(__xludf.DUMMYFUNCTION("""COMPUTED_VALUE"""),"GV")</f>
        <v>GV</v>
      </c>
      <c r="M1485" s="43" t="str">
        <f>IFERROR(__xludf.DUMMYFUNCTION("""COMPUTED_VALUE"""),"short")</f>
        <v>short</v>
      </c>
      <c r="N1485" s="45">
        <f>IFERROR(__xludf.DUMMYFUNCTION("""COMPUTED_VALUE"""),45230.0)</f>
        <v>45230</v>
      </c>
      <c r="O1485" s="45">
        <f>IFERROR(__xludf.DUMMYFUNCTION("""COMPUTED_VALUE"""),45327.0)</f>
        <v>45327</v>
      </c>
      <c r="P1485" s="45">
        <f>IFERROR(__xludf.DUMMYFUNCTION("""COMPUTED_VALUE"""),45369.0)</f>
        <v>45369</v>
      </c>
      <c r="Q1485" s="45"/>
      <c r="R1485" s="45"/>
      <c r="S1485" s="43"/>
      <c r="T1485" s="43"/>
      <c r="U1485" s="43" t="str">
        <f>IFERROR(__xludf.DUMMYFUNCTION("""COMPUTED_VALUE"""),"Global Classroom")</f>
        <v>Global Classroom</v>
      </c>
      <c r="V1485" s="43" t="str">
        <f>IFERROR(__xludf.DUMMYFUNCTION("""COMPUTED_VALUE"""),"-")</f>
        <v>-</v>
      </c>
      <c r="W1485" s="43" t="str">
        <f>IFERROR(__xludf.DUMMYFUNCTION("""COMPUTED_VALUE"""),"2023-10-28T07:51:54Z")</f>
        <v>2023-10-28T07:51:54Z</v>
      </c>
      <c r="X1485" s="43"/>
      <c r="Y1485" s="43"/>
      <c r="Z1485" s="43"/>
    </row>
    <row r="1486" hidden="1">
      <c r="A1486" s="43" t="str">
        <f>IFERROR(__xludf.DUMMYFUNCTION("""COMPUTED_VALUE"""),"2480467_1279126")</f>
        <v>2480467_1279126</v>
      </c>
      <c r="B1486" s="43" t="str">
        <f>IFERROR(__xludf.DUMMYFUNCTION("""COMPUTED_VALUE"""),"Heba Mansour")</f>
        <v>Heba Mansour</v>
      </c>
      <c r="C1486" s="43" t="str">
        <f>IFERROR(__xludf.DUMMYFUNCTION("""COMPUTED_VALUE"""),"approved")</f>
        <v>approved</v>
      </c>
      <c r="D1486" s="43" t="str">
        <f>IFERROR(__xludf.DUMMYFUNCTION("""COMPUTED_VALUE"""),"No")</f>
        <v>No</v>
      </c>
      <c r="E1486" s="43" t="str">
        <f>IFERROR(__xludf.DUMMYFUNCTION("""COMPUTED_VALUE"""),"p_49b27d089cd5ce3cad22ac1516db48f8c8f637b3@inbound.aiesec.org")</f>
        <v>p_49b27d089cd5ce3cad22ac1516db48f8c8f637b3@inbound.aiesec.org</v>
      </c>
      <c r="F1486" s="43">
        <f>IFERROR(__xludf.DUMMYFUNCTION("""COMPUTED_VALUE"""),1.033988827E9)</f>
        <v>1033988827</v>
      </c>
      <c r="G1486" s="43" t="str">
        <f>IFERROR(__xludf.DUMMYFUNCTION("""COMPUTED_VALUE"""),"Egypt")</f>
        <v>Egypt</v>
      </c>
      <c r="H1486" s="43" t="str">
        <f>IFERROR(__xludf.DUMMYFUNCTION("""COMPUTED_VALUE"""),"Alexandria")</f>
        <v>Alexandria</v>
      </c>
      <c r="I1486" s="43" t="str">
        <f>IFERROR(__xludf.DUMMYFUNCTION("""COMPUTED_VALUE"""),"Turkey")</f>
        <v>Turkey</v>
      </c>
      <c r="J1486" s="43" t="str">
        <f>IFERROR(__xludf.DUMMYFUNCTION("""COMPUTED_VALUE"""),"KOCAELI")</f>
        <v>KOCAELI</v>
      </c>
      <c r="K1486" s="44" t="str">
        <f>IFERROR(__xludf.DUMMYFUNCTION("""COMPUTED_VALUE"""),"https://expa.aiesec.org/opportunities/1279126")</f>
        <v>https://expa.aiesec.org/opportunities/1279126</v>
      </c>
      <c r="L1486" s="43" t="str">
        <f>IFERROR(__xludf.DUMMYFUNCTION("""COMPUTED_VALUE"""),"GV")</f>
        <v>GV</v>
      </c>
      <c r="M1486" s="43" t="str">
        <f>IFERROR(__xludf.DUMMYFUNCTION("""COMPUTED_VALUE"""),"short")</f>
        <v>short</v>
      </c>
      <c r="N1486" s="45">
        <f>IFERROR(__xludf.DUMMYFUNCTION("""COMPUTED_VALUE"""),45230.0)</f>
        <v>45230</v>
      </c>
      <c r="O1486" s="45">
        <f>IFERROR(__xludf.DUMMYFUNCTION("""COMPUTED_VALUE"""),45285.0)</f>
        <v>45285</v>
      </c>
      <c r="P1486" s="45">
        <f>IFERROR(__xludf.DUMMYFUNCTION("""COMPUTED_VALUE"""),45327.0)</f>
        <v>45327</v>
      </c>
      <c r="Q1486" s="45"/>
      <c r="R1486" s="45"/>
      <c r="S1486" s="43"/>
      <c r="T1486" s="43"/>
      <c r="U1486" s="43" t="str">
        <f>IFERROR(__xludf.DUMMYFUNCTION("""COMPUTED_VALUE"""),"Global Classroom")</f>
        <v>Global Classroom</v>
      </c>
      <c r="V1486" s="43" t="str">
        <f>IFERROR(__xludf.DUMMYFUNCTION("""COMPUTED_VALUE"""),"GUC")</f>
        <v>GUC</v>
      </c>
      <c r="W1486" s="43" t="str">
        <f>IFERROR(__xludf.DUMMYFUNCTION("""COMPUTED_VALUE"""),"2018-08-11T00:42:39Z")</f>
        <v>2018-08-11T00:42:39Z</v>
      </c>
      <c r="X1486" s="43"/>
      <c r="Y1486" s="43"/>
      <c r="Z1486" s="43"/>
    </row>
    <row r="1487" hidden="1">
      <c r="A1487" s="43" t="str">
        <f>IFERROR(__xludf.DUMMYFUNCTION("""COMPUTED_VALUE"""),"5340945_1299113")</f>
        <v>5340945_1299113</v>
      </c>
      <c r="B1487" s="43" t="str">
        <f>IFERROR(__xludf.DUMMYFUNCTION("""COMPUTED_VALUE"""),"Nourhan Eldayash")</f>
        <v>Nourhan Eldayash</v>
      </c>
      <c r="C1487" s="43" t="str">
        <f>IFERROR(__xludf.DUMMYFUNCTION("""COMPUTED_VALUE"""),"approved")</f>
        <v>approved</v>
      </c>
      <c r="D1487" s="43" t="str">
        <f>IFERROR(__xludf.DUMMYFUNCTION("""COMPUTED_VALUE"""),"No")</f>
        <v>No</v>
      </c>
      <c r="E1487" s="43" t="str">
        <f>IFERROR(__xludf.DUMMYFUNCTION("""COMPUTED_VALUE"""),"p_4af04251aaa79036a4814d7a3ba115b6d4bbdd77@inbound.aiesec.org")</f>
        <v>p_4af04251aaa79036a4814d7a3ba115b6d4bbdd77@inbound.aiesec.org</v>
      </c>
      <c r="F1487" s="43">
        <f>IFERROR(__xludf.DUMMYFUNCTION("""COMPUTED_VALUE"""),1.211828542E9)</f>
        <v>1211828542</v>
      </c>
      <c r="G1487" s="43" t="str">
        <f>IFERROR(__xludf.DUMMYFUNCTION("""COMPUTED_VALUE"""),"Egypt")</f>
        <v>Egypt</v>
      </c>
      <c r="H1487" s="43" t="str">
        <f>IFERROR(__xludf.DUMMYFUNCTION("""COMPUTED_VALUE"""),"Alexandria")</f>
        <v>Alexandria</v>
      </c>
      <c r="I1487" s="43" t="str">
        <f>IFERROR(__xludf.DUMMYFUNCTION("""COMPUTED_VALUE"""),"Turkey")</f>
        <v>Turkey</v>
      </c>
      <c r="J1487" s="43" t="str">
        <f>IFERROR(__xludf.DUMMYFUNCTION("""COMPUTED_VALUE"""),"ISTANBUL ASIA")</f>
        <v>ISTANBUL ASIA</v>
      </c>
      <c r="K1487" s="44" t="str">
        <f>IFERROR(__xludf.DUMMYFUNCTION("""COMPUTED_VALUE"""),"https://expa.aiesec.org/opportunities/1299113")</f>
        <v>https://expa.aiesec.org/opportunities/1299113</v>
      </c>
      <c r="L1487" s="43" t="str">
        <f>IFERROR(__xludf.DUMMYFUNCTION("""COMPUTED_VALUE"""),"GV")</f>
        <v>GV</v>
      </c>
      <c r="M1487" s="43" t="str">
        <f>IFERROR(__xludf.DUMMYFUNCTION("""COMPUTED_VALUE"""),"short")</f>
        <v>short</v>
      </c>
      <c r="N1487" s="45">
        <f>IFERROR(__xludf.DUMMYFUNCTION("""COMPUTED_VALUE"""),45230.0)</f>
        <v>45230</v>
      </c>
      <c r="O1487" s="45">
        <f>IFERROR(__xludf.DUMMYFUNCTION("""COMPUTED_VALUE"""),45250.0)</f>
        <v>45250</v>
      </c>
      <c r="P1487" s="45">
        <f>IFERROR(__xludf.DUMMYFUNCTION("""COMPUTED_VALUE"""),45292.0)</f>
        <v>45292</v>
      </c>
      <c r="Q1487" s="45"/>
      <c r="R1487" s="45"/>
      <c r="S1487" s="43"/>
      <c r="T1487" s="43"/>
      <c r="U1487" s="43" t="str">
        <f>IFERROR(__xludf.DUMMYFUNCTION("""COMPUTED_VALUE"""),"Global Classroom")</f>
        <v>Global Classroom</v>
      </c>
      <c r="V1487" s="43" t="str">
        <f>IFERROR(__xludf.DUMMYFUNCTION("""COMPUTED_VALUE"""),"Alexandria University")</f>
        <v>Alexandria University</v>
      </c>
      <c r="W1487" s="43" t="str">
        <f>IFERROR(__xludf.DUMMYFUNCTION("""COMPUTED_VALUE"""),"2023-10-03T12:49:05Z")</f>
        <v>2023-10-03T12:49:05Z</v>
      </c>
      <c r="X1487" s="43"/>
      <c r="Y1487" s="43"/>
      <c r="Z1487" s="43"/>
    </row>
    <row r="1488" hidden="1">
      <c r="A1488" s="43" t="str">
        <f>IFERROR(__xludf.DUMMYFUNCTION("""COMPUTED_VALUE"""),"5364463_1289536")</f>
        <v>5364463_1289536</v>
      </c>
      <c r="B1488" s="43" t="str">
        <f>IFERROR(__xludf.DUMMYFUNCTION("""COMPUTED_VALUE"""),"kawther bouallegue")</f>
        <v>kawther bouallegue</v>
      </c>
      <c r="C1488" s="43" t="str">
        <f>IFERROR(__xludf.DUMMYFUNCTION("""COMPUTED_VALUE"""),"approved")</f>
        <v>approved</v>
      </c>
      <c r="D1488" s="43" t="str">
        <f>IFERROR(__xludf.DUMMYFUNCTION("""COMPUTED_VALUE"""),"No")</f>
        <v>No</v>
      </c>
      <c r="E1488" s="43" t="str">
        <f>IFERROR(__xludf.DUMMYFUNCTION("""COMPUTED_VALUE"""),"p_c8d515dfaac34dc7a6dd44f24dc821adb54071c0@inbound.aiesec.org")</f>
        <v>p_c8d515dfaac34dc7a6dd44f24dc821adb54071c0@inbound.aiesec.org</v>
      </c>
      <c r="F1488" s="43">
        <f>IFERROR(__xludf.DUMMYFUNCTION("""COMPUTED_VALUE"""),2.7667942E7)</f>
        <v>27667942</v>
      </c>
      <c r="G1488" s="43" t="str">
        <f>IFERROR(__xludf.DUMMYFUNCTION("""COMPUTED_VALUE"""),"Tunisia")</f>
        <v>Tunisia</v>
      </c>
      <c r="H1488" s="43" t="str">
        <f>IFERROR(__xludf.DUMMYFUNCTION("""COMPUTED_VALUE"""),"Carthage")</f>
        <v>Carthage</v>
      </c>
      <c r="I1488" s="43" t="str">
        <f>IFERROR(__xludf.DUMMYFUNCTION("""COMPUTED_VALUE"""),"Turkey")</f>
        <v>Turkey</v>
      </c>
      <c r="J1488" s="43" t="str">
        <f>IFERROR(__xludf.DUMMYFUNCTION("""COMPUTED_VALUE"""),"ISTANBUL")</f>
        <v>ISTANBUL</v>
      </c>
      <c r="K1488" s="44" t="str">
        <f>IFERROR(__xludf.DUMMYFUNCTION("""COMPUTED_VALUE"""),"https://expa.aiesec.org/opportunities/1289536")</f>
        <v>https://expa.aiesec.org/opportunities/1289536</v>
      </c>
      <c r="L1488" s="43" t="str">
        <f>IFERROR(__xludf.DUMMYFUNCTION("""COMPUTED_VALUE"""),"GV")</f>
        <v>GV</v>
      </c>
      <c r="M1488" s="43" t="str">
        <f>IFERROR(__xludf.DUMMYFUNCTION("""COMPUTED_VALUE"""),"short")</f>
        <v>short</v>
      </c>
      <c r="N1488" s="45">
        <f>IFERROR(__xludf.DUMMYFUNCTION("""COMPUTED_VALUE"""),45230.0)</f>
        <v>45230</v>
      </c>
      <c r="O1488" s="45">
        <f>IFERROR(__xludf.DUMMYFUNCTION("""COMPUTED_VALUE"""),45474.0)</f>
        <v>45474</v>
      </c>
      <c r="P1488" s="45">
        <f>IFERROR(__xludf.DUMMYFUNCTION("""COMPUTED_VALUE"""),45516.0)</f>
        <v>45516</v>
      </c>
      <c r="Q1488" s="45"/>
      <c r="R1488" s="45"/>
      <c r="S1488" s="43"/>
      <c r="T1488" s="43"/>
      <c r="U1488" s="43" t="str">
        <f>IFERROR(__xludf.DUMMYFUNCTION("""COMPUTED_VALUE"""),"Global Classroom")</f>
        <v>Global Classroom</v>
      </c>
      <c r="V1488" s="43" t="str">
        <f>IFERROR(__xludf.DUMMYFUNCTION("""COMPUTED_VALUE"""),"IHEC Carthage")</f>
        <v>IHEC Carthage</v>
      </c>
      <c r="W1488" s="43" t="str">
        <f>IFERROR(__xludf.DUMMYFUNCTION("""COMPUTED_VALUE"""),"2023-10-31T18:50:32Z")</f>
        <v>2023-10-31T18:50:32Z</v>
      </c>
      <c r="X1488" s="43"/>
      <c r="Y1488" s="43"/>
      <c r="Z1488" s="43"/>
    </row>
    <row r="1489" hidden="1">
      <c r="A1489" s="43" t="str">
        <f>IFERROR(__xludf.DUMMYFUNCTION("""COMPUTED_VALUE"""),"5365139_1287966")</f>
        <v>5365139_1287966</v>
      </c>
      <c r="B1489" s="43" t="str">
        <f>IFERROR(__xludf.DUMMYFUNCTION("""COMPUTED_VALUE"""),"Nour Kahlaoui")</f>
        <v>Nour Kahlaoui</v>
      </c>
      <c r="C1489" s="43" t="str">
        <f>IFERROR(__xludf.DUMMYFUNCTION("""COMPUTED_VALUE"""),"approved")</f>
        <v>approved</v>
      </c>
      <c r="D1489" s="43" t="str">
        <f>IFERROR(__xludf.DUMMYFUNCTION("""COMPUTED_VALUE"""),"No")</f>
        <v>No</v>
      </c>
      <c r="E1489" s="43" t="str">
        <f>IFERROR(__xludf.DUMMYFUNCTION("""COMPUTED_VALUE"""),"p_0ce0ea73656cf795bc6eebf5ada1680da4ff395e@inbound.aiesec.org")</f>
        <v>p_0ce0ea73656cf795bc6eebf5ada1680da4ff395e@inbound.aiesec.org</v>
      </c>
      <c r="F1489" s="43">
        <f>IFERROR(__xludf.DUMMYFUNCTION("""COMPUTED_VALUE"""),9.9955111E7)</f>
        <v>99955111</v>
      </c>
      <c r="G1489" s="43" t="str">
        <f>IFERROR(__xludf.DUMMYFUNCTION("""COMPUTED_VALUE"""),"Tunisia")</f>
        <v>Tunisia</v>
      </c>
      <c r="H1489" s="43" t="str">
        <f>IFERROR(__xludf.DUMMYFUNCTION("""COMPUTED_VALUE"""),"HADRUMET")</f>
        <v>HADRUMET</v>
      </c>
      <c r="I1489" s="43" t="str">
        <f>IFERROR(__xludf.DUMMYFUNCTION("""COMPUTED_VALUE"""),"Turkey")</f>
        <v>Turkey</v>
      </c>
      <c r="J1489" s="43" t="str">
        <f>IFERROR(__xludf.DUMMYFUNCTION("""COMPUTED_VALUE"""),"ISTANBUL")</f>
        <v>ISTANBUL</v>
      </c>
      <c r="K1489" s="44" t="str">
        <f>IFERROR(__xludf.DUMMYFUNCTION("""COMPUTED_VALUE"""),"https://expa.aiesec.org/opportunities/1287966")</f>
        <v>https://expa.aiesec.org/opportunities/1287966</v>
      </c>
      <c r="L1489" s="43" t="str">
        <f>IFERROR(__xludf.DUMMYFUNCTION("""COMPUTED_VALUE"""),"GV")</f>
        <v>GV</v>
      </c>
      <c r="M1489" s="43" t="str">
        <f>IFERROR(__xludf.DUMMYFUNCTION("""COMPUTED_VALUE"""),"short")</f>
        <v>short</v>
      </c>
      <c r="N1489" s="45">
        <f>IFERROR(__xludf.DUMMYFUNCTION("""COMPUTED_VALUE"""),45231.0)</f>
        <v>45231</v>
      </c>
      <c r="O1489" s="45">
        <f>IFERROR(__xludf.DUMMYFUNCTION("""COMPUTED_VALUE"""),45566.0)</f>
        <v>45566</v>
      </c>
      <c r="P1489" s="45">
        <f>IFERROR(__xludf.DUMMYFUNCTION("""COMPUTED_VALUE"""),45608.0)</f>
        <v>45608</v>
      </c>
      <c r="Q1489" s="45"/>
      <c r="R1489" s="45"/>
      <c r="S1489" s="43"/>
      <c r="T1489" s="43"/>
      <c r="U1489" s="43" t="str">
        <f>IFERROR(__xludf.DUMMYFUNCTION("""COMPUTED_VALUE"""),"Heartbeat")</f>
        <v>Heartbeat</v>
      </c>
      <c r="V1489" s="43" t="str">
        <f>IFERROR(__xludf.DUMMYFUNCTION("""COMPUTED_VALUE"""),"FMS (Faculté de Médecine de Sousse)")</f>
        <v>FMS (Faculté de Médecine de Sousse)</v>
      </c>
      <c r="W1489" s="43" t="str">
        <f>IFERROR(__xludf.DUMMYFUNCTION("""COMPUTED_VALUE"""),"2023-11-01T16:21:30Z")</f>
        <v>2023-11-01T16:21:30Z</v>
      </c>
      <c r="X1489" s="43"/>
      <c r="Y1489" s="43"/>
      <c r="Z1489" s="43"/>
    </row>
    <row r="1490" hidden="1">
      <c r="A1490" s="43" t="str">
        <f>IFERROR(__xludf.DUMMYFUNCTION("""COMPUTED_VALUE"""),"5353801_1300558")</f>
        <v>5353801_1300558</v>
      </c>
      <c r="B1490" s="43" t="str">
        <f>IFERROR(__xludf.DUMMYFUNCTION("""COMPUTED_VALUE"""),"Salaheddine Aitbenhabib")</f>
        <v>Salaheddine Aitbenhabib</v>
      </c>
      <c r="C1490" s="43" t="str">
        <f>IFERROR(__xludf.DUMMYFUNCTION("""COMPUTED_VALUE"""),"realized")</f>
        <v>realized</v>
      </c>
      <c r="D1490" s="43" t="str">
        <f>IFERROR(__xludf.DUMMYFUNCTION("""COMPUTED_VALUE"""),"No")</f>
        <v>No</v>
      </c>
      <c r="E1490" s="43" t="str">
        <f>IFERROR(__xludf.DUMMYFUNCTION("""COMPUTED_VALUE"""),"p_13bcb3584346ad0ee02f938cc305ef8712928fc9@inbound.aiesec.org")</f>
        <v>p_13bcb3584346ad0ee02f938cc305ef8712928fc9@inbound.aiesec.org</v>
      </c>
      <c r="F1490" s="43">
        <f>IFERROR(__xludf.DUMMYFUNCTION("""COMPUTED_VALUE"""),6.30665099E8)</f>
        <v>630665099</v>
      </c>
      <c r="G1490" s="43" t="str">
        <f>IFERROR(__xludf.DUMMYFUNCTION("""COMPUTED_VALUE"""),"Morocco")</f>
        <v>Morocco</v>
      </c>
      <c r="H1490" s="43" t="str">
        <f>IFERROR(__xludf.DUMMYFUNCTION("""COMPUTED_VALUE"""),"Morocco (MC)")</f>
        <v>Morocco (MC)</v>
      </c>
      <c r="I1490" s="43" t="str">
        <f>IFERROR(__xludf.DUMMYFUNCTION("""COMPUTED_VALUE"""),"Turkey")</f>
        <v>Turkey</v>
      </c>
      <c r="J1490" s="43" t="str">
        <f>IFERROR(__xludf.DUMMYFUNCTION("""COMPUTED_VALUE"""),"ISTANBUL ASIA")</f>
        <v>ISTANBUL ASIA</v>
      </c>
      <c r="K1490" s="44" t="str">
        <f>IFERROR(__xludf.DUMMYFUNCTION("""COMPUTED_VALUE"""),"https://expa.aiesec.org/opportunities/1300558")</f>
        <v>https://expa.aiesec.org/opportunities/1300558</v>
      </c>
      <c r="L1490" s="43" t="str">
        <f>IFERROR(__xludf.DUMMYFUNCTION("""COMPUTED_VALUE"""),"GV")</f>
        <v>GV</v>
      </c>
      <c r="M1490" s="43" t="str">
        <f>IFERROR(__xludf.DUMMYFUNCTION("""COMPUTED_VALUE"""),"short")</f>
        <v>short</v>
      </c>
      <c r="N1490" s="45">
        <f>IFERROR(__xludf.DUMMYFUNCTION("""COMPUTED_VALUE"""),45231.0)</f>
        <v>45231</v>
      </c>
      <c r="O1490" s="45">
        <f>IFERROR(__xludf.DUMMYFUNCTION("""COMPUTED_VALUE"""),45299.0)</f>
        <v>45299</v>
      </c>
      <c r="P1490" s="45">
        <f>IFERROR(__xludf.DUMMYFUNCTION("""COMPUTED_VALUE"""),45341.0)</f>
        <v>45341</v>
      </c>
      <c r="Q1490" s="45">
        <f>IFERROR(__xludf.DUMMYFUNCTION("""COMPUTED_VALUE"""),45299.0)</f>
        <v>45299</v>
      </c>
      <c r="R1490" s="45">
        <f>IFERROR(__xludf.DUMMYFUNCTION("""COMPUTED_VALUE"""),45341.0)</f>
        <v>45341</v>
      </c>
      <c r="S1490" s="43"/>
      <c r="T1490" s="43"/>
      <c r="U1490" s="43" t="str">
        <f>IFERROR(__xludf.DUMMYFUNCTION("""COMPUTED_VALUE"""),"Global Classroom")</f>
        <v>Global Classroom</v>
      </c>
      <c r="V1490" s="43" t="str">
        <f>IFERROR(__xludf.DUMMYFUNCTION("""COMPUTED_VALUE"""),"Other-MARRAKECH")</f>
        <v>Other-MARRAKECH</v>
      </c>
      <c r="W1490" s="43" t="str">
        <f>IFERROR(__xludf.DUMMYFUNCTION("""COMPUTED_VALUE"""),"2023-10-17T16:46:41Z")</f>
        <v>2023-10-17T16:46:41Z</v>
      </c>
      <c r="X1490" s="43"/>
      <c r="Y1490" s="43"/>
      <c r="Z1490" s="43"/>
    </row>
    <row r="1491" hidden="1">
      <c r="A1491" s="43" t="str">
        <f>IFERROR(__xludf.DUMMYFUNCTION("""COMPUTED_VALUE"""),"5364298_1295453")</f>
        <v>5364298_1295453</v>
      </c>
      <c r="B1491" s="43" t="str">
        <f>IFERROR(__xludf.DUMMYFUNCTION("""COMPUTED_VALUE"""),"Salma Amir")</f>
        <v>Salma Amir</v>
      </c>
      <c r="C1491" s="43" t="str">
        <f>IFERROR(__xludf.DUMMYFUNCTION("""COMPUTED_VALUE"""),"approved")</f>
        <v>approved</v>
      </c>
      <c r="D1491" s="43" t="str">
        <f>IFERROR(__xludf.DUMMYFUNCTION("""COMPUTED_VALUE"""),"No")</f>
        <v>No</v>
      </c>
      <c r="E1491" s="43" t="str">
        <f>IFERROR(__xludf.DUMMYFUNCTION("""COMPUTED_VALUE"""),"p_3f6bd5841cdfec4d2767d2eb5c523bdc62a8f5cc@inbound.aiesec.org")</f>
        <v>p_3f6bd5841cdfec4d2767d2eb5c523bdc62a8f5cc@inbound.aiesec.org</v>
      </c>
      <c r="F1491" s="43">
        <f>IFERROR(__xludf.DUMMYFUNCTION("""COMPUTED_VALUE"""),1.019339919E9)</f>
        <v>1019339919</v>
      </c>
      <c r="G1491" s="43" t="str">
        <f>IFERROR(__xludf.DUMMYFUNCTION("""COMPUTED_VALUE"""),"Egypt")</f>
        <v>Egypt</v>
      </c>
      <c r="H1491" s="43" t="str">
        <f>IFERROR(__xludf.DUMMYFUNCTION("""COMPUTED_VALUE"""),"MIU")</f>
        <v>MIU</v>
      </c>
      <c r="I1491" s="43" t="str">
        <f>IFERROR(__xludf.DUMMYFUNCTION("""COMPUTED_VALUE"""),"Turkey")</f>
        <v>Turkey</v>
      </c>
      <c r="J1491" s="43" t="str">
        <f>IFERROR(__xludf.DUMMYFUNCTION("""COMPUTED_VALUE"""),"GAZIANTEP")</f>
        <v>GAZIANTEP</v>
      </c>
      <c r="K1491" s="44" t="str">
        <f>IFERROR(__xludf.DUMMYFUNCTION("""COMPUTED_VALUE"""),"https://expa.aiesec.org/opportunities/1295453")</f>
        <v>https://expa.aiesec.org/opportunities/1295453</v>
      </c>
      <c r="L1491" s="43" t="str">
        <f>IFERROR(__xludf.DUMMYFUNCTION("""COMPUTED_VALUE"""),"GV")</f>
        <v>GV</v>
      </c>
      <c r="M1491" s="43" t="str">
        <f>IFERROR(__xludf.DUMMYFUNCTION("""COMPUTED_VALUE"""),"short")</f>
        <v>short</v>
      </c>
      <c r="N1491" s="45">
        <f>IFERROR(__xludf.DUMMYFUNCTION("""COMPUTED_VALUE"""),45231.0)</f>
        <v>45231</v>
      </c>
      <c r="O1491" s="45">
        <f>IFERROR(__xludf.DUMMYFUNCTION("""COMPUTED_VALUE"""),45516.0)</f>
        <v>45516</v>
      </c>
      <c r="P1491" s="45">
        <f>IFERROR(__xludf.DUMMYFUNCTION("""COMPUTED_VALUE"""),45558.0)</f>
        <v>45558</v>
      </c>
      <c r="Q1491" s="45"/>
      <c r="R1491" s="45"/>
      <c r="S1491" s="43"/>
      <c r="T1491" s="43"/>
      <c r="U1491" s="43" t="str">
        <f>IFERROR(__xludf.DUMMYFUNCTION("""COMPUTED_VALUE"""),"Global Classroom")</f>
        <v>Global Classroom</v>
      </c>
      <c r="V1491" s="43" t="str">
        <f>IFERROR(__xludf.DUMMYFUNCTION("""COMPUTED_VALUE"""),"CIC New Cairo")</f>
        <v>CIC New Cairo</v>
      </c>
      <c r="W1491" s="43" t="str">
        <f>IFERROR(__xludf.DUMMYFUNCTION("""COMPUTED_VALUE"""),"2023-10-31T15:12:18Z")</f>
        <v>2023-10-31T15:12:18Z</v>
      </c>
      <c r="X1491" s="43"/>
      <c r="Y1491" s="43"/>
      <c r="Z1491" s="43"/>
    </row>
    <row r="1492" hidden="1">
      <c r="A1492" s="43" t="str">
        <f>IFERROR(__xludf.DUMMYFUNCTION("""COMPUTED_VALUE"""),"5365875_1296234")</f>
        <v>5365875_1296234</v>
      </c>
      <c r="B1492" s="43" t="str">
        <f>IFERROR(__xludf.DUMMYFUNCTION("""COMPUTED_VALUE"""),"Ranya Abderrazek")</f>
        <v>Ranya Abderrazek</v>
      </c>
      <c r="C1492" s="43" t="str">
        <f>IFERROR(__xludf.DUMMYFUNCTION("""COMPUTED_VALUE"""),"approved")</f>
        <v>approved</v>
      </c>
      <c r="D1492" s="43" t="str">
        <f>IFERROR(__xludf.DUMMYFUNCTION("""COMPUTED_VALUE"""),"No")</f>
        <v>No</v>
      </c>
      <c r="E1492" s="43" t="str">
        <f>IFERROR(__xludf.DUMMYFUNCTION("""COMPUTED_VALUE"""),"p_2725717d91811b9a5aea587455107292a933ad77@inbound.aiesec.org")</f>
        <v>p_2725717d91811b9a5aea587455107292a933ad77@inbound.aiesec.org</v>
      </c>
      <c r="F1492" s="43"/>
      <c r="G1492" s="43" t="str">
        <f>IFERROR(__xludf.DUMMYFUNCTION("""COMPUTED_VALUE"""),"Tunisia")</f>
        <v>Tunisia</v>
      </c>
      <c r="H1492" s="43" t="str">
        <f>IFERROR(__xludf.DUMMYFUNCTION("""COMPUTED_VALUE"""),"UNIVERSITY")</f>
        <v>UNIVERSITY</v>
      </c>
      <c r="I1492" s="43" t="str">
        <f>IFERROR(__xludf.DUMMYFUNCTION("""COMPUTED_VALUE"""),"Turkey")</f>
        <v>Turkey</v>
      </c>
      <c r="J1492" s="43" t="str">
        <f>IFERROR(__xludf.DUMMYFUNCTION("""COMPUTED_VALUE"""),"GAZIANTEP")</f>
        <v>GAZIANTEP</v>
      </c>
      <c r="K1492" s="44" t="str">
        <f>IFERROR(__xludf.DUMMYFUNCTION("""COMPUTED_VALUE"""),"https://expa.aiesec.org/opportunities/1296234")</f>
        <v>https://expa.aiesec.org/opportunities/1296234</v>
      </c>
      <c r="L1492" s="43" t="str">
        <f>IFERROR(__xludf.DUMMYFUNCTION("""COMPUTED_VALUE"""),"GV")</f>
        <v>GV</v>
      </c>
      <c r="M1492" s="43" t="str">
        <f>IFERROR(__xludf.DUMMYFUNCTION("""COMPUTED_VALUE"""),"short")</f>
        <v>short</v>
      </c>
      <c r="N1492" s="45">
        <f>IFERROR(__xludf.DUMMYFUNCTION("""COMPUTED_VALUE"""),45232.0)</f>
        <v>45232</v>
      </c>
      <c r="O1492" s="45">
        <f>IFERROR(__xludf.DUMMYFUNCTION("""COMPUTED_VALUE"""),45493.0)</f>
        <v>45493</v>
      </c>
      <c r="P1492" s="45">
        <f>IFERROR(__xludf.DUMMYFUNCTION("""COMPUTED_VALUE"""),45535.0)</f>
        <v>45535</v>
      </c>
      <c r="Q1492" s="45"/>
      <c r="R1492" s="45"/>
      <c r="S1492" s="43"/>
      <c r="T1492" s="43"/>
      <c r="U1492" s="43" t="str">
        <f>IFERROR(__xludf.DUMMYFUNCTION("""COMPUTED_VALUE"""),"Global Classroom")</f>
        <v>Global Classroom</v>
      </c>
      <c r="V1492" s="43" t="str">
        <f>IFERROR(__xludf.DUMMYFUNCTION("""COMPUTED_VALUE"""),"-")</f>
        <v>-</v>
      </c>
      <c r="W1492" s="43" t="str">
        <f>IFERROR(__xludf.DUMMYFUNCTION("""COMPUTED_VALUE"""),"2023-11-02T15:37:28Z")</f>
        <v>2023-11-02T15:37:28Z</v>
      </c>
      <c r="X1492" s="43"/>
      <c r="Y1492" s="43"/>
      <c r="Z1492" s="43"/>
    </row>
    <row r="1493" hidden="1">
      <c r="A1493" s="43" t="str">
        <f>IFERROR(__xludf.DUMMYFUNCTION("""COMPUTED_VALUE"""),"5365757_1279126")</f>
        <v>5365757_1279126</v>
      </c>
      <c r="B1493" s="43" t="str">
        <f>IFERROR(__xludf.DUMMYFUNCTION("""COMPUTED_VALUE"""),"Mayssa Aridhi")</f>
        <v>Mayssa Aridhi</v>
      </c>
      <c r="C1493" s="43" t="str">
        <f>IFERROR(__xludf.DUMMYFUNCTION("""COMPUTED_VALUE"""),"approved")</f>
        <v>approved</v>
      </c>
      <c r="D1493" s="43" t="str">
        <f>IFERROR(__xludf.DUMMYFUNCTION("""COMPUTED_VALUE"""),"No")</f>
        <v>No</v>
      </c>
      <c r="E1493" s="43" t="str">
        <f>IFERROR(__xludf.DUMMYFUNCTION("""COMPUTED_VALUE"""),"p_2feba839b93b00e2682fd35c368efe89561d0c76@inbound.aiesec.org")</f>
        <v>p_2feba839b93b00e2682fd35c368efe89561d0c76@inbound.aiesec.org</v>
      </c>
      <c r="F1493" s="43">
        <f>IFERROR(__xludf.DUMMYFUNCTION("""COMPUTED_VALUE"""),9.4724113E7)</f>
        <v>94724113</v>
      </c>
      <c r="G1493" s="43" t="str">
        <f>IFERROR(__xludf.DUMMYFUNCTION("""COMPUTED_VALUE"""),"Tunisia")</f>
        <v>Tunisia</v>
      </c>
      <c r="H1493" s="43" t="str">
        <f>IFERROR(__xludf.DUMMYFUNCTION("""COMPUTED_VALUE"""),"BARDO")</f>
        <v>BARDO</v>
      </c>
      <c r="I1493" s="43" t="str">
        <f>IFERROR(__xludf.DUMMYFUNCTION("""COMPUTED_VALUE"""),"Turkey")</f>
        <v>Turkey</v>
      </c>
      <c r="J1493" s="43" t="str">
        <f>IFERROR(__xludf.DUMMYFUNCTION("""COMPUTED_VALUE"""),"KOCAELI")</f>
        <v>KOCAELI</v>
      </c>
      <c r="K1493" s="44" t="str">
        <f>IFERROR(__xludf.DUMMYFUNCTION("""COMPUTED_VALUE"""),"https://expa.aiesec.org/opportunities/1279126")</f>
        <v>https://expa.aiesec.org/opportunities/1279126</v>
      </c>
      <c r="L1493" s="43" t="str">
        <f>IFERROR(__xludf.DUMMYFUNCTION("""COMPUTED_VALUE"""),"GV")</f>
        <v>GV</v>
      </c>
      <c r="M1493" s="43" t="str">
        <f>IFERROR(__xludf.DUMMYFUNCTION("""COMPUTED_VALUE"""),"short")</f>
        <v>short</v>
      </c>
      <c r="N1493" s="45">
        <f>IFERROR(__xludf.DUMMYFUNCTION("""COMPUTED_VALUE"""),45232.0)</f>
        <v>45232</v>
      </c>
      <c r="O1493" s="45">
        <f>IFERROR(__xludf.DUMMYFUNCTION("""COMPUTED_VALUE"""),45481.0)</f>
        <v>45481</v>
      </c>
      <c r="P1493" s="45">
        <f>IFERROR(__xludf.DUMMYFUNCTION("""COMPUTED_VALUE"""),45523.0)</f>
        <v>45523</v>
      </c>
      <c r="Q1493" s="45"/>
      <c r="R1493" s="45"/>
      <c r="S1493" s="43"/>
      <c r="T1493" s="43"/>
      <c r="U1493" s="43" t="str">
        <f>IFERROR(__xludf.DUMMYFUNCTION("""COMPUTED_VALUE"""),"Global Classroom")</f>
        <v>Global Classroom</v>
      </c>
      <c r="V1493" s="43" t="str">
        <f>IFERROR(__xludf.DUMMYFUNCTION("""COMPUTED_VALUE"""),"TBS")</f>
        <v>TBS</v>
      </c>
      <c r="W1493" s="43" t="str">
        <f>IFERROR(__xludf.DUMMYFUNCTION("""COMPUTED_VALUE"""),"2023-11-02T13:11:51Z")</f>
        <v>2023-11-02T13:11:51Z</v>
      </c>
      <c r="X1493" s="43"/>
      <c r="Y1493" s="43"/>
      <c r="Z1493" s="43"/>
    </row>
    <row r="1494" hidden="1">
      <c r="A1494" s="43" t="str">
        <f>IFERROR(__xludf.DUMMYFUNCTION("""COMPUTED_VALUE"""),"5245329_1286326")</f>
        <v>5245329_1286326</v>
      </c>
      <c r="B1494" s="43" t="str">
        <f>IFERROR(__xludf.DUMMYFUNCTION("""COMPUTED_VALUE"""),"Maha Ben Khalifa")</f>
        <v>Maha Ben Khalifa</v>
      </c>
      <c r="C1494" s="43" t="str">
        <f>IFERROR(__xludf.DUMMYFUNCTION("""COMPUTED_VALUE"""),"approved")</f>
        <v>approved</v>
      </c>
      <c r="D1494" s="43" t="str">
        <f>IFERROR(__xludf.DUMMYFUNCTION("""COMPUTED_VALUE"""),"No")</f>
        <v>No</v>
      </c>
      <c r="E1494" s="43" t="str">
        <f>IFERROR(__xludf.DUMMYFUNCTION("""COMPUTED_VALUE"""),"p_5a13c68d31ba9539fba7cfa2cba775fa806738fb@inbound.aiesec.org")</f>
        <v>p_5a13c68d31ba9539fba7cfa2cba775fa806738fb@inbound.aiesec.org</v>
      </c>
      <c r="F1494" s="43"/>
      <c r="G1494" s="43" t="str">
        <f>IFERROR(__xludf.DUMMYFUNCTION("""COMPUTED_VALUE"""),"Tunisia")</f>
        <v>Tunisia</v>
      </c>
      <c r="H1494" s="43" t="str">
        <f>IFERROR(__xludf.DUMMYFUNCTION("""COMPUTED_VALUE"""),"UNIVERSITY")</f>
        <v>UNIVERSITY</v>
      </c>
      <c r="I1494" s="43" t="str">
        <f>IFERROR(__xludf.DUMMYFUNCTION("""COMPUTED_VALUE"""),"Turkey")</f>
        <v>Turkey</v>
      </c>
      <c r="J1494" s="43" t="str">
        <f>IFERROR(__xludf.DUMMYFUNCTION("""COMPUTED_VALUE"""),"ADANA")</f>
        <v>ADANA</v>
      </c>
      <c r="K1494" s="44" t="str">
        <f>IFERROR(__xludf.DUMMYFUNCTION("""COMPUTED_VALUE"""),"https://expa.aiesec.org/opportunities/1286326")</f>
        <v>https://expa.aiesec.org/opportunities/1286326</v>
      </c>
      <c r="L1494" s="43" t="str">
        <f>IFERROR(__xludf.DUMMYFUNCTION("""COMPUTED_VALUE"""),"GV")</f>
        <v>GV</v>
      </c>
      <c r="M1494" s="43" t="str">
        <f>IFERROR(__xludf.DUMMYFUNCTION("""COMPUTED_VALUE"""),"short")</f>
        <v>short</v>
      </c>
      <c r="N1494" s="45">
        <f>IFERROR(__xludf.DUMMYFUNCTION("""COMPUTED_VALUE"""),45232.0)</f>
        <v>45232</v>
      </c>
      <c r="O1494" s="45">
        <f>IFERROR(__xludf.DUMMYFUNCTION("""COMPUTED_VALUE"""),45453.0)</f>
        <v>45453</v>
      </c>
      <c r="P1494" s="45">
        <f>IFERROR(__xludf.DUMMYFUNCTION("""COMPUTED_VALUE"""),45495.0)</f>
        <v>45495</v>
      </c>
      <c r="Q1494" s="45"/>
      <c r="R1494" s="45"/>
      <c r="S1494" s="43"/>
      <c r="T1494" s="43"/>
      <c r="U1494" s="43" t="str">
        <f>IFERROR(__xludf.DUMMYFUNCTION("""COMPUTED_VALUE"""),"Equify")</f>
        <v>Equify</v>
      </c>
      <c r="V1494" s="43" t="str">
        <f>IFERROR(__xludf.DUMMYFUNCTION("""COMPUTED_VALUE"""),"-")</f>
        <v>-</v>
      </c>
      <c r="W1494" s="43" t="str">
        <f>IFERROR(__xludf.DUMMYFUNCTION("""COMPUTED_VALUE"""),"2023-04-19T12:52:24Z")</f>
        <v>2023-04-19T12:52:24Z</v>
      </c>
      <c r="X1494" s="43"/>
      <c r="Y1494" s="43"/>
      <c r="Z1494" s="43"/>
    </row>
    <row r="1495" hidden="1">
      <c r="A1495" s="43" t="str">
        <f>IFERROR(__xludf.DUMMYFUNCTION("""COMPUTED_VALUE"""),"5364444_1297781")</f>
        <v>5364444_1297781</v>
      </c>
      <c r="B1495" s="43" t="str">
        <f>IFERROR(__xludf.DUMMYFUNCTION("""COMPUTED_VALUE"""),"Anna Parfeniuk")</f>
        <v>Anna Parfeniuk</v>
      </c>
      <c r="C1495" s="43" t="str">
        <f>IFERROR(__xludf.DUMMYFUNCTION("""COMPUTED_VALUE"""),"finished")</f>
        <v>finished</v>
      </c>
      <c r="D1495" s="43" t="str">
        <f>IFERROR(__xludf.DUMMYFUNCTION("""COMPUTED_VALUE"""),"No")</f>
        <v>No</v>
      </c>
      <c r="E1495" s="43" t="str">
        <f>IFERROR(__xludf.DUMMYFUNCTION("""COMPUTED_VALUE"""),"p_557864c03e2540d95249352e4edf91398ea0776d@inbound.aiesec.org")</f>
        <v>p_557864c03e2540d95249352e4edf91398ea0776d@inbound.aiesec.org</v>
      </c>
      <c r="F1495" s="43">
        <f>IFERROR(__xludf.DUMMYFUNCTION("""COMPUTED_VALUE"""),6.85144423E8)</f>
        <v>685144423</v>
      </c>
      <c r="G1495" s="43" t="str">
        <f>IFERROR(__xludf.DUMMYFUNCTION("""COMPUTED_VALUE"""),"Ukraine")</f>
        <v>Ukraine</v>
      </c>
      <c r="H1495" s="43" t="str">
        <f>IFERROR(__xludf.DUMMYFUNCTION("""COMPUTED_VALUE"""),"KYIV")</f>
        <v>KYIV</v>
      </c>
      <c r="I1495" s="43" t="str">
        <f>IFERROR(__xludf.DUMMYFUNCTION("""COMPUTED_VALUE"""),"Turkey")</f>
        <v>Turkey</v>
      </c>
      <c r="J1495" s="43" t="str">
        <f>IFERROR(__xludf.DUMMYFUNCTION("""COMPUTED_VALUE"""),"ADANA")</f>
        <v>ADANA</v>
      </c>
      <c r="K1495" s="44" t="str">
        <f>IFERROR(__xludf.DUMMYFUNCTION("""COMPUTED_VALUE"""),"https://expa.aiesec.org/opportunities/1297781")</f>
        <v>https://expa.aiesec.org/opportunities/1297781</v>
      </c>
      <c r="L1495" s="43" t="str">
        <f>IFERROR(__xludf.DUMMYFUNCTION("""COMPUTED_VALUE"""),"GV")</f>
        <v>GV</v>
      </c>
      <c r="M1495" s="43" t="str">
        <f>IFERROR(__xludf.DUMMYFUNCTION("""COMPUTED_VALUE"""),"short")</f>
        <v>short</v>
      </c>
      <c r="N1495" s="45">
        <f>IFERROR(__xludf.DUMMYFUNCTION("""COMPUTED_VALUE"""),45232.0)</f>
        <v>45232</v>
      </c>
      <c r="O1495" s="45">
        <f>IFERROR(__xludf.DUMMYFUNCTION("""COMPUTED_VALUE"""),45257.0)</f>
        <v>45257</v>
      </c>
      <c r="P1495" s="45">
        <f>IFERROR(__xludf.DUMMYFUNCTION("""COMPUTED_VALUE"""),45299.0)</f>
        <v>45299</v>
      </c>
      <c r="Q1495" s="45">
        <f>IFERROR(__xludf.DUMMYFUNCTION("""COMPUTED_VALUE"""),45260.0)</f>
        <v>45260</v>
      </c>
      <c r="R1495" s="45">
        <f>IFERROR(__xludf.DUMMYFUNCTION("""COMPUTED_VALUE"""),45302.0)</f>
        <v>45302</v>
      </c>
      <c r="S1495" s="43"/>
      <c r="T1495" s="43"/>
      <c r="U1495" s="43" t="str">
        <f>IFERROR(__xludf.DUMMYFUNCTION("""COMPUTED_VALUE"""),"Raise Your Voice")</f>
        <v>Raise Your Voice</v>
      </c>
      <c r="V1495" s="43" t="str">
        <f>IFERROR(__xludf.DUMMYFUNCTION("""COMPUTED_VALUE""")," Rivne")</f>
        <v> Rivne</v>
      </c>
      <c r="W1495" s="43" t="str">
        <f>IFERROR(__xludf.DUMMYFUNCTION("""COMPUTED_VALUE"""),"2023-10-31T18:11:52Z")</f>
        <v>2023-10-31T18:11:52Z</v>
      </c>
      <c r="X1495" s="43"/>
      <c r="Y1495" s="43"/>
      <c r="Z1495" s="43"/>
    </row>
    <row r="1496" hidden="1">
      <c r="A1496" s="43" t="str">
        <f>IFERROR(__xludf.DUMMYFUNCTION("""COMPUTED_VALUE"""),"5361165_1289347")</f>
        <v>5361165_1289347</v>
      </c>
      <c r="B1496" s="43" t="str">
        <f>IFERROR(__xludf.DUMMYFUNCTION("""COMPUTED_VALUE"""),"Abdelrahman Abdelkhaliq")</f>
        <v>Abdelrahman Abdelkhaliq</v>
      </c>
      <c r="C1496" s="43" t="str">
        <f>IFERROR(__xludf.DUMMYFUNCTION("""COMPUTED_VALUE"""),"approved")</f>
        <v>approved</v>
      </c>
      <c r="D1496" s="43" t="str">
        <f>IFERROR(__xludf.DUMMYFUNCTION("""COMPUTED_VALUE"""),"No")</f>
        <v>No</v>
      </c>
      <c r="E1496" s="43" t="str">
        <f>IFERROR(__xludf.DUMMYFUNCTION("""COMPUTED_VALUE"""),"p_8002a1584d9696e1d14680acbcd7a7975f92813c@inbound.aiesec.org")</f>
        <v>p_8002a1584d9696e1d14680acbcd7a7975f92813c@inbound.aiesec.org</v>
      </c>
      <c r="F1496" s="43">
        <f>IFERROR(__xludf.DUMMYFUNCTION("""COMPUTED_VALUE"""),1.003297595E9)</f>
        <v>1003297595</v>
      </c>
      <c r="G1496" s="43" t="str">
        <f>IFERROR(__xludf.DUMMYFUNCTION("""COMPUTED_VALUE"""),"Egypt")</f>
        <v>Egypt</v>
      </c>
      <c r="H1496" s="43" t="str">
        <f>IFERROR(__xludf.DUMMYFUNCTION("""COMPUTED_VALUE"""),"Mansoura")</f>
        <v>Mansoura</v>
      </c>
      <c r="I1496" s="43" t="str">
        <f>IFERROR(__xludf.DUMMYFUNCTION("""COMPUTED_VALUE"""),"Turkey")</f>
        <v>Turkey</v>
      </c>
      <c r="J1496" s="43" t="str">
        <f>IFERROR(__xludf.DUMMYFUNCTION("""COMPUTED_VALUE"""),"ADANA")</f>
        <v>ADANA</v>
      </c>
      <c r="K1496" s="44" t="str">
        <f>IFERROR(__xludf.DUMMYFUNCTION("""COMPUTED_VALUE"""),"https://expa.aiesec.org/opportunities/1289347")</f>
        <v>https://expa.aiesec.org/opportunities/1289347</v>
      </c>
      <c r="L1496" s="43" t="str">
        <f>IFERROR(__xludf.DUMMYFUNCTION("""COMPUTED_VALUE"""),"GV")</f>
        <v>GV</v>
      </c>
      <c r="M1496" s="43" t="str">
        <f>IFERROR(__xludf.DUMMYFUNCTION("""COMPUTED_VALUE"""),"short")</f>
        <v>short</v>
      </c>
      <c r="N1496" s="45">
        <f>IFERROR(__xludf.DUMMYFUNCTION("""COMPUTED_VALUE"""),45232.0)</f>
        <v>45232</v>
      </c>
      <c r="O1496" s="45">
        <f>IFERROR(__xludf.DUMMYFUNCTION("""COMPUTED_VALUE"""),45474.0)</f>
        <v>45474</v>
      </c>
      <c r="P1496" s="45">
        <f>IFERROR(__xludf.DUMMYFUNCTION("""COMPUTED_VALUE"""),45516.0)</f>
        <v>45516</v>
      </c>
      <c r="Q1496" s="45"/>
      <c r="R1496" s="45"/>
      <c r="S1496" s="43"/>
      <c r="T1496" s="43"/>
      <c r="U1496" s="43" t="str">
        <f>IFERROR(__xludf.DUMMYFUNCTION("""COMPUTED_VALUE"""),"Global Classroom")</f>
        <v>Global Classroom</v>
      </c>
      <c r="V1496" s="43" t="str">
        <f>IFERROR(__xludf.DUMMYFUNCTION("""COMPUTED_VALUE"""),"Mansoura")</f>
        <v>Mansoura</v>
      </c>
      <c r="W1496" s="43" t="str">
        <f>IFERROR(__xludf.DUMMYFUNCTION("""COMPUTED_VALUE"""),"2023-10-26T21:09:10Z")</f>
        <v>2023-10-26T21:09:10Z</v>
      </c>
      <c r="X1496" s="43"/>
      <c r="Y1496" s="43"/>
      <c r="Z1496" s="43"/>
    </row>
    <row r="1497" hidden="1">
      <c r="A1497" s="43" t="str">
        <f>IFERROR(__xludf.DUMMYFUNCTION("""COMPUTED_VALUE"""),"5340841_1286326")</f>
        <v>5340841_1286326</v>
      </c>
      <c r="B1497" s="43" t="str">
        <f>IFERROR(__xludf.DUMMYFUNCTION("""COMPUTED_VALUE"""),"Viktoriia Ihoshina")</f>
        <v>Viktoriia Ihoshina</v>
      </c>
      <c r="C1497" s="43" t="str">
        <f>IFERROR(__xludf.DUMMYFUNCTION("""COMPUTED_VALUE"""),"approved")</f>
        <v>approved</v>
      </c>
      <c r="D1497" s="43" t="str">
        <f>IFERROR(__xludf.DUMMYFUNCTION("""COMPUTED_VALUE"""),"No")</f>
        <v>No</v>
      </c>
      <c r="E1497" s="43" t="str">
        <f>IFERROR(__xludf.DUMMYFUNCTION("""COMPUTED_VALUE"""),"p_a62678a2a8fe966712734087e04286766ab1ef6a@inbound.aiesec.org")</f>
        <v>p_a62678a2a8fe966712734087e04286766ab1ef6a@inbound.aiesec.org</v>
      </c>
      <c r="F1497" s="43">
        <f>IFERROR(__xludf.DUMMYFUNCTION("""COMPUTED_VALUE"""),6.83649722E8)</f>
        <v>683649722</v>
      </c>
      <c r="G1497" s="43" t="str">
        <f>IFERROR(__xludf.DUMMYFUNCTION("""COMPUTED_VALUE"""),"Ukraine")</f>
        <v>Ukraine</v>
      </c>
      <c r="H1497" s="43" t="str">
        <f>IFERROR(__xludf.DUMMYFUNCTION("""COMPUTED_VALUE"""),"IVANO-FRANKIVSK")</f>
        <v>IVANO-FRANKIVSK</v>
      </c>
      <c r="I1497" s="43" t="str">
        <f>IFERROR(__xludf.DUMMYFUNCTION("""COMPUTED_VALUE"""),"Turkey")</f>
        <v>Turkey</v>
      </c>
      <c r="J1497" s="43" t="str">
        <f>IFERROR(__xludf.DUMMYFUNCTION("""COMPUTED_VALUE"""),"ADANA")</f>
        <v>ADANA</v>
      </c>
      <c r="K1497" s="44" t="str">
        <f>IFERROR(__xludf.DUMMYFUNCTION("""COMPUTED_VALUE"""),"https://expa.aiesec.org/opportunities/1286326")</f>
        <v>https://expa.aiesec.org/opportunities/1286326</v>
      </c>
      <c r="L1497" s="43" t="str">
        <f>IFERROR(__xludf.DUMMYFUNCTION("""COMPUTED_VALUE"""),"GV")</f>
        <v>GV</v>
      </c>
      <c r="M1497" s="43" t="str">
        <f>IFERROR(__xludf.DUMMYFUNCTION("""COMPUTED_VALUE"""),"short")</f>
        <v>short</v>
      </c>
      <c r="N1497" s="45">
        <f>IFERROR(__xludf.DUMMYFUNCTION("""COMPUTED_VALUE"""),45233.0)</f>
        <v>45233</v>
      </c>
      <c r="O1497" s="45">
        <f>IFERROR(__xludf.DUMMYFUNCTION("""COMPUTED_VALUE"""),45523.0)</f>
        <v>45523</v>
      </c>
      <c r="P1497" s="45">
        <f>IFERROR(__xludf.DUMMYFUNCTION("""COMPUTED_VALUE"""),45565.0)</f>
        <v>45565</v>
      </c>
      <c r="Q1497" s="45"/>
      <c r="R1497" s="45"/>
      <c r="S1497" s="43"/>
      <c r="T1497" s="43"/>
      <c r="U1497" s="43" t="str">
        <f>IFERROR(__xludf.DUMMYFUNCTION("""COMPUTED_VALUE"""),"Equify")</f>
        <v>Equify</v>
      </c>
      <c r="V1497" s="43" t="str">
        <f>IFERROR(__xludf.DUMMYFUNCTION("""COMPUTED_VALUE"""),"Ivano-Frankivsk")</f>
        <v>Ivano-Frankivsk</v>
      </c>
      <c r="W1497" s="43" t="str">
        <f>IFERROR(__xludf.DUMMYFUNCTION("""COMPUTED_VALUE"""),"2023-10-03T12:12:40Z")</f>
        <v>2023-10-03T12:12:40Z</v>
      </c>
      <c r="X1497" s="43"/>
      <c r="Y1497" s="43"/>
      <c r="Z1497" s="43"/>
    </row>
    <row r="1498" hidden="1">
      <c r="A1498" s="43" t="str">
        <f>IFERROR(__xludf.DUMMYFUNCTION("""COMPUTED_VALUE"""),"5339666_1286326")</f>
        <v>5339666_1286326</v>
      </c>
      <c r="B1498" s="43" t="str">
        <f>IFERROR(__xludf.DUMMYFUNCTION("""COMPUTED_VALUE"""),"Yuliia Benko")</f>
        <v>Yuliia Benko</v>
      </c>
      <c r="C1498" s="43" t="str">
        <f>IFERROR(__xludf.DUMMYFUNCTION("""COMPUTED_VALUE"""),"realized")</f>
        <v>realized</v>
      </c>
      <c r="D1498" s="43" t="str">
        <f>IFERROR(__xludf.DUMMYFUNCTION("""COMPUTED_VALUE"""),"No")</f>
        <v>No</v>
      </c>
      <c r="E1498" s="43" t="str">
        <f>IFERROR(__xludf.DUMMYFUNCTION("""COMPUTED_VALUE"""),"p_8b24bf2bb1bec004ee5af351855ac0429bd79a62@inbound.aiesec.org")</f>
        <v>p_8b24bf2bb1bec004ee5af351855ac0429bd79a62@inbound.aiesec.org</v>
      </c>
      <c r="F1498" s="43"/>
      <c r="G1498" s="43" t="str">
        <f>IFERROR(__xludf.DUMMYFUNCTION("""COMPUTED_VALUE"""),"Ukraine")</f>
        <v>Ukraine</v>
      </c>
      <c r="H1498" s="43" t="str">
        <f>IFERROR(__xludf.DUMMYFUNCTION("""COMPUTED_VALUE"""),"LVIV")</f>
        <v>LVIV</v>
      </c>
      <c r="I1498" s="43" t="str">
        <f>IFERROR(__xludf.DUMMYFUNCTION("""COMPUTED_VALUE"""),"Turkey")</f>
        <v>Turkey</v>
      </c>
      <c r="J1498" s="43" t="str">
        <f>IFERROR(__xludf.DUMMYFUNCTION("""COMPUTED_VALUE"""),"ADANA")</f>
        <v>ADANA</v>
      </c>
      <c r="K1498" s="44" t="str">
        <f>IFERROR(__xludf.DUMMYFUNCTION("""COMPUTED_VALUE"""),"https://expa.aiesec.org/opportunities/1286326")</f>
        <v>https://expa.aiesec.org/opportunities/1286326</v>
      </c>
      <c r="L1498" s="43" t="str">
        <f>IFERROR(__xludf.DUMMYFUNCTION("""COMPUTED_VALUE"""),"GV")</f>
        <v>GV</v>
      </c>
      <c r="M1498" s="43" t="str">
        <f>IFERROR(__xludf.DUMMYFUNCTION("""COMPUTED_VALUE"""),"short")</f>
        <v>short</v>
      </c>
      <c r="N1498" s="45">
        <f>IFERROR(__xludf.DUMMYFUNCTION("""COMPUTED_VALUE"""),45233.0)</f>
        <v>45233</v>
      </c>
      <c r="O1498" s="45">
        <f>IFERROR(__xludf.DUMMYFUNCTION("""COMPUTED_VALUE"""),45299.0)</f>
        <v>45299</v>
      </c>
      <c r="P1498" s="45">
        <f>IFERROR(__xludf.DUMMYFUNCTION("""COMPUTED_VALUE"""),45341.0)</f>
        <v>45341</v>
      </c>
      <c r="Q1498" s="45">
        <f>IFERROR(__xludf.DUMMYFUNCTION("""COMPUTED_VALUE"""),45300.0)</f>
        <v>45300</v>
      </c>
      <c r="R1498" s="45">
        <f>IFERROR(__xludf.DUMMYFUNCTION("""COMPUTED_VALUE"""),45341.0)</f>
        <v>45341</v>
      </c>
      <c r="S1498" s="43"/>
      <c r="T1498" s="43"/>
      <c r="U1498" s="43" t="str">
        <f>IFERROR(__xludf.DUMMYFUNCTION("""COMPUTED_VALUE"""),"Equify")</f>
        <v>Equify</v>
      </c>
      <c r="V1498" s="43" t="str">
        <f>IFERROR(__xludf.DUMMYFUNCTION("""COMPUTED_VALUE"""),"Lviv ")</f>
        <v>Lviv </v>
      </c>
      <c r="W1498" s="43" t="str">
        <f>IFERROR(__xludf.DUMMYFUNCTION("""COMPUTED_VALUE"""),"2023-10-02T10:48:12Z")</f>
        <v>2023-10-02T10:48:12Z</v>
      </c>
      <c r="X1498" s="43"/>
      <c r="Y1498" s="43"/>
      <c r="Z1498" s="43"/>
    </row>
    <row r="1499" hidden="1">
      <c r="A1499" s="43" t="str">
        <f>IFERROR(__xludf.DUMMYFUNCTION("""COMPUTED_VALUE"""),"5358476_1284670")</f>
        <v>5358476_1284670</v>
      </c>
      <c r="B1499" s="43" t="str">
        <f>IFERROR(__xludf.DUMMYFUNCTION("""COMPUTED_VALUE"""),"Ləman Lələkişiyeva")</f>
        <v>Ləman Lələkişiyeva</v>
      </c>
      <c r="C1499" s="43" t="str">
        <f>IFERROR(__xludf.DUMMYFUNCTION("""COMPUTED_VALUE"""),"approved")</f>
        <v>approved</v>
      </c>
      <c r="D1499" s="43" t="str">
        <f>IFERROR(__xludf.DUMMYFUNCTION("""COMPUTED_VALUE"""),"No")</f>
        <v>No</v>
      </c>
      <c r="E1499" s="43" t="str">
        <f>IFERROR(__xludf.DUMMYFUNCTION("""COMPUTED_VALUE"""),"p_85d3a7261e9a95bd1f1d97acebd8d7383de8fde3@inbound.aiesec.org")</f>
        <v>p_85d3a7261e9a95bd1f1d97acebd8d7383de8fde3@inbound.aiesec.org</v>
      </c>
      <c r="F1499" s="43">
        <f>IFERROR(__xludf.DUMMYFUNCTION("""COMPUTED_VALUE"""),5.53582444E8)</f>
        <v>553582444</v>
      </c>
      <c r="G1499" s="43" t="str">
        <f>IFERROR(__xludf.DUMMYFUNCTION("""COMPUTED_VALUE"""),"Azerbaijan")</f>
        <v>Azerbaijan</v>
      </c>
      <c r="H1499" s="43" t="str">
        <f>IFERROR(__xludf.DUMMYFUNCTION("""COMPUTED_VALUE"""),"Baku Qafqaz")</f>
        <v>Baku Qafqaz</v>
      </c>
      <c r="I1499" s="43" t="str">
        <f>IFERROR(__xludf.DUMMYFUNCTION("""COMPUTED_VALUE"""),"Turkey")</f>
        <v>Turkey</v>
      </c>
      <c r="J1499" s="43" t="str">
        <f>IFERROR(__xludf.DUMMYFUNCTION("""COMPUTED_VALUE"""),"ISTANBUL")</f>
        <v>ISTANBUL</v>
      </c>
      <c r="K1499" s="44" t="str">
        <f>IFERROR(__xludf.DUMMYFUNCTION("""COMPUTED_VALUE"""),"https://expa.aiesec.org/opportunities/1284670")</f>
        <v>https://expa.aiesec.org/opportunities/1284670</v>
      </c>
      <c r="L1499" s="43" t="str">
        <f>IFERROR(__xludf.DUMMYFUNCTION("""COMPUTED_VALUE"""),"GV")</f>
        <v>GV</v>
      </c>
      <c r="M1499" s="43" t="str">
        <f>IFERROR(__xludf.DUMMYFUNCTION("""COMPUTED_VALUE"""),"short")</f>
        <v>short</v>
      </c>
      <c r="N1499" s="45">
        <f>IFERROR(__xludf.DUMMYFUNCTION("""COMPUTED_VALUE"""),45233.0)</f>
        <v>45233</v>
      </c>
      <c r="O1499" s="45">
        <f>IFERROR(__xludf.DUMMYFUNCTION("""COMPUTED_VALUE"""),45476.0)</f>
        <v>45476</v>
      </c>
      <c r="P1499" s="45">
        <f>IFERROR(__xludf.DUMMYFUNCTION("""COMPUTED_VALUE"""),45518.0)</f>
        <v>45518</v>
      </c>
      <c r="Q1499" s="45"/>
      <c r="R1499" s="45"/>
      <c r="S1499" s="43"/>
      <c r="T1499" s="43"/>
      <c r="U1499" s="43" t="str">
        <f>IFERROR(__xludf.DUMMYFUNCTION("""COMPUTED_VALUE"""),"Heartbeat")</f>
        <v>Heartbeat</v>
      </c>
      <c r="V1499" s="43" t="str">
        <f>IFERROR(__xludf.DUMMYFUNCTION("""COMPUTED_VALUE"""),"Azerbaijan State Academy of Physical Education and Sport")</f>
        <v>Azerbaijan State Academy of Physical Education and Sport</v>
      </c>
      <c r="W1499" s="43" t="str">
        <f>IFERROR(__xludf.DUMMYFUNCTION("""COMPUTED_VALUE"""),"2023-10-24T05:12:33Z")</f>
        <v>2023-10-24T05:12:33Z</v>
      </c>
      <c r="X1499" s="43"/>
      <c r="Y1499" s="43"/>
      <c r="Z1499" s="43"/>
    </row>
    <row r="1500" hidden="1">
      <c r="A1500" s="43" t="str">
        <f>IFERROR(__xludf.DUMMYFUNCTION("""COMPUTED_VALUE"""),"5107038_1298282")</f>
        <v>5107038_1298282</v>
      </c>
      <c r="B1500" s="43" t="str">
        <f>IFERROR(__xludf.DUMMYFUNCTION("""COMPUTED_VALUE"""),"Menna El Safty")</f>
        <v>Menna El Safty</v>
      </c>
      <c r="C1500" s="43" t="str">
        <f>IFERROR(__xludf.DUMMYFUNCTION("""COMPUTED_VALUE"""),"approved")</f>
        <v>approved</v>
      </c>
      <c r="D1500" s="43" t="str">
        <f>IFERROR(__xludf.DUMMYFUNCTION("""COMPUTED_VALUE"""),"No")</f>
        <v>No</v>
      </c>
      <c r="E1500" s="43" t="str">
        <f>IFERROR(__xludf.DUMMYFUNCTION("""COMPUTED_VALUE"""),"p_387fa3b53feed392019ae2cd8899ef4bb0b92e8d@inbound.aiesec.org")</f>
        <v>p_387fa3b53feed392019ae2cd8899ef4bb0b92e8d@inbound.aiesec.org</v>
      </c>
      <c r="F1500" s="43">
        <f>IFERROR(__xludf.DUMMYFUNCTION("""COMPUTED_VALUE"""),1.115560029E9)</f>
        <v>1115560029</v>
      </c>
      <c r="G1500" s="43" t="str">
        <f>IFERROR(__xludf.DUMMYFUNCTION("""COMPUTED_VALUE"""),"Egypt")</f>
        <v>Egypt</v>
      </c>
      <c r="H1500" s="43" t="str">
        <f>IFERROR(__xludf.DUMMYFUNCTION("""COMPUTED_VALUE"""),"AUC")</f>
        <v>AUC</v>
      </c>
      <c r="I1500" s="43" t="str">
        <f>IFERROR(__xludf.DUMMYFUNCTION("""COMPUTED_VALUE"""),"Turkey")</f>
        <v>Turkey</v>
      </c>
      <c r="J1500" s="43" t="str">
        <f>IFERROR(__xludf.DUMMYFUNCTION("""COMPUTED_VALUE"""),"ISTANBUL")</f>
        <v>ISTANBUL</v>
      </c>
      <c r="K1500" s="44" t="str">
        <f>IFERROR(__xludf.DUMMYFUNCTION("""COMPUTED_VALUE"""),"https://expa.aiesec.org/opportunities/1298282")</f>
        <v>https://expa.aiesec.org/opportunities/1298282</v>
      </c>
      <c r="L1500" s="43" t="str">
        <f>IFERROR(__xludf.DUMMYFUNCTION("""COMPUTED_VALUE"""),"GV")</f>
        <v>GV</v>
      </c>
      <c r="M1500" s="43" t="str">
        <f>IFERROR(__xludf.DUMMYFUNCTION("""COMPUTED_VALUE"""),"short")</f>
        <v>short</v>
      </c>
      <c r="N1500" s="45">
        <f>IFERROR(__xludf.DUMMYFUNCTION("""COMPUTED_VALUE"""),45233.0)</f>
        <v>45233</v>
      </c>
      <c r="O1500" s="45">
        <f>IFERROR(__xludf.DUMMYFUNCTION("""COMPUTED_VALUE"""),45291.0)</f>
        <v>45291</v>
      </c>
      <c r="P1500" s="45">
        <f>IFERROR(__xludf.DUMMYFUNCTION("""COMPUTED_VALUE"""),45333.0)</f>
        <v>45333</v>
      </c>
      <c r="Q1500" s="45"/>
      <c r="R1500" s="45"/>
      <c r="S1500" s="43"/>
      <c r="T1500" s="43"/>
      <c r="U1500" s="43" t="str">
        <f>IFERROR(__xludf.DUMMYFUNCTION("""COMPUTED_VALUE"""),"Green Leaders")</f>
        <v>Green Leaders</v>
      </c>
      <c r="V1500" s="43" t="str">
        <f>IFERROR(__xludf.DUMMYFUNCTION("""COMPUTED_VALUE"""),"AUC")</f>
        <v>AUC</v>
      </c>
      <c r="W1500" s="43" t="str">
        <f>IFERROR(__xludf.DUMMYFUNCTION("""COMPUTED_VALUE"""),"2022-09-07T11:10:24Z")</f>
        <v>2022-09-07T11:10:24Z</v>
      </c>
      <c r="X1500" s="43"/>
      <c r="Y1500" s="43"/>
      <c r="Z1500" s="43"/>
    </row>
    <row r="1501" hidden="1">
      <c r="A1501" s="43" t="str">
        <f>IFERROR(__xludf.DUMMYFUNCTION("""COMPUTED_VALUE"""),"5346247_1295453")</f>
        <v>5346247_1295453</v>
      </c>
      <c r="B1501" s="43" t="str">
        <f>IFERROR(__xludf.DUMMYFUNCTION("""COMPUTED_VALUE"""),"Yasmin Hesham")</f>
        <v>Yasmin Hesham</v>
      </c>
      <c r="C1501" s="43" t="str">
        <f>IFERROR(__xludf.DUMMYFUNCTION("""COMPUTED_VALUE"""),"approved")</f>
        <v>approved</v>
      </c>
      <c r="D1501" s="43" t="str">
        <f>IFERROR(__xludf.DUMMYFUNCTION("""COMPUTED_VALUE"""),"No")</f>
        <v>No</v>
      </c>
      <c r="E1501" s="43" t="str">
        <f>IFERROR(__xludf.DUMMYFUNCTION("""COMPUTED_VALUE"""),"p_ada518d686c38e9bb8a59fe575b0ec094fea63be@inbound.aiesec.org")</f>
        <v>p_ada518d686c38e9bb8a59fe575b0ec094fea63be@inbound.aiesec.org</v>
      </c>
      <c r="F1501" s="43">
        <f>IFERROR(__xludf.DUMMYFUNCTION("""COMPUTED_VALUE"""),1.009119725E9)</f>
        <v>1009119725</v>
      </c>
      <c r="G1501" s="43" t="str">
        <f>IFERROR(__xludf.DUMMYFUNCTION("""COMPUTED_VALUE"""),"Egypt")</f>
        <v>Egypt</v>
      </c>
      <c r="H1501" s="43" t="str">
        <f>IFERROR(__xludf.DUMMYFUNCTION("""COMPUTED_VALUE"""),"Ain Shams University")</f>
        <v>Ain Shams University</v>
      </c>
      <c r="I1501" s="43" t="str">
        <f>IFERROR(__xludf.DUMMYFUNCTION("""COMPUTED_VALUE"""),"Turkey")</f>
        <v>Turkey</v>
      </c>
      <c r="J1501" s="43" t="str">
        <f>IFERROR(__xludf.DUMMYFUNCTION("""COMPUTED_VALUE"""),"GAZIANTEP")</f>
        <v>GAZIANTEP</v>
      </c>
      <c r="K1501" s="44" t="str">
        <f>IFERROR(__xludf.DUMMYFUNCTION("""COMPUTED_VALUE"""),"https://expa.aiesec.org/opportunities/1295453")</f>
        <v>https://expa.aiesec.org/opportunities/1295453</v>
      </c>
      <c r="L1501" s="43" t="str">
        <f>IFERROR(__xludf.DUMMYFUNCTION("""COMPUTED_VALUE"""),"GV")</f>
        <v>GV</v>
      </c>
      <c r="M1501" s="43" t="str">
        <f>IFERROR(__xludf.DUMMYFUNCTION("""COMPUTED_VALUE"""),"short")</f>
        <v>short</v>
      </c>
      <c r="N1501" s="45">
        <f>IFERROR(__xludf.DUMMYFUNCTION("""COMPUTED_VALUE"""),45234.0)</f>
        <v>45234</v>
      </c>
      <c r="O1501" s="45">
        <f>IFERROR(__xludf.DUMMYFUNCTION("""COMPUTED_VALUE"""),45516.0)</f>
        <v>45516</v>
      </c>
      <c r="P1501" s="45">
        <f>IFERROR(__xludf.DUMMYFUNCTION("""COMPUTED_VALUE"""),45558.0)</f>
        <v>45558</v>
      </c>
      <c r="Q1501" s="45"/>
      <c r="R1501" s="45"/>
      <c r="S1501" s="43"/>
      <c r="T1501" s="43"/>
      <c r="U1501" s="43" t="str">
        <f>IFERROR(__xludf.DUMMYFUNCTION("""COMPUTED_VALUE"""),"Global Classroom")</f>
        <v>Global Classroom</v>
      </c>
      <c r="V1501" s="43" t="str">
        <f>IFERROR(__xludf.DUMMYFUNCTION("""COMPUTED_VALUE"""),"Ain Shams University")</f>
        <v>Ain Shams University</v>
      </c>
      <c r="W1501" s="43" t="str">
        <f>IFERROR(__xludf.DUMMYFUNCTION("""COMPUTED_VALUE"""),"2023-10-09T09:17:45Z")</f>
        <v>2023-10-09T09:17:45Z</v>
      </c>
      <c r="X1501" s="43"/>
      <c r="Y1501" s="43"/>
      <c r="Z1501" s="43"/>
    </row>
    <row r="1502" hidden="1">
      <c r="A1502" s="43" t="str">
        <f>IFERROR(__xludf.DUMMYFUNCTION("""COMPUTED_VALUE"""),"5355255_1286326")</f>
        <v>5355255_1286326</v>
      </c>
      <c r="B1502" s="43" t="str">
        <f>IFERROR(__xludf.DUMMYFUNCTION("""COMPUTED_VALUE"""),"Ali Hassan")</f>
        <v>Ali Hassan</v>
      </c>
      <c r="C1502" s="43" t="str">
        <f>IFERROR(__xludf.DUMMYFUNCTION("""COMPUTED_VALUE"""),"approved")</f>
        <v>approved</v>
      </c>
      <c r="D1502" s="43" t="str">
        <f>IFERROR(__xludf.DUMMYFUNCTION("""COMPUTED_VALUE"""),"No")</f>
        <v>No</v>
      </c>
      <c r="E1502" s="43" t="str">
        <f>IFERROR(__xludf.DUMMYFUNCTION("""COMPUTED_VALUE"""),"p_513d7c973411f7a0b7e0ec322f32bc770d553f09@inbound.aiesec.org")</f>
        <v>p_513d7c973411f7a0b7e0ec322f32bc770d553f09@inbound.aiesec.org</v>
      </c>
      <c r="F1502" s="43"/>
      <c r="G1502" s="43" t="str">
        <f>IFERROR(__xludf.DUMMYFUNCTION("""COMPUTED_VALUE"""),"Bahrain")</f>
        <v>Bahrain</v>
      </c>
      <c r="H1502" s="43" t="str">
        <f>IFERROR(__xludf.DUMMYFUNCTION("""COMPUTED_VALUE"""),"Dilmun")</f>
        <v>Dilmun</v>
      </c>
      <c r="I1502" s="43" t="str">
        <f>IFERROR(__xludf.DUMMYFUNCTION("""COMPUTED_VALUE"""),"Turkey")</f>
        <v>Turkey</v>
      </c>
      <c r="J1502" s="43" t="str">
        <f>IFERROR(__xludf.DUMMYFUNCTION("""COMPUTED_VALUE"""),"ADANA")</f>
        <v>ADANA</v>
      </c>
      <c r="K1502" s="44" t="str">
        <f>IFERROR(__xludf.DUMMYFUNCTION("""COMPUTED_VALUE"""),"https://expa.aiesec.org/opportunities/1286326")</f>
        <v>https://expa.aiesec.org/opportunities/1286326</v>
      </c>
      <c r="L1502" s="43" t="str">
        <f>IFERROR(__xludf.DUMMYFUNCTION("""COMPUTED_VALUE"""),"GV")</f>
        <v>GV</v>
      </c>
      <c r="M1502" s="43" t="str">
        <f>IFERROR(__xludf.DUMMYFUNCTION("""COMPUTED_VALUE"""),"short")</f>
        <v>short</v>
      </c>
      <c r="N1502" s="45">
        <f>IFERROR(__xludf.DUMMYFUNCTION("""COMPUTED_VALUE"""),45234.0)</f>
        <v>45234</v>
      </c>
      <c r="O1502" s="45">
        <f>IFERROR(__xludf.DUMMYFUNCTION("""COMPUTED_VALUE"""),45453.0)</f>
        <v>45453</v>
      </c>
      <c r="P1502" s="45">
        <f>IFERROR(__xludf.DUMMYFUNCTION("""COMPUTED_VALUE"""),45495.0)</f>
        <v>45495</v>
      </c>
      <c r="Q1502" s="45"/>
      <c r="R1502" s="45"/>
      <c r="S1502" s="43"/>
      <c r="T1502" s="43"/>
      <c r="U1502" s="43" t="str">
        <f>IFERROR(__xludf.DUMMYFUNCTION("""COMPUTED_VALUE"""),"Equify")</f>
        <v>Equify</v>
      </c>
      <c r="V1502" s="43" t="str">
        <f>IFERROR(__xludf.DUMMYFUNCTION("""COMPUTED_VALUE"""),"-")</f>
        <v>-</v>
      </c>
      <c r="W1502" s="43" t="str">
        <f>IFERROR(__xludf.DUMMYFUNCTION("""COMPUTED_VALUE"""),"2023-10-19T09:20:00Z")</f>
        <v>2023-10-19T09:20:00Z</v>
      </c>
      <c r="X1502" s="43"/>
      <c r="Y1502" s="43"/>
      <c r="Z1502" s="43"/>
    </row>
    <row r="1503" hidden="1">
      <c r="A1503" s="43" t="str">
        <f>IFERROR(__xludf.DUMMYFUNCTION("""COMPUTED_VALUE"""),"5357066_1286034")</f>
        <v>5357066_1286034</v>
      </c>
      <c r="B1503" s="43" t="str">
        <f>IFERROR(__xludf.DUMMYFUNCTION("""COMPUTED_VALUE"""),"Yathharth karanjikar")</f>
        <v>Yathharth karanjikar</v>
      </c>
      <c r="C1503" s="43" t="str">
        <f>IFERROR(__xludf.DUMMYFUNCTION("""COMPUTED_VALUE"""),"approved")</f>
        <v>approved</v>
      </c>
      <c r="D1503" s="43" t="str">
        <f>IFERROR(__xludf.DUMMYFUNCTION("""COMPUTED_VALUE"""),"No")</f>
        <v>No</v>
      </c>
      <c r="E1503" s="43" t="str">
        <f>IFERROR(__xludf.DUMMYFUNCTION("""COMPUTED_VALUE"""),"p_7e59fa26bafacea1eeadfcc5264bfcab454854d5@inbound.aiesec.org")</f>
        <v>p_7e59fa26bafacea1eeadfcc5264bfcab454854d5@inbound.aiesec.org</v>
      </c>
      <c r="F1503" s="43"/>
      <c r="G1503" s="43" t="str">
        <f>IFERROR(__xludf.DUMMYFUNCTION("""COMPUTED_VALUE"""),"India")</f>
        <v>India</v>
      </c>
      <c r="H1503" s="43" t="str">
        <f>IFERROR(__xludf.DUMMYFUNCTION("""COMPUTED_VALUE"""),"Mumbai")</f>
        <v>Mumbai</v>
      </c>
      <c r="I1503" s="43" t="str">
        <f>IFERROR(__xludf.DUMMYFUNCTION("""COMPUTED_VALUE"""),"Turkey")</f>
        <v>Turkey</v>
      </c>
      <c r="J1503" s="43" t="str">
        <f>IFERROR(__xludf.DUMMYFUNCTION("""COMPUTED_VALUE"""),"ANTALYA")</f>
        <v>ANTALYA</v>
      </c>
      <c r="K1503" s="44" t="str">
        <f>IFERROR(__xludf.DUMMYFUNCTION("""COMPUTED_VALUE"""),"https://expa.aiesec.org/opportunities/1286034")</f>
        <v>https://expa.aiesec.org/opportunities/1286034</v>
      </c>
      <c r="L1503" s="43" t="str">
        <f>IFERROR(__xludf.DUMMYFUNCTION("""COMPUTED_VALUE"""),"GV")</f>
        <v>GV</v>
      </c>
      <c r="M1503" s="43" t="str">
        <f>IFERROR(__xludf.DUMMYFUNCTION("""COMPUTED_VALUE"""),"short")</f>
        <v>short</v>
      </c>
      <c r="N1503" s="45">
        <f>IFERROR(__xludf.DUMMYFUNCTION("""COMPUTED_VALUE"""),45234.0)</f>
        <v>45234</v>
      </c>
      <c r="O1503" s="45">
        <f>IFERROR(__xludf.DUMMYFUNCTION("""COMPUTED_VALUE"""),45474.0)</f>
        <v>45474</v>
      </c>
      <c r="P1503" s="45">
        <f>IFERROR(__xludf.DUMMYFUNCTION("""COMPUTED_VALUE"""),45516.0)</f>
        <v>45516</v>
      </c>
      <c r="Q1503" s="45"/>
      <c r="R1503" s="45"/>
      <c r="S1503" s="43"/>
      <c r="T1503" s="43"/>
      <c r="U1503" s="43" t="str">
        <f>IFERROR(__xludf.DUMMYFUNCTION("""COMPUTED_VALUE"""),"Global Classroom")</f>
        <v>Global Classroom</v>
      </c>
      <c r="V1503" s="43" t="str">
        <f>IFERROR(__xludf.DUMMYFUNCTION("""COMPUTED_VALUE"""),"-")</f>
        <v>-</v>
      </c>
      <c r="W1503" s="43" t="str">
        <f>IFERROR(__xludf.DUMMYFUNCTION("""COMPUTED_VALUE"""),"2023-10-22T10:00:13Z")</f>
        <v>2023-10-22T10:00:13Z</v>
      </c>
      <c r="X1503" s="43"/>
      <c r="Y1503" s="43"/>
      <c r="Z1503" s="43"/>
    </row>
    <row r="1504" hidden="1">
      <c r="A1504" s="43" t="str">
        <f>IFERROR(__xludf.DUMMYFUNCTION("""COMPUTED_VALUE"""),"5209736_1288721")</f>
        <v>5209736_1288721</v>
      </c>
      <c r="B1504" s="43" t="str">
        <f>IFERROR(__xludf.DUMMYFUNCTION("""COMPUTED_VALUE"""),"Oumaima El baz")</f>
        <v>Oumaima El baz</v>
      </c>
      <c r="C1504" s="43" t="str">
        <f>IFERROR(__xludf.DUMMYFUNCTION("""COMPUTED_VALUE"""),"approved")</f>
        <v>approved</v>
      </c>
      <c r="D1504" s="43" t="str">
        <f>IFERROR(__xludf.DUMMYFUNCTION("""COMPUTED_VALUE"""),"No")</f>
        <v>No</v>
      </c>
      <c r="E1504" s="43" t="str">
        <f>IFERROR(__xludf.DUMMYFUNCTION("""COMPUTED_VALUE"""),"p_65e5220bd2fba46f0c0a80bf9b7681591b5b7782@inbound.aiesec.org")</f>
        <v>p_65e5220bd2fba46f0c0a80bf9b7681591b5b7782@inbound.aiesec.org</v>
      </c>
      <c r="F1504" s="43">
        <f>IFERROR(__xludf.DUMMYFUNCTION("""COMPUTED_VALUE"""),6.3457852E8)</f>
        <v>634578520</v>
      </c>
      <c r="G1504" s="43" t="str">
        <f>IFERROR(__xludf.DUMMYFUNCTION("""COMPUTED_VALUE"""),"Morocco")</f>
        <v>Morocco</v>
      </c>
      <c r="H1504" s="43" t="str">
        <f>IFERROR(__xludf.DUMMYFUNCTION("""COMPUTED_VALUE"""),"Kenitra")</f>
        <v>Kenitra</v>
      </c>
      <c r="I1504" s="43" t="str">
        <f>IFERROR(__xludf.DUMMYFUNCTION("""COMPUTED_VALUE"""),"Turkey")</f>
        <v>Turkey</v>
      </c>
      <c r="J1504" s="43" t="str">
        <f>IFERROR(__xludf.DUMMYFUNCTION("""COMPUTED_VALUE"""),"KUTAHYA")</f>
        <v>KUTAHYA</v>
      </c>
      <c r="K1504" s="44" t="str">
        <f>IFERROR(__xludf.DUMMYFUNCTION("""COMPUTED_VALUE"""),"https://expa.aiesec.org/opportunities/1288721")</f>
        <v>https://expa.aiesec.org/opportunities/1288721</v>
      </c>
      <c r="L1504" s="43" t="str">
        <f>IFERROR(__xludf.DUMMYFUNCTION("""COMPUTED_VALUE"""),"GV")</f>
        <v>GV</v>
      </c>
      <c r="M1504" s="43" t="str">
        <f>IFERROR(__xludf.DUMMYFUNCTION("""COMPUTED_VALUE"""),"short")</f>
        <v>short</v>
      </c>
      <c r="N1504" s="45">
        <f>IFERROR(__xludf.DUMMYFUNCTION("""COMPUTED_VALUE"""),45234.0)</f>
        <v>45234</v>
      </c>
      <c r="O1504" s="45">
        <f>IFERROR(__xludf.DUMMYFUNCTION("""COMPUTED_VALUE"""),45495.0)</f>
        <v>45495</v>
      </c>
      <c r="P1504" s="45">
        <f>IFERROR(__xludf.DUMMYFUNCTION("""COMPUTED_VALUE"""),45537.0)</f>
        <v>45537</v>
      </c>
      <c r="Q1504" s="45"/>
      <c r="R1504" s="45"/>
      <c r="S1504" s="43"/>
      <c r="T1504" s="43"/>
      <c r="U1504" s="43" t="str">
        <f>IFERROR(__xludf.DUMMYFUNCTION("""COMPUTED_VALUE"""),"On The Map")</f>
        <v>On The Map</v>
      </c>
      <c r="V1504" s="43" t="str">
        <f>IFERROR(__xludf.DUMMYFUNCTION("""COMPUTED_VALUE"""),"Ecole Nationale De Commerce Et De Gestion Kenitra (ENCGK)")</f>
        <v>Ecole Nationale De Commerce Et De Gestion Kenitra (ENCGK)</v>
      </c>
      <c r="W1504" s="43" t="str">
        <f>IFERROR(__xludf.DUMMYFUNCTION("""COMPUTED_VALUE"""),"2023-03-08T12:37:55Z")</f>
        <v>2023-03-08T12:37:55Z</v>
      </c>
      <c r="X1504" s="43"/>
      <c r="Y1504" s="43"/>
      <c r="Z1504" s="43"/>
    </row>
    <row r="1505" hidden="1">
      <c r="A1505" s="43" t="str">
        <f>IFERROR(__xludf.DUMMYFUNCTION("""COMPUTED_VALUE"""),"4605695_1280973")</f>
        <v>4605695_1280973</v>
      </c>
      <c r="B1505" s="43" t="str">
        <f>IFERROR(__xludf.DUMMYFUNCTION("""COMPUTED_VALUE"""),"Aigerim Kenes")</f>
        <v>Aigerim Kenes</v>
      </c>
      <c r="C1505" s="43" t="str">
        <f>IFERROR(__xludf.DUMMYFUNCTION("""COMPUTED_VALUE"""),"finished")</f>
        <v>finished</v>
      </c>
      <c r="D1505" s="43" t="str">
        <f>IFERROR(__xludf.DUMMYFUNCTION("""COMPUTED_VALUE"""),"No")</f>
        <v>No</v>
      </c>
      <c r="E1505" s="43" t="str">
        <f>IFERROR(__xludf.DUMMYFUNCTION("""COMPUTED_VALUE"""),"p_b545e30f4f5fa28b9407d1412ce54540e5dd81a2@inbound.aiesec.org")</f>
        <v>p_b545e30f4f5fa28b9407d1412ce54540e5dd81a2@inbound.aiesec.org</v>
      </c>
      <c r="F1505" s="43">
        <f>IFERROR(__xludf.DUMMYFUNCTION("""COMPUTED_VALUE"""),7.71666875E9)</f>
        <v>7716668750</v>
      </c>
      <c r="G1505" s="43" t="str">
        <f>IFERROR(__xludf.DUMMYFUNCTION("""COMPUTED_VALUE"""),"Kazakhstan")</f>
        <v>Kazakhstan</v>
      </c>
      <c r="H1505" s="43" t="str">
        <f>IFERROR(__xludf.DUMMYFUNCTION("""COMPUTED_VALUE"""),"Astana")</f>
        <v>Astana</v>
      </c>
      <c r="I1505" s="43" t="str">
        <f>IFERROR(__xludf.DUMMYFUNCTION("""COMPUTED_VALUE"""),"Turkey")</f>
        <v>Turkey</v>
      </c>
      <c r="J1505" s="43" t="str">
        <f>IFERROR(__xludf.DUMMYFUNCTION("""COMPUTED_VALUE"""),"KOCAELI")</f>
        <v>KOCAELI</v>
      </c>
      <c r="K1505" s="44" t="str">
        <f>IFERROR(__xludf.DUMMYFUNCTION("""COMPUTED_VALUE"""),"https://expa.aiesec.org/opportunities/1280973")</f>
        <v>https://expa.aiesec.org/opportunities/1280973</v>
      </c>
      <c r="L1505" s="43" t="str">
        <f>IFERROR(__xludf.DUMMYFUNCTION("""COMPUTED_VALUE"""),"GV")</f>
        <v>GV</v>
      </c>
      <c r="M1505" s="43" t="str">
        <f>IFERROR(__xludf.DUMMYFUNCTION("""COMPUTED_VALUE"""),"short")</f>
        <v>short</v>
      </c>
      <c r="N1505" s="45">
        <f>IFERROR(__xludf.DUMMYFUNCTION("""COMPUTED_VALUE"""),45234.0)</f>
        <v>45234</v>
      </c>
      <c r="O1505" s="45">
        <f>IFERROR(__xludf.DUMMYFUNCTION("""COMPUTED_VALUE"""),45243.0)</f>
        <v>45243</v>
      </c>
      <c r="P1505" s="45">
        <f>IFERROR(__xludf.DUMMYFUNCTION("""COMPUTED_VALUE"""),45285.0)</f>
        <v>45285</v>
      </c>
      <c r="Q1505" s="45">
        <f>IFERROR(__xludf.DUMMYFUNCTION("""COMPUTED_VALUE"""),45249.0)</f>
        <v>45249</v>
      </c>
      <c r="R1505" s="45">
        <f>IFERROR(__xludf.DUMMYFUNCTION("""COMPUTED_VALUE"""),45292.0)</f>
        <v>45292</v>
      </c>
      <c r="S1505" s="43"/>
      <c r="T1505" s="43"/>
      <c r="U1505" s="43" t="str">
        <f>IFERROR(__xludf.DUMMYFUNCTION("""COMPUTED_VALUE"""),"Global Classroom")</f>
        <v>Global Classroom</v>
      </c>
      <c r="V1505" s="43" t="str">
        <f>IFERROR(__xludf.DUMMYFUNCTION("""COMPUTED_VALUE"""),"Pavlodar")</f>
        <v>Pavlodar</v>
      </c>
      <c r="W1505" s="43" t="str">
        <f>IFERROR(__xludf.DUMMYFUNCTION("""COMPUTED_VALUE"""),"2021-04-04T16:28:05Z")</f>
        <v>2021-04-04T16:28:05Z</v>
      </c>
      <c r="X1505" s="43"/>
      <c r="Y1505" s="43"/>
      <c r="Z1505" s="43"/>
    </row>
    <row r="1506" hidden="1">
      <c r="A1506" s="43" t="str">
        <f>IFERROR(__xludf.DUMMYFUNCTION("""COMPUTED_VALUE"""),"5119844_1279126")</f>
        <v>5119844_1279126</v>
      </c>
      <c r="B1506" s="43" t="str">
        <f>IFERROR(__xludf.DUMMYFUNCTION("""COMPUTED_VALUE"""),"Salma Amkadi")</f>
        <v>Salma Amkadi</v>
      </c>
      <c r="C1506" s="43" t="str">
        <f>IFERROR(__xludf.DUMMYFUNCTION("""COMPUTED_VALUE"""),"approved")</f>
        <v>approved</v>
      </c>
      <c r="D1506" s="43" t="str">
        <f>IFERROR(__xludf.DUMMYFUNCTION("""COMPUTED_VALUE"""),"No")</f>
        <v>No</v>
      </c>
      <c r="E1506" s="43" t="str">
        <f>IFERROR(__xludf.DUMMYFUNCTION("""COMPUTED_VALUE"""),"p_7e1239cf5431eec8114a96efb50539f4a831dd9f@inbound.aiesec.org")</f>
        <v>p_7e1239cf5431eec8114a96efb50539f4a831dd9f@inbound.aiesec.org</v>
      </c>
      <c r="F1506" s="43"/>
      <c r="G1506" s="43" t="str">
        <f>IFERROR(__xludf.DUMMYFUNCTION("""COMPUTED_VALUE"""),"Morocco")</f>
        <v>Morocco</v>
      </c>
      <c r="H1506" s="43" t="str">
        <f>IFERROR(__xludf.DUMMYFUNCTION("""COMPUTED_VALUE"""),"Fez")</f>
        <v>Fez</v>
      </c>
      <c r="I1506" s="43" t="str">
        <f>IFERROR(__xludf.DUMMYFUNCTION("""COMPUTED_VALUE"""),"Turkey")</f>
        <v>Turkey</v>
      </c>
      <c r="J1506" s="43" t="str">
        <f>IFERROR(__xludf.DUMMYFUNCTION("""COMPUTED_VALUE"""),"KOCAELI")</f>
        <v>KOCAELI</v>
      </c>
      <c r="K1506" s="44" t="str">
        <f>IFERROR(__xludf.DUMMYFUNCTION("""COMPUTED_VALUE"""),"https://expa.aiesec.org/opportunities/1279126")</f>
        <v>https://expa.aiesec.org/opportunities/1279126</v>
      </c>
      <c r="L1506" s="43" t="str">
        <f>IFERROR(__xludf.DUMMYFUNCTION("""COMPUTED_VALUE"""),"GV")</f>
        <v>GV</v>
      </c>
      <c r="M1506" s="43" t="str">
        <f>IFERROR(__xludf.DUMMYFUNCTION("""COMPUTED_VALUE"""),"short")</f>
        <v>short</v>
      </c>
      <c r="N1506" s="45">
        <f>IFERROR(__xludf.DUMMYFUNCTION("""COMPUTED_VALUE"""),45234.0)</f>
        <v>45234</v>
      </c>
      <c r="O1506" s="45">
        <f>IFERROR(__xludf.DUMMYFUNCTION("""COMPUTED_VALUE"""),45488.0)</f>
        <v>45488</v>
      </c>
      <c r="P1506" s="45">
        <f>IFERROR(__xludf.DUMMYFUNCTION("""COMPUTED_VALUE"""),45530.0)</f>
        <v>45530</v>
      </c>
      <c r="Q1506" s="45"/>
      <c r="R1506" s="45"/>
      <c r="S1506" s="43"/>
      <c r="T1506" s="43"/>
      <c r="U1506" s="43" t="str">
        <f>IFERROR(__xludf.DUMMYFUNCTION("""COMPUTED_VALUE"""),"Global Classroom")</f>
        <v>Global Classroom</v>
      </c>
      <c r="V1506" s="43" t="str">
        <f>IFERROR(__xludf.DUMMYFUNCTION("""COMPUTED_VALUE"""),"FMP Fès")</f>
        <v>FMP Fès</v>
      </c>
      <c r="W1506" s="43" t="str">
        <f>IFERROR(__xludf.DUMMYFUNCTION("""COMPUTED_VALUE"""),"2022-09-26T14:55:56Z")</f>
        <v>2022-09-26T14:55:56Z</v>
      </c>
      <c r="X1506" s="43"/>
      <c r="Y1506" s="43"/>
      <c r="Z1506" s="43"/>
    </row>
    <row r="1507" hidden="1">
      <c r="A1507" s="43" t="str">
        <f>IFERROR(__xludf.DUMMYFUNCTION("""COMPUTED_VALUE"""),"4956773_1279126")</f>
        <v>4956773_1279126</v>
      </c>
      <c r="B1507" s="43" t="str">
        <f>IFERROR(__xludf.DUMMYFUNCTION("""COMPUTED_VALUE"""),"Manal Bounoua")</f>
        <v>Manal Bounoua</v>
      </c>
      <c r="C1507" s="43" t="str">
        <f>IFERROR(__xludf.DUMMYFUNCTION("""COMPUTED_VALUE"""),"approved")</f>
        <v>approved</v>
      </c>
      <c r="D1507" s="43" t="str">
        <f>IFERROR(__xludf.DUMMYFUNCTION("""COMPUTED_VALUE"""),"No")</f>
        <v>No</v>
      </c>
      <c r="E1507" s="43" t="str">
        <f>IFERROR(__xludf.DUMMYFUNCTION("""COMPUTED_VALUE"""),"p_4842aa1bba5ec9f7f30a34a6d6ea8195bdfbd1ca@inbound.aiesec.org")</f>
        <v>p_4842aa1bba5ec9f7f30a34a6d6ea8195bdfbd1ca@inbound.aiesec.org</v>
      </c>
      <c r="F1507" s="43">
        <f>IFERROR(__xludf.DUMMYFUNCTION("""COMPUTED_VALUE"""),6.25089068E8)</f>
        <v>625089068</v>
      </c>
      <c r="G1507" s="43" t="str">
        <f>IFERROR(__xludf.DUMMYFUNCTION("""COMPUTED_VALUE"""),"Morocco")</f>
        <v>Morocco</v>
      </c>
      <c r="H1507" s="43" t="str">
        <f>IFERROR(__xludf.DUMMYFUNCTION("""COMPUTED_VALUE"""),"Fez")</f>
        <v>Fez</v>
      </c>
      <c r="I1507" s="43" t="str">
        <f>IFERROR(__xludf.DUMMYFUNCTION("""COMPUTED_VALUE"""),"Turkey")</f>
        <v>Turkey</v>
      </c>
      <c r="J1507" s="43" t="str">
        <f>IFERROR(__xludf.DUMMYFUNCTION("""COMPUTED_VALUE"""),"KOCAELI")</f>
        <v>KOCAELI</v>
      </c>
      <c r="K1507" s="44" t="str">
        <f>IFERROR(__xludf.DUMMYFUNCTION("""COMPUTED_VALUE"""),"https://expa.aiesec.org/opportunities/1279126")</f>
        <v>https://expa.aiesec.org/opportunities/1279126</v>
      </c>
      <c r="L1507" s="43" t="str">
        <f>IFERROR(__xludf.DUMMYFUNCTION("""COMPUTED_VALUE"""),"GV")</f>
        <v>GV</v>
      </c>
      <c r="M1507" s="43" t="str">
        <f>IFERROR(__xludf.DUMMYFUNCTION("""COMPUTED_VALUE"""),"short")</f>
        <v>short</v>
      </c>
      <c r="N1507" s="45">
        <f>IFERROR(__xludf.DUMMYFUNCTION("""COMPUTED_VALUE"""),45234.0)</f>
        <v>45234</v>
      </c>
      <c r="O1507" s="45">
        <f>IFERROR(__xludf.DUMMYFUNCTION("""COMPUTED_VALUE"""),45488.0)</f>
        <v>45488</v>
      </c>
      <c r="P1507" s="45">
        <f>IFERROR(__xludf.DUMMYFUNCTION("""COMPUTED_VALUE"""),45530.0)</f>
        <v>45530</v>
      </c>
      <c r="Q1507" s="45"/>
      <c r="R1507" s="45"/>
      <c r="S1507" s="43"/>
      <c r="T1507" s="43"/>
      <c r="U1507" s="43" t="str">
        <f>IFERROR(__xludf.DUMMYFUNCTION("""COMPUTED_VALUE"""),"Global Classroom")</f>
        <v>Global Classroom</v>
      </c>
      <c r="V1507" s="43" t="str">
        <f>IFERROR(__xludf.DUMMYFUNCTION("""COMPUTED_VALUE"""),"FMP Fès")</f>
        <v>FMP Fès</v>
      </c>
      <c r="W1507" s="43" t="str">
        <f>IFERROR(__xludf.DUMMYFUNCTION("""COMPUTED_VALUE"""),"2022-03-01T16:02:22Z")</f>
        <v>2022-03-01T16:02:22Z</v>
      </c>
      <c r="X1507" s="43"/>
      <c r="Y1507" s="43"/>
      <c r="Z1507" s="43"/>
    </row>
    <row r="1508" hidden="1">
      <c r="A1508" s="43" t="str">
        <f>IFERROR(__xludf.DUMMYFUNCTION("""COMPUTED_VALUE"""),"5356866_1284670")</f>
        <v>5356866_1284670</v>
      </c>
      <c r="B1508" s="43" t="str">
        <f>IFERROR(__xludf.DUMMYFUNCTION("""COMPUTED_VALUE"""),"Mohamed El Mamoune Askri")</f>
        <v>Mohamed El Mamoune Askri</v>
      </c>
      <c r="C1508" s="43" t="str">
        <f>IFERROR(__xludf.DUMMYFUNCTION("""COMPUTED_VALUE"""),"approved")</f>
        <v>approved</v>
      </c>
      <c r="D1508" s="43" t="str">
        <f>IFERROR(__xludf.DUMMYFUNCTION("""COMPUTED_VALUE"""),"No")</f>
        <v>No</v>
      </c>
      <c r="E1508" s="43" t="str">
        <f>IFERROR(__xludf.DUMMYFUNCTION("""COMPUTED_VALUE"""),"p_4704fc4401ba72b57c97e32b2ac1fa747521b377@inbound.aiesec.org")</f>
        <v>p_4704fc4401ba72b57c97e32b2ac1fa747521b377@inbound.aiesec.org</v>
      </c>
      <c r="F1508" s="43">
        <f>IFERROR(__xludf.DUMMYFUNCTION("""COMPUTED_VALUE"""),7.76619003E8)</f>
        <v>776619003</v>
      </c>
      <c r="G1508" s="43" t="str">
        <f>IFERROR(__xludf.DUMMYFUNCTION("""COMPUTED_VALUE"""),"Algeria")</f>
        <v>Algeria</v>
      </c>
      <c r="H1508" s="43" t="str">
        <f>IFERROR(__xludf.DUMMYFUNCTION("""COMPUTED_VALUE"""),"Oran")</f>
        <v>Oran</v>
      </c>
      <c r="I1508" s="43" t="str">
        <f>IFERROR(__xludf.DUMMYFUNCTION("""COMPUTED_VALUE"""),"Turkey")</f>
        <v>Turkey</v>
      </c>
      <c r="J1508" s="43" t="str">
        <f>IFERROR(__xludf.DUMMYFUNCTION("""COMPUTED_VALUE"""),"ISTANBUL")</f>
        <v>ISTANBUL</v>
      </c>
      <c r="K1508" s="44" t="str">
        <f>IFERROR(__xludf.DUMMYFUNCTION("""COMPUTED_VALUE"""),"https://expa.aiesec.org/opportunities/1284670")</f>
        <v>https://expa.aiesec.org/opportunities/1284670</v>
      </c>
      <c r="L1508" s="43" t="str">
        <f>IFERROR(__xludf.DUMMYFUNCTION("""COMPUTED_VALUE"""),"GV")</f>
        <v>GV</v>
      </c>
      <c r="M1508" s="43" t="str">
        <f>IFERROR(__xludf.DUMMYFUNCTION("""COMPUTED_VALUE"""),"short")</f>
        <v>short</v>
      </c>
      <c r="N1508" s="45">
        <f>IFERROR(__xludf.DUMMYFUNCTION("""COMPUTED_VALUE"""),45234.0)</f>
        <v>45234</v>
      </c>
      <c r="O1508" s="45">
        <f>IFERROR(__xludf.DUMMYFUNCTION("""COMPUTED_VALUE"""),45476.0)</f>
        <v>45476</v>
      </c>
      <c r="P1508" s="45">
        <f>IFERROR(__xludf.DUMMYFUNCTION("""COMPUTED_VALUE"""),45518.0)</f>
        <v>45518</v>
      </c>
      <c r="Q1508" s="45"/>
      <c r="R1508" s="45"/>
      <c r="S1508" s="43"/>
      <c r="T1508" s="43"/>
      <c r="U1508" s="43" t="str">
        <f>IFERROR(__xludf.DUMMYFUNCTION("""COMPUTED_VALUE"""),"Heartbeat")</f>
        <v>Heartbeat</v>
      </c>
      <c r="V1508" s="43" t="str">
        <f>IFERROR(__xludf.DUMMYFUNCTION("""COMPUTED_VALUE"""),"AIESEC in Oran")</f>
        <v>AIESEC in Oran</v>
      </c>
      <c r="W1508" s="43" t="str">
        <f>IFERROR(__xludf.DUMMYFUNCTION("""COMPUTED_VALUE"""),"2023-10-21T22:28:37Z")</f>
        <v>2023-10-21T22:28:37Z</v>
      </c>
      <c r="X1508" s="43"/>
      <c r="Y1508" s="43"/>
      <c r="Z1508" s="43"/>
    </row>
    <row r="1509" hidden="1">
      <c r="A1509" s="43" t="str">
        <f>IFERROR(__xludf.DUMMYFUNCTION("""COMPUTED_VALUE"""),"5359177_1300056")</f>
        <v>5359177_1300056</v>
      </c>
      <c r="B1509" s="43" t="str">
        <f>IFERROR(__xludf.DUMMYFUNCTION("""COMPUTED_VALUE"""),"Flavius-Cristian Bârsan")</f>
        <v>Flavius-Cristian Bârsan</v>
      </c>
      <c r="C1509" s="43" t="str">
        <f>IFERROR(__xludf.DUMMYFUNCTION("""COMPUTED_VALUE"""),"approved")</f>
        <v>approved</v>
      </c>
      <c r="D1509" s="43" t="str">
        <f>IFERROR(__xludf.DUMMYFUNCTION("""COMPUTED_VALUE"""),"No")</f>
        <v>No</v>
      </c>
      <c r="E1509" s="43" t="str">
        <f>IFERROR(__xludf.DUMMYFUNCTION("""COMPUTED_VALUE"""),"p_fe680dd3cd94283e9c72995dd37c6ab12a6dd8c0@inbound.aiesec.org")</f>
        <v>p_fe680dd3cd94283e9c72995dd37c6ab12a6dd8c0@inbound.aiesec.org</v>
      </c>
      <c r="F1509" s="43">
        <f>IFERROR(__xludf.DUMMYFUNCTION("""COMPUTED_VALUE"""),7.2574785E8)</f>
        <v>725747850</v>
      </c>
      <c r="G1509" s="43" t="str">
        <f>IFERROR(__xludf.DUMMYFUNCTION("""COMPUTED_VALUE"""),"Romania")</f>
        <v>Romania</v>
      </c>
      <c r="H1509" s="43" t="str">
        <f>IFERROR(__xludf.DUMMYFUNCTION("""COMPUTED_VALUE"""),"BUCURESTI")</f>
        <v>BUCURESTI</v>
      </c>
      <c r="I1509" s="43" t="str">
        <f>IFERROR(__xludf.DUMMYFUNCTION("""COMPUTED_VALUE"""),"Turkey")</f>
        <v>Turkey</v>
      </c>
      <c r="J1509" s="43" t="str">
        <f>IFERROR(__xludf.DUMMYFUNCTION("""COMPUTED_VALUE"""),"ANKARA")</f>
        <v>ANKARA</v>
      </c>
      <c r="K1509" s="44" t="str">
        <f>IFERROR(__xludf.DUMMYFUNCTION("""COMPUTED_VALUE"""),"https://expa.aiesec.org/opportunities/1300056")</f>
        <v>https://expa.aiesec.org/opportunities/1300056</v>
      </c>
      <c r="L1509" s="43" t="str">
        <f>IFERROR(__xludf.DUMMYFUNCTION("""COMPUTED_VALUE"""),"GV")</f>
        <v>GV</v>
      </c>
      <c r="M1509" s="43" t="str">
        <f>IFERROR(__xludf.DUMMYFUNCTION("""COMPUTED_VALUE"""),"short")</f>
        <v>short</v>
      </c>
      <c r="N1509" s="45">
        <f>IFERROR(__xludf.DUMMYFUNCTION("""COMPUTED_VALUE"""),45234.0)</f>
        <v>45234</v>
      </c>
      <c r="O1509" s="45">
        <f>IFERROR(__xludf.DUMMYFUNCTION("""COMPUTED_VALUE"""),45467.0)</f>
        <v>45467</v>
      </c>
      <c r="P1509" s="45">
        <f>IFERROR(__xludf.DUMMYFUNCTION("""COMPUTED_VALUE"""),45509.0)</f>
        <v>45509</v>
      </c>
      <c r="Q1509" s="45"/>
      <c r="R1509" s="45"/>
      <c r="S1509" s="43"/>
      <c r="T1509" s="43"/>
      <c r="U1509" s="43" t="str">
        <f>IFERROR(__xludf.DUMMYFUNCTION("""COMPUTED_VALUE"""),"Fingerprint")</f>
        <v>Fingerprint</v>
      </c>
      <c r="V1509" s="43" t="str">
        <f>IFERROR(__xludf.DUMMYFUNCTION("""COMPUTED_VALUE"""),"Bucuresti")</f>
        <v>Bucuresti</v>
      </c>
      <c r="W1509" s="43" t="str">
        <f>IFERROR(__xludf.DUMMYFUNCTION("""COMPUTED_VALUE"""),"2023-10-24T14:27:01Z")</f>
        <v>2023-10-24T14:27:01Z</v>
      </c>
      <c r="X1509" s="43"/>
      <c r="Y1509" s="43"/>
      <c r="Z1509" s="43"/>
    </row>
    <row r="1510" hidden="1">
      <c r="A1510" s="43" t="str">
        <f>IFERROR(__xludf.DUMMYFUNCTION("""COMPUTED_VALUE"""),"5354866_1289536")</f>
        <v>5354866_1289536</v>
      </c>
      <c r="B1510" s="43" t="str">
        <f>IFERROR(__xludf.DUMMYFUNCTION("""COMPUTED_VALUE"""),"Divya Bherwani")</f>
        <v>Divya Bherwani</v>
      </c>
      <c r="C1510" s="43" t="str">
        <f>IFERROR(__xludf.DUMMYFUNCTION("""COMPUTED_VALUE"""),"approved")</f>
        <v>approved</v>
      </c>
      <c r="D1510" s="43" t="str">
        <f>IFERROR(__xludf.DUMMYFUNCTION("""COMPUTED_VALUE"""),"No")</f>
        <v>No</v>
      </c>
      <c r="E1510" s="43" t="str">
        <f>IFERROR(__xludf.DUMMYFUNCTION("""COMPUTED_VALUE"""),"p_b3d3a8c10db70a46ab66cf057b254d55408829de@inbound.aiesec.org")</f>
        <v>p_b3d3a8c10db70a46ab66cf057b254d55408829de@inbound.aiesec.org</v>
      </c>
      <c r="F1510" s="43">
        <f>IFERROR(__xludf.DUMMYFUNCTION("""COMPUTED_VALUE"""),9.769887224E9)</f>
        <v>9769887224</v>
      </c>
      <c r="G1510" s="43" t="str">
        <f>IFERROR(__xludf.DUMMYFUNCTION("""COMPUTED_VALUE"""),"India")</f>
        <v>India</v>
      </c>
      <c r="H1510" s="43" t="str">
        <f>IFERROR(__xludf.DUMMYFUNCTION("""COMPUTED_VALUE"""),"Mumbai")</f>
        <v>Mumbai</v>
      </c>
      <c r="I1510" s="43" t="str">
        <f>IFERROR(__xludf.DUMMYFUNCTION("""COMPUTED_VALUE"""),"Turkey")</f>
        <v>Turkey</v>
      </c>
      <c r="J1510" s="43" t="str">
        <f>IFERROR(__xludf.DUMMYFUNCTION("""COMPUTED_VALUE"""),"ISTANBUL")</f>
        <v>ISTANBUL</v>
      </c>
      <c r="K1510" s="44" t="str">
        <f>IFERROR(__xludf.DUMMYFUNCTION("""COMPUTED_VALUE"""),"https://expa.aiesec.org/opportunities/1289536")</f>
        <v>https://expa.aiesec.org/opportunities/1289536</v>
      </c>
      <c r="L1510" s="43" t="str">
        <f>IFERROR(__xludf.DUMMYFUNCTION("""COMPUTED_VALUE"""),"GV")</f>
        <v>GV</v>
      </c>
      <c r="M1510" s="43" t="str">
        <f>IFERROR(__xludf.DUMMYFUNCTION("""COMPUTED_VALUE"""),"short")</f>
        <v>short</v>
      </c>
      <c r="N1510" s="45">
        <f>IFERROR(__xludf.DUMMYFUNCTION("""COMPUTED_VALUE"""),45235.0)</f>
        <v>45235</v>
      </c>
      <c r="O1510" s="45">
        <f>IFERROR(__xludf.DUMMYFUNCTION("""COMPUTED_VALUE"""),45389.0)</f>
        <v>45389</v>
      </c>
      <c r="P1510" s="45">
        <f>IFERROR(__xludf.DUMMYFUNCTION("""COMPUTED_VALUE"""),45431.0)</f>
        <v>45431</v>
      </c>
      <c r="Q1510" s="45"/>
      <c r="R1510" s="45"/>
      <c r="S1510" s="43"/>
      <c r="T1510" s="43"/>
      <c r="U1510" s="43" t="str">
        <f>IFERROR(__xludf.DUMMYFUNCTION("""COMPUTED_VALUE"""),"Global Classroom")</f>
        <v>Global Classroom</v>
      </c>
      <c r="V1510" s="43" t="str">
        <f>IFERROR(__xludf.DUMMYFUNCTION("""COMPUTED_VALUE"""),"Mithibai College of Commerce and Science, Vile Parle")</f>
        <v>Mithibai College of Commerce and Science, Vile Parle</v>
      </c>
      <c r="W1510" s="43" t="str">
        <f>IFERROR(__xludf.DUMMYFUNCTION("""COMPUTED_VALUE"""),"2023-10-18T16:44:31Z")</f>
        <v>2023-10-18T16:44:31Z</v>
      </c>
      <c r="X1510" s="43"/>
      <c r="Y1510" s="43"/>
      <c r="Z1510" s="43"/>
    </row>
    <row r="1511" hidden="1">
      <c r="A1511" s="43" t="str">
        <f>IFERROR(__xludf.DUMMYFUNCTION("""COMPUTED_VALUE"""),"3396844_1300056")</f>
        <v>3396844_1300056</v>
      </c>
      <c r="B1511" s="43" t="str">
        <f>IFERROR(__xludf.DUMMYFUNCTION("""COMPUTED_VALUE"""),"Jihen Issaoui")</f>
        <v>Jihen Issaoui</v>
      </c>
      <c r="C1511" s="43" t="str">
        <f>IFERROR(__xludf.DUMMYFUNCTION("""COMPUTED_VALUE"""),"approved")</f>
        <v>approved</v>
      </c>
      <c r="D1511" s="43" t="str">
        <f>IFERROR(__xludf.DUMMYFUNCTION("""COMPUTED_VALUE"""),"No")</f>
        <v>No</v>
      </c>
      <c r="E1511" s="43" t="str">
        <f>IFERROR(__xludf.DUMMYFUNCTION("""COMPUTED_VALUE"""),"p_3906828e0a20866c731ac3b04bbe06b4c66ce1e4@inbound.aiesec.org")</f>
        <v>p_3906828e0a20866c731ac3b04bbe06b4c66ce1e4@inbound.aiesec.org</v>
      </c>
      <c r="F1511" s="43">
        <f>IFERROR(__xludf.DUMMYFUNCTION("""COMPUTED_VALUE"""),2.875242E7)</f>
        <v>28752420</v>
      </c>
      <c r="G1511" s="43" t="str">
        <f>IFERROR(__xludf.DUMMYFUNCTION("""COMPUTED_VALUE"""),"Tunisia")</f>
        <v>Tunisia</v>
      </c>
      <c r="H1511" s="43" t="str">
        <f>IFERROR(__xludf.DUMMYFUNCTION("""COMPUTED_VALUE"""),"UNIVERSITY")</f>
        <v>UNIVERSITY</v>
      </c>
      <c r="I1511" s="43" t="str">
        <f>IFERROR(__xludf.DUMMYFUNCTION("""COMPUTED_VALUE"""),"Turkey")</f>
        <v>Turkey</v>
      </c>
      <c r="J1511" s="43" t="str">
        <f>IFERROR(__xludf.DUMMYFUNCTION("""COMPUTED_VALUE"""),"ANKARA")</f>
        <v>ANKARA</v>
      </c>
      <c r="K1511" s="44" t="str">
        <f>IFERROR(__xludf.DUMMYFUNCTION("""COMPUTED_VALUE"""),"https://expa.aiesec.org/opportunities/1300056")</f>
        <v>https://expa.aiesec.org/opportunities/1300056</v>
      </c>
      <c r="L1511" s="43" t="str">
        <f>IFERROR(__xludf.DUMMYFUNCTION("""COMPUTED_VALUE"""),"GV")</f>
        <v>GV</v>
      </c>
      <c r="M1511" s="43" t="str">
        <f>IFERROR(__xludf.DUMMYFUNCTION("""COMPUTED_VALUE"""),"short")</f>
        <v>short</v>
      </c>
      <c r="N1511" s="45">
        <f>IFERROR(__xludf.DUMMYFUNCTION("""COMPUTED_VALUE"""),45235.0)</f>
        <v>45235</v>
      </c>
      <c r="O1511" s="45">
        <f>IFERROR(__xludf.DUMMYFUNCTION("""COMPUTED_VALUE"""),45425.0)</f>
        <v>45425</v>
      </c>
      <c r="P1511" s="45">
        <f>IFERROR(__xludf.DUMMYFUNCTION("""COMPUTED_VALUE"""),45467.0)</f>
        <v>45467</v>
      </c>
      <c r="Q1511" s="45"/>
      <c r="R1511" s="45"/>
      <c r="S1511" s="43"/>
      <c r="T1511" s="43"/>
      <c r="U1511" s="43" t="str">
        <f>IFERROR(__xludf.DUMMYFUNCTION("""COMPUTED_VALUE"""),"Fingerprint")</f>
        <v>Fingerprint</v>
      </c>
      <c r="V1511" s="43" t="str">
        <f>IFERROR(__xludf.DUMMYFUNCTION("""COMPUTED_VALUE"""),"ENIT")</f>
        <v>ENIT</v>
      </c>
      <c r="W1511" s="43" t="str">
        <f>IFERROR(__xludf.DUMMYFUNCTION("""COMPUTED_VALUE"""),"2019-05-04T20:08:50Z")</f>
        <v>2019-05-04T20:08:50Z</v>
      </c>
      <c r="X1511" s="43"/>
      <c r="Y1511" s="43"/>
      <c r="Z1511" s="43"/>
    </row>
    <row r="1512" hidden="1">
      <c r="A1512" s="43" t="str">
        <f>IFERROR(__xludf.DUMMYFUNCTION("""COMPUTED_VALUE"""),"5366705_1286326")</f>
        <v>5366705_1286326</v>
      </c>
      <c r="B1512" s="43" t="str">
        <f>IFERROR(__xludf.DUMMYFUNCTION("""COMPUTED_VALUE"""),"Mariana Kit")</f>
        <v>Mariana Kit</v>
      </c>
      <c r="C1512" s="43" t="str">
        <f>IFERROR(__xludf.DUMMYFUNCTION("""COMPUTED_VALUE"""),"approved")</f>
        <v>approved</v>
      </c>
      <c r="D1512" s="43" t="str">
        <f>IFERROR(__xludf.DUMMYFUNCTION("""COMPUTED_VALUE"""),"No")</f>
        <v>No</v>
      </c>
      <c r="E1512" s="43" t="str">
        <f>IFERROR(__xludf.DUMMYFUNCTION("""COMPUTED_VALUE"""),"p_60e68c20ee0be4b6b38d1897e31b146cd2d434c9@inbound.aiesec.org")</f>
        <v>p_60e68c20ee0be4b6b38d1897e31b146cd2d434c9@inbound.aiesec.org</v>
      </c>
      <c r="F1512" s="43">
        <f>IFERROR(__xludf.DUMMYFUNCTION("""COMPUTED_VALUE"""),9.88521359E8)</f>
        <v>988521359</v>
      </c>
      <c r="G1512" s="43" t="str">
        <f>IFERROR(__xludf.DUMMYFUNCTION("""COMPUTED_VALUE"""),"Ukraine")</f>
        <v>Ukraine</v>
      </c>
      <c r="H1512" s="43" t="str">
        <f>IFERROR(__xludf.DUMMYFUNCTION("""COMPUTED_VALUE"""),"IVANO-FRANKIVSK")</f>
        <v>IVANO-FRANKIVSK</v>
      </c>
      <c r="I1512" s="43" t="str">
        <f>IFERROR(__xludf.DUMMYFUNCTION("""COMPUTED_VALUE"""),"Turkey")</f>
        <v>Turkey</v>
      </c>
      <c r="J1512" s="43" t="str">
        <f>IFERROR(__xludf.DUMMYFUNCTION("""COMPUTED_VALUE"""),"ADANA")</f>
        <v>ADANA</v>
      </c>
      <c r="K1512" s="44" t="str">
        <f>IFERROR(__xludf.DUMMYFUNCTION("""COMPUTED_VALUE"""),"https://expa.aiesec.org/opportunities/1286326")</f>
        <v>https://expa.aiesec.org/opportunities/1286326</v>
      </c>
      <c r="L1512" s="43" t="str">
        <f>IFERROR(__xludf.DUMMYFUNCTION("""COMPUTED_VALUE"""),"GV")</f>
        <v>GV</v>
      </c>
      <c r="M1512" s="43" t="str">
        <f>IFERROR(__xludf.DUMMYFUNCTION("""COMPUTED_VALUE"""),"short")</f>
        <v>short</v>
      </c>
      <c r="N1512" s="45">
        <f>IFERROR(__xludf.DUMMYFUNCTION("""COMPUTED_VALUE"""),45235.0)</f>
        <v>45235</v>
      </c>
      <c r="O1512" s="45">
        <f>IFERROR(__xludf.DUMMYFUNCTION("""COMPUTED_VALUE"""),45523.0)</f>
        <v>45523</v>
      </c>
      <c r="P1512" s="45">
        <f>IFERROR(__xludf.DUMMYFUNCTION("""COMPUTED_VALUE"""),45565.0)</f>
        <v>45565</v>
      </c>
      <c r="Q1512" s="45"/>
      <c r="R1512" s="45"/>
      <c r="S1512" s="43"/>
      <c r="T1512" s="43"/>
      <c r="U1512" s="43" t="str">
        <f>IFERROR(__xludf.DUMMYFUNCTION("""COMPUTED_VALUE"""),"Equify")</f>
        <v>Equify</v>
      </c>
      <c r="V1512" s="43" t="str">
        <f>IFERROR(__xludf.DUMMYFUNCTION("""COMPUTED_VALUE"""),"Ivano-Frankivsk")</f>
        <v>Ivano-Frankivsk</v>
      </c>
      <c r="W1512" s="43" t="str">
        <f>IFERROR(__xludf.DUMMYFUNCTION("""COMPUTED_VALUE"""),"2023-11-04T10:39:37Z")</f>
        <v>2023-11-04T10:39:37Z</v>
      </c>
      <c r="X1512" s="43"/>
      <c r="Y1512" s="43"/>
      <c r="Z1512" s="43"/>
    </row>
    <row r="1513" hidden="1">
      <c r="A1513" s="43" t="str">
        <f>IFERROR(__xludf.DUMMYFUNCTION("""COMPUTED_VALUE"""),"5362781_1284670")</f>
        <v>5362781_1284670</v>
      </c>
      <c r="B1513" s="43" t="str">
        <f>IFERROR(__xludf.DUMMYFUNCTION("""COMPUTED_VALUE"""),"Anhelina Parkhomova")</f>
        <v>Anhelina Parkhomova</v>
      </c>
      <c r="C1513" s="43" t="str">
        <f>IFERROR(__xludf.DUMMYFUNCTION("""COMPUTED_VALUE"""),"approved")</f>
        <v>approved</v>
      </c>
      <c r="D1513" s="43" t="str">
        <f>IFERROR(__xludf.DUMMYFUNCTION("""COMPUTED_VALUE"""),"No")</f>
        <v>No</v>
      </c>
      <c r="E1513" s="43" t="str">
        <f>IFERROR(__xludf.DUMMYFUNCTION("""COMPUTED_VALUE"""),"p_a14b8375d683161d8a686f7e00d029bfdcc41fe7@inbound.aiesec.org")</f>
        <v>p_a14b8375d683161d8a686f7e00d029bfdcc41fe7@inbound.aiesec.org</v>
      </c>
      <c r="F1513" s="43">
        <f>IFERROR(__xludf.DUMMYFUNCTION("""COMPUTED_VALUE"""),9.60309635E8)</f>
        <v>960309635</v>
      </c>
      <c r="G1513" s="43" t="str">
        <f>IFERROR(__xludf.DUMMYFUNCTION("""COMPUTED_VALUE"""),"Ukraine")</f>
        <v>Ukraine</v>
      </c>
      <c r="H1513" s="43" t="str">
        <f>IFERROR(__xludf.DUMMYFUNCTION("""COMPUTED_VALUE"""),"KYIV")</f>
        <v>KYIV</v>
      </c>
      <c r="I1513" s="43" t="str">
        <f>IFERROR(__xludf.DUMMYFUNCTION("""COMPUTED_VALUE"""),"Turkey")</f>
        <v>Turkey</v>
      </c>
      <c r="J1513" s="43" t="str">
        <f>IFERROR(__xludf.DUMMYFUNCTION("""COMPUTED_VALUE"""),"ISTANBUL")</f>
        <v>ISTANBUL</v>
      </c>
      <c r="K1513" s="44" t="str">
        <f>IFERROR(__xludf.DUMMYFUNCTION("""COMPUTED_VALUE"""),"https://expa.aiesec.org/opportunities/1284670")</f>
        <v>https://expa.aiesec.org/opportunities/1284670</v>
      </c>
      <c r="L1513" s="43" t="str">
        <f>IFERROR(__xludf.DUMMYFUNCTION("""COMPUTED_VALUE"""),"GV")</f>
        <v>GV</v>
      </c>
      <c r="M1513" s="43" t="str">
        <f>IFERROR(__xludf.DUMMYFUNCTION("""COMPUTED_VALUE"""),"short")</f>
        <v>short</v>
      </c>
      <c r="N1513" s="45">
        <f>IFERROR(__xludf.DUMMYFUNCTION("""COMPUTED_VALUE"""),45235.0)</f>
        <v>45235</v>
      </c>
      <c r="O1513" s="45">
        <f>IFERROR(__xludf.DUMMYFUNCTION("""COMPUTED_VALUE"""),45476.0)</f>
        <v>45476</v>
      </c>
      <c r="P1513" s="45">
        <f>IFERROR(__xludf.DUMMYFUNCTION("""COMPUTED_VALUE"""),45518.0)</f>
        <v>45518</v>
      </c>
      <c r="Q1513" s="45"/>
      <c r="R1513" s="45"/>
      <c r="S1513" s="43"/>
      <c r="T1513" s="43"/>
      <c r="U1513" s="43" t="str">
        <f>IFERROR(__xludf.DUMMYFUNCTION("""COMPUTED_VALUE"""),"Heartbeat")</f>
        <v>Heartbeat</v>
      </c>
      <c r="V1513" s="43" t="str">
        <f>IFERROR(__xludf.DUMMYFUNCTION("""COMPUTED_VALUE"""),"Kyiv")</f>
        <v>Kyiv</v>
      </c>
      <c r="W1513" s="43" t="str">
        <f>IFERROR(__xludf.DUMMYFUNCTION("""COMPUTED_VALUE"""),"2023-10-29T14:34:32Z")</f>
        <v>2023-10-29T14:34:32Z</v>
      </c>
      <c r="X1513" s="43"/>
      <c r="Y1513" s="43"/>
      <c r="Z1513" s="43"/>
    </row>
    <row r="1514" hidden="1">
      <c r="A1514" s="43" t="str">
        <f>IFERROR(__xludf.DUMMYFUNCTION("""COMPUTED_VALUE"""),"5358157_1284670")</f>
        <v>5358157_1284670</v>
      </c>
      <c r="B1514" s="43" t="str">
        <f>IFERROR(__xludf.DUMMYFUNCTION("""COMPUTED_VALUE"""),"Nour El Houda NESBA")</f>
        <v>Nour El Houda NESBA</v>
      </c>
      <c r="C1514" s="43" t="str">
        <f>IFERROR(__xludf.DUMMYFUNCTION("""COMPUTED_VALUE"""),"approved")</f>
        <v>approved</v>
      </c>
      <c r="D1514" s="43" t="str">
        <f>IFERROR(__xludf.DUMMYFUNCTION("""COMPUTED_VALUE"""),"No")</f>
        <v>No</v>
      </c>
      <c r="E1514" s="43" t="str">
        <f>IFERROR(__xludf.DUMMYFUNCTION("""COMPUTED_VALUE"""),"p_74daafba2c0f844c80829ff0d54cb2e65d706e20@inbound.aiesec.org")</f>
        <v>p_74daafba2c0f844c80829ff0d54cb2e65d706e20@inbound.aiesec.org</v>
      </c>
      <c r="F1514" s="43">
        <f>IFERROR(__xludf.DUMMYFUNCTION("""COMPUTED_VALUE"""),6.64469527E8)</f>
        <v>664469527</v>
      </c>
      <c r="G1514" s="43" t="str">
        <f>IFERROR(__xludf.DUMMYFUNCTION("""COMPUTED_VALUE"""),"Algeria")</f>
        <v>Algeria</v>
      </c>
      <c r="H1514" s="43" t="str">
        <f>IFERROR(__xludf.DUMMYFUNCTION("""COMPUTED_VALUE"""),"Blida")</f>
        <v>Blida</v>
      </c>
      <c r="I1514" s="43" t="str">
        <f>IFERROR(__xludf.DUMMYFUNCTION("""COMPUTED_VALUE"""),"Turkey")</f>
        <v>Turkey</v>
      </c>
      <c r="J1514" s="43" t="str">
        <f>IFERROR(__xludf.DUMMYFUNCTION("""COMPUTED_VALUE"""),"ISTANBUL")</f>
        <v>ISTANBUL</v>
      </c>
      <c r="K1514" s="44" t="str">
        <f>IFERROR(__xludf.DUMMYFUNCTION("""COMPUTED_VALUE"""),"https://expa.aiesec.org/opportunities/1284670")</f>
        <v>https://expa.aiesec.org/opportunities/1284670</v>
      </c>
      <c r="L1514" s="43" t="str">
        <f>IFERROR(__xludf.DUMMYFUNCTION("""COMPUTED_VALUE"""),"GV")</f>
        <v>GV</v>
      </c>
      <c r="M1514" s="43" t="str">
        <f>IFERROR(__xludf.DUMMYFUNCTION("""COMPUTED_VALUE"""),"short")</f>
        <v>short</v>
      </c>
      <c r="N1514" s="45">
        <f>IFERROR(__xludf.DUMMYFUNCTION("""COMPUTED_VALUE"""),45235.0)</f>
        <v>45235</v>
      </c>
      <c r="O1514" s="45">
        <f>IFERROR(__xludf.DUMMYFUNCTION("""COMPUTED_VALUE"""),45476.0)</f>
        <v>45476</v>
      </c>
      <c r="P1514" s="45">
        <f>IFERROR(__xludf.DUMMYFUNCTION("""COMPUTED_VALUE"""),45518.0)</f>
        <v>45518</v>
      </c>
      <c r="Q1514" s="45"/>
      <c r="R1514" s="45"/>
      <c r="S1514" s="43"/>
      <c r="T1514" s="43"/>
      <c r="U1514" s="43" t="str">
        <f>IFERROR(__xludf.DUMMYFUNCTION("""COMPUTED_VALUE"""),"Heartbeat")</f>
        <v>Heartbeat</v>
      </c>
      <c r="V1514" s="43" t="str">
        <f>IFERROR(__xludf.DUMMYFUNCTION("""COMPUTED_VALUE"""),"AIESEC in Blida")</f>
        <v>AIESEC in Blida</v>
      </c>
      <c r="W1514" s="43" t="str">
        <f>IFERROR(__xludf.DUMMYFUNCTION("""COMPUTED_VALUE"""),"2023-10-23T16:26:59Z")</f>
        <v>2023-10-23T16:26:59Z</v>
      </c>
      <c r="X1514" s="43"/>
      <c r="Y1514" s="43"/>
      <c r="Z1514" s="43"/>
    </row>
    <row r="1515" hidden="1">
      <c r="A1515" s="43" t="str">
        <f>IFERROR(__xludf.DUMMYFUNCTION("""COMPUTED_VALUE"""),"5366779_1295893")</f>
        <v>5366779_1295893</v>
      </c>
      <c r="B1515" s="43" t="str">
        <f>IFERROR(__xludf.DUMMYFUNCTION("""COMPUTED_VALUE"""),"Yulia Holub")</f>
        <v>Yulia Holub</v>
      </c>
      <c r="C1515" s="43" t="str">
        <f>IFERROR(__xludf.DUMMYFUNCTION("""COMPUTED_VALUE"""),"finished")</f>
        <v>finished</v>
      </c>
      <c r="D1515" s="43" t="str">
        <f>IFERROR(__xludf.DUMMYFUNCTION("""COMPUTED_VALUE"""),"No")</f>
        <v>No</v>
      </c>
      <c r="E1515" s="43" t="str">
        <f>IFERROR(__xludf.DUMMYFUNCTION("""COMPUTED_VALUE"""),"p_450002c279f8f136aa33a8254c4355339567e767@inbound.aiesec.org")</f>
        <v>p_450002c279f8f136aa33a8254c4355339567e767@inbound.aiesec.org</v>
      </c>
      <c r="F1515" s="43">
        <f>IFERROR(__xludf.DUMMYFUNCTION("""COMPUTED_VALUE"""),9.54539182E8)</f>
        <v>954539182</v>
      </c>
      <c r="G1515" s="43" t="str">
        <f>IFERROR(__xludf.DUMMYFUNCTION("""COMPUTED_VALUE"""),"Ukraine")</f>
        <v>Ukraine</v>
      </c>
      <c r="H1515" s="43" t="str">
        <f>IFERROR(__xludf.DUMMYFUNCTION("""COMPUTED_VALUE"""),"LVIV")</f>
        <v>LVIV</v>
      </c>
      <c r="I1515" s="43" t="str">
        <f>IFERROR(__xludf.DUMMYFUNCTION("""COMPUTED_VALUE"""),"Turkey")</f>
        <v>Turkey</v>
      </c>
      <c r="J1515" s="43" t="str">
        <f>IFERROR(__xludf.DUMMYFUNCTION("""COMPUTED_VALUE"""),"ADANA")</f>
        <v>ADANA</v>
      </c>
      <c r="K1515" s="44" t="str">
        <f>IFERROR(__xludf.DUMMYFUNCTION("""COMPUTED_VALUE"""),"https://expa.aiesec.org/opportunities/1295893")</f>
        <v>https://expa.aiesec.org/opportunities/1295893</v>
      </c>
      <c r="L1515" s="43" t="str">
        <f>IFERROR(__xludf.DUMMYFUNCTION("""COMPUTED_VALUE"""),"GV")</f>
        <v>GV</v>
      </c>
      <c r="M1515" s="43" t="str">
        <f>IFERROR(__xludf.DUMMYFUNCTION("""COMPUTED_VALUE"""),"short")</f>
        <v>short</v>
      </c>
      <c r="N1515" s="45">
        <f>IFERROR(__xludf.DUMMYFUNCTION("""COMPUTED_VALUE"""),45235.0)</f>
        <v>45235</v>
      </c>
      <c r="O1515" s="45">
        <f>IFERROR(__xludf.DUMMYFUNCTION("""COMPUTED_VALUE"""),45243.0)</f>
        <v>45243</v>
      </c>
      <c r="P1515" s="45">
        <f>IFERROR(__xludf.DUMMYFUNCTION("""COMPUTED_VALUE"""),45285.0)</f>
        <v>45285</v>
      </c>
      <c r="Q1515" s="45">
        <f>IFERROR(__xludf.DUMMYFUNCTION("""COMPUTED_VALUE"""),45257.0)</f>
        <v>45257</v>
      </c>
      <c r="R1515" s="45">
        <f>IFERROR(__xludf.DUMMYFUNCTION("""COMPUTED_VALUE"""),45299.0)</f>
        <v>45299</v>
      </c>
      <c r="S1515" s="43"/>
      <c r="T1515" s="43"/>
      <c r="U1515" s="43" t="str">
        <f>IFERROR(__xludf.DUMMYFUNCTION("""COMPUTED_VALUE"""),"Global Classroom")</f>
        <v>Global Classroom</v>
      </c>
      <c r="V1515" s="43" t="str">
        <f>IFERROR(__xludf.DUMMYFUNCTION("""COMPUTED_VALUE"""),"Lutsk ")</f>
        <v>Lutsk </v>
      </c>
      <c r="W1515" s="43" t="str">
        <f>IFERROR(__xludf.DUMMYFUNCTION("""COMPUTED_VALUE"""),"2023-11-04T13:52:29Z")</f>
        <v>2023-11-04T13:52:29Z</v>
      </c>
      <c r="X1515" s="43"/>
      <c r="Y1515" s="43"/>
      <c r="Z1515" s="43"/>
    </row>
    <row r="1516" hidden="1">
      <c r="A1516" s="43" t="str">
        <f>IFERROR(__xludf.DUMMYFUNCTION("""COMPUTED_VALUE"""),"5090245_1294584")</f>
        <v>5090245_1294584</v>
      </c>
      <c r="B1516" s="43" t="str">
        <f>IFERROR(__xludf.DUMMYFUNCTION("""COMPUTED_VALUE"""),"Khrystyna Pankiv")</f>
        <v>Khrystyna Pankiv</v>
      </c>
      <c r="C1516" s="43" t="str">
        <f>IFERROR(__xludf.DUMMYFUNCTION("""COMPUTED_VALUE"""),"approved")</f>
        <v>approved</v>
      </c>
      <c r="D1516" s="43" t="str">
        <f>IFERROR(__xludf.DUMMYFUNCTION("""COMPUTED_VALUE"""),"No")</f>
        <v>No</v>
      </c>
      <c r="E1516" s="43" t="str">
        <f>IFERROR(__xludf.DUMMYFUNCTION("""COMPUTED_VALUE"""),"p_c8b72ba892a813aa8399d87453da7c49c466515c@inbound.aiesec.org")</f>
        <v>p_c8b72ba892a813aa8399d87453da7c49c466515c@inbound.aiesec.org</v>
      </c>
      <c r="F1516" s="43"/>
      <c r="G1516" s="43" t="str">
        <f>IFERROR(__xludf.DUMMYFUNCTION("""COMPUTED_VALUE"""),"Ukraine")</f>
        <v>Ukraine</v>
      </c>
      <c r="H1516" s="43" t="str">
        <f>IFERROR(__xludf.DUMMYFUNCTION("""COMPUTED_VALUE"""),"LVIV")</f>
        <v>LVIV</v>
      </c>
      <c r="I1516" s="43" t="str">
        <f>IFERROR(__xludf.DUMMYFUNCTION("""COMPUTED_VALUE"""),"Turkey")</f>
        <v>Turkey</v>
      </c>
      <c r="J1516" s="43" t="str">
        <f>IFERROR(__xludf.DUMMYFUNCTION("""COMPUTED_VALUE"""),"ANTALYA")</f>
        <v>ANTALYA</v>
      </c>
      <c r="K1516" s="44" t="str">
        <f>IFERROR(__xludf.DUMMYFUNCTION("""COMPUTED_VALUE"""),"https://expa.aiesec.org/opportunities/1294584")</f>
        <v>https://expa.aiesec.org/opportunities/1294584</v>
      </c>
      <c r="L1516" s="43" t="str">
        <f>IFERROR(__xludf.DUMMYFUNCTION("""COMPUTED_VALUE"""),"GV")</f>
        <v>GV</v>
      </c>
      <c r="M1516" s="43" t="str">
        <f>IFERROR(__xludf.DUMMYFUNCTION("""COMPUTED_VALUE"""),"short")</f>
        <v>short</v>
      </c>
      <c r="N1516" s="45">
        <f>IFERROR(__xludf.DUMMYFUNCTION("""COMPUTED_VALUE"""),45235.0)</f>
        <v>45235</v>
      </c>
      <c r="O1516" s="45">
        <f>IFERROR(__xludf.DUMMYFUNCTION("""COMPUTED_VALUE"""),45467.0)</f>
        <v>45467</v>
      </c>
      <c r="P1516" s="45">
        <f>IFERROR(__xludf.DUMMYFUNCTION("""COMPUTED_VALUE"""),45509.0)</f>
        <v>45509</v>
      </c>
      <c r="Q1516" s="45"/>
      <c r="R1516" s="45"/>
      <c r="S1516" s="43"/>
      <c r="T1516" s="43"/>
      <c r="U1516" s="43" t="str">
        <f>IFERROR(__xludf.DUMMYFUNCTION("""COMPUTED_VALUE"""),"Youth 4 Impact")</f>
        <v>Youth 4 Impact</v>
      </c>
      <c r="V1516" s="43" t="str">
        <f>IFERROR(__xludf.DUMMYFUNCTION("""COMPUTED_VALUE"""),"-")</f>
        <v>-</v>
      </c>
      <c r="W1516" s="43" t="str">
        <f>IFERROR(__xludf.DUMMYFUNCTION("""COMPUTED_VALUE"""),"2022-08-06T11:06:55Z")</f>
        <v>2022-08-06T11:06:55Z</v>
      </c>
      <c r="X1516" s="43"/>
      <c r="Y1516" s="43"/>
      <c r="Z1516" s="43"/>
    </row>
    <row r="1517" hidden="1">
      <c r="A1517" s="43" t="str">
        <f>IFERROR(__xludf.DUMMYFUNCTION("""COMPUTED_VALUE"""),"5311941_1286326")</f>
        <v>5311941_1286326</v>
      </c>
      <c r="B1517" s="43" t="str">
        <f>IFERROR(__xludf.DUMMYFUNCTION("""COMPUTED_VALUE"""),"Iryna Skavinska")</f>
        <v>Iryna Skavinska</v>
      </c>
      <c r="C1517" s="43" t="str">
        <f>IFERROR(__xludf.DUMMYFUNCTION("""COMPUTED_VALUE"""),"approved")</f>
        <v>approved</v>
      </c>
      <c r="D1517" s="43" t="str">
        <f>IFERROR(__xludf.DUMMYFUNCTION("""COMPUTED_VALUE"""),"No")</f>
        <v>No</v>
      </c>
      <c r="E1517" s="43" t="str">
        <f>IFERROR(__xludf.DUMMYFUNCTION("""COMPUTED_VALUE"""),"p_4dd8b54ddd1d6e0d038ec024716665489fbe17b1@inbound.aiesec.org")</f>
        <v>p_4dd8b54ddd1d6e0d038ec024716665489fbe17b1@inbound.aiesec.org</v>
      </c>
      <c r="F1517" s="43">
        <f>IFERROR(__xludf.DUMMYFUNCTION("""COMPUTED_VALUE"""),9.67373317E8)</f>
        <v>967373317</v>
      </c>
      <c r="G1517" s="43" t="str">
        <f>IFERROR(__xludf.DUMMYFUNCTION("""COMPUTED_VALUE"""),"Ukraine")</f>
        <v>Ukraine</v>
      </c>
      <c r="H1517" s="43" t="str">
        <f>IFERROR(__xludf.DUMMYFUNCTION("""COMPUTED_VALUE"""),"IVANO-FRANKIVSK")</f>
        <v>IVANO-FRANKIVSK</v>
      </c>
      <c r="I1517" s="43" t="str">
        <f>IFERROR(__xludf.DUMMYFUNCTION("""COMPUTED_VALUE"""),"Turkey")</f>
        <v>Turkey</v>
      </c>
      <c r="J1517" s="43" t="str">
        <f>IFERROR(__xludf.DUMMYFUNCTION("""COMPUTED_VALUE"""),"ADANA")</f>
        <v>ADANA</v>
      </c>
      <c r="K1517" s="44" t="str">
        <f>IFERROR(__xludf.DUMMYFUNCTION("""COMPUTED_VALUE"""),"https://expa.aiesec.org/opportunities/1286326")</f>
        <v>https://expa.aiesec.org/opportunities/1286326</v>
      </c>
      <c r="L1517" s="43" t="str">
        <f>IFERROR(__xludf.DUMMYFUNCTION("""COMPUTED_VALUE"""),"GV")</f>
        <v>GV</v>
      </c>
      <c r="M1517" s="43" t="str">
        <f>IFERROR(__xludf.DUMMYFUNCTION("""COMPUTED_VALUE"""),"short")</f>
        <v>short</v>
      </c>
      <c r="N1517" s="45">
        <f>IFERROR(__xludf.DUMMYFUNCTION("""COMPUTED_VALUE"""),45235.0)</f>
        <v>45235</v>
      </c>
      <c r="O1517" s="45">
        <f>IFERROR(__xludf.DUMMYFUNCTION("""COMPUTED_VALUE"""),45523.0)</f>
        <v>45523</v>
      </c>
      <c r="P1517" s="45">
        <f>IFERROR(__xludf.DUMMYFUNCTION("""COMPUTED_VALUE"""),45565.0)</f>
        <v>45565</v>
      </c>
      <c r="Q1517" s="45"/>
      <c r="R1517" s="45"/>
      <c r="S1517" s="43"/>
      <c r="T1517" s="43"/>
      <c r="U1517" s="43" t="str">
        <f>IFERROR(__xludf.DUMMYFUNCTION("""COMPUTED_VALUE"""),"Equify")</f>
        <v>Equify</v>
      </c>
      <c r="V1517" s="43" t="str">
        <f>IFERROR(__xludf.DUMMYFUNCTION("""COMPUTED_VALUE"""),"Ivano-Frankivsk")</f>
        <v>Ivano-Frankivsk</v>
      </c>
      <c r="W1517" s="43" t="str">
        <f>IFERROR(__xludf.DUMMYFUNCTION("""COMPUTED_VALUE"""),"2023-08-29T06:00:54Z")</f>
        <v>2023-08-29T06:00:54Z</v>
      </c>
      <c r="X1517" s="43"/>
      <c r="Y1517" s="43"/>
      <c r="Z1517" s="43"/>
    </row>
    <row r="1518" hidden="1">
      <c r="A1518" s="43" t="str">
        <f>IFERROR(__xludf.DUMMYFUNCTION("""COMPUTED_VALUE"""),"5367297_1286326")</f>
        <v>5367297_1286326</v>
      </c>
      <c r="B1518" s="43" t="str">
        <f>IFERROR(__xludf.DUMMYFUNCTION("""COMPUTED_VALUE"""),"Romaniia Kotula")</f>
        <v>Romaniia Kotula</v>
      </c>
      <c r="C1518" s="43" t="str">
        <f>IFERROR(__xludf.DUMMYFUNCTION("""COMPUTED_VALUE"""),"approved")</f>
        <v>approved</v>
      </c>
      <c r="D1518" s="43" t="str">
        <f>IFERROR(__xludf.DUMMYFUNCTION("""COMPUTED_VALUE"""),"No")</f>
        <v>No</v>
      </c>
      <c r="E1518" s="43" t="str">
        <f>IFERROR(__xludf.DUMMYFUNCTION("""COMPUTED_VALUE"""),"p_f30e42b985d43d4b7ddb54fb3e868162443f3101@inbound.aiesec.org")</f>
        <v>p_f30e42b985d43d4b7ddb54fb3e868162443f3101@inbound.aiesec.org</v>
      </c>
      <c r="F1518" s="43">
        <f>IFERROR(__xludf.DUMMYFUNCTION("""COMPUTED_VALUE"""),9.58012661E8)</f>
        <v>958012661</v>
      </c>
      <c r="G1518" s="43" t="str">
        <f>IFERROR(__xludf.DUMMYFUNCTION("""COMPUTED_VALUE"""),"Ukraine")</f>
        <v>Ukraine</v>
      </c>
      <c r="H1518" s="43" t="str">
        <f>IFERROR(__xludf.DUMMYFUNCTION("""COMPUTED_VALUE"""),"IVANO-FRANKIVSK")</f>
        <v>IVANO-FRANKIVSK</v>
      </c>
      <c r="I1518" s="43" t="str">
        <f>IFERROR(__xludf.DUMMYFUNCTION("""COMPUTED_VALUE"""),"Turkey")</f>
        <v>Turkey</v>
      </c>
      <c r="J1518" s="43" t="str">
        <f>IFERROR(__xludf.DUMMYFUNCTION("""COMPUTED_VALUE"""),"ADANA")</f>
        <v>ADANA</v>
      </c>
      <c r="K1518" s="44" t="str">
        <f>IFERROR(__xludf.DUMMYFUNCTION("""COMPUTED_VALUE"""),"https://expa.aiesec.org/opportunities/1286326")</f>
        <v>https://expa.aiesec.org/opportunities/1286326</v>
      </c>
      <c r="L1518" s="43" t="str">
        <f>IFERROR(__xludf.DUMMYFUNCTION("""COMPUTED_VALUE"""),"GV")</f>
        <v>GV</v>
      </c>
      <c r="M1518" s="43" t="str">
        <f>IFERROR(__xludf.DUMMYFUNCTION("""COMPUTED_VALUE"""),"short")</f>
        <v>short</v>
      </c>
      <c r="N1518" s="45">
        <f>IFERROR(__xludf.DUMMYFUNCTION("""COMPUTED_VALUE"""),45235.0)</f>
        <v>45235</v>
      </c>
      <c r="O1518" s="45">
        <f>IFERROR(__xludf.DUMMYFUNCTION("""COMPUTED_VALUE"""),45523.0)</f>
        <v>45523</v>
      </c>
      <c r="P1518" s="45">
        <f>IFERROR(__xludf.DUMMYFUNCTION("""COMPUTED_VALUE"""),45565.0)</f>
        <v>45565</v>
      </c>
      <c r="Q1518" s="45"/>
      <c r="R1518" s="45"/>
      <c r="S1518" s="43"/>
      <c r="T1518" s="43"/>
      <c r="U1518" s="43" t="str">
        <f>IFERROR(__xludf.DUMMYFUNCTION("""COMPUTED_VALUE"""),"Equify")</f>
        <v>Equify</v>
      </c>
      <c r="V1518" s="43" t="str">
        <f>IFERROR(__xludf.DUMMYFUNCTION("""COMPUTED_VALUE"""),"Ivano-Frankivsk")</f>
        <v>Ivano-Frankivsk</v>
      </c>
      <c r="W1518" s="43" t="str">
        <f>IFERROR(__xludf.DUMMYFUNCTION("""COMPUTED_VALUE"""),"2023-11-05T19:21:09Z")</f>
        <v>2023-11-05T19:21:09Z</v>
      </c>
      <c r="X1518" s="43"/>
      <c r="Y1518" s="43"/>
      <c r="Z1518" s="43"/>
    </row>
    <row r="1519" hidden="1">
      <c r="A1519" s="43" t="str">
        <f>IFERROR(__xludf.DUMMYFUNCTION("""COMPUTED_VALUE"""),"5365257_1300056")</f>
        <v>5365257_1300056</v>
      </c>
      <c r="B1519" s="43" t="str">
        <f>IFERROR(__xludf.DUMMYFUNCTION("""COMPUTED_VALUE"""),"Cezara Andrada Popa")</f>
        <v>Cezara Andrada Popa</v>
      </c>
      <c r="C1519" s="43" t="str">
        <f>IFERROR(__xludf.DUMMYFUNCTION("""COMPUTED_VALUE"""),"approved")</f>
        <v>approved</v>
      </c>
      <c r="D1519" s="43" t="str">
        <f>IFERROR(__xludf.DUMMYFUNCTION("""COMPUTED_VALUE"""),"No")</f>
        <v>No</v>
      </c>
      <c r="E1519" s="43" t="str">
        <f>IFERROR(__xludf.DUMMYFUNCTION("""COMPUTED_VALUE"""),"p_d5931cc1963e9d8a62cf6a4857eddadf57bac417@inbound.aiesec.org")</f>
        <v>p_d5931cc1963e9d8a62cf6a4857eddadf57bac417@inbound.aiesec.org</v>
      </c>
      <c r="F1519" s="43">
        <f>IFERROR(__xludf.DUMMYFUNCTION("""COMPUTED_VALUE"""),7.42933531E8)</f>
        <v>742933531</v>
      </c>
      <c r="G1519" s="43" t="str">
        <f>IFERROR(__xludf.DUMMYFUNCTION("""COMPUTED_VALUE"""),"Romania")</f>
        <v>Romania</v>
      </c>
      <c r="H1519" s="43" t="str">
        <f>IFERROR(__xludf.DUMMYFUNCTION("""COMPUTED_VALUE"""),"Cluj-Napoca")</f>
        <v>Cluj-Napoca</v>
      </c>
      <c r="I1519" s="43" t="str">
        <f>IFERROR(__xludf.DUMMYFUNCTION("""COMPUTED_VALUE"""),"Turkey")</f>
        <v>Turkey</v>
      </c>
      <c r="J1519" s="43" t="str">
        <f>IFERROR(__xludf.DUMMYFUNCTION("""COMPUTED_VALUE"""),"ANKARA")</f>
        <v>ANKARA</v>
      </c>
      <c r="K1519" s="44" t="str">
        <f>IFERROR(__xludf.DUMMYFUNCTION("""COMPUTED_VALUE"""),"https://expa.aiesec.org/opportunities/1300056")</f>
        <v>https://expa.aiesec.org/opportunities/1300056</v>
      </c>
      <c r="L1519" s="43" t="str">
        <f>IFERROR(__xludf.DUMMYFUNCTION("""COMPUTED_VALUE"""),"GV")</f>
        <v>GV</v>
      </c>
      <c r="M1519" s="43" t="str">
        <f>IFERROR(__xludf.DUMMYFUNCTION("""COMPUTED_VALUE"""),"short")</f>
        <v>short</v>
      </c>
      <c r="N1519" s="45">
        <f>IFERROR(__xludf.DUMMYFUNCTION("""COMPUTED_VALUE"""),45236.0)</f>
        <v>45236</v>
      </c>
      <c r="O1519" s="45">
        <f>IFERROR(__xludf.DUMMYFUNCTION("""COMPUTED_VALUE"""),45467.0)</f>
        <v>45467</v>
      </c>
      <c r="P1519" s="45">
        <f>IFERROR(__xludf.DUMMYFUNCTION("""COMPUTED_VALUE"""),45509.0)</f>
        <v>45509</v>
      </c>
      <c r="Q1519" s="45"/>
      <c r="R1519" s="45"/>
      <c r="S1519" s="43"/>
      <c r="T1519" s="43"/>
      <c r="U1519" s="43" t="str">
        <f>IFERROR(__xludf.DUMMYFUNCTION("""COMPUTED_VALUE"""),"Fingerprint")</f>
        <v>Fingerprint</v>
      </c>
      <c r="V1519" s="43" t="str">
        <f>IFERROR(__xludf.DUMMYFUNCTION("""COMPUTED_VALUE"""),"Targu Mures")</f>
        <v>Targu Mures</v>
      </c>
      <c r="W1519" s="43" t="str">
        <f>IFERROR(__xludf.DUMMYFUNCTION("""COMPUTED_VALUE"""),"2023-11-01T18:53:19Z")</f>
        <v>2023-11-01T18:53:19Z</v>
      </c>
      <c r="X1519" s="43"/>
      <c r="Y1519" s="43"/>
      <c r="Z1519" s="43"/>
    </row>
    <row r="1520" hidden="1">
      <c r="A1520" s="43" t="str">
        <f>IFERROR(__xludf.DUMMYFUNCTION("""COMPUTED_VALUE"""),"5367735_1296671")</f>
        <v>5367735_1296671</v>
      </c>
      <c r="B1520" s="43" t="str">
        <f>IFERROR(__xludf.DUMMYFUNCTION("""COMPUTED_VALUE"""),"Cyrine Gharbi")</f>
        <v>Cyrine Gharbi</v>
      </c>
      <c r="C1520" s="43" t="str">
        <f>IFERROR(__xludf.DUMMYFUNCTION("""COMPUTED_VALUE"""),"approved")</f>
        <v>approved</v>
      </c>
      <c r="D1520" s="43" t="str">
        <f>IFERROR(__xludf.DUMMYFUNCTION("""COMPUTED_VALUE"""),"No")</f>
        <v>No</v>
      </c>
      <c r="E1520" s="43" t="str">
        <f>IFERROR(__xludf.DUMMYFUNCTION("""COMPUTED_VALUE"""),"p_6c6594e4a6ac2da5de7585f1a2e4ddbe4566837f@inbound.aiesec.org")</f>
        <v>p_6c6594e4a6ac2da5de7585f1a2e4ddbe4566837f@inbound.aiesec.org</v>
      </c>
      <c r="F1520" s="43">
        <f>IFERROR(__xludf.DUMMYFUNCTION("""COMPUTED_VALUE"""),5.8611614E7)</f>
        <v>58611614</v>
      </c>
      <c r="G1520" s="43" t="str">
        <f>IFERROR(__xludf.DUMMYFUNCTION("""COMPUTED_VALUE"""),"Tunisia")</f>
        <v>Tunisia</v>
      </c>
      <c r="H1520" s="43" t="str">
        <f>IFERROR(__xludf.DUMMYFUNCTION("""COMPUTED_VALUE"""),"UNIVERSITY")</f>
        <v>UNIVERSITY</v>
      </c>
      <c r="I1520" s="43" t="str">
        <f>IFERROR(__xludf.DUMMYFUNCTION("""COMPUTED_VALUE"""),"Turkey")</f>
        <v>Turkey</v>
      </c>
      <c r="J1520" s="43" t="str">
        <f>IFERROR(__xludf.DUMMYFUNCTION("""COMPUTED_VALUE"""),"BURSA")</f>
        <v>BURSA</v>
      </c>
      <c r="K1520" s="44" t="str">
        <f>IFERROR(__xludf.DUMMYFUNCTION("""COMPUTED_VALUE"""),"https://expa.aiesec.org/opportunities/1296671")</f>
        <v>https://expa.aiesec.org/opportunities/1296671</v>
      </c>
      <c r="L1520" s="43" t="str">
        <f>IFERROR(__xludf.DUMMYFUNCTION("""COMPUTED_VALUE"""),"GV")</f>
        <v>GV</v>
      </c>
      <c r="M1520" s="43" t="str">
        <f>IFERROR(__xludf.DUMMYFUNCTION("""COMPUTED_VALUE"""),"short")</f>
        <v>short</v>
      </c>
      <c r="N1520" s="45">
        <f>IFERROR(__xludf.DUMMYFUNCTION("""COMPUTED_VALUE"""),45236.0)</f>
        <v>45236</v>
      </c>
      <c r="O1520" s="45">
        <f>IFERROR(__xludf.DUMMYFUNCTION("""COMPUTED_VALUE"""),45327.0)</f>
        <v>45327</v>
      </c>
      <c r="P1520" s="45">
        <f>IFERROR(__xludf.DUMMYFUNCTION("""COMPUTED_VALUE"""),45369.0)</f>
        <v>45369</v>
      </c>
      <c r="Q1520" s="45"/>
      <c r="R1520" s="45"/>
      <c r="S1520" s="43"/>
      <c r="T1520" s="43"/>
      <c r="U1520" s="43" t="str">
        <f>IFERROR(__xludf.DUMMYFUNCTION("""COMPUTED_VALUE"""),"Youth 4 Impact")</f>
        <v>Youth 4 Impact</v>
      </c>
      <c r="V1520" s="43" t="str">
        <f>IFERROR(__xludf.DUMMYFUNCTION("""COMPUTED_VALUE"""),"FST")</f>
        <v>FST</v>
      </c>
      <c r="W1520" s="43" t="str">
        <f>IFERROR(__xludf.DUMMYFUNCTION("""COMPUTED_VALUE"""),"2023-11-06T16:18:01Z")</f>
        <v>2023-11-06T16:18:01Z</v>
      </c>
      <c r="X1520" s="43"/>
      <c r="Y1520" s="43"/>
      <c r="Z1520" s="43"/>
    </row>
    <row r="1521" hidden="1">
      <c r="A1521" s="43" t="str">
        <f>IFERROR(__xludf.DUMMYFUNCTION("""COMPUTED_VALUE"""),"5367504_1279126")</f>
        <v>5367504_1279126</v>
      </c>
      <c r="B1521" s="43" t="str">
        <f>IFERROR(__xludf.DUMMYFUNCTION("""COMPUTED_VALUE"""),"Rima Ardhaoui")</f>
        <v>Rima Ardhaoui</v>
      </c>
      <c r="C1521" s="43" t="str">
        <f>IFERROR(__xludf.DUMMYFUNCTION("""COMPUTED_VALUE"""),"approved")</f>
        <v>approved</v>
      </c>
      <c r="D1521" s="43" t="str">
        <f>IFERROR(__xludf.DUMMYFUNCTION("""COMPUTED_VALUE"""),"No")</f>
        <v>No</v>
      </c>
      <c r="E1521" s="43" t="str">
        <f>IFERROR(__xludf.DUMMYFUNCTION("""COMPUTED_VALUE"""),"p_eab74a30bae4f7390ad52615ecbe2df49e00ef42@inbound.aiesec.org")</f>
        <v>p_eab74a30bae4f7390ad52615ecbe2df49e00ef42@inbound.aiesec.org</v>
      </c>
      <c r="F1521" s="43">
        <f>IFERROR(__xludf.DUMMYFUNCTION("""COMPUTED_VALUE"""),9.5540008E7)</f>
        <v>95540008</v>
      </c>
      <c r="G1521" s="43" t="str">
        <f>IFERROR(__xludf.DUMMYFUNCTION("""COMPUTED_VALUE"""),"Tunisia")</f>
        <v>Tunisia</v>
      </c>
      <c r="H1521" s="43" t="str">
        <f>IFERROR(__xludf.DUMMYFUNCTION("""COMPUTED_VALUE"""),"BARDO")</f>
        <v>BARDO</v>
      </c>
      <c r="I1521" s="43" t="str">
        <f>IFERROR(__xludf.DUMMYFUNCTION("""COMPUTED_VALUE"""),"Turkey")</f>
        <v>Turkey</v>
      </c>
      <c r="J1521" s="43" t="str">
        <f>IFERROR(__xludf.DUMMYFUNCTION("""COMPUTED_VALUE"""),"KOCAELI")</f>
        <v>KOCAELI</v>
      </c>
      <c r="K1521" s="44" t="str">
        <f>IFERROR(__xludf.DUMMYFUNCTION("""COMPUTED_VALUE"""),"https://expa.aiesec.org/opportunities/1279126")</f>
        <v>https://expa.aiesec.org/opportunities/1279126</v>
      </c>
      <c r="L1521" s="43" t="str">
        <f>IFERROR(__xludf.DUMMYFUNCTION("""COMPUTED_VALUE"""),"GV")</f>
        <v>GV</v>
      </c>
      <c r="M1521" s="43" t="str">
        <f>IFERROR(__xludf.DUMMYFUNCTION("""COMPUTED_VALUE"""),"short")</f>
        <v>short</v>
      </c>
      <c r="N1521" s="45">
        <f>IFERROR(__xludf.DUMMYFUNCTION("""COMPUTED_VALUE"""),45236.0)</f>
        <v>45236</v>
      </c>
      <c r="O1521" s="45">
        <f>IFERROR(__xludf.DUMMYFUNCTION("""COMPUTED_VALUE"""),45481.0)</f>
        <v>45481</v>
      </c>
      <c r="P1521" s="45">
        <f>IFERROR(__xludf.DUMMYFUNCTION("""COMPUTED_VALUE"""),45523.0)</f>
        <v>45523</v>
      </c>
      <c r="Q1521" s="45"/>
      <c r="R1521" s="45"/>
      <c r="S1521" s="43"/>
      <c r="T1521" s="43"/>
      <c r="U1521" s="43" t="str">
        <f>IFERROR(__xludf.DUMMYFUNCTION("""COMPUTED_VALUE"""),"Global Classroom")</f>
        <v>Global Classroom</v>
      </c>
      <c r="V1521" s="43" t="str">
        <f>IFERROR(__xludf.DUMMYFUNCTION("""COMPUTED_VALUE"""),"ESPRIT El Ghazela ")</f>
        <v>ESPRIT El Ghazela </v>
      </c>
      <c r="W1521" s="43" t="str">
        <f>IFERROR(__xludf.DUMMYFUNCTION("""COMPUTED_VALUE"""),"2023-11-06T11:08:13Z")</f>
        <v>2023-11-06T11:08:13Z</v>
      </c>
      <c r="X1521" s="43"/>
      <c r="Y1521" s="43"/>
      <c r="Z1521" s="43"/>
    </row>
    <row r="1522" hidden="1">
      <c r="A1522" s="43" t="str">
        <f>IFERROR(__xludf.DUMMYFUNCTION("""COMPUTED_VALUE"""),"5364313_1295453")</f>
        <v>5364313_1295453</v>
      </c>
      <c r="B1522" s="43" t="str">
        <f>IFERROR(__xludf.DUMMYFUNCTION("""COMPUTED_VALUE"""),"Chaima Mzid")</f>
        <v>Chaima Mzid</v>
      </c>
      <c r="C1522" s="43" t="str">
        <f>IFERROR(__xludf.DUMMYFUNCTION("""COMPUTED_VALUE"""),"approved")</f>
        <v>approved</v>
      </c>
      <c r="D1522" s="43" t="str">
        <f>IFERROR(__xludf.DUMMYFUNCTION("""COMPUTED_VALUE"""),"No")</f>
        <v>No</v>
      </c>
      <c r="E1522" s="43" t="str">
        <f>IFERROR(__xludf.DUMMYFUNCTION("""COMPUTED_VALUE"""),"p_f4924d37c4ac723a0b2cc8907d7b290587d3dc1f@inbound.aiesec.org")</f>
        <v>p_f4924d37c4ac723a0b2cc8907d7b290587d3dc1f@inbound.aiesec.org</v>
      </c>
      <c r="F1522" s="43">
        <f>IFERROR(__xludf.DUMMYFUNCTION("""COMPUTED_VALUE"""),5.0036052E7)</f>
        <v>50036052</v>
      </c>
      <c r="G1522" s="43" t="str">
        <f>IFERROR(__xludf.DUMMYFUNCTION("""COMPUTED_VALUE"""),"Tunisia")</f>
        <v>Tunisia</v>
      </c>
      <c r="H1522" s="43" t="str">
        <f>IFERROR(__xludf.DUMMYFUNCTION("""COMPUTED_VALUE"""),"BARDO")</f>
        <v>BARDO</v>
      </c>
      <c r="I1522" s="43" t="str">
        <f>IFERROR(__xludf.DUMMYFUNCTION("""COMPUTED_VALUE"""),"Turkey")</f>
        <v>Turkey</v>
      </c>
      <c r="J1522" s="43" t="str">
        <f>IFERROR(__xludf.DUMMYFUNCTION("""COMPUTED_VALUE"""),"GAZIANTEP")</f>
        <v>GAZIANTEP</v>
      </c>
      <c r="K1522" s="44" t="str">
        <f>IFERROR(__xludf.DUMMYFUNCTION("""COMPUTED_VALUE"""),"https://expa.aiesec.org/opportunities/1295453")</f>
        <v>https://expa.aiesec.org/opportunities/1295453</v>
      </c>
      <c r="L1522" s="43" t="str">
        <f>IFERROR(__xludf.DUMMYFUNCTION("""COMPUTED_VALUE"""),"GV")</f>
        <v>GV</v>
      </c>
      <c r="M1522" s="43" t="str">
        <f>IFERROR(__xludf.DUMMYFUNCTION("""COMPUTED_VALUE"""),"short")</f>
        <v>short</v>
      </c>
      <c r="N1522" s="45">
        <f>IFERROR(__xludf.DUMMYFUNCTION("""COMPUTED_VALUE"""),45237.0)</f>
        <v>45237</v>
      </c>
      <c r="O1522" s="45">
        <f>IFERROR(__xludf.DUMMYFUNCTION("""COMPUTED_VALUE"""),45516.0)</f>
        <v>45516</v>
      </c>
      <c r="P1522" s="45">
        <f>IFERROR(__xludf.DUMMYFUNCTION("""COMPUTED_VALUE"""),45558.0)</f>
        <v>45558</v>
      </c>
      <c r="Q1522" s="45"/>
      <c r="R1522" s="45"/>
      <c r="S1522" s="43"/>
      <c r="T1522" s="43"/>
      <c r="U1522" s="43" t="str">
        <f>IFERROR(__xludf.DUMMYFUNCTION("""COMPUTED_VALUE"""),"Global Classroom")</f>
        <v>Global Classroom</v>
      </c>
      <c r="V1522" s="43" t="str">
        <f>IFERROR(__xludf.DUMMYFUNCTION("""COMPUTED_VALUE"""),"TBS")</f>
        <v>TBS</v>
      </c>
      <c r="W1522" s="43" t="str">
        <f>IFERROR(__xludf.DUMMYFUNCTION("""COMPUTED_VALUE"""),"2023-10-31T15:38:59Z")</f>
        <v>2023-10-31T15:38:59Z</v>
      </c>
      <c r="X1522" s="43"/>
      <c r="Y1522" s="43"/>
      <c r="Z1522" s="43"/>
    </row>
    <row r="1523" hidden="1">
      <c r="A1523" s="43" t="str">
        <f>IFERROR(__xludf.DUMMYFUNCTION("""COMPUTED_VALUE"""),"5337169_1297781")</f>
        <v>5337169_1297781</v>
      </c>
      <c r="B1523" s="43" t="str">
        <f>IFERROR(__xludf.DUMMYFUNCTION("""COMPUTED_VALUE"""),"Milana Tieliepova")</f>
        <v>Milana Tieliepova</v>
      </c>
      <c r="C1523" s="43" t="str">
        <f>IFERROR(__xludf.DUMMYFUNCTION("""COMPUTED_VALUE"""),"finished")</f>
        <v>finished</v>
      </c>
      <c r="D1523" s="43" t="str">
        <f>IFERROR(__xludf.DUMMYFUNCTION("""COMPUTED_VALUE"""),"No")</f>
        <v>No</v>
      </c>
      <c r="E1523" s="43" t="str">
        <f>IFERROR(__xludf.DUMMYFUNCTION("""COMPUTED_VALUE"""),"p_6cd38ce0a2db0fe524d9c9abe3d5f59c14639485@inbound.aiesec.org")</f>
        <v>p_6cd38ce0a2db0fe524d9c9abe3d5f59c14639485@inbound.aiesec.org</v>
      </c>
      <c r="F1523" s="43">
        <f>IFERROR(__xludf.DUMMYFUNCTION("""COMPUTED_VALUE"""),6.88990848E8)</f>
        <v>688990848</v>
      </c>
      <c r="G1523" s="43" t="str">
        <f>IFERROR(__xludf.DUMMYFUNCTION("""COMPUTED_VALUE"""),"Ukraine")</f>
        <v>Ukraine</v>
      </c>
      <c r="H1523" s="43" t="str">
        <f>IFERROR(__xludf.DUMMYFUNCTION("""COMPUTED_VALUE"""),"KYIV")</f>
        <v>KYIV</v>
      </c>
      <c r="I1523" s="43" t="str">
        <f>IFERROR(__xludf.DUMMYFUNCTION("""COMPUTED_VALUE"""),"Turkey")</f>
        <v>Turkey</v>
      </c>
      <c r="J1523" s="43" t="str">
        <f>IFERROR(__xludf.DUMMYFUNCTION("""COMPUTED_VALUE"""),"ADANA")</f>
        <v>ADANA</v>
      </c>
      <c r="K1523" s="44" t="str">
        <f>IFERROR(__xludf.DUMMYFUNCTION("""COMPUTED_VALUE"""),"https://expa.aiesec.org/opportunities/1297781")</f>
        <v>https://expa.aiesec.org/opportunities/1297781</v>
      </c>
      <c r="L1523" s="43" t="str">
        <f>IFERROR(__xludf.DUMMYFUNCTION("""COMPUTED_VALUE"""),"GV")</f>
        <v>GV</v>
      </c>
      <c r="M1523" s="43" t="str">
        <f>IFERROR(__xludf.DUMMYFUNCTION("""COMPUTED_VALUE"""),"short")</f>
        <v>short</v>
      </c>
      <c r="N1523" s="45">
        <f>IFERROR(__xludf.DUMMYFUNCTION("""COMPUTED_VALUE"""),45237.0)</f>
        <v>45237</v>
      </c>
      <c r="O1523" s="45">
        <f>IFERROR(__xludf.DUMMYFUNCTION("""COMPUTED_VALUE"""),45257.0)</f>
        <v>45257</v>
      </c>
      <c r="P1523" s="45">
        <f>IFERROR(__xludf.DUMMYFUNCTION("""COMPUTED_VALUE"""),45299.0)</f>
        <v>45299</v>
      </c>
      <c r="Q1523" s="45">
        <f>IFERROR(__xludf.DUMMYFUNCTION("""COMPUTED_VALUE"""),45260.0)</f>
        <v>45260</v>
      </c>
      <c r="R1523" s="45">
        <f>IFERROR(__xludf.DUMMYFUNCTION("""COMPUTED_VALUE"""),45302.0)</f>
        <v>45302</v>
      </c>
      <c r="S1523" s="43"/>
      <c r="T1523" s="43"/>
      <c r="U1523" s="43" t="str">
        <f>IFERROR(__xludf.DUMMYFUNCTION("""COMPUTED_VALUE"""),"Raise Your Voice")</f>
        <v>Raise Your Voice</v>
      </c>
      <c r="V1523" s="43" t="str">
        <f>IFERROR(__xludf.DUMMYFUNCTION("""COMPUTED_VALUE"""),"Kyiv")</f>
        <v>Kyiv</v>
      </c>
      <c r="W1523" s="43" t="str">
        <f>IFERROR(__xludf.DUMMYFUNCTION("""COMPUTED_VALUE"""),"2023-09-29T09:14:24Z")</f>
        <v>2023-09-29T09:14:24Z</v>
      </c>
      <c r="X1523" s="43"/>
      <c r="Y1523" s="43"/>
      <c r="Z1523" s="43"/>
    </row>
    <row r="1524" hidden="1">
      <c r="A1524" s="43" t="str">
        <f>IFERROR(__xludf.DUMMYFUNCTION("""COMPUTED_VALUE"""),"5148089_1296234")</f>
        <v>5148089_1296234</v>
      </c>
      <c r="B1524" s="43" t="str">
        <f>IFERROR(__xludf.DUMMYFUNCTION("""COMPUTED_VALUE"""),"Sara Bchini")</f>
        <v>Sara Bchini</v>
      </c>
      <c r="C1524" s="43" t="str">
        <f>IFERROR(__xludf.DUMMYFUNCTION("""COMPUTED_VALUE"""),"approved")</f>
        <v>approved</v>
      </c>
      <c r="D1524" s="43" t="str">
        <f>IFERROR(__xludf.DUMMYFUNCTION("""COMPUTED_VALUE"""),"No")</f>
        <v>No</v>
      </c>
      <c r="E1524" s="43" t="str">
        <f>IFERROR(__xludf.DUMMYFUNCTION("""COMPUTED_VALUE"""),"p_ebb8f233d93a99f9ad1b25652d2f6de59e0d7cca@inbound.aiesec.org")</f>
        <v>p_ebb8f233d93a99f9ad1b25652d2f6de59e0d7cca@inbound.aiesec.org</v>
      </c>
      <c r="F1524" s="43"/>
      <c r="G1524" s="43" t="str">
        <f>IFERROR(__xludf.DUMMYFUNCTION("""COMPUTED_VALUE"""),"Tunisia")</f>
        <v>Tunisia</v>
      </c>
      <c r="H1524" s="43" t="str">
        <f>IFERROR(__xludf.DUMMYFUNCTION("""COMPUTED_VALUE"""),"UNIVERSITY")</f>
        <v>UNIVERSITY</v>
      </c>
      <c r="I1524" s="43" t="str">
        <f>IFERROR(__xludf.DUMMYFUNCTION("""COMPUTED_VALUE"""),"Turkey")</f>
        <v>Turkey</v>
      </c>
      <c r="J1524" s="43" t="str">
        <f>IFERROR(__xludf.DUMMYFUNCTION("""COMPUTED_VALUE"""),"GAZIANTEP")</f>
        <v>GAZIANTEP</v>
      </c>
      <c r="K1524" s="44" t="str">
        <f>IFERROR(__xludf.DUMMYFUNCTION("""COMPUTED_VALUE"""),"https://expa.aiesec.org/opportunities/1296234")</f>
        <v>https://expa.aiesec.org/opportunities/1296234</v>
      </c>
      <c r="L1524" s="43" t="str">
        <f>IFERROR(__xludf.DUMMYFUNCTION("""COMPUTED_VALUE"""),"GV")</f>
        <v>GV</v>
      </c>
      <c r="M1524" s="43" t="str">
        <f>IFERROR(__xludf.DUMMYFUNCTION("""COMPUTED_VALUE"""),"short")</f>
        <v>short</v>
      </c>
      <c r="N1524" s="45">
        <f>IFERROR(__xludf.DUMMYFUNCTION("""COMPUTED_VALUE"""),45237.0)</f>
        <v>45237</v>
      </c>
      <c r="O1524" s="45">
        <f>IFERROR(__xludf.DUMMYFUNCTION("""COMPUTED_VALUE"""),45493.0)</f>
        <v>45493</v>
      </c>
      <c r="P1524" s="45">
        <f>IFERROR(__xludf.DUMMYFUNCTION("""COMPUTED_VALUE"""),45535.0)</f>
        <v>45535</v>
      </c>
      <c r="Q1524" s="45"/>
      <c r="R1524" s="45"/>
      <c r="S1524" s="43"/>
      <c r="T1524" s="43"/>
      <c r="U1524" s="43" t="str">
        <f>IFERROR(__xludf.DUMMYFUNCTION("""COMPUTED_VALUE"""),"Global Classroom")</f>
        <v>Global Classroom</v>
      </c>
      <c r="V1524" s="43" t="str">
        <f>IFERROR(__xludf.DUMMYFUNCTION("""COMPUTED_VALUE"""),"-")</f>
        <v>-</v>
      </c>
      <c r="W1524" s="43" t="str">
        <f>IFERROR(__xludf.DUMMYFUNCTION("""COMPUTED_VALUE"""),"2022-11-06T23:30:19Z")</f>
        <v>2022-11-06T23:30:19Z</v>
      </c>
      <c r="X1524" s="43"/>
      <c r="Y1524" s="43"/>
      <c r="Z1524" s="43"/>
    </row>
    <row r="1525" hidden="1">
      <c r="A1525" s="43" t="str">
        <f>IFERROR(__xludf.DUMMYFUNCTION("""COMPUTED_VALUE"""),"5204872_1300624")</f>
        <v>5204872_1300624</v>
      </c>
      <c r="B1525" s="43" t="str">
        <f>IFERROR(__xludf.DUMMYFUNCTION("""COMPUTED_VALUE"""),"Roksolana Kozachok")</f>
        <v>Roksolana Kozachok</v>
      </c>
      <c r="C1525" s="43" t="str">
        <f>IFERROR(__xludf.DUMMYFUNCTION("""COMPUTED_VALUE"""),"approved")</f>
        <v>approved</v>
      </c>
      <c r="D1525" s="43" t="str">
        <f>IFERROR(__xludf.DUMMYFUNCTION("""COMPUTED_VALUE"""),"No")</f>
        <v>No</v>
      </c>
      <c r="E1525" s="43" t="str">
        <f>IFERROR(__xludf.DUMMYFUNCTION("""COMPUTED_VALUE"""),"p_5010e46f07591a32b58083e1bae8bcbd62ee81b6@inbound.aiesec.org")</f>
        <v>p_5010e46f07591a32b58083e1bae8bcbd62ee81b6@inbound.aiesec.org</v>
      </c>
      <c r="F1525" s="43"/>
      <c r="G1525" s="43" t="str">
        <f>IFERROR(__xludf.DUMMYFUNCTION("""COMPUTED_VALUE"""),"Ukraine")</f>
        <v>Ukraine</v>
      </c>
      <c r="H1525" s="43" t="str">
        <f>IFERROR(__xludf.DUMMYFUNCTION("""COMPUTED_VALUE"""),"ODESA")</f>
        <v>ODESA</v>
      </c>
      <c r="I1525" s="43" t="str">
        <f>IFERROR(__xludf.DUMMYFUNCTION("""COMPUTED_VALUE"""),"Turkey")</f>
        <v>Turkey</v>
      </c>
      <c r="J1525" s="43" t="str">
        <f>IFERROR(__xludf.DUMMYFUNCTION("""COMPUTED_VALUE"""),"ESKISEHIR")</f>
        <v>ESKISEHIR</v>
      </c>
      <c r="K1525" s="44" t="str">
        <f>IFERROR(__xludf.DUMMYFUNCTION("""COMPUTED_VALUE"""),"https://expa.aiesec.org/opportunities/1300624")</f>
        <v>https://expa.aiesec.org/opportunities/1300624</v>
      </c>
      <c r="L1525" s="43" t="str">
        <f>IFERROR(__xludf.DUMMYFUNCTION("""COMPUTED_VALUE"""),"GV")</f>
        <v>GV</v>
      </c>
      <c r="M1525" s="43" t="str">
        <f>IFERROR(__xludf.DUMMYFUNCTION("""COMPUTED_VALUE"""),"short")</f>
        <v>short</v>
      </c>
      <c r="N1525" s="45">
        <f>IFERROR(__xludf.DUMMYFUNCTION("""COMPUTED_VALUE"""),45237.0)</f>
        <v>45237</v>
      </c>
      <c r="O1525" s="45">
        <f>IFERROR(__xludf.DUMMYFUNCTION("""COMPUTED_VALUE"""),45327.0)</f>
        <v>45327</v>
      </c>
      <c r="P1525" s="45">
        <f>IFERROR(__xludf.DUMMYFUNCTION("""COMPUTED_VALUE"""),45369.0)</f>
        <v>45369</v>
      </c>
      <c r="Q1525" s="45"/>
      <c r="R1525" s="45"/>
      <c r="S1525" s="43"/>
      <c r="T1525" s="43"/>
      <c r="U1525" s="43" t="str">
        <f>IFERROR(__xludf.DUMMYFUNCTION("""COMPUTED_VALUE"""),"Global Classroom")</f>
        <v>Global Classroom</v>
      </c>
      <c r="V1525" s="43" t="str">
        <f>IFERROR(__xludf.DUMMYFUNCTION("""COMPUTED_VALUE"""),"-")</f>
        <v>-</v>
      </c>
      <c r="W1525" s="43" t="str">
        <f>IFERROR(__xludf.DUMMYFUNCTION("""COMPUTED_VALUE"""),"2023-03-03T18:12:26Z")</f>
        <v>2023-03-03T18:12:26Z</v>
      </c>
      <c r="X1525" s="43"/>
      <c r="Y1525" s="43"/>
      <c r="Z1525" s="43"/>
    </row>
    <row r="1526" hidden="1">
      <c r="A1526" s="43" t="str">
        <f>IFERROR(__xludf.DUMMYFUNCTION("""COMPUTED_VALUE"""),"5353557_1300177")</f>
        <v>5353557_1300177</v>
      </c>
      <c r="B1526" s="43" t="str">
        <f>IFERROR(__xludf.DUMMYFUNCTION("""COMPUTED_VALUE"""),"Salma Metwally")</f>
        <v>Salma Metwally</v>
      </c>
      <c r="C1526" s="43" t="str">
        <f>IFERROR(__xludf.DUMMYFUNCTION("""COMPUTED_VALUE"""),"approved")</f>
        <v>approved</v>
      </c>
      <c r="D1526" s="43" t="str">
        <f>IFERROR(__xludf.DUMMYFUNCTION("""COMPUTED_VALUE"""),"No")</f>
        <v>No</v>
      </c>
      <c r="E1526" s="43" t="str">
        <f>IFERROR(__xludf.DUMMYFUNCTION("""COMPUTED_VALUE"""),"p_7c484201109b2e008cab29126431764fc1af811a@inbound.aiesec.org")</f>
        <v>p_7c484201109b2e008cab29126431764fc1af811a@inbound.aiesec.org</v>
      </c>
      <c r="F1526" s="43">
        <f>IFERROR(__xludf.DUMMYFUNCTION("""COMPUTED_VALUE"""),1.14603011E9)</f>
        <v>1146030110</v>
      </c>
      <c r="G1526" s="43" t="str">
        <f>IFERROR(__xludf.DUMMYFUNCTION("""COMPUTED_VALUE"""),"Egypt")</f>
        <v>Egypt</v>
      </c>
      <c r="H1526" s="43" t="str">
        <f>IFERROR(__xludf.DUMMYFUNCTION("""COMPUTED_VALUE"""),"MIU")</f>
        <v>MIU</v>
      </c>
      <c r="I1526" s="43" t="str">
        <f>IFERROR(__xludf.DUMMYFUNCTION("""COMPUTED_VALUE"""),"Turkey")</f>
        <v>Turkey</v>
      </c>
      <c r="J1526" s="43" t="str">
        <f>IFERROR(__xludf.DUMMYFUNCTION("""COMPUTED_VALUE"""),"TRABZON")</f>
        <v>TRABZON</v>
      </c>
      <c r="K1526" s="44" t="str">
        <f>IFERROR(__xludf.DUMMYFUNCTION("""COMPUTED_VALUE"""),"https://expa.aiesec.org/opportunities/1300177")</f>
        <v>https://expa.aiesec.org/opportunities/1300177</v>
      </c>
      <c r="L1526" s="43" t="str">
        <f>IFERROR(__xludf.DUMMYFUNCTION("""COMPUTED_VALUE"""),"GV")</f>
        <v>GV</v>
      </c>
      <c r="M1526" s="43" t="str">
        <f>IFERROR(__xludf.DUMMYFUNCTION("""COMPUTED_VALUE"""),"short")</f>
        <v>short</v>
      </c>
      <c r="N1526" s="45">
        <f>IFERROR(__xludf.DUMMYFUNCTION("""COMPUTED_VALUE"""),45238.0)</f>
        <v>45238</v>
      </c>
      <c r="O1526" s="45">
        <f>IFERROR(__xludf.DUMMYFUNCTION("""COMPUTED_VALUE"""),45516.0)</f>
        <v>45516</v>
      </c>
      <c r="P1526" s="45">
        <f>IFERROR(__xludf.DUMMYFUNCTION("""COMPUTED_VALUE"""),45558.0)</f>
        <v>45558</v>
      </c>
      <c r="Q1526" s="45"/>
      <c r="R1526" s="45"/>
      <c r="S1526" s="43"/>
      <c r="T1526" s="43"/>
      <c r="U1526" s="43" t="str">
        <f>IFERROR(__xludf.DUMMYFUNCTION("""COMPUTED_VALUE"""),"Global Classroom")</f>
        <v>Global Classroom</v>
      </c>
      <c r="V1526" s="43" t="str">
        <f>IFERROR(__xludf.DUMMYFUNCTION("""COMPUTED_VALUE"""),"CIC New Cairo")</f>
        <v>CIC New Cairo</v>
      </c>
      <c r="W1526" s="43" t="str">
        <f>IFERROR(__xludf.DUMMYFUNCTION("""COMPUTED_VALUE"""),"2023-10-17T11:45:03Z")</f>
        <v>2023-10-17T11:45:03Z</v>
      </c>
      <c r="X1526" s="43"/>
      <c r="Y1526" s="43"/>
      <c r="Z1526" s="43"/>
    </row>
    <row r="1527" hidden="1">
      <c r="A1527" s="43" t="str">
        <f>IFERROR(__xludf.DUMMYFUNCTION("""COMPUTED_VALUE"""),"5367470_1279126")</f>
        <v>5367470_1279126</v>
      </c>
      <c r="B1527" s="43" t="str">
        <f>IFERROR(__xludf.DUMMYFUNCTION("""COMPUTED_VALUE"""),"Mayssem Laalai")</f>
        <v>Mayssem Laalai</v>
      </c>
      <c r="C1527" s="43" t="str">
        <f>IFERROR(__xludf.DUMMYFUNCTION("""COMPUTED_VALUE"""),"approved")</f>
        <v>approved</v>
      </c>
      <c r="D1527" s="43" t="str">
        <f>IFERROR(__xludf.DUMMYFUNCTION("""COMPUTED_VALUE"""),"No")</f>
        <v>No</v>
      </c>
      <c r="E1527" s="43" t="str">
        <f>IFERROR(__xludf.DUMMYFUNCTION("""COMPUTED_VALUE"""),"p_b8f7ebfc7f8e429062d33b5b57756ecd86e03d0a@inbound.aiesec.org")</f>
        <v>p_b8f7ebfc7f8e429062d33b5b57756ecd86e03d0a@inbound.aiesec.org</v>
      </c>
      <c r="F1527" s="43">
        <f>IFERROR(__xludf.DUMMYFUNCTION("""COMPUTED_VALUE"""),9.4011722E7)</f>
        <v>94011722</v>
      </c>
      <c r="G1527" s="43" t="str">
        <f>IFERROR(__xludf.DUMMYFUNCTION("""COMPUTED_VALUE"""),"Tunisia")</f>
        <v>Tunisia</v>
      </c>
      <c r="H1527" s="43" t="str">
        <f>IFERROR(__xludf.DUMMYFUNCTION("""COMPUTED_VALUE"""),"BARDO")</f>
        <v>BARDO</v>
      </c>
      <c r="I1527" s="43" t="str">
        <f>IFERROR(__xludf.DUMMYFUNCTION("""COMPUTED_VALUE"""),"Turkey")</f>
        <v>Turkey</v>
      </c>
      <c r="J1527" s="43" t="str">
        <f>IFERROR(__xludf.DUMMYFUNCTION("""COMPUTED_VALUE"""),"KOCAELI")</f>
        <v>KOCAELI</v>
      </c>
      <c r="K1527" s="44" t="str">
        <f>IFERROR(__xludf.DUMMYFUNCTION("""COMPUTED_VALUE"""),"https://expa.aiesec.org/opportunities/1279126")</f>
        <v>https://expa.aiesec.org/opportunities/1279126</v>
      </c>
      <c r="L1527" s="43" t="str">
        <f>IFERROR(__xludf.DUMMYFUNCTION("""COMPUTED_VALUE"""),"GV")</f>
        <v>GV</v>
      </c>
      <c r="M1527" s="43" t="str">
        <f>IFERROR(__xludf.DUMMYFUNCTION("""COMPUTED_VALUE"""),"short")</f>
        <v>short</v>
      </c>
      <c r="N1527" s="45">
        <f>IFERROR(__xludf.DUMMYFUNCTION("""COMPUTED_VALUE"""),45238.0)</f>
        <v>45238</v>
      </c>
      <c r="O1527" s="45">
        <f>IFERROR(__xludf.DUMMYFUNCTION("""COMPUTED_VALUE"""),45481.0)</f>
        <v>45481</v>
      </c>
      <c r="P1527" s="45">
        <f>IFERROR(__xludf.DUMMYFUNCTION("""COMPUTED_VALUE"""),45523.0)</f>
        <v>45523</v>
      </c>
      <c r="Q1527" s="45"/>
      <c r="R1527" s="45"/>
      <c r="S1527" s="43"/>
      <c r="T1527" s="43"/>
      <c r="U1527" s="43" t="str">
        <f>IFERROR(__xludf.DUMMYFUNCTION("""COMPUTED_VALUE"""),"Global Classroom")</f>
        <v>Global Classroom</v>
      </c>
      <c r="V1527" s="43" t="str">
        <f>IFERROR(__xludf.DUMMYFUNCTION("""COMPUTED_VALUE"""),"ESPRIT El Ghazela ")</f>
        <v>ESPRIT El Ghazela </v>
      </c>
      <c r="W1527" s="43" t="str">
        <f>IFERROR(__xludf.DUMMYFUNCTION("""COMPUTED_VALUE"""),"2023-11-06T10:00:22Z")</f>
        <v>2023-11-06T10:00:22Z</v>
      </c>
      <c r="X1527" s="43"/>
      <c r="Y1527" s="43"/>
      <c r="Z1527" s="43"/>
    </row>
    <row r="1528" hidden="1">
      <c r="A1528" s="43" t="str">
        <f>IFERROR(__xludf.DUMMYFUNCTION("""COMPUTED_VALUE"""),"3882457_1293417")</f>
        <v>3882457_1293417</v>
      </c>
      <c r="B1528" s="43" t="str">
        <f>IFERROR(__xludf.DUMMYFUNCTION("""COMPUTED_VALUE"""),"Jimy Sanchez")</f>
        <v>Jimy Sanchez</v>
      </c>
      <c r="C1528" s="43" t="str">
        <f>IFERROR(__xludf.DUMMYFUNCTION("""COMPUTED_VALUE"""),"approved")</f>
        <v>approved</v>
      </c>
      <c r="D1528" s="43" t="str">
        <f>IFERROR(__xludf.DUMMYFUNCTION("""COMPUTED_VALUE"""),"No")</f>
        <v>No</v>
      </c>
      <c r="E1528" s="43" t="str">
        <f>IFERROR(__xludf.DUMMYFUNCTION("""COMPUTED_VALUE"""),"p_588a09a08ef63b1ff6bf1e7a62106c28f4b8e401@inbound.aiesec.org")</f>
        <v>p_588a09a08ef63b1ff6bf1e7a62106c28f4b8e401@inbound.aiesec.org</v>
      </c>
      <c r="F1528" s="43">
        <f>IFERROR(__xludf.DUMMYFUNCTION("""COMPUTED_VALUE"""),9.16390112E8)</f>
        <v>916390112</v>
      </c>
      <c r="G1528" s="43" t="str">
        <f>IFERROR(__xludf.DUMMYFUNCTION("""COMPUTED_VALUE"""),"Peru")</f>
        <v>Peru</v>
      </c>
      <c r="H1528" s="43" t="str">
        <f>IFERROR(__xludf.DUMMYFUNCTION("""COMPUTED_VALUE"""),"Cusco")</f>
        <v>Cusco</v>
      </c>
      <c r="I1528" s="43" t="str">
        <f>IFERROR(__xludf.DUMMYFUNCTION("""COMPUTED_VALUE"""),"Turkey")</f>
        <v>Turkey</v>
      </c>
      <c r="J1528" s="43" t="str">
        <f>IFERROR(__xludf.DUMMYFUNCTION("""COMPUTED_VALUE"""),"ISTANBUL")</f>
        <v>ISTANBUL</v>
      </c>
      <c r="K1528" s="44" t="str">
        <f>IFERROR(__xludf.DUMMYFUNCTION("""COMPUTED_VALUE"""),"https://expa.aiesec.org/opportunities/1293417")</f>
        <v>https://expa.aiesec.org/opportunities/1293417</v>
      </c>
      <c r="L1528" s="43" t="str">
        <f>IFERROR(__xludf.DUMMYFUNCTION("""COMPUTED_VALUE"""),"GV")</f>
        <v>GV</v>
      </c>
      <c r="M1528" s="43" t="str">
        <f>IFERROR(__xludf.DUMMYFUNCTION("""COMPUTED_VALUE"""),"short")</f>
        <v>short</v>
      </c>
      <c r="N1528" s="45">
        <f>IFERROR(__xludf.DUMMYFUNCTION("""COMPUTED_VALUE"""),45238.0)</f>
        <v>45238</v>
      </c>
      <c r="O1528" s="45">
        <f>IFERROR(__xludf.DUMMYFUNCTION("""COMPUTED_VALUE"""),45252.0)</f>
        <v>45252</v>
      </c>
      <c r="P1528" s="45">
        <f>IFERROR(__xludf.DUMMYFUNCTION("""COMPUTED_VALUE"""),45294.0)</f>
        <v>45294</v>
      </c>
      <c r="Q1528" s="45"/>
      <c r="R1528" s="45"/>
      <c r="S1528" s="43"/>
      <c r="T1528" s="43"/>
      <c r="U1528" s="43" t="str">
        <f>IFERROR(__xludf.DUMMYFUNCTION("""COMPUTED_VALUE"""),"Global Classroom")</f>
        <v>Global Classroom</v>
      </c>
      <c r="V1528" s="43" t="str">
        <f>IFERROR(__xludf.DUMMYFUNCTION("""COMPUTED_VALUE"""),"Cusco - Universidad Andina del Cusco")</f>
        <v>Cusco - Universidad Andina del Cusco</v>
      </c>
      <c r="W1528" s="43" t="str">
        <f>IFERROR(__xludf.DUMMYFUNCTION("""COMPUTED_VALUE"""),"2019-10-08T20:00:05Z")</f>
        <v>2019-10-08T20:00:05Z</v>
      </c>
      <c r="X1528" s="43"/>
      <c r="Y1528" s="43"/>
      <c r="Z1528" s="43"/>
    </row>
    <row r="1529" hidden="1">
      <c r="A1529" s="43" t="str">
        <f>IFERROR(__xludf.DUMMYFUNCTION("""COMPUTED_VALUE"""),"5326926_1300841")</f>
        <v>5326926_1300841</v>
      </c>
      <c r="B1529" s="43" t="str">
        <f>IFERROR(__xludf.DUMMYFUNCTION("""COMPUTED_VALUE"""),"Oumaïma Banani")</f>
        <v>Oumaïma Banani</v>
      </c>
      <c r="C1529" s="43" t="str">
        <f>IFERROR(__xludf.DUMMYFUNCTION("""COMPUTED_VALUE"""),"approved")</f>
        <v>approved</v>
      </c>
      <c r="D1529" s="43" t="str">
        <f>IFERROR(__xludf.DUMMYFUNCTION("""COMPUTED_VALUE"""),"No")</f>
        <v>No</v>
      </c>
      <c r="E1529" s="43" t="str">
        <f>IFERROR(__xludf.DUMMYFUNCTION("""COMPUTED_VALUE"""),"p_84e3fd96efb7bdfc0842f0126c58f4899cbe07d3@inbound.aiesec.org")</f>
        <v>p_84e3fd96efb7bdfc0842f0126c58f4899cbe07d3@inbound.aiesec.org</v>
      </c>
      <c r="F1529" s="43">
        <f>IFERROR(__xludf.DUMMYFUNCTION("""COMPUTED_VALUE"""),6.22385595E8)</f>
        <v>622385595</v>
      </c>
      <c r="G1529" s="43" t="str">
        <f>IFERROR(__xludf.DUMMYFUNCTION("""COMPUTED_VALUE"""),"Morocco")</f>
        <v>Morocco</v>
      </c>
      <c r="H1529" s="43" t="str">
        <f>IFERROR(__xludf.DUMMYFUNCTION("""COMPUTED_VALUE"""),"Ifrane")</f>
        <v>Ifrane</v>
      </c>
      <c r="I1529" s="43" t="str">
        <f>IFERROR(__xludf.DUMMYFUNCTION("""COMPUTED_VALUE"""),"Turkey")</f>
        <v>Turkey</v>
      </c>
      <c r="J1529" s="43" t="str">
        <f>IFERROR(__xludf.DUMMYFUNCTION("""COMPUTED_VALUE"""),"KUTAHYA")</f>
        <v>KUTAHYA</v>
      </c>
      <c r="K1529" s="44" t="str">
        <f>IFERROR(__xludf.DUMMYFUNCTION("""COMPUTED_VALUE"""),"https://expa.aiesec.org/opportunities/1300841")</f>
        <v>https://expa.aiesec.org/opportunities/1300841</v>
      </c>
      <c r="L1529" s="43" t="str">
        <f>IFERROR(__xludf.DUMMYFUNCTION("""COMPUTED_VALUE"""),"GV")</f>
        <v>GV</v>
      </c>
      <c r="M1529" s="43" t="str">
        <f>IFERROR(__xludf.DUMMYFUNCTION("""COMPUTED_VALUE"""),"short")</f>
        <v>short</v>
      </c>
      <c r="N1529" s="45">
        <f>IFERROR(__xludf.DUMMYFUNCTION("""COMPUTED_VALUE"""),45238.0)</f>
        <v>45238</v>
      </c>
      <c r="O1529" s="45">
        <f>IFERROR(__xludf.DUMMYFUNCTION("""COMPUTED_VALUE"""),45432.0)</f>
        <v>45432</v>
      </c>
      <c r="P1529" s="45">
        <f>IFERROR(__xludf.DUMMYFUNCTION("""COMPUTED_VALUE"""),45474.0)</f>
        <v>45474</v>
      </c>
      <c r="Q1529" s="45"/>
      <c r="R1529" s="45"/>
      <c r="S1529" s="43"/>
      <c r="T1529" s="43"/>
      <c r="U1529" s="43" t="str">
        <f>IFERROR(__xludf.DUMMYFUNCTION("""COMPUTED_VALUE"""),"Green Leaders")</f>
        <v>Green Leaders</v>
      </c>
      <c r="V1529" s="43" t="str">
        <f>IFERROR(__xludf.DUMMYFUNCTION("""COMPUTED_VALUE"""),"AL Akhawayn University - AUI")</f>
        <v>AL Akhawayn University - AUI</v>
      </c>
      <c r="W1529" s="43" t="str">
        <f>IFERROR(__xludf.DUMMYFUNCTION("""COMPUTED_VALUE"""),"2023-09-18T18:38:46Z")</f>
        <v>2023-09-18T18:38:46Z</v>
      </c>
      <c r="X1529" s="43"/>
      <c r="Y1529" s="43"/>
      <c r="Z1529" s="43"/>
    </row>
    <row r="1530" hidden="1">
      <c r="A1530" s="43" t="str">
        <f>IFERROR(__xludf.DUMMYFUNCTION("""COMPUTED_VALUE"""),"5164735_1288490")</f>
        <v>5164735_1288490</v>
      </c>
      <c r="B1530" s="43" t="str">
        <f>IFERROR(__xludf.DUMMYFUNCTION("""COMPUTED_VALUE"""),"Duangamol Photarakul")</f>
        <v>Duangamol Photarakul</v>
      </c>
      <c r="C1530" s="43" t="str">
        <f>IFERROR(__xludf.DUMMYFUNCTION("""COMPUTED_VALUE"""),"finished")</f>
        <v>finished</v>
      </c>
      <c r="D1530" s="43" t="str">
        <f>IFERROR(__xludf.DUMMYFUNCTION("""COMPUTED_VALUE"""),"No")</f>
        <v>No</v>
      </c>
      <c r="E1530" s="43" t="str">
        <f>IFERROR(__xludf.DUMMYFUNCTION("""COMPUTED_VALUE"""),"p_c99cb7c6316004e492997d41c9979c38a35c671a@inbound.aiesec.org")</f>
        <v>p_c99cb7c6316004e492997d41c9979c38a35c671a@inbound.aiesec.org</v>
      </c>
      <c r="F1530" s="43">
        <f>IFERROR(__xludf.DUMMYFUNCTION("""COMPUTED_VALUE"""),9.85058802E8)</f>
        <v>985058802</v>
      </c>
      <c r="G1530" s="43" t="str">
        <f>IFERROR(__xludf.DUMMYFUNCTION("""COMPUTED_VALUE"""),"Thailand")</f>
        <v>Thailand</v>
      </c>
      <c r="H1530" s="43" t="str">
        <f>IFERROR(__xludf.DUMMYFUNCTION("""COMPUTED_VALUE"""),"Chulalongkorn University")</f>
        <v>Chulalongkorn University</v>
      </c>
      <c r="I1530" s="43" t="str">
        <f>IFERROR(__xludf.DUMMYFUNCTION("""COMPUTED_VALUE"""),"Turkey")</f>
        <v>Turkey</v>
      </c>
      <c r="J1530" s="43" t="str">
        <f>IFERROR(__xludf.DUMMYFUNCTION("""COMPUTED_VALUE"""),"ISPARTA")</f>
        <v>ISPARTA</v>
      </c>
      <c r="K1530" s="44" t="str">
        <f>IFERROR(__xludf.DUMMYFUNCTION("""COMPUTED_VALUE"""),"https://expa.aiesec.org/opportunities/1288490")</f>
        <v>https://expa.aiesec.org/opportunities/1288490</v>
      </c>
      <c r="L1530" s="43" t="str">
        <f>IFERROR(__xludf.DUMMYFUNCTION("""COMPUTED_VALUE"""),"GV")</f>
        <v>GV</v>
      </c>
      <c r="M1530" s="43" t="str">
        <f>IFERROR(__xludf.DUMMYFUNCTION("""COMPUTED_VALUE"""),"short")</f>
        <v>short</v>
      </c>
      <c r="N1530" s="45">
        <f>IFERROR(__xludf.DUMMYFUNCTION("""COMPUTED_VALUE"""),45238.0)</f>
        <v>45238</v>
      </c>
      <c r="O1530" s="45">
        <f>IFERROR(__xludf.DUMMYFUNCTION("""COMPUTED_VALUE"""),45278.0)</f>
        <v>45278</v>
      </c>
      <c r="P1530" s="45">
        <f>IFERROR(__xludf.DUMMYFUNCTION("""COMPUTED_VALUE"""),45320.0)</f>
        <v>45320</v>
      </c>
      <c r="Q1530" s="45">
        <f>IFERROR(__xludf.DUMMYFUNCTION("""COMPUTED_VALUE"""),45277.0)</f>
        <v>45277</v>
      </c>
      <c r="R1530" s="45">
        <f>IFERROR(__xludf.DUMMYFUNCTION("""COMPUTED_VALUE"""),45320.0)</f>
        <v>45320</v>
      </c>
      <c r="S1530" s="43"/>
      <c r="T1530" s="43"/>
      <c r="U1530" s="43" t="str">
        <f>IFERROR(__xludf.DUMMYFUNCTION("""COMPUTED_VALUE"""),"Global Classroom")</f>
        <v>Global Classroom</v>
      </c>
      <c r="V1530" s="43" t="str">
        <f>IFERROR(__xludf.DUMMYFUNCTION("""COMPUTED_VALUE"""),"Chulalongkorn University")</f>
        <v>Chulalongkorn University</v>
      </c>
      <c r="W1530" s="43" t="str">
        <f>IFERROR(__xludf.DUMMYFUNCTION("""COMPUTED_VALUE"""),"2022-12-10T03:41:13Z")</f>
        <v>2022-12-10T03:41:13Z</v>
      </c>
      <c r="X1530" s="43"/>
      <c r="Y1530" s="43"/>
      <c r="Z1530" s="43"/>
    </row>
    <row r="1531" hidden="1">
      <c r="A1531" s="43" t="str">
        <f>IFERROR(__xludf.DUMMYFUNCTION("""COMPUTED_VALUE"""),"5369342_1286034")</f>
        <v>5369342_1286034</v>
      </c>
      <c r="B1531" s="43" t="str">
        <f>IFERROR(__xludf.DUMMYFUNCTION("""COMPUTED_VALUE"""),"omar bouhaja")</f>
        <v>omar bouhaja</v>
      </c>
      <c r="C1531" s="43" t="str">
        <f>IFERROR(__xludf.DUMMYFUNCTION("""COMPUTED_VALUE"""),"approved")</f>
        <v>approved</v>
      </c>
      <c r="D1531" s="43" t="str">
        <f>IFERROR(__xludf.DUMMYFUNCTION("""COMPUTED_VALUE"""),"No")</f>
        <v>No</v>
      </c>
      <c r="E1531" s="43" t="str">
        <f>IFERROR(__xludf.DUMMYFUNCTION("""COMPUTED_VALUE"""),"p_0e724d0d994fa1561fd03c467c180d228983ba76@inbound.aiesec.org")</f>
        <v>p_0e724d0d994fa1561fd03c467c180d228983ba76@inbound.aiesec.org</v>
      </c>
      <c r="F1531" s="43">
        <f>IFERROR(__xludf.DUMMYFUNCTION("""COMPUTED_VALUE"""),2.9637858E7)</f>
        <v>29637858</v>
      </c>
      <c r="G1531" s="43" t="str">
        <f>IFERROR(__xludf.DUMMYFUNCTION("""COMPUTED_VALUE"""),"Tunisia")</f>
        <v>Tunisia</v>
      </c>
      <c r="H1531" s="43" t="str">
        <f>IFERROR(__xludf.DUMMYFUNCTION("""COMPUTED_VALUE"""),"BARDO")</f>
        <v>BARDO</v>
      </c>
      <c r="I1531" s="43" t="str">
        <f>IFERROR(__xludf.DUMMYFUNCTION("""COMPUTED_VALUE"""),"Turkey")</f>
        <v>Turkey</v>
      </c>
      <c r="J1531" s="43" t="str">
        <f>IFERROR(__xludf.DUMMYFUNCTION("""COMPUTED_VALUE"""),"ANTALYA")</f>
        <v>ANTALYA</v>
      </c>
      <c r="K1531" s="44" t="str">
        <f>IFERROR(__xludf.DUMMYFUNCTION("""COMPUTED_VALUE"""),"https://expa.aiesec.org/opportunities/1286034")</f>
        <v>https://expa.aiesec.org/opportunities/1286034</v>
      </c>
      <c r="L1531" s="43" t="str">
        <f>IFERROR(__xludf.DUMMYFUNCTION("""COMPUTED_VALUE"""),"GV")</f>
        <v>GV</v>
      </c>
      <c r="M1531" s="43" t="str">
        <f>IFERROR(__xludf.DUMMYFUNCTION("""COMPUTED_VALUE"""),"short")</f>
        <v>short</v>
      </c>
      <c r="N1531" s="45">
        <f>IFERROR(__xludf.DUMMYFUNCTION("""COMPUTED_VALUE"""),45239.0)</f>
        <v>45239</v>
      </c>
      <c r="O1531" s="45">
        <f>IFERROR(__xludf.DUMMYFUNCTION("""COMPUTED_VALUE"""),45474.0)</f>
        <v>45474</v>
      </c>
      <c r="P1531" s="45">
        <f>IFERROR(__xludf.DUMMYFUNCTION("""COMPUTED_VALUE"""),45516.0)</f>
        <v>45516</v>
      </c>
      <c r="Q1531" s="45"/>
      <c r="R1531" s="45"/>
      <c r="S1531" s="43"/>
      <c r="T1531" s="43"/>
      <c r="U1531" s="43" t="str">
        <f>IFERROR(__xludf.DUMMYFUNCTION("""COMPUTED_VALUE"""),"Global Classroom")</f>
        <v>Global Classroom</v>
      </c>
      <c r="V1531" s="43" t="str">
        <f>IFERROR(__xludf.DUMMYFUNCTION("""COMPUTED_VALUE"""),"ESPRIT El Ghazela ")</f>
        <v>ESPRIT El Ghazela </v>
      </c>
      <c r="W1531" s="43" t="str">
        <f>IFERROR(__xludf.DUMMYFUNCTION("""COMPUTED_VALUE"""),"2023-11-08T22:07:39Z")</f>
        <v>2023-11-08T22:07:39Z</v>
      </c>
      <c r="X1531" s="43"/>
      <c r="Y1531" s="43"/>
      <c r="Z1531" s="43"/>
    </row>
    <row r="1532" hidden="1">
      <c r="A1532" s="43" t="str">
        <f>IFERROR(__xludf.DUMMYFUNCTION("""COMPUTED_VALUE"""),"5369555_1286326")</f>
        <v>5369555_1286326</v>
      </c>
      <c r="B1532" s="43" t="str">
        <f>IFERROR(__xludf.DUMMYFUNCTION("""COMPUTED_VALUE"""),"Ameni Abdaoui")</f>
        <v>Ameni Abdaoui</v>
      </c>
      <c r="C1532" s="43" t="str">
        <f>IFERROR(__xludf.DUMMYFUNCTION("""COMPUTED_VALUE"""),"approved")</f>
        <v>approved</v>
      </c>
      <c r="D1532" s="43" t="str">
        <f>IFERROR(__xludf.DUMMYFUNCTION("""COMPUTED_VALUE"""),"No")</f>
        <v>No</v>
      </c>
      <c r="E1532" s="43" t="str">
        <f>IFERROR(__xludf.DUMMYFUNCTION("""COMPUTED_VALUE"""),"p_3549178d16148e3cc918a8145aa2d6127e895e7e@inbound.aiesec.org")</f>
        <v>p_3549178d16148e3cc918a8145aa2d6127e895e7e@inbound.aiesec.org</v>
      </c>
      <c r="F1532" s="43">
        <f>IFERROR(__xludf.DUMMYFUNCTION("""COMPUTED_VALUE"""),2.4084129E7)</f>
        <v>24084129</v>
      </c>
      <c r="G1532" s="43" t="str">
        <f>IFERROR(__xludf.DUMMYFUNCTION("""COMPUTED_VALUE"""),"Tunisia")</f>
        <v>Tunisia</v>
      </c>
      <c r="H1532" s="43" t="str">
        <f>IFERROR(__xludf.DUMMYFUNCTION("""COMPUTED_VALUE"""),"HADRUMET")</f>
        <v>HADRUMET</v>
      </c>
      <c r="I1532" s="43" t="str">
        <f>IFERROR(__xludf.DUMMYFUNCTION("""COMPUTED_VALUE"""),"Turkey")</f>
        <v>Turkey</v>
      </c>
      <c r="J1532" s="43" t="str">
        <f>IFERROR(__xludf.DUMMYFUNCTION("""COMPUTED_VALUE"""),"ADANA")</f>
        <v>ADANA</v>
      </c>
      <c r="K1532" s="44" t="str">
        <f>IFERROR(__xludf.DUMMYFUNCTION("""COMPUTED_VALUE"""),"https://expa.aiesec.org/opportunities/1286326")</f>
        <v>https://expa.aiesec.org/opportunities/1286326</v>
      </c>
      <c r="L1532" s="43" t="str">
        <f>IFERROR(__xludf.DUMMYFUNCTION("""COMPUTED_VALUE"""),"GV")</f>
        <v>GV</v>
      </c>
      <c r="M1532" s="43" t="str">
        <f>IFERROR(__xludf.DUMMYFUNCTION("""COMPUTED_VALUE"""),"short")</f>
        <v>short</v>
      </c>
      <c r="N1532" s="45">
        <f>IFERROR(__xludf.DUMMYFUNCTION("""COMPUTED_VALUE"""),45239.0)</f>
        <v>45239</v>
      </c>
      <c r="O1532" s="45">
        <f>IFERROR(__xludf.DUMMYFUNCTION("""COMPUTED_VALUE"""),45453.0)</f>
        <v>45453</v>
      </c>
      <c r="P1532" s="45">
        <f>IFERROR(__xludf.DUMMYFUNCTION("""COMPUTED_VALUE"""),45495.0)</f>
        <v>45495</v>
      </c>
      <c r="Q1532" s="45"/>
      <c r="R1532" s="45"/>
      <c r="S1532" s="43"/>
      <c r="T1532" s="43"/>
      <c r="U1532" s="43" t="str">
        <f>IFERROR(__xludf.DUMMYFUNCTION("""COMPUTED_VALUE"""),"Equify")</f>
        <v>Equify</v>
      </c>
      <c r="V1532" s="43" t="str">
        <f>IFERROR(__xludf.DUMMYFUNCTION("""COMPUTED_VALUE"""),"ISBAS")</f>
        <v>ISBAS</v>
      </c>
      <c r="W1532" s="43" t="str">
        <f>IFERROR(__xludf.DUMMYFUNCTION("""COMPUTED_VALUE"""),"2023-11-09T09:14:21Z")</f>
        <v>2023-11-09T09:14:21Z</v>
      </c>
      <c r="X1532" s="43"/>
      <c r="Y1532" s="43"/>
      <c r="Z1532" s="43"/>
    </row>
    <row r="1533" hidden="1">
      <c r="A1533" s="43" t="str">
        <f>IFERROR(__xludf.DUMMYFUNCTION("""COMPUTED_VALUE"""),"5368250_1297781")</f>
        <v>5368250_1297781</v>
      </c>
      <c r="B1533" s="43" t="str">
        <f>IFERROR(__xludf.DUMMYFUNCTION("""COMPUTED_VALUE"""),"Alina Velychko")</f>
        <v>Alina Velychko</v>
      </c>
      <c r="C1533" s="43" t="str">
        <f>IFERROR(__xludf.DUMMYFUNCTION("""COMPUTED_VALUE"""),"finished")</f>
        <v>finished</v>
      </c>
      <c r="D1533" s="43" t="str">
        <f>IFERROR(__xludf.DUMMYFUNCTION("""COMPUTED_VALUE"""),"No")</f>
        <v>No</v>
      </c>
      <c r="E1533" s="43" t="str">
        <f>IFERROR(__xludf.DUMMYFUNCTION("""COMPUTED_VALUE"""),"p_a30f62b0cc02eeb96b056a13ef2f47b63046faf0@inbound.aiesec.org")</f>
        <v>p_a30f62b0cc02eeb96b056a13ef2f47b63046faf0@inbound.aiesec.org</v>
      </c>
      <c r="F1533" s="43">
        <f>IFERROR(__xludf.DUMMYFUNCTION("""COMPUTED_VALUE"""),6.84744998E8)</f>
        <v>684744998</v>
      </c>
      <c r="G1533" s="43" t="str">
        <f>IFERROR(__xludf.DUMMYFUNCTION("""COMPUTED_VALUE"""),"Ukraine")</f>
        <v>Ukraine</v>
      </c>
      <c r="H1533" s="43" t="str">
        <f>IFERROR(__xludf.DUMMYFUNCTION("""COMPUTED_VALUE"""),"KYIV")</f>
        <v>KYIV</v>
      </c>
      <c r="I1533" s="43" t="str">
        <f>IFERROR(__xludf.DUMMYFUNCTION("""COMPUTED_VALUE"""),"Turkey")</f>
        <v>Turkey</v>
      </c>
      <c r="J1533" s="43" t="str">
        <f>IFERROR(__xludf.DUMMYFUNCTION("""COMPUTED_VALUE"""),"ADANA")</f>
        <v>ADANA</v>
      </c>
      <c r="K1533" s="44" t="str">
        <f>IFERROR(__xludf.DUMMYFUNCTION("""COMPUTED_VALUE"""),"https://expa.aiesec.org/opportunities/1297781")</f>
        <v>https://expa.aiesec.org/opportunities/1297781</v>
      </c>
      <c r="L1533" s="43" t="str">
        <f>IFERROR(__xludf.DUMMYFUNCTION("""COMPUTED_VALUE"""),"GV")</f>
        <v>GV</v>
      </c>
      <c r="M1533" s="43" t="str">
        <f>IFERROR(__xludf.DUMMYFUNCTION("""COMPUTED_VALUE"""),"short")</f>
        <v>short</v>
      </c>
      <c r="N1533" s="45">
        <f>IFERROR(__xludf.DUMMYFUNCTION("""COMPUTED_VALUE"""),45239.0)</f>
        <v>45239</v>
      </c>
      <c r="O1533" s="45">
        <f>IFERROR(__xludf.DUMMYFUNCTION("""COMPUTED_VALUE"""),45257.0)</f>
        <v>45257</v>
      </c>
      <c r="P1533" s="45">
        <f>IFERROR(__xludf.DUMMYFUNCTION("""COMPUTED_VALUE"""),45299.0)</f>
        <v>45299</v>
      </c>
      <c r="Q1533" s="45">
        <f>IFERROR(__xludf.DUMMYFUNCTION("""COMPUTED_VALUE"""),45260.0)</f>
        <v>45260</v>
      </c>
      <c r="R1533" s="45">
        <f>IFERROR(__xludf.DUMMYFUNCTION("""COMPUTED_VALUE"""),45302.0)</f>
        <v>45302</v>
      </c>
      <c r="S1533" s="43"/>
      <c r="T1533" s="43"/>
      <c r="U1533" s="43" t="str">
        <f>IFERROR(__xludf.DUMMYFUNCTION("""COMPUTED_VALUE"""),"Raise Your Voice")</f>
        <v>Raise Your Voice</v>
      </c>
      <c r="V1533" s="43" t="str">
        <f>IFERROR(__xludf.DUMMYFUNCTION("""COMPUTED_VALUE"""),"Kyiv")</f>
        <v>Kyiv</v>
      </c>
      <c r="W1533" s="43" t="str">
        <f>IFERROR(__xludf.DUMMYFUNCTION("""COMPUTED_VALUE"""),"2023-11-07T13:14:32Z")</f>
        <v>2023-11-07T13:14:32Z</v>
      </c>
      <c r="X1533" s="43"/>
      <c r="Y1533" s="43"/>
      <c r="Z1533" s="43"/>
    </row>
    <row r="1534" hidden="1">
      <c r="A1534" s="43" t="str">
        <f>IFERROR(__xludf.DUMMYFUNCTION("""COMPUTED_VALUE"""),"5342322_1298612")</f>
        <v>5342322_1298612</v>
      </c>
      <c r="B1534" s="43" t="str">
        <f>IFERROR(__xludf.DUMMYFUNCTION("""COMPUTED_VALUE"""),"Emanuel Herrera Alvarez")</f>
        <v>Emanuel Herrera Alvarez</v>
      </c>
      <c r="C1534" s="43" t="str">
        <f>IFERROR(__xludf.DUMMYFUNCTION("""COMPUTED_VALUE"""),"realized")</f>
        <v>realized</v>
      </c>
      <c r="D1534" s="43" t="str">
        <f>IFERROR(__xludf.DUMMYFUNCTION("""COMPUTED_VALUE"""),"No")</f>
        <v>No</v>
      </c>
      <c r="E1534" s="43" t="str">
        <f>IFERROR(__xludf.DUMMYFUNCTION("""COMPUTED_VALUE"""),"p_249c3782b4f29a0e308143bce218a39d764011e4@inbound.aiesec.org")</f>
        <v>p_249c3782b4f29a0e308143bce218a39d764011e4@inbound.aiesec.org</v>
      </c>
      <c r="F1534" s="43">
        <f>IFERROR(__xludf.DUMMYFUNCTION("""COMPUTED_VALUE"""),3.195688618E9)</f>
        <v>3195688618</v>
      </c>
      <c r="G1534" s="43" t="str">
        <f>IFERROR(__xludf.DUMMYFUNCTION("""COMPUTED_VALUE"""),"Colombia")</f>
        <v>Colombia</v>
      </c>
      <c r="H1534" s="43" t="str">
        <f>IFERROR(__xludf.DUMMYFUNCTION("""COMPUTED_VALUE"""),"CENTRAL")</f>
        <v>CENTRAL</v>
      </c>
      <c r="I1534" s="43" t="str">
        <f>IFERROR(__xludf.DUMMYFUNCTION("""COMPUTED_VALUE"""),"Turkey")</f>
        <v>Turkey</v>
      </c>
      <c r="J1534" s="43" t="str">
        <f>IFERROR(__xludf.DUMMYFUNCTION("""COMPUTED_VALUE"""),"ISTANBUL ASIA")</f>
        <v>ISTANBUL ASIA</v>
      </c>
      <c r="K1534" s="44" t="str">
        <f>IFERROR(__xludf.DUMMYFUNCTION("""COMPUTED_VALUE"""),"https://expa.aiesec.org/opportunities/1298612")</f>
        <v>https://expa.aiesec.org/opportunities/1298612</v>
      </c>
      <c r="L1534" s="43" t="str">
        <f>IFERROR(__xludf.DUMMYFUNCTION("""COMPUTED_VALUE"""),"GV")</f>
        <v>GV</v>
      </c>
      <c r="M1534" s="43" t="str">
        <f>IFERROR(__xludf.DUMMYFUNCTION("""COMPUTED_VALUE"""),"short")</f>
        <v>short</v>
      </c>
      <c r="N1534" s="45">
        <f>IFERROR(__xludf.DUMMYFUNCTION("""COMPUTED_VALUE"""),45239.0)</f>
        <v>45239</v>
      </c>
      <c r="O1534" s="45">
        <f>IFERROR(__xludf.DUMMYFUNCTION("""COMPUTED_VALUE"""),45297.0)</f>
        <v>45297</v>
      </c>
      <c r="P1534" s="45">
        <f>IFERROR(__xludf.DUMMYFUNCTION("""COMPUTED_VALUE"""),45339.0)</f>
        <v>45339</v>
      </c>
      <c r="Q1534" s="45">
        <f>IFERROR(__xludf.DUMMYFUNCTION("""COMPUTED_VALUE"""),45297.0)</f>
        <v>45297</v>
      </c>
      <c r="R1534" s="45">
        <f>IFERROR(__xludf.DUMMYFUNCTION("""COMPUTED_VALUE"""),45339.0)</f>
        <v>45339</v>
      </c>
      <c r="S1534" s="43"/>
      <c r="T1534" s="43"/>
      <c r="U1534" s="43" t="str">
        <f>IFERROR(__xludf.DUMMYFUNCTION("""COMPUTED_VALUE"""),"Eat 4 Change")</f>
        <v>Eat 4 Change</v>
      </c>
      <c r="V1534" s="43" t="str">
        <f>IFERROR(__xludf.DUMMYFUNCTION("""COMPUTED_VALUE"""),"Bogotá - Universidad Central")</f>
        <v>Bogotá - Universidad Central</v>
      </c>
      <c r="W1534" s="43" t="str">
        <f>IFERROR(__xludf.DUMMYFUNCTION("""COMPUTED_VALUE"""),"2023-10-04T13:10:09Z")</f>
        <v>2023-10-04T13:10:09Z</v>
      </c>
      <c r="X1534" s="43"/>
      <c r="Y1534" s="43"/>
      <c r="Z1534" s="43"/>
    </row>
    <row r="1535" hidden="1">
      <c r="A1535" s="43" t="str">
        <f>IFERROR(__xludf.DUMMYFUNCTION("""COMPUTED_VALUE"""),"5366978_1300624")</f>
        <v>5366978_1300624</v>
      </c>
      <c r="B1535" s="43" t="str">
        <f>IFERROR(__xludf.DUMMYFUNCTION("""COMPUTED_VALUE"""),"fatma hussien")</f>
        <v>fatma hussien</v>
      </c>
      <c r="C1535" s="43" t="str">
        <f>IFERROR(__xludf.DUMMYFUNCTION("""COMPUTED_VALUE"""),"approved")</f>
        <v>approved</v>
      </c>
      <c r="D1535" s="43" t="str">
        <f>IFERROR(__xludf.DUMMYFUNCTION("""COMPUTED_VALUE"""),"No")</f>
        <v>No</v>
      </c>
      <c r="E1535" s="43" t="str">
        <f>IFERROR(__xludf.DUMMYFUNCTION("""COMPUTED_VALUE"""),"p_4e2ae1955dd91ca43de2e655f7f3bea9029001d8@inbound.aiesec.org")</f>
        <v>p_4e2ae1955dd91ca43de2e655f7f3bea9029001d8@inbound.aiesec.org</v>
      </c>
      <c r="F1535" s="43">
        <f>IFERROR(__xludf.DUMMYFUNCTION("""COMPUTED_VALUE"""),1.019613595E9)</f>
        <v>1019613595</v>
      </c>
      <c r="G1535" s="43" t="str">
        <f>IFERROR(__xludf.DUMMYFUNCTION("""COMPUTED_VALUE"""),"Egypt")</f>
        <v>Egypt</v>
      </c>
      <c r="H1535" s="43" t="str">
        <f>IFERROR(__xludf.DUMMYFUNCTION("""COMPUTED_VALUE"""),"MSA")</f>
        <v>MSA</v>
      </c>
      <c r="I1535" s="43" t="str">
        <f>IFERROR(__xludf.DUMMYFUNCTION("""COMPUTED_VALUE"""),"Turkey")</f>
        <v>Turkey</v>
      </c>
      <c r="J1535" s="43" t="str">
        <f>IFERROR(__xludf.DUMMYFUNCTION("""COMPUTED_VALUE"""),"ESKISEHIR")</f>
        <v>ESKISEHIR</v>
      </c>
      <c r="K1535" s="44" t="str">
        <f>IFERROR(__xludf.DUMMYFUNCTION("""COMPUTED_VALUE"""),"https://expa.aiesec.org/opportunities/1300624")</f>
        <v>https://expa.aiesec.org/opportunities/1300624</v>
      </c>
      <c r="L1535" s="43" t="str">
        <f>IFERROR(__xludf.DUMMYFUNCTION("""COMPUTED_VALUE"""),"GV")</f>
        <v>GV</v>
      </c>
      <c r="M1535" s="43" t="str">
        <f>IFERROR(__xludf.DUMMYFUNCTION("""COMPUTED_VALUE"""),"short")</f>
        <v>short</v>
      </c>
      <c r="N1535" s="45">
        <f>IFERROR(__xludf.DUMMYFUNCTION("""COMPUTED_VALUE"""),45239.0)</f>
        <v>45239</v>
      </c>
      <c r="O1535" s="45">
        <f>IFERROR(__xludf.DUMMYFUNCTION("""COMPUTED_VALUE"""),45369.0)</f>
        <v>45369</v>
      </c>
      <c r="P1535" s="45">
        <f>IFERROR(__xludf.DUMMYFUNCTION("""COMPUTED_VALUE"""),45411.0)</f>
        <v>45411</v>
      </c>
      <c r="Q1535" s="45"/>
      <c r="R1535" s="45"/>
      <c r="S1535" s="43"/>
      <c r="T1535" s="43"/>
      <c r="U1535" s="43" t="str">
        <f>IFERROR(__xludf.DUMMYFUNCTION("""COMPUTED_VALUE"""),"Global Classroom")</f>
        <v>Global Classroom</v>
      </c>
      <c r="V1535" s="43" t="str">
        <f>IFERROR(__xludf.DUMMYFUNCTION("""COMPUTED_VALUE"""),"MSA Univeristy")</f>
        <v>MSA Univeristy</v>
      </c>
      <c r="W1535" s="43" t="str">
        <f>IFERROR(__xludf.DUMMYFUNCTION("""COMPUTED_VALUE"""),"2023-11-04T19:58:08Z")</f>
        <v>2023-11-04T19:58:08Z</v>
      </c>
      <c r="X1535" s="43"/>
      <c r="Y1535" s="43"/>
      <c r="Z1535" s="43"/>
    </row>
    <row r="1536" hidden="1">
      <c r="A1536" s="43" t="str">
        <f>IFERROR(__xludf.DUMMYFUNCTION("""COMPUTED_VALUE"""),"5366991_1300624")</f>
        <v>5366991_1300624</v>
      </c>
      <c r="B1536" s="43" t="str">
        <f>IFERROR(__xludf.DUMMYFUNCTION("""COMPUTED_VALUE"""),"Mariam Ahmed")</f>
        <v>Mariam Ahmed</v>
      </c>
      <c r="C1536" s="43" t="str">
        <f>IFERROR(__xludf.DUMMYFUNCTION("""COMPUTED_VALUE"""),"approved")</f>
        <v>approved</v>
      </c>
      <c r="D1536" s="43" t="str">
        <f>IFERROR(__xludf.DUMMYFUNCTION("""COMPUTED_VALUE"""),"No")</f>
        <v>No</v>
      </c>
      <c r="E1536" s="43" t="str">
        <f>IFERROR(__xludf.DUMMYFUNCTION("""COMPUTED_VALUE"""),"p_8fde15c3deae4d2ca3424d506c0805b54d3cfa96@inbound.aiesec.org")</f>
        <v>p_8fde15c3deae4d2ca3424d506c0805b54d3cfa96@inbound.aiesec.org</v>
      </c>
      <c r="F1536" s="43">
        <f>IFERROR(__xludf.DUMMYFUNCTION("""COMPUTED_VALUE"""),1.114018861E9)</f>
        <v>1114018861</v>
      </c>
      <c r="G1536" s="43" t="str">
        <f>IFERROR(__xludf.DUMMYFUNCTION("""COMPUTED_VALUE"""),"Egypt")</f>
        <v>Egypt</v>
      </c>
      <c r="H1536" s="43" t="str">
        <f>IFERROR(__xludf.DUMMYFUNCTION("""COMPUTED_VALUE"""),"MSA")</f>
        <v>MSA</v>
      </c>
      <c r="I1536" s="43" t="str">
        <f>IFERROR(__xludf.DUMMYFUNCTION("""COMPUTED_VALUE"""),"Turkey")</f>
        <v>Turkey</v>
      </c>
      <c r="J1536" s="43" t="str">
        <f>IFERROR(__xludf.DUMMYFUNCTION("""COMPUTED_VALUE"""),"ESKISEHIR")</f>
        <v>ESKISEHIR</v>
      </c>
      <c r="K1536" s="44" t="str">
        <f>IFERROR(__xludf.DUMMYFUNCTION("""COMPUTED_VALUE"""),"https://expa.aiesec.org/opportunities/1300624")</f>
        <v>https://expa.aiesec.org/opportunities/1300624</v>
      </c>
      <c r="L1536" s="43" t="str">
        <f>IFERROR(__xludf.DUMMYFUNCTION("""COMPUTED_VALUE"""),"GV")</f>
        <v>GV</v>
      </c>
      <c r="M1536" s="43" t="str">
        <f>IFERROR(__xludf.DUMMYFUNCTION("""COMPUTED_VALUE"""),"short")</f>
        <v>short</v>
      </c>
      <c r="N1536" s="45">
        <f>IFERROR(__xludf.DUMMYFUNCTION("""COMPUTED_VALUE"""),45239.0)</f>
        <v>45239</v>
      </c>
      <c r="O1536" s="45">
        <f>IFERROR(__xludf.DUMMYFUNCTION("""COMPUTED_VALUE"""),45369.0)</f>
        <v>45369</v>
      </c>
      <c r="P1536" s="45">
        <f>IFERROR(__xludf.DUMMYFUNCTION("""COMPUTED_VALUE"""),45411.0)</f>
        <v>45411</v>
      </c>
      <c r="Q1536" s="45"/>
      <c r="R1536" s="45"/>
      <c r="S1536" s="43"/>
      <c r="T1536" s="43"/>
      <c r="U1536" s="43" t="str">
        <f>IFERROR(__xludf.DUMMYFUNCTION("""COMPUTED_VALUE"""),"Global Classroom")</f>
        <v>Global Classroom</v>
      </c>
      <c r="V1536" s="43" t="str">
        <f>IFERROR(__xludf.DUMMYFUNCTION("""COMPUTED_VALUE"""),"MSA Univeristy")</f>
        <v>MSA Univeristy</v>
      </c>
      <c r="W1536" s="43" t="str">
        <f>IFERROR(__xludf.DUMMYFUNCTION("""COMPUTED_VALUE"""),"2023-11-04T21:01:02Z")</f>
        <v>2023-11-04T21:01:02Z</v>
      </c>
      <c r="X1536" s="43"/>
      <c r="Y1536" s="43"/>
      <c r="Z1536" s="43"/>
    </row>
    <row r="1537" hidden="1">
      <c r="A1537" s="43" t="str">
        <f>IFERROR(__xludf.DUMMYFUNCTION("""COMPUTED_VALUE"""),"3135177_1300624")</f>
        <v>3135177_1300624</v>
      </c>
      <c r="B1537" s="43" t="str">
        <f>IFERROR(__xludf.DUMMYFUNCTION("""COMPUTED_VALUE"""),"Manel Lamloum")</f>
        <v>Manel Lamloum</v>
      </c>
      <c r="C1537" s="43" t="str">
        <f>IFERROR(__xludf.DUMMYFUNCTION("""COMPUTED_VALUE"""),"approved")</f>
        <v>approved</v>
      </c>
      <c r="D1537" s="43" t="str">
        <f>IFERROR(__xludf.DUMMYFUNCTION("""COMPUTED_VALUE"""),"No")</f>
        <v>No</v>
      </c>
      <c r="E1537" s="43" t="str">
        <f>IFERROR(__xludf.DUMMYFUNCTION("""COMPUTED_VALUE"""),"p_d8fb2928cc7559c0ddab8e70da6da0d1ccf28ad5@inbound.aiesec.org")</f>
        <v>p_d8fb2928cc7559c0ddab8e70da6da0d1ccf28ad5@inbound.aiesec.org</v>
      </c>
      <c r="F1537" s="43">
        <f>IFERROR(__xludf.DUMMYFUNCTION("""COMPUTED_VALUE"""),2.8982657E7)</f>
        <v>28982657</v>
      </c>
      <c r="G1537" s="43" t="str">
        <f>IFERROR(__xludf.DUMMYFUNCTION("""COMPUTED_VALUE"""),"Tunisia")</f>
        <v>Tunisia</v>
      </c>
      <c r="H1537" s="43" t="str">
        <f>IFERROR(__xludf.DUMMYFUNCTION("""COMPUTED_VALUE"""),"Carthage")</f>
        <v>Carthage</v>
      </c>
      <c r="I1537" s="43" t="str">
        <f>IFERROR(__xludf.DUMMYFUNCTION("""COMPUTED_VALUE"""),"Turkey")</f>
        <v>Turkey</v>
      </c>
      <c r="J1537" s="43" t="str">
        <f>IFERROR(__xludf.DUMMYFUNCTION("""COMPUTED_VALUE"""),"ESKISEHIR")</f>
        <v>ESKISEHIR</v>
      </c>
      <c r="K1537" s="44" t="str">
        <f>IFERROR(__xludf.DUMMYFUNCTION("""COMPUTED_VALUE"""),"https://expa.aiesec.org/opportunities/1300624")</f>
        <v>https://expa.aiesec.org/opportunities/1300624</v>
      </c>
      <c r="L1537" s="43" t="str">
        <f>IFERROR(__xludf.DUMMYFUNCTION("""COMPUTED_VALUE"""),"GV")</f>
        <v>GV</v>
      </c>
      <c r="M1537" s="43" t="str">
        <f>IFERROR(__xludf.DUMMYFUNCTION("""COMPUTED_VALUE"""),"short")</f>
        <v>short</v>
      </c>
      <c r="N1537" s="45">
        <f>IFERROR(__xludf.DUMMYFUNCTION("""COMPUTED_VALUE"""),45239.0)</f>
        <v>45239</v>
      </c>
      <c r="O1537" s="45">
        <f>IFERROR(__xludf.DUMMYFUNCTION("""COMPUTED_VALUE"""),45327.0)</f>
        <v>45327</v>
      </c>
      <c r="P1537" s="45">
        <f>IFERROR(__xludf.DUMMYFUNCTION("""COMPUTED_VALUE"""),45369.0)</f>
        <v>45369</v>
      </c>
      <c r="Q1537" s="45"/>
      <c r="R1537" s="45"/>
      <c r="S1537" s="43"/>
      <c r="T1537" s="43"/>
      <c r="U1537" s="43" t="str">
        <f>IFERROR(__xludf.DUMMYFUNCTION("""COMPUTED_VALUE"""),"Global Classroom")</f>
        <v>Global Classroom</v>
      </c>
      <c r="V1537" s="43" t="str">
        <f>IFERROR(__xludf.DUMMYFUNCTION("""COMPUTED_VALUE"""),"IHEC Carthage")</f>
        <v>IHEC Carthage</v>
      </c>
      <c r="W1537" s="43" t="str">
        <f>IFERROR(__xludf.DUMMYFUNCTION("""COMPUTED_VALUE"""),"2019-03-03T12:54:06Z")</f>
        <v>2019-03-03T12:54:06Z</v>
      </c>
      <c r="X1537" s="43"/>
      <c r="Y1537" s="43"/>
      <c r="Z1537" s="43"/>
    </row>
    <row r="1538" hidden="1">
      <c r="A1538" s="43" t="str">
        <f>IFERROR(__xludf.DUMMYFUNCTION("""COMPUTED_VALUE"""),"5360737_1296325")</f>
        <v>5360737_1296325</v>
      </c>
      <c r="B1538" s="43" t="str">
        <f>IFERROR(__xludf.DUMMYFUNCTION("""COMPUTED_VALUE"""),"Prateek Mazumdar")</f>
        <v>Prateek Mazumdar</v>
      </c>
      <c r="C1538" s="43" t="str">
        <f>IFERROR(__xludf.DUMMYFUNCTION("""COMPUTED_VALUE"""),"realized")</f>
        <v>realized</v>
      </c>
      <c r="D1538" s="43" t="str">
        <f>IFERROR(__xludf.DUMMYFUNCTION("""COMPUTED_VALUE"""),"No")</f>
        <v>No</v>
      </c>
      <c r="E1538" s="43" t="str">
        <f>IFERROR(__xludf.DUMMYFUNCTION("""COMPUTED_VALUE"""),"p_eefaf31a451113a11b6a2429efdec522d06f7edc@inbound.aiesec.org")</f>
        <v>p_eefaf31a451113a11b6a2429efdec522d06f7edc@inbound.aiesec.org</v>
      </c>
      <c r="F1538" s="43"/>
      <c r="G1538" s="43" t="str">
        <f>IFERROR(__xludf.DUMMYFUNCTION("""COMPUTED_VALUE"""),"India")</f>
        <v>India</v>
      </c>
      <c r="H1538" s="43" t="str">
        <f>IFERROR(__xludf.DUMMYFUNCTION("""COMPUTED_VALUE"""),"Delhi IIT")</f>
        <v>Delhi IIT</v>
      </c>
      <c r="I1538" s="43" t="str">
        <f>IFERROR(__xludf.DUMMYFUNCTION("""COMPUTED_VALUE"""),"Turkey")</f>
        <v>Turkey</v>
      </c>
      <c r="J1538" s="43" t="str">
        <f>IFERROR(__xludf.DUMMYFUNCTION("""COMPUTED_VALUE"""),"İZMİR")</f>
        <v>İZMİR</v>
      </c>
      <c r="K1538" s="44" t="str">
        <f>IFERROR(__xludf.DUMMYFUNCTION("""COMPUTED_VALUE"""),"https://expa.aiesec.org/opportunities/1296325")</f>
        <v>https://expa.aiesec.org/opportunities/1296325</v>
      </c>
      <c r="L1538" s="43" t="str">
        <f>IFERROR(__xludf.DUMMYFUNCTION("""COMPUTED_VALUE"""),"GV")</f>
        <v>GV</v>
      </c>
      <c r="M1538" s="43" t="str">
        <f>IFERROR(__xludf.DUMMYFUNCTION("""COMPUTED_VALUE"""),"short")</f>
        <v>short</v>
      </c>
      <c r="N1538" s="45">
        <f>IFERROR(__xludf.DUMMYFUNCTION("""COMPUTED_VALUE"""),45240.0)</f>
        <v>45240</v>
      </c>
      <c r="O1538" s="45">
        <f>IFERROR(__xludf.DUMMYFUNCTION("""COMPUTED_VALUE"""),45291.0)</f>
        <v>45291</v>
      </c>
      <c r="P1538" s="45">
        <f>IFERROR(__xludf.DUMMYFUNCTION("""COMPUTED_VALUE"""),45333.0)</f>
        <v>45333</v>
      </c>
      <c r="Q1538" s="45">
        <f>IFERROR(__xludf.DUMMYFUNCTION("""COMPUTED_VALUE"""),45306.0)</f>
        <v>45306</v>
      </c>
      <c r="R1538" s="45">
        <f>IFERROR(__xludf.DUMMYFUNCTION("""COMPUTED_VALUE"""),45346.0)</f>
        <v>45346</v>
      </c>
      <c r="S1538" s="43"/>
      <c r="T1538" s="43"/>
      <c r="U1538" s="43" t="str">
        <f>IFERROR(__xludf.DUMMYFUNCTION("""COMPUTED_VALUE"""),"Fingerprint")</f>
        <v>Fingerprint</v>
      </c>
      <c r="V1538" s="43" t="str">
        <f>IFERROR(__xludf.DUMMYFUNCTION("""COMPUTED_VALUE"""),"-")</f>
        <v>-</v>
      </c>
      <c r="W1538" s="43" t="str">
        <f>IFERROR(__xludf.DUMMYFUNCTION("""COMPUTED_VALUE"""),"2023-10-26T11:01:47Z")</f>
        <v>2023-10-26T11:01:47Z</v>
      </c>
      <c r="X1538" s="43"/>
      <c r="Y1538" s="43"/>
      <c r="Z1538" s="43"/>
    </row>
    <row r="1539" hidden="1">
      <c r="A1539" s="43" t="str">
        <f>IFERROR(__xludf.DUMMYFUNCTION("""COMPUTED_VALUE"""),"5360303_1297990")</f>
        <v>5360303_1297990</v>
      </c>
      <c r="B1539" s="43" t="str">
        <f>IFERROR(__xludf.DUMMYFUNCTION("""COMPUTED_VALUE"""),"Karan Sharma")</f>
        <v>Karan Sharma</v>
      </c>
      <c r="C1539" s="43" t="str">
        <f>IFERROR(__xludf.DUMMYFUNCTION("""COMPUTED_VALUE"""),"realized")</f>
        <v>realized</v>
      </c>
      <c r="D1539" s="43" t="str">
        <f>IFERROR(__xludf.DUMMYFUNCTION("""COMPUTED_VALUE"""),"No")</f>
        <v>No</v>
      </c>
      <c r="E1539" s="43" t="str">
        <f>IFERROR(__xludf.DUMMYFUNCTION("""COMPUTED_VALUE"""),"p_18fa079a927d0ab30889f9428c82fab1dfd36bd0@inbound.aiesec.org")</f>
        <v>p_18fa079a927d0ab30889f9428c82fab1dfd36bd0@inbound.aiesec.org</v>
      </c>
      <c r="F1539" s="43"/>
      <c r="G1539" s="43" t="str">
        <f>IFERROR(__xludf.DUMMYFUNCTION("""COMPUTED_VALUE"""),"India")</f>
        <v>India</v>
      </c>
      <c r="H1539" s="43" t="str">
        <f>IFERROR(__xludf.DUMMYFUNCTION("""COMPUTED_VALUE"""),"Delhi IIT")</f>
        <v>Delhi IIT</v>
      </c>
      <c r="I1539" s="43" t="str">
        <f>IFERROR(__xludf.DUMMYFUNCTION("""COMPUTED_VALUE"""),"Turkey")</f>
        <v>Turkey</v>
      </c>
      <c r="J1539" s="43" t="str">
        <f>IFERROR(__xludf.DUMMYFUNCTION("""COMPUTED_VALUE"""),"İZMİR")</f>
        <v>İZMİR</v>
      </c>
      <c r="K1539" s="44" t="str">
        <f>IFERROR(__xludf.DUMMYFUNCTION("""COMPUTED_VALUE"""),"https://expa.aiesec.org/opportunities/1297990")</f>
        <v>https://expa.aiesec.org/opportunities/1297990</v>
      </c>
      <c r="L1539" s="43" t="str">
        <f>IFERROR(__xludf.DUMMYFUNCTION("""COMPUTED_VALUE"""),"GV")</f>
        <v>GV</v>
      </c>
      <c r="M1539" s="43" t="str">
        <f>IFERROR(__xludf.DUMMYFUNCTION("""COMPUTED_VALUE"""),"short")</f>
        <v>short</v>
      </c>
      <c r="N1539" s="45">
        <f>IFERROR(__xludf.DUMMYFUNCTION("""COMPUTED_VALUE"""),45240.0)</f>
        <v>45240</v>
      </c>
      <c r="O1539" s="45">
        <f>IFERROR(__xludf.DUMMYFUNCTION("""COMPUTED_VALUE"""),45298.0)</f>
        <v>45298</v>
      </c>
      <c r="P1539" s="45">
        <f>IFERROR(__xludf.DUMMYFUNCTION("""COMPUTED_VALUE"""),45340.0)</f>
        <v>45340</v>
      </c>
      <c r="Q1539" s="45">
        <f>IFERROR(__xludf.DUMMYFUNCTION("""COMPUTED_VALUE"""),45306.0)</f>
        <v>45306</v>
      </c>
      <c r="R1539" s="45">
        <f>IFERROR(__xludf.DUMMYFUNCTION("""COMPUTED_VALUE"""),45346.0)</f>
        <v>45346</v>
      </c>
      <c r="S1539" s="43"/>
      <c r="T1539" s="43"/>
      <c r="U1539" s="43" t="str">
        <f>IFERROR(__xludf.DUMMYFUNCTION("""COMPUTED_VALUE"""),"Fingerprint")</f>
        <v>Fingerprint</v>
      </c>
      <c r="V1539" s="43" t="str">
        <f>IFERROR(__xludf.DUMMYFUNCTION("""COMPUTED_VALUE"""),"IIT Delhi")</f>
        <v>IIT Delhi</v>
      </c>
      <c r="W1539" s="43" t="str">
        <f>IFERROR(__xludf.DUMMYFUNCTION("""COMPUTED_VALUE"""),"2023-10-25T18:37:03Z")</f>
        <v>2023-10-25T18:37:03Z</v>
      </c>
      <c r="X1539" s="43"/>
      <c r="Y1539" s="43"/>
      <c r="Z1539" s="43"/>
    </row>
    <row r="1540" hidden="1">
      <c r="A1540" s="43" t="str">
        <f>IFERROR(__xludf.DUMMYFUNCTION("""COMPUTED_VALUE"""),"5369962_1286034")</f>
        <v>5369962_1286034</v>
      </c>
      <c r="B1540" s="43" t="str">
        <f>IFERROR(__xludf.DUMMYFUNCTION("""COMPUTED_VALUE"""),"Nagham Elaskri")</f>
        <v>Nagham Elaskri</v>
      </c>
      <c r="C1540" s="43" t="str">
        <f>IFERROR(__xludf.DUMMYFUNCTION("""COMPUTED_VALUE"""),"approved")</f>
        <v>approved</v>
      </c>
      <c r="D1540" s="43" t="str">
        <f>IFERROR(__xludf.DUMMYFUNCTION("""COMPUTED_VALUE"""),"No")</f>
        <v>No</v>
      </c>
      <c r="E1540" s="43" t="str">
        <f>IFERROR(__xludf.DUMMYFUNCTION("""COMPUTED_VALUE"""),"p_bcd89ac58945ff26c8f0e3d59c90bf2d50a5f388@inbound.aiesec.org")</f>
        <v>p_bcd89ac58945ff26c8f0e3d59c90bf2d50a5f388@inbound.aiesec.org</v>
      </c>
      <c r="F1540" s="43">
        <f>IFERROR(__xludf.DUMMYFUNCTION("""COMPUTED_VALUE"""),2.5898059E7)</f>
        <v>25898059</v>
      </c>
      <c r="G1540" s="43" t="str">
        <f>IFERROR(__xludf.DUMMYFUNCTION("""COMPUTED_VALUE"""),"Tunisia")</f>
        <v>Tunisia</v>
      </c>
      <c r="H1540" s="43" t="str">
        <f>IFERROR(__xludf.DUMMYFUNCTION("""COMPUTED_VALUE"""),"BARDO")</f>
        <v>BARDO</v>
      </c>
      <c r="I1540" s="43" t="str">
        <f>IFERROR(__xludf.DUMMYFUNCTION("""COMPUTED_VALUE"""),"Turkey")</f>
        <v>Turkey</v>
      </c>
      <c r="J1540" s="43" t="str">
        <f>IFERROR(__xludf.DUMMYFUNCTION("""COMPUTED_VALUE"""),"ANTALYA")</f>
        <v>ANTALYA</v>
      </c>
      <c r="K1540" s="44" t="str">
        <f>IFERROR(__xludf.DUMMYFUNCTION("""COMPUTED_VALUE"""),"https://expa.aiesec.org/opportunities/1286034")</f>
        <v>https://expa.aiesec.org/opportunities/1286034</v>
      </c>
      <c r="L1540" s="43" t="str">
        <f>IFERROR(__xludf.DUMMYFUNCTION("""COMPUTED_VALUE"""),"GV")</f>
        <v>GV</v>
      </c>
      <c r="M1540" s="43" t="str">
        <f>IFERROR(__xludf.DUMMYFUNCTION("""COMPUTED_VALUE"""),"short")</f>
        <v>short</v>
      </c>
      <c r="N1540" s="45">
        <f>IFERROR(__xludf.DUMMYFUNCTION("""COMPUTED_VALUE"""),45240.0)</f>
        <v>45240</v>
      </c>
      <c r="O1540" s="45">
        <f>IFERROR(__xludf.DUMMYFUNCTION("""COMPUTED_VALUE"""),45474.0)</f>
        <v>45474</v>
      </c>
      <c r="P1540" s="45">
        <f>IFERROR(__xludf.DUMMYFUNCTION("""COMPUTED_VALUE"""),45516.0)</f>
        <v>45516</v>
      </c>
      <c r="Q1540" s="45"/>
      <c r="R1540" s="45"/>
      <c r="S1540" s="43"/>
      <c r="T1540" s="43"/>
      <c r="U1540" s="43" t="str">
        <f>IFERROR(__xludf.DUMMYFUNCTION("""COMPUTED_VALUE"""),"Global Classroom")</f>
        <v>Global Classroom</v>
      </c>
      <c r="V1540" s="43" t="str">
        <f>IFERROR(__xludf.DUMMYFUNCTION("""COMPUTED_VALUE"""),"ESPRIT El Ghazela ")</f>
        <v>ESPRIT El Ghazela </v>
      </c>
      <c r="W1540" s="43" t="str">
        <f>IFERROR(__xludf.DUMMYFUNCTION("""COMPUTED_VALUE"""),"2023-11-09T19:45:40Z")</f>
        <v>2023-11-09T19:45:40Z</v>
      </c>
      <c r="X1540" s="43"/>
      <c r="Y1540" s="43"/>
      <c r="Z1540" s="43"/>
    </row>
    <row r="1541" hidden="1">
      <c r="A1541" s="43" t="str">
        <f>IFERROR(__xludf.DUMMYFUNCTION("""COMPUTED_VALUE"""),"5365694_1286034")</f>
        <v>5365694_1286034</v>
      </c>
      <c r="B1541" s="43" t="str">
        <f>IFERROR(__xludf.DUMMYFUNCTION("""COMPUTED_VALUE"""),"Madalina Filiuta")</f>
        <v>Madalina Filiuta</v>
      </c>
      <c r="C1541" s="43" t="str">
        <f>IFERROR(__xludf.DUMMYFUNCTION("""COMPUTED_VALUE"""),"approved")</f>
        <v>approved</v>
      </c>
      <c r="D1541" s="43" t="str">
        <f>IFERROR(__xludf.DUMMYFUNCTION("""COMPUTED_VALUE"""),"No")</f>
        <v>No</v>
      </c>
      <c r="E1541" s="43" t="str">
        <f>IFERROR(__xludf.DUMMYFUNCTION("""COMPUTED_VALUE"""),"p_9594823142c6a5036d14821973923e88ff867334@inbound.aiesec.org")</f>
        <v>p_9594823142c6a5036d14821973923e88ff867334@inbound.aiesec.org</v>
      </c>
      <c r="F1541" s="43">
        <f>IFERROR(__xludf.DUMMYFUNCTION("""COMPUTED_VALUE"""),7.71314789E8)</f>
        <v>771314789</v>
      </c>
      <c r="G1541" s="43" t="str">
        <f>IFERROR(__xludf.DUMMYFUNCTION("""COMPUTED_VALUE"""),"Romania")</f>
        <v>Romania</v>
      </c>
      <c r="H1541" s="43" t="str">
        <f>IFERROR(__xludf.DUMMYFUNCTION("""COMPUTED_VALUE"""),"BUCURESTI")</f>
        <v>BUCURESTI</v>
      </c>
      <c r="I1541" s="43" t="str">
        <f>IFERROR(__xludf.DUMMYFUNCTION("""COMPUTED_VALUE"""),"Turkey")</f>
        <v>Turkey</v>
      </c>
      <c r="J1541" s="43" t="str">
        <f>IFERROR(__xludf.DUMMYFUNCTION("""COMPUTED_VALUE"""),"ANTALYA")</f>
        <v>ANTALYA</v>
      </c>
      <c r="K1541" s="44" t="str">
        <f>IFERROR(__xludf.DUMMYFUNCTION("""COMPUTED_VALUE"""),"https://expa.aiesec.org/opportunities/1286034")</f>
        <v>https://expa.aiesec.org/opportunities/1286034</v>
      </c>
      <c r="L1541" s="43" t="str">
        <f>IFERROR(__xludf.DUMMYFUNCTION("""COMPUTED_VALUE"""),"GV")</f>
        <v>GV</v>
      </c>
      <c r="M1541" s="43" t="str">
        <f>IFERROR(__xludf.DUMMYFUNCTION("""COMPUTED_VALUE"""),"short")</f>
        <v>short</v>
      </c>
      <c r="N1541" s="45">
        <f>IFERROR(__xludf.DUMMYFUNCTION("""COMPUTED_VALUE"""),45240.0)</f>
        <v>45240</v>
      </c>
      <c r="O1541" s="45">
        <f>IFERROR(__xludf.DUMMYFUNCTION("""COMPUTED_VALUE"""),45474.0)</f>
        <v>45474</v>
      </c>
      <c r="P1541" s="45">
        <f>IFERROR(__xludf.DUMMYFUNCTION("""COMPUTED_VALUE"""),45516.0)</f>
        <v>45516</v>
      </c>
      <c r="Q1541" s="45"/>
      <c r="R1541" s="45"/>
      <c r="S1541" s="43"/>
      <c r="T1541" s="43"/>
      <c r="U1541" s="43" t="str">
        <f>IFERROR(__xludf.DUMMYFUNCTION("""COMPUTED_VALUE"""),"Global Classroom")</f>
        <v>Global Classroom</v>
      </c>
      <c r="V1541" s="43" t="str">
        <f>IFERROR(__xludf.DUMMYFUNCTION("""COMPUTED_VALUE"""),"Bucuresti")</f>
        <v>Bucuresti</v>
      </c>
      <c r="W1541" s="43" t="str">
        <f>IFERROR(__xludf.DUMMYFUNCTION("""COMPUTED_VALUE"""),"2023-11-02T12:15:50Z")</f>
        <v>2023-11-02T12:15:50Z</v>
      </c>
      <c r="X1541" s="43"/>
      <c r="Y1541" s="43"/>
      <c r="Z1541" s="43"/>
    </row>
    <row r="1542" hidden="1">
      <c r="A1542" s="43" t="str">
        <f>IFERROR(__xludf.DUMMYFUNCTION("""COMPUTED_VALUE"""),"5365150_1289347")</f>
        <v>5365150_1289347</v>
      </c>
      <c r="B1542" s="43" t="str">
        <f>IFERROR(__xludf.DUMMYFUNCTION("""COMPUTED_VALUE"""),"Salma Alaa")</f>
        <v>Salma Alaa</v>
      </c>
      <c r="C1542" s="43" t="str">
        <f>IFERROR(__xludf.DUMMYFUNCTION("""COMPUTED_VALUE"""),"approved")</f>
        <v>approved</v>
      </c>
      <c r="D1542" s="43" t="str">
        <f>IFERROR(__xludf.DUMMYFUNCTION("""COMPUTED_VALUE"""),"No")</f>
        <v>No</v>
      </c>
      <c r="E1542" s="43" t="str">
        <f>IFERROR(__xludf.DUMMYFUNCTION("""COMPUTED_VALUE"""),"p_48d1861b340cbb4c36fb063f3d5edc1048834e28@inbound.aiesec.org")</f>
        <v>p_48d1861b340cbb4c36fb063f3d5edc1048834e28@inbound.aiesec.org</v>
      </c>
      <c r="F1542" s="43"/>
      <c r="G1542" s="43" t="str">
        <f>IFERROR(__xludf.DUMMYFUNCTION("""COMPUTED_VALUE"""),"Egypt")</f>
        <v>Egypt</v>
      </c>
      <c r="H1542" s="43" t="str">
        <f>IFERROR(__xludf.DUMMYFUNCTION("""COMPUTED_VALUE"""),"Market expansion")</f>
        <v>Market expansion</v>
      </c>
      <c r="I1542" s="43" t="str">
        <f>IFERROR(__xludf.DUMMYFUNCTION("""COMPUTED_VALUE"""),"Turkey")</f>
        <v>Turkey</v>
      </c>
      <c r="J1542" s="43" t="str">
        <f>IFERROR(__xludf.DUMMYFUNCTION("""COMPUTED_VALUE"""),"ADANA")</f>
        <v>ADANA</v>
      </c>
      <c r="K1542" s="44" t="str">
        <f>IFERROR(__xludf.DUMMYFUNCTION("""COMPUTED_VALUE"""),"https://expa.aiesec.org/opportunities/1289347")</f>
        <v>https://expa.aiesec.org/opportunities/1289347</v>
      </c>
      <c r="L1542" s="43" t="str">
        <f>IFERROR(__xludf.DUMMYFUNCTION("""COMPUTED_VALUE"""),"GV")</f>
        <v>GV</v>
      </c>
      <c r="M1542" s="43" t="str">
        <f>IFERROR(__xludf.DUMMYFUNCTION("""COMPUTED_VALUE"""),"short")</f>
        <v>short</v>
      </c>
      <c r="N1542" s="45">
        <f>IFERROR(__xludf.DUMMYFUNCTION("""COMPUTED_VALUE"""),45240.0)</f>
        <v>45240</v>
      </c>
      <c r="O1542" s="45">
        <f>IFERROR(__xludf.DUMMYFUNCTION("""COMPUTED_VALUE"""),45474.0)</f>
        <v>45474</v>
      </c>
      <c r="P1542" s="45">
        <f>IFERROR(__xludf.DUMMYFUNCTION("""COMPUTED_VALUE"""),45516.0)</f>
        <v>45516</v>
      </c>
      <c r="Q1542" s="45"/>
      <c r="R1542" s="45"/>
      <c r="S1542" s="43"/>
      <c r="T1542" s="43"/>
      <c r="U1542" s="43" t="str">
        <f>IFERROR(__xludf.DUMMYFUNCTION("""COMPUTED_VALUE"""),"Global Classroom")</f>
        <v>Global Classroom</v>
      </c>
      <c r="V1542" s="43" t="str">
        <f>IFERROR(__xludf.DUMMYFUNCTION("""COMPUTED_VALUE"""),"-")</f>
        <v>-</v>
      </c>
      <c r="W1542" s="43" t="str">
        <f>IFERROR(__xludf.DUMMYFUNCTION("""COMPUTED_VALUE"""),"2023-11-01T16:32:54Z")</f>
        <v>2023-11-01T16:32:54Z</v>
      </c>
      <c r="X1542" s="43"/>
      <c r="Y1542" s="43"/>
      <c r="Z1542" s="43"/>
    </row>
    <row r="1543" hidden="1">
      <c r="A1543" s="43" t="str">
        <f>IFERROR(__xludf.DUMMYFUNCTION("""COMPUTED_VALUE"""),"5364580_1280872")</f>
        <v>5364580_1280872</v>
      </c>
      <c r="B1543" s="43" t="str">
        <f>IFERROR(__xludf.DUMMYFUNCTION("""COMPUTED_VALUE"""),"Mahdi Khediri")</f>
        <v>Mahdi Khediri</v>
      </c>
      <c r="C1543" s="43" t="str">
        <f>IFERROR(__xludf.DUMMYFUNCTION("""COMPUTED_VALUE"""),"approved")</f>
        <v>approved</v>
      </c>
      <c r="D1543" s="43" t="str">
        <f>IFERROR(__xludf.DUMMYFUNCTION("""COMPUTED_VALUE"""),"No")</f>
        <v>No</v>
      </c>
      <c r="E1543" s="43" t="str">
        <f>IFERROR(__xludf.DUMMYFUNCTION("""COMPUTED_VALUE"""),"p_6e7793f452d891611f37677eefabbd9e3fb7526b@inbound.aiesec.org")</f>
        <v>p_6e7793f452d891611f37677eefabbd9e3fb7526b@inbound.aiesec.org</v>
      </c>
      <c r="F1543" s="43">
        <f>IFERROR(__xludf.DUMMYFUNCTION("""COMPUTED_VALUE"""),5.8769599E7)</f>
        <v>58769599</v>
      </c>
      <c r="G1543" s="43" t="str">
        <f>IFERROR(__xludf.DUMMYFUNCTION("""COMPUTED_VALUE"""),"Tunisia")</f>
        <v>Tunisia</v>
      </c>
      <c r="H1543" s="43" t="str">
        <f>IFERROR(__xludf.DUMMYFUNCTION("""COMPUTED_VALUE"""),"UNIVERSITY")</f>
        <v>UNIVERSITY</v>
      </c>
      <c r="I1543" s="43" t="str">
        <f>IFERROR(__xludf.DUMMYFUNCTION("""COMPUTED_VALUE"""),"Turkey")</f>
        <v>Turkey</v>
      </c>
      <c r="J1543" s="43" t="str">
        <f>IFERROR(__xludf.DUMMYFUNCTION("""COMPUTED_VALUE"""),"KOCAELI")</f>
        <v>KOCAELI</v>
      </c>
      <c r="K1543" s="44" t="str">
        <f>IFERROR(__xludf.DUMMYFUNCTION("""COMPUTED_VALUE"""),"https://expa.aiesec.org/opportunities/1280872")</f>
        <v>https://expa.aiesec.org/opportunities/1280872</v>
      </c>
      <c r="L1543" s="43" t="str">
        <f>IFERROR(__xludf.DUMMYFUNCTION("""COMPUTED_VALUE"""),"GV")</f>
        <v>GV</v>
      </c>
      <c r="M1543" s="43" t="str">
        <f>IFERROR(__xludf.DUMMYFUNCTION("""COMPUTED_VALUE"""),"short")</f>
        <v>short</v>
      </c>
      <c r="N1543" s="45">
        <f>IFERROR(__xludf.DUMMYFUNCTION("""COMPUTED_VALUE"""),45240.0)</f>
        <v>45240</v>
      </c>
      <c r="O1543" s="45">
        <f>IFERROR(__xludf.DUMMYFUNCTION("""COMPUTED_VALUE"""),45376.0)</f>
        <v>45376</v>
      </c>
      <c r="P1543" s="45">
        <f>IFERROR(__xludf.DUMMYFUNCTION("""COMPUTED_VALUE"""),45418.0)</f>
        <v>45418</v>
      </c>
      <c r="Q1543" s="45"/>
      <c r="R1543" s="45"/>
      <c r="S1543" s="43"/>
      <c r="T1543" s="43"/>
      <c r="U1543" s="43" t="str">
        <f>IFERROR(__xludf.DUMMYFUNCTION("""COMPUTED_VALUE"""),"Skill Up!")</f>
        <v>Skill Up!</v>
      </c>
      <c r="V1543" s="43" t="str">
        <f>IFERROR(__xludf.DUMMYFUNCTION("""COMPUTED_VALUE"""),"FSEGT")</f>
        <v>FSEGT</v>
      </c>
      <c r="W1543" s="43" t="str">
        <f>IFERROR(__xludf.DUMMYFUNCTION("""COMPUTED_VALUE"""),"2023-10-31T22:03:18Z")</f>
        <v>2023-10-31T22:03:18Z</v>
      </c>
      <c r="X1543" s="43"/>
      <c r="Y1543" s="43"/>
      <c r="Z1543" s="43"/>
    </row>
    <row r="1544" hidden="1">
      <c r="A1544" s="43" t="str">
        <f>IFERROR(__xludf.DUMMYFUNCTION("""COMPUTED_VALUE"""),"5368297_1298284")</f>
        <v>5368297_1298284</v>
      </c>
      <c r="B1544" s="43" t="str">
        <f>IFERROR(__xludf.DUMMYFUNCTION("""COMPUTED_VALUE"""),"Oksana Stakhiv")</f>
        <v>Oksana Stakhiv</v>
      </c>
      <c r="C1544" s="43" t="str">
        <f>IFERROR(__xludf.DUMMYFUNCTION("""COMPUTED_VALUE"""),"realized")</f>
        <v>realized</v>
      </c>
      <c r="D1544" s="43" t="str">
        <f>IFERROR(__xludf.DUMMYFUNCTION("""COMPUTED_VALUE"""),"No")</f>
        <v>No</v>
      </c>
      <c r="E1544" s="43" t="str">
        <f>IFERROR(__xludf.DUMMYFUNCTION("""COMPUTED_VALUE"""),"p_e155acd7171f8b63625751f1602a0547b9dd4e1f@inbound.aiesec.org")</f>
        <v>p_e155acd7171f8b63625751f1602a0547b9dd4e1f@inbound.aiesec.org</v>
      </c>
      <c r="F1544" s="43">
        <f>IFERROR(__xludf.DUMMYFUNCTION("""COMPUTED_VALUE"""),6.36213294E8)</f>
        <v>636213294</v>
      </c>
      <c r="G1544" s="43" t="str">
        <f>IFERROR(__xludf.DUMMYFUNCTION("""COMPUTED_VALUE"""),"Ukraine")</f>
        <v>Ukraine</v>
      </c>
      <c r="H1544" s="43" t="str">
        <f>IFERROR(__xludf.DUMMYFUNCTION("""COMPUTED_VALUE"""),"KYIV")</f>
        <v>KYIV</v>
      </c>
      <c r="I1544" s="43" t="str">
        <f>IFERROR(__xludf.DUMMYFUNCTION("""COMPUTED_VALUE"""),"Turkey")</f>
        <v>Turkey</v>
      </c>
      <c r="J1544" s="43" t="str">
        <f>IFERROR(__xludf.DUMMYFUNCTION("""COMPUTED_VALUE"""),"ISTANBUL")</f>
        <v>ISTANBUL</v>
      </c>
      <c r="K1544" s="44" t="str">
        <f>IFERROR(__xludf.DUMMYFUNCTION("""COMPUTED_VALUE"""),"https://expa.aiesec.org/opportunities/1298284")</f>
        <v>https://expa.aiesec.org/opportunities/1298284</v>
      </c>
      <c r="L1544" s="43" t="str">
        <f>IFERROR(__xludf.DUMMYFUNCTION("""COMPUTED_VALUE"""),"GV")</f>
        <v>GV</v>
      </c>
      <c r="M1544" s="43" t="str">
        <f>IFERROR(__xludf.DUMMYFUNCTION("""COMPUTED_VALUE"""),"short")</f>
        <v>short</v>
      </c>
      <c r="N1544" s="45">
        <f>IFERROR(__xludf.DUMMYFUNCTION("""COMPUTED_VALUE"""),45240.0)</f>
        <v>45240</v>
      </c>
      <c r="O1544" s="45">
        <f>IFERROR(__xludf.DUMMYFUNCTION("""COMPUTED_VALUE"""),45293.0)</f>
        <v>45293</v>
      </c>
      <c r="P1544" s="45">
        <f>IFERROR(__xludf.DUMMYFUNCTION("""COMPUTED_VALUE"""),45335.0)</f>
        <v>45335</v>
      </c>
      <c r="Q1544" s="45">
        <f>IFERROR(__xludf.DUMMYFUNCTION("""COMPUTED_VALUE"""),45293.0)</f>
        <v>45293</v>
      </c>
      <c r="R1544" s="45">
        <f>IFERROR(__xludf.DUMMYFUNCTION("""COMPUTED_VALUE"""),45335.0)</f>
        <v>45335</v>
      </c>
      <c r="S1544" s="43"/>
      <c r="T1544" s="43"/>
      <c r="U1544" s="43" t="str">
        <f>IFERROR(__xludf.DUMMYFUNCTION("""COMPUTED_VALUE"""),"Global Classroom")</f>
        <v>Global Classroom</v>
      </c>
      <c r="V1544" s="43" t="str">
        <f>IFERROR(__xludf.DUMMYFUNCTION("""COMPUTED_VALUE"""),"Lviv ")</f>
        <v>Lviv </v>
      </c>
      <c r="W1544" s="43" t="str">
        <f>IFERROR(__xludf.DUMMYFUNCTION("""COMPUTED_VALUE"""),"2023-11-07T14:21:05Z")</f>
        <v>2023-11-07T14:21:05Z</v>
      </c>
      <c r="X1544" s="43"/>
      <c r="Y1544" s="43"/>
      <c r="Z1544" s="43"/>
    </row>
    <row r="1545" hidden="1">
      <c r="A1545" s="43" t="str">
        <f>IFERROR(__xludf.DUMMYFUNCTION("""COMPUTED_VALUE"""),"5366992_1272564")</f>
        <v>5366992_1272564</v>
      </c>
      <c r="B1545" s="43" t="str">
        <f>IFERROR(__xludf.DUMMYFUNCTION("""COMPUTED_VALUE"""),"Andreea Olaru")</f>
        <v>Andreea Olaru</v>
      </c>
      <c r="C1545" s="43" t="str">
        <f>IFERROR(__xludf.DUMMYFUNCTION("""COMPUTED_VALUE"""),"approved")</f>
        <v>approved</v>
      </c>
      <c r="D1545" s="43" t="str">
        <f>IFERROR(__xludf.DUMMYFUNCTION("""COMPUTED_VALUE"""),"No")</f>
        <v>No</v>
      </c>
      <c r="E1545" s="43" t="str">
        <f>IFERROR(__xludf.DUMMYFUNCTION("""COMPUTED_VALUE"""),"p_67d2cd70fd17b270e74ea297413779b1e6773834@inbound.aiesec.org")</f>
        <v>p_67d2cd70fd17b270e74ea297413779b1e6773834@inbound.aiesec.org</v>
      </c>
      <c r="F1545" s="43">
        <f>IFERROR(__xludf.DUMMYFUNCTION("""COMPUTED_VALUE"""),7.47637263E8)</f>
        <v>747637263</v>
      </c>
      <c r="G1545" s="43" t="str">
        <f>IFERROR(__xludf.DUMMYFUNCTION("""COMPUTED_VALUE"""),"Romania")</f>
        <v>Romania</v>
      </c>
      <c r="H1545" s="43" t="str">
        <f>IFERROR(__xludf.DUMMYFUNCTION("""COMPUTED_VALUE"""),"University of Bucharest")</f>
        <v>University of Bucharest</v>
      </c>
      <c r="I1545" s="43" t="str">
        <f>IFERROR(__xludf.DUMMYFUNCTION("""COMPUTED_VALUE"""),"Turkey")</f>
        <v>Turkey</v>
      </c>
      <c r="J1545" s="43" t="str">
        <f>IFERROR(__xludf.DUMMYFUNCTION("""COMPUTED_VALUE"""),"ISTANBUL")</f>
        <v>ISTANBUL</v>
      </c>
      <c r="K1545" s="44" t="str">
        <f>IFERROR(__xludf.DUMMYFUNCTION("""COMPUTED_VALUE"""),"https://expa.aiesec.org/opportunities/1272564")</f>
        <v>https://expa.aiesec.org/opportunities/1272564</v>
      </c>
      <c r="L1545" s="43" t="str">
        <f>IFERROR(__xludf.DUMMYFUNCTION("""COMPUTED_VALUE"""),"GV")</f>
        <v>GV</v>
      </c>
      <c r="M1545" s="43" t="str">
        <f>IFERROR(__xludf.DUMMYFUNCTION("""COMPUTED_VALUE"""),"short")</f>
        <v>short</v>
      </c>
      <c r="N1545" s="45">
        <f>IFERROR(__xludf.DUMMYFUNCTION("""COMPUTED_VALUE"""),45240.0)</f>
        <v>45240</v>
      </c>
      <c r="O1545" s="45">
        <f>IFERROR(__xludf.DUMMYFUNCTION("""COMPUTED_VALUE"""),45483.0)</f>
        <v>45483</v>
      </c>
      <c r="P1545" s="45">
        <f>IFERROR(__xludf.DUMMYFUNCTION("""COMPUTED_VALUE"""),45525.0)</f>
        <v>45525</v>
      </c>
      <c r="Q1545" s="45"/>
      <c r="R1545" s="45"/>
      <c r="S1545" s="43"/>
      <c r="T1545" s="43"/>
      <c r="U1545" s="43" t="str">
        <f>IFERROR(__xludf.DUMMYFUNCTION("""COMPUTED_VALUE"""),"Global Classroom")</f>
        <v>Global Classroom</v>
      </c>
      <c r="V1545" s="43" t="str">
        <f>IFERROR(__xludf.DUMMYFUNCTION("""COMPUTED_VALUE"""),"Bucuresti - Universitatea din Bucuresti")</f>
        <v>Bucuresti - Universitatea din Bucuresti</v>
      </c>
      <c r="W1545" s="43" t="str">
        <f>IFERROR(__xludf.DUMMYFUNCTION("""COMPUTED_VALUE"""),"2023-11-04T21:01:46Z")</f>
        <v>2023-11-04T21:01:46Z</v>
      </c>
      <c r="X1545" s="43"/>
      <c r="Y1545" s="43"/>
      <c r="Z1545" s="43"/>
    </row>
    <row r="1546" hidden="1">
      <c r="A1546" s="43" t="str">
        <f>IFERROR(__xludf.DUMMYFUNCTION("""COMPUTED_VALUE"""),"5366657_1296105")</f>
        <v>5366657_1296105</v>
      </c>
      <c r="B1546" s="43" t="str">
        <f>IFERROR(__xludf.DUMMYFUNCTION("""COMPUTED_VALUE"""),"Dariya Assylbek")</f>
        <v>Dariya Assylbek</v>
      </c>
      <c r="C1546" s="43" t="str">
        <f>IFERROR(__xludf.DUMMYFUNCTION("""COMPUTED_VALUE"""),"approved")</f>
        <v>approved</v>
      </c>
      <c r="D1546" s="43" t="str">
        <f>IFERROR(__xludf.DUMMYFUNCTION("""COMPUTED_VALUE"""),"No")</f>
        <v>No</v>
      </c>
      <c r="E1546" s="43" t="str">
        <f>IFERROR(__xludf.DUMMYFUNCTION("""COMPUTED_VALUE"""),"p_cfe4eb29df9c4c19b118c616295584d51eb4ec5b@inbound.aiesec.org")</f>
        <v>p_cfe4eb29df9c4c19b118c616295584d51eb4ec5b@inbound.aiesec.org</v>
      </c>
      <c r="F1546" s="43">
        <f>IFERROR(__xludf.DUMMYFUNCTION("""COMPUTED_VALUE"""),7.771220305E9)</f>
        <v>7771220305</v>
      </c>
      <c r="G1546" s="43" t="str">
        <f>IFERROR(__xludf.DUMMYFUNCTION("""COMPUTED_VALUE"""),"Kazakhstan")</f>
        <v>Kazakhstan</v>
      </c>
      <c r="H1546" s="43" t="str">
        <f>IFERROR(__xludf.DUMMYFUNCTION("""COMPUTED_VALUE"""),"ALMATY")</f>
        <v>ALMATY</v>
      </c>
      <c r="I1546" s="43" t="str">
        <f>IFERROR(__xludf.DUMMYFUNCTION("""COMPUTED_VALUE"""),"Turkey")</f>
        <v>Turkey</v>
      </c>
      <c r="J1546" s="43" t="str">
        <f>IFERROR(__xludf.DUMMYFUNCTION("""COMPUTED_VALUE"""),"ANKARA")</f>
        <v>ANKARA</v>
      </c>
      <c r="K1546" s="44" t="str">
        <f>IFERROR(__xludf.DUMMYFUNCTION("""COMPUTED_VALUE"""),"https://expa.aiesec.org/opportunities/1296105")</f>
        <v>https://expa.aiesec.org/opportunities/1296105</v>
      </c>
      <c r="L1546" s="43" t="str">
        <f>IFERROR(__xludf.DUMMYFUNCTION("""COMPUTED_VALUE"""),"GV")</f>
        <v>GV</v>
      </c>
      <c r="M1546" s="43" t="str">
        <f>IFERROR(__xludf.DUMMYFUNCTION("""COMPUTED_VALUE"""),"short")</f>
        <v>short</v>
      </c>
      <c r="N1546" s="45">
        <f>IFERROR(__xludf.DUMMYFUNCTION("""COMPUTED_VALUE"""),45241.0)</f>
        <v>45241</v>
      </c>
      <c r="O1546" s="45">
        <f>IFERROR(__xludf.DUMMYFUNCTION("""COMPUTED_VALUE"""),45327.0)</f>
        <v>45327</v>
      </c>
      <c r="P1546" s="45">
        <f>IFERROR(__xludf.DUMMYFUNCTION("""COMPUTED_VALUE"""),45369.0)</f>
        <v>45369</v>
      </c>
      <c r="Q1546" s="45"/>
      <c r="R1546" s="45"/>
      <c r="S1546" s="43"/>
      <c r="T1546" s="43"/>
      <c r="U1546" s="43" t="str">
        <f>IFERROR(__xludf.DUMMYFUNCTION("""COMPUTED_VALUE"""),"Fingerprint")</f>
        <v>Fingerprint</v>
      </c>
      <c r="V1546" s="43" t="str">
        <f>IFERROR(__xludf.DUMMYFUNCTION("""COMPUTED_VALUE"""),"Almaty")</f>
        <v>Almaty</v>
      </c>
      <c r="W1546" s="43" t="str">
        <f>IFERROR(__xludf.DUMMYFUNCTION("""COMPUTED_VALUE"""),"2023-11-04T07:29:12Z")</f>
        <v>2023-11-04T07:29:12Z</v>
      </c>
      <c r="X1546" s="43"/>
      <c r="Y1546" s="43"/>
      <c r="Z1546" s="43"/>
    </row>
    <row r="1547" hidden="1">
      <c r="A1547" s="43" t="str">
        <f>IFERROR(__xludf.DUMMYFUNCTION("""COMPUTED_VALUE"""),"5370755_1284670")</f>
        <v>5370755_1284670</v>
      </c>
      <c r="B1547" s="43" t="str">
        <f>IFERROR(__xludf.DUMMYFUNCTION("""COMPUTED_VALUE"""),"yasmine ben ftima")</f>
        <v>yasmine ben ftima</v>
      </c>
      <c r="C1547" s="43" t="str">
        <f>IFERROR(__xludf.DUMMYFUNCTION("""COMPUTED_VALUE"""),"approved")</f>
        <v>approved</v>
      </c>
      <c r="D1547" s="43" t="str">
        <f>IFERROR(__xludf.DUMMYFUNCTION("""COMPUTED_VALUE"""),"No")</f>
        <v>No</v>
      </c>
      <c r="E1547" s="43" t="str">
        <f>IFERROR(__xludf.DUMMYFUNCTION("""COMPUTED_VALUE"""),"p_5b1cd4e9c38670d067bf166b56934526fcf26b57@inbound.aiesec.org")</f>
        <v>p_5b1cd4e9c38670d067bf166b56934526fcf26b57@inbound.aiesec.org</v>
      </c>
      <c r="F1547" s="43">
        <f>IFERROR(__xludf.DUMMYFUNCTION("""COMPUTED_VALUE"""),2.2328205E7)</f>
        <v>22328205</v>
      </c>
      <c r="G1547" s="43" t="str">
        <f>IFERROR(__xludf.DUMMYFUNCTION("""COMPUTED_VALUE"""),"Tunisia")</f>
        <v>Tunisia</v>
      </c>
      <c r="H1547" s="43" t="str">
        <f>IFERROR(__xludf.DUMMYFUNCTION("""COMPUTED_VALUE"""),"HADRUMET")</f>
        <v>HADRUMET</v>
      </c>
      <c r="I1547" s="43" t="str">
        <f>IFERROR(__xludf.DUMMYFUNCTION("""COMPUTED_VALUE"""),"Turkey")</f>
        <v>Turkey</v>
      </c>
      <c r="J1547" s="43" t="str">
        <f>IFERROR(__xludf.DUMMYFUNCTION("""COMPUTED_VALUE"""),"ISTANBUL")</f>
        <v>ISTANBUL</v>
      </c>
      <c r="K1547" s="44" t="str">
        <f>IFERROR(__xludf.DUMMYFUNCTION("""COMPUTED_VALUE"""),"https://expa.aiesec.org/opportunities/1284670")</f>
        <v>https://expa.aiesec.org/opportunities/1284670</v>
      </c>
      <c r="L1547" s="43" t="str">
        <f>IFERROR(__xludf.DUMMYFUNCTION("""COMPUTED_VALUE"""),"GV")</f>
        <v>GV</v>
      </c>
      <c r="M1547" s="43" t="str">
        <f>IFERROR(__xludf.DUMMYFUNCTION("""COMPUTED_VALUE"""),"short")</f>
        <v>short</v>
      </c>
      <c r="N1547" s="45">
        <f>IFERROR(__xludf.DUMMYFUNCTION("""COMPUTED_VALUE"""),45241.0)</f>
        <v>45241</v>
      </c>
      <c r="O1547" s="45">
        <f>IFERROR(__xludf.DUMMYFUNCTION("""COMPUTED_VALUE"""),45476.0)</f>
        <v>45476</v>
      </c>
      <c r="P1547" s="45">
        <f>IFERROR(__xludf.DUMMYFUNCTION("""COMPUTED_VALUE"""),45518.0)</f>
        <v>45518</v>
      </c>
      <c r="Q1547" s="45"/>
      <c r="R1547" s="45"/>
      <c r="S1547" s="43"/>
      <c r="T1547" s="43"/>
      <c r="U1547" s="43" t="str">
        <f>IFERROR(__xludf.DUMMYFUNCTION("""COMPUTED_VALUE"""),"Heartbeat")</f>
        <v>Heartbeat</v>
      </c>
      <c r="V1547" s="43" t="str">
        <f>IFERROR(__xludf.DUMMYFUNCTION("""COMPUTED_VALUE"""),"UPSAT Sousse")</f>
        <v>UPSAT Sousse</v>
      </c>
      <c r="W1547" s="43" t="str">
        <f>IFERROR(__xludf.DUMMYFUNCTION("""COMPUTED_VALUE"""),"2023-11-11T13:05:49Z")</f>
        <v>2023-11-11T13:05:49Z</v>
      </c>
      <c r="X1547" s="43"/>
      <c r="Y1547" s="43"/>
      <c r="Z1547" s="43"/>
    </row>
    <row r="1548" hidden="1">
      <c r="A1548" s="43" t="str">
        <f>IFERROR(__xludf.DUMMYFUNCTION("""COMPUTED_VALUE"""),"5370518_1286326")</f>
        <v>5370518_1286326</v>
      </c>
      <c r="B1548" s="43" t="str">
        <f>IFERROR(__xludf.DUMMYFUNCTION("""COMPUTED_VALUE"""),"Karina Sobko")</f>
        <v>Karina Sobko</v>
      </c>
      <c r="C1548" s="43" t="str">
        <f>IFERROR(__xludf.DUMMYFUNCTION("""COMPUTED_VALUE"""),"approved")</f>
        <v>approved</v>
      </c>
      <c r="D1548" s="43" t="str">
        <f>IFERROR(__xludf.DUMMYFUNCTION("""COMPUTED_VALUE"""),"No")</f>
        <v>No</v>
      </c>
      <c r="E1548" s="43" t="str">
        <f>IFERROR(__xludf.DUMMYFUNCTION("""COMPUTED_VALUE"""),"p_e98c90d672e4d478fc8af5847d1264fb7542ffa9@inbound.aiesec.org")</f>
        <v>p_e98c90d672e4d478fc8af5847d1264fb7542ffa9@inbound.aiesec.org</v>
      </c>
      <c r="F1548" s="43">
        <f>IFERROR(__xludf.DUMMYFUNCTION("""COMPUTED_VALUE"""),6.87770754E8)</f>
        <v>687770754</v>
      </c>
      <c r="G1548" s="43" t="str">
        <f>IFERROR(__xludf.DUMMYFUNCTION("""COMPUTED_VALUE"""),"Ukraine")</f>
        <v>Ukraine</v>
      </c>
      <c r="H1548" s="43" t="str">
        <f>IFERROR(__xludf.DUMMYFUNCTION("""COMPUTED_VALUE"""),"IVANO-FRANKIVSK")</f>
        <v>IVANO-FRANKIVSK</v>
      </c>
      <c r="I1548" s="43" t="str">
        <f>IFERROR(__xludf.DUMMYFUNCTION("""COMPUTED_VALUE"""),"Turkey")</f>
        <v>Turkey</v>
      </c>
      <c r="J1548" s="43" t="str">
        <f>IFERROR(__xludf.DUMMYFUNCTION("""COMPUTED_VALUE"""),"ADANA")</f>
        <v>ADANA</v>
      </c>
      <c r="K1548" s="44" t="str">
        <f>IFERROR(__xludf.DUMMYFUNCTION("""COMPUTED_VALUE"""),"https://expa.aiesec.org/opportunities/1286326")</f>
        <v>https://expa.aiesec.org/opportunities/1286326</v>
      </c>
      <c r="L1548" s="43" t="str">
        <f>IFERROR(__xludf.DUMMYFUNCTION("""COMPUTED_VALUE"""),"GV")</f>
        <v>GV</v>
      </c>
      <c r="M1548" s="43" t="str">
        <f>IFERROR(__xludf.DUMMYFUNCTION("""COMPUTED_VALUE"""),"short")</f>
        <v>short</v>
      </c>
      <c r="N1548" s="45">
        <f>IFERROR(__xludf.DUMMYFUNCTION("""COMPUTED_VALUE"""),45241.0)</f>
        <v>45241</v>
      </c>
      <c r="O1548" s="45">
        <f>IFERROR(__xludf.DUMMYFUNCTION("""COMPUTED_VALUE"""),45413.0)</f>
        <v>45413</v>
      </c>
      <c r="P1548" s="45">
        <f>IFERROR(__xludf.DUMMYFUNCTION("""COMPUTED_VALUE"""),45455.0)</f>
        <v>45455</v>
      </c>
      <c r="Q1548" s="45"/>
      <c r="R1548" s="45"/>
      <c r="S1548" s="43"/>
      <c r="T1548" s="43"/>
      <c r="U1548" s="43" t="str">
        <f>IFERROR(__xludf.DUMMYFUNCTION("""COMPUTED_VALUE"""),"Equify")</f>
        <v>Equify</v>
      </c>
      <c r="V1548" s="43" t="str">
        <f>IFERROR(__xludf.DUMMYFUNCTION("""COMPUTED_VALUE"""),"Ivano-Frankivsk")</f>
        <v>Ivano-Frankivsk</v>
      </c>
      <c r="W1548" s="43" t="str">
        <f>IFERROR(__xludf.DUMMYFUNCTION("""COMPUTED_VALUE"""),"2023-11-10T18:58:42Z")</f>
        <v>2023-11-10T18:58:42Z</v>
      </c>
      <c r="X1548" s="43"/>
      <c r="Y1548" s="43"/>
      <c r="Z1548" s="43"/>
    </row>
    <row r="1549" hidden="1">
      <c r="A1549" s="43" t="str">
        <f>IFERROR(__xludf.DUMMYFUNCTION("""COMPUTED_VALUE"""),"5366690_1285687")</f>
        <v>5366690_1285687</v>
      </c>
      <c r="B1549" s="43" t="str">
        <f>IFERROR(__xludf.DUMMYFUNCTION("""COMPUTED_VALUE"""),"Bohdana Batsko")</f>
        <v>Bohdana Batsko</v>
      </c>
      <c r="C1549" s="43" t="str">
        <f>IFERROR(__xludf.DUMMYFUNCTION("""COMPUTED_VALUE"""),"realized")</f>
        <v>realized</v>
      </c>
      <c r="D1549" s="43" t="str">
        <f>IFERROR(__xludf.DUMMYFUNCTION("""COMPUTED_VALUE"""),"No")</f>
        <v>No</v>
      </c>
      <c r="E1549" s="43" t="str">
        <f>IFERROR(__xludf.DUMMYFUNCTION("""COMPUTED_VALUE"""),"p_c891b0022dd8ab583f3f41c2e7abae5590a8504e@inbound.aiesec.org")</f>
        <v>p_c891b0022dd8ab583f3f41c2e7abae5590a8504e@inbound.aiesec.org</v>
      </c>
      <c r="F1549" s="43"/>
      <c r="G1549" s="43" t="str">
        <f>IFERROR(__xludf.DUMMYFUNCTION("""COMPUTED_VALUE"""),"Ukraine")</f>
        <v>Ukraine</v>
      </c>
      <c r="H1549" s="43" t="str">
        <f>IFERROR(__xludf.DUMMYFUNCTION("""COMPUTED_VALUE"""),"KYIV")</f>
        <v>KYIV</v>
      </c>
      <c r="I1549" s="43" t="str">
        <f>IFERROR(__xludf.DUMMYFUNCTION("""COMPUTED_VALUE"""),"Turkey")</f>
        <v>Turkey</v>
      </c>
      <c r="J1549" s="43" t="str">
        <f>IFERROR(__xludf.DUMMYFUNCTION("""COMPUTED_VALUE"""),"ISTANBUL")</f>
        <v>ISTANBUL</v>
      </c>
      <c r="K1549" s="44" t="str">
        <f>IFERROR(__xludf.DUMMYFUNCTION("""COMPUTED_VALUE"""),"https://expa.aiesec.org/opportunities/1285687")</f>
        <v>https://expa.aiesec.org/opportunities/1285687</v>
      </c>
      <c r="L1549" s="43" t="str">
        <f>IFERROR(__xludf.DUMMYFUNCTION("""COMPUTED_VALUE"""),"GV")</f>
        <v>GV</v>
      </c>
      <c r="M1549" s="43" t="str">
        <f>IFERROR(__xludf.DUMMYFUNCTION("""COMPUTED_VALUE"""),"short")</f>
        <v>short</v>
      </c>
      <c r="N1549" s="45">
        <f>IFERROR(__xludf.DUMMYFUNCTION("""COMPUTED_VALUE"""),45241.0)</f>
        <v>45241</v>
      </c>
      <c r="O1549" s="45">
        <f>IFERROR(__xludf.DUMMYFUNCTION("""COMPUTED_VALUE"""),45284.0)</f>
        <v>45284</v>
      </c>
      <c r="P1549" s="45">
        <f>IFERROR(__xludf.DUMMYFUNCTION("""COMPUTED_VALUE"""),45326.0)</f>
        <v>45326</v>
      </c>
      <c r="Q1549" s="45">
        <f>IFERROR(__xludf.DUMMYFUNCTION("""COMPUTED_VALUE"""),45287.0)</f>
        <v>45287</v>
      </c>
      <c r="R1549" s="45">
        <f>IFERROR(__xludf.DUMMYFUNCTION("""COMPUTED_VALUE"""),45327.0)</f>
        <v>45327</v>
      </c>
      <c r="S1549" s="43"/>
      <c r="T1549" s="43"/>
      <c r="U1549" s="43" t="str">
        <f>IFERROR(__xludf.DUMMYFUNCTION("""COMPUTED_VALUE"""),"Youth 4 Impact")</f>
        <v>Youth 4 Impact</v>
      </c>
      <c r="V1549" s="43" t="str">
        <f>IFERROR(__xludf.DUMMYFUNCTION("""COMPUTED_VALUE"""),"-")</f>
        <v>-</v>
      </c>
      <c r="W1549" s="43" t="str">
        <f>IFERROR(__xludf.DUMMYFUNCTION("""COMPUTED_VALUE"""),"2023-11-04T09:38:25Z")</f>
        <v>2023-11-04T09:38:25Z</v>
      </c>
      <c r="X1549" s="43"/>
      <c r="Y1549" s="43"/>
      <c r="Z1549" s="43"/>
    </row>
    <row r="1550" hidden="1">
      <c r="A1550" s="43" t="str">
        <f>IFERROR(__xludf.DUMMYFUNCTION("""COMPUTED_VALUE"""),"5366412_1300624")</f>
        <v>5366412_1300624</v>
      </c>
      <c r="B1550" s="43" t="str">
        <f>IFERROR(__xludf.DUMMYFUNCTION("""COMPUTED_VALUE"""),"Shyamal De Silva")</f>
        <v>Shyamal De Silva</v>
      </c>
      <c r="C1550" s="43" t="str">
        <f>IFERROR(__xludf.DUMMYFUNCTION("""COMPUTED_VALUE"""),"completed")</f>
        <v>completed</v>
      </c>
      <c r="D1550" s="43" t="str">
        <f>IFERROR(__xludf.DUMMYFUNCTION("""COMPUTED_VALUE"""),"No")</f>
        <v>No</v>
      </c>
      <c r="E1550" s="43" t="str">
        <f>IFERROR(__xludf.DUMMYFUNCTION("""COMPUTED_VALUE"""),"p_9cbbc27b0ecc446abcd6e73eeeb2f956698d0a38@inbound.aiesec.org")</f>
        <v>p_9cbbc27b0ecc446abcd6e73eeeb2f956698d0a38@inbound.aiesec.org</v>
      </c>
      <c r="F1550" s="43">
        <f>IFERROR(__xludf.DUMMYFUNCTION("""COMPUTED_VALUE"""),7.61210434E8)</f>
        <v>761210434</v>
      </c>
      <c r="G1550" s="43" t="str">
        <f>IFERROR(__xludf.DUMMYFUNCTION("""COMPUTED_VALUE"""),"Sri Lanka")</f>
        <v>Sri Lanka</v>
      </c>
      <c r="H1550" s="43" t="str">
        <f>IFERROR(__xludf.DUMMYFUNCTION("""COMPUTED_VALUE"""),"COLOMBO SOUTH")</f>
        <v>COLOMBO SOUTH</v>
      </c>
      <c r="I1550" s="43" t="str">
        <f>IFERROR(__xludf.DUMMYFUNCTION("""COMPUTED_VALUE"""),"Turkey")</f>
        <v>Turkey</v>
      </c>
      <c r="J1550" s="43" t="str">
        <f>IFERROR(__xludf.DUMMYFUNCTION("""COMPUTED_VALUE"""),"ESKISEHIR")</f>
        <v>ESKISEHIR</v>
      </c>
      <c r="K1550" s="44" t="str">
        <f>IFERROR(__xludf.DUMMYFUNCTION("""COMPUTED_VALUE"""),"https://expa.aiesec.org/opportunities/1300624")</f>
        <v>https://expa.aiesec.org/opportunities/1300624</v>
      </c>
      <c r="L1550" s="43" t="str">
        <f>IFERROR(__xludf.DUMMYFUNCTION("""COMPUTED_VALUE"""),"GV")</f>
        <v>GV</v>
      </c>
      <c r="M1550" s="43" t="str">
        <f>IFERROR(__xludf.DUMMYFUNCTION("""COMPUTED_VALUE"""),"short")</f>
        <v>short</v>
      </c>
      <c r="N1550" s="45">
        <f>IFERROR(__xludf.DUMMYFUNCTION("""COMPUTED_VALUE"""),45241.0)</f>
        <v>45241</v>
      </c>
      <c r="O1550" s="45">
        <f>IFERROR(__xludf.DUMMYFUNCTION("""COMPUTED_VALUE"""),45264.0)</f>
        <v>45264</v>
      </c>
      <c r="P1550" s="45">
        <f>IFERROR(__xludf.DUMMYFUNCTION("""COMPUTED_VALUE"""),45306.0)</f>
        <v>45306</v>
      </c>
      <c r="Q1550" s="45">
        <f>IFERROR(__xludf.DUMMYFUNCTION("""COMPUTED_VALUE"""),45270.0)</f>
        <v>45270</v>
      </c>
      <c r="R1550" s="45">
        <f>IFERROR(__xludf.DUMMYFUNCTION("""COMPUTED_VALUE"""),45310.0)</f>
        <v>45310</v>
      </c>
      <c r="S1550" s="43"/>
      <c r="T1550" s="43"/>
      <c r="U1550" s="43" t="str">
        <f>IFERROR(__xludf.DUMMYFUNCTION("""COMPUTED_VALUE"""),"Global Classroom")</f>
        <v>Global Classroom</v>
      </c>
      <c r="V1550" s="43" t="str">
        <f>IFERROR(__xludf.DUMMYFUNCTION("""COMPUTED_VALUE"""),"University of Moratuwa")</f>
        <v>University of Moratuwa</v>
      </c>
      <c r="W1550" s="43" t="str">
        <f>IFERROR(__xludf.DUMMYFUNCTION("""COMPUTED_VALUE"""),"2023-11-03T15:38:00Z")</f>
        <v>2023-11-03T15:38:00Z</v>
      </c>
      <c r="X1550" s="43"/>
      <c r="Y1550" s="43"/>
      <c r="Z1550" s="43"/>
    </row>
    <row r="1551" hidden="1">
      <c r="A1551" s="43" t="str">
        <f>IFERROR(__xludf.DUMMYFUNCTION("""COMPUTED_VALUE"""),"5352410_1298282")</f>
        <v>5352410_1298282</v>
      </c>
      <c r="B1551" s="43" t="str">
        <f>IFERROR(__xludf.DUMMYFUNCTION("""COMPUTED_VALUE"""),"Dalal Meliani")</f>
        <v>Dalal Meliani</v>
      </c>
      <c r="C1551" s="43" t="str">
        <f>IFERROR(__xludf.DUMMYFUNCTION("""COMPUTED_VALUE"""),"approved")</f>
        <v>approved</v>
      </c>
      <c r="D1551" s="43" t="str">
        <f>IFERROR(__xludf.DUMMYFUNCTION("""COMPUTED_VALUE"""),"No")</f>
        <v>No</v>
      </c>
      <c r="E1551" s="43" t="str">
        <f>IFERROR(__xludf.DUMMYFUNCTION("""COMPUTED_VALUE"""),"p_ed9bd5569048279a6c32d01197d275a7824f49bd@inbound.aiesec.org")</f>
        <v>p_ed9bd5569048279a6c32d01197d275a7824f49bd@inbound.aiesec.org</v>
      </c>
      <c r="F1551" s="43">
        <f>IFERROR(__xludf.DUMMYFUNCTION("""COMPUTED_VALUE"""),6.64463315E8)</f>
        <v>664463315</v>
      </c>
      <c r="G1551" s="43" t="str">
        <f>IFERROR(__xludf.DUMMYFUNCTION("""COMPUTED_VALUE"""),"Algeria")</f>
        <v>Algeria</v>
      </c>
      <c r="H1551" s="43" t="str">
        <f>IFERROR(__xludf.DUMMYFUNCTION("""COMPUTED_VALUE"""),"Oran")</f>
        <v>Oran</v>
      </c>
      <c r="I1551" s="43" t="str">
        <f>IFERROR(__xludf.DUMMYFUNCTION("""COMPUTED_VALUE"""),"Turkey")</f>
        <v>Turkey</v>
      </c>
      <c r="J1551" s="43" t="str">
        <f>IFERROR(__xludf.DUMMYFUNCTION("""COMPUTED_VALUE"""),"ISTANBUL")</f>
        <v>ISTANBUL</v>
      </c>
      <c r="K1551" s="44" t="str">
        <f>IFERROR(__xludf.DUMMYFUNCTION("""COMPUTED_VALUE"""),"https://expa.aiesec.org/opportunities/1298282")</f>
        <v>https://expa.aiesec.org/opportunities/1298282</v>
      </c>
      <c r="L1551" s="43" t="str">
        <f>IFERROR(__xludf.DUMMYFUNCTION("""COMPUTED_VALUE"""),"GV")</f>
        <v>GV</v>
      </c>
      <c r="M1551" s="43" t="str">
        <f>IFERROR(__xludf.DUMMYFUNCTION("""COMPUTED_VALUE"""),"short")</f>
        <v>short</v>
      </c>
      <c r="N1551" s="45">
        <f>IFERROR(__xludf.DUMMYFUNCTION("""COMPUTED_VALUE"""),45241.0)</f>
        <v>45241</v>
      </c>
      <c r="O1551" s="45">
        <f>IFERROR(__xludf.DUMMYFUNCTION("""COMPUTED_VALUE"""),45333.0)</f>
        <v>45333</v>
      </c>
      <c r="P1551" s="45">
        <f>IFERROR(__xludf.DUMMYFUNCTION("""COMPUTED_VALUE"""),45375.0)</f>
        <v>45375</v>
      </c>
      <c r="Q1551" s="45"/>
      <c r="R1551" s="45"/>
      <c r="S1551" s="43"/>
      <c r="T1551" s="43"/>
      <c r="U1551" s="43" t="str">
        <f>IFERROR(__xludf.DUMMYFUNCTION("""COMPUTED_VALUE"""),"Green Leaders")</f>
        <v>Green Leaders</v>
      </c>
      <c r="V1551" s="43" t="str">
        <f>IFERROR(__xludf.DUMMYFUNCTION("""COMPUTED_VALUE"""),"AIESEC in Oran")</f>
        <v>AIESEC in Oran</v>
      </c>
      <c r="W1551" s="43" t="str">
        <f>IFERROR(__xludf.DUMMYFUNCTION("""COMPUTED_VALUE"""),"2023-10-15T18:24:18Z")</f>
        <v>2023-10-15T18:24:18Z</v>
      </c>
      <c r="X1551" s="43"/>
      <c r="Y1551" s="43"/>
      <c r="Z1551" s="43"/>
    </row>
    <row r="1552" hidden="1">
      <c r="A1552" s="43" t="str">
        <f>IFERROR(__xludf.DUMMYFUNCTION("""COMPUTED_VALUE"""),"5309237_1295893")</f>
        <v>5309237_1295893</v>
      </c>
      <c r="B1552" s="43" t="str">
        <f>IFERROR(__xludf.DUMMYFUNCTION("""COMPUTED_VALUE"""),"Samrudhi Rathod")</f>
        <v>Samrudhi Rathod</v>
      </c>
      <c r="C1552" s="43" t="str">
        <f>IFERROR(__xludf.DUMMYFUNCTION("""COMPUTED_VALUE"""),"approved")</f>
        <v>approved</v>
      </c>
      <c r="D1552" s="43" t="str">
        <f>IFERROR(__xludf.DUMMYFUNCTION("""COMPUTED_VALUE"""),"No")</f>
        <v>No</v>
      </c>
      <c r="E1552" s="43" t="str">
        <f>IFERROR(__xludf.DUMMYFUNCTION("""COMPUTED_VALUE"""),"p_0770d5fd8a65ebcf7805e7a10b97e07f92c4f03c@inbound.aiesec.org")</f>
        <v>p_0770d5fd8a65ebcf7805e7a10b97e07f92c4f03c@inbound.aiesec.org</v>
      </c>
      <c r="F1552" s="43"/>
      <c r="G1552" s="43" t="str">
        <f>IFERROR(__xludf.DUMMYFUNCTION("""COMPUTED_VALUE"""),"India")</f>
        <v>India</v>
      </c>
      <c r="H1552" s="43" t="str">
        <f>IFERROR(__xludf.DUMMYFUNCTION("""COMPUTED_VALUE"""),"Mumbai")</f>
        <v>Mumbai</v>
      </c>
      <c r="I1552" s="43" t="str">
        <f>IFERROR(__xludf.DUMMYFUNCTION("""COMPUTED_VALUE"""),"Turkey")</f>
        <v>Turkey</v>
      </c>
      <c r="J1552" s="43" t="str">
        <f>IFERROR(__xludf.DUMMYFUNCTION("""COMPUTED_VALUE"""),"ADANA")</f>
        <v>ADANA</v>
      </c>
      <c r="K1552" s="44" t="str">
        <f>IFERROR(__xludf.DUMMYFUNCTION("""COMPUTED_VALUE"""),"https://expa.aiesec.org/opportunities/1295893")</f>
        <v>https://expa.aiesec.org/opportunities/1295893</v>
      </c>
      <c r="L1552" s="43" t="str">
        <f>IFERROR(__xludf.DUMMYFUNCTION("""COMPUTED_VALUE"""),"GV")</f>
        <v>GV</v>
      </c>
      <c r="M1552" s="43" t="str">
        <f>IFERROR(__xludf.DUMMYFUNCTION("""COMPUTED_VALUE"""),"short")</f>
        <v>short</v>
      </c>
      <c r="N1552" s="45">
        <f>IFERROR(__xludf.DUMMYFUNCTION("""COMPUTED_VALUE"""),45241.0)</f>
        <v>45241</v>
      </c>
      <c r="O1552" s="45">
        <f>IFERROR(__xludf.DUMMYFUNCTION("""COMPUTED_VALUE"""),45411.0)</f>
        <v>45411</v>
      </c>
      <c r="P1552" s="45">
        <f>IFERROR(__xludf.DUMMYFUNCTION("""COMPUTED_VALUE"""),45457.0)</f>
        <v>45457</v>
      </c>
      <c r="Q1552" s="45"/>
      <c r="R1552" s="45"/>
      <c r="S1552" s="43"/>
      <c r="T1552" s="43"/>
      <c r="U1552" s="43" t="str">
        <f>IFERROR(__xludf.DUMMYFUNCTION("""COMPUTED_VALUE"""),"Global Classroom")</f>
        <v>Global Classroom</v>
      </c>
      <c r="V1552" s="43" t="str">
        <f>IFERROR(__xludf.DUMMYFUNCTION("""COMPUTED_VALUE"""),"-")</f>
        <v>-</v>
      </c>
      <c r="W1552" s="43" t="str">
        <f>IFERROR(__xludf.DUMMYFUNCTION("""COMPUTED_VALUE"""),"2023-08-25T11:47:12Z")</f>
        <v>2023-08-25T11:47:12Z</v>
      </c>
      <c r="X1552" s="43"/>
      <c r="Y1552" s="43"/>
      <c r="Z1552" s="43"/>
    </row>
    <row r="1553" hidden="1">
      <c r="A1553" s="43" t="str">
        <f>IFERROR(__xludf.DUMMYFUNCTION("""COMPUTED_VALUE"""),"5139131_1300558")</f>
        <v>5139131_1300558</v>
      </c>
      <c r="B1553" s="43" t="str">
        <f>IFERROR(__xludf.DUMMYFUNCTION("""COMPUTED_VALUE"""),"Fouad Boufenneche")</f>
        <v>Fouad Boufenneche</v>
      </c>
      <c r="C1553" s="43" t="str">
        <f>IFERROR(__xludf.DUMMYFUNCTION("""COMPUTED_VALUE"""),"approved")</f>
        <v>approved</v>
      </c>
      <c r="D1553" s="43" t="str">
        <f>IFERROR(__xludf.DUMMYFUNCTION("""COMPUTED_VALUE"""),"No")</f>
        <v>No</v>
      </c>
      <c r="E1553" s="43" t="str">
        <f>IFERROR(__xludf.DUMMYFUNCTION("""COMPUTED_VALUE"""),"p_dc45ae17d99d3680418901af37337a64a2cdd8db@inbound.aiesec.org")</f>
        <v>p_dc45ae17d99d3680418901af37337a64a2cdd8db@inbound.aiesec.org</v>
      </c>
      <c r="F1553" s="43"/>
      <c r="G1553" s="43" t="str">
        <f>IFERROR(__xludf.DUMMYFUNCTION("""COMPUTED_VALUE"""),"Algeria")</f>
        <v>Algeria</v>
      </c>
      <c r="H1553" s="43" t="str">
        <f>IFERROR(__xludf.DUMMYFUNCTION("""COMPUTED_VALUE"""),"Benak")</f>
        <v>Benak</v>
      </c>
      <c r="I1553" s="43" t="str">
        <f>IFERROR(__xludf.DUMMYFUNCTION("""COMPUTED_VALUE"""),"Turkey")</f>
        <v>Turkey</v>
      </c>
      <c r="J1553" s="43" t="str">
        <f>IFERROR(__xludf.DUMMYFUNCTION("""COMPUTED_VALUE"""),"ISTANBUL ASIA")</f>
        <v>ISTANBUL ASIA</v>
      </c>
      <c r="K1553" s="44" t="str">
        <f>IFERROR(__xludf.DUMMYFUNCTION("""COMPUTED_VALUE"""),"https://expa.aiesec.org/opportunities/1300558")</f>
        <v>https://expa.aiesec.org/opportunities/1300558</v>
      </c>
      <c r="L1553" s="43" t="str">
        <f>IFERROR(__xludf.DUMMYFUNCTION("""COMPUTED_VALUE"""),"GV")</f>
        <v>GV</v>
      </c>
      <c r="M1553" s="43" t="str">
        <f>IFERROR(__xludf.DUMMYFUNCTION("""COMPUTED_VALUE"""),"short")</f>
        <v>short</v>
      </c>
      <c r="N1553" s="45">
        <f>IFERROR(__xludf.DUMMYFUNCTION("""COMPUTED_VALUE"""),45241.0)</f>
        <v>45241</v>
      </c>
      <c r="O1553" s="45">
        <f>IFERROR(__xludf.DUMMYFUNCTION("""COMPUTED_VALUE"""),45257.0)</f>
        <v>45257</v>
      </c>
      <c r="P1553" s="45">
        <f>IFERROR(__xludf.DUMMYFUNCTION("""COMPUTED_VALUE"""),45299.0)</f>
        <v>45299</v>
      </c>
      <c r="Q1553" s="45"/>
      <c r="R1553" s="45"/>
      <c r="S1553" s="43"/>
      <c r="T1553" s="43"/>
      <c r="U1553" s="43" t="str">
        <f>IFERROR(__xludf.DUMMYFUNCTION("""COMPUTED_VALUE"""),"Global Classroom")</f>
        <v>Global Classroom</v>
      </c>
      <c r="V1553" s="43" t="str">
        <f>IFERROR(__xludf.DUMMYFUNCTION("""COMPUTED_VALUE"""),"AIESEC in Benak")</f>
        <v>AIESEC in Benak</v>
      </c>
      <c r="W1553" s="43" t="str">
        <f>IFERROR(__xludf.DUMMYFUNCTION("""COMPUTED_VALUE"""),"2022-10-23T19:36:49Z")</f>
        <v>2022-10-23T19:36:49Z</v>
      </c>
      <c r="X1553" s="43"/>
      <c r="Y1553" s="43"/>
      <c r="Z1553" s="43"/>
    </row>
    <row r="1554" hidden="1">
      <c r="A1554" s="43" t="str">
        <f>IFERROR(__xludf.DUMMYFUNCTION("""COMPUTED_VALUE"""),"5370894_1284670")</f>
        <v>5370894_1284670</v>
      </c>
      <c r="B1554" s="43" t="str">
        <f>IFERROR(__xludf.DUMMYFUNCTION("""COMPUTED_VALUE"""),"Hiba ben lamine")</f>
        <v>Hiba ben lamine</v>
      </c>
      <c r="C1554" s="43" t="str">
        <f>IFERROR(__xludf.DUMMYFUNCTION("""COMPUTED_VALUE"""),"approved")</f>
        <v>approved</v>
      </c>
      <c r="D1554" s="43" t="str">
        <f>IFERROR(__xludf.DUMMYFUNCTION("""COMPUTED_VALUE"""),"No")</f>
        <v>No</v>
      </c>
      <c r="E1554" s="43" t="str">
        <f>IFERROR(__xludf.DUMMYFUNCTION("""COMPUTED_VALUE"""),"p_34a7ec19305eb12ccfda90de5feda8e3bef0a8ed@inbound.aiesec.org")</f>
        <v>p_34a7ec19305eb12ccfda90de5feda8e3bef0a8ed@inbound.aiesec.org</v>
      </c>
      <c r="F1554" s="43">
        <f>IFERROR(__xludf.DUMMYFUNCTION("""COMPUTED_VALUE"""),5.1000371E7)</f>
        <v>51000371</v>
      </c>
      <c r="G1554" s="43" t="str">
        <f>IFERROR(__xludf.DUMMYFUNCTION("""COMPUTED_VALUE"""),"Tunisia")</f>
        <v>Tunisia</v>
      </c>
      <c r="H1554" s="43" t="str">
        <f>IFERROR(__xludf.DUMMYFUNCTION("""COMPUTED_VALUE"""),"HADRUMET")</f>
        <v>HADRUMET</v>
      </c>
      <c r="I1554" s="43" t="str">
        <f>IFERROR(__xludf.DUMMYFUNCTION("""COMPUTED_VALUE"""),"Turkey")</f>
        <v>Turkey</v>
      </c>
      <c r="J1554" s="43" t="str">
        <f>IFERROR(__xludf.DUMMYFUNCTION("""COMPUTED_VALUE"""),"ISTANBUL")</f>
        <v>ISTANBUL</v>
      </c>
      <c r="K1554" s="44" t="str">
        <f>IFERROR(__xludf.DUMMYFUNCTION("""COMPUTED_VALUE"""),"https://expa.aiesec.org/opportunities/1284670")</f>
        <v>https://expa.aiesec.org/opportunities/1284670</v>
      </c>
      <c r="L1554" s="43" t="str">
        <f>IFERROR(__xludf.DUMMYFUNCTION("""COMPUTED_VALUE"""),"GV")</f>
        <v>GV</v>
      </c>
      <c r="M1554" s="43" t="str">
        <f>IFERROR(__xludf.DUMMYFUNCTION("""COMPUTED_VALUE"""),"short")</f>
        <v>short</v>
      </c>
      <c r="N1554" s="45">
        <f>IFERROR(__xludf.DUMMYFUNCTION("""COMPUTED_VALUE"""),45241.0)</f>
        <v>45241</v>
      </c>
      <c r="O1554" s="45">
        <f>IFERROR(__xludf.DUMMYFUNCTION("""COMPUTED_VALUE"""),45476.0)</f>
        <v>45476</v>
      </c>
      <c r="P1554" s="45">
        <f>IFERROR(__xludf.DUMMYFUNCTION("""COMPUTED_VALUE"""),45518.0)</f>
        <v>45518</v>
      </c>
      <c r="Q1554" s="45"/>
      <c r="R1554" s="45"/>
      <c r="S1554" s="43"/>
      <c r="T1554" s="43"/>
      <c r="U1554" s="43" t="str">
        <f>IFERROR(__xludf.DUMMYFUNCTION("""COMPUTED_VALUE"""),"Heartbeat")</f>
        <v>Heartbeat</v>
      </c>
      <c r="V1554" s="43" t="str">
        <f>IFERROR(__xludf.DUMMYFUNCTION("""COMPUTED_VALUE"""),"UPSAT Sousse")</f>
        <v>UPSAT Sousse</v>
      </c>
      <c r="W1554" s="43" t="str">
        <f>IFERROR(__xludf.DUMMYFUNCTION("""COMPUTED_VALUE"""),"2023-11-11T21:01:17Z")</f>
        <v>2023-11-11T21:01:17Z</v>
      </c>
      <c r="X1554" s="43"/>
      <c r="Y1554" s="43"/>
      <c r="Z1554" s="43"/>
    </row>
    <row r="1555" hidden="1">
      <c r="A1555" s="43" t="str">
        <f>IFERROR(__xludf.DUMMYFUNCTION("""COMPUTED_VALUE"""),"5370994_1284670")</f>
        <v>5370994_1284670</v>
      </c>
      <c r="B1555" s="43" t="str">
        <f>IFERROR(__xludf.DUMMYFUNCTION("""COMPUTED_VALUE"""),"yasmine sassi")</f>
        <v>yasmine sassi</v>
      </c>
      <c r="C1555" s="43" t="str">
        <f>IFERROR(__xludf.DUMMYFUNCTION("""COMPUTED_VALUE"""),"approved")</f>
        <v>approved</v>
      </c>
      <c r="D1555" s="43" t="str">
        <f>IFERROR(__xludf.DUMMYFUNCTION("""COMPUTED_VALUE"""),"No")</f>
        <v>No</v>
      </c>
      <c r="E1555" s="43" t="str">
        <f>IFERROR(__xludf.DUMMYFUNCTION("""COMPUTED_VALUE"""),"p_7ed26de80096bf2810aa78158fc1ef2dba185ccd@inbound.aiesec.org")</f>
        <v>p_7ed26de80096bf2810aa78158fc1ef2dba185ccd@inbound.aiesec.org</v>
      </c>
      <c r="F1555" s="43">
        <f>IFERROR(__xludf.DUMMYFUNCTION("""COMPUTED_VALUE"""),9.7466791E7)</f>
        <v>97466791</v>
      </c>
      <c r="G1555" s="43" t="str">
        <f>IFERROR(__xludf.DUMMYFUNCTION("""COMPUTED_VALUE"""),"Tunisia")</f>
        <v>Tunisia</v>
      </c>
      <c r="H1555" s="43" t="str">
        <f>IFERROR(__xludf.DUMMYFUNCTION("""COMPUTED_VALUE"""),"HADRUMET")</f>
        <v>HADRUMET</v>
      </c>
      <c r="I1555" s="43" t="str">
        <f>IFERROR(__xludf.DUMMYFUNCTION("""COMPUTED_VALUE"""),"Turkey")</f>
        <v>Turkey</v>
      </c>
      <c r="J1555" s="43" t="str">
        <f>IFERROR(__xludf.DUMMYFUNCTION("""COMPUTED_VALUE"""),"ISTANBUL")</f>
        <v>ISTANBUL</v>
      </c>
      <c r="K1555" s="44" t="str">
        <f>IFERROR(__xludf.DUMMYFUNCTION("""COMPUTED_VALUE"""),"https://expa.aiesec.org/opportunities/1284670")</f>
        <v>https://expa.aiesec.org/opportunities/1284670</v>
      </c>
      <c r="L1555" s="43" t="str">
        <f>IFERROR(__xludf.DUMMYFUNCTION("""COMPUTED_VALUE"""),"GV")</f>
        <v>GV</v>
      </c>
      <c r="M1555" s="43" t="str">
        <f>IFERROR(__xludf.DUMMYFUNCTION("""COMPUTED_VALUE"""),"short")</f>
        <v>short</v>
      </c>
      <c r="N1555" s="45">
        <f>IFERROR(__xludf.DUMMYFUNCTION("""COMPUTED_VALUE"""),45242.0)</f>
        <v>45242</v>
      </c>
      <c r="O1555" s="45">
        <f>IFERROR(__xludf.DUMMYFUNCTION("""COMPUTED_VALUE"""),45476.0)</f>
        <v>45476</v>
      </c>
      <c r="P1555" s="45">
        <f>IFERROR(__xludf.DUMMYFUNCTION("""COMPUTED_VALUE"""),45518.0)</f>
        <v>45518</v>
      </c>
      <c r="Q1555" s="45"/>
      <c r="R1555" s="45"/>
      <c r="S1555" s="43"/>
      <c r="T1555" s="43"/>
      <c r="U1555" s="43" t="str">
        <f>IFERROR(__xludf.DUMMYFUNCTION("""COMPUTED_VALUE"""),"Heartbeat")</f>
        <v>Heartbeat</v>
      </c>
      <c r="V1555" s="43" t="str">
        <f>IFERROR(__xludf.DUMMYFUNCTION("""COMPUTED_VALUE"""),"UPSAT Sousse")</f>
        <v>UPSAT Sousse</v>
      </c>
      <c r="W1555" s="43" t="str">
        <f>IFERROR(__xludf.DUMMYFUNCTION("""COMPUTED_VALUE"""),"2023-11-12T10:12:02Z")</f>
        <v>2023-11-12T10:12:02Z</v>
      </c>
      <c r="X1555" s="43"/>
      <c r="Y1555" s="43"/>
      <c r="Z1555" s="43"/>
    </row>
    <row r="1556" hidden="1">
      <c r="A1556" s="43" t="str">
        <f>IFERROR(__xludf.DUMMYFUNCTION("""COMPUTED_VALUE"""),"5276989_1296328")</f>
        <v>5276989_1296328</v>
      </c>
      <c r="B1556" s="43" t="str">
        <f>IFERROR(__xludf.DUMMYFUNCTION("""COMPUTED_VALUE"""),"Nadine Zidan")</f>
        <v>Nadine Zidan</v>
      </c>
      <c r="C1556" s="43" t="str">
        <f>IFERROR(__xludf.DUMMYFUNCTION("""COMPUTED_VALUE"""),"approved")</f>
        <v>approved</v>
      </c>
      <c r="D1556" s="43" t="str">
        <f>IFERROR(__xludf.DUMMYFUNCTION("""COMPUTED_VALUE"""),"No")</f>
        <v>No</v>
      </c>
      <c r="E1556" s="43" t="str">
        <f>IFERROR(__xludf.DUMMYFUNCTION("""COMPUTED_VALUE"""),"p_4892253329b528e9c3a0f38b8ab9c69ceba29361@inbound.aiesec.org")</f>
        <v>p_4892253329b528e9c3a0f38b8ab9c69ceba29361@inbound.aiesec.org</v>
      </c>
      <c r="F1556" s="43">
        <f>IFERROR(__xludf.DUMMYFUNCTION("""COMPUTED_VALUE"""),1.207524591E9)</f>
        <v>1207524591</v>
      </c>
      <c r="G1556" s="43" t="str">
        <f>IFERROR(__xludf.DUMMYFUNCTION("""COMPUTED_VALUE"""),"Egypt")</f>
        <v>Egypt</v>
      </c>
      <c r="H1556" s="43" t="str">
        <f>IFERROR(__xludf.DUMMYFUNCTION("""COMPUTED_VALUE"""),"Alexandria")</f>
        <v>Alexandria</v>
      </c>
      <c r="I1556" s="43" t="str">
        <f>IFERROR(__xludf.DUMMYFUNCTION("""COMPUTED_VALUE"""),"Turkey")</f>
        <v>Turkey</v>
      </c>
      <c r="J1556" s="43" t="str">
        <f>IFERROR(__xludf.DUMMYFUNCTION("""COMPUTED_VALUE"""),"İZMİR")</f>
        <v>İZMİR</v>
      </c>
      <c r="K1556" s="44" t="str">
        <f>IFERROR(__xludf.DUMMYFUNCTION("""COMPUTED_VALUE"""),"https://expa.aiesec.org/opportunities/1296328")</f>
        <v>https://expa.aiesec.org/opportunities/1296328</v>
      </c>
      <c r="L1556" s="43" t="str">
        <f>IFERROR(__xludf.DUMMYFUNCTION("""COMPUTED_VALUE"""),"GV")</f>
        <v>GV</v>
      </c>
      <c r="M1556" s="43" t="str">
        <f>IFERROR(__xludf.DUMMYFUNCTION("""COMPUTED_VALUE"""),"short")</f>
        <v>short</v>
      </c>
      <c r="N1556" s="45">
        <f>IFERROR(__xludf.DUMMYFUNCTION("""COMPUTED_VALUE"""),45242.0)</f>
        <v>45242</v>
      </c>
      <c r="O1556" s="45">
        <f>IFERROR(__xludf.DUMMYFUNCTION("""COMPUTED_VALUE"""),45403.0)</f>
        <v>45403</v>
      </c>
      <c r="P1556" s="45">
        <f>IFERROR(__xludf.DUMMYFUNCTION("""COMPUTED_VALUE"""),45445.0)</f>
        <v>45445</v>
      </c>
      <c r="Q1556" s="45"/>
      <c r="R1556" s="45"/>
      <c r="S1556" s="43"/>
      <c r="T1556" s="43"/>
      <c r="U1556" s="43" t="str">
        <f>IFERROR(__xludf.DUMMYFUNCTION("""COMPUTED_VALUE"""),"Fingerprint")</f>
        <v>Fingerprint</v>
      </c>
      <c r="V1556" s="43" t="str">
        <f>IFERROR(__xludf.DUMMYFUNCTION("""COMPUTED_VALUE"""),"Alexandria University")</f>
        <v>Alexandria University</v>
      </c>
      <c r="W1556" s="43" t="str">
        <f>IFERROR(__xludf.DUMMYFUNCTION("""COMPUTED_VALUE"""),"2023-06-19T10:18:52Z")</f>
        <v>2023-06-19T10:18:52Z</v>
      </c>
      <c r="X1556" s="43"/>
      <c r="Y1556" s="43"/>
      <c r="Z1556" s="43"/>
    </row>
    <row r="1557" hidden="1">
      <c r="A1557" s="43" t="str">
        <f>IFERROR(__xludf.DUMMYFUNCTION("""COMPUTED_VALUE"""),"5371808_1289536")</f>
        <v>5371808_1289536</v>
      </c>
      <c r="B1557" s="43" t="str">
        <f>IFERROR(__xludf.DUMMYFUNCTION("""COMPUTED_VALUE"""),"Mariem Ben hafsia")</f>
        <v>Mariem Ben hafsia</v>
      </c>
      <c r="C1557" s="43" t="str">
        <f>IFERROR(__xludf.DUMMYFUNCTION("""COMPUTED_VALUE"""),"approved")</f>
        <v>approved</v>
      </c>
      <c r="D1557" s="43" t="str">
        <f>IFERROR(__xludf.DUMMYFUNCTION("""COMPUTED_VALUE"""),"No")</f>
        <v>No</v>
      </c>
      <c r="E1557" s="43" t="str">
        <f>IFERROR(__xludf.DUMMYFUNCTION("""COMPUTED_VALUE"""),"p_6419eec14ca86b04a237b7202622b82fd720d314@inbound.aiesec.org")</f>
        <v>p_6419eec14ca86b04a237b7202622b82fd720d314@inbound.aiesec.org</v>
      </c>
      <c r="F1557" s="43">
        <f>IFERROR(__xludf.DUMMYFUNCTION("""COMPUTED_VALUE"""),9.7955289E7)</f>
        <v>97955289</v>
      </c>
      <c r="G1557" s="43" t="str">
        <f>IFERROR(__xludf.DUMMYFUNCTION("""COMPUTED_VALUE"""),"Tunisia")</f>
        <v>Tunisia</v>
      </c>
      <c r="H1557" s="43" t="str">
        <f>IFERROR(__xludf.DUMMYFUNCTION("""COMPUTED_VALUE"""),"HADRUMET")</f>
        <v>HADRUMET</v>
      </c>
      <c r="I1557" s="43" t="str">
        <f>IFERROR(__xludf.DUMMYFUNCTION("""COMPUTED_VALUE"""),"Turkey")</f>
        <v>Turkey</v>
      </c>
      <c r="J1557" s="43" t="str">
        <f>IFERROR(__xludf.DUMMYFUNCTION("""COMPUTED_VALUE"""),"ISTANBUL")</f>
        <v>ISTANBUL</v>
      </c>
      <c r="K1557" s="44" t="str">
        <f>IFERROR(__xludf.DUMMYFUNCTION("""COMPUTED_VALUE"""),"https://expa.aiesec.org/opportunities/1289536")</f>
        <v>https://expa.aiesec.org/opportunities/1289536</v>
      </c>
      <c r="L1557" s="43" t="str">
        <f>IFERROR(__xludf.DUMMYFUNCTION("""COMPUTED_VALUE"""),"GV")</f>
        <v>GV</v>
      </c>
      <c r="M1557" s="43" t="str">
        <f>IFERROR(__xludf.DUMMYFUNCTION("""COMPUTED_VALUE"""),"short")</f>
        <v>short</v>
      </c>
      <c r="N1557" s="45">
        <f>IFERROR(__xludf.DUMMYFUNCTION("""COMPUTED_VALUE"""),45243.0)</f>
        <v>45243</v>
      </c>
      <c r="O1557" s="45">
        <f>IFERROR(__xludf.DUMMYFUNCTION("""COMPUTED_VALUE"""),45444.0)</f>
        <v>45444</v>
      </c>
      <c r="P1557" s="45">
        <f>IFERROR(__xludf.DUMMYFUNCTION("""COMPUTED_VALUE"""),45486.0)</f>
        <v>45486</v>
      </c>
      <c r="Q1557" s="45"/>
      <c r="R1557" s="45"/>
      <c r="S1557" s="43"/>
      <c r="T1557" s="43"/>
      <c r="U1557" s="43" t="str">
        <f>IFERROR(__xludf.DUMMYFUNCTION("""COMPUTED_VALUE"""),"Global Classroom")</f>
        <v>Global Classroom</v>
      </c>
      <c r="V1557" s="43" t="str">
        <f>IFERROR(__xludf.DUMMYFUNCTION("""COMPUTED_VALUE"""),"FSEG Sousse")</f>
        <v>FSEG Sousse</v>
      </c>
      <c r="W1557" s="43" t="str">
        <f>IFERROR(__xludf.DUMMYFUNCTION("""COMPUTED_VALUE"""),"2023-11-13T18:19:01Z")</f>
        <v>2023-11-13T18:19:01Z</v>
      </c>
      <c r="X1557" s="43"/>
      <c r="Y1557" s="43"/>
      <c r="Z1557" s="43"/>
    </row>
    <row r="1558" hidden="1">
      <c r="A1558" s="43" t="str">
        <f>IFERROR(__xludf.DUMMYFUNCTION("""COMPUTED_VALUE"""),"5371626_1292535")</f>
        <v>5371626_1292535</v>
      </c>
      <c r="B1558" s="43" t="str">
        <f>IFERROR(__xludf.DUMMYFUNCTION("""COMPUTED_VALUE"""),"Fourat Sellami")</f>
        <v>Fourat Sellami</v>
      </c>
      <c r="C1558" s="43" t="str">
        <f>IFERROR(__xludf.DUMMYFUNCTION("""COMPUTED_VALUE"""),"approved")</f>
        <v>approved</v>
      </c>
      <c r="D1558" s="43" t="str">
        <f>IFERROR(__xludf.DUMMYFUNCTION("""COMPUTED_VALUE"""),"No")</f>
        <v>No</v>
      </c>
      <c r="E1558" s="43" t="str">
        <f>IFERROR(__xludf.DUMMYFUNCTION("""COMPUTED_VALUE"""),"p_10a099c75c704c488dcba1064b6d77419ee4dea5@inbound.aiesec.org")</f>
        <v>p_10a099c75c704c488dcba1064b6d77419ee4dea5@inbound.aiesec.org</v>
      </c>
      <c r="F1558" s="43">
        <f>IFERROR(__xludf.DUMMYFUNCTION("""COMPUTED_VALUE"""),2.0426266E7)</f>
        <v>20426266</v>
      </c>
      <c r="G1558" s="43" t="str">
        <f>IFERROR(__xludf.DUMMYFUNCTION("""COMPUTED_VALUE"""),"Tunisia")</f>
        <v>Tunisia</v>
      </c>
      <c r="H1558" s="43" t="str">
        <f>IFERROR(__xludf.DUMMYFUNCTION("""COMPUTED_VALUE"""),"Carthage")</f>
        <v>Carthage</v>
      </c>
      <c r="I1558" s="43" t="str">
        <f>IFERROR(__xludf.DUMMYFUNCTION("""COMPUTED_VALUE"""),"Turkey")</f>
        <v>Turkey</v>
      </c>
      <c r="J1558" s="43" t="str">
        <f>IFERROR(__xludf.DUMMYFUNCTION("""COMPUTED_VALUE"""),"ESKISEHIR")</f>
        <v>ESKISEHIR</v>
      </c>
      <c r="K1558" s="44" t="str">
        <f>IFERROR(__xludf.DUMMYFUNCTION("""COMPUTED_VALUE"""),"https://expa.aiesec.org/opportunities/1292535")</f>
        <v>https://expa.aiesec.org/opportunities/1292535</v>
      </c>
      <c r="L1558" s="43" t="str">
        <f>IFERROR(__xludf.DUMMYFUNCTION("""COMPUTED_VALUE"""),"GV")</f>
        <v>GV</v>
      </c>
      <c r="M1558" s="43" t="str">
        <f>IFERROR(__xludf.DUMMYFUNCTION("""COMPUTED_VALUE"""),"short")</f>
        <v>short</v>
      </c>
      <c r="N1558" s="45">
        <f>IFERROR(__xludf.DUMMYFUNCTION("""COMPUTED_VALUE"""),45243.0)</f>
        <v>45243</v>
      </c>
      <c r="O1558" s="45">
        <f>IFERROR(__xludf.DUMMYFUNCTION("""COMPUTED_VALUE"""),45487.0)</f>
        <v>45487</v>
      </c>
      <c r="P1558" s="45">
        <f>IFERROR(__xludf.DUMMYFUNCTION("""COMPUTED_VALUE"""),45529.0)</f>
        <v>45529</v>
      </c>
      <c r="Q1558" s="45"/>
      <c r="R1558" s="45"/>
      <c r="S1558" s="43"/>
      <c r="T1558" s="43"/>
      <c r="U1558" s="43" t="str">
        <f>IFERROR(__xludf.DUMMYFUNCTION("""COMPUTED_VALUE"""),"Global Classroom")</f>
        <v>Global Classroom</v>
      </c>
      <c r="V1558" s="43" t="str">
        <f>IFERROR(__xludf.DUMMYFUNCTION("""COMPUTED_VALUE"""),"IHET Sidi Dhrif")</f>
        <v>IHET Sidi Dhrif</v>
      </c>
      <c r="W1558" s="43" t="str">
        <f>IFERROR(__xludf.DUMMYFUNCTION("""COMPUTED_VALUE"""),"2023-11-13T14:40:12Z")</f>
        <v>2023-11-13T14:40:12Z</v>
      </c>
      <c r="X1558" s="43"/>
      <c r="Y1558" s="43"/>
      <c r="Z1558" s="43"/>
    </row>
    <row r="1559" hidden="1">
      <c r="A1559" s="43" t="str">
        <f>IFERROR(__xludf.DUMMYFUNCTION("""COMPUTED_VALUE"""),"5371589_1289347")</f>
        <v>5371589_1289347</v>
      </c>
      <c r="B1559" s="43" t="str">
        <f>IFERROR(__xludf.DUMMYFUNCTION("""COMPUTED_VALUE"""),"sekri yoser")</f>
        <v>sekri yoser</v>
      </c>
      <c r="C1559" s="43" t="str">
        <f>IFERROR(__xludf.DUMMYFUNCTION("""COMPUTED_VALUE"""),"approved")</f>
        <v>approved</v>
      </c>
      <c r="D1559" s="43" t="str">
        <f>IFERROR(__xludf.DUMMYFUNCTION("""COMPUTED_VALUE"""),"No")</f>
        <v>No</v>
      </c>
      <c r="E1559" s="43" t="str">
        <f>IFERROR(__xludf.DUMMYFUNCTION("""COMPUTED_VALUE"""),"p_1dd8c5d9734dcc59f0aabc50bda53a63d73280f5@inbound.aiesec.org")</f>
        <v>p_1dd8c5d9734dcc59f0aabc50bda53a63d73280f5@inbound.aiesec.org</v>
      </c>
      <c r="F1559" s="43">
        <f>IFERROR(__xludf.DUMMYFUNCTION("""COMPUTED_VALUE"""),9.6192017E7)</f>
        <v>96192017</v>
      </c>
      <c r="G1559" s="43" t="str">
        <f>IFERROR(__xludf.DUMMYFUNCTION("""COMPUTED_VALUE"""),"Tunisia")</f>
        <v>Tunisia</v>
      </c>
      <c r="H1559" s="43" t="str">
        <f>IFERROR(__xludf.DUMMYFUNCTION("""COMPUTED_VALUE"""),"HADRUMET")</f>
        <v>HADRUMET</v>
      </c>
      <c r="I1559" s="43" t="str">
        <f>IFERROR(__xludf.DUMMYFUNCTION("""COMPUTED_VALUE"""),"Turkey")</f>
        <v>Turkey</v>
      </c>
      <c r="J1559" s="43" t="str">
        <f>IFERROR(__xludf.DUMMYFUNCTION("""COMPUTED_VALUE"""),"ADANA")</f>
        <v>ADANA</v>
      </c>
      <c r="K1559" s="44" t="str">
        <f>IFERROR(__xludf.DUMMYFUNCTION("""COMPUTED_VALUE"""),"https://expa.aiesec.org/opportunities/1289347")</f>
        <v>https://expa.aiesec.org/opportunities/1289347</v>
      </c>
      <c r="L1559" s="43" t="str">
        <f>IFERROR(__xludf.DUMMYFUNCTION("""COMPUTED_VALUE"""),"GV")</f>
        <v>GV</v>
      </c>
      <c r="M1559" s="43" t="str">
        <f>IFERROR(__xludf.DUMMYFUNCTION("""COMPUTED_VALUE"""),"short")</f>
        <v>short</v>
      </c>
      <c r="N1559" s="45">
        <f>IFERROR(__xludf.DUMMYFUNCTION("""COMPUTED_VALUE"""),45243.0)</f>
        <v>45243</v>
      </c>
      <c r="O1559" s="45">
        <f>IFERROR(__xludf.DUMMYFUNCTION("""COMPUTED_VALUE"""),45474.0)</f>
        <v>45474</v>
      </c>
      <c r="P1559" s="45">
        <f>IFERROR(__xludf.DUMMYFUNCTION("""COMPUTED_VALUE"""),45516.0)</f>
        <v>45516</v>
      </c>
      <c r="Q1559" s="45"/>
      <c r="R1559" s="45"/>
      <c r="S1559" s="43"/>
      <c r="T1559" s="43"/>
      <c r="U1559" s="43" t="str">
        <f>IFERROR(__xludf.DUMMYFUNCTION("""COMPUTED_VALUE"""),"Global Classroom")</f>
        <v>Global Classroom</v>
      </c>
      <c r="V1559" s="43" t="str">
        <f>IFERROR(__xludf.DUMMYFUNCTION("""COMPUTED_VALUE"""),"FLSH Sousse")</f>
        <v>FLSH Sousse</v>
      </c>
      <c r="W1559" s="43" t="str">
        <f>IFERROR(__xludf.DUMMYFUNCTION("""COMPUTED_VALUE"""),"2023-11-13T13:42:30Z")</f>
        <v>2023-11-13T13:42:30Z</v>
      </c>
      <c r="X1559" s="43"/>
      <c r="Y1559" s="43"/>
      <c r="Z1559" s="43"/>
    </row>
    <row r="1560" hidden="1">
      <c r="A1560" s="43" t="str">
        <f>IFERROR(__xludf.DUMMYFUNCTION("""COMPUTED_VALUE"""),"4767785_1296670")</f>
        <v>4767785_1296670</v>
      </c>
      <c r="B1560" s="43" t="str">
        <f>IFERROR(__xludf.DUMMYFUNCTION("""COMPUTED_VALUE"""),"Inna Yakymovych")</f>
        <v>Inna Yakymovych</v>
      </c>
      <c r="C1560" s="43" t="str">
        <f>IFERROR(__xludf.DUMMYFUNCTION("""COMPUTED_VALUE"""),"approved")</f>
        <v>approved</v>
      </c>
      <c r="D1560" s="43" t="str">
        <f>IFERROR(__xludf.DUMMYFUNCTION("""COMPUTED_VALUE"""),"No")</f>
        <v>No</v>
      </c>
      <c r="E1560" s="43" t="str">
        <f>IFERROR(__xludf.DUMMYFUNCTION("""COMPUTED_VALUE"""),"p_0d1e4c9be3aaf2757034c7e7205f2bb1e2468396@inbound.aiesec.org")</f>
        <v>p_0d1e4c9be3aaf2757034c7e7205f2bb1e2468396@inbound.aiesec.org</v>
      </c>
      <c r="F1560" s="43">
        <f>IFERROR(__xludf.DUMMYFUNCTION("""COMPUTED_VALUE"""),6.74784795E8)</f>
        <v>674784795</v>
      </c>
      <c r="G1560" s="43" t="str">
        <f>IFERROR(__xludf.DUMMYFUNCTION("""COMPUTED_VALUE"""),"Ukraine")</f>
        <v>Ukraine</v>
      </c>
      <c r="H1560" s="43" t="str">
        <f>IFERROR(__xludf.DUMMYFUNCTION("""COMPUTED_VALUE"""),"TERNOPIL")</f>
        <v>TERNOPIL</v>
      </c>
      <c r="I1560" s="43" t="str">
        <f>IFERROR(__xludf.DUMMYFUNCTION("""COMPUTED_VALUE"""),"Turkey")</f>
        <v>Turkey</v>
      </c>
      <c r="J1560" s="43" t="str">
        <f>IFERROR(__xludf.DUMMYFUNCTION("""COMPUTED_VALUE"""),"BURSA")</f>
        <v>BURSA</v>
      </c>
      <c r="K1560" s="44" t="str">
        <f>IFERROR(__xludf.DUMMYFUNCTION("""COMPUTED_VALUE"""),"https://expa.aiesec.org/opportunities/1296670")</f>
        <v>https://expa.aiesec.org/opportunities/1296670</v>
      </c>
      <c r="L1560" s="43" t="str">
        <f>IFERROR(__xludf.DUMMYFUNCTION("""COMPUTED_VALUE"""),"GV")</f>
        <v>GV</v>
      </c>
      <c r="M1560" s="43" t="str">
        <f>IFERROR(__xludf.DUMMYFUNCTION("""COMPUTED_VALUE"""),"short")</f>
        <v>short</v>
      </c>
      <c r="N1560" s="45">
        <f>IFERROR(__xludf.DUMMYFUNCTION("""COMPUTED_VALUE"""),45243.0)</f>
        <v>45243</v>
      </c>
      <c r="O1560" s="45">
        <f>IFERROR(__xludf.DUMMYFUNCTION("""COMPUTED_VALUE"""),45411.0)</f>
        <v>45411</v>
      </c>
      <c r="P1560" s="45">
        <f>IFERROR(__xludf.DUMMYFUNCTION("""COMPUTED_VALUE"""),45453.0)</f>
        <v>45453</v>
      </c>
      <c r="Q1560" s="45"/>
      <c r="R1560" s="45"/>
      <c r="S1560" s="43"/>
      <c r="T1560" s="43"/>
      <c r="U1560" s="43" t="str">
        <f>IFERROR(__xludf.DUMMYFUNCTION("""COMPUTED_VALUE"""),"Youth 4 Impact")</f>
        <v>Youth 4 Impact</v>
      </c>
      <c r="V1560" s="43" t="str">
        <f>IFERROR(__xludf.DUMMYFUNCTION("""COMPUTED_VALUE"""),"Ternopil")</f>
        <v>Ternopil</v>
      </c>
      <c r="W1560" s="43" t="str">
        <f>IFERROR(__xludf.DUMMYFUNCTION("""COMPUTED_VALUE"""),"2021-10-18T16:06:50Z")</f>
        <v>2021-10-18T16:06:50Z</v>
      </c>
      <c r="X1560" s="43"/>
      <c r="Y1560" s="43"/>
      <c r="Z1560" s="43"/>
    </row>
    <row r="1561" hidden="1">
      <c r="A1561" s="43" t="str">
        <f>IFERROR(__xludf.DUMMYFUNCTION("""COMPUTED_VALUE"""),"4942903_1296670")</f>
        <v>4942903_1296670</v>
      </c>
      <c r="B1561" s="43" t="str">
        <f>IFERROR(__xludf.DUMMYFUNCTION("""COMPUTED_VALUE"""),"Khrystyna Romaniuk")</f>
        <v>Khrystyna Romaniuk</v>
      </c>
      <c r="C1561" s="43" t="str">
        <f>IFERROR(__xludf.DUMMYFUNCTION("""COMPUTED_VALUE"""),"approved")</f>
        <v>approved</v>
      </c>
      <c r="D1561" s="43" t="str">
        <f>IFERROR(__xludf.DUMMYFUNCTION("""COMPUTED_VALUE"""),"No")</f>
        <v>No</v>
      </c>
      <c r="E1561" s="43" t="str">
        <f>IFERROR(__xludf.DUMMYFUNCTION("""COMPUTED_VALUE"""),"p_4d14213867ce5c72cdae7b170bc1fc94cfff57c0@inbound.aiesec.org")</f>
        <v>p_4d14213867ce5c72cdae7b170bc1fc94cfff57c0@inbound.aiesec.org</v>
      </c>
      <c r="F1561" s="43">
        <f>IFERROR(__xludf.DUMMYFUNCTION("""COMPUTED_VALUE"""),9.70614181E8)</f>
        <v>970614181</v>
      </c>
      <c r="G1561" s="43" t="str">
        <f>IFERROR(__xludf.DUMMYFUNCTION("""COMPUTED_VALUE"""),"Ukraine")</f>
        <v>Ukraine</v>
      </c>
      <c r="H1561" s="43" t="str">
        <f>IFERROR(__xludf.DUMMYFUNCTION("""COMPUTED_VALUE"""),"TERNOPIL")</f>
        <v>TERNOPIL</v>
      </c>
      <c r="I1561" s="43" t="str">
        <f>IFERROR(__xludf.DUMMYFUNCTION("""COMPUTED_VALUE"""),"Turkey")</f>
        <v>Turkey</v>
      </c>
      <c r="J1561" s="43" t="str">
        <f>IFERROR(__xludf.DUMMYFUNCTION("""COMPUTED_VALUE"""),"BURSA")</f>
        <v>BURSA</v>
      </c>
      <c r="K1561" s="44" t="str">
        <f>IFERROR(__xludf.DUMMYFUNCTION("""COMPUTED_VALUE"""),"https://expa.aiesec.org/opportunities/1296670")</f>
        <v>https://expa.aiesec.org/opportunities/1296670</v>
      </c>
      <c r="L1561" s="43" t="str">
        <f>IFERROR(__xludf.DUMMYFUNCTION("""COMPUTED_VALUE"""),"GV")</f>
        <v>GV</v>
      </c>
      <c r="M1561" s="43" t="str">
        <f>IFERROR(__xludf.DUMMYFUNCTION("""COMPUTED_VALUE"""),"short")</f>
        <v>short</v>
      </c>
      <c r="N1561" s="45">
        <f>IFERROR(__xludf.DUMMYFUNCTION("""COMPUTED_VALUE"""),45243.0)</f>
        <v>45243</v>
      </c>
      <c r="O1561" s="45">
        <f>IFERROR(__xludf.DUMMYFUNCTION("""COMPUTED_VALUE"""),45411.0)</f>
        <v>45411</v>
      </c>
      <c r="P1561" s="45">
        <f>IFERROR(__xludf.DUMMYFUNCTION("""COMPUTED_VALUE"""),45453.0)</f>
        <v>45453</v>
      </c>
      <c r="Q1561" s="45"/>
      <c r="R1561" s="45"/>
      <c r="S1561" s="43"/>
      <c r="T1561" s="43"/>
      <c r="U1561" s="43" t="str">
        <f>IFERROR(__xludf.DUMMYFUNCTION("""COMPUTED_VALUE"""),"Youth 4 Impact")</f>
        <v>Youth 4 Impact</v>
      </c>
      <c r="V1561" s="43" t="str">
        <f>IFERROR(__xludf.DUMMYFUNCTION("""COMPUTED_VALUE"""),"Ternopil")</f>
        <v>Ternopil</v>
      </c>
      <c r="W1561" s="43" t="str">
        <f>IFERROR(__xludf.DUMMYFUNCTION("""COMPUTED_VALUE"""),"2022-02-22T14:39:26Z")</f>
        <v>2022-02-22T14:39:26Z</v>
      </c>
      <c r="X1561" s="43"/>
      <c r="Y1561" s="43"/>
      <c r="Z1561" s="43"/>
    </row>
    <row r="1562" hidden="1">
      <c r="A1562" s="43" t="str">
        <f>IFERROR(__xludf.DUMMYFUNCTION("""COMPUTED_VALUE"""),"5338878_1289347")</f>
        <v>5338878_1289347</v>
      </c>
      <c r="B1562" s="43" t="str">
        <f>IFERROR(__xludf.DUMMYFUNCTION("""COMPUTED_VALUE"""),"Esraa Elmahdy")</f>
        <v>Esraa Elmahdy</v>
      </c>
      <c r="C1562" s="43" t="str">
        <f>IFERROR(__xludf.DUMMYFUNCTION("""COMPUTED_VALUE"""),"approved")</f>
        <v>approved</v>
      </c>
      <c r="D1562" s="43" t="str">
        <f>IFERROR(__xludf.DUMMYFUNCTION("""COMPUTED_VALUE"""),"No")</f>
        <v>No</v>
      </c>
      <c r="E1562" s="43" t="str">
        <f>IFERROR(__xludf.DUMMYFUNCTION("""COMPUTED_VALUE"""),"p_9b9f3a853b741921a5edad1fa664f89b5dd106c4@inbound.aiesec.org")</f>
        <v>p_9b9f3a853b741921a5edad1fa664f89b5dd106c4@inbound.aiesec.org</v>
      </c>
      <c r="F1562" s="43">
        <f>IFERROR(__xludf.DUMMYFUNCTION("""COMPUTED_VALUE"""),1.014210946E9)</f>
        <v>1014210946</v>
      </c>
      <c r="G1562" s="43" t="str">
        <f>IFERROR(__xludf.DUMMYFUNCTION("""COMPUTED_VALUE"""),"Egypt")</f>
        <v>Egypt</v>
      </c>
      <c r="H1562" s="43" t="str">
        <f>IFERROR(__xludf.DUMMYFUNCTION("""COMPUTED_VALUE"""),"Market expansion")</f>
        <v>Market expansion</v>
      </c>
      <c r="I1562" s="43" t="str">
        <f>IFERROR(__xludf.DUMMYFUNCTION("""COMPUTED_VALUE"""),"Turkey")</f>
        <v>Turkey</v>
      </c>
      <c r="J1562" s="43" t="str">
        <f>IFERROR(__xludf.DUMMYFUNCTION("""COMPUTED_VALUE"""),"ADANA")</f>
        <v>ADANA</v>
      </c>
      <c r="K1562" s="44" t="str">
        <f>IFERROR(__xludf.DUMMYFUNCTION("""COMPUTED_VALUE"""),"https://expa.aiesec.org/opportunities/1289347")</f>
        <v>https://expa.aiesec.org/opportunities/1289347</v>
      </c>
      <c r="L1562" s="43" t="str">
        <f>IFERROR(__xludf.DUMMYFUNCTION("""COMPUTED_VALUE"""),"GV")</f>
        <v>GV</v>
      </c>
      <c r="M1562" s="43" t="str">
        <f>IFERROR(__xludf.DUMMYFUNCTION("""COMPUTED_VALUE"""),"short")</f>
        <v>short</v>
      </c>
      <c r="N1562" s="45">
        <f>IFERROR(__xludf.DUMMYFUNCTION("""COMPUTED_VALUE"""),45243.0)</f>
        <v>45243</v>
      </c>
      <c r="O1562" s="45">
        <f>IFERROR(__xludf.DUMMYFUNCTION("""COMPUTED_VALUE"""),45474.0)</f>
        <v>45474</v>
      </c>
      <c r="P1562" s="45">
        <f>IFERROR(__xludf.DUMMYFUNCTION("""COMPUTED_VALUE"""),45516.0)</f>
        <v>45516</v>
      </c>
      <c r="Q1562" s="45"/>
      <c r="R1562" s="45"/>
      <c r="S1562" s="43"/>
      <c r="T1562" s="43"/>
      <c r="U1562" s="43" t="str">
        <f>IFERROR(__xludf.DUMMYFUNCTION("""COMPUTED_VALUE"""),"Global Classroom")</f>
        <v>Global Classroom</v>
      </c>
      <c r="V1562" s="43" t="str">
        <f>IFERROR(__xludf.DUMMYFUNCTION("""COMPUTED_VALUE"""),"Zewail Univeristy")</f>
        <v>Zewail Univeristy</v>
      </c>
      <c r="W1562" s="43" t="str">
        <f>IFERROR(__xludf.DUMMYFUNCTION("""COMPUTED_VALUE"""),"2023-10-01T09:24:04Z")</f>
        <v>2023-10-01T09:24:04Z</v>
      </c>
      <c r="X1562" s="43"/>
      <c r="Y1562" s="43"/>
      <c r="Z1562" s="43"/>
    </row>
    <row r="1563" hidden="1">
      <c r="A1563" s="43" t="str">
        <f>IFERROR(__xludf.DUMMYFUNCTION("""COMPUTED_VALUE"""),"5359313_1299474")</f>
        <v>5359313_1299474</v>
      </c>
      <c r="B1563" s="43" t="str">
        <f>IFERROR(__xludf.DUMMYFUNCTION("""COMPUTED_VALUE"""),"REEM ALSABOORI")</f>
        <v>REEM ALSABOORI</v>
      </c>
      <c r="C1563" s="43" t="str">
        <f>IFERROR(__xludf.DUMMYFUNCTION("""COMPUTED_VALUE"""),"approved")</f>
        <v>approved</v>
      </c>
      <c r="D1563" s="43" t="str">
        <f>IFERROR(__xludf.DUMMYFUNCTION("""COMPUTED_VALUE"""),"No")</f>
        <v>No</v>
      </c>
      <c r="E1563" s="43" t="str">
        <f>IFERROR(__xludf.DUMMYFUNCTION("""COMPUTED_VALUE"""),"p_9660bf7f3eda4c0c58afcf5c03263fe01edb5de7@inbound.aiesec.org")</f>
        <v>p_9660bf7f3eda4c0c58afcf5c03263fe01edb5de7@inbound.aiesec.org</v>
      </c>
      <c r="F1563" s="43">
        <f>IFERROR(__xludf.DUMMYFUNCTION("""COMPUTED_VALUE"""),3.9887322E7)</f>
        <v>39887322</v>
      </c>
      <c r="G1563" s="43" t="str">
        <f>IFERROR(__xludf.DUMMYFUNCTION("""COMPUTED_VALUE"""),"Bahrain")</f>
        <v>Bahrain</v>
      </c>
      <c r="H1563" s="43" t="str">
        <f>IFERROR(__xludf.DUMMYFUNCTION("""COMPUTED_VALUE"""),"Dilmun")</f>
        <v>Dilmun</v>
      </c>
      <c r="I1563" s="43" t="str">
        <f>IFERROR(__xludf.DUMMYFUNCTION("""COMPUTED_VALUE"""),"Turkey")</f>
        <v>Turkey</v>
      </c>
      <c r="J1563" s="43" t="str">
        <f>IFERROR(__xludf.DUMMYFUNCTION("""COMPUTED_VALUE"""),"ANKARA")</f>
        <v>ANKARA</v>
      </c>
      <c r="K1563" s="44" t="str">
        <f>IFERROR(__xludf.DUMMYFUNCTION("""COMPUTED_VALUE"""),"https://expa.aiesec.org/opportunities/1299474")</f>
        <v>https://expa.aiesec.org/opportunities/1299474</v>
      </c>
      <c r="L1563" s="43" t="str">
        <f>IFERROR(__xludf.DUMMYFUNCTION("""COMPUTED_VALUE"""),"GV")</f>
        <v>GV</v>
      </c>
      <c r="M1563" s="43" t="str">
        <f>IFERROR(__xludf.DUMMYFUNCTION("""COMPUTED_VALUE"""),"short")</f>
        <v>short</v>
      </c>
      <c r="N1563" s="45">
        <f>IFERROR(__xludf.DUMMYFUNCTION("""COMPUTED_VALUE"""),45243.0)</f>
        <v>45243</v>
      </c>
      <c r="O1563" s="45">
        <f>IFERROR(__xludf.DUMMYFUNCTION("""COMPUTED_VALUE"""),45327.0)</f>
        <v>45327</v>
      </c>
      <c r="P1563" s="45">
        <f>IFERROR(__xludf.DUMMYFUNCTION("""COMPUTED_VALUE"""),45369.0)</f>
        <v>45369</v>
      </c>
      <c r="Q1563" s="45"/>
      <c r="R1563" s="45"/>
      <c r="S1563" s="43"/>
      <c r="T1563" s="43"/>
      <c r="U1563" s="43" t="str">
        <f>IFERROR(__xludf.DUMMYFUNCTION("""COMPUTED_VALUE"""),"Global Classroom")</f>
        <v>Global Classroom</v>
      </c>
      <c r="V1563" s="43" t="str">
        <f>IFERROR(__xludf.DUMMYFUNCTION("""COMPUTED_VALUE"""),"UoB (Art)")</f>
        <v>UoB (Art)</v>
      </c>
      <c r="W1563" s="43" t="str">
        <f>IFERROR(__xludf.DUMMYFUNCTION("""COMPUTED_VALUE"""),"2023-10-24T17:03:49Z")</f>
        <v>2023-10-24T17:03:49Z</v>
      </c>
      <c r="X1563" s="43"/>
      <c r="Y1563" s="43"/>
      <c r="Z1563" s="43"/>
    </row>
    <row r="1564" hidden="1">
      <c r="A1564" s="43" t="str">
        <f>IFERROR(__xludf.DUMMYFUNCTION("""COMPUTED_VALUE"""),"5329913_1286236")</f>
        <v>5329913_1286236</v>
      </c>
      <c r="B1564" s="43" t="str">
        <f>IFERROR(__xludf.DUMMYFUNCTION("""COMPUTED_VALUE"""),"Hasna Benbekai")</f>
        <v>Hasna Benbekai</v>
      </c>
      <c r="C1564" s="43" t="str">
        <f>IFERROR(__xludf.DUMMYFUNCTION("""COMPUTED_VALUE"""),"realized")</f>
        <v>realized</v>
      </c>
      <c r="D1564" s="43" t="str">
        <f>IFERROR(__xludf.DUMMYFUNCTION("""COMPUTED_VALUE"""),"No")</f>
        <v>No</v>
      </c>
      <c r="E1564" s="43" t="str">
        <f>IFERROR(__xludf.DUMMYFUNCTION("""COMPUTED_VALUE"""),"p_0257aff6d7a273ae652c87e50de6bb9405172232@inbound.aiesec.org")</f>
        <v>p_0257aff6d7a273ae652c87e50de6bb9405172232@inbound.aiesec.org</v>
      </c>
      <c r="F1564" s="43"/>
      <c r="G1564" s="43" t="str">
        <f>IFERROR(__xludf.DUMMYFUNCTION("""COMPUTED_VALUE"""),"Algeria")</f>
        <v>Algeria</v>
      </c>
      <c r="H1564" s="43" t="str">
        <f>IFERROR(__xludf.DUMMYFUNCTION("""COMPUTED_VALUE"""),"Constantine")</f>
        <v>Constantine</v>
      </c>
      <c r="I1564" s="43" t="str">
        <f>IFERROR(__xludf.DUMMYFUNCTION("""COMPUTED_VALUE"""),"Turkey")</f>
        <v>Turkey</v>
      </c>
      <c r="J1564" s="43" t="str">
        <f>IFERROR(__xludf.DUMMYFUNCTION("""COMPUTED_VALUE"""),"ISPARTA")</f>
        <v>ISPARTA</v>
      </c>
      <c r="K1564" s="44" t="str">
        <f>IFERROR(__xludf.DUMMYFUNCTION("""COMPUTED_VALUE"""),"https://expa.aiesec.org/opportunities/1286236")</f>
        <v>https://expa.aiesec.org/opportunities/1286236</v>
      </c>
      <c r="L1564" s="43" t="str">
        <f>IFERROR(__xludf.DUMMYFUNCTION("""COMPUTED_VALUE"""),"GV")</f>
        <v>GV</v>
      </c>
      <c r="M1564" s="43" t="str">
        <f>IFERROR(__xludf.DUMMYFUNCTION("""COMPUTED_VALUE"""),"short")</f>
        <v>short</v>
      </c>
      <c r="N1564" s="45">
        <f>IFERROR(__xludf.DUMMYFUNCTION("""COMPUTED_VALUE"""),45244.0)</f>
        <v>45244</v>
      </c>
      <c r="O1564" s="45">
        <f>IFERROR(__xludf.DUMMYFUNCTION("""COMPUTED_VALUE"""),45278.0)</f>
        <v>45278</v>
      </c>
      <c r="P1564" s="45">
        <f>IFERROR(__xludf.DUMMYFUNCTION("""COMPUTED_VALUE"""),45320.0)</f>
        <v>45320</v>
      </c>
      <c r="Q1564" s="45">
        <f>IFERROR(__xludf.DUMMYFUNCTION("""COMPUTED_VALUE"""),45287.0)</f>
        <v>45287</v>
      </c>
      <c r="R1564" s="45">
        <f>IFERROR(__xludf.DUMMYFUNCTION("""COMPUTED_VALUE"""),45328.0)</f>
        <v>45328</v>
      </c>
      <c r="S1564" s="43"/>
      <c r="T1564" s="43"/>
      <c r="U1564" s="43" t="str">
        <f>IFERROR(__xludf.DUMMYFUNCTION("""COMPUTED_VALUE"""),"Global Classroom")</f>
        <v>Global Classroom</v>
      </c>
      <c r="V1564" s="43" t="str">
        <f>IFERROR(__xludf.DUMMYFUNCTION("""COMPUTED_VALUE"""),"-")</f>
        <v>-</v>
      </c>
      <c r="W1564" s="43" t="str">
        <f>IFERROR(__xludf.DUMMYFUNCTION("""COMPUTED_VALUE"""),"2023-09-22T10:12:16Z")</f>
        <v>2023-09-22T10:12:16Z</v>
      </c>
      <c r="X1564" s="43"/>
      <c r="Y1564" s="43"/>
      <c r="Z1564" s="43"/>
    </row>
    <row r="1565" hidden="1">
      <c r="A1565" s="43" t="str">
        <f>IFERROR(__xludf.DUMMYFUNCTION("""COMPUTED_VALUE"""),"5372385_1291881")</f>
        <v>5372385_1291881</v>
      </c>
      <c r="B1565" s="43" t="str">
        <f>IFERROR(__xludf.DUMMYFUNCTION("""COMPUTED_VALUE"""),"Maryem Ammar")</f>
        <v>Maryem Ammar</v>
      </c>
      <c r="C1565" s="43" t="str">
        <f>IFERROR(__xludf.DUMMYFUNCTION("""COMPUTED_VALUE"""),"approved")</f>
        <v>approved</v>
      </c>
      <c r="D1565" s="43" t="str">
        <f>IFERROR(__xludf.DUMMYFUNCTION("""COMPUTED_VALUE"""),"No")</f>
        <v>No</v>
      </c>
      <c r="E1565" s="43" t="str">
        <f>IFERROR(__xludf.DUMMYFUNCTION("""COMPUTED_VALUE"""),"p_a54e6d625328dfead5f2a477892ca14aa04262cd@inbound.aiesec.org")</f>
        <v>p_a54e6d625328dfead5f2a477892ca14aa04262cd@inbound.aiesec.org</v>
      </c>
      <c r="F1565" s="43">
        <f>IFERROR(__xludf.DUMMYFUNCTION("""COMPUTED_VALUE"""),5.0775197E7)</f>
        <v>50775197</v>
      </c>
      <c r="G1565" s="43" t="str">
        <f>IFERROR(__xludf.DUMMYFUNCTION("""COMPUTED_VALUE"""),"Tunisia")</f>
        <v>Tunisia</v>
      </c>
      <c r="H1565" s="43" t="str">
        <f>IFERROR(__xludf.DUMMYFUNCTION("""COMPUTED_VALUE"""),"BARDO")</f>
        <v>BARDO</v>
      </c>
      <c r="I1565" s="43" t="str">
        <f>IFERROR(__xludf.DUMMYFUNCTION("""COMPUTED_VALUE"""),"Turkey")</f>
        <v>Turkey</v>
      </c>
      <c r="J1565" s="43" t="str">
        <f>IFERROR(__xludf.DUMMYFUNCTION("""COMPUTED_VALUE"""),"SAKARYA")</f>
        <v>SAKARYA</v>
      </c>
      <c r="K1565" s="44" t="str">
        <f>IFERROR(__xludf.DUMMYFUNCTION("""COMPUTED_VALUE"""),"https://expa.aiesec.org/opportunities/1291881")</f>
        <v>https://expa.aiesec.org/opportunities/1291881</v>
      </c>
      <c r="L1565" s="43" t="str">
        <f>IFERROR(__xludf.DUMMYFUNCTION("""COMPUTED_VALUE"""),"GV")</f>
        <v>GV</v>
      </c>
      <c r="M1565" s="43" t="str">
        <f>IFERROR(__xludf.DUMMYFUNCTION("""COMPUTED_VALUE"""),"short")</f>
        <v>short</v>
      </c>
      <c r="N1565" s="45">
        <f>IFERROR(__xludf.DUMMYFUNCTION("""COMPUTED_VALUE"""),45244.0)</f>
        <v>45244</v>
      </c>
      <c r="O1565" s="45">
        <f>IFERROR(__xludf.DUMMYFUNCTION("""COMPUTED_VALUE"""),45481.0)</f>
        <v>45481</v>
      </c>
      <c r="P1565" s="45">
        <f>IFERROR(__xludf.DUMMYFUNCTION("""COMPUTED_VALUE"""),45523.0)</f>
        <v>45523</v>
      </c>
      <c r="Q1565" s="45"/>
      <c r="R1565" s="45"/>
      <c r="S1565" s="43"/>
      <c r="T1565" s="43"/>
      <c r="U1565" s="43" t="str">
        <f>IFERROR(__xludf.DUMMYFUNCTION("""COMPUTED_VALUE"""),"Youth 4 Impact")</f>
        <v>Youth 4 Impact</v>
      </c>
      <c r="V1565" s="43" t="str">
        <f>IFERROR(__xludf.DUMMYFUNCTION("""COMPUTED_VALUE"""),"TBS")</f>
        <v>TBS</v>
      </c>
      <c r="W1565" s="43" t="str">
        <f>IFERROR(__xludf.DUMMYFUNCTION("""COMPUTED_VALUE"""),"2023-11-14T15:33:20Z")</f>
        <v>2023-11-14T15:33:20Z</v>
      </c>
      <c r="X1565" s="43"/>
      <c r="Y1565" s="43"/>
      <c r="Z1565" s="43"/>
    </row>
    <row r="1566" hidden="1">
      <c r="A1566" s="43" t="str">
        <f>IFERROR(__xludf.DUMMYFUNCTION("""COMPUTED_VALUE"""),"5133950_1298284")</f>
        <v>5133950_1298284</v>
      </c>
      <c r="B1566" s="43" t="str">
        <f>IFERROR(__xludf.DUMMYFUNCTION("""COMPUTED_VALUE"""),"Lamis Bagani")</f>
        <v>Lamis Bagani</v>
      </c>
      <c r="C1566" s="43" t="str">
        <f>IFERROR(__xludf.DUMMYFUNCTION("""COMPUTED_VALUE"""),"approved")</f>
        <v>approved</v>
      </c>
      <c r="D1566" s="43" t="str">
        <f>IFERROR(__xludf.DUMMYFUNCTION("""COMPUTED_VALUE"""),"No")</f>
        <v>No</v>
      </c>
      <c r="E1566" s="43" t="str">
        <f>IFERROR(__xludf.DUMMYFUNCTION("""COMPUTED_VALUE"""),"p_059b0dd0cd8c48555b71fa00c9bf7a2ab58362a9@inbound.aiesec.org")</f>
        <v>p_059b0dd0cd8c48555b71fa00c9bf7a2ab58362a9@inbound.aiesec.org</v>
      </c>
      <c r="F1566" s="43">
        <f>IFERROR(__xludf.DUMMYFUNCTION("""COMPUTED_VALUE"""),5.2310328E7)</f>
        <v>52310328</v>
      </c>
      <c r="G1566" s="43" t="str">
        <f>IFERROR(__xludf.DUMMYFUNCTION("""COMPUTED_VALUE"""),"Tunisia")</f>
        <v>Tunisia</v>
      </c>
      <c r="H1566" s="43" t="str">
        <f>IFERROR(__xludf.DUMMYFUNCTION("""COMPUTED_VALUE"""),"Carthage")</f>
        <v>Carthage</v>
      </c>
      <c r="I1566" s="43" t="str">
        <f>IFERROR(__xludf.DUMMYFUNCTION("""COMPUTED_VALUE"""),"Turkey")</f>
        <v>Turkey</v>
      </c>
      <c r="J1566" s="43" t="str">
        <f>IFERROR(__xludf.DUMMYFUNCTION("""COMPUTED_VALUE"""),"ISTANBUL")</f>
        <v>ISTANBUL</v>
      </c>
      <c r="K1566" s="44" t="str">
        <f>IFERROR(__xludf.DUMMYFUNCTION("""COMPUTED_VALUE"""),"https://expa.aiesec.org/opportunities/1298284")</f>
        <v>https://expa.aiesec.org/opportunities/1298284</v>
      </c>
      <c r="L1566" s="43" t="str">
        <f>IFERROR(__xludf.DUMMYFUNCTION("""COMPUTED_VALUE"""),"GV")</f>
        <v>GV</v>
      </c>
      <c r="M1566" s="43" t="str">
        <f>IFERROR(__xludf.DUMMYFUNCTION("""COMPUTED_VALUE"""),"short")</f>
        <v>short</v>
      </c>
      <c r="N1566" s="45">
        <f>IFERROR(__xludf.DUMMYFUNCTION("""COMPUTED_VALUE"""),45244.0)</f>
        <v>45244</v>
      </c>
      <c r="O1566" s="45">
        <f>IFERROR(__xludf.DUMMYFUNCTION("""COMPUTED_VALUE"""),45333.0)</f>
        <v>45333</v>
      </c>
      <c r="P1566" s="45">
        <f>IFERROR(__xludf.DUMMYFUNCTION("""COMPUTED_VALUE"""),45375.0)</f>
        <v>45375</v>
      </c>
      <c r="Q1566" s="45"/>
      <c r="R1566" s="45"/>
      <c r="S1566" s="43"/>
      <c r="T1566" s="43"/>
      <c r="U1566" s="43" t="str">
        <f>IFERROR(__xludf.DUMMYFUNCTION("""COMPUTED_VALUE"""),"Global Classroom")</f>
        <v>Global Classroom</v>
      </c>
      <c r="V1566" s="43" t="str">
        <f>IFERROR(__xludf.DUMMYFUNCTION("""COMPUTED_VALUE"""),"FSJPST")</f>
        <v>FSJPST</v>
      </c>
      <c r="W1566" s="43" t="str">
        <f>IFERROR(__xludf.DUMMYFUNCTION("""COMPUTED_VALUE"""),"2022-10-16T12:29:59Z")</f>
        <v>2022-10-16T12:29:59Z</v>
      </c>
      <c r="X1566" s="43"/>
      <c r="Y1566" s="43"/>
      <c r="Z1566" s="43"/>
    </row>
    <row r="1567" hidden="1">
      <c r="A1567" s="43" t="str">
        <f>IFERROR(__xludf.DUMMYFUNCTION("""COMPUTED_VALUE"""),"5367947_1286034")</f>
        <v>5367947_1286034</v>
      </c>
      <c r="B1567" s="43" t="str">
        <f>IFERROR(__xludf.DUMMYFUNCTION("""COMPUTED_VALUE"""),"Ecaterina Banica")</f>
        <v>Ecaterina Banica</v>
      </c>
      <c r="C1567" s="43" t="str">
        <f>IFERROR(__xludf.DUMMYFUNCTION("""COMPUTED_VALUE"""),"approved")</f>
        <v>approved</v>
      </c>
      <c r="D1567" s="43" t="str">
        <f>IFERROR(__xludf.DUMMYFUNCTION("""COMPUTED_VALUE"""),"No")</f>
        <v>No</v>
      </c>
      <c r="E1567" s="43" t="str">
        <f>IFERROR(__xludf.DUMMYFUNCTION("""COMPUTED_VALUE"""),"p_a6db3044c16d0374d115920494afc0c4e414abeb@inbound.aiesec.org")</f>
        <v>p_a6db3044c16d0374d115920494afc0c4e414abeb@inbound.aiesec.org</v>
      </c>
      <c r="F1567" s="43">
        <f>IFERROR(__xludf.DUMMYFUNCTION("""COMPUTED_VALUE"""),7.70852815E8)</f>
        <v>770852815</v>
      </c>
      <c r="G1567" s="43" t="str">
        <f>IFERROR(__xludf.DUMMYFUNCTION("""COMPUTED_VALUE"""),"Romania")</f>
        <v>Romania</v>
      </c>
      <c r="H1567" s="43" t="str">
        <f>IFERROR(__xludf.DUMMYFUNCTION("""COMPUTED_VALUE"""),"BUCURESTI")</f>
        <v>BUCURESTI</v>
      </c>
      <c r="I1567" s="43" t="str">
        <f>IFERROR(__xludf.DUMMYFUNCTION("""COMPUTED_VALUE"""),"Turkey")</f>
        <v>Turkey</v>
      </c>
      <c r="J1567" s="43" t="str">
        <f>IFERROR(__xludf.DUMMYFUNCTION("""COMPUTED_VALUE"""),"ANTALYA")</f>
        <v>ANTALYA</v>
      </c>
      <c r="K1567" s="44" t="str">
        <f>IFERROR(__xludf.DUMMYFUNCTION("""COMPUTED_VALUE"""),"https://expa.aiesec.org/opportunities/1286034")</f>
        <v>https://expa.aiesec.org/opportunities/1286034</v>
      </c>
      <c r="L1567" s="43" t="str">
        <f>IFERROR(__xludf.DUMMYFUNCTION("""COMPUTED_VALUE"""),"GV")</f>
        <v>GV</v>
      </c>
      <c r="M1567" s="43" t="str">
        <f>IFERROR(__xludf.DUMMYFUNCTION("""COMPUTED_VALUE"""),"short")</f>
        <v>short</v>
      </c>
      <c r="N1567" s="45">
        <f>IFERROR(__xludf.DUMMYFUNCTION("""COMPUTED_VALUE"""),45244.0)</f>
        <v>45244</v>
      </c>
      <c r="O1567" s="45">
        <f>IFERROR(__xludf.DUMMYFUNCTION("""COMPUTED_VALUE"""),45474.0)</f>
        <v>45474</v>
      </c>
      <c r="P1567" s="45">
        <f>IFERROR(__xludf.DUMMYFUNCTION("""COMPUTED_VALUE"""),45516.0)</f>
        <v>45516</v>
      </c>
      <c r="Q1567" s="45"/>
      <c r="R1567" s="45"/>
      <c r="S1567" s="43"/>
      <c r="T1567" s="43"/>
      <c r="U1567" s="43" t="str">
        <f>IFERROR(__xludf.DUMMYFUNCTION("""COMPUTED_VALUE"""),"Global Classroom")</f>
        <v>Global Classroom</v>
      </c>
      <c r="V1567" s="43" t="str">
        <f>IFERROR(__xludf.DUMMYFUNCTION("""COMPUTED_VALUE"""),"Bucuresti")</f>
        <v>Bucuresti</v>
      </c>
      <c r="W1567" s="43" t="str">
        <f>IFERROR(__xludf.DUMMYFUNCTION("""COMPUTED_VALUE"""),"2023-11-06T23:02:05Z")</f>
        <v>2023-11-06T23:02:05Z</v>
      </c>
      <c r="X1567" s="43"/>
      <c r="Y1567" s="43"/>
      <c r="Z1567" s="43"/>
    </row>
    <row r="1568" hidden="1">
      <c r="A1568" s="43" t="str">
        <f>IFERROR(__xludf.DUMMYFUNCTION("""COMPUTED_VALUE"""),"5367917_1286034")</f>
        <v>5367917_1286034</v>
      </c>
      <c r="B1568" s="43" t="str">
        <f>IFERROR(__xludf.DUMMYFUNCTION("""COMPUTED_VALUE"""),"Sara Violeta Mitrache")</f>
        <v>Sara Violeta Mitrache</v>
      </c>
      <c r="C1568" s="43" t="str">
        <f>IFERROR(__xludf.DUMMYFUNCTION("""COMPUTED_VALUE"""),"approved")</f>
        <v>approved</v>
      </c>
      <c r="D1568" s="43" t="str">
        <f>IFERROR(__xludf.DUMMYFUNCTION("""COMPUTED_VALUE"""),"No")</f>
        <v>No</v>
      </c>
      <c r="E1568" s="43" t="str">
        <f>IFERROR(__xludf.DUMMYFUNCTION("""COMPUTED_VALUE"""),"p_0178a2cb4ce4bf813d5271aee6d7463001cd7da1@inbound.aiesec.org")</f>
        <v>p_0178a2cb4ce4bf813d5271aee6d7463001cd7da1@inbound.aiesec.org</v>
      </c>
      <c r="F1568" s="43">
        <f>IFERROR(__xludf.DUMMYFUNCTION("""COMPUTED_VALUE"""),7.29146856E8)</f>
        <v>729146856</v>
      </c>
      <c r="G1568" s="43" t="str">
        <f>IFERROR(__xludf.DUMMYFUNCTION("""COMPUTED_VALUE"""),"Romania")</f>
        <v>Romania</v>
      </c>
      <c r="H1568" s="43" t="str">
        <f>IFERROR(__xludf.DUMMYFUNCTION("""COMPUTED_VALUE"""),"BUCURESTI")</f>
        <v>BUCURESTI</v>
      </c>
      <c r="I1568" s="43" t="str">
        <f>IFERROR(__xludf.DUMMYFUNCTION("""COMPUTED_VALUE"""),"Turkey")</f>
        <v>Turkey</v>
      </c>
      <c r="J1568" s="43" t="str">
        <f>IFERROR(__xludf.DUMMYFUNCTION("""COMPUTED_VALUE"""),"ANTALYA")</f>
        <v>ANTALYA</v>
      </c>
      <c r="K1568" s="44" t="str">
        <f>IFERROR(__xludf.DUMMYFUNCTION("""COMPUTED_VALUE"""),"https://expa.aiesec.org/opportunities/1286034")</f>
        <v>https://expa.aiesec.org/opportunities/1286034</v>
      </c>
      <c r="L1568" s="43" t="str">
        <f>IFERROR(__xludf.DUMMYFUNCTION("""COMPUTED_VALUE"""),"GV")</f>
        <v>GV</v>
      </c>
      <c r="M1568" s="43" t="str">
        <f>IFERROR(__xludf.DUMMYFUNCTION("""COMPUTED_VALUE"""),"short")</f>
        <v>short</v>
      </c>
      <c r="N1568" s="45">
        <f>IFERROR(__xludf.DUMMYFUNCTION("""COMPUTED_VALUE"""),45244.0)</f>
        <v>45244</v>
      </c>
      <c r="O1568" s="45">
        <f>IFERROR(__xludf.DUMMYFUNCTION("""COMPUTED_VALUE"""),45474.0)</f>
        <v>45474</v>
      </c>
      <c r="P1568" s="45">
        <f>IFERROR(__xludf.DUMMYFUNCTION("""COMPUTED_VALUE"""),45516.0)</f>
        <v>45516</v>
      </c>
      <c r="Q1568" s="45"/>
      <c r="R1568" s="45"/>
      <c r="S1568" s="43"/>
      <c r="T1568" s="43"/>
      <c r="U1568" s="43" t="str">
        <f>IFERROR(__xludf.DUMMYFUNCTION("""COMPUTED_VALUE"""),"Global Classroom")</f>
        <v>Global Classroom</v>
      </c>
      <c r="V1568" s="43" t="str">
        <f>IFERROR(__xludf.DUMMYFUNCTION("""COMPUTED_VALUE"""),"Bucuresti")</f>
        <v>Bucuresti</v>
      </c>
      <c r="W1568" s="43" t="str">
        <f>IFERROR(__xludf.DUMMYFUNCTION("""COMPUTED_VALUE"""),"2023-11-06T21:21:01Z")</f>
        <v>2023-11-06T21:21:01Z</v>
      </c>
      <c r="X1568" s="43"/>
      <c r="Y1568" s="43"/>
      <c r="Z1568" s="43"/>
    </row>
    <row r="1569" hidden="1">
      <c r="A1569" s="43" t="str">
        <f>IFERROR(__xludf.DUMMYFUNCTION("""COMPUTED_VALUE"""),"5372360_1294878")</f>
        <v>5372360_1294878</v>
      </c>
      <c r="B1569" s="43" t="str">
        <f>IFERROR(__xludf.DUMMYFUNCTION("""COMPUTED_VALUE"""),"Karim Dahmeni")</f>
        <v>Karim Dahmeni</v>
      </c>
      <c r="C1569" s="43" t="str">
        <f>IFERROR(__xludf.DUMMYFUNCTION("""COMPUTED_VALUE"""),"approved")</f>
        <v>approved</v>
      </c>
      <c r="D1569" s="43" t="str">
        <f>IFERROR(__xludf.DUMMYFUNCTION("""COMPUTED_VALUE"""),"No")</f>
        <v>No</v>
      </c>
      <c r="E1569" s="43" t="str">
        <f>IFERROR(__xludf.DUMMYFUNCTION("""COMPUTED_VALUE"""),"p_5221db57f3513f7f8e914ff10131865c65c29e42@inbound.aiesec.org")</f>
        <v>p_5221db57f3513f7f8e914ff10131865c65c29e42@inbound.aiesec.org</v>
      </c>
      <c r="F1569" s="43">
        <f>IFERROR(__xludf.DUMMYFUNCTION("""COMPUTED_VALUE"""),2.5749474E7)</f>
        <v>25749474</v>
      </c>
      <c r="G1569" s="43" t="str">
        <f>IFERROR(__xludf.DUMMYFUNCTION("""COMPUTED_VALUE"""),"Tunisia")</f>
        <v>Tunisia</v>
      </c>
      <c r="H1569" s="43" t="str">
        <f>IFERROR(__xludf.DUMMYFUNCTION("""COMPUTED_VALUE"""),"UNIVERSITY")</f>
        <v>UNIVERSITY</v>
      </c>
      <c r="I1569" s="43" t="str">
        <f>IFERROR(__xludf.DUMMYFUNCTION("""COMPUTED_VALUE"""),"Turkey")</f>
        <v>Turkey</v>
      </c>
      <c r="J1569" s="43" t="str">
        <f>IFERROR(__xludf.DUMMYFUNCTION("""COMPUTED_VALUE"""),"BURSA")</f>
        <v>BURSA</v>
      </c>
      <c r="K1569" s="44" t="str">
        <f>IFERROR(__xludf.DUMMYFUNCTION("""COMPUTED_VALUE"""),"https://expa.aiesec.org/opportunities/1294878")</f>
        <v>https://expa.aiesec.org/opportunities/1294878</v>
      </c>
      <c r="L1569" s="43" t="str">
        <f>IFERROR(__xludf.DUMMYFUNCTION("""COMPUTED_VALUE"""),"GV")</f>
        <v>GV</v>
      </c>
      <c r="M1569" s="43" t="str">
        <f>IFERROR(__xludf.DUMMYFUNCTION("""COMPUTED_VALUE"""),"short")</f>
        <v>short</v>
      </c>
      <c r="N1569" s="45">
        <f>IFERROR(__xludf.DUMMYFUNCTION("""COMPUTED_VALUE"""),45244.0)</f>
        <v>45244</v>
      </c>
      <c r="O1569" s="45">
        <f>IFERROR(__xludf.DUMMYFUNCTION("""COMPUTED_VALUE"""),45327.0)</f>
        <v>45327</v>
      </c>
      <c r="P1569" s="45">
        <f>IFERROR(__xludf.DUMMYFUNCTION("""COMPUTED_VALUE"""),45369.0)</f>
        <v>45369</v>
      </c>
      <c r="Q1569" s="45"/>
      <c r="R1569" s="45"/>
      <c r="S1569" s="43"/>
      <c r="T1569" s="43"/>
      <c r="U1569" s="43" t="str">
        <f>IFERROR(__xludf.DUMMYFUNCTION("""COMPUTED_VALUE"""),"Youth 4 Impact")</f>
        <v>Youth 4 Impact</v>
      </c>
      <c r="V1569" s="43" t="str">
        <f>IFERROR(__xludf.DUMMYFUNCTION("""COMPUTED_VALUE"""),"FST")</f>
        <v>FST</v>
      </c>
      <c r="W1569" s="43" t="str">
        <f>IFERROR(__xludf.DUMMYFUNCTION("""COMPUTED_VALUE"""),"2023-11-14T14:52:12Z")</f>
        <v>2023-11-14T14:52:12Z</v>
      </c>
      <c r="X1569" s="43"/>
      <c r="Y1569" s="43"/>
      <c r="Z1569" s="43"/>
    </row>
    <row r="1570" hidden="1">
      <c r="A1570" s="43" t="str">
        <f>IFERROR(__xludf.DUMMYFUNCTION("""COMPUTED_VALUE"""),"5303906_1299041")</f>
        <v>5303906_1299041</v>
      </c>
      <c r="B1570" s="43" t="str">
        <f>IFERROR(__xludf.DUMMYFUNCTION("""COMPUTED_VALUE"""),"Mekni Nour")</f>
        <v>Mekni Nour</v>
      </c>
      <c r="C1570" s="43" t="str">
        <f>IFERROR(__xludf.DUMMYFUNCTION("""COMPUTED_VALUE"""),"approved")</f>
        <v>approved</v>
      </c>
      <c r="D1570" s="43" t="str">
        <f>IFERROR(__xludf.DUMMYFUNCTION("""COMPUTED_VALUE"""),"No")</f>
        <v>No</v>
      </c>
      <c r="E1570" s="43" t="str">
        <f>IFERROR(__xludf.DUMMYFUNCTION("""COMPUTED_VALUE"""),"p_4973fb56f14ef584ab4b5514f7275a3c8ed58e5e@inbound.aiesec.org")</f>
        <v>p_4973fb56f14ef584ab4b5514f7275a3c8ed58e5e@inbound.aiesec.org</v>
      </c>
      <c r="F1570" s="43">
        <f>IFERROR(__xludf.DUMMYFUNCTION("""COMPUTED_VALUE"""),2.5544823E7)</f>
        <v>25544823</v>
      </c>
      <c r="G1570" s="43" t="str">
        <f>IFERROR(__xludf.DUMMYFUNCTION("""COMPUTED_VALUE"""),"Tunisia")</f>
        <v>Tunisia</v>
      </c>
      <c r="H1570" s="43" t="str">
        <f>IFERROR(__xludf.DUMMYFUNCTION("""COMPUTED_VALUE"""),"BARDO")</f>
        <v>BARDO</v>
      </c>
      <c r="I1570" s="43" t="str">
        <f>IFERROR(__xludf.DUMMYFUNCTION("""COMPUTED_VALUE"""),"Turkey")</f>
        <v>Turkey</v>
      </c>
      <c r="J1570" s="43" t="str">
        <f>IFERROR(__xludf.DUMMYFUNCTION("""COMPUTED_VALUE"""),"ANTALYA")</f>
        <v>ANTALYA</v>
      </c>
      <c r="K1570" s="44" t="str">
        <f>IFERROR(__xludf.DUMMYFUNCTION("""COMPUTED_VALUE"""),"https://expa.aiesec.org/opportunities/1299041")</f>
        <v>https://expa.aiesec.org/opportunities/1299041</v>
      </c>
      <c r="L1570" s="43" t="str">
        <f>IFERROR(__xludf.DUMMYFUNCTION("""COMPUTED_VALUE"""),"GV")</f>
        <v>GV</v>
      </c>
      <c r="M1570" s="43" t="str">
        <f>IFERROR(__xludf.DUMMYFUNCTION("""COMPUTED_VALUE"""),"short")</f>
        <v>short</v>
      </c>
      <c r="N1570" s="45">
        <f>IFERROR(__xludf.DUMMYFUNCTION("""COMPUTED_VALUE"""),45244.0)</f>
        <v>45244</v>
      </c>
      <c r="O1570" s="45">
        <f>IFERROR(__xludf.DUMMYFUNCTION("""COMPUTED_VALUE"""),45488.0)</f>
        <v>45488</v>
      </c>
      <c r="P1570" s="45">
        <f>IFERROR(__xludf.DUMMYFUNCTION("""COMPUTED_VALUE"""),45530.0)</f>
        <v>45530</v>
      </c>
      <c r="Q1570" s="45"/>
      <c r="R1570" s="45"/>
      <c r="S1570" s="43"/>
      <c r="T1570" s="43"/>
      <c r="U1570" s="43" t="str">
        <f>IFERROR(__xludf.DUMMYFUNCTION("""COMPUTED_VALUE"""),"Fingerprint")</f>
        <v>Fingerprint</v>
      </c>
      <c r="V1570" s="43" t="str">
        <f>IFERROR(__xludf.DUMMYFUNCTION("""COMPUTED_VALUE"""),"ESPRIT El Ghazela ")</f>
        <v>ESPRIT El Ghazela </v>
      </c>
      <c r="W1570" s="43" t="str">
        <f>IFERROR(__xludf.DUMMYFUNCTION("""COMPUTED_VALUE"""),"2023-08-16T21:40:28Z")</f>
        <v>2023-08-16T21:40:28Z</v>
      </c>
      <c r="X1570" s="43"/>
      <c r="Y1570" s="43"/>
      <c r="Z1570" s="43"/>
    </row>
    <row r="1571" hidden="1">
      <c r="A1571" s="43" t="str">
        <f>IFERROR(__xludf.DUMMYFUNCTION("""COMPUTED_VALUE"""),"5372527_1291881")</f>
        <v>5372527_1291881</v>
      </c>
      <c r="B1571" s="43" t="str">
        <f>IFERROR(__xludf.DUMMYFUNCTION("""COMPUTED_VALUE"""),"Molka Boukhris")</f>
        <v>Molka Boukhris</v>
      </c>
      <c r="C1571" s="43" t="str">
        <f>IFERROR(__xludf.DUMMYFUNCTION("""COMPUTED_VALUE"""),"approved")</f>
        <v>approved</v>
      </c>
      <c r="D1571" s="43" t="str">
        <f>IFERROR(__xludf.DUMMYFUNCTION("""COMPUTED_VALUE"""),"No")</f>
        <v>No</v>
      </c>
      <c r="E1571" s="43" t="str">
        <f>IFERROR(__xludf.DUMMYFUNCTION("""COMPUTED_VALUE"""),"p_72f261f178e444275382a026eaf91293f55dc0e1@inbound.aiesec.org")</f>
        <v>p_72f261f178e444275382a026eaf91293f55dc0e1@inbound.aiesec.org</v>
      </c>
      <c r="F1571" s="43">
        <f>IFERROR(__xludf.DUMMYFUNCTION("""COMPUTED_VALUE"""),5.3708084E7)</f>
        <v>53708084</v>
      </c>
      <c r="G1571" s="43" t="str">
        <f>IFERROR(__xludf.DUMMYFUNCTION("""COMPUTED_VALUE"""),"Tunisia")</f>
        <v>Tunisia</v>
      </c>
      <c r="H1571" s="43" t="str">
        <f>IFERROR(__xludf.DUMMYFUNCTION("""COMPUTED_VALUE"""),"BARDO")</f>
        <v>BARDO</v>
      </c>
      <c r="I1571" s="43" t="str">
        <f>IFERROR(__xludf.DUMMYFUNCTION("""COMPUTED_VALUE"""),"Turkey")</f>
        <v>Turkey</v>
      </c>
      <c r="J1571" s="43" t="str">
        <f>IFERROR(__xludf.DUMMYFUNCTION("""COMPUTED_VALUE"""),"SAKARYA")</f>
        <v>SAKARYA</v>
      </c>
      <c r="K1571" s="44" t="str">
        <f>IFERROR(__xludf.DUMMYFUNCTION("""COMPUTED_VALUE"""),"https://expa.aiesec.org/opportunities/1291881")</f>
        <v>https://expa.aiesec.org/opportunities/1291881</v>
      </c>
      <c r="L1571" s="43" t="str">
        <f>IFERROR(__xludf.DUMMYFUNCTION("""COMPUTED_VALUE"""),"GV")</f>
        <v>GV</v>
      </c>
      <c r="M1571" s="43" t="str">
        <f>IFERROR(__xludf.DUMMYFUNCTION("""COMPUTED_VALUE"""),"short")</f>
        <v>short</v>
      </c>
      <c r="N1571" s="45">
        <f>IFERROR(__xludf.DUMMYFUNCTION("""COMPUTED_VALUE"""),45244.0)</f>
        <v>45244</v>
      </c>
      <c r="O1571" s="45">
        <f>IFERROR(__xludf.DUMMYFUNCTION("""COMPUTED_VALUE"""),45481.0)</f>
        <v>45481</v>
      </c>
      <c r="P1571" s="45">
        <f>IFERROR(__xludf.DUMMYFUNCTION("""COMPUTED_VALUE"""),45523.0)</f>
        <v>45523</v>
      </c>
      <c r="Q1571" s="45"/>
      <c r="R1571" s="45"/>
      <c r="S1571" s="43"/>
      <c r="T1571" s="43"/>
      <c r="U1571" s="43" t="str">
        <f>IFERROR(__xludf.DUMMYFUNCTION("""COMPUTED_VALUE"""),"Youth 4 Impact")</f>
        <v>Youth 4 Impact</v>
      </c>
      <c r="V1571" s="43" t="str">
        <f>IFERROR(__xludf.DUMMYFUNCTION("""COMPUTED_VALUE"""),"TBS")</f>
        <v>TBS</v>
      </c>
      <c r="W1571" s="43" t="str">
        <f>IFERROR(__xludf.DUMMYFUNCTION("""COMPUTED_VALUE"""),"2023-11-14T20:04:09Z")</f>
        <v>2023-11-14T20:04:09Z</v>
      </c>
      <c r="X1571" s="43"/>
      <c r="Y1571" s="43"/>
      <c r="Z1571" s="43"/>
    </row>
    <row r="1572" hidden="1">
      <c r="A1572" s="43" t="str">
        <f>IFERROR(__xludf.DUMMYFUNCTION("""COMPUTED_VALUE"""),"5372516_1284670")</f>
        <v>5372516_1284670</v>
      </c>
      <c r="B1572" s="43" t="str">
        <f>IFERROR(__xludf.DUMMYFUNCTION("""COMPUTED_VALUE"""),"azza ben mrad")</f>
        <v>azza ben mrad</v>
      </c>
      <c r="C1572" s="43" t="str">
        <f>IFERROR(__xludf.DUMMYFUNCTION("""COMPUTED_VALUE"""),"approved")</f>
        <v>approved</v>
      </c>
      <c r="D1572" s="43" t="str">
        <f>IFERROR(__xludf.DUMMYFUNCTION("""COMPUTED_VALUE"""),"No")</f>
        <v>No</v>
      </c>
      <c r="E1572" s="43" t="str">
        <f>IFERROR(__xludf.DUMMYFUNCTION("""COMPUTED_VALUE"""),"p_68f7851307524e04b8decfa722d7d47aae1ef020@inbound.aiesec.org")</f>
        <v>p_68f7851307524e04b8decfa722d7d47aae1ef020@inbound.aiesec.org</v>
      </c>
      <c r="F1572" s="43">
        <f>IFERROR(__xludf.DUMMYFUNCTION("""COMPUTED_VALUE"""),5.6450477E7)</f>
        <v>56450477</v>
      </c>
      <c r="G1572" s="43" t="str">
        <f>IFERROR(__xludf.DUMMYFUNCTION("""COMPUTED_VALUE"""),"Tunisia")</f>
        <v>Tunisia</v>
      </c>
      <c r="H1572" s="43" t="str">
        <f>IFERROR(__xludf.DUMMYFUNCTION("""COMPUTED_VALUE"""),"HADRUMET")</f>
        <v>HADRUMET</v>
      </c>
      <c r="I1572" s="43" t="str">
        <f>IFERROR(__xludf.DUMMYFUNCTION("""COMPUTED_VALUE"""),"Turkey")</f>
        <v>Turkey</v>
      </c>
      <c r="J1572" s="43" t="str">
        <f>IFERROR(__xludf.DUMMYFUNCTION("""COMPUTED_VALUE"""),"ISTANBUL")</f>
        <v>ISTANBUL</v>
      </c>
      <c r="K1572" s="44" t="str">
        <f>IFERROR(__xludf.DUMMYFUNCTION("""COMPUTED_VALUE"""),"https://expa.aiesec.org/opportunities/1284670")</f>
        <v>https://expa.aiesec.org/opportunities/1284670</v>
      </c>
      <c r="L1572" s="43" t="str">
        <f>IFERROR(__xludf.DUMMYFUNCTION("""COMPUTED_VALUE"""),"GV")</f>
        <v>GV</v>
      </c>
      <c r="M1572" s="43" t="str">
        <f>IFERROR(__xludf.DUMMYFUNCTION("""COMPUTED_VALUE"""),"short")</f>
        <v>short</v>
      </c>
      <c r="N1572" s="45">
        <f>IFERROR(__xludf.DUMMYFUNCTION("""COMPUTED_VALUE"""),45244.0)</f>
        <v>45244</v>
      </c>
      <c r="O1572" s="45">
        <f>IFERROR(__xludf.DUMMYFUNCTION("""COMPUTED_VALUE"""),45476.0)</f>
        <v>45476</v>
      </c>
      <c r="P1572" s="45">
        <f>IFERROR(__xludf.DUMMYFUNCTION("""COMPUTED_VALUE"""),45518.0)</f>
        <v>45518</v>
      </c>
      <c r="Q1572" s="45"/>
      <c r="R1572" s="45"/>
      <c r="S1572" s="43"/>
      <c r="T1572" s="43"/>
      <c r="U1572" s="43" t="str">
        <f>IFERROR(__xludf.DUMMYFUNCTION("""COMPUTED_VALUE"""),"Heartbeat")</f>
        <v>Heartbeat</v>
      </c>
      <c r="V1572" s="43" t="str">
        <f>IFERROR(__xludf.DUMMYFUNCTION("""COMPUTED_VALUE"""),"UPSAT Sousse")</f>
        <v>UPSAT Sousse</v>
      </c>
      <c r="W1572" s="43" t="str">
        <f>IFERROR(__xludf.DUMMYFUNCTION("""COMPUTED_VALUE"""),"2023-11-14T19:53:54Z")</f>
        <v>2023-11-14T19:53:54Z</v>
      </c>
      <c r="X1572" s="43"/>
      <c r="Y1572" s="43"/>
      <c r="Z1572" s="43"/>
    </row>
    <row r="1573" hidden="1">
      <c r="A1573" s="43" t="str">
        <f>IFERROR(__xludf.DUMMYFUNCTION("""COMPUTED_VALUE"""),"1331708_1296118")</f>
        <v>1331708_1296118</v>
      </c>
      <c r="B1573" s="43" t="str">
        <f>IFERROR(__xludf.DUMMYFUNCTION("""COMPUTED_VALUE"""),"Hozayfa Mohamed Makhlof")</f>
        <v>Hozayfa Mohamed Makhlof</v>
      </c>
      <c r="C1573" s="43" t="str">
        <f>IFERROR(__xludf.DUMMYFUNCTION("""COMPUTED_VALUE"""),"approved")</f>
        <v>approved</v>
      </c>
      <c r="D1573" s="43" t="str">
        <f>IFERROR(__xludf.DUMMYFUNCTION("""COMPUTED_VALUE"""),"No")</f>
        <v>No</v>
      </c>
      <c r="E1573" s="43" t="str">
        <f>IFERROR(__xludf.DUMMYFUNCTION("""COMPUTED_VALUE"""),"p_063f568603b7b68e95cc5fb9688be68072e8a007@inbound.aiesec.org")</f>
        <v>p_063f568603b7b68e95cc5fb9688be68072e8a007@inbound.aiesec.org</v>
      </c>
      <c r="F1573" s="43">
        <f>IFERROR(__xludf.DUMMYFUNCTION("""COMPUTED_VALUE"""),1.208300241E9)</f>
        <v>1208300241</v>
      </c>
      <c r="G1573" s="43" t="str">
        <f>IFERROR(__xludf.DUMMYFUNCTION("""COMPUTED_VALUE"""),"Egypt")</f>
        <v>Egypt</v>
      </c>
      <c r="H1573" s="43" t="str">
        <f>IFERROR(__xludf.DUMMYFUNCTION("""COMPUTED_VALUE"""),"Alexandria")</f>
        <v>Alexandria</v>
      </c>
      <c r="I1573" s="43" t="str">
        <f>IFERROR(__xludf.DUMMYFUNCTION("""COMPUTED_VALUE"""),"Turkey")</f>
        <v>Turkey</v>
      </c>
      <c r="J1573" s="43" t="str">
        <f>IFERROR(__xludf.DUMMYFUNCTION("""COMPUTED_VALUE"""),"ISTANBUL WEST")</f>
        <v>ISTANBUL WEST</v>
      </c>
      <c r="K1573" s="44" t="str">
        <f>IFERROR(__xludf.DUMMYFUNCTION("""COMPUTED_VALUE"""),"https://expa.aiesec.org/opportunities/1296118")</f>
        <v>https://expa.aiesec.org/opportunities/1296118</v>
      </c>
      <c r="L1573" s="43" t="str">
        <f>IFERROR(__xludf.DUMMYFUNCTION("""COMPUTED_VALUE"""),"GV")</f>
        <v>GV</v>
      </c>
      <c r="M1573" s="43" t="str">
        <f>IFERROR(__xludf.DUMMYFUNCTION("""COMPUTED_VALUE"""),"short")</f>
        <v>short</v>
      </c>
      <c r="N1573" s="45">
        <f>IFERROR(__xludf.DUMMYFUNCTION("""COMPUTED_VALUE"""),45244.0)</f>
        <v>45244</v>
      </c>
      <c r="O1573" s="45">
        <f>IFERROR(__xludf.DUMMYFUNCTION("""COMPUTED_VALUE"""),45264.0)</f>
        <v>45264</v>
      </c>
      <c r="P1573" s="45">
        <f>IFERROR(__xludf.DUMMYFUNCTION("""COMPUTED_VALUE"""),45306.0)</f>
        <v>45306</v>
      </c>
      <c r="Q1573" s="45"/>
      <c r="R1573" s="45"/>
      <c r="S1573" s="43"/>
      <c r="T1573" s="43"/>
      <c r="U1573" s="43" t="str">
        <f>IFERROR(__xludf.DUMMYFUNCTION("""COMPUTED_VALUE"""),"Fingerprint")</f>
        <v>Fingerprint</v>
      </c>
      <c r="V1573" s="43" t="str">
        <f>IFERROR(__xludf.DUMMYFUNCTION("""COMPUTED_VALUE"""),"-")</f>
        <v>-</v>
      </c>
      <c r="W1573" s="43" t="str">
        <f>IFERROR(__xludf.DUMMYFUNCTION("""COMPUTED_VALUE"""),"2017-01-24T13:30:17Z")</f>
        <v>2017-01-24T13:30:17Z</v>
      </c>
      <c r="X1573" s="43"/>
      <c r="Y1573" s="43"/>
      <c r="Z1573" s="43"/>
    </row>
    <row r="1574" hidden="1">
      <c r="A1574" s="43" t="str">
        <f>IFERROR(__xludf.DUMMYFUNCTION("""COMPUTED_VALUE"""),"5366588_1299037")</f>
        <v>5366588_1299037</v>
      </c>
      <c r="B1574" s="43" t="str">
        <f>IFERROR(__xludf.DUMMYFUNCTION("""COMPUTED_VALUE"""),"Nada Moustafa")</f>
        <v>Nada Moustafa</v>
      </c>
      <c r="C1574" s="43" t="str">
        <f>IFERROR(__xludf.DUMMYFUNCTION("""COMPUTED_VALUE"""),"rejected")</f>
        <v>rejected</v>
      </c>
      <c r="D1574" s="43" t="str">
        <f>IFERROR(__xludf.DUMMYFUNCTION("""COMPUTED_VALUE"""),"No")</f>
        <v>No</v>
      </c>
      <c r="E1574" s="43" t="str">
        <f>IFERROR(__xludf.DUMMYFUNCTION("""COMPUTED_VALUE"""),"p_0c324ddc67735fe67a774778cc887f75df32a779@inbound.aiesec.org")</f>
        <v>p_0c324ddc67735fe67a774778cc887f75df32a779@inbound.aiesec.org</v>
      </c>
      <c r="F1574" s="43">
        <f>IFERROR(__xludf.DUMMYFUNCTION("""COMPUTED_VALUE"""),1.062185371E9)</f>
        <v>1062185371</v>
      </c>
      <c r="G1574" s="43" t="str">
        <f>IFERROR(__xludf.DUMMYFUNCTION("""COMPUTED_VALUE"""),"Egypt")</f>
        <v>Egypt</v>
      </c>
      <c r="H1574" s="43" t="str">
        <f>IFERROR(__xludf.DUMMYFUNCTION("""COMPUTED_VALUE"""),"Mansoura")</f>
        <v>Mansoura</v>
      </c>
      <c r="I1574" s="43" t="str">
        <f>IFERROR(__xludf.DUMMYFUNCTION("""COMPUTED_VALUE"""),"Turkey")</f>
        <v>Turkey</v>
      </c>
      <c r="J1574" s="43" t="str">
        <f>IFERROR(__xludf.DUMMYFUNCTION("""COMPUTED_VALUE"""),"SAKARYA")</f>
        <v>SAKARYA</v>
      </c>
      <c r="K1574" s="44" t="str">
        <f>IFERROR(__xludf.DUMMYFUNCTION("""COMPUTED_VALUE"""),"https://expa.aiesec.org/opportunities/1299037")</f>
        <v>https://expa.aiesec.org/opportunities/1299037</v>
      </c>
      <c r="L1574" s="43" t="str">
        <f>IFERROR(__xludf.DUMMYFUNCTION("""COMPUTED_VALUE"""),"GV")</f>
        <v>GV</v>
      </c>
      <c r="M1574" s="43" t="str">
        <f>IFERROR(__xludf.DUMMYFUNCTION("""COMPUTED_VALUE"""),"short")</f>
        <v>short</v>
      </c>
      <c r="N1574" s="45">
        <f>IFERROR(__xludf.DUMMYFUNCTION("""COMPUTED_VALUE"""),45244.0)</f>
        <v>45244</v>
      </c>
      <c r="O1574" s="45">
        <f>IFERROR(__xludf.DUMMYFUNCTION("""COMPUTED_VALUE"""),45259.0)</f>
        <v>45259</v>
      </c>
      <c r="P1574" s="45">
        <f>IFERROR(__xludf.DUMMYFUNCTION("""COMPUTED_VALUE"""),45301.0)</f>
        <v>45301</v>
      </c>
      <c r="Q1574" s="45">
        <f>IFERROR(__xludf.DUMMYFUNCTION("""COMPUTED_VALUE"""),45262.0)</f>
        <v>45262</v>
      </c>
      <c r="R1574" s="45">
        <f>IFERROR(__xludf.DUMMYFUNCTION("""COMPUTED_VALUE"""),45302.0)</f>
        <v>45302</v>
      </c>
      <c r="S1574" s="43"/>
      <c r="T1574" s="43"/>
      <c r="U1574" s="43" t="str">
        <f>IFERROR(__xludf.DUMMYFUNCTION("""COMPUTED_VALUE"""),"Global Classroom")</f>
        <v>Global Classroom</v>
      </c>
      <c r="V1574" s="43" t="str">
        <f>IFERROR(__xludf.DUMMYFUNCTION("""COMPUTED_VALUE"""),"Mansoura")</f>
        <v>Mansoura</v>
      </c>
      <c r="W1574" s="43" t="str">
        <f>IFERROR(__xludf.DUMMYFUNCTION("""COMPUTED_VALUE"""),"2023-11-03T23:51:11Z")</f>
        <v>2023-11-03T23:51:11Z</v>
      </c>
      <c r="X1574" s="43"/>
      <c r="Y1574" s="43"/>
      <c r="Z1574" s="43"/>
    </row>
    <row r="1575" hidden="1">
      <c r="A1575" s="43" t="str">
        <f>IFERROR(__xludf.DUMMYFUNCTION("""COMPUTED_VALUE"""),"5369689_1299041")</f>
        <v>5369689_1299041</v>
      </c>
      <c r="B1575" s="43" t="str">
        <f>IFERROR(__xludf.DUMMYFUNCTION("""COMPUTED_VALUE"""),"ZHANG ZIXUAN")</f>
        <v>ZHANG ZIXUAN</v>
      </c>
      <c r="C1575" s="43" t="str">
        <f>IFERROR(__xludf.DUMMYFUNCTION("""COMPUTED_VALUE"""),"approved")</f>
        <v>approved</v>
      </c>
      <c r="D1575" s="43" t="str">
        <f>IFERROR(__xludf.DUMMYFUNCTION("""COMPUTED_VALUE"""),"No")</f>
        <v>No</v>
      </c>
      <c r="E1575" s="43" t="str">
        <f>IFERROR(__xludf.DUMMYFUNCTION("""COMPUTED_VALUE"""),"p_a4354894c0300af97abb9750918a29ad29f58f25@inbound.aiesec.org")</f>
        <v>p_a4354894c0300af97abb9750918a29ad29f58f25@inbound.aiesec.org</v>
      </c>
      <c r="F1575" s="43">
        <f>IFERROR(__xludf.DUMMYFUNCTION("""COMPUTED_VALUE"""),1.5361420336E10)</f>
        <v>15361420336</v>
      </c>
      <c r="G1575" s="43" t="str">
        <f>IFERROR(__xludf.DUMMYFUNCTION("""COMPUTED_VALUE"""),"Mainland of China")</f>
        <v>Mainland of China</v>
      </c>
      <c r="H1575" s="43" t="str">
        <f>IFERROR(__xludf.DUMMYFUNCTION("""COMPUTED_VALUE"""),"Mainland of China, Member Committee")</f>
        <v>Mainland of China, Member Committee</v>
      </c>
      <c r="I1575" s="43" t="str">
        <f>IFERROR(__xludf.DUMMYFUNCTION("""COMPUTED_VALUE"""),"Turkey")</f>
        <v>Turkey</v>
      </c>
      <c r="J1575" s="43" t="str">
        <f>IFERROR(__xludf.DUMMYFUNCTION("""COMPUTED_VALUE"""),"ANTALYA")</f>
        <v>ANTALYA</v>
      </c>
      <c r="K1575" s="44" t="str">
        <f>IFERROR(__xludf.DUMMYFUNCTION("""COMPUTED_VALUE"""),"https://expa.aiesec.org/opportunities/1299041")</f>
        <v>https://expa.aiesec.org/opportunities/1299041</v>
      </c>
      <c r="L1575" s="43" t="str">
        <f>IFERROR(__xludf.DUMMYFUNCTION("""COMPUTED_VALUE"""),"GV")</f>
        <v>GV</v>
      </c>
      <c r="M1575" s="43" t="str">
        <f>IFERROR(__xludf.DUMMYFUNCTION("""COMPUTED_VALUE"""),"short")</f>
        <v>short</v>
      </c>
      <c r="N1575" s="45">
        <f>IFERROR(__xludf.DUMMYFUNCTION("""COMPUTED_VALUE"""),45245.0)</f>
        <v>45245</v>
      </c>
      <c r="O1575" s="45">
        <f>IFERROR(__xludf.DUMMYFUNCTION("""COMPUTED_VALUE"""),45362.0)</f>
        <v>45362</v>
      </c>
      <c r="P1575" s="45">
        <f>IFERROR(__xludf.DUMMYFUNCTION("""COMPUTED_VALUE"""),45404.0)</f>
        <v>45404</v>
      </c>
      <c r="Q1575" s="45"/>
      <c r="R1575" s="45"/>
      <c r="S1575" s="43"/>
      <c r="T1575" s="43"/>
      <c r="U1575" s="43" t="str">
        <f>IFERROR(__xludf.DUMMYFUNCTION("""COMPUTED_VALUE"""),"Fingerprint")</f>
        <v>Fingerprint</v>
      </c>
      <c r="V1575" s="43" t="str">
        <f>IFERROR(__xludf.DUMMYFUNCTION("""COMPUTED_VALUE"""),"中国大陆区其他")</f>
        <v>中国大陆区其他</v>
      </c>
      <c r="W1575" s="43" t="str">
        <f>IFERROR(__xludf.DUMMYFUNCTION("""COMPUTED_VALUE"""),"2023-11-09T12:35:56Z")</f>
        <v>2023-11-09T12:35:56Z</v>
      </c>
      <c r="X1575" s="43"/>
      <c r="Y1575" s="43"/>
      <c r="Z1575" s="43"/>
    </row>
    <row r="1576" hidden="1">
      <c r="A1576" s="43" t="str">
        <f>IFERROR(__xludf.DUMMYFUNCTION("""COMPUTED_VALUE"""),"5359367_1294372")</f>
        <v>5359367_1294372</v>
      </c>
      <c r="B1576" s="43" t="str">
        <f>IFERROR(__xludf.DUMMYFUNCTION("""COMPUTED_VALUE"""),"Mostafa Tamer")</f>
        <v>Mostafa Tamer</v>
      </c>
      <c r="C1576" s="43" t="str">
        <f>IFERROR(__xludf.DUMMYFUNCTION("""COMPUTED_VALUE"""),"approved")</f>
        <v>approved</v>
      </c>
      <c r="D1576" s="43" t="str">
        <f>IFERROR(__xludf.DUMMYFUNCTION("""COMPUTED_VALUE"""),"No")</f>
        <v>No</v>
      </c>
      <c r="E1576" s="43" t="str">
        <f>IFERROR(__xludf.DUMMYFUNCTION("""COMPUTED_VALUE"""),"p_252e6915160a1fdf7b4ad4ccdbcec231a00d16a0@inbound.aiesec.org")</f>
        <v>p_252e6915160a1fdf7b4ad4ccdbcec231a00d16a0@inbound.aiesec.org</v>
      </c>
      <c r="F1576" s="43">
        <f>IFERROR(__xludf.DUMMYFUNCTION("""COMPUTED_VALUE"""),1.062653888E9)</f>
        <v>1062653888</v>
      </c>
      <c r="G1576" s="43" t="str">
        <f>IFERROR(__xludf.DUMMYFUNCTION("""COMPUTED_VALUE"""),"Egypt")</f>
        <v>Egypt</v>
      </c>
      <c r="H1576" s="43" t="str">
        <f>IFERROR(__xludf.DUMMYFUNCTION("""COMPUTED_VALUE"""),"Cairo University")</f>
        <v>Cairo University</v>
      </c>
      <c r="I1576" s="43" t="str">
        <f>IFERROR(__xludf.DUMMYFUNCTION("""COMPUTED_VALUE"""),"Turkey")</f>
        <v>Turkey</v>
      </c>
      <c r="J1576" s="43" t="str">
        <f>IFERROR(__xludf.DUMMYFUNCTION("""COMPUTED_VALUE"""),"ANKARA")</f>
        <v>ANKARA</v>
      </c>
      <c r="K1576" s="44" t="str">
        <f>IFERROR(__xludf.DUMMYFUNCTION("""COMPUTED_VALUE"""),"https://expa.aiesec.org/opportunities/1294372")</f>
        <v>https://expa.aiesec.org/opportunities/1294372</v>
      </c>
      <c r="L1576" s="43" t="str">
        <f>IFERROR(__xludf.DUMMYFUNCTION("""COMPUTED_VALUE"""),"GV")</f>
        <v>GV</v>
      </c>
      <c r="M1576" s="43" t="str">
        <f>IFERROR(__xludf.DUMMYFUNCTION("""COMPUTED_VALUE"""),"short")</f>
        <v>short</v>
      </c>
      <c r="N1576" s="45">
        <f>IFERROR(__xludf.DUMMYFUNCTION("""COMPUTED_VALUE"""),45245.0)</f>
        <v>45245</v>
      </c>
      <c r="O1576" s="45">
        <f>IFERROR(__xludf.DUMMYFUNCTION("""COMPUTED_VALUE"""),45467.0)</f>
        <v>45467</v>
      </c>
      <c r="P1576" s="45">
        <f>IFERROR(__xludf.DUMMYFUNCTION("""COMPUTED_VALUE"""),45509.0)</f>
        <v>45509</v>
      </c>
      <c r="Q1576" s="45"/>
      <c r="R1576" s="45"/>
      <c r="S1576" s="43"/>
      <c r="T1576" s="43"/>
      <c r="U1576" s="43" t="str">
        <f>IFERROR(__xludf.DUMMYFUNCTION("""COMPUTED_VALUE"""),"Global Classroom")</f>
        <v>Global Classroom</v>
      </c>
      <c r="V1576" s="43" t="str">
        <f>IFERROR(__xludf.DUMMYFUNCTION("""COMPUTED_VALUE"""),"Cairo Univeristy")</f>
        <v>Cairo Univeristy</v>
      </c>
      <c r="W1576" s="43" t="str">
        <f>IFERROR(__xludf.DUMMYFUNCTION("""COMPUTED_VALUE"""),"2023-10-24T18:28:44Z")</f>
        <v>2023-10-24T18:28:44Z</v>
      </c>
      <c r="X1576" s="43"/>
      <c r="Y1576" s="43"/>
      <c r="Z1576" s="43"/>
    </row>
    <row r="1577" hidden="1">
      <c r="A1577" s="43" t="str">
        <f>IFERROR(__xludf.DUMMYFUNCTION("""COMPUTED_VALUE"""),"5370822_1286326")</f>
        <v>5370822_1286326</v>
      </c>
      <c r="B1577" s="43" t="str">
        <f>IFERROR(__xludf.DUMMYFUNCTION("""COMPUTED_VALUE"""),"Lona Korolyova")</f>
        <v>Lona Korolyova</v>
      </c>
      <c r="C1577" s="43" t="str">
        <f>IFERROR(__xludf.DUMMYFUNCTION("""COMPUTED_VALUE"""),"approved")</f>
        <v>approved</v>
      </c>
      <c r="D1577" s="43" t="str">
        <f>IFERROR(__xludf.DUMMYFUNCTION("""COMPUTED_VALUE"""),"No")</f>
        <v>No</v>
      </c>
      <c r="E1577" s="43" t="str">
        <f>IFERROR(__xludf.DUMMYFUNCTION("""COMPUTED_VALUE"""),"p_3a39c2e34a3b567e95157b4fb8bd72ebfdcc2f2c@inbound.aiesec.org")</f>
        <v>p_3a39c2e34a3b567e95157b4fb8bd72ebfdcc2f2c@inbound.aiesec.org</v>
      </c>
      <c r="F1577" s="43">
        <f>IFERROR(__xludf.DUMMYFUNCTION("""COMPUTED_VALUE"""),6.83555026E8)</f>
        <v>683555026</v>
      </c>
      <c r="G1577" s="43" t="str">
        <f>IFERROR(__xludf.DUMMYFUNCTION("""COMPUTED_VALUE"""),"Ukraine")</f>
        <v>Ukraine</v>
      </c>
      <c r="H1577" s="43" t="str">
        <f>IFERROR(__xludf.DUMMYFUNCTION("""COMPUTED_VALUE"""),"Kyiv Universities")</f>
        <v>Kyiv Universities</v>
      </c>
      <c r="I1577" s="43" t="str">
        <f>IFERROR(__xludf.DUMMYFUNCTION("""COMPUTED_VALUE"""),"Turkey")</f>
        <v>Turkey</v>
      </c>
      <c r="J1577" s="43" t="str">
        <f>IFERROR(__xludf.DUMMYFUNCTION("""COMPUTED_VALUE"""),"ADANA")</f>
        <v>ADANA</v>
      </c>
      <c r="K1577" s="44" t="str">
        <f>IFERROR(__xludf.DUMMYFUNCTION("""COMPUTED_VALUE"""),"https://expa.aiesec.org/opportunities/1286326")</f>
        <v>https://expa.aiesec.org/opportunities/1286326</v>
      </c>
      <c r="L1577" s="43" t="str">
        <f>IFERROR(__xludf.DUMMYFUNCTION("""COMPUTED_VALUE"""),"GV")</f>
        <v>GV</v>
      </c>
      <c r="M1577" s="43" t="str">
        <f>IFERROR(__xludf.DUMMYFUNCTION("""COMPUTED_VALUE"""),"short")</f>
        <v>short</v>
      </c>
      <c r="N1577" s="45">
        <f>IFERROR(__xludf.DUMMYFUNCTION("""COMPUTED_VALUE"""),45245.0)</f>
        <v>45245</v>
      </c>
      <c r="O1577" s="45">
        <f>IFERROR(__xludf.DUMMYFUNCTION("""COMPUTED_VALUE"""),45523.0)</f>
        <v>45523</v>
      </c>
      <c r="P1577" s="45">
        <f>IFERROR(__xludf.DUMMYFUNCTION("""COMPUTED_VALUE"""),45565.0)</f>
        <v>45565</v>
      </c>
      <c r="Q1577" s="45"/>
      <c r="R1577" s="45"/>
      <c r="S1577" s="43"/>
      <c r="T1577" s="43"/>
      <c r="U1577" s="43" t="str">
        <f>IFERROR(__xludf.DUMMYFUNCTION("""COMPUTED_VALUE"""),"Equify")</f>
        <v>Equify</v>
      </c>
      <c r="V1577" s="43" t="str">
        <f>IFERROR(__xludf.DUMMYFUNCTION("""COMPUTED_VALUE"""),"Kyiv National Economical University")</f>
        <v>Kyiv National Economical University</v>
      </c>
      <c r="W1577" s="43" t="str">
        <f>IFERROR(__xludf.DUMMYFUNCTION("""COMPUTED_VALUE"""),"2023-11-11T16:07:34Z")</f>
        <v>2023-11-11T16:07:34Z</v>
      </c>
      <c r="X1577" s="43"/>
      <c r="Y1577" s="43"/>
      <c r="Z1577" s="43"/>
    </row>
    <row r="1578" hidden="1">
      <c r="A1578" s="43" t="str">
        <f>IFERROR(__xludf.DUMMYFUNCTION("""COMPUTED_VALUE"""),"5373288_1280872")</f>
        <v>5373288_1280872</v>
      </c>
      <c r="B1578" s="43" t="str">
        <f>IFERROR(__xludf.DUMMYFUNCTION("""COMPUTED_VALUE"""),"ines youssef")</f>
        <v>ines youssef</v>
      </c>
      <c r="C1578" s="43" t="str">
        <f>IFERROR(__xludf.DUMMYFUNCTION("""COMPUTED_VALUE"""),"approved")</f>
        <v>approved</v>
      </c>
      <c r="D1578" s="43" t="str">
        <f>IFERROR(__xludf.DUMMYFUNCTION("""COMPUTED_VALUE"""),"No")</f>
        <v>No</v>
      </c>
      <c r="E1578" s="43" t="str">
        <f>IFERROR(__xludf.DUMMYFUNCTION("""COMPUTED_VALUE"""),"p_a007a30ef801e0a6158e743843f4cef4e2fd8eae@inbound.aiesec.org")</f>
        <v>p_a007a30ef801e0a6158e743843f4cef4e2fd8eae@inbound.aiesec.org</v>
      </c>
      <c r="F1578" s="43">
        <f>IFERROR(__xludf.DUMMYFUNCTION("""COMPUTED_VALUE"""),5.080402E7)</f>
        <v>50804020</v>
      </c>
      <c r="G1578" s="43" t="str">
        <f>IFERROR(__xludf.DUMMYFUNCTION("""COMPUTED_VALUE"""),"Tunisia")</f>
        <v>Tunisia</v>
      </c>
      <c r="H1578" s="43" t="str">
        <f>IFERROR(__xludf.DUMMYFUNCTION("""COMPUTED_VALUE"""),"HADRUMET")</f>
        <v>HADRUMET</v>
      </c>
      <c r="I1578" s="43" t="str">
        <f>IFERROR(__xludf.DUMMYFUNCTION("""COMPUTED_VALUE"""),"Turkey")</f>
        <v>Turkey</v>
      </c>
      <c r="J1578" s="43" t="str">
        <f>IFERROR(__xludf.DUMMYFUNCTION("""COMPUTED_VALUE"""),"KOCAELI")</f>
        <v>KOCAELI</v>
      </c>
      <c r="K1578" s="44" t="str">
        <f>IFERROR(__xludf.DUMMYFUNCTION("""COMPUTED_VALUE"""),"https://expa.aiesec.org/opportunities/1280872")</f>
        <v>https://expa.aiesec.org/opportunities/1280872</v>
      </c>
      <c r="L1578" s="43" t="str">
        <f>IFERROR(__xludf.DUMMYFUNCTION("""COMPUTED_VALUE"""),"GV")</f>
        <v>GV</v>
      </c>
      <c r="M1578" s="43" t="str">
        <f>IFERROR(__xludf.DUMMYFUNCTION("""COMPUTED_VALUE"""),"short")</f>
        <v>short</v>
      </c>
      <c r="N1578" s="45">
        <f>IFERROR(__xludf.DUMMYFUNCTION("""COMPUTED_VALUE"""),45246.0)</f>
        <v>45246</v>
      </c>
      <c r="O1578" s="45">
        <f>IFERROR(__xludf.DUMMYFUNCTION("""COMPUTED_VALUE"""),45334.0)</f>
        <v>45334</v>
      </c>
      <c r="P1578" s="45">
        <f>IFERROR(__xludf.DUMMYFUNCTION("""COMPUTED_VALUE"""),45376.0)</f>
        <v>45376</v>
      </c>
      <c r="Q1578" s="45"/>
      <c r="R1578" s="45"/>
      <c r="S1578" s="43"/>
      <c r="T1578" s="43"/>
      <c r="U1578" s="43" t="str">
        <f>IFERROR(__xludf.DUMMYFUNCTION("""COMPUTED_VALUE"""),"Skill Up!")</f>
        <v>Skill Up!</v>
      </c>
      <c r="V1578" s="43" t="str">
        <f>IFERROR(__xludf.DUMMYFUNCTION("""COMPUTED_VALUE"""),"FSEG Sousse")</f>
        <v>FSEG Sousse</v>
      </c>
      <c r="W1578" s="43" t="str">
        <f>IFERROR(__xludf.DUMMYFUNCTION("""COMPUTED_VALUE"""),"2023-11-16T08:00:22Z")</f>
        <v>2023-11-16T08:00:22Z</v>
      </c>
      <c r="X1578" s="43"/>
      <c r="Y1578" s="43"/>
      <c r="Z1578" s="43"/>
    </row>
    <row r="1579" hidden="1">
      <c r="A1579" s="43" t="str">
        <f>IFERROR(__xludf.DUMMYFUNCTION("""COMPUTED_VALUE"""),"5335184_1295453")</f>
        <v>5335184_1295453</v>
      </c>
      <c r="B1579" s="43" t="str">
        <f>IFERROR(__xludf.DUMMYFUNCTION("""COMPUTED_VALUE"""),"Leonor Vales")</f>
        <v>Leonor Vales</v>
      </c>
      <c r="C1579" s="43" t="str">
        <f>IFERROR(__xludf.DUMMYFUNCTION("""COMPUTED_VALUE"""),"approved")</f>
        <v>approved</v>
      </c>
      <c r="D1579" s="43" t="str">
        <f>IFERROR(__xludf.DUMMYFUNCTION("""COMPUTED_VALUE"""),"No")</f>
        <v>No</v>
      </c>
      <c r="E1579" s="43" t="str">
        <f>IFERROR(__xludf.DUMMYFUNCTION("""COMPUTED_VALUE"""),"p_3984ebb9830d2a959adc12cbeac46fa1ca761eb4@inbound.aiesec.org")</f>
        <v>p_3984ebb9830d2a959adc12cbeac46fa1ca761eb4@inbound.aiesec.org</v>
      </c>
      <c r="F1579" s="43">
        <f>IFERROR(__xludf.DUMMYFUNCTION("""COMPUTED_VALUE"""),9.35823509E8)</f>
        <v>935823509</v>
      </c>
      <c r="G1579" s="43" t="str">
        <f>IFERROR(__xludf.DUMMYFUNCTION("""COMPUTED_VALUE"""),"Portugal")</f>
        <v>Portugal</v>
      </c>
      <c r="H1579" s="43" t="str">
        <f>IFERROR(__xludf.DUMMYFUNCTION("""COMPUTED_VALUE"""),"PORTO CATÓLICA")</f>
        <v>PORTO CATÓLICA</v>
      </c>
      <c r="I1579" s="43" t="str">
        <f>IFERROR(__xludf.DUMMYFUNCTION("""COMPUTED_VALUE"""),"Turkey")</f>
        <v>Turkey</v>
      </c>
      <c r="J1579" s="43" t="str">
        <f>IFERROR(__xludf.DUMMYFUNCTION("""COMPUTED_VALUE"""),"GAZIANTEP")</f>
        <v>GAZIANTEP</v>
      </c>
      <c r="K1579" s="44" t="str">
        <f>IFERROR(__xludf.DUMMYFUNCTION("""COMPUTED_VALUE"""),"https://expa.aiesec.org/opportunities/1295453")</f>
        <v>https://expa.aiesec.org/opportunities/1295453</v>
      </c>
      <c r="L1579" s="43" t="str">
        <f>IFERROR(__xludf.DUMMYFUNCTION("""COMPUTED_VALUE"""),"GV")</f>
        <v>GV</v>
      </c>
      <c r="M1579" s="43" t="str">
        <f>IFERROR(__xludf.DUMMYFUNCTION("""COMPUTED_VALUE"""),"short")</f>
        <v>short</v>
      </c>
      <c r="N1579" s="45">
        <f>IFERROR(__xludf.DUMMYFUNCTION("""COMPUTED_VALUE"""),45246.0)</f>
        <v>45246</v>
      </c>
      <c r="O1579" s="45">
        <f>IFERROR(__xludf.DUMMYFUNCTION("""COMPUTED_VALUE"""),45516.0)</f>
        <v>45516</v>
      </c>
      <c r="P1579" s="45">
        <f>IFERROR(__xludf.DUMMYFUNCTION("""COMPUTED_VALUE"""),45558.0)</f>
        <v>45558</v>
      </c>
      <c r="Q1579" s="45"/>
      <c r="R1579" s="45"/>
      <c r="S1579" s="43"/>
      <c r="T1579" s="43"/>
      <c r="U1579" s="43" t="str">
        <f>IFERROR(__xludf.DUMMYFUNCTION("""COMPUTED_VALUE"""),"Global Classroom")</f>
        <v>Global Classroom</v>
      </c>
      <c r="V1579" s="43" t="str">
        <f>IFERROR(__xludf.DUMMYFUNCTION("""COMPUTED_VALUE"""),"Instituto Superior de Serviço Social do Porto (ISSSP)")</f>
        <v>Instituto Superior de Serviço Social do Porto (ISSSP)</v>
      </c>
      <c r="W1579" s="43" t="str">
        <f>IFERROR(__xludf.DUMMYFUNCTION("""COMPUTED_VALUE"""),"2023-09-27T16:05:51Z")</f>
        <v>2023-09-27T16:05:51Z</v>
      </c>
      <c r="X1579" s="43"/>
      <c r="Y1579" s="43"/>
      <c r="Z1579" s="43"/>
    </row>
    <row r="1580" hidden="1">
      <c r="A1580" s="43" t="str">
        <f>IFERROR(__xludf.DUMMYFUNCTION("""COMPUTED_VALUE"""),"5347092_1294103")</f>
        <v>5347092_1294103</v>
      </c>
      <c r="B1580" s="43" t="str">
        <f>IFERROR(__xludf.DUMMYFUNCTION("""COMPUTED_VALUE"""),"WIAM AYATADA")</f>
        <v>WIAM AYATADA</v>
      </c>
      <c r="C1580" s="43" t="str">
        <f>IFERROR(__xludf.DUMMYFUNCTION("""COMPUTED_VALUE"""),"approved")</f>
        <v>approved</v>
      </c>
      <c r="D1580" s="43" t="str">
        <f>IFERROR(__xludf.DUMMYFUNCTION("""COMPUTED_VALUE"""),"No")</f>
        <v>No</v>
      </c>
      <c r="E1580" s="43" t="str">
        <f>IFERROR(__xludf.DUMMYFUNCTION("""COMPUTED_VALUE"""),"p_a196ab814704a72727c8217cce243031a78cea54@inbound.aiesec.org")</f>
        <v>p_a196ab814704a72727c8217cce243031a78cea54@inbound.aiesec.org</v>
      </c>
      <c r="F1580" s="43">
        <f>IFERROR(__xludf.DUMMYFUNCTION("""COMPUTED_VALUE"""),6.59151816E8)</f>
        <v>659151816</v>
      </c>
      <c r="G1580" s="43" t="str">
        <f>IFERROR(__xludf.DUMMYFUNCTION("""COMPUTED_VALUE"""),"Morocco")</f>
        <v>Morocco</v>
      </c>
      <c r="H1580" s="43" t="str">
        <f>IFERROR(__xludf.DUMMYFUNCTION("""COMPUTED_VALUE"""),"Kenitra")</f>
        <v>Kenitra</v>
      </c>
      <c r="I1580" s="43" t="str">
        <f>IFERROR(__xludf.DUMMYFUNCTION("""COMPUTED_VALUE"""),"Turkey")</f>
        <v>Turkey</v>
      </c>
      <c r="J1580" s="43" t="str">
        <f>IFERROR(__xludf.DUMMYFUNCTION("""COMPUTED_VALUE"""),"İZMİR")</f>
        <v>İZMİR</v>
      </c>
      <c r="K1580" s="44" t="str">
        <f>IFERROR(__xludf.DUMMYFUNCTION("""COMPUTED_VALUE"""),"https://expa.aiesec.org/opportunities/1294103")</f>
        <v>https://expa.aiesec.org/opportunities/1294103</v>
      </c>
      <c r="L1580" s="43" t="str">
        <f>IFERROR(__xludf.DUMMYFUNCTION("""COMPUTED_VALUE"""),"GV")</f>
        <v>GV</v>
      </c>
      <c r="M1580" s="43" t="str">
        <f>IFERROR(__xludf.DUMMYFUNCTION("""COMPUTED_VALUE"""),"short")</f>
        <v>short</v>
      </c>
      <c r="N1580" s="45">
        <f>IFERROR(__xludf.DUMMYFUNCTION("""COMPUTED_VALUE"""),45246.0)</f>
        <v>45246</v>
      </c>
      <c r="O1580" s="45">
        <f>IFERROR(__xludf.DUMMYFUNCTION("""COMPUTED_VALUE"""),45341.0)</f>
        <v>45341</v>
      </c>
      <c r="P1580" s="45">
        <f>IFERROR(__xludf.DUMMYFUNCTION("""COMPUTED_VALUE"""),45383.0)</f>
        <v>45383</v>
      </c>
      <c r="Q1580" s="45"/>
      <c r="R1580" s="45"/>
      <c r="S1580" s="43"/>
      <c r="T1580" s="43"/>
      <c r="U1580" s="43" t="str">
        <f>IFERROR(__xludf.DUMMYFUNCTION("""COMPUTED_VALUE"""),"Skill Up!")</f>
        <v>Skill Up!</v>
      </c>
      <c r="V1580" s="43" t="str">
        <f>IFERROR(__xludf.DUMMYFUNCTION("""COMPUTED_VALUE"""),"Faculté Des Sciences Kénitra")</f>
        <v>Faculté Des Sciences Kénitra</v>
      </c>
      <c r="W1580" s="43" t="str">
        <f>IFERROR(__xludf.DUMMYFUNCTION("""COMPUTED_VALUE"""),"2023-10-09T17:06:56Z")</f>
        <v>2023-10-09T17:06:56Z</v>
      </c>
      <c r="X1580" s="43"/>
      <c r="Y1580" s="43"/>
      <c r="Z1580" s="43"/>
    </row>
    <row r="1581" hidden="1">
      <c r="A1581" s="43" t="str">
        <f>IFERROR(__xludf.DUMMYFUNCTION("""COMPUTED_VALUE"""),"5373188_1289536")</f>
        <v>5373188_1289536</v>
      </c>
      <c r="B1581" s="43" t="str">
        <f>IFERROR(__xludf.DUMMYFUNCTION("""COMPUTED_VALUE"""),"dallagi zaineb")</f>
        <v>dallagi zaineb</v>
      </c>
      <c r="C1581" s="43" t="str">
        <f>IFERROR(__xludf.DUMMYFUNCTION("""COMPUTED_VALUE"""),"approved")</f>
        <v>approved</v>
      </c>
      <c r="D1581" s="43" t="str">
        <f>IFERROR(__xludf.DUMMYFUNCTION("""COMPUTED_VALUE"""),"No")</f>
        <v>No</v>
      </c>
      <c r="E1581" s="43" t="str">
        <f>IFERROR(__xludf.DUMMYFUNCTION("""COMPUTED_VALUE"""),"p_604c79860a2e7e0676ed3999b9e4c9e5743e8a03@inbound.aiesec.org")</f>
        <v>p_604c79860a2e7e0676ed3999b9e4c9e5743e8a03@inbound.aiesec.org</v>
      </c>
      <c r="F1581" s="43">
        <f>IFERROR(__xludf.DUMMYFUNCTION("""COMPUTED_VALUE"""),2.6089046E7)</f>
        <v>26089046</v>
      </c>
      <c r="G1581" s="43" t="str">
        <f>IFERROR(__xludf.DUMMYFUNCTION("""COMPUTED_VALUE"""),"Tunisia")</f>
        <v>Tunisia</v>
      </c>
      <c r="H1581" s="43" t="str">
        <f>IFERROR(__xludf.DUMMYFUNCTION("""COMPUTED_VALUE"""),"Carthage")</f>
        <v>Carthage</v>
      </c>
      <c r="I1581" s="43" t="str">
        <f>IFERROR(__xludf.DUMMYFUNCTION("""COMPUTED_VALUE"""),"Turkey")</f>
        <v>Turkey</v>
      </c>
      <c r="J1581" s="43" t="str">
        <f>IFERROR(__xludf.DUMMYFUNCTION("""COMPUTED_VALUE"""),"ISTANBUL")</f>
        <v>ISTANBUL</v>
      </c>
      <c r="K1581" s="44" t="str">
        <f>IFERROR(__xludf.DUMMYFUNCTION("""COMPUTED_VALUE"""),"https://expa.aiesec.org/opportunities/1289536")</f>
        <v>https://expa.aiesec.org/opportunities/1289536</v>
      </c>
      <c r="L1581" s="43" t="str">
        <f>IFERROR(__xludf.DUMMYFUNCTION("""COMPUTED_VALUE"""),"GV")</f>
        <v>GV</v>
      </c>
      <c r="M1581" s="43" t="str">
        <f>IFERROR(__xludf.DUMMYFUNCTION("""COMPUTED_VALUE"""),"short")</f>
        <v>short</v>
      </c>
      <c r="N1581" s="45">
        <f>IFERROR(__xludf.DUMMYFUNCTION("""COMPUTED_VALUE"""),45246.0)</f>
        <v>45246</v>
      </c>
      <c r="O1581" s="45">
        <f>IFERROR(__xludf.DUMMYFUNCTION("""COMPUTED_VALUE"""),45444.0)</f>
        <v>45444</v>
      </c>
      <c r="P1581" s="45">
        <f>IFERROR(__xludf.DUMMYFUNCTION("""COMPUTED_VALUE"""),45486.0)</f>
        <v>45486</v>
      </c>
      <c r="Q1581" s="45"/>
      <c r="R1581" s="45"/>
      <c r="S1581" s="43"/>
      <c r="T1581" s="43"/>
      <c r="U1581" s="43" t="str">
        <f>IFERROR(__xludf.DUMMYFUNCTION("""COMPUTED_VALUE"""),"Global Classroom")</f>
        <v>Global Classroom</v>
      </c>
      <c r="V1581" s="43" t="str">
        <f>IFERROR(__xludf.DUMMYFUNCTION("""COMPUTED_VALUE"""),"INSAT")</f>
        <v>INSAT</v>
      </c>
      <c r="W1581" s="43" t="str">
        <f>IFERROR(__xludf.DUMMYFUNCTION("""COMPUTED_VALUE"""),"2023-11-15T21:32:47Z")</f>
        <v>2023-11-15T21:32:47Z</v>
      </c>
      <c r="X1581" s="43"/>
      <c r="Y1581" s="43"/>
      <c r="Z1581" s="43"/>
    </row>
    <row r="1582" hidden="1">
      <c r="A1582" s="43" t="str">
        <f>IFERROR(__xludf.DUMMYFUNCTION("""COMPUTED_VALUE"""),"4749419_1289347")</f>
        <v>4749419_1289347</v>
      </c>
      <c r="B1582" s="43" t="str">
        <f>IFERROR(__xludf.DUMMYFUNCTION("""COMPUTED_VALUE"""),"Manali Desai")</f>
        <v>Manali Desai</v>
      </c>
      <c r="C1582" s="43" t="str">
        <f>IFERROR(__xludf.DUMMYFUNCTION("""COMPUTED_VALUE"""),"approved")</f>
        <v>approved</v>
      </c>
      <c r="D1582" s="43" t="str">
        <f>IFERROR(__xludf.DUMMYFUNCTION("""COMPUTED_VALUE"""),"No")</f>
        <v>No</v>
      </c>
      <c r="E1582" s="43" t="str">
        <f>IFERROR(__xludf.DUMMYFUNCTION("""COMPUTED_VALUE"""),"p_abdec5d802c513708d675834baedfc8c7d62ef80@inbound.aiesec.org")</f>
        <v>p_abdec5d802c513708d675834baedfc8c7d62ef80@inbound.aiesec.org</v>
      </c>
      <c r="F1582" s="43">
        <f>IFERROR(__xludf.DUMMYFUNCTION("""COMPUTED_VALUE"""),9.890970959E9)</f>
        <v>9890970959</v>
      </c>
      <c r="G1582" s="43" t="str">
        <f>IFERROR(__xludf.DUMMYFUNCTION("""COMPUTED_VALUE"""),"India")</f>
        <v>India</v>
      </c>
      <c r="H1582" s="43" t="str">
        <f>IFERROR(__xludf.DUMMYFUNCTION("""COMPUTED_VALUE"""),"Pune")</f>
        <v>Pune</v>
      </c>
      <c r="I1582" s="43" t="str">
        <f>IFERROR(__xludf.DUMMYFUNCTION("""COMPUTED_VALUE"""),"Turkey")</f>
        <v>Turkey</v>
      </c>
      <c r="J1582" s="43" t="str">
        <f>IFERROR(__xludf.DUMMYFUNCTION("""COMPUTED_VALUE"""),"ADANA")</f>
        <v>ADANA</v>
      </c>
      <c r="K1582" s="44" t="str">
        <f>IFERROR(__xludf.DUMMYFUNCTION("""COMPUTED_VALUE"""),"https://expa.aiesec.org/opportunities/1289347")</f>
        <v>https://expa.aiesec.org/opportunities/1289347</v>
      </c>
      <c r="L1582" s="43" t="str">
        <f>IFERROR(__xludf.DUMMYFUNCTION("""COMPUTED_VALUE"""),"GV")</f>
        <v>GV</v>
      </c>
      <c r="M1582" s="43" t="str">
        <f>IFERROR(__xludf.DUMMYFUNCTION("""COMPUTED_VALUE"""),"short")</f>
        <v>short</v>
      </c>
      <c r="N1582" s="45">
        <f>IFERROR(__xludf.DUMMYFUNCTION("""COMPUTED_VALUE"""),45246.0)</f>
        <v>45246</v>
      </c>
      <c r="O1582" s="45">
        <f>IFERROR(__xludf.DUMMYFUNCTION("""COMPUTED_VALUE"""),45474.0)</f>
        <v>45474</v>
      </c>
      <c r="P1582" s="45">
        <f>IFERROR(__xludf.DUMMYFUNCTION("""COMPUTED_VALUE"""),45516.0)</f>
        <v>45516</v>
      </c>
      <c r="Q1582" s="45"/>
      <c r="R1582" s="45"/>
      <c r="S1582" s="43"/>
      <c r="T1582" s="43"/>
      <c r="U1582" s="43" t="str">
        <f>IFERROR(__xludf.DUMMYFUNCTION("""COMPUTED_VALUE"""),"Global Classroom")</f>
        <v>Global Classroom</v>
      </c>
      <c r="V1582" s="43" t="str">
        <f>IFERROR(__xludf.DUMMYFUNCTION("""COMPUTED_VALUE"""),"Bhartiya Vidyapeeth, Pune")</f>
        <v>Bhartiya Vidyapeeth, Pune</v>
      </c>
      <c r="W1582" s="43" t="str">
        <f>IFERROR(__xludf.DUMMYFUNCTION("""COMPUTED_VALUE"""),"2021-09-26T12:44:39Z")</f>
        <v>2021-09-26T12:44:39Z</v>
      </c>
      <c r="X1582" s="43"/>
      <c r="Y1582" s="43"/>
      <c r="Z1582" s="43"/>
    </row>
    <row r="1583" hidden="1">
      <c r="A1583" s="43" t="str">
        <f>IFERROR(__xludf.DUMMYFUNCTION("""COMPUTED_VALUE"""),"5371011_1272564")</f>
        <v>5371011_1272564</v>
      </c>
      <c r="B1583" s="43" t="str">
        <f>IFERROR(__xludf.DUMMYFUNCTION("""COMPUTED_VALUE"""),"Larysa Demydovych")</f>
        <v>Larysa Demydovych</v>
      </c>
      <c r="C1583" s="43" t="str">
        <f>IFERROR(__xludf.DUMMYFUNCTION("""COMPUTED_VALUE"""),"approved")</f>
        <v>approved</v>
      </c>
      <c r="D1583" s="43" t="str">
        <f>IFERROR(__xludf.DUMMYFUNCTION("""COMPUTED_VALUE"""),"No")</f>
        <v>No</v>
      </c>
      <c r="E1583" s="43" t="str">
        <f>IFERROR(__xludf.DUMMYFUNCTION("""COMPUTED_VALUE"""),"p_ae8b6e68c8f0072537b3e11342ca69e3aec8b9aa@inbound.aiesec.org")</f>
        <v>p_ae8b6e68c8f0072537b3e11342ca69e3aec8b9aa@inbound.aiesec.org</v>
      </c>
      <c r="F1583" s="43">
        <f>IFERROR(__xludf.DUMMYFUNCTION("""COMPUTED_VALUE"""),6.61494523E8)</f>
        <v>661494523</v>
      </c>
      <c r="G1583" s="43" t="str">
        <f>IFERROR(__xludf.DUMMYFUNCTION("""COMPUTED_VALUE"""),"Ukraine")</f>
        <v>Ukraine</v>
      </c>
      <c r="H1583" s="43" t="str">
        <f>IFERROR(__xludf.DUMMYFUNCTION("""COMPUTED_VALUE"""),"KYIV")</f>
        <v>KYIV</v>
      </c>
      <c r="I1583" s="43" t="str">
        <f>IFERROR(__xludf.DUMMYFUNCTION("""COMPUTED_VALUE"""),"Turkey")</f>
        <v>Turkey</v>
      </c>
      <c r="J1583" s="43" t="str">
        <f>IFERROR(__xludf.DUMMYFUNCTION("""COMPUTED_VALUE"""),"ISTANBUL")</f>
        <v>ISTANBUL</v>
      </c>
      <c r="K1583" s="44" t="str">
        <f>IFERROR(__xludf.DUMMYFUNCTION("""COMPUTED_VALUE"""),"https://expa.aiesec.org/opportunities/1272564")</f>
        <v>https://expa.aiesec.org/opportunities/1272564</v>
      </c>
      <c r="L1583" s="43" t="str">
        <f>IFERROR(__xludf.DUMMYFUNCTION("""COMPUTED_VALUE"""),"GV")</f>
        <v>GV</v>
      </c>
      <c r="M1583" s="43" t="str">
        <f>IFERROR(__xludf.DUMMYFUNCTION("""COMPUTED_VALUE"""),"short")</f>
        <v>short</v>
      </c>
      <c r="N1583" s="45">
        <f>IFERROR(__xludf.DUMMYFUNCTION("""COMPUTED_VALUE"""),45246.0)</f>
        <v>45246</v>
      </c>
      <c r="O1583" s="45">
        <f>IFERROR(__xludf.DUMMYFUNCTION("""COMPUTED_VALUE"""),45483.0)</f>
        <v>45483</v>
      </c>
      <c r="P1583" s="45">
        <f>IFERROR(__xludf.DUMMYFUNCTION("""COMPUTED_VALUE"""),45525.0)</f>
        <v>45525</v>
      </c>
      <c r="Q1583" s="45"/>
      <c r="R1583" s="45"/>
      <c r="S1583" s="43"/>
      <c r="T1583" s="43"/>
      <c r="U1583" s="43" t="str">
        <f>IFERROR(__xludf.DUMMYFUNCTION("""COMPUTED_VALUE"""),"Global Classroom")</f>
        <v>Global Classroom</v>
      </c>
      <c r="V1583" s="43" t="str">
        <f>IFERROR(__xludf.DUMMYFUNCTION("""COMPUTED_VALUE"""),"Kyiv")</f>
        <v>Kyiv</v>
      </c>
      <c r="W1583" s="43" t="str">
        <f>IFERROR(__xludf.DUMMYFUNCTION("""COMPUTED_VALUE"""),"2023-11-12T10:46:53Z")</f>
        <v>2023-11-12T10:46:53Z</v>
      </c>
      <c r="X1583" s="43"/>
      <c r="Y1583" s="43"/>
      <c r="Z1583" s="43"/>
    </row>
    <row r="1584" hidden="1">
      <c r="A1584" s="43" t="str">
        <f>IFERROR(__xludf.DUMMYFUNCTION("""COMPUTED_VALUE"""),"5373123_1299041")</f>
        <v>5373123_1299041</v>
      </c>
      <c r="B1584" s="43" t="str">
        <f>IFERROR(__xludf.DUMMYFUNCTION("""COMPUTED_VALUE"""),"Syrine Bayar")</f>
        <v>Syrine Bayar</v>
      </c>
      <c r="C1584" s="43" t="str">
        <f>IFERROR(__xludf.DUMMYFUNCTION("""COMPUTED_VALUE"""),"approved")</f>
        <v>approved</v>
      </c>
      <c r="D1584" s="43" t="str">
        <f>IFERROR(__xludf.DUMMYFUNCTION("""COMPUTED_VALUE"""),"No")</f>
        <v>No</v>
      </c>
      <c r="E1584" s="43" t="str">
        <f>IFERROR(__xludf.DUMMYFUNCTION("""COMPUTED_VALUE"""),"p_93244863e60003ddc849a2837dffa4718c9ee953@inbound.aiesec.org")</f>
        <v>p_93244863e60003ddc849a2837dffa4718c9ee953@inbound.aiesec.org</v>
      </c>
      <c r="F1584" s="43">
        <f>IFERROR(__xludf.DUMMYFUNCTION("""COMPUTED_VALUE"""),9.3224111E7)</f>
        <v>93224111</v>
      </c>
      <c r="G1584" s="43" t="str">
        <f>IFERROR(__xludf.DUMMYFUNCTION("""COMPUTED_VALUE"""),"Tunisia")</f>
        <v>Tunisia</v>
      </c>
      <c r="H1584" s="43" t="str">
        <f>IFERROR(__xludf.DUMMYFUNCTION("""COMPUTED_VALUE"""),"Carthage")</f>
        <v>Carthage</v>
      </c>
      <c r="I1584" s="43" t="str">
        <f>IFERROR(__xludf.DUMMYFUNCTION("""COMPUTED_VALUE"""),"Turkey")</f>
        <v>Turkey</v>
      </c>
      <c r="J1584" s="43" t="str">
        <f>IFERROR(__xludf.DUMMYFUNCTION("""COMPUTED_VALUE"""),"ANTALYA")</f>
        <v>ANTALYA</v>
      </c>
      <c r="K1584" s="44" t="str">
        <f>IFERROR(__xludf.DUMMYFUNCTION("""COMPUTED_VALUE"""),"https://expa.aiesec.org/opportunities/1299041")</f>
        <v>https://expa.aiesec.org/opportunities/1299041</v>
      </c>
      <c r="L1584" s="43" t="str">
        <f>IFERROR(__xludf.DUMMYFUNCTION("""COMPUTED_VALUE"""),"GV")</f>
        <v>GV</v>
      </c>
      <c r="M1584" s="43" t="str">
        <f>IFERROR(__xludf.DUMMYFUNCTION("""COMPUTED_VALUE"""),"short")</f>
        <v>short</v>
      </c>
      <c r="N1584" s="45">
        <f>IFERROR(__xludf.DUMMYFUNCTION("""COMPUTED_VALUE"""),45246.0)</f>
        <v>45246</v>
      </c>
      <c r="O1584" s="45">
        <f>IFERROR(__xludf.DUMMYFUNCTION("""COMPUTED_VALUE"""),45488.0)</f>
        <v>45488</v>
      </c>
      <c r="P1584" s="45">
        <f>IFERROR(__xludf.DUMMYFUNCTION("""COMPUTED_VALUE"""),45530.0)</f>
        <v>45530</v>
      </c>
      <c r="Q1584" s="45"/>
      <c r="R1584" s="45"/>
      <c r="S1584" s="43"/>
      <c r="T1584" s="43"/>
      <c r="U1584" s="43" t="str">
        <f>IFERROR(__xludf.DUMMYFUNCTION("""COMPUTED_VALUE"""),"Fingerprint")</f>
        <v>Fingerprint</v>
      </c>
      <c r="V1584" s="43" t="str">
        <f>IFERROR(__xludf.DUMMYFUNCTION("""COMPUTED_VALUE"""),"IHEC Carthage")</f>
        <v>IHEC Carthage</v>
      </c>
      <c r="W1584" s="43" t="str">
        <f>IFERROR(__xludf.DUMMYFUNCTION("""COMPUTED_VALUE"""),"2023-11-15T19:04:24Z")</f>
        <v>2023-11-15T19:04:24Z</v>
      </c>
      <c r="X1584" s="43"/>
      <c r="Y1584" s="43"/>
      <c r="Z1584" s="43"/>
    </row>
    <row r="1585" hidden="1">
      <c r="A1585" s="43" t="str">
        <f>IFERROR(__xludf.DUMMYFUNCTION("""COMPUTED_VALUE"""),"5373638_1291254")</f>
        <v>5373638_1291254</v>
      </c>
      <c r="B1585" s="43" t="str">
        <f>IFERROR(__xludf.DUMMYFUNCTION("""COMPUTED_VALUE"""),"Oumayma Hachem")</f>
        <v>Oumayma Hachem</v>
      </c>
      <c r="C1585" s="43" t="str">
        <f>IFERROR(__xludf.DUMMYFUNCTION("""COMPUTED_VALUE"""),"approved")</f>
        <v>approved</v>
      </c>
      <c r="D1585" s="43" t="str">
        <f>IFERROR(__xludf.DUMMYFUNCTION("""COMPUTED_VALUE"""),"No")</f>
        <v>No</v>
      </c>
      <c r="E1585" s="43" t="str">
        <f>IFERROR(__xludf.DUMMYFUNCTION("""COMPUTED_VALUE"""),"p_d3aef8c16b2ef2a6d11f8916d1aa843bce8e820f@inbound.aiesec.org")</f>
        <v>p_d3aef8c16b2ef2a6d11f8916d1aa843bce8e820f@inbound.aiesec.org</v>
      </c>
      <c r="F1585" s="43">
        <f>IFERROR(__xludf.DUMMYFUNCTION("""COMPUTED_VALUE"""),9.9955111E7)</f>
        <v>99955111</v>
      </c>
      <c r="G1585" s="43" t="str">
        <f>IFERROR(__xludf.DUMMYFUNCTION("""COMPUTED_VALUE"""),"Tunisia")</f>
        <v>Tunisia</v>
      </c>
      <c r="H1585" s="43" t="str">
        <f>IFERROR(__xludf.DUMMYFUNCTION("""COMPUTED_VALUE"""),"HADRUMET")</f>
        <v>HADRUMET</v>
      </c>
      <c r="I1585" s="43" t="str">
        <f>IFERROR(__xludf.DUMMYFUNCTION("""COMPUTED_VALUE"""),"Turkey")</f>
        <v>Turkey</v>
      </c>
      <c r="J1585" s="43" t="str">
        <f>IFERROR(__xludf.DUMMYFUNCTION("""COMPUTED_VALUE"""),"KOCAELI")</f>
        <v>KOCAELI</v>
      </c>
      <c r="K1585" s="44" t="str">
        <f>IFERROR(__xludf.DUMMYFUNCTION("""COMPUTED_VALUE"""),"https://expa.aiesec.org/opportunities/1291254")</f>
        <v>https://expa.aiesec.org/opportunities/1291254</v>
      </c>
      <c r="L1585" s="43" t="str">
        <f>IFERROR(__xludf.DUMMYFUNCTION("""COMPUTED_VALUE"""),"GV")</f>
        <v>GV</v>
      </c>
      <c r="M1585" s="43" t="str">
        <f>IFERROR(__xludf.DUMMYFUNCTION("""COMPUTED_VALUE"""),"short")</f>
        <v>short</v>
      </c>
      <c r="N1585" s="45">
        <f>IFERROR(__xludf.DUMMYFUNCTION("""COMPUTED_VALUE"""),45246.0)</f>
        <v>45246</v>
      </c>
      <c r="O1585" s="45">
        <f>IFERROR(__xludf.DUMMYFUNCTION("""COMPUTED_VALUE"""),45501.0)</f>
        <v>45501</v>
      </c>
      <c r="P1585" s="45">
        <f>IFERROR(__xludf.DUMMYFUNCTION("""COMPUTED_VALUE"""),45543.0)</f>
        <v>45543</v>
      </c>
      <c r="Q1585" s="45"/>
      <c r="R1585" s="45"/>
      <c r="S1585" s="43"/>
      <c r="T1585" s="43"/>
      <c r="U1585" s="43" t="str">
        <f>IFERROR(__xludf.DUMMYFUNCTION("""COMPUTED_VALUE"""),"Global Classroom")</f>
        <v>Global Classroom</v>
      </c>
      <c r="V1585" s="43" t="str">
        <f>IFERROR(__xludf.DUMMYFUNCTION("""COMPUTED_VALUE"""),"ISG Sousse")</f>
        <v>ISG Sousse</v>
      </c>
      <c r="W1585" s="43" t="str">
        <f>IFERROR(__xludf.DUMMYFUNCTION("""COMPUTED_VALUE"""),"2023-11-16T18:55:30Z")</f>
        <v>2023-11-16T18:55:30Z</v>
      </c>
      <c r="X1585" s="43"/>
      <c r="Y1585" s="43"/>
      <c r="Z1585" s="43"/>
    </row>
    <row r="1586" hidden="1">
      <c r="A1586" s="43" t="str">
        <f>IFERROR(__xludf.DUMMYFUNCTION("""COMPUTED_VALUE"""),"5343325_1294584")</f>
        <v>5343325_1294584</v>
      </c>
      <c r="B1586" s="43" t="str">
        <f>IFERROR(__xludf.DUMMYFUNCTION("""COMPUTED_VALUE"""),"Yaryna Kovalyshena")</f>
        <v>Yaryna Kovalyshena</v>
      </c>
      <c r="C1586" s="43" t="str">
        <f>IFERROR(__xludf.DUMMYFUNCTION("""COMPUTED_VALUE"""),"approved")</f>
        <v>approved</v>
      </c>
      <c r="D1586" s="43" t="str">
        <f>IFERROR(__xludf.DUMMYFUNCTION("""COMPUTED_VALUE"""),"No")</f>
        <v>No</v>
      </c>
      <c r="E1586" s="43" t="str">
        <f>IFERROR(__xludf.DUMMYFUNCTION("""COMPUTED_VALUE"""),"p_db377eb2ff570d4eb1f57df01ce0ae0543f0f61c@inbound.aiesec.org")</f>
        <v>p_db377eb2ff570d4eb1f57df01ce0ae0543f0f61c@inbound.aiesec.org</v>
      </c>
      <c r="F1586" s="43">
        <f>IFERROR(__xludf.DUMMYFUNCTION("""COMPUTED_VALUE"""),5.08201264E8)</f>
        <v>508201264</v>
      </c>
      <c r="G1586" s="43" t="str">
        <f>IFERROR(__xludf.DUMMYFUNCTION("""COMPUTED_VALUE"""),"Ukraine")</f>
        <v>Ukraine</v>
      </c>
      <c r="H1586" s="43" t="str">
        <f>IFERROR(__xludf.DUMMYFUNCTION("""COMPUTED_VALUE"""),"LVIV")</f>
        <v>LVIV</v>
      </c>
      <c r="I1586" s="43" t="str">
        <f>IFERROR(__xludf.DUMMYFUNCTION("""COMPUTED_VALUE"""),"Turkey")</f>
        <v>Turkey</v>
      </c>
      <c r="J1586" s="43" t="str">
        <f>IFERROR(__xludf.DUMMYFUNCTION("""COMPUTED_VALUE"""),"ANTALYA")</f>
        <v>ANTALYA</v>
      </c>
      <c r="K1586" s="44" t="str">
        <f>IFERROR(__xludf.DUMMYFUNCTION("""COMPUTED_VALUE"""),"https://expa.aiesec.org/opportunities/1294584")</f>
        <v>https://expa.aiesec.org/opportunities/1294584</v>
      </c>
      <c r="L1586" s="43" t="str">
        <f>IFERROR(__xludf.DUMMYFUNCTION("""COMPUTED_VALUE"""),"GV")</f>
        <v>GV</v>
      </c>
      <c r="M1586" s="43" t="str">
        <f>IFERROR(__xludf.DUMMYFUNCTION("""COMPUTED_VALUE"""),"short")</f>
        <v>short</v>
      </c>
      <c r="N1586" s="45">
        <f>IFERROR(__xludf.DUMMYFUNCTION("""COMPUTED_VALUE"""),45246.0)</f>
        <v>45246</v>
      </c>
      <c r="O1586" s="45">
        <f>IFERROR(__xludf.DUMMYFUNCTION("""COMPUTED_VALUE"""),45467.0)</f>
        <v>45467</v>
      </c>
      <c r="P1586" s="45">
        <f>IFERROR(__xludf.DUMMYFUNCTION("""COMPUTED_VALUE"""),45509.0)</f>
        <v>45509</v>
      </c>
      <c r="Q1586" s="45"/>
      <c r="R1586" s="45"/>
      <c r="S1586" s="43"/>
      <c r="T1586" s="43"/>
      <c r="U1586" s="43" t="str">
        <f>IFERROR(__xludf.DUMMYFUNCTION("""COMPUTED_VALUE"""),"Youth 4 Impact")</f>
        <v>Youth 4 Impact</v>
      </c>
      <c r="V1586" s="43" t="str">
        <f>IFERROR(__xludf.DUMMYFUNCTION("""COMPUTED_VALUE"""),"Lviv ")</f>
        <v>Lviv </v>
      </c>
      <c r="W1586" s="43" t="str">
        <f>IFERROR(__xludf.DUMMYFUNCTION("""COMPUTED_VALUE"""),"2023-10-05T17:07:07Z")</f>
        <v>2023-10-05T17:07:07Z</v>
      </c>
      <c r="X1586" s="43"/>
      <c r="Y1586" s="43"/>
      <c r="Z1586" s="43"/>
    </row>
    <row r="1587" hidden="1">
      <c r="A1587" s="43" t="str">
        <f>IFERROR(__xludf.DUMMYFUNCTION("""COMPUTED_VALUE"""),"5318590_1286326")</f>
        <v>5318590_1286326</v>
      </c>
      <c r="B1587" s="43" t="str">
        <f>IFERROR(__xludf.DUMMYFUNCTION("""COMPUTED_VALUE"""),"Sofiia Martyshchuk")</f>
        <v>Sofiia Martyshchuk</v>
      </c>
      <c r="C1587" s="43" t="str">
        <f>IFERROR(__xludf.DUMMYFUNCTION("""COMPUTED_VALUE"""),"approved")</f>
        <v>approved</v>
      </c>
      <c r="D1587" s="43" t="str">
        <f>IFERROR(__xludf.DUMMYFUNCTION("""COMPUTED_VALUE"""),"No")</f>
        <v>No</v>
      </c>
      <c r="E1587" s="43" t="str">
        <f>IFERROR(__xludf.DUMMYFUNCTION("""COMPUTED_VALUE"""),"p_cd2f1f6a34a38ad128d6b45bbabd5d1428e80be3@inbound.aiesec.org")</f>
        <v>p_cd2f1f6a34a38ad128d6b45bbabd5d1428e80be3@inbound.aiesec.org</v>
      </c>
      <c r="F1587" s="43">
        <f>IFERROR(__xludf.DUMMYFUNCTION("""COMPUTED_VALUE"""),9.81156952E8)</f>
        <v>981156952</v>
      </c>
      <c r="G1587" s="43" t="str">
        <f>IFERROR(__xludf.DUMMYFUNCTION("""COMPUTED_VALUE"""),"Ukraine")</f>
        <v>Ukraine</v>
      </c>
      <c r="H1587" s="43" t="str">
        <f>IFERROR(__xludf.DUMMYFUNCTION("""COMPUTED_VALUE"""),"IVANO-FRANKIVSK")</f>
        <v>IVANO-FRANKIVSK</v>
      </c>
      <c r="I1587" s="43" t="str">
        <f>IFERROR(__xludf.DUMMYFUNCTION("""COMPUTED_VALUE"""),"Turkey")</f>
        <v>Turkey</v>
      </c>
      <c r="J1587" s="43" t="str">
        <f>IFERROR(__xludf.DUMMYFUNCTION("""COMPUTED_VALUE"""),"ADANA")</f>
        <v>ADANA</v>
      </c>
      <c r="K1587" s="44" t="str">
        <f>IFERROR(__xludf.DUMMYFUNCTION("""COMPUTED_VALUE"""),"https://expa.aiesec.org/opportunities/1286326")</f>
        <v>https://expa.aiesec.org/opportunities/1286326</v>
      </c>
      <c r="L1587" s="43" t="str">
        <f>IFERROR(__xludf.DUMMYFUNCTION("""COMPUTED_VALUE"""),"GV")</f>
        <v>GV</v>
      </c>
      <c r="M1587" s="43" t="str">
        <f>IFERROR(__xludf.DUMMYFUNCTION("""COMPUTED_VALUE"""),"short")</f>
        <v>short</v>
      </c>
      <c r="N1587" s="45">
        <f>IFERROR(__xludf.DUMMYFUNCTION("""COMPUTED_VALUE"""),45246.0)</f>
        <v>45246</v>
      </c>
      <c r="O1587" s="45">
        <f>IFERROR(__xludf.DUMMYFUNCTION("""COMPUTED_VALUE"""),45523.0)</f>
        <v>45523</v>
      </c>
      <c r="P1587" s="45">
        <f>IFERROR(__xludf.DUMMYFUNCTION("""COMPUTED_VALUE"""),45565.0)</f>
        <v>45565</v>
      </c>
      <c r="Q1587" s="45"/>
      <c r="R1587" s="45"/>
      <c r="S1587" s="43"/>
      <c r="T1587" s="43"/>
      <c r="U1587" s="43" t="str">
        <f>IFERROR(__xludf.DUMMYFUNCTION("""COMPUTED_VALUE"""),"Equify")</f>
        <v>Equify</v>
      </c>
      <c r="V1587" s="43" t="str">
        <f>IFERROR(__xludf.DUMMYFUNCTION("""COMPUTED_VALUE"""),"Ivano-Frankivsk")</f>
        <v>Ivano-Frankivsk</v>
      </c>
      <c r="W1587" s="43" t="str">
        <f>IFERROR(__xludf.DUMMYFUNCTION("""COMPUTED_VALUE"""),"2023-09-05T14:17:50Z")</f>
        <v>2023-09-05T14:17:50Z</v>
      </c>
      <c r="X1587" s="43"/>
      <c r="Y1587" s="43"/>
      <c r="Z1587" s="43"/>
    </row>
    <row r="1588" hidden="1">
      <c r="A1588" s="43" t="str">
        <f>IFERROR(__xludf.DUMMYFUNCTION("""COMPUTED_VALUE"""),"5367331_1291634")</f>
        <v>5367331_1291634</v>
      </c>
      <c r="B1588" s="43" t="str">
        <f>IFERROR(__xludf.DUMMYFUNCTION("""COMPUTED_VALUE"""),"Olusile Precious")</f>
        <v>Olusile Precious</v>
      </c>
      <c r="C1588" s="43" t="str">
        <f>IFERROR(__xludf.DUMMYFUNCTION("""COMPUTED_VALUE"""),"approved")</f>
        <v>approved</v>
      </c>
      <c r="D1588" s="43" t="str">
        <f>IFERROR(__xludf.DUMMYFUNCTION("""COMPUTED_VALUE"""),"No")</f>
        <v>No</v>
      </c>
      <c r="E1588" s="43" t="str">
        <f>IFERROR(__xludf.DUMMYFUNCTION("""COMPUTED_VALUE"""),"p_fa9075d31f43376c6bd6a48a2a62ad6362b1907d@inbound.aiesec.org")</f>
        <v>p_fa9075d31f43376c6bd6a48a2a62ad6362b1907d@inbound.aiesec.org</v>
      </c>
      <c r="F1588" s="43">
        <f>IFERROR(__xludf.DUMMYFUNCTION("""COMPUTED_VALUE"""),9.058237137E9)</f>
        <v>9058237137</v>
      </c>
      <c r="G1588" s="43" t="str">
        <f>IFERROR(__xludf.DUMMYFUNCTION("""COMPUTED_VALUE"""),"Nigeria")</f>
        <v>Nigeria</v>
      </c>
      <c r="H1588" s="43" t="str">
        <f>IFERROR(__xludf.DUMMYFUNCTION("""COMPUTED_VALUE"""),"IBADAN")</f>
        <v>IBADAN</v>
      </c>
      <c r="I1588" s="43" t="str">
        <f>IFERROR(__xludf.DUMMYFUNCTION("""COMPUTED_VALUE"""),"Turkey")</f>
        <v>Turkey</v>
      </c>
      <c r="J1588" s="43" t="str">
        <f>IFERROR(__xludf.DUMMYFUNCTION("""COMPUTED_VALUE"""),"İZMİR")</f>
        <v>İZMİR</v>
      </c>
      <c r="K1588" s="44" t="str">
        <f>IFERROR(__xludf.DUMMYFUNCTION("""COMPUTED_VALUE"""),"https://expa.aiesec.org/opportunities/1291634")</f>
        <v>https://expa.aiesec.org/opportunities/1291634</v>
      </c>
      <c r="L1588" s="43" t="str">
        <f>IFERROR(__xludf.DUMMYFUNCTION("""COMPUTED_VALUE"""),"GV")</f>
        <v>GV</v>
      </c>
      <c r="M1588" s="43" t="str">
        <f>IFERROR(__xludf.DUMMYFUNCTION("""COMPUTED_VALUE"""),"short")</f>
        <v>short</v>
      </c>
      <c r="N1588" s="45">
        <f>IFERROR(__xludf.DUMMYFUNCTION("""COMPUTED_VALUE"""),45246.0)</f>
        <v>45246</v>
      </c>
      <c r="O1588" s="45">
        <f>IFERROR(__xludf.DUMMYFUNCTION("""COMPUTED_VALUE"""),45285.0)</f>
        <v>45285</v>
      </c>
      <c r="P1588" s="45">
        <f>IFERROR(__xludf.DUMMYFUNCTION("""COMPUTED_VALUE"""),45327.0)</f>
        <v>45327</v>
      </c>
      <c r="Q1588" s="45"/>
      <c r="R1588" s="45"/>
      <c r="S1588" s="43"/>
      <c r="T1588" s="43"/>
      <c r="U1588" s="43" t="str">
        <f>IFERROR(__xludf.DUMMYFUNCTION("""COMPUTED_VALUE"""),"Fingerprint")</f>
        <v>Fingerprint</v>
      </c>
      <c r="V1588" s="43" t="str">
        <f>IFERROR(__xludf.DUMMYFUNCTION("""COMPUTED_VALUE"""),"University of Ibadan, Ibadan")</f>
        <v>University of Ibadan, Ibadan</v>
      </c>
      <c r="W1588" s="43" t="str">
        <f>IFERROR(__xludf.DUMMYFUNCTION("""COMPUTED_VALUE"""),"2023-11-05T21:17:36Z")</f>
        <v>2023-11-05T21:17:36Z</v>
      </c>
      <c r="X1588" s="43"/>
      <c r="Y1588" s="43"/>
      <c r="Z1588" s="43"/>
    </row>
    <row r="1589" hidden="1">
      <c r="A1589" s="43" t="str">
        <f>IFERROR(__xludf.DUMMYFUNCTION("""COMPUTED_VALUE"""),"5141021_1294584")</f>
        <v>5141021_1294584</v>
      </c>
      <c r="B1589" s="43" t="str">
        <f>IFERROR(__xludf.DUMMYFUNCTION("""COMPUTED_VALUE"""),"Lily Valko")</f>
        <v>Lily Valko</v>
      </c>
      <c r="C1589" s="43" t="str">
        <f>IFERROR(__xludf.DUMMYFUNCTION("""COMPUTED_VALUE"""),"approved")</f>
        <v>approved</v>
      </c>
      <c r="D1589" s="43" t="str">
        <f>IFERROR(__xludf.DUMMYFUNCTION("""COMPUTED_VALUE"""),"No")</f>
        <v>No</v>
      </c>
      <c r="E1589" s="43" t="str">
        <f>IFERROR(__xludf.DUMMYFUNCTION("""COMPUTED_VALUE"""),"p_bad58167d1d9a95bdd22e669a8ad02a6b3048282@inbound.aiesec.org")</f>
        <v>p_bad58167d1d9a95bdd22e669a8ad02a6b3048282@inbound.aiesec.org</v>
      </c>
      <c r="F1589" s="43"/>
      <c r="G1589" s="43" t="str">
        <f>IFERROR(__xludf.DUMMYFUNCTION("""COMPUTED_VALUE"""),"Ukraine")</f>
        <v>Ukraine</v>
      </c>
      <c r="H1589" s="43" t="str">
        <f>IFERROR(__xludf.DUMMYFUNCTION("""COMPUTED_VALUE"""),"LVIV")</f>
        <v>LVIV</v>
      </c>
      <c r="I1589" s="43" t="str">
        <f>IFERROR(__xludf.DUMMYFUNCTION("""COMPUTED_VALUE"""),"Turkey")</f>
        <v>Turkey</v>
      </c>
      <c r="J1589" s="43" t="str">
        <f>IFERROR(__xludf.DUMMYFUNCTION("""COMPUTED_VALUE"""),"ANTALYA")</f>
        <v>ANTALYA</v>
      </c>
      <c r="K1589" s="44" t="str">
        <f>IFERROR(__xludf.DUMMYFUNCTION("""COMPUTED_VALUE"""),"https://expa.aiesec.org/opportunities/1294584")</f>
        <v>https://expa.aiesec.org/opportunities/1294584</v>
      </c>
      <c r="L1589" s="43" t="str">
        <f>IFERROR(__xludf.DUMMYFUNCTION("""COMPUTED_VALUE"""),"GV")</f>
        <v>GV</v>
      </c>
      <c r="M1589" s="43" t="str">
        <f>IFERROR(__xludf.DUMMYFUNCTION("""COMPUTED_VALUE"""),"short")</f>
        <v>short</v>
      </c>
      <c r="N1589" s="45">
        <f>IFERROR(__xludf.DUMMYFUNCTION("""COMPUTED_VALUE"""),45247.0)</f>
        <v>45247</v>
      </c>
      <c r="O1589" s="45">
        <f>IFERROR(__xludf.DUMMYFUNCTION("""COMPUTED_VALUE"""),45467.0)</f>
        <v>45467</v>
      </c>
      <c r="P1589" s="45">
        <f>IFERROR(__xludf.DUMMYFUNCTION("""COMPUTED_VALUE"""),45509.0)</f>
        <v>45509</v>
      </c>
      <c r="Q1589" s="45"/>
      <c r="R1589" s="45"/>
      <c r="S1589" s="43"/>
      <c r="T1589" s="43"/>
      <c r="U1589" s="43" t="str">
        <f>IFERROR(__xludf.DUMMYFUNCTION("""COMPUTED_VALUE"""),"Youth 4 Impact")</f>
        <v>Youth 4 Impact</v>
      </c>
      <c r="V1589" s="43" t="str">
        <f>IFERROR(__xludf.DUMMYFUNCTION("""COMPUTED_VALUE"""),"-")</f>
        <v>-</v>
      </c>
      <c r="W1589" s="43" t="str">
        <f>IFERROR(__xludf.DUMMYFUNCTION("""COMPUTED_VALUE"""),"2022-10-26T17:35:57Z")</f>
        <v>2022-10-26T17:35:57Z</v>
      </c>
      <c r="X1589" s="43"/>
      <c r="Y1589" s="43"/>
      <c r="Z1589" s="43"/>
    </row>
    <row r="1590" hidden="1">
      <c r="A1590" s="43" t="str">
        <f>IFERROR(__xludf.DUMMYFUNCTION("""COMPUTED_VALUE"""),"5328873_1286034")</f>
        <v>5328873_1286034</v>
      </c>
      <c r="B1590" s="43" t="str">
        <f>IFERROR(__xludf.DUMMYFUNCTION("""COMPUTED_VALUE"""),"Vanshika Sirohi")</f>
        <v>Vanshika Sirohi</v>
      </c>
      <c r="C1590" s="43" t="str">
        <f>IFERROR(__xludf.DUMMYFUNCTION("""COMPUTED_VALUE"""),"approved")</f>
        <v>approved</v>
      </c>
      <c r="D1590" s="43" t="str">
        <f>IFERROR(__xludf.DUMMYFUNCTION("""COMPUTED_VALUE"""),"No")</f>
        <v>No</v>
      </c>
      <c r="E1590" s="43" t="str">
        <f>IFERROR(__xludf.DUMMYFUNCTION("""COMPUTED_VALUE"""),"p_0daa39a99741b4935cb363f3935d57bc4f3db7ab@inbound.aiesec.org")</f>
        <v>p_0daa39a99741b4935cb363f3935d57bc4f3db7ab@inbound.aiesec.org</v>
      </c>
      <c r="F1590" s="43">
        <f>IFERROR(__xludf.DUMMYFUNCTION("""COMPUTED_VALUE"""),7.703954307E9)</f>
        <v>7703954307</v>
      </c>
      <c r="G1590" s="43" t="str">
        <f>IFERROR(__xludf.DUMMYFUNCTION("""COMPUTED_VALUE"""),"India")</f>
        <v>India</v>
      </c>
      <c r="H1590" s="43" t="str">
        <f>IFERROR(__xludf.DUMMYFUNCTION("""COMPUTED_VALUE"""),"Noida")</f>
        <v>Noida</v>
      </c>
      <c r="I1590" s="43" t="str">
        <f>IFERROR(__xludf.DUMMYFUNCTION("""COMPUTED_VALUE"""),"Turkey")</f>
        <v>Turkey</v>
      </c>
      <c r="J1590" s="43" t="str">
        <f>IFERROR(__xludf.DUMMYFUNCTION("""COMPUTED_VALUE"""),"ANTALYA")</f>
        <v>ANTALYA</v>
      </c>
      <c r="K1590" s="44" t="str">
        <f>IFERROR(__xludf.DUMMYFUNCTION("""COMPUTED_VALUE"""),"https://expa.aiesec.org/opportunities/1286034")</f>
        <v>https://expa.aiesec.org/opportunities/1286034</v>
      </c>
      <c r="L1590" s="43" t="str">
        <f>IFERROR(__xludf.DUMMYFUNCTION("""COMPUTED_VALUE"""),"GV")</f>
        <v>GV</v>
      </c>
      <c r="M1590" s="43" t="str">
        <f>IFERROR(__xludf.DUMMYFUNCTION("""COMPUTED_VALUE"""),"short")</f>
        <v>short</v>
      </c>
      <c r="N1590" s="45">
        <f>IFERROR(__xludf.DUMMYFUNCTION("""COMPUTED_VALUE"""),45247.0)</f>
        <v>45247</v>
      </c>
      <c r="O1590" s="45">
        <f>IFERROR(__xludf.DUMMYFUNCTION("""COMPUTED_VALUE"""),45299.0)</f>
        <v>45299</v>
      </c>
      <c r="P1590" s="45">
        <f>IFERROR(__xludf.DUMMYFUNCTION("""COMPUTED_VALUE"""),45341.0)</f>
        <v>45341</v>
      </c>
      <c r="Q1590" s="45"/>
      <c r="R1590" s="45"/>
      <c r="S1590" s="43"/>
      <c r="T1590" s="43"/>
      <c r="U1590" s="43" t="str">
        <f>IFERROR(__xludf.DUMMYFUNCTION("""COMPUTED_VALUE"""),"Global Classroom")</f>
        <v>Global Classroom</v>
      </c>
      <c r="V1590" s="43" t="str">
        <f>IFERROR(__xludf.DUMMYFUNCTION("""COMPUTED_VALUE"""),"Amity University, Noida")</f>
        <v>Amity University, Noida</v>
      </c>
      <c r="W1590" s="43" t="str">
        <f>IFERROR(__xludf.DUMMYFUNCTION("""COMPUTED_VALUE"""),"2023-09-21T08:25:25Z")</f>
        <v>2023-09-21T08:25:25Z</v>
      </c>
      <c r="X1590" s="43"/>
      <c r="Y1590" s="43"/>
      <c r="Z1590" s="43"/>
    </row>
    <row r="1591" hidden="1">
      <c r="A1591" s="43" t="str">
        <f>IFERROR(__xludf.DUMMYFUNCTION("""COMPUTED_VALUE"""),"4752066_1286920")</f>
        <v>4752066_1286920</v>
      </c>
      <c r="B1591" s="43" t="str">
        <f>IFERROR(__xludf.DUMMYFUNCTION("""COMPUTED_VALUE"""),"Liza Kravchenko")</f>
        <v>Liza Kravchenko</v>
      </c>
      <c r="C1591" s="43" t="str">
        <f>IFERROR(__xludf.DUMMYFUNCTION("""COMPUTED_VALUE"""),"approved")</f>
        <v>approved</v>
      </c>
      <c r="D1591" s="43" t="str">
        <f>IFERROR(__xludf.DUMMYFUNCTION("""COMPUTED_VALUE"""),"No")</f>
        <v>No</v>
      </c>
      <c r="E1591" s="43" t="str">
        <f>IFERROR(__xludf.DUMMYFUNCTION("""COMPUTED_VALUE"""),"p_9eb1693642e762eefbee7a9e2f18c72b50c09b0b@inbound.aiesec.org")</f>
        <v>p_9eb1693642e762eefbee7a9e2f18c72b50c09b0b@inbound.aiesec.org</v>
      </c>
      <c r="F1591" s="43"/>
      <c r="G1591" s="43" t="str">
        <f>IFERROR(__xludf.DUMMYFUNCTION("""COMPUTED_VALUE"""),"Ukraine")</f>
        <v>Ukraine</v>
      </c>
      <c r="H1591" s="43" t="str">
        <f>IFERROR(__xludf.DUMMYFUNCTION("""COMPUTED_VALUE"""),"KHARKIV")</f>
        <v>KHARKIV</v>
      </c>
      <c r="I1591" s="43" t="str">
        <f>IFERROR(__xludf.DUMMYFUNCTION("""COMPUTED_VALUE"""),"Turkey")</f>
        <v>Turkey</v>
      </c>
      <c r="J1591" s="43" t="str">
        <f>IFERROR(__xludf.DUMMYFUNCTION("""COMPUTED_VALUE"""),"DENIZLI")</f>
        <v>DENIZLI</v>
      </c>
      <c r="K1591" s="44" t="str">
        <f>IFERROR(__xludf.DUMMYFUNCTION("""COMPUTED_VALUE"""),"https://expa.aiesec.org/opportunities/1286920")</f>
        <v>https://expa.aiesec.org/opportunities/1286920</v>
      </c>
      <c r="L1591" s="43" t="str">
        <f>IFERROR(__xludf.DUMMYFUNCTION("""COMPUTED_VALUE"""),"GV")</f>
        <v>GV</v>
      </c>
      <c r="M1591" s="43" t="str">
        <f>IFERROR(__xludf.DUMMYFUNCTION("""COMPUTED_VALUE"""),"short")</f>
        <v>short</v>
      </c>
      <c r="N1591" s="45">
        <f>IFERROR(__xludf.DUMMYFUNCTION("""COMPUTED_VALUE"""),45247.0)</f>
        <v>45247</v>
      </c>
      <c r="O1591" s="45">
        <f>IFERROR(__xludf.DUMMYFUNCTION("""COMPUTED_VALUE"""),45327.0)</f>
        <v>45327</v>
      </c>
      <c r="P1591" s="45">
        <f>IFERROR(__xludf.DUMMYFUNCTION("""COMPUTED_VALUE"""),45369.0)</f>
        <v>45369</v>
      </c>
      <c r="Q1591" s="45"/>
      <c r="R1591" s="45"/>
      <c r="S1591" s="43"/>
      <c r="T1591" s="43"/>
      <c r="U1591" s="43" t="str">
        <f>IFERROR(__xludf.DUMMYFUNCTION("""COMPUTED_VALUE"""),"Global Classroom")</f>
        <v>Global Classroom</v>
      </c>
      <c r="V1591" s="43" t="str">
        <f>IFERROR(__xludf.DUMMYFUNCTION("""COMPUTED_VALUE"""),"-")</f>
        <v>-</v>
      </c>
      <c r="W1591" s="43" t="str">
        <f>IFERROR(__xludf.DUMMYFUNCTION("""COMPUTED_VALUE"""),"2021-09-28T19:15:28Z")</f>
        <v>2021-09-28T19:15:28Z</v>
      </c>
      <c r="X1591" s="43"/>
      <c r="Y1591" s="43"/>
      <c r="Z1591" s="43"/>
    </row>
    <row r="1592" hidden="1">
      <c r="A1592" s="43" t="str">
        <f>IFERROR(__xludf.DUMMYFUNCTION("""COMPUTED_VALUE"""),"5374443_1286034")</f>
        <v>5374443_1286034</v>
      </c>
      <c r="B1592" s="43" t="str">
        <f>IFERROR(__xludf.DUMMYFUNCTION("""COMPUTED_VALUE"""),"Anna Pokhodenko")</f>
        <v>Anna Pokhodenko</v>
      </c>
      <c r="C1592" s="43" t="str">
        <f>IFERROR(__xludf.DUMMYFUNCTION("""COMPUTED_VALUE"""),"approved")</f>
        <v>approved</v>
      </c>
      <c r="D1592" s="43" t="str">
        <f>IFERROR(__xludf.DUMMYFUNCTION("""COMPUTED_VALUE"""),"No")</f>
        <v>No</v>
      </c>
      <c r="E1592" s="43" t="str">
        <f>IFERROR(__xludf.DUMMYFUNCTION("""COMPUTED_VALUE"""),"p_a484a5ec3a7bf7dc776a5a0a6fdd6724784b2c73@inbound.aiesec.org")</f>
        <v>p_a484a5ec3a7bf7dc776a5a0a6fdd6724784b2c73@inbound.aiesec.org</v>
      </c>
      <c r="F1592" s="43"/>
      <c r="G1592" s="43" t="str">
        <f>IFERROR(__xludf.DUMMYFUNCTION("""COMPUTED_VALUE"""),"Ukraine")</f>
        <v>Ukraine</v>
      </c>
      <c r="H1592" s="43" t="str">
        <f>IFERROR(__xludf.DUMMYFUNCTION("""COMPUTED_VALUE"""),"LVIV")</f>
        <v>LVIV</v>
      </c>
      <c r="I1592" s="43" t="str">
        <f>IFERROR(__xludf.DUMMYFUNCTION("""COMPUTED_VALUE"""),"Turkey")</f>
        <v>Turkey</v>
      </c>
      <c r="J1592" s="43" t="str">
        <f>IFERROR(__xludf.DUMMYFUNCTION("""COMPUTED_VALUE"""),"ANTALYA")</f>
        <v>ANTALYA</v>
      </c>
      <c r="K1592" s="44" t="str">
        <f>IFERROR(__xludf.DUMMYFUNCTION("""COMPUTED_VALUE"""),"https://expa.aiesec.org/opportunities/1286034")</f>
        <v>https://expa.aiesec.org/opportunities/1286034</v>
      </c>
      <c r="L1592" s="43" t="str">
        <f>IFERROR(__xludf.DUMMYFUNCTION("""COMPUTED_VALUE"""),"GV")</f>
        <v>GV</v>
      </c>
      <c r="M1592" s="43" t="str">
        <f>IFERROR(__xludf.DUMMYFUNCTION("""COMPUTED_VALUE"""),"short")</f>
        <v>short</v>
      </c>
      <c r="N1592" s="45">
        <f>IFERROR(__xludf.DUMMYFUNCTION("""COMPUTED_VALUE"""),45247.0)</f>
        <v>45247</v>
      </c>
      <c r="O1592" s="45">
        <f>IFERROR(__xludf.DUMMYFUNCTION("""COMPUTED_VALUE"""),45474.0)</f>
        <v>45474</v>
      </c>
      <c r="P1592" s="45">
        <f>IFERROR(__xludf.DUMMYFUNCTION("""COMPUTED_VALUE"""),45516.0)</f>
        <v>45516</v>
      </c>
      <c r="Q1592" s="45"/>
      <c r="R1592" s="45"/>
      <c r="S1592" s="43"/>
      <c r="T1592" s="43"/>
      <c r="U1592" s="43" t="str">
        <f>IFERROR(__xludf.DUMMYFUNCTION("""COMPUTED_VALUE"""),"Global Classroom")</f>
        <v>Global Classroom</v>
      </c>
      <c r="V1592" s="43" t="str">
        <f>IFERROR(__xludf.DUMMYFUNCTION("""COMPUTED_VALUE"""),"-")</f>
        <v>-</v>
      </c>
      <c r="W1592" s="43" t="str">
        <f>IFERROR(__xludf.DUMMYFUNCTION("""COMPUTED_VALUE"""),"2023-11-17T13:54:56Z")</f>
        <v>2023-11-17T13:54:56Z</v>
      </c>
      <c r="X1592" s="43"/>
      <c r="Y1592" s="43"/>
      <c r="Z1592" s="43"/>
    </row>
    <row r="1593" hidden="1">
      <c r="A1593" s="43" t="str">
        <f>IFERROR(__xludf.DUMMYFUNCTION("""COMPUTED_VALUE"""),"5369941_1299041")</f>
        <v>5369941_1299041</v>
      </c>
      <c r="B1593" s="43" t="str">
        <f>IFERROR(__xludf.DUMMYFUNCTION("""COMPUTED_VALUE"""),"Azza jomni")</f>
        <v>Azza jomni</v>
      </c>
      <c r="C1593" s="43" t="str">
        <f>IFERROR(__xludf.DUMMYFUNCTION("""COMPUTED_VALUE"""),"approved")</f>
        <v>approved</v>
      </c>
      <c r="D1593" s="43" t="str">
        <f>IFERROR(__xludf.DUMMYFUNCTION("""COMPUTED_VALUE"""),"No")</f>
        <v>No</v>
      </c>
      <c r="E1593" s="43" t="str">
        <f>IFERROR(__xludf.DUMMYFUNCTION("""COMPUTED_VALUE"""),"p_138ea309879cdf6796bffb5536bad956f070b4fe@inbound.aiesec.org")</f>
        <v>p_138ea309879cdf6796bffb5536bad956f070b4fe@inbound.aiesec.org</v>
      </c>
      <c r="F1593" s="43"/>
      <c r="G1593" s="43" t="str">
        <f>IFERROR(__xludf.DUMMYFUNCTION("""COMPUTED_VALUE"""),"Tunisia")</f>
        <v>Tunisia</v>
      </c>
      <c r="H1593" s="43" t="str">
        <f>IFERROR(__xludf.DUMMYFUNCTION("""COMPUTED_VALUE"""),"BARDO")</f>
        <v>BARDO</v>
      </c>
      <c r="I1593" s="43" t="str">
        <f>IFERROR(__xludf.DUMMYFUNCTION("""COMPUTED_VALUE"""),"Turkey")</f>
        <v>Turkey</v>
      </c>
      <c r="J1593" s="43" t="str">
        <f>IFERROR(__xludf.DUMMYFUNCTION("""COMPUTED_VALUE"""),"ANTALYA")</f>
        <v>ANTALYA</v>
      </c>
      <c r="K1593" s="44" t="str">
        <f>IFERROR(__xludf.DUMMYFUNCTION("""COMPUTED_VALUE"""),"https://expa.aiesec.org/opportunities/1299041")</f>
        <v>https://expa.aiesec.org/opportunities/1299041</v>
      </c>
      <c r="L1593" s="43" t="str">
        <f>IFERROR(__xludf.DUMMYFUNCTION("""COMPUTED_VALUE"""),"GV")</f>
        <v>GV</v>
      </c>
      <c r="M1593" s="43" t="str">
        <f>IFERROR(__xludf.DUMMYFUNCTION("""COMPUTED_VALUE"""),"short")</f>
        <v>short</v>
      </c>
      <c r="N1593" s="45">
        <f>IFERROR(__xludf.DUMMYFUNCTION("""COMPUTED_VALUE"""),45247.0)</f>
        <v>45247</v>
      </c>
      <c r="O1593" s="45">
        <f>IFERROR(__xludf.DUMMYFUNCTION("""COMPUTED_VALUE"""),45446.0)</f>
        <v>45446</v>
      </c>
      <c r="P1593" s="45">
        <f>IFERROR(__xludf.DUMMYFUNCTION("""COMPUTED_VALUE"""),45488.0)</f>
        <v>45488</v>
      </c>
      <c r="Q1593" s="45"/>
      <c r="R1593" s="45"/>
      <c r="S1593" s="43"/>
      <c r="T1593" s="43"/>
      <c r="U1593" s="43" t="str">
        <f>IFERROR(__xludf.DUMMYFUNCTION("""COMPUTED_VALUE"""),"Fingerprint")</f>
        <v>Fingerprint</v>
      </c>
      <c r="V1593" s="43" t="str">
        <f>IFERROR(__xludf.DUMMYFUNCTION("""COMPUTED_VALUE"""),"-")</f>
        <v>-</v>
      </c>
      <c r="W1593" s="43" t="str">
        <f>IFERROR(__xludf.DUMMYFUNCTION("""COMPUTED_VALUE"""),"2023-11-09T18:58:49Z")</f>
        <v>2023-11-09T18:58:49Z</v>
      </c>
      <c r="X1593" s="43"/>
      <c r="Y1593" s="43"/>
      <c r="Z1593" s="43"/>
    </row>
    <row r="1594" hidden="1">
      <c r="A1594" s="43" t="str">
        <f>IFERROR(__xludf.DUMMYFUNCTION("""COMPUTED_VALUE"""),"5373658_1286326")</f>
        <v>5373658_1286326</v>
      </c>
      <c r="B1594" s="43" t="str">
        <f>IFERROR(__xludf.DUMMYFUNCTION("""COMPUTED_VALUE"""),"Mariia Babiak")</f>
        <v>Mariia Babiak</v>
      </c>
      <c r="C1594" s="43" t="str">
        <f>IFERROR(__xludf.DUMMYFUNCTION("""COMPUTED_VALUE"""),"approved")</f>
        <v>approved</v>
      </c>
      <c r="D1594" s="43" t="str">
        <f>IFERROR(__xludf.DUMMYFUNCTION("""COMPUTED_VALUE"""),"No")</f>
        <v>No</v>
      </c>
      <c r="E1594" s="43" t="str">
        <f>IFERROR(__xludf.DUMMYFUNCTION("""COMPUTED_VALUE"""),"p_0c590215da7cc5114ff82c97f752c557e1e8cee5@inbound.aiesec.org")</f>
        <v>p_0c590215da7cc5114ff82c97f752c557e1e8cee5@inbound.aiesec.org</v>
      </c>
      <c r="F1594" s="43">
        <f>IFERROR(__xludf.DUMMYFUNCTION("""COMPUTED_VALUE"""),9.91097275E8)</f>
        <v>991097275</v>
      </c>
      <c r="G1594" s="43" t="str">
        <f>IFERROR(__xludf.DUMMYFUNCTION("""COMPUTED_VALUE"""),"Ukraine")</f>
        <v>Ukraine</v>
      </c>
      <c r="H1594" s="43" t="str">
        <f>IFERROR(__xludf.DUMMYFUNCTION("""COMPUTED_VALUE"""),"KHARKIV")</f>
        <v>KHARKIV</v>
      </c>
      <c r="I1594" s="43" t="str">
        <f>IFERROR(__xludf.DUMMYFUNCTION("""COMPUTED_VALUE"""),"Turkey")</f>
        <v>Turkey</v>
      </c>
      <c r="J1594" s="43" t="str">
        <f>IFERROR(__xludf.DUMMYFUNCTION("""COMPUTED_VALUE"""),"ADANA")</f>
        <v>ADANA</v>
      </c>
      <c r="K1594" s="44" t="str">
        <f>IFERROR(__xludf.DUMMYFUNCTION("""COMPUTED_VALUE"""),"https://expa.aiesec.org/opportunities/1286326")</f>
        <v>https://expa.aiesec.org/opportunities/1286326</v>
      </c>
      <c r="L1594" s="43" t="str">
        <f>IFERROR(__xludf.DUMMYFUNCTION("""COMPUTED_VALUE"""),"GV")</f>
        <v>GV</v>
      </c>
      <c r="M1594" s="43" t="str">
        <f>IFERROR(__xludf.DUMMYFUNCTION("""COMPUTED_VALUE"""),"short")</f>
        <v>short</v>
      </c>
      <c r="N1594" s="45">
        <f>IFERROR(__xludf.DUMMYFUNCTION("""COMPUTED_VALUE"""),45247.0)</f>
        <v>45247</v>
      </c>
      <c r="O1594" s="45">
        <f>IFERROR(__xludf.DUMMYFUNCTION("""COMPUTED_VALUE"""),45453.0)</f>
        <v>45453</v>
      </c>
      <c r="P1594" s="45">
        <f>IFERROR(__xludf.DUMMYFUNCTION("""COMPUTED_VALUE"""),45495.0)</f>
        <v>45495</v>
      </c>
      <c r="Q1594" s="45"/>
      <c r="R1594" s="45"/>
      <c r="S1594" s="43"/>
      <c r="T1594" s="43"/>
      <c r="U1594" s="43" t="str">
        <f>IFERROR(__xludf.DUMMYFUNCTION("""COMPUTED_VALUE"""),"Equify")</f>
        <v>Equify</v>
      </c>
      <c r="V1594" s="43" t="str">
        <f>IFERROR(__xludf.DUMMYFUNCTION("""COMPUTED_VALUE"""),"Kharkiv")</f>
        <v>Kharkiv</v>
      </c>
      <c r="W1594" s="43" t="str">
        <f>IFERROR(__xludf.DUMMYFUNCTION("""COMPUTED_VALUE"""),"2023-11-16T19:39:21Z")</f>
        <v>2023-11-16T19:39:21Z</v>
      </c>
      <c r="X1594" s="43"/>
      <c r="Y1594" s="43"/>
      <c r="Z1594" s="43"/>
    </row>
    <row r="1595" hidden="1">
      <c r="A1595" s="43" t="str">
        <f>IFERROR(__xludf.DUMMYFUNCTION("""COMPUTED_VALUE"""),"5352731_1281010")</f>
        <v>5352731_1281010</v>
      </c>
      <c r="B1595" s="43" t="str">
        <f>IFERROR(__xludf.DUMMYFUNCTION("""COMPUTED_VALUE"""),"Catherine Pakhalok")</f>
        <v>Catherine Pakhalok</v>
      </c>
      <c r="C1595" s="43" t="str">
        <f>IFERROR(__xludf.DUMMYFUNCTION("""COMPUTED_VALUE"""),"approved")</f>
        <v>approved</v>
      </c>
      <c r="D1595" s="43" t="str">
        <f>IFERROR(__xludf.DUMMYFUNCTION("""COMPUTED_VALUE"""),"No")</f>
        <v>No</v>
      </c>
      <c r="E1595" s="43" t="str">
        <f>IFERROR(__xludf.DUMMYFUNCTION("""COMPUTED_VALUE"""),"p_a5377443297aa78823a4c054845dc428f1b6271b@inbound.aiesec.org")</f>
        <v>p_a5377443297aa78823a4c054845dc428f1b6271b@inbound.aiesec.org</v>
      </c>
      <c r="F1595" s="43">
        <f>IFERROR(__xludf.DUMMYFUNCTION("""COMPUTED_VALUE"""),9.3577885E8)</f>
        <v>935778850</v>
      </c>
      <c r="G1595" s="43" t="str">
        <f>IFERROR(__xludf.DUMMYFUNCTION("""COMPUTED_VALUE"""),"Ukraine")</f>
        <v>Ukraine</v>
      </c>
      <c r="H1595" s="43" t="str">
        <f>IFERROR(__xludf.DUMMYFUNCTION("""COMPUTED_VALUE"""),"KHARKIV")</f>
        <v>KHARKIV</v>
      </c>
      <c r="I1595" s="43" t="str">
        <f>IFERROR(__xludf.DUMMYFUNCTION("""COMPUTED_VALUE"""),"Turkey")</f>
        <v>Turkey</v>
      </c>
      <c r="J1595" s="43" t="str">
        <f>IFERROR(__xludf.DUMMYFUNCTION("""COMPUTED_VALUE"""),"KOCAELI")</f>
        <v>KOCAELI</v>
      </c>
      <c r="K1595" s="44" t="str">
        <f>IFERROR(__xludf.DUMMYFUNCTION("""COMPUTED_VALUE"""),"https://expa.aiesec.org/opportunities/1281010")</f>
        <v>https://expa.aiesec.org/opportunities/1281010</v>
      </c>
      <c r="L1595" s="43" t="str">
        <f>IFERROR(__xludf.DUMMYFUNCTION("""COMPUTED_VALUE"""),"GV")</f>
        <v>GV</v>
      </c>
      <c r="M1595" s="43" t="str">
        <f>IFERROR(__xludf.DUMMYFUNCTION("""COMPUTED_VALUE"""),"short")</f>
        <v>short</v>
      </c>
      <c r="N1595" s="45">
        <f>IFERROR(__xludf.DUMMYFUNCTION("""COMPUTED_VALUE"""),45247.0)</f>
        <v>45247</v>
      </c>
      <c r="O1595" s="45">
        <f>IFERROR(__xludf.DUMMYFUNCTION("""COMPUTED_VALUE"""),45466.0)</f>
        <v>45466</v>
      </c>
      <c r="P1595" s="45">
        <f>IFERROR(__xludf.DUMMYFUNCTION("""COMPUTED_VALUE"""),45508.0)</f>
        <v>45508</v>
      </c>
      <c r="Q1595" s="45"/>
      <c r="R1595" s="45"/>
      <c r="S1595" s="43"/>
      <c r="T1595" s="43"/>
      <c r="U1595" s="43" t="str">
        <f>IFERROR(__xludf.DUMMYFUNCTION("""COMPUTED_VALUE"""),"Global Classroom")</f>
        <v>Global Classroom</v>
      </c>
      <c r="V1595" s="43" t="str">
        <f>IFERROR(__xludf.DUMMYFUNCTION("""COMPUTED_VALUE"""),"Kharkiv")</f>
        <v>Kharkiv</v>
      </c>
      <c r="W1595" s="43" t="str">
        <f>IFERROR(__xludf.DUMMYFUNCTION("""COMPUTED_VALUE"""),"2023-10-16T10:59:00Z")</f>
        <v>2023-10-16T10:59:00Z</v>
      </c>
      <c r="X1595" s="43"/>
      <c r="Y1595" s="43"/>
      <c r="Z1595" s="43"/>
    </row>
    <row r="1596" hidden="1">
      <c r="A1596" s="43" t="str">
        <f>IFERROR(__xludf.DUMMYFUNCTION("""COMPUTED_VALUE"""),"5363497_1286034")</f>
        <v>5363497_1286034</v>
      </c>
      <c r="B1596" s="43" t="str">
        <f>IFERROR(__xludf.DUMMYFUNCTION("""COMPUTED_VALUE"""),"elyess kthiri")</f>
        <v>elyess kthiri</v>
      </c>
      <c r="C1596" s="43" t="str">
        <f>IFERROR(__xludf.DUMMYFUNCTION("""COMPUTED_VALUE"""),"approved")</f>
        <v>approved</v>
      </c>
      <c r="D1596" s="43" t="str">
        <f>IFERROR(__xludf.DUMMYFUNCTION("""COMPUTED_VALUE"""),"No")</f>
        <v>No</v>
      </c>
      <c r="E1596" s="43" t="str">
        <f>IFERROR(__xludf.DUMMYFUNCTION("""COMPUTED_VALUE"""),"p_08907d1c214c220e3d62416728de8e1729fe93c4@inbound.aiesec.org")</f>
        <v>p_08907d1c214c220e3d62416728de8e1729fe93c4@inbound.aiesec.org</v>
      </c>
      <c r="F1596" s="43">
        <f>IFERROR(__xludf.DUMMYFUNCTION("""COMPUTED_VALUE"""),2.1011055E7)</f>
        <v>21011055</v>
      </c>
      <c r="G1596" s="43" t="str">
        <f>IFERROR(__xludf.DUMMYFUNCTION("""COMPUTED_VALUE"""),"Tunisia")</f>
        <v>Tunisia</v>
      </c>
      <c r="H1596" s="43" t="str">
        <f>IFERROR(__xludf.DUMMYFUNCTION("""COMPUTED_VALUE"""),"UNIVERSITY")</f>
        <v>UNIVERSITY</v>
      </c>
      <c r="I1596" s="43" t="str">
        <f>IFERROR(__xludf.DUMMYFUNCTION("""COMPUTED_VALUE"""),"Turkey")</f>
        <v>Turkey</v>
      </c>
      <c r="J1596" s="43" t="str">
        <f>IFERROR(__xludf.DUMMYFUNCTION("""COMPUTED_VALUE"""),"ANTALYA")</f>
        <v>ANTALYA</v>
      </c>
      <c r="K1596" s="44" t="str">
        <f>IFERROR(__xludf.DUMMYFUNCTION("""COMPUTED_VALUE"""),"https://expa.aiesec.org/opportunities/1286034")</f>
        <v>https://expa.aiesec.org/opportunities/1286034</v>
      </c>
      <c r="L1596" s="43" t="str">
        <f>IFERROR(__xludf.DUMMYFUNCTION("""COMPUTED_VALUE"""),"GV")</f>
        <v>GV</v>
      </c>
      <c r="M1596" s="43" t="str">
        <f>IFERROR(__xludf.DUMMYFUNCTION("""COMPUTED_VALUE"""),"short")</f>
        <v>short</v>
      </c>
      <c r="N1596" s="45">
        <f>IFERROR(__xludf.DUMMYFUNCTION("""COMPUTED_VALUE"""),45247.0)</f>
        <v>45247</v>
      </c>
      <c r="O1596" s="45">
        <f>IFERROR(__xludf.DUMMYFUNCTION("""COMPUTED_VALUE"""),45474.0)</f>
        <v>45474</v>
      </c>
      <c r="P1596" s="45">
        <f>IFERROR(__xludf.DUMMYFUNCTION("""COMPUTED_VALUE"""),45516.0)</f>
        <v>45516</v>
      </c>
      <c r="Q1596" s="45"/>
      <c r="R1596" s="45"/>
      <c r="S1596" s="43"/>
      <c r="T1596" s="43"/>
      <c r="U1596" s="43" t="str">
        <f>IFERROR(__xludf.DUMMYFUNCTION("""COMPUTED_VALUE"""),"Global Classroom")</f>
        <v>Global Classroom</v>
      </c>
      <c r="V1596" s="43" t="str">
        <f>IFERROR(__xludf.DUMMYFUNCTION("""COMPUTED_VALUE"""),"FST")</f>
        <v>FST</v>
      </c>
      <c r="W1596" s="43" t="str">
        <f>IFERROR(__xludf.DUMMYFUNCTION("""COMPUTED_VALUE"""),"2023-10-30T15:16:30Z")</f>
        <v>2023-10-30T15:16:30Z</v>
      </c>
      <c r="X1596" s="43"/>
      <c r="Y1596" s="43"/>
      <c r="Z1596" s="43"/>
    </row>
    <row r="1597" hidden="1">
      <c r="A1597" s="43" t="str">
        <f>IFERROR(__xludf.DUMMYFUNCTION("""COMPUTED_VALUE"""),"5364739_1286034")</f>
        <v>5364739_1286034</v>
      </c>
      <c r="B1597" s="43" t="str">
        <f>IFERROR(__xludf.DUMMYFUNCTION("""COMPUTED_VALUE"""),"Fkiri Hatem")</f>
        <v>Fkiri Hatem</v>
      </c>
      <c r="C1597" s="43" t="str">
        <f>IFERROR(__xludf.DUMMYFUNCTION("""COMPUTED_VALUE"""),"approved")</f>
        <v>approved</v>
      </c>
      <c r="D1597" s="43" t="str">
        <f>IFERROR(__xludf.DUMMYFUNCTION("""COMPUTED_VALUE"""),"No")</f>
        <v>No</v>
      </c>
      <c r="E1597" s="43" t="str">
        <f>IFERROR(__xludf.DUMMYFUNCTION("""COMPUTED_VALUE"""),"p_36c28ed179d82039fef339bd85d1f85e2b27862b@inbound.aiesec.org")</f>
        <v>p_36c28ed179d82039fef339bd85d1f85e2b27862b@inbound.aiesec.org</v>
      </c>
      <c r="F1597" s="43">
        <f>IFERROR(__xludf.DUMMYFUNCTION("""COMPUTED_VALUE"""),9.5643998E7)</f>
        <v>95643998</v>
      </c>
      <c r="G1597" s="43" t="str">
        <f>IFERROR(__xludf.DUMMYFUNCTION("""COMPUTED_VALUE"""),"Tunisia")</f>
        <v>Tunisia</v>
      </c>
      <c r="H1597" s="43" t="str">
        <f>IFERROR(__xludf.DUMMYFUNCTION("""COMPUTED_VALUE"""),"UNIVERSITY")</f>
        <v>UNIVERSITY</v>
      </c>
      <c r="I1597" s="43" t="str">
        <f>IFERROR(__xludf.DUMMYFUNCTION("""COMPUTED_VALUE"""),"Turkey")</f>
        <v>Turkey</v>
      </c>
      <c r="J1597" s="43" t="str">
        <f>IFERROR(__xludf.DUMMYFUNCTION("""COMPUTED_VALUE"""),"ANTALYA")</f>
        <v>ANTALYA</v>
      </c>
      <c r="K1597" s="44" t="str">
        <f>IFERROR(__xludf.DUMMYFUNCTION("""COMPUTED_VALUE"""),"https://expa.aiesec.org/opportunities/1286034")</f>
        <v>https://expa.aiesec.org/opportunities/1286034</v>
      </c>
      <c r="L1597" s="43" t="str">
        <f>IFERROR(__xludf.DUMMYFUNCTION("""COMPUTED_VALUE"""),"GV")</f>
        <v>GV</v>
      </c>
      <c r="M1597" s="43" t="str">
        <f>IFERROR(__xludf.DUMMYFUNCTION("""COMPUTED_VALUE"""),"short")</f>
        <v>short</v>
      </c>
      <c r="N1597" s="45">
        <f>IFERROR(__xludf.DUMMYFUNCTION("""COMPUTED_VALUE"""),45247.0)</f>
        <v>45247</v>
      </c>
      <c r="O1597" s="45">
        <f>IFERROR(__xludf.DUMMYFUNCTION("""COMPUTED_VALUE"""),45474.0)</f>
        <v>45474</v>
      </c>
      <c r="P1597" s="45">
        <f>IFERROR(__xludf.DUMMYFUNCTION("""COMPUTED_VALUE"""),45516.0)</f>
        <v>45516</v>
      </c>
      <c r="Q1597" s="45"/>
      <c r="R1597" s="45"/>
      <c r="S1597" s="43"/>
      <c r="T1597" s="43"/>
      <c r="U1597" s="43" t="str">
        <f>IFERROR(__xludf.DUMMYFUNCTION("""COMPUTED_VALUE"""),"Global Classroom")</f>
        <v>Global Classroom</v>
      </c>
      <c r="V1597" s="43" t="str">
        <f>IFERROR(__xludf.DUMMYFUNCTION("""COMPUTED_VALUE"""),"FST")</f>
        <v>FST</v>
      </c>
      <c r="W1597" s="43" t="str">
        <f>IFERROR(__xludf.DUMMYFUNCTION("""COMPUTED_VALUE"""),"2023-11-01T09:00:43Z")</f>
        <v>2023-11-01T09:00:43Z</v>
      </c>
      <c r="X1597" s="43"/>
      <c r="Y1597" s="43"/>
      <c r="Z1597" s="43"/>
    </row>
    <row r="1598" hidden="1">
      <c r="A1598" s="43" t="str">
        <f>IFERROR(__xludf.DUMMYFUNCTION("""COMPUTED_VALUE"""),"5374652_1299041")</f>
        <v>5374652_1299041</v>
      </c>
      <c r="B1598" s="43" t="str">
        <f>IFERROR(__xludf.DUMMYFUNCTION("""COMPUTED_VALUE"""),"Viktoriia Danyuk")</f>
        <v>Viktoriia Danyuk</v>
      </c>
      <c r="C1598" s="43" t="str">
        <f>IFERROR(__xludf.DUMMYFUNCTION("""COMPUTED_VALUE"""),"approved")</f>
        <v>approved</v>
      </c>
      <c r="D1598" s="43" t="str">
        <f>IFERROR(__xludf.DUMMYFUNCTION("""COMPUTED_VALUE"""),"No")</f>
        <v>No</v>
      </c>
      <c r="E1598" s="43" t="str">
        <f>IFERROR(__xludf.DUMMYFUNCTION("""COMPUTED_VALUE"""),"p_b2376f02f36a047d42230768d242c8cbc77ace45@inbound.aiesec.org")</f>
        <v>p_b2376f02f36a047d42230768d242c8cbc77ace45@inbound.aiesec.org</v>
      </c>
      <c r="F1598" s="43">
        <f>IFERROR(__xludf.DUMMYFUNCTION("""COMPUTED_VALUE"""),6.82433908E8)</f>
        <v>682433908</v>
      </c>
      <c r="G1598" s="43" t="str">
        <f>IFERROR(__xludf.DUMMYFUNCTION("""COMPUTED_VALUE"""),"Ukraine")</f>
        <v>Ukraine</v>
      </c>
      <c r="H1598" s="43" t="str">
        <f>IFERROR(__xludf.DUMMYFUNCTION("""COMPUTED_VALUE"""),"IVANO-FRANKIVSK")</f>
        <v>IVANO-FRANKIVSK</v>
      </c>
      <c r="I1598" s="43" t="str">
        <f>IFERROR(__xludf.DUMMYFUNCTION("""COMPUTED_VALUE"""),"Turkey")</f>
        <v>Turkey</v>
      </c>
      <c r="J1598" s="43" t="str">
        <f>IFERROR(__xludf.DUMMYFUNCTION("""COMPUTED_VALUE"""),"ANTALYA")</f>
        <v>ANTALYA</v>
      </c>
      <c r="K1598" s="44" t="str">
        <f>IFERROR(__xludf.DUMMYFUNCTION("""COMPUTED_VALUE"""),"https://expa.aiesec.org/opportunities/1299041")</f>
        <v>https://expa.aiesec.org/opportunities/1299041</v>
      </c>
      <c r="L1598" s="43" t="str">
        <f>IFERROR(__xludf.DUMMYFUNCTION("""COMPUTED_VALUE"""),"GV")</f>
        <v>GV</v>
      </c>
      <c r="M1598" s="43" t="str">
        <f>IFERROR(__xludf.DUMMYFUNCTION("""COMPUTED_VALUE"""),"short")</f>
        <v>short</v>
      </c>
      <c r="N1598" s="45">
        <f>IFERROR(__xludf.DUMMYFUNCTION("""COMPUTED_VALUE"""),45247.0)</f>
        <v>45247</v>
      </c>
      <c r="O1598" s="45">
        <f>IFERROR(__xludf.DUMMYFUNCTION("""COMPUTED_VALUE"""),45446.0)</f>
        <v>45446</v>
      </c>
      <c r="P1598" s="45">
        <f>IFERROR(__xludf.DUMMYFUNCTION("""COMPUTED_VALUE"""),45488.0)</f>
        <v>45488</v>
      </c>
      <c r="Q1598" s="45"/>
      <c r="R1598" s="45"/>
      <c r="S1598" s="43"/>
      <c r="T1598" s="43"/>
      <c r="U1598" s="43" t="str">
        <f>IFERROR(__xludf.DUMMYFUNCTION("""COMPUTED_VALUE"""),"Fingerprint")</f>
        <v>Fingerprint</v>
      </c>
      <c r="V1598" s="43" t="str">
        <f>IFERROR(__xludf.DUMMYFUNCTION("""COMPUTED_VALUE"""),"Ivano-Frankivsk")</f>
        <v>Ivano-Frankivsk</v>
      </c>
      <c r="W1598" s="43" t="str">
        <f>IFERROR(__xludf.DUMMYFUNCTION("""COMPUTED_VALUE"""),"2023-11-17T19:31:31Z")</f>
        <v>2023-11-17T19:31:31Z</v>
      </c>
      <c r="X1598" s="43"/>
      <c r="Y1598" s="43"/>
      <c r="Z1598" s="43"/>
    </row>
    <row r="1599" hidden="1">
      <c r="A1599" s="43" t="str">
        <f>IFERROR(__xludf.DUMMYFUNCTION("""COMPUTED_VALUE"""),"5374661_1294584")</f>
        <v>5374661_1294584</v>
      </c>
      <c r="B1599" s="43" t="str">
        <f>IFERROR(__xludf.DUMMYFUNCTION("""COMPUTED_VALUE"""),"Stasiuk Sofia")</f>
        <v>Stasiuk Sofia</v>
      </c>
      <c r="C1599" s="43" t="str">
        <f>IFERROR(__xludf.DUMMYFUNCTION("""COMPUTED_VALUE"""),"approved")</f>
        <v>approved</v>
      </c>
      <c r="D1599" s="43" t="str">
        <f>IFERROR(__xludf.DUMMYFUNCTION("""COMPUTED_VALUE"""),"No")</f>
        <v>No</v>
      </c>
      <c r="E1599" s="43" t="str">
        <f>IFERROR(__xludf.DUMMYFUNCTION("""COMPUTED_VALUE"""),"p_3a7731e0cfcc8ca213e78c86d28df78a7c0ca1ae@inbound.aiesec.org")</f>
        <v>p_3a7731e0cfcc8ca213e78c86d28df78a7c0ca1ae@inbound.aiesec.org</v>
      </c>
      <c r="F1599" s="43"/>
      <c r="G1599" s="43" t="str">
        <f>IFERROR(__xludf.DUMMYFUNCTION("""COMPUTED_VALUE"""),"Ukraine")</f>
        <v>Ukraine</v>
      </c>
      <c r="H1599" s="43" t="str">
        <f>IFERROR(__xludf.DUMMYFUNCTION("""COMPUTED_VALUE"""),"LVIV")</f>
        <v>LVIV</v>
      </c>
      <c r="I1599" s="43" t="str">
        <f>IFERROR(__xludf.DUMMYFUNCTION("""COMPUTED_VALUE"""),"Turkey")</f>
        <v>Turkey</v>
      </c>
      <c r="J1599" s="43" t="str">
        <f>IFERROR(__xludf.DUMMYFUNCTION("""COMPUTED_VALUE"""),"ANTALYA")</f>
        <v>ANTALYA</v>
      </c>
      <c r="K1599" s="44" t="str">
        <f>IFERROR(__xludf.DUMMYFUNCTION("""COMPUTED_VALUE"""),"https://expa.aiesec.org/opportunities/1294584")</f>
        <v>https://expa.aiesec.org/opportunities/1294584</v>
      </c>
      <c r="L1599" s="43" t="str">
        <f>IFERROR(__xludf.DUMMYFUNCTION("""COMPUTED_VALUE"""),"GV")</f>
        <v>GV</v>
      </c>
      <c r="M1599" s="43" t="str">
        <f>IFERROR(__xludf.DUMMYFUNCTION("""COMPUTED_VALUE"""),"short")</f>
        <v>short</v>
      </c>
      <c r="N1599" s="45">
        <f>IFERROR(__xludf.DUMMYFUNCTION("""COMPUTED_VALUE"""),45247.0)</f>
        <v>45247</v>
      </c>
      <c r="O1599" s="45">
        <f>IFERROR(__xludf.DUMMYFUNCTION("""COMPUTED_VALUE"""),45299.0)</f>
        <v>45299</v>
      </c>
      <c r="P1599" s="45">
        <f>IFERROR(__xludf.DUMMYFUNCTION("""COMPUTED_VALUE"""),45341.0)</f>
        <v>45341</v>
      </c>
      <c r="Q1599" s="45"/>
      <c r="R1599" s="45"/>
      <c r="S1599" s="43"/>
      <c r="T1599" s="43"/>
      <c r="U1599" s="43" t="str">
        <f>IFERROR(__xludf.DUMMYFUNCTION("""COMPUTED_VALUE"""),"Youth 4 Impact")</f>
        <v>Youth 4 Impact</v>
      </c>
      <c r="V1599" s="43" t="str">
        <f>IFERROR(__xludf.DUMMYFUNCTION("""COMPUTED_VALUE"""),"-")</f>
        <v>-</v>
      </c>
      <c r="W1599" s="43" t="str">
        <f>IFERROR(__xludf.DUMMYFUNCTION("""COMPUTED_VALUE"""),"2023-11-17T19:50:04Z")</f>
        <v>2023-11-17T19:50:04Z</v>
      </c>
      <c r="X1599" s="43"/>
      <c r="Y1599" s="43"/>
      <c r="Z1599" s="43"/>
    </row>
    <row r="1600" hidden="1">
      <c r="A1600" s="43" t="str">
        <f>IFERROR(__xludf.DUMMYFUNCTION("""COMPUTED_VALUE"""),"4410993_1280973")</f>
        <v>4410993_1280973</v>
      </c>
      <c r="B1600" s="43" t="str">
        <f>IFERROR(__xludf.DUMMYFUNCTION("""COMPUTED_VALUE"""),"Kateryna Mudra")</f>
        <v>Kateryna Mudra</v>
      </c>
      <c r="C1600" s="43" t="str">
        <f>IFERROR(__xludf.DUMMYFUNCTION("""COMPUTED_VALUE"""),"approved")</f>
        <v>approved</v>
      </c>
      <c r="D1600" s="43" t="str">
        <f>IFERROR(__xludf.DUMMYFUNCTION("""COMPUTED_VALUE"""),"No")</f>
        <v>No</v>
      </c>
      <c r="E1600" s="43" t="str">
        <f>IFERROR(__xludf.DUMMYFUNCTION("""COMPUTED_VALUE"""),"p_cc24f6d58fce1bc36a414c358bd6b1310dcf1264@inbound.aiesec.org")</f>
        <v>p_cc24f6d58fce1bc36a414c358bd6b1310dcf1264@inbound.aiesec.org</v>
      </c>
      <c r="F1600" s="43"/>
      <c r="G1600" s="43" t="str">
        <f>IFERROR(__xludf.DUMMYFUNCTION("""COMPUTED_VALUE"""),"Poland")</f>
        <v>Poland</v>
      </c>
      <c r="H1600" s="43" t="str">
        <f>IFERROR(__xludf.DUMMYFUNCTION("""COMPUTED_VALUE"""),"LUBLIN UMCS")</f>
        <v>LUBLIN UMCS</v>
      </c>
      <c r="I1600" s="43" t="str">
        <f>IFERROR(__xludf.DUMMYFUNCTION("""COMPUTED_VALUE"""),"Turkey")</f>
        <v>Turkey</v>
      </c>
      <c r="J1600" s="43" t="str">
        <f>IFERROR(__xludf.DUMMYFUNCTION("""COMPUTED_VALUE"""),"KOCAELI")</f>
        <v>KOCAELI</v>
      </c>
      <c r="K1600" s="44" t="str">
        <f>IFERROR(__xludf.DUMMYFUNCTION("""COMPUTED_VALUE"""),"https://expa.aiesec.org/opportunities/1280973")</f>
        <v>https://expa.aiesec.org/opportunities/1280973</v>
      </c>
      <c r="L1600" s="43" t="str">
        <f>IFERROR(__xludf.DUMMYFUNCTION("""COMPUTED_VALUE"""),"GV")</f>
        <v>GV</v>
      </c>
      <c r="M1600" s="43" t="str">
        <f>IFERROR(__xludf.DUMMYFUNCTION("""COMPUTED_VALUE"""),"short")</f>
        <v>short</v>
      </c>
      <c r="N1600" s="45">
        <f>IFERROR(__xludf.DUMMYFUNCTION("""COMPUTED_VALUE"""),45247.0)</f>
        <v>45247</v>
      </c>
      <c r="O1600" s="45">
        <f>IFERROR(__xludf.DUMMYFUNCTION("""COMPUTED_VALUE"""),45334.0)</f>
        <v>45334</v>
      </c>
      <c r="P1600" s="45">
        <f>IFERROR(__xludf.DUMMYFUNCTION("""COMPUTED_VALUE"""),45376.0)</f>
        <v>45376</v>
      </c>
      <c r="Q1600" s="45"/>
      <c r="R1600" s="45"/>
      <c r="S1600" s="43"/>
      <c r="T1600" s="43"/>
      <c r="U1600" s="43" t="str">
        <f>IFERROR(__xludf.DUMMYFUNCTION("""COMPUTED_VALUE"""),"Global Classroom")</f>
        <v>Global Classroom</v>
      </c>
      <c r="V1600" s="43" t="str">
        <f>IFERROR(__xludf.DUMMYFUNCTION("""COMPUTED_VALUE"""),"-")</f>
        <v>-</v>
      </c>
      <c r="W1600" s="43" t="str">
        <f>IFERROR(__xludf.DUMMYFUNCTION("""COMPUTED_VALUE"""),"2020-10-30T17:14:56Z")</f>
        <v>2020-10-30T17:14:56Z</v>
      </c>
      <c r="X1600" s="43"/>
      <c r="Y1600" s="43"/>
      <c r="Z1600" s="43"/>
    </row>
    <row r="1601" hidden="1">
      <c r="A1601" s="43" t="str">
        <f>IFERROR(__xludf.DUMMYFUNCTION("""COMPUTED_VALUE"""),"5357511_1299474")</f>
        <v>5357511_1299474</v>
      </c>
      <c r="B1601" s="43" t="str">
        <f>IFERROR(__xludf.DUMMYFUNCTION("""COMPUTED_VALUE"""),"Sabeen Sikander")</f>
        <v>Sabeen Sikander</v>
      </c>
      <c r="C1601" s="43" t="str">
        <f>IFERROR(__xludf.DUMMYFUNCTION("""COMPUTED_VALUE"""),"realized")</f>
        <v>realized</v>
      </c>
      <c r="D1601" s="43" t="str">
        <f>IFERROR(__xludf.DUMMYFUNCTION("""COMPUTED_VALUE"""),"No")</f>
        <v>No</v>
      </c>
      <c r="E1601" s="43" t="str">
        <f>IFERROR(__xludf.DUMMYFUNCTION("""COMPUTED_VALUE"""),"p_d73b67ef0a322a216003605b651ca686545343ed@inbound.aiesec.org")</f>
        <v>p_d73b67ef0a322a216003605b651ca686545343ed@inbound.aiesec.org</v>
      </c>
      <c r="F1601" s="43">
        <f>IFERROR(__xludf.DUMMYFUNCTION("""COMPUTED_VALUE"""),3.314407786E9)</f>
        <v>3314407786</v>
      </c>
      <c r="G1601" s="43" t="str">
        <f>IFERROR(__xludf.DUMMYFUNCTION("""COMPUTED_VALUE"""),"Pakistan")</f>
        <v>Pakistan</v>
      </c>
      <c r="H1601" s="43" t="str">
        <f>IFERROR(__xludf.DUMMYFUNCTION("""COMPUTED_VALUE"""),"Karachi")</f>
        <v>Karachi</v>
      </c>
      <c r="I1601" s="43" t="str">
        <f>IFERROR(__xludf.DUMMYFUNCTION("""COMPUTED_VALUE"""),"Turkey")</f>
        <v>Turkey</v>
      </c>
      <c r="J1601" s="43" t="str">
        <f>IFERROR(__xludf.DUMMYFUNCTION("""COMPUTED_VALUE"""),"ANKARA")</f>
        <v>ANKARA</v>
      </c>
      <c r="K1601" s="44" t="str">
        <f>IFERROR(__xludf.DUMMYFUNCTION("""COMPUTED_VALUE"""),"https://expa.aiesec.org/opportunities/1299474")</f>
        <v>https://expa.aiesec.org/opportunities/1299474</v>
      </c>
      <c r="L1601" s="43" t="str">
        <f>IFERROR(__xludf.DUMMYFUNCTION("""COMPUTED_VALUE"""),"GV")</f>
        <v>GV</v>
      </c>
      <c r="M1601" s="43" t="str">
        <f>IFERROR(__xludf.DUMMYFUNCTION("""COMPUTED_VALUE"""),"short")</f>
        <v>short</v>
      </c>
      <c r="N1601" s="45">
        <f>IFERROR(__xludf.DUMMYFUNCTION("""COMPUTED_VALUE"""),45248.0)</f>
        <v>45248</v>
      </c>
      <c r="O1601" s="45">
        <f>IFERROR(__xludf.DUMMYFUNCTION("""COMPUTED_VALUE"""),45285.0)</f>
        <v>45285</v>
      </c>
      <c r="P1601" s="45">
        <f>IFERROR(__xludf.DUMMYFUNCTION("""COMPUTED_VALUE"""),45327.0)</f>
        <v>45327</v>
      </c>
      <c r="Q1601" s="45">
        <f>IFERROR(__xludf.DUMMYFUNCTION("""COMPUTED_VALUE"""),45285.0)</f>
        <v>45285</v>
      </c>
      <c r="R1601" s="45">
        <f>IFERROR(__xludf.DUMMYFUNCTION("""COMPUTED_VALUE"""),45327.0)</f>
        <v>45327</v>
      </c>
      <c r="S1601" s="43"/>
      <c r="T1601" s="43"/>
      <c r="U1601" s="43" t="str">
        <f>IFERROR(__xludf.DUMMYFUNCTION("""COMPUTED_VALUE"""),"Global Classroom")</f>
        <v>Global Classroom</v>
      </c>
      <c r="V1601" s="43" t="str">
        <f>IFERROR(__xludf.DUMMYFUNCTION("""COMPUTED_VALUE"""),"Karachi - Other")</f>
        <v>Karachi - Other</v>
      </c>
      <c r="W1601" s="43" t="str">
        <f>IFERROR(__xludf.DUMMYFUNCTION("""COMPUTED_VALUE"""),"2023-10-23T06:25:21Z")</f>
        <v>2023-10-23T06:25:21Z</v>
      </c>
      <c r="X1601" s="43"/>
      <c r="Y1601" s="43"/>
      <c r="Z1601" s="43"/>
    </row>
    <row r="1602" hidden="1">
      <c r="A1602" s="43" t="str">
        <f>IFERROR(__xludf.DUMMYFUNCTION("""COMPUTED_VALUE"""),"5372373_1286034")</f>
        <v>5372373_1286034</v>
      </c>
      <c r="B1602" s="43" t="str">
        <f>IFERROR(__xludf.DUMMYFUNCTION("""COMPUTED_VALUE"""),"Nicoleta Mihalcea")</f>
        <v>Nicoleta Mihalcea</v>
      </c>
      <c r="C1602" s="43" t="str">
        <f>IFERROR(__xludf.DUMMYFUNCTION("""COMPUTED_VALUE"""),"approved")</f>
        <v>approved</v>
      </c>
      <c r="D1602" s="43" t="str">
        <f>IFERROR(__xludf.DUMMYFUNCTION("""COMPUTED_VALUE"""),"No")</f>
        <v>No</v>
      </c>
      <c r="E1602" s="43" t="str">
        <f>IFERROR(__xludf.DUMMYFUNCTION("""COMPUTED_VALUE"""),"p_a93bcb4dd0b3ba15ee942caacfc7b7f0033ee48e@inbound.aiesec.org")</f>
        <v>p_a93bcb4dd0b3ba15ee942caacfc7b7f0033ee48e@inbound.aiesec.org</v>
      </c>
      <c r="F1602" s="43">
        <f>IFERROR(__xludf.DUMMYFUNCTION("""COMPUTED_VALUE"""),7.72221875E8)</f>
        <v>772221875</v>
      </c>
      <c r="G1602" s="43" t="str">
        <f>IFERROR(__xludf.DUMMYFUNCTION("""COMPUTED_VALUE"""),"Romania")</f>
        <v>Romania</v>
      </c>
      <c r="H1602" s="43" t="str">
        <f>IFERROR(__xludf.DUMMYFUNCTION("""COMPUTED_VALUE"""),"Cluj-Napoca")</f>
        <v>Cluj-Napoca</v>
      </c>
      <c r="I1602" s="43" t="str">
        <f>IFERROR(__xludf.DUMMYFUNCTION("""COMPUTED_VALUE"""),"Turkey")</f>
        <v>Turkey</v>
      </c>
      <c r="J1602" s="43" t="str">
        <f>IFERROR(__xludf.DUMMYFUNCTION("""COMPUTED_VALUE"""),"ANTALYA")</f>
        <v>ANTALYA</v>
      </c>
      <c r="K1602" s="44" t="str">
        <f>IFERROR(__xludf.DUMMYFUNCTION("""COMPUTED_VALUE"""),"https://expa.aiesec.org/opportunities/1286034")</f>
        <v>https://expa.aiesec.org/opportunities/1286034</v>
      </c>
      <c r="L1602" s="43" t="str">
        <f>IFERROR(__xludf.DUMMYFUNCTION("""COMPUTED_VALUE"""),"GV")</f>
        <v>GV</v>
      </c>
      <c r="M1602" s="43" t="str">
        <f>IFERROR(__xludf.DUMMYFUNCTION("""COMPUTED_VALUE"""),"short")</f>
        <v>short</v>
      </c>
      <c r="N1602" s="45">
        <f>IFERROR(__xludf.DUMMYFUNCTION("""COMPUTED_VALUE"""),45248.0)</f>
        <v>45248</v>
      </c>
      <c r="O1602" s="45">
        <f>IFERROR(__xludf.DUMMYFUNCTION("""COMPUTED_VALUE"""),45474.0)</f>
        <v>45474</v>
      </c>
      <c r="P1602" s="45">
        <f>IFERROR(__xludf.DUMMYFUNCTION("""COMPUTED_VALUE"""),45516.0)</f>
        <v>45516</v>
      </c>
      <c r="Q1602" s="45"/>
      <c r="R1602" s="45"/>
      <c r="S1602" s="43"/>
      <c r="T1602" s="43"/>
      <c r="U1602" s="43" t="str">
        <f>IFERROR(__xludf.DUMMYFUNCTION("""COMPUTED_VALUE"""),"Global Classroom")</f>
        <v>Global Classroom</v>
      </c>
      <c r="V1602" s="43" t="str">
        <f>IFERROR(__xludf.DUMMYFUNCTION("""COMPUTED_VALUE"""),"Cluj-Napoca")</f>
        <v>Cluj-Napoca</v>
      </c>
      <c r="W1602" s="43" t="str">
        <f>IFERROR(__xludf.DUMMYFUNCTION("""COMPUTED_VALUE"""),"2023-11-14T15:18:08Z")</f>
        <v>2023-11-14T15:18:08Z</v>
      </c>
      <c r="X1602" s="43"/>
      <c r="Y1602" s="43"/>
      <c r="Z1602" s="43"/>
    </row>
    <row r="1603" hidden="1">
      <c r="A1603" s="43" t="str">
        <f>IFERROR(__xludf.DUMMYFUNCTION("""COMPUTED_VALUE"""),"5373683_1291881")</f>
        <v>5373683_1291881</v>
      </c>
      <c r="B1603" s="43" t="str">
        <f>IFERROR(__xludf.DUMMYFUNCTION("""COMPUTED_VALUE"""),"Farah Tarek")</f>
        <v>Farah Tarek</v>
      </c>
      <c r="C1603" s="43" t="str">
        <f>IFERROR(__xludf.DUMMYFUNCTION("""COMPUTED_VALUE"""),"approved")</f>
        <v>approved</v>
      </c>
      <c r="D1603" s="43" t="str">
        <f>IFERROR(__xludf.DUMMYFUNCTION("""COMPUTED_VALUE"""),"No")</f>
        <v>No</v>
      </c>
      <c r="E1603" s="43" t="str">
        <f>IFERROR(__xludf.DUMMYFUNCTION("""COMPUTED_VALUE"""),"p_868109dff0f5fd52713bce07362fe21b84d1ca0b@inbound.aiesec.org")</f>
        <v>p_868109dff0f5fd52713bce07362fe21b84d1ca0b@inbound.aiesec.org</v>
      </c>
      <c r="F1603" s="43">
        <f>IFERROR(__xludf.DUMMYFUNCTION("""COMPUTED_VALUE"""),1.006096936E9)</f>
        <v>1006096936</v>
      </c>
      <c r="G1603" s="43" t="str">
        <f>IFERROR(__xludf.DUMMYFUNCTION("""COMPUTED_VALUE"""),"Egypt")</f>
        <v>Egypt</v>
      </c>
      <c r="H1603" s="43" t="str">
        <f>IFERROR(__xludf.DUMMYFUNCTION("""COMPUTED_VALUE"""),"MIU")</f>
        <v>MIU</v>
      </c>
      <c r="I1603" s="43" t="str">
        <f>IFERROR(__xludf.DUMMYFUNCTION("""COMPUTED_VALUE"""),"Turkey")</f>
        <v>Turkey</v>
      </c>
      <c r="J1603" s="43" t="str">
        <f>IFERROR(__xludf.DUMMYFUNCTION("""COMPUTED_VALUE"""),"SAKARYA")</f>
        <v>SAKARYA</v>
      </c>
      <c r="K1603" s="44" t="str">
        <f>IFERROR(__xludf.DUMMYFUNCTION("""COMPUTED_VALUE"""),"https://expa.aiesec.org/opportunities/1291881")</f>
        <v>https://expa.aiesec.org/opportunities/1291881</v>
      </c>
      <c r="L1603" s="43" t="str">
        <f>IFERROR(__xludf.DUMMYFUNCTION("""COMPUTED_VALUE"""),"GV")</f>
        <v>GV</v>
      </c>
      <c r="M1603" s="43" t="str">
        <f>IFERROR(__xludf.DUMMYFUNCTION("""COMPUTED_VALUE"""),"short")</f>
        <v>short</v>
      </c>
      <c r="N1603" s="45">
        <f>IFERROR(__xludf.DUMMYFUNCTION("""COMPUTED_VALUE"""),45248.0)</f>
        <v>45248</v>
      </c>
      <c r="O1603" s="45">
        <f>IFERROR(__xludf.DUMMYFUNCTION("""COMPUTED_VALUE"""),45509.0)</f>
        <v>45509</v>
      </c>
      <c r="P1603" s="45">
        <f>IFERROR(__xludf.DUMMYFUNCTION("""COMPUTED_VALUE"""),45551.0)</f>
        <v>45551</v>
      </c>
      <c r="Q1603" s="45"/>
      <c r="R1603" s="45"/>
      <c r="S1603" s="43"/>
      <c r="T1603" s="43"/>
      <c r="U1603" s="43" t="str">
        <f>IFERROR(__xludf.DUMMYFUNCTION("""COMPUTED_VALUE"""),"Youth 4 Impact")</f>
        <v>Youth 4 Impact</v>
      </c>
      <c r="V1603" s="43" t="str">
        <f>IFERROR(__xludf.DUMMYFUNCTION("""COMPUTED_VALUE"""),"MIU University")</f>
        <v>MIU University</v>
      </c>
      <c r="W1603" s="43" t="str">
        <f>IFERROR(__xludf.DUMMYFUNCTION("""COMPUTED_VALUE"""),"2023-11-16T20:05:11Z")</f>
        <v>2023-11-16T20:05:11Z</v>
      </c>
      <c r="X1603" s="43"/>
      <c r="Y1603" s="43"/>
      <c r="Z1603" s="43"/>
    </row>
    <row r="1604" hidden="1">
      <c r="A1604" s="43" t="str">
        <f>IFERROR(__xludf.DUMMYFUNCTION("""COMPUTED_VALUE"""),"5372779_1291881")</f>
        <v>5372779_1291881</v>
      </c>
      <c r="B1604" s="43" t="str">
        <f>IFERROR(__xludf.DUMMYFUNCTION("""COMPUTED_VALUE"""),"Nour Barakat")</f>
        <v>Nour Barakat</v>
      </c>
      <c r="C1604" s="43" t="str">
        <f>IFERROR(__xludf.DUMMYFUNCTION("""COMPUTED_VALUE"""),"approved")</f>
        <v>approved</v>
      </c>
      <c r="D1604" s="43" t="str">
        <f>IFERROR(__xludf.DUMMYFUNCTION("""COMPUTED_VALUE"""),"No")</f>
        <v>No</v>
      </c>
      <c r="E1604" s="43" t="str">
        <f>IFERROR(__xludf.DUMMYFUNCTION("""COMPUTED_VALUE"""),"p_b6b697f3c960a3b4ce3cdf96f7765d2ae8460765@inbound.aiesec.org")</f>
        <v>p_b6b697f3c960a3b4ce3cdf96f7765d2ae8460765@inbound.aiesec.org</v>
      </c>
      <c r="F1604" s="43">
        <f>IFERROR(__xludf.DUMMYFUNCTION("""COMPUTED_VALUE"""),1.141847066E9)</f>
        <v>1141847066</v>
      </c>
      <c r="G1604" s="43" t="str">
        <f>IFERROR(__xludf.DUMMYFUNCTION("""COMPUTED_VALUE"""),"Egypt")</f>
        <v>Egypt</v>
      </c>
      <c r="H1604" s="43" t="str">
        <f>IFERROR(__xludf.DUMMYFUNCTION("""COMPUTED_VALUE"""),"MIU")</f>
        <v>MIU</v>
      </c>
      <c r="I1604" s="43" t="str">
        <f>IFERROR(__xludf.DUMMYFUNCTION("""COMPUTED_VALUE"""),"Turkey")</f>
        <v>Turkey</v>
      </c>
      <c r="J1604" s="43" t="str">
        <f>IFERROR(__xludf.DUMMYFUNCTION("""COMPUTED_VALUE"""),"SAKARYA")</f>
        <v>SAKARYA</v>
      </c>
      <c r="K1604" s="44" t="str">
        <f>IFERROR(__xludf.DUMMYFUNCTION("""COMPUTED_VALUE"""),"https://expa.aiesec.org/opportunities/1291881")</f>
        <v>https://expa.aiesec.org/opportunities/1291881</v>
      </c>
      <c r="L1604" s="43" t="str">
        <f>IFERROR(__xludf.DUMMYFUNCTION("""COMPUTED_VALUE"""),"GV")</f>
        <v>GV</v>
      </c>
      <c r="M1604" s="43" t="str">
        <f>IFERROR(__xludf.DUMMYFUNCTION("""COMPUTED_VALUE"""),"short")</f>
        <v>short</v>
      </c>
      <c r="N1604" s="45">
        <f>IFERROR(__xludf.DUMMYFUNCTION("""COMPUTED_VALUE"""),45248.0)</f>
        <v>45248</v>
      </c>
      <c r="O1604" s="45">
        <f>IFERROR(__xludf.DUMMYFUNCTION("""COMPUTED_VALUE"""),45509.0)</f>
        <v>45509</v>
      </c>
      <c r="P1604" s="45">
        <f>IFERROR(__xludf.DUMMYFUNCTION("""COMPUTED_VALUE"""),45551.0)</f>
        <v>45551</v>
      </c>
      <c r="Q1604" s="45"/>
      <c r="R1604" s="45"/>
      <c r="S1604" s="43"/>
      <c r="T1604" s="43"/>
      <c r="U1604" s="43" t="str">
        <f>IFERROR(__xludf.DUMMYFUNCTION("""COMPUTED_VALUE"""),"Youth 4 Impact")</f>
        <v>Youth 4 Impact</v>
      </c>
      <c r="V1604" s="43" t="str">
        <f>IFERROR(__xludf.DUMMYFUNCTION("""COMPUTED_VALUE"""),"MIU University")</f>
        <v>MIU University</v>
      </c>
      <c r="W1604" s="43" t="str">
        <f>IFERROR(__xludf.DUMMYFUNCTION("""COMPUTED_VALUE"""),"2023-11-15T10:51:25Z")</f>
        <v>2023-11-15T10:51:25Z</v>
      </c>
      <c r="X1604" s="43"/>
      <c r="Y1604" s="43"/>
      <c r="Z1604" s="43"/>
    </row>
    <row r="1605" hidden="1">
      <c r="A1605" s="43" t="str">
        <f>IFERROR(__xludf.DUMMYFUNCTION("""COMPUTED_VALUE"""),"5372777_1291881")</f>
        <v>5372777_1291881</v>
      </c>
      <c r="B1605" s="43" t="str">
        <f>IFERROR(__xludf.DUMMYFUNCTION("""COMPUTED_VALUE"""),"Jana Halim")</f>
        <v>Jana Halim</v>
      </c>
      <c r="C1605" s="43" t="str">
        <f>IFERROR(__xludf.DUMMYFUNCTION("""COMPUTED_VALUE"""),"approved")</f>
        <v>approved</v>
      </c>
      <c r="D1605" s="43" t="str">
        <f>IFERROR(__xludf.DUMMYFUNCTION("""COMPUTED_VALUE"""),"No")</f>
        <v>No</v>
      </c>
      <c r="E1605" s="43" t="str">
        <f>IFERROR(__xludf.DUMMYFUNCTION("""COMPUTED_VALUE"""),"p_b15912792b4930cc26a716607e2b3068a08e3e18@inbound.aiesec.org")</f>
        <v>p_b15912792b4930cc26a716607e2b3068a08e3e18@inbound.aiesec.org</v>
      </c>
      <c r="F1605" s="43">
        <f>IFERROR(__xludf.DUMMYFUNCTION("""COMPUTED_VALUE"""),1.030946796E9)</f>
        <v>1030946796</v>
      </c>
      <c r="G1605" s="43" t="str">
        <f>IFERROR(__xludf.DUMMYFUNCTION("""COMPUTED_VALUE"""),"Egypt")</f>
        <v>Egypt</v>
      </c>
      <c r="H1605" s="43" t="str">
        <f>IFERROR(__xludf.DUMMYFUNCTION("""COMPUTED_VALUE"""),"MIU")</f>
        <v>MIU</v>
      </c>
      <c r="I1605" s="43" t="str">
        <f>IFERROR(__xludf.DUMMYFUNCTION("""COMPUTED_VALUE"""),"Turkey")</f>
        <v>Turkey</v>
      </c>
      <c r="J1605" s="43" t="str">
        <f>IFERROR(__xludf.DUMMYFUNCTION("""COMPUTED_VALUE"""),"SAKARYA")</f>
        <v>SAKARYA</v>
      </c>
      <c r="K1605" s="44" t="str">
        <f>IFERROR(__xludf.DUMMYFUNCTION("""COMPUTED_VALUE"""),"https://expa.aiesec.org/opportunities/1291881")</f>
        <v>https://expa.aiesec.org/opportunities/1291881</v>
      </c>
      <c r="L1605" s="43" t="str">
        <f>IFERROR(__xludf.DUMMYFUNCTION("""COMPUTED_VALUE"""),"GV")</f>
        <v>GV</v>
      </c>
      <c r="M1605" s="43" t="str">
        <f>IFERROR(__xludf.DUMMYFUNCTION("""COMPUTED_VALUE"""),"short")</f>
        <v>short</v>
      </c>
      <c r="N1605" s="45">
        <f>IFERROR(__xludf.DUMMYFUNCTION("""COMPUTED_VALUE"""),45248.0)</f>
        <v>45248</v>
      </c>
      <c r="O1605" s="45">
        <f>IFERROR(__xludf.DUMMYFUNCTION("""COMPUTED_VALUE"""),45509.0)</f>
        <v>45509</v>
      </c>
      <c r="P1605" s="45">
        <f>IFERROR(__xludf.DUMMYFUNCTION("""COMPUTED_VALUE"""),45551.0)</f>
        <v>45551</v>
      </c>
      <c r="Q1605" s="45"/>
      <c r="R1605" s="45"/>
      <c r="S1605" s="43"/>
      <c r="T1605" s="43"/>
      <c r="U1605" s="43" t="str">
        <f>IFERROR(__xludf.DUMMYFUNCTION("""COMPUTED_VALUE"""),"Youth 4 Impact")</f>
        <v>Youth 4 Impact</v>
      </c>
      <c r="V1605" s="43" t="str">
        <f>IFERROR(__xludf.DUMMYFUNCTION("""COMPUTED_VALUE"""),"MIU University")</f>
        <v>MIU University</v>
      </c>
      <c r="W1605" s="43" t="str">
        <f>IFERROR(__xludf.DUMMYFUNCTION("""COMPUTED_VALUE"""),"2023-11-15T10:49:07Z")</f>
        <v>2023-11-15T10:49:07Z</v>
      </c>
      <c r="X1605" s="43"/>
      <c r="Y1605" s="43"/>
      <c r="Z1605" s="43"/>
    </row>
    <row r="1606" hidden="1">
      <c r="A1606" s="43" t="str">
        <f>IFERROR(__xludf.DUMMYFUNCTION("""COMPUTED_VALUE"""),"5372781_1291881")</f>
        <v>5372781_1291881</v>
      </c>
      <c r="B1606" s="43" t="str">
        <f>IFERROR(__xludf.DUMMYFUNCTION("""COMPUTED_VALUE"""),"Nada Samir")</f>
        <v>Nada Samir</v>
      </c>
      <c r="C1606" s="43" t="str">
        <f>IFERROR(__xludf.DUMMYFUNCTION("""COMPUTED_VALUE"""),"approved")</f>
        <v>approved</v>
      </c>
      <c r="D1606" s="43" t="str">
        <f>IFERROR(__xludf.DUMMYFUNCTION("""COMPUTED_VALUE"""),"No")</f>
        <v>No</v>
      </c>
      <c r="E1606" s="43" t="str">
        <f>IFERROR(__xludf.DUMMYFUNCTION("""COMPUTED_VALUE"""),"p_92131917744048cc7bddaa0b7f23931a66dbf24f@inbound.aiesec.org")</f>
        <v>p_92131917744048cc7bddaa0b7f23931a66dbf24f@inbound.aiesec.org</v>
      </c>
      <c r="F1606" s="43">
        <f>IFERROR(__xludf.DUMMYFUNCTION("""COMPUTED_VALUE"""),1.112589195E9)</f>
        <v>1112589195</v>
      </c>
      <c r="G1606" s="43" t="str">
        <f>IFERROR(__xludf.DUMMYFUNCTION("""COMPUTED_VALUE"""),"Egypt")</f>
        <v>Egypt</v>
      </c>
      <c r="H1606" s="43" t="str">
        <f>IFERROR(__xludf.DUMMYFUNCTION("""COMPUTED_VALUE"""),"MIU")</f>
        <v>MIU</v>
      </c>
      <c r="I1606" s="43" t="str">
        <f>IFERROR(__xludf.DUMMYFUNCTION("""COMPUTED_VALUE"""),"Turkey")</f>
        <v>Turkey</v>
      </c>
      <c r="J1606" s="43" t="str">
        <f>IFERROR(__xludf.DUMMYFUNCTION("""COMPUTED_VALUE"""),"SAKARYA")</f>
        <v>SAKARYA</v>
      </c>
      <c r="K1606" s="44" t="str">
        <f>IFERROR(__xludf.DUMMYFUNCTION("""COMPUTED_VALUE"""),"https://expa.aiesec.org/opportunities/1291881")</f>
        <v>https://expa.aiesec.org/opportunities/1291881</v>
      </c>
      <c r="L1606" s="43" t="str">
        <f>IFERROR(__xludf.DUMMYFUNCTION("""COMPUTED_VALUE"""),"GV")</f>
        <v>GV</v>
      </c>
      <c r="M1606" s="43" t="str">
        <f>IFERROR(__xludf.DUMMYFUNCTION("""COMPUTED_VALUE"""),"short")</f>
        <v>short</v>
      </c>
      <c r="N1606" s="45">
        <f>IFERROR(__xludf.DUMMYFUNCTION("""COMPUTED_VALUE"""),45248.0)</f>
        <v>45248</v>
      </c>
      <c r="O1606" s="45">
        <f>IFERROR(__xludf.DUMMYFUNCTION("""COMPUTED_VALUE"""),45509.0)</f>
        <v>45509</v>
      </c>
      <c r="P1606" s="45">
        <f>IFERROR(__xludf.DUMMYFUNCTION("""COMPUTED_VALUE"""),45551.0)</f>
        <v>45551</v>
      </c>
      <c r="Q1606" s="45"/>
      <c r="R1606" s="45"/>
      <c r="S1606" s="43"/>
      <c r="T1606" s="43"/>
      <c r="U1606" s="43" t="str">
        <f>IFERROR(__xludf.DUMMYFUNCTION("""COMPUTED_VALUE"""),"Youth 4 Impact")</f>
        <v>Youth 4 Impact</v>
      </c>
      <c r="V1606" s="43" t="str">
        <f>IFERROR(__xludf.DUMMYFUNCTION("""COMPUTED_VALUE"""),"MIU University")</f>
        <v>MIU University</v>
      </c>
      <c r="W1606" s="43" t="str">
        <f>IFERROR(__xludf.DUMMYFUNCTION("""COMPUTED_VALUE"""),"2023-11-15T10:52:02Z")</f>
        <v>2023-11-15T10:52:02Z</v>
      </c>
      <c r="X1606" s="43"/>
      <c r="Y1606" s="43"/>
      <c r="Z1606" s="43"/>
    </row>
    <row r="1607" hidden="1">
      <c r="A1607" s="43" t="str">
        <f>IFERROR(__xludf.DUMMYFUNCTION("""COMPUTED_VALUE"""),"4757312_1296105")</f>
        <v>4757312_1296105</v>
      </c>
      <c r="B1607" s="43" t="str">
        <f>IFERROR(__xludf.DUMMYFUNCTION("""COMPUTED_VALUE"""),"Lara Horobets")</f>
        <v>Lara Horobets</v>
      </c>
      <c r="C1607" s="43" t="str">
        <f>IFERROR(__xludf.DUMMYFUNCTION("""COMPUTED_VALUE"""),"approved")</f>
        <v>approved</v>
      </c>
      <c r="D1607" s="43" t="str">
        <f>IFERROR(__xludf.DUMMYFUNCTION("""COMPUTED_VALUE"""),"No")</f>
        <v>No</v>
      </c>
      <c r="E1607" s="43" t="str">
        <f>IFERROR(__xludf.DUMMYFUNCTION("""COMPUTED_VALUE"""),"p_52e3296be86824e8b7978374bad273b8208d36f6@inbound.aiesec.org")</f>
        <v>p_52e3296be86824e8b7978374bad273b8208d36f6@inbound.aiesec.org</v>
      </c>
      <c r="F1607" s="43">
        <f>IFERROR(__xludf.DUMMYFUNCTION("""COMPUTED_VALUE"""),9.32431224E8)</f>
        <v>932431224</v>
      </c>
      <c r="G1607" s="43" t="str">
        <f>IFERROR(__xludf.DUMMYFUNCTION("""COMPUTED_VALUE"""),"Ukraine")</f>
        <v>Ukraine</v>
      </c>
      <c r="H1607" s="43" t="str">
        <f>IFERROR(__xludf.DUMMYFUNCTION("""COMPUTED_VALUE"""),"ODESA")</f>
        <v>ODESA</v>
      </c>
      <c r="I1607" s="43" t="str">
        <f>IFERROR(__xludf.DUMMYFUNCTION("""COMPUTED_VALUE"""),"Turkey")</f>
        <v>Turkey</v>
      </c>
      <c r="J1607" s="43" t="str">
        <f>IFERROR(__xludf.DUMMYFUNCTION("""COMPUTED_VALUE"""),"ANKARA")</f>
        <v>ANKARA</v>
      </c>
      <c r="K1607" s="44" t="str">
        <f>IFERROR(__xludf.DUMMYFUNCTION("""COMPUTED_VALUE"""),"https://expa.aiesec.org/opportunities/1296105")</f>
        <v>https://expa.aiesec.org/opportunities/1296105</v>
      </c>
      <c r="L1607" s="43" t="str">
        <f>IFERROR(__xludf.DUMMYFUNCTION("""COMPUTED_VALUE"""),"GV")</f>
        <v>GV</v>
      </c>
      <c r="M1607" s="43" t="str">
        <f>IFERROR(__xludf.DUMMYFUNCTION("""COMPUTED_VALUE"""),"short")</f>
        <v>short</v>
      </c>
      <c r="N1607" s="45">
        <f>IFERROR(__xludf.DUMMYFUNCTION("""COMPUTED_VALUE"""),45248.0)</f>
        <v>45248</v>
      </c>
      <c r="O1607" s="45">
        <f>IFERROR(__xludf.DUMMYFUNCTION("""COMPUTED_VALUE"""),45397.0)</f>
        <v>45397</v>
      </c>
      <c r="P1607" s="45">
        <f>IFERROR(__xludf.DUMMYFUNCTION("""COMPUTED_VALUE"""),45439.0)</f>
        <v>45439</v>
      </c>
      <c r="Q1607" s="45"/>
      <c r="R1607" s="45"/>
      <c r="S1607" s="43"/>
      <c r="T1607" s="43"/>
      <c r="U1607" s="43" t="str">
        <f>IFERROR(__xludf.DUMMYFUNCTION("""COMPUTED_VALUE"""),"Fingerprint")</f>
        <v>Fingerprint</v>
      </c>
      <c r="V1607" s="43" t="str">
        <f>IFERROR(__xludf.DUMMYFUNCTION("""COMPUTED_VALUE"""),"Kharkiv")</f>
        <v>Kharkiv</v>
      </c>
      <c r="W1607" s="43" t="str">
        <f>IFERROR(__xludf.DUMMYFUNCTION("""COMPUTED_VALUE"""),"2021-10-04T10:03:14Z")</f>
        <v>2021-10-04T10:03:14Z</v>
      </c>
      <c r="X1607" s="43"/>
      <c r="Y1607" s="43"/>
      <c r="Z1607" s="43"/>
    </row>
    <row r="1608" hidden="1">
      <c r="A1608" s="43" t="str">
        <f>IFERROR(__xludf.DUMMYFUNCTION("""COMPUTED_VALUE"""),"5371120_1289536")</f>
        <v>5371120_1289536</v>
      </c>
      <c r="B1608" s="43" t="str">
        <f>IFERROR(__xludf.DUMMYFUNCTION("""COMPUTED_VALUE"""),"Nubar Ahmadova")</f>
        <v>Nubar Ahmadova</v>
      </c>
      <c r="C1608" s="43" t="str">
        <f>IFERROR(__xludf.DUMMYFUNCTION("""COMPUTED_VALUE"""),"approved")</f>
        <v>approved</v>
      </c>
      <c r="D1608" s="43" t="str">
        <f>IFERROR(__xludf.DUMMYFUNCTION("""COMPUTED_VALUE"""),"No")</f>
        <v>No</v>
      </c>
      <c r="E1608" s="43" t="str">
        <f>IFERROR(__xludf.DUMMYFUNCTION("""COMPUTED_VALUE"""),"p_b8d73e9e83369255082de9673499628574b10fcc@inbound.aiesec.org")</f>
        <v>p_b8d73e9e83369255082de9673499628574b10fcc@inbound.aiesec.org</v>
      </c>
      <c r="F1608" s="43">
        <f>IFERROR(__xludf.DUMMYFUNCTION("""COMPUTED_VALUE"""),5.14912732E8)</f>
        <v>514912732</v>
      </c>
      <c r="G1608" s="43" t="str">
        <f>IFERROR(__xludf.DUMMYFUNCTION("""COMPUTED_VALUE"""),"Azerbaijan")</f>
        <v>Azerbaijan</v>
      </c>
      <c r="H1608" s="43" t="str">
        <f>IFERROR(__xludf.DUMMYFUNCTION("""COMPUTED_VALUE"""),"Baku ADA")</f>
        <v>Baku ADA</v>
      </c>
      <c r="I1608" s="43" t="str">
        <f>IFERROR(__xludf.DUMMYFUNCTION("""COMPUTED_VALUE"""),"Turkey")</f>
        <v>Turkey</v>
      </c>
      <c r="J1608" s="43" t="str">
        <f>IFERROR(__xludf.DUMMYFUNCTION("""COMPUTED_VALUE"""),"ISTANBUL")</f>
        <v>ISTANBUL</v>
      </c>
      <c r="K1608" s="44" t="str">
        <f>IFERROR(__xludf.DUMMYFUNCTION("""COMPUTED_VALUE"""),"https://expa.aiesec.org/opportunities/1289536")</f>
        <v>https://expa.aiesec.org/opportunities/1289536</v>
      </c>
      <c r="L1608" s="43" t="str">
        <f>IFERROR(__xludf.DUMMYFUNCTION("""COMPUTED_VALUE"""),"GV")</f>
        <v>GV</v>
      </c>
      <c r="M1608" s="43" t="str">
        <f>IFERROR(__xludf.DUMMYFUNCTION("""COMPUTED_VALUE"""),"short")</f>
        <v>short</v>
      </c>
      <c r="N1608" s="45">
        <f>IFERROR(__xludf.DUMMYFUNCTION("""COMPUTED_VALUE"""),45248.0)</f>
        <v>45248</v>
      </c>
      <c r="O1608" s="45">
        <f>IFERROR(__xludf.DUMMYFUNCTION("""COMPUTED_VALUE"""),45444.0)</f>
        <v>45444</v>
      </c>
      <c r="P1608" s="45">
        <f>IFERROR(__xludf.DUMMYFUNCTION("""COMPUTED_VALUE"""),45486.0)</f>
        <v>45486</v>
      </c>
      <c r="Q1608" s="45"/>
      <c r="R1608" s="45"/>
      <c r="S1608" s="43"/>
      <c r="T1608" s="43"/>
      <c r="U1608" s="43" t="str">
        <f>IFERROR(__xludf.DUMMYFUNCTION("""COMPUTED_VALUE"""),"Global Classroom")</f>
        <v>Global Classroom</v>
      </c>
      <c r="V1608" s="43" t="str">
        <f>IFERROR(__xludf.DUMMYFUNCTION("""COMPUTED_VALUE"""),"ADA University")</f>
        <v>ADA University</v>
      </c>
      <c r="W1608" s="43" t="str">
        <f>IFERROR(__xludf.DUMMYFUNCTION("""COMPUTED_VALUE"""),"2023-11-12T15:29:58Z")</f>
        <v>2023-11-12T15:29:58Z</v>
      </c>
      <c r="X1608" s="43"/>
      <c r="Y1608" s="43"/>
      <c r="Z1608" s="43"/>
    </row>
    <row r="1609" hidden="1">
      <c r="A1609" s="43" t="str">
        <f>IFERROR(__xludf.DUMMYFUNCTION("""COMPUTED_VALUE"""),"5371078_1289536")</f>
        <v>5371078_1289536</v>
      </c>
      <c r="B1609" s="43" t="str">
        <f>IFERROR(__xludf.DUMMYFUNCTION("""COMPUTED_VALUE"""),"Aydan Mehdiyeva")</f>
        <v>Aydan Mehdiyeva</v>
      </c>
      <c r="C1609" s="43" t="str">
        <f>IFERROR(__xludf.DUMMYFUNCTION("""COMPUTED_VALUE"""),"approved")</f>
        <v>approved</v>
      </c>
      <c r="D1609" s="43" t="str">
        <f>IFERROR(__xludf.DUMMYFUNCTION("""COMPUTED_VALUE"""),"No")</f>
        <v>No</v>
      </c>
      <c r="E1609" s="43" t="str">
        <f>IFERROR(__xludf.DUMMYFUNCTION("""COMPUTED_VALUE"""),"p_5f6cb0b0cb3792157bec4443a48e549aced65ab4@inbound.aiesec.org")</f>
        <v>p_5f6cb0b0cb3792157bec4443a48e549aced65ab4@inbound.aiesec.org</v>
      </c>
      <c r="F1609" s="43"/>
      <c r="G1609" s="43" t="str">
        <f>IFERROR(__xludf.DUMMYFUNCTION("""COMPUTED_VALUE"""),"Azerbaijan")</f>
        <v>Azerbaijan</v>
      </c>
      <c r="H1609" s="43" t="str">
        <f>IFERROR(__xludf.DUMMYFUNCTION("""COMPUTED_VALUE"""),"Baku ADA")</f>
        <v>Baku ADA</v>
      </c>
      <c r="I1609" s="43" t="str">
        <f>IFERROR(__xludf.DUMMYFUNCTION("""COMPUTED_VALUE"""),"Turkey")</f>
        <v>Turkey</v>
      </c>
      <c r="J1609" s="43" t="str">
        <f>IFERROR(__xludf.DUMMYFUNCTION("""COMPUTED_VALUE"""),"ISTANBUL")</f>
        <v>ISTANBUL</v>
      </c>
      <c r="K1609" s="44" t="str">
        <f>IFERROR(__xludf.DUMMYFUNCTION("""COMPUTED_VALUE"""),"https://expa.aiesec.org/opportunities/1289536")</f>
        <v>https://expa.aiesec.org/opportunities/1289536</v>
      </c>
      <c r="L1609" s="43" t="str">
        <f>IFERROR(__xludf.DUMMYFUNCTION("""COMPUTED_VALUE"""),"GV")</f>
        <v>GV</v>
      </c>
      <c r="M1609" s="43" t="str">
        <f>IFERROR(__xludf.DUMMYFUNCTION("""COMPUTED_VALUE"""),"short")</f>
        <v>short</v>
      </c>
      <c r="N1609" s="45">
        <f>IFERROR(__xludf.DUMMYFUNCTION("""COMPUTED_VALUE"""),45248.0)</f>
        <v>45248</v>
      </c>
      <c r="O1609" s="45">
        <f>IFERROR(__xludf.DUMMYFUNCTION("""COMPUTED_VALUE"""),45444.0)</f>
        <v>45444</v>
      </c>
      <c r="P1609" s="45">
        <f>IFERROR(__xludf.DUMMYFUNCTION("""COMPUTED_VALUE"""),45486.0)</f>
        <v>45486</v>
      </c>
      <c r="Q1609" s="45"/>
      <c r="R1609" s="45"/>
      <c r="S1609" s="43"/>
      <c r="T1609" s="43"/>
      <c r="U1609" s="43" t="str">
        <f>IFERROR(__xludf.DUMMYFUNCTION("""COMPUTED_VALUE"""),"Global Classroom")</f>
        <v>Global Classroom</v>
      </c>
      <c r="V1609" s="43" t="str">
        <f>IFERROR(__xludf.DUMMYFUNCTION("""COMPUTED_VALUE"""),"-")</f>
        <v>-</v>
      </c>
      <c r="W1609" s="43" t="str">
        <f>IFERROR(__xludf.DUMMYFUNCTION("""COMPUTED_VALUE"""),"2023-11-12T13:36:12Z")</f>
        <v>2023-11-12T13:36:12Z</v>
      </c>
      <c r="X1609" s="43"/>
      <c r="Y1609" s="43"/>
      <c r="Z1609" s="43"/>
    </row>
    <row r="1610" hidden="1">
      <c r="A1610" s="43" t="str">
        <f>IFERROR(__xludf.DUMMYFUNCTION("""COMPUTED_VALUE"""),"5343336_1289347")</f>
        <v>5343336_1289347</v>
      </c>
      <c r="B1610" s="43" t="str">
        <f>IFERROR(__xludf.DUMMYFUNCTION("""COMPUTED_VALUE"""),"Mariia Ilina")</f>
        <v>Mariia Ilina</v>
      </c>
      <c r="C1610" s="43" t="str">
        <f>IFERROR(__xludf.DUMMYFUNCTION("""COMPUTED_VALUE"""),"approved")</f>
        <v>approved</v>
      </c>
      <c r="D1610" s="43" t="str">
        <f>IFERROR(__xludf.DUMMYFUNCTION("""COMPUTED_VALUE"""),"No")</f>
        <v>No</v>
      </c>
      <c r="E1610" s="43" t="str">
        <f>IFERROR(__xludf.DUMMYFUNCTION("""COMPUTED_VALUE"""),"p_60aa52bd6247a184e2fd047efb5d0cd26c471ef7@inbound.aiesec.org")</f>
        <v>p_60aa52bd6247a184e2fd047efb5d0cd26c471ef7@inbound.aiesec.org</v>
      </c>
      <c r="F1610" s="43"/>
      <c r="G1610" s="43" t="str">
        <f>IFERROR(__xludf.DUMMYFUNCTION("""COMPUTED_VALUE"""),"Ukraine")</f>
        <v>Ukraine</v>
      </c>
      <c r="H1610" s="43" t="str">
        <f>IFERROR(__xludf.DUMMYFUNCTION("""COMPUTED_VALUE"""),"KYIV")</f>
        <v>KYIV</v>
      </c>
      <c r="I1610" s="43" t="str">
        <f>IFERROR(__xludf.DUMMYFUNCTION("""COMPUTED_VALUE"""),"Turkey")</f>
        <v>Turkey</v>
      </c>
      <c r="J1610" s="43" t="str">
        <f>IFERROR(__xludf.DUMMYFUNCTION("""COMPUTED_VALUE"""),"ADANA")</f>
        <v>ADANA</v>
      </c>
      <c r="K1610" s="44" t="str">
        <f>IFERROR(__xludf.DUMMYFUNCTION("""COMPUTED_VALUE"""),"https://expa.aiesec.org/opportunities/1289347")</f>
        <v>https://expa.aiesec.org/opportunities/1289347</v>
      </c>
      <c r="L1610" s="43" t="str">
        <f>IFERROR(__xludf.DUMMYFUNCTION("""COMPUTED_VALUE"""),"GV")</f>
        <v>GV</v>
      </c>
      <c r="M1610" s="43" t="str">
        <f>IFERROR(__xludf.DUMMYFUNCTION("""COMPUTED_VALUE"""),"short")</f>
        <v>short</v>
      </c>
      <c r="N1610" s="45">
        <f>IFERROR(__xludf.DUMMYFUNCTION("""COMPUTED_VALUE"""),45248.0)</f>
        <v>45248</v>
      </c>
      <c r="O1610" s="45">
        <f>IFERROR(__xludf.DUMMYFUNCTION("""COMPUTED_VALUE"""),45474.0)</f>
        <v>45474</v>
      </c>
      <c r="P1610" s="45">
        <f>IFERROR(__xludf.DUMMYFUNCTION("""COMPUTED_VALUE"""),45516.0)</f>
        <v>45516</v>
      </c>
      <c r="Q1610" s="45"/>
      <c r="R1610" s="45"/>
      <c r="S1610" s="43"/>
      <c r="T1610" s="43"/>
      <c r="U1610" s="43" t="str">
        <f>IFERROR(__xludf.DUMMYFUNCTION("""COMPUTED_VALUE"""),"Global Classroom")</f>
        <v>Global Classroom</v>
      </c>
      <c r="V1610" s="43" t="str">
        <f>IFERROR(__xludf.DUMMYFUNCTION("""COMPUTED_VALUE"""),"Kyiv")</f>
        <v>Kyiv</v>
      </c>
      <c r="W1610" s="43" t="str">
        <f>IFERROR(__xludf.DUMMYFUNCTION("""COMPUTED_VALUE"""),"2023-10-05T17:24:29Z")</f>
        <v>2023-10-05T17:24:29Z</v>
      </c>
      <c r="X1610" s="43"/>
      <c r="Y1610" s="43"/>
      <c r="Z1610" s="43"/>
    </row>
    <row r="1611" hidden="1">
      <c r="A1611" s="43" t="str">
        <f>IFERROR(__xludf.DUMMYFUNCTION("""COMPUTED_VALUE"""),"5375102_1285687")</f>
        <v>5375102_1285687</v>
      </c>
      <c r="B1611" s="43" t="str">
        <f>IFERROR(__xludf.DUMMYFUNCTION("""COMPUTED_VALUE"""),"Chayma Mansour")</f>
        <v>Chayma Mansour</v>
      </c>
      <c r="C1611" s="43" t="str">
        <f>IFERROR(__xludf.DUMMYFUNCTION("""COMPUTED_VALUE"""),"approved")</f>
        <v>approved</v>
      </c>
      <c r="D1611" s="43" t="str">
        <f>IFERROR(__xludf.DUMMYFUNCTION("""COMPUTED_VALUE"""),"No")</f>
        <v>No</v>
      </c>
      <c r="E1611" s="43" t="str">
        <f>IFERROR(__xludf.DUMMYFUNCTION("""COMPUTED_VALUE"""),"p_59b9387c19ccf180b377416211fdac847e2436ab@inbound.aiesec.org")</f>
        <v>p_59b9387c19ccf180b377416211fdac847e2436ab@inbound.aiesec.org</v>
      </c>
      <c r="F1611" s="43">
        <f>IFERROR(__xludf.DUMMYFUNCTION("""COMPUTED_VALUE"""),2.1787121E7)</f>
        <v>21787121</v>
      </c>
      <c r="G1611" s="43" t="str">
        <f>IFERROR(__xludf.DUMMYFUNCTION("""COMPUTED_VALUE"""),"Tunisia")</f>
        <v>Tunisia</v>
      </c>
      <c r="H1611" s="43" t="str">
        <f>IFERROR(__xludf.DUMMYFUNCTION("""COMPUTED_VALUE"""),"Carthage")</f>
        <v>Carthage</v>
      </c>
      <c r="I1611" s="43" t="str">
        <f>IFERROR(__xludf.DUMMYFUNCTION("""COMPUTED_VALUE"""),"Turkey")</f>
        <v>Turkey</v>
      </c>
      <c r="J1611" s="43" t="str">
        <f>IFERROR(__xludf.DUMMYFUNCTION("""COMPUTED_VALUE"""),"ISTANBUL")</f>
        <v>ISTANBUL</v>
      </c>
      <c r="K1611" s="44" t="str">
        <f>IFERROR(__xludf.DUMMYFUNCTION("""COMPUTED_VALUE"""),"https://expa.aiesec.org/opportunities/1285687")</f>
        <v>https://expa.aiesec.org/opportunities/1285687</v>
      </c>
      <c r="L1611" s="43" t="str">
        <f>IFERROR(__xludf.DUMMYFUNCTION("""COMPUTED_VALUE"""),"GV")</f>
        <v>GV</v>
      </c>
      <c r="M1611" s="43" t="str">
        <f>IFERROR(__xludf.DUMMYFUNCTION("""COMPUTED_VALUE"""),"short")</f>
        <v>short</v>
      </c>
      <c r="N1611" s="45">
        <f>IFERROR(__xludf.DUMMYFUNCTION("""COMPUTED_VALUE"""),45248.0)</f>
        <v>45248</v>
      </c>
      <c r="O1611" s="45">
        <f>IFERROR(__xludf.DUMMYFUNCTION("""COMPUTED_VALUE"""),45488.0)</f>
        <v>45488</v>
      </c>
      <c r="P1611" s="45">
        <f>IFERROR(__xludf.DUMMYFUNCTION("""COMPUTED_VALUE"""),45530.0)</f>
        <v>45530</v>
      </c>
      <c r="Q1611" s="45"/>
      <c r="R1611" s="45"/>
      <c r="S1611" s="43"/>
      <c r="T1611" s="43"/>
      <c r="U1611" s="43" t="str">
        <f>IFERROR(__xludf.DUMMYFUNCTION("""COMPUTED_VALUE"""),"Youth 4 Impact")</f>
        <v>Youth 4 Impact</v>
      </c>
      <c r="V1611" s="43" t="str">
        <f>IFERROR(__xludf.DUMMYFUNCTION("""COMPUTED_VALUE"""),"INSAT")</f>
        <v>INSAT</v>
      </c>
      <c r="W1611" s="43" t="str">
        <f>IFERROR(__xludf.DUMMYFUNCTION("""COMPUTED_VALUE"""),"2023-11-18T18:14:14Z")</f>
        <v>2023-11-18T18:14:14Z</v>
      </c>
      <c r="X1611" s="43"/>
      <c r="Y1611" s="43"/>
      <c r="Z1611" s="43"/>
    </row>
    <row r="1612" hidden="1">
      <c r="A1612" s="43" t="str">
        <f>IFERROR(__xludf.DUMMYFUNCTION("""COMPUTED_VALUE"""),"5375124_1285687")</f>
        <v>5375124_1285687</v>
      </c>
      <c r="B1612" s="43" t="str">
        <f>IFERROR(__xludf.DUMMYFUNCTION("""COMPUTED_VALUE"""),"Hamza Rezgui")</f>
        <v>Hamza Rezgui</v>
      </c>
      <c r="C1612" s="43" t="str">
        <f>IFERROR(__xludf.DUMMYFUNCTION("""COMPUTED_VALUE"""),"approved")</f>
        <v>approved</v>
      </c>
      <c r="D1612" s="43" t="str">
        <f>IFERROR(__xludf.DUMMYFUNCTION("""COMPUTED_VALUE"""),"No")</f>
        <v>No</v>
      </c>
      <c r="E1612" s="43" t="str">
        <f>IFERROR(__xludf.DUMMYFUNCTION("""COMPUTED_VALUE"""),"p_825e96d1f4617e517d7f938329f4a185c22c5ea0@inbound.aiesec.org")</f>
        <v>p_825e96d1f4617e517d7f938329f4a185c22c5ea0@inbound.aiesec.org</v>
      </c>
      <c r="F1612" s="43">
        <f>IFERROR(__xludf.DUMMYFUNCTION("""COMPUTED_VALUE"""),5.8410343E7)</f>
        <v>58410343</v>
      </c>
      <c r="G1612" s="43" t="str">
        <f>IFERROR(__xludf.DUMMYFUNCTION("""COMPUTED_VALUE"""),"Tunisia")</f>
        <v>Tunisia</v>
      </c>
      <c r="H1612" s="43" t="str">
        <f>IFERROR(__xludf.DUMMYFUNCTION("""COMPUTED_VALUE"""),"Carthage")</f>
        <v>Carthage</v>
      </c>
      <c r="I1612" s="43" t="str">
        <f>IFERROR(__xludf.DUMMYFUNCTION("""COMPUTED_VALUE"""),"Turkey")</f>
        <v>Turkey</v>
      </c>
      <c r="J1612" s="43" t="str">
        <f>IFERROR(__xludf.DUMMYFUNCTION("""COMPUTED_VALUE"""),"ISTANBUL")</f>
        <v>ISTANBUL</v>
      </c>
      <c r="K1612" s="44" t="str">
        <f>IFERROR(__xludf.DUMMYFUNCTION("""COMPUTED_VALUE"""),"https://expa.aiesec.org/opportunities/1285687")</f>
        <v>https://expa.aiesec.org/opportunities/1285687</v>
      </c>
      <c r="L1612" s="43" t="str">
        <f>IFERROR(__xludf.DUMMYFUNCTION("""COMPUTED_VALUE"""),"GV")</f>
        <v>GV</v>
      </c>
      <c r="M1612" s="43" t="str">
        <f>IFERROR(__xludf.DUMMYFUNCTION("""COMPUTED_VALUE"""),"short")</f>
        <v>short</v>
      </c>
      <c r="N1612" s="45">
        <f>IFERROR(__xludf.DUMMYFUNCTION("""COMPUTED_VALUE"""),45248.0)</f>
        <v>45248</v>
      </c>
      <c r="O1612" s="45">
        <f>IFERROR(__xludf.DUMMYFUNCTION("""COMPUTED_VALUE"""),45488.0)</f>
        <v>45488</v>
      </c>
      <c r="P1612" s="45">
        <f>IFERROR(__xludf.DUMMYFUNCTION("""COMPUTED_VALUE"""),45530.0)</f>
        <v>45530</v>
      </c>
      <c r="Q1612" s="45"/>
      <c r="R1612" s="45"/>
      <c r="S1612" s="43"/>
      <c r="T1612" s="43"/>
      <c r="U1612" s="43" t="str">
        <f>IFERROR(__xludf.DUMMYFUNCTION("""COMPUTED_VALUE"""),"Youth 4 Impact")</f>
        <v>Youth 4 Impact</v>
      </c>
      <c r="V1612" s="43" t="str">
        <f>IFERROR(__xludf.DUMMYFUNCTION("""COMPUTED_VALUE"""),"INSAT")</f>
        <v>INSAT</v>
      </c>
      <c r="W1612" s="43" t="str">
        <f>IFERROR(__xludf.DUMMYFUNCTION("""COMPUTED_VALUE"""),"2023-11-18T18:56:42Z")</f>
        <v>2023-11-18T18:56:42Z</v>
      </c>
      <c r="X1612" s="43"/>
      <c r="Y1612" s="43"/>
      <c r="Z1612" s="43"/>
    </row>
    <row r="1613" hidden="1">
      <c r="A1613" s="43" t="str">
        <f>IFERROR(__xludf.DUMMYFUNCTION("""COMPUTED_VALUE"""),"5375177_1300841")</f>
        <v>5375177_1300841</v>
      </c>
      <c r="B1613" s="43" t="str">
        <f>IFERROR(__xludf.DUMMYFUNCTION("""COMPUTED_VALUE"""),"mohamed amine laaribi")</f>
        <v>mohamed amine laaribi</v>
      </c>
      <c r="C1613" s="43" t="str">
        <f>IFERROR(__xludf.DUMMYFUNCTION("""COMPUTED_VALUE"""),"approved")</f>
        <v>approved</v>
      </c>
      <c r="D1613" s="43" t="str">
        <f>IFERROR(__xludf.DUMMYFUNCTION("""COMPUTED_VALUE"""),"No")</f>
        <v>No</v>
      </c>
      <c r="E1613" s="43" t="str">
        <f>IFERROR(__xludf.DUMMYFUNCTION("""COMPUTED_VALUE"""),"p_459c7b8c2649f8a2dc103bfca8f4b35b301d27bd@inbound.aiesec.org")</f>
        <v>p_459c7b8c2649f8a2dc103bfca8f4b35b301d27bd@inbound.aiesec.org</v>
      </c>
      <c r="F1613" s="43">
        <f>IFERROR(__xludf.DUMMYFUNCTION("""COMPUTED_VALUE"""),9.3053245E7)</f>
        <v>93053245</v>
      </c>
      <c r="G1613" s="43" t="str">
        <f>IFERROR(__xludf.DUMMYFUNCTION("""COMPUTED_VALUE"""),"Tunisia")</f>
        <v>Tunisia</v>
      </c>
      <c r="H1613" s="43" t="str">
        <f>IFERROR(__xludf.DUMMYFUNCTION("""COMPUTED_VALUE"""),"HADRUMET")</f>
        <v>HADRUMET</v>
      </c>
      <c r="I1613" s="43" t="str">
        <f>IFERROR(__xludf.DUMMYFUNCTION("""COMPUTED_VALUE"""),"Turkey")</f>
        <v>Turkey</v>
      </c>
      <c r="J1613" s="43" t="str">
        <f>IFERROR(__xludf.DUMMYFUNCTION("""COMPUTED_VALUE"""),"KUTAHYA")</f>
        <v>KUTAHYA</v>
      </c>
      <c r="K1613" s="44" t="str">
        <f>IFERROR(__xludf.DUMMYFUNCTION("""COMPUTED_VALUE"""),"https://expa.aiesec.org/opportunities/1300841")</f>
        <v>https://expa.aiesec.org/opportunities/1300841</v>
      </c>
      <c r="L1613" s="43" t="str">
        <f>IFERROR(__xludf.DUMMYFUNCTION("""COMPUTED_VALUE"""),"GV")</f>
        <v>GV</v>
      </c>
      <c r="M1613" s="43" t="str">
        <f>IFERROR(__xludf.DUMMYFUNCTION("""COMPUTED_VALUE"""),"short")</f>
        <v>short</v>
      </c>
      <c r="N1613" s="45">
        <f>IFERROR(__xludf.DUMMYFUNCTION("""COMPUTED_VALUE"""),45248.0)</f>
        <v>45248</v>
      </c>
      <c r="O1613" s="45">
        <f>IFERROR(__xludf.DUMMYFUNCTION("""COMPUTED_VALUE"""),45446.0)</f>
        <v>45446</v>
      </c>
      <c r="P1613" s="45">
        <f>IFERROR(__xludf.DUMMYFUNCTION("""COMPUTED_VALUE"""),45488.0)</f>
        <v>45488</v>
      </c>
      <c r="Q1613" s="45"/>
      <c r="R1613" s="45"/>
      <c r="S1613" s="43"/>
      <c r="T1613" s="43"/>
      <c r="U1613" s="43" t="str">
        <f>IFERROR(__xludf.DUMMYFUNCTION("""COMPUTED_VALUE"""),"Green Leaders")</f>
        <v>Green Leaders</v>
      </c>
      <c r="V1613" s="43" t="str">
        <f>IFERROR(__xludf.DUMMYFUNCTION("""COMPUTED_VALUE"""),"ISBAS")</f>
        <v>ISBAS</v>
      </c>
      <c r="W1613" s="43" t="str">
        <f>IFERROR(__xludf.DUMMYFUNCTION("""COMPUTED_VALUE"""),"2023-11-18T21:04:48Z")</f>
        <v>2023-11-18T21:04:48Z</v>
      </c>
      <c r="X1613" s="43"/>
      <c r="Y1613" s="43"/>
      <c r="Z1613" s="43"/>
    </row>
    <row r="1614" hidden="1">
      <c r="A1614" s="43" t="str">
        <f>IFERROR(__xludf.DUMMYFUNCTION("""COMPUTED_VALUE"""),"5375194_1291254")</f>
        <v>5375194_1291254</v>
      </c>
      <c r="B1614" s="43" t="str">
        <f>IFERROR(__xludf.DUMMYFUNCTION("""COMPUTED_VALUE"""),"Eya Alexandrine")</f>
        <v>Eya Alexandrine</v>
      </c>
      <c r="C1614" s="43" t="str">
        <f>IFERROR(__xludf.DUMMYFUNCTION("""COMPUTED_VALUE"""),"approved")</f>
        <v>approved</v>
      </c>
      <c r="D1614" s="43" t="str">
        <f>IFERROR(__xludf.DUMMYFUNCTION("""COMPUTED_VALUE"""),"No")</f>
        <v>No</v>
      </c>
      <c r="E1614" s="43" t="str">
        <f>IFERROR(__xludf.DUMMYFUNCTION("""COMPUTED_VALUE"""),"p_09f61a2c116fc486fc524e7c080a079864d17a69@inbound.aiesec.org")</f>
        <v>p_09f61a2c116fc486fc524e7c080a079864d17a69@inbound.aiesec.org</v>
      </c>
      <c r="F1614" s="43">
        <f>IFERROR(__xludf.DUMMYFUNCTION("""COMPUTED_VALUE"""),5.8130039E7)</f>
        <v>58130039</v>
      </c>
      <c r="G1614" s="43" t="str">
        <f>IFERROR(__xludf.DUMMYFUNCTION("""COMPUTED_VALUE"""),"Tunisia")</f>
        <v>Tunisia</v>
      </c>
      <c r="H1614" s="43" t="str">
        <f>IFERROR(__xludf.DUMMYFUNCTION("""COMPUTED_VALUE"""),"Carthage")</f>
        <v>Carthage</v>
      </c>
      <c r="I1614" s="43" t="str">
        <f>IFERROR(__xludf.DUMMYFUNCTION("""COMPUTED_VALUE"""),"Turkey")</f>
        <v>Turkey</v>
      </c>
      <c r="J1614" s="43" t="str">
        <f>IFERROR(__xludf.DUMMYFUNCTION("""COMPUTED_VALUE"""),"KOCAELI")</f>
        <v>KOCAELI</v>
      </c>
      <c r="K1614" s="44" t="str">
        <f>IFERROR(__xludf.DUMMYFUNCTION("""COMPUTED_VALUE"""),"https://expa.aiesec.org/opportunities/1291254")</f>
        <v>https://expa.aiesec.org/opportunities/1291254</v>
      </c>
      <c r="L1614" s="43" t="str">
        <f>IFERROR(__xludf.DUMMYFUNCTION("""COMPUTED_VALUE"""),"GV")</f>
        <v>GV</v>
      </c>
      <c r="M1614" s="43" t="str">
        <f>IFERROR(__xludf.DUMMYFUNCTION("""COMPUTED_VALUE"""),"short")</f>
        <v>short</v>
      </c>
      <c r="N1614" s="45">
        <f>IFERROR(__xludf.DUMMYFUNCTION("""COMPUTED_VALUE"""),45248.0)</f>
        <v>45248</v>
      </c>
      <c r="O1614" s="45">
        <f>IFERROR(__xludf.DUMMYFUNCTION("""COMPUTED_VALUE"""),45488.0)</f>
        <v>45488</v>
      </c>
      <c r="P1614" s="45">
        <f>IFERROR(__xludf.DUMMYFUNCTION("""COMPUTED_VALUE"""),45530.0)</f>
        <v>45530</v>
      </c>
      <c r="Q1614" s="45"/>
      <c r="R1614" s="45"/>
      <c r="S1614" s="43"/>
      <c r="T1614" s="43"/>
      <c r="U1614" s="43" t="str">
        <f>IFERROR(__xludf.DUMMYFUNCTION("""COMPUTED_VALUE"""),"Global Classroom")</f>
        <v>Global Classroom</v>
      </c>
      <c r="V1614" s="43" t="str">
        <f>IFERROR(__xludf.DUMMYFUNCTION("""COMPUTED_VALUE"""),"IHEC Carthage")</f>
        <v>IHEC Carthage</v>
      </c>
      <c r="W1614" s="43" t="str">
        <f>IFERROR(__xludf.DUMMYFUNCTION("""COMPUTED_VALUE"""),"2023-11-18T21:48:13Z")</f>
        <v>2023-11-18T21:48:13Z</v>
      </c>
      <c r="X1614" s="43"/>
      <c r="Y1614" s="43"/>
      <c r="Z1614" s="43"/>
    </row>
    <row r="1615" hidden="1">
      <c r="A1615" s="43" t="str">
        <f>IFERROR(__xludf.DUMMYFUNCTION("""COMPUTED_VALUE"""),"5363767_1299474")</f>
        <v>5363767_1299474</v>
      </c>
      <c r="B1615" s="43" t="str">
        <f>IFERROR(__xludf.DUMMYFUNCTION("""COMPUTED_VALUE"""),"Joy Andati")</f>
        <v>Joy Andati</v>
      </c>
      <c r="C1615" s="43" t="str">
        <f>IFERROR(__xludf.DUMMYFUNCTION("""COMPUTED_VALUE"""),"approved")</f>
        <v>approved</v>
      </c>
      <c r="D1615" s="43" t="str">
        <f>IFERROR(__xludf.DUMMYFUNCTION("""COMPUTED_VALUE"""),"No")</f>
        <v>No</v>
      </c>
      <c r="E1615" s="43" t="str">
        <f>IFERROR(__xludf.DUMMYFUNCTION("""COMPUTED_VALUE"""),"p_84d81912cf068339ae54b24c68fa788ef94d5917@inbound.aiesec.org")</f>
        <v>p_84d81912cf068339ae54b24c68fa788ef94d5917@inbound.aiesec.org</v>
      </c>
      <c r="F1615" s="43"/>
      <c r="G1615" s="43" t="str">
        <f>IFERROR(__xludf.DUMMYFUNCTION("""COMPUTED_VALUE"""),"Kenya")</f>
        <v>Kenya</v>
      </c>
      <c r="H1615" s="43" t="str">
        <f>IFERROR(__xludf.DUMMYFUNCTION("""COMPUTED_VALUE"""),"STRATHMORE UNIVERSITY")</f>
        <v>STRATHMORE UNIVERSITY</v>
      </c>
      <c r="I1615" s="43" t="str">
        <f>IFERROR(__xludf.DUMMYFUNCTION("""COMPUTED_VALUE"""),"Turkey")</f>
        <v>Turkey</v>
      </c>
      <c r="J1615" s="43" t="str">
        <f>IFERROR(__xludf.DUMMYFUNCTION("""COMPUTED_VALUE"""),"ANKARA")</f>
        <v>ANKARA</v>
      </c>
      <c r="K1615" s="44" t="str">
        <f>IFERROR(__xludf.DUMMYFUNCTION("""COMPUTED_VALUE"""),"https://expa.aiesec.org/opportunities/1299474")</f>
        <v>https://expa.aiesec.org/opportunities/1299474</v>
      </c>
      <c r="L1615" s="43" t="str">
        <f>IFERROR(__xludf.DUMMYFUNCTION("""COMPUTED_VALUE"""),"GV")</f>
        <v>GV</v>
      </c>
      <c r="M1615" s="43" t="str">
        <f>IFERROR(__xludf.DUMMYFUNCTION("""COMPUTED_VALUE"""),"short")</f>
        <v>short</v>
      </c>
      <c r="N1615" s="45">
        <f>IFERROR(__xludf.DUMMYFUNCTION("""COMPUTED_VALUE"""),45249.0)</f>
        <v>45249</v>
      </c>
      <c r="O1615" s="45">
        <f>IFERROR(__xludf.DUMMYFUNCTION("""COMPUTED_VALUE"""),45327.0)</f>
        <v>45327</v>
      </c>
      <c r="P1615" s="45">
        <f>IFERROR(__xludf.DUMMYFUNCTION("""COMPUTED_VALUE"""),45369.0)</f>
        <v>45369</v>
      </c>
      <c r="Q1615" s="45"/>
      <c r="R1615" s="45"/>
      <c r="S1615" s="43"/>
      <c r="T1615" s="43"/>
      <c r="U1615" s="43" t="str">
        <f>IFERROR(__xludf.DUMMYFUNCTION("""COMPUTED_VALUE"""),"Global Classroom")</f>
        <v>Global Classroom</v>
      </c>
      <c r="V1615" s="43" t="str">
        <f>IFERROR(__xludf.DUMMYFUNCTION("""COMPUTED_VALUE"""),"-")</f>
        <v>-</v>
      </c>
      <c r="W1615" s="43" t="str">
        <f>IFERROR(__xludf.DUMMYFUNCTION("""COMPUTED_VALUE"""),"2023-10-30T20:18:19Z")</f>
        <v>2023-10-30T20:18:19Z</v>
      </c>
      <c r="X1615" s="43"/>
      <c r="Y1615" s="43"/>
      <c r="Z1615" s="43"/>
    </row>
    <row r="1616" hidden="1">
      <c r="A1616" s="43" t="str">
        <f>IFERROR(__xludf.DUMMYFUNCTION("""COMPUTED_VALUE"""),"5314223_1295893")</f>
        <v>5314223_1295893</v>
      </c>
      <c r="B1616" s="43" t="str">
        <f>IFERROR(__xludf.DUMMYFUNCTION("""COMPUTED_VALUE"""),"Aaryaa Bheda")</f>
        <v>Aaryaa Bheda</v>
      </c>
      <c r="C1616" s="43" t="str">
        <f>IFERROR(__xludf.DUMMYFUNCTION("""COMPUTED_VALUE"""),"approved")</f>
        <v>approved</v>
      </c>
      <c r="D1616" s="43" t="str">
        <f>IFERROR(__xludf.DUMMYFUNCTION("""COMPUTED_VALUE"""),"No")</f>
        <v>No</v>
      </c>
      <c r="E1616" s="43" t="str">
        <f>IFERROR(__xludf.DUMMYFUNCTION("""COMPUTED_VALUE"""),"p_04b80d11f3de38b7b19fb84879641b8c3a960445@inbound.aiesec.org")</f>
        <v>p_04b80d11f3de38b7b19fb84879641b8c3a960445@inbound.aiesec.org</v>
      </c>
      <c r="F1616" s="43">
        <f>IFERROR(__xludf.DUMMYFUNCTION("""COMPUTED_VALUE"""),8.657500601E9)</f>
        <v>8657500601</v>
      </c>
      <c r="G1616" s="43" t="str">
        <f>IFERROR(__xludf.DUMMYFUNCTION("""COMPUTED_VALUE"""),"India")</f>
        <v>India</v>
      </c>
      <c r="H1616" s="43" t="str">
        <f>IFERROR(__xludf.DUMMYFUNCTION("""COMPUTED_VALUE"""),"Mumbai")</f>
        <v>Mumbai</v>
      </c>
      <c r="I1616" s="43" t="str">
        <f>IFERROR(__xludf.DUMMYFUNCTION("""COMPUTED_VALUE"""),"Turkey")</f>
        <v>Turkey</v>
      </c>
      <c r="J1616" s="43" t="str">
        <f>IFERROR(__xludf.DUMMYFUNCTION("""COMPUTED_VALUE"""),"ADANA")</f>
        <v>ADANA</v>
      </c>
      <c r="K1616" s="44" t="str">
        <f>IFERROR(__xludf.DUMMYFUNCTION("""COMPUTED_VALUE"""),"https://expa.aiesec.org/opportunities/1295893")</f>
        <v>https://expa.aiesec.org/opportunities/1295893</v>
      </c>
      <c r="L1616" s="43" t="str">
        <f>IFERROR(__xludf.DUMMYFUNCTION("""COMPUTED_VALUE"""),"GV")</f>
        <v>GV</v>
      </c>
      <c r="M1616" s="43" t="str">
        <f>IFERROR(__xludf.DUMMYFUNCTION("""COMPUTED_VALUE"""),"short")</f>
        <v>short</v>
      </c>
      <c r="N1616" s="45">
        <f>IFERROR(__xludf.DUMMYFUNCTION("""COMPUTED_VALUE"""),45249.0)</f>
        <v>45249</v>
      </c>
      <c r="O1616" s="45">
        <f>IFERROR(__xludf.DUMMYFUNCTION("""COMPUTED_VALUE"""),45411.0)</f>
        <v>45411</v>
      </c>
      <c r="P1616" s="45">
        <f>IFERROR(__xludf.DUMMYFUNCTION("""COMPUTED_VALUE"""),45457.0)</f>
        <v>45457</v>
      </c>
      <c r="Q1616" s="45"/>
      <c r="R1616" s="45"/>
      <c r="S1616" s="43"/>
      <c r="T1616" s="43"/>
      <c r="U1616" s="43" t="str">
        <f>IFERROR(__xludf.DUMMYFUNCTION("""COMPUTED_VALUE"""),"Global Classroom")</f>
        <v>Global Classroom</v>
      </c>
      <c r="V1616" s="43" t="str">
        <f>IFERROR(__xludf.DUMMYFUNCTION("""COMPUTED_VALUE"""),"Mithibai College of Commerce and Science, Vile Parle")</f>
        <v>Mithibai College of Commerce and Science, Vile Parle</v>
      </c>
      <c r="W1616" s="43" t="str">
        <f>IFERROR(__xludf.DUMMYFUNCTION("""COMPUTED_VALUE"""),"2023-08-31T07:15:47Z")</f>
        <v>2023-08-31T07:15:47Z</v>
      </c>
      <c r="X1616" s="43"/>
      <c r="Y1616" s="43"/>
      <c r="Z1616" s="43"/>
    </row>
    <row r="1617" hidden="1">
      <c r="A1617" s="43" t="str">
        <f>IFERROR(__xludf.DUMMYFUNCTION("""COMPUTED_VALUE"""),"5371616_1299474")</f>
        <v>5371616_1299474</v>
      </c>
      <c r="B1617" s="43" t="str">
        <f>IFERROR(__xludf.DUMMYFUNCTION("""COMPUTED_VALUE"""),"Elena Roxana Dulgheru")</f>
        <v>Elena Roxana Dulgheru</v>
      </c>
      <c r="C1617" s="43" t="str">
        <f>IFERROR(__xludf.DUMMYFUNCTION("""COMPUTED_VALUE"""),"approved")</f>
        <v>approved</v>
      </c>
      <c r="D1617" s="43" t="str">
        <f>IFERROR(__xludf.DUMMYFUNCTION("""COMPUTED_VALUE"""),"No")</f>
        <v>No</v>
      </c>
      <c r="E1617" s="43" t="str">
        <f>IFERROR(__xludf.DUMMYFUNCTION("""COMPUTED_VALUE"""),"p_0f6e8db264901869805a65d46b16590e932b5419@inbound.aiesec.org")</f>
        <v>p_0f6e8db264901869805a65d46b16590e932b5419@inbound.aiesec.org</v>
      </c>
      <c r="F1617" s="43"/>
      <c r="G1617" s="43" t="str">
        <f>IFERROR(__xludf.DUMMYFUNCTION("""COMPUTED_VALUE"""),"Romania")</f>
        <v>Romania</v>
      </c>
      <c r="H1617" s="43" t="str">
        <f>IFERROR(__xludf.DUMMYFUNCTION("""COMPUTED_VALUE"""),"BUCURESTI")</f>
        <v>BUCURESTI</v>
      </c>
      <c r="I1617" s="43" t="str">
        <f>IFERROR(__xludf.DUMMYFUNCTION("""COMPUTED_VALUE"""),"Turkey")</f>
        <v>Turkey</v>
      </c>
      <c r="J1617" s="43" t="str">
        <f>IFERROR(__xludf.DUMMYFUNCTION("""COMPUTED_VALUE"""),"ANKARA")</f>
        <v>ANKARA</v>
      </c>
      <c r="K1617" s="44" t="str">
        <f>IFERROR(__xludf.DUMMYFUNCTION("""COMPUTED_VALUE"""),"https://expa.aiesec.org/opportunities/1299474")</f>
        <v>https://expa.aiesec.org/opportunities/1299474</v>
      </c>
      <c r="L1617" s="43" t="str">
        <f>IFERROR(__xludf.DUMMYFUNCTION("""COMPUTED_VALUE"""),"GV")</f>
        <v>GV</v>
      </c>
      <c r="M1617" s="43" t="str">
        <f>IFERROR(__xludf.DUMMYFUNCTION("""COMPUTED_VALUE"""),"short")</f>
        <v>short</v>
      </c>
      <c r="N1617" s="45">
        <f>IFERROR(__xludf.DUMMYFUNCTION("""COMPUTED_VALUE"""),45249.0)</f>
        <v>45249</v>
      </c>
      <c r="O1617" s="45">
        <f>IFERROR(__xludf.DUMMYFUNCTION("""COMPUTED_VALUE"""),45495.0)</f>
        <v>45495</v>
      </c>
      <c r="P1617" s="45">
        <f>IFERROR(__xludf.DUMMYFUNCTION("""COMPUTED_VALUE"""),45537.0)</f>
        <v>45537</v>
      </c>
      <c r="Q1617" s="45"/>
      <c r="R1617" s="45"/>
      <c r="S1617" s="43"/>
      <c r="T1617" s="43"/>
      <c r="U1617" s="43" t="str">
        <f>IFERROR(__xludf.DUMMYFUNCTION("""COMPUTED_VALUE"""),"Global Classroom")</f>
        <v>Global Classroom</v>
      </c>
      <c r="V1617" s="43" t="str">
        <f>IFERROR(__xludf.DUMMYFUNCTION("""COMPUTED_VALUE"""),"-")</f>
        <v>-</v>
      </c>
      <c r="W1617" s="43" t="str">
        <f>IFERROR(__xludf.DUMMYFUNCTION("""COMPUTED_VALUE"""),"2023-11-13T14:26:11Z")</f>
        <v>2023-11-13T14:26:11Z</v>
      </c>
      <c r="X1617" s="43"/>
      <c r="Y1617" s="43"/>
      <c r="Z1617" s="43"/>
    </row>
    <row r="1618" hidden="1">
      <c r="A1618" s="43" t="str">
        <f>IFERROR(__xludf.DUMMYFUNCTION("""COMPUTED_VALUE"""),"4838215_1286034")</f>
        <v>4838215_1286034</v>
      </c>
      <c r="B1618" s="43" t="str">
        <f>IFERROR(__xludf.DUMMYFUNCTION("""COMPUTED_VALUE"""),"Sandra Sdiri")</f>
        <v>Sandra Sdiri</v>
      </c>
      <c r="C1618" s="43" t="str">
        <f>IFERROR(__xludf.DUMMYFUNCTION("""COMPUTED_VALUE"""),"approved")</f>
        <v>approved</v>
      </c>
      <c r="D1618" s="43" t="str">
        <f>IFERROR(__xludf.DUMMYFUNCTION("""COMPUTED_VALUE"""),"No")</f>
        <v>No</v>
      </c>
      <c r="E1618" s="43" t="str">
        <f>IFERROR(__xludf.DUMMYFUNCTION("""COMPUTED_VALUE"""),"p_7f1e0f25ab042f811f7ccf99ffdca151cb9772c5@inbound.aiesec.org")</f>
        <v>p_7f1e0f25ab042f811f7ccf99ffdca151cb9772c5@inbound.aiesec.org</v>
      </c>
      <c r="F1618" s="43"/>
      <c r="G1618" s="43" t="str">
        <f>IFERROR(__xludf.DUMMYFUNCTION("""COMPUTED_VALUE"""),"Tunisia")</f>
        <v>Tunisia</v>
      </c>
      <c r="H1618" s="43" t="str">
        <f>IFERROR(__xludf.DUMMYFUNCTION("""COMPUTED_VALUE"""),"UNIVERSITY")</f>
        <v>UNIVERSITY</v>
      </c>
      <c r="I1618" s="43" t="str">
        <f>IFERROR(__xludf.DUMMYFUNCTION("""COMPUTED_VALUE"""),"Turkey")</f>
        <v>Turkey</v>
      </c>
      <c r="J1618" s="43" t="str">
        <f>IFERROR(__xludf.DUMMYFUNCTION("""COMPUTED_VALUE"""),"ANTALYA")</f>
        <v>ANTALYA</v>
      </c>
      <c r="K1618" s="44" t="str">
        <f>IFERROR(__xludf.DUMMYFUNCTION("""COMPUTED_VALUE"""),"https://expa.aiesec.org/opportunities/1286034")</f>
        <v>https://expa.aiesec.org/opportunities/1286034</v>
      </c>
      <c r="L1618" s="43" t="str">
        <f>IFERROR(__xludf.DUMMYFUNCTION("""COMPUTED_VALUE"""),"GV")</f>
        <v>GV</v>
      </c>
      <c r="M1618" s="43" t="str">
        <f>IFERROR(__xludf.DUMMYFUNCTION("""COMPUTED_VALUE"""),"short")</f>
        <v>short</v>
      </c>
      <c r="N1618" s="45">
        <f>IFERROR(__xludf.DUMMYFUNCTION("""COMPUTED_VALUE"""),45250.0)</f>
        <v>45250</v>
      </c>
      <c r="O1618" s="45">
        <f>IFERROR(__xludf.DUMMYFUNCTION("""COMPUTED_VALUE"""),45425.0)</f>
        <v>45425</v>
      </c>
      <c r="P1618" s="45">
        <f>IFERROR(__xludf.DUMMYFUNCTION("""COMPUTED_VALUE"""),45467.0)</f>
        <v>45467</v>
      </c>
      <c r="Q1618" s="45"/>
      <c r="R1618" s="45"/>
      <c r="S1618" s="43"/>
      <c r="T1618" s="43"/>
      <c r="U1618" s="43" t="str">
        <f>IFERROR(__xludf.DUMMYFUNCTION("""COMPUTED_VALUE"""),"Global Classroom")</f>
        <v>Global Classroom</v>
      </c>
      <c r="V1618" s="43" t="str">
        <f>IFERROR(__xludf.DUMMYFUNCTION("""COMPUTED_VALUE"""),"-")</f>
        <v>-</v>
      </c>
      <c r="W1618" s="43" t="str">
        <f>IFERROR(__xludf.DUMMYFUNCTION("""COMPUTED_VALUE"""),"2021-12-10T15:03:27Z")</f>
        <v>2021-12-10T15:03:27Z</v>
      </c>
      <c r="X1618" s="43"/>
      <c r="Y1618" s="43"/>
      <c r="Z1618" s="43"/>
    </row>
    <row r="1619" hidden="1">
      <c r="A1619" s="43" t="str">
        <f>IFERROR(__xludf.DUMMYFUNCTION("""COMPUTED_VALUE"""),"4230939_1296105")</f>
        <v>4230939_1296105</v>
      </c>
      <c r="B1619" s="43" t="str">
        <f>IFERROR(__xludf.DUMMYFUNCTION("""COMPUTED_VALUE"""),"Honcharuk Lina")</f>
        <v>Honcharuk Lina</v>
      </c>
      <c r="C1619" s="43" t="str">
        <f>IFERROR(__xludf.DUMMYFUNCTION("""COMPUTED_VALUE"""),"approved")</f>
        <v>approved</v>
      </c>
      <c r="D1619" s="43" t="str">
        <f>IFERROR(__xludf.DUMMYFUNCTION("""COMPUTED_VALUE"""),"No")</f>
        <v>No</v>
      </c>
      <c r="E1619" s="43" t="str">
        <f>IFERROR(__xludf.DUMMYFUNCTION("""COMPUTED_VALUE"""),"p_d131fa8ef3d54a4a7d65cd7b89ecd3aa70d93a21@inbound.aiesec.org")</f>
        <v>p_d131fa8ef3d54a4a7d65cd7b89ecd3aa70d93a21@inbound.aiesec.org</v>
      </c>
      <c r="F1619" s="43">
        <f>IFERROR(__xludf.DUMMYFUNCTION("""COMPUTED_VALUE"""),6.81465558E8)</f>
        <v>681465558</v>
      </c>
      <c r="G1619" s="43" t="str">
        <f>IFERROR(__xludf.DUMMYFUNCTION("""COMPUTED_VALUE"""),"Ukraine")</f>
        <v>Ukraine</v>
      </c>
      <c r="H1619" s="43" t="str">
        <f>IFERROR(__xludf.DUMMYFUNCTION("""COMPUTED_VALUE"""),"VINNYTSIA")</f>
        <v>VINNYTSIA</v>
      </c>
      <c r="I1619" s="43" t="str">
        <f>IFERROR(__xludf.DUMMYFUNCTION("""COMPUTED_VALUE"""),"Turkey")</f>
        <v>Turkey</v>
      </c>
      <c r="J1619" s="43" t="str">
        <f>IFERROR(__xludf.DUMMYFUNCTION("""COMPUTED_VALUE"""),"ANKARA")</f>
        <v>ANKARA</v>
      </c>
      <c r="K1619" s="44" t="str">
        <f>IFERROR(__xludf.DUMMYFUNCTION("""COMPUTED_VALUE"""),"https://expa.aiesec.org/opportunities/1296105")</f>
        <v>https://expa.aiesec.org/opportunities/1296105</v>
      </c>
      <c r="L1619" s="43" t="str">
        <f>IFERROR(__xludf.DUMMYFUNCTION("""COMPUTED_VALUE"""),"GV")</f>
        <v>GV</v>
      </c>
      <c r="M1619" s="43" t="str">
        <f>IFERROR(__xludf.DUMMYFUNCTION("""COMPUTED_VALUE"""),"short")</f>
        <v>short</v>
      </c>
      <c r="N1619" s="45">
        <f>IFERROR(__xludf.DUMMYFUNCTION("""COMPUTED_VALUE"""),45250.0)</f>
        <v>45250</v>
      </c>
      <c r="O1619" s="45">
        <f>IFERROR(__xludf.DUMMYFUNCTION("""COMPUTED_VALUE"""),45397.0)</f>
        <v>45397</v>
      </c>
      <c r="P1619" s="45">
        <f>IFERROR(__xludf.DUMMYFUNCTION("""COMPUTED_VALUE"""),45439.0)</f>
        <v>45439</v>
      </c>
      <c r="Q1619" s="45"/>
      <c r="R1619" s="45"/>
      <c r="S1619" s="43"/>
      <c r="T1619" s="43"/>
      <c r="U1619" s="43" t="str">
        <f>IFERROR(__xludf.DUMMYFUNCTION("""COMPUTED_VALUE"""),"Fingerprint")</f>
        <v>Fingerprint</v>
      </c>
      <c r="V1619" s="43" t="str">
        <f>IFERROR(__xludf.DUMMYFUNCTION("""COMPUTED_VALUE"""),"Lviv ")</f>
        <v>Lviv </v>
      </c>
      <c r="W1619" s="43" t="str">
        <f>IFERROR(__xludf.DUMMYFUNCTION("""COMPUTED_VALUE"""),"2020-03-03T16:07:49Z")</f>
        <v>2020-03-03T16:07:49Z</v>
      </c>
      <c r="X1619" s="43"/>
      <c r="Y1619" s="43"/>
      <c r="Z1619" s="43"/>
    </row>
    <row r="1620" hidden="1">
      <c r="A1620" s="43" t="str">
        <f>IFERROR(__xludf.DUMMYFUNCTION("""COMPUTED_VALUE"""),"5375163_1284670")</f>
        <v>5375163_1284670</v>
      </c>
      <c r="B1620" s="43" t="str">
        <f>IFERROR(__xludf.DUMMYFUNCTION("""COMPUTED_VALUE"""),"Selbi Ismayilova")</f>
        <v>Selbi Ismayilova</v>
      </c>
      <c r="C1620" s="43" t="str">
        <f>IFERROR(__xludf.DUMMYFUNCTION("""COMPUTED_VALUE"""),"approved")</f>
        <v>approved</v>
      </c>
      <c r="D1620" s="43" t="str">
        <f>IFERROR(__xludf.DUMMYFUNCTION("""COMPUTED_VALUE"""),"No")</f>
        <v>No</v>
      </c>
      <c r="E1620" s="43" t="str">
        <f>IFERROR(__xludf.DUMMYFUNCTION("""COMPUTED_VALUE"""),"p_1500590858d5111a1d374a692995d15b04d0fc16@inbound.aiesec.org")</f>
        <v>p_1500590858d5111a1d374a692995d15b04d0fc16@inbound.aiesec.org</v>
      </c>
      <c r="F1620" s="43">
        <f>IFERROR(__xludf.DUMMYFUNCTION("""COMPUTED_VALUE"""),5.14593936E8)</f>
        <v>514593936</v>
      </c>
      <c r="G1620" s="43" t="str">
        <f>IFERROR(__xludf.DUMMYFUNCTION("""COMPUTED_VALUE"""),"Azerbaijan")</f>
        <v>Azerbaijan</v>
      </c>
      <c r="H1620" s="43" t="str">
        <f>IFERROR(__xludf.DUMMYFUNCTION("""COMPUTED_VALUE"""),"Baku Qafqaz")</f>
        <v>Baku Qafqaz</v>
      </c>
      <c r="I1620" s="43" t="str">
        <f>IFERROR(__xludf.DUMMYFUNCTION("""COMPUTED_VALUE"""),"Turkey")</f>
        <v>Turkey</v>
      </c>
      <c r="J1620" s="43" t="str">
        <f>IFERROR(__xludf.DUMMYFUNCTION("""COMPUTED_VALUE"""),"ISTANBUL")</f>
        <v>ISTANBUL</v>
      </c>
      <c r="K1620" s="44" t="str">
        <f>IFERROR(__xludf.DUMMYFUNCTION("""COMPUTED_VALUE"""),"https://expa.aiesec.org/opportunities/1284670")</f>
        <v>https://expa.aiesec.org/opportunities/1284670</v>
      </c>
      <c r="L1620" s="43" t="str">
        <f>IFERROR(__xludf.DUMMYFUNCTION("""COMPUTED_VALUE"""),"GV")</f>
        <v>GV</v>
      </c>
      <c r="M1620" s="43" t="str">
        <f>IFERROR(__xludf.DUMMYFUNCTION("""COMPUTED_VALUE"""),"short")</f>
        <v>short</v>
      </c>
      <c r="N1620" s="45">
        <f>IFERROR(__xludf.DUMMYFUNCTION("""COMPUTED_VALUE"""),45250.0)</f>
        <v>45250</v>
      </c>
      <c r="O1620" s="45">
        <f>IFERROR(__xludf.DUMMYFUNCTION("""COMPUTED_VALUE"""),45476.0)</f>
        <v>45476</v>
      </c>
      <c r="P1620" s="45">
        <f>IFERROR(__xludf.DUMMYFUNCTION("""COMPUTED_VALUE"""),45518.0)</f>
        <v>45518</v>
      </c>
      <c r="Q1620" s="45"/>
      <c r="R1620" s="45"/>
      <c r="S1620" s="43"/>
      <c r="T1620" s="43"/>
      <c r="U1620" s="43" t="str">
        <f>IFERROR(__xludf.DUMMYFUNCTION("""COMPUTED_VALUE"""),"Heartbeat")</f>
        <v>Heartbeat</v>
      </c>
      <c r="V1620" s="43" t="str">
        <f>IFERROR(__xludf.DUMMYFUNCTION("""COMPUTED_VALUE"""),"Azerbaijan State Academy of Physical Education and Sport")</f>
        <v>Azerbaijan State Academy of Physical Education and Sport</v>
      </c>
      <c r="W1620" s="43" t="str">
        <f>IFERROR(__xludf.DUMMYFUNCTION("""COMPUTED_VALUE"""),"2023-11-18T20:30:23Z")</f>
        <v>2023-11-18T20:30:23Z</v>
      </c>
      <c r="X1620" s="43"/>
      <c r="Y1620" s="43"/>
      <c r="Z1620" s="43"/>
    </row>
    <row r="1621" hidden="1">
      <c r="A1621" s="43" t="str">
        <f>IFERROR(__xludf.DUMMYFUNCTION("""COMPUTED_VALUE"""),"5375962_1289536")</f>
        <v>5375962_1289536</v>
      </c>
      <c r="B1621" s="43" t="str">
        <f>IFERROR(__xludf.DUMMYFUNCTION("""COMPUTED_VALUE"""),"Azza Jelassi")</f>
        <v>Azza Jelassi</v>
      </c>
      <c r="C1621" s="43" t="str">
        <f>IFERROR(__xludf.DUMMYFUNCTION("""COMPUTED_VALUE"""),"realized")</f>
        <v>realized</v>
      </c>
      <c r="D1621" s="43" t="str">
        <f>IFERROR(__xludf.DUMMYFUNCTION("""COMPUTED_VALUE"""),"No")</f>
        <v>No</v>
      </c>
      <c r="E1621" s="43" t="str">
        <f>IFERROR(__xludf.DUMMYFUNCTION("""COMPUTED_VALUE"""),"p_7280cbb3c38ed9b991f8c651bfb25ff852b180b9@inbound.aiesec.org")</f>
        <v>p_7280cbb3c38ed9b991f8c651bfb25ff852b180b9@inbound.aiesec.org</v>
      </c>
      <c r="F1621" s="43">
        <f>IFERROR(__xludf.DUMMYFUNCTION("""COMPUTED_VALUE"""),2.64813E7)</f>
        <v>26481300</v>
      </c>
      <c r="G1621" s="43" t="str">
        <f>IFERROR(__xludf.DUMMYFUNCTION("""COMPUTED_VALUE"""),"Tunisia")</f>
        <v>Tunisia</v>
      </c>
      <c r="H1621" s="43" t="str">
        <f>IFERROR(__xludf.DUMMYFUNCTION("""COMPUTED_VALUE"""),"Carthage")</f>
        <v>Carthage</v>
      </c>
      <c r="I1621" s="43" t="str">
        <f>IFERROR(__xludf.DUMMYFUNCTION("""COMPUTED_VALUE"""),"Turkey")</f>
        <v>Turkey</v>
      </c>
      <c r="J1621" s="43" t="str">
        <f>IFERROR(__xludf.DUMMYFUNCTION("""COMPUTED_VALUE"""),"ISTANBUL")</f>
        <v>ISTANBUL</v>
      </c>
      <c r="K1621" s="44" t="str">
        <f>IFERROR(__xludf.DUMMYFUNCTION("""COMPUTED_VALUE"""),"https://expa.aiesec.org/opportunities/1289536")</f>
        <v>https://expa.aiesec.org/opportunities/1289536</v>
      </c>
      <c r="L1621" s="43" t="str">
        <f>IFERROR(__xludf.DUMMYFUNCTION("""COMPUTED_VALUE"""),"GV")</f>
        <v>GV</v>
      </c>
      <c r="M1621" s="43" t="str">
        <f>IFERROR(__xludf.DUMMYFUNCTION("""COMPUTED_VALUE"""),"short")</f>
        <v>short</v>
      </c>
      <c r="N1621" s="45">
        <f>IFERROR(__xludf.DUMMYFUNCTION("""COMPUTED_VALUE"""),45250.0)</f>
        <v>45250</v>
      </c>
      <c r="O1621" s="45">
        <f>IFERROR(__xludf.DUMMYFUNCTION("""COMPUTED_VALUE"""),45305.0)</f>
        <v>45305</v>
      </c>
      <c r="P1621" s="45">
        <f>IFERROR(__xludf.DUMMYFUNCTION("""COMPUTED_VALUE"""),45347.0)</f>
        <v>45347</v>
      </c>
      <c r="Q1621" s="45">
        <f>IFERROR(__xludf.DUMMYFUNCTION("""COMPUTED_VALUE"""),45307.0)</f>
        <v>45307</v>
      </c>
      <c r="R1621" s="45">
        <f>IFERROR(__xludf.DUMMYFUNCTION("""COMPUTED_VALUE"""),45347.0)</f>
        <v>45347</v>
      </c>
      <c r="S1621" s="43"/>
      <c r="T1621" s="43"/>
      <c r="U1621" s="43" t="str">
        <f>IFERROR(__xludf.DUMMYFUNCTION("""COMPUTED_VALUE"""),"Global Classroom")</f>
        <v>Global Classroom</v>
      </c>
      <c r="V1621" s="43" t="str">
        <f>IFERROR(__xludf.DUMMYFUNCTION("""COMPUTED_VALUE"""),"ISLT")</f>
        <v>ISLT</v>
      </c>
      <c r="W1621" s="43" t="str">
        <f>IFERROR(__xludf.DUMMYFUNCTION("""COMPUTED_VALUE"""),"2023-11-20T12:57:48Z")</f>
        <v>2023-11-20T12:57:48Z</v>
      </c>
      <c r="X1621" s="43"/>
      <c r="Y1621" s="43"/>
      <c r="Z1621" s="43"/>
    </row>
    <row r="1622" hidden="1">
      <c r="A1622" s="43" t="str">
        <f>IFERROR(__xludf.DUMMYFUNCTION("""COMPUTED_VALUE"""),"5376271_1299474")</f>
        <v>5376271_1299474</v>
      </c>
      <c r="B1622" s="43" t="str">
        <f>IFERROR(__xludf.DUMMYFUNCTION("""COMPUTED_VALUE"""),"Sarah Hajri")</f>
        <v>Sarah Hajri</v>
      </c>
      <c r="C1622" s="43" t="str">
        <f>IFERROR(__xludf.DUMMYFUNCTION("""COMPUTED_VALUE"""),"approved")</f>
        <v>approved</v>
      </c>
      <c r="D1622" s="43" t="str">
        <f>IFERROR(__xludf.DUMMYFUNCTION("""COMPUTED_VALUE"""),"No")</f>
        <v>No</v>
      </c>
      <c r="E1622" s="43" t="str">
        <f>IFERROR(__xludf.DUMMYFUNCTION("""COMPUTED_VALUE"""),"p_82b1bab1539363421f131886f3dd1fd860a83146@inbound.aiesec.org")</f>
        <v>p_82b1bab1539363421f131886f3dd1fd860a83146@inbound.aiesec.org</v>
      </c>
      <c r="F1622" s="43">
        <f>IFERROR(__xludf.DUMMYFUNCTION("""COMPUTED_VALUE"""),5.3568924E7)</f>
        <v>53568924</v>
      </c>
      <c r="G1622" s="43" t="str">
        <f>IFERROR(__xludf.DUMMYFUNCTION("""COMPUTED_VALUE"""),"Tunisia")</f>
        <v>Tunisia</v>
      </c>
      <c r="H1622" s="43" t="str">
        <f>IFERROR(__xludf.DUMMYFUNCTION("""COMPUTED_VALUE"""),"UNIVERSITY")</f>
        <v>UNIVERSITY</v>
      </c>
      <c r="I1622" s="43" t="str">
        <f>IFERROR(__xludf.DUMMYFUNCTION("""COMPUTED_VALUE"""),"Turkey")</f>
        <v>Turkey</v>
      </c>
      <c r="J1622" s="43" t="str">
        <f>IFERROR(__xludf.DUMMYFUNCTION("""COMPUTED_VALUE"""),"ANKARA")</f>
        <v>ANKARA</v>
      </c>
      <c r="K1622" s="44" t="str">
        <f>IFERROR(__xludf.DUMMYFUNCTION("""COMPUTED_VALUE"""),"https://expa.aiesec.org/opportunities/1299474")</f>
        <v>https://expa.aiesec.org/opportunities/1299474</v>
      </c>
      <c r="L1622" s="43" t="str">
        <f>IFERROR(__xludf.DUMMYFUNCTION("""COMPUTED_VALUE"""),"GV")</f>
        <v>GV</v>
      </c>
      <c r="M1622" s="43" t="str">
        <f>IFERROR(__xludf.DUMMYFUNCTION("""COMPUTED_VALUE"""),"short")</f>
        <v>short</v>
      </c>
      <c r="N1622" s="45">
        <f>IFERROR(__xludf.DUMMYFUNCTION("""COMPUTED_VALUE"""),45250.0)</f>
        <v>45250</v>
      </c>
      <c r="O1622" s="45">
        <f>IFERROR(__xludf.DUMMYFUNCTION("""COMPUTED_VALUE"""),45411.0)</f>
        <v>45411</v>
      </c>
      <c r="P1622" s="45">
        <f>IFERROR(__xludf.DUMMYFUNCTION("""COMPUTED_VALUE"""),45453.0)</f>
        <v>45453</v>
      </c>
      <c r="Q1622" s="45"/>
      <c r="R1622" s="45"/>
      <c r="S1622" s="43"/>
      <c r="T1622" s="43"/>
      <c r="U1622" s="43" t="str">
        <f>IFERROR(__xludf.DUMMYFUNCTION("""COMPUTED_VALUE"""),"Global Classroom")</f>
        <v>Global Classroom</v>
      </c>
      <c r="V1622" s="43" t="str">
        <f>IFERROR(__xludf.DUMMYFUNCTION("""COMPUTED_VALUE"""),"ENIT")</f>
        <v>ENIT</v>
      </c>
      <c r="W1622" s="43" t="str">
        <f>IFERROR(__xludf.DUMMYFUNCTION("""COMPUTED_VALUE"""),"2023-11-20T18:24:29Z")</f>
        <v>2023-11-20T18:24:29Z</v>
      </c>
      <c r="X1622" s="43"/>
      <c r="Y1622" s="43"/>
      <c r="Z1622" s="43"/>
    </row>
    <row r="1623" hidden="1">
      <c r="A1623" s="43" t="str">
        <f>IFERROR(__xludf.DUMMYFUNCTION("""COMPUTED_VALUE"""),"5376060_1286326")</f>
        <v>5376060_1286326</v>
      </c>
      <c r="B1623" s="43" t="str">
        <f>IFERROR(__xludf.DUMMYFUNCTION("""COMPUTED_VALUE"""),"Eya Laadhar")</f>
        <v>Eya Laadhar</v>
      </c>
      <c r="C1623" s="43" t="str">
        <f>IFERROR(__xludf.DUMMYFUNCTION("""COMPUTED_VALUE"""),"approved")</f>
        <v>approved</v>
      </c>
      <c r="D1623" s="43" t="str">
        <f>IFERROR(__xludf.DUMMYFUNCTION("""COMPUTED_VALUE"""),"No")</f>
        <v>No</v>
      </c>
      <c r="E1623" s="43" t="str">
        <f>IFERROR(__xludf.DUMMYFUNCTION("""COMPUTED_VALUE"""),"p_362ea1d4fea2c8cbc01b726213bf38385cdc1528@inbound.aiesec.org")</f>
        <v>p_362ea1d4fea2c8cbc01b726213bf38385cdc1528@inbound.aiesec.org</v>
      </c>
      <c r="F1623" s="43"/>
      <c r="G1623" s="43" t="str">
        <f>IFERROR(__xludf.DUMMYFUNCTION("""COMPUTED_VALUE"""),"Tunisia")</f>
        <v>Tunisia</v>
      </c>
      <c r="H1623" s="43" t="str">
        <f>IFERROR(__xludf.DUMMYFUNCTION("""COMPUTED_VALUE"""),"HADRUMET")</f>
        <v>HADRUMET</v>
      </c>
      <c r="I1623" s="43" t="str">
        <f>IFERROR(__xludf.DUMMYFUNCTION("""COMPUTED_VALUE"""),"Turkey")</f>
        <v>Turkey</v>
      </c>
      <c r="J1623" s="43" t="str">
        <f>IFERROR(__xludf.DUMMYFUNCTION("""COMPUTED_VALUE"""),"ADANA")</f>
        <v>ADANA</v>
      </c>
      <c r="K1623" s="44" t="str">
        <f>IFERROR(__xludf.DUMMYFUNCTION("""COMPUTED_VALUE"""),"https://expa.aiesec.org/opportunities/1286326")</f>
        <v>https://expa.aiesec.org/opportunities/1286326</v>
      </c>
      <c r="L1623" s="43" t="str">
        <f>IFERROR(__xludf.DUMMYFUNCTION("""COMPUTED_VALUE"""),"GV")</f>
        <v>GV</v>
      </c>
      <c r="M1623" s="43" t="str">
        <f>IFERROR(__xludf.DUMMYFUNCTION("""COMPUTED_VALUE"""),"short")</f>
        <v>short</v>
      </c>
      <c r="N1623" s="45">
        <f>IFERROR(__xludf.DUMMYFUNCTION("""COMPUTED_VALUE"""),45250.0)</f>
        <v>45250</v>
      </c>
      <c r="O1623" s="45">
        <f>IFERROR(__xludf.DUMMYFUNCTION("""COMPUTED_VALUE"""),45453.0)</f>
        <v>45453</v>
      </c>
      <c r="P1623" s="45">
        <f>IFERROR(__xludf.DUMMYFUNCTION("""COMPUTED_VALUE"""),45495.0)</f>
        <v>45495</v>
      </c>
      <c r="Q1623" s="45"/>
      <c r="R1623" s="45"/>
      <c r="S1623" s="43"/>
      <c r="T1623" s="43"/>
      <c r="U1623" s="43" t="str">
        <f>IFERROR(__xludf.DUMMYFUNCTION("""COMPUTED_VALUE"""),"Equify")</f>
        <v>Equify</v>
      </c>
      <c r="V1623" s="43" t="str">
        <f>IFERROR(__xludf.DUMMYFUNCTION("""COMPUTED_VALUE"""),"IHEC Sousse")</f>
        <v>IHEC Sousse</v>
      </c>
      <c r="W1623" s="43" t="str">
        <f>IFERROR(__xludf.DUMMYFUNCTION("""COMPUTED_VALUE"""),"2023-11-20T14:24:08Z")</f>
        <v>2023-11-20T14:24:08Z</v>
      </c>
      <c r="X1623" s="43"/>
      <c r="Y1623" s="43"/>
      <c r="Z1623" s="43"/>
    </row>
    <row r="1624" hidden="1">
      <c r="A1624" s="43" t="str">
        <f>IFERROR(__xludf.DUMMYFUNCTION("""COMPUTED_VALUE"""),"1693095_1288490")</f>
        <v>1693095_1288490</v>
      </c>
      <c r="B1624" s="43" t="str">
        <f>IFERROR(__xludf.DUMMYFUNCTION("""COMPUTED_VALUE"""),"Fares Jaballah")</f>
        <v>Fares Jaballah</v>
      </c>
      <c r="C1624" s="43" t="str">
        <f>IFERROR(__xludf.DUMMYFUNCTION("""COMPUTED_VALUE"""),"approved")</f>
        <v>approved</v>
      </c>
      <c r="D1624" s="43" t="str">
        <f>IFERROR(__xludf.DUMMYFUNCTION("""COMPUTED_VALUE"""),"No")</f>
        <v>No</v>
      </c>
      <c r="E1624" s="43" t="str">
        <f>IFERROR(__xludf.DUMMYFUNCTION("""COMPUTED_VALUE"""),"p_395557a6ecb4ea3c4b761cbfca44491f4604a44b@inbound.aiesec.org")</f>
        <v>p_395557a6ecb4ea3c4b761cbfca44491f4604a44b@inbound.aiesec.org</v>
      </c>
      <c r="F1624" s="43">
        <f>IFERROR(__xludf.DUMMYFUNCTION("""COMPUTED_VALUE"""),2.6757223E7)</f>
        <v>26757223</v>
      </c>
      <c r="G1624" s="43" t="str">
        <f>IFERROR(__xludf.DUMMYFUNCTION("""COMPUTED_VALUE"""),"Tunisia")</f>
        <v>Tunisia</v>
      </c>
      <c r="H1624" s="43" t="str">
        <f>IFERROR(__xludf.DUMMYFUNCTION("""COMPUTED_VALUE"""),"BARDO")</f>
        <v>BARDO</v>
      </c>
      <c r="I1624" s="43" t="str">
        <f>IFERROR(__xludf.DUMMYFUNCTION("""COMPUTED_VALUE"""),"Turkey")</f>
        <v>Turkey</v>
      </c>
      <c r="J1624" s="43" t="str">
        <f>IFERROR(__xludf.DUMMYFUNCTION("""COMPUTED_VALUE"""),"ISPARTA")</f>
        <v>ISPARTA</v>
      </c>
      <c r="K1624" s="44" t="str">
        <f>IFERROR(__xludf.DUMMYFUNCTION("""COMPUTED_VALUE"""),"https://expa.aiesec.org/opportunities/1288490")</f>
        <v>https://expa.aiesec.org/opportunities/1288490</v>
      </c>
      <c r="L1624" s="43" t="str">
        <f>IFERROR(__xludf.DUMMYFUNCTION("""COMPUTED_VALUE"""),"GV")</f>
        <v>GV</v>
      </c>
      <c r="M1624" s="43" t="str">
        <f>IFERROR(__xludf.DUMMYFUNCTION("""COMPUTED_VALUE"""),"short")</f>
        <v>short</v>
      </c>
      <c r="N1624" s="45">
        <f>IFERROR(__xludf.DUMMYFUNCTION("""COMPUTED_VALUE"""),45250.0)</f>
        <v>45250</v>
      </c>
      <c r="O1624" s="45">
        <f>IFERROR(__xludf.DUMMYFUNCTION("""COMPUTED_VALUE"""),45466.0)</f>
        <v>45466</v>
      </c>
      <c r="P1624" s="45">
        <f>IFERROR(__xludf.DUMMYFUNCTION("""COMPUTED_VALUE"""),45508.0)</f>
        <v>45508</v>
      </c>
      <c r="Q1624" s="45"/>
      <c r="R1624" s="45"/>
      <c r="S1624" s="43"/>
      <c r="T1624" s="43"/>
      <c r="U1624" s="43" t="str">
        <f>IFERROR(__xludf.DUMMYFUNCTION("""COMPUTED_VALUE"""),"Global Classroom")</f>
        <v>Global Classroom</v>
      </c>
      <c r="V1624" s="43" t="str">
        <f>IFERROR(__xludf.DUMMYFUNCTION("""COMPUTED_VALUE"""),"-")</f>
        <v>-</v>
      </c>
      <c r="W1624" s="43" t="str">
        <f>IFERROR(__xludf.DUMMYFUNCTION("""COMPUTED_VALUE"""),"2017-08-15T21:28:43Z")</f>
        <v>2017-08-15T21:28:43Z</v>
      </c>
      <c r="X1624" s="43"/>
      <c r="Y1624" s="43"/>
      <c r="Z1624" s="43"/>
    </row>
    <row r="1625" hidden="1">
      <c r="A1625" s="43" t="str">
        <f>IFERROR(__xludf.DUMMYFUNCTION("""COMPUTED_VALUE"""),"5370883_1300624")</f>
        <v>5370883_1300624</v>
      </c>
      <c r="B1625" s="43" t="str">
        <f>IFERROR(__xludf.DUMMYFUNCTION("""COMPUTED_VALUE"""),"Ravinesh Perera")</f>
        <v>Ravinesh Perera</v>
      </c>
      <c r="C1625" s="43" t="str">
        <f>IFERROR(__xludf.DUMMYFUNCTION("""COMPUTED_VALUE"""),"completed")</f>
        <v>completed</v>
      </c>
      <c r="D1625" s="43" t="str">
        <f>IFERROR(__xludf.DUMMYFUNCTION("""COMPUTED_VALUE"""),"No")</f>
        <v>No</v>
      </c>
      <c r="E1625" s="43" t="str">
        <f>IFERROR(__xludf.DUMMYFUNCTION("""COMPUTED_VALUE"""),"p_b35c9c7fa78574132ce528e87bf4256c0ea95c20@inbound.aiesec.org")</f>
        <v>p_b35c9c7fa78574132ce528e87bf4256c0ea95c20@inbound.aiesec.org</v>
      </c>
      <c r="F1625" s="43">
        <f>IFERROR(__xludf.DUMMYFUNCTION("""COMPUTED_VALUE"""),7.74338021E8)</f>
        <v>774338021</v>
      </c>
      <c r="G1625" s="43" t="str">
        <f>IFERROR(__xludf.DUMMYFUNCTION("""COMPUTED_VALUE"""),"Sri Lanka")</f>
        <v>Sri Lanka</v>
      </c>
      <c r="H1625" s="43" t="str">
        <f>IFERROR(__xludf.DUMMYFUNCTION("""COMPUTED_VALUE"""),"COLOMBO SOUTH")</f>
        <v>COLOMBO SOUTH</v>
      </c>
      <c r="I1625" s="43" t="str">
        <f>IFERROR(__xludf.DUMMYFUNCTION("""COMPUTED_VALUE"""),"Turkey")</f>
        <v>Turkey</v>
      </c>
      <c r="J1625" s="43" t="str">
        <f>IFERROR(__xludf.DUMMYFUNCTION("""COMPUTED_VALUE"""),"ESKISEHIR")</f>
        <v>ESKISEHIR</v>
      </c>
      <c r="K1625" s="44" t="str">
        <f>IFERROR(__xludf.DUMMYFUNCTION("""COMPUTED_VALUE"""),"https://expa.aiesec.org/opportunities/1300624")</f>
        <v>https://expa.aiesec.org/opportunities/1300624</v>
      </c>
      <c r="L1625" s="43" t="str">
        <f>IFERROR(__xludf.DUMMYFUNCTION("""COMPUTED_VALUE"""),"GV")</f>
        <v>GV</v>
      </c>
      <c r="M1625" s="43" t="str">
        <f>IFERROR(__xludf.DUMMYFUNCTION("""COMPUTED_VALUE"""),"short")</f>
        <v>short</v>
      </c>
      <c r="N1625" s="45">
        <f>IFERROR(__xludf.DUMMYFUNCTION("""COMPUTED_VALUE"""),45250.0)</f>
        <v>45250</v>
      </c>
      <c r="O1625" s="45">
        <f>IFERROR(__xludf.DUMMYFUNCTION("""COMPUTED_VALUE"""),45264.0)</f>
        <v>45264</v>
      </c>
      <c r="P1625" s="45">
        <f>IFERROR(__xludf.DUMMYFUNCTION("""COMPUTED_VALUE"""),45306.0)</f>
        <v>45306</v>
      </c>
      <c r="Q1625" s="45">
        <f>IFERROR(__xludf.DUMMYFUNCTION("""COMPUTED_VALUE"""),45270.0)</f>
        <v>45270</v>
      </c>
      <c r="R1625" s="45">
        <f>IFERROR(__xludf.DUMMYFUNCTION("""COMPUTED_VALUE"""),45310.0)</f>
        <v>45310</v>
      </c>
      <c r="S1625" s="43"/>
      <c r="T1625" s="43"/>
      <c r="U1625" s="43" t="str">
        <f>IFERROR(__xludf.DUMMYFUNCTION("""COMPUTED_VALUE"""),"Global Classroom")</f>
        <v>Global Classroom</v>
      </c>
      <c r="V1625" s="43" t="str">
        <f>IFERROR(__xludf.DUMMYFUNCTION("""COMPUTED_VALUE"""),"University of Moratuwa")</f>
        <v>University of Moratuwa</v>
      </c>
      <c r="W1625" s="43" t="str">
        <f>IFERROR(__xludf.DUMMYFUNCTION("""COMPUTED_VALUE"""),"2023-11-11T20:07:06Z")</f>
        <v>2023-11-11T20:07:06Z</v>
      </c>
      <c r="X1625" s="43"/>
      <c r="Y1625" s="43"/>
      <c r="Z1625" s="43"/>
    </row>
    <row r="1626" hidden="1">
      <c r="A1626" s="43" t="str">
        <f>IFERROR(__xludf.DUMMYFUNCTION("""COMPUTED_VALUE"""),"5341556_1296671")</f>
        <v>5341556_1296671</v>
      </c>
      <c r="B1626" s="43" t="str">
        <f>IFERROR(__xludf.DUMMYFUNCTION("""COMPUTED_VALUE"""),"Omar Mostafa")</f>
        <v>Omar Mostafa</v>
      </c>
      <c r="C1626" s="43" t="str">
        <f>IFERROR(__xludf.DUMMYFUNCTION("""COMPUTED_VALUE"""),"approved")</f>
        <v>approved</v>
      </c>
      <c r="D1626" s="43" t="str">
        <f>IFERROR(__xludf.DUMMYFUNCTION("""COMPUTED_VALUE"""),"No")</f>
        <v>No</v>
      </c>
      <c r="E1626" s="43" t="str">
        <f>IFERROR(__xludf.DUMMYFUNCTION("""COMPUTED_VALUE"""),"p_e82a9de962d4467771fea889d202d5a1332771af@inbound.aiesec.org")</f>
        <v>p_e82a9de962d4467771fea889d202d5a1332771af@inbound.aiesec.org</v>
      </c>
      <c r="F1626" s="43">
        <f>IFERROR(__xludf.DUMMYFUNCTION("""COMPUTED_VALUE"""),1.123513422E9)</f>
        <v>1123513422</v>
      </c>
      <c r="G1626" s="43" t="str">
        <f>IFERROR(__xludf.DUMMYFUNCTION("""COMPUTED_VALUE"""),"Egypt")</f>
        <v>Egypt</v>
      </c>
      <c r="H1626" s="43" t="str">
        <f>IFERROR(__xludf.DUMMYFUNCTION("""COMPUTED_VALUE"""),"Zagazig")</f>
        <v>Zagazig</v>
      </c>
      <c r="I1626" s="43" t="str">
        <f>IFERROR(__xludf.DUMMYFUNCTION("""COMPUTED_VALUE"""),"Turkey")</f>
        <v>Turkey</v>
      </c>
      <c r="J1626" s="43" t="str">
        <f>IFERROR(__xludf.DUMMYFUNCTION("""COMPUTED_VALUE"""),"BURSA")</f>
        <v>BURSA</v>
      </c>
      <c r="K1626" s="44" t="str">
        <f>IFERROR(__xludf.DUMMYFUNCTION("""COMPUTED_VALUE"""),"https://expa.aiesec.org/opportunities/1296671")</f>
        <v>https://expa.aiesec.org/opportunities/1296671</v>
      </c>
      <c r="L1626" s="43" t="str">
        <f>IFERROR(__xludf.DUMMYFUNCTION("""COMPUTED_VALUE"""),"GV")</f>
        <v>GV</v>
      </c>
      <c r="M1626" s="43" t="str">
        <f>IFERROR(__xludf.DUMMYFUNCTION("""COMPUTED_VALUE"""),"short")</f>
        <v>short</v>
      </c>
      <c r="N1626" s="45">
        <f>IFERROR(__xludf.DUMMYFUNCTION("""COMPUTED_VALUE"""),45250.0)</f>
        <v>45250</v>
      </c>
      <c r="O1626" s="45">
        <f>IFERROR(__xludf.DUMMYFUNCTION("""COMPUTED_VALUE"""),45280.0)</f>
        <v>45280</v>
      </c>
      <c r="P1626" s="45">
        <f>IFERROR(__xludf.DUMMYFUNCTION("""COMPUTED_VALUE"""),45322.0)</f>
        <v>45322</v>
      </c>
      <c r="Q1626" s="45"/>
      <c r="R1626" s="45"/>
      <c r="S1626" s="43"/>
      <c r="T1626" s="43"/>
      <c r="U1626" s="43" t="str">
        <f>IFERROR(__xludf.DUMMYFUNCTION("""COMPUTED_VALUE"""),"Youth 4 Impact")</f>
        <v>Youth 4 Impact</v>
      </c>
      <c r="V1626" s="43" t="str">
        <f>IFERROR(__xludf.DUMMYFUNCTION("""COMPUTED_VALUE"""),"Benha University")</f>
        <v>Benha University</v>
      </c>
      <c r="W1626" s="43" t="str">
        <f>IFERROR(__xludf.DUMMYFUNCTION("""COMPUTED_VALUE"""),"2023-10-04T05:30:09Z")</f>
        <v>2023-10-04T05:30:09Z</v>
      </c>
      <c r="X1626" s="43"/>
      <c r="Y1626" s="43"/>
      <c r="Z1626" s="43"/>
    </row>
    <row r="1627" hidden="1">
      <c r="A1627" s="43" t="str">
        <f>IFERROR(__xludf.DUMMYFUNCTION("""COMPUTED_VALUE"""),"5321298_1294584")</f>
        <v>5321298_1294584</v>
      </c>
      <c r="B1627" s="43" t="str">
        <f>IFERROR(__xludf.DUMMYFUNCTION("""COMPUTED_VALUE"""),"Milica Markovic")</f>
        <v>Milica Markovic</v>
      </c>
      <c r="C1627" s="43" t="str">
        <f>IFERROR(__xludf.DUMMYFUNCTION("""COMPUTED_VALUE"""),"approved")</f>
        <v>approved</v>
      </c>
      <c r="D1627" s="43" t="str">
        <f>IFERROR(__xludf.DUMMYFUNCTION("""COMPUTED_VALUE"""),"No")</f>
        <v>No</v>
      </c>
      <c r="E1627" s="43" t="str">
        <f>IFERROR(__xludf.DUMMYFUNCTION("""COMPUTED_VALUE"""),"p_fb9e214ff17498461c588f42a09129c5bbe9c894@inbound.aiesec.org")</f>
        <v>p_fb9e214ff17498461c588f42a09129c5bbe9c894@inbound.aiesec.org</v>
      </c>
      <c r="F1627" s="43">
        <f>IFERROR(__xludf.DUMMYFUNCTION("""COMPUTED_VALUE"""),6.3189955E8)</f>
        <v>631899550</v>
      </c>
      <c r="G1627" s="43" t="str">
        <f>IFERROR(__xludf.DUMMYFUNCTION("""COMPUTED_VALUE"""),"Serbia")</f>
        <v>Serbia</v>
      </c>
      <c r="H1627" s="43" t="str">
        <f>IFERROR(__xludf.DUMMYFUNCTION("""COMPUTED_VALUE"""),"Metropolitan")</f>
        <v>Metropolitan</v>
      </c>
      <c r="I1627" s="43" t="str">
        <f>IFERROR(__xludf.DUMMYFUNCTION("""COMPUTED_VALUE"""),"Turkey")</f>
        <v>Turkey</v>
      </c>
      <c r="J1627" s="43" t="str">
        <f>IFERROR(__xludf.DUMMYFUNCTION("""COMPUTED_VALUE"""),"ANTALYA")</f>
        <v>ANTALYA</v>
      </c>
      <c r="K1627" s="44" t="str">
        <f>IFERROR(__xludf.DUMMYFUNCTION("""COMPUTED_VALUE"""),"https://expa.aiesec.org/opportunities/1294584")</f>
        <v>https://expa.aiesec.org/opportunities/1294584</v>
      </c>
      <c r="L1627" s="43" t="str">
        <f>IFERROR(__xludf.DUMMYFUNCTION("""COMPUTED_VALUE"""),"GV")</f>
        <v>GV</v>
      </c>
      <c r="M1627" s="43" t="str">
        <f>IFERROR(__xludf.DUMMYFUNCTION("""COMPUTED_VALUE"""),"short")</f>
        <v>short</v>
      </c>
      <c r="N1627" s="45">
        <f>IFERROR(__xludf.DUMMYFUNCTION("""COMPUTED_VALUE"""),45251.0)</f>
        <v>45251</v>
      </c>
      <c r="O1627" s="45">
        <f>IFERROR(__xludf.DUMMYFUNCTION("""COMPUTED_VALUE"""),45509.0)</f>
        <v>45509</v>
      </c>
      <c r="P1627" s="45">
        <f>IFERROR(__xludf.DUMMYFUNCTION("""COMPUTED_VALUE"""),45551.0)</f>
        <v>45551</v>
      </c>
      <c r="Q1627" s="45"/>
      <c r="R1627" s="45"/>
      <c r="S1627" s="43"/>
      <c r="T1627" s="43"/>
      <c r="U1627" s="43" t="str">
        <f>IFERROR(__xludf.DUMMYFUNCTION("""COMPUTED_VALUE"""),"Youth 4 Impact")</f>
        <v>Youth 4 Impact</v>
      </c>
      <c r="V1627" s="43" t="str">
        <f>IFERROR(__xludf.DUMMYFUNCTION("""COMPUTED_VALUE"""),"Faculty of Philosophy, Belgrade")</f>
        <v>Faculty of Philosophy, Belgrade</v>
      </c>
      <c r="W1627" s="43" t="str">
        <f>IFERROR(__xludf.DUMMYFUNCTION("""COMPUTED_VALUE"""),"2023-09-10T19:26:15Z")</f>
        <v>2023-09-10T19:26:15Z</v>
      </c>
      <c r="X1627" s="43"/>
      <c r="Y1627" s="43"/>
      <c r="Z1627" s="43"/>
    </row>
    <row r="1628" hidden="1">
      <c r="A1628" s="43" t="str">
        <f>IFERROR(__xludf.DUMMYFUNCTION("""COMPUTED_VALUE"""),"5375617_1292535")</f>
        <v>5375617_1292535</v>
      </c>
      <c r="B1628" s="43" t="str">
        <f>IFERROR(__xludf.DUMMYFUNCTION("""COMPUTED_VALUE"""),"ilef mardessi")</f>
        <v>ilef mardessi</v>
      </c>
      <c r="C1628" s="43" t="str">
        <f>IFERROR(__xludf.DUMMYFUNCTION("""COMPUTED_VALUE"""),"approved")</f>
        <v>approved</v>
      </c>
      <c r="D1628" s="43" t="str">
        <f>IFERROR(__xludf.DUMMYFUNCTION("""COMPUTED_VALUE"""),"No")</f>
        <v>No</v>
      </c>
      <c r="E1628" s="43" t="str">
        <f>IFERROR(__xludf.DUMMYFUNCTION("""COMPUTED_VALUE"""),"p_d1bfd143a72732a36c4312970de0449fad8eb946@inbound.aiesec.org")</f>
        <v>p_d1bfd143a72732a36c4312970de0449fad8eb946@inbound.aiesec.org</v>
      </c>
      <c r="F1628" s="43">
        <f>IFERROR(__xludf.DUMMYFUNCTION("""COMPUTED_VALUE"""),2.9173856E7)</f>
        <v>29173856</v>
      </c>
      <c r="G1628" s="43" t="str">
        <f>IFERROR(__xludf.DUMMYFUNCTION("""COMPUTED_VALUE"""),"Tunisia")</f>
        <v>Tunisia</v>
      </c>
      <c r="H1628" s="43" t="str">
        <f>IFERROR(__xludf.DUMMYFUNCTION("""COMPUTED_VALUE"""),"UNIVERSITY")</f>
        <v>UNIVERSITY</v>
      </c>
      <c r="I1628" s="43" t="str">
        <f>IFERROR(__xludf.DUMMYFUNCTION("""COMPUTED_VALUE"""),"Turkey")</f>
        <v>Turkey</v>
      </c>
      <c r="J1628" s="43" t="str">
        <f>IFERROR(__xludf.DUMMYFUNCTION("""COMPUTED_VALUE"""),"ESKISEHIR")</f>
        <v>ESKISEHIR</v>
      </c>
      <c r="K1628" s="44" t="str">
        <f>IFERROR(__xludf.DUMMYFUNCTION("""COMPUTED_VALUE"""),"https://expa.aiesec.org/opportunities/1292535")</f>
        <v>https://expa.aiesec.org/opportunities/1292535</v>
      </c>
      <c r="L1628" s="43" t="str">
        <f>IFERROR(__xludf.DUMMYFUNCTION("""COMPUTED_VALUE"""),"GV")</f>
        <v>GV</v>
      </c>
      <c r="M1628" s="43" t="str">
        <f>IFERROR(__xludf.DUMMYFUNCTION("""COMPUTED_VALUE"""),"short")</f>
        <v>short</v>
      </c>
      <c r="N1628" s="45">
        <f>IFERROR(__xludf.DUMMYFUNCTION("""COMPUTED_VALUE"""),45251.0)</f>
        <v>45251</v>
      </c>
      <c r="O1628" s="45">
        <f>IFERROR(__xludf.DUMMYFUNCTION("""COMPUTED_VALUE"""),45487.0)</f>
        <v>45487</v>
      </c>
      <c r="P1628" s="45">
        <f>IFERROR(__xludf.DUMMYFUNCTION("""COMPUTED_VALUE"""),45529.0)</f>
        <v>45529</v>
      </c>
      <c r="Q1628" s="45"/>
      <c r="R1628" s="45"/>
      <c r="S1628" s="43"/>
      <c r="T1628" s="43"/>
      <c r="U1628" s="43" t="str">
        <f>IFERROR(__xludf.DUMMYFUNCTION("""COMPUTED_VALUE"""),"Global Classroom")</f>
        <v>Global Classroom</v>
      </c>
      <c r="V1628" s="43" t="str">
        <f>IFERROR(__xludf.DUMMYFUNCTION("""COMPUTED_VALUE"""),"FST")</f>
        <v>FST</v>
      </c>
      <c r="W1628" s="43" t="str">
        <f>IFERROR(__xludf.DUMMYFUNCTION("""COMPUTED_VALUE"""),"2023-11-19T22:08:22Z")</f>
        <v>2023-11-19T22:08:22Z</v>
      </c>
      <c r="X1628" s="43"/>
      <c r="Y1628" s="43"/>
      <c r="Z1628" s="43"/>
    </row>
    <row r="1629" hidden="1">
      <c r="A1629" s="43" t="str">
        <f>IFERROR(__xludf.DUMMYFUNCTION("""COMPUTED_VALUE"""),"5376157_1299474")</f>
        <v>5376157_1299474</v>
      </c>
      <c r="B1629" s="43" t="str">
        <f>IFERROR(__xludf.DUMMYFUNCTION("""COMPUTED_VALUE"""),"Yasmine Mechergui")</f>
        <v>Yasmine Mechergui</v>
      </c>
      <c r="C1629" s="43" t="str">
        <f>IFERROR(__xludf.DUMMYFUNCTION("""COMPUTED_VALUE"""),"approved")</f>
        <v>approved</v>
      </c>
      <c r="D1629" s="43" t="str">
        <f>IFERROR(__xludf.DUMMYFUNCTION("""COMPUTED_VALUE"""),"No")</f>
        <v>No</v>
      </c>
      <c r="E1629" s="43" t="str">
        <f>IFERROR(__xludf.DUMMYFUNCTION("""COMPUTED_VALUE"""),"p_06cb3a6591b8c387a8ff515f6b2c396e3bb4fea7@inbound.aiesec.org")</f>
        <v>p_06cb3a6591b8c387a8ff515f6b2c396e3bb4fea7@inbound.aiesec.org</v>
      </c>
      <c r="F1629" s="43">
        <f>IFERROR(__xludf.DUMMYFUNCTION("""COMPUTED_VALUE"""),5.8706821E7)</f>
        <v>58706821</v>
      </c>
      <c r="G1629" s="43" t="str">
        <f>IFERROR(__xludf.DUMMYFUNCTION("""COMPUTED_VALUE"""),"Tunisia")</f>
        <v>Tunisia</v>
      </c>
      <c r="H1629" s="43" t="str">
        <f>IFERROR(__xludf.DUMMYFUNCTION("""COMPUTED_VALUE"""),"UNIVERSITY")</f>
        <v>UNIVERSITY</v>
      </c>
      <c r="I1629" s="43" t="str">
        <f>IFERROR(__xludf.DUMMYFUNCTION("""COMPUTED_VALUE"""),"Turkey")</f>
        <v>Turkey</v>
      </c>
      <c r="J1629" s="43" t="str">
        <f>IFERROR(__xludf.DUMMYFUNCTION("""COMPUTED_VALUE"""),"ANKARA")</f>
        <v>ANKARA</v>
      </c>
      <c r="K1629" s="44" t="str">
        <f>IFERROR(__xludf.DUMMYFUNCTION("""COMPUTED_VALUE"""),"https://expa.aiesec.org/opportunities/1299474")</f>
        <v>https://expa.aiesec.org/opportunities/1299474</v>
      </c>
      <c r="L1629" s="43" t="str">
        <f>IFERROR(__xludf.DUMMYFUNCTION("""COMPUTED_VALUE"""),"GV")</f>
        <v>GV</v>
      </c>
      <c r="M1629" s="43" t="str">
        <f>IFERROR(__xludf.DUMMYFUNCTION("""COMPUTED_VALUE"""),"short")</f>
        <v>short</v>
      </c>
      <c r="N1629" s="45">
        <f>IFERROR(__xludf.DUMMYFUNCTION("""COMPUTED_VALUE"""),45251.0)</f>
        <v>45251</v>
      </c>
      <c r="O1629" s="45">
        <f>IFERROR(__xludf.DUMMYFUNCTION("""COMPUTED_VALUE"""),45411.0)</f>
        <v>45411</v>
      </c>
      <c r="P1629" s="45">
        <f>IFERROR(__xludf.DUMMYFUNCTION("""COMPUTED_VALUE"""),45453.0)</f>
        <v>45453</v>
      </c>
      <c r="Q1629" s="45"/>
      <c r="R1629" s="45"/>
      <c r="S1629" s="43"/>
      <c r="T1629" s="43"/>
      <c r="U1629" s="43" t="str">
        <f>IFERROR(__xludf.DUMMYFUNCTION("""COMPUTED_VALUE"""),"Global Classroom")</f>
        <v>Global Classroom</v>
      </c>
      <c r="V1629" s="43" t="str">
        <f>IFERROR(__xludf.DUMMYFUNCTION("""COMPUTED_VALUE"""),"FST")</f>
        <v>FST</v>
      </c>
      <c r="W1629" s="43" t="str">
        <f>IFERROR(__xludf.DUMMYFUNCTION("""COMPUTED_VALUE"""),"2023-11-20T16:29:34Z")</f>
        <v>2023-11-20T16:29:34Z</v>
      </c>
      <c r="X1629" s="43"/>
      <c r="Y1629" s="43"/>
      <c r="Z1629" s="43"/>
    </row>
    <row r="1630" hidden="1">
      <c r="A1630" s="43" t="str">
        <f>IFERROR(__xludf.DUMMYFUNCTION("""COMPUTED_VALUE"""),"5332239_1291254")</f>
        <v>5332239_1291254</v>
      </c>
      <c r="B1630" s="43" t="str">
        <f>IFERROR(__xludf.DUMMYFUNCTION("""COMPUTED_VALUE"""),"Olesya Marchenkovskaya")</f>
        <v>Olesya Marchenkovskaya</v>
      </c>
      <c r="C1630" s="43" t="str">
        <f>IFERROR(__xludf.DUMMYFUNCTION("""COMPUTED_VALUE"""),"approved")</f>
        <v>approved</v>
      </c>
      <c r="D1630" s="43" t="str">
        <f>IFERROR(__xludf.DUMMYFUNCTION("""COMPUTED_VALUE"""),"No")</f>
        <v>No</v>
      </c>
      <c r="E1630" s="43" t="str">
        <f>IFERROR(__xludf.DUMMYFUNCTION("""COMPUTED_VALUE"""),"p_c7e3557209a44603d0bd4ea9b55675023afcfe56@inbound.aiesec.org")</f>
        <v>p_c7e3557209a44603d0bd4ea9b55675023afcfe56@inbound.aiesec.org</v>
      </c>
      <c r="F1630" s="43">
        <f>IFERROR(__xludf.DUMMYFUNCTION("""COMPUTED_VALUE"""),9.67864556E8)</f>
        <v>967864556</v>
      </c>
      <c r="G1630" s="43" t="str">
        <f>IFERROR(__xludf.DUMMYFUNCTION("""COMPUTED_VALUE"""),"Ukraine")</f>
        <v>Ukraine</v>
      </c>
      <c r="H1630" s="43" t="str">
        <f>IFERROR(__xludf.DUMMYFUNCTION("""COMPUTED_VALUE"""),"KHARKIV")</f>
        <v>KHARKIV</v>
      </c>
      <c r="I1630" s="43" t="str">
        <f>IFERROR(__xludf.DUMMYFUNCTION("""COMPUTED_VALUE"""),"Turkey")</f>
        <v>Turkey</v>
      </c>
      <c r="J1630" s="43" t="str">
        <f>IFERROR(__xludf.DUMMYFUNCTION("""COMPUTED_VALUE"""),"KOCAELI")</f>
        <v>KOCAELI</v>
      </c>
      <c r="K1630" s="44" t="str">
        <f>IFERROR(__xludf.DUMMYFUNCTION("""COMPUTED_VALUE"""),"https://expa.aiesec.org/opportunities/1291254")</f>
        <v>https://expa.aiesec.org/opportunities/1291254</v>
      </c>
      <c r="L1630" s="43" t="str">
        <f>IFERROR(__xludf.DUMMYFUNCTION("""COMPUTED_VALUE"""),"GV")</f>
        <v>GV</v>
      </c>
      <c r="M1630" s="43" t="str">
        <f>IFERROR(__xludf.DUMMYFUNCTION("""COMPUTED_VALUE"""),"short")</f>
        <v>short</v>
      </c>
      <c r="N1630" s="45">
        <f>IFERROR(__xludf.DUMMYFUNCTION("""COMPUTED_VALUE"""),45251.0)</f>
        <v>45251</v>
      </c>
      <c r="O1630" s="45">
        <f>IFERROR(__xludf.DUMMYFUNCTION("""COMPUTED_VALUE"""),45481.0)</f>
        <v>45481</v>
      </c>
      <c r="P1630" s="45">
        <f>IFERROR(__xludf.DUMMYFUNCTION("""COMPUTED_VALUE"""),45523.0)</f>
        <v>45523</v>
      </c>
      <c r="Q1630" s="45"/>
      <c r="R1630" s="45"/>
      <c r="S1630" s="43"/>
      <c r="T1630" s="43"/>
      <c r="U1630" s="43" t="str">
        <f>IFERROR(__xludf.DUMMYFUNCTION("""COMPUTED_VALUE"""),"Global Classroom")</f>
        <v>Global Classroom</v>
      </c>
      <c r="V1630" s="43" t="str">
        <f>IFERROR(__xludf.DUMMYFUNCTION("""COMPUTED_VALUE"""),"Kharkiv")</f>
        <v>Kharkiv</v>
      </c>
      <c r="W1630" s="43" t="str">
        <f>IFERROR(__xludf.DUMMYFUNCTION("""COMPUTED_VALUE"""),"2023-09-25T16:17:39Z")</f>
        <v>2023-09-25T16:17:39Z</v>
      </c>
      <c r="X1630" s="43"/>
      <c r="Y1630" s="43"/>
      <c r="Z1630" s="43"/>
    </row>
    <row r="1631" hidden="1">
      <c r="A1631" s="43" t="str">
        <f>IFERROR(__xludf.DUMMYFUNCTION("""COMPUTED_VALUE"""),"5366812_1289502")</f>
        <v>5366812_1289502</v>
      </c>
      <c r="B1631" s="43" t="str">
        <f>IFERROR(__xludf.DUMMYFUNCTION("""COMPUTED_VALUE"""),"Tanias Shahid")</f>
        <v>Tanias Shahid</v>
      </c>
      <c r="C1631" s="43" t="str">
        <f>IFERROR(__xludf.DUMMYFUNCTION("""COMPUTED_VALUE"""),"realization_broken")</f>
        <v>realization_broken</v>
      </c>
      <c r="D1631" s="43" t="str">
        <f>IFERROR(__xludf.DUMMYFUNCTION("""COMPUTED_VALUE"""),"No")</f>
        <v>No</v>
      </c>
      <c r="E1631" s="43" t="str">
        <f>IFERROR(__xludf.DUMMYFUNCTION("""COMPUTED_VALUE"""),"p_4564acdabb4362b273c04d110be03f6b42aeeb6c@inbound.aiesec.org")</f>
        <v>p_4564acdabb4362b273c04d110be03f6b42aeeb6c@inbound.aiesec.org</v>
      </c>
      <c r="F1631" s="43">
        <f>IFERROR(__xludf.DUMMYFUNCTION("""COMPUTED_VALUE"""),3.6364675E7)</f>
        <v>36364675</v>
      </c>
      <c r="G1631" s="43" t="str">
        <f>IFERROR(__xludf.DUMMYFUNCTION("""COMPUTED_VALUE"""),"Bahrain")</f>
        <v>Bahrain</v>
      </c>
      <c r="H1631" s="43" t="str">
        <f>IFERROR(__xludf.DUMMYFUNCTION("""COMPUTED_VALUE"""),"Dilmun")</f>
        <v>Dilmun</v>
      </c>
      <c r="I1631" s="43" t="str">
        <f>IFERROR(__xludf.DUMMYFUNCTION("""COMPUTED_VALUE"""),"Turkey")</f>
        <v>Turkey</v>
      </c>
      <c r="J1631" s="43" t="str">
        <f>IFERROR(__xludf.DUMMYFUNCTION("""COMPUTED_VALUE"""),"BURSA")</f>
        <v>BURSA</v>
      </c>
      <c r="K1631" s="44" t="str">
        <f>IFERROR(__xludf.DUMMYFUNCTION("""COMPUTED_VALUE"""),"https://expa.aiesec.org/opportunities/1289502")</f>
        <v>https://expa.aiesec.org/opportunities/1289502</v>
      </c>
      <c r="L1631" s="43" t="str">
        <f>IFERROR(__xludf.DUMMYFUNCTION("""COMPUTED_VALUE"""),"GV")</f>
        <v>GV</v>
      </c>
      <c r="M1631" s="43" t="str">
        <f>IFERROR(__xludf.DUMMYFUNCTION("""COMPUTED_VALUE"""),"short")</f>
        <v>short</v>
      </c>
      <c r="N1631" s="45">
        <f>IFERROR(__xludf.DUMMYFUNCTION("""COMPUTED_VALUE"""),45251.0)</f>
        <v>45251</v>
      </c>
      <c r="O1631" s="45">
        <f>IFERROR(__xludf.DUMMYFUNCTION("""COMPUTED_VALUE"""),45299.0)</f>
        <v>45299</v>
      </c>
      <c r="P1631" s="45">
        <f>IFERROR(__xludf.DUMMYFUNCTION("""COMPUTED_VALUE"""),45341.0)</f>
        <v>45341</v>
      </c>
      <c r="Q1631" s="45"/>
      <c r="R1631" s="45"/>
      <c r="S1631" s="43"/>
      <c r="T1631" s="43"/>
      <c r="U1631" s="43" t="str">
        <f>IFERROR(__xludf.DUMMYFUNCTION("""COMPUTED_VALUE"""),"Youth 4 Impact")</f>
        <v>Youth 4 Impact</v>
      </c>
      <c r="V1631" s="43" t="str">
        <f>IFERROR(__xludf.DUMMYFUNCTION("""COMPUTED_VALUE"""),"UoB (Business)")</f>
        <v>UoB (Business)</v>
      </c>
      <c r="W1631" s="43" t="str">
        <f>IFERROR(__xludf.DUMMYFUNCTION("""COMPUTED_VALUE"""),"2023-11-04T14:57:43Z")</f>
        <v>2023-11-04T14:57:43Z</v>
      </c>
      <c r="X1631" s="43"/>
      <c r="Y1631" s="43"/>
      <c r="Z1631" s="43"/>
    </row>
    <row r="1632" hidden="1">
      <c r="A1632" s="43" t="str">
        <f>IFERROR(__xludf.DUMMYFUNCTION("""COMPUTED_VALUE"""),"5376383_1294584")</f>
        <v>5376383_1294584</v>
      </c>
      <c r="B1632" s="43" t="str">
        <f>IFERROR(__xludf.DUMMYFUNCTION("""COMPUTED_VALUE"""),"Yana Haida")</f>
        <v>Yana Haida</v>
      </c>
      <c r="C1632" s="43" t="str">
        <f>IFERROR(__xludf.DUMMYFUNCTION("""COMPUTED_VALUE"""),"approved")</f>
        <v>approved</v>
      </c>
      <c r="D1632" s="43" t="str">
        <f>IFERROR(__xludf.DUMMYFUNCTION("""COMPUTED_VALUE"""),"No")</f>
        <v>No</v>
      </c>
      <c r="E1632" s="43" t="str">
        <f>IFERROR(__xludf.DUMMYFUNCTION("""COMPUTED_VALUE"""),"p_44d893fec601740035543d80a4e25569a20036df@inbound.aiesec.org")</f>
        <v>p_44d893fec601740035543d80a4e25569a20036df@inbound.aiesec.org</v>
      </c>
      <c r="F1632" s="43"/>
      <c r="G1632" s="43" t="str">
        <f>IFERROR(__xludf.DUMMYFUNCTION("""COMPUTED_VALUE"""),"Ukraine")</f>
        <v>Ukraine</v>
      </c>
      <c r="H1632" s="43" t="str">
        <f>IFERROR(__xludf.DUMMYFUNCTION("""COMPUTED_VALUE"""),"TERNOPIL")</f>
        <v>TERNOPIL</v>
      </c>
      <c r="I1632" s="43" t="str">
        <f>IFERROR(__xludf.DUMMYFUNCTION("""COMPUTED_VALUE"""),"Turkey")</f>
        <v>Turkey</v>
      </c>
      <c r="J1632" s="43" t="str">
        <f>IFERROR(__xludf.DUMMYFUNCTION("""COMPUTED_VALUE"""),"ANTALYA")</f>
        <v>ANTALYA</v>
      </c>
      <c r="K1632" s="44" t="str">
        <f>IFERROR(__xludf.DUMMYFUNCTION("""COMPUTED_VALUE"""),"https://expa.aiesec.org/opportunities/1294584")</f>
        <v>https://expa.aiesec.org/opportunities/1294584</v>
      </c>
      <c r="L1632" s="43" t="str">
        <f>IFERROR(__xludf.DUMMYFUNCTION("""COMPUTED_VALUE"""),"GV")</f>
        <v>GV</v>
      </c>
      <c r="M1632" s="43" t="str">
        <f>IFERROR(__xludf.DUMMYFUNCTION("""COMPUTED_VALUE"""),"short")</f>
        <v>short</v>
      </c>
      <c r="N1632" s="45">
        <f>IFERROR(__xludf.DUMMYFUNCTION("""COMPUTED_VALUE"""),45251.0)</f>
        <v>45251</v>
      </c>
      <c r="O1632" s="45">
        <f>IFERROR(__xludf.DUMMYFUNCTION("""COMPUTED_VALUE"""),45509.0)</f>
        <v>45509</v>
      </c>
      <c r="P1632" s="45">
        <f>IFERROR(__xludf.DUMMYFUNCTION("""COMPUTED_VALUE"""),45551.0)</f>
        <v>45551</v>
      </c>
      <c r="Q1632" s="45"/>
      <c r="R1632" s="45"/>
      <c r="S1632" s="43"/>
      <c r="T1632" s="43"/>
      <c r="U1632" s="43" t="str">
        <f>IFERROR(__xludf.DUMMYFUNCTION("""COMPUTED_VALUE"""),"Youth 4 Impact")</f>
        <v>Youth 4 Impact</v>
      </c>
      <c r="V1632" s="43" t="str">
        <f>IFERROR(__xludf.DUMMYFUNCTION("""COMPUTED_VALUE"""),"-")</f>
        <v>-</v>
      </c>
      <c r="W1632" s="43" t="str">
        <f>IFERROR(__xludf.DUMMYFUNCTION("""COMPUTED_VALUE"""),"2023-11-20T22:11:16Z")</f>
        <v>2023-11-20T22:11:16Z</v>
      </c>
      <c r="X1632" s="43"/>
      <c r="Y1632" s="43"/>
      <c r="Z1632" s="43"/>
    </row>
    <row r="1633" hidden="1">
      <c r="A1633" s="43" t="str">
        <f>IFERROR(__xludf.DUMMYFUNCTION("""COMPUTED_VALUE"""),"5375099_1294372")</f>
        <v>5375099_1294372</v>
      </c>
      <c r="B1633" s="43" t="str">
        <f>IFERROR(__xludf.DUMMYFUNCTION("""COMPUTED_VALUE"""),"Mihaela Stoian")</f>
        <v>Mihaela Stoian</v>
      </c>
      <c r="C1633" s="43" t="str">
        <f>IFERROR(__xludf.DUMMYFUNCTION("""COMPUTED_VALUE"""),"approved")</f>
        <v>approved</v>
      </c>
      <c r="D1633" s="43" t="str">
        <f>IFERROR(__xludf.DUMMYFUNCTION("""COMPUTED_VALUE"""),"No")</f>
        <v>No</v>
      </c>
      <c r="E1633" s="43" t="str">
        <f>IFERROR(__xludf.DUMMYFUNCTION("""COMPUTED_VALUE"""),"p_719296e0cf303e5463dae97753a132bd2decbebb@inbound.aiesec.org")</f>
        <v>p_719296e0cf303e5463dae97753a132bd2decbebb@inbound.aiesec.org</v>
      </c>
      <c r="F1633" s="43">
        <f>IFERROR(__xludf.DUMMYFUNCTION("""COMPUTED_VALUE"""),7.3410446E8)</f>
        <v>734104460</v>
      </c>
      <c r="G1633" s="43" t="str">
        <f>IFERROR(__xludf.DUMMYFUNCTION("""COMPUTED_VALUE"""),"Romania")</f>
        <v>Romania</v>
      </c>
      <c r="H1633" s="43" t="str">
        <f>IFERROR(__xludf.DUMMYFUNCTION("""COMPUTED_VALUE"""),"BUCURESTI")</f>
        <v>BUCURESTI</v>
      </c>
      <c r="I1633" s="43" t="str">
        <f>IFERROR(__xludf.DUMMYFUNCTION("""COMPUTED_VALUE"""),"Turkey")</f>
        <v>Turkey</v>
      </c>
      <c r="J1633" s="43" t="str">
        <f>IFERROR(__xludf.DUMMYFUNCTION("""COMPUTED_VALUE"""),"ANKARA")</f>
        <v>ANKARA</v>
      </c>
      <c r="K1633" s="44" t="str">
        <f>IFERROR(__xludf.DUMMYFUNCTION("""COMPUTED_VALUE"""),"https://expa.aiesec.org/opportunities/1294372")</f>
        <v>https://expa.aiesec.org/opportunities/1294372</v>
      </c>
      <c r="L1633" s="43" t="str">
        <f>IFERROR(__xludf.DUMMYFUNCTION("""COMPUTED_VALUE"""),"GV")</f>
        <v>GV</v>
      </c>
      <c r="M1633" s="43" t="str">
        <f>IFERROR(__xludf.DUMMYFUNCTION("""COMPUTED_VALUE"""),"short")</f>
        <v>short</v>
      </c>
      <c r="N1633" s="45">
        <f>IFERROR(__xludf.DUMMYFUNCTION("""COMPUTED_VALUE"""),45251.0)</f>
        <v>45251</v>
      </c>
      <c r="O1633" s="45">
        <f>IFERROR(__xludf.DUMMYFUNCTION("""COMPUTED_VALUE"""),45467.0)</f>
        <v>45467</v>
      </c>
      <c r="P1633" s="45">
        <f>IFERROR(__xludf.DUMMYFUNCTION("""COMPUTED_VALUE"""),45509.0)</f>
        <v>45509</v>
      </c>
      <c r="Q1633" s="45"/>
      <c r="R1633" s="45"/>
      <c r="S1633" s="43"/>
      <c r="T1633" s="43"/>
      <c r="U1633" s="43" t="str">
        <f>IFERROR(__xludf.DUMMYFUNCTION("""COMPUTED_VALUE"""),"Global Classroom")</f>
        <v>Global Classroom</v>
      </c>
      <c r="V1633" s="43" t="str">
        <f>IFERROR(__xludf.DUMMYFUNCTION("""COMPUTED_VALUE"""),"Bucuresti")</f>
        <v>Bucuresti</v>
      </c>
      <c r="W1633" s="43" t="str">
        <f>IFERROR(__xludf.DUMMYFUNCTION("""COMPUTED_VALUE"""),"2023-11-18T18:11:18Z")</f>
        <v>2023-11-18T18:11:18Z</v>
      </c>
      <c r="X1633" s="43"/>
      <c r="Y1633" s="43"/>
      <c r="Z1633" s="43"/>
    </row>
    <row r="1634" hidden="1">
      <c r="A1634" s="43" t="str">
        <f>IFERROR(__xludf.DUMMYFUNCTION("""COMPUTED_VALUE"""),"2479544_1287488")</f>
        <v>2479544_1287488</v>
      </c>
      <c r="B1634" s="43" t="str">
        <f>IFERROR(__xludf.DUMMYFUNCTION("""COMPUTED_VALUE"""),"ARAB MOHAMMED")</f>
        <v>ARAB MOHAMMED</v>
      </c>
      <c r="C1634" s="43" t="str">
        <f>IFERROR(__xludf.DUMMYFUNCTION("""COMPUTED_VALUE"""),"approved")</f>
        <v>approved</v>
      </c>
      <c r="D1634" s="43" t="str">
        <f>IFERROR(__xludf.DUMMYFUNCTION("""COMPUTED_VALUE"""),"No")</f>
        <v>No</v>
      </c>
      <c r="E1634" s="43" t="str">
        <f>IFERROR(__xludf.DUMMYFUNCTION("""COMPUTED_VALUE"""),"p_3aa8b84806ca4c10a9c62742846f04d86d91291b@inbound.aiesec.org")</f>
        <v>p_3aa8b84806ca4c10a9c62742846f04d86d91291b@inbound.aiesec.org</v>
      </c>
      <c r="F1634" s="43">
        <f>IFERROR(__xludf.DUMMYFUNCTION("""COMPUTED_VALUE"""),5.62470305E8)</f>
        <v>562470305</v>
      </c>
      <c r="G1634" s="43" t="str">
        <f>IFERROR(__xludf.DUMMYFUNCTION("""COMPUTED_VALUE"""),"Algeria")</f>
        <v>Algeria</v>
      </c>
      <c r="H1634" s="43" t="str">
        <f>IFERROR(__xludf.DUMMYFUNCTION("""COMPUTED_VALUE"""),"Blida")</f>
        <v>Blida</v>
      </c>
      <c r="I1634" s="43" t="str">
        <f>IFERROR(__xludf.DUMMYFUNCTION("""COMPUTED_VALUE"""),"Turkey")</f>
        <v>Turkey</v>
      </c>
      <c r="J1634" s="43" t="str">
        <f>IFERROR(__xludf.DUMMYFUNCTION("""COMPUTED_VALUE"""),"ISTANBUL ASIA")</f>
        <v>ISTANBUL ASIA</v>
      </c>
      <c r="K1634" s="44" t="str">
        <f>IFERROR(__xludf.DUMMYFUNCTION("""COMPUTED_VALUE"""),"https://expa.aiesec.org/opportunities/1287488")</f>
        <v>https://expa.aiesec.org/opportunities/1287488</v>
      </c>
      <c r="L1634" s="43" t="str">
        <f>IFERROR(__xludf.DUMMYFUNCTION("""COMPUTED_VALUE"""),"GV")</f>
        <v>GV</v>
      </c>
      <c r="M1634" s="43" t="str">
        <f>IFERROR(__xludf.DUMMYFUNCTION("""COMPUTED_VALUE"""),"short")</f>
        <v>short</v>
      </c>
      <c r="N1634" s="45">
        <f>IFERROR(__xludf.DUMMYFUNCTION("""COMPUTED_VALUE"""),45251.0)</f>
        <v>45251</v>
      </c>
      <c r="O1634" s="45">
        <f>IFERROR(__xludf.DUMMYFUNCTION("""COMPUTED_VALUE"""),45292.0)</f>
        <v>45292</v>
      </c>
      <c r="P1634" s="45">
        <f>IFERROR(__xludf.DUMMYFUNCTION("""COMPUTED_VALUE"""),45334.0)</f>
        <v>45334</v>
      </c>
      <c r="Q1634" s="45"/>
      <c r="R1634" s="45"/>
      <c r="S1634" s="43"/>
      <c r="T1634" s="43"/>
      <c r="U1634" s="43" t="str">
        <f>IFERROR(__xludf.DUMMYFUNCTION("""COMPUTED_VALUE"""),"Global Classroom")</f>
        <v>Global Classroom</v>
      </c>
      <c r="V1634" s="43" t="str">
        <f>IFERROR(__xludf.DUMMYFUNCTION("""COMPUTED_VALUE"""),"-")</f>
        <v>-</v>
      </c>
      <c r="W1634" s="43" t="str">
        <f>IFERROR(__xludf.DUMMYFUNCTION("""COMPUTED_VALUE"""),"2018-08-10T05:38:53Z")</f>
        <v>2018-08-10T05:38:53Z</v>
      </c>
      <c r="X1634" s="43"/>
      <c r="Y1634" s="43"/>
      <c r="Z1634" s="43"/>
    </row>
    <row r="1635" hidden="1">
      <c r="A1635" s="43" t="str">
        <f>IFERROR(__xludf.DUMMYFUNCTION("""COMPUTED_VALUE"""),"5373542_1288490")</f>
        <v>5373542_1288490</v>
      </c>
      <c r="B1635" s="43" t="str">
        <f>IFERROR(__xludf.DUMMYFUNCTION("""COMPUTED_VALUE"""),"Oana Salantai")</f>
        <v>Oana Salantai</v>
      </c>
      <c r="C1635" s="43" t="str">
        <f>IFERROR(__xludf.DUMMYFUNCTION("""COMPUTED_VALUE"""),"approved")</f>
        <v>approved</v>
      </c>
      <c r="D1635" s="43" t="str">
        <f>IFERROR(__xludf.DUMMYFUNCTION("""COMPUTED_VALUE"""),"No")</f>
        <v>No</v>
      </c>
      <c r="E1635" s="43" t="str">
        <f>IFERROR(__xludf.DUMMYFUNCTION("""COMPUTED_VALUE"""),"p_13c1b575051a04d8a66d9d5f5bfbd14cc8cd5b78@inbound.aiesec.org")</f>
        <v>p_13c1b575051a04d8a66d9d5f5bfbd14cc8cd5b78@inbound.aiesec.org</v>
      </c>
      <c r="F1635" s="43">
        <f>IFERROR(__xludf.DUMMYFUNCTION("""COMPUTED_VALUE"""),7.2659537E8)</f>
        <v>726595370</v>
      </c>
      <c r="G1635" s="43" t="str">
        <f>IFERROR(__xludf.DUMMYFUNCTION("""COMPUTED_VALUE"""),"Romania")</f>
        <v>Romania</v>
      </c>
      <c r="H1635" s="43" t="str">
        <f>IFERROR(__xludf.DUMMYFUNCTION("""COMPUTED_VALUE"""),"BUCURESTI")</f>
        <v>BUCURESTI</v>
      </c>
      <c r="I1635" s="43" t="str">
        <f>IFERROR(__xludf.DUMMYFUNCTION("""COMPUTED_VALUE"""),"Turkey")</f>
        <v>Turkey</v>
      </c>
      <c r="J1635" s="43" t="str">
        <f>IFERROR(__xludf.DUMMYFUNCTION("""COMPUTED_VALUE"""),"ISPARTA")</f>
        <v>ISPARTA</v>
      </c>
      <c r="K1635" s="44" t="str">
        <f>IFERROR(__xludf.DUMMYFUNCTION("""COMPUTED_VALUE"""),"https://expa.aiesec.org/opportunities/1288490")</f>
        <v>https://expa.aiesec.org/opportunities/1288490</v>
      </c>
      <c r="L1635" s="43" t="str">
        <f>IFERROR(__xludf.DUMMYFUNCTION("""COMPUTED_VALUE"""),"GV")</f>
        <v>GV</v>
      </c>
      <c r="M1635" s="43" t="str">
        <f>IFERROR(__xludf.DUMMYFUNCTION("""COMPUTED_VALUE"""),"short")</f>
        <v>short</v>
      </c>
      <c r="N1635" s="45">
        <f>IFERROR(__xludf.DUMMYFUNCTION("""COMPUTED_VALUE"""),45251.0)</f>
        <v>45251</v>
      </c>
      <c r="O1635" s="45">
        <f>IFERROR(__xludf.DUMMYFUNCTION("""COMPUTED_VALUE"""),45466.0)</f>
        <v>45466</v>
      </c>
      <c r="P1635" s="45">
        <f>IFERROR(__xludf.DUMMYFUNCTION("""COMPUTED_VALUE"""),45508.0)</f>
        <v>45508</v>
      </c>
      <c r="Q1635" s="45"/>
      <c r="R1635" s="45"/>
      <c r="S1635" s="43"/>
      <c r="T1635" s="43"/>
      <c r="U1635" s="43" t="str">
        <f>IFERROR(__xludf.DUMMYFUNCTION("""COMPUTED_VALUE"""),"Global Classroom")</f>
        <v>Global Classroom</v>
      </c>
      <c r="V1635" s="43" t="str">
        <f>IFERROR(__xludf.DUMMYFUNCTION("""COMPUTED_VALUE"""),"Bucuresti")</f>
        <v>Bucuresti</v>
      </c>
      <c r="W1635" s="43" t="str">
        <f>IFERROR(__xludf.DUMMYFUNCTION("""COMPUTED_VALUE"""),"2023-11-16T15:35:22Z")</f>
        <v>2023-11-16T15:35:22Z</v>
      </c>
      <c r="X1635" s="43"/>
      <c r="Y1635" s="43"/>
      <c r="Z1635" s="43"/>
    </row>
    <row r="1636" hidden="1">
      <c r="A1636" s="43" t="str">
        <f>IFERROR(__xludf.DUMMYFUNCTION("""COMPUTED_VALUE"""),"5369559_1286034")</f>
        <v>5369559_1286034</v>
      </c>
      <c r="B1636" s="43" t="str">
        <f>IFERROR(__xludf.DUMMYFUNCTION("""COMPUTED_VALUE"""),"Mikołaj Mazan")</f>
        <v>Mikołaj Mazan</v>
      </c>
      <c r="C1636" s="43" t="str">
        <f>IFERROR(__xludf.DUMMYFUNCTION("""COMPUTED_VALUE"""),"approved")</f>
        <v>approved</v>
      </c>
      <c r="D1636" s="43" t="str">
        <f>IFERROR(__xludf.DUMMYFUNCTION("""COMPUTED_VALUE"""),"No")</f>
        <v>No</v>
      </c>
      <c r="E1636" s="43" t="str">
        <f>IFERROR(__xludf.DUMMYFUNCTION("""COMPUTED_VALUE"""),"p_c3d28450e164d931c5de443c4832b5d659e99034@inbound.aiesec.org")</f>
        <v>p_c3d28450e164d931c5de443c4832b5d659e99034@inbound.aiesec.org</v>
      </c>
      <c r="F1636" s="43">
        <f>IFERROR(__xludf.DUMMYFUNCTION("""COMPUTED_VALUE"""),7.72285934E8)</f>
        <v>772285934</v>
      </c>
      <c r="G1636" s="43" t="str">
        <f>IFERROR(__xludf.DUMMYFUNCTION("""COMPUTED_VALUE"""),"Romania")</f>
        <v>Romania</v>
      </c>
      <c r="H1636" s="43" t="str">
        <f>IFERROR(__xludf.DUMMYFUNCTION("""COMPUTED_VALUE"""),"BUCURESTI")</f>
        <v>BUCURESTI</v>
      </c>
      <c r="I1636" s="43" t="str">
        <f>IFERROR(__xludf.DUMMYFUNCTION("""COMPUTED_VALUE"""),"Turkey")</f>
        <v>Turkey</v>
      </c>
      <c r="J1636" s="43" t="str">
        <f>IFERROR(__xludf.DUMMYFUNCTION("""COMPUTED_VALUE"""),"ANTALYA")</f>
        <v>ANTALYA</v>
      </c>
      <c r="K1636" s="44" t="str">
        <f>IFERROR(__xludf.DUMMYFUNCTION("""COMPUTED_VALUE"""),"https://expa.aiesec.org/opportunities/1286034")</f>
        <v>https://expa.aiesec.org/opportunities/1286034</v>
      </c>
      <c r="L1636" s="43" t="str">
        <f>IFERROR(__xludf.DUMMYFUNCTION("""COMPUTED_VALUE"""),"GV")</f>
        <v>GV</v>
      </c>
      <c r="M1636" s="43" t="str">
        <f>IFERROR(__xludf.DUMMYFUNCTION("""COMPUTED_VALUE"""),"short")</f>
        <v>short</v>
      </c>
      <c r="N1636" s="45">
        <f>IFERROR(__xludf.DUMMYFUNCTION("""COMPUTED_VALUE"""),45251.0)</f>
        <v>45251</v>
      </c>
      <c r="O1636" s="45">
        <f>IFERROR(__xludf.DUMMYFUNCTION("""COMPUTED_VALUE"""),45474.0)</f>
        <v>45474</v>
      </c>
      <c r="P1636" s="45">
        <f>IFERROR(__xludf.DUMMYFUNCTION("""COMPUTED_VALUE"""),45516.0)</f>
        <v>45516</v>
      </c>
      <c r="Q1636" s="45"/>
      <c r="R1636" s="45"/>
      <c r="S1636" s="43"/>
      <c r="T1636" s="43"/>
      <c r="U1636" s="43" t="str">
        <f>IFERROR(__xludf.DUMMYFUNCTION("""COMPUTED_VALUE"""),"Global Classroom")</f>
        <v>Global Classroom</v>
      </c>
      <c r="V1636" s="43" t="str">
        <f>IFERROR(__xludf.DUMMYFUNCTION("""COMPUTED_VALUE"""),"Bucuresti")</f>
        <v>Bucuresti</v>
      </c>
      <c r="W1636" s="43" t="str">
        <f>IFERROR(__xludf.DUMMYFUNCTION("""COMPUTED_VALUE"""),"2023-11-09T09:21:07Z")</f>
        <v>2023-11-09T09:21:07Z</v>
      </c>
      <c r="X1636" s="43"/>
      <c r="Y1636" s="43"/>
      <c r="Z1636" s="43"/>
    </row>
    <row r="1637" hidden="1">
      <c r="A1637" s="43" t="str">
        <f>IFERROR(__xludf.DUMMYFUNCTION("""COMPUTED_VALUE"""),"5373543_1289597")</f>
        <v>5373543_1289597</v>
      </c>
      <c r="B1637" s="43" t="str">
        <f>IFERROR(__xludf.DUMMYFUNCTION("""COMPUTED_VALUE"""),"Ema Cominceanu")</f>
        <v>Ema Cominceanu</v>
      </c>
      <c r="C1637" s="43" t="str">
        <f>IFERROR(__xludf.DUMMYFUNCTION("""COMPUTED_VALUE"""),"approved")</f>
        <v>approved</v>
      </c>
      <c r="D1637" s="43" t="str">
        <f>IFERROR(__xludf.DUMMYFUNCTION("""COMPUTED_VALUE"""),"No")</f>
        <v>No</v>
      </c>
      <c r="E1637" s="43" t="str">
        <f>IFERROR(__xludf.DUMMYFUNCTION("""COMPUTED_VALUE"""),"p_fb6ad88ff950684a85ecdc4ea29421477a99aed5@inbound.aiesec.org")</f>
        <v>p_fb6ad88ff950684a85ecdc4ea29421477a99aed5@inbound.aiesec.org</v>
      </c>
      <c r="F1637" s="43">
        <f>IFERROR(__xludf.DUMMYFUNCTION("""COMPUTED_VALUE"""),7.30143703E8)</f>
        <v>730143703</v>
      </c>
      <c r="G1637" s="43" t="str">
        <f>IFERROR(__xludf.DUMMYFUNCTION("""COMPUTED_VALUE"""),"Romania")</f>
        <v>Romania</v>
      </c>
      <c r="H1637" s="43" t="str">
        <f>IFERROR(__xludf.DUMMYFUNCTION("""COMPUTED_VALUE"""),"BUCURESTI")</f>
        <v>BUCURESTI</v>
      </c>
      <c r="I1637" s="43" t="str">
        <f>IFERROR(__xludf.DUMMYFUNCTION("""COMPUTED_VALUE"""),"Turkey")</f>
        <v>Turkey</v>
      </c>
      <c r="J1637" s="43" t="str">
        <f>IFERROR(__xludf.DUMMYFUNCTION("""COMPUTED_VALUE"""),"ISPARTA")</f>
        <v>ISPARTA</v>
      </c>
      <c r="K1637" s="44" t="str">
        <f>IFERROR(__xludf.DUMMYFUNCTION("""COMPUTED_VALUE"""),"https://expa.aiesec.org/opportunities/1289597")</f>
        <v>https://expa.aiesec.org/opportunities/1289597</v>
      </c>
      <c r="L1637" s="43" t="str">
        <f>IFERROR(__xludf.DUMMYFUNCTION("""COMPUTED_VALUE"""),"GV")</f>
        <v>GV</v>
      </c>
      <c r="M1637" s="43" t="str">
        <f>IFERROR(__xludf.DUMMYFUNCTION("""COMPUTED_VALUE"""),"short")</f>
        <v>short</v>
      </c>
      <c r="N1637" s="45">
        <f>IFERROR(__xludf.DUMMYFUNCTION("""COMPUTED_VALUE"""),45251.0)</f>
        <v>45251</v>
      </c>
      <c r="O1637" s="45">
        <f>IFERROR(__xludf.DUMMYFUNCTION("""COMPUTED_VALUE"""),45480.0)</f>
        <v>45480</v>
      </c>
      <c r="P1637" s="45">
        <f>IFERROR(__xludf.DUMMYFUNCTION("""COMPUTED_VALUE"""),45522.0)</f>
        <v>45522</v>
      </c>
      <c r="Q1637" s="45"/>
      <c r="R1637" s="45"/>
      <c r="S1637" s="43"/>
      <c r="T1637" s="43"/>
      <c r="U1637" s="43" t="str">
        <f>IFERROR(__xludf.DUMMYFUNCTION("""COMPUTED_VALUE"""),"Global Classroom")</f>
        <v>Global Classroom</v>
      </c>
      <c r="V1637" s="43" t="str">
        <f>IFERROR(__xludf.DUMMYFUNCTION("""COMPUTED_VALUE"""),"Bucuresti")</f>
        <v>Bucuresti</v>
      </c>
      <c r="W1637" s="43" t="str">
        <f>IFERROR(__xludf.DUMMYFUNCTION("""COMPUTED_VALUE"""),"2023-11-16T15:36:33Z")</f>
        <v>2023-11-16T15:36:33Z</v>
      </c>
      <c r="X1637" s="43"/>
      <c r="Y1637" s="43"/>
      <c r="Z1637" s="43"/>
    </row>
    <row r="1638" hidden="1">
      <c r="A1638" s="43" t="str">
        <f>IFERROR(__xludf.DUMMYFUNCTION("""COMPUTED_VALUE"""),"5373221_1296101")</f>
        <v>5373221_1296101</v>
      </c>
      <c r="B1638" s="43" t="str">
        <f>IFERROR(__xludf.DUMMYFUNCTION("""COMPUTED_VALUE"""),"Mohamed Wassim Amor")</f>
        <v>Mohamed Wassim Amor</v>
      </c>
      <c r="C1638" s="43" t="str">
        <f>IFERROR(__xludf.DUMMYFUNCTION("""COMPUTED_VALUE"""),"approved")</f>
        <v>approved</v>
      </c>
      <c r="D1638" s="43" t="str">
        <f>IFERROR(__xludf.DUMMYFUNCTION("""COMPUTED_VALUE"""),"No")</f>
        <v>No</v>
      </c>
      <c r="E1638" s="43" t="str">
        <f>IFERROR(__xludf.DUMMYFUNCTION("""COMPUTED_VALUE"""),"p_02908c405ad92f31d90ad22be6f596460f6b87f4@inbound.aiesec.org")</f>
        <v>p_02908c405ad92f31d90ad22be6f596460f6b87f4@inbound.aiesec.org</v>
      </c>
      <c r="F1638" s="43">
        <f>IFERROR(__xludf.DUMMYFUNCTION("""COMPUTED_VALUE"""),2.7394126E7)</f>
        <v>27394126</v>
      </c>
      <c r="G1638" s="43" t="str">
        <f>IFERROR(__xludf.DUMMYFUNCTION("""COMPUTED_VALUE"""),"Tunisia")</f>
        <v>Tunisia</v>
      </c>
      <c r="H1638" s="43" t="str">
        <f>IFERROR(__xludf.DUMMYFUNCTION("""COMPUTED_VALUE"""),"RUSPINA")</f>
        <v>RUSPINA</v>
      </c>
      <c r="I1638" s="43" t="str">
        <f>IFERROR(__xludf.DUMMYFUNCTION("""COMPUTED_VALUE"""),"Turkey")</f>
        <v>Turkey</v>
      </c>
      <c r="J1638" s="43" t="str">
        <f>IFERROR(__xludf.DUMMYFUNCTION("""COMPUTED_VALUE"""),"ANKARA")</f>
        <v>ANKARA</v>
      </c>
      <c r="K1638" s="44" t="str">
        <f>IFERROR(__xludf.DUMMYFUNCTION("""COMPUTED_VALUE"""),"https://expa.aiesec.org/opportunities/1296101")</f>
        <v>https://expa.aiesec.org/opportunities/1296101</v>
      </c>
      <c r="L1638" s="43" t="str">
        <f>IFERROR(__xludf.DUMMYFUNCTION("""COMPUTED_VALUE"""),"GV")</f>
        <v>GV</v>
      </c>
      <c r="M1638" s="43" t="str">
        <f>IFERROR(__xludf.DUMMYFUNCTION("""COMPUTED_VALUE"""),"short")</f>
        <v>short</v>
      </c>
      <c r="N1638" s="45">
        <f>IFERROR(__xludf.DUMMYFUNCTION("""COMPUTED_VALUE"""),45251.0)</f>
        <v>45251</v>
      </c>
      <c r="O1638" s="45">
        <f>IFERROR(__xludf.DUMMYFUNCTION("""COMPUTED_VALUE"""),45469.0)</f>
        <v>45469</v>
      </c>
      <c r="P1638" s="45">
        <f>IFERROR(__xludf.DUMMYFUNCTION("""COMPUTED_VALUE"""),45511.0)</f>
        <v>45511</v>
      </c>
      <c r="Q1638" s="45"/>
      <c r="R1638" s="45"/>
      <c r="S1638" s="43"/>
      <c r="T1638" s="43"/>
      <c r="U1638" s="43" t="str">
        <f>IFERROR(__xludf.DUMMYFUNCTION("""COMPUTED_VALUE"""),"Fingerprint")</f>
        <v>Fingerprint</v>
      </c>
      <c r="V1638" s="43" t="str">
        <f>IFERROR(__xludf.DUMMYFUNCTION("""COMPUTED_VALUE"""),"IPEIM")</f>
        <v>IPEIM</v>
      </c>
      <c r="W1638" s="43" t="str">
        <f>IFERROR(__xludf.DUMMYFUNCTION("""COMPUTED_VALUE"""),"2023-11-16T00:17:40Z")</f>
        <v>2023-11-16T00:17:40Z</v>
      </c>
      <c r="X1638" s="43"/>
      <c r="Y1638" s="43"/>
      <c r="Z1638" s="43"/>
    </row>
    <row r="1639" hidden="1">
      <c r="A1639" s="43" t="str">
        <f>IFERROR(__xludf.DUMMYFUNCTION("""COMPUTED_VALUE"""),"5375161_1289597")</f>
        <v>5375161_1289597</v>
      </c>
      <c r="B1639" s="43" t="str">
        <f>IFERROR(__xludf.DUMMYFUNCTION("""COMPUTED_VALUE"""),"Ameni YAHYAOUI")</f>
        <v>Ameni YAHYAOUI</v>
      </c>
      <c r="C1639" s="43" t="str">
        <f>IFERROR(__xludf.DUMMYFUNCTION("""COMPUTED_VALUE"""),"approved")</f>
        <v>approved</v>
      </c>
      <c r="D1639" s="43" t="str">
        <f>IFERROR(__xludf.DUMMYFUNCTION("""COMPUTED_VALUE"""),"No")</f>
        <v>No</v>
      </c>
      <c r="E1639" s="43" t="str">
        <f>IFERROR(__xludf.DUMMYFUNCTION("""COMPUTED_VALUE"""),"p_0ea6c64dc90da2549391c695213b20dbe33b5513@inbound.aiesec.org")</f>
        <v>p_0ea6c64dc90da2549391c695213b20dbe33b5513@inbound.aiesec.org</v>
      </c>
      <c r="F1639" s="43"/>
      <c r="G1639" s="43" t="str">
        <f>IFERROR(__xludf.DUMMYFUNCTION("""COMPUTED_VALUE"""),"Tunisia")</f>
        <v>Tunisia</v>
      </c>
      <c r="H1639" s="43" t="str">
        <f>IFERROR(__xludf.DUMMYFUNCTION("""COMPUTED_VALUE"""),"BARDO")</f>
        <v>BARDO</v>
      </c>
      <c r="I1639" s="43" t="str">
        <f>IFERROR(__xludf.DUMMYFUNCTION("""COMPUTED_VALUE"""),"Turkey")</f>
        <v>Turkey</v>
      </c>
      <c r="J1639" s="43" t="str">
        <f>IFERROR(__xludf.DUMMYFUNCTION("""COMPUTED_VALUE"""),"ISPARTA")</f>
        <v>ISPARTA</v>
      </c>
      <c r="K1639" s="44" t="str">
        <f>IFERROR(__xludf.DUMMYFUNCTION("""COMPUTED_VALUE"""),"https://expa.aiesec.org/opportunities/1289597")</f>
        <v>https://expa.aiesec.org/opportunities/1289597</v>
      </c>
      <c r="L1639" s="43" t="str">
        <f>IFERROR(__xludf.DUMMYFUNCTION("""COMPUTED_VALUE"""),"GV")</f>
        <v>GV</v>
      </c>
      <c r="M1639" s="43" t="str">
        <f>IFERROR(__xludf.DUMMYFUNCTION("""COMPUTED_VALUE"""),"short")</f>
        <v>short</v>
      </c>
      <c r="N1639" s="45">
        <f>IFERROR(__xludf.DUMMYFUNCTION("""COMPUTED_VALUE"""),45251.0)</f>
        <v>45251</v>
      </c>
      <c r="O1639" s="45">
        <f>IFERROR(__xludf.DUMMYFUNCTION("""COMPUTED_VALUE"""),45452.0)</f>
        <v>45452</v>
      </c>
      <c r="P1639" s="45">
        <f>IFERROR(__xludf.DUMMYFUNCTION("""COMPUTED_VALUE"""),45494.0)</f>
        <v>45494</v>
      </c>
      <c r="Q1639" s="45"/>
      <c r="R1639" s="45"/>
      <c r="S1639" s="43"/>
      <c r="T1639" s="43"/>
      <c r="U1639" s="43" t="str">
        <f>IFERROR(__xludf.DUMMYFUNCTION("""COMPUTED_VALUE"""),"Global Classroom")</f>
        <v>Global Classroom</v>
      </c>
      <c r="V1639" s="43" t="str">
        <f>IFERROR(__xludf.DUMMYFUNCTION("""COMPUTED_VALUE"""),"-")</f>
        <v>-</v>
      </c>
      <c r="W1639" s="43" t="str">
        <f>IFERROR(__xludf.DUMMYFUNCTION("""COMPUTED_VALUE"""),"2023-11-18T20:20:36Z")</f>
        <v>2023-11-18T20:20:36Z</v>
      </c>
      <c r="X1639" s="43"/>
      <c r="Y1639" s="43"/>
      <c r="Z1639" s="43"/>
    </row>
    <row r="1640" hidden="1">
      <c r="A1640" s="43" t="str">
        <f>IFERROR(__xludf.DUMMYFUNCTION("""COMPUTED_VALUE"""),"5375635_1289536")</f>
        <v>5375635_1289536</v>
      </c>
      <c r="B1640" s="43" t="str">
        <f>IFERROR(__xludf.DUMMYFUNCTION("""COMPUTED_VALUE"""),"hsoumi mariem")</f>
        <v>hsoumi mariem</v>
      </c>
      <c r="C1640" s="43" t="str">
        <f>IFERROR(__xludf.DUMMYFUNCTION("""COMPUTED_VALUE"""),"approved")</f>
        <v>approved</v>
      </c>
      <c r="D1640" s="43" t="str">
        <f>IFERROR(__xludf.DUMMYFUNCTION("""COMPUTED_VALUE"""),"No")</f>
        <v>No</v>
      </c>
      <c r="E1640" s="43" t="str">
        <f>IFERROR(__xludf.DUMMYFUNCTION("""COMPUTED_VALUE"""),"p_1d790607b44fd379bdd3412ae21af060e25a9cd1@inbound.aiesec.org")</f>
        <v>p_1d790607b44fd379bdd3412ae21af060e25a9cd1@inbound.aiesec.org</v>
      </c>
      <c r="F1640" s="43">
        <f>IFERROR(__xludf.DUMMYFUNCTION("""COMPUTED_VALUE"""),2.392991E7)</f>
        <v>23929910</v>
      </c>
      <c r="G1640" s="43" t="str">
        <f>IFERROR(__xludf.DUMMYFUNCTION("""COMPUTED_VALUE"""),"Tunisia")</f>
        <v>Tunisia</v>
      </c>
      <c r="H1640" s="43" t="str">
        <f>IFERROR(__xludf.DUMMYFUNCTION("""COMPUTED_VALUE"""),"Carthage")</f>
        <v>Carthage</v>
      </c>
      <c r="I1640" s="43" t="str">
        <f>IFERROR(__xludf.DUMMYFUNCTION("""COMPUTED_VALUE"""),"Turkey")</f>
        <v>Turkey</v>
      </c>
      <c r="J1640" s="43" t="str">
        <f>IFERROR(__xludf.DUMMYFUNCTION("""COMPUTED_VALUE"""),"ISTANBUL")</f>
        <v>ISTANBUL</v>
      </c>
      <c r="K1640" s="44" t="str">
        <f>IFERROR(__xludf.DUMMYFUNCTION("""COMPUTED_VALUE"""),"https://expa.aiesec.org/opportunities/1289536")</f>
        <v>https://expa.aiesec.org/opportunities/1289536</v>
      </c>
      <c r="L1640" s="43" t="str">
        <f>IFERROR(__xludf.DUMMYFUNCTION("""COMPUTED_VALUE"""),"GV")</f>
        <v>GV</v>
      </c>
      <c r="M1640" s="43" t="str">
        <f>IFERROR(__xludf.DUMMYFUNCTION("""COMPUTED_VALUE"""),"short")</f>
        <v>short</v>
      </c>
      <c r="N1640" s="45">
        <f>IFERROR(__xludf.DUMMYFUNCTION("""COMPUTED_VALUE"""),45251.0)</f>
        <v>45251</v>
      </c>
      <c r="O1640" s="45">
        <f>IFERROR(__xludf.DUMMYFUNCTION("""COMPUTED_VALUE"""),45505.0)</f>
        <v>45505</v>
      </c>
      <c r="P1640" s="45">
        <f>IFERROR(__xludf.DUMMYFUNCTION("""COMPUTED_VALUE"""),45547.0)</f>
        <v>45547</v>
      </c>
      <c r="Q1640" s="45"/>
      <c r="R1640" s="45"/>
      <c r="S1640" s="43"/>
      <c r="T1640" s="43"/>
      <c r="U1640" s="43" t="str">
        <f>IFERROR(__xludf.DUMMYFUNCTION("""COMPUTED_VALUE"""),"Global Classroom")</f>
        <v>Global Classroom</v>
      </c>
      <c r="V1640" s="43" t="str">
        <f>IFERROR(__xludf.DUMMYFUNCTION("""COMPUTED_VALUE"""),"FSJPST")</f>
        <v>FSJPST</v>
      </c>
      <c r="W1640" s="43" t="str">
        <f>IFERROR(__xludf.DUMMYFUNCTION("""COMPUTED_VALUE"""),"2023-11-19T23:16:01Z")</f>
        <v>2023-11-19T23:16:01Z</v>
      </c>
      <c r="X1640" s="43"/>
      <c r="Y1640" s="43"/>
      <c r="Z1640" s="43"/>
    </row>
    <row r="1641" hidden="1">
      <c r="A1641" s="43" t="str">
        <f>IFERROR(__xludf.DUMMYFUNCTION("""COMPUTED_VALUE"""),"4871296_1300056")</f>
        <v>4871296_1300056</v>
      </c>
      <c r="B1641" s="43" t="str">
        <f>IFERROR(__xludf.DUMMYFUNCTION("""COMPUTED_VALUE"""),"Eduardo Mattos")</f>
        <v>Eduardo Mattos</v>
      </c>
      <c r="C1641" s="43" t="str">
        <f>IFERROR(__xludf.DUMMYFUNCTION("""COMPUTED_VALUE"""),"approved")</f>
        <v>approved</v>
      </c>
      <c r="D1641" s="43" t="str">
        <f>IFERROR(__xludf.DUMMYFUNCTION("""COMPUTED_VALUE"""),"No")</f>
        <v>No</v>
      </c>
      <c r="E1641" s="43" t="str">
        <f>IFERROR(__xludf.DUMMYFUNCTION("""COMPUTED_VALUE"""),"p_c1a2515387384e8789b329fd3a680470137c78f9@inbound.aiesec.org")</f>
        <v>p_c1a2515387384e8789b329fd3a680470137c78f9@inbound.aiesec.org</v>
      </c>
      <c r="F1641" s="43"/>
      <c r="G1641" s="43" t="str">
        <f>IFERROR(__xludf.DUMMYFUNCTION("""COMPUTED_VALUE"""),"Brazil")</f>
        <v>Brazil</v>
      </c>
      <c r="H1641" s="43" t="str">
        <f>IFERROR(__xludf.DUMMYFUNCTION("""COMPUTED_VALUE"""),"FLORIANÓPOLIS")</f>
        <v>FLORIANÓPOLIS</v>
      </c>
      <c r="I1641" s="43" t="str">
        <f>IFERROR(__xludf.DUMMYFUNCTION("""COMPUTED_VALUE"""),"Turkey")</f>
        <v>Turkey</v>
      </c>
      <c r="J1641" s="43" t="str">
        <f>IFERROR(__xludf.DUMMYFUNCTION("""COMPUTED_VALUE"""),"ANKARA")</f>
        <v>ANKARA</v>
      </c>
      <c r="K1641" s="44" t="str">
        <f>IFERROR(__xludf.DUMMYFUNCTION("""COMPUTED_VALUE"""),"https://expa.aiesec.org/opportunities/1300056")</f>
        <v>https://expa.aiesec.org/opportunities/1300056</v>
      </c>
      <c r="L1641" s="43" t="str">
        <f>IFERROR(__xludf.DUMMYFUNCTION("""COMPUTED_VALUE"""),"GV")</f>
        <v>GV</v>
      </c>
      <c r="M1641" s="43" t="str">
        <f>IFERROR(__xludf.DUMMYFUNCTION("""COMPUTED_VALUE"""),"short")</f>
        <v>short</v>
      </c>
      <c r="N1641" s="45">
        <f>IFERROR(__xludf.DUMMYFUNCTION("""COMPUTED_VALUE"""),45252.0)</f>
        <v>45252</v>
      </c>
      <c r="O1641" s="45">
        <f>IFERROR(__xludf.DUMMYFUNCTION("""COMPUTED_VALUE"""),45383.0)</f>
        <v>45383</v>
      </c>
      <c r="P1641" s="45">
        <f>IFERROR(__xludf.DUMMYFUNCTION("""COMPUTED_VALUE"""),45425.0)</f>
        <v>45425</v>
      </c>
      <c r="Q1641" s="45"/>
      <c r="R1641" s="45"/>
      <c r="S1641" s="43"/>
      <c r="T1641" s="43"/>
      <c r="U1641" s="43" t="str">
        <f>IFERROR(__xludf.DUMMYFUNCTION("""COMPUTED_VALUE"""),"Fingerprint")</f>
        <v>Fingerprint</v>
      </c>
      <c r="V1641" s="43" t="str">
        <f>IFERROR(__xludf.DUMMYFUNCTION("""COMPUTED_VALUE"""),"-")</f>
        <v>-</v>
      </c>
      <c r="W1641" s="43" t="str">
        <f>IFERROR(__xludf.DUMMYFUNCTION("""COMPUTED_VALUE"""),"2022-01-07T18:51:19Z")</f>
        <v>2022-01-07T18:51:19Z</v>
      </c>
      <c r="X1641" s="43"/>
      <c r="Y1641" s="43"/>
      <c r="Z1641" s="43"/>
    </row>
    <row r="1642" hidden="1">
      <c r="A1642" s="43" t="str">
        <f>IFERROR(__xludf.DUMMYFUNCTION("""COMPUTED_VALUE"""),"5377347_1289536")</f>
        <v>5377347_1289536</v>
      </c>
      <c r="B1642" s="43" t="str">
        <f>IFERROR(__xludf.DUMMYFUNCTION("""COMPUTED_VALUE"""),"Amal Laouini")</f>
        <v>Amal Laouini</v>
      </c>
      <c r="C1642" s="43" t="str">
        <f>IFERROR(__xludf.DUMMYFUNCTION("""COMPUTED_VALUE"""),"approved")</f>
        <v>approved</v>
      </c>
      <c r="D1642" s="43" t="str">
        <f>IFERROR(__xludf.DUMMYFUNCTION("""COMPUTED_VALUE"""),"No")</f>
        <v>No</v>
      </c>
      <c r="E1642" s="43" t="str">
        <f>IFERROR(__xludf.DUMMYFUNCTION("""COMPUTED_VALUE"""),"p_782a0bb802eb5f864b5184dd6aa533d0b17022ab@inbound.aiesec.org")</f>
        <v>p_782a0bb802eb5f864b5184dd6aa533d0b17022ab@inbound.aiesec.org</v>
      </c>
      <c r="F1642" s="43">
        <f>IFERROR(__xludf.DUMMYFUNCTION("""COMPUTED_VALUE"""),2.7775938E7)</f>
        <v>27775938</v>
      </c>
      <c r="G1642" s="43" t="str">
        <f>IFERROR(__xludf.DUMMYFUNCTION("""COMPUTED_VALUE"""),"Tunisia")</f>
        <v>Tunisia</v>
      </c>
      <c r="H1642" s="43" t="str">
        <f>IFERROR(__xludf.DUMMYFUNCTION("""COMPUTED_VALUE"""),"Carthage")</f>
        <v>Carthage</v>
      </c>
      <c r="I1642" s="43" t="str">
        <f>IFERROR(__xludf.DUMMYFUNCTION("""COMPUTED_VALUE"""),"Turkey")</f>
        <v>Turkey</v>
      </c>
      <c r="J1642" s="43" t="str">
        <f>IFERROR(__xludf.DUMMYFUNCTION("""COMPUTED_VALUE"""),"ISTANBUL")</f>
        <v>ISTANBUL</v>
      </c>
      <c r="K1642" s="44" t="str">
        <f>IFERROR(__xludf.DUMMYFUNCTION("""COMPUTED_VALUE"""),"https://expa.aiesec.org/opportunities/1289536")</f>
        <v>https://expa.aiesec.org/opportunities/1289536</v>
      </c>
      <c r="L1642" s="43" t="str">
        <f>IFERROR(__xludf.DUMMYFUNCTION("""COMPUTED_VALUE"""),"GV")</f>
        <v>GV</v>
      </c>
      <c r="M1642" s="43" t="str">
        <f>IFERROR(__xludf.DUMMYFUNCTION("""COMPUTED_VALUE"""),"short")</f>
        <v>short</v>
      </c>
      <c r="N1642" s="45">
        <f>IFERROR(__xludf.DUMMYFUNCTION("""COMPUTED_VALUE"""),45252.0)</f>
        <v>45252</v>
      </c>
      <c r="O1642" s="45">
        <f>IFERROR(__xludf.DUMMYFUNCTION("""COMPUTED_VALUE"""),45347.0)</f>
        <v>45347</v>
      </c>
      <c r="P1642" s="45">
        <f>IFERROR(__xludf.DUMMYFUNCTION("""COMPUTED_VALUE"""),45389.0)</f>
        <v>45389</v>
      </c>
      <c r="Q1642" s="45"/>
      <c r="R1642" s="45"/>
      <c r="S1642" s="43"/>
      <c r="T1642" s="43"/>
      <c r="U1642" s="43" t="str">
        <f>IFERROR(__xludf.DUMMYFUNCTION("""COMPUTED_VALUE"""),"Global Classroom")</f>
        <v>Global Classroom</v>
      </c>
      <c r="V1642" s="43" t="str">
        <f>IFERROR(__xludf.DUMMYFUNCTION("""COMPUTED_VALUE"""),"IHET Sidi Dhrif")</f>
        <v>IHET Sidi Dhrif</v>
      </c>
      <c r="W1642" s="43" t="str">
        <f>IFERROR(__xludf.DUMMYFUNCTION("""COMPUTED_VALUE"""),"2023-11-22T09:46:50Z")</f>
        <v>2023-11-22T09:46:50Z</v>
      </c>
      <c r="X1642" s="43"/>
      <c r="Y1642" s="43"/>
      <c r="Z1642" s="43"/>
    </row>
    <row r="1643" hidden="1">
      <c r="A1643" s="43" t="str">
        <f>IFERROR(__xludf.DUMMYFUNCTION("""COMPUTED_VALUE"""),"5370288_1289536")</f>
        <v>5370288_1289536</v>
      </c>
      <c r="B1643" s="43" t="str">
        <f>IFERROR(__xludf.DUMMYFUNCTION("""COMPUTED_VALUE"""),"Ghofran Ben hamed")</f>
        <v>Ghofran Ben hamed</v>
      </c>
      <c r="C1643" s="43" t="str">
        <f>IFERROR(__xludf.DUMMYFUNCTION("""COMPUTED_VALUE"""),"approved")</f>
        <v>approved</v>
      </c>
      <c r="D1643" s="43" t="str">
        <f>IFERROR(__xludf.DUMMYFUNCTION("""COMPUTED_VALUE"""),"No")</f>
        <v>No</v>
      </c>
      <c r="E1643" s="43" t="str">
        <f>IFERROR(__xludf.DUMMYFUNCTION("""COMPUTED_VALUE"""),"p_3e4df2b88b58270a3db4498758773f986e8d345f@inbound.aiesec.org")</f>
        <v>p_3e4df2b88b58270a3db4498758773f986e8d345f@inbound.aiesec.org</v>
      </c>
      <c r="F1643" s="43">
        <f>IFERROR(__xludf.DUMMYFUNCTION("""COMPUTED_VALUE"""),2.0903989E7)</f>
        <v>20903989</v>
      </c>
      <c r="G1643" s="43" t="str">
        <f>IFERROR(__xludf.DUMMYFUNCTION("""COMPUTED_VALUE"""),"Tunisia")</f>
        <v>Tunisia</v>
      </c>
      <c r="H1643" s="43" t="str">
        <f>IFERROR(__xludf.DUMMYFUNCTION("""COMPUTED_VALUE"""),"Carthage")</f>
        <v>Carthage</v>
      </c>
      <c r="I1643" s="43" t="str">
        <f>IFERROR(__xludf.DUMMYFUNCTION("""COMPUTED_VALUE"""),"Turkey")</f>
        <v>Turkey</v>
      </c>
      <c r="J1643" s="43" t="str">
        <f>IFERROR(__xludf.DUMMYFUNCTION("""COMPUTED_VALUE"""),"ISTANBUL")</f>
        <v>ISTANBUL</v>
      </c>
      <c r="K1643" s="44" t="str">
        <f>IFERROR(__xludf.DUMMYFUNCTION("""COMPUTED_VALUE"""),"https://expa.aiesec.org/opportunities/1289536")</f>
        <v>https://expa.aiesec.org/opportunities/1289536</v>
      </c>
      <c r="L1643" s="43" t="str">
        <f>IFERROR(__xludf.DUMMYFUNCTION("""COMPUTED_VALUE"""),"GV")</f>
        <v>GV</v>
      </c>
      <c r="M1643" s="43" t="str">
        <f>IFERROR(__xludf.DUMMYFUNCTION("""COMPUTED_VALUE"""),"short")</f>
        <v>short</v>
      </c>
      <c r="N1643" s="45">
        <f>IFERROR(__xludf.DUMMYFUNCTION("""COMPUTED_VALUE"""),45252.0)</f>
        <v>45252</v>
      </c>
      <c r="O1643" s="45">
        <f>IFERROR(__xludf.DUMMYFUNCTION("""COMPUTED_VALUE"""),45505.0)</f>
        <v>45505</v>
      </c>
      <c r="P1643" s="45">
        <f>IFERROR(__xludf.DUMMYFUNCTION("""COMPUTED_VALUE"""),45547.0)</f>
        <v>45547</v>
      </c>
      <c r="Q1643" s="45"/>
      <c r="R1643" s="45"/>
      <c r="S1643" s="43"/>
      <c r="T1643" s="43"/>
      <c r="U1643" s="43" t="str">
        <f>IFERROR(__xludf.DUMMYFUNCTION("""COMPUTED_VALUE"""),"Global Classroom")</f>
        <v>Global Classroom</v>
      </c>
      <c r="V1643" s="43" t="str">
        <f>IFERROR(__xludf.DUMMYFUNCTION("""COMPUTED_VALUE"""),"ISLT")</f>
        <v>ISLT</v>
      </c>
      <c r="W1643" s="43" t="str">
        <f>IFERROR(__xludf.DUMMYFUNCTION("""COMPUTED_VALUE"""),"2023-11-10T11:44:20Z")</f>
        <v>2023-11-10T11:44:20Z</v>
      </c>
      <c r="X1643" s="43"/>
      <c r="Y1643" s="43"/>
      <c r="Z1643" s="43"/>
    </row>
    <row r="1644" hidden="1">
      <c r="A1644" s="43" t="str">
        <f>IFERROR(__xludf.DUMMYFUNCTION("""COMPUTED_VALUE"""),"5364446_1286917")</f>
        <v>5364446_1286917</v>
      </c>
      <c r="B1644" s="43" t="str">
        <f>IFERROR(__xludf.DUMMYFUNCTION("""COMPUTED_VALUE"""),"Preet Mahajan")</f>
        <v>Preet Mahajan</v>
      </c>
      <c r="C1644" s="43" t="str">
        <f>IFERROR(__xludf.DUMMYFUNCTION("""COMPUTED_VALUE"""),"approved")</f>
        <v>approved</v>
      </c>
      <c r="D1644" s="43" t="str">
        <f>IFERROR(__xludf.DUMMYFUNCTION("""COMPUTED_VALUE"""),"No")</f>
        <v>No</v>
      </c>
      <c r="E1644" s="43" t="str">
        <f>IFERROR(__xludf.DUMMYFUNCTION("""COMPUTED_VALUE"""),"p_c7bfca2b8b2fa56aab3c1a22f29bcff1b75d49b4@inbound.aiesec.org")</f>
        <v>p_c7bfca2b8b2fa56aab3c1a22f29bcff1b75d49b4@inbound.aiesec.org</v>
      </c>
      <c r="F1644" s="43">
        <f>IFERROR(__xludf.DUMMYFUNCTION("""COMPUTED_VALUE"""),8.291185285E9)</f>
        <v>8291185285</v>
      </c>
      <c r="G1644" s="43" t="str">
        <f>IFERROR(__xludf.DUMMYFUNCTION("""COMPUTED_VALUE"""),"India")</f>
        <v>India</v>
      </c>
      <c r="H1644" s="43" t="str">
        <f>IFERROR(__xludf.DUMMYFUNCTION("""COMPUTED_VALUE"""),"Mumbai")</f>
        <v>Mumbai</v>
      </c>
      <c r="I1644" s="43" t="str">
        <f>IFERROR(__xludf.DUMMYFUNCTION("""COMPUTED_VALUE"""),"Turkey")</f>
        <v>Turkey</v>
      </c>
      <c r="J1644" s="43" t="str">
        <f>IFERROR(__xludf.DUMMYFUNCTION("""COMPUTED_VALUE"""),"ISTANBUL ASIA")</f>
        <v>ISTANBUL ASIA</v>
      </c>
      <c r="K1644" s="44" t="str">
        <f>IFERROR(__xludf.DUMMYFUNCTION("""COMPUTED_VALUE"""),"https://expa.aiesec.org/opportunities/1286917")</f>
        <v>https://expa.aiesec.org/opportunities/1286917</v>
      </c>
      <c r="L1644" s="43" t="str">
        <f>IFERROR(__xludf.DUMMYFUNCTION("""COMPUTED_VALUE"""),"GV")</f>
        <v>GV</v>
      </c>
      <c r="M1644" s="43" t="str">
        <f>IFERROR(__xludf.DUMMYFUNCTION("""COMPUTED_VALUE"""),"short")</f>
        <v>short</v>
      </c>
      <c r="N1644" s="45">
        <f>IFERROR(__xludf.DUMMYFUNCTION("""COMPUTED_VALUE"""),45252.0)</f>
        <v>45252</v>
      </c>
      <c r="O1644" s="45">
        <f>IFERROR(__xludf.DUMMYFUNCTION("""COMPUTED_VALUE"""),45425.0)</f>
        <v>45425</v>
      </c>
      <c r="P1644" s="45">
        <f>IFERROR(__xludf.DUMMYFUNCTION("""COMPUTED_VALUE"""),45467.0)</f>
        <v>45467</v>
      </c>
      <c r="Q1644" s="45"/>
      <c r="R1644" s="45"/>
      <c r="S1644" s="43"/>
      <c r="T1644" s="43"/>
      <c r="U1644" s="43" t="str">
        <f>IFERROR(__xludf.DUMMYFUNCTION("""COMPUTED_VALUE"""),"Rooted")</f>
        <v>Rooted</v>
      </c>
      <c r="V1644" s="43" t="str">
        <f>IFERROR(__xludf.DUMMYFUNCTION("""COMPUTED_VALUE"""),"Jai Hind College, Mumbai")</f>
        <v>Jai Hind College, Mumbai</v>
      </c>
      <c r="W1644" s="43" t="str">
        <f>IFERROR(__xludf.DUMMYFUNCTION("""COMPUTED_VALUE"""),"2023-10-31T18:12:07Z")</f>
        <v>2023-10-31T18:12:07Z</v>
      </c>
      <c r="X1644" s="43"/>
      <c r="Y1644" s="43"/>
      <c r="Z1644" s="43"/>
    </row>
    <row r="1645" hidden="1">
      <c r="A1645" s="43" t="str">
        <f>IFERROR(__xludf.DUMMYFUNCTION("""COMPUTED_VALUE"""),"5376809_1294584")</f>
        <v>5376809_1294584</v>
      </c>
      <c r="B1645" s="43" t="str">
        <f>IFERROR(__xludf.DUMMYFUNCTION("""COMPUTED_VALUE"""),"Nadia Zarvanska")</f>
        <v>Nadia Zarvanska</v>
      </c>
      <c r="C1645" s="43" t="str">
        <f>IFERROR(__xludf.DUMMYFUNCTION("""COMPUTED_VALUE"""),"approved")</f>
        <v>approved</v>
      </c>
      <c r="D1645" s="43" t="str">
        <f>IFERROR(__xludf.DUMMYFUNCTION("""COMPUTED_VALUE"""),"No")</f>
        <v>No</v>
      </c>
      <c r="E1645" s="43" t="str">
        <f>IFERROR(__xludf.DUMMYFUNCTION("""COMPUTED_VALUE"""),"p_d1aa6c7460820b7b9c3d80ef1d7524d08ff886fc@inbound.aiesec.org")</f>
        <v>p_d1aa6c7460820b7b9c3d80ef1d7524d08ff886fc@inbound.aiesec.org</v>
      </c>
      <c r="F1645" s="43">
        <f>IFERROR(__xludf.DUMMYFUNCTION("""COMPUTED_VALUE"""),6.7416137E8)</f>
        <v>674161370</v>
      </c>
      <c r="G1645" s="43" t="str">
        <f>IFERROR(__xludf.DUMMYFUNCTION("""COMPUTED_VALUE"""),"Ukraine")</f>
        <v>Ukraine</v>
      </c>
      <c r="H1645" s="43" t="str">
        <f>IFERROR(__xludf.DUMMYFUNCTION("""COMPUTED_VALUE"""),"TERNOPIL")</f>
        <v>TERNOPIL</v>
      </c>
      <c r="I1645" s="43" t="str">
        <f>IFERROR(__xludf.DUMMYFUNCTION("""COMPUTED_VALUE"""),"Turkey")</f>
        <v>Turkey</v>
      </c>
      <c r="J1645" s="43" t="str">
        <f>IFERROR(__xludf.DUMMYFUNCTION("""COMPUTED_VALUE"""),"ANTALYA")</f>
        <v>ANTALYA</v>
      </c>
      <c r="K1645" s="44" t="str">
        <f>IFERROR(__xludf.DUMMYFUNCTION("""COMPUTED_VALUE"""),"https://expa.aiesec.org/opportunities/1294584")</f>
        <v>https://expa.aiesec.org/opportunities/1294584</v>
      </c>
      <c r="L1645" s="43" t="str">
        <f>IFERROR(__xludf.DUMMYFUNCTION("""COMPUTED_VALUE"""),"GV")</f>
        <v>GV</v>
      </c>
      <c r="M1645" s="43" t="str">
        <f>IFERROR(__xludf.DUMMYFUNCTION("""COMPUTED_VALUE"""),"short")</f>
        <v>short</v>
      </c>
      <c r="N1645" s="45">
        <f>IFERROR(__xludf.DUMMYFUNCTION("""COMPUTED_VALUE"""),45252.0)</f>
        <v>45252</v>
      </c>
      <c r="O1645" s="45">
        <f>IFERROR(__xludf.DUMMYFUNCTION("""COMPUTED_VALUE"""),45509.0)</f>
        <v>45509</v>
      </c>
      <c r="P1645" s="45">
        <f>IFERROR(__xludf.DUMMYFUNCTION("""COMPUTED_VALUE"""),45551.0)</f>
        <v>45551</v>
      </c>
      <c r="Q1645" s="45"/>
      <c r="R1645" s="45"/>
      <c r="S1645" s="43"/>
      <c r="T1645" s="43"/>
      <c r="U1645" s="43" t="str">
        <f>IFERROR(__xludf.DUMMYFUNCTION("""COMPUTED_VALUE"""),"Youth 4 Impact")</f>
        <v>Youth 4 Impact</v>
      </c>
      <c r="V1645" s="43" t="str">
        <f>IFERROR(__xludf.DUMMYFUNCTION("""COMPUTED_VALUE"""),"Ternopil")</f>
        <v>Ternopil</v>
      </c>
      <c r="W1645" s="43" t="str">
        <f>IFERROR(__xludf.DUMMYFUNCTION("""COMPUTED_VALUE"""),"2023-11-21T14:43:25Z")</f>
        <v>2023-11-21T14:43:25Z</v>
      </c>
      <c r="X1645" s="43"/>
      <c r="Y1645" s="43"/>
      <c r="Z1645" s="43"/>
    </row>
    <row r="1646" hidden="1">
      <c r="A1646" s="43" t="str">
        <f>IFERROR(__xludf.DUMMYFUNCTION("""COMPUTED_VALUE"""),"5374446_1300837")</f>
        <v>5374446_1300837</v>
      </c>
      <c r="B1646" s="43" t="str">
        <f>IFERROR(__xludf.DUMMYFUNCTION("""COMPUTED_VALUE"""),"Alexandru Manuel Bordea")</f>
        <v>Alexandru Manuel Bordea</v>
      </c>
      <c r="C1646" s="43" t="str">
        <f>IFERROR(__xludf.DUMMYFUNCTION("""COMPUTED_VALUE"""),"approved")</f>
        <v>approved</v>
      </c>
      <c r="D1646" s="43" t="str">
        <f>IFERROR(__xludf.DUMMYFUNCTION("""COMPUTED_VALUE"""),"No")</f>
        <v>No</v>
      </c>
      <c r="E1646" s="43" t="str">
        <f>IFERROR(__xludf.DUMMYFUNCTION("""COMPUTED_VALUE"""),"p_6d1ecd8e6bce8f8bd8f4b27fdf8239ecb36ed629@inbound.aiesec.org")</f>
        <v>p_6d1ecd8e6bce8f8bd8f4b27fdf8239ecb36ed629@inbound.aiesec.org</v>
      </c>
      <c r="F1646" s="43">
        <f>IFERROR(__xludf.DUMMYFUNCTION("""COMPUTED_VALUE"""),7.22804907E8)</f>
        <v>722804907</v>
      </c>
      <c r="G1646" s="43" t="str">
        <f>IFERROR(__xludf.DUMMYFUNCTION("""COMPUTED_VALUE"""),"Romania")</f>
        <v>Romania</v>
      </c>
      <c r="H1646" s="43" t="str">
        <f>IFERROR(__xludf.DUMMYFUNCTION("""COMPUTED_VALUE"""),"Cluj-Napoca")</f>
        <v>Cluj-Napoca</v>
      </c>
      <c r="I1646" s="43" t="str">
        <f>IFERROR(__xludf.DUMMYFUNCTION("""COMPUTED_VALUE"""),"Turkey")</f>
        <v>Turkey</v>
      </c>
      <c r="J1646" s="43" t="str">
        <f>IFERROR(__xludf.DUMMYFUNCTION("""COMPUTED_VALUE"""),"KUTAHYA")</f>
        <v>KUTAHYA</v>
      </c>
      <c r="K1646" s="44" t="str">
        <f>IFERROR(__xludf.DUMMYFUNCTION("""COMPUTED_VALUE"""),"https://expa.aiesec.org/opportunities/1300837")</f>
        <v>https://expa.aiesec.org/opportunities/1300837</v>
      </c>
      <c r="L1646" s="43" t="str">
        <f>IFERROR(__xludf.DUMMYFUNCTION("""COMPUTED_VALUE"""),"GV")</f>
        <v>GV</v>
      </c>
      <c r="M1646" s="43" t="str">
        <f>IFERROR(__xludf.DUMMYFUNCTION("""COMPUTED_VALUE"""),"short")</f>
        <v>short</v>
      </c>
      <c r="N1646" s="45">
        <f>IFERROR(__xludf.DUMMYFUNCTION("""COMPUTED_VALUE"""),45252.0)</f>
        <v>45252</v>
      </c>
      <c r="O1646" s="45">
        <f>IFERROR(__xludf.DUMMYFUNCTION("""COMPUTED_VALUE"""),45495.0)</f>
        <v>45495</v>
      </c>
      <c r="P1646" s="45">
        <f>IFERROR(__xludf.DUMMYFUNCTION("""COMPUTED_VALUE"""),45537.0)</f>
        <v>45537</v>
      </c>
      <c r="Q1646" s="45"/>
      <c r="R1646" s="45"/>
      <c r="S1646" s="43"/>
      <c r="T1646" s="43"/>
      <c r="U1646" s="43" t="str">
        <f>IFERROR(__xludf.DUMMYFUNCTION("""COMPUTED_VALUE"""),"On The Map")</f>
        <v>On The Map</v>
      </c>
      <c r="V1646" s="43" t="str">
        <f>IFERROR(__xludf.DUMMYFUNCTION("""COMPUTED_VALUE"""),"Cluj-Napoca")</f>
        <v>Cluj-Napoca</v>
      </c>
      <c r="W1646" s="43" t="str">
        <f>IFERROR(__xludf.DUMMYFUNCTION("""COMPUTED_VALUE"""),"2023-11-17T14:00:32Z")</f>
        <v>2023-11-17T14:00:32Z</v>
      </c>
      <c r="X1646" s="43"/>
      <c r="Y1646" s="43"/>
      <c r="Z1646" s="43"/>
    </row>
    <row r="1647" hidden="1">
      <c r="A1647" s="43" t="str">
        <f>IFERROR(__xludf.DUMMYFUNCTION("""COMPUTED_VALUE"""),"5257871_1298556")</f>
        <v>5257871_1298556</v>
      </c>
      <c r="B1647" s="43" t="str">
        <f>IFERROR(__xludf.DUMMYFUNCTION("""COMPUTED_VALUE"""),"Isaque da Silva Santos de Souza")</f>
        <v>Isaque da Silva Santos de Souza</v>
      </c>
      <c r="C1647" s="43" t="str">
        <f>IFERROR(__xludf.DUMMYFUNCTION("""COMPUTED_VALUE"""),"approved")</f>
        <v>approved</v>
      </c>
      <c r="D1647" s="43" t="str">
        <f>IFERROR(__xludf.DUMMYFUNCTION("""COMPUTED_VALUE"""),"No")</f>
        <v>No</v>
      </c>
      <c r="E1647" s="43" t="str">
        <f>IFERROR(__xludf.DUMMYFUNCTION("""COMPUTED_VALUE"""),"p_02ded7ee0b6e30fb7366f18482a87f665dde72bb@inbound.aiesec.org")</f>
        <v>p_02ded7ee0b6e30fb7366f18482a87f665dde72bb@inbound.aiesec.org</v>
      </c>
      <c r="F1647" s="43">
        <f>IFERROR(__xludf.DUMMYFUNCTION("""COMPUTED_VALUE"""),2.7988410686E10)</f>
        <v>27988410686</v>
      </c>
      <c r="G1647" s="43" t="str">
        <f>IFERROR(__xludf.DUMMYFUNCTION("""COMPUTED_VALUE"""),"Brazil")</f>
        <v>Brazil</v>
      </c>
      <c r="H1647" s="43" t="str">
        <f>IFERROR(__xludf.DUMMYFUNCTION("""COMPUTED_VALUE"""),"VITÓRIA")</f>
        <v>VITÓRIA</v>
      </c>
      <c r="I1647" s="43" t="str">
        <f>IFERROR(__xludf.DUMMYFUNCTION("""COMPUTED_VALUE"""),"Turkey")</f>
        <v>Turkey</v>
      </c>
      <c r="J1647" s="43" t="str">
        <f>IFERROR(__xludf.DUMMYFUNCTION("""COMPUTED_VALUE"""),"KUTAHYA")</f>
        <v>KUTAHYA</v>
      </c>
      <c r="K1647" s="44" t="str">
        <f>IFERROR(__xludf.DUMMYFUNCTION("""COMPUTED_VALUE"""),"https://expa.aiesec.org/opportunities/1298556")</f>
        <v>https://expa.aiesec.org/opportunities/1298556</v>
      </c>
      <c r="L1647" s="43" t="str">
        <f>IFERROR(__xludf.DUMMYFUNCTION("""COMPUTED_VALUE"""),"GV")</f>
        <v>GV</v>
      </c>
      <c r="M1647" s="43" t="str">
        <f>IFERROR(__xludf.DUMMYFUNCTION("""COMPUTED_VALUE"""),"short")</f>
        <v>short</v>
      </c>
      <c r="N1647" s="45">
        <f>IFERROR(__xludf.DUMMYFUNCTION("""COMPUTED_VALUE"""),45252.0)</f>
        <v>45252</v>
      </c>
      <c r="O1647" s="45">
        <f>IFERROR(__xludf.DUMMYFUNCTION("""COMPUTED_VALUE"""),45495.0)</f>
        <v>45495</v>
      </c>
      <c r="P1647" s="45">
        <f>IFERROR(__xludf.DUMMYFUNCTION("""COMPUTED_VALUE"""),45537.0)</f>
        <v>45537</v>
      </c>
      <c r="Q1647" s="45"/>
      <c r="R1647" s="45"/>
      <c r="S1647" s="43"/>
      <c r="T1647" s="43"/>
      <c r="U1647" s="43" t="str">
        <f>IFERROR(__xludf.DUMMYFUNCTION("""COMPUTED_VALUE"""),"On The Map")</f>
        <v>On The Map</v>
      </c>
      <c r="V1647" s="43" t="str">
        <f>IFERROR(__xludf.DUMMYFUNCTION("""COMPUTED_VALUE"""),"Vitória")</f>
        <v>Vitória</v>
      </c>
      <c r="W1647" s="43" t="str">
        <f>IFERROR(__xludf.DUMMYFUNCTION("""COMPUTED_VALUE"""),"2023-05-08T18:49:15Z")</f>
        <v>2023-05-08T18:49:15Z</v>
      </c>
      <c r="X1647" s="43"/>
      <c r="Y1647" s="43"/>
      <c r="Z1647" s="43"/>
    </row>
    <row r="1648" hidden="1">
      <c r="A1648" s="43" t="str">
        <f>IFERROR(__xludf.DUMMYFUNCTION("""COMPUTED_VALUE"""),"5376324_1289536")</f>
        <v>5376324_1289536</v>
      </c>
      <c r="B1648" s="43" t="str">
        <f>IFERROR(__xludf.DUMMYFUNCTION("""COMPUTED_VALUE"""),"Arij Jemal")</f>
        <v>Arij Jemal</v>
      </c>
      <c r="C1648" s="43" t="str">
        <f>IFERROR(__xludf.DUMMYFUNCTION("""COMPUTED_VALUE"""),"approved")</f>
        <v>approved</v>
      </c>
      <c r="D1648" s="43" t="str">
        <f>IFERROR(__xludf.DUMMYFUNCTION("""COMPUTED_VALUE"""),"No")</f>
        <v>No</v>
      </c>
      <c r="E1648" s="43" t="str">
        <f>IFERROR(__xludf.DUMMYFUNCTION("""COMPUTED_VALUE"""),"p_8d72c9638ce3baf53a3182f433eb0f516c268c98@inbound.aiesec.org")</f>
        <v>p_8d72c9638ce3baf53a3182f433eb0f516c268c98@inbound.aiesec.org</v>
      </c>
      <c r="F1648" s="43">
        <f>IFERROR(__xludf.DUMMYFUNCTION("""COMPUTED_VALUE"""),2.5895042E7)</f>
        <v>25895042</v>
      </c>
      <c r="G1648" s="43" t="str">
        <f>IFERROR(__xludf.DUMMYFUNCTION("""COMPUTED_VALUE"""),"Tunisia")</f>
        <v>Tunisia</v>
      </c>
      <c r="H1648" s="43" t="str">
        <f>IFERROR(__xludf.DUMMYFUNCTION("""COMPUTED_VALUE"""),"Carthage")</f>
        <v>Carthage</v>
      </c>
      <c r="I1648" s="43" t="str">
        <f>IFERROR(__xludf.DUMMYFUNCTION("""COMPUTED_VALUE"""),"Turkey")</f>
        <v>Turkey</v>
      </c>
      <c r="J1648" s="43" t="str">
        <f>IFERROR(__xludf.DUMMYFUNCTION("""COMPUTED_VALUE"""),"ISTANBUL")</f>
        <v>ISTANBUL</v>
      </c>
      <c r="K1648" s="44" t="str">
        <f>IFERROR(__xludf.DUMMYFUNCTION("""COMPUTED_VALUE"""),"https://expa.aiesec.org/opportunities/1289536")</f>
        <v>https://expa.aiesec.org/opportunities/1289536</v>
      </c>
      <c r="L1648" s="43" t="str">
        <f>IFERROR(__xludf.DUMMYFUNCTION("""COMPUTED_VALUE"""),"GV")</f>
        <v>GV</v>
      </c>
      <c r="M1648" s="43" t="str">
        <f>IFERROR(__xludf.DUMMYFUNCTION("""COMPUTED_VALUE"""),"short")</f>
        <v>short</v>
      </c>
      <c r="N1648" s="45">
        <f>IFERROR(__xludf.DUMMYFUNCTION("""COMPUTED_VALUE"""),45253.0)</f>
        <v>45253</v>
      </c>
      <c r="O1648" s="45">
        <f>IFERROR(__xludf.DUMMYFUNCTION("""COMPUTED_VALUE"""),45431.0)</f>
        <v>45431</v>
      </c>
      <c r="P1648" s="45">
        <f>IFERROR(__xludf.DUMMYFUNCTION("""COMPUTED_VALUE"""),45473.0)</f>
        <v>45473</v>
      </c>
      <c r="Q1648" s="45"/>
      <c r="R1648" s="45"/>
      <c r="S1648" s="43"/>
      <c r="T1648" s="43"/>
      <c r="U1648" s="43" t="str">
        <f>IFERROR(__xludf.DUMMYFUNCTION("""COMPUTED_VALUE"""),"Global Classroom")</f>
        <v>Global Classroom</v>
      </c>
      <c r="V1648" s="43" t="str">
        <f>IFERROR(__xludf.DUMMYFUNCTION("""COMPUTED_VALUE"""),"FSJPST")</f>
        <v>FSJPST</v>
      </c>
      <c r="W1648" s="43" t="str">
        <f>IFERROR(__xludf.DUMMYFUNCTION("""COMPUTED_VALUE"""),"2023-11-20T20:12:32Z")</f>
        <v>2023-11-20T20:12:32Z</v>
      </c>
      <c r="X1648" s="43"/>
      <c r="Y1648" s="43"/>
      <c r="Z1648" s="43"/>
    </row>
    <row r="1649" hidden="1">
      <c r="A1649" s="43" t="str">
        <f>IFERROR(__xludf.DUMMYFUNCTION("""COMPUTED_VALUE"""),"5279810_1291254")</f>
        <v>5279810_1291254</v>
      </c>
      <c r="B1649" s="43" t="str">
        <f>IFERROR(__xludf.DUMMYFUNCTION("""COMPUTED_VALUE"""),"Ichrak Kammoun")</f>
        <v>Ichrak Kammoun</v>
      </c>
      <c r="C1649" s="43" t="str">
        <f>IFERROR(__xludf.DUMMYFUNCTION("""COMPUTED_VALUE"""),"approved")</f>
        <v>approved</v>
      </c>
      <c r="D1649" s="43" t="str">
        <f>IFERROR(__xludf.DUMMYFUNCTION("""COMPUTED_VALUE"""),"No")</f>
        <v>No</v>
      </c>
      <c r="E1649" s="43" t="str">
        <f>IFERROR(__xludf.DUMMYFUNCTION("""COMPUTED_VALUE"""),"p_948fcd0b13fb56527483be336d08a06f6413132a@inbound.aiesec.org")</f>
        <v>p_948fcd0b13fb56527483be336d08a06f6413132a@inbound.aiesec.org</v>
      </c>
      <c r="F1649" s="43"/>
      <c r="G1649" s="43" t="str">
        <f>IFERROR(__xludf.DUMMYFUNCTION("""COMPUTED_VALUE"""),"Tunisia")</f>
        <v>Tunisia</v>
      </c>
      <c r="H1649" s="43" t="str">
        <f>IFERROR(__xludf.DUMMYFUNCTION("""COMPUTED_VALUE"""),"Carthage")</f>
        <v>Carthage</v>
      </c>
      <c r="I1649" s="43" t="str">
        <f>IFERROR(__xludf.DUMMYFUNCTION("""COMPUTED_VALUE"""),"Turkey")</f>
        <v>Turkey</v>
      </c>
      <c r="J1649" s="43" t="str">
        <f>IFERROR(__xludf.DUMMYFUNCTION("""COMPUTED_VALUE"""),"KOCAELI")</f>
        <v>KOCAELI</v>
      </c>
      <c r="K1649" s="44" t="str">
        <f>IFERROR(__xludf.DUMMYFUNCTION("""COMPUTED_VALUE"""),"https://expa.aiesec.org/opportunities/1291254")</f>
        <v>https://expa.aiesec.org/opportunities/1291254</v>
      </c>
      <c r="L1649" s="43" t="str">
        <f>IFERROR(__xludf.DUMMYFUNCTION("""COMPUTED_VALUE"""),"GV")</f>
        <v>GV</v>
      </c>
      <c r="M1649" s="43" t="str">
        <f>IFERROR(__xludf.DUMMYFUNCTION("""COMPUTED_VALUE"""),"short")</f>
        <v>short</v>
      </c>
      <c r="N1649" s="45">
        <f>IFERROR(__xludf.DUMMYFUNCTION("""COMPUTED_VALUE"""),45253.0)</f>
        <v>45253</v>
      </c>
      <c r="O1649" s="45">
        <f>IFERROR(__xludf.DUMMYFUNCTION("""COMPUTED_VALUE"""),45488.0)</f>
        <v>45488</v>
      </c>
      <c r="P1649" s="45">
        <f>IFERROR(__xludf.DUMMYFUNCTION("""COMPUTED_VALUE"""),45530.0)</f>
        <v>45530</v>
      </c>
      <c r="Q1649" s="45"/>
      <c r="R1649" s="45"/>
      <c r="S1649" s="43"/>
      <c r="T1649" s="43"/>
      <c r="U1649" s="43" t="str">
        <f>IFERROR(__xludf.DUMMYFUNCTION("""COMPUTED_VALUE"""),"Global Classroom")</f>
        <v>Global Classroom</v>
      </c>
      <c r="V1649" s="43" t="str">
        <f>IFERROR(__xludf.DUMMYFUNCTION("""COMPUTED_VALUE"""),"-")</f>
        <v>-</v>
      </c>
      <c r="W1649" s="43" t="str">
        <f>IFERROR(__xludf.DUMMYFUNCTION("""COMPUTED_VALUE"""),"2023-06-27T10:46:17Z")</f>
        <v>2023-06-27T10:46:17Z</v>
      </c>
      <c r="X1649" s="43"/>
      <c r="Y1649" s="43"/>
      <c r="Z1649" s="43"/>
    </row>
    <row r="1650" hidden="1">
      <c r="A1650" s="43" t="str">
        <f>IFERROR(__xludf.DUMMYFUNCTION("""COMPUTED_VALUE"""),"5357878_1286034")</f>
        <v>5357878_1286034</v>
      </c>
      <c r="B1650" s="43" t="str">
        <f>IFERROR(__xludf.DUMMYFUNCTION("""COMPUTED_VALUE"""),"Jatlaoui Heni")</f>
        <v>Jatlaoui Heni</v>
      </c>
      <c r="C1650" s="43" t="str">
        <f>IFERROR(__xludf.DUMMYFUNCTION("""COMPUTED_VALUE"""),"finished")</f>
        <v>finished</v>
      </c>
      <c r="D1650" s="43" t="str">
        <f>IFERROR(__xludf.DUMMYFUNCTION("""COMPUTED_VALUE"""),"No")</f>
        <v>No</v>
      </c>
      <c r="E1650" s="43" t="str">
        <f>IFERROR(__xludf.DUMMYFUNCTION("""COMPUTED_VALUE"""),"p_afb6d63018d107c6a024a825bf6534f5aeeca3f3@inbound.aiesec.org")</f>
        <v>p_afb6d63018d107c6a024a825bf6534f5aeeca3f3@inbound.aiesec.org</v>
      </c>
      <c r="F1650" s="43">
        <f>IFERROR(__xludf.DUMMYFUNCTION("""COMPUTED_VALUE"""),5.4761295E7)</f>
        <v>54761295</v>
      </c>
      <c r="G1650" s="43" t="str">
        <f>IFERROR(__xludf.DUMMYFUNCTION("""COMPUTED_VALUE"""),"Tunisia")</f>
        <v>Tunisia</v>
      </c>
      <c r="H1650" s="43" t="str">
        <f>IFERROR(__xludf.DUMMYFUNCTION("""COMPUTED_VALUE"""),"HADRUMET")</f>
        <v>HADRUMET</v>
      </c>
      <c r="I1650" s="43" t="str">
        <f>IFERROR(__xludf.DUMMYFUNCTION("""COMPUTED_VALUE"""),"Turkey")</f>
        <v>Turkey</v>
      </c>
      <c r="J1650" s="43" t="str">
        <f>IFERROR(__xludf.DUMMYFUNCTION("""COMPUTED_VALUE"""),"ANTALYA")</f>
        <v>ANTALYA</v>
      </c>
      <c r="K1650" s="44" t="str">
        <f>IFERROR(__xludf.DUMMYFUNCTION("""COMPUTED_VALUE"""),"https://expa.aiesec.org/opportunities/1286034")</f>
        <v>https://expa.aiesec.org/opportunities/1286034</v>
      </c>
      <c r="L1650" s="43" t="str">
        <f>IFERROR(__xludf.DUMMYFUNCTION("""COMPUTED_VALUE"""),"GV")</f>
        <v>GV</v>
      </c>
      <c r="M1650" s="43" t="str">
        <f>IFERROR(__xludf.DUMMYFUNCTION("""COMPUTED_VALUE"""),"short")</f>
        <v>short</v>
      </c>
      <c r="N1650" s="45">
        <f>IFERROR(__xludf.DUMMYFUNCTION("""COMPUTED_VALUE"""),45253.0)</f>
        <v>45253</v>
      </c>
      <c r="O1650" s="45">
        <f>IFERROR(__xludf.DUMMYFUNCTION("""COMPUTED_VALUE"""),45260.0)</f>
        <v>45260</v>
      </c>
      <c r="P1650" s="45">
        <f>IFERROR(__xludf.DUMMYFUNCTION("""COMPUTED_VALUE"""),45302.0)</f>
        <v>45302</v>
      </c>
      <c r="Q1650" s="45">
        <f>IFERROR(__xludf.DUMMYFUNCTION("""COMPUTED_VALUE"""),45268.0)</f>
        <v>45268</v>
      </c>
      <c r="R1650" s="45">
        <f>IFERROR(__xludf.DUMMYFUNCTION("""COMPUTED_VALUE"""),45309.0)</f>
        <v>45309</v>
      </c>
      <c r="S1650" s="43"/>
      <c r="T1650" s="43"/>
      <c r="U1650" s="43" t="str">
        <f>IFERROR(__xludf.DUMMYFUNCTION("""COMPUTED_VALUE"""),"Global Classroom")</f>
        <v>Global Classroom</v>
      </c>
      <c r="V1650" s="43" t="str">
        <f>IFERROR(__xludf.DUMMYFUNCTION("""COMPUTED_VALUE"""),"FSEG Sousse")</f>
        <v>FSEG Sousse</v>
      </c>
      <c r="W1650" s="43" t="str">
        <f>IFERROR(__xludf.DUMMYFUNCTION("""COMPUTED_VALUE"""),"2023-10-23T13:27:20Z")</f>
        <v>2023-10-23T13:27:20Z</v>
      </c>
      <c r="X1650" s="43"/>
      <c r="Y1650" s="43"/>
      <c r="Z1650" s="43"/>
    </row>
    <row r="1651" hidden="1">
      <c r="A1651" s="43" t="str">
        <f>IFERROR(__xludf.DUMMYFUNCTION("""COMPUTED_VALUE"""),"5368386_1298282")</f>
        <v>5368386_1298282</v>
      </c>
      <c r="B1651" s="43" t="str">
        <f>IFERROR(__xludf.DUMMYFUNCTION("""COMPUTED_VALUE"""),"Polina Pohrebna")</f>
        <v>Polina Pohrebna</v>
      </c>
      <c r="C1651" s="43" t="str">
        <f>IFERROR(__xludf.DUMMYFUNCTION("""COMPUTED_VALUE"""),"approved")</f>
        <v>approved</v>
      </c>
      <c r="D1651" s="43" t="str">
        <f>IFERROR(__xludf.DUMMYFUNCTION("""COMPUTED_VALUE"""),"No")</f>
        <v>No</v>
      </c>
      <c r="E1651" s="43" t="str">
        <f>IFERROR(__xludf.DUMMYFUNCTION("""COMPUTED_VALUE"""),"p_b151e9baa4f06891247c267b0befcb578df16957@inbound.aiesec.org")</f>
        <v>p_b151e9baa4f06891247c267b0befcb578df16957@inbound.aiesec.org</v>
      </c>
      <c r="F1651" s="43"/>
      <c r="G1651" s="43" t="str">
        <f>IFERROR(__xludf.DUMMYFUNCTION("""COMPUTED_VALUE"""),"Ukraine")</f>
        <v>Ukraine</v>
      </c>
      <c r="H1651" s="43" t="str">
        <f>IFERROR(__xludf.DUMMYFUNCTION("""COMPUTED_VALUE"""),"LVIV")</f>
        <v>LVIV</v>
      </c>
      <c r="I1651" s="43" t="str">
        <f>IFERROR(__xludf.DUMMYFUNCTION("""COMPUTED_VALUE"""),"Turkey")</f>
        <v>Turkey</v>
      </c>
      <c r="J1651" s="43" t="str">
        <f>IFERROR(__xludf.DUMMYFUNCTION("""COMPUTED_VALUE"""),"ISTANBUL")</f>
        <v>ISTANBUL</v>
      </c>
      <c r="K1651" s="44" t="str">
        <f>IFERROR(__xludf.DUMMYFUNCTION("""COMPUTED_VALUE"""),"https://expa.aiesec.org/opportunities/1298282")</f>
        <v>https://expa.aiesec.org/opportunities/1298282</v>
      </c>
      <c r="L1651" s="43" t="str">
        <f>IFERROR(__xludf.DUMMYFUNCTION("""COMPUTED_VALUE"""),"GV")</f>
        <v>GV</v>
      </c>
      <c r="M1651" s="43" t="str">
        <f>IFERROR(__xludf.DUMMYFUNCTION("""COMPUTED_VALUE"""),"short")</f>
        <v>short</v>
      </c>
      <c r="N1651" s="45">
        <f>IFERROR(__xludf.DUMMYFUNCTION("""COMPUTED_VALUE"""),45253.0)</f>
        <v>45253</v>
      </c>
      <c r="O1651" s="45">
        <f>IFERROR(__xludf.DUMMYFUNCTION("""COMPUTED_VALUE"""),45505.0)</f>
        <v>45505</v>
      </c>
      <c r="P1651" s="45">
        <f>IFERROR(__xludf.DUMMYFUNCTION("""COMPUTED_VALUE"""),45547.0)</f>
        <v>45547</v>
      </c>
      <c r="Q1651" s="45"/>
      <c r="R1651" s="45"/>
      <c r="S1651" s="43"/>
      <c r="T1651" s="43"/>
      <c r="U1651" s="43" t="str">
        <f>IFERROR(__xludf.DUMMYFUNCTION("""COMPUTED_VALUE"""),"Green Leaders")</f>
        <v>Green Leaders</v>
      </c>
      <c r="V1651" s="43" t="str">
        <f>IFERROR(__xludf.DUMMYFUNCTION("""COMPUTED_VALUE"""),"-")</f>
        <v>-</v>
      </c>
      <c r="W1651" s="43" t="str">
        <f>IFERROR(__xludf.DUMMYFUNCTION("""COMPUTED_VALUE"""),"2023-11-07T15:53:53Z")</f>
        <v>2023-11-07T15:53:53Z</v>
      </c>
      <c r="X1651" s="43"/>
      <c r="Y1651" s="43"/>
      <c r="Z1651" s="43"/>
    </row>
    <row r="1652" hidden="1">
      <c r="A1652" s="43" t="str">
        <f>IFERROR(__xludf.DUMMYFUNCTION("""COMPUTED_VALUE"""),"5378395_1291254")</f>
        <v>5378395_1291254</v>
      </c>
      <c r="B1652" s="43" t="str">
        <f>IFERROR(__xludf.DUMMYFUNCTION("""COMPUTED_VALUE"""),"Sabrine Ben amara")</f>
        <v>Sabrine Ben amara</v>
      </c>
      <c r="C1652" s="43" t="str">
        <f>IFERROR(__xludf.DUMMYFUNCTION("""COMPUTED_VALUE"""),"approved")</f>
        <v>approved</v>
      </c>
      <c r="D1652" s="43" t="str">
        <f>IFERROR(__xludf.DUMMYFUNCTION("""COMPUTED_VALUE"""),"No")</f>
        <v>No</v>
      </c>
      <c r="E1652" s="43" t="str">
        <f>IFERROR(__xludf.DUMMYFUNCTION("""COMPUTED_VALUE"""),"p_9261d5c798e4a1fd17dc440ca1f279ac826e8d70@inbound.aiesec.org")</f>
        <v>p_9261d5c798e4a1fd17dc440ca1f279ac826e8d70@inbound.aiesec.org</v>
      </c>
      <c r="F1652" s="43">
        <f>IFERROR(__xludf.DUMMYFUNCTION("""COMPUTED_VALUE"""),2.5006152E7)</f>
        <v>25006152</v>
      </c>
      <c r="G1652" s="43" t="str">
        <f>IFERROR(__xludf.DUMMYFUNCTION("""COMPUTED_VALUE"""),"Tunisia")</f>
        <v>Tunisia</v>
      </c>
      <c r="H1652" s="43" t="str">
        <f>IFERROR(__xludf.DUMMYFUNCTION("""COMPUTED_VALUE"""),"Carthage")</f>
        <v>Carthage</v>
      </c>
      <c r="I1652" s="43" t="str">
        <f>IFERROR(__xludf.DUMMYFUNCTION("""COMPUTED_VALUE"""),"Turkey")</f>
        <v>Turkey</v>
      </c>
      <c r="J1652" s="43" t="str">
        <f>IFERROR(__xludf.DUMMYFUNCTION("""COMPUTED_VALUE"""),"KOCAELI")</f>
        <v>KOCAELI</v>
      </c>
      <c r="K1652" s="44" t="str">
        <f>IFERROR(__xludf.DUMMYFUNCTION("""COMPUTED_VALUE"""),"https://expa.aiesec.org/opportunities/1291254")</f>
        <v>https://expa.aiesec.org/opportunities/1291254</v>
      </c>
      <c r="L1652" s="43" t="str">
        <f>IFERROR(__xludf.DUMMYFUNCTION("""COMPUTED_VALUE"""),"GV")</f>
        <v>GV</v>
      </c>
      <c r="M1652" s="43" t="str">
        <f>IFERROR(__xludf.DUMMYFUNCTION("""COMPUTED_VALUE"""),"short")</f>
        <v>short</v>
      </c>
      <c r="N1652" s="45">
        <f>IFERROR(__xludf.DUMMYFUNCTION("""COMPUTED_VALUE"""),45253.0)</f>
        <v>45253</v>
      </c>
      <c r="O1652" s="45">
        <f>IFERROR(__xludf.DUMMYFUNCTION("""COMPUTED_VALUE"""),45488.0)</f>
        <v>45488</v>
      </c>
      <c r="P1652" s="45">
        <f>IFERROR(__xludf.DUMMYFUNCTION("""COMPUTED_VALUE"""),45530.0)</f>
        <v>45530</v>
      </c>
      <c r="Q1652" s="45"/>
      <c r="R1652" s="45"/>
      <c r="S1652" s="43"/>
      <c r="T1652" s="43"/>
      <c r="U1652" s="43" t="str">
        <f>IFERROR(__xludf.DUMMYFUNCTION("""COMPUTED_VALUE"""),"Global Classroom")</f>
        <v>Global Classroom</v>
      </c>
      <c r="V1652" s="43" t="str">
        <f>IFERROR(__xludf.DUMMYFUNCTION("""COMPUTED_VALUE"""),"IHET Sidi Dhrif")</f>
        <v>IHET Sidi Dhrif</v>
      </c>
      <c r="W1652" s="43" t="str">
        <f>IFERROR(__xludf.DUMMYFUNCTION("""COMPUTED_VALUE"""),"2023-11-23T15:15:02Z")</f>
        <v>2023-11-23T15:15:02Z</v>
      </c>
      <c r="X1652" s="43"/>
      <c r="Y1652" s="43"/>
      <c r="Z1652" s="43"/>
    </row>
    <row r="1653" hidden="1">
      <c r="A1653" s="43" t="str">
        <f>IFERROR(__xludf.DUMMYFUNCTION("""COMPUTED_VALUE"""),"5366857_1289597")</f>
        <v>5366857_1289597</v>
      </c>
      <c r="B1653" s="43" t="str">
        <f>IFERROR(__xludf.DUMMYFUNCTION("""COMPUTED_VALUE"""),"Salma Chidali")</f>
        <v>Salma Chidali</v>
      </c>
      <c r="C1653" s="43" t="str">
        <f>IFERROR(__xludf.DUMMYFUNCTION("""COMPUTED_VALUE"""),"approved")</f>
        <v>approved</v>
      </c>
      <c r="D1653" s="43" t="str">
        <f>IFERROR(__xludf.DUMMYFUNCTION("""COMPUTED_VALUE"""),"No")</f>
        <v>No</v>
      </c>
      <c r="E1653" s="43" t="str">
        <f>IFERROR(__xludf.DUMMYFUNCTION("""COMPUTED_VALUE"""),"p_9ddf7084005f02d9d348f2da0c1a13465e72c376@inbound.aiesec.org")</f>
        <v>p_9ddf7084005f02d9d348f2da0c1a13465e72c376@inbound.aiesec.org</v>
      </c>
      <c r="F1653" s="43">
        <f>IFERROR(__xludf.DUMMYFUNCTION("""COMPUTED_VALUE"""),6.89179021E8)</f>
        <v>689179021</v>
      </c>
      <c r="G1653" s="43" t="str">
        <f>IFERROR(__xludf.DUMMYFUNCTION("""COMPUTED_VALUE"""),"Morocco")</f>
        <v>Morocco</v>
      </c>
      <c r="H1653" s="43" t="str">
        <f>IFERROR(__xludf.DUMMYFUNCTION("""COMPUTED_VALUE"""),"Meknes")</f>
        <v>Meknes</v>
      </c>
      <c r="I1653" s="43" t="str">
        <f>IFERROR(__xludf.DUMMYFUNCTION("""COMPUTED_VALUE"""),"Turkey")</f>
        <v>Turkey</v>
      </c>
      <c r="J1653" s="43" t="str">
        <f>IFERROR(__xludf.DUMMYFUNCTION("""COMPUTED_VALUE"""),"ISPARTA")</f>
        <v>ISPARTA</v>
      </c>
      <c r="K1653" s="44" t="str">
        <f>IFERROR(__xludf.DUMMYFUNCTION("""COMPUTED_VALUE"""),"https://expa.aiesec.org/opportunities/1289597")</f>
        <v>https://expa.aiesec.org/opportunities/1289597</v>
      </c>
      <c r="L1653" s="43" t="str">
        <f>IFERROR(__xludf.DUMMYFUNCTION("""COMPUTED_VALUE"""),"GV")</f>
        <v>GV</v>
      </c>
      <c r="M1653" s="43" t="str">
        <f>IFERROR(__xludf.DUMMYFUNCTION("""COMPUTED_VALUE"""),"short")</f>
        <v>short</v>
      </c>
      <c r="N1653" s="45">
        <f>IFERROR(__xludf.DUMMYFUNCTION("""COMPUTED_VALUE"""),45253.0)</f>
        <v>45253</v>
      </c>
      <c r="O1653" s="45">
        <f>IFERROR(__xludf.DUMMYFUNCTION("""COMPUTED_VALUE"""),45480.0)</f>
        <v>45480</v>
      </c>
      <c r="P1653" s="45">
        <f>IFERROR(__xludf.DUMMYFUNCTION("""COMPUTED_VALUE"""),45522.0)</f>
        <v>45522</v>
      </c>
      <c r="Q1653" s="45"/>
      <c r="R1653" s="45"/>
      <c r="S1653" s="43"/>
      <c r="T1653" s="43"/>
      <c r="U1653" s="43" t="str">
        <f>IFERROR(__xludf.DUMMYFUNCTION("""COMPUTED_VALUE"""),"Global Classroom")</f>
        <v>Global Classroom</v>
      </c>
      <c r="V1653" s="43" t="str">
        <f>IFERROR(__xludf.DUMMYFUNCTION("""COMPUTED_VALUE"""),"Ecole Nationale De Commerce Et De Gestion Meknès (ENCGM)")</f>
        <v>Ecole Nationale De Commerce Et De Gestion Meknès (ENCGM)</v>
      </c>
      <c r="W1653" s="43" t="str">
        <f>IFERROR(__xludf.DUMMYFUNCTION("""COMPUTED_VALUE"""),"2023-11-04T15:51:42Z")</f>
        <v>2023-11-04T15:51:42Z</v>
      </c>
      <c r="X1653" s="43"/>
      <c r="Y1653" s="43"/>
      <c r="Z1653" s="43"/>
    </row>
    <row r="1654" hidden="1">
      <c r="A1654" s="43" t="str">
        <f>IFERROR(__xludf.DUMMYFUNCTION("""COMPUTED_VALUE"""),"5361724_1281010")</f>
        <v>5361724_1281010</v>
      </c>
      <c r="B1654" s="43" t="str">
        <f>IFERROR(__xludf.DUMMYFUNCTION("""COMPUTED_VALUE"""),"Bassem El Abed")</f>
        <v>Bassem El Abed</v>
      </c>
      <c r="C1654" s="43" t="str">
        <f>IFERROR(__xludf.DUMMYFUNCTION("""COMPUTED_VALUE"""),"approved")</f>
        <v>approved</v>
      </c>
      <c r="D1654" s="43" t="str">
        <f>IFERROR(__xludf.DUMMYFUNCTION("""COMPUTED_VALUE"""),"No")</f>
        <v>No</v>
      </c>
      <c r="E1654" s="43" t="str">
        <f>IFERROR(__xludf.DUMMYFUNCTION("""COMPUTED_VALUE"""),"p_dea91a41b4c7b17e62fe10250c07bada309774bb@inbound.aiesec.org")</f>
        <v>p_dea91a41b4c7b17e62fe10250c07bada309774bb@inbound.aiesec.org</v>
      </c>
      <c r="F1654" s="43">
        <f>IFERROR(__xludf.DUMMYFUNCTION("""COMPUTED_VALUE"""),5.6818483E7)</f>
        <v>56818483</v>
      </c>
      <c r="G1654" s="43" t="str">
        <f>IFERROR(__xludf.DUMMYFUNCTION("""COMPUTED_VALUE"""),"Tunisia")</f>
        <v>Tunisia</v>
      </c>
      <c r="H1654" s="43" t="str">
        <f>IFERROR(__xludf.DUMMYFUNCTION("""COMPUTED_VALUE"""),"HADRUMET")</f>
        <v>HADRUMET</v>
      </c>
      <c r="I1654" s="43" t="str">
        <f>IFERROR(__xludf.DUMMYFUNCTION("""COMPUTED_VALUE"""),"Turkey")</f>
        <v>Turkey</v>
      </c>
      <c r="J1654" s="43" t="str">
        <f>IFERROR(__xludf.DUMMYFUNCTION("""COMPUTED_VALUE"""),"KOCAELI")</f>
        <v>KOCAELI</v>
      </c>
      <c r="K1654" s="44" t="str">
        <f>IFERROR(__xludf.DUMMYFUNCTION("""COMPUTED_VALUE"""),"https://expa.aiesec.org/opportunities/1281010")</f>
        <v>https://expa.aiesec.org/opportunities/1281010</v>
      </c>
      <c r="L1654" s="43" t="str">
        <f>IFERROR(__xludf.DUMMYFUNCTION("""COMPUTED_VALUE"""),"GV")</f>
        <v>GV</v>
      </c>
      <c r="M1654" s="43" t="str">
        <f>IFERROR(__xludf.DUMMYFUNCTION("""COMPUTED_VALUE"""),"short")</f>
        <v>short</v>
      </c>
      <c r="N1654" s="45">
        <f>IFERROR(__xludf.DUMMYFUNCTION("""COMPUTED_VALUE"""),45254.0)</f>
        <v>45254</v>
      </c>
      <c r="O1654" s="45">
        <f>IFERROR(__xludf.DUMMYFUNCTION("""COMPUTED_VALUE"""),45466.0)</f>
        <v>45466</v>
      </c>
      <c r="P1654" s="45">
        <f>IFERROR(__xludf.DUMMYFUNCTION("""COMPUTED_VALUE"""),45508.0)</f>
        <v>45508</v>
      </c>
      <c r="Q1654" s="45"/>
      <c r="R1654" s="45"/>
      <c r="S1654" s="43"/>
      <c r="T1654" s="43"/>
      <c r="U1654" s="43" t="str">
        <f>IFERROR(__xludf.DUMMYFUNCTION("""COMPUTED_VALUE"""),"Global Classroom")</f>
        <v>Global Classroom</v>
      </c>
      <c r="V1654" s="43" t="str">
        <f>IFERROR(__xludf.DUMMYFUNCTION("""COMPUTED_VALUE"""),"ISET Sousse")</f>
        <v>ISET Sousse</v>
      </c>
      <c r="W1654" s="43" t="str">
        <f>IFERROR(__xludf.DUMMYFUNCTION("""COMPUTED_VALUE"""),"2023-10-27T18:37:55Z")</f>
        <v>2023-10-27T18:37:55Z</v>
      </c>
      <c r="X1654" s="43"/>
      <c r="Y1654" s="43"/>
      <c r="Z1654" s="43"/>
    </row>
    <row r="1655" hidden="1">
      <c r="A1655" s="43" t="str">
        <f>IFERROR(__xludf.DUMMYFUNCTION("""COMPUTED_VALUE"""),"5368257_1291634")</f>
        <v>5368257_1291634</v>
      </c>
      <c r="B1655" s="43" t="str">
        <f>IFERROR(__xludf.DUMMYFUNCTION("""COMPUTED_VALUE"""),"christiane winzenick")</f>
        <v>christiane winzenick</v>
      </c>
      <c r="C1655" s="43" t="str">
        <f>IFERROR(__xludf.DUMMYFUNCTION("""COMPUTED_VALUE"""),"approved")</f>
        <v>approved</v>
      </c>
      <c r="D1655" s="43" t="str">
        <f>IFERROR(__xludf.DUMMYFUNCTION("""COMPUTED_VALUE"""),"No")</f>
        <v>No</v>
      </c>
      <c r="E1655" s="43" t="str">
        <f>IFERROR(__xludf.DUMMYFUNCTION("""COMPUTED_VALUE"""),"p_37637e805fbeed07e0439aa3e1d7dc8213a320d8@inbound.aiesec.org")</f>
        <v>p_37637e805fbeed07e0439aa3e1d7dc8213a320d8@inbound.aiesec.org</v>
      </c>
      <c r="F1655" s="43">
        <f>IFERROR(__xludf.DUMMYFUNCTION("""COMPUTED_VALUE"""),1.5159824017E10)</f>
        <v>15159824017</v>
      </c>
      <c r="G1655" s="43" t="str">
        <f>IFERROR(__xludf.DUMMYFUNCTION("""COMPUTED_VALUE"""),"Germany")</f>
        <v>Germany</v>
      </c>
      <c r="H1655" s="43" t="str">
        <f>IFERROR(__xludf.DUMMYFUNCTION("""COMPUTED_VALUE"""),"PADERBORN")</f>
        <v>PADERBORN</v>
      </c>
      <c r="I1655" s="43" t="str">
        <f>IFERROR(__xludf.DUMMYFUNCTION("""COMPUTED_VALUE"""),"Turkey")</f>
        <v>Turkey</v>
      </c>
      <c r="J1655" s="43" t="str">
        <f>IFERROR(__xludf.DUMMYFUNCTION("""COMPUTED_VALUE"""),"İZMİR")</f>
        <v>İZMİR</v>
      </c>
      <c r="K1655" s="44" t="str">
        <f>IFERROR(__xludf.DUMMYFUNCTION("""COMPUTED_VALUE"""),"https://expa.aiesec.org/opportunities/1291634")</f>
        <v>https://expa.aiesec.org/opportunities/1291634</v>
      </c>
      <c r="L1655" s="43" t="str">
        <f>IFERROR(__xludf.DUMMYFUNCTION("""COMPUTED_VALUE"""),"GV")</f>
        <v>GV</v>
      </c>
      <c r="M1655" s="43" t="str">
        <f>IFERROR(__xludf.DUMMYFUNCTION("""COMPUTED_VALUE"""),"short")</f>
        <v>short</v>
      </c>
      <c r="N1655" s="45">
        <f>IFERROR(__xludf.DUMMYFUNCTION("""COMPUTED_VALUE"""),45254.0)</f>
        <v>45254</v>
      </c>
      <c r="O1655" s="45">
        <f>IFERROR(__xludf.DUMMYFUNCTION("""COMPUTED_VALUE"""),45369.0)</f>
        <v>45369</v>
      </c>
      <c r="P1655" s="45">
        <f>IFERROR(__xludf.DUMMYFUNCTION("""COMPUTED_VALUE"""),45411.0)</f>
        <v>45411</v>
      </c>
      <c r="Q1655" s="45"/>
      <c r="R1655" s="45"/>
      <c r="S1655" s="43"/>
      <c r="T1655" s="43"/>
      <c r="U1655" s="43" t="str">
        <f>IFERROR(__xludf.DUMMYFUNCTION("""COMPUTED_VALUE"""),"Fingerprint")</f>
        <v>Fingerprint</v>
      </c>
      <c r="V1655" s="43" t="str">
        <f>IFERROR(__xludf.DUMMYFUNCTION("""COMPUTED_VALUE"""),"Paderborn")</f>
        <v>Paderborn</v>
      </c>
      <c r="W1655" s="43" t="str">
        <f>IFERROR(__xludf.DUMMYFUNCTION("""COMPUTED_VALUE"""),"2023-11-07T13:23:06Z")</f>
        <v>2023-11-07T13:23:06Z</v>
      </c>
      <c r="X1655" s="43"/>
      <c r="Y1655" s="43"/>
      <c r="Z1655" s="43"/>
    </row>
    <row r="1656" hidden="1">
      <c r="A1656" s="43" t="str">
        <f>IFERROR(__xludf.DUMMYFUNCTION("""COMPUTED_VALUE"""),"5366740_1289536")</f>
        <v>5366740_1289536</v>
      </c>
      <c r="B1656" s="43" t="str">
        <f>IFERROR(__xludf.DUMMYFUNCTION("""COMPUTED_VALUE"""),"zeineb touhami")</f>
        <v>zeineb touhami</v>
      </c>
      <c r="C1656" s="43" t="str">
        <f>IFERROR(__xludf.DUMMYFUNCTION("""COMPUTED_VALUE"""),"approved")</f>
        <v>approved</v>
      </c>
      <c r="D1656" s="43" t="str">
        <f>IFERROR(__xludf.DUMMYFUNCTION("""COMPUTED_VALUE"""),"No")</f>
        <v>No</v>
      </c>
      <c r="E1656" s="43" t="str">
        <f>IFERROR(__xludf.DUMMYFUNCTION("""COMPUTED_VALUE"""),"p_1b8592134c7fb65da5f46c5317588daae9cbfdf7@inbound.aiesec.org")</f>
        <v>p_1b8592134c7fb65da5f46c5317588daae9cbfdf7@inbound.aiesec.org</v>
      </c>
      <c r="F1656" s="43">
        <f>IFERROR(__xludf.DUMMYFUNCTION("""COMPUTED_VALUE"""),9.4868611E7)</f>
        <v>94868611</v>
      </c>
      <c r="G1656" s="43" t="str">
        <f>IFERROR(__xludf.DUMMYFUNCTION("""COMPUTED_VALUE"""),"Tunisia")</f>
        <v>Tunisia</v>
      </c>
      <c r="H1656" s="43" t="str">
        <f>IFERROR(__xludf.DUMMYFUNCTION("""COMPUTED_VALUE"""),"Carthage")</f>
        <v>Carthage</v>
      </c>
      <c r="I1656" s="43" t="str">
        <f>IFERROR(__xludf.DUMMYFUNCTION("""COMPUTED_VALUE"""),"Turkey")</f>
        <v>Turkey</v>
      </c>
      <c r="J1656" s="43" t="str">
        <f>IFERROR(__xludf.DUMMYFUNCTION("""COMPUTED_VALUE"""),"ISTANBUL")</f>
        <v>ISTANBUL</v>
      </c>
      <c r="K1656" s="44" t="str">
        <f>IFERROR(__xludf.DUMMYFUNCTION("""COMPUTED_VALUE"""),"https://expa.aiesec.org/opportunities/1289536")</f>
        <v>https://expa.aiesec.org/opportunities/1289536</v>
      </c>
      <c r="L1656" s="43" t="str">
        <f>IFERROR(__xludf.DUMMYFUNCTION("""COMPUTED_VALUE"""),"GV")</f>
        <v>GV</v>
      </c>
      <c r="M1656" s="43" t="str">
        <f>IFERROR(__xludf.DUMMYFUNCTION("""COMPUTED_VALUE"""),"short")</f>
        <v>short</v>
      </c>
      <c r="N1656" s="45">
        <f>IFERROR(__xludf.DUMMYFUNCTION("""COMPUTED_VALUE"""),45254.0)</f>
        <v>45254</v>
      </c>
      <c r="O1656" s="45">
        <f>IFERROR(__xludf.DUMMYFUNCTION("""COMPUTED_VALUE"""),45505.0)</f>
        <v>45505</v>
      </c>
      <c r="P1656" s="45">
        <f>IFERROR(__xludf.DUMMYFUNCTION("""COMPUTED_VALUE"""),45547.0)</f>
        <v>45547</v>
      </c>
      <c r="Q1656" s="45"/>
      <c r="R1656" s="45"/>
      <c r="S1656" s="43"/>
      <c r="T1656" s="43"/>
      <c r="U1656" s="43" t="str">
        <f>IFERROR(__xludf.DUMMYFUNCTION("""COMPUTED_VALUE"""),"Global Classroom")</f>
        <v>Global Classroom</v>
      </c>
      <c r="V1656" s="43" t="str">
        <f>IFERROR(__xludf.DUMMYFUNCTION("""COMPUTED_VALUE"""),"IHEC Carthage")</f>
        <v>IHEC Carthage</v>
      </c>
      <c r="W1656" s="43" t="str">
        <f>IFERROR(__xludf.DUMMYFUNCTION("""COMPUTED_VALUE"""),"2023-11-04T12:14:11Z")</f>
        <v>2023-11-04T12:14:11Z</v>
      </c>
      <c r="X1656" s="43"/>
      <c r="Y1656" s="43"/>
      <c r="Z1656" s="43"/>
    </row>
    <row r="1657" hidden="1">
      <c r="A1657" s="43" t="str">
        <f>IFERROR(__xludf.DUMMYFUNCTION("""COMPUTED_VALUE"""),"5377047_1289536")</f>
        <v>5377047_1289536</v>
      </c>
      <c r="B1657" s="43" t="str">
        <f>IFERROR(__xludf.DUMMYFUNCTION("""COMPUTED_VALUE"""),"Islem Ayedi")</f>
        <v>Islem Ayedi</v>
      </c>
      <c r="C1657" s="43" t="str">
        <f>IFERROR(__xludf.DUMMYFUNCTION("""COMPUTED_VALUE"""),"approved")</f>
        <v>approved</v>
      </c>
      <c r="D1657" s="43" t="str">
        <f>IFERROR(__xludf.DUMMYFUNCTION("""COMPUTED_VALUE"""),"No")</f>
        <v>No</v>
      </c>
      <c r="E1657" s="43" t="str">
        <f>IFERROR(__xludf.DUMMYFUNCTION("""COMPUTED_VALUE"""),"p_a2417af96aa1efe5dd06fc56c8be887fb17a3346@inbound.aiesec.org")</f>
        <v>p_a2417af96aa1efe5dd06fc56c8be887fb17a3346@inbound.aiesec.org</v>
      </c>
      <c r="F1657" s="43">
        <f>IFERROR(__xludf.DUMMYFUNCTION("""COMPUTED_VALUE"""),2.343896E7)</f>
        <v>23438960</v>
      </c>
      <c r="G1657" s="43" t="str">
        <f>IFERROR(__xludf.DUMMYFUNCTION("""COMPUTED_VALUE"""),"Tunisia")</f>
        <v>Tunisia</v>
      </c>
      <c r="H1657" s="43" t="str">
        <f>IFERROR(__xludf.DUMMYFUNCTION("""COMPUTED_VALUE"""),"Carthage")</f>
        <v>Carthage</v>
      </c>
      <c r="I1657" s="43" t="str">
        <f>IFERROR(__xludf.DUMMYFUNCTION("""COMPUTED_VALUE"""),"Turkey")</f>
        <v>Turkey</v>
      </c>
      <c r="J1657" s="43" t="str">
        <f>IFERROR(__xludf.DUMMYFUNCTION("""COMPUTED_VALUE"""),"ISTANBUL")</f>
        <v>ISTANBUL</v>
      </c>
      <c r="K1657" s="44" t="str">
        <f>IFERROR(__xludf.DUMMYFUNCTION("""COMPUTED_VALUE"""),"https://expa.aiesec.org/opportunities/1289536")</f>
        <v>https://expa.aiesec.org/opportunities/1289536</v>
      </c>
      <c r="L1657" s="43" t="str">
        <f>IFERROR(__xludf.DUMMYFUNCTION("""COMPUTED_VALUE"""),"GV")</f>
        <v>GV</v>
      </c>
      <c r="M1657" s="43" t="str">
        <f>IFERROR(__xludf.DUMMYFUNCTION("""COMPUTED_VALUE"""),"short")</f>
        <v>short</v>
      </c>
      <c r="N1657" s="45">
        <f>IFERROR(__xludf.DUMMYFUNCTION("""COMPUTED_VALUE"""),45254.0)</f>
        <v>45254</v>
      </c>
      <c r="O1657" s="45">
        <f>IFERROR(__xludf.DUMMYFUNCTION("""COMPUTED_VALUE"""),45444.0)</f>
        <v>45444</v>
      </c>
      <c r="P1657" s="45">
        <f>IFERROR(__xludf.DUMMYFUNCTION("""COMPUTED_VALUE"""),45486.0)</f>
        <v>45486</v>
      </c>
      <c r="Q1657" s="45"/>
      <c r="R1657" s="45"/>
      <c r="S1657" s="43"/>
      <c r="T1657" s="43"/>
      <c r="U1657" s="43" t="str">
        <f>IFERROR(__xludf.DUMMYFUNCTION("""COMPUTED_VALUE"""),"Global Classroom")</f>
        <v>Global Classroom</v>
      </c>
      <c r="V1657" s="43" t="str">
        <f>IFERROR(__xludf.DUMMYFUNCTION("""COMPUTED_VALUE"""),"INSAT")</f>
        <v>INSAT</v>
      </c>
      <c r="W1657" s="43" t="str">
        <f>IFERROR(__xludf.DUMMYFUNCTION("""COMPUTED_VALUE"""),"2023-11-21T19:38:17Z")</f>
        <v>2023-11-21T19:38:17Z</v>
      </c>
      <c r="X1657" s="43"/>
      <c r="Y1657" s="43"/>
      <c r="Z1657" s="43"/>
    </row>
    <row r="1658" hidden="1">
      <c r="A1658" s="43" t="str">
        <f>IFERROR(__xludf.DUMMYFUNCTION("""COMPUTED_VALUE"""),"5379321_1289536")</f>
        <v>5379321_1289536</v>
      </c>
      <c r="B1658" s="43" t="str">
        <f>IFERROR(__xludf.DUMMYFUNCTION("""COMPUTED_VALUE"""),"oussama abidi")</f>
        <v>oussama abidi</v>
      </c>
      <c r="C1658" s="43" t="str">
        <f>IFERROR(__xludf.DUMMYFUNCTION("""COMPUTED_VALUE"""),"approved")</f>
        <v>approved</v>
      </c>
      <c r="D1658" s="43" t="str">
        <f>IFERROR(__xludf.DUMMYFUNCTION("""COMPUTED_VALUE"""),"No")</f>
        <v>No</v>
      </c>
      <c r="E1658" s="43" t="str">
        <f>IFERROR(__xludf.DUMMYFUNCTION("""COMPUTED_VALUE"""),"p_c98c711eb5aba30549c0f42b2386acfaba3dd03e@inbound.aiesec.org")</f>
        <v>p_c98c711eb5aba30549c0f42b2386acfaba3dd03e@inbound.aiesec.org</v>
      </c>
      <c r="F1658" s="43">
        <f>IFERROR(__xludf.DUMMYFUNCTION("""COMPUTED_VALUE"""),2.9498226E7)</f>
        <v>29498226</v>
      </c>
      <c r="G1658" s="43" t="str">
        <f>IFERROR(__xludf.DUMMYFUNCTION("""COMPUTED_VALUE"""),"Tunisia")</f>
        <v>Tunisia</v>
      </c>
      <c r="H1658" s="43" t="str">
        <f>IFERROR(__xludf.DUMMYFUNCTION("""COMPUTED_VALUE"""),"HADRUMET")</f>
        <v>HADRUMET</v>
      </c>
      <c r="I1658" s="43" t="str">
        <f>IFERROR(__xludf.DUMMYFUNCTION("""COMPUTED_VALUE"""),"Turkey")</f>
        <v>Turkey</v>
      </c>
      <c r="J1658" s="43" t="str">
        <f>IFERROR(__xludf.DUMMYFUNCTION("""COMPUTED_VALUE"""),"ISTANBUL")</f>
        <v>ISTANBUL</v>
      </c>
      <c r="K1658" s="44" t="str">
        <f>IFERROR(__xludf.DUMMYFUNCTION("""COMPUTED_VALUE"""),"https://expa.aiesec.org/opportunities/1289536")</f>
        <v>https://expa.aiesec.org/opportunities/1289536</v>
      </c>
      <c r="L1658" s="43" t="str">
        <f>IFERROR(__xludf.DUMMYFUNCTION("""COMPUTED_VALUE"""),"GV")</f>
        <v>GV</v>
      </c>
      <c r="M1658" s="43" t="str">
        <f>IFERROR(__xludf.DUMMYFUNCTION("""COMPUTED_VALUE"""),"short")</f>
        <v>short</v>
      </c>
      <c r="N1658" s="45">
        <f>IFERROR(__xludf.DUMMYFUNCTION("""COMPUTED_VALUE"""),45254.0)</f>
        <v>45254</v>
      </c>
      <c r="O1658" s="45">
        <f>IFERROR(__xludf.DUMMYFUNCTION("""COMPUTED_VALUE"""),45444.0)</f>
        <v>45444</v>
      </c>
      <c r="P1658" s="45">
        <f>IFERROR(__xludf.DUMMYFUNCTION("""COMPUTED_VALUE"""),45486.0)</f>
        <v>45486</v>
      </c>
      <c r="Q1658" s="45"/>
      <c r="R1658" s="45"/>
      <c r="S1658" s="43"/>
      <c r="T1658" s="43"/>
      <c r="U1658" s="43" t="str">
        <f>IFERROR(__xludf.DUMMYFUNCTION("""COMPUTED_VALUE"""),"Global Classroom")</f>
        <v>Global Classroom</v>
      </c>
      <c r="V1658" s="43" t="str">
        <f>IFERROR(__xludf.DUMMYFUNCTION("""COMPUTED_VALUE"""),"ISET Sousse")</f>
        <v>ISET Sousse</v>
      </c>
      <c r="W1658" s="43" t="str">
        <f>IFERROR(__xludf.DUMMYFUNCTION("""COMPUTED_VALUE"""),"2023-11-24T21:16:55Z")</f>
        <v>2023-11-24T21:16:55Z</v>
      </c>
      <c r="X1658" s="43"/>
      <c r="Y1658" s="43"/>
      <c r="Z1658" s="43"/>
    </row>
    <row r="1659" hidden="1">
      <c r="A1659" s="43" t="str">
        <f>IFERROR(__xludf.DUMMYFUNCTION("""COMPUTED_VALUE"""),"5379315_1289536")</f>
        <v>5379315_1289536</v>
      </c>
      <c r="B1659" s="43" t="str">
        <f>IFERROR(__xludf.DUMMYFUNCTION("""COMPUTED_VALUE"""),"Oumayma Laroussi")</f>
        <v>Oumayma Laroussi</v>
      </c>
      <c r="C1659" s="43" t="str">
        <f>IFERROR(__xludf.DUMMYFUNCTION("""COMPUTED_VALUE"""),"approved")</f>
        <v>approved</v>
      </c>
      <c r="D1659" s="43" t="str">
        <f>IFERROR(__xludf.DUMMYFUNCTION("""COMPUTED_VALUE"""),"No")</f>
        <v>No</v>
      </c>
      <c r="E1659" s="43" t="str">
        <f>IFERROR(__xludf.DUMMYFUNCTION("""COMPUTED_VALUE"""),"p_88223d43be329f420409a3570cc9d0ab5a373292@inbound.aiesec.org")</f>
        <v>p_88223d43be329f420409a3570cc9d0ab5a373292@inbound.aiesec.org</v>
      </c>
      <c r="F1659" s="43">
        <f>IFERROR(__xludf.DUMMYFUNCTION("""COMPUTED_VALUE"""),5.3459627E7)</f>
        <v>53459627</v>
      </c>
      <c r="G1659" s="43" t="str">
        <f>IFERROR(__xludf.DUMMYFUNCTION("""COMPUTED_VALUE"""),"Tunisia")</f>
        <v>Tunisia</v>
      </c>
      <c r="H1659" s="43" t="str">
        <f>IFERROR(__xludf.DUMMYFUNCTION("""COMPUTED_VALUE"""),"HADRUMET")</f>
        <v>HADRUMET</v>
      </c>
      <c r="I1659" s="43" t="str">
        <f>IFERROR(__xludf.DUMMYFUNCTION("""COMPUTED_VALUE"""),"Turkey")</f>
        <v>Turkey</v>
      </c>
      <c r="J1659" s="43" t="str">
        <f>IFERROR(__xludf.DUMMYFUNCTION("""COMPUTED_VALUE"""),"ISTANBUL")</f>
        <v>ISTANBUL</v>
      </c>
      <c r="K1659" s="44" t="str">
        <f>IFERROR(__xludf.DUMMYFUNCTION("""COMPUTED_VALUE"""),"https://expa.aiesec.org/opportunities/1289536")</f>
        <v>https://expa.aiesec.org/opportunities/1289536</v>
      </c>
      <c r="L1659" s="43" t="str">
        <f>IFERROR(__xludf.DUMMYFUNCTION("""COMPUTED_VALUE"""),"GV")</f>
        <v>GV</v>
      </c>
      <c r="M1659" s="43" t="str">
        <f>IFERROR(__xludf.DUMMYFUNCTION("""COMPUTED_VALUE"""),"short")</f>
        <v>short</v>
      </c>
      <c r="N1659" s="45">
        <f>IFERROR(__xludf.DUMMYFUNCTION("""COMPUTED_VALUE"""),45254.0)</f>
        <v>45254</v>
      </c>
      <c r="O1659" s="45">
        <f>IFERROR(__xludf.DUMMYFUNCTION("""COMPUTED_VALUE"""),45444.0)</f>
        <v>45444</v>
      </c>
      <c r="P1659" s="45">
        <f>IFERROR(__xludf.DUMMYFUNCTION("""COMPUTED_VALUE"""),45486.0)</f>
        <v>45486</v>
      </c>
      <c r="Q1659" s="45"/>
      <c r="R1659" s="45"/>
      <c r="S1659" s="43"/>
      <c r="T1659" s="43"/>
      <c r="U1659" s="43" t="str">
        <f>IFERROR(__xludf.DUMMYFUNCTION("""COMPUTED_VALUE"""),"Global Classroom")</f>
        <v>Global Classroom</v>
      </c>
      <c r="V1659" s="43" t="str">
        <f>IFERROR(__xludf.DUMMYFUNCTION("""COMPUTED_VALUE"""),"UPSAT Sousse")</f>
        <v>UPSAT Sousse</v>
      </c>
      <c r="W1659" s="43" t="str">
        <f>IFERROR(__xludf.DUMMYFUNCTION("""COMPUTED_VALUE"""),"2023-11-24T20:49:22Z")</f>
        <v>2023-11-24T20:49:22Z</v>
      </c>
      <c r="X1659" s="43"/>
      <c r="Y1659" s="43"/>
      <c r="Z1659" s="43"/>
    </row>
    <row r="1660" hidden="1">
      <c r="A1660" s="43" t="str">
        <f>IFERROR(__xludf.DUMMYFUNCTION("""COMPUTED_VALUE"""),"5379737_1272564")</f>
        <v>5379737_1272564</v>
      </c>
      <c r="B1660" s="43" t="str">
        <f>IFERROR(__xludf.DUMMYFUNCTION("""COMPUTED_VALUE"""),"Sara Cruz")</f>
        <v>Sara Cruz</v>
      </c>
      <c r="C1660" s="43" t="str">
        <f>IFERROR(__xludf.DUMMYFUNCTION("""COMPUTED_VALUE"""),"approved")</f>
        <v>approved</v>
      </c>
      <c r="D1660" s="43" t="str">
        <f>IFERROR(__xludf.DUMMYFUNCTION("""COMPUTED_VALUE"""),"No")</f>
        <v>No</v>
      </c>
      <c r="E1660" s="43" t="str">
        <f>IFERROR(__xludf.DUMMYFUNCTION("""COMPUTED_VALUE"""),"p_50a87e60a6b5833be9c5ccede7e0ea87943cd4b5@inbound.aiesec.org")</f>
        <v>p_50a87e60a6b5833be9c5ccede7e0ea87943cd4b5@inbound.aiesec.org</v>
      </c>
      <c r="F1660" s="43"/>
      <c r="G1660" s="43" t="str">
        <f>IFERROR(__xludf.DUMMYFUNCTION("""COMPUTED_VALUE"""),"Portugal")</f>
        <v>Portugal</v>
      </c>
      <c r="H1660" s="43" t="str">
        <f>IFERROR(__xludf.DUMMYFUNCTION("""COMPUTED_VALUE"""),"Lisboa ISEG")</f>
        <v>Lisboa ISEG</v>
      </c>
      <c r="I1660" s="43" t="str">
        <f>IFERROR(__xludf.DUMMYFUNCTION("""COMPUTED_VALUE"""),"Turkey")</f>
        <v>Turkey</v>
      </c>
      <c r="J1660" s="43" t="str">
        <f>IFERROR(__xludf.DUMMYFUNCTION("""COMPUTED_VALUE"""),"ISTANBUL")</f>
        <v>ISTANBUL</v>
      </c>
      <c r="K1660" s="44" t="str">
        <f>IFERROR(__xludf.DUMMYFUNCTION("""COMPUTED_VALUE"""),"https://expa.aiesec.org/opportunities/1272564")</f>
        <v>https://expa.aiesec.org/opportunities/1272564</v>
      </c>
      <c r="L1660" s="43" t="str">
        <f>IFERROR(__xludf.DUMMYFUNCTION("""COMPUTED_VALUE"""),"GV")</f>
        <v>GV</v>
      </c>
      <c r="M1660" s="43" t="str">
        <f>IFERROR(__xludf.DUMMYFUNCTION("""COMPUTED_VALUE"""),"short")</f>
        <v>short</v>
      </c>
      <c r="N1660" s="45">
        <f>IFERROR(__xludf.DUMMYFUNCTION("""COMPUTED_VALUE"""),45255.0)</f>
        <v>45255</v>
      </c>
      <c r="O1660" s="45">
        <f>IFERROR(__xludf.DUMMYFUNCTION("""COMPUTED_VALUE"""),45483.0)</f>
        <v>45483</v>
      </c>
      <c r="P1660" s="45">
        <f>IFERROR(__xludf.DUMMYFUNCTION("""COMPUTED_VALUE"""),45525.0)</f>
        <v>45525</v>
      </c>
      <c r="Q1660" s="45"/>
      <c r="R1660" s="45"/>
      <c r="S1660" s="43"/>
      <c r="T1660" s="43"/>
      <c r="U1660" s="43" t="str">
        <f>IFERROR(__xludf.DUMMYFUNCTION("""COMPUTED_VALUE"""),"Global Classroom")</f>
        <v>Global Classroom</v>
      </c>
      <c r="V1660" s="43" t="str">
        <f>IFERROR(__xludf.DUMMYFUNCTION("""COMPUTED_VALUE"""),"Não frequento uma instituição de ensino superior, mas moro no distrito de Lisboa, sendo mais cómodo deslocar-me fisicamente à zona do Rato")</f>
        <v>Não frequento uma instituição de ensino superior, mas moro no distrito de Lisboa, sendo mais cómodo deslocar-me fisicamente à zona do Rato</v>
      </c>
      <c r="W1660" s="43" t="str">
        <f>IFERROR(__xludf.DUMMYFUNCTION("""COMPUTED_VALUE"""),"2023-11-25T16:43:18Z")</f>
        <v>2023-11-25T16:43:18Z</v>
      </c>
      <c r="X1660" s="43"/>
      <c r="Y1660" s="43"/>
      <c r="Z1660" s="43"/>
    </row>
    <row r="1661" hidden="1">
      <c r="A1661" s="43" t="str">
        <f>IFERROR(__xludf.DUMMYFUNCTION("""COMPUTED_VALUE"""),"5379789_1279126")</f>
        <v>5379789_1279126</v>
      </c>
      <c r="B1661" s="43" t="str">
        <f>IFERROR(__xludf.DUMMYFUNCTION("""COMPUTED_VALUE"""),"manel ben ahmed")</f>
        <v>manel ben ahmed</v>
      </c>
      <c r="C1661" s="43" t="str">
        <f>IFERROR(__xludf.DUMMYFUNCTION("""COMPUTED_VALUE"""),"approved")</f>
        <v>approved</v>
      </c>
      <c r="D1661" s="43" t="str">
        <f>IFERROR(__xludf.DUMMYFUNCTION("""COMPUTED_VALUE"""),"No")</f>
        <v>No</v>
      </c>
      <c r="E1661" s="43" t="str">
        <f>IFERROR(__xludf.DUMMYFUNCTION("""COMPUTED_VALUE"""),"p_14c877b9d55f2a9d5c34e474e1136af75ceadae7@inbound.aiesec.org")</f>
        <v>p_14c877b9d55f2a9d5c34e474e1136af75ceadae7@inbound.aiesec.org</v>
      </c>
      <c r="F1661" s="43">
        <f>IFERROR(__xludf.DUMMYFUNCTION("""COMPUTED_VALUE"""),5.0261114E7)</f>
        <v>50261114</v>
      </c>
      <c r="G1661" s="43" t="str">
        <f>IFERROR(__xludf.DUMMYFUNCTION("""COMPUTED_VALUE"""),"Tunisia")</f>
        <v>Tunisia</v>
      </c>
      <c r="H1661" s="43" t="str">
        <f>IFERROR(__xludf.DUMMYFUNCTION("""COMPUTED_VALUE"""),"HADRUMET")</f>
        <v>HADRUMET</v>
      </c>
      <c r="I1661" s="43" t="str">
        <f>IFERROR(__xludf.DUMMYFUNCTION("""COMPUTED_VALUE"""),"Turkey")</f>
        <v>Turkey</v>
      </c>
      <c r="J1661" s="43" t="str">
        <f>IFERROR(__xludf.DUMMYFUNCTION("""COMPUTED_VALUE"""),"KOCAELI")</f>
        <v>KOCAELI</v>
      </c>
      <c r="K1661" s="44" t="str">
        <f>IFERROR(__xludf.DUMMYFUNCTION("""COMPUTED_VALUE"""),"https://expa.aiesec.org/opportunities/1279126")</f>
        <v>https://expa.aiesec.org/opportunities/1279126</v>
      </c>
      <c r="L1661" s="43" t="str">
        <f>IFERROR(__xludf.DUMMYFUNCTION("""COMPUTED_VALUE"""),"GV")</f>
        <v>GV</v>
      </c>
      <c r="M1661" s="43" t="str">
        <f>IFERROR(__xludf.DUMMYFUNCTION("""COMPUTED_VALUE"""),"short")</f>
        <v>short</v>
      </c>
      <c r="N1661" s="45">
        <f>IFERROR(__xludf.DUMMYFUNCTION("""COMPUTED_VALUE"""),45255.0)</f>
        <v>45255</v>
      </c>
      <c r="O1661" s="45">
        <f>IFERROR(__xludf.DUMMYFUNCTION("""COMPUTED_VALUE"""),45488.0)</f>
        <v>45488</v>
      </c>
      <c r="P1661" s="45">
        <f>IFERROR(__xludf.DUMMYFUNCTION("""COMPUTED_VALUE"""),45530.0)</f>
        <v>45530</v>
      </c>
      <c r="Q1661" s="45"/>
      <c r="R1661" s="45"/>
      <c r="S1661" s="43"/>
      <c r="T1661" s="43"/>
      <c r="U1661" s="43" t="str">
        <f>IFERROR(__xludf.DUMMYFUNCTION("""COMPUTED_VALUE"""),"Global Classroom")</f>
        <v>Global Classroom</v>
      </c>
      <c r="V1661" s="43" t="str">
        <f>IFERROR(__xludf.DUMMYFUNCTION("""COMPUTED_VALUE"""),"FMS (Faculté de Médecine de Sousse)")</f>
        <v>FMS (Faculté de Médecine de Sousse)</v>
      </c>
      <c r="W1661" s="43" t="str">
        <f>IFERROR(__xludf.DUMMYFUNCTION("""COMPUTED_VALUE"""),"2023-11-25T19:05:32Z")</f>
        <v>2023-11-25T19:05:32Z</v>
      </c>
      <c r="X1661" s="43"/>
      <c r="Y1661" s="43"/>
      <c r="Z1661" s="43"/>
    </row>
    <row r="1662" hidden="1">
      <c r="A1662" s="43" t="str">
        <f>IFERROR(__xludf.DUMMYFUNCTION("""COMPUTED_VALUE"""),"5379735_1289536")</f>
        <v>5379735_1289536</v>
      </c>
      <c r="B1662" s="43" t="str">
        <f>IFERROR(__xludf.DUMMYFUNCTION("""COMPUTED_VALUE"""),"islem friji")</f>
        <v>islem friji</v>
      </c>
      <c r="C1662" s="43" t="str">
        <f>IFERROR(__xludf.DUMMYFUNCTION("""COMPUTED_VALUE"""),"approved")</f>
        <v>approved</v>
      </c>
      <c r="D1662" s="43" t="str">
        <f>IFERROR(__xludf.DUMMYFUNCTION("""COMPUTED_VALUE"""),"No")</f>
        <v>No</v>
      </c>
      <c r="E1662" s="43" t="str">
        <f>IFERROR(__xludf.DUMMYFUNCTION("""COMPUTED_VALUE"""),"p_d8c6af9f65c2b075602fafb19fd44d56eace4dbb@inbound.aiesec.org")</f>
        <v>p_d8c6af9f65c2b075602fafb19fd44d56eace4dbb@inbound.aiesec.org</v>
      </c>
      <c r="F1662" s="43">
        <f>IFERROR(__xludf.DUMMYFUNCTION("""COMPUTED_VALUE"""),2.3330884E7)</f>
        <v>23330884</v>
      </c>
      <c r="G1662" s="43" t="str">
        <f>IFERROR(__xludf.DUMMYFUNCTION("""COMPUTED_VALUE"""),"Tunisia")</f>
        <v>Tunisia</v>
      </c>
      <c r="H1662" s="43" t="str">
        <f>IFERROR(__xludf.DUMMYFUNCTION("""COMPUTED_VALUE"""),"SFAX")</f>
        <v>SFAX</v>
      </c>
      <c r="I1662" s="43" t="str">
        <f>IFERROR(__xludf.DUMMYFUNCTION("""COMPUTED_VALUE"""),"Turkey")</f>
        <v>Turkey</v>
      </c>
      <c r="J1662" s="43" t="str">
        <f>IFERROR(__xludf.DUMMYFUNCTION("""COMPUTED_VALUE"""),"ISTANBUL")</f>
        <v>ISTANBUL</v>
      </c>
      <c r="K1662" s="44" t="str">
        <f>IFERROR(__xludf.DUMMYFUNCTION("""COMPUTED_VALUE"""),"https://expa.aiesec.org/opportunities/1289536")</f>
        <v>https://expa.aiesec.org/opportunities/1289536</v>
      </c>
      <c r="L1662" s="43" t="str">
        <f>IFERROR(__xludf.DUMMYFUNCTION("""COMPUTED_VALUE"""),"GV")</f>
        <v>GV</v>
      </c>
      <c r="M1662" s="43" t="str">
        <f>IFERROR(__xludf.DUMMYFUNCTION("""COMPUTED_VALUE"""),"short")</f>
        <v>short</v>
      </c>
      <c r="N1662" s="45">
        <f>IFERROR(__xludf.DUMMYFUNCTION("""COMPUTED_VALUE"""),45255.0)</f>
        <v>45255</v>
      </c>
      <c r="O1662" s="45">
        <f>IFERROR(__xludf.DUMMYFUNCTION("""COMPUTED_VALUE"""),45444.0)</f>
        <v>45444</v>
      </c>
      <c r="P1662" s="45">
        <f>IFERROR(__xludf.DUMMYFUNCTION("""COMPUTED_VALUE"""),45486.0)</f>
        <v>45486</v>
      </c>
      <c r="Q1662" s="45"/>
      <c r="R1662" s="45"/>
      <c r="S1662" s="43"/>
      <c r="T1662" s="43"/>
      <c r="U1662" s="43" t="str">
        <f>IFERROR(__xludf.DUMMYFUNCTION("""COMPUTED_VALUE"""),"Global Classroom")</f>
        <v>Global Classroom</v>
      </c>
      <c r="V1662" s="43" t="str">
        <f>IFERROR(__xludf.DUMMYFUNCTION("""COMPUTED_VALUE"""),"ISIMS")</f>
        <v>ISIMS</v>
      </c>
      <c r="W1662" s="43" t="str">
        <f>IFERROR(__xludf.DUMMYFUNCTION("""COMPUTED_VALUE"""),"2023-11-25T16:42:20Z")</f>
        <v>2023-11-25T16:42:20Z</v>
      </c>
      <c r="X1662" s="43"/>
      <c r="Y1662" s="43"/>
      <c r="Z1662" s="43"/>
    </row>
    <row r="1663" hidden="1">
      <c r="A1663" s="43" t="str">
        <f>IFERROR(__xludf.DUMMYFUNCTION("""COMPUTED_VALUE"""),"5203656_1272564")</f>
        <v>5203656_1272564</v>
      </c>
      <c r="B1663" s="43" t="str">
        <f>IFERROR(__xludf.DUMMYFUNCTION("""COMPUTED_VALUE"""),"Polina Gnylytska")</f>
        <v>Polina Gnylytska</v>
      </c>
      <c r="C1663" s="43" t="str">
        <f>IFERROR(__xludf.DUMMYFUNCTION("""COMPUTED_VALUE"""),"approved")</f>
        <v>approved</v>
      </c>
      <c r="D1663" s="43" t="str">
        <f>IFERROR(__xludf.DUMMYFUNCTION("""COMPUTED_VALUE"""),"No")</f>
        <v>No</v>
      </c>
      <c r="E1663" s="43" t="str">
        <f>IFERROR(__xludf.DUMMYFUNCTION("""COMPUTED_VALUE"""),"p_e00e56c474766d8e0baf576e5fc7ec4da30fb21c@inbound.aiesec.org")</f>
        <v>p_e00e56c474766d8e0baf576e5fc7ec4da30fb21c@inbound.aiesec.org</v>
      </c>
      <c r="F1663" s="43">
        <f>IFERROR(__xludf.DUMMYFUNCTION("""COMPUTED_VALUE"""),9.99351719E8)</f>
        <v>999351719</v>
      </c>
      <c r="G1663" s="43" t="str">
        <f>IFERROR(__xludf.DUMMYFUNCTION("""COMPUTED_VALUE"""),"Ukraine")</f>
        <v>Ukraine</v>
      </c>
      <c r="H1663" s="43" t="str">
        <f>IFERROR(__xludf.DUMMYFUNCTION("""COMPUTED_VALUE"""),"KYIV")</f>
        <v>KYIV</v>
      </c>
      <c r="I1663" s="43" t="str">
        <f>IFERROR(__xludf.DUMMYFUNCTION("""COMPUTED_VALUE"""),"Turkey")</f>
        <v>Turkey</v>
      </c>
      <c r="J1663" s="43" t="str">
        <f>IFERROR(__xludf.DUMMYFUNCTION("""COMPUTED_VALUE"""),"ISTANBUL")</f>
        <v>ISTANBUL</v>
      </c>
      <c r="K1663" s="44" t="str">
        <f>IFERROR(__xludf.DUMMYFUNCTION("""COMPUTED_VALUE"""),"https://expa.aiesec.org/opportunities/1272564")</f>
        <v>https://expa.aiesec.org/opportunities/1272564</v>
      </c>
      <c r="L1663" s="43" t="str">
        <f>IFERROR(__xludf.DUMMYFUNCTION("""COMPUTED_VALUE"""),"GV")</f>
        <v>GV</v>
      </c>
      <c r="M1663" s="43" t="str">
        <f>IFERROR(__xludf.DUMMYFUNCTION("""COMPUTED_VALUE"""),"short")</f>
        <v>short</v>
      </c>
      <c r="N1663" s="45">
        <f>IFERROR(__xludf.DUMMYFUNCTION("""COMPUTED_VALUE"""),45255.0)</f>
        <v>45255</v>
      </c>
      <c r="O1663" s="45">
        <f>IFERROR(__xludf.DUMMYFUNCTION("""COMPUTED_VALUE"""),45505.0)</f>
        <v>45505</v>
      </c>
      <c r="P1663" s="45">
        <f>IFERROR(__xludf.DUMMYFUNCTION("""COMPUTED_VALUE"""),45547.0)</f>
        <v>45547</v>
      </c>
      <c r="Q1663" s="45"/>
      <c r="R1663" s="45"/>
      <c r="S1663" s="43"/>
      <c r="T1663" s="43"/>
      <c r="U1663" s="43" t="str">
        <f>IFERROR(__xludf.DUMMYFUNCTION("""COMPUTED_VALUE"""),"Global Classroom")</f>
        <v>Global Classroom</v>
      </c>
      <c r="V1663" s="43" t="str">
        <f>IFERROR(__xludf.DUMMYFUNCTION("""COMPUTED_VALUE"""),"Kyiv")</f>
        <v>Kyiv</v>
      </c>
      <c r="W1663" s="43" t="str">
        <f>IFERROR(__xludf.DUMMYFUNCTION("""COMPUTED_VALUE"""),"2023-03-02T13:14:11Z")</f>
        <v>2023-03-02T13:14:11Z</v>
      </c>
      <c r="X1663" s="43"/>
      <c r="Y1663" s="43"/>
      <c r="Z1663" s="43"/>
    </row>
    <row r="1664" hidden="1">
      <c r="A1664" s="43" t="str">
        <f>IFERROR(__xludf.DUMMYFUNCTION("""COMPUTED_VALUE"""),"5347657_1296670")</f>
        <v>5347657_1296670</v>
      </c>
      <c r="B1664" s="43" t="str">
        <f>IFERROR(__xludf.DUMMYFUNCTION("""COMPUTED_VALUE"""),"Mahitab Ehab")</f>
        <v>Mahitab Ehab</v>
      </c>
      <c r="C1664" s="43" t="str">
        <f>IFERROR(__xludf.DUMMYFUNCTION("""COMPUTED_VALUE"""),"approved")</f>
        <v>approved</v>
      </c>
      <c r="D1664" s="43" t="str">
        <f>IFERROR(__xludf.DUMMYFUNCTION("""COMPUTED_VALUE"""),"No")</f>
        <v>No</v>
      </c>
      <c r="E1664" s="43" t="str">
        <f>IFERROR(__xludf.DUMMYFUNCTION("""COMPUTED_VALUE"""),"p_9de88b7fda5c5f091ddeb87d9cb1d7dbf3a8a068@inbound.aiesec.org")</f>
        <v>p_9de88b7fda5c5f091ddeb87d9cb1d7dbf3a8a068@inbound.aiesec.org</v>
      </c>
      <c r="F1664" s="43">
        <f>IFERROR(__xludf.DUMMYFUNCTION("""COMPUTED_VALUE"""),1.221689275E9)</f>
        <v>1221689275</v>
      </c>
      <c r="G1664" s="43" t="str">
        <f>IFERROR(__xludf.DUMMYFUNCTION("""COMPUTED_VALUE"""),"Egypt")</f>
        <v>Egypt</v>
      </c>
      <c r="H1664" s="43" t="str">
        <f>IFERROR(__xludf.DUMMYFUNCTION("""COMPUTED_VALUE"""),"Alexandria")</f>
        <v>Alexandria</v>
      </c>
      <c r="I1664" s="43" t="str">
        <f>IFERROR(__xludf.DUMMYFUNCTION("""COMPUTED_VALUE"""),"Turkey")</f>
        <v>Turkey</v>
      </c>
      <c r="J1664" s="43" t="str">
        <f>IFERROR(__xludf.DUMMYFUNCTION("""COMPUTED_VALUE"""),"BURSA")</f>
        <v>BURSA</v>
      </c>
      <c r="K1664" s="44" t="str">
        <f>IFERROR(__xludf.DUMMYFUNCTION("""COMPUTED_VALUE"""),"https://expa.aiesec.org/opportunities/1296670")</f>
        <v>https://expa.aiesec.org/opportunities/1296670</v>
      </c>
      <c r="L1664" s="43" t="str">
        <f>IFERROR(__xludf.DUMMYFUNCTION("""COMPUTED_VALUE"""),"GV")</f>
        <v>GV</v>
      </c>
      <c r="M1664" s="43" t="str">
        <f>IFERROR(__xludf.DUMMYFUNCTION("""COMPUTED_VALUE"""),"short")</f>
        <v>short</v>
      </c>
      <c r="N1664" s="45">
        <f>IFERROR(__xludf.DUMMYFUNCTION("""COMPUTED_VALUE"""),45255.0)</f>
        <v>45255</v>
      </c>
      <c r="O1664" s="45">
        <f>IFERROR(__xludf.DUMMYFUNCTION("""COMPUTED_VALUE"""),45327.0)</f>
        <v>45327</v>
      </c>
      <c r="P1664" s="45">
        <f>IFERROR(__xludf.DUMMYFUNCTION("""COMPUTED_VALUE"""),45369.0)</f>
        <v>45369</v>
      </c>
      <c r="Q1664" s="45"/>
      <c r="R1664" s="45"/>
      <c r="S1664" s="43"/>
      <c r="T1664" s="43"/>
      <c r="U1664" s="43" t="str">
        <f>IFERROR(__xludf.DUMMYFUNCTION("""COMPUTED_VALUE"""),"Youth 4 Impact")</f>
        <v>Youth 4 Impact</v>
      </c>
      <c r="V1664" s="43" t="str">
        <f>IFERROR(__xludf.DUMMYFUNCTION("""COMPUTED_VALUE"""),"Alexandria University")</f>
        <v>Alexandria University</v>
      </c>
      <c r="W1664" s="43" t="str">
        <f>IFERROR(__xludf.DUMMYFUNCTION("""COMPUTED_VALUE"""),"2023-10-10T10:29:33Z")</f>
        <v>2023-10-10T10:29:33Z</v>
      </c>
      <c r="X1664" s="43"/>
      <c r="Y1664" s="43"/>
      <c r="Z1664" s="43"/>
    </row>
    <row r="1665" hidden="1">
      <c r="A1665" s="43" t="str">
        <f>IFERROR(__xludf.DUMMYFUNCTION("""COMPUTED_VALUE"""),"5379179_1287855")</f>
        <v>5379179_1287855</v>
      </c>
      <c r="B1665" s="43" t="str">
        <f>IFERROR(__xludf.DUMMYFUNCTION("""COMPUTED_VALUE"""),"Samuel Shadrach")</f>
        <v>Samuel Shadrach</v>
      </c>
      <c r="C1665" s="43" t="str">
        <f>IFERROR(__xludf.DUMMYFUNCTION("""COMPUTED_VALUE"""),"approved")</f>
        <v>approved</v>
      </c>
      <c r="D1665" s="43" t="str">
        <f>IFERROR(__xludf.DUMMYFUNCTION("""COMPUTED_VALUE"""),"No")</f>
        <v>No</v>
      </c>
      <c r="E1665" s="43" t="str">
        <f>IFERROR(__xludf.DUMMYFUNCTION("""COMPUTED_VALUE"""),"p_cc4f2e5323a8b757ec67899bdc4d68ea88a03703@inbound.aiesec.org")</f>
        <v>p_cc4f2e5323a8b757ec67899bdc4d68ea88a03703@inbound.aiesec.org</v>
      </c>
      <c r="F1665" s="43">
        <f>IFERROR(__xludf.DUMMYFUNCTION("""COMPUTED_VALUE"""),9.958874681E9)</f>
        <v>9958874681</v>
      </c>
      <c r="G1665" s="43" t="str">
        <f>IFERROR(__xludf.DUMMYFUNCTION("""COMPUTED_VALUE"""),"India")</f>
        <v>India</v>
      </c>
      <c r="H1665" s="43" t="str">
        <f>IFERROR(__xludf.DUMMYFUNCTION("""COMPUTED_VALUE"""),"Delhi IIT")</f>
        <v>Delhi IIT</v>
      </c>
      <c r="I1665" s="43" t="str">
        <f>IFERROR(__xludf.DUMMYFUNCTION("""COMPUTED_VALUE"""),"Turkey")</f>
        <v>Turkey</v>
      </c>
      <c r="J1665" s="43" t="str">
        <f>IFERROR(__xludf.DUMMYFUNCTION("""COMPUTED_VALUE"""),"İZMİR")</f>
        <v>İZMİR</v>
      </c>
      <c r="K1665" s="44" t="str">
        <f>IFERROR(__xludf.DUMMYFUNCTION("""COMPUTED_VALUE"""),"https://expa.aiesec.org/opportunities/1287855")</f>
        <v>https://expa.aiesec.org/opportunities/1287855</v>
      </c>
      <c r="L1665" s="43" t="str">
        <f>IFERROR(__xludf.DUMMYFUNCTION("""COMPUTED_VALUE"""),"GV")</f>
        <v>GV</v>
      </c>
      <c r="M1665" s="43" t="str">
        <f>IFERROR(__xludf.DUMMYFUNCTION("""COMPUTED_VALUE"""),"short")</f>
        <v>short</v>
      </c>
      <c r="N1665" s="45">
        <f>IFERROR(__xludf.DUMMYFUNCTION("""COMPUTED_VALUE"""),45256.0)</f>
        <v>45256</v>
      </c>
      <c r="O1665" s="45">
        <f>IFERROR(__xludf.DUMMYFUNCTION("""COMPUTED_VALUE"""),45299.0)</f>
        <v>45299</v>
      </c>
      <c r="P1665" s="45">
        <f>IFERROR(__xludf.DUMMYFUNCTION("""COMPUTED_VALUE"""),45341.0)</f>
        <v>45341</v>
      </c>
      <c r="Q1665" s="45"/>
      <c r="R1665" s="45"/>
      <c r="S1665" s="43"/>
      <c r="T1665" s="43"/>
      <c r="U1665" s="43" t="str">
        <f>IFERROR(__xludf.DUMMYFUNCTION("""COMPUTED_VALUE"""),"Global Classroom")</f>
        <v>Global Classroom</v>
      </c>
      <c r="V1665" s="43" t="str">
        <f>IFERROR(__xludf.DUMMYFUNCTION("""COMPUTED_VALUE"""),"IIT Delhi")</f>
        <v>IIT Delhi</v>
      </c>
      <c r="W1665" s="43" t="str">
        <f>IFERROR(__xludf.DUMMYFUNCTION("""COMPUTED_VALUE"""),"2023-11-24T15:37:00Z")</f>
        <v>2023-11-24T15:37:00Z</v>
      </c>
      <c r="X1665" s="43"/>
      <c r="Y1665" s="43"/>
      <c r="Z1665" s="43"/>
    </row>
    <row r="1666" hidden="1">
      <c r="A1666" s="43" t="str">
        <f>IFERROR(__xludf.DUMMYFUNCTION("""COMPUTED_VALUE"""),"5380292_1288490")</f>
        <v>5380292_1288490</v>
      </c>
      <c r="B1666" s="43" t="str">
        <f>IFERROR(__xludf.DUMMYFUNCTION("""COMPUTED_VALUE"""),"Sawsan Rahimi")</f>
        <v>Sawsan Rahimi</v>
      </c>
      <c r="C1666" s="43" t="str">
        <f>IFERROR(__xludf.DUMMYFUNCTION("""COMPUTED_VALUE"""),"realized")</f>
        <v>realized</v>
      </c>
      <c r="D1666" s="43" t="str">
        <f>IFERROR(__xludf.DUMMYFUNCTION("""COMPUTED_VALUE"""),"No")</f>
        <v>No</v>
      </c>
      <c r="E1666" s="43" t="str">
        <f>IFERROR(__xludf.DUMMYFUNCTION("""COMPUTED_VALUE"""),"p_ffeb6dd5e5440db1ba63e6207e28b6e5953bf4e6@inbound.aiesec.org")</f>
        <v>p_ffeb6dd5e5440db1ba63e6207e28b6e5953bf4e6@inbound.aiesec.org</v>
      </c>
      <c r="F1666" s="43">
        <f>IFERROR(__xludf.DUMMYFUNCTION("""COMPUTED_VALUE"""),3.3337014E7)</f>
        <v>33337014</v>
      </c>
      <c r="G1666" s="43" t="str">
        <f>IFERROR(__xludf.DUMMYFUNCTION("""COMPUTED_VALUE"""),"Bahrain")</f>
        <v>Bahrain</v>
      </c>
      <c r="H1666" s="43" t="str">
        <f>IFERROR(__xludf.DUMMYFUNCTION("""COMPUTED_VALUE"""),"Tylos")</f>
        <v>Tylos</v>
      </c>
      <c r="I1666" s="43" t="str">
        <f>IFERROR(__xludf.DUMMYFUNCTION("""COMPUTED_VALUE"""),"Turkey")</f>
        <v>Turkey</v>
      </c>
      <c r="J1666" s="43" t="str">
        <f>IFERROR(__xludf.DUMMYFUNCTION("""COMPUTED_VALUE"""),"ISPARTA")</f>
        <v>ISPARTA</v>
      </c>
      <c r="K1666" s="44" t="str">
        <f>IFERROR(__xludf.DUMMYFUNCTION("""COMPUTED_VALUE"""),"https://expa.aiesec.org/opportunities/1288490")</f>
        <v>https://expa.aiesec.org/opportunities/1288490</v>
      </c>
      <c r="L1666" s="43" t="str">
        <f>IFERROR(__xludf.DUMMYFUNCTION("""COMPUTED_VALUE"""),"GV")</f>
        <v>GV</v>
      </c>
      <c r="M1666" s="43" t="str">
        <f>IFERROR(__xludf.DUMMYFUNCTION("""COMPUTED_VALUE"""),"short")</f>
        <v>short</v>
      </c>
      <c r="N1666" s="45">
        <f>IFERROR(__xludf.DUMMYFUNCTION("""COMPUTED_VALUE"""),45257.0)</f>
        <v>45257</v>
      </c>
      <c r="O1666" s="45">
        <f>IFERROR(__xludf.DUMMYFUNCTION("""COMPUTED_VALUE"""),45306.0)</f>
        <v>45306</v>
      </c>
      <c r="P1666" s="45">
        <f>IFERROR(__xludf.DUMMYFUNCTION("""COMPUTED_VALUE"""),45348.0)</f>
        <v>45348</v>
      </c>
      <c r="Q1666" s="45">
        <f>IFERROR(__xludf.DUMMYFUNCTION("""COMPUTED_VALUE"""),45299.0)</f>
        <v>45299</v>
      </c>
      <c r="R1666" s="45">
        <f>IFERROR(__xludf.DUMMYFUNCTION("""COMPUTED_VALUE"""),45348.0)</f>
        <v>45348</v>
      </c>
      <c r="S1666" s="43"/>
      <c r="T1666" s="43"/>
      <c r="U1666" s="43" t="str">
        <f>IFERROR(__xludf.DUMMYFUNCTION("""COMPUTED_VALUE"""),"Global Classroom")</f>
        <v>Global Classroom</v>
      </c>
      <c r="V1666" s="43" t="str">
        <f>IFERROR(__xludf.DUMMYFUNCTION("""COMPUTED_VALUE"""),"Bahrain Polytechnic")</f>
        <v>Bahrain Polytechnic</v>
      </c>
      <c r="W1666" s="43" t="str">
        <f>IFERROR(__xludf.DUMMYFUNCTION("""COMPUTED_VALUE"""),"2023-11-26T13:08:37Z")</f>
        <v>2023-11-26T13:08:37Z</v>
      </c>
      <c r="X1666" s="43"/>
      <c r="Y1666" s="43"/>
      <c r="Z1666" s="43"/>
    </row>
    <row r="1667" hidden="1">
      <c r="A1667" s="43" t="str">
        <f>IFERROR(__xludf.DUMMYFUNCTION("""COMPUTED_VALUE"""),"5380809_1301556")</f>
        <v>5380809_1301556</v>
      </c>
      <c r="B1667" s="43" t="str">
        <f>IFERROR(__xludf.DUMMYFUNCTION("""COMPUTED_VALUE"""),"eya labidi")</f>
        <v>eya labidi</v>
      </c>
      <c r="C1667" s="43" t="str">
        <f>IFERROR(__xludf.DUMMYFUNCTION("""COMPUTED_VALUE"""),"approved")</f>
        <v>approved</v>
      </c>
      <c r="D1667" s="43" t="str">
        <f>IFERROR(__xludf.DUMMYFUNCTION("""COMPUTED_VALUE"""),"No")</f>
        <v>No</v>
      </c>
      <c r="E1667" s="43" t="str">
        <f>IFERROR(__xludf.DUMMYFUNCTION("""COMPUTED_VALUE"""),"p_376a55d315faa289035cea26d9fb860867cebc3f@inbound.aiesec.org")</f>
        <v>p_376a55d315faa289035cea26d9fb860867cebc3f@inbound.aiesec.org</v>
      </c>
      <c r="F1667" s="43">
        <f>IFERROR(__xludf.DUMMYFUNCTION("""COMPUTED_VALUE"""),5.6243253E7)</f>
        <v>56243253</v>
      </c>
      <c r="G1667" s="43" t="str">
        <f>IFERROR(__xludf.DUMMYFUNCTION("""COMPUTED_VALUE"""),"Tunisia")</f>
        <v>Tunisia</v>
      </c>
      <c r="H1667" s="43" t="str">
        <f>IFERROR(__xludf.DUMMYFUNCTION("""COMPUTED_VALUE"""),"MEDINA")</f>
        <v>MEDINA</v>
      </c>
      <c r="I1667" s="43" t="str">
        <f>IFERROR(__xludf.DUMMYFUNCTION("""COMPUTED_VALUE"""),"Turkey")</f>
        <v>Turkey</v>
      </c>
      <c r="J1667" s="43" t="str">
        <f>IFERROR(__xludf.DUMMYFUNCTION("""COMPUTED_VALUE"""),"KOCAELI")</f>
        <v>KOCAELI</v>
      </c>
      <c r="K1667" s="44" t="str">
        <f>IFERROR(__xludf.DUMMYFUNCTION("""COMPUTED_VALUE"""),"https://expa.aiesec.org/opportunities/1301556")</f>
        <v>https://expa.aiesec.org/opportunities/1301556</v>
      </c>
      <c r="L1667" s="43" t="str">
        <f>IFERROR(__xludf.DUMMYFUNCTION("""COMPUTED_VALUE"""),"GV")</f>
        <v>GV</v>
      </c>
      <c r="M1667" s="43" t="str">
        <f>IFERROR(__xludf.DUMMYFUNCTION("""COMPUTED_VALUE"""),"short")</f>
        <v>short</v>
      </c>
      <c r="N1667" s="45">
        <f>IFERROR(__xludf.DUMMYFUNCTION("""COMPUTED_VALUE"""),45257.0)</f>
        <v>45257</v>
      </c>
      <c r="O1667" s="45">
        <f>IFERROR(__xludf.DUMMYFUNCTION("""COMPUTED_VALUE"""),45285.0)</f>
        <v>45285</v>
      </c>
      <c r="P1667" s="45">
        <f>IFERROR(__xludf.DUMMYFUNCTION("""COMPUTED_VALUE"""),45327.0)</f>
        <v>45327</v>
      </c>
      <c r="Q1667" s="45"/>
      <c r="R1667" s="45"/>
      <c r="S1667" s="43"/>
      <c r="T1667" s="43"/>
      <c r="U1667" s="43" t="str">
        <f>IFERROR(__xludf.DUMMYFUNCTION("""COMPUTED_VALUE"""),"Global Classroom")</f>
        <v>Global Classroom</v>
      </c>
      <c r="V1667" s="43" t="str">
        <f>IFERROR(__xludf.DUMMYFUNCTION("""COMPUTED_VALUE"""),"FLAH")</f>
        <v>FLAH</v>
      </c>
      <c r="W1667" s="43" t="str">
        <f>IFERROR(__xludf.DUMMYFUNCTION("""COMPUTED_VALUE"""),"2023-11-27T12:40:17Z")</f>
        <v>2023-11-27T12:40:17Z</v>
      </c>
      <c r="X1667" s="43"/>
      <c r="Y1667" s="43"/>
      <c r="Z1667" s="43"/>
    </row>
    <row r="1668" hidden="1">
      <c r="A1668" s="43" t="str">
        <f>IFERROR(__xludf.DUMMYFUNCTION("""COMPUTED_VALUE"""),"5380794_1284077")</f>
        <v>5380794_1284077</v>
      </c>
      <c r="B1668" s="43" t="str">
        <f>IFERROR(__xludf.DUMMYFUNCTION("""COMPUTED_VALUE"""),"Wafa Sayeh")</f>
        <v>Wafa Sayeh</v>
      </c>
      <c r="C1668" s="43" t="str">
        <f>IFERROR(__xludf.DUMMYFUNCTION("""COMPUTED_VALUE"""),"approved")</f>
        <v>approved</v>
      </c>
      <c r="D1668" s="43" t="str">
        <f>IFERROR(__xludf.DUMMYFUNCTION("""COMPUTED_VALUE"""),"No")</f>
        <v>No</v>
      </c>
      <c r="E1668" s="43" t="str">
        <f>IFERROR(__xludf.DUMMYFUNCTION("""COMPUTED_VALUE"""),"p_65ef98b5cbf012dceb9bf9356ec4143359c2fde9@inbound.aiesec.org")</f>
        <v>p_65ef98b5cbf012dceb9bf9356ec4143359c2fde9@inbound.aiesec.org</v>
      </c>
      <c r="F1668" s="43">
        <f>IFERROR(__xludf.DUMMYFUNCTION("""COMPUTED_VALUE"""),2.6536895E7)</f>
        <v>26536895</v>
      </c>
      <c r="G1668" s="43" t="str">
        <f>IFERROR(__xludf.DUMMYFUNCTION("""COMPUTED_VALUE"""),"Tunisia")</f>
        <v>Tunisia</v>
      </c>
      <c r="H1668" s="43" t="str">
        <f>IFERROR(__xludf.DUMMYFUNCTION("""COMPUTED_VALUE"""),"UNIVERSITY")</f>
        <v>UNIVERSITY</v>
      </c>
      <c r="I1668" s="43" t="str">
        <f>IFERROR(__xludf.DUMMYFUNCTION("""COMPUTED_VALUE"""),"Turkey")</f>
        <v>Turkey</v>
      </c>
      <c r="J1668" s="43" t="str">
        <f>IFERROR(__xludf.DUMMYFUNCTION("""COMPUTED_VALUE"""),"GAZIANTEP")</f>
        <v>GAZIANTEP</v>
      </c>
      <c r="K1668" s="44" t="str">
        <f>IFERROR(__xludf.DUMMYFUNCTION("""COMPUTED_VALUE"""),"https://expa.aiesec.org/opportunities/1284077")</f>
        <v>https://expa.aiesec.org/opportunities/1284077</v>
      </c>
      <c r="L1668" s="43" t="str">
        <f>IFERROR(__xludf.DUMMYFUNCTION("""COMPUTED_VALUE"""),"GV")</f>
        <v>GV</v>
      </c>
      <c r="M1668" s="43" t="str">
        <f>IFERROR(__xludf.DUMMYFUNCTION("""COMPUTED_VALUE"""),"short")</f>
        <v>short</v>
      </c>
      <c r="N1668" s="45">
        <f>IFERROR(__xludf.DUMMYFUNCTION("""COMPUTED_VALUE"""),45257.0)</f>
        <v>45257</v>
      </c>
      <c r="O1668" s="45">
        <f>IFERROR(__xludf.DUMMYFUNCTION("""COMPUTED_VALUE"""),45519.0)</f>
        <v>45519</v>
      </c>
      <c r="P1668" s="45">
        <f>IFERROR(__xludf.DUMMYFUNCTION("""COMPUTED_VALUE"""),45561.0)</f>
        <v>45561</v>
      </c>
      <c r="Q1668" s="45"/>
      <c r="R1668" s="45"/>
      <c r="S1668" s="43"/>
      <c r="T1668" s="43"/>
      <c r="U1668" s="43" t="str">
        <f>IFERROR(__xludf.DUMMYFUNCTION("""COMPUTED_VALUE"""),"Global Classroom")</f>
        <v>Global Classroom</v>
      </c>
      <c r="V1668" s="43" t="str">
        <f>IFERROR(__xludf.DUMMYFUNCTION("""COMPUTED_VALUE"""),"FST")</f>
        <v>FST</v>
      </c>
      <c r="W1668" s="43" t="str">
        <f>IFERROR(__xludf.DUMMYFUNCTION("""COMPUTED_VALUE"""),"2023-11-27T12:23:58Z")</f>
        <v>2023-11-27T12:23:58Z</v>
      </c>
      <c r="X1668" s="43"/>
      <c r="Y1668" s="43"/>
      <c r="Z1668" s="43"/>
    </row>
    <row r="1669" hidden="1">
      <c r="A1669" s="43" t="str">
        <f>IFERROR(__xludf.DUMMYFUNCTION("""COMPUTED_VALUE"""),"5380679_1284077")</f>
        <v>5380679_1284077</v>
      </c>
      <c r="B1669" s="43" t="str">
        <f>IFERROR(__xludf.DUMMYFUNCTION("""COMPUTED_VALUE"""),"Rania Aloui")</f>
        <v>Rania Aloui</v>
      </c>
      <c r="C1669" s="43" t="str">
        <f>IFERROR(__xludf.DUMMYFUNCTION("""COMPUTED_VALUE"""),"approved")</f>
        <v>approved</v>
      </c>
      <c r="D1669" s="43" t="str">
        <f>IFERROR(__xludf.DUMMYFUNCTION("""COMPUTED_VALUE"""),"No")</f>
        <v>No</v>
      </c>
      <c r="E1669" s="43" t="str">
        <f>IFERROR(__xludf.DUMMYFUNCTION("""COMPUTED_VALUE"""),"p_9fa8a6e39d4b617b958dfe899ea567f7ff63a4ed@inbound.aiesec.org")</f>
        <v>p_9fa8a6e39d4b617b958dfe899ea567f7ff63a4ed@inbound.aiesec.org</v>
      </c>
      <c r="F1669" s="43">
        <f>IFERROR(__xludf.DUMMYFUNCTION("""COMPUTED_VALUE"""),5.8494836E7)</f>
        <v>58494836</v>
      </c>
      <c r="G1669" s="43" t="str">
        <f>IFERROR(__xludf.DUMMYFUNCTION("""COMPUTED_VALUE"""),"Tunisia")</f>
        <v>Tunisia</v>
      </c>
      <c r="H1669" s="43" t="str">
        <f>IFERROR(__xludf.DUMMYFUNCTION("""COMPUTED_VALUE"""),"UNIVERSITY")</f>
        <v>UNIVERSITY</v>
      </c>
      <c r="I1669" s="43" t="str">
        <f>IFERROR(__xludf.DUMMYFUNCTION("""COMPUTED_VALUE"""),"Turkey")</f>
        <v>Turkey</v>
      </c>
      <c r="J1669" s="43" t="str">
        <f>IFERROR(__xludf.DUMMYFUNCTION("""COMPUTED_VALUE"""),"GAZIANTEP")</f>
        <v>GAZIANTEP</v>
      </c>
      <c r="K1669" s="44" t="str">
        <f>IFERROR(__xludf.DUMMYFUNCTION("""COMPUTED_VALUE"""),"https://expa.aiesec.org/opportunities/1284077")</f>
        <v>https://expa.aiesec.org/opportunities/1284077</v>
      </c>
      <c r="L1669" s="43" t="str">
        <f>IFERROR(__xludf.DUMMYFUNCTION("""COMPUTED_VALUE"""),"GV")</f>
        <v>GV</v>
      </c>
      <c r="M1669" s="43" t="str">
        <f>IFERROR(__xludf.DUMMYFUNCTION("""COMPUTED_VALUE"""),"short")</f>
        <v>short</v>
      </c>
      <c r="N1669" s="45">
        <f>IFERROR(__xludf.DUMMYFUNCTION("""COMPUTED_VALUE"""),45257.0)</f>
        <v>45257</v>
      </c>
      <c r="O1669" s="45">
        <f>IFERROR(__xludf.DUMMYFUNCTION("""COMPUTED_VALUE"""),45519.0)</f>
        <v>45519</v>
      </c>
      <c r="P1669" s="45">
        <f>IFERROR(__xludf.DUMMYFUNCTION("""COMPUTED_VALUE"""),45561.0)</f>
        <v>45561</v>
      </c>
      <c r="Q1669" s="45"/>
      <c r="R1669" s="45"/>
      <c r="S1669" s="43"/>
      <c r="T1669" s="43"/>
      <c r="U1669" s="43" t="str">
        <f>IFERROR(__xludf.DUMMYFUNCTION("""COMPUTED_VALUE"""),"Global Classroom")</f>
        <v>Global Classroom</v>
      </c>
      <c r="V1669" s="43" t="str">
        <f>IFERROR(__xludf.DUMMYFUNCTION("""COMPUTED_VALUE"""),"FST")</f>
        <v>FST</v>
      </c>
      <c r="W1669" s="43" t="str">
        <f>IFERROR(__xludf.DUMMYFUNCTION("""COMPUTED_VALUE"""),"2023-11-27T10:04:41Z")</f>
        <v>2023-11-27T10:04:41Z</v>
      </c>
      <c r="X1669" s="43"/>
      <c r="Y1669" s="43"/>
      <c r="Z1669" s="43"/>
    </row>
    <row r="1670" hidden="1">
      <c r="A1670" s="43" t="str">
        <f>IFERROR(__xludf.DUMMYFUNCTION("""COMPUTED_VALUE"""),"5380110_1272564")</f>
        <v>5380110_1272564</v>
      </c>
      <c r="B1670" s="43" t="str">
        <f>IFERROR(__xludf.DUMMYFUNCTION("""COMPUTED_VALUE"""),"Anna Shyshka")</f>
        <v>Anna Shyshka</v>
      </c>
      <c r="C1670" s="43" t="str">
        <f>IFERROR(__xludf.DUMMYFUNCTION("""COMPUTED_VALUE"""),"approved")</f>
        <v>approved</v>
      </c>
      <c r="D1670" s="43" t="str">
        <f>IFERROR(__xludf.DUMMYFUNCTION("""COMPUTED_VALUE"""),"No")</f>
        <v>No</v>
      </c>
      <c r="E1670" s="43" t="str">
        <f>IFERROR(__xludf.DUMMYFUNCTION("""COMPUTED_VALUE"""),"p_0c9f145656be211a667cf761f33662fdbfae4b11@inbound.aiesec.org")</f>
        <v>p_0c9f145656be211a667cf761f33662fdbfae4b11@inbound.aiesec.org</v>
      </c>
      <c r="F1670" s="43"/>
      <c r="G1670" s="43" t="str">
        <f>IFERROR(__xludf.DUMMYFUNCTION("""COMPUTED_VALUE"""),"Ukraine")</f>
        <v>Ukraine</v>
      </c>
      <c r="H1670" s="43" t="str">
        <f>IFERROR(__xludf.DUMMYFUNCTION("""COMPUTED_VALUE"""),"LVIV")</f>
        <v>LVIV</v>
      </c>
      <c r="I1670" s="43" t="str">
        <f>IFERROR(__xludf.DUMMYFUNCTION("""COMPUTED_VALUE"""),"Turkey")</f>
        <v>Turkey</v>
      </c>
      <c r="J1670" s="43" t="str">
        <f>IFERROR(__xludf.DUMMYFUNCTION("""COMPUTED_VALUE"""),"ISTANBUL")</f>
        <v>ISTANBUL</v>
      </c>
      <c r="K1670" s="44" t="str">
        <f>IFERROR(__xludf.DUMMYFUNCTION("""COMPUTED_VALUE"""),"https://expa.aiesec.org/opportunities/1272564")</f>
        <v>https://expa.aiesec.org/opportunities/1272564</v>
      </c>
      <c r="L1670" s="43" t="str">
        <f>IFERROR(__xludf.DUMMYFUNCTION("""COMPUTED_VALUE"""),"GV")</f>
        <v>GV</v>
      </c>
      <c r="M1670" s="43" t="str">
        <f>IFERROR(__xludf.DUMMYFUNCTION("""COMPUTED_VALUE"""),"short")</f>
        <v>short</v>
      </c>
      <c r="N1670" s="45">
        <f>IFERROR(__xludf.DUMMYFUNCTION("""COMPUTED_VALUE"""),45257.0)</f>
        <v>45257</v>
      </c>
      <c r="O1670" s="45">
        <f>IFERROR(__xludf.DUMMYFUNCTION("""COMPUTED_VALUE"""),45505.0)</f>
        <v>45505</v>
      </c>
      <c r="P1670" s="45">
        <f>IFERROR(__xludf.DUMMYFUNCTION("""COMPUTED_VALUE"""),45547.0)</f>
        <v>45547</v>
      </c>
      <c r="Q1670" s="45"/>
      <c r="R1670" s="45"/>
      <c r="S1670" s="43"/>
      <c r="T1670" s="43"/>
      <c r="U1670" s="43" t="str">
        <f>IFERROR(__xludf.DUMMYFUNCTION("""COMPUTED_VALUE"""),"Global Classroom")</f>
        <v>Global Classroom</v>
      </c>
      <c r="V1670" s="43" t="str">
        <f>IFERROR(__xludf.DUMMYFUNCTION("""COMPUTED_VALUE"""),"-")</f>
        <v>-</v>
      </c>
      <c r="W1670" s="43" t="str">
        <f>IFERROR(__xludf.DUMMYFUNCTION("""COMPUTED_VALUE"""),"2023-11-26T11:17:18Z")</f>
        <v>2023-11-26T11:17:18Z</v>
      </c>
      <c r="X1670" s="43"/>
      <c r="Y1670" s="43"/>
      <c r="Z1670" s="43"/>
    </row>
    <row r="1671" hidden="1">
      <c r="A1671" s="43" t="str">
        <f>IFERROR(__xludf.DUMMYFUNCTION("""COMPUTED_VALUE"""),"5379963_1272564")</f>
        <v>5379963_1272564</v>
      </c>
      <c r="B1671" s="43" t="str">
        <f>IFERROR(__xludf.DUMMYFUNCTION("""COMPUTED_VALUE"""),"Viktoria Supyk")</f>
        <v>Viktoria Supyk</v>
      </c>
      <c r="C1671" s="43" t="str">
        <f>IFERROR(__xludf.DUMMYFUNCTION("""COMPUTED_VALUE"""),"approved")</f>
        <v>approved</v>
      </c>
      <c r="D1671" s="43" t="str">
        <f>IFERROR(__xludf.DUMMYFUNCTION("""COMPUTED_VALUE"""),"No")</f>
        <v>No</v>
      </c>
      <c r="E1671" s="43" t="str">
        <f>IFERROR(__xludf.DUMMYFUNCTION("""COMPUTED_VALUE"""),"p_d940c89a54e88a3affc3a2aefb710caea6228e1a@inbound.aiesec.org")</f>
        <v>p_d940c89a54e88a3affc3a2aefb710caea6228e1a@inbound.aiesec.org</v>
      </c>
      <c r="F1671" s="43">
        <f>IFERROR(__xludf.DUMMYFUNCTION("""COMPUTED_VALUE"""),9.96539506E8)</f>
        <v>996539506</v>
      </c>
      <c r="G1671" s="43" t="str">
        <f>IFERROR(__xludf.DUMMYFUNCTION("""COMPUTED_VALUE"""),"Ukraine")</f>
        <v>Ukraine</v>
      </c>
      <c r="H1671" s="43" t="str">
        <f>IFERROR(__xludf.DUMMYFUNCTION("""COMPUTED_VALUE"""),"LVIV")</f>
        <v>LVIV</v>
      </c>
      <c r="I1671" s="43" t="str">
        <f>IFERROR(__xludf.DUMMYFUNCTION("""COMPUTED_VALUE"""),"Turkey")</f>
        <v>Turkey</v>
      </c>
      <c r="J1671" s="43" t="str">
        <f>IFERROR(__xludf.DUMMYFUNCTION("""COMPUTED_VALUE"""),"ISTANBUL")</f>
        <v>ISTANBUL</v>
      </c>
      <c r="K1671" s="44" t="str">
        <f>IFERROR(__xludf.DUMMYFUNCTION("""COMPUTED_VALUE"""),"https://expa.aiesec.org/opportunities/1272564")</f>
        <v>https://expa.aiesec.org/opportunities/1272564</v>
      </c>
      <c r="L1671" s="43" t="str">
        <f>IFERROR(__xludf.DUMMYFUNCTION("""COMPUTED_VALUE"""),"GV")</f>
        <v>GV</v>
      </c>
      <c r="M1671" s="43" t="str">
        <f>IFERROR(__xludf.DUMMYFUNCTION("""COMPUTED_VALUE"""),"short")</f>
        <v>short</v>
      </c>
      <c r="N1671" s="45">
        <f>IFERROR(__xludf.DUMMYFUNCTION("""COMPUTED_VALUE"""),45257.0)</f>
        <v>45257</v>
      </c>
      <c r="O1671" s="45">
        <f>IFERROR(__xludf.DUMMYFUNCTION("""COMPUTED_VALUE"""),45505.0)</f>
        <v>45505</v>
      </c>
      <c r="P1671" s="45">
        <f>IFERROR(__xludf.DUMMYFUNCTION("""COMPUTED_VALUE"""),45547.0)</f>
        <v>45547</v>
      </c>
      <c r="Q1671" s="45"/>
      <c r="R1671" s="45"/>
      <c r="S1671" s="43"/>
      <c r="T1671" s="43"/>
      <c r="U1671" s="43" t="str">
        <f>IFERROR(__xludf.DUMMYFUNCTION("""COMPUTED_VALUE"""),"Global Classroom")</f>
        <v>Global Classroom</v>
      </c>
      <c r="V1671" s="43" t="str">
        <f>IFERROR(__xludf.DUMMYFUNCTION("""COMPUTED_VALUE"""),"Lviv ")</f>
        <v>Lviv </v>
      </c>
      <c r="W1671" s="43" t="str">
        <f>IFERROR(__xludf.DUMMYFUNCTION("""COMPUTED_VALUE"""),"2023-11-26T07:47:05Z")</f>
        <v>2023-11-26T07:47:05Z</v>
      </c>
      <c r="X1671" s="43"/>
      <c r="Y1671" s="43"/>
      <c r="Z1671" s="43"/>
    </row>
    <row r="1672" hidden="1">
      <c r="A1672" s="43" t="str">
        <f>IFERROR(__xludf.DUMMYFUNCTION("""COMPUTED_VALUE"""),"5075201_1280872")</f>
        <v>5075201_1280872</v>
      </c>
      <c r="B1672" s="43" t="str">
        <f>IFERROR(__xludf.DUMMYFUNCTION("""COMPUTED_VALUE"""),"Rima Sliti")</f>
        <v>Rima Sliti</v>
      </c>
      <c r="C1672" s="43" t="str">
        <f>IFERROR(__xludf.DUMMYFUNCTION("""COMPUTED_VALUE"""),"approved")</f>
        <v>approved</v>
      </c>
      <c r="D1672" s="43" t="str">
        <f>IFERROR(__xludf.DUMMYFUNCTION("""COMPUTED_VALUE"""),"No")</f>
        <v>No</v>
      </c>
      <c r="E1672" s="43" t="str">
        <f>IFERROR(__xludf.DUMMYFUNCTION("""COMPUTED_VALUE"""),"p_3008f3693799c2a12097e0db4b81efdf49274f17@inbound.aiesec.org")</f>
        <v>p_3008f3693799c2a12097e0db4b81efdf49274f17@inbound.aiesec.org</v>
      </c>
      <c r="F1672" s="43"/>
      <c r="G1672" s="43" t="str">
        <f>IFERROR(__xludf.DUMMYFUNCTION("""COMPUTED_VALUE"""),"Tunisia")</f>
        <v>Tunisia</v>
      </c>
      <c r="H1672" s="43" t="str">
        <f>IFERROR(__xludf.DUMMYFUNCTION("""COMPUTED_VALUE"""),"UNIVERSITY")</f>
        <v>UNIVERSITY</v>
      </c>
      <c r="I1672" s="43" t="str">
        <f>IFERROR(__xludf.DUMMYFUNCTION("""COMPUTED_VALUE"""),"Turkey")</f>
        <v>Turkey</v>
      </c>
      <c r="J1672" s="43" t="str">
        <f>IFERROR(__xludf.DUMMYFUNCTION("""COMPUTED_VALUE"""),"KOCAELI")</f>
        <v>KOCAELI</v>
      </c>
      <c r="K1672" s="44" t="str">
        <f>IFERROR(__xludf.DUMMYFUNCTION("""COMPUTED_VALUE"""),"https://expa.aiesec.org/opportunities/1280872")</f>
        <v>https://expa.aiesec.org/opportunities/1280872</v>
      </c>
      <c r="L1672" s="43" t="str">
        <f>IFERROR(__xludf.DUMMYFUNCTION("""COMPUTED_VALUE"""),"GV")</f>
        <v>GV</v>
      </c>
      <c r="M1672" s="43" t="str">
        <f>IFERROR(__xludf.DUMMYFUNCTION("""COMPUTED_VALUE"""),"short")</f>
        <v>short</v>
      </c>
      <c r="N1672" s="45">
        <f>IFERROR(__xludf.DUMMYFUNCTION("""COMPUTED_VALUE"""),45257.0)</f>
        <v>45257</v>
      </c>
      <c r="O1672" s="45">
        <f>IFERROR(__xludf.DUMMYFUNCTION("""COMPUTED_VALUE"""),45488.0)</f>
        <v>45488</v>
      </c>
      <c r="P1672" s="45">
        <f>IFERROR(__xludf.DUMMYFUNCTION("""COMPUTED_VALUE"""),45530.0)</f>
        <v>45530</v>
      </c>
      <c r="Q1672" s="45"/>
      <c r="R1672" s="45"/>
      <c r="S1672" s="43"/>
      <c r="T1672" s="43"/>
      <c r="U1672" s="43" t="str">
        <f>IFERROR(__xludf.DUMMYFUNCTION("""COMPUTED_VALUE"""),"Skill Up!")</f>
        <v>Skill Up!</v>
      </c>
      <c r="V1672" s="43" t="str">
        <f>IFERROR(__xludf.DUMMYFUNCTION("""COMPUTED_VALUE"""),"-")</f>
        <v>-</v>
      </c>
      <c r="W1672" s="43" t="str">
        <f>IFERROR(__xludf.DUMMYFUNCTION("""COMPUTED_VALUE"""),"2022-06-21T16:32:25Z")</f>
        <v>2022-06-21T16:32:25Z</v>
      </c>
      <c r="X1672" s="43"/>
      <c r="Y1672" s="43"/>
      <c r="Z1672" s="43"/>
    </row>
    <row r="1673" hidden="1">
      <c r="A1673" s="43" t="str">
        <f>IFERROR(__xludf.DUMMYFUNCTION("""COMPUTED_VALUE"""),"5380653_1280872")</f>
        <v>5380653_1280872</v>
      </c>
      <c r="B1673" s="43" t="str">
        <f>IFERROR(__xludf.DUMMYFUNCTION("""COMPUTED_VALUE"""),"Siwar Chaabane")</f>
        <v>Siwar Chaabane</v>
      </c>
      <c r="C1673" s="43" t="str">
        <f>IFERROR(__xludf.DUMMYFUNCTION("""COMPUTED_VALUE"""),"approved")</f>
        <v>approved</v>
      </c>
      <c r="D1673" s="43" t="str">
        <f>IFERROR(__xludf.DUMMYFUNCTION("""COMPUTED_VALUE"""),"No")</f>
        <v>No</v>
      </c>
      <c r="E1673" s="43" t="str">
        <f>IFERROR(__xludf.DUMMYFUNCTION("""COMPUTED_VALUE"""),"p_d5bd062619a059b6e2c533a074649190000a7e72@inbound.aiesec.org")</f>
        <v>p_d5bd062619a059b6e2c533a074649190000a7e72@inbound.aiesec.org</v>
      </c>
      <c r="F1673" s="43">
        <f>IFERROR(__xludf.DUMMYFUNCTION("""COMPUTED_VALUE"""),5.0315963E7)</f>
        <v>50315963</v>
      </c>
      <c r="G1673" s="43" t="str">
        <f>IFERROR(__xludf.DUMMYFUNCTION("""COMPUTED_VALUE"""),"Tunisia")</f>
        <v>Tunisia</v>
      </c>
      <c r="H1673" s="43" t="str">
        <f>IFERROR(__xludf.DUMMYFUNCTION("""COMPUTED_VALUE"""),"UNIVERSITY")</f>
        <v>UNIVERSITY</v>
      </c>
      <c r="I1673" s="43" t="str">
        <f>IFERROR(__xludf.DUMMYFUNCTION("""COMPUTED_VALUE"""),"Turkey")</f>
        <v>Turkey</v>
      </c>
      <c r="J1673" s="43" t="str">
        <f>IFERROR(__xludf.DUMMYFUNCTION("""COMPUTED_VALUE"""),"KOCAELI")</f>
        <v>KOCAELI</v>
      </c>
      <c r="K1673" s="44" t="str">
        <f>IFERROR(__xludf.DUMMYFUNCTION("""COMPUTED_VALUE"""),"https://expa.aiesec.org/opportunities/1280872")</f>
        <v>https://expa.aiesec.org/opportunities/1280872</v>
      </c>
      <c r="L1673" s="43" t="str">
        <f>IFERROR(__xludf.DUMMYFUNCTION("""COMPUTED_VALUE"""),"GV")</f>
        <v>GV</v>
      </c>
      <c r="M1673" s="43" t="str">
        <f>IFERROR(__xludf.DUMMYFUNCTION("""COMPUTED_VALUE"""),"short")</f>
        <v>short</v>
      </c>
      <c r="N1673" s="45">
        <f>IFERROR(__xludf.DUMMYFUNCTION("""COMPUTED_VALUE"""),45257.0)</f>
        <v>45257</v>
      </c>
      <c r="O1673" s="45">
        <f>IFERROR(__xludf.DUMMYFUNCTION("""COMPUTED_VALUE"""),45488.0)</f>
        <v>45488</v>
      </c>
      <c r="P1673" s="45">
        <f>IFERROR(__xludf.DUMMYFUNCTION("""COMPUTED_VALUE"""),45530.0)</f>
        <v>45530</v>
      </c>
      <c r="Q1673" s="45"/>
      <c r="R1673" s="45"/>
      <c r="S1673" s="43"/>
      <c r="T1673" s="43"/>
      <c r="U1673" s="43" t="str">
        <f>IFERROR(__xludf.DUMMYFUNCTION("""COMPUTED_VALUE"""),"Skill Up!")</f>
        <v>Skill Up!</v>
      </c>
      <c r="V1673" s="43" t="str">
        <f>IFERROR(__xludf.DUMMYFUNCTION("""COMPUTED_VALUE"""),"FST")</f>
        <v>FST</v>
      </c>
      <c r="W1673" s="43" t="str">
        <f>IFERROR(__xludf.DUMMYFUNCTION("""COMPUTED_VALUE"""),"2023-11-27T09:28:32Z")</f>
        <v>2023-11-27T09:28:32Z</v>
      </c>
      <c r="X1673" s="43"/>
      <c r="Y1673" s="43"/>
      <c r="Z1673" s="43"/>
    </row>
    <row r="1674" hidden="1">
      <c r="A1674" s="43" t="str">
        <f>IFERROR(__xludf.DUMMYFUNCTION("""COMPUTED_VALUE"""),"5377778_1272564")</f>
        <v>5377778_1272564</v>
      </c>
      <c r="B1674" s="43" t="str">
        <f>IFERROR(__xludf.DUMMYFUNCTION("""COMPUTED_VALUE"""),"Олександра Кучеренко")</f>
        <v>Олександра Кучеренко</v>
      </c>
      <c r="C1674" s="43" t="str">
        <f>IFERROR(__xludf.DUMMYFUNCTION("""COMPUTED_VALUE"""),"approved")</f>
        <v>approved</v>
      </c>
      <c r="D1674" s="43" t="str">
        <f>IFERROR(__xludf.DUMMYFUNCTION("""COMPUTED_VALUE"""),"No")</f>
        <v>No</v>
      </c>
      <c r="E1674" s="43" t="str">
        <f>IFERROR(__xludf.DUMMYFUNCTION("""COMPUTED_VALUE"""),"p_b8e44c97b3f772bc7fee0552b3a8089d3f737f89@inbound.aiesec.org")</f>
        <v>p_b8e44c97b3f772bc7fee0552b3a8089d3f737f89@inbound.aiesec.org</v>
      </c>
      <c r="F1674" s="43"/>
      <c r="G1674" s="43" t="str">
        <f>IFERROR(__xludf.DUMMYFUNCTION("""COMPUTED_VALUE"""),"Ukraine")</f>
        <v>Ukraine</v>
      </c>
      <c r="H1674" s="43" t="str">
        <f>IFERROR(__xludf.DUMMYFUNCTION("""COMPUTED_VALUE"""),"KYIV")</f>
        <v>KYIV</v>
      </c>
      <c r="I1674" s="43" t="str">
        <f>IFERROR(__xludf.DUMMYFUNCTION("""COMPUTED_VALUE"""),"Turkey")</f>
        <v>Turkey</v>
      </c>
      <c r="J1674" s="43" t="str">
        <f>IFERROR(__xludf.DUMMYFUNCTION("""COMPUTED_VALUE"""),"ISTANBUL")</f>
        <v>ISTANBUL</v>
      </c>
      <c r="K1674" s="44" t="str">
        <f>IFERROR(__xludf.DUMMYFUNCTION("""COMPUTED_VALUE"""),"https://expa.aiesec.org/opportunities/1272564")</f>
        <v>https://expa.aiesec.org/opportunities/1272564</v>
      </c>
      <c r="L1674" s="43" t="str">
        <f>IFERROR(__xludf.DUMMYFUNCTION("""COMPUTED_VALUE"""),"GV")</f>
        <v>GV</v>
      </c>
      <c r="M1674" s="43" t="str">
        <f>IFERROR(__xludf.DUMMYFUNCTION("""COMPUTED_VALUE"""),"short")</f>
        <v>short</v>
      </c>
      <c r="N1674" s="45">
        <f>IFERROR(__xludf.DUMMYFUNCTION("""COMPUTED_VALUE"""),45257.0)</f>
        <v>45257</v>
      </c>
      <c r="O1674" s="45">
        <f>IFERROR(__xludf.DUMMYFUNCTION("""COMPUTED_VALUE"""),45505.0)</f>
        <v>45505</v>
      </c>
      <c r="P1674" s="45">
        <f>IFERROR(__xludf.DUMMYFUNCTION("""COMPUTED_VALUE"""),45547.0)</f>
        <v>45547</v>
      </c>
      <c r="Q1674" s="45"/>
      <c r="R1674" s="45"/>
      <c r="S1674" s="43"/>
      <c r="T1674" s="43"/>
      <c r="U1674" s="43" t="str">
        <f>IFERROR(__xludf.DUMMYFUNCTION("""COMPUTED_VALUE"""),"Global Classroom")</f>
        <v>Global Classroom</v>
      </c>
      <c r="V1674" s="43" t="str">
        <f>IFERROR(__xludf.DUMMYFUNCTION("""COMPUTED_VALUE"""),"-")</f>
        <v>-</v>
      </c>
      <c r="W1674" s="43" t="str">
        <f>IFERROR(__xludf.DUMMYFUNCTION("""COMPUTED_VALUE"""),"2023-11-22T20:11:42Z")</f>
        <v>2023-11-22T20:11:42Z</v>
      </c>
      <c r="X1674" s="43"/>
      <c r="Y1674" s="43"/>
      <c r="Z1674" s="43"/>
    </row>
    <row r="1675" hidden="1">
      <c r="A1675" s="43" t="str">
        <f>IFERROR(__xludf.DUMMYFUNCTION("""COMPUTED_VALUE"""),"5381000_1301556")</f>
        <v>5381000_1301556</v>
      </c>
      <c r="B1675" s="43" t="str">
        <f>IFERROR(__xludf.DUMMYFUNCTION("""COMPUTED_VALUE"""),"Taysir Slimi")</f>
        <v>Taysir Slimi</v>
      </c>
      <c r="C1675" s="43" t="str">
        <f>IFERROR(__xludf.DUMMYFUNCTION("""COMPUTED_VALUE"""),"approved")</f>
        <v>approved</v>
      </c>
      <c r="D1675" s="43" t="str">
        <f>IFERROR(__xludf.DUMMYFUNCTION("""COMPUTED_VALUE"""),"No")</f>
        <v>No</v>
      </c>
      <c r="E1675" s="43" t="str">
        <f>IFERROR(__xludf.DUMMYFUNCTION("""COMPUTED_VALUE"""),"p_cac8f9d8ac865af8c7c9ba6b5a83ed69e29cefe2@inbound.aiesec.org")</f>
        <v>p_cac8f9d8ac865af8c7c9ba6b5a83ed69e29cefe2@inbound.aiesec.org</v>
      </c>
      <c r="F1675" s="43"/>
      <c r="G1675" s="43" t="str">
        <f>IFERROR(__xludf.DUMMYFUNCTION("""COMPUTED_VALUE"""),"Tunisia")</f>
        <v>Tunisia</v>
      </c>
      <c r="H1675" s="43" t="str">
        <f>IFERROR(__xludf.DUMMYFUNCTION("""COMPUTED_VALUE"""),"Carthage")</f>
        <v>Carthage</v>
      </c>
      <c r="I1675" s="43" t="str">
        <f>IFERROR(__xludf.DUMMYFUNCTION("""COMPUTED_VALUE"""),"Turkey")</f>
        <v>Turkey</v>
      </c>
      <c r="J1675" s="43" t="str">
        <f>IFERROR(__xludf.DUMMYFUNCTION("""COMPUTED_VALUE"""),"KOCAELI")</f>
        <v>KOCAELI</v>
      </c>
      <c r="K1675" s="44" t="str">
        <f>IFERROR(__xludf.DUMMYFUNCTION("""COMPUTED_VALUE"""),"https://expa.aiesec.org/opportunities/1301556")</f>
        <v>https://expa.aiesec.org/opportunities/1301556</v>
      </c>
      <c r="L1675" s="43" t="str">
        <f>IFERROR(__xludf.DUMMYFUNCTION("""COMPUTED_VALUE"""),"GV")</f>
        <v>GV</v>
      </c>
      <c r="M1675" s="43" t="str">
        <f>IFERROR(__xludf.DUMMYFUNCTION("""COMPUTED_VALUE"""),"short")</f>
        <v>short</v>
      </c>
      <c r="N1675" s="45">
        <f>IFERROR(__xludf.DUMMYFUNCTION("""COMPUTED_VALUE"""),45257.0)</f>
        <v>45257</v>
      </c>
      <c r="O1675" s="45">
        <f>IFERROR(__xludf.DUMMYFUNCTION("""COMPUTED_VALUE"""),45453.0)</f>
        <v>45453</v>
      </c>
      <c r="P1675" s="45">
        <f>IFERROR(__xludf.DUMMYFUNCTION("""COMPUTED_VALUE"""),45495.0)</f>
        <v>45495</v>
      </c>
      <c r="Q1675" s="45"/>
      <c r="R1675" s="45"/>
      <c r="S1675" s="43"/>
      <c r="T1675" s="43"/>
      <c r="U1675" s="43" t="str">
        <f>IFERROR(__xludf.DUMMYFUNCTION("""COMPUTED_VALUE"""),"Global Classroom")</f>
        <v>Global Classroom</v>
      </c>
      <c r="V1675" s="43" t="str">
        <f>IFERROR(__xludf.DUMMYFUNCTION("""COMPUTED_VALUE"""),"-")</f>
        <v>-</v>
      </c>
      <c r="W1675" s="43" t="str">
        <f>IFERROR(__xludf.DUMMYFUNCTION("""COMPUTED_VALUE"""),"2023-11-27T17:20:35Z")</f>
        <v>2023-11-27T17:20:35Z</v>
      </c>
      <c r="X1675" s="43"/>
      <c r="Y1675" s="43"/>
      <c r="Z1675" s="43"/>
    </row>
    <row r="1676" hidden="1">
      <c r="A1676" s="43" t="str">
        <f>IFERROR(__xludf.DUMMYFUNCTION("""COMPUTED_VALUE"""),"5379788_1289536")</f>
        <v>5379788_1289536</v>
      </c>
      <c r="B1676" s="43" t="str">
        <f>IFERROR(__xludf.DUMMYFUNCTION("""COMPUTED_VALUE"""),"Tayssir Trabelsi")</f>
        <v>Tayssir Trabelsi</v>
      </c>
      <c r="C1676" s="43" t="str">
        <f>IFERROR(__xludf.DUMMYFUNCTION("""COMPUTED_VALUE"""),"approved")</f>
        <v>approved</v>
      </c>
      <c r="D1676" s="43" t="str">
        <f>IFERROR(__xludf.DUMMYFUNCTION("""COMPUTED_VALUE"""),"No")</f>
        <v>No</v>
      </c>
      <c r="E1676" s="43" t="str">
        <f>IFERROR(__xludf.DUMMYFUNCTION("""COMPUTED_VALUE"""),"p_8d1b3d4f8024747d8db1043574bb0f360763caaa@inbound.aiesec.org")</f>
        <v>p_8d1b3d4f8024747d8db1043574bb0f360763caaa@inbound.aiesec.org</v>
      </c>
      <c r="F1676" s="43">
        <f>IFERROR(__xludf.DUMMYFUNCTION("""COMPUTED_VALUE"""),2.6705676E7)</f>
        <v>26705676</v>
      </c>
      <c r="G1676" s="43" t="str">
        <f>IFERROR(__xludf.DUMMYFUNCTION("""COMPUTED_VALUE"""),"Tunisia")</f>
        <v>Tunisia</v>
      </c>
      <c r="H1676" s="43" t="str">
        <f>IFERROR(__xludf.DUMMYFUNCTION("""COMPUTED_VALUE"""),"Carthage")</f>
        <v>Carthage</v>
      </c>
      <c r="I1676" s="43" t="str">
        <f>IFERROR(__xludf.DUMMYFUNCTION("""COMPUTED_VALUE"""),"Turkey")</f>
        <v>Turkey</v>
      </c>
      <c r="J1676" s="43" t="str">
        <f>IFERROR(__xludf.DUMMYFUNCTION("""COMPUTED_VALUE"""),"ISTANBUL")</f>
        <v>ISTANBUL</v>
      </c>
      <c r="K1676" s="44" t="str">
        <f>IFERROR(__xludf.DUMMYFUNCTION("""COMPUTED_VALUE"""),"https://expa.aiesec.org/opportunities/1289536")</f>
        <v>https://expa.aiesec.org/opportunities/1289536</v>
      </c>
      <c r="L1676" s="43" t="str">
        <f>IFERROR(__xludf.DUMMYFUNCTION("""COMPUTED_VALUE"""),"GV")</f>
        <v>GV</v>
      </c>
      <c r="M1676" s="43" t="str">
        <f>IFERROR(__xludf.DUMMYFUNCTION("""COMPUTED_VALUE"""),"short")</f>
        <v>short</v>
      </c>
      <c r="N1676" s="45">
        <f>IFERROR(__xludf.DUMMYFUNCTION("""COMPUTED_VALUE"""),45257.0)</f>
        <v>45257</v>
      </c>
      <c r="O1676" s="45">
        <f>IFERROR(__xludf.DUMMYFUNCTION("""COMPUTED_VALUE"""),45505.0)</f>
        <v>45505</v>
      </c>
      <c r="P1676" s="45">
        <f>IFERROR(__xludf.DUMMYFUNCTION("""COMPUTED_VALUE"""),45547.0)</f>
        <v>45547</v>
      </c>
      <c r="Q1676" s="45"/>
      <c r="R1676" s="45"/>
      <c r="S1676" s="43"/>
      <c r="T1676" s="43"/>
      <c r="U1676" s="43" t="str">
        <f>IFERROR(__xludf.DUMMYFUNCTION("""COMPUTED_VALUE"""),"Global Classroom")</f>
        <v>Global Classroom</v>
      </c>
      <c r="V1676" s="43" t="str">
        <f>IFERROR(__xludf.DUMMYFUNCTION("""COMPUTED_VALUE"""),"INSAT")</f>
        <v>INSAT</v>
      </c>
      <c r="W1676" s="43" t="str">
        <f>IFERROR(__xludf.DUMMYFUNCTION("""COMPUTED_VALUE"""),"2023-11-25T19:04:44Z")</f>
        <v>2023-11-25T19:04:44Z</v>
      </c>
      <c r="X1676" s="43"/>
      <c r="Y1676" s="43"/>
      <c r="Z1676" s="43"/>
    </row>
    <row r="1677" hidden="1">
      <c r="A1677" s="43" t="str">
        <f>IFERROR(__xludf.DUMMYFUNCTION("""COMPUTED_VALUE"""),"5377746_1298275")</f>
        <v>5377746_1298275</v>
      </c>
      <c r="B1677" s="43" t="str">
        <f>IFERROR(__xludf.DUMMYFUNCTION("""COMPUTED_VALUE"""),"Anna Pliasun")</f>
        <v>Anna Pliasun</v>
      </c>
      <c r="C1677" s="43" t="str">
        <f>IFERROR(__xludf.DUMMYFUNCTION("""COMPUTED_VALUE"""),"realized")</f>
        <v>realized</v>
      </c>
      <c r="D1677" s="43" t="str">
        <f>IFERROR(__xludf.DUMMYFUNCTION("""COMPUTED_VALUE"""),"No")</f>
        <v>No</v>
      </c>
      <c r="E1677" s="43" t="str">
        <f>IFERROR(__xludf.DUMMYFUNCTION("""COMPUTED_VALUE"""),"p_78ae29d305b37d98fcd00fa19e7900a9b3e70086@inbound.aiesec.org")</f>
        <v>p_78ae29d305b37d98fcd00fa19e7900a9b3e70086@inbound.aiesec.org</v>
      </c>
      <c r="F1677" s="43">
        <f>IFERROR(__xludf.DUMMYFUNCTION("""COMPUTED_VALUE"""),6.73757298E8)</f>
        <v>673757298</v>
      </c>
      <c r="G1677" s="43" t="str">
        <f>IFERROR(__xludf.DUMMYFUNCTION("""COMPUTED_VALUE"""),"Ukraine")</f>
        <v>Ukraine</v>
      </c>
      <c r="H1677" s="43" t="str">
        <f>IFERROR(__xludf.DUMMYFUNCTION("""COMPUTED_VALUE"""),"KHARKIV")</f>
        <v>KHARKIV</v>
      </c>
      <c r="I1677" s="43" t="str">
        <f>IFERROR(__xludf.DUMMYFUNCTION("""COMPUTED_VALUE"""),"Turkey")</f>
        <v>Turkey</v>
      </c>
      <c r="J1677" s="43" t="str">
        <f>IFERROR(__xludf.DUMMYFUNCTION("""COMPUTED_VALUE"""),"ISTANBUL")</f>
        <v>ISTANBUL</v>
      </c>
      <c r="K1677" s="44" t="str">
        <f>IFERROR(__xludf.DUMMYFUNCTION("""COMPUTED_VALUE"""),"https://expa.aiesec.org/opportunities/1298275")</f>
        <v>https://expa.aiesec.org/opportunities/1298275</v>
      </c>
      <c r="L1677" s="43" t="str">
        <f>IFERROR(__xludf.DUMMYFUNCTION("""COMPUTED_VALUE"""),"GV")</f>
        <v>GV</v>
      </c>
      <c r="M1677" s="43" t="str">
        <f>IFERROR(__xludf.DUMMYFUNCTION("""COMPUTED_VALUE"""),"short")</f>
        <v>short</v>
      </c>
      <c r="N1677" s="45">
        <f>IFERROR(__xludf.DUMMYFUNCTION("""COMPUTED_VALUE"""),45257.0)</f>
        <v>45257</v>
      </c>
      <c r="O1677" s="45">
        <f>IFERROR(__xludf.DUMMYFUNCTION("""COMPUTED_VALUE"""),45284.0)</f>
        <v>45284</v>
      </c>
      <c r="P1677" s="45">
        <f>IFERROR(__xludf.DUMMYFUNCTION("""COMPUTED_VALUE"""),45326.0)</f>
        <v>45326</v>
      </c>
      <c r="Q1677" s="45">
        <f>IFERROR(__xludf.DUMMYFUNCTION("""COMPUTED_VALUE"""),45273.0)</f>
        <v>45273</v>
      </c>
      <c r="R1677" s="45">
        <f>IFERROR(__xludf.DUMMYFUNCTION("""COMPUTED_VALUE"""),45326.0)</f>
        <v>45326</v>
      </c>
      <c r="S1677" s="43"/>
      <c r="T1677" s="43"/>
      <c r="U1677" s="43" t="str">
        <f>IFERROR(__xludf.DUMMYFUNCTION("""COMPUTED_VALUE"""),"Global Classroom")</f>
        <v>Global Classroom</v>
      </c>
      <c r="V1677" s="43" t="str">
        <f>IFERROR(__xludf.DUMMYFUNCTION("""COMPUTED_VALUE"""),"Lviv ")</f>
        <v>Lviv </v>
      </c>
      <c r="W1677" s="43" t="str">
        <f>IFERROR(__xludf.DUMMYFUNCTION("""COMPUTED_VALUE"""),"2023-11-22T19:12:26Z")</f>
        <v>2023-11-22T19:12:26Z</v>
      </c>
      <c r="X1677" s="43"/>
      <c r="Y1677" s="43"/>
      <c r="Z1677" s="43"/>
    </row>
    <row r="1678" hidden="1">
      <c r="A1678" s="43" t="str">
        <f>IFERROR(__xludf.DUMMYFUNCTION("""COMPUTED_VALUE"""),"5379825_1286917")</f>
        <v>5379825_1286917</v>
      </c>
      <c r="B1678" s="43" t="str">
        <f>IFERROR(__xludf.DUMMYFUNCTION("""COMPUTED_VALUE"""),"Yara Cherni")</f>
        <v>Yara Cherni</v>
      </c>
      <c r="C1678" s="43" t="str">
        <f>IFERROR(__xludf.DUMMYFUNCTION("""COMPUTED_VALUE"""),"approved")</f>
        <v>approved</v>
      </c>
      <c r="D1678" s="43" t="str">
        <f>IFERROR(__xludf.DUMMYFUNCTION("""COMPUTED_VALUE"""),"No")</f>
        <v>No</v>
      </c>
      <c r="E1678" s="43" t="str">
        <f>IFERROR(__xludf.DUMMYFUNCTION("""COMPUTED_VALUE"""),"p_9e55c61e91265f8aecae6abd40055449e821bb16@inbound.aiesec.org")</f>
        <v>p_9e55c61e91265f8aecae6abd40055449e821bb16@inbound.aiesec.org</v>
      </c>
      <c r="F1678" s="43">
        <f>IFERROR(__xludf.DUMMYFUNCTION("""COMPUTED_VALUE"""),5.8622683E7)</f>
        <v>58622683</v>
      </c>
      <c r="G1678" s="43" t="str">
        <f>IFERROR(__xludf.DUMMYFUNCTION("""COMPUTED_VALUE"""),"Tunisia")</f>
        <v>Tunisia</v>
      </c>
      <c r="H1678" s="43" t="str">
        <f>IFERROR(__xludf.DUMMYFUNCTION("""COMPUTED_VALUE"""),"MEDINA")</f>
        <v>MEDINA</v>
      </c>
      <c r="I1678" s="43" t="str">
        <f>IFERROR(__xludf.DUMMYFUNCTION("""COMPUTED_VALUE"""),"Turkey")</f>
        <v>Turkey</v>
      </c>
      <c r="J1678" s="43" t="str">
        <f>IFERROR(__xludf.DUMMYFUNCTION("""COMPUTED_VALUE"""),"ISTANBUL ASIA")</f>
        <v>ISTANBUL ASIA</v>
      </c>
      <c r="K1678" s="44" t="str">
        <f>IFERROR(__xludf.DUMMYFUNCTION("""COMPUTED_VALUE"""),"https://expa.aiesec.org/opportunities/1286917")</f>
        <v>https://expa.aiesec.org/opportunities/1286917</v>
      </c>
      <c r="L1678" s="43" t="str">
        <f>IFERROR(__xludf.DUMMYFUNCTION("""COMPUTED_VALUE"""),"GV")</f>
        <v>GV</v>
      </c>
      <c r="M1678" s="43" t="str">
        <f>IFERROR(__xludf.DUMMYFUNCTION("""COMPUTED_VALUE"""),"short")</f>
        <v>short</v>
      </c>
      <c r="N1678" s="45">
        <f>IFERROR(__xludf.DUMMYFUNCTION("""COMPUTED_VALUE"""),45257.0)</f>
        <v>45257</v>
      </c>
      <c r="O1678" s="45">
        <f>IFERROR(__xludf.DUMMYFUNCTION("""COMPUTED_VALUE"""),45425.0)</f>
        <v>45425</v>
      </c>
      <c r="P1678" s="45">
        <f>IFERROR(__xludf.DUMMYFUNCTION("""COMPUTED_VALUE"""),45467.0)</f>
        <v>45467</v>
      </c>
      <c r="Q1678" s="45"/>
      <c r="R1678" s="45"/>
      <c r="S1678" s="43"/>
      <c r="T1678" s="43"/>
      <c r="U1678" s="43" t="str">
        <f>IFERROR(__xludf.DUMMYFUNCTION("""COMPUTED_VALUE"""),"Rooted")</f>
        <v>Rooted</v>
      </c>
      <c r="V1678" s="43" t="str">
        <f>IFERROR(__xludf.DUMMYFUNCTION("""COMPUTED_VALUE"""),"FLAH")</f>
        <v>FLAH</v>
      </c>
      <c r="W1678" s="43" t="str">
        <f>IFERROR(__xludf.DUMMYFUNCTION("""COMPUTED_VALUE"""),"2023-11-25T20:19:21Z")</f>
        <v>2023-11-25T20:19:21Z</v>
      </c>
      <c r="X1678" s="43"/>
      <c r="Y1678" s="43"/>
      <c r="Z1678" s="43"/>
    </row>
    <row r="1679" hidden="1">
      <c r="A1679" s="43" t="str">
        <f>IFERROR(__xludf.DUMMYFUNCTION("""COMPUTED_VALUE"""),"5371494_1300841")</f>
        <v>5371494_1300841</v>
      </c>
      <c r="B1679" s="43" t="str">
        <f>IFERROR(__xludf.DUMMYFUNCTION("""COMPUTED_VALUE"""),"Dalibor Mrňávek")</f>
        <v>Dalibor Mrňávek</v>
      </c>
      <c r="C1679" s="43" t="str">
        <f>IFERROR(__xludf.DUMMYFUNCTION("""COMPUTED_VALUE"""),"approved")</f>
        <v>approved</v>
      </c>
      <c r="D1679" s="43" t="str">
        <f>IFERROR(__xludf.DUMMYFUNCTION("""COMPUTED_VALUE"""),"No")</f>
        <v>No</v>
      </c>
      <c r="E1679" s="43" t="str">
        <f>IFERROR(__xludf.DUMMYFUNCTION("""COMPUTED_VALUE"""),"p_a74a6e31f1f0631ceb97bebc409e5fa185285749@inbound.aiesec.org")</f>
        <v>p_a74a6e31f1f0631ceb97bebc409e5fa185285749@inbound.aiesec.org</v>
      </c>
      <c r="F1679" s="43">
        <f>IFERROR(__xludf.DUMMYFUNCTION("""COMPUTED_VALUE"""),7.77639718E8)</f>
        <v>777639718</v>
      </c>
      <c r="G1679" s="43" t="str">
        <f>IFERROR(__xludf.DUMMYFUNCTION("""COMPUTED_VALUE"""),"Czech Republic")</f>
        <v>Czech Republic</v>
      </c>
      <c r="H1679" s="43" t="str">
        <f>IFERROR(__xludf.DUMMYFUNCTION("""COMPUTED_VALUE"""),"BRNO")</f>
        <v>BRNO</v>
      </c>
      <c r="I1679" s="43" t="str">
        <f>IFERROR(__xludf.DUMMYFUNCTION("""COMPUTED_VALUE"""),"Turkey")</f>
        <v>Turkey</v>
      </c>
      <c r="J1679" s="43" t="str">
        <f>IFERROR(__xludf.DUMMYFUNCTION("""COMPUTED_VALUE"""),"KUTAHYA")</f>
        <v>KUTAHYA</v>
      </c>
      <c r="K1679" s="44" t="str">
        <f>IFERROR(__xludf.DUMMYFUNCTION("""COMPUTED_VALUE"""),"https://expa.aiesec.org/opportunities/1300841")</f>
        <v>https://expa.aiesec.org/opportunities/1300841</v>
      </c>
      <c r="L1679" s="43" t="str">
        <f>IFERROR(__xludf.DUMMYFUNCTION("""COMPUTED_VALUE"""),"GV")</f>
        <v>GV</v>
      </c>
      <c r="M1679" s="43" t="str">
        <f>IFERROR(__xludf.DUMMYFUNCTION("""COMPUTED_VALUE"""),"short")</f>
        <v>short</v>
      </c>
      <c r="N1679" s="45">
        <f>IFERROR(__xludf.DUMMYFUNCTION("""COMPUTED_VALUE"""),45257.0)</f>
        <v>45257</v>
      </c>
      <c r="O1679" s="45">
        <f>IFERROR(__xludf.DUMMYFUNCTION("""COMPUTED_VALUE"""),45432.0)</f>
        <v>45432</v>
      </c>
      <c r="P1679" s="45">
        <f>IFERROR(__xludf.DUMMYFUNCTION("""COMPUTED_VALUE"""),45474.0)</f>
        <v>45474</v>
      </c>
      <c r="Q1679" s="45"/>
      <c r="R1679" s="45"/>
      <c r="S1679" s="43"/>
      <c r="T1679" s="43"/>
      <c r="U1679" s="43" t="str">
        <f>IFERROR(__xludf.DUMMYFUNCTION("""COMPUTED_VALUE"""),"Green Leaders")</f>
        <v>Green Leaders</v>
      </c>
      <c r="V1679" s="43" t="str">
        <f>IFERROR(__xludf.DUMMYFUNCTION("""COMPUTED_VALUE"""),"-")</f>
        <v>-</v>
      </c>
      <c r="W1679" s="43" t="str">
        <f>IFERROR(__xludf.DUMMYFUNCTION("""COMPUTED_VALUE"""),"2023-11-13T11:56:34Z")</f>
        <v>2023-11-13T11:56:34Z</v>
      </c>
      <c r="X1679" s="43"/>
      <c r="Y1679" s="43"/>
      <c r="Z1679" s="43"/>
    </row>
    <row r="1680" hidden="1">
      <c r="A1680" s="43" t="str">
        <f>IFERROR(__xludf.DUMMYFUNCTION("""COMPUTED_VALUE"""),"5361358_1300056")</f>
        <v>5361358_1300056</v>
      </c>
      <c r="B1680" s="43" t="str">
        <f>IFERROR(__xludf.DUMMYFUNCTION("""COMPUTED_VALUE"""),"José Jorge")</f>
        <v>José Jorge</v>
      </c>
      <c r="C1680" s="43" t="str">
        <f>IFERROR(__xludf.DUMMYFUNCTION("""COMPUTED_VALUE"""),"approved")</f>
        <v>approved</v>
      </c>
      <c r="D1680" s="43" t="str">
        <f>IFERROR(__xludf.DUMMYFUNCTION("""COMPUTED_VALUE"""),"No")</f>
        <v>No</v>
      </c>
      <c r="E1680" s="43" t="str">
        <f>IFERROR(__xludf.DUMMYFUNCTION("""COMPUTED_VALUE"""),"p_fb53fbbbe4c9525378e7e918ada2818d3fed9986@inbound.aiesec.org")</f>
        <v>p_fb53fbbbe4c9525378e7e918ada2818d3fed9986@inbound.aiesec.org</v>
      </c>
      <c r="F1680" s="43">
        <f>IFERROR(__xludf.DUMMYFUNCTION("""COMPUTED_VALUE"""),9.16978619E8)</f>
        <v>916978619</v>
      </c>
      <c r="G1680" s="43" t="str">
        <f>IFERROR(__xludf.DUMMYFUNCTION("""COMPUTED_VALUE"""),"Portugal")</f>
        <v>Portugal</v>
      </c>
      <c r="H1680" s="43" t="str">
        <f>IFERROR(__xludf.DUMMYFUNCTION("""COMPUTED_VALUE"""),"UMINHO")</f>
        <v>UMINHO</v>
      </c>
      <c r="I1680" s="43" t="str">
        <f>IFERROR(__xludf.DUMMYFUNCTION("""COMPUTED_VALUE"""),"Turkey")</f>
        <v>Turkey</v>
      </c>
      <c r="J1680" s="43" t="str">
        <f>IFERROR(__xludf.DUMMYFUNCTION("""COMPUTED_VALUE"""),"ANKARA")</f>
        <v>ANKARA</v>
      </c>
      <c r="K1680" s="44" t="str">
        <f>IFERROR(__xludf.DUMMYFUNCTION("""COMPUTED_VALUE"""),"https://expa.aiesec.org/opportunities/1300056")</f>
        <v>https://expa.aiesec.org/opportunities/1300056</v>
      </c>
      <c r="L1680" s="43" t="str">
        <f>IFERROR(__xludf.DUMMYFUNCTION("""COMPUTED_VALUE"""),"GV")</f>
        <v>GV</v>
      </c>
      <c r="M1680" s="43" t="str">
        <f>IFERROR(__xludf.DUMMYFUNCTION("""COMPUTED_VALUE"""),"short")</f>
        <v>short</v>
      </c>
      <c r="N1680" s="45">
        <f>IFERROR(__xludf.DUMMYFUNCTION("""COMPUTED_VALUE"""),45257.0)</f>
        <v>45257</v>
      </c>
      <c r="O1680" s="45">
        <f>IFERROR(__xludf.DUMMYFUNCTION("""COMPUTED_VALUE"""),45341.0)</f>
        <v>45341</v>
      </c>
      <c r="P1680" s="45">
        <f>IFERROR(__xludf.DUMMYFUNCTION("""COMPUTED_VALUE"""),45383.0)</f>
        <v>45383</v>
      </c>
      <c r="Q1680" s="45"/>
      <c r="R1680" s="45"/>
      <c r="S1680" s="43"/>
      <c r="T1680" s="43"/>
      <c r="U1680" s="43" t="str">
        <f>IFERROR(__xludf.DUMMYFUNCTION("""COMPUTED_VALUE"""),"Fingerprint")</f>
        <v>Fingerprint</v>
      </c>
      <c r="V1680" s="43" t="str">
        <f>IFERROR(__xludf.DUMMYFUNCTION("""COMPUTED_VALUE"""),"-")</f>
        <v>-</v>
      </c>
      <c r="W1680" s="43" t="str">
        <f>IFERROR(__xludf.DUMMYFUNCTION("""COMPUTED_VALUE"""),"2023-10-27T09:59:22Z")</f>
        <v>2023-10-27T09:59:22Z</v>
      </c>
      <c r="X1680" s="43"/>
      <c r="Y1680" s="43"/>
      <c r="Z1680" s="43"/>
    </row>
    <row r="1681" hidden="1">
      <c r="A1681" s="43" t="str">
        <f>IFERROR(__xludf.DUMMYFUNCTION("""COMPUTED_VALUE"""),"5375475_1298102")</f>
        <v>5375475_1298102</v>
      </c>
      <c r="B1681" s="43" t="str">
        <f>IFERROR(__xludf.DUMMYFUNCTION("""COMPUTED_VALUE"""),"Nourane Mosref")</f>
        <v>Nourane Mosref</v>
      </c>
      <c r="C1681" s="43" t="str">
        <f>IFERROR(__xludf.DUMMYFUNCTION("""COMPUTED_VALUE"""),"approved")</f>
        <v>approved</v>
      </c>
      <c r="D1681" s="43" t="str">
        <f>IFERROR(__xludf.DUMMYFUNCTION("""COMPUTED_VALUE"""),"No")</f>
        <v>No</v>
      </c>
      <c r="E1681" s="43" t="str">
        <f>IFERROR(__xludf.DUMMYFUNCTION("""COMPUTED_VALUE"""),"p_89ff37df7f9111a356d399f27c8e477c72f64f45@inbound.aiesec.org")</f>
        <v>p_89ff37df7f9111a356d399f27c8e477c72f64f45@inbound.aiesec.org</v>
      </c>
      <c r="F1681" s="43">
        <f>IFERROR(__xludf.DUMMYFUNCTION("""COMPUTED_VALUE"""),2.490471E7)</f>
        <v>24904710</v>
      </c>
      <c r="G1681" s="43" t="str">
        <f>IFERROR(__xludf.DUMMYFUNCTION("""COMPUTED_VALUE"""),"Tunisia")</f>
        <v>Tunisia</v>
      </c>
      <c r="H1681" s="43" t="str">
        <f>IFERROR(__xludf.DUMMYFUNCTION("""COMPUTED_VALUE"""),"Carthage")</f>
        <v>Carthage</v>
      </c>
      <c r="I1681" s="43" t="str">
        <f>IFERROR(__xludf.DUMMYFUNCTION("""COMPUTED_VALUE"""),"Turkey")</f>
        <v>Turkey</v>
      </c>
      <c r="J1681" s="43" t="str">
        <f>IFERROR(__xludf.DUMMYFUNCTION("""COMPUTED_VALUE"""),"KOCAELI")</f>
        <v>KOCAELI</v>
      </c>
      <c r="K1681" s="44" t="str">
        <f>IFERROR(__xludf.DUMMYFUNCTION("""COMPUTED_VALUE"""),"https://expa.aiesec.org/opportunities/1298102")</f>
        <v>https://expa.aiesec.org/opportunities/1298102</v>
      </c>
      <c r="L1681" s="43" t="str">
        <f>IFERROR(__xludf.DUMMYFUNCTION("""COMPUTED_VALUE"""),"GV")</f>
        <v>GV</v>
      </c>
      <c r="M1681" s="43" t="str">
        <f>IFERROR(__xludf.DUMMYFUNCTION("""COMPUTED_VALUE"""),"short")</f>
        <v>short</v>
      </c>
      <c r="N1681" s="45">
        <f>IFERROR(__xludf.DUMMYFUNCTION("""COMPUTED_VALUE"""),45257.0)</f>
        <v>45257</v>
      </c>
      <c r="O1681" s="45">
        <f>IFERROR(__xludf.DUMMYFUNCTION("""COMPUTED_VALUE"""),45446.0)</f>
        <v>45446</v>
      </c>
      <c r="P1681" s="45">
        <f>IFERROR(__xludf.DUMMYFUNCTION("""COMPUTED_VALUE"""),45488.0)</f>
        <v>45488</v>
      </c>
      <c r="Q1681" s="45"/>
      <c r="R1681" s="45"/>
      <c r="S1681" s="43"/>
      <c r="T1681" s="43"/>
      <c r="U1681" s="43" t="str">
        <f>IFERROR(__xludf.DUMMYFUNCTION("""COMPUTED_VALUE"""),"Global Classroom")</f>
        <v>Global Classroom</v>
      </c>
      <c r="V1681" s="43" t="str">
        <f>IFERROR(__xludf.DUMMYFUNCTION("""COMPUTED_VALUE"""),"FSJPST")</f>
        <v>FSJPST</v>
      </c>
      <c r="W1681" s="43" t="str">
        <f>IFERROR(__xludf.DUMMYFUNCTION("""COMPUTED_VALUE"""),"2023-11-19T15:00:27Z")</f>
        <v>2023-11-19T15:00:27Z</v>
      </c>
      <c r="X1681" s="43"/>
      <c r="Y1681" s="43"/>
      <c r="Z1681" s="43"/>
    </row>
    <row r="1682" hidden="1">
      <c r="A1682" s="43" t="str">
        <f>IFERROR(__xludf.DUMMYFUNCTION("""COMPUTED_VALUE"""),"5340945_1295745")</f>
        <v>5340945_1295745</v>
      </c>
      <c r="B1682" s="43" t="str">
        <f>IFERROR(__xludf.DUMMYFUNCTION("""COMPUTED_VALUE"""),"Nourhan Eldayash")</f>
        <v>Nourhan Eldayash</v>
      </c>
      <c r="C1682" s="43" t="str">
        <f>IFERROR(__xludf.DUMMYFUNCTION("""COMPUTED_VALUE"""),"realized")</f>
        <v>realized</v>
      </c>
      <c r="D1682" s="43" t="str">
        <f>IFERROR(__xludf.DUMMYFUNCTION("""COMPUTED_VALUE"""),"No")</f>
        <v>No</v>
      </c>
      <c r="E1682" s="43" t="str">
        <f>IFERROR(__xludf.DUMMYFUNCTION("""COMPUTED_VALUE"""),"p_4af04251aaa79036a4814d7a3ba115b6d4bbdd77@inbound.aiesec.org")</f>
        <v>p_4af04251aaa79036a4814d7a3ba115b6d4bbdd77@inbound.aiesec.org</v>
      </c>
      <c r="F1682" s="43">
        <f>IFERROR(__xludf.DUMMYFUNCTION("""COMPUTED_VALUE"""),1.211828542E9)</f>
        <v>1211828542</v>
      </c>
      <c r="G1682" s="43" t="str">
        <f>IFERROR(__xludf.DUMMYFUNCTION("""COMPUTED_VALUE"""),"Egypt")</f>
        <v>Egypt</v>
      </c>
      <c r="H1682" s="43" t="str">
        <f>IFERROR(__xludf.DUMMYFUNCTION("""COMPUTED_VALUE"""),"Alexandria")</f>
        <v>Alexandria</v>
      </c>
      <c r="I1682" s="43" t="str">
        <f>IFERROR(__xludf.DUMMYFUNCTION("""COMPUTED_VALUE"""),"Turkey")</f>
        <v>Turkey</v>
      </c>
      <c r="J1682" s="43" t="str">
        <f>IFERROR(__xludf.DUMMYFUNCTION("""COMPUTED_VALUE"""),"ISTANBUL WEST")</f>
        <v>ISTANBUL WEST</v>
      </c>
      <c r="K1682" s="44" t="str">
        <f>IFERROR(__xludf.DUMMYFUNCTION("""COMPUTED_VALUE"""),"https://expa.aiesec.org/opportunities/1295745")</f>
        <v>https://expa.aiesec.org/opportunities/1295745</v>
      </c>
      <c r="L1682" s="43" t="str">
        <f>IFERROR(__xludf.DUMMYFUNCTION("""COMPUTED_VALUE"""),"GV")</f>
        <v>GV</v>
      </c>
      <c r="M1682" s="43" t="str">
        <f>IFERROR(__xludf.DUMMYFUNCTION("""COMPUTED_VALUE"""),"short")</f>
        <v>short</v>
      </c>
      <c r="N1682" s="45">
        <f>IFERROR(__xludf.DUMMYFUNCTION("""COMPUTED_VALUE"""),45258.0)</f>
        <v>45258</v>
      </c>
      <c r="O1682" s="45">
        <f>IFERROR(__xludf.DUMMYFUNCTION("""COMPUTED_VALUE"""),45271.0)</f>
        <v>45271</v>
      </c>
      <c r="P1682" s="45">
        <f>IFERROR(__xludf.DUMMYFUNCTION("""COMPUTED_VALUE"""),45313.0)</f>
        <v>45313</v>
      </c>
      <c r="Q1682" s="45">
        <f>IFERROR(__xludf.DUMMYFUNCTION("""COMPUTED_VALUE"""),45289.0)</f>
        <v>45289</v>
      </c>
      <c r="R1682" s="45">
        <f>IFERROR(__xludf.DUMMYFUNCTION("""COMPUTED_VALUE"""),45331.0)</f>
        <v>45331</v>
      </c>
      <c r="S1682" s="43"/>
      <c r="T1682" s="43"/>
      <c r="U1682" s="43" t="str">
        <f>IFERROR(__xludf.DUMMYFUNCTION("""COMPUTED_VALUE"""),"Fingerprint")</f>
        <v>Fingerprint</v>
      </c>
      <c r="V1682" s="43" t="str">
        <f>IFERROR(__xludf.DUMMYFUNCTION("""COMPUTED_VALUE"""),"Alexandria University")</f>
        <v>Alexandria University</v>
      </c>
      <c r="W1682" s="43" t="str">
        <f>IFERROR(__xludf.DUMMYFUNCTION("""COMPUTED_VALUE"""),"2023-10-03T12:49:05Z")</f>
        <v>2023-10-03T12:49:05Z</v>
      </c>
      <c r="X1682" s="43"/>
      <c r="Y1682" s="43"/>
      <c r="Z1682" s="43"/>
    </row>
    <row r="1683" hidden="1">
      <c r="A1683" s="43" t="str">
        <f>IFERROR(__xludf.DUMMYFUNCTION("""COMPUTED_VALUE"""),"5348322_1298102")</f>
        <v>5348322_1298102</v>
      </c>
      <c r="B1683" s="43" t="str">
        <f>IFERROR(__xludf.DUMMYFUNCTION("""COMPUTED_VALUE"""),"Yessine Turki")</f>
        <v>Yessine Turki</v>
      </c>
      <c r="C1683" s="43" t="str">
        <f>IFERROR(__xludf.DUMMYFUNCTION("""COMPUTED_VALUE"""),"approved")</f>
        <v>approved</v>
      </c>
      <c r="D1683" s="43" t="str">
        <f>IFERROR(__xludf.DUMMYFUNCTION("""COMPUTED_VALUE"""),"No")</f>
        <v>No</v>
      </c>
      <c r="E1683" s="43" t="str">
        <f>IFERROR(__xludf.DUMMYFUNCTION("""COMPUTED_VALUE"""),"p_a0b53a859deb59f4687b174eb3954d2d5b3945b3@inbound.aiesec.org")</f>
        <v>p_a0b53a859deb59f4687b174eb3954d2d5b3945b3@inbound.aiesec.org</v>
      </c>
      <c r="F1683" s="43">
        <f>IFERROR(__xludf.DUMMYFUNCTION("""COMPUTED_VALUE"""),4.43471E7)</f>
        <v>44347100</v>
      </c>
      <c r="G1683" s="43" t="str">
        <f>IFERROR(__xludf.DUMMYFUNCTION("""COMPUTED_VALUE"""),"Tunisia")</f>
        <v>Tunisia</v>
      </c>
      <c r="H1683" s="43" t="str">
        <f>IFERROR(__xludf.DUMMYFUNCTION("""COMPUTED_VALUE"""),"Carthage")</f>
        <v>Carthage</v>
      </c>
      <c r="I1683" s="43" t="str">
        <f>IFERROR(__xludf.DUMMYFUNCTION("""COMPUTED_VALUE"""),"Turkey")</f>
        <v>Turkey</v>
      </c>
      <c r="J1683" s="43" t="str">
        <f>IFERROR(__xludf.DUMMYFUNCTION("""COMPUTED_VALUE"""),"KOCAELI")</f>
        <v>KOCAELI</v>
      </c>
      <c r="K1683" s="44" t="str">
        <f>IFERROR(__xludf.DUMMYFUNCTION("""COMPUTED_VALUE"""),"https://expa.aiesec.org/opportunities/1298102")</f>
        <v>https://expa.aiesec.org/opportunities/1298102</v>
      </c>
      <c r="L1683" s="43" t="str">
        <f>IFERROR(__xludf.DUMMYFUNCTION("""COMPUTED_VALUE"""),"GV")</f>
        <v>GV</v>
      </c>
      <c r="M1683" s="43" t="str">
        <f>IFERROR(__xludf.DUMMYFUNCTION("""COMPUTED_VALUE"""),"short")</f>
        <v>short</v>
      </c>
      <c r="N1683" s="45">
        <f>IFERROR(__xludf.DUMMYFUNCTION("""COMPUTED_VALUE"""),45258.0)</f>
        <v>45258</v>
      </c>
      <c r="O1683" s="45">
        <f>IFERROR(__xludf.DUMMYFUNCTION("""COMPUTED_VALUE"""),45481.0)</f>
        <v>45481</v>
      </c>
      <c r="P1683" s="45">
        <f>IFERROR(__xludf.DUMMYFUNCTION("""COMPUTED_VALUE"""),45523.0)</f>
        <v>45523</v>
      </c>
      <c r="Q1683" s="45"/>
      <c r="R1683" s="45"/>
      <c r="S1683" s="43"/>
      <c r="T1683" s="43"/>
      <c r="U1683" s="43" t="str">
        <f>IFERROR(__xludf.DUMMYFUNCTION("""COMPUTED_VALUE"""),"Global Classroom")</f>
        <v>Global Classroom</v>
      </c>
      <c r="V1683" s="43" t="str">
        <f>IFERROR(__xludf.DUMMYFUNCTION("""COMPUTED_VALUE"""),"INSAT")</f>
        <v>INSAT</v>
      </c>
      <c r="W1683" s="43" t="str">
        <f>IFERROR(__xludf.DUMMYFUNCTION("""COMPUTED_VALUE"""),"2023-10-10T17:00:47Z")</f>
        <v>2023-10-10T17:00:47Z</v>
      </c>
      <c r="X1683" s="43"/>
      <c r="Y1683" s="43"/>
      <c r="Z1683" s="43"/>
    </row>
    <row r="1684" hidden="1">
      <c r="A1684" s="43" t="str">
        <f>IFERROR(__xludf.DUMMYFUNCTION("""COMPUTED_VALUE"""),"5376367_1293417")</f>
        <v>5376367_1293417</v>
      </c>
      <c r="B1684" s="43" t="str">
        <f>IFERROR(__xludf.DUMMYFUNCTION("""COMPUTED_VALUE"""),"myriam toumi")</f>
        <v>myriam toumi</v>
      </c>
      <c r="C1684" s="43" t="str">
        <f>IFERROR(__xludf.DUMMYFUNCTION("""COMPUTED_VALUE"""),"approved")</f>
        <v>approved</v>
      </c>
      <c r="D1684" s="43" t="str">
        <f>IFERROR(__xludf.DUMMYFUNCTION("""COMPUTED_VALUE"""),"No")</f>
        <v>No</v>
      </c>
      <c r="E1684" s="43" t="str">
        <f>IFERROR(__xludf.DUMMYFUNCTION("""COMPUTED_VALUE"""),"p_75ee8324b229085566d1a8d96cb2382a2b7fae57@inbound.aiesec.org")</f>
        <v>p_75ee8324b229085566d1a8d96cb2382a2b7fae57@inbound.aiesec.org</v>
      </c>
      <c r="F1684" s="43">
        <f>IFERROR(__xludf.DUMMYFUNCTION("""COMPUTED_VALUE"""),2.9497672E7)</f>
        <v>29497672</v>
      </c>
      <c r="G1684" s="43" t="str">
        <f>IFERROR(__xludf.DUMMYFUNCTION("""COMPUTED_VALUE"""),"Tunisia")</f>
        <v>Tunisia</v>
      </c>
      <c r="H1684" s="43" t="str">
        <f>IFERROR(__xludf.DUMMYFUNCTION("""COMPUTED_VALUE"""),"HADRUMET")</f>
        <v>HADRUMET</v>
      </c>
      <c r="I1684" s="43" t="str">
        <f>IFERROR(__xludf.DUMMYFUNCTION("""COMPUTED_VALUE"""),"Turkey")</f>
        <v>Turkey</v>
      </c>
      <c r="J1684" s="43" t="str">
        <f>IFERROR(__xludf.DUMMYFUNCTION("""COMPUTED_VALUE"""),"ISTANBUL")</f>
        <v>ISTANBUL</v>
      </c>
      <c r="K1684" s="44" t="str">
        <f>IFERROR(__xludf.DUMMYFUNCTION("""COMPUTED_VALUE"""),"https://expa.aiesec.org/opportunities/1293417")</f>
        <v>https://expa.aiesec.org/opportunities/1293417</v>
      </c>
      <c r="L1684" s="43" t="str">
        <f>IFERROR(__xludf.DUMMYFUNCTION("""COMPUTED_VALUE"""),"GV")</f>
        <v>GV</v>
      </c>
      <c r="M1684" s="43" t="str">
        <f>IFERROR(__xludf.DUMMYFUNCTION("""COMPUTED_VALUE"""),"short")</f>
        <v>short</v>
      </c>
      <c r="N1684" s="45">
        <f>IFERROR(__xludf.DUMMYFUNCTION("""COMPUTED_VALUE"""),45258.0)</f>
        <v>45258</v>
      </c>
      <c r="O1684" s="45">
        <f>IFERROR(__xludf.DUMMYFUNCTION("""COMPUTED_VALUE"""),45476.0)</f>
        <v>45476</v>
      </c>
      <c r="P1684" s="45">
        <f>IFERROR(__xludf.DUMMYFUNCTION("""COMPUTED_VALUE"""),45518.0)</f>
        <v>45518</v>
      </c>
      <c r="Q1684" s="45"/>
      <c r="R1684" s="45"/>
      <c r="S1684" s="43"/>
      <c r="T1684" s="43"/>
      <c r="U1684" s="43" t="str">
        <f>IFERROR(__xludf.DUMMYFUNCTION("""COMPUTED_VALUE"""),"Global Classroom")</f>
        <v>Global Classroom</v>
      </c>
      <c r="V1684" s="43" t="str">
        <f>IFERROR(__xludf.DUMMYFUNCTION("""COMPUTED_VALUE"""),"UPSAT Sousse")</f>
        <v>UPSAT Sousse</v>
      </c>
      <c r="W1684" s="43" t="str">
        <f>IFERROR(__xludf.DUMMYFUNCTION("""COMPUTED_VALUE"""),"2023-11-20T21:32:19Z")</f>
        <v>2023-11-20T21:32:19Z</v>
      </c>
      <c r="X1684" s="43"/>
      <c r="Y1684" s="43"/>
      <c r="Z1684" s="43"/>
    </row>
    <row r="1685" hidden="1">
      <c r="A1685" s="43" t="str">
        <f>IFERROR(__xludf.DUMMYFUNCTION("""COMPUTED_VALUE"""),"5377533_1293417")</f>
        <v>5377533_1293417</v>
      </c>
      <c r="B1685" s="43" t="str">
        <f>IFERROR(__xludf.DUMMYFUNCTION("""COMPUTED_VALUE"""),"eya mhamdi")</f>
        <v>eya mhamdi</v>
      </c>
      <c r="C1685" s="43" t="str">
        <f>IFERROR(__xludf.DUMMYFUNCTION("""COMPUTED_VALUE"""),"approved")</f>
        <v>approved</v>
      </c>
      <c r="D1685" s="43" t="str">
        <f>IFERROR(__xludf.DUMMYFUNCTION("""COMPUTED_VALUE"""),"No")</f>
        <v>No</v>
      </c>
      <c r="E1685" s="43" t="str">
        <f>IFERROR(__xludf.DUMMYFUNCTION("""COMPUTED_VALUE"""),"p_aec40c7dc2be417056041612ddeb475c4b35fc5d@inbound.aiesec.org")</f>
        <v>p_aec40c7dc2be417056041612ddeb475c4b35fc5d@inbound.aiesec.org</v>
      </c>
      <c r="F1685" s="43">
        <f>IFERROR(__xludf.DUMMYFUNCTION("""COMPUTED_VALUE"""),9.4766307E7)</f>
        <v>94766307</v>
      </c>
      <c r="G1685" s="43" t="str">
        <f>IFERROR(__xludf.DUMMYFUNCTION("""COMPUTED_VALUE"""),"Tunisia")</f>
        <v>Tunisia</v>
      </c>
      <c r="H1685" s="43" t="str">
        <f>IFERROR(__xludf.DUMMYFUNCTION("""COMPUTED_VALUE"""),"Carthage")</f>
        <v>Carthage</v>
      </c>
      <c r="I1685" s="43" t="str">
        <f>IFERROR(__xludf.DUMMYFUNCTION("""COMPUTED_VALUE"""),"Turkey")</f>
        <v>Turkey</v>
      </c>
      <c r="J1685" s="43" t="str">
        <f>IFERROR(__xludf.DUMMYFUNCTION("""COMPUTED_VALUE"""),"ISTANBUL")</f>
        <v>ISTANBUL</v>
      </c>
      <c r="K1685" s="44" t="str">
        <f>IFERROR(__xludf.DUMMYFUNCTION("""COMPUTED_VALUE"""),"https://expa.aiesec.org/opportunities/1293417")</f>
        <v>https://expa.aiesec.org/opportunities/1293417</v>
      </c>
      <c r="L1685" s="43" t="str">
        <f>IFERROR(__xludf.DUMMYFUNCTION("""COMPUTED_VALUE"""),"GV")</f>
        <v>GV</v>
      </c>
      <c r="M1685" s="43" t="str">
        <f>IFERROR(__xludf.DUMMYFUNCTION("""COMPUTED_VALUE"""),"short")</f>
        <v>short</v>
      </c>
      <c r="N1685" s="45">
        <f>IFERROR(__xludf.DUMMYFUNCTION("""COMPUTED_VALUE"""),45259.0)</f>
        <v>45259</v>
      </c>
      <c r="O1685" s="45">
        <f>IFERROR(__xludf.DUMMYFUNCTION("""COMPUTED_VALUE"""),45444.0)</f>
        <v>45444</v>
      </c>
      <c r="P1685" s="45">
        <f>IFERROR(__xludf.DUMMYFUNCTION("""COMPUTED_VALUE"""),45486.0)</f>
        <v>45486</v>
      </c>
      <c r="Q1685" s="45"/>
      <c r="R1685" s="45"/>
      <c r="S1685" s="43"/>
      <c r="T1685" s="43"/>
      <c r="U1685" s="43" t="str">
        <f>IFERROR(__xludf.DUMMYFUNCTION("""COMPUTED_VALUE"""),"Global Classroom")</f>
        <v>Global Classroom</v>
      </c>
      <c r="V1685" s="43" t="str">
        <f>IFERROR(__xludf.DUMMYFUNCTION("""COMPUTED_VALUE"""),"INSAT")</f>
        <v>INSAT</v>
      </c>
      <c r="W1685" s="43" t="str">
        <f>IFERROR(__xludf.DUMMYFUNCTION("""COMPUTED_VALUE"""),"2023-11-22T13:58:49Z")</f>
        <v>2023-11-22T13:58:49Z</v>
      </c>
      <c r="X1685" s="43"/>
      <c r="Y1685" s="43"/>
      <c r="Z1685" s="43"/>
    </row>
    <row r="1686" hidden="1">
      <c r="A1686" s="43" t="str">
        <f>IFERROR(__xludf.DUMMYFUNCTION("""COMPUTED_VALUE"""),"5381003_1289347")</f>
        <v>5381003_1289347</v>
      </c>
      <c r="B1686" s="43" t="str">
        <f>IFERROR(__xludf.DUMMYFUNCTION("""COMPUTED_VALUE"""),"Rokaia Ashraf")</f>
        <v>Rokaia Ashraf</v>
      </c>
      <c r="C1686" s="43" t="str">
        <f>IFERROR(__xludf.DUMMYFUNCTION("""COMPUTED_VALUE"""),"approved")</f>
        <v>approved</v>
      </c>
      <c r="D1686" s="43" t="str">
        <f>IFERROR(__xludf.DUMMYFUNCTION("""COMPUTED_VALUE"""),"No")</f>
        <v>No</v>
      </c>
      <c r="E1686" s="43" t="str">
        <f>IFERROR(__xludf.DUMMYFUNCTION("""COMPUTED_VALUE"""),"p_afa82e091329453420dc90538dad7c0202b14d69@inbound.aiesec.org")</f>
        <v>p_afa82e091329453420dc90538dad7c0202b14d69@inbound.aiesec.org</v>
      </c>
      <c r="F1686" s="43">
        <f>IFERROR(__xludf.DUMMYFUNCTION("""COMPUTED_VALUE"""),1.110616996E9)</f>
        <v>1110616996</v>
      </c>
      <c r="G1686" s="43" t="str">
        <f>IFERROR(__xludf.DUMMYFUNCTION("""COMPUTED_VALUE"""),"Egypt")</f>
        <v>Egypt</v>
      </c>
      <c r="H1686" s="43" t="str">
        <f>IFERROR(__xludf.DUMMYFUNCTION("""COMPUTED_VALUE"""),"MUST")</f>
        <v>MUST</v>
      </c>
      <c r="I1686" s="43" t="str">
        <f>IFERROR(__xludf.DUMMYFUNCTION("""COMPUTED_VALUE"""),"Turkey")</f>
        <v>Turkey</v>
      </c>
      <c r="J1686" s="43" t="str">
        <f>IFERROR(__xludf.DUMMYFUNCTION("""COMPUTED_VALUE"""),"ADANA")</f>
        <v>ADANA</v>
      </c>
      <c r="K1686" s="44" t="str">
        <f>IFERROR(__xludf.DUMMYFUNCTION("""COMPUTED_VALUE"""),"https://expa.aiesec.org/opportunities/1289347")</f>
        <v>https://expa.aiesec.org/opportunities/1289347</v>
      </c>
      <c r="L1686" s="43" t="str">
        <f>IFERROR(__xludf.DUMMYFUNCTION("""COMPUTED_VALUE"""),"GV")</f>
        <v>GV</v>
      </c>
      <c r="M1686" s="43" t="str">
        <f>IFERROR(__xludf.DUMMYFUNCTION("""COMPUTED_VALUE"""),"short")</f>
        <v>short</v>
      </c>
      <c r="N1686" s="45">
        <f>IFERROR(__xludf.DUMMYFUNCTION("""COMPUTED_VALUE"""),45259.0)</f>
        <v>45259</v>
      </c>
      <c r="O1686" s="45">
        <f>IFERROR(__xludf.DUMMYFUNCTION("""COMPUTED_VALUE"""),45474.0)</f>
        <v>45474</v>
      </c>
      <c r="P1686" s="45">
        <f>IFERROR(__xludf.DUMMYFUNCTION("""COMPUTED_VALUE"""),45516.0)</f>
        <v>45516</v>
      </c>
      <c r="Q1686" s="45"/>
      <c r="R1686" s="45"/>
      <c r="S1686" s="43"/>
      <c r="T1686" s="43"/>
      <c r="U1686" s="43" t="str">
        <f>IFERROR(__xludf.DUMMYFUNCTION("""COMPUTED_VALUE"""),"Global Classroom")</f>
        <v>Global Classroom</v>
      </c>
      <c r="V1686" s="43" t="str">
        <f>IFERROR(__xludf.DUMMYFUNCTION("""COMPUTED_VALUE"""),"MUST University")</f>
        <v>MUST University</v>
      </c>
      <c r="W1686" s="43" t="str">
        <f>IFERROR(__xludf.DUMMYFUNCTION("""COMPUTED_VALUE"""),"2023-11-27T17:26:55Z")</f>
        <v>2023-11-27T17:26:55Z</v>
      </c>
      <c r="X1686" s="43"/>
      <c r="Y1686" s="43"/>
      <c r="Z1686" s="43"/>
    </row>
    <row r="1687" hidden="1">
      <c r="A1687" s="43" t="str">
        <f>IFERROR(__xludf.DUMMYFUNCTION("""COMPUTED_VALUE"""),"5357327_1287966")</f>
        <v>5357327_1287966</v>
      </c>
      <c r="B1687" s="43" t="str">
        <f>IFERROR(__xludf.DUMMYFUNCTION("""COMPUTED_VALUE"""),"Vu Bao Han Dao")</f>
        <v>Vu Bao Han Dao</v>
      </c>
      <c r="C1687" s="43" t="str">
        <f>IFERROR(__xludf.DUMMYFUNCTION("""COMPUTED_VALUE"""),"approved")</f>
        <v>approved</v>
      </c>
      <c r="D1687" s="43" t="str">
        <f>IFERROR(__xludf.DUMMYFUNCTION("""COMPUTED_VALUE"""),"No")</f>
        <v>No</v>
      </c>
      <c r="E1687" s="43" t="str">
        <f>IFERROR(__xludf.DUMMYFUNCTION("""COMPUTED_VALUE"""),"p_3f28b86326a34dc6f7d31d169bff679107f60bde@inbound.aiesec.org")</f>
        <v>p_3f28b86326a34dc6f7d31d169bff679107f60bde@inbound.aiesec.org</v>
      </c>
      <c r="F1687" s="43"/>
      <c r="G1687" s="43" t="str">
        <f>IFERROR(__xludf.DUMMYFUNCTION("""COMPUTED_VALUE"""),"Germany")</f>
        <v>Germany</v>
      </c>
      <c r="H1687" s="43" t="str">
        <f>IFERROR(__xludf.DUMMYFUNCTION("""COMPUTED_VALUE"""),"PADERBORN")</f>
        <v>PADERBORN</v>
      </c>
      <c r="I1687" s="43" t="str">
        <f>IFERROR(__xludf.DUMMYFUNCTION("""COMPUTED_VALUE"""),"Turkey")</f>
        <v>Turkey</v>
      </c>
      <c r="J1687" s="43" t="str">
        <f>IFERROR(__xludf.DUMMYFUNCTION("""COMPUTED_VALUE"""),"ISTANBUL")</f>
        <v>ISTANBUL</v>
      </c>
      <c r="K1687" s="44" t="str">
        <f>IFERROR(__xludf.DUMMYFUNCTION("""COMPUTED_VALUE"""),"https://expa.aiesec.org/opportunities/1287966")</f>
        <v>https://expa.aiesec.org/opportunities/1287966</v>
      </c>
      <c r="L1687" s="43" t="str">
        <f>IFERROR(__xludf.DUMMYFUNCTION("""COMPUTED_VALUE"""),"GV")</f>
        <v>GV</v>
      </c>
      <c r="M1687" s="43" t="str">
        <f>IFERROR(__xludf.DUMMYFUNCTION("""COMPUTED_VALUE"""),"short")</f>
        <v>short</v>
      </c>
      <c r="N1687" s="45">
        <f>IFERROR(__xludf.DUMMYFUNCTION("""COMPUTED_VALUE"""),45259.0)</f>
        <v>45259</v>
      </c>
      <c r="O1687" s="45">
        <f>IFERROR(__xludf.DUMMYFUNCTION("""COMPUTED_VALUE"""),45333.0)</f>
        <v>45333</v>
      </c>
      <c r="P1687" s="45">
        <f>IFERROR(__xludf.DUMMYFUNCTION("""COMPUTED_VALUE"""),45375.0)</f>
        <v>45375</v>
      </c>
      <c r="Q1687" s="45"/>
      <c r="R1687" s="45"/>
      <c r="S1687" s="43"/>
      <c r="T1687" s="43"/>
      <c r="U1687" s="43" t="str">
        <f>IFERROR(__xludf.DUMMYFUNCTION("""COMPUTED_VALUE"""),"Heartbeat")</f>
        <v>Heartbeat</v>
      </c>
      <c r="V1687" s="43" t="str">
        <f>IFERROR(__xludf.DUMMYFUNCTION("""COMPUTED_VALUE"""),"-")</f>
        <v>-</v>
      </c>
      <c r="W1687" s="43" t="str">
        <f>IFERROR(__xludf.DUMMYFUNCTION("""COMPUTED_VALUE"""),"2023-10-22T14:52:38Z")</f>
        <v>2023-10-22T14:52:38Z</v>
      </c>
      <c r="X1687" s="43"/>
      <c r="Y1687" s="43"/>
      <c r="Z1687" s="43"/>
    </row>
    <row r="1688" hidden="1">
      <c r="A1688" s="43" t="str">
        <f>IFERROR(__xludf.DUMMYFUNCTION("""COMPUTED_VALUE"""),"5380095_1289347")</f>
        <v>5380095_1289347</v>
      </c>
      <c r="B1688" s="43" t="str">
        <f>IFERROR(__xludf.DUMMYFUNCTION("""COMPUTED_VALUE"""),"Nana Abdallah")</f>
        <v>Nana Abdallah</v>
      </c>
      <c r="C1688" s="43" t="str">
        <f>IFERROR(__xludf.DUMMYFUNCTION("""COMPUTED_VALUE"""),"approved")</f>
        <v>approved</v>
      </c>
      <c r="D1688" s="43" t="str">
        <f>IFERROR(__xludf.DUMMYFUNCTION("""COMPUTED_VALUE"""),"No")</f>
        <v>No</v>
      </c>
      <c r="E1688" s="43" t="str">
        <f>IFERROR(__xludf.DUMMYFUNCTION("""COMPUTED_VALUE"""),"p_61865c48df5e91edff3e7191f95be9ad2312f7ca@inbound.aiesec.org")</f>
        <v>p_61865c48df5e91edff3e7191f95be9ad2312f7ca@inbound.aiesec.org</v>
      </c>
      <c r="F1688" s="43">
        <f>IFERROR(__xludf.DUMMYFUNCTION("""COMPUTED_VALUE"""),1.011336411E9)</f>
        <v>1011336411</v>
      </c>
      <c r="G1688" s="43" t="str">
        <f>IFERROR(__xludf.DUMMYFUNCTION("""COMPUTED_VALUE"""),"Egypt")</f>
        <v>Egypt</v>
      </c>
      <c r="H1688" s="43" t="str">
        <f>IFERROR(__xludf.DUMMYFUNCTION("""COMPUTED_VALUE"""),"MUST")</f>
        <v>MUST</v>
      </c>
      <c r="I1688" s="43" t="str">
        <f>IFERROR(__xludf.DUMMYFUNCTION("""COMPUTED_VALUE"""),"Turkey")</f>
        <v>Turkey</v>
      </c>
      <c r="J1688" s="43" t="str">
        <f>IFERROR(__xludf.DUMMYFUNCTION("""COMPUTED_VALUE"""),"ADANA")</f>
        <v>ADANA</v>
      </c>
      <c r="K1688" s="44" t="str">
        <f>IFERROR(__xludf.DUMMYFUNCTION("""COMPUTED_VALUE"""),"https://expa.aiesec.org/opportunities/1289347")</f>
        <v>https://expa.aiesec.org/opportunities/1289347</v>
      </c>
      <c r="L1688" s="43" t="str">
        <f>IFERROR(__xludf.DUMMYFUNCTION("""COMPUTED_VALUE"""),"GV")</f>
        <v>GV</v>
      </c>
      <c r="M1688" s="43" t="str">
        <f>IFERROR(__xludf.DUMMYFUNCTION("""COMPUTED_VALUE"""),"short")</f>
        <v>short</v>
      </c>
      <c r="N1688" s="45">
        <f>IFERROR(__xludf.DUMMYFUNCTION("""COMPUTED_VALUE"""),45259.0)</f>
        <v>45259</v>
      </c>
      <c r="O1688" s="45">
        <f>IFERROR(__xludf.DUMMYFUNCTION("""COMPUTED_VALUE"""),45474.0)</f>
        <v>45474</v>
      </c>
      <c r="P1688" s="45">
        <f>IFERROR(__xludf.DUMMYFUNCTION("""COMPUTED_VALUE"""),45516.0)</f>
        <v>45516</v>
      </c>
      <c r="Q1688" s="45"/>
      <c r="R1688" s="45"/>
      <c r="S1688" s="43"/>
      <c r="T1688" s="43"/>
      <c r="U1688" s="43" t="str">
        <f>IFERROR(__xludf.DUMMYFUNCTION("""COMPUTED_VALUE"""),"Global Classroom")</f>
        <v>Global Classroom</v>
      </c>
      <c r="V1688" s="43" t="str">
        <f>IFERROR(__xludf.DUMMYFUNCTION("""COMPUTED_VALUE"""),"MUST University")</f>
        <v>MUST University</v>
      </c>
      <c r="W1688" s="43" t="str">
        <f>IFERROR(__xludf.DUMMYFUNCTION("""COMPUTED_VALUE"""),"2023-11-26T10:56:08Z")</f>
        <v>2023-11-26T10:56:08Z</v>
      </c>
      <c r="X1688" s="43"/>
      <c r="Y1688" s="43"/>
      <c r="Z1688" s="43"/>
    </row>
    <row r="1689" hidden="1">
      <c r="A1689" s="43" t="str">
        <f>IFERROR(__xludf.DUMMYFUNCTION("""COMPUTED_VALUE"""),"5378844_1289597")</f>
        <v>5378844_1289597</v>
      </c>
      <c r="B1689" s="43" t="str">
        <f>IFERROR(__xludf.DUMMYFUNCTION("""COMPUTED_VALUE"""),"Douaa Limame")</f>
        <v>Douaa Limame</v>
      </c>
      <c r="C1689" s="43" t="str">
        <f>IFERROR(__xludf.DUMMYFUNCTION("""COMPUTED_VALUE"""),"approved")</f>
        <v>approved</v>
      </c>
      <c r="D1689" s="43" t="str">
        <f>IFERROR(__xludf.DUMMYFUNCTION("""COMPUTED_VALUE"""),"No")</f>
        <v>No</v>
      </c>
      <c r="E1689" s="43" t="str">
        <f>IFERROR(__xludf.DUMMYFUNCTION("""COMPUTED_VALUE"""),"p_dd94dc29e624ffa7a86799561b91b6d6350024dd@inbound.aiesec.org")</f>
        <v>p_dd94dc29e624ffa7a86799561b91b6d6350024dd@inbound.aiesec.org</v>
      </c>
      <c r="F1689" s="43">
        <f>IFERROR(__xludf.DUMMYFUNCTION("""COMPUTED_VALUE"""),5.8357022E7)</f>
        <v>58357022</v>
      </c>
      <c r="G1689" s="43" t="str">
        <f>IFERROR(__xludf.DUMMYFUNCTION("""COMPUTED_VALUE"""),"Tunisia")</f>
        <v>Tunisia</v>
      </c>
      <c r="H1689" s="43" t="str">
        <f>IFERROR(__xludf.DUMMYFUNCTION("""COMPUTED_VALUE"""),"BARDO")</f>
        <v>BARDO</v>
      </c>
      <c r="I1689" s="43" t="str">
        <f>IFERROR(__xludf.DUMMYFUNCTION("""COMPUTED_VALUE"""),"Turkey")</f>
        <v>Turkey</v>
      </c>
      <c r="J1689" s="43" t="str">
        <f>IFERROR(__xludf.DUMMYFUNCTION("""COMPUTED_VALUE"""),"ISPARTA")</f>
        <v>ISPARTA</v>
      </c>
      <c r="K1689" s="44" t="str">
        <f>IFERROR(__xludf.DUMMYFUNCTION("""COMPUTED_VALUE"""),"https://expa.aiesec.org/opportunities/1289597")</f>
        <v>https://expa.aiesec.org/opportunities/1289597</v>
      </c>
      <c r="L1689" s="43" t="str">
        <f>IFERROR(__xludf.DUMMYFUNCTION("""COMPUTED_VALUE"""),"GV")</f>
        <v>GV</v>
      </c>
      <c r="M1689" s="43" t="str">
        <f>IFERROR(__xludf.DUMMYFUNCTION("""COMPUTED_VALUE"""),"short")</f>
        <v>short</v>
      </c>
      <c r="N1689" s="45">
        <f>IFERROR(__xludf.DUMMYFUNCTION("""COMPUTED_VALUE"""),45259.0)</f>
        <v>45259</v>
      </c>
      <c r="O1689" s="45">
        <f>IFERROR(__xludf.DUMMYFUNCTION("""COMPUTED_VALUE"""),45452.0)</f>
        <v>45452</v>
      </c>
      <c r="P1689" s="45">
        <f>IFERROR(__xludf.DUMMYFUNCTION("""COMPUTED_VALUE"""),45494.0)</f>
        <v>45494</v>
      </c>
      <c r="Q1689" s="45"/>
      <c r="R1689" s="45"/>
      <c r="S1689" s="43"/>
      <c r="T1689" s="43"/>
      <c r="U1689" s="43" t="str">
        <f>IFERROR(__xludf.DUMMYFUNCTION("""COMPUTED_VALUE"""),"Global Classroom")</f>
        <v>Global Classroom</v>
      </c>
      <c r="V1689" s="43" t="str">
        <f>IFERROR(__xludf.DUMMYFUNCTION("""COMPUTED_VALUE"""),"ESPRIT El Ghazela ")</f>
        <v>ESPRIT El Ghazela </v>
      </c>
      <c r="W1689" s="43" t="str">
        <f>IFERROR(__xludf.DUMMYFUNCTION("""COMPUTED_VALUE"""),"2023-11-24T07:44:01Z")</f>
        <v>2023-11-24T07:44:01Z</v>
      </c>
      <c r="X1689" s="43"/>
      <c r="Y1689" s="43"/>
      <c r="Z1689" s="43"/>
    </row>
    <row r="1690" hidden="1">
      <c r="A1690" s="43" t="str">
        <f>IFERROR(__xludf.DUMMYFUNCTION("""COMPUTED_VALUE"""),"5381106_1300178")</f>
        <v>5381106_1300178</v>
      </c>
      <c r="B1690" s="43" t="str">
        <f>IFERROR(__xludf.DUMMYFUNCTION("""COMPUTED_VALUE"""),"Dong Wanjun")</f>
        <v>Dong Wanjun</v>
      </c>
      <c r="C1690" s="43" t="str">
        <f>IFERROR(__xludf.DUMMYFUNCTION("""COMPUTED_VALUE"""),"approved")</f>
        <v>approved</v>
      </c>
      <c r="D1690" s="43" t="str">
        <f>IFERROR(__xludf.DUMMYFUNCTION("""COMPUTED_VALUE"""),"No")</f>
        <v>No</v>
      </c>
      <c r="E1690" s="43" t="str">
        <f>IFERROR(__xludf.DUMMYFUNCTION("""COMPUTED_VALUE"""),"p_816abf9b2d4be5e8b7fc7ed8c11161b75ef71a9e@inbound.aiesec.org")</f>
        <v>p_816abf9b2d4be5e8b7fc7ed8c11161b75ef71a9e@inbound.aiesec.org</v>
      </c>
      <c r="F1690" s="43">
        <f>IFERROR(__xludf.DUMMYFUNCTION("""COMPUTED_VALUE"""),1.5154656203E10)</f>
        <v>15154656203</v>
      </c>
      <c r="G1690" s="43" t="str">
        <f>IFERROR(__xludf.DUMMYFUNCTION("""COMPUTED_VALUE"""),"Germany")</f>
        <v>Germany</v>
      </c>
      <c r="H1690" s="43" t="str">
        <f>IFERROR(__xludf.DUMMYFUNCTION("""COMPUTED_VALUE"""),"PASSAU")</f>
        <v>PASSAU</v>
      </c>
      <c r="I1690" s="43" t="str">
        <f>IFERROR(__xludf.DUMMYFUNCTION("""COMPUTED_VALUE"""),"Turkey")</f>
        <v>Turkey</v>
      </c>
      <c r="J1690" s="43" t="str">
        <f>IFERROR(__xludf.DUMMYFUNCTION("""COMPUTED_VALUE"""),"İZMİR")</f>
        <v>İZMİR</v>
      </c>
      <c r="K1690" s="44" t="str">
        <f>IFERROR(__xludf.DUMMYFUNCTION("""COMPUTED_VALUE"""),"https://expa.aiesec.org/opportunities/1300178")</f>
        <v>https://expa.aiesec.org/opportunities/1300178</v>
      </c>
      <c r="L1690" s="43" t="str">
        <f>IFERROR(__xludf.DUMMYFUNCTION("""COMPUTED_VALUE"""),"GV")</f>
        <v>GV</v>
      </c>
      <c r="M1690" s="43" t="str">
        <f>IFERROR(__xludf.DUMMYFUNCTION("""COMPUTED_VALUE"""),"short")</f>
        <v>short</v>
      </c>
      <c r="N1690" s="45">
        <f>IFERROR(__xludf.DUMMYFUNCTION("""COMPUTED_VALUE"""),45259.0)</f>
        <v>45259</v>
      </c>
      <c r="O1690" s="45">
        <f>IFERROR(__xludf.DUMMYFUNCTION("""COMPUTED_VALUE"""),45347.0)</f>
        <v>45347</v>
      </c>
      <c r="P1690" s="45">
        <f>IFERROR(__xludf.DUMMYFUNCTION("""COMPUTED_VALUE"""),45389.0)</f>
        <v>45389</v>
      </c>
      <c r="Q1690" s="45"/>
      <c r="R1690" s="45"/>
      <c r="S1690" s="43"/>
      <c r="T1690" s="43"/>
      <c r="U1690" s="43" t="str">
        <f>IFERROR(__xludf.DUMMYFUNCTION("""COMPUTED_VALUE"""),"Fingerprint")</f>
        <v>Fingerprint</v>
      </c>
      <c r="V1690" s="43" t="str">
        <f>IFERROR(__xludf.DUMMYFUNCTION("""COMPUTED_VALUE"""),"Passau")</f>
        <v>Passau</v>
      </c>
      <c r="W1690" s="43" t="str">
        <f>IFERROR(__xludf.DUMMYFUNCTION("""COMPUTED_VALUE"""),"2023-11-27T21:01:50Z")</f>
        <v>2023-11-27T21:01:50Z</v>
      </c>
      <c r="X1690" s="43"/>
      <c r="Y1690" s="43"/>
      <c r="Z1690" s="43"/>
    </row>
    <row r="1691" hidden="1">
      <c r="A1691" s="43" t="str">
        <f>IFERROR(__xludf.DUMMYFUNCTION("""COMPUTED_VALUE"""),"5381084_1294584")</f>
        <v>5381084_1294584</v>
      </c>
      <c r="B1691" s="43" t="str">
        <f>IFERROR(__xludf.DUMMYFUNCTION("""COMPUTED_VALUE"""),"Daryna Mahdii")</f>
        <v>Daryna Mahdii</v>
      </c>
      <c r="C1691" s="43" t="str">
        <f>IFERROR(__xludf.DUMMYFUNCTION("""COMPUTED_VALUE"""),"approved")</f>
        <v>approved</v>
      </c>
      <c r="D1691" s="43" t="str">
        <f>IFERROR(__xludf.DUMMYFUNCTION("""COMPUTED_VALUE"""),"No")</f>
        <v>No</v>
      </c>
      <c r="E1691" s="43" t="str">
        <f>IFERROR(__xludf.DUMMYFUNCTION("""COMPUTED_VALUE"""),"p_fb95c852b2fe77583ea000b85aca248af0068ae6@inbound.aiesec.org")</f>
        <v>p_fb95c852b2fe77583ea000b85aca248af0068ae6@inbound.aiesec.org</v>
      </c>
      <c r="F1691" s="43">
        <f>IFERROR(__xludf.DUMMYFUNCTION("""COMPUTED_VALUE"""),6.89308783E8)</f>
        <v>689308783</v>
      </c>
      <c r="G1691" s="43" t="str">
        <f>IFERROR(__xludf.DUMMYFUNCTION("""COMPUTED_VALUE"""),"Ukraine")</f>
        <v>Ukraine</v>
      </c>
      <c r="H1691" s="43" t="str">
        <f>IFERROR(__xludf.DUMMYFUNCTION("""COMPUTED_VALUE"""),"TERNOPIL")</f>
        <v>TERNOPIL</v>
      </c>
      <c r="I1691" s="43" t="str">
        <f>IFERROR(__xludf.DUMMYFUNCTION("""COMPUTED_VALUE"""),"Turkey")</f>
        <v>Turkey</v>
      </c>
      <c r="J1691" s="43" t="str">
        <f>IFERROR(__xludf.DUMMYFUNCTION("""COMPUTED_VALUE"""),"ANTALYA")</f>
        <v>ANTALYA</v>
      </c>
      <c r="K1691" s="44" t="str">
        <f>IFERROR(__xludf.DUMMYFUNCTION("""COMPUTED_VALUE"""),"https://expa.aiesec.org/opportunities/1294584")</f>
        <v>https://expa.aiesec.org/opportunities/1294584</v>
      </c>
      <c r="L1691" s="43" t="str">
        <f>IFERROR(__xludf.DUMMYFUNCTION("""COMPUTED_VALUE"""),"GV")</f>
        <v>GV</v>
      </c>
      <c r="M1691" s="43" t="str">
        <f>IFERROR(__xludf.DUMMYFUNCTION("""COMPUTED_VALUE"""),"short")</f>
        <v>short</v>
      </c>
      <c r="N1691" s="45">
        <f>IFERROR(__xludf.DUMMYFUNCTION("""COMPUTED_VALUE"""),45259.0)</f>
        <v>45259</v>
      </c>
      <c r="O1691" s="45">
        <f>IFERROR(__xludf.DUMMYFUNCTION("""COMPUTED_VALUE"""),45509.0)</f>
        <v>45509</v>
      </c>
      <c r="P1691" s="45">
        <f>IFERROR(__xludf.DUMMYFUNCTION("""COMPUTED_VALUE"""),45551.0)</f>
        <v>45551</v>
      </c>
      <c r="Q1691" s="45"/>
      <c r="R1691" s="45"/>
      <c r="S1691" s="43"/>
      <c r="T1691" s="43"/>
      <c r="U1691" s="43" t="str">
        <f>IFERROR(__xludf.DUMMYFUNCTION("""COMPUTED_VALUE"""),"Youth 4 Impact")</f>
        <v>Youth 4 Impact</v>
      </c>
      <c r="V1691" s="43" t="str">
        <f>IFERROR(__xludf.DUMMYFUNCTION("""COMPUTED_VALUE"""),"Ternopil")</f>
        <v>Ternopil</v>
      </c>
      <c r="W1691" s="43" t="str">
        <f>IFERROR(__xludf.DUMMYFUNCTION("""COMPUTED_VALUE"""),"2023-11-27T20:24:32Z")</f>
        <v>2023-11-27T20:24:32Z</v>
      </c>
      <c r="X1691" s="43"/>
      <c r="Y1691" s="43"/>
      <c r="Z1691" s="43"/>
    </row>
    <row r="1692" hidden="1">
      <c r="A1692" s="43" t="str">
        <f>IFERROR(__xludf.DUMMYFUNCTION("""COMPUTED_VALUE"""),"5371484_1300178")</f>
        <v>5371484_1300178</v>
      </c>
      <c r="B1692" s="43" t="str">
        <f>IFERROR(__xludf.DUMMYFUNCTION("""COMPUTED_VALUE"""),"Yunfeifei Mo")</f>
        <v>Yunfeifei Mo</v>
      </c>
      <c r="C1692" s="43" t="str">
        <f>IFERROR(__xludf.DUMMYFUNCTION("""COMPUTED_VALUE"""),"approved")</f>
        <v>approved</v>
      </c>
      <c r="D1692" s="43" t="str">
        <f>IFERROR(__xludf.DUMMYFUNCTION("""COMPUTED_VALUE"""),"No")</f>
        <v>No</v>
      </c>
      <c r="E1692" s="43" t="str">
        <f>IFERROR(__xludf.DUMMYFUNCTION("""COMPUTED_VALUE"""),"p_e42407658cc4661ca57e954200db8b6b1abe0438@inbound.aiesec.org")</f>
        <v>p_e42407658cc4661ca57e954200db8b6b1abe0438@inbound.aiesec.org</v>
      </c>
      <c r="F1692" s="43">
        <f>IFERROR(__xludf.DUMMYFUNCTION("""COMPUTED_VALUE"""),1.5231650942E10)</f>
        <v>15231650942</v>
      </c>
      <c r="G1692" s="43" t="str">
        <f>IFERROR(__xludf.DUMMYFUNCTION("""COMPUTED_VALUE"""),"Germany")</f>
        <v>Germany</v>
      </c>
      <c r="H1692" s="43" t="str">
        <f>IFERROR(__xludf.DUMMYFUNCTION("""COMPUTED_VALUE"""),"PASSAU")</f>
        <v>PASSAU</v>
      </c>
      <c r="I1692" s="43" t="str">
        <f>IFERROR(__xludf.DUMMYFUNCTION("""COMPUTED_VALUE"""),"Turkey")</f>
        <v>Turkey</v>
      </c>
      <c r="J1692" s="43" t="str">
        <f>IFERROR(__xludf.DUMMYFUNCTION("""COMPUTED_VALUE"""),"İZMİR")</f>
        <v>İZMİR</v>
      </c>
      <c r="K1692" s="44" t="str">
        <f>IFERROR(__xludf.DUMMYFUNCTION("""COMPUTED_VALUE"""),"https://expa.aiesec.org/opportunities/1300178")</f>
        <v>https://expa.aiesec.org/opportunities/1300178</v>
      </c>
      <c r="L1692" s="43" t="str">
        <f>IFERROR(__xludf.DUMMYFUNCTION("""COMPUTED_VALUE"""),"GV")</f>
        <v>GV</v>
      </c>
      <c r="M1692" s="43" t="str">
        <f>IFERROR(__xludf.DUMMYFUNCTION("""COMPUTED_VALUE"""),"short")</f>
        <v>short</v>
      </c>
      <c r="N1692" s="45">
        <f>IFERROR(__xludf.DUMMYFUNCTION("""COMPUTED_VALUE"""),45259.0)</f>
        <v>45259</v>
      </c>
      <c r="O1692" s="45">
        <f>IFERROR(__xludf.DUMMYFUNCTION("""COMPUTED_VALUE"""),45347.0)</f>
        <v>45347</v>
      </c>
      <c r="P1692" s="45">
        <f>IFERROR(__xludf.DUMMYFUNCTION("""COMPUTED_VALUE"""),45389.0)</f>
        <v>45389</v>
      </c>
      <c r="Q1692" s="45"/>
      <c r="R1692" s="45"/>
      <c r="S1692" s="43"/>
      <c r="T1692" s="43"/>
      <c r="U1692" s="43" t="str">
        <f>IFERROR(__xludf.DUMMYFUNCTION("""COMPUTED_VALUE"""),"Fingerprint")</f>
        <v>Fingerprint</v>
      </c>
      <c r="V1692" s="43" t="str">
        <f>IFERROR(__xludf.DUMMYFUNCTION("""COMPUTED_VALUE"""),"Passau")</f>
        <v>Passau</v>
      </c>
      <c r="W1692" s="43" t="str">
        <f>IFERROR(__xludf.DUMMYFUNCTION("""COMPUTED_VALUE"""),"2023-11-13T11:46:52Z")</f>
        <v>2023-11-13T11:46:52Z</v>
      </c>
      <c r="X1692" s="43"/>
      <c r="Y1692" s="43"/>
      <c r="Z1692" s="43"/>
    </row>
    <row r="1693" hidden="1">
      <c r="A1693" s="43" t="str">
        <f>IFERROR(__xludf.DUMMYFUNCTION("""COMPUTED_VALUE"""),"5369352_1288970")</f>
        <v>5369352_1288970</v>
      </c>
      <c r="B1693" s="43" t="str">
        <f>IFERROR(__xludf.DUMMYFUNCTION("""COMPUTED_VALUE"""),"ahmed sherief")</f>
        <v>ahmed sherief</v>
      </c>
      <c r="C1693" s="43" t="str">
        <f>IFERROR(__xludf.DUMMYFUNCTION("""COMPUTED_VALUE"""),"approved")</f>
        <v>approved</v>
      </c>
      <c r="D1693" s="43" t="str">
        <f>IFERROR(__xludf.DUMMYFUNCTION("""COMPUTED_VALUE"""),"No")</f>
        <v>No</v>
      </c>
      <c r="E1693" s="43" t="str">
        <f>IFERROR(__xludf.DUMMYFUNCTION("""COMPUTED_VALUE"""),"p_acccf63ac4e58a84f10a04589a82bfd3e79d0a07@inbound.aiesec.org")</f>
        <v>p_acccf63ac4e58a84f10a04589a82bfd3e79d0a07@inbound.aiesec.org</v>
      </c>
      <c r="F1693" s="43"/>
      <c r="G1693" s="43" t="str">
        <f>IFERROR(__xludf.DUMMYFUNCTION("""COMPUTED_VALUE"""),"Egypt")</f>
        <v>Egypt</v>
      </c>
      <c r="H1693" s="43" t="str">
        <f>IFERROR(__xludf.DUMMYFUNCTION("""COMPUTED_VALUE"""),"Market expansion")</f>
        <v>Market expansion</v>
      </c>
      <c r="I1693" s="43" t="str">
        <f>IFERROR(__xludf.DUMMYFUNCTION("""COMPUTED_VALUE"""),"Turkey")</f>
        <v>Turkey</v>
      </c>
      <c r="J1693" s="43" t="str">
        <f>IFERROR(__xludf.DUMMYFUNCTION("""COMPUTED_VALUE"""),"İZMİR")</f>
        <v>İZMİR</v>
      </c>
      <c r="K1693" s="44" t="str">
        <f>IFERROR(__xludf.DUMMYFUNCTION("""COMPUTED_VALUE"""),"https://expa.aiesec.org/opportunities/1288970")</f>
        <v>https://expa.aiesec.org/opportunities/1288970</v>
      </c>
      <c r="L1693" s="43" t="str">
        <f>IFERROR(__xludf.DUMMYFUNCTION("""COMPUTED_VALUE"""),"GV")</f>
        <v>GV</v>
      </c>
      <c r="M1693" s="43" t="str">
        <f>IFERROR(__xludf.DUMMYFUNCTION("""COMPUTED_VALUE"""),"short")</f>
        <v>short</v>
      </c>
      <c r="N1693" s="45">
        <f>IFERROR(__xludf.DUMMYFUNCTION("""COMPUTED_VALUE"""),45259.0)</f>
        <v>45259</v>
      </c>
      <c r="O1693" s="45">
        <f>IFERROR(__xludf.DUMMYFUNCTION("""COMPUTED_VALUE"""),45509.0)</f>
        <v>45509</v>
      </c>
      <c r="P1693" s="45">
        <f>IFERROR(__xludf.DUMMYFUNCTION("""COMPUTED_VALUE"""),45551.0)</f>
        <v>45551</v>
      </c>
      <c r="Q1693" s="45"/>
      <c r="R1693" s="45"/>
      <c r="S1693" s="43"/>
      <c r="T1693" s="43"/>
      <c r="U1693" s="43" t="str">
        <f>IFERROR(__xludf.DUMMYFUNCTION("""COMPUTED_VALUE"""),"Fingerprint")</f>
        <v>Fingerprint</v>
      </c>
      <c r="V1693" s="43" t="str">
        <f>IFERROR(__xludf.DUMMYFUNCTION("""COMPUTED_VALUE"""),"-")</f>
        <v>-</v>
      </c>
      <c r="W1693" s="43" t="str">
        <f>IFERROR(__xludf.DUMMYFUNCTION("""COMPUTED_VALUE"""),"2023-11-08T22:24:32Z")</f>
        <v>2023-11-08T22:24:32Z</v>
      </c>
      <c r="X1693" s="43"/>
      <c r="Y1693" s="43"/>
      <c r="Z1693" s="43"/>
    </row>
    <row r="1694" hidden="1">
      <c r="A1694" s="43" t="str">
        <f>IFERROR(__xludf.DUMMYFUNCTION("""COMPUTED_VALUE"""),"5382694_1298102")</f>
        <v>5382694_1298102</v>
      </c>
      <c r="B1694" s="43" t="str">
        <f>IFERROR(__xludf.DUMMYFUNCTION("""COMPUTED_VALUE"""),"haydi badri")</f>
        <v>haydi badri</v>
      </c>
      <c r="C1694" s="43" t="str">
        <f>IFERROR(__xludf.DUMMYFUNCTION("""COMPUTED_VALUE"""),"approved")</f>
        <v>approved</v>
      </c>
      <c r="D1694" s="43" t="str">
        <f>IFERROR(__xludf.DUMMYFUNCTION("""COMPUTED_VALUE"""),"No")</f>
        <v>No</v>
      </c>
      <c r="E1694" s="43" t="str">
        <f>IFERROR(__xludf.DUMMYFUNCTION("""COMPUTED_VALUE"""),"p_2f99a9c4d1f720dbb41337081d22d11758379291@inbound.aiesec.org")</f>
        <v>p_2f99a9c4d1f720dbb41337081d22d11758379291@inbound.aiesec.org</v>
      </c>
      <c r="F1694" s="43">
        <f>IFERROR(__xludf.DUMMYFUNCTION("""COMPUTED_VALUE"""),2.5245538E7)</f>
        <v>25245538</v>
      </c>
      <c r="G1694" s="43" t="str">
        <f>IFERROR(__xludf.DUMMYFUNCTION("""COMPUTED_VALUE"""),"Tunisia")</f>
        <v>Tunisia</v>
      </c>
      <c r="H1694" s="43" t="str">
        <f>IFERROR(__xludf.DUMMYFUNCTION("""COMPUTED_VALUE"""),"HADRUMET")</f>
        <v>HADRUMET</v>
      </c>
      <c r="I1694" s="43" t="str">
        <f>IFERROR(__xludf.DUMMYFUNCTION("""COMPUTED_VALUE"""),"Turkey")</f>
        <v>Turkey</v>
      </c>
      <c r="J1694" s="43" t="str">
        <f>IFERROR(__xludf.DUMMYFUNCTION("""COMPUTED_VALUE"""),"KOCAELI")</f>
        <v>KOCAELI</v>
      </c>
      <c r="K1694" s="44" t="str">
        <f>IFERROR(__xludf.DUMMYFUNCTION("""COMPUTED_VALUE"""),"https://expa.aiesec.org/opportunities/1298102")</f>
        <v>https://expa.aiesec.org/opportunities/1298102</v>
      </c>
      <c r="L1694" s="43" t="str">
        <f>IFERROR(__xludf.DUMMYFUNCTION("""COMPUTED_VALUE"""),"GV")</f>
        <v>GV</v>
      </c>
      <c r="M1694" s="43" t="str">
        <f>IFERROR(__xludf.DUMMYFUNCTION("""COMPUTED_VALUE"""),"short")</f>
        <v>short</v>
      </c>
      <c r="N1694" s="45">
        <f>IFERROR(__xludf.DUMMYFUNCTION("""COMPUTED_VALUE"""),45259.0)</f>
        <v>45259</v>
      </c>
      <c r="O1694" s="45">
        <f>IFERROR(__xludf.DUMMYFUNCTION("""COMPUTED_VALUE"""),45446.0)</f>
        <v>45446</v>
      </c>
      <c r="P1694" s="45">
        <f>IFERROR(__xludf.DUMMYFUNCTION("""COMPUTED_VALUE"""),45488.0)</f>
        <v>45488</v>
      </c>
      <c r="Q1694" s="45"/>
      <c r="R1694" s="45"/>
      <c r="S1694" s="43"/>
      <c r="T1694" s="43"/>
      <c r="U1694" s="43" t="str">
        <f>IFERROR(__xludf.DUMMYFUNCTION("""COMPUTED_VALUE"""),"Global Classroom")</f>
        <v>Global Classroom</v>
      </c>
      <c r="V1694" s="43" t="str">
        <f>IFERROR(__xludf.DUMMYFUNCTION("""COMPUTED_VALUE"""),"FSEG Sousse")</f>
        <v>FSEG Sousse</v>
      </c>
      <c r="W1694" s="43" t="str">
        <f>IFERROR(__xludf.DUMMYFUNCTION("""COMPUTED_VALUE"""),"2023-11-29T18:58:51Z")</f>
        <v>2023-11-29T18:58:51Z</v>
      </c>
      <c r="X1694" s="43"/>
      <c r="Y1694" s="43"/>
      <c r="Z1694" s="43"/>
    </row>
    <row r="1695" hidden="1">
      <c r="A1695" s="43" t="str">
        <f>IFERROR(__xludf.DUMMYFUNCTION("""COMPUTED_VALUE"""),"5382621_1301556")</f>
        <v>5382621_1301556</v>
      </c>
      <c r="B1695" s="43" t="str">
        <f>IFERROR(__xludf.DUMMYFUNCTION("""COMPUTED_VALUE"""),"ahmed laouer")</f>
        <v>ahmed laouer</v>
      </c>
      <c r="C1695" s="43" t="str">
        <f>IFERROR(__xludf.DUMMYFUNCTION("""COMPUTED_VALUE"""),"approved")</f>
        <v>approved</v>
      </c>
      <c r="D1695" s="43" t="str">
        <f>IFERROR(__xludf.DUMMYFUNCTION("""COMPUTED_VALUE"""),"No")</f>
        <v>No</v>
      </c>
      <c r="E1695" s="43" t="str">
        <f>IFERROR(__xludf.DUMMYFUNCTION("""COMPUTED_VALUE"""),"p_e946dcff980b1996cecb6b101d7aff929d35754b@inbound.aiesec.org")</f>
        <v>p_e946dcff980b1996cecb6b101d7aff929d35754b@inbound.aiesec.org</v>
      </c>
      <c r="F1695" s="43">
        <f>IFERROR(__xludf.DUMMYFUNCTION("""COMPUTED_VALUE"""),2.7497321E7)</f>
        <v>27497321</v>
      </c>
      <c r="G1695" s="43" t="str">
        <f>IFERROR(__xludf.DUMMYFUNCTION("""COMPUTED_VALUE"""),"Tunisia")</f>
        <v>Tunisia</v>
      </c>
      <c r="H1695" s="43" t="str">
        <f>IFERROR(__xludf.DUMMYFUNCTION("""COMPUTED_VALUE"""),"HADRUMET")</f>
        <v>HADRUMET</v>
      </c>
      <c r="I1695" s="43" t="str">
        <f>IFERROR(__xludf.DUMMYFUNCTION("""COMPUTED_VALUE"""),"Turkey")</f>
        <v>Turkey</v>
      </c>
      <c r="J1695" s="43" t="str">
        <f>IFERROR(__xludf.DUMMYFUNCTION("""COMPUTED_VALUE"""),"KOCAELI")</f>
        <v>KOCAELI</v>
      </c>
      <c r="K1695" s="44" t="str">
        <f>IFERROR(__xludf.DUMMYFUNCTION("""COMPUTED_VALUE"""),"https://expa.aiesec.org/opportunities/1301556")</f>
        <v>https://expa.aiesec.org/opportunities/1301556</v>
      </c>
      <c r="L1695" s="43" t="str">
        <f>IFERROR(__xludf.DUMMYFUNCTION("""COMPUTED_VALUE"""),"GV")</f>
        <v>GV</v>
      </c>
      <c r="M1695" s="43" t="str">
        <f>IFERROR(__xludf.DUMMYFUNCTION("""COMPUTED_VALUE"""),"short")</f>
        <v>short</v>
      </c>
      <c r="N1695" s="45">
        <f>IFERROR(__xludf.DUMMYFUNCTION("""COMPUTED_VALUE"""),45259.0)</f>
        <v>45259</v>
      </c>
      <c r="O1695" s="45">
        <f>IFERROR(__xludf.DUMMYFUNCTION("""COMPUTED_VALUE"""),45460.0)</f>
        <v>45460</v>
      </c>
      <c r="P1695" s="45">
        <f>IFERROR(__xludf.DUMMYFUNCTION("""COMPUTED_VALUE"""),45502.0)</f>
        <v>45502</v>
      </c>
      <c r="Q1695" s="45"/>
      <c r="R1695" s="45"/>
      <c r="S1695" s="43"/>
      <c r="T1695" s="43"/>
      <c r="U1695" s="43" t="str">
        <f>IFERROR(__xludf.DUMMYFUNCTION("""COMPUTED_VALUE"""),"Global Classroom")</f>
        <v>Global Classroom</v>
      </c>
      <c r="V1695" s="43" t="str">
        <f>IFERROR(__xludf.DUMMYFUNCTION("""COMPUTED_VALUE"""),"FMS (Faculté de Médecine de Sousse)")</f>
        <v>FMS (Faculté de Médecine de Sousse)</v>
      </c>
      <c r="W1695" s="43" t="str">
        <f>IFERROR(__xludf.DUMMYFUNCTION("""COMPUTED_VALUE"""),"2023-11-29T17:51:11Z")</f>
        <v>2023-11-29T17:51:11Z</v>
      </c>
      <c r="X1695" s="43"/>
      <c r="Y1695" s="43"/>
      <c r="Z1695" s="43"/>
    </row>
    <row r="1696" hidden="1">
      <c r="A1696" s="43" t="str">
        <f>IFERROR(__xludf.DUMMYFUNCTION("""COMPUTED_VALUE"""),"5382587_1301556")</f>
        <v>5382587_1301556</v>
      </c>
      <c r="B1696" s="43" t="str">
        <f>IFERROR(__xludf.DUMMYFUNCTION("""COMPUTED_VALUE"""),"slim halloul")</f>
        <v>slim halloul</v>
      </c>
      <c r="C1696" s="43" t="str">
        <f>IFERROR(__xludf.DUMMYFUNCTION("""COMPUTED_VALUE"""),"approved")</f>
        <v>approved</v>
      </c>
      <c r="D1696" s="43" t="str">
        <f>IFERROR(__xludf.DUMMYFUNCTION("""COMPUTED_VALUE"""),"No")</f>
        <v>No</v>
      </c>
      <c r="E1696" s="43" t="str">
        <f>IFERROR(__xludf.DUMMYFUNCTION("""COMPUTED_VALUE"""),"p_e7d1290410c9c76f270bcd7d064839f508dfe88d@inbound.aiesec.org")</f>
        <v>p_e7d1290410c9c76f270bcd7d064839f508dfe88d@inbound.aiesec.org</v>
      </c>
      <c r="F1696" s="43">
        <f>IFERROR(__xludf.DUMMYFUNCTION("""COMPUTED_VALUE"""),9.9097617E7)</f>
        <v>99097617</v>
      </c>
      <c r="G1696" s="43" t="str">
        <f>IFERROR(__xludf.DUMMYFUNCTION("""COMPUTED_VALUE"""),"Tunisia")</f>
        <v>Tunisia</v>
      </c>
      <c r="H1696" s="43" t="str">
        <f>IFERROR(__xludf.DUMMYFUNCTION("""COMPUTED_VALUE"""),"HADRUMET")</f>
        <v>HADRUMET</v>
      </c>
      <c r="I1696" s="43" t="str">
        <f>IFERROR(__xludf.DUMMYFUNCTION("""COMPUTED_VALUE"""),"Turkey")</f>
        <v>Turkey</v>
      </c>
      <c r="J1696" s="43" t="str">
        <f>IFERROR(__xludf.DUMMYFUNCTION("""COMPUTED_VALUE"""),"KOCAELI")</f>
        <v>KOCAELI</v>
      </c>
      <c r="K1696" s="44" t="str">
        <f>IFERROR(__xludf.DUMMYFUNCTION("""COMPUTED_VALUE"""),"https://expa.aiesec.org/opportunities/1301556")</f>
        <v>https://expa.aiesec.org/opportunities/1301556</v>
      </c>
      <c r="L1696" s="43" t="str">
        <f>IFERROR(__xludf.DUMMYFUNCTION("""COMPUTED_VALUE"""),"GV")</f>
        <v>GV</v>
      </c>
      <c r="M1696" s="43" t="str">
        <f>IFERROR(__xludf.DUMMYFUNCTION("""COMPUTED_VALUE"""),"short")</f>
        <v>short</v>
      </c>
      <c r="N1696" s="45">
        <f>IFERROR(__xludf.DUMMYFUNCTION("""COMPUTED_VALUE"""),45259.0)</f>
        <v>45259</v>
      </c>
      <c r="O1696" s="45">
        <f>IFERROR(__xludf.DUMMYFUNCTION("""COMPUTED_VALUE"""),45460.0)</f>
        <v>45460</v>
      </c>
      <c r="P1696" s="45">
        <f>IFERROR(__xludf.DUMMYFUNCTION("""COMPUTED_VALUE"""),45502.0)</f>
        <v>45502</v>
      </c>
      <c r="Q1696" s="45"/>
      <c r="R1696" s="45"/>
      <c r="S1696" s="43"/>
      <c r="T1696" s="43"/>
      <c r="U1696" s="43" t="str">
        <f>IFERROR(__xludf.DUMMYFUNCTION("""COMPUTED_VALUE"""),"Global Classroom")</f>
        <v>Global Classroom</v>
      </c>
      <c r="V1696" s="43" t="str">
        <f>IFERROR(__xludf.DUMMYFUNCTION("""COMPUTED_VALUE"""),"FMS (Faculté de Médecine de Sousse)")</f>
        <v>FMS (Faculté de Médecine de Sousse)</v>
      </c>
      <c r="W1696" s="43" t="str">
        <f>IFERROR(__xludf.DUMMYFUNCTION("""COMPUTED_VALUE"""),"2023-11-29T17:15:00Z")</f>
        <v>2023-11-29T17:15:00Z</v>
      </c>
      <c r="X1696" s="43"/>
      <c r="Y1696" s="43"/>
      <c r="Z1696" s="43"/>
    </row>
    <row r="1697" hidden="1">
      <c r="A1697" s="43" t="str">
        <f>IFERROR(__xludf.DUMMYFUNCTION("""COMPUTED_VALUE"""),"5371244_1292535")</f>
        <v>5371244_1292535</v>
      </c>
      <c r="B1697" s="43" t="str">
        <f>IFERROR(__xludf.DUMMYFUNCTION("""COMPUTED_VALUE"""),"Nerea Pérez Abalde")</f>
        <v>Nerea Pérez Abalde</v>
      </c>
      <c r="C1697" s="43" t="str">
        <f>IFERROR(__xludf.DUMMYFUNCTION("""COMPUTED_VALUE"""),"approved")</f>
        <v>approved</v>
      </c>
      <c r="D1697" s="43" t="str">
        <f>IFERROR(__xludf.DUMMYFUNCTION("""COMPUTED_VALUE"""),"No")</f>
        <v>No</v>
      </c>
      <c r="E1697" s="43" t="str">
        <f>IFERROR(__xludf.DUMMYFUNCTION("""COMPUTED_VALUE"""),"p_31b4c1887833b3972973bda09f866af83dcf7f74@inbound.aiesec.org")</f>
        <v>p_31b4c1887833b3972973bda09f866af83dcf7f74@inbound.aiesec.org</v>
      </c>
      <c r="F1697" s="43">
        <f>IFERROR(__xludf.DUMMYFUNCTION("""COMPUTED_VALUE"""),6.56540467E8)</f>
        <v>656540467</v>
      </c>
      <c r="G1697" s="43" t="str">
        <f>IFERROR(__xludf.DUMMYFUNCTION("""COMPUTED_VALUE"""),"Spain")</f>
        <v>Spain</v>
      </c>
      <c r="H1697" s="43" t="str">
        <f>IFERROR(__xludf.DUMMYFUNCTION("""COMPUTED_VALUE"""),"Bilbao")</f>
        <v>Bilbao</v>
      </c>
      <c r="I1697" s="43" t="str">
        <f>IFERROR(__xludf.DUMMYFUNCTION("""COMPUTED_VALUE"""),"Turkey")</f>
        <v>Turkey</v>
      </c>
      <c r="J1697" s="43" t="str">
        <f>IFERROR(__xludf.DUMMYFUNCTION("""COMPUTED_VALUE"""),"ESKISEHIR")</f>
        <v>ESKISEHIR</v>
      </c>
      <c r="K1697" s="44" t="str">
        <f>IFERROR(__xludf.DUMMYFUNCTION("""COMPUTED_VALUE"""),"https://expa.aiesec.org/opportunities/1292535")</f>
        <v>https://expa.aiesec.org/opportunities/1292535</v>
      </c>
      <c r="L1697" s="43" t="str">
        <f>IFERROR(__xludf.DUMMYFUNCTION("""COMPUTED_VALUE"""),"GV")</f>
        <v>GV</v>
      </c>
      <c r="M1697" s="43" t="str">
        <f>IFERROR(__xludf.DUMMYFUNCTION("""COMPUTED_VALUE"""),"short")</f>
        <v>short</v>
      </c>
      <c r="N1697" s="45">
        <f>IFERROR(__xludf.DUMMYFUNCTION("""COMPUTED_VALUE"""),45260.0)</f>
        <v>45260</v>
      </c>
      <c r="O1697" s="45">
        <f>IFERROR(__xludf.DUMMYFUNCTION("""COMPUTED_VALUE"""),45487.0)</f>
        <v>45487</v>
      </c>
      <c r="P1697" s="45">
        <f>IFERROR(__xludf.DUMMYFUNCTION("""COMPUTED_VALUE"""),45529.0)</f>
        <v>45529</v>
      </c>
      <c r="Q1697" s="45"/>
      <c r="R1697" s="45"/>
      <c r="S1697" s="43"/>
      <c r="T1697" s="43"/>
      <c r="U1697" s="43" t="str">
        <f>IFERROR(__xludf.DUMMYFUNCTION("""COMPUTED_VALUE"""),"Global Classroom")</f>
        <v>Global Classroom</v>
      </c>
      <c r="V1697" s="43" t="str">
        <f>IFERROR(__xludf.DUMMYFUNCTION("""COMPUTED_VALUE"""),"Madrid - Otras universidades o facultades ")</f>
        <v>Madrid - Otras universidades o facultades </v>
      </c>
      <c r="W1697" s="43" t="str">
        <f>IFERROR(__xludf.DUMMYFUNCTION("""COMPUTED_VALUE"""),"2023-11-12T22:29:10Z")</f>
        <v>2023-11-12T22:29:10Z</v>
      </c>
      <c r="X1697" s="43"/>
      <c r="Y1697" s="43"/>
      <c r="Z1697" s="43"/>
    </row>
    <row r="1698" hidden="1">
      <c r="A1698" s="43" t="str">
        <f>IFERROR(__xludf.DUMMYFUNCTION("""COMPUTED_VALUE"""),"5381102_1288970")</f>
        <v>5381102_1288970</v>
      </c>
      <c r="B1698" s="43" t="str">
        <f>IFERROR(__xludf.DUMMYFUNCTION("""COMPUTED_VALUE"""),"Aylin Canpolat")</f>
        <v>Aylin Canpolat</v>
      </c>
      <c r="C1698" s="43" t="str">
        <f>IFERROR(__xludf.DUMMYFUNCTION("""COMPUTED_VALUE"""),"approved")</f>
        <v>approved</v>
      </c>
      <c r="D1698" s="43" t="str">
        <f>IFERROR(__xludf.DUMMYFUNCTION("""COMPUTED_VALUE"""),"No")</f>
        <v>No</v>
      </c>
      <c r="E1698" s="43" t="str">
        <f>IFERROR(__xludf.DUMMYFUNCTION("""COMPUTED_VALUE"""),"p_a6cb004954217875c31baa2b92d73d26af115abe@inbound.aiesec.org")</f>
        <v>p_a6cb004954217875c31baa2b92d73d26af115abe@inbound.aiesec.org</v>
      </c>
      <c r="F1698" s="43">
        <f>IFERROR(__xludf.DUMMYFUNCTION("""COMPUTED_VALUE"""),1.7683433035E10)</f>
        <v>17683433035</v>
      </c>
      <c r="G1698" s="43" t="str">
        <f>IFERROR(__xludf.DUMMYFUNCTION("""COMPUTED_VALUE"""),"Germany")</f>
        <v>Germany</v>
      </c>
      <c r="H1698" s="43" t="str">
        <f>IFERROR(__xludf.DUMMYFUNCTION("""COMPUTED_VALUE"""),"PADERBORN")</f>
        <v>PADERBORN</v>
      </c>
      <c r="I1698" s="43" t="str">
        <f>IFERROR(__xludf.DUMMYFUNCTION("""COMPUTED_VALUE"""),"Turkey")</f>
        <v>Turkey</v>
      </c>
      <c r="J1698" s="43" t="str">
        <f>IFERROR(__xludf.DUMMYFUNCTION("""COMPUTED_VALUE"""),"İZMİR")</f>
        <v>İZMİR</v>
      </c>
      <c r="K1698" s="44" t="str">
        <f>IFERROR(__xludf.DUMMYFUNCTION("""COMPUTED_VALUE"""),"https://expa.aiesec.org/opportunities/1288970")</f>
        <v>https://expa.aiesec.org/opportunities/1288970</v>
      </c>
      <c r="L1698" s="43" t="str">
        <f>IFERROR(__xludf.DUMMYFUNCTION("""COMPUTED_VALUE"""),"GV")</f>
        <v>GV</v>
      </c>
      <c r="M1698" s="43" t="str">
        <f>IFERROR(__xludf.DUMMYFUNCTION("""COMPUTED_VALUE"""),"short")</f>
        <v>short</v>
      </c>
      <c r="N1698" s="45">
        <f>IFERROR(__xludf.DUMMYFUNCTION("""COMPUTED_VALUE"""),45260.0)</f>
        <v>45260</v>
      </c>
      <c r="O1698" s="45">
        <f>IFERROR(__xludf.DUMMYFUNCTION("""COMPUTED_VALUE"""),45467.0)</f>
        <v>45467</v>
      </c>
      <c r="P1698" s="45">
        <f>IFERROR(__xludf.DUMMYFUNCTION("""COMPUTED_VALUE"""),45509.0)</f>
        <v>45509</v>
      </c>
      <c r="Q1698" s="45"/>
      <c r="R1698" s="45"/>
      <c r="S1698" s="43"/>
      <c r="T1698" s="43"/>
      <c r="U1698" s="43" t="str">
        <f>IFERROR(__xludf.DUMMYFUNCTION("""COMPUTED_VALUE"""),"Fingerprint")</f>
        <v>Fingerprint</v>
      </c>
      <c r="V1698" s="43" t="str">
        <f>IFERROR(__xludf.DUMMYFUNCTION("""COMPUTED_VALUE"""),"Paderborn")</f>
        <v>Paderborn</v>
      </c>
      <c r="W1698" s="43" t="str">
        <f>IFERROR(__xludf.DUMMYFUNCTION("""COMPUTED_VALUE"""),"2023-11-27T20:57:21Z")</f>
        <v>2023-11-27T20:57:21Z</v>
      </c>
      <c r="X1698" s="43"/>
      <c r="Y1698" s="43"/>
      <c r="Z1698" s="43"/>
    </row>
    <row r="1699" hidden="1">
      <c r="A1699" s="43" t="str">
        <f>IFERROR(__xludf.DUMMYFUNCTION("""COMPUTED_VALUE"""),"5381111_1288970")</f>
        <v>5381111_1288970</v>
      </c>
      <c r="B1699" s="43" t="str">
        <f>IFERROR(__xludf.DUMMYFUNCTION("""COMPUTED_VALUE"""),"Jacqueline Weiss")</f>
        <v>Jacqueline Weiss</v>
      </c>
      <c r="C1699" s="43" t="str">
        <f>IFERROR(__xludf.DUMMYFUNCTION("""COMPUTED_VALUE"""),"approved")</f>
        <v>approved</v>
      </c>
      <c r="D1699" s="43" t="str">
        <f>IFERROR(__xludf.DUMMYFUNCTION("""COMPUTED_VALUE"""),"No")</f>
        <v>No</v>
      </c>
      <c r="E1699" s="43" t="str">
        <f>IFERROR(__xludf.DUMMYFUNCTION("""COMPUTED_VALUE"""),"p_8fe36df7176e9929b560a2b14630873b0be66540@inbound.aiesec.org")</f>
        <v>p_8fe36df7176e9929b560a2b14630873b0be66540@inbound.aiesec.org</v>
      </c>
      <c r="F1699" s="43">
        <f>IFERROR(__xludf.DUMMYFUNCTION("""COMPUTED_VALUE"""),1.7682087346E10)</f>
        <v>17682087346</v>
      </c>
      <c r="G1699" s="43" t="str">
        <f>IFERROR(__xludf.DUMMYFUNCTION("""COMPUTED_VALUE"""),"Germany")</f>
        <v>Germany</v>
      </c>
      <c r="H1699" s="43" t="str">
        <f>IFERROR(__xludf.DUMMYFUNCTION("""COMPUTED_VALUE"""),"PADERBORN")</f>
        <v>PADERBORN</v>
      </c>
      <c r="I1699" s="43" t="str">
        <f>IFERROR(__xludf.DUMMYFUNCTION("""COMPUTED_VALUE"""),"Turkey")</f>
        <v>Turkey</v>
      </c>
      <c r="J1699" s="43" t="str">
        <f>IFERROR(__xludf.DUMMYFUNCTION("""COMPUTED_VALUE"""),"İZMİR")</f>
        <v>İZMİR</v>
      </c>
      <c r="K1699" s="44" t="str">
        <f>IFERROR(__xludf.DUMMYFUNCTION("""COMPUTED_VALUE"""),"https://expa.aiesec.org/opportunities/1288970")</f>
        <v>https://expa.aiesec.org/opportunities/1288970</v>
      </c>
      <c r="L1699" s="43" t="str">
        <f>IFERROR(__xludf.DUMMYFUNCTION("""COMPUTED_VALUE"""),"GV")</f>
        <v>GV</v>
      </c>
      <c r="M1699" s="43" t="str">
        <f>IFERROR(__xludf.DUMMYFUNCTION("""COMPUTED_VALUE"""),"short")</f>
        <v>short</v>
      </c>
      <c r="N1699" s="45">
        <f>IFERROR(__xludf.DUMMYFUNCTION("""COMPUTED_VALUE"""),45260.0)</f>
        <v>45260</v>
      </c>
      <c r="O1699" s="45">
        <f>IFERROR(__xludf.DUMMYFUNCTION("""COMPUTED_VALUE"""),45467.0)</f>
        <v>45467</v>
      </c>
      <c r="P1699" s="45">
        <f>IFERROR(__xludf.DUMMYFUNCTION("""COMPUTED_VALUE"""),45509.0)</f>
        <v>45509</v>
      </c>
      <c r="Q1699" s="45"/>
      <c r="R1699" s="45"/>
      <c r="S1699" s="43"/>
      <c r="T1699" s="43"/>
      <c r="U1699" s="43" t="str">
        <f>IFERROR(__xludf.DUMMYFUNCTION("""COMPUTED_VALUE"""),"Fingerprint")</f>
        <v>Fingerprint</v>
      </c>
      <c r="V1699" s="43" t="str">
        <f>IFERROR(__xludf.DUMMYFUNCTION("""COMPUTED_VALUE"""),"Paderborn")</f>
        <v>Paderborn</v>
      </c>
      <c r="W1699" s="43" t="str">
        <f>IFERROR(__xludf.DUMMYFUNCTION("""COMPUTED_VALUE"""),"2023-11-27T21:06:46Z")</f>
        <v>2023-11-27T21:06:46Z</v>
      </c>
      <c r="X1699" s="43"/>
      <c r="Y1699" s="43"/>
      <c r="Z1699" s="43"/>
    </row>
    <row r="1700" hidden="1">
      <c r="A1700" s="43" t="str">
        <f>IFERROR(__xludf.DUMMYFUNCTION("""COMPUTED_VALUE"""),"5374595_1284077")</f>
        <v>5374595_1284077</v>
      </c>
      <c r="B1700" s="43" t="str">
        <f>IFERROR(__xludf.DUMMYFUNCTION("""COMPUTED_VALUE"""),"Ilona Martynenko")</f>
        <v>Ilona Martynenko</v>
      </c>
      <c r="C1700" s="43" t="str">
        <f>IFERROR(__xludf.DUMMYFUNCTION("""COMPUTED_VALUE"""),"approved")</f>
        <v>approved</v>
      </c>
      <c r="D1700" s="43" t="str">
        <f>IFERROR(__xludf.DUMMYFUNCTION("""COMPUTED_VALUE"""),"No")</f>
        <v>No</v>
      </c>
      <c r="E1700" s="43" t="str">
        <f>IFERROR(__xludf.DUMMYFUNCTION("""COMPUTED_VALUE"""),"p_16f2d47e48a029d744759a7498cdc4b7c82b5341@inbound.aiesec.org")</f>
        <v>p_16f2d47e48a029d744759a7498cdc4b7c82b5341@inbound.aiesec.org</v>
      </c>
      <c r="F1700" s="43">
        <f>IFERROR(__xludf.DUMMYFUNCTION("""COMPUTED_VALUE"""),9.91921825E8)</f>
        <v>991921825</v>
      </c>
      <c r="G1700" s="43" t="str">
        <f>IFERROR(__xludf.DUMMYFUNCTION("""COMPUTED_VALUE"""),"Ukraine")</f>
        <v>Ukraine</v>
      </c>
      <c r="H1700" s="43" t="str">
        <f>IFERROR(__xludf.DUMMYFUNCTION("""COMPUTED_VALUE"""),"KHARKIV")</f>
        <v>KHARKIV</v>
      </c>
      <c r="I1700" s="43" t="str">
        <f>IFERROR(__xludf.DUMMYFUNCTION("""COMPUTED_VALUE"""),"Turkey")</f>
        <v>Turkey</v>
      </c>
      <c r="J1700" s="43" t="str">
        <f>IFERROR(__xludf.DUMMYFUNCTION("""COMPUTED_VALUE"""),"GAZIANTEP")</f>
        <v>GAZIANTEP</v>
      </c>
      <c r="K1700" s="44" t="str">
        <f>IFERROR(__xludf.DUMMYFUNCTION("""COMPUTED_VALUE"""),"https://expa.aiesec.org/opportunities/1284077")</f>
        <v>https://expa.aiesec.org/opportunities/1284077</v>
      </c>
      <c r="L1700" s="43" t="str">
        <f>IFERROR(__xludf.DUMMYFUNCTION("""COMPUTED_VALUE"""),"GV")</f>
        <v>GV</v>
      </c>
      <c r="M1700" s="43" t="str">
        <f>IFERROR(__xludf.DUMMYFUNCTION("""COMPUTED_VALUE"""),"short")</f>
        <v>short</v>
      </c>
      <c r="N1700" s="45">
        <f>IFERROR(__xludf.DUMMYFUNCTION("""COMPUTED_VALUE"""),45260.0)</f>
        <v>45260</v>
      </c>
      <c r="O1700" s="45">
        <f>IFERROR(__xludf.DUMMYFUNCTION("""COMPUTED_VALUE"""),45519.0)</f>
        <v>45519</v>
      </c>
      <c r="P1700" s="45">
        <f>IFERROR(__xludf.DUMMYFUNCTION("""COMPUTED_VALUE"""),45561.0)</f>
        <v>45561</v>
      </c>
      <c r="Q1700" s="45"/>
      <c r="R1700" s="45"/>
      <c r="S1700" s="43"/>
      <c r="T1700" s="43"/>
      <c r="U1700" s="43" t="str">
        <f>IFERROR(__xludf.DUMMYFUNCTION("""COMPUTED_VALUE"""),"Global Classroom")</f>
        <v>Global Classroom</v>
      </c>
      <c r="V1700" s="43" t="str">
        <f>IFERROR(__xludf.DUMMYFUNCTION("""COMPUTED_VALUE"""),"Kharkiv")</f>
        <v>Kharkiv</v>
      </c>
      <c r="W1700" s="43" t="str">
        <f>IFERROR(__xludf.DUMMYFUNCTION("""COMPUTED_VALUE"""),"2023-11-17T17:40:29Z")</f>
        <v>2023-11-17T17:40:29Z</v>
      </c>
      <c r="X1700" s="43"/>
      <c r="Y1700" s="43"/>
      <c r="Z1700" s="43"/>
    </row>
    <row r="1701" hidden="1">
      <c r="A1701" s="43" t="str">
        <f>IFERROR(__xludf.DUMMYFUNCTION("""COMPUTED_VALUE"""),"5383048_1280872")</f>
        <v>5383048_1280872</v>
      </c>
      <c r="B1701" s="43" t="str">
        <f>IFERROR(__xludf.DUMMYFUNCTION("""COMPUTED_VALUE"""),"Hamza Sallemi")</f>
        <v>Hamza Sallemi</v>
      </c>
      <c r="C1701" s="43" t="str">
        <f>IFERROR(__xludf.DUMMYFUNCTION("""COMPUTED_VALUE"""),"approved")</f>
        <v>approved</v>
      </c>
      <c r="D1701" s="43" t="str">
        <f>IFERROR(__xludf.DUMMYFUNCTION("""COMPUTED_VALUE"""),"No")</f>
        <v>No</v>
      </c>
      <c r="E1701" s="43" t="str">
        <f>IFERROR(__xludf.DUMMYFUNCTION("""COMPUTED_VALUE"""),"p_d96fa45004e277ffcdffc060445e422cb8385bde@inbound.aiesec.org")</f>
        <v>p_d96fa45004e277ffcdffc060445e422cb8385bde@inbound.aiesec.org</v>
      </c>
      <c r="F1701" s="43"/>
      <c r="G1701" s="43" t="str">
        <f>IFERROR(__xludf.DUMMYFUNCTION("""COMPUTED_VALUE"""),"Tunisia")</f>
        <v>Tunisia</v>
      </c>
      <c r="H1701" s="43" t="str">
        <f>IFERROR(__xludf.DUMMYFUNCTION("""COMPUTED_VALUE"""),"MEDINA")</f>
        <v>MEDINA</v>
      </c>
      <c r="I1701" s="43" t="str">
        <f>IFERROR(__xludf.DUMMYFUNCTION("""COMPUTED_VALUE"""),"Turkey")</f>
        <v>Turkey</v>
      </c>
      <c r="J1701" s="43" t="str">
        <f>IFERROR(__xludf.DUMMYFUNCTION("""COMPUTED_VALUE"""),"KOCAELI")</f>
        <v>KOCAELI</v>
      </c>
      <c r="K1701" s="44" t="str">
        <f>IFERROR(__xludf.DUMMYFUNCTION("""COMPUTED_VALUE"""),"https://expa.aiesec.org/opportunities/1280872")</f>
        <v>https://expa.aiesec.org/opportunities/1280872</v>
      </c>
      <c r="L1701" s="43" t="str">
        <f>IFERROR(__xludf.DUMMYFUNCTION("""COMPUTED_VALUE"""),"GV")</f>
        <v>GV</v>
      </c>
      <c r="M1701" s="43" t="str">
        <f>IFERROR(__xludf.DUMMYFUNCTION("""COMPUTED_VALUE"""),"short")</f>
        <v>short</v>
      </c>
      <c r="N1701" s="45">
        <f>IFERROR(__xludf.DUMMYFUNCTION("""COMPUTED_VALUE"""),45260.0)</f>
        <v>45260</v>
      </c>
      <c r="O1701" s="45">
        <f>IFERROR(__xludf.DUMMYFUNCTION("""COMPUTED_VALUE"""),45474.0)</f>
        <v>45474</v>
      </c>
      <c r="P1701" s="45">
        <f>IFERROR(__xludf.DUMMYFUNCTION("""COMPUTED_VALUE"""),45516.0)</f>
        <v>45516</v>
      </c>
      <c r="Q1701" s="45"/>
      <c r="R1701" s="45"/>
      <c r="S1701" s="43"/>
      <c r="T1701" s="43"/>
      <c r="U1701" s="43" t="str">
        <f>IFERROR(__xludf.DUMMYFUNCTION("""COMPUTED_VALUE"""),"Skill Up!")</f>
        <v>Skill Up!</v>
      </c>
      <c r="V1701" s="43" t="str">
        <f>IFERROR(__xludf.DUMMYFUNCTION("""COMPUTED_VALUE"""),"-")</f>
        <v>-</v>
      </c>
      <c r="W1701" s="43" t="str">
        <f>IFERROR(__xludf.DUMMYFUNCTION("""COMPUTED_VALUE"""),"2023-11-30T11:00:02Z")</f>
        <v>2023-11-30T11:00:02Z</v>
      </c>
      <c r="X1701" s="43"/>
      <c r="Y1701" s="43"/>
      <c r="Z1701" s="43"/>
    </row>
    <row r="1702" hidden="1">
      <c r="A1702" s="43" t="str">
        <f>IFERROR(__xludf.DUMMYFUNCTION("""COMPUTED_VALUE"""),"5382728_1280872")</f>
        <v>5382728_1280872</v>
      </c>
      <c r="B1702" s="43" t="str">
        <f>IFERROR(__xludf.DUMMYFUNCTION("""COMPUTED_VALUE"""),"Maryna Tsymbal")</f>
        <v>Maryna Tsymbal</v>
      </c>
      <c r="C1702" s="43" t="str">
        <f>IFERROR(__xludf.DUMMYFUNCTION("""COMPUTED_VALUE"""),"approved")</f>
        <v>approved</v>
      </c>
      <c r="D1702" s="43" t="str">
        <f>IFERROR(__xludf.DUMMYFUNCTION("""COMPUTED_VALUE"""),"No")</f>
        <v>No</v>
      </c>
      <c r="E1702" s="43" t="str">
        <f>IFERROR(__xludf.DUMMYFUNCTION("""COMPUTED_VALUE"""),"p_3619acd47e36dccd6806c03336298b9a935d46e4@inbound.aiesec.org")</f>
        <v>p_3619acd47e36dccd6806c03336298b9a935d46e4@inbound.aiesec.org</v>
      </c>
      <c r="F1702" s="43">
        <f>IFERROR(__xludf.DUMMYFUNCTION("""COMPUTED_VALUE"""),9.59377568E8)</f>
        <v>959377568</v>
      </c>
      <c r="G1702" s="43" t="str">
        <f>IFERROR(__xludf.DUMMYFUNCTION("""COMPUTED_VALUE"""),"Ukraine")</f>
        <v>Ukraine</v>
      </c>
      <c r="H1702" s="43" t="str">
        <f>IFERROR(__xludf.DUMMYFUNCTION("""COMPUTED_VALUE"""),"KHARKIV")</f>
        <v>KHARKIV</v>
      </c>
      <c r="I1702" s="43" t="str">
        <f>IFERROR(__xludf.DUMMYFUNCTION("""COMPUTED_VALUE"""),"Turkey")</f>
        <v>Turkey</v>
      </c>
      <c r="J1702" s="43" t="str">
        <f>IFERROR(__xludf.DUMMYFUNCTION("""COMPUTED_VALUE"""),"KOCAELI")</f>
        <v>KOCAELI</v>
      </c>
      <c r="K1702" s="44" t="str">
        <f>IFERROR(__xludf.DUMMYFUNCTION("""COMPUTED_VALUE"""),"https://expa.aiesec.org/opportunities/1280872")</f>
        <v>https://expa.aiesec.org/opportunities/1280872</v>
      </c>
      <c r="L1702" s="43" t="str">
        <f>IFERROR(__xludf.DUMMYFUNCTION("""COMPUTED_VALUE"""),"GV")</f>
        <v>GV</v>
      </c>
      <c r="M1702" s="43" t="str">
        <f>IFERROR(__xludf.DUMMYFUNCTION("""COMPUTED_VALUE"""),"short")</f>
        <v>short</v>
      </c>
      <c r="N1702" s="45">
        <f>IFERROR(__xludf.DUMMYFUNCTION("""COMPUTED_VALUE"""),45260.0)</f>
        <v>45260</v>
      </c>
      <c r="O1702" s="45">
        <f>IFERROR(__xludf.DUMMYFUNCTION("""COMPUTED_VALUE"""),45488.0)</f>
        <v>45488</v>
      </c>
      <c r="P1702" s="45">
        <f>IFERROR(__xludf.DUMMYFUNCTION("""COMPUTED_VALUE"""),45530.0)</f>
        <v>45530</v>
      </c>
      <c r="Q1702" s="45"/>
      <c r="R1702" s="45"/>
      <c r="S1702" s="43"/>
      <c r="T1702" s="43"/>
      <c r="U1702" s="43" t="str">
        <f>IFERROR(__xludf.DUMMYFUNCTION("""COMPUTED_VALUE"""),"Skill Up!")</f>
        <v>Skill Up!</v>
      </c>
      <c r="V1702" s="43" t="str">
        <f>IFERROR(__xludf.DUMMYFUNCTION("""COMPUTED_VALUE"""),"Kharkiv")</f>
        <v>Kharkiv</v>
      </c>
      <c r="W1702" s="43" t="str">
        <f>IFERROR(__xludf.DUMMYFUNCTION("""COMPUTED_VALUE"""),"2023-11-29T19:56:08Z")</f>
        <v>2023-11-29T19:56:08Z</v>
      </c>
      <c r="X1702" s="43"/>
      <c r="Y1702" s="43"/>
      <c r="Z1702" s="43"/>
    </row>
    <row r="1703" hidden="1">
      <c r="A1703" s="43" t="str">
        <f>IFERROR(__xludf.DUMMYFUNCTION("""COMPUTED_VALUE"""),"5382121_1288663")</f>
        <v>5382121_1288663</v>
      </c>
      <c r="B1703" s="43" t="str">
        <f>IFERROR(__xludf.DUMMYFUNCTION("""COMPUTED_VALUE"""),"Nilay Saat")</f>
        <v>Nilay Saat</v>
      </c>
      <c r="C1703" s="43" t="str">
        <f>IFERROR(__xludf.DUMMYFUNCTION("""COMPUTED_VALUE"""),"approved")</f>
        <v>approved</v>
      </c>
      <c r="D1703" s="43" t="str">
        <f>IFERROR(__xludf.DUMMYFUNCTION("""COMPUTED_VALUE"""),"No")</f>
        <v>No</v>
      </c>
      <c r="E1703" s="43" t="str">
        <f>IFERROR(__xludf.DUMMYFUNCTION("""COMPUTED_VALUE"""),"p_2c8acb536cae1cf7b63b0376a893d6989ac2412a@inbound.aiesec.org")</f>
        <v>p_2c8acb536cae1cf7b63b0376a893d6989ac2412a@inbound.aiesec.org</v>
      </c>
      <c r="F1703" s="43">
        <f>IFERROR(__xludf.DUMMYFUNCTION("""COMPUTED_VALUE"""),1.575833724E10)</f>
        <v>15758337240</v>
      </c>
      <c r="G1703" s="43" t="str">
        <f>IFERROR(__xludf.DUMMYFUNCTION("""COMPUTED_VALUE"""),"Germany")</f>
        <v>Germany</v>
      </c>
      <c r="H1703" s="43" t="str">
        <f>IFERROR(__xludf.DUMMYFUNCTION("""COMPUTED_VALUE"""),"BIELEFELD")</f>
        <v>BIELEFELD</v>
      </c>
      <c r="I1703" s="43" t="str">
        <f>IFERROR(__xludf.DUMMYFUNCTION("""COMPUTED_VALUE"""),"Turkey")</f>
        <v>Turkey</v>
      </c>
      <c r="J1703" s="43" t="str">
        <f>IFERROR(__xludf.DUMMYFUNCTION("""COMPUTED_VALUE"""),"İZMİR")</f>
        <v>İZMİR</v>
      </c>
      <c r="K1703" s="44" t="str">
        <f>IFERROR(__xludf.DUMMYFUNCTION("""COMPUTED_VALUE"""),"https://expa.aiesec.org/opportunities/1288663")</f>
        <v>https://expa.aiesec.org/opportunities/1288663</v>
      </c>
      <c r="L1703" s="43" t="str">
        <f>IFERROR(__xludf.DUMMYFUNCTION("""COMPUTED_VALUE"""),"GV")</f>
        <v>GV</v>
      </c>
      <c r="M1703" s="43" t="str">
        <f>IFERROR(__xludf.DUMMYFUNCTION("""COMPUTED_VALUE"""),"short")</f>
        <v>short</v>
      </c>
      <c r="N1703" s="45">
        <f>IFERROR(__xludf.DUMMYFUNCTION("""COMPUTED_VALUE"""),45260.0)</f>
        <v>45260</v>
      </c>
      <c r="O1703" s="45">
        <f>IFERROR(__xludf.DUMMYFUNCTION("""COMPUTED_VALUE"""),45375.0)</f>
        <v>45375</v>
      </c>
      <c r="P1703" s="45">
        <f>IFERROR(__xludf.DUMMYFUNCTION("""COMPUTED_VALUE"""),45417.0)</f>
        <v>45417</v>
      </c>
      <c r="Q1703" s="45"/>
      <c r="R1703" s="45"/>
      <c r="S1703" s="43"/>
      <c r="T1703" s="43"/>
      <c r="U1703" s="43" t="str">
        <f>IFERROR(__xludf.DUMMYFUNCTION("""COMPUTED_VALUE"""),"Global Classroom")</f>
        <v>Global Classroom</v>
      </c>
      <c r="V1703" s="43" t="str">
        <f>IFERROR(__xludf.DUMMYFUNCTION("""COMPUTED_VALUE"""),"Bielefeld")</f>
        <v>Bielefeld</v>
      </c>
      <c r="W1703" s="43" t="str">
        <f>IFERROR(__xludf.DUMMYFUNCTION("""COMPUTED_VALUE"""),"2023-11-29T00:07:34Z")</f>
        <v>2023-11-29T00:07:34Z</v>
      </c>
      <c r="X1703" s="43"/>
      <c r="Y1703" s="43"/>
      <c r="Z1703" s="43"/>
    </row>
    <row r="1704" hidden="1">
      <c r="A1704" s="43" t="str">
        <f>IFERROR(__xludf.DUMMYFUNCTION("""COMPUTED_VALUE"""),"5378503_1288970")</f>
        <v>5378503_1288970</v>
      </c>
      <c r="B1704" s="43" t="str">
        <f>IFERROR(__xludf.DUMMYFUNCTION("""COMPUTED_VALUE"""),"Rana Abdulkqder")</f>
        <v>Rana Abdulkqder</v>
      </c>
      <c r="C1704" s="43" t="str">
        <f>IFERROR(__xludf.DUMMYFUNCTION("""COMPUTED_VALUE"""),"approved")</f>
        <v>approved</v>
      </c>
      <c r="D1704" s="43" t="str">
        <f>IFERROR(__xludf.DUMMYFUNCTION("""COMPUTED_VALUE"""),"No")</f>
        <v>No</v>
      </c>
      <c r="E1704" s="43" t="str">
        <f>IFERROR(__xludf.DUMMYFUNCTION("""COMPUTED_VALUE"""),"p_c06f0ca28c6721029817b0b91066f8e72d90c8e0@inbound.aiesec.org")</f>
        <v>p_c06f0ca28c6721029817b0b91066f8e72d90c8e0@inbound.aiesec.org</v>
      </c>
      <c r="F1704" s="43">
        <f>IFERROR(__xludf.DUMMYFUNCTION("""COMPUTED_VALUE"""),1.097763929E9)</f>
        <v>1097763929</v>
      </c>
      <c r="G1704" s="43" t="str">
        <f>IFERROR(__xludf.DUMMYFUNCTION("""COMPUTED_VALUE"""),"Egypt")</f>
        <v>Egypt</v>
      </c>
      <c r="H1704" s="43" t="str">
        <f>IFERROR(__xludf.DUMMYFUNCTION("""COMPUTED_VALUE"""),"Helwan")</f>
        <v>Helwan</v>
      </c>
      <c r="I1704" s="43" t="str">
        <f>IFERROR(__xludf.DUMMYFUNCTION("""COMPUTED_VALUE"""),"Turkey")</f>
        <v>Turkey</v>
      </c>
      <c r="J1704" s="43" t="str">
        <f>IFERROR(__xludf.DUMMYFUNCTION("""COMPUTED_VALUE"""),"İZMİR")</f>
        <v>İZMİR</v>
      </c>
      <c r="K1704" s="44" t="str">
        <f>IFERROR(__xludf.DUMMYFUNCTION("""COMPUTED_VALUE"""),"https://expa.aiesec.org/opportunities/1288970")</f>
        <v>https://expa.aiesec.org/opportunities/1288970</v>
      </c>
      <c r="L1704" s="43" t="str">
        <f>IFERROR(__xludf.DUMMYFUNCTION("""COMPUTED_VALUE"""),"GV")</f>
        <v>GV</v>
      </c>
      <c r="M1704" s="43" t="str">
        <f>IFERROR(__xludf.DUMMYFUNCTION("""COMPUTED_VALUE"""),"short")</f>
        <v>short</v>
      </c>
      <c r="N1704" s="45">
        <f>IFERROR(__xludf.DUMMYFUNCTION("""COMPUTED_VALUE"""),45260.0)</f>
        <v>45260</v>
      </c>
      <c r="O1704" s="45">
        <f>IFERROR(__xludf.DUMMYFUNCTION("""COMPUTED_VALUE"""),45509.0)</f>
        <v>45509</v>
      </c>
      <c r="P1704" s="45">
        <f>IFERROR(__xludf.DUMMYFUNCTION("""COMPUTED_VALUE"""),45551.0)</f>
        <v>45551</v>
      </c>
      <c r="Q1704" s="45"/>
      <c r="R1704" s="45"/>
      <c r="S1704" s="43"/>
      <c r="T1704" s="43"/>
      <c r="U1704" s="43" t="str">
        <f>IFERROR(__xludf.DUMMYFUNCTION("""COMPUTED_VALUE"""),"Fingerprint")</f>
        <v>Fingerprint</v>
      </c>
      <c r="V1704" s="43" t="str">
        <f>IFERROR(__xludf.DUMMYFUNCTION("""COMPUTED_VALUE"""),"Helwan University")</f>
        <v>Helwan University</v>
      </c>
      <c r="W1704" s="43" t="str">
        <f>IFERROR(__xludf.DUMMYFUNCTION("""COMPUTED_VALUE"""),"2023-11-23T17:43:15Z")</f>
        <v>2023-11-23T17:43:15Z</v>
      </c>
      <c r="X1704" s="43"/>
      <c r="Y1704" s="43"/>
      <c r="Z1704" s="43"/>
    </row>
    <row r="1705" hidden="1">
      <c r="A1705" s="43" t="str">
        <f>IFERROR(__xludf.DUMMYFUNCTION("""COMPUTED_VALUE"""),"5378762_1300558")</f>
        <v>5378762_1300558</v>
      </c>
      <c r="B1705" s="43" t="str">
        <f>IFERROR(__xludf.DUMMYFUNCTION("""COMPUTED_VALUE"""),"Christine Gitau")</f>
        <v>Christine Gitau</v>
      </c>
      <c r="C1705" s="43" t="str">
        <f>IFERROR(__xludf.DUMMYFUNCTION("""COMPUTED_VALUE"""),"approved")</f>
        <v>approved</v>
      </c>
      <c r="D1705" s="43" t="str">
        <f>IFERROR(__xludf.DUMMYFUNCTION("""COMPUTED_VALUE"""),"No")</f>
        <v>No</v>
      </c>
      <c r="E1705" s="43" t="str">
        <f>IFERROR(__xludf.DUMMYFUNCTION("""COMPUTED_VALUE"""),"p_3774bcb22b5125e72d855063b15529dfe3691b3d@inbound.aiesec.org")</f>
        <v>p_3774bcb22b5125e72d855063b15529dfe3691b3d@inbound.aiesec.org</v>
      </c>
      <c r="F1705" s="43"/>
      <c r="G1705" s="43" t="str">
        <f>IFERROR(__xludf.DUMMYFUNCTION("""COMPUTED_VALUE"""),"Kenya")</f>
        <v>Kenya</v>
      </c>
      <c r="H1705" s="43" t="str">
        <f>IFERROR(__xludf.DUMMYFUNCTION("""COMPUTED_VALUE"""),"STRATHMORE UNIVERSITY")</f>
        <v>STRATHMORE UNIVERSITY</v>
      </c>
      <c r="I1705" s="43" t="str">
        <f>IFERROR(__xludf.DUMMYFUNCTION("""COMPUTED_VALUE"""),"Turkey")</f>
        <v>Turkey</v>
      </c>
      <c r="J1705" s="43" t="str">
        <f>IFERROR(__xludf.DUMMYFUNCTION("""COMPUTED_VALUE"""),"ISTANBUL ASIA")</f>
        <v>ISTANBUL ASIA</v>
      </c>
      <c r="K1705" s="44" t="str">
        <f>IFERROR(__xludf.DUMMYFUNCTION("""COMPUTED_VALUE"""),"https://expa.aiesec.org/opportunities/1300558")</f>
        <v>https://expa.aiesec.org/opportunities/1300558</v>
      </c>
      <c r="L1705" s="43" t="str">
        <f>IFERROR(__xludf.DUMMYFUNCTION("""COMPUTED_VALUE"""),"GV")</f>
        <v>GV</v>
      </c>
      <c r="M1705" s="43" t="str">
        <f>IFERROR(__xludf.DUMMYFUNCTION("""COMPUTED_VALUE"""),"short")</f>
        <v>short</v>
      </c>
      <c r="N1705" s="45">
        <f>IFERROR(__xludf.DUMMYFUNCTION("""COMPUTED_VALUE"""),45260.0)</f>
        <v>45260</v>
      </c>
      <c r="O1705" s="45">
        <f>IFERROR(__xludf.DUMMYFUNCTION("""COMPUTED_VALUE"""),45425.0)</f>
        <v>45425</v>
      </c>
      <c r="P1705" s="45">
        <f>IFERROR(__xludf.DUMMYFUNCTION("""COMPUTED_VALUE"""),45467.0)</f>
        <v>45467</v>
      </c>
      <c r="Q1705" s="45"/>
      <c r="R1705" s="45"/>
      <c r="S1705" s="43"/>
      <c r="T1705" s="43"/>
      <c r="U1705" s="43" t="str">
        <f>IFERROR(__xludf.DUMMYFUNCTION("""COMPUTED_VALUE"""),"Global Classroom")</f>
        <v>Global Classroom</v>
      </c>
      <c r="V1705" s="43" t="str">
        <f>IFERROR(__xludf.DUMMYFUNCTION("""COMPUTED_VALUE"""),"-")</f>
        <v>-</v>
      </c>
      <c r="W1705" s="43" t="str">
        <f>IFERROR(__xludf.DUMMYFUNCTION("""COMPUTED_VALUE"""),"2023-11-24T06:01:45Z")</f>
        <v>2023-11-24T06:01:45Z</v>
      </c>
      <c r="X1705" s="43"/>
      <c r="Y1705" s="43"/>
      <c r="Z1705" s="43"/>
    </row>
    <row r="1706" hidden="1">
      <c r="A1706" s="43" t="str">
        <f>IFERROR(__xludf.DUMMYFUNCTION("""COMPUTED_VALUE"""),"5378381_1295453")</f>
        <v>5378381_1295453</v>
      </c>
      <c r="B1706" s="43" t="str">
        <f>IFERROR(__xludf.DUMMYFUNCTION("""COMPUTED_VALUE"""),"Nadeen Farouk")</f>
        <v>Nadeen Farouk</v>
      </c>
      <c r="C1706" s="43" t="str">
        <f>IFERROR(__xludf.DUMMYFUNCTION("""COMPUTED_VALUE"""),"approved")</f>
        <v>approved</v>
      </c>
      <c r="D1706" s="43" t="str">
        <f>IFERROR(__xludf.DUMMYFUNCTION("""COMPUTED_VALUE"""),"No")</f>
        <v>No</v>
      </c>
      <c r="E1706" s="43" t="str">
        <f>IFERROR(__xludf.DUMMYFUNCTION("""COMPUTED_VALUE"""),"p_d82c1f06caeab7803745486810aae3bba677f352@inbound.aiesec.org")</f>
        <v>p_d82c1f06caeab7803745486810aae3bba677f352@inbound.aiesec.org</v>
      </c>
      <c r="F1706" s="43">
        <f>IFERROR(__xludf.DUMMYFUNCTION("""COMPUTED_VALUE"""),1.097399339E9)</f>
        <v>1097399339</v>
      </c>
      <c r="G1706" s="43" t="str">
        <f>IFERROR(__xludf.DUMMYFUNCTION("""COMPUTED_VALUE"""),"Egypt")</f>
        <v>Egypt</v>
      </c>
      <c r="H1706" s="43" t="str">
        <f>IFERROR(__xludf.DUMMYFUNCTION("""COMPUTED_VALUE"""),"Cairo University")</f>
        <v>Cairo University</v>
      </c>
      <c r="I1706" s="43" t="str">
        <f>IFERROR(__xludf.DUMMYFUNCTION("""COMPUTED_VALUE"""),"Turkey")</f>
        <v>Turkey</v>
      </c>
      <c r="J1706" s="43" t="str">
        <f>IFERROR(__xludf.DUMMYFUNCTION("""COMPUTED_VALUE"""),"GAZIANTEP")</f>
        <v>GAZIANTEP</v>
      </c>
      <c r="K1706" s="44" t="str">
        <f>IFERROR(__xludf.DUMMYFUNCTION("""COMPUTED_VALUE"""),"https://expa.aiesec.org/opportunities/1295453")</f>
        <v>https://expa.aiesec.org/opportunities/1295453</v>
      </c>
      <c r="L1706" s="43" t="str">
        <f>IFERROR(__xludf.DUMMYFUNCTION("""COMPUTED_VALUE"""),"GV")</f>
        <v>GV</v>
      </c>
      <c r="M1706" s="43" t="str">
        <f>IFERROR(__xludf.DUMMYFUNCTION("""COMPUTED_VALUE"""),"short")</f>
        <v>short</v>
      </c>
      <c r="N1706" s="45">
        <f>IFERROR(__xludf.DUMMYFUNCTION("""COMPUTED_VALUE"""),45260.0)</f>
        <v>45260</v>
      </c>
      <c r="O1706" s="45">
        <f>IFERROR(__xludf.DUMMYFUNCTION("""COMPUTED_VALUE"""),45483.0)</f>
        <v>45483</v>
      </c>
      <c r="P1706" s="45">
        <f>IFERROR(__xludf.DUMMYFUNCTION("""COMPUTED_VALUE"""),45525.0)</f>
        <v>45525</v>
      </c>
      <c r="Q1706" s="45"/>
      <c r="R1706" s="45"/>
      <c r="S1706" s="43"/>
      <c r="T1706" s="43"/>
      <c r="U1706" s="43" t="str">
        <f>IFERROR(__xludf.DUMMYFUNCTION("""COMPUTED_VALUE"""),"Global Classroom")</f>
        <v>Global Classroom</v>
      </c>
      <c r="V1706" s="43" t="str">
        <f>IFERROR(__xludf.DUMMYFUNCTION("""COMPUTED_VALUE"""),"Cairo Univeristy")</f>
        <v>Cairo Univeristy</v>
      </c>
      <c r="W1706" s="43" t="str">
        <f>IFERROR(__xludf.DUMMYFUNCTION("""COMPUTED_VALUE"""),"2023-11-23T15:04:23Z")</f>
        <v>2023-11-23T15:04:23Z</v>
      </c>
      <c r="X1706" s="43"/>
      <c r="Y1706" s="43"/>
      <c r="Z1706" s="43"/>
    </row>
    <row r="1707" hidden="1">
      <c r="A1707" s="43" t="str">
        <f>IFERROR(__xludf.DUMMYFUNCTION("""COMPUTED_VALUE"""),"5375132_1280872")</f>
        <v>5375132_1280872</v>
      </c>
      <c r="B1707" s="43" t="str">
        <f>IFERROR(__xludf.DUMMYFUNCTION("""COMPUTED_VALUE"""),"Essil Amaimi")</f>
        <v>Essil Amaimi</v>
      </c>
      <c r="C1707" s="43" t="str">
        <f>IFERROR(__xludf.DUMMYFUNCTION("""COMPUTED_VALUE"""),"approved")</f>
        <v>approved</v>
      </c>
      <c r="D1707" s="43" t="str">
        <f>IFERROR(__xludf.DUMMYFUNCTION("""COMPUTED_VALUE"""),"No")</f>
        <v>No</v>
      </c>
      <c r="E1707" s="43" t="str">
        <f>IFERROR(__xludf.DUMMYFUNCTION("""COMPUTED_VALUE"""),"p_37f2698d859629479819e1223fcb10f60e35334b@inbound.aiesec.org")</f>
        <v>p_37f2698d859629479819e1223fcb10f60e35334b@inbound.aiesec.org</v>
      </c>
      <c r="F1707" s="43">
        <f>IFERROR(__xludf.DUMMYFUNCTION("""COMPUTED_VALUE"""),2.0540501E7)</f>
        <v>20540501</v>
      </c>
      <c r="G1707" s="43" t="str">
        <f>IFERROR(__xludf.DUMMYFUNCTION("""COMPUTED_VALUE"""),"Tunisia")</f>
        <v>Tunisia</v>
      </c>
      <c r="H1707" s="43" t="str">
        <f>IFERROR(__xludf.DUMMYFUNCTION("""COMPUTED_VALUE"""),"Bizerte")</f>
        <v>Bizerte</v>
      </c>
      <c r="I1707" s="43" t="str">
        <f>IFERROR(__xludf.DUMMYFUNCTION("""COMPUTED_VALUE"""),"Turkey")</f>
        <v>Turkey</v>
      </c>
      <c r="J1707" s="43" t="str">
        <f>IFERROR(__xludf.DUMMYFUNCTION("""COMPUTED_VALUE"""),"KOCAELI")</f>
        <v>KOCAELI</v>
      </c>
      <c r="K1707" s="44" t="str">
        <f>IFERROR(__xludf.DUMMYFUNCTION("""COMPUTED_VALUE"""),"https://expa.aiesec.org/opportunities/1280872")</f>
        <v>https://expa.aiesec.org/opportunities/1280872</v>
      </c>
      <c r="L1707" s="43" t="str">
        <f>IFERROR(__xludf.DUMMYFUNCTION("""COMPUTED_VALUE"""),"GV")</f>
        <v>GV</v>
      </c>
      <c r="M1707" s="43" t="str">
        <f>IFERROR(__xludf.DUMMYFUNCTION("""COMPUTED_VALUE"""),"short")</f>
        <v>short</v>
      </c>
      <c r="N1707" s="45">
        <f>IFERROR(__xludf.DUMMYFUNCTION("""COMPUTED_VALUE"""),45260.0)</f>
        <v>45260</v>
      </c>
      <c r="O1707" s="45">
        <f>IFERROR(__xludf.DUMMYFUNCTION("""COMPUTED_VALUE"""),45488.0)</f>
        <v>45488</v>
      </c>
      <c r="P1707" s="45">
        <f>IFERROR(__xludf.DUMMYFUNCTION("""COMPUTED_VALUE"""),45530.0)</f>
        <v>45530</v>
      </c>
      <c r="Q1707" s="45"/>
      <c r="R1707" s="45"/>
      <c r="S1707" s="43"/>
      <c r="T1707" s="43"/>
      <c r="U1707" s="43" t="str">
        <f>IFERROR(__xludf.DUMMYFUNCTION("""COMPUTED_VALUE"""),"Skill Up!")</f>
        <v>Skill Up!</v>
      </c>
      <c r="V1707" s="43" t="str">
        <f>IFERROR(__xludf.DUMMYFUNCTION("""COMPUTED_VALUE"""),"FSB")</f>
        <v>FSB</v>
      </c>
      <c r="W1707" s="43" t="str">
        <f>IFERROR(__xludf.DUMMYFUNCTION("""COMPUTED_VALUE"""),"2023-11-18T19:09:14Z")</f>
        <v>2023-11-18T19:09:14Z</v>
      </c>
      <c r="X1707" s="43"/>
      <c r="Y1707" s="43"/>
      <c r="Z1707" s="43"/>
    </row>
    <row r="1708" hidden="1">
      <c r="A1708" s="43" t="str">
        <f>IFERROR(__xludf.DUMMYFUNCTION("""COMPUTED_VALUE"""),"5383309_1298102")</f>
        <v>5383309_1298102</v>
      </c>
      <c r="B1708" s="43" t="str">
        <f>IFERROR(__xludf.DUMMYFUNCTION("""COMPUTED_VALUE"""),"rihem alaya")</f>
        <v>rihem alaya</v>
      </c>
      <c r="C1708" s="43" t="str">
        <f>IFERROR(__xludf.DUMMYFUNCTION("""COMPUTED_VALUE"""),"approved")</f>
        <v>approved</v>
      </c>
      <c r="D1708" s="43" t="str">
        <f>IFERROR(__xludf.DUMMYFUNCTION("""COMPUTED_VALUE"""),"No")</f>
        <v>No</v>
      </c>
      <c r="E1708" s="43" t="str">
        <f>IFERROR(__xludf.DUMMYFUNCTION("""COMPUTED_VALUE"""),"p_88accc90ea8ff3c9f22ae64306dd079e261795b8@inbound.aiesec.org")</f>
        <v>p_88accc90ea8ff3c9f22ae64306dd079e261795b8@inbound.aiesec.org</v>
      </c>
      <c r="F1708" s="43">
        <f>IFERROR(__xludf.DUMMYFUNCTION("""COMPUTED_VALUE"""),5.5397707E7)</f>
        <v>55397707</v>
      </c>
      <c r="G1708" s="43" t="str">
        <f>IFERROR(__xludf.DUMMYFUNCTION("""COMPUTED_VALUE"""),"Tunisia")</f>
        <v>Tunisia</v>
      </c>
      <c r="H1708" s="43" t="str">
        <f>IFERROR(__xludf.DUMMYFUNCTION("""COMPUTED_VALUE"""),"HADRUMET")</f>
        <v>HADRUMET</v>
      </c>
      <c r="I1708" s="43" t="str">
        <f>IFERROR(__xludf.DUMMYFUNCTION("""COMPUTED_VALUE"""),"Turkey")</f>
        <v>Turkey</v>
      </c>
      <c r="J1708" s="43" t="str">
        <f>IFERROR(__xludf.DUMMYFUNCTION("""COMPUTED_VALUE"""),"KOCAELI")</f>
        <v>KOCAELI</v>
      </c>
      <c r="K1708" s="44" t="str">
        <f>IFERROR(__xludf.DUMMYFUNCTION("""COMPUTED_VALUE"""),"https://expa.aiesec.org/opportunities/1298102")</f>
        <v>https://expa.aiesec.org/opportunities/1298102</v>
      </c>
      <c r="L1708" s="43" t="str">
        <f>IFERROR(__xludf.DUMMYFUNCTION("""COMPUTED_VALUE"""),"GV")</f>
        <v>GV</v>
      </c>
      <c r="M1708" s="43" t="str">
        <f>IFERROR(__xludf.DUMMYFUNCTION("""COMPUTED_VALUE"""),"short")</f>
        <v>short</v>
      </c>
      <c r="N1708" s="45">
        <f>IFERROR(__xludf.DUMMYFUNCTION("""COMPUTED_VALUE"""),45260.0)</f>
        <v>45260</v>
      </c>
      <c r="O1708" s="45">
        <f>IFERROR(__xludf.DUMMYFUNCTION("""COMPUTED_VALUE"""),45446.0)</f>
        <v>45446</v>
      </c>
      <c r="P1708" s="45">
        <f>IFERROR(__xludf.DUMMYFUNCTION("""COMPUTED_VALUE"""),45488.0)</f>
        <v>45488</v>
      </c>
      <c r="Q1708" s="45"/>
      <c r="R1708" s="45"/>
      <c r="S1708" s="43"/>
      <c r="T1708" s="43"/>
      <c r="U1708" s="43" t="str">
        <f>IFERROR(__xludf.DUMMYFUNCTION("""COMPUTED_VALUE"""),"Global Classroom")</f>
        <v>Global Classroom</v>
      </c>
      <c r="V1708" s="43" t="str">
        <f>IFERROR(__xludf.DUMMYFUNCTION("""COMPUTED_VALUE"""),"Polytechnique Sousse")</f>
        <v>Polytechnique Sousse</v>
      </c>
      <c r="W1708" s="43" t="str">
        <f>IFERROR(__xludf.DUMMYFUNCTION("""COMPUTED_VALUE"""),"2023-11-30T16:20:39Z")</f>
        <v>2023-11-30T16:20:39Z</v>
      </c>
      <c r="X1708" s="43"/>
      <c r="Y1708" s="43"/>
      <c r="Z1708" s="43"/>
    </row>
    <row r="1709" hidden="1">
      <c r="A1709" s="43" t="str">
        <f>IFERROR(__xludf.DUMMYFUNCTION("""COMPUTED_VALUE"""),"5373141_1283483")</f>
        <v>5373141_1283483</v>
      </c>
      <c r="B1709" s="43" t="str">
        <f>IFERROR(__xludf.DUMMYFUNCTION("""COMPUTED_VALUE"""),"Daniel George")</f>
        <v>Daniel George</v>
      </c>
      <c r="C1709" s="43" t="str">
        <f>IFERROR(__xludf.DUMMYFUNCTION("""COMPUTED_VALUE"""),"approved")</f>
        <v>approved</v>
      </c>
      <c r="D1709" s="43" t="str">
        <f>IFERROR(__xludf.DUMMYFUNCTION("""COMPUTED_VALUE"""),"No")</f>
        <v>No</v>
      </c>
      <c r="E1709" s="43" t="str">
        <f>IFERROR(__xludf.DUMMYFUNCTION("""COMPUTED_VALUE"""),"p_75e2e38c0e8062c80d085ba07e0686fca418dc52@inbound.aiesec.org")</f>
        <v>p_75e2e38c0e8062c80d085ba07e0686fca418dc52@inbound.aiesec.org</v>
      </c>
      <c r="F1709" s="43">
        <f>IFERROR(__xludf.DUMMYFUNCTION("""COMPUTED_VALUE"""),1.204249115E9)</f>
        <v>1204249115</v>
      </c>
      <c r="G1709" s="43" t="str">
        <f>IFERROR(__xludf.DUMMYFUNCTION("""COMPUTED_VALUE"""),"Egypt")</f>
        <v>Egypt</v>
      </c>
      <c r="H1709" s="43" t="str">
        <f>IFERROR(__xludf.DUMMYFUNCTION("""COMPUTED_VALUE"""),"Mansoura")</f>
        <v>Mansoura</v>
      </c>
      <c r="I1709" s="43" t="str">
        <f>IFERROR(__xludf.DUMMYFUNCTION("""COMPUTED_VALUE"""),"Turkey")</f>
        <v>Turkey</v>
      </c>
      <c r="J1709" s="43" t="str">
        <f>IFERROR(__xludf.DUMMYFUNCTION("""COMPUTED_VALUE"""),"KONYA")</f>
        <v>KONYA</v>
      </c>
      <c r="K1709" s="44" t="str">
        <f>IFERROR(__xludf.DUMMYFUNCTION("""COMPUTED_VALUE"""),"https://expa.aiesec.org/opportunities/1283483")</f>
        <v>https://expa.aiesec.org/opportunities/1283483</v>
      </c>
      <c r="L1709" s="43" t="str">
        <f>IFERROR(__xludf.DUMMYFUNCTION("""COMPUTED_VALUE"""),"GV")</f>
        <v>GV</v>
      </c>
      <c r="M1709" s="43" t="str">
        <f>IFERROR(__xludf.DUMMYFUNCTION("""COMPUTED_VALUE"""),"short")</f>
        <v>short</v>
      </c>
      <c r="N1709" s="45">
        <f>IFERROR(__xludf.DUMMYFUNCTION("""COMPUTED_VALUE"""),45260.0)</f>
        <v>45260</v>
      </c>
      <c r="O1709" s="45">
        <f>IFERROR(__xludf.DUMMYFUNCTION("""COMPUTED_VALUE"""),45487.0)</f>
        <v>45487</v>
      </c>
      <c r="P1709" s="45">
        <f>IFERROR(__xludf.DUMMYFUNCTION("""COMPUTED_VALUE"""),45529.0)</f>
        <v>45529</v>
      </c>
      <c r="Q1709" s="45"/>
      <c r="R1709" s="45"/>
      <c r="S1709" s="43"/>
      <c r="T1709" s="43"/>
      <c r="U1709" s="43" t="str">
        <f>IFERROR(__xludf.DUMMYFUNCTION("""COMPUTED_VALUE"""),"Global Classroom")</f>
        <v>Global Classroom</v>
      </c>
      <c r="V1709" s="43" t="str">
        <f>IFERROR(__xludf.DUMMYFUNCTION("""COMPUTED_VALUE"""),"Mansoura")</f>
        <v>Mansoura</v>
      </c>
      <c r="W1709" s="43" t="str">
        <f>IFERROR(__xludf.DUMMYFUNCTION("""COMPUTED_VALUE"""),"2023-11-15T19:38:47Z")</f>
        <v>2023-11-15T19:38:47Z</v>
      </c>
      <c r="X1709" s="43"/>
      <c r="Y1709" s="43"/>
      <c r="Z1709" s="43"/>
    </row>
    <row r="1710" hidden="1">
      <c r="A1710" s="43" t="str">
        <f>IFERROR(__xludf.DUMMYFUNCTION("""COMPUTED_VALUE"""),"5378324_1283483")</f>
        <v>5378324_1283483</v>
      </c>
      <c r="B1710" s="43" t="str">
        <f>IFERROR(__xludf.DUMMYFUNCTION("""COMPUTED_VALUE"""),"Mohamed Labib")</f>
        <v>Mohamed Labib</v>
      </c>
      <c r="C1710" s="43" t="str">
        <f>IFERROR(__xludf.DUMMYFUNCTION("""COMPUTED_VALUE"""),"approved")</f>
        <v>approved</v>
      </c>
      <c r="D1710" s="43" t="str">
        <f>IFERROR(__xludf.DUMMYFUNCTION("""COMPUTED_VALUE"""),"No")</f>
        <v>No</v>
      </c>
      <c r="E1710" s="43" t="str">
        <f>IFERROR(__xludf.DUMMYFUNCTION("""COMPUTED_VALUE"""),"p_56bd13b7f6c2bd3eb4fbe987c896c82887a0604f@inbound.aiesec.org")</f>
        <v>p_56bd13b7f6c2bd3eb4fbe987c896c82887a0604f@inbound.aiesec.org</v>
      </c>
      <c r="F1710" s="43">
        <f>IFERROR(__xludf.DUMMYFUNCTION("""COMPUTED_VALUE"""),1.064044041E9)</f>
        <v>1064044041</v>
      </c>
      <c r="G1710" s="43" t="str">
        <f>IFERROR(__xludf.DUMMYFUNCTION("""COMPUTED_VALUE"""),"Egypt")</f>
        <v>Egypt</v>
      </c>
      <c r="H1710" s="43" t="str">
        <f>IFERROR(__xludf.DUMMYFUNCTION("""COMPUTED_VALUE"""),"Cairo University")</f>
        <v>Cairo University</v>
      </c>
      <c r="I1710" s="43" t="str">
        <f>IFERROR(__xludf.DUMMYFUNCTION("""COMPUTED_VALUE"""),"Turkey")</f>
        <v>Turkey</v>
      </c>
      <c r="J1710" s="43" t="str">
        <f>IFERROR(__xludf.DUMMYFUNCTION("""COMPUTED_VALUE"""),"KONYA")</f>
        <v>KONYA</v>
      </c>
      <c r="K1710" s="44" t="str">
        <f>IFERROR(__xludf.DUMMYFUNCTION("""COMPUTED_VALUE"""),"https://expa.aiesec.org/opportunities/1283483")</f>
        <v>https://expa.aiesec.org/opportunities/1283483</v>
      </c>
      <c r="L1710" s="43" t="str">
        <f>IFERROR(__xludf.DUMMYFUNCTION("""COMPUTED_VALUE"""),"GV")</f>
        <v>GV</v>
      </c>
      <c r="M1710" s="43" t="str">
        <f>IFERROR(__xludf.DUMMYFUNCTION("""COMPUTED_VALUE"""),"short")</f>
        <v>short</v>
      </c>
      <c r="N1710" s="45">
        <f>IFERROR(__xludf.DUMMYFUNCTION("""COMPUTED_VALUE"""),45260.0)</f>
        <v>45260</v>
      </c>
      <c r="O1710" s="45">
        <f>IFERROR(__xludf.DUMMYFUNCTION("""COMPUTED_VALUE"""),45530.0)</f>
        <v>45530</v>
      </c>
      <c r="P1710" s="45">
        <f>IFERROR(__xludf.DUMMYFUNCTION("""COMPUTED_VALUE"""),45572.0)</f>
        <v>45572</v>
      </c>
      <c r="Q1710" s="45"/>
      <c r="R1710" s="45"/>
      <c r="S1710" s="43"/>
      <c r="T1710" s="43"/>
      <c r="U1710" s="43" t="str">
        <f>IFERROR(__xludf.DUMMYFUNCTION("""COMPUTED_VALUE"""),"Global Classroom")</f>
        <v>Global Classroom</v>
      </c>
      <c r="V1710" s="43" t="str">
        <f>IFERROR(__xludf.DUMMYFUNCTION("""COMPUTED_VALUE"""),"Cairo Univeristy")</f>
        <v>Cairo Univeristy</v>
      </c>
      <c r="W1710" s="43" t="str">
        <f>IFERROR(__xludf.DUMMYFUNCTION("""COMPUTED_VALUE"""),"2023-11-23T13:03:34Z")</f>
        <v>2023-11-23T13:03:34Z</v>
      </c>
      <c r="X1710" s="43"/>
      <c r="Y1710" s="43"/>
      <c r="Z1710" s="43"/>
    </row>
    <row r="1711" hidden="1">
      <c r="A1711" s="43" t="str">
        <f>IFERROR(__xludf.DUMMYFUNCTION("""COMPUTED_VALUE"""),"5383076_1301556")</f>
        <v>5383076_1301556</v>
      </c>
      <c r="B1711" s="43" t="str">
        <f>IFERROR(__xludf.DUMMYFUNCTION("""COMPUTED_VALUE"""),"Ferdawes Benali")</f>
        <v>Ferdawes Benali</v>
      </c>
      <c r="C1711" s="43" t="str">
        <f>IFERROR(__xludf.DUMMYFUNCTION("""COMPUTED_VALUE"""),"approved")</f>
        <v>approved</v>
      </c>
      <c r="D1711" s="43" t="str">
        <f>IFERROR(__xludf.DUMMYFUNCTION("""COMPUTED_VALUE"""),"No")</f>
        <v>No</v>
      </c>
      <c r="E1711" s="43" t="str">
        <f>IFERROR(__xludf.DUMMYFUNCTION("""COMPUTED_VALUE"""),"p_4131cb8c33ae29977b83ad51c697ea1152799ad5@inbound.aiesec.org")</f>
        <v>p_4131cb8c33ae29977b83ad51c697ea1152799ad5@inbound.aiesec.org</v>
      </c>
      <c r="F1711" s="43">
        <f>IFERROR(__xludf.DUMMYFUNCTION("""COMPUTED_VALUE"""),2.6307799E7)</f>
        <v>26307799</v>
      </c>
      <c r="G1711" s="43" t="str">
        <f>IFERROR(__xludf.DUMMYFUNCTION("""COMPUTED_VALUE"""),"Tunisia")</f>
        <v>Tunisia</v>
      </c>
      <c r="H1711" s="43" t="str">
        <f>IFERROR(__xludf.DUMMYFUNCTION("""COMPUTED_VALUE"""),"Carthage")</f>
        <v>Carthage</v>
      </c>
      <c r="I1711" s="43" t="str">
        <f>IFERROR(__xludf.DUMMYFUNCTION("""COMPUTED_VALUE"""),"Turkey")</f>
        <v>Turkey</v>
      </c>
      <c r="J1711" s="43" t="str">
        <f>IFERROR(__xludf.DUMMYFUNCTION("""COMPUTED_VALUE"""),"KOCAELI")</f>
        <v>KOCAELI</v>
      </c>
      <c r="K1711" s="44" t="str">
        <f>IFERROR(__xludf.DUMMYFUNCTION("""COMPUTED_VALUE"""),"https://expa.aiesec.org/opportunities/1301556")</f>
        <v>https://expa.aiesec.org/opportunities/1301556</v>
      </c>
      <c r="L1711" s="43" t="str">
        <f>IFERROR(__xludf.DUMMYFUNCTION("""COMPUTED_VALUE"""),"GV")</f>
        <v>GV</v>
      </c>
      <c r="M1711" s="43" t="str">
        <f>IFERROR(__xludf.DUMMYFUNCTION("""COMPUTED_VALUE"""),"short")</f>
        <v>short</v>
      </c>
      <c r="N1711" s="45">
        <f>IFERROR(__xludf.DUMMYFUNCTION("""COMPUTED_VALUE"""),45260.0)</f>
        <v>45260</v>
      </c>
      <c r="O1711" s="45">
        <f>IFERROR(__xludf.DUMMYFUNCTION("""COMPUTED_VALUE"""),45481.0)</f>
        <v>45481</v>
      </c>
      <c r="P1711" s="45">
        <f>IFERROR(__xludf.DUMMYFUNCTION("""COMPUTED_VALUE"""),45523.0)</f>
        <v>45523</v>
      </c>
      <c r="Q1711" s="45"/>
      <c r="R1711" s="45"/>
      <c r="S1711" s="43"/>
      <c r="T1711" s="43"/>
      <c r="U1711" s="43" t="str">
        <f>IFERROR(__xludf.DUMMYFUNCTION("""COMPUTED_VALUE"""),"Global Classroom")</f>
        <v>Global Classroom</v>
      </c>
      <c r="V1711" s="43" t="str">
        <f>IFERROR(__xludf.DUMMYFUNCTION("""COMPUTED_VALUE"""),"INSAT")</f>
        <v>INSAT</v>
      </c>
      <c r="W1711" s="43" t="str">
        <f>IFERROR(__xludf.DUMMYFUNCTION("""COMPUTED_VALUE"""),"2023-11-30T11:42:37Z")</f>
        <v>2023-11-30T11:42:37Z</v>
      </c>
      <c r="X1711" s="43"/>
      <c r="Y1711" s="43"/>
      <c r="Z1711" s="43"/>
    </row>
    <row r="1712" hidden="1">
      <c r="A1712" s="43" t="str">
        <f>IFERROR(__xludf.DUMMYFUNCTION("""COMPUTED_VALUE"""),"5383325_1298102")</f>
        <v>5383325_1298102</v>
      </c>
      <c r="B1712" s="43" t="str">
        <f>IFERROR(__xludf.DUMMYFUNCTION("""COMPUTED_VALUE"""),"Aicha Elloumi")</f>
        <v>Aicha Elloumi</v>
      </c>
      <c r="C1712" s="43" t="str">
        <f>IFERROR(__xludf.DUMMYFUNCTION("""COMPUTED_VALUE"""),"approved")</f>
        <v>approved</v>
      </c>
      <c r="D1712" s="43" t="str">
        <f>IFERROR(__xludf.DUMMYFUNCTION("""COMPUTED_VALUE"""),"No")</f>
        <v>No</v>
      </c>
      <c r="E1712" s="43" t="str">
        <f>IFERROR(__xludf.DUMMYFUNCTION("""COMPUTED_VALUE"""),"p_e1a202e99a9d31a393af4a805857a2e0462a55f3@inbound.aiesec.org")</f>
        <v>p_e1a202e99a9d31a393af4a805857a2e0462a55f3@inbound.aiesec.org</v>
      </c>
      <c r="F1712" s="43">
        <f>IFERROR(__xludf.DUMMYFUNCTION("""COMPUTED_VALUE"""),2.6952122E7)</f>
        <v>26952122</v>
      </c>
      <c r="G1712" s="43" t="str">
        <f>IFERROR(__xludf.DUMMYFUNCTION("""COMPUTED_VALUE"""),"Tunisia")</f>
        <v>Tunisia</v>
      </c>
      <c r="H1712" s="43" t="str">
        <f>IFERROR(__xludf.DUMMYFUNCTION("""COMPUTED_VALUE"""),"Carthage")</f>
        <v>Carthage</v>
      </c>
      <c r="I1712" s="43" t="str">
        <f>IFERROR(__xludf.DUMMYFUNCTION("""COMPUTED_VALUE"""),"Turkey")</f>
        <v>Turkey</v>
      </c>
      <c r="J1712" s="43" t="str">
        <f>IFERROR(__xludf.DUMMYFUNCTION("""COMPUTED_VALUE"""),"KOCAELI")</f>
        <v>KOCAELI</v>
      </c>
      <c r="K1712" s="44" t="str">
        <f>IFERROR(__xludf.DUMMYFUNCTION("""COMPUTED_VALUE"""),"https://expa.aiesec.org/opportunities/1298102")</f>
        <v>https://expa.aiesec.org/opportunities/1298102</v>
      </c>
      <c r="L1712" s="43" t="str">
        <f>IFERROR(__xludf.DUMMYFUNCTION("""COMPUTED_VALUE"""),"GV")</f>
        <v>GV</v>
      </c>
      <c r="M1712" s="43" t="str">
        <f>IFERROR(__xludf.DUMMYFUNCTION("""COMPUTED_VALUE"""),"short")</f>
        <v>short</v>
      </c>
      <c r="N1712" s="45">
        <f>IFERROR(__xludf.DUMMYFUNCTION("""COMPUTED_VALUE"""),45260.0)</f>
        <v>45260</v>
      </c>
      <c r="O1712" s="45">
        <f>IFERROR(__xludf.DUMMYFUNCTION("""COMPUTED_VALUE"""),45446.0)</f>
        <v>45446</v>
      </c>
      <c r="P1712" s="45">
        <f>IFERROR(__xludf.DUMMYFUNCTION("""COMPUTED_VALUE"""),45488.0)</f>
        <v>45488</v>
      </c>
      <c r="Q1712" s="45"/>
      <c r="R1712" s="45"/>
      <c r="S1712" s="43"/>
      <c r="T1712" s="43"/>
      <c r="U1712" s="43" t="str">
        <f>IFERROR(__xludf.DUMMYFUNCTION("""COMPUTED_VALUE"""),"Global Classroom")</f>
        <v>Global Classroom</v>
      </c>
      <c r="V1712" s="43" t="str">
        <f>IFERROR(__xludf.DUMMYFUNCTION("""COMPUTED_VALUE"""),"INSAT")</f>
        <v>INSAT</v>
      </c>
      <c r="W1712" s="43" t="str">
        <f>IFERROR(__xludf.DUMMYFUNCTION("""COMPUTED_VALUE"""),"2023-11-30T16:36:18Z")</f>
        <v>2023-11-30T16:36:18Z</v>
      </c>
      <c r="X1712" s="43"/>
      <c r="Y1712" s="43"/>
      <c r="Z1712" s="43"/>
    </row>
    <row r="1713" hidden="1">
      <c r="A1713" s="43" t="str">
        <f>IFERROR(__xludf.DUMMYFUNCTION("""COMPUTED_VALUE"""),"5382599_1298612")</f>
        <v>5382599_1298612</v>
      </c>
      <c r="B1713" s="43" t="str">
        <f>IFERROR(__xludf.DUMMYFUNCTION("""COMPUTED_VALUE"""),"Ahmed Osmen")</f>
        <v>Ahmed Osmen</v>
      </c>
      <c r="C1713" s="43" t="str">
        <f>IFERROR(__xludf.DUMMYFUNCTION("""COMPUTED_VALUE"""),"realized")</f>
        <v>realized</v>
      </c>
      <c r="D1713" s="43" t="str">
        <f>IFERROR(__xludf.DUMMYFUNCTION("""COMPUTED_VALUE"""),"No")</f>
        <v>No</v>
      </c>
      <c r="E1713" s="43" t="str">
        <f>IFERROR(__xludf.DUMMYFUNCTION("""COMPUTED_VALUE"""),"p_f20102cef3d1ed1256e2badccc6987a68e2cd4c0@inbound.aiesec.org")</f>
        <v>p_f20102cef3d1ed1256e2badccc6987a68e2cd4c0@inbound.aiesec.org</v>
      </c>
      <c r="F1713" s="43">
        <f>IFERROR(__xludf.DUMMYFUNCTION("""COMPUTED_VALUE"""),2.7704054E7)</f>
        <v>27704054</v>
      </c>
      <c r="G1713" s="43" t="str">
        <f>IFERROR(__xludf.DUMMYFUNCTION("""COMPUTED_VALUE"""),"Tunisia")</f>
        <v>Tunisia</v>
      </c>
      <c r="H1713" s="43" t="str">
        <f>IFERROR(__xludf.DUMMYFUNCTION("""COMPUTED_VALUE"""),"MEDINA")</f>
        <v>MEDINA</v>
      </c>
      <c r="I1713" s="43" t="str">
        <f>IFERROR(__xludf.DUMMYFUNCTION("""COMPUTED_VALUE"""),"Turkey")</f>
        <v>Turkey</v>
      </c>
      <c r="J1713" s="43" t="str">
        <f>IFERROR(__xludf.DUMMYFUNCTION("""COMPUTED_VALUE"""),"ISTANBUL ASIA")</f>
        <v>ISTANBUL ASIA</v>
      </c>
      <c r="K1713" s="44" t="str">
        <f>IFERROR(__xludf.DUMMYFUNCTION("""COMPUTED_VALUE"""),"https://expa.aiesec.org/opportunities/1298612")</f>
        <v>https://expa.aiesec.org/opportunities/1298612</v>
      </c>
      <c r="L1713" s="43" t="str">
        <f>IFERROR(__xludf.DUMMYFUNCTION("""COMPUTED_VALUE"""),"GV")</f>
        <v>GV</v>
      </c>
      <c r="M1713" s="43" t="str">
        <f>IFERROR(__xludf.DUMMYFUNCTION("""COMPUTED_VALUE"""),"short")</f>
        <v>short</v>
      </c>
      <c r="N1713" s="45">
        <f>IFERROR(__xludf.DUMMYFUNCTION("""COMPUTED_VALUE"""),45260.0)</f>
        <v>45260</v>
      </c>
      <c r="O1713" s="45">
        <f>IFERROR(__xludf.DUMMYFUNCTION("""COMPUTED_VALUE"""),45297.0)</f>
        <v>45297</v>
      </c>
      <c r="P1713" s="45">
        <f>IFERROR(__xludf.DUMMYFUNCTION("""COMPUTED_VALUE"""),45339.0)</f>
        <v>45339</v>
      </c>
      <c r="Q1713" s="45">
        <f>IFERROR(__xludf.DUMMYFUNCTION("""COMPUTED_VALUE"""),45300.0)</f>
        <v>45300</v>
      </c>
      <c r="R1713" s="45">
        <f>IFERROR(__xludf.DUMMYFUNCTION("""COMPUTED_VALUE"""),45342.0)</f>
        <v>45342</v>
      </c>
      <c r="S1713" s="43"/>
      <c r="T1713" s="43"/>
      <c r="U1713" s="43" t="str">
        <f>IFERROR(__xludf.DUMMYFUNCTION("""COMPUTED_VALUE"""),"Eat 4 Change")</f>
        <v>Eat 4 Change</v>
      </c>
      <c r="V1713" s="43" t="str">
        <f>IFERROR(__xludf.DUMMYFUNCTION("""COMPUTED_VALUE"""),"FLAH")</f>
        <v>FLAH</v>
      </c>
      <c r="W1713" s="43" t="str">
        <f>IFERROR(__xludf.DUMMYFUNCTION("""COMPUTED_VALUE"""),"2023-11-29T17:37:59Z")</f>
        <v>2023-11-29T17:37:59Z</v>
      </c>
      <c r="X1713" s="43"/>
      <c r="Y1713" s="43"/>
      <c r="Z1713" s="43"/>
    </row>
    <row r="1714" hidden="1">
      <c r="A1714" s="43" t="str">
        <f>IFERROR(__xludf.DUMMYFUNCTION("""COMPUTED_VALUE"""),"5383129_1294622")</f>
        <v>5383129_1294622</v>
      </c>
      <c r="B1714" s="43" t="str">
        <f>IFERROR(__xludf.DUMMYFUNCTION("""COMPUTED_VALUE"""),"Anna Vytvytska")</f>
        <v>Anna Vytvytska</v>
      </c>
      <c r="C1714" s="43" t="str">
        <f>IFERROR(__xludf.DUMMYFUNCTION("""COMPUTED_VALUE"""),"approved")</f>
        <v>approved</v>
      </c>
      <c r="D1714" s="43" t="str">
        <f>IFERROR(__xludf.DUMMYFUNCTION("""COMPUTED_VALUE"""),"No")</f>
        <v>No</v>
      </c>
      <c r="E1714" s="43" t="str">
        <f>IFERROR(__xludf.DUMMYFUNCTION("""COMPUTED_VALUE"""),"p_108ac1afd3b1d9f71887d7fc8ff4a1da4ab62c38@inbound.aiesec.org")</f>
        <v>p_108ac1afd3b1d9f71887d7fc8ff4a1da4ab62c38@inbound.aiesec.org</v>
      </c>
      <c r="F1714" s="43">
        <f>IFERROR(__xludf.DUMMYFUNCTION("""COMPUTED_VALUE"""),9.88725612E8)</f>
        <v>988725612</v>
      </c>
      <c r="G1714" s="43" t="str">
        <f>IFERROR(__xludf.DUMMYFUNCTION("""COMPUTED_VALUE"""),"Ukraine")</f>
        <v>Ukraine</v>
      </c>
      <c r="H1714" s="43" t="str">
        <f>IFERROR(__xludf.DUMMYFUNCTION("""COMPUTED_VALUE"""),"IVANO-FRANKIVSK")</f>
        <v>IVANO-FRANKIVSK</v>
      </c>
      <c r="I1714" s="43" t="str">
        <f>IFERROR(__xludf.DUMMYFUNCTION("""COMPUTED_VALUE"""),"Turkey")</f>
        <v>Turkey</v>
      </c>
      <c r="J1714" s="43" t="str">
        <f>IFERROR(__xludf.DUMMYFUNCTION("""COMPUTED_VALUE"""),"ADANA")</f>
        <v>ADANA</v>
      </c>
      <c r="K1714" s="44" t="str">
        <f>IFERROR(__xludf.DUMMYFUNCTION("""COMPUTED_VALUE"""),"https://expa.aiesec.org/opportunities/1294622")</f>
        <v>https://expa.aiesec.org/opportunities/1294622</v>
      </c>
      <c r="L1714" s="43" t="str">
        <f>IFERROR(__xludf.DUMMYFUNCTION("""COMPUTED_VALUE"""),"GV")</f>
        <v>GV</v>
      </c>
      <c r="M1714" s="43" t="str">
        <f>IFERROR(__xludf.DUMMYFUNCTION("""COMPUTED_VALUE"""),"short")</f>
        <v>short</v>
      </c>
      <c r="N1714" s="45">
        <f>IFERROR(__xludf.DUMMYFUNCTION("""COMPUTED_VALUE"""),45260.0)</f>
        <v>45260</v>
      </c>
      <c r="O1714" s="45">
        <f>IFERROR(__xludf.DUMMYFUNCTION("""COMPUTED_VALUE"""),45516.0)</f>
        <v>45516</v>
      </c>
      <c r="P1714" s="45">
        <f>IFERROR(__xludf.DUMMYFUNCTION("""COMPUTED_VALUE"""),45558.0)</f>
        <v>45558</v>
      </c>
      <c r="Q1714" s="45"/>
      <c r="R1714" s="45"/>
      <c r="S1714" s="43"/>
      <c r="T1714" s="43"/>
      <c r="U1714" s="43" t="str">
        <f>IFERROR(__xludf.DUMMYFUNCTION("""COMPUTED_VALUE"""),"Equify")</f>
        <v>Equify</v>
      </c>
      <c r="V1714" s="43" t="str">
        <f>IFERROR(__xludf.DUMMYFUNCTION("""COMPUTED_VALUE"""),"Ivano-Frankivsk")</f>
        <v>Ivano-Frankivsk</v>
      </c>
      <c r="W1714" s="43" t="str">
        <f>IFERROR(__xludf.DUMMYFUNCTION("""COMPUTED_VALUE"""),"2023-11-30T12:44:50Z")</f>
        <v>2023-11-30T12:44:50Z</v>
      </c>
      <c r="X1714" s="43"/>
      <c r="Y1714" s="43"/>
      <c r="Z1714" s="43"/>
    </row>
    <row r="1715" hidden="1">
      <c r="A1715" s="43" t="str">
        <f>IFERROR(__xludf.DUMMYFUNCTION("""COMPUTED_VALUE"""),"4222295_1290826")</f>
        <v>4222295_1290826</v>
      </c>
      <c r="B1715" s="43" t="str">
        <f>IFERROR(__xludf.DUMMYFUNCTION("""COMPUTED_VALUE"""),"Saiefeddine Azaiez")</f>
        <v>Saiefeddine Azaiez</v>
      </c>
      <c r="C1715" s="43" t="str">
        <f>IFERROR(__xludf.DUMMYFUNCTION("""COMPUTED_VALUE"""),"realized")</f>
        <v>realized</v>
      </c>
      <c r="D1715" s="43" t="str">
        <f>IFERROR(__xludf.DUMMYFUNCTION("""COMPUTED_VALUE"""),"No")</f>
        <v>No</v>
      </c>
      <c r="E1715" s="43" t="str">
        <f>IFERROR(__xludf.DUMMYFUNCTION("""COMPUTED_VALUE"""),"p_2da9c854370784a070383d29c59c8faaceffd810@inbound.aiesec.org")</f>
        <v>p_2da9c854370784a070383d29c59c8faaceffd810@inbound.aiesec.org</v>
      </c>
      <c r="F1715" s="43">
        <f>IFERROR(__xludf.DUMMYFUNCTION("""COMPUTED_VALUE"""),5.6598782E7)</f>
        <v>56598782</v>
      </c>
      <c r="G1715" s="43" t="str">
        <f>IFERROR(__xludf.DUMMYFUNCTION("""COMPUTED_VALUE"""),"Tunisia")</f>
        <v>Tunisia</v>
      </c>
      <c r="H1715" s="43" t="str">
        <f>IFERROR(__xludf.DUMMYFUNCTION("""COMPUTED_VALUE"""),"HADRUMET")</f>
        <v>HADRUMET</v>
      </c>
      <c r="I1715" s="43" t="str">
        <f>IFERROR(__xludf.DUMMYFUNCTION("""COMPUTED_VALUE"""),"Turkey")</f>
        <v>Turkey</v>
      </c>
      <c r="J1715" s="43" t="str">
        <f>IFERROR(__xludf.DUMMYFUNCTION("""COMPUTED_VALUE"""),"KOCAELI")</f>
        <v>KOCAELI</v>
      </c>
      <c r="K1715" s="44" t="str">
        <f>IFERROR(__xludf.DUMMYFUNCTION("""COMPUTED_VALUE"""),"https://expa.aiesec.org/opportunities/1290826")</f>
        <v>https://expa.aiesec.org/opportunities/1290826</v>
      </c>
      <c r="L1715" s="43" t="str">
        <f>IFERROR(__xludf.DUMMYFUNCTION("""COMPUTED_VALUE"""),"GV")</f>
        <v>GV</v>
      </c>
      <c r="M1715" s="43" t="str">
        <f>IFERROR(__xludf.DUMMYFUNCTION("""COMPUTED_VALUE"""),"short")</f>
        <v>short</v>
      </c>
      <c r="N1715" s="45">
        <f>IFERROR(__xludf.DUMMYFUNCTION("""COMPUTED_VALUE"""),45260.0)</f>
        <v>45260</v>
      </c>
      <c r="O1715" s="45">
        <f>IFERROR(__xludf.DUMMYFUNCTION("""COMPUTED_VALUE"""),45299.0)</f>
        <v>45299</v>
      </c>
      <c r="P1715" s="45">
        <f>IFERROR(__xludf.DUMMYFUNCTION("""COMPUTED_VALUE"""),45341.0)</f>
        <v>45341</v>
      </c>
      <c r="Q1715" s="45">
        <f>IFERROR(__xludf.DUMMYFUNCTION("""COMPUTED_VALUE"""),45307.0)</f>
        <v>45307</v>
      </c>
      <c r="R1715" s="45">
        <f>IFERROR(__xludf.DUMMYFUNCTION("""COMPUTED_VALUE"""),45349.0)</f>
        <v>45349</v>
      </c>
      <c r="S1715" s="43"/>
      <c r="T1715" s="43"/>
      <c r="U1715" s="43" t="str">
        <f>IFERROR(__xludf.DUMMYFUNCTION("""COMPUTED_VALUE"""),"Global Classroom")</f>
        <v>Global Classroom</v>
      </c>
      <c r="V1715" s="43" t="str">
        <f>IFERROR(__xludf.DUMMYFUNCTION("""COMPUTED_VALUE"""),"ESSTHS")</f>
        <v>ESSTHS</v>
      </c>
      <c r="W1715" s="43" t="str">
        <f>IFERROR(__xludf.DUMMYFUNCTION("""COMPUTED_VALUE"""),"2020-02-28T12:50:12Z")</f>
        <v>2020-02-28T12:50:12Z</v>
      </c>
      <c r="X1715" s="43"/>
      <c r="Y1715" s="43"/>
      <c r="Z1715" s="43"/>
    </row>
    <row r="1716" hidden="1">
      <c r="A1716" s="43" t="str">
        <f>IFERROR(__xludf.DUMMYFUNCTION("""COMPUTED_VALUE"""),"5056492_1295260")</f>
        <v>5056492_1295260</v>
      </c>
      <c r="B1716" s="43" t="str">
        <f>IFERROR(__xludf.DUMMYFUNCTION("""COMPUTED_VALUE"""),"sarah Mkademini")</f>
        <v>sarah Mkademini</v>
      </c>
      <c r="C1716" s="43" t="str">
        <f>IFERROR(__xludf.DUMMYFUNCTION("""COMPUTED_VALUE"""),"approved")</f>
        <v>approved</v>
      </c>
      <c r="D1716" s="43" t="str">
        <f>IFERROR(__xludf.DUMMYFUNCTION("""COMPUTED_VALUE"""),"No")</f>
        <v>No</v>
      </c>
      <c r="E1716" s="43" t="str">
        <f>IFERROR(__xludf.DUMMYFUNCTION("""COMPUTED_VALUE"""),"p_200efe9371230e81adaf4d023eb33997c1236711@inbound.aiesec.org")</f>
        <v>p_200efe9371230e81adaf4d023eb33997c1236711@inbound.aiesec.org</v>
      </c>
      <c r="F1716" s="43">
        <f>IFERROR(__xludf.DUMMYFUNCTION("""COMPUTED_VALUE"""),5.4008977E7)</f>
        <v>54008977</v>
      </c>
      <c r="G1716" s="43" t="str">
        <f>IFERROR(__xludf.DUMMYFUNCTION("""COMPUTED_VALUE"""),"Tunisia")</f>
        <v>Tunisia</v>
      </c>
      <c r="H1716" s="43" t="str">
        <f>IFERROR(__xludf.DUMMYFUNCTION("""COMPUTED_VALUE"""),"MEDINA")</f>
        <v>MEDINA</v>
      </c>
      <c r="I1716" s="43" t="str">
        <f>IFERROR(__xludf.DUMMYFUNCTION("""COMPUTED_VALUE"""),"Turkey")</f>
        <v>Turkey</v>
      </c>
      <c r="J1716" s="43" t="str">
        <f>IFERROR(__xludf.DUMMYFUNCTION("""COMPUTED_VALUE"""),"KOCAELI")</f>
        <v>KOCAELI</v>
      </c>
      <c r="K1716" s="44" t="str">
        <f>IFERROR(__xludf.DUMMYFUNCTION("""COMPUTED_VALUE"""),"https://expa.aiesec.org/opportunities/1295260")</f>
        <v>https://expa.aiesec.org/opportunities/1295260</v>
      </c>
      <c r="L1716" s="43" t="str">
        <f>IFERROR(__xludf.DUMMYFUNCTION("""COMPUTED_VALUE"""),"GV")</f>
        <v>GV</v>
      </c>
      <c r="M1716" s="43" t="str">
        <f>IFERROR(__xludf.DUMMYFUNCTION("""COMPUTED_VALUE"""),"short")</f>
        <v>short</v>
      </c>
      <c r="N1716" s="45">
        <f>IFERROR(__xludf.DUMMYFUNCTION("""COMPUTED_VALUE"""),45260.0)</f>
        <v>45260</v>
      </c>
      <c r="O1716" s="45">
        <f>IFERROR(__xludf.DUMMYFUNCTION("""COMPUTED_VALUE"""),45488.0)</f>
        <v>45488</v>
      </c>
      <c r="P1716" s="45">
        <f>IFERROR(__xludf.DUMMYFUNCTION("""COMPUTED_VALUE"""),45530.0)</f>
        <v>45530</v>
      </c>
      <c r="Q1716" s="45"/>
      <c r="R1716" s="45"/>
      <c r="S1716" s="43"/>
      <c r="T1716" s="43"/>
      <c r="U1716" s="43" t="str">
        <f>IFERROR(__xludf.DUMMYFUNCTION("""COMPUTED_VALUE"""),"Fingerprint")</f>
        <v>Fingerprint</v>
      </c>
      <c r="V1716" s="43" t="str">
        <f>IFERROR(__xludf.DUMMYFUNCTION("""COMPUTED_VALUE"""),"FLAH")</f>
        <v>FLAH</v>
      </c>
      <c r="W1716" s="43" t="str">
        <f>IFERROR(__xludf.DUMMYFUNCTION("""COMPUTED_VALUE"""),"2022-05-13T17:57:37Z")</f>
        <v>2022-05-13T17:57:37Z</v>
      </c>
      <c r="X1716" s="43"/>
      <c r="Y1716" s="43"/>
      <c r="Z1716" s="43"/>
    </row>
    <row r="1717" hidden="1">
      <c r="A1717" s="43" t="str">
        <f>IFERROR(__xludf.DUMMYFUNCTION("""COMPUTED_VALUE"""),"5382800_1296670")</f>
        <v>5382800_1296670</v>
      </c>
      <c r="B1717" s="43" t="str">
        <f>IFERROR(__xludf.DUMMYFUNCTION("""COMPUTED_VALUE"""),"Zeinb abdullah")</f>
        <v>Zeinb abdullah</v>
      </c>
      <c r="C1717" s="43" t="str">
        <f>IFERROR(__xludf.DUMMYFUNCTION("""COMPUTED_VALUE"""),"approved")</f>
        <v>approved</v>
      </c>
      <c r="D1717" s="43" t="str">
        <f>IFERROR(__xludf.DUMMYFUNCTION("""COMPUTED_VALUE"""),"No")</f>
        <v>No</v>
      </c>
      <c r="E1717" s="43" t="str">
        <f>IFERROR(__xludf.DUMMYFUNCTION("""COMPUTED_VALUE"""),"p_cf7cec3e274b9f6a484478c3886efd3e436e65d8@inbound.aiesec.org")</f>
        <v>p_cf7cec3e274b9f6a484478c3886efd3e436e65d8@inbound.aiesec.org</v>
      </c>
      <c r="F1717" s="43">
        <f>IFERROR(__xludf.DUMMYFUNCTION("""COMPUTED_VALUE"""),1.099248612E9)</f>
        <v>1099248612</v>
      </c>
      <c r="G1717" s="43" t="str">
        <f>IFERROR(__xludf.DUMMYFUNCTION("""COMPUTED_VALUE"""),"Egypt")</f>
        <v>Egypt</v>
      </c>
      <c r="H1717" s="43" t="str">
        <f>IFERROR(__xludf.DUMMYFUNCTION("""COMPUTED_VALUE"""),"Zagazig")</f>
        <v>Zagazig</v>
      </c>
      <c r="I1717" s="43" t="str">
        <f>IFERROR(__xludf.DUMMYFUNCTION("""COMPUTED_VALUE"""),"Turkey")</f>
        <v>Turkey</v>
      </c>
      <c r="J1717" s="43" t="str">
        <f>IFERROR(__xludf.DUMMYFUNCTION("""COMPUTED_VALUE"""),"BURSA")</f>
        <v>BURSA</v>
      </c>
      <c r="K1717" s="44" t="str">
        <f>IFERROR(__xludf.DUMMYFUNCTION("""COMPUTED_VALUE"""),"https://expa.aiesec.org/opportunities/1296670")</f>
        <v>https://expa.aiesec.org/opportunities/1296670</v>
      </c>
      <c r="L1717" s="43" t="str">
        <f>IFERROR(__xludf.DUMMYFUNCTION("""COMPUTED_VALUE"""),"GV")</f>
        <v>GV</v>
      </c>
      <c r="M1717" s="43" t="str">
        <f>IFERROR(__xludf.DUMMYFUNCTION("""COMPUTED_VALUE"""),"short")</f>
        <v>short</v>
      </c>
      <c r="N1717" s="45">
        <f>IFERROR(__xludf.DUMMYFUNCTION("""COMPUTED_VALUE"""),45260.0)</f>
        <v>45260</v>
      </c>
      <c r="O1717" s="45">
        <f>IFERROR(__xludf.DUMMYFUNCTION("""COMPUTED_VALUE"""),45327.0)</f>
        <v>45327</v>
      </c>
      <c r="P1717" s="45">
        <f>IFERROR(__xludf.DUMMYFUNCTION("""COMPUTED_VALUE"""),45369.0)</f>
        <v>45369</v>
      </c>
      <c r="Q1717" s="45"/>
      <c r="R1717" s="45"/>
      <c r="S1717" s="43"/>
      <c r="T1717" s="43"/>
      <c r="U1717" s="43" t="str">
        <f>IFERROR(__xludf.DUMMYFUNCTION("""COMPUTED_VALUE"""),"Youth 4 Impact")</f>
        <v>Youth 4 Impact</v>
      </c>
      <c r="V1717" s="43" t="str">
        <f>IFERROR(__xludf.DUMMYFUNCTION("""COMPUTED_VALUE"""),"Zagazig")</f>
        <v>Zagazig</v>
      </c>
      <c r="W1717" s="43" t="str">
        <f>IFERROR(__xludf.DUMMYFUNCTION("""COMPUTED_VALUE"""),"2023-11-29T22:29:08Z")</f>
        <v>2023-11-29T22:29:08Z</v>
      </c>
      <c r="X1717" s="43"/>
      <c r="Y1717" s="43"/>
      <c r="Z1717" s="43"/>
    </row>
    <row r="1718" hidden="1">
      <c r="A1718" s="43" t="str">
        <f>IFERROR(__xludf.DUMMYFUNCTION("""COMPUTED_VALUE"""),"5382678_1296671")</f>
        <v>5382678_1296671</v>
      </c>
      <c r="B1718" s="43" t="str">
        <f>IFERROR(__xludf.DUMMYFUNCTION("""COMPUTED_VALUE"""),"Kholoud Ahmed")</f>
        <v>Kholoud Ahmed</v>
      </c>
      <c r="C1718" s="43" t="str">
        <f>IFERROR(__xludf.DUMMYFUNCTION("""COMPUTED_VALUE"""),"approved")</f>
        <v>approved</v>
      </c>
      <c r="D1718" s="43" t="str">
        <f>IFERROR(__xludf.DUMMYFUNCTION("""COMPUTED_VALUE"""),"No")</f>
        <v>No</v>
      </c>
      <c r="E1718" s="43" t="str">
        <f>IFERROR(__xludf.DUMMYFUNCTION("""COMPUTED_VALUE"""),"p_008cdb7af2dcac513eed725b09dcf402fdcb41ef@inbound.aiesec.org")</f>
        <v>p_008cdb7af2dcac513eed725b09dcf402fdcb41ef@inbound.aiesec.org</v>
      </c>
      <c r="F1718" s="43">
        <f>IFERROR(__xludf.DUMMYFUNCTION("""COMPUTED_VALUE"""),1.098317842E9)</f>
        <v>1098317842</v>
      </c>
      <c r="G1718" s="43" t="str">
        <f>IFERROR(__xludf.DUMMYFUNCTION("""COMPUTED_VALUE"""),"Egypt")</f>
        <v>Egypt</v>
      </c>
      <c r="H1718" s="43" t="str">
        <f>IFERROR(__xludf.DUMMYFUNCTION("""COMPUTED_VALUE"""),"MUST")</f>
        <v>MUST</v>
      </c>
      <c r="I1718" s="43" t="str">
        <f>IFERROR(__xludf.DUMMYFUNCTION("""COMPUTED_VALUE"""),"Turkey")</f>
        <v>Turkey</v>
      </c>
      <c r="J1718" s="43" t="str">
        <f>IFERROR(__xludf.DUMMYFUNCTION("""COMPUTED_VALUE"""),"BURSA")</f>
        <v>BURSA</v>
      </c>
      <c r="K1718" s="44" t="str">
        <f>IFERROR(__xludf.DUMMYFUNCTION("""COMPUTED_VALUE"""),"https://expa.aiesec.org/opportunities/1296671")</f>
        <v>https://expa.aiesec.org/opportunities/1296671</v>
      </c>
      <c r="L1718" s="43" t="str">
        <f>IFERROR(__xludf.DUMMYFUNCTION("""COMPUTED_VALUE"""),"GV")</f>
        <v>GV</v>
      </c>
      <c r="M1718" s="43" t="str">
        <f>IFERROR(__xludf.DUMMYFUNCTION("""COMPUTED_VALUE"""),"short")</f>
        <v>short</v>
      </c>
      <c r="N1718" s="45">
        <f>IFERROR(__xludf.DUMMYFUNCTION("""COMPUTED_VALUE"""),45260.0)</f>
        <v>45260</v>
      </c>
      <c r="O1718" s="45">
        <f>IFERROR(__xludf.DUMMYFUNCTION("""COMPUTED_VALUE"""),45327.0)</f>
        <v>45327</v>
      </c>
      <c r="P1718" s="45">
        <f>IFERROR(__xludf.DUMMYFUNCTION("""COMPUTED_VALUE"""),45369.0)</f>
        <v>45369</v>
      </c>
      <c r="Q1718" s="45"/>
      <c r="R1718" s="45"/>
      <c r="S1718" s="43"/>
      <c r="T1718" s="43"/>
      <c r="U1718" s="43" t="str">
        <f>IFERROR(__xludf.DUMMYFUNCTION("""COMPUTED_VALUE"""),"Youth 4 Impact")</f>
        <v>Youth 4 Impact</v>
      </c>
      <c r="V1718" s="43" t="str">
        <f>IFERROR(__xludf.DUMMYFUNCTION("""COMPUTED_VALUE"""),"MUST University")</f>
        <v>MUST University</v>
      </c>
      <c r="W1718" s="43" t="str">
        <f>IFERROR(__xludf.DUMMYFUNCTION("""COMPUTED_VALUE"""),"2023-11-29T18:34:00Z")</f>
        <v>2023-11-29T18:34:00Z</v>
      </c>
      <c r="X1718" s="43"/>
      <c r="Y1718" s="43"/>
      <c r="Z1718" s="43"/>
    </row>
    <row r="1719" hidden="1">
      <c r="A1719" s="43" t="str">
        <f>IFERROR(__xludf.DUMMYFUNCTION("""COMPUTED_VALUE"""),"5327074_1294877")</f>
        <v>5327074_1294877</v>
      </c>
      <c r="B1719" s="43" t="str">
        <f>IFERROR(__xludf.DUMMYFUNCTION("""COMPUTED_VALUE"""),"Halima Benarfa")</f>
        <v>Halima Benarfa</v>
      </c>
      <c r="C1719" s="43" t="str">
        <f>IFERROR(__xludf.DUMMYFUNCTION("""COMPUTED_VALUE"""),"approved")</f>
        <v>approved</v>
      </c>
      <c r="D1719" s="43" t="str">
        <f>IFERROR(__xludf.DUMMYFUNCTION("""COMPUTED_VALUE"""),"No")</f>
        <v>No</v>
      </c>
      <c r="E1719" s="43" t="str">
        <f>IFERROR(__xludf.DUMMYFUNCTION("""COMPUTED_VALUE"""),"p_4631ac79cf6625f2f0b3c5d17d9bafecba9f9780@inbound.aiesec.org")</f>
        <v>p_4631ac79cf6625f2f0b3c5d17d9bafecba9f9780@inbound.aiesec.org</v>
      </c>
      <c r="F1719" s="43">
        <f>IFERROR(__xludf.DUMMYFUNCTION("""COMPUTED_VALUE"""),6.66306734E8)</f>
        <v>666306734</v>
      </c>
      <c r="G1719" s="43" t="str">
        <f>IFERROR(__xludf.DUMMYFUNCTION("""COMPUTED_VALUE"""),"Algeria")</f>
        <v>Algeria</v>
      </c>
      <c r="H1719" s="43" t="str">
        <f>IFERROR(__xludf.DUMMYFUNCTION("""COMPUTED_VALUE"""),"Blida")</f>
        <v>Blida</v>
      </c>
      <c r="I1719" s="43" t="str">
        <f>IFERROR(__xludf.DUMMYFUNCTION("""COMPUTED_VALUE"""),"Turkey")</f>
        <v>Turkey</v>
      </c>
      <c r="J1719" s="43" t="str">
        <f>IFERROR(__xludf.DUMMYFUNCTION("""COMPUTED_VALUE"""),"BURSA")</f>
        <v>BURSA</v>
      </c>
      <c r="K1719" s="44" t="str">
        <f>IFERROR(__xludf.DUMMYFUNCTION("""COMPUTED_VALUE"""),"https://expa.aiesec.org/opportunities/1294877")</f>
        <v>https://expa.aiesec.org/opportunities/1294877</v>
      </c>
      <c r="L1719" s="43" t="str">
        <f>IFERROR(__xludf.DUMMYFUNCTION("""COMPUTED_VALUE"""),"GV")</f>
        <v>GV</v>
      </c>
      <c r="M1719" s="43" t="str">
        <f>IFERROR(__xludf.DUMMYFUNCTION("""COMPUTED_VALUE"""),"short")</f>
        <v>short</v>
      </c>
      <c r="N1719" s="45">
        <f>IFERROR(__xludf.DUMMYFUNCTION("""COMPUTED_VALUE"""),45260.0)</f>
        <v>45260</v>
      </c>
      <c r="O1719" s="45">
        <f>IFERROR(__xludf.DUMMYFUNCTION("""COMPUTED_VALUE"""),45264.0)</f>
        <v>45264</v>
      </c>
      <c r="P1719" s="45">
        <f>IFERROR(__xludf.DUMMYFUNCTION("""COMPUTED_VALUE"""),45306.0)</f>
        <v>45306</v>
      </c>
      <c r="Q1719" s="45"/>
      <c r="R1719" s="45"/>
      <c r="S1719" s="43"/>
      <c r="T1719" s="43"/>
      <c r="U1719" s="43" t="str">
        <f>IFERROR(__xludf.DUMMYFUNCTION("""COMPUTED_VALUE"""),"Youth 4 Impact")</f>
        <v>Youth 4 Impact</v>
      </c>
      <c r="V1719" s="43" t="str">
        <f>IFERROR(__xludf.DUMMYFUNCTION("""COMPUTED_VALUE"""),"AIESEC in Blida")</f>
        <v>AIESEC in Blida</v>
      </c>
      <c r="W1719" s="43" t="str">
        <f>IFERROR(__xludf.DUMMYFUNCTION("""COMPUTED_VALUE"""),"2023-09-18T23:06:40Z")</f>
        <v>2023-09-18T23:06:40Z</v>
      </c>
      <c r="X1719" s="43"/>
      <c r="Y1719" s="43"/>
      <c r="Z1719" s="43"/>
    </row>
    <row r="1720" hidden="1">
      <c r="A1720" s="43" t="str">
        <f>IFERROR(__xludf.DUMMYFUNCTION("""COMPUTED_VALUE"""),"5383493_1289095")</f>
        <v>5383493_1289095</v>
      </c>
      <c r="B1720" s="43" t="str">
        <f>IFERROR(__xludf.DUMMYFUNCTION("""COMPUTED_VALUE"""),"abdelrahman magdy")</f>
        <v>abdelrahman magdy</v>
      </c>
      <c r="C1720" s="43" t="str">
        <f>IFERROR(__xludf.DUMMYFUNCTION("""COMPUTED_VALUE"""),"approved")</f>
        <v>approved</v>
      </c>
      <c r="D1720" s="43" t="str">
        <f>IFERROR(__xludf.DUMMYFUNCTION("""COMPUTED_VALUE"""),"No")</f>
        <v>No</v>
      </c>
      <c r="E1720" s="43" t="str">
        <f>IFERROR(__xludf.DUMMYFUNCTION("""COMPUTED_VALUE"""),"p_203863b7ae901169af72a6b70e8b27d4ebab72bc@inbound.aiesec.org")</f>
        <v>p_203863b7ae901169af72a6b70e8b27d4ebab72bc@inbound.aiesec.org</v>
      </c>
      <c r="F1720" s="43">
        <f>IFERROR(__xludf.DUMMYFUNCTION("""COMPUTED_VALUE"""),1.212009638E9)</f>
        <v>1212009638</v>
      </c>
      <c r="G1720" s="43" t="str">
        <f>IFERROR(__xludf.DUMMYFUNCTION("""COMPUTED_VALUE"""),"Egypt")</f>
        <v>Egypt</v>
      </c>
      <c r="H1720" s="43" t="str">
        <f>IFERROR(__xludf.DUMMYFUNCTION("""COMPUTED_VALUE"""),"MUST")</f>
        <v>MUST</v>
      </c>
      <c r="I1720" s="43" t="str">
        <f>IFERROR(__xludf.DUMMYFUNCTION("""COMPUTED_VALUE"""),"Turkey")</f>
        <v>Turkey</v>
      </c>
      <c r="J1720" s="43" t="str">
        <f>IFERROR(__xludf.DUMMYFUNCTION("""COMPUTED_VALUE"""),"BURSA")</f>
        <v>BURSA</v>
      </c>
      <c r="K1720" s="44" t="str">
        <f>IFERROR(__xludf.DUMMYFUNCTION("""COMPUTED_VALUE"""),"https://expa.aiesec.org/opportunities/1289095")</f>
        <v>https://expa.aiesec.org/opportunities/1289095</v>
      </c>
      <c r="L1720" s="43" t="str">
        <f>IFERROR(__xludf.DUMMYFUNCTION("""COMPUTED_VALUE"""),"GV")</f>
        <v>GV</v>
      </c>
      <c r="M1720" s="43" t="str">
        <f>IFERROR(__xludf.DUMMYFUNCTION("""COMPUTED_VALUE"""),"short")</f>
        <v>short</v>
      </c>
      <c r="N1720" s="45">
        <f>IFERROR(__xludf.DUMMYFUNCTION("""COMPUTED_VALUE"""),45260.0)</f>
        <v>45260</v>
      </c>
      <c r="O1720" s="45">
        <f>IFERROR(__xludf.DUMMYFUNCTION("""COMPUTED_VALUE"""),45334.0)</f>
        <v>45334</v>
      </c>
      <c r="P1720" s="45">
        <f>IFERROR(__xludf.DUMMYFUNCTION("""COMPUTED_VALUE"""),45376.0)</f>
        <v>45376</v>
      </c>
      <c r="Q1720" s="45"/>
      <c r="R1720" s="45"/>
      <c r="S1720" s="43"/>
      <c r="T1720" s="43"/>
      <c r="U1720" s="43" t="str">
        <f>IFERROR(__xludf.DUMMYFUNCTION("""COMPUTED_VALUE"""),"Global Classroom")</f>
        <v>Global Classroom</v>
      </c>
      <c r="V1720" s="43" t="str">
        <f>IFERROR(__xludf.DUMMYFUNCTION("""COMPUTED_VALUE"""),"CIC October")</f>
        <v>CIC October</v>
      </c>
      <c r="W1720" s="43" t="str">
        <f>IFERROR(__xludf.DUMMYFUNCTION("""COMPUTED_VALUE"""),"2023-11-30T20:29:36Z")</f>
        <v>2023-11-30T20:29:36Z</v>
      </c>
      <c r="X1720" s="43"/>
      <c r="Y1720" s="43"/>
      <c r="Z1720" s="43"/>
    </row>
    <row r="1721" hidden="1">
      <c r="A1721" s="43" t="str">
        <f>IFERROR(__xludf.DUMMYFUNCTION("""COMPUTED_VALUE"""),"5158229_1284077")</f>
        <v>5158229_1284077</v>
      </c>
      <c r="B1721" s="43" t="str">
        <f>IFERROR(__xludf.DUMMYFUNCTION("""COMPUTED_VALUE"""),"Omnia Adli")</f>
        <v>Omnia Adli</v>
      </c>
      <c r="C1721" s="43" t="str">
        <f>IFERROR(__xludf.DUMMYFUNCTION("""COMPUTED_VALUE"""),"approved")</f>
        <v>approved</v>
      </c>
      <c r="D1721" s="43" t="str">
        <f>IFERROR(__xludf.DUMMYFUNCTION("""COMPUTED_VALUE"""),"No")</f>
        <v>No</v>
      </c>
      <c r="E1721" s="43" t="str">
        <f>IFERROR(__xludf.DUMMYFUNCTION("""COMPUTED_VALUE"""),"p_1940fbca91d72b5888df41381a56a54f1972f2d7@inbound.aiesec.org")</f>
        <v>p_1940fbca91d72b5888df41381a56a54f1972f2d7@inbound.aiesec.org</v>
      </c>
      <c r="F1721" s="43">
        <f>IFERROR(__xludf.DUMMYFUNCTION("""COMPUTED_VALUE"""),1.121343379E9)</f>
        <v>1121343379</v>
      </c>
      <c r="G1721" s="43" t="str">
        <f>IFERROR(__xludf.DUMMYFUNCTION("""COMPUTED_VALUE"""),"Egypt")</f>
        <v>Egypt</v>
      </c>
      <c r="H1721" s="43" t="str">
        <f>IFERROR(__xludf.DUMMYFUNCTION("""COMPUTED_VALUE"""),"Cairo University")</f>
        <v>Cairo University</v>
      </c>
      <c r="I1721" s="43" t="str">
        <f>IFERROR(__xludf.DUMMYFUNCTION("""COMPUTED_VALUE"""),"Turkey")</f>
        <v>Turkey</v>
      </c>
      <c r="J1721" s="43" t="str">
        <f>IFERROR(__xludf.DUMMYFUNCTION("""COMPUTED_VALUE"""),"GAZIANTEP")</f>
        <v>GAZIANTEP</v>
      </c>
      <c r="K1721" s="44" t="str">
        <f>IFERROR(__xludf.DUMMYFUNCTION("""COMPUTED_VALUE"""),"https://expa.aiesec.org/opportunities/1284077")</f>
        <v>https://expa.aiesec.org/opportunities/1284077</v>
      </c>
      <c r="L1721" s="43" t="str">
        <f>IFERROR(__xludf.DUMMYFUNCTION("""COMPUTED_VALUE"""),"GV")</f>
        <v>GV</v>
      </c>
      <c r="M1721" s="43" t="str">
        <f>IFERROR(__xludf.DUMMYFUNCTION("""COMPUTED_VALUE"""),"short")</f>
        <v>short</v>
      </c>
      <c r="N1721" s="45">
        <f>IFERROR(__xludf.DUMMYFUNCTION("""COMPUTED_VALUE"""),45260.0)</f>
        <v>45260</v>
      </c>
      <c r="O1721" s="45">
        <f>IFERROR(__xludf.DUMMYFUNCTION("""COMPUTED_VALUE"""),45422.0)</f>
        <v>45422</v>
      </c>
      <c r="P1721" s="45">
        <f>IFERROR(__xludf.DUMMYFUNCTION("""COMPUTED_VALUE"""),45464.0)</f>
        <v>45464</v>
      </c>
      <c r="Q1721" s="45"/>
      <c r="R1721" s="45"/>
      <c r="S1721" s="43"/>
      <c r="T1721" s="43"/>
      <c r="U1721" s="43" t="str">
        <f>IFERROR(__xludf.DUMMYFUNCTION("""COMPUTED_VALUE"""),"Global Classroom")</f>
        <v>Global Classroom</v>
      </c>
      <c r="V1721" s="43" t="str">
        <f>IFERROR(__xludf.DUMMYFUNCTION("""COMPUTED_VALUE"""),"Cairo Univeristy")</f>
        <v>Cairo Univeristy</v>
      </c>
      <c r="W1721" s="43" t="str">
        <f>IFERROR(__xludf.DUMMYFUNCTION("""COMPUTED_VALUE"""),"2022-11-24T09:37:03Z")</f>
        <v>2022-11-24T09:37:03Z</v>
      </c>
      <c r="X1721" s="43"/>
      <c r="Y1721" s="43"/>
      <c r="Z1721" s="43"/>
    </row>
    <row r="1722" hidden="1">
      <c r="A1722" s="43" t="str">
        <f>IFERROR(__xludf.DUMMYFUNCTION("""COMPUTED_VALUE"""),"5382620_1288970")</f>
        <v>5382620_1288970</v>
      </c>
      <c r="B1722" s="43" t="str">
        <f>IFERROR(__xludf.DUMMYFUNCTION("""COMPUTED_VALUE"""),"Hassan Mohammed")</f>
        <v>Hassan Mohammed</v>
      </c>
      <c r="C1722" s="43" t="str">
        <f>IFERROR(__xludf.DUMMYFUNCTION("""COMPUTED_VALUE"""),"approved")</f>
        <v>approved</v>
      </c>
      <c r="D1722" s="43" t="str">
        <f>IFERROR(__xludf.DUMMYFUNCTION("""COMPUTED_VALUE"""),"No")</f>
        <v>No</v>
      </c>
      <c r="E1722" s="43" t="str">
        <f>IFERROR(__xludf.DUMMYFUNCTION("""COMPUTED_VALUE"""),"p_39a293e4f3f7bd1f0d87337c23632d7d1a1363c1@inbound.aiesec.org")</f>
        <v>p_39a293e4f3f7bd1f0d87337c23632d7d1a1363c1@inbound.aiesec.org</v>
      </c>
      <c r="F1722" s="43">
        <f>IFERROR(__xludf.DUMMYFUNCTION("""COMPUTED_VALUE"""),1.030791968E9)</f>
        <v>1030791968</v>
      </c>
      <c r="G1722" s="43" t="str">
        <f>IFERROR(__xludf.DUMMYFUNCTION("""COMPUTED_VALUE"""),"Egypt")</f>
        <v>Egypt</v>
      </c>
      <c r="H1722" s="43" t="str">
        <f>IFERROR(__xludf.DUMMYFUNCTION("""COMPUTED_VALUE"""),"Helwan")</f>
        <v>Helwan</v>
      </c>
      <c r="I1722" s="43" t="str">
        <f>IFERROR(__xludf.DUMMYFUNCTION("""COMPUTED_VALUE"""),"Turkey")</f>
        <v>Turkey</v>
      </c>
      <c r="J1722" s="43" t="str">
        <f>IFERROR(__xludf.DUMMYFUNCTION("""COMPUTED_VALUE"""),"İZMİR")</f>
        <v>İZMİR</v>
      </c>
      <c r="K1722" s="44" t="str">
        <f>IFERROR(__xludf.DUMMYFUNCTION("""COMPUTED_VALUE"""),"https://expa.aiesec.org/opportunities/1288970")</f>
        <v>https://expa.aiesec.org/opportunities/1288970</v>
      </c>
      <c r="L1722" s="43" t="str">
        <f>IFERROR(__xludf.DUMMYFUNCTION("""COMPUTED_VALUE"""),"GV")</f>
        <v>GV</v>
      </c>
      <c r="M1722" s="43" t="str">
        <f>IFERROR(__xludf.DUMMYFUNCTION("""COMPUTED_VALUE"""),"short")</f>
        <v>short</v>
      </c>
      <c r="N1722" s="45">
        <f>IFERROR(__xludf.DUMMYFUNCTION("""COMPUTED_VALUE"""),45260.0)</f>
        <v>45260</v>
      </c>
      <c r="O1722" s="45">
        <f>IFERROR(__xludf.DUMMYFUNCTION("""COMPUTED_VALUE"""),45509.0)</f>
        <v>45509</v>
      </c>
      <c r="P1722" s="45">
        <f>IFERROR(__xludf.DUMMYFUNCTION("""COMPUTED_VALUE"""),45551.0)</f>
        <v>45551</v>
      </c>
      <c r="Q1722" s="45"/>
      <c r="R1722" s="45"/>
      <c r="S1722" s="43"/>
      <c r="T1722" s="43"/>
      <c r="U1722" s="43" t="str">
        <f>IFERROR(__xludf.DUMMYFUNCTION("""COMPUTED_VALUE"""),"Fingerprint")</f>
        <v>Fingerprint</v>
      </c>
      <c r="V1722" s="43" t="str">
        <f>IFERROR(__xludf.DUMMYFUNCTION("""COMPUTED_VALUE"""),"Helwan University")</f>
        <v>Helwan University</v>
      </c>
      <c r="W1722" s="43" t="str">
        <f>IFERROR(__xludf.DUMMYFUNCTION("""COMPUTED_VALUE"""),"2023-11-29T17:50:40Z")</f>
        <v>2023-11-29T17:50:40Z</v>
      </c>
      <c r="X1722" s="43"/>
      <c r="Y1722" s="43"/>
      <c r="Z1722" s="43"/>
    </row>
    <row r="1723" hidden="1">
      <c r="A1723" s="43" t="str">
        <f>IFERROR(__xludf.DUMMYFUNCTION("""COMPUTED_VALUE"""),"5383814_1280872")</f>
        <v>5383814_1280872</v>
      </c>
      <c r="B1723" s="43" t="str">
        <f>IFERROR(__xludf.DUMMYFUNCTION("""COMPUTED_VALUE"""),"Nour LOUHICHI")</f>
        <v>Nour LOUHICHI</v>
      </c>
      <c r="C1723" s="43" t="str">
        <f>IFERROR(__xludf.DUMMYFUNCTION("""COMPUTED_VALUE"""),"approved")</f>
        <v>approved</v>
      </c>
      <c r="D1723" s="43" t="str">
        <f>IFERROR(__xludf.DUMMYFUNCTION("""COMPUTED_VALUE"""),"No")</f>
        <v>No</v>
      </c>
      <c r="E1723" s="43" t="str">
        <f>IFERROR(__xludf.DUMMYFUNCTION("""COMPUTED_VALUE"""),"p_3faaadd895c4754576633e07d7bdb5b554e1b8fb@inbound.aiesec.org")</f>
        <v>p_3faaadd895c4754576633e07d7bdb5b554e1b8fb@inbound.aiesec.org</v>
      </c>
      <c r="F1723" s="43">
        <f>IFERROR(__xludf.DUMMYFUNCTION("""COMPUTED_VALUE"""),2.9695644E7)</f>
        <v>29695644</v>
      </c>
      <c r="G1723" s="43" t="str">
        <f>IFERROR(__xludf.DUMMYFUNCTION("""COMPUTED_VALUE"""),"Tunisia")</f>
        <v>Tunisia</v>
      </c>
      <c r="H1723" s="43" t="str">
        <f>IFERROR(__xludf.DUMMYFUNCTION("""COMPUTED_VALUE"""),"Carthage")</f>
        <v>Carthage</v>
      </c>
      <c r="I1723" s="43" t="str">
        <f>IFERROR(__xludf.DUMMYFUNCTION("""COMPUTED_VALUE"""),"Turkey")</f>
        <v>Turkey</v>
      </c>
      <c r="J1723" s="43" t="str">
        <f>IFERROR(__xludf.DUMMYFUNCTION("""COMPUTED_VALUE"""),"KOCAELI")</f>
        <v>KOCAELI</v>
      </c>
      <c r="K1723" s="44" t="str">
        <f>IFERROR(__xludf.DUMMYFUNCTION("""COMPUTED_VALUE"""),"https://expa.aiesec.org/opportunities/1280872")</f>
        <v>https://expa.aiesec.org/opportunities/1280872</v>
      </c>
      <c r="L1723" s="43" t="str">
        <f>IFERROR(__xludf.DUMMYFUNCTION("""COMPUTED_VALUE"""),"GV")</f>
        <v>GV</v>
      </c>
      <c r="M1723" s="43" t="str">
        <f>IFERROR(__xludf.DUMMYFUNCTION("""COMPUTED_VALUE"""),"short")</f>
        <v>short</v>
      </c>
      <c r="N1723" s="45">
        <f>IFERROR(__xludf.DUMMYFUNCTION("""COMPUTED_VALUE"""),45261.0)</f>
        <v>45261</v>
      </c>
      <c r="O1723" s="45">
        <f>IFERROR(__xludf.DUMMYFUNCTION("""COMPUTED_VALUE"""),45488.0)</f>
        <v>45488</v>
      </c>
      <c r="P1723" s="45">
        <f>IFERROR(__xludf.DUMMYFUNCTION("""COMPUTED_VALUE"""),45530.0)</f>
        <v>45530</v>
      </c>
      <c r="Q1723" s="45"/>
      <c r="R1723" s="45"/>
      <c r="S1723" s="43"/>
      <c r="T1723" s="43"/>
      <c r="U1723" s="43" t="str">
        <f>IFERROR(__xludf.DUMMYFUNCTION("""COMPUTED_VALUE"""),"Skill Up!")</f>
        <v>Skill Up!</v>
      </c>
      <c r="V1723" s="43" t="str">
        <f>IFERROR(__xludf.DUMMYFUNCTION("""COMPUTED_VALUE"""),"INSAT")</f>
        <v>INSAT</v>
      </c>
      <c r="W1723" s="43" t="str">
        <f>IFERROR(__xludf.DUMMYFUNCTION("""COMPUTED_VALUE"""),"2023-12-01T12:28:48Z")</f>
        <v>2023-12-01T12:28:48Z</v>
      </c>
      <c r="X1723" s="43"/>
      <c r="Y1723" s="43"/>
      <c r="Z1723" s="43"/>
    </row>
    <row r="1724" hidden="1">
      <c r="A1724" s="43" t="str">
        <f>IFERROR(__xludf.DUMMYFUNCTION("""COMPUTED_VALUE"""),"5353145_1286920")</f>
        <v>5353145_1286920</v>
      </c>
      <c r="B1724" s="43" t="str">
        <f>IFERROR(__xludf.DUMMYFUNCTION("""COMPUTED_VALUE"""),"aicha chabchoub")</f>
        <v>aicha chabchoub</v>
      </c>
      <c r="C1724" s="43" t="str">
        <f>IFERROR(__xludf.DUMMYFUNCTION("""COMPUTED_VALUE"""),"approved")</f>
        <v>approved</v>
      </c>
      <c r="D1724" s="43" t="str">
        <f>IFERROR(__xludf.DUMMYFUNCTION("""COMPUTED_VALUE"""),"No")</f>
        <v>No</v>
      </c>
      <c r="E1724" s="43" t="str">
        <f>IFERROR(__xludf.DUMMYFUNCTION("""COMPUTED_VALUE"""),"p_603604ca68d2b61e71752bdc004b8f430a97b54f@inbound.aiesec.org")</f>
        <v>p_603604ca68d2b61e71752bdc004b8f430a97b54f@inbound.aiesec.org</v>
      </c>
      <c r="F1724" s="43">
        <f>IFERROR(__xludf.DUMMYFUNCTION("""COMPUTED_VALUE"""),2.9413927E7)</f>
        <v>29413927</v>
      </c>
      <c r="G1724" s="43" t="str">
        <f>IFERROR(__xludf.DUMMYFUNCTION("""COMPUTED_VALUE"""),"Tunisia")</f>
        <v>Tunisia</v>
      </c>
      <c r="H1724" s="43" t="str">
        <f>IFERROR(__xludf.DUMMYFUNCTION("""COMPUTED_VALUE"""),"THYNA")</f>
        <v>THYNA</v>
      </c>
      <c r="I1724" s="43" t="str">
        <f>IFERROR(__xludf.DUMMYFUNCTION("""COMPUTED_VALUE"""),"Turkey")</f>
        <v>Turkey</v>
      </c>
      <c r="J1724" s="43" t="str">
        <f>IFERROR(__xludf.DUMMYFUNCTION("""COMPUTED_VALUE"""),"DENIZLI")</f>
        <v>DENIZLI</v>
      </c>
      <c r="K1724" s="44" t="str">
        <f>IFERROR(__xludf.DUMMYFUNCTION("""COMPUTED_VALUE"""),"https://expa.aiesec.org/opportunities/1286920")</f>
        <v>https://expa.aiesec.org/opportunities/1286920</v>
      </c>
      <c r="L1724" s="43" t="str">
        <f>IFERROR(__xludf.DUMMYFUNCTION("""COMPUTED_VALUE"""),"GV")</f>
        <v>GV</v>
      </c>
      <c r="M1724" s="43" t="str">
        <f>IFERROR(__xludf.DUMMYFUNCTION("""COMPUTED_VALUE"""),"short")</f>
        <v>short</v>
      </c>
      <c r="N1724" s="45">
        <f>IFERROR(__xludf.DUMMYFUNCTION("""COMPUTED_VALUE"""),45262.0)</f>
        <v>45262</v>
      </c>
      <c r="O1724" s="45">
        <f>IFERROR(__xludf.DUMMYFUNCTION("""COMPUTED_VALUE"""),45327.0)</f>
        <v>45327</v>
      </c>
      <c r="P1724" s="45">
        <f>IFERROR(__xludf.DUMMYFUNCTION("""COMPUTED_VALUE"""),45369.0)</f>
        <v>45369</v>
      </c>
      <c r="Q1724" s="45"/>
      <c r="R1724" s="45"/>
      <c r="S1724" s="43"/>
      <c r="T1724" s="43"/>
      <c r="U1724" s="43" t="str">
        <f>IFERROR(__xludf.DUMMYFUNCTION("""COMPUTED_VALUE"""),"Global Classroom")</f>
        <v>Global Classroom</v>
      </c>
      <c r="V1724" s="43" t="str">
        <f>IFERROR(__xludf.DUMMYFUNCTION("""COMPUTED_VALUE"""),"Faculté de Medecine Sfax")</f>
        <v>Faculté de Medecine Sfax</v>
      </c>
      <c r="W1724" s="43" t="str">
        <f>IFERROR(__xludf.DUMMYFUNCTION("""COMPUTED_VALUE"""),"2023-10-16T21:59:57Z")</f>
        <v>2023-10-16T21:59:57Z</v>
      </c>
      <c r="X1724" s="43"/>
      <c r="Y1724" s="43"/>
      <c r="Z1724" s="43"/>
    </row>
    <row r="1725" hidden="1">
      <c r="A1725" s="43" t="str">
        <f>IFERROR(__xludf.DUMMYFUNCTION("""COMPUTED_VALUE"""),"5384399_1284081")</f>
        <v>5384399_1284081</v>
      </c>
      <c r="B1725" s="43" t="str">
        <f>IFERROR(__xludf.DUMMYFUNCTION("""COMPUTED_VALUE"""),"Youssef Benothmen")</f>
        <v>Youssef Benothmen</v>
      </c>
      <c r="C1725" s="43" t="str">
        <f>IFERROR(__xludf.DUMMYFUNCTION("""COMPUTED_VALUE"""),"approved")</f>
        <v>approved</v>
      </c>
      <c r="D1725" s="43" t="str">
        <f>IFERROR(__xludf.DUMMYFUNCTION("""COMPUTED_VALUE"""),"No")</f>
        <v>No</v>
      </c>
      <c r="E1725" s="43" t="str">
        <f>IFERROR(__xludf.DUMMYFUNCTION("""COMPUTED_VALUE"""),"p_299ace27ab0283a686f797aeb61cab6d8ef042a2@inbound.aiesec.org")</f>
        <v>p_299ace27ab0283a686f797aeb61cab6d8ef042a2@inbound.aiesec.org</v>
      </c>
      <c r="F1725" s="43">
        <f>IFERROR(__xludf.DUMMYFUNCTION("""COMPUTED_VALUE"""),5.2765014E7)</f>
        <v>52765014</v>
      </c>
      <c r="G1725" s="43" t="str">
        <f>IFERROR(__xludf.DUMMYFUNCTION("""COMPUTED_VALUE"""),"Tunisia")</f>
        <v>Tunisia</v>
      </c>
      <c r="H1725" s="43" t="str">
        <f>IFERROR(__xludf.DUMMYFUNCTION("""COMPUTED_VALUE"""),"Carthage")</f>
        <v>Carthage</v>
      </c>
      <c r="I1725" s="43" t="str">
        <f>IFERROR(__xludf.DUMMYFUNCTION("""COMPUTED_VALUE"""),"Turkey")</f>
        <v>Turkey</v>
      </c>
      <c r="J1725" s="43" t="str">
        <f>IFERROR(__xludf.DUMMYFUNCTION("""COMPUTED_VALUE"""),"KOCAELI")</f>
        <v>KOCAELI</v>
      </c>
      <c r="K1725" s="44" t="str">
        <f>IFERROR(__xludf.DUMMYFUNCTION("""COMPUTED_VALUE"""),"https://expa.aiesec.org/opportunities/1284081")</f>
        <v>https://expa.aiesec.org/opportunities/1284081</v>
      </c>
      <c r="L1725" s="43" t="str">
        <f>IFERROR(__xludf.DUMMYFUNCTION("""COMPUTED_VALUE"""),"GV")</f>
        <v>GV</v>
      </c>
      <c r="M1725" s="43" t="str">
        <f>IFERROR(__xludf.DUMMYFUNCTION("""COMPUTED_VALUE"""),"short")</f>
        <v>short</v>
      </c>
      <c r="N1725" s="45">
        <f>IFERROR(__xludf.DUMMYFUNCTION("""COMPUTED_VALUE"""),45262.0)</f>
        <v>45262</v>
      </c>
      <c r="O1725" s="45">
        <f>IFERROR(__xludf.DUMMYFUNCTION("""COMPUTED_VALUE"""),45481.0)</f>
        <v>45481</v>
      </c>
      <c r="P1725" s="45">
        <f>IFERROR(__xludf.DUMMYFUNCTION("""COMPUTED_VALUE"""),45523.0)</f>
        <v>45523</v>
      </c>
      <c r="Q1725" s="45"/>
      <c r="R1725" s="45"/>
      <c r="S1725" s="43"/>
      <c r="T1725" s="43"/>
      <c r="U1725" s="43" t="str">
        <f>IFERROR(__xludf.DUMMYFUNCTION("""COMPUTED_VALUE"""),"Global Classroom")</f>
        <v>Global Classroom</v>
      </c>
      <c r="V1725" s="43" t="str">
        <f>IFERROR(__xludf.DUMMYFUNCTION("""COMPUTED_VALUE"""),"ENICarthage")</f>
        <v>ENICarthage</v>
      </c>
      <c r="W1725" s="43" t="str">
        <f>IFERROR(__xludf.DUMMYFUNCTION("""COMPUTED_VALUE"""),"2023-12-02T16:54:57Z")</f>
        <v>2023-12-02T16:54:57Z</v>
      </c>
      <c r="X1725" s="43"/>
      <c r="Y1725" s="43"/>
      <c r="Z1725" s="43"/>
    </row>
    <row r="1726" hidden="1">
      <c r="A1726" s="43" t="str">
        <f>IFERROR(__xludf.DUMMYFUNCTION("""COMPUTED_VALUE"""),"5362749_1289536")</f>
        <v>5362749_1289536</v>
      </c>
      <c r="B1726" s="43" t="str">
        <f>IFERROR(__xludf.DUMMYFUNCTION("""COMPUTED_VALUE"""),"Hazem ramdan")</f>
        <v>Hazem ramdan</v>
      </c>
      <c r="C1726" s="43" t="str">
        <f>IFERROR(__xludf.DUMMYFUNCTION("""COMPUTED_VALUE"""),"approved")</f>
        <v>approved</v>
      </c>
      <c r="D1726" s="43" t="str">
        <f>IFERROR(__xludf.DUMMYFUNCTION("""COMPUTED_VALUE"""),"No")</f>
        <v>No</v>
      </c>
      <c r="E1726" s="43" t="str">
        <f>IFERROR(__xludf.DUMMYFUNCTION("""COMPUTED_VALUE"""),"p_9c322599c7bb2d4cf79804ef643a0c2b3ba57f18@inbound.aiesec.org")</f>
        <v>p_9c322599c7bb2d4cf79804ef643a0c2b3ba57f18@inbound.aiesec.org</v>
      </c>
      <c r="F1726" s="43">
        <f>IFERROR(__xludf.DUMMYFUNCTION("""COMPUTED_VALUE"""),1.211537349E9)</f>
        <v>1211537349</v>
      </c>
      <c r="G1726" s="43" t="str">
        <f>IFERROR(__xludf.DUMMYFUNCTION("""COMPUTED_VALUE"""),"Egypt")</f>
        <v>Egypt</v>
      </c>
      <c r="H1726" s="43" t="str">
        <f>IFERROR(__xludf.DUMMYFUNCTION("""COMPUTED_VALUE"""),"Alexandria")</f>
        <v>Alexandria</v>
      </c>
      <c r="I1726" s="43" t="str">
        <f>IFERROR(__xludf.DUMMYFUNCTION("""COMPUTED_VALUE"""),"Turkey")</f>
        <v>Turkey</v>
      </c>
      <c r="J1726" s="43" t="str">
        <f>IFERROR(__xludf.DUMMYFUNCTION("""COMPUTED_VALUE"""),"ISTANBUL")</f>
        <v>ISTANBUL</v>
      </c>
      <c r="K1726" s="44" t="str">
        <f>IFERROR(__xludf.DUMMYFUNCTION("""COMPUTED_VALUE"""),"https://expa.aiesec.org/opportunities/1289536")</f>
        <v>https://expa.aiesec.org/opportunities/1289536</v>
      </c>
      <c r="L1726" s="43" t="str">
        <f>IFERROR(__xludf.DUMMYFUNCTION("""COMPUTED_VALUE"""),"GV")</f>
        <v>GV</v>
      </c>
      <c r="M1726" s="43" t="str">
        <f>IFERROR(__xludf.DUMMYFUNCTION("""COMPUTED_VALUE"""),"short")</f>
        <v>short</v>
      </c>
      <c r="N1726" s="45">
        <f>IFERROR(__xludf.DUMMYFUNCTION("""COMPUTED_VALUE"""),45262.0)</f>
        <v>45262</v>
      </c>
      <c r="O1726" s="45">
        <f>IFERROR(__xludf.DUMMYFUNCTION("""COMPUTED_VALUE"""),45347.0)</f>
        <v>45347</v>
      </c>
      <c r="P1726" s="45">
        <f>IFERROR(__xludf.DUMMYFUNCTION("""COMPUTED_VALUE"""),45389.0)</f>
        <v>45389</v>
      </c>
      <c r="Q1726" s="45"/>
      <c r="R1726" s="45"/>
      <c r="S1726" s="43"/>
      <c r="T1726" s="43"/>
      <c r="U1726" s="43" t="str">
        <f>IFERROR(__xludf.DUMMYFUNCTION("""COMPUTED_VALUE"""),"Global Classroom")</f>
        <v>Global Classroom</v>
      </c>
      <c r="V1726" s="43" t="str">
        <f>IFERROR(__xludf.DUMMYFUNCTION("""COMPUTED_VALUE"""),"Alexandria University")</f>
        <v>Alexandria University</v>
      </c>
      <c r="W1726" s="43" t="str">
        <f>IFERROR(__xludf.DUMMYFUNCTION("""COMPUTED_VALUE"""),"2023-10-29T13:29:34Z")</f>
        <v>2023-10-29T13:29:34Z</v>
      </c>
      <c r="X1726" s="43"/>
      <c r="Y1726" s="43"/>
      <c r="Z1726" s="43"/>
    </row>
    <row r="1727" hidden="1">
      <c r="A1727" s="43" t="str">
        <f>IFERROR(__xludf.DUMMYFUNCTION("""COMPUTED_VALUE"""),"5382696_1284081")</f>
        <v>5382696_1284081</v>
      </c>
      <c r="B1727" s="43" t="str">
        <f>IFERROR(__xludf.DUMMYFUNCTION("""COMPUTED_VALUE"""),"Youssef Kazdar")</f>
        <v>Youssef Kazdar</v>
      </c>
      <c r="C1727" s="43" t="str">
        <f>IFERROR(__xludf.DUMMYFUNCTION("""COMPUTED_VALUE"""),"approved")</f>
        <v>approved</v>
      </c>
      <c r="D1727" s="43" t="str">
        <f>IFERROR(__xludf.DUMMYFUNCTION("""COMPUTED_VALUE"""),"No")</f>
        <v>No</v>
      </c>
      <c r="E1727" s="43" t="str">
        <f>IFERROR(__xludf.DUMMYFUNCTION("""COMPUTED_VALUE"""),"p_4b19f4421cfaccc61e573de47fa17be86b122564@inbound.aiesec.org")</f>
        <v>p_4b19f4421cfaccc61e573de47fa17be86b122564@inbound.aiesec.org</v>
      </c>
      <c r="F1727" s="43">
        <f>IFERROR(__xludf.DUMMYFUNCTION("""COMPUTED_VALUE"""),9.5560058E7)</f>
        <v>95560058</v>
      </c>
      <c r="G1727" s="43" t="str">
        <f>IFERROR(__xludf.DUMMYFUNCTION("""COMPUTED_VALUE"""),"Tunisia")</f>
        <v>Tunisia</v>
      </c>
      <c r="H1727" s="43" t="str">
        <f>IFERROR(__xludf.DUMMYFUNCTION("""COMPUTED_VALUE"""),"Carthage")</f>
        <v>Carthage</v>
      </c>
      <c r="I1727" s="43" t="str">
        <f>IFERROR(__xludf.DUMMYFUNCTION("""COMPUTED_VALUE"""),"Turkey")</f>
        <v>Turkey</v>
      </c>
      <c r="J1727" s="43" t="str">
        <f>IFERROR(__xludf.DUMMYFUNCTION("""COMPUTED_VALUE"""),"KOCAELI")</f>
        <v>KOCAELI</v>
      </c>
      <c r="K1727" s="44" t="str">
        <f>IFERROR(__xludf.DUMMYFUNCTION("""COMPUTED_VALUE"""),"https://expa.aiesec.org/opportunities/1284081")</f>
        <v>https://expa.aiesec.org/opportunities/1284081</v>
      </c>
      <c r="L1727" s="43" t="str">
        <f>IFERROR(__xludf.DUMMYFUNCTION("""COMPUTED_VALUE"""),"GV")</f>
        <v>GV</v>
      </c>
      <c r="M1727" s="43" t="str">
        <f>IFERROR(__xludf.DUMMYFUNCTION("""COMPUTED_VALUE"""),"short")</f>
        <v>short</v>
      </c>
      <c r="N1727" s="45">
        <f>IFERROR(__xludf.DUMMYFUNCTION("""COMPUTED_VALUE"""),45262.0)</f>
        <v>45262</v>
      </c>
      <c r="O1727" s="45">
        <f>IFERROR(__xludf.DUMMYFUNCTION("""COMPUTED_VALUE"""),45509.0)</f>
        <v>45509</v>
      </c>
      <c r="P1727" s="45">
        <f>IFERROR(__xludf.DUMMYFUNCTION("""COMPUTED_VALUE"""),45551.0)</f>
        <v>45551</v>
      </c>
      <c r="Q1727" s="45"/>
      <c r="R1727" s="45"/>
      <c r="S1727" s="43"/>
      <c r="T1727" s="43"/>
      <c r="U1727" s="43" t="str">
        <f>IFERROR(__xludf.DUMMYFUNCTION("""COMPUTED_VALUE"""),"Global Classroom")</f>
        <v>Global Classroom</v>
      </c>
      <c r="V1727" s="43" t="str">
        <f>IFERROR(__xludf.DUMMYFUNCTION("""COMPUTED_VALUE"""),"ENICarthage")</f>
        <v>ENICarthage</v>
      </c>
      <c r="W1727" s="43" t="str">
        <f>IFERROR(__xludf.DUMMYFUNCTION("""COMPUTED_VALUE"""),"2023-11-29T19:01:06Z")</f>
        <v>2023-11-29T19:01:06Z</v>
      </c>
      <c r="X1727" s="43"/>
      <c r="Y1727" s="43"/>
      <c r="Z1727" s="43"/>
    </row>
    <row r="1728" hidden="1">
      <c r="A1728" s="43" t="str">
        <f>IFERROR(__xludf.DUMMYFUNCTION("""COMPUTED_VALUE"""),"5302328_1289536")</f>
        <v>5302328_1289536</v>
      </c>
      <c r="B1728" s="43" t="str">
        <f>IFERROR(__xludf.DUMMYFUNCTION("""COMPUTED_VALUE"""),"Asma Boubaker")</f>
        <v>Asma Boubaker</v>
      </c>
      <c r="C1728" s="43" t="str">
        <f>IFERROR(__xludf.DUMMYFUNCTION("""COMPUTED_VALUE"""),"approved")</f>
        <v>approved</v>
      </c>
      <c r="D1728" s="43" t="str">
        <f>IFERROR(__xludf.DUMMYFUNCTION("""COMPUTED_VALUE"""),"No")</f>
        <v>No</v>
      </c>
      <c r="E1728" s="43" t="str">
        <f>IFERROR(__xludf.DUMMYFUNCTION("""COMPUTED_VALUE"""),"p_0c13f9421bc651482835158d806a8fb767f54209@inbound.aiesec.org")</f>
        <v>p_0c13f9421bc651482835158d806a8fb767f54209@inbound.aiesec.org</v>
      </c>
      <c r="F1728" s="43">
        <f>IFERROR(__xludf.DUMMYFUNCTION("""COMPUTED_VALUE"""),5.0394526E7)</f>
        <v>50394526</v>
      </c>
      <c r="G1728" s="43" t="str">
        <f>IFERROR(__xludf.DUMMYFUNCTION("""COMPUTED_VALUE"""),"Tunisia")</f>
        <v>Tunisia</v>
      </c>
      <c r="H1728" s="43" t="str">
        <f>IFERROR(__xludf.DUMMYFUNCTION("""COMPUTED_VALUE"""),"BARDO")</f>
        <v>BARDO</v>
      </c>
      <c r="I1728" s="43" t="str">
        <f>IFERROR(__xludf.DUMMYFUNCTION("""COMPUTED_VALUE"""),"Turkey")</f>
        <v>Turkey</v>
      </c>
      <c r="J1728" s="43" t="str">
        <f>IFERROR(__xludf.DUMMYFUNCTION("""COMPUTED_VALUE"""),"ISTANBUL")</f>
        <v>ISTANBUL</v>
      </c>
      <c r="K1728" s="44" t="str">
        <f>IFERROR(__xludf.DUMMYFUNCTION("""COMPUTED_VALUE"""),"https://expa.aiesec.org/opportunities/1289536")</f>
        <v>https://expa.aiesec.org/opportunities/1289536</v>
      </c>
      <c r="L1728" s="43" t="str">
        <f>IFERROR(__xludf.DUMMYFUNCTION("""COMPUTED_VALUE"""),"GV")</f>
        <v>GV</v>
      </c>
      <c r="M1728" s="43" t="str">
        <f>IFERROR(__xludf.DUMMYFUNCTION("""COMPUTED_VALUE"""),"short")</f>
        <v>short</v>
      </c>
      <c r="N1728" s="45">
        <f>IFERROR(__xludf.DUMMYFUNCTION("""COMPUTED_VALUE"""),45263.0)</f>
        <v>45263</v>
      </c>
      <c r="O1728" s="45">
        <f>IFERROR(__xludf.DUMMYFUNCTION("""COMPUTED_VALUE"""),45505.0)</f>
        <v>45505</v>
      </c>
      <c r="P1728" s="45">
        <f>IFERROR(__xludf.DUMMYFUNCTION("""COMPUTED_VALUE"""),45547.0)</f>
        <v>45547</v>
      </c>
      <c r="Q1728" s="45"/>
      <c r="R1728" s="45"/>
      <c r="S1728" s="43"/>
      <c r="T1728" s="43"/>
      <c r="U1728" s="43" t="str">
        <f>IFERROR(__xludf.DUMMYFUNCTION("""COMPUTED_VALUE"""),"Global Classroom")</f>
        <v>Global Classroom</v>
      </c>
      <c r="V1728" s="43" t="str">
        <f>IFERROR(__xludf.DUMMYFUNCTION("""COMPUTED_VALUE"""),"TBS")</f>
        <v>TBS</v>
      </c>
      <c r="W1728" s="43" t="str">
        <f>IFERROR(__xludf.DUMMYFUNCTION("""COMPUTED_VALUE"""),"2023-08-14T12:33:50Z")</f>
        <v>2023-08-14T12:33:50Z</v>
      </c>
      <c r="X1728" s="43"/>
      <c r="Y1728" s="43"/>
      <c r="Z1728" s="43"/>
    </row>
    <row r="1729" hidden="1">
      <c r="A1729" s="43" t="str">
        <f>IFERROR(__xludf.DUMMYFUNCTION("""COMPUTED_VALUE"""),"5383403_1287966")</f>
        <v>5383403_1287966</v>
      </c>
      <c r="B1729" s="43" t="str">
        <f>IFERROR(__xludf.DUMMYFUNCTION("""COMPUTED_VALUE"""),"Afsana Hasanova")</f>
        <v>Afsana Hasanova</v>
      </c>
      <c r="C1729" s="43" t="str">
        <f>IFERROR(__xludf.DUMMYFUNCTION("""COMPUTED_VALUE"""),"approved")</f>
        <v>approved</v>
      </c>
      <c r="D1729" s="43" t="str">
        <f>IFERROR(__xludf.DUMMYFUNCTION("""COMPUTED_VALUE"""),"No")</f>
        <v>No</v>
      </c>
      <c r="E1729" s="43" t="str">
        <f>IFERROR(__xludf.DUMMYFUNCTION("""COMPUTED_VALUE"""),"p_a1d5d8990415f0495f5d568825fb112ee3bd87e0@inbound.aiesec.org")</f>
        <v>p_a1d5d8990415f0495f5d568825fb112ee3bd87e0@inbound.aiesec.org</v>
      </c>
      <c r="F1729" s="43">
        <f>IFERROR(__xludf.DUMMYFUNCTION("""COMPUTED_VALUE"""),7.76040907E8)</f>
        <v>776040907</v>
      </c>
      <c r="G1729" s="43" t="str">
        <f>IFERROR(__xludf.DUMMYFUNCTION("""COMPUTED_VALUE"""),"Azerbaijan")</f>
        <v>Azerbaijan</v>
      </c>
      <c r="H1729" s="43" t="str">
        <f>IFERROR(__xludf.DUMMYFUNCTION("""COMPUTED_VALUE"""),"Baku Qafqaz")</f>
        <v>Baku Qafqaz</v>
      </c>
      <c r="I1729" s="43" t="str">
        <f>IFERROR(__xludf.DUMMYFUNCTION("""COMPUTED_VALUE"""),"Turkey")</f>
        <v>Turkey</v>
      </c>
      <c r="J1729" s="43" t="str">
        <f>IFERROR(__xludf.DUMMYFUNCTION("""COMPUTED_VALUE"""),"ISTANBUL")</f>
        <v>ISTANBUL</v>
      </c>
      <c r="K1729" s="44" t="str">
        <f>IFERROR(__xludf.DUMMYFUNCTION("""COMPUTED_VALUE"""),"https://expa.aiesec.org/opportunities/1287966")</f>
        <v>https://expa.aiesec.org/opportunities/1287966</v>
      </c>
      <c r="L1729" s="43" t="str">
        <f>IFERROR(__xludf.DUMMYFUNCTION("""COMPUTED_VALUE"""),"GV")</f>
        <v>GV</v>
      </c>
      <c r="M1729" s="43" t="str">
        <f>IFERROR(__xludf.DUMMYFUNCTION("""COMPUTED_VALUE"""),"short")</f>
        <v>short</v>
      </c>
      <c r="N1729" s="45">
        <f>IFERROR(__xludf.DUMMYFUNCTION("""COMPUTED_VALUE"""),45263.0)</f>
        <v>45263</v>
      </c>
      <c r="O1729" s="45">
        <f>IFERROR(__xludf.DUMMYFUNCTION("""COMPUTED_VALUE"""),45333.0)</f>
        <v>45333</v>
      </c>
      <c r="P1729" s="45">
        <f>IFERROR(__xludf.DUMMYFUNCTION("""COMPUTED_VALUE"""),45375.0)</f>
        <v>45375</v>
      </c>
      <c r="Q1729" s="45"/>
      <c r="R1729" s="45"/>
      <c r="S1729" s="43"/>
      <c r="T1729" s="43"/>
      <c r="U1729" s="43" t="str">
        <f>IFERROR(__xludf.DUMMYFUNCTION("""COMPUTED_VALUE"""),"Heartbeat")</f>
        <v>Heartbeat</v>
      </c>
      <c r="V1729" s="43" t="str">
        <f>IFERROR(__xludf.DUMMYFUNCTION("""COMPUTED_VALUE"""),"Baku State University")</f>
        <v>Baku State University</v>
      </c>
      <c r="W1729" s="43" t="str">
        <f>IFERROR(__xludf.DUMMYFUNCTION("""COMPUTED_VALUE"""),"2023-11-30T17:38:33Z")</f>
        <v>2023-11-30T17:38:33Z</v>
      </c>
      <c r="X1729" s="43"/>
      <c r="Y1729" s="43"/>
      <c r="Z1729" s="43"/>
    </row>
    <row r="1730" hidden="1">
      <c r="A1730" s="43" t="str">
        <f>IFERROR(__xludf.DUMMYFUNCTION("""COMPUTED_VALUE"""),"5380421_1288582")</f>
        <v>5380421_1288582</v>
      </c>
      <c r="B1730" s="43" t="str">
        <f>IFERROR(__xludf.DUMMYFUNCTION("""COMPUTED_VALUE"""),"Fatma Harraz")</f>
        <v>Fatma Harraz</v>
      </c>
      <c r="C1730" s="43" t="str">
        <f>IFERROR(__xludf.DUMMYFUNCTION("""COMPUTED_VALUE"""),"approved")</f>
        <v>approved</v>
      </c>
      <c r="D1730" s="43" t="str">
        <f>IFERROR(__xludf.DUMMYFUNCTION("""COMPUTED_VALUE"""),"No")</f>
        <v>No</v>
      </c>
      <c r="E1730" s="43" t="str">
        <f>IFERROR(__xludf.DUMMYFUNCTION("""COMPUTED_VALUE"""),"p_47fec4862a715de7f6db4f934024953dd516a83f@inbound.aiesec.org")</f>
        <v>p_47fec4862a715de7f6db4f934024953dd516a83f@inbound.aiesec.org</v>
      </c>
      <c r="F1730" s="43">
        <f>IFERROR(__xludf.DUMMYFUNCTION("""COMPUTED_VALUE"""),1.027164191E9)</f>
        <v>1027164191</v>
      </c>
      <c r="G1730" s="43" t="str">
        <f>IFERROR(__xludf.DUMMYFUNCTION("""COMPUTED_VALUE"""),"Egypt")</f>
        <v>Egypt</v>
      </c>
      <c r="H1730" s="43" t="str">
        <f>IFERROR(__xludf.DUMMYFUNCTION("""COMPUTED_VALUE"""),"GUC")</f>
        <v>GUC</v>
      </c>
      <c r="I1730" s="43" t="str">
        <f>IFERROR(__xludf.DUMMYFUNCTION("""COMPUTED_VALUE"""),"Turkey")</f>
        <v>Turkey</v>
      </c>
      <c r="J1730" s="43" t="str">
        <f>IFERROR(__xludf.DUMMYFUNCTION("""COMPUTED_VALUE"""),"GAZIANTEP")</f>
        <v>GAZIANTEP</v>
      </c>
      <c r="K1730" s="44" t="str">
        <f>IFERROR(__xludf.DUMMYFUNCTION("""COMPUTED_VALUE"""),"https://expa.aiesec.org/opportunities/1288582")</f>
        <v>https://expa.aiesec.org/opportunities/1288582</v>
      </c>
      <c r="L1730" s="43" t="str">
        <f>IFERROR(__xludf.DUMMYFUNCTION("""COMPUTED_VALUE"""),"GV")</f>
        <v>GV</v>
      </c>
      <c r="M1730" s="43" t="str">
        <f>IFERROR(__xludf.DUMMYFUNCTION("""COMPUTED_VALUE"""),"short")</f>
        <v>short</v>
      </c>
      <c r="N1730" s="45">
        <f>IFERROR(__xludf.DUMMYFUNCTION("""COMPUTED_VALUE"""),45263.0)</f>
        <v>45263</v>
      </c>
      <c r="O1730" s="45">
        <f>IFERROR(__xludf.DUMMYFUNCTION("""COMPUTED_VALUE"""),45519.0)</f>
        <v>45519</v>
      </c>
      <c r="P1730" s="45">
        <f>IFERROR(__xludf.DUMMYFUNCTION("""COMPUTED_VALUE"""),45561.0)</f>
        <v>45561</v>
      </c>
      <c r="Q1730" s="45"/>
      <c r="R1730" s="45"/>
      <c r="S1730" s="43"/>
      <c r="T1730" s="43"/>
      <c r="U1730" s="43" t="str">
        <f>IFERROR(__xludf.DUMMYFUNCTION("""COMPUTED_VALUE"""),"Global Classroom")</f>
        <v>Global Classroom</v>
      </c>
      <c r="V1730" s="43" t="str">
        <f>IFERROR(__xludf.DUMMYFUNCTION("""COMPUTED_VALUE"""),"GUC")</f>
        <v>GUC</v>
      </c>
      <c r="W1730" s="43" t="str">
        <f>IFERROR(__xludf.DUMMYFUNCTION("""COMPUTED_VALUE"""),"2023-11-26T18:26:17Z")</f>
        <v>2023-11-26T18:26:17Z</v>
      </c>
      <c r="X1730" s="43"/>
      <c r="Y1730" s="43"/>
      <c r="Z1730" s="43"/>
    </row>
    <row r="1731" hidden="1">
      <c r="A1731" s="43" t="str">
        <f>IFERROR(__xludf.DUMMYFUNCTION("""COMPUTED_VALUE"""),"5380321_1300177")</f>
        <v>5380321_1300177</v>
      </c>
      <c r="B1731" s="43" t="str">
        <f>IFERROR(__xludf.DUMMYFUNCTION("""COMPUTED_VALUE"""),"Rodeen Eltalawy")</f>
        <v>Rodeen Eltalawy</v>
      </c>
      <c r="C1731" s="43" t="str">
        <f>IFERROR(__xludf.DUMMYFUNCTION("""COMPUTED_VALUE"""),"approved")</f>
        <v>approved</v>
      </c>
      <c r="D1731" s="43" t="str">
        <f>IFERROR(__xludf.DUMMYFUNCTION("""COMPUTED_VALUE"""),"No")</f>
        <v>No</v>
      </c>
      <c r="E1731" s="43" t="str">
        <f>IFERROR(__xludf.DUMMYFUNCTION("""COMPUTED_VALUE"""),"p_d9991ff83ce87aa1f4b16c563e140e9a3ef93964@inbound.aiesec.org")</f>
        <v>p_d9991ff83ce87aa1f4b16c563e140e9a3ef93964@inbound.aiesec.org</v>
      </c>
      <c r="F1731" s="43">
        <f>IFERROR(__xludf.DUMMYFUNCTION("""COMPUTED_VALUE"""),1.200111141E9)</f>
        <v>1200111141</v>
      </c>
      <c r="G1731" s="43" t="str">
        <f>IFERROR(__xludf.DUMMYFUNCTION("""COMPUTED_VALUE"""),"Egypt")</f>
        <v>Egypt</v>
      </c>
      <c r="H1731" s="43" t="str">
        <f>IFERROR(__xludf.DUMMYFUNCTION("""COMPUTED_VALUE"""),"MUST")</f>
        <v>MUST</v>
      </c>
      <c r="I1731" s="43" t="str">
        <f>IFERROR(__xludf.DUMMYFUNCTION("""COMPUTED_VALUE"""),"Turkey")</f>
        <v>Turkey</v>
      </c>
      <c r="J1731" s="43" t="str">
        <f>IFERROR(__xludf.DUMMYFUNCTION("""COMPUTED_VALUE"""),"TRABZON")</f>
        <v>TRABZON</v>
      </c>
      <c r="K1731" s="44" t="str">
        <f>IFERROR(__xludf.DUMMYFUNCTION("""COMPUTED_VALUE"""),"https://expa.aiesec.org/opportunities/1300177")</f>
        <v>https://expa.aiesec.org/opportunities/1300177</v>
      </c>
      <c r="L1731" s="43" t="str">
        <f>IFERROR(__xludf.DUMMYFUNCTION("""COMPUTED_VALUE"""),"GV")</f>
        <v>GV</v>
      </c>
      <c r="M1731" s="43" t="str">
        <f>IFERROR(__xludf.DUMMYFUNCTION("""COMPUTED_VALUE"""),"short")</f>
        <v>short</v>
      </c>
      <c r="N1731" s="45">
        <f>IFERROR(__xludf.DUMMYFUNCTION("""COMPUTED_VALUE"""),45263.0)</f>
        <v>45263</v>
      </c>
      <c r="O1731" s="45">
        <f>IFERROR(__xludf.DUMMYFUNCTION("""COMPUTED_VALUE"""),45516.0)</f>
        <v>45516</v>
      </c>
      <c r="P1731" s="45">
        <f>IFERROR(__xludf.DUMMYFUNCTION("""COMPUTED_VALUE"""),45558.0)</f>
        <v>45558</v>
      </c>
      <c r="Q1731" s="45"/>
      <c r="R1731" s="45"/>
      <c r="S1731" s="43"/>
      <c r="T1731" s="43"/>
      <c r="U1731" s="43" t="str">
        <f>IFERROR(__xludf.DUMMYFUNCTION("""COMPUTED_VALUE"""),"Global Classroom")</f>
        <v>Global Classroom</v>
      </c>
      <c r="V1731" s="43" t="str">
        <f>IFERROR(__xludf.DUMMYFUNCTION("""COMPUTED_VALUE"""),"MUST University")</f>
        <v>MUST University</v>
      </c>
      <c r="W1731" s="43" t="str">
        <f>IFERROR(__xludf.DUMMYFUNCTION("""COMPUTED_VALUE"""),"2023-11-26T13:34:39Z")</f>
        <v>2023-11-26T13:34:39Z</v>
      </c>
      <c r="X1731" s="43"/>
      <c r="Y1731" s="43"/>
      <c r="Z1731" s="43"/>
    </row>
    <row r="1732" hidden="1">
      <c r="A1732" s="43" t="str">
        <f>IFERROR(__xludf.DUMMYFUNCTION("""COMPUTED_VALUE"""),"5384947_1291252")</f>
        <v>5384947_1291252</v>
      </c>
      <c r="B1732" s="43" t="str">
        <f>IFERROR(__xludf.DUMMYFUNCTION("""COMPUTED_VALUE"""),"Eya Gharsallah")</f>
        <v>Eya Gharsallah</v>
      </c>
      <c r="C1732" s="43" t="str">
        <f>IFERROR(__xludf.DUMMYFUNCTION("""COMPUTED_VALUE"""),"approved")</f>
        <v>approved</v>
      </c>
      <c r="D1732" s="43" t="str">
        <f>IFERROR(__xludf.DUMMYFUNCTION("""COMPUTED_VALUE"""),"No")</f>
        <v>No</v>
      </c>
      <c r="E1732" s="43" t="str">
        <f>IFERROR(__xludf.DUMMYFUNCTION("""COMPUTED_VALUE"""),"p_e2985f9461a71b1038d0137999f011122714e6b1@inbound.aiesec.org")</f>
        <v>p_e2985f9461a71b1038d0137999f011122714e6b1@inbound.aiesec.org</v>
      </c>
      <c r="F1732" s="43">
        <f>IFERROR(__xludf.DUMMYFUNCTION("""COMPUTED_VALUE"""),9.2739738E7)</f>
        <v>92739738</v>
      </c>
      <c r="G1732" s="43" t="str">
        <f>IFERROR(__xludf.DUMMYFUNCTION("""COMPUTED_VALUE"""),"Tunisia")</f>
        <v>Tunisia</v>
      </c>
      <c r="H1732" s="43" t="str">
        <f>IFERROR(__xludf.DUMMYFUNCTION("""COMPUTED_VALUE"""),"Carthage")</f>
        <v>Carthage</v>
      </c>
      <c r="I1732" s="43" t="str">
        <f>IFERROR(__xludf.DUMMYFUNCTION("""COMPUTED_VALUE"""),"Turkey")</f>
        <v>Turkey</v>
      </c>
      <c r="J1732" s="43" t="str">
        <f>IFERROR(__xludf.DUMMYFUNCTION("""COMPUTED_VALUE"""),"KOCAELI")</f>
        <v>KOCAELI</v>
      </c>
      <c r="K1732" s="44" t="str">
        <f>IFERROR(__xludf.DUMMYFUNCTION("""COMPUTED_VALUE"""),"https://expa.aiesec.org/opportunities/1291252")</f>
        <v>https://expa.aiesec.org/opportunities/1291252</v>
      </c>
      <c r="L1732" s="43" t="str">
        <f>IFERROR(__xludf.DUMMYFUNCTION("""COMPUTED_VALUE"""),"GV")</f>
        <v>GV</v>
      </c>
      <c r="M1732" s="43" t="str">
        <f>IFERROR(__xludf.DUMMYFUNCTION("""COMPUTED_VALUE"""),"short")</f>
        <v>short</v>
      </c>
      <c r="N1732" s="45">
        <f>IFERROR(__xludf.DUMMYFUNCTION("""COMPUTED_VALUE"""),45263.0)</f>
        <v>45263</v>
      </c>
      <c r="O1732" s="45">
        <f>IFERROR(__xludf.DUMMYFUNCTION("""COMPUTED_VALUE"""),45474.0)</f>
        <v>45474</v>
      </c>
      <c r="P1732" s="45">
        <f>IFERROR(__xludf.DUMMYFUNCTION("""COMPUTED_VALUE"""),45516.0)</f>
        <v>45516</v>
      </c>
      <c r="Q1732" s="45"/>
      <c r="R1732" s="45"/>
      <c r="S1732" s="43"/>
      <c r="T1732" s="43"/>
      <c r="U1732" s="43" t="str">
        <f>IFERROR(__xludf.DUMMYFUNCTION("""COMPUTED_VALUE"""),"Global Classroom")</f>
        <v>Global Classroom</v>
      </c>
      <c r="V1732" s="43" t="str">
        <f>IFERROR(__xludf.DUMMYFUNCTION("""COMPUTED_VALUE"""),"IHET Sidi Dhrif")</f>
        <v>IHET Sidi Dhrif</v>
      </c>
      <c r="W1732" s="43" t="str">
        <f>IFERROR(__xludf.DUMMYFUNCTION("""COMPUTED_VALUE"""),"2023-12-03T21:06:16Z")</f>
        <v>2023-12-03T21:06:16Z</v>
      </c>
      <c r="X1732" s="43"/>
      <c r="Y1732" s="43"/>
      <c r="Z1732" s="43"/>
    </row>
    <row r="1733" hidden="1">
      <c r="A1733" s="43" t="str">
        <f>IFERROR(__xludf.DUMMYFUNCTION("""COMPUTED_VALUE"""),"5384410_1296671")</f>
        <v>5384410_1296671</v>
      </c>
      <c r="B1733" s="43" t="str">
        <f>IFERROR(__xludf.DUMMYFUNCTION("""COMPUTED_VALUE"""),"shehab Emad")</f>
        <v>shehab Emad</v>
      </c>
      <c r="C1733" s="43" t="str">
        <f>IFERROR(__xludf.DUMMYFUNCTION("""COMPUTED_VALUE"""),"approved")</f>
        <v>approved</v>
      </c>
      <c r="D1733" s="43" t="str">
        <f>IFERROR(__xludf.DUMMYFUNCTION("""COMPUTED_VALUE"""),"No")</f>
        <v>No</v>
      </c>
      <c r="E1733" s="43" t="str">
        <f>IFERROR(__xludf.DUMMYFUNCTION("""COMPUTED_VALUE"""),"p_b6cf042fc86f4dd7af761f3eb8257c99758dfc9b@inbound.aiesec.org")</f>
        <v>p_b6cf042fc86f4dd7af761f3eb8257c99758dfc9b@inbound.aiesec.org</v>
      </c>
      <c r="F1733" s="43">
        <f>IFERROR(__xludf.DUMMYFUNCTION("""COMPUTED_VALUE"""),1.020341281E9)</f>
        <v>1020341281</v>
      </c>
      <c r="G1733" s="43" t="str">
        <f>IFERROR(__xludf.DUMMYFUNCTION("""COMPUTED_VALUE"""),"Egypt")</f>
        <v>Egypt</v>
      </c>
      <c r="H1733" s="43" t="str">
        <f>IFERROR(__xludf.DUMMYFUNCTION("""COMPUTED_VALUE"""),"MUST")</f>
        <v>MUST</v>
      </c>
      <c r="I1733" s="43" t="str">
        <f>IFERROR(__xludf.DUMMYFUNCTION("""COMPUTED_VALUE"""),"Turkey")</f>
        <v>Turkey</v>
      </c>
      <c r="J1733" s="43" t="str">
        <f>IFERROR(__xludf.DUMMYFUNCTION("""COMPUTED_VALUE"""),"BURSA")</f>
        <v>BURSA</v>
      </c>
      <c r="K1733" s="44" t="str">
        <f>IFERROR(__xludf.DUMMYFUNCTION("""COMPUTED_VALUE"""),"https://expa.aiesec.org/opportunities/1296671")</f>
        <v>https://expa.aiesec.org/opportunities/1296671</v>
      </c>
      <c r="L1733" s="43" t="str">
        <f>IFERROR(__xludf.DUMMYFUNCTION("""COMPUTED_VALUE"""),"GV")</f>
        <v>GV</v>
      </c>
      <c r="M1733" s="43" t="str">
        <f>IFERROR(__xludf.DUMMYFUNCTION("""COMPUTED_VALUE"""),"short")</f>
        <v>short</v>
      </c>
      <c r="N1733" s="45">
        <f>IFERROR(__xludf.DUMMYFUNCTION("""COMPUTED_VALUE"""),45263.0)</f>
        <v>45263</v>
      </c>
      <c r="O1733" s="45">
        <f>IFERROR(__xludf.DUMMYFUNCTION("""COMPUTED_VALUE"""),45369.0)</f>
        <v>45369</v>
      </c>
      <c r="P1733" s="45">
        <f>IFERROR(__xludf.DUMMYFUNCTION("""COMPUTED_VALUE"""),45411.0)</f>
        <v>45411</v>
      </c>
      <c r="Q1733" s="45"/>
      <c r="R1733" s="45"/>
      <c r="S1733" s="43"/>
      <c r="T1733" s="43"/>
      <c r="U1733" s="43" t="str">
        <f>IFERROR(__xludf.DUMMYFUNCTION("""COMPUTED_VALUE"""),"Youth 4 Impact")</f>
        <v>Youth 4 Impact</v>
      </c>
      <c r="V1733" s="43" t="str">
        <f>IFERROR(__xludf.DUMMYFUNCTION("""COMPUTED_VALUE"""),"MUST University")</f>
        <v>MUST University</v>
      </c>
      <c r="W1733" s="43" t="str">
        <f>IFERROR(__xludf.DUMMYFUNCTION("""COMPUTED_VALUE"""),"2023-12-02T17:25:56Z")</f>
        <v>2023-12-02T17:25:56Z</v>
      </c>
      <c r="X1733" s="43"/>
      <c r="Y1733" s="43"/>
      <c r="Z1733" s="43"/>
    </row>
    <row r="1734" hidden="1">
      <c r="A1734" s="43" t="str">
        <f>IFERROR(__xludf.DUMMYFUNCTION("""COMPUTED_VALUE"""),"5347548_1292535")</f>
        <v>5347548_1292535</v>
      </c>
      <c r="B1734" s="43" t="str">
        <f>IFERROR(__xludf.DUMMYFUNCTION("""COMPUTED_VALUE"""),"Anne Nemr")</f>
        <v>Anne Nemr</v>
      </c>
      <c r="C1734" s="43" t="str">
        <f>IFERROR(__xludf.DUMMYFUNCTION("""COMPUTED_VALUE"""),"approved")</f>
        <v>approved</v>
      </c>
      <c r="D1734" s="43" t="str">
        <f>IFERROR(__xludf.DUMMYFUNCTION("""COMPUTED_VALUE"""),"No")</f>
        <v>No</v>
      </c>
      <c r="E1734" s="43" t="str">
        <f>IFERROR(__xludf.DUMMYFUNCTION("""COMPUTED_VALUE"""),"p_2df1f8a423a2bd9390852bd00c0b8eadc0923c81@inbound.aiesec.org")</f>
        <v>p_2df1f8a423a2bd9390852bd00c0b8eadc0923c81@inbound.aiesec.org</v>
      </c>
      <c r="F1734" s="43">
        <f>IFERROR(__xludf.DUMMYFUNCTION("""COMPUTED_VALUE"""),1.271009939E9)</f>
        <v>1271009939</v>
      </c>
      <c r="G1734" s="43" t="str">
        <f>IFERROR(__xludf.DUMMYFUNCTION("""COMPUTED_VALUE"""),"Egypt")</f>
        <v>Egypt</v>
      </c>
      <c r="H1734" s="43" t="str">
        <f>IFERROR(__xludf.DUMMYFUNCTION("""COMPUTED_VALUE"""),"Helwan")</f>
        <v>Helwan</v>
      </c>
      <c r="I1734" s="43" t="str">
        <f>IFERROR(__xludf.DUMMYFUNCTION("""COMPUTED_VALUE"""),"Turkey")</f>
        <v>Turkey</v>
      </c>
      <c r="J1734" s="43" t="str">
        <f>IFERROR(__xludf.DUMMYFUNCTION("""COMPUTED_VALUE"""),"ESKISEHIR")</f>
        <v>ESKISEHIR</v>
      </c>
      <c r="K1734" s="44" t="str">
        <f>IFERROR(__xludf.DUMMYFUNCTION("""COMPUTED_VALUE"""),"https://expa.aiesec.org/opportunities/1292535")</f>
        <v>https://expa.aiesec.org/opportunities/1292535</v>
      </c>
      <c r="L1734" s="43" t="str">
        <f>IFERROR(__xludf.DUMMYFUNCTION("""COMPUTED_VALUE"""),"GV")</f>
        <v>GV</v>
      </c>
      <c r="M1734" s="43" t="str">
        <f>IFERROR(__xludf.DUMMYFUNCTION("""COMPUTED_VALUE"""),"short")</f>
        <v>short</v>
      </c>
      <c r="N1734" s="45">
        <f>IFERROR(__xludf.DUMMYFUNCTION("""COMPUTED_VALUE"""),45263.0)</f>
        <v>45263</v>
      </c>
      <c r="O1734" s="45">
        <f>IFERROR(__xludf.DUMMYFUNCTION("""COMPUTED_VALUE"""),45487.0)</f>
        <v>45487</v>
      </c>
      <c r="P1734" s="45">
        <f>IFERROR(__xludf.DUMMYFUNCTION("""COMPUTED_VALUE"""),45529.0)</f>
        <v>45529</v>
      </c>
      <c r="Q1734" s="45"/>
      <c r="R1734" s="45"/>
      <c r="S1734" s="43"/>
      <c r="T1734" s="43"/>
      <c r="U1734" s="43" t="str">
        <f>IFERROR(__xludf.DUMMYFUNCTION("""COMPUTED_VALUE"""),"Global Classroom")</f>
        <v>Global Classroom</v>
      </c>
      <c r="V1734" s="43" t="str">
        <f>IFERROR(__xludf.DUMMYFUNCTION("""COMPUTED_VALUE"""),"Helwan University")</f>
        <v>Helwan University</v>
      </c>
      <c r="W1734" s="43" t="str">
        <f>IFERROR(__xludf.DUMMYFUNCTION("""COMPUTED_VALUE"""),"2023-10-10T09:52:14Z")</f>
        <v>2023-10-10T09:52:14Z</v>
      </c>
      <c r="X1734" s="43"/>
      <c r="Y1734" s="43"/>
      <c r="Z1734" s="43"/>
    </row>
    <row r="1735" hidden="1">
      <c r="A1735" s="43" t="str">
        <f>IFERROR(__xludf.DUMMYFUNCTION("""COMPUTED_VALUE"""),"5359939_1288490")</f>
        <v>5359939_1288490</v>
      </c>
      <c r="B1735" s="43" t="str">
        <f>IFERROR(__xludf.DUMMYFUNCTION("""COMPUTED_VALUE"""),"Jiaqi Bai")</f>
        <v>Jiaqi Bai</v>
      </c>
      <c r="C1735" s="43" t="str">
        <f>IFERROR(__xludf.DUMMYFUNCTION("""COMPUTED_VALUE"""),"realized")</f>
        <v>realized</v>
      </c>
      <c r="D1735" s="43" t="str">
        <f>IFERROR(__xludf.DUMMYFUNCTION("""COMPUTED_VALUE"""),"No")</f>
        <v>No</v>
      </c>
      <c r="E1735" s="43" t="str">
        <f>IFERROR(__xludf.DUMMYFUNCTION("""COMPUTED_VALUE"""),"p_11f8fb39090f02d5d6c6536ba7dde7d575cbe3dd@inbound.aiesec.org")</f>
        <v>p_11f8fb39090f02d5d6c6536ba7dde7d575cbe3dd@inbound.aiesec.org</v>
      </c>
      <c r="F1735" s="43">
        <f>IFERROR(__xludf.DUMMYFUNCTION("""COMPUTED_VALUE"""),1.5319011212E10)</f>
        <v>15319011212</v>
      </c>
      <c r="G1735" s="43" t="str">
        <f>IFERROR(__xludf.DUMMYFUNCTION("""COMPUTED_VALUE"""),"Mainland of China")</f>
        <v>Mainland of China</v>
      </c>
      <c r="H1735" s="43" t="str">
        <f>IFERROR(__xludf.DUMMYFUNCTION("""COMPUTED_VALUE"""),"Ningbo")</f>
        <v>Ningbo</v>
      </c>
      <c r="I1735" s="43" t="str">
        <f>IFERROR(__xludf.DUMMYFUNCTION("""COMPUTED_VALUE"""),"Turkey")</f>
        <v>Turkey</v>
      </c>
      <c r="J1735" s="43" t="str">
        <f>IFERROR(__xludf.DUMMYFUNCTION("""COMPUTED_VALUE"""),"ISPARTA")</f>
        <v>ISPARTA</v>
      </c>
      <c r="K1735" s="44" t="str">
        <f>IFERROR(__xludf.DUMMYFUNCTION("""COMPUTED_VALUE"""),"https://expa.aiesec.org/opportunities/1288490")</f>
        <v>https://expa.aiesec.org/opportunities/1288490</v>
      </c>
      <c r="L1735" s="43" t="str">
        <f>IFERROR(__xludf.DUMMYFUNCTION("""COMPUTED_VALUE"""),"GV")</f>
        <v>GV</v>
      </c>
      <c r="M1735" s="43" t="str">
        <f>IFERROR(__xludf.DUMMYFUNCTION("""COMPUTED_VALUE"""),"short")</f>
        <v>short</v>
      </c>
      <c r="N1735" s="45">
        <f>IFERROR(__xludf.DUMMYFUNCTION("""COMPUTED_VALUE"""),45264.0)</f>
        <v>45264</v>
      </c>
      <c r="O1735" s="45">
        <f>IFERROR(__xludf.DUMMYFUNCTION("""COMPUTED_VALUE"""),45306.0)</f>
        <v>45306</v>
      </c>
      <c r="P1735" s="45">
        <f>IFERROR(__xludf.DUMMYFUNCTION("""COMPUTED_VALUE"""),45348.0)</f>
        <v>45348</v>
      </c>
      <c r="Q1735" s="45">
        <f>IFERROR(__xludf.DUMMYFUNCTION("""COMPUTED_VALUE"""),45313.0)</f>
        <v>45313</v>
      </c>
      <c r="R1735" s="45">
        <f>IFERROR(__xludf.DUMMYFUNCTION("""COMPUTED_VALUE"""),45355.0)</f>
        <v>45355</v>
      </c>
      <c r="S1735" s="43"/>
      <c r="T1735" s="43"/>
      <c r="U1735" s="43" t="str">
        <f>IFERROR(__xludf.DUMMYFUNCTION("""COMPUTED_VALUE"""),"Global Classroom")</f>
        <v>Global Classroom</v>
      </c>
      <c r="V1735" s="43" t="str">
        <f>IFERROR(__xludf.DUMMYFUNCTION("""COMPUTED_VALUE"""),"NINGBO 宁波")</f>
        <v>NINGBO 宁波</v>
      </c>
      <c r="W1735" s="43" t="str">
        <f>IFERROR(__xludf.DUMMYFUNCTION("""COMPUTED_VALUE"""),"2023-10-25T11:42:54Z")</f>
        <v>2023-10-25T11:42:54Z</v>
      </c>
      <c r="X1735" s="43"/>
      <c r="Y1735" s="43"/>
      <c r="Z1735" s="43"/>
    </row>
    <row r="1736" hidden="1">
      <c r="A1736" s="43" t="str">
        <f>IFERROR(__xludf.DUMMYFUNCTION("""COMPUTED_VALUE"""),"5383944_1291252")</f>
        <v>5383944_1291252</v>
      </c>
      <c r="B1736" s="43" t="str">
        <f>IFERROR(__xludf.DUMMYFUNCTION("""COMPUTED_VALUE"""),"Zayneb Dakhli")</f>
        <v>Zayneb Dakhli</v>
      </c>
      <c r="C1736" s="43" t="str">
        <f>IFERROR(__xludf.DUMMYFUNCTION("""COMPUTED_VALUE"""),"approved")</f>
        <v>approved</v>
      </c>
      <c r="D1736" s="43" t="str">
        <f>IFERROR(__xludf.DUMMYFUNCTION("""COMPUTED_VALUE"""),"No")</f>
        <v>No</v>
      </c>
      <c r="E1736" s="43" t="str">
        <f>IFERROR(__xludf.DUMMYFUNCTION("""COMPUTED_VALUE"""),"p_c351beaae059110faaaf7a52cf8ac494b463bdeb@inbound.aiesec.org")</f>
        <v>p_c351beaae059110faaaf7a52cf8ac494b463bdeb@inbound.aiesec.org</v>
      </c>
      <c r="F1736" s="43">
        <f>IFERROR(__xludf.DUMMYFUNCTION("""COMPUTED_VALUE"""),2.4102128E7)</f>
        <v>24102128</v>
      </c>
      <c r="G1736" s="43" t="str">
        <f>IFERROR(__xludf.DUMMYFUNCTION("""COMPUTED_VALUE"""),"Tunisia")</f>
        <v>Tunisia</v>
      </c>
      <c r="H1736" s="43" t="str">
        <f>IFERROR(__xludf.DUMMYFUNCTION("""COMPUTED_VALUE"""),"Carthage")</f>
        <v>Carthage</v>
      </c>
      <c r="I1736" s="43" t="str">
        <f>IFERROR(__xludf.DUMMYFUNCTION("""COMPUTED_VALUE"""),"Turkey")</f>
        <v>Turkey</v>
      </c>
      <c r="J1736" s="43" t="str">
        <f>IFERROR(__xludf.DUMMYFUNCTION("""COMPUTED_VALUE"""),"KOCAELI")</f>
        <v>KOCAELI</v>
      </c>
      <c r="K1736" s="44" t="str">
        <f>IFERROR(__xludf.DUMMYFUNCTION("""COMPUTED_VALUE"""),"https://expa.aiesec.org/opportunities/1291252")</f>
        <v>https://expa.aiesec.org/opportunities/1291252</v>
      </c>
      <c r="L1736" s="43" t="str">
        <f>IFERROR(__xludf.DUMMYFUNCTION("""COMPUTED_VALUE"""),"GV")</f>
        <v>GV</v>
      </c>
      <c r="M1736" s="43" t="str">
        <f>IFERROR(__xludf.DUMMYFUNCTION("""COMPUTED_VALUE"""),"short")</f>
        <v>short</v>
      </c>
      <c r="N1736" s="45">
        <f>IFERROR(__xludf.DUMMYFUNCTION("""COMPUTED_VALUE"""),45264.0)</f>
        <v>45264</v>
      </c>
      <c r="O1736" s="45">
        <f>IFERROR(__xludf.DUMMYFUNCTION("""COMPUTED_VALUE"""),45523.0)</f>
        <v>45523</v>
      </c>
      <c r="P1736" s="45">
        <f>IFERROR(__xludf.DUMMYFUNCTION("""COMPUTED_VALUE"""),45565.0)</f>
        <v>45565</v>
      </c>
      <c r="Q1736" s="45"/>
      <c r="R1736" s="45"/>
      <c r="S1736" s="43"/>
      <c r="T1736" s="43"/>
      <c r="U1736" s="43" t="str">
        <f>IFERROR(__xludf.DUMMYFUNCTION("""COMPUTED_VALUE"""),"Global Classroom")</f>
        <v>Global Classroom</v>
      </c>
      <c r="V1736" s="43" t="str">
        <f>IFERROR(__xludf.DUMMYFUNCTION("""COMPUTED_VALUE"""),"IHEC Carthage")</f>
        <v>IHEC Carthage</v>
      </c>
      <c r="W1736" s="43" t="str">
        <f>IFERROR(__xludf.DUMMYFUNCTION("""COMPUTED_VALUE"""),"2023-12-01T17:03:30Z")</f>
        <v>2023-12-01T17:03:30Z</v>
      </c>
      <c r="X1736" s="43"/>
      <c r="Y1736" s="43"/>
      <c r="Z1736" s="43"/>
    </row>
    <row r="1737" hidden="1">
      <c r="A1737" s="43" t="str">
        <f>IFERROR(__xludf.DUMMYFUNCTION("""COMPUTED_VALUE"""),"5384281_1294254")</f>
        <v>5384281_1294254</v>
      </c>
      <c r="B1737" s="43" t="str">
        <f>IFERROR(__xludf.DUMMYFUNCTION("""COMPUTED_VALUE"""),"Seif eldeen Mohsen samara")</f>
        <v>Seif eldeen Mohsen samara</v>
      </c>
      <c r="C1737" s="43" t="str">
        <f>IFERROR(__xludf.DUMMYFUNCTION("""COMPUTED_VALUE"""),"approved")</f>
        <v>approved</v>
      </c>
      <c r="D1737" s="43" t="str">
        <f>IFERROR(__xludf.DUMMYFUNCTION("""COMPUTED_VALUE"""),"No")</f>
        <v>No</v>
      </c>
      <c r="E1737" s="43" t="str">
        <f>IFERROR(__xludf.DUMMYFUNCTION("""COMPUTED_VALUE"""),"p_810c3c856d8d7f8ae46e5e53124b347fa7d56410@inbound.aiesec.org")</f>
        <v>p_810c3c856d8d7f8ae46e5e53124b347fa7d56410@inbound.aiesec.org</v>
      </c>
      <c r="F1737" s="43">
        <f>IFERROR(__xludf.DUMMYFUNCTION("""COMPUTED_VALUE"""),1.270444996E9)</f>
        <v>1270444996</v>
      </c>
      <c r="G1737" s="43" t="str">
        <f>IFERROR(__xludf.DUMMYFUNCTION("""COMPUTED_VALUE"""),"Egypt")</f>
        <v>Egypt</v>
      </c>
      <c r="H1737" s="43" t="str">
        <f>IFERROR(__xludf.DUMMYFUNCTION("""COMPUTED_VALUE"""),"AAST In CAIRO")</f>
        <v>AAST In CAIRO</v>
      </c>
      <c r="I1737" s="43" t="str">
        <f>IFERROR(__xludf.DUMMYFUNCTION("""COMPUTED_VALUE"""),"Turkey")</f>
        <v>Turkey</v>
      </c>
      <c r="J1737" s="43" t="str">
        <f>IFERROR(__xludf.DUMMYFUNCTION("""COMPUTED_VALUE"""),"İZMİR")</f>
        <v>İZMİR</v>
      </c>
      <c r="K1737" s="44" t="str">
        <f>IFERROR(__xludf.DUMMYFUNCTION("""COMPUTED_VALUE"""),"https://expa.aiesec.org/opportunities/1294254")</f>
        <v>https://expa.aiesec.org/opportunities/1294254</v>
      </c>
      <c r="L1737" s="43" t="str">
        <f>IFERROR(__xludf.DUMMYFUNCTION("""COMPUTED_VALUE"""),"GV")</f>
        <v>GV</v>
      </c>
      <c r="M1737" s="43" t="str">
        <f>IFERROR(__xludf.DUMMYFUNCTION("""COMPUTED_VALUE"""),"short")</f>
        <v>short</v>
      </c>
      <c r="N1737" s="45">
        <f>IFERROR(__xludf.DUMMYFUNCTION("""COMPUTED_VALUE"""),45264.0)</f>
        <v>45264</v>
      </c>
      <c r="O1737" s="45">
        <f>IFERROR(__xludf.DUMMYFUNCTION("""COMPUTED_VALUE"""),45299.0)</f>
        <v>45299</v>
      </c>
      <c r="P1737" s="45">
        <f>IFERROR(__xludf.DUMMYFUNCTION("""COMPUTED_VALUE"""),45341.0)</f>
        <v>45341</v>
      </c>
      <c r="Q1737" s="45"/>
      <c r="R1737" s="45"/>
      <c r="S1737" s="43"/>
      <c r="T1737" s="43"/>
      <c r="U1737" s="43" t="str">
        <f>IFERROR(__xludf.DUMMYFUNCTION("""COMPUTED_VALUE"""),"Skill Up!")</f>
        <v>Skill Up!</v>
      </c>
      <c r="V1737" s="43" t="str">
        <f>IFERROR(__xludf.DUMMYFUNCTION("""COMPUTED_VALUE"""),"BUE University")</f>
        <v>BUE University</v>
      </c>
      <c r="W1737" s="43" t="str">
        <f>IFERROR(__xludf.DUMMYFUNCTION("""COMPUTED_VALUE"""),"2023-12-02T12:28:21Z")</f>
        <v>2023-12-02T12:28:21Z</v>
      </c>
      <c r="X1737" s="43"/>
      <c r="Y1737" s="43"/>
      <c r="Z1737" s="43"/>
    </row>
    <row r="1738" hidden="1">
      <c r="A1738" s="43" t="str">
        <f>IFERROR(__xludf.DUMMYFUNCTION("""COMPUTED_VALUE"""),"5206827_1289536")</f>
        <v>5206827_1289536</v>
      </c>
      <c r="B1738" s="43" t="str">
        <f>IFERROR(__xludf.DUMMYFUNCTION("""COMPUTED_VALUE"""),"Kenza Bacha")</f>
        <v>Kenza Bacha</v>
      </c>
      <c r="C1738" s="43" t="str">
        <f>IFERROR(__xludf.DUMMYFUNCTION("""COMPUTED_VALUE"""),"approved")</f>
        <v>approved</v>
      </c>
      <c r="D1738" s="43" t="str">
        <f>IFERROR(__xludf.DUMMYFUNCTION("""COMPUTED_VALUE"""),"No")</f>
        <v>No</v>
      </c>
      <c r="E1738" s="43" t="str">
        <f>IFERROR(__xludf.DUMMYFUNCTION("""COMPUTED_VALUE"""),"p_a3cd8a22ad8a6e75ac8a929a7d8b9c575cec19b0@inbound.aiesec.org")</f>
        <v>p_a3cd8a22ad8a6e75ac8a929a7d8b9c575cec19b0@inbound.aiesec.org</v>
      </c>
      <c r="F1738" s="43"/>
      <c r="G1738" s="43" t="str">
        <f>IFERROR(__xludf.DUMMYFUNCTION("""COMPUTED_VALUE"""),"Tunisia")</f>
        <v>Tunisia</v>
      </c>
      <c r="H1738" s="43" t="str">
        <f>IFERROR(__xludf.DUMMYFUNCTION("""COMPUTED_VALUE"""),"BARDO")</f>
        <v>BARDO</v>
      </c>
      <c r="I1738" s="43" t="str">
        <f>IFERROR(__xludf.DUMMYFUNCTION("""COMPUTED_VALUE"""),"Turkey")</f>
        <v>Turkey</v>
      </c>
      <c r="J1738" s="43" t="str">
        <f>IFERROR(__xludf.DUMMYFUNCTION("""COMPUTED_VALUE"""),"ISTANBUL")</f>
        <v>ISTANBUL</v>
      </c>
      <c r="K1738" s="44" t="str">
        <f>IFERROR(__xludf.DUMMYFUNCTION("""COMPUTED_VALUE"""),"https://expa.aiesec.org/opportunities/1289536")</f>
        <v>https://expa.aiesec.org/opportunities/1289536</v>
      </c>
      <c r="L1738" s="43" t="str">
        <f>IFERROR(__xludf.DUMMYFUNCTION("""COMPUTED_VALUE"""),"GV")</f>
        <v>GV</v>
      </c>
      <c r="M1738" s="43" t="str">
        <f>IFERROR(__xludf.DUMMYFUNCTION("""COMPUTED_VALUE"""),"short")</f>
        <v>short</v>
      </c>
      <c r="N1738" s="45">
        <f>IFERROR(__xludf.DUMMYFUNCTION("""COMPUTED_VALUE"""),45264.0)</f>
        <v>45264</v>
      </c>
      <c r="O1738" s="45">
        <f>IFERROR(__xludf.DUMMYFUNCTION("""COMPUTED_VALUE"""),45505.0)</f>
        <v>45505</v>
      </c>
      <c r="P1738" s="45">
        <f>IFERROR(__xludf.DUMMYFUNCTION("""COMPUTED_VALUE"""),45547.0)</f>
        <v>45547</v>
      </c>
      <c r="Q1738" s="45"/>
      <c r="R1738" s="45"/>
      <c r="S1738" s="43"/>
      <c r="T1738" s="43"/>
      <c r="U1738" s="43" t="str">
        <f>IFERROR(__xludf.DUMMYFUNCTION("""COMPUTED_VALUE"""),"Global Classroom")</f>
        <v>Global Classroom</v>
      </c>
      <c r="V1738" s="43" t="str">
        <f>IFERROR(__xludf.DUMMYFUNCTION("""COMPUTED_VALUE"""),"TBS")</f>
        <v>TBS</v>
      </c>
      <c r="W1738" s="43" t="str">
        <f>IFERROR(__xludf.DUMMYFUNCTION("""COMPUTED_VALUE"""),"2023-03-05T20:12:14Z")</f>
        <v>2023-03-05T20:12:14Z</v>
      </c>
      <c r="X1738" s="43"/>
      <c r="Y1738" s="43"/>
      <c r="Z1738" s="43"/>
    </row>
    <row r="1739" hidden="1">
      <c r="A1739" s="43" t="str">
        <f>IFERROR(__xludf.DUMMYFUNCTION("""COMPUTED_VALUE"""),"5384883_1294622")</f>
        <v>5384883_1294622</v>
      </c>
      <c r="B1739" s="43" t="str">
        <f>IFERROR(__xludf.DUMMYFUNCTION("""COMPUTED_VALUE"""),"Polina Tretiak")</f>
        <v>Polina Tretiak</v>
      </c>
      <c r="C1739" s="43" t="str">
        <f>IFERROR(__xludf.DUMMYFUNCTION("""COMPUTED_VALUE"""),"approved")</f>
        <v>approved</v>
      </c>
      <c r="D1739" s="43" t="str">
        <f>IFERROR(__xludf.DUMMYFUNCTION("""COMPUTED_VALUE"""),"No")</f>
        <v>No</v>
      </c>
      <c r="E1739" s="43" t="str">
        <f>IFERROR(__xludf.DUMMYFUNCTION("""COMPUTED_VALUE"""),"p_d0265cef67876da1dc7f5a6d0b75f33ee64c924f@inbound.aiesec.org")</f>
        <v>p_d0265cef67876da1dc7f5a6d0b75f33ee64c924f@inbound.aiesec.org</v>
      </c>
      <c r="F1739" s="43">
        <f>IFERROR(__xludf.DUMMYFUNCTION("""COMPUTED_VALUE"""),9.50705516E8)</f>
        <v>950705516</v>
      </c>
      <c r="G1739" s="43" t="str">
        <f>IFERROR(__xludf.DUMMYFUNCTION("""COMPUTED_VALUE"""),"Ukraine")</f>
        <v>Ukraine</v>
      </c>
      <c r="H1739" s="43" t="str">
        <f>IFERROR(__xludf.DUMMYFUNCTION("""COMPUTED_VALUE"""),"KYIV")</f>
        <v>KYIV</v>
      </c>
      <c r="I1739" s="43" t="str">
        <f>IFERROR(__xludf.DUMMYFUNCTION("""COMPUTED_VALUE"""),"Turkey")</f>
        <v>Turkey</v>
      </c>
      <c r="J1739" s="43" t="str">
        <f>IFERROR(__xludf.DUMMYFUNCTION("""COMPUTED_VALUE"""),"ADANA")</f>
        <v>ADANA</v>
      </c>
      <c r="K1739" s="44" t="str">
        <f>IFERROR(__xludf.DUMMYFUNCTION("""COMPUTED_VALUE"""),"https://expa.aiesec.org/opportunities/1294622")</f>
        <v>https://expa.aiesec.org/opportunities/1294622</v>
      </c>
      <c r="L1739" s="43" t="str">
        <f>IFERROR(__xludf.DUMMYFUNCTION("""COMPUTED_VALUE"""),"GV")</f>
        <v>GV</v>
      </c>
      <c r="M1739" s="43" t="str">
        <f>IFERROR(__xludf.DUMMYFUNCTION("""COMPUTED_VALUE"""),"short")</f>
        <v>short</v>
      </c>
      <c r="N1739" s="45">
        <f>IFERROR(__xludf.DUMMYFUNCTION("""COMPUTED_VALUE"""),45265.0)</f>
        <v>45265</v>
      </c>
      <c r="O1739" s="45">
        <f>IFERROR(__xludf.DUMMYFUNCTION("""COMPUTED_VALUE"""),45474.0)</f>
        <v>45474</v>
      </c>
      <c r="P1739" s="45">
        <f>IFERROR(__xludf.DUMMYFUNCTION("""COMPUTED_VALUE"""),45516.0)</f>
        <v>45516</v>
      </c>
      <c r="Q1739" s="45"/>
      <c r="R1739" s="45"/>
      <c r="S1739" s="43"/>
      <c r="T1739" s="43"/>
      <c r="U1739" s="43" t="str">
        <f>IFERROR(__xludf.DUMMYFUNCTION("""COMPUTED_VALUE"""),"Equify")</f>
        <v>Equify</v>
      </c>
      <c r="V1739" s="43" t="str">
        <f>IFERROR(__xludf.DUMMYFUNCTION("""COMPUTED_VALUE"""),"Kyiv")</f>
        <v>Kyiv</v>
      </c>
      <c r="W1739" s="43" t="str">
        <f>IFERROR(__xludf.DUMMYFUNCTION("""COMPUTED_VALUE"""),"2023-12-03T17:14:03Z")</f>
        <v>2023-12-03T17:14:03Z</v>
      </c>
      <c r="X1739" s="43"/>
      <c r="Y1739" s="43"/>
      <c r="Z1739" s="43"/>
    </row>
    <row r="1740" hidden="1">
      <c r="A1740" s="43" t="str">
        <f>IFERROR(__xludf.DUMMYFUNCTION("""COMPUTED_VALUE"""),"5381945_1301556")</f>
        <v>5381945_1301556</v>
      </c>
      <c r="B1740" s="43" t="str">
        <f>IFERROR(__xludf.DUMMYFUNCTION("""COMPUTED_VALUE"""),"Marwa Belghith")</f>
        <v>Marwa Belghith</v>
      </c>
      <c r="C1740" s="43" t="str">
        <f>IFERROR(__xludf.DUMMYFUNCTION("""COMPUTED_VALUE"""),"approved")</f>
        <v>approved</v>
      </c>
      <c r="D1740" s="43" t="str">
        <f>IFERROR(__xludf.DUMMYFUNCTION("""COMPUTED_VALUE"""),"No")</f>
        <v>No</v>
      </c>
      <c r="E1740" s="43" t="str">
        <f>IFERROR(__xludf.DUMMYFUNCTION("""COMPUTED_VALUE"""),"p_67f6d5f2c2c565674c7a131e5a3ec1944c99beca@inbound.aiesec.org")</f>
        <v>p_67f6d5f2c2c565674c7a131e5a3ec1944c99beca@inbound.aiesec.org</v>
      </c>
      <c r="F1740" s="43">
        <f>IFERROR(__xludf.DUMMYFUNCTION("""COMPUTED_VALUE"""),5.4417067E7)</f>
        <v>54417067</v>
      </c>
      <c r="G1740" s="43" t="str">
        <f>IFERROR(__xludf.DUMMYFUNCTION("""COMPUTED_VALUE"""),"Tunisia")</f>
        <v>Tunisia</v>
      </c>
      <c r="H1740" s="43" t="str">
        <f>IFERROR(__xludf.DUMMYFUNCTION("""COMPUTED_VALUE"""),"MEDINA")</f>
        <v>MEDINA</v>
      </c>
      <c r="I1740" s="43" t="str">
        <f>IFERROR(__xludf.DUMMYFUNCTION("""COMPUTED_VALUE"""),"Turkey")</f>
        <v>Turkey</v>
      </c>
      <c r="J1740" s="43" t="str">
        <f>IFERROR(__xludf.DUMMYFUNCTION("""COMPUTED_VALUE"""),"KOCAELI")</f>
        <v>KOCAELI</v>
      </c>
      <c r="K1740" s="44" t="str">
        <f>IFERROR(__xludf.DUMMYFUNCTION("""COMPUTED_VALUE"""),"https://expa.aiesec.org/opportunities/1301556")</f>
        <v>https://expa.aiesec.org/opportunities/1301556</v>
      </c>
      <c r="L1740" s="43" t="str">
        <f>IFERROR(__xludf.DUMMYFUNCTION("""COMPUTED_VALUE"""),"GV")</f>
        <v>GV</v>
      </c>
      <c r="M1740" s="43" t="str">
        <f>IFERROR(__xludf.DUMMYFUNCTION("""COMPUTED_VALUE"""),"short")</f>
        <v>short</v>
      </c>
      <c r="N1740" s="45">
        <f>IFERROR(__xludf.DUMMYFUNCTION("""COMPUTED_VALUE"""),45265.0)</f>
        <v>45265</v>
      </c>
      <c r="O1740" s="45">
        <f>IFERROR(__xludf.DUMMYFUNCTION("""COMPUTED_VALUE"""),45460.0)</f>
        <v>45460</v>
      </c>
      <c r="P1740" s="45">
        <f>IFERROR(__xludf.DUMMYFUNCTION("""COMPUTED_VALUE"""),45502.0)</f>
        <v>45502</v>
      </c>
      <c r="Q1740" s="45"/>
      <c r="R1740" s="45"/>
      <c r="S1740" s="43"/>
      <c r="T1740" s="43"/>
      <c r="U1740" s="43" t="str">
        <f>IFERROR(__xludf.DUMMYFUNCTION("""COMPUTED_VALUE"""),"Global Classroom")</f>
        <v>Global Classroom</v>
      </c>
      <c r="V1740" s="43" t="str">
        <f>IFERROR(__xludf.DUMMYFUNCTION("""COMPUTED_VALUE"""),"FLAH")</f>
        <v>FLAH</v>
      </c>
      <c r="W1740" s="43" t="str">
        <f>IFERROR(__xludf.DUMMYFUNCTION("""COMPUTED_VALUE"""),"2023-11-28T19:09:45Z")</f>
        <v>2023-11-28T19:09:45Z</v>
      </c>
      <c r="X1740" s="43"/>
      <c r="Y1740" s="43"/>
      <c r="Z1740" s="43"/>
    </row>
    <row r="1741" hidden="1">
      <c r="A1741" s="43" t="str">
        <f>IFERROR(__xludf.DUMMYFUNCTION("""COMPUTED_VALUE"""),"5385676_1298102")</f>
        <v>5385676_1298102</v>
      </c>
      <c r="B1741" s="43" t="str">
        <f>IFERROR(__xludf.DUMMYFUNCTION("""COMPUTED_VALUE"""),"Roue ben asker")</f>
        <v>Roue ben asker</v>
      </c>
      <c r="C1741" s="43" t="str">
        <f>IFERROR(__xludf.DUMMYFUNCTION("""COMPUTED_VALUE"""),"approved")</f>
        <v>approved</v>
      </c>
      <c r="D1741" s="43" t="str">
        <f>IFERROR(__xludf.DUMMYFUNCTION("""COMPUTED_VALUE"""),"No")</f>
        <v>No</v>
      </c>
      <c r="E1741" s="43" t="str">
        <f>IFERROR(__xludf.DUMMYFUNCTION("""COMPUTED_VALUE"""),"p_29c22e2eb0e875d9a7ea490016613a6390a004e6@inbound.aiesec.org")</f>
        <v>p_29c22e2eb0e875d9a7ea490016613a6390a004e6@inbound.aiesec.org</v>
      </c>
      <c r="F1741" s="43">
        <f>IFERROR(__xludf.DUMMYFUNCTION("""COMPUTED_VALUE"""),5.6254816E7)</f>
        <v>56254816</v>
      </c>
      <c r="G1741" s="43" t="str">
        <f>IFERROR(__xludf.DUMMYFUNCTION("""COMPUTED_VALUE"""),"Tunisia")</f>
        <v>Tunisia</v>
      </c>
      <c r="H1741" s="43" t="str">
        <f>IFERROR(__xludf.DUMMYFUNCTION("""COMPUTED_VALUE"""),"UNIVERSITY")</f>
        <v>UNIVERSITY</v>
      </c>
      <c r="I1741" s="43" t="str">
        <f>IFERROR(__xludf.DUMMYFUNCTION("""COMPUTED_VALUE"""),"Turkey")</f>
        <v>Turkey</v>
      </c>
      <c r="J1741" s="43" t="str">
        <f>IFERROR(__xludf.DUMMYFUNCTION("""COMPUTED_VALUE"""),"KOCAELI")</f>
        <v>KOCAELI</v>
      </c>
      <c r="K1741" s="44" t="str">
        <f>IFERROR(__xludf.DUMMYFUNCTION("""COMPUTED_VALUE"""),"https://expa.aiesec.org/opportunities/1298102")</f>
        <v>https://expa.aiesec.org/opportunities/1298102</v>
      </c>
      <c r="L1741" s="43" t="str">
        <f>IFERROR(__xludf.DUMMYFUNCTION("""COMPUTED_VALUE"""),"GV")</f>
        <v>GV</v>
      </c>
      <c r="M1741" s="43" t="str">
        <f>IFERROR(__xludf.DUMMYFUNCTION("""COMPUTED_VALUE"""),"short")</f>
        <v>short</v>
      </c>
      <c r="N1741" s="45">
        <f>IFERROR(__xludf.DUMMYFUNCTION("""COMPUTED_VALUE"""),45265.0)</f>
        <v>45265</v>
      </c>
      <c r="O1741" s="45">
        <f>IFERROR(__xludf.DUMMYFUNCTION("""COMPUTED_VALUE"""),45446.0)</f>
        <v>45446</v>
      </c>
      <c r="P1741" s="45">
        <f>IFERROR(__xludf.DUMMYFUNCTION("""COMPUTED_VALUE"""),45488.0)</f>
        <v>45488</v>
      </c>
      <c r="Q1741" s="45"/>
      <c r="R1741" s="45"/>
      <c r="S1741" s="43"/>
      <c r="T1741" s="43"/>
      <c r="U1741" s="43" t="str">
        <f>IFERROR(__xludf.DUMMYFUNCTION("""COMPUTED_VALUE"""),"Global Classroom")</f>
        <v>Global Classroom</v>
      </c>
      <c r="V1741" s="43" t="str">
        <f>IFERROR(__xludf.DUMMYFUNCTION("""COMPUTED_VALUE"""),"ISSHT")</f>
        <v>ISSHT</v>
      </c>
      <c r="W1741" s="43" t="str">
        <f>IFERROR(__xludf.DUMMYFUNCTION("""COMPUTED_VALUE"""),"2023-12-05T12:37:47Z")</f>
        <v>2023-12-05T12:37:47Z</v>
      </c>
      <c r="X1741" s="43"/>
      <c r="Y1741" s="43"/>
      <c r="Z1741" s="43"/>
    </row>
    <row r="1742" hidden="1">
      <c r="A1742" s="43" t="str">
        <f>IFERROR(__xludf.DUMMYFUNCTION("""COMPUTED_VALUE"""),"5275071_1279126")</f>
        <v>5275071_1279126</v>
      </c>
      <c r="B1742" s="43" t="str">
        <f>IFERROR(__xludf.DUMMYFUNCTION("""COMPUTED_VALUE"""),"Haifa Boussadia")</f>
        <v>Haifa Boussadia</v>
      </c>
      <c r="C1742" s="43" t="str">
        <f>IFERROR(__xludf.DUMMYFUNCTION("""COMPUTED_VALUE"""),"approved")</f>
        <v>approved</v>
      </c>
      <c r="D1742" s="43" t="str">
        <f>IFERROR(__xludf.DUMMYFUNCTION("""COMPUTED_VALUE"""),"No")</f>
        <v>No</v>
      </c>
      <c r="E1742" s="43" t="str">
        <f>IFERROR(__xludf.DUMMYFUNCTION("""COMPUTED_VALUE"""),"p_e1db2a418b66ab9f4a3c07632edb277fafb1bb7f@inbound.aiesec.org")</f>
        <v>p_e1db2a418b66ab9f4a3c07632edb277fafb1bb7f@inbound.aiesec.org</v>
      </c>
      <c r="F1742" s="43">
        <f>IFERROR(__xludf.DUMMYFUNCTION("""COMPUTED_VALUE"""),9.8619275E7)</f>
        <v>98619275</v>
      </c>
      <c r="G1742" s="43" t="str">
        <f>IFERROR(__xludf.DUMMYFUNCTION("""COMPUTED_VALUE"""),"Tunisia")</f>
        <v>Tunisia</v>
      </c>
      <c r="H1742" s="43" t="str">
        <f>IFERROR(__xludf.DUMMYFUNCTION("""COMPUTED_VALUE"""),"Carthage")</f>
        <v>Carthage</v>
      </c>
      <c r="I1742" s="43" t="str">
        <f>IFERROR(__xludf.DUMMYFUNCTION("""COMPUTED_VALUE"""),"Turkey")</f>
        <v>Turkey</v>
      </c>
      <c r="J1742" s="43" t="str">
        <f>IFERROR(__xludf.DUMMYFUNCTION("""COMPUTED_VALUE"""),"KOCAELI")</f>
        <v>KOCAELI</v>
      </c>
      <c r="K1742" s="44" t="str">
        <f>IFERROR(__xludf.DUMMYFUNCTION("""COMPUTED_VALUE"""),"https://expa.aiesec.org/opportunities/1279126")</f>
        <v>https://expa.aiesec.org/opportunities/1279126</v>
      </c>
      <c r="L1742" s="43" t="str">
        <f>IFERROR(__xludf.DUMMYFUNCTION("""COMPUTED_VALUE"""),"GV")</f>
        <v>GV</v>
      </c>
      <c r="M1742" s="43" t="str">
        <f>IFERROR(__xludf.DUMMYFUNCTION("""COMPUTED_VALUE"""),"short")</f>
        <v>short</v>
      </c>
      <c r="N1742" s="45">
        <f>IFERROR(__xludf.DUMMYFUNCTION("""COMPUTED_VALUE"""),45265.0)</f>
        <v>45265</v>
      </c>
      <c r="O1742" s="45">
        <f>IFERROR(__xludf.DUMMYFUNCTION("""COMPUTED_VALUE"""),45474.0)</f>
        <v>45474</v>
      </c>
      <c r="P1742" s="45">
        <f>IFERROR(__xludf.DUMMYFUNCTION("""COMPUTED_VALUE"""),45516.0)</f>
        <v>45516</v>
      </c>
      <c r="Q1742" s="45"/>
      <c r="R1742" s="45"/>
      <c r="S1742" s="43"/>
      <c r="T1742" s="43"/>
      <c r="U1742" s="43" t="str">
        <f>IFERROR(__xludf.DUMMYFUNCTION("""COMPUTED_VALUE"""),"Global Classroom")</f>
        <v>Global Classroom</v>
      </c>
      <c r="V1742" s="43" t="str">
        <f>IFERROR(__xludf.DUMMYFUNCTION("""COMPUTED_VALUE"""),"Institut préparatoire aux études biologiques et géologiques de la Soukra")</f>
        <v>Institut préparatoire aux études biologiques et géologiques de la Soukra</v>
      </c>
      <c r="W1742" s="43" t="str">
        <f>IFERROR(__xludf.DUMMYFUNCTION("""COMPUTED_VALUE"""),"2023-06-13T22:53:53Z")</f>
        <v>2023-06-13T22:53:53Z</v>
      </c>
      <c r="X1742" s="43"/>
      <c r="Y1742" s="43"/>
      <c r="Z1742" s="43"/>
    </row>
    <row r="1743" hidden="1">
      <c r="A1743" s="43" t="str">
        <f>IFERROR(__xludf.DUMMYFUNCTION("""COMPUTED_VALUE"""),"5381335_1299474")</f>
        <v>5381335_1299474</v>
      </c>
      <c r="B1743" s="43" t="str">
        <f>IFERROR(__xludf.DUMMYFUNCTION("""COMPUTED_VALUE"""),"Guștiuc Nicoleta")</f>
        <v>Guștiuc Nicoleta</v>
      </c>
      <c r="C1743" s="43" t="str">
        <f>IFERROR(__xludf.DUMMYFUNCTION("""COMPUTED_VALUE"""),"approved")</f>
        <v>approved</v>
      </c>
      <c r="D1743" s="43" t="str">
        <f>IFERROR(__xludf.DUMMYFUNCTION("""COMPUTED_VALUE"""),"No")</f>
        <v>No</v>
      </c>
      <c r="E1743" s="43" t="str">
        <f>IFERROR(__xludf.DUMMYFUNCTION("""COMPUTED_VALUE"""),"p_efdda8387e9d39411c1759b8c5cf8d8b0213dbf7@inbound.aiesec.org")</f>
        <v>p_efdda8387e9d39411c1759b8c5cf8d8b0213dbf7@inbound.aiesec.org</v>
      </c>
      <c r="F1743" s="43">
        <f>IFERROR(__xludf.DUMMYFUNCTION("""COMPUTED_VALUE"""),7.92422856E8)</f>
        <v>792422856</v>
      </c>
      <c r="G1743" s="43" t="str">
        <f>IFERROR(__xludf.DUMMYFUNCTION("""COMPUTED_VALUE"""),"Romania")</f>
        <v>Romania</v>
      </c>
      <c r="H1743" s="43" t="str">
        <f>IFERROR(__xludf.DUMMYFUNCTION("""COMPUTED_VALUE"""),"BUCURESTI")</f>
        <v>BUCURESTI</v>
      </c>
      <c r="I1743" s="43" t="str">
        <f>IFERROR(__xludf.DUMMYFUNCTION("""COMPUTED_VALUE"""),"Turkey")</f>
        <v>Turkey</v>
      </c>
      <c r="J1743" s="43" t="str">
        <f>IFERROR(__xludf.DUMMYFUNCTION("""COMPUTED_VALUE"""),"ANKARA")</f>
        <v>ANKARA</v>
      </c>
      <c r="K1743" s="44" t="str">
        <f>IFERROR(__xludf.DUMMYFUNCTION("""COMPUTED_VALUE"""),"https://expa.aiesec.org/opportunities/1299474")</f>
        <v>https://expa.aiesec.org/opportunities/1299474</v>
      </c>
      <c r="L1743" s="43" t="str">
        <f>IFERROR(__xludf.DUMMYFUNCTION("""COMPUTED_VALUE"""),"GV")</f>
        <v>GV</v>
      </c>
      <c r="M1743" s="43" t="str">
        <f>IFERROR(__xludf.DUMMYFUNCTION("""COMPUTED_VALUE"""),"short")</f>
        <v>short</v>
      </c>
      <c r="N1743" s="45">
        <f>IFERROR(__xludf.DUMMYFUNCTION("""COMPUTED_VALUE"""),45266.0)</f>
        <v>45266</v>
      </c>
      <c r="O1743" s="45">
        <f>IFERROR(__xludf.DUMMYFUNCTION("""COMPUTED_VALUE"""),45495.0)</f>
        <v>45495</v>
      </c>
      <c r="P1743" s="45">
        <f>IFERROR(__xludf.DUMMYFUNCTION("""COMPUTED_VALUE"""),45537.0)</f>
        <v>45537</v>
      </c>
      <c r="Q1743" s="45"/>
      <c r="R1743" s="45"/>
      <c r="S1743" s="43"/>
      <c r="T1743" s="43"/>
      <c r="U1743" s="43" t="str">
        <f>IFERROR(__xludf.DUMMYFUNCTION("""COMPUTED_VALUE"""),"Global Classroom")</f>
        <v>Global Classroom</v>
      </c>
      <c r="V1743" s="43" t="str">
        <f>IFERROR(__xludf.DUMMYFUNCTION("""COMPUTED_VALUE"""),"Bucuresti")</f>
        <v>Bucuresti</v>
      </c>
      <c r="W1743" s="43" t="str">
        <f>IFERROR(__xludf.DUMMYFUNCTION("""COMPUTED_VALUE"""),"2023-11-28T08:42:08Z")</f>
        <v>2023-11-28T08:42:08Z</v>
      </c>
      <c r="X1743" s="43"/>
      <c r="Y1743" s="43"/>
      <c r="Z1743" s="43"/>
    </row>
    <row r="1744" hidden="1">
      <c r="A1744" s="43" t="str">
        <f>IFERROR(__xludf.DUMMYFUNCTION("""COMPUTED_VALUE"""),"5385950_1298102")</f>
        <v>5385950_1298102</v>
      </c>
      <c r="B1744" s="43" t="str">
        <f>IFERROR(__xludf.DUMMYFUNCTION("""COMPUTED_VALUE"""),"Ranim Zitouni")</f>
        <v>Ranim Zitouni</v>
      </c>
      <c r="C1744" s="43" t="str">
        <f>IFERROR(__xludf.DUMMYFUNCTION("""COMPUTED_VALUE"""),"approved")</f>
        <v>approved</v>
      </c>
      <c r="D1744" s="43" t="str">
        <f>IFERROR(__xludf.DUMMYFUNCTION("""COMPUTED_VALUE"""),"No")</f>
        <v>No</v>
      </c>
      <c r="E1744" s="43" t="str">
        <f>IFERROR(__xludf.DUMMYFUNCTION("""COMPUTED_VALUE"""),"p_2a842fc06154f5caa0a4667d985b6255da8cd7ae@inbound.aiesec.org")</f>
        <v>p_2a842fc06154f5caa0a4667d985b6255da8cd7ae@inbound.aiesec.org</v>
      </c>
      <c r="F1744" s="43">
        <f>IFERROR(__xludf.DUMMYFUNCTION("""COMPUTED_VALUE"""),9.5973691E7)</f>
        <v>95973691</v>
      </c>
      <c r="G1744" s="43" t="str">
        <f>IFERROR(__xludf.DUMMYFUNCTION("""COMPUTED_VALUE"""),"Tunisia")</f>
        <v>Tunisia</v>
      </c>
      <c r="H1744" s="43" t="str">
        <f>IFERROR(__xludf.DUMMYFUNCTION("""COMPUTED_VALUE"""),"HADRUMET")</f>
        <v>HADRUMET</v>
      </c>
      <c r="I1744" s="43" t="str">
        <f>IFERROR(__xludf.DUMMYFUNCTION("""COMPUTED_VALUE"""),"Turkey")</f>
        <v>Turkey</v>
      </c>
      <c r="J1744" s="43" t="str">
        <f>IFERROR(__xludf.DUMMYFUNCTION("""COMPUTED_VALUE"""),"KOCAELI")</f>
        <v>KOCAELI</v>
      </c>
      <c r="K1744" s="44" t="str">
        <f>IFERROR(__xludf.DUMMYFUNCTION("""COMPUTED_VALUE"""),"https://expa.aiesec.org/opportunities/1298102")</f>
        <v>https://expa.aiesec.org/opportunities/1298102</v>
      </c>
      <c r="L1744" s="43" t="str">
        <f>IFERROR(__xludf.DUMMYFUNCTION("""COMPUTED_VALUE"""),"GV")</f>
        <v>GV</v>
      </c>
      <c r="M1744" s="43" t="str">
        <f>IFERROR(__xludf.DUMMYFUNCTION("""COMPUTED_VALUE"""),"short")</f>
        <v>short</v>
      </c>
      <c r="N1744" s="45">
        <f>IFERROR(__xludf.DUMMYFUNCTION("""COMPUTED_VALUE"""),45266.0)</f>
        <v>45266</v>
      </c>
      <c r="O1744" s="45">
        <f>IFERROR(__xludf.DUMMYFUNCTION("""COMPUTED_VALUE"""),45474.0)</f>
        <v>45474</v>
      </c>
      <c r="P1744" s="45">
        <f>IFERROR(__xludf.DUMMYFUNCTION("""COMPUTED_VALUE"""),45516.0)</f>
        <v>45516</v>
      </c>
      <c r="Q1744" s="45"/>
      <c r="R1744" s="45"/>
      <c r="S1744" s="43"/>
      <c r="T1744" s="43"/>
      <c r="U1744" s="43" t="str">
        <f>IFERROR(__xludf.DUMMYFUNCTION("""COMPUTED_VALUE"""),"Global Classroom")</f>
        <v>Global Classroom</v>
      </c>
      <c r="V1744" s="43" t="str">
        <f>IFERROR(__xludf.DUMMYFUNCTION("""COMPUTED_VALUE"""),"FSEG Sousse")</f>
        <v>FSEG Sousse</v>
      </c>
      <c r="W1744" s="43" t="str">
        <f>IFERROR(__xludf.DUMMYFUNCTION("""COMPUTED_VALUE"""),"2023-12-05T20:45:38Z")</f>
        <v>2023-12-05T20:45:38Z</v>
      </c>
      <c r="X1744" s="43"/>
      <c r="Y1744" s="43"/>
      <c r="Z1744" s="43"/>
    </row>
    <row r="1745" hidden="1">
      <c r="A1745" s="43" t="str">
        <f>IFERROR(__xludf.DUMMYFUNCTION("""COMPUTED_VALUE"""),"5377467_1287628")</f>
        <v>5377467_1287628</v>
      </c>
      <c r="B1745" s="43" t="str">
        <f>IFERROR(__xludf.DUMMYFUNCTION("""COMPUTED_VALUE"""),"Bouazzi Ouday")</f>
        <v>Bouazzi Ouday</v>
      </c>
      <c r="C1745" s="43" t="str">
        <f>IFERROR(__xludf.DUMMYFUNCTION("""COMPUTED_VALUE"""),"approved")</f>
        <v>approved</v>
      </c>
      <c r="D1745" s="43" t="str">
        <f>IFERROR(__xludf.DUMMYFUNCTION("""COMPUTED_VALUE"""),"No")</f>
        <v>No</v>
      </c>
      <c r="E1745" s="43" t="str">
        <f>IFERROR(__xludf.DUMMYFUNCTION("""COMPUTED_VALUE"""),"p_873f9ba078c1f7fa3a736c32653c243749b253ec@inbound.aiesec.org")</f>
        <v>p_873f9ba078c1f7fa3a736c32653c243749b253ec@inbound.aiesec.org</v>
      </c>
      <c r="F1745" s="43">
        <f>IFERROR(__xludf.DUMMYFUNCTION("""COMPUTED_VALUE"""),2.3442822E7)</f>
        <v>23442822</v>
      </c>
      <c r="G1745" s="43" t="str">
        <f>IFERROR(__xludf.DUMMYFUNCTION("""COMPUTED_VALUE"""),"Tunisia")</f>
        <v>Tunisia</v>
      </c>
      <c r="H1745" s="43" t="str">
        <f>IFERROR(__xludf.DUMMYFUNCTION("""COMPUTED_VALUE"""),"HADRUMET")</f>
        <v>HADRUMET</v>
      </c>
      <c r="I1745" s="43" t="str">
        <f>IFERROR(__xludf.DUMMYFUNCTION("""COMPUTED_VALUE"""),"Turkey")</f>
        <v>Turkey</v>
      </c>
      <c r="J1745" s="43" t="str">
        <f>IFERROR(__xludf.DUMMYFUNCTION("""COMPUTED_VALUE"""),"KOCAELI")</f>
        <v>KOCAELI</v>
      </c>
      <c r="K1745" s="44" t="str">
        <f>IFERROR(__xludf.DUMMYFUNCTION("""COMPUTED_VALUE"""),"https://expa.aiesec.org/opportunities/1287628")</f>
        <v>https://expa.aiesec.org/opportunities/1287628</v>
      </c>
      <c r="L1745" s="43" t="str">
        <f>IFERROR(__xludf.DUMMYFUNCTION("""COMPUTED_VALUE"""),"GV")</f>
        <v>GV</v>
      </c>
      <c r="M1745" s="43" t="str">
        <f>IFERROR(__xludf.DUMMYFUNCTION("""COMPUTED_VALUE"""),"short")</f>
        <v>short</v>
      </c>
      <c r="N1745" s="45">
        <f>IFERROR(__xludf.DUMMYFUNCTION("""COMPUTED_VALUE"""),45266.0)</f>
        <v>45266</v>
      </c>
      <c r="O1745" s="45">
        <f>IFERROR(__xludf.DUMMYFUNCTION("""COMPUTED_VALUE"""),45474.0)</f>
        <v>45474</v>
      </c>
      <c r="P1745" s="45">
        <f>IFERROR(__xludf.DUMMYFUNCTION("""COMPUTED_VALUE"""),45516.0)</f>
        <v>45516</v>
      </c>
      <c r="Q1745" s="45"/>
      <c r="R1745" s="45"/>
      <c r="S1745" s="43"/>
      <c r="T1745" s="43"/>
      <c r="U1745" s="43" t="str">
        <f>IFERROR(__xludf.DUMMYFUNCTION("""COMPUTED_VALUE"""),"Global Classroom")</f>
        <v>Global Classroom</v>
      </c>
      <c r="V1745" s="43" t="str">
        <f>IFERROR(__xludf.DUMMYFUNCTION("""COMPUTED_VALUE"""),"ISIT COM Sousse")</f>
        <v>ISIT COM Sousse</v>
      </c>
      <c r="W1745" s="43" t="str">
        <f>IFERROR(__xludf.DUMMYFUNCTION("""COMPUTED_VALUE"""),"2023-11-22T12:34:21Z")</f>
        <v>2023-11-22T12:34:21Z</v>
      </c>
      <c r="X1745" s="43"/>
      <c r="Y1745" s="43"/>
      <c r="Z1745" s="43"/>
    </row>
    <row r="1746" hidden="1">
      <c r="A1746" s="43" t="str">
        <f>IFERROR(__xludf.DUMMYFUNCTION("""COMPUTED_VALUE"""),"5386179_1298102")</f>
        <v>5386179_1298102</v>
      </c>
      <c r="B1746" s="43" t="str">
        <f>IFERROR(__xludf.DUMMYFUNCTION("""COMPUTED_VALUE"""),"syrine aouf")</f>
        <v>syrine aouf</v>
      </c>
      <c r="C1746" s="43" t="str">
        <f>IFERROR(__xludf.DUMMYFUNCTION("""COMPUTED_VALUE"""),"approved")</f>
        <v>approved</v>
      </c>
      <c r="D1746" s="43" t="str">
        <f>IFERROR(__xludf.DUMMYFUNCTION("""COMPUTED_VALUE"""),"No")</f>
        <v>No</v>
      </c>
      <c r="E1746" s="43" t="str">
        <f>IFERROR(__xludf.DUMMYFUNCTION("""COMPUTED_VALUE"""),"p_c63cb3efdbbe8e7a00042a33a9fb90e0e75e768c@inbound.aiesec.org")</f>
        <v>p_c63cb3efdbbe8e7a00042a33a9fb90e0e75e768c@inbound.aiesec.org</v>
      </c>
      <c r="F1746" s="43">
        <f>IFERROR(__xludf.DUMMYFUNCTION("""COMPUTED_VALUE"""),9.9955111E7)</f>
        <v>99955111</v>
      </c>
      <c r="G1746" s="43" t="str">
        <f>IFERROR(__xludf.DUMMYFUNCTION("""COMPUTED_VALUE"""),"Tunisia")</f>
        <v>Tunisia</v>
      </c>
      <c r="H1746" s="43" t="str">
        <f>IFERROR(__xludf.DUMMYFUNCTION("""COMPUTED_VALUE"""),"HADRUMET")</f>
        <v>HADRUMET</v>
      </c>
      <c r="I1746" s="43" t="str">
        <f>IFERROR(__xludf.DUMMYFUNCTION("""COMPUTED_VALUE"""),"Turkey")</f>
        <v>Turkey</v>
      </c>
      <c r="J1746" s="43" t="str">
        <f>IFERROR(__xludf.DUMMYFUNCTION("""COMPUTED_VALUE"""),"KOCAELI")</f>
        <v>KOCAELI</v>
      </c>
      <c r="K1746" s="44" t="str">
        <f>IFERROR(__xludf.DUMMYFUNCTION("""COMPUTED_VALUE"""),"https://expa.aiesec.org/opportunities/1298102")</f>
        <v>https://expa.aiesec.org/opportunities/1298102</v>
      </c>
      <c r="L1746" s="43" t="str">
        <f>IFERROR(__xludf.DUMMYFUNCTION("""COMPUTED_VALUE"""),"GV")</f>
        <v>GV</v>
      </c>
      <c r="M1746" s="43" t="str">
        <f>IFERROR(__xludf.DUMMYFUNCTION("""COMPUTED_VALUE"""),"short")</f>
        <v>short</v>
      </c>
      <c r="N1746" s="45">
        <f>IFERROR(__xludf.DUMMYFUNCTION("""COMPUTED_VALUE"""),45266.0)</f>
        <v>45266</v>
      </c>
      <c r="O1746" s="45">
        <f>IFERROR(__xludf.DUMMYFUNCTION("""COMPUTED_VALUE"""),45474.0)</f>
        <v>45474</v>
      </c>
      <c r="P1746" s="45">
        <f>IFERROR(__xludf.DUMMYFUNCTION("""COMPUTED_VALUE"""),45516.0)</f>
        <v>45516</v>
      </c>
      <c r="Q1746" s="45"/>
      <c r="R1746" s="45"/>
      <c r="S1746" s="43"/>
      <c r="T1746" s="43"/>
      <c r="U1746" s="43" t="str">
        <f>IFERROR(__xludf.DUMMYFUNCTION("""COMPUTED_VALUE"""),"Global Classroom")</f>
        <v>Global Classroom</v>
      </c>
      <c r="V1746" s="43" t="str">
        <f>IFERROR(__xludf.DUMMYFUNCTION("""COMPUTED_VALUE"""),"Polytechnique Sousse")</f>
        <v>Polytechnique Sousse</v>
      </c>
      <c r="W1746" s="43" t="str">
        <f>IFERROR(__xludf.DUMMYFUNCTION("""COMPUTED_VALUE"""),"2023-12-06T11:53:25Z")</f>
        <v>2023-12-06T11:53:25Z</v>
      </c>
      <c r="X1746" s="43"/>
      <c r="Y1746" s="43"/>
      <c r="Z1746" s="43"/>
    </row>
    <row r="1747" hidden="1">
      <c r="A1747" s="43" t="str">
        <f>IFERROR(__xludf.DUMMYFUNCTION("""COMPUTED_VALUE"""),"5386206_1279126")</f>
        <v>5386206_1279126</v>
      </c>
      <c r="B1747" s="43" t="str">
        <f>IFERROR(__xludf.DUMMYFUNCTION("""COMPUTED_VALUE"""),"Ghofrane Rebhi")</f>
        <v>Ghofrane Rebhi</v>
      </c>
      <c r="C1747" s="43" t="str">
        <f>IFERROR(__xludf.DUMMYFUNCTION("""COMPUTED_VALUE"""),"approved")</f>
        <v>approved</v>
      </c>
      <c r="D1747" s="43" t="str">
        <f>IFERROR(__xludf.DUMMYFUNCTION("""COMPUTED_VALUE"""),"No")</f>
        <v>No</v>
      </c>
      <c r="E1747" s="43" t="str">
        <f>IFERROR(__xludf.DUMMYFUNCTION("""COMPUTED_VALUE"""),"p_2fbe31006766169784414894f6060e7c65eeeeac@inbound.aiesec.org")</f>
        <v>p_2fbe31006766169784414894f6060e7c65eeeeac@inbound.aiesec.org</v>
      </c>
      <c r="F1747" s="43">
        <f>IFERROR(__xludf.DUMMYFUNCTION("""COMPUTED_VALUE"""),2.0474183E7)</f>
        <v>20474183</v>
      </c>
      <c r="G1747" s="43" t="str">
        <f>IFERROR(__xludf.DUMMYFUNCTION("""COMPUTED_VALUE"""),"Tunisia")</f>
        <v>Tunisia</v>
      </c>
      <c r="H1747" s="43" t="str">
        <f>IFERROR(__xludf.DUMMYFUNCTION("""COMPUTED_VALUE"""),"HADRUMET")</f>
        <v>HADRUMET</v>
      </c>
      <c r="I1747" s="43" t="str">
        <f>IFERROR(__xludf.DUMMYFUNCTION("""COMPUTED_VALUE"""),"Turkey")</f>
        <v>Turkey</v>
      </c>
      <c r="J1747" s="43" t="str">
        <f>IFERROR(__xludf.DUMMYFUNCTION("""COMPUTED_VALUE"""),"KOCAELI")</f>
        <v>KOCAELI</v>
      </c>
      <c r="K1747" s="44" t="str">
        <f>IFERROR(__xludf.DUMMYFUNCTION("""COMPUTED_VALUE"""),"https://expa.aiesec.org/opportunities/1279126")</f>
        <v>https://expa.aiesec.org/opportunities/1279126</v>
      </c>
      <c r="L1747" s="43" t="str">
        <f>IFERROR(__xludf.DUMMYFUNCTION("""COMPUTED_VALUE"""),"GV")</f>
        <v>GV</v>
      </c>
      <c r="M1747" s="43" t="str">
        <f>IFERROR(__xludf.DUMMYFUNCTION("""COMPUTED_VALUE"""),"short")</f>
        <v>short</v>
      </c>
      <c r="N1747" s="45">
        <f>IFERROR(__xludf.DUMMYFUNCTION("""COMPUTED_VALUE"""),45266.0)</f>
        <v>45266</v>
      </c>
      <c r="O1747" s="45">
        <f>IFERROR(__xludf.DUMMYFUNCTION("""COMPUTED_VALUE"""),45488.0)</f>
        <v>45488</v>
      </c>
      <c r="P1747" s="45">
        <f>IFERROR(__xludf.DUMMYFUNCTION("""COMPUTED_VALUE"""),45530.0)</f>
        <v>45530</v>
      </c>
      <c r="Q1747" s="45"/>
      <c r="R1747" s="45"/>
      <c r="S1747" s="43"/>
      <c r="T1747" s="43"/>
      <c r="U1747" s="43" t="str">
        <f>IFERROR(__xludf.DUMMYFUNCTION("""COMPUTED_VALUE"""),"Global Classroom")</f>
        <v>Global Classroom</v>
      </c>
      <c r="V1747" s="43" t="str">
        <f>IFERROR(__xludf.DUMMYFUNCTION("""COMPUTED_VALUE"""),"FLSH Sousse")</f>
        <v>FLSH Sousse</v>
      </c>
      <c r="W1747" s="43" t="str">
        <f>IFERROR(__xludf.DUMMYFUNCTION("""COMPUTED_VALUE"""),"2023-12-06T12:25:03Z")</f>
        <v>2023-12-06T12:25:03Z</v>
      </c>
      <c r="X1747" s="43"/>
      <c r="Y1747" s="43"/>
      <c r="Z1747" s="43"/>
    </row>
    <row r="1748" hidden="1">
      <c r="A1748" s="43" t="str">
        <f>IFERROR(__xludf.DUMMYFUNCTION("""COMPUTED_VALUE"""),"5305054_1294795")</f>
        <v>5305054_1294795</v>
      </c>
      <c r="B1748" s="43" t="str">
        <f>IFERROR(__xludf.DUMMYFUNCTION("""COMPUTED_VALUE"""),"Omar Khattab")</f>
        <v>Omar Khattab</v>
      </c>
      <c r="C1748" s="43" t="str">
        <f>IFERROR(__xludf.DUMMYFUNCTION("""COMPUTED_VALUE"""),"approved")</f>
        <v>approved</v>
      </c>
      <c r="D1748" s="43" t="str">
        <f>IFERROR(__xludf.DUMMYFUNCTION("""COMPUTED_VALUE"""),"No")</f>
        <v>No</v>
      </c>
      <c r="E1748" s="43" t="str">
        <f>IFERROR(__xludf.DUMMYFUNCTION("""COMPUTED_VALUE"""),"p_2c7001ea07daa39275cda47fbf4d9c7384b2935a@inbound.aiesec.org")</f>
        <v>p_2c7001ea07daa39275cda47fbf4d9c7384b2935a@inbound.aiesec.org</v>
      </c>
      <c r="F1748" s="43">
        <f>IFERROR(__xludf.DUMMYFUNCTION("""COMPUTED_VALUE"""),1.025619407E9)</f>
        <v>1025619407</v>
      </c>
      <c r="G1748" s="43" t="str">
        <f>IFERROR(__xludf.DUMMYFUNCTION("""COMPUTED_VALUE"""),"Egypt")</f>
        <v>Egypt</v>
      </c>
      <c r="H1748" s="43" t="str">
        <f>IFERROR(__xludf.DUMMYFUNCTION("""COMPUTED_VALUE"""),"Mansoura")</f>
        <v>Mansoura</v>
      </c>
      <c r="I1748" s="43" t="str">
        <f>IFERROR(__xludf.DUMMYFUNCTION("""COMPUTED_VALUE"""),"Turkey")</f>
        <v>Turkey</v>
      </c>
      <c r="J1748" s="43" t="str">
        <f>IFERROR(__xludf.DUMMYFUNCTION("""COMPUTED_VALUE"""),"ADANA")</f>
        <v>ADANA</v>
      </c>
      <c r="K1748" s="44" t="str">
        <f>IFERROR(__xludf.DUMMYFUNCTION("""COMPUTED_VALUE"""),"https://expa.aiesec.org/opportunities/1294795")</f>
        <v>https://expa.aiesec.org/opportunities/1294795</v>
      </c>
      <c r="L1748" s="43" t="str">
        <f>IFERROR(__xludf.DUMMYFUNCTION("""COMPUTED_VALUE"""),"GV")</f>
        <v>GV</v>
      </c>
      <c r="M1748" s="43" t="str">
        <f>IFERROR(__xludf.DUMMYFUNCTION("""COMPUTED_VALUE"""),"short")</f>
        <v>short</v>
      </c>
      <c r="N1748" s="45">
        <f>IFERROR(__xludf.DUMMYFUNCTION("""COMPUTED_VALUE"""),45266.0)</f>
        <v>45266</v>
      </c>
      <c r="O1748" s="45">
        <f>IFERROR(__xludf.DUMMYFUNCTION("""COMPUTED_VALUE"""),45327.0)</f>
        <v>45327</v>
      </c>
      <c r="P1748" s="45">
        <f>IFERROR(__xludf.DUMMYFUNCTION("""COMPUTED_VALUE"""),45369.0)</f>
        <v>45369</v>
      </c>
      <c r="Q1748" s="45"/>
      <c r="R1748" s="45"/>
      <c r="S1748" s="43"/>
      <c r="T1748" s="43"/>
      <c r="U1748" s="43" t="str">
        <f>IFERROR(__xludf.DUMMYFUNCTION("""COMPUTED_VALUE"""),"Global Classroom")</f>
        <v>Global Classroom</v>
      </c>
      <c r="V1748" s="43" t="str">
        <f>IFERROR(__xludf.DUMMYFUNCTION("""COMPUTED_VALUE"""),"Mansoura")</f>
        <v>Mansoura</v>
      </c>
      <c r="W1748" s="43" t="str">
        <f>IFERROR(__xludf.DUMMYFUNCTION("""COMPUTED_VALUE"""),"2023-08-19T01:29:01Z")</f>
        <v>2023-08-19T01:29:01Z</v>
      </c>
      <c r="X1748" s="43"/>
      <c r="Y1748" s="43"/>
      <c r="Z1748" s="43"/>
    </row>
    <row r="1749" hidden="1">
      <c r="A1749" s="43" t="str">
        <f>IFERROR(__xludf.DUMMYFUNCTION("""COMPUTED_VALUE"""),"5386143_1284081")</f>
        <v>5386143_1284081</v>
      </c>
      <c r="B1749" s="43" t="str">
        <f>IFERROR(__xludf.DUMMYFUNCTION("""COMPUTED_VALUE"""),"Khadija Marzouki")</f>
        <v>Khadija Marzouki</v>
      </c>
      <c r="C1749" s="43" t="str">
        <f>IFERROR(__xludf.DUMMYFUNCTION("""COMPUTED_VALUE"""),"approved")</f>
        <v>approved</v>
      </c>
      <c r="D1749" s="43" t="str">
        <f>IFERROR(__xludf.DUMMYFUNCTION("""COMPUTED_VALUE"""),"No")</f>
        <v>No</v>
      </c>
      <c r="E1749" s="43" t="str">
        <f>IFERROR(__xludf.DUMMYFUNCTION("""COMPUTED_VALUE"""),"p_011b703be54995fbdb37e10b793e7cf3dc290042@inbound.aiesec.org")</f>
        <v>p_011b703be54995fbdb37e10b793e7cf3dc290042@inbound.aiesec.org</v>
      </c>
      <c r="F1749" s="43"/>
      <c r="G1749" s="43" t="str">
        <f>IFERROR(__xludf.DUMMYFUNCTION("""COMPUTED_VALUE"""),"Tunisia")</f>
        <v>Tunisia</v>
      </c>
      <c r="H1749" s="43" t="str">
        <f>IFERROR(__xludf.DUMMYFUNCTION("""COMPUTED_VALUE"""),"Carthage")</f>
        <v>Carthage</v>
      </c>
      <c r="I1749" s="43" t="str">
        <f>IFERROR(__xludf.DUMMYFUNCTION("""COMPUTED_VALUE"""),"Turkey")</f>
        <v>Turkey</v>
      </c>
      <c r="J1749" s="43" t="str">
        <f>IFERROR(__xludf.DUMMYFUNCTION("""COMPUTED_VALUE"""),"KOCAELI")</f>
        <v>KOCAELI</v>
      </c>
      <c r="K1749" s="44" t="str">
        <f>IFERROR(__xludf.DUMMYFUNCTION("""COMPUTED_VALUE"""),"https://expa.aiesec.org/opportunities/1284081")</f>
        <v>https://expa.aiesec.org/opportunities/1284081</v>
      </c>
      <c r="L1749" s="43" t="str">
        <f>IFERROR(__xludf.DUMMYFUNCTION("""COMPUTED_VALUE"""),"GV")</f>
        <v>GV</v>
      </c>
      <c r="M1749" s="43" t="str">
        <f>IFERROR(__xludf.DUMMYFUNCTION("""COMPUTED_VALUE"""),"short")</f>
        <v>short</v>
      </c>
      <c r="N1749" s="45">
        <f>IFERROR(__xludf.DUMMYFUNCTION("""COMPUTED_VALUE"""),45266.0)</f>
        <v>45266</v>
      </c>
      <c r="O1749" s="45">
        <f>IFERROR(__xludf.DUMMYFUNCTION("""COMPUTED_VALUE"""),45474.0)</f>
        <v>45474</v>
      </c>
      <c r="P1749" s="45">
        <f>IFERROR(__xludf.DUMMYFUNCTION("""COMPUTED_VALUE"""),45516.0)</f>
        <v>45516</v>
      </c>
      <c r="Q1749" s="45"/>
      <c r="R1749" s="45"/>
      <c r="S1749" s="43"/>
      <c r="T1749" s="43"/>
      <c r="U1749" s="43" t="str">
        <f>IFERROR(__xludf.DUMMYFUNCTION("""COMPUTED_VALUE"""),"Global Classroom")</f>
        <v>Global Classroom</v>
      </c>
      <c r="V1749" s="43" t="str">
        <f>IFERROR(__xludf.DUMMYFUNCTION("""COMPUTED_VALUE"""),"-")</f>
        <v>-</v>
      </c>
      <c r="W1749" s="43" t="str">
        <f>IFERROR(__xludf.DUMMYFUNCTION("""COMPUTED_VALUE"""),"2023-12-06T09:53:11Z")</f>
        <v>2023-12-06T09:53:11Z</v>
      </c>
      <c r="X1749" s="43"/>
      <c r="Y1749" s="43"/>
      <c r="Z1749" s="43"/>
    </row>
    <row r="1750" hidden="1">
      <c r="A1750" s="43" t="str">
        <f>IFERROR(__xludf.DUMMYFUNCTION("""COMPUTED_VALUE"""),"5378386_1296671")</f>
        <v>5378386_1296671</v>
      </c>
      <c r="B1750" s="43" t="str">
        <f>IFERROR(__xludf.DUMMYFUNCTION("""COMPUTED_VALUE"""),"Eman Abdelmoaeen")</f>
        <v>Eman Abdelmoaeen</v>
      </c>
      <c r="C1750" s="43" t="str">
        <f>IFERROR(__xludf.DUMMYFUNCTION("""COMPUTED_VALUE"""),"approved")</f>
        <v>approved</v>
      </c>
      <c r="D1750" s="43" t="str">
        <f>IFERROR(__xludf.DUMMYFUNCTION("""COMPUTED_VALUE"""),"No")</f>
        <v>No</v>
      </c>
      <c r="E1750" s="43" t="str">
        <f>IFERROR(__xludf.DUMMYFUNCTION("""COMPUTED_VALUE"""),"p_991fb0806444ae3ad2473e0740be7c5fc66a9b41@inbound.aiesec.org")</f>
        <v>p_991fb0806444ae3ad2473e0740be7c5fc66a9b41@inbound.aiesec.org</v>
      </c>
      <c r="F1750" s="43">
        <f>IFERROR(__xludf.DUMMYFUNCTION("""COMPUTED_VALUE"""),1.019420825E9)</f>
        <v>1019420825</v>
      </c>
      <c r="G1750" s="43" t="str">
        <f>IFERROR(__xludf.DUMMYFUNCTION("""COMPUTED_VALUE"""),"Egypt")</f>
        <v>Egypt</v>
      </c>
      <c r="H1750" s="43" t="str">
        <f>IFERROR(__xludf.DUMMYFUNCTION("""COMPUTED_VALUE"""),"MSA")</f>
        <v>MSA</v>
      </c>
      <c r="I1750" s="43" t="str">
        <f>IFERROR(__xludf.DUMMYFUNCTION("""COMPUTED_VALUE"""),"Turkey")</f>
        <v>Turkey</v>
      </c>
      <c r="J1750" s="43" t="str">
        <f>IFERROR(__xludf.DUMMYFUNCTION("""COMPUTED_VALUE"""),"BURSA")</f>
        <v>BURSA</v>
      </c>
      <c r="K1750" s="44" t="str">
        <f>IFERROR(__xludf.DUMMYFUNCTION("""COMPUTED_VALUE"""),"https://expa.aiesec.org/opportunities/1296671")</f>
        <v>https://expa.aiesec.org/opportunities/1296671</v>
      </c>
      <c r="L1750" s="43" t="str">
        <f>IFERROR(__xludf.DUMMYFUNCTION("""COMPUTED_VALUE"""),"GV")</f>
        <v>GV</v>
      </c>
      <c r="M1750" s="43" t="str">
        <f>IFERROR(__xludf.DUMMYFUNCTION("""COMPUTED_VALUE"""),"short")</f>
        <v>short</v>
      </c>
      <c r="N1750" s="45">
        <f>IFERROR(__xludf.DUMMYFUNCTION("""COMPUTED_VALUE"""),45266.0)</f>
        <v>45266</v>
      </c>
      <c r="O1750" s="45">
        <f>IFERROR(__xludf.DUMMYFUNCTION("""COMPUTED_VALUE"""),45327.0)</f>
        <v>45327</v>
      </c>
      <c r="P1750" s="45">
        <f>IFERROR(__xludf.DUMMYFUNCTION("""COMPUTED_VALUE"""),45369.0)</f>
        <v>45369</v>
      </c>
      <c r="Q1750" s="45"/>
      <c r="R1750" s="45"/>
      <c r="S1750" s="43"/>
      <c r="T1750" s="43"/>
      <c r="U1750" s="43" t="str">
        <f>IFERROR(__xludf.DUMMYFUNCTION("""COMPUTED_VALUE"""),"Youth 4 Impact")</f>
        <v>Youth 4 Impact</v>
      </c>
      <c r="V1750" s="43" t="str">
        <f>IFERROR(__xludf.DUMMYFUNCTION("""COMPUTED_VALUE"""),"Sadat Academy for Management Sciences in Maadi")</f>
        <v>Sadat Academy for Management Sciences in Maadi</v>
      </c>
      <c r="W1750" s="43" t="str">
        <f>IFERROR(__xludf.DUMMYFUNCTION("""COMPUTED_VALUE"""),"2023-11-23T15:06:18Z")</f>
        <v>2023-11-23T15:06:18Z</v>
      </c>
      <c r="X1750" s="43"/>
      <c r="Y1750" s="43"/>
      <c r="Z1750" s="43"/>
    </row>
    <row r="1751" hidden="1">
      <c r="A1751" s="43" t="str">
        <f>IFERROR(__xludf.DUMMYFUNCTION("""COMPUTED_VALUE"""),"5380358_1299041")</f>
        <v>5380358_1299041</v>
      </c>
      <c r="B1751" s="43" t="str">
        <f>IFERROR(__xludf.DUMMYFUNCTION("""COMPUTED_VALUE"""),"warisanand dechpanyarat")</f>
        <v>warisanand dechpanyarat</v>
      </c>
      <c r="C1751" s="43" t="str">
        <f>IFERROR(__xludf.DUMMYFUNCTION("""COMPUTED_VALUE"""),"approved")</f>
        <v>approved</v>
      </c>
      <c r="D1751" s="43" t="str">
        <f>IFERROR(__xludf.DUMMYFUNCTION("""COMPUTED_VALUE"""),"No")</f>
        <v>No</v>
      </c>
      <c r="E1751" s="43" t="str">
        <f>IFERROR(__xludf.DUMMYFUNCTION("""COMPUTED_VALUE"""),"p_f29b130758b2b51ef13972dd9cd7b529560d70a8@inbound.aiesec.org")</f>
        <v>p_f29b130758b2b51ef13972dd9cd7b529560d70a8@inbound.aiesec.org</v>
      </c>
      <c r="F1751" s="43">
        <f>IFERROR(__xludf.DUMMYFUNCTION("""COMPUTED_VALUE"""),9.01376315E8)</f>
        <v>901376315</v>
      </c>
      <c r="G1751" s="43" t="str">
        <f>IFERROR(__xludf.DUMMYFUNCTION("""COMPUTED_VALUE"""),"Thailand")</f>
        <v>Thailand</v>
      </c>
      <c r="H1751" s="43" t="str">
        <f>IFERROR(__xludf.DUMMYFUNCTION("""COMPUTED_VALUE"""),"MC (AIESEC in Thailand)")</f>
        <v>MC (AIESEC in Thailand)</v>
      </c>
      <c r="I1751" s="43" t="str">
        <f>IFERROR(__xludf.DUMMYFUNCTION("""COMPUTED_VALUE"""),"Turkey")</f>
        <v>Turkey</v>
      </c>
      <c r="J1751" s="43" t="str">
        <f>IFERROR(__xludf.DUMMYFUNCTION("""COMPUTED_VALUE"""),"ANTALYA")</f>
        <v>ANTALYA</v>
      </c>
      <c r="K1751" s="44" t="str">
        <f>IFERROR(__xludf.DUMMYFUNCTION("""COMPUTED_VALUE"""),"https://expa.aiesec.org/opportunities/1299041")</f>
        <v>https://expa.aiesec.org/opportunities/1299041</v>
      </c>
      <c r="L1751" s="43" t="str">
        <f>IFERROR(__xludf.DUMMYFUNCTION("""COMPUTED_VALUE"""),"GV")</f>
        <v>GV</v>
      </c>
      <c r="M1751" s="43" t="str">
        <f>IFERROR(__xludf.DUMMYFUNCTION("""COMPUTED_VALUE"""),"short")</f>
        <v>short</v>
      </c>
      <c r="N1751" s="45">
        <f>IFERROR(__xludf.DUMMYFUNCTION("""COMPUTED_VALUE"""),45266.0)</f>
        <v>45266</v>
      </c>
      <c r="O1751" s="45">
        <f>IFERROR(__xludf.DUMMYFUNCTION("""COMPUTED_VALUE"""),45320.0)</f>
        <v>45320</v>
      </c>
      <c r="P1751" s="45">
        <f>IFERROR(__xludf.DUMMYFUNCTION("""COMPUTED_VALUE"""),45362.0)</f>
        <v>45362</v>
      </c>
      <c r="Q1751" s="45"/>
      <c r="R1751" s="45"/>
      <c r="S1751" s="43"/>
      <c r="T1751" s="43"/>
      <c r="U1751" s="43" t="str">
        <f>IFERROR(__xludf.DUMMYFUNCTION("""COMPUTED_VALUE"""),"Fingerprint")</f>
        <v>Fingerprint</v>
      </c>
      <c r="V1751" s="43" t="str">
        <f>IFERROR(__xludf.DUMMYFUNCTION("""COMPUTED_VALUE"""),"Others")</f>
        <v>Others</v>
      </c>
      <c r="W1751" s="43" t="str">
        <f>IFERROR(__xludf.DUMMYFUNCTION("""COMPUTED_VALUE"""),"2023-11-26T15:23:32Z")</f>
        <v>2023-11-26T15:23:32Z</v>
      </c>
      <c r="X1751" s="43"/>
      <c r="Y1751" s="43"/>
      <c r="Z1751" s="43"/>
    </row>
    <row r="1752" hidden="1">
      <c r="A1752" s="43" t="str">
        <f>IFERROR(__xludf.DUMMYFUNCTION("""COMPUTED_VALUE"""),"5338634_1281010")</f>
        <v>5338634_1281010</v>
      </c>
      <c r="B1752" s="43" t="str">
        <f>IFERROR(__xludf.DUMMYFUNCTION("""COMPUTED_VALUE"""),"Hanna Yeshko")</f>
        <v>Hanna Yeshko</v>
      </c>
      <c r="C1752" s="43" t="str">
        <f>IFERROR(__xludf.DUMMYFUNCTION("""COMPUTED_VALUE"""),"approved")</f>
        <v>approved</v>
      </c>
      <c r="D1752" s="43" t="str">
        <f>IFERROR(__xludf.DUMMYFUNCTION("""COMPUTED_VALUE"""),"No")</f>
        <v>No</v>
      </c>
      <c r="E1752" s="43" t="str">
        <f>IFERROR(__xludf.DUMMYFUNCTION("""COMPUTED_VALUE"""),"p_b880fd4790f5bdafed1b274b70ddae392e4a7838@inbound.aiesec.org")</f>
        <v>p_b880fd4790f5bdafed1b274b70ddae392e4a7838@inbound.aiesec.org</v>
      </c>
      <c r="F1752" s="43"/>
      <c r="G1752" s="43" t="str">
        <f>IFERROR(__xludf.DUMMYFUNCTION("""COMPUTED_VALUE"""),"Ukraine")</f>
        <v>Ukraine</v>
      </c>
      <c r="H1752" s="43" t="str">
        <f>IFERROR(__xludf.DUMMYFUNCTION("""COMPUTED_VALUE"""),"KHARKIV")</f>
        <v>KHARKIV</v>
      </c>
      <c r="I1752" s="43" t="str">
        <f>IFERROR(__xludf.DUMMYFUNCTION("""COMPUTED_VALUE"""),"Turkey")</f>
        <v>Turkey</v>
      </c>
      <c r="J1752" s="43" t="str">
        <f>IFERROR(__xludf.DUMMYFUNCTION("""COMPUTED_VALUE"""),"KOCAELI")</f>
        <v>KOCAELI</v>
      </c>
      <c r="K1752" s="44" t="str">
        <f>IFERROR(__xludf.DUMMYFUNCTION("""COMPUTED_VALUE"""),"https://expa.aiesec.org/opportunities/1281010")</f>
        <v>https://expa.aiesec.org/opportunities/1281010</v>
      </c>
      <c r="L1752" s="43" t="str">
        <f>IFERROR(__xludf.DUMMYFUNCTION("""COMPUTED_VALUE"""),"GV")</f>
        <v>GV</v>
      </c>
      <c r="M1752" s="43" t="str">
        <f>IFERROR(__xludf.DUMMYFUNCTION("""COMPUTED_VALUE"""),"short")</f>
        <v>short</v>
      </c>
      <c r="N1752" s="45">
        <f>IFERROR(__xludf.DUMMYFUNCTION("""COMPUTED_VALUE"""),45266.0)</f>
        <v>45266</v>
      </c>
      <c r="O1752" s="45">
        <f>IFERROR(__xludf.DUMMYFUNCTION("""COMPUTED_VALUE"""),45466.0)</f>
        <v>45466</v>
      </c>
      <c r="P1752" s="45">
        <f>IFERROR(__xludf.DUMMYFUNCTION("""COMPUTED_VALUE"""),45508.0)</f>
        <v>45508</v>
      </c>
      <c r="Q1752" s="45"/>
      <c r="R1752" s="45"/>
      <c r="S1752" s="43"/>
      <c r="T1752" s="43"/>
      <c r="U1752" s="43" t="str">
        <f>IFERROR(__xludf.DUMMYFUNCTION("""COMPUTED_VALUE"""),"Global Classroom")</f>
        <v>Global Classroom</v>
      </c>
      <c r="V1752" s="43" t="str">
        <f>IFERROR(__xludf.DUMMYFUNCTION("""COMPUTED_VALUE"""),"-")</f>
        <v>-</v>
      </c>
      <c r="W1752" s="43" t="str">
        <f>IFERROR(__xludf.DUMMYFUNCTION("""COMPUTED_VALUE"""),"2023-09-30T20:21:47Z")</f>
        <v>2023-09-30T20:21:47Z</v>
      </c>
      <c r="X1752" s="43"/>
      <c r="Y1752" s="43"/>
      <c r="Z1752" s="43"/>
    </row>
    <row r="1753" hidden="1">
      <c r="A1753" s="43" t="str">
        <f>IFERROR(__xludf.DUMMYFUNCTION("""COMPUTED_VALUE"""),"5383429_1298102")</f>
        <v>5383429_1298102</v>
      </c>
      <c r="B1753" s="43" t="str">
        <f>IFERROR(__xludf.DUMMYFUNCTION("""COMPUTED_VALUE"""),"Nermine Drobba")</f>
        <v>Nermine Drobba</v>
      </c>
      <c r="C1753" s="43" t="str">
        <f>IFERROR(__xludf.DUMMYFUNCTION("""COMPUTED_VALUE"""),"approved")</f>
        <v>approved</v>
      </c>
      <c r="D1753" s="43" t="str">
        <f>IFERROR(__xludf.DUMMYFUNCTION("""COMPUTED_VALUE"""),"No")</f>
        <v>No</v>
      </c>
      <c r="E1753" s="43" t="str">
        <f>IFERROR(__xludf.DUMMYFUNCTION("""COMPUTED_VALUE"""),"p_189cc15c27b8c472d3daa2b7bbcad89603960416@inbound.aiesec.org")</f>
        <v>p_189cc15c27b8c472d3daa2b7bbcad89603960416@inbound.aiesec.org</v>
      </c>
      <c r="F1753" s="43">
        <f>IFERROR(__xludf.DUMMYFUNCTION("""COMPUTED_VALUE"""),5.4064437E7)</f>
        <v>54064437</v>
      </c>
      <c r="G1753" s="43" t="str">
        <f>IFERROR(__xludf.DUMMYFUNCTION("""COMPUTED_VALUE"""),"Tunisia")</f>
        <v>Tunisia</v>
      </c>
      <c r="H1753" s="43" t="str">
        <f>IFERROR(__xludf.DUMMYFUNCTION("""COMPUTED_VALUE"""),"Carthage")</f>
        <v>Carthage</v>
      </c>
      <c r="I1753" s="43" t="str">
        <f>IFERROR(__xludf.DUMMYFUNCTION("""COMPUTED_VALUE"""),"Turkey")</f>
        <v>Turkey</v>
      </c>
      <c r="J1753" s="43" t="str">
        <f>IFERROR(__xludf.DUMMYFUNCTION("""COMPUTED_VALUE"""),"KOCAELI")</f>
        <v>KOCAELI</v>
      </c>
      <c r="K1753" s="44" t="str">
        <f>IFERROR(__xludf.DUMMYFUNCTION("""COMPUTED_VALUE"""),"https://expa.aiesec.org/opportunities/1298102")</f>
        <v>https://expa.aiesec.org/opportunities/1298102</v>
      </c>
      <c r="L1753" s="43" t="str">
        <f>IFERROR(__xludf.DUMMYFUNCTION("""COMPUTED_VALUE"""),"GV")</f>
        <v>GV</v>
      </c>
      <c r="M1753" s="43" t="str">
        <f>IFERROR(__xludf.DUMMYFUNCTION("""COMPUTED_VALUE"""),"short")</f>
        <v>short</v>
      </c>
      <c r="N1753" s="45">
        <f>IFERROR(__xludf.DUMMYFUNCTION("""COMPUTED_VALUE"""),45267.0)</f>
        <v>45267</v>
      </c>
      <c r="O1753" s="45">
        <f>IFERROR(__xludf.DUMMYFUNCTION("""COMPUTED_VALUE"""),45474.0)</f>
        <v>45474</v>
      </c>
      <c r="P1753" s="45">
        <f>IFERROR(__xludf.DUMMYFUNCTION("""COMPUTED_VALUE"""),45516.0)</f>
        <v>45516</v>
      </c>
      <c r="Q1753" s="45"/>
      <c r="R1753" s="45"/>
      <c r="S1753" s="43"/>
      <c r="T1753" s="43"/>
      <c r="U1753" s="43" t="str">
        <f>IFERROR(__xludf.DUMMYFUNCTION("""COMPUTED_VALUE"""),"Global Classroom")</f>
        <v>Global Classroom</v>
      </c>
      <c r="V1753" s="43" t="str">
        <f>IFERROR(__xludf.DUMMYFUNCTION("""COMPUTED_VALUE"""),"IHET Sidi Dhrif")</f>
        <v>IHET Sidi Dhrif</v>
      </c>
      <c r="W1753" s="43" t="str">
        <f>IFERROR(__xludf.DUMMYFUNCTION("""COMPUTED_VALUE"""),"2023-11-30T17:59:48Z")</f>
        <v>2023-11-30T17:59:48Z</v>
      </c>
      <c r="X1753" s="43"/>
      <c r="Y1753" s="43"/>
      <c r="Z1753" s="43"/>
    </row>
    <row r="1754" hidden="1">
      <c r="A1754" s="43" t="str">
        <f>IFERROR(__xludf.DUMMYFUNCTION("""COMPUTED_VALUE"""),"5203911_1294622")</f>
        <v>5203911_1294622</v>
      </c>
      <c r="B1754" s="43" t="str">
        <f>IFERROR(__xludf.DUMMYFUNCTION("""COMPUTED_VALUE"""),"Kateryna Yurieva")</f>
        <v>Kateryna Yurieva</v>
      </c>
      <c r="C1754" s="43" t="str">
        <f>IFERROR(__xludf.DUMMYFUNCTION("""COMPUTED_VALUE"""),"approved")</f>
        <v>approved</v>
      </c>
      <c r="D1754" s="43" t="str">
        <f>IFERROR(__xludf.DUMMYFUNCTION("""COMPUTED_VALUE"""),"No")</f>
        <v>No</v>
      </c>
      <c r="E1754" s="43" t="str">
        <f>IFERROR(__xludf.DUMMYFUNCTION("""COMPUTED_VALUE"""),"p_eaa1c491de4e1cac2b97dfb53e259e731f3a5075@inbound.aiesec.org")</f>
        <v>p_eaa1c491de4e1cac2b97dfb53e259e731f3a5075@inbound.aiesec.org</v>
      </c>
      <c r="F1754" s="43"/>
      <c r="G1754" s="43" t="str">
        <f>IFERROR(__xludf.DUMMYFUNCTION("""COMPUTED_VALUE"""),"Ukraine")</f>
        <v>Ukraine</v>
      </c>
      <c r="H1754" s="43" t="str">
        <f>IFERROR(__xludf.DUMMYFUNCTION("""COMPUTED_VALUE"""),"Kyiv Universities")</f>
        <v>Kyiv Universities</v>
      </c>
      <c r="I1754" s="43" t="str">
        <f>IFERROR(__xludf.DUMMYFUNCTION("""COMPUTED_VALUE"""),"Turkey")</f>
        <v>Turkey</v>
      </c>
      <c r="J1754" s="43" t="str">
        <f>IFERROR(__xludf.DUMMYFUNCTION("""COMPUTED_VALUE"""),"ADANA")</f>
        <v>ADANA</v>
      </c>
      <c r="K1754" s="44" t="str">
        <f>IFERROR(__xludf.DUMMYFUNCTION("""COMPUTED_VALUE"""),"https://expa.aiesec.org/opportunities/1294622")</f>
        <v>https://expa.aiesec.org/opportunities/1294622</v>
      </c>
      <c r="L1754" s="43" t="str">
        <f>IFERROR(__xludf.DUMMYFUNCTION("""COMPUTED_VALUE"""),"GV")</f>
        <v>GV</v>
      </c>
      <c r="M1754" s="43" t="str">
        <f>IFERROR(__xludf.DUMMYFUNCTION("""COMPUTED_VALUE"""),"short")</f>
        <v>short</v>
      </c>
      <c r="N1754" s="45">
        <f>IFERROR(__xludf.DUMMYFUNCTION("""COMPUTED_VALUE"""),45267.0)</f>
        <v>45267</v>
      </c>
      <c r="O1754" s="45">
        <f>IFERROR(__xludf.DUMMYFUNCTION("""COMPUTED_VALUE"""),45474.0)</f>
        <v>45474</v>
      </c>
      <c r="P1754" s="45">
        <f>IFERROR(__xludf.DUMMYFUNCTION("""COMPUTED_VALUE"""),45516.0)</f>
        <v>45516</v>
      </c>
      <c r="Q1754" s="45"/>
      <c r="R1754" s="45"/>
      <c r="S1754" s="43"/>
      <c r="T1754" s="43"/>
      <c r="U1754" s="43" t="str">
        <f>IFERROR(__xludf.DUMMYFUNCTION("""COMPUTED_VALUE"""),"Equify")</f>
        <v>Equify</v>
      </c>
      <c r="V1754" s="43" t="str">
        <f>IFERROR(__xludf.DUMMYFUNCTION("""COMPUTED_VALUE"""),"Kyiv National Economical University")</f>
        <v>Kyiv National Economical University</v>
      </c>
      <c r="W1754" s="43" t="str">
        <f>IFERROR(__xludf.DUMMYFUNCTION("""COMPUTED_VALUE"""),"2023-03-02T17:21:49Z")</f>
        <v>2023-03-02T17:21:49Z</v>
      </c>
      <c r="X1754" s="43"/>
      <c r="Y1754" s="43"/>
      <c r="Z1754" s="43"/>
    </row>
    <row r="1755" hidden="1">
      <c r="A1755" s="43" t="str">
        <f>IFERROR(__xludf.DUMMYFUNCTION("""COMPUTED_VALUE"""),"4945628_1294622")</f>
        <v>4945628_1294622</v>
      </c>
      <c r="B1755" s="43" t="str">
        <f>IFERROR(__xludf.DUMMYFUNCTION("""COMPUTED_VALUE"""),"Valeriia Kurenko")</f>
        <v>Valeriia Kurenko</v>
      </c>
      <c r="C1755" s="43" t="str">
        <f>IFERROR(__xludf.DUMMYFUNCTION("""COMPUTED_VALUE"""),"approved")</f>
        <v>approved</v>
      </c>
      <c r="D1755" s="43" t="str">
        <f>IFERROR(__xludf.DUMMYFUNCTION("""COMPUTED_VALUE"""),"No")</f>
        <v>No</v>
      </c>
      <c r="E1755" s="43" t="str">
        <f>IFERROR(__xludf.DUMMYFUNCTION("""COMPUTED_VALUE"""),"p_94f85cb8fb3b188a3e51f2248516acbdb12c9952@inbound.aiesec.org")</f>
        <v>p_94f85cb8fb3b188a3e51f2248516acbdb12c9952@inbound.aiesec.org</v>
      </c>
      <c r="F1755" s="43">
        <f>IFERROR(__xludf.DUMMYFUNCTION("""COMPUTED_VALUE"""),9.70467942E8)</f>
        <v>970467942</v>
      </c>
      <c r="G1755" s="43" t="str">
        <f>IFERROR(__xludf.DUMMYFUNCTION("""COMPUTED_VALUE"""),"Ukraine")</f>
        <v>Ukraine</v>
      </c>
      <c r="H1755" s="43" t="str">
        <f>IFERROR(__xludf.DUMMYFUNCTION("""COMPUTED_VALUE"""),"Kyiv Universities")</f>
        <v>Kyiv Universities</v>
      </c>
      <c r="I1755" s="43" t="str">
        <f>IFERROR(__xludf.DUMMYFUNCTION("""COMPUTED_VALUE"""),"Turkey")</f>
        <v>Turkey</v>
      </c>
      <c r="J1755" s="43" t="str">
        <f>IFERROR(__xludf.DUMMYFUNCTION("""COMPUTED_VALUE"""),"ADANA")</f>
        <v>ADANA</v>
      </c>
      <c r="K1755" s="44" t="str">
        <f>IFERROR(__xludf.DUMMYFUNCTION("""COMPUTED_VALUE"""),"https://expa.aiesec.org/opportunities/1294622")</f>
        <v>https://expa.aiesec.org/opportunities/1294622</v>
      </c>
      <c r="L1755" s="43" t="str">
        <f>IFERROR(__xludf.DUMMYFUNCTION("""COMPUTED_VALUE"""),"GV")</f>
        <v>GV</v>
      </c>
      <c r="M1755" s="43" t="str">
        <f>IFERROR(__xludf.DUMMYFUNCTION("""COMPUTED_VALUE"""),"short")</f>
        <v>short</v>
      </c>
      <c r="N1755" s="45">
        <f>IFERROR(__xludf.DUMMYFUNCTION("""COMPUTED_VALUE"""),45267.0)</f>
        <v>45267</v>
      </c>
      <c r="O1755" s="45">
        <f>IFERROR(__xludf.DUMMYFUNCTION("""COMPUTED_VALUE"""),45474.0)</f>
        <v>45474</v>
      </c>
      <c r="P1755" s="45">
        <f>IFERROR(__xludf.DUMMYFUNCTION("""COMPUTED_VALUE"""),45516.0)</f>
        <v>45516</v>
      </c>
      <c r="Q1755" s="45"/>
      <c r="R1755" s="45"/>
      <c r="S1755" s="43"/>
      <c r="T1755" s="43"/>
      <c r="U1755" s="43" t="str">
        <f>IFERROR(__xludf.DUMMYFUNCTION("""COMPUTED_VALUE"""),"Equify")</f>
        <v>Equify</v>
      </c>
      <c r="V1755" s="43" t="str">
        <f>IFERROR(__xludf.DUMMYFUNCTION("""COMPUTED_VALUE"""),"Kyiv National Economical University")</f>
        <v>Kyiv National Economical University</v>
      </c>
      <c r="W1755" s="43" t="str">
        <f>IFERROR(__xludf.DUMMYFUNCTION("""COMPUTED_VALUE"""),"2022-02-23T18:48:36Z")</f>
        <v>2022-02-23T18:48:36Z</v>
      </c>
      <c r="X1755" s="43"/>
      <c r="Y1755" s="43"/>
      <c r="Z1755" s="43"/>
    </row>
    <row r="1756" hidden="1">
      <c r="A1756" s="43" t="str">
        <f>IFERROR(__xludf.DUMMYFUNCTION("""COMPUTED_VALUE"""),"5386275_1294622")</f>
        <v>5386275_1294622</v>
      </c>
      <c r="B1756" s="43" t="str">
        <f>IFERROR(__xludf.DUMMYFUNCTION("""COMPUTED_VALUE"""),"Bozhana Zapishna")</f>
        <v>Bozhana Zapishna</v>
      </c>
      <c r="C1756" s="43" t="str">
        <f>IFERROR(__xludf.DUMMYFUNCTION("""COMPUTED_VALUE"""),"approved")</f>
        <v>approved</v>
      </c>
      <c r="D1756" s="43" t="str">
        <f>IFERROR(__xludf.DUMMYFUNCTION("""COMPUTED_VALUE"""),"No")</f>
        <v>No</v>
      </c>
      <c r="E1756" s="43" t="str">
        <f>IFERROR(__xludf.DUMMYFUNCTION("""COMPUTED_VALUE"""),"p_0bcc2e4a88a284751cd51264a7741613588fc015@inbound.aiesec.org")</f>
        <v>p_0bcc2e4a88a284751cd51264a7741613588fc015@inbound.aiesec.org</v>
      </c>
      <c r="F1756" s="43"/>
      <c r="G1756" s="43" t="str">
        <f>IFERROR(__xludf.DUMMYFUNCTION("""COMPUTED_VALUE"""),"Ukraine")</f>
        <v>Ukraine</v>
      </c>
      <c r="H1756" s="43" t="str">
        <f>IFERROR(__xludf.DUMMYFUNCTION("""COMPUTED_VALUE"""),"KYIV")</f>
        <v>KYIV</v>
      </c>
      <c r="I1756" s="43" t="str">
        <f>IFERROR(__xludf.DUMMYFUNCTION("""COMPUTED_VALUE"""),"Turkey")</f>
        <v>Turkey</v>
      </c>
      <c r="J1756" s="43" t="str">
        <f>IFERROR(__xludf.DUMMYFUNCTION("""COMPUTED_VALUE"""),"ADANA")</f>
        <v>ADANA</v>
      </c>
      <c r="K1756" s="44" t="str">
        <f>IFERROR(__xludf.DUMMYFUNCTION("""COMPUTED_VALUE"""),"https://expa.aiesec.org/opportunities/1294622")</f>
        <v>https://expa.aiesec.org/opportunities/1294622</v>
      </c>
      <c r="L1756" s="43" t="str">
        <f>IFERROR(__xludf.DUMMYFUNCTION("""COMPUTED_VALUE"""),"GV")</f>
        <v>GV</v>
      </c>
      <c r="M1756" s="43" t="str">
        <f>IFERROR(__xludf.DUMMYFUNCTION("""COMPUTED_VALUE"""),"short")</f>
        <v>short</v>
      </c>
      <c r="N1756" s="45">
        <f>IFERROR(__xludf.DUMMYFUNCTION("""COMPUTED_VALUE"""),45267.0)</f>
        <v>45267</v>
      </c>
      <c r="O1756" s="45">
        <f>IFERROR(__xludf.DUMMYFUNCTION("""COMPUTED_VALUE"""),45516.0)</f>
        <v>45516</v>
      </c>
      <c r="P1756" s="45">
        <f>IFERROR(__xludf.DUMMYFUNCTION("""COMPUTED_VALUE"""),45558.0)</f>
        <v>45558</v>
      </c>
      <c r="Q1756" s="45"/>
      <c r="R1756" s="45"/>
      <c r="S1756" s="43"/>
      <c r="T1756" s="43"/>
      <c r="U1756" s="43" t="str">
        <f>IFERROR(__xludf.DUMMYFUNCTION("""COMPUTED_VALUE"""),"Equify")</f>
        <v>Equify</v>
      </c>
      <c r="V1756" s="43" t="str">
        <f>IFERROR(__xludf.DUMMYFUNCTION("""COMPUTED_VALUE"""),"-")</f>
        <v>-</v>
      </c>
      <c r="W1756" s="43" t="str">
        <f>IFERROR(__xludf.DUMMYFUNCTION("""COMPUTED_VALUE"""),"2023-12-06T14:26:28Z")</f>
        <v>2023-12-06T14:26:28Z</v>
      </c>
      <c r="X1756" s="43"/>
      <c r="Y1756" s="43"/>
      <c r="Z1756" s="43"/>
    </row>
    <row r="1757" hidden="1">
      <c r="A1757" s="43" t="str">
        <f>IFERROR(__xludf.DUMMYFUNCTION("""COMPUTED_VALUE"""),"5381351_1285934")</f>
        <v>5381351_1285934</v>
      </c>
      <c r="B1757" s="43" t="str">
        <f>IFERROR(__xludf.DUMMYFUNCTION("""COMPUTED_VALUE"""),"Radhiya Alshaikh")</f>
        <v>Radhiya Alshaikh</v>
      </c>
      <c r="C1757" s="43" t="str">
        <f>IFERROR(__xludf.DUMMYFUNCTION("""COMPUTED_VALUE"""),"realized")</f>
        <v>realized</v>
      </c>
      <c r="D1757" s="43" t="str">
        <f>IFERROR(__xludf.DUMMYFUNCTION("""COMPUTED_VALUE"""),"No")</f>
        <v>No</v>
      </c>
      <c r="E1757" s="43" t="str">
        <f>IFERROR(__xludf.DUMMYFUNCTION("""COMPUTED_VALUE"""),"p_ff6f07994aafe3519bbc65eaa2880c904fa93b57@inbound.aiesec.org")</f>
        <v>p_ff6f07994aafe3519bbc65eaa2880c904fa93b57@inbound.aiesec.org</v>
      </c>
      <c r="F1757" s="43">
        <f>IFERROR(__xludf.DUMMYFUNCTION("""COMPUTED_VALUE"""),3.4657266E7)</f>
        <v>34657266</v>
      </c>
      <c r="G1757" s="43" t="str">
        <f>IFERROR(__xludf.DUMMYFUNCTION("""COMPUTED_VALUE"""),"Bahrain")</f>
        <v>Bahrain</v>
      </c>
      <c r="H1757" s="43" t="str">
        <f>IFERROR(__xludf.DUMMYFUNCTION("""COMPUTED_VALUE"""),"Tylos")</f>
        <v>Tylos</v>
      </c>
      <c r="I1757" s="43" t="str">
        <f>IFERROR(__xludf.DUMMYFUNCTION("""COMPUTED_VALUE"""),"Turkey")</f>
        <v>Turkey</v>
      </c>
      <c r="J1757" s="43" t="str">
        <f>IFERROR(__xludf.DUMMYFUNCTION("""COMPUTED_VALUE"""),"ISPARTA")</f>
        <v>ISPARTA</v>
      </c>
      <c r="K1757" s="44" t="str">
        <f>IFERROR(__xludf.DUMMYFUNCTION("""COMPUTED_VALUE"""),"https://expa.aiesec.org/opportunities/1285934")</f>
        <v>https://expa.aiesec.org/opportunities/1285934</v>
      </c>
      <c r="L1757" s="43" t="str">
        <f>IFERROR(__xludf.DUMMYFUNCTION("""COMPUTED_VALUE"""),"GV")</f>
        <v>GV</v>
      </c>
      <c r="M1757" s="43" t="str">
        <f>IFERROR(__xludf.DUMMYFUNCTION("""COMPUTED_VALUE"""),"short")</f>
        <v>short</v>
      </c>
      <c r="N1757" s="45">
        <f>IFERROR(__xludf.DUMMYFUNCTION("""COMPUTED_VALUE"""),45267.0)</f>
        <v>45267</v>
      </c>
      <c r="O1757" s="45">
        <f>IFERROR(__xludf.DUMMYFUNCTION("""COMPUTED_VALUE"""),45304.0)</f>
        <v>45304</v>
      </c>
      <c r="P1757" s="45">
        <f>IFERROR(__xludf.DUMMYFUNCTION("""COMPUTED_VALUE"""),45346.0)</f>
        <v>45346</v>
      </c>
      <c r="Q1757" s="45">
        <f>IFERROR(__xludf.DUMMYFUNCTION("""COMPUTED_VALUE"""),45299.0)</f>
        <v>45299</v>
      </c>
      <c r="R1757" s="45">
        <f>IFERROR(__xludf.DUMMYFUNCTION("""COMPUTED_VALUE"""),45346.0)</f>
        <v>45346</v>
      </c>
      <c r="S1757" s="43"/>
      <c r="T1757" s="43"/>
      <c r="U1757" s="43" t="str">
        <f>IFERROR(__xludf.DUMMYFUNCTION("""COMPUTED_VALUE"""),"Global Classroom")</f>
        <v>Global Classroom</v>
      </c>
      <c r="V1757" s="43" t="str">
        <f>IFERROR(__xludf.DUMMYFUNCTION("""COMPUTED_VALUE"""),"Bahrain Polytechnic")</f>
        <v>Bahrain Polytechnic</v>
      </c>
      <c r="W1757" s="43" t="str">
        <f>IFERROR(__xludf.DUMMYFUNCTION("""COMPUTED_VALUE"""),"2023-11-28T09:20:48Z")</f>
        <v>2023-11-28T09:20:48Z</v>
      </c>
      <c r="X1757" s="43"/>
      <c r="Y1757" s="43"/>
      <c r="Z1757" s="43"/>
    </row>
    <row r="1758" hidden="1">
      <c r="A1758" s="43" t="str">
        <f>IFERROR(__xludf.DUMMYFUNCTION("""COMPUTED_VALUE"""),"5385387_1296101")</f>
        <v>5385387_1296101</v>
      </c>
      <c r="B1758" s="43" t="str">
        <f>IFERROR(__xludf.DUMMYFUNCTION("""COMPUTED_VALUE"""),"Yaryna Pach")</f>
        <v>Yaryna Pach</v>
      </c>
      <c r="C1758" s="43" t="str">
        <f>IFERROR(__xludf.DUMMYFUNCTION("""COMPUTED_VALUE"""),"approved")</f>
        <v>approved</v>
      </c>
      <c r="D1758" s="43" t="str">
        <f>IFERROR(__xludf.DUMMYFUNCTION("""COMPUTED_VALUE"""),"No")</f>
        <v>No</v>
      </c>
      <c r="E1758" s="43" t="str">
        <f>IFERROR(__xludf.DUMMYFUNCTION("""COMPUTED_VALUE"""),"p_04bd2d123a2e51ee3f641af04fd859b71d9cd7a9@inbound.aiesec.org")</f>
        <v>p_04bd2d123a2e51ee3f641af04fd859b71d9cd7a9@inbound.aiesec.org</v>
      </c>
      <c r="F1758" s="43">
        <f>IFERROR(__xludf.DUMMYFUNCTION("""COMPUTED_VALUE"""),9.89786837E8)</f>
        <v>989786837</v>
      </c>
      <c r="G1758" s="43" t="str">
        <f>IFERROR(__xludf.DUMMYFUNCTION("""COMPUTED_VALUE"""),"Ukraine")</f>
        <v>Ukraine</v>
      </c>
      <c r="H1758" s="43" t="str">
        <f>IFERROR(__xludf.DUMMYFUNCTION("""COMPUTED_VALUE"""),"LVIV")</f>
        <v>LVIV</v>
      </c>
      <c r="I1758" s="43" t="str">
        <f>IFERROR(__xludf.DUMMYFUNCTION("""COMPUTED_VALUE"""),"Turkey")</f>
        <v>Turkey</v>
      </c>
      <c r="J1758" s="43" t="str">
        <f>IFERROR(__xludf.DUMMYFUNCTION("""COMPUTED_VALUE"""),"ANKARA")</f>
        <v>ANKARA</v>
      </c>
      <c r="K1758" s="44" t="str">
        <f>IFERROR(__xludf.DUMMYFUNCTION("""COMPUTED_VALUE"""),"https://expa.aiesec.org/opportunities/1296101")</f>
        <v>https://expa.aiesec.org/opportunities/1296101</v>
      </c>
      <c r="L1758" s="43" t="str">
        <f>IFERROR(__xludf.DUMMYFUNCTION("""COMPUTED_VALUE"""),"GV")</f>
        <v>GV</v>
      </c>
      <c r="M1758" s="43" t="str">
        <f>IFERROR(__xludf.DUMMYFUNCTION("""COMPUTED_VALUE"""),"short")</f>
        <v>short</v>
      </c>
      <c r="N1758" s="45">
        <f>IFERROR(__xludf.DUMMYFUNCTION("""COMPUTED_VALUE"""),45267.0)</f>
        <v>45267</v>
      </c>
      <c r="O1758" s="45">
        <f>IFERROR(__xludf.DUMMYFUNCTION("""COMPUTED_VALUE"""),45469.0)</f>
        <v>45469</v>
      </c>
      <c r="P1758" s="45">
        <f>IFERROR(__xludf.DUMMYFUNCTION("""COMPUTED_VALUE"""),45511.0)</f>
        <v>45511</v>
      </c>
      <c r="Q1758" s="45"/>
      <c r="R1758" s="45"/>
      <c r="S1758" s="43"/>
      <c r="T1758" s="43"/>
      <c r="U1758" s="43" t="str">
        <f>IFERROR(__xludf.DUMMYFUNCTION("""COMPUTED_VALUE"""),"Fingerprint")</f>
        <v>Fingerprint</v>
      </c>
      <c r="V1758" s="43" t="str">
        <f>IFERROR(__xludf.DUMMYFUNCTION("""COMPUTED_VALUE"""),"Lviv ")</f>
        <v>Lviv </v>
      </c>
      <c r="W1758" s="43" t="str">
        <f>IFERROR(__xludf.DUMMYFUNCTION("""COMPUTED_VALUE"""),"2023-12-04T19:13:30Z")</f>
        <v>2023-12-04T19:13:30Z</v>
      </c>
      <c r="X1758" s="43"/>
      <c r="Y1758" s="43"/>
      <c r="Z1758" s="43"/>
    </row>
    <row r="1759" hidden="1">
      <c r="A1759" s="43" t="str">
        <f>IFERROR(__xludf.DUMMYFUNCTION("""COMPUTED_VALUE"""),"5381986_1289536")</f>
        <v>5381986_1289536</v>
      </c>
      <c r="B1759" s="43" t="str">
        <f>IFERROR(__xludf.DUMMYFUNCTION("""COMPUTED_VALUE"""),"lamiss ben jemaa")</f>
        <v>lamiss ben jemaa</v>
      </c>
      <c r="C1759" s="43" t="str">
        <f>IFERROR(__xludf.DUMMYFUNCTION("""COMPUTED_VALUE"""),"approved")</f>
        <v>approved</v>
      </c>
      <c r="D1759" s="43" t="str">
        <f>IFERROR(__xludf.DUMMYFUNCTION("""COMPUTED_VALUE"""),"No")</f>
        <v>No</v>
      </c>
      <c r="E1759" s="43" t="str">
        <f>IFERROR(__xludf.DUMMYFUNCTION("""COMPUTED_VALUE"""),"p_7c21da863dd6939cee49fa563f5ee650aa61a497@inbound.aiesec.org")</f>
        <v>p_7c21da863dd6939cee49fa563f5ee650aa61a497@inbound.aiesec.org</v>
      </c>
      <c r="F1759" s="43">
        <f>IFERROR(__xludf.DUMMYFUNCTION("""COMPUTED_VALUE"""),2.0607503E7)</f>
        <v>20607503</v>
      </c>
      <c r="G1759" s="43" t="str">
        <f>IFERROR(__xludf.DUMMYFUNCTION("""COMPUTED_VALUE"""),"Tunisia")</f>
        <v>Tunisia</v>
      </c>
      <c r="H1759" s="43" t="str">
        <f>IFERROR(__xludf.DUMMYFUNCTION("""COMPUTED_VALUE"""),"BARDO")</f>
        <v>BARDO</v>
      </c>
      <c r="I1759" s="43" t="str">
        <f>IFERROR(__xludf.DUMMYFUNCTION("""COMPUTED_VALUE"""),"Turkey")</f>
        <v>Turkey</v>
      </c>
      <c r="J1759" s="43" t="str">
        <f>IFERROR(__xludf.DUMMYFUNCTION("""COMPUTED_VALUE"""),"ISTANBUL")</f>
        <v>ISTANBUL</v>
      </c>
      <c r="K1759" s="44" t="str">
        <f>IFERROR(__xludf.DUMMYFUNCTION("""COMPUTED_VALUE"""),"https://expa.aiesec.org/opportunities/1289536")</f>
        <v>https://expa.aiesec.org/opportunities/1289536</v>
      </c>
      <c r="L1759" s="43" t="str">
        <f>IFERROR(__xludf.DUMMYFUNCTION("""COMPUTED_VALUE"""),"GV")</f>
        <v>GV</v>
      </c>
      <c r="M1759" s="43" t="str">
        <f>IFERROR(__xludf.DUMMYFUNCTION("""COMPUTED_VALUE"""),"short")</f>
        <v>short</v>
      </c>
      <c r="N1759" s="45">
        <f>IFERROR(__xludf.DUMMYFUNCTION("""COMPUTED_VALUE"""),45267.0)</f>
        <v>45267</v>
      </c>
      <c r="O1759" s="45">
        <f>IFERROR(__xludf.DUMMYFUNCTION("""COMPUTED_VALUE"""),45505.0)</f>
        <v>45505</v>
      </c>
      <c r="P1759" s="45">
        <f>IFERROR(__xludf.DUMMYFUNCTION("""COMPUTED_VALUE"""),45547.0)</f>
        <v>45547</v>
      </c>
      <c r="Q1759" s="45"/>
      <c r="R1759" s="45"/>
      <c r="S1759" s="43"/>
      <c r="T1759" s="43"/>
      <c r="U1759" s="43" t="str">
        <f>IFERROR(__xludf.DUMMYFUNCTION("""COMPUTED_VALUE"""),"Global Classroom")</f>
        <v>Global Classroom</v>
      </c>
      <c r="V1759" s="43" t="str">
        <f>IFERROR(__xludf.DUMMYFUNCTION("""COMPUTED_VALUE"""),"ESPRIT El Ghazela ")</f>
        <v>ESPRIT El Ghazela </v>
      </c>
      <c r="W1759" s="43" t="str">
        <f>IFERROR(__xludf.DUMMYFUNCTION("""COMPUTED_VALUE"""),"2023-11-28T19:28:04Z")</f>
        <v>2023-11-28T19:28:04Z</v>
      </c>
      <c r="X1759" s="43"/>
      <c r="Y1759" s="43"/>
      <c r="Z1759" s="43"/>
    </row>
    <row r="1760" hidden="1">
      <c r="A1760" s="43" t="str">
        <f>IFERROR(__xludf.DUMMYFUNCTION("""COMPUTED_VALUE"""),"5381971_1289536")</f>
        <v>5381971_1289536</v>
      </c>
      <c r="B1760" s="43" t="str">
        <f>IFERROR(__xludf.DUMMYFUNCTION("""COMPUTED_VALUE"""),"Nour el houda Darghoumi")</f>
        <v>Nour el houda Darghoumi</v>
      </c>
      <c r="C1760" s="43" t="str">
        <f>IFERROR(__xludf.DUMMYFUNCTION("""COMPUTED_VALUE"""),"approved")</f>
        <v>approved</v>
      </c>
      <c r="D1760" s="43" t="str">
        <f>IFERROR(__xludf.DUMMYFUNCTION("""COMPUTED_VALUE"""),"No")</f>
        <v>No</v>
      </c>
      <c r="E1760" s="43" t="str">
        <f>IFERROR(__xludf.DUMMYFUNCTION("""COMPUTED_VALUE"""),"p_b86bd497dc52722ac02cb762f65ce7634bc2caf7@inbound.aiesec.org")</f>
        <v>p_b86bd497dc52722ac02cb762f65ce7634bc2caf7@inbound.aiesec.org</v>
      </c>
      <c r="F1760" s="43">
        <f>IFERROR(__xludf.DUMMYFUNCTION("""COMPUTED_VALUE"""),2.1158309E7)</f>
        <v>21158309</v>
      </c>
      <c r="G1760" s="43" t="str">
        <f>IFERROR(__xludf.DUMMYFUNCTION("""COMPUTED_VALUE"""),"Tunisia")</f>
        <v>Tunisia</v>
      </c>
      <c r="H1760" s="43" t="str">
        <f>IFERROR(__xludf.DUMMYFUNCTION("""COMPUTED_VALUE"""),"BARDO")</f>
        <v>BARDO</v>
      </c>
      <c r="I1760" s="43" t="str">
        <f>IFERROR(__xludf.DUMMYFUNCTION("""COMPUTED_VALUE"""),"Turkey")</f>
        <v>Turkey</v>
      </c>
      <c r="J1760" s="43" t="str">
        <f>IFERROR(__xludf.DUMMYFUNCTION("""COMPUTED_VALUE"""),"ISTANBUL")</f>
        <v>ISTANBUL</v>
      </c>
      <c r="K1760" s="44" t="str">
        <f>IFERROR(__xludf.DUMMYFUNCTION("""COMPUTED_VALUE"""),"https://expa.aiesec.org/opportunities/1289536")</f>
        <v>https://expa.aiesec.org/opportunities/1289536</v>
      </c>
      <c r="L1760" s="43" t="str">
        <f>IFERROR(__xludf.DUMMYFUNCTION("""COMPUTED_VALUE"""),"GV")</f>
        <v>GV</v>
      </c>
      <c r="M1760" s="43" t="str">
        <f>IFERROR(__xludf.DUMMYFUNCTION("""COMPUTED_VALUE"""),"short")</f>
        <v>short</v>
      </c>
      <c r="N1760" s="45">
        <f>IFERROR(__xludf.DUMMYFUNCTION("""COMPUTED_VALUE"""),45267.0)</f>
        <v>45267</v>
      </c>
      <c r="O1760" s="45">
        <f>IFERROR(__xludf.DUMMYFUNCTION("""COMPUTED_VALUE"""),45505.0)</f>
        <v>45505</v>
      </c>
      <c r="P1760" s="45">
        <f>IFERROR(__xludf.DUMMYFUNCTION("""COMPUTED_VALUE"""),45547.0)</f>
        <v>45547</v>
      </c>
      <c r="Q1760" s="45"/>
      <c r="R1760" s="45"/>
      <c r="S1760" s="43"/>
      <c r="T1760" s="43"/>
      <c r="U1760" s="43" t="str">
        <f>IFERROR(__xludf.DUMMYFUNCTION("""COMPUTED_VALUE"""),"Global Classroom")</f>
        <v>Global Classroom</v>
      </c>
      <c r="V1760" s="43" t="str">
        <f>IFERROR(__xludf.DUMMYFUNCTION("""COMPUTED_VALUE"""),"ESPRIT El Ghazela ")</f>
        <v>ESPRIT El Ghazela </v>
      </c>
      <c r="W1760" s="43" t="str">
        <f>IFERROR(__xludf.DUMMYFUNCTION("""COMPUTED_VALUE"""),"2023-11-28T19:25:38Z")</f>
        <v>2023-11-28T19:25:38Z</v>
      </c>
      <c r="X1760" s="43"/>
      <c r="Y1760" s="43"/>
      <c r="Z1760" s="43"/>
    </row>
    <row r="1761" hidden="1">
      <c r="A1761" s="43" t="str">
        <f>IFERROR(__xludf.DUMMYFUNCTION("""COMPUTED_VALUE"""),"5386096_1289536")</f>
        <v>5386096_1289536</v>
      </c>
      <c r="B1761" s="43" t="str">
        <f>IFERROR(__xludf.DUMMYFUNCTION("""COMPUTED_VALUE"""),"maisha kara")</f>
        <v>maisha kara</v>
      </c>
      <c r="C1761" s="43" t="str">
        <f>IFERROR(__xludf.DUMMYFUNCTION("""COMPUTED_VALUE"""),"approved")</f>
        <v>approved</v>
      </c>
      <c r="D1761" s="43" t="str">
        <f>IFERROR(__xludf.DUMMYFUNCTION("""COMPUTED_VALUE"""),"No")</f>
        <v>No</v>
      </c>
      <c r="E1761" s="43" t="str">
        <f>IFERROR(__xludf.DUMMYFUNCTION("""COMPUTED_VALUE"""),"p_920386bd6f538a819532646ae400a3914d05fb78@inbound.aiesec.org")</f>
        <v>p_920386bd6f538a819532646ae400a3914d05fb78@inbound.aiesec.org</v>
      </c>
      <c r="F1761" s="43">
        <f>IFERROR(__xludf.DUMMYFUNCTION("""COMPUTED_VALUE"""),8.928186562E9)</f>
        <v>8928186562</v>
      </c>
      <c r="G1761" s="43" t="str">
        <f>IFERROR(__xludf.DUMMYFUNCTION("""COMPUTED_VALUE"""),"India")</f>
        <v>India</v>
      </c>
      <c r="H1761" s="43" t="str">
        <f>IFERROR(__xludf.DUMMYFUNCTION("""COMPUTED_VALUE"""),"Mumbai")</f>
        <v>Mumbai</v>
      </c>
      <c r="I1761" s="43" t="str">
        <f>IFERROR(__xludf.DUMMYFUNCTION("""COMPUTED_VALUE"""),"Turkey")</f>
        <v>Turkey</v>
      </c>
      <c r="J1761" s="43" t="str">
        <f>IFERROR(__xludf.DUMMYFUNCTION("""COMPUTED_VALUE"""),"ISTANBUL")</f>
        <v>ISTANBUL</v>
      </c>
      <c r="K1761" s="44" t="str">
        <f>IFERROR(__xludf.DUMMYFUNCTION("""COMPUTED_VALUE"""),"https://expa.aiesec.org/opportunities/1289536")</f>
        <v>https://expa.aiesec.org/opportunities/1289536</v>
      </c>
      <c r="L1761" s="43" t="str">
        <f>IFERROR(__xludf.DUMMYFUNCTION("""COMPUTED_VALUE"""),"GV")</f>
        <v>GV</v>
      </c>
      <c r="M1761" s="43" t="str">
        <f>IFERROR(__xludf.DUMMYFUNCTION("""COMPUTED_VALUE"""),"short")</f>
        <v>short</v>
      </c>
      <c r="N1761" s="45">
        <f>IFERROR(__xludf.DUMMYFUNCTION("""COMPUTED_VALUE"""),45268.0)</f>
        <v>45268</v>
      </c>
      <c r="O1761" s="45">
        <f>IFERROR(__xludf.DUMMYFUNCTION("""COMPUTED_VALUE"""),45431.0)</f>
        <v>45431</v>
      </c>
      <c r="P1761" s="45">
        <f>IFERROR(__xludf.DUMMYFUNCTION("""COMPUTED_VALUE"""),45473.0)</f>
        <v>45473</v>
      </c>
      <c r="Q1761" s="45"/>
      <c r="R1761" s="45"/>
      <c r="S1761" s="43"/>
      <c r="T1761" s="43"/>
      <c r="U1761" s="43" t="str">
        <f>IFERROR(__xludf.DUMMYFUNCTION("""COMPUTED_VALUE"""),"Global Classroom")</f>
        <v>Global Classroom</v>
      </c>
      <c r="V1761" s="43" t="str">
        <f>IFERROR(__xludf.DUMMYFUNCTION("""COMPUTED_VALUE"""),"Amity Global Business School, Malad W.")</f>
        <v>Amity Global Business School, Malad W.</v>
      </c>
      <c r="W1761" s="43" t="str">
        <f>IFERROR(__xludf.DUMMYFUNCTION("""COMPUTED_VALUE"""),"2023-12-06T07:34:28Z")</f>
        <v>2023-12-06T07:34:28Z</v>
      </c>
      <c r="X1761" s="43"/>
      <c r="Y1761" s="43"/>
      <c r="Z1761" s="43"/>
    </row>
    <row r="1762" hidden="1">
      <c r="A1762" s="43" t="str">
        <f>IFERROR(__xludf.DUMMYFUNCTION("""COMPUTED_VALUE"""),"5384183_1295260")</f>
        <v>5384183_1295260</v>
      </c>
      <c r="B1762" s="43" t="str">
        <f>IFERROR(__xludf.DUMMYFUNCTION("""COMPUTED_VALUE"""),"Bianca Balaban")</f>
        <v>Bianca Balaban</v>
      </c>
      <c r="C1762" s="43" t="str">
        <f>IFERROR(__xludf.DUMMYFUNCTION("""COMPUTED_VALUE"""),"approved")</f>
        <v>approved</v>
      </c>
      <c r="D1762" s="43" t="str">
        <f>IFERROR(__xludf.DUMMYFUNCTION("""COMPUTED_VALUE"""),"No")</f>
        <v>No</v>
      </c>
      <c r="E1762" s="43" t="str">
        <f>IFERROR(__xludf.DUMMYFUNCTION("""COMPUTED_VALUE"""),"p_5c561d2a84ab44c972c8d615853d53bcaa16fa54@inbound.aiesec.org")</f>
        <v>p_5c561d2a84ab44c972c8d615853d53bcaa16fa54@inbound.aiesec.org</v>
      </c>
      <c r="F1762" s="43">
        <f>IFERROR(__xludf.DUMMYFUNCTION("""COMPUTED_VALUE"""),7.57624435E8)</f>
        <v>757624435</v>
      </c>
      <c r="G1762" s="43" t="str">
        <f>IFERROR(__xludf.DUMMYFUNCTION("""COMPUTED_VALUE"""),"Romania")</f>
        <v>Romania</v>
      </c>
      <c r="H1762" s="43" t="str">
        <f>IFERROR(__xludf.DUMMYFUNCTION("""COMPUTED_VALUE"""),"GALATI")</f>
        <v>GALATI</v>
      </c>
      <c r="I1762" s="43" t="str">
        <f>IFERROR(__xludf.DUMMYFUNCTION("""COMPUTED_VALUE"""),"Turkey")</f>
        <v>Turkey</v>
      </c>
      <c r="J1762" s="43" t="str">
        <f>IFERROR(__xludf.DUMMYFUNCTION("""COMPUTED_VALUE"""),"KOCAELI")</f>
        <v>KOCAELI</v>
      </c>
      <c r="K1762" s="44" t="str">
        <f>IFERROR(__xludf.DUMMYFUNCTION("""COMPUTED_VALUE"""),"https://expa.aiesec.org/opportunities/1295260")</f>
        <v>https://expa.aiesec.org/opportunities/1295260</v>
      </c>
      <c r="L1762" s="43" t="str">
        <f>IFERROR(__xludf.DUMMYFUNCTION("""COMPUTED_VALUE"""),"GV")</f>
        <v>GV</v>
      </c>
      <c r="M1762" s="43" t="str">
        <f>IFERROR(__xludf.DUMMYFUNCTION("""COMPUTED_VALUE"""),"short")</f>
        <v>short</v>
      </c>
      <c r="N1762" s="45">
        <f>IFERROR(__xludf.DUMMYFUNCTION("""COMPUTED_VALUE"""),45268.0)</f>
        <v>45268</v>
      </c>
      <c r="O1762" s="45">
        <f>IFERROR(__xludf.DUMMYFUNCTION("""COMPUTED_VALUE"""),45488.0)</f>
        <v>45488</v>
      </c>
      <c r="P1762" s="45">
        <f>IFERROR(__xludf.DUMMYFUNCTION("""COMPUTED_VALUE"""),45530.0)</f>
        <v>45530</v>
      </c>
      <c r="Q1762" s="45"/>
      <c r="R1762" s="45"/>
      <c r="S1762" s="43"/>
      <c r="T1762" s="43"/>
      <c r="U1762" s="43" t="str">
        <f>IFERROR(__xludf.DUMMYFUNCTION("""COMPUTED_VALUE"""),"Fingerprint")</f>
        <v>Fingerprint</v>
      </c>
      <c r="V1762" s="43" t="str">
        <f>IFERROR(__xludf.DUMMYFUNCTION("""COMPUTED_VALUE"""),"Galati")</f>
        <v>Galati</v>
      </c>
      <c r="W1762" s="43" t="str">
        <f>IFERROR(__xludf.DUMMYFUNCTION("""COMPUTED_VALUE"""),"2023-12-02T08:14:37Z")</f>
        <v>2023-12-02T08:14:37Z</v>
      </c>
      <c r="X1762" s="43"/>
      <c r="Y1762" s="43"/>
      <c r="Z1762" s="43"/>
    </row>
    <row r="1763" hidden="1">
      <c r="A1763" s="43" t="str">
        <f>IFERROR(__xludf.DUMMYFUNCTION("""COMPUTED_VALUE"""),"5386048_1291336")</f>
        <v>5386048_1291336</v>
      </c>
      <c r="B1763" s="43" t="str">
        <f>IFERROR(__xludf.DUMMYFUNCTION("""COMPUTED_VALUE"""),"Haoze Li")</f>
        <v>Haoze Li</v>
      </c>
      <c r="C1763" s="43" t="str">
        <f>IFERROR(__xludf.DUMMYFUNCTION("""COMPUTED_VALUE"""),"approved")</f>
        <v>approved</v>
      </c>
      <c r="D1763" s="43" t="str">
        <f>IFERROR(__xludf.DUMMYFUNCTION("""COMPUTED_VALUE"""),"No")</f>
        <v>No</v>
      </c>
      <c r="E1763" s="43" t="str">
        <f>IFERROR(__xludf.DUMMYFUNCTION("""COMPUTED_VALUE"""),"p_054b0f328b6f3477390eb45e63c104fbbf23214f@inbound.aiesec.org")</f>
        <v>p_054b0f328b6f3477390eb45e63c104fbbf23214f@inbound.aiesec.org</v>
      </c>
      <c r="F1763" s="43">
        <f>IFERROR(__xludf.DUMMYFUNCTION("""COMPUTED_VALUE"""),1.8076387825E10)</f>
        <v>18076387825</v>
      </c>
      <c r="G1763" s="43" t="str">
        <f>IFERROR(__xludf.DUMMYFUNCTION("""COMPUTED_VALUE"""),"Mainland of China")</f>
        <v>Mainland of China</v>
      </c>
      <c r="H1763" s="43" t="str">
        <f>IFERROR(__xludf.DUMMYFUNCTION("""COMPUTED_VALUE"""),"Ningbo")</f>
        <v>Ningbo</v>
      </c>
      <c r="I1763" s="43" t="str">
        <f>IFERROR(__xludf.DUMMYFUNCTION("""COMPUTED_VALUE"""),"Turkey")</f>
        <v>Turkey</v>
      </c>
      <c r="J1763" s="43" t="str">
        <f>IFERROR(__xludf.DUMMYFUNCTION("""COMPUTED_VALUE"""),"DENIZLI")</f>
        <v>DENIZLI</v>
      </c>
      <c r="K1763" s="44" t="str">
        <f>IFERROR(__xludf.DUMMYFUNCTION("""COMPUTED_VALUE"""),"https://expa.aiesec.org/opportunities/1291336")</f>
        <v>https://expa.aiesec.org/opportunities/1291336</v>
      </c>
      <c r="L1763" s="43" t="str">
        <f>IFERROR(__xludf.DUMMYFUNCTION("""COMPUTED_VALUE"""),"GV")</f>
        <v>GV</v>
      </c>
      <c r="M1763" s="43" t="str">
        <f>IFERROR(__xludf.DUMMYFUNCTION("""COMPUTED_VALUE"""),"short")</f>
        <v>short</v>
      </c>
      <c r="N1763" s="45">
        <f>IFERROR(__xludf.DUMMYFUNCTION("""COMPUTED_VALUE"""),45268.0)</f>
        <v>45268</v>
      </c>
      <c r="O1763" s="45">
        <f>IFERROR(__xludf.DUMMYFUNCTION("""COMPUTED_VALUE"""),45306.0)</f>
        <v>45306</v>
      </c>
      <c r="P1763" s="45">
        <f>IFERROR(__xludf.DUMMYFUNCTION("""COMPUTED_VALUE"""),45348.0)</f>
        <v>45348</v>
      </c>
      <c r="Q1763" s="45"/>
      <c r="R1763" s="45"/>
      <c r="S1763" s="43"/>
      <c r="T1763" s="43"/>
      <c r="U1763" s="43" t="str">
        <f>IFERROR(__xludf.DUMMYFUNCTION("""COMPUTED_VALUE"""),"Global Classroom")</f>
        <v>Global Classroom</v>
      </c>
      <c r="V1763" s="43" t="str">
        <f>IFERROR(__xludf.DUMMYFUNCTION("""COMPUTED_VALUE"""),"NINGBO 宁波")</f>
        <v>NINGBO 宁波</v>
      </c>
      <c r="W1763" s="43" t="str">
        <f>IFERROR(__xludf.DUMMYFUNCTION("""COMPUTED_VALUE"""),"2023-12-06T03:26:14Z")</f>
        <v>2023-12-06T03:26:14Z</v>
      </c>
      <c r="X1763" s="43"/>
      <c r="Y1763" s="43"/>
      <c r="Z1763" s="43"/>
    </row>
    <row r="1764" hidden="1">
      <c r="A1764" s="43" t="str">
        <f>IFERROR(__xludf.DUMMYFUNCTION("""COMPUTED_VALUE"""),"5379669_1291336")</f>
        <v>5379669_1291336</v>
      </c>
      <c r="B1764" s="43" t="str">
        <f>IFERROR(__xludf.DUMMYFUNCTION("""COMPUTED_VALUE"""),"Jiwon Han")</f>
        <v>Jiwon Han</v>
      </c>
      <c r="C1764" s="43" t="str">
        <f>IFERROR(__xludf.DUMMYFUNCTION("""COMPUTED_VALUE"""),"approved")</f>
        <v>approved</v>
      </c>
      <c r="D1764" s="43" t="str">
        <f>IFERROR(__xludf.DUMMYFUNCTION("""COMPUTED_VALUE"""),"No")</f>
        <v>No</v>
      </c>
      <c r="E1764" s="43" t="str">
        <f>IFERROR(__xludf.DUMMYFUNCTION("""COMPUTED_VALUE"""),"p_6f0faea24f923e073afdd516fb928b3d2246821d@inbound.aiesec.org")</f>
        <v>p_6f0faea24f923e073afdd516fb928b3d2246821d@inbound.aiesec.org</v>
      </c>
      <c r="F1764" s="43"/>
      <c r="G1764" s="43" t="str">
        <f>IFERROR(__xludf.DUMMYFUNCTION("""COMPUTED_VALUE"""),"South Korea")</f>
        <v>South Korea</v>
      </c>
      <c r="H1764" s="43" t="str">
        <f>IFERROR(__xludf.DUMMYFUNCTION("""COMPUTED_VALUE"""),"SGU")</f>
        <v>SGU</v>
      </c>
      <c r="I1764" s="43" t="str">
        <f>IFERROR(__xludf.DUMMYFUNCTION("""COMPUTED_VALUE"""),"Turkey")</f>
        <v>Turkey</v>
      </c>
      <c r="J1764" s="43" t="str">
        <f>IFERROR(__xludf.DUMMYFUNCTION("""COMPUTED_VALUE"""),"DENIZLI")</f>
        <v>DENIZLI</v>
      </c>
      <c r="K1764" s="44" t="str">
        <f>IFERROR(__xludf.DUMMYFUNCTION("""COMPUTED_VALUE"""),"https://expa.aiesec.org/opportunities/1291336")</f>
        <v>https://expa.aiesec.org/opportunities/1291336</v>
      </c>
      <c r="L1764" s="43" t="str">
        <f>IFERROR(__xludf.DUMMYFUNCTION("""COMPUTED_VALUE"""),"GV")</f>
        <v>GV</v>
      </c>
      <c r="M1764" s="43" t="str">
        <f>IFERROR(__xludf.DUMMYFUNCTION("""COMPUTED_VALUE"""),"short")</f>
        <v>short</v>
      </c>
      <c r="N1764" s="45">
        <f>IFERROR(__xludf.DUMMYFUNCTION("""COMPUTED_VALUE"""),45269.0)</f>
        <v>45269</v>
      </c>
      <c r="O1764" s="45">
        <f>IFERROR(__xludf.DUMMYFUNCTION("""COMPUTED_VALUE"""),45306.0)</f>
        <v>45306</v>
      </c>
      <c r="P1764" s="45">
        <f>IFERROR(__xludf.DUMMYFUNCTION("""COMPUTED_VALUE"""),45348.0)</f>
        <v>45348</v>
      </c>
      <c r="Q1764" s="45"/>
      <c r="R1764" s="45"/>
      <c r="S1764" s="43"/>
      <c r="T1764" s="43"/>
      <c r="U1764" s="43" t="str">
        <f>IFERROR(__xludf.DUMMYFUNCTION("""COMPUTED_VALUE"""),"Global Classroom")</f>
        <v>Global Classroom</v>
      </c>
      <c r="V1764" s="43" t="str">
        <f>IFERROR(__xludf.DUMMYFUNCTION("""COMPUTED_VALUE"""),"-")</f>
        <v>-</v>
      </c>
      <c r="W1764" s="43" t="str">
        <f>IFERROR(__xludf.DUMMYFUNCTION("""COMPUTED_VALUE"""),"2023-11-25T14:39:47Z")</f>
        <v>2023-11-25T14:39:47Z</v>
      </c>
      <c r="X1764" s="43"/>
      <c r="Y1764" s="43"/>
      <c r="Z1764" s="43"/>
    </row>
    <row r="1765" hidden="1">
      <c r="A1765" s="43" t="str">
        <f>IFERROR(__xludf.DUMMYFUNCTION("""COMPUTED_VALUE"""),"5273507_1283483")</f>
        <v>5273507_1283483</v>
      </c>
      <c r="B1765" s="43" t="str">
        <f>IFERROR(__xludf.DUMMYFUNCTION("""COMPUTED_VALUE"""),"Yossra Ahmed")</f>
        <v>Yossra Ahmed</v>
      </c>
      <c r="C1765" s="43" t="str">
        <f>IFERROR(__xludf.DUMMYFUNCTION("""COMPUTED_VALUE"""),"approved")</f>
        <v>approved</v>
      </c>
      <c r="D1765" s="43" t="str">
        <f>IFERROR(__xludf.DUMMYFUNCTION("""COMPUTED_VALUE"""),"No")</f>
        <v>No</v>
      </c>
      <c r="E1765" s="43" t="str">
        <f>IFERROR(__xludf.DUMMYFUNCTION("""COMPUTED_VALUE"""),"p_3c49abbc969827aef6c73848b87bef06ce077694@inbound.aiesec.org")</f>
        <v>p_3c49abbc969827aef6c73848b87bef06ce077694@inbound.aiesec.org</v>
      </c>
      <c r="F1765" s="43">
        <f>IFERROR(__xludf.DUMMYFUNCTION("""COMPUTED_VALUE"""),1.023341555E9)</f>
        <v>1023341555</v>
      </c>
      <c r="G1765" s="43" t="str">
        <f>IFERROR(__xludf.DUMMYFUNCTION("""COMPUTED_VALUE"""),"Egypt")</f>
        <v>Egypt</v>
      </c>
      <c r="H1765" s="43" t="str">
        <f>IFERROR(__xludf.DUMMYFUNCTION("""COMPUTED_VALUE"""),"Cairo University")</f>
        <v>Cairo University</v>
      </c>
      <c r="I1765" s="43" t="str">
        <f>IFERROR(__xludf.DUMMYFUNCTION("""COMPUTED_VALUE"""),"Turkey")</f>
        <v>Turkey</v>
      </c>
      <c r="J1765" s="43" t="str">
        <f>IFERROR(__xludf.DUMMYFUNCTION("""COMPUTED_VALUE"""),"KONYA")</f>
        <v>KONYA</v>
      </c>
      <c r="K1765" s="44" t="str">
        <f>IFERROR(__xludf.DUMMYFUNCTION("""COMPUTED_VALUE"""),"https://expa.aiesec.org/opportunities/1283483")</f>
        <v>https://expa.aiesec.org/opportunities/1283483</v>
      </c>
      <c r="L1765" s="43" t="str">
        <f>IFERROR(__xludf.DUMMYFUNCTION("""COMPUTED_VALUE"""),"GV")</f>
        <v>GV</v>
      </c>
      <c r="M1765" s="43" t="str">
        <f>IFERROR(__xludf.DUMMYFUNCTION("""COMPUTED_VALUE"""),"short")</f>
        <v>short</v>
      </c>
      <c r="N1765" s="45">
        <f>IFERROR(__xludf.DUMMYFUNCTION("""COMPUTED_VALUE"""),45269.0)</f>
        <v>45269</v>
      </c>
      <c r="O1765" s="45">
        <f>IFERROR(__xludf.DUMMYFUNCTION("""COMPUTED_VALUE"""),45487.0)</f>
        <v>45487</v>
      </c>
      <c r="P1765" s="45">
        <f>IFERROR(__xludf.DUMMYFUNCTION("""COMPUTED_VALUE"""),45529.0)</f>
        <v>45529</v>
      </c>
      <c r="Q1765" s="45"/>
      <c r="R1765" s="45"/>
      <c r="S1765" s="43"/>
      <c r="T1765" s="43"/>
      <c r="U1765" s="43" t="str">
        <f>IFERROR(__xludf.DUMMYFUNCTION("""COMPUTED_VALUE"""),"Global Classroom")</f>
        <v>Global Classroom</v>
      </c>
      <c r="V1765" s="43" t="str">
        <f>IFERROR(__xludf.DUMMYFUNCTION("""COMPUTED_VALUE"""),"Cairo Univeristy")</f>
        <v>Cairo Univeristy</v>
      </c>
      <c r="W1765" s="43" t="str">
        <f>IFERROR(__xludf.DUMMYFUNCTION("""COMPUTED_VALUE"""),"2023-06-09T22:12:03Z")</f>
        <v>2023-06-09T22:12:03Z</v>
      </c>
      <c r="X1765" s="43"/>
      <c r="Y1765" s="43"/>
      <c r="Z1765" s="43"/>
    </row>
    <row r="1766" hidden="1">
      <c r="A1766" s="43" t="str">
        <f>IFERROR(__xludf.DUMMYFUNCTION("""COMPUTED_VALUE"""),"5387133_1298102")</f>
        <v>5387133_1298102</v>
      </c>
      <c r="B1766" s="43" t="str">
        <f>IFERROR(__xludf.DUMMYFUNCTION("""COMPUTED_VALUE"""),"Menna Magdy")</f>
        <v>Menna Magdy</v>
      </c>
      <c r="C1766" s="43" t="str">
        <f>IFERROR(__xludf.DUMMYFUNCTION("""COMPUTED_VALUE"""),"approved")</f>
        <v>approved</v>
      </c>
      <c r="D1766" s="43" t="str">
        <f>IFERROR(__xludf.DUMMYFUNCTION("""COMPUTED_VALUE"""),"No")</f>
        <v>No</v>
      </c>
      <c r="E1766" s="43" t="str">
        <f>IFERROR(__xludf.DUMMYFUNCTION("""COMPUTED_VALUE"""),"p_3ccfcfd885b72ba1ec6e0de2fcfe53589fd2773f@inbound.aiesec.org")</f>
        <v>p_3ccfcfd885b72ba1ec6e0de2fcfe53589fd2773f@inbound.aiesec.org</v>
      </c>
      <c r="F1766" s="43">
        <f>IFERROR(__xludf.DUMMYFUNCTION("""COMPUTED_VALUE"""),1.117500826E9)</f>
        <v>1117500826</v>
      </c>
      <c r="G1766" s="43" t="str">
        <f>IFERROR(__xludf.DUMMYFUNCTION("""COMPUTED_VALUE"""),"Egypt")</f>
        <v>Egypt</v>
      </c>
      <c r="H1766" s="43" t="str">
        <f>IFERROR(__xludf.DUMMYFUNCTION("""COMPUTED_VALUE"""),"Helwan")</f>
        <v>Helwan</v>
      </c>
      <c r="I1766" s="43" t="str">
        <f>IFERROR(__xludf.DUMMYFUNCTION("""COMPUTED_VALUE"""),"Turkey")</f>
        <v>Turkey</v>
      </c>
      <c r="J1766" s="43" t="str">
        <f>IFERROR(__xludf.DUMMYFUNCTION("""COMPUTED_VALUE"""),"KOCAELI")</f>
        <v>KOCAELI</v>
      </c>
      <c r="K1766" s="44" t="str">
        <f>IFERROR(__xludf.DUMMYFUNCTION("""COMPUTED_VALUE"""),"https://expa.aiesec.org/opportunities/1298102")</f>
        <v>https://expa.aiesec.org/opportunities/1298102</v>
      </c>
      <c r="L1766" s="43" t="str">
        <f>IFERROR(__xludf.DUMMYFUNCTION("""COMPUTED_VALUE"""),"GV")</f>
        <v>GV</v>
      </c>
      <c r="M1766" s="43" t="str">
        <f>IFERROR(__xludf.DUMMYFUNCTION("""COMPUTED_VALUE"""),"short")</f>
        <v>short</v>
      </c>
      <c r="N1766" s="45">
        <f>IFERROR(__xludf.DUMMYFUNCTION("""COMPUTED_VALUE"""),45269.0)</f>
        <v>45269</v>
      </c>
      <c r="O1766" s="45">
        <f>IFERROR(__xludf.DUMMYFUNCTION("""COMPUTED_VALUE"""),45474.0)</f>
        <v>45474</v>
      </c>
      <c r="P1766" s="45">
        <f>IFERROR(__xludf.DUMMYFUNCTION("""COMPUTED_VALUE"""),45516.0)</f>
        <v>45516</v>
      </c>
      <c r="Q1766" s="45"/>
      <c r="R1766" s="45"/>
      <c r="S1766" s="43"/>
      <c r="T1766" s="43"/>
      <c r="U1766" s="43" t="str">
        <f>IFERROR(__xludf.DUMMYFUNCTION("""COMPUTED_VALUE"""),"Global Classroom")</f>
        <v>Global Classroom</v>
      </c>
      <c r="V1766" s="43" t="str">
        <f>IFERROR(__xludf.DUMMYFUNCTION("""COMPUTED_VALUE"""),"Helwan University")</f>
        <v>Helwan University</v>
      </c>
      <c r="W1766" s="43" t="str">
        <f>IFERROR(__xludf.DUMMYFUNCTION("""COMPUTED_VALUE"""),"2023-12-08T00:13:02Z")</f>
        <v>2023-12-08T00:13:02Z</v>
      </c>
      <c r="X1766" s="43"/>
      <c r="Y1766" s="43"/>
      <c r="Z1766" s="43"/>
    </row>
    <row r="1767" hidden="1">
      <c r="A1767" s="43" t="str">
        <f>IFERROR(__xludf.DUMMYFUNCTION("""COMPUTED_VALUE"""),"5376362_1294878")</f>
        <v>5376362_1294878</v>
      </c>
      <c r="B1767" s="43" t="str">
        <f>IFERROR(__xludf.DUMMYFUNCTION("""COMPUTED_VALUE"""),"Turki Eya")</f>
        <v>Turki Eya</v>
      </c>
      <c r="C1767" s="43" t="str">
        <f>IFERROR(__xludf.DUMMYFUNCTION("""COMPUTED_VALUE"""),"approved")</f>
        <v>approved</v>
      </c>
      <c r="D1767" s="43" t="str">
        <f>IFERROR(__xludf.DUMMYFUNCTION("""COMPUTED_VALUE"""),"No")</f>
        <v>No</v>
      </c>
      <c r="E1767" s="43" t="str">
        <f>IFERROR(__xludf.DUMMYFUNCTION("""COMPUTED_VALUE"""),"p_7e9f7c399e771489b5e08efa5e76bec5f2fd73fc@inbound.aiesec.org")</f>
        <v>p_7e9f7c399e771489b5e08efa5e76bec5f2fd73fc@inbound.aiesec.org</v>
      </c>
      <c r="F1767" s="43">
        <f>IFERROR(__xludf.DUMMYFUNCTION("""COMPUTED_VALUE"""),5.4233623E7)</f>
        <v>54233623</v>
      </c>
      <c r="G1767" s="43" t="str">
        <f>IFERROR(__xludf.DUMMYFUNCTION("""COMPUTED_VALUE"""),"Tunisia")</f>
        <v>Tunisia</v>
      </c>
      <c r="H1767" s="43" t="str">
        <f>IFERROR(__xludf.DUMMYFUNCTION("""COMPUTED_VALUE"""),"UNIVERSITY")</f>
        <v>UNIVERSITY</v>
      </c>
      <c r="I1767" s="43" t="str">
        <f>IFERROR(__xludf.DUMMYFUNCTION("""COMPUTED_VALUE"""),"Turkey")</f>
        <v>Turkey</v>
      </c>
      <c r="J1767" s="43" t="str">
        <f>IFERROR(__xludf.DUMMYFUNCTION("""COMPUTED_VALUE"""),"BURSA")</f>
        <v>BURSA</v>
      </c>
      <c r="K1767" s="44" t="str">
        <f>IFERROR(__xludf.DUMMYFUNCTION("""COMPUTED_VALUE"""),"https://expa.aiesec.org/opportunities/1294878")</f>
        <v>https://expa.aiesec.org/opportunities/1294878</v>
      </c>
      <c r="L1767" s="43" t="str">
        <f>IFERROR(__xludf.DUMMYFUNCTION("""COMPUTED_VALUE"""),"GV")</f>
        <v>GV</v>
      </c>
      <c r="M1767" s="43" t="str">
        <f>IFERROR(__xludf.DUMMYFUNCTION("""COMPUTED_VALUE"""),"short")</f>
        <v>short</v>
      </c>
      <c r="N1767" s="45">
        <f>IFERROR(__xludf.DUMMYFUNCTION("""COMPUTED_VALUE"""),45269.0)</f>
        <v>45269</v>
      </c>
      <c r="O1767" s="45">
        <f>IFERROR(__xludf.DUMMYFUNCTION("""COMPUTED_VALUE"""),45414.0)</f>
        <v>45414</v>
      </c>
      <c r="P1767" s="45">
        <f>IFERROR(__xludf.DUMMYFUNCTION("""COMPUTED_VALUE"""),45456.0)</f>
        <v>45456</v>
      </c>
      <c r="Q1767" s="45"/>
      <c r="R1767" s="45"/>
      <c r="S1767" s="43"/>
      <c r="T1767" s="43"/>
      <c r="U1767" s="43" t="str">
        <f>IFERROR(__xludf.DUMMYFUNCTION("""COMPUTED_VALUE"""),"Youth 4 Impact")</f>
        <v>Youth 4 Impact</v>
      </c>
      <c r="V1767" s="43" t="str">
        <f>IFERROR(__xludf.DUMMYFUNCTION("""COMPUTED_VALUE"""),"École supérieure des sciences et techniques de la santé de Tunis ESSTST")</f>
        <v>École supérieure des sciences et techniques de la santé de Tunis ESSTST</v>
      </c>
      <c r="W1767" s="43" t="str">
        <f>IFERROR(__xludf.DUMMYFUNCTION("""COMPUTED_VALUE"""),"2023-11-20T21:25:45Z")</f>
        <v>2023-11-20T21:25:45Z</v>
      </c>
      <c r="X1767" s="43"/>
      <c r="Y1767" s="43"/>
      <c r="Z1767" s="43"/>
    </row>
    <row r="1768" hidden="1">
      <c r="A1768" s="43" t="str">
        <f>IFERROR(__xludf.DUMMYFUNCTION("""COMPUTED_VALUE"""),"5387457_1293417")</f>
        <v>5387457_1293417</v>
      </c>
      <c r="B1768" s="43" t="str">
        <f>IFERROR(__xludf.DUMMYFUNCTION("""COMPUTED_VALUE"""),"Ines Zid")</f>
        <v>Ines Zid</v>
      </c>
      <c r="C1768" s="43" t="str">
        <f>IFERROR(__xludf.DUMMYFUNCTION("""COMPUTED_VALUE"""),"approved")</f>
        <v>approved</v>
      </c>
      <c r="D1768" s="43" t="str">
        <f>IFERROR(__xludf.DUMMYFUNCTION("""COMPUTED_VALUE"""),"No")</f>
        <v>No</v>
      </c>
      <c r="E1768" s="43" t="str">
        <f>IFERROR(__xludf.DUMMYFUNCTION("""COMPUTED_VALUE"""),"p_349da37c75325996a5013043e65f9c5743759d89@inbound.aiesec.org")</f>
        <v>p_349da37c75325996a5013043e65f9c5743759d89@inbound.aiesec.org</v>
      </c>
      <c r="F1768" s="43">
        <f>IFERROR(__xludf.DUMMYFUNCTION("""COMPUTED_VALUE"""),9.48182E7)</f>
        <v>94818200</v>
      </c>
      <c r="G1768" s="43" t="str">
        <f>IFERROR(__xludf.DUMMYFUNCTION("""COMPUTED_VALUE"""),"Tunisia")</f>
        <v>Tunisia</v>
      </c>
      <c r="H1768" s="43" t="str">
        <f>IFERROR(__xludf.DUMMYFUNCTION("""COMPUTED_VALUE"""),"BARDO")</f>
        <v>BARDO</v>
      </c>
      <c r="I1768" s="43" t="str">
        <f>IFERROR(__xludf.DUMMYFUNCTION("""COMPUTED_VALUE"""),"Turkey")</f>
        <v>Turkey</v>
      </c>
      <c r="J1768" s="43" t="str">
        <f>IFERROR(__xludf.DUMMYFUNCTION("""COMPUTED_VALUE"""),"ISTANBUL")</f>
        <v>ISTANBUL</v>
      </c>
      <c r="K1768" s="44" t="str">
        <f>IFERROR(__xludf.DUMMYFUNCTION("""COMPUTED_VALUE"""),"https://expa.aiesec.org/opportunities/1293417")</f>
        <v>https://expa.aiesec.org/opportunities/1293417</v>
      </c>
      <c r="L1768" s="43" t="str">
        <f>IFERROR(__xludf.DUMMYFUNCTION("""COMPUTED_VALUE"""),"GV")</f>
        <v>GV</v>
      </c>
      <c r="M1768" s="43" t="str">
        <f>IFERROR(__xludf.DUMMYFUNCTION("""COMPUTED_VALUE"""),"short")</f>
        <v>short</v>
      </c>
      <c r="N1768" s="45">
        <f>IFERROR(__xludf.DUMMYFUNCTION("""COMPUTED_VALUE"""),45269.0)</f>
        <v>45269</v>
      </c>
      <c r="O1768" s="45">
        <f>IFERROR(__xludf.DUMMYFUNCTION("""COMPUTED_VALUE"""),45444.0)</f>
        <v>45444</v>
      </c>
      <c r="P1768" s="45">
        <f>IFERROR(__xludf.DUMMYFUNCTION("""COMPUTED_VALUE"""),45486.0)</f>
        <v>45486</v>
      </c>
      <c r="Q1768" s="45"/>
      <c r="R1768" s="45"/>
      <c r="S1768" s="43"/>
      <c r="T1768" s="43"/>
      <c r="U1768" s="43" t="str">
        <f>IFERROR(__xludf.DUMMYFUNCTION("""COMPUTED_VALUE"""),"Global Classroom")</f>
        <v>Global Classroom</v>
      </c>
      <c r="V1768" s="43" t="str">
        <f>IFERROR(__xludf.DUMMYFUNCTION("""COMPUTED_VALUE"""),"ESPRIT School of Business")</f>
        <v>ESPRIT School of Business</v>
      </c>
      <c r="W1768" s="43" t="str">
        <f>IFERROR(__xludf.DUMMYFUNCTION("""COMPUTED_VALUE"""),"2023-12-08T19:25:05Z")</f>
        <v>2023-12-08T19:25:05Z</v>
      </c>
      <c r="X1768" s="43"/>
      <c r="Y1768" s="43"/>
      <c r="Z1768" s="43"/>
    </row>
    <row r="1769" hidden="1">
      <c r="A1769" s="43" t="str">
        <f>IFERROR(__xludf.DUMMYFUNCTION("""COMPUTED_VALUE"""),"5377760_1287488")</f>
        <v>5377760_1287488</v>
      </c>
      <c r="B1769" s="43" t="str">
        <f>IFERROR(__xludf.DUMMYFUNCTION("""COMPUTED_VALUE"""),"deleted 5377760")</f>
        <v>deleted 5377760</v>
      </c>
      <c r="C1769" s="43" t="str">
        <f>IFERROR(__xludf.DUMMYFUNCTION("""COMPUTED_VALUE"""),"approved")</f>
        <v>approved</v>
      </c>
      <c r="D1769" s="43" t="str">
        <f>IFERROR(__xludf.DUMMYFUNCTION("""COMPUTED_VALUE"""),"No")</f>
        <v>No</v>
      </c>
      <c r="E1769" s="43" t="str">
        <f>IFERROR(__xludf.DUMMYFUNCTION("""COMPUTED_VALUE"""),"p_6da354283819986bb25397f3b21cbc0a71ca4670@inbound.aiesec.org")</f>
        <v>p_6da354283819986bb25397f3b21cbc0a71ca4670@inbound.aiesec.org</v>
      </c>
      <c r="F1769" s="43"/>
      <c r="G1769" s="43" t="str">
        <f>IFERROR(__xludf.DUMMYFUNCTION("""COMPUTED_VALUE"""),"Tunisia")</f>
        <v>Tunisia</v>
      </c>
      <c r="H1769" s="43" t="str">
        <f>IFERROR(__xludf.DUMMYFUNCTION("""COMPUTED_VALUE"""),"BARDO")</f>
        <v>BARDO</v>
      </c>
      <c r="I1769" s="43" t="str">
        <f>IFERROR(__xludf.DUMMYFUNCTION("""COMPUTED_VALUE"""),"Turkey")</f>
        <v>Turkey</v>
      </c>
      <c r="J1769" s="43" t="str">
        <f>IFERROR(__xludf.DUMMYFUNCTION("""COMPUTED_VALUE"""),"ISTANBUL ASIA")</f>
        <v>ISTANBUL ASIA</v>
      </c>
      <c r="K1769" s="44" t="str">
        <f>IFERROR(__xludf.DUMMYFUNCTION("""COMPUTED_VALUE"""),"https://expa.aiesec.org/opportunities/1287488")</f>
        <v>https://expa.aiesec.org/opportunities/1287488</v>
      </c>
      <c r="L1769" s="43" t="str">
        <f>IFERROR(__xludf.DUMMYFUNCTION("""COMPUTED_VALUE"""),"GV")</f>
        <v>GV</v>
      </c>
      <c r="M1769" s="43" t="str">
        <f>IFERROR(__xludf.DUMMYFUNCTION("""COMPUTED_VALUE"""),"short")</f>
        <v>short</v>
      </c>
      <c r="N1769" s="45">
        <f>IFERROR(__xludf.DUMMYFUNCTION("""COMPUTED_VALUE"""),45271.0)</f>
        <v>45271</v>
      </c>
      <c r="O1769" s="45">
        <f>IFERROR(__xludf.DUMMYFUNCTION("""COMPUTED_VALUE"""),45292.0)</f>
        <v>45292</v>
      </c>
      <c r="P1769" s="45">
        <f>IFERROR(__xludf.DUMMYFUNCTION("""COMPUTED_VALUE"""),45334.0)</f>
        <v>45334</v>
      </c>
      <c r="Q1769" s="45"/>
      <c r="R1769" s="45"/>
      <c r="S1769" s="43"/>
      <c r="T1769" s="43"/>
      <c r="U1769" s="43" t="str">
        <f>IFERROR(__xludf.DUMMYFUNCTION("""COMPUTED_VALUE"""),"Global Classroom")</f>
        <v>Global Classroom</v>
      </c>
      <c r="V1769" s="43" t="str">
        <f>IFERROR(__xludf.DUMMYFUNCTION("""COMPUTED_VALUE"""),"ISET CHARGUIA")</f>
        <v>ISET CHARGUIA</v>
      </c>
      <c r="W1769" s="43" t="str">
        <f>IFERROR(__xludf.DUMMYFUNCTION("""COMPUTED_VALUE"""),"2023-11-22T19:34:26Z")</f>
        <v>2023-11-22T19:34:26Z</v>
      </c>
      <c r="X1769" s="43"/>
      <c r="Y1769" s="43"/>
      <c r="Z1769" s="43"/>
    </row>
    <row r="1770" hidden="1">
      <c r="A1770" s="43" t="str">
        <f>IFERROR(__xludf.DUMMYFUNCTION("""COMPUTED_VALUE"""),"5386312_1291252")</f>
        <v>5386312_1291252</v>
      </c>
      <c r="B1770" s="43" t="str">
        <f>IFERROR(__xludf.DUMMYFUNCTION("""COMPUTED_VALUE"""),"olfa triki")</f>
        <v>olfa triki</v>
      </c>
      <c r="C1770" s="43" t="str">
        <f>IFERROR(__xludf.DUMMYFUNCTION("""COMPUTED_VALUE"""),"approved")</f>
        <v>approved</v>
      </c>
      <c r="D1770" s="43" t="str">
        <f>IFERROR(__xludf.DUMMYFUNCTION("""COMPUTED_VALUE"""),"No")</f>
        <v>No</v>
      </c>
      <c r="E1770" s="43" t="str">
        <f>IFERROR(__xludf.DUMMYFUNCTION("""COMPUTED_VALUE"""),"p_58d4afedad131c282f55853cbcc2d6458c033e20@inbound.aiesec.org")</f>
        <v>p_58d4afedad131c282f55853cbcc2d6458c033e20@inbound.aiesec.org</v>
      </c>
      <c r="F1770" s="43">
        <f>IFERROR(__xludf.DUMMYFUNCTION("""COMPUTED_VALUE"""),5.8794614E7)</f>
        <v>58794614</v>
      </c>
      <c r="G1770" s="43" t="str">
        <f>IFERROR(__xludf.DUMMYFUNCTION("""COMPUTED_VALUE"""),"Tunisia")</f>
        <v>Tunisia</v>
      </c>
      <c r="H1770" s="43" t="str">
        <f>IFERROR(__xludf.DUMMYFUNCTION("""COMPUTED_VALUE"""),"BARDO")</f>
        <v>BARDO</v>
      </c>
      <c r="I1770" s="43" t="str">
        <f>IFERROR(__xludf.DUMMYFUNCTION("""COMPUTED_VALUE"""),"Turkey")</f>
        <v>Turkey</v>
      </c>
      <c r="J1770" s="43" t="str">
        <f>IFERROR(__xludf.DUMMYFUNCTION("""COMPUTED_VALUE"""),"KOCAELI")</f>
        <v>KOCAELI</v>
      </c>
      <c r="K1770" s="44" t="str">
        <f>IFERROR(__xludf.DUMMYFUNCTION("""COMPUTED_VALUE"""),"https://expa.aiesec.org/opportunities/1291252")</f>
        <v>https://expa.aiesec.org/opportunities/1291252</v>
      </c>
      <c r="L1770" s="43" t="str">
        <f>IFERROR(__xludf.DUMMYFUNCTION("""COMPUTED_VALUE"""),"GV")</f>
        <v>GV</v>
      </c>
      <c r="M1770" s="43" t="str">
        <f>IFERROR(__xludf.DUMMYFUNCTION("""COMPUTED_VALUE"""),"short")</f>
        <v>short</v>
      </c>
      <c r="N1770" s="45">
        <f>IFERROR(__xludf.DUMMYFUNCTION("""COMPUTED_VALUE"""),45271.0)</f>
        <v>45271</v>
      </c>
      <c r="O1770" s="45">
        <f>IFERROR(__xludf.DUMMYFUNCTION("""COMPUTED_VALUE"""),45523.0)</f>
        <v>45523</v>
      </c>
      <c r="P1770" s="45">
        <f>IFERROR(__xludf.DUMMYFUNCTION("""COMPUTED_VALUE"""),45565.0)</f>
        <v>45565</v>
      </c>
      <c r="Q1770" s="45"/>
      <c r="R1770" s="45"/>
      <c r="S1770" s="43"/>
      <c r="T1770" s="43"/>
      <c r="U1770" s="43" t="str">
        <f>IFERROR(__xludf.DUMMYFUNCTION("""COMPUTED_VALUE"""),"Global Classroom")</f>
        <v>Global Classroom</v>
      </c>
      <c r="V1770" s="43" t="str">
        <f>IFERROR(__xludf.DUMMYFUNCTION("""COMPUTED_VALUE"""),"ESPRIT El Ghazela ")</f>
        <v>ESPRIT El Ghazela </v>
      </c>
      <c r="W1770" s="43" t="str">
        <f>IFERROR(__xludf.DUMMYFUNCTION("""COMPUTED_VALUE"""),"2023-12-06T15:39:27Z")</f>
        <v>2023-12-06T15:39:27Z</v>
      </c>
      <c r="X1770" s="43"/>
      <c r="Y1770" s="43"/>
      <c r="Z1770" s="43"/>
    </row>
    <row r="1771" hidden="1">
      <c r="A1771" s="43" t="str">
        <f>IFERROR(__xludf.DUMMYFUNCTION("""COMPUTED_VALUE"""),"5388271_1289347")</f>
        <v>5388271_1289347</v>
      </c>
      <c r="B1771" s="43" t="str">
        <f>IFERROR(__xludf.DUMMYFUNCTION("""COMPUTED_VALUE"""),"Omar Elsedfy")</f>
        <v>Omar Elsedfy</v>
      </c>
      <c r="C1771" s="43" t="str">
        <f>IFERROR(__xludf.DUMMYFUNCTION("""COMPUTED_VALUE"""),"approved")</f>
        <v>approved</v>
      </c>
      <c r="D1771" s="43" t="str">
        <f>IFERROR(__xludf.DUMMYFUNCTION("""COMPUTED_VALUE"""),"No")</f>
        <v>No</v>
      </c>
      <c r="E1771" s="43" t="str">
        <f>IFERROR(__xludf.DUMMYFUNCTION("""COMPUTED_VALUE"""),"p_80659718dc8a179530f85f5cdd82565726600c3e@inbound.aiesec.org")</f>
        <v>p_80659718dc8a179530f85f5cdd82565726600c3e@inbound.aiesec.org</v>
      </c>
      <c r="F1771" s="43">
        <f>IFERROR(__xludf.DUMMYFUNCTION("""COMPUTED_VALUE"""),1.008329469E9)</f>
        <v>1008329469</v>
      </c>
      <c r="G1771" s="43" t="str">
        <f>IFERROR(__xludf.DUMMYFUNCTION("""COMPUTED_VALUE"""),"Egypt")</f>
        <v>Egypt</v>
      </c>
      <c r="H1771" s="43" t="str">
        <f>IFERROR(__xludf.DUMMYFUNCTION("""COMPUTED_VALUE"""),"MUST")</f>
        <v>MUST</v>
      </c>
      <c r="I1771" s="43" t="str">
        <f>IFERROR(__xludf.DUMMYFUNCTION("""COMPUTED_VALUE"""),"Turkey")</f>
        <v>Turkey</v>
      </c>
      <c r="J1771" s="43" t="str">
        <f>IFERROR(__xludf.DUMMYFUNCTION("""COMPUTED_VALUE"""),"ADANA")</f>
        <v>ADANA</v>
      </c>
      <c r="K1771" s="44" t="str">
        <f>IFERROR(__xludf.DUMMYFUNCTION("""COMPUTED_VALUE"""),"https://expa.aiesec.org/opportunities/1289347")</f>
        <v>https://expa.aiesec.org/opportunities/1289347</v>
      </c>
      <c r="L1771" s="43" t="str">
        <f>IFERROR(__xludf.DUMMYFUNCTION("""COMPUTED_VALUE"""),"GV")</f>
        <v>GV</v>
      </c>
      <c r="M1771" s="43" t="str">
        <f>IFERROR(__xludf.DUMMYFUNCTION("""COMPUTED_VALUE"""),"short")</f>
        <v>short</v>
      </c>
      <c r="N1771" s="45">
        <f>IFERROR(__xludf.DUMMYFUNCTION("""COMPUTED_VALUE"""),45271.0)</f>
        <v>45271</v>
      </c>
      <c r="O1771" s="45">
        <f>IFERROR(__xludf.DUMMYFUNCTION("""COMPUTED_VALUE"""),45474.0)</f>
        <v>45474</v>
      </c>
      <c r="P1771" s="45">
        <f>IFERROR(__xludf.DUMMYFUNCTION("""COMPUTED_VALUE"""),45516.0)</f>
        <v>45516</v>
      </c>
      <c r="Q1771" s="45"/>
      <c r="R1771" s="45"/>
      <c r="S1771" s="43"/>
      <c r="T1771" s="43"/>
      <c r="U1771" s="43" t="str">
        <f>IFERROR(__xludf.DUMMYFUNCTION("""COMPUTED_VALUE"""),"Global Classroom")</f>
        <v>Global Classroom</v>
      </c>
      <c r="V1771" s="43" t="str">
        <f>IFERROR(__xludf.DUMMYFUNCTION("""COMPUTED_VALUE"""),"MUST University")</f>
        <v>MUST University</v>
      </c>
      <c r="W1771" s="43" t="str">
        <f>IFERROR(__xludf.DUMMYFUNCTION("""COMPUTED_VALUE"""),"2023-12-10T21:42:58Z")</f>
        <v>2023-12-10T21:42:58Z</v>
      </c>
      <c r="X1771" s="43"/>
      <c r="Y1771" s="43"/>
      <c r="Z1771" s="43"/>
    </row>
    <row r="1772" hidden="1">
      <c r="A1772" s="43" t="str">
        <f>IFERROR(__xludf.DUMMYFUNCTION("""COMPUTED_VALUE"""),"5368258_1284670")</f>
        <v>5368258_1284670</v>
      </c>
      <c r="B1772" s="43" t="str">
        <f>IFERROR(__xludf.DUMMYFUNCTION("""COMPUTED_VALUE"""),"nada farhat")</f>
        <v>nada farhat</v>
      </c>
      <c r="C1772" s="43" t="str">
        <f>IFERROR(__xludf.DUMMYFUNCTION("""COMPUTED_VALUE"""),"approved")</f>
        <v>approved</v>
      </c>
      <c r="D1772" s="43" t="str">
        <f>IFERROR(__xludf.DUMMYFUNCTION("""COMPUTED_VALUE"""),"No")</f>
        <v>No</v>
      </c>
      <c r="E1772" s="43" t="str">
        <f>IFERROR(__xludf.DUMMYFUNCTION("""COMPUTED_VALUE"""),"p_1b5f2ba6f8e259733f37e713116015fa47e29429@inbound.aiesec.org")</f>
        <v>p_1b5f2ba6f8e259733f37e713116015fa47e29429@inbound.aiesec.org</v>
      </c>
      <c r="F1772" s="43">
        <f>IFERROR(__xludf.DUMMYFUNCTION("""COMPUTED_VALUE"""),2.864874E7)</f>
        <v>28648740</v>
      </c>
      <c r="G1772" s="43" t="str">
        <f>IFERROR(__xludf.DUMMYFUNCTION("""COMPUTED_VALUE"""),"Tunisia")</f>
        <v>Tunisia</v>
      </c>
      <c r="H1772" s="43" t="str">
        <f>IFERROR(__xludf.DUMMYFUNCTION("""COMPUTED_VALUE"""),"BARDO")</f>
        <v>BARDO</v>
      </c>
      <c r="I1772" s="43" t="str">
        <f>IFERROR(__xludf.DUMMYFUNCTION("""COMPUTED_VALUE"""),"Turkey")</f>
        <v>Turkey</v>
      </c>
      <c r="J1772" s="43" t="str">
        <f>IFERROR(__xludf.DUMMYFUNCTION("""COMPUTED_VALUE"""),"ISTANBUL")</f>
        <v>ISTANBUL</v>
      </c>
      <c r="K1772" s="44" t="str">
        <f>IFERROR(__xludf.DUMMYFUNCTION("""COMPUTED_VALUE"""),"https://expa.aiesec.org/opportunities/1284670")</f>
        <v>https://expa.aiesec.org/opportunities/1284670</v>
      </c>
      <c r="L1772" s="43" t="str">
        <f>IFERROR(__xludf.DUMMYFUNCTION("""COMPUTED_VALUE"""),"GV")</f>
        <v>GV</v>
      </c>
      <c r="M1772" s="43" t="str">
        <f>IFERROR(__xludf.DUMMYFUNCTION("""COMPUTED_VALUE"""),"short")</f>
        <v>short</v>
      </c>
      <c r="N1772" s="45">
        <f>IFERROR(__xludf.DUMMYFUNCTION("""COMPUTED_VALUE"""),45271.0)</f>
        <v>45271</v>
      </c>
      <c r="O1772" s="45">
        <f>IFERROR(__xludf.DUMMYFUNCTION("""COMPUTED_VALUE"""),45476.0)</f>
        <v>45476</v>
      </c>
      <c r="P1772" s="45">
        <f>IFERROR(__xludf.DUMMYFUNCTION("""COMPUTED_VALUE"""),45518.0)</f>
        <v>45518</v>
      </c>
      <c r="Q1772" s="45"/>
      <c r="R1772" s="45"/>
      <c r="S1772" s="43"/>
      <c r="T1772" s="43"/>
      <c r="U1772" s="43" t="str">
        <f>IFERROR(__xludf.DUMMYFUNCTION("""COMPUTED_VALUE"""),"Heartbeat")</f>
        <v>Heartbeat</v>
      </c>
      <c r="V1772" s="43" t="str">
        <f>IFERROR(__xludf.DUMMYFUNCTION("""COMPUTED_VALUE"""),"ISEAHT")</f>
        <v>ISEAHT</v>
      </c>
      <c r="W1772" s="43" t="str">
        <f>IFERROR(__xludf.DUMMYFUNCTION("""COMPUTED_VALUE"""),"2023-11-07T13:23:14Z")</f>
        <v>2023-11-07T13:23:14Z</v>
      </c>
      <c r="X1772" s="43"/>
      <c r="Y1772" s="43"/>
      <c r="Z1772" s="43"/>
    </row>
    <row r="1773" hidden="1">
      <c r="A1773" s="43" t="str">
        <f>IFERROR(__xludf.DUMMYFUNCTION("""COMPUTED_VALUE"""),"5386279_1291252")</f>
        <v>5386279_1291252</v>
      </c>
      <c r="B1773" s="43" t="str">
        <f>IFERROR(__xludf.DUMMYFUNCTION("""COMPUTED_VALUE"""),"Amal Triqui")</f>
        <v>Amal Triqui</v>
      </c>
      <c r="C1773" s="43" t="str">
        <f>IFERROR(__xludf.DUMMYFUNCTION("""COMPUTED_VALUE"""),"approved")</f>
        <v>approved</v>
      </c>
      <c r="D1773" s="43" t="str">
        <f>IFERROR(__xludf.DUMMYFUNCTION("""COMPUTED_VALUE"""),"No")</f>
        <v>No</v>
      </c>
      <c r="E1773" s="43" t="str">
        <f>IFERROR(__xludf.DUMMYFUNCTION("""COMPUTED_VALUE"""),"p_62f8e0f88e6932c10af65573f3bce30ade817db0@inbound.aiesec.org")</f>
        <v>p_62f8e0f88e6932c10af65573f3bce30ade817db0@inbound.aiesec.org</v>
      </c>
      <c r="F1773" s="43">
        <f>IFERROR(__xludf.DUMMYFUNCTION("""COMPUTED_VALUE"""),2.7383158E7)</f>
        <v>27383158</v>
      </c>
      <c r="G1773" s="43" t="str">
        <f>IFERROR(__xludf.DUMMYFUNCTION("""COMPUTED_VALUE"""),"Tunisia")</f>
        <v>Tunisia</v>
      </c>
      <c r="H1773" s="43" t="str">
        <f>IFERROR(__xludf.DUMMYFUNCTION("""COMPUTED_VALUE"""),"BARDO")</f>
        <v>BARDO</v>
      </c>
      <c r="I1773" s="43" t="str">
        <f>IFERROR(__xludf.DUMMYFUNCTION("""COMPUTED_VALUE"""),"Turkey")</f>
        <v>Turkey</v>
      </c>
      <c r="J1773" s="43" t="str">
        <f>IFERROR(__xludf.DUMMYFUNCTION("""COMPUTED_VALUE"""),"KOCAELI")</f>
        <v>KOCAELI</v>
      </c>
      <c r="K1773" s="44" t="str">
        <f>IFERROR(__xludf.DUMMYFUNCTION("""COMPUTED_VALUE"""),"https://expa.aiesec.org/opportunities/1291252")</f>
        <v>https://expa.aiesec.org/opportunities/1291252</v>
      </c>
      <c r="L1773" s="43" t="str">
        <f>IFERROR(__xludf.DUMMYFUNCTION("""COMPUTED_VALUE"""),"GV")</f>
        <v>GV</v>
      </c>
      <c r="M1773" s="43" t="str">
        <f>IFERROR(__xludf.DUMMYFUNCTION("""COMPUTED_VALUE"""),"short")</f>
        <v>short</v>
      </c>
      <c r="N1773" s="45">
        <f>IFERROR(__xludf.DUMMYFUNCTION("""COMPUTED_VALUE"""),45271.0)</f>
        <v>45271</v>
      </c>
      <c r="O1773" s="45">
        <f>IFERROR(__xludf.DUMMYFUNCTION("""COMPUTED_VALUE"""),45523.0)</f>
        <v>45523</v>
      </c>
      <c r="P1773" s="45">
        <f>IFERROR(__xludf.DUMMYFUNCTION("""COMPUTED_VALUE"""),45565.0)</f>
        <v>45565</v>
      </c>
      <c r="Q1773" s="45"/>
      <c r="R1773" s="45"/>
      <c r="S1773" s="43"/>
      <c r="T1773" s="43"/>
      <c r="U1773" s="43" t="str">
        <f>IFERROR(__xludf.DUMMYFUNCTION("""COMPUTED_VALUE"""),"Global Classroom")</f>
        <v>Global Classroom</v>
      </c>
      <c r="V1773" s="43" t="str">
        <f>IFERROR(__xludf.DUMMYFUNCTION("""COMPUTED_VALUE"""),"ESPRIT School of Business")</f>
        <v>ESPRIT School of Business</v>
      </c>
      <c r="W1773" s="43" t="str">
        <f>IFERROR(__xludf.DUMMYFUNCTION("""COMPUTED_VALUE"""),"2023-12-06T14:42:36Z")</f>
        <v>2023-12-06T14:42:36Z</v>
      </c>
      <c r="X1773" s="43"/>
      <c r="Y1773" s="43"/>
      <c r="Z1773" s="43"/>
    </row>
    <row r="1774" hidden="1">
      <c r="A1774" s="43" t="str">
        <f>IFERROR(__xludf.DUMMYFUNCTION("""COMPUTED_VALUE"""),"5325981_1296670")</f>
        <v>5325981_1296670</v>
      </c>
      <c r="B1774" s="43" t="str">
        <f>IFERROR(__xludf.DUMMYFUNCTION("""COMPUTED_VALUE"""),"Firas Khaled")</f>
        <v>Firas Khaled</v>
      </c>
      <c r="C1774" s="43" t="str">
        <f>IFERROR(__xludf.DUMMYFUNCTION("""COMPUTED_VALUE"""),"approved")</f>
        <v>approved</v>
      </c>
      <c r="D1774" s="43" t="str">
        <f>IFERROR(__xludf.DUMMYFUNCTION("""COMPUTED_VALUE"""),"No")</f>
        <v>No</v>
      </c>
      <c r="E1774" s="43" t="str">
        <f>IFERROR(__xludf.DUMMYFUNCTION("""COMPUTED_VALUE"""),"p_c383da69db4e8be67b451691c167ce2cb89af749@inbound.aiesec.org")</f>
        <v>p_c383da69db4e8be67b451691c167ce2cb89af749@inbound.aiesec.org</v>
      </c>
      <c r="F1774" s="43">
        <f>IFERROR(__xludf.DUMMYFUNCTION("""COMPUTED_VALUE"""),9.4810493E7)</f>
        <v>94810493</v>
      </c>
      <c r="G1774" s="43" t="str">
        <f>IFERROR(__xludf.DUMMYFUNCTION("""COMPUTED_VALUE"""),"Tunisia")</f>
        <v>Tunisia</v>
      </c>
      <c r="H1774" s="43" t="str">
        <f>IFERROR(__xludf.DUMMYFUNCTION("""COMPUTED_VALUE"""),"UNIVERSITY")</f>
        <v>UNIVERSITY</v>
      </c>
      <c r="I1774" s="43" t="str">
        <f>IFERROR(__xludf.DUMMYFUNCTION("""COMPUTED_VALUE"""),"Turkey")</f>
        <v>Turkey</v>
      </c>
      <c r="J1774" s="43" t="str">
        <f>IFERROR(__xludf.DUMMYFUNCTION("""COMPUTED_VALUE"""),"BURSA")</f>
        <v>BURSA</v>
      </c>
      <c r="K1774" s="44" t="str">
        <f>IFERROR(__xludf.DUMMYFUNCTION("""COMPUTED_VALUE"""),"https://expa.aiesec.org/opportunities/1296670")</f>
        <v>https://expa.aiesec.org/opportunities/1296670</v>
      </c>
      <c r="L1774" s="43" t="str">
        <f>IFERROR(__xludf.DUMMYFUNCTION("""COMPUTED_VALUE"""),"GV")</f>
        <v>GV</v>
      </c>
      <c r="M1774" s="43" t="str">
        <f>IFERROR(__xludf.DUMMYFUNCTION("""COMPUTED_VALUE"""),"short")</f>
        <v>short</v>
      </c>
      <c r="N1774" s="45">
        <f>IFERROR(__xludf.DUMMYFUNCTION("""COMPUTED_VALUE"""),45272.0)</f>
        <v>45272</v>
      </c>
      <c r="O1774" s="45">
        <f>IFERROR(__xludf.DUMMYFUNCTION("""COMPUTED_VALUE"""),45417.0)</f>
        <v>45417</v>
      </c>
      <c r="P1774" s="45">
        <f>IFERROR(__xludf.DUMMYFUNCTION("""COMPUTED_VALUE"""),45459.0)</f>
        <v>45459</v>
      </c>
      <c r="Q1774" s="45"/>
      <c r="R1774" s="45"/>
      <c r="S1774" s="43"/>
      <c r="T1774" s="43"/>
      <c r="U1774" s="43" t="str">
        <f>IFERROR(__xludf.DUMMYFUNCTION("""COMPUTED_VALUE"""),"Youth 4 Impact")</f>
        <v>Youth 4 Impact</v>
      </c>
      <c r="V1774" s="43" t="str">
        <f>IFERROR(__xludf.DUMMYFUNCTION("""COMPUTED_VALUE"""),"ISSHT")</f>
        <v>ISSHT</v>
      </c>
      <c r="W1774" s="43" t="str">
        <f>IFERROR(__xludf.DUMMYFUNCTION("""COMPUTED_VALUE"""),"2023-09-17T10:31:23Z")</f>
        <v>2023-09-17T10:31:23Z</v>
      </c>
      <c r="X1774" s="43"/>
      <c r="Y1774" s="43"/>
      <c r="Z1774" s="43"/>
    </row>
    <row r="1775" hidden="1">
      <c r="A1775" s="43" t="str">
        <f>IFERROR(__xludf.DUMMYFUNCTION("""COMPUTED_VALUE"""),"5380495_1291252")</f>
        <v>5380495_1291252</v>
      </c>
      <c r="B1775" s="43" t="str">
        <f>IFERROR(__xludf.DUMMYFUNCTION("""COMPUTED_VALUE"""),"sahar khalfelleoui")</f>
        <v>sahar khalfelleoui</v>
      </c>
      <c r="C1775" s="43" t="str">
        <f>IFERROR(__xludf.DUMMYFUNCTION("""COMPUTED_VALUE"""),"approved")</f>
        <v>approved</v>
      </c>
      <c r="D1775" s="43" t="str">
        <f>IFERROR(__xludf.DUMMYFUNCTION("""COMPUTED_VALUE"""),"No")</f>
        <v>No</v>
      </c>
      <c r="E1775" s="43" t="str">
        <f>IFERROR(__xludf.DUMMYFUNCTION("""COMPUTED_VALUE"""),"p_42b486cc1beda2acad24fc62e5962c08db5530c0@inbound.aiesec.org")</f>
        <v>p_42b486cc1beda2acad24fc62e5962c08db5530c0@inbound.aiesec.org</v>
      </c>
      <c r="F1775" s="43">
        <f>IFERROR(__xludf.DUMMYFUNCTION("""COMPUTED_VALUE"""),5.0741479E7)</f>
        <v>50741479</v>
      </c>
      <c r="G1775" s="43" t="str">
        <f>IFERROR(__xludf.DUMMYFUNCTION("""COMPUTED_VALUE"""),"Tunisia")</f>
        <v>Tunisia</v>
      </c>
      <c r="H1775" s="43" t="str">
        <f>IFERROR(__xludf.DUMMYFUNCTION("""COMPUTED_VALUE"""),"BARDO")</f>
        <v>BARDO</v>
      </c>
      <c r="I1775" s="43" t="str">
        <f>IFERROR(__xludf.DUMMYFUNCTION("""COMPUTED_VALUE"""),"Turkey")</f>
        <v>Turkey</v>
      </c>
      <c r="J1775" s="43" t="str">
        <f>IFERROR(__xludf.DUMMYFUNCTION("""COMPUTED_VALUE"""),"KOCAELI")</f>
        <v>KOCAELI</v>
      </c>
      <c r="K1775" s="44" t="str">
        <f>IFERROR(__xludf.DUMMYFUNCTION("""COMPUTED_VALUE"""),"https://expa.aiesec.org/opportunities/1291252")</f>
        <v>https://expa.aiesec.org/opportunities/1291252</v>
      </c>
      <c r="L1775" s="43" t="str">
        <f>IFERROR(__xludf.DUMMYFUNCTION("""COMPUTED_VALUE"""),"GV")</f>
        <v>GV</v>
      </c>
      <c r="M1775" s="43" t="str">
        <f>IFERROR(__xludf.DUMMYFUNCTION("""COMPUTED_VALUE"""),"short")</f>
        <v>short</v>
      </c>
      <c r="N1775" s="45">
        <f>IFERROR(__xludf.DUMMYFUNCTION("""COMPUTED_VALUE"""),45272.0)</f>
        <v>45272</v>
      </c>
      <c r="O1775" s="45">
        <f>IFERROR(__xludf.DUMMYFUNCTION("""COMPUTED_VALUE"""),45523.0)</f>
        <v>45523</v>
      </c>
      <c r="P1775" s="45">
        <f>IFERROR(__xludf.DUMMYFUNCTION("""COMPUTED_VALUE"""),45565.0)</f>
        <v>45565</v>
      </c>
      <c r="Q1775" s="45"/>
      <c r="R1775" s="45"/>
      <c r="S1775" s="43"/>
      <c r="T1775" s="43"/>
      <c r="U1775" s="43" t="str">
        <f>IFERROR(__xludf.DUMMYFUNCTION("""COMPUTED_VALUE"""),"Global Classroom")</f>
        <v>Global Classroom</v>
      </c>
      <c r="V1775" s="43" t="str">
        <f>IFERROR(__xludf.DUMMYFUNCTION("""COMPUTED_VALUE"""),"ESPRIT School of Business")</f>
        <v>ESPRIT School of Business</v>
      </c>
      <c r="W1775" s="43" t="str">
        <f>IFERROR(__xludf.DUMMYFUNCTION("""COMPUTED_VALUE"""),"2023-11-26T22:23:08Z")</f>
        <v>2023-11-26T22:23:08Z</v>
      </c>
      <c r="X1775" s="43"/>
      <c r="Y1775" s="43"/>
      <c r="Z1775" s="43"/>
    </row>
    <row r="1776" hidden="1">
      <c r="A1776" s="43" t="str">
        <f>IFERROR(__xludf.DUMMYFUNCTION("""COMPUTED_VALUE"""),"5354331_1288490")</f>
        <v>5354331_1288490</v>
      </c>
      <c r="B1776" s="43" t="str">
        <f>IFERROR(__xludf.DUMMYFUNCTION("""COMPUTED_VALUE"""),"Li'ang Zhou")</f>
        <v>Li'ang Zhou</v>
      </c>
      <c r="C1776" s="43" t="str">
        <f>IFERROR(__xludf.DUMMYFUNCTION("""COMPUTED_VALUE"""),"realized")</f>
        <v>realized</v>
      </c>
      <c r="D1776" s="43" t="str">
        <f>IFERROR(__xludf.DUMMYFUNCTION("""COMPUTED_VALUE"""),"No")</f>
        <v>No</v>
      </c>
      <c r="E1776" s="43" t="str">
        <f>IFERROR(__xludf.DUMMYFUNCTION("""COMPUTED_VALUE"""),"p_812703c5a48579f292023024aee225581a4b9b1d@inbound.aiesec.org")</f>
        <v>p_812703c5a48579f292023024aee225581a4b9b1d@inbound.aiesec.org</v>
      </c>
      <c r="F1776" s="43">
        <f>IFERROR(__xludf.DUMMYFUNCTION("""COMPUTED_VALUE"""),1.3958688398E10)</f>
        <v>13958688398</v>
      </c>
      <c r="G1776" s="43" t="str">
        <f>IFERROR(__xludf.DUMMYFUNCTION("""COMPUTED_VALUE"""),"Mainland of China")</f>
        <v>Mainland of China</v>
      </c>
      <c r="H1776" s="43" t="str">
        <f>IFERROR(__xludf.DUMMYFUNCTION("""COMPUTED_VALUE"""),"Ningbo")</f>
        <v>Ningbo</v>
      </c>
      <c r="I1776" s="43" t="str">
        <f>IFERROR(__xludf.DUMMYFUNCTION("""COMPUTED_VALUE"""),"Turkey")</f>
        <v>Turkey</v>
      </c>
      <c r="J1776" s="43" t="str">
        <f>IFERROR(__xludf.DUMMYFUNCTION("""COMPUTED_VALUE"""),"ISPARTA")</f>
        <v>ISPARTA</v>
      </c>
      <c r="K1776" s="44" t="str">
        <f>IFERROR(__xludf.DUMMYFUNCTION("""COMPUTED_VALUE"""),"https://expa.aiesec.org/opportunities/1288490")</f>
        <v>https://expa.aiesec.org/opportunities/1288490</v>
      </c>
      <c r="L1776" s="43" t="str">
        <f>IFERROR(__xludf.DUMMYFUNCTION("""COMPUTED_VALUE"""),"GV")</f>
        <v>GV</v>
      </c>
      <c r="M1776" s="43" t="str">
        <f>IFERROR(__xludf.DUMMYFUNCTION("""COMPUTED_VALUE"""),"short")</f>
        <v>short</v>
      </c>
      <c r="N1776" s="45">
        <f>IFERROR(__xludf.DUMMYFUNCTION("""COMPUTED_VALUE"""),45272.0)</f>
        <v>45272</v>
      </c>
      <c r="O1776" s="45">
        <f>IFERROR(__xludf.DUMMYFUNCTION("""COMPUTED_VALUE"""),45306.0)</f>
        <v>45306</v>
      </c>
      <c r="P1776" s="45">
        <f>IFERROR(__xludf.DUMMYFUNCTION("""COMPUTED_VALUE"""),45348.0)</f>
        <v>45348</v>
      </c>
      <c r="Q1776" s="45">
        <f>IFERROR(__xludf.DUMMYFUNCTION("""COMPUTED_VALUE"""),45313.0)</f>
        <v>45313</v>
      </c>
      <c r="R1776" s="45">
        <f>IFERROR(__xludf.DUMMYFUNCTION("""COMPUTED_VALUE"""),45353.0)</f>
        <v>45353</v>
      </c>
      <c r="S1776" s="43"/>
      <c r="T1776" s="43"/>
      <c r="U1776" s="43" t="str">
        <f>IFERROR(__xludf.DUMMYFUNCTION("""COMPUTED_VALUE"""),"Global Classroom")</f>
        <v>Global Classroom</v>
      </c>
      <c r="V1776" s="43" t="str">
        <f>IFERROR(__xludf.DUMMYFUNCTION("""COMPUTED_VALUE"""),"NINGBO 宁波")</f>
        <v>NINGBO 宁波</v>
      </c>
      <c r="W1776" s="43" t="str">
        <f>IFERROR(__xludf.DUMMYFUNCTION("""COMPUTED_VALUE"""),"2023-10-18T08:26:02Z")</f>
        <v>2023-10-18T08:26:02Z</v>
      </c>
      <c r="X1776" s="43"/>
      <c r="Y1776" s="43"/>
      <c r="Z1776" s="43"/>
    </row>
    <row r="1777" hidden="1">
      <c r="A1777" s="43" t="str">
        <f>IFERROR(__xludf.DUMMYFUNCTION("""COMPUTED_VALUE"""),"5389271_1291252")</f>
        <v>5389271_1291252</v>
      </c>
      <c r="B1777" s="43" t="str">
        <f>IFERROR(__xludf.DUMMYFUNCTION("""COMPUTED_VALUE"""),"racil ayachi")</f>
        <v>racil ayachi</v>
      </c>
      <c r="C1777" s="43" t="str">
        <f>IFERROR(__xludf.DUMMYFUNCTION("""COMPUTED_VALUE"""),"approved")</f>
        <v>approved</v>
      </c>
      <c r="D1777" s="43" t="str">
        <f>IFERROR(__xludf.DUMMYFUNCTION("""COMPUTED_VALUE"""),"No")</f>
        <v>No</v>
      </c>
      <c r="E1777" s="43" t="str">
        <f>IFERROR(__xludf.DUMMYFUNCTION("""COMPUTED_VALUE"""),"p_128b61f35093827045dbf147f7ae493ebbea593f@inbound.aiesec.org")</f>
        <v>p_128b61f35093827045dbf147f7ae493ebbea593f@inbound.aiesec.org</v>
      </c>
      <c r="F1777" s="43">
        <f>IFERROR(__xludf.DUMMYFUNCTION("""COMPUTED_VALUE"""),5.075564E7)</f>
        <v>50755640</v>
      </c>
      <c r="G1777" s="43" t="str">
        <f>IFERROR(__xludf.DUMMYFUNCTION("""COMPUTED_VALUE"""),"Tunisia")</f>
        <v>Tunisia</v>
      </c>
      <c r="H1777" s="43" t="str">
        <f>IFERROR(__xludf.DUMMYFUNCTION("""COMPUTED_VALUE"""),"HADRUMET")</f>
        <v>HADRUMET</v>
      </c>
      <c r="I1777" s="43" t="str">
        <f>IFERROR(__xludf.DUMMYFUNCTION("""COMPUTED_VALUE"""),"Turkey")</f>
        <v>Turkey</v>
      </c>
      <c r="J1777" s="43" t="str">
        <f>IFERROR(__xludf.DUMMYFUNCTION("""COMPUTED_VALUE"""),"KOCAELI")</f>
        <v>KOCAELI</v>
      </c>
      <c r="K1777" s="44" t="str">
        <f>IFERROR(__xludf.DUMMYFUNCTION("""COMPUTED_VALUE"""),"https://expa.aiesec.org/opportunities/1291252")</f>
        <v>https://expa.aiesec.org/opportunities/1291252</v>
      </c>
      <c r="L1777" s="43" t="str">
        <f>IFERROR(__xludf.DUMMYFUNCTION("""COMPUTED_VALUE"""),"GV")</f>
        <v>GV</v>
      </c>
      <c r="M1777" s="43" t="str">
        <f>IFERROR(__xludf.DUMMYFUNCTION("""COMPUTED_VALUE"""),"short")</f>
        <v>short</v>
      </c>
      <c r="N1777" s="45">
        <f>IFERROR(__xludf.DUMMYFUNCTION("""COMPUTED_VALUE"""),45272.0)</f>
        <v>45272</v>
      </c>
      <c r="O1777" s="45">
        <f>IFERROR(__xludf.DUMMYFUNCTION("""COMPUTED_VALUE"""),45446.0)</f>
        <v>45446</v>
      </c>
      <c r="P1777" s="45">
        <f>IFERROR(__xludf.DUMMYFUNCTION("""COMPUTED_VALUE"""),45488.0)</f>
        <v>45488</v>
      </c>
      <c r="Q1777" s="45"/>
      <c r="R1777" s="45"/>
      <c r="S1777" s="43"/>
      <c r="T1777" s="43"/>
      <c r="U1777" s="43" t="str">
        <f>IFERROR(__xludf.DUMMYFUNCTION("""COMPUTED_VALUE"""),"Global Classroom")</f>
        <v>Global Classroom</v>
      </c>
      <c r="V1777" s="43" t="str">
        <f>IFERROR(__xludf.DUMMYFUNCTION("""COMPUTED_VALUE"""),"FMS (Faculté de Médecine de Sousse)")</f>
        <v>FMS (Faculté de Médecine de Sousse)</v>
      </c>
      <c r="W1777" s="43" t="str">
        <f>IFERROR(__xludf.DUMMYFUNCTION("""COMPUTED_VALUE"""),"2023-12-12T21:12:19Z")</f>
        <v>2023-12-12T21:12:19Z</v>
      </c>
      <c r="X1777" s="43"/>
      <c r="Y1777" s="43"/>
      <c r="Z1777" s="43"/>
    </row>
    <row r="1778" hidden="1">
      <c r="A1778" s="43" t="str">
        <f>IFERROR(__xludf.DUMMYFUNCTION("""COMPUTED_VALUE"""),"5389268_1301801")</f>
        <v>5389268_1301801</v>
      </c>
      <c r="B1778" s="43" t="str">
        <f>IFERROR(__xludf.DUMMYFUNCTION("""COMPUTED_VALUE"""),"mayssa amri")</f>
        <v>mayssa amri</v>
      </c>
      <c r="C1778" s="43" t="str">
        <f>IFERROR(__xludf.DUMMYFUNCTION("""COMPUTED_VALUE"""),"approved")</f>
        <v>approved</v>
      </c>
      <c r="D1778" s="43" t="str">
        <f>IFERROR(__xludf.DUMMYFUNCTION("""COMPUTED_VALUE"""),"No")</f>
        <v>No</v>
      </c>
      <c r="E1778" s="43" t="str">
        <f>IFERROR(__xludf.DUMMYFUNCTION("""COMPUTED_VALUE"""),"p_89a44e9755bf6114e172e95e96ecf007416f6d2b@inbound.aiesec.org")</f>
        <v>p_89a44e9755bf6114e172e95e96ecf007416f6d2b@inbound.aiesec.org</v>
      </c>
      <c r="F1778" s="43">
        <f>IFERROR(__xludf.DUMMYFUNCTION("""COMPUTED_VALUE"""),5.3981049E7)</f>
        <v>53981049</v>
      </c>
      <c r="G1778" s="43" t="str">
        <f>IFERROR(__xludf.DUMMYFUNCTION("""COMPUTED_VALUE"""),"Tunisia")</f>
        <v>Tunisia</v>
      </c>
      <c r="H1778" s="43" t="str">
        <f>IFERROR(__xludf.DUMMYFUNCTION("""COMPUTED_VALUE"""),"HADRUMET")</f>
        <v>HADRUMET</v>
      </c>
      <c r="I1778" s="43" t="str">
        <f>IFERROR(__xludf.DUMMYFUNCTION("""COMPUTED_VALUE"""),"Turkey")</f>
        <v>Turkey</v>
      </c>
      <c r="J1778" s="43" t="str">
        <f>IFERROR(__xludf.DUMMYFUNCTION("""COMPUTED_VALUE"""),"KOCAELI")</f>
        <v>KOCAELI</v>
      </c>
      <c r="K1778" s="44" t="str">
        <f>IFERROR(__xludf.DUMMYFUNCTION("""COMPUTED_VALUE"""),"https://expa.aiesec.org/opportunities/1301801")</f>
        <v>https://expa.aiesec.org/opportunities/1301801</v>
      </c>
      <c r="L1778" s="43" t="str">
        <f>IFERROR(__xludf.DUMMYFUNCTION("""COMPUTED_VALUE"""),"GV")</f>
        <v>GV</v>
      </c>
      <c r="M1778" s="43" t="str">
        <f>IFERROR(__xludf.DUMMYFUNCTION("""COMPUTED_VALUE"""),"short")</f>
        <v>short</v>
      </c>
      <c r="N1778" s="45">
        <f>IFERROR(__xludf.DUMMYFUNCTION("""COMPUTED_VALUE"""),45272.0)</f>
        <v>45272</v>
      </c>
      <c r="O1778" s="45">
        <f>IFERROR(__xludf.DUMMYFUNCTION("""COMPUTED_VALUE"""),45453.0)</f>
        <v>45453</v>
      </c>
      <c r="P1778" s="45">
        <f>IFERROR(__xludf.DUMMYFUNCTION("""COMPUTED_VALUE"""),45495.0)</f>
        <v>45495</v>
      </c>
      <c r="Q1778" s="45"/>
      <c r="R1778" s="45"/>
      <c r="S1778" s="43"/>
      <c r="T1778" s="43"/>
      <c r="U1778" s="43" t="str">
        <f>IFERROR(__xludf.DUMMYFUNCTION("""COMPUTED_VALUE"""),"Global Classroom")</f>
        <v>Global Classroom</v>
      </c>
      <c r="V1778" s="43" t="str">
        <f>IFERROR(__xludf.DUMMYFUNCTION("""COMPUTED_VALUE"""),"FMS (Faculté de Médecine de Sousse)")</f>
        <v>FMS (Faculté de Médecine de Sousse)</v>
      </c>
      <c r="W1778" s="43" t="str">
        <f>IFERROR(__xludf.DUMMYFUNCTION("""COMPUTED_VALUE"""),"2023-12-12T20:59:41Z")</f>
        <v>2023-12-12T20:59:41Z</v>
      </c>
      <c r="X1778" s="43"/>
      <c r="Y1778" s="43"/>
      <c r="Z1778" s="43"/>
    </row>
    <row r="1779" hidden="1">
      <c r="A1779" s="43" t="str">
        <f>IFERROR(__xludf.DUMMYFUNCTION("""COMPUTED_VALUE"""),"5387850_1300326")</f>
        <v>5387850_1300326</v>
      </c>
      <c r="B1779" s="43" t="str">
        <f>IFERROR(__xludf.DUMMYFUNCTION("""COMPUTED_VALUE"""),"Malak Hassaan")</f>
        <v>Malak Hassaan</v>
      </c>
      <c r="C1779" s="43" t="str">
        <f>IFERROR(__xludf.DUMMYFUNCTION("""COMPUTED_VALUE"""),"approved")</f>
        <v>approved</v>
      </c>
      <c r="D1779" s="43" t="str">
        <f>IFERROR(__xludf.DUMMYFUNCTION("""COMPUTED_VALUE"""),"No")</f>
        <v>No</v>
      </c>
      <c r="E1779" s="43" t="str">
        <f>IFERROR(__xludf.DUMMYFUNCTION("""COMPUTED_VALUE"""),"p_5d68960bf345638c95d17c160f0170af652a9f33@inbound.aiesec.org")</f>
        <v>p_5d68960bf345638c95d17c160f0170af652a9f33@inbound.aiesec.org</v>
      </c>
      <c r="F1779" s="43">
        <f>IFERROR(__xludf.DUMMYFUNCTION("""COMPUTED_VALUE"""),1.096688245E9)</f>
        <v>1096688245</v>
      </c>
      <c r="G1779" s="43" t="str">
        <f>IFERROR(__xludf.DUMMYFUNCTION("""COMPUTED_VALUE"""),"Egypt")</f>
        <v>Egypt</v>
      </c>
      <c r="H1779" s="43" t="str">
        <f>IFERROR(__xludf.DUMMYFUNCTION("""COMPUTED_VALUE"""),"6th October University")</f>
        <v>6th October University</v>
      </c>
      <c r="I1779" s="43" t="str">
        <f>IFERROR(__xludf.DUMMYFUNCTION("""COMPUTED_VALUE"""),"Turkey")</f>
        <v>Turkey</v>
      </c>
      <c r="J1779" s="43" t="str">
        <f>IFERROR(__xludf.DUMMYFUNCTION("""COMPUTED_VALUE"""),"GAZIANTEP")</f>
        <v>GAZIANTEP</v>
      </c>
      <c r="K1779" s="44" t="str">
        <f>IFERROR(__xludf.DUMMYFUNCTION("""COMPUTED_VALUE"""),"https://expa.aiesec.org/opportunities/1300326")</f>
        <v>https://expa.aiesec.org/opportunities/1300326</v>
      </c>
      <c r="L1779" s="43" t="str">
        <f>IFERROR(__xludf.DUMMYFUNCTION("""COMPUTED_VALUE"""),"GV")</f>
        <v>GV</v>
      </c>
      <c r="M1779" s="43" t="str">
        <f>IFERROR(__xludf.DUMMYFUNCTION("""COMPUTED_VALUE"""),"short")</f>
        <v>short</v>
      </c>
      <c r="N1779" s="45">
        <f>IFERROR(__xludf.DUMMYFUNCTION("""COMPUTED_VALUE"""),45273.0)</f>
        <v>45273</v>
      </c>
      <c r="O1779" s="45">
        <f>IFERROR(__xludf.DUMMYFUNCTION("""COMPUTED_VALUE"""),45331.0)</f>
        <v>45331</v>
      </c>
      <c r="P1779" s="45">
        <f>IFERROR(__xludf.DUMMYFUNCTION("""COMPUTED_VALUE"""),45373.0)</f>
        <v>45373</v>
      </c>
      <c r="Q1779" s="45"/>
      <c r="R1779" s="45"/>
      <c r="S1779" s="43"/>
      <c r="T1779" s="43"/>
      <c r="U1779" s="43" t="str">
        <f>IFERROR(__xludf.DUMMYFUNCTION("""COMPUTED_VALUE"""),"Global Classroom")</f>
        <v>Global Classroom</v>
      </c>
      <c r="V1779" s="43" t="str">
        <f>IFERROR(__xludf.DUMMYFUNCTION("""COMPUTED_VALUE"""),"6th of October University")</f>
        <v>6th of October University</v>
      </c>
      <c r="W1779" s="43" t="str">
        <f>IFERROR(__xludf.DUMMYFUNCTION("""COMPUTED_VALUE"""),"2023-12-09T16:06:10Z")</f>
        <v>2023-12-09T16:06:10Z</v>
      </c>
      <c r="X1779" s="43"/>
      <c r="Y1779" s="43"/>
      <c r="Z1779" s="43"/>
    </row>
    <row r="1780" hidden="1">
      <c r="A1780" s="43" t="str">
        <f>IFERROR(__xludf.DUMMYFUNCTION("""COMPUTED_VALUE"""),"5372509_1287628")</f>
        <v>5372509_1287628</v>
      </c>
      <c r="B1780" s="43" t="str">
        <f>IFERROR(__xludf.DUMMYFUNCTION("""COMPUTED_VALUE"""),"Baha Kalai")</f>
        <v>Baha Kalai</v>
      </c>
      <c r="C1780" s="43" t="str">
        <f>IFERROR(__xludf.DUMMYFUNCTION("""COMPUTED_VALUE"""),"approved")</f>
        <v>approved</v>
      </c>
      <c r="D1780" s="43" t="str">
        <f>IFERROR(__xludf.DUMMYFUNCTION("""COMPUTED_VALUE"""),"No")</f>
        <v>No</v>
      </c>
      <c r="E1780" s="43" t="str">
        <f>IFERROR(__xludf.DUMMYFUNCTION("""COMPUTED_VALUE"""),"p_8f71870fc867b7030446db364358c69060e278ec@inbound.aiesec.org")</f>
        <v>p_8f71870fc867b7030446db364358c69060e278ec@inbound.aiesec.org</v>
      </c>
      <c r="F1780" s="43">
        <f>IFERROR(__xludf.DUMMYFUNCTION("""COMPUTED_VALUE"""),2.8400412E7)</f>
        <v>28400412</v>
      </c>
      <c r="G1780" s="43" t="str">
        <f>IFERROR(__xludf.DUMMYFUNCTION("""COMPUTED_VALUE"""),"Tunisia")</f>
        <v>Tunisia</v>
      </c>
      <c r="H1780" s="43" t="str">
        <f>IFERROR(__xludf.DUMMYFUNCTION("""COMPUTED_VALUE"""),"HADRUMET")</f>
        <v>HADRUMET</v>
      </c>
      <c r="I1780" s="43" t="str">
        <f>IFERROR(__xludf.DUMMYFUNCTION("""COMPUTED_VALUE"""),"Turkey")</f>
        <v>Turkey</v>
      </c>
      <c r="J1780" s="43" t="str">
        <f>IFERROR(__xludf.DUMMYFUNCTION("""COMPUTED_VALUE"""),"KOCAELI")</f>
        <v>KOCAELI</v>
      </c>
      <c r="K1780" s="44" t="str">
        <f>IFERROR(__xludf.DUMMYFUNCTION("""COMPUTED_VALUE"""),"https://expa.aiesec.org/opportunities/1287628")</f>
        <v>https://expa.aiesec.org/opportunities/1287628</v>
      </c>
      <c r="L1780" s="43" t="str">
        <f>IFERROR(__xludf.DUMMYFUNCTION("""COMPUTED_VALUE"""),"GV")</f>
        <v>GV</v>
      </c>
      <c r="M1780" s="43" t="str">
        <f>IFERROR(__xludf.DUMMYFUNCTION("""COMPUTED_VALUE"""),"short")</f>
        <v>short</v>
      </c>
      <c r="N1780" s="45">
        <f>IFERROR(__xludf.DUMMYFUNCTION("""COMPUTED_VALUE"""),45273.0)</f>
        <v>45273</v>
      </c>
      <c r="O1780" s="45">
        <f>IFERROR(__xludf.DUMMYFUNCTION("""COMPUTED_VALUE"""),45474.0)</f>
        <v>45474</v>
      </c>
      <c r="P1780" s="45">
        <f>IFERROR(__xludf.DUMMYFUNCTION("""COMPUTED_VALUE"""),45516.0)</f>
        <v>45516</v>
      </c>
      <c r="Q1780" s="45"/>
      <c r="R1780" s="45"/>
      <c r="S1780" s="43"/>
      <c r="T1780" s="43"/>
      <c r="U1780" s="43" t="str">
        <f>IFERROR(__xludf.DUMMYFUNCTION("""COMPUTED_VALUE"""),"Global Classroom")</f>
        <v>Global Classroom</v>
      </c>
      <c r="V1780" s="43" t="str">
        <f>IFERROR(__xludf.DUMMYFUNCTION("""COMPUTED_VALUE"""),"FLSH Sousse")</f>
        <v>FLSH Sousse</v>
      </c>
      <c r="W1780" s="43" t="str">
        <f>IFERROR(__xludf.DUMMYFUNCTION("""COMPUTED_VALUE"""),"2023-11-14T19:48:31Z")</f>
        <v>2023-11-14T19:48:31Z</v>
      </c>
      <c r="X1780" s="43"/>
      <c r="Y1780" s="43"/>
      <c r="Z1780" s="43"/>
    </row>
    <row r="1781" hidden="1">
      <c r="A1781" s="43" t="str">
        <f>IFERROR(__xludf.DUMMYFUNCTION("""COMPUTED_VALUE"""),"5372423_1279126")</f>
        <v>5372423_1279126</v>
      </c>
      <c r="B1781" s="43" t="str">
        <f>IFERROR(__xludf.DUMMYFUNCTION("""COMPUTED_VALUE"""),"Soltani Chaima")</f>
        <v>Soltani Chaima</v>
      </c>
      <c r="C1781" s="43" t="str">
        <f>IFERROR(__xludf.DUMMYFUNCTION("""COMPUTED_VALUE"""),"approved")</f>
        <v>approved</v>
      </c>
      <c r="D1781" s="43" t="str">
        <f>IFERROR(__xludf.DUMMYFUNCTION("""COMPUTED_VALUE"""),"No")</f>
        <v>No</v>
      </c>
      <c r="E1781" s="43" t="str">
        <f>IFERROR(__xludf.DUMMYFUNCTION("""COMPUTED_VALUE"""),"p_7fdfdafd85fc6ce18a369a51523590fc81ffab43@inbound.aiesec.org")</f>
        <v>p_7fdfdafd85fc6ce18a369a51523590fc81ffab43@inbound.aiesec.org</v>
      </c>
      <c r="F1781" s="43"/>
      <c r="G1781" s="43" t="str">
        <f>IFERROR(__xludf.DUMMYFUNCTION("""COMPUTED_VALUE"""),"Tunisia")</f>
        <v>Tunisia</v>
      </c>
      <c r="H1781" s="43" t="str">
        <f>IFERROR(__xludf.DUMMYFUNCTION("""COMPUTED_VALUE"""),"BARDO")</f>
        <v>BARDO</v>
      </c>
      <c r="I1781" s="43" t="str">
        <f>IFERROR(__xludf.DUMMYFUNCTION("""COMPUTED_VALUE"""),"Turkey")</f>
        <v>Turkey</v>
      </c>
      <c r="J1781" s="43" t="str">
        <f>IFERROR(__xludf.DUMMYFUNCTION("""COMPUTED_VALUE"""),"KOCAELI")</f>
        <v>KOCAELI</v>
      </c>
      <c r="K1781" s="44" t="str">
        <f>IFERROR(__xludf.DUMMYFUNCTION("""COMPUTED_VALUE"""),"https://expa.aiesec.org/opportunities/1279126")</f>
        <v>https://expa.aiesec.org/opportunities/1279126</v>
      </c>
      <c r="L1781" s="43" t="str">
        <f>IFERROR(__xludf.DUMMYFUNCTION("""COMPUTED_VALUE"""),"GV")</f>
        <v>GV</v>
      </c>
      <c r="M1781" s="43" t="str">
        <f>IFERROR(__xludf.DUMMYFUNCTION("""COMPUTED_VALUE"""),"short")</f>
        <v>short</v>
      </c>
      <c r="N1781" s="45">
        <f>IFERROR(__xludf.DUMMYFUNCTION("""COMPUTED_VALUE"""),45273.0)</f>
        <v>45273</v>
      </c>
      <c r="O1781" s="45">
        <f>IFERROR(__xludf.DUMMYFUNCTION("""COMPUTED_VALUE"""),45474.0)</f>
        <v>45474</v>
      </c>
      <c r="P1781" s="45">
        <f>IFERROR(__xludf.DUMMYFUNCTION("""COMPUTED_VALUE"""),45516.0)</f>
        <v>45516</v>
      </c>
      <c r="Q1781" s="45"/>
      <c r="R1781" s="45"/>
      <c r="S1781" s="43"/>
      <c r="T1781" s="43"/>
      <c r="U1781" s="43" t="str">
        <f>IFERROR(__xludf.DUMMYFUNCTION("""COMPUTED_VALUE"""),"Global Classroom")</f>
        <v>Global Classroom</v>
      </c>
      <c r="V1781" s="43" t="str">
        <f>IFERROR(__xludf.DUMMYFUNCTION("""COMPUTED_VALUE"""),"-")</f>
        <v>-</v>
      </c>
      <c r="W1781" s="43" t="str">
        <f>IFERROR(__xludf.DUMMYFUNCTION("""COMPUTED_VALUE"""),"2023-11-14T16:50:21Z")</f>
        <v>2023-11-14T16:50:21Z</v>
      </c>
      <c r="X1781" s="43"/>
      <c r="Y1781" s="43"/>
      <c r="Z1781" s="43"/>
    </row>
    <row r="1782" hidden="1">
      <c r="A1782" s="43" t="str">
        <f>IFERROR(__xludf.DUMMYFUNCTION("""COMPUTED_VALUE"""),"5383978_1287628")</f>
        <v>5383978_1287628</v>
      </c>
      <c r="B1782" s="43" t="str">
        <f>IFERROR(__xludf.DUMMYFUNCTION("""COMPUTED_VALUE"""),"Rahma Matar")</f>
        <v>Rahma Matar</v>
      </c>
      <c r="C1782" s="43" t="str">
        <f>IFERROR(__xludf.DUMMYFUNCTION("""COMPUTED_VALUE"""),"approved")</f>
        <v>approved</v>
      </c>
      <c r="D1782" s="43" t="str">
        <f>IFERROR(__xludf.DUMMYFUNCTION("""COMPUTED_VALUE"""),"No")</f>
        <v>No</v>
      </c>
      <c r="E1782" s="43" t="str">
        <f>IFERROR(__xludf.DUMMYFUNCTION("""COMPUTED_VALUE"""),"p_9db5204c80ebabd057043459133191f7c7e16ad2@inbound.aiesec.org")</f>
        <v>p_9db5204c80ebabd057043459133191f7c7e16ad2@inbound.aiesec.org</v>
      </c>
      <c r="F1782" s="43">
        <f>IFERROR(__xludf.DUMMYFUNCTION("""COMPUTED_VALUE"""),2.092226E7)</f>
        <v>20922260</v>
      </c>
      <c r="G1782" s="43" t="str">
        <f>IFERROR(__xludf.DUMMYFUNCTION("""COMPUTED_VALUE"""),"Tunisia")</f>
        <v>Tunisia</v>
      </c>
      <c r="H1782" s="43" t="str">
        <f>IFERROR(__xludf.DUMMYFUNCTION("""COMPUTED_VALUE"""),"Carthage")</f>
        <v>Carthage</v>
      </c>
      <c r="I1782" s="43" t="str">
        <f>IFERROR(__xludf.DUMMYFUNCTION("""COMPUTED_VALUE"""),"Turkey")</f>
        <v>Turkey</v>
      </c>
      <c r="J1782" s="43" t="str">
        <f>IFERROR(__xludf.DUMMYFUNCTION("""COMPUTED_VALUE"""),"KOCAELI")</f>
        <v>KOCAELI</v>
      </c>
      <c r="K1782" s="44" t="str">
        <f>IFERROR(__xludf.DUMMYFUNCTION("""COMPUTED_VALUE"""),"https://expa.aiesec.org/opportunities/1287628")</f>
        <v>https://expa.aiesec.org/opportunities/1287628</v>
      </c>
      <c r="L1782" s="43" t="str">
        <f>IFERROR(__xludf.DUMMYFUNCTION("""COMPUTED_VALUE"""),"GV")</f>
        <v>GV</v>
      </c>
      <c r="M1782" s="43" t="str">
        <f>IFERROR(__xludf.DUMMYFUNCTION("""COMPUTED_VALUE"""),"short")</f>
        <v>short</v>
      </c>
      <c r="N1782" s="45">
        <f>IFERROR(__xludf.DUMMYFUNCTION("""COMPUTED_VALUE"""),45273.0)</f>
        <v>45273</v>
      </c>
      <c r="O1782" s="45">
        <f>IFERROR(__xludf.DUMMYFUNCTION("""COMPUTED_VALUE"""),45460.0)</f>
        <v>45460</v>
      </c>
      <c r="P1782" s="45">
        <f>IFERROR(__xludf.DUMMYFUNCTION("""COMPUTED_VALUE"""),45502.0)</f>
        <v>45502</v>
      </c>
      <c r="Q1782" s="45"/>
      <c r="R1782" s="45"/>
      <c r="S1782" s="43"/>
      <c r="T1782" s="43"/>
      <c r="U1782" s="43" t="str">
        <f>IFERROR(__xludf.DUMMYFUNCTION("""COMPUTED_VALUE"""),"Global Classroom")</f>
        <v>Global Classroom</v>
      </c>
      <c r="V1782" s="43" t="str">
        <f>IFERROR(__xludf.DUMMYFUNCTION("""COMPUTED_VALUE"""),"ISLT")</f>
        <v>ISLT</v>
      </c>
      <c r="W1782" s="43" t="str">
        <f>IFERROR(__xludf.DUMMYFUNCTION("""COMPUTED_VALUE"""),"2023-12-01T18:31:30Z")</f>
        <v>2023-12-01T18:31:30Z</v>
      </c>
      <c r="X1782" s="43"/>
      <c r="Y1782" s="43"/>
      <c r="Z1782" s="43"/>
    </row>
    <row r="1783" hidden="1">
      <c r="A1783" s="43" t="str">
        <f>IFERROR(__xludf.DUMMYFUNCTION("""COMPUTED_VALUE"""),"5387948_1279126")</f>
        <v>5387948_1279126</v>
      </c>
      <c r="B1783" s="43" t="str">
        <f>IFERROR(__xludf.DUMMYFUNCTION("""COMPUTED_VALUE"""),"abessi rihem")</f>
        <v>abessi rihem</v>
      </c>
      <c r="C1783" s="43" t="str">
        <f>IFERROR(__xludf.DUMMYFUNCTION("""COMPUTED_VALUE"""),"approved")</f>
        <v>approved</v>
      </c>
      <c r="D1783" s="43" t="str">
        <f>IFERROR(__xludf.DUMMYFUNCTION("""COMPUTED_VALUE"""),"No")</f>
        <v>No</v>
      </c>
      <c r="E1783" s="43" t="str">
        <f>IFERROR(__xludf.DUMMYFUNCTION("""COMPUTED_VALUE"""),"p_26ff430348029ee27c0a96dde1e74c776a86c53a@inbound.aiesec.org")</f>
        <v>p_26ff430348029ee27c0a96dde1e74c776a86c53a@inbound.aiesec.org</v>
      </c>
      <c r="F1783" s="43">
        <f>IFERROR(__xludf.DUMMYFUNCTION("""COMPUTED_VALUE"""),5.4444326E7)</f>
        <v>54444326</v>
      </c>
      <c r="G1783" s="43" t="str">
        <f>IFERROR(__xludf.DUMMYFUNCTION("""COMPUTED_VALUE"""),"Tunisia")</f>
        <v>Tunisia</v>
      </c>
      <c r="H1783" s="43" t="str">
        <f>IFERROR(__xludf.DUMMYFUNCTION("""COMPUTED_VALUE"""),"BARDO")</f>
        <v>BARDO</v>
      </c>
      <c r="I1783" s="43" t="str">
        <f>IFERROR(__xludf.DUMMYFUNCTION("""COMPUTED_VALUE"""),"Turkey")</f>
        <v>Turkey</v>
      </c>
      <c r="J1783" s="43" t="str">
        <f>IFERROR(__xludf.DUMMYFUNCTION("""COMPUTED_VALUE"""),"KOCAELI")</f>
        <v>KOCAELI</v>
      </c>
      <c r="K1783" s="44" t="str">
        <f>IFERROR(__xludf.DUMMYFUNCTION("""COMPUTED_VALUE"""),"https://expa.aiesec.org/opportunities/1279126")</f>
        <v>https://expa.aiesec.org/opportunities/1279126</v>
      </c>
      <c r="L1783" s="43" t="str">
        <f>IFERROR(__xludf.DUMMYFUNCTION("""COMPUTED_VALUE"""),"GV")</f>
        <v>GV</v>
      </c>
      <c r="M1783" s="43" t="str">
        <f>IFERROR(__xludf.DUMMYFUNCTION("""COMPUTED_VALUE"""),"short")</f>
        <v>short</v>
      </c>
      <c r="N1783" s="45">
        <f>IFERROR(__xludf.DUMMYFUNCTION("""COMPUTED_VALUE"""),45273.0)</f>
        <v>45273</v>
      </c>
      <c r="O1783" s="45">
        <f>IFERROR(__xludf.DUMMYFUNCTION("""COMPUTED_VALUE"""),45474.0)</f>
        <v>45474</v>
      </c>
      <c r="P1783" s="45">
        <f>IFERROR(__xludf.DUMMYFUNCTION("""COMPUTED_VALUE"""),45516.0)</f>
        <v>45516</v>
      </c>
      <c r="Q1783" s="45"/>
      <c r="R1783" s="45"/>
      <c r="S1783" s="43"/>
      <c r="T1783" s="43"/>
      <c r="U1783" s="43" t="str">
        <f>IFERROR(__xludf.DUMMYFUNCTION("""COMPUTED_VALUE"""),"Global Classroom")</f>
        <v>Global Classroom</v>
      </c>
      <c r="V1783" s="43" t="str">
        <f>IFERROR(__xludf.DUMMYFUNCTION("""COMPUTED_VALUE"""),"TBS")</f>
        <v>TBS</v>
      </c>
      <c r="W1783" s="43" t="str">
        <f>IFERROR(__xludf.DUMMYFUNCTION("""COMPUTED_VALUE"""),"2023-12-09T21:14:04Z")</f>
        <v>2023-12-09T21:14:04Z</v>
      </c>
      <c r="X1783" s="43"/>
      <c r="Y1783" s="43"/>
      <c r="Z1783" s="43"/>
    </row>
    <row r="1784" hidden="1">
      <c r="A1784" s="43" t="str">
        <f>IFERROR(__xludf.DUMMYFUNCTION("""COMPUTED_VALUE"""),"5387934_1279126")</f>
        <v>5387934_1279126</v>
      </c>
      <c r="B1784" s="43" t="str">
        <f>IFERROR(__xludf.DUMMYFUNCTION("""COMPUTED_VALUE"""),"Mariem Soltani")</f>
        <v>Mariem Soltani</v>
      </c>
      <c r="C1784" s="43" t="str">
        <f>IFERROR(__xludf.DUMMYFUNCTION("""COMPUTED_VALUE"""),"approved")</f>
        <v>approved</v>
      </c>
      <c r="D1784" s="43" t="str">
        <f>IFERROR(__xludf.DUMMYFUNCTION("""COMPUTED_VALUE"""),"No")</f>
        <v>No</v>
      </c>
      <c r="E1784" s="43" t="str">
        <f>IFERROR(__xludf.DUMMYFUNCTION("""COMPUTED_VALUE"""),"p_586323ca89a8aaa33f1e98eab4d0cb6f04a5682e@inbound.aiesec.org")</f>
        <v>p_586323ca89a8aaa33f1e98eab4d0cb6f04a5682e@inbound.aiesec.org</v>
      </c>
      <c r="F1784" s="43">
        <f>IFERROR(__xludf.DUMMYFUNCTION("""COMPUTED_VALUE"""),9.7476378E7)</f>
        <v>97476378</v>
      </c>
      <c r="G1784" s="43" t="str">
        <f>IFERROR(__xludf.DUMMYFUNCTION("""COMPUTED_VALUE"""),"Tunisia")</f>
        <v>Tunisia</v>
      </c>
      <c r="H1784" s="43" t="str">
        <f>IFERROR(__xludf.DUMMYFUNCTION("""COMPUTED_VALUE"""),"BARDO")</f>
        <v>BARDO</v>
      </c>
      <c r="I1784" s="43" t="str">
        <f>IFERROR(__xludf.DUMMYFUNCTION("""COMPUTED_VALUE"""),"Turkey")</f>
        <v>Turkey</v>
      </c>
      <c r="J1784" s="43" t="str">
        <f>IFERROR(__xludf.DUMMYFUNCTION("""COMPUTED_VALUE"""),"KOCAELI")</f>
        <v>KOCAELI</v>
      </c>
      <c r="K1784" s="44" t="str">
        <f>IFERROR(__xludf.DUMMYFUNCTION("""COMPUTED_VALUE"""),"https://expa.aiesec.org/opportunities/1279126")</f>
        <v>https://expa.aiesec.org/opportunities/1279126</v>
      </c>
      <c r="L1784" s="43" t="str">
        <f>IFERROR(__xludf.DUMMYFUNCTION("""COMPUTED_VALUE"""),"GV")</f>
        <v>GV</v>
      </c>
      <c r="M1784" s="43" t="str">
        <f>IFERROR(__xludf.DUMMYFUNCTION("""COMPUTED_VALUE"""),"short")</f>
        <v>short</v>
      </c>
      <c r="N1784" s="45">
        <f>IFERROR(__xludf.DUMMYFUNCTION("""COMPUTED_VALUE"""),45273.0)</f>
        <v>45273</v>
      </c>
      <c r="O1784" s="45">
        <f>IFERROR(__xludf.DUMMYFUNCTION("""COMPUTED_VALUE"""),45474.0)</f>
        <v>45474</v>
      </c>
      <c r="P1784" s="45">
        <f>IFERROR(__xludf.DUMMYFUNCTION("""COMPUTED_VALUE"""),45516.0)</f>
        <v>45516</v>
      </c>
      <c r="Q1784" s="45"/>
      <c r="R1784" s="45"/>
      <c r="S1784" s="43"/>
      <c r="T1784" s="43"/>
      <c r="U1784" s="43" t="str">
        <f>IFERROR(__xludf.DUMMYFUNCTION("""COMPUTED_VALUE"""),"Global Classroom")</f>
        <v>Global Classroom</v>
      </c>
      <c r="V1784" s="43" t="str">
        <f>IFERROR(__xludf.DUMMYFUNCTION("""COMPUTED_VALUE"""),"TBS")</f>
        <v>TBS</v>
      </c>
      <c r="W1784" s="43" t="str">
        <f>IFERROR(__xludf.DUMMYFUNCTION("""COMPUTED_VALUE"""),"2023-12-09T19:53:43Z")</f>
        <v>2023-12-09T19:53:43Z</v>
      </c>
      <c r="X1784" s="43"/>
      <c r="Y1784" s="43"/>
      <c r="Z1784" s="43"/>
    </row>
    <row r="1785" hidden="1">
      <c r="A1785" s="43" t="str">
        <f>IFERROR(__xludf.DUMMYFUNCTION("""COMPUTED_VALUE"""),"5389816_1289536")</f>
        <v>5389816_1289536</v>
      </c>
      <c r="B1785" s="43" t="str">
        <f>IFERROR(__xludf.DUMMYFUNCTION("""COMPUTED_VALUE"""),"Wissem Ameur")</f>
        <v>Wissem Ameur</v>
      </c>
      <c r="C1785" s="43" t="str">
        <f>IFERROR(__xludf.DUMMYFUNCTION("""COMPUTED_VALUE"""),"approved")</f>
        <v>approved</v>
      </c>
      <c r="D1785" s="43" t="str">
        <f>IFERROR(__xludf.DUMMYFUNCTION("""COMPUTED_VALUE"""),"No")</f>
        <v>No</v>
      </c>
      <c r="E1785" s="43" t="str">
        <f>IFERROR(__xludf.DUMMYFUNCTION("""COMPUTED_VALUE"""),"p_333ba09e671fd123022526394bfd5517381372b9@inbound.aiesec.org")</f>
        <v>p_333ba09e671fd123022526394bfd5517381372b9@inbound.aiesec.org</v>
      </c>
      <c r="F1785" s="43">
        <f>IFERROR(__xludf.DUMMYFUNCTION("""COMPUTED_VALUE"""),5.1366125E7)</f>
        <v>51366125</v>
      </c>
      <c r="G1785" s="43" t="str">
        <f>IFERROR(__xludf.DUMMYFUNCTION("""COMPUTED_VALUE"""),"Tunisia")</f>
        <v>Tunisia</v>
      </c>
      <c r="H1785" s="43" t="str">
        <f>IFERROR(__xludf.DUMMYFUNCTION("""COMPUTED_VALUE"""),"HADRUMET")</f>
        <v>HADRUMET</v>
      </c>
      <c r="I1785" s="43" t="str">
        <f>IFERROR(__xludf.DUMMYFUNCTION("""COMPUTED_VALUE"""),"Turkey")</f>
        <v>Turkey</v>
      </c>
      <c r="J1785" s="43" t="str">
        <f>IFERROR(__xludf.DUMMYFUNCTION("""COMPUTED_VALUE"""),"ISTANBUL")</f>
        <v>ISTANBUL</v>
      </c>
      <c r="K1785" s="44" t="str">
        <f>IFERROR(__xludf.DUMMYFUNCTION("""COMPUTED_VALUE"""),"https://expa.aiesec.org/opportunities/1289536")</f>
        <v>https://expa.aiesec.org/opportunities/1289536</v>
      </c>
      <c r="L1785" s="43" t="str">
        <f>IFERROR(__xludf.DUMMYFUNCTION("""COMPUTED_VALUE"""),"GV")</f>
        <v>GV</v>
      </c>
      <c r="M1785" s="43" t="str">
        <f>IFERROR(__xludf.DUMMYFUNCTION("""COMPUTED_VALUE"""),"short")</f>
        <v>short</v>
      </c>
      <c r="N1785" s="45">
        <f>IFERROR(__xludf.DUMMYFUNCTION("""COMPUTED_VALUE"""),45273.0)</f>
        <v>45273</v>
      </c>
      <c r="O1785" s="45">
        <f>IFERROR(__xludf.DUMMYFUNCTION("""COMPUTED_VALUE"""),45505.0)</f>
        <v>45505</v>
      </c>
      <c r="P1785" s="45">
        <f>IFERROR(__xludf.DUMMYFUNCTION("""COMPUTED_VALUE"""),45547.0)</f>
        <v>45547</v>
      </c>
      <c r="Q1785" s="45"/>
      <c r="R1785" s="45"/>
      <c r="S1785" s="43"/>
      <c r="T1785" s="43"/>
      <c r="U1785" s="43" t="str">
        <f>IFERROR(__xludf.DUMMYFUNCTION("""COMPUTED_VALUE"""),"Global Classroom")</f>
        <v>Global Classroom</v>
      </c>
      <c r="V1785" s="43" t="str">
        <f>IFERROR(__xludf.DUMMYFUNCTION("""COMPUTED_VALUE"""),"ISSAT Sousse")</f>
        <v>ISSAT Sousse</v>
      </c>
      <c r="W1785" s="43" t="str">
        <f>IFERROR(__xludf.DUMMYFUNCTION("""COMPUTED_VALUE"""),"2023-12-13T22:47:22Z")</f>
        <v>2023-12-13T22:47:22Z</v>
      </c>
      <c r="X1785" s="43"/>
      <c r="Y1785" s="43"/>
      <c r="Z1785" s="43"/>
    </row>
    <row r="1786" hidden="1">
      <c r="A1786" s="43" t="str">
        <f>IFERROR(__xludf.DUMMYFUNCTION("""COMPUTED_VALUE"""),"5279843_1296670")</f>
        <v>5279843_1296670</v>
      </c>
      <c r="B1786" s="43" t="str">
        <f>IFERROR(__xludf.DUMMYFUNCTION("""COMPUTED_VALUE"""),"Haroun Mansour")</f>
        <v>Haroun Mansour</v>
      </c>
      <c r="C1786" s="43" t="str">
        <f>IFERROR(__xludf.DUMMYFUNCTION("""COMPUTED_VALUE"""),"approved")</f>
        <v>approved</v>
      </c>
      <c r="D1786" s="43" t="str">
        <f>IFERROR(__xludf.DUMMYFUNCTION("""COMPUTED_VALUE"""),"No")</f>
        <v>No</v>
      </c>
      <c r="E1786" s="43" t="str">
        <f>IFERROR(__xludf.DUMMYFUNCTION("""COMPUTED_VALUE"""),"p_abc4584a5691abdc680b374b02aeaf66cc6de3af@inbound.aiesec.org")</f>
        <v>p_abc4584a5691abdc680b374b02aeaf66cc6de3af@inbound.aiesec.org</v>
      </c>
      <c r="F1786" s="43">
        <f>IFERROR(__xludf.DUMMYFUNCTION("""COMPUTED_VALUE"""),2.8150265E7)</f>
        <v>28150265</v>
      </c>
      <c r="G1786" s="43" t="str">
        <f>IFERROR(__xludf.DUMMYFUNCTION("""COMPUTED_VALUE"""),"Tunisia")</f>
        <v>Tunisia</v>
      </c>
      <c r="H1786" s="43" t="str">
        <f>IFERROR(__xludf.DUMMYFUNCTION("""COMPUTED_VALUE"""),"UNIVERSITY")</f>
        <v>UNIVERSITY</v>
      </c>
      <c r="I1786" s="43" t="str">
        <f>IFERROR(__xludf.DUMMYFUNCTION("""COMPUTED_VALUE"""),"Turkey")</f>
        <v>Turkey</v>
      </c>
      <c r="J1786" s="43" t="str">
        <f>IFERROR(__xludf.DUMMYFUNCTION("""COMPUTED_VALUE"""),"BURSA")</f>
        <v>BURSA</v>
      </c>
      <c r="K1786" s="44" t="str">
        <f>IFERROR(__xludf.DUMMYFUNCTION("""COMPUTED_VALUE"""),"https://expa.aiesec.org/opportunities/1296670")</f>
        <v>https://expa.aiesec.org/opportunities/1296670</v>
      </c>
      <c r="L1786" s="43" t="str">
        <f>IFERROR(__xludf.DUMMYFUNCTION("""COMPUTED_VALUE"""),"GV")</f>
        <v>GV</v>
      </c>
      <c r="M1786" s="43" t="str">
        <f>IFERROR(__xludf.DUMMYFUNCTION("""COMPUTED_VALUE"""),"short")</f>
        <v>short</v>
      </c>
      <c r="N1786" s="45">
        <f>IFERROR(__xludf.DUMMYFUNCTION("""COMPUTED_VALUE"""),45274.0)</f>
        <v>45274</v>
      </c>
      <c r="O1786" s="45">
        <f>IFERROR(__xludf.DUMMYFUNCTION("""COMPUTED_VALUE"""),45417.0)</f>
        <v>45417</v>
      </c>
      <c r="P1786" s="45">
        <f>IFERROR(__xludf.DUMMYFUNCTION("""COMPUTED_VALUE"""),45459.0)</f>
        <v>45459</v>
      </c>
      <c r="Q1786" s="45"/>
      <c r="R1786" s="45"/>
      <c r="S1786" s="43"/>
      <c r="T1786" s="43"/>
      <c r="U1786" s="43" t="str">
        <f>IFERROR(__xludf.DUMMYFUNCTION("""COMPUTED_VALUE"""),"Youth 4 Impact")</f>
        <v>Youth 4 Impact</v>
      </c>
      <c r="V1786" s="43" t="str">
        <f>IFERROR(__xludf.DUMMYFUNCTION("""COMPUTED_VALUE"""),"ISSHT")</f>
        <v>ISSHT</v>
      </c>
      <c r="W1786" s="43" t="str">
        <f>IFERROR(__xludf.DUMMYFUNCTION("""COMPUTED_VALUE"""),"2023-06-27T12:14:14Z")</f>
        <v>2023-06-27T12:14:14Z</v>
      </c>
      <c r="X1786" s="43"/>
      <c r="Y1786" s="43"/>
      <c r="Z1786" s="43"/>
    </row>
    <row r="1787" hidden="1">
      <c r="A1787" s="43" t="str">
        <f>IFERROR(__xludf.DUMMYFUNCTION("""COMPUTED_VALUE"""),"5389752_1298284")</f>
        <v>5389752_1298284</v>
      </c>
      <c r="B1787" s="43" t="str">
        <f>IFERROR(__xludf.DUMMYFUNCTION("""COMPUTED_VALUE"""),"Monya Ben Said")</f>
        <v>Monya Ben Said</v>
      </c>
      <c r="C1787" s="43" t="str">
        <f>IFERROR(__xludf.DUMMYFUNCTION("""COMPUTED_VALUE"""),"approved")</f>
        <v>approved</v>
      </c>
      <c r="D1787" s="43" t="str">
        <f>IFERROR(__xludf.DUMMYFUNCTION("""COMPUTED_VALUE"""),"No")</f>
        <v>No</v>
      </c>
      <c r="E1787" s="43" t="str">
        <f>IFERROR(__xludf.DUMMYFUNCTION("""COMPUTED_VALUE"""),"p_57a19a926c9ceaa3d224ac81839995ac0bf15d2e@inbound.aiesec.org")</f>
        <v>p_57a19a926c9ceaa3d224ac81839995ac0bf15d2e@inbound.aiesec.org</v>
      </c>
      <c r="F1787" s="43">
        <f>IFERROR(__xludf.DUMMYFUNCTION("""COMPUTED_VALUE"""),2.9091203E7)</f>
        <v>29091203</v>
      </c>
      <c r="G1787" s="43" t="str">
        <f>IFERROR(__xludf.DUMMYFUNCTION("""COMPUTED_VALUE"""),"Tunisia")</f>
        <v>Tunisia</v>
      </c>
      <c r="H1787" s="43" t="str">
        <f>IFERROR(__xludf.DUMMYFUNCTION("""COMPUTED_VALUE"""),"BARDO")</f>
        <v>BARDO</v>
      </c>
      <c r="I1787" s="43" t="str">
        <f>IFERROR(__xludf.DUMMYFUNCTION("""COMPUTED_VALUE"""),"Turkey")</f>
        <v>Turkey</v>
      </c>
      <c r="J1787" s="43" t="str">
        <f>IFERROR(__xludf.DUMMYFUNCTION("""COMPUTED_VALUE"""),"ISTANBUL")</f>
        <v>ISTANBUL</v>
      </c>
      <c r="K1787" s="44" t="str">
        <f>IFERROR(__xludf.DUMMYFUNCTION("""COMPUTED_VALUE"""),"https://expa.aiesec.org/opportunities/1298284")</f>
        <v>https://expa.aiesec.org/opportunities/1298284</v>
      </c>
      <c r="L1787" s="43" t="str">
        <f>IFERROR(__xludf.DUMMYFUNCTION("""COMPUTED_VALUE"""),"GV")</f>
        <v>GV</v>
      </c>
      <c r="M1787" s="43" t="str">
        <f>IFERROR(__xludf.DUMMYFUNCTION("""COMPUTED_VALUE"""),"short")</f>
        <v>short</v>
      </c>
      <c r="N1787" s="45">
        <f>IFERROR(__xludf.DUMMYFUNCTION("""COMPUTED_VALUE"""),45274.0)</f>
        <v>45274</v>
      </c>
      <c r="O1787" s="45">
        <f>IFERROR(__xludf.DUMMYFUNCTION("""COMPUTED_VALUE"""),45505.0)</f>
        <v>45505</v>
      </c>
      <c r="P1787" s="45">
        <f>IFERROR(__xludf.DUMMYFUNCTION("""COMPUTED_VALUE"""),45547.0)</f>
        <v>45547</v>
      </c>
      <c r="Q1787" s="45"/>
      <c r="R1787" s="45"/>
      <c r="S1787" s="43"/>
      <c r="T1787" s="43"/>
      <c r="U1787" s="43" t="str">
        <f>IFERROR(__xludf.DUMMYFUNCTION("""COMPUTED_VALUE"""),"Global Classroom")</f>
        <v>Global Classroom</v>
      </c>
      <c r="V1787" s="43" t="str">
        <f>IFERROR(__xludf.DUMMYFUNCTION("""COMPUTED_VALUE"""),"ISBAT")</f>
        <v>ISBAT</v>
      </c>
      <c r="W1787" s="43" t="str">
        <f>IFERROR(__xludf.DUMMYFUNCTION("""COMPUTED_VALUE"""),"2023-12-13T20:08:59Z")</f>
        <v>2023-12-13T20:08:59Z</v>
      </c>
      <c r="X1787" s="43"/>
      <c r="Y1787" s="43"/>
      <c r="Z1787" s="43"/>
    </row>
    <row r="1788" hidden="1">
      <c r="A1788" s="43" t="str">
        <f>IFERROR(__xludf.DUMMYFUNCTION("""COMPUTED_VALUE"""),"5389133_1279126")</f>
        <v>5389133_1279126</v>
      </c>
      <c r="B1788" s="43" t="str">
        <f>IFERROR(__xludf.DUMMYFUNCTION("""COMPUTED_VALUE"""),"Montaha Kacem")</f>
        <v>Montaha Kacem</v>
      </c>
      <c r="C1788" s="43" t="str">
        <f>IFERROR(__xludf.DUMMYFUNCTION("""COMPUTED_VALUE"""),"approved")</f>
        <v>approved</v>
      </c>
      <c r="D1788" s="43" t="str">
        <f>IFERROR(__xludf.DUMMYFUNCTION("""COMPUTED_VALUE"""),"No")</f>
        <v>No</v>
      </c>
      <c r="E1788" s="43" t="str">
        <f>IFERROR(__xludf.DUMMYFUNCTION("""COMPUTED_VALUE"""),"p_fb583d410c74269adc2f499c9e6f4245b4a1ce1b@inbound.aiesec.org")</f>
        <v>p_fb583d410c74269adc2f499c9e6f4245b4a1ce1b@inbound.aiesec.org</v>
      </c>
      <c r="F1788" s="43">
        <f>IFERROR(__xludf.DUMMYFUNCTION("""COMPUTED_VALUE"""),2.1739425E7)</f>
        <v>21739425</v>
      </c>
      <c r="G1788" s="43" t="str">
        <f>IFERROR(__xludf.DUMMYFUNCTION("""COMPUTED_VALUE"""),"Tunisia")</f>
        <v>Tunisia</v>
      </c>
      <c r="H1788" s="43" t="str">
        <f>IFERROR(__xludf.DUMMYFUNCTION("""COMPUTED_VALUE"""),"UNIVERSITY")</f>
        <v>UNIVERSITY</v>
      </c>
      <c r="I1788" s="43" t="str">
        <f>IFERROR(__xludf.DUMMYFUNCTION("""COMPUTED_VALUE"""),"Turkey")</f>
        <v>Turkey</v>
      </c>
      <c r="J1788" s="43" t="str">
        <f>IFERROR(__xludf.DUMMYFUNCTION("""COMPUTED_VALUE"""),"KOCAELI")</f>
        <v>KOCAELI</v>
      </c>
      <c r="K1788" s="44" t="str">
        <f>IFERROR(__xludf.DUMMYFUNCTION("""COMPUTED_VALUE"""),"https://expa.aiesec.org/opportunities/1279126")</f>
        <v>https://expa.aiesec.org/opportunities/1279126</v>
      </c>
      <c r="L1788" s="43" t="str">
        <f>IFERROR(__xludf.DUMMYFUNCTION("""COMPUTED_VALUE"""),"GV")</f>
        <v>GV</v>
      </c>
      <c r="M1788" s="43" t="str">
        <f>IFERROR(__xludf.DUMMYFUNCTION("""COMPUTED_VALUE"""),"short")</f>
        <v>short</v>
      </c>
      <c r="N1788" s="45">
        <f>IFERROR(__xludf.DUMMYFUNCTION("""COMPUTED_VALUE"""),45274.0)</f>
        <v>45274</v>
      </c>
      <c r="O1788" s="45">
        <f>IFERROR(__xludf.DUMMYFUNCTION("""COMPUTED_VALUE"""),45474.0)</f>
        <v>45474</v>
      </c>
      <c r="P1788" s="45">
        <f>IFERROR(__xludf.DUMMYFUNCTION("""COMPUTED_VALUE"""),45516.0)</f>
        <v>45516</v>
      </c>
      <c r="Q1788" s="45"/>
      <c r="R1788" s="45"/>
      <c r="S1788" s="43"/>
      <c r="T1788" s="43"/>
      <c r="U1788" s="43" t="str">
        <f>IFERROR(__xludf.DUMMYFUNCTION("""COMPUTED_VALUE"""),"Global Classroom")</f>
        <v>Global Classroom</v>
      </c>
      <c r="V1788" s="43" t="str">
        <f>IFERROR(__xludf.DUMMYFUNCTION("""COMPUTED_VALUE"""),"ISSHT")</f>
        <v>ISSHT</v>
      </c>
      <c r="W1788" s="43" t="str">
        <f>IFERROR(__xludf.DUMMYFUNCTION("""COMPUTED_VALUE"""),"2023-12-12T15:53:50Z")</f>
        <v>2023-12-12T15:53:50Z</v>
      </c>
      <c r="X1788" s="43"/>
      <c r="Y1788" s="43"/>
      <c r="Z1788" s="43"/>
    </row>
    <row r="1789" hidden="1">
      <c r="A1789" s="43" t="str">
        <f>IFERROR(__xludf.DUMMYFUNCTION("""COMPUTED_VALUE"""),"5386860_1298284")</f>
        <v>5386860_1298284</v>
      </c>
      <c r="B1789" s="43" t="str">
        <f>IFERROR(__xludf.DUMMYFUNCTION("""COMPUTED_VALUE"""),"yosra mabrouk")</f>
        <v>yosra mabrouk</v>
      </c>
      <c r="C1789" s="43" t="str">
        <f>IFERROR(__xludf.DUMMYFUNCTION("""COMPUTED_VALUE"""),"approved")</f>
        <v>approved</v>
      </c>
      <c r="D1789" s="43" t="str">
        <f>IFERROR(__xludf.DUMMYFUNCTION("""COMPUTED_VALUE"""),"No")</f>
        <v>No</v>
      </c>
      <c r="E1789" s="43" t="str">
        <f>IFERROR(__xludf.DUMMYFUNCTION("""COMPUTED_VALUE"""),"p_ba98731a7e6d0bf7958ec16aed526d31b7c91f45@inbound.aiesec.org")</f>
        <v>p_ba98731a7e6d0bf7958ec16aed526d31b7c91f45@inbound.aiesec.org</v>
      </c>
      <c r="F1789" s="43">
        <f>IFERROR(__xludf.DUMMYFUNCTION("""COMPUTED_VALUE"""),5.3669645E7)</f>
        <v>53669645</v>
      </c>
      <c r="G1789" s="43" t="str">
        <f>IFERROR(__xludf.DUMMYFUNCTION("""COMPUTED_VALUE"""),"Tunisia")</f>
        <v>Tunisia</v>
      </c>
      <c r="H1789" s="43" t="str">
        <f>IFERROR(__xludf.DUMMYFUNCTION("""COMPUTED_VALUE"""),"BARDO")</f>
        <v>BARDO</v>
      </c>
      <c r="I1789" s="43" t="str">
        <f>IFERROR(__xludf.DUMMYFUNCTION("""COMPUTED_VALUE"""),"Turkey")</f>
        <v>Turkey</v>
      </c>
      <c r="J1789" s="43" t="str">
        <f>IFERROR(__xludf.DUMMYFUNCTION("""COMPUTED_VALUE"""),"ISTANBUL")</f>
        <v>ISTANBUL</v>
      </c>
      <c r="K1789" s="44" t="str">
        <f>IFERROR(__xludf.DUMMYFUNCTION("""COMPUTED_VALUE"""),"https://expa.aiesec.org/opportunities/1298284")</f>
        <v>https://expa.aiesec.org/opportunities/1298284</v>
      </c>
      <c r="L1789" s="43" t="str">
        <f>IFERROR(__xludf.DUMMYFUNCTION("""COMPUTED_VALUE"""),"GV")</f>
        <v>GV</v>
      </c>
      <c r="M1789" s="43" t="str">
        <f>IFERROR(__xludf.DUMMYFUNCTION("""COMPUTED_VALUE"""),"short")</f>
        <v>short</v>
      </c>
      <c r="N1789" s="45">
        <f>IFERROR(__xludf.DUMMYFUNCTION("""COMPUTED_VALUE"""),45274.0)</f>
        <v>45274</v>
      </c>
      <c r="O1789" s="45">
        <f>IFERROR(__xludf.DUMMYFUNCTION("""COMPUTED_VALUE"""),45505.0)</f>
        <v>45505</v>
      </c>
      <c r="P1789" s="45">
        <f>IFERROR(__xludf.DUMMYFUNCTION("""COMPUTED_VALUE"""),45547.0)</f>
        <v>45547</v>
      </c>
      <c r="Q1789" s="45"/>
      <c r="R1789" s="45"/>
      <c r="S1789" s="43"/>
      <c r="T1789" s="43"/>
      <c r="U1789" s="43" t="str">
        <f>IFERROR(__xludf.DUMMYFUNCTION("""COMPUTED_VALUE"""),"Global Classroom")</f>
        <v>Global Classroom</v>
      </c>
      <c r="V1789" s="43" t="str">
        <f>IFERROR(__xludf.DUMMYFUNCTION("""COMPUTED_VALUE"""),"TBS")</f>
        <v>TBS</v>
      </c>
      <c r="W1789" s="43" t="str">
        <f>IFERROR(__xludf.DUMMYFUNCTION("""COMPUTED_VALUE"""),"2023-12-07T13:49:16Z")</f>
        <v>2023-12-07T13:49:16Z</v>
      </c>
      <c r="X1789" s="43"/>
      <c r="Y1789" s="43"/>
      <c r="Z1789" s="43"/>
    </row>
    <row r="1790" hidden="1">
      <c r="A1790" s="43" t="str">
        <f>IFERROR(__xludf.DUMMYFUNCTION("""COMPUTED_VALUE"""),"5388699_1287628")</f>
        <v>5388699_1287628</v>
      </c>
      <c r="B1790" s="43" t="str">
        <f>IFERROR(__xludf.DUMMYFUNCTION("""COMPUTED_VALUE"""),"Dridi Salsabil")</f>
        <v>Dridi Salsabil</v>
      </c>
      <c r="C1790" s="43" t="str">
        <f>IFERROR(__xludf.DUMMYFUNCTION("""COMPUTED_VALUE"""),"approved")</f>
        <v>approved</v>
      </c>
      <c r="D1790" s="43" t="str">
        <f>IFERROR(__xludf.DUMMYFUNCTION("""COMPUTED_VALUE"""),"No")</f>
        <v>No</v>
      </c>
      <c r="E1790" s="43" t="str">
        <f>IFERROR(__xludf.DUMMYFUNCTION("""COMPUTED_VALUE"""),"p_d352c63e1fbc00148c40b085bd4e7ddb22d7ddc1@inbound.aiesec.org")</f>
        <v>p_d352c63e1fbc00148c40b085bd4e7ddb22d7ddc1@inbound.aiesec.org</v>
      </c>
      <c r="F1790" s="43">
        <f>IFERROR(__xludf.DUMMYFUNCTION("""COMPUTED_VALUE"""),5.4154913E7)</f>
        <v>54154913</v>
      </c>
      <c r="G1790" s="43" t="str">
        <f>IFERROR(__xludf.DUMMYFUNCTION("""COMPUTED_VALUE"""),"Tunisia")</f>
        <v>Tunisia</v>
      </c>
      <c r="H1790" s="43" t="str">
        <f>IFERROR(__xludf.DUMMYFUNCTION("""COMPUTED_VALUE"""),"NABEL")</f>
        <v>NABEL</v>
      </c>
      <c r="I1790" s="43" t="str">
        <f>IFERROR(__xludf.DUMMYFUNCTION("""COMPUTED_VALUE"""),"Turkey")</f>
        <v>Turkey</v>
      </c>
      <c r="J1790" s="43" t="str">
        <f>IFERROR(__xludf.DUMMYFUNCTION("""COMPUTED_VALUE"""),"KOCAELI")</f>
        <v>KOCAELI</v>
      </c>
      <c r="K1790" s="44" t="str">
        <f>IFERROR(__xludf.DUMMYFUNCTION("""COMPUTED_VALUE"""),"https://expa.aiesec.org/opportunities/1287628")</f>
        <v>https://expa.aiesec.org/opportunities/1287628</v>
      </c>
      <c r="L1790" s="43" t="str">
        <f>IFERROR(__xludf.DUMMYFUNCTION("""COMPUTED_VALUE"""),"GV")</f>
        <v>GV</v>
      </c>
      <c r="M1790" s="43" t="str">
        <f>IFERROR(__xludf.DUMMYFUNCTION("""COMPUTED_VALUE"""),"short")</f>
        <v>short</v>
      </c>
      <c r="N1790" s="45">
        <f>IFERROR(__xludf.DUMMYFUNCTION("""COMPUTED_VALUE"""),45274.0)</f>
        <v>45274</v>
      </c>
      <c r="O1790" s="45">
        <f>IFERROR(__xludf.DUMMYFUNCTION("""COMPUTED_VALUE"""),45474.0)</f>
        <v>45474</v>
      </c>
      <c r="P1790" s="45">
        <f>IFERROR(__xludf.DUMMYFUNCTION("""COMPUTED_VALUE"""),45516.0)</f>
        <v>45516</v>
      </c>
      <c r="Q1790" s="45"/>
      <c r="R1790" s="45"/>
      <c r="S1790" s="43"/>
      <c r="T1790" s="43"/>
      <c r="U1790" s="43" t="str">
        <f>IFERROR(__xludf.DUMMYFUNCTION("""COMPUTED_VALUE"""),"Global Classroom")</f>
        <v>Global Classroom</v>
      </c>
      <c r="V1790" s="43" t="str">
        <f>IFERROR(__xludf.DUMMYFUNCTION("""COMPUTED_VALUE"""),"ISSTE Borj Cedria")</f>
        <v>ISSTE Borj Cedria</v>
      </c>
      <c r="W1790" s="43" t="str">
        <f>IFERROR(__xludf.DUMMYFUNCTION("""COMPUTED_VALUE"""),"2023-12-11T18:29:43Z")</f>
        <v>2023-12-11T18:29:43Z</v>
      </c>
      <c r="X1790" s="43"/>
      <c r="Y1790" s="43"/>
      <c r="Z1790" s="43"/>
    </row>
    <row r="1791" hidden="1">
      <c r="A1791" s="43" t="str">
        <f>IFERROR(__xludf.DUMMYFUNCTION("""COMPUTED_VALUE"""),"5390175_1289536")</f>
        <v>5390175_1289536</v>
      </c>
      <c r="B1791" s="43" t="str">
        <f>IFERROR(__xludf.DUMMYFUNCTION("""COMPUTED_VALUE"""),"moetaz selmi")</f>
        <v>moetaz selmi</v>
      </c>
      <c r="C1791" s="43" t="str">
        <f>IFERROR(__xludf.DUMMYFUNCTION("""COMPUTED_VALUE"""),"approved")</f>
        <v>approved</v>
      </c>
      <c r="D1791" s="43" t="str">
        <f>IFERROR(__xludf.DUMMYFUNCTION("""COMPUTED_VALUE"""),"No")</f>
        <v>No</v>
      </c>
      <c r="E1791" s="43" t="str">
        <f>IFERROR(__xludf.DUMMYFUNCTION("""COMPUTED_VALUE"""),"p_fb1d68167a1bbc3f4f90d4f36d715757542045f2@inbound.aiesec.org")</f>
        <v>p_fb1d68167a1bbc3f4f90d4f36d715757542045f2@inbound.aiesec.org</v>
      </c>
      <c r="F1791" s="43">
        <f>IFERROR(__xludf.DUMMYFUNCTION("""COMPUTED_VALUE"""),9.2816833E7)</f>
        <v>92816833</v>
      </c>
      <c r="G1791" s="43" t="str">
        <f>IFERROR(__xludf.DUMMYFUNCTION("""COMPUTED_VALUE"""),"Tunisia")</f>
        <v>Tunisia</v>
      </c>
      <c r="H1791" s="43" t="str">
        <f>IFERROR(__xludf.DUMMYFUNCTION("""COMPUTED_VALUE"""),"HADRUMET")</f>
        <v>HADRUMET</v>
      </c>
      <c r="I1791" s="43" t="str">
        <f>IFERROR(__xludf.DUMMYFUNCTION("""COMPUTED_VALUE"""),"Turkey")</f>
        <v>Turkey</v>
      </c>
      <c r="J1791" s="43" t="str">
        <f>IFERROR(__xludf.DUMMYFUNCTION("""COMPUTED_VALUE"""),"ISTANBUL")</f>
        <v>ISTANBUL</v>
      </c>
      <c r="K1791" s="44" t="str">
        <f>IFERROR(__xludf.DUMMYFUNCTION("""COMPUTED_VALUE"""),"https://expa.aiesec.org/opportunities/1289536")</f>
        <v>https://expa.aiesec.org/opportunities/1289536</v>
      </c>
      <c r="L1791" s="43" t="str">
        <f>IFERROR(__xludf.DUMMYFUNCTION("""COMPUTED_VALUE"""),"GV")</f>
        <v>GV</v>
      </c>
      <c r="M1791" s="43" t="str">
        <f>IFERROR(__xludf.DUMMYFUNCTION("""COMPUTED_VALUE"""),"short")</f>
        <v>short</v>
      </c>
      <c r="N1791" s="45">
        <f>IFERROR(__xludf.DUMMYFUNCTION("""COMPUTED_VALUE"""),45274.0)</f>
        <v>45274</v>
      </c>
      <c r="O1791" s="45">
        <f>IFERROR(__xludf.DUMMYFUNCTION("""COMPUTED_VALUE"""),45444.0)</f>
        <v>45444</v>
      </c>
      <c r="P1791" s="45">
        <f>IFERROR(__xludf.DUMMYFUNCTION("""COMPUTED_VALUE"""),45486.0)</f>
        <v>45486</v>
      </c>
      <c r="Q1791" s="45"/>
      <c r="R1791" s="45"/>
      <c r="S1791" s="43"/>
      <c r="T1791" s="43"/>
      <c r="U1791" s="43" t="str">
        <f>IFERROR(__xludf.DUMMYFUNCTION("""COMPUTED_VALUE"""),"Global Classroom")</f>
        <v>Global Classroom</v>
      </c>
      <c r="V1791" s="43" t="str">
        <f>IFERROR(__xludf.DUMMYFUNCTION("""COMPUTED_VALUE"""),"EPI Sousse")</f>
        <v>EPI Sousse</v>
      </c>
      <c r="W1791" s="43" t="str">
        <f>IFERROR(__xludf.DUMMYFUNCTION("""COMPUTED_VALUE"""),"2023-12-14T15:56:32Z")</f>
        <v>2023-12-14T15:56:32Z</v>
      </c>
      <c r="X1791" s="43"/>
      <c r="Y1791" s="43"/>
      <c r="Z1791" s="43"/>
    </row>
    <row r="1792" hidden="1">
      <c r="A1792" s="43" t="str">
        <f>IFERROR(__xludf.DUMMYFUNCTION("""COMPUTED_VALUE"""),"5388225_1287628")</f>
        <v>5388225_1287628</v>
      </c>
      <c r="B1792" s="43" t="str">
        <f>IFERROR(__xludf.DUMMYFUNCTION("""COMPUTED_VALUE"""),"Syrine HAMMAMI")</f>
        <v>Syrine HAMMAMI</v>
      </c>
      <c r="C1792" s="43" t="str">
        <f>IFERROR(__xludf.DUMMYFUNCTION("""COMPUTED_VALUE"""),"approved")</f>
        <v>approved</v>
      </c>
      <c r="D1792" s="43" t="str">
        <f>IFERROR(__xludf.DUMMYFUNCTION("""COMPUTED_VALUE"""),"No")</f>
        <v>No</v>
      </c>
      <c r="E1792" s="43" t="str">
        <f>IFERROR(__xludf.DUMMYFUNCTION("""COMPUTED_VALUE"""),"p_2c4ca0665cc94393cfa6dfb5d9441d5ffbefba6d@inbound.aiesec.org")</f>
        <v>p_2c4ca0665cc94393cfa6dfb5d9441d5ffbefba6d@inbound.aiesec.org</v>
      </c>
      <c r="F1792" s="43">
        <f>IFERROR(__xludf.DUMMYFUNCTION("""COMPUTED_VALUE"""),5.4557256E7)</f>
        <v>54557256</v>
      </c>
      <c r="G1792" s="43" t="str">
        <f>IFERROR(__xludf.DUMMYFUNCTION("""COMPUTED_VALUE"""),"Tunisia")</f>
        <v>Tunisia</v>
      </c>
      <c r="H1792" s="43" t="str">
        <f>IFERROR(__xludf.DUMMYFUNCTION("""COMPUTED_VALUE"""),"UNIVERSITY")</f>
        <v>UNIVERSITY</v>
      </c>
      <c r="I1792" s="43" t="str">
        <f>IFERROR(__xludf.DUMMYFUNCTION("""COMPUTED_VALUE"""),"Turkey")</f>
        <v>Turkey</v>
      </c>
      <c r="J1792" s="43" t="str">
        <f>IFERROR(__xludf.DUMMYFUNCTION("""COMPUTED_VALUE"""),"KOCAELI")</f>
        <v>KOCAELI</v>
      </c>
      <c r="K1792" s="44" t="str">
        <f>IFERROR(__xludf.DUMMYFUNCTION("""COMPUTED_VALUE"""),"https://expa.aiesec.org/opportunities/1287628")</f>
        <v>https://expa.aiesec.org/opportunities/1287628</v>
      </c>
      <c r="L1792" s="43" t="str">
        <f>IFERROR(__xludf.DUMMYFUNCTION("""COMPUTED_VALUE"""),"GV")</f>
        <v>GV</v>
      </c>
      <c r="M1792" s="43" t="str">
        <f>IFERROR(__xludf.DUMMYFUNCTION("""COMPUTED_VALUE"""),"short")</f>
        <v>short</v>
      </c>
      <c r="N1792" s="45">
        <f>IFERROR(__xludf.DUMMYFUNCTION("""COMPUTED_VALUE"""),45275.0)</f>
        <v>45275</v>
      </c>
      <c r="O1792" s="45">
        <f>IFERROR(__xludf.DUMMYFUNCTION("""COMPUTED_VALUE"""),45460.0)</f>
        <v>45460</v>
      </c>
      <c r="P1792" s="45">
        <f>IFERROR(__xludf.DUMMYFUNCTION("""COMPUTED_VALUE"""),45502.0)</f>
        <v>45502</v>
      </c>
      <c r="Q1792" s="45"/>
      <c r="R1792" s="45"/>
      <c r="S1792" s="43"/>
      <c r="T1792" s="43"/>
      <c r="U1792" s="43" t="str">
        <f>IFERROR(__xludf.DUMMYFUNCTION("""COMPUTED_VALUE"""),"Global Classroom")</f>
        <v>Global Classroom</v>
      </c>
      <c r="V1792" s="43" t="str">
        <f>IFERROR(__xludf.DUMMYFUNCTION("""COMPUTED_VALUE"""),"Institut supérieur des sciences biologiques appliquées de Tunis ISSBAT")</f>
        <v>Institut supérieur des sciences biologiques appliquées de Tunis ISSBAT</v>
      </c>
      <c r="W1792" s="43" t="str">
        <f>IFERROR(__xludf.DUMMYFUNCTION("""COMPUTED_VALUE"""),"2023-12-10T20:42:23Z")</f>
        <v>2023-12-10T20:42:23Z</v>
      </c>
      <c r="X1792" s="43"/>
      <c r="Y1792" s="43"/>
      <c r="Z1792" s="43"/>
    </row>
    <row r="1793" hidden="1">
      <c r="A1793" s="43" t="str">
        <f>IFERROR(__xludf.DUMMYFUNCTION("""COMPUTED_VALUE"""),"5390202_1294622")</f>
        <v>5390202_1294622</v>
      </c>
      <c r="B1793" s="43" t="str">
        <f>IFERROR(__xludf.DUMMYFUNCTION("""COMPUTED_VALUE"""),"zakaria ha")</f>
        <v>zakaria ha</v>
      </c>
      <c r="C1793" s="43" t="str">
        <f>IFERROR(__xludf.DUMMYFUNCTION("""COMPUTED_VALUE"""),"approved")</f>
        <v>approved</v>
      </c>
      <c r="D1793" s="43" t="str">
        <f>IFERROR(__xludf.DUMMYFUNCTION("""COMPUTED_VALUE"""),"No")</f>
        <v>No</v>
      </c>
      <c r="E1793" s="43" t="str">
        <f>IFERROR(__xludf.DUMMYFUNCTION("""COMPUTED_VALUE"""),"p_f8e30f7f15272dee8813cff8c00273f45480e616@inbound.aiesec.org")</f>
        <v>p_f8e30f7f15272dee8813cff8c00273f45480e616@inbound.aiesec.org</v>
      </c>
      <c r="F1793" s="43">
        <f>IFERROR(__xludf.DUMMYFUNCTION("""COMPUTED_VALUE"""),9.2476649E7)</f>
        <v>92476649</v>
      </c>
      <c r="G1793" s="43" t="str">
        <f>IFERROR(__xludf.DUMMYFUNCTION("""COMPUTED_VALUE"""),"Tunisia")</f>
        <v>Tunisia</v>
      </c>
      <c r="H1793" s="43" t="str">
        <f>IFERROR(__xludf.DUMMYFUNCTION("""COMPUTED_VALUE"""),"HADRUMET")</f>
        <v>HADRUMET</v>
      </c>
      <c r="I1793" s="43" t="str">
        <f>IFERROR(__xludf.DUMMYFUNCTION("""COMPUTED_VALUE"""),"Turkey")</f>
        <v>Turkey</v>
      </c>
      <c r="J1793" s="43" t="str">
        <f>IFERROR(__xludf.DUMMYFUNCTION("""COMPUTED_VALUE"""),"ADANA")</f>
        <v>ADANA</v>
      </c>
      <c r="K1793" s="44" t="str">
        <f>IFERROR(__xludf.DUMMYFUNCTION("""COMPUTED_VALUE"""),"https://expa.aiesec.org/opportunities/1294622")</f>
        <v>https://expa.aiesec.org/opportunities/1294622</v>
      </c>
      <c r="L1793" s="43" t="str">
        <f>IFERROR(__xludf.DUMMYFUNCTION("""COMPUTED_VALUE"""),"GV")</f>
        <v>GV</v>
      </c>
      <c r="M1793" s="43" t="str">
        <f>IFERROR(__xludf.DUMMYFUNCTION("""COMPUTED_VALUE"""),"short")</f>
        <v>short</v>
      </c>
      <c r="N1793" s="45">
        <f>IFERROR(__xludf.DUMMYFUNCTION("""COMPUTED_VALUE"""),45275.0)</f>
        <v>45275</v>
      </c>
      <c r="O1793" s="45">
        <f>IFERROR(__xludf.DUMMYFUNCTION("""COMPUTED_VALUE"""),45516.0)</f>
        <v>45516</v>
      </c>
      <c r="P1793" s="45">
        <f>IFERROR(__xludf.DUMMYFUNCTION("""COMPUTED_VALUE"""),45558.0)</f>
        <v>45558</v>
      </c>
      <c r="Q1793" s="45"/>
      <c r="R1793" s="45"/>
      <c r="S1793" s="43"/>
      <c r="T1793" s="43"/>
      <c r="U1793" s="43" t="str">
        <f>IFERROR(__xludf.DUMMYFUNCTION("""COMPUTED_VALUE"""),"Equify")</f>
        <v>Equify</v>
      </c>
      <c r="V1793" s="43" t="str">
        <f>IFERROR(__xludf.DUMMYFUNCTION("""COMPUTED_VALUE"""),"FSEG Sousse")</f>
        <v>FSEG Sousse</v>
      </c>
      <c r="W1793" s="43" t="str">
        <f>IFERROR(__xludf.DUMMYFUNCTION("""COMPUTED_VALUE"""),"2023-12-14T16:11:50Z")</f>
        <v>2023-12-14T16:11:50Z</v>
      </c>
      <c r="X1793" s="43"/>
      <c r="Y1793" s="43"/>
      <c r="Z1793" s="43"/>
    </row>
    <row r="1794" hidden="1">
      <c r="A1794" s="43" t="str">
        <f>IFERROR(__xludf.DUMMYFUNCTION("""COMPUTED_VALUE"""),"5383196_1281010")</f>
        <v>5383196_1281010</v>
      </c>
      <c r="B1794" s="43" t="str">
        <f>IFERROR(__xludf.DUMMYFUNCTION("""COMPUTED_VALUE"""),"VASILIKI MARGETI")</f>
        <v>VASILIKI MARGETI</v>
      </c>
      <c r="C1794" s="43" t="str">
        <f>IFERROR(__xludf.DUMMYFUNCTION("""COMPUTED_VALUE"""),"approved")</f>
        <v>approved</v>
      </c>
      <c r="D1794" s="43" t="str">
        <f>IFERROR(__xludf.DUMMYFUNCTION("""COMPUTED_VALUE"""),"No")</f>
        <v>No</v>
      </c>
      <c r="E1794" s="43" t="str">
        <f>IFERROR(__xludf.DUMMYFUNCTION("""COMPUTED_VALUE"""),"p_6de03dc4e60e46f3177bff159643d005a7f55660@inbound.aiesec.org")</f>
        <v>p_6de03dc4e60e46f3177bff159643d005a7f55660@inbound.aiesec.org</v>
      </c>
      <c r="F1794" s="43">
        <f>IFERROR(__xludf.DUMMYFUNCTION("""COMPUTED_VALUE"""),6.94581128E9)</f>
        <v>6945811280</v>
      </c>
      <c r="G1794" s="43" t="str">
        <f>IFERROR(__xludf.DUMMYFUNCTION("""COMPUTED_VALUE"""),"Greece")</f>
        <v>Greece</v>
      </c>
      <c r="H1794" s="43" t="str">
        <f>IFERROR(__xludf.DUMMYFUNCTION("""COMPUTED_VALUE"""),"ATHENS")</f>
        <v>ATHENS</v>
      </c>
      <c r="I1794" s="43" t="str">
        <f>IFERROR(__xludf.DUMMYFUNCTION("""COMPUTED_VALUE"""),"Turkey")</f>
        <v>Turkey</v>
      </c>
      <c r="J1794" s="43" t="str">
        <f>IFERROR(__xludf.DUMMYFUNCTION("""COMPUTED_VALUE"""),"KOCAELI")</f>
        <v>KOCAELI</v>
      </c>
      <c r="K1794" s="44" t="str">
        <f>IFERROR(__xludf.DUMMYFUNCTION("""COMPUTED_VALUE"""),"https://expa.aiesec.org/opportunities/1281010")</f>
        <v>https://expa.aiesec.org/opportunities/1281010</v>
      </c>
      <c r="L1794" s="43" t="str">
        <f>IFERROR(__xludf.DUMMYFUNCTION("""COMPUTED_VALUE"""),"GV")</f>
        <v>GV</v>
      </c>
      <c r="M1794" s="43" t="str">
        <f>IFERROR(__xludf.DUMMYFUNCTION("""COMPUTED_VALUE"""),"short")</f>
        <v>short</v>
      </c>
      <c r="N1794" s="45">
        <f>IFERROR(__xludf.DUMMYFUNCTION("""COMPUTED_VALUE"""),45275.0)</f>
        <v>45275</v>
      </c>
      <c r="O1794" s="45">
        <f>IFERROR(__xludf.DUMMYFUNCTION("""COMPUTED_VALUE"""),45439.0)</f>
        <v>45439</v>
      </c>
      <c r="P1794" s="45">
        <f>IFERROR(__xludf.DUMMYFUNCTION("""COMPUTED_VALUE"""),45481.0)</f>
        <v>45481</v>
      </c>
      <c r="Q1794" s="45"/>
      <c r="R1794" s="45"/>
      <c r="S1794" s="43"/>
      <c r="T1794" s="43"/>
      <c r="U1794" s="43" t="str">
        <f>IFERROR(__xludf.DUMMYFUNCTION("""COMPUTED_VALUE"""),"Global Classroom")</f>
        <v>Global Classroom</v>
      </c>
      <c r="V1794" s="43" t="str">
        <f>IFERROR(__xludf.DUMMYFUNCTION("""COMPUTED_VALUE"""),"-")</f>
        <v>-</v>
      </c>
      <c r="W1794" s="43" t="str">
        <f>IFERROR(__xludf.DUMMYFUNCTION("""COMPUTED_VALUE"""),"2023-11-30T14:21:59Z")</f>
        <v>2023-11-30T14:21:59Z</v>
      </c>
      <c r="X1794" s="43"/>
      <c r="Y1794" s="43"/>
      <c r="Z1794" s="43"/>
    </row>
    <row r="1795" hidden="1">
      <c r="A1795" s="43" t="str">
        <f>IFERROR(__xludf.DUMMYFUNCTION("""COMPUTED_VALUE"""),"5390705_1291252")</f>
        <v>5390705_1291252</v>
      </c>
      <c r="B1795" s="43" t="str">
        <f>IFERROR(__xludf.DUMMYFUNCTION("""COMPUTED_VALUE"""),"Dhahbi Kawther")</f>
        <v>Dhahbi Kawther</v>
      </c>
      <c r="C1795" s="43" t="str">
        <f>IFERROR(__xludf.DUMMYFUNCTION("""COMPUTED_VALUE"""),"approved")</f>
        <v>approved</v>
      </c>
      <c r="D1795" s="43" t="str">
        <f>IFERROR(__xludf.DUMMYFUNCTION("""COMPUTED_VALUE"""),"No")</f>
        <v>No</v>
      </c>
      <c r="E1795" s="43" t="str">
        <f>IFERROR(__xludf.DUMMYFUNCTION("""COMPUTED_VALUE"""),"p_0297c895a8174dbefe2d4a33207f17fae1013ef7@inbound.aiesec.org")</f>
        <v>p_0297c895a8174dbefe2d4a33207f17fae1013ef7@inbound.aiesec.org</v>
      </c>
      <c r="F1795" s="43"/>
      <c r="G1795" s="43" t="str">
        <f>IFERROR(__xludf.DUMMYFUNCTION("""COMPUTED_VALUE"""),"Tunisia")</f>
        <v>Tunisia</v>
      </c>
      <c r="H1795" s="43" t="str">
        <f>IFERROR(__xludf.DUMMYFUNCTION("""COMPUTED_VALUE"""),"HADRUMET")</f>
        <v>HADRUMET</v>
      </c>
      <c r="I1795" s="43" t="str">
        <f>IFERROR(__xludf.DUMMYFUNCTION("""COMPUTED_VALUE"""),"Turkey")</f>
        <v>Turkey</v>
      </c>
      <c r="J1795" s="43" t="str">
        <f>IFERROR(__xludf.DUMMYFUNCTION("""COMPUTED_VALUE"""),"KOCAELI")</f>
        <v>KOCAELI</v>
      </c>
      <c r="K1795" s="44" t="str">
        <f>IFERROR(__xludf.DUMMYFUNCTION("""COMPUTED_VALUE"""),"https://expa.aiesec.org/opportunities/1291252")</f>
        <v>https://expa.aiesec.org/opportunities/1291252</v>
      </c>
      <c r="L1795" s="43" t="str">
        <f>IFERROR(__xludf.DUMMYFUNCTION("""COMPUTED_VALUE"""),"GV")</f>
        <v>GV</v>
      </c>
      <c r="M1795" s="43" t="str">
        <f>IFERROR(__xludf.DUMMYFUNCTION("""COMPUTED_VALUE"""),"short")</f>
        <v>short</v>
      </c>
      <c r="N1795" s="45">
        <f>IFERROR(__xludf.DUMMYFUNCTION("""COMPUTED_VALUE"""),45275.0)</f>
        <v>45275</v>
      </c>
      <c r="O1795" s="45">
        <f>IFERROR(__xludf.DUMMYFUNCTION("""COMPUTED_VALUE"""),45460.0)</f>
        <v>45460</v>
      </c>
      <c r="P1795" s="45">
        <f>IFERROR(__xludf.DUMMYFUNCTION("""COMPUTED_VALUE"""),45502.0)</f>
        <v>45502</v>
      </c>
      <c r="Q1795" s="45"/>
      <c r="R1795" s="45"/>
      <c r="S1795" s="43"/>
      <c r="T1795" s="43"/>
      <c r="U1795" s="43" t="str">
        <f>IFERROR(__xludf.DUMMYFUNCTION("""COMPUTED_VALUE"""),"Global Classroom")</f>
        <v>Global Classroom</v>
      </c>
      <c r="V1795" s="43" t="str">
        <f>IFERROR(__xludf.DUMMYFUNCTION("""COMPUTED_VALUE"""),"-")</f>
        <v>-</v>
      </c>
      <c r="W1795" s="43" t="str">
        <f>IFERROR(__xludf.DUMMYFUNCTION("""COMPUTED_VALUE"""),"2023-12-15T16:01:29Z")</f>
        <v>2023-12-15T16:01:29Z</v>
      </c>
      <c r="X1795" s="43"/>
      <c r="Y1795" s="43"/>
      <c r="Z1795" s="43"/>
    </row>
    <row r="1796" hidden="1">
      <c r="A1796" s="43" t="str">
        <f>IFERROR(__xludf.DUMMYFUNCTION("""COMPUTED_VALUE"""),"5390707_1291252")</f>
        <v>5390707_1291252</v>
      </c>
      <c r="B1796" s="43" t="str">
        <f>IFERROR(__xludf.DUMMYFUNCTION("""COMPUTED_VALUE"""),"eya aissaoui")</f>
        <v>eya aissaoui</v>
      </c>
      <c r="C1796" s="43" t="str">
        <f>IFERROR(__xludf.DUMMYFUNCTION("""COMPUTED_VALUE"""),"approved")</f>
        <v>approved</v>
      </c>
      <c r="D1796" s="43" t="str">
        <f>IFERROR(__xludf.DUMMYFUNCTION("""COMPUTED_VALUE"""),"No")</f>
        <v>No</v>
      </c>
      <c r="E1796" s="43" t="str">
        <f>IFERROR(__xludf.DUMMYFUNCTION("""COMPUTED_VALUE"""),"p_59a3ace0b2edb6e5340c214348296339f64db3bb@inbound.aiesec.org")</f>
        <v>p_59a3ace0b2edb6e5340c214348296339f64db3bb@inbound.aiesec.org</v>
      </c>
      <c r="F1796" s="43"/>
      <c r="G1796" s="43" t="str">
        <f>IFERROR(__xludf.DUMMYFUNCTION("""COMPUTED_VALUE"""),"Tunisia")</f>
        <v>Tunisia</v>
      </c>
      <c r="H1796" s="43" t="str">
        <f>IFERROR(__xludf.DUMMYFUNCTION("""COMPUTED_VALUE"""),"HADRUMET")</f>
        <v>HADRUMET</v>
      </c>
      <c r="I1796" s="43" t="str">
        <f>IFERROR(__xludf.DUMMYFUNCTION("""COMPUTED_VALUE"""),"Turkey")</f>
        <v>Turkey</v>
      </c>
      <c r="J1796" s="43" t="str">
        <f>IFERROR(__xludf.DUMMYFUNCTION("""COMPUTED_VALUE"""),"KOCAELI")</f>
        <v>KOCAELI</v>
      </c>
      <c r="K1796" s="44" t="str">
        <f>IFERROR(__xludf.DUMMYFUNCTION("""COMPUTED_VALUE"""),"https://expa.aiesec.org/opportunities/1291252")</f>
        <v>https://expa.aiesec.org/opportunities/1291252</v>
      </c>
      <c r="L1796" s="43" t="str">
        <f>IFERROR(__xludf.DUMMYFUNCTION("""COMPUTED_VALUE"""),"GV")</f>
        <v>GV</v>
      </c>
      <c r="M1796" s="43" t="str">
        <f>IFERROR(__xludf.DUMMYFUNCTION("""COMPUTED_VALUE"""),"short")</f>
        <v>short</v>
      </c>
      <c r="N1796" s="45">
        <f>IFERROR(__xludf.DUMMYFUNCTION("""COMPUTED_VALUE"""),45275.0)</f>
        <v>45275</v>
      </c>
      <c r="O1796" s="45">
        <f>IFERROR(__xludf.DUMMYFUNCTION("""COMPUTED_VALUE"""),45460.0)</f>
        <v>45460</v>
      </c>
      <c r="P1796" s="45">
        <f>IFERROR(__xludf.DUMMYFUNCTION("""COMPUTED_VALUE"""),45502.0)</f>
        <v>45502</v>
      </c>
      <c r="Q1796" s="45"/>
      <c r="R1796" s="45"/>
      <c r="S1796" s="43"/>
      <c r="T1796" s="43"/>
      <c r="U1796" s="43" t="str">
        <f>IFERROR(__xludf.DUMMYFUNCTION("""COMPUTED_VALUE"""),"Global Classroom")</f>
        <v>Global Classroom</v>
      </c>
      <c r="V1796" s="43" t="str">
        <f>IFERROR(__xludf.DUMMYFUNCTION("""COMPUTED_VALUE"""),"IHEC Sousse")</f>
        <v>IHEC Sousse</v>
      </c>
      <c r="W1796" s="43" t="str">
        <f>IFERROR(__xludf.DUMMYFUNCTION("""COMPUTED_VALUE"""),"2023-12-15T16:02:25Z")</f>
        <v>2023-12-15T16:02:25Z</v>
      </c>
      <c r="X1796" s="43"/>
      <c r="Y1796" s="43"/>
      <c r="Z1796" s="43"/>
    </row>
    <row r="1797" hidden="1">
      <c r="A1797" s="43" t="str">
        <f>IFERROR(__xludf.DUMMYFUNCTION("""COMPUTED_VALUE"""),"5390737_1301801")</f>
        <v>5390737_1301801</v>
      </c>
      <c r="B1797" s="43" t="str">
        <f>IFERROR(__xludf.DUMMYFUNCTION("""COMPUTED_VALUE"""),"Amir Boujelben")</f>
        <v>Amir Boujelben</v>
      </c>
      <c r="C1797" s="43" t="str">
        <f>IFERROR(__xludf.DUMMYFUNCTION("""COMPUTED_VALUE"""),"approved")</f>
        <v>approved</v>
      </c>
      <c r="D1797" s="43" t="str">
        <f>IFERROR(__xludf.DUMMYFUNCTION("""COMPUTED_VALUE"""),"No")</f>
        <v>No</v>
      </c>
      <c r="E1797" s="43" t="str">
        <f>IFERROR(__xludf.DUMMYFUNCTION("""COMPUTED_VALUE"""),"p_eae265638328404e9a421fdc4e846ef59603ec2d@inbound.aiesec.org")</f>
        <v>p_eae265638328404e9a421fdc4e846ef59603ec2d@inbound.aiesec.org</v>
      </c>
      <c r="F1797" s="43">
        <f>IFERROR(__xludf.DUMMYFUNCTION("""COMPUTED_VALUE"""),9.3101058E7)</f>
        <v>93101058</v>
      </c>
      <c r="G1797" s="43" t="str">
        <f>IFERROR(__xludf.DUMMYFUNCTION("""COMPUTED_VALUE"""),"Tunisia")</f>
        <v>Tunisia</v>
      </c>
      <c r="H1797" s="43" t="str">
        <f>IFERROR(__xludf.DUMMYFUNCTION("""COMPUTED_VALUE"""),"HADRUMET")</f>
        <v>HADRUMET</v>
      </c>
      <c r="I1797" s="43" t="str">
        <f>IFERROR(__xludf.DUMMYFUNCTION("""COMPUTED_VALUE"""),"Turkey")</f>
        <v>Turkey</v>
      </c>
      <c r="J1797" s="43" t="str">
        <f>IFERROR(__xludf.DUMMYFUNCTION("""COMPUTED_VALUE"""),"KOCAELI")</f>
        <v>KOCAELI</v>
      </c>
      <c r="K1797" s="44" t="str">
        <f>IFERROR(__xludf.DUMMYFUNCTION("""COMPUTED_VALUE"""),"https://expa.aiesec.org/opportunities/1301801")</f>
        <v>https://expa.aiesec.org/opportunities/1301801</v>
      </c>
      <c r="L1797" s="43" t="str">
        <f>IFERROR(__xludf.DUMMYFUNCTION("""COMPUTED_VALUE"""),"GV")</f>
        <v>GV</v>
      </c>
      <c r="M1797" s="43" t="str">
        <f>IFERROR(__xludf.DUMMYFUNCTION("""COMPUTED_VALUE"""),"short")</f>
        <v>short</v>
      </c>
      <c r="N1797" s="45">
        <f>IFERROR(__xludf.DUMMYFUNCTION("""COMPUTED_VALUE"""),45275.0)</f>
        <v>45275</v>
      </c>
      <c r="O1797" s="45">
        <f>IFERROR(__xludf.DUMMYFUNCTION("""COMPUTED_VALUE"""),45460.0)</f>
        <v>45460</v>
      </c>
      <c r="P1797" s="45">
        <f>IFERROR(__xludf.DUMMYFUNCTION("""COMPUTED_VALUE"""),45502.0)</f>
        <v>45502</v>
      </c>
      <c r="Q1797" s="45"/>
      <c r="R1797" s="45"/>
      <c r="S1797" s="43"/>
      <c r="T1797" s="43"/>
      <c r="U1797" s="43" t="str">
        <f>IFERROR(__xludf.DUMMYFUNCTION("""COMPUTED_VALUE"""),"Global Classroom")</f>
        <v>Global Classroom</v>
      </c>
      <c r="V1797" s="43" t="str">
        <f>IFERROR(__xludf.DUMMYFUNCTION("""COMPUTED_VALUE"""),"ISSAT Sousse")</f>
        <v>ISSAT Sousse</v>
      </c>
      <c r="W1797" s="43" t="str">
        <f>IFERROR(__xludf.DUMMYFUNCTION("""COMPUTED_VALUE"""),"2023-12-15T16:37:12Z")</f>
        <v>2023-12-15T16:37:12Z</v>
      </c>
      <c r="X1797" s="43"/>
      <c r="Y1797" s="43"/>
      <c r="Z1797" s="43"/>
    </row>
    <row r="1798" hidden="1">
      <c r="A1798" s="43" t="str">
        <f>IFERROR(__xludf.DUMMYFUNCTION("""COMPUTED_VALUE"""),"5390749_1291252")</f>
        <v>5390749_1291252</v>
      </c>
      <c r="B1798" s="43" t="str">
        <f>IFERROR(__xludf.DUMMYFUNCTION("""COMPUTED_VALUE"""),"Mohamed Rjiba")</f>
        <v>Mohamed Rjiba</v>
      </c>
      <c r="C1798" s="43" t="str">
        <f>IFERROR(__xludf.DUMMYFUNCTION("""COMPUTED_VALUE"""),"approved")</f>
        <v>approved</v>
      </c>
      <c r="D1798" s="43" t="str">
        <f>IFERROR(__xludf.DUMMYFUNCTION("""COMPUTED_VALUE"""),"No")</f>
        <v>No</v>
      </c>
      <c r="E1798" s="43" t="str">
        <f>IFERROR(__xludf.DUMMYFUNCTION("""COMPUTED_VALUE"""),"p_1eb812b64e085a0083c72044c0cac25e859e724a@inbound.aiesec.org")</f>
        <v>p_1eb812b64e085a0083c72044c0cac25e859e724a@inbound.aiesec.org</v>
      </c>
      <c r="F1798" s="43">
        <f>IFERROR(__xludf.DUMMYFUNCTION("""COMPUTED_VALUE"""),9.3259764E7)</f>
        <v>93259764</v>
      </c>
      <c r="G1798" s="43" t="str">
        <f>IFERROR(__xludf.DUMMYFUNCTION("""COMPUTED_VALUE"""),"Tunisia")</f>
        <v>Tunisia</v>
      </c>
      <c r="H1798" s="43" t="str">
        <f>IFERROR(__xludf.DUMMYFUNCTION("""COMPUTED_VALUE"""),"HADRUMET")</f>
        <v>HADRUMET</v>
      </c>
      <c r="I1798" s="43" t="str">
        <f>IFERROR(__xludf.DUMMYFUNCTION("""COMPUTED_VALUE"""),"Turkey")</f>
        <v>Turkey</v>
      </c>
      <c r="J1798" s="43" t="str">
        <f>IFERROR(__xludf.DUMMYFUNCTION("""COMPUTED_VALUE"""),"KOCAELI")</f>
        <v>KOCAELI</v>
      </c>
      <c r="K1798" s="44" t="str">
        <f>IFERROR(__xludf.DUMMYFUNCTION("""COMPUTED_VALUE"""),"https://expa.aiesec.org/opportunities/1291252")</f>
        <v>https://expa.aiesec.org/opportunities/1291252</v>
      </c>
      <c r="L1798" s="43" t="str">
        <f>IFERROR(__xludf.DUMMYFUNCTION("""COMPUTED_VALUE"""),"GV")</f>
        <v>GV</v>
      </c>
      <c r="M1798" s="43" t="str">
        <f>IFERROR(__xludf.DUMMYFUNCTION("""COMPUTED_VALUE"""),"short")</f>
        <v>short</v>
      </c>
      <c r="N1798" s="45">
        <f>IFERROR(__xludf.DUMMYFUNCTION("""COMPUTED_VALUE"""),45275.0)</f>
        <v>45275</v>
      </c>
      <c r="O1798" s="45">
        <f>IFERROR(__xludf.DUMMYFUNCTION("""COMPUTED_VALUE"""),45523.0)</f>
        <v>45523</v>
      </c>
      <c r="P1798" s="45">
        <f>IFERROR(__xludf.DUMMYFUNCTION("""COMPUTED_VALUE"""),45565.0)</f>
        <v>45565</v>
      </c>
      <c r="Q1798" s="45"/>
      <c r="R1798" s="45"/>
      <c r="S1798" s="43"/>
      <c r="T1798" s="43"/>
      <c r="U1798" s="43" t="str">
        <f>IFERROR(__xludf.DUMMYFUNCTION("""COMPUTED_VALUE"""),"Global Classroom")</f>
        <v>Global Classroom</v>
      </c>
      <c r="V1798" s="43" t="str">
        <f>IFERROR(__xludf.DUMMYFUNCTION("""COMPUTED_VALUE"""),"FSEG Sousse")</f>
        <v>FSEG Sousse</v>
      </c>
      <c r="W1798" s="43" t="str">
        <f>IFERROR(__xludf.DUMMYFUNCTION("""COMPUTED_VALUE"""),"2023-12-15T17:02:26Z")</f>
        <v>2023-12-15T17:02:26Z</v>
      </c>
      <c r="X1798" s="43"/>
      <c r="Y1798" s="43"/>
      <c r="Z1798" s="43"/>
    </row>
    <row r="1799" hidden="1">
      <c r="A1799" s="43" t="str">
        <f>IFERROR(__xludf.DUMMYFUNCTION("""COMPUTED_VALUE"""),"4832664_1301902")</f>
        <v>4832664_1301902</v>
      </c>
      <c r="B1799" s="43" t="str">
        <f>IFERROR(__xludf.DUMMYFUNCTION("""COMPUTED_VALUE"""),"molka bayoudh")</f>
        <v>molka bayoudh</v>
      </c>
      <c r="C1799" s="43" t="str">
        <f>IFERROR(__xludf.DUMMYFUNCTION("""COMPUTED_VALUE"""),"realized")</f>
        <v>realized</v>
      </c>
      <c r="D1799" s="43" t="str">
        <f>IFERROR(__xludf.DUMMYFUNCTION("""COMPUTED_VALUE"""),"No")</f>
        <v>No</v>
      </c>
      <c r="E1799" s="43" t="str">
        <f>IFERROR(__xludf.DUMMYFUNCTION("""COMPUTED_VALUE"""),"p_f2e5100a1c1a479b89599c01229e8fcd9b5b2957@inbound.aiesec.org")</f>
        <v>p_f2e5100a1c1a479b89599c01229e8fcd9b5b2957@inbound.aiesec.org</v>
      </c>
      <c r="F1799" s="43">
        <f>IFERROR(__xludf.DUMMYFUNCTION("""COMPUTED_VALUE"""),2.9103903E7)</f>
        <v>29103903</v>
      </c>
      <c r="G1799" s="43" t="str">
        <f>IFERROR(__xludf.DUMMYFUNCTION("""COMPUTED_VALUE"""),"Tunisia")</f>
        <v>Tunisia</v>
      </c>
      <c r="H1799" s="43" t="str">
        <f>IFERROR(__xludf.DUMMYFUNCTION("""COMPUTED_VALUE"""),"NABEL")</f>
        <v>NABEL</v>
      </c>
      <c r="I1799" s="43" t="str">
        <f>IFERROR(__xludf.DUMMYFUNCTION("""COMPUTED_VALUE"""),"Turkey")</f>
        <v>Turkey</v>
      </c>
      <c r="J1799" s="43" t="str">
        <f>IFERROR(__xludf.DUMMYFUNCTION("""COMPUTED_VALUE"""),"KOCAELI")</f>
        <v>KOCAELI</v>
      </c>
      <c r="K1799" s="44" t="str">
        <f>IFERROR(__xludf.DUMMYFUNCTION("""COMPUTED_VALUE"""),"https://expa.aiesec.org/opportunities/1301902")</f>
        <v>https://expa.aiesec.org/opportunities/1301902</v>
      </c>
      <c r="L1799" s="43" t="str">
        <f>IFERROR(__xludf.DUMMYFUNCTION("""COMPUTED_VALUE"""),"GV")</f>
        <v>GV</v>
      </c>
      <c r="M1799" s="43" t="str">
        <f>IFERROR(__xludf.DUMMYFUNCTION("""COMPUTED_VALUE"""),"short")</f>
        <v>short</v>
      </c>
      <c r="N1799" s="45">
        <f>IFERROR(__xludf.DUMMYFUNCTION("""COMPUTED_VALUE"""),45275.0)</f>
        <v>45275</v>
      </c>
      <c r="O1799" s="45">
        <f>IFERROR(__xludf.DUMMYFUNCTION("""COMPUTED_VALUE"""),45299.0)</f>
        <v>45299</v>
      </c>
      <c r="P1799" s="45">
        <f>IFERROR(__xludf.DUMMYFUNCTION("""COMPUTED_VALUE"""),45341.0)</f>
        <v>45341</v>
      </c>
      <c r="Q1799" s="45">
        <f>IFERROR(__xludf.DUMMYFUNCTION("""COMPUTED_VALUE"""),45308.0)</f>
        <v>45308</v>
      </c>
      <c r="R1799" s="45">
        <f>IFERROR(__xludf.DUMMYFUNCTION("""COMPUTED_VALUE"""),45350.0)</f>
        <v>45350</v>
      </c>
      <c r="S1799" s="43"/>
      <c r="T1799" s="43"/>
      <c r="U1799" s="43" t="str">
        <f>IFERROR(__xludf.DUMMYFUNCTION("""COMPUTED_VALUE"""),"Global Classroom")</f>
        <v>Global Classroom</v>
      </c>
      <c r="V1799" s="43" t="str">
        <f>IFERROR(__xludf.DUMMYFUNCTION("""COMPUTED_VALUE"""),"IT Business School")</f>
        <v>IT Business School</v>
      </c>
      <c r="W1799" s="43" t="str">
        <f>IFERROR(__xludf.DUMMYFUNCTION("""COMPUTED_VALUE"""),"2021-12-06T14:08:58Z")</f>
        <v>2021-12-06T14:08:58Z</v>
      </c>
      <c r="X1799" s="43"/>
      <c r="Y1799" s="43"/>
      <c r="Z1799" s="43"/>
    </row>
    <row r="1800" hidden="1">
      <c r="A1800" s="43" t="str">
        <f>IFERROR(__xludf.DUMMYFUNCTION("""COMPUTED_VALUE"""),"5253826_1301902")</f>
        <v>5253826_1301902</v>
      </c>
      <c r="B1800" s="43" t="str">
        <f>IFERROR(__xludf.DUMMYFUNCTION("""COMPUTED_VALUE"""),"eya cherif")</f>
        <v>eya cherif</v>
      </c>
      <c r="C1800" s="43" t="str">
        <f>IFERROR(__xludf.DUMMYFUNCTION("""COMPUTED_VALUE"""),"realized")</f>
        <v>realized</v>
      </c>
      <c r="D1800" s="43" t="str">
        <f>IFERROR(__xludf.DUMMYFUNCTION("""COMPUTED_VALUE"""),"No")</f>
        <v>No</v>
      </c>
      <c r="E1800" s="43" t="str">
        <f>IFERROR(__xludf.DUMMYFUNCTION("""COMPUTED_VALUE"""),"p_2e47c5abc7958ce67871ee4f0194180840f7b1d3@inbound.aiesec.org")</f>
        <v>p_2e47c5abc7958ce67871ee4f0194180840f7b1d3@inbound.aiesec.org</v>
      </c>
      <c r="F1800" s="43">
        <f>IFERROR(__xludf.DUMMYFUNCTION("""COMPUTED_VALUE"""),2.387113E7)</f>
        <v>23871130</v>
      </c>
      <c r="G1800" s="43" t="str">
        <f>IFERROR(__xludf.DUMMYFUNCTION("""COMPUTED_VALUE"""),"Tunisia")</f>
        <v>Tunisia</v>
      </c>
      <c r="H1800" s="43" t="str">
        <f>IFERROR(__xludf.DUMMYFUNCTION("""COMPUTED_VALUE"""),"NABEL")</f>
        <v>NABEL</v>
      </c>
      <c r="I1800" s="43" t="str">
        <f>IFERROR(__xludf.DUMMYFUNCTION("""COMPUTED_VALUE"""),"Turkey")</f>
        <v>Turkey</v>
      </c>
      <c r="J1800" s="43" t="str">
        <f>IFERROR(__xludf.DUMMYFUNCTION("""COMPUTED_VALUE"""),"KOCAELI")</f>
        <v>KOCAELI</v>
      </c>
      <c r="K1800" s="44" t="str">
        <f>IFERROR(__xludf.DUMMYFUNCTION("""COMPUTED_VALUE"""),"https://expa.aiesec.org/opportunities/1301902")</f>
        <v>https://expa.aiesec.org/opportunities/1301902</v>
      </c>
      <c r="L1800" s="43" t="str">
        <f>IFERROR(__xludf.DUMMYFUNCTION("""COMPUTED_VALUE"""),"GV")</f>
        <v>GV</v>
      </c>
      <c r="M1800" s="43" t="str">
        <f>IFERROR(__xludf.DUMMYFUNCTION("""COMPUTED_VALUE"""),"short")</f>
        <v>short</v>
      </c>
      <c r="N1800" s="45">
        <f>IFERROR(__xludf.DUMMYFUNCTION("""COMPUTED_VALUE"""),45275.0)</f>
        <v>45275</v>
      </c>
      <c r="O1800" s="45">
        <f>IFERROR(__xludf.DUMMYFUNCTION("""COMPUTED_VALUE"""),45299.0)</f>
        <v>45299</v>
      </c>
      <c r="P1800" s="45">
        <f>IFERROR(__xludf.DUMMYFUNCTION("""COMPUTED_VALUE"""),45341.0)</f>
        <v>45341</v>
      </c>
      <c r="Q1800" s="45">
        <f>IFERROR(__xludf.DUMMYFUNCTION("""COMPUTED_VALUE"""),45308.0)</f>
        <v>45308</v>
      </c>
      <c r="R1800" s="45">
        <f>IFERROR(__xludf.DUMMYFUNCTION("""COMPUTED_VALUE"""),45350.0)</f>
        <v>45350</v>
      </c>
      <c r="S1800" s="43"/>
      <c r="T1800" s="43"/>
      <c r="U1800" s="43" t="str">
        <f>IFERROR(__xludf.DUMMYFUNCTION("""COMPUTED_VALUE"""),"Global Classroom")</f>
        <v>Global Classroom</v>
      </c>
      <c r="V1800" s="43" t="str">
        <f>IFERROR(__xludf.DUMMYFUNCTION("""COMPUTED_VALUE"""),"IT Business School")</f>
        <v>IT Business School</v>
      </c>
      <c r="W1800" s="43" t="str">
        <f>IFERROR(__xludf.DUMMYFUNCTION("""COMPUTED_VALUE"""),"2023-05-01T17:12:49Z")</f>
        <v>2023-05-01T17:12:49Z</v>
      </c>
      <c r="X1800" s="43"/>
      <c r="Y1800" s="43"/>
      <c r="Z1800" s="43"/>
    </row>
    <row r="1801" hidden="1">
      <c r="A1801" s="43" t="str">
        <f>IFERROR(__xludf.DUMMYFUNCTION("""COMPUTED_VALUE"""),"5390721_1301801")</f>
        <v>5390721_1301801</v>
      </c>
      <c r="B1801" s="43" t="str">
        <f>IFERROR(__xludf.DUMMYFUNCTION("""COMPUTED_VALUE"""),"Eya Zouini")</f>
        <v>Eya Zouini</v>
      </c>
      <c r="C1801" s="43" t="str">
        <f>IFERROR(__xludf.DUMMYFUNCTION("""COMPUTED_VALUE"""),"approved")</f>
        <v>approved</v>
      </c>
      <c r="D1801" s="43" t="str">
        <f>IFERROR(__xludf.DUMMYFUNCTION("""COMPUTED_VALUE"""),"No")</f>
        <v>No</v>
      </c>
      <c r="E1801" s="43" t="str">
        <f>IFERROR(__xludf.DUMMYFUNCTION("""COMPUTED_VALUE"""),"p_32c96f76bb0aba8ba7f607aed95c59296ca1dba5@inbound.aiesec.org")</f>
        <v>p_32c96f76bb0aba8ba7f607aed95c59296ca1dba5@inbound.aiesec.org</v>
      </c>
      <c r="F1801" s="43">
        <f>IFERROR(__xludf.DUMMYFUNCTION("""COMPUTED_VALUE"""),5.5338226E7)</f>
        <v>55338226</v>
      </c>
      <c r="G1801" s="43" t="str">
        <f>IFERROR(__xludf.DUMMYFUNCTION("""COMPUTED_VALUE"""),"Tunisia")</f>
        <v>Tunisia</v>
      </c>
      <c r="H1801" s="43" t="str">
        <f>IFERROR(__xludf.DUMMYFUNCTION("""COMPUTED_VALUE"""),"HADRUMET")</f>
        <v>HADRUMET</v>
      </c>
      <c r="I1801" s="43" t="str">
        <f>IFERROR(__xludf.DUMMYFUNCTION("""COMPUTED_VALUE"""),"Turkey")</f>
        <v>Turkey</v>
      </c>
      <c r="J1801" s="43" t="str">
        <f>IFERROR(__xludf.DUMMYFUNCTION("""COMPUTED_VALUE"""),"KOCAELI")</f>
        <v>KOCAELI</v>
      </c>
      <c r="K1801" s="44" t="str">
        <f>IFERROR(__xludf.DUMMYFUNCTION("""COMPUTED_VALUE"""),"https://expa.aiesec.org/opportunities/1301801")</f>
        <v>https://expa.aiesec.org/opportunities/1301801</v>
      </c>
      <c r="L1801" s="43" t="str">
        <f>IFERROR(__xludf.DUMMYFUNCTION("""COMPUTED_VALUE"""),"GV")</f>
        <v>GV</v>
      </c>
      <c r="M1801" s="43" t="str">
        <f>IFERROR(__xludf.DUMMYFUNCTION("""COMPUTED_VALUE"""),"short")</f>
        <v>short</v>
      </c>
      <c r="N1801" s="45">
        <f>IFERROR(__xludf.DUMMYFUNCTION("""COMPUTED_VALUE"""),45275.0)</f>
        <v>45275</v>
      </c>
      <c r="O1801" s="45">
        <f>IFERROR(__xludf.DUMMYFUNCTION("""COMPUTED_VALUE"""),45460.0)</f>
        <v>45460</v>
      </c>
      <c r="P1801" s="45">
        <f>IFERROR(__xludf.DUMMYFUNCTION("""COMPUTED_VALUE"""),45502.0)</f>
        <v>45502</v>
      </c>
      <c r="Q1801" s="45"/>
      <c r="R1801" s="45"/>
      <c r="S1801" s="43"/>
      <c r="T1801" s="43"/>
      <c r="U1801" s="43" t="str">
        <f>IFERROR(__xludf.DUMMYFUNCTION("""COMPUTED_VALUE"""),"Global Classroom")</f>
        <v>Global Classroom</v>
      </c>
      <c r="V1801" s="43" t="str">
        <f>IFERROR(__xludf.DUMMYFUNCTION("""COMPUTED_VALUE"""),"ISSAT Sousse")</f>
        <v>ISSAT Sousse</v>
      </c>
      <c r="W1801" s="43" t="str">
        <f>IFERROR(__xludf.DUMMYFUNCTION("""COMPUTED_VALUE"""),"2023-12-15T16:17:47Z")</f>
        <v>2023-12-15T16:17:47Z</v>
      </c>
      <c r="X1801" s="43"/>
      <c r="Y1801" s="43"/>
      <c r="Z1801" s="43"/>
    </row>
    <row r="1802" hidden="1">
      <c r="A1802" s="43" t="str">
        <f>IFERROR(__xludf.DUMMYFUNCTION("""COMPUTED_VALUE"""),"5389795_1287628")</f>
        <v>5389795_1287628</v>
      </c>
      <c r="B1802" s="43" t="str">
        <f>IFERROR(__xludf.DUMMYFUNCTION("""COMPUTED_VALUE"""),"Malek Ben Chamek")</f>
        <v>Malek Ben Chamek</v>
      </c>
      <c r="C1802" s="43" t="str">
        <f>IFERROR(__xludf.DUMMYFUNCTION("""COMPUTED_VALUE"""),"approved")</f>
        <v>approved</v>
      </c>
      <c r="D1802" s="43" t="str">
        <f>IFERROR(__xludf.DUMMYFUNCTION("""COMPUTED_VALUE"""),"No")</f>
        <v>No</v>
      </c>
      <c r="E1802" s="43" t="str">
        <f>IFERROR(__xludf.DUMMYFUNCTION("""COMPUTED_VALUE"""),"p_a10a4d2c88297b0c51c016628a84fb0f4df2cbb1@inbound.aiesec.org")</f>
        <v>p_a10a4d2c88297b0c51c016628a84fb0f4df2cbb1@inbound.aiesec.org</v>
      </c>
      <c r="F1802" s="43">
        <f>IFERROR(__xludf.DUMMYFUNCTION("""COMPUTED_VALUE"""),5.0178205E7)</f>
        <v>50178205</v>
      </c>
      <c r="G1802" s="43" t="str">
        <f>IFERROR(__xludf.DUMMYFUNCTION("""COMPUTED_VALUE"""),"Tunisia")</f>
        <v>Tunisia</v>
      </c>
      <c r="H1802" s="43" t="str">
        <f>IFERROR(__xludf.DUMMYFUNCTION("""COMPUTED_VALUE"""),"UNIVERSITY")</f>
        <v>UNIVERSITY</v>
      </c>
      <c r="I1802" s="43" t="str">
        <f>IFERROR(__xludf.DUMMYFUNCTION("""COMPUTED_VALUE"""),"Turkey")</f>
        <v>Turkey</v>
      </c>
      <c r="J1802" s="43" t="str">
        <f>IFERROR(__xludf.DUMMYFUNCTION("""COMPUTED_VALUE"""),"KOCAELI")</f>
        <v>KOCAELI</v>
      </c>
      <c r="K1802" s="44" t="str">
        <f>IFERROR(__xludf.DUMMYFUNCTION("""COMPUTED_VALUE"""),"https://expa.aiesec.org/opportunities/1287628")</f>
        <v>https://expa.aiesec.org/opportunities/1287628</v>
      </c>
      <c r="L1802" s="43" t="str">
        <f>IFERROR(__xludf.DUMMYFUNCTION("""COMPUTED_VALUE"""),"GV")</f>
        <v>GV</v>
      </c>
      <c r="M1802" s="43" t="str">
        <f>IFERROR(__xludf.DUMMYFUNCTION("""COMPUTED_VALUE"""),"short")</f>
        <v>short</v>
      </c>
      <c r="N1802" s="45">
        <f>IFERROR(__xludf.DUMMYFUNCTION("""COMPUTED_VALUE"""),45275.0)</f>
        <v>45275</v>
      </c>
      <c r="O1802" s="45">
        <f>IFERROR(__xludf.DUMMYFUNCTION("""COMPUTED_VALUE"""),45516.0)</f>
        <v>45516</v>
      </c>
      <c r="P1802" s="45">
        <f>IFERROR(__xludf.DUMMYFUNCTION("""COMPUTED_VALUE"""),45558.0)</f>
        <v>45558</v>
      </c>
      <c r="Q1802" s="45"/>
      <c r="R1802" s="45"/>
      <c r="S1802" s="43"/>
      <c r="T1802" s="43"/>
      <c r="U1802" s="43" t="str">
        <f>IFERROR(__xludf.DUMMYFUNCTION("""COMPUTED_VALUE"""),"Global Classroom")</f>
        <v>Global Classroom</v>
      </c>
      <c r="V1802" s="43" t="str">
        <f>IFERROR(__xludf.DUMMYFUNCTION("""COMPUTED_VALUE"""),"FST")</f>
        <v>FST</v>
      </c>
      <c r="W1802" s="43" t="str">
        <f>IFERROR(__xludf.DUMMYFUNCTION("""COMPUTED_VALUE"""),"2023-12-13T21:37:23Z")</f>
        <v>2023-12-13T21:37:23Z</v>
      </c>
      <c r="X1802" s="43"/>
      <c r="Y1802" s="43"/>
      <c r="Z1802" s="43"/>
    </row>
    <row r="1803" hidden="1">
      <c r="A1803" s="43" t="str">
        <f>IFERROR(__xludf.DUMMYFUNCTION("""COMPUTED_VALUE"""),"5390282_1289536")</f>
        <v>5390282_1289536</v>
      </c>
      <c r="B1803" s="43" t="str">
        <f>IFERROR(__xludf.DUMMYFUNCTION("""COMPUTED_VALUE"""),"Asma Drissi")</f>
        <v>Asma Drissi</v>
      </c>
      <c r="C1803" s="43" t="str">
        <f>IFERROR(__xludf.DUMMYFUNCTION("""COMPUTED_VALUE"""),"approved")</f>
        <v>approved</v>
      </c>
      <c r="D1803" s="43" t="str">
        <f>IFERROR(__xludf.DUMMYFUNCTION("""COMPUTED_VALUE"""),"No")</f>
        <v>No</v>
      </c>
      <c r="E1803" s="43" t="str">
        <f>IFERROR(__xludf.DUMMYFUNCTION("""COMPUTED_VALUE"""),"p_b9710718d7299194af391dbd4478989ee013b00d@inbound.aiesec.org")</f>
        <v>p_b9710718d7299194af391dbd4478989ee013b00d@inbound.aiesec.org</v>
      </c>
      <c r="F1803" s="43">
        <f>IFERROR(__xludf.DUMMYFUNCTION("""COMPUTED_VALUE"""),9.7749017E7)</f>
        <v>97749017</v>
      </c>
      <c r="G1803" s="43" t="str">
        <f>IFERROR(__xludf.DUMMYFUNCTION("""COMPUTED_VALUE"""),"Tunisia")</f>
        <v>Tunisia</v>
      </c>
      <c r="H1803" s="43" t="str">
        <f>IFERROR(__xludf.DUMMYFUNCTION("""COMPUTED_VALUE"""),"BARDO")</f>
        <v>BARDO</v>
      </c>
      <c r="I1803" s="43" t="str">
        <f>IFERROR(__xludf.DUMMYFUNCTION("""COMPUTED_VALUE"""),"Turkey")</f>
        <v>Turkey</v>
      </c>
      <c r="J1803" s="43" t="str">
        <f>IFERROR(__xludf.DUMMYFUNCTION("""COMPUTED_VALUE"""),"ISTANBUL")</f>
        <v>ISTANBUL</v>
      </c>
      <c r="K1803" s="44" t="str">
        <f>IFERROR(__xludf.DUMMYFUNCTION("""COMPUTED_VALUE"""),"https://expa.aiesec.org/opportunities/1289536")</f>
        <v>https://expa.aiesec.org/opportunities/1289536</v>
      </c>
      <c r="L1803" s="43" t="str">
        <f>IFERROR(__xludf.DUMMYFUNCTION("""COMPUTED_VALUE"""),"GV")</f>
        <v>GV</v>
      </c>
      <c r="M1803" s="43" t="str">
        <f>IFERROR(__xludf.DUMMYFUNCTION("""COMPUTED_VALUE"""),"short")</f>
        <v>short</v>
      </c>
      <c r="N1803" s="45">
        <f>IFERROR(__xludf.DUMMYFUNCTION("""COMPUTED_VALUE"""),45275.0)</f>
        <v>45275</v>
      </c>
      <c r="O1803" s="45">
        <f>IFERROR(__xludf.DUMMYFUNCTION("""COMPUTED_VALUE"""),45505.0)</f>
        <v>45505</v>
      </c>
      <c r="P1803" s="45">
        <f>IFERROR(__xludf.DUMMYFUNCTION("""COMPUTED_VALUE"""),45547.0)</f>
        <v>45547</v>
      </c>
      <c r="Q1803" s="45"/>
      <c r="R1803" s="45"/>
      <c r="S1803" s="43"/>
      <c r="T1803" s="43"/>
      <c r="U1803" s="43" t="str">
        <f>IFERROR(__xludf.DUMMYFUNCTION("""COMPUTED_VALUE"""),"Global Classroom")</f>
        <v>Global Classroom</v>
      </c>
      <c r="V1803" s="43" t="str">
        <f>IFERROR(__xludf.DUMMYFUNCTION("""COMPUTED_VALUE"""),"ESPRIT El Ghazela ")</f>
        <v>ESPRIT El Ghazela </v>
      </c>
      <c r="W1803" s="43" t="str">
        <f>IFERROR(__xludf.DUMMYFUNCTION("""COMPUTED_VALUE"""),"2023-12-14T18:32:12Z")</f>
        <v>2023-12-14T18:32:12Z</v>
      </c>
      <c r="X1803" s="43"/>
      <c r="Y1803" s="43"/>
      <c r="Z1803" s="43"/>
    </row>
    <row r="1804" hidden="1">
      <c r="A1804" s="43" t="str">
        <f>IFERROR(__xludf.DUMMYFUNCTION("""COMPUTED_VALUE"""),"5390284_1289536")</f>
        <v>5390284_1289536</v>
      </c>
      <c r="B1804" s="43" t="str">
        <f>IFERROR(__xludf.DUMMYFUNCTION("""COMPUTED_VALUE"""),"Ons Amorri")</f>
        <v>Ons Amorri</v>
      </c>
      <c r="C1804" s="43" t="str">
        <f>IFERROR(__xludf.DUMMYFUNCTION("""COMPUTED_VALUE"""),"approved")</f>
        <v>approved</v>
      </c>
      <c r="D1804" s="43" t="str">
        <f>IFERROR(__xludf.DUMMYFUNCTION("""COMPUTED_VALUE"""),"No")</f>
        <v>No</v>
      </c>
      <c r="E1804" s="43" t="str">
        <f>IFERROR(__xludf.DUMMYFUNCTION("""COMPUTED_VALUE"""),"p_42376bc7cd4d480524142d0f073830bb4efb37f6@inbound.aiesec.org")</f>
        <v>p_42376bc7cd4d480524142d0f073830bb4efb37f6@inbound.aiesec.org</v>
      </c>
      <c r="F1804" s="43">
        <f>IFERROR(__xludf.DUMMYFUNCTION("""COMPUTED_VALUE"""),2.7100103E7)</f>
        <v>27100103</v>
      </c>
      <c r="G1804" s="43" t="str">
        <f>IFERROR(__xludf.DUMMYFUNCTION("""COMPUTED_VALUE"""),"Tunisia")</f>
        <v>Tunisia</v>
      </c>
      <c r="H1804" s="43" t="str">
        <f>IFERROR(__xludf.DUMMYFUNCTION("""COMPUTED_VALUE"""),"BARDO")</f>
        <v>BARDO</v>
      </c>
      <c r="I1804" s="43" t="str">
        <f>IFERROR(__xludf.DUMMYFUNCTION("""COMPUTED_VALUE"""),"Turkey")</f>
        <v>Turkey</v>
      </c>
      <c r="J1804" s="43" t="str">
        <f>IFERROR(__xludf.DUMMYFUNCTION("""COMPUTED_VALUE"""),"ISTANBUL")</f>
        <v>ISTANBUL</v>
      </c>
      <c r="K1804" s="44" t="str">
        <f>IFERROR(__xludf.DUMMYFUNCTION("""COMPUTED_VALUE"""),"https://expa.aiesec.org/opportunities/1289536")</f>
        <v>https://expa.aiesec.org/opportunities/1289536</v>
      </c>
      <c r="L1804" s="43" t="str">
        <f>IFERROR(__xludf.DUMMYFUNCTION("""COMPUTED_VALUE"""),"GV")</f>
        <v>GV</v>
      </c>
      <c r="M1804" s="43" t="str">
        <f>IFERROR(__xludf.DUMMYFUNCTION("""COMPUTED_VALUE"""),"short")</f>
        <v>short</v>
      </c>
      <c r="N1804" s="45">
        <f>IFERROR(__xludf.DUMMYFUNCTION("""COMPUTED_VALUE"""),45275.0)</f>
        <v>45275</v>
      </c>
      <c r="O1804" s="45">
        <f>IFERROR(__xludf.DUMMYFUNCTION("""COMPUTED_VALUE"""),45505.0)</f>
        <v>45505</v>
      </c>
      <c r="P1804" s="45">
        <f>IFERROR(__xludf.DUMMYFUNCTION("""COMPUTED_VALUE"""),45547.0)</f>
        <v>45547</v>
      </c>
      <c r="Q1804" s="45"/>
      <c r="R1804" s="45"/>
      <c r="S1804" s="43"/>
      <c r="T1804" s="43"/>
      <c r="U1804" s="43" t="str">
        <f>IFERROR(__xludf.DUMMYFUNCTION("""COMPUTED_VALUE"""),"Global Classroom")</f>
        <v>Global Classroom</v>
      </c>
      <c r="V1804" s="43" t="str">
        <f>IFERROR(__xludf.DUMMYFUNCTION("""COMPUTED_VALUE"""),"ESPRIT El Ghazela ")</f>
        <v>ESPRIT El Ghazela </v>
      </c>
      <c r="W1804" s="43" t="str">
        <f>IFERROR(__xludf.DUMMYFUNCTION("""COMPUTED_VALUE"""),"2023-12-14T18:35:34Z")</f>
        <v>2023-12-14T18:35:34Z</v>
      </c>
      <c r="X1804" s="43"/>
      <c r="Y1804" s="43"/>
      <c r="Z1804" s="43"/>
    </row>
    <row r="1805" hidden="1">
      <c r="A1805" s="43" t="str">
        <f>IFERROR(__xludf.DUMMYFUNCTION("""COMPUTED_VALUE"""),"5363479_1300837")</f>
        <v>5363479_1300837</v>
      </c>
      <c r="B1805" s="43" t="str">
        <f>IFERROR(__xludf.DUMMYFUNCTION("""COMPUTED_VALUE"""),"Teona Tofan")</f>
        <v>Teona Tofan</v>
      </c>
      <c r="C1805" s="43" t="str">
        <f>IFERROR(__xludf.DUMMYFUNCTION("""COMPUTED_VALUE"""),"approved")</f>
        <v>approved</v>
      </c>
      <c r="D1805" s="43" t="str">
        <f>IFERROR(__xludf.DUMMYFUNCTION("""COMPUTED_VALUE"""),"No")</f>
        <v>No</v>
      </c>
      <c r="E1805" s="43" t="str">
        <f>IFERROR(__xludf.DUMMYFUNCTION("""COMPUTED_VALUE"""),"p_ee1407c1c1674ead1a2c26bbfa35923e151e8c45@inbound.aiesec.org")</f>
        <v>p_ee1407c1c1674ead1a2c26bbfa35923e151e8c45@inbound.aiesec.org</v>
      </c>
      <c r="F1805" s="43"/>
      <c r="G1805" s="43" t="str">
        <f>IFERROR(__xludf.DUMMYFUNCTION("""COMPUTED_VALUE"""),"Romania")</f>
        <v>Romania</v>
      </c>
      <c r="H1805" s="43" t="str">
        <f>IFERROR(__xludf.DUMMYFUNCTION("""COMPUTED_VALUE"""),"IASI")</f>
        <v>IASI</v>
      </c>
      <c r="I1805" s="43" t="str">
        <f>IFERROR(__xludf.DUMMYFUNCTION("""COMPUTED_VALUE"""),"Turkey")</f>
        <v>Turkey</v>
      </c>
      <c r="J1805" s="43" t="str">
        <f>IFERROR(__xludf.DUMMYFUNCTION("""COMPUTED_VALUE"""),"KUTAHYA")</f>
        <v>KUTAHYA</v>
      </c>
      <c r="K1805" s="44" t="str">
        <f>IFERROR(__xludf.DUMMYFUNCTION("""COMPUTED_VALUE"""),"https://expa.aiesec.org/opportunities/1300837")</f>
        <v>https://expa.aiesec.org/opportunities/1300837</v>
      </c>
      <c r="L1805" s="43" t="str">
        <f>IFERROR(__xludf.DUMMYFUNCTION("""COMPUTED_VALUE"""),"GV")</f>
        <v>GV</v>
      </c>
      <c r="M1805" s="43" t="str">
        <f>IFERROR(__xludf.DUMMYFUNCTION("""COMPUTED_VALUE"""),"short")</f>
        <v>short</v>
      </c>
      <c r="N1805" s="45">
        <f>IFERROR(__xludf.DUMMYFUNCTION("""COMPUTED_VALUE"""),45275.0)</f>
        <v>45275</v>
      </c>
      <c r="O1805" s="45">
        <f>IFERROR(__xludf.DUMMYFUNCTION("""COMPUTED_VALUE"""),45495.0)</f>
        <v>45495</v>
      </c>
      <c r="P1805" s="45">
        <f>IFERROR(__xludf.DUMMYFUNCTION("""COMPUTED_VALUE"""),45537.0)</f>
        <v>45537</v>
      </c>
      <c r="Q1805" s="45"/>
      <c r="R1805" s="45"/>
      <c r="S1805" s="43"/>
      <c r="T1805" s="43"/>
      <c r="U1805" s="43" t="str">
        <f>IFERROR(__xludf.DUMMYFUNCTION("""COMPUTED_VALUE"""),"On The Map")</f>
        <v>On The Map</v>
      </c>
      <c r="V1805" s="43" t="str">
        <f>IFERROR(__xludf.DUMMYFUNCTION("""COMPUTED_VALUE"""),"-")</f>
        <v>-</v>
      </c>
      <c r="W1805" s="43" t="str">
        <f>IFERROR(__xludf.DUMMYFUNCTION("""COMPUTED_VALUE"""),"2023-10-30T14:51:41Z")</f>
        <v>2023-10-30T14:51:41Z</v>
      </c>
      <c r="X1805" s="43"/>
      <c r="Y1805" s="43"/>
      <c r="Z1805" s="43"/>
    </row>
    <row r="1806" hidden="1">
      <c r="A1806" s="43" t="str">
        <f>IFERROR(__xludf.DUMMYFUNCTION("""COMPUTED_VALUE"""),"5390850_1301556")</f>
        <v>5390850_1301556</v>
      </c>
      <c r="B1806" s="43" t="str">
        <f>IFERROR(__xludf.DUMMYFUNCTION("""COMPUTED_VALUE"""),"Eya Jayed")</f>
        <v>Eya Jayed</v>
      </c>
      <c r="C1806" s="43" t="str">
        <f>IFERROR(__xludf.DUMMYFUNCTION("""COMPUTED_VALUE"""),"approved")</f>
        <v>approved</v>
      </c>
      <c r="D1806" s="43" t="str">
        <f>IFERROR(__xludf.DUMMYFUNCTION("""COMPUTED_VALUE"""),"No")</f>
        <v>No</v>
      </c>
      <c r="E1806" s="43" t="str">
        <f>IFERROR(__xludf.DUMMYFUNCTION("""COMPUTED_VALUE"""),"p_69eef509ee17076ff6398b62cb0dc0998b1e1c41@inbound.aiesec.org")</f>
        <v>p_69eef509ee17076ff6398b62cb0dc0998b1e1c41@inbound.aiesec.org</v>
      </c>
      <c r="F1806" s="43">
        <f>IFERROR(__xludf.DUMMYFUNCTION("""COMPUTED_VALUE"""),2.9730493E7)</f>
        <v>29730493</v>
      </c>
      <c r="G1806" s="43" t="str">
        <f>IFERROR(__xludf.DUMMYFUNCTION("""COMPUTED_VALUE"""),"Tunisia")</f>
        <v>Tunisia</v>
      </c>
      <c r="H1806" s="43" t="str">
        <f>IFERROR(__xludf.DUMMYFUNCTION("""COMPUTED_VALUE"""),"HADRUMET")</f>
        <v>HADRUMET</v>
      </c>
      <c r="I1806" s="43" t="str">
        <f>IFERROR(__xludf.DUMMYFUNCTION("""COMPUTED_VALUE"""),"Turkey")</f>
        <v>Turkey</v>
      </c>
      <c r="J1806" s="43" t="str">
        <f>IFERROR(__xludf.DUMMYFUNCTION("""COMPUTED_VALUE"""),"KOCAELI")</f>
        <v>KOCAELI</v>
      </c>
      <c r="K1806" s="44" t="str">
        <f>IFERROR(__xludf.DUMMYFUNCTION("""COMPUTED_VALUE"""),"https://expa.aiesec.org/opportunities/1301556")</f>
        <v>https://expa.aiesec.org/opportunities/1301556</v>
      </c>
      <c r="L1806" s="43" t="str">
        <f>IFERROR(__xludf.DUMMYFUNCTION("""COMPUTED_VALUE"""),"GV")</f>
        <v>GV</v>
      </c>
      <c r="M1806" s="43" t="str">
        <f>IFERROR(__xludf.DUMMYFUNCTION("""COMPUTED_VALUE"""),"short")</f>
        <v>short</v>
      </c>
      <c r="N1806" s="45">
        <f>IFERROR(__xludf.DUMMYFUNCTION("""COMPUTED_VALUE"""),45275.0)</f>
        <v>45275</v>
      </c>
      <c r="O1806" s="45">
        <f>IFERROR(__xludf.DUMMYFUNCTION("""COMPUTED_VALUE"""),45369.0)</f>
        <v>45369</v>
      </c>
      <c r="P1806" s="45">
        <f>IFERROR(__xludf.DUMMYFUNCTION("""COMPUTED_VALUE"""),45411.0)</f>
        <v>45411</v>
      </c>
      <c r="Q1806" s="45"/>
      <c r="R1806" s="45"/>
      <c r="S1806" s="43"/>
      <c r="T1806" s="43"/>
      <c r="U1806" s="43" t="str">
        <f>IFERROR(__xludf.DUMMYFUNCTION("""COMPUTED_VALUE"""),"Global Classroom")</f>
        <v>Global Classroom</v>
      </c>
      <c r="V1806" s="43" t="str">
        <f>IFERROR(__xludf.DUMMYFUNCTION("""COMPUTED_VALUE"""),"ISIT COM Sousse")</f>
        <v>ISIT COM Sousse</v>
      </c>
      <c r="W1806" s="43" t="str">
        <f>IFERROR(__xludf.DUMMYFUNCTION("""COMPUTED_VALUE"""),"2023-12-15T20:26:14Z")</f>
        <v>2023-12-15T20:26:14Z</v>
      </c>
      <c r="X1806" s="43"/>
      <c r="Y1806" s="43"/>
      <c r="Z1806" s="43"/>
    </row>
    <row r="1807" hidden="1">
      <c r="A1807" s="43" t="str">
        <f>IFERROR(__xludf.DUMMYFUNCTION("""COMPUTED_VALUE"""),"5390813_1296670")</f>
        <v>5390813_1296670</v>
      </c>
      <c r="B1807" s="43" t="str">
        <f>IFERROR(__xludf.DUMMYFUNCTION("""COMPUTED_VALUE"""),"Amine Hasnaoui")</f>
        <v>Amine Hasnaoui</v>
      </c>
      <c r="C1807" s="43" t="str">
        <f>IFERROR(__xludf.DUMMYFUNCTION("""COMPUTED_VALUE"""),"approved")</f>
        <v>approved</v>
      </c>
      <c r="D1807" s="43" t="str">
        <f>IFERROR(__xludf.DUMMYFUNCTION("""COMPUTED_VALUE"""),"No")</f>
        <v>No</v>
      </c>
      <c r="E1807" s="43" t="str">
        <f>IFERROR(__xludf.DUMMYFUNCTION("""COMPUTED_VALUE"""),"p_8f318eba609e5908caa11cd0d67f9c8c47ac2a21@inbound.aiesec.org")</f>
        <v>p_8f318eba609e5908caa11cd0d67f9c8c47ac2a21@inbound.aiesec.org</v>
      </c>
      <c r="F1807" s="43">
        <f>IFERROR(__xludf.DUMMYFUNCTION("""COMPUTED_VALUE"""),5.2766844E7)</f>
        <v>52766844</v>
      </c>
      <c r="G1807" s="43" t="str">
        <f>IFERROR(__xludf.DUMMYFUNCTION("""COMPUTED_VALUE"""),"Tunisia")</f>
        <v>Tunisia</v>
      </c>
      <c r="H1807" s="43" t="str">
        <f>IFERROR(__xludf.DUMMYFUNCTION("""COMPUTED_VALUE"""),"UNIVERSITY")</f>
        <v>UNIVERSITY</v>
      </c>
      <c r="I1807" s="43" t="str">
        <f>IFERROR(__xludf.DUMMYFUNCTION("""COMPUTED_VALUE"""),"Turkey")</f>
        <v>Turkey</v>
      </c>
      <c r="J1807" s="43" t="str">
        <f>IFERROR(__xludf.DUMMYFUNCTION("""COMPUTED_VALUE"""),"BURSA")</f>
        <v>BURSA</v>
      </c>
      <c r="K1807" s="44" t="str">
        <f>IFERROR(__xludf.DUMMYFUNCTION("""COMPUTED_VALUE"""),"https://expa.aiesec.org/opportunities/1296670")</f>
        <v>https://expa.aiesec.org/opportunities/1296670</v>
      </c>
      <c r="L1807" s="43" t="str">
        <f>IFERROR(__xludf.DUMMYFUNCTION("""COMPUTED_VALUE"""),"GV")</f>
        <v>GV</v>
      </c>
      <c r="M1807" s="43" t="str">
        <f>IFERROR(__xludf.DUMMYFUNCTION("""COMPUTED_VALUE"""),"short")</f>
        <v>short</v>
      </c>
      <c r="N1807" s="45">
        <f>IFERROR(__xludf.DUMMYFUNCTION("""COMPUTED_VALUE"""),45275.0)</f>
        <v>45275</v>
      </c>
      <c r="O1807" s="45">
        <f>IFERROR(__xludf.DUMMYFUNCTION("""COMPUTED_VALUE"""),45424.0)</f>
        <v>45424</v>
      </c>
      <c r="P1807" s="45">
        <f>IFERROR(__xludf.DUMMYFUNCTION("""COMPUTED_VALUE"""),45466.0)</f>
        <v>45466</v>
      </c>
      <c r="Q1807" s="45"/>
      <c r="R1807" s="45"/>
      <c r="S1807" s="43"/>
      <c r="T1807" s="43"/>
      <c r="U1807" s="43" t="str">
        <f>IFERROR(__xludf.DUMMYFUNCTION("""COMPUTED_VALUE"""),"Youth 4 Impact")</f>
        <v>Youth 4 Impact</v>
      </c>
      <c r="V1807" s="43" t="str">
        <f>IFERROR(__xludf.DUMMYFUNCTION("""COMPUTED_VALUE"""),"FST")</f>
        <v>FST</v>
      </c>
      <c r="W1807" s="43" t="str">
        <f>IFERROR(__xludf.DUMMYFUNCTION("""COMPUTED_VALUE"""),"2023-12-15T19:26:40Z")</f>
        <v>2023-12-15T19:26:40Z</v>
      </c>
      <c r="X1807" s="43"/>
      <c r="Y1807" s="43"/>
      <c r="Z1807" s="43"/>
    </row>
    <row r="1808" hidden="1">
      <c r="A1808" s="43" t="str">
        <f>IFERROR(__xludf.DUMMYFUNCTION("""COMPUTED_VALUE"""),"4776009_1296670")</f>
        <v>4776009_1296670</v>
      </c>
      <c r="B1808" s="43" t="str">
        <f>IFERROR(__xludf.DUMMYFUNCTION("""COMPUTED_VALUE"""),"Lamouchi Yasmine")</f>
        <v>Lamouchi Yasmine</v>
      </c>
      <c r="C1808" s="43" t="str">
        <f>IFERROR(__xludf.DUMMYFUNCTION("""COMPUTED_VALUE"""),"approved")</f>
        <v>approved</v>
      </c>
      <c r="D1808" s="43" t="str">
        <f>IFERROR(__xludf.DUMMYFUNCTION("""COMPUTED_VALUE"""),"No")</f>
        <v>No</v>
      </c>
      <c r="E1808" s="43" t="str">
        <f>IFERROR(__xludf.DUMMYFUNCTION("""COMPUTED_VALUE"""),"p_d021530f006827a94260beb397e98f90415e06d0@inbound.aiesec.org")</f>
        <v>p_d021530f006827a94260beb397e98f90415e06d0@inbound.aiesec.org</v>
      </c>
      <c r="F1808" s="43">
        <f>IFERROR(__xludf.DUMMYFUNCTION("""COMPUTED_VALUE"""),9.5243802E7)</f>
        <v>95243802</v>
      </c>
      <c r="G1808" s="43" t="str">
        <f>IFERROR(__xludf.DUMMYFUNCTION("""COMPUTED_VALUE"""),"Tunisia")</f>
        <v>Tunisia</v>
      </c>
      <c r="H1808" s="43" t="str">
        <f>IFERROR(__xludf.DUMMYFUNCTION("""COMPUTED_VALUE"""),"UNIVERSITY")</f>
        <v>UNIVERSITY</v>
      </c>
      <c r="I1808" s="43" t="str">
        <f>IFERROR(__xludf.DUMMYFUNCTION("""COMPUTED_VALUE"""),"Turkey")</f>
        <v>Turkey</v>
      </c>
      <c r="J1808" s="43" t="str">
        <f>IFERROR(__xludf.DUMMYFUNCTION("""COMPUTED_VALUE"""),"BURSA")</f>
        <v>BURSA</v>
      </c>
      <c r="K1808" s="44" t="str">
        <f>IFERROR(__xludf.DUMMYFUNCTION("""COMPUTED_VALUE"""),"https://expa.aiesec.org/opportunities/1296670")</f>
        <v>https://expa.aiesec.org/opportunities/1296670</v>
      </c>
      <c r="L1808" s="43" t="str">
        <f>IFERROR(__xludf.DUMMYFUNCTION("""COMPUTED_VALUE"""),"GV")</f>
        <v>GV</v>
      </c>
      <c r="M1808" s="43" t="str">
        <f>IFERROR(__xludf.DUMMYFUNCTION("""COMPUTED_VALUE"""),"short")</f>
        <v>short</v>
      </c>
      <c r="N1808" s="45">
        <f>IFERROR(__xludf.DUMMYFUNCTION("""COMPUTED_VALUE"""),45275.0)</f>
        <v>45275</v>
      </c>
      <c r="O1808" s="45">
        <f>IFERROR(__xludf.DUMMYFUNCTION("""COMPUTED_VALUE"""),45424.0)</f>
        <v>45424</v>
      </c>
      <c r="P1808" s="45">
        <f>IFERROR(__xludf.DUMMYFUNCTION("""COMPUTED_VALUE"""),45466.0)</f>
        <v>45466</v>
      </c>
      <c r="Q1808" s="45"/>
      <c r="R1808" s="45"/>
      <c r="S1808" s="43"/>
      <c r="T1808" s="43"/>
      <c r="U1808" s="43" t="str">
        <f>IFERROR(__xludf.DUMMYFUNCTION("""COMPUTED_VALUE"""),"Youth 4 Impact")</f>
        <v>Youth 4 Impact</v>
      </c>
      <c r="V1808" s="43" t="str">
        <f>IFERROR(__xludf.DUMMYFUNCTION("""COMPUTED_VALUE"""),"École supérieure des sciences et techniques de la santé de Tunis ESSTST")</f>
        <v>École supérieure des sciences et techniques de la santé de Tunis ESSTST</v>
      </c>
      <c r="W1808" s="43" t="str">
        <f>IFERROR(__xludf.DUMMYFUNCTION("""COMPUTED_VALUE"""),"2021-10-27T17:07:04Z")</f>
        <v>2021-10-27T17:07:04Z</v>
      </c>
      <c r="X1808" s="43"/>
      <c r="Y1808" s="43"/>
      <c r="Z1808" s="43"/>
    </row>
    <row r="1809" hidden="1">
      <c r="A1809" s="43" t="str">
        <f>IFERROR(__xludf.DUMMYFUNCTION("""COMPUTED_VALUE"""),"5390814_1298284")</f>
        <v>5390814_1298284</v>
      </c>
      <c r="B1809" s="43" t="str">
        <f>IFERROR(__xludf.DUMMYFUNCTION("""COMPUTED_VALUE"""),"Sirine Nefzi")</f>
        <v>Sirine Nefzi</v>
      </c>
      <c r="C1809" s="43" t="str">
        <f>IFERROR(__xludf.DUMMYFUNCTION("""COMPUTED_VALUE"""),"approved")</f>
        <v>approved</v>
      </c>
      <c r="D1809" s="43" t="str">
        <f>IFERROR(__xludf.DUMMYFUNCTION("""COMPUTED_VALUE"""),"No")</f>
        <v>No</v>
      </c>
      <c r="E1809" s="43" t="str">
        <f>IFERROR(__xludf.DUMMYFUNCTION("""COMPUTED_VALUE"""),"p_3da46a780f35b0f62ea834cbee6c8715218e8fc4@inbound.aiesec.org")</f>
        <v>p_3da46a780f35b0f62ea834cbee6c8715218e8fc4@inbound.aiesec.org</v>
      </c>
      <c r="F1809" s="43">
        <f>IFERROR(__xludf.DUMMYFUNCTION("""COMPUTED_VALUE"""),5.3145199E7)</f>
        <v>53145199</v>
      </c>
      <c r="G1809" s="43" t="str">
        <f>IFERROR(__xludf.DUMMYFUNCTION("""COMPUTED_VALUE"""),"Tunisia")</f>
        <v>Tunisia</v>
      </c>
      <c r="H1809" s="43" t="str">
        <f>IFERROR(__xludf.DUMMYFUNCTION("""COMPUTED_VALUE"""),"BARDO")</f>
        <v>BARDO</v>
      </c>
      <c r="I1809" s="43" t="str">
        <f>IFERROR(__xludf.DUMMYFUNCTION("""COMPUTED_VALUE"""),"Turkey")</f>
        <v>Turkey</v>
      </c>
      <c r="J1809" s="43" t="str">
        <f>IFERROR(__xludf.DUMMYFUNCTION("""COMPUTED_VALUE"""),"ISTANBUL")</f>
        <v>ISTANBUL</v>
      </c>
      <c r="K1809" s="44" t="str">
        <f>IFERROR(__xludf.DUMMYFUNCTION("""COMPUTED_VALUE"""),"https://expa.aiesec.org/opportunities/1298284")</f>
        <v>https://expa.aiesec.org/opportunities/1298284</v>
      </c>
      <c r="L1809" s="43" t="str">
        <f>IFERROR(__xludf.DUMMYFUNCTION("""COMPUTED_VALUE"""),"GV")</f>
        <v>GV</v>
      </c>
      <c r="M1809" s="43" t="str">
        <f>IFERROR(__xludf.DUMMYFUNCTION("""COMPUTED_VALUE"""),"short")</f>
        <v>short</v>
      </c>
      <c r="N1809" s="45">
        <f>IFERROR(__xludf.DUMMYFUNCTION("""COMPUTED_VALUE"""),45275.0)</f>
        <v>45275</v>
      </c>
      <c r="O1809" s="45">
        <f>IFERROR(__xludf.DUMMYFUNCTION("""COMPUTED_VALUE"""),45505.0)</f>
        <v>45505</v>
      </c>
      <c r="P1809" s="45">
        <f>IFERROR(__xludf.DUMMYFUNCTION("""COMPUTED_VALUE"""),45547.0)</f>
        <v>45547</v>
      </c>
      <c r="Q1809" s="45"/>
      <c r="R1809" s="45"/>
      <c r="S1809" s="43"/>
      <c r="T1809" s="43"/>
      <c r="U1809" s="43" t="str">
        <f>IFERROR(__xludf.DUMMYFUNCTION("""COMPUTED_VALUE"""),"Global Classroom")</f>
        <v>Global Classroom</v>
      </c>
      <c r="V1809" s="43" t="str">
        <f>IFERROR(__xludf.DUMMYFUNCTION("""COMPUTED_VALUE"""),"TBS")</f>
        <v>TBS</v>
      </c>
      <c r="W1809" s="43" t="str">
        <f>IFERROR(__xludf.DUMMYFUNCTION("""COMPUTED_VALUE"""),"2023-12-15T19:28:30Z")</f>
        <v>2023-12-15T19:28:30Z</v>
      </c>
      <c r="X1809" s="43"/>
      <c r="Y1809" s="43"/>
      <c r="Z1809" s="43"/>
    </row>
    <row r="1810" hidden="1">
      <c r="A1810" s="43" t="str">
        <f>IFERROR(__xludf.DUMMYFUNCTION("""COMPUTED_VALUE"""),"5390824_1296671")</f>
        <v>5390824_1296671</v>
      </c>
      <c r="B1810" s="43" t="str">
        <f>IFERROR(__xludf.DUMMYFUNCTION("""COMPUTED_VALUE"""),"Amine Sellami")</f>
        <v>Amine Sellami</v>
      </c>
      <c r="C1810" s="43" t="str">
        <f>IFERROR(__xludf.DUMMYFUNCTION("""COMPUTED_VALUE"""),"approved")</f>
        <v>approved</v>
      </c>
      <c r="D1810" s="43" t="str">
        <f>IFERROR(__xludf.DUMMYFUNCTION("""COMPUTED_VALUE"""),"No")</f>
        <v>No</v>
      </c>
      <c r="E1810" s="43" t="str">
        <f>IFERROR(__xludf.DUMMYFUNCTION("""COMPUTED_VALUE"""),"p_cda2618dc42f1d6dbd383edb30ad4f85e8ec0875@inbound.aiesec.org")</f>
        <v>p_cda2618dc42f1d6dbd383edb30ad4f85e8ec0875@inbound.aiesec.org</v>
      </c>
      <c r="F1810" s="43">
        <f>IFERROR(__xludf.DUMMYFUNCTION("""COMPUTED_VALUE"""),5.5880043E7)</f>
        <v>55880043</v>
      </c>
      <c r="G1810" s="43" t="str">
        <f>IFERROR(__xludf.DUMMYFUNCTION("""COMPUTED_VALUE"""),"Tunisia")</f>
        <v>Tunisia</v>
      </c>
      <c r="H1810" s="43" t="str">
        <f>IFERROR(__xludf.DUMMYFUNCTION("""COMPUTED_VALUE"""),"UNIVERSITY")</f>
        <v>UNIVERSITY</v>
      </c>
      <c r="I1810" s="43" t="str">
        <f>IFERROR(__xludf.DUMMYFUNCTION("""COMPUTED_VALUE"""),"Turkey")</f>
        <v>Turkey</v>
      </c>
      <c r="J1810" s="43" t="str">
        <f>IFERROR(__xludf.DUMMYFUNCTION("""COMPUTED_VALUE"""),"BURSA")</f>
        <v>BURSA</v>
      </c>
      <c r="K1810" s="44" t="str">
        <f>IFERROR(__xludf.DUMMYFUNCTION("""COMPUTED_VALUE"""),"https://expa.aiesec.org/opportunities/1296671")</f>
        <v>https://expa.aiesec.org/opportunities/1296671</v>
      </c>
      <c r="L1810" s="43" t="str">
        <f>IFERROR(__xludf.DUMMYFUNCTION("""COMPUTED_VALUE"""),"GV")</f>
        <v>GV</v>
      </c>
      <c r="M1810" s="43" t="str">
        <f>IFERROR(__xludf.DUMMYFUNCTION("""COMPUTED_VALUE"""),"short")</f>
        <v>short</v>
      </c>
      <c r="N1810" s="45">
        <f>IFERROR(__xludf.DUMMYFUNCTION("""COMPUTED_VALUE"""),45275.0)</f>
        <v>45275</v>
      </c>
      <c r="O1810" s="45">
        <f>IFERROR(__xludf.DUMMYFUNCTION("""COMPUTED_VALUE"""),45431.0)</f>
        <v>45431</v>
      </c>
      <c r="P1810" s="45">
        <f>IFERROR(__xludf.DUMMYFUNCTION("""COMPUTED_VALUE"""),45473.0)</f>
        <v>45473</v>
      </c>
      <c r="Q1810" s="45"/>
      <c r="R1810" s="45"/>
      <c r="S1810" s="43"/>
      <c r="T1810" s="43"/>
      <c r="U1810" s="43" t="str">
        <f>IFERROR(__xludf.DUMMYFUNCTION("""COMPUTED_VALUE"""),"Youth 4 Impact")</f>
        <v>Youth 4 Impact</v>
      </c>
      <c r="V1810" s="43" t="str">
        <f>IFERROR(__xludf.DUMMYFUNCTION("""COMPUTED_VALUE"""),"FST")</f>
        <v>FST</v>
      </c>
      <c r="W1810" s="43" t="str">
        <f>IFERROR(__xludf.DUMMYFUNCTION("""COMPUTED_VALUE"""),"2023-12-15T19:38:15Z")</f>
        <v>2023-12-15T19:38:15Z</v>
      </c>
      <c r="X1810" s="43"/>
      <c r="Y1810" s="43"/>
      <c r="Z1810" s="43"/>
    </row>
    <row r="1811" hidden="1">
      <c r="A1811" s="43" t="str">
        <f>IFERROR(__xludf.DUMMYFUNCTION("""COMPUTED_VALUE"""),"5389712_1295893")</f>
        <v>5389712_1295893</v>
      </c>
      <c r="B1811" s="43" t="str">
        <f>IFERROR(__xludf.DUMMYFUNCTION("""COMPUTED_VALUE"""),"Mariam Mohamed maher")</f>
        <v>Mariam Mohamed maher</v>
      </c>
      <c r="C1811" s="43" t="str">
        <f>IFERROR(__xludf.DUMMYFUNCTION("""COMPUTED_VALUE"""),"approved")</f>
        <v>approved</v>
      </c>
      <c r="D1811" s="43" t="str">
        <f>IFERROR(__xludf.DUMMYFUNCTION("""COMPUTED_VALUE"""),"No")</f>
        <v>No</v>
      </c>
      <c r="E1811" s="43" t="str">
        <f>IFERROR(__xludf.DUMMYFUNCTION("""COMPUTED_VALUE"""),"p_4a124b466c1a5d4231fb268052d4deaaaaaa70f6@inbound.aiesec.org")</f>
        <v>p_4a124b466c1a5d4231fb268052d4deaaaaaa70f6@inbound.aiesec.org</v>
      </c>
      <c r="F1811" s="43">
        <f>IFERROR(__xludf.DUMMYFUNCTION("""COMPUTED_VALUE"""),1.063779549E9)</f>
        <v>1063779549</v>
      </c>
      <c r="G1811" s="43" t="str">
        <f>IFERROR(__xludf.DUMMYFUNCTION("""COMPUTED_VALUE"""),"Egypt")</f>
        <v>Egypt</v>
      </c>
      <c r="H1811" s="43" t="str">
        <f>IFERROR(__xludf.DUMMYFUNCTION("""COMPUTED_VALUE"""),"MUST")</f>
        <v>MUST</v>
      </c>
      <c r="I1811" s="43" t="str">
        <f>IFERROR(__xludf.DUMMYFUNCTION("""COMPUTED_VALUE"""),"Turkey")</f>
        <v>Turkey</v>
      </c>
      <c r="J1811" s="43" t="str">
        <f>IFERROR(__xludf.DUMMYFUNCTION("""COMPUTED_VALUE"""),"ADANA")</f>
        <v>ADANA</v>
      </c>
      <c r="K1811" s="44" t="str">
        <f>IFERROR(__xludf.DUMMYFUNCTION("""COMPUTED_VALUE"""),"https://expa.aiesec.org/opportunities/1295893")</f>
        <v>https://expa.aiesec.org/opportunities/1295893</v>
      </c>
      <c r="L1811" s="43" t="str">
        <f>IFERROR(__xludf.DUMMYFUNCTION("""COMPUTED_VALUE"""),"GV")</f>
        <v>GV</v>
      </c>
      <c r="M1811" s="43" t="str">
        <f>IFERROR(__xludf.DUMMYFUNCTION("""COMPUTED_VALUE"""),"short")</f>
        <v>short</v>
      </c>
      <c r="N1811" s="45">
        <f>IFERROR(__xludf.DUMMYFUNCTION("""COMPUTED_VALUE"""),45276.0)</f>
        <v>45276</v>
      </c>
      <c r="O1811" s="45">
        <f>IFERROR(__xludf.DUMMYFUNCTION("""COMPUTED_VALUE"""),45362.0)</f>
        <v>45362</v>
      </c>
      <c r="P1811" s="45">
        <f>IFERROR(__xludf.DUMMYFUNCTION("""COMPUTED_VALUE"""),45408.0)</f>
        <v>45408</v>
      </c>
      <c r="Q1811" s="45"/>
      <c r="R1811" s="45"/>
      <c r="S1811" s="43"/>
      <c r="T1811" s="43"/>
      <c r="U1811" s="43" t="str">
        <f>IFERROR(__xludf.DUMMYFUNCTION("""COMPUTED_VALUE"""),"Global Classroom")</f>
        <v>Global Classroom</v>
      </c>
      <c r="V1811" s="43" t="str">
        <f>IFERROR(__xludf.DUMMYFUNCTION("""COMPUTED_VALUE"""),"MUST University")</f>
        <v>MUST University</v>
      </c>
      <c r="W1811" s="43" t="str">
        <f>IFERROR(__xludf.DUMMYFUNCTION("""COMPUTED_VALUE"""),"2023-12-13T19:00:53Z")</f>
        <v>2023-12-13T19:00:53Z</v>
      </c>
      <c r="X1811" s="43"/>
      <c r="Y1811" s="43"/>
      <c r="Z1811" s="43"/>
    </row>
    <row r="1812" hidden="1">
      <c r="A1812" s="43" t="str">
        <f>IFERROR(__xludf.DUMMYFUNCTION("""COMPUTED_VALUE"""),"5390936_1286326")</f>
        <v>5390936_1286326</v>
      </c>
      <c r="B1812" s="43" t="str">
        <f>IFERROR(__xludf.DUMMYFUNCTION("""COMPUTED_VALUE"""),"shahd hesham")</f>
        <v>shahd hesham</v>
      </c>
      <c r="C1812" s="43" t="str">
        <f>IFERROR(__xludf.DUMMYFUNCTION("""COMPUTED_VALUE"""),"approved")</f>
        <v>approved</v>
      </c>
      <c r="D1812" s="43" t="str">
        <f>IFERROR(__xludf.DUMMYFUNCTION("""COMPUTED_VALUE"""),"No")</f>
        <v>No</v>
      </c>
      <c r="E1812" s="43" t="str">
        <f>IFERROR(__xludf.DUMMYFUNCTION("""COMPUTED_VALUE"""),"p_40b81dd087dd5ae7099f5b0cff4f7f68bbb9e515@inbound.aiesec.org")</f>
        <v>p_40b81dd087dd5ae7099f5b0cff4f7f68bbb9e515@inbound.aiesec.org</v>
      </c>
      <c r="F1812" s="43">
        <f>IFERROR(__xludf.DUMMYFUNCTION("""COMPUTED_VALUE"""),1.207899951E9)</f>
        <v>1207899951</v>
      </c>
      <c r="G1812" s="43" t="str">
        <f>IFERROR(__xludf.DUMMYFUNCTION("""COMPUTED_VALUE"""),"Egypt")</f>
        <v>Egypt</v>
      </c>
      <c r="H1812" s="43" t="str">
        <f>IFERROR(__xludf.DUMMYFUNCTION("""COMPUTED_VALUE"""),"MUST")</f>
        <v>MUST</v>
      </c>
      <c r="I1812" s="43" t="str">
        <f>IFERROR(__xludf.DUMMYFUNCTION("""COMPUTED_VALUE"""),"Turkey")</f>
        <v>Turkey</v>
      </c>
      <c r="J1812" s="43" t="str">
        <f>IFERROR(__xludf.DUMMYFUNCTION("""COMPUTED_VALUE"""),"ADANA")</f>
        <v>ADANA</v>
      </c>
      <c r="K1812" s="44" t="str">
        <f>IFERROR(__xludf.DUMMYFUNCTION("""COMPUTED_VALUE"""),"https://expa.aiesec.org/opportunities/1286326")</f>
        <v>https://expa.aiesec.org/opportunities/1286326</v>
      </c>
      <c r="L1812" s="43" t="str">
        <f>IFERROR(__xludf.DUMMYFUNCTION("""COMPUTED_VALUE"""),"GV")</f>
        <v>GV</v>
      </c>
      <c r="M1812" s="43" t="str">
        <f>IFERROR(__xludf.DUMMYFUNCTION("""COMPUTED_VALUE"""),"short")</f>
        <v>short</v>
      </c>
      <c r="N1812" s="45">
        <f>IFERROR(__xludf.DUMMYFUNCTION("""COMPUTED_VALUE"""),45277.0)</f>
        <v>45277</v>
      </c>
      <c r="O1812" s="45">
        <f>IFERROR(__xludf.DUMMYFUNCTION("""COMPUTED_VALUE"""),45446.0)</f>
        <v>45446</v>
      </c>
      <c r="P1812" s="45">
        <f>IFERROR(__xludf.DUMMYFUNCTION("""COMPUTED_VALUE"""),45488.0)</f>
        <v>45488</v>
      </c>
      <c r="Q1812" s="45"/>
      <c r="R1812" s="45"/>
      <c r="S1812" s="43"/>
      <c r="T1812" s="43"/>
      <c r="U1812" s="43" t="str">
        <f>IFERROR(__xludf.DUMMYFUNCTION("""COMPUTED_VALUE"""),"Equify")</f>
        <v>Equify</v>
      </c>
      <c r="V1812" s="43" t="str">
        <f>IFERROR(__xludf.DUMMYFUNCTION("""COMPUTED_VALUE"""),"MUST University")</f>
        <v>MUST University</v>
      </c>
      <c r="W1812" s="43" t="str">
        <f>IFERROR(__xludf.DUMMYFUNCTION("""COMPUTED_VALUE"""),"2023-12-15T22:14:42Z")</f>
        <v>2023-12-15T22:14:42Z</v>
      </c>
      <c r="X1812" s="43"/>
      <c r="Y1812" s="43"/>
      <c r="Z1812" s="43"/>
    </row>
    <row r="1813" hidden="1">
      <c r="A1813" s="43" t="str">
        <f>IFERROR(__xludf.DUMMYFUNCTION("""COMPUTED_VALUE"""),"4871274_1300056")</f>
        <v>4871274_1300056</v>
      </c>
      <c r="B1813" s="43" t="str">
        <f>IFERROR(__xludf.DUMMYFUNCTION("""COMPUTED_VALUE"""),"KACIMOUSSA Djaber")</f>
        <v>KACIMOUSSA Djaber</v>
      </c>
      <c r="C1813" s="43" t="str">
        <f>IFERROR(__xludf.DUMMYFUNCTION("""COMPUTED_VALUE"""),"realized")</f>
        <v>realized</v>
      </c>
      <c r="D1813" s="43" t="str">
        <f>IFERROR(__xludf.DUMMYFUNCTION("""COMPUTED_VALUE"""),"No")</f>
        <v>No</v>
      </c>
      <c r="E1813" s="43" t="str">
        <f>IFERROR(__xludf.DUMMYFUNCTION("""COMPUTED_VALUE"""),"p_8e038d7471f58dcbd3d10c1dc754939b8d11753e@inbound.aiesec.org")</f>
        <v>p_8e038d7471f58dcbd3d10c1dc754939b8d11753e@inbound.aiesec.org</v>
      </c>
      <c r="F1813" s="43">
        <f>IFERROR(__xludf.DUMMYFUNCTION("""COMPUTED_VALUE"""),7.77756046E8)</f>
        <v>777756046</v>
      </c>
      <c r="G1813" s="43" t="str">
        <f>IFERROR(__xludf.DUMMYFUNCTION("""COMPUTED_VALUE"""),"Algeria")</f>
        <v>Algeria</v>
      </c>
      <c r="H1813" s="43" t="str">
        <f>IFERROR(__xludf.DUMMYFUNCTION("""COMPUTED_VALUE"""),"Babez")</f>
        <v>Babez</v>
      </c>
      <c r="I1813" s="43" t="str">
        <f>IFERROR(__xludf.DUMMYFUNCTION("""COMPUTED_VALUE"""),"Turkey")</f>
        <v>Turkey</v>
      </c>
      <c r="J1813" s="43" t="str">
        <f>IFERROR(__xludf.DUMMYFUNCTION("""COMPUTED_VALUE"""),"ANKARA")</f>
        <v>ANKARA</v>
      </c>
      <c r="K1813" s="44" t="str">
        <f>IFERROR(__xludf.DUMMYFUNCTION("""COMPUTED_VALUE"""),"https://expa.aiesec.org/opportunities/1300056")</f>
        <v>https://expa.aiesec.org/opportunities/1300056</v>
      </c>
      <c r="L1813" s="43" t="str">
        <f>IFERROR(__xludf.DUMMYFUNCTION("""COMPUTED_VALUE"""),"GV")</f>
        <v>GV</v>
      </c>
      <c r="M1813" s="43" t="str">
        <f>IFERROR(__xludf.DUMMYFUNCTION("""COMPUTED_VALUE"""),"short")</f>
        <v>short</v>
      </c>
      <c r="N1813" s="45">
        <f>IFERROR(__xludf.DUMMYFUNCTION("""COMPUTED_VALUE"""),45277.0)</f>
        <v>45277</v>
      </c>
      <c r="O1813" s="45">
        <f>IFERROR(__xludf.DUMMYFUNCTION("""COMPUTED_VALUE"""),45299.0)</f>
        <v>45299</v>
      </c>
      <c r="P1813" s="45">
        <f>IFERROR(__xludf.DUMMYFUNCTION("""COMPUTED_VALUE"""),45341.0)</f>
        <v>45341</v>
      </c>
      <c r="Q1813" s="45">
        <f>IFERROR(__xludf.DUMMYFUNCTION("""COMPUTED_VALUE"""),45305.0)</f>
        <v>45305</v>
      </c>
      <c r="R1813" s="45">
        <f>IFERROR(__xludf.DUMMYFUNCTION("""COMPUTED_VALUE"""),45345.0)</f>
        <v>45345</v>
      </c>
      <c r="S1813" s="43"/>
      <c r="T1813" s="43"/>
      <c r="U1813" s="43" t="str">
        <f>IFERROR(__xludf.DUMMYFUNCTION("""COMPUTED_VALUE"""),"Fingerprint")</f>
        <v>Fingerprint</v>
      </c>
      <c r="V1813" s="43" t="str">
        <f>IFERROR(__xludf.DUMMYFUNCTION("""COMPUTED_VALUE"""),"-")</f>
        <v>-</v>
      </c>
      <c r="W1813" s="43" t="str">
        <f>IFERROR(__xludf.DUMMYFUNCTION("""COMPUTED_VALUE"""),"2022-01-07T18:09:12Z")</f>
        <v>2022-01-07T18:09:12Z</v>
      </c>
      <c r="X1813" s="43"/>
      <c r="Y1813" s="43"/>
      <c r="Z1813" s="43"/>
    </row>
    <row r="1814" hidden="1">
      <c r="A1814" s="43" t="str">
        <f>IFERROR(__xludf.DUMMYFUNCTION("""COMPUTED_VALUE"""),"5380341_1288970")</f>
        <v>5380341_1288970</v>
      </c>
      <c r="B1814" s="43" t="str">
        <f>IFERROR(__xludf.DUMMYFUNCTION("""COMPUTED_VALUE"""),"Niculescu Madalina")</f>
        <v>Niculescu Madalina</v>
      </c>
      <c r="C1814" s="43" t="str">
        <f>IFERROR(__xludf.DUMMYFUNCTION("""COMPUTED_VALUE"""),"approved")</f>
        <v>approved</v>
      </c>
      <c r="D1814" s="43" t="str">
        <f>IFERROR(__xludf.DUMMYFUNCTION("""COMPUTED_VALUE"""),"No")</f>
        <v>No</v>
      </c>
      <c r="E1814" s="43" t="str">
        <f>IFERROR(__xludf.DUMMYFUNCTION("""COMPUTED_VALUE"""),"p_4b044a6c07fad951d97f376c923de8d92e1074a0@inbound.aiesec.org")</f>
        <v>p_4b044a6c07fad951d97f376c923de8d92e1074a0@inbound.aiesec.org</v>
      </c>
      <c r="F1814" s="43">
        <f>IFERROR(__xludf.DUMMYFUNCTION("""COMPUTED_VALUE"""),7.53426514E8)</f>
        <v>753426514</v>
      </c>
      <c r="G1814" s="43" t="str">
        <f>IFERROR(__xludf.DUMMYFUNCTION("""COMPUTED_VALUE"""),"Romania")</f>
        <v>Romania</v>
      </c>
      <c r="H1814" s="43" t="str">
        <f>IFERROR(__xludf.DUMMYFUNCTION("""COMPUTED_VALUE"""),"University of Bucharest")</f>
        <v>University of Bucharest</v>
      </c>
      <c r="I1814" s="43" t="str">
        <f>IFERROR(__xludf.DUMMYFUNCTION("""COMPUTED_VALUE"""),"Turkey")</f>
        <v>Turkey</v>
      </c>
      <c r="J1814" s="43" t="str">
        <f>IFERROR(__xludf.DUMMYFUNCTION("""COMPUTED_VALUE"""),"İZMİR")</f>
        <v>İZMİR</v>
      </c>
      <c r="K1814" s="44" t="str">
        <f>IFERROR(__xludf.DUMMYFUNCTION("""COMPUTED_VALUE"""),"https://expa.aiesec.org/opportunities/1288970")</f>
        <v>https://expa.aiesec.org/opportunities/1288970</v>
      </c>
      <c r="L1814" s="43" t="str">
        <f>IFERROR(__xludf.DUMMYFUNCTION("""COMPUTED_VALUE"""),"GV")</f>
        <v>GV</v>
      </c>
      <c r="M1814" s="43" t="str">
        <f>IFERROR(__xludf.DUMMYFUNCTION("""COMPUTED_VALUE"""),"short")</f>
        <v>short</v>
      </c>
      <c r="N1814" s="45">
        <f>IFERROR(__xludf.DUMMYFUNCTION("""COMPUTED_VALUE"""),45277.0)</f>
        <v>45277</v>
      </c>
      <c r="O1814" s="45">
        <f>IFERROR(__xludf.DUMMYFUNCTION("""COMPUTED_VALUE"""),45383.0)</f>
        <v>45383</v>
      </c>
      <c r="P1814" s="45">
        <f>IFERROR(__xludf.DUMMYFUNCTION("""COMPUTED_VALUE"""),45425.0)</f>
        <v>45425</v>
      </c>
      <c r="Q1814" s="45"/>
      <c r="R1814" s="45"/>
      <c r="S1814" s="43"/>
      <c r="T1814" s="43"/>
      <c r="U1814" s="43" t="str">
        <f>IFERROR(__xludf.DUMMYFUNCTION("""COMPUTED_VALUE"""),"Fingerprint")</f>
        <v>Fingerprint</v>
      </c>
      <c r="V1814" s="43" t="str">
        <f>IFERROR(__xludf.DUMMYFUNCTION("""COMPUTED_VALUE"""),"Bucuresti")</f>
        <v>Bucuresti</v>
      </c>
      <c r="W1814" s="43" t="str">
        <f>IFERROR(__xludf.DUMMYFUNCTION("""COMPUTED_VALUE"""),"2023-11-26T14:44:14Z")</f>
        <v>2023-11-26T14:44:14Z</v>
      </c>
      <c r="X1814" s="43"/>
      <c r="Y1814" s="43"/>
      <c r="Z1814" s="43"/>
    </row>
    <row r="1815" hidden="1">
      <c r="A1815" s="43" t="str">
        <f>IFERROR(__xludf.DUMMYFUNCTION("""COMPUTED_VALUE"""),"5378075_1281010")</f>
        <v>5378075_1281010</v>
      </c>
      <c r="B1815" s="43" t="str">
        <f>IFERROR(__xludf.DUMMYFUNCTION("""COMPUTED_VALUE"""),"Ranudi Uyangoda")</f>
        <v>Ranudi Uyangoda</v>
      </c>
      <c r="C1815" s="43" t="str">
        <f>IFERROR(__xludf.DUMMYFUNCTION("""COMPUTED_VALUE"""),"approved")</f>
        <v>approved</v>
      </c>
      <c r="D1815" s="43" t="str">
        <f>IFERROR(__xludf.DUMMYFUNCTION("""COMPUTED_VALUE"""),"No")</f>
        <v>No</v>
      </c>
      <c r="E1815" s="43" t="str">
        <f>IFERROR(__xludf.DUMMYFUNCTION("""COMPUTED_VALUE"""),"p_52751589955827395b1f400c3ea14f5d0e272697@inbound.aiesec.org")</f>
        <v>p_52751589955827395b1f400c3ea14f5d0e272697@inbound.aiesec.org</v>
      </c>
      <c r="F1815" s="43">
        <f>IFERROR(__xludf.DUMMYFUNCTION("""COMPUTED_VALUE"""),7.72406657E8)</f>
        <v>772406657</v>
      </c>
      <c r="G1815" s="43" t="str">
        <f>IFERROR(__xludf.DUMMYFUNCTION("""COMPUTED_VALUE"""),"Sri Lanka")</f>
        <v>Sri Lanka</v>
      </c>
      <c r="H1815" s="43" t="str">
        <f>IFERROR(__xludf.DUMMYFUNCTION("""COMPUTED_VALUE"""),"RUHUNA")</f>
        <v>RUHUNA</v>
      </c>
      <c r="I1815" s="43" t="str">
        <f>IFERROR(__xludf.DUMMYFUNCTION("""COMPUTED_VALUE"""),"Turkey")</f>
        <v>Turkey</v>
      </c>
      <c r="J1815" s="43" t="str">
        <f>IFERROR(__xludf.DUMMYFUNCTION("""COMPUTED_VALUE"""),"KOCAELI")</f>
        <v>KOCAELI</v>
      </c>
      <c r="K1815" s="44" t="str">
        <f>IFERROR(__xludf.DUMMYFUNCTION("""COMPUTED_VALUE"""),"https://expa.aiesec.org/opportunities/1281010")</f>
        <v>https://expa.aiesec.org/opportunities/1281010</v>
      </c>
      <c r="L1815" s="43" t="str">
        <f>IFERROR(__xludf.DUMMYFUNCTION("""COMPUTED_VALUE"""),"GV")</f>
        <v>GV</v>
      </c>
      <c r="M1815" s="43" t="str">
        <f>IFERROR(__xludf.DUMMYFUNCTION("""COMPUTED_VALUE"""),"short")</f>
        <v>short</v>
      </c>
      <c r="N1815" s="45">
        <f>IFERROR(__xludf.DUMMYFUNCTION("""COMPUTED_VALUE"""),45278.0)</f>
        <v>45278</v>
      </c>
      <c r="O1815" s="45">
        <f>IFERROR(__xludf.DUMMYFUNCTION("""COMPUTED_VALUE"""),45397.0)</f>
        <v>45397</v>
      </c>
      <c r="P1815" s="45">
        <f>IFERROR(__xludf.DUMMYFUNCTION("""COMPUTED_VALUE"""),45439.0)</f>
        <v>45439</v>
      </c>
      <c r="Q1815" s="45"/>
      <c r="R1815" s="45"/>
      <c r="S1815" s="43"/>
      <c r="T1815" s="43"/>
      <c r="U1815" s="43" t="str">
        <f>IFERROR(__xludf.DUMMYFUNCTION("""COMPUTED_VALUE"""),"Global Classroom")</f>
        <v>Global Classroom</v>
      </c>
      <c r="V1815" s="43" t="str">
        <f>IFERROR(__xludf.DUMMYFUNCTION("""COMPUTED_VALUE"""),"University of Ruhuna")</f>
        <v>University of Ruhuna</v>
      </c>
      <c r="W1815" s="43" t="str">
        <f>IFERROR(__xludf.DUMMYFUNCTION("""COMPUTED_VALUE"""),"2023-11-23T07:38:20Z")</f>
        <v>2023-11-23T07:38:20Z</v>
      </c>
      <c r="X1815" s="43"/>
      <c r="Y1815" s="43"/>
      <c r="Z1815" s="43"/>
    </row>
    <row r="1816" hidden="1">
      <c r="A1816" s="43" t="str">
        <f>IFERROR(__xludf.DUMMYFUNCTION("""COMPUTED_VALUE"""),"5389249_1286920")</f>
        <v>5389249_1286920</v>
      </c>
      <c r="B1816" s="43" t="str">
        <f>IFERROR(__xludf.DUMMYFUNCTION("""COMPUTED_VALUE"""),"Hend Gassara")</f>
        <v>Hend Gassara</v>
      </c>
      <c r="C1816" s="43" t="str">
        <f>IFERROR(__xludf.DUMMYFUNCTION("""COMPUTED_VALUE"""),"approved")</f>
        <v>approved</v>
      </c>
      <c r="D1816" s="43" t="str">
        <f>IFERROR(__xludf.DUMMYFUNCTION("""COMPUTED_VALUE"""),"No")</f>
        <v>No</v>
      </c>
      <c r="E1816" s="43" t="str">
        <f>IFERROR(__xludf.DUMMYFUNCTION("""COMPUTED_VALUE"""),"p_a62963e44cee8501ecad93a2f121a7a1c5e4fb89@inbound.aiesec.org")</f>
        <v>p_a62963e44cee8501ecad93a2f121a7a1c5e4fb89@inbound.aiesec.org</v>
      </c>
      <c r="F1816" s="43">
        <f>IFERROR(__xludf.DUMMYFUNCTION("""COMPUTED_VALUE"""),9.2526222E7)</f>
        <v>92526222</v>
      </c>
      <c r="G1816" s="43" t="str">
        <f>IFERROR(__xludf.DUMMYFUNCTION("""COMPUTED_VALUE"""),"Tunisia")</f>
        <v>Tunisia</v>
      </c>
      <c r="H1816" s="43" t="str">
        <f>IFERROR(__xludf.DUMMYFUNCTION("""COMPUTED_VALUE"""),"THYNA")</f>
        <v>THYNA</v>
      </c>
      <c r="I1816" s="43" t="str">
        <f>IFERROR(__xludf.DUMMYFUNCTION("""COMPUTED_VALUE"""),"Turkey")</f>
        <v>Turkey</v>
      </c>
      <c r="J1816" s="43" t="str">
        <f>IFERROR(__xludf.DUMMYFUNCTION("""COMPUTED_VALUE"""),"DENIZLI")</f>
        <v>DENIZLI</v>
      </c>
      <c r="K1816" s="44" t="str">
        <f>IFERROR(__xludf.DUMMYFUNCTION("""COMPUTED_VALUE"""),"https://expa.aiesec.org/opportunities/1286920")</f>
        <v>https://expa.aiesec.org/opportunities/1286920</v>
      </c>
      <c r="L1816" s="43" t="str">
        <f>IFERROR(__xludf.DUMMYFUNCTION("""COMPUTED_VALUE"""),"GV")</f>
        <v>GV</v>
      </c>
      <c r="M1816" s="43" t="str">
        <f>IFERROR(__xludf.DUMMYFUNCTION("""COMPUTED_VALUE"""),"short")</f>
        <v>short</v>
      </c>
      <c r="N1816" s="45">
        <f>IFERROR(__xludf.DUMMYFUNCTION("""COMPUTED_VALUE"""),45278.0)</f>
        <v>45278</v>
      </c>
      <c r="O1816" s="45">
        <f>IFERROR(__xludf.DUMMYFUNCTION("""COMPUTED_VALUE"""),45327.0)</f>
        <v>45327</v>
      </c>
      <c r="P1816" s="45">
        <f>IFERROR(__xludf.DUMMYFUNCTION("""COMPUTED_VALUE"""),45369.0)</f>
        <v>45369</v>
      </c>
      <c r="Q1816" s="45"/>
      <c r="R1816" s="45"/>
      <c r="S1816" s="43"/>
      <c r="T1816" s="43"/>
      <c r="U1816" s="43" t="str">
        <f>IFERROR(__xludf.DUMMYFUNCTION("""COMPUTED_VALUE"""),"Global Classroom")</f>
        <v>Global Classroom</v>
      </c>
      <c r="V1816" s="43" t="str">
        <f>IFERROR(__xludf.DUMMYFUNCTION("""COMPUTED_VALUE"""),"Faculté de Medecine Sfax")</f>
        <v>Faculté de Medecine Sfax</v>
      </c>
      <c r="W1816" s="43" t="str">
        <f>IFERROR(__xludf.DUMMYFUNCTION("""COMPUTED_VALUE"""),"2023-12-12T20:27:56Z")</f>
        <v>2023-12-12T20:27:56Z</v>
      </c>
      <c r="X1816" s="43"/>
      <c r="Y1816" s="43"/>
      <c r="Z1816" s="43"/>
    </row>
    <row r="1817" hidden="1">
      <c r="A1817" s="43" t="str">
        <f>IFERROR(__xludf.DUMMYFUNCTION("""COMPUTED_VALUE"""),"5383164_1281010")</f>
        <v>5383164_1281010</v>
      </c>
      <c r="B1817" s="43" t="str">
        <f>IFERROR(__xludf.DUMMYFUNCTION("""COMPUTED_VALUE"""),"Παγώνα Μαρία Μαλαμά")</f>
        <v>Παγώνα Μαρία Μαλαμά</v>
      </c>
      <c r="C1817" s="43" t="str">
        <f>IFERROR(__xludf.DUMMYFUNCTION("""COMPUTED_VALUE"""),"approved")</f>
        <v>approved</v>
      </c>
      <c r="D1817" s="43" t="str">
        <f>IFERROR(__xludf.DUMMYFUNCTION("""COMPUTED_VALUE"""),"No")</f>
        <v>No</v>
      </c>
      <c r="E1817" s="43" t="str">
        <f>IFERROR(__xludf.DUMMYFUNCTION("""COMPUTED_VALUE"""),"p_9b0c8cc7416812b0060ef43454c0dcd661fc1b21@inbound.aiesec.org")</f>
        <v>p_9b0c8cc7416812b0060ef43454c0dcd661fc1b21@inbound.aiesec.org</v>
      </c>
      <c r="F1817" s="43">
        <f>IFERROR(__xludf.DUMMYFUNCTION("""COMPUTED_VALUE"""),6.986323399E9)</f>
        <v>6986323399</v>
      </c>
      <c r="G1817" s="43" t="str">
        <f>IFERROR(__xludf.DUMMYFUNCTION("""COMPUTED_VALUE"""),"Greece")</f>
        <v>Greece</v>
      </c>
      <c r="H1817" s="43" t="str">
        <f>IFERROR(__xludf.DUMMYFUNCTION("""COMPUTED_VALUE"""),"ATHENS")</f>
        <v>ATHENS</v>
      </c>
      <c r="I1817" s="43" t="str">
        <f>IFERROR(__xludf.DUMMYFUNCTION("""COMPUTED_VALUE"""),"Turkey")</f>
        <v>Turkey</v>
      </c>
      <c r="J1817" s="43" t="str">
        <f>IFERROR(__xludf.DUMMYFUNCTION("""COMPUTED_VALUE"""),"KOCAELI")</f>
        <v>KOCAELI</v>
      </c>
      <c r="K1817" s="44" t="str">
        <f>IFERROR(__xludf.DUMMYFUNCTION("""COMPUTED_VALUE"""),"https://expa.aiesec.org/opportunities/1281010")</f>
        <v>https://expa.aiesec.org/opportunities/1281010</v>
      </c>
      <c r="L1817" s="43" t="str">
        <f>IFERROR(__xludf.DUMMYFUNCTION("""COMPUTED_VALUE"""),"GV")</f>
        <v>GV</v>
      </c>
      <c r="M1817" s="43" t="str">
        <f>IFERROR(__xludf.DUMMYFUNCTION("""COMPUTED_VALUE"""),"short")</f>
        <v>short</v>
      </c>
      <c r="N1817" s="45">
        <f>IFERROR(__xludf.DUMMYFUNCTION("""COMPUTED_VALUE"""),45278.0)</f>
        <v>45278</v>
      </c>
      <c r="O1817" s="45">
        <f>IFERROR(__xludf.DUMMYFUNCTION("""COMPUTED_VALUE"""),45439.0)</f>
        <v>45439</v>
      </c>
      <c r="P1817" s="45">
        <f>IFERROR(__xludf.DUMMYFUNCTION("""COMPUTED_VALUE"""),45481.0)</f>
        <v>45481</v>
      </c>
      <c r="Q1817" s="45"/>
      <c r="R1817" s="45"/>
      <c r="S1817" s="43"/>
      <c r="T1817" s="43"/>
      <c r="U1817" s="43" t="str">
        <f>IFERROR(__xludf.DUMMYFUNCTION("""COMPUTED_VALUE"""),"Global Classroom")</f>
        <v>Global Classroom</v>
      </c>
      <c r="V1817" s="43" t="str">
        <f>IFERROR(__xludf.DUMMYFUNCTION("""COMPUTED_VALUE"""),"-")</f>
        <v>-</v>
      </c>
      <c r="W1817" s="43" t="str">
        <f>IFERROR(__xludf.DUMMYFUNCTION("""COMPUTED_VALUE"""),"2023-11-30T13:36:35Z")</f>
        <v>2023-11-30T13:36:35Z</v>
      </c>
      <c r="X1817" s="43"/>
      <c r="Y1817" s="43"/>
      <c r="Z1817" s="43"/>
    </row>
    <row r="1818" hidden="1">
      <c r="A1818" s="43" t="str">
        <f>IFERROR(__xludf.DUMMYFUNCTION("""COMPUTED_VALUE"""),"5375459_1300841")</f>
        <v>5375459_1300841</v>
      </c>
      <c r="B1818" s="43" t="str">
        <f>IFERROR(__xludf.DUMMYFUNCTION("""COMPUTED_VALUE"""),"Nisso Navruzshoyeva")</f>
        <v>Nisso Navruzshoyeva</v>
      </c>
      <c r="C1818" s="43" t="str">
        <f>IFERROR(__xludf.DUMMYFUNCTION("""COMPUTED_VALUE"""),"approved")</f>
        <v>approved</v>
      </c>
      <c r="D1818" s="43" t="str">
        <f>IFERROR(__xludf.DUMMYFUNCTION("""COMPUTED_VALUE"""),"No")</f>
        <v>No</v>
      </c>
      <c r="E1818" s="43" t="str">
        <f>IFERROR(__xludf.DUMMYFUNCTION("""COMPUTED_VALUE"""),"p_1b5d0ea5cf74caf7489a25fe9ef10e4c066fa377@inbound.aiesec.org")</f>
        <v>p_1b5d0ea5cf74caf7489a25fe9ef10e4c066fa377@inbound.aiesec.org</v>
      </c>
      <c r="F1818" s="43"/>
      <c r="G1818" s="43" t="str">
        <f>IFERROR(__xludf.DUMMYFUNCTION("""COMPUTED_VALUE"""),"Kyrgyzstan")</f>
        <v>Kyrgyzstan</v>
      </c>
      <c r="H1818" s="43" t="str">
        <f>IFERROR(__xludf.DUMMYFUNCTION("""COMPUTED_VALUE"""),"AUCA")</f>
        <v>AUCA</v>
      </c>
      <c r="I1818" s="43" t="str">
        <f>IFERROR(__xludf.DUMMYFUNCTION("""COMPUTED_VALUE"""),"Turkey")</f>
        <v>Turkey</v>
      </c>
      <c r="J1818" s="43" t="str">
        <f>IFERROR(__xludf.DUMMYFUNCTION("""COMPUTED_VALUE"""),"KUTAHYA")</f>
        <v>KUTAHYA</v>
      </c>
      <c r="K1818" s="44" t="str">
        <f>IFERROR(__xludf.DUMMYFUNCTION("""COMPUTED_VALUE"""),"https://expa.aiesec.org/opportunities/1300841")</f>
        <v>https://expa.aiesec.org/opportunities/1300841</v>
      </c>
      <c r="L1818" s="43" t="str">
        <f>IFERROR(__xludf.DUMMYFUNCTION("""COMPUTED_VALUE"""),"GV")</f>
        <v>GV</v>
      </c>
      <c r="M1818" s="43" t="str">
        <f>IFERROR(__xludf.DUMMYFUNCTION("""COMPUTED_VALUE"""),"short")</f>
        <v>short</v>
      </c>
      <c r="N1818" s="45">
        <f>IFERROR(__xludf.DUMMYFUNCTION("""COMPUTED_VALUE"""),45279.0)</f>
        <v>45279</v>
      </c>
      <c r="O1818" s="45">
        <f>IFERROR(__xludf.DUMMYFUNCTION("""COMPUTED_VALUE"""),45446.0)</f>
        <v>45446</v>
      </c>
      <c r="P1818" s="45">
        <f>IFERROR(__xludf.DUMMYFUNCTION("""COMPUTED_VALUE"""),45488.0)</f>
        <v>45488</v>
      </c>
      <c r="Q1818" s="45"/>
      <c r="R1818" s="45"/>
      <c r="S1818" s="43"/>
      <c r="T1818" s="43"/>
      <c r="U1818" s="43" t="str">
        <f>IFERROR(__xludf.DUMMYFUNCTION("""COMPUTED_VALUE"""),"Green Leaders")</f>
        <v>Green Leaders</v>
      </c>
      <c r="V1818" s="43" t="str">
        <f>IFERROR(__xludf.DUMMYFUNCTION("""COMPUTED_VALUE"""),"-")</f>
        <v>-</v>
      </c>
      <c r="W1818" s="43" t="str">
        <f>IFERROR(__xludf.DUMMYFUNCTION("""COMPUTED_VALUE"""),"2023-11-19T14:30:14Z")</f>
        <v>2023-11-19T14:30:14Z</v>
      </c>
      <c r="X1818" s="43"/>
      <c r="Y1818" s="43"/>
      <c r="Z1818" s="43"/>
    </row>
    <row r="1819" hidden="1">
      <c r="A1819" s="43" t="str">
        <f>IFERROR(__xludf.DUMMYFUNCTION("""COMPUTED_VALUE"""),"5365567_1300841")</f>
        <v>5365567_1300841</v>
      </c>
      <c r="B1819" s="43" t="str">
        <f>IFERROR(__xludf.DUMMYFUNCTION("""COMPUTED_VALUE"""),"Violetta Rashidbekova")</f>
        <v>Violetta Rashidbekova</v>
      </c>
      <c r="C1819" s="43" t="str">
        <f>IFERROR(__xludf.DUMMYFUNCTION("""COMPUTED_VALUE"""),"approved")</f>
        <v>approved</v>
      </c>
      <c r="D1819" s="43" t="str">
        <f>IFERROR(__xludf.DUMMYFUNCTION("""COMPUTED_VALUE"""),"No")</f>
        <v>No</v>
      </c>
      <c r="E1819" s="43" t="str">
        <f>IFERROR(__xludf.DUMMYFUNCTION("""COMPUTED_VALUE"""),"p_2db2e92bfc6ae3dbb324e19c3e49808bcb33a794@inbound.aiesec.org")</f>
        <v>p_2db2e92bfc6ae3dbb324e19c3e49808bcb33a794@inbound.aiesec.org</v>
      </c>
      <c r="F1819" s="43">
        <f>IFERROR(__xludf.DUMMYFUNCTION("""COMPUTED_VALUE"""),5.59407023E8)</f>
        <v>559407023</v>
      </c>
      <c r="G1819" s="43" t="str">
        <f>IFERROR(__xludf.DUMMYFUNCTION("""COMPUTED_VALUE"""),"Kyrgyzstan")</f>
        <v>Kyrgyzstan</v>
      </c>
      <c r="H1819" s="43" t="str">
        <f>IFERROR(__xludf.DUMMYFUNCTION("""COMPUTED_VALUE"""),"MC Kyrgyzstan")</f>
        <v>MC Kyrgyzstan</v>
      </c>
      <c r="I1819" s="43" t="str">
        <f>IFERROR(__xludf.DUMMYFUNCTION("""COMPUTED_VALUE"""),"Turkey")</f>
        <v>Turkey</v>
      </c>
      <c r="J1819" s="43" t="str">
        <f>IFERROR(__xludf.DUMMYFUNCTION("""COMPUTED_VALUE"""),"KUTAHYA")</f>
        <v>KUTAHYA</v>
      </c>
      <c r="K1819" s="44" t="str">
        <f>IFERROR(__xludf.DUMMYFUNCTION("""COMPUTED_VALUE"""),"https://expa.aiesec.org/opportunities/1300841")</f>
        <v>https://expa.aiesec.org/opportunities/1300841</v>
      </c>
      <c r="L1819" s="43" t="str">
        <f>IFERROR(__xludf.DUMMYFUNCTION("""COMPUTED_VALUE"""),"GV")</f>
        <v>GV</v>
      </c>
      <c r="M1819" s="43" t="str">
        <f>IFERROR(__xludf.DUMMYFUNCTION("""COMPUTED_VALUE"""),"short")</f>
        <v>short</v>
      </c>
      <c r="N1819" s="45">
        <f>IFERROR(__xludf.DUMMYFUNCTION("""COMPUTED_VALUE"""),45279.0)</f>
        <v>45279</v>
      </c>
      <c r="O1819" s="45">
        <f>IFERROR(__xludf.DUMMYFUNCTION("""COMPUTED_VALUE"""),45446.0)</f>
        <v>45446</v>
      </c>
      <c r="P1819" s="45">
        <f>IFERROR(__xludf.DUMMYFUNCTION("""COMPUTED_VALUE"""),45488.0)</f>
        <v>45488</v>
      </c>
      <c r="Q1819" s="45"/>
      <c r="R1819" s="45"/>
      <c r="S1819" s="43"/>
      <c r="T1819" s="43"/>
      <c r="U1819" s="43" t="str">
        <f>IFERROR(__xludf.DUMMYFUNCTION("""COMPUTED_VALUE"""),"Green Leaders")</f>
        <v>Green Leaders</v>
      </c>
      <c r="V1819" s="43" t="str">
        <f>IFERROR(__xludf.DUMMYFUNCTION("""COMPUTED_VALUE"""),"-")</f>
        <v>-</v>
      </c>
      <c r="W1819" s="43" t="str">
        <f>IFERROR(__xludf.DUMMYFUNCTION("""COMPUTED_VALUE"""),"2023-11-02T10:08:11Z")</f>
        <v>2023-11-02T10:08:11Z</v>
      </c>
      <c r="X1819" s="43"/>
      <c r="Y1819" s="43"/>
      <c r="Z1819" s="43"/>
    </row>
    <row r="1820" hidden="1">
      <c r="A1820" s="43" t="str">
        <f>IFERROR(__xludf.DUMMYFUNCTION("""COMPUTED_VALUE"""),"5375919_1287488")</f>
        <v>5375919_1287488</v>
      </c>
      <c r="B1820" s="43" t="str">
        <f>IFERROR(__xludf.DUMMYFUNCTION("""COMPUTED_VALUE"""),"Athina Vrachopoulou")</f>
        <v>Athina Vrachopoulou</v>
      </c>
      <c r="C1820" s="43" t="str">
        <f>IFERROR(__xludf.DUMMYFUNCTION("""COMPUTED_VALUE"""),"approved")</f>
        <v>approved</v>
      </c>
      <c r="D1820" s="43" t="str">
        <f>IFERROR(__xludf.DUMMYFUNCTION("""COMPUTED_VALUE"""),"No")</f>
        <v>No</v>
      </c>
      <c r="E1820" s="43" t="str">
        <f>IFERROR(__xludf.DUMMYFUNCTION("""COMPUTED_VALUE"""),"p_3ef6125e455851a8f3ced21e0ac9080180f8e546@inbound.aiesec.org")</f>
        <v>p_3ef6125e455851a8f3ced21e0ac9080180f8e546@inbound.aiesec.org</v>
      </c>
      <c r="F1820" s="43">
        <f>IFERROR(__xludf.DUMMYFUNCTION("""COMPUTED_VALUE"""),6.942825014E9)</f>
        <v>6942825014</v>
      </c>
      <c r="G1820" s="43" t="str">
        <f>IFERROR(__xludf.DUMMYFUNCTION("""COMPUTED_VALUE"""),"Greece")</f>
        <v>Greece</v>
      </c>
      <c r="H1820" s="43" t="str">
        <f>IFERROR(__xludf.DUMMYFUNCTION("""COMPUTED_VALUE"""),"UNIVERSITY OF PATRAS")</f>
        <v>UNIVERSITY OF PATRAS</v>
      </c>
      <c r="I1820" s="43" t="str">
        <f>IFERROR(__xludf.DUMMYFUNCTION("""COMPUTED_VALUE"""),"Turkey")</f>
        <v>Turkey</v>
      </c>
      <c r="J1820" s="43" t="str">
        <f>IFERROR(__xludf.DUMMYFUNCTION("""COMPUTED_VALUE"""),"ISTANBUL ASIA")</f>
        <v>ISTANBUL ASIA</v>
      </c>
      <c r="K1820" s="44" t="str">
        <f>IFERROR(__xludf.DUMMYFUNCTION("""COMPUTED_VALUE"""),"https://expa.aiesec.org/opportunities/1287488")</f>
        <v>https://expa.aiesec.org/opportunities/1287488</v>
      </c>
      <c r="L1820" s="43" t="str">
        <f>IFERROR(__xludf.DUMMYFUNCTION("""COMPUTED_VALUE"""),"GV")</f>
        <v>GV</v>
      </c>
      <c r="M1820" s="43" t="str">
        <f>IFERROR(__xludf.DUMMYFUNCTION("""COMPUTED_VALUE"""),"short")</f>
        <v>short</v>
      </c>
      <c r="N1820" s="45">
        <f>IFERROR(__xludf.DUMMYFUNCTION("""COMPUTED_VALUE"""),45280.0)</f>
        <v>45280</v>
      </c>
      <c r="O1820" s="45">
        <f>IFERROR(__xludf.DUMMYFUNCTION("""COMPUTED_VALUE"""),45544.0)</f>
        <v>45544</v>
      </c>
      <c r="P1820" s="45">
        <f>IFERROR(__xludf.DUMMYFUNCTION("""COMPUTED_VALUE"""),45586.0)</f>
        <v>45586</v>
      </c>
      <c r="Q1820" s="45"/>
      <c r="R1820" s="45"/>
      <c r="S1820" s="43"/>
      <c r="T1820" s="43"/>
      <c r="U1820" s="43" t="str">
        <f>IFERROR(__xludf.DUMMYFUNCTION("""COMPUTED_VALUE"""),"Global Classroom")</f>
        <v>Global Classroom</v>
      </c>
      <c r="V1820" s="43" t="str">
        <f>IFERROR(__xludf.DUMMYFUNCTION("""COMPUTED_VALUE"""),"-")</f>
        <v>-</v>
      </c>
      <c r="W1820" s="43" t="str">
        <f>IFERROR(__xludf.DUMMYFUNCTION("""COMPUTED_VALUE"""),"2023-11-20T11:56:20Z")</f>
        <v>2023-11-20T11:56:20Z</v>
      </c>
      <c r="X1820" s="43"/>
      <c r="Y1820" s="43"/>
      <c r="Z1820" s="43"/>
    </row>
    <row r="1821" hidden="1">
      <c r="A1821" s="43" t="str">
        <f>IFERROR(__xludf.DUMMYFUNCTION("""COMPUTED_VALUE"""),"5387341_1279126")</f>
        <v>5387341_1279126</v>
      </c>
      <c r="B1821" s="43" t="str">
        <f>IFERROR(__xludf.DUMMYFUNCTION("""COMPUTED_VALUE"""),"Jelena Babic")</f>
        <v>Jelena Babic</v>
      </c>
      <c r="C1821" s="43" t="str">
        <f>IFERROR(__xludf.DUMMYFUNCTION("""COMPUTED_VALUE"""),"approved")</f>
        <v>approved</v>
      </c>
      <c r="D1821" s="43" t="str">
        <f>IFERROR(__xludf.DUMMYFUNCTION("""COMPUTED_VALUE"""),"No")</f>
        <v>No</v>
      </c>
      <c r="E1821" s="43" t="str">
        <f>IFERROR(__xludf.DUMMYFUNCTION("""COMPUTED_VALUE"""),"p_c3533dc4b3ebe7a44b0de5d5afe8e9785e2afadc@inbound.aiesec.org")</f>
        <v>p_c3533dc4b3ebe7a44b0de5d5afe8e9785e2afadc@inbound.aiesec.org</v>
      </c>
      <c r="F1821" s="43">
        <f>IFERROR(__xludf.DUMMYFUNCTION("""COMPUTED_VALUE"""),6.40426818E8)</f>
        <v>640426818</v>
      </c>
      <c r="G1821" s="43" t="str">
        <f>IFERROR(__xludf.DUMMYFUNCTION("""COMPUTED_VALUE"""),"Serbia")</f>
        <v>Serbia</v>
      </c>
      <c r="H1821" s="43" t="str">
        <f>IFERROR(__xludf.DUMMYFUNCTION("""COMPUTED_VALUE"""),"NOVI SAD")</f>
        <v>NOVI SAD</v>
      </c>
      <c r="I1821" s="43" t="str">
        <f>IFERROR(__xludf.DUMMYFUNCTION("""COMPUTED_VALUE"""),"Turkey")</f>
        <v>Turkey</v>
      </c>
      <c r="J1821" s="43" t="str">
        <f>IFERROR(__xludf.DUMMYFUNCTION("""COMPUTED_VALUE"""),"KOCAELI")</f>
        <v>KOCAELI</v>
      </c>
      <c r="K1821" s="44" t="str">
        <f>IFERROR(__xludf.DUMMYFUNCTION("""COMPUTED_VALUE"""),"https://expa.aiesec.org/opportunities/1279126")</f>
        <v>https://expa.aiesec.org/opportunities/1279126</v>
      </c>
      <c r="L1821" s="43" t="str">
        <f>IFERROR(__xludf.DUMMYFUNCTION("""COMPUTED_VALUE"""),"GV")</f>
        <v>GV</v>
      </c>
      <c r="M1821" s="43" t="str">
        <f>IFERROR(__xludf.DUMMYFUNCTION("""COMPUTED_VALUE"""),"short")</f>
        <v>short</v>
      </c>
      <c r="N1821" s="45">
        <f>IFERROR(__xludf.DUMMYFUNCTION("""COMPUTED_VALUE"""),45280.0)</f>
        <v>45280</v>
      </c>
      <c r="O1821" s="45">
        <f>IFERROR(__xludf.DUMMYFUNCTION("""COMPUTED_VALUE"""),45446.0)</f>
        <v>45446</v>
      </c>
      <c r="P1821" s="45">
        <f>IFERROR(__xludf.DUMMYFUNCTION("""COMPUTED_VALUE"""),45488.0)</f>
        <v>45488</v>
      </c>
      <c r="Q1821" s="45"/>
      <c r="R1821" s="45"/>
      <c r="S1821" s="43"/>
      <c r="T1821" s="43"/>
      <c r="U1821" s="43" t="str">
        <f>IFERROR(__xludf.DUMMYFUNCTION("""COMPUTED_VALUE"""),"Global Classroom")</f>
        <v>Global Classroom</v>
      </c>
      <c r="V1821" s="43" t="str">
        <f>IFERROR(__xludf.DUMMYFUNCTION("""COMPUTED_VALUE"""),"Novi Sad")</f>
        <v>Novi Sad</v>
      </c>
      <c r="W1821" s="43" t="str">
        <f>IFERROR(__xludf.DUMMYFUNCTION("""COMPUTED_VALUE"""),"2023-12-08T13:47:12Z")</f>
        <v>2023-12-08T13:47:12Z</v>
      </c>
      <c r="X1821" s="43"/>
      <c r="Y1821" s="43"/>
      <c r="Z1821" s="43"/>
    </row>
    <row r="1822" hidden="1">
      <c r="A1822" s="43" t="str">
        <f>IFERROR(__xludf.DUMMYFUNCTION("""COMPUTED_VALUE"""),"5390586_1291252")</f>
        <v>5390586_1291252</v>
      </c>
      <c r="B1822" s="43" t="str">
        <f>IFERROR(__xludf.DUMMYFUNCTION("""COMPUTED_VALUE"""),"Syrine Mkaouer")</f>
        <v>Syrine Mkaouer</v>
      </c>
      <c r="C1822" s="43" t="str">
        <f>IFERROR(__xludf.DUMMYFUNCTION("""COMPUTED_VALUE"""),"approved")</f>
        <v>approved</v>
      </c>
      <c r="D1822" s="43" t="str">
        <f>IFERROR(__xludf.DUMMYFUNCTION("""COMPUTED_VALUE"""),"No")</f>
        <v>No</v>
      </c>
      <c r="E1822" s="43" t="str">
        <f>IFERROR(__xludf.DUMMYFUNCTION("""COMPUTED_VALUE"""),"p_004343c5f6e319b539e93d1ebc76756a698f27ca@inbound.aiesec.org")</f>
        <v>p_004343c5f6e319b539e93d1ebc76756a698f27ca@inbound.aiesec.org</v>
      </c>
      <c r="F1822" s="43">
        <f>IFERROR(__xludf.DUMMYFUNCTION("""COMPUTED_VALUE"""),2.7804615E7)</f>
        <v>27804615</v>
      </c>
      <c r="G1822" s="43" t="str">
        <f>IFERROR(__xludf.DUMMYFUNCTION("""COMPUTED_VALUE"""),"Tunisia")</f>
        <v>Tunisia</v>
      </c>
      <c r="H1822" s="43" t="str">
        <f>IFERROR(__xludf.DUMMYFUNCTION("""COMPUTED_VALUE"""),"Carthage")</f>
        <v>Carthage</v>
      </c>
      <c r="I1822" s="43" t="str">
        <f>IFERROR(__xludf.DUMMYFUNCTION("""COMPUTED_VALUE"""),"Turkey")</f>
        <v>Turkey</v>
      </c>
      <c r="J1822" s="43" t="str">
        <f>IFERROR(__xludf.DUMMYFUNCTION("""COMPUTED_VALUE"""),"KOCAELI")</f>
        <v>KOCAELI</v>
      </c>
      <c r="K1822" s="44" t="str">
        <f>IFERROR(__xludf.DUMMYFUNCTION("""COMPUTED_VALUE"""),"https://expa.aiesec.org/opportunities/1291252")</f>
        <v>https://expa.aiesec.org/opportunities/1291252</v>
      </c>
      <c r="L1822" s="43" t="str">
        <f>IFERROR(__xludf.DUMMYFUNCTION("""COMPUTED_VALUE"""),"GV")</f>
        <v>GV</v>
      </c>
      <c r="M1822" s="43" t="str">
        <f>IFERROR(__xludf.DUMMYFUNCTION("""COMPUTED_VALUE"""),"short")</f>
        <v>short</v>
      </c>
      <c r="N1822" s="45">
        <f>IFERROR(__xludf.DUMMYFUNCTION("""COMPUTED_VALUE"""),45280.0)</f>
        <v>45280</v>
      </c>
      <c r="O1822" s="45">
        <f>IFERROR(__xludf.DUMMYFUNCTION("""COMPUTED_VALUE"""),45446.0)</f>
        <v>45446</v>
      </c>
      <c r="P1822" s="45">
        <f>IFERROR(__xludf.DUMMYFUNCTION("""COMPUTED_VALUE"""),45488.0)</f>
        <v>45488</v>
      </c>
      <c r="Q1822" s="45"/>
      <c r="R1822" s="45"/>
      <c r="S1822" s="43"/>
      <c r="T1822" s="43"/>
      <c r="U1822" s="43" t="str">
        <f>IFERROR(__xludf.DUMMYFUNCTION("""COMPUTED_VALUE"""),"Global Classroom")</f>
        <v>Global Classroom</v>
      </c>
      <c r="V1822" s="43" t="str">
        <f>IFERROR(__xludf.DUMMYFUNCTION("""COMPUTED_VALUE"""),"ISLT")</f>
        <v>ISLT</v>
      </c>
      <c r="W1822" s="43" t="str">
        <f>IFERROR(__xludf.DUMMYFUNCTION("""COMPUTED_VALUE"""),"2023-12-15T12:34:36Z")</f>
        <v>2023-12-15T12:34:36Z</v>
      </c>
      <c r="X1822" s="43"/>
      <c r="Y1822" s="43"/>
      <c r="Z1822" s="43"/>
    </row>
    <row r="1823" hidden="1">
      <c r="A1823" s="43" t="str">
        <f>IFERROR(__xludf.DUMMYFUNCTION("""COMPUTED_VALUE"""),"5391725_1279126")</f>
        <v>5391725_1279126</v>
      </c>
      <c r="B1823" s="43" t="str">
        <f>IFERROR(__xludf.DUMMYFUNCTION("""COMPUTED_VALUE"""),"Raed Tefdini")</f>
        <v>Raed Tefdini</v>
      </c>
      <c r="C1823" s="43" t="str">
        <f>IFERROR(__xludf.DUMMYFUNCTION("""COMPUTED_VALUE"""),"approved")</f>
        <v>approved</v>
      </c>
      <c r="D1823" s="43" t="str">
        <f>IFERROR(__xludf.DUMMYFUNCTION("""COMPUTED_VALUE"""),"No")</f>
        <v>No</v>
      </c>
      <c r="E1823" s="43" t="str">
        <f>IFERROR(__xludf.DUMMYFUNCTION("""COMPUTED_VALUE"""),"p_a658b7733862a3446f140f149f67e38f435b77b3@inbound.aiesec.org")</f>
        <v>p_a658b7733862a3446f140f149f67e38f435b77b3@inbound.aiesec.org</v>
      </c>
      <c r="F1823" s="43"/>
      <c r="G1823" s="43" t="str">
        <f>IFERROR(__xludf.DUMMYFUNCTION("""COMPUTED_VALUE"""),"Tunisia")</f>
        <v>Tunisia</v>
      </c>
      <c r="H1823" s="43" t="str">
        <f>IFERROR(__xludf.DUMMYFUNCTION("""COMPUTED_VALUE"""),"MEDINA")</f>
        <v>MEDINA</v>
      </c>
      <c r="I1823" s="43" t="str">
        <f>IFERROR(__xludf.DUMMYFUNCTION("""COMPUTED_VALUE"""),"Turkey")</f>
        <v>Turkey</v>
      </c>
      <c r="J1823" s="43" t="str">
        <f>IFERROR(__xludf.DUMMYFUNCTION("""COMPUTED_VALUE"""),"KOCAELI")</f>
        <v>KOCAELI</v>
      </c>
      <c r="K1823" s="44" t="str">
        <f>IFERROR(__xludf.DUMMYFUNCTION("""COMPUTED_VALUE"""),"https://expa.aiesec.org/opportunities/1279126")</f>
        <v>https://expa.aiesec.org/opportunities/1279126</v>
      </c>
      <c r="L1823" s="43" t="str">
        <f>IFERROR(__xludf.DUMMYFUNCTION("""COMPUTED_VALUE"""),"GV")</f>
        <v>GV</v>
      </c>
      <c r="M1823" s="43" t="str">
        <f>IFERROR(__xludf.DUMMYFUNCTION("""COMPUTED_VALUE"""),"short")</f>
        <v>short</v>
      </c>
      <c r="N1823" s="45">
        <f>IFERROR(__xludf.DUMMYFUNCTION("""COMPUTED_VALUE"""),45280.0)</f>
        <v>45280</v>
      </c>
      <c r="O1823" s="45">
        <f>IFERROR(__xludf.DUMMYFUNCTION("""COMPUTED_VALUE"""),45474.0)</f>
        <v>45474</v>
      </c>
      <c r="P1823" s="45">
        <f>IFERROR(__xludf.DUMMYFUNCTION("""COMPUTED_VALUE"""),45516.0)</f>
        <v>45516</v>
      </c>
      <c r="Q1823" s="45"/>
      <c r="R1823" s="45"/>
      <c r="S1823" s="43"/>
      <c r="T1823" s="43"/>
      <c r="U1823" s="43" t="str">
        <f>IFERROR(__xludf.DUMMYFUNCTION("""COMPUTED_VALUE"""),"Global Classroom")</f>
        <v>Global Classroom</v>
      </c>
      <c r="V1823" s="43" t="str">
        <f>IFERROR(__xludf.DUMMYFUNCTION("""COMPUTED_VALUE"""),"-")</f>
        <v>-</v>
      </c>
      <c r="W1823" s="43" t="str">
        <f>IFERROR(__xludf.DUMMYFUNCTION("""COMPUTED_VALUE"""),"2023-12-18T11:05:30Z")</f>
        <v>2023-12-18T11:05:30Z</v>
      </c>
      <c r="X1823" s="43"/>
      <c r="Y1823" s="43"/>
      <c r="Z1823" s="43"/>
    </row>
    <row r="1824" hidden="1">
      <c r="A1824" s="43" t="str">
        <f>IFERROR(__xludf.DUMMYFUNCTION("""COMPUTED_VALUE"""),"5376545_1285161")</f>
        <v>5376545_1285161</v>
      </c>
      <c r="B1824" s="43" t="str">
        <f>IFERROR(__xludf.DUMMYFUNCTION("""COMPUTED_VALUE"""),"Kevin Correia")</f>
        <v>Kevin Correia</v>
      </c>
      <c r="C1824" s="43" t="str">
        <f>IFERROR(__xludf.DUMMYFUNCTION("""COMPUTED_VALUE"""),"approved")</f>
        <v>approved</v>
      </c>
      <c r="D1824" s="43" t="str">
        <f>IFERROR(__xludf.DUMMYFUNCTION("""COMPUTED_VALUE"""),"No")</f>
        <v>No</v>
      </c>
      <c r="E1824" s="43" t="str">
        <f>IFERROR(__xludf.DUMMYFUNCTION("""COMPUTED_VALUE"""),"p_48fc0c2f561e4230b324fdfec952806533c46779@inbound.aiesec.org")</f>
        <v>p_48fc0c2f561e4230b324fdfec952806533c46779@inbound.aiesec.org</v>
      </c>
      <c r="F1824" s="43">
        <f>IFERROR(__xludf.DUMMYFUNCTION("""COMPUTED_VALUE"""),9.66464041E9)</f>
        <v>9664640410</v>
      </c>
      <c r="G1824" s="43" t="str">
        <f>IFERROR(__xludf.DUMMYFUNCTION("""COMPUTED_VALUE"""),"India")</f>
        <v>India</v>
      </c>
      <c r="H1824" s="43" t="str">
        <f>IFERROR(__xludf.DUMMYFUNCTION("""COMPUTED_VALUE"""),"Mumbai")</f>
        <v>Mumbai</v>
      </c>
      <c r="I1824" s="43" t="str">
        <f>IFERROR(__xludf.DUMMYFUNCTION("""COMPUTED_VALUE"""),"Turkey")</f>
        <v>Turkey</v>
      </c>
      <c r="J1824" s="43" t="str">
        <f>IFERROR(__xludf.DUMMYFUNCTION("""COMPUTED_VALUE"""),"KOCAELI")</f>
        <v>KOCAELI</v>
      </c>
      <c r="K1824" s="44" t="str">
        <f>IFERROR(__xludf.DUMMYFUNCTION("""COMPUTED_VALUE"""),"https://expa.aiesec.org/opportunities/1285161")</f>
        <v>https://expa.aiesec.org/opportunities/1285161</v>
      </c>
      <c r="L1824" s="43" t="str">
        <f>IFERROR(__xludf.DUMMYFUNCTION("""COMPUTED_VALUE"""),"GV")</f>
        <v>GV</v>
      </c>
      <c r="M1824" s="43" t="str">
        <f>IFERROR(__xludf.DUMMYFUNCTION("""COMPUTED_VALUE"""),"short")</f>
        <v>short</v>
      </c>
      <c r="N1824" s="45">
        <f>IFERROR(__xludf.DUMMYFUNCTION("""COMPUTED_VALUE"""),45281.0)</f>
        <v>45281</v>
      </c>
      <c r="O1824" s="45">
        <f>IFERROR(__xludf.DUMMYFUNCTION("""COMPUTED_VALUE"""),45413.0)</f>
        <v>45413</v>
      </c>
      <c r="P1824" s="45">
        <f>IFERROR(__xludf.DUMMYFUNCTION("""COMPUTED_VALUE"""),45455.0)</f>
        <v>45455</v>
      </c>
      <c r="Q1824" s="45"/>
      <c r="R1824" s="45"/>
      <c r="S1824" s="43"/>
      <c r="T1824" s="43"/>
      <c r="U1824" s="43" t="str">
        <f>IFERROR(__xludf.DUMMYFUNCTION("""COMPUTED_VALUE"""),"Global Classroom")</f>
        <v>Global Classroom</v>
      </c>
      <c r="V1824" s="43" t="str">
        <f>IFERROR(__xludf.DUMMYFUNCTION("""COMPUTED_VALUE"""),"South Mumbai")</f>
        <v>South Mumbai</v>
      </c>
      <c r="W1824" s="43" t="str">
        <f>IFERROR(__xludf.DUMMYFUNCTION("""COMPUTED_VALUE"""),"2023-11-21T08:11:40Z")</f>
        <v>2023-11-21T08:11:40Z</v>
      </c>
      <c r="X1824" s="43"/>
      <c r="Y1824" s="43"/>
      <c r="Z1824" s="43"/>
    </row>
    <row r="1825" hidden="1">
      <c r="A1825" s="43" t="str">
        <f>IFERROR(__xludf.DUMMYFUNCTION("""COMPUTED_VALUE"""),"5392582_1286034")</f>
        <v>5392582_1286034</v>
      </c>
      <c r="B1825" s="43" t="str">
        <f>IFERROR(__xludf.DUMMYFUNCTION("""COMPUTED_VALUE"""),"Rushaal Chugh")</f>
        <v>Rushaal Chugh</v>
      </c>
      <c r="C1825" s="43" t="str">
        <f>IFERROR(__xludf.DUMMYFUNCTION("""COMPUTED_VALUE"""),"approved")</f>
        <v>approved</v>
      </c>
      <c r="D1825" s="43" t="str">
        <f>IFERROR(__xludf.DUMMYFUNCTION("""COMPUTED_VALUE"""),"No")</f>
        <v>No</v>
      </c>
      <c r="E1825" s="43" t="str">
        <f>IFERROR(__xludf.DUMMYFUNCTION("""COMPUTED_VALUE"""),"p_e2da0e4e0102e016c6007b4fb38f52060c82efee@inbound.aiesec.org")</f>
        <v>p_e2da0e4e0102e016c6007b4fb38f52060c82efee@inbound.aiesec.org</v>
      </c>
      <c r="F1825" s="43">
        <f>IFERROR(__xludf.DUMMYFUNCTION("""COMPUTED_VALUE"""),9.953989121E9)</f>
        <v>9953989121</v>
      </c>
      <c r="G1825" s="43" t="str">
        <f>IFERROR(__xludf.DUMMYFUNCTION("""COMPUTED_VALUE"""),"India")</f>
        <v>India</v>
      </c>
      <c r="H1825" s="43" t="str">
        <f>IFERROR(__xludf.DUMMYFUNCTION("""COMPUTED_VALUE"""),"Noida")</f>
        <v>Noida</v>
      </c>
      <c r="I1825" s="43" t="str">
        <f>IFERROR(__xludf.DUMMYFUNCTION("""COMPUTED_VALUE"""),"Turkey")</f>
        <v>Turkey</v>
      </c>
      <c r="J1825" s="43" t="str">
        <f>IFERROR(__xludf.DUMMYFUNCTION("""COMPUTED_VALUE"""),"ANTALYA")</f>
        <v>ANTALYA</v>
      </c>
      <c r="K1825" s="44" t="str">
        <f>IFERROR(__xludf.DUMMYFUNCTION("""COMPUTED_VALUE"""),"https://expa.aiesec.org/opportunities/1286034")</f>
        <v>https://expa.aiesec.org/opportunities/1286034</v>
      </c>
      <c r="L1825" s="43" t="str">
        <f>IFERROR(__xludf.DUMMYFUNCTION("""COMPUTED_VALUE"""),"GV")</f>
        <v>GV</v>
      </c>
      <c r="M1825" s="43" t="str">
        <f>IFERROR(__xludf.DUMMYFUNCTION("""COMPUTED_VALUE"""),"short")</f>
        <v>short</v>
      </c>
      <c r="N1825" s="45">
        <f>IFERROR(__xludf.DUMMYFUNCTION("""COMPUTED_VALUE"""),45281.0)</f>
        <v>45281</v>
      </c>
      <c r="O1825" s="45">
        <f>IFERROR(__xludf.DUMMYFUNCTION("""COMPUTED_VALUE"""),45299.0)</f>
        <v>45299</v>
      </c>
      <c r="P1825" s="45">
        <f>IFERROR(__xludf.DUMMYFUNCTION("""COMPUTED_VALUE"""),45341.0)</f>
        <v>45341</v>
      </c>
      <c r="Q1825" s="45"/>
      <c r="R1825" s="45"/>
      <c r="S1825" s="43"/>
      <c r="T1825" s="43"/>
      <c r="U1825" s="43" t="str">
        <f>IFERROR(__xludf.DUMMYFUNCTION("""COMPUTED_VALUE"""),"Global Classroom")</f>
        <v>Global Classroom</v>
      </c>
      <c r="V1825" s="43" t="str">
        <f>IFERROR(__xludf.DUMMYFUNCTION("""COMPUTED_VALUE"""),"Symbiosis Law School, Noida")</f>
        <v>Symbiosis Law School, Noida</v>
      </c>
      <c r="W1825" s="43" t="str">
        <f>IFERROR(__xludf.DUMMYFUNCTION("""COMPUTED_VALUE"""),"2023-12-20T11:54:09Z")</f>
        <v>2023-12-20T11:54:09Z</v>
      </c>
      <c r="X1825" s="43"/>
      <c r="Y1825" s="43"/>
      <c r="Z1825" s="43"/>
    </row>
    <row r="1826" hidden="1">
      <c r="A1826" s="43" t="str">
        <f>IFERROR(__xludf.DUMMYFUNCTION("""COMPUTED_VALUE"""),"5384255_1286236")</f>
        <v>5384255_1286236</v>
      </c>
      <c r="B1826" s="43" t="str">
        <f>IFERROR(__xludf.DUMMYFUNCTION("""COMPUTED_VALUE"""),"Yasmeen Marzooq")</f>
        <v>Yasmeen Marzooq</v>
      </c>
      <c r="C1826" s="43" t="str">
        <f>IFERROR(__xludf.DUMMYFUNCTION("""COMPUTED_VALUE"""),"realized")</f>
        <v>realized</v>
      </c>
      <c r="D1826" s="43" t="str">
        <f>IFERROR(__xludf.DUMMYFUNCTION("""COMPUTED_VALUE"""),"No")</f>
        <v>No</v>
      </c>
      <c r="E1826" s="43" t="str">
        <f>IFERROR(__xludf.DUMMYFUNCTION("""COMPUTED_VALUE"""),"p_0ffa2076846b3c49a2cca8df4a2a44d09f9fe2cd@inbound.aiesec.org")</f>
        <v>p_0ffa2076846b3c49a2cca8df4a2a44d09f9fe2cd@inbound.aiesec.org</v>
      </c>
      <c r="F1826" s="43">
        <f>IFERROR(__xludf.DUMMYFUNCTION("""COMPUTED_VALUE"""),3.9422335E7)</f>
        <v>39422335</v>
      </c>
      <c r="G1826" s="43" t="str">
        <f>IFERROR(__xludf.DUMMYFUNCTION("""COMPUTED_VALUE"""),"Bahrain")</f>
        <v>Bahrain</v>
      </c>
      <c r="H1826" s="43" t="str">
        <f>IFERROR(__xludf.DUMMYFUNCTION("""COMPUTED_VALUE"""),"Tylos")</f>
        <v>Tylos</v>
      </c>
      <c r="I1826" s="43" t="str">
        <f>IFERROR(__xludf.DUMMYFUNCTION("""COMPUTED_VALUE"""),"Turkey")</f>
        <v>Turkey</v>
      </c>
      <c r="J1826" s="43" t="str">
        <f>IFERROR(__xludf.DUMMYFUNCTION("""COMPUTED_VALUE"""),"ISPARTA")</f>
        <v>ISPARTA</v>
      </c>
      <c r="K1826" s="44" t="str">
        <f>IFERROR(__xludf.DUMMYFUNCTION("""COMPUTED_VALUE"""),"https://expa.aiesec.org/opportunities/1286236")</f>
        <v>https://expa.aiesec.org/opportunities/1286236</v>
      </c>
      <c r="L1826" s="43" t="str">
        <f>IFERROR(__xludf.DUMMYFUNCTION("""COMPUTED_VALUE"""),"GV")</f>
        <v>GV</v>
      </c>
      <c r="M1826" s="43" t="str">
        <f>IFERROR(__xludf.DUMMYFUNCTION("""COMPUTED_VALUE"""),"short")</f>
        <v>short</v>
      </c>
      <c r="N1826" s="45">
        <f>IFERROR(__xludf.DUMMYFUNCTION("""COMPUTED_VALUE"""),45283.0)</f>
        <v>45283</v>
      </c>
      <c r="O1826" s="45">
        <f>IFERROR(__xludf.DUMMYFUNCTION("""COMPUTED_VALUE"""),45293.0)</f>
        <v>45293</v>
      </c>
      <c r="P1826" s="45">
        <f>IFERROR(__xludf.DUMMYFUNCTION("""COMPUTED_VALUE"""),45335.0)</f>
        <v>45335</v>
      </c>
      <c r="Q1826" s="45">
        <f>IFERROR(__xludf.DUMMYFUNCTION("""COMPUTED_VALUE"""),45299.0)</f>
        <v>45299</v>
      </c>
      <c r="R1826" s="45">
        <f>IFERROR(__xludf.DUMMYFUNCTION("""COMPUTED_VALUE"""),45339.0)</f>
        <v>45339</v>
      </c>
      <c r="S1826" s="43"/>
      <c r="T1826" s="43"/>
      <c r="U1826" s="43" t="str">
        <f>IFERROR(__xludf.DUMMYFUNCTION("""COMPUTED_VALUE"""),"Global Classroom")</f>
        <v>Global Classroom</v>
      </c>
      <c r="V1826" s="43" t="str">
        <f>IFERROR(__xludf.DUMMYFUNCTION("""COMPUTED_VALUE"""),"Bahrain Polytechnic")</f>
        <v>Bahrain Polytechnic</v>
      </c>
      <c r="W1826" s="43" t="str">
        <f>IFERROR(__xludf.DUMMYFUNCTION("""COMPUTED_VALUE"""),"2023-12-02T11:29:41Z")</f>
        <v>2023-12-02T11:29:41Z</v>
      </c>
      <c r="X1826" s="43"/>
      <c r="Y1826" s="43"/>
      <c r="Z1826" s="43"/>
    </row>
    <row r="1827" hidden="1">
      <c r="A1827" s="43" t="str">
        <f>IFERROR(__xludf.DUMMYFUNCTION("""COMPUTED_VALUE"""),"5385487_1293417")</f>
        <v>5385487_1293417</v>
      </c>
      <c r="B1827" s="43" t="str">
        <f>IFERROR(__xludf.DUMMYFUNCTION("""COMPUTED_VALUE"""),"Izzat Idlan Amir Raslan")</f>
        <v>Izzat Idlan Amir Raslan</v>
      </c>
      <c r="C1827" s="43" t="str">
        <f>IFERROR(__xludf.DUMMYFUNCTION("""COMPUTED_VALUE"""),"approved")</f>
        <v>approved</v>
      </c>
      <c r="D1827" s="43" t="str">
        <f>IFERROR(__xludf.DUMMYFUNCTION("""COMPUTED_VALUE"""),"No")</f>
        <v>No</v>
      </c>
      <c r="E1827" s="43" t="str">
        <f>IFERROR(__xludf.DUMMYFUNCTION("""COMPUTED_VALUE"""),"p_8c10c7e15822251f107b6a95d89a5a28f3b86fda@inbound.aiesec.org")</f>
        <v>p_8c10c7e15822251f107b6a95d89a5a28f3b86fda@inbound.aiesec.org</v>
      </c>
      <c r="F1827" s="43"/>
      <c r="G1827" s="43" t="str">
        <f>IFERROR(__xludf.DUMMYFUNCTION("""COMPUTED_VALUE"""),"Malaysia")</f>
        <v>Malaysia</v>
      </c>
      <c r="H1827" s="43" t="str">
        <f>IFERROR(__xludf.DUMMYFUNCTION("""COMPUTED_VALUE"""),"Johor Bahru (JB)")</f>
        <v>Johor Bahru (JB)</v>
      </c>
      <c r="I1827" s="43" t="str">
        <f>IFERROR(__xludf.DUMMYFUNCTION("""COMPUTED_VALUE"""),"Turkey")</f>
        <v>Turkey</v>
      </c>
      <c r="J1827" s="43" t="str">
        <f>IFERROR(__xludf.DUMMYFUNCTION("""COMPUTED_VALUE"""),"ISTANBUL")</f>
        <v>ISTANBUL</v>
      </c>
      <c r="K1827" s="44" t="str">
        <f>IFERROR(__xludf.DUMMYFUNCTION("""COMPUTED_VALUE"""),"https://expa.aiesec.org/opportunities/1293417")</f>
        <v>https://expa.aiesec.org/opportunities/1293417</v>
      </c>
      <c r="L1827" s="43" t="str">
        <f>IFERROR(__xludf.DUMMYFUNCTION("""COMPUTED_VALUE"""),"GV")</f>
        <v>GV</v>
      </c>
      <c r="M1827" s="43" t="str">
        <f>IFERROR(__xludf.DUMMYFUNCTION("""COMPUTED_VALUE"""),"short")</f>
        <v>short</v>
      </c>
      <c r="N1827" s="45">
        <f>IFERROR(__xludf.DUMMYFUNCTION("""COMPUTED_VALUE"""),45285.0)</f>
        <v>45285</v>
      </c>
      <c r="O1827" s="45">
        <f>IFERROR(__xludf.DUMMYFUNCTION("""COMPUTED_VALUE"""),45336.0)</f>
        <v>45336</v>
      </c>
      <c r="P1827" s="45">
        <f>IFERROR(__xludf.DUMMYFUNCTION("""COMPUTED_VALUE"""),45378.0)</f>
        <v>45378</v>
      </c>
      <c r="Q1827" s="45"/>
      <c r="R1827" s="45"/>
      <c r="S1827" s="43"/>
      <c r="T1827" s="43"/>
      <c r="U1827" s="43" t="str">
        <f>IFERROR(__xludf.DUMMYFUNCTION("""COMPUTED_VALUE"""),"Global Classroom")</f>
        <v>Global Classroom</v>
      </c>
      <c r="V1827" s="43" t="str">
        <f>IFERROR(__xludf.DUMMYFUNCTION("""COMPUTED_VALUE"""),"-")</f>
        <v>-</v>
      </c>
      <c r="W1827" s="43" t="str">
        <f>IFERROR(__xludf.DUMMYFUNCTION("""COMPUTED_VALUE"""),"2023-12-05T02:12:42Z")</f>
        <v>2023-12-05T02:12:42Z</v>
      </c>
      <c r="X1827" s="43"/>
      <c r="Y1827" s="43"/>
      <c r="Z1827" s="43"/>
    </row>
    <row r="1828" hidden="1">
      <c r="A1828" s="43" t="str">
        <f>IFERROR(__xludf.DUMMYFUNCTION("""COMPUTED_VALUE"""),"5385488_1293417")</f>
        <v>5385488_1293417</v>
      </c>
      <c r="B1828" s="43" t="str">
        <f>IFERROR(__xludf.DUMMYFUNCTION("""COMPUTED_VALUE"""),"Tahir Mazhar")</f>
        <v>Tahir Mazhar</v>
      </c>
      <c r="C1828" s="43" t="str">
        <f>IFERROR(__xludf.DUMMYFUNCTION("""COMPUTED_VALUE"""),"approved")</f>
        <v>approved</v>
      </c>
      <c r="D1828" s="43" t="str">
        <f>IFERROR(__xludf.DUMMYFUNCTION("""COMPUTED_VALUE"""),"No")</f>
        <v>No</v>
      </c>
      <c r="E1828" s="43" t="str">
        <f>IFERROR(__xludf.DUMMYFUNCTION("""COMPUTED_VALUE"""),"p_bc3b3307934b629a095866f5629569d896f1a867@inbound.aiesec.org")</f>
        <v>p_bc3b3307934b629a095866f5629569d896f1a867@inbound.aiesec.org</v>
      </c>
      <c r="F1828" s="43"/>
      <c r="G1828" s="43" t="str">
        <f>IFERROR(__xludf.DUMMYFUNCTION("""COMPUTED_VALUE"""),"Malaysia")</f>
        <v>Malaysia</v>
      </c>
      <c r="H1828" s="43" t="str">
        <f>IFERROR(__xludf.DUMMYFUNCTION("""COMPUTED_VALUE"""),"Johor Bahru (JB)")</f>
        <v>Johor Bahru (JB)</v>
      </c>
      <c r="I1828" s="43" t="str">
        <f>IFERROR(__xludf.DUMMYFUNCTION("""COMPUTED_VALUE"""),"Turkey")</f>
        <v>Turkey</v>
      </c>
      <c r="J1828" s="43" t="str">
        <f>IFERROR(__xludf.DUMMYFUNCTION("""COMPUTED_VALUE"""),"ISTANBUL")</f>
        <v>ISTANBUL</v>
      </c>
      <c r="K1828" s="44" t="str">
        <f>IFERROR(__xludf.DUMMYFUNCTION("""COMPUTED_VALUE"""),"https://expa.aiesec.org/opportunities/1293417")</f>
        <v>https://expa.aiesec.org/opportunities/1293417</v>
      </c>
      <c r="L1828" s="43" t="str">
        <f>IFERROR(__xludf.DUMMYFUNCTION("""COMPUTED_VALUE"""),"GV")</f>
        <v>GV</v>
      </c>
      <c r="M1828" s="43" t="str">
        <f>IFERROR(__xludf.DUMMYFUNCTION("""COMPUTED_VALUE"""),"short")</f>
        <v>short</v>
      </c>
      <c r="N1828" s="45">
        <f>IFERROR(__xludf.DUMMYFUNCTION("""COMPUTED_VALUE"""),45285.0)</f>
        <v>45285</v>
      </c>
      <c r="O1828" s="45">
        <f>IFERROR(__xludf.DUMMYFUNCTION("""COMPUTED_VALUE"""),45336.0)</f>
        <v>45336</v>
      </c>
      <c r="P1828" s="45">
        <f>IFERROR(__xludf.DUMMYFUNCTION("""COMPUTED_VALUE"""),45378.0)</f>
        <v>45378</v>
      </c>
      <c r="Q1828" s="45"/>
      <c r="R1828" s="45"/>
      <c r="S1828" s="43"/>
      <c r="T1828" s="43"/>
      <c r="U1828" s="43" t="str">
        <f>IFERROR(__xludf.DUMMYFUNCTION("""COMPUTED_VALUE"""),"Global Classroom")</f>
        <v>Global Classroom</v>
      </c>
      <c r="V1828" s="43" t="str">
        <f>IFERROR(__xludf.DUMMYFUNCTION("""COMPUTED_VALUE"""),"-")</f>
        <v>-</v>
      </c>
      <c r="W1828" s="43" t="str">
        <f>IFERROR(__xludf.DUMMYFUNCTION("""COMPUTED_VALUE"""),"2023-12-05T02:22:32Z")</f>
        <v>2023-12-05T02:22:32Z</v>
      </c>
      <c r="X1828" s="43"/>
      <c r="Y1828" s="43"/>
      <c r="Z1828" s="43"/>
    </row>
    <row r="1829" hidden="1">
      <c r="A1829" s="43" t="str">
        <f>IFERROR(__xludf.DUMMYFUNCTION("""COMPUTED_VALUE"""),"5393386_1293417")</f>
        <v>5393386_1293417</v>
      </c>
      <c r="B1829" s="43" t="str">
        <f>IFERROR(__xludf.DUMMYFUNCTION("""COMPUTED_VALUE"""),"Chen Jun Lin")</f>
        <v>Chen Jun Lin</v>
      </c>
      <c r="C1829" s="43" t="str">
        <f>IFERROR(__xludf.DUMMYFUNCTION("""COMPUTED_VALUE"""),"approved")</f>
        <v>approved</v>
      </c>
      <c r="D1829" s="43" t="str">
        <f>IFERROR(__xludf.DUMMYFUNCTION("""COMPUTED_VALUE"""),"No")</f>
        <v>No</v>
      </c>
      <c r="E1829" s="43" t="str">
        <f>IFERROR(__xludf.DUMMYFUNCTION("""COMPUTED_VALUE"""),"p_5ba5a0fce69fcb020ce583add1ad00898703e352@inbound.aiesec.org")</f>
        <v>p_5ba5a0fce69fcb020ce583add1ad00898703e352@inbound.aiesec.org</v>
      </c>
      <c r="F1829" s="43"/>
      <c r="G1829" s="43" t="str">
        <f>IFERROR(__xludf.DUMMYFUNCTION("""COMPUTED_VALUE"""),"Malaysia")</f>
        <v>Malaysia</v>
      </c>
      <c r="H1829" s="43" t="str">
        <f>IFERROR(__xludf.DUMMYFUNCTION("""COMPUTED_VALUE"""),"Johor Bahru (JB)")</f>
        <v>Johor Bahru (JB)</v>
      </c>
      <c r="I1829" s="43" t="str">
        <f>IFERROR(__xludf.DUMMYFUNCTION("""COMPUTED_VALUE"""),"Turkey")</f>
        <v>Turkey</v>
      </c>
      <c r="J1829" s="43" t="str">
        <f>IFERROR(__xludf.DUMMYFUNCTION("""COMPUTED_VALUE"""),"ISTANBUL")</f>
        <v>ISTANBUL</v>
      </c>
      <c r="K1829" s="44" t="str">
        <f>IFERROR(__xludf.DUMMYFUNCTION("""COMPUTED_VALUE"""),"https://expa.aiesec.org/opportunities/1293417")</f>
        <v>https://expa.aiesec.org/opportunities/1293417</v>
      </c>
      <c r="L1829" s="43" t="str">
        <f>IFERROR(__xludf.DUMMYFUNCTION("""COMPUTED_VALUE"""),"GV")</f>
        <v>GV</v>
      </c>
      <c r="M1829" s="43" t="str">
        <f>IFERROR(__xludf.DUMMYFUNCTION("""COMPUTED_VALUE"""),"short")</f>
        <v>short</v>
      </c>
      <c r="N1829" s="45">
        <f>IFERROR(__xludf.DUMMYFUNCTION("""COMPUTED_VALUE"""),45285.0)</f>
        <v>45285</v>
      </c>
      <c r="O1829" s="45">
        <f>IFERROR(__xludf.DUMMYFUNCTION("""COMPUTED_VALUE"""),45336.0)</f>
        <v>45336</v>
      </c>
      <c r="P1829" s="45">
        <f>IFERROR(__xludf.DUMMYFUNCTION("""COMPUTED_VALUE"""),45378.0)</f>
        <v>45378</v>
      </c>
      <c r="Q1829" s="45"/>
      <c r="R1829" s="45"/>
      <c r="S1829" s="43"/>
      <c r="T1829" s="43"/>
      <c r="U1829" s="43" t="str">
        <f>IFERROR(__xludf.DUMMYFUNCTION("""COMPUTED_VALUE"""),"Global Classroom")</f>
        <v>Global Classroom</v>
      </c>
      <c r="V1829" s="43" t="str">
        <f>IFERROR(__xludf.DUMMYFUNCTION("""COMPUTED_VALUE"""),"-")</f>
        <v>-</v>
      </c>
      <c r="W1829" s="43" t="str">
        <f>IFERROR(__xludf.DUMMYFUNCTION("""COMPUTED_VALUE"""),"2023-12-22T17:00:05Z")</f>
        <v>2023-12-22T17:00:05Z</v>
      </c>
      <c r="X1829" s="43"/>
      <c r="Y1829" s="43"/>
      <c r="Z1829" s="43"/>
    </row>
    <row r="1830" hidden="1">
      <c r="A1830" s="43" t="str">
        <f>IFERROR(__xludf.DUMMYFUNCTION("""COMPUTED_VALUE"""),"5332524_1296101")</f>
        <v>5332524_1296101</v>
      </c>
      <c r="B1830" s="43" t="str">
        <f>IFERROR(__xludf.DUMMYFUNCTION("""COMPUTED_VALUE"""),"Анастасія Бачуріна")</f>
        <v>Анастасія Бачуріна</v>
      </c>
      <c r="C1830" s="43" t="str">
        <f>IFERROR(__xludf.DUMMYFUNCTION("""COMPUTED_VALUE"""),"approved")</f>
        <v>approved</v>
      </c>
      <c r="D1830" s="43" t="str">
        <f>IFERROR(__xludf.DUMMYFUNCTION("""COMPUTED_VALUE"""),"No")</f>
        <v>No</v>
      </c>
      <c r="E1830" s="43" t="str">
        <f>IFERROR(__xludf.DUMMYFUNCTION("""COMPUTED_VALUE"""),"p_1450a8e35e60b43be47e51ed0c7ef276344aa863@inbound.aiesec.org")</f>
        <v>p_1450a8e35e60b43be47e51ed0c7ef276344aa863@inbound.aiesec.org</v>
      </c>
      <c r="F1830" s="43">
        <f>IFERROR(__xludf.DUMMYFUNCTION("""COMPUTED_VALUE"""),9.95444241E8)</f>
        <v>995444241</v>
      </c>
      <c r="G1830" s="43" t="str">
        <f>IFERROR(__xludf.DUMMYFUNCTION("""COMPUTED_VALUE"""),"Ukraine")</f>
        <v>Ukraine</v>
      </c>
      <c r="H1830" s="43" t="str">
        <f>IFERROR(__xludf.DUMMYFUNCTION("""COMPUTED_VALUE"""),"TERNOPIL")</f>
        <v>TERNOPIL</v>
      </c>
      <c r="I1830" s="43" t="str">
        <f>IFERROR(__xludf.DUMMYFUNCTION("""COMPUTED_VALUE"""),"Turkey")</f>
        <v>Turkey</v>
      </c>
      <c r="J1830" s="43" t="str">
        <f>IFERROR(__xludf.DUMMYFUNCTION("""COMPUTED_VALUE"""),"ANKARA")</f>
        <v>ANKARA</v>
      </c>
      <c r="K1830" s="44" t="str">
        <f>IFERROR(__xludf.DUMMYFUNCTION("""COMPUTED_VALUE"""),"https://expa.aiesec.org/opportunities/1296101")</f>
        <v>https://expa.aiesec.org/opportunities/1296101</v>
      </c>
      <c r="L1830" s="43" t="str">
        <f>IFERROR(__xludf.DUMMYFUNCTION("""COMPUTED_VALUE"""),"GV")</f>
        <v>GV</v>
      </c>
      <c r="M1830" s="43" t="str">
        <f>IFERROR(__xludf.DUMMYFUNCTION("""COMPUTED_VALUE"""),"short")</f>
        <v>short</v>
      </c>
      <c r="N1830" s="45">
        <f>IFERROR(__xludf.DUMMYFUNCTION("""COMPUTED_VALUE"""),45287.0)</f>
        <v>45287</v>
      </c>
      <c r="O1830" s="45">
        <f>IFERROR(__xludf.DUMMYFUNCTION("""COMPUTED_VALUE"""),45516.0)</f>
        <v>45516</v>
      </c>
      <c r="P1830" s="45">
        <f>IFERROR(__xludf.DUMMYFUNCTION("""COMPUTED_VALUE"""),45558.0)</f>
        <v>45558</v>
      </c>
      <c r="Q1830" s="45"/>
      <c r="R1830" s="45"/>
      <c r="S1830" s="43"/>
      <c r="T1830" s="43"/>
      <c r="U1830" s="43" t="str">
        <f>IFERROR(__xludf.DUMMYFUNCTION("""COMPUTED_VALUE"""),"Fingerprint")</f>
        <v>Fingerprint</v>
      </c>
      <c r="V1830" s="43" t="str">
        <f>IFERROR(__xludf.DUMMYFUNCTION("""COMPUTED_VALUE"""),"Ternopil")</f>
        <v>Ternopil</v>
      </c>
      <c r="W1830" s="43" t="str">
        <f>IFERROR(__xludf.DUMMYFUNCTION("""COMPUTED_VALUE"""),"2023-09-25T20:47:51Z")</f>
        <v>2023-09-25T20:47:51Z</v>
      </c>
      <c r="X1830" s="43"/>
      <c r="Y1830" s="43"/>
      <c r="Z1830" s="43"/>
    </row>
    <row r="1831" hidden="1">
      <c r="A1831" s="43" t="str">
        <f>IFERROR(__xludf.DUMMYFUNCTION("""COMPUTED_VALUE"""),"5378990_1296101")</f>
        <v>5378990_1296101</v>
      </c>
      <c r="B1831" s="43" t="str">
        <f>IFERROR(__xludf.DUMMYFUNCTION("""COMPUTED_VALUE"""),"Seif madany")</f>
        <v>Seif madany</v>
      </c>
      <c r="C1831" s="43" t="str">
        <f>IFERROR(__xludf.DUMMYFUNCTION("""COMPUTED_VALUE"""),"approved")</f>
        <v>approved</v>
      </c>
      <c r="D1831" s="43" t="str">
        <f>IFERROR(__xludf.DUMMYFUNCTION("""COMPUTED_VALUE"""),"No")</f>
        <v>No</v>
      </c>
      <c r="E1831" s="43" t="str">
        <f>IFERROR(__xludf.DUMMYFUNCTION("""COMPUTED_VALUE"""),"p_b38a5b1060007f2106bb60f568df4befa8e291a7@inbound.aiesec.org")</f>
        <v>p_b38a5b1060007f2106bb60f568df4befa8e291a7@inbound.aiesec.org</v>
      </c>
      <c r="F1831" s="43">
        <f>IFERROR(__xludf.DUMMYFUNCTION("""COMPUTED_VALUE"""),1.123934545E9)</f>
        <v>1123934545</v>
      </c>
      <c r="G1831" s="43" t="str">
        <f>IFERROR(__xludf.DUMMYFUNCTION("""COMPUTED_VALUE"""),"Egypt")</f>
        <v>Egypt</v>
      </c>
      <c r="H1831" s="43" t="str">
        <f>IFERROR(__xludf.DUMMYFUNCTION("""COMPUTED_VALUE"""),"Cairo University")</f>
        <v>Cairo University</v>
      </c>
      <c r="I1831" s="43" t="str">
        <f>IFERROR(__xludf.DUMMYFUNCTION("""COMPUTED_VALUE"""),"Turkey")</f>
        <v>Turkey</v>
      </c>
      <c r="J1831" s="43" t="str">
        <f>IFERROR(__xludf.DUMMYFUNCTION("""COMPUTED_VALUE"""),"ANKARA")</f>
        <v>ANKARA</v>
      </c>
      <c r="K1831" s="44" t="str">
        <f>IFERROR(__xludf.DUMMYFUNCTION("""COMPUTED_VALUE"""),"https://expa.aiesec.org/opportunities/1296101")</f>
        <v>https://expa.aiesec.org/opportunities/1296101</v>
      </c>
      <c r="L1831" s="43" t="str">
        <f>IFERROR(__xludf.DUMMYFUNCTION("""COMPUTED_VALUE"""),"GV")</f>
        <v>GV</v>
      </c>
      <c r="M1831" s="43" t="str">
        <f>IFERROR(__xludf.DUMMYFUNCTION("""COMPUTED_VALUE"""),"short")</f>
        <v>short</v>
      </c>
      <c r="N1831" s="45">
        <f>IFERROR(__xludf.DUMMYFUNCTION("""COMPUTED_VALUE"""),45288.0)</f>
        <v>45288</v>
      </c>
      <c r="O1831" s="45">
        <f>IFERROR(__xludf.DUMMYFUNCTION("""COMPUTED_VALUE"""),45516.0)</f>
        <v>45516</v>
      </c>
      <c r="P1831" s="45">
        <f>IFERROR(__xludf.DUMMYFUNCTION("""COMPUTED_VALUE"""),45558.0)</f>
        <v>45558</v>
      </c>
      <c r="Q1831" s="45"/>
      <c r="R1831" s="45"/>
      <c r="S1831" s="43"/>
      <c r="T1831" s="43"/>
      <c r="U1831" s="43" t="str">
        <f>IFERROR(__xludf.DUMMYFUNCTION("""COMPUTED_VALUE"""),"Fingerprint")</f>
        <v>Fingerprint</v>
      </c>
      <c r="V1831" s="43" t="str">
        <f>IFERROR(__xludf.DUMMYFUNCTION("""COMPUTED_VALUE"""),"Cairo Univeristy")</f>
        <v>Cairo Univeristy</v>
      </c>
      <c r="W1831" s="43" t="str">
        <f>IFERROR(__xludf.DUMMYFUNCTION("""COMPUTED_VALUE"""),"2023-11-24T12:44:28Z")</f>
        <v>2023-11-24T12:44:28Z</v>
      </c>
      <c r="X1831" s="43"/>
      <c r="Y1831" s="43"/>
      <c r="Z1831" s="43"/>
    </row>
    <row r="1832" hidden="1">
      <c r="A1832" s="43" t="str">
        <f>IFERROR(__xludf.DUMMYFUNCTION("""COMPUTED_VALUE"""),"4567641_1301902")</f>
        <v>4567641_1301902</v>
      </c>
      <c r="B1832" s="43" t="str">
        <f>IFERROR(__xludf.DUMMYFUNCTION("""COMPUTED_VALUE"""),"Evangelia Timpin")</f>
        <v>Evangelia Timpin</v>
      </c>
      <c r="C1832" s="43" t="str">
        <f>IFERROR(__xludf.DUMMYFUNCTION("""COMPUTED_VALUE"""),"approved")</f>
        <v>approved</v>
      </c>
      <c r="D1832" s="43" t="str">
        <f>IFERROR(__xludf.DUMMYFUNCTION("""COMPUTED_VALUE"""),"No")</f>
        <v>No</v>
      </c>
      <c r="E1832" s="43" t="str">
        <f>IFERROR(__xludf.DUMMYFUNCTION("""COMPUTED_VALUE"""),"p_2fcea203556836eed2f287c2fcb822ce458fa410@inbound.aiesec.org")</f>
        <v>p_2fcea203556836eed2f287c2fcb822ce458fa410@inbound.aiesec.org</v>
      </c>
      <c r="F1832" s="43">
        <f>IFERROR(__xludf.DUMMYFUNCTION("""COMPUTED_VALUE"""),6.931436207E9)</f>
        <v>6931436207</v>
      </c>
      <c r="G1832" s="43" t="str">
        <f>IFERROR(__xludf.DUMMYFUNCTION("""COMPUTED_VALUE"""),"Greece")</f>
        <v>Greece</v>
      </c>
      <c r="H1832" s="43" t="str">
        <f>IFERROR(__xludf.DUMMYFUNCTION("""COMPUTED_VALUE"""),"UNIVERSITY OF PATRAS")</f>
        <v>UNIVERSITY OF PATRAS</v>
      </c>
      <c r="I1832" s="43" t="str">
        <f>IFERROR(__xludf.DUMMYFUNCTION("""COMPUTED_VALUE"""),"Turkey")</f>
        <v>Turkey</v>
      </c>
      <c r="J1832" s="43" t="str">
        <f>IFERROR(__xludf.DUMMYFUNCTION("""COMPUTED_VALUE"""),"KOCAELI")</f>
        <v>KOCAELI</v>
      </c>
      <c r="K1832" s="44" t="str">
        <f>IFERROR(__xludf.DUMMYFUNCTION("""COMPUTED_VALUE"""),"https://expa.aiesec.org/opportunities/1301902")</f>
        <v>https://expa.aiesec.org/opportunities/1301902</v>
      </c>
      <c r="L1832" s="43" t="str">
        <f>IFERROR(__xludf.DUMMYFUNCTION("""COMPUTED_VALUE"""),"GV")</f>
        <v>GV</v>
      </c>
      <c r="M1832" s="43" t="str">
        <f>IFERROR(__xludf.DUMMYFUNCTION("""COMPUTED_VALUE"""),"short")</f>
        <v>short</v>
      </c>
      <c r="N1832" s="45">
        <f>IFERROR(__xludf.DUMMYFUNCTION("""COMPUTED_VALUE"""),45288.0)</f>
        <v>45288</v>
      </c>
      <c r="O1832" s="45">
        <f>IFERROR(__xludf.DUMMYFUNCTION("""COMPUTED_VALUE"""),45341.0)</f>
        <v>45341</v>
      </c>
      <c r="P1832" s="45">
        <f>IFERROR(__xludf.DUMMYFUNCTION("""COMPUTED_VALUE"""),45383.0)</f>
        <v>45383</v>
      </c>
      <c r="Q1832" s="45"/>
      <c r="R1832" s="45"/>
      <c r="S1832" s="43"/>
      <c r="T1832" s="43"/>
      <c r="U1832" s="43" t="str">
        <f>IFERROR(__xludf.DUMMYFUNCTION("""COMPUTED_VALUE"""),"Global Classroom")</f>
        <v>Global Classroom</v>
      </c>
      <c r="V1832" s="43" t="str">
        <f>IFERROR(__xludf.DUMMYFUNCTION("""COMPUTED_VALUE"""),"-")</f>
        <v>-</v>
      </c>
      <c r="W1832" s="43" t="str">
        <f>IFERROR(__xludf.DUMMYFUNCTION("""COMPUTED_VALUE"""),"2021-03-04T18:48:30Z")</f>
        <v>2021-03-04T18:48:30Z</v>
      </c>
      <c r="X1832" s="43"/>
      <c r="Y1832" s="43"/>
      <c r="Z1832" s="43"/>
    </row>
    <row r="1833" hidden="1">
      <c r="A1833" s="43" t="str">
        <f>IFERROR(__xludf.DUMMYFUNCTION("""COMPUTED_VALUE"""),"5392298_1296101")</f>
        <v>5392298_1296101</v>
      </c>
      <c r="B1833" s="43" t="str">
        <f>IFERROR(__xludf.DUMMYFUNCTION("""COMPUTED_VALUE"""),"Mariana Mota")</f>
        <v>Mariana Mota</v>
      </c>
      <c r="C1833" s="43" t="str">
        <f>IFERROR(__xludf.DUMMYFUNCTION("""COMPUTED_VALUE"""),"approved")</f>
        <v>approved</v>
      </c>
      <c r="D1833" s="43" t="str">
        <f>IFERROR(__xludf.DUMMYFUNCTION("""COMPUTED_VALUE"""),"No")</f>
        <v>No</v>
      </c>
      <c r="E1833" s="43" t="str">
        <f>IFERROR(__xludf.DUMMYFUNCTION("""COMPUTED_VALUE"""),"p_17baa1843b34ada24eeea588c17b54c8503a9f1f@inbound.aiesec.org")</f>
        <v>p_17baa1843b34ada24eeea588c17b54c8503a9f1f@inbound.aiesec.org</v>
      </c>
      <c r="F1833" s="43">
        <f>IFERROR(__xludf.DUMMYFUNCTION("""COMPUTED_VALUE"""),9.25139354E8)</f>
        <v>925139354</v>
      </c>
      <c r="G1833" s="43" t="str">
        <f>IFERROR(__xludf.DUMMYFUNCTION("""COMPUTED_VALUE"""),"Portugal")</f>
        <v>Portugal</v>
      </c>
      <c r="H1833" s="43" t="str">
        <f>IFERROR(__xludf.DUMMYFUNCTION("""COMPUTED_VALUE"""),"UMINHO")</f>
        <v>UMINHO</v>
      </c>
      <c r="I1833" s="43" t="str">
        <f>IFERROR(__xludf.DUMMYFUNCTION("""COMPUTED_VALUE"""),"Turkey")</f>
        <v>Turkey</v>
      </c>
      <c r="J1833" s="43" t="str">
        <f>IFERROR(__xludf.DUMMYFUNCTION("""COMPUTED_VALUE"""),"ANKARA")</f>
        <v>ANKARA</v>
      </c>
      <c r="K1833" s="44" t="str">
        <f>IFERROR(__xludf.DUMMYFUNCTION("""COMPUTED_VALUE"""),"https://expa.aiesec.org/opportunities/1296101")</f>
        <v>https://expa.aiesec.org/opportunities/1296101</v>
      </c>
      <c r="L1833" s="43" t="str">
        <f>IFERROR(__xludf.DUMMYFUNCTION("""COMPUTED_VALUE"""),"GV")</f>
        <v>GV</v>
      </c>
      <c r="M1833" s="43" t="str">
        <f>IFERROR(__xludf.DUMMYFUNCTION("""COMPUTED_VALUE"""),"short")</f>
        <v>short</v>
      </c>
      <c r="N1833" s="45">
        <f>IFERROR(__xludf.DUMMYFUNCTION("""COMPUTED_VALUE"""),45288.0)</f>
        <v>45288</v>
      </c>
      <c r="O1833" s="45">
        <f>IFERROR(__xludf.DUMMYFUNCTION("""COMPUTED_VALUE"""),45469.0)</f>
        <v>45469</v>
      </c>
      <c r="P1833" s="45">
        <f>IFERROR(__xludf.DUMMYFUNCTION("""COMPUTED_VALUE"""),45511.0)</f>
        <v>45511</v>
      </c>
      <c r="Q1833" s="45"/>
      <c r="R1833" s="45"/>
      <c r="S1833" s="43"/>
      <c r="T1833" s="43"/>
      <c r="U1833" s="43" t="str">
        <f>IFERROR(__xludf.DUMMYFUNCTION("""COMPUTED_VALUE"""),"Fingerprint")</f>
        <v>Fingerprint</v>
      </c>
      <c r="V1833" s="43" t="str">
        <f>IFERROR(__xludf.DUMMYFUNCTION("""COMPUTED_VALUE"""),"Universidade do Minho - Escola de Ciências (ECUM)")</f>
        <v>Universidade do Minho - Escola de Ciências (ECUM)</v>
      </c>
      <c r="W1833" s="43" t="str">
        <f>IFERROR(__xludf.DUMMYFUNCTION("""COMPUTED_VALUE"""),"2023-12-19T16:18:00Z")</f>
        <v>2023-12-19T16:18:00Z</v>
      </c>
      <c r="X1833" s="43"/>
      <c r="Y1833" s="43"/>
      <c r="Z1833" s="43"/>
    </row>
    <row r="1834" hidden="1">
      <c r="A1834" s="43" t="str">
        <f>IFERROR(__xludf.DUMMYFUNCTION("""COMPUTED_VALUE"""),"5385103_1296105")</f>
        <v>5385103_1296105</v>
      </c>
      <c r="B1834" s="43" t="str">
        <f>IFERROR(__xludf.DUMMYFUNCTION("""COMPUTED_VALUE"""),"Nancy Mungai")</f>
        <v>Nancy Mungai</v>
      </c>
      <c r="C1834" s="43" t="str">
        <f>IFERROR(__xludf.DUMMYFUNCTION("""COMPUTED_VALUE"""),"approved")</f>
        <v>approved</v>
      </c>
      <c r="D1834" s="43" t="str">
        <f>IFERROR(__xludf.DUMMYFUNCTION("""COMPUTED_VALUE"""),"No")</f>
        <v>No</v>
      </c>
      <c r="E1834" s="43" t="str">
        <f>IFERROR(__xludf.DUMMYFUNCTION("""COMPUTED_VALUE"""),"p_b8f05f775b8a8e742b9a455e39ef930e99998adb@inbound.aiesec.org")</f>
        <v>p_b8f05f775b8a8e742b9a455e39ef930e99998adb@inbound.aiesec.org</v>
      </c>
      <c r="F1834" s="43">
        <f>IFERROR(__xludf.DUMMYFUNCTION("""COMPUTED_VALUE"""),7.43314865E8)</f>
        <v>743314865</v>
      </c>
      <c r="G1834" s="43" t="str">
        <f>IFERROR(__xludf.DUMMYFUNCTION("""COMPUTED_VALUE"""),"Kenya")</f>
        <v>Kenya</v>
      </c>
      <c r="H1834" s="43" t="str">
        <f>IFERROR(__xludf.DUMMYFUNCTION("""COMPUTED_VALUE"""),"STRATHMORE UNIVERSITY")</f>
        <v>STRATHMORE UNIVERSITY</v>
      </c>
      <c r="I1834" s="43" t="str">
        <f>IFERROR(__xludf.DUMMYFUNCTION("""COMPUTED_VALUE"""),"Turkey")</f>
        <v>Turkey</v>
      </c>
      <c r="J1834" s="43" t="str">
        <f>IFERROR(__xludf.DUMMYFUNCTION("""COMPUTED_VALUE"""),"ANKARA")</f>
        <v>ANKARA</v>
      </c>
      <c r="K1834" s="44" t="str">
        <f>IFERROR(__xludf.DUMMYFUNCTION("""COMPUTED_VALUE"""),"https://expa.aiesec.org/opportunities/1296105")</f>
        <v>https://expa.aiesec.org/opportunities/1296105</v>
      </c>
      <c r="L1834" s="43" t="str">
        <f>IFERROR(__xludf.DUMMYFUNCTION("""COMPUTED_VALUE"""),"GV")</f>
        <v>GV</v>
      </c>
      <c r="M1834" s="43" t="str">
        <f>IFERROR(__xludf.DUMMYFUNCTION("""COMPUTED_VALUE"""),"short")</f>
        <v>short</v>
      </c>
      <c r="N1834" s="45">
        <f>IFERROR(__xludf.DUMMYFUNCTION("""COMPUTED_VALUE"""),45289.0)</f>
        <v>45289</v>
      </c>
      <c r="O1834" s="45">
        <f>IFERROR(__xludf.DUMMYFUNCTION("""COMPUTED_VALUE"""),45327.0)</f>
        <v>45327</v>
      </c>
      <c r="P1834" s="45">
        <f>IFERROR(__xludf.DUMMYFUNCTION("""COMPUTED_VALUE"""),45369.0)</f>
        <v>45369</v>
      </c>
      <c r="Q1834" s="45"/>
      <c r="R1834" s="45"/>
      <c r="S1834" s="43"/>
      <c r="T1834" s="43"/>
      <c r="U1834" s="43" t="str">
        <f>IFERROR(__xludf.DUMMYFUNCTION("""COMPUTED_VALUE"""),"Fingerprint")</f>
        <v>Fingerprint</v>
      </c>
      <c r="V1834" s="43" t="str">
        <f>IFERROR(__xludf.DUMMYFUNCTION("""COMPUTED_VALUE"""),"Strathmore University")</f>
        <v>Strathmore University</v>
      </c>
      <c r="W1834" s="43" t="str">
        <f>IFERROR(__xludf.DUMMYFUNCTION("""COMPUTED_VALUE"""),"2023-12-04T10:15:30Z")</f>
        <v>2023-12-04T10:15:30Z</v>
      </c>
      <c r="X1834" s="43"/>
      <c r="Y1834" s="43"/>
      <c r="Z1834" s="43"/>
    </row>
    <row r="1835" hidden="1">
      <c r="A1835" s="43" t="str">
        <f>IFERROR(__xludf.DUMMYFUNCTION("""COMPUTED_VALUE"""),"5393019_1300056")</f>
        <v>5393019_1300056</v>
      </c>
      <c r="B1835" s="43" t="str">
        <f>IFERROR(__xludf.DUMMYFUNCTION("""COMPUTED_VALUE"""),"Nadine Njora")</f>
        <v>Nadine Njora</v>
      </c>
      <c r="C1835" s="43" t="str">
        <f>IFERROR(__xludf.DUMMYFUNCTION("""COMPUTED_VALUE"""),"approved")</f>
        <v>approved</v>
      </c>
      <c r="D1835" s="43" t="str">
        <f>IFERROR(__xludf.DUMMYFUNCTION("""COMPUTED_VALUE"""),"No")</f>
        <v>No</v>
      </c>
      <c r="E1835" s="43" t="str">
        <f>IFERROR(__xludf.DUMMYFUNCTION("""COMPUTED_VALUE"""),"p_fa8a8ccbf6e5032fb1908aec7b13fd3dd331b414@inbound.aiesec.org")</f>
        <v>p_fa8a8ccbf6e5032fb1908aec7b13fd3dd331b414@inbound.aiesec.org</v>
      </c>
      <c r="F1835" s="43"/>
      <c r="G1835" s="43" t="str">
        <f>IFERROR(__xludf.DUMMYFUNCTION("""COMPUTED_VALUE"""),"Kenya")</f>
        <v>Kenya</v>
      </c>
      <c r="H1835" s="43" t="str">
        <f>IFERROR(__xludf.DUMMYFUNCTION("""COMPUTED_VALUE"""),"STRATHMORE UNIVERSITY")</f>
        <v>STRATHMORE UNIVERSITY</v>
      </c>
      <c r="I1835" s="43" t="str">
        <f>IFERROR(__xludf.DUMMYFUNCTION("""COMPUTED_VALUE"""),"Turkey")</f>
        <v>Turkey</v>
      </c>
      <c r="J1835" s="43" t="str">
        <f>IFERROR(__xludf.DUMMYFUNCTION("""COMPUTED_VALUE"""),"ANKARA")</f>
        <v>ANKARA</v>
      </c>
      <c r="K1835" s="44" t="str">
        <f>IFERROR(__xludf.DUMMYFUNCTION("""COMPUTED_VALUE"""),"https://expa.aiesec.org/opportunities/1300056")</f>
        <v>https://expa.aiesec.org/opportunities/1300056</v>
      </c>
      <c r="L1835" s="43" t="str">
        <f>IFERROR(__xludf.DUMMYFUNCTION("""COMPUTED_VALUE"""),"GV")</f>
        <v>GV</v>
      </c>
      <c r="M1835" s="43" t="str">
        <f>IFERROR(__xludf.DUMMYFUNCTION("""COMPUTED_VALUE"""),"short")</f>
        <v>short</v>
      </c>
      <c r="N1835" s="45">
        <f>IFERROR(__xludf.DUMMYFUNCTION("""COMPUTED_VALUE"""),45290.0)</f>
        <v>45290</v>
      </c>
      <c r="O1835" s="45">
        <f>IFERROR(__xludf.DUMMYFUNCTION("""COMPUTED_VALUE"""),45299.0)</f>
        <v>45299</v>
      </c>
      <c r="P1835" s="45">
        <f>IFERROR(__xludf.DUMMYFUNCTION("""COMPUTED_VALUE"""),45341.0)</f>
        <v>45341</v>
      </c>
      <c r="Q1835" s="45"/>
      <c r="R1835" s="45"/>
      <c r="S1835" s="43"/>
      <c r="T1835" s="43"/>
      <c r="U1835" s="43" t="str">
        <f>IFERROR(__xludf.DUMMYFUNCTION("""COMPUTED_VALUE"""),"Fingerprint")</f>
        <v>Fingerprint</v>
      </c>
      <c r="V1835" s="43" t="str">
        <f>IFERROR(__xludf.DUMMYFUNCTION("""COMPUTED_VALUE"""),"-")</f>
        <v>-</v>
      </c>
      <c r="W1835" s="43" t="str">
        <f>IFERROR(__xludf.DUMMYFUNCTION("""COMPUTED_VALUE"""),"2023-12-21T16:40:41Z")</f>
        <v>2023-12-21T16:40:41Z</v>
      </c>
      <c r="X1835" s="43"/>
      <c r="Y1835" s="43"/>
      <c r="Z1835" s="43"/>
    </row>
    <row r="1836" hidden="1">
      <c r="A1836" s="43" t="str">
        <f>IFERROR(__xludf.DUMMYFUNCTION("""COMPUTED_VALUE"""),"5387375_1288970")</f>
        <v>5387375_1288970</v>
      </c>
      <c r="B1836" s="43" t="str">
        <f>IFERROR(__xludf.DUMMYFUNCTION("""COMPUTED_VALUE"""),"Smiljana Potić")</f>
        <v>Smiljana Potić</v>
      </c>
      <c r="C1836" s="43" t="str">
        <f>IFERROR(__xludf.DUMMYFUNCTION("""COMPUTED_VALUE"""),"approved")</f>
        <v>approved</v>
      </c>
      <c r="D1836" s="43" t="str">
        <f>IFERROR(__xludf.DUMMYFUNCTION("""COMPUTED_VALUE"""),"No")</f>
        <v>No</v>
      </c>
      <c r="E1836" s="43" t="str">
        <f>IFERROR(__xludf.DUMMYFUNCTION("""COMPUTED_VALUE"""),"p_0a8d56bc0a785c4bf3c560e2ae6eed4db90e1d85@inbound.aiesec.org")</f>
        <v>p_0a8d56bc0a785c4bf3c560e2ae6eed4db90e1d85@inbound.aiesec.org</v>
      </c>
      <c r="F1836" s="43">
        <f>IFERROR(__xludf.DUMMYFUNCTION("""COMPUTED_VALUE"""),6.58504318E8)</f>
        <v>658504318</v>
      </c>
      <c r="G1836" s="43" t="str">
        <f>IFERROR(__xludf.DUMMYFUNCTION("""COMPUTED_VALUE"""),"Serbia")</f>
        <v>Serbia</v>
      </c>
      <c r="H1836" s="43" t="str">
        <f>IFERROR(__xludf.DUMMYFUNCTION("""COMPUTED_VALUE"""),"Belgrade Faculty of Economics (EF)")</f>
        <v>Belgrade Faculty of Economics (EF)</v>
      </c>
      <c r="I1836" s="43" t="str">
        <f>IFERROR(__xludf.DUMMYFUNCTION("""COMPUTED_VALUE"""),"Turkey")</f>
        <v>Turkey</v>
      </c>
      <c r="J1836" s="43" t="str">
        <f>IFERROR(__xludf.DUMMYFUNCTION("""COMPUTED_VALUE"""),"İZMİR")</f>
        <v>İZMİR</v>
      </c>
      <c r="K1836" s="44" t="str">
        <f>IFERROR(__xludf.DUMMYFUNCTION("""COMPUTED_VALUE"""),"https://expa.aiesec.org/opportunities/1288970")</f>
        <v>https://expa.aiesec.org/opportunities/1288970</v>
      </c>
      <c r="L1836" s="43" t="str">
        <f>IFERROR(__xludf.DUMMYFUNCTION("""COMPUTED_VALUE"""),"GV")</f>
        <v>GV</v>
      </c>
      <c r="M1836" s="43" t="str">
        <f>IFERROR(__xludf.DUMMYFUNCTION("""COMPUTED_VALUE"""),"short")</f>
        <v>short</v>
      </c>
      <c r="N1836" s="45">
        <f>IFERROR(__xludf.DUMMYFUNCTION("""COMPUTED_VALUE"""),45290.0)</f>
        <v>45290</v>
      </c>
      <c r="O1836" s="45">
        <f>IFERROR(__xludf.DUMMYFUNCTION("""COMPUTED_VALUE"""),45383.0)</f>
        <v>45383</v>
      </c>
      <c r="P1836" s="45">
        <f>IFERROR(__xludf.DUMMYFUNCTION("""COMPUTED_VALUE"""),45425.0)</f>
        <v>45425</v>
      </c>
      <c r="Q1836" s="45"/>
      <c r="R1836" s="45"/>
      <c r="S1836" s="43"/>
      <c r="T1836" s="43"/>
      <c r="U1836" s="43" t="str">
        <f>IFERROR(__xludf.DUMMYFUNCTION("""COMPUTED_VALUE"""),"Fingerprint")</f>
        <v>Fingerprint</v>
      </c>
      <c r="V1836" s="43" t="str">
        <f>IFERROR(__xludf.DUMMYFUNCTION("""COMPUTED_VALUE"""),"Faculty of Economics, Belgrade")</f>
        <v>Faculty of Economics, Belgrade</v>
      </c>
      <c r="W1836" s="43" t="str">
        <f>IFERROR(__xludf.DUMMYFUNCTION("""COMPUTED_VALUE"""),"2023-12-08T15:17:25Z")</f>
        <v>2023-12-08T15:17:25Z</v>
      </c>
      <c r="X1836" s="43"/>
      <c r="Y1836" s="43"/>
      <c r="Z1836" s="43"/>
    </row>
    <row r="1837" hidden="1">
      <c r="A1837" s="43" t="str">
        <f>IFERROR(__xludf.DUMMYFUNCTION("""COMPUTED_VALUE"""),"5019143_1300836")</f>
        <v>5019143_1300836</v>
      </c>
      <c r="B1837" s="43" t="str">
        <f>IFERROR(__xludf.DUMMYFUNCTION("""COMPUTED_VALUE"""),"Mera Elmanakhly")</f>
        <v>Mera Elmanakhly</v>
      </c>
      <c r="C1837" s="43" t="str">
        <f>IFERROR(__xludf.DUMMYFUNCTION("""COMPUTED_VALUE"""),"approved")</f>
        <v>approved</v>
      </c>
      <c r="D1837" s="43" t="str">
        <f>IFERROR(__xludf.DUMMYFUNCTION("""COMPUTED_VALUE"""),"No")</f>
        <v>No</v>
      </c>
      <c r="E1837" s="43" t="str">
        <f>IFERROR(__xludf.DUMMYFUNCTION("""COMPUTED_VALUE"""),"p_b77341f5aa3b4a5d88c2de60fa623d7422213b97@inbound.aiesec.org")</f>
        <v>p_b77341f5aa3b4a5d88c2de60fa623d7422213b97@inbound.aiesec.org</v>
      </c>
      <c r="F1837" s="43">
        <f>IFERROR(__xludf.DUMMYFUNCTION("""COMPUTED_VALUE"""),1.007520286E9)</f>
        <v>1007520286</v>
      </c>
      <c r="G1837" s="43" t="str">
        <f>IFERROR(__xludf.DUMMYFUNCTION("""COMPUTED_VALUE"""),"Egypt")</f>
        <v>Egypt</v>
      </c>
      <c r="H1837" s="43" t="str">
        <f>IFERROR(__xludf.DUMMYFUNCTION("""COMPUTED_VALUE"""),"Alexandria")</f>
        <v>Alexandria</v>
      </c>
      <c r="I1837" s="43" t="str">
        <f>IFERROR(__xludf.DUMMYFUNCTION("""COMPUTED_VALUE"""),"Turkey")</f>
        <v>Turkey</v>
      </c>
      <c r="J1837" s="43" t="str">
        <f>IFERROR(__xludf.DUMMYFUNCTION("""COMPUTED_VALUE"""),"KUTAHYA")</f>
        <v>KUTAHYA</v>
      </c>
      <c r="K1837" s="44" t="str">
        <f>IFERROR(__xludf.DUMMYFUNCTION("""COMPUTED_VALUE"""),"https://expa.aiesec.org/opportunities/1300836")</f>
        <v>https://expa.aiesec.org/opportunities/1300836</v>
      </c>
      <c r="L1837" s="43" t="str">
        <f>IFERROR(__xludf.DUMMYFUNCTION("""COMPUTED_VALUE"""),"GV")</f>
        <v>GV</v>
      </c>
      <c r="M1837" s="43" t="str">
        <f>IFERROR(__xludf.DUMMYFUNCTION("""COMPUTED_VALUE"""),"short")</f>
        <v>short</v>
      </c>
      <c r="N1837" s="45">
        <f>IFERROR(__xludf.DUMMYFUNCTION("""COMPUTED_VALUE"""),45291.0)</f>
        <v>45291</v>
      </c>
      <c r="O1837" s="45">
        <f>IFERROR(__xludf.DUMMYFUNCTION("""COMPUTED_VALUE"""),45369.0)</f>
        <v>45369</v>
      </c>
      <c r="P1837" s="45">
        <f>IFERROR(__xludf.DUMMYFUNCTION("""COMPUTED_VALUE"""),45411.0)</f>
        <v>45411</v>
      </c>
      <c r="Q1837" s="45"/>
      <c r="R1837" s="45"/>
      <c r="S1837" s="43"/>
      <c r="T1837" s="43"/>
      <c r="U1837" s="43" t="str">
        <f>IFERROR(__xludf.DUMMYFUNCTION("""COMPUTED_VALUE"""),"Fingerprint")</f>
        <v>Fingerprint</v>
      </c>
      <c r="V1837" s="43" t="str">
        <f>IFERROR(__xludf.DUMMYFUNCTION("""COMPUTED_VALUE"""),"Other Universities in Alexandria")</f>
        <v>Other Universities in Alexandria</v>
      </c>
      <c r="W1837" s="43" t="str">
        <f>IFERROR(__xludf.DUMMYFUNCTION("""COMPUTED_VALUE"""),"2022-04-01T03:43:33Z")</f>
        <v>2022-04-01T03:43:33Z</v>
      </c>
      <c r="X1837" s="43"/>
      <c r="Y1837" s="43"/>
      <c r="Z1837" s="43"/>
    </row>
    <row r="1838" hidden="1">
      <c r="A1838" s="43" t="str">
        <f>IFERROR(__xludf.DUMMYFUNCTION("""COMPUTED_VALUE"""),"5388712_1284081")</f>
        <v>5388712_1284081</v>
      </c>
      <c r="B1838" s="43" t="str">
        <f>IFERROR(__xludf.DUMMYFUNCTION("""COMPUTED_VALUE"""),"Milica Bošnjak")</f>
        <v>Milica Bošnjak</v>
      </c>
      <c r="C1838" s="43" t="str">
        <f>IFERROR(__xludf.DUMMYFUNCTION("""COMPUTED_VALUE"""),"approved")</f>
        <v>approved</v>
      </c>
      <c r="D1838" s="43" t="str">
        <f>IFERROR(__xludf.DUMMYFUNCTION("""COMPUTED_VALUE"""),"No")</f>
        <v>No</v>
      </c>
      <c r="E1838" s="43" t="str">
        <f>IFERROR(__xludf.DUMMYFUNCTION("""COMPUTED_VALUE"""),"p_1e83c839ff75ffe1050d31372488b99a726b4bc3@inbound.aiesec.org")</f>
        <v>p_1e83c839ff75ffe1050d31372488b99a726b4bc3@inbound.aiesec.org</v>
      </c>
      <c r="F1838" s="43"/>
      <c r="G1838" s="43" t="str">
        <f>IFERROR(__xludf.DUMMYFUNCTION("""COMPUTED_VALUE"""),"Serbia")</f>
        <v>Serbia</v>
      </c>
      <c r="H1838" s="43" t="str">
        <f>IFERROR(__xludf.DUMMYFUNCTION("""COMPUTED_VALUE"""),"NOVI SAD")</f>
        <v>NOVI SAD</v>
      </c>
      <c r="I1838" s="43" t="str">
        <f>IFERROR(__xludf.DUMMYFUNCTION("""COMPUTED_VALUE"""),"Turkey")</f>
        <v>Turkey</v>
      </c>
      <c r="J1838" s="43" t="str">
        <f>IFERROR(__xludf.DUMMYFUNCTION("""COMPUTED_VALUE"""),"KOCAELI")</f>
        <v>KOCAELI</v>
      </c>
      <c r="K1838" s="44" t="str">
        <f>IFERROR(__xludf.DUMMYFUNCTION("""COMPUTED_VALUE"""),"https://expa.aiesec.org/opportunities/1284081")</f>
        <v>https://expa.aiesec.org/opportunities/1284081</v>
      </c>
      <c r="L1838" s="43" t="str">
        <f>IFERROR(__xludf.DUMMYFUNCTION("""COMPUTED_VALUE"""),"GV")</f>
        <v>GV</v>
      </c>
      <c r="M1838" s="43" t="str">
        <f>IFERROR(__xludf.DUMMYFUNCTION("""COMPUTED_VALUE"""),"short")</f>
        <v>short</v>
      </c>
      <c r="N1838" s="45">
        <f>IFERROR(__xludf.DUMMYFUNCTION("""COMPUTED_VALUE"""),45293.0)</f>
        <v>45293</v>
      </c>
      <c r="O1838" s="45">
        <f>IFERROR(__xludf.DUMMYFUNCTION("""COMPUTED_VALUE"""),45481.0)</f>
        <v>45481</v>
      </c>
      <c r="P1838" s="45">
        <f>IFERROR(__xludf.DUMMYFUNCTION("""COMPUTED_VALUE"""),45523.0)</f>
        <v>45523</v>
      </c>
      <c r="Q1838" s="45"/>
      <c r="R1838" s="45"/>
      <c r="S1838" s="43"/>
      <c r="T1838" s="43"/>
      <c r="U1838" s="43" t="str">
        <f>IFERROR(__xludf.DUMMYFUNCTION("""COMPUTED_VALUE"""),"Global Classroom")</f>
        <v>Global Classroom</v>
      </c>
      <c r="V1838" s="43" t="str">
        <f>IFERROR(__xludf.DUMMYFUNCTION("""COMPUTED_VALUE"""),"-")</f>
        <v>-</v>
      </c>
      <c r="W1838" s="43" t="str">
        <f>IFERROR(__xludf.DUMMYFUNCTION("""COMPUTED_VALUE"""),"2023-12-11T18:58:42Z")</f>
        <v>2023-12-11T18:58:42Z</v>
      </c>
      <c r="X1838" s="43"/>
      <c r="Y1838" s="43"/>
      <c r="Z1838" s="43"/>
    </row>
    <row r="1839" hidden="1">
      <c r="A1839" s="43" t="str">
        <f>IFERROR(__xludf.DUMMYFUNCTION("""COMPUTED_VALUE"""),"5352164_1294584")</f>
        <v>5352164_1294584</v>
      </c>
      <c r="B1839" s="43" t="str">
        <f>IFERROR(__xludf.DUMMYFUNCTION("""COMPUTED_VALUE"""),"Farhan Ahmed")</f>
        <v>Farhan Ahmed</v>
      </c>
      <c r="C1839" s="43" t="str">
        <f>IFERROR(__xludf.DUMMYFUNCTION("""COMPUTED_VALUE"""),"approved")</f>
        <v>approved</v>
      </c>
      <c r="D1839" s="43" t="str">
        <f>IFERROR(__xludf.DUMMYFUNCTION("""COMPUTED_VALUE"""),"No")</f>
        <v>No</v>
      </c>
      <c r="E1839" s="43" t="str">
        <f>IFERROR(__xludf.DUMMYFUNCTION("""COMPUTED_VALUE"""),"p_90072473a6ee43df5069e87b5b83c14f5302fa36@inbound.aiesec.org")</f>
        <v>p_90072473a6ee43df5069e87b5b83c14f5302fa36@inbound.aiesec.org</v>
      </c>
      <c r="F1839" s="43"/>
      <c r="G1839" s="43" t="str">
        <f>IFERROR(__xludf.DUMMYFUNCTION("""COMPUTED_VALUE"""),"India")</f>
        <v>India</v>
      </c>
      <c r="H1839" s="43" t="str">
        <f>IFERROR(__xludf.DUMMYFUNCTION("""COMPUTED_VALUE"""),"Delhi IIT")</f>
        <v>Delhi IIT</v>
      </c>
      <c r="I1839" s="43" t="str">
        <f>IFERROR(__xludf.DUMMYFUNCTION("""COMPUTED_VALUE"""),"Turkey")</f>
        <v>Turkey</v>
      </c>
      <c r="J1839" s="43" t="str">
        <f>IFERROR(__xludf.DUMMYFUNCTION("""COMPUTED_VALUE"""),"ANTALYA")</f>
        <v>ANTALYA</v>
      </c>
      <c r="K1839" s="44" t="str">
        <f>IFERROR(__xludf.DUMMYFUNCTION("""COMPUTED_VALUE"""),"https://expa.aiesec.org/opportunities/1294584")</f>
        <v>https://expa.aiesec.org/opportunities/1294584</v>
      </c>
      <c r="L1839" s="43" t="str">
        <f>IFERROR(__xludf.DUMMYFUNCTION("""COMPUTED_VALUE"""),"GV")</f>
        <v>GV</v>
      </c>
      <c r="M1839" s="43" t="str">
        <f>IFERROR(__xludf.DUMMYFUNCTION("""COMPUTED_VALUE"""),"short")</f>
        <v>short</v>
      </c>
      <c r="N1839" s="45">
        <f>IFERROR(__xludf.DUMMYFUNCTION("""COMPUTED_VALUE"""),45293.0)</f>
        <v>45293</v>
      </c>
      <c r="O1839" s="45">
        <f>IFERROR(__xludf.DUMMYFUNCTION("""COMPUTED_VALUE"""),45341.0)</f>
        <v>45341</v>
      </c>
      <c r="P1839" s="45">
        <f>IFERROR(__xludf.DUMMYFUNCTION("""COMPUTED_VALUE"""),45383.0)</f>
        <v>45383</v>
      </c>
      <c r="Q1839" s="45"/>
      <c r="R1839" s="45"/>
      <c r="S1839" s="43"/>
      <c r="T1839" s="43"/>
      <c r="U1839" s="43" t="str">
        <f>IFERROR(__xludf.DUMMYFUNCTION("""COMPUTED_VALUE"""),"Youth 4 Impact")</f>
        <v>Youth 4 Impact</v>
      </c>
      <c r="V1839" s="43" t="str">
        <f>IFERROR(__xludf.DUMMYFUNCTION("""COMPUTED_VALUE"""),"-")</f>
        <v>-</v>
      </c>
      <c r="W1839" s="43" t="str">
        <f>IFERROR(__xludf.DUMMYFUNCTION("""COMPUTED_VALUE"""),"2023-10-15T09:32:56Z")</f>
        <v>2023-10-15T09:32:56Z</v>
      </c>
      <c r="X1839" s="43"/>
      <c r="Y1839" s="43"/>
      <c r="Z1839" s="43"/>
    </row>
    <row r="1840" hidden="1">
      <c r="A1840" s="43" t="str">
        <f>IFERROR(__xludf.DUMMYFUNCTION("""COMPUTED_VALUE"""),"5392596_1295745")</f>
        <v>5392596_1295745</v>
      </c>
      <c r="B1840" s="43" t="str">
        <f>IFERROR(__xludf.DUMMYFUNCTION("""COMPUTED_VALUE"""),"deniz ghasemzadeh")</f>
        <v>deniz ghasemzadeh</v>
      </c>
      <c r="C1840" s="43" t="str">
        <f>IFERROR(__xludf.DUMMYFUNCTION("""COMPUTED_VALUE"""),"approved")</f>
        <v>approved</v>
      </c>
      <c r="D1840" s="43" t="str">
        <f>IFERROR(__xludf.DUMMYFUNCTION("""COMPUTED_VALUE"""),"No")</f>
        <v>No</v>
      </c>
      <c r="E1840" s="43" t="str">
        <f>IFERROR(__xludf.DUMMYFUNCTION("""COMPUTED_VALUE"""),"p_96f6417ac4ecf9f2c9046d06795743cd6e1f47cf@inbound.aiesec.org")</f>
        <v>p_96f6417ac4ecf9f2c9046d06795743cd6e1f47cf@inbound.aiesec.org</v>
      </c>
      <c r="F1840" s="43">
        <f>IFERROR(__xludf.DUMMYFUNCTION("""COMPUTED_VALUE"""),9.059882809E9)</f>
        <v>9059882809</v>
      </c>
      <c r="G1840" s="43" t="str">
        <f>IFERROR(__xludf.DUMMYFUNCTION("""COMPUTED_VALUE"""),"Azerbaijan")</f>
        <v>Azerbaijan</v>
      </c>
      <c r="H1840" s="43" t="str">
        <f>IFERROR(__xludf.DUMMYFUNCTION("""COMPUTED_VALUE"""),"Baku Synergy")</f>
        <v>Baku Synergy</v>
      </c>
      <c r="I1840" s="43" t="str">
        <f>IFERROR(__xludf.DUMMYFUNCTION("""COMPUTED_VALUE"""),"Turkey")</f>
        <v>Turkey</v>
      </c>
      <c r="J1840" s="43" t="str">
        <f>IFERROR(__xludf.DUMMYFUNCTION("""COMPUTED_VALUE"""),"ISTANBUL WEST")</f>
        <v>ISTANBUL WEST</v>
      </c>
      <c r="K1840" s="44" t="str">
        <f>IFERROR(__xludf.DUMMYFUNCTION("""COMPUTED_VALUE"""),"https://expa.aiesec.org/opportunities/1295745")</f>
        <v>https://expa.aiesec.org/opportunities/1295745</v>
      </c>
      <c r="L1840" s="43" t="str">
        <f>IFERROR(__xludf.DUMMYFUNCTION("""COMPUTED_VALUE"""),"GV")</f>
        <v>GV</v>
      </c>
      <c r="M1840" s="43" t="str">
        <f>IFERROR(__xludf.DUMMYFUNCTION("""COMPUTED_VALUE"""),"short")</f>
        <v>short</v>
      </c>
      <c r="N1840" s="45">
        <f>IFERROR(__xludf.DUMMYFUNCTION("""COMPUTED_VALUE"""),45294.0)</f>
        <v>45294</v>
      </c>
      <c r="O1840" s="45">
        <f>IFERROR(__xludf.DUMMYFUNCTION("""COMPUTED_VALUE"""),45334.0)</f>
        <v>45334</v>
      </c>
      <c r="P1840" s="45">
        <f>IFERROR(__xludf.DUMMYFUNCTION("""COMPUTED_VALUE"""),45376.0)</f>
        <v>45376</v>
      </c>
      <c r="Q1840" s="45"/>
      <c r="R1840" s="45"/>
      <c r="S1840" s="43"/>
      <c r="T1840" s="43"/>
      <c r="U1840" s="43" t="str">
        <f>IFERROR(__xludf.DUMMYFUNCTION("""COMPUTED_VALUE"""),"Fingerprint")</f>
        <v>Fingerprint</v>
      </c>
      <c r="V1840" s="43" t="str">
        <f>IFERROR(__xludf.DUMMYFUNCTION("""COMPUTED_VALUE"""),"Studied abroad (Asia: Turkey etc.)")</f>
        <v>Studied abroad (Asia: Turkey etc.)</v>
      </c>
      <c r="W1840" s="43" t="str">
        <f>IFERROR(__xludf.DUMMYFUNCTION("""COMPUTED_VALUE"""),"2023-12-20T12:36:50Z")</f>
        <v>2023-12-20T12:36:50Z</v>
      </c>
      <c r="X1840" s="43"/>
      <c r="Y1840" s="43"/>
      <c r="Z1840" s="43"/>
    </row>
    <row r="1841" hidden="1">
      <c r="A1841" s="43" t="str">
        <f>IFERROR(__xludf.DUMMYFUNCTION("""COMPUTED_VALUE"""),"5395298_1289536")</f>
        <v>5395298_1289536</v>
      </c>
      <c r="B1841" s="43" t="str">
        <f>IFERROR(__xludf.DUMMYFUNCTION("""COMPUTED_VALUE"""),"ADIBA FATEMA QUAZI")</f>
        <v>ADIBA FATEMA QUAZI</v>
      </c>
      <c r="C1841" s="43" t="str">
        <f>IFERROR(__xludf.DUMMYFUNCTION("""COMPUTED_VALUE"""),"approved")</f>
        <v>approved</v>
      </c>
      <c r="D1841" s="43" t="str">
        <f>IFERROR(__xludf.DUMMYFUNCTION("""COMPUTED_VALUE"""),"No")</f>
        <v>No</v>
      </c>
      <c r="E1841" s="43" t="str">
        <f>IFERROR(__xludf.DUMMYFUNCTION("""COMPUTED_VALUE"""),"p_8c7d54358c2d1cfced619a46287e4d8f1486cb3b@inbound.aiesec.org")</f>
        <v>p_8c7d54358c2d1cfced619a46287e4d8f1486cb3b@inbound.aiesec.org</v>
      </c>
      <c r="F1841" s="43">
        <f>IFERROR(__xludf.DUMMYFUNCTION("""COMPUTED_VALUE"""),9.527868818E9)</f>
        <v>9527868818</v>
      </c>
      <c r="G1841" s="43" t="str">
        <f>IFERROR(__xludf.DUMMYFUNCTION("""COMPUTED_VALUE"""),"India")</f>
        <v>India</v>
      </c>
      <c r="H1841" s="43" t="str">
        <f>IFERROR(__xludf.DUMMYFUNCTION("""COMPUTED_VALUE"""),"Mumbai")</f>
        <v>Mumbai</v>
      </c>
      <c r="I1841" s="43" t="str">
        <f>IFERROR(__xludf.DUMMYFUNCTION("""COMPUTED_VALUE"""),"Turkey")</f>
        <v>Turkey</v>
      </c>
      <c r="J1841" s="43" t="str">
        <f>IFERROR(__xludf.DUMMYFUNCTION("""COMPUTED_VALUE"""),"ISTANBUL")</f>
        <v>ISTANBUL</v>
      </c>
      <c r="K1841" s="44" t="str">
        <f>IFERROR(__xludf.DUMMYFUNCTION("""COMPUTED_VALUE"""),"https://expa.aiesec.org/opportunities/1289536")</f>
        <v>https://expa.aiesec.org/opportunities/1289536</v>
      </c>
      <c r="L1841" s="43" t="str">
        <f>IFERROR(__xludf.DUMMYFUNCTION("""COMPUTED_VALUE"""),"GV")</f>
        <v>GV</v>
      </c>
      <c r="M1841" s="43" t="str">
        <f>IFERROR(__xludf.DUMMYFUNCTION("""COMPUTED_VALUE"""),"short")</f>
        <v>short</v>
      </c>
      <c r="N1841" s="45">
        <f>IFERROR(__xludf.DUMMYFUNCTION("""COMPUTED_VALUE"""),45296.0)</f>
        <v>45296</v>
      </c>
      <c r="O1841" s="45">
        <f>IFERROR(__xludf.DUMMYFUNCTION("""COMPUTED_VALUE"""),45337.0)</f>
        <v>45337</v>
      </c>
      <c r="P1841" s="45">
        <f>IFERROR(__xludf.DUMMYFUNCTION("""COMPUTED_VALUE"""),45379.0)</f>
        <v>45379</v>
      </c>
      <c r="Q1841" s="45"/>
      <c r="R1841" s="45"/>
      <c r="S1841" s="43"/>
      <c r="T1841" s="43"/>
      <c r="U1841" s="43" t="str">
        <f>IFERROR(__xludf.DUMMYFUNCTION("""COMPUTED_VALUE"""),"Global Classroom")</f>
        <v>Global Classroom</v>
      </c>
      <c r="V1841" s="43" t="str">
        <f>IFERROR(__xludf.DUMMYFUNCTION("""COMPUTED_VALUE"""),"Ashoka College of Education, Nashik")</f>
        <v>Ashoka College of Education, Nashik</v>
      </c>
      <c r="W1841" s="43" t="str">
        <f>IFERROR(__xludf.DUMMYFUNCTION("""COMPUTED_VALUE"""),"2023-12-27T15:47:22Z")</f>
        <v>2023-12-27T15:47:22Z</v>
      </c>
      <c r="X1841" s="43"/>
      <c r="Y1841" s="43"/>
      <c r="Z1841" s="43"/>
    </row>
    <row r="1842" hidden="1">
      <c r="A1842" s="43" t="str">
        <f>IFERROR(__xludf.DUMMYFUNCTION("""COMPUTED_VALUE"""),"5387715_1287488")</f>
        <v>5387715_1287488</v>
      </c>
      <c r="B1842" s="43" t="str">
        <f>IFERROR(__xludf.DUMMYFUNCTION("""COMPUTED_VALUE"""),"Farzin Amonov")</f>
        <v>Farzin Amonov</v>
      </c>
      <c r="C1842" s="43" t="str">
        <f>IFERROR(__xludf.DUMMYFUNCTION("""COMPUTED_VALUE"""),"approved")</f>
        <v>approved</v>
      </c>
      <c r="D1842" s="43" t="str">
        <f>IFERROR(__xludf.DUMMYFUNCTION("""COMPUTED_VALUE"""),"No")</f>
        <v>No</v>
      </c>
      <c r="E1842" s="43" t="str">
        <f>IFERROR(__xludf.DUMMYFUNCTION("""COMPUTED_VALUE"""),"p_57111bc9846cf6ddc2ea055847336c56f768fc3e@inbound.aiesec.org")</f>
        <v>p_57111bc9846cf6ddc2ea055847336c56f768fc3e@inbound.aiesec.org</v>
      </c>
      <c r="F1842" s="43"/>
      <c r="G1842" s="43" t="str">
        <f>IFERROR(__xludf.DUMMYFUNCTION("""COMPUTED_VALUE"""),"Kyrgyzstan")</f>
        <v>Kyrgyzstan</v>
      </c>
      <c r="H1842" s="43" t="str">
        <f>IFERROR(__xludf.DUMMYFUNCTION("""COMPUTED_VALUE"""),"Dragon")</f>
        <v>Dragon</v>
      </c>
      <c r="I1842" s="43" t="str">
        <f>IFERROR(__xludf.DUMMYFUNCTION("""COMPUTED_VALUE"""),"Turkey")</f>
        <v>Turkey</v>
      </c>
      <c r="J1842" s="43" t="str">
        <f>IFERROR(__xludf.DUMMYFUNCTION("""COMPUTED_VALUE"""),"ISTANBUL ASIA")</f>
        <v>ISTANBUL ASIA</v>
      </c>
      <c r="K1842" s="44" t="str">
        <f>IFERROR(__xludf.DUMMYFUNCTION("""COMPUTED_VALUE"""),"https://expa.aiesec.org/opportunities/1287488")</f>
        <v>https://expa.aiesec.org/opportunities/1287488</v>
      </c>
      <c r="L1842" s="43" t="str">
        <f>IFERROR(__xludf.DUMMYFUNCTION("""COMPUTED_VALUE"""),"GV")</f>
        <v>GV</v>
      </c>
      <c r="M1842" s="43" t="str">
        <f>IFERROR(__xludf.DUMMYFUNCTION("""COMPUTED_VALUE"""),"short")</f>
        <v>short</v>
      </c>
      <c r="N1842" s="45">
        <f>IFERROR(__xludf.DUMMYFUNCTION("""COMPUTED_VALUE"""),45297.0)</f>
        <v>45297</v>
      </c>
      <c r="O1842" s="45">
        <f>IFERROR(__xludf.DUMMYFUNCTION("""COMPUTED_VALUE"""),45460.0)</f>
        <v>45460</v>
      </c>
      <c r="P1842" s="45">
        <f>IFERROR(__xludf.DUMMYFUNCTION("""COMPUTED_VALUE"""),45502.0)</f>
        <v>45502</v>
      </c>
      <c r="Q1842" s="45"/>
      <c r="R1842" s="45"/>
      <c r="S1842" s="43"/>
      <c r="T1842" s="43"/>
      <c r="U1842" s="43" t="str">
        <f>IFERROR(__xludf.DUMMYFUNCTION("""COMPUTED_VALUE"""),"Global Classroom")</f>
        <v>Global Classroom</v>
      </c>
      <c r="V1842" s="43" t="str">
        <f>IFERROR(__xludf.DUMMYFUNCTION("""COMPUTED_VALUE"""),"-")</f>
        <v>-</v>
      </c>
      <c r="W1842" s="43" t="str">
        <f>IFERROR(__xludf.DUMMYFUNCTION("""COMPUTED_VALUE"""),"2023-12-09T12:24:05Z")</f>
        <v>2023-12-09T12:24:05Z</v>
      </c>
      <c r="X1842" s="43"/>
      <c r="Y1842" s="43"/>
      <c r="Z1842" s="43"/>
    </row>
    <row r="1843" hidden="1">
      <c r="A1843" s="43" t="str">
        <f>IFERROR(__xludf.DUMMYFUNCTION("""COMPUTED_VALUE"""),"5366769_1296105")</f>
        <v>5366769_1296105</v>
      </c>
      <c r="B1843" s="43" t="str">
        <f>IFERROR(__xludf.DUMMYFUNCTION("""COMPUTED_VALUE"""),"Yoonseo Go")</f>
        <v>Yoonseo Go</v>
      </c>
      <c r="C1843" s="43" t="str">
        <f>IFERROR(__xludf.DUMMYFUNCTION("""COMPUTED_VALUE"""),"approved")</f>
        <v>approved</v>
      </c>
      <c r="D1843" s="43" t="str">
        <f>IFERROR(__xludf.DUMMYFUNCTION("""COMPUTED_VALUE"""),"No")</f>
        <v>No</v>
      </c>
      <c r="E1843" s="43" t="str">
        <f>IFERROR(__xludf.DUMMYFUNCTION("""COMPUTED_VALUE"""),"p_1a48d3f1a08658e19621f5611972c438aaed0299@inbound.aiesec.org")</f>
        <v>p_1a48d3f1a08658e19621f5611972c438aaed0299@inbound.aiesec.org</v>
      </c>
      <c r="F1843" s="43">
        <f>IFERROR(__xludf.DUMMYFUNCTION("""COMPUTED_VALUE"""),1.033182718E9)</f>
        <v>1033182718</v>
      </c>
      <c r="G1843" s="43" t="str">
        <f>IFERROR(__xludf.DUMMYFUNCTION("""COMPUTED_VALUE"""),"South Korea")</f>
        <v>South Korea</v>
      </c>
      <c r="H1843" s="43" t="str">
        <f>IFERROR(__xludf.DUMMYFUNCTION("""COMPUTED_VALUE"""),"YSU")</f>
        <v>YSU</v>
      </c>
      <c r="I1843" s="43" t="str">
        <f>IFERROR(__xludf.DUMMYFUNCTION("""COMPUTED_VALUE"""),"Turkey")</f>
        <v>Turkey</v>
      </c>
      <c r="J1843" s="43" t="str">
        <f>IFERROR(__xludf.DUMMYFUNCTION("""COMPUTED_VALUE"""),"ANKARA")</f>
        <v>ANKARA</v>
      </c>
      <c r="K1843" s="44" t="str">
        <f>IFERROR(__xludf.DUMMYFUNCTION("""COMPUTED_VALUE"""),"https://expa.aiesec.org/opportunities/1296105")</f>
        <v>https://expa.aiesec.org/opportunities/1296105</v>
      </c>
      <c r="L1843" s="43" t="str">
        <f>IFERROR(__xludf.DUMMYFUNCTION("""COMPUTED_VALUE"""),"GV")</f>
        <v>GV</v>
      </c>
      <c r="M1843" s="43" t="str">
        <f>IFERROR(__xludf.DUMMYFUNCTION("""COMPUTED_VALUE"""),"short")</f>
        <v>short</v>
      </c>
      <c r="N1843" s="45">
        <f>IFERROR(__xludf.DUMMYFUNCTION("""COMPUTED_VALUE"""),45297.0)</f>
        <v>45297</v>
      </c>
      <c r="O1843" s="45">
        <f>IFERROR(__xludf.DUMMYFUNCTION("""COMPUTED_VALUE"""),45327.0)</f>
        <v>45327</v>
      </c>
      <c r="P1843" s="45">
        <f>IFERROR(__xludf.DUMMYFUNCTION("""COMPUTED_VALUE"""),45369.0)</f>
        <v>45369</v>
      </c>
      <c r="Q1843" s="45"/>
      <c r="R1843" s="45"/>
      <c r="S1843" s="43"/>
      <c r="T1843" s="43"/>
      <c r="U1843" s="43" t="str">
        <f>IFERROR(__xludf.DUMMYFUNCTION("""COMPUTED_VALUE"""),"Fingerprint")</f>
        <v>Fingerprint</v>
      </c>
      <c r="V1843" s="43" t="str">
        <f>IFERROR(__xludf.DUMMYFUNCTION("""COMPUTED_VALUE"""),"연세대학교 Yonsei University")</f>
        <v>연세대학교 Yonsei University</v>
      </c>
      <c r="W1843" s="43" t="str">
        <f>IFERROR(__xludf.DUMMYFUNCTION("""COMPUTED_VALUE"""),"2023-11-04T13:30:58Z")</f>
        <v>2023-11-04T13:30:58Z</v>
      </c>
      <c r="X1843" s="43"/>
      <c r="Y1843" s="43"/>
      <c r="Z1843" s="43"/>
    </row>
    <row r="1844" hidden="1">
      <c r="A1844" s="43" t="str">
        <f>IFERROR(__xludf.DUMMYFUNCTION("""COMPUTED_VALUE"""),"5340095_1294584")</f>
        <v>5340095_1294584</v>
      </c>
      <c r="B1844" s="43" t="str">
        <f>IFERROR(__xludf.DUMMYFUNCTION("""COMPUTED_VALUE"""),"Kateryna Radionova")</f>
        <v>Kateryna Radionova</v>
      </c>
      <c r="C1844" s="43" t="str">
        <f>IFERROR(__xludf.DUMMYFUNCTION("""COMPUTED_VALUE"""),"realized")</f>
        <v>realized</v>
      </c>
      <c r="D1844" s="43" t="str">
        <f>IFERROR(__xludf.DUMMYFUNCTION("""COMPUTED_VALUE"""),"No")</f>
        <v>No</v>
      </c>
      <c r="E1844" s="43" t="str">
        <f>IFERROR(__xludf.DUMMYFUNCTION("""COMPUTED_VALUE"""),"p_79f902dea9adf588facd75150e3b5c5e31a0de64@inbound.aiesec.org")</f>
        <v>p_79f902dea9adf588facd75150e3b5c5e31a0de64@inbound.aiesec.org</v>
      </c>
      <c r="F1844" s="43">
        <f>IFERROR(__xludf.DUMMYFUNCTION("""COMPUTED_VALUE"""),9.85520187E8)</f>
        <v>985520187</v>
      </c>
      <c r="G1844" s="43" t="str">
        <f>IFERROR(__xludf.DUMMYFUNCTION("""COMPUTED_VALUE"""),"Ukraine")</f>
        <v>Ukraine</v>
      </c>
      <c r="H1844" s="43" t="str">
        <f>IFERROR(__xludf.DUMMYFUNCTION("""COMPUTED_VALUE"""),"LVIV")</f>
        <v>LVIV</v>
      </c>
      <c r="I1844" s="43" t="str">
        <f>IFERROR(__xludf.DUMMYFUNCTION("""COMPUTED_VALUE"""),"Turkey")</f>
        <v>Turkey</v>
      </c>
      <c r="J1844" s="43" t="str">
        <f>IFERROR(__xludf.DUMMYFUNCTION("""COMPUTED_VALUE"""),"ANTALYA")</f>
        <v>ANTALYA</v>
      </c>
      <c r="K1844" s="44" t="str">
        <f>IFERROR(__xludf.DUMMYFUNCTION("""COMPUTED_VALUE"""),"https://expa.aiesec.org/opportunities/1294584")</f>
        <v>https://expa.aiesec.org/opportunities/1294584</v>
      </c>
      <c r="L1844" s="43" t="str">
        <f>IFERROR(__xludf.DUMMYFUNCTION("""COMPUTED_VALUE"""),"GV")</f>
        <v>GV</v>
      </c>
      <c r="M1844" s="43" t="str">
        <f>IFERROR(__xludf.DUMMYFUNCTION("""COMPUTED_VALUE"""),"short")</f>
        <v>short</v>
      </c>
      <c r="N1844" s="45">
        <f>IFERROR(__xludf.DUMMYFUNCTION("""COMPUTED_VALUE"""),45298.0)</f>
        <v>45298</v>
      </c>
      <c r="O1844" s="45">
        <f>IFERROR(__xludf.DUMMYFUNCTION("""COMPUTED_VALUE"""),45308.0)</f>
        <v>45308</v>
      </c>
      <c r="P1844" s="45">
        <f>IFERROR(__xludf.DUMMYFUNCTION("""COMPUTED_VALUE"""),45350.0)</f>
        <v>45350</v>
      </c>
      <c r="Q1844" s="45">
        <f>IFERROR(__xludf.DUMMYFUNCTION("""COMPUTED_VALUE"""),45313.0)</f>
        <v>45313</v>
      </c>
      <c r="R1844" s="45">
        <f>IFERROR(__xludf.DUMMYFUNCTION("""COMPUTED_VALUE"""),45355.0)</f>
        <v>45355</v>
      </c>
      <c r="S1844" s="43"/>
      <c r="T1844" s="43"/>
      <c r="U1844" s="43" t="str">
        <f>IFERROR(__xludf.DUMMYFUNCTION("""COMPUTED_VALUE"""),"Youth 4 Impact")</f>
        <v>Youth 4 Impact</v>
      </c>
      <c r="V1844" s="43" t="str">
        <f>IFERROR(__xludf.DUMMYFUNCTION("""COMPUTED_VALUE"""),"Kherson")</f>
        <v>Kherson</v>
      </c>
      <c r="W1844" s="43" t="str">
        <f>IFERROR(__xludf.DUMMYFUNCTION("""COMPUTED_VALUE"""),"2023-10-02T19:57:56Z")</f>
        <v>2023-10-02T19:57:56Z</v>
      </c>
      <c r="X1844" s="43"/>
      <c r="Y1844" s="43"/>
      <c r="Z1844" s="43"/>
    </row>
    <row r="1845" hidden="1">
      <c r="A1845" s="43" t="str">
        <f>IFERROR(__xludf.DUMMYFUNCTION("""COMPUTED_VALUE"""),"5392772_1296101")</f>
        <v>5392772_1296101</v>
      </c>
      <c r="B1845" s="43" t="str">
        <f>IFERROR(__xludf.DUMMYFUNCTION("""COMPUTED_VALUE"""),"Elena-Antonia Bolog")</f>
        <v>Elena-Antonia Bolog</v>
      </c>
      <c r="C1845" s="43" t="str">
        <f>IFERROR(__xludf.DUMMYFUNCTION("""COMPUTED_VALUE"""),"approved")</f>
        <v>approved</v>
      </c>
      <c r="D1845" s="43" t="str">
        <f>IFERROR(__xludf.DUMMYFUNCTION("""COMPUTED_VALUE"""),"No")</f>
        <v>No</v>
      </c>
      <c r="E1845" s="43" t="str">
        <f>IFERROR(__xludf.DUMMYFUNCTION("""COMPUTED_VALUE"""),"p_d1c2a80cb5ad2aba9507dac378e156ed8288030a@inbound.aiesec.org")</f>
        <v>p_d1c2a80cb5ad2aba9507dac378e156ed8288030a@inbound.aiesec.org</v>
      </c>
      <c r="F1845" s="43">
        <f>IFERROR(__xludf.DUMMYFUNCTION("""COMPUTED_VALUE"""),7.46019193E8)</f>
        <v>746019193</v>
      </c>
      <c r="G1845" s="43" t="str">
        <f>IFERROR(__xludf.DUMMYFUNCTION("""COMPUTED_VALUE"""),"Romania")</f>
        <v>Romania</v>
      </c>
      <c r="H1845" s="43" t="str">
        <f>IFERROR(__xludf.DUMMYFUNCTION("""COMPUTED_VALUE"""),"Cluj-Napoca")</f>
        <v>Cluj-Napoca</v>
      </c>
      <c r="I1845" s="43" t="str">
        <f>IFERROR(__xludf.DUMMYFUNCTION("""COMPUTED_VALUE"""),"Turkey")</f>
        <v>Turkey</v>
      </c>
      <c r="J1845" s="43" t="str">
        <f>IFERROR(__xludf.DUMMYFUNCTION("""COMPUTED_VALUE"""),"ANKARA")</f>
        <v>ANKARA</v>
      </c>
      <c r="K1845" s="44" t="str">
        <f>IFERROR(__xludf.DUMMYFUNCTION("""COMPUTED_VALUE"""),"https://expa.aiesec.org/opportunities/1296101")</f>
        <v>https://expa.aiesec.org/opportunities/1296101</v>
      </c>
      <c r="L1845" s="43" t="str">
        <f>IFERROR(__xludf.DUMMYFUNCTION("""COMPUTED_VALUE"""),"GV")</f>
        <v>GV</v>
      </c>
      <c r="M1845" s="43" t="str">
        <f>IFERROR(__xludf.DUMMYFUNCTION("""COMPUTED_VALUE"""),"short")</f>
        <v>short</v>
      </c>
      <c r="N1845" s="45">
        <f>IFERROR(__xludf.DUMMYFUNCTION("""COMPUTED_VALUE"""),45298.0)</f>
        <v>45298</v>
      </c>
      <c r="O1845" s="45">
        <f>IFERROR(__xludf.DUMMYFUNCTION("""COMPUTED_VALUE"""),45516.0)</f>
        <v>45516</v>
      </c>
      <c r="P1845" s="45">
        <f>IFERROR(__xludf.DUMMYFUNCTION("""COMPUTED_VALUE"""),45558.0)</f>
        <v>45558</v>
      </c>
      <c r="Q1845" s="45"/>
      <c r="R1845" s="45"/>
      <c r="S1845" s="43"/>
      <c r="T1845" s="43"/>
      <c r="U1845" s="43" t="str">
        <f>IFERROR(__xludf.DUMMYFUNCTION("""COMPUTED_VALUE"""),"Fingerprint")</f>
        <v>Fingerprint</v>
      </c>
      <c r="V1845" s="43" t="str">
        <f>IFERROR(__xludf.DUMMYFUNCTION("""COMPUTED_VALUE"""),"Cluj-Napoca")</f>
        <v>Cluj-Napoca</v>
      </c>
      <c r="W1845" s="43" t="str">
        <f>IFERROR(__xludf.DUMMYFUNCTION("""COMPUTED_VALUE"""),"2023-12-20T20:37:13Z")</f>
        <v>2023-12-20T20:37:13Z</v>
      </c>
      <c r="X1845" s="43"/>
      <c r="Y1845" s="43"/>
      <c r="Z1845" s="43"/>
    </row>
    <row r="1846" hidden="1">
      <c r="A1846" s="43" t="str">
        <f>IFERROR(__xludf.DUMMYFUNCTION("""COMPUTED_VALUE"""),"5399295_1296671")</f>
        <v>5399295_1296671</v>
      </c>
      <c r="B1846" s="43" t="str">
        <f>IFERROR(__xludf.DUMMYFUNCTION("""COMPUTED_VALUE"""),"Omar Mostafa")</f>
        <v>Omar Mostafa</v>
      </c>
      <c r="C1846" s="43" t="str">
        <f>IFERROR(__xludf.DUMMYFUNCTION("""COMPUTED_VALUE"""),"approved")</f>
        <v>approved</v>
      </c>
      <c r="D1846" s="43" t="str">
        <f>IFERROR(__xludf.DUMMYFUNCTION("""COMPUTED_VALUE"""),"No")</f>
        <v>No</v>
      </c>
      <c r="E1846" s="43" t="str">
        <f>IFERROR(__xludf.DUMMYFUNCTION("""COMPUTED_VALUE"""),"p_a5e4b9e43d47b0267fd33638e49f047399e3ee5f@inbound.aiesec.org")</f>
        <v>p_a5e4b9e43d47b0267fd33638e49f047399e3ee5f@inbound.aiesec.org</v>
      </c>
      <c r="F1846" s="43">
        <f>IFERROR(__xludf.DUMMYFUNCTION("""COMPUTED_VALUE"""),1.123513422E9)</f>
        <v>1123513422</v>
      </c>
      <c r="G1846" s="43" t="str">
        <f>IFERROR(__xludf.DUMMYFUNCTION("""COMPUTED_VALUE"""),"Egypt")</f>
        <v>Egypt</v>
      </c>
      <c r="H1846" s="43" t="str">
        <f>IFERROR(__xludf.DUMMYFUNCTION("""COMPUTED_VALUE"""),"Zagazig")</f>
        <v>Zagazig</v>
      </c>
      <c r="I1846" s="43" t="str">
        <f>IFERROR(__xludf.DUMMYFUNCTION("""COMPUTED_VALUE"""),"Turkey")</f>
        <v>Turkey</v>
      </c>
      <c r="J1846" s="43" t="str">
        <f>IFERROR(__xludf.DUMMYFUNCTION("""COMPUTED_VALUE"""),"BURSA")</f>
        <v>BURSA</v>
      </c>
      <c r="K1846" s="44" t="str">
        <f>IFERROR(__xludf.DUMMYFUNCTION("""COMPUTED_VALUE"""),"https://expa.aiesec.org/opportunities/1296671")</f>
        <v>https://expa.aiesec.org/opportunities/1296671</v>
      </c>
      <c r="L1846" s="43" t="str">
        <f>IFERROR(__xludf.DUMMYFUNCTION("""COMPUTED_VALUE"""),"GV")</f>
        <v>GV</v>
      </c>
      <c r="M1846" s="43" t="str">
        <f>IFERROR(__xludf.DUMMYFUNCTION("""COMPUTED_VALUE"""),"short")</f>
        <v>short</v>
      </c>
      <c r="N1846" s="45">
        <f>IFERROR(__xludf.DUMMYFUNCTION("""COMPUTED_VALUE"""),45303.0)</f>
        <v>45303</v>
      </c>
      <c r="O1846" s="45">
        <f>IFERROR(__xludf.DUMMYFUNCTION("""COMPUTED_VALUE"""),45320.0)</f>
        <v>45320</v>
      </c>
      <c r="P1846" s="45">
        <f>IFERROR(__xludf.DUMMYFUNCTION("""COMPUTED_VALUE"""),45362.0)</f>
        <v>45362</v>
      </c>
      <c r="Q1846" s="45"/>
      <c r="R1846" s="45"/>
      <c r="S1846" s="43"/>
      <c r="T1846" s="43"/>
      <c r="U1846" s="43" t="str">
        <f>IFERROR(__xludf.DUMMYFUNCTION("""COMPUTED_VALUE"""),"Youth 4 Impact")</f>
        <v>Youth 4 Impact</v>
      </c>
      <c r="V1846" s="43" t="str">
        <f>IFERROR(__xludf.DUMMYFUNCTION("""COMPUTED_VALUE"""),"Zagazig")</f>
        <v>Zagazig</v>
      </c>
      <c r="W1846" s="43" t="str">
        <f>IFERROR(__xludf.DUMMYFUNCTION("""COMPUTED_VALUE"""),"2024-01-09T16:24:33Z")</f>
        <v>2024-01-09T16:24:33Z</v>
      </c>
      <c r="X1846" s="43"/>
      <c r="Y1846" s="43"/>
      <c r="Z1846" s="43"/>
    </row>
    <row r="1847" hidden="1">
      <c r="A1847" s="43" t="str">
        <f>IFERROR(__xludf.DUMMYFUNCTION("""COMPUTED_VALUE"""),"5395225_1300558")</f>
        <v>5395225_1300558</v>
      </c>
      <c r="B1847" s="43" t="str">
        <f>IFERROR(__xludf.DUMMYFUNCTION("""COMPUTED_VALUE"""),"Bushra Khan")</f>
        <v>Bushra Khan</v>
      </c>
      <c r="C1847" s="43" t="str">
        <f>IFERROR(__xludf.DUMMYFUNCTION("""COMPUTED_VALUE"""),"approved")</f>
        <v>approved</v>
      </c>
      <c r="D1847" s="43" t="str">
        <f>IFERROR(__xludf.DUMMYFUNCTION("""COMPUTED_VALUE"""),"No")</f>
        <v>No</v>
      </c>
      <c r="E1847" s="43" t="str">
        <f>IFERROR(__xludf.DUMMYFUNCTION("""COMPUTED_VALUE"""),"p_e0b7624b3e661eb8fca4d6fc58fb23079fe02737@inbound.aiesec.org")</f>
        <v>p_e0b7624b3e661eb8fca4d6fc58fb23079fe02737@inbound.aiesec.org</v>
      </c>
      <c r="F1847" s="43">
        <f>IFERROR(__xludf.DUMMYFUNCTION("""COMPUTED_VALUE"""),8.39041794E9)</f>
        <v>8390417940</v>
      </c>
      <c r="G1847" s="43" t="str">
        <f>IFERROR(__xludf.DUMMYFUNCTION("""COMPUTED_VALUE"""),"India")</f>
        <v>India</v>
      </c>
      <c r="H1847" s="43" t="str">
        <f>IFERROR(__xludf.DUMMYFUNCTION("""COMPUTED_VALUE"""),"Mumbai")</f>
        <v>Mumbai</v>
      </c>
      <c r="I1847" s="43" t="str">
        <f>IFERROR(__xludf.DUMMYFUNCTION("""COMPUTED_VALUE"""),"Turkey")</f>
        <v>Turkey</v>
      </c>
      <c r="J1847" s="43" t="str">
        <f>IFERROR(__xludf.DUMMYFUNCTION("""COMPUTED_VALUE"""),"ISTANBUL ASIA")</f>
        <v>ISTANBUL ASIA</v>
      </c>
      <c r="K1847" s="44" t="str">
        <f>IFERROR(__xludf.DUMMYFUNCTION("""COMPUTED_VALUE"""),"https://expa.aiesec.org/opportunities/1300558")</f>
        <v>https://expa.aiesec.org/opportunities/1300558</v>
      </c>
      <c r="L1847" s="43" t="str">
        <f>IFERROR(__xludf.DUMMYFUNCTION("""COMPUTED_VALUE"""),"GV")</f>
        <v>GV</v>
      </c>
      <c r="M1847" s="43" t="str">
        <f>IFERROR(__xludf.DUMMYFUNCTION("""COMPUTED_VALUE"""),"short")</f>
        <v>short</v>
      </c>
      <c r="N1847" s="45">
        <f>IFERROR(__xludf.DUMMYFUNCTION("""COMPUTED_VALUE"""),45305.0)</f>
        <v>45305</v>
      </c>
      <c r="O1847" s="45">
        <f>IFERROR(__xludf.DUMMYFUNCTION("""COMPUTED_VALUE"""),45341.0)</f>
        <v>45341</v>
      </c>
      <c r="P1847" s="45">
        <f>IFERROR(__xludf.DUMMYFUNCTION("""COMPUTED_VALUE"""),45383.0)</f>
        <v>45383</v>
      </c>
      <c r="Q1847" s="45"/>
      <c r="R1847" s="45"/>
      <c r="S1847" s="43"/>
      <c r="T1847" s="43"/>
      <c r="U1847" s="43" t="str">
        <f>IFERROR(__xludf.DUMMYFUNCTION("""COMPUTED_VALUE"""),"Global Classroom")</f>
        <v>Global Classroom</v>
      </c>
      <c r="V1847" s="43" t="str">
        <f>IFERROR(__xludf.DUMMYFUNCTION("""COMPUTED_VALUE"""),"SNDT, Santa Cruz")</f>
        <v>SNDT, Santa Cruz</v>
      </c>
      <c r="W1847" s="43" t="str">
        <f>IFERROR(__xludf.DUMMYFUNCTION("""COMPUTED_VALUE"""),"2023-12-27T13:38:36Z")</f>
        <v>2023-12-27T13:38:36Z</v>
      </c>
      <c r="X1847" s="43"/>
      <c r="Y1847" s="43"/>
      <c r="Z1847" s="43"/>
    </row>
    <row r="1848" hidden="1">
      <c r="A1848" s="43" t="str">
        <f>IFERROR(__xludf.DUMMYFUNCTION("""COMPUTED_VALUE"""),"5400444_1300326")</f>
        <v>5400444_1300326</v>
      </c>
      <c r="B1848" s="43" t="str">
        <f>IFERROR(__xludf.DUMMYFUNCTION("""COMPUTED_VALUE"""),"Aya Abozaid")</f>
        <v>Aya Abozaid</v>
      </c>
      <c r="C1848" s="43" t="str">
        <f>IFERROR(__xludf.DUMMYFUNCTION("""COMPUTED_VALUE"""),"approved")</f>
        <v>approved</v>
      </c>
      <c r="D1848" s="43" t="str">
        <f>IFERROR(__xludf.DUMMYFUNCTION("""COMPUTED_VALUE"""),"No")</f>
        <v>No</v>
      </c>
      <c r="E1848" s="43" t="str">
        <f>IFERROR(__xludf.DUMMYFUNCTION("""COMPUTED_VALUE"""),"p_f9ca11a3ae1810afdd5b913186ec087a34739de0@inbound.aiesec.org")</f>
        <v>p_f9ca11a3ae1810afdd5b913186ec087a34739de0@inbound.aiesec.org</v>
      </c>
      <c r="F1848" s="43">
        <f>IFERROR(__xludf.DUMMYFUNCTION("""COMPUTED_VALUE"""),1.55112112E9)</f>
        <v>1551121120</v>
      </c>
      <c r="G1848" s="43" t="str">
        <f>IFERROR(__xludf.DUMMYFUNCTION("""COMPUTED_VALUE"""),"Egypt")</f>
        <v>Egypt</v>
      </c>
      <c r="H1848" s="43" t="str">
        <f>IFERROR(__xludf.DUMMYFUNCTION("""COMPUTED_VALUE"""),"Suez")</f>
        <v>Suez</v>
      </c>
      <c r="I1848" s="43" t="str">
        <f>IFERROR(__xludf.DUMMYFUNCTION("""COMPUTED_VALUE"""),"Turkey")</f>
        <v>Turkey</v>
      </c>
      <c r="J1848" s="43" t="str">
        <f>IFERROR(__xludf.DUMMYFUNCTION("""COMPUTED_VALUE"""),"GAZIANTEP")</f>
        <v>GAZIANTEP</v>
      </c>
      <c r="K1848" s="44" t="str">
        <f>IFERROR(__xludf.DUMMYFUNCTION("""COMPUTED_VALUE"""),"https://expa.aiesec.org/opportunities/1300326")</f>
        <v>https://expa.aiesec.org/opportunities/1300326</v>
      </c>
      <c r="L1848" s="43" t="str">
        <f>IFERROR(__xludf.DUMMYFUNCTION("""COMPUTED_VALUE"""),"GV")</f>
        <v>GV</v>
      </c>
      <c r="M1848" s="43" t="str">
        <f>IFERROR(__xludf.DUMMYFUNCTION("""COMPUTED_VALUE"""),"short")</f>
        <v>short</v>
      </c>
      <c r="N1848" s="45">
        <f>IFERROR(__xludf.DUMMYFUNCTION("""COMPUTED_VALUE"""),45305.0)</f>
        <v>45305</v>
      </c>
      <c r="O1848" s="45">
        <f>IFERROR(__xludf.DUMMYFUNCTION("""COMPUTED_VALUE"""),45331.0)</f>
        <v>45331</v>
      </c>
      <c r="P1848" s="45">
        <f>IFERROR(__xludf.DUMMYFUNCTION("""COMPUTED_VALUE"""),45373.0)</f>
        <v>45373</v>
      </c>
      <c r="Q1848" s="45"/>
      <c r="R1848" s="45"/>
      <c r="S1848" s="43"/>
      <c r="T1848" s="43"/>
      <c r="U1848" s="43" t="str">
        <f>IFERROR(__xludf.DUMMYFUNCTION("""COMPUTED_VALUE"""),"Global Classroom")</f>
        <v>Global Classroom</v>
      </c>
      <c r="V1848" s="43" t="str">
        <f>IFERROR(__xludf.DUMMYFUNCTION("""COMPUTED_VALUE"""),"Suez University")</f>
        <v>Suez University</v>
      </c>
      <c r="W1848" s="43" t="str">
        <f>IFERROR(__xludf.DUMMYFUNCTION("""COMPUTED_VALUE"""),"2024-01-12T18:30:15Z")</f>
        <v>2024-01-12T18:30:15Z</v>
      </c>
      <c r="X1848" s="43"/>
      <c r="Y1848" s="43"/>
      <c r="Z1848" s="43"/>
    </row>
    <row r="1849" hidden="1">
      <c r="A1849" s="43" t="str">
        <f>IFERROR(__xludf.DUMMYFUNCTION("""COMPUTED_VALUE"""),"5399137_1287488")</f>
        <v>5399137_1287488</v>
      </c>
      <c r="B1849" s="43" t="str">
        <f>IFERROR(__xludf.DUMMYFUNCTION("""COMPUTED_VALUE"""),"Shruti Akash Chandekar")</f>
        <v>Shruti Akash Chandekar</v>
      </c>
      <c r="C1849" s="43" t="str">
        <f>IFERROR(__xludf.DUMMYFUNCTION("""COMPUTED_VALUE"""),"approved")</f>
        <v>approved</v>
      </c>
      <c r="D1849" s="43" t="str">
        <f>IFERROR(__xludf.DUMMYFUNCTION("""COMPUTED_VALUE"""),"No")</f>
        <v>No</v>
      </c>
      <c r="E1849" s="43" t="str">
        <f>IFERROR(__xludf.DUMMYFUNCTION("""COMPUTED_VALUE"""),"p_af820706a07cc47aa233311972f43757d0d8270e@inbound.aiesec.org")</f>
        <v>p_af820706a07cc47aa233311972f43757d0d8270e@inbound.aiesec.org</v>
      </c>
      <c r="F1849" s="43">
        <f>IFERROR(__xludf.DUMMYFUNCTION("""COMPUTED_VALUE"""),9.423151488E9)</f>
        <v>9423151488</v>
      </c>
      <c r="G1849" s="43" t="str">
        <f>IFERROR(__xludf.DUMMYFUNCTION("""COMPUTED_VALUE"""),"India")</f>
        <v>India</v>
      </c>
      <c r="H1849" s="43" t="str">
        <f>IFERROR(__xludf.DUMMYFUNCTION("""COMPUTED_VALUE"""),"Mumbai")</f>
        <v>Mumbai</v>
      </c>
      <c r="I1849" s="43" t="str">
        <f>IFERROR(__xludf.DUMMYFUNCTION("""COMPUTED_VALUE"""),"Turkey")</f>
        <v>Turkey</v>
      </c>
      <c r="J1849" s="43" t="str">
        <f>IFERROR(__xludf.DUMMYFUNCTION("""COMPUTED_VALUE"""),"ISTANBUL ASIA")</f>
        <v>ISTANBUL ASIA</v>
      </c>
      <c r="K1849" s="44" t="str">
        <f>IFERROR(__xludf.DUMMYFUNCTION("""COMPUTED_VALUE"""),"https://expa.aiesec.org/opportunities/1287488")</f>
        <v>https://expa.aiesec.org/opportunities/1287488</v>
      </c>
      <c r="L1849" s="43" t="str">
        <f>IFERROR(__xludf.DUMMYFUNCTION("""COMPUTED_VALUE"""),"GV")</f>
        <v>GV</v>
      </c>
      <c r="M1849" s="43" t="str">
        <f>IFERROR(__xludf.DUMMYFUNCTION("""COMPUTED_VALUE"""),"short")</f>
        <v>short</v>
      </c>
      <c r="N1849" s="45">
        <f>IFERROR(__xludf.DUMMYFUNCTION("""COMPUTED_VALUE"""),45307.0)</f>
        <v>45307</v>
      </c>
      <c r="O1849" s="45">
        <f>IFERROR(__xludf.DUMMYFUNCTION("""COMPUTED_VALUE"""),45334.0)</f>
        <v>45334</v>
      </c>
      <c r="P1849" s="45">
        <f>IFERROR(__xludf.DUMMYFUNCTION("""COMPUTED_VALUE"""),45376.0)</f>
        <v>45376</v>
      </c>
      <c r="Q1849" s="45"/>
      <c r="R1849" s="45"/>
      <c r="S1849" s="43"/>
      <c r="T1849" s="43"/>
      <c r="U1849" s="43" t="str">
        <f>IFERROR(__xludf.DUMMYFUNCTION("""COMPUTED_VALUE"""),"Global Classroom")</f>
        <v>Global Classroom</v>
      </c>
      <c r="V1849" s="43" t="str">
        <f>IFERROR(__xludf.DUMMYFUNCTION("""COMPUTED_VALUE"""),"Ashoka College of Education, Nashik")</f>
        <v>Ashoka College of Education, Nashik</v>
      </c>
      <c r="W1849" s="43" t="str">
        <f>IFERROR(__xludf.DUMMYFUNCTION("""COMPUTED_VALUE"""),"2024-01-09T08:33:03Z")</f>
        <v>2024-01-09T08:33:03Z</v>
      </c>
      <c r="X1849" s="43"/>
      <c r="Y1849" s="43"/>
      <c r="Z1849" s="43"/>
    </row>
    <row r="1850" hidden="1">
      <c r="A1850" s="43" t="str">
        <f>IFERROR(__xludf.DUMMYFUNCTION("""COMPUTED_VALUE"""),"5389748_1293417")</f>
        <v>5389748_1293417</v>
      </c>
      <c r="B1850" s="43" t="str">
        <f>IFERROR(__xludf.DUMMYFUNCTION("""COMPUTED_VALUE"""),"Mariana Yurishinets")</f>
        <v>Mariana Yurishinets</v>
      </c>
      <c r="C1850" s="43" t="str">
        <f>IFERROR(__xludf.DUMMYFUNCTION("""COMPUTED_VALUE"""),"approved")</f>
        <v>approved</v>
      </c>
      <c r="D1850" s="43" t="str">
        <f>IFERROR(__xludf.DUMMYFUNCTION("""COMPUTED_VALUE"""),"No")</f>
        <v>No</v>
      </c>
      <c r="E1850" s="43" t="str">
        <f>IFERROR(__xludf.DUMMYFUNCTION("""COMPUTED_VALUE"""),"p_04e61f3ccf9be602d753c155db4ff80a8993ee72@inbound.aiesec.org")</f>
        <v>p_04e61f3ccf9be602d753c155db4ff80a8993ee72@inbound.aiesec.org</v>
      </c>
      <c r="F1850" s="43">
        <f>IFERROR(__xludf.DUMMYFUNCTION("""COMPUTED_VALUE"""),9.8017059E8)</f>
        <v>980170590</v>
      </c>
      <c r="G1850" s="43" t="str">
        <f>IFERROR(__xludf.DUMMYFUNCTION("""COMPUTED_VALUE"""),"Ukraine")</f>
        <v>Ukraine</v>
      </c>
      <c r="H1850" s="43" t="str">
        <f>IFERROR(__xludf.DUMMYFUNCTION("""COMPUTED_VALUE"""),"KYIV")</f>
        <v>KYIV</v>
      </c>
      <c r="I1850" s="43" t="str">
        <f>IFERROR(__xludf.DUMMYFUNCTION("""COMPUTED_VALUE"""),"Turkey")</f>
        <v>Turkey</v>
      </c>
      <c r="J1850" s="43" t="str">
        <f>IFERROR(__xludf.DUMMYFUNCTION("""COMPUTED_VALUE"""),"ISTANBUL")</f>
        <v>ISTANBUL</v>
      </c>
      <c r="K1850" s="44" t="str">
        <f>IFERROR(__xludf.DUMMYFUNCTION("""COMPUTED_VALUE"""),"https://expa.aiesec.org/opportunities/1293417")</f>
        <v>https://expa.aiesec.org/opportunities/1293417</v>
      </c>
      <c r="L1850" s="43" t="str">
        <f>IFERROR(__xludf.DUMMYFUNCTION("""COMPUTED_VALUE"""),"GV")</f>
        <v>GV</v>
      </c>
      <c r="M1850" s="43" t="str">
        <f>IFERROR(__xludf.DUMMYFUNCTION("""COMPUTED_VALUE"""),"short")</f>
        <v>short</v>
      </c>
      <c r="N1850" s="45">
        <f>IFERROR(__xludf.DUMMYFUNCTION("""COMPUTED_VALUE"""),45307.0)</f>
        <v>45307</v>
      </c>
      <c r="O1850" s="45">
        <f>IFERROR(__xludf.DUMMYFUNCTION("""COMPUTED_VALUE"""),45476.0)</f>
        <v>45476</v>
      </c>
      <c r="P1850" s="45">
        <f>IFERROR(__xludf.DUMMYFUNCTION("""COMPUTED_VALUE"""),45518.0)</f>
        <v>45518</v>
      </c>
      <c r="Q1850" s="45"/>
      <c r="R1850" s="45"/>
      <c r="S1850" s="43"/>
      <c r="T1850" s="43"/>
      <c r="U1850" s="43" t="str">
        <f>IFERROR(__xludf.DUMMYFUNCTION("""COMPUTED_VALUE"""),"Global Classroom")</f>
        <v>Global Classroom</v>
      </c>
      <c r="V1850" s="43" t="str">
        <f>IFERROR(__xludf.DUMMYFUNCTION("""COMPUTED_VALUE"""),"Kyiv")</f>
        <v>Kyiv</v>
      </c>
      <c r="W1850" s="43" t="str">
        <f>IFERROR(__xludf.DUMMYFUNCTION("""COMPUTED_VALUE"""),"2023-12-13T20:03:08Z")</f>
        <v>2023-12-13T20:03:08Z</v>
      </c>
      <c r="X1850" s="43"/>
      <c r="Y1850" s="43"/>
      <c r="Z1850" s="43"/>
    </row>
    <row r="1851" hidden="1">
      <c r="A1851" s="43" t="str">
        <f>IFERROR(__xludf.DUMMYFUNCTION("""COMPUTED_VALUE"""),"5397910_1303008")</f>
        <v>5397910_1303008</v>
      </c>
      <c r="B1851" s="43" t="str">
        <f>IFERROR(__xludf.DUMMYFUNCTION("""COMPUTED_VALUE"""),"Rosu Maria-Emilia")</f>
        <v>Rosu Maria-Emilia</v>
      </c>
      <c r="C1851" s="43" t="str">
        <f>IFERROR(__xludf.DUMMYFUNCTION("""COMPUTED_VALUE"""),"approved")</f>
        <v>approved</v>
      </c>
      <c r="D1851" s="43" t="str">
        <f>IFERROR(__xludf.DUMMYFUNCTION("""COMPUTED_VALUE"""),"No")</f>
        <v>No</v>
      </c>
      <c r="E1851" s="43" t="str">
        <f>IFERROR(__xludf.DUMMYFUNCTION("""COMPUTED_VALUE"""),"p_761ec0a97c09c7fd707433ad06a6c9903160505f@inbound.aiesec.org")</f>
        <v>p_761ec0a97c09c7fd707433ad06a6c9903160505f@inbound.aiesec.org</v>
      </c>
      <c r="F1851" s="43">
        <f>IFERROR(__xludf.DUMMYFUNCTION("""COMPUTED_VALUE"""),7.61299641E8)</f>
        <v>761299641</v>
      </c>
      <c r="G1851" s="43" t="str">
        <f>IFERROR(__xludf.DUMMYFUNCTION("""COMPUTED_VALUE"""),"Romania")</f>
        <v>Romania</v>
      </c>
      <c r="H1851" s="43" t="str">
        <f>IFERROR(__xludf.DUMMYFUNCTION("""COMPUTED_VALUE"""),"BUCURESTI")</f>
        <v>BUCURESTI</v>
      </c>
      <c r="I1851" s="43" t="str">
        <f>IFERROR(__xludf.DUMMYFUNCTION("""COMPUTED_VALUE"""),"Turkey")</f>
        <v>Turkey</v>
      </c>
      <c r="J1851" s="43" t="str">
        <f>IFERROR(__xludf.DUMMYFUNCTION("""COMPUTED_VALUE"""),"ANKARA")</f>
        <v>ANKARA</v>
      </c>
      <c r="K1851" s="44" t="str">
        <f>IFERROR(__xludf.DUMMYFUNCTION("""COMPUTED_VALUE"""),"https://expa.aiesec.org/opportunities/1303008")</f>
        <v>https://expa.aiesec.org/opportunities/1303008</v>
      </c>
      <c r="L1851" s="43" t="str">
        <f>IFERROR(__xludf.DUMMYFUNCTION("""COMPUTED_VALUE"""),"GV")</f>
        <v>GV</v>
      </c>
      <c r="M1851" s="43" t="str">
        <f>IFERROR(__xludf.DUMMYFUNCTION("""COMPUTED_VALUE"""),"short")</f>
        <v>short</v>
      </c>
      <c r="N1851" s="45">
        <f>IFERROR(__xludf.DUMMYFUNCTION("""COMPUTED_VALUE"""),45309.0)</f>
        <v>45309</v>
      </c>
      <c r="O1851" s="45">
        <f>IFERROR(__xludf.DUMMYFUNCTION("""COMPUTED_VALUE"""),45474.0)</f>
        <v>45474</v>
      </c>
      <c r="P1851" s="45">
        <f>IFERROR(__xludf.DUMMYFUNCTION("""COMPUTED_VALUE"""),45516.0)</f>
        <v>45516</v>
      </c>
      <c r="Q1851" s="45"/>
      <c r="R1851" s="45"/>
      <c r="S1851" s="43"/>
      <c r="T1851" s="43"/>
      <c r="U1851" s="43" t="str">
        <f>IFERROR(__xludf.DUMMYFUNCTION("""COMPUTED_VALUE"""),"Equify")</f>
        <v>Equify</v>
      </c>
      <c r="V1851" s="43" t="str">
        <f>IFERROR(__xludf.DUMMYFUNCTION("""COMPUTED_VALUE"""),"Craiova")</f>
        <v>Craiova</v>
      </c>
      <c r="W1851" s="43" t="str">
        <f>IFERROR(__xludf.DUMMYFUNCTION("""COMPUTED_VALUE"""),"2024-01-04T21:18:22Z")</f>
        <v>2024-01-04T21:18:22Z</v>
      </c>
      <c r="X1851" s="43"/>
      <c r="Y1851" s="43"/>
      <c r="Z1851" s="43"/>
    </row>
    <row r="1852" hidden="1">
      <c r="A1852" s="43" t="str">
        <f>IFERROR(__xludf.DUMMYFUNCTION("""COMPUTED_VALUE"""),"5398320_1301834")</f>
        <v>5398320_1301834</v>
      </c>
      <c r="B1852" s="43" t="str">
        <f>IFERROR(__xludf.DUMMYFUNCTION("""COMPUTED_VALUE"""),"Hansini Wijerathna")</f>
        <v>Hansini Wijerathna</v>
      </c>
      <c r="C1852" s="43" t="str">
        <f>IFERROR(__xludf.DUMMYFUNCTION("""COMPUTED_VALUE"""),"approved")</f>
        <v>approved</v>
      </c>
      <c r="D1852" s="43" t="str">
        <f>IFERROR(__xludf.DUMMYFUNCTION("""COMPUTED_VALUE"""),"No")</f>
        <v>No</v>
      </c>
      <c r="E1852" s="43" t="str">
        <f>IFERROR(__xludf.DUMMYFUNCTION("""COMPUTED_VALUE"""),"p_31d1b342e279fe285d97b57f85aae7cffa1e5ec6@inbound.aiesec.org")</f>
        <v>p_31d1b342e279fe285d97b57f85aae7cffa1e5ec6@inbound.aiesec.org</v>
      </c>
      <c r="F1852" s="43">
        <f>IFERROR(__xludf.DUMMYFUNCTION("""COMPUTED_VALUE"""),7.65562038E8)</f>
        <v>765562038</v>
      </c>
      <c r="G1852" s="43" t="str">
        <f>IFERROR(__xludf.DUMMYFUNCTION("""COMPUTED_VALUE"""),"Sri Lanka")</f>
        <v>Sri Lanka</v>
      </c>
      <c r="H1852" s="43" t="str">
        <f>IFERROR(__xludf.DUMMYFUNCTION("""COMPUTED_VALUE"""),"COLOMBO SOUTH")</f>
        <v>COLOMBO SOUTH</v>
      </c>
      <c r="I1852" s="43" t="str">
        <f>IFERROR(__xludf.DUMMYFUNCTION("""COMPUTED_VALUE"""),"Turkey")</f>
        <v>Turkey</v>
      </c>
      <c r="J1852" s="43" t="str">
        <f>IFERROR(__xludf.DUMMYFUNCTION("""COMPUTED_VALUE"""),"BURSA")</f>
        <v>BURSA</v>
      </c>
      <c r="K1852" s="44" t="str">
        <f>IFERROR(__xludf.DUMMYFUNCTION("""COMPUTED_VALUE"""),"https://expa.aiesec.org/opportunities/1301834")</f>
        <v>https://expa.aiesec.org/opportunities/1301834</v>
      </c>
      <c r="L1852" s="43" t="str">
        <f>IFERROR(__xludf.DUMMYFUNCTION("""COMPUTED_VALUE"""),"GV")</f>
        <v>GV</v>
      </c>
      <c r="M1852" s="43" t="str">
        <f>IFERROR(__xludf.DUMMYFUNCTION("""COMPUTED_VALUE"""),"short")</f>
        <v>short</v>
      </c>
      <c r="N1852" s="45">
        <f>IFERROR(__xludf.DUMMYFUNCTION("""COMPUTED_VALUE"""),45309.0)</f>
        <v>45309</v>
      </c>
      <c r="O1852" s="45">
        <f>IFERROR(__xludf.DUMMYFUNCTION("""COMPUTED_VALUE"""),45355.0)</f>
        <v>45355</v>
      </c>
      <c r="P1852" s="45">
        <f>IFERROR(__xludf.DUMMYFUNCTION("""COMPUTED_VALUE"""),45397.0)</f>
        <v>45397</v>
      </c>
      <c r="Q1852" s="45"/>
      <c r="R1852" s="45"/>
      <c r="S1852" s="43"/>
      <c r="T1852" s="43"/>
      <c r="U1852" s="43" t="str">
        <f>IFERROR(__xludf.DUMMYFUNCTION("""COMPUTED_VALUE"""),"Youth 4 Impact")</f>
        <v>Youth 4 Impact</v>
      </c>
      <c r="V1852" s="43" t="str">
        <f>IFERROR(__xludf.DUMMYFUNCTION("""COMPUTED_VALUE"""),"Rajarata University of Sri Lanka")</f>
        <v>Rajarata University of Sri Lanka</v>
      </c>
      <c r="W1852" s="43" t="str">
        <f>IFERROR(__xludf.DUMMYFUNCTION("""COMPUTED_VALUE"""),"2024-01-06T04:47:04Z")</f>
        <v>2024-01-06T04:47:04Z</v>
      </c>
      <c r="X1852" s="43"/>
      <c r="Y1852" s="43"/>
      <c r="Z1852" s="43"/>
    </row>
    <row r="1853" hidden="1">
      <c r="A1853" s="43" t="str">
        <f>IFERROR(__xludf.DUMMYFUNCTION("""COMPUTED_VALUE"""),"3791898_1281010")</f>
        <v>3791898_1281010</v>
      </c>
      <c r="B1853" s="43" t="str">
        <f>IFERROR(__xludf.DUMMYFUNCTION("""COMPUTED_VALUE"""),"Vu Le Thanh")</f>
        <v>Vu Le Thanh</v>
      </c>
      <c r="C1853" s="43" t="str">
        <f>IFERROR(__xludf.DUMMYFUNCTION("""COMPUTED_VALUE"""),"approved")</f>
        <v>approved</v>
      </c>
      <c r="D1853" s="43" t="str">
        <f>IFERROR(__xludf.DUMMYFUNCTION("""COMPUTED_VALUE"""),"No")</f>
        <v>No</v>
      </c>
      <c r="E1853" s="43" t="str">
        <f>IFERROR(__xludf.DUMMYFUNCTION("""COMPUTED_VALUE"""),"p_9f1cd041490b40aa0ebf204ce2911b22a2196b69@inbound.aiesec.org")</f>
        <v>p_9f1cd041490b40aa0ebf204ce2911b22a2196b69@inbound.aiesec.org</v>
      </c>
      <c r="F1853" s="43">
        <f>IFERROR(__xludf.DUMMYFUNCTION("""COMPUTED_VALUE"""),9.09156728E8)</f>
        <v>909156728</v>
      </c>
      <c r="G1853" s="43" t="str">
        <f>IFERROR(__xludf.DUMMYFUNCTION("""COMPUTED_VALUE"""),"VIETNAM")</f>
        <v>VIETNAM</v>
      </c>
      <c r="H1853" s="43" t="str">
        <f>IFERROR(__xludf.DUMMYFUNCTION("""COMPUTED_VALUE"""),"FHCMC")</f>
        <v>FHCMC</v>
      </c>
      <c r="I1853" s="43" t="str">
        <f>IFERROR(__xludf.DUMMYFUNCTION("""COMPUTED_VALUE"""),"Turkey")</f>
        <v>Turkey</v>
      </c>
      <c r="J1853" s="43" t="str">
        <f>IFERROR(__xludf.DUMMYFUNCTION("""COMPUTED_VALUE"""),"KOCAELI")</f>
        <v>KOCAELI</v>
      </c>
      <c r="K1853" s="44" t="str">
        <f>IFERROR(__xludf.DUMMYFUNCTION("""COMPUTED_VALUE"""),"https://expa.aiesec.org/opportunities/1281010")</f>
        <v>https://expa.aiesec.org/opportunities/1281010</v>
      </c>
      <c r="L1853" s="43" t="str">
        <f>IFERROR(__xludf.DUMMYFUNCTION("""COMPUTED_VALUE"""),"GV")</f>
        <v>GV</v>
      </c>
      <c r="M1853" s="43" t="str">
        <f>IFERROR(__xludf.DUMMYFUNCTION("""COMPUTED_VALUE"""),"short")</f>
        <v>short</v>
      </c>
      <c r="N1853" s="45">
        <f>IFERROR(__xludf.DUMMYFUNCTION("""COMPUTED_VALUE"""),45311.0)</f>
        <v>45311</v>
      </c>
      <c r="O1853" s="45">
        <f>IFERROR(__xludf.DUMMYFUNCTION("""COMPUTED_VALUE"""),45439.0)</f>
        <v>45439</v>
      </c>
      <c r="P1853" s="45">
        <f>IFERROR(__xludf.DUMMYFUNCTION("""COMPUTED_VALUE"""),45481.0)</f>
        <v>45481</v>
      </c>
      <c r="Q1853" s="45"/>
      <c r="R1853" s="45"/>
      <c r="S1853" s="43"/>
      <c r="T1853" s="43"/>
      <c r="U1853" s="43" t="str">
        <f>IFERROR(__xludf.DUMMYFUNCTION("""COMPUTED_VALUE"""),"Global Classroom")</f>
        <v>Global Classroom</v>
      </c>
      <c r="V1853" s="43" t="str">
        <f>IFERROR(__xludf.DUMMYFUNCTION("""COMPUTED_VALUE"""),"**I am taking a gap year")</f>
        <v>**I am taking a gap year</v>
      </c>
      <c r="W1853" s="43" t="str">
        <f>IFERROR(__xludf.DUMMYFUNCTION("""COMPUTED_VALUE"""),"2019-08-26T07:44:32Z")</f>
        <v>2019-08-26T07:44:32Z</v>
      </c>
      <c r="X1853" s="43"/>
      <c r="Y1853" s="43"/>
      <c r="Z1853" s="43"/>
    </row>
    <row r="1854" hidden="1">
      <c r="A1854" s="43" t="str">
        <f>IFERROR(__xludf.DUMMYFUNCTION("""COMPUTED_VALUE"""),"5403363_1295893")</f>
        <v>5403363_1295893</v>
      </c>
      <c r="B1854" s="43" t="str">
        <f>IFERROR(__xludf.DUMMYFUNCTION("""COMPUTED_VALUE"""),"Anastasiia Hrytsay")</f>
        <v>Anastasiia Hrytsay</v>
      </c>
      <c r="C1854" s="43" t="str">
        <f>IFERROR(__xludf.DUMMYFUNCTION("""COMPUTED_VALUE"""),"approved")</f>
        <v>approved</v>
      </c>
      <c r="D1854" s="43" t="str">
        <f>IFERROR(__xludf.DUMMYFUNCTION("""COMPUTED_VALUE"""),"No")</f>
        <v>No</v>
      </c>
      <c r="E1854" s="43" t="str">
        <f>IFERROR(__xludf.DUMMYFUNCTION("""COMPUTED_VALUE"""),"p_da41ea8545e508016196968f5b5424535b3584ac@inbound.aiesec.org")</f>
        <v>p_da41ea8545e508016196968f5b5424535b3584ac@inbound.aiesec.org</v>
      </c>
      <c r="F1854" s="43">
        <f>IFERROR(__xludf.DUMMYFUNCTION("""COMPUTED_VALUE"""),6.61469904E8)</f>
        <v>661469904</v>
      </c>
      <c r="G1854" s="43" t="str">
        <f>IFERROR(__xludf.DUMMYFUNCTION("""COMPUTED_VALUE"""),"Ukraine")</f>
        <v>Ukraine</v>
      </c>
      <c r="H1854" s="43" t="str">
        <f>IFERROR(__xludf.DUMMYFUNCTION("""COMPUTED_VALUE"""),"IVANO-FRANKIVSK")</f>
        <v>IVANO-FRANKIVSK</v>
      </c>
      <c r="I1854" s="43" t="str">
        <f>IFERROR(__xludf.DUMMYFUNCTION("""COMPUTED_VALUE"""),"Turkey")</f>
        <v>Turkey</v>
      </c>
      <c r="J1854" s="43" t="str">
        <f>IFERROR(__xludf.DUMMYFUNCTION("""COMPUTED_VALUE"""),"ADANA")</f>
        <v>ADANA</v>
      </c>
      <c r="K1854" s="44" t="str">
        <f>IFERROR(__xludf.DUMMYFUNCTION("""COMPUTED_VALUE"""),"https://expa.aiesec.org/opportunities/1295893")</f>
        <v>https://expa.aiesec.org/opportunities/1295893</v>
      </c>
      <c r="L1854" s="43" t="str">
        <f>IFERROR(__xludf.DUMMYFUNCTION("""COMPUTED_VALUE"""),"GV")</f>
        <v>GV</v>
      </c>
      <c r="M1854" s="43" t="str">
        <f>IFERROR(__xludf.DUMMYFUNCTION("""COMPUTED_VALUE"""),"short")</f>
        <v>short</v>
      </c>
      <c r="N1854" s="45">
        <f>IFERROR(__xludf.DUMMYFUNCTION("""COMPUTED_VALUE"""),45312.0)</f>
        <v>45312</v>
      </c>
      <c r="O1854" s="45">
        <f>IFERROR(__xludf.DUMMYFUNCTION("""COMPUTED_VALUE"""),45313.0)</f>
        <v>45313</v>
      </c>
      <c r="P1854" s="45">
        <f>IFERROR(__xludf.DUMMYFUNCTION("""COMPUTED_VALUE"""),45359.0)</f>
        <v>45359</v>
      </c>
      <c r="Q1854" s="45"/>
      <c r="R1854" s="45"/>
      <c r="S1854" s="43"/>
      <c r="T1854" s="43"/>
      <c r="U1854" s="43" t="str">
        <f>IFERROR(__xludf.DUMMYFUNCTION("""COMPUTED_VALUE"""),"Global Classroom")</f>
        <v>Global Classroom</v>
      </c>
      <c r="V1854" s="43" t="str">
        <f>IFERROR(__xludf.DUMMYFUNCTION("""COMPUTED_VALUE"""),"Ivano-Frankivsk")</f>
        <v>Ivano-Frankivsk</v>
      </c>
      <c r="W1854" s="43" t="str">
        <f>IFERROR(__xludf.DUMMYFUNCTION("""COMPUTED_VALUE"""),"2024-01-19T21:03:41Z")</f>
        <v>2024-01-19T21:03:41Z</v>
      </c>
      <c r="X1854" s="43"/>
      <c r="Y1854" s="43"/>
      <c r="Z1854" s="43"/>
    </row>
    <row r="1855" hidden="1">
      <c r="A1855" s="43" t="str">
        <f>IFERROR(__xludf.DUMMYFUNCTION("""COMPUTED_VALUE"""),"5402817_1303008")</f>
        <v>5402817_1303008</v>
      </c>
      <c r="B1855" s="43" t="str">
        <f>IFERROR(__xludf.DUMMYFUNCTION("""COMPUTED_VALUE"""),"Valeria Likhachova")</f>
        <v>Valeria Likhachova</v>
      </c>
      <c r="C1855" s="43" t="str">
        <f>IFERROR(__xludf.DUMMYFUNCTION("""COMPUTED_VALUE"""),"approved")</f>
        <v>approved</v>
      </c>
      <c r="D1855" s="43" t="str">
        <f>IFERROR(__xludf.DUMMYFUNCTION("""COMPUTED_VALUE"""),"No")</f>
        <v>No</v>
      </c>
      <c r="E1855" s="43" t="str">
        <f>IFERROR(__xludf.DUMMYFUNCTION("""COMPUTED_VALUE"""),"p_9103d5cba3cdd5f45830b7ad3f202365de7e5b0d@inbound.aiesec.org")</f>
        <v>p_9103d5cba3cdd5f45830b7ad3f202365de7e5b0d@inbound.aiesec.org</v>
      </c>
      <c r="F1855" s="43"/>
      <c r="G1855" s="43" t="str">
        <f>IFERROR(__xludf.DUMMYFUNCTION("""COMPUTED_VALUE"""),"Ukraine")</f>
        <v>Ukraine</v>
      </c>
      <c r="H1855" s="43" t="str">
        <f>IFERROR(__xludf.DUMMYFUNCTION("""COMPUTED_VALUE"""),"KYIV")</f>
        <v>KYIV</v>
      </c>
      <c r="I1855" s="43" t="str">
        <f>IFERROR(__xludf.DUMMYFUNCTION("""COMPUTED_VALUE"""),"Turkey")</f>
        <v>Turkey</v>
      </c>
      <c r="J1855" s="43" t="str">
        <f>IFERROR(__xludf.DUMMYFUNCTION("""COMPUTED_VALUE"""),"ANKARA")</f>
        <v>ANKARA</v>
      </c>
      <c r="K1855" s="44" t="str">
        <f>IFERROR(__xludf.DUMMYFUNCTION("""COMPUTED_VALUE"""),"https://expa.aiesec.org/opportunities/1303008")</f>
        <v>https://expa.aiesec.org/opportunities/1303008</v>
      </c>
      <c r="L1855" s="43" t="str">
        <f>IFERROR(__xludf.DUMMYFUNCTION("""COMPUTED_VALUE"""),"GV")</f>
        <v>GV</v>
      </c>
      <c r="M1855" s="43" t="str">
        <f>IFERROR(__xludf.DUMMYFUNCTION("""COMPUTED_VALUE"""),"short")</f>
        <v>short</v>
      </c>
      <c r="N1855" s="45">
        <f>IFERROR(__xludf.DUMMYFUNCTION("""COMPUTED_VALUE"""),45312.0)</f>
        <v>45312</v>
      </c>
      <c r="O1855" s="45">
        <f>IFERROR(__xludf.DUMMYFUNCTION("""COMPUTED_VALUE"""),45474.0)</f>
        <v>45474</v>
      </c>
      <c r="P1855" s="45">
        <f>IFERROR(__xludf.DUMMYFUNCTION("""COMPUTED_VALUE"""),45516.0)</f>
        <v>45516</v>
      </c>
      <c r="Q1855" s="45"/>
      <c r="R1855" s="45"/>
      <c r="S1855" s="43"/>
      <c r="T1855" s="43"/>
      <c r="U1855" s="43" t="str">
        <f>IFERROR(__xludf.DUMMYFUNCTION("""COMPUTED_VALUE"""),"Equify")</f>
        <v>Equify</v>
      </c>
      <c r="V1855" s="43" t="str">
        <f>IFERROR(__xludf.DUMMYFUNCTION("""COMPUTED_VALUE"""),"-")</f>
        <v>-</v>
      </c>
      <c r="W1855" s="43" t="str">
        <f>IFERROR(__xludf.DUMMYFUNCTION("""COMPUTED_VALUE"""),"2024-01-18T11:49:18Z")</f>
        <v>2024-01-18T11:49:18Z</v>
      </c>
      <c r="X1855" s="43"/>
      <c r="Y1855" s="43"/>
      <c r="Z1855" s="43"/>
    </row>
    <row r="1856" hidden="1">
      <c r="A1856" s="43" t="str">
        <f>IFERROR(__xludf.DUMMYFUNCTION("""COMPUTED_VALUE"""),"5391360_1292535")</f>
        <v>5391360_1292535</v>
      </c>
      <c r="B1856" s="43" t="str">
        <f>IFERROR(__xludf.DUMMYFUNCTION("""COMPUTED_VALUE"""),"Gaukhar Zhakimova")</f>
        <v>Gaukhar Zhakimova</v>
      </c>
      <c r="C1856" s="43" t="str">
        <f>IFERROR(__xludf.DUMMYFUNCTION("""COMPUTED_VALUE"""),"approved")</f>
        <v>approved</v>
      </c>
      <c r="D1856" s="43" t="str">
        <f>IFERROR(__xludf.DUMMYFUNCTION("""COMPUTED_VALUE"""),"No")</f>
        <v>No</v>
      </c>
      <c r="E1856" s="43" t="str">
        <f>IFERROR(__xludf.DUMMYFUNCTION("""COMPUTED_VALUE"""),"p_f5cf0ad17026cd34ece11388516ec0a74e903ec1@inbound.aiesec.org")</f>
        <v>p_f5cf0ad17026cd34ece11388516ec0a74e903ec1@inbound.aiesec.org</v>
      </c>
      <c r="F1856" s="43"/>
      <c r="G1856" s="43" t="str">
        <f>IFERROR(__xludf.DUMMYFUNCTION("""COMPUTED_VALUE"""),"Italy")</f>
        <v>Italy</v>
      </c>
      <c r="H1856" s="43" t="str">
        <f>IFERROR(__xludf.DUMMYFUNCTION("""COMPUTED_VALUE"""),"Milano")</f>
        <v>Milano</v>
      </c>
      <c r="I1856" s="43" t="str">
        <f>IFERROR(__xludf.DUMMYFUNCTION("""COMPUTED_VALUE"""),"Turkey")</f>
        <v>Turkey</v>
      </c>
      <c r="J1856" s="43" t="str">
        <f>IFERROR(__xludf.DUMMYFUNCTION("""COMPUTED_VALUE"""),"ESKISEHIR")</f>
        <v>ESKISEHIR</v>
      </c>
      <c r="K1856" s="44" t="str">
        <f>IFERROR(__xludf.DUMMYFUNCTION("""COMPUTED_VALUE"""),"https://expa.aiesec.org/opportunities/1292535")</f>
        <v>https://expa.aiesec.org/opportunities/1292535</v>
      </c>
      <c r="L1856" s="43" t="str">
        <f>IFERROR(__xludf.DUMMYFUNCTION("""COMPUTED_VALUE"""),"GV")</f>
        <v>GV</v>
      </c>
      <c r="M1856" s="43" t="str">
        <f>IFERROR(__xludf.DUMMYFUNCTION("""COMPUTED_VALUE"""),"short")</f>
        <v>short</v>
      </c>
      <c r="N1856" s="45">
        <f>IFERROR(__xludf.DUMMYFUNCTION("""COMPUTED_VALUE"""),45312.0)</f>
        <v>45312</v>
      </c>
      <c r="O1856" s="45">
        <f>IFERROR(__xludf.DUMMYFUNCTION("""COMPUTED_VALUE"""),45487.0)</f>
        <v>45487</v>
      </c>
      <c r="P1856" s="45">
        <f>IFERROR(__xludf.DUMMYFUNCTION("""COMPUTED_VALUE"""),45529.0)</f>
        <v>45529</v>
      </c>
      <c r="Q1856" s="45"/>
      <c r="R1856" s="45"/>
      <c r="S1856" s="43"/>
      <c r="T1856" s="43"/>
      <c r="U1856" s="43" t="str">
        <f>IFERROR(__xludf.DUMMYFUNCTION("""COMPUTED_VALUE"""),"Global Classroom")</f>
        <v>Global Classroom</v>
      </c>
      <c r="V1856" s="43" t="str">
        <f>IFERROR(__xludf.DUMMYFUNCTION("""COMPUTED_VALUE"""),"-")</f>
        <v>-</v>
      </c>
      <c r="W1856" s="43" t="str">
        <f>IFERROR(__xludf.DUMMYFUNCTION("""COMPUTED_VALUE"""),"2023-12-17T10:31:12Z")</f>
        <v>2023-12-17T10:31:12Z</v>
      </c>
      <c r="X1856" s="43"/>
      <c r="Y1856" s="43"/>
      <c r="Z1856" s="43"/>
    </row>
    <row r="1857" hidden="1">
      <c r="A1857" s="43" t="str">
        <f>IFERROR(__xludf.DUMMYFUNCTION("""COMPUTED_VALUE"""),"5403187_1300750")</f>
        <v>5403187_1300750</v>
      </c>
      <c r="B1857" s="43" t="str">
        <f>IFERROR(__xludf.DUMMYFUNCTION("""COMPUTED_VALUE"""),"Anna Yaremenko")</f>
        <v>Anna Yaremenko</v>
      </c>
      <c r="C1857" s="43" t="str">
        <f>IFERROR(__xludf.DUMMYFUNCTION("""COMPUTED_VALUE"""),"approved")</f>
        <v>approved</v>
      </c>
      <c r="D1857" s="43" t="str">
        <f>IFERROR(__xludf.DUMMYFUNCTION("""COMPUTED_VALUE"""),"No")</f>
        <v>No</v>
      </c>
      <c r="E1857" s="43" t="str">
        <f>IFERROR(__xludf.DUMMYFUNCTION("""COMPUTED_VALUE"""),"p_b717d91408fed2b2d003aa0f8170259d25ceba5c@inbound.aiesec.org")</f>
        <v>p_b717d91408fed2b2d003aa0f8170259d25ceba5c@inbound.aiesec.org</v>
      </c>
      <c r="F1857" s="43">
        <f>IFERROR(__xludf.DUMMYFUNCTION("""COMPUTED_VALUE"""),9.84573842E8)</f>
        <v>984573842</v>
      </c>
      <c r="G1857" s="43" t="str">
        <f>IFERROR(__xludf.DUMMYFUNCTION("""COMPUTED_VALUE"""),"Ukraine")</f>
        <v>Ukraine</v>
      </c>
      <c r="H1857" s="43" t="str">
        <f>IFERROR(__xludf.DUMMYFUNCTION("""COMPUTED_VALUE"""),"KHARKIV")</f>
        <v>KHARKIV</v>
      </c>
      <c r="I1857" s="43" t="str">
        <f>IFERROR(__xludf.DUMMYFUNCTION("""COMPUTED_VALUE"""),"Turkey")</f>
        <v>Turkey</v>
      </c>
      <c r="J1857" s="43" t="str">
        <f>IFERROR(__xludf.DUMMYFUNCTION("""COMPUTED_VALUE"""),"ADANA")</f>
        <v>ADANA</v>
      </c>
      <c r="K1857" s="44" t="str">
        <f>IFERROR(__xludf.DUMMYFUNCTION("""COMPUTED_VALUE"""),"https://expa.aiesec.org/opportunities/1300750")</f>
        <v>https://expa.aiesec.org/opportunities/1300750</v>
      </c>
      <c r="L1857" s="43" t="str">
        <f>IFERROR(__xludf.DUMMYFUNCTION("""COMPUTED_VALUE"""),"GV")</f>
        <v>GV</v>
      </c>
      <c r="M1857" s="43" t="str">
        <f>IFERROR(__xludf.DUMMYFUNCTION("""COMPUTED_VALUE"""),"short")</f>
        <v>short</v>
      </c>
      <c r="N1857" s="45">
        <f>IFERROR(__xludf.DUMMYFUNCTION("""COMPUTED_VALUE"""),45312.0)</f>
        <v>45312</v>
      </c>
      <c r="O1857" s="45">
        <f>IFERROR(__xludf.DUMMYFUNCTION("""COMPUTED_VALUE"""),45376.0)</f>
        <v>45376</v>
      </c>
      <c r="P1857" s="45">
        <f>IFERROR(__xludf.DUMMYFUNCTION("""COMPUTED_VALUE"""),45418.0)</f>
        <v>45418</v>
      </c>
      <c r="Q1857" s="45"/>
      <c r="R1857" s="45"/>
      <c r="S1857" s="43"/>
      <c r="T1857" s="43"/>
      <c r="U1857" s="43" t="str">
        <f>IFERROR(__xludf.DUMMYFUNCTION("""COMPUTED_VALUE"""),"Equify")</f>
        <v>Equify</v>
      </c>
      <c r="V1857" s="43" t="str">
        <f>IFERROR(__xludf.DUMMYFUNCTION("""COMPUTED_VALUE"""),"Kharkiv")</f>
        <v>Kharkiv</v>
      </c>
      <c r="W1857" s="43" t="str">
        <f>IFERROR(__xludf.DUMMYFUNCTION("""COMPUTED_VALUE"""),"2024-01-19T11:35:12Z")</f>
        <v>2024-01-19T11:35:12Z</v>
      </c>
      <c r="X1857" s="43"/>
      <c r="Y1857" s="43"/>
      <c r="Z1857" s="43"/>
    </row>
    <row r="1858" hidden="1">
      <c r="A1858" s="43" t="str">
        <f>IFERROR(__xludf.DUMMYFUNCTION("""COMPUTED_VALUE"""),"5403471_1300558")</f>
        <v>5403471_1300558</v>
      </c>
      <c r="B1858" s="43" t="str">
        <f>IFERROR(__xludf.DUMMYFUNCTION("""COMPUTED_VALUE"""),"Olha Plaksii")</f>
        <v>Olha Plaksii</v>
      </c>
      <c r="C1858" s="43" t="str">
        <f>IFERROR(__xludf.DUMMYFUNCTION("""COMPUTED_VALUE"""),"approved")</f>
        <v>approved</v>
      </c>
      <c r="D1858" s="43" t="str">
        <f>IFERROR(__xludf.DUMMYFUNCTION("""COMPUTED_VALUE"""),"No")</f>
        <v>No</v>
      </c>
      <c r="E1858" s="43" t="str">
        <f>IFERROR(__xludf.DUMMYFUNCTION("""COMPUTED_VALUE"""),"p_10163078880ddbce3ce764bbb8cf6d987cbcc7ea@inbound.aiesec.org")</f>
        <v>p_10163078880ddbce3ce764bbb8cf6d987cbcc7ea@inbound.aiesec.org</v>
      </c>
      <c r="F1858" s="43">
        <f>IFERROR(__xludf.DUMMYFUNCTION("""COMPUTED_VALUE"""),9.71100376E8)</f>
        <v>971100376</v>
      </c>
      <c r="G1858" s="43" t="str">
        <f>IFERROR(__xludf.DUMMYFUNCTION("""COMPUTED_VALUE"""),"Ukraine")</f>
        <v>Ukraine</v>
      </c>
      <c r="H1858" s="43" t="str">
        <f>IFERROR(__xludf.DUMMYFUNCTION("""COMPUTED_VALUE"""),"LVIV")</f>
        <v>LVIV</v>
      </c>
      <c r="I1858" s="43" t="str">
        <f>IFERROR(__xludf.DUMMYFUNCTION("""COMPUTED_VALUE"""),"Turkey")</f>
        <v>Turkey</v>
      </c>
      <c r="J1858" s="43" t="str">
        <f>IFERROR(__xludf.DUMMYFUNCTION("""COMPUTED_VALUE"""),"ISTANBUL ASIA")</f>
        <v>ISTANBUL ASIA</v>
      </c>
      <c r="K1858" s="44" t="str">
        <f>IFERROR(__xludf.DUMMYFUNCTION("""COMPUTED_VALUE"""),"https://expa.aiesec.org/opportunities/1300558")</f>
        <v>https://expa.aiesec.org/opportunities/1300558</v>
      </c>
      <c r="L1858" s="43" t="str">
        <f>IFERROR(__xludf.DUMMYFUNCTION("""COMPUTED_VALUE"""),"GV")</f>
        <v>GV</v>
      </c>
      <c r="M1858" s="43" t="str">
        <f>IFERROR(__xludf.DUMMYFUNCTION("""COMPUTED_VALUE"""),"short")</f>
        <v>short</v>
      </c>
      <c r="N1858" s="45">
        <f>IFERROR(__xludf.DUMMYFUNCTION("""COMPUTED_VALUE"""),45313.0)</f>
        <v>45313</v>
      </c>
      <c r="O1858" s="45">
        <f>IFERROR(__xludf.DUMMYFUNCTION("""COMPUTED_VALUE"""),45488.0)</f>
        <v>45488</v>
      </c>
      <c r="P1858" s="45">
        <f>IFERROR(__xludf.DUMMYFUNCTION("""COMPUTED_VALUE"""),45530.0)</f>
        <v>45530</v>
      </c>
      <c r="Q1858" s="45"/>
      <c r="R1858" s="45"/>
      <c r="S1858" s="43"/>
      <c r="T1858" s="43"/>
      <c r="U1858" s="43" t="str">
        <f>IFERROR(__xludf.DUMMYFUNCTION("""COMPUTED_VALUE"""),"Global Classroom")</f>
        <v>Global Classroom</v>
      </c>
      <c r="V1858" s="43" t="str">
        <f>IFERROR(__xludf.DUMMYFUNCTION("""COMPUTED_VALUE"""),"Lviv ")</f>
        <v>Lviv </v>
      </c>
      <c r="W1858" s="43" t="str">
        <f>IFERROR(__xludf.DUMMYFUNCTION("""COMPUTED_VALUE"""),"2024-01-20T08:52:20Z")</f>
        <v>2024-01-20T08:52:20Z</v>
      </c>
      <c r="X1858" s="43"/>
      <c r="Y1858" s="43"/>
      <c r="Z1858" s="43"/>
    </row>
    <row r="1859" hidden="1">
      <c r="A1859" s="43" t="str">
        <f>IFERROR(__xludf.DUMMYFUNCTION("""COMPUTED_VALUE"""),"5400369_1303008")</f>
        <v>5400369_1303008</v>
      </c>
      <c r="B1859" s="43" t="str">
        <f>IFERROR(__xludf.DUMMYFUNCTION("""COMPUTED_VALUE"""),"Andreea Raclaru")</f>
        <v>Andreea Raclaru</v>
      </c>
      <c r="C1859" s="43" t="str">
        <f>IFERROR(__xludf.DUMMYFUNCTION("""COMPUTED_VALUE"""),"approved")</f>
        <v>approved</v>
      </c>
      <c r="D1859" s="43" t="str">
        <f>IFERROR(__xludf.DUMMYFUNCTION("""COMPUTED_VALUE"""),"No")</f>
        <v>No</v>
      </c>
      <c r="E1859" s="43" t="str">
        <f>IFERROR(__xludf.DUMMYFUNCTION("""COMPUTED_VALUE"""),"p_746a2206fb90134c3d3454dbe44d7e11fd0b8a4f@inbound.aiesec.org")</f>
        <v>p_746a2206fb90134c3d3454dbe44d7e11fd0b8a4f@inbound.aiesec.org</v>
      </c>
      <c r="F1859" s="43">
        <f>IFERROR(__xludf.DUMMYFUNCTION("""COMPUTED_VALUE"""),7.87633711E8)</f>
        <v>787633711</v>
      </c>
      <c r="G1859" s="43" t="str">
        <f>IFERROR(__xludf.DUMMYFUNCTION("""COMPUTED_VALUE"""),"Romania")</f>
        <v>Romania</v>
      </c>
      <c r="H1859" s="43" t="str">
        <f>IFERROR(__xludf.DUMMYFUNCTION("""COMPUTED_VALUE"""),"BUCURESTI")</f>
        <v>BUCURESTI</v>
      </c>
      <c r="I1859" s="43" t="str">
        <f>IFERROR(__xludf.DUMMYFUNCTION("""COMPUTED_VALUE"""),"Turkey")</f>
        <v>Turkey</v>
      </c>
      <c r="J1859" s="43" t="str">
        <f>IFERROR(__xludf.DUMMYFUNCTION("""COMPUTED_VALUE"""),"ANKARA")</f>
        <v>ANKARA</v>
      </c>
      <c r="K1859" s="44" t="str">
        <f>IFERROR(__xludf.DUMMYFUNCTION("""COMPUTED_VALUE"""),"https://expa.aiesec.org/opportunities/1303008")</f>
        <v>https://expa.aiesec.org/opportunities/1303008</v>
      </c>
      <c r="L1859" s="43" t="str">
        <f>IFERROR(__xludf.DUMMYFUNCTION("""COMPUTED_VALUE"""),"GV")</f>
        <v>GV</v>
      </c>
      <c r="M1859" s="43" t="str">
        <f>IFERROR(__xludf.DUMMYFUNCTION("""COMPUTED_VALUE"""),"short")</f>
        <v>short</v>
      </c>
      <c r="N1859" s="45">
        <f>IFERROR(__xludf.DUMMYFUNCTION("""COMPUTED_VALUE"""),45313.0)</f>
        <v>45313</v>
      </c>
      <c r="O1859" s="45">
        <f>IFERROR(__xludf.DUMMYFUNCTION("""COMPUTED_VALUE"""),45474.0)</f>
        <v>45474</v>
      </c>
      <c r="P1859" s="45">
        <f>IFERROR(__xludf.DUMMYFUNCTION("""COMPUTED_VALUE"""),45516.0)</f>
        <v>45516</v>
      </c>
      <c r="Q1859" s="45"/>
      <c r="R1859" s="45"/>
      <c r="S1859" s="43"/>
      <c r="T1859" s="43"/>
      <c r="U1859" s="43" t="str">
        <f>IFERROR(__xludf.DUMMYFUNCTION("""COMPUTED_VALUE"""),"Equify")</f>
        <v>Equify</v>
      </c>
      <c r="V1859" s="43" t="str">
        <f>IFERROR(__xludf.DUMMYFUNCTION("""COMPUTED_VALUE"""),"Bucuresti")</f>
        <v>Bucuresti</v>
      </c>
      <c r="W1859" s="43" t="str">
        <f>IFERROR(__xludf.DUMMYFUNCTION("""COMPUTED_VALUE"""),"2024-01-12T15:35:42Z")</f>
        <v>2024-01-12T15:35:42Z</v>
      </c>
      <c r="X1859" s="43"/>
      <c r="Y1859" s="43"/>
      <c r="Z1859" s="43"/>
    </row>
    <row r="1860" hidden="1">
      <c r="A1860" s="43" t="str">
        <f>IFERROR(__xludf.DUMMYFUNCTION("""COMPUTED_VALUE"""),"5403849_1294795")</f>
        <v>5403849_1294795</v>
      </c>
      <c r="B1860" s="43" t="str">
        <f>IFERROR(__xludf.DUMMYFUNCTION("""COMPUTED_VALUE"""),"Mariia Kozak")</f>
        <v>Mariia Kozak</v>
      </c>
      <c r="C1860" s="43" t="str">
        <f>IFERROR(__xludf.DUMMYFUNCTION("""COMPUTED_VALUE"""),"approved")</f>
        <v>approved</v>
      </c>
      <c r="D1860" s="43" t="str">
        <f>IFERROR(__xludf.DUMMYFUNCTION("""COMPUTED_VALUE"""),"No")</f>
        <v>No</v>
      </c>
      <c r="E1860" s="43" t="str">
        <f>IFERROR(__xludf.DUMMYFUNCTION("""COMPUTED_VALUE"""),"p_96e6dae37f15d6e03e359090d76adcd4c40f7d8b@inbound.aiesec.org")</f>
        <v>p_96e6dae37f15d6e03e359090d76adcd4c40f7d8b@inbound.aiesec.org</v>
      </c>
      <c r="F1860" s="43">
        <f>IFERROR(__xludf.DUMMYFUNCTION("""COMPUTED_VALUE"""),9.74649408E8)</f>
        <v>974649408</v>
      </c>
      <c r="G1860" s="43" t="str">
        <f>IFERROR(__xludf.DUMMYFUNCTION("""COMPUTED_VALUE"""),"Ukraine")</f>
        <v>Ukraine</v>
      </c>
      <c r="H1860" s="43" t="str">
        <f>IFERROR(__xludf.DUMMYFUNCTION("""COMPUTED_VALUE"""),"IVANO-FRANKIVSK")</f>
        <v>IVANO-FRANKIVSK</v>
      </c>
      <c r="I1860" s="43" t="str">
        <f>IFERROR(__xludf.DUMMYFUNCTION("""COMPUTED_VALUE"""),"Turkey")</f>
        <v>Turkey</v>
      </c>
      <c r="J1860" s="43" t="str">
        <f>IFERROR(__xludf.DUMMYFUNCTION("""COMPUTED_VALUE"""),"ADANA")</f>
        <v>ADANA</v>
      </c>
      <c r="K1860" s="44" t="str">
        <f>IFERROR(__xludf.DUMMYFUNCTION("""COMPUTED_VALUE"""),"https://expa.aiesec.org/opportunities/1294795")</f>
        <v>https://expa.aiesec.org/opportunities/1294795</v>
      </c>
      <c r="L1860" s="43" t="str">
        <f>IFERROR(__xludf.DUMMYFUNCTION("""COMPUTED_VALUE"""),"GV")</f>
        <v>GV</v>
      </c>
      <c r="M1860" s="43" t="str">
        <f>IFERROR(__xludf.DUMMYFUNCTION("""COMPUTED_VALUE"""),"short")</f>
        <v>short</v>
      </c>
      <c r="N1860" s="45">
        <f>IFERROR(__xludf.DUMMYFUNCTION("""COMPUTED_VALUE"""),45318.0)</f>
        <v>45318</v>
      </c>
      <c r="O1860" s="45">
        <f>IFERROR(__xludf.DUMMYFUNCTION("""COMPUTED_VALUE"""),45327.0)</f>
        <v>45327</v>
      </c>
      <c r="P1860" s="45">
        <f>IFERROR(__xludf.DUMMYFUNCTION("""COMPUTED_VALUE"""),45369.0)</f>
        <v>45369</v>
      </c>
      <c r="Q1860" s="45"/>
      <c r="R1860" s="45"/>
      <c r="S1860" s="43"/>
      <c r="T1860" s="43"/>
      <c r="U1860" s="43" t="str">
        <f>IFERROR(__xludf.DUMMYFUNCTION("""COMPUTED_VALUE"""),"Global Classroom")</f>
        <v>Global Classroom</v>
      </c>
      <c r="V1860" s="43" t="str">
        <f>IFERROR(__xludf.DUMMYFUNCTION("""COMPUTED_VALUE"""),"Ivano-Frankivsk")</f>
        <v>Ivano-Frankivsk</v>
      </c>
      <c r="W1860" s="43" t="str">
        <f>IFERROR(__xludf.DUMMYFUNCTION("""COMPUTED_VALUE"""),"2024-01-21T14:32:53Z")</f>
        <v>2024-01-21T14:32:53Z</v>
      </c>
      <c r="X1860" s="43"/>
      <c r="Y1860" s="43"/>
      <c r="Z1860" s="43"/>
    </row>
    <row r="1861" hidden="1">
      <c r="A1861" s="43"/>
      <c r="B1861" s="43"/>
      <c r="C1861" s="43"/>
      <c r="D1861" s="43"/>
      <c r="E1861" s="43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43"/>
      <c r="Q1861" s="43"/>
      <c r="R1861" s="43"/>
      <c r="S1861" s="43"/>
      <c r="T1861" s="43"/>
      <c r="U1861" s="43"/>
      <c r="V1861" s="43"/>
      <c r="W1861" s="43"/>
      <c r="X1861" s="43"/>
      <c r="Y1861" s="43"/>
      <c r="Z1861" s="43"/>
    </row>
    <row r="1862" hidden="1">
      <c r="A1862" s="43"/>
      <c r="B1862" s="43"/>
      <c r="C1862" s="43"/>
      <c r="D1862" s="43"/>
      <c r="E1862" s="43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43"/>
      <c r="Q1862" s="43"/>
      <c r="R1862" s="43"/>
      <c r="S1862" s="43"/>
      <c r="T1862" s="43"/>
      <c r="U1862" s="43"/>
      <c r="V1862" s="43"/>
      <c r="W1862" s="43"/>
      <c r="X1862" s="43"/>
      <c r="Y1862" s="43"/>
      <c r="Z1862" s="43"/>
    </row>
    <row r="1863" hidden="1">
      <c r="A1863" s="43"/>
      <c r="B1863" s="43"/>
      <c r="C1863" s="43"/>
      <c r="D1863" s="43"/>
      <c r="E1863" s="43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43"/>
      <c r="Q1863" s="43"/>
      <c r="R1863" s="43"/>
      <c r="S1863" s="43"/>
      <c r="T1863" s="43"/>
      <c r="U1863" s="43"/>
      <c r="V1863" s="43"/>
      <c r="W1863" s="43"/>
      <c r="X1863" s="43"/>
      <c r="Y1863" s="43"/>
      <c r="Z1863" s="43"/>
    </row>
    <row r="1864" hidden="1">
      <c r="A1864" s="43"/>
      <c r="B1864" s="43"/>
      <c r="C1864" s="43"/>
      <c r="D1864" s="43"/>
      <c r="E1864" s="43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43"/>
      <c r="Q1864" s="43"/>
      <c r="R1864" s="43"/>
      <c r="S1864" s="43"/>
      <c r="T1864" s="43"/>
      <c r="U1864" s="43"/>
      <c r="V1864" s="43"/>
      <c r="W1864" s="43"/>
      <c r="X1864" s="43"/>
      <c r="Y1864" s="43"/>
      <c r="Z1864" s="43"/>
    </row>
    <row r="1865" hidden="1">
      <c r="A1865" s="43"/>
      <c r="B1865" s="43"/>
      <c r="C1865" s="43"/>
      <c r="D1865" s="43"/>
      <c r="E1865" s="43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43"/>
      <c r="Q1865" s="43"/>
      <c r="R1865" s="43"/>
      <c r="S1865" s="43"/>
      <c r="T1865" s="43"/>
      <c r="U1865" s="43"/>
      <c r="V1865" s="43"/>
      <c r="W1865" s="43"/>
      <c r="X1865" s="43"/>
      <c r="Y1865" s="43"/>
      <c r="Z1865" s="43"/>
    </row>
    <row r="1866" hidden="1">
      <c r="A1866" s="43"/>
      <c r="B1866" s="43"/>
      <c r="C1866" s="43"/>
      <c r="D1866" s="43"/>
      <c r="E1866" s="43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43"/>
      <c r="Q1866" s="43"/>
      <c r="R1866" s="43"/>
      <c r="S1866" s="43"/>
      <c r="T1866" s="43"/>
      <c r="U1866" s="43"/>
      <c r="V1866" s="43"/>
      <c r="W1866" s="43"/>
      <c r="X1866" s="43"/>
      <c r="Y1866" s="43"/>
      <c r="Z1866" s="43"/>
    </row>
    <row r="1867" hidden="1">
      <c r="A1867" s="43"/>
      <c r="B1867" s="43"/>
      <c r="C1867" s="43"/>
      <c r="D1867" s="43"/>
      <c r="E1867" s="43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43"/>
      <c r="Q1867" s="43"/>
      <c r="R1867" s="43"/>
      <c r="S1867" s="43"/>
      <c r="T1867" s="43"/>
      <c r="U1867" s="43"/>
      <c r="V1867" s="43"/>
      <c r="W1867" s="43"/>
      <c r="X1867" s="43"/>
      <c r="Y1867" s="43"/>
      <c r="Z1867" s="43"/>
    </row>
    <row r="1868" hidden="1">
      <c r="A1868" s="43"/>
      <c r="B1868" s="43"/>
      <c r="C1868" s="43"/>
      <c r="D1868" s="43"/>
      <c r="E1868" s="43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43"/>
      <c r="Q1868" s="43"/>
      <c r="R1868" s="43"/>
      <c r="S1868" s="43"/>
      <c r="T1868" s="43"/>
      <c r="U1868" s="43"/>
      <c r="V1868" s="43"/>
      <c r="W1868" s="43"/>
      <c r="X1868" s="43"/>
      <c r="Y1868" s="43"/>
      <c r="Z1868" s="43"/>
    </row>
    <row r="1869" hidden="1">
      <c r="A1869" s="43"/>
      <c r="B1869" s="43"/>
      <c r="C1869" s="43"/>
      <c r="D1869" s="43"/>
      <c r="E1869" s="43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43"/>
      <c r="Q1869" s="43"/>
      <c r="R1869" s="43"/>
      <c r="S1869" s="43"/>
      <c r="T1869" s="43"/>
      <c r="U1869" s="43"/>
      <c r="V1869" s="43"/>
      <c r="W1869" s="43"/>
      <c r="X1869" s="43"/>
      <c r="Y1869" s="43"/>
      <c r="Z1869" s="43"/>
    </row>
    <row r="1870" hidden="1">
      <c r="A1870" s="43"/>
      <c r="B1870" s="43"/>
      <c r="C1870" s="43"/>
      <c r="D1870" s="43"/>
      <c r="E1870" s="43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43"/>
      <c r="Q1870" s="43"/>
      <c r="R1870" s="43"/>
      <c r="S1870" s="43"/>
      <c r="T1870" s="43"/>
      <c r="U1870" s="43"/>
      <c r="V1870" s="43"/>
      <c r="W1870" s="43"/>
      <c r="X1870" s="43"/>
      <c r="Y1870" s="43"/>
      <c r="Z1870" s="43"/>
    </row>
    <row r="1871" hidden="1">
      <c r="A1871" s="43"/>
      <c r="B1871" s="43"/>
      <c r="C1871" s="43"/>
      <c r="D1871" s="43"/>
      <c r="E1871" s="43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43"/>
      <c r="Q1871" s="43"/>
      <c r="R1871" s="43"/>
      <c r="S1871" s="43"/>
      <c r="T1871" s="43"/>
      <c r="U1871" s="43"/>
      <c r="V1871" s="43"/>
      <c r="W1871" s="43"/>
      <c r="X1871" s="43"/>
      <c r="Y1871" s="43"/>
      <c r="Z1871" s="43"/>
    </row>
    <row r="1872" hidden="1">
      <c r="A1872" s="43"/>
      <c r="B1872" s="43"/>
      <c r="C1872" s="43"/>
      <c r="D1872" s="43"/>
      <c r="E1872" s="43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43"/>
      <c r="Q1872" s="43"/>
      <c r="R1872" s="43"/>
      <c r="S1872" s="43"/>
      <c r="T1872" s="43"/>
      <c r="U1872" s="43"/>
      <c r="V1872" s="43"/>
      <c r="W1872" s="43"/>
      <c r="X1872" s="43"/>
      <c r="Y1872" s="43"/>
      <c r="Z1872" s="43"/>
    </row>
    <row r="1873" hidden="1">
      <c r="A1873" s="43"/>
      <c r="B1873" s="43"/>
      <c r="C1873" s="43"/>
      <c r="D1873" s="43"/>
      <c r="E1873" s="43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43"/>
      <c r="Q1873" s="43"/>
      <c r="R1873" s="43"/>
      <c r="S1873" s="43"/>
      <c r="T1873" s="43"/>
      <c r="U1873" s="43"/>
      <c r="V1873" s="43"/>
      <c r="W1873" s="43"/>
      <c r="X1873" s="43"/>
      <c r="Y1873" s="43"/>
      <c r="Z1873" s="43"/>
    </row>
    <row r="1874" hidden="1">
      <c r="A1874" s="43"/>
      <c r="B1874" s="43"/>
      <c r="C1874" s="43"/>
      <c r="D1874" s="43"/>
      <c r="E1874" s="43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43"/>
      <c r="Q1874" s="43"/>
      <c r="R1874" s="43"/>
      <c r="S1874" s="43"/>
      <c r="T1874" s="43"/>
      <c r="U1874" s="43"/>
      <c r="V1874" s="43"/>
      <c r="W1874" s="43"/>
      <c r="X1874" s="43"/>
      <c r="Y1874" s="43"/>
      <c r="Z1874" s="43"/>
    </row>
    <row r="1875" hidden="1">
      <c r="A1875" s="43"/>
      <c r="B1875" s="43"/>
      <c r="C1875" s="43"/>
      <c r="D1875" s="43"/>
      <c r="E1875" s="43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43"/>
      <c r="Q1875" s="43"/>
      <c r="R1875" s="43"/>
      <c r="S1875" s="43"/>
      <c r="T1875" s="43"/>
      <c r="U1875" s="43"/>
      <c r="V1875" s="43"/>
      <c r="W1875" s="43"/>
      <c r="X1875" s="43"/>
      <c r="Y1875" s="43"/>
      <c r="Z1875" s="43"/>
    </row>
    <row r="1876" hidden="1">
      <c r="A1876" s="43"/>
      <c r="B1876" s="43"/>
      <c r="C1876" s="43"/>
      <c r="D1876" s="43"/>
      <c r="E1876" s="43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43"/>
      <c r="Q1876" s="43"/>
      <c r="R1876" s="43"/>
      <c r="S1876" s="43"/>
      <c r="T1876" s="43"/>
      <c r="U1876" s="43"/>
      <c r="V1876" s="43"/>
      <c r="W1876" s="43"/>
      <c r="X1876" s="43"/>
      <c r="Y1876" s="43"/>
      <c r="Z1876" s="43"/>
    </row>
    <row r="1877" hidden="1">
      <c r="A1877" s="43"/>
      <c r="B1877" s="43"/>
      <c r="C1877" s="43"/>
      <c r="D1877" s="43"/>
      <c r="E1877" s="43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43"/>
      <c r="Q1877" s="43"/>
      <c r="R1877" s="43"/>
      <c r="S1877" s="43"/>
      <c r="T1877" s="43"/>
      <c r="U1877" s="43"/>
      <c r="V1877" s="43"/>
      <c r="W1877" s="43"/>
      <c r="X1877" s="43"/>
      <c r="Y1877" s="43"/>
      <c r="Z1877" s="43"/>
    </row>
    <row r="1878" hidden="1">
      <c r="A1878" s="43"/>
      <c r="B1878" s="43"/>
      <c r="C1878" s="43"/>
      <c r="D1878" s="43"/>
      <c r="E1878" s="43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43"/>
      <c r="Q1878" s="43"/>
      <c r="R1878" s="43"/>
      <c r="S1878" s="43"/>
      <c r="T1878" s="43"/>
      <c r="U1878" s="43"/>
      <c r="V1878" s="43"/>
      <c r="W1878" s="43"/>
      <c r="X1878" s="43"/>
      <c r="Y1878" s="43"/>
      <c r="Z1878" s="43"/>
    </row>
    <row r="1879" hidden="1">
      <c r="A1879" s="43"/>
      <c r="B1879" s="43"/>
      <c r="C1879" s="43"/>
      <c r="D1879" s="43"/>
      <c r="E1879" s="43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43"/>
      <c r="Q1879" s="43"/>
      <c r="R1879" s="43"/>
      <c r="S1879" s="43"/>
      <c r="T1879" s="43"/>
      <c r="U1879" s="43"/>
      <c r="V1879" s="43"/>
      <c r="W1879" s="43"/>
      <c r="X1879" s="43"/>
      <c r="Y1879" s="43"/>
      <c r="Z1879" s="43"/>
    </row>
    <row r="1880" hidden="1">
      <c r="A1880" s="43"/>
      <c r="B1880" s="43"/>
      <c r="C1880" s="43"/>
      <c r="D1880" s="43"/>
      <c r="E1880" s="43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43"/>
      <c r="Q1880" s="43"/>
      <c r="R1880" s="43"/>
      <c r="S1880" s="43"/>
      <c r="T1880" s="43"/>
      <c r="U1880" s="43"/>
      <c r="V1880" s="43"/>
      <c r="W1880" s="43"/>
      <c r="X1880" s="43"/>
      <c r="Y1880" s="43"/>
      <c r="Z1880" s="43"/>
    </row>
    <row r="1881" hidden="1">
      <c r="A1881" s="43"/>
      <c r="B1881" s="43"/>
      <c r="C1881" s="43"/>
      <c r="D1881" s="43"/>
      <c r="E1881" s="43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43"/>
      <c r="Q1881" s="43"/>
      <c r="R1881" s="43"/>
      <c r="S1881" s="43"/>
      <c r="T1881" s="43"/>
      <c r="U1881" s="43"/>
      <c r="V1881" s="43"/>
      <c r="W1881" s="43"/>
      <c r="X1881" s="43"/>
      <c r="Y1881" s="43"/>
      <c r="Z1881" s="43"/>
    </row>
    <row r="1882" hidden="1">
      <c r="A1882" s="43"/>
      <c r="B1882" s="43"/>
      <c r="C1882" s="43"/>
      <c r="D1882" s="43"/>
      <c r="E1882" s="43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43"/>
      <c r="Q1882" s="43"/>
      <c r="R1882" s="43"/>
      <c r="S1882" s="43"/>
      <c r="T1882" s="43"/>
      <c r="U1882" s="43"/>
      <c r="V1882" s="43"/>
      <c r="W1882" s="43"/>
      <c r="X1882" s="43"/>
      <c r="Y1882" s="43"/>
      <c r="Z1882" s="43"/>
    </row>
    <row r="1883" hidden="1">
      <c r="A1883" s="43"/>
      <c r="B1883" s="43"/>
      <c r="C1883" s="43"/>
      <c r="D1883" s="43"/>
      <c r="E1883" s="43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43"/>
      <c r="Q1883" s="43"/>
      <c r="R1883" s="43"/>
      <c r="S1883" s="43"/>
      <c r="T1883" s="43"/>
      <c r="U1883" s="43"/>
      <c r="V1883" s="43"/>
      <c r="W1883" s="43"/>
      <c r="X1883" s="43"/>
      <c r="Y1883" s="43"/>
      <c r="Z1883" s="43"/>
    </row>
    <row r="1884" hidden="1">
      <c r="A1884" s="43"/>
      <c r="B1884" s="43"/>
      <c r="C1884" s="43"/>
      <c r="D1884" s="43"/>
      <c r="E1884" s="43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43"/>
      <c r="Q1884" s="43"/>
      <c r="R1884" s="43"/>
      <c r="S1884" s="43"/>
      <c r="T1884" s="43"/>
      <c r="U1884" s="43"/>
      <c r="V1884" s="43"/>
      <c r="W1884" s="43"/>
      <c r="X1884" s="43"/>
      <c r="Y1884" s="43"/>
      <c r="Z1884" s="43"/>
    </row>
    <row r="1885" hidden="1">
      <c r="A1885" s="43"/>
      <c r="B1885" s="43"/>
      <c r="C1885" s="43"/>
      <c r="D1885" s="43"/>
      <c r="E1885" s="43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43"/>
      <c r="Q1885" s="43"/>
      <c r="R1885" s="43"/>
      <c r="S1885" s="43"/>
      <c r="T1885" s="43"/>
      <c r="U1885" s="43"/>
      <c r="V1885" s="43"/>
      <c r="W1885" s="43"/>
      <c r="X1885" s="43"/>
      <c r="Y1885" s="43"/>
      <c r="Z1885" s="43"/>
    </row>
    <row r="1886" hidden="1">
      <c r="A1886" s="43"/>
      <c r="B1886" s="43"/>
      <c r="C1886" s="43"/>
      <c r="D1886" s="43"/>
      <c r="E1886" s="43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43"/>
      <c r="Q1886" s="43"/>
      <c r="R1886" s="43"/>
      <c r="S1886" s="43"/>
      <c r="T1886" s="43"/>
      <c r="U1886" s="43"/>
      <c r="V1886" s="43"/>
      <c r="W1886" s="43"/>
      <c r="X1886" s="43"/>
      <c r="Y1886" s="43"/>
      <c r="Z1886" s="43"/>
    </row>
    <row r="1887" hidden="1">
      <c r="A1887" s="43"/>
      <c r="B1887" s="43"/>
      <c r="C1887" s="43"/>
      <c r="D1887" s="43"/>
      <c r="E1887" s="43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43"/>
      <c r="Q1887" s="43"/>
      <c r="R1887" s="43"/>
      <c r="S1887" s="43"/>
      <c r="T1887" s="43"/>
      <c r="U1887" s="43"/>
      <c r="V1887" s="43"/>
      <c r="W1887" s="43"/>
      <c r="X1887" s="43"/>
      <c r="Y1887" s="43"/>
      <c r="Z1887" s="43"/>
    </row>
    <row r="1888" hidden="1">
      <c r="A1888" s="43"/>
      <c r="B1888" s="43"/>
      <c r="C1888" s="43"/>
      <c r="D1888" s="43"/>
      <c r="E1888" s="43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43"/>
      <c r="Q1888" s="43"/>
      <c r="R1888" s="43"/>
      <c r="S1888" s="43"/>
      <c r="T1888" s="43"/>
      <c r="U1888" s="43"/>
      <c r="V1888" s="43"/>
      <c r="W1888" s="43"/>
      <c r="X1888" s="43"/>
      <c r="Y1888" s="43"/>
      <c r="Z1888" s="43"/>
    </row>
    <row r="1889" hidden="1">
      <c r="A1889" s="43"/>
      <c r="B1889" s="43"/>
      <c r="C1889" s="43"/>
      <c r="D1889" s="43"/>
      <c r="E1889" s="43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43"/>
      <c r="Q1889" s="43"/>
      <c r="R1889" s="43"/>
      <c r="S1889" s="43"/>
      <c r="T1889" s="43"/>
      <c r="U1889" s="43"/>
      <c r="V1889" s="43"/>
      <c r="W1889" s="43"/>
      <c r="X1889" s="43"/>
      <c r="Y1889" s="43"/>
      <c r="Z1889" s="43"/>
    </row>
    <row r="1890" hidden="1">
      <c r="A1890" s="43"/>
      <c r="B1890" s="43"/>
      <c r="C1890" s="43"/>
      <c r="D1890" s="43"/>
      <c r="E1890" s="43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43"/>
      <c r="Q1890" s="43"/>
      <c r="R1890" s="43"/>
      <c r="S1890" s="43"/>
      <c r="T1890" s="43"/>
      <c r="U1890" s="43"/>
      <c r="V1890" s="43"/>
      <c r="W1890" s="43"/>
      <c r="X1890" s="43"/>
      <c r="Y1890" s="43"/>
      <c r="Z1890" s="43"/>
    </row>
    <row r="1891" hidden="1">
      <c r="A1891" s="43"/>
      <c r="B1891" s="43"/>
      <c r="C1891" s="43"/>
      <c r="D1891" s="43"/>
      <c r="E1891" s="43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43"/>
      <c r="Q1891" s="43"/>
      <c r="R1891" s="43"/>
      <c r="S1891" s="43"/>
      <c r="T1891" s="43"/>
      <c r="U1891" s="43"/>
      <c r="V1891" s="43"/>
      <c r="W1891" s="43"/>
      <c r="X1891" s="43"/>
      <c r="Y1891" s="43"/>
      <c r="Z1891" s="43"/>
    </row>
    <row r="1892" hidden="1">
      <c r="A1892" s="43"/>
      <c r="B1892" s="43"/>
      <c r="C1892" s="43"/>
      <c r="D1892" s="43"/>
      <c r="E1892" s="43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43"/>
      <c r="Q1892" s="43"/>
      <c r="R1892" s="43"/>
      <c r="S1892" s="43"/>
      <c r="T1892" s="43"/>
      <c r="U1892" s="43"/>
      <c r="V1892" s="43"/>
      <c r="W1892" s="43"/>
      <c r="X1892" s="43"/>
      <c r="Y1892" s="43"/>
      <c r="Z1892" s="43"/>
    </row>
    <row r="1893" hidden="1">
      <c r="A1893" s="43"/>
      <c r="B1893" s="43"/>
      <c r="C1893" s="43"/>
      <c r="D1893" s="43"/>
      <c r="E1893" s="43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43"/>
      <c r="Q1893" s="43"/>
      <c r="R1893" s="43"/>
      <c r="S1893" s="43"/>
      <c r="T1893" s="43"/>
      <c r="U1893" s="43"/>
      <c r="V1893" s="43"/>
      <c r="W1893" s="43"/>
      <c r="X1893" s="43"/>
      <c r="Y1893" s="43"/>
      <c r="Z1893" s="43"/>
    </row>
    <row r="1894" hidden="1">
      <c r="A1894" s="43"/>
      <c r="B1894" s="43"/>
      <c r="C1894" s="43"/>
      <c r="D1894" s="43"/>
      <c r="E1894" s="43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43"/>
      <c r="Q1894" s="43"/>
      <c r="R1894" s="43"/>
      <c r="S1894" s="43"/>
      <c r="T1894" s="43"/>
      <c r="U1894" s="43"/>
      <c r="V1894" s="43"/>
      <c r="W1894" s="43"/>
      <c r="X1894" s="43"/>
      <c r="Y1894" s="43"/>
      <c r="Z1894" s="43"/>
    </row>
    <row r="1895" hidden="1">
      <c r="A1895" s="43"/>
      <c r="B1895" s="43"/>
      <c r="C1895" s="43"/>
      <c r="D1895" s="43"/>
      <c r="E1895" s="43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43"/>
      <c r="Q1895" s="43"/>
      <c r="R1895" s="43"/>
      <c r="S1895" s="43"/>
      <c r="T1895" s="43"/>
      <c r="U1895" s="43"/>
      <c r="V1895" s="43"/>
      <c r="W1895" s="43"/>
      <c r="X1895" s="43"/>
      <c r="Y1895" s="43"/>
      <c r="Z1895" s="43"/>
    </row>
    <row r="1896" hidden="1">
      <c r="A1896" s="43"/>
      <c r="B1896" s="43"/>
      <c r="C1896" s="43"/>
      <c r="D1896" s="43"/>
      <c r="E1896" s="43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43"/>
      <c r="Q1896" s="43"/>
      <c r="R1896" s="43"/>
      <c r="S1896" s="43"/>
      <c r="T1896" s="43"/>
      <c r="U1896" s="43"/>
      <c r="V1896" s="43"/>
      <c r="W1896" s="43"/>
      <c r="X1896" s="43"/>
      <c r="Y1896" s="43"/>
      <c r="Z1896" s="43"/>
    </row>
    <row r="1897" hidden="1">
      <c r="A1897" s="43"/>
      <c r="B1897" s="43"/>
      <c r="C1897" s="43"/>
      <c r="D1897" s="43"/>
      <c r="E1897" s="43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43"/>
      <c r="Q1897" s="43"/>
      <c r="R1897" s="43"/>
      <c r="S1897" s="43"/>
      <c r="T1897" s="43"/>
      <c r="U1897" s="43"/>
      <c r="V1897" s="43"/>
      <c r="W1897" s="43"/>
      <c r="X1897" s="43"/>
      <c r="Y1897" s="43"/>
      <c r="Z1897" s="43"/>
    </row>
    <row r="1898" hidden="1">
      <c r="A1898" s="43"/>
      <c r="B1898" s="43"/>
      <c r="C1898" s="43"/>
      <c r="D1898" s="43"/>
      <c r="E1898" s="43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43"/>
      <c r="Q1898" s="43"/>
      <c r="R1898" s="43"/>
      <c r="S1898" s="43"/>
      <c r="T1898" s="43"/>
      <c r="U1898" s="43"/>
      <c r="V1898" s="43"/>
      <c r="W1898" s="43"/>
      <c r="X1898" s="43"/>
      <c r="Y1898" s="43"/>
      <c r="Z1898" s="43"/>
    </row>
    <row r="1899" hidden="1">
      <c r="A1899" s="43"/>
      <c r="B1899" s="43"/>
      <c r="C1899" s="43"/>
      <c r="D1899" s="43"/>
      <c r="E1899" s="43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43"/>
      <c r="Q1899" s="43"/>
      <c r="R1899" s="43"/>
      <c r="S1899" s="43"/>
      <c r="T1899" s="43"/>
      <c r="U1899" s="43"/>
      <c r="V1899" s="43"/>
      <c r="W1899" s="43"/>
      <c r="X1899" s="43"/>
      <c r="Y1899" s="43"/>
      <c r="Z1899" s="43"/>
    </row>
    <row r="1900" hidden="1">
      <c r="A1900" s="43"/>
      <c r="B1900" s="43"/>
      <c r="C1900" s="43"/>
      <c r="D1900" s="43"/>
      <c r="E1900" s="43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43"/>
      <c r="Q1900" s="43"/>
      <c r="R1900" s="43"/>
      <c r="S1900" s="43"/>
      <c r="T1900" s="43"/>
      <c r="U1900" s="43"/>
      <c r="V1900" s="43"/>
      <c r="W1900" s="43"/>
      <c r="X1900" s="43"/>
      <c r="Y1900" s="43"/>
      <c r="Z1900" s="43"/>
    </row>
    <row r="1901" hidden="1">
      <c r="A1901" s="43"/>
      <c r="B1901" s="43"/>
      <c r="C1901" s="43"/>
      <c r="D1901" s="43"/>
      <c r="E1901" s="43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43"/>
      <c r="Q1901" s="43"/>
      <c r="R1901" s="43"/>
      <c r="S1901" s="43"/>
      <c r="T1901" s="43"/>
      <c r="U1901" s="43"/>
      <c r="V1901" s="43"/>
      <c r="W1901" s="43"/>
      <c r="X1901" s="43"/>
      <c r="Y1901" s="43"/>
      <c r="Z1901" s="43"/>
    </row>
    <row r="1902" hidden="1">
      <c r="A1902" s="43"/>
      <c r="B1902" s="43"/>
      <c r="C1902" s="43"/>
      <c r="D1902" s="43"/>
      <c r="E1902" s="43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43"/>
      <c r="Q1902" s="43"/>
      <c r="R1902" s="43"/>
      <c r="S1902" s="43"/>
      <c r="T1902" s="43"/>
      <c r="U1902" s="43"/>
      <c r="V1902" s="43"/>
      <c r="W1902" s="43"/>
      <c r="X1902" s="43"/>
      <c r="Y1902" s="43"/>
      <c r="Z1902" s="43"/>
    </row>
    <row r="1903" hidden="1">
      <c r="A1903" s="43"/>
      <c r="B1903" s="43"/>
      <c r="C1903" s="43"/>
      <c r="D1903" s="43"/>
      <c r="E1903" s="43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43"/>
      <c r="Q1903" s="43"/>
      <c r="R1903" s="43"/>
      <c r="S1903" s="43"/>
      <c r="T1903" s="43"/>
      <c r="U1903" s="43"/>
      <c r="V1903" s="43"/>
      <c r="W1903" s="43"/>
      <c r="X1903" s="43"/>
      <c r="Y1903" s="43"/>
      <c r="Z1903" s="43"/>
    </row>
    <row r="1904" hidden="1">
      <c r="A1904" s="43"/>
      <c r="B1904" s="43"/>
      <c r="C1904" s="43"/>
      <c r="D1904" s="43"/>
      <c r="E1904" s="43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43"/>
      <c r="Q1904" s="43"/>
      <c r="R1904" s="43"/>
      <c r="S1904" s="43"/>
      <c r="T1904" s="43"/>
      <c r="U1904" s="43"/>
      <c r="V1904" s="43"/>
      <c r="W1904" s="43"/>
      <c r="X1904" s="43"/>
      <c r="Y1904" s="43"/>
      <c r="Z1904" s="43"/>
    </row>
    <row r="1905" hidden="1">
      <c r="A1905" s="43"/>
      <c r="B1905" s="43"/>
      <c r="C1905" s="43"/>
      <c r="D1905" s="43"/>
      <c r="E1905" s="43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43"/>
      <c r="Q1905" s="43"/>
      <c r="R1905" s="43"/>
      <c r="S1905" s="43"/>
      <c r="T1905" s="43"/>
      <c r="U1905" s="43"/>
      <c r="V1905" s="43"/>
      <c r="W1905" s="43"/>
      <c r="X1905" s="43"/>
      <c r="Y1905" s="43"/>
      <c r="Z1905" s="43"/>
    </row>
    <row r="1906" hidden="1">
      <c r="A1906" s="43"/>
      <c r="B1906" s="43"/>
      <c r="C1906" s="43"/>
      <c r="D1906" s="43"/>
      <c r="E1906" s="43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43"/>
      <c r="Q1906" s="43"/>
      <c r="R1906" s="43"/>
      <c r="S1906" s="43"/>
      <c r="T1906" s="43"/>
      <c r="U1906" s="43"/>
      <c r="V1906" s="43"/>
      <c r="W1906" s="43"/>
      <c r="X1906" s="43"/>
      <c r="Y1906" s="43"/>
      <c r="Z1906" s="43"/>
    </row>
    <row r="1907" hidden="1">
      <c r="A1907" s="43"/>
      <c r="B1907" s="43"/>
      <c r="C1907" s="43"/>
      <c r="D1907" s="43"/>
      <c r="E1907" s="43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43"/>
      <c r="Q1907" s="43"/>
      <c r="R1907" s="43"/>
      <c r="S1907" s="43"/>
      <c r="T1907" s="43"/>
      <c r="U1907" s="43"/>
      <c r="V1907" s="43"/>
      <c r="W1907" s="43"/>
      <c r="X1907" s="43"/>
      <c r="Y1907" s="43"/>
      <c r="Z1907" s="43"/>
    </row>
    <row r="1908" hidden="1">
      <c r="A1908" s="43"/>
      <c r="B1908" s="43"/>
      <c r="C1908" s="43"/>
      <c r="D1908" s="43"/>
      <c r="E1908" s="43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43"/>
      <c r="Q1908" s="43"/>
      <c r="R1908" s="43"/>
      <c r="S1908" s="43"/>
      <c r="T1908" s="43"/>
      <c r="U1908" s="43"/>
      <c r="V1908" s="43"/>
      <c r="W1908" s="43"/>
      <c r="X1908" s="43"/>
      <c r="Y1908" s="43"/>
      <c r="Z1908" s="43"/>
    </row>
    <row r="1909" hidden="1">
      <c r="A1909" s="43"/>
      <c r="B1909" s="43"/>
      <c r="C1909" s="43"/>
      <c r="D1909" s="43"/>
      <c r="E1909" s="43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43"/>
      <c r="Q1909" s="43"/>
      <c r="R1909" s="43"/>
      <c r="S1909" s="43"/>
      <c r="T1909" s="43"/>
      <c r="U1909" s="43"/>
      <c r="V1909" s="43"/>
      <c r="W1909" s="43"/>
      <c r="X1909" s="43"/>
      <c r="Y1909" s="43"/>
      <c r="Z1909" s="43"/>
    </row>
    <row r="1910" hidden="1">
      <c r="A1910" s="43"/>
      <c r="B1910" s="43"/>
      <c r="C1910" s="43"/>
      <c r="D1910" s="43"/>
      <c r="E1910" s="43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43"/>
      <c r="Q1910" s="43"/>
      <c r="R1910" s="43"/>
      <c r="S1910" s="43"/>
      <c r="T1910" s="43"/>
      <c r="U1910" s="43"/>
      <c r="V1910" s="43"/>
      <c r="W1910" s="43"/>
      <c r="X1910" s="43"/>
      <c r="Y1910" s="43"/>
      <c r="Z1910" s="43"/>
    </row>
    <row r="1911" hidden="1">
      <c r="A1911" s="43"/>
      <c r="B1911" s="43"/>
      <c r="C1911" s="43"/>
      <c r="D1911" s="43"/>
      <c r="E1911" s="43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43"/>
      <c r="Q1911" s="43"/>
      <c r="R1911" s="43"/>
      <c r="S1911" s="43"/>
      <c r="T1911" s="43"/>
      <c r="U1911" s="43"/>
      <c r="V1911" s="43"/>
      <c r="W1911" s="43"/>
      <c r="X1911" s="43"/>
      <c r="Y1911" s="43"/>
      <c r="Z1911" s="43"/>
    </row>
    <row r="1912" hidden="1">
      <c r="A1912" s="43"/>
      <c r="B1912" s="43"/>
      <c r="C1912" s="43"/>
      <c r="D1912" s="43"/>
      <c r="E1912" s="43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43"/>
      <c r="Q1912" s="43"/>
      <c r="R1912" s="43"/>
      <c r="S1912" s="43"/>
      <c r="T1912" s="43"/>
      <c r="U1912" s="43"/>
      <c r="V1912" s="43"/>
      <c r="W1912" s="43"/>
      <c r="X1912" s="43"/>
      <c r="Y1912" s="43"/>
      <c r="Z1912" s="43"/>
    </row>
    <row r="1913" hidden="1">
      <c r="A1913" s="43"/>
      <c r="B1913" s="43"/>
      <c r="C1913" s="43"/>
      <c r="D1913" s="43"/>
      <c r="E1913" s="43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43"/>
      <c r="Q1913" s="43"/>
      <c r="R1913" s="43"/>
      <c r="S1913" s="43"/>
      <c r="T1913" s="43"/>
      <c r="U1913" s="43"/>
      <c r="V1913" s="43"/>
      <c r="W1913" s="43"/>
      <c r="X1913" s="43"/>
      <c r="Y1913" s="43"/>
      <c r="Z1913" s="43"/>
    </row>
    <row r="1914" hidden="1">
      <c r="A1914" s="43"/>
      <c r="B1914" s="43"/>
      <c r="C1914" s="43"/>
      <c r="D1914" s="43"/>
      <c r="E1914" s="43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43"/>
      <c r="Q1914" s="43"/>
      <c r="R1914" s="43"/>
      <c r="S1914" s="43"/>
      <c r="T1914" s="43"/>
      <c r="U1914" s="43"/>
      <c r="V1914" s="43"/>
      <c r="W1914" s="43"/>
      <c r="X1914" s="43"/>
      <c r="Y1914" s="43"/>
      <c r="Z1914" s="43"/>
    </row>
    <row r="1915" hidden="1">
      <c r="A1915" s="43"/>
      <c r="B1915" s="43"/>
      <c r="C1915" s="43"/>
      <c r="D1915" s="43"/>
      <c r="E1915" s="43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43"/>
      <c r="Q1915" s="43"/>
      <c r="R1915" s="43"/>
      <c r="S1915" s="43"/>
      <c r="T1915" s="43"/>
      <c r="U1915" s="43"/>
      <c r="V1915" s="43"/>
      <c r="W1915" s="43"/>
      <c r="X1915" s="43"/>
      <c r="Y1915" s="43"/>
      <c r="Z1915" s="43"/>
    </row>
    <row r="1916" hidden="1">
      <c r="A1916" s="43"/>
      <c r="B1916" s="43"/>
      <c r="C1916" s="43"/>
      <c r="D1916" s="43"/>
      <c r="E1916" s="43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43"/>
      <c r="Q1916" s="43"/>
      <c r="R1916" s="43"/>
      <c r="S1916" s="43"/>
      <c r="T1916" s="43"/>
      <c r="U1916" s="43"/>
      <c r="V1916" s="43"/>
      <c r="W1916" s="43"/>
      <c r="X1916" s="43"/>
      <c r="Y1916" s="43"/>
      <c r="Z1916" s="43"/>
    </row>
    <row r="1917" hidden="1">
      <c r="A1917" s="43"/>
      <c r="B1917" s="43"/>
      <c r="C1917" s="43"/>
      <c r="D1917" s="43"/>
      <c r="E1917" s="43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43"/>
      <c r="Q1917" s="43"/>
      <c r="R1917" s="43"/>
      <c r="S1917" s="43"/>
      <c r="T1917" s="43"/>
      <c r="U1917" s="43"/>
      <c r="V1917" s="43"/>
      <c r="W1917" s="43"/>
      <c r="X1917" s="43"/>
      <c r="Y1917" s="43"/>
      <c r="Z1917" s="43"/>
    </row>
    <row r="1918" hidden="1">
      <c r="A1918" s="43"/>
      <c r="B1918" s="43"/>
      <c r="C1918" s="43"/>
      <c r="D1918" s="43"/>
      <c r="E1918" s="43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43"/>
      <c r="Q1918" s="43"/>
      <c r="R1918" s="43"/>
      <c r="S1918" s="43"/>
      <c r="T1918" s="43"/>
      <c r="U1918" s="43"/>
      <c r="V1918" s="43"/>
      <c r="W1918" s="43"/>
      <c r="X1918" s="43"/>
      <c r="Y1918" s="43"/>
      <c r="Z1918" s="43"/>
    </row>
    <row r="1919" hidden="1">
      <c r="A1919" s="43"/>
      <c r="B1919" s="43"/>
      <c r="C1919" s="43"/>
      <c r="D1919" s="43"/>
      <c r="E1919" s="43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43"/>
      <c r="Q1919" s="43"/>
      <c r="R1919" s="43"/>
      <c r="S1919" s="43"/>
      <c r="T1919" s="43"/>
      <c r="U1919" s="43"/>
      <c r="V1919" s="43"/>
      <c r="W1919" s="43"/>
      <c r="X1919" s="43"/>
      <c r="Y1919" s="43"/>
      <c r="Z1919" s="43"/>
    </row>
    <row r="1920" hidden="1">
      <c r="A1920" s="43"/>
      <c r="B1920" s="43"/>
      <c r="C1920" s="43"/>
      <c r="D1920" s="43"/>
      <c r="E1920" s="43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43"/>
      <c r="Q1920" s="43"/>
      <c r="R1920" s="43"/>
      <c r="S1920" s="43"/>
      <c r="T1920" s="43"/>
      <c r="U1920" s="43"/>
      <c r="V1920" s="43"/>
      <c r="W1920" s="43"/>
      <c r="X1920" s="43"/>
      <c r="Y1920" s="43"/>
      <c r="Z1920" s="43"/>
    </row>
    <row r="1921" hidden="1">
      <c r="A1921" s="43"/>
      <c r="B1921" s="43"/>
      <c r="C1921" s="43"/>
      <c r="D1921" s="43"/>
      <c r="E1921" s="43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43"/>
      <c r="Q1921" s="43"/>
      <c r="R1921" s="43"/>
      <c r="S1921" s="43"/>
      <c r="T1921" s="43"/>
      <c r="U1921" s="43"/>
      <c r="V1921" s="43"/>
      <c r="W1921" s="43"/>
      <c r="X1921" s="43"/>
      <c r="Y1921" s="43"/>
      <c r="Z1921" s="43"/>
    </row>
    <row r="1922" hidden="1">
      <c r="A1922" s="43"/>
      <c r="B1922" s="43"/>
      <c r="C1922" s="43"/>
      <c r="D1922" s="43"/>
      <c r="E1922" s="43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43"/>
      <c r="Q1922" s="43"/>
      <c r="R1922" s="43"/>
      <c r="S1922" s="43"/>
      <c r="T1922" s="43"/>
      <c r="U1922" s="43"/>
      <c r="V1922" s="43"/>
      <c r="W1922" s="43"/>
      <c r="X1922" s="43"/>
      <c r="Y1922" s="43"/>
      <c r="Z1922" s="43"/>
    </row>
    <row r="1923" hidden="1">
      <c r="A1923" s="43"/>
      <c r="B1923" s="43"/>
      <c r="C1923" s="43"/>
      <c r="D1923" s="43"/>
      <c r="E1923" s="43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43"/>
      <c r="Q1923" s="43"/>
      <c r="R1923" s="43"/>
      <c r="S1923" s="43"/>
      <c r="T1923" s="43"/>
      <c r="U1923" s="43"/>
      <c r="V1923" s="43"/>
      <c r="W1923" s="43"/>
      <c r="X1923" s="43"/>
      <c r="Y1923" s="43"/>
      <c r="Z1923" s="43"/>
    </row>
    <row r="1924" hidden="1">
      <c r="A1924" s="43"/>
      <c r="B1924" s="43"/>
      <c r="C1924" s="43"/>
      <c r="D1924" s="43"/>
      <c r="E1924" s="43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43"/>
      <c r="Q1924" s="43"/>
      <c r="R1924" s="43"/>
      <c r="S1924" s="43"/>
      <c r="T1924" s="43"/>
      <c r="U1924" s="43"/>
      <c r="V1924" s="43"/>
      <c r="W1924" s="43"/>
      <c r="X1924" s="43"/>
      <c r="Y1924" s="43"/>
      <c r="Z1924" s="43"/>
    </row>
    <row r="1925" hidden="1">
      <c r="A1925" s="43"/>
      <c r="B1925" s="43"/>
      <c r="C1925" s="43"/>
      <c r="D1925" s="43"/>
      <c r="E1925" s="43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43"/>
      <c r="Q1925" s="43"/>
      <c r="R1925" s="43"/>
      <c r="S1925" s="43"/>
      <c r="T1925" s="43"/>
      <c r="U1925" s="43"/>
      <c r="V1925" s="43"/>
      <c r="W1925" s="43"/>
      <c r="X1925" s="43"/>
      <c r="Y1925" s="43"/>
      <c r="Z1925" s="43"/>
    </row>
    <row r="1926" hidden="1">
      <c r="A1926" s="43"/>
      <c r="B1926" s="43"/>
      <c r="C1926" s="43"/>
      <c r="D1926" s="43"/>
      <c r="E1926" s="43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  <c r="W1926" s="43"/>
      <c r="X1926" s="43"/>
      <c r="Y1926" s="43"/>
      <c r="Z1926" s="43"/>
    </row>
    <row r="1927" hidden="1">
      <c r="A1927" s="43"/>
      <c r="B1927" s="43"/>
      <c r="C1927" s="43"/>
      <c r="D1927" s="43"/>
      <c r="E1927" s="43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43"/>
      <c r="Q1927" s="43"/>
      <c r="R1927" s="43"/>
      <c r="S1927" s="43"/>
      <c r="T1927" s="43"/>
      <c r="U1927" s="43"/>
      <c r="V1927" s="43"/>
      <c r="W1927" s="43"/>
      <c r="X1927" s="43"/>
      <c r="Y1927" s="43"/>
      <c r="Z1927" s="43"/>
    </row>
    <row r="1928" hidden="1">
      <c r="A1928" s="43"/>
      <c r="B1928" s="43"/>
      <c r="C1928" s="43"/>
      <c r="D1928" s="43"/>
      <c r="E1928" s="43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43"/>
      <c r="Q1928" s="43"/>
      <c r="R1928" s="43"/>
      <c r="S1928" s="43"/>
      <c r="T1928" s="43"/>
      <c r="U1928" s="43"/>
      <c r="V1928" s="43"/>
      <c r="W1928" s="43"/>
      <c r="X1928" s="43"/>
      <c r="Y1928" s="43"/>
      <c r="Z1928" s="43"/>
    </row>
    <row r="1929" hidden="1">
      <c r="A1929" s="43"/>
      <c r="B1929" s="43"/>
      <c r="C1929" s="43"/>
      <c r="D1929" s="43"/>
      <c r="E1929" s="43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43"/>
      <c r="Q1929" s="43"/>
      <c r="R1929" s="43"/>
      <c r="S1929" s="43"/>
      <c r="T1929" s="43"/>
      <c r="U1929" s="43"/>
      <c r="V1929" s="43"/>
      <c r="W1929" s="43"/>
      <c r="X1929" s="43"/>
      <c r="Y1929" s="43"/>
      <c r="Z1929" s="43"/>
    </row>
    <row r="1930" hidden="1">
      <c r="A1930" s="43"/>
      <c r="B1930" s="43"/>
      <c r="C1930" s="43"/>
      <c r="D1930" s="43"/>
      <c r="E1930" s="43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43"/>
      <c r="Q1930" s="43"/>
      <c r="R1930" s="43"/>
      <c r="S1930" s="43"/>
      <c r="T1930" s="43"/>
      <c r="U1930" s="43"/>
      <c r="V1930" s="43"/>
      <c r="W1930" s="43"/>
      <c r="X1930" s="43"/>
      <c r="Y1930" s="43"/>
      <c r="Z1930" s="43"/>
    </row>
    <row r="1931" hidden="1">
      <c r="A1931" s="43"/>
      <c r="B1931" s="43"/>
      <c r="C1931" s="43"/>
      <c r="D1931" s="43"/>
      <c r="E1931" s="43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43"/>
      <c r="Q1931" s="43"/>
      <c r="R1931" s="43"/>
      <c r="S1931" s="43"/>
      <c r="T1931" s="43"/>
      <c r="U1931" s="43"/>
      <c r="V1931" s="43"/>
      <c r="W1931" s="43"/>
      <c r="X1931" s="43"/>
      <c r="Y1931" s="43"/>
      <c r="Z1931" s="43"/>
    </row>
    <row r="1932" hidden="1">
      <c r="A1932" s="43"/>
      <c r="B1932" s="43"/>
      <c r="C1932" s="43"/>
      <c r="D1932" s="43"/>
      <c r="E1932" s="43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43"/>
      <c r="Q1932" s="43"/>
      <c r="R1932" s="43"/>
      <c r="S1932" s="43"/>
      <c r="T1932" s="43"/>
      <c r="U1932" s="43"/>
      <c r="V1932" s="43"/>
      <c r="W1932" s="43"/>
      <c r="X1932" s="43"/>
      <c r="Y1932" s="43"/>
      <c r="Z1932" s="43"/>
    </row>
    <row r="1933" hidden="1">
      <c r="A1933" s="43"/>
      <c r="B1933" s="43"/>
      <c r="C1933" s="43"/>
      <c r="D1933" s="43"/>
      <c r="E1933" s="43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43"/>
      <c r="Q1933" s="43"/>
      <c r="R1933" s="43"/>
      <c r="S1933" s="43"/>
      <c r="T1933" s="43"/>
      <c r="U1933" s="43"/>
      <c r="V1933" s="43"/>
      <c r="W1933" s="43"/>
      <c r="X1933" s="43"/>
      <c r="Y1933" s="43"/>
      <c r="Z1933" s="43"/>
    </row>
    <row r="1934" hidden="1">
      <c r="A1934" s="43"/>
      <c r="B1934" s="43"/>
      <c r="C1934" s="43"/>
      <c r="D1934" s="43"/>
      <c r="E1934" s="43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43"/>
      <c r="Q1934" s="43"/>
      <c r="R1934" s="43"/>
      <c r="S1934" s="43"/>
      <c r="T1934" s="43"/>
      <c r="U1934" s="43"/>
      <c r="V1934" s="43"/>
      <c r="W1934" s="43"/>
      <c r="X1934" s="43"/>
      <c r="Y1934" s="43"/>
      <c r="Z1934" s="43"/>
    </row>
    <row r="1935" hidden="1">
      <c r="A1935" s="43"/>
      <c r="B1935" s="43"/>
      <c r="C1935" s="43"/>
      <c r="D1935" s="43"/>
      <c r="E1935" s="43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43"/>
      <c r="Q1935" s="43"/>
      <c r="R1935" s="43"/>
      <c r="S1935" s="43"/>
      <c r="T1935" s="43"/>
      <c r="U1935" s="43"/>
      <c r="V1935" s="43"/>
      <c r="W1935" s="43"/>
      <c r="X1935" s="43"/>
      <c r="Y1935" s="43"/>
      <c r="Z1935" s="43"/>
    </row>
    <row r="1936" hidden="1">
      <c r="A1936" s="43"/>
      <c r="B1936" s="43"/>
      <c r="C1936" s="43"/>
      <c r="D1936" s="43"/>
      <c r="E1936" s="43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43"/>
    </row>
    <row r="1937" hidden="1">
      <c r="A1937" s="43"/>
      <c r="B1937" s="43"/>
      <c r="C1937" s="43"/>
      <c r="D1937" s="43"/>
      <c r="E1937" s="43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43"/>
      <c r="Q1937" s="43"/>
      <c r="R1937" s="43"/>
      <c r="S1937" s="43"/>
      <c r="T1937" s="43"/>
      <c r="U1937" s="43"/>
      <c r="V1937" s="43"/>
      <c r="W1937" s="43"/>
      <c r="X1937" s="43"/>
      <c r="Y1937" s="43"/>
      <c r="Z1937" s="43"/>
    </row>
    <row r="1938" hidden="1">
      <c r="A1938" s="43"/>
      <c r="B1938" s="43"/>
      <c r="C1938" s="43"/>
      <c r="D1938" s="43"/>
      <c r="E1938" s="43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43"/>
      <c r="Q1938" s="43"/>
      <c r="R1938" s="43"/>
      <c r="S1938" s="43"/>
      <c r="T1938" s="43"/>
      <c r="U1938" s="43"/>
      <c r="V1938" s="43"/>
      <c r="W1938" s="43"/>
      <c r="X1938" s="43"/>
      <c r="Y1938" s="43"/>
      <c r="Z1938" s="43"/>
    </row>
    <row r="1939" hidden="1">
      <c r="A1939" s="43"/>
      <c r="B1939" s="43"/>
      <c r="C1939" s="43"/>
      <c r="D1939" s="43"/>
      <c r="E1939" s="43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43"/>
      <c r="Q1939" s="43"/>
      <c r="R1939" s="43"/>
      <c r="S1939" s="43"/>
      <c r="T1939" s="43"/>
      <c r="U1939" s="43"/>
      <c r="V1939" s="43"/>
      <c r="W1939" s="43"/>
      <c r="X1939" s="43"/>
      <c r="Y1939" s="43"/>
      <c r="Z1939" s="43"/>
    </row>
    <row r="1940" hidden="1">
      <c r="A1940" s="43"/>
      <c r="B1940" s="43"/>
      <c r="C1940" s="43"/>
      <c r="D1940" s="43"/>
      <c r="E1940" s="43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43"/>
      <c r="Q1940" s="43"/>
      <c r="R1940" s="43"/>
      <c r="S1940" s="43"/>
      <c r="T1940" s="43"/>
      <c r="U1940" s="43"/>
      <c r="V1940" s="43"/>
      <c r="W1940" s="43"/>
      <c r="X1940" s="43"/>
      <c r="Y1940" s="43"/>
      <c r="Z1940" s="43"/>
    </row>
    <row r="1941" hidden="1">
      <c r="A1941" s="43"/>
      <c r="B1941" s="43"/>
      <c r="C1941" s="43"/>
      <c r="D1941" s="43"/>
      <c r="E1941" s="43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43"/>
      <c r="Q1941" s="43"/>
      <c r="R1941" s="43"/>
      <c r="S1941" s="43"/>
      <c r="T1941" s="43"/>
      <c r="U1941" s="43"/>
      <c r="V1941" s="43"/>
      <c r="W1941" s="43"/>
      <c r="X1941" s="43"/>
      <c r="Y1941" s="43"/>
      <c r="Z1941" s="43"/>
    </row>
    <row r="1942" hidden="1">
      <c r="A1942" s="43"/>
      <c r="B1942" s="43"/>
      <c r="C1942" s="43"/>
      <c r="D1942" s="43"/>
      <c r="E1942" s="43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43"/>
      <c r="Q1942" s="43"/>
      <c r="R1942" s="43"/>
      <c r="S1942" s="43"/>
      <c r="T1942" s="43"/>
      <c r="U1942" s="43"/>
      <c r="V1942" s="43"/>
      <c r="W1942" s="43"/>
      <c r="X1942" s="43"/>
      <c r="Y1942" s="43"/>
      <c r="Z1942" s="43"/>
    </row>
    <row r="1943" hidden="1">
      <c r="A1943" s="43"/>
      <c r="B1943" s="43"/>
      <c r="C1943" s="43"/>
      <c r="D1943" s="43"/>
      <c r="E1943" s="43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43"/>
      <c r="Q1943" s="43"/>
      <c r="R1943" s="43"/>
      <c r="S1943" s="43"/>
      <c r="T1943" s="43"/>
      <c r="U1943" s="43"/>
      <c r="V1943" s="43"/>
      <c r="W1943" s="43"/>
      <c r="X1943" s="43"/>
      <c r="Y1943" s="43"/>
      <c r="Z1943" s="43"/>
    </row>
    <row r="1944" hidden="1">
      <c r="A1944" s="43"/>
      <c r="B1944" s="43"/>
      <c r="C1944" s="43"/>
      <c r="D1944" s="43"/>
      <c r="E1944" s="43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43"/>
      <c r="Q1944" s="43"/>
      <c r="R1944" s="43"/>
      <c r="S1944" s="43"/>
      <c r="T1944" s="43"/>
      <c r="U1944" s="43"/>
      <c r="V1944" s="43"/>
      <c r="W1944" s="43"/>
      <c r="X1944" s="43"/>
      <c r="Y1944" s="43"/>
      <c r="Z1944" s="43"/>
    </row>
    <row r="1945" hidden="1">
      <c r="A1945" s="43"/>
      <c r="B1945" s="43"/>
      <c r="C1945" s="43"/>
      <c r="D1945" s="43"/>
      <c r="E1945" s="43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43"/>
      <c r="Q1945" s="43"/>
      <c r="R1945" s="43"/>
      <c r="S1945" s="43"/>
      <c r="T1945" s="43"/>
      <c r="U1945" s="43"/>
      <c r="V1945" s="43"/>
      <c r="W1945" s="43"/>
      <c r="X1945" s="43"/>
      <c r="Y1945" s="43"/>
      <c r="Z1945" s="43"/>
    </row>
    <row r="1946" hidden="1">
      <c r="A1946" s="43"/>
      <c r="B1946" s="43"/>
      <c r="C1946" s="43"/>
      <c r="D1946" s="43"/>
      <c r="E1946" s="43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43"/>
      <c r="Q1946" s="43"/>
      <c r="R1946" s="43"/>
      <c r="S1946" s="43"/>
      <c r="T1946" s="43"/>
      <c r="U1946" s="43"/>
      <c r="V1946" s="43"/>
      <c r="W1946" s="43"/>
      <c r="X1946" s="43"/>
      <c r="Y1946" s="43"/>
      <c r="Z1946" s="43"/>
    </row>
    <row r="1947" hidden="1">
      <c r="A1947" s="43"/>
      <c r="B1947" s="43"/>
      <c r="C1947" s="43"/>
      <c r="D1947" s="43"/>
      <c r="E1947" s="43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43"/>
      <c r="Q1947" s="43"/>
      <c r="R1947" s="43"/>
      <c r="S1947" s="43"/>
      <c r="T1947" s="43"/>
      <c r="U1947" s="43"/>
      <c r="V1947" s="43"/>
      <c r="W1947" s="43"/>
      <c r="X1947" s="43"/>
      <c r="Y1947" s="43"/>
      <c r="Z1947" s="43"/>
    </row>
    <row r="1948" hidden="1">
      <c r="A1948" s="43"/>
      <c r="B1948" s="43"/>
      <c r="C1948" s="43"/>
      <c r="D1948" s="43"/>
      <c r="E1948" s="43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43"/>
      <c r="Q1948" s="43"/>
      <c r="R1948" s="43"/>
      <c r="S1948" s="43"/>
      <c r="T1948" s="43"/>
      <c r="U1948" s="43"/>
      <c r="V1948" s="43"/>
      <c r="W1948" s="43"/>
      <c r="X1948" s="43"/>
      <c r="Y1948" s="43"/>
      <c r="Z1948" s="43"/>
    </row>
    <row r="1949" hidden="1">
      <c r="A1949" s="43"/>
      <c r="B1949" s="43"/>
      <c r="C1949" s="43"/>
      <c r="D1949" s="43"/>
      <c r="E1949" s="43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43"/>
      <c r="Q1949" s="43"/>
      <c r="R1949" s="43"/>
      <c r="S1949" s="43"/>
      <c r="T1949" s="43"/>
      <c r="U1949" s="43"/>
      <c r="V1949" s="43"/>
      <c r="W1949" s="43"/>
      <c r="X1949" s="43"/>
      <c r="Y1949" s="43"/>
      <c r="Z1949" s="43"/>
    </row>
    <row r="1950" hidden="1">
      <c r="A1950" s="43"/>
      <c r="B1950" s="43"/>
      <c r="C1950" s="43"/>
      <c r="D1950" s="43"/>
      <c r="E1950" s="43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43"/>
      <c r="Q1950" s="43"/>
      <c r="R1950" s="43"/>
      <c r="S1950" s="43"/>
      <c r="T1950" s="43"/>
      <c r="U1950" s="43"/>
      <c r="V1950" s="43"/>
      <c r="W1950" s="43"/>
      <c r="X1950" s="43"/>
      <c r="Y1950" s="43"/>
      <c r="Z1950" s="43"/>
    </row>
    <row r="1951" hidden="1">
      <c r="A1951" s="43"/>
      <c r="B1951" s="43"/>
      <c r="C1951" s="43"/>
      <c r="D1951" s="43"/>
      <c r="E1951" s="43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43"/>
      <c r="Q1951" s="43"/>
      <c r="R1951" s="43"/>
      <c r="S1951" s="43"/>
      <c r="T1951" s="43"/>
      <c r="U1951" s="43"/>
      <c r="V1951" s="43"/>
      <c r="W1951" s="43"/>
      <c r="X1951" s="43"/>
      <c r="Y1951" s="43"/>
      <c r="Z1951" s="43"/>
    </row>
    <row r="1952" hidden="1">
      <c r="A1952" s="43"/>
      <c r="B1952" s="43"/>
      <c r="C1952" s="43"/>
      <c r="D1952" s="43"/>
      <c r="E1952" s="43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43"/>
      <c r="Q1952" s="43"/>
      <c r="R1952" s="43"/>
      <c r="S1952" s="43"/>
      <c r="T1952" s="43"/>
      <c r="U1952" s="43"/>
      <c r="V1952" s="43"/>
      <c r="W1952" s="43"/>
      <c r="X1952" s="43"/>
      <c r="Y1952" s="43"/>
      <c r="Z1952" s="43"/>
    </row>
    <row r="1953" hidden="1">
      <c r="A1953" s="43"/>
      <c r="B1953" s="43"/>
      <c r="C1953" s="43"/>
      <c r="D1953" s="43"/>
      <c r="E1953" s="43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43"/>
      <c r="Q1953" s="43"/>
      <c r="R1953" s="43"/>
      <c r="S1953" s="43"/>
      <c r="T1953" s="43"/>
      <c r="U1953" s="43"/>
      <c r="V1953" s="43"/>
      <c r="W1953" s="43"/>
      <c r="X1953" s="43"/>
      <c r="Y1953" s="43"/>
      <c r="Z1953" s="43"/>
    </row>
    <row r="1954" hidden="1">
      <c r="A1954" s="43"/>
      <c r="B1954" s="43"/>
      <c r="C1954" s="43"/>
      <c r="D1954" s="43"/>
      <c r="E1954" s="43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43"/>
      <c r="Q1954" s="43"/>
      <c r="R1954" s="43"/>
      <c r="S1954" s="43"/>
      <c r="T1954" s="43"/>
      <c r="U1954" s="43"/>
      <c r="V1954" s="43"/>
      <c r="W1954" s="43"/>
      <c r="X1954" s="43"/>
      <c r="Y1954" s="43"/>
      <c r="Z1954" s="43"/>
    </row>
    <row r="1955" hidden="1">
      <c r="A1955" s="43"/>
      <c r="B1955" s="43"/>
      <c r="C1955" s="43"/>
      <c r="D1955" s="43"/>
      <c r="E1955" s="43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43"/>
      <c r="Q1955" s="43"/>
      <c r="R1955" s="43"/>
      <c r="S1955" s="43"/>
      <c r="T1955" s="43"/>
      <c r="U1955" s="43"/>
      <c r="V1955" s="43"/>
      <c r="W1955" s="43"/>
      <c r="X1955" s="43"/>
      <c r="Y1955" s="43"/>
      <c r="Z1955" s="43"/>
    </row>
    <row r="1956" hidden="1">
      <c r="A1956" s="43"/>
      <c r="B1956" s="43"/>
      <c r="C1956" s="43"/>
      <c r="D1956" s="43"/>
      <c r="E1956" s="43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43"/>
      <c r="Q1956" s="43"/>
      <c r="R1956" s="43"/>
      <c r="S1956" s="43"/>
      <c r="T1956" s="43"/>
      <c r="U1956" s="43"/>
      <c r="V1956" s="43"/>
      <c r="W1956" s="43"/>
      <c r="X1956" s="43"/>
      <c r="Y1956" s="43"/>
      <c r="Z1956" s="43"/>
    </row>
    <row r="1957" hidden="1">
      <c r="A1957" s="43"/>
      <c r="B1957" s="43"/>
      <c r="C1957" s="43"/>
      <c r="D1957" s="43"/>
      <c r="E1957" s="43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43"/>
      <c r="Q1957" s="43"/>
      <c r="R1957" s="43"/>
      <c r="S1957" s="43"/>
      <c r="T1957" s="43"/>
      <c r="U1957" s="43"/>
      <c r="V1957" s="43"/>
      <c r="W1957" s="43"/>
      <c r="X1957" s="43"/>
      <c r="Y1957" s="43"/>
      <c r="Z1957" s="43"/>
    </row>
    <row r="1958" hidden="1">
      <c r="A1958" s="43"/>
      <c r="B1958" s="43"/>
      <c r="C1958" s="43"/>
      <c r="D1958" s="43"/>
      <c r="E1958" s="43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43"/>
      <c r="Q1958" s="43"/>
      <c r="R1958" s="43"/>
      <c r="S1958" s="43"/>
      <c r="T1958" s="43"/>
      <c r="U1958" s="43"/>
      <c r="V1958" s="43"/>
      <c r="W1958" s="43"/>
      <c r="X1958" s="43"/>
      <c r="Y1958" s="43"/>
      <c r="Z1958" s="43"/>
    </row>
    <row r="1959" hidden="1">
      <c r="A1959" s="43"/>
      <c r="B1959" s="43"/>
      <c r="C1959" s="43"/>
      <c r="D1959" s="43"/>
      <c r="E1959" s="43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43"/>
      <c r="Q1959" s="43"/>
      <c r="R1959" s="43"/>
      <c r="S1959" s="43"/>
      <c r="T1959" s="43"/>
      <c r="U1959" s="43"/>
      <c r="V1959" s="43"/>
      <c r="W1959" s="43"/>
      <c r="X1959" s="43"/>
      <c r="Y1959" s="43"/>
      <c r="Z1959" s="43"/>
    </row>
    <row r="1960" hidden="1">
      <c r="A1960" s="43"/>
      <c r="B1960" s="43"/>
      <c r="C1960" s="43"/>
      <c r="D1960" s="43"/>
      <c r="E1960" s="43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43"/>
      <c r="Q1960" s="43"/>
      <c r="R1960" s="43"/>
      <c r="S1960" s="43"/>
      <c r="T1960" s="43"/>
      <c r="U1960" s="43"/>
      <c r="V1960" s="43"/>
      <c r="W1960" s="43"/>
      <c r="X1960" s="43"/>
      <c r="Y1960" s="43"/>
      <c r="Z1960" s="43"/>
    </row>
    <row r="1961" hidden="1">
      <c r="A1961" s="43"/>
      <c r="B1961" s="43"/>
      <c r="C1961" s="43"/>
      <c r="D1961" s="43"/>
      <c r="E1961" s="43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43"/>
      <c r="Q1961" s="43"/>
      <c r="R1961" s="43"/>
      <c r="S1961" s="43"/>
      <c r="T1961" s="43"/>
      <c r="U1961" s="43"/>
      <c r="V1961" s="43"/>
      <c r="W1961" s="43"/>
      <c r="X1961" s="43"/>
      <c r="Y1961" s="43"/>
      <c r="Z1961" s="43"/>
    </row>
    <row r="1962" hidden="1">
      <c r="A1962" s="43"/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43"/>
      <c r="Q1962" s="43"/>
      <c r="R1962" s="43"/>
      <c r="S1962" s="43"/>
      <c r="T1962" s="43"/>
      <c r="U1962" s="43"/>
      <c r="V1962" s="43"/>
      <c r="W1962" s="43"/>
      <c r="X1962" s="43"/>
      <c r="Y1962" s="43"/>
      <c r="Z1962" s="43"/>
    </row>
    <row r="1963" hidden="1">
      <c r="A1963" s="43"/>
      <c r="B1963" s="43"/>
      <c r="C1963" s="43"/>
      <c r="D1963" s="43"/>
      <c r="E1963" s="43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43"/>
      <c r="Q1963" s="43"/>
      <c r="R1963" s="43"/>
      <c r="S1963" s="43"/>
      <c r="T1963" s="43"/>
      <c r="U1963" s="43"/>
      <c r="V1963" s="43"/>
      <c r="W1963" s="43"/>
      <c r="X1963" s="43"/>
      <c r="Y1963" s="43"/>
      <c r="Z1963" s="43"/>
    </row>
    <row r="1964" hidden="1">
      <c r="A1964" s="43"/>
      <c r="B1964" s="43"/>
      <c r="C1964" s="43"/>
      <c r="D1964" s="43"/>
      <c r="E1964" s="43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43"/>
      <c r="Q1964" s="43"/>
      <c r="R1964" s="43"/>
      <c r="S1964" s="43"/>
      <c r="T1964" s="43"/>
      <c r="U1964" s="43"/>
      <c r="V1964" s="43"/>
      <c r="W1964" s="43"/>
      <c r="X1964" s="43"/>
      <c r="Y1964" s="43"/>
      <c r="Z1964" s="43"/>
    </row>
    <row r="1965" hidden="1">
      <c r="A1965" s="43"/>
      <c r="B1965" s="43"/>
      <c r="C1965" s="43"/>
      <c r="D1965" s="43"/>
      <c r="E1965" s="43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43"/>
      <c r="Q1965" s="43"/>
      <c r="R1965" s="43"/>
      <c r="S1965" s="43"/>
      <c r="T1965" s="43"/>
      <c r="U1965" s="43"/>
      <c r="V1965" s="43"/>
      <c r="W1965" s="43"/>
      <c r="X1965" s="43"/>
      <c r="Y1965" s="43"/>
      <c r="Z1965" s="43"/>
    </row>
    <row r="1966" hidden="1">
      <c r="A1966" s="43"/>
      <c r="B1966" s="43"/>
      <c r="C1966" s="43"/>
      <c r="D1966" s="43"/>
      <c r="E1966" s="43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43"/>
      <c r="Q1966" s="43"/>
      <c r="R1966" s="43"/>
      <c r="S1966" s="43"/>
      <c r="T1966" s="43"/>
      <c r="U1966" s="43"/>
      <c r="V1966" s="43"/>
      <c r="W1966" s="43"/>
      <c r="X1966" s="43"/>
      <c r="Y1966" s="43"/>
      <c r="Z1966" s="43"/>
    </row>
    <row r="1967" hidden="1">
      <c r="A1967" s="43"/>
      <c r="B1967" s="43"/>
      <c r="C1967" s="43"/>
      <c r="D1967" s="43"/>
      <c r="E1967" s="43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43"/>
      <c r="Q1967" s="43"/>
      <c r="R1967" s="43"/>
      <c r="S1967" s="43"/>
      <c r="T1967" s="43"/>
      <c r="U1967" s="43"/>
      <c r="V1967" s="43"/>
      <c r="W1967" s="43"/>
      <c r="X1967" s="43"/>
      <c r="Y1967" s="43"/>
      <c r="Z1967" s="43"/>
    </row>
    <row r="1968" hidden="1">
      <c r="A1968" s="43"/>
      <c r="B1968" s="43"/>
      <c r="C1968" s="43"/>
      <c r="D1968" s="43"/>
      <c r="E1968" s="43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43"/>
      <c r="Q1968" s="43"/>
      <c r="R1968" s="43"/>
      <c r="S1968" s="43"/>
      <c r="T1968" s="43"/>
      <c r="U1968" s="43"/>
      <c r="V1968" s="43"/>
      <c r="W1968" s="43"/>
      <c r="X1968" s="43"/>
      <c r="Y1968" s="43"/>
      <c r="Z1968" s="43"/>
    </row>
    <row r="1969" hidden="1">
      <c r="A1969" s="43"/>
      <c r="B1969" s="43"/>
      <c r="C1969" s="43"/>
      <c r="D1969" s="43"/>
      <c r="E1969" s="43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43"/>
      <c r="Q1969" s="43"/>
      <c r="R1969" s="43"/>
      <c r="S1969" s="43"/>
      <c r="T1969" s="43"/>
      <c r="U1969" s="43"/>
      <c r="V1969" s="43"/>
      <c r="W1969" s="43"/>
      <c r="X1969" s="43"/>
      <c r="Y1969" s="43"/>
      <c r="Z1969" s="43"/>
    </row>
    <row r="1970" hidden="1">
      <c r="A1970" s="43"/>
      <c r="B1970" s="43"/>
      <c r="C1970" s="43"/>
      <c r="D1970" s="43"/>
      <c r="E1970" s="43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43"/>
      <c r="Q1970" s="43"/>
      <c r="R1970" s="43"/>
      <c r="S1970" s="43"/>
      <c r="T1970" s="43"/>
      <c r="U1970" s="43"/>
      <c r="V1970" s="43"/>
      <c r="W1970" s="43"/>
      <c r="X1970" s="43"/>
      <c r="Y1970" s="43"/>
      <c r="Z1970" s="43"/>
    </row>
    <row r="1971" hidden="1">
      <c r="A1971" s="43"/>
      <c r="B1971" s="43"/>
      <c r="C1971" s="43"/>
      <c r="D1971" s="43"/>
      <c r="E1971" s="43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43"/>
      <c r="Q1971" s="43"/>
      <c r="R1971" s="43"/>
      <c r="S1971" s="43"/>
      <c r="T1971" s="43"/>
      <c r="U1971" s="43"/>
      <c r="V1971" s="43"/>
      <c r="W1971" s="43"/>
      <c r="X1971" s="43"/>
      <c r="Y1971" s="43"/>
      <c r="Z1971" s="43"/>
    </row>
    <row r="1972" hidden="1">
      <c r="A1972" s="43"/>
      <c r="B1972" s="43"/>
      <c r="C1972" s="43"/>
      <c r="D1972" s="43"/>
      <c r="E1972" s="43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43"/>
      <c r="Q1972" s="43"/>
      <c r="R1972" s="43"/>
      <c r="S1972" s="43"/>
      <c r="T1972" s="43"/>
      <c r="U1972" s="43"/>
      <c r="V1972" s="43"/>
      <c r="W1972" s="43"/>
      <c r="X1972" s="43"/>
      <c r="Y1972" s="43"/>
      <c r="Z1972" s="43"/>
    </row>
    <row r="1973" hidden="1">
      <c r="A1973" s="43"/>
      <c r="B1973" s="43"/>
      <c r="C1973" s="43"/>
      <c r="D1973" s="43"/>
      <c r="E1973" s="43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43"/>
      <c r="Q1973" s="43"/>
      <c r="R1973" s="43"/>
      <c r="S1973" s="43"/>
      <c r="T1973" s="43"/>
      <c r="U1973" s="43"/>
      <c r="V1973" s="43"/>
      <c r="W1973" s="43"/>
      <c r="X1973" s="43"/>
      <c r="Y1973" s="43"/>
      <c r="Z1973" s="43"/>
    </row>
    <row r="1974" hidden="1">
      <c r="A1974" s="43"/>
      <c r="B1974" s="43"/>
      <c r="C1974" s="43"/>
      <c r="D1974" s="43"/>
      <c r="E1974" s="43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43"/>
      <c r="Q1974" s="43"/>
      <c r="R1974" s="43"/>
      <c r="S1974" s="43"/>
      <c r="T1974" s="43"/>
      <c r="U1974" s="43"/>
      <c r="V1974" s="43"/>
      <c r="W1974" s="43"/>
      <c r="X1974" s="43"/>
      <c r="Y1974" s="43"/>
      <c r="Z1974" s="43"/>
    </row>
    <row r="1975" hidden="1">
      <c r="A1975" s="43"/>
      <c r="B1975" s="43"/>
      <c r="C1975" s="43"/>
      <c r="D1975" s="43"/>
      <c r="E1975" s="43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43"/>
      <c r="Q1975" s="43"/>
      <c r="R1975" s="43"/>
      <c r="S1975" s="43"/>
      <c r="T1975" s="43"/>
      <c r="U1975" s="43"/>
      <c r="V1975" s="43"/>
      <c r="W1975" s="43"/>
      <c r="X1975" s="43"/>
      <c r="Y1975" s="43"/>
      <c r="Z1975" s="43"/>
    </row>
    <row r="1976" hidden="1">
      <c r="A1976" s="43"/>
      <c r="B1976" s="43"/>
      <c r="C1976" s="43"/>
      <c r="D1976" s="43"/>
      <c r="E1976" s="43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43"/>
      <c r="Q1976" s="43"/>
      <c r="R1976" s="43"/>
      <c r="S1976" s="43"/>
      <c r="T1976" s="43"/>
      <c r="U1976" s="43"/>
      <c r="V1976" s="43"/>
      <c r="W1976" s="43"/>
      <c r="X1976" s="43"/>
      <c r="Y1976" s="43"/>
      <c r="Z1976" s="43"/>
    </row>
    <row r="1977" hidden="1">
      <c r="A1977" s="43"/>
      <c r="B1977" s="43"/>
      <c r="C1977" s="43"/>
      <c r="D1977" s="43"/>
      <c r="E1977" s="43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43"/>
      <c r="Q1977" s="43"/>
      <c r="R1977" s="43"/>
      <c r="S1977" s="43"/>
      <c r="T1977" s="43"/>
      <c r="U1977" s="43"/>
      <c r="V1977" s="43"/>
      <c r="W1977" s="43"/>
      <c r="X1977" s="43"/>
      <c r="Y1977" s="43"/>
      <c r="Z1977" s="43"/>
    </row>
    <row r="1978" hidden="1">
      <c r="A1978" s="43"/>
      <c r="B1978" s="43"/>
      <c r="C1978" s="43"/>
      <c r="D1978" s="43"/>
      <c r="E1978" s="43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43"/>
      <c r="Q1978" s="43"/>
      <c r="R1978" s="43"/>
      <c r="S1978" s="43"/>
      <c r="T1978" s="43"/>
      <c r="U1978" s="43"/>
      <c r="V1978" s="43"/>
      <c r="W1978" s="43"/>
      <c r="X1978" s="43"/>
      <c r="Y1978" s="43"/>
      <c r="Z1978" s="43"/>
    </row>
    <row r="1979" hidden="1">
      <c r="A1979" s="43"/>
      <c r="B1979" s="43"/>
      <c r="C1979" s="43"/>
      <c r="D1979" s="43"/>
      <c r="E1979" s="43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43"/>
      <c r="Q1979" s="43"/>
      <c r="R1979" s="43"/>
      <c r="S1979" s="43"/>
      <c r="T1979" s="43"/>
      <c r="U1979" s="43"/>
      <c r="V1979" s="43"/>
      <c r="W1979" s="43"/>
      <c r="X1979" s="43"/>
      <c r="Y1979" s="43"/>
      <c r="Z1979" s="43"/>
    </row>
    <row r="1980" hidden="1">
      <c r="A1980" s="43"/>
      <c r="B1980" s="43"/>
      <c r="C1980" s="43"/>
      <c r="D1980" s="43"/>
      <c r="E1980" s="43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43"/>
      <c r="Q1980" s="43"/>
      <c r="R1980" s="43"/>
      <c r="S1980" s="43"/>
      <c r="T1980" s="43"/>
      <c r="U1980" s="43"/>
      <c r="V1980" s="43"/>
      <c r="W1980" s="43"/>
      <c r="X1980" s="43"/>
      <c r="Y1980" s="43"/>
      <c r="Z1980" s="43"/>
    </row>
    <row r="1981" hidden="1">
      <c r="A1981" s="43"/>
      <c r="B1981" s="43"/>
      <c r="C1981" s="43"/>
      <c r="D1981" s="43"/>
      <c r="E1981" s="43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43"/>
      <c r="Q1981" s="43"/>
      <c r="R1981" s="43"/>
      <c r="S1981" s="43"/>
      <c r="T1981" s="43"/>
      <c r="U1981" s="43"/>
      <c r="V1981" s="43"/>
      <c r="W1981" s="43"/>
      <c r="X1981" s="43"/>
      <c r="Y1981" s="43"/>
      <c r="Z1981" s="43"/>
    </row>
    <row r="1982" hidden="1">
      <c r="A1982" s="43"/>
      <c r="B1982" s="43"/>
      <c r="C1982" s="43"/>
      <c r="D1982" s="43"/>
      <c r="E1982" s="43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43"/>
      <c r="Q1982" s="43"/>
      <c r="R1982" s="43"/>
      <c r="S1982" s="43"/>
      <c r="T1982" s="43"/>
      <c r="U1982" s="43"/>
      <c r="V1982" s="43"/>
      <c r="W1982" s="43"/>
      <c r="X1982" s="43"/>
      <c r="Y1982" s="43"/>
      <c r="Z1982" s="43"/>
    </row>
    <row r="1983" hidden="1">
      <c r="A1983" s="43"/>
      <c r="B1983" s="43"/>
      <c r="C1983" s="43"/>
      <c r="D1983" s="43"/>
      <c r="E1983" s="43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43"/>
      <c r="Q1983" s="43"/>
      <c r="R1983" s="43"/>
      <c r="S1983" s="43"/>
      <c r="T1983" s="43"/>
      <c r="U1983" s="43"/>
      <c r="V1983" s="43"/>
      <c r="W1983" s="43"/>
      <c r="X1983" s="43"/>
      <c r="Y1983" s="43"/>
      <c r="Z1983" s="43"/>
    </row>
    <row r="1984" hidden="1">
      <c r="A1984" s="43"/>
      <c r="B1984" s="43"/>
      <c r="C1984" s="43"/>
      <c r="D1984" s="43"/>
      <c r="E1984" s="43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43"/>
      <c r="Q1984" s="43"/>
      <c r="R1984" s="43"/>
      <c r="S1984" s="43"/>
      <c r="T1984" s="43"/>
      <c r="U1984" s="43"/>
      <c r="V1984" s="43"/>
      <c r="W1984" s="43"/>
      <c r="X1984" s="43"/>
      <c r="Y1984" s="43"/>
      <c r="Z1984" s="43"/>
    </row>
    <row r="1985" hidden="1">
      <c r="A1985" s="43"/>
      <c r="B1985" s="43"/>
      <c r="C1985" s="43"/>
      <c r="D1985" s="43"/>
      <c r="E1985" s="43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43"/>
      <c r="Q1985" s="43"/>
      <c r="R1985" s="43"/>
      <c r="S1985" s="43"/>
      <c r="T1985" s="43"/>
      <c r="U1985" s="43"/>
      <c r="V1985" s="43"/>
      <c r="W1985" s="43"/>
      <c r="X1985" s="43"/>
      <c r="Y1985" s="43"/>
      <c r="Z1985" s="43"/>
    </row>
    <row r="1986" hidden="1">
      <c r="A1986" s="43"/>
      <c r="B1986" s="43"/>
      <c r="C1986" s="43"/>
      <c r="D1986" s="43"/>
      <c r="E1986" s="43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43"/>
      <c r="Q1986" s="43"/>
      <c r="R1986" s="43"/>
      <c r="S1986" s="43"/>
      <c r="T1986" s="43"/>
      <c r="U1986" s="43"/>
      <c r="V1986" s="43"/>
      <c r="W1986" s="43"/>
      <c r="X1986" s="43"/>
      <c r="Y1986" s="43"/>
      <c r="Z1986" s="43"/>
    </row>
    <row r="1987" hidden="1">
      <c r="A1987" s="43"/>
      <c r="B1987" s="43"/>
      <c r="C1987" s="43"/>
      <c r="D1987" s="43"/>
      <c r="E1987" s="43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43"/>
      <c r="Q1987" s="43"/>
      <c r="R1987" s="43"/>
      <c r="S1987" s="43"/>
      <c r="T1987" s="43"/>
      <c r="U1987" s="43"/>
      <c r="V1987" s="43"/>
      <c r="W1987" s="43"/>
      <c r="X1987" s="43"/>
      <c r="Y1987" s="43"/>
      <c r="Z1987" s="43"/>
    </row>
    <row r="1988" hidden="1">
      <c r="A1988" s="43"/>
      <c r="B1988" s="43"/>
      <c r="C1988" s="43"/>
      <c r="D1988" s="43"/>
      <c r="E1988" s="43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43"/>
      <c r="Q1988" s="43"/>
      <c r="R1988" s="43"/>
      <c r="S1988" s="43"/>
      <c r="T1988" s="43"/>
      <c r="U1988" s="43"/>
      <c r="V1988" s="43"/>
      <c r="W1988" s="43"/>
      <c r="X1988" s="43"/>
      <c r="Y1988" s="43"/>
      <c r="Z1988" s="43"/>
    </row>
    <row r="1989" hidden="1">
      <c r="A1989" s="43"/>
      <c r="B1989" s="43"/>
      <c r="C1989" s="43"/>
      <c r="D1989" s="43"/>
      <c r="E1989" s="43"/>
      <c r="F1989" s="43"/>
      <c r="G1989" s="43"/>
      <c r="H1989" s="43"/>
      <c r="I1989" s="43"/>
      <c r="J1989" s="43"/>
      <c r="K1989" s="43"/>
      <c r="L1989" s="43"/>
      <c r="M1989" s="43"/>
      <c r="N1989" s="43"/>
      <c r="O1989" s="43"/>
      <c r="P1989" s="43"/>
      <c r="Q1989" s="43"/>
      <c r="R1989" s="43"/>
      <c r="S1989" s="43"/>
      <c r="T1989" s="43"/>
      <c r="U1989" s="43"/>
      <c r="V1989" s="43"/>
      <c r="W1989" s="43"/>
      <c r="X1989" s="43"/>
      <c r="Y1989" s="43"/>
      <c r="Z1989" s="43"/>
    </row>
    <row r="1990" hidden="1">
      <c r="A1990" s="43"/>
      <c r="B1990" s="43"/>
      <c r="C1990" s="43"/>
      <c r="D1990" s="43"/>
      <c r="E1990" s="43"/>
      <c r="F1990" s="43"/>
      <c r="G1990" s="43"/>
      <c r="H1990" s="43"/>
      <c r="I1990" s="43"/>
      <c r="J1990" s="43"/>
      <c r="K1990" s="43"/>
      <c r="L1990" s="43"/>
      <c r="M1990" s="43"/>
      <c r="N1990" s="43"/>
      <c r="O1990" s="43"/>
      <c r="P1990" s="43"/>
      <c r="Q1990" s="43"/>
      <c r="R1990" s="43"/>
      <c r="S1990" s="43"/>
      <c r="T1990" s="43"/>
      <c r="U1990" s="43"/>
      <c r="V1990" s="43"/>
      <c r="W1990" s="43"/>
      <c r="X1990" s="43"/>
      <c r="Y1990" s="43"/>
      <c r="Z1990" s="43"/>
    </row>
    <row r="1991" hidden="1">
      <c r="A1991" s="43"/>
      <c r="B1991" s="43"/>
      <c r="C1991" s="43"/>
      <c r="D1991" s="43"/>
      <c r="E1991" s="43"/>
      <c r="F1991" s="43"/>
      <c r="G1991" s="43"/>
      <c r="H1991" s="43"/>
      <c r="I1991" s="43"/>
      <c r="J1991" s="43"/>
      <c r="K1991" s="43"/>
      <c r="L1991" s="43"/>
      <c r="M1991" s="43"/>
      <c r="N1991" s="43"/>
      <c r="O1991" s="43"/>
      <c r="P1991" s="43"/>
      <c r="Q1991" s="43"/>
      <c r="R1991" s="43"/>
      <c r="S1991" s="43"/>
      <c r="T1991" s="43"/>
      <c r="U1991" s="43"/>
      <c r="V1991" s="43"/>
      <c r="W1991" s="43"/>
      <c r="X1991" s="43"/>
      <c r="Y1991" s="43"/>
      <c r="Z1991" s="43"/>
    </row>
    <row r="1992" hidden="1">
      <c r="A1992" s="43"/>
      <c r="B1992" s="43"/>
      <c r="C1992" s="43"/>
      <c r="D1992" s="43"/>
      <c r="E1992" s="43"/>
      <c r="F1992" s="43"/>
      <c r="G1992" s="43"/>
      <c r="H1992" s="43"/>
      <c r="I1992" s="43"/>
      <c r="J1992" s="43"/>
      <c r="K1992" s="43"/>
      <c r="L1992" s="43"/>
      <c r="M1992" s="43"/>
      <c r="N1992" s="43"/>
      <c r="O1992" s="43"/>
      <c r="P1992" s="43"/>
      <c r="Q1992" s="43"/>
      <c r="R1992" s="43"/>
      <c r="S1992" s="43"/>
      <c r="T1992" s="43"/>
      <c r="U1992" s="43"/>
      <c r="V1992" s="43"/>
      <c r="W1992" s="43"/>
      <c r="X1992" s="43"/>
      <c r="Y1992" s="43"/>
      <c r="Z1992" s="43"/>
    </row>
    <row r="1993" hidden="1">
      <c r="A1993" s="43"/>
      <c r="B1993" s="43"/>
      <c r="C1993" s="43"/>
      <c r="D1993" s="43"/>
      <c r="E1993" s="43"/>
      <c r="F1993" s="43"/>
      <c r="G1993" s="43"/>
      <c r="H1993" s="43"/>
      <c r="I1993" s="43"/>
      <c r="J1993" s="43"/>
      <c r="K1993" s="43"/>
      <c r="L1993" s="43"/>
      <c r="M1993" s="43"/>
      <c r="N1993" s="43"/>
      <c r="O1993" s="43"/>
      <c r="P1993" s="43"/>
      <c r="Q1993" s="43"/>
      <c r="R1993" s="43"/>
      <c r="S1993" s="43"/>
      <c r="T1993" s="43"/>
      <c r="U1993" s="43"/>
      <c r="V1993" s="43"/>
      <c r="W1993" s="43"/>
      <c r="X1993" s="43"/>
      <c r="Y1993" s="43"/>
      <c r="Z1993" s="43"/>
    </row>
    <row r="1994" hidden="1">
      <c r="A1994" s="43"/>
      <c r="B1994" s="43"/>
      <c r="C1994" s="43"/>
      <c r="D1994" s="43"/>
      <c r="E1994" s="43"/>
      <c r="F1994" s="43"/>
      <c r="G1994" s="43"/>
      <c r="H1994" s="43"/>
      <c r="I1994" s="43"/>
      <c r="J1994" s="43"/>
      <c r="K1994" s="43"/>
      <c r="L1994" s="43"/>
      <c r="M1994" s="43"/>
      <c r="N1994" s="43"/>
      <c r="O1994" s="43"/>
      <c r="P1994" s="43"/>
      <c r="Q1994" s="43"/>
      <c r="R1994" s="43"/>
      <c r="S1994" s="43"/>
      <c r="T1994" s="43"/>
      <c r="U1994" s="43"/>
      <c r="V1994" s="43"/>
      <c r="W1994" s="43"/>
      <c r="X1994" s="43"/>
      <c r="Y1994" s="43"/>
      <c r="Z1994" s="43"/>
    </row>
    <row r="1995" hidden="1">
      <c r="A1995" s="43"/>
      <c r="B1995" s="43"/>
      <c r="C1995" s="43"/>
      <c r="D1995" s="43"/>
      <c r="E1995" s="43"/>
      <c r="F1995" s="43"/>
      <c r="G1995" s="43"/>
      <c r="H1995" s="43"/>
      <c r="I1995" s="43"/>
      <c r="J1995" s="43"/>
      <c r="K1995" s="43"/>
      <c r="L1995" s="43"/>
      <c r="M1995" s="43"/>
      <c r="N1995" s="43"/>
      <c r="O1995" s="43"/>
      <c r="P1995" s="43"/>
      <c r="Q1995" s="43"/>
      <c r="R1995" s="43"/>
      <c r="S1995" s="43"/>
      <c r="T1995" s="43"/>
      <c r="U1995" s="43"/>
      <c r="V1995" s="43"/>
      <c r="W1995" s="43"/>
      <c r="X1995" s="43"/>
      <c r="Y1995" s="43"/>
      <c r="Z1995" s="43"/>
    </row>
    <row r="1996" hidden="1">
      <c r="A1996" s="43"/>
      <c r="B1996" s="43"/>
      <c r="C1996" s="43"/>
      <c r="D1996" s="43"/>
      <c r="E1996" s="43"/>
      <c r="F1996" s="43"/>
      <c r="G1996" s="43"/>
      <c r="H1996" s="43"/>
      <c r="I1996" s="43"/>
      <c r="J1996" s="43"/>
      <c r="K1996" s="43"/>
      <c r="L1996" s="43"/>
      <c r="M1996" s="43"/>
      <c r="N1996" s="43"/>
      <c r="O1996" s="43"/>
      <c r="P1996" s="43"/>
      <c r="Q1996" s="43"/>
      <c r="R1996" s="43"/>
      <c r="S1996" s="43"/>
      <c r="T1996" s="43"/>
      <c r="U1996" s="43"/>
      <c r="V1996" s="43"/>
      <c r="W1996" s="43"/>
      <c r="X1996" s="43"/>
      <c r="Y1996" s="43"/>
      <c r="Z1996" s="43"/>
    </row>
    <row r="1997" hidden="1">
      <c r="A1997" s="43"/>
      <c r="B1997" s="43"/>
      <c r="C1997" s="43"/>
      <c r="D1997" s="43"/>
      <c r="E1997" s="43"/>
      <c r="F1997" s="43"/>
      <c r="G1997" s="43"/>
      <c r="H1997" s="43"/>
      <c r="I1997" s="43"/>
      <c r="J1997" s="43"/>
      <c r="K1997" s="43"/>
      <c r="L1997" s="43"/>
      <c r="M1997" s="43"/>
      <c r="N1997" s="43"/>
      <c r="O1997" s="43"/>
      <c r="P1997" s="43"/>
      <c r="Q1997" s="43"/>
      <c r="R1997" s="43"/>
      <c r="S1997" s="43"/>
      <c r="T1997" s="43"/>
      <c r="U1997" s="43"/>
      <c r="V1997" s="43"/>
      <c r="W1997" s="43"/>
      <c r="X1997" s="43"/>
      <c r="Y1997" s="43"/>
      <c r="Z1997" s="43"/>
    </row>
    <row r="1998" hidden="1">
      <c r="A1998" s="43"/>
      <c r="B1998" s="43"/>
      <c r="C1998" s="43"/>
      <c r="D1998" s="43"/>
      <c r="E1998" s="43"/>
      <c r="F1998" s="43"/>
      <c r="G1998" s="43"/>
      <c r="H1998" s="43"/>
      <c r="I1998" s="43"/>
      <c r="J1998" s="43"/>
      <c r="K1998" s="43"/>
      <c r="L1998" s="43"/>
      <c r="M1998" s="43"/>
      <c r="N1998" s="43"/>
      <c r="O1998" s="43"/>
      <c r="P1998" s="43"/>
      <c r="Q1998" s="43"/>
      <c r="R1998" s="43"/>
      <c r="S1998" s="43"/>
      <c r="T1998" s="43"/>
      <c r="U1998" s="43"/>
      <c r="V1998" s="43"/>
      <c r="W1998" s="43"/>
      <c r="X1998" s="43"/>
      <c r="Y1998" s="43"/>
      <c r="Z1998" s="43"/>
    </row>
    <row r="1999" hidden="1">
      <c r="A1999" s="43"/>
      <c r="B1999" s="43"/>
      <c r="C1999" s="43"/>
      <c r="D1999" s="43"/>
      <c r="E1999" s="43"/>
      <c r="F1999" s="43"/>
      <c r="G1999" s="43"/>
      <c r="H1999" s="43"/>
      <c r="I1999" s="43"/>
      <c r="J1999" s="43"/>
      <c r="K1999" s="43"/>
      <c r="L1999" s="43"/>
      <c r="M1999" s="43"/>
      <c r="N1999" s="43"/>
      <c r="O1999" s="43"/>
      <c r="P1999" s="43"/>
      <c r="Q1999" s="43"/>
      <c r="R1999" s="43"/>
      <c r="S1999" s="43"/>
      <c r="T1999" s="43"/>
      <c r="U1999" s="43"/>
      <c r="V1999" s="43"/>
      <c r="W1999" s="43"/>
      <c r="X1999" s="43"/>
      <c r="Y1999" s="43"/>
      <c r="Z1999" s="43"/>
    </row>
    <row r="2000" hidden="1">
      <c r="A2000" s="43"/>
      <c r="B2000" s="43"/>
      <c r="C2000" s="43"/>
      <c r="D2000" s="43"/>
      <c r="E2000" s="43"/>
      <c r="F2000" s="43"/>
      <c r="G2000" s="43"/>
      <c r="H2000" s="43"/>
      <c r="I2000" s="43"/>
      <c r="J2000" s="43"/>
      <c r="K2000" s="43"/>
      <c r="L2000" s="43"/>
      <c r="M2000" s="43"/>
      <c r="N2000" s="43"/>
      <c r="O2000" s="43"/>
      <c r="P2000" s="43"/>
      <c r="Q2000" s="43"/>
      <c r="R2000" s="43"/>
      <c r="S2000" s="43"/>
      <c r="T2000" s="43"/>
      <c r="U2000" s="43"/>
      <c r="V2000" s="43"/>
      <c r="W2000" s="43"/>
      <c r="X2000" s="43"/>
      <c r="Y2000" s="43"/>
      <c r="Z2000" s="43"/>
    </row>
    <row r="2001" hidden="1">
      <c r="A2001" s="43"/>
      <c r="B2001" s="43"/>
      <c r="C2001" s="43"/>
      <c r="D2001" s="43"/>
      <c r="E2001" s="43"/>
      <c r="F2001" s="43"/>
      <c r="G2001" s="43"/>
      <c r="H2001" s="43"/>
      <c r="I2001" s="43"/>
      <c r="J2001" s="43"/>
      <c r="K2001" s="43"/>
      <c r="L2001" s="43"/>
      <c r="M2001" s="43"/>
      <c r="N2001" s="43"/>
      <c r="O2001" s="43"/>
      <c r="P2001" s="43"/>
      <c r="Q2001" s="43"/>
      <c r="R2001" s="43"/>
      <c r="S2001" s="43"/>
      <c r="T2001" s="43"/>
      <c r="U2001" s="43"/>
      <c r="V2001" s="43"/>
      <c r="W2001" s="43"/>
      <c r="X2001" s="43"/>
      <c r="Y2001" s="43"/>
      <c r="Z2001" s="43"/>
    </row>
    <row r="2002" hidden="1">
      <c r="A2002" s="43"/>
      <c r="B2002" s="43"/>
      <c r="C2002" s="43"/>
      <c r="D2002" s="43"/>
      <c r="E2002" s="43"/>
      <c r="F2002" s="43"/>
      <c r="G2002" s="43"/>
      <c r="H2002" s="43"/>
      <c r="I2002" s="43"/>
      <c r="J2002" s="43"/>
      <c r="K2002" s="43"/>
      <c r="L2002" s="43"/>
      <c r="M2002" s="43"/>
      <c r="N2002" s="43"/>
      <c r="O2002" s="43"/>
      <c r="P2002" s="43"/>
      <c r="Q2002" s="43"/>
      <c r="R2002" s="43"/>
      <c r="S2002" s="43"/>
      <c r="T2002" s="43"/>
      <c r="U2002" s="43"/>
      <c r="V2002" s="43"/>
      <c r="W2002" s="43"/>
      <c r="X2002" s="43"/>
      <c r="Y2002" s="43"/>
      <c r="Z2002" s="43"/>
    </row>
    <row r="2003" hidden="1">
      <c r="A2003" s="43"/>
      <c r="B2003" s="43"/>
      <c r="C2003" s="43"/>
      <c r="D2003" s="43"/>
      <c r="E2003" s="43"/>
      <c r="F2003" s="43"/>
      <c r="G2003" s="43"/>
      <c r="H2003" s="43"/>
      <c r="I2003" s="43"/>
      <c r="J2003" s="43"/>
      <c r="K2003" s="43"/>
      <c r="L2003" s="43"/>
      <c r="M2003" s="43"/>
      <c r="N2003" s="43"/>
      <c r="O2003" s="43"/>
      <c r="P2003" s="43"/>
      <c r="Q2003" s="43"/>
      <c r="R2003" s="43"/>
      <c r="S2003" s="43"/>
      <c r="T2003" s="43"/>
      <c r="U2003" s="43"/>
      <c r="V2003" s="43"/>
      <c r="W2003" s="43"/>
      <c r="X2003" s="43"/>
      <c r="Y2003" s="43"/>
      <c r="Z2003" s="43"/>
    </row>
    <row r="2004" hidden="1">
      <c r="A2004" s="43"/>
      <c r="B2004" s="43"/>
      <c r="C2004" s="43"/>
      <c r="D2004" s="43"/>
      <c r="E2004" s="43"/>
      <c r="F2004" s="43"/>
      <c r="G2004" s="43"/>
      <c r="H2004" s="43"/>
      <c r="I2004" s="43"/>
      <c r="J2004" s="43"/>
      <c r="K2004" s="43"/>
      <c r="L2004" s="43"/>
      <c r="M2004" s="43"/>
      <c r="N2004" s="43"/>
      <c r="O2004" s="43"/>
      <c r="P2004" s="43"/>
      <c r="Q2004" s="43"/>
      <c r="R2004" s="43"/>
      <c r="S2004" s="43"/>
      <c r="T2004" s="43"/>
      <c r="U2004" s="43"/>
      <c r="V2004" s="43"/>
      <c r="W2004" s="43"/>
      <c r="X2004" s="43"/>
      <c r="Y2004" s="43"/>
      <c r="Z2004" s="43"/>
    </row>
    <row r="2005" hidden="1">
      <c r="A2005" s="43"/>
      <c r="B2005" s="43"/>
      <c r="C2005" s="43"/>
      <c r="D2005" s="43"/>
      <c r="E2005" s="43"/>
      <c r="F2005" s="43"/>
      <c r="G2005" s="43"/>
      <c r="H2005" s="43"/>
      <c r="I2005" s="43"/>
      <c r="J2005" s="43"/>
      <c r="K2005" s="43"/>
      <c r="L2005" s="43"/>
      <c r="M2005" s="43"/>
      <c r="N2005" s="43"/>
      <c r="O2005" s="43"/>
      <c r="P2005" s="43"/>
      <c r="Q2005" s="43"/>
      <c r="R2005" s="43"/>
      <c r="S2005" s="43"/>
      <c r="T2005" s="43"/>
      <c r="U2005" s="43"/>
      <c r="V2005" s="43"/>
      <c r="W2005" s="43"/>
      <c r="X2005" s="43"/>
      <c r="Y2005" s="43"/>
      <c r="Z2005" s="43"/>
    </row>
    <row r="2006" hidden="1">
      <c r="A2006" s="43"/>
      <c r="B2006" s="43"/>
      <c r="C2006" s="43"/>
      <c r="D2006" s="43"/>
      <c r="E2006" s="43"/>
      <c r="F2006" s="43"/>
      <c r="G2006" s="43"/>
      <c r="H2006" s="43"/>
      <c r="I2006" s="43"/>
      <c r="J2006" s="43"/>
      <c r="K2006" s="43"/>
      <c r="L2006" s="43"/>
      <c r="M2006" s="43"/>
      <c r="N2006" s="43"/>
      <c r="O2006" s="43"/>
      <c r="P2006" s="43"/>
      <c r="Q2006" s="43"/>
      <c r="R2006" s="43"/>
      <c r="S2006" s="43"/>
      <c r="T2006" s="43"/>
      <c r="U2006" s="43"/>
      <c r="V2006" s="43"/>
      <c r="W2006" s="43"/>
      <c r="X2006" s="43"/>
      <c r="Y2006" s="43"/>
      <c r="Z2006" s="43"/>
    </row>
    <row r="2007" hidden="1">
      <c r="A2007" s="43"/>
      <c r="B2007" s="43"/>
      <c r="C2007" s="43"/>
      <c r="D2007" s="43"/>
      <c r="E2007" s="43"/>
      <c r="F2007" s="43"/>
      <c r="G2007" s="43"/>
      <c r="H2007" s="43"/>
      <c r="I2007" s="43"/>
      <c r="J2007" s="43"/>
      <c r="K2007" s="43"/>
      <c r="L2007" s="43"/>
      <c r="M2007" s="43"/>
      <c r="N2007" s="43"/>
      <c r="O2007" s="43"/>
      <c r="P2007" s="43"/>
      <c r="Q2007" s="43"/>
      <c r="R2007" s="43"/>
      <c r="S2007" s="43"/>
      <c r="T2007" s="43"/>
      <c r="U2007" s="43"/>
      <c r="V2007" s="43"/>
      <c r="W2007" s="43"/>
      <c r="X2007" s="43"/>
      <c r="Y2007" s="43"/>
      <c r="Z2007" s="43"/>
    </row>
    <row r="2008" hidden="1">
      <c r="A2008" s="43"/>
      <c r="B2008" s="43"/>
      <c r="C2008" s="43"/>
      <c r="D2008" s="43"/>
      <c r="E2008" s="43"/>
      <c r="F2008" s="43"/>
      <c r="G2008" s="43"/>
      <c r="H2008" s="43"/>
      <c r="I2008" s="43"/>
      <c r="J2008" s="43"/>
      <c r="K2008" s="43"/>
      <c r="L2008" s="43"/>
      <c r="M2008" s="43"/>
      <c r="N2008" s="43"/>
      <c r="O2008" s="43"/>
      <c r="P2008" s="43"/>
      <c r="Q2008" s="43"/>
      <c r="R2008" s="43"/>
      <c r="S2008" s="43"/>
      <c r="T2008" s="43"/>
      <c r="U2008" s="43"/>
      <c r="V2008" s="43"/>
      <c r="W2008" s="43"/>
      <c r="X2008" s="43"/>
      <c r="Y2008" s="43"/>
      <c r="Z2008" s="43"/>
    </row>
    <row r="2009" hidden="1">
      <c r="A2009" s="43"/>
      <c r="B2009" s="43"/>
      <c r="C2009" s="43"/>
      <c r="D2009" s="43"/>
      <c r="E2009" s="43"/>
      <c r="F2009" s="43"/>
      <c r="G2009" s="43"/>
      <c r="H2009" s="43"/>
      <c r="I2009" s="43"/>
      <c r="J2009" s="43"/>
      <c r="K2009" s="43"/>
      <c r="L2009" s="43"/>
      <c r="M2009" s="43"/>
      <c r="N2009" s="43"/>
      <c r="O2009" s="43"/>
      <c r="P2009" s="43"/>
      <c r="Q2009" s="43"/>
      <c r="R2009" s="43"/>
      <c r="S2009" s="43"/>
      <c r="T2009" s="43"/>
      <c r="U2009" s="43"/>
      <c r="V2009" s="43"/>
      <c r="W2009" s="43"/>
      <c r="X2009" s="43"/>
      <c r="Y2009" s="43"/>
      <c r="Z2009" s="43"/>
    </row>
    <row r="2010" hidden="1">
      <c r="A2010" s="43"/>
      <c r="B2010" s="43"/>
      <c r="C2010" s="43"/>
      <c r="D2010" s="43"/>
      <c r="E2010" s="43"/>
      <c r="F2010" s="43"/>
      <c r="G2010" s="43"/>
      <c r="H2010" s="43"/>
      <c r="I2010" s="43"/>
      <c r="J2010" s="43"/>
      <c r="K2010" s="43"/>
      <c r="L2010" s="43"/>
      <c r="M2010" s="43"/>
      <c r="N2010" s="43"/>
      <c r="O2010" s="43"/>
      <c r="P2010" s="43"/>
      <c r="Q2010" s="43"/>
      <c r="R2010" s="43"/>
      <c r="S2010" s="43"/>
      <c r="T2010" s="43"/>
      <c r="U2010" s="43"/>
      <c r="V2010" s="43"/>
      <c r="W2010" s="43"/>
      <c r="X2010" s="43"/>
      <c r="Y2010" s="43"/>
      <c r="Z2010" s="43"/>
    </row>
    <row r="2011" hidden="1">
      <c r="A2011" s="43"/>
      <c r="B2011" s="43"/>
      <c r="C2011" s="43"/>
      <c r="D2011" s="43"/>
      <c r="E2011" s="43"/>
      <c r="F2011" s="43"/>
      <c r="G2011" s="43"/>
      <c r="H2011" s="43"/>
      <c r="I2011" s="43"/>
      <c r="J2011" s="43"/>
      <c r="K2011" s="43"/>
      <c r="L2011" s="43"/>
      <c r="M2011" s="43"/>
      <c r="N2011" s="43"/>
      <c r="O2011" s="43"/>
      <c r="P2011" s="43"/>
      <c r="Q2011" s="43"/>
      <c r="R2011" s="43"/>
      <c r="S2011" s="43"/>
      <c r="T2011" s="43"/>
      <c r="U2011" s="43"/>
      <c r="V2011" s="43"/>
      <c r="W2011" s="43"/>
      <c r="X2011" s="43"/>
      <c r="Y2011" s="43"/>
      <c r="Z2011" s="43"/>
    </row>
    <row r="2012" hidden="1">
      <c r="A2012" s="43"/>
      <c r="B2012" s="43"/>
      <c r="C2012" s="43"/>
      <c r="D2012" s="43"/>
      <c r="E2012" s="43"/>
      <c r="F2012" s="43"/>
      <c r="G2012" s="43"/>
      <c r="H2012" s="43"/>
      <c r="I2012" s="43"/>
      <c r="J2012" s="43"/>
      <c r="K2012" s="43"/>
      <c r="L2012" s="43"/>
      <c r="M2012" s="43"/>
      <c r="N2012" s="43"/>
      <c r="O2012" s="43"/>
      <c r="P2012" s="43"/>
      <c r="Q2012" s="43"/>
      <c r="R2012" s="43"/>
      <c r="S2012" s="43"/>
      <c r="T2012" s="43"/>
      <c r="U2012" s="43"/>
      <c r="V2012" s="43"/>
      <c r="W2012" s="43"/>
      <c r="X2012" s="43"/>
      <c r="Y2012" s="43"/>
      <c r="Z2012" s="43"/>
    </row>
    <row r="2013" hidden="1">
      <c r="A2013" s="43"/>
      <c r="B2013" s="43"/>
      <c r="C2013" s="43"/>
      <c r="D2013" s="43"/>
      <c r="E2013" s="43"/>
      <c r="F2013" s="43"/>
      <c r="G2013" s="43"/>
      <c r="H2013" s="43"/>
      <c r="I2013" s="43"/>
      <c r="J2013" s="43"/>
      <c r="K2013" s="43"/>
      <c r="L2013" s="43"/>
      <c r="M2013" s="43"/>
      <c r="N2013" s="43"/>
      <c r="O2013" s="43"/>
      <c r="P2013" s="43"/>
      <c r="Q2013" s="43"/>
      <c r="R2013" s="43"/>
      <c r="S2013" s="43"/>
      <c r="T2013" s="43"/>
      <c r="U2013" s="43"/>
      <c r="V2013" s="43"/>
      <c r="W2013" s="43"/>
      <c r="X2013" s="43"/>
      <c r="Y2013" s="43"/>
      <c r="Z2013" s="43"/>
    </row>
    <row r="2014" hidden="1">
      <c r="A2014" s="43"/>
      <c r="B2014" s="43"/>
      <c r="C2014" s="43"/>
      <c r="D2014" s="43"/>
      <c r="E2014" s="43"/>
      <c r="F2014" s="43"/>
      <c r="G2014" s="43"/>
      <c r="H2014" s="43"/>
      <c r="I2014" s="43"/>
      <c r="J2014" s="43"/>
      <c r="K2014" s="43"/>
      <c r="L2014" s="43"/>
      <c r="M2014" s="43"/>
      <c r="N2014" s="43"/>
      <c r="O2014" s="43"/>
      <c r="P2014" s="43"/>
      <c r="Q2014" s="43"/>
      <c r="R2014" s="43"/>
      <c r="S2014" s="43"/>
      <c r="T2014" s="43"/>
      <c r="U2014" s="43"/>
      <c r="V2014" s="43"/>
      <c r="W2014" s="43"/>
      <c r="X2014" s="43"/>
      <c r="Y2014" s="43"/>
      <c r="Z2014" s="43"/>
    </row>
    <row r="2015" hidden="1">
      <c r="A2015" s="43"/>
      <c r="B2015" s="43"/>
      <c r="C2015" s="43"/>
      <c r="D2015" s="43"/>
      <c r="E2015" s="43"/>
      <c r="F2015" s="43"/>
      <c r="G2015" s="43"/>
      <c r="H2015" s="43"/>
      <c r="I2015" s="43"/>
      <c r="J2015" s="43"/>
      <c r="K2015" s="43"/>
      <c r="L2015" s="43"/>
      <c r="M2015" s="43"/>
      <c r="N2015" s="43"/>
      <c r="O2015" s="43"/>
      <c r="P2015" s="43"/>
      <c r="Q2015" s="43"/>
      <c r="R2015" s="43"/>
      <c r="S2015" s="43"/>
      <c r="T2015" s="43"/>
      <c r="U2015" s="43"/>
      <c r="V2015" s="43"/>
      <c r="W2015" s="43"/>
      <c r="X2015" s="43"/>
      <c r="Y2015" s="43"/>
      <c r="Z2015" s="43"/>
    </row>
    <row r="2016" hidden="1">
      <c r="A2016" s="43"/>
      <c r="B2016" s="43"/>
      <c r="C2016" s="43"/>
      <c r="D2016" s="43"/>
      <c r="E2016" s="43"/>
      <c r="F2016" s="43"/>
      <c r="G2016" s="43"/>
      <c r="H2016" s="43"/>
      <c r="I2016" s="43"/>
      <c r="J2016" s="43"/>
      <c r="K2016" s="43"/>
      <c r="L2016" s="43"/>
      <c r="M2016" s="43"/>
      <c r="N2016" s="43"/>
      <c r="O2016" s="43"/>
      <c r="P2016" s="43"/>
      <c r="Q2016" s="43"/>
      <c r="R2016" s="43"/>
      <c r="S2016" s="43"/>
      <c r="T2016" s="43"/>
      <c r="U2016" s="43"/>
      <c r="V2016" s="43"/>
      <c r="W2016" s="43"/>
      <c r="X2016" s="43"/>
      <c r="Y2016" s="43"/>
      <c r="Z2016" s="43"/>
    </row>
    <row r="2017" hidden="1">
      <c r="A2017" s="43"/>
      <c r="B2017" s="43"/>
      <c r="C2017" s="43"/>
      <c r="D2017" s="43"/>
      <c r="E2017" s="43"/>
      <c r="F2017" s="43"/>
      <c r="G2017" s="43"/>
      <c r="H2017" s="43"/>
      <c r="I2017" s="43"/>
      <c r="J2017" s="43"/>
      <c r="K2017" s="43"/>
      <c r="L2017" s="43"/>
      <c r="M2017" s="43"/>
      <c r="N2017" s="43"/>
      <c r="O2017" s="43"/>
      <c r="P2017" s="43"/>
      <c r="Q2017" s="43"/>
      <c r="R2017" s="43"/>
      <c r="S2017" s="43"/>
      <c r="T2017" s="43"/>
      <c r="U2017" s="43"/>
      <c r="V2017" s="43"/>
      <c r="W2017" s="43"/>
      <c r="X2017" s="43"/>
      <c r="Y2017" s="43"/>
      <c r="Z2017" s="43"/>
    </row>
    <row r="2018" hidden="1">
      <c r="A2018" s="43"/>
      <c r="B2018" s="43"/>
      <c r="C2018" s="43"/>
      <c r="D2018" s="43"/>
      <c r="E2018" s="43"/>
      <c r="F2018" s="43"/>
      <c r="G2018" s="43"/>
      <c r="H2018" s="43"/>
      <c r="I2018" s="43"/>
      <c r="J2018" s="43"/>
      <c r="K2018" s="43"/>
      <c r="L2018" s="43"/>
      <c r="M2018" s="43"/>
      <c r="N2018" s="43"/>
      <c r="O2018" s="43"/>
      <c r="P2018" s="43"/>
      <c r="Q2018" s="43"/>
      <c r="R2018" s="43"/>
      <c r="S2018" s="43"/>
      <c r="T2018" s="43"/>
      <c r="U2018" s="43"/>
      <c r="V2018" s="43"/>
      <c r="W2018" s="43"/>
      <c r="X2018" s="43"/>
      <c r="Y2018" s="43"/>
      <c r="Z2018" s="43"/>
    </row>
    <row r="2019" hidden="1">
      <c r="A2019" s="43"/>
      <c r="B2019" s="43"/>
      <c r="C2019" s="43"/>
      <c r="D2019" s="43"/>
      <c r="E2019" s="43"/>
      <c r="F2019" s="43"/>
      <c r="G2019" s="43"/>
      <c r="H2019" s="43"/>
      <c r="I2019" s="43"/>
      <c r="J2019" s="43"/>
      <c r="K2019" s="43"/>
      <c r="L2019" s="43"/>
      <c r="M2019" s="43"/>
      <c r="N2019" s="43"/>
      <c r="O2019" s="43"/>
      <c r="P2019" s="43"/>
      <c r="Q2019" s="43"/>
      <c r="R2019" s="43"/>
      <c r="S2019" s="43"/>
      <c r="T2019" s="43"/>
      <c r="U2019" s="43"/>
      <c r="V2019" s="43"/>
      <c r="W2019" s="43"/>
      <c r="X2019" s="43"/>
      <c r="Y2019" s="43"/>
      <c r="Z2019" s="43"/>
    </row>
    <row r="2020" hidden="1">
      <c r="A2020" s="43"/>
      <c r="B2020" s="43"/>
      <c r="C2020" s="43"/>
      <c r="D2020" s="43"/>
      <c r="E2020" s="43"/>
      <c r="F2020" s="43"/>
      <c r="G2020" s="43"/>
      <c r="H2020" s="43"/>
      <c r="I2020" s="43"/>
      <c r="J2020" s="43"/>
      <c r="K2020" s="43"/>
      <c r="L2020" s="43"/>
      <c r="M2020" s="43"/>
      <c r="N2020" s="43"/>
      <c r="O2020" s="43"/>
      <c r="P2020" s="43"/>
      <c r="Q2020" s="43"/>
      <c r="R2020" s="43"/>
      <c r="S2020" s="43"/>
      <c r="T2020" s="43"/>
      <c r="U2020" s="43"/>
      <c r="V2020" s="43"/>
      <c r="W2020" s="43"/>
      <c r="X2020" s="43"/>
      <c r="Y2020" s="43"/>
      <c r="Z2020" s="43"/>
    </row>
    <row r="2021" hidden="1">
      <c r="A2021" s="43"/>
      <c r="B2021" s="43"/>
      <c r="C2021" s="43"/>
      <c r="D2021" s="43"/>
      <c r="E2021" s="43"/>
      <c r="F2021" s="43"/>
      <c r="G2021" s="43"/>
      <c r="H2021" s="43"/>
      <c r="I2021" s="43"/>
      <c r="J2021" s="43"/>
      <c r="K2021" s="43"/>
      <c r="L2021" s="43"/>
      <c r="M2021" s="43"/>
      <c r="N2021" s="43"/>
      <c r="O2021" s="43"/>
      <c r="P2021" s="43"/>
      <c r="Q2021" s="43"/>
      <c r="R2021" s="43"/>
      <c r="S2021" s="43"/>
      <c r="T2021" s="43"/>
      <c r="U2021" s="43"/>
      <c r="V2021" s="43"/>
      <c r="W2021" s="43"/>
      <c r="X2021" s="43"/>
      <c r="Y2021" s="43"/>
      <c r="Z2021" s="43"/>
    </row>
    <row r="2022" hidden="1">
      <c r="A2022" s="43"/>
      <c r="B2022" s="43"/>
      <c r="C2022" s="43"/>
      <c r="D2022" s="43"/>
      <c r="E2022" s="43"/>
      <c r="F2022" s="43"/>
      <c r="G2022" s="43"/>
      <c r="H2022" s="43"/>
      <c r="I2022" s="43"/>
      <c r="J2022" s="43"/>
      <c r="K2022" s="43"/>
      <c r="L2022" s="43"/>
      <c r="M2022" s="43"/>
      <c r="N2022" s="43"/>
      <c r="O2022" s="43"/>
      <c r="P2022" s="43"/>
      <c r="Q2022" s="43"/>
      <c r="R2022" s="43"/>
      <c r="S2022" s="43"/>
      <c r="T2022" s="43"/>
      <c r="U2022" s="43"/>
      <c r="V2022" s="43"/>
      <c r="W2022" s="43"/>
      <c r="X2022" s="43"/>
      <c r="Y2022" s="43"/>
      <c r="Z2022" s="43"/>
    </row>
    <row r="2023" hidden="1">
      <c r="A2023" s="43"/>
      <c r="B2023" s="43"/>
      <c r="C2023" s="43"/>
      <c r="D2023" s="43"/>
      <c r="E2023" s="43"/>
      <c r="F2023" s="43"/>
      <c r="G2023" s="43"/>
      <c r="H2023" s="43"/>
      <c r="I2023" s="43"/>
      <c r="J2023" s="43"/>
      <c r="K2023" s="43"/>
      <c r="L2023" s="43"/>
      <c r="M2023" s="43"/>
      <c r="N2023" s="43"/>
      <c r="O2023" s="43"/>
      <c r="P2023" s="43"/>
      <c r="Q2023" s="43"/>
      <c r="R2023" s="43"/>
      <c r="S2023" s="43"/>
      <c r="T2023" s="43"/>
      <c r="U2023" s="43"/>
      <c r="V2023" s="43"/>
      <c r="W2023" s="43"/>
      <c r="X2023" s="43"/>
      <c r="Y2023" s="43"/>
      <c r="Z2023" s="43"/>
    </row>
    <row r="2024" hidden="1">
      <c r="A2024" s="43"/>
      <c r="B2024" s="43"/>
      <c r="C2024" s="43"/>
      <c r="D2024" s="43"/>
      <c r="E2024" s="43"/>
      <c r="F2024" s="43"/>
      <c r="G2024" s="43"/>
      <c r="H2024" s="43"/>
      <c r="I2024" s="43"/>
      <c r="J2024" s="43"/>
      <c r="K2024" s="43"/>
      <c r="L2024" s="43"/>
      <c r="M2024" s="43"/>
      <c r="N2024" s="43"/>
      <c r="O2024" s="43"/>
      <c r="P2024" s="43"/>
      <c r="Q2024" s="43"/>
      <c r="R2024" s="43"/>
      <c r="S2024" s="43"/>
      <c r="T2024" s="43"/>
      <c r="U2024" s="43"/>
      <c r="V2024" s="43"/>
      <c r="W2024" s="43"/>
      <c r="X2024" s="43"/>
      <c r="Y2024" s="43"/>
      <c r="Z2024" s="43"/>
    </row>
    <row r="2025" hidden="1">
      <c r="A2025" s="43"/>
      <c r="B2025" s="43"/>
      <c r="C2025" s="43"/>
      <c r="D2025" s="43"/>
      <c r="E2025" s="43"/>
      <c r="F2025" s="43"/>
      <c r="G2025" s="43"/>
      <c r="H2025" s="43"/>
      <c r="I2025" s="43"/>
      <c r="J2025" s="43"/>
      <c r="K2025" s="43"/>
      <c r="L2025" s="43"/>
      <c r="M2025" s="43"/>
      <c r="N2025" s="43"/>
      <c r="O2025" s="43"/>
      <c r="P2025" s="43"/>
      <c r="Q2025" s="43"/>
      <c r="R2025" s="43"/>
      <c r="S2025" s="43"/>
      <c r="T2025" s="43"/>
      <c r="U2025" s="43"/>
      <c r="V2025" s="43"/>
      <c r="W2025" s="43"/>
      <c r="X2025" s="43"/>
      <c r="Y2025" s="43"/>
      <c r="Z2025" s="43"/>
    </row>
    <row r="2026" hidden="1">
      <c r="A2026" s="43"/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  <c r="M2026" s="43"/>
      <c r="N2026" s="43"/>
      <c r="O2026" s="43"/>
      <c r="P2026" s="43"/>
      <c r="Q2026" s="43"/>
      <c r="R2026" s="43"/>
      <c r="S2026" s="43"/>
      <c r="T2026" s="43"/>
      <c r="U2026" s="43"/>
      <c r="V2026" s="43"/>
      <c r="W2026" s="43"/>
      <c r="X2026" s="43"/>
      <c r="Y2026" s="43"/>
      <c r="Z2026" s="43"/>
    </row>
    <row r="2027" hidden="1">
      <c r="A2027" s="43"/>
      <c r="B2027" s="43"/>
      <c r="C2027" s="43"/>
      <c r="D2027" s="43"/>
      <c r="E2027" s="43"/>
      <c r="F2027" s="43"/>
      <c r="G2027" s="43"/>
      <c r="H2027" s="43"/>
      <c r="I2027" s="43"/>
      <c r="J2027" s="43"/>
      <c r="K2027" s="43"/>
      <c r="L2027" s="43"/>
      <c r="M2027" s="43"/>
      <c r="N2027" s="43"/>
      <c r="O2027" s="43"/>
      <c r="P2027" s="43"/>
      <c r="Q2027" s="43"/>
      <c r="R2027" s="43"/>
      <c r="S2027" s="43"/>
      <c r="T2027" s="43"/>
      <c r="U2027" s="43"/>
      <c r="V2027" s="43"/>
      <c r="W2027" s="43"/>
      <c r="X2027" s="43"/>
      <c r="Y2027" s="43"/>
      <c r="Z2027" s="43"/>
    </row>
    <row r="2028" hidden="1">
      <c r="A2028" s="43"/>
      <c r="B2028" s="43"/>
      <c r="C2028" s="43"/>
      <c r="D2028" s="43"/>
      <c r="E2028" s="43"/>
      <c r="F2028" s="43"/>
      <c r="G2028" s="43"/>
      <c r="H2028" s="43"/>
      <c r="I2028" s="43"/>
      <c r="J2028" s="43"/>
      <c r="K2028" s="43"/>
      <c r="L2028" s="43"/>
      <c r="M2028" s="43"/>
      <c r="N2028" s="43"/>
      <c r="O2028" s="43"/>
      <c r="P2028" s="43"/>
      <c r="Q2028" s="43"/>
      <c r="R2028" s="43"/>
      <c r="S2028" s="43"/>
      <c r="T2028" s="43"/>
      <c r="U2028" s="43"/>
      <c r="V2028" s="43"/>
      <c r="W2028" s="43"/>
      <c r="X2028" s="43"/>
      <c r="Y2028" s="43"/>
      <c r="Z2028" s="43"/>
    </row>
    <row r="2029" hidden="1">
      <c r="A2029" s="43"/>
      <c r="B2029" s="43"/>
      <c r="C2029" s="43"/>
      <c r="D2029" s="43"/>
      <c r="E2029" s="43"/>
      <c r="F2029" s="43"/>
      <c r="G2029" s="43"/>
      <c r="H2029" s="43"/>
      <c r="I2029" s="43"/>
      <c r="J2029" s="43"/>
      <c r="K2029" s="43"/>
      <c r="L2029" s="43"/>
      <c r="M2029" s="43"/>
      <c r="N2029" s="43"/>
      <c r="O2029" s="43"/>
      <c r="P2029" s="43"/>
      <c r="Q2029" s="43"/>
      <c r="R2029" s="43"/>
      <c r="S2029" s="43"/>
      <c r="T2029" s="43"/>
      <c r="U2029" s="43"/>
      <c r="V2029" s="43"/>
      <c r="W2029" s="43"/>
      <c r="X2029" s="43"/>
      <c r="Y2029" s="43"/>
      <c r="Z2029" s="43"/>
    </row>
    <row r="2030" hidden="1">
      <c r="A2030" s="43"/>
      <c r="B2030" s="43"/>
      <c r="C2030" s="43"/>
      <c r="D2030" s="43"/>
      <c r="E2030" s="43"/>
      <c r="F2030" s="43"/>
      <c r="G2030" s="43"/>
      <c r="H2030" s="43"/>
      <c r="I2030" s="43"/>
      <c r="J2030" s="43"/>
      <c r="K2030" s="43"/>
      <c r="L2030" s="43"/>
      <c r="M2030" s="43"/>
      <c r="N2030" s="43"/>
      <c r="O2030" s="43"/>
      <c r="P2030" s="43"/>
      <c r="Q2030" s="43"/>
      <c r="R2030" s="43"/>
      <c r="S2030" s="43"/>
      <c r="T2030" s="43"/>
      <c r="U2030" s="43"/>
      <c r="V2030" s="43"/>
      <c r="W2030" s="43"/>
      <c r="X2030" s="43"/>
      <c r="Y2030" s="43"/>
      <c r="Z2030" s="43"/>
    </row>
    <row r="2031" hidden="1">
      <c r="A2031" s="43"/>
      <c r="B2031" s="43"/>
      <c r="C2031" s="43"/>
      <c r="D2031" s="43"/>
      <c r="E2031" s="43"/>
      <c r="F2031" s="43"/>
      <c r="G2031" s="43"/>
      <c r="H2031" s="43"/>
      <c r="I2031" s="43"/>
      <c r="J2031" s="43"/>
      <c r="K2031" s="43"/>
      <c r="L2031" s="43"/>
      <c r="M2031" s="43"/>
      <c r="N2031" s="43"/>
      <c r="O2031" s="43"/>
      <c r="P2031" s="43"/>
      <c r="Q2031" s="43"/>
      <c r="R2031" s="43"/>
      <c r="S2031" s="43"/>
      <c r="T2031" s="43"/>
      <c r="U2031" s="43"/>
      <c r="V2031" s="43"/>
      <c r="W2031" s="43"/>
      <c r="X2031" s="43"/>
      <c r="Y2031" s="43"/>
      <c r="Z2031" s="43"/>
    </row>
    <row r="2032" hidden="1">
      <c r="A2032" s="43"/>
      <c r="B2032" s="43"/>
      <c r="C2032" s="43"/>
      <c r="D2032" s="43"/>
      <c r="E2032" s="43"/>
      <c r="F2032" s="43"/>
      <c r="G2032" s="43"/>
      <c r="H2032" s="43"/>
      <c r="I2032" s="43"/>
      <c r="J2032" s="43"/>
      <c r="K2032" s="43"/>
      <c r="L2032" s="43"/>
      <c r="M2032" s="43"/>
      <c r="N2032" s="43"/>
      <c r="O2032" s="43"/>
      <c r="P2032" s="43"/>
      <c r="Q2032" s="43"/>
      <c r="R2032" s="43"/>
      <c r="S2032" s="43"/>
      <c r="T2032" s="43"/>
      <c r="U2032" s="43"/>
      <c r="V2032" s="43"/>
      <c r="W2032" s="43"/>
      <c r="X2032" s="43"/>
      <c r="Y2032" s="43"/>
      <c r="Z2032" s="43"/>
    </row>
    <row r="2033" hidden="1">
      <c r="A2033" s="43"/>
      <c r="B2033" s="43"/>
      <c r="C2033" s="43"/>
      <c r="D2033" s="43"/>
      <c r="E2033" s="43"/>
      <c r="F2033" s="43"/>
      <c r="G2033" s="43"/>
      <c r="H2033" s="43"/>
      <c r="I2033" s="43"/>
      <c r="J2033" s="43"/>
      <c r="K2033" s="43"/>
      <c r="L2033" s="43"/>
      <c r="M2033" s="43"/>
      <c r="N2033" s="43"/>
      <c r="O2033" s="43"/>
      <c r="P2033" s="43"/>
      <c r="Q2033" s="43"/>
      <c r="R2033" s="43"/>
      <c r="S2033" s="43"/>
      <c r="T2033" s="43"/>
      <c r="U2033" s="43"/>
      <c r="V2033" s="43"/>
      <c r="W2033" s="43"/>
      <c r="X2033" s="43"/>
      <c r="Y2033" s="43"/>
      <c r="Z2033" s="43"/>
    </row>
    <row r="2034" hidden="1">
      <c r="A2034" s="43"/>
      <c r="B2034" s="43"/>
      <c r="C2034" s="43"/>
      <c r="D2034" s="43"/>
      <c r="E2034" s="43"/>
      <c r="F2034" s="43"/>
      <c r="G2034" s="43"/>
      <c r="H2034" s="43"/>
      <c r="I2034" s="43"/>
      <c r="J2034" s="43"/>
      <c r="K2034" s="43"/>
      <c r="L2034" s="43"/>
      <c r="M2034" s="43"/>
      <c r="N2034" s="43"/>
      <c r="O2034" s="43"/>
      <c r="P2034" s="43"/>
      <c r="Q2034" s="43"/>
      <c r="R2034" s="43"/>
      <c r="S2034" s="43"/>
      <c r="T2034" s="43"/>
      <c r="U2034" s="43"/>
      <c r="V2034" s="43"/>
      <c r="W2034" s="43"/>
      <c r="X2034" s="43"/>
      <c r="Y2034" s="43"/>
      <c r="Z2034" s="43"/>
    </row>
    <row r="2035" hidden="1">
      <c r="A2035" s="43"/>
      <c r="B2035" s="43"/>
      <c r="C2035" s="43"/>
      <c r="D2035" s="43"/>
      <c r="E2035" s="43"/>
      <c r="F2035" s="43"/>
      <c r="G2035" s="43"/>
      <c r="H2035" s="43"/>
      <c r="I2035" s="43"/>
      <c r="J2035" s="43"/>
      <c r="K2035" s="43"/>
      <c r="L2035" s="43"/>
      <c r="M2035" s="43"/>
      <c r="N2035" s="43"/>
      <c r="O2035" s="43"/>
      <c r="P2035" s="43"/>
      <c r="Q2035" s="43"/>
      <c r="R2035" s="43"/>
      <c r="S2035" s="43"/>
      <c r="T2035" s="43"/>
      <c r="U2035" s="43"/>
      <c r="V2035" s="43"/>
      <c r="W2035" s="43"/>
      <c r="X2035" s="43"/>
      <c r="Y2035" s="43"/>
      <c r="Z2035" s="43"/>
    </row>
    <row r="2036" hidden="1">
      <c r="A2036" s="43"/>
      <c r="B2036" s="43"/>
      <c r="C2036" s="43"/>
      <c r="D2036" s="43"/>
      <c r="E2036" s="43"/>
      <c r="F2036" s="43"/>
      <c r="G2036" s="43"/>
      <c r="H2036" s="43"/>
      <c r="I2036" s="43"/>
      <c r="J2036" s="43"/>
      <c r="K2036" s="43"/>
      <c r="L2036" s="43"/>
      <c r="M2036" s="43"/>
      <c r="N2036" s="43"/>
      <c r="O2036" s="43"/>
      <c r="P2036" s="43"/>
      <c r="Q2036" s="43"/>
      <c r="R2036" s="43"/>
      <c r="S2036" s="43"/>
      <c r="T2036" s="43"/>
      <c r="U2036" s="43"/>
      <c r="V2036" s="43"/>
      <c r="W2036" s="43"/>
      <c r="X2036" s="43"/>
      <c r="Y2036" s="43"/>
      <c r="Z2036" s="43"/>
    </row>
    <row r="2037" hidden="1">
      <c r="A2037" s="43"/>
      <c r="B2037" s="43"/>
      <c r="C2037" s="43"/>
      <c r="D2037" s="43"/>
      <c r="E2037" s="43"/>
      <c r="F2037" s="43"/>
      <c r="G2037" s="43"/>
      <c r="H2037" s="43"/>
      <c r="I2037" s="43"/>
      <c r="J2037" s="43"/>
      <c r="K2037" s="43"/>
      <c r="L2037" s="43"/>
      <c r="M2037" s="43"/>
      <c r="N2037" s="43"/>
      <c r="O2037" s="43"/>
      <c r="P2037" s="43"/>
      <c r="Q2037" s="43"/>
      <c r="R2037" s="43"/>
      <c r="S2037" s="43"/>
      <c r="T2037" s="43"/>
      <c r="U2037" s="43"/>
      <c r="V2037" s="43"/>
      <c r="W2037" s="43"/>
      <c r="X2037" s="43"/>
      <c r="Y2037" s="43"/>
      <c r="Z2037" s="43"/>
    </row>
    <row r="2038" hidden="1">
      <c r="A2038" s="43"/>
      <c r="B2038" s="43"/>
      <c r="C2038" s="43"/>
      <c r="D2038" s="43"/>
      <c r="E2038" s="43"/>
      <c r="F2038" s="43"/>
      <c r="G2038" s="43"/>
      <c r="H2038" s="43"/>
      <c r="I2038" s="43"/>
      <c r="J2038" s="43"/>
      <c r="K2038" s="43"/>
      <c r="L2038" s="43"/>
      <c r="M2038" s="43"/>
      <c r="N2038" s="43"/>
      <c r="O2038" s="43"/>
      <c r="P2038" s="43"/>
      <c r="Q2038" s="43"/>
      <c r="R2038" s="43"/>
      <c r="S2038" s="43"/>
      <c r="T2038" s="43"/>
      <c r="U2038" s="43"/>
      <c r="V2038" s="43"/>
      <c r="W2038" s="43"/>
      <c r="X2038" s="43"/>
      <c r="Y2038" s="43"/>
      <c r="Z2038" s="43"/>
    </row>
    <row r="2039" hidden="1">
      <c r="A2039" s="43"/>
      <c r="B2039" s="43"/>
      <c r="C2039" s="43"/>
      <c r="D2039" s="43"/>
      <c r="E2039" s="43"/>
      <c r="F2039" s="43"/>
      <c r="G2039" s="43"/>
      <c r="H2039" s="43"/>
      <c r="I2039" s="43"/>
      <c r="J2039" s="43"/>
      <c r="K2039" s="43"/>
      <c r="L2039" s="43"/>
      <c r="M2039" s="43"/>
      <c r="N2039" s="43"/>
      <c r="O2039" s="43"/>
      <c r="P2039" s="43"/>
      <c r="Q2039" s="43"/>
      <c r="R2039" s="43"/>
      <c r="S2039" s="43"/>
      <c r="T2039" s="43"/>
      <c r="U2039" s="43"/>
      <c r="V2039" s="43"/>
      <c r="W2039" s="43"/>
      <c r="X2039" s="43"/>
      <c r="Y2039" s="43"/>
      <c r="Z2039" s="43"/>
    </row>
    <row r="2040" hidden="1">
      <c r="A2040" s="43"/>
      <c r="B2040" s="43"/>
      <c r="C2040" s="43"/>
      <c r="D2040" s="43"/>
      <c r="E2040" s="43"/>
      <c r="F2040" s="43"/>
      <c r="G2040" s="43"/>
      <c r="H2040" s="43"/>
      <c r="I2040" s="43"/>
      <c r="J2040" s="43"/>
      <c r="K2040" s="43"/>
      <c r="L2040" s="43"/>
      <c r="M2040" s="43"/>
      <c r="N2040" s="43"/>
      <c r="O2040" s="43"/>
      <c r="P2040" s="43"/>
      <c r="Q2040" s="43"/>
      <c r="R2040" s="43"/>
      <c r="S2040" s="43"/>
      <c r="T2040" s="43"/>
      <c r="U2040" s="43"/>
      <c r="V2040" s="43"/>
      <c r="W2040" s="43"/>
      <c r="X2040" s="43"/>
      <c r="Y2040" s="43"/>
      <c r="Z2040" s="43"/>
    </row>
    <row r="2041" hidden="1">
      <c r="A2041" s="43"/>
      <c r="B2041" s="43"/>
      <c r="C2041" s="43"/>
      <c r="D2041" s="43"/>
      <c r="E2041" s="43"/>
      <c r="F2041" s="43"/>
      <c r="G2041" s="43"/>
      <c r="H2041" s="43"/>
      <c r="I2041" s="43"/>
      <c r="J2041" s="43"/>
      <c r="K2041" s="43"/>
      <c r="L2041" s="43"/>
      <c r="M2041" s="43"/>
      <c r="N2041" s="43"/>
      <c r="O2041" s="43"/>
      <c r="P2041" s="43"/>
      <c r="Q2041" s="43"/>
      <c r="R2041" s="43"/>
      <c r="S2041" s="43"/>
      <c r="T2041" s="43"/>
      <c r="U2041" s="43"/>
      <c r="V2041" s="43"/>
      <c r="W2041" s="43"/>
      <c r="X2041" s="43"/>
      <c r="Y2041" s="43"/>
      <c r="Z2041" s="43"/>
    </row>
    <row r="2042" hidden="1">
      <c r="A2042" s="43"/>
      <c r="B2042" s="43"/>
      <c r="C2042" s="43"/>
      <c r="D2042" s="43"/>
      <c r="E2042" s="43"/>
      <c r="F2042" s="43"/>
      <c r="G2042" s="43"/>
      <c r="H2042" s="43"/>
      <c r="I2042" s="43"/>
      <c r="J2042" s="43"/>
      <c r="K2042" s="43"/>
      <c r="L2042" s="43"/>
      <c r="M2042" s="43"/>
      <c r="N2042" s="43"/>
      <c r="O2042" s="43"/>
      <c r="P2042" s="43"/>
      <c r="Q2042" s="43"/>
      <c r="R2042" s="43"/>
      <c r="S2042" s="43"/>
      <c r="T2042" s="43"/>
      <c r="U2042" s="43"/>
      <c r="V2042" s="43"/>
      <c r="W2042" s="43"/>
      <c r="X2042" s="43"/>
      <c r="Y2042" s="43"/>
      <c r="Z2042" s="43"/>
    </row>
    <row r="2043" hidden="1">
      <c r="A2043" s="43"/>
      <c r="B2043" s="43"/>
      <c r="C2043" s="43"/>
      <c r="D2043" s="43"/>
      <c r="E2043" s="43"/>
      <c r="F2043" s="43"/>
      <c r="G2043" s="43"/>
      <c r="H2043" s="43"/>
      <c r="I2043" s="43"/>
      <c r="J2043" s="43"/>
      <c r="K2043" s="43"/>
      <c r="L2043" s="43"/>
      <c r="M2043" s="43"/>
      <c r="N2043" s="43"/>
      <c r="O2043" s="43"/>
      <c r="P2043" s="43"/>
      <c r="Q2043" s="43"/>
      <c r="R2043" s="43"/>
      <c r="S2043" s="43"/>
      <c r="T2043" s="43"/>
      <c r="U2043" s="43"/>
      <c r="V2043" s="43"/>
      <c r="W2043" s="43"/>
      <c r="X2043" s="43"/>
      <c r="Y2043" s="43"/>
      <c r="Z2043" s="43"/>
    </row>
    <row r="2044" hidden="1">
      <c r="A2044" s="43"/>
      <c r="B2044" s="43"/>
      <c r="C2044" s="43"/>
      <c r="D2044" s="43"/>
      <c r="E2044" s="43"/>
      <c r="F2044" s="43"/>
      <c r="G2044" s="43"/>
      <c r="H2044" s="43"/>
      <c r="I2044" s="43"/>
      <c r="J2044" s="43"/>
      <c r="K2044" s="43"/>
      <c r="L2044" s="43"/>
      <c r="M2044" s="43"/>
      <c r="N2044" s="43"/>
      <c r="O2044" s="43"/>
      <c r="P2044" s="43"/>
      <c r="Q2044" s="43"/>
      <c r="R2044" s="43"/>
      <c r="S2044" s="43"/>
      <c r="T2044" s="43"/>
      <c r="U2044" s="43"/>
      <c r="V2044" s="43"/>
      <c r="W2044" s="43"/>
      <c r="X2044" s="43"/>
      <c r="Y2044" s="43"/>
      <c r="Z2044" s="43"/>
    </row>
    <row r="2045" hidden="1">
      <c r="A2045" s="43"/>
      <c r="B2045" s="43"/>
      <c r="C2045" s="43"/>
      <c r="D2045" s="43"/>
      <c r="E2045" s="43"/>
      <c r="F2045" s="43"/>
      <c r="G2045" s="43"/>
      <c r="H2045" s="43"/>
      <c r="I2045" s="43"/>
      <c r="J2045" s="43"/>
      <c r="K2045" s="43"/>
      <c r="L2045" s="43"/>
      <c r="M2045" s="43"/>
      <c r="N2045" s="43"/>
      <c r="O2045" s="43"/>
      <c r="P2045" s="43"/>
      <c r="Q2045" s="43"/>
      <c r="R2045" s="43"/>
      <c r="S2045" s="43"/>
      <c r="T2045" s="43"/>
      <c r="U2045" s="43"/>
      <c r="V2045" s="43"/>
      <c r="W2045" s="43"/>
      <c r="X2045" s="43"/>
      <c r="Y2045" s="43"/>
      <c r="Z2045" s="43"/>
    </row>
    <row r="2046" hidden="1">
      <c r="A2046" s="43"/>
      <c r="B2046" s="43"/>
      <c r="C2046" s="43"/>
      <c r="D2046" s="43"/>
      <c r="E2046" s="43"/>
      <c r="F2046" s="43"/>
      <c r="G2046" s="43"/>
      <c r="H2046" s="43"/>
      <c r="I2046" s="43"/>
      <c r="J2046" s="43"/>
      <c r="K2046" s="43"/>
      <c r="L2046" s="43"/>
      <c r="M2046" s="43"/>
      <c r="N2046" s="43"/>
      <c r="O2046" s="43"/>
      <c r="P2046" s="43"/>
      <c r="Q2046" s="43"/>
      <c r="R2046" s="43"/>
      <c r="S2046" s="43"/>
      <c r="T2046" s="43"/>
      <c r="U2046" s="43"/>
      <c r="V2046" s="43"/>
      <c r="W2046" s="43"/>
      <c r="X2046" s="43"/>
      <c r="Y2046" s="43"/>
      <c r="Z2046" s="43"/>
    </row>
    <row r="2047" hidden="1">
      <c r="A2047" s="43"/>
      <c r="B2047" s="43"/>
      <c r="C2047" s="43"/>
      <c r="D2047" s="43"/>
      <c r="E2047" s="43"/>
      <c r="F2047" s="43"/>
      <c r="G2047" s="43"/>
      <c r="H2047" s="43"/>
      <c r="I2047" s="43"/>
      <c r="J2047" s="43"/>
      <c r="K2047" s="43"/>
      <c r="L2047" s="43"/>
      <c r="M2047" s="43"/>
      <c r="N2047" s="43"/>
      <c r="O2047" s="43"/>
      <c r="P2047" s="43"/>
      <c r="Q2047" s="43"/>
      <c r="R2047" s="43"/>
      <c r="S2047" s="43"/>
      <c r="T2047" s="43"/>
      <c r="U2047" s="43"/>
      <c r="V2047" s="43"/>
      <c r="W2047" s="43"/>
      <c r="X2047" s="43"/>
      <c r="Y2047" s="43"/>
      <c r="Z2047" s="43"/>
    </row>
    <row r="2048" hidden="1">
      <c r="A2048" s="43"/>
      <c r="B2048" s="43"/>
      <c r="C2048" s="43"/>
      <c r="D2048" s="43"/>
      <c r="E2048" s="43"/>
      <c r="F2048" s="43"/>
      <c r="G2048" s="43"/>
      <c r="H2048" s="43"/>
      <c r="I2048" s="43"/>
      <c r="J2048" s="43"/>
      <c r="K2048" s="43"/>
      <c r="L2048" s="43"/>
      <c r="M2048" s="43"/>
      <c r="N2048" s="43"/>
      <c r="O2048" s="43"/>
      <c r="P2048" s="43"/>
      <c r="Q2048" s="43"/>
      <c r="R2048" s="43"/>
      <c r="S2048" s="43"/>
      <c r="T2048" s="43"/>
      <c r="U2048" s="43"/>
      <c r="V2048" s="43"/>
      <c r="W2048" s="43"/>
      <c r="X2048" s="43"/>
      <c r="Y2048" s="43"/>
      <c r="Z2048" s="43"/>
    </row>
    <row r="2049" hidden="1">
      <c r="A2049" s="43"/>
      <c r="B2049" s="43"/>
      <c r="C2049" s="43"/>
      <c r="D2049" s="43"/>
      <c r="E2049" s="43"/>
      <c r="F2049" s="43"/>
      <c r="G2049" s="43"/>
      <c r="H2049" s="43"/>
      <c r="I2049" s="43"/>
      <c r="J2049" s="43"/>
      <c r="K2049" s="43"/>
      <c r="L2049" s="43"/>
      <c r="M2049" s="43"/>
      <c r="N2049" s="43"/>
      <c r="O2049" s="43"/>
      <c r="P2049" s="43"/>
      <c r="Q2049" s="43"/>
      <c r="R2049" s="43"/>
      <c r="S2049" s="43"/>
      <c r="T2049" s="43"/>
      <c r="U2049" s="43"/>
      <c r="V2049" s="43"/>
      <c r="W2049" s="43"/>
      <c r="X2049" s="43"/>
      <c r="Y2049" s="43"/>
      <c r="Z2049" s="43"/>
    </row>
    <row r="2050" hidden="1">
      <c r="A2050" s="43"/>
      <c r="B2050" s="43"/>
      <c r="C2050" s="43"/>
      <c r="D2050" s="43"/>
      <c r="E2050" s="43"/>
      <c r="F2050" s="43"/>
      <c r="G2050" s="43"/>
      <c r="H2050" s="43"/>
      <c r="I2050" s="43"/>
      <c r="J2050" s="43"/>
      <c r="K2050" s="43"/>
      <c r="L2050" s="43"/>
      <c r="M2050" s="43"/>
      <c r="N2050" s="43"/>
      <c r="O2050" s="43"/>
      <c r="P2050" s="43"/>
      <c r="Q2050" s="43"/>
      <c r="R2050" s="43"/>
      <c r="S2050" s="43"/>
      <c r="T2050" s="43"/>
      <c r="U2050" s="43"/>
      <c r="V2050" s="43"/>
      <c r="W2050" s="43"/>
      <c r="X2050" s="43"/>
      <c r="Y2050" s="43"/>
      <c r="Z2050" s="43"/>
    </row>
    <row r="2051" hidden="1">
      <c r="A2051" s="43"/>
      <c r="B2051" s="43"/>
      <c r="C2051" s="43"/>
      <c r="D2051" s="43"/>
      <c r="E2051" s="43"/>
      <c r="F2051" s="43"/>
      <c r="G2051" s="43"/>
      <c r="H2051" s="43"/>
      <c r="I2051" s="43"/>
      <c r="J2051" s="43"/>
      <c r="K2051" s="43"/>
      <c r="L2051" s="43"/>
      <c r="M2051" s="43"/>
      <c r="N2051" s="43"/>
      <c r="O2051" s="43"/>
      <c r="P2051" s="43"/>
      <c r="Q2051" s="43"/>
      <c r="R2051" s="43"/>
      <c r="S2051" s="43"/>
      <c r="T2051" s="43"/>
      <c r="U2051" s="43"/>
      <c r="V2051" s="43"/>
      <c r="W2051" s="43"/>
      <c r="X2051" s="43"/>
      <c r="Y2051" s="43"/>
      <c r="Z2051" s="43"/>
    </row>
    <row r="2052" hidden="1">
      <c r="A2052" s="43"/>
      <c r="B2052" s="43"/>
      <c r="C2052" s="43"/>
      <c r="D2052" s="43"/>
      <c r="E2052" s="43"/>
      <c r="F2052" s="43"/>
      <c r="G2052" s="43"/>
      <c r="H2052" s="43"/>
      <c r="I2052" s="43"/>
      <c r="J2052" s="43"/>
      <c r="K2052" s="43"/>
      <c r="L2052" s="43"/>
      <c r="M2052" s="43"/>
      <c r="N2052" s="43"/>
      <c r="O2052" s="43"/>
      <c r="P2052" s="43"/>
      <c r="Q2052" s="43"/>
      <c r="R2052" s="43"/>
      <c r="S2052" s="43"/>
      <c r="T2052" s="43"/>
      <c r="U2052" s="43"/>
      <c r="V2052" s="43"/>
      <c r="W2052" s="43"/>
      <c r="X2052" s="43"/>
      <c r="Y2052" s="43"/>
      <c r="Z2052" s="43"/>
    </row>
    <row r="2053" hidden="1">
      <c r="A2053" s="43"/>
      <c r="B2053" s="43"/>
      <c r="C2053" s="43"/>
      <c r="D2053" s="43"/>
      <c r="E2053" s="43"/>
      <c r="F2053" s="43"/>
      <c r="G2053" s="43"/>
      <c r="H2053" s="43"/>
      <c r="I2053" s="43"/>
      <c r="J2053" s="43"/>
      <c r="K2053" s="43"/>
      <c r="L2053" s="43"/>
      <c r="M2053" s="43"/>
      <c r="N2053" s="43"/>
      <c r="O2053" s="43"/>
      <c r="P2053" s="43"/>
      <c r="Q2053" s="43"/>
      <c r="R2053" s="43"/>
      <c r="S2053" s="43"/>
      <c r="T2053" s="43"/>
      <c r="U2053" s="43"/>
      <c r="V2053" s="43"/>
      <c r="W2053" s="43"/>
      <c r="X2053" s="43"/>
      <c r="Y2053" s="43"/>
      <c r="Z2053" s="43"/>
    </row>
    <row r="2054" hidden="1">
      <c r="A2054" s="43"/>
      <c r="B2054" s="43"/>
      <c r="C2054" s="43"/>
      <c r="D2054" s="43"/>
      <c r="E2054" s="43"/>
      <c r="F2054" s="43"/>
      <c r="G2054" s="43"/>
      <c r="H2054" s="43"/>
      <c r="I2054" s="43"/>
      <c r="J2054" s="43"/>
      <c r="K2054" s="43"/>
      <c r="L2054" s="43"/>
      <c r="M2054" s="43"/>
      <c r="N2054" s="43"/>
      <c r="O2054" s="43"/>
      <c r="P2054" s="43"/>
      <c r="Q2054" s="43"/>
      <c r="R2054" s="43"/>
      <c r="S2054" s="43"/>
      <c r="T2054" s="43"/>
      <c r="U2054" s="43"/>
      <c r="V2054" s="43"/>
      <c r="W2054" s="43"/>
      <c r="X2054" s="43"/>
      <c r="Y2054" s="43"/>
      <c r="Z2054" s="43"/>
    </row>
    <row r="2055" hidden="1">
      <c r="A2055" s="43"/>
      <c r="B2055" s="43"/>
      <c r="C2055" s="43"/>
      <c r="D2055" s="43"/>
      <c r="E2055" s="43"/>
      <c r="F2055" s="43"/>
      <c r="G2055" s="43"/>
      <c r="H2055" s="43"/>
      <c r="I2055" s="43"/>
      <c r="J2055" s="43"/>
      <c r="K2055" s="43"/>
      <c r="L2055" s="43"/>
      <c r="M2055" s="43"/>
      <c r="N2055" s="43"/>
      <c r="O2055" s="43"/>
      <c r="P2055" s="43"/>
      <c r="Q2055" s="43"/>
      <c r="R2055" s="43"/>
      <c r="S2055" s="43"/>
      <c r="T2055" s="43"/>
      <c r="U2055" s="43"/>
      <c r="V2055" s="43"/>
      <c r="W2055" s="43"/>
      <c r="X2055" s="43"/>
      <c r="Y2055" s="43"/>
      <c r="Z2055" s="43"/>
    </row>
    <row r="2056" hidden="1">
      <c r="A2056" s="43"/>
      <c r="B2056" s="43"/>
      <c r="C2056" s="43"/>
      <c r="D2056" s="43"/>
      <c r="E2056" s="43"/>
      <c r="F2056" s="43"/>
      <c r="G2056" s="43"/>
      <c r="H2056" s="43"/>
      <c r="I2056" s="43"/>
      <c r="J2056" s="43"/>
      <c r="K2056" s="43"/>
      <c r="L2056" s="43"/>
      <c r="M2056" s="43"/>
      <c r="N2056" s="43"/>
      <c r="O2056" s="43"/>
      <c r="P2056" s="43"/>
      <c r="Q2056" s="43"/>
      <c r="R2056" s="43"/>
      <c r="S2056" s="43"/>
      <c r="T2056" s="43"/>
      <c r="U2056" s="43"/>
      <c r="V2056" s="43"/>
      <c r="W2056" s="43"/>
      <c r="X2056" s="43"/>
      <c r="Y2056" s="43"/>
      <c r="Z2056" s="43"/>
    </row>
    <row r="2057" hidden="1">
      <c r="A2057" s="43"/>
      <c r="B2057" s="43"/>
      <c r="C2057" s="43"/>
      <c r="D2057" s="43"/>
      <c r="E2057" s="43"/>
      <c r="F2057" s="43"/>
      <c r="G2057" s="43"/>
      <c r="H2057" s="43"/>
      <c r="I2057" s="43"/>
      <c r="J2057" s="43"/>
      <c r="K2057" s="43"/>
      <c r="L2057" s="43"/>
      <c r="M2057" s="43"/>
      <c r="N2057" s="43"/>
      <c r="O2057" s="43"/>
      <c r="P2057" s="43"/>
      <c r="Q2057" s="43"/>
      <c r="R2057" s="43"/>
      <c r="S2057" s="43"/>
      <c r="T2057" s="43"/>
      <c r="U2057" s="43"/>
      <c r="V2057" s="43"/>
      <c r="W2057" s="43"/>
      <c r="X2057" s="43"/>
      <c r="Y2057" s="43"/>
      <c r="Z2057" s="43"/>
    </row>
    <row r="2058" hidden="1">
      <c r="A2058" s="43"/>
      <c r="B2058" s="43"/>
      <c r="C2058" s="43"/>
      <c r="D2058" s="43"/>
      <c r="E2058" s="43"/>
      <c r="F2058" s="43"/>
      <c r="G2058" s="43"/>
      <c r="H2058" s="43"/>
      <c r="I2058" s="43"/>
      <c r="J2058" s="43"/>
      <c r="K2058" s="43"/>
      <c r="L2058" s="43"/>
      <c r="M2058" s="43"/>
      <c r="N2058" s="43"/>
      <c r="O2058" s="43"/>
      <c r="P2058" s="43"/>
      <c r="Q2058" s="43"/>
      <c r="R2058" s="43"/>
      <c r="S2058" s="43"/>
      <c r="T2058" s="43"/>
      <c r="U2058" s="43"/>
      <c r="V2058" s="43"/>
      <c r="W2058" s="43"/>
      <c r="X2058" s="43"/>
      <c r="Y2058" s="43"/>
      <c r="Z2058" s="43"/>
    </row>
    <row r="2059" hidden="1">
      <c r="A2059" s="43"/>
      <c r="B2059" s="43"/>
      <c r="C2059" s="43"/>
      <c r="D2059" s="43"/>
      <c r="E2059" s="43"/>
      <c r="F2059" s="43"/>
      <c r="G2059" s="43"/>
      <c r="H2059" s="43"/>
      <c r="I2059" s="43"/>
      <c r="J2059" s="43"/>
      <c r="K2059" s="43"/>
      <c r="L2059" s="43"/>
      <c r="M2059" s="43"/>
      <c r="N2059" s="43"/>
      <c r="O2059" s="43"/>
      <c r="P2059" s="43"/>
      <c r="Q2059" s="43"/>
      <c r="R2059" s="43"/>
      <c r="S2059" s="43"/>
      <c r="T2059" s="43"/>
      <c r="U2059" s="43"/>
      <c r="V2059" s="43"/>
      <c r="W2059" s="43"/>
      <c r="X2059" s="43"/>
      <c r="Y2059" s="43"/>
      <c r="Z2059" s="43"/>
    </row>
    <row r="2060" hidden="1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  <c r="U2060" s="43"/>
      <c r="V2060" s="43"/>
      <c r="W2060" s="43"/>
      <c r="X2060" s="43"/>
      <c r="Y2060" s="43"/>
      <c r="Z2060" s="43"/>
    </row>
    <row r="2061" hidden="1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  <c r="U2061" s="43"/>
      <c r="V2061" s="43"/>
      <c r="W2061" s="43"/>
      <c r="X2061" s="43"/>
      <c r="Y2061" s="43"/>
      <c r="Z2061" s="43"/>
    </row>
    <row r="2062" hidden="1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  <c r="U2062" s="43"/>
      <c r="V2062" s="43"/>
      <c r="W2062" s="43"/>
      <c r="X2062" s="43"/>
      <c r="Y2062" s="43"/>
      <c r="Z2062" s="43"/>
    </row>
    <row r="2063" hidden="1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  <c r="U2063" s="43"/>
      <c r="V2063" s="43"/>
      <c r="W2063" s="43"/>
      <c r="X2063" s="43"/>
      <c r="Y2063" s="43"/>
      <c r="Z2063" s="43"/>
    </row>
    <row r="2064" hidden="1">
      <c r="A2064" s="43"/>
      <c r="B2064" s="43"/>
      <c r="C2064" s="43"/>
      <c r="D2064" s="43"/>
      <c r="E2064" s="43"/>
      <c r="F2064" s="43"/>
      <c r="G2064" s="43"/>
      <c r="H2064" s="43"/>
      <c r="I2064" s="43"/>
      <c r="J2064" s="43"/>
      <c r="K2064" s="43"/>
      <c r="L2064" s="43"/>
      <c r="M2064" s="43"/>
      <c r="N2064" s="43"/>
      <c r="O2064" s="43"/>
      <c r="P2064" s="43"/>
      <c r="Q2064" s="43"/>
      <c r="R2064" s="43"/>
      <c r="S2064" s="43"/>
      <c r="T2064" s="43"/>
      <c r="U2064" s="43"/>
      <c r="V2064" s="43"/>
      <c r="W2064" s="43"/>
      <c r="X2064" s="43"/>
      <c r="Y2064" s="43"/>
      <c r="Z2064" s="43"/>
    </row>
    <row r="2065" hidden="1">
      <c r="A2065" s="43"/>
      <c r="B2065" s="43"/>
      <c r="C2065" s="43"/>
      <c r="D2065" s="43"/>
      <c r="E2065" s="43"/>
      <c r="F2065" s="43"/>
      <c r="G2065" s="43"/>
      <c r="H2065" s="43"/>
      <c r="I2065" s="43"/>
      <c r="J2065" s="43"/>
      <c r="K2065" s="43"/>
      <c r="L2065" s="43"/>
      <c r="M2065" s="43"/>
      <c r="N2065" s="43"/>
      <c r="O2065" s="43"/>
      <c r="P2065" s="43"/>
      <c r="Q2065" s="43"/>
      <c r="R2065" s="43"/>
      <c r="S2065" s="43"/>
      <c r="T2065" s="43"/>
      <c r="U2065" s="43"/>
      <c r="V2065" s="43"/>
      <c r="W2065" s="43"/>
      <c r="X2065" s="43"/>
      <c r="Y2065" s="43"/>
      <c r="Z2065" s="43"/>
    </row>
    <row r="2066" hidden="1">
      <c r="A2066" s="43"/>
      <c r="B2066" s="43"/>
      <c r="C2066" s="43"/>
      <c r="D2066" s="43"/>
      <c r="E2066" s="43"/>
      <c r="F2066" s="43"/>
      <c r="G2066" s="43"/>
      <c r="H2066" s="43"/>
      <c r="I2066" s="43"/>
      <c r="J2066" s="43"/>
      <c r="K2066" s="43"/>
      <c r="L2066" s="43"/>
      <c r="M2066" s="43"/>
      <c r="N2066" s="43"/>
      <c r="O2066" s="43"/>
      <c r="P2066" s="43"/>
      <c r="Q2066" s="43"/>
      <c r="R2066" s="43"/>
      <c r="S2066" s="43"/>
      <c r="T2066" s="43"/>
      <c r="U2066" s="43"/>
      <c r="V2066" s="43"/>
      <c r="W2066" s="43"/>
      <c r="X2066" s="43"/>
      <c r="Y2066" s="43"/>
      <c r="Z2066" s="43"/>
    </row>
    <row r="2067" hidden="1">
      <c r="A2067" s="43"/>
      <c r="B2067" s="43"/>
      <c r="C2067" s="43"/>
      <c r="D2067" s="43"/>
      <c r="E2067" s="43"/>
      <c r="F2067" s="43"/>
      <c r="G2067" s="43"/>
      <c r="H2067" s="43"/>
      <c r="I2067" s="43"/>
      <c r="J2067" s="43"/>
      <c r="K2067" s="43"/>
      <c r="L2067" s="43"/>
      <c r="M2067" s="43"/>
      <c r="N2067" s="43"/>
      <c r="O2067" s="43"/>
      <c r="P2067" s="43"/>
      <c r="Q2067" s="43"/>
      <c r="R2067" s="43"/>
      <c r="S2067" s="43"/>
      <c r="T2067" s="43"/>
      <c r="U2067" s="43"/>
      <c r="V2067" s="43"/>
      <c r="W2067" s="43"/>
      <c r="X2067" s="43"/>
      <c r="Y2067" s="43"/>
      <c r="Z2067" s="43"/>
    </row>
    <row r="2068" hidden="1">
      <c r="A2068" s="43"/>
      <c r="B2068" s="43"/>
      <c r="C2068" s="43"/>
      <c r="D2068" s="43"/>
      <c r="E2068" s="43"/>
      <c r="F2068" s="43"/>
      <c r="G2068" s="43"/>
      <c r="H2068" s="43"/>
      <c r="I2068" s="43"/>
      <c r="J2068" s="43"/>
      <c r="K2068" s="43"/>
      <c r="L2068" s="43"/>
      <c r="M2068" s="43"/>
      <c r="N2068" s="43"/>
      <c r="O2068" s="43"/>
      <c r="P2068" s="43"/>
      <c r="Q2068" s="43"/>
      <c r="R2068" s="43"/>
      <c r="S2068" s="43"/>
      <c r="T2068" s="43"/>
      <c r="U2068" s="43"/>
      <c r="V2068" s="43"/>
      <c r="W2068" s="43"/>
      <c r="X2068" s="43"/>
      <c r="Y2068" s="43"/>
      <c r="Z2068" s="43"/>
    </row>
    <row r="2069" hidden="1">
      <c r="A2069" s="43"/>
      <c r="B2069" s="43"/>
      <c r="C2069" s="43"/>
      <c r="D2069" s="43"/>
      <c r="E2069" s="43"/>
      <c r="F2069" s="43"/>
      <c r="G2069" s="43"/>
      <c r="H2069" s="43"/>
      <c r="I2069" s="43"/>
      <c r="J2069" s="43"/>
      <c r="K2069" s="43"/>
      <c r="L2069" s="43"/>
      <c r="M2069" s="43"/>
      <c r="N2069" s="43"/>
      <c r="O2069" s="43"/>
      <c r="P2069" s="43"/>
      <c r="Q2069" s="43"/>
      <c r="R2069" s="43"/>
      <c r="S2069" s="43"/>
      <c r="T2069" s="43"/>
      <c r="U2069" s="43"/>
      <c r="V2069" s="43"/>
      <c r="W2069" s="43"/>
      <c r="X2069" s="43"/>
      <c r="Y2069" s="43"/>
      <c r="Z2069" s="43"/>
    </row>
    <row r="2070" hidden="1">
      <c r="A2070" s="43"/>
      <c r="B2070" s="43"/>
      <c r="C2070" s="43"/>
      <c r="D2070" s="43"/>
      <c r="E2070" s="43"/>
      <c r="F2070" s="43"/>
      <c r="G2070" s="43"/>
      <c r="H2070" s="43"/>
      <c r="I2070" s="43"/>
      <c r="J2070" s="43"/>
      <c r="K2070" s="43"/>
      <c r="L2070" s="43"/>
      <c r="M2070" s="43"/>
      <c r="N2070" s="43"/>
      <c r="O2070" s="43"/>
      <c r="P2070" s="43"/>
      <c r="Q2070" s="43"/>
      <c r="R2070" s="43"/>
      <c r="S2070" s="43"/>
      <c r="T2070" s="43"/>
      <c r="U2070" s="43"/>
      <c r="V2070" s="43"/>
      <c r="W2070" s="43"/>
      <c r="X2070" s="43"/>
      <c r="Y2070" s="43"/>
      <c r="Z2070" s="43"/>
    </row>
    <row r="2071" hidden="1">
      <c r="A2071" s="43"/>
      <c r="B2071" s="43"/>
      <c r="C2071" s="43"/>
      <c r="D2071" s="43"/>
      <c r="E2071" s="43"/>
      <c r="F2071" s="43"/>
      <c r="G2071" s="43"/>
      <c r="H2071" s="43"/>
      <c r="I2071" s="43"/>
      <c r="J2071" s="43"/>
      <c r="K2071" s="43"/>
      <c r="L2071" s="43"/>
      <c r="M2071" s="43"/>
      <c r="N2071" s="43"/>
      <c r="O2071" s="43"/>
      <c r="P2071" s="43"/>
      <c r="Q2071" s="43"/>
      <c r="R2071" s="43"/>
      <c r="S2071" s="43"/>
      <c r="T2071" s="43"/>
      <c r="U2071" s="43"/>
      <c r="V2071" s="43"/>
      <c r="W2071" s="43"/>
      <c r="X2071" s="43"/>
      <c r="Y2071" s="43"/>
      <c r="Z2071" s="43"/>
    </row>
    <row r="2072" hidden="1">
      <c r="A2072" s="43"/>
      <c r="B2072" s="43"/>
      <c r="C2072" s="43"/>
      <c r="D2072" s="43"/>
      <c r="E2072" s="43"/>
      <c r="F2072" s="43"/>
      <c r="G2072" s="43"/>
      <c r="H2072" s="43"/>
      <c r="I2072" s="43"/>
      <c r="J2072" s="43"/>
      <c r="K2072" s="43"/>
      <c r="L2072" s="43"/>
      <c r="M2072" s="43"/>
      <c r="N2072" s="43"/>
      <c r="O2072" s="43"/>
      <c r="P2072" s="43"/>
      <c r="Q2072" s="43"/>
      <c r="R2072" s="43"/>
      <c r="S2072" s="43"/>
      <c r="T2072" s="43"/>
      <c r="U2072" s="43"/>
      <c r="V2072" s="43"/>
      <c r="W2072" s="43"/>
      <c r="X2072" s="43"/>
      <c r="Y2072" s="43"/>
      <c r="Z2072" s="43"/>
    </row>
    <row r="2073" hidden="1">
      <c r="A2073" s="43"/>
      <c r="B2073" s="43"/>
      <c r="C2073" s="43"/>
      <c r="D2073" s="43"/>
      <c r="E2073" s="43"/>
      <c r="F2073" s="43"/>
      <c r="G2073" s="43"/>
      <c r="H2073" s="43"/>
      <c r="I2073" s="43"/>
      <c r="J2073" s="43"/>
      <c r="K2073" s="43"/>
      <c r="L2073" s="43"/>
      <c r="M2073" s="43"/>
      <c r="N2073" s="43"/>
      <c r="O2073" s="43"/>
      <c r="P2073" s="43"/>
      <c r="Q2073" s="43"/>
      <c r="R2073" s="43"/>
      <c r="S2073" s="43"/>
      <c r="T2073" s="43"/>
      <c r="U2073" s="43"/>
      <c r="V2073" s="43"/>
      <c r="W2073" s="43"/>
      <c r="X2073" s="43"/>
      <c r="Y2073" s="43"/>
      <c r="Z2073" s="43"/>
    </row>
    <row r="2074" hidden="1">
      <c r="A2074" s="43"/>
      <c r="B2074" s="43"/>
      <c r="C2074" s="43"/>
      <c r="D2074" s="43"/>
      <c r="E2074" s="43"/>
      <c r="F2074" s="43"/>
      <c r="G2074" s="43"/>
      <c r="H2074" s="43"/>
      <c r="I2074" s="43"/>
      <c r="J2074" s="43"/>
      <c r="K2074" s="43"/>
      <c r="L2074" s="43"/>
      <c r="M2074" s="43"/>
      <c r="N2074" s="43"/>
      <c r="O2074" s="43"/>
      <c r="P2074" s="43"/>
      <c r="Q2074" s="43"/>
      <c r="R2074" s="43"/>
      <c r="S2074" s="43"/>
      <c r="T2074" s="43"/>
      <c r="U2074" s="43"/>
      <c r="V2074" s="43"/>
      <c r="W2074" s="43"/>
      <c r="X2074" s="43"/>
      <c r="Y2074" s="43"/>
      <c r="Z2074" s="43"/>
    </row>
    <row r="2075" hidden="1">
      <c r="A2075" s="43"/>
      <c r="B2075" s="43"/>
      <c r="C2075" s="43"/>
      <c r="D2075" s="43"/>
      <c r="E2075" s="43"/>
      <c r="F2075" s="43"/>
      <c r="G2075" s="43"/>
      <c r="H2075" s="43"/>
      <c r="I2075" s="43"/>
      <c r="J2075" s="43"/>
      <c r="K2075" s="43"/>
      <c r="L2075" s="43"/>
      <c r="M2075" s="43"/>
      <c r="N2075" s="43"/>
      <c r="O2075" s="43"/>
      <c r="P2075" s="43"/>
      <c r="Q2075" s="43"/>
      <c r="R2075" s="43"/>
      <c r="S2075" s="43"/>
      <c r="T2075" s="43"/>
      <c r="U2075" s="43"/>
      <c r="V2075" s="43"/>
      <c r="W2075" s="43"/>
      <c r="X2075" s="43"/>
      <c r="Y2075" s="43"/>
      <c r="Z2075" s="43"/>
    </row>
    <row r="2076" hidden="1">
      <c r="A2076" s="43"/>
      <c r="B2076" s="43"/>
      <c r="C2076" s="43"/>
      <c r="D2076" s="43"/>
      <c r="E2076" s="43"/>
      <c r="F2076" s="43"/>
      <c r="G2076" s="43"/>
      <c r="H2076" s="43"/>
      <c r="I2076" s="43"/>
      <c r="J2076" s="43"/>
      <c r="K2076" s="43"/>
      <c r="L2076" s="43"/>
      <c r="M2076" s="43"/>
      <c r="N2076" s="43"/>
      <c r="O2076" s="43"/>
      <c r="P2076" s="43"/>
      <c r="Q2076" s="43"/>
      <c r="R2076" s="43"/>
      <c r="S2076" s="43"/>
      <c r="T2076" s="43"/>
      <c r="U2076" s="43"/>
      <c r="V2076" s="43"/>
      <c r="W2076" s="43"/>
      <c r="X2076" s="43"/>
      <c r="Y2076" s="43"/>
      <c r="Z2076" s="43"/>
    </row>
    <row r="2077" hidden="1">
      <c r="A2077" s="43"/>
      <c r="B2077" s="43"/>
      <c r="C2077" s="43"/>
      <c r="D2077" s="43"/>
      <c r="E2077" s="43"/>
      <c r="F2077" s="43"/>
      <c r="G2077" s="43"/>
      <c r="H2077" s="43"/>
      <c r="I2077" s="43"/>
      <c r="J2077" s="43"/>
      <c r="K2077" s="43"/>
      <c r="L2077" s="43"/>
      <c r="M2077" s="43"/>
      <c r="N2077" s="43"/>
      <c r="O2077" s="43"/>
      <c r="P2077" s="43"/>
      <c r="Q2077" s="43"/>
      <c r="R2077" s="43"/>
      <c r="S2077" s="43"/>
      <c r="T2077" s="43"/>
      <c r="U2077" s="43"/>
      <c r="V2077" s="43"/>
      <c r="W2077" s="43"/>
      <c r="X2077" s="43"/>
      <c r="Y2077" s="43"/>
      <c r="Z2077" s="43"/>
    </row>
    <row r="2078" hidden="1">
      <c r="A2078" s="43"/>
      <c r="B2078" s="43"/>
      <c r="C2078" s="43"/>
      <c r="D2078" s="43"/>
      <c r="E2078" s="43"/>
      <c r="F2078" s="43"/>
      <c r="G2078" s="43"/>
      <c r="H2078" s="43"/>
      <c r="I2078" s="43"/>
      <c r="J2078" s="43"/>
      <c r="K2078" s="43"/>
      <c r="L2078" s="43"/>
      <c r="M2078" s="43"/>
      <c r="N2078" s="43"/>
      <c r="O2078" s="43"/>
      <c r="P2078" s="43"/>
      <c r="Q2078" s="43"/>
      <c r="R2078" s="43"/>
      <c r="S2078" s="43"/>
      <c r="T2078" s="43"/>
      <c r="U2078" s="43"/>
      <c r="V2078" s="43"/>
      <c r="W2078" s="43"/>
      <c r="X2078" s="43"/>
      <c r="Y2078" s="43"/>
      <c r="Z2078" s="43"/>
    </row>
    <row r="2079" hidden="1">
      <c r="A2079" s="43"/>
      <c r="B2079" s="43"/>
      <c r="C2079" s="43"/>
      <c r="D2079" s="43"/>
      <c r="E2079" s="43"/>
      <c r="F2079" s="43"/>
      <c r="G2079" s="43"/>
      <c r="H2079" s="43"/>
      <c r="I2079" s="43"/>
      <c r="J2079" s="43"/>
      <c r="K2079" s="43"/>
      <c r="L2079" s="43"/>
      <c r="M2079" s="43"/>
      <c r="N2079" s="43"/>
      <c r="O2079" s="43"/>
      <c r="P2079" s="43"/>
      <c r="Q2079" s="43"/>
      <c r="R2079" s="43"/>
      <c r="S2079" s="43"/>
      <c r="T2079" s="43"/>
      <c r="U2079" s="43"/>
      <c r="V2079" s="43"/>
      <c r="W2079" s="43"/>
      <c r="X2079" s="43"/>
      <c r="Y2079" s="43"/>
      <c r="Z2079" s="43"/>
    </row>
    <row r="2080" hidden="1">
      <c r="A2080" s="43"/>
      <c r="B2080" s="43"/>
      <c r="C2080" s="43"/>
      <c r="D2080" s="43"/>
      <c r="E2080" s="43"/>
      <c r="F2080" s="43"/>
      <c r="G2080" s="43"/>
      <c r="H2080" s="43"/>
      <c r="I2080" s="43"/>
      <c r="J2080" s="43"/>
      <c r="K2080" s="43"/>
      <c r="L2080" s="43"/>
      <c r="M2080" s="43"/>
      <c r="N2080" s="43"/>
      <c r="O2080" s="43"/>
      <c r="P2080" s="43"/>
      <c r="Q2080" s="43"/>
      <c r="R2080" s="43"/>
      <c r="S2080" s="43"/>
      <c r="T2080" s="43"/>
      <c r="U2080" s="43"/>
      <c r="V2080" s="43"/>
      <c r="W2080" s="43"/>
      <c r="X2080" s="43"/>
      <c r="Y2080" s="43"/>
      <c r="Z2080" s="43"/>
    </row>
    <row r="2081" hidden="1">
      <c r="A2081" s="43"/>
      <c r="B2081" s="43"/>
      <c r="C2081" s="43"/>
      <c r="D2081" s="43"/>
      <c r="E2081" s="43"/>
      <c r="F2081" s="43"/>
      <c r="G2081" s="43"/>
      <c r="H2081" s="43"/>
      <c r="I2081" s="43"/>
      <c r="J2081" s="43"/>
      <c r="K2081" s="43"/>
      <c r="L2081" s="43"/>
      <c r="M2081" s="43"/>
      <c r="N2081" s="43"/>
      <c r="O2081" s="43"/>
      <c r="P2081" s="43"/>
      <c r="Q2081" s="43"/>
      <c r="R2081" s="43"/>
      <c r="S2081" s="43"/>
      <c r="T2081" s="43"/>
      <c r="U2081" s="43"/>
      <c r="V2081" s="43"/>
      <c r="W2081" s="43"/>
      <c r="X2081" s="43"/>
      <c r="Y2081" s="43"/>
      <c r="Z2081" s="43"/>
    </row>
    <row r="2082" hidden="1">
      <c r="A2082" s="43"/>
      <c r="B2082" s="43"/>
      <c r="C2082" s="43"/>
      <c r="D2082" s="43"/>
      <c r="E2082" s="43"/>
      <c r="F2082" s="43"/>
      <c r="G2082" s="43"/>
      <c r="H2082" s="43"/>
      <c r="I2082" s="43"/>
      <c r="J2082" s="43"/>
      <c r="K2082" s="43"/>
      <c r="L2082" s="43"/>
      <c r="M2082" s="43"/>
      <c r="N2082" s="43"/>
      <c r="O2082" s="43"/>
      <c r="P2082" s="43"/>
      <c r="Q2082" s="43"/>
      <c r="R2082" s="43"/>
      <c r="S2082" s="43"/>
      <c r="T2082" s="43"/>
      <c r="U2082" s="43"/>
      <c r="V2082" s="43"/>
      <c r="W2082" s="43"/>
      <c r="X2082" s="43"/>
      <c r="Y2082" s="43"/>
      <c r="Z2082" s="43"/>
    </row>
    <row r="2083" hidden="1">
      <c r="A2083" s="43"/>
      <c r="B2083" s="43"/>
      <c r="C2083" s="43"/>
      <c r="D2083" s="43"/>
      <c r="E2083" s="43"/>
      <c r="F2083" s="43"/>
      <c r="G2083" s="43"/>
      <c r="H2083" s="43"/>
      <c r="I2083" s="43"/>
      <c r="J2083" s="43"/>
      <c r="K2083" s="43"/>
      <c r="L2083" s="43"/>
      <c r="M2083" s="43"/>
      <c r="N2083" s="43"/>
      <c r="O2083" s="43"/>
      <c r="P2083" s="43"/>
      <c r="Q2083" s="43"/>
      <c r="R2083" s="43"/>
      <c r="S2083" s="43"/>
      <c r="T2083" s="43"/>
      <c r="U2083" s="43"/>
      <c r="V2083" s="43"/>
      <c r="W2083" s="43"/>
      <c r="X2083" s="43"/>
      <c r="Y2083" s="43"/>
      <c r="Z2083" s="43"/>
    </row>
    <row r="2084" hidden="1">
      <c r="A2084" s="43"/>
      <c r="B2084" s="43"/>
      <c r="C2084" s="43"/>
      <c r="D2084" s="43"/>
      <c r="E2084" s="43"/>
      <c r="F2084" s="43"/>
      <c r="G2084" s="43"/>
      <c r="H2084" s="43"/>
      <c r="I2084" s="43"/>
      <c r="J2084" s="43"/>
      <c r="K2084" s="43"/>
      <c r="L2084" s="43"/>
      <c r="M2084" s="43"/>
      <c r="N2084" s="43"/>
      <c r="O2084" s="43"/>
      <c r="P2084" s="43"/>
      <c r="Q2084" s="43"/>
      <c r="R2084" s="43"/>
      <c r="S2084" s="43"/>
      <c r="T2084" s="43"/>
      <c r="U2084" s="43"/>
      <c r="V2084" s="43"/>
      <c r="W2084" s="43"/>
      <c r="X2084" s="43"/>
      <c r="Y2084" s="43"/>
      <c r="Z2084" s="43"/>
    </row>
    <row r="2085" hidden="1">
      <c r="A2085" s="43"/>
      <c r="B2085" s="43"/>
      <c r="C2085" s="43"/>
      <c r="D2085" s="43"/>
      <c r="E2085" s="43"/>
      <c r="F2085" s="43"/>
      <c r="G2085" s="43"/>
      <c r="H2085" s="43"/>
      <c r="I2085" s="43"/>
      <c r="J2085" s="43"/>
      <c r="K2085" s="43"/>
      <c r="L2085" s="43"/>
      <c r="M2085" s="43"/>
      <c r="N2085" s="43"/>
      <c r="O2085" s="43"/>
      <c r="P2085" s="43"/>
      <c r="Q2085" s="43"/>
      <c r="R2085" s="43"/>
      <c r="S2085" s="43"/>
      <c r="T2085" s="43"/>
      <c r="U2085" s="43"/>
      <c r="V2085" s="43"/>
      <c r="W2085" s="43"/>
      <c r="X2085" s="43"/>
      <c r="Y2085" s="43"/>
      <c r="Z2085" s="43"/>
    </row>
    <row r="2086" hidden="1">
      <c r="A2086" s="43"/>
      <c r="B2086" s="43"/>
      <c r="C2086" s="43"/>
      <c r="D2086" s="43"/>
      <c r="E2086" s="43"/>
      <c r="F2086" s="43"/>
      <c r="G2086" s="43"/>
      <c r="H2086" s="43"/>
      <c r="I2086" s="43"/>
      <c r="J2086" s="43"/>
      <c r="K2086" s="43"/>
      <c r="L2086" s="43"/>
      <c r="M2086" s="43"/>
      <c r="N2086" s="43"/>
      <c r="O2086" s="43"/>
      <c r="P2086" s="43"/>
      <c r="Q2086" s="43"/>
      <c r="R2086" s="43"/>
      <c r="S2086" s="43"/>
      <c r="T2086" s="43"/>
      <c r="U2086" s="43"/>
      <c r="V2086" s="43"/>
      <c r="W2086" s="43"/>
      <c r="X2086" s="43"/>
      <c r="Y2086" s="43"/>
      <c r="Z2086" s="43"/>
    </row>
    <row r="2087" hidden="1">
      <c r="A2087" s="43"/>
      <c r="B2087" s="43"/>
      <c r="C2087" s="43"/>
      <c r="D2087" s="43"/>
      <c r="E2087" s="43"/>
      <c r="F2087" s="43"/>
      <c r="G2087" s="43"/>
      <c r="H2087" s="43"/>
      <c r="I2087" s="43"/>
      <c r="J2087" s="43"/>
      <c r="K2087" s="43"/>
      <c r="L2087" s="43"/>
      <c r="M2087" s="43"/>
      <c r="N2087" s="43"/>
      <c r="O2087" s="43"/>
      <c r="P2087" s="43"/>
      <c r="Q2087" s="43"/>
      <c r="R2087" s="43"/>
      <c r="S2087" s="43"/>
      <c r="T2087" s="43"/>
      <c r="U2087" s="43"/>
      <c r="V2087" s="43"/>
      <c r="W2087" s="43"/>
      <c r="X2087" s="43"/>
      <c r="Y2087" s="43"/>
      <c r="Z2087" s="43"/>
    </row>
    <row r="2088" hidden="1">
      <c r="A2088" s="43"/>
      <c r="B2088" s="43"/>
      <c r="C2088" s="43"/>
      <c r="D2088" s="43"/>
      <c r="E2088" s="43"/>
      <c r="F2088" s="43"/>
      <c r="G2088" s="43"/>
      <c r="H2088" s="43"/>
      <c r="I2088" s="43"/>
      <c r="J2088" s="43"/>
      <c r="K2088" s="43"/>
      <c r="L2088" s="43"/>
      <c r="M2088" s="43"/>
      <c r="N2088" s="43"/>
      <c r="O2088" s="43"/>
      <c r="P2088" s="43"/>
      <c r="Q2088" s="43"/>
      <c r="R2088" s="43"/>
      <c r="S2088" s="43"/>
      <c r="T2088" s="43"/>
      <c r="U2088" s="43"/>
      <c r="V2088" s="43"/>
      <c r="W2088" s="43"/>
      <c r="X2088" s="43"/>
      <c r="Y2088" s="43"/>
      <c r="Z2088" s="43"/>
    </row>
    <row r="2089" hidden="1">
      <c r="A2089" s="43"/>
      <c r="B2089" s="43"/>
      <c r="C2089" s="43"/>
      <c r="D2089" s="43"/>
      <c r="E2089" s="43"/>
      <c r="F2089" s="43"/>
      <c r="G2089" s="43"/>
      <c r="H2089" s="43"/>
      <c r="I2089" s="43"/>
      <c r="J2089" s="43"/>
      <c r="K2089" s="43"/>
      <c r="L2089" s="43"/>
      <c r="M2089" s="43"/>
      <c r="N2089" s="43"/>
      <c r="O2089" s="43"/>
      <c r="P2089" s="43"/>
      <c r="Q2089" s="43"/>
      <c r="R2089" s="43"/>
      <c r="S2089" s="43"/>
      <c r="T2089" s="43"/>
      <c r="U2089" s="43"/>
      <c r="V2089" s="43"/>
      <c r="W2089" s="43"/>
      <c r="X2089" s="43"/>
      <c r="Y2089" s="43"/>
      <c r="Z2089" s="43"/>
    </row>
    <row r="2090" hidden="1">
      <c r="A2090" s="43"/>
      <c r="B2090" s="43"/>
      <c r="C2090" s="43"/>
      <c r="D2090" s="43"/>
      <c r="E2090" s="43"/>
      <c r="F2090" s="43"/>
      <c r="G2090" s="43"/>
      <c r="H2090" s="43"/>
      <c r="I2090" s="43"/>
      <c r="J2090" s="43"/>
      <c r="K2090" s="43"/>
      <c r="L2090" s="43"/>
      <c r="M2090" s="43"/>
      <c r="N2090" s="43"/>
      <c r="O2090" s="43"/>
      <c r="P2090" s="43"/>
      <c r="Q2090" s="43"/>
      <c r="R2090" s="43"/>
      <c r="S2090" s="43"/>
      <c r="T2090" s="43"/>
      <c r="U2090" s="43"/>
      <c r="V2090" s="43"/>
      <c r="W2090" s="43"/>
      <c r="X2090" s="43"/>
      <c r="Y2090" s="43"/>
      <c r="Z2090" s="43"/>
    </row>
    <row r="2091" hidden="1">
      <c r="A2091" s="43"/>
      <c r="B2091" s="43"/>
      <c r="C2091" s="43"/>
      <c r="D2091" s="43"/>
      <c r="E2091" s="43"/>
      <c r="F2091" s="43"/>
      <c r="G2091" s="43"/>
      <c r="H2091" s="43"/>
      <c r="I2091" s="43"/>
      <c r="J2091" s="43"/>
      <c r="K2091" s="43"/>
      <c r="L2091" s="43"/>
      <c r="M2091" s="43"/>
      <c r="N2091" s="43"/>
      <c r="O2091" s="43"/>
      <c r="P2091" s="43"/>
      <c r="Q2091" s="43"/>
      <c r="R2091" s="43"/>
      <c r="S2091" s="43"/>
      <c r="T2091" s="43"/>
      <c r="U2091" s="43"/>
      <c r="V2091" s="43"/>
      <c r="W2091" s="43"/>
      <c r="X2091" s="43"/>
      <c r="Y2091" s="43"/>
      <c r="Z2091" s="43"/>
    </row>
    <row r="2092" hidden="1">
      <c r="A2092" s="43"/>
      <c r="B2092" s="43"/>
      <c r="C2092" s="43"/>
      <c r="D2092" s="43"/>
      <c r="E2092" s="43"/>
      <c r="F2092" s="43"/>
      <c r="G2092" s="43"/>
      <c r="H2092" s="43"/>
      <c r="I2092" s="43"/>
      <c r="J2092" s="43"/>
      <c r="K2092" s="43"/>
      <c r="L2092" s="43"/>
      <c r="M2092" s="43"/>
      <c r="N2092" s="43"/>
      <c r="O2092" s="43"/>
      <c r="P2092" s="43"/>
      <c r="Q2092" s="43"/>
      <c r="R2092" s="43"/>
      <c r="S2092" s="43"/>
      <c r="T2092" s="43"/>
      <c r="U2092" s="43"/>
      <c r="V2092" s="43"/>
      <c r="W2092" s="43"/>
      <c r="X2092" s="43"/>
      <c r="Y2092" s="43"/>
      <c r="Z2092" s="43"/>
    </row>
    <row r="2093" hidden="1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  <c r="U2093" s="43"/>
      <c r="V2093" s="43"/>
      <c r="W2093" s="43"/>
      <c r="X2093" s="43"/>
      <c r="Y2093" s="43"/>
      <c r="Z2093" s="43"/>
    </row>
    <row r="2094" hidden="1">
      <c r="A2094" s="43"/>
      <c r="B2094" s="43"/>
      <c r="C2094" s="43"/>
      <c r="D2094" s="43"/>
      <c r="E2094" s="43"/>
      <c r="F2094" s="43"/>
      <c r="G2094" s="43"/>
      <c r="H2094" s="43"/>
      <c r="I2094" s="43"/>
      <c r="J2094" s="43"/>
      <c r="K2094" s="43"/>
      <c r="L2094" s="43"/>
      <c r="M2094" s="43"/>
      <c r="N2094" s="43"/>
      <c r="O2094" s="43"/>
      <c r="P2094" s="43"/>
      <c r="Q2094" s="43"/>
      <c r="R2094" s="43"/>
      <c r="S2094" s="43"/>
      <c r="T2094" s="43"/>
      <c r="U2094" s="43"/>
      <c r="V2094" s="43"/>
      <c r="W2094" s="43"/>
      <c r="X2094" s="43"/>
      <c r="Y2094" s="43"/>
      <c r="Z2094" s="43"/>
    </row>
    <row r="2095" hidden="1">
      <c r="A2095" s="43"/>
      <c r="B2095" s="43"/>
      <c r="C2095" s="43"/>
      <c r="D2095" s="43"/>
      <c r="E2095" s="43"/>
      <c r="F2095" s="43"/>
      <c r="G2095" s="43"/>
      <c r="H2095" s="43"/>
      <c r="I2095" s="43"/>
      <c r="J2095" s="43"/>
      <c r="K2095" s="43"/>
      <c r="L2095" s="43"/>
      <c r="M2095" s="43"/>
      <c r="N2095" s="43"/>
      <c r="O2095" s="43"/>
      <c r="P2095" s="43"/>
      <c r="Q2095" s="43"/>
      <c r="R2095" s="43"/>
      <c r="S2095" s="43"/>
      <c r="T2095" s="43"/>
      <c r="U2095" s="43"/>
      <c r="V2095" s="43"/>
      <c r="W2095" s="43"/>
      <c r="X2095" s="43"/>
      <c r="Y2095" s="43"/>
      <c r="Z2095" s="43"/>
    </row>
    <row r="2096" hidden="1">
      <c r="A2096" s="43"/>
      <c r="B2096" s="43"/>
      <c r="C2096" s="43"/>
      <c r="D2096" s="43"/>
      <c r="E2096" s="43"/>
      <c r="F2096" s="43"/>
      <c r="G2096" s="43"/>
      <c r="H2096" s="43"/>
      <c r="I2096" s="43"/>
      <c r="J2096" s="43"/>
      <c r="K2096" s="43"/>
      <c r="L2096" s="43"/>
      <c r="M2096" s="43"/>
      <c r="N2096" s="43"/>
      <c r="O2096" s="43"/>
      <c r="P2096" s="43"/>
      <c r="Q2096" s="43"/>
      <c r="R2096" s="43"/>
      <c r="S2096" s="43"/>
      <c r="T2096" s="43"/>
      <c r="U2096" s="43"/>
      <c r="V2096" s="43"/>
      <c r="W2096" s="43"/>
      <c r="X2096" s="43"/>
      <c r="Y2096" s="43"/>
      <c r="Z2096" s="43"/>
    </row>
    <row r="2097" hidden="1">
      <c r="A2097" s="43"/>
      <c r="B2097" s="43"/>
      <c r="C2097" s="43"/>
      <c r="D2097" s="43"/>
      <c r="E2097" s="43"/>
      <c r="F2097" s="43"/>
      <c r="G2097" s="43"/>
      <c r="H2097" s="43"/>
      <c r="I2097" s="43"/>
      <c r="J2097" s="43"/>
      <c r="K2097" s="43"/>
      <c r="L2097" s="43"/>
      <c r="M2097" s="43"/>
      <c r="N2097" s="43"/>
      <c r="O2097" s="43"/>
      <c r="P2097" s="43"/>
      <c r="Q2097" s="43"/>
      <c r="R2097" s="43"/>
      <c r="S2097" s="43"/>
      <c r="T2097" s="43"/>
      <c r="U2097" s="43"/>
      <c r="V2097" s="43"/>
      <c r="W2097" s="43"/>
      <c r="X2097" s="43"/>
      <c r="Y2097" s="43"/>
      <c r="Z2097" s="43"/>
    </row>
    <row r="2098" hidden="1">
      <c r="A2098" s="43"/>
      <c r="B2098" s="43"/>
      <c r="C2098" s="43"/>
      <c r="D2098" s="43"/>
      <c r="E2098" s="43"/>
      <c r="F2098" s="43"/>
      <c r="G2098" s="43"/>
      <c r="H2098" s="43"/>
      <c r="I2098" s="43"/>
      <c r="J2098" s="43"/>
      <c r="K2098" s="43"/>
      <c r="L2098" s="43"/>
      <c r="M2098" s="43"/>
      <c r="N2098" s="43"/>
      <c r="O2098" s="43"/>
      <c r="P2098" s="43"/>
      <c r="Q2098" s="43"/>
      <c r="R2098" s="43"/>
      <c r="S2098" s="43"/>
      <c r="T2098" s="43"/>
      <c r="U2098" s="43"/>
      <c r="V2098" s="43"/>
      <c r="W2098" s="43"/>
      <c r="X2098" s="43"/>
      <c r="Y2098" s="43"/>
      <c r="Z2098" s="43"/>
    </row>
    <row r="2099" hidden="1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  <c r="U2099" s="43"/>
      <c r="V2099" s="43"/>
      <c r="W2099" s="43"/>
      <c r="X2099" s="43"/>
      <c r="Y2099" s="43"/>
      <c r="Z2099" s="43"/>
    </row>
  </sheetData>
  <autoFilter ref="$A$1:$Z$2099">
    <filterColumn colId="2">
      <filters>
        <filter val="approved"/>
      </filters>
    </filterColumn>
    <filterColumn colId="14">
      <filters blank="1">
        <filter val="2022-12-12"/>
        <filter val="2023-05-07"/>
        <filter val="2022-12-11"/>
        <filter val="2023-05-08"/>
        <filter val="2022-12-05"/>
        <filter val="2022-12-04"/>
        <filter val="2023-05-15"/>
        <filter val="2023-05-11"/>
        <filter val="2023-05-12"/>
        <filter val="2022-12-01"/>
        <filter val="2023-05-24"/>
        <filter val="2023-05-25"/>
        <filter val="2024-09-09"/>
        <filter val="2022-11-28"/>
        <filter val="2023-05-22"/>
        <filter val="2023-05-29"/>
        <filter val="2023-06-04"/>
        <filter val="2022-12-28"/>
        <filter val="2022-12-27"/>
        <filter val="2023-06-06"/>
        <filter val="2023-06-05"/>
        <filter val="2022-12-29"/>
        <filter val="2022-12-20"/>
        <filter val="2022-12-23"/>
        <filter val="2023-06-07"/>
        <filter val="2022-12-17"/>
        <filter val="2023-06-15"/>
        <filter val="2023-06-14"/>
        <filter val="2022-12-14"/>
        <filter val="2023-06-16"/>
        <filter val="2024-03-04"/>
        <filter val="2023-06-11"/>
        <filter val="2023-06-10"/>
        <filter val="2022-12-19"/>
        <filter val="2023-06-13"/>
        <filter val="2022-12-18"/>
        <filter val="2023-06-12"/>
        <filter val="2023-03-27"/>
        <filter val="2022-10-30"/>
        <filter val="2022-10-31"/>
        <filter val="2022-10-23"/>
        <filter val="2023-03-30"/>
        <filter val="2023-04-03"/>
        <filter val="2023-09-10"/>
        <filter val="2023-04-09"/>
        <filter val="2024-05-12"/>
        <filter val="2023-04-13"/>
        <filter val="2024-05-05"/>
        <filter val="2023-09-29"/>
        <filter val="2022-10-18"/>
        <filter val="2023-09-24"/>
        <filter val="2022-10-17"/>
        <filter val="2023-09-20"/>
        <filter val="2023-09-21"/>
        <filter val="2023-10-21"/>
        <filter val="2023-04-17"/>
        <filter val="2022-11-21"/>
        <filter val="2022-11-15"/>
        <filter val="2023-04-23"/>
        <filter val="2023-04-24"/>
        <filter val="2022-11-16"/>
        <filter val="2022-11-14"/>
        <filter val="2023-04-20"/>
        <filter val="2022-11-17"/>
        <filter val="2023-10-13"/>
        <filter val="2023-04-30"/>
        <filter val="2022-11-06"/>
        <filter val="2023-05-01"/>
        <filter val="2023-02-20"/>
        <filter val="2024-01-13"/>
        <filter val="2022-09-05"/>
        <filter val="2022-09-06"/>
        <filter val="2023-02-24"/>
        <filter val="2024-01-17"/>
        <filter val="2023-07-30"/>
        <filter val="2023-02-26"/>
        <filter val="2022-08-21"/>
        <filter val="2023-03-01"/>
        <filter val="2022-08-29"/>
        <filter val="2022-08-25"/>
        <filter val="2022-08-24"/>
        <filter val="2023-03-06"/>
        <filter val="2023-03-05"/>
        <filter val="2022-10-10"/>
        <filter val="2022-10-03"/>
        <filter val="2022-09-25"/>
        <filter val="2022-09-26"/>
        <filter val="2022-10-02"/>
        <filter val="2023-03-13"/>
        <filter val="2023-03-11"/>
        <filter val="2023-08-20"/>
        <filter val="2022-09-23"/>
        <filter val="2023-03-19"/>
        <filter val="2023-03-20"/>
        <filter val="2023-09-09"/>
        <filter val="2022-09-16"/>
        <filter val="2024-05-27"/>
        <filter val="2022-09-18"/>
        <filter val="2022-09-19"/>
        <filter val="2023-09-05"/>
        <filter val="2022-09-11"/>
        <filter val="2022-09-12"/>
        <filter val="2022-09-13"/>
        <filter val="2023-01-02"/>
        <filter val="2023-06-19"/>
        <filter val="2023-01-09"/>
        <filter val="2023-06-18"/>
        <filter val="2023-06-26"/>
        <filter val="2023-06-25"/>
        <filter val="2023-06-28"/>
        <filter val="2023-01-12"/>
        <filter val="2023-06-24"/>
        <filter val="2023-06-23"/>
        <filter val="2023-06-20"/>
        <filter val="2022-07-25"/>
        <filter val="2023-01-15"/>
        <filter val="2023-01-16"/>
        <filter val="2023-01-14"/>
        <filter val="2024-02-14"/>
        <filter val="2023-07-07"/>
        <filter val="2024-02-15"/>
        <filter val="2023-01-22"/>
        <filter val="2023-01-23"/>
        <filter val="2022-07-18"/>
        <filter val="2023-06-30"/>
        <filter val="2023-01-26"/>
        <filter val="2023-01-29"/>
        <filter val="2022-08-12"/>
        <filter val="2023-01-30"/>
        <filter val="2022-08-10"/>
        <filter val="2023-07-18"/>
        <filter val="2023-02-01"/>
        <filter val="2024-02-09"/>
        <filter val="2023-07-13"/>
        <filter val="2022-08-15"/>
        <filter val="2022-08-14"/>
        <filter val="2023-02-06"/>
        <filter val="2022-08-01"/>
        <filter val="2023-07-26"/>
        <filter val="2022-07-31"/>
        <filter val="2023-02-13"/>
        <filter val="2024-01-29"/>
        <filter val="2022-08-08"/>
        <filter val="2023-07-20"/>
      </filters>
    </filterColumn>
  </autoFilter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  <hyperlink r:id="rId319" ref="K320"/>
    <hyperlink r:id="rId320" ref="K321"/>
    <hyperlink r:id="rId321" ref="K322"/>
    <hyperlink r:id="rId322" ref="K323"/>
    <hyperlink r:id="rId323" ref="K324"/>
    <hyperlink r:id="rId324" ref="K325"/>
    <hyperlink r:id="rId325" ref="K326"/>
    <hyperlink r:id="rId326" ref="K327"/>
    <hyperlink r:id="rId327" ref="K328"/>
    <hyperlink r:id="rId328" ref="K329"/>
    <hyperlink r:id="rId329" ref="K330"/>
    <hyperlink r:id="rId330" ref="K331"/>
    <hyperlink r:id="rId331" ref="K332"/>
    <hyperlink r:id="rId332" ref="K333"/>
    <hyperlink r:id="rId333" ref="K334"/>
    <hyperlink r:id="rId334" ref="K335"/>
    <hyperlink r:id="rId335" ref="K336"/>
    <hyperlink r:id="rId336" ref="K337"/>
    <hyperlink r:id="rId337" ref="K338"/>
    <hyperlink r:id="rId338" ref="K339"/>
    <hyperlink r:id="rId339" ref="K340"/>
    <hyperlink r:id="rId340" ref="K341"/>
    <hyperlink r:id="rId341" ref="K342"/>
    <hyperlink r:id="rId342" ref="K343"/>
    <hyperlink r:id="rId343" ref="K344"/>
    <hyperlink r:id="rId344" ref="K345"/>
    <hyperlink r:id="rId345" ref="K346"/>
    <hyperlink r:id="rId346" ref="K347"/>
    <hyperlink r:id="rId347" ref="K348"/>
    <hyperlink r:id="rId348" ref="K349"/>
    <hyperlink r:id="rId349" ref="K350"/>
    <hyperlink r:id="rId350" ref="K351"/>
    <hyperlink r:id="rId351" ref="K352"/>
    <hyperlink r:id="rId352" ref="K353"/>
    <hyperlink r:id="rId353" ref="K354"/>
    <hyperlink r:id="rId354" ref="K355"/>
    <hyperlink r:id="rId355" ref="K356"/>
    <hyperlink r:id="rId356" ref="K357"/>
    <hyperlink r:id="rId357" ref="K358"/>
    <hyperlink r:id="rId358" ref="K359"/>
    <hyperlink r:id="rId359" ref="K360"/>
    <hyperlink r:id="rId360" ref="K361"/>
    <hyperlink r:id="rId361" ref="K362"/>
    <hyperlink r:id="rId362" ref="K363"/>
    <hyperlink r:id="rId363" ref="K364"/>
    <hyperlink r:id="rId364" ref="K365"/>
    <hyperlink r:id="rId365" ref="K366"/>
    <hyperlink r:id="rId366" ref="K367"/>
    <hyperlink r:id="rId367" ref="K368"/>
    <hyperlink r:id="rId368" ref="K369"/>
    <hyperlink r:id="rId369" ref="K370"/>
    <hyperlink r:id="rId370" ref="K371"/>
    <hyperlink r:id="rId371" ref="K372"/>
    <hyperlink r:id="rId372" ref="K373"/>
    <hyperlink r:id="rId373" ref="K374"/>
    <hyperlink r:id="rId374" ref="K375"/>
    <hyperlink r:id="rId375" ref="K376"/>
    <hyperlink r:id="rId376" ref="K377"/>
    <hyperlink r:id="rId377" ref="K378"/>
    <hyperlink r:id="rId378" ref="K379"/>
    <hyperlink r:id="rId379" ref="K380"/>
    <hyperlink r:id="rId380" ref="K381"/>
    <hyperlink r:id="rId381" ref="K382"/>
    <hyperlink r:id="rId382" ref="K383"/>
    <hyperlink r:id="rId383" ref="K384"/>
    <hyperlink r:id="rId384" ref="K385"/>
    <hyperlink r:id="rId385" ref="K386"/>
    <hyperlink r:id="rId386" ref="K387"/>
    <hyperlink r:id="rId387" ref="K388"/>
    <hyperlink r:id="rId388" ref="K389"/>
    <hyperlink r:id="rId389" ref="K390"/>
    <hyperlink r:id="rId390" ref="K391"/>
    <hyperlink r:id="rId391" ref="K392"/>
    <hyperlink r:id="rId392" ref="K393"/>
    <hyperlink r:id="rId393" ref="K394"/>
    <hyperlink r:id="rId394" ref="K395"/>
    <hyperlink r:id="rId395" ref="K396"/>
    <hyperlink r:id="rId396" ref="K397"/>
    <hyperlink r:id="rId397" ref="K398"/>
    <hyperlink r:id="rId398" ref="K399"/>
    <hyperlink r:id="rId399" ref="K400"/>
    <hyperlink r:id="rId400" ref="K401"/>
    <hyperlink r:id="rId401" ref="K402"/>
    <hyperlink r:id="rId402" ref="K403"/>
    <hyperlink r:id="rId403" ref="K404"/>
    <hyperlink r:id="rId404" ref="K405"/>
    <hyperlink r:id="rId405" ref="K406"/>
    <hyperlink r:id="rId406" ref="K407"/>
    <hyperlink r:id="rId407" ref="K408"/>
    <hyperlink r:id="rId408" ref="K409"/>
    <hyperlink r:id="rId409" ref="K410"/>
    <hyperlink r:id="rId410" ref="K411"/>
    <hyperlink r:id="rId411" ref="K412"/>
    <hyperlink r:id="rId412" ref="K413"/>
    <hyperlink r:id="rId413" ref="K414"/>
    <hyperlink r:id="rId414" ref="K415"/>
    <hyperlink r:id="rId415" ref="K416"/>
    <hyperlink r:id="rId416" ref="K417"/>
    <hyperlink r:id="rId417" ref="K418"/>
    <hyperlink r:id="rId418" ref="K419"/>
    <hyperlink r:id="rId419" ref="K420"/>
    <hyperlink r:id="rId420" ref="K421"/>
    <hyperlink r:id="rId421" ref="K422"/>
    <hyperlink r:id="rId422" ref="K423"/>
    <hyperlink r:id="rId423" ref="K424"/>
    <hyperlink r:id="rId424" ref="K425"/>
    <hyperlink r:id="rId425" ref="K426"/>
    <hyperlink r:id="rId426" ref="K427"/>
    <hyperlink r:id="rId427" ref="K428"/>
    <hyperlink r:id="rId428" ref="K429"/>
    <hyperlink r:id="rId429" ref="K430"/>
    <hyperlink r:id="rId430" ref="K431"/>
    <hyperlink r:id="rId431" ref="K432"/>
    <hyperlink r:id="rId432" ref="K433"/>
    <hyperlink r:id="rId433" ref="K434"/>
    <hyperlink r:id="rId434" ref="K435"/>
    <hyperlink r:id="rId435" ref="K436"/>
    <hyperlink r:id="rId436" ref="K437"/>
    <hyperlink r:id="rId437" ref="K438"/>
    <hyperlink r:id="rId438" ref="K439"/>
    <hyperlink r:id="rId439" ref="K440"/>
    <hyperlink r:id="rId440" ref="K441"/>
    <hyperlink r:id="rId441" ref="K442"/>
    <hyperlink r:id="rId442" ref="K443"/>
    <hyperlink r:id="rId443" ref="K444"/>
    <hyperlink r:id="rId444" ref="K445"/>
    <hyperlink r:id="rId445" ref="K446"/>
    <hyperlink r:id="rId446" ref="K447"/>
    <hyperlink r:id="rId447" ref="K448"/>
    <hyperlink r:id="rId448" ref="K449"/>
    <hyperlink r:id="rId449" ref="K450"/>
    <hyperlink r:id="rId450" ref="K451"/>
    <hyperlink r:id="rId451" ref="K452"/>
    <hyperlink r:id="rId452" ref="K453"/>
    <hyperlink r:id="rId453" ref="K454"/>
    <hyperlink r:id="rId454" ref="K455"/>
    <hyperlink r:id="rId455" ref="K456"/>
    <hyperlink r:id="rId456" ref="K457"/>
    <hyperlink r:id="rId457" ref="K458"/>
    <hyperlink r:id="rId458" ref="K459"/>
    <hyperlink r:id="rId459" ref="K460"/>
    <hyperlink r:id="rId460" ref="K461"/>
    <hyperlink r:id="rId461" ref="K462"/>
    <hyperlink r:id="rId462" ref="K463"/>
    <hyperlink r:id="rId463" ref="K464"/>
    <hyperlink r:id="rId464" ref="K465"/>
    <hyperlink r:id="rId465" ref="K466"/>
    <hyperlink r:id="rId466" ref="K467"/>
    <hyperlink r:id="rId467" ref="K468"/>
    <hyperlink r:id="rId468" ref="K469"/>
    <hyperlink r:id="rId469" ref="K470"/>
    <hyperlink r:id="rId470" ref="K471"/>
    <hyperlink r:id="rId471" ref="K472"/>
    <hyperlink r:id="rId472" ref="K473"/>
    <hyperlink r:id="rId473" ref="K474"/>
    <hyperlink r:id="rId474" ref="K475"/>
    <hyperlink r:id="rId475" ref="K476"/>
    <hyperlink r:id="rId476" ref="K477"/>
    <hyperlink r:id="rId477" ref="K478"/>
    <hyperlink r:id="rId478" ref="K479"/>
    <hyperlink r:id="rId479" ref="K480"/>
    <hyperlink r:id="rId480" ref="K481"/>
    <hyperlink r:id="rId481" ref="K482"/>
    <hyperlink r:id="rId482" ref="K483"/>
    <hyperlink r:id="rId483" ref="K484"/>
    <hyperlink r:id="rId484" ref="K485"/>
    <hyperlink r:id="rId485" ref="K486"/>
    <hyperlink r:id="rId486" ref="K487"/>
    <hyperlink r:id="rId487" ref="K488"/>
    <hyperlink r:id="rId488" ref="K489"/>
    <hyperlink r:id="rId489" ref="K490"/>
    <hyperlink r:id="rId490" ref="K491"/>
    <hyperlink r:id="rId491" ref="K492"/>
    <hyperlink r:id="rId492" ref="K493"/>
    <hyperlink r:id="rId493" ref="K494"/>
    <hyperlink r:id="rId494" ref="K495"/>
    <hyperlink r:id="rId495" ref="K496"/>
    <hyperlink r:id="rId496" ref="K497"/>
    <hyperlink r:id="rId497" ref="K498"/>
    <hyperlink r:id="rId498" ref="K499"/>
    <hyperlink r:id="rId499" ref="K500"/>
    <hyperlink r:id="rId500" ref="K501"/>
    <hyperlink r:id="rId501" ref="K502"/>
    <hyperlink r:id="rId502" ref="K503"/>
    <hyperlink r:id="rId503" ref="K504"/>
    <hyperlink r:id="rId504" ref="K505"/>
    <hyperlink r:id="rId505" ref="K506"/>
    <hyperlink r:id="rId506" ref="K507"/>
    <hyperlink r:id="rId507" ref="K508"/>
    <hyperlink r:id="rId508" ref="K509"/>
    <hyperlink r:id="rId509" ref="K510"/>
    <hyperlink r:id="rId510" ref="K511"/>
    <hyperlink r:id="rId511" ref="K512"/>
    <hyperlink r:id="rId512" ref="K513"/>
    <hyperlink r:id="rId513" ref="K514"/>
    <hyperlink r:id="rId514" ref="K515"/>
    <hyperlink r:id="rId515" ref="K516"/>
    <hyperlink r:id="rId516" ref="K517"/>
    <hyperlink r:id="rId517" ref="K518"/>
    <hyperlink r:id="rId518" ref="K519"/>
    <hyperlink r:id="rId519" ref="K520"/>
    <hyperlink r:id="rId520" ref="K521"/>
    <hyperlink r:id="rId521" ref="K522"/>
    <hyperlink r:id="rId522" ref="K523"/>
    <hyperlink r:id="rId523" ref="K524"/>
    <hyperlink r:id="rId524" ref="K525"/>
    <hyperlink r:id="rId525" ref="K526"/>
    <hyperlink r:id="rId526" ref="K527"/>
    <hyperlink r:id="rId527" ref="K528"/>
    <hyperlink r:id="rId528" ref="K529"/>
    <hyperlink r:id="rId529" ref="K530"/>
    <hyperlink r:id="rId530" ref="K531"/>
    <hyperlink r:id="rId531" ref="K532"/>
    <hyperlink r:id="rId532" ref="K533"/>
    <hyperlink r:id="rId533" ref="K534"/>
    <hyperlink r:id="rId534" ref="K535"/>
    <hyperlink r:id="rId535" ref="K536"/>
    <hyperlink r:id="rId536" ref="K537"/>
    <hyperlink r:id="rId537" ref="K538"/>
    <hyperlink r:id="rId538" ref="K539"/>
    <hyperlink r:id="rId539" ref="K540"/>
    <hyperlink r:id="rId540" ref="K541"/>
    <hyperlink r:id="rId541" ref="K542"/>
    <hyperlink r:id="rId542" ref="K543"/>
    <hyperlink r:id="rId543" ref="K544"/>
    <hyperlink r:id="rId544" ref="K545"/>
    <hyperlink r:id="rId545" ref="K546"/>
    <hyperlink r:id="rId546" ref="K547"/>
    <hyperlink r:id="rId547" ref="K548"/>
    <hyperlink r:id="rId548" ref="K549"/>
    <hyperlink r:id="rId549" ref="K550"/>
    <hyperlink r:id="rId550" ref="K551"/>
    <hyperlink r:id="rId551" ref="K552"/>
    <hyperlink r:id="rId552" ref="K553"/>
    <hyperlink r:id="rId553" ref="K554"/>
    <hyperlink r:id="rId554" ref="K555"/>
    <hyperlink r:id="rId555" ref="K556"/>
    <hyperlink r:id="rId556" ref="K557"/>
    <hyperlink r:id="rId557" ref="K558"/>
    <hyperlink r:id="rId558" ref="K559"/>
    <hyperlink r:id="rId559" ref="K560"/>
    <hyperlink r:id="rId560" ref="K561"/>
    <hyperlink r:id="rId561" ref="K562"/>
    <hyperlink r:id="rId562" ref="K563"/>
    <hyperlink r:id="rId563" ref="K564"/>
    <hyperlink r:id="rId564" ref="K565"/>
    <hyperlink r:id="rId565" ref="K566"/>
    <hyperlink r:id="rId566" ref="K567"/>
    <hyperlink r:id="rId567" ref="K568"/>
    <hyperlink r:id="rId568" ref="K569"/>
    <hyperlink r:id="rId569" ref="K570"/>
    <hyperlink r:id="rId570" ref="K571"/>
    <hyperlink r:id="rId571" ref="K572"/>
    <hyperlink r:id="rId572" ref="K573"/>
    <hyperlink r:id="rId573" ref="K574"/>
    <hyperlink r:id="rId574" ref="K575"/>
    <hyperlink r:id="rId575" ref="K576"/>
    <hyperlink r:id="rId576" ref="K577"/>
    <hyperlink r:id="rId577" ref="K578"/>
    <hyperlink r:id="rId578" ref="K579"/>
    <hyperlink r:id="rId579" ref="K580"/>
    <hyperlink r:id="rId580" ref="K581"/>
    <hyperlink r:id="rId581" ref="K582"/>
    <hyperlink r:id="rId582" ref="K583"/>
    <hyperlink r:id="rId583" ref="K584"/>
    <hyperlink r:id="rId584" ref="K585"/>
    <hyperlink r:id="rId585" ref="K586"/>
    <hyperlink r:id="rId586" ref="K587"/>
    <hyperlink r:id="rId587" ref="K588"/>
    <hyperlink r:id="rId588" ref="K589"/>
    <hyperlink r:id="rId589" ref="K590"/>
    <hyperlink r:id="rId590" ref="K591"/>
    <hyperlink r:id="rId591" ref="K592"/>
    <hyperlink r:id="rId592" ref="K593"/>
    <hyperlink r:id="rId593" ref="K594"/>
    <hyperlink r:id="rId594" ref="K595"/>
    <hyperlink r:id="rId595" ref="K596"/>
    <hyperlink r:id="rId596" ref="K597"/>
    <hyperlink r:id="rId597" ref="K598"/>
    <hyperlink r:id="rId598" ref="K599"/>
    <hyperlink r:id="rId599" ref="K600"/>
    <hyperlink r:id="rId600" ref="K601"/>
    <hyperlink r:id="rId601" ref="K602"/>
    <hyperlink r:id="rId602" ref="K603"/>
    <hyperlink r:id="rId603" ref="K604"/>
    <hyperlink r:id="rId604" ref="K605"/>
    <hyperlink r:id="rId605" ref="K606"/>
    <hyperlink r:id="rId606" ref="K607"/>
    <hyperlink r:id="rId607" ref="K608"/>
    <hyperlink r:id="rId608" ref="K609"/>
    <hyperlink r:id="rId609" ref="K610"/>
    <hyperlink r:id="rId610" ref="K611"/>
    <hyperlink r:id="rId611" ref="K612"/>
    <hyperlink r:id="rId612" ref="K613"/>
    <hyperlink r:id="rId613" ref="K614"/>
    <hyperlink r:id="rId614" ref="K615"/>
    <hyperlink r:id="rId615" ref="K616"/>
    <hyperlink r:id="rId616" ref="K617"/>
    <hyperlink r:id="rId617" ref="K618"/>
    <hyperlink r:id="rId618" ref="K619"/>
    <hyperlink r:id="rId619" ref="K620"/>
    <hyperlink r:id="rId620" ref="K621"/>
    <hyperlink r:id="rId621" ref="K622"/>
    <hyperlink r:id="rId622" ref="K623"/>
    <hyperlink r:id="rId623" ref="K624"/>
    <hyperlink r:id="rId624" ref="K625"/>
    <hyperlink r:id="rId625" ref="K626"/>
    <hyperlink r:id="rId626" ref="K627"/>
    <hyperlink r:id="rId627" ref="K628"/>
    <hyperlink r:id="rId628" ref="K629"/>
    <hyperlink r:id="rId629" ref="K630"/>
    <hyperlink r:id="rId630" ref="K631"/>
    <hyperlink r:id="rId631" ref="K632"/>
    <hyperlink r:id="rId632" ref="K633"/>
    <hyperlink r:id="rId633" ref="K634"/>
    <hyperlink r:id="rId634" ref="K635"/>
    <hyperlink r:id="rId635" ref="K636"/>
    <hyperlink r:id="rId636" ref="K637"/>
    <hyperlink r:id="rId637" ref="K638"/>
    <hyperlink r:id="rId638" ref="K639"/>
    <hyperlink r:id="rId639" ref="K640"/>
    <hyperlink r:id="rId640" ref="K641"/>
    <hyperlink r:id="rId641" ref="K642"/>
    <hyperlink r:id="rId642" ref="K643"/>
    <hyperlink r:id="rId643" ref="K644"/>
    <hyperlink r:id="rId644" ref="K645"/>
    <hyperlink r:id="rId645" ref="K646"/>
    <hyperlink r:id="rId646" ref="K647"/>
    <hyperlink r:id="rId647" ref="K648"/>
    <hyperlink r:id="rId648" ref="K649"/>
    <hyperlink r:id="rId649" ref="K650"/>
    <hyperlink r:id="rId650" ref="K651"/>
    <hyperlink r:id="rId651" ref="K652"/>
    <hyperlink r:id="rId652" ref="K653"/>
    <hyperlink r:id="rId653" ref="K654"/>
    <hyperlink r:id="rId654" ref="K655"/>
    <hyperlink r:id="rId655" ref="K656"/>
    <hyperlink r:id="rId656" ref="K657"/>
    <hyperlink r:id="rId657" ref="K658"/>
    <hyperlink r:id="rId658" ref="K659"/>
    <hyperlink r:id="rId659" ref="K660"/>
    <hyperlink r:id="rId660" ref="K661"/>
    <hyperlink r:id="rId661" ref="K662"/>
    <hyperlink r:id="rId662" ref="K663"/>
    <hyperlink r:id="rId663" ref="K664"/>
    <hyperlink r:id="rId664" ref="K665"/>
    <hyperlink r:id="rId665" ref="K666"/>
    <hyperlink r:id="rId666" ref="K667"/>
    <hyperlink r:id="rId667" ref="K668"/>
    <hyperlink r:id="rId668" ref="K669"/>
    <hyperlink r:id="rId669" ref="K670"/>
    <hyperlink r:id="rId670" ref="K671"/>
    <hyperlink r:id="rId671" ref="K672"/>
    <hyperlink r:id="rId672" ref="K673"/>
    <hyperlink r:id="rId673" ref="K674"/>
    <hyperlink r:id="rId674" ref="K675"/>
    <hyperlink r:id="rId675" ref="K676"/>
    <hyperlink r:id="rId676" ref="K677"/>
    <hyperlink r:id="rId677" ref="K678"/>
    <hyperlink r:id="rId678" ref="K679"/>
    <hyperlink r:id="rId679" ref="K680"/>
    <hyperlink r:id="rId680" ref="K681"/>
    <hyperlink r:id="rId681" ref="K682"/>
    <hyperlink r:id="rId682" ref="K683"/>
    <hyperlink r:id="rId683" ref="K684"/>
    <hyperlink r:id="rId684" ref="K685"/>
    <hyperlink r:id="rId685" ref="K686"/>
    <hyperlink r:id="rId686" ref="K687"/>
    <hyperlink r:id="rId687" ref="K688"/>
    <hyperlink r:id="rId688" ref="K689"/>
    <hyperlink r:id="rId689" ref="K690"/>
    <hyperlink r:id="rId690" ref="K691"/>
    <hyperlink r:id="rId691" ref="K692"/>
    <hyperlink r:id="rId692" ref="K693"/>
    <hyperlink r:id="rId693" ref="K694"/>
    <hyperlink r:id="rId694" ref="K695"/>
    <hyperlink r:id="rId695" ref="K696"/>
    <hyperlink r:id="rId696" ref="K697"/>
    <hyperlink r:id="rId697" ref="K698"/>
    <hyperlink r:id="rId698" ref="K699"/>
    <hyperlink r:id="rId699" ref="K700"/>
    <hyperlink r:id="rId700" ref="K701"/>
    <hyperlink r:id="rId701" ref="K702"/>
    <hyperlink r:id="rId702" ref="K703"/>
    <hyperlink r:id="rId703" ref="K704"/>
    <hyperlink r:id="rId704" ref="K705"/>
    <hyperlink r:id="rId705" ref="K706"/>
    <hyperlink r:id="rId706" ref="K707"/>
    <hyperlink r:id="rId707" ref="K708"/>
    <hyperlink r:id="rId708" ref="K709"/>
    <hyperlink r:id="rId709" ref="K710"/>
    <hyperlink r:id="rId710" ref="K711"/>
    <hyperlink r:id="rId711" ref="K712"/>
    <hyperlink r:id="rId712" ref="K713"/>
    <hyperlink r:id="rId713" ref="K714"/>
    <hyperlink r:id="rId714" ref="K715"/>
    <hyperlink r:id="rId715" ref="K716"/>
    <hyperlink r:id="rId716" ref="K717"/>
    <hyperlink r:id="rId717" ref="K718"/>
    <hyperlink r:id="rId718" ref="K719"/>
    <hyperlink r:id="rId719" ref="K720"/>
    <hyperlink r:id="rId720" ref="K721"/>
    <hyperlink r:id="rId721" ref="K722"/>
    <hyperlink r:id="rId722" ref="K723"/>
    <hyperlink r:id="rId723" ref="K724"/>
    <hyperlink r:id="rId724" ref="K725"/>
    <hyperlink r:id="rId725" ref="K726"/>
    <hyperlink r:id="rId726" ref="K727"/>
    <hyperlink r:id="rId727" ref="K728"/>
    <hyperlink r:id="rId728" ref="K729"/>
    <hyperlink r:id="rId729" ref="K730"/>
    <hyperlink r:id="rId730" ref="K731"/>
    <hyperlink r:id="rId731" ref="K732"/>
    <hyperlink r:id="rId732" ref="K733"/>
    <hyperlink r:id="rId733" ref="K734"/>
    <hyperlink r:id="rId734" ref="K735"/>
    <hyperlink r:id="rId735" ref="K736"/>
    <hyperlink r:id="rId736" ref="K737"/>
    <hyperlink r:id="rId737" ref="K738"/>
    <hyperlink r:id="rId738" ref="K739"/>
    <hyperlink r:id="rId739" ref="K740"/>
    <hyperlink r:id="rId740" ref="K741"/>
    <hyperlink r:id="rId741" ref="K742"/>
    <hyperlink r:id="rId742" ref="K743"/>
    <hyperlink r:id="rId743" ref="K744"/>
    <hyperlink r:id="rId744" ref="K745"/>
    <hyperlink r:id="rId745" ref="K746"/>
    <hyperlink r:id="rId746" ref="K747"/>
    <hyperlink r:id="rId747" ref="K748"/>
    <hyperlink r:id="rId748" ref="K749"/>
    <hyperlink r:id="rId749" ref="K750"/>
    <hyperlink r:id="rId750" ref="K751"/>
    <hyperlink r:id="rId751" ref="K752"/>
    <hyperlink r:id="rId752" ref="K753"/>
    <hyperlink r:id="rId753" ref="K754"/>
    <hyperlink r:id="rId754" ref="K755"/>
    <hyperlink r:id="rId755" ref="K756"/>
    <hyperlink r:id="rId756" ref="K757"/>
    <hyperlink r:id="rId757" ref="K758"/>
    <hyperlink r:id="rId758" ref="K759"/>
    <hyperlink r:id="rId759" ref="K760"/>
    <hyperlink r:id="rId760" ref="K761"/>
    <hyperlink r:id="rId761" ref="K762"/>
    <hyperlink r:id="rId762" ref="K763"/>
    <hyperlink r:id="rId763" ref="K764"/>
    <hyperlink r:id="rId764" ref="K765"/>
    <hyperlink r:id="rId765" ref="K766"/>
    <hyperlink r:id="rId766" ref="K767"/>
    <hyperlink r:id="rId767" ref="K768"/>
    <hyperlink r:id="rId768" ref="K769"/>
    <hyperlink r:id="rId769" ref="K770"/>
    <hyperlink r:id="rId770" ref="K771"/>
    <hyperlink r:id="rId771" ref="K772"/>
    <hyperlink r:id="rId772" ref="K773"/>
    <hyperlink r:id="rId773" ref="K774"/>
    <hyperlink r:id="rId774" ref="K775"/>
    <hyperlink r:id="rId775" ref="K776"/>
    <hyperlink r:id="rId776" ref="K777"/>
    <hyperlink r:id="rId777" ref="K778"/>
    <hyperlink r:id="rId778" ref="K779"/>
    <hyperlink r:id="rId779" ref="K780"/>
    <hyperlink r:id="rId780" ref="K781"/>
    <hyperlink r:id="rId781" ref="K782"/>
    <hyperlink r:id="rId782" ref="K783"/>
    <hyperlink r:id="rId783" ref="K784"/>
    <hyperlink r:id="rId784" ref="K785"/>
    <hyperlink r:id="rId785" ref="K786"/>
    <hyperlink r:id="rId786" ref="K787"/>
    <hyperlink r:id="rId787" ref="K788"/>
    <hyperlink r:id="rId788" ref="K789"/>
    <hyperlink r:id="rId789" ref="K790"/>
    <hyperlink r:id="rId790" ref="K791"/>
    <hyperlink r:id="rId791" ref="K792"/>
    <hyperlink r:id="rId792" ref="K793"/>
    <hyperlink r:id="rId793" ref="K794"/>
    <hyperlink r:id="rId794" ref="K795"/>
    <hyperlink r:id="rId795" ref="K796"/>
    <hyperlink r:id="rId796" ref="K797"/>
    <hyperlink r:id="rId797" ref="K798"/>
    <hyperlink r:id="rId798" ref="K799"/>
    <hyperlink r:id="rId799" ref="K800"/>
    <hyperlink r:id="rId800" ref="K801"/>
    <hyperlink r:id="rId801" ref="K802"/>
    <hyperlink r:id="rId802" ref="K803"/>
    <hyperlink r:id="rId803" ref="K804"/>
    <hyperlink r:id="rId804" ref="K805"/>
    <hyperlink r:id="rId805" ref="K806"/>
    <hyperlink r:id="rId806" ref="K807"/>
    <hyperlink r:id="rId807" ref="K808"/>
    <hyperlink r:id="rId808" ref="K809"/>
    <hyperlink r:id="rId809" ref="K810"/>
    <hyperlink r:id="rId810" ref="K811"/>
    <hyperlink r:id="rId811" ref="K812"/>
    <hyperlink r:id="rId812" ref="K813"/>
    <hyperlink r:id="rId813" ref="K814"/>
    <hyperlink r:id="rId814" ref="K815"/>
    <hyperlink r:id="rId815" ref="K816"/>
    <hyperlink r:id="rId816" ref="K817"/>
    <hyperlink r:id="rId817" ref="K818"/>
    <hyperlink r:id="rId818" ref="K819"/>
    <hyperlink r:id="rId819" ref="K820"/>
    <hyperlink r:id="rId820" ref="K821"/>
    <hyperlink r:id="rId821" ref="K822"/>
    <hyperlink r:id="rId822" ref="K823"/>
    <hyperlink r:id="rId823" ref="K824"/>
    <hyperlink r:id="rId824" ref="K825"/>
    <hyperlink r:id="rId825" ref="K826"/>
    <hyperlink r:id="rId826" ref="K827"/>
    <hyperlink r:id="rId827" ref="K828"/>
    <hyperlink r:id="rId828" ref="K829"/>
    <hyperlink r:id="rId829" ref="K830"/>
    <hyperlink r:id="rId830" ref="K831"/>
    <hyperlink r:id="rId831" ref="K832"/>
    <hyperlink r:id="rId832" ref="K833"/>
    <hyperlink r:id="rId833" ref="K834"/>
    <hyperlink r:id="rId834" ref="K835"/>
    <hyperlink r:id="rId835" ref="K836"/>
    <hyperlink r:id="rId836" ref="K837"/>
    <hyperlink r:id="rId837" ref="K838"/>
    <hyperlink r:id="rId838" ref="K839"/>
    <hyperlink r:id="rId839" ref="K840"/>
    <hyperlink r:id="rId840" ref="K841"/>
    <hyperlink r:id="rId841" ref="K842"/>
    <hyperlink r:id="rId842" ref="K843"/>
    <hyperlink r:id="rId843" ref="K844"/>
    <hyperlink r:id="rId844" ref="K845"/>
    <hyperlink r:id="rId845" ref="K846"/>
    <hyperlink r:id="rId846" ref="K847"/>
    <hyperlink r:id="rId847" ref="K848"/>
    <hyperlink r:id="rId848" ref="K849"/>
    <hyperlink r:id="rId849" ref="K850"/>
    <hyperlink r:id="rId850" ref="K851"/>
    <hyperlink r:id="rId851" ref="K852"/>
    <hyperlink r:id="rId852" ref="K853"/>
    <hyperlink r:id="rId853" ref="K854"/>
    <hyperlink r:id="rId854" ref="K855"/>
    <hyperlink r:id="rId855" ref="K856"/>
    <hyperlink r:id="rId856" ref="K857"/>
    <hyperlink r:id="rId857" ref="K858"/>
    <hyperlink r:id="rId858" ref="K859"/>
    <hyperlink r:id="rId859" ref="K860"/>
    <hyperlink r:id="rId860" ref="K861"/>
    <hyperlink r:id="rId861" ref="K862"/>
    <hyperlink r:id="rId862" ref="K863"/>
    <hyperlink r:id="rId863" ref="K864"/>
    <hyperlink r:id="rId864" ref="K865"/>
    <hyperlink r:id="rId865" ref="K866"/>
    <hyperlink r:id="rId866" ref="K867"/>
    <hyperlink r:id="rId867" ref="K868"/>
    <hyperlink r:id="rId868" ref="K869"/>
    <hyperlink r:id="rId869" ref="K870"/>
    <hyperlink r:id="rId870" ref="K871"/>
    <hyperlink r:id="rId871" ref="K872"/>
    <hyperlink r:id="rId872" ref="K873"/>
    <hyperlink r:id="rId873" ref="K874"/>
    <hyperlink r:id="rId874" ref="K875"/>
    <hyperlink r:id="rId875" ref="K876"/>
    <hyperlink r:id="rId876" ref="K877"/>
    <hyperlink r:id="rId877" ref="K878"/>
    <hyperlink r:id="rId878" ref="K879"/>
    <hyperlink r:id="rId879" ref="K880"/>
    <hyperlink r:id="rId880" ref="K881"/>
    <hyperlink r:id="rId881" ref="K882"/>
    <hyperlink r:id="rId882" ref="K883"/>
    <hyperlink r:id="rId883" ref="K884"/>
    <hyperlink r:id="rId884" ref="K885"/>
    <hyperlink r:id="rId885" ref="K886"/>
    <hyperlink r:id="rId886" ref="K887"/>
    <hyperlink r:id="rId887" ref="K888"/>
    <hyperlink r:id="rId888" ref="K889"/>
    <hyperlink r:id="rId889" ref="K890"/>
    <hyperlink r:id="rId890" ref="K891"/>
    <hyperlink r:id="rId891" ref="K892"/>
    <hyperlink r:id="rId892" ref="K893"/>
    <hyperlink r:id="rId893" ref="K894"/>
    <hyperlink r:id="rId894" ref="K895"/>
    <hyperlink r:id="rId895" ref="K896"/>
    <hyperlink r:id="rId896" ref="K897"/>
    <hyperlink r:id="rId897" ref="K898"/>
    <hyperlink r:id="rId898" ref="K899"/>
    <hyperlink r:id="rId899" ref="K900"/>
    <hyperlink r:id="rId900" ref="K901"/>
    <hyperlink r:id="rId901" ref="K902"/>
    <hyperlink r:id="rId902" ref="K903"/>
    <hyperlink r:id="rId903" ref="K904"/>
    <hyperlink r:id="rId904" ref="K905"/>
    <hyperlink r:id="rId905" ref="K906"/>
    <hyperlink r:id="rId906" ref="K907"/>
    <hyperlink r:id="rId907" ref="K908"/>
    <hyperlink r:id="rId908" ref="K909"/>
    <hyperlink r:id="rId909" ref="K910"/>
    <hyperlink r:id="rId910" ref="K911"/>
    <hyperlink r:id="rId911" ref="K912"/>
    <hyperlink r:id="rId912" ref="K913"/>
    <hyperlink r:id="rId913" ref="K914"/>
    <hyperlink r:id="rId914" ref="K915"/>
    <hyperlink r:id="rId915" ref="K916"/>
    <hyperlink r:id="rId916" ref="K917"/>
    <hyperlink r:id="rId917" ref="K918"/>
    <hyperlink r:id="rId918" ref="K919"/>
    <hyperlink r:id="rId919" ref="K920"/>
    <hyperlink r:id="rId920" ref="K921"/>
    <hyperlink r:id="rId921" ref="K922"/>
    <hyperlink r:id="rId922" ref="K923"/>
    <hyperlink r:id="rId923" ref="K924"/>
    <hyperlink r:id="rId924" ref="K925"/>
    <hyperlink r:id="rId925" ref="K926"/>
    <hyperlink r:id="rId926" ref="K927"/>
    <hyperlink r:id="rId927" ref="K928"/>
    <hyperlink r:id="rId928" ref="K929"/>
    <hyperlink r:id="rId929" ref="K930"/>
    <hyperlink r:id="rId930" ref="K931"/>
    <hyperlink r:id="rId931" ref="K932"/>
    <hyperlink r:id="rId932" ref="K933"/>
    <hyperlink r:id="rId933" ref="K934"/>
    <hyperlink r:id="rId934" ref="K935"/>
    <hyperlink r:id="rId935" ref="K936"/>
    <hyperlink r:id="rId936" ref="K937"/>
    <hyperlink r:id="rId937" ref="K938"/>
    <hyperlink r:id="rId938" ref="K939"/>
    <hyperlink r:id="rId939" ref="K940"/>
    <hyperlink r:id="rId940" ref="K941"/>
    <hyperlink r:id="rId941" ref="K942"/>
    <hyperlink r:id="rId942" ref="K943"/>
    <hyperlink r:id="rId943" ref="K944"/>
    <hyperlink r:id="rId944" ref="K945"/>
    <hyperlink r:id="rId945" ref="K946"/>
    <hyperlink r:id="rId946" ref="K947"/>
    <hyperlink r:id="rId947" ref="K948"/>
    <hyperlink r:id="rId948" ref="K949"/>
    <hyperlink r:id="rId949" ref="K950"/>
    <hyperlink r:id="rId950" ref="K951"/>
    <hyperlink r:id="rId951" ref="K952"/>
    <hyperlink r:id="rId952" ref="K953"/>
    <hyperlink r:id="rId953" ref="K954"/>
    <hyperlink r:id="rId954" ref="K955"/>
    <hyperlink r:id="rId955" ref="K956"/>
    <hyperlink r:id="rId956" ref="K957"/>
    <hyperlink r:id="rId957" ref="K958"/>
    <hyperlink r:id="rId958" ref="K959"/>
    <hyperlink r:id="rId959" ref="K960"/>
    <hyperlink r:id="rId960" ref="K961"/>
    <hyperlink r:id="rId961" ref="K962"/>
    <hyperlink r:id="rId962" ref="K963"/>
    <hyperlink r:id="rId963" ref="K964"/>
    <hyperlink r:id="rId964" ref="K965"/>
    <hyperlink r:id="rId965" ref="K966"/>
    <hyperlink r:id="rId966" ref="K967"/>
    <hyperlink r:id="rId967" ref="K968"/>
    <hyperlink r:id="rId968" ref="K969"/>
    <hyperlink r:id="rId969" ref="K970"/>
    <hyperlink r:id="rId970" ref="K971"/>
    <hyperlink r:id="rId971" ref="K972"/>
    <hyperlink r:id="rId972" ref="K973"/>
    <hyperlink r:id="rId973" ref="K974"/>
    <hyperlink r:id="rId974" ref="K975"/>
    <hyperlink r:id="rId975" ref="K976"/>
    <hyperlink r:id="rId976" ref="K977"/>
    <hyperlink r:id="rId977" ref="K978"/>
    <hyperlink r:id="rId978" ref="K979"/>
    <hyperlink r:id="rId979" ref="K980"/>
    <hyperlink r:id="rId980" ref="K981"/>
    <hyperlink r:id="rId981" ref="K982"/>
    <hyperlink r:id="rId982" ref="K983"/>
    <hyperlink r:id="rId983" ref="K984"/>
    <hyperlink r:id="rId984" ref="K985"/>
    <hyperlink r:id="rId985" ref="K986"/>
    <hyperlink r:id="rId986" ref="K987"/>
    <hyperlink r:id="rId987" ref="K988"/>
    <hyperlink r:id="rId988" ref="K989"/>
    <hyperlink r:id="rId989" ref="K990"/>
    <hyperlink r:id="rId990" ref="K991"/>
    <hyperlink r:id="rId991" ref="K992"/>
    <hyperlink r:id="rId992" ref="K993"/>
    <hyperlink r:id="rId993" ref="K994"/>
    <hyperlink r:id="rId994" ref="K995"/>
    <hyperlink r:id="rId995" ref="K996"/>
    <hyperlink r:id="rId996" ref="K997"/>
    <hyperlink r:id="rId997" ref="K998"/>
    <hyperlink r:id="rId998" ref="K999"/>
    <hyperlink r:id="rId999" ref="K1000"/>
    <hyperlink r:id="rId1000" ref="K1001"/>
    <hyperlink r:id="rId1001" ref="K1002"/>
    <hyperlink r:id="rId1002" ref="K1003"/>
    <hyperlink r:id="rId1003" ref="K1004"/>
    <hyperlink r:id="rId1004" ref="K1005"/>
    <hyperlink r:id="rId1005" ref="K1006"/>
    <hyperlink r:id="rId1006" ref="K1007"/>
    <hyperlink r:id="rId1007" ref="K1008"/>
    <hyperlink r:id="rId1008" ref="K1009"/>
    <hyperlink r:id="rId1009" ref="K1010"/>
    <hyperlink r:id="rId1010" ref="K1011"/>
    <hyperlink r:id="rId1011" ref="K1012"/>
    <hyperlink r:id="rId1012" ref="K1013"/>
    <hyperlink r:id="rId1013" ref="K1014"/>
    <hyperlink r:id="rId1014" ref="K1015"/>
    <hyperlink r:id="rId1015" ref="K1016"/>
    <hyperlink r:id="rId1016" ref="K1017"/>
    <hyperlink r:id="rId1017" ref="K1018"/>
    <hyperlink r:id="rId1018" ref="K1019"/>
    <hyperlink r:id="rId1019" ref="K1020"/>
    <hyperlink r:id="rId1020" ref="K1021"/>
    <hyperlink r:id="rId1021" ref="K1022"/>
    <hyperlink r:id="rId1022" ref="K1023"/>
    <hyperlink r:id="rId1023" ref="K1024"/>
    <hyperlink r:id="rId1024" ref="K1025"/>
    <hyperlink r:id="rId1025" ref="K1026"/>
    <hyperlink r:id="rId1026" ref="K1027"/>
    <hyperlink r:id="rId1027" ref="K1028"/>
    <hyperlink r:id="rId1028" ref="K1029"/>
    <hyperlink r:id="rId1029" ref="K1030"/>
    <hyperlink r:id="rId1030" ref="K1031"/>
    <hyperlink r:id="rId1031" ref="K1032"/>
    <hyperlink r:id="rId1032" ref="K1033"/>
    <hyperlink r:id="rId1033" ref="K1034"/>
    <hyperlink r:id="rId1034" ref="K1035"/>
    <hyperlink r:id="rId1035" ref="K1036"/>
    <hyperlink r:id="rId1036" ref="K1037"/>
    <hyperlink r:id="rId1037" ref="K1038"/>
    <hyperlink r:id="rId1038" ref="K1039"/>
    <hyperlink r:id="rId1039" ref="K1040"/>
    <hyperlink r:id="rId1040" ref="K1041"/>
    <hyperlink r:id="rId1041" ref="K1042"/>
    <hyperlink r:id="rId1042" ref="K1043"/>
    <hyperlink r:id="rId1043" ref="K1044"/>
    <hyperlink r:id="rId1044" ref="K1045"/>
    <hyperlink r:id="rId1045" ref="K1046"/>
    <hyperlink r:id="rId1046" ref="K1047"/>
    <hyperlink r:id="rId1047" ref="K1048"/>
    <hyperlink r:id="rId1048" ref="K1049"/>
    <hyperlink r:id="rId1049" ref="K1050"/>
    <hyperlink r:id="rId1050" ref="K1051"/>
    <hyperlink r:id="rId1051" ref="K1052"/>
    <hyperlink r:id="rId1052" ref="K1053"/>
    <hyperlink r:id="rId1053" ref="K1054"/>
    <hyperlink r:id="rId1054" ref="K1055"/>
    <hyperlink r:id="rId1055" ref="K1056"/>
    <hyperlink r:id="rId1056" ref="K1057"/>
    <hyperlink r:id="rId1057" ref="K1058"/>
    <hyperlink r:id="rId1058" ref="K1059"/>
    <hyperlink r:id="rId1059" ref="K1060"/>
    <hyperlink r:id="rId1060" ref="K1061"/>
    <hyperlink r:id="rId1061" ref="K1062"/>
    <hyperlink r:id="rId1062" ref="K1063"/>
    <hyperlink r:id="rId1063" ref="K1064"/>
    <hyperlink r:id="rId1064" ref="K1065"/>
    <hyperlink r:id="rId1065" ref="K1066"/>
    <hyperlink r:id="rId1066" ref="K1067"/>
    <hyperlink r:id="rId1067" ref="K1068"/>
    <hyperlink r:id="rId1068" ref="K1069"/>
    <hyperlink r:id="rId1069" ref="K1070"/>
    <hyperlink r:id="rId1070" ref="K1071"/>
    <hyperlink r:id="rId1071" ref="K1072"/>
    <hyperlink r:id="rId1072" ref="K1073"/>
    <hyperlink r:id="rId1073" ref="K1074"/>
    <hyperlink r:id="rId1074" ref="K1075"/>
    <hyperlink r:id="rId1075" ref="K1076"/>
    <hyperlink r:id="rId1076" ref="K1077"/>
    <hyperlink r:id="rId1077" ref="K1078"/>
    <hyperlink r:id="rId1078" ref="K1079"/>
    <hyperlink r:id="rId1079" ref="K1080"/>
    <hyperlink r:id="rId1080" ref="K1081"/>
    <hyperlink r:id="rId1081" ref="K1082"/>
    <hyperlink r:id="rId1082" ref="K1083"/>
    <hyperlink r:id="rId1083" ref="K1084"/>
    <hyperlink r:id="rId1084" ref="K1085"/>
    <hyperlink r:id="rId1085" ref="K1086"/>
    <hyperlink r:id="rId1086" ref="K1087"/>
    <hyperlink r:id="rId1087" ref="K1088"/>
    <hyperlink r:id="rId1088" ref="K1089"/>
    <hyperlink r:id="rId1089" ref="K1090"/>
    <hyperlink r:id="rId1090" ref="K1091"/>
    <hyperlink r:id="rId1091" ref="K1092"/>
    <hyperlink r:id="rId1092" ref="K1093"/>
    <hyperlink r:id="rId1093" ref="K1094"/>
    <hyperlink r:id="rId1094" ref="K1095"/>
    <hyperlink r:id="rId1095" ref="K1096"/>
    <hyperlink r:id="rId1096" ref="K1097"/>
    <hyperlink r:id="rId1097" ref="K1098"/>
    <hyperlink r:id="rId1098" ref="K1099"/>
    <hyperlink r:id="rId1099" ref="K1100"/>
    <hyperlink r:id="rId1100" ref="K1101"/>
    <hyperlink r:id="rId1101" ref="K1102"/>
    <hyperlink r:id="rId1102" ref="K1103"/>
    <hyperlink r:id="rId1103" ref="K1104"/>
    <hyperlink r:id="rId1104" ref="K1105"/>
    <hyperlink r:id="rId1105" ref="K1106"/>
    <hyperlink r:id="rId1106" ref="K1107"/>
    <hyperlink r:id="rId1107" ref="K1108"/>
    <hyperlink r:id="rId1108" ref="K1109"/>
    <hyperlink r:id="rId1109" ref="K1110"/>
    <hyperlink r:id="rId1110" ref="K1111"/>
    <hyperlink r:id="rId1111" ref="K1112"/>
    <hyperlink r:id="rId1112" ref="K1113"/>
    <hyperlink r:id="rId1113" ref="K1114"/>
    <hyperlink r:id="rId1114" ref="K1115"/>
    <hyperlink r:id="rId1115" ref="K1116"/>
    <hyperlink r:id="rId1116" ref="K1117"/>
    <hyperlink r:id="rId1117" ref="K1118"/>
    <hyperlink r:id="rId1118" ref="K1119"/>
    <hyperlink r:id="rId1119" ref="K1120"/>
    <hyperlink r:id="rId1120" ref="K1121"/>
    <hyperlink r:id="rId1121" ref="K1122"/>
    <hyperlink r:id="rId1122" ref="K1123"/>
    <hyperlink r:id="rId1123" ref="K1124"/>
    <hyperlink r:id="rId1124" ref="K1125"/>
    <hyperlink r:id="rId1125" ref="K1126"/>
    <hyperlink r:id="rId1126" ref="K1127"/>
    <hyperlink r:id="rId1127" ref="K1128"/>
    <hyperlink r:id="rId1128" ref="K1129"/>
    <hyperlink r:id="rId1129" ref="K1130"/>
    <hyperlink r:id="rId1130" ref="K1131"/>
    <hyperlink r:id="rId1131" ref="K1132"/>
    <hyperlink r:id="rId1132" ref="K1133"/>
    <hyperlink r:id="rId1133" ref="K1134"/>
    <hyperlink r:id="rId1134" ref="K1135"/>
    <hyperlink r:id="rId1135" ref="K1136"/>
    <hyperlink r:id="rId1136" ref="K1137"/>
    <hyperlink r:id="rId1137" ref="K1138"/>
    <hyperlink r:id="rId1138" ref="K1139"/>
    <hyperlink r:id="rId1139" ref="K1140"/>
    <hyperlink r:id="rId1140" ref="K1141"/>
    <hyperlink r:id="rId1141" ref="K1142"/>
    <hyperlink r:id="rId1142" ref="K1143"/>
    <hyperlink r:id="rId1143" ref="K1144"/>
    <hyperlink r:id="rId1144" ref="K1145"/>
    <hyperlink r:id="rId1145" ref="K1146"/>
    <hyperlink r:id="rId1146" ref="K1147"/>
    <hyperlink r:id="rId1147" ref="K1148"/>
    <hyperlink r:id="rId1148" ref="K1149"/>
    <hyperlink r:id="rId1149" ref="K1150"/>
    <hyperlink r:id="rId1150" ref="K1151"/>
    <hyperlink r:id="rId1151" ref="K1152"/>
    <hyperlink r:id="rId1152" ref="K1153"/>
    <hyperlink r:id="rId1153" ref="K1154"/>
    <hyperlink r:id="rId1154" ref="K1155"/>
    <hyperlink r:id="rId1155" ref="K1156"/>
    <hyperlink r:id="rId1156" ref="K1157"/>
    <hyperlink r:id="rId1157" ref="K1158"/>
    <hyperlink r:id="rId1158" ref="K1159"/>
    <hyperlink r:id="rId1159" ref="K1160"/>
    <hyperlink r:id="rId1160" ref="K1161"/>
    <hyperlink r:id="rId1161" ref="K1162"/>
    <hyperlink r:id="rId1162" ref="K1163"/>
    <hyperlink r:id="rId1163" ref="K1164"/>
    <hyperlink r:id="rId1164" ref="K1165"/>
    <hyperlink r:id="rId1165" ref="K1166"/>
    <hyperlink r:id="rId1166" ref="K1167"/>
    <hyperlink r:id="rId1167" ref="K1168"/>
    <hyperlink r:id="rId1168" ref="K1169"/>
    <hyperlink r:id="rId1169" ref="K1170"/>
    <hyperlink r:id="rId1170" ref="K1171"/>
    <hyperlink r:id="rId1171" ref="K1172"/>
    <hyperlink r:id="rId1172" ref="K1173"/>
    <hyperlink r:id="rId1173" ref="K1174"/>
    <hyperlink r:id="rId1174" ref="K1175"/>
    <hyperlink r:id="rId1175" ref="K1176"/>
    <hyperlink r:id="rId1176" ref="K1177"/>
    <hyperlink r:id="rId1177" ref="K1178"/>
    <hyperlink r:id="rId1178" ref="K1179"/>
    <hyperlink r:id="rId1179" ref="K1180"/>
    <hyperlink r:id="rId1180" ref="K1181"/>
    <hyperlink r:id="rId1181" ref="K1182"/>
    <hyperlink r:id="rId1182" ref="K1183"/>
    <hyperlink r:id="rId1183" ref="K1184"/>
    <hyperlink r:id="rId1184" ref="K1185"/>
    <hyperlink r:id="rId1185" ref="K1186"/>
    <hyperlink r:id="rId1186" ref="K1187"/>
    <hyperlink r:id="rId1187" ref="K1188"/>
    <hyperlink r:id="rId1188" ref="K1189"/>
    <hyperlink r:id="rId1189" ref="K1190"/>
    <hyperlink r:id="rId1190" ref="K1191"/>
    <hyperlink r:id="rId1191" ref="K1192"/>
    <hyperlink r:id="rId1192" ref="K1193"/>
    <hyperlink r:id="rId1193" ref="K1194"/>
    <hyperlink r:id="rId1194" ref="K1195"/>
    <hyperlink r:id="rId1195" ref="K1196"/>
    <hyperlink r:id="rId1196" ref="K1197"/>
    <hyperlink r:id="rId1197" ref="K1198"/>
    <hyperlink r:id="rId1198" ref="K1199"/>
    <hyperlink r:id="rId1199" ref="K1200"/>
    <hyperlink r:id="rId1200" ref="K1201"/>
    <hyperlink r:id="rId1201" ref="K1202"/>
    <hyperlink r:id="rId1202" ref="K1203"/>
    <hyperlink r:id="rId1203" ref="K1204"/>
    <hyperlink r:id="rId1204" ref="K1205"/>
    <hyperlink r:id="rId1205" ref="K1206"/>
    <hyperlink r:id="rId1206" ref="K1207"/>
    <hyperlink r:id="rId1207" ref="K1208"/>
    <hyperlink r:id="rId1208" ref="K1209"/>
    <hyperlink r:id="rId1209" ref="K1210"/>
    <hyperlink r:id="rId1210" ref="K1211"/>
    <hyperlink r:id="rId1211" ref="K1212"/>
    <hyperlink r:id="rId1212" ref="K1213"/>
    <hyperlink r:id="rId1213" ref="K1214"/>
    <hyperlink r:id="rId1214" ref="K1215"/>
    <hyperlink r:id="rId1215" ref="K1216"/>
    <hyperlink r:id="rId1216" ref="K1217"/>
    <hyperlink r:id="rId1217" ref="K1218"/>
    <hyperlink r:id="rId1218" ref="K1219"/>
    <hyperlink r:id="rId1219" ref="K1220"/>
    <hyperlink r:id="rId1220" ref="K1221"/>
    <hyperlink r:id="rId1221" ref="K1222"/>
    <hyperlink r:id="rId1222" ref="K1223"/>
    <hyperlink r:id="rId1223" ref="K1224"/>
    <hyperlink r:id="rId1224" ref="K1225"/>
    <hyperlink r:id="rId1225" ref="K1226"/>
    <hyperlink r:id="rId1226" ref="K1227"/>
    <hyperlink r:id="rId1227" ref="K1228"/>
    <hyperlink r:id="rId1228" ref="K1229"/>
    <hyperlink r:id="rId1229" ref="K1230"/>
    <hyperlink r:id="rId1230" ref="K1231"/>
    <hyperlink r:id="rId1231" ref="K1232"/>
    <hyperlink r:id="rId1232" ref="K1233"/>
    <hyperlink r:id="rId1233" ref="K1234"/>
    <hyperlink r:id="rId1234" ref="K1235"/>
    <hyperlink r:id="rId1235" ref="K1236"/>
    <hyperlink r:id="rId1236" ref="K1237"/>
    <hyperlink r:id="rId1237" ref="K1238"/>
    <hyperlink r:id="rId1238" ref="K1239"/>
    <hyperlink r:id="rId1239" ref="K1240"/>
    <hyperlink r:id="rId1240" ref="K1241"/>
    <hyperlink r:id="rId1241" ref="K1242"/>
    <hyperlink r:id="rId1242" ref="K1243"/>
    <hyperlink r:id="rId1243" ref="K1244"/>
    <hyperlink r:id="rId1244" ref="K1245"/>
    <hyperlink r:id="rId1245" ref="K1246"/>
    <hyperlink r:id="rId1246" ref="K1247"/>
    <hyperlink r:id="rId1247" ref="K1248"/>
    <hyperlink r:id="rId1248" ref="K1249"/>
    <hyperlink r:id="rId1249" ref="K1250"/>
    <hyperlink r:id="rId1250" ref="K1251"/>
    <hyperlink r:id="rId1251" ref="K1252"/>
    <hyperlink r:id="rId1252" ref="K1253"/>
    <hyperlink r:id="rId1253" ref="K1254"/>
    <hyperlink r:id="rId1254" ref="K1255"/>
    <hyperlink r:id="rId1255" ref="K1256"/>
    <hyperlink r:id="rId1256" ref="K1257"/>
    <hyperlink r:id="rId1257" ref="K1258"/>
    <hyperlink r:id="rId1258" ref="K1259"/>
    <hyperlink r:id="rId1259" ref="K1260"/>
    <hyperlink r:id="rId1260" ref="K1261"/>
    <hyperlink r:id="rId1261" ref="K1262"/>
    <hyperlink r:id="rId1262" ref="K1263"/>
    <hyperlink r:id="rId1263" ref="K1264"/>
    <hyperlink r:id="rId1264" ref="K1265"/>
    <hyperlink r:id="rId1265" ref="K1266"/>
    <hyperlink r:id="rId1266" ref="K1267"/>
    <hyperlink r:id="rId1267" ref="K1268"/>
    <hyperlink r:id="rId1268" ref="K1269"/>
    <hyperlink r:id="rId1269" ref="K1270"/>
    <hyperlink r:id="rId1270" ref="K1271"/>
    <hyperlink r:id="rId1271" ref="K1272"/>
    <hyperlink r:id="rId1272" ref="K1273"/>
    <hyperlink r:id="rId1273" ref="K1274"/>
    <hyperlink r:id="rId1274" ref="K1275"/>
    <hyperlink r:id="rId1275" ref="K1276"/>
    <hyperlink r:id="rId1276" ref="K1277"/>
    <hyperlink r:id="rId1277" ref="K1278"/>
    <hyperlink r:id="rId1278" ref="K1279"/>
    <hyperlink r:id="rId1279" ref="K1280"/>
    <hyperlink r:id="rId1280" ref="K1281"/>
    <hyperlink r:id="rId1281" ref="K1282"/>
    <hyperlink r:id="rId1282" ref="K1283"/>
    <hyperlink r:id="rId1283" ref="K1284"/>
    <hyperlink r:id="rId1284" ref="K1285"/>
    <hyperlink r:id="rId1285" ref="K1286"/>
    <hyperlink r:id="rId1286" ref="K1287"/>
    <hyperlink r:id="rId1287" ref="K1288"/>
    <hyperlink r:id="rId1288" ref="K1289"/>
    <hyperlink r:id="rId1289" ref="K1290"/>
    <hyperlink r:id="rId1290" ref="K1291"/>
    <hyperlink r:id="rId1291" ref="K1292"/>
    <hyperlink r:id="rId1292" ref="K1293"/>
    <hyperlink r:id="rId1293" ref="K1294"/>
    <hyperlink r:id="rId1294" ref="K1295"/>
    <hyperlink r:id="rId1295" ref="K1296"/>
    <hyperlink r:id="rId1296" ref="K1297"/>
    <hyperlink r:id="rId1297" ref="K1298"/>
    <hyperlink r:id="rId1298" ref="K1299"/>
    <hyperlink r:id="rId1299" ref="K1300"/>
    <hyperlink r:id="rId1300" ref="K1301"/>
    <hyperlink r:id="rId1301" ref="K1302"/>
    <hyperlink r:id="rId1302" ref="K1303"/>
    <hyperlink r:id="rId1303" ref="K1304"/>
    <hyperlink r:id="rId1304" ref="K1305"/>
    <hyperlink r:id="rId1305" ref="K1306"/>
    <hyperlink r:id="rId1306" ref="K1307"/>
    <hyperlink r:id="rId1307" ref="K1308"/>
    <hyperlink r:id="rId1308" ref="K1309"/>
    <hyperlink r:id="rId1309" ref="K1310"/>
    <hyperlink r:id="rId1310" ref="K1311"/>
    <hyperlink r:id="rId1311" ref="K1312"/>
    <hyperlink r:id="rId1312" ref="K1313"/>
    <hyperlink r:id="rId1313" ref="K1314"/>
    <hyperlink r:id="rId1314" ref="K1315"/>
    <hyperlink r:id="rId1315" ref="K1316"/>
    <hyperlink r:id="rId1316" ref="K1317"/>
    <hyperlink r:id="rId1317" ref="K1318"/>
    <hyperlink r:id="rId1318" ref="K1319"/>
    <hyperlink r:id="rId1319" ref="K1320"/>
    <hyperlink r:id="rId1320" ref="K1321"/>
    <hyperlink r:id="rId1321" ref="K1322"/>
    <hyperlink r:id="rId1322" ref="K1323"/>
    <hyperlink r:id="rId1323" ref="K1324"/>
    <hyperlink r:id="rId1324" ref="K1325"/>
    <hyperlink r:id="rId1325" ref="K1326"/>
    <hyperlink r:id="rId1326" ref="K1327"/>
    <hyperlink r:id="rId1327" ref="K1328"/>
    <hyperlink r:id="rId1328" ref="K1329"/>
    <hyperlink r:id="rId1329" ref="K1330"/>
    <hyperlink r:id="rId1330" ref="K1331"/>
    <hyperlink r:id="rId1331" ref="K1332"/>
    <hyperlink r:id="rId1332" ref="K1333"/>
    <hyperlink r:id="rId1333" ref="K1334"/>
    <hyperlink r:id="rId1334" ref="K1335"/>
    <hyperlink r:id="rId1335" ref="K1336"/>
    <hyperlink r:id="rId1336" ref="K1337"/>
    <hyperlink r:id="rId1337" ref="K1338"/>
    <hyperlink r:id="rId1338" ref="K1339"/>
    <hyperlink r:id="rId1339" ref="K1340"/>
    <hyperlink r:id="rId1340" ref="K1341"/>
    <hyperlink r:id="rId1341" ref="K1342"/>
    <hyperlink r:id="rId1342" ref="K1343"/>
    <hyperlink r:id="rId1343" ref="K1344"/>
    <hyperlink r:id="rId1344" ref="K1345"/>
    <hyperlink r:id="rId1345" ref="K1346"/>
    <hyperlink r:id="rId1346" ref="K1347"/>
    <hyperlink r:id="rId1347" ref="K1348"/>
    <hyperlink r:id="rId1348" ref="K1349"/>
    <hyperlink r:id="rId1349" ref="K1350"/>
    <hyperlink r:id="rId1350" ref="K1351"/>
    <hyperlink r:id="rId1351" ref="K1352"/>
    <hyperlink r:id="rId1352" ref="K1353"/>
    <hyperlink r:id="rId1353" ref="K1354"/>
    <hyperlink r:id="rId1354" ref="K1355"/>
    <hyperlink r:id="rId1355" ref="K1356"/>
    <hyperlink r:id="rId1356" ref="K1357"/>
    <hyperlink r:id="rId1357" ref="K1358"/>
    <hyperlink r:id="rId1358" ref="K1359"/>
    <hyperlink r:id="rId1359" ref="K1360"/>
    <hyperlink r:id="rId1360" ref="K1361"/>
    <hyperlink r:id="rId1361" ref="K1362"/>
    <hyperlink r:id="rId1362" ref="K1363"/>
    <hyperlink r:id="rId1363" ref="K1364"/>
    <hyperlink r:id="rId1364" ref="K1365"/>
    <hyperlink r:id="rId1365" ref="K1366"/>
    <hyperlink r:id="rId1366" ref="K1367"/>
    <hyperlink r:id="rId1367" ref="K1368"/>
    <hyperlink r:id="rId1368" ref="K1369"/>
    <hyperlink r:id="rId1369" ref="K1370"/>
    <hyperlink r:id="rId1370" ref="K1371"/>
    <hyperlink r:id="rId1371" ref="K1372"/>
    <hyperlink r:id="rId1372" ref="K1373"/>
    <hyperlink r:id="rId1373" ref="K1374"/>
    <hyperlink r:id="rId1374" ref="K1375"/>
    <hyperlink r:id="rId1375" ref="K1376"/>
    <hyperlink r:id="rId1376" ref="K1377"/>
    <hyperlink r:id="rId1377" ref="K1378"/>
    <hyperlink r:id="rId1378" ref="K1379"/>
    <hyperlink r:id="rId1379" ref="K1380"/>
    <hyperlink r:id="rId1380" ref="K1381"/>
    <hyperlink r:id="rId1381" ref="K1382"/>
    <hyperlink r:id="rId1382" ref="K1383"/>
    <hyperlink r:id="rId1383" ref="K1384"/>
    <hyperlink r:id="rId1384" ref="K1385"/>
    <hyperlink r:id="rId1385" ref="K1386"/>
    <hyperlink r:id="rId1386" ref="K1387"/>
    <hyperlink r:id="rId1387" ref="K1388"/>
    <hyperlink r:id="rId1388" ref="K1389"/>
    <hyperlink r:id="rId1389" ref="K1390"/>
    <hyperlink r:id="rId1390" ref="K1391"/>
    <hyperlink r:id="rId1391" ref="K1392"/>
    <hyperlink r:id="rId1392" ref="K1393"/>
    <hyperlink r:id="rId1393" ref="K1394"/>
    <hyperlink r:id="rId1394" ref="K1395"/>
    <hyperlink r:id="rId1395" ref="K1396"/>
    <hyperlink r:id="rId1396" ref="K1397"/>
    <hyperlink r:id="rId1397" ref="K1398"/>
    <hyperlink r:id="rId1398" ref="K1399"/>
    <hyperlink r:id="rId1399" ref="K1400"/>
    <hyperlink r:id="rId1400" ref="K1401"/>
    <hyperlink r:id="rId1401" ref="K1402"/>
    <hyperlink r:id="rId1402" ref="K1403"/>
    <hyperlink r:id="rId1403" ref="K1404"/>
    <hyperlink r:id="rId1404" ref="K1405"/>
    <hyperlink r:id="rId1405" ref="K1406"/>
    <hyperlink r:id="rId1406" ref="K1407"/>
    <hyperlink r:id="rId1407" ref="K1408"/>
    <hyperlink r:id="rId1408" ref="K1409"/>
    <hyperlink r:id="rId1409" ref="K1410"/>
    <hyperlink r:id="rId1410" ref="K1411"/>
    <hyperlink r:id="rId1411" ref="K1412"/>
    <hyperlink r:id="rId1412" ref="K1413"/>
    <hyperlink r:id="rId1413" ref="K1414"/>
    <hyperlink r:id="rId1414" ref="K1415"/>
    <hyperlink r:id="rId1415" ref="K1416"/>
    <hyperlink r:id="rId1416" ref="K1417"/>
    <hyperlink r:id="rId1417" ref="K1418"/>
    <hyperlink r:id="rId1418" ref="K1419"/>
    <hyperlink r:id="rId1419" ref="K1420"/>
    <hyperlink r:id="rId1420" ref="K1421"/>
    <hyperlink r:id="rId1421" ref="K1422"/>
    <hyperlink r:id="rId1422" ref="K1423"/>
    <hyperlink r:id="rId1423" ref="K1424"/>
    <hyperlink r:id="rId1424" ref="K1425"/>
    <hyperlink r:id="rId1425" ref="K1426"/>
    <hyperlink r:id="rId1426" ref="K1427"/>
    <hyperlink r:id="rId1427" ref="K1428"/>
    <hyperlink r:id="rId1428" ref="K1429"/>
    <hyperlink r:id="rId1429" ref="K1430"/>
    <hyperlink r:id="rId1430" ref="K1431"/>
    <hyperlink r:id="rId1431" ref="K1432"/>
    <hyperlink r:id="rId1432" ref="K1433"/>
    <hyperlink r:id="rId1433" ref="K1434"/>
    <hyperlink r:id="rId1434" ref="K1435"/>
    <hyperlink r:id="rId1435" ref="K1436"/>
    <hyperlink r:id="rId1436" ref="K1437"/>
    <hyperlink r:id="rId1437" ref="K1438"/>
    <hyperlink r:id="rId1438" ref="K1439"/>
    <hyperlink r:id="rId1439" ref="K1440"/>
    <hyperlink r:id="rId1440" ref="K1441"/>
    <hyperlink r:id="rId1441" ref="K1442"/>
    <hyperlink r:id="rId1442" ref="K1443"/>
    <hyperlink r:id="rId1443" ref="K1444"/>
    <hyperlink r:id="rId1444" ref="K1445"/>
    <hyperlink r:id="rId1445" ref="K1446"/>
    <hyperlink r:id="rId1446" ref="K1447"/>
    <hyperlink r:id="rId1447" ref="K1448"/>
    <hyperlink r:id="rId1448" ref="K1449"/>
    <hyperlink r:id="rId1449" ref="K1450"/>
    <hyperlink r:id="rId1450" ref="K1451"/>
    <hyperlink r:id="rId1451" ref="K1452"/>
    <hyperlink r:id="rId1452" ref="K1453"/>
    <hyperlink r:id="rId1453" ref="K1454"/>
    <hyperlink r:id="rId1454" ref="K1455"/>
    <hyperlink r:id="rId1455" ref="K1456"/>
    <hyperlink r:id="rId1456" ref="K1457"/>
    <hyperlink r:id="rId1457" ref="K1458"/>
    <hyperlink r:id="rId1458" ref="K1459"/>
    <hyperlink r:id="rId1459" ref="K1460"/>
    <hyperlink r:id="rId1460" ref="K1461"/>
    <hyperlink r:id="rId1461" ref="K1462"/>
    <hyperlink r:id="rId1462" ref="K1463"/>
    <hyperlink r:id="rId1463" ref="K1464"/>
    <hyperlink r:id="rId1464" ref="K1465"/>
    <hyperlink r:id="rId1465" ref="K1466"/>
    <hyperlink r:id="rId1466" ref="K1467"/>
    <hyperlink r:id="rId1467" ref="K1468"/>
    <hyperlink r:id="rId1468" ref="K1469"/>
    <hyperlink r:id="rId1469" ref="K1470"/>
    <hyperlink r:id="rId1470" ref="K1471"/>
    <hyperlink r:id="rId1471" ref="K1472"/>
    <hyperlink r:id="rId1472" ref="K1473"/>
    <hyperlink r:id="rId1473" ref="K1474"/>
    <hyperlink r:id="rId1474" ref="K1475"/>
    <hyperlink r:id="rId1475" ref="K1476"/>
    <hyperlink r:id="rId1476" ref="K1477"/>
    <hyperlink r:id="rId1477" ref="K1478"/>
    <hyperlink r:id="rId1478" ref="K1479"/>
    <hyperlink r:id="rId1479" ref="K1480"/>
    <hyperlink r:id="rId1480" ref="K1481"/>
    <hyperlink r:id="rId1481" ref="K1482"/>
    <hyperlink r:id="rId1482" ref="K1483"/>
    <hyperlink r:id="rId1483" ref="K1484"/>
    <hyperlink r:id="rId1484" ref="K1485"/>
    <hyperlink r:id="rId1485" ref="K1486"/>
    <hyperlink r:id="rId1486" ref="K1487"/>
    <hyperlink r:id="rId1487" ref="K1488"/>
    <hyperlink r:id="rId1488" ref="K1489"/>
    <hyperlink r:id="rId1489" ref="K1490"/>
    <hyperlink r:id="rId1490" ref="K1491"/>
    <hyperlink r:id="rId1491" ref="K1492"/>
    <hyperlink r:id="rId1492" ref="K1493"/>
    <hyperlink r:id="rId1493" ref="K1494"/>
    <hyperlink r:id="rId1494" ref="K1495"/>
    <hyperlink r:id="rId1495" ref="K1496"/>
    <hyperlink r:id="rId1496" ref="K1497"/>
    <hyperlink r:id="rId1497" ref="K1498"/>
    <hyperlink r:id="rId1498" ref="K1499"/>
    <hyperlink r:id="rId1499" ref="K1500"/>
    <hyperlink r:id="rId1500" ref="K1501"/>
    <hyperlink r:id="rId1501" ref="K1502"/>
    <hyperlink r:id="rId1502" ref="K1503"/>
    <hyperlink r:id="rId1503" ref="K1504"/>
    <hyperlink r:id="rId1504" ref="K1505"/>
    <hyperlink r:id="rId1505" ref="K1506"/>
    <hyperlink r:id="rId1506" ref="K1507"/>
    <hyperlink r:id="rId1507" ref="K1508"/>
    <hyperlink r:id="rId1508" ref="K1509"/>
    <hyperlink r:id="rId1509" ref="K1510"/>
    <hyperlink r:id="rId1510" ref="K1511"/>
    <hyperlink r:id="rId1511" ref="K1512"/>
    <hyperlink r:id="rId1512" ref="K1513"/>
    <hyperlink r:id="rId1513" ref="K1514"/>
    <hyperlink r:id="rId1514" ref="K1515"/>
    <hyperlink r:id="rId1515" ref="K1516"/>
    <hyperlink r:id="rId1516" ref="K1517"/>
    <hyperlink r:id="rId1517" ref="K1518"/>
    <hyperlink r:id="rId1518" ref="K1519"/>
    <hyperlink r:id="rId1519" ref="K1520"/>
    <hyperlink r:id="rId1520" ref="K1521"/>
    <hyperlink r:id="rId1521" ref="K1522"/>
    <hyperlink r:id="rId1522" ref="K1523"/>
    <hyperlink r:id="rId1523" ref="K1524"/>
    <hyperlink r:id="rId1524" ref="K1525"/>
    <hyperlink r:id="rId1525" ref="K1526"/>
    <hyperlink r:id="rId1526" ref="K1527"/>
    <hyperlink r:id="rId1527" ref="K1528"/>
    <hyperlink r:id="rId1528" ref="K1529"/>
    <hyperlink r:id="rId1529" ref="K1530"/>
    <hyperlink r:id="rId1530" ref="K1531"/>
    <hyperlink r:id="rId1531" ref="K1532"/>
    <hyperlink r:id="rId1532" ref="K1533"/>
    <hyperlink r:id="rId1533" ref="K1534"/>
    <hyperlink r:id="rId1534" ref="K1535"/>
    <hyperlink r:id="rId1535" ref="K1536"/>
    <hyperlink r:id="rId1536" ref="K1537"/>
    <hyperlink r:id="rId1537" ref="K1538"/>
    <hyperlink r:id="rId1538" ref="K1539"/>
    <hyperlink r:id="rId1539" ref="K1540"/>
    <hyperlink r:id="rId1540" ref="K1541"/>
    <hyperlink r:id="rId1541" ref="K1542"/>
    <hyperlink r:id="rId1542" ref="K1543"/>
    <hyperlink r:id="rId1543" ref="K1544"/>
    <hyperlink r:id="rId1544" ref="K1545"/>
    <hyperlink r:id="rId1545" ref="K1546"/>
    <hyperlink r:id="rId1546" ref="K1547"/>
    <hyperlink r:id="rId1547" ref="K1548"/>
    <hyperlink r:id="rId1548" ref="K1549"/>
    <hyperlink r:id="rId1549" ref="K1550"/>
    <hyperlink r:id="rId1550" ref="K1551"/>
    <hyperlink r:id="rId1551" ref="K1552"/>
    <hyperlink r:id="rId1552" ref="K1553"/>
    <hyperlink r:id="rId1553" ref="K1554"/>
    <hyperlink r:id="rId1554" ref="K1555"/>
    <hyperlink r:id="rId1555" ref="K1556"/>
    <hyperlink r:id="rId1556" ref="K1557"/>
    <hyperlink r:id="rId1557" ref="K1558"/>
    <hyperlink r:id="rId1558" ref="K1559"/>
    <hyperlink r:id="rId1559" ref="K1560"/>
    <hyperlink r:id="rId1560" ref="K1561"/>
    <hyperlink r:id="rId1561" ref="K1562"/>
    <hyperlink r:id="rId1562" ref="K1563"/>
    <hyperlink r:id="rId1563" ref="K1564"/>
    <hyperlink r:id="rId1564" ref="K1565"/>
    <hyperlink r:id="rId1565" ref="K1566"/>
    <hyperlink r:id="rId1566" ref="K1567"/>
    <hyperlink r:id="rId1567" ref="K1568"/>
    <hyperlink r:id="rId1568" ref="K1569"/>
    <hyperlink r:id="rId1569" ref="K1570"/>
    <hyperlink r:id="rId1570" ref="K1571"/>
    <hyperlink r:id="rId1571" ref="K1572"/>
    <hyperlink r:id="rId1572" ref="K1573"/>
    <hyperlink r:id="rId1573" ref="K1574"/>
    <hyperlink r:id="rId1574" ref="K1575"/>
    <hyperlink r:id="rId1575" ref="K1576"/>
    <hyperlink r:id="rId1576" ref="K1577"/>
    <hyperlink r:id="rId1577" ref="K1578"/>
    <hyperlink r:id="rId1578" ref="K1579"/>
    <hyperlink r:id="rId1579" ref="K1580"/>
    <hyperlink r:id="rId1580" ref="K1581"/>
    <hyperlink r:id="rId1581" ref="K1582"/>
    <hyperlink r:id="rId1582" ref="K1583"/>
    <hyperlink r:id="rId1583" ref="K1584"/>
    <hyperlink r:id="rId1584" ref="K1585"/>
    <hyperlink r:id="rId1585" ref="K1586"/>
    <hyperlink r:id="rId1586" ref="K1587"/>
    <hyperlink r:id="rId1587" ref="K1588"/>
    <hyperlink r:id="rId1588" ref="K1589"/>
    <hyperlink r:id="rId1589" ref="K1590"/>
    <hyperlink r:id="rId1590" ref="K1591"/>
    <hyperlink r:id="rId1591" ref="K1592"/>
    <hyperlink r:id="rId1592" ref="K1593"/>
    <hyperlink r:id="rId1593" ref="K1594"/>
    <hyperlink r:id="rId1594" ref="K1595"/>
    <hyperlink r:id="rId1595" ref="K1596"/>
    <hyperlink r:id="rId1596" ref="K1597"/>
    <hyperlink r:id="rId1597" ref="K1598"/>
    <hyperlink r:id="rId1598" ref="K1599"/>
    <hyperlink r:id="rId1599" ref="K1600"/>
    <hyperlink r:id="rId1600" ref="K1601"/>
    <hyperlink r:id="rId1601" ref="K1602"/>
    <hyperlink r:id="rId1602" ref="K1603"/>
    <hyperlink r:id="rId1603" ref="K1604"/>
    <hyperlink r:id="rId1604" ref="K1605"/>
    <hyperlink r:id="rId1605" ref="K1606"/>
    <hyperlink r:id="rId1606" ref="K1607"/>
    <hyperlink r:id="rId1607" ref="K1608"/>
    <hyperlink r:id="rId1608" ref="K1609"/>
    <hyperlink r:id="rId1609" ref="K1610"/>
    <hyperlink r:id="rId1610" ref="K1611"/>
    <hyperlink r:id="rId1611" ref="K1612"/>
    <hyperlink r:id="rId1612" ref="K1613"/>
    <hyperlink r:id="rId1613" ref="K1614"/>
    <hyperlink r:id="rId1614" ref="K1615"/>
    <hyperlink r:id="rId1615" ref="K1616"/>
    <hyperlink r:id="rId1616" ref="K1617"/>
    <hyperlink r:id="rId1617" ref="K1618"/>
    <hyperlink r:id="rId1618" ref="K1619"/>
    <hyperlink r:id="rId1619" ref="K1620"/>
    <hyperlink r:id="rId1620" ref="K1621"/>
    <hyperlink r:id="rId1621" ref="K1622"/>
    <hyperlink r:id="rId1622" ref="K1623"/>
    <hyperlink r:id="rId1623" ref="K1624"/>
    <hyperlink r:id="rId1624" ref="K1625"/>
    <hyperlink r:id="rId1625" ref="K1626"/>
    <hyperlink r:id="rId1626" ref="K1627"/>
    <hyperlink r:id="rId1627" ref="K1628"/>
    <hyperlink r:id="rId1628" ref="K1629"/>
    <hyperlink r:id="rId1629" ref="K1630"/>
    <hyperlink r:id="rId1630" ref="K1631"/>
    <hyperlink r:id="rId1631" ref="K1632"/>
    <hyperlink r:id="rId1632" ref="K1633"/>
    <hyperlink r:id="rId1633" ref="K1634"/>
    <hyperlink r:id="rId1634" ref="K1635"/>
    <hyperlink r:id="rId1635" ref="K1636"/>
    <hyperlink r:id="rId1636" ref="K1637"/>
    <hyperlink r:id="rId1637" ref="K1638"/>
    <hyperlink r:id="rId1638" ref="K1639"/>
    <hyperlink r:id="rId1639" ref="K1640"/>
    <hyperlink r:id="rId1640" ref="K1641"/>
    <hyperlink r:id="rId1641" ref="K1642"/>
    <hyperlink r:id="rId1642" ref="K1643"/>
    <hyperlink r:id="rId1643" ref="K1644"/>
    <hyperlink r:id="rId1644" ref="K1645"/>
    <hyperlink r:id="rId1645" ref="K1646"/>
    <hyperlink r:id="rId1646" ref="K1647"/>
    <hyperlink r:id="rId1647" ref="K1648"/>
    <hyperlink r:id="rId1648" ref="K1649"/>
    <hyperlink r:id="rId1649" ref="K1650"/>
    <hyperlink r:id="rId1650" ref="K1651"/>
    <hyperlink r:id="rId1651" ref="K1652"/>
    <hyperlink r:id="rId1652" ref="K1653"/>
    <hyperlink r:id="rId1653" ref="K1654"/>
    <hyperlink r:id="rId1654" ref="K1655"/>
    <hyperlink r:id="rId1655" ref="K1656"/>
    <hyperlink r:id="rId1656" ref="K1657"/>
    <hyperlink r:id="rId1657" ref="K1658"/>
    <hyperlink r:id="rId1658" ref="K1659"/>
    <hyperlink r:id="rId1659" ref="K1660"/>
    <hyperlink r:id="rId1660" ref="K1661"/>
    <hyperlink r:id="rId1661" ref="K1662"/>
    <hyperlink r:id="rId1662" ref="K1663"/>
    <hyperlink r:id="rId1663" ref="K1664"/>
    <hyperlink r:id="rId1664" ref="K1665"/>
    <hyperlink r:id="rId1665" ref="K1666"/>
    <hyperlink r:id="rId1666" ref="K1667"/>
    <hyperlink r:id="rId1667" ref="K1668"/>
    <hyperlink r:id="rId1668" ref="K1669"/>
    <hyperlink r:id="rId1669" ref="K1670"/>
    <hyperlink r:id="rId1670" ref="K1671"/>
    <hyperlink r:id="rId1671" ref="K1672"/>
    <hyperlink r:id="rId1672" ref="K1673"/>
    <hyperlink r:id="rId1673" ref="K1674"/>
    <hyperlink r:id="rId1674" ref="K1675"/>
    <hyperlink r:id="rId1675" ref="K1676"/>
    <hyperlink r:id="rId1676" ref="K1677"/>
    <hyperlink r:id="rId1677" ref="K1678"/>
    <hyperlink r:id="rId1678" ref="K1679"/>
    <hyperlink r:id="rId1679" ref="K1680"/>
    <hyperlink r:id="rId1680" ref="K1681"/>
    <hyperlink r:id="rId1681" ref="K1682"/>
    <hyperlink r:id="rId1682" ref="K1683"/>
    <hyperlink r:id="rId1683" ref="K1684"/>
    <hyperlink r:id="rId1684" ref="K1685"/>
    <hyperlink r:id="rId1685" ref="K1686"/>
    <hyperlink r:id="rId1686" ref="K1687"/>
    <hyperlink r:id="rId1687" ref="K1688"/>
    <hyperlink r:id="rId1688" ref="K1689"/>
    <hyperlink r:id="rId1689" ref="K1690"/>
    <hyperlink r:id="rId1690" ref="K1691"/>
    <hyperlink r:id="rId1691" ref="K1692"/>
    <hyperlink r:id="rId1692" ref="K1693"/>
    <hyperlink r:id="rId1693" ref="K1694"/>
    <hyperlink r:id="rId1694" ref="K1695"/>
    <hyperlink r:id="rId1695" ref="K1696"/>
    <hyperlink r:id="rId1696" ref="K1697"/>
    <hyperlink r:id="rId1697" ref="K1698"/>
    <hyperlink r:id="rId1698" ref="K1699"/>
    <hyperlink r:id="rId1699" ref="K1700"/>
    <hyperlink r:id="rId1700" ref="K1701"/>
    <hyperlink r:id="rId1701" ref="K1702"/>
    <hyperlink r:id="rId1702" ref="K1703"/>
    <hyperlink r:id="rId1703" ref="K1704"/>
    <hyperlink r:id="rId1704" ref="K1705"/>
    <hyperlink r:id="rId1705" ref="K1706"/>
    <hyperlink r:id="rId1706" ref="K1707"/>
    <hyperlink r:id="rId1707" ref="K1708"/>
    <hyperlink r:id="rId1708" ref="K1709"/>
    <hyperlink r:id="rId1709" ref="K1710"/>
    <hyperlink r:id="rId1710" ref="K1711"/>
    <hyperlink r:id="rId1711" ref="K1712"/>
    <hyperlink r:id="rId1712" ref="K1713"/>
    <hyperlink r:id="rId1713" ref="K1714"/>
    <hyperlink r:id="rId1714" ref="K1715"/>
    <hyperlink r:id="rId1715" ref="K1716"/>
    <hyperlink r:id="rId1716" ref="K1717"/>
    <hyperlink r:id="rId1717" ref="K1718"/>
    <hyperlink r:id="rId1718" ref="K1719"/>
    <hyperlink r:id="rId1719" ref="K1720"/>
    <hyperlink r:id="rId1720" ref="K1721"/>
    <hyperlink r:id="rId1721" ref="K1722"/>
    <hyperlink r:id="rId1722" ref="K1723"/>
    <hyperlink r:id="rId1723" ref="K1724"/>
    <hyperlink r:id="rId1724" ref="K1725"/>
    <hyperlink r:id="rId1725" ref="K1726"/>
    <hyperlink r:id="rId1726" ref="K1727"/>
    <hyperlink r:id="rId1727" ref="K1728"/>
    <hyperlink r:id="rId1728" ref="K1729"/>
    <hyperlink r:id="rId1729" ref="K1730"/>
    <hyperlink r:id="rId1730" ref="K1731"/>
    <hyperlink r:id="rId1731" ref="K1732"/>
    <hyperlink r:id="rId1732" ref="K1733"/>
    <hyperlink r:id="rId1733" ref="K1734"/>
    <hyperlink r:id="rId1734" ref="K1735"/>
    <hyperlink r:id="rId1735" ref="K1736"/>
    <hyperlink r:id="rId1736" ref="K1737"/>
    <hyperlink r:id="rId1737" ref="K1738"/>
    <hyperlink r:id="rId1738" ref="K1739"/>
    <hyperlink r:id="rId1739" ref="K1740"/>
    <hyperlink r:id="rId1740" ref="K1741"/>
    <hyperlink r:id="rId1741" ref="K1742"/>
    <hyperlink r:id="rId1742" ref="K1743"/>
    <hyperlink r:id="rId1743" ref="K1744"/>
    <hyperlink r:id="rId1744" ref="K1745"/>
    <hyperlink r:id="rId1745" ref="K1746"/>
    <hyperlink r:id="rId1746" ref="K1747"/>
    <hyperlink r:id="rId1747" ref="K1748"/>
    <hyperlink r:id="rId1748" ref="K1749"/>
    <hyperlink r:id="rId1749" ref="K1750"/>
    <hyperlink r:id="rId1750" ref="K1751"/>
    <hyperlink r:id="rId1751" ref="K1752"/>
    <hyperlink r:id="rId1752" ref="K1753"/>
    <hyperlink r:id="rId1753" ref="K1754"/>
    <hyperlink r:id="rId1754" ref="K1755"/>
    <hyperlink r:id="rId1755" ref="K1756"/>
    <hyperlink r:id="rId1756" ref="K1757"/>
    <hyperlink r:id="rId1757" ref="K1758"/>
    <hyperlink r:id="rId1758" ref="K1759"/>
    <hyperlink r:id="rId1759" ref="K1760"/>
    <hyperlink r:id="rId1760" ref="K1761"/>
    <hyperlink r:id="rId1761" ref="K1762"/>
    <hyperlink r:id="rId1762" ref="K1763"/>
    <hyperlink r:id="rId1763" ref="K1764"/>
    <hyperlink r:id="rId1764" ref="K1765"/>
    <hyperlink r:id="rId1765" ref="K1766"/>
    <hyperlink r:id="rId1766" ref="K1767"/>
    <hyperlink r:id="rId1767" ref="K1768"/>
    <hyperlink r:id="rId1768" ref="K1769"/>
    <hyperlink r:id="rId1769" ref="K1770"/>
    <hyperlink r:id="rId1770" ref="K1771"/>
    <hyperlink r:id="rId1771" ref="K1772"/>
    <hyperlink r:id="rId1772" ref="K1773"/>
    <hyperlink r:id="rId1773" ref="K1774"/>
    <hyperlink r:id="rId1774" ref="K1775"/>
    <hyperlink r:id="rId1775" ref="K1776"/>
    <hyperlink r:id="rId1776" ref="K1777"/>
    <hyperlink r:id="rId1777" ref="K1778"/>
    <hyperlink r:id="rId1778" ref="K1779"/>
    <hyperlink r:id="rId1779" ref="K1780"/>
    <hyperlink r:id="rId1780" ref="K1781"/>
    <hyperlink r:id="rId1781" ref="K1782"/>
    <hyperlink r:id="rId1782" ref="K1783"/>
    <hyperlink r:id="rId1783" ref="K1784"/>
    <hyperlink r:id="rId1784" ref="K1785"/>
    <hyperlink r:id="rId1785" ref="K1786"/>
    <hyperlink r:id="rId1786" ref="K1787"/>
    <hyperlink r:id="rId1787" ref="K1788"/>
    <hyperlink r:id="rId1788" ref="K1789"/>
    <hyperlink r:id="rId1789" ref="K1790"/>
    <hyperlink r:id="rId1790" ref="K1791"/>
    <hyperlink r:id="rId1791" ref="K1792"/>
    <hyperlink r:id="rId1792" ref="K1793"/>
    <hyperlink r:id="rId1793" ref="K1794"/>
    <hyperlink r:id="rId1794" ref="K1795"/>
    <hyperlink r:id="rId1795" ref="K1796"/>
    <hyperlink r:id="rId1796" ref="K1797"/>
    <hyperlink r:id="rId1797" ref="K1798"/>
    <hyperlink r:id="rId1798" ref="K1799"/>
    <hyperlink r:id="rId1799" ref="K1800"/>
    <hyperlink r:id="rId1800" ref="K1801"/>
    <hyperlink r:id="rId1801" ref="K1802"/>
    <hyperlink r:id="rId1802" ref="K1803"/>
    <hyperlink r:id="rId1803" ref="K1804"/>
    <hyperlink r:id="rId1804" ref="K1805"/>
    <hyperlink r:id="rId1805" ref="K1806"/>
    <hyperlink r:id="rId1806" ref="K1807"/>
    <hyperlink r:id="rId1807" ref="K1808"/>
    <hyperlink r:id="rId1808" ref="K1809"/>
    <hyperlink r:id="rId1809" ref="K1810"/>
    <hyperlink r:id="rId1810" ref="K1811"/>
    <hyperlink r:id="rId1811" ref="K1812"/>
    <hyperlink r:id="rId1812" ref="K1813"/>
    <hyperlink r:id="rId1813" ref="K1814"/>
    <hyperlink r:id="rId1814" ref="K1815"/>
    <hyperlink r:id="rId1815" ref="K1816"/>
    <hyperlink r:id="rId1816" ref="K1817"/>
    <hyperlink r:id="rId1817" ref="K1818"/>
    <hyperlink r:id="rId1818" ref="K1819"/>
    <hyperlink r:id="rId1819" ref="K1820"/>
    <hyperlink r:id="rId1820" ref="K1821"/>
    <hyperlink r:id="rId1821" ref="K1822"/>
    <hyperlink r:id="rId1822" ref="K1823"/>
    <hyperlink r:id="rId1823" ref="K1824"/>
    <hyperlink r:id="rId1824" ref="K1825"/>
    <hyperlink r:id="rId1825" ref="K1826"/>
    <hyperlink r:id="rId1826" ref="K1827"/>
    <hyperlink r:id="rId1827" ref="K1828"/>
    <hyperlink r:id="rId1828" ref="K1829"/>
    <hyperlink r:id="rId1829" ref="K1830"/>
    <hyperlink r:id="rId1830" ref="K1831"/>
    <hyperlink r:id="rId1831" ref="K1832"/>
    <hyperlink r:id="rId1832" ref="K1833"/>
    <hyperlink r:id="rId1833" ref="K1834"/>
    <hyperlink r:id="rId1834" ref="K1835"/>
    <hyperlink r:id="rId1835" ref="K1836"/>
    <hyperlink r:id="rId1836" ref="K1837"/>
    <hyperlink r:id="rId1837" ref="K1838"/>
    <hyperlink r:id="rId1838" ref="K1839"/>
    <hyperlink r:id="rId1839" ref="K1840"/>
    <hyperlink r:id="rId1840" ref="K1841"/>
    <hyperlink r:id="rId1841" ref="K1842"/>
    <hyperlink r:id="rId1842" ref="K1843"/>
    <hyperlink r:id="rId1843" ref="K1844"/>
    <hyperlink r:id="rId1844" ref="K1845"/>
    <hyperlink r:id="rId1845" ref="K1846"/>
    <hyperlink r:id="rId1846" ref="K1847"/>
    <hyperlink r:id="rId1847" ref="K1848"/>
    <hyperlink r:id="rId1848" ref="K1849"/>
    <hyperlink r:id="rId1849" ref="K1850"/>
    <hyperlink r:id="rId1850" ref="K1851"/>
    <hyperlink r:id="rId1851" ref="K1852"/>
    <hyperlink r:id="rId1852" ref="K1853"/>
    <hyperlink r:id="rId1853" ref="K1854"/>
    <hyperlink r:id="rId1854" ref="K1855"/>
    <hyperlink r:id="rId1855" ref="K1856"/>
    <hyperlink r:id="rId1856" ref="K1857"/>
    <hyperlink r:id="rId1857" ref="K1858"/>
    <hyperlink r:id="rId1858" ref="K1859"/>
    <hyperlink r:id="rId1859" ref="K1860"/>
  </hyperlinks>
  <drawing r:id="rId18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3" t="str">
        <f>IFERROR(__xludf.DUMMYFUNCTION("QUERY('Expected Realizations'!A1:Z1000 ,""Select * Where L Contains 'GTe' and I Contains 'Turkey'"",1)"),"EP ID_Opp ID")</f>
        <v>EP ID_Opp ID</v>
      </c>
      <c r="B1" s="43" t="str">
        <f>IFERROR(__xludf.DUMMYFUNCTION("""COMPUTED_VALUE"""),"Full Name")</f>
        <v>Full Name</v>
      </c>
      <c r="C1" s="43" t="str">
        <f>IFERROR(__xludf.DUMMYFUNCTION("""COMPUTED_VALUE"""),"Status")</f>
        <v>Status</v>
      </c>
      <c r="D1" s="43" t="str">
        <f>IFERROR(__xludf.DUMMYFUNCTION("""COMPUTED_VALUE"""),"Remote Realized?")</f>
        <v>Remote Realized?</v>
      </c>
      <c r="E1" s="43" t="str">
        <f>IFERROR(__xludf.DUMMYFUNCTION("""COMPUTED_VALUE"""),"Email")</f>
        <v>Email</v>
      </c>
      <c r="F1" s="43" t="str">
        <f>IFERROR(__xludf.DUMMYFUNCTION("""COMPUTED_VALUE"""),"Phone Number")</f>
        <v>Phone Number</v>
      </c>
      <c r="G1" s="43" t="str">
        <f>IFERROR(__xludf.DUMMYFUNCTION("""COMPUTED_VALUE"""),"Home MC")</f>
        <v>Home MC</v>
      </c>
      <c r="H1" s="43" t="str">
        <f>IFERROR(__xludf.DUMMYFUNCTION("""COMPUTED_VALUE"""),"Home LC")</f>
        <v>Home LC</v>
      </c>
      <c r="I1" s="43" t="str">
        <f>IFERROR(__xludf.DUMMYFUNCTION("""COMPUTED_VALUE"""),"Host MC")</f>
        <v>Host MC</v>
      </c>
      <c r="J1" s="43" t="str">
        <f>IFERROR(__xludf.DUMMYFUNCTION("""COMPUTED_VALUE"""),"Host LC")</f>
        <v>Host LC</v>
      </c>
      <c r="K1" s="43" t="str">
        <f>IFERROR(__xludf.DUMMYFUNCTION("""COMPUTED_VALUE"""),"Oppprtunity")</f>
        <v>Oppprtunity</v>
      </c>
      <c r="L1" s="43" t="str">
        <f>IFERROR(__xludf.DUMMYFUNCTION("""COMPUTED_VALUE"""),"Product")</f>
        <v>Product</v>
      </c>
      <c r="M1" s="43" t="str">
        <f>IFERROR(__xludf.DUMMYFUNCTION("""COMPUTED_VALUE"""),"Duration Type")</f>
        <v>Duration Type</v>
      </c>
      <c r="N1" s="43" t="str">
        <f>IFERROR(__xludf.DUMMYFUNCTION("""COMPUTED_VALUE"""),"Date Approved")</f>
        <v>Date Approved</v>
      </c>
      <c r="O1" s="43" t="str">
        <f>IFERROR(__xludf.DUMMYFUNCTION("""COMPUTED_VALUE"""),"Slot Start Date")</f>
        <v>Slot Start Date</v>
      </c>
      <c r="P1" s="43" t="str">
        <f>IFERROR(__xludf.DUMMYFUNCTION("""COMPUTED_VALUE"""),"Slot End Date")</f>
        <v>Slot End Date</v>
      </c>
      <c r="Q1" s="43" t="str">
        <f>IFERROR(__xludf.DUMMYFUNCTION("""COMPUTED_VALUE"""),"Date Realized")</f>
        <v>Date Realized</v>
      </c>
      <c r="R1" s="43" t="str">
        <f>IFERROR(__xludf.DUMMYFUNCTION("""COMPUTED_VALUE"""),"Experience End Date")</f>
        <v>Experience End Date</v>
      </c>
      <c r="S1" s="43" t="str">
        <f>IFERROR(__xludf.DUMMYFUNCTION("""COMPUTED_VALUE"""),"Remote Realized Date")</f>
        <v>Remote Realized Date</v>
      </c>
      <c r="T1" s="43" t="str">
        <f>IFERROR(__xludf.DUMMYFUNCTION("""COMPUTED_VALUE"""),"Sub Product")</f>
        <v>Sub Product</v>
      </c>
      <c r="U1" s="43" t="str">
        <f>IFERROR(__xludf.DUMMYFUNCTION("""COMPUTED_VALUE"""),"Title")</f>
        <v>Title</v>
      </c>
      <c r="V1" s="43" t="str">
        <f>IFERROR(__xludf.DUMMYFUNCTION("""COMPUTED_VALUE"""),"Campus")</f>
        <v>Campus</v>
      </c>
      <c r="W1" s="43" t="str">
        <f>IFERROR(__xludf.DUMMYFUNCTION("""COMPUTED_VALUE"""),"Signup Date")</f>
        <v>Signup Date</v>
      </c>
      <c r="X1" s="43" t="str">
        <f>IFERROR(__xludf.DUMMYFUNCTION("""COMPUTED_VALUE"""),"")</f>
        <v/>
      </c>
      <c r="Y1" s="43" t="str">
        <f>IFERROR(__xludf.DUMMYFUNCTION("""COMPUTED_VALUE"""),"")</f>
        <v/>
      </c>
      <c r="Z1" s="43" t="str">
        <f>IFERROR(__xludf.DUMMYFUNCTION("""COMPUTED_VALUE"""),"")</f>
        <v/>
      </c>
    </row>
    <row r="2" hidden="1">
      <c r="A2" s="43" t="str">
        <f>IFERROR(__xludf.DUMMYFUNCTION("""COMPUTED_VALUE"""),"3835259_1284294")</f>
        <v>3835259_1284294</v>
      </c>
      <c r="B2" s="43" t="str">
        <f>IFERROR(__xludf.DUMMYFUNCTION("""COMPUTED_VALUE"""),"Montaha Gharbi")</f>
        <v>Montaha Gharbi</v>
      </c>
      <c r="C2" s="43" t="str">
        <f>IFERROR(__xludf.DUMMYFUNCTION("""COMPUTED_VALUE"""),"finished")</f>
        <v>finished</v>
      </c>
      <c r="D2" s="43" t="str">
        <f>IFERROR(__xludf.DUMMYFUNCTION("""COMPUTED_VALUE"""),"No")</f>
        <v>No</v>
      </c>
      <c r="E2" s="43" t="str">
        <f>IFERROR(__xludf.DUMMYFUNCTION("""COMPUTED_VALUE"""),"p_ece1830aaa87794e9466e365e972cb21a5db7ec5@inbound.aiesec.org")</f>
        <v>p_ece1830aaa87794e9466e365e972cb21a5db7ec5@inbound.aiesec.org</v>
      </c>
      <c r="F2" s="43">
        <f>IFERROR(__xludf.DUMMYFUNCTION("""COMPUTED_VALUE"""),2.8687588E7)</f>
        <v>28687588</v>
      </c>
      <c r="G2" s="43" t="str">
        <f>IFERROR(__xludf.DUMMYFUNCTION("""COMPUTED_VALUE"""),"Tunisia")</f>
        <v>Tunisia</v>
      </c>
      <c r="H2" s="43" t="str">
        <f>IFERROR(__xludf.DUMMYFUNCTION("""COMPUTED_VALUE"""),"RUSPINA")</f>
        <v>RUSPINA</v>
      </c>
      <c r="I2" s="43" t="str">
        <f>IFERROR(__xludf.DUMMYFUNCTION("""COMPUTED_VALUE"""),"Turkey")</f>
        <v>Turkey</v>
      </c>
      <c r="J2" s="43" t="str">
        <f>IFERROR(__xludf.DUMMYFUNCTION("""COMPUTED_VALUE"""),"SAKARYA")</f>
        <v>SAKARYA</v>
      </c>
      <c r="K2" s="44" t="str">
        <f>IFERROR(__xludf.DUMMYFUNCTION("""COMPUTED_VALUE"""),"https://expa.aiesec.org/opportunities/1284294")</f>
        <v>https://expa.aiesec.org/opportunities/1284294</v>
      </c>
      <c r="L2" s="43" t="str">
        <f>IFERROR(__xludf.DUMMYFUNCTION("""COMPUTED_VALUE"""),"GTe")</f>
        <v>GTe</v>
      </c>
      <c r="M2" s="43" t="str">
        <f>IFERROR(__xludf.DUMMYFUNCTION("""COMPUTED_VALUE"""),"long")</f>
        <v>long</v>
      </c>
      <c r="N2" s="45">
        <f>IFERROR(__xludf.DUMMYFUNCTION("""COMPUTED_VALUE"""),44749.0)</f>
        <v>44749</v>
      </c>
      <c r="O2" s="45">
        <f>IFERROR(__xludf.DUMMYFUNCTION("""COMPUTED_VALUE"""),44788.0)</f>
        <v>44788</v>
      </c>
      <c r="P2" s="45">
        <f>IFERROR(__xludf.DUMMYFUNCTION("""COMPUTED_VALUE"""),45107.0)</f>
        <v>45107</v>
      </c>
      <c r="Q2" s="45">
        <f>IFERROR(__xludf.DUMMYFUNCTION("""COMPUTED_VALUE"""),44824.0)</f>
        <v>44824</v>
      </c>
      <c r="R2" s="45">
        <f>IFERROR(__xludf.DUMMYFUNCTION("""COMPUTED_VALUE"""),45083.0)</f>
        <v>45083</v>
      </c>
      <c r="S2" s="43"/>
      <c r="T2" s="43"/>
      <c r="U2" s="43" t="str">
        <f>IFERROR(__xludf.DUMMYFUNCTION("""COMPUTED_VALUE"""),"English Teacher")</f>
        <v>English Teacher</v>
      </c>
      <c r="V2" s="43" t="str">
        <f>IFERROR(__xludf.DUMMYFUNCTION("""COMPUTED_VALUE"""),"ISLAA Moknine")</f>
        <v>ISLAA Moknine</v>
      </c>
      <c r="W2" s="43" t="str">
        <f>IFERROR(__xludf.DUMMYFUNCTION("""COMPUTED_VALUE"""),"2019-09-16T20:44:25Z")</f>
        <v>2019-09-16T20:44:25Z</v>
      </c>
      <c r="X2" s="43"/>
      <c r="Y2" s="43"/>
      <c r="Z2" s="43"/>
    </row>
    <row r="3" hidden="1">
      <c r="A3" s="43" t="str">
        <f>IFERROR(__xludf.DUMMYFUNCTION("""COMPUTED_VALUE"""),"5078707_1283834")</f>
        <v>5078707_1283834</v>
      </c>
      <c r="B3" s="43" t="str">
        <f>IFERROR(__xludf.DUMMYFUNCTION("""COMPUTED_VALUE"""),"deleted 5078707")</f>
        <v>deleted 5078707</v>
      </c>
      <c r="C3" s="43" t="str">
        <f>IFERROR(__xludf.DUMMYFUNCTION("""COMPUTED_VALUE"""),"realization_broken")</f>
        <v>realization_broken</v>
      </c>
      <c r="D3" s="43" t="str">
        <f>IFERROR(__xludf.DUMMYFUNCTION("""COMPUTED_VALUE"""),"No")</f>
        <v>No</v>
      </c>
      <c r="E3" s="43" t="str">
        <f>IFERROR(__xludf.DUMMYFUNCTION("""COMPUTED_VALUE"""),"p_9762d12dc441022f268383e7ba1c8bc84b29df75@inbound.aiesec.org")</f>
        <v>p_9762d12dc441022f268383e7ba1c8bc84b29df75@inbound.aiesec.org</v>
      </c>
      <c r="F3" s="43"/>
      <c r="G3" s="43" t="str">
        <f>IFERROR(__xludf.DUMMYFUNCTION("""COMPUTED_VALUE"""),"Algeria")</f>
        <v>Algeria</v>
      </c>
      <c r="H3" s="43" t="str">
        <f>IFERROR(__xludf.DUMMYFUNCTION("""COMPUTED_VALUE"""),"Babez")</f>
        <v>Babez</v>
      </c>
      <c r="I3" s="43" t="str">
        <f>IFERROR(__xludf.DUMMYFUNCTION("""COMPUTED_VALUE"""),"Turkey")</f>
        <v>Turkey</v>
      </c>
      <c r="J3" s="43" t="str">
        <f>IFERROR(__xludf.DUMMYFUNCTION("""COMPUTED_VALUE"""),"GAZIANTEP")</f>
        <v>GAZIANTEP</v>
      </c>
      <c r="K3" s="44" t="str">
        <f>IFERROR(__xludf.DUMMYFUNCTION("""COMPUTED_VALUE"""),"https://expa.aiesec.org/opportunities/1283834")</f>
        <v>https://expa.aiesec.org/opportunities/1283834</v>
      </c>
      <c r="L3" s="43" t="str">
        <f>IFERROR(__xludf.DUMMYFUNCTION("""COMPUTED_VALUE"""),"GTe")</f>
        <v>GTe</v>
      </c>
      <c r="M3" s="43" t="str">
        <f>IFERROR(__xludf.DUMMYFUNCTION("""COMPUTED_VALUE"""),"long")</f>
        <v>long</v>
      </c>
      <c r="N3" s="45">
        <f>IFERROR(__xludf.DUMMYFUNCTION("""COMPUTED_VALUE"""),44749.0)</f>
        <v>44749</v>
      </c>
      <c r="O3" s="45">
        <f>IFERROR(__xludf.DUMMYFUNCTION("""COMPUTED_VALUE"""),44761.0)</f>
        <v>44761</v>
      </c>
      <c r="P3" s="45">
        <f>IFERROR(__xludf.DUMMYFUNCTION("""COMPUTED_VALUE"""),45035.0)</f>
        <v>45035</v>
      </c>
      <c r="Q3" s="45"/>
      <c r="R3" s="45"/>
      <c r="S3" s="43"/>
      <c r="T3" s="43"/>
      <c r="U3" s="43" t="str">
        <f>IFERROR(__xludf.DUMMYFUNCTION("""COMPUTED_VALUE"""),"English Teacher")</f>
        <v>English Teacher</v>
      </c>
      <c r="V3" s="43" t="str">
        <f>IFERROR(__xludf.DUMMYFUNCTION("""COMPUTED_VALUE"""),"AIESEC in Babez")</f>
        <v>AIESEC in Babez</v>
      </c>
      <c r="W3" s="43" t="str">
        <f>IFERROR(__xludf.DUMMYFUNCTION("""COMPUTED_VALUE"""),"2022-07-01T11:14:23Z")</f>
        <v>2022-07-01T11:14:23Z</v>
      </c>
      <c r="X3" s="43"/>
      <c r="Y3" s="43"/>
      <c r="Z3" s="43"/>
    </row>
    <row r="4" hidden="1">
      <c r="A4" s="43" t="str">
        <f>IFERROR(__xludf.DUMMYFUNCTION("""COMPUTED_VALUE"""),"4986942_1287862")</f>
        <v>4986942_1287862</v>
      </c>
      <c r="B4" s="43" t="str">
        <f>IFERROR(__xludf.DUMMYFUNCTION("""COMPUTED_VALUE"""),"Maroua Charef")</f>
        <v>Maroua Charef</v>
      </c>
      <c r="C4" s="43" t="str">
        <f>IFERROR(__xludf.DUMMYFUNCTION("""COMPUTED_VALUE"""),"realization_broken")</f>
        <v>realization_broken</v>
      </c>
      <c r="D4" s="43" t="str">
        <f>IFERROR(__xludf.DUMMYFUNCTION("""COMPUTED_VALUE"""),"No")</f>
        <v>No</v>
      </c>
      <c r="E4" s="43" t="str">
        <f>IFERROR(__xludf.DUMMYFUNCTION("""COMPUTED_VALUE"""),"p_16253d2c236bc2c95abbd0d5aaf8656bc2b36eb6@inbound.aiesec.org")</f>
        <v>p_16253d2c236bc2c95abbd0d5aaf8656bc2b36eb6@inbound.aiesec.org</v>
      </c>
      <c r="F4" s="43">
        <f>IFERROR(__xludf.DUMMYFUNCTION("""COMPUTED_VALUE"""),5.353282593E9)</f>
        <v>5353282593</v>
      </c>
      <c r="G4" s="43" t="str">
        <f>IFERROR(__xludf.DUMMYFUNCTION("""COMPUTED_VALUE"""),"Algeria")</f>
        <v>Algeria</v>
      </c>
      <c r="H4" s="43" t="str">
        <f>IFERROR(__xludf.DUMMYFUNCTION("""COMPUTED_VALUE"""),"Benak")</f>
        <v>Benak</v>
      </c>
      <c r="I4" s="43" t="str">
        <f>IFERROR(__xludf.DUMMYFUNCTION("""COMPUTED_VALUE"""),"Turkey")</f>
        <v>Turkey</v>
      </c>
      <c r="J4" s="43" t="str">
        <f>IFERROR(__xludf.DUMMYFUNCTION("""COMPUTED_VALUE"""),"BURSA")</f>
        <v>BURSA</v>
      </c>
      <c r="K4" s="44" t="str">
        <f>IFERROR(__xludf.DUMMYFUNCTION("""COMPUTED_VALUE"""),"https://expa.aiesec.org/opportunities/1287862")</f>
        <v>https://expa.aiesec.org/opportunities/1287862</v>
      </c>
      <c r="L4" s="43" t="str">
        <f>IFERROR(__xludf.DUMMYFUNCTION("""COMPUTED_VALUE"""),"GTe")</f>
        <v>GTe</v>
      </c>
      <c r="M4" s="43" t="str">
        <f>IFERROR(__xludf.DUMMYFUNCTION("""COMPUTED_VALUE"""),"long")</f>
        <v>long</v>
      </c>
      <c r="N4" s="45">
        <f>IFERROR(__xludf.DUMMYFUNCTION("""COMPUTED_VALUE"""),44750.0)</f>
        <v>44750</v>
      </c>
      <c r="O4" s="45">
        <f>IFERROR(__xludf.DUMMYFUNCTION("""COMPUTED_VALUE"""),44793.0)</f>
        <v>44793</v>
      </c>
      <c r="P4" s="45">
        <f>IFERROR(__xludf.DUMMYFUNCTION("""COMPUTED_VALUE"""),45097.0)</f>
        <v>45097</v>
      </c>
      <c r="Q4" s="45"/>
      <c r="R4" s="45"/>
      <c r="S4" s="43"/>
      <c r="T4" s="43"/>
      <c r="U4" s="43" t="str">
        <f>IFERROR(__xludf.DUMMYFUNCTION("""COMPUTED_VALUE"""),"(Yıldırım) English Teacher")</f>
        <v>(Yıldırım) English Teacher</v>
      </c>
      <c r="V4" s="43" t="str">
        <f>IFERROR(__xludf.DUMMYFUNCTION("""COMPUTED_VALUE"""),"AIESEC in Benak")</f>
        <v>AIESEC in Benak</v>
      </c>
      <c r="W4" s="43" t="str">
        <f>IFERROR(__xludf.DUMMYFUNCTION("""COMPUTED_VALUE"""),"2022-03-16T10:41:17Z")</f>
        <v>2022-03-16T10:41:17Z</v>
      </c>
      <c r="X4" s="43"/>
      <c r="Y4" s="43"/>
      <c r="Z4" s="43"/>
    </row>
    <row r="5" hidden="1">
      <c r="A5" s="43" t="str">
        <f>IFERROR(__xludf.DUMMYFUNCTION("""COMPUTED_VALUE"""),"5063177_1287374")</f>
        <v>5063177_1287374</v>
      </c>
      <c r="B5" s="43" t="str">
        <f>IFERROR(__xludf.DUMMYFUNCTION("""COMPUTED_VALUE"""),"Mariam Elfeky")</f>
        <v>Mariam Elfeky</v>
      </c>
      <c r="C5" s="43" t="str">
        <f>IFERROR(__xludf.DUMMYFUNCTION("""COMPUTED_VALUE"""),"finished")</f>
        <v>finished</v>
      </c>
      <c r="D5" s="43" t="str">
        <f>IFERROR(__xludf.DUMMYFUNCTION("""COMPUTED_VALUE"""),"No")</f>
        <v>No</v>
      </c>
      <c r="E5" s="43" t="str">
        <f>IFERROR(__xludf.DUMMYFUNCTION("""COMPUTED_VALUE"""),"p_9b1b975d3888a80b1c2bb76414ca919181942f21@inbound.aiesec.org")</f>
        <v>p_9b1b975d3888a80b1c2bb76414ca919181942f21@inbound.aiesec.org</v>
      </c>
      <c r="F5" s="43">
        <f>IFERROR(__xludf.DUMMYFUNCTION("""COMPUTED_VALUE"""),1.112237777E9)</f>
        <v>1112237777</v>
      </c>
      <c r="G5" s="43" t="str">
        <f>IFERROR(__xludf.DUMMYFUNCTION("""COMPUTED_VALUE"""),"Egypt")</f>
        <v>Egypt</v>
      </c>
      <c r="H5" s="43" t="str">
        <f>IFERROR(__xludf.DUMMYFUNCTION("""COMPUTED_VALUE"""),"Zagazig")</f>
        <v>Zagazig</v>
      </c>
      <c r="I5" s="43" t="str">
        <f>IFERROR(__xludf.DUMMYFUNCTION("""COMPUTED_VALUE"""),"Turkey")</f>
        <v>Turkey</v>
      </c>
      <c r="J5" s="43" t="str">
        <f>IFERROR(__xludf.DUMMYFUNCTION("""COMPUTED_VALUE"""),"İZMİR")</f>
        <v>İZMİR</v>
      </c>
      <c r="K5" s="44" t="str">
        <f>IFERROR(__xludf.DUMMYFUNCTION("""COMPUTED_VALUE"""),"https://expa.aiesec.org/opportunities/1287374")</f>
        <v>https://expa.aiesec.org/opportunities/1287374</v>
      </c>
      <c r="L5" s="43" t="str">
        <f>IFERROR(__xludf.DUMMYFUNCTION("""COMPUTED_VALUE"""),"GTe")</f>
        <v>GTe</v>
      </c>
      <c r="M5" s="43" t="str">
        <f>IFERROR(__xludf.DUMMYFUNCTION("""COMPUTED_VALUE"""),"long")</f>
        <v>long</v>
      </c>
      <c r="N5" s="45">
        <f>IFERROR(__xludf.DUMMYFUNCTION("""COMPUTED_VALUE"""),44750.0)</f>
        <v>44750</v>
      </c>
      <c r="O5" s="45">
        <f>IFERROR(__xludf.DUMMYFUNCTION("""COMPUTED_VALUE"""),44791.0)</f>
        <v>44791</v>
      </c>
      <c r="P5" s="45">
        <f>IFERROR(__xludf.DUMMYFUNCTION("""COMPUTED_VALUE"""),45156.0)</f>
        <v>45156</v>
      </c>
      <c r="Q5" s="45">
        <f>IFERROR(__xludf.DUMMYFUNCTION("""COMPUTED_VALUE"""),44816.0)</f>
        <v>44816</v>
      </c>
      <c r="R5" s="45">
        <f>IFERROR(__xludf.DUMMYFUNCTION("""COMPUTED_VALUE"""),45181.0)</f>
        <v>45181</v>
      </c>
      <c r="S5" s="43"/>
      <c r="T5" s="43"/>
      <c r="U5" s="43" t="str">
        <f>IFERROR(__xludf.DUMMYFUNCTION("""COMPUTED_VALUE"""),"English Teacher in Akhisar")</f>
        <v>English Teacher in Akhisar</v>
      </c>
      <c r="V5" s="43" t="str">
        <f>IFERROR(__xludf.DUMMYFUNCTION("""COMPUTED_VALUE"""),"Zagazig")</f>
        <v>Zagazig</v>
      </c>
      <c r="W5" s="43" t="str">
        <f>IFERROR(__xludf.DUMMYFUNCTION("""COMPUTED_VALUE"""),"2022-05-24T14:34:11Z")</f>
        <v>2022-05-24T14:34:11Z</v>
      </c>
      <c r="X5" s="43"/>
      <c r="Y5" s="43"/>
      <c r="Z5" s="43"/>
    </row>
    <row r="6" hidden="1">
      <c r="A6" s="43" t="str">
        <f>IFERROR(__xludf.DUMMYFUNCTION("""COMPUTED_VALUE"""),"5082425_1287864")</f>
        <v>5082425_1287864</v>
      </c>
      <c r="B6" s="43" t="str">
        <f>IFERROR(__xludf.DUMMYFUNCTION("""COMPUTED_VALUE"""),"amane MADANİ")</f>
        <v>amane MADANİ</v>
      </c>
      <c r="C6" s="43" t="str">
        <f>IFERROR(__xludf.DUMMYFUNCTION("""COMPUTED_VALUE"""),"finished")</f>
        <v>finished</v>
      </c>
      <c r="D6" s="43" t="str">
        <f>IFERROR(__xludf.DUMMYFUNCTION("""COMPUTED_VALUE"""),"No")</f>
        <v>No</v>
      </c>
      <c r="E6" s="43" t="str">
        <f>IFERROR(__xludf.DUMMYFUNCTION("""COMPUTED_VALUE"""),"p_e7e0af20062ef001f4036f2019351ec3305e0a27@inbound.aiesec.org")</f>
        <v>p_e7e0af20062ef001f4036f2019351ec3305e0a27@inbound.aiesec.org</v>
      </c>
      <c r="F6" s="43">
        <f>IFERROR(__xludf.DUMMYFUNCTION("""COMPUTED_VALUE"""),7.82280673E8)</f>
        <v>782280673</v>
      </c>
      <c r="G6" s="43" t="str">
        <f>IFERROR(__xludf.DUMMYFUNCTION("""COMPUTED_VALUE"""),"Algeria")</f>
        <v>Algeria</v>
      </c>
      <c r="H6" s="43" t="str">
        <f>IFERROR(__xludf.DUMMYFUNCTION("""COMPUTED_VALUE"""),"Blida")</f>
        <v>Blida</v>
      </c>
      <c r="I6" s="43" t="str">
        <f>IFERROR(__xludf.DUMMYFUNCTION("""COMPUTED_VALUE"""),"Turkey")</f>
        <v>Turkey</v>
      </c>
      <c r="J6" s="43" t="str">
        <f>IFERROR(__xludf.DUMMYFUNCTION("""COMPUTED_VALUE"""),"BURSA")</f>
        <v>BURSA</v>
      </c>
      <c r="K6" s="44" t="str">
        <f>IFERROR(__xludf.DUMMYFUNCTION("""COMPUTED_VALUE"""),"https://expa.aiesec.org/opportunities/1287864")</f>
        <v>https://expa.aiesec.org/opportunities/1287864</v>
      </c>
      <c r="L6" s="43" t="str">
        <f>IFERROR(__xludf.DUMMYFUNCTION("""COMPUTED_VALUE"""),"GTe")</f>
        <v>GTe</v>
      </c>
      <c r="M6" s="43" t="str">
        <f>IFERROR(__xludf.DUMMYFUNCTION("""COMPUTED_VALUE"""),"long")</f>
        <v>long</v>
      </c>
      <c r="N6" s="45">
        <f>IFERROR(__xludf.DUMMYFUNCTION("""COMPUTED_VALUE"""),44755.0)</f>
        <v>44755</v>
      </c>
      <c r="O6" s="45">
        <f>IFERROR(__xludf.DUMMYFUNCTION("""COMPUTED_VALUE"""),44793.0)</f>
        <v>44793</v>
      </c>
      <c r="P6" s="45">
        <f>IFERROR(__xludf.DUMMYFUNCTION("""COMPUTED_VALUE"""),45097.0)</f>
        <v>45097</v>
      </c>
      <c r="Q6" s="45">
        <f>IFERROR(__xludf.DUMMYFUNCTION("""COMPUTED_VALUE"""),44792.0)</f>
        <v>44792</v>
      </c>
      <c r="R6" s="45">
        <f>IFERROR(__xludf.DUMMYFUNCTION("""COMPUTED_VALUE"""),45157.0)</f>
        <v>45157</v>
      </c>
      <c r="S6" s="43"/>
      <c r="T6" s="43"/>
      <c r="U6" s="43" t="str">
        <f>IFERROR(__xludf.DUMMYFUNCTION("""COMPUTED_VALUE"""),"(İnegöl) English Teacher")</f>
        <v>(İnegöl) English Teacher</v>
      </c>
      <c r="V6" s="43" t="str">
        <f>IFERROR(__xludf.DUMMYFUNCTION("""COMPUTED_VALUE"""),"AIESEC in Blida")</f>
        <v>AIESEC in Blida</v>
      </c>
      <c r="W6" s="43" t="str">
        <f>IFERROR(__xludf.DUMMYFUNCTION("""COMPUTED_VALUE"""),"2022-07-13T17:07:10Z")</f>
        <v>2022-07-13T17:07:10Z</v>
      </c>
      <c r="X6" s="43"/>
      <c r="Y6" s="43"/>
      <c r="Z6" s="43"/>
    </row>
    <row r="7" hidden="1">
      <c r="A7" s="43" t="str">
        <f>IFERROR(__xludf.DUMMYFUNCTION("""COMPUTED_VALUE"""),"3939401_1278774")</f>
        <v>3939401_1278774</v>
      </c>
      <c r="B7" s="43" t="str">
        <f>IFERROR(__xludf.DUMMYFUNCTION("""COMPUTED_VALUE"""),"MALEK BENBLI")</f>
        <v>MALEK BENBLI</v>
      </c>
      <c r="C7" s="43" t="str">
        <f>IFERROR(__xludf.DUMMYFUNCTION("""COMPUTED_VALUE"""),"finished")</f>
        <v>finished</v>
      </c>
      <c r="D7" s="43" t="str">
        <f>IFERROR(__xludf.DUMMYFUNCTION("""COMPUTED_VALUE"""),"No")</f>
        <v>No</v>
      </c>
      <c r="E7" s="43" t="str">
        <f>IFERROR(__xludf.DUMMYFUNCTION("""COMPUTED_VALUE"""),"p_dd489670392ed5db603f5dce71dd304a978a1dba@inbound.aiesec.org")</f>
        <v>p_dd489670392ed5db603f5dce71dd304a978a1dba@inbound.aiesec.org</v>
      </c>
      <c r="F7" s="43">
        <f>IFERROR(__xludf.DUMMYFUNCTION("""COMPUTED_VALUE"""),5.5423198E7)</f>
        <v>55423198</v>
      </c>
      <c r="G7" s="43" t="str">
        <f>IFERROR(__xludf.DUMMYFUNCTION("""COMPUTED_VALUE"""),"Tunisia")</f>
        <v>Tunisia</v>
      </c>
      <c r="H7" s="43" t="str">
        <f>IFERROR(__xludf.DUMMYFUNCTION("""COMPUTED_VALUE"""),"Carthage")</f>
        <v>Carthage</v>
      </c>
      <c r="I7" s="43" t="str">
        <f>IFERROR(__xludf.DUMMYFUNCTION("""COMPUTED_VALUE"""),"Turkey")</f>
        <v>Turkey</v>
      </c>
      <c r="J7" s="43" t="str">
        <f>IFERROR(__xludf.DUMMYFUNCTION("""COMPUTED_VALUE"""),"BURSA")</f>
        <v>BURSA</v>
      </c>
      <c r="K7" s="44" t="str">
        <f>IFERROR(__xludf.DUMMYFUNCTION("""COMPUTED_VALUE"""),"https://expa.aiesec.org/opportunities/1278774")</f>
        <v>https://expa.aiesec.org/opportunities/1278774</v>
      </c>
      <c r="L7" s="43" t="str">
        <f>IFERROR(__xludf.DUMMYFUNCTION("""COMPUTED_VALUE"""),"GTe")</f>
        <v>GTe</v>
      </c>
      <c r="M7" s="43" t="str">
        <f>IFERROR(__xludf.DUMMYFUNCTION("""COMPUTED_VALUE"""),"long")</f>
        <v>long</v>
      </c>
      <c r="N7" s="45">
        <f>IFERROR(__xludf.DUMMYFUNCTION("""COMPUTED_VALUE"""),44756.0)</f>
        <v>44756</v>
      </c>
      <c r="O7" s="45">
        <f>IFERROR(__xludf.DUMMYFUNCTION("""COMPUTED_VALUE"""),44866.0)</f>
        <v>44866</v>
      </c>
      <c r="P7" s="45">
        <f>IFERROR(__xludf.DUMMYFUNCTION("""COMPUTED_VALUE"""),45231.0)</f>
        <v>45231</v>
      </c>
      <c r="Q7" s="45">
        <f>IFERROR(__xludf.DUMMYFUNCTION("""COMPUTED_VALUE"""),44810.0)</f>
        <v>44810</v>
      </c>
      <c r="R7" s="45">
        <f>IFERROR(__xludf.DUMMYFUNCTION("""COMPUTED_VALUE"""),45175.0)</f>
        <v>45175</v>
      </c>
      <c r="S7" s="43"/>
      <c r="T7" s="43"/>
      <c r="U7" s="43" t="str">
        <f>IFERROR(__xludf.DUMMYFUNCTION("""COMPUTED_VALUE"""),"English Teaching ")</f>
        <v>English Teaching </v>
      </c>
      <c r="V7" s="43" t="str">
        <f>IFERROR(__xludf.DUMMYFUNCTION("""COMPUTED_VALUE"""),"ISLT")</f>
        <v>ISLT</v>
      </c>
      <c r="W7" s="43" t="str">
        <f>IFERROR(__xludf.DUMMYFUNCTION("""COMPUTED_VALUE"""),"2019-10-31T12:05:51Z")</f>
        <v>2019-10-31T12:05:51Z</v>
      </c>
      <c r="X7" s="43"/>
      <c r="Y7" s="43"/>
      <c r="Z7" s="43"/>
    </row>
    <row r="8" hidden="1">
      <c r="A8" s="43" t="str">
        <f>IFERROR(__xludf.DUMMYFUNCTION("""COMPUTED_VALUE"""),"5056654_1287863")</f>
        <v>5056654_1287863</v>
      </c>
      <c r="B8" s="43" t="str">
        <f>IFERROR(__xludf.DUMMYFUNCTION("""COMPUTED_VALUE"""),"Aida Abzhapbarova")</f>
        <v>Aida Abzhapbarova</v>
      </c>
      <c r="C8" s="43" t="str">
        <f>IFERROR(__xludf.DUMMYFUNCTION("""COMPUTED_VALUE"""),"finished")</f>
        <v>finished</v>
      </c>
      <c r="D8" s="43" t="str">
        <f>IFERROR(__xludf.DUMMYFUNCTION("""COMPUTED_VALUE"""),"No")</f>
        <v>No</v>
      </c>
      <c r="E8" s="43" t="str">
        <f>IFERROR(__xludf.DUMMYFUNCTION("""COMPUTED_VALUE"""),"p_bf5bc3eb5aeec3ff3dc8d593b1d36c945a4889e4@inbound.aiesec.org")</f>
        <v>p_bf5bc3eb5aeec3ff3dc8d593b1d36c945a4889e4@inbound.aiesec.org</v>
      </c>
      <c r="F8" s="43">
        <f>IFERROR(__xludf.DUMMYFUNCTION("""COMPUTED_VALUE"""),7.055548968E9)</f>
        <v>7055548968</v>
      </c>
      <c r="G8" s="43" t="str">
        <f>IFERROR(__xludf.DUMMYFUNCTION("""COMPUTED_VALUE"""),"Kazakhstan")</f>
        <v>Kazakhstan</v>
      </c>
      <c r="H8" s="43" t="str">
        <f>IFERROR(__xludf.DUMMYFUNCTION("""COMPUTED_VALUE"""),"ALMATY")</f>
        <v>ALMATY</v>
      </c>
      <c r="I8" s="43" t="str">
        <f>IFERROR(__xludf.DUMMYFUNCTION("""COMPUTED_VALUE"""),"Turkey")</f>
        <v>Turkey</v>
      </c>
      <c r="J8" s="43" t="str">
        <f>IFERROR(__xludf.DUMMYFUNCTION("""COMPUTED_VALUE"""),"BURSA")</f>
        <v>BURSA</v>
      </c>
      <c r="K8" s="44" t="str">
        <f>IFERROR(__xludf.DUMMYFUNCTION("""COMPUTED_VALUE"""),"https://expa.aiesec.org/opportunities/1287863")</f>
        <v>https://expa.aiesec.org/opportunities/1287863</v>
      </c>
      <c r="L8" s="43" t="str">
        <f>IFERROR(__xludf.DUMMYFUNCTION("""COMPUTED_VALUE"""),"GTe")</f>
        <v>GTe</v>
      </c>
      <c r="M8" s="43" t="str">
        <f>IFERROR(__xludf.DUMMYFUNCTION("""COMPUTED_VALUE"""),"long")</f>
        <v>long</v>
      </c>
      <c r="N8" s="45">
        <f>IFERROR(__xludf.DUMMYFUNCTION("""COMPUTED_VALUE"""),44756.0)</f>
        <v>44756</v>
      </c>
      <c r="O8" s="45">
        <f>IFERROR(__xludf.DUMMYFUNCTION("""COMPUTED_VALUE"""),44793.0)</f>
        <v>44793</v>
      </c>
      <c r="P8" s="45">
        <f>IFERROR(__xludf.DUMMYFUNCTION("""COMPUTED_VALUE"""),45097.0)</f>
        <v>45097</v>
      </c>
      <c r="Q8" s="45">
        <f>IFERROR(__xludf.DUMMYFUNCTION("""COMPUTED_VALUE"""),44792.0)</f>
        <v>44792</v>
      </c>
      <c r="R8" s="45">
        <f>IFERROR(__xludf.DUMMYFUNCTION("""COMPUTED_VALUE"""),45107.0)</f>
        <v>45107</v>
      </c>
      <c r="S8" s="43"/>
      <c r="T8" s="43"/>
      <c r="U8" s="43" t="str">
        <f>IFERROR(__xludf.DUMMYFUNCTION("""COMPUTED_VALUE"""),"(Çamlıca) English Teacher ")</f>
        <v>(Çamlıca) English Teacher </v>
      </c>
      <c r="V8" s="43" t="str">
        <f>IFERROR(__xludf.DUMMYFUNCTION("""COMPUTED_VALUE"""),"Almaty")</f>
        <v>Almaty</v>
      </c>
      <c r="W8" s="43" t="str">
        <f>IFERROR(__xludf.DUMMYFUNCTION("""COMPUTED_VALUE"""),"2022-05-14T06:39:43Z")</f>
        <v>2022-05-14T06:39:43Z</v>
      </c>
      <c r="X8" s="43"/>
      <c r="Y8" s="43"/>
      <c r="Z8" s="43"/>
    </row>
    <row r="9" hidden="1">
      <c r="A9" s="43" t="str">
        <f>IFERROR(__xludf.DUMMYFUNCTION("""COMPUTED_VALUE"""),"3219232_1287861")</f>
        <v>3219232_1287861</v>
      </c>
      <c r="B9" s="43" t="str">
        <f>IFERROR(__xludf.DUMMYFUNCTION("""COMPUTED_VALUE"""),"Oubaida Abderrahmane Baara")</f>
        <v>Oubaida Abderrahmane Baara</v>
      </c>
      <c r="C9" s="43" t="str">
        <f>IFERROR(__xludf.DUMMYFUNCTION("""COMPUTED_VALUE"""),"completed")</f>
        <v>completed</v>
      </c>
      <c r="D9" s="43" t="str">
        <f>IFERROR(__xludf.DUMMYFUNCTION("""COMPUTED_VALUE"""),"No")</f>
        <v>No</v>
      </c>
      <c r="E9" s="43" t="str">
        <f>IFERROR(__xludf.DUMMYFUNCTION("""COMPUTED_VALUE"""),"p_e57d2e9b165225720516d78371a22fa85221121e@inbound.aiesec.org")</f>
        <v>p_e57d2e9b165225720516d78371a22fa85221121e@inbound.aiesec.org</v>
      </c>
      <c r="F9" s="43">
        <f>IFERROR(__xludf.DUMMYFUNCTION("""COMPUTED_VALUE"""),6.74600128E8)</f>
        <v>674600128</v>
      </c>
      <c r="G9" s="43" t="str">
        <f>IFERROR(__xludf.DUMMYFUNCTION("""COMPUTED_VALUE"""),"Algeria")</f>
        <v>Algeria</v>
      </c>
      <c r="H9" s="43" t="str">
        <f>IFERROR(__xludf.DUMMYFUNCTION("""COMPUTED_VALUE"""),"Babez")</f>
        <v>Babez</v>
      </c>
      <c r="I9" s="43" t="str">
        <f>IFERROR(__xludf.DUMMYFUNCTION("""COMPUTED_VALUE"""),"Turkey")</f>
        <v>Turkey</v>
      </c>
      <c r="J9" s="43" t="str">
        <f>IFERROR(__xludf.DUMMYFUNCTION("""COMPUTED_VALUE"""),"BURSA")</f>
        <v>BURSA</v>
      </c>
      <c r="K9" s="44" t="str">
        <f>IFERROR(__xludf.DUMMYFUNCTION("""COMPUTED_VALUE"""),"https://expa.aiesec.org/opportunities/1287861")</f>
        <v>https://expa.aiesec.org/opportunities/1287861</v>
      </c>
      <c r="L9" s="43" t="str">
        <f>IFERROR(__xludf.DUMMYFUNCTION("""COMPUTED_VALUE"""),"GTe")</f>
        <v>GTe</v>
      </c>
      <c r="M9" s="43" t="str">
        <f>IFERROR(__xludf.DUMMYFUNCTION("""COMPUTED_VALUE"""),"long")</f>
        <v>long</v>
      </c>
      <c r="N9" s="45">
        <f>IFERROR(__xludf.DUMMYFUNCTION("""COMPUTED_VALUE"""),44759.0)</f>
        <v>44759</v>
      </c>
      <c r="O9" s="45">
        <f>IFERROR(__xludf.DUMMYFUNCTION("""COMPUTED_VALUE"""),44793.0)</f>
        <v>44793</v>
      </c>
      <c r="P9" s="45">
        <f>IFERROR(__xludf.DUMMYFUNCTION("""COMPUTED_VALUE"""),45097.0)</f>
        <v>45097</v>
      </c>
      <c r="Q9" s="45">
        <f>IFERROR(__xludf.DUMMYFUNCTION("""COMPUTED_VALUE"""),44805.0)</f>
        <v>44805</v>
      </c>
      <c r="R9" s="45">
        <f>IFERROR(__xludf.DUMMYFUNCTION("""COMPUTED_VALUE"""),45097.0)</f>
        <v>45097</v>
      </c>
      <c r="S9" s="43"/>
      <c r="T9" s="43"/>
      <c r="U9" s="43" t="str">
        <f>IFERROR(__xludf.DUMMYFUNCTION("""COMPUTED_VALUE"""),"(Özlüce) English Teacher ")</f>
        <v>(Özlüce) English Teacher </v>
      </c>
      <c r="V9" s="43" t="str">
        <f>IFERROR(__xludf.DUMMYFUNCTION("""COMPUTED_VALUE"""),"-")</f>
        <v>-</v>
      </c>
      <c r="W9" s="43" t="str">
        <f>IFERROR(__xludf.DUMMYFUNCTION("""COMPUTED_VALUE"""),"2019-03-14T09:31:32Z")</f>
        <v>2019-03-14T09:31:32Z</v>
      </c>
      <c r="X9" s="43"/>
      <c r="Y9" s="43"/>
      <c r="Z9" s="43"/>
    </row>
    <row r="10" hidden="1">
      <c r="A10" s="43" t="str">
        <f>IFERROR(__xludf.DUMMYFUNCTION("""COMPUTED_VALUE"""),"3936205_1287861")</f>
        <v>3936205_1287861</v>
      </c>
      <c r="B10" s="43" t="str">
        <f>IFERROR(__xludf.DUMMYFUNCTION("""COMPUTED_VALUE"""),"Rahmouna Noudjoud Boudali")</f>
        <v>Rahmouna Noudjoud Boudali</v>
      </c>
      <c r="C10" s="43" t="str">
        <f>IFERROR(__xludf.DUMMYFUNCTION("""COMPUTED_VALUE"""),"completed")</f>
        <v>completed</v>
      </c>
      <c r="D10" s="43" t="str">
        <f>IFERROR(__xludf.DUMMYFUNCTION("""COMPUTED_VALUE"""),"No")</f>
        <v>No</v>
      </c>
      <c r="E10" s="43" t="str">
        <f>IFERROR(__xludf.DUMMYFUNCTION("""COMPUTED_VALUE"""),"p_4dfa90fcf46819e89cd47acad7be17584c09fa80@inbound.aiesec.org")</f>
        <v>p_4dfa90fcf46819e89cd47acad7be17584c09fa80@inbound.aiesec.org</v>
      </c>
      <c r="F10" s="43">
        <f>IFERROR(__xludf.DUMMYFUNCTION("""COMPUTED_VALUE"""),6.57301656E8)</f>
        <v>657301656</v>
      </c>
      <c r="G10" s="43" t="str">
        <f>IFERROR(__xludf.DUMMYFUNCTION("""COMPUTED_VALUE"""),"Algeria")</f>
        <v>Algeria</v>
      </c>
      <c r="H10" s="43" t="str">
        <f>IFERROR(__xludf.DUMMYFUNCTION("""COMPUTED_VALUE"""),"Benak")</f>
        <v>Benak</v>
      </c>
      <c r="I10" s="43" t="str">
        <f>IFERROR(__xludf.DUMMYFUNCTION("""COMPUTED_VALUE"""),"Turkey")</f>
        <v>Turkey</v>
      </c>
      <c r="J10" s="43" t="str">
        <f>IFERROR(__xludf.DUMMYFUNCTION("""COMPUTED_VALUE"""),"BURSA")</f>
        <v>BURSA</v>
      </c>
      <c r="K10" s="44" t="str">
        <f>IFERROR(__xludf.DUMMYFUNCTION("""COMPUTED_VALUE"""),"https://expa.aiesec.org/opportunities/1287861")</f>
        <v>https://expa.aiesec.org/opportunities/1287861</v>
      </c>
      <c r="L10" s="43" t="str">
        <f>IFERROR(__xludf.DUMMYFUNCTION("""COMPUTED_VALUE"""),"GTe")</f>
        <v>GTe</v>
      </c>
      <c r="M10" s="43" t="str">
        <f>IFERROR(__xludf.DUMMYFUNCTION("""COMPUTED_VALUE"""),"long")</f>
        <v>long</v>
      </c>
      <c r="N10" s="45">
        <f>IFERROR(__xludf.DUMMYFUNCTION("""COMPUTED_VALUE"""),44759.0)</f>
        <v>44759</v>
      </c>
      <c r="O10" s="45">
        <f>IFERROR(__xludf.DUMMYFUNCTION("""COMPUTED_VALUE"""),44793.0)</f>
        <v>44793</v>
      </c>
      <c r="P10" s="45">
        <f>IFERROR(__xludf.DUMMYFUNCTION("""COMPUTED_VALUE"""),45097.0)</f>
        <v>45097</v>
      </c>
      <c r="Q10" s="45">
        <f>IFERROR(__xludf.DUMMYFUNCTION("""COMPUTED_VALUE"""),44819.0)</f>
        <v>44819</v>
      </c>
      <c r="R10" s="45">
        <f>IFERROR(__xludf.DUMMYFUNCTION("""COMPUTED_VALUE"""),45107.0)</f>
        <v>45107</v>
      </c>
      <c r="S10" s="43"/>
      <c r="T10" s="43"/>
      <c r="U10" s="43" t="str">
        <f>IFERROR(__xludf.DUMMYFUNCTION("""COMPUTED_VALUE"""),"(Özlüce) English Teacher ")</f>
        <v>(Özlüce) English Teacher </v>
      </c>
      <c r="V10" s="43" t="str">
        <f>IFERROR(__xludf.DUMMYFUNCTION("""COMPUTED_VALUE"""),"-")</f>
        <v>-</v>
      </c>
      <c r="W10" s="43" t="str">
        <f>IFERROR(__xludf.DUMMYFUNCTION("""COMPUTED_VALUE"""),"2019-10-30T09:47:16Z")</f>
        <v>2019-10-30T09:47:16Z</v>
      </c>
      <c r="X10" s="43"/>
      <c r="Y10" s="43"/>
      <c r="Z10" s="43"/>
    </row>
    <row r="11" hidden="1">
      <c r="A11" s="43" t="str">
        <f>IFERROR(__xludf.DUMMYFUNCTION("""COMPUTED_VALUE"""),"4628302_1273874")</f>
        <v>4628302_1273874</v>
      </c>
      <c r="B11" s="43" t="str">
        <f>IFERROR(__xludf.DUMMYFUNCTION("""COMPUTED_VALUE"""),"Aya Teber")</f>
        <v>Aya Teber</v>
      </c>
      <c r="C11" s="43" t="str">
        <f>IFERROR(__xludf.DUMMYFUNCTION("""COMPUTED_VALUE"""),"completed")</f>
        <v>completed</v>
      </c>
      <c r="D11" s="43" t="str">
        <f>IFERROR(__xludf.DUMMYFUNCTION("""COMPUTED_VALUE"""),"No")</f>
        <v>No</v>
      </c>
      <c r="E11" s="43" t="str">
        <f>IFERROR(__xludf.DUMMYFUNCTION("""COMPUTED_VALUE"""),"p_18ca40a9731de4ae11179812b77c4896d4b942e0@inbound.aiesec.org")</f>
        <v>p_18ca40a9731de4ae11179812b77c4896d4b942e0@inbound.aiesec.org</v>
      </c>
      <c r="F11" s="43">
        <f>IFERROR(__xludf.DUMMYFUNCTION("""COMPUTED_VALUE"""),2.3633381E7)</f>
        <v>23633381</v>
      </c>
      <c r="G11" s="43" t="str">
        <f>IFERROR(__xludf.DUMMYFUNCTION("""COMPUTED_VALUE"""),"Tunisia")</f>
        <v>Tunisia</v>
      </c>
      <c r="H11" s="43" t="str">
        <f>IFERROR(__xludf.DUMMYFUNCTION("""COMPUTED_VALUE"""),"Carthage")</f>
        <v>Carthage</v>
      </c>
      <c r="I11" s="43" t="str">
        <f>IFERROR(__xludf.DUMMYFUNCTION("""COMPUTED_VALUE"""),"Turkey")</f>
        <v>Turkey</v>
      </c>
      <c r="J11" s="43" t="str">
        <f>IFERROR(__xludf.DUMMYFUNCTION("""COMPUTED_VALUE"""),"KOCAELI")</f>
        <v>KOCAELI</v>
      </c>
      <c r="K11" s="44" t="str">
        <f>IFERROR(__xludf.DUMMYFUNCTION("""COMPUTED_VALUE"""),"https://expa.aiesec.org/opportunities/1273874")</f>
        <v>https://expa.aiesec.org/opportunities/1273874</v>
      </c>
      <c r="L11" s="43" t="str">
        <f>IFERROR(__xludf.DUMMYFUNCTION("""COMPUTED_VALUE"""),"GTe")</f>
        <v>GTe</v>
      </c>
      <c r="M11" s="43" t="str">
        <f>IFERROR(__xludf.DUMMYFUNCTION("""COMPUTED_VALUE"""),"long")</f>
        <v>long</v>
      </c>
      <c r="N11" s="45">
        <f>IFERROR(__xludf.DUMMYFUNCTION("""COMPUTED_VALUE"""),44760.0)</f>
        <v>44760</v>
      </c>
      <c r="O11" s="45">
        <f>IFERROR(__xludf.DUMMYFUNCTION("""COMPUTED_VALUE"""),44809.0)</f>
        <v>44809</v>
      </c>
      <c r="P11" s="45">
        <f>IFERROR(__xludf.DUMMYFUNCTION("""COMPUTED_VALUE"""),45093.0)</f>
        <v>45093</v>
      </c>
      <c r="Q11" s="45">
        <f>IFERROR(__xludf.DUMMYFUNCTION("""COMPUTED_VALUE"""),44812.0)</f>
        <v>44812</v>
      </c>
      <c r="R11" s="45">
        <f>IFERROR(__xludf.DUMMYFUNCTION("""COMPUTED_VALUE"""),45107.0)</f>
        <v>45107</v>
      </c>
      <c r="S11" s="43"/>
      <c r="T11" s="43"/>
      <c r="U11" s="43" t="str">
        <f>IFERROR(__xludf.DUMMYFUNCTION("""COMPUTED_VALUE"""),"Yeşil Vadi English Teacher")</f>
        <v>Yeşil Vadi English Teacher</v>
      </c>
      <c r="V11" s="43" t="str">
        <f>IFERROR(__xludf.DUMMYFUNCTION("""COMPUTED_VALUE"""),"ISLT")</f>
        <v>ISLT</v>
      </c>
      <c r="W11" s="43" t="str">
        <f>IFERROR(__xludf.DUMMYFUNCTION("""COMPUTED_VALUE"""),"2021-04-24T23:20:26Z")</f>
        <v>2021-04-24T23:20:26Z</v>
      </c>
      <c r="X11" s="43"/>
      <c r="Y11" s="43"/>
      <c r="Z11" s="43"/>
    </row>
    <row r="12" hidden="1">
      <c r="A12" s="43" t="str">
        <f>IFERROR(__xludf.DUMMYFUNCTION("""COMPUTED_VALUE"""),"4100758_1287942")</f>
        <v>4100758_1287942</v>
      </c>
      <c r="B12" s="43" t="str">
        <f>IFERROR(__xludf.DUMMYFUNCTION("""COMPUTED_VALUE"""),"Chams Souidi")</f>
        <v>Chams Souidi</v>
      </c>
      <c r="C12" s="43" t="str">
        <f>IFERROR(__xludf.DUMMYFUNCTION("""COMPUTED_VALUE"""),"finished")</f>
        <v>finished</v>
      </c>
      <c r="D12" s="43" t="str">
        <f>IFERROR(__xludf.DUMMYFUNCTION("""COMPUTED_VALUE"""),"No")</f>
        <v>No</v>
      </c>
      <c r="E12" s="43" t="str">
        <f>IFERROR(__xludf.DUMMYFUNCTION("""COMPUTED_VALUE"""),"p_02b23428f740f9ebe78271ca9ea9b9e5d96da4d9@inbound.aiesec.org")</f>
        <v>p_02b23428f740f9ebe78271ca9ea9b9e5d96da4d9@inbound.aiesec.org</v>
      </c>
      <c r="F12" s="43">
        <f>IFERROR(__xludf.DUMMYFUNCTION("""COMPUTED_VALUE"""),5.3140333E7)</f>
        <v>53140333</v>
      </c>
      <c r="G12" s="43" t="str">
        <f>IFERROR(__xludf.DUMMYFUNCTION("""COMPUTED_VALUE"""),"Tunisia")</f>
        <v>Tunisia</v>
      </c>
      <c r="H12" s="43" t="str">
        <f>IFERROR(__xludf.DUMMYFUNCTION("""COMPUTED_VALUE"""),"Carthage")</f>
        <v>Carthage</v>
      </c>
      <c r="I12" s="43" t="str">
        <f>IFERROR(__xludf.DUMMYFUNCTION("""COMPUTED_VALUE"""),"Turkey")</f>
        <v>Turkey</v>
      </c>
      <c r="J12" s="43" t="str">
        <f>IFERROR(__xludf.DUMMYFUNCTION("""COMPUTED_VALUE"""),"İZMİR")</f>
        <v>İZMİR</v>
      </c>
      <c r="K12" s="44" t="str">
        <f>IFERROR(__xludf.DUMMYFUNCTION("""COMPUTED_VALUE"""),"https://expa.aiesec.org/opportunities/1287942")</f>
        <v>https://expa.aiesec.org/opportunities/1287942</v>
      </c>
      <c r="L12" s="43" t="str">
        <f>IFERROR(__xludf.DUMMYFUNCTION("""COMPUTED_VALUE"""),"GTe")</f>
        <v>GTe</v>
      </c>
      <c r="M12" s="43" t="str">
        <f>IFERROR(__xludf.DUMMYFUNCTION("""COMPUTED_VALUE"""),"long")</f>
        <v>long</v>
      </c>
      <c r="N12" s="45">
        <f>IFERROR(__xludf.DUMMYFUNCTION("""COMPUTED_VALUE"""),44764.0)</f>
        <v>44764</v>
      </c>
      <c r="O12" s="45">
        <f>IFERROR(__xludf.DUMMYFUNCTION("""COMPUTED_VALUE"""),44795.0)</f>
        <v>44795</v>
      </c>
      <c r="P12" s="45">
        <f>IFERROR(__xludf.DUMMYFUNCTION("""COMPUTED_VALUE"""),45099.0)</f>
        <v>45099</v>
      </c>
      <c r="Q12" s="45">
        <f>IFERROR(__xludf.DUMMYFUNCTION("""COMPUTED_VALUE"""),44775.0)</f>
        <v>44775</v>
      </c>
      <c r="R12" s="45">
        <f>IFERROR(__xludf.DUMMYFUNCTION("""COMPUTED_VALUE"""),45079.0)</f>
        <v>45079</v>
      </c>
      <c r="S12" s="43"/>
      <c r="T12" s="43"/>
      <c r="U12" s="43" t="str">
        <f>IFERROR(__xludf.DUMMYFUNCTION("""COMPUTED_VALUE"""),"Kindergarten English Teacher")</f>
        <v>Kindergarten English Teacher</v>
      </c>
      <c r="V12" s="43" t="str">
        <f>IFERROR(__xludf.DUMMYFUNCTION("""COMPUTED_VALUE"""),"ISLT")</f>
        <v>ISLT</v>
      </c>
      <c r="W12" s="43" t="str">
        <f>IFERROR(__xludf.DUMMYFUNCTION("""COMPUTED_VALUE"""),"2019-12-15T20:19:49Z")</f>
        <v>2019-12-15T20:19:49Z</v>
      </c>
      <c r="X12" s="43"/>
      <c r="Y12" s="43"/>
      <c r="Z12" s="43"/>
    </row>
    <row r="13" hidden="1">
      <c r="A13" s="43" t="str">
        <f>IFERROR(__xludf.DUMMYFUNCTION("""COMPUTED_VALUE"""),"2140835_1288436")</f>
        <v>2140835_1288436</v>
      </c>
      <c r="B13" s="43" t="str">
        <f>IFERROR(__xludf.DUMMYFUNCTION("""COMPUTED_VALUE"""),"rakia korbi")</f>
        <v>rakia korbi</v>
      </c>
      <c r="C13" s="43" t="str">
        <f>IFERROR(__xludf.DUMMYFUNCTION("""COMPUTED_VALUE"""),"completed")</f>
        <v>completed</v>
      </c>
      <c r="D13" s="43" t="str">
        <f>IFERROR(__xludf.DUMMYFUNCTION("""COMPUTED_VALUE"""),"No")</f>
        <v>No</v>
      </c>
      <c r="E13" s="43" t="str">
        <f>IFERROR(__xludf.DUMMYFUNCTION("""COMPUTED_VALUE"""),"p_ad665ef345ca3d62ef80f959d8951c55607b9898@inbound.aiesec.org")</f>
        <v>p_ad665ef345ca3d62ef80f959d8951c55607b9898@inbound.aiesec.org</v>
      </c>
      <c r="F13" s="43">
        <f>IFERROR(__xludf.DUMMYFUNCTION("""COMPUTED_VALUE"""),2.6666853E7)</f>
        <v>26666853</v>
      </c>
      <c r="G13" s="43" t="str">
        <f>IFERROR(__xludf.DUMMYFUNCTION("""COMPUTED_VALUE"""),"Tunisia")</f>
        <v>Tunisia</v>
      </c>
      <c r="H13" s="43" t="str">
        <f>IFERROR(__xludf.DUMMYFUNCTION("""COMPUTED_VALUE"""),"MEDINA")</f>
        <v>MEDINA</v>
      </c>
      <c r="I13" s="43" t="str">
        <f>IFERROR(__xludf.DUMMYFUNCTION("""COMPUTED_VALUE"""),"Turkey")</f>
        <v>Turkey</v>
      </c>
      <c r="J13" s="43" t="str">
        <f>IFERROR(__xludf.DUMMYFUNCTION("""COMPUTED_VALUE"""),"BURSA")</f>
        <v>BURSA</v>
      </c>
      <c r="K13" s="44" t="str">
        <f>IFERROR(__xludf.DUMMYFUNCTION("""COMPUTED_VALUE"""),"https://expa.aiesec.org/opportunities/1288436")</f>
        <v>https://expa.aiesec.org/opportunities/1288436</v>
      </c>
      <c r="L13" s="43" t="str">
        <f>IFERROR(__xludf.DUMMYFUNCTION("""COMPUTED_VALUE"""),"GTe")</f>
        <v>GTe</v>
      </c>
      <c r="M13" s="43" t="str">
        <f>IFERROR(__xludf.DUMMYFUNCTION("""COMPUTED_VALUE"""),"long")</f>
        <v>long</v>
      </c>
      <c r="N13" s="45">
        <f>IFERROR(__xludf.DUMMYFUNCTION("""COMPUTED_VALUE"""),44765.0)</f>
        <v>44765</v>
      </c>
      <c r="O13" s="45">
        <f>IFERROR(__xludf.DUMMYFUNCTION("""COMPUTED_VALUE"""),44805.0)</f>
        <v>44805</v>
      </c>
      <c r="P13" s="45">
        <f>IFERROR(__xludf.DUMMYFUNCTION("""COMPUTED_VALUE"""),45170.0)</f>
        <v>45170</v>
      </c>
      <c r="Q13" s="45">
        <f>IFERROR(__xludf.DUMMYFUNCTION("""COMPUTED_VALUE"""),44819.0)</f>
        <v>44819</v>
      </c>
      <c r="R13" s="45">
        <f>IFERROR(__xludf.DUMMYFUNCTION("""COMPUTED_VALUE"""),45184.0)</f>
        <v>45184</v>
      </c>
      <c r="S13" s="43"/>
      <c r="T13" s="43"/>
      <c r="U13" s="43" t="str">
        <f>IFERROR(__xludf.DUMMYFUNCTION("""COMPUTED_VALUE"""),"English Teacher")</f>
        <v>English Teacher</v>
      </c>
      <c r="V13" s="43" t="str">
        <f>IFERROR(__xludf.DUMMYFUNCTION("""COMPUTED_VALUE"""),"-")</f>
        <v>-</v>
      </c>
      <c r="W13" s="43" t="str">
        <f>IFERROR(__xludf.DUMMYFUNCTION("""COMPUTED_VALUE"""),"2018-03-24T14:48:12Z")</f>
        <v>2018-03-24T14:48:12Z</v>
      </c>
      <c r="X13" s="43"/>
      <c r="Y13" s="43"/>
      <c r="Z13" s="43"/>
    </row>
    <row r="14" hidden="1">
      <c r="A14" s="43" t="str">
        <f>IFERROR(__xludf.DUMMYFUNCTION("""COMPUTED_VALUE"""),"1406990_1287569")</f>
        <v>1406990_1287569</v>
      </c>
      <c r="B14" s="43" t="str">
        <f>IFERROR(__xludf.DUMMYFUNCTION("""COMPUTED_VALUE"""),"Melik Maria")</f>
        <v>Melik Maria</v>
      </c>
      <c r="C14" s="43" t="str">
        <f>IFERROR(__xludf.DUMMYFUNCTION("""COMPUTED_VALUE"""),"finished")</f>
        <v>finished</v>
      </c>
      <c r="D14" s="43" t="str">
        <f>IFERROR(__xludf.DUMMYFUNCTION("""COMPUTED_VALUE"""),"No")</f>
        <v>No</v>
      </c>
      <c r="E14" s="43" t="str">
        <f>IFERROR(__xludf.DUMMYFUNCTION("""COMPUTED_VALUE"""),"p_c7c87618128802c279b101fd35a478dda6cadcd9@inbound.aiesec.org")</f>
        <v>p_c7c87618128802c279b101fd35a478dda6cadcd9@inbound.aiesec.org</v>
      </c>
      <c r="F14" s="43">
        <f>IFERROR(__xludf.DUMMYFUNCTION("""COMPUTED_VALUE"""),6.60914939E8)</f>
        <v>660914939</v>
      </c>
      <c r="G14" s="43" t="str">
        <f>IFERROR(__xludf.DUMMYFUNCTION("""COMPUTED_VALUE"""),"Algeria")</f>
        <v>Algeria</v>
      </c>
      <c r="H14" s="43" t="str">
        <f>IFERROR(__xludf.DUMMYFUNCTION("""COMPUTED_VALUE"""),"Ouargla")</f>
        <v>Ouargla</v>
      </c>
      <c r="I14" s="43" t="str">
        <f>IFERROR(__xludf.DUMMYFUNCTION("""COMPUTED_VALUE"""),"Turkey")</f>
        <v>Turkey</v>
      </c>
      <c r="J14" s="43" t="str">
        <f>IFERROR(__xludf.DUMMYFUNCTION("""COMPUTED_VALUE"""),"GAZIANTEP")</f>
        <v>GAZIANTEP</v>
      </c>
      <c r="K14" s="44" t="str">
        <f>IFERROR(__xludf.DUMMYFUNCTION("""COMPUTED_VALUE"""),"https://expa.aiesec.org/opportunities/1287569")</f>
        <v>https://expa.aiesec.org/opportunities/1287569</v>
      </c>
      <c r="L14" s="43" t="str">
        <f>IFERROR(__xludf.DUMMYFUNCTION("""COMPUTED_VALUE"""),"GTe")</f>
        <v>GTe</v>
      </c>
      <c r="M14" s="43" t="str">
        <f>IFERROR(__xludf.DUMMYFUNCTION("""COMPUTED_VALUE"""),"long")</f>
        <v>long</v>
      </c>
      <c r="N14" s="45">
        <f>IFERROR(__xludf.DUMMYFUNCTION("""COMPUTED_VALUE"""),44766.0)</f>
        <v>44766</v>
      </c>
      <c r="O14" s="45">
        <f>IFERROR(__xludf.DUMMYFUNCTION("""COMPUTED_VALUE"""),44804.0)</f>
        <v>44804</v>
      </c>
      <c r="P14" s="45">
        <f>IFERROR(__xludf.DUMMYFUNCTION("""COMPUTED_VALUE"""),45168.0)</f>
        <v>45168</v>
      </c>
      <c r="Q14" s="45">
        <f>IFERROR(__xludf.DUMMYFUNCTION("""COMPUTED_VALUE"""),44788.0)</f>
        <v>44788</v>
      </c>
      <c r="R14" s="45">
        <f>IFERROR(__xludf.DUMMYFUNCTION("""COMPUTED_VALUE"""),45139.0)</f>
        <v>45139</v>
      </c>
      <c r="S14" s="43"/>
      <c r="T14" s="43"/>
      <c r="U14" s="43" t="str">
        <f>IFERROR(__xludf.DUMMYFUNCTION("""COMPUTED_VALUE"""),"English Teacher")</f>
        <v>English Teacher</v>
      </c>
      <c r="V14" s="43" t="str">
        <f>IFERROR(__xludf.DUMMYFUNCTION("""COMPUTED_VALUE"""),"-")</f>
        <v>-</v>
      </c>
      <c r="W14" s="43" t="str">
        <f>IFERROR(__xludf.DUMMYFUNCTION("""COMPUTED_VALUE"""),"2017-03-10T14:27:41Z")</f>
        <v>2017-03-10T14:27:41Z</v>
      </c>
      <c r="X14" s="43"/>
      <c r="Y14" s="43"/>
      <c r="Z14" s="43"/>
    </row>
    <row r="15" hidden="1">
      <c r="A15" s="43" t="str">
        <f>IFERROR(__xludf.DUMMYFUNCTION("""COMPUTED_VALUE"""),"1977062_1287785")</f>
        <v>1977062_1287785</v>
      </c>
      <c r="B15" s="43" t="str">
        <f>IFERROR(__xludf.DUMMYFUNCTION("""COMPUTED_VALUE"""),"Groni Romaissa Rahil")</f>
        <v>Groni Romaissa Rahil</v>
      </c>
      <c r="C15" s="43" t="str">
        <f>IFERROR(__xludf.DUMMYFUNCTION("""COMPUTED_VALUE"""),"completed")</f>
        <v>completed</v>
      </c>
      <c r="D15" s="43" t="str">
        <f>IFERROR(__xludf.DUMMYFUNCTION("""COMPUTED_VALUE"""),"No")</f>
        <v>No</v>
      </c>
      <c r="E15" s="43" t="str">
        <f>IFERROR(__xludf.DUMMYFUNCTION("""COMPUTED_VALUE"""),"p_c60cf3949b51b62762cc282ae9859d6a8a935a2f@inbound.aiesec.org")</f>
        <v>p_c60cf3949b51b62762cc282ae9859d6a8a935a2f@inbound.aiesec.org</v>
      </c>
      <c r="F15" s="43">
        <f>IFERROR(__xludf.DUMMYFUNCTION("""COMPUTED_VALUE"""),5.342858357E9)</f>
        <v>5342858357</v>
      </c>
      <c r="G15" s="43" t="str">
        <f>IFERROR(__xludf.DUMMYFUNCTION("""COMPUTED_VALUE"""),"Algeria")</f>
        <v>Algeria</v>
      </c>
      <c r="H15" s="43" t="str">
        <f>IFERROR(__xludf.DUMMYFUNCTION("""COMPUTED_VALUE"""),"Benak")</f>
        <v>Benak</v>
      </c>
      <c r="I15" s="43" t="str">
        <f>IFERROR(__xludf.DUMMYFUNCTION("""COMPUTED_VALUE"""),"Turkey")</f>
        <v>Turkey</v>
      </c>
      <c r="J15" s="43" t="str">
        <f>IFERROR(__xludf.DUMMYFUNCTION("""COMPUTED_VALUE"""),"ISTANBUL WEST")</f>
        <v>ISTANBUL WEST</v>
      </c>
      <c r="K15" s="44" t="str">
        <f>IFERROR(__xludf.DUMMYFUNCTION("""COMPUTED_VALUE"""),"https://expa.aiesec.org/opportunities/1287785")</f>
        <v>https://expa.aiesec.org/opportunities/1287785</v>
      </c>
      <c r="L15" s="43" t="str">
        <f>IFERROR(__xludf.DUMMYFUNCTION("""COMPUTED_VALUE"""),"GTe")</f>
        <v>GTe</v>
      </c>
      <c r="M15" s="43" t="str">
        <f>IFERROR(__xludf.DUMMYFUNCTION("""COMPUTED_VALUE"""),"long")</f>
        <v>long</v>
      </c>
      <c r="N15" s="45">
        <f>IFERROR(__xludf.DUMMYFUNCTION("""COMPUTED_VALUE"""),44767.0)</f>
        <v>44767</v>
      </c>
      <c r="O15" s="45">
        <f>IFERROR(__xludf.DUMMYFUNCTION("""COMPUTED_VALUE"""),44788.0)</f>
        <v>44788</v>
      </c>
      <c r="P15" s="45">
        <f>IFERROR(__xludf.DUMMYFUNCTION("""COMPUTED_VALUE"""),45153.0)</f>
        <v>45153</v>
      </c>
      <c r="Q15" s="45">
        <f>IFERROR(__xludf.DUMMYFUNCTION("""COMPUTED_VALUE"""),44839.0)</f>
        <v>44839</v>
      </c>
      <c r="R15" s="45">
        <f>IFERROR(__xludf.DUMMYFUNCTION("""COMPUTED_VALUE"""),45198.0)</f>
        <v>45198</v>
      </c>
      <c r="S15" s="43"/>
      <c r="T15" s="43"/>
      <c r="U15" s="43" t="str">
        <f>IFERROR(__xludf.DUMMYFUNCTION("""COMPUTED_VALUE"""),"Child Care Assistant English Teacher at İstanbul Akıl Kulesi")</f>
        <v>Child Care Assistant English Teacher at İstanbul Akıl Kulesi</v>
      </c>
      <c r="V15" s="43" t="str">
        <f>IFERROR(__xludf.DUMMYFUNCTION("""COMPUTED_VALUE"""),"-")</f>
        <v>-</v>
      </c>
      <c r="W15" s="43" t="str">
        <f>IFERROR(__xludf.DUMMYFUNCTION("""COMPUTED_VALUE"""),"2017-12-31T20:43:23Z")</f>
        <v>2017-12-31T20:43:23Z</v>
      </c>
      <c r="X15" s="43"/>
      <c r="Y15" s="43"/>
      <c r="Z15" s="43"/>
    </row>
    <row r="16" hidden="1">
      <c r="A16" s="43" t="str">
        <f>IFERROR(__xludf.DUMMYFUNCTION("""COMPUTED_VALUE"""),"5085944_1262994")</f>
        <v>5085944_1262994</v>
      </c>
      <c r="B16" s="43" t="str">
        <f>IFERROR(__xludf.DUMMYFUNCTION("""COMPUTED_VALUE"""),"ali abdelgalil")</f>
        <v>ali abdelgalil</v>
      </c>
      <c r="C16" s="43" t="str">
        <f>IFERROR(__xludf.DUMMYFUNCTION("""COMPUTED_VALUE"""),"finished")</f>
        <v>finished</v>
      </c>
      <c r="D16" s="43" t="str">
        <f>IFERROR(__xludf.DUMMYFUNCTION("""COMPUTED_VALUE"""),"No")</f>
        <v>No</v>
      </c>
      <c r="E16" s="43" t="str">
        <f>IFERROR(__xludf.DUMMYFUNCTION("""COMPUTED_VALUE"""),"p_47982c5a1d152336ff358a3f78829bd2a81c1875@inbound.aiesec.org")</f>
        <v>p_47982c5a1d152336ff358a3f78829bd2a81c1875@inbound.aiesec.org</v>
      </c>
      <c r="F16" s="43">
        <f>IFERROR(__xludf.DUMMYFUNCTION("""COMPUTED_VALUE"""),1.140263019E9)</f>
        <v>1140263019</v>
      </c>
      <c r="G16" s="43" t="str">
        <f>IFERROR(__xludf.DUMMYFUNCTION("""COMPUTED_VALUE"""),"Egypt")</f>
        <v>Egypt</v>
      </c>
      <c r="H16" s="43" t="str">
        <f>IFERROR(__xludf.DUMMYFUNCTION("""COMPUTED_VALUE"""),"Ain Shams University")</f>
        <v>Ain Shams University</v>
      </c>
      <c r="I16" s="43" t="str">
        <f>IFERROR(__xludf.DUMMYFUNCTION("""COMPUTED_VALUE"""),"Turkey")</f>
        <v>Turkey</v>
      </c>
      <c r="J16" s="43" t="str">
        <f>IFERROR(__xludf.DUMMYFUNCTION("""COMPUTED_VALUE"""),"GAZIANTEP")</f>
        <v>GAZIANTEP</v>
      </c>
      <c r="K16" s="44" t="str">
        <f>IFERROR(__xludf.DUMMYFUNCTION("""COMPUTED_VALUE"""),"https://expa.aiesec.org/opportunities/1262994")</f>
        <v>https://expa.aiesec.org/opportunities/1262994</v>
      </c>
      <c r="L16" s="43" t="str">
        <f>IFERROR(__xludf.DUMMYFUNCTION("""COMPUTED_VALUE"""),"GTe")</f>
        <v>GTe</v>
      </c>
      <c r="M16" s="43" t="str">
        <f>IFERROR(__xludf.DUMMYFUNCTION("""COMPUTED_VALUE"""),"long")</f>
        <v>long</v>
      </c>
      <c r="N16" s="45">
        <f>IFERROR(__xludf.DUMMYFUNCTION("""COMPUTED_VALUE"""),44768.0)</f>
        <v>44768</v>
      </c>
      <c r="O16" s="45">
        <f>IFERROR(__xludf.DUMMYFUNCTION("""COMPUTED_VALUE"""),44819.0)</f>
        <v>44819</v>
      </c>
      <c r="P16" s="45">
        <f>IFERROR(__xludf.DUMMYFUNCTION("""COMPUTED_VALUE"""),45184.0)</f>
        <v>45184</v>
      </c>
      <c r="Q16" s="45">
        <f>IFERROR(__xludf.DUMMYFUNCTION("""COMPUTED_VALUE"""),44797.0)</f>
        <v>44797</v>
      </c>
      <c r="R16" s="45">
        <f>IFERROR(__xludf.DUMMYFUNCTION("""COMPUTED_VALUE"""),45138.0)</f>
        <v>45138</v>
      </c>
      <c r="S16" s="43"/>
      <c r="T16" s="43"/>
      <c r="U16" s="43" t="str">
        <f>IFERROR(__xludf.DUMMYFUNCTION("""COMPUTED_VALUE"""),"English Teacher ")</f>
        <v>English Teacher </v>
      </c>
      <c r="V16" s="43" t="str">
        <f>IFERROR(__xludf.DUMMYFUNCTION("""COMPUTED_VALUE"""),"Azhar University")</f>
        <v>Azhar University</v>
      </c>
      <c r="W16" s="43" t="str">
        <f>IFERROR(__xludf.DUMMYFUNCTION("""COMPUTED_VALUE"""),"2022-07-26T08:48:58Z")</f>
        <v>2022-07-26T08:48:58Z</v>
      </c>
      <c r="X16" s="43"/>
      <c r="Y16" s="43"/>
      <c r="Z16" s="43"/>
    </row>
    <row r="17" hidden="1">
      <c r="A17" s="43" t="str">
        <f>IFERROR(__xludf.DUMMYFUNCTION("""COMPUTED_VALUE"""),"4667589_1278703")</f>
        <v>4667589_1278703</v>
      </c>
      <c r="B17" s="43" t="str">
        <f>IFERROR(__xludf.DUMMYFUNCTION("""COMPUTED_VALUE"""),"sandra kwimba")</f>
        <v>sandra kwimba</v>
      </c>
      <c r="C17" s="43" t="str">
        <f>IFERROR(__xludf.DUMMYFUNCTION("""COMPUTED_VALUE"""),"completed")</f>
        <v>completed</v>
      </c>
      <c r="D17" s="43" t="str">
        <f>IFERROR(__xludf.DUMMYFUNCTION("""COMPUTED_VALUE"""),"No")</f>
        <v>No</v>
      </c>
      <c r="E17" s="43" t="str">
        <f>IFERROR(__xludf.DUMMYFUNCTION("""COMPUTED_VALUE"""),"p_279af05a80a9908079c0487bfee888a28b28424e@inbound.aiesec.org")</f>
        <v>p_279af05a80a9908079c0487bfee888a28b28424e@inbound.aiesec.org</v>
      </c>
      <c r="F17" s="43">
        <f>IFERROR(__xludf.DUMMYFUNCTION("""COMPUTED_VALUE"""),5.346069981E9)</f>
        <v>5346069981</v>
      </c>
      <c r="G17" s="43" t="str">
        <f>IFERROR(__xludf.DUMMYFUNCTION("""COMPUTED_VALUE"""),"Kenya")</f>
        <v>Kenya</v>
      </c>
      <c r="H17" s="43" t="str">
        <f>IFERROR(__xludf.DUMMYFUNCTION("""COMPUTED_VALUE"""),"DAYSTAR")</f>
        <v>DAYSTAR</v>
      </c>
      <c r="I17" s="43" t="str">
        <f>IFERROR(__xludf.DUMMYFUNCTION("""COMPUTED_VALUE"""),"Turkey")</f>
        <v>Turkey</v>
      </c>
      <c r="J17" s="43" t="str">
        <f>IFERROR(__xludf.DUMMYFUNCTION("""COMPUTED_VALUE"""),"KOCAELI")</f>
        <v>KOCAELI</v>
      </c>
      <c r="K17" s="44" t="str">
        <f>IFERROR(__xludf.DUMMYFUNCTION("""COMPUTED_VALUE"""),"https://expa.aiesec.org/opportunities/1278703")</f>
        <v>https://expa.aiesec.org/opportunities/1278703</v>
      </c>
      <c r="L17" s="43" t="str">
        <f>IFERROR(__xludf.DUMMYFUNCTION("""COMPUTED_VALUE"""),"GTe")</f>
        <v>GTe</v>
      </c>
      <c r="M17" s="43" t="str">
        <f>IFERROR(__xludf.DUMMYFUNCTION("""COMPUTED_VALUE"""),"long")</f>
        <v>long</v>
      </c>
      <c r="N17" s="45">
        <f>IFERROR(__xludf.DUMMYFUNCTION("""COMPUTED_VALUE"""),44768.0)</f>
        <v>44768</v>
      </c>
      <c r="O17" s="45">
        <f>IFERROR(__xludf.DUMMYFUNCTION("""COMPUTED_VALUE"""),44728.0)</f>
        <v>44728</v>
      </c>
      <c r="P17" s="45">
        <f>IFERROR(__xludf.DUMMYFUNCTION("""COMPUTED_VALUE"""),45093.0)</f>
        <v>45093</v>
      </c>
      <c r="Q17" s="45">
        <f>IFERROR(__xludf.DUMMYFUNCTION("""COMPUTED_VALUE"""),44802.0)</f>
        <v>44802</v>
      </c>
      <c r="R17" s="45">
        <f>IFERROR(__xludf.DUMMYFUNCTION("""COMPUTED_VALUE"""),45107.0)</f>
        <v>45107</v>
      </c>
      <c r="S17" s="43"/>
      <c r="T17" s="43"/>
      <c r="U17" s="43" t="str">
        <f>IFERROR(__xludf.DUMMYFUNCTION("""COMPUTED_VALUE"""),"Kindergarden Teacher in Rengin  Anaokulu")</f>
        <v>Kindergarden Teacher in Rengin  Anaokulu</v>
      </c>
      <c r="V17" s="43" t="str">
        <f>IFERROR(__xludf.DUMMYFUNCTION("""COMPUTED_VALUE"""),"Daystar University")</f>
        <v>Daystar University</v>
      </c>
      <c r="W17" s="43" t="str">
        <f>IFERROR(__xludf.DUMMYFUNCTION("""COMPUTED_VALUE"""),"2021-06-14T20:16:16Z")</f>
        <v>2021-06-14T20:16:16Z</v>
      </c>
      <c r="X17" s="43"/>
      <c r="Y17" s="43"/>
      <c r="Z17" s="43"/>
    </row>
    <row r="18" hidden="1">
      <c r="A18" s="43" t="str">
        <f>IFERROR(__xludf.DUMMYFUNCTION("""COMPUTED_VALUE"""),"5086138_1286837")</f>
        <v>5086138_1286837</v>
      </c>
      <c r="B18" s="43" t="str">
        <f>IFERROR(__xludf.DUMMYFUNCTION("""COMPUTED_VALUE"""),"Khaoula Ben alaya")</f>
        <v>Khaoula Ben alaya</v>
      </c>
      <c r="C18" s="43" t="str">
        <f>IFERROR(__xludf.DUMMYFUNCTION("""COMPUTED_VALUE"""),"finished")</f>
        <v>finished</v>
      </c>
      <c r="D18" s="43" t="str">
        <f>IFERROR(__xludf.DUMMYFUNCTION("""COMPUTED_VALUE"""),"No")</f>
        <v>No</v>
      </c>
      <c r="E18" s="43" t="str">
        <f>IFERROR(__xludf.DUMMYFUNCTION("""COMPUTED_VALUE"""),"p_05e0caed356c6912cc0a98da1c8755c39930a49a@inbound.aiesec.org")</f>
        <v>p_05e0caed356c6912cc0a98da1c8755c39930a49a@inbound.aiesec.org</v>
      </c>
      <c r="F18" s="43">
        <f>IFERROR(__xludf.DUMMYFUNCTION("""COMPUTED_VALUE"""),2.001051E7)</f>
        <v>20010510</v>
      </c>
      <c r="G18" s="43" t="str">
        <f>IFERROR(__xludf.DUMMYFUNCTION("""COMPUTED_VALUE"""),"Tunisia")</f>
        <v>Tunisia</v>
      </c>
      <c r="H18" s="43" t="str">
        <f>IFERROR(__xludf.DUMMYFUNCTION("""COMPUTED_VALUE"""),"UNIVERSITY")</f>
        <v>UNIVERSITY</v>
      </c>
      <c r="I18" s="43" t="str">
        <f>IFERROR(__xludf.DUMMYFUNCTION("""COMPUTED_VALUE"""),"Turkey")</f>
        <v>Turkey</v>
      </c>
      <c r="J18" s="43" t="str">
        <f>IFERROR(__xludf.DUMMYFUNCTION("""COMPUTED_VALUE"""),"ISTANBUL WEST")</f>
        <v>ISTANBUL WEST</v>
      </c>
      <c r="K18" s="44" t="str">
        <f>IFERROR(__xludf.DUMMYFUNCTION("""COMPUTED_VALUE"""),"https://expa.aiesec.org/opportunities/1286837")</f>
        <v>https://expa.aiesec.org/opportunities/1286837</v>
      </c>
      <c r="L18" s="43" t="str">
        <f>IFERROR(__xludf.DUMMYFUNCTION("""COMPUTED_VALUE"""),"GTe")</f>
        <v>GTe</v>
      </c>
      <c r="M18" s="43" t="str">
        <f>IFERROR(__xludf.DUMMYFUNCTION("""COMPUTED_VALUE"""),"long")</f>
        <v>long</v>
      </c>
      <c r="N18" s="45">
        <f>IFERROR(__xludf.DUMMYFUNCTION("""COMPUTED_VALUE"""),44769.0)</f>
        <v>44769</v>
      </c>
      <c r="O18" s="45">
        <f>IFERROR(__xludf.DUMMYFUNCTION("""COMPUTED_VALUE"""),44795.0)</f>
        <v>44795</v>
      </c>
      <c r="P18" s="45">
        <f>IFERROR(__xludf.DUMMYFUNCTION("""COMPUTED_VALUE"""),45107.0)</f>
        <v>45107</v>
      </c>
      <c r="Q18" s="45">
        <f>IFERROR(__xludf.DUMMYFUNCTION("""COMPUTED_VALUE"""),44796.0)</f>
        <v>44796</v>
      </c>
      <c r="R18" s="45">
        <f>IFERROR(__xludf.DUMMYFUNCTION("""COMPUTED_VALUE"""),45107.0)</f>
        <v>45107</v>
      </c>
      <c r="S18" s="43"/>
      <c r="T18" s="43" t="str">
        <f>IFERROR(__xludf.DUMMYFUNCTION("""COMPUTED_VALUE"""),"Business Development")</f>
        <v>Business Development</v>
      </c>
      <c r="U18" s="43" t="str">
        <f>IFERROR(__xludf.DUMMYFUNCTION("""COMPUTED_VALUE"""),"Pre-School Teacher at Istanbul AIKA/Beylikdüzü")</f>
        <v>Pre-School Teacher at Istanbul AIKA/Beylikdüzü</v>
      </c>
      <c r="V18" s="43" t="str">
        <f>IFERROR(__xludf.DUMMYFUNCTION("""COMPUTED_VALUE"""),"ISSHT")</f>
        <v>ISSHT</v>
      </c>
      <c r="W18" s="43" t="str">
        <f>IFERROR(__xludf.DUMMYFUNCTION("""COMPUTED_VALUE"""),"2022-07-26T18:54:25Z")</f>
        <v>2022-07-26T18:54:25Z</v>
      </c>
      <c r="X18" s="43"/>
      <c r="Y18" s="43"/>
      <c r="Z18" s="43"/>
    </row>
    <row r="19" hidden="1">
      <c r="A19" s="43" t="str">
        <f>IFERROR(__xludf.DUMMYFUNCTION("""COMPUTED_VALUE"""),"5086763_1262994")</f>
        <v>5086763_1262994</v>
      </c>
      <c r="B19" s="43" t="str">
        <f>IFERROR(__xludf.DUMMYFUNCTION("""COMPUTED_VALUE"""),"abdelrahman moussa")</f>
        <v>abdelrahman moussa</v>
      </c>
      <c r="C19" s="43" t="str">
        <f>IFERROR(__xludf.DUMMYFUNCTION("""COMPUTED_VALUE"""),"finished")</f>
        <v>finished</v>
      </c>
      <c r="D19" s="43" t="str">
        <f>IFERROR(__xludf.DUMMYFUNCTION("""COMPUTED_VALUE"""),"No")</f>
        <v>No</v>
      </c>
      <c r="E19" s="43" t="str">
        <f>IFERROR(__xludf.DUMMYFUNCTION("""COMPUTED_VALUE"""),"p_bba10a213b5f27a1755fc86e25ffb4847fbe564b@inbound.aiesec.org")</f>
        <v>p_bba10a213b5f27a1755fc86e25ffb4847fbe564b@inbound.aiesec.org</v>
      </c>
      <c r="F19" s="43">
        <f>IFERROR(__xludf.DUMMYFUNCTION("""COMPUTED_VALUE"""),1.117713796E9)</f>
        <v>1117713796</v>
      </c>
      <c r="G19" s="43" t="str">
        <f>IFERROR(__xludf.DUMMYFUNCTION("""COMPUTED_VALUE"""),"Egypt")</f>
        <v>Egypt</v>
      </c>
      <c r="H19" s="43" t="str">
        <f>IFERROR(__xludf.DUMMYFUNCTION("""COMPUTED_VALUE"""),"Ain Shams University")</f>
        <v>Ain Shams University</v>
      </c>
      <c r="I19" s="43" t="str">
        <f>IFERROR(__xludf.DUMMYFUNCTION("""COMPUTED_VALUE"""),"Turkey")</f>
        <v>Turkey</v>
      </c>
      <c r="J19" s="43" t="str">
        <f>IFERROR(__xludf.DUMMYFUNCTION("""COMPUTED_VALUE"""),"GAZIANTEP")</f>
        <v>GAZIANTEP</v>
      </c>
      <c r="K19" s="44" t="str">
        <f>IFERROR(__xludf.DUMMYFUNCTION("""COMPUTED_VALUE"""),"https://expa.aiesec.org/opportunities/1262994")</f>
        <v>https://expa.aiesec.org/opportunities/1262994</v>
      </c>
      <c r="L19" s="43" t="str">
        <f>IFERROR(__xludf.DUMMYFUNCTION("""COMPUTED_VALUE"""),"GTe")</f>
        <v>GTe</v>
      </c>
      <c r="M19" s="43" t="str">
        <f>IFERROR(__xludf.DUMMYFUNCTION("""COMPUTED_VALUE"""),"long")</f>
        <v>long</v>
      </c>
      <c r="N19" s="45">
        <f>IFERROR(__xludf.DUMMYFUNCTION("""COMPUTED_VALUE"""),44770.0)</f>
        <v>44770</v>
      </c>
      <c r="O19" s="45">
        <f>IFERROR(__xludf.DUMMYFUNCTION("""COMPUTED_VALUE"""),44819.0)</f>
        <v>44819</v>
      </c>
      <c r="P19" s="45">
        <f>IFERROR(__xludf.DUMMYFUNCTION("""COMPUTED_VALUE"""),45184.0)</f>
        <v>45184</v>
      </c>
      <c r="Q19" s="45">
        <f>IFERROR(__xludf.DUMMYFUNCTION("""COMPUTED_VALUE"""),44788.0)</f>
        <v>44788</v>
      </c>
      <c r="R19" s="45">
        <f>IFERROR(__xludf.DUMMYFUNCTION("""COMPUTED_VALUE"""),45139.0)</f>
        <v>45139</v>
      </c>
      <c r="S19" s="43"/>
      <c r="T19" s="43"/>
      <c r="U19" s="43" t="str">
        <f>IFERROR(__xludf.DUMMYFUNCTION("""COMPUTED_VALUE"""),"English Teacher ")</f>
        <v>English Teacher </v>
      </c>
      <c r="V19" s="43" t="str">
        <f>IFERROR(__xludf.DUMMYFUNCTION("""COMPUTED_VALUE"""),"Ain Shams University")</f>
        <v>Ain Shams University</v>
      </c>
      <c r="W19" s="43" t="str">
        <f>IFERROR(__xludf.DUMMYFUNCTION("""COMPUTED_VALUE"""),"2022-07-28T14:11:22Z")</f>
        <v>2022-07-28T14:11:22Z</v>
      </c>
      <c r="X19" s="43"/>
      <c r="Y19" s="43"/>
      <c r="Z19" s="43"/>
    </row>
    <row r="20" hidden="1">
      <c r="A20" s="43" t="str">
        <f>IFERROR(__xludf.DUMMYFUNCTION("""COMPUTED_VALUE"""),"3355717_1286368")</f>
        <v>3355717_1286368</v>
      </c>
      <c r="B20" s="43" t="str">
        <f>IFERROR(__xludf.DUMMYFUNCTION("""COMPUTED_VALUE"""),"Meryem El Allami")</f>
        <v>Meryem El Allami</v>
      </c>
      <c r="C20" s="43" t="str">
        <f>IFERROR(__xludf.DUMMYFUNCTION("""COMPUTED_VALUE"""),"finished")</f>
        <v>finished</v>
      </c>
      <c r="D20" s="43" t="str">
        <f>IFERROR(__xludf.DUMMYFUNCTION("""COMPUTED_VALUE"""),"No")</f>
        <v>No</v>
      </c>
      <c r="E20" s="43" t="str">
        <f>IFERROR(__xludf.DUMMYFUNCTION("""COMPUTED_VALUE"""),"p_8986b94921cdb2537373254199c426250862bf0f@inbound.aiesec.org")</f>
        <v>p_8986b94921cdb2537373254199c426250862bf0f@inbound.aiesec.org</v>
      </c>
      <c r="F20" s="43">
        <f>IFERROR(__xludf.DUMMYFUNCTION("""COMPUTED_VALUE"""),6.56056602E8)</f>
        <v>656056602</v>
      </c>
      <c r="G20" s="43" t="str">
        <f>IFERROR(__xludf.DUMMYFUNCTION("""COMPUTED_VALUE"""),"Morocco")</f>
        <v>Morocco</v>
      </c>
      <c r="H20" s="43" t="str">
        <f>IFERROR(__xludf.DUMMYFUNCTION("""COMPUTED_VALUE"""),"Morocco (MC)")</f>
        <v>Morocco (MC)</v>
      </c>
      <c r="I20" s="43" t="str">
        <f>IFERROR(__xludf.DUMMYFUNCTION("""COMPUTED_VALUE"""),"Turkey")</f>
        <v>Turkey</v>
      </c>
      <c r="J20" s="43" t="str">
        <f>IFERROR(__xludf.DUMMYFUNCTION("""COMPUTED_VALUE"""),"ISTANBUL ASIA")</f>
        <v>ISTANBUL ASIA</v>
      </c>
      <c r="K20" s="44" t="str">
        <f>IFERROR(__xludf.DUMMYFUNCTION("""COMPUTED_VALUE"""),"https://expa.aiesec.org/opportunities/1286368")</f>
        <v>https://expa.aiesec.org/opportunities/1286368</v>
      </c>
      <c r="L20" s="43" t="str">
        <f>IFERROR(__xludf.DUMMYFUNCTION("""COMPUTED_VALUE"""),"GTe")</f>
        <v>GTe</v>
      </c>
      <c r="M20" s="43" t="str">
        <f>IFERROR(__xludf.DUMMYFUNCTION("""COMPUTED_VALUE"""),"long")</f>
        <v>long</v>
      </c>
      <c r="N20" s="45">
        <f>IFERROR(__xludf.DUMMYFUNCTION("""COMPUTED_VALUE"""),44770.0)</f>
        <v>44770</v>
      </c>
      <c r="O20" s="45">
        <f>IFERROR(__xludf.DUMMYFUNCTION("""COMPUTED_VALUE"""),44802.0)</f>
        <v>44802</v>
      </c>
      <c r="P20" s="45">
        <f>IFERROR(__xludf.DUMMYFUNCTION("""COMPUTED_VALUE"""),45163.0)</f>
        <v>45163</v>
      </c>
      <c r="Q20" s="45">
        <f>IFERROR(__xludf.DUMMYFUNCTION("""COMPUTED_VALUE"""),44803.0)</f>
        <v>44803</v>
      </c>
      <c r="R20" s="45">
        <f>IFERROR(__xludf.DUMMYFUNCTION("""COMPUTED_VALUE"""),45168.0)</f>
        <v>45168</v>
      </c>
      <c r="S20" s="43"/>
      <c r="T20" s="43"/>
      <c r="U20" s="43" t="str">
        <f>IFERROR(__xludf.DUMMYFUNCTION("""COMPUTED_VALUE"""),"English Teacher")</f>
        <v>English Teacher</v>
      </c>
      <c r="V20" s="43" t="str">
        <f>IFERROR(__xludf.DUMMYFUNCTION("""COMPUTED_VALUE"""),"Other-EL JADIDA")</f>
        <v>Other-EL JADIDA</v>
      </c>
      <c r="W20" s="43" t="str">
        <f>IFERROR(__xludf.DUMMYFUNCTION("""COMPUTED_VALUE"""),"2019-04-23T16:30:55Z")</f>
        <v>2019-04-23T16:30:55Z</v>
      </c>
      <c r="X20" s="43"/>
      <c r="Y20" s="43"/>
      <c r="Z20" s="43"/>
    </row>
    <row r="21">
      <c r="A21" s="43" t="str">
        <f>IFERROR(__xludf.DUMMYFUNCTION("""COMPUTED_VALUE"""),"1897427_1284289")</f>
        <v>1897427_1284289</v>
      </c>
      <c r="B21" s="43" t="str">
        <f>IFERROR(__xludf.DUMMYFUNCTION("""COMPUTED_VALUE"""),"Ewurafua Biney")</f>
        <v>Ewurafua Biney</v>
      </c>
      <c r="C21" s="43" t="str">
        <f>IFERROR(__xludf.DUMMYFUNCTION("""COMPUTED_VALUE"""),"approved")</f>
        <v>approved</v>
      </c>
      <c r="D21" s="43" t="str">
        <f>IFERROR(__xludf.DUMMYFUNCTION("""COMPUTED_VALUE"""),"No")</f>
        <v>No</v>
      </c>
      <c r="E21" s="43" t="str">
        <f>IFERROR(__xludf.DUMMYFUNCTION("""COMPUTED_VALUE"""),"p_b8bee7cf36eb1e84520b3c8b8303c9abf62ed0f5@inbound.aiesec.org")</f>
        <v>p_b8bee7cf36eb1e84520b3c8b8303c9abf62ed0f5@inbound.aiesec.org</v>
      </c>
      <c r="F21" s="43">
        <f>IFERROR(__xludf.DUMMYFUNCTION("""COMPUTED_VALUE"""),2.76033865E8)</f>
        <v>276033865</v>
      </c>
      <c r="G21" s="43" t="str">
        <f>IFERROR(__xludf.DUMMYFUNCTION("""COMPUTED_VALUE"""),"Ghana")</f>
        <v>Ghana</v>
      </c>
      <c r="H21" s="43" t="str">
        <f>IFERROR(__xludf.DUMMYFUNCTION("""COMPUTED_VALUE"""),"Member Committee Ghana")</f>
        <v>Member Committee Ghana</v>
      </c>
      <c r="I21" s="43" t="str">
        <f>IFERROR(__xludf.DUMMYFUNCTION("""COMPUTED_VALUE"""),"Turkey")</f>
        <v>Turkey</v>
      </c>
      <c r="J21" s="43" t="str">
        <f>IFERROR(__xludf.DUMMYFUNCTION("""COMPUTED_VALUE"""),"KOCAELI")</f>
        <v>KOCAELI</v>
      </c>
      <c r="K21" s="44" t="str">
        <f>IFERROR(__xludf.DUMMYFUNCTION("""COMPUTED_VALUE"""),"https://expa.aiesec.org/opportunities/1284289")</f>
        <v>https://expa.aiesec.org/opportunities/1284289</v>
      </c>
      <c r="L21" s="43" t="str">
        <f>IFERROR(__xludf.DUMMYFUNCTION("""COMPUTED_VALUE"""),"GTe")</f>
        <v>GTe</v>
      </c>
      <c r="M21" s="43" t="str">
        <f>IFERROR(__xludf.DUMMYFUNCTION("""COMPUTED_VALUE"""),"long")</f>
        <v>long</v>
      </c>
      <c r="N21" s="45">
        <f>IFERROR(__xludf.DUMMYFUNCTION("""COMPUTED_VALUE"""),44770.0)</f>
        <v>44770</v>
      </c>
      <c r="O21" s="45">
        <f>IFERROR(__xludf.DUMMYFUNCTION("""COMPUTED_VALUE"""),44805.0)</f>
        <v>44805</v>
      </c>
      <c r="P21" s="45">
        <f>IFERROR(__xludf.DUMMYFUNCTION("""COMPUTED_VALUE"""),45107.0)</f>
        <v>45107</v>
      </c>
      <c r="Q21" s="45"/>
      <c r="R21" s="45"/>
      <c r="S21" s="43"/>
      <c r="T21" s="43"/>
      <c r="U21" s="43" t="str">
        <f>IFERROR(__xludf.DUMMYFUNCTION("""COMPUTED_VALUE"""),"English Teacher in Limon Ağacı Kindergarten")</f>
        <v>English Teacher in Limon Ağacı Kindergarten</v>
      </c>
      <c r="V21" s="43" t="str">
        <f>IFERROR(__xludf.DUMMYFUNCTION("""COMPUTED_VALUE"""),"-")</f>
        <v>-</v>
      </c>
      <c r="W21" s="43" t="str">
        <f>IFERROR(__xludf.DUMMYFUNCTION("""COMPUTED_VALUE"""),"2017-11-27T22:01:20Z")</f>
        <v>2017-11-27T22:01:20Z</v>
      </c>
      <c r="X21" s="43"/>
      <c r="Y21" s="43"/>
      <c r="Z21" s="43"/>
    </row>
    <row r="22" hidden="1">
      <c r="A22" s="43" t="str">
        <f>IFERROR(__xludf.DUMMYFUNCTION("""COMPUTED_VALUE"""),"755112_1284709")</f>
        <v>755112_1284709</v>
      </c>
      <c r="B22" s="43" t="str">
        <f>IFERROR(__xludf.DUMMYFUNCTION("""COMPUTED_VALUE"""),"Mohamed Firas firass Ben Hiba")</f>
        <v>Mohamed Firas firass Ben Hiba</v>
      </c>
      <c r="C22" s="43" t="str">
        <f>IFERROR(__xludf.DUMMYFUNCTION("""COMPUTED_VALUE"""),"finished")</f>
        <v>finished</v>
      </c>
      <c r="D22" s="43" t="str">
        <f>IFERROR(__xludf.DUMMYFUNCTION("""COMPUTED_VALUE"""),"No")</f>
        <v>No</v>
      </c>
      <c r="E22" s="43" t="str">
        <f>IFERROR(__xludf.DUMMYFUNCTION("""COMPUTED_VALUE"""),"p_2147f60f8c415569147b5375bd3cb49b57b18d3e@inbound.aiesec.org")</f>
        <v>p_2147f60f8c415569147b5375bd3cb49b57b18d3e@inbound.aiesec.org</v>
      </c>
      <c r="F22" s="43"/>
      <c r="G22" s="43" t="str">
        <f>IFERROR(__xludf.DUMMYFUNCTION("""COMPUTED_VALUE"""),"Tunisia")</f>
        <v>Tunisia</v>
      </c>
      <c r="H22" s="43" t="str">
        <f>IFERROR(__xludf.DUMMYFUNCTION("""COMPUTED_VALUE"""),"Bizerte")</f>
        <v>Bizerte</v>
      </c>
      <c r="I22" s="43" t="str">
        <f>IFERROR(__xludf.DUMMYFUNCTION("""COMPUTED_VALUE"""),"Turkey")</f>
        <v>Turkey</v>
      </c>
      <c r="J22" s="43" t="str">
        <f>IFERROR(__xludf.DUMMYFUNCTION("""COMPUTED_VALUE"""),"İZMİR")</f>
        <v>İZMİR</v>
      </c>
      <c r="K22" s="44" t="str">
        <f>IFERROR(__xludf.DUMMYFUNCTION("""COMPUTED_VALUE"""),"https://expa.aiesec.org/opportunities/1284709")</f>
        <v>https://expa.aiesec.org/opportunities/1284709</v>
      </c>
      <c r="L22" s="43" t="str">
        <f>IFERROR(__xludf.DUMMYFUNCTION("""COMPUTED_VALUE"""),"GTe")</f>
        <v>GTe</v>
      </c>
      <c r="M22" s="43" t="str">
        <f>IFERROR(__xludf.DUMMYFUNCTION("""COMPUTED_VALUE"""),"long")</f>
        <v>long</v>
      </c>
      <c r="N22" s="45">
        <f>IFERROR(__xludf.DUMMYFUNCTION("""COMPUTED_VALUE"""),44770.0)</f>
        <v>44770</v>
      </c>
      <c r="O22" s="45">
        <f>IFERROR(__xludf.DUMMYFUNCTION("""COMPUTED_VALUE"""),44753.0)</f>
        <v>44753</v>
      </c>
      <c r="P22" s="45">
        <f>IFERROR(__xludf.DUMMYFUNCTION("""COMPUTED_VALUE"""),45118.0)</f>
        <v>45118</v>
      </c>
      <c r="Q22" s="45">
        <f>IFERROR(__xludf.DUMMYFUNCTION("""COMPUTED_VALUE"""),44819.0)</f>
        <v>44819</v>
      </c>
      <c r="R22" s="45">
        <f>IFERROR(__xludf.DUMMYFUNCTION("""COMPUTED_VALUE"""),45184.0)</f>
        <v>45184</v>
      </c>
      <c r="S22" s="43"/>
      <c r="T22" s="43"/>
      <c r="U22" s="43" t="str">
        <f>IFERROR(__xludf.DUMMYFUNCTION("""COMPUTED_VALUE"""),"English Teacher in Izmir")</f>
        <v>English Teacher in Izmir</v>
      </c>
      <c r="V22" s="43" t="str">
        <f>IFERROR(__xludf.DUMMYFUNCTION("""COMPUTED_VALUE"""),"-")</f>
        <v>-</v>
      </c>
      <c r="W22" s="43" t="str">
        <f>IFERROR(__xludf.DUMMYFUNCTION("""COMPUTED_VALUE"""),"2015-11-01T19:19:02Z")</f>
        <v>2015-11-01T19:19:02Z</v>
      </c>
      <c r="X22" s="43"/>
      <c r="Y22" s="43"/>
      <c r="Z22" s="43"/>
    </row>
    <row r="23" hidden="1">
      <c r="A23" s="43" t="str">
        <f>IFERROR(__xludf.DUMMYFUNCTION("""COMPUTED_VALUE"""),"5086766_1278947")</f>
        <v>5086766_1278947</v>
      </c>
      <c r="B23" s="43" t="str">
        <f>IFERROR(__xludf.DUMMYFUNCTION("""COMPUTED_VALUE"""),"chayma wargui")</f>
        <v>chayma wargui</v>
      </c>
      <c r="C23" s="43" t="str">
        <f>IFERROR(__xludf.DUMMYFUNCTION("""COMPUTED_VALUE"""),"finished")</f>
        <v>finished</v>
      </c>
      <c r="D23" s="43" t="str">
        <f>IFERROR(__xludf.DUMMYFUNCTION("""COMPUTED_VALUE"""),"No")</f>
        <v>No</v>
      </c>
      <c r="E23" s="43" t="str">
        <f>IFERROR(__xludf.DUMMYFUNCTION("""COMPUTED_VALUE"""),"p_d18d5f46f9d81a9e2519117fe3d52472dcd847e3@inbound.aiesec.org")</f>
        <v>p_d18d5f46f9d81a9e2519117fe3d52472dcd847e3@inbound.aiesec.org</v>
      </c>
      <c r="F23" s="43">
        <f>IFERROR(__xludf.DUMMYFUNCTION("""COMPUTED_VALUE"""),5.0278519E7)</f>
        <v>50278519</v>
      </c>
      <c r="G23" s="43" t="str">
        <f>IFERROR(__xludf.DUMMYFUNCTION("""COMPUTED_VALUE"""),"Tunisia")</f>
        <v>Tunisia</v>
      </c>
      <c r="H23" s="43" t="str">
        <f>IFERROR(__xludf.DUMMYFUNCTION("""COMPUTED_VALUE"""),"MEDINA")</f>
        <v>MEDINA</v>
      </c>
      <c r="I23" s="43" t="str">
        <f>IFERROR(__xludf.DUMMYFUNCTION("""COMPUTED_VALUE"""),"Turkey")</f>
        <v>Turkey</v>
      </c>
      <c r="J23" s="43" t="str">
        <f>IFERROR(__xludf.DUMMYFUNCTION("""COMPUTED_VALUE"""),"SAKARYA")</f>
        <v>SAKARYA</v>
      </c>
      <c r="K23" s="44" t="str">
        <f>IFERROR(__xludf.DUMMYFUNCTION("""COMPUTED_VALUE"""),"https://expa.aiesec.org/opportunities/1278947")</f>
        <v>https://expa.aiesec.org/opportunities/1278947</v>
      </c>
      <c r="L23" s="43" t="str">
        <f>IFERROR(__xludf.DUMMYFUNCTION("""COMPUTED_VALUE"""),"GTe")</f>
        <v>GTe</v>
      </c>
      <c r="M23" s="43" t="str">
        <f>IFERROR(__xludf.DUMMYFUNCTION("""COMPUTED_VALUE"""),"long")</f>
        <v>long</v>
      </c>
      <c r="N23" s="45">
        <f>IFERROR(__xludf.DUMMYFUNCTION("""COMPUTED_VALUE"""),44771.0)</f>
        <v>44771</v>
      </c>
      <c r="O23" s="45">
        <f>IFERROR(__xludf.DUMMYFUNCTION("""COMPUTED_VALUE"""),44793.0)</f>
        <v>44793</v>
      </c>
      <c r="P23" s="45">
        <f>IFERROR(__xludf.DUMMYFUNCTION("""COMPUTED_VALUE"""),45155.0)</f>
        <v>45155</v>
      </c>
      <c r="Q23" s="45">
        <f>IFERROR(__xludf.DUMMYFUNCTION("""COMPUTED_VALUE"""),44824.0)</f>
        <v>44824</v>
      </c>
      <c r="R23" s="45">
        <f>IFERROR(__xludf.DUMMYFUNCTION("""COMPUTED_VALUE"""),45155.0)</f>
        <v>45155</v>
      </c>
      <c r="S23" s="43"/>
      <c r="T23" s="43"/>
      <c r="U23" s="43" t="str">
        <f>IFERROR(__xludf.DUMMYFUNCTION("""COMPUTED_VALUE"""),"English Teacher")</f>
        <v>English Teacher</v>
      </c>
      <c r="V23" s="43" t="str">
        <f>IFERROR(__xludf.DUMMYFUNCTION("""COMPUTED_VALUE"""),"FLAH")</f>
        <v>FLAH</v>
      </c>
      <c r="W23" s="43" t="str">
        <f>IFERROR(__xludf.DUMMYFUNCTION("""COMPUTED_VALUE"""),"2022-07-28T14:17:42Z")</f>
        <v>2022-07-28T14:17:42Z</v>
      </c>
      <c r="X23" s="43"/>
      <c r="Y23" s="43"/>
      <c r="Z23" s="43"/>
    </row>
    <row r="24" hidden="1">
      <c r="A24" s="43" t="str">
        <f>IFERROR(__xludf.DUMMYFUNCTION("""COMPUTED_VALUE"""),"2383524_1278703")</f>
        <v>2383524_1278703</v>
      </c>
      <c r="B24" s="43" t="str">
        <f>IFERROR(__xludf.DUMMYFUNCTION("""COMPUTED_VALUE"""),"Selah Sampao")</f>
        <v>Selah Sampao</v>
      </c>
      <c r="C24" s="43" t="str">
        <f>IFERROR(__xludf.DUMMYFUNCTION("""COMPUTED_VALUE"""),"finished")</f>
        <v>finished</v>
      </c>
      <c r="D24" s="43" t="str">
        <f>IFERROR(__xludf.DUMMYFUNCTION("""COMPUTED_VALUE"""),"No")</f>
        <v>No</v>
      </c>
      <c r="E24" s="43" t="str">
        <f>IFERROR(__xludf.DUMMYFUNCTION("""COMPUTED_VALUE"""),"p_a400f5c2690c2625d0538b8d04c7e563ea3019b3@inbound.aiesec.org")</f>
        <v>p_a400f5c2690c2625d0538b8d04c7e563ea3019b3@inbound.aiesec.org</v>
      </c>
      <c r="F24" s="43">
        <f>IFERROR(__xludf.DUMMYFUNCTION("""COMPUTED_VALUE"""),5.441029798E9)</f>
        <v>5441029798</v>
      </c>
      <c r="G24" s="43" t="str">
        <f>IFERROR(__xludf.DUMMYFUNCTION("""COMPUTED_VALUE"""),"Kenya")</f>
        <v>Kenya</v>
      </c>
      <c r="H24" s="43" t="str">
        <f>IFERROR(__xludf.DUMMYFUNCTION("""COMPUTED_VALUE"""),"UoN")</f>
        <v>UoN</v>
      </c>
      <c r="I24" s="43" t="str">
        <f>IFERROR(__xludf.DUMMYFUNCTION("""COMPUTED_VALUE"""),"Turkey")</f>
        <v>Turkey</v>
      </c>
      <c r="J24" s="43" t="str">
        <f>IFERROR(__xludf.DUMMYFUNCTION("""COMPUTED_VALUE"""),"KOCAELI")</f>
        <v>KOCAELI</v>
      </c>
      <c r="K24" s="44" t="str">
        <f>IFERROR(__xludf.DUMMYFUNCTION("""COMPUTED_VALUE"""),"https://expa.aiesec.org/opportunities/1278703")</f>
        <v>https://expa.aiesec.org/opportunities/1278703</v>
      </c>
      <c r="L24" s="43" t="str">
        <f>IFERROR(__xludf.DUMMYFUNCTION("""COMPUTED_VALUE"""),"GTe")</f>
        <v>GTe</v>
      </c>
      <c r="M24" s="43" t="str">
        <f>IFERROR(__xludf.DUMMYFUNCTION("""COMPUTED_VALUE"""),"long")</f>
        <v>long</v>
      </c>
      <c r="N24" s="45">
        <f>IFERROR(__xludf.DUMMYFUNCTION("""COMPUTED_VALUE"""),44772.0)</f>
        <v>44772</v>
      </c>
      <c r="O24" s="45">
        <f>IFERROR(__xludf.DUMMYFUNCTION("""COMPUTED_VALUE"""),44810.0)</f>
        <v>44810</v>
      </c>
      <c r="P24" s="45">
        <f>IFERROR(__xludf.DUMMYFUNCTION("""COMPUTED_VALUE"""),45093.0)</f>
        <v>45093</v>
      </c>
      <c r="Q24" s="45">
        <f>IFERROR(__xludf.DUMMYFUNCTION("""COMPUTED_VALUE"""),44802.0)</f>
        <v>44802</v>
      </c>
      <c r="R24" s="45">
        <f>IFERROR(__xludf.DUMMYFUNCTION("""COMPUTED_VALUE"""),45107.0)</f>
        <v>45107</v>
      </c>
      <c r="S24" s="43"/>
      <c r="T24" s="43"/>
      <c r="U24" s="43" t="str">
        <f>IFERROR(__xludf.DUMMYFUNCTION("""COMPUTED_VALUE"""),"Kindergarden Teacher in Rengin  Anaokulu")</f>
        <v>Kindergarden Teacher in Rengin  Anaokulu</v>
      </c>
      <c r="V24" s="43" t="str">
        <f>IFERROR(__xludf.DUMMYFUNCTION("""COMPUTED_VALUE"""),"University of Nairobi")</f>
        <v>University of Nairobi</v>
      </c>
      <c r="W24" s="43" t="str">
        <f>IFERROR(__xludf.DUMMYFUNCTION("""COMPUTED_VALUE"""),"2018-06-24T20:02:00Z")</f>
        <v>2018-06-24T20:02:00Z</v>
      </c>
      <c r="X24" s="43"/>
      <c r="Y24" s="43"/>
      <c r="Z24" s="43"/>
    </row>
    <row r="25" hidden="1">
      <c r="A25" s="43" t="str">
        <f>IFERROR(__xludf.DUMMYFUNCTION("""COMPUTED_VALUE"""),"4833761_1258621")</f>
        <v>4833761_1258621</v>
      </c>
      <c r="B25" s="43" t="str">
        <f>IFERROR(__xludf.DUMMYFUNCTION("""COMPUTED_VALUE"""),"YACINE AROUNE")</f>
        <v>YACINE AROUNE</v>
      </c>
      <c r="C25" s="43" t="str">
        <f>IFERROR(__xludf.DUMMYFUNCTION("""COMPUTED_VALUE"""),"realized")</f>
        <v>realized</v>
      </c>
      <c r="D25" s="43" t="str">
        <f>IFERROR(__xludf.DUMMYFUNCTION("""COMPUTED_VALUE"""),"No")</f>
        <v>No</v>
      </c>
      <c r="E25" s="43" t="str">
        <f>IFERROR(__xludf.DUMMYFUNCTION("""COMPUTED_VALUE"""),"p_e2e4e9f78e64909713efe5236dc13357a852a98d@inbound.aiesec.org")</f>
        <v>p_e2e4e9f78e64909713efe5236dc13357a852a98d@inbound.aiesec.org</v>
      </c>
      <c r="F25" s="43">
        <f>IFERROR(__xludf.DUMMYFUNCTION("""COMPUTED_VALUE"""),7.73256922E8)</f>
        <v>773256922</v>
      </c>
      <c r="G25" s="43" t="str">
        <f>IFERROR(__xludf.DUMMYFUNCTION("""COMPUTED_VALUE"""),"Algeria")</f>
        <v>Algeria</v>
      </c>
      <c r="H25" s="43" t="str">
        <f>IFERROR(__xludf.DUMMYFUNCTION("""COMPUTED_VALUE"""),"Oran")</f>
        <v>Oran</v>
      </c>
      <c r="I25" s="43" t="str">
        <f>IFERROR(__xludf.DUMMYFUNCTION("""COMPUTED_VALUE"""),"Turkey")</f>
        <v>Turkey</v>
      </c>
      <c r="J25" s="43" t="str">
        <f>IFERROR(__xludf.DUMMYFUNCTION("""COMPUTED_VALUE"""),"ISTANBUL WEST")</f>
        <v>ISTANBUL WEST</v>
      </c>
      <c r="K25" s="44" t="str">
        <f>IFERROR(__xludf.DUMMYFUNCTION("""COMPUTED_VALUE"""),"https://expa.aiesec.org/opportunities/1258621")</f>
        <v>https://expa.aiesec.org/opportunities/1258621</v>
      </c>
      <c r="L25" s="43" t="str">
        <f>IFERROR(__xludf.DUMMYFUNCTION("""COMPUTED_VALUE"""),"GTe")</f>
        <v>GTe</v>
      </c>
      <c r="M25" s="43" t="str">
        <f>IFERROR(__xludf.DUMMYFUNCTION("""COMPUTED_VALUE"""),"long")</f>
        <v>long</v>
      </c>
      <c r="N25" s="45">
        <f>IFERROR(__xludf.DUMMYFUNCTION("""COMPUTED_VALUE"""),44773.0)</f>
        <v>44773</v>
      </c>
      <c r="O25" s="45">
        <f>IFERROR(__xludf.DUMMYFUNCTION("""COMPUTED_VALUE"""),44788.0)</f>
        <v>44788</v>
      </c>
      <c r="P25" s="45">
        <f>IFERROR(__xludf.DUMMYFUNCTION("""COMPUTED_VALUE"""),45331.0)</f>
        <v>45331</v>
      </c>
      <c r="Q25" s="45">
        <f>IFERROR(__xludf.DUMMYFUNCTION("""COMPUTED_VALUE"""),44839.0)</f>
        <v>44839</v>
      </c>
      <c r="R25" s="45">
        <f>IFERROR(__xludf.DUMMYFUNCTION("""COMPUTED_VALUE"""),45352.0)</f>
        <v>45352</v>
      </c>
      <c r="S25" s="43"/>
      <c r="T25" s="43"/>
      <c r="U25" s="43" t="str">
        <f>IFERROR(__xludf.DUMMYFUNCTION("""COMPUTED_VALUE"""),"English Teacher in Tekirdağ")</f>
        <v>English Teacher in Tekirdağ</v>
      </c>
      <c r="V25" s="43" t="str">
        <f>IFERROR(__xludf.DUMMYFUNCTION("""COMPUTED_VALUE"""),"AIESEC in Bejaia")</f>
        <v>AIESEC in Bejaia</v>
      </c>
      <c r="W25" s="43" t="str">
        <f>IFERROR(__xludf.DUMMYFUNCTION("""COMPUTED_VALUE"""),"2021-12-07T14:07:08Z")</f>
        <v>2021-12-07T14:07:08Z</v>
      </c>
      <c r="X25" s="43"/>
      <c r="Y25" s="43"/>
      <c r="Z25" s="43"/>
    </row>
    <row r="26" hidden="1">
      <c r="A26" s="43" t="str">
        <f>IFERROR(__xludf.DUMMYFUNCTION("""COMPUTED_VALUE"""),"5087067_1264946")</f>
        <v>5087067_1264946</v>
      </c>
      <c r="B26" s="43" t="str">
        <f>IFERROR(__xludf.DUMMYFUNCTION("""COMPUTED_VALUE"""),"Wided Sghaier")</f>
        <v>Wided Sghaier</v>
      </c>
      <c r="C26" s="43" t="str">
        <f>IFERROR(__xludf.DUMMYFUNCTION("""COMPUTED_VALUE"""),"completed")</f>
        <v>completed</v>
      </c>
      <c r="D26" s="43" t="str">
        <f>IFERROR(__xludf.DUMMYFUNCTION("""COMPUTED_VALUE"""),"No")</f>
        <v>No</v>
      </c>
      <c r="E26" s="43" t="str">
        <f>IFERROR(__xludf.DUMMYFUNCTION("""COMPUTED_VALUE"""),"p_e28ac3125a8c0d4cefd27fe67dc8db9d53e6930a@inbound.aiesec.org")</f>
        <v>p_e28ac3125a8c0d4cefd27fe67dc8db9d53e6930a@inbound.aiesec.org</v>
      </c>
      <c r="F26" s="43">
        <f>IFERROR(__xludf.DUMMYFUNCTION("""COMPUTED_VALUE"""),5.398294192E9)</f>
        <v>5398294192</v>
      </c>
      <c r="G26" s="43" t="str">
        <f>IFERROR(__xludf.DUMMYFUNCTION("""COMPUTED_VALUE"""),"Tunisia")</f>
        <v>Tunisia</v>
      </c>
      <c r="H26" s="43" t="str">
        <f>IFERROR(__xludf.DUMMYFUNCTION("""COMPUTED_VALUE"""),"UNIVERSITY")</f>
        <v>UNIVERSITY</v>
      </c>
      <c r="I26" s="43" t="str">
        <f>IFERROR(__xludf.DUMMYFUNCTION("""COMPUTED_VALUE"""),"Turkey")</f>
        <v>Turkey</v>
      </c>
      <c r="J26" s="43" t="str">
        <f>IFERROR(__xludf.DUMMYFUNCTION("""COMPUTED_VALUE"""),"KOCAELI")</f>
        <v>KOCAELI</v>
      </c>
      <c r="K26" s="44" t="str">
        <f>IFERROR(__xludf.DUMMYFUNCTION("""COMPUTED_VALUE"""),"https://expa.aiesec.org/opportunities/1264946")</f>
        <v>https://expa.aiesec.org/opportunities/1264946</v>
      </c>
      <c r="L26" s="43" t="str">
        <f>IFERROR(__xludf.DUMMYFUNCTION("""COMPUTED_VALUE"""),"GTe")</f>
        <v>GTe</v>
      </c>
      <c r="M26" s="43" t="str">
        <f>IFERROR(__xludf.DUMMYFUNCTION("""COMPUTED_VALUE"""),"long")</f>
        <v>long</v>
      </c>
      <c r="N26" s="45">
        <f>IFERROR(__xludf.DUMMYFUNCTION("""COMPUTED_VALUE"""),44774.0)</f>
        <v>44774</v>
      </c>
      <c r="O26" s="45">
        <f>IFERROR(__xludf.DUMMYFUNCTION("""COMPUTED_VALUE"""),44811.0)</f>
        <v>44811</v>
      </c>
      <c r="P26" s="45">
        <f>IFERROR(__xludf.DUMMYFUNCTION("""COMPUTED_VALUE"""),45107.0)</f>
        <v>45107</v>
      </c>
      <c r="Q26" s="45">
        <f>IFERROR(__xludf.DUMMYFUNCTION("""COMPUTED_VALUE"""),44883.0)</f>
        <v>44883</v>
      </c>
      <c r="R26" s="45">
        <f>IFERROR(__xludf.DUMMYFUNCTION("""COMPUTED_VALUE"""),45107.0)</f>
        <v>45107</v>
      </c>
      <c r="S26" s="43"/>
      <c r="T26" s="43"/>
      <c r="U26" s="43" t="str">
        <f>IFERROR(__xludf.DUMMYFUNCTION("""COMPUTED_VALUE"""),"English Teacher in Boutique Kindergarden ")</f>
        <v>English Teacher in Boutique Kindergarden </v>
      </c>
      <c r="V26" s="43" t="str">
        <f>IFERROR(__xludf.DUMMYFUNCTION("""COMPUTED_VALUE"""),"Institut préparatoire aux études d'ingénieurs d'El Manar IPEIEM ")</f>
        <v>Institut préparatoire aux études d'ingénieurs d'El Manar IPEIEM </v>
      </c>
      <c r="W26" s="43" t="str">
        <f>IFERROR(__xludf.DUMMYFUNCTION("""COMPUTED_VALUE"""),"2022-07-29T13:10:42Z")</f>
        <v>2022-07-29T13:10:42Z</v>
      </c>
      <c r="X26" s="43"/>
      <c r="Y26" s="43"/>
      <c r="Z26" s="43"/>
    </row>
    <row r="27" hidden="1">
      <c r="A27" s="43" t="str">
        <f>IFERROR(__xludf.DUMMYFUNCTION("""COMPUTED_VALUE"""),"5086071_1287721")</f>
        <v>5086071_1287721</v>
      </c>
      <c r="B27" s="43" t="str">
        <f>IFERROR(__xludf.DUMMYFUNCTION("""COMPUTED_VALUE"""),"chaima saihi")</f>
        <v>chaima saihi</v>
      </c>
      <c r="C27" s="43" t="str">
        <f>IFERROR(__xludf.DUMMYFUNCTION("""COMPUTED_VALUE"""),"finished")</f>
        <v>finished</v>
      </c>
      <c r="D27" s="43" t="str">
        <f>IFERROR(__xludf.DUMMYFUNCTION("""COMPUTED_VALUE"""),"No")</f>
        <v>No</v>
      </c>
      <c r="E27" s="43" t="str">
        <f>IFERROR(__xludf.DUMMYFUNCTION("""COMPUTED_VALUE"""),"p_58ddb92126769b95ee2abf3190c320541c8490fd@inbound.aiesec.org")</f>
        <v>p_58ddb92126769b95ee2abf3190c320541c8490fd@inbound.aiesec.org</v>
      </c>
      <c r="F27" s="43">
        <f>IFERROR(__xludf.DUMMYFUNCTION("""COMPUTED_VALUE"""),5.0088139E7)</f>
        <v>50088139</v>
      </c>
      <c r="G27" s="43" t="str">
        <f>IFERROR(__xludf.DUMMYFUNCTION("""COMPUTED_VALUE"""),"Tunisia")</f>
        <v>Tunisia</v>
      </c>
      <c r="H27" s="43" t="str">
        <f>IFERROR(__xludf.DUMMYFUNCTION("""COMPUTED_VALUE"""),"RUSPINA")</f>
        <v>RUSPINA</v>
      </c>
      <c r="I27" s="43" t="str">
        <f>IFERROR(__xludf.DUMMYFUNCTION("""COMPUTED_VALUE"""),"Turkey")</f>
        <v>Turkey</v>
      </c>
      <c r="J27" s="43" t="str">
        <f>IFERROR(__xludf.DUMMYFUNCTION("""COMPUTED_VALUE"""),"ESKISEHIR")</f>
        <v>ESKISEHIR</v>
      </c>
      <c r="K27" s="44" t="str">
        <f>IFERROR(__xludf.DUMMYFUNCTION("""COMPUTED_VALUE"""),"https://expa.aiesec.org/opportunities/1287721")</f>
        <v>https://expa.aiesec.org/opportunities/1287721</v>
      </c>
      <c r="L27" s="43" t="str">
        <f>IFERROR(__xludf.DUMMYFUNCTION("""COMPUTED_VALUE"""),"GTe")</f>
        <v>GTe</v>
      </c>
      <c r="M27" s="43" t="str">
        <f>IFERROR(__xludf.DUMMYFUNCTION("""COMPUTED_VALUE"""),"long")</f>
        <v>long</v>
      </c>
      <c r="N27" s="45">
        <f>IFERROR(__xludf.DUMMYFUNCTION("""COMPUTED_VALUE"""),44774.0)</f>
        <v>44774</v>
      </c>
      <c r="O27" s="45">
        <f>IFERROR(__xludf.DUMMYFUNCTION("""COMPUTED_VALUE"""),44769.0)</f>
        <v>44769</v>
      </c>
      <c r="P27" s="45">
        <f>IFERROR(__xludf.DUMMYFUNCTION("""COMPUTED_VALUE"""),45108.0)</f>
        <v>45108</v>
      </c>
      <c r="Q27" s="45">
        <f>IFERROR(__xludf.DUMMYFUNCTION("""COMPUTED_VALUE"""),44779.0)</f>
        <v>44779</v>
      </c>
      <c r="R27" s="45">
        <f>IFERROR(__xludf.DUMMYFUNCTION("""COMPUTED_VALUE"""),45108.0)</f>
        <v>45108</v>
      </c>
      <c r="S27" s="43"/>
      <c r="T27" s="43"/>
      <c r="U27" s="43" t="str">
        <f>IFERROR(__xludf.DUMMYFUNCTION("""COMPUTED_VALUE"""),"English Teacher")</f>
        <v>English Teacher</v>
      </c>
      <c r="V27" s="43" t="str">
        <f>IFERROR(__xludf.DUMMYFUNCTION("""COMPUTED_VALUE"""),"ISLAA Moknine")</f>
        <v>ISLAA Moknine</v>
      </c>
      <c r="W27" s="43" t="str">
        <f>IFERROR(__xludf.DUMMYFUNCTION("""COMPUTED_VALUE"""),"2022-07-26T15:33:34Z")</f>
        <v>2022-07-26T15:33:34Z</v>
      </c>
      <c r="X27" s="43"/>
      <c r="Y27" s="43"/>
      <c r="Z27" s="43"/>
    </row>
    <row r="28" hidden="1">
      <c r="A28" s="43" t="str">
        <f>IFERROR(__xludf.DUMMYFUNCTION("""COMPUTED_VALUE"""),"5086708_1279544")</f>
        <v>5086708_1279544</v>
      </c>
      <c r="B28" s="43" t="str">
        <f>IFERROR(__xludf.DUMMYFUNCTION("""COMPUTED_VALUE"""),"RİBAH Missaoui")</f>
        <v>RİBAH Missaoui</v>
      </c>
      <c r="C28" s="43" t="str">
        <f>IFERROR(__xludf.DUMMYFUNCTION("""COMPUTED_VALUE"""),"realization_broken")</f>
        <v>realization_broken</v>
      </c>
      <c r="D28" s="43" t="str">
        <f>IFERROR(__xludf.DUMMYFUNCTION("""COMPUTED_VALUE"""),"No")</f>
        <v>No</v>
      </c>
      <c r="E28" s="43" t="str">
        <f>IFERROR(__xludf.DUMMYFUNCTION("""COMPUTED_VALUE"""),"p_38a7abc1e4c5dfe973e77704a988219ce6f69f0f@inbound.aiesec.org")</f>
        <v>p_38a7abc1e4c5dfe973e77704a988219ce6f69f0f@inbound.aiesec.org</v>
      </c>
      <c r="F28" s="43">
        <f>IFERROR(__xludf.DUMMYFUNCTION("""COMPUTED_VALUE"""),9.0557251E7)</f>
        <v>90557251</v>
      </c>
      <c r="G28" s="43" t="str">
        <f>IFERROR(__xludf.DUMMYFUNCTION("""COMPUTED_VALUE"""),"Tunisia")</f>
        <v>Tunisia</v>
      </c>
      <c r="H28" s="43" t="str">
        <f>IFERROR(__xludf.DUMMYFUNCTION("""COMPUTED_VALUE"""),"RUSPINA")</f>
        <v>RUSPINA</v>
      </c>
      <c r="I28" s="43" t="str">
        <f>IFERROR(__xludf.DUMMYFUNCTION("""COMPUTED_VALUE"""),"Turkey")</f>
        <v>Turkey</v>
      </c>
      <c r="J28" s="43" t="str">
        <f>IFERROR(__xludf.DUMMYFUNCTION("""COMPUTED_VALUE"""),"KOCAELI")</f>
        <v>KOCAELI</v>
      </c>
      <c r="K28" s="44" t="str">
        <f>IFERROR(__xludf.DUMMYFUNCTION("""COMPUTED_VALUE"""),"https://expa.aiesec.org/opportunities/1279544")</f>
        <v>https://expa.aiesec.org/opportunities/1279544</v>
      </c>
      <c r="L28" s="43" t="str">
        <f>IFERROR(__xludf.DUMMYFUNCTION("""COMPUTED_VALUE"""),"GTe")</f>
        <v>GTe</v>
      </c>
      <c r="M28" s="43" t="str">
        <f>IFERROR(__xludf.DUMMYFUNCTION("""COMPUTED_VALUE"""),"long")</f>
        <v>long</v>
      </c>
      <c r="N28" s="45">
        <f>IFERROR(__xludf.DUMMYFUNCTION("""COMPUTED_VALUE"""),44777.0)</f>
        <v>44777</v>
      </c>
      <c r="O28" s="45">
        <f>IFERROR(__xludf.DUMMYFUNCTION("""COMPUTED_VALUE"""),44805.0)</f>
        <v>44805</v>
      </c>
      <c r="P28" s="45">
        <f>IFERROR(__xludf.DUMMYFUNCTION("""COMPUTED_VALUE"""),45170.0)</f>
        <v>45170</v>
      </c>
      <c r="Q28" s="45"/>
      <c r="R28" s="45"/>
      <c r="S28" s="43"/>
      <c r="T28" s="43"/>
      <c r="U28" s="43" t="str">
        <f>IFERROR(__xludf.DUMMYFUNCTION("""COMPUTED_VALUE"""),"English Teacher in Yonca Montessori Kindergarten")</f>
        <v>English Teacher in Yonca Montessori Kindergarten</v>
      </c>
      <c r="V28" s="43" t="str">
        <f>IFERROR(__xludf.DUMMYFUNCTION("""COMPUTED_VALUE"""),"ISLAA Moknine")</f>
        <v>ISLAA Moknine</v>
      </c>
      <c r="W28" s="43" t="str">
        <f>IFERROR(__xludf.DUMMYFUNCTION("""COMPUTED_VALUE"""),"2022-07-28T12:40:26Z")</f>
        <v>2022-07-28T12:40:26Z</v>
      </c>
      <c r="X28" s="43"/>
      <c r="Y28" s="43"/>
      <c r="Z28" s="43"/>
    </row>
    <row r="29" hidden="1">
      <c r="A29" s="43" t="str">
        <f>IFERROR(__xludf.DUMMYFUNCTION("""COMPUTED_VALUE"""),"5082732_1287771")</f>
        <v>5082732_1287771</v>
      </c>
      <c r="B29" s="43" t="str">
        <f>IFERROR(__xludf.DUMMYFUNCTION("""COMPUTED_VALUE"""),"Elianur Gulamidinova")</f>
        <v>Elianur Gulamidinova</v>
      </c>
      <c r="C29" s="43" t="str">
        <f>IFERROR(__xludf.DUMMYFUNCTION("""COMPUTED_VALUE"""),"finished")</f>
        <v>finished</v>
      </c>
      <c r="D29" s="43" t="str">
        <f>IFERROR(__xludf.DUMMYFUNCTION("""COMPUTED_VALUE"""),"No")</f>
        <v>No</v>
      </c>
      <c r="E29" s="43" t="str">
        <f>IFERROR(__xludf.DUMMYFUNCTION("""COMPUTED_VALUE"""),"p_cdad7c4ae39440a70a58241d6011c15d913ba607@inbound.aiesec.org")</f>
        <v>p_cdad7c4ae39440a70a58241d6011c15d913ba607@inbound.aiesec.org</v>
      </c>
      <c r="F29" s="43">
        <f>IFERROR(__xludf.DUMMYFUNCTION("""COMPUTED_VALUE"""),7.7104112E8)</f>
        <v>771041120</v>
      </c>
      <c r="G29" s="43" t="str">
        <f>IFERROR(__xludf.DUMMYFUNCTION("""COMPUTED_VALUE"""),"Kyrgyzstan")</f>
        <v>Kyrgyzstan</v>
      </c>
      <c r="H29" s="43" t="str">
        <f>IFERROR(__xludf.DUMMYFUNCTION("""COMPUTED_VALUE"""),"Impulse for Bishkek Leaders (IBL)")</f>
        <v>Impulse for Bishkek Leaders (IBL)</v>
      </c>
      <c r="I29" s="43" t="str">
        <f>IFERROR(__xludf.DUMMYFUNCTION("""COMPUTED_VALUE"""),"Turkey")</f>
        <v>Turkey</v>
      </c>
      <c r="J29" s="43" t="str">
        <f>IFERROR(__xludf.DUMMYFUNCTION("""COMPUTED_VALUE"""),"TRABZON")</f>
        <v>TRABZON</v>
      </c>
      <c r="K29" s="44" t="str">
        <f>IFERROR(__xludf.DUMMYFUNCTION("""COMPUTED_VALUE"""),"https://expa.aiesec.org/opportunities/1287771")</f>
        <v>https://expa.aiesec.org/opportunities/1287771</v>
      </c>
      <c r="L29" s="43" t="str">
        <f>IFERROR(__xludf.DUMMYFUNCTION("""COMPUTED_VALUE"""),"GTe")</f>
        <v>GTe</v>
      </c>
      <c r="M29" s="43" t="str">
        <f>IFERROR(__xludf.DUMMYFUNCTION("""COMPUTED_VALUE"""),"long")</f>
        <v>long</v>
      </c>
      <c r="N29" s="45">
        <f>IFERROR(__xludf.DUMMYFUNCTION("""COMPUTED_VALUE"""),44777.0)</f>
        <v>44777</v>
      </c>
      <c r="O29" s="45">
        <f>IFERROR(__xludf.DUMMYFUNCTION("""COMPUTED_VALUE"""),44805.0)</f>
        <v>44805</v>
      </c>
      <c r="P29" s="45">
        <f>IFERROR(__xludf.DUMMYFUNCTION("""COMPUTED_VALUE"""),45092.0)</f>
        <v>45092</v>
      </c>
      <c r="Q29" s="45">
        <f>IFERROR(__xludf.DUMMYFUNCTION("""COMPUTED_VALUE"""),44804.0)</f>
        <v>44804</v>
      </c>
      <c r="R29" s="45">
        <f>IFERROR(__xludf.DUMMYFUNCTION("""COMPUTED_VALUE"""),45104.0)</f>
        <v>45104</v>
      </c>
      <c r="S29" s="43"/>
      <c r="T29" s="43"/>
      <c r="U29" s="43" t="str">
        <f>IFERROR(__xludf.DUMMYFUNCTION("""COMPUTED_VALUE"""),"English Teacher in Fidem Okulları")</f>
        <v>English Teacher in Fidem Okulları</v>
      </c>
      <c r="V29" s="43" t="str">
        <f>IFERROR(__xludf.DUMMYFUNCTION("""COMPUTED_VALUE"""),"КТУ Манас (Отделение переводчиков-синхронистов)")</f>
        <v>КТУ Манас (Отделение переводчиков-синхронистов)</v>
      </c>
      <c r="W29" s="43" t="str">
        <f>IFERROR(__xludf.DUMMYFUNCTION("""COMPUTED_VALUE"""),"2022-07-14T17:24:32Z")</f>
        <v>2022-07-14T17:24:32Z</v>
      </c>
      <c r="X29" s="43"/>
      <c r="Y29" s="43"/>
      <c r="Z29" s="43"/>
    </row>
    <row r="30" hidden="1">
      <c r="A30" s="43" t="str">
        <f>IFERROR(__xludf.DUMMYFUNCTION("""COMPUTED_VALUE"""),"5081363_1288388")</f>
        <v>5081363_1288388</v>
      </c>
      <c r="B30" s="43" t="str">
        <f>IFERROR(__xludf.DUMMYFUNCTION("""COMPUTED_VALUE"""),"SIMOURI OSSAMA")</f>
        <v>SIMOURI OSSAMA</v>
      </c>
      <c r="C30" s="43" t="str">
        <f>IFERROR(__xludf.DUMMYFUNCTION("""COMPUTED_VALUE"""),"completed")</f>
        <v>completed</v>
      </c>
      <c r="D30" s="43" t="str">
        <f>IFERROR(__xludf.DUMMYFUNCTION("""COMPUTED_VALUE"""),"No")</f>
        <v>No</v>
      </c>
      <c r="E30" s="43" t="str">
        <f>IFERROR(__xludf.DUMMYFUNCTION("""COMPUTED_VALUE"""),"p_53bf58e02081c207dc2d763bc47ccdbe8ec5b4f1@inbound.aiesec.org")</f>
        <v>p_53bf58e02081c207dc2d763bc47ccdbe8ec5b4f1@inbound.aiesec.org</v>
      </c>
      <c r="F30" s="43">
        <f>IFERROR(__xludf.DUMMYFUNCTION("""COMPUTED_VALUE"""),6.21724939E8)</f>
        <v>621724939</v>
      </c>
      <c r="G30" s="43" t="str">
        <f>IFERROR(__xludf.DUMMYFUNCTION("""COMPUTED_VALUE"""),"Morocco")</f>
        <v>Morocco</v>
      </c>
      <c r="H30" s="43" t="str">
        <f>IFERROR(__xludf.DUMMYFUNCTION("""COMPUTED_VALUE"""),"Kenitra")</f>
        <v>Kenitra</v>
      </c>
      <c r="I30" s="43" t="str">
        <f>IFERROR(__xludf.DUMMYFUNCTION("""COMPUTED_VALUE"""),"Turkey")</f>
        <v>Turkey</v>
      </c>
      <c r="J30" s="43" t="str">
        <f>IFERROR(__xludf.DUMMYFUNCTION("""COMPUTED_VALUE"""),"SAKARYA")</f>
        <v>SAKARYA</v>
      </c>
      <c r="K30" s="44" t="str">
        <f>IFERROR(__xludf.DUMMYFUNCTION("""COMPUTED_VALUE"""),"https://expa.aiesec.org/opportunities/1288388")</f>
        <v>https://expa.aiesec.org/opportunities/1288388</v>
      </c>
      <c r="L30" s="43" t="str">
        <f>IFERROR(__xludf.DUMMYFUNCTION("""COMPUTED_VALUE"""),"GTe")</f>
        <v>GTe</v>
      </c>
      <c r="M30" s="43" t="str">
        <f>IFERROR(__xludf.DUMMYFUNCTION("""COMPUTED_VALUE"""),"long")</f>
        <v>long</v>
      </c>
      <c r="N30" s="45">
        <f>IFERROR(__xludf.DUMMYFUNCTION("""COMPUTED_VALUE"""),44778.0)</f>
        <v>44778</v>
      </c>
      <c r="O30" s="45">
        <f>IFERROR(__xludf.DUMMYFUNCTION("""COMPUTED_VALUE"""),44837.0)</f>
        <v>44837</v>
      </c>
      <c r="P30" s="45">
        <f>IFERROR(__xludf.DUMMYFUNCTION("""COMPUTED_VALUE"""),45198.0)</f>
        <v>45198</v>
      </c>
      <c r="Q30" s="45">
        <f>IFERROR(__xludf.DUMMYFUNCTION("""COMPUTED_VALUE"""),44864.0)</f>
        <v>44864</v>
      </c>
      <c r="R30" s="45">
        <f>IFERROR(__xludf.DUMMYFUNCTION("""COMPUTED_VALUE"""),45199.0)</f>
        <v>45199</v>
      </c>
      <c r="S30" s="43"/>
      <c r="T30" s="43"/>
      <c r="U30" s="43" t="str">
        <f>IFERROR(__xludf.DUMMYFUNCTION("""COMPUTED_VALUE""")," English Teacher | Private Language School")</f>
        <v> English Teacher | Private Language School</v>
      </c>
      <c r="V30" s="43" t="str">
        <f>IFERROR(__xludf.DUMMYFUNCTION("""COMPUTED_VALUE"""),"Faculté Des Sciences Kénitra")</f>
        <v>Faculté Des Sciences Kénitra</v>
      </c>
      <c r="W30" s="43" t="str">
        <f>IFERROR(__xludf.DUMMYFUNCTION("""COMPUTED_VALUE"""),"2022-07-10T11:28:10Z")</f>
        <v>2022-07-10T11:28:10Z</v>
      </c>
      <c r="X30" s="43"/>
      <c r="Y30" s="43"/>
      <c r="Z30" s="43"/>
    </row>
    <row r="31" hidden="1">
      <c r="A31" s="43" t="str">
        <f>IFERROR(__xludf.DUMMYFUNCTION("""COMPUTED_VALUE"""),"5090218_1283399")</f>
        <v>5090218_1283399</v>
      </c>
      <c r="B31" s="43" t="str">
        <f>IFERROR(__xludf.DUMMYFUNCTION("""COMPUTED_VALUE"""),"hadil kailil")</f>
        <v>hadil kailil</v>
      </c>
      <c r="C31" s="43" t="str">
        <f>IFERROR(__xludf.DUMMYFUNCTION("""COMPUTED_VALUE"""),"realization_broken")</f>
        <v>realization_broken</v>
      </c>
      <c r="D31" s="43" t="str">
        <f>IFERROR(__xludf.DUMMYFUNCTION("""COMPUTED_VALUE"""),"No")</f>
        <v>No</v>
      </c>
      <c r="E31" s="43" t="str">
        <f>IFERROR(__xludf.DUMMYFUNCTION("""COMPUTED_VALUE"""),"p_7532f1604a29891ca3edd603cc202a64c19bcec5@inbound.aiesec.org")</f>
        <v>p_7532f1604a29891ca3edd603cc202a64c19bcec5@inbound.aiesec.org</v>
      </c>
      <c r="F31" s="43">
        <f>IFERROR(__xludf.DUMMYFUNCTION("""COMPUTED_VALUE"""),5.078495671E9)</f>
        <v>5078495671</v>
      </c>
      <c r="G31" s="43" t="str">
        <f>IFERROR(__xludf.DUMMYFUNCTION("""COMPUTED_VALUE"""),"Morocco")</f>
        <v>Morocco</v>
      </c>
      <c r="H31" s="43" t="str">
        <f>IFERROR(__xludf.DUMMYFUNCTION("""COMPUTED_VALUE"""),"Morocco (MC)")</f>
        <v>Morocco (MC)</v>
      </c>
      <c r="I31" s="43" t="str">
        <f>IFERROR(__xludf.DUMMYFUNCTION("""COMPUTED_VALUE"""),"Turkey")</f>
        <v>Turkey</v>
      </c>
      <c r="J31" s="43" t="str">
        <f>IFERROR(__xludf.DUMMYFUNCTION("""COMPUTED_VALUE"""),"GAZIANTEP")</f>
        <v>GAZIANTEP</v>
      </c>
      <c r="K31" s="44" t="str">
        <f>IFERROR(__xludf.DUMMYFUNCTION("""COMPUTED_VALUE"""),"https://expa.aiesec.org/opportunities/1283399")</f>
        <v>https://expa.aiesec.org/opportunities/1283399</v>
      </c>
      <c r="L31" s="43" t="str">
        <f>IFERROR(__xludf.DUMMYFUNCTION("""COMPUTED_VALUE"""),"GTe")</f>
        <v>GTe</v>
      </c>
      <c r="M31" s="43" t="str">
        <f>IFERROR(__xludf.DUMMYFUNCTION("""COMPUTED_VALUE"""),"long")</f>
        <v>long</v>
      </c>
      <c r="N31" s="45">
        <f>IFERROR(__xludf.DUMMYFUNCTION("""COMPUTED_VALUE"""),44779.0)</f>
        <v>44779</v>
      </c>
      <c r="O31" s="45">
        <f>IFERROR(__xludf.DUMMYFUNCTION("""COMPUTED_VALUE"""),44805.0)</f>
        <v>44805</v>
      </c>
      <c r="P31" s="45">
        <f>IFERROR(__xludf.DUMMYFUNCTION("""COMPUTED_VALUE"""),45170.0)</f>
        <v>45170</v>
      </c>
      <c r="Q31" s="45"/>
      <c r="R31" s="45"/>
      <c r="S31" s="43"/>
      <c r="T31" s="43"/>
      <c r="U31" s="43" t="str">
        <f>IFERROR(__xludf.DUMMYFUNCTION("""COMPUTED_VALUE"""),"English Teacher")</f>
        <v>English Teacher</v>
      </c>
      <c r="V31" s="43" t="str">
        <f>IFERROR(__xludf.DUMMYFUNCTION("""COMPUTED_VALUE"""),"FLSH Rabat")</f>
        <v>FLSH Rabat</v>
      </c>
      <c r="W31" s="43" t="str">
        <f>IFERROR(__xludf.DUMMYFUNCTION("""COMPUTED_VALUE"""),"2022-08-06T09:13:15Z")</f>
        <v>2022-08-06T09:13:15Z</v>
      </c>
      <c r="X31" s="43"/>
      <c r="Y31" s="43"/>
      <c r="Z31" s="43"/>
    </row>
    <row r="32" hidden="1">
      <c r="A32" s="43" t="str">
        <f>IFERROR(__xludf.DUMMYFUNCTION("""COMPUTED_VALUE"""),"3488054_1288467")</f>
        <v>3488054_1288467</v>
      </c>
      <c r="B32" s="43" t="str">
        <f>IFERROR(__xludf.DUMMYFUNCTION("""COMPUTED_VALUE"""),"Amina Medadha")</f>
        <v>Amina Medadha</v>
      </c>
      <c r="C32" s="43" t="str">
        <f>IFERROR(__xludf.DUMMYFUNCTION("""COMPUTED_VALUE"""),"finished")</f>
        <v>finished</v>
      </c>
      <c r="D32" s="43" t="str">
        <f>IFERROR(__xludf.DUMMYFUNCTION("""COMPUTED_VALUE"""),"No")</f>
        <v>No</v>
      </c>
      <c r="E32" s="43" t="str">
        <f>IFERROR(__xludf.DUMMYFUNCTION("""COMPUTED_VALUE"""),"p_2a624af4ecd5fd05cc6434d65d1564c33149d875@inbound.aiesec.org")</f>
        <v>p_2a624af4ecd5fd05cc6434d65d1564c33149d875@inbound.aiesec.org</v>
      </c>
      <c r="F32" s="43">
        <f>IFERROR(__xludf.DUMMYFUNCTION("""COMPUTED_VALUE"""),5.57354496E8)</f>
        <v>557354496</v>
      </c>
      <c r="G32" s="43" t="str">
        <f>IFERROR(__xludf.DUMMYFUNCTION("""COMPUTED_VALUE"""),"Algeria")</f>
        <v>Algeria</v>
      </c>
      <c r="H32" s="43" t="str">
        <f>IFERROR(__xludf.DUMMYFUNCTION("""COMPUTED_VALUE"""),"Benak")</f>
        <v>Benak</v>
      </c>
      <c r="I32" s="43" t="str">
        <f>IFERROR(__xludf.DUMMYFUNCTION("""COMPUTED_VALUE"""),"Turkey")</f>
        <v>Turkey</v>
      </c>
      <c r="J32" s="43" t="str">
        <f>IFERROR(__xludf.DUMMYFUNCTION("""COMPUTED_VALUE"""),"BURSA")</f>
        <v>BURSA</v>
      </c>
      <c r="K32" s="44" t="str">
        <f>IFERROR(__xludf.DUMMYFUNCTION("""COMPUTED_VALUE"""),"https://expa.aiesec.org/opportunities/1288467")</f>
        <v>https://expa.aiesec.org/opportunities/1288467</v>
      </c>
      <c r="L32" s="43" t="str">
        <f>IFERROR(__xludf.DUMMYFUNCTION("""COMPUTED_VALUE"""),"GTe")</f>
        <v>GTe</v>
      </c>
      <c r="M32" s="43" t="str">
        <f>IFERROR(__xludf.DUMMYFUNCTION("""COMPUTED_VALUE"""),"long")</f>
        <v>long</v>
      </c>
      <c r="N32" s="45">
        <f>IFERROR(__xludf.DUMMYFUNCTION("""COMPUTED_VALUE"""),44779.0)</f>
        <v>44779</v>
      </c>
      <c r="O32" s="45">
        <f>IFERROR(__xludf.DUMMYFUNCTION("""COMPUTED_VALUE"""),44823.0)</f>
        <v>44823</v>
      </c>
      <c r="P32" s="45">
        <f>IFERROR(__xludf.DUMMYFUNCTION("""COMPUTED_VALUE"""),45188.0)</f>
        <v>45188</v>
      </c>
      <c r="Q32" s="45">
        <f>IFERROR(__xludf.DUMMYFUNCTION("""COMPUTED_VALUE"""),44872.0)</f>
        <v>44872</v>
      </c>
      <c r="R32" s="45">
        <f>IFERROR(__xludf.DUMMYFUNCTION("""COMPUTED_VALUE"""),45237.0)</f>
        <v>45237</v>
      </c>
      <c r="S32" s="43"/>
      <c r="T32" s="43"/>
      <c r="U32" s="43" t="str">
        <f>IFERROR(__xludf.DUMMYFUNCTION("""COMPUTED_VALUE"""),"English Teacher")</f>
        <v>English Teacher</v>
      </c>
      <c r="V32" s="43" t="str">
        <f>IFERROR(__xludf.DUMMYFUNCTION("""COMPUTED_VALUE"""),"-")</f>
        <v>-</v>
      </c>
      <c r="W32" s="43" t="str">
        <f>IFERROR(__xludf.DUMMYFUNCTION("""COMPUTED_VALUE"""),"2019-05-30T02:30:35Z")</f>
        <v>2019-05-30T02:30:35Z</v>
      </c>
      <c r="X32" s="43"/>
      <c r="Y32" s="43"/>
      <c r="Z32" s="43"/>
    </row>
    <row r="33" hidden="1">
      <c r="A33" s="43" t="str">
        <f>IFERROR(__xludf.DUMMYFUNCTION("""COMPUTED_VALUE"""),"4325382_1278298")</f>
        <v>4325382_1278298</v>
      </c>
      <c r="B33" s="43" t="str">
        <f>IFERROR(__xludf.DUMMYFUNCTION("""COMPUTED_VALUE"""),"Mouna Menai")</f>
        <v>Mouna Menai</v>
      </c>
      <c r="C33" s="43" t="str">
        <f>IFERROR(__xludf.DUMMYFUNCTION("""COMPUTED_VALUE"""),"completed")</f>
        <v>completed</v>
      </c>
      <c r="D33" s="43" t="str">
        <f>IFERROR(__xludf.DUMMYFUNCTION("""COMPUTED_VALUE"""),"No")</f>
        <v>No</v>
      </c>
      <c r="E33" s="43" t="str">
        <f>IFERROR(__xludf.DUMMYFUNCTION("""COMPUTED_VALUE"""),"p_84a55802672c47c463179e09b171b6ef4fd0f8d4@inbound.aiesec.org")</f>
        <v>p_84a55802672c47c463179e09b171b6ef4fd0f8d4@inbound.aiesec.org</v>
      </c>
      <c r="F33" s="43">
        <f>IFERROR(__xludf.DUMMYFUNCTION("""COMPUTED_VALUE"""),6.56485319E8)</f>
        <v>656485319</v>
      </c>
      <c r="G33" s="43" t="str">
        <f>IFERROR(__xludf.DUMMYFUNCTION("""COMPUTED_VALUE"""),"Algeria")</f>
        <v>Algeria</v>
      </c>
      <c r="H33" s="43" t="str">
        <f>IFERROR(__xludf.DUMMYFUNCTION("""COMPUTED_VALUE"""),"Babez")</f>
        <v>Babez</v>
      </c>
      <c r="I33" s="43" t="str">
        <f>IFERROR(__xludf.DUMMYFUNCTION("""COMPUTED_VALUE"""),"Turkey")</f>
        <v>Turkey</v>
      </c>
      <c r="J33" s="43" t="str">
        <f>IFERROR(__xludf.DUMMYFUNCTION("""COMPUTED_VALUE"""),"KOCAELI")</f>
        <v>KOCAELI</v>
      </c>
      <c r="K33" s="44" t="str">
        <f>IFERROR(__xludf.DUMMYFUNCTION("""COMPUTED_VALUE"""),"https://expa.aiesec.org/opportunities/1278298")</f>
        <v>https://expa.aiesec.org/opportunities/1278298</v>
      </c>
      <c r="L33" s="43" t="str">
        <f>IFERROR(__xludf.DUMMYFUNCTION("""COMPUTED_VALUE"""),"GTe")</f>
        <v>GTe</v>
      </c>
      <c r="M33" s="43" t="str">
        <f>IFERROR(__xludf.DUMMYFUNCTION("""COMPUTED_VALUE"""),"long")</f>
        <v>long</v>
      </c>
      <c r="N33" s="45">
        <f>IFERROR(__xludf.DUMMYFUNCTION("""COMPUTED_VALUE"""),44780.0)</f>
        <v>44780</v>
      </c>
      <c r="O33" s="45">
        <f>IFERROR(__xludf.DUMMYFUNCTION("""COMPUTED_VALUE"""),44816.0)</f>
        <v>44816</v>
      </c>
      <c r="P33" s="45">
        <f>IFERROR(__xludf.DUMMYFUNCTION("""COMPUTED_VALUE"""),45181.0)</f>
        <v>45181</v>
      </c>
      <c r="Q33" s="45">
        <f>IFERROR(__xludf.DUMMYFUNCTION("""COMPUTED_VALUE"""),44820.0)</f>
        <v>44820</v>
      </c>
      <c r="R33" s="45">
        <f>IFERROR(__xludf.DUMMYFUNCTION("""COMPUTED_VALUE"""),45185.0)</f>
        <v>45185</v>
      </c>
      <c r="S33" s="43"/>
      <c r="T33" s="43"/>
      <c r="U33" s="43" t="str">
        <f>IFERROR(__xludf.DUMMYFUNCTION("""COMPUTED_VALUE"""),"Gebze İngiliz Kültür ")</f>
        <v>Gebze İngiliz Kültür </v>
      </c>
      <c r="V33" s="43" t="str">
        <f>IFERROR(__xludf.DUMMYFUNCTION("""COMPUTED_VALUE"""),"-")</f>
        <v>-</v>
      </c>
      <c r="W33" s="43" t="str">
        <f>IFERROR(__xludf.DUMMYFUNCTION("""COMPUTED_VALUE"""),"2020-07-07T22:44:32Z")</f>
        <v>2020-07-07T22:44:32Z</v>
      </c>
      <c r="X33" s="43"/>
      <c r="Y33" s="43"/>
      <c r="Z33" s="43"/>
    </row>
    <row r="34" hidden="1">
      <c r="A34" s="43" t="str">
        <f>IFERROR(__xludf.DUMMYFUNCTION("""COMPUTED_VALUE"""),"5085141_1284709")</f>
        <v>5085141_1284709</v>
      </c>
      <c r="B34" s="43" t="str">
        <f>IFERROR(__xludf.DUMMYFUNCTION("""COMPUTED_VALUE"""),"Rabia MEDJOUEL")</f>
        <v>Rabia MEDJOUEL</v>
      </c>
      <c r="C34" s="43" t="str">
        <f>IFERROR(__xludf.DUMMYFUNCTION("""COMPUTED_VALUE"""),"realization_broken")</f>
        <v>realization_broken</v>
      </c>
      <c r="D34" s="43" t="str">
        <f>IFERROR(__xludf.DUMMYFUNCTION("""COMPUTED_VALUE"""),"No")</f>
        <v>No</v>
      </c>
      <c r="E34" s="43" t="str">
        <f>IFERROR(__xludf.DUMMYFUNCTION("""COMPUTED_VALUE"""),"p_cb4697331ffc8c543a61da2c4dbff2e0c86af82f@inbound.aiesec.org")</f>
        <v>p_cb4697331ffc8c543a61da2c4dbff2e0c86af82f@inbound.aiesec.org</v>
      </c>
      <c r="F34" s="43">
        <f>IFERROR(__xludf.DUMMYFUNCTION("""COMPUTED_VALUE"""),6.98888917E8)</f>
        <v>698888917</v>
      </c>
      <c r="G34" s="43" t="str">
        <f>IFERROR(__xludf.DUMMYFUNCTION("""COMPUTED_VALUE"""),"Algeria")</f>
        <v>Algeria</v>
      </c>
      <c r="H34" s="43" t="str">
        <f>IFERROR(__xludf.DUMMYFUNCTION("""COMPUTED_VALUE"""),"Ouargla")</f>
        <v>Ouargla</v>
      </c>
      <c r="I34" s="43" t="str">
        <f>IFERROR(__xludf.DUMMYFUNCTION("""COMPUTED_VALUE"""),"Turkey")</f>
        <v>Turkey</v>
      </c>
      <c r="J34" s="43" t="str">
        <f>IFERROR(__xludf.DUMMYFUNCTION("""COMPUTED_VALUE"""),"İZMİR")</f>
        <v>İZMİR</v>
      </c>
      <c r="K34" s="44" t="str">
        <f>IFERROR(__xludf.DUMMYFUNCTION("""COMPUTED_VALUE"""),"https://expa.aiesec.org/opportunities/1284709")</f>
        <v>https://expa.aiesec.org/opportunities/1284709</v>
      </c>
      <c r="L34" s="43" t="str">
        <f>IFERROR(__xludf.DUMMYFUNCTION("""COMPUTED_VALUE"""),"GTe")</f>
        <v>GTe</v>
      </c>
      <c r="M34" s="43" t="str">
        <f>IFERROR(__xludf.DUMMYFUNCTION("""COMPUTED_VALUE"""),"long")</f>
        <v>long</v>
      </c>
      <c r="N34" s="45">
        <f>IFERROR(__xludf.DUMMYFUNCTION("""COMPUTED_VALUE"""),44781.0)</f>
        <v>44781</v>
      </c>
      <c r="O34" s="45">
        <f>IFERROR(__xludf.DUMMYFUNCTION("""COMPUTED_VALUE"""),44805.0)</f>
        <v>44805</v>
      </c>
      <c r="P34" s="45">
        <f>IFERROR(__xludf.DUMMYFUNCTION("""COMPUTED_VALUE"""),45170.0)</f>
        <v>45170</v>
      </c>
      <c r="Q34" s="45"/>
      <c r="R34" s="45"/>
      <c r="S34" s="43"/>
      <c r="T34" s="43"/>
      <c r="U34" s="43" t="str">
        <f>IFERROR(__xludf.DUMMYFUNCTION("""COMPUTED_VALUE"""),"English Teacher in Izmir")</f>
        <v>English Teacher in Izmir</v>
      </c>
      <c r="V34" s="43" t="str">
        <f>IFERROR(__xludf.DUMMYFUNCTION("""COMPUTED_VALUE"""),"AIESEC in Ouargla")</f>
        <v>AIESEC in Ouargla</v>
      </c>
      <c r="W34" s="43" t="str">
        <f>IFERROR(__xludf.DUMMYFUNCTION("""COMPUTED_VALUE"""),"2022-07-23T00:12:56Z")</f>
        <v>2022-07-23T00:12:56Z</v>
      </c>
      <c r="X34" s="43"/>
      <c r="Y34" s="43"/>
      <c r="Z34" s="43"/>
    </row>
    <row r="35" hidden="1">
      <c r="A35" s="43" t="str">
        <f>IFERROR(__xludf.DUMMYFUNCTION("""COMPUTED_VALUE"""),"5062213_1288593")</f>
        <v>5062213_1288593</v>
      </c>
      <c r="B35" s="43" t="str">
        <f>IFERROR(__xludf.DUMMYFUNCTION("""COMPUTED_VALUE"""),"Nicat Dadashov")</f>
        <v>Nicat Dadashov</v>
      </c>
      <c r="C35" s="43" t="str">
        <f>IFERROR(__xludf.DUMMYFUNCTION("""COMPUTED_VALUE"""),"completed")</f>
        <v>completed</v>
      </c>
      <c r="D35" s="43" t="str">
        <f>IFERROR(__xludf.DUMMYFUNCTION("""COMPUTED_VALUE"""),"No")</f>
        <v>No</v>
      </c>
      <c r="E35" s="43" t="str">
        <f>IFERROR(__xludf.DUMMYFUNCTION("""COMPUTED_VALUE"""),"p_1837644aded87b6910ce104371ceda1df889e47c@inbound.aiesec.org")</f>
        <v>p_1837644aded87b6910ce104371ceda1df889e47c@inbound.aiesec.org</v>
      </c>
      <c r="F35" s="43"/>
      <c r="G35" s="43" t="str">
        <f>IFERROR(__xludf.DUMMYFUNCTION("""COMPUTED_VALUE"""),"Azerbaijan")</f>
        <v>Azerbaijan</v>
      </c>
      <c r="H35" s="43" t="str">
        <f>IFERROR(__xludf.DUMMYFUNCTION("""COMPUTED_VALUE"""),"Baku Synergy")</f>
        <v>Baku Synergy</v>
      </c>
      <c r="I35" s="43" t="str">
        <f>IFERROR(__xludf.DUMMYFUNCTION("""COMPUTED_VALUE"""),"Turkey")</f>
        <v>Turkey</v>
      </c>
      <c r="J35" s="43" t="str">
        <f>IFERROR(__xludf.DUMMYFUNCTION("""COMPUTED_VALUE"""),"İZMİR")</f>
        <v>İZMİR</v>
      </c>
      <c r="K35" s="44" t="str">
        <f>IFERROR(__xludf.DUMMYFUNCTION("""COMPUTED_VALUE"""),"https://expa.aiesec.org/opportunities/1288593")</f>
        <v>https://expa.aiesec.org/opportunities/1288593</v>
      </c>
      <c r="L35" s="43" t="str">
        <f>IFERROR(__xludf.DUMMYFUNCTION("""COMPUTED_VALUE"""),"GTe")</f>
        <v>GTe</v>
      </c>
      <c r="M35" s="43" t="str">
        <f>IFERROR(__xludf.DUMMYFUNCTION("""COMPUTED_VALUE"""),"long")</f>
        <v>long</v>
      </c>
      <c r="N35" s="45">
        <f>IFERROR(__xludf.DUMMYFUNCTION("""COMPUTED_VALUE"""),44782.0)</f>
        <v>44782</v>
      </c>
      <c r="O35" s="45">
        <f>IFERROR(__xludf.DUMMYFUNCTION("""COMPUTED_VALUE"""),44816.0)</f>
        <v>44816</v>
      </c>
      <c r="P35" s="45">
        <f>IFERROR(__xludf.DUMMYFUNCTION("""COMPUTED_VALUE"""),45093.0)</f>
        <v>45093</v>
      </c>
      <c r="Q35" s="45">
        <f>IFERROR(__xludf.DUMMYFUNCTION("""COMPUTED_VALUE"""),44816.0)</f>
        <v>44816</v>
      </c>
      <c r="R35" s="45">
        <f>IFERROR(__xludf.DUMMYFUNCTION("""COMPUTED_VALUE"""),45175.0)</f>
        <v>45175</v>
      </c>
      <c r="S35" s="43"/>
      <c r="T35" s="43"/>
      <c r="U35" s="43" t="str">
        <f>IFERROR(__xludf.DUMMYFUNCTION("""COMPUTED_VALUE"""),"English Teacher in Manisa")</f>
        <v>English Teacher in Manisa</v>
      </c>
      <c r="V35" s="43" t="str">
        <f>IFERROR(__xludf.DUMMYFUNCTION("""COMPUTED_VALUE"""),"-")</f>
        <v>-</v>
      </c>
      <c r="W35" s="43" t="str">
        <f>IFERROR(__xludf.DUMMYFUNCTION("""COMPUTED_VALUE"""),"2022-05-22T18:09:20Z")</f>
        <v>2022-05-22T18:09:20Z</v>
      </c>
      <c r="X35" s="43"/>
      <c r="Y35" s="43"/>
      <c r="Z35" s="43"/>
    </row>
    <row r="36" hidden="1">
      <c r="A36" s="43" t="str">
        <f>IFERROR(__xludf.DUMMYFUNCTION("""COMPUTED_VALUE"""),"4806615_1287374")</f>
        <v>4806615_1287374</v>
      </c>
      <c r="B36" s="43" t="str">
        <f>IFERROR(__xludf.DUMMYFUNCTION("""COMPUTED_VALUE"""),"Marycielo Purizaga Ruiz")</f>
        <v>Marycielo Purizaga Ruiz</v>
      </c>
      <c r="C36" s="43" t="str">
        <f>IFERROR(__xludf.DUMMYFUNCTION("""COMPUTED_VALUE"""),"finished")</f>
        <v>finished</v>
      </c>
      <c r="D36" s="43" t="str">
        <f>IFERROR(__xludf.DUMMYFUNCTION("""COMPUTED_VALUE"""),"No")</f>
        <v>No</v>
      </c>
      <c r="E36" s="43" t="str">
        <f>IFERROR(__xludf.DUMMYFUNCTION("""COMPUTED_VALUE"""),"p_1df440a0c754d58e970a97a225ee13e030945a23@inbound.aiesec.org")</f>
        <v>p_1df440a0c754d58e970a97a225ee13e030945a23@inbound.aiesec.org</v>
      </c>
      <c r="F36" s="43">
        <f>IFERROR(__xludf.DUMMYFUNCTION("""COMPUTED_VALUE"""),9.27851956E8)</f>
        <v>927851956</v>
      </c>
      <c r="G36" s="43" t="str">
        <f>IFERROR(__xludf.DUMMYFUNCTION("""COMPUTED_VALUE"""),"Peru")</f>
        <v>Peru</v>
      </c>
      <c r="H36" s="43" t="str">
        <f>IFERROR(__xludf.DUMMYFUNCTION("""COMPUTED_VALUE"""),"Pacifico")</f>
        <v>Pacifico</v>
      </c>
      <c r="I36" s="43" t="str">
        <f>IFERROR(__xludf.DUMMYFUNCTION("""COMPUTED_VALUE"""),"Turkey")</f>
        <v>Turkey</v>
      </c>
      <c r="J36" s="43" t="str">
        <f>IFERROR(__xludf.DUMMYFUNCTION("""COMPUTED_VALUE"""),"İZMİR")</f>
        <v>İZMİR</v>
      </c>
      <c r="K36" s="44" t="str">
        <f>IFERROR(__xludf.DUMMYFUNCTION("""COMPUTED_VALUE"""),"https://expa.aiesec.org/opportunities/1287374")</f>
        <v>https://expa.aiesec.org/opportunities/1287374</v>
      </c>
      <c r="L36" s="43" t="str">
        <f>IFERROR(__xludf.DUMMYFUNCTION("""COMPUTED_VALUE"""),"GTe")</f>
        <v>GTe</v>
      </c>
      <c r="M36" s="43" t="str">
        <f>IFERROR(__xludf.DUMMYFUNCTION("""COMPUTED_VALUE"""),"long")</f>
        <v>long</v>
      </c>
      <c r="N36" s="45">
        <f>IFERROR(__xludf.DUMMYFUNCTION("""COMPUTED_VALUE"""),44782.0)</f>
        <v>44782</v>
      </c>
      <c r="O36" s="45">
        <f>IFERROR(__xludf.DUMMYFUNCTION("""COMPUTED_VALUE"""),44791.0)</f>
        <v>44791</v>
      </c>
      <c r="P36" s="45">
        <f>IFERROR(__xludf.DUMMYFUNCTION("""COMPUTED_VALUE"""),45156.0)</f>
        <v>45156</v>
      </c>
      <c r="Q36" s="45">
        <f>IFERROR(__xludf.DUMMYFUNCTION("""COMPUTED_VALUE"""),44841.0)</f>
        <v>44841</v>
      </c>
      <c r="R36" s="45">
        <f>IFERROR(__xludf.DUMMYFUNCTION("""COMPUTED_VALUE"""),45206.0)</f>
        <v>45206</v>
      </c>
      <c r="S36" s="43"/>
      <c r="T36" s="43"/>
      <c r="U36" s="43" t="str">
        <f>IFERROR(__xludf.DUMMYFUNCTION("""COMPUTED_VALUE"""),"English Teacher in Akhisar")</f>
        <v>English Teacher in Akhisar</v>
      </c>
      <c r="V36" s="43" t="str">
        <f>IFERROR(__xludf.DUMMYFUNCTION("""COMPUTED_VALUE"""),"Piura - Universidad de Piura")</f>
        <v>Piura - Universidad de Piura</v>
      </c>
      <c r="W36" s="43" t="str">
        <f>IFERROR(__xludf.DUMMYFUNCTION("""COMPUTED_VALUE"""),"2021-11-18T03:19:23Z")</f>
        <v>2021-11-18T03:19:23Z</v>
      </c>
      <c r="X36" s="43"/>
      <c r="Y36" s="43"/>
      <c r="Z36" s="43"/>
    </row>
    <row r="37" hidden="1">
      <c r="A37" s="43" t="str">
        <f>IFERROR(__xludf.DUMMYFUNCTION("""COMPUTED_VALUE"""),"5062109_1284126")</f>
        <v>5062109_1284126</v>
      </c>
      <c r="B37" s="43" t="str">
        <f>IFERROR(__xludf.DUMMYFUNCTION("""COMPUTED_VALUE"""),"Merushe Meço")</f>
        <v>Merushe Meço</v>
      </c>
      <c r="C37" s="43" t="str">
        <f>IFERROR(__xludf.DUMMYFUNCTION("""COMPUTED_VALUE"""),"completed")</f>
        <v>completed</v>
      </c>
      <c r="D37" s="43" t="str">
        <f>IFERROR(__xludf.DUMMYFUNCTION("""COMPUTED_VALUE"""),"No")</f>
        <v>No</v>
      </c>
      <c r="E37" s="43" t="str">
        <f>IFERROR(__xludf.DUMMYFUNCTION("""COMPUTED_VALUE"""),"p_b4baab8e9d3a20ae0cec670592eb6a1419901fb6@inbound.aiesec.org")</f>
        <v>p_b4baab8e9d3a20ae0cec670592eb6a1419901fb6@inbound.aiesec.org</v>
      </c>
      <c r="F37" s="43">
        <f>IFERROR(__xludf.DUMMYFUNCTION("""COMPUTED_VALUE"""),6.92454661E8)</f>
        <v>692454661</v>
      </c>
      <c r="G37" s="43" t="str">
        <f>IFERROR(__xludf.DUMMYFUNCTION("""COMPUTED_VALUE"""),"Albania")</f>
        <v>Albania</v>
      </c>
      <c r="H37" s="43" t="str">
        <f>IFERROR(__xludf.DUMMYFUNCTION("""COMPUTED_VALUE"""),"Expansion of Vlora")</f>
        <v>Expansion of Vlora</v>
      </c>
      <c r="I37" s="43" t="str">
        <f>IFERROR(__xludf.DUMMYFUNCTION("""COMPUTED_VALUE"""),"Turkey")</f>
        <v>Turkey</v>
      </c>
      <c r="J37" s="43" t="str">
        <f>IFERROR(__xludf.DUMMYFUNCTION("""COMPUTED_VALUE"""),"ISTANBUL ASIA")</f>
        <v>ISTANBUL ASIA</v>
      </c>
      <c r="K37" s="44" t="str">
        <f>IFERROR(__xludf.DUMMYFUNCTION("""COMPUTED_VALUE"""),"https://expa.aiesec.org/opportunities/1284126")</f>
        <v>https://expa.aiesec.org/opportunities/1284126</v>
      </c>
      <c r="L37" s="43" t="str">
        <f>IFERROR(__xludf.DUMMYFUNCTION("""COMPUTED_VALUE"""),"GTe")</f>
        <v>GTe</v>
      </c>
      <c r="M37" s="43" t="str">
        <f>IFERROR(__xludf.DUMMYFUNCTION("""COMPUTED_VALUE"""),"long")</f>
        <v>long</v>
      </c>
      <c r="N37" s="45">
        <f>IFERROR(__xludf.DUMMYFUNCTION("""COMPUTED_VALUE"""),44783.0)</f>
        <v>44783</v>
      </c>
      <c r="O37" s="45">
        <f>IFERROR(__xludf.DUMMYFUNCTION("""COMPUTED_VALUE"""),44809.0)</f>
        <v>44809</v>
      </c>
      <c r="P37" s="45">
        <f>IFERROR(__xludf.DUMMYFUNCTION("""COMPUTED_VALUE"""),45174.0)</f>
        <v>45174</v>
      </c>
      <c r="Q37" s="45">
        <f>IFERROR(__xludf.DUMMYFUNCTION("""COMPUTED_VALUE"""),44799.0)</f>
        <v>44799</v>
      </c>
      <c r="R37" s="45">
        <f>IFERROR(__xludf.DUMMYFUNCTION("""COMPUTED_VALUE"""),45164.0)</f>
        <v>45164</v>
      </c>
      <c r="S37" s="43"/>
      <c r="T37" s="43"/>
      <c r="U37" s="43" t="str">
        <f>IFERROR(__xludf.DUMMYFUNCTION("""COMPUTED_VALUE"""),"English Teacher")</f>
        <v>English Teacher</v>
      </c>
      <c r="V37" s="43" t="str">
        <f>IFERROR(__xludf.DUMMYFUNCTION("""COMPUTED_VALUE"""),"University of Vlora")</f>
        <v>University of Vlora</v>
      </c>
      <c r="W37" s="43" t="str">
        <f>IFERROR(__xludf.DUMMYFUNCTION("""COMPUTED_VALUE"""),"2022-05-22T14:44:51Z")</f>
        <v>2022-05-22T14:44:51Z</v>
      </c>
      <c r="X37" s="43"/>
      <c r="Y37" s="43"/>
      <c r="Z37" s="43"/>
    </row>
    <row r="38" hidden="1">
      <c r="A38" s="43" t="str">
        <f>IFERROR(__xludf.DUMMYFUNCTION("""COMPUTED_VALUE"""),"4920604_1279525")</f>
        <v>4920604_1279525</v>
      </c>
      <c r="B38" s="43" t="str">
        <f>IFERROR(__xludf.DUMMYFUNCTION("""COMPUTED_VALUE"""),"Assia ISSOULAH")</f>
        <v>Assia ISSOULAH</v>
      </c>
      <c r="C38" s="43" t="str">
        <f>IFERROR(__xludf.DUMMYFUNCTION("""COMPUTED_VALUE"""),"completed")</f>
        <v>completed</v>
      </c>
      <c r="D38" s="43" t="str">
        <f>IFERROR(__xludf.DUMMYFUNCTION("""COMPUTED_VALUE"""),"No")</f>
        <v>No</v>
      </c>
      <c r="E38" s="43" t="str">
        <f>IFERROR(__xludf.DUMMYFUNCTION("""COMPUTED_VALUE"""),"p_3f421677f8de75014e5bfa88d4031f296c304c6f@inbound.aiesec.org")</f>
        <v>p_3f421677f8de75014e5bfa88d4031f296c304c6f@inbound.aiesec.org</v>
      </c>
      <c r="F38" s="43">
        <f>IFERROR(__xludf.DUMMYFUNCTION("""COMPUTED_VALUE"""),6.20319978E8)</f>
        <v>620319978</v>
      </c>
      <c r="G38" s="43" t="str">
        <f>IFERROR(__xludf.DUMMYFUNCTION("""COMPUTED_VALUE"""),"Morocco")</f>
        <v>Morocco</v>
      </c>
      <c r="H38" s="43" t="str">
        <f>IFERROR(__xludf.DUMMYFUNCTION("""COMPUTED_VALUE"""),"Agadir")</f>
        <v>Agadir</v>
      </c>
      <c r="I38" s="43" t="str">
        <f>IFERROR(__xludf.DUMMYFUNCTION("""COMPUTED_VALUE"""),"Turkey")</f>
        <v>Turkey</v>
      </c>
      <c r="J38" s="43" t="str">
        <f>IFERROR(__xludf.DUMMYFUNCTION("""COMPUTED_VALUE"""),"KOCAELI")</f>
        <v>KOCAELI</v>
      </c>
      <c r="K38" s="44" t="str">
        <f>IFERROR(__xludf.DUMMYFUNCTION("""COMPUTED_VALUE"""),"https://expa.aiesec.org/opportunities/1279525")</f>
        <v>https://expa.aiesec.org/opportunities/1279525</v>
      </c>
      <c r="L38" s="43" t="str">
        <f>IFERROR(__xludf.DUMMYFUNCTION("""COMPUTED_VALUE"""),"GTe")</f>
        <v>GTe</v>
      </c>
      <c r="M38" s="43" t="str">
        <f>IFERROR(__xludf.DUMMYFUNCTION("""COMPUTED_VALUE"""),"long")</f>
        <v>long</v>
      </c>
      <c r="N38" s="45">
        <f>IFERROR(__xludf.DUMMYFUNCTION("""COMPUTED_VALUE"""),44783.0)</f>
        <v>44783</v>
      </c>
      <c r="O38" s="45">
        <f>IFERROR(__xludf.DUMMYFUNCTION("""COMPUTED_VALUE"""),44783.0)</f>
        <v>44783</v>
      </c>
      <c r="P38" s="45">
        <f>IFERROR(__xludf.DUMMYFUNCTION("""COMPUTED_VALUE"""),44983.0)</f>
        <v>44983</v>
      </c>
      <c r="Q38" s="45">
        <f>IFERROR(__xludf.DUMMYFUNCTION("""COMPUTED_VALUE"""),44786.0)</f>
        <v>44786</v>
      </c>
      <c r="R38" s="45">
        <f>IFERROR(__xludf.DUMMYFUNCTION("""COMPUTED_VALUE"""),44984.0)</f>
        <v>44984</v>
      </c>
      <c r="S38" s="43"/>
      <c r="T38" s="43"/>
      <c r="U38" s="43" t="str">
        <f>IFERROR(__xludf.DUMMYFUNCTION("""COMPUTED_VALUE"""),"English Teacher in American Life")</f>
        <v>English Teacher in American Life</v>
      </c>
      <c r="V38" s="43" t="str">
        <f>IFERROR(__xludf.DUMMYFUNCTION("""COMPUTED_VALUE"""),"FLSH Agadir")</f>
        <v>FLSH Agadir</v>
      </c>
      <c r="W38" s="43" t="str">
        <f>IFERROR(__xludf.DUMMYFUNCTION("""COMPUTED_VALUE"""),"2022-02-08T15:03:41Z")</f>
        <v>2022-02-08T15:03:41Z</v>
      </c>
      <c r="X38" s="43"/>
      <c r="Y38" s="43"/>
      <c r="Z38" s="43"/>
    </row>
    <row r="39" hidden="1">
      <c r="A39" s="43" t="str">
        <f>IFERROR(__xludf.DUMMYFUNCTION("""COMPUTED_VALUE"""),"5056335_1288453")</f>
        <v>5056335_1288453</v>
      </c>
      <c r="B39" s="43" t="str">
        <f>IFERROR(__xludf.DUMMYFUNCTION("""COMPUTED_VALUE"""),"Chahrazed Baghdous")</f>
        <v>Chahrazed Baghdous</v>
      </c>
      <c r="C39" s="43" t="str">
        <f>IFERROR(__xludf.DUMMYFUNCTION("""COMPUTED_VALUE"""),"completed")</f>
        <v>completed</v>
      </c>
      <c r="D39" s="43" t="str">
        <f>IFERROR(__xludf.DUMMYFUNCTION("""COMPUTED_VALUE"""),"No")</f>
        <v>No</v>
      </c>
      <c r="E39" s="43" t="str">
        <f>IFERROR(__xludf.DUMMYFUNCTION("""COMPUTED_VALUE"""),"p_f835d6a9c9f886243e3a807c0638bc639df19433@inbound.aiesec.org")</f>
        <v>p_f835d6a9c9f886243e3a807c0638bc639df19433@inbound.aiesec.org</v>
      </c>
      <c r="F39" s="43">
        <f>IFERROR(__xludf.DUMMYFUNCTION("""COMPUTED_VALUE"""),6.98013235E8)</f>
        <v>698013235</v>
      </c>
      <c r="G39" s="43" t="str">
        <f>IFERROR(__xludf.DUMMYFUNCTION("""COMPUTED_VALUE"""),"Algeria")</f>
        <v>Algeria</v>
      </c>
      <c r="H39" s="43" t="str">
        <f>IFERROR(__xludf.DUMMYFUNCTION("""COMPUTED_VALUE"""),"Oran")</f>
        <v>Oran</v>
      </c>
      <c r="I39" s="43" t="str">
        <f>IFERROR(__xludf.DUMMYFUNCTION("""COMPUTED_VALUE"""),"Turkey")</f>
        <v>Turkey</v>
      </c>
      <c r="J39" s="43" t="str">
        <f>IFERROR(__xludf.DUMMYFUNCTION("""COMPUTED_VALUE"""),"İZMİR")</f>
        <v>İZMİR</v>
      </c>
      <c r="K39" s="44" t="str">
        <f>IFERROR(__xludf.DUMMYFUNCTION("""COMPUTED_VALUE"""),"https://expa.aiesec.org/opportunities/1288453")</f>
        <v>https://expa.aiesec.org/opportunities/1288453</v>
      </c>
      <c r="L39" s="43" t="str">
        <f>IFERROR(__xludf.DUMMYFUNCTION("""COMPUTED_VALUE"""),"GTe")</f>
        <v>GTe</v>
      </c>
      <c r="M39" s="43" t="str">
        <f>IFERROR(__xludf.DUMMYFUNCTION("""COMPUTED_VALUE"""),"long")</f>
        <v>long</v>
      </c>
      <c r="N39" s="45">
        <f>IFERROR(__xludf.DUMMYFUNCTION("""COMPUTED_VALUE"""),44783.0)</f>
        <v>44783</v>
      </c>
      <c r="O39" s="45">
        <f>IFERROR(__xludf.DUMMYFUNCTION("""COMPUTED_VALUE"""),44819.0)</f>
        <v>44819</v>
      </c>
      <c r="P39" s="45">
        <f>IFERROR(__xludf.DUMMYFUNCTION("""COMPUTED_VALUE"""),45092.0)</f>
        <v>45092</v>
      </c>
      <c r="Q39" s="45"/>
      <c r="R39" s="45">
        <f>IFERROR(__xludf.DUMMYFUNCTION("""COMPUTED_VALUE"""),45092.0)</f>
        <v>45092</v>
      </c>
      <c r="S39" s="43"/>
      <c r="T39" s="43"/>
      <c r="U39" s="43" t="str">
        <f>IFERROR(__xludf.DUMMYFUNCTION("""COMPUTED_VALUE"""),"English Teacher in Manisa")</f>
        <v>English Teacher in Manisa</v>
      </c>
      <c r="V39" s="43" t="str">
        <f>IFERROR(__xludf.DUMMYFUNCTION("""COMPUTED_VALUE"""),"AIESEC in Oran")</f>
        <v>AIESEC in Oran</v>
      </c>
      <c r="W39" s="43" t="str">
        <f>IFERROR(__xludf.DUMMYFUNCTION("""COMPUTED_VALUE"""),"2022-05-13T12:58:35Z")</f>
        <v>2022-05-13T12:58:35Z</v>
      </c>
      <c r="X39" s="43"/>
      <c r="Y39" s="43"/>
      <c r="Z39" s="43"/>
    </row>
    <row r="40" hidden="1">
      <c r="A40" s="43" t="str">
        <f>IFERROR(__xludf.DUMMYFUNCTION("""COMPUTED_VALUE"""),"2371027_1281195")</f>
        <v>2371027_1281195</v>
      </c>
      <c r="B40" s="43" t="str">
        <f>IFERROR(__xludf.DUMMYFUNCTION("""COMPUTED_VALUE"""),"Malik Muhammad Shahzaib")</f>
        <v>Malik Muhammad Shahzaib</v>
      </c>
      <c r="C40" s="43" t="str">
        <f>IFERROR(__xludf.DUMMYFUNCTION("""COMPUTED_VALUE"""),"finished")</f>
        <v>finished</v>
      </c>
      <c r="D40" s="43" t="str">
        <f>IFERROR(__xludf.DUMMYFUNCTION("""COMPUTED_VALUE"""),"No")</f>
        <v>No</v>
      </c>
      <c r="E40" s="43" t="str">
        <f>IFERROR(__xludf.DUMMYFUNCTION("""COMPUTED_VALUE"""),"p_1132c8046b0d41e19eed5868109336ae4f4eca26@inbound.aiesec.org")</f>
        <v>p_1132c8046b0d41e19eed5868109336ae4f4eca26@inbound.aiesec.org</v>
      </c>
      <c r="F40" s="43">
        <f>IFERROR(__xludf.DUMMYFUNCTION("""COMPUTED_VALUE"""),3.15535433E9)</f>
        <v>3155354330</v>
      </c>
      <c r="G40" s="43" t="str">
        <f>IFERROR(__xludf.DUMMYFUNCTION("""COMPUTED_VALUE"""),"Pakistan")</f>
        <v>Pakistan</v>
      </c>
      <c r="H40" s="43" t="str">
        <f>IFERROR(__xludf.DUMMYFUNCTION("""COMPUTED_VALUE"""),"Islamabad")</f>
        <v>Islamabad</v>
      </c>
      <c r="I40" s="43" t="str">
        <f>IFERROR(__xludf.DUMMYFUNCTION("""COMPUTED_VALUE"""),"Turkey")</f>
        <v>Turkey</v>
      </c>
      <c r="J40" s="43" t="str">
        <f>IFERROR(__xludf.DUMMYFUNCTION("""COMPUTED_VALUE"""),"BURSA")</f>
        <v>BURSA</v>
      </c>
      <c r="K40" s="44" t="str">
        <f>IFERROR(__xludf.DUMMYFUNCTION("""COMPUTED_VALUE"""),"https://expa.aiesec.org/opportunities/1281195")</f>
        <v>https://expa.aiesec.org/opportunities/1281195</v>
      </c>
      <c r="L40" s="43" t="str">
        <f>IFERROR(__xludf.DUMMYFUNCTION("""COMPUTED_VALUE"""),"GTe")</f>
        <v>GTe</v>
      </c>
      <c r="M40" s="43" t="str">
        <f>IFERROR(__xludf.DUMMYFUNCTION("""COMPUTED_VALUE"""),"long")</f>
        <v>long</v>
      </c>
      <c r="N40" s="45">
        <f>IFERROR(__xludf.DUMMYFUNCTION("""COMPUTED_VALUE"""),44784.0)</f>
        <v>44784</v>
      </c>
      <c r="O40" s="45">
        <f>IFERROR(__xludf.DUMMYFUNCTION("""COMPUTED_VALUE"""),44837.0)</f>
        <v>44837</v>
      </c>
      <c r="P40" s="45">
        <f>IFERROR(__xludf.DUMMYFUNCTION("""COMPUTED_VALUE"""),45202.0)</f>
        <v>45202</v>
      </c>
      <c r="Q40" s="45">
        <f>IFERROR(__xludf.DUMMYFUNCTION("""COMPUTED_VALUE"""),44821.0)</f>
        <v>44821</v>
      </c>
      <c r="R40" s="45">
        <f>IFERROR(__xludf.DUMMYFUNCTION("""COMPUTED_VALUE"""),45200.0)</f>
        <v>45200</v>
      </c>
      <c r="S40" s="43"/>
      <c r="T40" s="43"/>
      <c r="U40" s="43" t="str">
        <f>IFERROR(__xludf.DUMMYFUNCTION("""COMPUTED_VALUE"""),"ENGLISH TEACHING")</f>
        <v>ENGLISH TEACHING</v>
      </c>
      <c r="V40" s="43" t="str">
        <f>IFERROR(__xludf.DUMMYFUNCTION("""COMPUTED_VALUE"""),"-")</f>
        <v>-</v>
      </c>
      <c r="W40" s="43" t="str">
        <f>IFERROR(__xludf.DUMMYFUNCTION("""COMPUTED_VALUE"""),"2018-06-20T17:07:59Z")</f>
        <v>2018-06-20T17:07:59Z</v>
      </c>
      <c r="X40" s="43"/>
      <c r="Y40" s="43"/>
      <c r="Z40" s="43"/>
    </row>
    <row r="41" hidden="1">
      <c r="A41" s="43" t="str">
        <f>IFERROR(__xludf.DUMMYFUNCTION("""COMPUTED_VALUE"""),"4122088_1279323")</f>
        <v>4122088_1279323</v>
      </c>
      <c r="B41" s="43" t="str">
        <f>IFERROR(__xludf.DUMMYFUNCTION("""COMPUTED_VALUE"""),"Nouha Benyamina")</f>
        <v>Nouha Benyamina</v>
      </c>
      <c r="C41" s="43" t="str">
        <f>IFERROR(__xludf.DUMMYFUNCTION("""COMPUTED_VALUE"""),"realization_broken")</f>
        <v>realization_broken</v>
      </c>
      <c r="D41" s="43" t="str">
        <f>IFERROR(__xludf.DUMMYFUNCTION("""COMPUTED_VALUE"""),"No")</f>
        <v>No</v>
      </c>
      <c r="E41" s="43" t="str">
        <f>IFERROR(__xludf.DUMMYFUNCTION("""COMPUTED_VALUE"""),"p_dc9160b529674c5ccdd646bd53a2d9a3bef10660@inbound.aiesec.org")</f>
        <v>p_dc9160b529674c5ccdd646bd53a2d9a3bef10660@inbound.aiesec.org</v>
      </c>
      <c r="F41" s="43">
        <f>IFERROR(__xludf.DUMMYFUNCTION("""COMPUTED_VALUE"""),6.10526383E8)</f>
        <v>610526383</v>
      </c>
      <c r="G41" s="43" t="str">
        <f>IFERROR(__xludf.DUMMYFUNCTION("""COMPUTED_VALUE"""),"Morocco")</f>
        <v>Morocco</v>
      </c>
      <c r="H41" s="43" t="str">
        <f>IFERROR(__xludf.DUMMYFUNCTION("""COMPUTED_VALUE"""),"Fez")</f>
        <v>Fez</v>
      </c>
      <c r="I41" s="43" t="str">
        <f>IFERROR(__xludf.DUMMYFUNCTION("""COMPUTED_VALUE"""),"Turkey")</f>
        <v>Turkey</v>
      </c>
      <c r="J41" s="43" t="str">
        <f>IFERROR(__xludf.DUMMYFUNCTION("""COMPUTED_VALUE"""),"ADANA")</f>
        <v>ADANA</v>
      </c>
      <c r="K41" s="44" t="str">
        <f>IFERROR(__xludf.DUMMYFUNCTION("""COMPUTED_VALUE"""),"https://expa.aiesec.org/opportunities/1279323")</f>
        <v>https://expa.aiesec.org/opportunities/1279323</v>
      </c>
      <c r="L41" s="43" t="str">
        <f>IFERROR(__xludf.DUMMYFUNCTION("""COMPUTED_VALUE"""),"GTe")</f>
        <v>GTe</v>
      </c>
      <c r="M41" s="43" t="str">
        <f>IFERROR(__xludf.DUMMYFUNCTION("""COMPUTED_VALUE"""),"long")</f>
        <v>long</v>
      </c>
      <c r="N41" s="45">
        <f>IFERROR(__xludf.DUMMYFUNCTION("""COMPUTED_VALUE"""),44784.0)</f>
        <v>44784</v>
      </c>
      <c r="O41" s="45">
        <f>IFERROR(__xludf.DUMMYFUNCTION("""COMPUTED_VALUE"""),44819.0)</f>
        <v>44819</v>
      </c>
      <c r="P41" s="45">
        <f>IFERROR(__xludf.DUMMYFUNCTION("""COMPUTED_VALUE"""),45139.0)</f>
        <v>45139</v>
      </c>
      <c r="Q41" s="45"/>
      <c r="R41" s="45"/>
      <c r="S41" s="43"/>
      <c r="T41" s="43"/>
      <c r="U41" s="43" t="str">
        <f>IFERROR(__xludf.DUMMYFUNCTION("""COMPUTED_VALUE"""),"English Teacher in Defne College")</f>
        <v>English Teacher in Defne College</v>
      </c>
      <c r="V41" s="43" t="str">
        <f>IFERROR(__xludf.DUMMYFUNCTION("""COMPUTED_VALUE"""),"Other-FEZ")</f>
        <v>Other-FEZ</v>
      </c>
      <c r="W41" s="43" t="str">
        <f>IFERROR(__xludf.DUMMYFUNCTION("""COMPUTED_VALUE"""),"2020-01-02T19:25:28Z")</f>
        <v>2020-01-02T19:25:28Z</v>
      </c>
      <c r="X41" s="43"/>
      <c r="Y41" s="43"/>
      <c r="Z41" s="43"/>
    </row>
    <row r="42" hidden="1">
      <c r="A42" s="43" t="str">
        <f>IFERROR(__xludf.DUMMYFUNCTION("""COMPUTED_VALUE"""),"5090665_1288703")</f>
        <v>5090665_1288703</v>
      </c>
      <c r="B42" s="43" t="str">
        <f>IFERROR(__xludf.DUMMYFUNCTION("""COMPUTED_VALUE"""),"Nadine Salah")</f>
        <v>Nadine Salah</v>
      </c>
      <c r="C42" s="43" t="str">
        <f>IFERROR(__xludf.DUMMYFUNCTION("""COMPUTED_VALUE"""),"completed")</f>
        <v>completed</v>
      </c>
      <c r="D42" s="43" t="str">
        <f>IFERROR(__xludf.DUMMYFUNCTION("""COMPUTED_VALUE"""),"No")</f>
        <v>No</v>
      </c>
      <c r="E42" s="43" t="str">
        <f>IFERROR(__xludf.DUMMYFUNCTION("""COMPUTED_VALUE"""),"p_5096db7923a0c09974eb09a0801be01cb1cad0d5@inbound.aiesec.org")</f>
        <v>p_5096db7923a0c09974eb09a0801be01cb1cad0d5@inbound.aiesec.org</v>
      </c>
      <c r="F42" s="43">
        <f>IFERROR(__xludf.DUMMYFUNCTION("""COMPUTED_VALUE"""),1.021213334E9)</f>
        <v>1021213334</v>
      </c>
      <c r="G42" s="43" t="str">
        <f>IFERROR(__xludf.DUMMYFUNCTION("""COMPUTED_VALUE"""),"Egypt")</f>
        <v>Egypt</v>
      </c>
      <c r="H42" s="43" t="str">
        <f>IFERROR(__xludf.DUMMYFUNCTION("""COMPUTED_VALUE"""),"Ain Shams University")</f>
        <v>Ain Shams University</v>
      </c>
      <c r="I42" s="43" t="str">
        <f>IFERROR(__xludf.DUMMYFUNCTION("""COMPUTED_VALUE"""),"Turkey")</f>
        <v>Turkey</v>
      </c>
      <c r="J42" s="43" t="str">
        <f>IFERROR(__xludf.DUMMYFUNCTION("""COMPUTED_VALUE"""),"GAZIANTEP")</f>
        <v>GAZIANTEP</v>
      </c>
      <c r="K42" s="44" t="str">
        <f>IFERROR(__xludf.DUMMYFUNCTION("""COMPUTED_VALUE"""),"https://expa.aiesec.org/opportunities/1288703")</f>
        <v>https://expa.aiesec.org/opportunities/1288703</v>
      </c>
      <c r="L42" s="43" t="str">
        <f>IFERROR(__xludf.DUMMYFUNCTION("""COMPUTED_VALUE"""),"GTe")</f>
        <v>GTe</v>
      </c>
      <c r="M42" s="43" t="str">
        <f>IFERROR(__xludf.DUMMYFUNCTION("""COMPUTED_VALUE"""),"short")</f>
        <v>short</v>
      </c>
      <c r="N42" s="45">
        <f>IFERROR(__xludf.DUMMYFUNCTION("""COMPUTED_VALUE"""),44785.0)</f>
        <v>44785</v>
      </c>
      <c r="O42" s="45">
        <f>IFERROR(__xludf.DUMMYFUNCTION("""COMPUTED_VALUE"""),44789.0)</f>
        <v>44789</v>
      </c>
      <c r="P42" s="45">
        <f>IFERROR(__xludf.DUMMYFUNCTION("""COMPUTED_VALUE"""),44872.0)</f>
        <v>44872</v>
      </c>
      <c r="Q42" s="45">
        <f>IFERROR(__xludf.DUMMYFUNCTION("""COMPUTED_VALUE"""),44788.0)</f>
        <v>44788</v>
      </c>
      <c r="R42" s="45">
        <f>IFERROR(__xludf.DUMMYFUNCTION("""COMPUTED_VALUE"""),44842.0)</f>
        <v>44842</v>
      </c>
      <c r="S42" s="43"/>
      <c r="T42" s="43"/>
      <c r="U42" s="43" t="str">
        <f>IFERROR(__xludf.DUMMYFUNCTION("""COMPUTED_VALUE"""),"ENGLISH TEACHER")</f>
        <v>ENGLISH TEACHER</v>
      </c>
      <c r="V42" s="43" t="str">
        <f>IFERROR(__xludf.DUMMYFUNCTION("""COMPUTED_VALUE"""),"Ain Shams University")</f>
        <v>Ain Shams University</v>
      </c>
      <c r="W42" s="43" t="str">
        <f>IFERROR(__xludf.DUMMYFUNCTION("""COMPUTED_VALUE"""),"2022-08-07T13:19:28Z")</f>
        <v>2022-08-07T13:19:28Z</v>
      </c>
      <c r="X42" s="43"/>
      <c r="Y42" s="43"/>
      <c r="Z42" s="43"/>
    </row>
    <row r="43" hidden="1">
      <c r="A43" s="43" t="str">
        <f>IFERROR(__xludf.DUMMYFUNCTION("""COMPUTED_VALUE"""),"909044_1286836")</f>
        <v>909044_1286836</v>
      </c>
      <c r="B43" s="43" t="str">
        <f>IFERROR(__xludf.DUMMYFUNCTION("""COMPUTED_VALUE"""),"Fatima Al-zahraa Tawfik")</f>
        <v>Fatima Al-zahraa Tawfik</v>
      </c>
      <c r="C43" s="43" t="str">
        <f>IFERROR(__xludf.DUMMYFUNCTION("""COMPUTED_VALUE"""),"completed")</f>
        <v>completed</v>
      </c>
      <c r="D43" s="43" t="str">
        <f>IFERROR(__xludf.DUMMYFUNCTION("""COMPUTED_VALUE"""),"No")</f>
        <v>No</v>
      </c>
      <c r="E43" s="43" t="str">
        <f>IFERROR(__xludf.DUMMYFUNCTION("""COMPUTED_VALUE"""),"p_efe0e4a7c1e42e7539e1e9759498a2acdbfe9813@inbound.aiesec.org")</f>
        <v>p_efe0e4a7c1e42e7539e1e9759498a2acdbfe9813@inbound.aiesec.org</v>
      </c>
      <c r="F43" s="43">
        <f>IFERROR(__xludf.DUMMYFUNCTION("""COMPUTED_VALUE"""),2.01008995371E11)</f>
        <v>201008995371</v>
      </c>
      <c r="G43" s="43" t="str">
        <f>IFERROR(__xludf.DUMMYFUNCTION("""COMPUTED_VALUE"""),"Egypt")</f>
        <v>Egypt</v>
      </c>
      <c r="H43" s="43" t="str">
        <f>IFERROR(__xludf.DUMMYFUNCTION("""COMPUTED_VALUE"""),"Alexandria")</f>
        <v>Alexandria</v>
      </c>
      <c r="I43" s="43" t="str">
        <f>IFERROR(__xludf.DUMMYFUNCTION("""COMPUTED_VALUE"""),"Turkey")</f>
        <v>Turkey</v>
      </c>
      <c r="J43" s="43" t="str">
        <f>IFERROR(__xludf.DUMMYFUNCTION("""COMPUTED_VALUE"""),"ISTANBUL WEST")</f>
        <v>ISTANBUL WEST</v>
      </c>
      <c r="K43" s="44" t="str">
        <f>IFERROR(__xludf.DUMMYFUNCTION("""COMPUTED_VALUE"""),"https://expa.aiesec.org/opportunities/1286836")</f>
        <v>https://expa.aiesec.org/opportunities/1286836</v>
      </c>
      <c r="L43" s="43" t="str">
        <f>IFERROR(__xludf.DUMMYFUNCTION("""COMPUTED_VALUE"""),"GTe")</f>
        <v>GTe</v>
      </c>
      <c r="M43" s="43" t="str">
        <f>IFERROR(__xludf.DUMMYFUNCTION("""COMPUTED_VALUE"""),"long")</f>
        <v>long</v>
      </c>
      <c r="N43" s="45">
        <f>IFERROR(__xludf.DUMMYFUNCTION("""COMPUTED_VALUE"""),44785.0)</f>
        <v>44785</v>
      </c>
      <c r="O43" s="45">
        <f>IFERROR(__xludf.DUMMYFUNCTION("""COMPUTED_VALUE"""),44795.0)</f>
        <v>44795</v>
      </c>
      <c r="P43" s="45">
        <f>IFERROR(__xludf.DUMMYFUNCTION("""COMPUTED_VALUE"""),45160.0)</f>
        <v>45160</v>
      </c>
      <c r="Q43" s="45">
        <f>IFERROR(__xludf.DUMMYFUNCTION("""COMPUTED_VALUE"""),44817.0)</f>
        <v>44817</v>
      </c>
      <c r="R43" s="45">
        <f>IFERROR(__xludf.DUMMYFUNCTION("""COMPUTED_VALUE"""),45107.0)</f>
        <v>45107</v>
      </c>
      <c r="S43" s="43"/>
      <c r="T43" s="43" t="str">
        <f>IFERROR(__xludf.DUMMYFUNCTION("""COMPUTED_VALUE"""),"Business Development")</f>
        <v>Business Development</v>
      </c>
      <c r="U43" s="43" t="str">
        <f>IFERROR(__xludf.DUMMYFUNCTION("""COMPUTED_VALUE"""),"Pre-School Teacher at Istanbul AIKA/Bahçeşehir")</f>
        <v>Pre-School Teacher at Istanbul AIKA/Bahçeşehir</v>
      </c>
      <c r="V43" s="43" t="str">
        <f>IFERROR(__xludf.DUMMYFUNCTION("""COMPUTED_VALUE"""),"-")</f>
        <v>-</v>
      </c>
      <c r="W43" s="43" t="str">
        <f>IFERROR(__xludf.DUMMYFUNCTION("""COMPUTED_VALUE"""),"2016-03-08T22:53:17Z")</f>
        <v>2016-03-08T22:53:17Z</v>
      </c>
      <c r="X43" s="43"/>
      <c r="Y43" s="43"/>
      <c r="Z43" s="43"/>
    </row>
    <row r="44" hidden="1">
      <c r="A44" s="43" t="str">
        <f>IFERROR(__xludf.DUMMYFUNCTION("""COMPUTED_VALUE"""),"5092527_1281195")</f>
        <v>5092527_1281195</v>
      </c>
      <c r="B44" s="43" t="str">
        <f>IFERROR(__xludf.DUMMYFUNCTION("""COMPUTED_VALUE"""),"Uzma Rao")</f>
        <v>Uzma Rao</v>
      </c>
      <c r="C44" s="43" t="str">
        <f>IFERROR(__xludf.DUMMYFUNCTION("""COMPUTED_VALUE"""),"rejected")</f>
        <v>rejected</v>
      </c>
      <c r="D44" s="43" t="str">
        <f>IFERROR(__xludf.DUMMYFUNCTION("""COMPUTED_VALUE"""),"No")</f>
        <v>No</v>
      </c>
      <c r="E44" s="43" t="str">
        <f>IFERROR(__xludf.DUMMYFUNCTION("""COMPUTED_VALUE"""),"p_e7c536caf8d7bacc268be840060ba802edea542c@inbound.aiesec.org")</f>
        <v>p_e7c536caf8d7bacc268be840060ba802edea542c@inbound.aiesec.org</v>
      </c>
      <c r="F44" s="43">
        <f>IFERROR(__xludf.DUMMYFUNCTION("""COMPUTED_VALUE"""),3.486600344E9)</f>
        <v>3486600344</v>
      </c>
      <c r="G44" s="43" t="str">
        <f>IFERROR(__xludf.DUMMYFUNCTION("""COMPUTED_VALUE"""),"Pakistan")</f>
        <v>Pakistan</v>
      </c>
      <c r="H44" s="43" t="str">
        <f>IFERROR(__xludf.DUMMYFUNCTION("""COMPUTED_VALUE"""),"Lahore - Pak")</f>
        <v>Lahore - Pak</v>
      </c>
      <c r="I44" s="43" t="str">
        <f>IFERROR(__xludf.DUMMYFUNCTION("""COMPUTED_VALUE"""),"Turkey")</f>
        <v>Turkey</v>
      </c>
      <c r="J44" s="43" t="str">
        <f>IFERROR(__xludf.DUMMYFUNCTION("""COMPUTED_VALUE"""),"BURSA")</f>
        <v>BURSA</v>
      </c>
      <c r="K44" s="44" t="str">
        <f>IFERROR(__xludf.DUMMYFUNCTION("""COMPUTED_VALUE"""),"https://expa.aiesec.org/opportunities/1281195")</f>
        <v>https://expa.aiesec.org/opportunities/1281195</v>
      </c>
      <c r="L44" s="43" t="str">
        <f>IFERROR(__xludf.DUMMYFUNCTION("""COMPUTED_VALUE"""),"GTe")</f>
        <v>GTe</v>
      </c>
      <c r="M44" s="43" t="str">
        <f>IFERROR(__xludf.DUMMYFUNCTION("""COMPUTED_VALUE"""),"long")</f>
        <v>long</v>
      </c>
      <c r="N44" s="45">
        <f>IFERROR(__xludf.DUMMYFUNCTION("""COMPUTED_VALUE"""),44786.0)</f>
        <v>44786</v>
      </c>
      <c r="O44" s="45">
        <f>IFERROR(__xludf.DUMMYFUNCTION("""COMPUTED_VALUE"""),44837.0)</f>
        <v>44837</v>
      </c>
      <c r="P44" s="45">
        <f>IFERROR(__xludf.DUMMYFUNCTION("""COMPUTED_VALUE"""),45202.0)</f>
        <v>45202</v>
      </c>
      <c r="Q44" s="45">
        <f>IFERROR(__xludf.DUMMYFUNCTION("""COMPUTED_VALUE"""),44790.0)</f>
        <v>44790</v>
      </c>
      <c r="R44" s="45">
        <f>IFERROR(__xludf.DUMMYFUNCTION("""COMPUTED_VALUE"""),45153.0)</f>
        <v>45153</v>
      </c>
      <c r="S44" s="43"/>
      <c r="T44" s="43"/>
      <c r="U44" s="43" t="str">
        <f>IFERROR(__xludf.DUMMYFUNCTION("""COMPUTED_VALUE"""),"ENGLISH TEACHING")</f>
        <v>ENGLISH TEACHING</v>
      </c>
      <c r="V44" s="43" t="str">
        <f>IFERROR(__xludf.DUMMYFUNCTION("""COMPUTED_VALUE"""),"Lahore - University College Lahore (UCL)")</f>
        <v>Lahore - University College Lahore (UCL)</v>
      </c>
      <c r="W44" s="43" t="str">
        <f>IFERROR(__xludf.DUMMYFUNCTION("""COMPUTED_VALUE"""),"2022-08-12T13:12:54Z")</f>
        <v>2022-08-12T13:12:54Z</v>
      </c>
      <c r="X44" s="43"/>
      <c r="Y44" s="43"/>
      <c r="Z44" s="43"/>
    </row>
    <row r="45" hidden="1">
      <c r="A45" s="43" t="str">
        <f>IFERROR(__xludf.DUMMYFUNCTION("""COMPUTED_VALUE"""),"5083289_1286840")</f>
        <v>5083289_1286840</v>
      </c>
      <c r="B45" s="43" t="str">
        <f>IFERROR(__xludf.DUMMYFUNCTION("""COMPUTED_VALUE"""),"Heba Soliman")</f>
        <v>Heba Soliman</v>
      </c>
      <c r="C45" s="43" t="str">
        <f>IFERROR(__xludf.DUMMYFUNCTION("""COMPUTED_VALUE"""),"realization_broken")</f>
        <v>realization_broken</v>
      </c>
      <c r="D45" s="43" t="str">
        <f>IFERROR(__xludf.DUMMYFUNCTION("""COMPUTED_VALUE"""),"No")</f>
        <v>No</v>
      </c>
      <c r="E45" s="43" t="str">
        <f>IFERROR(__xludf.DUMMYFUNCTION("""COMPUTED_VALUE"""),"p_1aff9a003d3ddbc69417cd4ec398eff333c8525d@inbound.aiesec.org")</f>
        <v>p_1aff9a003d3ddbc69417cd4ec398eff333c8525d@inbound.aiesec.org</v>
      </c>
      <c r="F45" s="43">
        <f>IFERROR(__xludf.DUMMYFUNCTION("""COMPUTED_VALUE"""),1.091097516E9)</f>
        <v>1091097516</v>
      </c>
      <c r="G45" s="43" t="str">
        <f>IFERROR(__xludf.DUMMYFUNCTION("""COMPUTED_VALUE"""),"Egypt")</f>
        <v>Egypt</v>
      </c>
      <c r="H45" s="43" t="str">
        <f>IFERROR(__xludf.DUMMYFUNCTION("""COMPUTED_VALUE"""),"Alexandria")</f>
        <v>Alexandria</v>
      </c>
      <c r="I45" s="43" t="str">
        <f>IFERROR(__xludf.DUMMYFUNCTION("""COMPUTED_VALUE"""),"Turkey")</f>
        <v>Turkey</v>
      </c>
      <c r="J45" s="43" t="str">
        <f>IFERROR(__xludf.DUMMYFUNCTION("""COMPUTED_VALUE"""),"ISTANBUL WEST")</f>
        <v>ISTANBUL WEST</v>
      </c>
      <c r="K45" s="44" t="str">
        <f>IFERROR(__xludf.DUMMYFUNCTION("""COMPUTED_VALUE"""),"https://expa.aiesec.org/opportunities/1286840")</f>
        <v>https://expa.aiesec.org/opportunities/1286840</v>
      </c>
      <c r="L45" s="43" t="str">
        <f>IFERROR(__xludf.DUMMYFUNCTION("""COMPUTED_VALUE"""),"GTe")</f>
        <v>GTe</v>
      </c>
      <c r="M45" s="43" t="str">
        <f>IFERROR(__xludf.DUMMYFUNCTION("""COMPUTED_VALUE"""),"long")</f>
        <v>long</v>
      </c>
      <c r="N45" s="45">
        <f>IFERROR(__xludf.DUMMYFUNCTION("""COMPUTED_VALUE"""),44787.0)</f>
        <v>44787</v>
      </c>
      <c r="O45" s="45">
        <f>IFERROR(__xludf.DUMMYFUNCTION("""COMPUTED_VALUE"""),44795.0)</f>
        <v>44795</v>
      </c>
      <c r="P45" s="45">
        <f>IFERROR(__xludf.DUMMYFUNCTION("""COMPUTED_VALUE"""),45107.0)</f>
        <v>45107</v>
      </c>
      <c r="Q45" s="45"/>
      <c r="R45" s="45"/>
      <c r="S45" s="43"/>
      <c r="T45" s="43" t="str">
        <f>IFERROR(__xludf.DUMMYFUNCTION("""COMPUTED_VALUE"""),"Business Development")</f>
        <v>Business Development</v>
      </c>
      <c r="U45" s="43" t="str">
        <f>IFERROR(__xludf.DUMMYFUNCTION("""COMPUTED_VALUE"""),"Pre-School Teacher at Istanbul AIKA/Büyükçekmece")</f>
        <v>Pre-School Teacher at Istanbul AIKA/Büyükçekmece</v>
      </c>
      <c r="V45" s="43" t="str">
        <f>IFERROR(__xludf.DUMMYFUNCTION("""COMPUTED_VALUE"""),"Alexandria University")</f>
        <v>Alexandria University</v>
      </c>
      <c r="W45" s="43" t="str">
        <f>IFERROR(__xludf.DUMMYFUNCTION("""COMPUTED_VALUE"""),"2022-07-16T19:20:10Z")</f>
        <v>2022-07-16T19:20:10Z</v>
      </c>
      <c r="X45" s="43"/>
      <c r="Y45" s="43"/>
      <c r="Z45" s="43"/>
    </row>
    <row r="46" hidden="1">
      <c r="A46" s="43" t="str">
        <f>IFERROR(__xludf.DUMMYFUNCTION("""COMPUTED_VALUE"""),"5091938_1283628")</f>
        <v>5091938_1283628</v>
      </c>
      <c r="B46" s="43" t="str">
        <f>IFERROR(__xludf.DUMMYFUNCTION("""COMPUTED_VALUE"""),"Hadjer Nesrine Guidoum")</f>
        <v>Hadjer Nesrine Guidoum</v>
      </c>
      <c r="C46" s="43" t="str">
        <f>IFERROR(__xludf.DUMMYFUNCTION("""COMPUTED_VALUE"""),"completed")</f>
        <v>completed</v>
      </c>
      <c r="D46" s="43" t="str">
        <f>IFERROR(__xludf.DUMMYFUNCTION("""COMPUTED_VALUE"""),"No")</f>
        <v>No</v>
      </c>
      <c r="E46" s="43" t="str">
        <f>IFERROR(__xludf.DUMMYFUNCTION("""COMPUTED_VALUE"""),"p_cbd0273fa20315b3681f59cad28374d11466265a@inbound.aiesec.org")</f>
        <v>p_cbd0273fa20315b3681f59cad28374d11466265a@inbound.aiesec.org</v>
      </c>
      <c r="F46" s="43">
        <f>IFERROR(__xludf.DUMMYFUNCTION("""COMPUTED_VALUE"""),5.360258845E9)</f>
        <v>5360258845</v>
      </c>
      <c r="G46" s="43" t="str">
        <f>IFERROR(__xludf.DUMMYFUNCTION("""COMPUTED_VALUE"""),"Algeria")</f>
        <v>Algeria</v>
      </c>
      <c r="H46" s="43" t="str">
        <f>IFERROR(__xludf.DUMMYFUNCTION("""COMPUTED_VALUE"""),"Benak")</f>
        <v>Benak</v>
      </c>
      <c r="I46" s="43" t="str">
        <f>IFERROR(__xludf.DUMMYFUNCTION("""COMPUTED_VALUE"""),"Turkey")</f>
        <v>Turkey</v>
      </c>
      <c r="J46" s="43" t="str">
        <f>IFERROR(__xludf.DUMMYFUNCTION("""COMPUTED_VALUE"""),"ESKISEHIR")</f>
        <v>ESKISEHIR</v>
      </c>
      <c r="K46" s="44" t="str">
        <f>IFERROR(__xludf.DUMMYFUNCTION("""COMPUTED_VALUE"""),"https://expa.aiesec.org/opportunities/1283628")</f>
        <v>https://expa.aiesec.org/opportunities/1283628</v>
      </c>
      <c r="L46" s="43" t="str">
        <f>IFERROR(__xludf.DUMMYFUNCTION("""COMPUTED_VALUE"""),"GTe")</f>
        <v>GTe</v>
      </c>
      <c r="M46" s="43" t="str">
        <f>IFERROR(__xludf.DUMMYFUNCTION("""COMPUTED_VALUE"""),"long")</f>
        <v>long</v>
      </c>
      <c r="N46" s="45">
        <f>IFERROR(__xludf.DUMMYFUNCTION("""COMPUTED_VALUE"""),44787.0)</f>
        <v>44787</v>
      </c>
      <c r="O46" s="45">
        <f>IFERROR(__xludf.DUMMYFUNCTION("""COMPUTED_VALUE"""),44809.0)</f>
        <v>44809</v>
      </c>
      <c r="P46" s="45">
        <f>IFERROR(__xludf.DUMMYFUNCTION("""COMPUTED_VALUE"""),45173.0)</f>
        <v>45173</v>
      </c>
      <c r="Q46" s="45">
        <f>IFERROR(__xludf.DUMMYFUNCTION("""COMPUTED_VALUE"""),44842.0)</f>
        <v>44842</v>
      </c>
      <c r="R46" s="45">
        <f>IFERROR(__xludf.DUMMYFUNCTION("""COMPUTED_VALUE"""),45187.0)</f>
        <v>45187</v>
      </c>
      <c r="S46" s="43"/>
      <c r="T46" s="43"/>
      <c r="U46" s="43" t="str">
        <f>IFERROR(__xludf.DUMMYFUNCTION("""COMPUTED_VALUE"""),"Join Wimbledn Academy ")</f>
        <v>Join Wimbledn Academy </v>
      </c>
      <c r="V46" s="43" t="str">
        <f>IFERROR(__xludf.DUMMYFUNCTION("""COMPUTED_VALUE"""),"AIESEC in Benak")</f>
        <v>AIESEC in Benak</v>
      </c>
      <c r="W46" s="43" t="str">
        <f>IFERROR(__xludf.DUMMYFUNCTION("""COMPUTED_VALUE"""),"2022-08-10T16:27:51Z")</f>
        <v>2022-08-10T16:27:51Z</v>
      </c>
      <c r="X46" s="43"/>
      <c r="Y46" s="43"/>
      <c r="Z46" s="43"/>
    </row>
    <row r="47" hidden="1">
      <c r="A47" s="43" t="str">
        <f>IFERROR(__xludf.DUMMYFUNCTION("""COMPUTED_VALUE"""),"5090066_1288612")</f>
        <v>5090066_1288612</v>
      </c>
      <c r="B47" s="43" t="str">
        <f>IFERROR(__xludf.DUMMYFUNCTION("""COMPUTED_VALUE"""),"deleted 5090066")</f>
        <v>deleted 5090066</v>
      </c>
      <c r="C47" s="43" t="str">
        <f>IFERROR(__xludf.DUMMYFUNCTION("""COMPUTED_VALUE"""),"finished")</f>
        <v>finished</v>
      </c>
      <c r="D47" s="43" t="str">
        <f>IFERROR(__xludf.DUMMYFUNCTION("""COMPUTED_VALUE"""),"No")</f>
        <v>No</v>
      </c>
      <c r="E47" s="43" t="str">
        <f>IFERROR(__xludf.DUMMYFUNCTION("""COMPUTED_VALUE"""),"p_67015fa8d46b2619c6a9beeeee81020a1392ca74@inbound.aiesec.org")</f>
        <v>p_67015fa8d46b2619c6a9beeeee81020a1392ca74@inbound.aiesec.org</v>
      </c>
      <c r="F47" s="43"/>
      <c r="G47" s="43" t="str">
        <f>IFERROR(__xludf.DUMMYFUNCTION("""COMPUTED_VALUE"""),"Algeria")</f>
        <v>Algeria</v>
      </c>
      <c r="H47" s="43" t="str">
        <f>IFERROR(__xludf.DUMMYFUNCTION("""COMPUTED_VALUE"""),"Blida")</f>
        <v>Blida</v>
      </c>
      <c r="I47" s="43" t="str">
        <f>IFERROR(__xludf.DUMMYFUNCTION("""COMPUTED_VALUE"""),"Turkey")</f>
        <v>Turkey</v>
      </c>
      <c r="J47" s="43" t="str">
        <f>IFERROR(__xludf.DUMMYFUNCTION("""COMPUTED_VALUE"""),"İZMİR")</f>
        <v>İZMİR</v>
      </c>
      <c r="K47" s="44" t="str">
        <f>IFERROR(__xludf.DUMMYFUNCTION("""COMPUTED_VALUE"""),"https://expa.aiesec.org/opportunities/1288612")</f>
        <v>https://expa.aiesec.org/opportunities/1288612</v>
      </c>
      <c r="L47" s="43" t="str">
        <f>IFERROR(__xludf.DUMMYFUNCTION("""COMPUTED_VALUE"""),"GTe")</f>
        <v>GTe</v>
      </c>
      <c r="M47" s="43" t="str">
        <f>IFERROR(__xludf.DUMMYFUNCTION("""COMPUTED_VALUE"""),"long")</f>
        <v>long</v>
      </c>
      <c r="N47" s="45">
        <f>IFERROR(__xludf.DUMMYFUNCTION("""COMPUTED_VALUE"""),44787.0)</f>
        <v>44787</v>
      </c>
      <c r="O47" s="45">
        <f>IFERROR(__xludf.DUMMYFUNCTION("""COMPUTED_VALUE"""),44819.0)</f>
        <v>44819</v>
      </c>
      <c r="P47" s="45">
        <f>IFERROR(__xludf.DUMMYFUNCTION("""COMPUTED_VALUE"""),45092.0)</f>
        <v>45092</v>
      </c>
      <c r="Q47" s="45"/>
      <c r="R47" s="45">
        <f>IFERROR(__xludf.DUMMYFUNCTION("""COMPUTED_VALUE"""),45092.0)</f>
        <v>45092</v>
      </c>
      <c r="S47" s="43"/>
      <c r="T47" s="43"/>
      <c r="U47" s="43" t="str">
        <f>IFERROR(__xludf.DUMMYFUNCTION("""COMPUTED_VALUE"""),"English Teacher in Manisa")</f>
        <v>English Teacher in Manisa</v>
      </c>
      <c r="V47" s="43" t="str">
        <f>IFERROR(__xludf.DUMMYFUNCTION("""COMPUTED_VALUE"""),"AIESEC in Blida")</f>
        <v>AIESEC in Blida</v>
      </c>
      <c r="W47" s="43" t="str">
        <f>IFERROR(__xludf.DUMMYFUNCTION("""COMPUTED_VALUE"""),"2022-08-05T19:04:17Z")</f>
        <v>2022-08-05T19:04:17Z</v>
      </c>
      <c r="X47" s="43"/>
      <c r="Y47" s="43"/>
      <c r="Z47" s="43"/>
    </row>
    <row r="48" hidden="1">
      <c r="A48" s="43" t="str">
        <f>IFERROR(__xludf.DUMMYFUNCTION("""COMPUTED_VALUE"""),"5088850_1288612")</f>
        <v>5088850_1288612</v>
      </c>
      <c r="B48" s="43" t="str">
        <f>IFERROR(__xludf.DUMMYFUNCTION("""COMPUTED_VALUE"""),"Sihem Mansouri")</f>
        <v>Sihem Mansouri</v>
      </c>
      <c r="C48" s="43" t="str">
        <f>IFERROR(__xludf.DUMMYFUNCTION("""COMPUTED_VALUE"""),"finished")</f>
        <v>finished</v>
      </c>
      <c r="D48" s="43" t="str">
        <f>IFERROR(__xludf.DUMMYFUNCTION("""COMPUTED_VALUE"""),"No")</f>
        <v>No</v>
      </c>
      <c r="E48" s="43" t="str">
        <f>IFERROR(__xludf.DUMMYFUNCTION("""COMPUTED_VALUE"""),"p_e44e3e25bd8c0639bd77669405d3cc2edc1d81ca@inbound.aiesec.org")</f>
        <v>p_e44e3e25bd8c0639bd77669405d3cc2edc1d81ca@inbound.aiesec.org</v>
      </c>
      <c r="F48" s="43">
        <f>IFERROR(__xludf.DUMMYFUNCTION("""COMPUTED_VALUE"""),5.40306672E8)</f>
        <v>540306672</v>
      </c>
      <c r="G48" s="43" t="str">
        <f>IFERROR(__xludf.DUMMYFUNCTION("""COMPUTED_VALUE"""),"Algeria")</f>
        <v>Algeria</v>
      </c>
      <c r="H48" s="43" t="str">
        <f>IFERROR(__xludf.DUMMYFUNCTION("""COMPUTED_VALUE"""),"Blida")</f>
        <v>Blida</v>
      </c>
      <c r="I48" s="43" t="str">
        <f>IFERROR(__xludf.DUMMYFUNCTION("""COMPUTED_VALUE"""),"Turkey")</f>
        <v>Turkey</v>
      </c>
      <c r="J48" s="43" t="str">
        <f>IFERROR(__xludf.DUMMYFUNCTION("""COMPUTED_VALUE"""),"İZMİR")</f>
        <v>İZMİR</v>
      </c>
      <c r="K48" s="44" t="str">
        <f>IFERROR(__xludf.DUMMYFUNCTION("""COMPUTED_VALUE"""),"https://expa.aiesec.org/opportunities/1288612")</f>
        <v>https://expa.aiesec.org/opportunities/1288612</v>
      </c>
      <c r="L48" s="43" t="str">
        <f>IFERROR(__xludf.DUMMYFUNCTION("""COMPUTED_VALUE"""),"GTe")</f>
        <v>GTe</v>
      </c>
      <c r="M48" s="43" t="str">
        <f>IFERROR(__xludf.DUMMYFUNCTION("""COMPUTED_VALUE"""),"long")</f>
        <v>long</v>
      </c>
      <c r="N48" s="45">
        <f>IFERROR(__xludf.DUMMYFUNCTION("""COMPUTED_VALUE"""),44787.0)</f>
        <v>44787</v>
      </c>
      <c r="O48" s="45">
        <f>IFERROR(__xludf.DUMMYFUNCTION("""COMPUTED_VALUE"""),44819.0)</f>
        <v>44819</v>
      </c>
      <c r="P48" s="45">
        <f>IFERROR(__xludf.DUMMYFUNCTION("""COMPUTED_VALUE"""),45092.0)</f>
        <v>45092</v>
      </c>
      <c r="Q48" s="45"/>
      <c r="R48" s="45">
        <f>IFERROR(__xludf.DUMMYFUNCTION("""COMPUTED_VALUE"""),45092.0)</f>
        <v>45092</v>
      </c>
      <c r="S48" s="43"/>
      <c r="T48" s="43"/>
      <c r="U48" s="43" t="str">
        <f>IFERROR(__xludf.DUMMYFUNCTION("""COMPUTED_VALUE"""),"English Teacher in Manisa")</f>
        <v>English Teacher in Manisa</v>
      </c>
      <c r="V48" s="43" t="str">
        <f>IFERROR(__xludf.DUMMYFUNCTION("""COMPUTED_VALUE"""),"AIESEC in Blida")</f>
        <v>AIESEC in Blida</v>
      </c>
      <c r="W48" s="43" t="str">
        <f>IFERROR(__xludf.DUMMYFUNCTION("""COMPUTED_VALUE"""),"2022-08-03T19:29:29Z")</f>
        <v>2022-08-03T19:29:29Z</v>
      </c>
      <c r="X48" s="43"/>
      <c r="Y48" s="43"/>
      <c r="Z48" s="43"/>
    </row>
    <row r="49" hidden="1">
      <c r="A49" s="43" t="str">
        <f>IFERROR(__xludf.DUMMYFUNCTION("""COMPUTED_VALUE"""),"4934945_1272646")</f>
        <v>4934945_1272646</v>
      </c>
      <c r="B49" s="43" t="str">
        <f>IFERROR(__xludf.DUMMYFUNCTION("""COMPUTED_VALUE"""),"Marouane BEL OUAAR")</f>
        <v>Marouane BEL OUAAR</v>
      </c>
      <c r="C49" s="43" t="str">
        <f>IFERROR(__xludf.DUMMYFUNCTION("""COMPUTED_VALUE"""),"realization_broken")</f>
        <v>realization_broken</v>
      </c>
      <c r="D49" s="43" t="str">
        <f>IFERROR(__xludf.DUMMYFUNCTION("""COMPUTED_VALUE"""),"No")</f>
        <v>No</v>
      </c>
      <c r="E49" s="43" t="str">
        <f>IFERROR(__xludf.DUMMYFUNCTION("""COMPUTED_VALUE"""),"p_0f9e6fa6519381c075a15f823feb214e25d14c80@inbound.aiesec.org")</f>
        <v>p_0f9e6fa6519381c075a15f823feb214e25d14c80@inbound.aiesec.org</v>
      </c>
      <c r="F49" s="43">
        <f>IFERROR(__xludf.DUMMYFUNCTION("""COMPUTED_VALUE"""),7.67444481E8)</f>
        <v>767444481</v>
      </c>
      <c r="G49" s="43" t="str">
        <f>IFERROR(__xludf.DUMMYFUNCTION("""COMPUTED_VALUE"""),"Morocco")</f>
        <v>Morocco</v>
      </c>
      <c r="H49" s="43" t="str">
        <f>IFERROR(__xludf.DUMMYFUNCTION("""COMPUTED_VALUE"""),"Kenitra")</f>
        <v>Kenitra</v>
      </c>
      <c r="I49" s="43" t="str">
        <f>IFERROR(__xludf.DUMMYFUNCTION("""COMPUTED_VALUE"""),"Turkey")</f>
        <v>Turkey</v>
      </c>
      <c r="J49" s="43" t="str">
        <f>IFERROR(__xludf.DUMMYFUNCTION("""COMPUTED_VALUE"""),"KOCAELI")</f>
        <v>KOCAELI</v>
      </c>
      <c r="K49" s="44" t="str">
        <f>IFERROR(__xludf.DUMMYFUNCTION("""COMPUTED_VALUE"""),"https://expa.aiesec.org/opportunities/1272646")</f>
        <v>https://expa.aiesec.org/opportunities/1272646</v>
      </c>
      <c r="L49" s="43" t="str">
        <f>IFERROR(__xludf.DUMMYFUNCTION("""COMPUTED_VALUE"""),"GTe")</f>
        <v>GTe</v>
      </c>
      <c r="M49" s="43" t="str">
        <f>IFERROR(__xludf.DUMMYFUNCTION("""COMPUTED_VALUE"""),"long")</f>
        <v>long</v>
      </c>
      <c r="N49" s="45">
        <f>IFERROR(__xludf.DUMMYFUNCTION("""COMPUTED_VALUE"""),44788.0)</f>
        <v>44788</v>
      </c>
      <c r="O49" s="45">
        <f>IFERROR(__xludf.DUMMYFUNCTION("""COMPUTED_VALUE"""),44816.0)</f>
        <v>44816</v>
      </c>
      <c r="P49" s="45">
        <f>IFERROR(__xludf.DUMMYFUNCTION("""COMPUTED_VALUE"""),45107.0)</f>
        <v>45107</v>
      </c>
      <c r="Q49" s="45"/>
      <c r="R49" s="45"/>
      <c r="S49" s="43"/>
      <c r="T49" s="43"/>
      <c r="U49" s="43" t="str">
        <f>IFERROR(__xludf.DUMMYFUNCTION("""COMPUTED_VALUE"""),"Bandırma İstek Okulları English teaching")</f>
        <v>Bandırma İstek Okulları English teaching</v>
      </c>
      <c r="V49" s="43" t="str">
        <f>IFERROR(__xludf.DUMMYFUNCTION("""COMPUTED_VALUE"""),"ESEF Kénitra")</f>
        <v>ESEF Kénitra</v>
      </c>
      <c r="W49" s="43" t="str">
        <f>IFERROR(__xludf.DUMMYFUNCTION("""COMPUTED_VALUE"""),"2022-02-17T15:35:39Z")</f>
        <v>2022-02-17T15:35:39Z</v>
      </c>
      <c r="X49" s="43"/>
      <c r="Y49" s="43"/>
      <c r="Z49" s="43"/>
    </row>
    <row r="50" hidden="1">
      <c r="A50" s="43" t="str">
        <f>IFERROR(__xludf.DUMMYFUNCTION("""COMPUTED_VALUE"""),"2011504_1287856")</f>
        <v>2011504_1287856</v>
      </c>
      <c r="B50" s="43" t="str">
        <f>IFERROR(__xludf.DUMMYFUNCTION("""COMPUTED_VALUE"""),"Farukh Karimzhanov")</f>
        <v>Farukh Karimzhanov</v>
      </c>
      <c r="C50" s="43" t="str">
        <f>IFERROR(__xludf.DUMMYFUNCTION("""COMPUTED_VALUE"""),"realization_broken")</f>
        <v>realization_broken</v>
      </c>
      <c r="D50" s="43" t="str">
        <f>IFERROR(__xludf.DUMMYFUNCTION("""COMPUTED_VALUE"""),"No")</f>
        <v>No</v>
      </c>
      <c r="E50" s="43" t="str">
        <f>IFERROR(__xludf.DUMMYFUNCTION("""COMPUTED_VALUE"""),"p_3a870ae7cc9ee191fae9456752e9f1da7596d552@inbound.aiesec.org")</f>
        <v>p_3a870ae7cc9ee191fae9456752e9f1da7596d552@inbound.aiesec.org</v>
      </c>
      <c r="F50" s="43">
        <f>IFERROR(__xludf.DUMMYFUNCTION("""COMPUTED_VALUE"""),5.0011751E7)</f>
        <v>50011751</v>
      </c>
      <c r="G50" s="43" t="str">
        <f>IFERROR(__xludf.DUMMYFUNCTION("""COMPUTED_VALUE"""),"Kyrgyzstan")</f>
        <v>Kyrgyzstan</v>
      </c>
      <c r="H50" s="43" t="str">
        <f>IFERROR(__xludf.DUMMYFUNCTION("""COMPUTED_VALUE"""),"Impulse for Bishkek Leaders (IBL)")</f>
        <v>Impulse for Bishkek Leaders (IBL)</v>
      </c>
      <c r="I50" s="43" t="str">
        <f>IFERROR(__xludf.DUMMYFUNCTION("""COMPUTED_VALUE"""),"Turkey")</f>
        <v>Turkey</v>
      </c>
      <c r="J50" s="43" t="str">
        <f>IFERROR(__xludf.DUMMYFUNCTION("""COMPUTED_VALUE"""),"ISTANBUL")</f>
        <v>ISTANBUL</v>
      </c>
      <c r="K50" s="44" t="str">
        <f>IFERROR(__xludf.DUMMYFUNCTION("""COMPUTED_VALUE"""),"https://expa.aiesec.org/opportunities/1287856")</f>
        <v>https://expa.aiesec.org/opportunities/1287856</v>
      </c>
      <c r="L50" s="43" t="str">
        <f>IFERROR(__xludf.DUMMYFUNCTION("""COMPUTED_VALUE"""),"GTe")</f>
        <v>GTe</v>
      </c>
      <c r="M50" s="43" t="str">
        <f>IFERROR(__xludf.DUMMYFUNCTION("""COMPUTED_VALUE"""),"long")</f>
        <v>long</v>
      </c>
      <c r="N50" s="45">
        <f>IFERROR(__xludf.DUMMYFUNCTION("""COMPUTED_VALUE"""),44788.0)</f>
        <v>44788</v>
      </c>
      <c r="O50" s="45">
        <f>IFERROR(__xludf.DUMMYFUNCTION("""COMPUTED_VALUE"""),44802.0)</f>
        <v>44802</v>
      </c>
      <c r="P50" s="45">
        <f>IFERROR(__xludf.DUMMYFUNCTION("""COMPUTED_VALUE"""),45170.0)</f>
        <v>45170</v>
      </c>
      <c r="Q50" s="45"/>
      <c r="R50" s="45"/>
      <c r="S50" s="43"/>
      <c r="T50" s="43"/>
      <c r="U50" s="43" t="str">
        <f>IFERROR(__xludf.DUMMYFUNCTION("""COMPUTED_VALUE"""),"Preschool English Teacher in Istanbul")</f>
        <v>Preschool English Teacher in Istanbul</v>
      </c>
      <c r="V50" s="43" t="str">
        <f>IFERROR(__xludf.DUMMYFUNCTION("""COMPUTED_VALUE"""),"-")</f>
        <v>-</v>
      </c>
      <c r="W50" s="43" t="str">
        <f>IFERROR(__xludf.DUMMYFUNCTION("""COMPUTED_VALUE"""),"2018-01-31T11:12:17Z")</f>
        <v>2018-01-31T11:12:17Z</v>
      </c>
      <c r="X50" s="43"/>
      <c r="Y50" s="43"/>
      <c r="Z50" s="43"/>
    </row>
    <row r="51" hidden="1">
      <c r="A51" s="43" t="str">
        <f>IFERROR(__xludf.DUMMYFUNCTION("""COMPUTED_VALUE"""),"1766261_1278298")</f>
        <v>1766261_1278298</v>
      </c>
      <c r="B51" s="43" t="str">
        <f>IFERROR(__xludf.DUMMYFUNCTION("""COMPUTED_VALUE"""),"imen Hameidi")</f>
        <v>imen Hameidi</v>
      </c>
      <c r="C51" s="43" t="str">
        <f>IFERROR(__xludf.DUMMYFUNCTION("""COMPUTED_VALUE"""),"completed")</f>
        <v>completed</v>
      </c>
      <c r="D51" s="43" t="str">
        <f>IFERROR(__xludf.DUMMYFUNCTION("""COMPUTED_VALUE"""),"No")</f>
        <v>No</v>
      </c>
      <c r="E51" s="43" t="str">
        <f>IFERROR(__xludf.DUMMYFUNCTION("""COMPUTED_VALUE"""),"p_be04da9bf15dbc6088ac9e04c2103f7ceea3bc9c@inbound.aiesec.org")</f>
        <v>p_be04da9bf15dbc6088ac9e04c2103f7ceea3bc9c@inbound.aiesec.org</v>
      </c>
      <c r="F51" s="43">
        <f>IFERROR(__xludf.DUMMYFUNCTION("""COMPUTED_VALUE"""),6.72921508E8)</f>
        <v>672921508</v>
      </c>
      <c r="G51" s="43" t="str">
        <f>IFERROR(__xludf.DUMMYFUNCTION("""COMPUTED_VALUE"""),"Algeria")</f>
        <v>Algeria</v>
      </c>
      <c r="H51" s="43" t="str">
        <f>IFERROR(__xludf.DUMMYFUNCTION("""COMPUTED_VALUE"""),"Blida")</f>
        <v>Blida</v>
      </c>
      <c r="I51" s="43" t="str">
        <f>IFERROR(__xludf.DUMMYFUNCTION("""COMPUTED_VALUE"""),"Turkey")</f>
        <v>Turkey</v>
      </c>
      <c r="J51" s="43" t="str">
        <f>IFERROR(__xludf.DUMMYFUNCTION("""COMPUTED_VALUE"""),"KOCAELI")</f>
        <v>KOCAELI</v>
      </c>
      <c r="K51" s="44" t="str">
        <f>IFERROR(__xludf.DUMMYFUNCTION("""COMPUTED_VALUE"""),"https://expa.aiesec.org/opportunities/1278298")</f>
        <v>https://expa.aiesec.org/opportunities/1278298</v>
      </c>
      <c r="L51" s="43" t="str">
        <f>IFERROR(__xludf.DUMMYFUNCTION("""COMPUTED_VALUE"""),"GTe")</f>
        <v>GTe</v>
      </c>
      <c r="M51" s="43" t="str">
        <f>IFERROR(__xludf.DUMMYFUNCTION("""COMPUTED_VALUE"""),"long")</f>
        <v>long</v>
      </c>
      <c r="N51" s="45">
        <f>IFERROR(__xludf.DUMMYFUNCTION("""COMPUTED_VALUE"""),44788.0)</f>
        <v>44788</v>
      </c>
      <c r="O51" s="45">
        <f>IFERROR(__xludf.DUMMYFUNCTION("""COMPUTED_VALUE"""),44816.0)</f>
        <v>44816</v>
      </c>
      <c r="P51" s="45">
        <f>IFERROR(__xludf.DUMMYFUNCTION("""COMPUTED_VALUE"""),45181.0)</f>
        <v>45181</v>
      </c>
      <c r="Q51" s="45">
        <f>IFERROR(__xludf.DUMMYFUNCTION("""COMPUTED_VALUE"""),44820.0)</f>
        <v>44820</v>
      </c>
      <c r="R51" s="45">
        <f>IFERROR(__xludf.DUMMYFUNCTION("""COMPUTED_VALUE"""),45181.0)</f>
        <v>45181</v>
      </c>
      <c r="S51" s="43"/>
      <c r="T51" s="43"/>
      <c r="U51" s="43" t="str">
        <f>IFERROR(__xludf.DUMMYFUNCTION("""COMPUTED_VALUE"""),"Gebze İngiliz Kültür ")</f>
        <v>Gebze İngiliz Kültür </v>
      </c>
      <c r="V51" s="43" t="str">
        <f>IFERROR(__xludf.DUMMYFUNCTION("""COMPUTED_VALUE"""),"-")</f>
        <v>-</v>
      </c>
      <c r="W51" s="43" t="str">
        <f>IFERROR(__xludf.DUMMYFUNCTION("""COMPUTED_VALUE"""),"2017-09-30T17:25:01Z")</f>
        <v>2017-09-30T17:25:01Z</v>
      </c>
      <c r="X51" s="43"/>
      <c r="Y51" s="43"/>
      <c r="Z51" s="43"/>
    </row>
    <row r="52" hidden="1">
      <c r="A52" s="43" t="str">
        <f>IFERROR(__xludf.DUMMYFUNCTION("""COMPUTED_VALUE"""),"5090285_1285209")</f>
        <v>5090285_1285209</v>
      </c>
      <c r="B52" s="43" t="str">
        <f>IFERROR(__xludf.DUMMYFUNCTION("""COMPUTED_VALUE"""),"Natasha Hameed")</f>
        <v>Natasha Hameed</v>
      </c>
      <c r="C52" s="43" t="str">
        <f>IFERROR(__xludf.DUMMYFUNCTION("""COMPUTED_VALUE"""),"completed")</f>
        <v>completed</v>
      </c>
      <c r="D52" s="43" t="str">
        <f>IFERROR(__xludf.DUMMYFUNCTION("""COMPUTED_VALUE"""),"No")</f>
        <v>No</v>
      </c>
      <c r="E52" s="43" t="str">
        <f>IFERROR(__xludf.DUMMYFUNCTION("""COMPUTED_VALUE"""),"p_1c9696c40ca4fbc5acfdff4d5627a760a1c5592d@inbound.aiesec.org")</f>
        <v>p_1c9696c40ca4fbc5acfdff4d5627a760a1c5592d@inbound.aiesec.org</v>
      </c>
      <c r="F52" s="43">
        <f>IFERROR(__xludf.DUMMYFUNCTION("""COMPUTED_VALUE"""),7.55358536E8)</f>
        <v>755358536</v>
      </c>
      <c r="G52" s="43" t="str">
        <f>IFERROR(__xludf.DUMMYFUNCTION("""COMPUTED_VALUE"""),"Sri Lanka")</f>
        <v>Sri Lanka</v>
      </c>
      <c r="H52" s="43" t="str">
        <f>IFERROR(__xludf.DUMMYFUNCTION("""COMPUTED_VALUE"""),"COLOMBO SOUTH")</f>
        <v>COLOMBO SOUTH</v>
      </c>
      <c r="I52" s="43" t="str">
        <f>IFERROR(__xludf.DUMMYFUNCTION("""COMPUTED_VALUE"""),"Turkey")</f>
        <v>Turkey</v>
      </c>
      <c r="J52" s="43" t="str">
        <f>IFERROR(__xludf.DUMMYFUNCTION("""COMPUTED_VALUE"""),"ESKISEHIR")</f>
        <v>ESKISEHIR</v>
      </c>
      <c r="K52" s="44" t="str">
        <f>IFERROR(__xludf.DUMMYFUNCTION("""COMPUTED_VALUE"""),"https://expa.aiesec.org/opportunities/1285209")</f>
        <v>https://expa.aiesec.org/opportunities/1285209</v>
      </c>
      <c r="L52" s="43" t="str">
        <f>IFERROR(__xludf.DUMMYFUNCTION("""COMPUTED_VALUE"""),"GTe")</f>
        <v>GTe</v>
      </c>
      <c r="M52" s="43" t="str">
        <f>IFERROR(__xludf.DUMMYFUNCTION("""COMPUTED_VALUE"""),"long")</f>
        <v>long</v>
      </c>
      <c r="N52" s="45">
        <f>IFERROR(__xludf.DUMMYFUNCTION("""COMPUTED_VALUE"""),44788.0)</f>
        <v>44788</v>
      </c>
      <c r="O52" s="45">
        <f>IFERROR(__xludf.DUMMYFUNCTION("""COMPUTED_VALUE"""),44802.0)</f>
        <v>44802</v>
      </c>
      <c r="P52" s="45">
        <f>IFERROR(__xludf.DUMMYFUNCTION("""COMPUTED_VALUE"""),45166.0)</f>
        <v>45166</v>
      </c>
      <c r="Q52" s="45">
        <f>IFERROR(__xludf.DUMMYFUNCTION("""COMPUTED_VALUE"""),44864.0)</f>
        <v>44864</v>
      </c>
      <c r="R52" s="45">
        <f>IFERROR(__xludf.DUMMYFUNCTION("""COMPUTED_VALUE"""),45190.0)</f>
        <v>45190</v>
      </c>
      <c r="S52" s="43"/>
      <c r="T52" s="43"/>
      <c r="U52" s="43" t="str">
        <f>IFERROR(__xludf.DUMMYFUNCTION("""COMPUTED_VALUE"""),"English Teacher")</f>
        <v>English Teacher</v>
      </c>
      <c r="V52" s="43" t="str">
        <f>IFERROR(__xludf.DUMMYFUNCTION("""COMPUTED_VALUE"""),"Esol College")</f>
        <v>Esol College</v>
      </c>
      <c r="W52" s="43" t="str">
        <f>IFERROR(__xludf.DUMMYFUNCTION("""COMPUTED_VALUE"""),"2022-08-06T12:27:51Z")</f>
        <v>2022-08-06T12:27:51Z</v>
      </c>
      <c r="X52" s="43"/>
      <c r="Y52" s="43"/>
      <c r="Z52" s="43"/>
    </row>
    <row r="53" hidden="1">
      <c r="A53" s="43" t="str">
        <f>IFERROR(__xludf.DUMMYFUNCTION("""COMPUTED_VALUE"""),"5093375_1278010")</f>
        <v>5093375_1278010</v>
      </c>
      <c r="B53" s="43" t="str">
        <f>IFERROR(__xludf.DUMMYFUNCTION("""COMPUTED_VALUE"""),"deleted 5093375")</f>
        <v>deleted 5093375</v>
      </c>
      <c r="C53" s="43" t="str">
        <f>IFERROR(__xludf.DUMMYFUNCTION("""COMPUTED_VALUE"""),"finished")</f>
        <v>finished</v>
      </c>
      <c r="D53" s="43" t="str">
        <f>IFERROR(__xludf.DUMMYFUNCTION("""COMPUTED_VALUE"""),"No")</f>
        <v>No</v>
      </c>
      <c r="E53" s="43" t="str">
        <f>IFERROR(__xludf.DUMMYFUNCTION("""COMPUTED_VALUE"""),"p_8d7c0f404a61475252cecc1f02efb74ad8f8e074@inbound.aiesec.org")</f>
        <v>p_8d7c0f404a61475252cecc1f02efb74ad8f8e074@inbound.aiesec.org</v>
      </c>
      <c r="F53" s="43"/>
      <c r="G53" s="43" t="str">
        <f>IFERROR(__xludf.DUMMYFUNCTION("""COMPUTED_VALUE"""),"Morocco")</f>
        <v>Morocco</v>
      </c>
      <c r="H53" s="43" t="str">
        <f>IFERROR(__xludf.DUMMYFUNCTION("""COMPUTED_VALUE"""),"Fez")</f>
        <v>Fez</v>
      </c>
      <c r="I53" s="43" t="str">
        <f>IFERROR(__xludf.DUMMYFUNCTION("""COMPUTED_VALUE"""),"Turkey")</f>
        <v>Turkey</v>
      </c>
      <c r="J53" s="43" t="str">
        <f>IFERROR(__xludf.DUMMYFUNCTION("""COMPUTED_VALUE"""),"ISTANBUL")</f>
        <v>ISTANBUL</v>
      </c>
      <c r="K53" s="44" t="str">
        <f>IFERROR(__xludf.DUMMYFUNCTION("""COMPUTED_VALUE"""),"https://expa.aiesec.org/opportunities/1278010")</f>
        <v>https://expa.aiesec.org/opportunities/1278010</v>
      </c>
      <c r="L53" s="43" t="str">
        <f>IFERROR(__xludf.DUMMYFUNCTION("""COMPUTED_VALUE"""),"GTe")</f>
        <v>GTe</v>
      </c>
      <c r="M53" s="43" t="str">
        <f>IFERROR(__xludf.DUMMYFUNCTION("""COMPUTED_VALUE"""),"long")</f>
        <v>long</v>
      </c>
      <c r="N53" s="45">
        <f>IFERROR(__xludf.DUMMYFUNCTION("""COMPUTED_VALUE"""),44789.0)</f>
        <v>44789</v>
      </c>
      <c r="O53" s="45">
        <f>IFERROR(__xludf.DUMMYFUNCTION("""COMPUTED_VALUE"""),44809.0)</f>
        <v>44809</v>
      </c>
      <c r="P53" s="45">
        <f>IFERROR(__xludf.DUMMYFUNCTION("""COMPUTED_VALUE"""),45170.0)</f>
        <v>45170</v>
      </c>
      <c r="Q53" s="45">
        <f>IFERROR(__xludf.DUMMYFUNCTION("""COMPUTED_VALUE"""),44811.0)</f>
        <v>44811</v>
      </c>
      <c r="R53" s="45">
        <f>IFERROR(__xludf.DUMMYFUNCTION("""COMPUTED_VALUE"""),45100.0)</f>
        <v>45100</v>
      </c>
      <c r="S53" s="43"/>
      <c r="T53" s="43"/>
      <c r="U53" s="43" t="str">
        <f>IFERROR(__xludf.DUMMYFUNCTION("""COMPUTED_VALUE"""),"English Teacher in Istanbul")</f>
        <v>English Teacher in Istanbul</v>
      </c>
      <c r="V53" s="43" t="str">
        <f>IFERROR(__xludf.DUMMYFUNCTION("""COMPUTED_VALUE"""),"-")</f>
        <v>-</v>
      </c>
      <c r="W53" s="43" t="str">
        <f>IFERROR(__xludf.DUMMYFUNCTION("""COMPUTED_VALUE"""),"2022-08-15T00:06:17Z")</f>
        <v>2022-08-15T00:06:17Z</v>
      </c>
      <c r="X53" s="43"/>
      <c r="Y53" s="43"/>
      <c r="Z53" s="43"/>
    </row>
    <row r="54" hidden="1">
      <c r="A54" s="43" t="str">
        <f>IFERROR(__xludf.DUMMYFUNCTION("""COMPUTED_VALUE"""),"4954843_1258621")</f>
        <v>4954843_1258621</v>
      </c>
      <c r="B54" s="43" t="str">
        <f>IFERROR(__xludf.DUMMYFUNCTION("""COMPUTED_VALUE"""),"Anum Khan")</f>
        <v>Anum Khan</v>
      </c>
      <c r="C54" s="43" t="str">
        <f>IFERROR(__xludf.DUMMYFUNCTION("""COMPUTED_VALUE"""),"realized")</f>
        <v>realized</v>
      </c>
      <c r="D54" s="43" t="str">
        <f>IFERROR(__xludf.DUMMYFUNCTION("""COMPUTED_VALUE"""),"No")</f>
        <v>No</v>
      </c>
      <c r="E54" s="43" t="str">
        <f>IFERROR(__xludf.DUMMYFUNCTION("""COMPUTED_VALUE"""),"p_cdacecf8094e941c0e5a8bd0ae9eb6d135e335d8@inbound.aiesec.org")</f>
        <v>p_cdacecf8094e941c0e5a8bd0ae9eb6d135e335d8@inbound.aiesec.org</v>
      </c>
      <c r="F54" s="43">
        <f>IFERROR(__xludf.DUMMYFUNCTION("""COMPUTED_VALUE"""),3.175253807E9)</f>
        <v>3175253807</v>
      </c>
      <c r="G54" s="43" t="str">
        <f>IFERROR(__xludf.DUMMYFUNCTION("""COMPUTED_VALUE"""),"Pakistan")</f>
        <v>Pakistan</v>
      </c>
      <c r="H54" s="43" t="str">
        <f>IFERROR(__xludf.DUMMYFUNCTION("""COMPUTED_VALUE"""),"Islamabad")</f>
        <v>Islamabad</v>
      </c>
      <c r="I54" s="43" t="str">
        <f>IFERROR(__xludf.DUMMYFUNCTION("""COMPUTED_VALUE"""),"Turkey")</f>
        <v>Turkey</v>
      </c>
      <c r="J54" s="43" t="str">
        <f>IFERROR(__xludf.DUMMYFUNCTION("""COMPUTED_VALUE"""),"ISTANBUL WEST")</f>
        <v>ISTANBUL WEST</v>
      </c>
      <c r="K54" s="44" t="str">
        <f>IFERROR(__xludf.DUMMYFUNCTION("""COMPUTED_VALUE"""),"https://expa.aiesec.org/opportunities/1258621")</f>
        <v>https://expa.aiesec.org/opportunities/1258621</v>
      </c>
      <c r="L54" s="43" t="str">
        <f>IFERROR(__xludf.DUMMYFUNCTION("""COMPUTED_VALUE"""),"GTe")</f>
        <v>GTe</v>
      </c>
      <c r="M54" s="43" t="str">
        <f>IFERROR(__xludf.DUMMYFUNCTION("""COMPUTED_VALUE"""),"long")</f>
        <v>long</v>
      </c>
      <c r="N54" s="45">
        <f>IFERROR(__xludf.DUMMYFUNCTION("""COMPUTED_VALUE"""),44789.0)</f>
        <v>44789</v>
      </c>
      <c r="O54" s="45">
        <f>IFERROR(__xludf.DUMMYFUNCTION("""COMPUTED_VALUE"""),44805.0)</f>
        <v>44805</v>
      </c>
      <c r="P54" s="45">
        <f>IFERROR(__xludf.DUMMYFUNCTION("""COMPUTED_VALUE"""),45350.0)</f>
        <v>45350</v>
      </c>
      <c r="Q54" s="45">
        <f>IFERROR(__xludf.DUMMYFUNCTION("""COMPUTED_VALUE"""),44829.0)</f>
        <v>44829</v>
      </c>
      <c r="R54" s="45">
        <f>IFERROR(__xludf.DUMMYFUNCTION("""COMPUTED_VALUE"""),45366.0)</f>
        <v>45366</v>
      </c>
      <c r="S54" s="43"/>
      <c r="T54" s="43"/>
      <c r="U54" s="43" t="str">
        <f>IFERROR(__xludf.DUMMYFUNCTION("""COMPUTED_VALUE"""),"English Teacher in Tekirdağ")</f>
        <v>English Teacher in Tekirdağ</v>
      </c>
      <c r="V54" s="43" t="str">
        <f>IFERROR(__xludf.DUMMYFUNCTION("""COMPUTED_VALUE"""),"Islamabad - Other")</f>
        <v>Islamabad - Other</v>
      </c>
      <c r="W54" s="43" t="str">
        <f>IFERROR(__xludf.DUMMYFUNCTION("""COMPUTED_VALUE"""),"2022-02-28T17:42:48Z")</f>
        <v>2022-02-28T17:42:48Z</v>
      </c>
      <c r="X54" s="43"/>
      <c r="Y54" s="43"/>
      <c r="Z54" s="43"/>
    </row>
    <row r="55" hidden="1">
      <c r="A55" s="43" t="str">
        <f>IFERROR(__xludf.DUMMYFUNCTION("""COMPUTED_VALUE"""),"4871313_1287013")</f>
        <v>4871313_1287013</v>
      </c>
      <c r="B55" s="43" t="str">
        <f>IFERROR(__xludf.DUMMYFUNCTION("""COMPUTED_VALUE"""),"Hadir Choukani")</f>
        <v>Hadir Choukani</v>
      </c>
      <c r="C55" s="43" t="str">
        <f>IFERROR(__xludf.DUMMYFUNCTION("""COMPUTED_VALUE"""),"finished")</f>
        <v>finished</v>
      </c>
      <c r="D55" s="43" t="str">
        <f>IFERROR(__xludf.DUMMYFUNCTION("""COMPUTED_VALUE"""),"No")</f>
        <v>No</v>
      </c>
      <c r="E55" s="43" t="str">
        <f>IFERROR(__xludf.DUMMYFUNCTION("""COMPUTED_VALUE"""),"p_66c2c2c331b296f5f6d00a2ee090384d9f31591e@inbound.aiesec.org")</f>
        <v>p_66c2c2c331b296f5f6d00a2ee090384d9f31591e@inbound.aiesec.org</v>
      </c>
      <c r="F55" s="43">
        <f>IFERROR(__xludf.DUMMYFUNCTION("""COMPUTED_VALUE"""),5.0974671E7)</f>
        <v>50974671</v>
      </c>
      <c r="G55" s="43" t="str">
        <f>IFERROR(__xludf.DUMMYFUNCTION("""COMPUTED_VALUE"""),"Tunisia")</f>
        <v>Tunisia</v>
      </c>
      <c r="H55" s="43" t="str">
        <f>IFERROR(__xludf.DUMMYFUNCTION("""COMPUTED_VALUE"""),"UNIVERSITY")</f>
        <v>UNIVERSITY</v>
      </c>
      <c r="I55" s="43" t="str">
        <f>IFERROR(__xludf.DUMMYFUNCTION("""COMPUTED_VALUE"""),"Turkey")</f>
        <v>Turkey</v>
      </c>
      <c r="J55" s="43" t="str">
        <f>IFERROR(__xludf.DUMMYFUNCTION("""COMPUTED_VALUE"""),"BURSA")</f>
        <v>BURSA</v>
      </c>
      <c r="K55" s="44" t="str">
        <f>IFERROR(__xludf.DUMMYFUNCTION("""COMPUTED_VALUE"""),"https://expa.aiesec.org/opportunities/1287013")</f>
        <v>https://expa.aiesec.org/opportunities/1287013</v>
      </c>
      <c r="L55" s="43" t="str">
        <f>IFERROR(__xludf.DUMMYFUNCTION("""COMPUTED_VALUE"""),"GTe")</f>
        <v>GTe</v>
      </c>
      <c r="M55" s="43" t="str">
        <f>IFERROR(__xludf.DUMMYFUNCTION("""COMPUTED_VALUE"""),"long")</f>
        <v>long</v>
      </c>
      <c r="N55" s="45">
        <f>IFERROR(__xludf.DUMMYFUNCTION("""COMPUTED_VALUE"""),44792.0)</f>
        <v>44792</v>
      </c>
      <c r="O55" s="45">
        <f>IFERROR(__xludf.DUMMYFUNCTION("""COMPUTED_VALUE"""),44830.0)</f>
        <v>44830</v>
      </c>
      <c r="P55" s="45">
        <f>IFERROR(__xludf.DUMMYFUNCTION("""COMPUTED_VALUE"""),45195.0)</f>
        <v>45195</v>
      </c>
      <c r="Q55" s="45">
        <f>IFERROR(__xludf.DUMMYFUNCTION("""COMPUTED_VALUE"""),44847.0)</f>
        <v>44847</v>
      </c>
      <c r="R55" s="45">
        <f>IFERROR(__xludf.DUMMYFUNCTION("""COMPUTED_VALUE"""),45212.0)</f>
        <v>45212</v>
      </c>
      <c r="S55" s="43"/>
      <c r="T55" s="43"/>
      <c r="U55" s="43" t="str">
        <f>IFERROR(__xludf.DUMMYFUNCTION("""COMPUTED_VALUE"""),"English Teaching")</f>
        <v>English Teaching</v>
      </c>
      <c r="V55" s="43" t="str">
        <f>IFERROR(__xludf.DUMMYFUNCTION("""COMPUTED_VALUE"""),"FSEGT")</f>
        <v>FSEGT</v>
      </c>
      <c r="W55" s="43" t="str">
        <f>IFERROR(__xludf.DUMMYFUNCTION("""COMPUTED_VALUE"""),"2022-01-07T19:49:33Z")</f>
        <v>2022-01-07T19:49:33Z</v>
      </c>
      <c r="X55" s="43"/>
      <c r="Y55" s="43"/>
      <c r="Z55" s="43"/>
    </row>
    <row r="56" hidden="1">
      <c r="A56" s="43" t="str">
        <f>IFERROR(__xludf.DUMMYFUNCTION("""COMPUTED_VALUE"""),"5080365_1288285")</f>
        <v>5080365_1288285</v>
      </c>
      <c r="B56" s="43" t="str">
        <f>IFERROR(__xludf.DUMMYFUNCTION("""COMPUTED_VALUE"""),"okba hidaya")</f>
        <v>okba hidaya</v>
      </c>
      <c r="C56" s="43" t="str">
        <f>IFERROR(__xludf.DUMMYFUNCTION("""COMPUTED_VALUE"""),"finished")</f>
        <v>finished</v>
      </c>
      <c r="D56" s="43" t="str">
        <f>IFERROR(__xludf.DUMMYFUNCTION("""COMPUTED_VALUE"""),"No")</f>
        <v>No</v>
      </c>
      <c r="E56" s="43" t="str">
        <f>IFERROR(__xludf.DUMMYFUNCTION("""COMPUTED_VALUE"""),"p_e81e3dedad16c76130509e6da429196d61fa1f3c@inbound.aiesec.org")</f>
        <v>p_e81e3dedad16c76130509e6da429196d61fa1f3c@inbound.aiesec.org</v>
      </c>
      <c r="F56" s="43">
        <f>IFERROR(__xludf.DUMMYFUNCTION("""COMPUTED_VALUE"""),5.49000274E8)</f>
        <v>549000274</v>
      </c>
      <c r="G56" s="43" t="str">
        <f>IFERROR(__xludf.DUMMYFUNCTION("""COMPUTED_VALUE"""),"Algeria")</f>
        <v>Algeria</v>
      </c>
      <c r="H56" s="43" t="str">
        <f>IFERROR(__xludf.DUMMYFUNCTION("""COMPUTED_VALUE"""),"Constantine")</f>
        <v>Constantine</v>
      </c>
      <c r="I56" s="43" t="str">
        <f>IFERROR(__xludf.DUMMYFUNCTION("""COMPUTED_VALUE"""),"Turkey")</f>
        <v>Turkey</v>
      </c>
      <c r="J56" s="43" t="str">
        <f>IFERROR(__xludf.DUMMYFUNCTION("""COMPUTED_VALUE"""),"TRABZON")</f>
        <v>TRABZON</v>
      </c>
      <c r="K56" s="44" t="str">
        <f>IFERROR(__xludf.DUMMYFUNCTION("""COMPUTED_VALUE"""),"https://expa.aiesec.org/opportunities/1288285")</f>
        <v>https://expa.aiesec.org/opportunities/1288285</v>
      </c>
      <c r="L56" s="43" t="str">
        <f>IFERROR(__xludf.DUMMYFUNCTION("""COMPUTED_VALUE"""),"GTe")</f>
        <v>GTe</v>
      </c>
      <c r="M56" s="43" t="str">
        <f>IFERROR(__xludf.DUMMYFUNCTION("""COMPUTED_VALUE"""),"long")</f>
        <v>long</v>
      </c>
      <c r="N56" s="45">
        <f>IFERROR(__xludf.DUMMYFUNCTION("""COMPUTED_VALUE"""),44794.0)</f>
        <v>44794</v>
      </c>
      <c r="O56" s="45">
        <f>IFERROR(__xludf.DUMMYFUNCTION("""COMPUTED_VALUE"""),44805.0)</f>
        <v>44805</v>
      </c>
      <c r="P56" s="45">
        <f>IFERROR(__xludf.DUMMYFUNCTION("""COMPUTED_VALUE"""),45168.0)</f>
        <v>45168</v>
      </c>
      <c r="Q56" s="45">
        <f>IFERROR(__xludf.DUMMYFUNCTION("""COMPUTED_VALUE"""),44840.0)</f>
        <v>44840</v>
      </c>
      <c r="R56" s="45">
        <f>IFERROR(__xludf.DUMMYFUNCTION("""COMPUTED_VALUE"""),45198.0)</f>
        <v>45198</v>
      </c>
      <c r="S56" s="43"/>
      <c r="T56" s="43"/>
      <c r="U56" s="43" t="str">
        <f>IFERROR(__xludf.DUMMYFUNCTION("""COMPUTED_VALUE"""),"TAD Language Schools")</f>
        <v>TAD Language Schools</v>
      </c>
      <c r="V56" s="43" t="str">
        <f>IFERROR(__xludf.DUMMYFUNCTION("""COMPUTED_VALUE"""),"AIESEC in Constantine")</f>
        <v>AIESEC in Constantine</v>
      </c>
      <c r="W56" s="43" t="str">
        <f>IFERROR(__xludf.DUMMYFUNCTION("""COMPUTED_VALUE"""),"2022-07-06T18:32:39Z")</f>
        <v>2022-07-06T18:32:39Z</v>
      </c>
      <c r="X56" s="43"/>
      <c r="Y56" s="43"/>
      <c r="Z56" s="43"/>
    </row>
    <row r="57" hidden="1">
      <c r="A57" s="43" t="str">
        <f>IFERROR(__xludf.DUMMYFUNCTION("""COMPUTED_VALUE"""),"5071944_1279619")</f>
        <v>5071944_1279619</v>
      </c>
      <c r="B57" s="43" t="str">
        <f>IFERROR(__xludf.DUMMYFUNCTION("""COMPUTED_VALUE"""),"Cristina Pérez García")</f>
        <v>Cristina Pérez García</v>
      </c>
      <c r="C57" s="43" t="str">
        <f>IFERROR(__xludf.DUMMYFUNCTION("""COMPUTED_VALUE"""),"finished")</f>
        <v>finished</v>
      </c>
      <c r="D57" s="43" t="str">
        <f>IFERROR(__xludf.DUMMYFUNCTION("""COMPUTED_VALUE"""),"No")</f>
        <v>No</v>
      </c>
      <c r="E57" s="43" t="str">
        <f>IFERROR(__xludf.DUMMYFUNCTION("""COMPUTED_VALUE"""),"p_99c7b456213bdb404512f7f27ab53e80fcb14141@inbound.aiesec.org")</f>
        <v>p_99c7b456213bdb404512f7f27ab53e80fcb14141@inbound.aiesec.org</v>
      </c>
      <c r="F57" s="43"/>
      <c r="G57" s="43" t="str">
        <f>IFERROR(__xludf.DUMMYFUNCTION("""COMPUTED_VALUE"""),"Spain")</f>
        <v>Spain</v>
      </c>
      <c r="H57" s="43" t="str">
        <f>IFERROR(__xludf.DUMMYFUNCTION("""COMPUTED_VALUE"""),"Málaga")</f>
        <v>Málaga</v>
      </c>
      <c r="I57" s="43" t="str">
        <f>IFERROR(__xludf.DUMMYFUNCTION("""COMPUTED_VALUE"""),"Turkey")</f>
        <v>Turkey</v>
      </c>
      <c r="J57" s="43" t="str">
        <f>IFERROR(__xludf.DUMMYFUNCTION("""COMPUTED_VALUE"""),"ISPARTA")</f>
        <v>ISPARTA</v>
      </c>
      <c r="K57" s="44" t="str">
        <f>IFERROR(__xludf.DUMMYFUNCTION("""COMPUTED_VALUE"""),"https://expa.aiesec.org/opportunities/1279619")</f>
        <v>https://expa.aiesec.org/opportunities/1279619</v>
      </c>
      <c r="L57" s="43" t="str">
        <f>IFERROR(__xludf.DUMMYFUNCTION("""COMPUTED_VALUE"""),"GTe")</f>
        <v>GTe</v>
      </c>
      <c r="M57" s="43" t="str">
        <f>IFERROR(__xludf.DUMMYFUNCTION("""COMPUTED_VALUE"""),"medium")</f>
        <v>medium</v>
      </c>
      <c r="N57" s="45">
        <f>IFERROR(__xludf.DUMMYFUNCTION("""COMPUTED_VALUE"""),44794.0)</f>
        <v>44794</v>
      </c>
      <c r="O57" s="45">
        <f>IFERROR(__xludf.DUMMYFUNCTION("""COMPUTED_VALUE"""),44809.0)</f>
        <v>44809</v>
      </c>
      <c r="P57" s="45">
        <f>IFERROR(__xludf.DUMMYFUNCTION("""COMPUTED_VALUE"""),44989.0)</f>
        <v>44989</v>
      </c>
      <c r="Q57" s="45">
        <f>IFERROR(__xludf.DUMMYFUNCTION("""COMPUTED_VALUE"""),44833.0)</f>
        <v>44833</v>
      </c>
      <c r="R57" s="45">
        <f>IFERROR(__xludf.DUMMYFUNCTION("""COMPUTED_VALUE"""),45016.0)</f>
        <v>45016</v>
      </c>
      <c r="S57" s="43"/>
      <c r="T57" s="43"/>
      <c r="U57" s="43" t="str">
        <f>IFERROR(__xludf.DUMMYFUNCTION("""COMPUTED_VALUE""")," TEACHING SPANISH")</f>
        <v> TEACHING SPANISH</v>
      </c>
      <c r="V57" s="43" t="str">
        <f>IFERROR(__xludf.DUMMYFUNCTION("""COMPUTED_VALUE"""),"-")</f>
        <v>-</v>
      </c>
      <c r="W57" s="43" t="str">
        <f>IFERROR(__xludf.DUMMYFUNCTION("""COMPUTED_VALUE"""),"2022-06-13T11:47:25Z")</f>
        <v>2022-06-13T11:47:25Z</v>
      </c>
      <c r="X57" s="43"/>
      <c r="Y57" s="43"/>
      <c r="Z57" s="43"/>
    </row>
    <row r="58" hidden="1">
      <c r="A58" s="43" t="str">
        <f>IFERROR(__xludf.DUMMYFUNCTION("""COMPUTED_VALUE"""),"5044247_1285077")</f>
        <v>5044247_1285077</v>
      </c>
      <c r="B58" s="43" t="str">
        <f>IFERROR(__xludf.DUMMYFUNCTION("""COMPUTED_VALUE"""),"Ana Beatriz Luz")</f>
        <v>Ana Beatriz Luz</v>
      </c>
      <c r="C58" s="43" t="str">
        <f>IFERROR(__xludf.DUMMYFUNCTION("""COMPUTED_VALUE"""),"realization_broken")</f>
        <v>realization_broken</v>
      </c>
      <c r="D58" s="43" t="str">
        <f>IFERROR(__xludf.DUMMYFUNCTION("""COMPUTED_VALUE"""),"No")</f>
        <v>No</v>
      </c>
      <c r="E58" s="43" t="str">
        <f>IFERROR(__xludf.DUMMYFUNCTION("""COMPUTED_VALUE"""),"p_c3f59636189e6db5fd0cf137155fe1bb27391caa@inbound.aiesec.org")</f>
        <v>p_c3f59636189e6db5fd0cf137155fe1bb27391caa@inbound.aiesec.org</v>
      </c>
      <c r="F58" s="43">
        <f>IFERROR(__xludf.DUMMYFUNCTION("""COMPUTED_VALUE"""),3.198520093E9)</f>
        <v>3198520093</v>
      </c>
      <c r="G58" s="43" t="str">
        <f>IFERROR(__xludf.DUMMYFUNCTION("""COMPUTED_VALUE"""),"Brazil")</f>
        <v>Brazil</v>
      </c>
      <c r="H58" s="43" t="str">
        <f>IFERROR(__xludf.DUMMYFUNCTION("""COMPUTED_VALUE"""),"BELO HORIZONTE ")</f>
        <v>BELO HORIZONTE </v>
      </c>
      <c r="I58" s="43" t="str">
        <f>IFERROR(__xludf.DUMMYFUNCTION("""COMPUTED_VALUE"""),"Turkey")</f>
        <v>Turkey</v>
      </c>
      <c r="J58" s="43" t="str">
        <f>IFERROR(__xludf.DUMMYFUNCTION("""COMPUTED_VALUE"""),"BURSA")</f>
        <v>BURSA</v>
      </c>
      <c r="K58" s="44" t="str">
        <f>IFERROR(__xludf.DUMMYFUNCTION("""COMPUTED_VALUE"""),"https://expa.aiesec.org/opportunities/1285077")</f>
        <v>https://expa.aiesec.org/opportunities/1285077</v>
      </c>
      <c r="L58" s="43" t="str">
        <f>IFERROR(__xludf.DUMMYFUNCTION("""COMPUTED_VALUE"""),"GTe")</f>
        <v>GTe</v>
      </c>
      <c r="M58" s="43" t="str">
        <f>IFERROR(__xludf.DUMMYFUNCTION("""COMPUTED_VALUE"""),"long")</f>
        <v>long</v>
      </c>
      <c r="N58" s="45">
        <f>IFERROR(__xludf.DUMMYFUNCTION("""COMPUTED_VALUE"""),44796.0)</f>
        <v>44796</v>
      </c>
      <c r="O58" s="45">
        <f>IFERROR(__xludf.DUMMYFUNCTION("""COMPUTED_VALUE"""),44821.0)</f>
        <v>44821</v>
      </c>
      <c r="P58" s="45">
        <f>IFERROR(__xludf.DUMMYFUNCTION("""COMPUTED_VALUE"""),45186.0)</f>
        <v>45186</v>
      </c>
      <c r="Q58" s="45"/>
      <c r="R58" s="45"/>
      <c r="S58" s="43"/>
      <c r="T58" s="43"/>
      <c r="U58" s="43" t="str">
        <f>IFERROR(__xludf.DUMMYFUNCTION("""COMPUTED_VALUE"""),"English Teaching")</f>
        <v>English Teaching</v>
      </c>
      <c r="V58" s="43" t="str">
        <f>IFERROR(__xludf.DUMMYFUNCTION("""COMPUTED_VALUE"""),"Belo Horizonte")</f>
        <v>Belo Horizonte</v>
      </c>
      <c r="W58" s="43" t="str">
        <f>IFERROR(__xludf.DUMMYFUNCTION("""COMPUTED_VALUE"""),"2022-04-23T00:14:17Z")</f>
        <v>2022-04-23T00:14:17Z</v>
      </c>
      <c r="X58" s="43"/>
      <c r="Y58" s="43"/>
      <c r="Z58" s="43"/>
    </row>
    <row r="59" hidden="1">
      <c r="A59" s="43" t="str">
        <f>IFERROR(__xludf.DUMMYFUNCTION("""COMPUTED_VALUE"""),"5094891_1278449")</f>
        <v>5094891_1278449</v>
      </c>
      <c r="B59" s="43" t="str">
        <f>IFERROR(__xludf.DUMMYFUNCTION("""COMPUTED_VALUE"""),"Kanani Mohamed Belkouider")</f>
        <v>Kanani Mohamed Belkouider</v>
      </c>
      <c r="C59" s="43" t="str">
        <f>IFERROR(__xludf.DUMMYFUNCTION("""COMPUTED_VALUE"""),"realization_broken")</f>
        <v>realization_broken</v>
      </c>
      <c r="D59" s="43" t="str">
        <f>IFERROR(__xludf.DUMMYFUNCTION("""COMPUTED_VALUE"""),"No")</f>
        <v>No</v>
      </c>
      <c r="E59" s="43" t="str">
        <f>IFERROR(__xludf.DUMMYFUNCTION("""COMPUTED_VALUE"""),"p_5413bcebc96d815e4c7c53d92921fd96e4674d69@inbound.aiesec.org")</f>
        <v>p_5413bcebc96d815e4c7c53d92921fd96e4674d69@inbound.aiesec.org</v>
      </c>
      <c r="F59" s="43">
        <f>IFERROR(__xludf.DUMMYFUNCTION("""COMPUTED_VALUE"""),5.010727756E9)</f>
        <v>5010727756</v>
      </c>
      <c r="G59" s="43" t="str">
        <f>IFERROR(__xludf.DUMMYFUNCTION("""COMPUTED_VALUE"""),"Algeria")</f>
        <v>Algeria</v>
      </c>
      <c r="H59" s="43" t="str">
        <f>IFERROR(__xludf.DUMMYFUNCTION("""COMPUTED_VALUE"""),"Oran")</f>
        <v>Oran</v>
      </c>
      <c r="I59" s="43" t="str">
        <f>IFERROR(__xludf.DUMMYFUNCTION("""COMPUTED_VALUE"""),"Turkey")</f>
        <v>Turkey</v>
      </c>
      <c r="J59" s="43" t="str">
        <f>IFERROR(__xludf.DUMMYFUNCTION("""COMPUTED_VALUE"""),"KOCAELI")</f>
        <v>KOCAELI</v>
      </c>
      <c r="K59" s="44" t="str">
        <f>IFERROR(__xludf.DUMMYFUNCTION("""COMPUTED_VALUE"""),"https://expa.aiesec.org/opportunities/1278449")</f>
        <v>https://expa.aiesec.org/opportunities/1278449</v>
      </c>
      <c r="L59" s="43" t="str">
        <f>IFERROR(__xludf.DUMMYFUNCTION("""COMPUTED_VALUE"""),"GTe")</f>
        <v>GTe</v>
      </c>
      <c r="M59" s="43" t="str">
        <f>IFERROR(__xludf.DUMMYFUNCTION("""COMPUTED_VALUE"""),"long")</f>
        <v>long</v>
      </c>
      <c r="N59" s="45">
        <f>IFERROR(__xludf.DUMMYFUNCTION("""COMPUTED_VALUE"""),44798.0)</f>
        <v>44798</v>
      </c>
      <c r="O59" s="45">
        <f>IFERROR(__xludf.DUMMYFUNCTION("""COMPUTED_VALUE"""),44816.0)</f>
        <v>44816</v>
      </c>
      <c r="P59" s="45">
        <f>IFERROR(__xludf.DUMMYFUNCTION("""COMPUTED_VALUE"""),45107.0)</f>
        <v>45107</v>
      </c>
      <c r="Q59" s="45"/>
      <c r="R59" s="45"/>
      <c r="S59" s="43"/>
      <c r="T59" s="43"/>
      <c r="U59" s="43" t="str">
        <f>IFERROR(__xludf.DUMMYFUNCTION("""COMPUTED_VALUE"""),"English Teacher In Uğur Okulları")</f>
        <v>English Teacher In Uğur Okulları</v>
      </c>
      <c r="V59" s="43" t="str">
        <f>IFERROR(__xludf.DUMMYFUNCTION("""COMPUTED_VALUE"""),"AIESEC in Oran")</f>
        <v>AIESEC in Oran</v>
      </c>
      <c r="W59" s="43" t="str">
        <f>IFERROR(__xludf.DUMMYFUNCTION("""COMPUTED_VALUE"""),"2022-08-18T07:42:19Z")</f>
        <v>2022-08-18T07:42:19Z</v>
      </c>
      <c r="X59" s="43"/>
      <c r="Y59" s="43"/>
      <c r="Z59" s="43"/>
    </row>
    <row r="60" hidden="1">
      <c r="A60" s="43" t="str">
        <f>IFERROR(__xludf.DUMMYFUNCTION("""COMPUTED_VALUE"""),"4744382_1281195")</f>
        <v>4744382_1281195</v>
      </c>
      <c r="B60" s="43" t="str">
        <f>IFERROR(__xludf.DUMMYFUNCTION("""COMPUTED_VALUE"""),"Basma Chaoui")</f>
        <v>Basma Chaoui</v>
      </c>
      <c r="C60" s="43" t="str">
        <f>IFERROR(__xludf.DUMMYFUNCTION("""COMPUTED_VALUE"""),"realization_broken")</f>
        <v>realization_broken</v>
      </c>
      <c r="D60" s="43" t="str">
        <f>IFERROR(__xludf.DUMMYFUNCTION("""COMPUTED_VALUE"""),"No")</f>
        <v>No</v>
      </c>
      <c r="E60" s="43" t="str">
        <f>IFERROR(__xludf.DUMMYFUNCTION("""COMPUTED_VALUE"""),"p_393a9ace12dda30de2c33df52554314feb4322d6@inbound.aiesec.org")</f>
        <v>p_393a9ace12dda30de2c33df52554314feb4322d6@inbound.aiesec.org</v>
      </c>
      <c r="F60" s="43">
        <f>IFERROR(__xludf.DUMMYFUNCTION("""COMPUTED_VALUE"""),6.68825568E8)</f>
        <v>668825568</v>
      </c>
      <c r="G60" s="43" t="str">
        <f>IFERROR(__xludf.DUMMYFUNCTION("""COMPUTED_VALUE"""),"Morocco")</f>
        <v>Morocco</v>
      </c>
      <c r="H60" s="43" t="str">
        <f>IFERROR(__xludf.DUMMYFUNCTION("""COMPUTED_VALUE"""),"Tetouan")</f>
        <v>Tetouan</v>
      </c>
      <c r="I60" s="43" t="str">
        <f>IFERROR(__xludf.DUMMYFUNCTION("""COMPUTED_VALUE"""),"Turkey")</f>
        <v>Turkey</v>
      </c>
      <c r="J60" s="43" t="str">
        <f>IFERROR(__xludf.DUMMYFUNCTION("""COMPUTED_VALUE"""),"BURSA")</f>
        <v>BURSA</v>
      </c>
      <c r="K60" s="44" t="str">
        <f>IFERROR(__xludf.DUMMYFUNCTION("""COMPUTED_VALUE"""),"https://expa.aiesec.org/opportunities/1281195")</f>
        <v>https://expa.aiesec.org/opportunities/1281195</v>
      </c>
      <c r="L60" s="43" t="str">
        <f>IFERROR(__xludf.DUMMYFUNCTION("""COMPUTED_VALUE"""),"GTe")</f>
        <v>GTe</v>
      </c>
      <c r="M60" s="43" t="str">
        <f>IFERROR(__xludf.DUMMYFUNCTION("""COMPUTED_VALUE"""),"long")</f>
        <v>long</v>
      </c>
      <c r="N60" s="45">
        <f>IFERROR(__xludf.DUMMYFUNCTION("""COMPUTED_VALUE"""),44798.0)</f>
        <v>44798</v>
      </c>
      <c r="O60" s="45">
        <f>IFERROR(__xludf.DUMMYFUNCTION("""COMPUTED_VALUE"""),44837.0)</f>
        <v>44837</v>
      </c>
      <c r="P60" s="45">
        <f>IFERROR(__xludf.DUMMYFUNCTION("""COMPUTED_VALUE"""),45202.0)</f>
        <v>45202</v>
      </c>
      <c r="Q60" s="45"/>
      <c r="R60" s="45"/>
      <c r="S60" s="43"/>
      <c r="T60" s="43"/>
      <c r="U60" s="43" t="str">
        <f>IFERROR(__xludf.DUMMYFUNCTION("""COMPUTED_VALUE"""),"ENGLISH TEACHING")</f>
        <v>ENGLISH TEACHING</v>
      </c>
      <c r="V60" s="43" t="str">
        <f>IFERROR(__xludf.DUMMYFUNCTION("""COMPUTED_VALUE"""),"FLSH Tétouan")</f>
        <v>FLSH Tétouan</v>
      </c>
      <c r="W60" s="43" t="str">
        <f>IFERROR(__xludf.DUMMYFUNCTION("""COMPUTED_VALUE"""),"2021-09-21T12:09:55Z")</f>
        <v>2021-09-21T12:09:55Z</v>
      </c>
      <c r="X60" s="43"/>
      <c r="Y60" s="43"/>
      <c r="Z60" s="43"/>
    </row>
    <row r="61" hidden="1">
      <c r="A61" s="43" t="str">
        <f>IFERROR(__xludf.DUMMYFUNCTION("""COMPUTED_VALUE"""),"5098308_1287942")</f>
        <v>5098308_1287942</v>
      </c>
      <c r="B61" s="43" t="str">
        <f>IFERROR(__xludf.DUMMYFUNCTION("""COMPUTED_VALUE"""),"Bisma Hussain")</f>
        <v>Bisma Hussain</v>
      </c>
      <c r="C61" s="43" t="str">
        <f>IFERROR(__xludf.DUMMYFUNCTION("""COMPUTED_VALUE"""),"completed")</f>
        <v>completed</v>
      </c>
      <c r="D61" s="43" t="str">
        <f>IFERROR(__xludf.DUMMYFUNCTION("""COMPUTED_VALUE"""),"No")</f>
        <v>No</v>
      </c>
      <c r="E61" s="43" t="str">
        <f>IFERROR(__xludf.DUMMYFUNCTION("""COMPUTED_VALUE"""),"p_4a94dfa44a1a93206f8214f1ee1d612ff89ce926@inbound.aiesec.org")</f>
        <v>p_4a94dfa44a1a93206f8214f1ee1d612ff89ce926@inbound.aiesec.org</v>
      </c>
      <c r="F61" s="43">
        <f>IFERROR(__xludf.DUMMYFUNCTION("""COMPUTED_VALUE"""),5.06515821E9)</f>
        <v>5065158210</v>
      </c>
      <c r="G61" s="43" t="str">
        <f>IFERROR(__xludf.DUMMYFUNCTION("""COMPUTED_VALUE"""),"Pakistan")</f>
        <v>Pakistan</v>
      </c>
      <c r="H61" s="43" t="str">
        <f>IFERROR(__xludf.DUMMYFUNCTION("""COMPUTED_VALUE"""),"Karachi South")</f>
        <v>Karachi South</v>
      </c>
      <c r="I61" s="43" t="str">
        <f>IFERROR(__xludf.DUMMYFUNCTION("""COMPUTED_VALUE"""),"Turkey")</f>
        <v>Turkey</v>
      </c>
      <c r="J61" s="43" t="str">
        <f>IFERROR(__xludf.DUMMYFUNCTION("""COMPUTED_VALUE"""),"İZMİR")</f>
        <v>İZMİR</v>
      </c>
      <c r="K61" s="44" t="str">
        <f>IFERROR(__xludf.DUMMYFUNCTION("""COMPUTED_VALUE"""),"https://expa.aiesec.org/opportunities/1287942")</f>
        <v>https://expa.aiesec.org/opportunities/1287942</v>
      </c>
      <c r="L61" s="43" t="str">
        <f>IFERROR(__xludf.DUMMYFUNCTION("""COMPUTED_VALUE"""),"GTe")</f>
        <v>GTe</v>
      </c>
      <c r="M61" s="43" t="str">
        <f>IFERROR(__xludf.DUMMYFUNCTION("""COMPUTED_VALUE"""),"long")</f>
        <v>long</v>
      </c>
      <c r="N61" s="45">
        <f>IFERROR(__xludf.DUMMYFUNCTION("""COMPUTED_VALUE"""),44799.0)</f>
        <v>44799</v>
      </c>
      <c r="O61" s="45">
        <f>IFERROR(__xludf.DUMMYFUNCTION("""COMPUTED_VALUE"""),44822.0)</f>
        <v>44822</v>
      </c>
      <c r="P61" s="45">
        <f>IFERROR(__xludf.DUMMYFUNCTION("""COMPUTED_VALUE"""),45125.0)</f>
        <v>45125</v>
      </c>
      <c r="Q61" s="45">
        <f>IFERROR(__xludf.DUMMYFUNCTION("""COMPUTED_VALUE"""),44837.0)</f>
        <v>44837</v>
      </c>
      <c r="R61" s="45">
        <f>IFERROR(__xludf.DUMMYFUNCTION("""COMPUTED_VALUE"""),45148.0)</f>
        <v>45148</v>
      </c>
      <c r="S61" s="43"/>
      <c r="T61" s="43"/>
      <c r="U61" s="43" t="str">
        <f>IFERROR(__xludf.DUMMYFUNCTION("""COMPUTED_VALUE"""),"Kindergarten English Teacher")</f>
        <v>Kindergarten English Teacher</v>
      </c>
      <c r="V61" s="43" t="str">
        <f>IFERROR(__xludf.DUMMYFUNCTION("""COMPUTED_VALUE"""),"Karachi - PAF Karachi Institute of Economics &amp; Technology")</f>
        <v>Karachi - PAF Karachi Institute of Economics &amp; Technology</v>
      </c>
      <c r="W61" s="43" t="str">
        <f>IFERROR(__xludf.DUMMYFUNCTION("""COMPUTED_VALUE"""),"2022-08-23T23:43:54Z")</f>
        <v>2022-08-23T23:43:54Z</v>
      </c>
      <c r="X61" s="43"/>
      <c r="Y61" s="43"/>
      <c r="Z61" s="43"/>
    </row>
    <row r="62" hidden="1">
      <c r="A62" s="43" t="str">
        <f>IFERROR(__xludf.DUMMYFUNCTION("""COMPUTED_VALUE"""),"5096909_1288465")</f>
        <v>5096909_1288465</v>
      </c>
      <c r="B62" s="43" t="str">
        <f>IFERROR(__xludf.DUMMYFUNCTION("""COMPUTED_VALUE"""),"Narmin Karimova")</f>
        <v>Narmin Karimova</v>
      </c>
      <c r="C62" s="43" t="str">
        <f>IFERROR(__xludf.DUMMYFUNCTION("""COMPUTED_VALUE"""),"finished")</f>
        <v>finished</v>
      </c>
      <c r="D62" s="43" t="str">
        <f>IFERROR(__xludf.DUMMYFUNCTION("""COMPUTED_VALUE"""),"No")</f>
        <v>No</v>
      </c>
      <c r="E62" s="43" t="str">
        <f>IFERROR(__xludf.DUMMYFUNCTION("""COMPUTED_VALUE"""),"p_c8c3bc9b6c0580668f3ebe1340da7c5350c1cd4e@inbound.aiesec.org")</f>
        <v>p_c8c3bc9b6c0580668f3ebe1340da7c5350c1cd4e@inbound.aiesec.org</v>
      </c>
      <c r="F62" s="43">
        <f>IFERROR(__xludf.DUMMYFUNCTION("""COMPUTED_VALUE"""),5.04441739E8)</f>
        <v>504441739</v>
      </c>
      <c r="G62" s="43" t="str">
        <f>IFERROR(__xludf.DUMMYFUNCTION("""COMPUTED_VALUE"""),"Azerbaijan")</f>
        <v>Azerbaijan</v>
      </c>
      <c r="H62" s="43" t="str">
        <f>IFERROR(__xludf.DUMMYFUNCTION("""COMPUTED_VALUE"""),"Baku Qafqaz")</f>
        <v>Baku Qafqaz</v>
      </c>
      <c r="I62" s="43" t="str">
        <f>IFERROR(__xludf.DUMMYFUNCTION("""COMPUTED_VALUE"""),"Turkey")</f>
        <v>Turkey</v>
      </c>
      <c r="J62" s="43" t="str">
        <f>IFERROR(__xludf.DUMMYFUNCTION("""COMPUTED_VALUE"""),"SAKARYA")</f>
        <v>SAKARYA</v>
      </c>
      <c r="K62" s="44" t="str">
        <f>IFERROR(__xludf.DUMMYFUNCTION("""COMPUTED_VALUE"""),"https://expa.aiesec.org/opportunities/1288465")</f>
        <v>https://expa.aiesec.org/opportunities/1288465</v>
      </c>
      <c r="L62" s="43" t="str">
        <f>IFERROR(__xludf.DUMMYFUNCTION("""COMPUTED_VALUE"""),"GTe")</f>
        <v>GTe</v>
      </c>
      <c r="M62" s="43" t="str">
        <f>IFERROR(__xludf.DUMMYFUNCTION("""COMPUTED_VALUE"""),"long")</f>
        <v>long</v>
      </c>
      <c r="N62" s="45">
        <f>IFERROR(__xludf.DUMMYFUNCTION("""COMPUTED_VALUE"""),44799.0)</f>
        <v>44799</v>
      </c>
      <c r="O62" s="45">
        <f>IFERROR(__xludf.DUMMYFUNCTION("""COMPUTED_VALUE"""),44823.0)</f>
        <v>44823</v>
      </c>
      <c r="P62" s="45">
        <f>IFERROR(__xludf.DUMMYFUNCTION("""COMPUTED_VALUE"""),45096.0)</f>
        <v>45096</v>
      </c>
      <c r="Q62" s="45">
        <f>IFERROR(__xludf.DUMMYFUNCTION("""COMPUTED_VALUE"""),44824.0)</f>
        <v>44824</v>
      </c>
      <c r="R62" s="45">
        <f>IFERROR(__xludf.DUMMYFUNCTION("""COMPUTED_VALUE"""),45096.0)</f>
        <v>45096</v>
      </c>
      <c r="S62" s="43"/>
      <c r="T62" s="43"/>
      <c r="U62" s="43" t="str">
        <f>IFERROR(__xludf.DUMMYFUNCTION("""COMPUTED_VALUE"""),"English Teacher | Private Bolu English Language Course")</f>
        <v>English Teacher | Private Bolu English Language Course</v>
      </c>
      <c r="V62" s="43" t="str">
        <f>IFERROR(__xludf.DUMMYFUNCTION("""COMPUTED_VALUE"""),"Azerbaijan University of Languages")</f>
        <v>Azerbaijan University of Languages</v>
      </c>
      <c r="W62" s="43" t="str">
        <f>IFERROR(__xludf.DUMMYFUNCTION("""COMPUTED_VALUE"""),"2022-08-21T17:26:07Z")</f>
        <v>2022-08-21T17:26:07Z</v>
      </c>
      <c r="X62" s="43"/>
      <c r="Y62" s="43"/>
      <c r="Z62" s="43"/>
    </row>
    <row r="63" hidden="1">
      <c r="A63" s="43" t="str">
        <f>IFERROR(__xludf.DUMMYFUNCTION("""COMPUTED_VALUE"""),"5101008_1286237")</f>
        <v>5101008_1286237</v>
      </c>
      <c r="B63" s="43" t="str">
        <f>IFERROR(__xludf.DUMMYFUNCTION("""COMPUTED_VALUE"""),"Amel tasnim Oueslati")</f>
        <v>Amel tasnim Oueslati</v>
      </c>
      <c r="C63" s="43" t="str">
        <f>IFERROR(__xludf.DUMMYFUNCTION("""COMPUTED_VALUE"""),"completed")</f>
        <v>completed</v>
      </c>
      <c r="D63" s="43" t="str">
        <f>IFERROR(__xludf.DUMMYFUNCTION("""COMPUTED_VALUE"""),"No")</f>
        <v>No</v>
      </c>
      <c r="E63" s="43" t="str">
        <f>IFERROR(__xludf.DUMMYFUNCTION("""COMPUTED_VALUE"""),"p_3f15337da3adb775b666827ec58c8d08d62d0d68@inbound.aiesec.org")</f>
        <v>p_3f15337da3adb775b666827ec58c8d08d62d0d68@inbound.aiesec.org</v>
      </c>
      <c r="F63" s="43">
        <f>IFERROR(__xludf.DUMMYFUNCTION("""COMPUTED_VALUE"""),5.8664195E7)</f>
        <v>58664195</v>
      </c>
      <c r="G63" s="43" t="str">
        <f>IFERROR(__xludf.DUMMYFUNCTION("""COMPUTED_VALUE"""),"Tunisia")</f>
        <v>Tunisia</v>
      </c>
      <c r="H63" s="43" t="str">
        <f>IFERROR(__xludf.DUMMYFUNCTION("""COMPUTED_VALUE"""),"HADRUMET")</f>
        <v>HADRUMET</v>
      </c>
      <c r="I63" s="43" t="str">
        <f>IFERROR(__xludf.DUMMYFUNCTION("""COMPUTED_VALUE"""),"Turkey")</f>
        <v>Turkey</v>
      </c>
      <c r="J63" s="43" t="str">
        <f>IFERROR(__xludf.DUMMYFUNCTION("""COMPUTED_VALUE"""),"ISPARTA")</f>
        <v>ISPARTA</v>
      </c>
      <c r="K63" s="44" t="str">
        <f>IFERROR(__xludf.DUMMYFUNCTION("""COMPUTED_VALUE"""),"https://expa.aiesec.org/opportunities/1286237")</f>
        <v>https://expa.aiesec.org/opportunities/1286237</v>
      </c>
      <c r="L63" s="43" t="str">
        <f>IFERROR(__xludf.DUMMYFUNCTION("""COMPUTED_VALUE"""),"GTe")</f>
        <v>GTe</v>
      </c>
      <c r="M63" s="43" t="str">
        <f>IFERROR(__xludf.DUMMYFUNCTION("""COMPUTED_VALUE"""),"short")</f>
        <v>short</v>
      </c>
      <c r="N63" s="45">
        <f>IFERROR(__xludf.DUMMYFUNCTION("""COMPUTED_VALUE"""),44801.0)</f>
        <v>44801</v>
      </c>
      <c r="O63" s="45">
        <f>IFERROR(__xludf.DUMMYFUNCTION("""COMPUTED_VALUE"""),44830.0)</f>
        <v>44830</v>
      </c>
      <c r="P63" s="45">
        <f>IFERROR(__xludf.DUMMYFUNCTION("""COMPUTED_VALUE"""),44913.0)</f>
        <v>44913</v>
      </c>
      <c r="Q63" s="45">
        <f>IFERROR(__xludf.DUMMYFUNCTION("""COMPUTED_VALUE"""),44833.0)</f>
        <v>44833</v>
      </c>
      <c r="R63" s="45">
        <f>IFERROR(__xludf.DUMMYFUNCTION("""COMPUTED_VALUE"""),44914.0)</f>
        <v>44914</v>
      </c>
      <c r="S63" s="43"/>
      <c r="T63" s="43"/>
      <c r="U63" s="43" t="str">
        <f>IFERROR(__xludf.DUMMYFUNCTION("""COMPUTED_VALUE"""),"English Teaching")</f>
        <v>English Teaching</v>
      </c>
      <c r="V63" s="43" t="str">
        <f>IFERROR(__xludf.DUMMYFUNCTION("""COMPUTED_VALUE"""),"FLSH Sousse")</f>
        <v>FLSH Sousse</v>
      </c>
      <c r="W63" s="43" t="str">
        <f>IFERROR(__xludf.DUMMYFUNCTION("""COMPUTED_VALUE"""),"2022-08-28T10:47:58Z")</f>
        <v>2022-08-28T10:47:58Z</v>
      </c>
      <c r="X63" s="43"/>
      <c r="Y63" s="43"/>
      <c r="Z63" s="43"/>
    </row>
    <row r="64" hidden="1">
      <c r="A64" s="43" t="str">
        <f>IFERROR(__xludf.DUMMYFUNCTION("""COMPUTED_VALUE"""),"5093021_1286836")</f>
        <v>5093021_1286836</v>
      </c>
      <c r="B64" s="43" t="str">
        <f>IFERROR(__xludf.DUMMYFUNCTION("""COMPUTED_VALUE"""),"Meryeme Radoui")</f>
        <v>Meryeme Radoui</v>
      </c>
      <c r="C64" s="43" t="str">
        <f>IFERROR(__xludf.DUMMYFUNCTION("""COMPUTED_VALUE"""),"realization_broken")</f>
        <v>realization_broken</v>
      </c>
      <c r="D64" s="43" t="str">
        <f>IFERROR(__xludf.DUMMYFUNCTION("""COMPUTED_VALUE"""),"No")</f>
        <v>No</v>
      </c>
      <c r="E64" s="43" t="str">
        <f>IFERROR(__xludf.DUMMYFUNCTION("""COMPUTED_VALUE"""),"p_e9c135e6d3937a361dd786778d518a045a7f9f82@inbound.aiesec.org")</f>
        <v>p_e9c135e6d3937a361dd786778d518a045a7f9f82@inbound.aiesec.org</v>
      </c>
      <c r="F64" s="43"/>
      <c r="G64" s="43" t="str">
        <f>IFERROR(__xludf.DUMMYFUNCTION("""COMPUTED_VALUE"""),"Morocco")</f>
        <v>Morocco</v>
      </c>
      <c r="H64" s="43" t="str">
        <f>IFERROR(__xludf.DUMMYFUNCTION("""COMPUTED_VALUE"""),"Fez")</f>
        <v>Fez</v>
      </c>
      <c r="I64" s="43" t="str">
        <f>IFERROR(__xludf.DUMMYFUNCTION("""COMPUTED_VALUE"""),"Turkey")</f>
        <v>Turkey</v>
      </c>
      <c r="J64" s="43" t="str">
        <f>IFERROR(__xludf.DUMMYFUNCTION("""COMPUTED_VALUE"""),"ISTANBUL WEST")</f>
        <v>ISTANBUL WEST</v>
      </c>
      <c r="K64" s="44" t="str">
        <f>IFERROR(__xludf.DUMMYFUNCTION("""COMPUTED_VALUE"""),"https://expa.aiesec.org/opportunities/1286836")</f>
        <v>https://expa.aiesec.org/opportunities/1286836</v>
      </c>
      <c r="L64" s="43" t="str">
        <f>IFERROR(__xludf.DUMMYFUNCTION("""COMPUTED_VALUE"""),"GTe")</f>
        <v>GTe</v>
      </c>
      <c r="M64" s="43" t="str">
        <f>IFERROR(__xludf.DUMMYFUNCTION("""COMPUTED_VALUE"""),"long")</f>
        <v>long</v>
      </c>
      <c r="N64" s="45">
        <f>IFERROR(__xludf.DUMMYFUNCTION("""COMPUTED_VALUE"""),44801.0)</f>
        <v>44801</v>
      </c>
      <c r="O64" s="45">
        <f>IFERROR(__xludf.DUMMYFUNCTION("""COMPUTED_VALUE"""),44816.0)</f>
        <v>44816</v>
      </c>
      <c r="P64" s="45">
        <f>IFERROR(__xludf.DUMMYFUNCTION("""COMPUTED_VALUE"""),45107.0)</f>
        <v>45107</v>
      </c>
      <c r="Q64" s="45"/>
      <c r="R64" s="45"/>
      <c r="S64" s="43"/>
      <c r="T64" s="43" t="str">
        <f>IFERROR(__xludf.DUMMYFUNCTION("""COMPUTED_VALUE"""),"Business Development")</f>
        <v>Business Development</v>
      </c>
      <c r="U64" s="43" t="str">
        <f>IFERROR(__xludf.DUMMYFUNCTION("""COMPUTED_VALUE"""),"Pre-School Teacher at Istanbul AIKA/Bahçeşehir")</f>
        <v>Pre-School Teacher at Istanbul AIKA/Bahçeşehir</v>
      </c>
      <c r="V64" s="43" t="str">
        <f>IFERROR(__xludf.DUMMYFUNCTION("""COMPUTED_VALUE"""),"-")</f>
        <v>-</v>
      </c>
      <c r="W64" s="43" t="str">
        <f>IFERROR(__xludf.DUMMYFUNCTION("""COMPUTED_VALUE"""),"2022-08-13T19:04:25Z")</f>
        <v>2022-08-13T19:04:25Z</v>
      </c>
      <c r="X64" s="43"/>
      <c r="Y64" s="43"/>
      <c r="Z64" s="43"/>
    </row>
    <row r="65" hidden="1">
      <c r="A65" s="43" t="str">
        <f>IFERROR(__xludf.DUMMYFUNCTION("""COMPUTED_VALUE"""),"4745204_1281338")</f>
        <v>4745204_1281338</v>
      </c>
      <c r="B65" s="43" t="str">
        <f>IFERROR(__xludf.DUMMYFUNCTION("""COMPUTED_VALUE"""),"Kenza Saadi")</f>
        <v>Kenza Saadi</v>
      </c>
      <c r="C65" s="43" t="str">
        <f>IFERROR(__xludf.DUMMYFUNCTION("""COMPUTED_VALUE"""),"finished")</f>
        <v>finished</v>
      </c>
      <c r="D65" s="43" t="str">
        <f>IFERROR(__xludf.DUMMYFUNCTION("""COMPUTED_VALUE"""),"No")</f>
        <v>No</v>
      </c>
      <c r="E65" s="43" t="str">
        <f>IFERROR(__xludf.DUMMYFUNCTION("""COMPUTED_VALUE"""),"p_51971a7cba34e22739e4e5e028dd285b77d858cf@inbound.aiesec.org")</f>
        <v>p_51971a7cba34e22739e4e5e028dd285b77d858cf@inbound.aiesec.org</v>
      </c>
      <c r="F65" s="43"/>
      <c r="G65" s="43" t="str">
        <f>IFERROR(__xludf.DUMMYFUNCTION("""COMPUTED_VALUE"""),"Morocco")</f>
        <v>Morocco</v>
      </c>
      <c r="H65" s="43" t="str">
        <f>IFERROR(__xludf.DUMMYFUNCTION("""COMPUTED_VALUE"""),"Casablanca")</f>
        <v>Casablanca</v>
      </c>
      <c r="I65" s="43" t="str">
        <f>IFERROR(__xludf.DUMMYFUNCTION("""COMPUTED_VALUE"""),"Turkey")</f>
        <v>Turkey</v>
      </c>
      <c r="J65" s="43" t="str">
        <f>IFERROR(__xludf.DUMMYFUNCTION("""COMPUTED_VALUE"""),"ISTANBUL")</f>
        <v>ISTANBUL</v>
      </c>
      <c r="K65" s="44" t="str">
        <f>IFERROR(__xludf.DUMMYFUNCTION("""COMPUTED_VALUE"""),"https://expa.aiesec.org/opportunities/1281338")</f>
        <v>https://expa.aiesec.org/opportunities/1281338</v>
      </c>
      <c r="L65" s="43" t="str">
        <f>IFERROR(__xludf.DUMMYFUNCTION("""COMPUTED_VALUE"""),"GTe")</f>
        <v>GTe</v>
      </c>
      <c r="M65" s="43" t="str">
        <f>IFERROR(__xludf.DUMMYFUNCTION("""COMPUTED_VALUE"""),"long")</f>
        <v>long</v>
      </c>
      <c r="N65" s="45">
        <f>IFERROR(__xludf.DUMMYFUNCTION("""COMPUTED_VALUE"""),44802.0)</f>
        <v>44802</v>
      </c>
      <c r="O65" s="45">
        <f>IFERROR(__xludf.DUMMYFUNCTION("""COMPUTED_VALUE"""),44816.0)</f>
        <v>44816</v>
      </c>
      <c r="P65" s="45">
        <f>IFERROR(__xludf.DUMMYFUNCTION("""COMPUTED_VALUE"""),45086.0)</f>
        <v>45086</v>
      </c>
      <c r="Q65" s="45">
        <f>IFERROR(__xludf.DUMMYFUNCTION("""COMPUTED_VALUE"""),44851.0)</f>
        <v>44851</v>
      </c>
      <c r="R65" s="45">
        <f>IFERROR(__xludf.DUMMYFUNCTION("""COMPUTED_VALUE"""),45086.0)</f>
        <v>45086</v>
      </c>
      <c r="S65" s="43"/>
      <c r="T65" s="43"/>
      <c r="U65" s="43" t="str">
        <f>IFERROR(__xludf.DUMMYFUNCTION("""COMPUTED_VALUE"""),"English Teacher")</f>
        <v>English Teacher</v>
      </c>
      <c r="V65" s="43" t="str">
        <f>IFERROR(__xludf.DUMMYFUNCTION("""COMPUTED_VALUE"""),"Collège LaSalle Casablanca")</f>
        <v>Collège LaSalle Casablanca</v>
      </c>
      <c r="W65" s="43" t="str">
        <f>IFERROR(__xludf.DUMMYFUNCTION("""COMPUTED_VALUE"""),"2021-09-22T12:12:20Z")</f>
        <v>2021-09-22T12:12:20Z</v>
      </c>
      <c r="X65" s="43"/>
      <c r="Y65" s="43"/>
      <c r="Z65" s="43"/>
    </row>
    <row r="66" hidden="1">
      <c r="A66" s="43" t="str">
        <f>IFERROR(__xludf.DUMMYFUNCTION("""COMPUTED_VALUE"""),"5074007_1281195")</f>
        <v>5074007_1281195</v>
      </c>
      <c r="B66" s="43" t="str">
        <f>IFERROR(__xludf.DUMMYFUNCTION("""COMPUTED_VALUE"""),"Shashini Wijewardhana")</f>
        <v>Shashini Wijewardhana</v>
      </c>
      <c r="C66" s="43" t="str">
        <f>IFERROR(__xludf.DUMMYFUNCTION("""COMPUTED_VALUE"""),"finished")</f>
        <v>finished</v>
      </c>
      <c r="D66" s="43" t="str">
        <f>IFERROR(__xludf.DUMMYFUNCTION("""COMPUTED_VALUE"""),"No")</f>
        <v>No</v>
      </c>
      <c r="E66" s="43" t="str">
        <f>IFERROR(__xludf.DUMMYFUNCTION("""COMPUTED_VALUE"""),"p_6ad6d0d1120432e9c5c6a879561fe0f52bc94a16@inbound.aiesec.org")</f>
        <v>p_6ad6d0d1120432e9c5c6a879561fe0f52bc94a16@inbound.aiesec.org</v>
      </c>
      <c r="F66" s="43">
        <f>IFERROR(__xludf.DUMMYFUNCTION("""COMPUTED_VALUE"""),7.628999E8)</f>
        <v>762899900</v>
      </c>
      <c r="G66" s="43" t="str">
        <f>IFERROR(__xludf.DUMMYFUNCTION("""COMPUTED_VALUE"""),"Sri Lanka")</f>
        <v>Sri Lanka</v>
      </c>
      <c r="H66" s="43" t="str">
        <f>IFERROR(__xludf.DUMMYFUNCTION("""COMPUTED_VALUE"""),"COLOMBO NORTH")</f>
        <v>COLOMBO NORTH</v>
      </c>
      <c r="I66" s="43" t="str">
        <f>IFERROR(__xludf.DUMMYFUNCTION("""COMPUTED_VALUE"""),"Turkey")</f>
        <v>Turkey</v>
      </c>
      <c r="J66" s="43" t="str">
        <f>IFERROR(__xludf.DUMMYFUNCTION("""COMPUTED_VALUE"""),"BURSA")</f>
        <v>BURSA</v>
      </c>
      <c r="K66" s="44" t="str">
        <f>IFERROR(__xludf.DUMMYFUNCTION("""COMPUTED_VALUE"""),"https://expa.aiesec.org/opportunities/1281195")</f>
        <v>https://expa.aiesec.org/opportunities/1281195</v>
      </c>
      <c r="L66" s="43" t="str">
        <f>IFERROR(__xludf.DUMMYFUNCTION("""COMPUTED_VALUE"""),"GTe")</f>
        <v>GTe</v>
      </c>
      <c r="M66" s="43" t="str">
        <f>IFERROR(__xludf.DUMMYFUNCTION("""COMPUTED_VALUE"""),"long")</f>
        <v>long</v>
      </c>
      <c r="N66" s="45">
        <f>IFERROR(__xludf.DUMMYFUNCTION("""COMPUTED_VALUE"""),44803.0)</f>
        <v>44803</v>
      </c>
      <c r="O66" s="45">
        <f>IFERROR(__xludf.DUMMYFUNCTION("""COMPUTED_VALUE"""),44837.0)</f>
        <v>44837</v>
      </c>
      <c r="P66" s="45">
        <f>IFERROR(__xludf.DUMMYFUNCTION("""COMPUTED_VALUE"""),45202.0)</f>
        <v>45202</v>
      </c>
      <c r="Q66" s="45">
        <f>IFERROR(__xludf.DUMMYFUNCTION("""COMPUTED_VALUE"""),44854.0)</f>
        <v>44854</v>
      </c>
      <c r="R66" s="45">
        <f>IFERROR(__xludf.DUMMYFUNCTION("""COMPUTED_VALUE"""),45218.0)</f>
        <v>45218</v>
      </c>
      <c r="S66" s="43"/>
      <c r="T66" s="43"/>
      <c r="U66" s="43" t="str">
        <f>IFERROR(__xludf.DUMMYFUNCTION("""COMPUTED_VALUE"""),"ENGLISH TEACHING")</f>
        <v>ENGLISH TEACHING</v>
      </c>
      <c r="V66" s="43" t="str">
        <f>IFERROR(__xludf.DUMMYFUNCTION("""COMPUTED_VALUE"""),"University of Kelaniya")</f>
        <v>University of Kelaniya</v>
      </c>
      <c r="W66" s="43" t="str">
        <f>IFERROR(__xludf.DUMMYFUNCTION("""COMPUTED_VALUE"""),"2022-06-18T05:26:22Z")</f>
        <v>2022-06-18T05:26:22Z</v>
      </c>
      <c r="X66" s="43"/>
      <c r="Y66" s="43"/>
      <c r="Z66" s="43"/>
    </row>
    <row r="67" hidden="1">
      <c r="A67" s="43" t="str">
        <f>IFERROR(__xludf.DUMMYFUNCTION("""COMPUTED_VALUE"""),"4280809_1287942")</f>
        <v>4280809_1287942</v>
      </c>
      <c r="B67" s="43" t="str">
        <f>IFERROR(__xludf.DUMMYFUNCTION("""COMPUTED_VALUE"""),"Amanat Baigenzheyeva")</f>
        <v>Amanat Baigenzheyeva</v>
      </c>
      <c r="C67" s="43" t="str">
        <f>IFERROR(__xludf.DUMMYFUNCTION("""COMPUTED_VALUE"""),"finished")</f>
        <v>finished</v>
      </c>
      <c r="D67" s="43" t="str">
        <f>IFERROR(__xludf.DUMMYFUNCTION("""COMPUTED_VALUE"""),"No")</f>
        <v>No</v>
      </c>
      <c r="E67" s="43" t="str">
        <f>IFERROR(__xludf.DUMMYFUNCTION("""COMPUTED_VALUE"""),"p_6850b599f00ad72e50529c1ec78de2a5e7e68298@inbound.aiesec.org")</f>
        <v>p_6850b599f00ad72e50529c1ec78de2a5e7e68298@inbound.aiesec.org</v>
      </c>
      <c r="F67" s="43">
        <f>IFERROR(__xludf.DUMMYFUNCTION("""COMPUTED_VALUE"""),7.478338345E9)</f>
        <v>7478338345</v>
      </c>
      <c r="G67" s="43" t="str">
        <f>IFERROR(__xludf.DUMMYFUNCTION("""COMPUTED_VALUE"""),"Kazakhstan")</f>
        <v>Kazakhstan</v>
      </c>
      <c r="H67" s="43" t="str">
        <f>IFERROR(__xludf.DUMMYFUNCTION("""COMPUTED_VALUE"""),"ALMATY")</f>
        <v>ALMATY</v>
      </c>
      <c r="I67" s="43" t="str">
        <f>IFERROR(__xludf.DUMMYFUNCTION("""COMPUTED_VALUE"""),"Turkey")</f>
        <v>Turkey</v>
      </c>
      <c r="J67" s="43" t="str">
        <f>IFERROR(__xludf.DUMMYFUNCTION("""COMPUTED_VALUE"""),"İZMİR")</f>
        <v>İZMİR</v>
      </c>
      <c r="K67" s="44" t="str">
        <f>IFERROR(__xludf.DUMMYFUNCTION("""COMPUTED_VALUE"""),"https://expa.aiesec.org/opportunities/1287942")</f>
        <v>https://expa.aiesec.org/opportunities/1287942</v>
      </c>
      <c r="L67" s="43" t="str">
        <f>IFERROR(__xludf.DUMMYFUNCTION("""COMPUTED_VALUE"""),"GTe")</f>
        <v>GTe</v>
      </c>
      <c r="M67" s="43" t="str">
        <f>IFERROR(__xludf.DUMMYFUNCTION("""COMPUTED_VALUE"""),"long")</f>
        <v>long</v>
      </c>
      <c r="N67" s="45">
        <f>IFERROR(__xludf.DUMMYFUNCTION("""COMPUTED_VALUE"""),44804.0)</f>
        <v>44804</v>
      </c>
      <c r="O67" s="45">
        <f>IFERROR(__xludf.DUMMYFUNCTION("""COMPUTED_VALUE"""),44822.0)</f>
        <v>44822</v>
      </c>
      <c r="P67" s="45">
        <f>IFERROR(__xludf.DUMMYFUNCTION("""COMPUTED_VALUE"""),45125.0)</f>
        <v>45125</v>
      </c>
      <c r="Q67" s="45">
        <f>IFERROR(__xludf.DUMMYFUNCTION("""COMPUTED_VALUE"""),44819.0)</f>
        <v>44819</v>
      </c>
      <c r="R67" s="45">
        <f>IFERROR(__xludf.DUMMYFUNCTION("""COMPUTED_VALUE"""),45184.0)</f>
        <v>45184</v>
      </c>
      <c r="S67" s="43"/>
      <c r="T67" s="43"/>
      <c r="U67" s="43" t="str">
        <f>IFERROR(__xludf.DUMMYFUNCTION("""COMPUTED_VALUE"""),"Kindergarten English Teacher")</f>
        <v>Kindergarten English Teacher</v>
      </c>
      <c r="V67" s="43" t="str">
        <f>IFERROR(__xludf.DUMMYFUNCTION("""COMPUTED_VALUE"""),"Almaty")</f>
        <v>Almaty</v>
      </c>
      <c r="W67" s="43" t="str">
        <f>IFERROR(__xludf.DUMMYFUNCTION("""COMPUTED_VALUE"""),"2020-04-30T18:25:35Z")</f>
        <v>2020-04-30T18:25:35Z</v>
      </c>
      <c r="X67" s="43"/>
      <c r="Y67" s="43"/>
      <c r="Z67" s="43"/>
    </row>
    <row r="68" hidden="1">
      <c r="A68" s="43" t="str">
        <f>IFERROR(__xludf.DUMMYFUNCTION("""COMPUTED_VALUE"""),"4776104_1288871")</f>
        <v>4776104_1288871</v>
      </c>
      <c r="B68" s="43" t="str">
        <f>IFERROR(__xludf.DUMMYFUNCTION("""COMPUTED_VALUE"""),"Henchi Imene")</f>
        <v>Henchi Imene</v>
      </c>
      <c r="C68" s="43" t="str">
        <f>IFERROR(__xludf.DUMMYFUNCTION("""COMPUTED_VALUE"""),"realization_broken")</f>
        <v>realization_broken</v>
      </c>
      <c r="D68" s="43" t="str">
        <f>IFERROR(__xludf.DUMMYFUNCTION("""COMPUTED_VALUE"""),"No")</f>
        <v>No</v>
      </c>
      <c r="E68" s="43" t="str">
        <f>IFERROR(__xludf.DUMMYFUNCTION("""COMPUTED_VALUE"""),"p_81a3699d3fd416d24decf75a86af03ff31cd58e7@inbound.aiesec.org")</f>
        <v>p_81a3699d3fd416d24decf75a86af03ff31cd58e7@inbound.aiesec.org</v>
      </c>
      <c r="F68" s="43"/>
      <c r="G68" s="43" t="str">
        <f>IFERROR(__xludf.DUMMYFUNCTION("""COMPUTED_VALUE"""),"Tunisia")</f>
        <v>Tunisia</v>
      </c>
      <c r="H68" s="43" t="str">
        <f>IFERROR(__xludf.DUMMYFUNCTION("""COMPUTED_VALUE"""),"SFAX")</f>
        <v>SFAX</v>
      </c>
      <c r="I68" s="43" t="str">
        <f>IFERROR(__xludf.DUMMYFUNCTION("""COMPUTED_VALUE"""),"Turkey")</f>
        <v>Turkey</v>
      </c>
      <c r="J68" s="43" t="str">
        <f>IFERROR(__xludf.DUMMYFUNCTION("""COMPUTED_VALUE"""),"ISTANBUL ASIA")</f>
        <v>ISTANBUL ASIA</v>
      </c>
      <c r="K68" s="44" t="str">
        <f>IFERROR(__xludf.DUMMYFUNCTION("""COMPUTED_VALUE"""),"https://expa.aiesec.org/opportunities/1288871")</f>
        <v>https://expa.aiesec.org/opportunities/1288871</v>
      </c>
      <c r="L68" s="43" t="str">
        <f>IFERROR(__xludf.DUMMYFUNCTION("""COMPUTED_VALUE"""),"GTe")</f>
        <v>GTe</v>
      </c>
      <c r="M68" s="43" t="str">
        <f>IFERROR(__xludf.DUMMYFUNCTION("""COMPUTED_VALUE"""),"long")</f>
        <v>long</v>
      </c>
      <c r="N68" s="45">
        <f>IFERROR(__xludf.DUMMYFUNCTION("""COMPUTED_VALUE"""),44807.0)</f>
        <v>44807</v>
      </c>
      <c r="O68" s="45">
        <f>IFERROR(__xludf.DUMMYFUNCTION("""COMPUTED_VALUE"""),44809.0)</f>
        <v>44809</v>
      </c>
      <c r="P68" s="45">
        <f>IFERROR(__xludf.DUMMYFUNCTION("""COMPUTED_VALUE"""),45174.0)</f>
        <v>45174</v>
      </c>
      <c r="Q68" s="45"/>
      <c r="R68" s="45"/>
      <c r="S68" s="43"/>
      <c r="T68" s="43"/>
      <c r="U68" s="43" t="str">
        <f>IFERROR(__xludf.DUMMYFUNCTION("""COMPUTED_VALUE""")," English Teacher")</f>
        <v> English Teacher</v>
      </c>
      <c r="V68" s="43" t="str">
        <f>IFERROR(__xludf.DUMMYFUNCTION("""COMPUTED_VALUE"""),"-")</f>
        <v>-</v>
      </c>
      <c r="W68" s="43" t="str">
        <f>IFERROR(__xludf.DUMMYFUNCTION("""COMPUTED_VALUE"""),"2021-10-27T18:45:36Z")</f>
        <v>2021-10-27T18:45:36Z</v>
      </c>
      <c r="X68" s="43"/>
      <c r="Y68" s="43"/>
      <c r="Z68" s="43"/>
    </row>
    <row r="69" hidden="1">
      <c r="A69" s="43" t="str">
        <f>IFERROR(__xludf.DUMMYFUNCTION("""COMPUTED_VALUE"""),"1985110_1289326")</f>
        <v>1985110_1289326</v>
      </c>
      <c r="B69" s="43" t="str">
        <f>IFERROR(__xludf.DUMMYFUNCTION("""COMPUTED_VALUE"""),"Meriem Ould belabbas")</f>
        <v>Meriem Ould belabbas</v>
      </c>
      <c r="C69" s="43" t="str">
        <f>IFERROR(__xludf.DUMMYFUNCTION("""COMPUTED_VALUE"""),"completed")</f>
        <v>completed</v>
      </c>
      <c r="D69" s="43" t="str">
        <f>IFERROR(__xludf.DUMMYFUNCTION("""COMPUTED_VALUE"""),"No")</f>
        <v>No</v>
      </c>
      <c r="E69" s="43" t="str">
        <f>IFERROR(__xludf.DUMMYFUNCTION("""COMPUTED_VALUE"""),"p_5c9b8ed6079cc6ddd4b733e1f08b44cef5e588a3@inbound.aiesec.org")</f>
        <v>p_5c9b8ed6079cc6ddd4b733e1f08b44cef5e588a3@inbound.aiesec.org</v>
      </c>
      <c r="F69" s="43">
        <f>IFERROR(__xludf.DUMMYFUNCTION("""COMPUTED_VALUE"""),7.97790283E8)</f>
        <v>797790283</v>
      </c>
      <c r="G69" s="43" t="str">
        <f>IFERROR(__xludf.DUMMYFUNCTION("""COMPUTED_VALUE"""),"Algeria")</f>
        <v>Algeria</v>
      </c>
      <c r="H69" s="43" t="str">
        <f>IFERROR(__xludf.DUMMYFUNCTION("""COMPUTED_VALUE"""),"Benak")</f>
        <v>Benak</v>
      </c>
      <c r="I69" s="43" t="str">
        <f>IFERROR(__xludf.DUMMYFUNCTION("""COMPUTED_VALUE"""),"Turkey")</f>
        <v>Turkey</v>
      </c>
      <c r="J69" s="43" t="str">
        <f>IFERROR(__xludf.DUMMYFUNCTION("""COMPUTED_VALUE"""),"ANKARA")</f>
        <v>ANKARA</v>
      </c>
      <c r="K69" s="44" t="str">
        <f>IFERROR(__xludf.DUMMYFUNCTION("""COMPUTED_VALUE"""),"https://expa.aiesec.org/opportunities/1289326")</f>
        <v>https://expa.aiesec.org/opportunities/1289326</v>
      </c>
      <c r="L69" s="43" t="str">
        <f>IFERROR(__xludf.DUMMYFUNCTION("""COMPUTED_VALUE"""),"GTe")</f>
        <v>GTe</v>
      </c>
      <c r="M69" s="43" t="str">
        <f>IFERROR(__xludf.DUMMYFUNCTION("""COMPUTED_VALUE"""),"long")</f>
        <v>long</v>
      </c>
      <c r="N69" s="45">
        <f>IFERROR(__xludf.DUMMYFUNCTION("""COMPUTED_VALUE"""),44808.0)</f>
        <v>44808</v>
      </c>
      <c r="O69" s="45">
        <f>IFERROR(__xludf.DUMMYFUNCTION("""COMPUTED_VALUE"""),44823.0)</f>
        <v>44823</v>
      </c>
      <c r="P69" s="45">
        <f>IFERROR(__xludf.DUMMYFUNCTION("""COMPUTED_VALUE"""),45065.0)</f>
        <v>45065</v>
      </c>
      <c r="Q69" s="45">
        <f>IFERROR(__xludf.DUMMYFUNCTION("""COMPUTED_VALUE"""),44831.0)</f>
        <v>44831</v>
      </c>
      <c r="R69" s="45">
        <f>IFERROR(__xludf.DUMMYFUNCTION("""COMPUTED_VALUE"""),45073.0)</f>
        <v>45073</v>
      </c>
      <c r="S69" s="43"/>
      <c r="T69" s="43"/>
      <c r="U69" s="43" t="str">
        <f>IFERROR(__xludf.DUMMYFUNCTION("""COMPUTED_VALUE"""),"Kindergarden English Teacher")</f>
        <v>Kindergarden English Teacher</v>
      </c>
      <c r="V69" s="43" t="str">
        <f>IFERROR(__xludf.DUMMYFUNCTION("""COMPUTED_VALUE"""),"-")</f>
        <v>-</v>
      </c>
      <c r="W69" s="43" t="str">
        <f>IFERROR(__xludf.DUMMYFUNCTION("""COMPUTED_VALUE"""),"2018-01-08T20:29:44Z")</f>
        <v>2018-01-08T20:29:44Z</v>
      </c>
      <c r="X69" s="43"/>
      <c r="Y69" s="43"/>
      <c r="Z69" s="43"/>
    </row>
    <row r="70" hidden="1">
      <c r="A70" s="43" t="str">
        <f>IFERROR(__xludf.DUMMYFUNCTION("""COMPUTED_VALUE"""),"5103398_1287565")</f>
        <v>5103398_1287565</v>
      </c>
      <c r="B70" s="43" t="str">
        <f>IFERROR(__xludf.DUMMYFUNCTION("""COMPUTED_VALUE"""),"Asma Mahmoud")</f>
        <v>Asma Mahmoud</v>
      </c>
      <c r="C70" s="43" t="str">
        <f>IFERROR(__xludf.DUMMYFUNCTION("""COMPUTED_VALUE"""),"realization_broken")</f>
        <v>realization_broken</v>
      </c>
      <c r="D70" s="43" t="str">
        <f>IFERROR(__xludf.DUMMYFUNCTION("""COMPUTED_VALUE"""),"No")</f>
        <v>No</v>
      </c>
      <c r="E70" s="43" t="str">
        <f>IFERROR(__xludf.DUMMYFUNCTION("""COMPUTED_VALUE"""),"p_25cb4be79d85eb29dd2ba2c59b6833aadf6f99e9@inbound.aiesec.org")</f>
        <v>p_25cb4be79d85eb29dd2ba2c59b6833aadf6f99e9@inbound.aiesec.org</v>
      </c>
      <c r="F70" s="43"/>
      <c r="G70" s="43" t="str">
        <f>IFERROR(__xludf.DUMMYFUNCTION("""COMPUTED_VALUE"""),"Egypt")</f>
        <v>Egypt</v>
      </c>
      <c r="H70" s="43" t="str">
        <f>IFERROR(__xludf.DUMMYFUNCTION("""COMPUTED_VALUE"""),"6th October University")</f>
        <v>6th October University</v>
      </c>
      <c r="I70" s="43" t="str">
        <f>IFERROR(__xludf.DUMMYFUNCTION("""COMPUTED_VALUE"""),"Turkey")</f>
        <v>Turkey</v>
      </c>
      <c r="J70" s="43" t="str">
        <f>IFERROR(__xludf.DUMMYFUNCTION("""COMPUTED_VALUE"""),"ADANA")</f>
        <v>ADANA</v>
      </c>
      <c r="K70" s="44" t="str">
        <f>IFERROR(__xludf.DUMMYFUNCTION("""COMPUTED_VALUE"""),"https://expa.aiesec.org/opportunities/1287565")</f>
        <v>https://expa.aiesec.org/opportunities/1287565</v>
      </c>
      <c r="L70" s="43" t="str">
        <f>IFERROR(__xludf.DUMMYFUNCTION("""COMPUTED_VALUE"""),"GTe")</f>
        <v>GTe</v>
      </c>
      <c r="M70" s="43" t="str">
        <f>IFERROR(__xludf.DUMMYFUNCTION("""COMPUTED_VALUE"""),"long")</f>
        <v>long</v>
      </c>
      <c r="N70" s="45">
        <f>IFERROR(__xludf.DUMMYFUNCTION("""COMPUTED_VALUE"""),44808.0)</f>
        <v>44808</v>
      </c>
      <c r="O70" s="45">
        <f>IFERROR(__xludf.DUMMYFUNCTION("""COMPUTED_VALUE"""),44837.0)</f>
        <v>44837</v>
      </c>
      <c r="P70" s="45">
        <f>IFERROR(__xludf.DUMMYFUNCTION("""COMPUTED_VALUE"""),45205.0)</f>
        <v>45205</v>
      </c>
      <c r="Q70" s="45"/>
      <c r="R70" s="45"/>
      <c r="S70" s="43"/>
      <c r="T70" s="43"/>
      <c r="U70" s="43" t="str">
        <f>IFERROR(__xludf.DUMMYFUNCTION("""COMPUTED_VALUE"""),"English Teacher")</f>
        <v>English Teacher</v>
      </c>
      <c r="V70" s="43" t="str">
        <f>IFERROR(__xludf.DUMMYFUNCTION("""COMPUTED_VALUE"""),"-")</f>
        <v>-</v>
      </c>
      <c r="W70" s="43" t="str">
        <f>IFERROR(__xludf.DUMMYFUNCTION("""COMPUTED_VALUE"""),"2022-09-01T04:19:27Z")</f>
        <v>2022-09-01T04:19:27Z</v>
      </c>
      <c r="X70" s="43"/>
      <c r="Y70" s="43"/>
      <c r="Z70" s="43"/>
    </row>
    <row r="71" hidden="1">
      <c r="A71" s="43" t="str">
        <f>IFERROR(__xludf.DUMMYFUNCTION("""COMPUTED_VALUE"""),"5101087_1289328")</f>
        <v>5101087_1289328</v>
      </c>
      <c r="B71" s="43" t="str">
        <f>IFERROR(__xludf.DUMMYFUNCTION("""COMPUTED_VALUE"""),"Meriem Mekni")</f>
        <v>Meriem Mekni</v>
      </c>
      <c r="C71" s="43" t="str">
        <f>IFERROR(__xludf.DUMMYFUNCTION("""COMPUTED_VALUE"""),"completed")</f>
        <v>completed</v>
      </c>
      <c r="D71" s="43" t="str">
        <f>IFERROR(__xludf.DUMMYFUNCTION("""COMPUTED_VALUE"""),"No")</f>
        <v>No</v>
      </c>
      <c r="E71" s="43" t="str">
        <f>IFERROR(__xludf.DUMMYFUNCTION("""COMPUTED_VALUE"""),"p_7d2412353b602da489ee9f0957b13698ba59bc19@inbound.aiesec.org")</f>
        <v>p_7d2412353b602da489ee9f0957b13698ba59bc19@inbound.aiesec.org</v>
      </c>
      <c r="F71" s="43">
        <f>IFERROR(__xludf.DUMMYFUNCTION("""COMPUTED_VALUE"""),5.3037237E7)</f>
        <v>53037237</v>
      </c>
      <c r="G71" s="43" t="str">
        <f>IFERROR(__xludf.DUMMYFUNCTION("""COMPUTED_VALUE"""),"Tunisia")</f>
        <v>Tunisia</v>
      </c>
      <c r="H71" s="43" t="str">
        <f>IFERROR(__xludf.DUMMYFUNCTION("""COMPUTED_VALUE"""),"RUSPINA")</f>
        <v>RUSPINA</v>
      </c>
      <c r="I71" s="43" t="str">
        <f>IFERROR(__xludf.DUMMYFUNCTION("""COMPUTED_VALUE"""),"Turkey")</f>
        <v>Turkey</v>
      </c>
      <c r="J71" s="43" t="str">
        <f>IFERROR(__xludf.DUMMYFUNCTION("""COMPUTED_VALUE"""),"ANKARA")</f>
        <v>ANKARA</v>
      </c>
      <c r="K71" s="44" t="str">
        <f>IFERROR(__xludf.DUMMYFUNCTION("""COMPUTED_VALUE"""),"https://expa.aiesec.org/opportunities/1289328")</f>
        <v>https://expa.aiesec.org/opportunities/1289328</v>
      </c>
      <c r="L71" s="43" t="str">
        <f>IFERROR(__xludf.DUMMYFUNCTION("""COMPUTED_VALUE"""),"GTe")</f>
        <v>GTe</v>
      </c>
      <c r="M71" s="43" t="str">
        <f>IFERROR(__xludf.DUMMYFUNCTION("""COMPUTED_VALUE"""),"long")</f>
        <v>long</v>
      </c>
      <c r="N71" s="45">
        <f>IFERROR(__xludf.DUMMYFUNCTION("""COMPUTED_VALUE"""),44809.0)</f>
        <v>44809</v>
      </c>
      <c r="O71" s="45">
        <f>IFERROR(__xludf.DUMMYFUNCTION("""COMPUTED_VALUE"""),44823.0)</f>
        <v>44823</v>
      </c>
      <c r="P71" s="45">
        <f>IFERROR(__xludf.DUMMYFUNCTION("""COMPUTED_VALUE"""),45188.0)</f>
        <v>45188</v>
      </c>
      <c r="Q71" s="45">
        <f>IFERROR(__xludf.DUMMYFUNCTION("""COMPUTED_VALUE"""),44864.0)</f>
        <v>44864</v>
      </c>
      <c r="R71" s="45">
        <f>IFERROR(__xludf.DUMMYFUNCTION("""COMPUTED_VALUE"""),45229.0)</f>
        <v>45229</v>
      </c>
      <c r="S71" s="43"/>
      <c r="T71" s="43"/>
      <c r="U71" s="43" t="str">
        <f>IFERROR(__xludf.DUMMYFUNCTION("""COMPUTED_VALUE"""),"Language Teacher")</f>
        <v>Language Teacher</v>
      </c>
      <c r="V71" s="43" t="str">
        <f>IFERROR(__xludf.DUMMYFUNCTION("""COMPUTED_VALUE"""),"ISLAA Moknine")</f>
        <v>ISLAA Moknine</v>
      </c>
      <c r="W71" s="43" t="str">
        <f>IFERROR(__xludf.DUMMYFUNCTION("""COMPUTED_VALUE"""),"2022-08-28T12:51:42Z")</f>
        <v>2022-08-28T12:51:42Z</v>
      </c>
      <c r="X71" s="43"/>
      <c r="Y71" s="43"/>
      <c r="Z71" s="43"/>
    </row>
    <row r="72" hidden="1">
      <c r="A72" s="43" t="str">
        <f>IFERROR(__xludf.DUMMYFUNCTION("""COMPUTED_VALUE"""),"5102819_1287942")</f>
        <v>5102819_1287942</v>
      </c>
      <c r="B72" s="43" t="str">
        <f>IFERROR(__xludf.DUMMYFUNCTION("""COMPUTED_VALUE"""),"Sahila Aslanova")</f>
        <v>Sahila Aslanova</v>
      </c>
      <c r="C72" s="43" t="str">
        <f>IFERROR(__xludf.DUMMYFUNCTION("""COMPUTED_VALUE"""),"completed")</f>
        <v>completed</v>
      </c>
      <c r="D72" s="43" t="str">
        <f>IFERROR(__xludf.DUMMYFUNCTION("""COMPUTED_VALUE"""),"No")</f>
        <v>No</v>
      </c>
      <c r="E72" s="43" t="str">
        <f>IFERROR(__xludf.DUMMYFUNCTION("""COMPUTED_VALUE"""),"p_c255587b50875fa2daa2485ad8c6174ed2a92f54@inbound.aiesec.org")</f>
        <v>p_c255587b50875fa2daa2485ad8c6174ed2a92f54@inbound.aiesec.org</v>
      </c>
      <c r="F72" s="43">
        <f>IFERROR(__xludf.DUMMYFUNCTION("""COMPUTED_VALUE"""),7.05748929E8)</f>
        <v>705748929</v>
      </c>
      <c r="G72" s="43" t="str">
        <f>IFERROR(__xludf.DUMMYFUNCTION("""COMPUTED_VALUE"""),"Azerbaijan")</f>
        <v>Azerbaijan</v>
      </c>
      <c r="H72" s="43" t="str">
        <f>IFERROR(__xludf.DUMMYFUNCTION("""COMPUTED_VALUE"""),"Baku Qafqaz")</f>
        <v>Baku Qafqaz</v>
      </c>
      <c r="I72" s="43" t="str">
        <f>IFERROR(__xludf.DUMMYFUNCTION("""COMPUTED_VALUE"""),"Turkey")</f>
        <v>Turkey</v>
      </c>
      <c r="J72" s="43" t="str">
        <f>IFERROR(__xludf.DUMMYFUNCTION("""COMPUTED_VALUE"""),"İZMİR")</f>
        <v>İZMİR</v>
      </c>
      <c r="K72" s="44" t="str">
        <f>IFERROR(__xludf.DUMMYFUNCTION("""COMPUTED_VALUE"""),"https://expa.aiesec.org/opportunities/1287942")</f>
        <v>https://expa.aiesec.org/opportunities/1287942</v>
      </c>
      <c r="L72" s="43" t="str">
        <f>IFERROR(__xludf.DUMMYFUNCTION("""COMPUTED_VALUE"""),"GTe")</f>
        <v>GTe</v>
      </c>
      <c r="M72" s="43" t="str">
        <f>IFERROR(__xludf.DUMMYFUNCTION("""COMPUTED_VALUE"""),"long")</f>
        <v>long</v>
      </c>
      <c r="N72" s="45">
        <f>IFERROR(__xludf.DUMMYFUNCTION("""COMPUTED_VALUE"""),44809.0)</f>
        <v>44809</v>
      </c>
      <c r="O72" s="45">
        <f>IFERROR(__xludf.DUMMYFUNCTION("""COMPUTED_VALUE"""),44822.0)</f>
        <v>44822</v>
      </c>
      <c r="P72" s="45">
        <f>IFERROR(__xludf.DUMMYFUNCTION("""COMPUTED_VALUE"""),45125.0)</f>
        <v>45125</v>
      </c>
      <c r="Q72" s="45">
        <f>IFERROR(__xludf.DUMMYFUNCTION("""COMPUTED_VALUE"""),44819.0)</f>
        <v>44819</v>
      </c>
      <c r="R72" s="45">
        <f>IFERROR(__xludf.DUMMYFUNCTION("""COMPUTED_VALUE"""),45184.0)</f>
        <v>45184</v>
      </c>
      <c r="S72" s="43"/>
      <c r="T72" s="43"/>
      <c r="U72" s="43" t="str">
        <f>IFERROR(__xludf.DUMMYFUNCTION("""COMPUTED_VALUE"""),"Kindergarten English Teacher")</f>
        <v>Kindergarten English Teacher</v>
      </c>
      <c r="V72" s="43" t="str">
        <f>IFERROR(__xludf.DUMMYFUNCTION("""COMPUTED_VALUE"""),"Azerbaijan University of Languages")</f>
        <v>Azerbaijan University of Languages</v>
      </c>
      <c r="W72" s="43" t="str">
        <f>IFERROR(__xludf.DUMMYFUNCTION("""COMPUTED_VALUE"""),"2022-08-31T09:26:07Z")</f>
        <v>2022-08-31T09:26:07Z</v>
      </c>
      <c r="X72" s="43"/>
      <c r="Y72" s="43"/>
      <c r="Z72" s="43"/>
    </row>
    <row r="73" hidden="1">
      <c r="A73" s="43" t="str">
        <f>IFERROR(__xludf.DUMMYFUNCTION("""COMPUTED_VALUE"""),"1812189_1284668")</f>
        <v>1812189_1284668</v>
      </c>
      <c r="B73" s="43" t="str">
        <f>IFERROR(__xludf.DUMMYFUNCTION("""COMPUTED_VALUE"""),"Alaaallah Abdallah")</f>
        <v>Alaaallah Abdallah</v>
      </c>
      <c r="C73" s="43" t="str">
        <f>IFERROR(__xludf.DUMMYFUNCTION("""COMPUTED_VALUE"""),"completed")</f>
        <v>completed</v>
      </c>
      <c r="D73" s="43" t="str">
        <f>IFERROR(__xludf.DUMMYFUNCTION("""COMPUTED_VALUE"""),"No")</f>
        <v>No</v>
      </c>
      <c r="E73" s="43" t="str">
        <f>IFERROR(__xludf.DUMMYFUNCTION("""COMPUTED_VALUE"""),"p_52cba29fa5ecdbba131d391af8fa7abc6b5b5b21@inbound.aiesec.org")</f>
        <v>p_52cba29fa5ecdbba131d391af8fa7abc6b5b5b21@inbound.aiesec.org</v>
      </c>
      <c r="F73" s="43">
        <f>IFERROR(__xludf.DUMMYFUNCTION("""COMPUTED_VALUE"""),1.022406015E9)</f>
        <v>1022406015</v>
      </c>
      <c r="G73" s="43" t="str">
        <f>IFERROR(__xludf.DUMMYFUNCTION("""COMPUTED_VALUE"""),"Egypt")</f>
        <v>Egypt</v>
      </c>
      <c r="H73" s="43" t="str">
        <f>IFERROR(__xludf.DUMMYFUNCTION("""COMPUTED_VALUE"""),"Luxor &amp; Aswan (Closed)")</f>
        <v>Luxor &amp; Aswan (Closed)</v>
      </c>
      <c r="I73" s="43" t="str">
        <f>IFERROR(__xludf.DUMMYFUNCTION("""COMPUTED_VALUE"""),"Turkey")</f>
        <v>Turkey</v>
      </c>
      <c r="J73" s="43" t="str">
        <f>IFERROR(__xludf.DUMMYFUNCTION("""COMPUTED_VALUE"""),"BURSA")</f>
        <v>BURSA</v>
      </c>
      <c r="K73" s="44" t="str">
        <f>IFERROR(__xludf.DUMMYFUNCTION("""COMPUTED_VALUE"""),"https://expa.aiesec.org/opportunities/1284668")</f>
        <v>https://expa.aiesec.org/opportunities/1284668</v>
      </c>
      <c r="L73" s="43" t="str">
        <f>IFERROR(__xludf.DUMMYFUNCTION("""COMPUTED_VALUE"""),"GTe")</f>
        <v>GTe</v>
      </c>
      <c r="M73" s="43" t="str">
        <f>IFERROR(__xludf.DUMMYFUNCTION("""COMPUTED_VALUE"""),"long")</f>
        <v>long</v>
      </c>
      <c r="N73" s="45">
        <f>IFERROR(__xludf.DUMMYFUNCTION("""COMPUTED_VALUE"""),44809.0)</f>
        <v>44809</v>
      </c>
      <c r="O73" s="45">
        <f>IFERROR(__xludf.DUMMYFUNCTION("""COMPUTED_VALUE"""),44837.0)</f>
        <v>44837</v>
      </c>
      <c r="P73" s="45">
        <f>IFERROR(__xludf.DUMMYFUNCTION("""COMPUTED_VALUE"""),45080.0)</f>
        <v>45080</v>
      </c>
      <c r="Q73" s="45">
        <f>IFERROR(__xludf.DUMMYFUNCTION("""COMPUTED_VALUE"""),44869.0)</f>
        <v>44869</v>
      </c>
      <c r="R73" s="45">
        <f>IFERROR(__xludf.DUMMYFUNCTION("""COMPUTED_VALUE"""),45232.0)</f>
        <v>45232</v>
      </c>
      <c r="S73" s="43"/>
      <c r="T73" s="43"/>
      <c r="U73" s="43" t="str">
        <f>IFERROR(__xludf.DUMMYFUNCTION("""COMPUTED_VALUE"""),"Kindergarden Teacher")</f>
        <v>Kindergarden Teacher</v>
      </c>
      <c r="V73" s="43" t="str">
        <f>IFERROR(__xludf.DUMMYFUNCTION("""COMPUTED_VALUE"""),"-")</f>
        <v>-</v>
      </c>
      <c r="W73" s="43" t="str">
        <f>IFERROR(__xludf.DUMMYFUNCTION("""COMPUTED_VALUE"""),"2017-10-23T08:56:25Z")</f>
        <v>2017-10-23T08:56:25Z</v>
      </c>
      <c r="X73" s="43"/>
      <c r="Y73" s="43"/>
      <c r="Z73" s="43"/>
    </row>
    <row r="74" hidden="1">
      <c r="A74" s="43" t="str">
        <f>IFERROR(__xludf.DUMMYFUNCTION("""COMPUTED_VALUE"""),"5048772_1283385")</f>
        <v>5048772_1283385</v>
      </c>
      <c r="B74" s="43" t="str">
        <f>IFERROR(__xludf.DUMMYFUNCTION("""COMPUTED_VALUE"""),"Cassandra Paterson")</f>
        <v>Cassandra Paterson</v>
      </c>
      <c r="C74" s="43" t="str">
        <f>IFERROR(__xludf.DUMMYFUNCTION("""COMPUTED_VALUE"""),"finished")</f>
        <v>finished</v>
      </c>
      <c r="D74" s="43" t="str">
        <f>IFERROR(__xludf.DUMMYFUNCTION("""COMPUTED_VALUE"""),"No")</f>
        <v>No</v>
      </c>
      <c r="E74" s="43" t="str">
        <f>IFERROR(__xludf.DUMMYFUNCTION("""COMPUTED_VALUE"""),"p_235f9beff40f7050d74e4f89a4461ebddb738f6a@inbound.aiesec.org")</f>
        <v>p_235f9beff40f7050d74e4f89a4461ebddb738f6a@inbound.aiesec.org</v>
      </c>
      <c r="F74" s="43">
        <f>IFERROR(__xludf.DUMMYFUNCTION("""COMPUTED_VALUE"""),6.15230477E8)</f>
        <v>615230477</v>
      </c>
      <c r="G74" s="43" t="str">
        <f>IFERROR(__xludf.DUMMYFUNCTION("""COMPUTED_VALUE"""),"South Africa")</f>
        <v>South Africa</v>
      </c>
      <c r="H74" s="43" t="str">
        <f>IFERROR(__xludf.DUMMYFUNCTION("""COMPUTED_VALUE"""),"University of Cape Town")</f>
        <v>University of Cape Town</v>
      </c>
      <c r="I74" s="43" t="str">
        <f>IFERROR(__xludf.DUMMYFUNCTION("""COMPUTED_VALUE"""),"Turkey")</f>
        <v>Turkey</v>
      </c>
      <c r="J74" s="43" t="str">
        <f>IFERROR(__xludf.DUMMYFUNCTION("""COMPUTED_VALUE"""),"BURSA")</f>
        <v>BURSA</v>
      </c>
      <c r="K74" s="44" t="str">
        <f>IFERROR(__xludf.DUMMYFUNCTION("""COMPUTED_VALUE"""),"https://expa.aiesec.org/opportunities/1283385")</f>
        <v>https://expa.aiesec.org/opportunities/1283385</v>
      </c>
      <c r="L74" s="43" t="str">
        <f>IFERROR(__xludf.DUMMYFUNCTION("""COMPUTED_VALUE"""),"GTe")</f>
        <v>GTe</v>
      </c>
      <c r="M74" s="43" t="str">
        <f>IFERROR(__xludf.DUMMYFUNCTION("""COMPUTED_VALUE"""),"long")</f>
        <v>long</v>
      </c>
      <c r="N74" s="45">
        <f>IFERROR(__xludf.DUMMYFUNCTION("""COMPUTED_VALUE"""),44809.0)</f>
        <v>44809</v>
      </c>
      <c r="O74" s="45">
        <f>IFERROR(__xludf.DUMMYFUNCTION("""COMPUTED_VALUE"""),44725.0)</f>
        <v>44725</v>
      </c>
      <c r="P74" s="45">
        <f>IFERROR(__xludf.DUMMYFUNCTION("""COMPUTED_VALUE"""),45090.0)</f>
        <v>45090</v>
      </c>
      <c r="Q74" s="45">
        <f>IFERROR(__xludf.DUMMYFUNCTION("""COMPUTED_VALUE"""),44867.0)</f>
        <v>44867</v>
      </c>
      <c r="R74" s="45">
        <f>IFERROR(__xludf.DUMMYFUNCTION("""COMPUTED_VALUE"""),45231.0)</f>
        <v>45231</v>
      </c>
      <c r="S74" s="43"/>
      <c r="T74" s="43"/>
      <c r="U74" s="43" t="str">
        <f>IFERROR(__xludf.DUMMYFUNCTION("""COMPUTED_VALUE"""),"English Teacher")</f>
        <v>English Teacher</v>
      </c>
      <c r="V74" s="43" t="str">
        <f>IFERROR(__xludf.DUMMYFUNCTION("""COMPUTED_VALUE"""),"University of Cape Town ")</f>
        <v>University of Cape Town </v>
      </c>
      <c r="W74" s="43" t="str">
        <f>IFERROR(__xludf.DUMMYFUNCTION("""COMPUTED_VALUE"""),"2022-04-29T20:19:52Z")</f>
        <v>2022-04-29T20:19:52Z</v>
      </c>
      <c r="X74" s="43"/>
      <c r="Y74" s="43"/>
      <c r="Z74" s="43"/>
    </row>
    <row r="75" hidden="1">
      <c r="A75" s="43" t="str">
        <f>IFERROR(__xludf.DUMMYFUNCTION("""COMPUTED_VALUE"""),"3006681_1288864")</f>
        <v>3006681_1288864</v>
      </c>
      <c r="B75" s="43" t="str">
        <f>IFERROR(__xludf.DUMMYFUNCTION("""COMPUTED_VALUE"""),"Salah El Hassnaoui")</f>
        <v>Salah El Hassnaoui</v>
      </c>
      <c r="C75" s="43" t="str">
        <f>IFERROR(__xludf.DUMMYFUNCTION("""COMPUTED_VALUE"""),"realization_broken")</f>
        <v>realization_broken</v>
      </c>
      <c r="D75" s="43" t="str">
        <f>IFERROR(__xludf.DUMMYFUNCTION("""COMPUTED_VALUE"""),"No")</f>
        <v>No</v>
      </c>
      <c r="E75" s="43" t="str">
        <f>IFERROR(__xludf.DUMMYFUNCTION("""COMPUTED_VALUE"""),"p_df3b69dc07a5bae41645315752a4c4d524215db2@inbound.aiesec.org")</f>
        <v>p_df3b69dc07a5bae41645315752a4c4d524215db2@inbound.aiesec.org</v>
      </c>
      <c r="F75" s="43">
        <f>IFERROR(__xludf.DUMMYFUNCTION("""COMPUTED_VALUE"""),7.08774026E8)</f>
        <v>708774026</v>
      </c>
      <c r="G75" s="43" t="str">
        <f>IFERROR(__xludf.DUMMYFUNCTION("""COMPUTED_VALUE"""),"Morocco")</f>
        <v>Morocco</v>
      </c>
      <c r="H75" s="43" t="str">
        <f>IFERROR(__xludf.DUMMYFUNCTION("""COMPUTED_VALUE"""),"Meknes")</f>
        <v>Meknes</v>
      </c>
      <c r="I75" s="43" t="str">
        <f>IFERROR(__xludf.DUMMYFUNCTION("""COMPUTED_VALUE"""),"Turkey")</f>
        <v>Turkey</v>
      </c>
      <c r="J75" s="43" t="str">
        <f>IFERROR(__xludf.DUMMYFUNCTION("""COMPUTED_VALUE"""),"KOCAELI")</f>
        <v>KOCAELI</v>
      </c>
      <c r="K75" s="44" t="str">
        <f>IFERROR(__xludf.DUMMYFUNCTION("""COMPUTED_VALUE"""),"https://expa.aiesec.org/opportunities/1288864")</f>
        <v>https://expa.aiesec.org/opportunities/1288864</v>
      </c>
      <c r="L75" s="43" t="str">
        <f>IFERROR(__xludf.DUMMYFUNCTION("""COMPUTED_VALUE"""),"GTe")</f>
        <v>GTe</v>
      </c>
      <c r="M75" s="43" t="str">
        <f>IFERROR(__xludf.DUMMYFUNCTION("""COMPUTED_VALUE"""),"long")</f>
        <v>long</v>
      </c>
      <c r="N75" s="45">
        <f>IFERROR(__xludf.DUMMYFUNCTION("""COMPUTED_VALUE"""),44810.0)</f>
        <v>44810</v>
      </c>
      <c r="O75" s="45">
        <f>IFERROR(__xludf.DUMMYFUNCTION("""COMPUTED_VALUE"""),44816.0)</f>
        <v>44816</v>
      </c>
      <c r="P75" s="45">
        <f>IFERROR(__xludf.DUMMYFUNCTION("""COMPUTED_VALUE"""),45078.0)</f>
        <v>45078</v>
      </c>
      <c r="Q75" s="45"/>
      <c r="R75" s="45"/>
      <c r="S75" s="43"/>
      <c r="T75" s="43"/>
      <c r="U75" s="43" t="str">
        <f>IFERROR(__xludf.DUMMYFUNCTION("""COMPUTED_VALUE"""),"English Teacher in Pelikan College")</f>
        <v>English Teacher in Pelikan College</v>
      </c>
      <c r="V75" s="43" t="str">
        <f>IFERROR(__xludf.DUMMYFUNCTION("""COMPUTED_VALUE"""),"Other-MEKNES")</f>
        <v>Other-MEKNES</v>
      </c>
      <c r="W75" s="43" t="str">
        <f>IFERROR(__xludf.DUMMYFUNCTION("""COMPUTED_VALUE"""),"2019-01-07T22:42:55Z")</f>
        <v>2019-01-07T22:42:55Z</v>
      </c>
      <c r="X75" s="43"/>
      <c r="Y75" s="43"/>
      <c r="Z75" s="43"/>
    </row>
    <row r="76" hidden="1">
      <c r="A76" s="43" t="str">
        <f>IFERROR(__xludf.DUMMYFUNCTION("""COMPUTED_VALUE"""),"3095072_1278449")</f>
        <v>3095072_1278449</v>
      </c>
      <c r="B76" s="43" t="str">
        <f>IFERROR(__xludf.DUMMYFUNCTION("""COMPUTED_VALUE"""),"Ataallah Fathi")</f>
        <v>Ataallah Fathi</v>
      </c>
      <c r="C76" s="43" t="str">
        <f>IFERROR(__xludf.DUMMYFUNCTION("""COMPUTED_VALUE"""),"completed")</f>
        <v>completed</v>
      </c>
      <c r="D76" s="43" t="str">
        <f>IFERROR(__xludf.DUMMYFUNCTION("""COMPUTED_VALUE"""),"No")</f>
        <v>No</v>
      </c>
      <c r="E76" s="43" t="str">
        <f>IFERROR(__xludf.DUMMYFUNCTION("""COMPUTED_VALUE"""),"p_19686e08a6ee1bb51c87a450323ff6380f57a6e4@inbound.aiesec.org")</f>
        <v>p_19686e08a6ee1bb51c87a450323ff6380f57a6e4@inbound.aiesec.org</v>
      </c>
      <c r="F76" s="43">
        <f>IFERROR(__xludf.DUMMYFUNCTION("""COMPUTED_VALUE"""),5.40275433E8)</f>
        <v>540275433</v>
      </c>
      <c r="G76" s="43" t="str">
        <f>IFERROR(__xludf.DUMMYFUNCTION("""COMPUTED_VALUE"""),"Algeria")</f>
        <v>Algeria</v>
      </c>
      <c r="H76" s="43" t="str">
        <f>IFERROR(__xludf.DUMMYFUNCTION("""COMPUTED_VALUE"""),"Benak")</f>
        <v>Benak</v>
      </c>
      <c r="I76" s="43" t="str">
        <f>IFERROR(__xludf.DUMMYFUNCTION("""COMPUTED_VALUE"""),"Turkey")</f>
        <v>Turkey</v>
      </c>
      <c r="J76" s="43" t="str">
        <f>IFERROR(__xludf.DUMMYFUNCTION("""COMPUTED_VALUE"""),"KOCAELI")</f>
        <v>KOCAELI</v>
      </c>
      <c r="K76" s="44" t="str">
        <f>IFERROR(__xludf.DUMMYFUNCTION("""COMPUTED_VALUE"""),"https://expa.aiesec.org/opportunities/1278449")</f>
        <v>https://expa.aiesec.org/opportunities/1278449</v>
      </c>
      <c r="L76" s="43" t="str">
        <f>IFERROR(__xludf.DUMMYFUNCTION("""COMPUTED_VALUE"""),"GTe")</f>
        <v>GTe</v>
      </c>
      <c r="M76" s="43" t="str">
        <f>IFERROR(__xludf.DUMMYFUNCTION("""COMPUTED_VALUE"""),"long")</f>
        <v>long</v>
      </c>
      <c r="N76" s="45">
        <f>IFERROR(__xludf.DUMMYFUNCTION("""COMPUTED_VALUE"""),44811.0)</f>
        <v>44811</v>
      </c>
      <c r="O76" s="45">
        <f>IFERROR(__xludf.DUMMYFUNCTION("""COMPUTED_VALUE"""),44816.0)</f>
        <v>44816</v>
      </c>
      <c r="P76" s="45">
        <f>IFERROR(__xludf.DUMMYFUNCTION("""COMPUTED_VALUE"""),45107.0)</f>
        <v>45107</v>
      </c>
      <c r="Q76" s="45">
        <f>IFERROR(__xludf.DUMMYFUNCTION("""COMPUTED_VALUE"""),44846.0)</f>
        <v>44846</v>
      </c>
      <c r="R76" s="45">
        <f>IFERROR(__xludf.DUMMYFUNCTION("""COMPUTED_VALUE"""),45107.0)</f>
        <v>45107</v>
      </c>
      <c r="S76" s="43"/>
      <c r="T76" s="43"/>
      <c r="U76" s="43" t="str">
        <f>IFERROR(__xludf.DUMMYFUNCTION("""COMPUTED_VALUE"""),"English Teacher In Uğur Okulları")</f>
        <v>English Teacher In Uğur Okulları</v>
      </c>
      <c r="V76" s="43" t="str">
        <f>IFERROR(__xludf.DUMMYFUNCTION("""COMPUTED_VALUE"""),"-")</f>
        <v>-</v>
      </c>
      <c r="W76" s="43" t="str">
        <f>IFERROR(__xludf.DUMMYFUNCTION("""COMPUTED_VALUE"""),"2019-02-19T23:40:17Z")</f>
        <v>2019-02-19T23:40:17Z</v>
      </c>
      <c r="X76" s="43"/>
      <c r="Y76" s="43"/>
      <c r="Z76" s="43"/>
    </row>
    <row r="77" hidden="1">
      <c r="A77" s="43" t="str">
        <f>IFERROR(__xludf.DUMMYFUNCTION("""COMPUTED_VALUE"""),"2995807_1284618")</f>
        <v>2995807_1284618</v>
      </c>
      <c r="B77" s="43" t="str">
        <f>IFERROR(__xludf.DUMMYFUNCTION("""COMPUTED_VALUE"""),"Nour Dahmane")</f>
        <v>Nour Dahmane</v>
      </c>
      <c r="C77" s="43" t="str">
        <f>IFERROR(__xludf.DUMMYFUNCTION("""COMPUTED_VALUE"""),"completed")</f>
        <v>completed</v>
      </c>
      <c r="D77" s="43" t="str">
        <f>IFERROR(__xludf.DUMMYFUNCTION("""COMPUTED_VALUE"""),"No")</f>
        <v>No</v>
      </c>
      <c r="E77" s="43" t="str">
        <f>IFERROR(__xludf.DUMMYFUNCTION("""COMPUTED_VALUE"""),"p_275fdfbf7fcc54f1d39a63b06699b3c82749895f@inbound.aiesec.org")</f>
        <v>p_275fdfbf7fcc54f1d39a63b06699b3c82749895f@inbound.aiesec.org</v>
      </c>
      <c r="F77" s="43">
        <f>IFERROR(__xludf.DUMMYFUNCTION("""COMPUTED_VALUE"""),6.59700566E8)</f>
        <v>659700566</v>
      </c>
      <c r="G77" s="43" t="str">
        <f>IFERROR(__xludf.DUMMYFUNCTION("""COMPUTED_VALUE"""),"Algeria")</f>
        <v>Algeria</v>
      </c>
      <c r="H77" s="43" t="str">
        <f>IFERROR(__xludf.DUMMYFUNCTION("""COMPUTED_VALUE"""),"Ouargla")</f>
        <v>Ouargla</v>
      </c>
      <c r="I77" s="43" t="str">
        <f>IFERROR(__xludf.DUMMYFUNCTION("""COMPUTED_VALUE"""),"Turkey")</f>
        <v>Turkey</v>
      </c>
      <c r="J77" s="43" t="str">
        <f>IFERROR(__xludf.DUMMYFUNCTION("""COMPUTED_VALUE"""),"ESKISEHIR")</f>
        <v>ESKISEHIR</v>
      </c>
      <c r="K77" s="44" t="str">
        <f>IFERROR(__xludf.DUMMYFUNCTION("""COMPUTED_VALUE"""),"https://expa.aiesec.org/opportunities/1284618")</f>
        <v>https://expa.aiesec.org/opportunities/1284618</v>
      </c>
      <c r="L77" s="43" t="str">
        <f>IFERROR(__xludf.DUMMYFUNCTION("""COMPUTED_VALUE"""),"GTe")</f>
        <v>GTe</v>
      </c>
      <c r="M77" s="43" t="str">
        <f>IFERROR(__xludf.DUMMYFUNCTION("""COMPUTED_VALUE"""),"long")</f>
        <v>long</v>
      </c>
      <c r="N77" s="45">
        <f>IFERROR(__xludf.DUMMYFUNCTION("""COMPUTED_VALUE"""),44813.0)</f>
        <v>44813</v>
      </c>
      <c r="O77" s="45">
        <f>IFERROR(__xludf.DUMMYFUNCTION("""COMPUTED_VALUE"""),44802.0)</f>
        <v>44802</v>
      </c>
      <c r="P77" s="45">
        <f>IFERROR(__xludf.DUMMYFUNCTION("""COMPUTED_VALUE"""),45166.0)</f>
        <v>45166</v>
      </c>
      <c r="Q77" s="45">
        <f>IFERROR(__xludf.DUMMYFUNCTION("""COMPUTED_VALUE"""),44819.0)</f>
        <v>44819</v>
      </c>
      <c r="R77" s="45">
        <f>IFERROR(__xludf.DUMMYFUNCTION("""COMPUTED_VALUE"""),45026.0)</f>
        <v>45026</v>
      </c>
      <c r="S77" s="43"/>
      <c r="T77" s="43"/>
      <c r="U77" s="43" t="str">
        <f>IFERROR(__xludf.DUMMYFUNCTION("""COMPUTED_VALUE"""),"English Teacher at Minidil")</f>
        <v>English Teacher at Minidil</v>
      </c>
      <c r="V77" s="43" t="str">
        <f>IFERROR(__xludf.DUMMYFUNCTION("""COMPUTED_VALUE"""),"AIESEC in Benak")</f>
        <v>AIESEC in Benak</v>
      </c>
      <c r="W77" s="43" t="str">
        <f>IFERROR(__xludf.DUMMYFUNCTION("""COMPUTED_VALUE"""),"2018-12-27T10:33:19Z")</f>
        <v>2018-12-27T10:33:19Z</v>
      </c>
      <c r="X77" s="43"/>
      <c r="Y77" s="43"/>
      <c r="Z77" s="43"/>
    </row>
    <row r="78" hidden="1">
      <c r="A78" s="43" t="str">
        <f>IFERROR(__xludf.DUMMYFUNCTION("""COMPUTED_VALUE"""),"5109385_1263211")</f>
        <v>5109385_1263211</v>
      </c>
      <c r="B78" s="43" t="str">
        <f>IFERROR(__xludf.DUMMYFUNCTION("""COMPUTED_VALUE"""),"Abir Ferroukhi")</f>
        <v>Abir Ferroukhi</v>
      </c>
      <c r="C78" s="43" t="str">
        <f>IFERROR(__xludf.DUMMYFUNCTION("""COMPUTED_VALUE"""),"completed")</f>
        <v>completed</v>
      </c>
      <c r="D78" s="43" t="str">
        <f>IFERROR(__xludf.DUMMYFUNCTION("""COMPUTED_VALUE"""),"No")</f>
        <v>No</v>
      </c>
      <c r="E78" s="43" t="str">
        <f>IFERROR(__xludf.DUMMYFUNCTION("""COMPUTED_VALUE"""),"p_8aaefb7318c9a81e8a167297c97f66a800c597a5@inbound.aiesec.org")</f>
        <v>p_8aaefb7318c9a81e8a167297c97f66a800c597a5@inbound.aiesec.org</v>
      </c>
      <c r="F78" s="43">
        <f>IFERROR(__xludf.DUMMYFUNCTION("""COMPUTED_VALUE"""),5.5671889E8)</f>
        <v>556718890</v>
      </c>
      <c r="G78" s="43" t="str">
        <f>IFERROR(__xludf.DUMMYFUNCTION("""COMPUTED_VALUE"""),"Algeria")</f>
        <v>Algeria</v>
      </c>
      <c r="H78" s="43" t="str">
        <f>IFERROR(__xludf.DUMMYFUNCTION("""COMPUTED_VALUE"""),"Blida")</f>
        <v>Blida</v>
      </c>
      <c r="I78" s="43" t="str">
        <f>IFERROR(__xludf.DUMMYFUNCTION("""COMPUTED_VALUE"""),"Turkey")</f>
        <v>Turkey</v>
      </c>
      <c r="J78" s="43" t="str">
        <f>IFERROR(__xludf.DUMMYFUNCTION("""COMPUTED_VALUE"""),"İZMİR")</f>
        <v>İZMİR</v>
      </c>
      <c r="K78" s="44" t="str">
        <f>IFERROR(__xludf.DUMMYFUNCTION("""COMPUTED_VALUE"""),"https://expa.aiesec.org/opportunities/1263211")</f>
        <v>https://expa.aiesec.org/opportunities/1263211</v>
      </c>
      <c r="L78" s="43" t="str">
        <f>IFERROR(__xludf.DUMMYFUNCTION("""COMPUTED_VALUE"""),"GTe")</f>
        <v>GTe</v>
      </c>
      <c r="M78" s="43" t="str">
        <f>IFERROR(__xludf.DUMMYFUNCTION("""COMPUTED_VALUE"""),"long")</f>
        <v>long</v>
      </c>
      <c r="N78" s="45">
        <f>IFERROR(__xludf.DUMMYFUNCTION("""COMPUTED_VALUE"""),44815.0)</f>
        <v>44815</v>
      </c>
      <c r="O78" s="45">
        <f>IFERROR(__xludf.DUMMYFUNCTION("""COMPUTED_VALUE"""),44827.0)</f>
        <v>44827</v>
      </c>
      <c r="P78" s="45">
        <f>IFERROR(__xludf.DUMMYFUNCTION("""COMPUTED_VALUE"""),45192.0)</f>
        <v>45192</v>
      </c>
      <c r="Q78" s="45"/>
      <c r="R78" s="45">
        <f>IFERROR(__xludf.DUMMYFUNCTION("""COMPUTED_VALUE"""),45192.0)</f>
        <v>45192</v>
      </c>
      <c r="S78" s="43"/>
      <c r="T78" s="43"/>
      <c r="U78" s="43" t="str">
        <f>IFERROR(__xludf.DUMMYFUNCTION("""COMPUTED_VALUE"""),"English Teacher")</f>
        <v>English Teacher</v>
      </c>
      <c r="V78" s="43" t="str">
        <f>IFERROR(__xludf.DUMMYFUNCTION("""COMPUTED_VALUE"""),"AIESEC in Blida")</f>
        <v>AIESEC in Blida</v>
      </c>
      <c r="W78" s="43" t="str">
        <f>IFERROR(__xludf.DUMMYFUNCTION("""COMPUTED_VALUE"""),"2022-09-10T12:51:44Z")</f>
        <v>2022-09-10T12:51:44Z</v>
      </c>
      <c r="X78" s="43"/>
      <c r="Y78" s="43"/>
      <c r="Z78" s="43"/>
    </row>
    <row r="79" hidden="1">
      <c r="A79" s="43" t="str">
        <f>IFERROR(__xludf.DUMMYFUNCTION("""COMPUTED_VALUE"""),"5111353_1282578")</f>
        <v>5111353_1282578</v>
      </c>
      <c r="B79" s="43" t="str">
        <f>IFERROR(__xludf.DUMMYFUNCTION("""COMPUTED_VALUE"""),"Malek El Bey")</f>
        <v>Malek El Bey</v>
      </c>
      <c r="C79" s="43" t="str">
        <f>IFERROR(__xludf.DUMMYFUNCTION("""COMPUTED_VALUE"""),"finished")</f>
        <v>finished</v>
      </c>
      <c r="D79" s="43" t="str">
        <f>IFERROR(__xludf.DUMMYFUNCTION("""COMPUTED_VALUE"""),"No")</f>
        <v>No</v>
      </c>
      <c r="E79" s="43" t="str">
        <f>IFERROR(__xludf.DUMMYFUNCTION("""COMPUTED_VALUE"""),"p_f604c24d04001f0c1eb0464d941783b7c353579e@inbound.aiesec.org")</f>
        <v>p_f604c24d04001f0c1eb0464d941783b7c353579e@inbound.aiesec.org</v>
      </c>
      <c r="F79" s="43"/>
      <c r="G79" s="43" t="str">
        <f>IFERROR(__xludf.DUMMYFUNCTION("""COMPUTED_VALUE"""),"Tunisia")</f>
        <v>Tunisia</v>
      </c>
      <c r="H79" s="43" t="str">
        <f>IFERROR(__xludf.DUMMYFUNCTION("""COMPUTED_VALUE"""),"HADRUMET")</f>
        <v>HADRUMET</v>
      </c>
      <c r="I79" s="43" t="str">
        <f>IFERROR(__xludf.DUMMYFUNCTION("""COMPUTED_VALUE"""),"Turkey")</f>
        <v>Turkey</v>
      </c>
      <c r="J79" s="43" t="str">
        <f>IFERROR(__xludf.DUMMYFUNCTION("""COMPUTED_VALUE"""),"BURSA")</f>
        <v>BURSA</v>
      </c>
      <c r="K79" s="44" t="str">
        <f>IFERROR(__xludf.DUMMYFUNCTION("""COMPUTED_VALUE"""),"https://expa.aiesec.org/opportunities/1282578")</f>
        <v>https://expa.aiesec.org/opportunities/1282578</v>
      </c>
      <c r="L79" s="43" t="str">
        <f>IFERROR(__xludf.DUMMYFUNCTION("""COMPUTED_VALUE"""),"GTe")</f>
        <v>GTe</v>
      </c>
      <c r="M79" s="43" t="str">
        <f>IFERROR(__xludf.DUMMYFUNCTION("""COMPUTED_VALUE"""),"long")</f>
        <v>long</v>
      </c>
      <c r="N79" s="45">
        <f>IFERROR(__xludf.DUMMYFUNCTION("""COMPUTED_VALUE"""),44817.0)</f>
        <v>44817</v>
      </c>
      <c r="O79" s="45">
        <f>IFERROR(__xludf.DUMMYFUNCTION("""COMPUTED_VALUE"""),44858.0)</f>
        <v>44858</v>
      </c>
      <c r="P79" s="45">
        <f>IFERROR(__xludf.DUMMYFUNCTION("""COMPUTED_VALUE"""),45223.0)</f>
        <v>45223</v>
      </c>
      <c r="Q79" s="45">
        <f>IFERROR(__xludf.DUMMYFUNCTION("""COMPUTED_VALUE"""),44873.0)</f>
        <v>44873</v>
      </c>
      <c r="R79" s="45">
        <f>IFERROR(__xludf.DUMMYFUNCTION("""COMPUTED_VALUE"""),45238.0)</f>
        <v>45238</v>
      </c>
      <c r="S79" s="43"/>
      <c r="T79" s="43"/>
      <c r="U79" s="43" t="str">
        <f>IFERROR(__xludf.DUMMYFUNCTION("""COMPUTED_VALUE"""),"Kindergarden Teacher")</f>
        <v>Kindergarden Teacher</v>
      </c>
      <c r="V79" s="43" t="str">
        <f>IFERROR(__xludf.DUMMYFUNCTION("""COMPUTED_VALUE"""),"-")</f>
        <v>-</v>
      </c>
      <c r="W79" s="43" t="str">
        <f>IFERROR(__xludf.DUMMYFUNCTION("""COMPUTED_VALUE"""),"2022-09-13T11:53:03Z")</f>
        <v>2022-09-13T11:53:03Z</v>
      </c>
      <c r="X79" s="43"/>
      <c r="Y79" s="43"/>
      <c r="Z79" s="43"/>
    </row>
    <row r="80" hidden="1">
      <c r="A80" s="43" t="str">
        <f>IFERROR(__xludf.DUMMYFUNCTION("""COMPUTED_VALUE"""),"5110919_1277661")</f>
        <v>5110919_1277661</v>
      </c>
      <c r="B80" s="43" t="str">
        <f>IFERROR(__xludf.DUMMYFUNCTION("""COMPUTED_VALUE"""),"Naoufal touijar")</f>
        <v>Naoufal touijar</v>
      </c>
      <c r="C80" s="43" t="str">
        <f>IFERROR(__xludf.DUMMYFUNCTION("""COMPUTED_VALUE"""),"realization_broken")</f>
        <v>realization_broken</v>
      </c>
      <c r="D80" s="43" t="str">
        <f>IFERROR(__xludf.DUMMYFUNCTION("""COMPUTED_VALUE"""),"No")</f>
        <v>No</v>
      </c>
      <c r="E80" s="43" t="str">
        <f>IFERROR(__xludf.DUMMYFUNCTION("""COMPUTED_VALUE"""),"p_466251569fbb32bba33cec5e4d7c0fa0900ae490@inbound.aiesec.org")</f>
        <v>p_466251569fbb32bba33cec5e4d7c0fa0900ae490@inbound.aiesec.org</v>
      </c>
      <c r="F80" s="43">
        <f>IFERROR(__xludf.DUMMYFUNCTION("""COMPUTED_VALUE"""),6.96546247E8)</f>
        <v>696546247</v>
      </c>
      <c r="G80" s="43" t="str">
        <f>IFERROR(__xludf.DUMMYFUNCTION("""COMPUTED_VALUE"""),"Morocco")</f>
        <v>Morocco</v>
      </c>
      <c r="H80" s="43" t="str">
        <f>IFERROR(__xludf.DUMMYFUNCTION("""COMPUTED_VALUE"""),"Tetouan")</f>
        <v>Tetouan</v>
      </c>
      <c r="I80" s="43" t="str">
        <f>IFERROR(__xludf.DUMMYFUNCTION("""COMPUTED_VALUE"""),"Turkey")</f>
        <v>Turkey</v>
      </c>
      <c r="J80" s="43" t="str">
        <f>IFERROR(__xludf.DUMMYFUNCTION("""COMPUTED_VALUE"""),"KOCAELI")</f>
        <v>KOCAELI</v>
      </c>
      <c r="K80" s="44" t="str">
        <f>IFERROR(__xludf.DUMMYFUNCTION("""COMPUTED_VALUE"""),"https://expa.aiesec.org/opportunities/1277661")</f>
        <v>https://expa.aiesec.org/opportunities/1277661</v>
      </c>
      <c r="L80" s="43" t="str">
        <f>IFERROR(__xludf.DUMMYFUNCTION("""COMPUTED_VALUE"""),"GTe")</f>
        <v>GTe</v>
      </c>
      <c r="M80" s="43" t="str">
        <f>IFERROR(__xludf.DUMMYFUNCTION("""COMPUTED_VALUE"""),"long")</f>
        <v>long</v>
      </c>
      <c r="N80" s="45">
        <f>IFERROR(__xludf.DUMMYFUNCTION("""COMPUTED_VALUE"""),44817.0)</f>
        <v>44817</v>
      </c>
      <c r="O80" s="45">
        <f>IFERROR(__xludf.DUMMYFUNCTION("""COMPUTED_VALUE"""),44835.0)</f>
        <v>44835</v>
      </c>
      <c r="P80" s="45">
        <f>IFERROR(__xludf.DUMMYFUNCTION("""COMPUTED_VALUE"""),45107.0)</f>
        <v>45107</v>
      </c>
      <c r="Q80" s="45"/>
      <c r="R80" s="45"/>
      <c r="S80" s="43"/>
      <c r="T80" s="43"/>
      <c r="U80" s="43" t="str">
        <f>IFERROR(__xludf.DUMMYFUNCTION("""COMPUTED_VALUE"""),"English Teacher in Körfez Uğur Okulları")</f>
        <v>English Teacher in Körfez Uğur Okulları</v>
      </c>
      <c r="V80" s="43" t="str">
        <f>IFERROR(__xludf.DUMMYFUNCTION("""COMPUTED_VALUE"""),"Other-TETOUAN")</f>
        <v>Other-TETOUAN</v>
      </c>
      <c r="W80" s="43" t="str">
        <f>IFERROR(__xludf.DUMMYFUNCTION("""COMPUTED_VALUE"""),"2022-09-12T17:41:14Z")</f>
        <v>2022-09-12T17:41:14Z</v>
      </c>
      <c r="X80" s="43"/>
      <c r="Y80" s="43"/>
      <c r="Z80" s="43"/>
    </row>
    <row r="81" hidden="1">
      <c r="A81" s="43" t="str">
        <f>IFERROR(__xludf.DUMMYFUNCTION("""COMPUTED_VALUE"""),"3996417_1277661")</f>
        <v>3996417_1277661</v>
      </c>
      <c r="B81" s="43" t="str">
        <f>IFERROR(__xludf.DUMMYFUNCTION("""COMPUTED_VALUE"""),"HANTAL OSSAMA")</f>
        <v>HANTAL OSSAMA</v>
      </c>
      <c r="C81" s="43" t="str">
        <f>IFERROR(__xludf.DUMMYFUNCTION("""COMPUTED_VALUE"""),"completed")</f>
        <v>completed</v>
      </c>
      <c r="D81" s="43" t="str">
        <f>IFERROR(__xludf.DUMMYFUNCTION("""COMPUTED_VALUE"""),"No")</f>
        <v>No</v>
      </c>
      <c r="E81" s="43" t="str">
        <f>IFERROR(__xludf.DUMMYFUNCTION("""COMPUTED_VALUE"""),"p_13f1f7e82bc9515d346e314a986982b96d44c611@inbound.aiesec.org")</f>
        <v>p_13f1f7e82bc9515d346e314a986982b96d44c611@inbound.aiesec.org</v>
      </c>
      <c r="F81" s="43">
        <f>IFERROR(__xludf.DUMMYFUNCTION("""COMPUTED_VALUE"""),7.95245655E8)</f>
        <v>795245655</v>
      </c>
      <c r="G81" s="43" t="str">
        <f>IFERROR(__xludf.DUMMYFUNCTION("""COMPUTED_VALUE"""),"Algeria")</f>
        <v>Algeria</v>
      </c>
      <c r="H81" s="43" t="str">
        <f>IFERROR(__xludf.DUMMYFUNCTION("""COMPUTED_VALUE"""),"Benak")</f>
        <v>Benak</v>
      </c>
      <c r="I81" s="43" t="str">
        <f>IFERROR(__xludf.DUMMYFUNCTION("""COMPUTED_VALUE"""),"Turkey")</f>
        <v>Turkey</v>
      </c>
      <c r="J81" s="43" t="str">
        <f>IFERROR(__xludf.DUMMYFUNCTION("""COMPUTED_VALUE"""),"KOCAELI")</f>
        <v>KOCAELI</v>
      </c>
      <c r="K81" s="44" t="str">
        <f>IFERROR(__xludf.DUMMYFUNCTION("""COMPUTED_VALUE"""),"https://expa.aiesec.org/opportunities/1277661")</f>
        <v>https://expa.aiesec.org/opportunities/1277661</v>
      </c>
      <c r="L81" s="43" t="str">
        <f>IFERROR(__xludf.DUMMYFUNCTION("""COMPUTED_VALUE"""),"GTe")</f>
        <v>GTe</v>
      </c>
      <c r="M81" s="43" t="str">
        <f>IFERROR(__xludf.DUMMYFUNCTION("""COMPUTED_VALUE"""),"long")</f>
        <v>long</v>
      </c>
      <c r="N81" s="45">
        <f>IFERROR(__xludf.DUMMYFUNCTION("""COMPUTED_VALUE"""),44817.0)</f>
        <v>44817</v>
      </c>
      <c r="O81" s="45">
        <f>IFERROR(__xludf.DUMMYFUNCTION("""COMPUTED_VALUE"""),44835.0)</f>
        <v>44835</v>
      </c>
      <c r="P81" s="45">
        <f>IFERROR(__xludf.DUMMYFUNCTION("""COMPUTED_VALUE"""),45107.0)</f>
        <v>45107</v>
      </c>
      <c r="Q81" s="45">
        <f>IFERROR(__xludf.DUMMYFUNCTION("""COMPUTED_VALUE"""),44858.0)</f>
        <v>44858</v>
      </c>
      <c r="R81" s="45">
        <f>IFERROR(__xludf.DUMMYFUNCTION("""COMPUTED_VALUE"""),45107.0)</f>
        <v>45107</v>
      </c>
      <c r="S81" s="43"/>
      <c r="T81" s="43"/>
      <c r="U81" s="43" t="str">
        <f>IFERROR(__xludf.DUMMYFUNCTION("""COMPUTED_VALUE"""),"English Teacher in Körfez Uğur Okulları")</f>
        <v>English Teacher in Körfez Uğur Okulları</v>
      </c>
      <c r="V81" s="43" t="str">
        <f>IFERROR(__xludf.DUMMYFUNCTION("""COMPUTED_VALUE"""),"-")</f>
        <v>-</v>
      </c>
      <c r="W81" s="43" t="str">
        <f>IFERROR(__xludf.DUMMYFUNCTION("""COMPUTED_VALUE"""),"2019-11-15T13:30:44Z")</f>
        <v>2019-11-15T13:30:44Z</v>
      </c>
      <c r="X81" s="43"/>
      <c r="Y81" s="43"/>
      <c r="Z81" s="43"/>
    </row>
    <row r="82" hidden="1">
      <c r="A82" s="43" t="str">
        <f>IFERROR(__xludf.DUMMYFUNCTION("""COMPUTED_VALUE"""),"5088150_1289390")</f>
        <v>5088150_1289390</v>
      </c>
      <c r="B82" s="43" t="str">
        <f>IFERROR(__xludf.DUMMYFUNCTION("""COMPUTED_VALUE"""),"Dias Yessenkeldi")</f>
        <v>Dias Yessenkeldi</v>
      </c>
      <c r="C82" s="43" t="str">
        <f>IFERROR(__xludf.DUMMYFUNCTION("""COMPUTED_VALUE"""),"completed")</f>
        <v>completed</v>
      </c>
      <c r="D82" s="43" t="str">
        <f>IFERROR(__xludf.DUMMYFUNCTION("""COMPUTED_VALUE"""),"No")</f>
        <v>No</v>
      </c>
      <c r="E82" s="43" t="str">
        <f>IFERROR(__xludf.DUMMYFUNCTION("""COMPUTED_VALUE"""),"p_ded14e94898f8bb68744cfb4cb36a9095a52ad17@inbound.aiesec.org")</f>
        <v>p_ded14e94898f8bb68744cfb4cb36a9095a52ad17@inbound.aiesec.org</v>
      </c>
      <c r="F82" s="43">
        <f>IFERROR(__xludf.DUMMYFUNCTION("""COMPUTED_VALUE"""),7.075612347E9)</f>
        <v>7075612347</v>
      </c>
      <c r="G82" s="43" t="str">
        <f>IFERROR(__xludf.DUMMYFUNCTION("""COMPUTED_VALUE"""),"Kazakhstan")</f>
        <v>Kazakhstan</v>
      </c>
      <c r="H82" s="43" t="str">
        <f>IFERROR(__xludf.DUMMYFUNCTION("""COMPUTED_VALUE"""),"ALMATY")</f>
        <v>ALMATY</v>
      </c>
      <c r="I82" s="43" t="str">
        <f>IFERROR(__xludf.DUMMYFUNCTION("""COMPUTED_VALUE"""),"Turkey")</f>
        <v>Turkey</v>
      </c>
      <c r="J82" s="43" t="str">
        <f>IFERROR(__xludf.DUMMYFUNCTION("""COMPUTED_VALUE"""),"KOCAELI")</f>
        <v>KOCAELI</v>
      </c>
      <c r="K82" s="44" t="str">
        <f>IFERROR(__xludf.DUMMYFUNCTION("""COMPUTED_VALUE"""),"https://expa.aiesec.org/opportunities/1289390")</f>
        <v>https://expa.aiesec.org/opportunities/1289390</v>
      </c>
      <c r="L82" s="43" t="str">
        <f>IFERROR(__xludf.DUMMYFUNCTION("""COMPUTED_VALUE"""),"GTe")</f>
        <v>GTe</v>
      </c>
      <c r="M82" s="43" t="str">
        <f>IFERROR(__xludf.DUMMYFUNCTION("""COMPUTED_VALUE"""),"long")</f>
        <v>long</v>
      </c>
      <c r="N82" s="45">
        <f>IFERROR(__xludf.DUMMYFUNCTION("""COMPUTED_VALUE"""),44819.0)</f>
        <v>44819</v>
      </c>
      <c r="O82" s="45">
        <f>IFERROR(__xludf.DUMMYFUNCTION("""COMPUTED_VALUE"""),44844.0)</f>
        <v>44844</v>
      </c>
      <c r="P82" s="45">
        <f>IFERROR(__xludf.DUMMYFUNCTION("""COMPUTED_VALUE"""),45107.0)</f>
        <v>45107</v>
      </c>
      <c r="Q82" s="45">
        <f>IFERROR(__xludf.DUMMYFUNCTION("""COMPUTED_VALUE"""),44840.0)</f>
        <v>44840</v>
      </c>
      <c r="R82" s="45">
        <f>IFERROR(__xludf.DUMMYFUNCTION("""COMPUTED_VALUE"""),45107.0)</f>
        <v>45107</v>
      </c>
      <c r="S82" s="43"/>
      <c r="T82" s="43"/>
      <c r="U82" s="43" t="str">
        <f>IFERROR(__xludf.DUMMYFUNCTION("""COMPUTED_VALUE"""),"Kindergarten Teacher in Tuncay Emir Okulları")</f>
        <v>Kindergarten Teacher in Tuncay Emir Okulları</v>
      </c>
      <c r="V82" s="43" t="str">
        <f>IFERROR(__xludf.DUMMYFUNCTION("""COMPUTED_VALUE"""),"Almaty")</f>
        <v>Almaty</v>
      </c>
      <c r="W82" s="43" t="str">
        <f>IFERROR(__xludf.DUMMYFUNCTION("""COMPUTED_VALUE"""),"2022-08-02T05:57:23Z")</f>
        <v>2022-08-02T05:57:23Z</v>
      </c>
      <c r="X82" s="43"/>
      <c r="Y82" s="43"/>
      <c r="Z82" s="43"/>
    </row>
    <row r="83" hidden="1">
      <c r="A83" s="43" t="str">
        <f>IFERROR(__xludf.DUMMYFUNCTION("""COMPUTED_VALUE"""),"4219546_1281195")</f>
        <v>4219546_1281195</v>
      </c>
      <c r="B83" s="43" t="str">
        <f>IFERROR(__xludf.DUMMYFUNCTION("""COMPUTED_VALUE"""),"Altynai Kanzharbek kyzy")</f>
        <v>Altynai Kanzharbek kyzy</v>
      </c>
      <c r="C83" s="43" t="str">
        <f>IFERROR(__xludf.DUMMYFUNCTION("""COMPUTED_VALUE"""),"completed")</f>
        <v>completed</v>
      </c>
      <c r="D83" s="43" t="str">
        <f>IFERROR(__xludf.DUMMYFUNCTION("""COMPUTED_VALUE"""),"No")</f>
        <v>No</v>
      </c>
      <c r="E83" s="43" t="str">
        <f>IFERROR(__xludf.DUMMYFUNCTION("""COMPUTED_VALUE"""),"p_771e81a34ec45f0b1a90510632a84ad86825f453@inbound.aiesec.org")</f>
        <v>p_771e81a34ec45f0b1a90510632a84ad86825f453@inbound.aiesec.org</v>
      </c>
      <c r="F83" s="43">
        <f>IFERROR(__xludf.DUMMYFUNCTION("""COMPUTED_VALUE"""),7.0431636E8)</f>
        <v>704316360</v>
      </c>
      <c r="G83" s="43" t="str">
        <f>IFERROR(__xludf.DUMMYFUNCTION("""COMPUTED_VALUE"""),"Kyrgyzstan")</f>
        <v>Kyrgyzstan</v>
      </c>
      <c r="H83" s="43" t="str">
        <f>IFERROR(__xludf.DUMMYFUNCTION("""COMPUTED_VALUE"""),"Impulse for Bishkek Leaders (IBL)")</f>
        <v>Impulse for Bishkek Leaders (IBL)</v>
      </c>
      <c r="I83" s="43" t="str">
        <f>IFERROR(__xludf.DUMMYFUNCTION("""COMPUTED_VALUE"""),"Turkey")</f>
        <v>Turkey</v>
      </c>
      <c r="J83" s="43" t="str">
        <f>IFERROR(__xludf.DUMMYFUNCTION("""COMPUTED_VALUE"""),"BURSA")</f>
        <v>BURSA</v>
      </c>
      <c r="K83" s="44" t="str">
        <f>IFERROR(__xludf.DUMMYFUNCTION("""COMPUTED_VALUE"""),"https://expa.aiesec.org/opportunities/1281195")</f>
        <v>https://expa.aiesec.org/opportunities/1281195</v>
      </c>
      <c r="L83" s="43" t="str">
        <f>IFERROR(__xludf.DUMMYFUNCTION("""COMPUTED_VALUE"""),"GTe")</f>
        <v>GTe</v>
      </c>
      <c r="M83" s="43" t="str">
        <f>IFERROR(__xludf.DUMMYFUNCTION("""COMPUTED_VALUE"""),"long")</f>
        <v>long</v>
      </c>
      <c r="N83" s="45">
        <f>IFERROR(__xludf.DUMMYFUNCTION("""COMPUTED_VALUE"""),44819.0)</f>
        <v>44819</v>
      </c>
      <c r="O83" s="45">
        <f>IFERROR(__xludf.DUMMYFUNCTION("""COMPUTED_VALUE"""),44835.0)</f>
        <v>44835</v>
      </c>
      <c r="P83" s="45">
        <f>IFERROR(__xludf.DUMMYFUNCTION("""COMPUTED_VALUE"""),45200.0)</f>
        <v>45200</v>
      </c>
      <c r="Q83" s="45">
        <f>IFERROR(__xludf.DUMMYFUNCTION("""COMPUTED_VALUE"""),44834.0)</f>
        <v>44834</v>
      </c>
      <c r="R83" s="45">
        <f>IFERROR(__xludf.DUMMYFUNCTION("""COMPUTED_VALUE"""),44956.0)</f>
        <v>44956</v>
      </c>
      <c r="S83" s="43"/>
      <c r="T83" s="43"/>
      <c r="U83" s="43" t="str">
        <f>IFERROR(__xludf.DUMMYFUNCTION("""COMPUTED_VALUE"""),"ENGLISH TEACHING")</f>
        <v>ENGLISH TEACHING</v>
      </c>
      <c r="V83" s="43" t="str">
        <f>IFERROR(__xludf.DUMMYFUNCTION("""COMPUTED_VALUE"""),"КНУ (Другие факультеты)")</f>
        <v>КНУ (Другие факультеты)</v>
      </c>
      <c r="W83" s="43" t="str">
        <f>IFERROR(__xludf.DUMMYFUNCTION("""COMPUTED_VALUE"""),"2020-02-27T12:26:00Z")</f>
        <v>2020-02-27T12:26:00Z</v>
      </c>
      <c r="X83" s="43"/>
      <c r="Y83" s="43"/>
      <c r="Z83" s="43"/>
    </row>
    <row r="84" hidden="1">
      <c r="A84" s="43" t="str">
        <f>IFERROR(__xludf.DUMMYFUNCTION("""COMPUTED_VALUE"""),"5094048_1289615")</f>
        <v>5094048_1289615</v>
      </c>
      <c r="B84" s="43" t="str">
        <f>IFERROR(__xludf.DUMMYFUNCTION("""COMPUTED_VALUE"""),"wafa , khalfallah")</f>
        <v>wafa , khalfallah</v>
      </c>
      <c r="C84" s="43" t="str">
        <f>IFERROR(__xludf.DUMMYFUNCTION("""COMPUTED_VALUE"""),"realization_broken")</f>
        <v>realization_broken</v>
      </c>
      <c r="D84" s="43" t="str">
        <f>IFERROR(__xludf.DUMMYFUNCTION("""COMPUTED_VALUE"""),"No")</f>
        <v>No</v>
      </c>
      <c r="E84" s="43" t="str">
        <f>IFERROR(__xludf.DUMMYFUNCTION("""COMPUTED_VALUE"""),"p_d69ca81b3fe17965b36ed88a729fcea9f6492e13@inbound.aiesec.org")</f>
        <v>p_d69ca81b3fe17965b36ed88a729fcea9f6492e13@inbound.aiesec.org</v>
      </c>
      <c r="F84" s="43"/>
      <c r="G84" s="43" t="str">
        <f>IFERROR(__xludf.DUMMYFUNCTION("""COMPUTED_VALUE"""),"Algeria")</f>
        <v>Algeria</v>
      </c>
      <c r="H84" s="43" t="str">
        <f>IFERROR(__xludf.DUMMYFUNCTION("""COMPUTED_VALUE"""),"Oran")</f>
        <v>Oran</v>
      </c>
      <c r="I84" s="43" t="str">
        <f>IFERROR(__xludf.DUMMYFUNCTION("""COMPUTED_VALUE"""),"Turkey")</f>
        <v>Turkey</v>
      </c>
      <c r="J84" s="43" t="str">
        <f>IFERROR(__xludf.DUMMYFUNCTION("""COMPUTED_VALUE"""),"KOCAELI")</f>
        <v>KOCAELI</v>
      </c>
      <c r="K84" s="44" t="str">
        <f>IFERROR(__xludf.DUMMYFUNCTION("""COMPUTED_VALUE"""),"https://expa.aiesec.org/opportunities/1289615")</f>
        <v>https://expa.aiesec.org/opportunities/1289615</v>
      </c>
      <c r="L84" s="43" t="str">
        <f>IFERROR(__xludf.DUMMYFUNCTION("""COMPUTED_VALUE"""),"GTe")</f>
        <v>GTe</v>
      </c>
      <c r="M84" s="43" t="str">
        <f>IFERROR(__xludf.DUMMYFUNCTION("""COMPUTED_VALUE"""),"long")</f>
        <v>long</v>
      </c>
      <c r="N84" s="45">
        <f>IFERROR(__xludf.DUMMYFUNCTION("""COMPUTED_VALUE"""),44820.0)</f>
        <v>44820</v>
      </c>
      <c r="O84" s="45">
        <f>IFERROR(__xludf.DUMMYFUNCTION("""COMPUTED_VALUE"""),44844.0)</f>
        <v>44844</v>
      </c>
      <c r="P84" s="45">
        <f>IFERROR(__xludf.DUMMYFUNCTION("""COMPUTED_VALUE"""),45107.0)</f>
        <v>45107</v>
      </c>
      <c r="Q84" s="45"/>
      <c r="R84" s="45"/>
      <c r="S84" s="43"/>
      <c r="T84" s="43"/>
      <c r="U84" s="43" t="str">
        <f>IFERROR(__xludf.DUMMYFUNCTION("""COMPUTED_VALUE"""),"English Teacher in Düşün Kindergarten (LONG)")</f>
        <v>English Teacher in Düşün Kindergarten (LONG)</v>
      </c>
      <c r="V84" s="43" t="str">
        <f>IFERROR(__xludf.DUMMYFUNCTION("""COMPUTED_VALUE"""),"-")</f>
        <v>-</v>
      </c>
      <c r="W84" s="43" t="str">
        <f>IFERROR(__xludf.DUMMYFUNCTION("""COMPUTED_VALUE"""),"2022-08-16T17:00:28Z")</f>
        <v>2022-08-16T17:00:28Z</v>
      </c>
      <c r="X84" s="43"/>
      <c r="Y84" s="43"/>
      <c r="Z84" s="43"/>
    </row>
    <row r="85" hidden="1">
      <c r="A85" s="43" t="str">
        <f>IFERROR(__xludf.DUMMYFUNCTION("""COMPUTED_VALUE"""),"4877555_1278298")</f>
        <v>4877555_1278298</v>
      </c>
      <c r="B85" s="43" t="str">
        <f>IFERROR(__xludf.DUMMYFUNCTION("""COMPUTED_VALUE"""),"Hakoum Annouar")</f>
        <v>Hakoum Annouar</v>
      </c>
      <c r="C85" s="43" t="str">
        <f>IFERROR(__xludf.DUMMYFUNCTION("""COMPUTED_VALUE"""),"finished")</f>
        <v>finished</v>
      </c>
      <c r="D85" s="43" t="str">
        <f>IFERROR(__xludf.DUMMYFUNCTION("""COMPUTED_VALUE"""),"No")</f>
        <v>No</v>
      </c>
      <c r="E85" s="43" t="str">
        <f>IFERROR(__xludf.DUMMYFUNCTION("""COMPUTED_VALUE"""),"p_be08205d63f73d837f02f87472080baaa8605bd3@inbound.aiesec.org")</f>
        <v>p_be08205d63f73d837f02f87472080baaa8605bd3@inbound.aiesec.org</v>
      </c>
      <c r="F85" s="43">
        <f>IFERROR(__xludf.DUMMYFUNCTION("""COMPUTED_VALUE"""),5.063807732E9)</f>
        <v>5063807732</v>
      </c>
      <c r="G85" s="43" t="str">
        <f>IFERROR(__xludf.DUMMYFUNCTION("""COMPUTED_VALUE"""),"Algeria")</f>
        <v>Algeria</v>
      </c>
      <c r="H85" s="43" t="str">
        <f>IFERROR(__xludf.DUMMYFUNCTION("""COMPUTED_VALUE"""),"Oran")</f>
        <v>Oran</v>
      </c>
      <c r="I85" s="43" t="str">
        <f>IFERROR(__xludf.DUMMYFUNCTION("""COMPUTED_VALUE"""),"Turkey")</f>
        <v>Turkey</v>
      </c>
      <c r="J85" s="43" t="str">
        <f>IFERROR(__xludf.DUMMYFUNCTION("""COMPUTED_VALUE"""),"KOCAELI")</f>
        <v>KOCAELI</v>
      </c>
      <c r="K85" s="44" t="str">
        <f>IFERROR(__xludf.DUMMYFUNCTION("""COMPUTED_VALUE"""),"https://expa.aiesec.org/opportunities/1278298")</f>
        <v>https://expa.aiesec.org/opportunities/1278298</v>
      </c>
      <c r="L85" s="43" t="str">
        <f>IFERROR(__xludf.DUMMYFUNCTION("""COMPUTED_VALUE"""),"GTe")</f>
        <v>GTe</v>
      </c>
      <c r="M85" s="43" t="str">
        <f>IFERROR(__xludf.DUMMYFUNCTION("""COMPUTED_VALUE"""),"long")</f>
        <v>long</v>
      </c>
      <c r="N85" s="45">
        <f>IFERROR(__xludf.DUMMYFUNCTION("""COMPUTED_VALUE"""),44822.0)</f>
        <v>44822</v>
      </c>
      <c r="O85" s="45">
        <f>IFERROR(__xludf.DUMMYFUNCTION("""COMPUTED_VALUE"""),44823.0)</f>
        <v>44823</v>
      </c>
      <c r="P85" s="45">
        <f>IFERROR(__xludf.DUMMYFUNCTION("""COMPUTED_VALUE"""),45188.0)</f>
        <v>45188</v>
      </c>
      <c r="Q85" s="45">
        <f>IFERROR(__xludf.DUMMYFUNCTION("""COMPUTED_VALUE"""),44853.0)</f>
        <v>44853</v>
      </c>
      <c r="R85" s="45">
        <f>IFERROR(__xludf.DUMMYFUNCTION("""COMPUTED_VALUE"""),45219.0)</f>
        <v>45219</v>
      </c>
      <c r="S85" s="43"/>
      <c r="T85" s="43"/>
      <c r="U85" s="43" t="str">
        <f>IFERROR(__xludf.DUMMYFUNCTION("""COMPUTED_VALUE"""),"Gebze İngiliz Kültür ")</f>
        <v>Gebze İngiliz Kültür </v>
      </c>
      <c r="V85" s="43" t="str">
        <f>IFERROR(__xludf.DUMMYFUNCTION("""COMPUTED_VALUE"""),"AIESEC in Bejaia")</f>
        <v>AIESEC in Bejaia</v>
      </c>
      <c r="W85" s="43" t="str">
        <f>IFERROR(__xludf.DUMMYFUNCTION("""COMPUTED_VALUE"""),"2022-01-12T02:09:11Z")</f>
        <v>2022-01-12T02:09:11Z</v>
      </c>
      <c r="X85" s="43"/>
      <c r="Y85" s="43"/>
      <c r="Z85" s="43"/>
    </row>
    <row r="86" hidden="1">
      <c r="A86" s="43" t="str">
        <f>IFERROR(__xludf.DUMMYFUNCTION("""COMPUTED_VALUE"""),"3248900_1287942")</f>
        <v>3248900_1287942</v>
      </c>
      <c r="B86" s="43" t="str">
        <f>IFERROR(__xludf.DUMMYFUNCTION("""COMPUTED_VALUE"""),"Asmaa Hosni")</f>
        <v>Asmaa Hosni</v>
      </c>
      <c r="C86" s="43" t="str">
        <f>IFERROR(__xludf.DUMMYFUNCTION("""COMPUTED_VALUE"""),"realization_broken")</f>
        <v>realization_broken</v>
      </c>
      <c r="D86" s="43" t="str">
        <f>IFERROR(__xludf.DUMMYFUNCTION("""COMPUTED_VALUE"""),"No")</f>
        <v>No</v>
      </c>
      <c r="E86" s="43" t="str">
        <f>IFERROR(__xludf.DUMMYFUNCTION("""COMPUTED_VALUE"""),"p_763ae9bdeba195bdd5da37ea9f5b1598aeb12929@inbound.aiesec.org")</f>
        <v>p_763ae9bdeba195bdd5da37ea9f5b1598aeb12929@inbound.aiesec.org</v>
      </c>
      <c r="F86" s="43"/>
      <c r="G86" s="43" t="str">
        <f>IFERROR(__xludf.DUMMYFUNCTION("""COMPUTED_VALUE"""),"Egypt")</f>
        <v>Egypt</v>
      </c>
      <c r="H86" s="43" t="str">
        <f>IFERROR(__xludf.DUMMYFUNCTION("""COMPUTED_VALUE"""),"Zagazig")</f>
        <v>Zagazig</v>
      </c>
      <c r="I86" s="43" t="str">
        <f>IFERROR(__xludf.DUMMYFUNCTION("""COMPUTED_VALUE"""),"Turkey")</f>
        <v>Turkey</v>
      </c>
      <c r="J86" s="43" t="str">
        <f>IFERROR(__xludf.DUMMYFUNCTION("""COMPUTED_VALUE"""),"İZMİR")</f>
        <v>İZMİR</v>
      </c>
      <c r="K86" s="44" t="str">
        <f>IFERROR(__xludf.DUMMYFUNCTION("""COMPUTED_VALUE"""),"https://expa.aiesec.org/opportunities/1287942")</f>
        <v>https://expa.aiesec.org/opportunities/1287942</v>
      </c>
      <c r="L86" s="43" t="str">
        <f>IFERROR(__xludf.DUMMYFUNCTION("""COMPUTED_VALUE"""),"GTe")</f>
        <v>GTe</v>
      </c>
      <c r="M86" s="43" t="str">
        <f>IFERROR(__xludf.DUMMYFUNCTION("""COMPUTED_VALUE"""),"long")</f>
        <v>long</v>
      </c>
      <c r="N86" s="45">
        <f>IFERROR(__xludf.DUMMYFUNCTION("""COMPUTED_VALUE"""),44822.0)</f>
        <v>44822</v>
      </c>
      <c r="O86" s="45">
        <f>IFERROR(__xludf.DUMMYFUNCTION("""COMPUTED_VALUE"""),44822.0)</f>
        <v>44822</v>
      </c>
      <c r="P86" s="45">
        <f>IFERROR(__xludf.DUMMYFUNCTION("""COMPUTED_VALUE"""),45125.0)</f>
        <v>45125</v>
      </c>
      <c r="Q86" s="45"/>
      <c r="R86" s="45"/>
      <c r="S86" s="43"/>
      <c r="T86" s="43"/>
      <c r="U86" s="43" t="str">
        <f>IFERROR(__xludf.DUMMYFUNCTION("""COMPUTED_VALUE"""),"Kindergarten English Teacher")</f>
        <v>Kindergarten English Teacher</v>
      </c>
      <c r="V86" s="43" t="str">
        <f>IFERROR(__xludf.DUMMYFUNCTION("""COMPUTED_VALUE"""),"-")</f>
        <v>-</v>
      </c>
      <c r="W86" s="43" t="str">
        <f>IFERROR(__xludf.DUMMYFUNCTION("""COMPUTED_VALUE"""),"2019-03-21T10:34:50Z")</f>
        <v>2019-03-21T10:34:50Z</v>
      </c>
      <c r="X86" s="43"/>
      <c r="Y86" s="43"/>
      <c r="Z86" s="43"/>
    </row>
    <row r="87" hidden="1">
      <c r="A87" s="43" t="str">
        <f>IFERROR(__xludf.DUMMYFUNCTION("""COMPUTED_VALUE"""),"2176152_1289314")</f>
        <v>2176152_1289314</v>
      </c>
      <c r="B87" s="43" t="str">
        <f>IFERROR(__xludf.DUMMYFUNCTION("""COMPUTED_VALUE"""),"Souad BOUSLAH")</f>
        <v>Souad BOUSLAH</v>
      </c>
      <c r="C87" s="43" t="str">
        <f>IFERROR(__xludf.DUMMYFUNCTION("""COMPUTED_VALUE"""),"completed")</f>
        <v>completed</v>
      </c>
      <c r="D87" s="43" t="str">
        <f>IFERROR(__xludf.DUMMYFUNCTION("""COMPUTED_VALUE"""),"No")</f>
        <v>No</v>
      </c>
      <c r="E87" s="43" t="str">
        <f>IFERROR(__xludf.DUMMYFUNCTION("""COMPUTED_VALUE"""),"p_dd9d85986b82ab857fd1828977c1e77d652a3005@inbound.aiesec.org")</f>
        <v>p_dd9d85986b82ab857fd1828977c1e77d652a3005@inbound.aiesec.org</v>
      </c>
      <c r="F87" s="43">
        <f>IFERROR(__xludf.DUMMYFUNCTION("""COMPUTED_VALUE"""),6.56107473E8)</f>
        <v>656107473</v>
      </c>
      <c r="G87" s="43" t="str">
        <f>IFERROR(__xludf.DUMMYFUNCTION("""COMPUTED_VALUE"""),"Algeria")</f>
        <v>Algeria</v>
      </c>
      <c r="H87" s="43" t="str">
        <f>IFERROR(__xludf.DUMMYFUNCTION("""COMPUTED_VALUE"""),"Blida")</f>
        <v>Blida</v>
      </c>
      <c r="I87" s="43" t="str">
        <f>IFERROR(__xludf.DUMMYFUNCTION("""COMPUTED_VALUE"""),"Turkey")</f>
        <v>Turkey</v>
      </c>
      <c r="J87" s="43" t="str">
        <f>IFERROR(__xludf.DUMMYFUNCTION("""COMPUTED_VALUE"""),"TRABZON")</f>
        <v>TRABZON</v>
      </c>
      <c r="K87" s="44" t="str">
        <f>IFERROR(__xludf.DUMMYFUNCTION("""COMPUTED_VALUE"""),"https://expa.aiesec.org/opportunities/1289314")</f>
        <v>https://expa.aiesec.org/opportunities/1289314</v>
      </c>
      <c r="L87" s="43" t="str">
        <f>IFERROR(__xludf.DUMMYFUNCTION("""COMPUTED_VALUE"""),"GTe")</f>
        <v>GTe</v>
      </c>
      <c r="M87" s="43" t="str">
        <f>IFERROR(__xludf.DUMMYFUNCTION("""COMPUTED_VALUE"""),"long")</f>
        <v>long</v>
      </c>
      <c r="N87" s="45">
        <f>IFERROR(__xludf.DUMMYFUNCTION("""COMPUTED_VALUE"""),44823.0)</f>
        <v>44823</v>
      </c>
      <c r="O87" s="45">
        <f>IFERROR(__xludf.DUMMYFUNCTION("""COMPUTED_VALUE"""),44834.0)</f>
        <v>44834</v>
      </c>
      <c r="P87" s="45">
        <f>IFERROR(__xludf.DUMMYFUNCTION("""COMPUTED_VALUE"""),45092.0)</f>
        <v>45092</v>
      </c>
      <c r="Q87" s="45">
        <f>IFERROR(__xludf.DUMMYFUNCTION("""COMPUTED_VALUE"""),44829.0)</f>
        <v>44829</v>
      </c>
      <c r="R87" s="45">
        <f>IFERROR(__xludf.DUMMYFUNCTION("""COMPUTED_VALUE"""),45104.0)</f>
        <v>45104</v>
      </c>
      <c r="S87" s="43"/>
      <c r="T87" s="43"/>
      <c r="U87" s="43" t="str">
        <f>IFERROR(__xludf.DUMMYFUNCTION("""COMPUTED_VALUE"""),"English Teacher in Namık Altaş School")</f>
        <v>English Teacher in Namık Altaş School</v>
      </c>
      <c r="V87" s="43" t="str">
        <f>IFERROR(__xludf.DUMMYFUNCTION("""COMPUTED_VALUE"""),"-")</f>
        <v>-</v>
      </c>
      <c r="W87" s="43" t="str">
        <f>IFERROR(__xludf.DUMMYFUNCTION("""COMPUTED_VALUE"""),"2018-04-06T23:36:56Z")</f>
        <v>2018-04-06T23:36:56Z</v>
      </c>
      <c r="X87" s="43"/>
      <c r="Y87" s="43"/>
      <c r="Z87" s="43"/>
    </row>
    <row r="88" hidden="1">
      <c r="A88" s="43" t="str">
        <f>IFERROR(__xludf.DUMMYFUNCTION("""COMPUTED_VALUE"""),"3387200_1281195")</f>
        <v>3387200_1281195</v>
      </c>
      <c r="B88" s="43" t="str">
        <f>IFERROR(__xludf.DUMMYFUNCTION("""COMPUTED_VALUE"""),"Syed Muhammad Mohsin Jilani")</f>
        <v>Syed Muhammad Mohsin Jilani</v>
      </c>
      <c r="C88" s="43" t="str">
        <f>IFERROR(__xludf.DUMMYFUNCTION("""COMPUTED_VALUE"""),"finished")</f>
        <v>finished</v>
      </c>
      <c r="D88" s="43" t="str">
        <f>IFERROR(__xludf.DUMMYFUNCTION("""COMPUTED_VALUE"""),"No")</f>
        <v>No</v>
      </c>
      <c r="E88" s="43" t="str">
        <f>IFERROR(__xludf.DUMMYFUNCTION("""COMPUTED_VALUE"""),"p_ded023dbd3be54c9e78b45a42bc71ebcd8d7847f@inbound.aiesec.org")</f>
        <v>p_ded023dbd3be54c9e78b45a42bc71ebcd8d7847f@inbound.aiesec.org</v>
      </c>
      <c r="F88" s="43">
        <f>IFERROR(__xludf.DUMMYFUNCTION("""COMPUTED_VALUE"""),3.364423196E9)</f>
        <v>3364423196</v>
      </c>
      <c r="G88" s="43" t="str">
        <f>IFERROR(__xludf.DUMMYFUNCTION("""COMPUTED_VALUE"""),"Pakistan")</f>
        <v>Pakistan</v>
      </c>
      <c r="H88" s="43" t="str">
        <f>IFERROR(__xludf.DUMMYFUNCTION("""COMPUTED_VALUE"""),"Lahore - Pak")</f>
        <v>Lahore - Pak</v>
      </c>
      <c r="I88" s="43" t="str">
        <f>IFERROR(__xludf.DUMMYFUNCTION("""COMPUTED_VALUE"""),"Turkey")</f>
        <v>Turkey</v>
      </c>
      <c r="J88" s="43" t="str">
        <f>IFERROR(__xludf.DUMMYFUNCTION("""COMPUTED_VALUE"""),"BURSA")</f>
        <v>BURSA</v>
      </c>
      <c r="K88" s="44" t="str">
        <f>IFERROR(__xludf.DUMMYFUNCTION("""COMPUTED_VALUE"""),"https://expa.aiesec.org/opportunities/1281195")</f>
        <v>https://expa.aiesec.org/opportunities/1281195</v>
      </c>
      <c r="L88" s="43" t="str">
        <f>IFERROR(__xludf.DUMMYFUNCTION("""COMPUTED_VALUE"""),"GTe")</f>
        <v>GTe</v>
      </c>
      <c r="M88" s="43" t="str">
        <f>IFERROR(__xludf.DUMMYFUNCTION("""COMPUTED_VALUE"""),"long")</f>
        <v>long</v>
      </c>
      <c r="N88" s="45">
        <f>IFERROR(__xludf.DUMMYFUNCTION("""COMPUTED_VALUE"""),44825.0)</f>
        <v>44825</v>
      </c>
      <c r="O88" s="45">
        <f>IFERROR(__xludf.DUMMYFUNCTION("""COMPUTED_VALUE"""),44835.0)</f>
        <v>44835</v>
      </c>
      <c r="P88" s="45">
        <f>IFERROR(__xludf.DUMMYFUNCTION("""COMPUTED_VALUE"""),45200.0)</f>
        <v>45200</v>
      </c>
      <c r="Q88" s="45">
        <f>IFERROR(__xludf.DUMMYFUNCTION("""COMPUTED_VALUE"""),44830.0)</f>
        <v>44830</v>
      </c>
      <c r="R88" s="45">
        <f>IFERROR(__xludf.DUMMYFUNCTION("""COMPUTED_VALUE"""),45193.0)</f>
        <v>45193</v>
      </c>
      <c r="S88" s="43"/>
      <c r="T88" s="43"/>
      <c r="U88" s="43" t="str">
        <f>IFERROR(__xludf.DUMMYFUNCTION("""COMPUTED_VALUE"""),"ENGLISH TEACHING")</f>
        <v>ENGLISH TEACHING</v>
      </c>
      <c r="V88" s="43" t="str">
        <f>IFERROR(__xludf.DUMMYFUNCTION("""COMPUTED_VALUE"""),"Lahore - Other")</f>
        <v>Lahore - Other</v>
      </c>
      <c r="W88" s="43" t="str">
        <f>IFERROR(__xludf.DUMMYFUNCTION("""COMPUTED_VALUE"""),"2019-05-01T14:38:03Z")</f>
        <v>2019-05-01T14:38:03Z</v>
      </c>
      <c r="X88" s="43"/>
      <c r="Y88" s="43"/>
      <c r="Z88" s="43"/>
    </row>
    <row r="89" hidden="1">
      <c r="A89" s="43" t="str">
        <f>IFERROR(__xludf.DUMMYFUNCTION("""COMPUTED_VALUE"""),"1858347_1289593")</f>
        <v>1858347_1289593</v>
      </c>
      <c r="B89" s="43" t="str">
        <f>IFERROR(__xludf.DUMMYFUNCTION("""COMPUTED_VALUE"""),"Soukayna Chkah")</f>
        <v>Soukayna Chkah</v>
      </c>
      <c r="C89" s="43" t="str">
        <f>IFERROR(__xludf.DUMMYFUNCTION("""COMPUTED_VALUE"""),"completed")</f>
        <v>completed</v>
      </c>
      <c r="D89" s="43" t="str">
        <f>IFERROR(__xludf.DUMMYFUNCTION("""COMPUTED_VALUE"""),"No")</f>
        <v>No</v>
      </c>
      <c r="E89" s="43" t="str">
        <f>IFERROR(__xludf.DUMMYFUNCTION("""COMPUTED_VALUE"""),"p_d41448794e8a8a8ac70976d4ed0699fdd9192015@inbound.aiesec.org")</f>
        <v>p_d41448794e8a8a8ac70976d4ed0699fdd9192015@inbound.aiesec.org</v>
      </c>
      <c r="F89" s="43">
        <f>IFERROR(__xludf.DUMMYFUNCTION("""COMPUTED_VALUE"""),6.18886334E8)</f>
        <v>618886334</v>
      </c>
      <c r="G89" s="43" t="str">
        <f>IFERROR(__xludf.DUMMYFUNCTION("""COMPUTED_VALUE"""),"Morocco")</f>
        <v>Morocco</v>
      </c>
      <c r="H89" s="43" t="str">
        <f>IFERROR(__xludf.DUMMYFUNCTION("""COMPUTED_VALUE"""),"Agadir")</f>
        <v>Agadir</v>
      </c>
      <c r="I89" s="43" t="str">
        <f>IFERROR(__xludf.DUMMYFUNCTION("""COMPUTED_VALUE"""),"Turkey")</f>
        <v>Turkey</v>
      </c>
      <c r="J89" s="43" t="str">
        <f>IFERROR(__xludf.DUMMYFUNCTION("""COMPUTED_VALUE"""),"ISTANBUL ASIA")</f>
        <v>ISTANBUL ASIA</v>
      </c>
      <c r="K89" s="44" t="str">
        <f>IFERROR(__xludf.DUMMYFUNCTION("""COMPUTED_VALUE"""),"https://expa.aiesec.org/opportunities/1289593")</f>
        <v>https://expa.aiesec.org/opportunities/1289593</v>
      </c>
      <c r="L89" s="43" t="str">
        <f>IFERROR(__xludf.DUMMYFUNCTION("""COMPUTED_VALUE"""),"GTe")</f>
        <v>GTe</v>
      </c>
      <c r="M89" s="43" t="str">
        <f>IFERROR(__xludf.DUMMYFUNCTION("""COMPUTED_VALUE"""),"long")</f>
        <v>long</v>
      </c>
      <c r="N89" s="45">
        <f>IFERROR(__xludf.DUMMYFUNCTION("""COMPUTED_VALUE"""),44825.0)</f>
        <v>44825</v>
      </c>
      <c r="O89" s="45">
        <f>IFERROR(__xludf.DUMMYFUNCTION("""COMPUTED_VALUE"""),44835.0)</f>
        <v>44835</v>
      </c>
      <c r="P89" s="45">
        <f>IFERROR(__xludf.DUMMYFUNCTION("""COMPUTED_VALUE"""),45200.0)</f>
        <v>45200</v>
      </c>
      <c r="Q89" s="45">
        <f>IFERROR(__xludf.DUMMYFUNCTION("""COMPUTED_VALUE"""),44837.0)</f>
        <v>44837</v>
      </c>
      <c r="R89" s="45">
        <f>IFERROR(__xludf.DUMMYFUNCTION("""COMPUTED_VALUE"""),45202.0)</f>
        <v>45202</v>
      </c>
      <c r="S89" s="43"/>
      <c r="T89" s="43"/>
      <c r="U89" s="43" t="str">
        <f>IFERROR(__xludf.DUMMYFUNCTION("""COMPUTED_VALUE""")," English Teacher ")</f>
        <v> English Teacher </v>
      </c>
      <c r="V89" s="43" t="str">
        <f>IFERROR(__xludf.DUMMYFUNCTION("""COMPUTED_VALUE"""),"-")</f>
        <v>-</v>
      </c>
      <c r="W89" s="43" t="str">
        <f>IFERROR(__xludf.DUMMYFUNCTION("""COMPUTED_VALUE"""),"2017-11-10T01:36:14Z")</f>
        <v>2017-11-10T01:36:14Z</v>
      </c>
      <c r="X89" s="43"/>
      <c r="Y89" s="43"/>
      <c r="Z89" s="43"/>
    </row>
    <row r="90" hidden="1">
      <c r="A90" s="43" t="str">
        <f>IFERROR(__xludf.DUMMYFUNCTION("""COMPUTED_VALUE"""),"5100079_1289124")</f>
        <v>5100079_1289124</v>
      </c>
      <c r="B90" s="43" t="str">
        <f>IFERROR(__xludf.DUMMYFUNCTION("""COMPUTED_VALUE"""),"Nasrallah Menad")</f>
        <v>Nasrallah Menad</v>
      </c>
      <c r="C90" s="43" t="str">
        <f>IFERROR(__xludf.DUMMYFUNCTION("""COMPUTED_VALUE"""),"completed")</f>
        <v>completed</v>
      </c>
      <c r="D90" s="43" t="str">
        <f>IFERROR(__xludf.DUMMYFUNCTION("""COMPUTED_VALUE"""),"No")</f>
        <v>No</v>
      </c>
      <c r="E90" s="43" t="str">
        <f>IFERROR(__xludf.DUMMYFUNCTION("""COMPUTED_VALUE"""),"p_1c447e30a42e35ca6736d528e90882e6ba4f6c96@inbound.aiesec.org")</f>
        <v>p_1c447e30a42e35ca6736d528e90882e6ba4f6c96@inbound.aiesec.org</v>
      </c>
      <c r="F90" s="43">
        <f>IFERROR(__xludf.DUMMYFUNCTION("""COMPUTED_VALUE"""),7.93103124E8)</f>
        <v>793103124</v>
      </c>
      <c r="G90" s="43" t="str">
        <f>IFERROR(__xludf.DUMMYFUNCTION("""COMPUTED_VALUE"""),"Algeria")</f>
        <v>Algeria</v>
      </c>
      <c r="H90" s="43" t="str">
        <f>IFERROR(__xludf.DUMMYFUNCTION("""COMPUTED_VALUE"""),"Oran")</f>
        <v>Oran</v>
      </c>
      <c r="I90" s="43" t="str">
        <f>IFERROR(__xludf.DUMMYFUNCTION("""COMPUTED_VALUE"""),"Turkey")</f>
        <v>Turkey</v>
      </c>
      <c r="J90" s="43" t="str">
        <f>IFERROR(__xludf.DUMMYFUNCTION("""COMPUTED_VALUE"""),"İZMİR")</f>
        <v>İZMİR</v>
      </c>
      <c r="K90" s="44" t="str">
        <f>IFERROR(__xludf.DUMMYFUNCTION("""COMPUTED_VALUE"""),"https://expa.aiesec.org/opportunities/1289124")</f>
        <v>https://expa.aiesec.org/opportunities/1289124</v>
      </c>
      <c r="L90" s="43" t="str">
        <f>IFERROR(__xludf.DUMMYFUNCTION("""COMPUTED_VALUE"""),"GTe")</f>
        <v>GTe</v>
      </c>
      <c r="M90" s="43" t="str">
        <f>IFERROR(__xludf.DUMMYFUNCTION("""COMPUTED_VALUE"""),"long")</f>
        <v>long</v>
      </c>
      <c r="N90" s="45">
        <f>IFERROR(__xludf.DUMMYFUNCTION("""COMPUTED_VALUE"""),44825.0)</f>
        <v>44825</v>
      </c>
      <c r="O90" s="45">
        <f>IFERROR(__xludf.DUMMYFUNCTION("""COMPUTED_VALUE"""),44851.0)</f>
        <v>44851</v>
      </c>
      <c r="P90" s="45">
        <f>IFERROR(__xludf.DUMMYFUNCTION("""COMPUTED_VALUE"""),45216.0)</f>
        <v>45216</v>
      </c>
      <c r="Q90" s="45">
        <f>IFERROR(__xludf.DUMMYFUNCTION("""COMPUTED_VALUE"""),44880.0)</f>
        <v>44880</v>
      </c>
      <c r="R90" s="45">
        <f>IFERROR(__xludf.DUMMYFUNCTION("""COMPUTED_VALUE"""),45245.0)</f>
        <v>45245</v>
      </c>
      <c r="S90" s="43"/>
      <c r="T90" s="43"/>
      <c r="U90" s="43" t="str">
        <f>IFERROR(__xludf.DUMMYFUNCTION("""COMPUTED_VALUE"""),"Engish Teacher in Turgutlu")</f>
        <v>Engish Teacher in Turgutlu</v>
      </c>
      <c r="V90" s="43" t="str">
        <f>IFERROR(__xludf.DUMMYFUNCTION("""COMPUTED_VALUE"""),"AIESEC in Oran")</f>
        <v>AIESEC in Oran</v>
      </c>
      <c r="W90" s="43" t="str">
        <f>IFERROR(__xludf.DUMMYFUNCTION("""COMPUTED_VALUE"""),"2022-08-26T13:27:12Z")</f>
        <v>2022-08-26T13:27:12Z</v>
      </c>
      <c r="X90" s="43"/>
      <c r="Y90" s="43"/>
      <c r="Z90" s="43"/>
    </row>
    <row r="91" hidden="1">
      <c r="A91" s="43" t="str">
        <f>IFERROR(__xludf.DUMMYFUNCTION("""COMPUTED_VALUE"""),"4555871_1277737")</f>
        <v>4555871_1277737</v>
      </c>
      <c r="B91" s="43" t="str">
        <f>IFERROR(__xludf.DUMMYFUNCTION("""COMPUTED_VALUE"""),"Hafdhallaoui Safa")</f>
        <v>Hafdhallaoui Safa</v>
      </c>
      <c r="C91" s="43" t="str">
        <f>IFERROR(__xludf.DUMMYFUNCTION("""COMPUTED_VALUE"""),"completed")</f>
        <v>completed</v>
      </c>
      <c r="D91" s="43" t="str">
        <f>IFERROR(__xludf.DUMMYFUNCTION("""COMPUTED_VALUE"""),"No")</f>
        <v>No</v>
      </c>
      <c r="E91" s="43" t="str">
        <f>IFERROR(__xludf.DUMMYFUNCTION("""COMPUTED_VALUE"""),"p_f1c95707b4914e5811a338143e0d8fa585259c01@inbound.aiesec.org")</f>
        <v>p_f1c95707b4914e5811a338143e0d8fa585259c01@inbound.aiesec.org</v>
      </c>
      <c r="F91" s="43">
        <f>IFERROR(__xludf.DUMMYFUNCTION("""COMPUTED_VALUE"""),2.8695175E7)</f>
        <v>28695175</v>
      </c>
      <c r="G91" s="43" t="str">
        <f>IFERROR(__xludf.DUMMYFUNCTION("""COMPUTED_VALUE"""),"Tunisia")</f>
        <v>Tunisia</v>
      </c>
      <c r="H91" s="43" t="str">
        <f>IFERROR(__xludf.DUMMYFUNCTION("""COMPUTED_VALUE"""),"Tacapes")</f>
        <v>Tacapes</v>
      </c>
      <c r="I91" s="43" t="str">
        <f>IFERROR(__xludf.DUMMYFUNCTION("""COMPUTED_VALUE"""),"Turkey")</f>
        <v>Turkey</v>
      </c>
      <c r="J91" s="43" t="str">
        <f>IFERROR(__xludf.DUMMYFUNCTION("""COMPUTED_VALUE"""),"KOCAELI")</f>
        <v>KOCAELI</v>
      </c>
      <c r="K91" s="44" t="str">
        <f>IFERROR(__xludf.DUMMYFUNCTION("""COMPUTED_VALUE"""),"https://expa.aiesec.org/opportunities/1277737")</f>
        <v>https://expa.aiesec.org/opportunities/1277737</v>
      </c>
      <c r="L91" s="43" t="str">
        <f>IFERROR(__xludf.DUMMYFUNCTION("""COMPUTED_VALUE"""),"GTe")</f>
        <v>GTe</v>
      </c>
      <c r="M91" s="43" t="str">
        <f>IFERROR(__xludf.DUMMYFUNCTION("""COMPUTED_VALUE"""),"long")</f>
        <v>long</v>
      </c>
      <c r="N91" s="45">
        <f>IFERROR(__xludf.DUMMYFUNCTION("""COMPUTED_VALUE"""),44826.0)</f>
        <v>44826</v>
      </c>
      <c r="O91" s="45">
        <f>IFERROR(__xludf.DUMMYFUNCTION("""COMPUTED_VALUE"""),44846.0)</f>
        <v>44846</v>
      </c>
      <c r="P91" s="45">
        <f>IFERROR(__xludf.DUMMYFUNCTION("""COMPUTED_VALUE"""),45107.0)</f>
        <v>45107</v>
      </c>
      <c r="Q91" s="45">
        <f>IFERROR(__xludf.DUMMYFUNCTION("""COMPUTED_VALUE"""),44858.0)</f>
        <v>44858</v>
      </c>
      <c r="R91" s="45">
        <f>IFERROR(__xludf.DUMMYFUNCTION("""COMPUTED_VALUE"""),45107.0)</f>
        <v>45107</v>
      </c>
      <c r="S91" s="43"/>
      <c r="T91" s="43"/>
      <c r="U91" s="43" t="str">
        <f>IFERROR(__xludf.DUMMYFUNCTION("""COMPUTED_VALUE"""),"Kindergarten Teaching in Gözde Anaokulu")</f>
        <v>Kindergarten Teaching in Gözde Anaokulu</v>
      </c>
      <c r="V91" s="43" t="str">
        <f>IFERROR(__xludf.DUMMYFUNCTION("""COMPUTED_VALUE"""),"ISG Gabes")</f>
        <v>ISG Gabes</v>
      </c>
      <c r="W91" s="43" t="str">
        <f>IFERROR(__xludf.DUMMYFUNCTION("""COMPUTED_VALUE"""),"2021-02-23T10:43:57Z")</f>
        <v>2021-02-23T10:43:57Z</v>
      </c>
      <c r="X91" s="43"/>
      <c r="Y91" s="43"/>
      <c r="Z91" s="43"/>
    </row>
    <row r="92" hidden="1">
      <c r="A92" s="43" t="str">
        <f>IFERROR(__xludf.DUMMYFUNCTION("""COMPUTED_VALUE"""),"3428631_1284447")</f>
        <v>3428631_1284447</v>
      </c>
      <c r="B92" s="43" t="str">
        <f>IFERROR(__xludf.DUMMYFUNCTION("""COMPUTED_VALUE"""),"Sadok Kiram")</f>
        <v>Sadok Kiram</v>
      </c>
      <c r="C92" s="43" t="str">
        <f>IFERROR(__xludf.DUMMYFUNCTION("""COMPUTED_VALUE"""),"finished")</f>
        <v>finished</v>
      </c>
      <c r="D92" s="43" t="str">
        <f>IFERROR(__xludf.DUMMYFUNCTION("""COMPUTED_VALUE"""),"No")</f>
        <v>No</v>
      </c>
      <c r="E92" s="43" t="str">
        <f>IFERROR(__xludf.DUMMYFUNCTION("""COMPUTED_VALUE"""),"p_52378772c15d5bc6a145d2ed6a780f37160e84a0@inbound.aiesec.org")</f>
        <v>p_52378772c15d5bc6a145d2ed6a780f37160e84a0@inbound.aiesec.org</v>
      </c>
      <c r="F92" s="43">
        <f>IFERROR(__xludf.DUMMYFUNCTION("""COMPUTED_VALUE"""),7.82132063E8)</f>
        <v>782132063</v>
      </c>
      <c r="G92" s="43" t="str">
        <f>IFERROR(__xludf.DUMMYFUNCTION("""COMPUTED_VALUE"""),"Algeria")</f>
        <v>Algeria</v>
      </c>
      <c r="H92" s="43" t="str">
        <f>IFERROR(__xludf.DUMMYFUNCTION("""COMPUTED_VALUE"""),"Ouargla")</f>
        <v>Ouargla</v>
      </c>
      <c r="I92" s="43" t="str">
        <f>IFERROR(__xludf.DUMMYFUNCTION("""COMPUTED_VALUE"""),"Turkey")</f>
        <v>Turkey</v>
      </c>
      <c r="J92" s="43" t="str">
        <f>IFERROR(__xludf.DUMMYFUNCTION("""COMPUTED_VALUE"""),"KONYA")</f>
        <v>KONYA</v>
      </c>
      <c r="K92" s="44" t="str">
        <f>IFERROR(__xludf.DUMMYFUNCTION("""COMPUTED_VALUE"""),"https://expa.aiesec.org/opportunities/1284447")</f>
        <v>https://expa.aiesec.org/opportunities/1284447</v>
      </c>
      <c r="L92" s="43" t="str">
        <f>IFERROR(__xludf.DUMMYFUNCTION("""COMPUTED_VALUE"""),"GTe")</f>
        <v>GTe</v>
      </c>
      <c r="M92" s="43" t="str">
        <f>IFERROR(__xludf.DUMMYFUNCTION("""COMPUTED_VALUE"""),"long")</f>
        <v>long</v>
      </c>
      <c r="N92" s="45">
        <f>IFERROR(__xludf.DUMMYFUNCTION("""COMPUTED_VALUE"""),44828.0)</f>
        <v>44828</v>
      </c>
      <c r="O92" s="45">
        <f>IFERROR(__xludf.DUMMYFUNCTION("""COMPUTED_VALUE"""),44857.0)</f>
        <v>44857</v>
      </c>
      <c r="P92" s="45">
        <f>IFERROR(__xludf.DUMMYFUNCTION("""COMPUTED_VALUE"""),45222.0)</f>
        <v>45222</v>
      </c>
      <c r="Q92" s="45">
        <f>IFERROR(__xludf.DUMMYFUNCTION("""COMPUTED_VALUE"""),44866.0)</f>
        <v>44866</v>
      </c>
      <c r="R92" s="45">
        <f>IFERROR(__xludf.DUMMYFUNCTION("""COMPUTED_VALUE"""),45231.0)</f>
        <v>45231</v>
      </c>
      <c r="S92" s="43"/>
      <c r="T92" s="43"/>
      <c r="U92" s="43" t="str">
        <f>IFERROR(__xludf.DUMMYFUNCTION("""COMPUTED_VALUE"""),"English Teacher at Teachera ")</f>
        <v>English Teacher at Teachera </v>
      </c>
      <c r="V92" s="43" t="str">
        <f>IFERROR(__xludf.DUMMYFUNCTION("""COMPUTED_VALUE"""),"AIESEC in Benak")</f>
        <v>AIESEC in Benak</v>
      </c>
      <c r="W92" s="43" t="str">
        <f>IFERROR(__xludf.DUMMYFUNCTION("""COMPUTED_VALUE"""),"2019-05-15T14:18:02Z")</f>
        <v>2019-05-15T14:18:02Z</v>
      </c>
      <c r="X92" s="43"/>
      <c r="Y92" s="43"/>
      <c r="Z92" s="43"/>
    </row>
    <row r="93" hidden="1">
      <c r="A93" s="43" t="str">
        <f>IFERROR(__xludf.DUMMYFUNCTION("""COMPUTED_VALUE"""),"5085904_1289355")</f>
        <v>5085904_1289355</v>
      </c>
      <c r="B93" s="43" t="str">
        <f>IFERROR(__xludf.DUMMYFUNCTION("""COMPUTED_VALUE"""),"Uulzhan Abdyzhaparova")</f>
        <v>Uulzhan Abdyzhaparova</v>
      </c>
      <c r="C93" s="43" t="str">
        <f>IFERROR(__xludf.DUMMYFUNCTION("""COMPUTED_VALUE"""),"completed")</f>
        <v>completed</v>
      </c>
      <c r="D93" s="43" t="str">
        <f>IFERROR(__xludf.DUMMYFUNCTION("""COMPUTED_VALUE"""),"No")</f>
        <v>No</v>
      </c>
      <c r="E93" s="43" t="str">
        <f>IFERROR(__xludf.DUMMYFUNCTION("""COMPUTED_VALUE"""),"p_0349f8e39ca320fe39c7ae0176de6a3f3e504698@inbound.aiesec.org")</f>
        <v>p_0349f8e39ca320fe39c7ae0176de6a3f3e504698@inbound.aiesec.org</v>
      </c>
      <c r="F93" s="43">
        <f>IFERROR(__xludf.DUMMYFUNCTION("""COMPUTED_VALUE"""),5.52711714E8)</f>
        <v>552711714</v>
      </c>
      <c r="G93" s="43" t="str">
        <f>IFERROR(__xludf.DUMMYFUNCTION("""COMPUTED_VALUE"""),"Kyrgyzstan")</f>
        <v>Kyrgyzstan</v>
      </c>
      <c r="H93" s="43" t="str">
        <f>IFERROR(__xludf.DUMMYFUNCTION("""COMPUTED_VALUE"""),"Impulse for Bishkek Leaders (IBL)")</f>
        <v>Impulse for Bishkek Leaders (IBL)</v>
      </c>
      <c r="I93" s="43" t="str">
        <f>IFERROR(__xludf.DUMMYFUNCTION("""COMPUTED_VALUE"""),"Turkey")</f>
        <v>Turkey</v>
      </c>
      <c r="J93" s="43" t="str">
        <f>IFERROR(__xludf.DUMMYFUNCTION("""COMPUTED_VALUE"""),"ANTALYA")</f>
        <v>ANTALYA</v>
      </c>
      <c r="K93" s="44" t="str">
        <f>IFERROR(__xludf.DUMMYFUNCTION("""COMPUTED_VALUE"""),"https://expa.aiesec.org/opportunities/1289355")</f>
        <v>https://expa.aiesec.org/opportunities/1289355</v>
      </c>
      <c r="L93" s="43" t="str">
        <f>IFERROR(__xludf.DUMMYFUNCTION("""COMPUTED_VALUE"""),"GTe")</f>
        <v>GTe</v>
      </c>
      <c r="M93" s="43" t="str">
        <f>IFERROR(__xludf.DUMMYFUNCTION("""COMPUTED_VALUE"""),"long")</f>
        <v>long</v>
      </c>
      <c r="N93" s="45">
        <f>IFERROR(__xludf.DUMMYFUNCTION("""COMPUTED_VALUE"""),44829.0)</f>
        <v>44829</v>
      </c>
      <c r="O93" s="45">
        <f>IFERROR(__xludf.DUMMYFUNCTION("""COMPUTED_VALUE"""),44849.0)</f>
        <v>44849</v>
      </c>
      <c r="P93" s="45">
        <f>IFERROR(__xludf.DUMMYFUNCTION("""COMPUTED_VALUE"""),45214.0)</f>
        <v>45214</v>
      </c>
      <c r="Q93" s="45">
        <f>IFERROR(__xludf.DUMMYFUNCTION("""COMPUTED_VALUE"""),44853.0)</f>
        <v>44853</v>
      </c>
      <c r="R93" s="45">
        <f>IFERROR(__xludf.DUMMYFUNCTION("""COMPUTED_VALUE"""),45039.0)</f>
        <v>45039</v>
      </c>
      <c r="S93" s="43"/>
      <c r="T93" s="43"/>
      <c r="U93" s="43" t="str">
        <f>IFERROR(__xludf.DUMMYFUNCTION("""COMPUTED_VALUE"""),"English Teacher")</f>
        <v>English Teacher</v>
      </c>
      <c r="V93" s="43" t="str">
        <f>IFERROR(__xludf.DUMMYFUNCTION("""COMPUTED_VALUE"""),"Bishkek Humanitarian University (Бишкекский Гуманитарный Университет им. К. Карасаева)")</f>
        <v>Bishkek Humanitarian University (Бишкекский Гуманитарный Университет им. К. Карасаева)</v>
      </c>
      <c r="W93" s="43" t="str">
        <f>IFERROR(__xludf.DUMMYFUNCTION("""COMPUTED_VALUE"""),"2022-07-26T04:59:11Z")</f>
        <v>2022-07-26T04:59:11Z</v>
      </c>
      <c r="X93" s="43"/>
      <c r="Y93" s="43"/>
      <c r="Z93" s="43"/>
    </row>
    <row r="94" hidden="1">
      <c r="A94" s="43" t="str">
        <f>IFERROR(__xludf.DUMMYFUNCTION("""COMPUTED_VALUE"""),"5117908_1278809")</f>
        <v>5117908_1278809</v>
      </c>
      <c r="B94" s="43" t="str">
        <f>IFERROR(__xludf.DUMMYFUNCTION("""COMPUTED_VALUE"""),"nada saeed")</f>
        <v>nada saeed</v>
      </c>
      <c r="C94" s="43" t="str">
        <f>IFERROR(__xludf.DUMMYFUNCTION("""COMPUTED_VALUE"""),"realization_broken")</f>
        <v>realization_broken</v>
      </c>
      <c r="D94" s="43" t="str">
        <f>IFERROR(__xludf.DUMMYFUNCTION("""COMPUTED_VALUE"""),"No")</f>
        <v>No</v>
      </c>
      <c r="E94" s="43" t="str">
        <f>IFERROR(__xludf.DUMMYFUNCTION("""COMPUTED_VALUE"""),"p_2cf47e943098eb734a9f31d1680d4fbee776e2e5@inbound.aiesec.org")</f>
        <v>p_2cf47e943098eb734a9f31d1680d4fbee776e2e5@inbound.aiesec.org</v>
      </c>
      <c r="F94" s="43">
        <f>IFERROR(__xludf.DUMMYFUNCTION("""COMPUTED_VALUE"""),1.013321966E9)</f>
        <v>1013321966</v>
      </c>
      <c r="G94" s="43" t="str">
        <f>IFERROR(__xludf.DUMMYFUNCTION("""COMPUTED_VALUE"""),"Egypt")</f>
        <v>Egypt</v>
      </c>
      <c r="H94" s="43" t="str">
        <f>IFERROR(__xludf.DUMMYFUNCTION("""COMPUTED_VALUE"""),"Tanta")</f>
        <v>Tanta</v>
      </c>
      <c r="I94" s="43" t="str">
        <f>IFERROR(__xludf.DUMMYFUNCTION("""COMPUTED_VALUE"""),"Turkey")</f>
        <v>Turkey</v>
      </c>
      <c r="J94" s="43" t="str">
        <f>IFERROR(__xludf.DUMMYFUNCTION("""COMPUTED_VALUE"""),"ESKISEHIR")</f>
        <v>ESKISEHIR</v>
      </c>
      <c r="K94" s="44" t="str">
        <f>IFERROR(__xludf.DUMMYFUNCTION("""COMPUTED_VALUE"""),"https://expa.aiesec.org/opportunities/1278809")</f>
        <v>https://expa.aiesec.org/opportunities/1278809</v>
      </c>
      <c r="L94" s="43" t="str">
        <f>IFERROR(__xludf.DUMMYFUNCTION("""COMPUTED_VALUE"""),"GTe")</f>
        <v>GTe</v>
      </c>
      <c r="M94" s="43" t="str">
        <f>IFERROR(__xludf.DUMMYFUNCTION("""COMPUTED_VALUE"""),"long")</f>
        <v>long</v>
      </c>
      <c r="N94" s="45">
        <f>IFERROR(__xludf.DUMMYFUNCTION("""COMPUTED_VALUE"""),44833.0)</f>
        <v>44833</v>
      </c>
      <c r="O94" s="45">
        <f>IFERROR(__xludf.DUMMYFUNCTION("""COMPUTED_VALUE"""),44886.0)</f>
        <v>44886</v>
      </c>
      <c r="P94" s="45">
        <f>IFERROR(__xludf.DUMMYFUNCTION("""COMPUTED_VALUE"""),45250.0)</f>
        <v>45250</v>
      </c>
      <c r="Q94" s="45"/>
      <c r="R94" s="45"/>
      <c r="S94" s="43"/>
      <c r="T94" s="43"/>
      <c r="U94" s="43" t="str">
        <f>IFERROR(__xludf.DUMMYFUNCTION("""COMPUTED_VALUE"""),"ENGLISH TEACHER")</f>
        <v>ENGLISH TEACHER</v>
      </c>
      <c r="V94" s="43" t="str">
        <f>IFERROR(__xludf.DUMMYFUNCTION("""COMPUTED_VALUE"""),"Tanta")</f>
        <v>Tanta</v>
      </c>
      <c r="W94" s="43" t="str">
        <f>IFERROR(__xludf.DUMMYFUNCTION("""COMPUTED_VALUE"""),"2022-09-23T01:46:33Z")</f>
        <v>2022-09-23T01:46:33Z</v>
      </c>
      <c r="X94" s="43"/>
      <c r="Y94" s="43"/>
      <c r="Z94" s="43"/>
    </row>
    <row r="95" hidden="1">
      <c r="A95" s="43" t="str">
        <f>IFERROR(__xludf.DUMMYFUNCTION("""COMPUTED_VALUE"""),"5116647_1288707")</f>
        <v>5116647_1288707</v>
      </c>
      <c r="B95" s="43" t="str">
        <f>IFERROR(__xludf.DUMMYFUNCTION("""COMPUTED_VALUE"""),"Umer Farooq")</f>
        <v>Umer Farooq</v>
      </c>
      <c r="C95" s="43" t="str">
        <f>IFERROR(__xludf.DUMMYFUNCTION("""COMPUTED_VALUE"""),"finished")</f>
        <v>finished</v>
      </c>
      <c r="D95" s="43" t="str">
        <f>IFERROR(__xludf.DUMMYFUNCTION("""COMPUTED_VALUE"""),"No")</f>
        <v>No</v>
      </c>
      <c r="E95" s="43" t="str">
        <f>IFERROR(__xludf.DUMMYFUNCTION("""COMPUTED_VALUE"""),"p_4676cbc3b4e21ff47ec0253da587469479f3468c@inbound.aiesec.org")</f>
        <v>p_4676cbc3b4e21ff47ec0253da587469479f3468c@inbound.aiesec.org</v>
      </c>
      <c r="F95" s="43">
        <f>IFERROR(__xludf.DUMMYFUNCTION("""COMPUTED_VALUE"""),3.472535007E9)</f>
        <v>3472535007</v>
      </c>
      <c r="G95" s="43" t="str">
        <f>IFERROR(__xludf.DUMMYFUNCTION("""COMPUTED_VALUE"""),"Pakistan")</f>
        <v>Pakistan</v>
      </c>
      <c r="H95" s="43" t="str">
        <f>IFERROR(__xludf.DUMMYFUNCTION("""COMPUTED_VALUE"""),"Karachi")</f>
        <v>Karachi</v>
      </c>
      <c r="I95" s="43" t="str">
        <f>IFERROR(__xludf.DUMMYFUNCTION("""COMPUTED_VALUE"""),"Turkey")</f>
        <v>Turkey</v>
      </c>
      <c r="J95" s="43" t="str">
        <f>IFERROR(__xludf.DUMMYFUNCTION("""COMPUTED_VALUE"""),"GAZIANTEP")</f>
        <v>GAZIANTEP</v>
      </c>
      <c r="K95" s="44" t="str">
        <f>IFERROR(__xludf.DUMMYFUNCTION("""COMPUTED_VALUE"""),"https://expa.aiesec.org/opportunities/1288707")</f>
        <v>https://expa.aiesec.org/opportunities/1288707</v>
      </c>
      <c r="L95" s="43" t="str">
        <f>IFERROR(__xludf.DUMMYFUNCTION("""COMPUTED_VALUE"""),"GTe")</f>
        <v>GTe</v>
      </c>
      <c r="M95" s="43" t="str">
        <f>IFERROR(__xludf.DUMMYFUNCTION("""COMPUTED_VALUE"""),"long")</f>
        <v>long</v>
      </c>
      <c r="N95" s="45">
        <f>IFERROR(__xludf.DUMMYFUNCTION("""COMPUTED_VALUE"""),44833.0)</f>
        <v>44833</v>
      </c>
      <c r="O95" s="45">
        <f>IFERROR(__xludf.DUMMYFUNCTION("""COMPUTED_VALUE"""),44844.0)</f>
        <v>44844</v>
      </c>
      <c r="P95" s="45">
        <f>IFERROR(__xludf.DUMMYFUNCTION("""COMPUTED_VALUE"""),45209.0)</f>
        <v>45209</v>
      </c>
      <c r="Q95" s="45">
        <f>IFERROR(__xludf.DUMMYFUNCTION("""COMPUTED_VALUE"""),44853.0)</f>
        <v>44853</v>
      </c>
      <c r="R95" s="45">
        <f>IFERROR(__xludf.DUMMYFUNCTION("""COMPUTED_VALUE"""),45218.0)</f>
        <v>45218</v>
      </c>
      <c r="S95" s="43"/>
      <c r="T95" s="43"/>
      <c r="U95" s="43" t="str">
        <f>IFERROR(__xludf.DUMMYFUNCTION("""COMPUTED_VALUE"""),"ENGLISH TEACHER")</f>
        <v>ENGLISH TEACHER</v>
      </c>
      <c r="V95" s="43" t="str">
        <f>IFERROR(__xludf.DUMMYFUNCTION("""COMPUTED_VALUE"""),"Karachi - University of Karachi")</f>
        <v>Karachi - University of Karachi</v>
      </c>
      <c r="W95" s="43" t="str">
        <f>IFERROR(__xludf.DUMMYFUNCTION("""COMPUTED_VALUE"""),"2022-09-20T21:57:55Z")</f>
        <v>2022-09-20T21:57:55Z</v>
      </c>
      <c r="X95" s="43"/>
      <c r="Y95" s="43"/>
      <c r="Z95" s="43"/>
    </row>
    <row r="96" hidden="1">
      <c r="A96" s="43" t="str">
        <f>IFERROR(__xludf.DUMMYFUNCTION("""COMPUTED_VALUE"""),"5114056_1286368")</f>
        <v>5114056_1286368</v>
      </c>
      <c r="B96" s="43" t="str">
        <f>IFERROR(__xludf.DUMMYFUNCTION("""COMPUTED_VALUE"""),"IMANE EZZAITI")</f>
        <v>IMANE EZZAITI</v>
      </c>
      <c r="C96" s="43" t="str">
        <f>IFERROR(__xludf.DUMMYFUNCTION("""COMPUTED_VALUE"""),"completed")</f>
        <v>completed</v>
      </c>
      <c r="D96" s="43" t="str">
        <f>IFERROR(__xludf.DUMMYFUNCTION("""COMPUTED_VALUE"""),"No")</f>
        <v>No</v>
      </c>
      <c r="E96" s="43" t="str">
        <f>IFERROR(__xludf.DUMMYFUNCTION("""COMPUTED_VALUE"""),"p_aead8f957901091ffeecd7a38f034fe431f9aa9d@inbound.aiesec.org")</f>
        <v>p_aead8f957901091ffeecd7a38f034fe431f9aa9d@inbound.aiesec.org</v>
      </c>
      <c r="F96" s="43">
        <f>IFERROR(__xludf.DUMMYFUNCTION("""COMPUTED_VALUE"""),6.48414662E8)</f>
        <v>648414662</v>
      </c>
      <c r="G96" s="43" t="str">
        <f>IFERROR(__xludf.DUMMYFUNCTION("""COMPUTED_VALUE"""),"Morocco")</f>
        <v>Morocco</v>
      </c>
      <c r="H96" s="43" t="str">
        <f>IFERROR(__xludf.DUMMYFUNCTION("""COMPUTED_VALUE"""),"Morocco (MC)")</f>
        <v>Morocco (MC)</v>
      </c>
      <c r="I96" s="43" t="str">
        <f>IFERROR(__xludf.DUMMYFUNCTION("""COMPUTED_VALUE"""),"Turkey")</f>
        <v>Turkey</v>
      </c>
      <c r="J96" s="43" t="str">
        <f>IFERROR(__xludf.DUMMYFUNCTION("""COMPUTED_VALUE"""),"ISTANBUL ASIA")</f>
        <v>ISTANBUL ASIA</v>
      </c>
      <c r="K96" s="44" t="str">
        <f>IFERROR(__xludf.DUMMYFUNCTION("""COMPUTED_VALUE"""),"https://expa.aiesec.org/opportunities/1286368")</f>
        <v>https://expa.aiesec.org/opportunities/1286368</v>
      </c>
      <c r="L96" s="43" t="str">
        <f>IFERROR(__xludf.DUMMYFUNCTION("""COMPUTED_VALUE"""),"GTe")</f>
        <v>GTe</v>
      </c>
      <c r="M96" s="43" t="str">
        <f>IFERROR(__xludf.DUMMYFUNCTION("""COMPUTED_VALUE"""),"long")</f>
        <v>long</v>
      </c>
      <c r="N96" s="45">
        <f>IFERROR(__xludf.DUMMYFUNCTION("""COMPUTED_VALUE"""),44833.0)</f>
        <v>44833</v>
      </c>
      <c r="O96" s="45">
        <f>IFERROR(__xludf.DUMMYFUNCTION("""COMPUTED_VALUE"""),44842.0)</f>
        <v>44842</v>
      </c>
      <c r="P96" s="45">
        <f>IFERROR(__xludf.DUMMYFUNCTION("""COMPUTED_VALUE"""),45207.0)</f>
        <v>45207</v>
      </c>
      <c r="Q96" s="45">
        <f>IFERROR(__xludf.DUMMYFUNCTION("""COMPUTED_VALUE"""),44858.0)</f>
        <v>44858</v>
      </c>
      <c r="R96" s="45">
        <f>IFERROR(__xludf.DUMMYFUNCTION("""COMPUTED_VALUE"""),45223.0)</f>
        <v>45223</v>
      </c>
      <c r="S96" s="43"/>
      <c r="T96" s="43"/>
      <c r="U96" s="43" t="str">
        <f>IFERROR(__xludf.DUMMYFUNCTION("""COMPUTED_VALUE"""),"English Teacher")</f>
        <v>English Teacher</v>
      </c>
      <c r="V96" s="43" t="str">
        <f>IFERROR(__xludf.DUMMYFUNCTION("""COMPUTED_VALUE"""),"FLSH Marrakech")</f>
        <v>FLSH Marrakech</v>
      </c>
      <c r="W96" s="43" t="str">
        <f>IFERROR(__xludf.DUMMYFUNCTION("""COMPUTED_VALUE"""),"2022-09-17T05:51:56Z")</f>
        <v>2022-09-17T05:51:56Z</v>
      </c>
      <c r="X96" s="43"/>
      <c r="Y96" s="43"/>
      <c r="Z96" s="43"/>
    </row>
    <row r="97" hidden="1">
      <c r="A97" s="43" t="str">
        <f>IFERROR(__xludf.DUMMYFUNCTION("""COMPUTED_VALUE"""),"5121739_1277661")</f>
        <v>5121739_1277661</v>
      </c>
      <c r="B97" s="43" t="str">
        <f>IFERROR(__xludf.DUMMYFUNCTION("""COMPUTED_VALUE"""),"Oussama Ismail Bouricha")</f>
        <v>Oussama Ismail Bouricha</v>
      </c>
      <c r="C97" s="43" t="str">
        <f>IFERROR(__xludf.DUMMYFUNCTION("""COMPUTED_VALUE"""),"finished")</f>
        <v>finished</v>
      </c>
      <c r="D97" s="43" t="str">
        <f>IFERROR(__xludf.DUMMYFUNCTION("""COMPUTED_VALUE"""),"No")</f>
        <v>No</v>
      </c>
      <c r="E97" s="43" t="str">
        <f>IFERROR(__xludf.DUMMYFUNCTION("""COMPUTED_VALUE"""),"p_b2991db79e259b443d48d87559986f513a9ad2c9@inbound.aiesec.org")</f>
        <v>p_b2991db79e259b443d48d87559986f513a9ad2c9@inbound.aiesec.org</v>
      </c>
      <c r="F97" s="43">
        <f>IFERROR(__xludf.DUMMYFUNCTION("""COMPUTED_VALUE"""),6.73701656E8)</f>
        <v>673701656</v>
      </c>
      <c r="G97" s="43" t="str">
        <f>IFERROR(__xludf.DUMMYFUNCTION("""COMPUTED_VALUE"""),"Algeria")</f>
        <v>Algeria</v>
      </c>
      <c r="H97" s="43" t="str">
        <f>IFERROR(__xludf.DUMMYFUNCTION("""COMPUTED_VALUE"""),"Benak")</f>
        <v>Benak</v>
      </c>
      <c r="I97" s="43" t="str">
        <f>IFERROR(__xludf.DUMMYFUNCTION("""COMPUTED_VALUE"""),"Turkey")</f>
        <v>Turkey</v>
      </c>
      <c r="J97" s="43" t="str">
        <f>IFERROR(__xludf.DUMMYFUNCTION("""COMPUTED_VALUE"""),"KOCAELI")</f>
        <v>KOCAELI</v>
      </c>
      <c r="K97" s="44" t="str">
        <f>IFERROR(__xludf.DUMMYFUNCTION("""COMPUTED_VALUE"""),"https://expa.aiesec.org/opportunities/1277661")</f>
        <v>https://expa.aiesec.org/opportunities/1277661</v>
      </c>
      <c r="L97" s="43" t="str">
        <f>IFERROR(__xludf.DUMMYFUNCTION("""COMPUTED_VALUE"""),"GTe")</f>
        <v>GTe</v>
      </c>
      <c r="M97" s="43" t="str">
        <f>IFERROR(__xludf.DUMMYFUNCTION("""COMPUTED_VALUE"""),"long")</f>
        <v>long</v>
      </c>
      <c r="N97" s="45">
        <f>IFERROR(__xludf.DUMMYFUNCTION("""COMPUTED_VALUE"""),44835.0)</f>
        <v>44835</v>
      </c>
      <c r="O97" s="45">
        <f>IFERROR(__xludf.DUMMYFUNCTION("""COMPUTED_VALUE"""),44849.0)</f>
        <v>44849</v>
      </c>
      <c r="P97" s="45">
        <f>IFERROR(__xludf.DUMMYFUNCTION("""COMPUTED_VALUE"""),45107.0)</f>
        <v>45107</v>
      </c>
      <c r="Q97" s="45">
        <f>IFERROR(__xludf.DUMMYFUNCTION("""COMPUTED_VALUE"""),44858.0)</f>
        <v>44858</v>
      </c>
      <c r="R97" s="45">
        <f>IFERROR(__xludf.DUMMYFUNCTION("""COMPUTED_VALUE"""),45107.0)</f>
        <v>45107</v>
      </c>
      <c r="S97" s="43"/>
      <c r="T97" s="43"/>
      <c r="U97" s="43" t="str">
        <f>IFERROR(__xludf.DUMMYFUNCTION("""COMPUTED_VALUE"""),"English Teacher in Körfez Uğur Okulları")</f>
        <v>English Teacher in Körfez Uğur Okulları</v>
      </c>
      <c r="V97" s="43" t="str">
        <f>IFERROR(__xludf.DUMMYFUNCTION("""COMPUTED_VALUE"""),"AIESEC in Benak")</f>
        <v>AIESEC in Benak</v>
      </c>
      <c r="W97" s="43" t="str">
        <f>IFERROR(__xludf.DUMMYFUNCTION("""COMPUTED_VALUE"""),"2022-09-28T21:41:37Z")</f>
        <v>2022-09-28T21:41:37Z</v>
      </c>
      <c r="X97" s="43"/>
      <c r="Y97" s="43"/>
      <c r="Z97" s="43"/>
    </row>
    <row r="98" hidden="1">
      <c r="A98" s="43" t="str">
        <f>IFERROR(__xludf.DUMMYFUNCTION("""COMPUTED_VALUE"""),"5122963_1272227")</f>
        <v>5122963_1272227</v>
      </c>
      <c r="B98" s="43" t="str">
        <f>IFERROR(__xludf.DUMMYFUNCTION("""COMPUTED_VALUE"""),"Emna Felah")</f>
        <v>Emna Felah</v>
      </c>
      <c r="C98" s="43" t="str">
        <f>IFERROR(__xludf.DUMMYFUNCTION("""COMPUTED_VALUE"""),"completed")</f>
        <v>completed</v>
      </c>
      <c r="D98" s="43" t="str">
        <f>IFERROR(__xludf.DUMMYFUNCTION("""COMPUTED_VALUE"""),"No")</f>
        <v>No</v>
      </c>
      <c r="E98" s="43" t="str">
        <f>IFERROR(__xludf.DUMMYFUNCTION("""COMPUTED_VALUE"""),"p_d0f0b79ad495f52b704694812a2d915882e6f8ff@inbound.aiesec.org")</f>
        <v>p_d0f0b79ad495f52b704694812a2d915882e6f8ff@inbound.aiesec.org</v>
      </c>
      <c r="F98" s="43">
        <f>IFERROR(__xludf.DUMMYFUNCTION("""COMPUTED_VALUE"""),9.4069283E7)</f>
        <v>94069283</v>
      </c>
      <c r="G98" s="43" t="str">
        <f>IFERROR(__xludf.DUMMYFUNCTION("""COMPUTED_VALUE"""),"Tunisia")</f>
        <v>Tunisia</v>
      </c>
      <c r="H98" s="43" t="str">
        <f>IFERROR(__xludf.DUMMYFUNCTION("""COMPUTED_VALUE"""),"HADRUMET")</f>
        <v>HADRUMET</v>
      </c>
      <c r="I98" s="43" t="str">
        <f>IFERROR(__xludf.DUMMYFUNCTION("""COMPUTED_VALUE"""),"Turkey")</f>
        <v>Turkey</v>
      </c>
      <c r="J98" s="43" t="str">
        <f>IFERROR(__xludf.DUMMYFUNCTION("""COMPUTED_VALUE"""),"ISTANBUL WEST")</f>
        <v>ISTANBUL WEST</v>
      </c>
      <c r="K98" s="44" t="str">
        <f>IFERROR(__xludf.DUMMYFUNCTION("""COMPUTED_VALUE"""),"https://expa.aiesec.org/opportunities/1272227")</f>
        <v>https://expa.aiesec.org/opportunities/1272227</v>
      </c>
      <c r="L98" s="43" t="str">
        <f>IFERROR(__xludf.DUMMYFUNCTION("""COMPUTED_VALUE"""),"GTe")</f>
        <v>GTe</v>
      </c>
      <c r="M98" s="43" t="str">
        <f>IFERROR(__xludf.DUMMYFUNCTION("""COMPUTED_VALUE"""),"long")</f>
        <v>long</v>
      </c>
      <c r="N98" s="45">
        <f>IFERROR(__xludf.DUMMYFUNCTION("""COMPUTED_VALUE"""),44835.0)</f>
        <v>44835</v>
      </c>
      <c r="O98" s="45">
        <f>IFERROR(__xludf.DUMMYFUNCTION("""COMPUTED_VALUE"""),44851.0)</f>
        <v>44851</v>
      </c>
      <c r="P98" s="45">
        <f>IFERROR(__xludf.DUMMYFUNCTION("""COMPUTED_VALUE"""),45212.0)</f>
        <v>45212</v>
      </c>
      <c r="Q98" s="45">
        <f>IFERROR(__xludf.DUMMYFUNCTION("""COMPUTED_VALUE"""),44893.0)</f>
        <v>44893</v>
      </c>
      <c r="R98" s="45">
        <f>IFERROR(__xludf.DUMMYFUNCTION("""COMPUTED_VALUE"""),45254.0)</f>
        <v>45254</v>
      </c>
      <c r="S98" s="43"/>
      <c r="T98" s="43"/>
      <c r="U98" s="43" t="str">
        <f>IFERROR(__xludf.DUMMYFUNCTION("""COMPUTED_VALUE"""),"English Teacher at Edirne Keşan")</f>
        <v>English Teacher at Edirne Keşan</v>
      </c>
      <c r="V98" s="43" t="str">
        <f>IFERROR(__xludf.DUMMYFUNCTION("""COMPUTED_VALUE"""),"FLSH Sousse")</f>
        <v>FLSH Sousse</v>
      </c>
      <c r="W98" s="43" t="str">
        <f>IFERROR(__xludf.DUMMYFUNCTION("""COMPUTED_VALUE"""),"2022-09-30T16:58:51Z")</f>
        <v>2022-09-30T16:58:51Z</v>
      </c>
      <c r="X98" s="43"/>
      <c r="Y98" s="43"/>
      <c r="Z98" s="43"/>
    </row>
    <row r="99" hidden="1">
      <c r="A99" s="43" t="str">
        <f>IFERROR(__xludf.DUMMYFUNCTION("""COMPUTED_VALUE"""),"2989332_1289296")</f>
        <v>2989332_1289296</v>
      </c>
      <c r="B99" s="43" t="str">
        <f>IFERROR(__xludf.DUMMYFUNCTION("""COMPUTED_VALUE"""),"Nada Z'hor Merzouk Benselloua")</f>
        <v>Nada Z'hor Merzouk Benselloua</v>
      </c>
      <c r="C99" s="43" t="str">
        <f>IFERROR(__xludf.DUMMYFUNCTION("""COMPUTED_VALUE"""),"completed")</f>
        <v>completed</v>
      </c>
      <c r="D99" s="43" t="str">
        <f>IFERROR(__xludf.DUMMYFUNCTION("""COMPUTED_VALUE"""),"No")</f>
        <v>No</v>
      </c>
      <c r="E99" s="43" t="str">
        <f>IFERROR(__xludf.DUMMYFUNCTION("""COMPUTED_VALUE"""),"p_92b5b19e97b340468e51ee567b40359d457a4a9e@inbound.aiesec.org")</f>
        <v>p_92b5b19e97b340468e51ee567b40359d457a4a9e@inbound.aiesec.org</v>
      </c>
      <c r="F99" s="43">
        <f>IFERROR(__xludf.DUMMYFUNCTION("""COMPUTED_VALUE"""),7.754509E8)</f>
        <v>775450900</v>
      </c>
      <c r="G99" s="43" t="str">
        <f>IFERROR(__xludf.DUMMYFUNCTION("""COMPUTED_VALUE"""),"Algeria")</f>
        <v>Algeria</v>
      </c>
      <c r="H99" s="43" t="str">
        <f>IFERROR(__xludf.DUMMYFUNCTION("""COMPUTED_VALUE"""),"Oran")</f>
        <v>Oran</v>
      </c>
      <c r="I99" s="43" t="str">
        <f>IFERROR(__xludf.DUMMYFUNCTION("""COMPUTED_VALUE"""),"Turkey")</f>
        <v>Turkey</v>
      </c>
      <c r="J99" s="43" t="str">
        <f>IFERROR(__xludf.DUMMYFUNCTION("""COMPUTED_VALUE"""),"İZMİR")</f>
        <v>İZMİR</v>
      </c>
      <c r="K99" s="44" t="str">
        <f>IFERROR(__xludf.DUMMYFUNCTION("""COMPUTED_VALUE"""),"https://expa.aiesec.org/opportunities/1289296")</f>
        <v>https://expa.aiesec.org/opportunities/1289296</v>
      </c>
      <c r="L99" s="43" t="str">
        <f>IFERROR(__xludf.DUMMYFUNCTION("""COMPUTED_VALUE"""),"GTe")</f>
        <v>GTe</v>
      </c>
      <c r="M99" s="43" t="str">
        <f>IFERROR(__xludf.DUMMYFUNCTION("""COMPUTED_VALUE"""),"long")</f>
        <v>long</v>
      </c>
      <c r="N99" s="45">
        <f>IFERROR(__xludf.DUMMYFUNCTION("""COMPUTED_VALUE"""),44835.0)</f>
        <v>44835</v>
      </c>
      <c r="O99" s="45">
        <f>IFERROR(__xludf.DUMMYFUNCTION("""COMPUTED_VALUE"""),44851.0)</f>
        <v>44851</v>
      </c>
      <c r="P99" s="45">
        <f>IFERROR(__xludf.DUMMYFUNCTION("""COMPUTED_VALUE"""),45107.0)</f>
        <v>45107</v>
      </c>
      <c r="Q99" s="45">
        <f>IFERROR(__xludf.DUMMYFUNCTION("""COMPUTED_VALUE"""),44894.0)</f>
        <v>44894</v>
      </c>
      <c r="R99" s="45">
        <f>IFERROR(__xludf.DUMMYFUNCTION("""COMPUTED_VALUE"""),45150.0)</f>
        <v>45150</v>
      </c>
      <c r="S99" s="43"/>
      <c r="T99" s="43"/>
      <c r="U99" s="43" t="str">
        <f>IFERROR(__xludf.DUMMYFUNCTION("""COMPUTED_VALUE"""),"English Teacher in Kindergarten, Izmir")</f>
        <v>English Teacher in Kindergarten, Izmir</v>
      </c>
      <c r="V99" s="43" t="str">
        <f>IFERROR(__xludf.DUMMYFUNCTION("""COMPUTED_VALUE"""),"AIESEC in Bejaia")</f>
        <v>AIESEC in Bejaia</v>
      </c>
      <c r="W99" s="43" t="str">
        <f>IFERROR(__xludf.DUMMYFUNCTION("""COMPUTED_VALUE"""),"2018-12-20T10:11:25Z")</f>
        <v>2018-12-20T10:11:25Z</v>
      </c>
      <c r="X99" s="43"/>
      <c r="Y99" s="43"/>
      <c r="Z99" s="43"/>
    </row>
    <row r="100" hidden="1">
      <c r="A100" s="43" t="str">
        <f>IFERROR(__xludf.DUMMYFUNCTION("""COMPUTED_VALUE"""),"5120736_1282413")</f>
        <v>5120736_1282413</v>
      </c>
      <c r="B100" s="43" t="str">
        <f>IFERROR(__xludf.DUMMYFUNCTION("""COMPUTED_VALUE"""),"Souheila Yasmine Benrabah")</f>
        <v>Souheila Yasmine Benrabah</v>
      </c>
      <c r="C100" s="43" t="str">
        <f>IFERROR(__xludf.DUMMYFUNCTION("""COMPUTED_VALUE"""),"completed")</f>
        <v>completed</v>
      </c>
      <c r="D100" s="43" t="str">
        <f>IFERROR(__xludf.DUMMYFUNCTION("""COMPUTED_VALUE"""),"No")</f>
        <v>No</v>
      </c>
      <c r="E100" s="43" t="str">
        <f>IFERROR(__xludf.DUMMYFUNCTION("""COMPUTED_VALUE"""),"p_5b42a51aee4663a0d6c12d4f88198eacf1343a14@inbound.aiesec.org")</f>
        <v>p_5b42a51aee4663a0d6c12d4f88198eacf1343a14@inbound.aiesec.org</v>
      </c>
      <c r="F100" s="43">
        <f>IFERROR(__xludf.DUMMYFUNCTION("""COMPUTED_VALUE"""),6.57746722E8)</f>
        <v>657746722</v>
      </c>
      <c r="G100" s="43" t="str">
        <f>IFERROR(__xludf.DUMMYFUNCTION("""COMPUTED_VALUE"""),"Algeria")</f>
        <v>Algeria</v>
      </c>
      <c r="H100" s="43" t="str">
        <f>IFERROR(__xludf.DUMMYFUNCTION("""COMPUTED_VALUE"""),"Constantine")</f>
        <v>Constantine</v>
      </c>
      <c r="I100" s="43" t="str">
        <f>IFERROR(__xludf.DUMMYFUNCTION("""COMPUTED_VALUE"""),"Turkey")</f>
        <v>Turkey</v>
      </c>
      <c r="J100" s="43" t="str">
        <f>IFERROR(__xludf.DUMMYFUNCTION("""COMPUTED_VALUE"""),"KOCAELI")</f>
        <v>KOCAELI</v>
      </c>
      <c r="K100" s="44" t="str">
        <f>IFERROR(__xludf.DUMMYFUNCTION("""COMPUTED_VALUE"""),"https://expa.aiesec.org/opportunities/1282413")</f>
        <v>https://expa.aiesec.org/opportunities/1282413</v>
      </c>
      <c r="L100" s="43" t="str">
        <f>IFERROR(__xludf.DUMMYFUNCTION("""COMPUTED_VALUE"""),"GTe")</f>
        <v>GTe</v>
      </c>
      <c r="M100" s="43" t="str">
        <f>IFERROR(__xludf.DUMMYFUNCTION("""COMPUTED_VALUE"""),"long")</f>
        <v>long</v>
      </c>
      <c r="N100" s="45">
        <f>IFERROR(__xludf.DUMMYFUNCTION("""COMPUTED_VALUE"""),44837.0)</f>
        <v>44837</v>
      </c>
      <c r="O100" s="45">
        <f>IFERROR(__xludf.DUMMYFUNCTION("""COMPUTED_VALUE"""),44851.0)</f>
        <v>44851</v>
      </c>
      <c r="P100" s="45">
        <f>IFERROR(__xludf.DUMMYFUNCTION("""COMPUTED_VALUE"""),45107.0)</f>
        <v>45107</v>
      </c>
      <c r="Q100" s="45">
        <f>IFERROR(__xludf.DUMMYFUNCTION("""COMPUTED_VALUE"""),44872.0)</f>
        <v>44872</v>
      </c>
      <c r="R100" s="45">
        <f>IFERROR(__xludf.DUMMYFUNCTION("""COMPUTED_VALUE"""),45107.0)</f>
        <v>45107</v>
      </c>
      <c r="S100" s="43"/>
      <c r="T100" s="43"/>
      <c r="U100" s="43" t="str">
        <f>IFERROR(__xludf.DUMMYFUNCTION("""COMPUTED_VALUE"""),"English Teacher in Era College")</f>
        <v>English Teacher in Era College</v>
      </c>
      <c r="V100" s="43" t="str">
        <f>IFERROR(__xludf.DUMMYFUNCTION("""COMPUTED_VALUE"""),"AIESEC in Constantine")</f>
        <v>AIESEC in Constantine</v>
      </c>
      <c r="W100" s="43" t="str">
        <f>IFERROR(__xludf.DUMMYFUNCTION("""COMPUTED_VALUE"""),"2022-09-27T18:06:32Z")</f>
        <v>2022-09-27T18:06:32Z</v>
      </c>
      <c r="X100" s="43"/>
      <c r="Y100" s="43"/>
      <c r="Z100" s="43"/>
    </row>
    <row r="101" hidden="1">
      <c r="A101" s="43" t="str">
        <f>IFERROR(__xludf.DUMMYFUNCTION("""COMPUTED_VALUE"""),"5125309_1258621")</f>
        <v>5125309_1258621</v>
      </c>
      <c r="B101" s="43" t="str">
        <f>IFERROR(__xludf.DUMMYFUNCTION("""COMPUTED_VALUE"""),"Asmaa Ksouriii")</f>
        <v>Asmaa Ksouriii</v>
      </c>
      <c r="C101" s="43" t="str">
        <f>IFERROR(__xludf.DUMMYFUNCTION("""COMPUTED_VALUE"""),"realized")</f>
        <v>realized</v>
      </c>
      <c r="D101" s="43" t="str">
        <f>IFERROR(__xludf.DUMMYFUNCTION("""COMPUTED_VALUE"""),"No")</f>
        <v>No</v>
      </c>
      <c r="E101" s="43" t="str">
        <f>IFERROR(__xludf.DUMMYFUNCTION("""COMPUTED_VALUE"""),"p_56a3fc4ccac0cf6c69a05e50bf42d78f6b5c6c0d@inbound.aiesec.org")</f>
        <v>p_56a3fc4ccac0cf6c69a05e50bf42d78f6b5c6c0d@inbound.aiesec.org</v>
      </c>
      <c r="F101" s="43">
        <f>IFERROR(__xludf.DUMMYFUNCTION("""COMPUTED_VALUE"""),5.3806227E7)</f>
        <v>53806227</v>
      </c>
      <c r="G101" s="43" t="str">
        <f>IFERROR(__xludf.DUMMYFUNCTION("""COMPUTED_VALUE"""),"Tunisia")</f>
        <v>Tunisia</v>
      </c>
      <c r="H101" s="43" t="str">
        <f>IFERROR(__xludf.DUMMYFUNCTION("""COMPUTED_VALUE"""),"BARDO")</f>
        <v>BARDO</v>
      </c>
      <c r="I101" s="43" t="str">
        <f>IFERROR(__xludf.DUMMYFUNCTION("""COMPUTED_VALUE"""),"Turkey")</f>
        <v>Turkey</v>
      </c>
      <c r="J101" s="43" t="str">
        <f>IFERROR(__xludf.DUMMYFUNCTION("""COMPUTED_VALUE"""),"ISTANBUL WEST")</f>
        <v>ISTANBUL WEST</v>
      </c>
      <c r="K101" s="44" t="str">
        <f>IFERROR(__xludf.DUMMYFUNCTION("""COMPUTED_VALUE"""),"https://expa.aiesec.org/opportunities/1258621")</f>
        <v>https://expa.aiesec.org/opportunities/1258621</v>
      </c>
      <c r="L101" s="43" t="str">
        <f>IFERROR(__xludf.DUMMYFUNCTION("""COMPUTED_VALUE"""),"GTe")</f>
        <v>GTe</v>
      </c>
      <c r="M101" s="43" t="str">
        <f>IFERROR(__xludf.DUMMYFUNCTION("""COMPUTED_VALUE"""),"long")</f>
        <v>long</v>
      </c>
      <c r="N101" s="45">
        <f>IFERROR(__xludf.DUMMYFUNCTION("""COMPUTED_VALUE"""),44838.0)</f>
        <v>44838</v>
      </c>
      <c r="O101" s="45">
        <f>IFERROR(__xludf.DUMMYFUNCTION("""COMPUTED_VALUE"""),44879.0)</f>
        <v>44879</v>
      </c>
      <c r="P101" s="45">
        <f>IFERROR(__xludf.DUMMYFUNCTION("""COMPUTED_VALUE"""),45408.0)</f>
        <v>45408</v>
      </c>
      <c r="Q101" s="45">
        <f>IFERROR(__xludf.DUMMYFUNCTION("""COMPUTED_VALUE"""),44861.0)</f>
        <v>44861</v>
      </c>
      <c r="R101" s="45">
        <f>IFERROR(__xludf.DUMMYFUNCTION("""COMPUTED_VALUE"""),45387.0)</f>
        <v>45387</v>
      </c>
      <c r="S101" s="43"/>
      <c r="T101" s="43"/>
      <c r="U101" s="43" t="str">
        <f>IFERROR(__xludf.DUMMYFUNCTION("""COMPUTED_VALUE"""),"English Teacher in Tekirdağ")</f>
        <v>English Teacher in Tekirdağ</v>
      </c>
      <c r="V101" s="43" t="str">
        <f>IFERROR(__xludf.DUMMYFUNCTION("""COMPUTED_VALUE"""),"FSHS Tunis")</f>
        <v>FSHS Tunis</v>
      </c>
      <c r="W101" s="43" t="str">
        <f>IFERROR(__xludf.DUMMYFUNCTION("""COMPUTED_VALUE"""),"2022-10-04T22:24:09Z")</f>
        <v>2022-10-04T22:24:09Z</v>
      </c>
      <c r="X101" s="43"/>
      <c r="Y101" s="43"/>
      <c r="Z101" s="43"/>
    </row>
    <row r="102" hidden="1">
      <c r="A102" s="43" t="str">
        <f>IFERROR(__xludf.DUMMYFUNCTION("""COMPUTED_VALUE"""),"5102418_1290011")</f>
        <v>5102418_1290011</v>
      </c>
      <c r="B102" s="43" t="str">
        <f>IFERROR(__xludf.DUMMYFUNCTION("""COMPUTED_VALUE"""),"Soundoss SOUNDOSS ZAKHMOUN")</f>
        <v>Soundoss SOUNDOSS ZAKHMOUN</v>
      </c>
      <c r="C102" s="43" t="str">
        <f>IFERROR(__xludf.DUMMYFUNCTION("""COMPUTED_VALUE"""),"completed")</f>
        <v>completed</v>
      </c>
      <c r="D102" s="43" t="str">
        <f>IFERROR(__xludf.DUMMYFUNCTION("""COMPUTED_VALUE"""),"No")</f>
        <v>No</v>
      </c>
      <c r="E102" s="43" t="str">
        <f>IFERROR(__xludf.DUMMYFUNCTION("""COMPUTED_VALUE"""),"p_528e0d0f83450febe32a352f0865cf2888823ffa@inbound.aiesec.org")</f>
        <v>p_528e0d0f83450febe32a352f0865cf2888823ffa@inbound.aiesec.org</v>
      </c>
      <c r="F102" s="43"/>
      <c r="G102" s="43" t="str">
        <f>IFERROR(__xludf.DUMMYFUNCTION("""COMPUTED_VALUE"""),"Morocco")</f>
        <v>Morocco</v>
      </c>
      <c r="H102" s="43" t="str">
        <f>IFERROR(__xludf.DUMMYFUNCTION("""COMPUTED_VALUE"""),"Kenitra")</f>
        <v>Kenitra</v>
      </c>
      <c r="I102" s="43" t="str">
        <f>IFERROR(__xludf.DUMMYFUNCTION("""COMPUTED_VALUE"""),"Turkey")</f>
        <v>Turkey</v>
      </c>
      <c r="J102" s="43" t="str">
        <f>IFERROR(__xludf.DUMMYFUNCTION("""COMPUTED_VALUE"""),"ANKARA")</f>
        <v>ANKARA</v>
      </c>
      <c r="K102" s="44" t="str">
        <f>IFERROR(__xludf.DUMMYFUNCTION("""COMPUTED_VALUE"""),"https://expa.aiesec.org/opportunities/1290011")</f>
        <v>https://expa.aiesec.org/opportunities/1290011</v>
      </c>
      <c r="L102" s="43" t="str">
        <f>IFERROR(__xludf.DUMMYFUNCTION("""COMPUTED_VALUE"""),"GTe")</f>
        <v>GTe</v>
      </c>
      <c r="M102" s="43" t="str">
        <f>IFERROR(__xludf.DUMMYFUNCTION("""COMPUTED_VALUE"""),"long")</f>
        <v>long</v>
      </c>
      <c r="N102" s="45">
        <f>IFERROR(__xludf.DUMMYFUNCTION("""COMPUTED_VALUE"""),44839.0)</f>
        <v>44839</v>
      </c>
      <c r="O102" s="45">
        <f>IFERROR(__xludf.DUMMYFUNCTION("""COMPUTED_VALUE"""),44866.0)</f>
        <v>44866</v>
      </c>
      <c r="P102" s="45">
        <f>IFERROR(__xludf.DUMMYFUNCTION("""COMPUTED_VALUE"""),45108.0)</f>
        <v>45108</v>
      </c>
      <c r="Q102" s="45">
        <f>IFERROR(__xludf.DUMMYFUNCTION("""COMPUTED_VALUE"""),44865.0)</f>
        <v>44865</v>
      </c>
      <c r="R102" s="45">
        <f>IFERROR(__xludf.DUMMYFUNCTION("""COMPUTED_VALUE"""),45078.0)</f>
        <v>45078</v>
      </c>
      <c r="S102" s="43"/>
      <c r="T102" s="43"/>
      <c r="U102" s="43" t="str">
        <f>IFERROR(__xludf.DUMMYFUNCTION("""COMPUTED_VALUE"""),"ENGLISH TEACHER")</f>
        <v>ENGLISH TEACHER</v>
      </c>
      <c r="V102" s="43" t="str">
        <f>IFERROR(__xludf.DUMMYFUNCTION("""COMPUTED_VALUE"""),"-")</f>
        <v>-</v>
      </c>
      <c r="W102" s="43" t="str">
        <f>IFERROR(__xludf.DUMMYFUNCTION("""COMPUTED_VALUE"""),"2022-08-30T15:59:05Z")</f>
        <v>2022-08-30T15:59:05Z</v>
      </c>
      <c r="X102" s="43"/>
      <c r="Y102" s="43"/>
      <c r="Z102" s="43"/>
    </row>
    <row r="103">
      <c r="A103" s="43" t="str">
        <f>IFERROR(__xludf.DUMMYFUNCTION("""COMPUTED_VALUE"""),"2988809_1279327")</f>
        <v>2988809_1279327</v>
      </c>
      <c r="B103" s="43" t="str">
        <f>IFERROR(__xludf.DUMMYFUNCTION("""COMPUTED_VALUE"""),"sofia ghellam")</f>
        <v>sofia ghellam</v>
      </c>
      <c r="C103" s="43" t="str">
        <f>IFERROR(__xludf.DUMMYFUNCTION("""COMPUTED_VALUE"""),"approved")</f>
        <v>approved</v>
      </c>
      <c r="D103" s="43" t="str">
        <f>IFERROR(__xludf.DUMMYFUNCTION("""COMPUTED_VALUE"""),"No")</f>
        <v>No</v>
      </c>
      <c r="E103" s="43" t="str">
        <f>IFERROR(__xludf.DUMMYFUNCTION("""COMPUTED_VALUE"""),"p_bd1b5eb36885dfec711f987cc816adef677fdc6c@inbound.aiesec.org")</f>
        <v>p_bd1b5eb36885dfec711f987cc816adef677fdc6c@inbound.aiesec.org</v>
      </c>
      <c r="F103" s="43">
        <f>IFERROR(__xludf.DUMMYFUNCTION("""COMPUTED_VALUE"""),7.90946665E8)</f>
        <v>790946665</v>
      </c>
      <c r="G103" s="43" t="str">
        <f>IFERROR(__xludf.DUMMYFUNCTION("""COMPUTED_VALUE"""),"Algeria")</f>
        <v>Algeria</v>
      </c>
      <c r="H103" s="43" t="str">
        <f>IFERROR(__xludf.DUMMYFUNCTION("""COMPUTED_VALUE"""),"Constantine")</f>
        <v>Constantine</v>
      </c>
      <c r="I103" s="43" t="str">
        <f>IFERROR(__xludf.DUMMYFUNCTION("""COMPUTED_VALUE"""),"Turkey")</f>
        <v>Turkey</v>
      </c>
      <c r="J103" s="43" t="str">
        <f>IFERROR(__xludf.DUMMYFUNCTION("""COMPUTED_VALUE"""),"KOCAELI")</f>
        <v>KOCAELI</v>
      </c>
      <c r="K103" s="44" t="str">
        <f>IFERROR(__xludf.DUMMYFUNCTION("""COMPUTED_VALUE"""),"https://expa.aiesec.org/opportunities/1279327")</f>
        <v>https://expa.aiesec.org/opportunities/1279327</v>
      </c>
      <c r="L103" s="43" t="str">
        <f>IFERROR(__xludf.DUMMYFUNCTION("""COMPUTED_VALUE"""),"GTe")</f>
        <v>GTe</v>
      </c>
      <c r="M103" s="43" t="str">
        <f>IFERROR(__xludf.DUMMYFUNCTION("""COMPUTED_VALUE"""),"long")</f>
        <v>long</v>
      </c>
      <c r="N103" s="45">
        <f>IFERROR(__xludf.DUMMYFUNCTION("""COMPUTED_VALUE"""),44840.0)</f>
        <v>44840</v>
      </c>
      <c r="O103" s="45">
        <f>IFERROR(__xludf.DUMMYFUNCTION("""COMPUTED_VALUE"""),44854.0)</f>
        <v>44854</v>
      </c>
      <c r="P103" s="45">
        <f>IFERROR(__xludf.DUMMYFUNCTION("""COMPUTED_VALUE"""),45107.0)</f>
        <v>45107</v>
      </c>
      <c r="Q103" s="45"/>
      <c r="R103" s="45"/>
      <c r="S103" s="43"/>
      <c r="T103" s="43"/>
      <c r="U103" s="43" t="str">
        <f>IFERROR(__xludf.DUMMYFUNCTION("""COMPUTED_VALUE"""),"English Teacher in DİLKO")</f>
        <v>English Teacher in DİLKO</v>
      </c>
      <c r="V103" s="43" t="str">
        <f>IFERROR(__xludf.DUMMYFUNCTION("""COMPUTED_VALUE"""),"AIESEC in Babez")</f>
        <v>AIESEC in Babez</v>
      </c>
      <c r="W103" s="43" t="str">
        <f>IFERROR(__xludf.DUMMYFUNCTION("""COMPUTED_VALUE"""),"2018-12-19T19:57:26Z")</f>
        <v>2018-12-19T19:57:26Z</v>
      </c>
      <c r="X103" s="43"/>
      <c r="Y103" s="43"/>
      <c r="Z103" s="43"/>
    </row>
    <row r="104" hidden="1">
      <c r="A104" s="43" t="str">
        <f>IFERROR(__xludf.DUMMYFUNCTION("""COMPUTED_VALUE"""),"3417068_1277737")</f>
        <v>3417068_1277737</v>
      </c>
      <c r="B104" s="43" t="str">
        <f>IFERROR(__xludf.DUMMYFUNCTION("""COMPUTED_VALUE"""),"BAHMED SAID")</f>
        <v>BAHMED SAID</v>
      </c>
      <c r="C104" s="43" t="str">
        <f>IFERROR(__xludf.DUMMYFUNCTION("""COMPUTED_VALUE"""),"completed")</f>
        <v>completed</v>
      </c>
      <c r="D104" s="43" t="str">
        <f>IFERROR(__xludf.DUMMYFUNCTION("""COMPUTED_VALUE"""),"No")</f>
        <v>No</v>
      </c>
      <c r="E104" s="43" t="str">
        <f>IFERROR(__xludf.DUMMYFUNCTION("""COMPUTED_VALUE"""),"p_65ad217d08d9da3460250026f5569eacc08f7178@inbound.aiesec.org")</f>
        <v>p_65ad217d08d9da3460250026f5569eacc08f7178@inbound.aiesec.org</v>
      </c>
      <c r="F104" s="43">
        <f>IFERROR(__xludf.DUMMYFUNCTION("""COMPUTED_VALUE"""),5.58930557E8)</f>
        <v>558930557</v>
      </c>
      <c r="G104" s="43" t="str">
        <f>IFERROR(__xludf.DUMMYFUNCTION("""COMPUTED_VALUE"""),"Algeria")</f>
        <v>Algeria</v>
      </c>
      <c r="H104" s="43" t="str">
        <f>IFERROR(__xludf.DUMMYFUNCTION("""COMPUTED_VALUE"""),"Benak")</f>
        <v>Benak</v>
      </c>
      <c r="I104" s="43" t="str">
        <f>IFERROR(__xludf.DUMMYFUNCTION("""COMPUTED_VALUE"""),"Turkey")</f>
        <v>Turkey</v>
      </c>
      <c r="J104" s="43" t="str">
        <f>IFERROR(__xludf.DUMMYFUNCTION("""COMPUTED_VALUE"""),"KOCAELI")</f>
        <v>KOCAELI</v>
      </c>
      <c r="K104" s="44" t="str">
        <f>IFERROR(__xludf.DUMMYFUNCTION("""COMPUTED_VALUE"""),"https://expa.aiesec.org/opportunities/1277737")</f>
        <v>https://expa.aiesec.org/opportunities/1277737</v>
      </c>
      <c r="L104" s="43" t="str">
        <f>IFERROR(__xludf.DUMMYFUNCTION("""COMPUTED_VALUE"""),"GTe")</f>
        <v>GTe</v>
      </c>
      <c r="M104" s="43" t="str">
        <f>IFERROR(__xludf.DUMMYFUNCTION("""COMPUTED_VALUE"""),"long")</f>
        <v>long</v>
      </c>
      <c r="N104" s="45">
        <f>IFERROR(__xludf.DUMMYFUNCTION("""COMPUTED_VALUE"""),44841.0)</f>
        <v>44841</v>
      </c>
      <c r="O104" s="45">
        <f>IFERROR(__xludf.DUMMYFUNCTION("""COMPUTED_VALUE"""),44846.0)</f>
        <v>44846</v>
      </c>
      <c r="P104" s="45">
        <f>IFERROR(__xludf.DUMMYFUNCTION("""COMPUTED_VALUE"""),45107.0)</f>
        <v>45107</v>
      </c>
      <c r="Q104" s="45">
        <f>IFERROR(__xludf.DUMMYFUNCTION("""COMPUTED_VALUE"""),44896.0)</f>
        <v>44896</v>
      </c>
      <c r="R104" s="45">
        <f>IFERROR(__xludf.DUMMYFUNCTION("""COMPUTED_VALUE"""),45157.0)</f>
        <v>45157</v>
      </c>
      <c r="S104" s="43"/>
      <c r="T104" s="43"/>
      <c r="U104" s="43" t="str">
        <f>IFERROR(__xludf.DUMMYFUNCTION("""COMPUTED_VALUE"""),"Kindergarten Teaching in Gözde Anaokulu")</f>
        <v>Kindergarten Teaching in Gözde Anaokulu</v>
      </c>
      <c r="V104" s="43" t="str">
        <f>IFERROR(__xludf.DUMMYFUNCTION("""COMPUTED_VALUE"""),"-")</f>
        <v>-</v>
      </c>
      <c r="W104" s="43" t="str">
        <f>IFERROR(__xludf.DUMMYFUNCTION("""COMPUTED_VALUE"""),"2019-05-11T19:41:45Z")</f>
        <v>2019-05-11T19:41:45Z</v>
      </c>
      <c r="X104" s="43"/>
      <c r="Y104" s="43"/>
      <c r="Z104" s="43"/>
    </row>
    <row r="105" hidden="1">
      <c r="A105" s="43" t="str">
        <f>IFERROR(__xludf.DUMMYFUNCTION("""COMPUTED_VALUE"""),"5131466_1288607")</f>
        <v>5131466_1288607</v>
      </c>
      <c r="B105" s="43" t="str">
        <f>IFERROR(__xludf.DUMMYFUNCTION("""COMPUTED_VALUE"""),"Sarra Selmi")</f>
        <v>Sarra Selmi</v>
      </c>
      <c r="C105" s="43" t="str">
        <f>IFERROR(__xludf.DUMMYFUNCTION("""COMPUTED_VALUE"""),"completed")</f>
        <v>completed</v>
      </c>
      <c r="D105" s="43" t="str">
        <f>IFERROR(__xludf.DUMMYFUNCTION("""COMPUTED_VALUE"""),"No")</f>
        <v>No</v>
      </c>
      <c r="E105" s="43" t="str">
        <f>IFERROR(__xludf.DUMMYFUNCTION("""COMPUTED_VALUE"""),"p_876276db7894f42721fcf050b6050aa3373a8d89@inbound.aiesec.org")</f>
        <v>p_876276db7894f42721fcf050b6050aa3373a8d89@inbound.aiesec.org</v>
      </c>
      <c r="F105" s="43"/>
      <c r="G105" s="43" t="str">
        <f>IFERROR(__xludf.DUMMYFUNCTION("""COMPUTED_VALUE"""),"Tunisia")</f>
        <v>Tunisia</v>
      </c>
      <c r="H105" s="43" t="str">
        <f>IFERROR(__xludf.DUMMYFUNCTION("""COMPUTED_VALUE"""),"HADRUMET")</f>
        <v>HADRUMET</v>
      </c>
      <c r="I105" s="43" t="str">
        <f>IFERROR(__xludf.DUMMYFUNCTION("""COMPUTED_VALUE"""),"Turkey")</f>
        <v>Turkey</v>
      </c>
      <c r="J105" s="43" t="str">
        <f>IFERROR(__xludf.DUMMYFUNCTION("""COMPUTED_VALUE"""),"KOCAELI")</f>
        <v>KOCAELI</v>
      </c>
      <c r="K105" s="44" t="str">
        <f>IFERROR(__xludf.DUMMYFUNCTION("""COMPUTED_VALUE"""),"https://expa.aiesec.org/opportunities/1288607")</f>
        <v>https://expa.aiesec.org/opportunities/1288607</v>
      </c>
      <c r="L105" s="43" t="str">
        <f>IFERROR(__xludf.DUMMYFUNCTION("""COMPUTED_VALUE"""),"GTe")</f>
        <v>GTe</v>
      </c>
      <c r="M105" s="43" t="str">
        <f>IFERROR(__xludf.DUMMYFUNCTION("""COMPUTED_VALUE"""),"long")</f>
        <v>long</v>
      </c>
      <c r="N105" s="45">
        <f>IFERROR(__xludf.DUMMYFUNCTION("""COMPUTED_VALUE"""),44846.0)</f>
        <v>44846</v>
      </c>
      <c r="O105" s="45">
        <f>IFERROR(__xludf.DUMMYFUNCTION("""COMPUTED_VALUE"""),44854.0)</f>
        <v>44854</v>
      </c>
      <c r="P105" s="45">
        <f>IFERROR(__xludf.DUMMYFUNCTION("""COMPUTED_VALUE"""),45107.0)</f>
        <v>45107</v>
      </c>
      <c r="Q105" s="45">
        <f>IFERROR(__xludf.DUMMYFUNCTION("""COMPUTED_VALUE"""),44912.0)</f>
        <v>44912</v>
      </c>
      <c r="R105" s="45">
        <f>IFERROR(__xludf.DUMMYFUNCTION("""COMPUTED_VALUE"""),45166.0)</f>
        <v>45166</v>
      </c>
      <c r="S105" s="43"/>
      <c r="T105" s="43"/>
      <c r="U105" s="43" t="str">
        <f>IFERROR(__xludf.DUMMYFUNCTION("""COMPUTED_VALUE"""),"English Teacher in Üstün Başarı Kindergarten")</f>
        <v>English Teacher in Üstün Başarı Kindergarten</v>
      </c>
      <c r="V105" s="43" t="str">
        <f>IFERROR(__xludf.DUMMYFUNCTION("""COMPUTED_VALUE"""),"-")</f>
        <v>-</v>
      </c>
      <c r="W105" s="43" t="str">
        <f>IFERROR(__xludf.DUMMYFUNCTION("""COMPUTED_VALUE"""),"2022-10-12T20:57:55Z")</f>
        <v>2022-10-12T20:57:55Z</v>
      </c>
      <c r="X105" s="43"/>
      <c r="Y105" s="43"/>
      <c r="Z105" s="43"/>
    </row>
    <row r="106" hidden="1">
      <c r="A106" s="43" t="str">
        <f>IFERROR(__xludf.DUMMYFUNCTION("""COMPUTED_VALUE"""),"5122431_1264946")</f>
        <v>5122431_1264946</v>
      </c>
      <c r="B106" s="43" t="str">
        <f>IFERROR(__xludf.DUMMYFUNCTION("""COMPUTED_VALUE"""),"Chebihi Tinhinane")</f>
        <v>Chebihi Tinhinane</v>
      </c>
      <c r="C106" s="43" t="str">
        <f>IFERROR(__xludf.DUMMYFUNCTION("""COMPUTED_VALUE"""),"completed")</f>
        <v>completed</v>
      </c>
      <c r="D106" s="43" t="str">
        <f>IFERROR(__xludf.DUMMYFUNCTION("""COMPUTED_VALUE"""),"No")</f>
        <v>No</v>
      </c>
      <c r="E106" s="43" t="str">
        <f>IFERROR(__xludf.DUMMYFUNCTION("""COMPUTED_VALUE"""),"p_dbdefd258091cfe40de5edba424d97eebf6c26e7@inbound.aiesec.org")</f>
        <v>p_dbdefd258091cfe40de5edba424d97eebf6c26e7@inbound.aiesec.org</v>
      </c>
      <c r="F106" s="43">
        <f>IFERROR(__xludf.DUMMYFUNCTION("""COMPUTED_VALUE"""),6.67987075E8)</f>
        <v>667987075</v>
      </c>
      <c r="G106" s="43" t="str">
        <f>IFERROR(__xludf.DUMMYFUNCTION("""COMPUTED_VALUE"""),"Algeria")</f>
        <v>Algeria</v>
      </c>
      <c r="H106" s="43" t="str">
        <f>IFERROR(__xludf.DUMMYFUNCTION("""COMPUTED_VALUE"""),"Babez")</f>
        <v>Babez</v>
      </c>
      <c r="I106" s="43" t="str">
        <f>IFERROR(__xludf.DUMMYFUNCTION("""COMPUTED_VALUE"""),"Turkey")</f>
        <v>Turkey</v>
      </c>
      <c r="J106" s="43" t="str">
        <f>IFERROR(__xludf.DUMMYFUNCTION("""COMPUTED_VALUE"""),"KOCAELI")</f>
        <v>KOCAELI</v>
      </c>
      <c r="K106" s="44" t="str">
        <f>IFERROR(__xludf.DUMMYFUNCTION("""COMPUTED_VALUE"""),"https://expa.aiesec.org/opportunities/1264946")</f>
        <v>https://expa.aiesec.org/opportunities/1264946</v>
      </c>
      <c r="L106" s="43" t="str">
        <f>IFERROR(__xludf.DUMMYFUNCTION("""COMPUTED_VALUE"""),"GTe")</f>
        <v>GTe</v>
      </c>
      <c r="M106" s="43" t="str">
        <f>IFERROR(__xludf.DUMMYFUNCTION("""COMPUTED_VALUE"""),"long")</f>
        <v>long</v>
      </c>
      <c r="N106" s="45">
        <f>IFERROR(__xludf.DUMMYFUNCTION("""COMPUTED_VALUE"""),44846.0)</f>
        <v>44846</v>
      </c>
      <c r="O106" s="45">
        <f>IFERROR(__xludf.DUMMYFUNCTION("""COMPUTED_VALUE"""),44852.0)</f>
        <v>44852</v>
      </c>
      <c r="P106" s="45">
        <f>IFERROR(__xludf.DUMMYFUNCTION("""COMPUTED_VALUE"""),45107.0)</f>
        <v>45107</v>
      </c>
      <c r="Q106" s="45">
        <f>IFERROR(__xludf.DUMMYFUNCTION("""COMPUTED_VALUE"""),44876.0)</f>
        <v>44876</v>
      </c>
      <c r="R106" s="45">
        <f>IFERROR(__xludf.DUMMYFUNCTION("""COMPUTED_VALUE"""),45107.0)</f>
        <v>45107</v>
      </c>
      <c r="S106" s="43"/>
      <c r="T106" s="43"/>
      <c r="U106" s="43" t="str">
        <f>IFERROR(__xludf.DUMMYFUNCTION("""COMPUTED_VALUE"""),"English Teacher in Boutique Kindergarden ")</f>
        <v>English Teacher in Boutique Kindergarden </v>
      </c>
      <c r="V106" s="43" t="str">
        <f>IFERROR(__xludf.DUMMYFUNCTION("""COMPUTED_VALUE"""),"AIESEC in Babez")</f>
        <v>AIESEC in Babez</v>
      </c>
      <c r="W106" s="43" t="str">
        <f>IFERROR(__xludf.DUMMYFUNCTION("""COMPUTED_VALUE"""),"2022-09-29T18:51:00Z")</f>
        <v>2022-09-29T18:51:00Z</v>
      </c>
      <c r="X106" s="43"/>
      <c r="Y106" s="43"/>
      <c r="Z106" s="43"/>
    </row>
    <row r="107" hidden="1">
      <c r="A107" s="43" t="str">
        <f>IFERROR(__xludf.DUMMYFUNCTION("""COMPUTED_VALUE"""),"5114496_1289307")</f>
        <v>5114496_1289307</v>
      </c>
      <c r="B107" s="43" t="str">
        <f>IFERROR(__xludf.DUMMYFUNCTION("""COMPUTED_VALUE"""),"Madiha Bouskine")</f>
        <v>Madiha Bouskine</v>
      </c>
      <c r="C107" s="43" t="str">
        <f>IFERROR(__xludf.DUMMYFUNCTION("""COMPUTED_VALUE"""),"completed")</f>
        <v>completed</v>
      </c>
      <c r="D107" s="43" t="str">
        <f>IFERROR(__xludf.DUMMYFUNCTION("""COMPUTED_VALUE"""),"No")</f>
        <v>No</v>
      </c>
      <c r="E107" s="43" t="str">
        <f>IFERROR(__xludf.DUMMYFUNCTION("""COMPUTED_VALUE"""),"p_ed6851a2999dcd32e0265ddae2acdb1e5195867f@inbound.aiesec.org")</f>
        <v>p_ed6851a2999dcd32e0265ddae2acdb1e5195867f@inbound.aiesec.org</v>
      </c>
      <c r="F107" s="43">
        <f>IFERROR(__xludf.DUMMYFUNCTION("""COMPUTED_VALUE"""),5.40674883E8)</f>
        <v>540674883</v>
      </c>
      <c r="G107" s="43" t="str">
        <f>IFERROR(__xludf.DUMMYFUNCTION("""COMPUTED_VALUE"""),"Algeria")</f>
        <v>Algeria</v>
      </c>
      <c r="H107" s="43" t="str">
        <f>IFERROR(__xludf.DUMMYFUNCTION("""COMPUTED_VALUE"""),"Babez")</f>
        <v>Babez</v>
      </c>
      <c r="I107" s="43" t="str">
        <f>IFERROR(__xludf.DUMMYFUNCTION("""COMPUTED_VALUE"""),"Turkey")</f>
        <v>Turkey</v>
      </c>
      <c r="J107" s="43" t="str">
        <f>IFERROR(__xludf.DUMMYFUNCTION("""COMPUTED_VALUE"""),"ISTANBUL")</f>
        <v>ISTANBUL</v>
      </c>
      <c r="K107" s="44" t="str">
        <f>IFERROR(__xludf.DUMMYFUNCTION("""COMPUTED_VALUE"""),"https://expa.aiesec.org/opportunities/1289307")</f>
        <v>https://expa.aiesec.org/opportunities/1289307</v>
      </c>
      <c r="L107" s="43" t="str">
        <f>IFERROR(__xludf.DUMMYFUNCTION("""COMPUTED_VALUE"""),"GTe")</f>
        <v>GTe</v>
      </c>
      <c r="M107" s="43" t="str">
        <f>IFERROR(__xludf.DUMMYFUNCTION("""COMPUTED_VALUE"""),"long")</f>
        <v>long</v>
      </c>
      <c r="N107" s="45">
        <f>IFERROR(__xludf.DUMMYFUNCTION("""COMPUTED_VALUE"""),44848.0)</f>
        <v>44848</v>
      </c>
      <c r="O107" s="45">
        <f>IFERROR(__xludf.DUMMYFUNCTION("""COMPUTED_VALUE"""),44829.0)</f>
        <v>44829</v>
      </c>
      <c r="P107" s="45">
        <f>IFERROR(__xludf.DUMMYFUNCTION("""COMPUTED_VALUE"""),45191.0)</f>
        <v>45191</v>
      </c>
      <c r="Q107" s="45">
        <f>IFERROR(__xludf.DUMMYFUNCTION("""COMPUTED_VALUE"""),44878.0)</f>
        <v>44878</v>
      </c>
      <c r="R107" s="45">
        <f>IFERROR(__xludf.DUMMYFUNCTION("""COMPUTED_VALUE"""),45121.0)</f>
        <v>45121</v>
      </c>
      <c r="S107" s="43"/>
      <c r="T107" s="43"/>
      <c r="U107" s="43" t="str">
        <f>IFERROR(__xludf.DUMMYFUNCTION("""COMPUTED_VALUE"""),"Preschool English Teacher")</f>
        <v>Preschool English Teacher</v>
      </c>
      <c r="V107" s="43" t="str">
        <f>IFERROR(__xludf.DUMMYFUNCTION("""COMPUTED_VALUE"""),"AIESEC in Babez")</f>
        <v>AIESEC in Babez</v>
      </c>
      <c r="W107" s="43" t="str">
        <f>IFERROR(__xludf.DUMMYFUNCTION("""COMPUTED_VALUE"""),"2022-09-17T21:43:20Z")</f>
        <v>2022-09-17T21:43:20Z</v>
      </c>
      <c r="X107" s="43"/>
      <c r="Y107" s="43"/>
      <c r="Z107" s="43"/>
    </row>
    <row r="108" hidden="1">
      <c r="A108" s="43" t="str">
        <f>IFERROR(__xludf.DUMMYFUNCTION("""COMPUTED_VALUE"""),"4456860_1284618")</f>
        <v>4456860_1284618</v>
      </c>
      <c r="B108" s="43" t="str">
        <f>IFERROR(__xludf.DUMMYFUNCTION("""COMPUTED_VALUE"""),"Amira Ahmed")</f>
        <v>Amira Ahmed</v>
      </c>
      <c r="C108" s="43" t="str">
        <f>IFERROR(__xludf.DUMMYFUNCTION("""COMPUTED_VALUE"""),"finished")</f>
        <v>finished</v>
      </c>
      <c r="D108" s="43" t="str">
        <f>IFERROR(__xludf.DUMMYFUNCTION("""COMPUTED_VALUE"""),"No")</f>
        <v>No</v>
      </c>
      <c r="E108" s="43" t="str">
        <f>IFERROR(__xludf.DUMMYFUNCTION("""COMPUTED_VALUE"""),"p_73420498413a148a3be9a3a1cd6fb59aecceabfd@inbound.aiesec.org")</f>
        <v>p_73420498413a148a3be9a3a1cd6fb59aecceabfd@inbound.aiesec.org</v>
      </c>
      <c r="F108" s="43">
        <f>IFERROR(__xludf.DUMMYFUNCTION("""COMPUTED_VALUE"""),1.142063672E9)</f>
        <v>1142063672</v>
      </c>
      <c r="G108" s="43" t="str">
        <f>IFERROR(__xludf.DUMMYFUNCTION("""COMPUTED_VALUE"""),"Egypt")</f>
        <v>Egypt</v>
      </c>
      <c r="H108" s="43" t="str">
        <f>IFERROR(__xludf.DUMMYFUNCTION("""COMPUTED_VALUE"""),"GUC")</f>
        <v>GUC</v>
      </c>
      <c r="I108" s="43" t="str">
        <f>IFERROR(__xludf.DUMMYFUNCTION("""COMPUTED_VALUE"""),"Turkey")</f>
        <v>Turkey</v>
      </c>
      <c r="J108" s="43" t="str">
        <f>IFERROR(__xludf.DUMMYFUNCTION("""COMPUTED_VALUE"""),"ESKISEHIR")</f>
        <v>ESKISEHIR</v>
      </c>
      <c r="K108" s="44" t="str">
        <f>IFERROR(__xludf.DUMMYFUNCTION("""COMPUTED_VALUE"""),"https://expa.aiesec.org/opportunities/1284618")</f>
        <v>https://expa.aiesec.org/opportunities/1284618</v>
      </c>
      <c r="L108" s="43" t="str">
        <f>IFERROR(__xludf.DUMMYFUNCTION("""COMPUTED_VALUE"""),"GTe")</f>
        <v>GTe</v>
      </c>
      <c r="M108" s="43" t="str">
        <f>IFERROR(__xludf.DUMMYFUNCTION("""COMPUTED_VALUE"""),"long")</f>
        <v>long</v>
      </c>
      <c r="N108" s="45">
        <f>IFERROR(__xludf.DUMMYFUNCTION("""COMPUTED_VALUE"""),44849.0)</f>
        <v>44849</v>
      </c>
      <c r="O108" s="45">
        <f>IFERROR(__xludf.DUMMYFUNCTION("""COMPUTED_VALUE"""),44865.0)</f>
        <v>44865</v>
      </c>
      <c r="P108" s="45">
        <f>IFERROR(__xludf.DUMMYFUNCTION("""COMPUTED_VALUE"""),45229.0)</f>
        <v>45229</v>
      </c>
      <c r="Q108" s="45">
        <f>IFERROR(__xludf.DUMMYFUNCTION("""COMPUTED_VALUE"""),44897.0)</f>
        <v>44897</v>
      </c>
      <c r="R108" s="45">
        <f>IFERROR(__xludf.DUMMYFUNCTION("""COMPUTED_VALUE"""),45261.0)</f>
        <v>45261</v>
      </c>
      <c r="S108" s="43"/>
      <c r="T108" s="43"/>
      <c r="U108" s="43" t="str">
        <f>IFERROR(__xludf.DUMMYFUNCTION("""COMPUTED_VALUE"""),"English Teacher at Minidil")</f>
        <v>English Teacher at Minidil</v>
      </c>
      <c r="V108" s="43" t="str">
        <f>IFERROR(__xludf.DUMMYFUNCTION("""COMPUTED_VALUE"""),"GUC")</f>
        <v>GUC</v>
      </c>
      <c r="W108" s="43" t="str">
        <f>IFERROR(__xludf.DUMMYFUNCTION("""COMPUTED_VALUE"""),"2020-11-30T19:34:23Z")</f>
        <v>2020-11-30T19:34:23Z</v>
      </c>
      <c r="X108" s="43"/>
      <c r="Y108" s="43"/>
      <c r="Z108" s="43"/>
    </row>
    <row r="109" hidden="1">
      <c r="A109" s="43" t="str">
        <f>IFERROR(__xludf.DUMMYFUNCTION("""COMPUTED_VALUE"""),"5130113_1287560")</f>
        <v>5130113_1287560</v>
      </c>
      <c r="B109" s="43" t="str">
        <f>IFERROR(__xludf.DUMMYFUNCTION("""COMPUTED_VALUE"""),"Manar BELGUASMI")</f>
        <v>Manar BELGUASMI</v>
      </c>
      <c r="C109" s="43" t="str">
        <f>IFERROR(__xludf.DUMMYFUNCTION("""COMPUTED_VALUE"""),"completed")</f>
        <v>completed</v>
      </c>
      <c r="D109" s="43" t="str">
        <f>IFERROR(__xludf.DUMMYFUNCTION("""COMPUTED_VALUE"""),"No")</f>
        <v>No</v>
      </c>
      <c r="E109" s="43" t="str">
        <f>IFERROR(__xludf.DUMMYFUNCTION("""COMPUTED_VALUE"""),"p_68d02875f3039a3571a8151a6c3eba6384404602@inbound.aiesec.org")</f>
        <v>p_68d02875f3039a3571a8151a6c3eba6384404602@inbound.aiesec.org</v>
      </c>
      <c r="F109" s="43"/>
      <c r="G109" s="43" t="str">
        <f>IFERROR(__xludf.DUMMYFUNCTION("""COMPUTED_VALUE"""),"Tunisia")</f>
        <v>Tunisia</v>
      </c>
      <c r="H109" s="43" t="str">
        <f>IFERROR(__xludf.DUMMYFUNCTION("""COMPUTED_VALUE"""),"SFAX")</f>
        <v>SFAX</v>
      </c>
      <c r="I109" s="43" t="str">
        <f>IFERROR(__xludf.DUMMYFUNCTION("""COMPUTED_VALUE"""),"Turkey")</f>
        <v>Turkey</v>
      </c>
      <c r="J109" s="43" t="str">
        <f>IFERROR(__xludf.DUMMYFUNCTION("""COMPUTED_VALUE"""),"ANKARA")</f>
        <v>ANKARA</v>
      </c>
      <c r="K109" s="44" t="str">
        <f>IFERROR(__xludf.DUMMYFUNCTION("""COMPUTED_VALUE"""),"https://expa.aiesec.org/opportunities/1287560")</f>
        <v>https://expa.aiesec.org/opportunities/1287560</v>
      </c>
      <c r="L109" s="43" t="str">
        <f>IFERROR(__xludf.DUMMYFUNCTION("""COMPUTED_VALUE"""),"GTe")</f>
        <v>GTe</v>
      </c>
      <c r="M109" s="43" t="str">
        <f>IFERROR(__xludf.DUMMYFUNCTION("""COMPUTED_VALUE"""),"long")</f>
        <v>long</v>
      </c>
      <c r="N109" s="45">
        <f>IFERROR(__xludf.DUMMYFUNCTION("""COMPUTED_VALUE"""),44852.0)</f>
        <v>44852</v>
      </c>
      <c r="O109" s="45">
        <f>IFERROR(__xludf.DUMMYFUNCTION("""COMPUTED_VALUE"""),44869.0)</f>
        <v>44869</v>
      </c>
      <c r="P109" s="45">
        <f>IFERROR(__xludf.DUMMYFUNCTION("""COMPUTED_VALUE"""),45234.0)</f>
        <v>45234</v>
      </c>
      <c r="Q109" s="45">
        <f>IFERROR(__xludf.DUMMYFUNCTION("""COMPUTED_VALUE"""),44905.0)</f>
        <v>44905</v>
      </c>
      <c r="R109" s="45">
        <f>IFERROR(__xludf.DUMMYFUNCTION("""COMPUTED_VALUE"""),45268.0)</f>
        <v>45268</v>
      </c>
      <c r="S109" s="43"/>
      <c r="T109" s="43"/>
      <c r="U109" s="43" t="str">
        <f>IFERROR(__xludf.DUMMYFUNCTION("""COMPUTED_VALUE"""),"Kindergarten Teacher")</f>
        <v>Kindergarten Teacher</v>
      </c>
      <c r="V109" s="43" t="str">
        <f>IFERROR(__xludf.DUMMYFUNCTION("""COMPUTED_VALUE"""),"FLSH sfax ")</f>
        <v>FLSH sfax </v>
      </c>
      <c r="W109" s="43" t="str">
        <f>IFERROR(__xludf.DUMMYFUNCTION("""COMPUTED_VALUE"""),"2022-10-11T15:02:24Z")</f>
        <v>2022-10-11T15:02:24Z</v>
      </c>
      <c r="X109" s="43"/>
      <c r="Y109" s="43"/>
      <c r="Z109" s="43"/>
    </row>
    <row r="110" hidden="1">
      <c r="A110" s="43" t="str">
        <f>IFERROR(__xludf.DUMMYFUNCTION("""COMPUTED_VALUE"""),"4728248_1289444")</f>
        <v>4728248_1289444</v>
      </c>
      <c r="B110" s="43" t="str">
        <f>IFERROR(__xludf.DUMMYFUNCTION("""COMPUTED_VALUE"""),"Luis Espinosa")</f>
        <v>Luis Espinosa</v>
      </c>
      <c r="C110" s="43" t="str">
        <f>IFERROR(__xludf.DUMMYFUNCTION("""COMPUTED_VALUE"""),"realization_broken")</f>
        <v>realization_broken</v>
      </c>
      <c r="D110" s="43" t="str">
        <f>IFERROR(__xludf.DUMMYFUNCTION("""COMPUTED_VALUE"""),"No")</f>
        <v>No</v>
      </c>
      <c r="E110" s="43" t="str">
        <f>IFERROR(__xludf.DUMMYFUNCTION("""COMPUTED_VALUE"""),"p_8e45dde2f69cd6308f3d9e8b538ebde70298e07e@inbound.aiesec.org")</f>
        <v>p_8e45dde2f69cd6308f3d9e8b538ebde70298e07e@inbound.aiesec.org</v>
      </c>
      <c r="F110" s="43">
        <f>IFERROR(__xludf.DUMMYFUNCTION("""COMPUTED_VALUE"""),3.143794784E9)</f>
        <v>3143794784</v>
      </c>
      <c r="G110" s="43" t="str">
        <f>IFERROR(__xludf.DUMMYFUNCTION("""COMPUTED_VALUE"""),"Colombia")</f>
        <v>Colombia</v>
      </c>
      <c r="H110" s="43" t="str">
        <f>IFERROR(__xludf.DUMMYFUNCTION("""COMPUTED_VALUE"""),"CÚCUTA")</f>
        <v>CÚCUTA</v>
      </c>
      <c r="I110" s="43" t="str">
        <f>IFERROR(__xludf.DUMMYFUNCTION("""COMPUTED_VALUE"""),"Turkey")</f>
        <v>Turkey</v>
      </c>
      <c r="J110" s="43" t="str">
        <f>IFERROR(__xludf.DUMMYFUNCTION("""COMPUTED_VALUE"""),"ADANA")</f>
        <v>ADANA</v>
      </c>
      <c r="K110" s="44" t="str">
        <f>IFERROR(__xludf.DUMMYFUNCTION("""COMPUTED_VALUE"""),"https://expa.aiesec.org/opportunities/1289444")</f>
        <v>https://expa.aiesec.org/opportunities/1289444</v>
      </c>
      <c r="L110" s="43" t="str">
        <f>IFERROR(__xludf.DUMMYFUNCTION("""COMPUTED_VALUE"""),"GTe")</f>
        <v>GTe</v>
      </c>
      <c r="M110" s="43" t="str">
        <f>IFERROR(__xludf.DUMMYFUNCTION("""COMPUTED_VALUE"""),"long")</f>
        <v>long</v>
      </c>
      <c r="N110" s="45">
        <f>IFERROR(__xludf.DUMMYFUNCTION("""COMPUTED_VALUE"""),44854.0)</f>
        <v>44854</v>
      </c>
      <c r="O110" s="45">
        <f>IFERROR(__xludf.DUMMYFUNCTION("""COMPUTED_VALUE"""),44872.0)</f>
        <v>44872</v>
      </c>
      <c r="P110" s="45">
        <f>IFERROR(__xludf.DUMMYFUNCTION("""COMPUTED_VALUE"""),45240.0)</f>
        <v>45240</v>
      </c>
      <c r="Q110" s="45"/>
      <c r="R110" s="45"/>
      <c r="S110" s="43"/>
      <c r="T110" s="43"/>
      <c r="U110" s="43" t="str">
        <f>IFERROR(__xludf.DUMMYFUNCTION("""COMPUTED_VALUE"""),"English Teacher in TED KOLEJİ")</f>
        <v>English Teacher in TED KOLEJİ</v>
      </c>
      <c r="V110" s="43" t="str">
        <f>IFERROR(__xludf.DUMMYFUNCTION("""COMPUTED_VALUE"""),"Cúcuta - Corporación Universitaria Autónoma del Norte")</f>
        <v>Cúcuta - Corporación Universitaria Autónoma del Norte</v>
      </c>
      <c r="W110" s="43" t="str">
        <f>IFERROR(__xludf.DUMMYFUNCTION("""COMPUTED_VALUE"""),"2021-09-03T21:41:32Z")</f>
        <v>2021-09-03T21:41:32Z</v>
      </c>
      <c r="X110" s="43"/>
      <c r="Y110" s="43"/>
      <c r="Z110" s="43"/>
    </row>
    <row r="111" hidden="1">
      <c r="A111" s="43" t="str">
        <f>IFERROR(__xludf.DUMMYFUNCTION("""COMPUTED_VALUE"""),"5138060_1288837")</f>
        <v>5138060_1288837</v>
      </c>
      <c r="B111" s="43" t="str">
        <f>IFERROR(__xludf.DUMMYFUNCTION("""COMPUTED_VALUE"""),"Rania Hamdi")</f>
        <v>Rania Hamdi</v>
      </c>
      <c r="C111" s="43" t="str">
        <f>IFERROR(__xludf.DUMMYFUNCTION("""COMPUTED_VALUE"""),"completed")</f>
        <v>completed</v>
      </c>
      <c r="D111" s="43" t="str">
        <f>IFERROR(__xludf.DUMMYFUNCTION("""COMPUTED_VALUE"""),"No")</f>
        <v>No</v>
      </c>
      <c r="E111" s="43" t="str">
        <f>IFERROR(__xludf.DUMMYFUNCTION("""COMPUTED_VALUE"""),"p_9221d4931912edcb8854be5ff1eff0bc702e8955@inbound.aiesec.org")</f>
        <v>p_9221d4931912edcb8854be5ff1eff0bc702e8955@inbound.aiesec.org</v>
      </c>
      <c r="F111" s="43">
        <f>IFERROR(__xludf.DUMMYFUNCTION("""COMPUTED_VALUE"""),2.0617717E7)</f>
        <v>20617717</v>
      </c>
      <c r="G111" s="43" t="str">
        <f>IFERROR(__xludf.DUMMYFUNCTION("""COMPUTED_VALUE"""),"Tunisia")</f>
        <v>Tunisia</v>
      </c>
      <c r="H111" s="43" t="str">
        <f>IFERROR(__xludf.DUMMYFUNCTION("""COMPUTED_VALUE"""),"HADRUMET")</f>
        <v>HADRUMET</v>
      </c>
      <c r="I111" s="43" t="str">
        <f>IFERROR(__xludf.DUMMYFUNCTION("""COMPUTED_VALUE"""),"Turkey")</f>
        <v>Turkey</v>
      </c>
      <c r="J111" s="43" t="str">
        <f>IFERROR(__xludf.DUMMYFUNCTION("""COMPUTED_VALUE"""),"KOCAELI")</f>
        <v>KOCAELI</v>
      </c>
      <c r="K111" s="44" t="str">
        <f>IFERROR(__xludf.DUMMYFUNCTION("""COMPUTED_VALUE"""),"https://expa.aiesec.org/opportunities/1288837")</f>
        <v>https://expa.aiesec.org/opportunities/1288837</v>
      </c>
      <c r="L111" s="43" t="str">
        <f>IFERROR(__xludf.DUMMYFUNCTION("""COMPUTED_VALUE"""),"GTe")</f>
        <v>GTe</v>
      </c>
      <c r="M111" s="43" t="str">
        <f>IFERROR(__xludf.DUMMYFUNCTION("""COMPUTED_VALUE"""),"long")</f>
        <v>long</v>
      </c>
      <c r="N111" s="45">
        <f>IFERROR(__xludf.DUMMYFUNCTION("""COMPUTED_VALUE"""),44855.0)</f>
        <v>44855</v>
      </c>
      <c r="O111" s="45">
        <f>IFERROR(__xludf.DUMMYFUNCTION("""COMPUTED_VALUE"""),44867.0)</f>
        <v>44867</v>
      </c>
      <c r="P111" s="45">
        <f>IFERROR(__xludf.DUMMYFUNCTION("""COMPUTED_VALUE"""),45107.0)</f>
        <v>45107</v>
      </c>
      <c r="Q111" s="45">
        <f>IFERROR(__xludf.DUMMYFUNCTION("""COMPUTED_VALUE"""),44930.0)</f>
        <v>44930</v>
      </c>
      <c r="R111" s="45">
        <f>IFERROR(__xludf.DUMMYFUNCTION("""COMPUTED_VALUE"""),45168.0)</f>
        <v>45168</v>
      </c>
      <c r="S111" s="43"/>
      <c r="T111" s="43"/>
      <c r="U111" s="43" t="str">
        <f>IFERROR(__xludf.DUMMYFUNCTION("""COMPUTED_VALUE"""),"Kindergarten Teacher in Yaşam Paylaşım School")</f>
        <v>Kindergarten Teacher in Yaşam Paylaşım School</v>
      </c>
      <c r="V111" s="43" t="str">
        <f>IFERROR(__xludf.DUMMYFUNCTION("""COMPUTED_VALUE"""),"FLSH Sousse")</f>
        <v>FLSH Sousse</v>
      </c>
      <c r="W111" s="43" t="str">
        <f>IFERROR(__xludf.DUMMYFUNCTION("""COMPUTED_VALUE"""),"2022-10-21T12:55:42Z")</f>
        <v>2022-10-21T12:55:42Z</v>
      </c>
      <c r="X111" s="43"/>
      <c r="Y111" s="43"/>
      <c r="Z111" s="43"/>
    </row>
    <row r="112" hidden="1">
      <c r="A112" s="43" t="str">
        <f>IFERROR(__xludf.DUMMYFUNCTION("""COMPUTED_VALUE"""),"5097894_1289485")</f>
        <v>5097894_1289485</v>
      </c>
      <c r="B112" s="43" t="str">
        <f>IFERROR(__xludf.DUMMYFUNCTION("""COMPUTED_VALUE"""),"Chachoua Khaled")</f>
        <v>Chachoua Khaled</v>
      </c>
      <c r="C112" s="43" t="str">
        <f>IFERROR(__xludf.DUMMYFUNCTION("""COMPUTED_VALUE"""),"finished")</f>
        <v>finished</v>
      </c>
      <c r="D112" s="43" t="str">
        <f>IFERROR(__xludf.DUMMYFUNCTION("""COMPUTED_VALUE"""),"No")</f>
        <v>No</v>
      </c>
      <c r="E112" s="43" t="str">
        <f>IFERROR(__xludf.DUMMYFUNCTION("""COMPUTED_VALUE"""),"p_2d3838f52fdd56d8e7a9f1b38b2f742b9007a3dc@inbound.aiesec.org")</f>
        <v>p_2d3838f52fdd56d8e7a9f1b38b2f742b9007a3dc@inbound.aiesec.org</v>
      </c>
      <c r="F112" s="43">
        <f>IFERROR(__xludf.DUMMYFUNCTION("""COMPUTED_VALUE"""),5.54953157E8)</f>
        <v>554953157</v>
      </c>
      <c r="G112" s="43" t="str">
        <f>IFERROR(__xludf.DUMMYFUNCTION("""COMPUTED_VALUE"""),"Algeria")</f>
        <v>Algeria</v>
      </c>
      <c r="H112" s="43" t="str">
        <f>IFERROR(__xludf.DUMMYFUNCTION("""COMPUTED_VALUE"""),"Oran")</f>
        <v>Oran</v>
      </c>
      <c r="I112" s="43" t="str">
        <f>IFERROR(__xludf.DUMMYFUNCTION("""COMPUTED_VALUE"""),"Turkey")</f>
        <v>Turkey</v>
      </c>
      <c r="J112" s="43" t="str">
        <f>IFERROR(__xludf.DUMMYFUNCTION("""COMPUTED_VALUE"""),"BURSA")</f>
        <v>BURSA</v>
      </c>
      <c r="K112" s="44" t="str">
        <f>IFERROR(__xludf.DUMMYFUNCTION("""COMPUTED_VALUE"""),"https://expa.aiesec.org/opportunities/1289485")</f>
        <v>https://expa.aiesec.org/opportunities/1289485</v>
      </c>
      <c r="L112" s="43" t="str">
        <f>IFERROR(__xludf.DUMMYFUNCTION("""COMPUTED_VALUE"""),"GTe")</f>
        <v>GTe</v>
      </c>
      <c r="M112" s="43" t="str">
        <f>IFERROR(__xludf.DUMMYFUNCTION("""COMPUTED_VALUE"""),"long")</f>
        <v>long</v>
      </c>
      <c r="N112" s="45">
        <f>IFERROR(__xludf.DUMMYFUNCTION("""COMPUTED_VALUE"""),44861.0)</f>
        <v>44861</v>
      </c>
      <c r="O112" s="45">
        <f>IFERROR(__xludf.DUMMYFUNCTION("""COMPUTED_VALUE"""),44893.0)</f>
        <v>44893</v>
      </c>
      <c r="P112" s="45">
        <f>IFERROR(__xludf.DUMMYFUNCTION("""COMPUTED_VALUE"""),45258.0)</f>
        <v>45258</v>
      </c>
      <c r="Q112" s="45">
        <f>IFERROR(__xludf.DUMMYFUNCTION("""COMPUTED_VALUE"""),44890.0)</f>
        <v>44890</v>
      </c>
      <c r="R112" s="45">
        <f>IFERROR(__xludf.DUMMYFUNCTION("""COMPUTED_VALUE"""),45258.0)</f>
        <v>45258</v>
      </c>
      <c r="S112" s="43"/>
      <c r="T112" s="43"/>
      <c r="U112" s="43" t="str">
        <f>IFERROR(__xludf.DUMMYFUNCTION("""COMPUTED_VALUE"""),"English Teacher/Yalova")</f>
        <v>English Teacher/Yalova</v>
      </c>
      <c r="V112" s="43" t="str">
        <f>IFERROR(__xludf.DUMMYFUNCTION("""COMPUTED_VALUE"""),"AIESEC in Oran")</f>
        <v>AIESEC in Oran</v>
      </c>
      <c r="W112" s="43" t="str">
        <f>IFERROR(__xludf.DUMMYFUNCTION("""COMPUTED_VALUE"""),"2022-08-23T10:07:13Z")</f>
        <v>2022-08-23T10:07:13Z</v>
      </c>
      <c r="X112" s="43"/>
      <c r="Y112" s="43"/>
      <c r="Z112" s="43"/>
    </row>
    <row r="113" hidden="1">
      <c r="A113" s="43" t="str">
        <f>IFERROR(__xludf.DUMMYFUNCTION("""COMPUTED_VALUE"""),"5111117_1289485")</f>
        <v>5111117_1289485</v>
      </c>
      <c r="B113" s="43" t="str">
        <f>IFERROR(__xludf.DUMMYFUNCTION("""COMPUTED_VALUE"""),"Hichame El Azami Hassani")</f>
        <v>Hichame El Azami Hassani</v>
      </c>
      <c r="C113" s="43" t="str">
        <f>IFERROR(__xludf.DUMMYFUNCTION("""COMPUTED_VALUE"""),"finished")</f>
        <v>finished</v>
      </c>
      <c r="D113" s="43" t="str">
        <f>IFERROR(__xludf.DUMMYFUNCTION("""COMPUTED_VALUE"""),"No")</f>
        <v>No</v>
      </c>
      <c r="E113" s="43" t="str">
        <f>IFERROR(__xludf.DUMMYFUNCTION("""COMPUTED_VALUE"""),"p_579541d34bc00b39b61bbe6f6a25109ba6943b7c@inbound.aiesec.org")</f>
        <v>p_579541d34bc00b39b61bbe6f6a25109ba6943b7c@inbound.aiesec.org</v>
      </c>
      <c r="F113" s="43"/>
      <c r="G113" s="43" t="str">
        <f>IFERROR(__xludf.DUMMYFUNCTION("""COMPUTED_VALUE"""),"Morocco")</f>
        <v>Morocco</v>
      </c>
      <c r="H113" s="43" t="str">
        <f>IFERROR(__xludf.DUMMYFUNCTION("""COMPUTED_VALUE"""),"Morocco (MC)")</f>
        <v>Morocco (MC)</v>
      </c>
      <c r="I113" s="43" t="str">
        <f>IFERROR(__xludf.DUMMYFUNCTION("""COMPUTED_VALUE"""),"Turkey")</f>
        <v>Turkey</v>
      </c>
      <c r="J113" s="43" t="str">
        <f>IFERROR(__xludf.DUMMYFUNCTION("""COMPUTED_VALUE"""),"BURSA")</f>
        <v>BURSA</v>
      </c>
      <c r="K113" s="44" t="str">
        <f>IFERROR(__xludf.DUMMYFUNCTION("""COMPUTED_VALUE"""),"https://expa.aiesec.org/opportunities/1289485")</f>
        <v>https://expa.aiesec.org/opportunities/1289485</v>
      </c>
      <c r="L113" s="43" t="str">
        <f>IFERROR(__xludf.DUMMYFUNCTION("""COMPUTED_VALUE"""),"GTe")</f>
        <v>GTe</v>
      </c>
      <c r="M113" s="43" t="str">
        <f>IFERROR(__xludf.DUMMYFUNCTION("""COMPUTED_VALUE"""),"long")</f>
        <v>long</v>
      </c>
      <c r="N113" s="45">
        <f>IFERROR(__xludf.DUMMYFUNCTION("""COMPUTED_VALUE"""),44861.0)</f>
        <v>44861</v>
      </c>
      <c r="O113" s="45">
        <f>IFERROR(__xludf.DUMMYFUNCTION("""COMPUTED_VALUE"""),44837.0)</f>
        <v>44837</v>
      </c>
      <c r="P113" s="45">
        <f>IFERROR(__xludf.DUMMYFUNCTION("""COMPUTED_VALUE"""),45202.0)</f>
        <v>45202</v>
      </c>
      <c r="Q113" s="45">
        <f>IFERROR(__xludf.DUMMYFUNCTION("""COMPUTED_VALUE"""),44883.0)</f>
        <v>44883</v>
      </c>
      <c r="R113" s="45">
        <f>IFERROR(__xludf.DUMMYFUNCTION("""COMPUTED_VALUE"""),45248.0)</f>
        <v>45248</v>
      </c>
      <c r="S113" s="43"/>
      <c r="T113" s="43"/>
      <c r="U113" s="43" t="str">
        <f>IFERROR(__xludf.DUMMYFUNCTION("""COMPUTED_VALUE"""),"English Teacher/Yalova")</f>
        <v>English Teacher/Yalova</v>
      </c>
      <c r="V113" s="43" t="str">
        <f>IFERROR(__xludf.DUMMYFUNCTION("""COMPUTED_VALUE"""),"-")</f>
        <v>-</v>
      </c>
      <c r="W113" s="43" t="str">
        <f>IFERROR(__xludf.DUMMYFUNCTION("""COMPUTED_VALUE"""),"2022-09-13T03:52:09Z")</f>
        <v>2022-09-13T03:52:09Z</v>
      </c>
      <c r="X113" s="43"/>
      <c r="Y113" s="43"/>
      <c r="Z113" s="43"/>
    </row>
    <row r="114" hidden="1">
      <c r="A114" s="43" t="str">
        <f>IFERROR(__xludf.DUMMYFUNCTION("""COMPUTED_VALUE"""),"1641757_1290592")</f>
        <v>1641757_1290592</v>
      </c>
      <c r="B114" s="43" t="str">
        <f>IFERROR(__xludf.DUMMYFUNCTION("""COMPUTED_VALUE"""),"MADIHA AMARA")</f>
        <v>MADIHA AMARA</v>
      </c>
      <c r="C114" s="43" t="str">
        <f>IFERROR(__xludf.DUMMYFUNCTION("""COMPUTED_VALUE"""),"finished")</f>
        <v>finished</v>
      </c>
      <c r="D114" s="43" t="str">
        <f>IFERROR(__xludf.DUMMYFUNCTION("""COMPUTED_VALUE"""),"No")</f>
        <v>No</v>
      </c>
      <c r="E114" s="43" t="str">
        <f>IFERROR(__xludf.DUMMYFUNCTION("""COMPUTED_VALUE"""),"p_f1d67467025fee58f8fb22298867da7abb0a3973@inbound.aiesec.org")</f>
        <v>p_f1d67467025fee58f8fb22298867da7abb0a3973@inbound.aiesec.org</v>
      </c>
      <c r="F114" s="43">
        <f>IFERROR(__xludf.DUMMYFUNCTION("""COMPUTED_VALUE"""),5.342935285E9)</f>
        <v>5342935285</v>
      </c>
      <c r="G114" s="43" t="str">
        <f>IFERROR(__xludf.DUMMYFUNCTION("""COMPUTED_VALUE"""),"Tunisia")</f>
        <v>Tunisia</v>
      </c>
      <c r="H114" s="43" t="str">
        <f>IFERROR(__xludf.DUMMYFUNCTION("""COMPUTED_VALUE"""),"UNIVERSITY")</f>
        <v>UNIVERSITY</v>
      </c>
      <c r="I114" s="43" t="str">
        <f>IFERROR(__xludf.DUMMYFUNCTION("""COMPUTED_VALUE"""),"Turkey")</f>
        <v>Turkey</v>
      </c>
      <c r="J114" s="43" t="str">
        <f>IFERROR(__xludf.DUMMYFUNCTION("""COMPUTED_VALUE"""),"GAZIANTEP")</f>
        <v>GAZIANTEP</v>
      </c>
      <c r="K114" s="44" t="str">
        <f>IFERROR(__xludf.DUMMYFUNCTION("""COMPUTED_VALUE"""),"https://expa.aiesec.org/opportunities/1290592")</f>
        <v>https://expa.aiesec.org/opportunities/1290592</v>
      </c>
      <c r="L114" s="43" t="str">
        <f>IFERROR(__xludf.DUMMYFUNCTION("""COMPUTED_VALUE"""),"GTe")</f>
        <v>GTe</v>
      </c>
      <c r="M114" s="43" t="str">
        <f>IFERROR(__xludf.DUMMYFUNCTION("""COMPUTED_VALUE"""),"medium")</f>
        <v>medium</v>
      </c>
      <c r="N114" s="45">
        <f>IFERROR(__xludf.DUMMYFUNCTION("""COMPUTED_VALUE"""),44862.0)</f>
        <v>44862</v>
      </c>
      <c r="O114" s="45">
        <f>IFERROR(__xludf.DUMMYFUNCTION("""COMPUTED_VALUE"""),44887.0)</f>
        <v>44887</v>
      </c>
      <c r="P114" s="45">
        <f>IFERROR(__xludf.DUMMYFUNCTION("""COMPUTED_VALUE"""),45068.0)</f>
        <v>45068</v>
      </c>
      <c r="Q114" s="45">
        <f>IFERROR(__xludf.DUMMYFUNCTION("""COMPUTED_VALUE"""),44917.0)</f>
        <v>44917</v>
      </c>
      <c r="R114" s="45">
        <f>IFERROR(__xludf.DUMMYFUNCTION("""COMPUTED_VALUE"""),45099.0)</f>
        <v>45099</v>
      </c>
      <c r="S114" s="43"/>
      <c r="T114" s="43"/>
      <c r="U114" s="43" t="str">
        <f>IFERROR(__xludf.DUMMYFUNCTION("""COMPUTED_VALUE"""),"ENGLISH TEACHER")</f>
        <v>ENGLISH TEACHER</v>
      </c>
      <c r="V114" s="43" t="str">
        <f>IFERROR(__xludf.DUMMYFUNCTION("""COMPUTED_VALUE"""),"-")</f>
        <v>-</v>
      </c>
      <c r="W114" s="43" t="str">
        <f>IFERROR(__xludf.DUMMYFUNCTION("""COMPUTED_VALUE"""),"2017-07-02T14:02:02Z")</f>
        <v>2017-07-02T14:02:02Z</v>
      </c>
      <c r="X114" s="43"/>
      <c r="Y114" s="43"/>
      <c r="Z114" s="43"/>
    </row>
    <row r="115" hidden="1">
      <c r="A115" s="43" t="str">
        <f>IFERROR(__xludf.DUMMYFUNCTION("""COMPUTED_VALUE"""),"5142036_1277333")</f>
        <v>5142036_1277333</v>
      </c>
      <c r="B115" s="43" t="str">
        <f>IFERROR(__xludf.DUMMYFUNCTION("""COMPUTED_VALUE"""),"Meriam Boukadi")</f>
        <v>Meriam Boukadi</v>
      </c>
      <c r="C115" s="43" t="str">
        <f>IFERROR(__xludf.DUMMYFUNCTION("""COMPUTED_VALUE"""),"finished")</f>
        <v>finished</v>
      </c>
      <c r="D115" s="43" t="str">
        <f>IFERROR(__xludf.DUMMYFUNCTION("""COMPUTED_VALUE"""),"No")</f>
        <v>No</v>
      </c>
      <c r="E115" s="43" t="str">
        <f>IFERROR(__xludf.DUMMYFUNCTION("""COMPUTED_VALUE"""),"p_c836008e2e8ec636fb433405db8aa70eb555325f@inbound.aiesec.org")</f>
        <v>p_c836008e2e8ec636fb433405db8aa70eb555325f@inbound.aiesec.org</v>
      </c>
      <c r="F115" s="43">
        <f>IFERROR(__xludf.DUMMYFUNCTION("""COMPUTED_VALUE"""),2.3525948E7)</f>
        <v>23525948</v>
      </c>
      <c r="G115" s="43" t="str">
        <f>IFERROR(__xludf.DUMMYFUNCTION("""COMPUTED_VALUE"""),"Tunisia")</f>
        <v>Tunisia</v>
      </c>
      <c r="H115" s="43" t="str">
        <f>IFERROR(__xludf.DUMMYFUNCTION("""COMPUTED_VALUE"""),"MEDINA")</f>
        <v>MEDINA</v>
      </c>
      <c r="I115" s="43" t="str">
        <f>IFERROR(__xludf.DUMMYFUNCTION("""COMPUTED_VALUE"""),"Turkey")</f>
        <v>Turkey</v>
      </c>
      <c r="J115" s="43" t="str">
        <f>IFERROR(__xludf.DUMMYFUNCTION("""COMPUTED_VALUE"""),"KOCAELI")</f>
        <v>KOCAELI</v>
      </c>
      <c r="K115" s="44" t="str">
        <f>IFERROR(__xludf.DUMMYFUNCTION("""COMPUTED_VALUE"""),"https://expa.aiesec.org/opportunities/1277333")</f>
        <v>https://expa.aiesec.org/opportunities/1277333</v>
      </c>
      <c r="L115" s="43" t="str">
        <f>IFERROR(__xludf.DUMMYFUNCTION("""COMPUTED_VALUE"""),"GTe")</f>
        <v>GTe</v>
      </c>
      <c r="M115" s="43" t="str">
        <f>IFERROR(__xludf.DUMMYFUNCTION("""COMPUTED_VALUE"""),"long")</f>
        <v>long</v>
      </c>
      <c r="N115" s="45">
        <f>IFERROR(__xludf.DUMMYFUNCTION("""COMPUTED_VALUE"""),44862.0)</f>
        <v>44862</v>
      </c>
      <c r="O115" s="45">
        <f>IFERROR(__xludf.DUMMYFUNCTION("""COMPUTED_VALUE"""),44872.0)</f>
        <v>44872</v>
      </c>
      <c r="P115" s="45">
        <f>IFERROR(__xludf.DUMMYFUNCTION("""COMPUTED_VALUE"""),45237.0)</f>
        <v>45237</v>
      </c>
      <c r="Q115" s="45">
        <f>IFERROR(__xludf.DUMMYFUNCTION("""COMPUTED_VALUE"""),44896.0)</f>
        <v>44896</v>
      </c>
      <c r="R115" s="45">
        <f>IFERROR(__xludf.DUMMYFUNCTION("""COMPUTED_VALUE"""),45261.0)</f>
        <v>45261</v>
      </c>
      <c r="S115" s="43"/>
      <c r="T115" s="43"/>
      <c r="U115" s="43" t="str">
        <f>IFERROR(__xludf.DUMMYFUNCTION("""COMPUTED_VALUE"""),"English Teacher in English Time (Long)")</f>
        <v>English Teacher in English Time (Long)</v>
      </c>
      <c r="V115" s="43" t="str">
        <f>IFERROR(__xludf.DUMMYFUNCTION("""COMPUTED_VALUE"""),"FLAH")</f>
        <v>FLAH</v>
      </c>
      <c r="W115" s="43" t="str">
        <f>IFERROR(__xludf.DUMMYFUNCTION("""COMPUTED_VALUE"""),"2022-10-28T09:42:27Z")</f>
        <v>2022-10-28T09:42:27Z</v>
      </c>
      <c r="X115" s="43"/>
      <c r="Y115" s="43"/>
      <c r="Z115" s="43"/>
    </row>
    <row r="116" hidden="1">
      <c r="A116" s="43" t="str">
        <f>IFERROR(__xludf.DUMMYFUNCTION("""COMPUTED_VALUE"""),"5110745_1289355")</f>
        <v>5110745_1289355</v>
      </c>
      <c r="B116" s="43" t="str">
        <f>IFERROR(__xludf.DUMMYFUNCTION("""COMPUTED_VALUE"""),"Lina Ben fredj")</f>
        <v>Lina Ben fredj</v>
      </c>
      <c r="C116" s="43" t="str">
        <f>IFERROR(__xludf.DUMMYFUNCTION("""COMPUTED_VALUE"""),"completed")</f>
        <v>completed</v>
      </c>
      <c r="D116" s="43" t="str">
        <f>IFERROR(__xludf.DUMMYFUNCTION("""COMPUTED_VALUE"""),"No")</f>
        <v>No</v>
      </c>
      <c r="E116" s="43" t="str">
        <f>IFERROR(__xludf.DUMMYFUNCTION("""COMPUTED_VALUE"""),"p_f41e1607ef7de2baff81ea8b774fdb99acb4039b@inbound.aiesec.org")</f>
        <v>p_f41e1607ef7de2baff81ea8b774fdb99acb4039b@inbound.aiesec.org</v>
      </c>
      <c r="F116" s="43">
        <f>IFERROR(__xludf.DUMMYFUNCTION("""COMPUTED_VALUE"""),2.9290704E7)</f>
        <v>29290704</v>
      </c>
      <c r="G116" s="43" t="str">
        <f>IFERROR(__xludf.DUMMYFUNCTION("""COMPUTED_VALUE"""),"Tunisia")</f>
        <v>Tunisia</v>
      </c>
      <c r="H116" s="43" t="str">
        <f>IFERROR(__xludf.DUMMYFUNCTION("""COMPUTED_VALUE"""),"HADRUMET")</f>
        <v>HADRUMET</v>
      </c>
      <c r="I116" s="43" t="str">
        <f>IFERROR(__xludf.DUMMYFUNCTION("""COMPUTED_VALUE"""),"Turkey")</f>
        <v>Turkey</v>
      </c>
      <c r="J116" s="43" t="str">
        <f>IFERROR(__xludf.DUMMYFUNCTION("""COMPUTED_VALUE"""),"ANTALYA")</f>
        <v>ANTALYA</v>
      </c>
      <c r="K116" s="44" t="str">
        <f>IFERROR(__xludf.DUMMYFUNCTION("""COMPUTED_VALUE"""),"https://expa.aiesec.org/opportunities/1289355")</f>
        <v>https://expa.aiesec.org/opportunities/1289355</v>
      </c>
      <c r="L116" s="43" t="str">
        <f>IFERROR(__xludf.DUMMYFUNCTION("""COMPUTED_VALUE"""),"GTe")</f>
        <v>GTe</v>
      </c>
      <c r="M116" s="43" t="str">
        <f>IFERROR(__xludf.DUMMYFUNCTION("""COMPUTED_VALUE"""),"long")</f>
        <v>long</v>
      </c>
      <c r="N116" s="45">
        <f>IFERROR(__xludf.DUMMYFUNCTION("""COMPUTED_VALUE"""),44863.0)</f>
        <v>44863</v>
      </c>
      <c r="O116" s="45">
        <f>IFERROR(__xludf.DUMMYFUNCTION("""COMPUTED_VALUE"""),44873.0)</f>
        <v>44873</v>
      </c>
      <c r="P116" s="45">
        <f>IFERROR(__xludf.DUMMYFUNCTION("""COMPUTED_VALUE"""),45238.0)</f>
        <v>45238</v>
      </c>
      <c r="Q116" s="45">
        <f>IFERROR(__xludf.DUMMYFUNCTION("""COMPUTED_VALUE"""),44886.0)</f>
        <v>44886</v>
      </c>
      <c r="R116" s="45">
        <f>IFERROR(__xludf.DUMMYFUNCTION("""COMPUTED_VALUE"""),45251.0)</f>
        <v>45251</v>
      </c>
      <c r="S116" s="43"/>
      <c r="T116" s="43"/>
      <c r="U116" s="43" t="str">
        <f>IFERROR(__xludf.DUMMYFUNCTION("""COMPUTED_VALUE"""),"English Teacher")</f>
        <v>English Teacher</v>
      </c>
      <c r="V116" s="43" t="str">
        <f>IFERROR(__xludf.DUMMYFUNCTION("""COMPUTED_VALUE"""),"FLSH Sousse")</f>
        <v>FLSH Sousse</v>
      </c>
      <c r="W116" s="43" t="str">
        <f>IFERROR(__xludf.DUMMYFUNCTION("""COMPUTED_VALUE"""),"2022-09-12T14:43:01Z")</f>
        <v>2022-09-12T14:43:01Z</v>
      </c>
      <c r="X116" s="43"/>
      <c r="Y116" s="43"/>
      <c r="Z116" s="43"/>
    </row>
    <row r="117" hidden="1">
      <c r="A117" s="43" t="str">
        <f>IFERROR(__xludf.DUMMYFUNCTION("""COMPUTED_VALUE"""),"4307055_1285077")</f>
        <v>4307055_1285077</v>
      </c>
      <c r="B117" s="43" t="str">
        <f>IFERROR(__xludf.DUMMYFUNCTION("""COMPUTED_VALUE"""),"imene redjem")</f>
        <v>imene redjem</v>
      </c>
      <c r="C117" s="43" t="str">
        <f>IFERROR(__xludf.DUMMYFUNCTION("""COMPUTED_VALUE"""),"realization_broken")</f>
        <v>realization_broken</v>
      </c>
      <c r="D117" s="43" t="str">
        <f>IFERROR(__xludf.DUMMYFUNCTION("""COMPUTED_VALUE"""),"No")</f>
        <v>No</v>
      </c>
      <c r="E117" s="43" t="str">
        <f>IFERROR(__xludf.DUMMYFUNCTION("""COMPUTED_VALUE"""),"p_4cb99e920a0fb94335db2fd625c2a00226a3a331@inbound.aiesec.org")</f>
        <v>p_4cb99e920a0fb94335db2fd625c2a00226a3a331@inbound.aiesec.org</v>
      </c>
      <c r="F117" s="43">
        <f>IFERROR(__xludf.DUMMYFUNCTION("""COMPUTED_VALUE"""),7.95685747E8)</f>
        <v>795685747</v>
      </c>
      <c r="G117" s="43" t="str">
        <f>IFERROR(__xludf.DUMMYFUNCTION("""COMPUTED_VALUE"""),"Algeria")</f>
        <v>Algeria</v>
      </c>
      <c r="H117" s="43" t="str">
        <f>IFERROR(__xludf.DUMMYFUNCTION("""COMPUTED_VALUE"""),"Benak")</f>
        <v>Benak</v>
      </c>
      <c r="I117" s="43" t="str">
        <f>IFERROR(__xludf.DUMMYFUNCTION("""COMPUTED_VALUE"""),"Turkey")</f>
        <v>Turkey</v>
      </c>
      <c r="J117" s="43" t="str">
        <f>IFERROR(__xludf.DUMMYFUNCTION("""COMPUTED_VALUE"""),"BURSA")</f>
        <v>BURSA</v>
      </c>
      <c r="K117" s="44" t="str">
        <f>IFERROR(__xludf.DUMMYFUNCTION("""COMPUTED_VALUE"""),"https://expa.aiesec.org/opportunities/1285077")</f>
        <v>https://expa.aiesec.org/opportunities/1285077</v>
      </c>
      <c r="L117" s="43" t="str">
        <f>IFERROR(__xludf.DUMMYFUNCTION("""COMPUTED_VALUE"""),"GTe")</f>
        <v>GTe</v>
      </c>
      <c r="M117" s="43" t="str">
        <f>IFERROR(__xludf.DUMMYFUNCTION("""COMPUTED_VALUE"""),"long")</f>
        <v>long</v>
      </c>
      <c r="N117" s="45">
        <f>IFERROR(__xludf.DUMMYFUNCTION("""COMPUTED_VALUE"""),44865.0)</f>
        <v>44865</v>
      </c>
      <c r="O117" s="45">
        <f>IFERROR(__xludf.DUMMYFUNCTION("""COMPUTED_VALUE"""),44893.0)</f>
        <v>44893</v>
      </c>
      <c r="P117" s="45">
        <f>IFERROR(__xludf.DUMMYFUNCTION("""COMPUTED_VALUE"""),45258.0)</f>
        <v>45258</v>
      </c>
      <c r="Q117" s="45"/>
      <c r="R117" s="45"/>
      <c r="S117" s="43"/>
      <c r="T117" s="43"/>
      <c r="U117" s="43" t="str">
        <f>IFERROR(__xludf.DUMMYFUNCTION("""COMPUTED_VALUE"""),"English Teaching")</f>
        <v>English Teaching</v>
      </c>
      <c r="V117" s="43" t="str">
        <f>IFERROR(__xludf.DUMMYFUNCTION("""COMPUTED_VALUE"""),"-")</f>
        <v>-</v>
      </c>
      <c r="W117" s="43" t="str">
        <f>IFERROR(__xludf.DUMMYFUNCTION("""COMPUTED_VALUE"""),"2020-06-11T20:11:58Z")</f>
        <v>2020-06-11T20:11:58Z</v>
      </c>
      <c r="X117" s="43"/>
      <c r="Y117" s="43"/>
      <c r="Z117" s="43"/>
    </row>
    <row r="118">
      <c r="A118" s="43" t="str">
        <f>IFERROR(__xludf.DUMMYFUNCTION("""COMPUTED_VALUE"""),"3198991_1288838")</f>
        <v>3198991_1288838</v>
      </c>
      <c r="B118" s="43" t="str">
        <f>IFERROR(__xludf.DUMMYFUNCTION("""COMPUTED_VALUE"""),"Maimoun Zakarya")</f>
        <v>Maimoun Zakarya</v>
      </c>
      <c r="C118" s="43" t="str">
        <f>IFERROR(__xludf.DUMMYFUNCTION("""COMPUTED_VALUE"""),"approved")</f>
        <v>approved</v>
      </c>
      <c r="D118" s="43" t="str">
        <f>IFERROR(__xludf.DUMMYFUNCTION("""COMPUTED_VALUE"""),"No")</f>
        <v>No</v>
      </c>
      <c r="E118" s="43" t="str">
        <f>IFERROR(__xludf.DUMMYFUNCTION("""COMPUTED_VALUE"""),"p_c12c555e1d27445f019c260ef1a3fa3825c391b1@inbound.aiesec.org")</f>
        <v>p_c12c555e1d27445f019c260ef1a3fa3825c391b1@inbound.aiesec.org</v>
      </c>
      <c r="F118" s="43">
        <f>IFERROR(__xludf.DUMMYFUNCTION("""COMPUTED_VALUE"""),5.57115707E8)</f>
        <v>557115707</v>
      </c>
      <c r="G118" s="43" t="str">
        <f>IFERROR(__xludf.DUMMYFUNCTION("""COMPUTED_VALUE"""),"Algeria")</f>
        <v>Algeria</v>
      </c>
      <c r="H118" s="43" t="str">
        <f>IFERROR(__xludf.DUMMYFUNCTION("""COMPUTED_VALUE"""),"Babez")</f>
        <v>Babez</v>
      </c>
      <c r="I118" s="43" t="str">
        <f>IFERROR(__xludf.DUMMYFUNCTION("""COMPUTED_VALUE"""),"Turkey")</f>
        <v>Turkey</v>
      </c>
      <c r="J118" s="43" t="str">
        <f>IFERROR(__xludf.DUMMYFUNCTION("""COMPUTED_VALUE"""),"İZMİR")</f>
        <v>İZMİR</v>
      </c>
      <c r="K118" s="44" t="str">
        <f>IFERROR(__xludf.DUMMYFUNCTION("""COMPUTED_VALUE"""),"https://expa.aiesec.org/opportunities/1288838")</f>
        <v>https://expa.aiesec.org/opportunities/1288838</v>
      </c>
      <c r="L118" s="43" t="str">
        <f>IFERROR(__xludf.DUMMYFUNCTION("""COMPUTED_VALUE"""),"GTe")</f>
        <v>GTe</v>
      </c>
      <c r="M118" s="43" t="str">
        <f>IFERROR(__xludf.DUMMYFUNCTION("""COMPUTED_VALUE"""),"long")</f>
        <v>long</v>
      </c>
      <c r="N118" s="45">
        <f>IFERROR(__xludf.DUMMYFUNCTION("""COMPUTED_VALUE"""),44866.0)</f>
        <v>44866</v>
      </c>
      <c r="O118" s="45">
        <f>IFERROR(__xludf.DUMMYFUNCTION("""COMPUTED_VALUE"""),44895.0)</f>
        <v>44895</v>
      </c>
      <c r="P118" s="45">
        <f>IFERROR(__xludf.DUMMYFUNCTION("""COMPUTED_VALUE"""),45137.0)</f>
        <v>45137</v>
      </c>
      <c r="Q118" s="45"/>
      <c r="R118" s="45"/>
      <c r="S118" s="43"/>
      <c r="T118" s="43"/>
      <c r="U118" s="43" t="str">
        <f>IFERROR(__xludf.DUMMYFUNCTION("""COMPUTED_VALUE"""),"English Teacher in İzmir")</f>
        <v>English Teacher in İzmir</v>
      </c>
      <c r="V118" s="43" t="str">
        <f>IFERROR(__xludf.DUMMYFUNCTION("""COMPUTED_VALUE"""),"-")</f>
        <v>-</v>
      </c>
      <c r="W118" s="43" t="str">
        <f>IFERROR(__xludf.DUMMYFUNCTION("""COMPUTED_VALUE"""),"2019-03-09T20:23:29Z")</f>
        <v>2019-03-09T20:23:29Z</v>
      </c>
      <c r="X118" s="43"/>
      <c r="Y118" s="43"/>
      <c r="Z118" s="43"/>
    </row>
    <row r="119" hidden="1">
      <c r="A119" s="43" t="str">
        <f>IFERROR(__xludf.DUMMYFUNCTION("""COMPUTED_VALUE"""),"4685055_1289353")</f>
        <v>4685055_1289353</v>
      </c>
      <c r="B119" s="43" t="str">
        <f>IFERROR(__xludf.DUMMYFUNCTION("""COMPUTED_VALUE"""),"Ushani Wijesinghe")</f>
        <v>Ushani Wijesinghe</v>
      </c>
      <c r="C119" s="43" t="str">
        <f>IFERROR(__xludf.DUMMYFUNCTION("""COMPUTED_VALUE"""),"realization_broken")</f>
        <v>realization_broken</v>
      </c>
      <c r="D119" s="43" t="str">
        <f>IFERROR(__xludf.DUMMYFUNCTION("""COMPUTED_VALUE"""),"No")</f>
        <v>No</v>
      </c>
      <c r="E119" s="43" t="str">
        <f>IFERROR(__xludf.DUMMYFUNCTION("""COMPUTED_VALUE"""),"p_4d877e94d94f4fc0b85b07657c5600c2120487df@inbound.aiesec.org")</f>
        <v>p_4d877e94d94f4fc0b85b07657c5600c2120487df@inbound.aiesec.org</v>
      </c>
      <c r="F119" s="43">
        <f>IFERROR(__xludf.DUMMYFUNCTION("""COMPUTED_VALUE"""),7.62106005E8)</f>
        <v>762106005</v>
      </c>
      <c r="G119" s="43" t="str">
        <f>IFERROR(__xludf.DUMMYFUNCTION("""COMPUTED_VALUE"""),"Sri Lanka")</f>
        <v>Sri Lanka</v>
      </c>
      <c r="H119" s="43" t="str">
        <f>IFERROR(__xludf.DUMMYFUNCTION("""COMPUTED_VALUE"""),"COLOMBO NORTH")</f>
        <v>COLOMBO NORTH</v>
      </c>
      <c r="I119" s="43" t="str">
        <f>IFERROR(__xludf.DUMMYFUNCTION("""COMPUTED_VALUE"""),"Turkey")</f>
        <v>Turkey</v>
      </c>
      <c r="J119" s="43" t="str">
        <f>IFERROR(__xludf.DUMMYFUNCTION("""COMPUTED_VALUE"""),"ANTALYA")</f>
        <v>ANTALYA</v>
      </c>
      <c r="K119" s="44" t="str">
        <f>IFERROR(__xludf.DUMMYFUNCTION("""COMPUTED_VALUE"""),"https://expa.aiesec.org/opportunities/1289353")</f>
        <v>https://expa.aiesec.org/opportunities/1289353</v>
      </c>
      <c r="L119" s="43" t="str">
        <f>IFERROR(__xludf.DUMMYFUNCTION("""COMPUTED_VALUE"""),"GTe")</f>
        <v>GTe</v>
      </c>
      <c r="M119" s="43" t="str">
        <f>IFERROR(__xludf.DUMMYFUNCTION("""COMPUTED_VALUE"""),"medium")</f>
        <v>medium</v>
      </c>
      <c r="N119" s="45">
        <f>IFERROR(__xludf.DUMMYFUNCTION("""COMPUTED_VALUE"""),44866.0)</f>
        <v>44866</v>
      </c>
      <c r="O119" s="45">
        <f>IFERROR(__xludf.DUMMYFUNCTION("""COMPUTED_VALUE"""),44889.0)</f>
        <v>44889</v>
      </c>
      <c r="P119" s="45">
        <f>IFERROR(__xludf.DUMMYFUNCTION("""COMPUTED_VALUE"""),45070.0)</f>
        <v>45070</v>
      </c>
      <c r="Q119" s="45"/>
      <c r="R119" s="45"/>
      <c r="S119" s="43"/>
      <c r="T119" s="43"/>
      <c r="U119" s="43" t="str">
        <f>IFERROR(__xludf.DUMMYFUNCTION("""COMPUTED_VALUE"""),"English Teacher Mid Term")</f>
        <v>English Teacher Mid Term</v>
      </c>
      <c r="V119" s="43" t="str">
        <f>IFERROR(__xludf.DUMMYFUNCTION("""COMPUTED_VALUE"""),"University of Kelaniya")</f>
        <v>University of Kelaniya</v>
      </c>
      <c r="W119" s="43" t="str">
        <f>IFERROR(__xludf.DUMMYFUNCTION("""COMPUTED_VALUE"""),"2021-07-08T16:56:24Z")</f>
        <v>2021-07-08T16:56:24Z</v>
      </c>
      <c r="X119" s="43"/>
      <c r="Y119" s="43"/>
      <c r="Z119" s="43"/>
    </row>
    <row r="120" hidden="1">
      <c r="A120" s="43" t="str">
        <f>IFERROR(__xludf.DUMMYFUNCTION("""COMPUTED_VALUE"""),"5140713_1282413")</f>
        <v>5140713_1282413</v>
      </c>
      <c r="B120" s="43" t="str">
        <f>IFERROR(__xludf.DUMMYFUNCTION("""COMPUTED_VALUE"""),"Ouissem Ben Abdallah")</f>
        <v>Ouissem Ben Abdallah</v>
      </c>
      <c r="C120" s="43" t="str">
        <f>IFERROR(__xludf.DUMMYFUNCTION("""COMPUTED_VALUE"""),"completed")</f>
        <v>completed</v>
      </c>
      <c r="D120" s="43" t="str">
        <f>IFERROR(__xludf.DUMMYFUNCTION("""COMPUTED_VALUE"""),"No")</f>
        <v>No</v>
      </c>
      <c r="E120" s="43" t="str">
        <f>IFERROR(__xludf.DUMMYFUNCTION("""COMPUTED_VALUE"""),"p_61a2700dd0c537d1f30aee05aafe88aa76f105e3@inbound.aiesec.org")</f>
        <v>p_61a2700dd0c537d1f30aee05aafe88aa76f105e3@inbound.aiesec.org</v>
      </c>
      <c r="F120" s="43">
        <f>IFERROR(__xludf.DUMMYFUNCTION("""COMPUTED_VALUE"""),6.69165205E8)</f>
        <v>669165205</v>
      </c>
      <c r="G120" s="43" t="str">
        <f>IFERROR(__xludf.DUMMYFUNCTION("""COMPUTED_VALUE"""),"Algeria")</f>
        <v>Algeria</v>
      </c>
      <c r="H120" s="43" t="str">
        <f>IFERROR(__xludf.DUMMYFUNCTION("""COMPUTED_VALUE"""),"Tlemcen")</f>
        <v>Tlemcen</v>
      </c>
      <c r="I120" s="43" t="str">
        <f>IFERROR(__xludf.DUMMYFUNCTION("""COMPUTED_VALUE"""),"Turkey")</f>
        <v>Turkey</v>
      </c>
      <c r="J120" s="43" t="str">
        <f>IFERROR(__xludf.DUMMYFUNCTION("""COMPUTED_VALUE"""),"KOCAELI")</f>
        <v>KOCAELI</v>
      </c>
      <c r="K120" s="44" t="str">
        <f>IFERROR(__xludf.DUMMYFUNCTION("""COMPUTED_VALUE"""),"https://expa.aiesec.org/opportunities/1282413")</f>
        <v>https://expa.aiesec.org/opportunities/1282413</v>
      </c>
      <c r="L120" s="43" t="str">
        <f>IFERROR(__xludf.DUMMYFUNCTION("""COMPUTED_VALUE"""),"GTe")</f>
        <v>GTe</v>
      </c>
      <c r="M120" s="43" t="str">
        <f>IFERROR(__xludf.DUMMYFUNCTION("""COMPUTED_VALUE"""),"long")</f>
        <v>long</v>
      </c>
      <c r="N120" s="45">
        <f>IFERROR(__xludf.DUMMYFUNCTION("""COMPUTED_VALUE"""),44867.0)</f>
        <v>44867</v>
      </c>
      <c r="O120" s="45">
        <f>IFERROR(__xludf.DUMMYFUNCTION("""COMPUTED_VALUE"""),44893.0)</f>
        <v>44893</v>
      </c>
      <c r="P120" s="45">
        <f>IFERROR(__xludf.DUMMYFUNCTION("""COMPUTED_VALUE"""),45107.0)</f>
        <v>45107</v>
      </c>
      <c r="Q120" s="45">
        <f>IFERROR(__xludf.DUMMYFUNCTION("""COMPUTED_VALUE"""),44900.0)</f>
        <v>44900</v>
      </c>
      <c r="R120" s="45">
        <f>IFERROR(__xludf.DUMMYFUNCTION("""COMPUTED_VALUE"""),45114.0)</f>
        <v>45114</v>
      </c>
      <c r="S120" s="43"/>
      <c r="T120" s="43"/>
      <c r="U120" s="43" t="str">
        <f>IFERROR(__xludf.DUMMYFUNCTION("""COMPUTED_VALUE"""),"English Teacher in Era College")</f>
        <v>English Teacher in Era College</v>
      </c>
      <c r="V120" s="43" t="str">
        <f>IFERROR(__xludf.DUMMYFUNCTION("""COMPUTED_VALUE"""),"AIESEC in Tlemcen")</f>
        <v>AIESEC in Tlemcen</v>
      </c>
      <c r="W120" s="43" t="str">
        <f>IFERROR(__xludf.DUMMYFUNCTION("""COMPUTED_VALUE"""),"2022-10-26T10:59:06Z")</f>
        <v>2022-10-26T10:59:06Z</v>
      </c>
      <c r="X120" s="43"/>
      <c r="Y120" s="43"/>
      <c r="Z120" s="43"/>
    </row>
    <row r="121" hidden="1">
      <c r="A121" s="43" t="str">
        <f>IFERROR(__xludf.DUMMYFUNCTION("""COMPUTED_VALUE"""),"5143820_1289396")</f>
        <v>5143820_1289396</v>
      </c>
      <c r="B121" s="43" t="str">
        <f>IFERROR(__xludf.DUMMYFUNCTION("""COMPUTED_VALUE"""),"Samia Bennai")</f>
        <v>Samia Bennai</v>
      </c>
      <c r="C121" s="43" t="str">
        <f>IFERROR(__xludf.DUMMYFUNCTION("""COMPUTED_VALUE"""),"finished")</f>
        <v>finished</v>
      </c>
      <c r="D121" s="43" t="str">
        <f>IFERROR(__xludf.DUMMYFUNCTION("""COMPUTED_VALUE"""),"No")</f>
        <v>No</v>
      </c>
      <c r="E121" s="43" t="str">
        <f>IFERROR(__xludf.DUMMYFUNCTION("""COMPUTED_VALUE"""),"p_04a25f2c5e64c6970053c006cf67d100cd5372ca@inbound.aiesec.org")</f>
        <v>p_04a25f2c5e64c6970053c006cf67d100cd5372ca@inbound.aiesec.org</v>
      </c>
      <c r="F121" s="43">
        <f>IFERROR(__xludf.DUMMYFUNCTION("""COMPUTED_VALUE"""),7.76075249E8)</f>
        <v>776075249</v>
      </c>
      <c r="G121" s="43" t="str">
        <f>IFERROR(__xludf.DUMMYFUNCTION("""COMPUTED_VALUE"""),"Algeria")</f>
        <v>Algeria</v>
      </c>
      <c r="H121" s="43" t="str">
        <f>IFERROR(__xludf.DUMMYFUNCTION("""COMPUTED_VALUE"""),"Tlemcen")</f>
        <v>Tlemcen</v>
      </c>
      <c r="I121" s="43" t="str">
        <f>IFERROR(__xludf.DUMMYFUNCTION("""COMPUTED_VALUE"""),"Turkey")</f>
        <v>Turkey</v>
      </c>
      <c r="J121" s="43" t="str">
        <f>IFERROR(__xludf.DUMMYFUNCTION("""COMPUTED_VALUE"""),"KOCAELI")</f>
        <v>KOCAELI</v>
      </c>
      <c r="K121" s="44" t="str">
        <f>IFERROR(__xludf.DUMMYFUNCTION("""COMPUTED_VALUE"""),"https://expa.aiesec.org/opportunities/1289396")</f>
        <v>https://expa.aiesec.org/opportunities/1289396</v>
      </c>
      <c r="L121" s="43" t="str">
        <f>IFERROR(__xludf.DUMMYFUNCTION("""COMPUTED_VALUE"""),"GTe")</f>
        <v>GTe</v>
      </c>
      <c r="M121" s="43" t="str">
        <f>IFERROR(__xludf.DUMMYFUNCTION("""COMPUTED_VALUE"""),"long")</f>
        <v>long</v>
      </c>
      <c r="N121" s="45">
        <f>IFERROR(__xludf.DUMMYFUNCTION("""COMPUTED_VALUE"""),44868.0)</f>
        <v>44868</v>
      </c>
      <c r="O121" s="45">
        <f>IFERROR(__xludf.DUMMYFUNCTION("""COMPUTED_VALUE"""),44875.0)</f>
        <v>44875</v>
      </c>
      <c r="P121" s="45">
        <f>IFERROR(__xludf.DUMMYFUNCTION("""COMPUTED_VALUE"""),45240.0)</f>
        <v>45240</v>
      </c>
      <c r="Q121" s="45">
        <f>IFERROR(__xludf.DUMMYFUNCTION("""COMPUTED_VALUE"""),44912.0)</f>
        <v>44912</v>
      </c>
      <c r="R121" s="45">
        <f>IFERROR(__xludf.DUMMYFUNCTION("""COMPUTED_VALUE"""),45278.0)</f>
        <v>45278</v>
      </c>
      <c r="S121" s="43"/>
      <c r="T121" s="43"/>
      <c r="U121" s="43" t="str">
        <f>IFERROR(__xludf.DUMMYFUNCTION("""COMPUTED_VALUE"""),"Kindergarten Teacher in  Özel Sevgi Kreş Gündüz Bakımevi")</f>
        <v>Kindergarten Teacher in  Özel Sevgi Kreş Gündüz Bakımevi</v>
      </c>
      <c r="V121" s="43" t="str">
        <f>IFERROR(__xludf.DUMMYFUNCTION("""COMPUTED_VALUE"""),"AIESEC in Tlemcen")</f>
        <v>AIESEC in Tlemcen</v>
      </c>
      <c r="W121" s="43" t="str">
        <f>IFERROR(__xludf.DUMMYFUNCTION("""COMPUTED_VALUE"""),"2022-10-31T15:57:31Z")</f>
        <v>2022-10-31T15:57:31Z</v>
      </c>
      <c r="X121" s="43"/>
      <c r="Y121" s="43"/>
      <c r="Z121" s="43"/>
    </row>
    <row r="122" hidden="1">
      <c r="A122" s="43" t="str">
        <f>IFERROR(__xludf.DUMMYFUNCTION("""COMPUTED_VALUE"""),"5146300_1286488")</f>
        <v>5146300_1286488</v>
      </c>
      <c r="B122" s="43" t="str">
        <f>IFERROR(__xludf.DUMMYFUNCTION("""COMPUTED_VALUE"""),"guler hesenova")</f>
        <v>guler hesenova</v>
      </c>
      <c r="C122" s="43" t="str">
        <f>IFERROR(__xludf.DUMMYFUNCTION("""COMPUTED_VALUE"""),"finished")</f>
        <v>finished</v>
      </c>
      <c r="D122" s="43" t="str">
        <f>IFERROR(__xludf.DUMMYFUNCTION("""COMPUTED_VALUE"""),"No")</f>
        <v>No</v>
      </c>
      <c r="E122" s="43" t="str">
        <f>IFERROR(__xludf.DUMMYFUNCTION("""COMPUTED_VALUE"""),"p_e7dafa2cc69fc78b831557d1445c1cb33f8c04cc@inbound.aiesec.org")</f>
        <v>p_e7dafa2cc69fc78b831557d1445c1cb33f8c04cc@inbound.aiesec.org</v>
      </c>
      <c r="F122" s="43">
        <f>IFERROR(__xludf.DUMMYFUNCTION("""COMPUTED_VALUE"""),5.04150878E8)</f>
        <v>504150878</v>
      </c>
      <c r="G122" s="43" t="str">
        <f>IFERROR(__xludf.DUMMYFUNCTION("""COMPUTED_VALUE"""),"Azerbaijan")</f>
        <v>Azerbaijan</v>
      </c>
      <c r="H122" s="43" t="str">
        <f>IFERROR(__xludf.DUMMYFUNCTION("""COMPUTED_VALUE"""),"Baku Qafqaz")</f>
        <v>Baku Qafqaz</v>
      </c>
      <c r="I122" s="43" t="str">
        <f>IFERROR(__xludf.DUMMYFUNCTION("""COMPUTED_VALUE"""),"Turkey")</f>
        <v>Turkey</v>
      </c>
      <c r="J122" s="43" t="str">
        <f>IFERROR(__xludf.DUMMYFUNCTION("""COMPUTED_VALUE"""),"İZMİR")</f>
        <v>İZMİR</v>
      </c>
      <c r="K122" s="44" t="str">
        <f>IFERROR(__xludf.DUMMYFUNCTION("""COMPUTED_VALUE"""),"https://expa.aiesec.org/opportunities/1286488")</f>
        <v>https://expa.aiesec.org/opportunities/1286488</v>
      </c>
      <c r="L122" s="43" t="str">
        <f>IFERROR(__xludf.DUMMYFUNCTION("""COMPUTED_VALUE"""),"GTe")</f>
        <v>GTe</v>
      </c>
      <c r="M122" s="43" t="str">
        <f>IFERROR(__xludf.DUMMYFUNCTION("""COMPUTED_VALUE"""),"long")</f>
        <v>long</v>
      </c>
      <c r="N122" s="45">
        <f>IFERROR(__xludf.DUMMYFUNCTION("""COMPUTED_VALUE"""),44870.0)</f>
        <v>44870</v>
      </c>
      <c r="O122" s="45">
        <f>IFERROR(__xludf.DUMMYFUNCTION("""COMPUTED_VALUE"""),44885.0)</f>
        <v>44885</v>
      </c>
      <c r="P122" s="45">
        <f>IFERROR(__xludf.DUMMYFUNCTION("""COMPUTED_VALUE"""),45250.0)</f>
        <v>45250</v>
      </c>
      <c r="Q122" s="45">
        <f>IFERROR(__xludf.DUMMYFUNCTION("""COMPUTED_VALUE"""),44885.0)</f>
        <v>44885</v>
      </c>
      <c r="R122" s="45">
        <f>IFERROR(__xludf.DUMMYFUNCTION("""COMPUTED_VALUE"""),45250.0)</f>
        <v>45250</v>
      </c>
      <c r="S122" s="43"/>
      <c r="T122" s="43"/>
      <c r="U122" s="43" t="str">
        <f>IFERROR(__xludf.DUMMYFUNCTION("""COMPUTED_VALUE"""),"English Teacher in Soma")</f>
        <v>English Teacher in Soma</v>
      </c>
      <c r="V122" s="43" t="str">
        <f>IFERROR(__xludf.DUMMYFUNCTION("""COMPUTED_VALUE"""),"Azerbaijan University of Languages")</f>
        <v>Azerbaijan University of Languages</v>
      </c>
      <c r="W122" s="43" t="str">
        <f>IFERROR(__xludf.DUMMYFUNCTION("""COMPUTED_VALUE"""),"2022-11-03T23:11:56Z")</f>
        <v>2022-11-03T23:11:56Z</v>
      </c>
      <c r="X122" s="43"/>
      <c r="Y122" s="43"/>
      <c r="Z122" s="43"/>
    </row>
    <row r="123" hidden="1">
      <c r="A123" s="43" t="str">
        <f>IFERROR(__xludf.DUMMYFUNCTION("""COMPUTED_VALUE"""),"4993835_1288953")</f>
        <v>4993835_1288953</v>
      </c>
      <c r="B123" s="43" t="str">
        <f>IFERROR(__xludf.DUMMYFUNCTION("""COMPUTED_VALUE"""),"Farah Ben Romdhane")</f>
        <v>Farah Ben Romdhane</v>
      </c>
      <c r="C123" s="43" t="str">
        <f>IFERROR(__xludf.DUMMYFUNCTION("""COMPUTED_VALUE"""),"realization_broken")</f>
        <v>realization_broken</v>
      </c>
      <c r="D123" s="43" t="str">
        <f>IFERROR(__xludf.DUMMYFUNCTION("""COMPUTED_VALUE"""),"No")</f>
        <v>No</v>
      </c>
      <c r="E123" s="43" t="str">
        <f>IFERROR(__xludf.DUMMYFUNCTION("""COMPUTED_VALUE"""),"p_55dc491891c5153a78958bdca1f959cae4b42a2e@inbound.aiesec.org")</f>
        <v>p_55dc491891c5153a78958bdca1f959cae4b42a2e@inbound.aiesec.org</v>
      </c>
      <c r="F123" s="43">
        <f>IFERROR(__xludf.DUMMYFUNCTION("""COMPUTED_VALUE"""),2.7175516E7)</f>
        <v>27175516</v>
      </c>
      <c r="G123" s="43" t="str">
        <f>IFERROR(__xludf.DUMMYFUNCTION("""COMPUTED_VALUE"""),"Tunisia")</f>
        <v>Tunisia</v>
      </c>
      <c r="H123" s="43" t="str">
        <f>IFERROR(__xludf.DUMMYFUNCTION("""COMPUTED_VALUE"""),"Carthage")</f>
        <v>Carthage</v>
      </c>
      <c r="I123" s="43" t="str">
        <f>IFERROR(__xludf.DUMMYFUNCTION("""COMPUTED_VALUE"""),"Turkey")</f>
        <v>Turkey</v>
      </c>
      <c r="J123" s="43" t="str">
        <f>IFERROR(__xludf.DUMMYFUNCTION("""COMPUTED_VALUE"""),"İZMİR")</f>
        <v>İZMİR</v>
      </c>
      <c r="K123" s="44" t="str">
        <f>IFERROR(__xludf.DUMMYFUNCTION("""COMPUTED_VALUE"""),"https://expa.aiesec.org/opportunities/1288953")</f>
        <v>https://expa.aiesec.org/opportunities/1288953</v>
      </c>
      <c r="L123" s="43" t="str">
        <f>IFERROR(__xludf.DUMMYFUNCTION("""COMPUTED_VALUE"""),"GTe")</f>
        <v>GTe</v>
      </c>
      <c r="M123" s="43" t="str">
        <f>IFERROR(__xludf.DUMMYFUNCTION("""COMPUTED_VALUE"""),"long")</f>
        <v>long</v>
      </c>
      <c r="N123" s="45">
        <f>IFERROR(__xludf.DUMMYFUNCTION("""COMPUTED_VALUE"""),44874.0)</f>
        <v>44874</v>
      </c>
      <c r="O123" s="45">
        <f>IFERROR(__xludf.DUMMYFUNCTION("""COMPUTED_VALUE"""),44910.0)</f>
        <v>44910</v>
      </c>
      <c r="P123" s="45">
        <f>IFERROR(__xludf.DUMMYFUNCTION("""COMPUTED_VALUE"""),45275.0)</f>
        <v>45275</v>
      </c>
      <c r="Q123" s="45"/>
      <c r="R123" s="45"/>
      <c r="S123" s="43"/>
      <c r="T123" s="43"/>
      <c r="U123" s="43" t="str">
        <f>IFERROR(__xludf.DUMMYFUNCTION("""COMPUTED_VALUE"""),"English Teacher in Aydın")</f>
        <v>English Teacher in Aydın</v>
      </c>
      <c r="V123" s="43" t="str">
        <f>IFERROR(__xludf.DUMMYFUNCTION("""COMPUTED_VALUE"""),"ISLT")</f>
        <v>ISLT</v>
      </c>
      <c r="W123" s="43" t="str">
        <f>IFERROR(__xludf.DUMMYFUNCTION("""COMPUTED_VALUE"""),"2022-03-19T23:41:27Z")</f>
        <v>2022-03-19T23:41:27Z</v>
      </c>
      <c r="X123" s="43"/>
      <c r="Y123" s="43"/>
      <c r="Z123" s="43"/>
    </row>
    <row r="124" hidden="1">
      <c r="A124" s="43" t="str">
        <f>IFERROR(__xludf.DUMMYFUNCTION("""COMPUTED_VALUE"""),"3119147_1280484")</f>
        <v>3119147_1280484</v>
      </c>
      <c r="B124" s="43" t="str">
        <f>IFERROR(__xludf.DUMMYFUNCTION("""COMPUTED_VALUE"""),"bouhana touaibia")</f>
        <v>bouhana touaibia</v>
      </c>
      <c r="C124" s="43" t="str">
        <f>IFERROR(__xludf.DUMMYFUNCTION("""COMPUTED_VALUE"""),"finished")</f>
        <v>finished</v>
      </c>
      <c r="D124" s="43" t="str">
        <f>IFERROR(__xludf.DUMMYFUNCTION("""COMPUTED_VALUE"""),"No")</f>
        <v>No</v>
      </c>
      <c r="E124" s="43" t="str">
        <f>IFERROR(__xludf.DUMMYFUNCTION("""COMPUTED_VALUE"""),"p_da9e5bef8363fb0e2dd722e011cda989bf054d86@inbound.aiesec.org")</f>
        <v>p_da9e5bef8363fb0e2dd722e011cda989bf054d86@inbound.aiesec.org</v>
      </c>
      <c r="F124" s="43">
        <f>IFERROR(__xludf.DUMMYFUNCTION("""COMPUTED_VALUE"""),6.99820381E8)</f>
        <v>699820381</v>
      </c>
      <c r="G124" s="43" t="str">
        <f>IFERROR(__xludf.DUMMYFUNCTION("""COMPUTED_VALUE"""),"Algeria")</f>
        <v>Algeria</v>
      </c>
      <c r="H124" s="43" t="str">
        <f>IFERROR(__xludf.DUMMYFUNCTION("""COMPUTED_VALUE"""),"Oran")</f>
        <v>Oran</v>
      </c>
      <c r="I124" s="43" t="str">
        <f>IFERROR(__xludf.DUMMYFUNCTION("""COMPUTED_VALUE"""),"Turkey")</f>
        <v>Turkey</v>
      </c>
      <c r="J124" s="43" t="str">
        <f>IFERROR(__xludf.DUMMYFUNCTION("""COMPUTED_VALUE"""),"ISTANBUL WEST")</f>
        <v>ISTANBUL WEST</v>
      </c>
      <c r="K124" s="44" t="str">
        <f>IFERROR(__xludf.DUMMYFUNCTION("""COMPUTED_VALUE"""),"https://expa.aiesec.org/opportunities/1280484")</f>
        <v>https://expa.aiesec.org/opportunities/1280484</v>
      </c>
      <c r="L124" s="43" t="str">
        <f>IFERROR(__xludf.DUMMYFUNCTION("""COMPUTED_VALUE"""),"GTe")</f>
        <v>GTe</v>
      </c>
      <c r="M124" s="43" t="str">
        <f>IFERROR(__xludf.DUMMYFUNCTION("""COMPUTED_VALUE"""),"long")</f>
        <v>long</v>
      </c>
      <c r="N124" s="45">
        <f>IFERROR(__xludf.DUMMYFUNCTION("""COMPUTED_VALUE"""),44874.0)</f>
        <v>44874</v>
      </c>
      <c r="O124" s="45">
        <f>IFERROR(__xludf.DUMMYFUNCTION("""COMPUTED_VALUE"""),44900.0)</f>
        <v>44900</v>
      </c>
      <c r="P124" s="45">
        <f>IFERROR(__xludf.DUMMYFUNCTION("""COMPUTED_VALUE"""),45089.0)</f>
        <v>45089</v>
      </c>
      <c r="Q124" s="45">
        <f>IFERROR(__xludf.DUMMYFUNCTION("""COMPUTED_VALUE"""),44940.0)</f>
        <v>44940</v>
      </c>
      <c r="R124" s="45">
        <f>IFERROR(__xludf.DUMMYFUNCTION("""COMPUTED_VALUE"""),45306.0)</f>
        <v>45306</v>
      </c>
      <c r="S124" s="43"/>
      <c r="T124" s="43"/>
      <c r="U124" s="43" t="str">
        <f>IFERROR(__xludf.DUMMYFUNCTION("""COMPUTED_VALUE"""),"English Teacher in Istanbul")</f>
        <v>English Teacher in Istanbul</v>
      </c>
      <c r="V124" s="43" t="str">
        <f>IFERROR(__xludf.DUMMYFUNCTION("""COMPUTED_VALUE"""),"AIESEC in Bejaia")</f>
        <v>AIESEC in Bejaia</v>
      </c>
      <c r="W124" s="43" t="str">
        <f>IFERROR(__xludf.DUMMYFUNCTION("""COMPUTED_VALUE"""),"2019-02-26T15:24:55Z")</f>
        <v>2019-02-26T15:24:55Z</v>
      </c>
      <c r="X124" s="43"/>
      <c r="Y124" s="43"/>
      <c r="Z124" s="43"/>
    </row>
    <row r="125" hidden="1">
      <c r="A125" s="43" t="str">
        <f>IFERROR(__xludf.DUMMYFUNCTION("""COMPUTED_VALUE"""),"5150925_1262994")</f>
        <v>5150925_1262994</v>
      </c>
      <c r="B125" s="43" t="str">
        <f>IFERROR(__xludf.DUMMYFUNCTION("""COMPUTED_VALUE"""),"Ahlem Hadiouche")</f>
        <v>Ahlem Hadiouche</v>
      </c>
      <c r="C125" s="43" t="str">
        <f>IFERROR(__xludf.DUMMYFUNCTION("""COMPUTED_VALUE"""),"completed")</f>
        <v>completed</v>
      </c>
      <c r="D125" s="43" t="str">
        <f>IFERROR(__xludf.DUMMYFUNCTION("""COMPUTED_VALUE"""),"No")</f>
        <v>No</v>
      </c>
      <c r="E125" s="43" t="str">
        <f>IFERROR(__xludf.DUMMYFUNCTION("""COMPUTED_VALUE"""),"p_7eaa5957c561eac8e38de53c2d1614a89b7b2ce7@inbound.aiesec.org")</f>
        <v>p_7eaa5957c561eac8e38de53c2d1614a89b7b2ce7@inbound.aiesec.org</v>
      </c>
      <c r="F125" s="43">
        <f>IFERROR(__xludf.DUMMYFUNCTION("""COMPUTED_VALUE"""),5.358609952E9)</f>
        <v>5358609952</v>
      </c>
      <c r="G125" s="43" t="str">
        <f>IFERROR(__xludf.DUMMYFUNCTION("""COMPUTED_VALUE"""),"Algeria")</f>
        <v>Algeria</v>
      </c>
      <c r="H125" s="43" t="str">
        <f>IFERROR(__xludf.DUMMYFUNCTION("""COMPUTED_VALUE"""),"Babez")</f>
        <v>Babez</v>
      </c>
      <c r="I125" s="43" t="str">
        <f>IFERROR(__xludf.DUMMYFUNCTION("""COMPUTED_VALUE"""),"Turkey")</f>
        <v>Turkey</v>
      </c>
      <c r="J125" s="43" t="str">
        <f>IFERROR(__xludf.DUMMYFUNCTION("""COMPUTED_VALUE"""),"GAZIANTEP")</f>
        <v>GAZIANTEP</v>
      </c>
      <c r="K125" s="44" t="str">
        <f>IFERROR(__xludf.DUMMYFUNCTION("""COMPUTED_VALUE"""),"https://expa.aiesec.org/opportunities/1262994")</f>
        <v>https://expa.aiesec.org/opportunities/1262994</v>
      </c>
      <c r="L125" s="43" t="str">
        <f>IFERROR(__xludf.DUMMYFUNCTION("""COMPUTED_VALUE"""),"GTe")</f>
        <v>GTe</v>
      </c>
      <c r="M125" s="43" t="str">
        <f>IFERROR(__xludf.DUMMYFUNCTION("""COMPUTED_VALUE"""),"long")</f>
        <v>long</v>
      </c>
      <c r="N125" s="45">
        <f>IFERROR(__xludf.DUMMYFUNCTION("""COMPUTED_VALUE"""),44875.0)</f>
        <v>44875</v>
      </c>
      <c r="O125" s="45">
        <f>IFERROR(__xludf.DUMMYFUNCTION("""COMPUTED_VALUE"""),44920.0)</f>
        <v>44920</v>
      </c>
      <c r="P125" s="45">
        <f>IFERROR(__xludf.DUMMYFUNCTION("""COMPUTED_VALUE"""),45286.0)</f>
        <v>45286</v>
      </c>
      <c r="Q125" s="45">
        <f>IFERROR(__xludf.DUMMYFUNCTION("""COMPUTED_VALUE"""),44917.0)</f>
        <v>44917</v>
      </c>
      <c r="R125" s="45">
        <f>IFERROR(__xludf.DUMMYFUNCTION("""COMPUTED_VALUE"""),45287.0)</f>
        <v>45287</v>
      </c>
      <c r="S125" s="43"/>
      <c r="T125" s="43"/>
      <c r="U125" s="43" t="str">
        <f>IFERROR(__xludf.DUMMYFUNCTION("""COMPUTED_VALUE"""),"English Teacher ")</f>
        <v>English Teacher </v>
      </c>
      <c r="V125" s="43" t="str">
        <f>IFERROR(__xludf.DUMMYFUNCTION("""COMPUTED_VALUE"""),"AIESEC in Babez")</f>
        <v>AIESEC in Babez</v>
      </c>
      <c r="W125" s="43" t="str">
        <f>IFERROR(__xludf.DUMMYFUNCTION("""COMPUTED_VALUE"""),"2022-11-10T14:53:16Z")</f>
        <v>2022-11-10T14:53:16Z</v>
      </c>
      <c r="X125" s="43"/>
      <c r="Y125" s="43"/>
      <c r="Z125" s="43"/>
    </row>
    <row r="126" hidden="1">
      <c r="A126" s="43" t="str">
        <f>IFERROR(__xludf.DUMMYFUNCTION("""COMPUTED_VALUE"""),"5149766_1284452")</f>
        <v>5149766_1284452</v>
      </c>
      <c r="B126" s="43" t="str">
        <f>IFERROR(__xludf.DUMMYFUNCTION("""COMPUTED_VALUE"""),"Imtinen Gribaa")</f>
        <v>Imtinen Gribaa</v>
      </c>
      <c r="C126" s="43" t="str">
        <f>IFERROR(__xludf.DUMMYFUNCTION("""COMPUTED_VALUE"""),"finished")</f>
        <v>finished</v>
      </c>
      <c r="D126" s="43" t="str">
        <f>IFERROR(__xludf.DUMMYFUNCTION("""COMPUTED_VALUE"""),"No")</f>
        <v>No</v>
      </c>
      <c r="E126" s="43" t="str">
        <f>IFERROR(__xludf.DUMMYFUNCTION("""COMPUTED_VALUE"""),"p_1893c5518a450c241f4325c47d7e44ad3e585852@inbound.aiesec.org")</f>
        <v>p_1893c5518a450c241f4325c47d7e44ad3e585852@inbound.aiesec.org</v>
      </c>
      <c r="F126" s="43">
        <f>IFERROR(__xludf.DUMMYFUNCTION("""COMPUTED_VALUE"""),5.3701614E7)</f>
        <v>53701614</v>
      </c>
      <c r="G126" s="43" t="str">
        <f>IFERROR(__xludf.DUMMYFUNCTION("""COMPUTED_VALUE"""),"Tunisia")</f>
        <v>Tunisia</v>
      </c>
      <c r="H126" s="43" t="str">
        <f>IFERROR(__xludf.DUMMYFUNCTION("""COMPUTED_VALUE"""),"HADRUMET")</f>
        <v>HADRUMET</v>
      </c>
      <c r="I126" s="43" t="str">
        <f>IFERROR(__xludf.DUMMYFUNCTION("""COMPUTED_VALUE"""),"Turkey")</f>
        <v>Turkey</v>
      </c>
      <c r="J126" s="43" t="str">
        <f>IFERROR(__xludf.DUMMYFUNCTION("""COMPUTED_VALUE"""),"KONYA")</f>
        <v>KONYA</v>
      </c>
      <c r="K126" s="44" t="str">
        <f>IFERROR(__xludf.DUMMYFUNCTION("""COMPUTED_VALUE"""),"https://expa.aiesec.org/opportunities/1284452")</f>
        <v>https://expa.aiesec.org/opportunities/1284452</v>
      </c>
      <c r="L126" s="43" t="str">
        <f>IFERROR(__xludf.DUMMYFUNCTION("""COMPUTED_VALUE"""),"GTe")</f>
        <v>GTe</v>
      </c>
      <c r="M126" s="43" t="str">
        <f>IFERROR(__xludf.DUMMYFUNCTION("""COMPUTED_VALUE"""),"long")</f>
        <v>long</v>
      </c>
      <c r="N126" s="45">
        <f>IFERROR(__xludf.DUMMYFUNCTION("""COMPUTED_VALUE"""),44877.0)</f>
        <v>44877</v>
      </c>
      <c r="O126" s="45">
        <f>IFERROR(__xludf.DUMMYFUNCTION("""COMPUTED_VALUE"""),44896.0)</f>
        <v>44896</v>
      </c>
      <c r="P126" s="45">
        <f>IFERROR(__xludf.DUMMYFUNCTION("""COMPUTED_VALUE"""),45261.0)</f>
        <v>45261</v>
      </c>
      <c r="Q126" s="45">
        <f>IFERROR(__xludf.DUMMYFUNCTION("""COMPUTED_VALUE"""),44923.0)</f>
        <v>44923</v>
      </c>
      <c r="R126" s="45">
        <f>IFERROR(__xludf.DUMMYFUNCTION("""COMPUTED_VALUE"""),45288.0)</f>
        <v>45288</v>
      </c>
      <c r="S126" s="43"/>
      <c r="T126" s="43"/>
      <c r="U126" s="43" t="str">
        <f>IFERROR(__xludf.DUMMYFUNCTION("""COMPUTED_VALUE"""),"English Teacher at Teachera")</f>
        <v>English Teacher at Teachera</v>
      </c>
      <c r="V126" s="43" t="str">
        <f>IFERROR(__xludf.DUMMYFUNCTION("""COMPUTED_VALUE"""),"FLSH Sousse")</f>
        <v>FLSH Sousse</v>
      </c>
      <c r="W126" s="43" t="str">
        <f>IFERROR(__xludf.DUMMYFUNCTION("""COMPUTED_VALUE"""),"2022-11-08T19:09:22Z")</f>
        <v>2022-11-08T19:09:22Z</v>
      </c>
      <c r="X126" s="43"/>
      <c r="Y126" s="43"/>
      <c r="Z126" s="43"/>
    </row>
    <row r="127" hidden="1">
      <c r="A127" s="43" t="str">
        <f>IFERROR(__xludf.DUMMYFUNCTION("""COMPUTED_VALUE"""),"5093021_1286368")</f>
        <v>5093021_1286368</v>
      </c>
      <c r="B127" s="43" t="str">
        <f>IFERROR(__xludf.DUMMYFUNCTION("""COMPUTED_VALUE"""),"Meryeme Radoui")</f>
        <v>Meryeme Radoui</v>
      </c>
      <c r="C127" s="43" t="str">
        <f>IFERROR(__xludf.DUMMYFUNCTION("""COMPUTED_VALUE"""),"completed")</f>
        <v>completed</v>
      </c>
      <c r="D127" s="43" t="str">
        <f>IFERROR(__xludf.DUMMYFUNCTION("""COMPUTED_VALUE"""),"No")</f>
        <v>No</v>
      </c>
      <c r="E127" s="43" t="str">
        <f>IFERROR(__xludf.DUMMYFUNCTION("""COMPUTED_VALUE"""),"p_e9c135e6d3937a361dd786778d518a045a7f9f82@inbound.aiesec.org")</f>
        <v>p_e9c135e6d3937a361dd786778d518a045a7f9f82@inbound.aiesec.org</v>
      </c>
      <c r="F127" s="43"/>
      <c r="G127" s="43" t="str">
        <f>IFERROR(__xludf.DUMMYFUNCTION("""COMPUTED_VALUE"""),"Morocco")</f>
        <v>Morocco</v>
      </c>
      <c r="H127" s="43" t="str">
        <f>IFERROR(__xludf.DUMMYFUNCTION("""COMPUTED_VALUE"""),"Fez")</f>
        <v>Fez</v>
      </c>
      <c r="I127" s="43" t="str">
        <f>IFERROR(__xludf.DUMMYFUNCTION("""COMPUTED_VALUE"""),"Turkey")</f>
        <v>Turkey</v>
      </c>
      <c r="J127" s="43" t="str">
        <f>IFERROR(__xludf.DUMMYFUNCTION("""COMPUTED_VALUE"""),"ISTANBUL ASIA")</f>
        <v>ISTANBUL ASIA</v>
      </c>
      <c r="K127" s="44" t="str">
        <f>IFERROR(__xludf.DUMMYFUNCTION("""COMPUTED_VALUE"""),"https://expa.aiesec.org/opportunities/1286368")</f>
        <v>https://expa.aiesec.org/opportunities/1286368</v>
      </c>
      <c r="L127" s="43" t="str">
        <f>IFERROR(__xludf.DUMMYFUNCTION("""COMPUTED_VALUE"""),"GTe")</f>
        <v>GTe</v>
      </c>
      <c r="M127" s="43" t="str">
        <f>IFERROR(__xludf.DUMMYFUNCTION("""COMPUTED_VALUE"""),"long")</f>
        <v>long</v>
      </c>
      <c r="N127" s="45">
        <f>IFERROR(__xludf.DUMMYFUNCTION("""COMPUTED_VALUE"""),44881.0)</f>
        <v>44881</v>
      </c>
      <c r="O127" s="45">
        <f>IFERROR(__xludf.DUMMYFUNCTION("""COMPUTED_VALUE"""),44892.0)</f>
        <v>44892</v>
      </c>
      <c r="P127" s="45">
        <f>IFERROR(__xludf.DUMMYFUNCTION("""COMPUTED_VALUE"""),45256.0)</f>
        <v>45256</v>
      </c>
      <c r="Q127" s="45">
        <f>IFERROR(__xludf.DUMMYFUNCTION("""COMPUTED_VALUE"""),44884.0)</f>
        <v>44884</v>
      </c>
      <c r="R127" s="45">
        <f>IFERROR(__xludf.DUMMYFUNCTION("""COMPUTED_VALUE"""),45256.0)</f>
        <v>45256</v>
      </c>
      <c r="S127" s="43"/>
      <c r="T127" s="43"/>
      <c r="U127" s="43" t="str">
        <f>IFERROR(__xludf.DUMMYFUNCTION("""COMPUTED_VALUE"""),"English Teacher")</f>
        <v>English Teacher</v>
      </c>
      <c r="V127" s="43" t="str">
        <f>IFERROR(__xludf.DUMMYFUNCTION("""COMPUTED_VALUE"""),"-")</f>
        <v>-</v>
      </c>
      <c r="W127" s="43" t="str">
        <f>IFERROR(__xludf.DUMMYFUNCTION("""COMPUTED_VALUE"""),"2022-08-13T19:04:25Z")</f>
        <v>2022-08-13T19:04:25Z</v>
      </c>
      <c r="X127" s="43"/>
      <c r="Y127" s="43"/>
      <c r="Z127" s="43"/>
    </row>
    <row r="128" hidden="1">
      <c r="A128" s="43" t="str">
        <f>IFERROR(__xludf.DUMMYFUNCTION("""COMPUTED_VALUE"""),"5155307_1284289")</f>
        <v>5155307_1284289</v>
      </c>
      <c r="B128" s="43" t="str">
        <f>IFERROR(__xludf.DUMMYFUNCTION("""COMPUTED_VALUE"""),"Mariem Bouhlila")</f>
        <v>Mariem Bouhlila</v>
      </c>
      <c r="C128" s="43" t="str">
        <f>IFERROR(__xludf.DUMMYFUNCTION("""COMPUTED_VALUE"""),"completed")</f>
        <v>completed</v>
      </c>
      <c r="D128" s="43" t="str">
        <f>IFERROR(__xludf.DUMMYFUNCTION("""COMPUTED_VALUE"""),"No")</f>
        <v>No</v>
      </c>
      <c r="E128" s="43" t="str">
        <f>IFERROR(__xludf.DUMMYFUNCTION("""COMPUTED_VALUE"""),"p_9222910c17cc2c6c154afd794824418da55a9f71@inbound.aiesec.org")</f>
        <v>p_9222910c17cc2c6c154afd794824418da55a9f71@inbound.aiesec.org</v>
      </c>
      <c r="F128" s="43">
        <f>IFERROR(__xludf.DUMMYFUNCTION("""COMPUTED_VALUE"""),2.8091138E7)</f>
        <v>28091138</v>
      </c>
      <c r="G128" s="43" t="str">
        <f>IFERROR(__xludf.DUMMYFUNCTION("""COMPUTED_VALUE"""),"Tunisia")</f>
        <v>Tunisia</v>
      </c>
      <c r="H128" s="43" t="str">
        <f>IFERROR(__xludf.DUMMYFUNCTION("""COMPUTED_VALUE"""),"Tacapes")</f>
        <v>Tacapes</v>
      </c>
      <c r="I128" s="43" t="str">
        <f>IFERROR(__xludf.DUMMYFUNCTION("""COMPUTED_VALUE"""),"Turkey")</f>
        <v>Turkey</v>
      </c>
      <c r="J128" s="43" t="str">
        <f>IFERROR(__xludf.DUMMYFUNCTION("""COMPUTED_VALUE"""),"KOCAELI")</f>
        <v>KOCAELI</v>
      </c>
      <c r="K128" s="44" t="str">
        <f>IFERROR(__xludf.DUMMYFUNCTION("""COMPUTED_VALUE"""),"https://expa.aiesec.org/opportunities/1284289")</f>
        <v>https://expa.aiesec.org/opportunities/1284289</v>
      </c>
      <c r="L128" s="43" t="str">
        <f>IFERROR(__xludf.DUMMYFUNCTION("""COMPUTED_VALUE"""),"GTe")</f>
        <v>GTe</v>
      </c>
      <c r="M128" s="43" t="str">
        <f>IFERROR(__xludf.DUMMYFUNCTION("""COMPUTED_VALUE"""),"long")</f>
        <v>long</v>
      </c>
      <c r="N128" s="45">
        <f>IFERROR(__xludf.DUMMYFUNCTION("""COMPUTED_VALUE"""),44883.0)</f>
        <v>44883</v>
      </c>
      <c r="O128" s="45">
        <f>IFERROR(__xludf.DUMMYFUNCTION("""COMPUTED_VALUE"""),44905.0)</f>
        <v>44905</v>
      </c>
      <c r="P128" s="45">
        <f>IFERROR(__xludf.DUMMYFUNCTION("""COMPUTED_VALUE"""),45107.0)</f>
        <v>45107</v>
      </c>
      <c r="Q128" s="45">
        <f>IFERROR(__xludf.DUMMYFUNCTION("""COMPUTED_VALUE"""),44912.0)</f>
        <v>44912</v>
      </c>
      <c r="R128" s="45">
        <f>IFERROR(__xludf.DUMMYFUNCTION("""COMPUTED_VALUE"""),45115.0)</f>
        <v>45115</v>
      </c>
      <c r="S128" s="43"/>
      <c r="T128" s="43"/>
      <c r="U128" s="43" t="str">
        <f>IFERROR(__xludf.DUMMYFUNCTION("""COMPUTED_VALUE"""),"English Teacher in Limon Ağacı Kindergarten")</f>
        <v>English Teacher in Limon Ağacı Kindergarten</v>
      </c>
      <c r="V128" s="43" t="str">
        <f>IFERROR(__xludf.DUMMYFUNCTION("""COMPUTED_VALUE"""),"ISAM GABES")</f>
        <v>ISAM GABES</v>
      </c>
      <c r="W128" s="43" t="str">
        <f>IFERROR(__xludf.DUMMYFUNCTION("""COMPUTED_VALUE"""),"2022-11-18T13:55:13Z")</f>
        <v>2022-11-18T13:55:13Z</v>
      </c>
      <c r="X128" s="43"/>
      <c r="Y128" s="43"/>
      <c r="Z128" s="43"/>
    </row>
    <row r="129" hidden="1">
      <c r="A129" s="43" t="str">
        <f>IFERROR(__xludf.DUMMYFUNCTION("""COMPUTED_VALUE"""),"5155435_1277333")</f>
        <v>5155435_1277333</v>
      </c>
      <c r="B129" s="43" t="str">
        <f>IFERROR(__xludf.DUMMYFUNCTION("""COMPUTED_VALUE"""),"Abdeladhim Dhia E Cheraa")</f>
        <v>Abdeladhim Dhia E Cheraa</v>
      </c>
      <c r="C129" s="43" t="str">
        <f>IFERROR(__xludf.DUMMYFUNCTION("""COMPUTED_VALUE"""),"completed")</f>
        <v>completed</v>
      </c>
      <c r="D129" s="43" t="str">
        <f>IFERROR(__xludf.DUMMYFUNCTION("""COMPUTED_VALUE"""),"No")</f>
        <v>No</v>
      </c>
      <c r="E129" s="43" t="str">
        <f>IFERROR(__xludf.DUMMYFUNCTION("""COMPUTED_VALUE"""),"p_ff13a151b563d4d7f755bdc5fa1302c5afaee9da@inbound.aiesec.org")</f>
        <v>p_ff13a151b563d4d7f755bdc5fa1302c5afaee9da@inbound.aiesec.org</v>
      </c>
      <c r="F129" s="43"/>
      <c r="G129" s="43" t="str">
        <f>IFERROR(__xludf.DUMMYFUNCTION("""COMPUTED_VALUE"""),"Algeria")</f>
        <v>Algeria</v>
      </c>
      <c r="H129" s="43" t="str">
        <f>IFERROR(__xludf.DUMMYFUNCTION("""COMPUTED_VALUE"""),"Ouargla")</f>
        <v>Ouargla</v>
      </c>
      <c r="I129" s="43" t="str">
        <f>IFERROR(__xludf.DUMMYFUNCTION("""COMPUTED_VALUE"""),"Turkey")</f>
        <v>Turkey</v>
      </c>
      <c r="J129" s="43" t="str">
        <f>IFERROR(__xludf.DUMMYFUNCTION("""COMPUTED_VALUE"""),"KOCAELI")</f>
        <v>KOCAELI</v>
      </c>
      <c r="K129" s="44" t="str">
        <f>IFERROR(__xludf.DUMMYFUNCTION("""COMPUTED_VALUE"""),"https://expa.aiesec.org/opportunities/1277333")</f>
        <v>https://expa.aiesec.org/opportunities/1277333</v>
      </c>
      <c r="L129" s="43" t="str">
        <f>IFERROR(__xludf.DUMMYFUNCTION("""COMPUTED_VALUE"""),"GTe")</f>
        <v>GTe</v>
      </c>
      <c r="M129" s="43" t="str">
        <f>IFERROR(__xludf.DUMMYFUNCTION("""COMPUTED_VALUE"""),"long")</f>
        <v>long</v>
      </c>
      <c r="N129" s="45">
        <f>IFERROR(__xludf.DUMMYFUNCTION("""COMPUTED_VALUE"""),44886.0)</f>
        <v>44886</v>
      </c>
      <c r="O129" s="45">
        <f>IFERROR(__xludf.DUMMYFUNCTION("""COMPUTED_VALUE"""),44905.0)</f>
        <v>44905</v>
      </c>
      <c r="P129" s="45">
        <f>IFERROR(__xludf.DUMMYFUNCTION("""COMPUTED_VALUE"""),45270.0)</f>
        <v>45270</v>
      </c>
      <c r="Q129" s="45">
        <f>IFERROR(__xludf.DUMMYFUNCTION("""COMPUTED_VALUE"""),44912.0)</f>
        <v>44912</v>
      </c>
      <c r="R129" s="45">
        <f>IFERROR(__xludf.DUMMYFUNCTION("""COMPUTED_VALUE"""),45232.0)</f>
        <v>45232</v>
      </c>
      <c r="S129" s="43"/>
      <c r="T129" s="43"/>
      <c r="U129" s="43" t="str">
        <f>IFERROR(__xludf.DUMMYFUNCTION("""COMPUTED_VALUE"""),"English Teacher in English Time (Long)")</f>
        <v>English Teacher in English Time (Long)</v>
      </c>
      <c r="V129" s="43" t="str">
        <f>IFERROR(__xludf.DUMMYFUNCTION("""COMPUTED_VALUE"""),"-")</f>
        <v>-</v>
      </c>
      <c r="W129" s="43" t="str">
        <f>IFERROR(__xludf.DUMMYFUNCTION("""COMPUTED_VALUE"""),"2022-11-18T17:41:47Z")</f>
        <v>2022-11-18T17:41:47Z</v>
      </c>
      <c r="X129" s="43"/>
      <c r="Y129" s="43"/>
      <c r="Z129" s="43"/>
    </row>
    <row r="130" hidden="1">
      <c r="A130" s="43" t="str">
        <f>IFERROR(__xludf.DUMMYFUNCTION("""COMPUTED_VALUE"""),"5070398_1284447")</f>
        <v>5070398_1284447</v>
      </c>
      <c r="B130" s="43" t="str">
        <f>IFERROR(__xludf.DUMMYFUNCTION("""COMPUTED_VALUE"""),"Dia Eddine Bassou")</f>
        <v>Dia Eddine Bassou</v>
      </c>
      <c r="C130" s="43" t="str">
        <f>IFERROR(__xludf.DUMMYFUNCTION("""COMPUTED_VALUE"""),"realization_broken")</f>
        <v>realization_broken</v>
      </c>
      <c r="D130" s="43" t="str">
        <f>IFERROR(__xludf.DUMMYFUNCTION("""COMPUTED_VALUE"""),"No")</f>
        <v>No</v>
      </c>
      <c r="E130" s="43" t="str">
        <f>IFERROR(__xludf.DUMMYFUNCTION("""COMPUTED_VALUE"""),"p_424ae3215bf1bd09483d104b3425d657d6d3d283@inbound.aiesec.org")</f>
        <v>p_424ae3215bf1bd09483d104b3425d657d6d3d283@inbound.aiesec.org</v>
      </c>
      <c r="F130" s="43">
        <f>IFERROR(__xludf.DUMMYFUNCTION("""COMPUTED_VALUE"""),6.59552164E8)</f>
        <v>659552164</v>
      </c>
      <c r="G130" s="43" t="str">
        <f>IFERROR(__xludf.DUMMYFUNCTION("""COMPUTED_VALUE"""),"Algeria")</f>
        <v>Algeria</v>
      </c>
      <c r="H130" s="43" t="str">
        <f>IFERROR(__xludf.DUMMYFUNCTION("""COMPUTED_VALUE"""),"Ouargla")</f>
        <v>Ouargla</v>
      </c>
      <c r="I130" s="43" t="str">
        <f>IFERROR(__xludf.DUMMYFUNCTION("""COMPUTED_VALUE"""),"Turkey")</f>
        <v>Turkey</v>
      </c>
      <c r="J130" s="43" t="str">
        <f>IFERROR(__xludf.DUMMYFUNCTION("""COMPUTED_VALUE"""),"KONYA")</f>
        <v>KONYA</v>
      </c>
      <c r="K130" s="44" t="str">
        <f>IFERROR(__xludf.DUMMYFUNCTION("""COMPUTED_VALUE"""),"https://expa.aiesec.org/opportunities/1284447")</f>
        <v>https://expa.aiesec.org/opportunities/1284447</v>
      </c>
      <c r="L130" s="43" t="str">
        <f>IFERROR(__xludf.DUMMYFUNCTION("""COMPUTED_VALUE"""),"GTe")</f>
        <v>GTe</v>
      </c>
      <c r="M130" s="43" t="str">
        <f>IFERROR(__xludf.DUMMYFUNCTION("""COMPUTED_VALUE"""),"long")</f>
        <v>long</v>
      </c>
      <c r="N130" s="45">
        <f>IFERROR(__xludf.DUMMYFUNCTION("""COMPUTED_VALUE"""),44887.0)</f>
        <v>44887</v>
      </c>
      <c r="O130" s="45">
        <f>IFERROR(__xludf.DUMMYFUNCTION("""COMPUTED_VALUE"""),44941.0)</f>
        <v>44941</v>
      </c>
      <c r="P130" s="45">
        <f>IFERROR(__xludf.DUMMYFUNCTION("""COMPUTED_VALUE"""),45306.0)</f>
        <v>45306</v>
      </c>
      <c r="Q130" s="45"/>
      <c r="R130" s="45"/>
      <c r="S130" s="43"/>
      <c r="T130" s="43"/>
      <c r="U130" s="43" t="str">
        <f>IFERROR(__xludf.DUMMYFUNCTION("""COMPUTED_VALUE"""),"English Teacher at Teachera ")</f>
        <v>English Teacher at Teachera </v>
      </c>
      <c r="V130" s="43" t="str">
        <f>IFERROR(__xludf.DUMMYFUNCTION("""COMPUTED_VALUE"""),"AIESEC in Ouargla")</f>
        <v>AIESEC in Ouargla</v>
      </c>
      <c r="W130" s="43" t="str">
        <f>IFERROR(__xludf.DUMMYFUNCTION("""COMPUTED_VALUE"""),"2022-06-08T22:18:13Z")</f>
        <v>2022-06-08T22:18:13Z</v>
      </c>
      <c r="X130" s="43"/>
      <c r="Y130" s="43"/>
      <c r="Z130" s="43"/>
    </row>
    <row r="131" hidden="1">
      <c r="A131" s="43" t="str">
        <f>IFERROR(__xludf.DUMMYFUNCTION("""COMPUTED_VALUE"""),"4950488_1286059")</f>
        <v>4950488_1286059</v>
      </c>
      <c r="B131" s="43" t="str">
        <f>IFERROR(__xludf.DUMMYFUNCTION("""COMPUTED_VALUE"""),"Sathishka Madushani")</f>
        <v>Sathishka Madushani</v>
      </c>
      <c r="C131" s="43" t="str">
        <f>IFERROR(__xludf.DUMMYFUNCTION("""COMPUTED_VALUE"""),"realized")</f>
        <v>realized</v>
      </c>
      <c r="D131" s="43" t="str">
        <f>IFERROR(__xludf.DUMMYFUNCTION("""COMPUTED_VALUE"""),"No")</f>
        <v>No</v>
      </c>
      <c r="E131" s="43" t="str">
        <f>IFERROR(__xludf.DUMMYFUNCTION("""COMPUTED_VALUE"""),"p_bd6f3482e237190a81682f203d720ee1abe778a1@inbound.aiesec.org")</f>
        <v>p_bd6f3482e237190a81682f203d720ee1abe778a1@inbound.aiesec.org</v>
      </c>
      <c r="F131" s="43">
        <f>IFERROR(__xludf.DUMMYFUNCTION("""COMPUTED_VALUE"""),7.7253639E8)</f>
        <v>772536390</v>
      </c>
      <c r="G131" s="43" t="str">
        <f>IFERROR(__xludf.DUMMYFUNCTION("""COMPUTED_VALUE"""),"Sri Lanka")</f>
        <v>Sri Lanka</v>
      </c>
      <c r="H131" s="43" t="str">
        <f>IFERROR(__xludf.DUMMYFUNCTION("""COMPUTED_VALUE"""),"COLOMBO CENTRAL")</f>
        <v>COLOMBO CENTRAL</v>
      </c>
      <c r="I131" s="43" t="str">
        <f>IFERROR(__xludf.DUMMYFUNCTION("""COMPUTED_VALUE"""),"Turkey")</f>
        <v>Turkey</v>
      </c>
      <c r="J131" s="43" t="str">
        <f>IFERROR(__xludf.DUMMYFUNCTION("""COMPUTED_VALUE"""),"İZMİR")</f>
        <v>İZMİR</v>
      </c>
      <c r="K131" s="44" t="str">
        <f>IFERROR(__xludf.DUMMYFUNCTION("""COMPUTED_VALUE"""),"https://expa.aiesec.org/opportunities/1286059")</f>
        <v>https://expa.aiesec.org/opportunities/1286059</v>
      </c>
      <c r="L131" s="43" t="str">
        <f>IFERROR(__xludf.DUMMYFUNCTION("""COMPUTED_VALUE"""),"GTe")</f>
        <v>GTe</v>
      </c>
      <c r="M131" s="43" t="str">
        <f>IFERROR(__xludf.DUMMYFUNCTION("""COMPUTED_VALUE"""),"long")</f>
        <v>long</v>
      </c>
      <c r="N131" s="45">
        <f>IFERROR(__xludf.DUMMYFUNCTION("""COMPUTED_VALUE"""),44889.0)</f>
        <v>44889</v>
      </c>
      <c r="O131" s="45">
        <f>IFERROR(__xludf.DUMMYFUNCTION("""COMPUTED_VALUE"""),44900.0)</f>
        <v>44900</v>
      </c>
      <c r="P131" s="45">
        <f>IFERROR(__xludf.DUMMYFUNCTION("""COMPUTED_VALUE"""),45269.0)</f>
        <v>45269</v>
      </c>
      <c r="Q131" s="45">
        <f>IFERROR(__xludf.DUMMYFUNCTION("""COMPUTED_VALUE"""),44954.0)</f>
        <v>44954</v>
      </c>
      <c r="R131" s="45">
        <f>IFERROR(__xludf.DUMMYFUNCTION("""COMPUTED_VALUE"""),45323.0)</f>
        <v>45323</v>
      </c>
      <c r="S131" s="43"/>
      <c r="T131" s="43"/>
      <c r="U131" s="43" t="str">
        <f>IFERROR(__xludf.DUMMYFUNCTION("""COMPUTED_VALUE"""),"English Teacher in Aydın")</f>
        <v>English Teacher in Aydın</v>
      </c>
      <c r="V131" s="43" t="str">
        <f>IFERROR(__xludf.DUMMYFUNCTION("""COMPUTED_VALUE"""),"University of Colombo")</f>
        <v>University of Colombo</v>
      </c>
      <c r="W131" s="43" t="str">
        <f>IFERROR(__xludf.DUMMYFUNCTION("""COMPUTED_VALUE"""),"2022-02-26T09:09:41Z")</f>
        <v>2022-02-26T09:09:41Z</v>
      </c>
      <c r="X131" s="43"/>
      <c r="Y131" s="43"/>
      <c r="Z131" s="43"/>
    </row>
    <row r="132" hidden="1">
      <c r="A132" s="43" t="str">
        <f>IFERROR(__xludf.DUMMYFUNCTION("""COMPUTED_VALUE"""),"5158525_1281195")</f>
        <v>5158525_1281195</v>
      </c>
      <c r="B132" s="43" t="str">
        <f>IFERROR(__xludf.DUMMYFUNCTION("""COMPUTED_VALUE"""),"Siwar Guediche")</f>
        <v>Siwar Guediche</v>
      </c>
      <c r="C132" s="43" t="str">
        <f>IFERROR(__xludf.DUMMYFUNCTION("""COMPUTED_VALUE"""),"realized")</f>
        <v>realized</v>
      </c>
      <c r="D132" s="43" t="str">
        <f>IFERROR(__xludf.DUMMYFUNCTION("""COMPUTED_VALUE"""),"No")</f>
        <v>No</v>
      </c>
      <c r="E132" s="43" t="str">
        <f>IFERROR(__xludf.DUMMYFUNCTION("""COMPUTED_VALUE"""),"p_0210435ce62d93e12501ad37c764390d9cf4f13c@inbound.aiesec.org")</f>
        <v>p_0210435ce62d93e12501ad37c764390d9cf4f13c@inbound.aiesec.org</v>
      </c>
      <c r="F132" s="43">
        <f>IFERROR(__xludf.DUMMYFUNCTION("""COMPUTED_VALUE"""),5.6132905E7)</f>
        <v>56132905</v>
      </c>
      <c r="G132" s="43" t="str">
        <f>IFERROR(__xludf.DUMMYFUNCTION("""COMPUTED_VALUE"""),"Tunisia")</f>
        <v>Tunisia</v>
      </c>
      <c r="H132" s="43" t="str">
        <f>IFERROR(__xludf.DUMMYFUNCTION("""COMPUTED_VALUE"""),"HADRUMET")</f>
        <v>HADRUMET</v>
      </c>
      <c r="I132" s="43" t="str">
        <f>IFERROR(__xludf.DUMMYFUNCTION("""COMPUTED_VALUE"""),"Turkey")</f>
        <v>Turkey</v>
      </c>
      <c r="J132" s="43" t="str">
        <f>IFERROR(__xludf.DUMMYFUNCTION("""COMPUTED_VALUE"""),"BURSA")</f>
        <v>BURSA</v>
      </c>
      <c r="K132" s="44" t="str">
        <f>IFERROR(__xludf.DUMMYFUNCTION("""COMPUTED_VALUE"""),"https://expa.aiesec.org/opportunities/1281195")</f>
        <v>https://expa.aiesec.org/opportunities/1281195</v>
      </c>
      <c r="L132" s="43" t="str">
        <f>IFERROR(__xludf.DUMMYFUNCTION("""COMPUTED_VALUE"""),"GTe")</f>
        <v>GTe</v>
      </c>
      <c r="M132" s="43" t="str">
        <f>IFERROR(__xludf.DUMMYFUNCTION("""COMPUTED_VALUE"""),"long")</f>
        <v>long</v>
      </c>
      <c r="N132" s="45">
        <f>IFERROR(__xludf.DUMMYFUNCTION("""COMPUTED_VALUE"""),44890.0)</f>
        <v>44890</v>
      </c>
      <c r="O132" s="45">
        <f>IFERROR(__xludf.DUMMYFUNCTION("""COMPUTED_VALUE"""),44907.0)</f>
        <v>44907</v>
      </c>
      <c r="P132" s="45">
        <f>IFERROR(__xludf.DUMMYFUNCTION("""COMPUTED_VALUE"""),45272.0)</f>
        <v>45272</v>
      </c>
      <c r="Q132" s="45">
        <f>IFERROR(__xludf.DUMMYFUNCTION("""COMPUTED_VALUE"""),44901.0)</f>
        <v>44901</v>
      </c>
      <c r="R132" s="45">
        <f>IFERROR(__xludf.DUMMYFUNCTION("""COMPUTED_VALUE"""),45272.0)</f>
        <v>45272</v>
      </c>
      <c r="S132" s="43"/>
      <c r="T132" s="43"/>
      <c r="U132" s="43" t="str">
        <f>IFERROR(__xludf.DUMMYFUNCTION("""COMPUTED_VALUE"""),"ENGLISH TEACHING")</f>
        <v>ENGLISH TEACHING</v>
      </c>
      <c r="V132" s="43" t="str">
        <f>IFERROR(__xludf.DUMMYFUNCTION("""COMPUTED_VALUE"""),"FLSH Sousse")</f>
        <v>FLSH Sousse</v>
      </c>
      <c r="W132" s="43" t="str">
        <f>IFERROR(__xludf.DUMMYFUNCTION("""COMPUTED_VALUE"""),"2022-11-24T21:48:41Z")</f>
        <v>2022-11-24T21:48:41Z</v>
      </c>
      <c r="X132" s="43"/>
      <c r="Y132" s="43"/>
      <c r="Z132" s="43"/>
    </row>
    <row r="133" hidden="1">
      <c r="A133" s="43" t="str">
        <f>IFERROR(__xludf.DUMMYFUNCTION("""COMPUTED_VALUE"""),"5117276_1288951")</f>
        <v>5117276_1288951</v>
      </c>
      <c r="B133" s="43" t="str">
        <f>IFERROR(__xludf.DUMMYFUNCTION("""COMPUTED_VALUE"""),"Joana Tavares")</f>
        <v>Joana Tavares</v>
      </c>
      <c r="C133" s="43" t="str">
        <f>IFERROR(__xludf.DUMMYFUNCTION("""COMPUTED_VALUE"""),"realized")</f>
        <v>realized</v>
      </c>
      <c r="D133" s="43" t="str">
        <f>IFERROR(__xludf.DUMMYFUNCTION("""COMPUTED_VALUE"""),"No")</f>
        <v>No</v>
      </c>
      <c r="E133" s="43" t="str">
        <f>IFERROR(__xludf.DUMMYFUNCTION("""COMPUTED_VALUE"""),"p_96659b33a9e1748f4a70f729afc48a70f7f88cbd@inbound.aiesec.org")</f>
        <v>p_96659b33a9e1748f4a70f729afc48a70f7f88cbd@inbound.aiesec.org</v>
      </c>
      <c r="F133" s="43">
        <f>IFERROR(__xludf.DUMMYFUNCTION("""COMPUTED_VALUE"""),4.7989041527E10)</f>
        <v>47989041527</v>
      </c>
      <c r="G133" s="43" t="str">
        <f>IFERROR(__xludf.DUMMYFUNCTION("""COMPUTED_VALUE"""),"Brazil")</f>
        <v>Brazil</v>
      </c>
      <c r="H133" s="43" t="str">
        <f>IFERROR(__xludf.DUMMYFUNCTION("""COMPUTED_VALUE"""),"BLUMENAU")</f>
        <v>BLUMENAU</v>
      </c>
      <c r="I133" s="43" t="str">
        <f>IFERROR(__xludf.DUMMYFUNCTION("""COMPUTED_VALUE"""),"Turkey")</f>
        <v>Turkey</v>
      </c>
      <c r="J133" s="43" t="str">
        <f>IFERROR(__xludf.DUMMYFUNCTION("""COMPUTED_VALUE"""),"SAKARYA")</f>
        <v>SAKARYA</v>
      </c>
      <c r="K133" s="44" t="str">
        <f>IFERROR(__xludf.DUMMYFUNCTION("""COMPUTED_VALUE"""),"https://expa.aiesec.org/opportunities/1288951")</f>
        <v>https://expa.aiesec.org/opportunities/1288951</v>
      </c>
      <c r="L133" s="43" t="str">
        <f>IFERROR(__xludf.DUMMYFUNCTION("""COMPUTED_VALUE"""),"GTe")</f>
        <v>GTe</v>
      </c>
      <c r="M133" s="43" t="str">
        <f>IFERROR(__xludf.DUMMYFUNCTION("""COMPUTED_VALUE"""),"long")</f>
        <v>long</v>
      </c>
      <c r="N133" s="45">
        <f>IFERROR(__xludf.DUMMYFUNCTION("""COMPUTED_VALUE"""),44890.0)</f>
        <v>44890</v>
      </c>
      <c r="O133" s="45">
        <f>IFERROR(__xludf.DUMMYFUNCTION("""COMPUTED_VALUE"""),45152.0)</f>
        <v>45152</v>
      </c>
      <c r="P133" s="45">
        <f>IFERROR(__xludf.DUMMYFUNCTION("""COMPUTED_VALUE"""),45471.0)</f>
        <v>45471</v>
      </c>
      <c r="Q133" s="45">
        <f>IFERROR(__xludf.DUMMYFUNCTION("""COMPUTED_VALUE"""),45161.0)</f>
        <v>45161</v>
      </c>
      <c r="R133" s="45">
        <f>IFERROR(__xludf.DUMMYFUNCTION("""COMPUTED_VALUE"""),45480.0)</f>
        <v>45480</v>
      </c>
      <c r="S133" s="43"/>
      <c r="T133" s="43"/>
      <c r="U133" s="43" t="str">
        <f>IFERROR(__xludf.DUMMYFUNCTION("""COMPUTED_VALUE"""),"English Teacher | Private Nice Kindergarten")</f>
        <v>English Teacher | Private Nice Kindergarten</v>
      </c>
      <c r="V133" s="43" t="str">
        <f>IFERROR(__xludf.DUMMYFUNCTION("""COMPUTED_VALUE"""),"Blumenau")</f>
        <v>Blumenau</v>
      </c>
      <c r="W133" s="43" t="str">
        <f>IFERROR(__xludf.DUMMYFUNCTION("""COMPUTED_VALUE"""),"2022-09-21T23:44:06Z")</f>
        <v>2022-09-21T23:44:06Z</v>
      </c>
      <c r="X133" s="43"/>
      <c r="Y133" s="43"/>
      <c r="Z133" s="43"/>
    </row>
    <row r="134" hidden="1">
      <c r="A134" s="43" t="str">
        <f>IFERROR(__xludf.DUMMYFUNCTION("""COMPUTED_VALUE"""),"5159567_1291046")</f>
        <v>5159567_1291046</v>
      </c>
      <c r="B134" s="43" t="str">
        <f>IFERROR(__xludf.DUMMYFUNCTION("""COMPUTED_VALUE"""),"Oumayma Mahouachi")</f>
        <v>Oumayma Mahouachi</v>
      </c>
      <c r="C134" s="43" t="str">
        <f>IFERROR(__xludf.DUMMYFUNCTION("""COMPUTED_VALUE"""),"realization_broken")</f>
        <v>realization_broken</v>
      </c>
      <c r="D134" s="43" t="str">
        <f>IFERROR(__xludf.DUMMYFUNCTION("""COMPUTED_VALUE"""),"No")</f>
        <v>No</v>
      </c>
      <c r="E134" s="43" t="str">
        <f>IFERROR(__xludf.DUMMYFUNCTION("""COMPUTED_VALUE"""),"p_515e693cb798707a4d80467e4a38e9726da977a1@inbound.aiesec.org")</f>
        <v>p_515e693cb798707a4d80467e4a38e9726da977a1@inbound.aiesec.org</v>
      </c>
      <c r="F134" s="43">
        <f>IFERROR(__xludf.DUMMYFUNCTION("""COMPUTED_VALUE"""),5.2060799E7)</f>
        <v>52060799</v>
      </c>
      <c r="G134" s="43" t="str">
        <f>IFERROR(__xludf.DUMMYFUNCTION("""COMPUTED_VALUE"""),"Tunisia")</f>
        <v>Tunisia</v>
      </c>
      <c r="H134" s="43" t="str">
        <f>IFERROR(__xludf.DUMMYFUNCTION("""COMPUTED_VALUE"""),"HADRUMET")</f>
        <v>HADRUMET</v>
      </c>
      <c r="I134" s="43" t="str">
        <f>IFERROR(__xludf.DUMMYFUNCTION("""COMPUTED_VALUE"""),"Turkey")</f>
        <v>Turkey</v>
      </c>
      <c r="J134" s="43" t="str">
        <f>IFERROR(__xludf.DUMMYFUNCTION("""COMPUTED_VALUE"""),"DENIZLI")</f>
        <v>DENIZLI</v>
      </c>
      <c r="K134" s="44" t="str">
        <f>IFERROR(__xludf.DUMMYFUNCTION("""COMPUTED_VALUE"""),"https://expa.aiesec.org/opportunities/1291046")</f>
        <v>https://expa.aiesec.org/opportunities/1291046</v>
      </c>
      <c r="L134" s="43" t="str">
        <f>IFERROR(__xludf.DUMMYFUNCTION("""COMPUTED_VALUE"""),"GTe")</f>
        <v>GTe</v>
      </c>
      <c r="M134" s="43" t="str">
        <f>IFERROR(__xludf.DUMMYFUNCTION("""COMPUTED_VALUE"""),"long")</f>
        <v>long</v>
      </c>
      <c r="N134" s="45">
        <f>IFERROR(__xludf.DUMMYFUNCTION("""COMPUTED_VALUE"""),44892.0)</f>
        <v>44892</v>
      </c>
      <c r="O134" s="45">
        <f>IFERROR(__xludf.DUMMYFUNCTION("""COMPUTED_VALUE"""),44928.0)</f>
        <v>44928</v>
      </c>
      <c r="P134" s="45">
        <f>IFERROR(__xludf.DUMMYFUNCTION("""COMPUTED_VALUE"""),45293.0)</f>
        <v>45293</v>
      </c>
      <c r="Q134" s="45"/>
      <c r="R134" s="45"/>
      <c r="S134" s="43"/>
      <c r="T134" s="43"/>
      <c r="U134" s="43" t="str">
        <f>IFERROR(__xludf.DUMMYFUNCTION("""COMPUTED_VALUE"""),"English Translator on Laodikya Marble")</f>
        <v>English Translator on Laodikya Marble</v>
      </c>
      <c r="V134" s="43" t="str">
        <f>IFERROR(__xludf.DUMMYFUNCTION("""COMPUTED_VALUE"""),"FLSH Sousse")</f>
        <v>FLSH Sousse</v>
      </c>
      <c r="W134" s="43" t="str">
        <f>IFERROR(__xludf.DUMMYFUNCTION("""COMPUTED_VALUE"""),"2022-11-27T19:05:51Z")</f>
        <v>2022-11-27T19:05:51Z</v>
      </c>
      <c r="X134" s="43"/>
      <c r="Y134" s="43"/>
      <c r="Z134" s="43"/>
    </row>
    <row r="135" hidden="1">
      <c r="A135" s="43" t="str">
        <f>IFERROR(__xludf.DUMMYFUNCTION("""COMPUTED_VALUE"""),"1789674_1281195")</f>
        <v>1789674_1281195</v>
      </c>
      <c r="B135" s="43" t="str">
        <f>IFERROR(__xludf.DUMMYFUNCTION("""COMPUTED_VALUE"""),"george kingsley amuzu")</f>
        <v>george kingsley amuzu</v>
      </c>
      <c r="C135" s="43" t="str">
        <f>IFERROR(__xludf.DUMMYFUNCTION("""COMPUTED_VALUE"""),"finished")</f>
        <v>finished</v>
      </c>
      <c r="D135" s="43" t="str">
        <f>IFERROR(__xludf.DUMMYFUNCTION("""COMPUTED_VALUE"""),"No")</f>
        <v>No</v>
      </c>
      <c r="E135" s="43" t="str">
        <f>IFERROR(__xludf.DUMMYFUNCTION("""COMPUTED_VALUE"""),"p_6a8b5208196169b809bc3e9ac979745b72387ede@inbound.aiesec.org")</f>
        <v>p_6a8b5208196169b809bc3e9ac979745b72387ede@inbound.aiesec.org</v>
      </c>
      <c r="F135" s="43">
        <f>IFERROR(__xludf.DUMMYFUNCTION("""COMPUTED_VALUE"""),5.058143591E9)</f>
        <v>5058143591</v>
      </c>
      <c r="G135" s="43" t="str">
        <f>IFERROR(__xludf.DUMMYFUNCTION("""COMPUTED_VALUE"""),"Ghana")</f>
        <v>Ghana</v>
      </c>
      <c r="H135" s="43" t="str">
        <f>IFERROR(__xludf.DUMMYFUNCTION("""COMPUTED_VALUE"""),"LEGON")</f>
        <v>LEGON</v>
      </c>
      <c r="I135" s="43" t="str">
        <f>IFERROR(__xludf.DUMMYFUNCTION("""COMPUTED_VALUE"""),"Turkey")</f>
        <v>Turkey</v>
      </c>
      <c r="J135" s="43" t="str">
        <f>IFERROR(__xludf.DUMMYFUNCTION("""COMPUTED_VALUE"""),"BURSA")</f>
        <v>BURSA</v>
      </c>
      <c r="K135" s="44" t="str">
        <f>IFERROR(__xludf.DUMMYFUNCTION("""COMPUTED_VALUE"""),"https://expa.aiesec.org/opportunities/1281195")</f>
        <v>https://expa.aiesec.org/opportunities/1281195</v>
      </c>
      <c r="L135" s="43" t="str">
        <f>IFERROR(__xludf.DUMMYFUNCTION("""COMPUTED_VALUE"""),"GTe")</f>
        <v>GTe</v>
      </c>
      <c r="M135" s="43" t="str">
        <f>IFERROR(__xludf.DUMMYFUNCTION("""COMPUTED_VALUE"""),"long")</f>
        <v>long</v>
      </c>
      <c r="N135" s="45">
        <f>IFERROR(__xludf.DUMMYFUNCTION("""COMPUTED_VALUE"""),44894.0)</f>
        <v>44894</v>
      </c>
      <c r="O135" s="45">
        <f>IFERROR(__xludf.DUMMYFUNCTION("""COMPUTED_VALUE"""),44907.0)</f>
        <v>44907</v>
      </c>
      <c r="P135" s="45">
        <f>IFERROR(__xludf.DUMMYFUNCTION("""COMPUTED_VALUE"""),45272.0)</f>
        <v>45272</v>
      </c>
      <c r="Q135" s="45">
        <f>IFERROR(__xludf.DUMMYFUNCTION("""COMPUTED_VALUE"""),44931.0)</f>
        <v>44931</v>
      </c>
      <c r="R135" s="45">
        <f>IFERROR(__xludf.DUMMYFUNCTION("""COMPUTED_VALUE"""),45296.0)</f>
        <v>45296</v>
      </c>
      <c r="S135" s="43"/>
      <c r="T135" s="43"/>
      <c r="U135" s="43" t="str">
        <f>IFERROR(__xludf.DUMMYFUNCTION("""COMPUTED_VALUE"""),"ENGLISH TEACHING")</f>
        <v>ENGLISH TEACHING</v>
      </c>
      <c r="V135" s="43" t="str">
        <f>IFERROR(__xludf.DUMMYFUNCTION("""COMPUTED_VALUE"""),"-")</f>
        <v>-</v>
      </c>
      <c r="W135" s="43" t="str">
        <f>IFERROR(__xludf.DUMMYFUNCTION("""COMPUTED_VALUE"""),"2017-10-12T05:06:05Z")</f>
        <v>2017-10-12T05:06:05Z</v>
      </c>
      <c r="X135" s="43"/>
      <c r="Y135" s="43"/>
      <c r="Z135" s="43"/>
    </row>
    <row r="136">
      <c r="A136" s="43" t="str">
        <f>IFERROR(__xludf.DUMMYFUNCTION("""COMPUTED_VALUE"""),"5161077_1289686")</f>
        <v>5161077_1289686</v>
      </c>
      <c r="B136" s="43" t="str">
        <f>IFERROR(__xludf.DUMMYFUNCTION("""COMPUTED_VALUE"""),"ameni ben hannechi")</f>
        <v>ameni ben hannechi</v>
      </c>
      <c r="C136" s="43" t="str">
        <f>IFERROR(__xludf.DUMMYFUNCTION("""COMPUTED_VALUE"""),"approved")</f>
        <v>approved</v>
      </c>
      <c r="D136" s="43" t="str">
        <f>IFERROR(__xludf.DUMMYFUNCTION("""COMPUTED_VALUE"""),"No")</f>
        <v>No</v>
      </c>
      <c r="E136" s="43" t="str">
        <f>IFERROR(__xludf.DUMMYFUNCTION("""COMPUTED_VALUE"""),"p_784ca450324555043b83ce2704109c3bf0d13738@inbound.aiesec.org")</f>
        <v>p_784ca450324555043b83ce2704109c3bf0d13738@inbound.aiesec.org</v>
      </c>
      <c r="F136" s="43">
        <f>IFERROR(__xludf.DUMMYFUNCTION("""COMPUTED_VALUE"""),2.1857177E7)</f>
        <v>21857177</v>
      </c>
      <c r="G136" s="43" t="str">
        <f>IFERROR(__xludf.DUMMYFUNCTION("""COMPUTED_VALUE"""),"Tunisia")</f>
        <v>Tunisia</v>
      </c>
      <c r="H136" s="43" t="str">
        <f>IFERROR(__xludf.DUMMYFUNCTION("""COMPUTED_VALUE"""),"MEDINA")</f>
        <v>MEDINA</v>
      </c>
      <c r="I136" s="43" t="str">
        <f>IFERROR(__xludf.DUMMYFUNCTION("""COMPUTED_VALUE"""),"Turkey")</f>
        <v>Turkey</v>
      </c>
      <c r="J136" s="43" t="str">
        <f>IFERROR(__xludf.DUMMYFUNCTION("""COMPUTED_VALUE"""),"SAKARYA")</f>
        <v>SAKARYA</v>
      </c>
      <c r="K136" s="44" t="str">
        <f>IFERROR(__xludf.DUMMYFUNCTION("""COMPUTED_VALUE"""),"https://expa.aiesec.org/opportunities/1289686")</f>
        <v>https://expa.aiesec.org/opportunities/1289686</v>
      </c>
      <c r="L136" s="43" t="str">
        <f>IFERROR(__xludf.DUMMYFUNCTION("""COMPUTED_VALUE"""),"GTe")</f>
        <v>GTe</v>
      </c>
      <c r="M136" s="43" t="str">
        <f>IFERROR(__xludf.DUMMYFUNCTION("""COMPUTED_VALUE"""),"long")</f>
        <v>long</v>
      </c>
      <c r="N136" s="45">
        <f>IFERROR(__xludf.DUMMYFUNCTION("""COMPUTED_VALUE"""),44895.0)</f>
        <v>44895</v>
      </c>
      <c r="O136" s="45">
        <f>IFERROR(__xludf.DUMMYFUNCTION("""COMPUTED_VALUE"""),44913.0)</f>
        <v>44913</v>
      </c>
      <c r="P136" s="45">
        <f>IFERROR(__xludf.DUMMYFUNCTION("""COMPUTED_VALUE"""),45169.0)</f>
        <v>45169</v>
      </c>
      <c r="Q136" s="45"/>
      <c r="R136" s="45"/>
      <c r="S136" s="43"/>
      <c r="T136" s="43"/>
      <c r="U136" s="43" t="str">
        <f>IFERROR(__xludf.DUMMYFUNCTION("""COMPUTED_VALUE"""),"English Language Teacher | American Culture")</f>
        <v>English Language Teacher | American Culture</v>
      </c>
      <c r="V136" s="43" t="str">
        <f>IFERROR(__xludf.DUMMYFUNCTION("""COMPUTED_VALUE"""),"FLAH")</f>
        <v>FLAH</v>
      </c>
      <c r="W136" s="43" t="str">
        <f>IFERROR(__xludf.DUMMYFUNCTION("""COMPUTED_VALUE"""),"2022-11-30T17:54:25Z")</f>
        <v>2022-11-30T17:54:25Z</v>
      </c>
      <c r="X136" s="43"/>
      <c r="Y136" s="43"/>
      <c r="Z136" s="43"/>
    </row>
    <row r="137" hidden="1">
      <c r="A137" s="43" t="str">
        <f>IFERROR(__xludf.DUMMYFUNCTION("""COMPUTED_VALUE"""),"1446164_1269991")</f>
        <v>1446164_1269991</v>
      </c>
      <c r="B137" s="43" t="str">
        <f>IFERROR(__xludf.DUMMYFUNCTION("""COMPUTED_VALUE"""),"Passent ElSherif")</f>
        <v>Passent ElSherif</v>
      </c>
      <c r="C137" s="43" t="str">
        <f>IFERROR(__xludf.DUMMYFUNCTION("""COMPUTED_VALUE"""),"realization_broken")</f>
        <v>realization_broken</v>
      </c>
      <c r="D137" s="43" t="str">
        <f>IFERROR(__xludf.DUMMYFUNCTION("""COMPUTED_VALUE"""),"No")</f>
        <v>No</v>
      </c>
      <c r="E137" s="43" t="str">
        <f>IFERROR(__xludf.DUMMYFUNCTION("""COMPUTED_VALUE"""),"p_f634f4f3e996db5a553cf5bbad8be43c37a93b53@inbound.aiesec.org")</f>
        <v>p_f634f4f3e996db5a553cf5bbad8be43c37a93b53@inbound.aiesec.org</v>
      </c>
      <c r="F137" s="43"/>
      <c r="G137" s="43" t="str">
        <f>IFERROR(__xludf.DUMMYFUNCTION("""COMPUTED_VALUE"""),"Egypt")</f>
        <v>Egypt</v>
      </c>
      <c r="H137" s="43" t="str">
        <f>IFERROR(__xludf.DUMMYFUNCTION("""COMPUTED_VALUE"""),"Alexandria")</f>
        <v>Alexandria</v>
      </c>
      <c r="I137" s="43" t="str">
        <f>IFERROR(__xludf.DUMMYFUNCTION("""COMPUTED_VALUE"""),"Turkey")</f>
        <v>Turkey</v>
      </c>
      <c r="J137" s="43" t="str">
        <f>IFERROR(__xludf.DUMMYFUNCTION("""COMPUTED_VALUE"""),"KOCAELI")</f>
        <v>KOCAELI</v>
      </c>
      <c r="K137" s="44" t="str">
        <f>IFERROR(__xludf.DUMMYFUNCTION("""COMPUTED_VALUE"""),"https://expa.aiesec.org/opportunities/1269991")</f>
        <v>https://expa.aiesec.org/opportunities/1269991</v>
      </c>
      <c r="L137" s="43" t="str">
        <f>IFERROR(__xludf.DUMMYFUNCTION("""COMPUTED_VALUE"""),"GTe")</f>
        <v>GTe</v>
      </c>
      <c r="M137" s="43" t="str">
        <f>IFERROR(__xludf.DUMMYFUNCTION("""COMPUTED_VALUE"""),"long")</f>
        <v>long</v>
      </c>
      <c r="N137" s="45">
        <f>IFERROR(__xludf.DUMMYFUNCTION("""COMPUTED_VALUE"""),44895.0)</f>
        <v>44895</v>
      </c>
      <c r="O137" s="45">
        <f>IFERROR(__xludf.DUMMYFUNCTION("""COMPUTED_VALUE"""),44915.0)</f>
        <v>44915</v>
      </c>
      <c r="P137" s="45">
        <f>IFERROR(__xludf.DUMMYFUNCTION("""COMPUTED_VALUE"""),45107.0)</f>
        <v>45107</v>
      </c>
      <c r="Q137" s="45"/>
      <c r="R137" s="45"/>
      <c r="S137" s="43"/>
      <c r="T137" s="43"/>
      <c r="U137" s="43" t="str">
        <f>IFERROR(__xludf.DUMMYFUNCTION("""COMPUTED_VALUE"""),"English Teacher in Yahya Kaptan Koleji")</f>
        <v>English Teacher in Yahya Kaptan Koleji</v>
      </c>
      <c r="V137" s="43" t="str">
        <f>IFERROR(__xludf.DUMMYFUNCTION("""COMPUTED_VALUE"""),"-")</f>
        <v>-</v>
      </c>
      <c r="W137" s="43" t="str">
        <f>IFERROR(__xludf.DUMMYFUNCTION("""COMPUTED_VALUE"""),"2017-03-24T00:18:18Z")</f>
        <v>2017-03-24T00:18:18Z</v>
      </c>
      <c r="X137" s="43"/>
      <c r="Y137" s="43"/>
      <c r="Z137" s="43"/>
    </row>
    <row r="138">
      <c r="A138" s="43" t="str">
        <f>IFERROR(__xludf.DUMMYFUNCTION("""COMPUTED_VALUE"""),"5140493_1290669")</f>
        <v>5140493_1290669</v>
      </c>
      <c r="B138" s="43" t="str">
        <f>IFERROR(__xludf.DUMMYFUNCTION("""COMPUTED_VALUE"""),"soukaina koumani")</f>
        <v>soukaina koumani</v>
      </c>
      <c r="C138" s="43" t="str">
        <f>IFERROR(__xludf.DUMMYFUNCTION("""COMPUTED_VALUE"""),"approved")</f>
        <v>approved</v>
      </c>
      <c r="D138" s="43" t="str">
        <f>IFERROR(__xludf.DUMMYFUNCTION("""COMPUTED_VALUE"""),"No")</f>
        <v>No</v>
      </c>
      <c r="E138" s="43" t="str">
        <f>IFERROR(__xludf.DUMMYFUNCTION("""COMPUTED_VALUE"""),"p_7b8cdaafeffb565522a18a67c4c159e6d993344f@inbound.aiesec.org")</f>
        <v>p_7b8cdaafeffb565522a18a67c4c159e6d993344f@inbound.aiesec.org</v>
      </c>
      <c r="F138" s="43"/>
      <c r="G138" s="43" t="str">
        <f>IFERROR(__xludf.DUMMYFUNCTION("""COMPUTED_VALUE"""),"Morocco")</f>
        <v>Morocco</v>
      </c>
      <c r="H138" s="43" t="str">
        <f>IFERROR(__xludf.DUMMYFUNCTION("""COMPUTED_VALUE"""),"Agadir")</f>
        <v>Agadir</v>
      </c>
      <c r="I138" s="43" t="str">
        <f>IFERROR(__xludf.DUMMYFUNCTION("""COMPUTED_VALUE"""),"Turkey")</f>
        <v>Turkey</v>
      </c>
      <c r="J138" s="43" t="str">
        <f>IFERROR(__xludf.DUMMYFUNCTION("""COMPUTED_VALUE"""),"KOCAELI")</f>
        <v>KOCAELI</v>
      </c>
      <c r="K138" s="44" t="str">
        <f>IFERROR(__xludf.DUMMYFUNCTION("""COMPUTED_VALUE"""),"https://expa.aiesec.org/opportunities/1290669")</f>
        <v>https://expa.aiesec.org/opportunities/1290669</v>
      </c>
      <c r="L138" s="43" t="str">
        <f>IFERROR(__xludf.DUMMYFUNCTION("""COMPUTED_VALUE"""),"GTe")</f>
        <v>GTe</v>
      </c>
      <c r="M138" s="43" t="str">
        <f>IFERROR(__xludf.DUMMYFUNCTION("""COMPUTED_VALUE"""),"medium")</f>
        <v>medium</v>
      </c>
      <c r="N138" s="45">
        <f>IFERROR(__xludf.DUMMYFUNCTION("""COMPUTED_VALUE"""),44896.0)</f>
        <v>44896</v>
      </c>
      <c r="O138" s="45">
        <f>IFERROR(__xludf.DUMMYFUNCTION("""COMPUTED_VALUE"""),44920.0)</f>
        <v>44920</v>
      </c>
      <c r="P138" s="45">
        <f>IFERROR(__xludf.DUMMYFUNCTION("""COMPUTED_VALUE"""),45101.0)</f>
        <v>45101</v>
      </c>
      <c r="Q138" s="45"/>
      <c r="R138" s="45"/>
      <c r="S138" s="43"/>
      <c r="T138" s="43"/>
      <c r="U138" s="43" t="str">
        <f>IFERROR(__xludf.DUMMYFUNCTION("""COMPUTED_VALUE"""),"English Teacher in ODTÜ-KYÖV Schools")</f>
        <v>English Teacher in ODTÜ-KYÖV Schools</v>
      </c>
      <c r="V138" s="43" t="str">
        <f>IFERROR(__xludf.DUMMYFUNCTION("""COMPUTED_VALUE"""),"-")</f>
        <v>-</v>
      </c>
      <c r="W138" s="43" t="str">
        <f>IFERROR(__xludf.DUMMYFUNCTION("""COMPUTED_VALUE"""),"2022-10-25T21:33:52Z")</f>
        <v>2022-10-25T21:33:52Z</v>
      </c>
      <c r="X138" s="43"/>
      <c r="Y138" s="43"/>
      <c r="Z138" s="43"/>
    </row>
    <row r="139" hidden="1">
      <c r="A139" s="43" t="str">
        <f>IFERROR(__xludf.DUMMYFUNCTION("""COMPUTED_VALUE"""),"3277749_1288201")</f>
        <v>3277749_1288201</v>
      </c>
      <c r="B139" s="43" t="str">
        <f>IFERROR(__xludf.DUMMYFUNCTION("""COMPUTED_VALUE"""),"Camelia Benchabane")</f>
        <v>Camelia Benchabane</v>
      </c>
      <c r="C139" s="43" t="str">
        <f>IFERROR(__xludf.DUMMYFUNCTION("""COMPUTED_VALUE"""),"finished")</f>
        <v>finished</v>
      </c>
      <c r="D139" s="43" t="str">
        <f>IFERROR(__xludf.DUMMYFUNCTION("""COMPUTED_VALUE"""),"No")</f>
        <v>No</v>
      </c>
      <c r="E139" s="43" t="str">
        <f>IFERROR(__xludf.DUMMYFUNCTION("""COMPUTED_VALUE"""),"p_9d23108b9e655f16e1a96d9126a4647ce265d789@inbound.aiesec.org")</f>
        <v>p_9d23108b9e655f16e1a96d9126a4647ce265d789@inbound.aiesec.org</v>
      </c>
      <c r="F139" s="43">
        <f>IFERROR(__xludf.DUMMYFUNCTION("""COMPUTED_VALUE"""),5.55237258E8)</f>
        <v>555237258</v>
      </c>
      <c r="G139" s="43" t="str">
        <f>IFERROR(__xludf.DUMMYFUNCTION("""COMPUTED_VALUE"""),"Algeria")</f>
        <v>Algeria</v>
      </c>
      <c r="H139" s="43" t="str">
        <f>IFERROR(__xludf.DUMMYFUNCTION("""COMPUTED_VALUE"""),"Constantine")</f>
        <v>Constantine</v>
      </c>
      <c r="I139" s="43" t="str">
        <f>IFERROR(__xludf.DUMMYFUNCTION("""COMPUTED_VALUE"""),"Turkey")</f>
        <v>Turkey</v>
      </c>
      <c r="J139" s="43" t="str">
        <f>IFERROR(__xludf.DUMMYFUNCTION("""COMPUTED_VALUE"""),"ISTANBUL ASIA")</f>
        <v>ISTANBUL ASIA</v>
      </c>
      <c r="K139" s="44" t="str">
        <f>IFERROR(__xludf.DUMMYFUNCTION("""COMPUTED_VALUE"""),"https://expa.aiesec.org/opportunities/1288201")</f>
        <v>https://expa.aiesec.org/opportunities/1288201</v>
      </c>
      <c r="L139" s="43" t="str">
        <f>IFERROR(__xludf.DUMMYFUNCTION("""COMPUTED_VALUE"""),"GTe")</f>
        <v>GTe</v>
      </c>
      <c r="M139" s="43" t="str">
        <f>IFERROR(__xludf.DUMMYFUNCTION("""COMPUTED_VALUE"""),"long")</f>
        <v>long</v>
      </c>
      <c r="N139" s="45">
        <f>IFERROR(__xludf.DUMMYFUNCTION("""COMPUTED_VALUE"""),44896.0)</f>
        <v>44896</v>
      </c>
      <c r="O139" s="45">
        <f>IFERROR(__xludf.DUMMYFUNCTION("""COMPUTED_VALUE"""),44837.0)</f>
        <v>44837</v>
      </c>
      <c r="P139" s="45">
        <f>IFERROR(__xludf.DUMMYFUNCTION("""COMPUTED_VALUE"""),45202.0)</f>
        <v>45202</v>
      </c>
      <c r="Q139" s="45">
        <f>IFERROR(__xludf.DUMMYFUNCTION("""COMPUTED_VALUE"""),44905.0)</f>
        <v>44905</v>
      </c>
      <c r="R139" s="45">
        <f>IFERROR(__xludf.DUMMYFUNCTION("""COMPUTED_VALUE"""),45270.0)</f>
        <v>45270</v>
      </c>
      <c r="S139" s="43"/>
      <c r="T139" s="43"/>
      <c r="U139" s="43" t="str">
        <f>IFERROR(__xludf.DUMMYFUNCTION("""COMPUTED_VALUE"""),"English Teacher")</f>
        <v>English Teacher</v>
      </c>
      <c r="V139" s="43" t="str">
        <f>IFERROR(__xludf.DUMMYFUNCTION("""COMPUTED_VALUE"""),"AIESEC in Babez")</f>
        <v>AIESEC in Babez</v>
      </c>
      <c r="W139" s="43" t="str">
        <f>IFERROR(__xludf.DUMMYFUNCTION("""COMPUTED_VALUE"""),"2019-03-28T17:45:15Z")</f>
        <v>2019-03-28T17:45:15Z</v>
      </c>
      <c r="X139" s="43"/>
      <c r="Y139" s="43"/>
      <c r="Z139" s="43"/>
    </row>
    <row r="140" hidden="1">
      <c r="A140" s="43" t="str">
        <f>IFERROR(__xludf.DUMMYFUNCTION("""COMPUTED_VALUE"""),"5150344_1287702")</f>
        <v>5150344_1287702</v>
      </c>
      <c r="B140" s="43" t="str">
        <f>IFERROR(__xludf.DUMMYFUNCTION("""COMPUTED_VALUE"""),"Anastasiia Blyzniuk")</f>
        <v>Anastasiia Blyzniuk</v>
      </c>
      <c r="C140" s="43" t="str">
        <f>IFERROR(__xludf.DUMMYFUNCTION("""COMPUTED_VALUE"""),"finished")</f>
        <v>finished</v>
      </c>
      <c r="D140" s="43" t="str">
        <f>IFERROR(__xludf.DUMMYFUNCTION("""COMPUTED_VALUE"""),"No")</f>
        <v>No</v>
      </c>
      <c r="E140" s="43" t="str">
        <f>IFERROR(__xludf.DUMMYFUNCTION("""COMPUTED_VALUE"""),"p_1071b9b55187586a263a18e12e2549e8d821fa37@inbound.aiesec.org")</f>
        <v>p_1071b9b55187586a263a18e12e2549e8d821fa37@inbound.aiesec.org</v>
      </c>
      <c r="F140" s="43">
        <f>IFERROR(__xludf.DUMMYFUNCTION("""COMPUTED_VALUE"""),9.79854602E8)</f>
        <v>979854602</v>
      </c>
      <c r="G140" s="43" t="str">
        <f>IFERROR(__xludf.DUMMYFUNCTION("""COMPUTED_VALUE"""),"Ukraine")</f>
        <v>Ukraine</v>
      </c>
      <c r="H140" s="43" t="str">
        <f>IFERROR(__xludf.DUMMYFUNCTION("""COMPUTED_VALUE"""),"KHARKIV")</f>
        <v>KHARKIV</v>
      </c>
      <c r="I140" s="43" t="str">
        <f>IFERROR(__xludf.DUMMYFUNCTION("""COMPUTED_VALUE"""),"Turkey")</f>
        <v>Turkey</v>
      </c>
      <c r="J140" s="43" t="str">
        <f>IFERROR(__xludf.DUMMYFUNCTION("""COMPUTED_VALUE"""),"ADANA")</f>
        <v>ADANA</v>
      </c>
      <c r="K140" s="44" t="str">
        <f>IFERROR(__xludf.DUMMYFUNCTION("""COMPUTED_VALUE"""),"https://expa.aiesec.org/opportunities/1287702")</f>
        <v>https://expa.aiesec.org/opportunities/1287702</v>
      </c>
      <c r="L140" s="43" t="str">
        <f>IFERROR(__xludf.DUMMYFUNCTION("""COMPUTED_VALUE"""),"GTe")</f>
        <v>GTe</v>
      </c>
      <c r="M140" s="43" t="str">
        <f>IFERROR(__xludf.DUMMYFUNCTION("""COMPUTED_VALUE"""),"long")</f>
        <v>long</v>
      </c>
      <c r="N140" s="45">
        <f>IFERROR(__xludf.DUMMYFUNCTION("""COMPUTED_VALUE"""),44897.0)</f>
        <v>44897</v>
      </c>
      <c r="O140" s="45">
        <f>IFERROR(__xludf.DUMMYFUNCTION("""COMPUTED_VALUE"""),44927.0)</f>
        <v>44927</v>
      </c>
      <c r="P140" s="45">
        <f>IFERROR(__xludf.DUMMYFUNCTION("""COMPUTED_VALUE"""),45128.0)</f>
        <v>45128</v>
      </c>
      <c r="Q140" s="45">
        <f>IFERROR(__xludf.DUMMYFUNCTION("""COMPUTED_VALUE"""),44958.0)</f>
        <v>44958</v>
      </c>
      <c r="R140" s="45">
        <f>IFERROR(__xludf.DUMMYFUNCTION("""COMPUTED_VALUE"""),45093.0)</f>
        <v>45093</v>
      </c>
      <c r="S140" s="43"/>
      <c r="T140" s="43"/>
      <c r="U140" s="43" t="str">
        <f>IFERROR(__xludf.DUMMYFUNCTION("""COMPUTED_VALUE"""),"English Teacher")</f>
        <v>English Teacher</v>
      </c>
      <c r="V140" s="43" t="str">
        <f>IFERROR(__xludf.DUMMYFUNCTION("""COMPUTED_VALUE"""),"Kharkiv")</f>
        <v>Kharkiv</v>
      </c>
      <c r="W140" s="43" t="str">
        <f>IFERROR(__xludf.DUMMYFUNCTION("""COMPUTED_VALUE"""),"2022-11-09T17:20:12Z")</f>
        <v>2022-11-09T17:20:12Z</v>
      </c>
      <c r="X140" s="43"/>
      <c r="Y140" s="43"/>
      <c r="Z140" s="43"/>
    </row>
    <row r="141" hidden="1">
      <c r="A141" s="43" t="str">
        <f>IFERROR(__xludf.DUMMYFUNCTION("""COMPUTED_VALUE"""),"5154812_1278298")</f>
        <v>5154812_1278298</v>
      </c>
      <c r="B141" s="43" t="str">
        <f>IFERROR(__xludf.DUMMYFUNCTION("""COMPUTED_VALUE"""),"Evelyn Roma")</f>
        <v>Evelyn Roma</v>
      </c>
      <c r="C141" s="43" t="str">
        <f>IFERROR(__xludf.DUMMYFUNCTION("""COMPUTED_VALUE"""),"realization_broken")</f>
        <v>realization_broken</v>
      </c>
      <c r="D141" s="43" t="str">
        <f>IFERROR(__xludf.DUMMYFUNCTION("""COMPUTED_VALUE"""),"No")</f>
        <v>No</v>
      </c>
      <c r="E141" s="43" t="str">
        <f>IFERROR(__xludf.DUMMYFUNCTION("""COMPUTED_VALUE"""),"p_8a5022f371e334cbf0e10d8fb4cffcfc44775d43@inbound.aiesec.org")</f>
        <v>p_8a5022f371e334cbf0e10d8fb4cffcfc44775d43@inbound.aiesec.org</v>
      </c>
      <c r="F141" s="43">
        <f>IFERROR(__xludf.DUMMYFUNCTION("""COMPUTED_VALUE"""),7.1986514071E10)</f>
        <v>71986514071</v>
      </c>
      <c r="G141" s="43" t="str">
        <f>IFERROR(__xludf.DUMMYFUNCTION("""COMPUTED_VALUE"""),"Brazil")</f>
        <v>Brazil</v>
      </c>
      <c r="H141" s="43" t="str">
        <f>IFERROR(__xludf.DUMMYFUNCTION("""COMPUTED_VALUE"""),"SALVADOR")</f>
        <v>SALVADOR</v>
      </c>
      <c r="I141" s="43" t="str">
        <f>IFERROR(__xludf.DUMMYFUNCTION("""COMPUTED_VALUE"""),"Turkey")</f>
        <v>Turkey</v>
      </c>
      <c r="J141" s="43" t="str">
        <f>IFERROR(__xludf.DUMMYFUNCTION("""COMPUTED_VALUE"""),"KOCAELI")</f>
        <v>KOCAELI</v>
      </c>
      <c r="K141" s="44" t="str">
        <f>IFERROR(__xludf.DUMMYFUNCTION("""COMPUTED_VALUE"""),"https://expa.aiesec.org/opportunities/1278298")</f>
        <v>https://expa.aiesec.org/opportunities/1278298</v>
      </c>
      <c r="L141" s="43" t="str">
        <f>IFERROR(__xludf.DUMMYFUNCTION("""COMPUTED_VALUE"""),"GTe")</f>
        <v>GTe</v>
      </c>
      <c r="M141" s="43" t="str">
        <f>IFERROR(__xludf.DUMMYFUNCTION("""COMPUTED_VALUE"""),"long")</f>
        <v>long</v>
      </c>
      <c r="N141" s="45">
        <f>IFERROR(__xludf.DUMMYFUNCTION("""COMPUTED_VALUE"""),44900.0)</f>
        <v>44900</v>
      </c>
      <c r="O141" s="45">
        <f>IFERROR(__xludf.DUMMYFUNCTION("""COMPUTED_VALUE"""),44920.0)</f>
        <v>44920</v>
      </c>
      <c r="P141" s="45">
        <f>IFERROR(__xludf.DUMMYFUNCTION("""COMPUTED_VALUE"""),45109.0)</f>
        <v>45109</v>
      </c>
      <c r="Q141" s="45"/>
      <c r="R141" s="45"/>
      <c r="S141" s="43"/>
      <c r="T141" s="43"/>
      <c r="U141" s="43" t="str">
        <f>IFERROR(__xludf.DUMMYFUNCTION("""COMPUTED_VALUE"""),"Gebze İngiliz Kültür ")</f>
        <v>Gebze İngiliz Kültür </v>
      </c>
      <c r="V141" s="43" t="str">
        <f>IFERROR(__xludf.DUMMYFUNCTION("""COMPUTED_VALUE"""),"Salvador")</f>
        <v>Salvador</v>
      </c>
      <c r="W141" s="43" t="str">
        <f>IFERROR(__xludf.DUMMYFUNCTION("""COMPUTED_VALUE"""),"2022-11-17T15:29:10Z")</f>
        <v>2022-11-17T15:29:10Z</v>
      </c>
      <c r="X141" s="43"/>
      <c r="Y141" s="43"/>
      <c r="Z141" s="43"/>
    </row>
    <row r="142" hidden="1">
      <c r="A142" s="43" t="str">
        <f>IFERROR(__xludf.DUMMYFUNCTION("""COMPUTED_VALUE"""),"4796242_1287702")</f>
        <v>4796242_1287702</v>
      </c>
      <c r="B142" s="43" t="str">
        <f>IFERROR(__xludf.DUMMYFUNCTION("""COMPUTED_VALUE"""),"Salma Amin")</f>
        <v>Salma Amin</v>
      </c>
      <c r="C142" s="43" t="str">
        <f>IFERROR(__xludf.DUMMYFUNCTION("""COMPUTED_VALUE"""),"realization_broken")</f>
        <v>realization_broken</v>
      </c>
      <c r="D142" s="43" t="str">
        <f>IFERROR(__xludf.DUMMYFUNCTION("""COMPUTED_VALUE"""),"No")</f>
        <v>No</v>
      </c>
      <c r="E142" s="43" t="str">
        <f>IFERROR(__xludf.DUMMYFUNCTION("""COMPUTED_VALUE"""),"p_699ba0e31d73fcb3d906fe17ae7ff162a2d0deb9@inbound.aiesec.org")</f>
        <v>p_699ba0e31d73fcb3d906fe17ae7ff162a2d0deb9@inbound.aiesec.org</v>
      </c>
      <c r="F142" s="43">
        <f>IFERROR(__xludf.DUMMYFUNCTION("""COMPUTED_VALUE"""),1.285141318E9)</f>
        <v>1285141318</v>
      </c>
      <c r="G142" s="43" t="str">
        <f>IFERROR(__xludf.DUMMYFUNCTION("""COMPUTED_VALUE"""),"Egypt")</f>
        <v>Egypt</v>
      </c>
      <c r="H142" s="43" t="str">
        <f>IFERROR(__xludf.DUMMYFUNCTION("""COMPUTED_VALUE"""),"Alexandria")</f>
        <v>Alexandria</v>
      </c>
      <c r="I142" s="43" t="str">
        <f>IFERROR(__xludf.DUMMYFUNCTION("""COMPUTED_VALUE"""),"Turkey")</f>
        <v>Turkey</v>
      </c>
      <c r="J142" s="43" t="str">
        <f>IFERROR(__xludf.DUMMYFUNCTION("""COMPUTED_VALUE"""),"ADANA")</f>
        <v>ADANA</v>
      </c>
      <c r="K142" s="44" t="str">
        <f>IFERROR(__xludf.DUMMYFUNCTION("""COMPUTED_VALUE"""),"https://expa.aiesec.org/opportunities/1287702")</f>
        <v>https://expa.aiesec.org/opportunities/1287702</v>
      </c>
      <c r="L142" s="43" t="str">
        <f>IFERROR(__xludf.DUMMYFUNCTION("""COMPUTED_VALUE"""),"GTe")</f>
        <v>GTe</v>
      </c>
      <c r="M142" s="43" t="str">
        <f>IFERROR(__xludf.DUMMYFUNCTION("""COMPUTED_VALUE"""),"long")</f>
        <v>long</v>
      </c>
      <c r="N142" s="45">
        <f>IFERROR(__xludf.DUMMYFUNCTION("""COMPUTED_VALUE"""),44900.0)</f>
        <v>44900</v>
      </c>
      <c r="O142" s="45">
        <f>IFERROR(__xludf.DUMMYFUNCTION("""COMPUTED_VALUE"""),44906.0)</f>
        <v>44906</v>
      </c>
      <c r="P142" s="45">
        <f>IFERROR(__xludf.DUMMYFUNCTION("""COMPUTED_VALUE"""),45095.0)</f>
        <v>45095</v>
      </c>
      <c r="Q142" s="45"/>
      <c r="R142" s="45"/>
      <c r="S142" s="43"/>
      <c r="T142" s="43"/>
      <c r="U142" s="43" t="str">
        <f>IFERROR(__xludf.DUMMYFUNCTION("""COMPUTED_VALUE"""),"English Teacher")</f>
        <v>English Teacher</v>
      </c>
      <c r="V142" s="43" t="str">
        <f>IFERROR(__xludf.DUMMYFUNCTION("""COMPUTED_VALUE"""),"Alexandria University")</f>
        <v>Alexandria University</v>
      </c>
      <c r="W142" s="43" t="str">
        <f>IFERROR(__xludf.DUMMYFUNCTION("""COMPUTED_VALUE"""),"2021-11-10T13:01:03Z")</f>
        <v>2021-11-10T13:01:03Z</v>
      </c>
      <c r="X142" s="43"/>
      <c r="Y142" s="43"/>
      <c r="Z142" s="43"/>
    </row>
    <row r="143" hidden="1">
      <c r="A143" s="43" t="str">
        <f>IFERROR(__xludf.DUMMYFUNCTION("""COMPUTED_VALUE"""),"5157221_1290667")</f>
        <v>5157221_1290667</v>
      </c>
      <c r="B143" s="43" t="str">
        <f>IFERROR(__xludf.DUMMYFUNCTION("""COMPUTED_VALUE"""),"João Victor Sousa dos Santos")</f>
        <v>João Victor Sousa dos Santos</v>
      </c>
      <c r="C143" s="43" t="str">
        <f>IFERROR(__xludf.DUMMYFUNCTION("""COMPUTED_VALUE"""),"realized")</f>
        <v>realized</v>
      </c>
      <c r="D143" s="43" t="str">
        <f>IFERROR(__xludf.DUMMYFUNCTION("""COMPUTED_VALUE"""),"No")</f>
        <v>No</v>
      </c>
      <c r="E143" s="43" t="str">
        <f>IFERROR(__xludf.DUMMYFUNCTION("""COMPUTED_VALUE"""),"p_eca135933d3dbb606cec357f1f3ad9ebe173d90b@inbound.aiesec.org")</f>
        <v>p_eca135933d3dbb606cec357f1f3ad9ebe173d90b@inbound.aiesec.org</v>
      </c>
      <c r="F143" s="43">
        <f>IFERROR(__xludf.DUMMYFUNCTION("""COMPUTED_VALUE"""),6.1993531897E10)</f>
        <v>61993531897</v>
      </c>
      <c r="G143" s="43" t="str">
        <f>IFERROR(__xludf.DUMMYFUNCTION("""COMPUTED_VALUE"""),"Brazil")</f>
        <v>Brazil</v>
      </c>
      <c r="H143" s="43" t="str">
        <f>IFERROR(__xludf.DUMMYFUNCTION("""COMPUTED_VALUE"""),"BRASÍLIA")</f>
        <v>BRASÍLIA</v>
      </c>
      <c r="I143" s="43" t="str">
        <f>IFERROR(__xludf.DUMMYFUNCTION("""COMPUTED_VALUE"""),"Turkey")</f>
        <v>Turkey</v>
      </c>
      <c r="J143" s="43" t="str">
        <f>IFERROR(__xludf.DUMMYFUNCTION("""COMPUTED_VALUE"""),"KOCAELI")</f>
        <v>KOCAELI</v>
      </c>
      <c r="K143" s="44" t="str">
        <f>IFERROR(__xludf.DUMMYFUNCTION("""COMPUTED_VALUE"""),"https://expa.aiesec.org/opportunities/1290667")</f>
        <v>https://expa.aiesec.org/opportunities/1290667</v>
      </c>
      <c r="L143" s="43" t="str">
        <f>IFERROR(__xludf.DUMMYFUNCTION("""COMPUTED_VALUE"""),"GTe")</f>
        <v>GTe</v>
      </c>
      <c r="M143" s="43" t="str">
        <f>IFERROR(__xludf.DUMMYFUNCTION("""COMPUTED_VALUE"""),"long")</f>
        <v>long</v>
      </c>
      <c r="N143" s="45">
        <f>IFERROR(__xludf.DUMMYFUNCTION("""COMPUTED_VALUE"""),44901.0)</f>
        <v>44901</v>
      </c>
      <c r="O143" s="45">
        <f>IFERROR(__xludf.DUMMYFUNCTION("""COMPUTED_VALUE"""),45163.0)</f>
        <v>45163</v>
      </c>
      <c r="P143" s="45">
        <f>IFERROR(__xludf.DUMMYFUNCTION("""COMPUTED_VALUE"""),45473.0)</f>
        <v>45473</v>
      </c>
      <c r="Q143" s="45">
        <f>IFERROR(__xludf.DUMMYFUNCTION("""COMPUTED_VALUE"""),45169.0)</f>
        <v>45169</v>
      </c>
      <c r="R143" s="45">
        <f>IFERROR(__xludf.DUMMYFUNCTION("""COMPUTED_VALUE"""),45478.0)</f>
        <v>45478</v>
      </c>
      <c r="S143" s="43"/>
      <c r="T143" s="43"/>
      <c r="U143" s="43" t="str">
        <f>IFERROR(__xludf.DUMMYFUNCTION("""COMPUTED_VALUE"""),"Kindergarten Teacher in Nar Akademisi Anaokulu")</f>
        <v>Kindergarten Teacher in Nar Akademisi Anaokulu</v>
      </c>
      <c r="V143" s="43" t="str">
        <f>IFERROR(__xludf.DUMMYFUNCTION("""COMPUTED_VALUE"""),"Brasília")</f>
        <v>Brasília</v>
      </c>
      <c r="W143" s="43" t="str">
        <f>IFERROR(__xludf.DUMMYFUNCTION("""COMPUTED_VALUE"""),"2022-11-22T13:42:14Z")</f>
        <v>2022-11-22T13:42:14Z</v>
      </c>
      <c r="X143" s="43"/>
      <c r="Y143" s="43"/>
      <c r="Z143" s="43"/>
    </row>
    <row r="144" hidden="1">
      <c r="A144" s="43" t="str">
        <f>IFERROR(__xludf.DUMMYFUNCTION("""COMPUTED_VALUE"""),"5164391_1283628")</f>
        <v>5164391_1283628</v>
      </c>
      <c r="B144" s="43" t="str">
        <f>IFERROR(__xludf.DUMMYFUNCTION("""COMPUTED_VALUE"""),"Imad Dali Ahmed")</f>
        <v>Imad Dali Ahmed</v>
      </c>
      <c r="C144" s="43" t="str">
        <f>IFERROR(__xludf.DUMMYFUNCTION("""COMPUTED_VALUE"""),"completed")</f>
        <v>completed</v>
      </c>
      <c r="D144" s="43" t="str">
        <f>IFERROR(__xludf.DUMMYFUNCTION("""COMPUTED_VALUE"""),"No")</f>
        <v>No</v>
      </c>
      <c r="E144" s="43" t="str">
        <f>IFERROR(__xludf.DUMMYFUNCTION("""COMPUTED_VALUE"""),"p_6123ce2710bea17c9cca1010f61099915b1669ce@inbound.aiesec.org")</f>
        <v>p_6123ce2710bea17c9cca1010f61099915b1669ce@inbound.aiesec.org</v>
      </c>
      <c r="F144" s="43">
        <f>IFERROR(__xludf.DUMMYFUNCTION("""COMPUTED_VALUE"""),6.72995424E8)</f>
        <v>672995424</v>
      </c>
      <c r="G144" s="43" t="str">
        <f>IFERROR(__xludf.DUMMYFUNCTION("""COMPUTED_VALUE"""),"Algeria")</f>
        <v>Algeria</v>
      </c>
      <c r="H144" s="43" t="str">
        <f>IFERROR(__xludf.DUMMYFUNCTION("""COMPUTED_VALUE"""),"Tlemcen")</f>
        <v>Tlemcen</v>
      </c>
      <c r="I144" s="43" t="str">
        <f>IFERROR(__xludf.DUMMYFUNCTION("""COMPUTED_VALUE"""),"Turkey")</f>
        <v>Turkey</v>
      </c>
      <c r="J144" s="43" t="str">
        <f>IFERROR(__xludf.DUMMYFUNCTION("""COMPUTED_VALUE"""),"ESKISEHIR")</f>
        <v>ESKISEHIR</v>
      </c>
      <c r="K144" s="44" t="str">
        <f>IFERROR(__xludf.DUMMYFUNCTION("""COMPUTED_VALUE"""),"https://expa.aiesec.org/opportunities/1283628")</f>
        <v>https://expa.aiesec.org/opportunities/1283628</v>
      </c>
      <c r="L144" s="43" t="str">
        <f>IFERROR(__xludf.DUMMYFUNCTION("""COMPUTED_VALUE"""),"GTe")</f>
        <v>GTe</v>
      </c>
      <c r="M144" s="43" t="str">
        <f>IFERROR(__xludf.DUMMYFUNCTION("""COMPUTED_VALUE"""),"long")</f>
        <v>long</v>
      </c>
      <c r="N144" s="45">
        <f>IFERROR(__xludf.DUMMYFUNCTION("""COMPUTED_VALUE"""),44903.0)</f>
        <v>44903</v>
      </c>
      <c r="O144" s="45">
        <f>IFERROR(__xludf.DUMMYFUNCTION("""COMPUTED_VALUE"""),44934.0)</f>
        <v>44934</v>
      </c>
      <c r="P144" s="45">
        <f>IFERROR(__xludf.DUMMYFUNCTION("""COMPUTED_VALUE"""),45298.0)</f>
        <v>45298</v>
      </c>
      <c r="Q144" s="45">
        <f>IFERROR(__xludf.DUMMYFUNCTION("""COMPUTED_VALUE"""),44935.0)</f>
        <v>44935</v>
      </c>
      <c r="R144" s="45">
        <f>IFERROR(__xludf.DUMMYFUNCTION("""COMPUTED_VALUE"""),45190.0)</f>
        <v>45190</v>
      </c>
      <c r="S144" s="43"/>
      <c r="T144" s="43"/>
      <c r="U144" s="43" t="str">
        <f>IFERROR(__xludf.DUMMYFUNCTION("""COMPUTED_VALUE"""),"Join Wimbledn Academy ")</f>
        <v>Join Wimbledn Academy </v>
      </c>
      <c r="V144" s="43" t="str">
        <f>IFERROR(__xludf.DUMMYFUNCTION("""COMPUTED_VALUE"""),"AIESEC in Tlemcen")</f>
        <v>AIESEC in Tlemcen</v>
      </c>
      <c r="W144" s="43" t="str">
        <f>IFERROR(__xludf.DUMMYFUNCTION("""COMPUTED_VALUE"""),"2022-12-08T19:25:44Z")</f>
        <v>2022-12-08T19:25:44Z</v>
      </c>
      <c r="X144" s="43"/>
      <c r="Y144" s="43"/>
      <c r="Z144" s="43"/>
    </row>
    <row r="145" hidden="1">
      <c r="A145" s="43" t="str">
        <f>IFERROR(__xludf.DUMMYFUNCTION("""COMPUTED_VALUE"""),"5162493_1291375")</f>
        <v>5162493_1291375</v>
      </c>
      <c r="B145" s="43" t="str">
        <f>IFERROR(__xludf.DUMMYFUNCTION("""COMPUTED_VALUE"""),"Dounya Malloul")</f>
        <v>Dounya Malloul</v>
      </c>
      <c r="C145" s="43" t="str">
        <f>IFERROR(__xludf.DUMMYFUNCTION("""COMPUTED_VALUE"""),"completed")</f>
        <v>completed</v>
      </c>
      <c r="D145" s="43" t="str">
        <f>IFERROR(__xludf.DUMMYFUNCTION("""COMPUTED_VALUE"""),"No")</f>
        <v>No</v>
      </c>
      <c r="E145" s="43" t="str">
        <f>IFERROR(__xludf.DUMMYFUNCTION("""COMPUTED_VALUE"""),"p_ab0510a1582f2237ce6e5583ad41d74c3606bda0@inbound.aiesec.org")</f>
        <v>p_ab0510a1582f2237ce6e5583ad41d74c3606bda0@inbound.aiesec.org</v>
      </c>
      <c r="F145" s="43"/>
      <c r="G145" s="43" t="str">
        <f>IFERROR(__xludf.DUMMYFUNCTION("""COMPUTED_VALUE"""),"Morocco")</f>
        <v>Morocco</v>
      </c>
      <c r="H145" s="43" t="str">
        <f>IFERROR(__xludf.DUMMYFUNCTION("""COMPUTED_VALUE"""),"Agadir")</f>
        <v>Agadir</v>
      </c>
      <c r="I145" s="43" t="str">
        <f>IFERROR(__xludf.DUMMYFUNCTION("""COMPUTED_VALUE"""),"Turkey")</f>
        <v>Turkey</v>
      </c>
      <c r="J145" s="43" t="str">
        <f>IFERROR(__xludf.DUMMYFUNCTION("""COMPUTED_VALUE"""),"ESKISEHIR")</f>
        <v>ESKISEHIR</v>
      </c>
      <c r="K145" s="44" t="str">
        <f>IFERROR(__xludf.DUMMYFUNCTION("""COMPUTED_VALUE"""),"https://expa.aiesec.org/opportunities/1291375")</f>
        <v>https://expa.aiesec.org/opportunities/1291375</v>
      </c>
      <c r="L145" s="43" t="str">
        <f>IFERROR(__xludf.DUMMYFUNCTION("""COMPUTED_VALUE"""),"GTe")</f>
        <v>GTe</v>
      </c>
      <c r="M145" s="43" t="str">
        <f>IFERROR(__xludf.DUMMYFUNCTION("""COMPUTED_VALUE"""),"long")</f>
        <v>long</v>
      </c>
      <c r="N145" s="45">
        <f>IFERROR(__xludf.DUMMYFUNCTION("""COMPUTED_VALUE"""),44906.0)</f>
        <v>44906</v>
      </c>
      <c r="O145" s="45">
        <f>IFERROR(__xludf.DUMMYFUNCTION("""COMPUTED_VALUE"""),44932.0)</f>
        <v>44932</v>
      </c>
      <c r="P145" s="45">
        <f>IFERROR(__xludf.DUMMYFUNCTION("""COMPUTED_VALUE"""),45296.0)</f>
        <v>45296</v>
      </c>
      <c r="Q145" s="45">
        <f>IFERROR(__xludf.DUMMYFUNCTION("""COMPUTED_VALUE"""),44932.0)</f>
        <v>44932</v>
      </c>
      <c r="R145" s="45">
        <f>IFERROR(__xludf.DUMMYFUNCTION("""COMPUTED_VALUE"""),45129.0)</f>
        <v>45129</v>
      </c>
      <c r="S145" s="43"/>
      <c r="T145" s="43"/>
      <c r="U145" s="43" t="str">
        <f>IFERROR(__xludf.DUMMYFUNCTION("""COMPUTED_VALUE"""),"English Teacher")</f>
        <v>English Teacher</v>
      </c>
      <c r="V145" s="43" t="str">
        <f>IFERROR(__xludf.DUMMYFUNCTION("""COMPUTED_VALUE"""),"FLSH Agadir")</f>
        <v>FLSH Agadir</v>
      </c>
      <c r="W145" s="43" t="str">
        <f>IFERROR(__xludf.DUMMYFUNCTION("""COMPUTED_VALUE"""),"2022-12-04T12:06:57Z")</f>
        <v>2022-12-04T12:06:57Z</v>
      </c>
      <c r="X145" s="43"/>
      <c r="Y145" s="43"/>
      <c r="Z145" s="43"/>
    </row>
    <row r="146" hidden="1">
      <c r="A146" s="43" t="str">
        <f>IFERROR(__xludf.DUMMYFUNCTION("""COMPUTED_VALUE"""),"5165832_1289307")</f>
        <v>5165832_1289307</v>
      </c>
      <c r="B146" s="43" t="str">
        <f>IFERROR(__xludf.DUMMYFUNCTION("""COMPUTED_VALUE"""),"Dalia El-gamal")</f>
        <v>Dalia El-gamal</v>
      </c>
      <c r="C146" s="43" t="str">
        <f>IFERROR(__xludf.DUMMYFUNCTION("""COMPUTED_VALUE"""),"realization_broken")</f>
        <v>realization_broken</v>
      </c>
      <c r="D146" s="43" t="str">
        <f>IFERROR(__xludf.DUMMYFUNCTION("""COMPUTED_VALUE"""),"No")</f>
        <v>No</v>
      </c>
      <c r="E146" s="43" t="str">
        <f>IFERROR(__xludf.DUMMYFUNCTION("""COMPUTED_VALUE"""),"p_2b1bebb90e2d8725dcd5055ac93a4b0835d72b4b@inbound.aiesec.org")</f>
        <v>p_2b1bebb90e2d8725dcd5055ac93a4b0835d72b4b@inbound.aiesec.org</v>
      </c>
      <c r="F146" s="43">
        <f>IFERROR(__xludf.DUMMYFUNCTION("""COMPUTED_VALUE"""),1.115980343E9)</f>
        <v>1115980343</v>
      </c>
      <c r="G146" s="43" t="str">
        <f>IFERROR(__xludf.DUMMYFUNCTION("""COMPUTED_VALUE"""),"Egypt")</f>
        <v>Egypt</v>
      </c>
      <c r="H146" s="43" t="str">
        <f>IFERROR(__xludf.DUMMYFUNCTION("""COMPUTED_VALUE"""),"Tanta")</f>
        <v>Tanta</v>
      </c>
      <c r="I146" s="43" t="str">
        <f>IFERROR(__xludf.DUMMYFUNCTION("""COMPUTED_VALUE"""),"Turkey")</f>
        <v>Turkey</v>
      </c>
      <c r="J146" s="43" t="str">
        <f>IFERROR(__xludf.DUMMYFUNCTION("""COMPUTED_VALUE"""),"ISTANBUL")</f>
        <v>ISTANBUL</v>
      </c>
      <c r="K146" s="44" t="str">
        <f>IFERROR(__xludf.DUMMYFUNCTION("""COMPUTED_VALUE"""),"https://expa.aiesec.org/opportunities/1289307")</f>
        <v>https://expa.aiesec.org/opportunities/1289307</v>
      </c>
      <c r="L146" s="43" t="str">
        <f>IFERROR(__xludf.DUMMYFUNCTION("""COMPUTED_VALUE"""),"GTe")</f>
        <v>GTe</v>
      </c>
      <c r="M146" s="43" t="str">
        <f>IFERROR(__xludf.DUMMYFUNCTION("""COMPUTED_VALUE"""),"long")</f>
        <v>long</v>
      </c>
      <c r="N146" s="45">
        <f>IFERROR(__xludf.DUMMYFUNCTION("""COMPUTED_VALUE"""),44909.0)</f>
        <v>44909</v>
      </c>
      <c r="O146" s="45">
        <f>IFERROR(__xludf.DUMMYFUNCTION("""COMPUTED_VALUE"""),44920.0)</f>
        <v>44920</v>
      </c>
      <c r="P146" s="45">
        <f>IFERROR(__xludf.DUMMYFUNCTION("""COMPUTED_VALUE"""),45121.0)</f>
        <v>45121</v>
      </c>
      <c r="Q146" s="45"/>
      <c r="R146" s="45"/>
      <c r="S146" s="43"/>
      <c r="T146" s="43"/>
      <c r="U146" s="43" t="str">
        <f>IFERROR(__xludf.DUMMYFUNCTION("""COMPUTED_VALUE"""),"Preschool English Teacher")</f>
        <v>Preschool English Teacher</v>
      </c>
      <c r="V146" s="43" t="str">
        <f>IFERROR(__xludf.DUMMYFUNCTION("""COMPUTED_VALUE"""),"Tanta")</f>
        <v>Tanta</v>
      </c>
      <c r="W146" s="43" t="str">
        <f>IFERROR(__xludf.DUMMYFUNCTION("""COMPUTED_VALUE"""),"2022-12-13T17:35:37Z")</f>
        <v>2022-12-13T17:35:37Z</v>
      </c>
      <c r="X146" s="43"/>
      <c r="Y146" s="43"/>
      <c r="Z146" s="43"/>
    </row>
    <row r="147" hidden="1">
      <c r="A147" s="43" t="str">
        <f>IFERROR(__xludf.DUMMYFUNCTION("""COMPUTED_VALUE"""),"5165419_1289122")</f>
        <v>5165419_1289122</v>
      </c>
      <c r="B147" s="43" t="str">
        <f>IFERROR(__xludf.DUMMYFUNCTION("""COMPUTED_VALUE"""),"Yousra Henni")</f>
        <v>Yousra Henni</v>
      </c>
      <c r="C147" s="43" t="str">
        <f>IFERROR(__xludf.DUMMYFUNCTION("""COMPUTED_VALUE"""),"finished")</f>
        <v>finished</v>
      </c>
      <c r="D147" s="43" t="str">
        <f>IFERROR(__xludf.DUMMYFUNCTION("""COMPUTED_VALUE"""),"No")</f>
        <v>No</v>
      </c>
      <c r="E147" s="43" t="str">
        <f>IFERROR(__xludf.DUMMYFUNCTION("""COMPUTED_VALUE"""),"p_2564ad16e207cd9f83041e5b920892916f49ae77@inbound.aiesec.org")</f>
        <v>p_2564ad16e207cd9f83041e5b920892916f49ae77@inbound.aiesec.org</v>
      </c>
      <c r="F147" s="43">
        <f>IFERROR(__xludf.DUMMYFUNCTION("""COMPUTED_VALUE"""),5.57090115E8)</f>
        <v>557090115</v>
      </c>
      <c r="G147" s="43" t="str">
        <f>IFERROR(__xludf.DUMMYFUNCTION("""COMPUTED_VALUE"""),"Algeria")</f>
        <v>Algeria</v>
      </c>
      <c r="H147" s="43" t="str">
        <f>IFERROR(__xludf.DUMMYFUNCTION("""COMPUTED_VALUE"""),"Benak")</f>
        <v>Benak</v>
      </c>
      <c r="I147" s="43" t="str">
        <f>IFERROR(__xludf.DUMMYFUNCTION("""COMPUTED_VALUE"""),"Turkey")</f>
        <v>Turkey</v>
      </c>
      <c r="J147" s="43" t="str">
        <f>IFERROR(__xludf.DUMMYFUNCTION("""COMPUTED_VALUE"""),"ISTANBUL")</f>
        <v>ISTANBUL</v>
      </c>
      <c r="K147" s="44" t="str">
        <f>IFERROR(__xludf.DUMMYFUNCTION("""COMPUTED_VALUE"""),"https://expa.aiesec.org/opportunities/1289122")</f>
        <v>https://expa.aiesec.org/opportunities/1289122</v>
      </c>
      <c r="L147" s="43" t="str">
        <f>IFERROR(__xludf.DUMMYFUNCTION("""COMPUTED_VALUE"""),"GTe")</f>
        <v>GTe</v>
      </c>
      <c r="M147" s="43" t="str">
        <f>IFERROR(__xludf.DUMMYFUNCTION("""COMPUTED_VALUE"""),"long")</f>
        <v>long</v>
      </c>
      <c r="N147" s="45">
        <f>IFERROR(__xludf.DUMMYFUNCTION("""COMPUTED_VALUE"""),44909.0)</f>
        <v>44909</v>
      </c>
      <c r="O147" s="45">
        <f>IFERROR(__xludf.DUMMYFUNCTION("""COMPUTED_VALUE"""),44920.0)</f>
        <v>44920</v>
      </c>
      <c r="P147" s="45">
        <f>IFERROR(__xludf.DUMMYFUNCTION("""COMPUTED_VALUE"""),45163.0)</f>
        <v>45163</v>
      </c>
      <c r="Q147" s="45">
        <f>IFERROR(__xludf.DUMMYFUNCTION("""COMPUTED_VALUE"""),44920.0)</f>
        <v>44920</v>
      </c>
      <c r="R147" s="45">
        <f>IFERROR(__xludf.DUMMYFUNCTION("""COMPUTED_VALUE"""),45163.0)</f>
        <v>45163</v>
      </c>
      <c r="S147" s="43"/>
      <c r="T147" s="43"/>
      <c r="U147" s="43" t="str">
        <f>IFERROR(__xludf.DUMMYFUNCTION("""COMPUTED_VALUE"""),"English Teacher in Istanbul")</f>
        <v>English Teacher in Istanbul</v>
      </c>
      <c r="V147" s="43" t="str">
        <f>IFERROR(__xludf.DUMMYFUNCTION("""COMPUTED_VALUE"""),"AIESEC in Benak")</f>
        <v>AIESEC in Benak</v>
      </c>
      <c r="W147" s="43" t="str">
        <f>IFERROR(__xludf.DUMMYFUNCTION("""COMPUTED_VALUE"""),"2022-12-12T17:42:52Z")</f>
        <v>2022-12-12T17:42:52Z</v>
      </c>
      <c r="X147" s="43"/>
      <c r="Y147" s="43"/>
      <c r="Z147" s="43"/>
    </row>
    <row r="148" hidden="1">
      <c r="A148" s="43" t="str">
        <f>IFERROR(__xludf.DUMMYFUNCTION("""COMPUTED_VALUE"""),"5166066_1262994")</f>
        <v>5166066_1262994</v>
      </c>
      <c r="B148" s="43" t="str">
        <f>IFERROR(__xludf.DUMMYFUNCTION("""COMPUTED_VALUE"""),"Anan Khedr")</f>
        <v>Anan Khedr</v>
      </c>
      <c r="C148" s="43" t="str">
        <f>IFERROR(__xludf.DUMMYFUNCTION("""COMPUTED_VALUE"""),"realization_broken")</f>
        <v>realization_broken</v>
      </c>
      <c r="D148" s="43" t="str">
        <f>IFERROR(__xludf.DUMMYFUNCTION("""COMPUTED_VALUE"""),"No")</f>
        <v>No</v>
      </c>
      <c r="E148" s="43" t="str">
        <f>IFERROR(__xludf.DUMMYFUNCTION("""COMPUTED_VALUE"""),"p_de86673b734227246d8e3c1e9ddcab378f7b68e7@inbound.aiesec.org")</f>
        <v>p_de86673b734227246d8e3c1e9ddcab378f7b68e7@inbound.aiesec.org</v>
      </c>
      <c r="F148" s="43">
        <f>IFERROR(__xludf.DUMMYFUNCTION("""COMPUTED_VALUE"""),5.352169153E9)</f>
        <v>5352169153</v>
      </c>
      <c r="G148" s="43" t="str">
        <f>IFERROR(__xludf.DUMMYFUNCTION("""COMPUTED_VALUE"""),"Egypt")</f>
        <v>Egypt</v>
      </c>
      <c r="H148" s="43" t="str">
        <f>IFERROR(__xludf.DUMMYFUNCTION("""COMPUTED_VALUE"""),"Ain Shams University")</f>
        <v>Ain Shams University</v>
      </c>
      <c r="I148" s="43" t="str">
        <f>IFERROR(__xludf.DUMMYFUNCTION("""COMPUTED_VALUE"""),"Turkey")</f>
        <v>Turkey</v>
      </c>
      <c r="J148" s="43" t="str">
        <f>IFERROR(__xludf.DUMMYFUNCTION("""COMPUTED_VALUE"""),"GAZIANTEP")</f>
        <v>GAZIANTEP</v>
      </c>
      <c r="K148" s="44" t="str">
        <f>IFERROR(__xludf.DUMMYFUNCTION("""COMPUTED_VALUE"""),"https://expa.aiesec.org/opportunities/1262994")</f>
        <v>https://expa.aiesec.org/opportunities/1262994</v>
      </c>
      <c r="L148" s="43" t="str">
        <f>IFERROR(__xludf.DUMMYFUNCTION("""COMPUTED_VALUE"""),"GTe")</f>
        <v>GTe</v>
      </c>
      <c r="M148" s="43" t="str">
        <f>IFERROR(__xludf.DUMMYFUNCTION("""COMPUTED_VALUE"""),"long")</f>
        <v>long</v>
      </c>
      <c r="N148" s="45">
        <f>IFERROR(__xludf.DUMMYFUNCTION("""COMPUTED_VALUE"""),44912.0)</f>
        <v>44912</v>
      </c>
      <c r="O148" s="45">
        <f>IFERROR(__xludf.DUMMYFUNCTION("""COMPUTED_VALUE"""),44958.0)</f>
        <v>44958</v>
      </c>
      <c r="P148" s="45">
        <f>IFERROR(__xludf.DUMMYFUNCTION("""COMPUTED_VALUE"""),45323.0)</f>
        <v>45323</v>
      </c>
      <c r="Q148" s="45"/>
      <c r="R148" s="45"/>
      <c r="S148" s="43"/>
      <c r="T148" s="43"/>
      <c r="U148" s="43" t="str">
        <f>IFERROR(__xludf.DUMMYFUNCTION("""COMPUTED_VALUE"""),"English Teacher ")</f>
        <v>English Teacher </v>
      </c>
      <c r="V148" s="43" t="str">
        <f>IFERROR(__xludf.DUMMYFUNCTION("""COMPUTED_VALUE"""),"Ain Shams University")</f>
        <v>Ain Shams University</v>
      </c>
      <c r="W148" s="43" t="str">
        <f>IFERROR(__xludf.DUMMYFUNCTION("""COMPUTED_VALUE"""),"2022-12-14T10:30:49Z")</f>
        <v>2022-12-14T10:30:49Z</v>
      </c>
      <c r="X148" s="43"/>
      <c r="Y148" s="43"/>
      <c r="Z148" s="43"/>
    </row>
    <row r="149" hidden="1">
      <c r="A149" s="43" t="str">
        <f>IFERROR(__xludf.DUMMYFUNCTION("""COMPUTED_VALUE"""),"5167220_1283288")</f>
        <v>5167220_1283288</v>
      </c>
      <c r="B149" s="43" t="str">
        <f>IFERROR(__xludf.DUMMYFUNCTION("""COMPUTED_VALUE"""),"Adams Boulhila")</f>
        <v>Adams Boulhila</v>
      </c>
      <c r="C149" s="43" t="str">
        <f>IFERROR(__xludf.DUMMYFUNCTION("""COMPUTED_VALUE"""),"realized")</f>
        <v>realized</v>
      </c>
      <c r="D149" s="43" t="str">
        <f>IFERROR(__xludf.DUMMYFUNCTION("""COMPUTED_VALUE"""),"No")</f>
        <v>No</v>
      </c>
      <c r="E149" s="43" t="str">
        <f>IFERROR(__xludf.DUMMYFUNCTION("""COMPUTED_VALUE"""),"p_62a2cadb47edd19a89194e6acae8e2f9050b7d9c@inbound.aiesec.org")</f>
        <v>p_62a2cadb47edd19a89194e6acae8e2f9050b7d9c@inbound.aiesec.org</v>
      </c>
      <c r="F149" s="43"/>
      <c r="G149" s="43" t="str">
        <f>IFERROR(__xludf.DUMMYFUNCTION("""COMPUTED_VALUE"""),"Algeria")</f>
        <v>Algeria</v>
      </c>
      <c r="H149" s="43" t="str">
        <f>IFERROR(__xludf.DUMMYFUNCTION("""COMPUTED_VALUE"""),"Babez")</f>
        <v>Babez</v>
      </c>
      <c r="I149" s="43" t="str">
        <f>IFERROR(__xludf.DUMMYFUNCTION("""COMPUTED_VALUE"""),"Turkey")</f>
        <v>Turkey</v>
      </c>
      <c r="J149" s="43" t="str">
        <f>IFERROR(__xludf.DUMMYFUNCTION("""COMPUTED_VALUE"""),"ISTANBUL ASIA")</f>
        <v>ISTANBUL ASIA</v>
      </c>
      <c r="K149" s="44" t="str">
        <f>IFERROR(__xludf.DUMMYFUNCTION("""COMPUTED_VALUE"""),"https://expa.aiesec.org/opportunities/1283288")</f>
        <v>https://expa.aiesec.org/opportunities/1283288</v>
      </c>
      <c r="L149" s="43" t="str">
        <f>IFERROR(__xludf.DUMMYFUNCTION("""COMPUTED_VALUE"""),"GTe")</f>
        <v>GTe</v>
      </c>
      <c r="M149" s="43" t="str">
        <f>IFERROR(__xludf.DUMMYFUNCTION("""COMPUTED_VALUE"""),"long")</f>
        <v>long</v>
      </c>
      <c r="N149" s="45">
        <f>IFERROR(__xludf.DUMMYFUNCTION("""COMPUTED_VALUE"""),44915.0)</f>
        <v>44915</v>
      </c>
      <c r="O149" s="45">
        <f>IFERROR(__xludf.DUMMYFUNCTION("""COMPUTED_VALUE"""),44931.0)</f>
        <v>44931</v>
      </c>
      <c r="P149" s="45">
        <f>IFERROR(__xludf.DUMMYFUNCTION("""COMPUTED_VALUE"""),45296.0)</f>
        <v>45296</v>
      </c>
      <c r="Q149" s="45">
        <f>IFERROR(__xludf.DUMMYFUNCTION("""COMPUTED_VALUE"""),44966.0)</f>
        <v>44966</v>
      </c>
      <c r="R149" s="45">
        <f>IFERROR(__xludf.DUMMYFUNCTION("""COMPUTED_VALUE"""),45331.0)</f>
        <v>45331</v>
      </c>
      <c r="S149" s="43"/>
      <c r="T149" s="43" t="str">
        <f>IFERROR(__xludf.DUMMYFUNCTION("""COMPUTED_VALUE"""),"Other")</f>
        <v>Other</v>
      </c>
      <c r="U149" s="43" t="str">
        <f>IFERROR(__xludf.DUMMYFUNCTION("""COMPUTED_VALUE"""),"Native Speaker")</f>
        <v>Native Speaker</v>
      </c>
      <c r="V149" s="43" t="str">
        <f>IFERROR(__xludf.DUMMYFUNCTION("""COMPUTED_VALUE"""),"-")</f>
        <v>-</v>
      </c>
      <c r="W149" s="43" t="str">
        <f>IFERROR(__xludf.DUMMYFUNCTION("""COMPUTED_VALUE"""),"2022-12-17T16:14:12Z")</f>
        <v>2022-12-17T16:14:12Z</v>
      </c>
      <c r="X149" s="43"/>
      <c r="Y149" s="43"/>
      <c r="Z149" s="43"/>
    </row>
    <row r="150" hidden="1">
      <c r="A150" s="43" t="str">
        <f>IFERROR(__xludf.DUMMYFUNCTION("""COMPUTED_VALUE"""),"5167160_1290729")</f>
        <v>5167160_1290729</v>
      </c>
      <c r="B150" s="43" t="str">
        <f>IFERROR(__xludf.DUMMYFUNCTION("""COMPUTED_VALUE"""),"Noura Shahin")</f>
        <v>Noura Shahin</v>
      </c>
      <c r="C150" s="43" t="str">
        <f>IFERROR(__xludf.DUMMYFUNCTION("""COMPUTED_VALUE"""),"finished")</f>
        <v>finished</v>
      </c>
      <c r="D150" s="43" t="str">
        <f>IFERROR(__xludf.DUMMYFUNCTION("""COMPUTED_VALUE"""),"No")</f>
        <v>No</v>
      </c>
      <c r="E150" s="43" t="str">
        <f>IFERROR(__xludf.DUMMYFUNCTION("""COMPUTED_VALUE"""),"p_9b359285d1e5dee6baf5e8d8cd1ef21bb2f74206@inbound.aiesec.org")</f>
        <v>p_9b359285d1e5dee6baf5e8d8cd1ef21bb2f74206@inbound.aiesec.org</v>
      </c>
      <c r="F150" s="43"/>
      <c r="G150" s="43" t="str">
        <f>IFERROR(__xludf.DUMMYFUNCTION("""COMPUTED_VALUE"""),"Egypt")</f>
        <v>Egypt</v>
      </c>
      <c r="H150" s="43" t="str">
        <f>IFERROR(__xludf.DUMMYFUNCTION("""COMPUTED_VALUE"""),"MUST")</f>
        <v>MUST</v>
      </c>
      <c r="I150" s="43" t="str">
        <f>IFERROR(__xludf.DUMMYFUNCTION("""COMPUTED_VALUE"""),"Turkey")</f>
        <v>Turkey</v>
      </c>
      <c r="J150" s="43" t="str">
        <f>IFERROR(__xludf.DUMMYFUNCTION("""COMPUTED_VALUE"""),"GAZIANTEP")</f>
        <v>GAZIANTEP</v>
      </c>
      <c r="K150" s="44" t="str">
        <f>IFERROR(__xludf.DUMMYFUNCTION("""COMPUTED_VALUE"""),"https://expa.aiesec.org/opportunities/1290729")</f>
        <v>https://expa.aiesec.org/opportunities/1290729</v>
      </c>
      <c r="L150" s="43" t="str">
        <f>IFERROR(__xludf.DUMMYFUNCTION("""COMPUTED_VALUE"""),"GTe")</f>
        <v>GTe</v>
      </c>
      <c r="M150" s="43" t="str">
        <f>IFERROR(__xludf.DUMMYFUNCTION("""COMPUTED_VALUE"""),"long")</f>
        <v>long</v>
      </c>
      <c r="N150" s="45">
        <f>IFERROR(__xludf.DUMMYFUNCTION("""COMPUTED_VALUE"""),44916.0)</f>
        <v>44916</v>
      </c>
      <c r="O150" s="45">
        <f>IFERROR(__xludf.DUMMYFUNCTION("""COMPUTED_VALUE"""),44942.0)</f>
        <v>44942</v>
      </c>
      <c r="P150" s="45">
        <f>IFERROR(__xludf.DUMMYFUNCTION("""COMPUTED_VALUE"""),45307.0)</f>
        <v>45307</v>
      </c>
      <c r="Q150" s="45">
        <f>IFERROR(__xludf.DUMMYFUNCTION("""COMPUTED_VALUE"""),44948.0)</f>
        <v>44948</v>
      </c>
      <c r="R150" s="45">
        <f>IFERROR(__xludf.DUMMYFUNCTION("""COMPUTED_VALUE"""),45314.0)</f>
        <v>45314</v>
      </c>
      <c r="S150" s="43"/>
      <c r="T150" s="43"/>
      <c r="U150" s="43" t="str">
        <f>IFERROR(__xludf.DUMMYFUNCTION("""COMPUTED_VALUE"""),"English Teacher ")</f>
        <v>English Teacher </v>
      </c>
      <c r="V150" s="43" t="str">
        <f>IFERROR(__xludf.DUMMYFUNCTION("""COMPUTED_VALUE"""),"-")</f>
        <v>-</v>
      </c>
      <c r="W150" s="43" t="str">
        <f>IFERROR(__xludf.DUMMYFUNCTION("""COMPUTED_VALUE"""),"2022-12-17T11:59:28Z")</f>
        <v>2022-12-17T11:59:28Z</v>
      </c>
      <c r="X150" s="43"/>
      <c r="Y150" s="43"/>
      <c r="Z150" s="43"/>
    </row>
    <row r="151" hidden="1">
      <c r="A151" s="43" t="str">
        <f>IFERROR(__xludf.DUMMYFUNCTION("""COMPUTED_VALUE"""),"5140493_1291056")</f>
        <v>5140493_1291056</v>
      </c>
      <c r="B151" s="43" t="str">
        <f>IFERROR(__xludf.DUMMYFUNCTION("""COMPUTED_VALUE"""),"soukaina koumani")</f>
        <v>soukaina koumani</v>
      </c>
      <c r="C151" s="43" t="str">
        <f>IFERROR(__xludf.DUMMYFUNCTION("""COMPUTED_VALUE"""),"finished")</f>
        <v>finished</v>
      </c>
      <c r="D151" s="43" t="str">
        <f>IFERROR(__xludf.DUMMYFUNCTION("""COMPUTED_VALUE"""),"No")</f>
        <v>No</v>
      </c>
      <c r="E151" s="43" t="str">
        <f>IFERROR(__xludf.DUMMYFUNCTION("""COMPUTED_VALUE"""),"p_7b8cdaafeffb565522a18a67c4c159e6d993344f@inbound.aiesec.org")</f>
        <v>p_7b8cdaafeffb565522a18a67c4c159e6d993344f@inbound.aiesec.org</v>
      </c>
      <c r="F151" s="43"/>
      <c r="G151" s="43" t="str">
        <f>IFERROR(__xludf.DUMMYFUNCTION("""COMPUTED_VALUE"""),"Morocco")</f>
        <v>Morocco</v>
      </c>
      <c r="H151" s="43" t="str">
        <f>IFERROR(__xludf.DUMMYFUNCTION("""COMPUTED_VALUE"""),"Agadir")</f>
        <v>Agadir</v>
      </c>
      <c r="I151" s="43" t="str">
        <f>IFERROR(__xludf.DUMMYFUNCTION("""COMPUTED_VALUE"""),"Turkey")</f>
        <v>Turkey</v>
      </c>
      <c r="J151" s="43" t="str">
        <f>IFERROR(__xludf.DUMMYFUNCTION("""COMPUTED_VALUE"""),"SAKARYA")</f>
        <v>SAKARYA</v>
      </c>
      <c r="K151" s="44" t="str">
        <f>IFERROR(__xludf.DUMMYFUNCTION("""COMPUTED_VALUE"""),"https://expa.aiesec.org/opportunities/1291056")</f>
        <v>https://expa.aiesec.org/opportunities/1291056</v>
      </c>
      <c r="L151" s="43" t="str">
        <f>IFERROR(__xludf.DUMMYFUNCTION("""COMPUTED_VALUE"""),"GTe")</f>
        <v>GTe</v>
      </c>
      <c r="M151" s="43" t="str">
        <f>IFERROR(__xludf.DUMMYFUNCTION("""COMPUTED_VALUE"""),"long")</f>
        <v>long</v>
      </c>
      <c r="N151" s="45">
        <f>IFERROR(__xludf.DUMMYFUNCTION("""COMPUTED_VALUE"""),44920.0)</f>
        <v>44920</v>
      </c>
      <c r="O151" s="45">
        <f>IFERROR(__xludf.DUMMYFUNCTION("""COMPUTED_VALUE"""),44907.0)</f>
        <v>44907</v>
      </c>
      <c r="P151" s="45">
        <f>IFERROR(__xludf.DUMMYFUNCTION("""COMPUTED_VALUE"""),45184.0)</f>
        <v>45184</v>
      </c>
      <c r="Q151" s="45">
        <f>IFERROR(__xludf.DUMMYFUNCTION("""COMPUTED_VALUE"""),45025.0)</f>
        <v>45025</v>
      </c>
      <c r="R151" s="45">
        <f>IFERROR(__xludf.DUMMYFUNCTION("""COMPUTED_VALUE"""),45302.0)</f>
        <v>45302</v>
      </c>
      <c r="S151" s="43"/>
      <c r="T151" s="43"/>
      <c r="U151" s="43" t="str">
        <f>IFERROR(__xludf.DUMMYFUNCTION("""COMPUTED_VALUE"""),"English Teacher | Private Language Course")</f>
        <v>English Teacher | Private Language Course</v>
      </c>
      <c r="V151" s="43" t="str">
        <f>IFERROR(__xludf.DUMMYFUNCTION("""COMPUTED_VALUE"""),"-")</f>
        <v>-</v>
      </c>
      <c r="W151" s="43" t="str">
        <f>IFERROR(__xludf.DUMMYFUNCTION("""COMPUTED_VALUE"""),"2022-10-25T21:33:52Z")</f>
        <v>2022-10-25T21:33:52Z</v>
      </c>
      <c r="X151" s="43"/>
      <c r="Y151" s="43"/>
      <c r="Z151" s="43"/>
    </row>
    <row r="152">
      <c r="A152" s="43" t="str">
        <f>IFERROR(__xludf.DUMMYFUNCTION("""COMPUTED_VALUE"""),"4781636_1289689")</f>
        <v>4781636_1289689</v>
      </c>
      <c r="B152" s="43" t="str">
        <f>IFERROR(__xludf.DUMMYFUNCTION("""COMPUTED_VALUE"""),"Nacera Djemai")</f>
        <v>Nacera Djemai</v>
      </c>
      <c r="C152" s="43" t="str">
        <f>IFERROR(__xludf.DUMMYFUNCTION("""COMPUTED_VALUE"""),"approved")</f>
        <v>approved</v>
      </c>
      <c r="D152" s="43" t="str">
        <f>IFERROR(__xludf.DUMMYFUNCTION("""COMPUTED_VALUE"""),"No")</f>
        <v>No</v>
      </c>
      <c r="E152" s="43" t="str">
        <f>IFERROR(__xludf.DUMMYFUNCTION("""COMPUTED_VALUE"""),"p_ad37c3c2635e30a936f9fbb97ce7472ff85f6dc1@inbound.aiesec.org")</f>
        <v>p_ad37c3c2635e30a936f9fbb97ce7472ff85f6dc1@inbound.aiesec.org</v>
      </c>
      <c r="F152" s="43">
        <f>IFERROR(__xludf.DUMMYFUNCTION("""COMPUTED_VALUE"""),7.92131965E8)</f>
        <v>792131965</v>
      </c>
      <c r="G152" s="43" t="str">
        <f>IFERROR(__xludf.DUMMYFUNCTION("""COMPUTED_VALUE"""),"Algeria")</f>
        <v>Algeria</v>
      </c>
      <c r="H152" s="43" t="str">
        <f>IFERROR(__xludf.DUMMYFUNCTION("""COMPUTED_VALUE"""),"Blida")</f>
        <v>Blida</v>
      </c>
      <c r="I152" s="43" t="str">
        <f>IFERROR(__xludf.DUMMYFUNCTION("""COMPUTED_VALUE"""),"Turkey")</f>
        <v>Turkey</v>
      </c>
      <c r="J152" s="43" t="str">
        <f>IFERROR(__xludf.DUMMYFUNCTION("""COMPUTED_VALUE"""),"SAKARYA")</f>
        <v>SAKARYA</v>
      </c>
      <c r="K152" s="44" t="str">
        <f>IFERROR(__xludf.DUMMYFUNCTION("""COMPUTED_VALUE"""),"https://expa.aiesec.org/opportunities/1289689")</f>
        <v>https://expa.aiesec.org/opportunities/1289689</v>
      </c>
      <c r="L152" s="43" t="str">
        <f>IFERROR(__xludf.DUMMYFUNCTION("""COMPUTED_VALUE"""),"GTe")</f>
        <v>GTe</v>
      </c>
      <c r="M152" s="43" t="str">
        <f>IFERROR(__xludf.DUMMYFUNCTION("""COMPUTED_VALUE"""),"medium")</f>
        <v>medium</v>
      </c>
      <c r="N152" s="45">
        <f>IFERROR(__xludf.DUMMYFUNCTION("""COMPUTED_VALUE"""),44923.0)</f>
        <v>44923</v>
      </c>
      <c r="O152" s="45">
        <f>IFERROR(__xludf.DUMMYFUNCTION("""COMPUTED_VALUE"""),44972.0)</f>
        <v>44972</v>
      </c>
      <c r="P152" s="45">
        <f>IFERROR(__xludf.DUMMYFUNCTION("""COMPUTED_VALUE"""),45153.0)</f>
        <v>45153</v>
      </c>
      <c r="Q152" s="45"/>
      <c r="R152" s="45"/>
      <c r="S152" s="43"/>
      <c r="T152" s="43"/>
      <c r="U152" s="43" t="str">
        <f>IFERROR(__xludf.DUMMYFUNCTION("""COMPUTED_VALUE"""),"English Language Teacher | Makrodil Universal Language Academy")</f>
        <v>English Language Teacher | Makrodil Universal Language Academy</v>
      </c>
      <c r="V152" s="43" t="str">
        <f>IFERROR(__xludf.DUMMYFUNCTION("""COMPUTED_VALUE"""),"-")</f>
        <v>-</v>
      </c>
      <c r="W152" s="43" t="str">
        <f>IFERROR(__xludf.DUMMYFUNCTION("""COMPUTED_VALUE"""),"2021-11-01T20:48:32Z")</f>
        <v>2021-11-01T20:48:32Z</v>
      </c>
      <c r="X152" s="43"/>
      <c r="Y152" s="43"/>
      <c r="Z152" s="43"/>
    </row>
    <row r="153" hidden="1">
      <c r="A153" s="43" t="str">
        <f>IFERROR(__xludf.DUMMYFUNCTION("""COMPUTED_VALUE"""),"2725469_1278298")</f>
        <v>2725469_1278298</v>
      </c>
      <c r="B153" s="43" t="str">
        <f>IFERROR(__xludf.DUMMYFUNCTION("""COMPUTED_VALUE"""),"Ines Hammami")</f>
        <v>Ines Hammami</v>
      </c>
      <c r="C153" s="43" t="str">
        <f>IFERROR(__xludf.DUMMYFUNCTION("""COMPUTED_VALUE"""),"realized")</f>
        <v>realized</v>
      </c>
      <c r="D153" s="43" t="str">
        <f>IFERROR(__xludf.DUMMYFUNCTION("""COMPUTED_VALUE"""),"No")</f>
        <v>No</v>
      </c>
      <c r="E153" s="43" t="str">
        <f>IFERROR(__xludf.DUMMYFUNCTION("""COMPUTED_VALUE"""),"p_3610b45dda92e722d4ed1da9814fa8beaf7033dd@inbound.aiesec.org")</f>
        <v>p_3610b45dda92e722d4ed1da9814fa8beaf7033dd@inbound.aiesec.org</v>
      </c>
      <c r="F153" s="43">
        <f>IFERROR(__xludf.DUMMYFUNCTION("""COMPUTED_VALUE"""),5.5326277E7)</f>
        <v>55326277</v>
      </c>
      <c r="G153" s="43" t="str">
        <f>IFERROR(__xludf.DUMMYFUNCTION("""COMPUTED_VALUE"""),"Tunisia")</f>
        <v>Tunisia</v>
      </c>
      <c r="H153" s="43" t="str">
        <f>IFERROR(__xludf.DUMMYFUNCTION("""COMPUTED_VALUE"""),"UNIVERSITY")</f>
        <v>UNIVERSITY</v>
      </c>
      <c r="I153" s="43" t="str">
        <f>IFERROR(__xludf.DUMMYFUNCTION("""COMPUTED_VALUE"""),"Turkey")</f>
        <v>Turkey</v>
      </c>
      <c r="J153" s="43" t="str">
        <f>IFERROR(__xludf.DUMMYFUNCTION("""COMPUTED_VALUE"""),"KOCAELI")</f>
        <v>KOCAELI</v>
      </c>
      <c r="K153" s="44" t="str">
        <f>IFERROR(__xludf.DUMMYFUNCTION("""COMPUTED_VALUE"""),"https://expa.aiesec.org/opportunities/1278298")</f>
        <v>https://expa.aiesec.org/opportunities/1278298</v>
      </c>
      <c r="L153" s="43" t="str">
        <f>IFERROR(__xludf.DUMMYFUNCTION("""COMPUTED_VALUE"""),"GTe")</f>
        <v>GTe</v>
      </c>
      <c r="M153" s="43" t="str">
        <f>IFERROR(__xludf.DUMMYFUNCTION("""COMPUTED_VALUE"""),"long")</f>
        <v>long</v>
      </c>
      <c r="N153" s="45">
        <f>IFERROR(__xludf.DUMMYFUNCTION("""COMPUTED_VALUE"""),44923.0)</f>
        <v>44923</v>
      </c>
      <c r="O153" s="45">
        <f>IFERROR(__xludf.DUMMYFUNCTION("""COMPUTED_VALUE"""),44956.0)</f>
        <v>44956</v>
      </c>
      <c r="P153" s="45">
        <f>IFERROR(__xludf.DUMMYFUNCTION("""COMPUTED_VALUE"""),45321.0)</f>
        <v>45321</v>
      </c>
      <c r="Q153" s="45">
        <f>IFERROR(__xludf.DUMMYFUNCTION("""COMPUTED_VALUE"""),44967.0)</f>
        <v>44967</v>
      </c>
      <c r="R153" s="45">
        <f>IFERROR(__xludf.DUMMYFUNCTION("""COMPUTED_VALUE"""),45330.0)</f>
        <v>45330</v>
      </c>
      <c r="S153" s="43"/>
      <c r="T153" s="43"/>
      <c r="U153" s="43" t="str">
        <f>IFERROR(__xludf.DUMMYFUNCTION("""COMPUTED_VALUE"""),"Gebze İngiliz Kültür ")</f>
        <v>Gebze İngiliz Kültür </v>
      </c>
      <c r="V153" s="43" t="str">
        <f>IFERROR(__xludf.DUMMYFUNCTION("""COMPUTED_VALUE"""),"FST")</f>
        <v>FST</v>
      </c>
      <c r="W153" s="43" t="str">
        <f>IFERROR(__xludf.DUMMYFUNCTION("""COMPUTED_VALUE"""),"2018-10-23T21:53:38Z")</f>
        <v>2018-10-23T21:53:38Z</v>
      </c>
      <c r="X153" s="43"/>
      <c r="Y153" s="43"/>
      <c r="Z153" s="43"/>
    </row>
    <row r="154">
      <c r="A154" s="43" t="str">
        <f>IFERROR(__xludf.DUMMYFUNCTION("""COMPUTED_VALUE"""),"5170486_1289689")</f>
        <v>5170486_1289689</v>
      </c>
      <c r="B154" s="43" t="str">
        <f>IFERROR(__xludf.DUMMYFUNCTION("""COMPUTED_VALUE"""),"Shahd Gadallah")</f>
        <v>Shahd Gadallah</v>
      </c>
      <c r="C154" s="43" t="str">
        <f>IFERROR(__xludf.DUMMYFUNCTION("""COMPUTED_VALUE"""),"approved")</f>
        <v>approved</v>
      </c>
      <c r="D154" s="43" t="str">
        <f>IFERROR(__xludf.DUMMYFUNCTION("""COMPUTED_VALUE"""),"No")</f>
        <v>No</v>
      </c>
      <c r="E154" s="43" t="str">
        <f>IFERROR(__xludf.DUMMYFUNCTION("""COMPUTED_VALUE"""),"p_ea675307404ce92333f64752b794d54cf0ef12ca@inbound.aiesec.org")</f>
        <v>p_ea675307404ce92333f64752b794d54cf0ef12ca@inbound.aiesec.org</v>
      </c>
      <c r="F154" s="43">
        <f>IFERROR(__xludf.DUMMYFUNCTION("""COMPUTED_VALUE"""),1.200887239E9)</f>
        <v>1200887239</v>
      </c>
      <c r="G154" s="43" t="str">
        <f>IFERROR(__xludf.DUMMYFUNCTION("""COMPUTED_VALUE"""),"Egypt")</f>
        <v>Egypt</v>
      </c>
      <c r="H154" s="43" t="str">
        <f>IFERROR(__xludf.DUMMYFUNCTION("""COMPUTED_VALUE"""),"Ain Shams University")</f>
        <v>Ain Shams University</v>
      </c>
      <c r="I154" s="43" t="str">
        <f>IFERROR(__xludf.DUMMYFUNCTION("""COMPUTED_VALUE"""),"Turkey")</f>
        <v>Turkey</v>
      </c>
      <c r="J154" s="43" t="str">
        <f>IFERROR(__xludf.DUMMYFUNCTION("""COMPUTED_VALUE"""),"SAKARYA")</f>
        <v>SAKARYA</v>
      </c>
      <c r="K154" s="44" t="str">
        <f>IFERROR(__xludf.DUMMYFUNCTION("""COMPUTED_VALUE"""),"https://expa.aiesec.org/opportunities/1289689")</f>
        <v>https://expa.aiesec.org/opportunities/1289689</v>
      </c>
      <c r="L154" s="43" t="str">
        <f>IFERROR(__xludf.DUMMYFUNCTION("""COMPUTED_VALUE"""),"GTe")</f>
        <v>GTe</v>
      </c>
      <c r="M154" s="43" t="str">
        <f>IFERROR(__xludf.DUMMYFUNCTION("""COMPUTED_VALUE"""),"medium")</f>
        <v>medium</v>
      </c>
      <c r="N154" s="45">
        <f>IFERROR(__xludf.DUMMYFUNCTION("""COMPUTED_VALUE"""),44925.0)</f>
        <v>44925</v>
      </c>
      <c r="O154" s="45">
        <f>IFERROR(__xludf.DUMMYFUNCTION("""COMPUTED_VALUE"""),44972.0)</f>
        <v>44972</v>
      </c>
      <c r="P154" s="45">
        <f>IFERROR(__xludf.DUMMYFUNCTION("""COMPUTED_VALUE"""),45153.0)</f>
        <v>45153</v>
      </c>
      <c r="Q154" s="45"/>
      <c r="R154" s="45"/>
      <c r="S154" s="43"/>
      <c r="T154" s="43"/>
      <c r="U154" s="43" t="str">
        <f>IFERROR(__xludf.DUMMYFUNCTION("""COMPUTED_VALUE"""),"English Language Teacher | Makrodil Universal Language Academy")</f>
        <v>English Language Teacher | Makrodil Universal Language Academy</v>
      </c>
      <c r="V154" s="43" t="str">
        <f>IFERROR(__xludf.DUMMYFUNCTION("""COMPUTED_VALUE"""),"Ain Shams University")</f>
        <v>Ain Shams University</v>
      </c>
      <c r="W154" s="43" t="str">
        <f>IFERROR(__xludf.DUMMYFUNCTION("""COMPUTED_VALUE"""),"2022-12-26T21:37:03Z")</f>
        <v>2022-12-26T21:37:03Z</v>
      </c>
      <c r="X154" s="43"/>
      <c r="Y154" s="43"/>
      <c r="Z154" s="43"/>
    </row>
    <row r="155" hidden="1">
      <c r="A155" s="43" t="str">
        <f>IFERROR(__xludf.DUMMYFUNCTION("""COMPUTED_VALUE"""),"5171556_1286368")</f>
        <v>5171556_1286368</v>
      </c>
      <c r="B155" s="43" t="str">
        <f>IFERROR(__xludf.DUMMYFUNCTION("""COMPUTED_VALUE"""),"Achini Liyanaarachchi")</f>
        <v>Achini Liyanaarachchi</v>
      </c>
      <c r="C155" s="43" t="str">
        <f>IFERROR(__xludf.DUMMYFUNCTION("""COMPUTED_VALUE"""),"finished")</f>
        <v>finished</v>
      </c>
      <c r="D155" s="43" t="str">
        <f>IFERROR(__xludf.DUMMYFUNCTION("""COMPUTED_VALUE"""),"No")</f>
        <v>No</v>
      </c>
      <c r="E155" s="43" t="str">
        <f>IFERROR(__xludf.DUMMYFUNCTION("""COMPUTED_VALUE"""),"p_3f455358f58018edd93a0442abf8ea9b9c76a765@inbound.aiesec.org")</f>
        <v>p_3f455358f58018edd93a0442abf8ea9b9c76a765@inbound.aiesec.org</v>
      </c>
      <c r="F155" s="43">
        <f>IFERROR(__xludf.DUMMYFUNCTION("""COMPUTED_VALUE"""),7.64998329E8)</f>
        <v>764998329</v>
      </c>
      <c r="G155" s="43" t="str">
        <f>IFERROR(__xludf.DUMMYFUNCTION("""COMPUTED_VALUE"""),"Sri Lanka")</f>
        <v>Sri Lanka</v>
      </c>
      <c r="H155" s="43" t="str">
        <f>IFERROR(__xludf.DUMMYFUNCTION("""COMPUTED_VALUE"""),"COLOMBO NORTH")</f>
        <v>COLOMBO NORTH</v>
      </c>
      <c r="I155" s="43" t="str">
        <f>IFERROR(__xludf.DUMMYFUNCTION("""COMPUTED_VALUE"""),"Turkey")</f>
        <v>Turkey</v>
      </c>
      <c r="J155" s="43" t="str">
        <f>IFERROR(__xludf.DUMMYFUNCTION("""COMPUTED_VALUE"""),"ISTANBUL ASIA")</f>
        <v>ISTANBUL ASIA</v>
      </c>
      <c r="K155" s="44" t="str">
        <f>IFERROR(__xludf.DUMMYFUNCTION("""COMPUTED_VALUE"""),"https://expa.aiesec.org/opportunities/1286368")</f>
        <v>https://expa.aiesec.org/opportunities/1286368</v>
      </c>
      <c r="L155" s="43" t="str">
        <f>IFERROR(__xludf.DUMMYFUNCTION("""COMPUTED_VALUE"""),"GTe")</f>
        <v>GTe</v>
      </c>
      <c r="M155" s="43" t="str">
        <f>IFERROR(__xludf.DUMMYFUNCTION("""COMPUTED_VALUE"""),"long")</f>
        <v>long</v>
      </c>
      <c r="N155" s="45">
        <f>IFERROR(__xludf.DUMMYFUNCTION("""COMPUTED_VALUE"""),44927.0)</f>
        <v>44927</v>
      </c>
      <c r="O155" s="45">
        <f>IFERROR(__xludf.DUMMYFUNCTION("""COMPUTED_VALUE"""),44942.0)</f>
        <v>44942</v>
      </c>
      <c r="P155" s="45">
        <f>IFERROR(__xludf.DUMMYFUNCTION("""COMPUTED_VALUE"""),45310.0)</f>
        <v>45310</v>
      </c>
      <c r="Q155" s="45">
        <f>IFERROR(__xludf.DUMMYFUNCTION("""COMPUTED_VALUE"""),44951.0)</f>
        <v>44951</v>
      </c>
      <c r="R155" s="45">
        <f>IFERROR(__xludf.DUMMYFUNCTION("""COMPUTED_VALUE"""),45320.0)</f>
        <v>45320</v>
      </c>
      <c r="S155" s="43"/>
      <c r="T155" s="43"/>
      <c r="U155" s="43" t="str">
        <f>IFERROR(__xludf.DUMMYFUNCTION("""COMPUTED_VALUE"""),"English Teacher")</f>
        <v>English Teacher</v>
      </c>
      <c r="V155" s="43" t="str">
        <f>IFERROR(__xludf.DUMMYFUNCTION("""COMPUTED_VALUE"""),"University of Kelaniya")</f>
        <v>University of Kelaniya</v>
      </c>
      <c r="W155" s="43" t="str">
        <f>IFERROR(__xludf.DUMMYFUNCTION("""COMPUTED_VALUE"""),"2022-12-30T10:06:49Z")</f>
        <v>2022-12-30T10:06:49Z</v>
      </c>
      <c r="X155" s="43"/>
      <c r="Y155" s="43"/>
      <c r="Z155" s="43"/>
    </row>
    <row r="156" hidden="1">
      <c r="A156" s="43" t="str">
        <f>IFERROR(__xludf.DUMMYFUNCTION("""COMPUTED_VALUE"""),"5167352_1277333")</f>
        <v>5167352_1277333</v>
      </c>
      <c r="B156" s="43" t="str">
        <f>IFERROR(__xludf.DUMMYFUNCTION("""COMPUTED_VALUE"""),"Slimane Aitchabane")</f>
        <v>Slimane Aitchabane</v>
      </c>
      <c r="C156" s="43" t="str">
        <f>IFERROR(__xludf.DUMMYFUNCTION("""COMPUTED_VALUE"""),"realized")</f>
        <v>realized</v>
      </c>
      <c r="D156" s="43" t="str">
        <f>IFERROR(__xludf.DUMMYFUNCTION("""COMPUTED_VALUE"""),"No")</f>
        <v>No</v>
      </c>
      <c r="E156" s="43" t="str">
        <f>IFERROR(__xludf.DUMMYFUNCTION("""COMPUTED_VALUE"""),"p_d32f0d3fca335efc8f3e324656e627ad06caac57@inbound.aiesec.org")</f>
        <v>p_d32f0d3fca335efc8f3e324656e627ad06caac57@inbound.aiesec.org</v>
      </c>
      <c r="F156" s="43">
        <f>IFERROR(__xludf.DUMMYFUNCTION("""COMPUTED_VALUE"""),7.93813457E8)</f>
        <v>793813457</v>
      </c>
      <c r="G156" s="43" t="str">
        <f>IFERROR(__xludf.DUMMYFUNCTION("""COMPUTED_VALUE"""),"Algeria")</f>
        <v>Algeria</v>
      </c>
      <c r="H156" s="43" t="str">
        <f>IFERROR(__xludf.DUMMYFUNCTION("""COMPUTED_VALUE"""),"Babez")</f>
        <v>Babez</v>
      </c>
      <c r="I156" s="43" t="str">
        <f>IFERROR(__xludf.DUMMYFUNCTION("""COMPUTED_VALUE"""),"Turkey")</f>
        <v>Turkey</v>
      </c>
      <c r="J156" s="43" t="str">
        <f>IFERROR(__xludf.DUMMYFUNCTION("""COMPUTED_VALUE"""),"KOCAELI")</f>
        <v>KOCAELI</v>
      </c>
      <c r="K156" s="44" t="str">
        <f>IFERROR(__xludf.DUMMYFUNCTION("""COMPUTED_VALUE"""),"https://expa.aiesec.org/opportunities/1277333")</f>
        <v>https://expa.aiesec.org/opportunities/1277333</v>
      </c>
      <c r="L156" s="43" t="str">
        <f>IFERROR(__xludf.DUMMYFUNCTION("""COMPUTED_VALUE"""),"GTe")</f>
        <v>GTe</v>
      </c>
      <c r="M156" s="43" t="str">
        <f>IFERROR(__xludf.DUMMYFUNCTION("""COMPUTED_VALUE"""),"long")</f>
        <v>long</v>
      </c>
      <c r="N156" s="45">
        <f>IFERROR(__xludf.DUMMYFUNCTION("""COMPUTED_VALUE"""),44929.0)</f>
        <v>44929</v>
      </c>
      <c r="O156" s="45">
        <f>IFERROR(__xludf.DUMMYFUNCTION("""COMPUTED_VALUE"""),44962.0)</f>
        <v>44962</v>
      </c>
      <c r="P156" s="45">
        <f>IFERROR(__xludf.DUMMYFUNCTION("""COMPUTED_VALUE"""),45327.0)</f>
        <v>45327</v>
      </c>
      <c r="Q156" s="45">
        <f>IFERROR(__xludf.DUMMYFUNCTION("""COMPUTED_VALUE"""),44962.0)</f>
        <v>44962</v>
      </c>
      <c r="R156" s="45">
        <f>IFERROR(__xludf.DUMMYFUNCTION("""COMPUTED_VALUE"""),45327.0)</f>
        <v>45327</v>
      </c>
      <c r="S156" s="43"/>
      <c r="T156" s="43"/>
      <c r="U156" s="43" t="str">
        <f>IFERROR(__xludf.DUMMYFUNCTION("""COMPUTED_VALUE"""),"English Teacher in English Time (Long)")</f>
        <v>English Teacher in English Time (Long)</v>
      </c>
      <c r="V156" s="43" t="str">
        <f>IFERROR(__xludf.DUMMYFUNCTION("""COMPUTED_VALUE"""),"AIESEC in Babez")</f>
        <v>AIESEC in Babez</v>
      </c>
      <c r="W156" s="43" t="str">
        <f>IFERROR(__xludf.DUMMYFUNCTION("""COMPUTED_VALUE"""),"2022-12-17T22:54:46Z")</f>
        <v>2022-12-17T22:54:46Z</v>
      </c>
      <c r="X156" s="43"/>
      <c r="Y156" s="43"/>
      <c r="Z156" s="43"/>
    </row>
    <row r="157">
      <c r="A157" s="43" t="str">
        <f>IFERROR(__xludf.DUMMYFUNCTION("""COMPUTED_VALUE"""),"1876795_1291482")</f>
        <v>1876795_1291482</v>
      </c>
      <c r="B157" s="43" t="str">
        <f>IFERROR(__xludf.DUMMYFUNCTION("""COMPUTED_VALUE"""),"Aya OUARIAGLY")</f>
        <v>Aya OUARIAGLY</v>
      </c>
      <c r="C157" s="43" t="str">
        <f>IFERROR(__xludf.DUMMYFUNCTION("""COMPUTED_VALUE"""),"approved")</f>
        <v>approved</v>
      </c>
      <c r="D157" s="43" t="str">
        <f>IFERROR(__xludf.DUMMYFUNCTION("""COMPUTED_VALUE"""),"No")</f>
        <v>No</v>
      </c>
      <c r="E157" s="43" t="str">
        <f>IFERROR(__xludf.DUMMYFUNCTION("""COMPUTED_VALUE"""),"p_df78cae3f3f6161b85aa79708146a92a75578437@inbound.aiesec.org")</f>
        <v>p_df78cae3f3f6161b85aa79708146a92a75578437@inbound.aiesec.org</v>
      </c>
      <c r="F157" s="43">
        <f>IFERROR(__xludf.DUMMYFUNCTION("""COMPUTED_VALUE"""),6.38280864E8)</f>
        <v>638280864</v>
      </c>
      <c r="G157" s="43" t="str">
        <f>IFERROR(__xludf.DUMMYFUNCTION("""COMPUTED_VALUE"""),"Morocco")</f>
        <v>Morocco</v>
      </c>
      <c r="H157" s="43" t="str">
        <f>IFERROR(__xludf.DUMMYFUNCTION("""COMPUTED_VALUE"""),"Morocco (MC)")</f>
        <v>Morocco (MC)</v>
      </c>
      <c r="I157" s="43" t="str">
        <f>IFERROR(__xludf.DUMMYFUNCTION("""COMPUTED_VALUE"""),"Turkey")</f>
        <v>Turkey</v>
      </c>
      <c r="J157" s="43" t="str">
        <f>IFERROR(__xludf.DUMMYFUNCTION("""COMPUTED_VALUE"""),"TRABZON")</f>
        <v>TRABZON</v>
      </c>
      <c r="K157" s="44" t="str">
        <f>IFERROR(__xludf.DUMMYFUNCTION("""COMPUTED_VALUE"""),"https://expa.aiesec.org/opportunities/1291482")</f>
        <v>https://expa.aiesec.org/opportunities/1291482</v>
      </c>
      <c r="L157" s="43" t="str">
        <f>IFERROR(__xludf.DUMMYFUNCTION("""COMPUTED_VALUE"""),"GTe")</f>
        <v>GTe</v>
      </c>
      <c r="M157" s="43" t="str">
        <f>IFERROR(__xludf.DUMMYFUNCTION("""COMPUTED_VALUE"""),"long")</f>
        <v>long</v>
      </c>
      <c r="N157" s="45">
        <f>IFERROR(__xludf.DUMMYFUNCTION("""COMPUTED_VALUE"""),44929.0)</f>
        <v>44929</v>
      </c>
      <c r="O157" s="45">
        <f>IFERROR(__xludf.DUMMYFUNCTION("""COMPUTED_VALUE"""),44958.0)</f>
        <v>44958</v>
      </c>
      <c r="P157" s="45">
        <f>IFERROR(__xludf.DUMMYFUNCTION("""COMPUTED_VALUE"""),45323.0)</f>
        <v>45323</v>
      </c>
      <c r="Q157" s="45"/>
      <c r="R157" s="45"/>
      <c r="S157" s="43"/>
      <c r="T157" s="43"/>
      <c r="U157" s="43" t="str">
        <f>IFERROR(__xludf.DUMMYFUNCTION("""COMPUTED_VALUE"""),"English Teacher in TEOL")</f>
        <v>English Teacher in TEOL</v>
      </c>
      <c r="V157" s="43" t="str">
        <f>IFERROR(__xludf.DUMMYFUNCTION("""COMPUTED_VALUE"""),"-")</f>
        <v>-</v>
      </c>
      <c r="W157" s="43" t="str">
        <f>IFERROR(__xludf.DUMMYFUNCTION("""COMPUTED_VALUE"""),"2017-11-18T15:05:11Z")</f>
        <v>2017-11-18T15:05:11Z</v>
      </c>
      <c r="X157" s="43"/>
      <c r="Y157" s="43"/>
      <c r="Z157" s="43"/>
    </row>
    <row r="158" hidden="1">
      <c r="A158" s="43" t="str">
        <f>IFERROR(__xludf.DUMMYFUNCTION("""COMPUTED_VALUE"""),"4705106_1291586")</f>
        <v>4705106_1291586</v>
      </c>
      <c r="B158" s="43" t="str">
        <f>IFERROR(__xludf.DUMMYFUNCTION("""COMPUTED_VALUE"""),"Abdelali EL OUADI")</f>
        <v>Abdelali EL OUADI</v>
      </c>
      <c r="C158" s="43" t="str">
        <f>IFERROR(__xludf.DUMMYFUNCTION("""COMPUTED_VALUE"""),"finished")</f>
        <v>finished</v>
      </c>
      <c r="D158" s="43" t="str">
        <f>IFERROR(__xludf.DUMMYFUNCTION("""COMPUTED_VALUE"""),"No")</f>
        <v>No</v>
      </c>
      <c r="E158" s="43" t="str">
        <f>IFERROR(__xludf.DUMMYFUNCTION("""COMPUTED_VALUE"""),"p_0cfff98a36b1b46cbd513947cbdf78238db1cf06@inbound.aiesec.org")</f>
        <v>p_0cfff98a36b1b46cbd513947cbdf78238db1cf06@inbound.aiesec.org</v>
      </c>
      <c r="F158" s="43">
        <f>IFERROR(__xludf.DUMMYFUNCTION("""COMPUTED_VALUE"""),6.01773803E8)</f>
        <v>601773803</v>
      </c>
      <c r="G158" s="43" t="str">
        <f>IFERROR(__xludf.DUMMYFUNCTION("""COMPUTED_VALUE"""),"Morocco")</f>
        <v>Morocco</v>
      </c>
      <c r="H158" s="43" t="str">
        <f>IFERROR(__xludf.DUMMYFUNCTION("""COMPUTED_VALUE"""),"CLOSED ( Rabat )")</f>
        <v>CLOSED ( Rabat )</v>
      </c>
      <c r="I158" s="43" t="str">
        <f>IFERROR(__xludf.DUMMYFUNCTION("""COMPUTED_VALUE"""),"Turkey")</f>
        <v>Turkey</v>
      </c>
      <c r="J158" s="43" t="str">
        <f>IFERROR(__xludf.DUMMYFUNCTION("""COMPUTED_VALUE"""),"SAKARYA")</f>
        <v>SAKARYA</v>
      </c>
      <c r="K158" s="44" t="str">
        <f>IFERROR(__xludf.DUMMYFUNCTION("""COMPUTED_VALUE"""),"https://expa.aiesec.org/opportunities/1291586")</f>
        <v>https://expa.aiesec.org/opportunities/1291586</v>
      </c>
      <c r="L158" s="43" t="str">
        <f>IFERROR(__xludf.DUMMYFUNCTION("""COMPUTED_VALUE"""),"GTe")</f>
        <v>GTe</v>
      </c>
      <c r="M158" s="43" t="str">
        <f>IFERROR(__xludf.DUMMYFUNCTION("""COMPUTED_VALUE"""),"long")</f>
        <v>long</v>
      </c>
      <c r="N158" s="45">
        <f>IFERROR(__xludf.DUMMYFUNCTION("""COMPUTED_VALUE"""),44930.0)</f>
        <v>44930</v>
      </c>
      <c r="O158" s="45">
        <f>IFERROR(__xludf.DUMMYFUNCTION("""COMPUTED_VALUE"""),44958.0)</f>
        <v>44958</v>
      </c>
      <c r="P158" s="45">
        <f>IFERROR(__xludf.DUMMYFUNCTION("""COMPUTED_VALUE"""),45107.0)</f>
        <v>45107</v>
      </c>
      <c r="Q158" s="45">
        <f>IFERROR(__xludf.DUMMYFUNCTION("""COMPUTED_VALUE"""),45025.0)</f>
        <v>45025</v>
      </c>
      <c r="R158" s="45">
        <f>IFERROR(__xludf.DUMMYFUNCTION("""COMPUTED_VALUE"""),45173.0)</f>
        <v>45173</v>
      </c>
      <c r="S158" s="43"/>
      <c r="T158" s="43"/>
      <c r="U158" s="43" t="str">
        <f>IFERROR(__xludf.DUMMYFUNCTION("""COMPUTED_VALUE"""),"English Teacher | Private School")</f>
        <v>English Teacher | Private School</v>
      </c>
      <c r="V158" s="43" t="str">
        <f>IFERROR(__xludf.DUMMYFUNCTION("""COMPUTED_VALUE"""),"FLSH Rabat")</f>
        <v>FLSH Rabat</v>
      </c>
      <c r="W158" s="43" t="str">
        <f>IFERROR(__xludf.DUMMYFUNCTION("""COMPUTED_VALUE"""),"2021-08-05T16:48:35Z")</f>
        <v>2021-08-05T16:48:35Z</v>
      </c>
      <c r="X158" s="43"/>
      <c r="Y158" s="43"/>
      <c r="Z158" s="43"/>
    </row>
    <row r="159" hidden="1">
      <c r="A159" s="43" t="str">
        <f>IFERROR(__xludf.DUMMYFUNCTION("""COMPUTED_VALUE"""),"3198991_1291057")</f>
        <v>3198991_1291057</v>
      </c>
      <c r="B159" s="43" t="str">
        <f>IFERROR(__xludf.DUMMYFUNCTION("""COMPUTED_VALUE"""),"Maimoun Zakarya")</f>
        <v>Maimoun Zakarya</v>
      </c>
      <c r="C159" s="43" t="str">
        <f>IFERROR(__xludf.DUMMYFUNCTION("""COMPUTED_VALUE"""),"finished")</f>
        <v>finished</v>
      </c>
      <c r="D159" s="43" t="str">
        <f>IFERROR(__xludf.DUMMYFUNCTION("""COMPUTED_VALUE"""),"No")</f>
        <v>No</v>
      </c>
      <c r="E159" s="43" t="str">
        <f>IFERROR(__xludf.DUMMYFUNCTION("""COMPUTED_VALUE"""),"p_c12c555e1d27445f019c260ef1a3fa3825c391b1@inbound.aiesec.org")</f>
        <v>p_c12c555e1d27445f019c260ef1a3fa3825c391b1@inbound.aiesec.org</v>
      </c>
      <c r="F159" s="43">
        <f>IFERROR(__xludf.DUMMYFUNCTION("""COMPUTED_VALUE"""),5.57115707E8)</f>
        <v>557115707</v>
      </c>
      <c r="G159" s="43" t="str">
        <f>IFERROR(__xludf.DUMMYFUNCTION("""COMPUTED_VALUE"""),"Algeria")</f>
        <v>Algeria</v>
      </c>
      <c r="H159" s="43" t="str">
        <f>IFERROR(__xludf.DUMMYFUNCTION("""COMPUTED_VALUE"""),"Babez")</f>
        <v>Babez</v>
      </c>
      <c r="I159" s="43" t="str">
        <f>IFERROR(__xludf.DUMMYFUNCTION("""COMPUTED_VALUE"""),"Turkey")</f>
        <v>Turkey</v>
      </c>
      <c r="J159" s="43" t="str">
        <f>IFERROR(__xludf.DUMMYFUNCTION("""COMPUTED_VALUE"""),"ISTANBUL ASIA")</f>
        <v>ISTANBUL ASIA</v>
      </c>
      <c r="K159" s="44" t="str">
        <f>IFERROR(__xludf.DUMMYFUNCTION("""COMPUTED_VALUE"""),"https://expa.aiesec.org/opportunities/1291057")</f>
        <v>https://expa.aiesec.org/opportunities/1291057</v>
      </c>
      <c r="L159" s="43" t="str">
        <f>IFERROR(__xludf.DUMMYFUNCTION("""COMPUTED_VALUE"""),"GTe")</f>
        <v>GTe</v>
      </c>
      <c r="M159" s="43" t="str">
        <f>IFERROR(__xludf.DUMMYFUNCTION("""COMPUTED_VALUE"""),"long")</f>
        <v>long</v>
      </c>
      <c r="N159" s="45">
        <f>IFERROR(__xludf.DUMMYFUNCTION("""COMPUTED_VALUE"""),44936.0)</f>
        <v>44936</v>
      </c>
      <c r="O159" s="45">
        <f>IFERROR(__xludf.DUMMYFUNCTION("""COMPUTED_VALUE"""),44944.0)</f>
        <v>44944</v>
      </c>
      <c r="P159" s="45">
        <f>IFERROR(__xludf.DUMMYFUNCTION("""COMPUTED_VALUE"""),45309.0)</f>
        <v>45309</v>
      </c>
      <c r="Q159" s="45">
        <f>IFERROR(__xludf.DUMMYFUNCTION("""COMPUTED_VALUE"""),44939.0)</f>
        <v>44939</v>
      </c>
      <c r="R159" s="45">
        <f>IFERROR(__xludf.DUMMYFUNCTION("""COMPUTED_VALUE"""),45309.0)</f>
        <v>45309</v>
      </c>
      <c r="S159" s="43"/>
      <c r="T159" s="43"/>
      <c r="U159" s="43" t="str">
        <f>IFERROR(__xludf.DUMMYFUNCTION("""COMPUTED_VALUE"""),"English Teacher")</f>
        <v>English Teacher</v>
      </c>
      <c r="V159" s="43" t="str">
        <f>IFERROR(__xludf.DUMMYFUNCTION("""COMPUTED_VALUE"""),"-")</f>
        <v>-</v>
      </c>
      <c r="W159" s="43" t="str">
        <f>IFERROR(__xludf.DUMMYFUNCTION("""COMPUTED_VALUE"""),"2019-03-09T20:23:29Z")</f>
        <v>2019-03-09T20:23:29Z</v>
      </c>
      <c r="X159" s="43"/>
      <c r="Y159" s="43"/>
      <c r="Z159" s="43"/>
    </row>
    <row r="160" hidden="1">
      <c r="A160" s="43" t="str">
        <f>IFERROR(__xludf.DUMMYFUNCTION("""COMPUTED_VALUE"""),"5172440_1283288")</f>
        <v>5172440_1283288</v>
      </c>
      <c r="B160" s="43" t="str">
        <f>IFERROR(__xludf.DUMMYFUNCTION("""COMPUTED_VALUE"""),"Alexandre Boueilh")</f>
        <v>Alexandre Boueilh</v>
      </c>
      <c r="C160" s="43" t="str">
        <f>IFERROR(__xludf.DUMMYFUNCTION("""COMPUTED_VALUE"""),"finished")</f>
        <v>finished</v>
      </c>
      <c r="D160" s="43" t="str">
        <f>IFERROR(__xludf.DUMMYFUNCTION("""COMPUTED_VALUE"""),"No")</f>
        <v>No</v>
      </c>
      <c r="E160" s="43" t="str">
        <f>IFERROR(__xludf.DUMMYFUNCTION("""COMPUTED_VALUE"""),"p_40bb42d47d705336c669f0cd941e244883323291@inbound.aiesec.org")</f>
        <v>p_40bb42d47d705336c669f0cd941e244883323291@inbound.aiesec.org</v>
      </c>
      <c r="F160" s="43"/>
      <c r="G160" s="43" t="str">
        <f>IFERROR(__xludf.DUMMYFUNCTION("""COMPUTED_VALUE"""),"France")</f>
        <v>France</v>
      </c>
      <c r="H160" s="43" t="str">
        <f>IFERROR(__xludf.DUMMYFUNCTION("""COMPUTED_VALUE"""),"MC France")</f>
        <v>MC France</v>
      </c>
      <c r="I160" s="43" t="str">
        <f>IFERROR(__xludf.DUMMYFUNCTION("""COMPUTED_VALUE"""),"Turkey")</f>
        <v>Turkey</v>
      </c>
      <c r="J160" s="43" t="str">
        <f>IFERROR(__xludf.DUMMYFUNCTION("""COMPUTED_VALUE"""),"ISTANBUL ASIA")</f>
        <v>ISTANBUL ASIA</v>
      </c>
      <c r="K160" s="44" t="str">
        <f>IFERROR(__xludf.DUMMYFUNCTION("""COMPUTED_VALUE"""),"https://expa.aiesec.org/opportunities/1283288")</f>
        <v>https://expa.aiesec.org/opportunities/1283288</v>
      </c>
      <c r="L160" s="43" t="str">
        <f>IFERROR(__xludf.DUMMYFUNCTION("""COMPUTED_VALUE"""),"GTe")</f>
        <v>GTe</v>
      </c>
      <c r="M160" s="43" t="str">
        <f>IFERROR(__xludf.DUMMYFUNCTION("""COMPUTED_VALUE"""),"long")</f>
        <v>long</v>
      </c>
      <c r="N160" s="45">
        <f>IFERROR(__xludf.DUMMYFUNCTION("""COMPUTED_VALUE"""),44936.0)</f>
        <v>44936</v>
      </c>
      <c r="O160" s="45">
        <f>IFERROR(__xludf.DUMMYFUNCTION("""COMPUTED_VALUE"""),44931.0)</f>
        <v>44931</v>
      </c>
      <c r="P160" s="45">
        <f>IFERROR(__xludf.DUMMYFUNCTION("""COMPUTED_VALUE"""),45296.0)</f>
        <v>45296</v>
      </c>
      <c r="Q160" s="45">
        <f>IFERROR(__xludf.DUMMYFUNCTION("""COMPUTED_VALUE"""),44953.0)</f>
        <v>44953</v>
      </c>
      <c r="R160" s="45">
        <f>IFERROR(__xludf.DUMMYFUNCTION("""COMPUTED_VALUE"""),45318.0)</f>
        <v>45318</v>
      </c>
      <c r="S160" s="43"/>
      <c r="T160" s="43" t="str">
        <f>IFERROR(__xludf.DUMMYFUNCTION("""COMPUTED_VALUE"""),"Other")</f>
        <v>Other</v>
      </c>
      <c r="U160" s="43" t="str">
        <f>IFERROR(__xludf.DUMMYFUNCTION("""COMPUTED_VALUE"""),"Native Speaker")</f>
        <v>Native Speaker</v>
      </c>
      <c r="V160" s="43" t="str">
        <f>IFERROR(__xludf.DUMMYFUNCTION("""COMPUTED_VALUE"""),"Bordeaux - KEDGE Bordeaux")</f>
        <v>Bordeaux - KEDGE Bordeaux</v>
      </c>
      <c r="W160" s="43" t="str">
        <f>IFERROR(__xludf.DUMMYFUNCTION("""COMPUTED_VALUE"""),"2023-01-02T15:00:38Z")</f>
        <v>2023-01-02T15:00:38Z</v>
      </c>
      <c r="X160" s="43"/>
      <c r="Y160" s="43"/>
      <c r="Z160" s="43"/>
    </row>
    <row r="161" hidden="1">
      <c r="A161" s="43" t="str">
        <f>IFERROR(__xludf.DUMMYFUNCTION("""COMPUTED_VALUE"""),"5174793_1285960")</f>
        <v>5174793_1285960</v>
      </c>
      <c r="B161" s="43" t="str">
        <f>IFERROR(__xludf.DUMMYFUNCTION("""COMPUTED_VALUE"""),"rawya ouchene")</f>
        <v>rawya ouchene</v>
      </c>
      <c r="C161" s="43" t="str">
        <f>IFERROR(__xludf.DUMMYFUNCTION("""COMPUTED_VALUE"""),"realization_broken")</f>
        <v>realization_broken</v>
      </c>
      <c r="D161" s="43" t="str">
        <f>IFERROR(__xludf.DUMMYFUNCTION("""COMPUTED_VALUE"""),"No")</f>
        <v>No</v>
      </c>
      <c r="E161" s="43" t="str">
        <f>IFERROR(__xludf.DUMMYFUNCTION("""COMPUTED_VALUE"""),"p_c26c3a668860a589703ca1c1a827a688e7eed998@inbound.aiesec.org")</f>
        <v>p_c26c3a668860a589703ca1c1a827a688e7eed998@inbound.aiesec.org</v>
      </c>
      <c r="F161" s="43">
        <f>IFERROR(__xludf.DUMMYFUNCTION("""COMPUTED_VALUE"""),7.7986898E8)</f>
        <v>779868980</v>
      </c>
      <c r="G161" s="43" t="str">
        <f>IFERROR(__xludf.DUMMYFUNCTION("""COMPUTED_VALUE"""),"Algeria")</f>
        <v>Algeria</v>
      </c>
      <c r="H161" s="43" t="str">
        <f>IFERROR(__xludf.DUMMYFUNCTION("""COMPUTED_VALUE"""),"Benak")</f>
        <v>Benak</v>
      </c>
      <c r="I161" s="43" t="str">
        <f>IFERROR(__xludf.DUMMYFUNCTION("""COMPUTED_VALUE"""),"Turkey")</f>
        <v>Turkey</v>
      </c>
      <c r="J161" s="43" t="str">
        <f>IFERROR(__xludf.DUMMYFUNCTION("""COMPUTED_VALUE"""),"ADANA")</f>
        <v>ADANA</v>
      </c>
      <c r="K161" s="44" t="str">
        <f>IFERROR(__xludf.DUMMYFUNCTION("""COMPUTED_VALUE"""),"https://expa.aiesec.org/opportunities/1285960")</f>
        <v>https://expa.aiesec.org/opportunities/1285960</v>
      </c>
      <c r="L161" s="43" t="str">
        <f>IFERROR(__xludf.DUMMYFUNCTION("""COMPUTED_VALUE"""),"GTe")</f>
        <v>GTe</v>
      </c>
      <c r="M161" s="43" t="str">
        <f>IFERROR(__xludf.DUMMYFUNCTION("""COMPUTED_VALUE"""),"long")</f>
        <v>long</v>
      </c>
      <c r="N161" s="45">
        <f>IFERROR(__xludf.DUMMYFUNCTION("""COMPUTED_VALUE"""),44938.0)</f>
        <v>44938</v>
      </c>
      <c r="O161" s="45">
        <f>IFERROR(__xludf.DUMMYFUNCTION("""COMPUTED_VALUE"""),44944.0)</f>
        <v>44944</v>
      </c>
      <c r="P161" s="45">
        <f>IFERROR(__xludf.DUMMYFUNCTION("""COMPUTED_VALUE"""),45134.0)</f>
        <v>45134</v>
      </c>
      <c r="Q161" s="45"/>
      <c r="R161" s="45"/>
      <c r="S161" s="43"/>
      <c r="T161" s="43"/>
      <c r="U161" s="43" t="str">
        <f>IFERROR(__xludf.DUMMYFUNCTION("""COMPUTED_VALUE"""),"English Teacher")</f>
        <v>English Teacher</v>
      </c>
      <c r="V161" s="43" t="str">
        <f>IFERROR(__xludf.DUMMYFUNCTION("""COMPUTED_VALUE"""),"AIESEC in Benak")</f>
        <v>AIESEC in Benak</v>
      </c>
      <c r="W161" s="43" t="str">
        <f>IFERROR(__xludf.DUMMYFUNCTION("""COMPUTED_VALUE"""),"2023-01-09T19:06:48Z")</f>
        <v>2023-01-09T19:06:48Z</v>
      </c>
      <c r="X161" s="43"/>
      <c r="Y161" s="43"/>
      <c r="Z161" s="43"/>
    </row>
    <row r="162" hidden="1">
      <c r="A162" s="43" t="str">
        <f>IFERROR(__xludf.DUMMYFUNCTION("""COMPUTED_VALUE"""),"5100169_1291083")</f>
        <v>5100169_1291083</v>
      </c>
      <c r="B162" s="43" t="str">
        <f>IFERROR(__xludf.DUMMYFUNCTION("""COMPUTED_VALUE"""),"nadir itim")</f>
        <v>nadir itim</v>
      </c>
      <c r="C162" s="43" t="str">
        <f>IFERROR(__xludf.DUMMYFUNCTION("""COMPUTED_VALUE"""),"realized")</f>
        <v>realized</v>
      </c>
      <c r="D162" s="43" t="str">
        <f>IFERROR(__xludf.DUMMYFUNCTION("""COMPUTED_VALUE"""),"No")</f>
        <v>No</v>
      </c>
      <c r="E162" s="43" t="str">
        <f>IFERROR(__xludf.DUMMYFUNCTION("""COMPUTED_VALUE"""),"p_1372c4c366717dfdd8cd8ac58f675d0a8face04b@inbound.aiesec.org")</f>
        <v>p_1372c4c366717dfdd8cd8ac58f675d0a8face04b@inbound.aiesec.org</v>
      </c>
      <c r="F162" s="43"/>
      <c r="G162" s="43" t="str">
        <f>IFERROR(__xludf.DUMMYFUNCTION("""COMPUTED_VALUE"""),"Algeria")</f>
        <v>Algeria</v>
      </c>
      <c r="H162" s="43" t="str">
        <f>IFERROR(__xludf.DUMMYFUNCTION("""COMPUTED_VALUE"""),"Oran")</f>
        <v>Oran</v>
      </c>
      <c r="I162" s="43" t="str">
        <f>IFERROR(__xludf.DUMMYFUNCTION("""COMPUTED_VALUE"""),"Turkey")</f>
        <v>Turkey</v>
      </c>
      <c r="J162" s="43" t="str">
        <f>IFERROR(__xludf.DUMMYFUNCTION("""COMPUTED_VALUE"""),"ISTANBUL WEST")</f>
        <v>ISTANBUL WEST</v>
      </c>
      <c r="K162" s="44" t="str">
        <f>IFERROR(__xludf.DUMMYFUNCTION("""COMPUTED_VALUE"""),"https://expa.aiesec.org/opportunities/1291083")</f>
        <v>https://expa.aiesec.org/opportunities/1291083</v>
      </c>
      <c r="L162" s="43" t="str">
        <f>IFERROR(__xludf.DUMMYFUNCTION("""COMPUTED_VALUE"""),"GTe")</f>
        <v>GTe</v>
      </c>
      <c r="M162" s="43" t="str">
        <f>IFERROR(__xludf.DUMMYFUNCTION("""COMPUTED_VALUE"""),"long")</f>
        <v>long</v>
      </c>
      <c r="N162" s="45">
        <f>IFERROR(__xludf.DUMMYFUNCTION("""COMPUTED_VALUE"""),44941.0)</f>
        <v>44941</v>
      </c>
      <c r="O162" s="45">
        <f>IFERROR(__xludf.DUMMYFUNCTION("""COMPUTED_VALUE"""),44966.0)</f>
        <v>44966</v>
      </c>
      <c r="P162" s="45">
        <f>IFERROR(__xludf.DUMMYFUNCTION("""COMPUTED_VALUE"""),45330.0)</f>
        <v>45330</v>
      </c>
      <c r="Q162" s="45">
        <f>IFERROR(__xludf.DUMMYFUNCTION("""COMPUTED_VALUE"""),44984.0)</f>
        <v>44984</v>
      </c>
      <c r="R162" s="45">
        <f>IFERROR(__xludf.DUMMYFUNCTION("""COMPUTED_VALUE"""),45348.0)</f>
        <v>45348</v>
      </c>
      <c r="S162" s="43"/>
      <c r="T162" s="43"/>
      <c r="U162" s="43" t="str">
        <f>IFERROR(__xludf.DUMMYFUNCTION("""COMPUTED_VALUE"""),"English Teacher at İstanbul Bakırköy")</f>
        <v>English Teacher at İstanbul Bakırköy</v>
      </c>
      <c r="V162" s="43" t="str">
        <f>IFERROR(__xludf.DUMMYFUNCTION("""COMPUTED_VALUE"""),"-")</f>
        <v>-</v>
      </c>
      <c r="W162" s="43" t="str">
        <f>IFERROR(__xludf.DUMMYFUNCTION("""COMPUTED_VALUE"""),"2022-08-26T15:43:04Z")</f>
        <v>2022-08-26T15:43:04Z</v>
      </c>
      <c r="X162" s="43"/>
      <c r="Y162" s="43"/>
      <c r="Z162" s="43"/>
    </row>
    <row r="163" hidden="1">
      <c r="A163" s="43" t="str">
        <f>IFERROR(__xludf.DUMMYFUNCTION("""COMPUTED_VALUE"""),"5178092_1291417")</f>
        <v>5178092_1291417</v>
      </c>
      <c r="B163" s="43" t="str">
        <f>IFERROR(__xludf.DUMMYFUNCTION("""COMPUTED_VALUE"""),"Elisa Hajkola")</f>
        <v>Elisa Hajkola</v>
      </c>
      <c r="C163" s="43" t="str">
        <f>IFERROR(__xludf.DUMMYFUNCTION("""COMPUTED_VALUE"""),"completed")</f>
        <v>completed</v>
      </c>
      <c r="D163" s="43" t="str">
        <f>IFERROR(__xludf.DUMMYFUNCTION("""COMPUTED_VALUE"""),"No")</f>
        <v>No</v>
      </c>
      <c r="E163" s="43" t="str">
        <f>IFERROR(__xludf.DUMMYFUNCTION("""COMPUTED_VALUE"""),"p_8d83d484689b0a69884a02282ebc66d935d44ea8@inbound.aiesec.org")</f>
        <v>p_8d83d484689b0a69884a02282ebc66d935d44ea8@inbound.aiesec.org</v>
      </c>
      <c r="F163" s="43"/>
      <c r="G163" s="43" t="str">
        <f>IFERROR(__xludf.DUMMYFUNCTION("""COMPUTED_VALUE"""),"Albania")</f>
        <v>Albania</v>
      </c>
      <c r="H163" s="43" t="str">
        <f>IFERROR(__xludf.DUMMYFUNCTION("""COMPUTED_VALUE"""),"Expansion of Shkodër ")</f>
        <v>Expansion of Shkodër </v>
      </c>
      <c r="I163" s="43" t="str">
        <f>IFERROR(__xludf.DUMMYFUNCTION("""COMPUTED_VALUE"""),"Turkey")</f>
        <v>Turkey</v>
      </c>
      <c r="J163" s="43" t="str">
        <f>IFERROR(__xludf.DUMMYFUNCTION("""COMPUTED_VALUE"""),"ESKISEHIR")</f>
        <v>ESKISEHIR</v>
      </c>
      <c r="K163" s="44" t="str">
        <f>IFERROR(__xludf.DUMMYFUNCTION("""COMPUTED_VALUE"""),"https://expa.aiesec.org/opportunities/1291417")</f>
        <v>https://expa.aiesec.org/opportunities/1291417</v>
      </c>
      <c r="L163" s="43" t="str">
        <f>IFERROR(__xludf.DUMMYFUNCTION("""COMPUTED_VALUE"""),"GTe")</f>
        <v>GTe</v>
      </c>
      <c r="M163" s="43" t="str">
        <f>IFERROR(__xludf.DUMMYFUNCTION("""COMPUTED_VALUE"""),"long")</f>
        <v>long</v>
      </c>
      <c r="N163" s="45">
        <f>IFERROR(__xludf.DUMMYFUNCTION("""COMPUTED_VALUE"""),44945.0)</f>
        <v>44945</v>
      </c>
      <c r="O163" s="45">
        <f>IFERROR(__xludf.DUMMYFUNCTION("""COMPUTED_VALUE"""),44958.0)</f>
        <v>44958</v>
      </c>
      <c r="P163" s="45">
        <f>IFERROR(__xludf.DUMMYFUNCTION("""COMPUTED_VALUE"""),45322.0)</f>
        <v>45322</v>
      </c>
      <c r="Q163" s="45">
        <f>IFERROR(__xludf.DUMMYFUNCTION("""COMPUTED_VALUE"""),44965.0)</f>
        <v>44965</v>
      </c>
      <c r="R163" s="45">
        <f>IFERROR(__xludf.DUMMYFUNCTION("""COMPUTED_VALUE"""),45190.0)</f>
        <v>45190</v>
      </c>
      <c r="S163" s="43"/>
      <c r="T163" s="43"/>
      <c r="U163" s="43" t="str">
        <f>IFERROR(__xludf.DUMMYFUNCTION("""COMPUTED_VALUE"""),"English-Spanish/English-German Teacher")</f>
        <v>English-Spanish/English-German Teacher</v>
      </c>
      <c r="V163" s="43" t="str">
        <f>IFERROR(__xludf.DUMMYFUNCTION("""COMPUTED_VALUE"""),"-")</f>
        <v>-</v>
      </c>
      <c r="W163" s="43" t="str">
        <f>IFERROR(__xludf.DUMMYFUNCTION("""COMPUTED_VALUE"""),"2023-01-18T19:00:31Z")</f>
        <v>2023-01-18T19:00:31Z</v>
      </c>
      <c r="X163" s="43"/>
      <c r="Y163" s="43"/>
      <c r="Z163" s="43"/>
    </row>
    <row r="164">
      <c r="A164" s="43" t="str">
        <f>IFERROR(__xludf.DUMMYFUNCTION("""COMPUTED_VALUE"""),"5158029_1283288")</f>
        <v>5158029_1283288</v>
      </c>
      <c r="B164" s="43" t="str">
        <f>IFERROR(__xludf.DUMMYFUNCTION("""COMPUTED_VALUE"""),"Ibtissam Lounas")</f>
        <v>Ibtissam Lounas</v>
      </c>
      <c r="C164" s="43" t="str">
        <f>IFERROR(__xludf.DUMMYFUNCTION("""COMPUTED_VALUE"""),"approved")</f>
        <v>approved</v>
      </c>
      <c r="D164" s="43" t="str">
        <f>IFERROR(__xludf.DUMMYFUNCTION("""COMPUTED_VALUE"""),"No")</f>
        <v>No</v>
      </c>
      <c r="E164" s="43" t="str">
        <f>IFERROR(__xludf.DUMMYFUNCTION("""COMPUTED_VALUE"""),"p_45b6472367c71e59aebad1694953ef70dbfaf686@inbound.aiesec.org")</f>
        <v>p_45b6472367c71e59aebad1694953ef70dbfaf686@inbound.aiesec.org</v>
      </c>
      <c r="F164" s="43"/>
      <c r="G164" s="43" t="str">
        <f>IFERROR(__xludf.DUMMYFUNCTION("""COMPUTED_VALUE"""),"Algeria")</f>
        <v>Algeria</v>
      </c>
      <c r="H164" s="43" t="str">
        <f>IFERROR(__xludf.DUMMYFUNCTION("""COMPUTED_VALUE"""),"Benak")</f>
        <v>Benak</v>
      </c>
      <c r="I164" s="43" t="str">
        <f>IFERROR(__xludf.DUMMYFUNCTION("""COMPUTED_VALUE"""),"Turkey")</f>
        <v>Turkey</v>
      </c>
      <c r="J164" s="43" t="str">
        <f>IFERROR(__xludf.DUMMYFUNCTION("""COMPUTED_VALUE"""),"ISTANBUL ASIA")</f>
        <v>ISTANBUL ASIA</v>
      </c>
      <c r="K164" s="44" t="str">
        <f>IFERROR(__xludf.DUMMYFUNCTION("""COMPUTED_VALUE"""),"https://expa.aiesec.org/opportunities/1283288")</f>
        <v>https://expa.aiesec.org/opportunities/1283288</v>
      </c>
      <c r="L164" s="43" t="str">
        <f>IFERROR(__xludf.DUMMYFUNCTION("""COMPUTED_VALUE"""),"GTe")</f>
        <v>GTe</v>
      </c>
      <c r="M164" s="43" t="str">
        <f>IFERROR(__xludf.DUMMYFUNCTION("""COMPUTED_VALUE"""),"long")</f>
        <v>long</v>
      </c>
      <c r="N164" s="45">
        <f>IFERROR(__xludf.DUMMYFUNCTION("""COMPUTED_VALUE"""),44958.0)</f>
        <v>44958</v>
      </c>
      <c r="O164" s="45">
        <f>IFERROR(__xludf.DUMMYFUNCTION("""COMPUTED_VALUE"""),44963.0)</f>
        <v>44963</v>
      </c>
      <c r="P164" s="45">
        <f>IFERROR(__xludf.DUMMYFUNCTION("""COMPUTED_VALUE"""),45328.0)</f>
        <v>45328</v>
      </c>
      <c r="Q164" s="45"/>
      <c r="R164" s="45"/>
      <c r="S164" s="43"/>
      <c r="T164" s="43" t="str">
        <f>IFERROR(__xludf.DUMMYFUNCTION("""COMPUTED_VALUE"""),"Other")</f>
        <v>Other</v>
      </c>
      <c r="U164" s="43" t="str">
        <f>IFERROR(__xludf.DUMMYFUNCTION("""COMPUTED_VALUE"""),"Native Speaker")</f>
        <v>Native Speaker</v>
      </c>
      <c r="V164" s="43" t="str">
        <f>IFERROR(__xludf.DUMMYFUNCTION("""COMPUTED_VALUE"""),"-")</f>
        <v>-</v>
      </c>
      <c r="W164" s="43" t="str">
        <f>IFERROR(__xludf.DUMMYFUNCTION("""COMPUTED_VALUE"""),"2022-11-23T20:13:42Z")</f>
        <v>2022-11-23T20:13:42Z</v>
      </c>
      <c r="X164" s="43"/>
      <c r="Y164" s="43"/>
      <c r="Z164" s="43"/>
    </row>
    <row r="165" hidden="1">
      <c r="A165" s="43" t="str">
        <f>IFERROR(__xludf.DUMMYFUNCTION("""COMPUTED_VALUE"""),"1448342_1291989")</f>
        <v>1448342_1291989</v>
      </c>
      <c r="B165" s="43" t="str">
        <f>IFERROR(__xludf.DUMMYFUNCTION("""COMPUTED_VALUE"""),"Maria Melik")</f>
        <v>Maria Melik</v>
      </c>
      <c r="C165" s="43" t="str">
        <f>IFERROR(__xludf.DUMMYFUNCTION("""COMPUTED_VALUE"""),"completed")</f>
        <v>completed</v>
      </c>
      <c r="D165" s="43" t="str">
        <f>IFERROR(__xludf.DUMMYFUNCTION("""COMPUTED_VALUE"""),"No")</f>
        <v>No</v>
      </c>
      <c r="E165" s="43" t="str">
        <f>IFERROR(__xludf.DUMMYFUNCTION("""COMPUTED_VALUE"""),"p_8ac0ec9c08010f5eb6dd9a1ce6e5349a93e59596@inbound.aiesec.org")</f>
        <v>p_8ac0ec9c08010f5eb6dd9a1ce6e5349a93e59596@inbound.aiesec.org</v>
      </c>
      <c r="F165" s="43">
        <f>IFERROR(__xludf.DUMMYFUNCTION("""COMPUTED_VALUE"""),6.60914903E8)</f>
        <v>660914903</v>
      </c>
      <c r="G165" s="43" t="str">
        <f>IFERROR(__xludf.DUMMYFUNCTION("""COMPUTED_VALUE"""),"Algeria")</f>
        <v>Algeria</v>
      </c>
      <c r="H165" s="43" t="str">
        <f>IFERROR(__xludf.DUMMYFUNCTION("""COMPUTED_VALUE"""),"Ouargla")</f>
        <v>Ouargla</v>
      </c>
      <c r="I165" s="43" t="str">
        <f>IFERROR(__xludf.DUMMYFUNCTION("""COMPUTED_VALUE"""),"Turkey")</f>
        <v>Turkey</v>
      </c>
      <c r="J165" s="43" t="str">
        <f>IFERROR(__xludf.DUMMYFUNCTION("""COMPUTED_VALUE"""),"GAZIANTEP")</f>
        <v>GAZIANTEP</v>
      </c>
      <c r="K165" s="44" t="str">
        <f>IFERROR(__xludf.DUMMYFUNCTION("""COMPUTED_VALUE"""),"https://expa.aiesec.org/opportunities/1291989")</f>
        <v>https://expa.aiesec.org/opportunities/1291989</v>
      </c>
      <c r="L165" s="43" t="str">
        <f>IFERROR(__xludf.DUMMYFUNCTION("""COMPUTED_VALUE"""),"GTe")</f>
        <v>GTe</v>
      </c>
      <c r="M165" s="43" t="str">
        <f>IFERROR(__xludf.DUMMYFUNCTION("""COMPUTED_VALUE"""),"long")</f>
        <v>long</v>
      </c>
      <c r="N165" s="45">
        <f>IFERROR(__xludf.DUMMYFUNCTION("""COMPUTED_VALUE"""),44958.0)</f>
        <v>44958</v>
      </c>
      <c r="O165" s="45">
        <f>IFERROR(__xludf.DUMMYFUNCTION("""COMPUTED_VALUE"""),44961.0)</f>
        <v>44961</v>
      </c>
      <c r="P165" s="45">
        <f>IFERROR(__xludf.DUMMYFUNCTION("""COMPUTED_VALUE"""),45150.0)</f>
        <v>45150</v>
      </c>
      <c r="Q165" s="45">
        <f>IFERROR(__xludf.DUMMYFUNCTION("""COMPUTED_VALUE"""),44962.0)</f>
        <v>44962</v>
      </c>
      <c r="R165" s="45">
        <f>IFERROR(__xludf.DUMMYFUNCTION("""COMPUTED_VALUE"""),45150.0)</f>
        <v>45150</v>
      </c>
      <c r="S165" s="43"/>
      <c r="T165" s="43"/>
      <c r="U165" s="43" t="str">
        <f>IFERROR(__xludf.DUMMYFUNCTION("""COMPUTED_VALUE"""),"English Teacher")</f>
        <v>English Teacher</v>
      </c>
      <c r="V165" s="43" t="str">
        <f>IFERROR(__xludf.DUMMYFUNCTION("""COMPUTED_VALUE"""),"-")</f>
        <v>-</v>
      </c>
      <c r="W165" s="43" t="str">
        <f>IFERROR(__xludf.DUMMYFUNCTION("""COMPUTED_VALUE"""),"2017-03-24T16:42:24Z")</f>
        <v>2017-03-24T16:42:24Z</v>
      </c>
      <c r="X165" s="43"/>
      <c r="Y165" s="43"/>
      <c r="Z165" s="43"/>
    </row>
    <row r="166" hidden="1">
      <c r="A166" s="43" t="str">
        <f>IFERROR(__xludf.DUMMYFUNCTION("""COMPUTED_VALUE"""),"5176283_1281195")</f>
        <v>5176283_1281195</v>
      </c>
      <c r="B166" s="43" t="str">
        <f>IFERROR(__xludf.DUMMYFUNCTION("""COMPUTED_VALUE"""),"sarah emam")</f>
        <v>sarah emam</v>
      </c>
      <c r="C166" s="43" t="str">
        <f>IFERROR(__xludf.DUMMYFUNCTION("""COMPUTED_VALUE"""),"realized")</f>
        <v>realized</v>
      </c>
      <c r="D166" s="43" t="str">
        <f>IFERROR(__xludf.DUMMYFUNCTION("""COMPUTED_VALUE"""),"No")</f>
        <v>No</v>
      </c>
      <c r="E166" s="43" t="str">
        <f>IFERROR(__xludf.DUMMYFUNCTION("""COMPUTED_VALUE"""),"p_d3a766b15f68122aedd94d75d4a19007b86e8ede@inbound.aiesec.org")</f>
        <v>p_d3a766b15f68122aedd94d75d4a19007b86e8ede@inbound.aiesec.org</v>
      </c>
      <c r="F166" s="43"/>
      <c r="G166" s="43" t="str">
        <f>IFERROR(__xludf.DUMMYFUNCTION("""COMPUTED_VALUE"""),"Egypt")</f>
        <v>Egypt</v>
      </c>
      <c r="H166" s="43" t="str">
        <f>IFERROR(__xludf.DUMMYFUNCTION("""COMPUTED_VALUE"""),"Tanta")</f>
        <v>Tanta</v>
      </c>
      <c r="I166" s="43" t="str">
        <f>IFERROR(__xludf.DUMMYFUNCTION("""COMPUTED_VALUE"""),"Turkey")</f>
        <v>Turkey</v>
      </c>
      <c r="J166" s="43" t="str">
        <f>IFERROR(__xludf.DUMMYFUNCTION("""COMPUTED_VALUE"""),"BURSA")</f>
        <v>BURSA</v>
      </c>
      <c r="K166" s="44" t="str">
        <f>IFERROR(__xludf.DUMMYFUNCTION("""COMPUTED_VALUE"""),"https://expa.aiesec.org/opportunities/1281195")</f>
        <v>https://expa.aiesec.org/opportunities/1281195</v>
      </c>
      <c r="L166" s="43" t="str">
        <f>IFERROR(__xludf.DUMMYFUNCTION("""COMPUTED_VALUE"""),"GTe")</f>
        <v>GTe</v>
      </c>
      <c r="M166" s="43" t="str">
        <f>IFERROR(__xludf.DUMMYFUNCTION("""COMPUTED_VALUE"""),"long")</f>
        <v>long</v>
      </c>
      <c r="N166" s="45">
        <f>IFERROR(__xludf.DUMMYFUNCTION("""COMPUTED_VALUE"""),44958.0)</f>
        <v>44958</v>
      </c>
      <c r="O166" s="45">
        <f>IFERROR(__xludf.DUMMYFUNCTION("""COMPUTED_VALUE"""),45000.0)</f>
        <v>45000</v>
      </c>
      <c r="P166" s="45">
        <f>IFERROR(__xludf.DUMMYFUNCTION("""COMPUTED_VALUE"""),45366.0)</f>
        <v>45366</v>
      </c>
      <c r="Q166" s="45">
        <f>IFERROR(__xludf.DUMMYFUNCTION("""COMPUTED_VALUE"""),45002.0)</f>
        <v>45002</v>
      </c>
      <c r="R166" s="45">
        <f>IFERROR(__xludf.DUMMYFUNCTION("""COMPUTED_VALUE"""),45366.0)</f>
        <v>45366</v>
      </c>
      <c r="S166" s="43"/>
      <c r="T166" s="43"/>
      <c r="U166" s="43" t="str">
        <f>IFERROR(__xludf.DUMMYFUNCTION("""COMPUTED_VALUE"""),"ENGLISH TEACHING")</f>
        <v>ENGLISH TEACHING</v>
      </c>
      <c r="V166" s="43" t="str">
        <f>IFERROR(__xludf.DUMMYFUNCTION("""COMPUTED_VALUE"""),"-")</f>
        <v>-</v>
      </c>
      <c r="W166" s="43" t="str">
        <f>IFERROR(__xludf.DUMMYFUNCTION("""COMPUTED_VALUE"""),"2023-01-13T15:48:50Z")</f>
        <v>2023-01-13T15:48:50Z</v>
      </c>
      <c r="X166" s="43"/>
      <c r="Y166" s="43"/>
      <c r="Z166" s="43"/>
    </row>
    <row r="167" hidden="1">
      <c r="A167" s="43" t="str">
        <f>IFERROR(__xludf.DUMMYFUNCTION("""COMPUTED_VALUE"""),"5148066_1291608")</f>
        <v>5148066_1291608</v>
      </c>
      <c r="B167" s="43" t="str">
        <f>IFERROR(__xludf.DUMMYFUNCTION("""COMPUTED_VALUE"""),"Boudour Khaloui")</f>
        <v>Boudour Khaloui</v>
      </c>
      <c r="C167" s="43" t="str">
        <f>IFERROR(__xludf.DUMMYFUNCTION("""COMPUTED_VALUE"""),"realization_broken")</f>
        <v>realization_broken</v>
      </c>
      <c r="D167" s="43" t="str">
        <f>IFERROR(__xludf.DUMMYFUNCTION("""COMPUTED_VALUE"""),"No")</f>
        <v>No</v>
      </c>
      <c r="E167" s="43" t="str">
        <f>IFERROR(__xludf.DUMMYFUNCTION("""COMPUTED_VALUE"""),"p_574b145b339fa806245a54ab590c6578ac90536d@inbound.aiesec.org")</f>
        <v>p_574b145b339fa806245a54ab590c6578ac90536d@inbound.aiesec.org</v>
      </c>
      <c r="F167" s="43">
        <f>IFERROR(__xludf.DUMMYFUNCTION("""COMPUTED_VALUE"""),5.52705418E8)</f>
        <v>552705418</v>
      </c>
      <c r="G167" s="43" t="str">
        <f>IFERROR(__xludf.DUMMYFUNCTION("""COMPUTED_VALUE"""),"Algeria")</f>
        <v>Algeria</v>
      </c>
      <c r="H167" s="43" t="str">
        <f>IFERROR(__xludf.DUMMYFUNCTION("""COMPUTED_VALUE"""),"Benak")</f>
        <v>Benak</v>
      </c>
      <c r="I167" s="43" t="str">
        <f>IFERROR(__xludf.DUMMYFUNCTION("""COMPUTED_VALUE"""),"Turkey")</f>
        <v>Turkey</v>
      </c>
      <c r="J167" s="43" t="str">
        <f>IFERROR(__xludf.DUMMYFUNCTION("""COMPUTED_VALUE"""),"BURSA")</f>
        <v>BURSA</v>
      </c>
      <c r="K167" s="44" t="str">
        <f>IFERROR(__xludf.DUMMYFUNCTION("""COMPUTED_VALUE"""),"https://expa.aiesec.org/opportunities/1291608")</f>
        <v>https://expa.aiesec.org/opportunities/1291608</v>
      </c>
      <c r="L167" s="43" t="str">
        <f>IFERROR(__xludf.DUMMYFUNCTION("""COMPUTED_VALUE"""),"GTe")</f>
        <v>GTe</v>
      </c>
      <c r="M167" s="43" t="str">
        <f>IFERROR(__xludf.DUMMYFUNCTION("""COMPUTED_VALUE"""),"long")</f>
        <v>long</v>
      </c>
      <c r="N167" s="45">
        <f>IFERROR(__xludf.DUMMYFUNCTION("""COMPUTED_VALUE"""),44958.0)</f>
        <v>44958</v>
      </c>
      <c r="O167" s="45">
        <f>IFERROR(__xludf.DUMMYFUNCTION("""COMPUTED_VALUE"""),44986.0)</f>
        <v>44986</v>
      </c>
      <c r="P167" s="45">
        <f>IFERROR(__xludf.DUMMYFUNCTION("""COMPUTED_VALUE"""),45352.0)</f>
        <v>45352</v>
      </c>
      <c r="Q167" s="45"/>
      <c r="R167" s="45"/>
      <c r="S167" s="43"/>
      <c r="T167" s="43"/>
      <c r="U167" s="43" t="str">
        <f>IFERROR(__xludf.DUMMYFUNCTION("""COMPUTED_VALUE"""),"Teacher")</f>
        <v>Teacher</v>
      </c>
      <c r="V167" s="43" t="str">
        <f>IFERROR(__xludf.DUMMYFUNCTION("""COMPUTED_VALUE"""),"AIESEC in Benak")</f>
        <v>AIESEC in Benak</v>
      </c>
      <c r="W167" s="43" t="str">
        <f>IFERROR(__xludf.DUMMYFUNCTION("""COMPUTED_VALUE"""),"2022-11-06T20:46:42Z")</f>
        <v>2022-11-06T20:46:42Z</v>
      </c>
      <c r="X167" s="43"/>
      <c r="Y167" s="43"/>
      <c r="Z167" s="43"/>
    </row>
    <row r="168" hidden="1">
      <c r="A168" s="43" t="str">
        <f>IFERROR(__xludf.DUMMYFUNCTION("""COMPUTED_VALUE"""),"5183550_1286839")</f>
        <v>5183550_1286839</v>
      </c>
      <c r="B168" s="43" t="str">
        <f>IFERROR(__xludf.DUMMYFUNCTION("""COMPUTED_VALUE"""),"Maryem Ahmed Mohamed ElSayed")</f>
        <v>Maryem Ahmed Mohamed ElSayed</v>
      </c>
      <c r="C168" s="43" t="str">
        <f>IFERROR(__xludf.DUMMYFUNCTION("""COMPUTED_VALUE"""),"realized")</f>
        <v>realized</v>
      </c>
      <c r="D168" s="43" t="str">
        <f>IFERROR(__xludf.DUMMYFUNCTION("""COMPUTED_VALUE"""),"No")</f>
        <v>No</v>
      </c>
      <c r="E168" s="43" t="str">
        <f>IFERROR(__xludf.DUMMYFUNCTION("""COMPUTED_VALUE"""),"p_cfe94c13281cda3cfdfdded29b2924a0d4bf8d3c@inbound.aiesec.org")</f>
        <v>p_cfe94c13281cda3cfdfdded29b2924a0d4bf8d3c@inbound.aiesec.org</v>
      </c>
      <c r="F168" s="43"/>
      <c r="G168" s="43" t="str">
        <f>IFERROR(__xludf.DUMMYFUNCTION("""COMPUTED_VALUE"""),"Egypt")</f>
        <v>Egypt</v>
      </c>
      <c r="H168" s="43" t="str">
        <f>IFERROR(__xludf.DUMMYFUNCTION("""COMPUTED_VALUE"""),"Cairo University")</f>
        <v>Cairo University</v>
      </c>
      <c r="I168" s="43" t="str">
        <f>IFERROR(__xludf.DUMMYFUNCTION("""COMPUTED_VALUE"""),"Turkey")</f>
        <v>Turkey</v>
      </c>
      <c r="J168" s="43" t="str">
        <f>IFERROR(__xludf.DUMMYFUNCTION("""COMPUTED_VALUE"""),"ISTANBUL WEST")</f>
        <v>ISTANBUL WEST</v>
      </c>
      <c r="K168" s="44" t="str">
        <f>IFERROR(__xludf.DUMMYFUNCTION("""COMPUTED_VALUE"""),"https://expa.aiesec.org/opportunities/1286839")</f>
        <v>https://expa.aiesec.org/opportunities/1286839</v>
      </c>
      <c r="L168" s="43" t="str">
        <f>IFERROR(__xludf.DUMMYFUNCTION("""COMPUTED_VALUE"""),"GTe")</f>
        <v>GTe</v>
      </c>
      <c r="M168" s="43" t="str">
        <f>IFERROR(__xludf.DUMMYFUNCTION("""COMPUTED_VALUE"""),"long")</f>
        <v>long</v>
      </c>
      <c r="N168" s="45">
        <f>IFERROR(__xludf.DUMMYFUNCTION("""COMPUTED_VALUE"""),44960.0)</f>
        <v>44960</v>
      </c>
      <c r="O168" s="45">
        <f>IFERROR(__xludf.DUMMYFUNCTION("""COMPUTED_VALUE"""),44977.0)</f>
        <v>44977</v>
      </c>
      <c r="P168" s="45">
        <f>IFERROR(__xludf.DUMMYFUNCTION("""COMPUTED_VALUE"""),45166.0)</f>
        <v>45166</v>
      </c>
      <c r="Q168" s="45">
        <f>IFERROR(__xludf.DUMMYFUNCTION("""COMPUTED_VALUE"""),44994.0)</f>
        <v>44994</v>
      </c>
      <c r="R168" s="45">
        <f>IFERROR(__xludf.DUMMYFUNCTION("""COMPUTED_VALUE"""),45358.0)</f>
        <v>45358</v>
      </c>
      <c r="S168" s="43"/>
      <c r="T168" s="43" t="str">
        <f>IFERROR(__xludf.DUMMYFUNCTION("""COMPUTED_VALUE"""),"Business Development")</f>
        <v>Business Development</v>
      </c>
      <c r="U168" s="43" t="str">
        <f>IFERROR(__xludf.DUMMYFUNCTION("""COMPUTED_VALUE"""),"Pre-School Teacher at Istanbul AIKA/Florya ")</f>
        <v>Pre-School Teacher at Istanbul AIKA/Florya </v>
      </c>
      <c r="V168" s="43" t="str">
        <f>IFERROR(__xludf.DUMMYFUNCTION("""COMPUTED_VALUE"""),"-")</f>
        <v>-</v>
      </c>
      <c r="W168" s="43" t="str">
        <f>IFERROR(__xludf.DUMMYFUNCTION("""COMPUTED_VALUE"""),"2023-02-01T17:07:02Z")</f>
        <v>2023-02-01T17:07:02Z</v>
      </c>
      <c r="X168" s="43"/>
      <c r="Y168" s="43"/>
      <c r="Z168" s="43"/>
    </row>
    <row r="169" hidden="1">
      <c r="A169" s="43" t="str">
        <f>IFERROR(__xludf.DUMMYFUNCTION("""COMPUTED_VALUE"""),"2792788_1292317")</f>
        <v>2792788_1292317</v>
      </c>
      <c r="B169" s="43" t="str">
        <f>IFERROR(__xludf.DUMMYFUNCTION("""COMPUTED_VALUE"""),"Kiranjot Kaur")</f>
        <v>Kiranjot Kaur</v>
      </c>
      <c r="C169" s="43" t="str">
        <f>IFERROR(__xludf.DUMMYFUNCTION("""COMPUTED_VALUE"""),"realized")</f>
        <v>realized</v>
      </c>
      <c r="D169" s="43" t="str">
        <f>IFERROR(__xludf.DUMMYFUNCTION("""COMPUTED_VALUE"""),"No")</f>
        <v>No</v>
      </c>
      <c r="E169" s="43" t="str">
        <f>IFERROR(__xludf.DUMMYFUNCTION("""COMPUTED_VALUE"""),"p_b967bd00397c3802185070f3bf1bebf8939ec2ad@inbound.aiesec.org")</f>
        <v>p_b967bd00397c3802185070f3bf1bebf8939ec2ad@inbound.aiesec.org</v>
      </c>
      <c r="F169" s="43">
        <f>IFERROR(__xludf.DUMMYFUNCTION("""COMPUTED_VALUE"""),9.892579836E9)</f>
        <v>9892579836</v>
      </c>
      <c r="G169" s="43" t="str">
        <f>IFERROR(__xludf.DUMMYFUNCTION("""COMPUTED_VALUE"""),"India")</f>
        <v>India</v>
      </c>
      <c r="H169" s="43" t="str">
        <f>IFERROR(__xludf.DUMMYFUNCTION("""COMPUTED_VALUE"""),"Mumbai")</f>
        <v>Mumbai</v>
      </c>
      <c r="I169" s="43" t="str">
        <f>IFERROR(__xludf.DUMMYFUNCTION("""COMPUTED_VALUE"""),"Turkey")</f>
        <v>Turkey</v>
      </c>
      <c r="J169" s="43" t="str">
        <f>IFERROR(__xludf.DUMMYFUNCTION("""COMPUTED_VALUE"""),"KOCAELI")</f>
        <v>KOCAELI</v>
      </c>
      <c r="K169" s="44" t="str">
        <f>IFERROR(__xludf.DUMMYFUNCTION("""COMPUTED_VALUE"""),"https://expa.aiesec.org/opportunities/1292317")</f>
        <v>https://expa.aiesec.org/opportunities/1292317</v>
      </c>
      <c r="L169" s="43" t="str">
        <f>IFERROR(__xludf.DUMMYFUNCTION("""COMPUTED_VALUE"""),"GTe")</f>
        <v>GTe</v>
      </c>
      <c r="M169" s="43" t="str">
        <f>IFERROR(__xludf.DUMMYFUNCTION("""COMPUTED_VALUE"""),"long")</f>
        <v>long</v>
      </c>
      <c r="N169" s="45">
        <f>IFERROR(__xludf.DUMMYFUNCTION("""COMPUTED_VALUE"""),44963.0)</f>
        <v>44963</v>
      </c>
      <c r="O169" s="45">
        <f>IFERROR(__xludf.DUMMYFUNCTION("""COMPUTED_VALUE"""),44974.0)</f>
        <v>44974</v>
      </c>
      <c r="P169" s="45">
        <f>IFERROR(__xludf.DUMMYFUNCTION("""COMPUTED_VALUE"""),45339.0)</f>
        <v>45339</v>
      </c>
      <c r="Q169" s="45">
        <f>IFERROR(__xludf.DUMMYFUNCTION("""COMPUTED_VALUE"""),44986.0)</f>
        <v>44986</v>
      </c>
      <c r="R169" s="45">
        <f>IFERROR(__xludf.DUMMYFUNCTION("""COMPUTED_VALUE"""),45349.0)</f>
        <v>45349</v>
      </c>
      <c r="S169" s="43"/>
      <c r="T169" s="43"/>
      <c r="U169" s="43" t="str">
        <f>IFERROR(__xludf.DUMMYFUNCTION("""COMPUTED_VALUE"""),"English Teacher in TEIOC ")</f>
        <v>English Teacher in TEIOC </v>
      </c>
      <c r="V169" s="43" t="str">
        <f>IFERROR(__xludf.DUMMYFUNCTION("""COMPUTED_VALUE"""),"Mumbai")</f>
        <v>Mumbai</v>
      </c>
      <c r="W169" s="43" t="str">
        <f>IFERROR(__xludf.DUMMYFUNCTION("""COMPUTED_VALUE"""),"2018-10-30T08:49:20Z")</f>
        <v>2018-10-30T08:49:20Z</v>
      </c>
      <c r="X169" s="43"/>
      <c r="Y169" s="43"/>
      <c r="Z169" s="43"/>
    </row>
    <row r="170" hidden="1">
      <c r="A170" s="43" t="str">
        <f>IFERROR(__xludf.DUMMYFUNCTION("""COMPUTED_VALUE"""),"5178733_1262041")</f>
        <v>5178733_1262041</v>
      </c>
      <c r="B170" s="43" t="str">
        <f>IFERROR(__xludf.DUMMYFUNCTION("""COMPUTED_VALUE"""),"Asmaa Benhassine")</f>
        <v>Asmaa Benhassine</v>
      </c>
      <c r="C170" s="43" t="str">
        <f>IFERROR(__xludf.DUMMYFUNCTION("""COMPUTED_VALUE"""),"completed")</f>
        <v>completed</v>
      </c>
      <c r="D170" s="43" t="str">
        <f>IFERROR(__xludf.DUMMYFUNCTION("""COMPUTED_VALUE"""),"No")</f>
        <v>No</v>
      </c>
      <c r="E170" s="43" t="str">
        <f>IFERROR(__xludf.DUMMYFUNCTION("""COMPUTED_VALUE"""),"p_edb59b6f0583b920f43878eb09235493d1fff46a@inbound.aiesec.org")</f>
        <v>p_edb59b6f0583b920f43878eb09235493d1fff46a@inbound.aiesec.org</v>
      </c>
      <c r="F170" s="43">
        <f>IFERROR(__xludf.DUMMYFUNCTION("""COMPUTED_VALUE"""),5.41046373E8)</f>
        <v>541046373</v>
      </c>
      <c r="G170" s="43" t="str">
        <f>IFERROR(__xludf.DUMMYFUNCTION("""COMPUTED_VALUE"""),"Algeria")</f>
        <v>Algeria</v>
      </c>
      <c r="H170" s="43" t="str">
        <f>IFERROR(__xludf.DUMMYFUNCTION("""COMPUTED_VALUE"""),"Blida")</f>
        <v>Blida</v>
      </c>
      <c r="I170" s="43" t="str">
        <f>IFERROR(__xludf.DUMMYFUNCTION("""COMPUTED_VALUE"""),"Turkey")</f>
        <v>Turkey</v>
      </c>
      <c r="J170" s="43" t="str">
        <f>IFERROR(__xludf.DUMMYFUNCTION("""COMPUTED_VALUE"""),"ISTANBUL ASIA")</f>
        <v>ISTANBUL ASIA</v>
      </c>
      <c r="K170" s="44" t="str">
        <f>IFERROR(__xludf.DUMMYFUNCTION("""COMPUTED_VALUE"""),"https://expa.aiesec.org/opportunities/1262041")</f>
        <v>https://expa.aiesec.org/opportunities/1262041</v>
      </c>
      <c r="L170" s="43" t="str">
        <f>IFERROR(__xludf.DUMMYFUNCTION("""COMPUTED_VALUE"""),"GTe")</f>
        <v>GTe</v>
      </c>
      <c r="M170" s="43" t="str">
        <f>IFERROR(__xludf.DUMMYFUNCTION("""COMPUTED_VALUE"""),"medium")</f>
        <v>medium</v>
      </c>
      <c r="N170" s="45">
        <f>IFERROR(__xludf.DUMMYFUNCTION("""COMPUTED_VALUE"""),44966.0)</f>
        <v>44966</v>
      </c>
      <c r="O170" s="45">
        <f>IFERROR(__xludf.DUMMYFUNCTION("""COMPUTED_VALUE"""),44986.0)</f>
        <v>44986</v>
      </c>
      <c r="P170" s="45">
        <f>IFERROR(__xludf.DUMMYFUNCTION("""COMPUTED_VALUE"""),45167.0)</f>
        <v>45167</v>
      </c>
      <c r="Q170" s="45">
        <f>IFERROR(__xludf.DUMMYFUNCTION("""COMPUTED_VALUE"""),44991.0)</f>
        <v>44991</v>
      </c>
      <c r="R170" s="45">
        <f>IFERROR(__xludf.DUMMYFUNCTION("""COMPUTED_VALUE"""),45179.0)</f>
        <v>45179</v>
      </c>
      <c r="S170" s="43"/>
      <c r="T170" s="43"/>
      <c r="U170" s="43" t="str">
        <f>IFERROR(__xludf.DUMMYFUNCTION("""COMPUTED_VALUE"""),"Kindergarten English Teaching in Istanbul")</f>
        <v>Kindergarten English Teaching in Istanbul</v>
      </c>
      <c r="V170" s="43" t="str">
        <f>IFERROR(__xludf.DUMMYFUNCTION("""COMPUTED_VALUE"""),"AIESEC in Blida")</f>
        <v>AIESEC in Blida</v>
      </c>
      <c r="W170" s="43" t="str">
        <f>IFERROR(__xludf.DUMMYFUNCTION("""COMPUTED_VALUE"""),"2023-01-20T12:51:51Z")</f>
        <v>2023-01-20T12:51:51Z</v>
      </c>
      <c r="X170" s="43"/>
      <c r="Y170" s="43"/>
      <c r="Z170" s="43"/>
    </row>
    <row r="171" hidden="1">
      <c r="A171" s="43" t="str">
        <f>IFERROR(__xludf.DUMMYFUNCTION("""COMPUTED_VALUE"""),"5176331_1259891")</f>
        <v>5176331_1259891</v>
      </c>
      <c r="B171" s="43" t="str">
        <f>IFERROR(__xludf.DUMMYFUNCTION("""COMPUTED_VALUE"""),"salma anwar")</f>
        <v>salma anwar</v>
      </c>
      <c r="C171" s="43" t="str">
        <f>IFERROR(__xludf.DUMMYFUNCTION("""COMPUTED_VALUE"""),"realization_broken")</f>
        <v>realization_broken</v>
      </c>
      <c r="D171" s="43" t="str">
        <f>IFERROR(__xludf.DUMMYFUNCTION("""COMPUTED_VALUE"""),"No")</f>
        <v>No</v>
      </c>
      <c r="E171" s="43" t="str">
        <f>IFERROR(__xludf.DUMMYFUNCTION("""COMPUTED_VALUE"""),"p_62b022877c065270667c6d8e114b41fd06d19a85@inbound.aiesec.org")</f>
        <v>p_62b022877c065270667c6d8e114b41fd06d19a85@inbound.aiesec.org</v>
      </c>
      <c r="F171" s="43">
        <f>IFERROR(__xludf.DUMMYFUNCTION("""COMPUTED_VALUE"""),1.069516326E9)</f>
        <v>1069516326</v>
      </c>
      <c r="G171" s="43" t="str">
        <f>IFERROR(__xludf.DUMMYFUNCTION("""COMPUTED_VALUE"""),"Egypt")</f>
        <v>Egypt</v>
      </c>
      <c r="H171" s="43" t="str">
        <f>IFERROR(__xludf.DUMMYFUNCTION("""COMPUTED_VALUE"""),"MIU")</f>
        <v>MIU</v>
      </c>
      <c r="I171" s="43" t="str">
        <f>IFERROR(__xludf.DUMMYFUNCTION("""COMPUTED_VALUE"""),"Turkey")</f>
        <v>Turkey</v>
      </c>
      <c r="J171" s="43" t="str">
        <f>IFERROR(__xludf.DUMMYFUNCTION("""COMPUTED_VALUE"""),"KONYA")</f>
        <v>KONYA</v>
      </c>
      <c r="K171" s="44" t="str">
        <f>IFERROR(__xludf.DUMMYFUNCTION("""COMPUTED_VALUE"""),"https://expa.aiesec.org/opportunities/1259891")</f>
        <v>https://expa.aiesec.org/opportunities/1259891</v>
      </c>
      <c r="L171" s="43" t="str">
        <f>IFERROR(__xludf.DUMMYFUNCTION("""COMPUTED_VALUE"""),"GTe")</f>
        <v>GTe</v>
      </c>
      <c r="M171" s="43" t="str">
        <f>IFERROR(__xludf.DUMMYFUNCTION("""COMPUTED_VALUE"""),"long")</f>
        <v>long</v>
      </c>
      <c r="N171" s="45">
        <f>IFERROR(__xludf.DUMMYFUNCTION("""COMPUTED_VALUE"""),44966.0)</f>
        <v>44966</v>
      </c>
      <c r="O171" s="45">
        <f>IFERROR(__xludf.DUMMYFUNCTION("""COMPUTED_VALUE"""),44958.0)</f>
        <v>44958</v>
      </c>
      <c r="P171" s="45">
        <f>IFERROR(__xludf.DUMMYFUNCTION("""COMPUTED_VALUE"""),45323.0)</f>
        <v>45323</v>
      </c>
      <c r="Q171" s="45"/>
      <c r="R171" s="45"/>
      <c r="S171" s="43"/>
      <c r="T171" s="43"/>
      <c r="U171" s="43" t="str">
        <f>IFERROR(__xludf.DUMMYFUNCTION("""COMPUTED_VALUE"""),"English Teacher at English Time")</f>
        <v>English Teacher at English Time</v>
      </c>
      <c r="V171" s="43" t="str">
        <f>IFERROR(__xludf.DUMMYFUNCTION("""COMPUTED_VALUE"""),"MIU University")</f>
        <v>MIU University</v>
      </c>
      <c r="W171" s="43" t="str">
        <f>IFERROR(__xludf.DUMMYFUNCTION("""COMPUTED_VALUE"""),"2023-01-13T19:16:46Z")</f>
        <v>2023-01-13T19:16:46Z</v>
      </c>
      <c r="X171" s="43"/>
      <c r="Y171" s="43"/>
      <c r="Z171" s="43"/>
    </row>
    <row r="172" hidden="1">
      <c r="A172" s="43" t="str">
        <f>IFERROR(__xludf.DUMMYFUNCTION("""COMPUTED_VALUE"""),"3292302_1286839")</f>
        <v>3292302_1286839</v>
      </c>
      <c r="B172" s="43" t="str">
        <f>IFERROR(__xludf.DUMMYFUNCTION("""COMPUTED_VALUE"""),"Chatal Safa")</f>
        <v>Chatal Safa</v>
      </c>
      <c r="C172" s="43" t="str">
        <f>IFERROR(__xludf.DUMMYFUNCTION("""COMPUTED_VALUE"""),"realized")</f>
        <v>realized</v>
      </c>
      <c r="D172" s="43" t="str">
        <f>IFERROR(__xludf.DUMMYFUNCTION("""COMPUTED_VALUE"""),"No")</f>
        <v>No</v>
      </c>
      <c r="E172" s="43" t="str">
        <f>IFERROR(__xludf.DUMMYFUNCTION("""COMPUTED_VALUE"""),"p_3431de37e098e3613d28118f6454bf19b64c2e5b@inbound.aiesec.org")</f>
        <v>p_3431de37e098e3613d28118f6454bf19b64c2e5b@inbound.aiesec.org</v>
      </c>
      <c r="F172" s="43">
        <f>IFERROR(__xludf.DUMMYFUNCTION("""COMPUTED_VALUE"""),7.73464991E8)</f>
        <v>773464991</v>
      </c>
      <c r="G172" s="43" t="str">
        <f>IFERROR(__xludf.DUMMYFUNCTION("""COMPUTED_VALUE"""),"Algeria")</f>
        <v>Algeria</v>
      </c>
      <c r="H172" s="43" t="str">
        <f>IFERROR(__xludf.DUMMYFUNCTION("""COMPUTED_VALUE"""),"Blida")</f>
        <v>Blida</v>
      </c>
      <c r="I172" s="43" t="str">
        <f>IFERROR(__xludf.DUMMYFUNCTION("""COMPUTED_VALUE"""),"Turkey")</f>
        <v>Turkey</v>
      </c>
      <c r="J172" s="43" t="str">
        <f>IFERROR(__xludf.DUMMYFUNCTION("""COMPUTED_VALUE"""),"ISTANBUL WEST")</f>
        <v>ISTANBUL WEST</v>
      </c>
      <c r="K172" s="44" t="str">
        <f>IFERROR(__xludf.DUMMYFUNCTION("""COMPUTED_VALUE"""),"https://expa.aiesec.org/opportunities/1286839")</f>
        <v>https://expa.aiesec.org/opportunities/1286839</v>
      </c>
      <c r="L172" s="43" t="str">
        <f>IFERROR(__xludf.DUMMYFUNCTION("""COMPUTED_VALUE"""),"GTe")</f>
        <v>GTe</v>
      </c>
      <c r="M172" s="43" t="str">
        <f>IFERROR(__xludf.DUMMYFUNCTION("""COMPUTED_VALUE"""),"long")</f>
        <v>long</v>
      </c>
      <c r="N172" s="45">
        <f>IFERROR(__xludf.DUMMYFUNCTION("""COMPUTED_VALUE"""),44972.0)</f>
        <v>44972</v>
      </c>
      <c r="O172" s="45">
        <f>IFERROR(__xludf.DUMMYFUNCTION("""COMPUTED_VALUE"""),45016.0)</f>
        <v>45016</v>
      </c>
      <c r="P172" s="45">
        <f>IFERROR(__xludf.DUMMYFUNCTION("""COMPUTED_VALUE"""),45379.0)</f>
        <v>45379</v>
      </c>
      <c r="Q172" s="45">
        <f>IFERROR(__xludf.DUMMYFUNCTION("""COMPUTED_VALUE"""),45012.0)</f>
        <v>45012</v>
      </c>
      <c r="R172" s="45">
        <f>IFERROR(__xludf.DUMMYFUNCTION("""COMPUTED_VALUE"""),45379.0)</f>
        <v>45379</v>
      </c>
      <c r="S172" s="43"/>
      <c r="T172" s="43" t="str">
        <f>IFERROR(__xludf.DUMMYFUNCTION("""COMPUTED_VALUE"""),"Business Development")</f>
        <v>Business Development</v>
      </c>
      <c r="U172" s="43" t="str">
        <f>IFERROR(__xludf.DUMMYFUNCTION("""COMPUTED_VALUE"""),"Pre-School Teacher at Istanbul AIKA/Florya ")</f>
        <v>Pre-School Teacher at Istanbul AIKA/Florya </v>
      </c>
      <c r="V172" s="43" t="str">
        <f>IFERROR(__xludf.DUMMYFUNCTION("""COMPUTED_VALUE"""),"-")</f>
        <v>-</v>
      </c>
      <c r="W172" s="43" t="str">
        <f>IFERROR(__xludf.DUMMYFUNCTION("""COMPUTED_VALUE"""),"2019-04-02T19:05:43Z")</f>
        <v>2019-04-02T19:05:43Z</v>
      </c>
      <c r="X172" s="43"/>
      <c r="Y172" s="43"/>
      <c r="Z172" s="43"/>
    </row>
    <row r="173" hidden="1">
      <c r="A173" s="43" t="str">
        <f>IFERROR(__xludf.DUMMYFUNCTION("""COMPUTED_VALUE"""),"5163333_1291606")</f>
        <v>5163333_1291606</v>
      </c>
      <c r="B173" s="43" t="str">
        <f>IFERROR(__xludf.DUMMYFUNCTION("""COMPUTED_VALUE"""),"Summer K.")</f>
        <v>Summer K.</v>
      </c>
      <c r="C173" s="43" t="str">
        <f>IFERROR(__xludf.DUMMYFUNCTION("""COMPUTED_VALUE"""),"approved")</f>
        <v>approved</v>
      </c>
      <c r="D173" s="43" t="str">
        <f>IFERROR(__xludf.DUMMYFUNCTION("""COMPUTED_VALUE"""),"No")</f>
        <v>No</v>
      </c>
      <c r="E173" s="43" t="str">
        <f>IFERROR(__xludf.DUMMYFUNCTION("""COMPUTED_VALUE"""),"p_fe3a4973cf2ecf0b6340f3e630e1fe4590b2b10d@inbound.aiesec.org")</f>
        <v>p_fe3a4973cf2ecf0b6340f3e630e1fe4590b2b10d@inbound.aiesec.org</v>
      </c>
      <c r="F173" s="43">
        <f>IFERROR(__xludf.DUMMYFUNCTION("""COMPUTED_VALUE"""),1.126512088E9)</f>
        <v>1126512088</v>
      </c>
      <c r="G173" s="43" t="str">
        <f>IFERROR(__xludf.DUMMYFUNCTION("""COMPUTED_VALUE"""),"Egypt")</f>
        <v>Egypt</v>
      </c>
      <c r="H173" s="43" t="str">
        <f>IFERROR(__xludf.DUMMYFUNCTION("""COMPUTED_VALUE"""),"Mansoura")</f>
        <v>Mansoura</v>
      </c>
      <c r="I173" s="43" t="str">
        <f>IFERROR(__xludf.DUMMYFUNCTION("""COMPUTED_VALUE"""),"Turkey")</f>
        <v>Turkey</v>
      </c>
      <c r="J173" s="43" t="str">
        <f>IFERROR(__xludf.DUMMYFUNCTION("""COMPUTED_VALUE"""),"BURSA")</f>
        <v>BURSA</v>
      </c>
      <c r="K173" s="44" t="str">
        <f>IFERROR(__xludf.DUMMYFUNCTION("""COMPUTED_VALUE"""),"https://expa.aiesec.org/opportunities/1291606")</f>
        <v>https://expa.aiesec.org/opportunities/1291606</v>
      </c>
      <c r="L173" s="43" t="str">
        <f>IFERROR(__xludf.DUMMYFUNCTION("""COMPUTED_VALUE"""),"GTe")</f>
        <v>GTe</v>
      </c>
      <c r="M173" s="43" t="str">
        <f>IFERROR(__xludf.DUMMYFUNCTION("""COMPUTED_VALUE"""),"long")</f>
        <v>long</v>
      </c>
      <c r="N173" s="45">
        <f>IFERROR(__xludf.DUMMYFUNCTION("""COMPUTED_VALUE"""),44972.0)</f>
        <v>44972</v>
      </c>
      <c r="O173" s="45">
        <f>IFERROR(__xludf.DUMMYFUNCTION("""COMPUTED_VALUE"""),45170.0)</f>
        <v>45170</v>
      </c>
      <c r="P173" s="45">
        <f>IFERROR(__xludf.DUMMYFUNCTION("""COMPUTED_VALUE"""),45536.0)</f>
        <v>45536</v>
      </c>
      <c r="Q173" s="45"/>
      <c r="R173" s="45"/>
      <c r="S173" s="43"/>
      <c r="T173" s="43"/>
      <c r="U173" s="43" t="str">
        <f>IFERROR(__xludf.DUMMYFUNCTION("""COMPUTED_VALUE"""),"Teacher")</f>
        <v>Teacher</v>
      </c>
      <c r="V173" s="43" t="str">
        <f>IFERROR(__xludf.DUMMYFUNCTION("""COMPUTED_VALUE"""),"New Mansoura University")</f>
        <v>New Mansoura University</v>
      </c>
      <c r="W173" s="43" t="str">
        <f>IFERROR(__xludf.DUMMYFUNCTION("""COMPUTED_VALUE"""),"2022-12-06T14:04:02Z")</f>
        <v>2022-12-06T14:04:02Z</v>
      </c>
      <c r="X173" s="43"/>
      <c r="Y173" s="43"/>
      <c r="Z173" s="43"/>
    </row>
    <row r="174" hidden="1">
      <c r="A174" s="43" t="str">
        <f>IFERROR(__xludf.DUMMYFUNCTION("""COMPUTED_VALUE"""),"5185745_1283288")</f>
        <v>5185745_1283288</v>
      </c>
      <c r="B174" s="43" t="str">
        <f>IFERROR(__xludf.DUMMYFUNCTION("""COMPUTED_VALUE"""),"Amine Bouiri")</f>
        <v>Amine Bouiri</v>
      </c>
      <c r="C174" s="43" t="str">
        <f>IFERROR(__xludf.DUMMYFUNCTION("""COMPUTED_VALUE"""),"realized")</f>
        <v>realized</v>
      </c>
      <c r="D174" s="43" t="str">
        <f>IFERROR(__xludf.DUMMYFUNCTION("""COMPUTED_VALUE"""),"No")</f>
        <v>No</v>
      </c>
      <c r="E174" s="43" t="str">
        <f>IFERROR(__xludf.DUMMYFUNCTION("""COMPUTED_VALUE"""),"p_45dfe13f5a8c19d746151e22933661c31fcb0883@inbound.aiesec.org")</f>
        <v>p_45dfe13f5a8c19d746151e22933661c31fcb0883@inbound.aiesec.org</v>
      </c>
      <c r="F174" s="43"/>
      <c r="G174" s="43" t="str">
        <f>IFERROR(__xludf.DUMMYFUNCTION("""COMPUTED_VALUE"""),"Algeria")</f>
        <v>Algeria</v>
      </c>
      <c r="H174" s="43" t="str">
        <f>IFERROR(__xludf.DUMMYFUNCTION("""COMPUTED_VALUE"""),"Benak")</f>
        <v>Benak</v>
      </c>
      <c r="I174" s="43" t="str">
        <f>IFERROR(__xludf.DUMMYFUNCTION("""COMPUTED_VALUE"""),"Turkey")</f>
        <v>Turkey</v>
      </c>
      <c r="J174" s="43" t="str">
        <f>IFERROR(__xludf.DUMMYFUNCTION("""COMPUTED_VALUE"""),"ISTANBUL ASIA")</f>
        <v>ISTANBUL ASIA</v>
      </c>
      <c r="K174" s="44" t="str">
        <f>IFERROR(__xludf.DUMMYFUNCTION("""COMPUTED_VALUE"""),"https://expa.aiesec.org/opportunities/1283288")</f>
        <v>https://expa.aiesec.org/opportunities/1283288</v>
      </c>
      <c r="L174" s="43" t="str">
        <f>IFERROR(__xludf.DUMMYFUNCTION("""COMPUTED_VALUE"""),"GTe")</f>
        <v>GTe</v>
      </c>
      <c r="M174" s="43" t="str">
        <f>IFERROR(__xludf.DUMMYFUNCTION("""COMPUTED_VALUE"""),"long")</f>
        <v>long</v>
      </c>
      <c r="N174" s="45">
        <f>IFERROR(__xludf.DUMMYFUNCTION("""COMPUTED_VALUE"""),44972.0)</f>
        <v>44972</v>
      </c>
      <c r="O174" s="45">
        <f>IFERROR(__xludf.DUMMYFUNCTION("""COMPUTED_VALUE"""),44991.0)</f>
        <v>44991</v>
      </c>
      <c r="P174" s="45">
        <f>IFERROR(__xludf.DUMMYFUNCTION("""COMPUTED_VALUE"""),45357.0)</f>
        <v>45357</v>
      </c>
      <c r="Q174" s="45">
        <f>IFERROR(__xludf.DUMMYFUNCTION("""COMPUTED_VALUE"""),45013.0)</f>
        <v>45013</v>
      </c>
      <c r="R174" s="45">
        <f>IFERROR(__xludf.DUMMYFUNCTION("""COMPUTED_VALUE"""),45379.0)</f>
        <v>45379</v>
      </c>
      <c r="S174" s="43"/>
      <c r="T174" s="43" t="str">
        <f>IFERROR(__xludf.DUMMYFUNCTION("""COMPUTED_VALUE"""),"Other")</f>
        <v>Other</v>
      </c>
      <c r="U174" s="43" t="str">
        <f>IFERROR(__xludf.DUMMYFUNCTION("""COMPUTED_VALUE"""),"Native Speaker")</f>
        <v>Native Speaker</v>
      </c>
      <c r="V174" s="43" t="str">
        <f>IFERROR(__xludf.DUMMYFUNCTION("""COMPUTED_VALUE"""),"-")</f>
        <v>-</v>
      </c>
      <c r="W174" s="43" t="str">
        <f>IFERROR(__xludf.DUMMYFUNCTION("""COMPUTED_VALUE"""),"2023-02-05T06:46:36Z")</f>
        <v>2023-02-05T06:46:36Z</v>
      </c>
      <c r="X174" s="43"/>
      <c r="Y174" s="43"/>
      <c r="Z174" s="43"/>
    </row>
    <row r="175" hidden="1">
      <c r="A175" s="43" t="str">
        <f>IFERROR(__xludf.DUMMYFUNCTION("""COMPUTED_VALUE"""),"4695922_1292473")</f>
        <v>4695922_1292473</v>
      </c>
      <c r="B175" s="43" t="str">
        <f>IFERROR(__xludf.DUMMYFUNCTION("""COMPUTED_VALUE"""),"deleted 4695922")</f>
        <v>deleted 4695922</v>
      </c>
      <c r="C175" s="43" t="str">
        <f>IFERROR(__xludf.DUMMYFUNCTION("""COMPUTED_VALUE"""),"realization_broken")</f>
        <v>realization_broken</v>
      </c>
      <c r="D175" s="43" t="str">
        <f>IFERROR(__xludf.DUMMYFUNCTION("""COMPUTED_VALUE"""),"No")</f>
        <v>No</v>
      </c>
      <c r="E175" s="43" t="str">
        <f>IFERROR(__xludf.DUMMYFUNCTION("""COMPUTED_VALUE"""),"p_d41e7f5157595cc6c90d9fa5bacfc925a73cfda1@inbound.aiesec.org")</f>
        <v>p_d41e7f5157595cc6c90d9fa5bacfc925a73cfda1@inbound.aiesec.org</v>
      </c>
      <c r="F175" s="43"/>
      <c r="G175" s="43" t="str">
        <f>IFERROR(__xludf.DUMMYFUNCTION("""COMPUTED_VALUE"""),"Algeria")</f>
        <v>Algeria</v>
      </c>
      <c r="H175" s="43" t="str">
        <f>IFERROR(__xludf.DUMMYFUNCTION("""COMPUTED_VALUE"""),"Babez")</f>
        <v>Babez</v>
      </c>
      <c r="I175" s="43" t="str">
        <f>IFERROR(__xludf.DUMMYFUNCTION("""COMPUTED_VALUE"""),"Turkey")</f>
        <v>Turkey</v>
      </c>
      <c r="J175" s="43" t="str">
        <f>IFERROR(__xludf.DUMMYFUNCTION("""COMPUTED_VALUE"""),"KOCAELI")</f>
        <v>KOCAELI</v>
      </c>
      <c r="K175" s="44" t="str">
        <f>IFERROR(__xludf.DUMMYFUNCTION("""COMPUTED_VALUE"""),"https://expa.aiesec.org/opportunities/1292473")</f>
        <v>https://expa.aiesec.org/opportunities/1292473</v>
      </c>
      <c r="L175" s="43" t="str">
        <f>IFERROR(__xludf.DUMMYFUNCTION("""COMPUTED_VALUE"""),"GTe")</f>
        <v>GTe</v>
      </c>
      <c r="M175" s="43" t="str">
        <f>IFERROR(__xludf.DUMMYFUNCTION("""COMPUTED_VALUE"""),"medium")</f>
        <v>medium</v>
      </c>
      <c r="N175" s="45">
        <f>IFERROR(__xludf.DUMMYFUNCTION("""COMPUTED_VALUE"""),44974.0)</f>
        <v>44974</v>
      </c>
      <c r="O175" s="45">
        <f>IFERROR(__xludf.DUMMYFUNCTION("""COMPUTED_VALUE"""),44984.0)</f>
        <v>44984</v>
      </c>
      <c r="P175" s="45">
        <f>IFERROR(__xludf.DUMMYFUNCTION("""COMPUTED_VALUE"""),45092.0)</f>
        <v>45092</v>
      </c>
      <c r="Q175" s="45"/>
      <c r="R175" s="45"/>
      <c r="S175" s="43"/>
      <c r="T175" s="43"/>
      <c r="U175" s="43" t="str">
        <f>IFERROR(__xludf.DUMMYFUNCTION("""COMPUTED_VALUE"""),"English Teacher in Kindergarden")</f>
        <v>English Teacher in Kindergarden</v>
      </c>
      <c r="V175" s="43" t="str">
        <f>IFERROR(__xludf.DUMMYFUNCTION("""COMPUTED_VALUE"""),"-")</f>
        <v>-</v>
      </c>
      <c r="W175" s="43" t="str">
        <f>IFERROR(__xludf.DUMMYFUNCTION("""COMPUTED_VALUE"""),"2021-07-23T18:06:24Z")</f>
        <v>2021-07-23T18:06:24Z</v>
      </c>
      <c r="X175" s="43"/>
      <c r="Y175" s="43"/>
      <c r="Z175" s="43"/>
    </row>
    <row r="176" hidden="1">
      <c r="A176" s="43" t="str">
        <f>IFERROR(__xludf.DUMMYFUNCTION("""COMPUTED_VALUE"""),"5191564_1287856")</f>
        <v>5191564_1287856</v>
      </c>
      <c r="B176" s="43" t="str">
        <f>IFERROR(__xludf.DUMMYFUNCTION("""COMPUTED_VALUE"""),"Farukh Karimzhanov")</f>
        <v>Farukh Karimzhanov</v>
      </c>
      <c r="C176" s="43" t="str">
        <f>IFERROR(__xludf.DUMMYFUNCTION("""COMPUTED_VALUE"""),"finished")</f>
        <v>finished</v>
      </c>
      <c r="D176" s="43" t="str">
        <f>IFERROR(__xludf.DUMMYFUNCTION("""COMPUTED_VALUE"""),"No")</f>
        <v>No</v>
      </c>
      <c r="E176" s="43" t="str">
        <f>IFERROR(__xludf.DUMMYFUNCTION("""COMPUTED_VALUE"""),"p_2c51d1453b29becb28b67d5301ac4677288c2f04@inbound.aiesec.org")</f>
        <v>p_2c51d1453b29becb28b67d5301ac4677288c2f04@inbound.aiesec.org</v>
      </c>
      <c r="F176" s="43">
        <f>IFERROR(__xludf.DUMMYFUNCTION("""COMPUTED_VALUE"""),5.00111751E8)</f>
        <v>500111751</v>
      </c>
      <c r="G176" s="43" t="str">
        <f>IFERROR(__xludf.DUMMYFUNCTION("""COMPUTED_VALUE"""),"Kyrgyzstan")</f>
        <v>Kyrgyzstan</v>
      </c>
      <c r="H176" s="43" t="str">
        <f>IFERROR(__xludf.DUMMYFUNCTION("""COMPUTED_VALUE"""),"Impulse for Bishkek Leaders (IBL)")</f>
        <v>Impulse for Bishkek Leaders (IBL)</v>
      </c>
      <c r="I176" s="43" t="str">
        <f>IFERROR(__xludf.DUMMYFUNCTION("""COMPUTED_VALUE"""),"Turkey")</f>
        <v>Turkey</v>
      </c>
      <c r="J176" s="43" t="str">
        <f>IFERROR(__xludf.DUMMYFUNCTION("""COMPUTED_VALUE"""),"ISTANBUL")</f>
        <v>ISTANBUL</v>
      </c>
      <c r="K176" s="44" t="str">
        <f>IFERROR(__xludf.DUMMYFUNCTION("""COMPUTED_VALUE"""),"https://expa.aiesec.org/opportunities/1287856")</f>
        <v>https://expa.aiesec.org/opportunities/1287856</v>
      </c>
      <c r="L176" s="43" t="str">
        <f>IFERROR(__xludf.DUMMYFUNCTION("""COMPUTED_VALUE"""),"GTe")</f>
        <v>GTe</v>
      </c>
      <c r="M176" s="43" t="str">
        <f>IFERROR(__xludf.DUMMYFUNCTION("""COMPUTED_VALUE"""),"long")</f>
        <v>long</v>
      </c>
      <c r="N176" s="45">
        <f>IFERROR(__xludf.DUMMYFUNCTION("""COMPUTED_VALUE"""),44974.0)</f>
        <v>44974</v>
      </c>
      <c r="O176" s="45">
        <f>IFERROR(__xludf.DUMMYFUNCTION("""COMPUTED_VALUE"""),44982.0)</f>
        <v>44982</v>
      </c>
      <c r="P176" s="45">
        <f>IFERROR(__xludf.DUMMYFUNCTION("""COMPUTED_VALUE"""),45171.0)</f>
        <v>45171</v>
      </c>
      <c r="Q176" s="45">
        <f>IFERROR(__xludf.DUMMYFUNCTION("""COMPUTED_VALUE"""),44974.0)</f>
        <v>44974</v>
      </c>
      <c r="R176" s="45">
        <f>IFERROR(__xludf.DUMMYFUNCTION("""COMPUTED_VALUE"""),45171.0)</f>
        <v>45171</v>
      </c>
      <c r="S176" s="43"/>
      <c r="T176" s="43"/>
      <c r="U176" s="43" t="str">
        <f>IFERROR(__xludf.DUMMYFUNCTION("""COMPUTED_VALUE"""),"Preschool English Teacher in Istanbul")</f>
        <v>Preschool English Teacher in Istanbul</v>
      </c>
      <c r="V176" s="43" t="str">
        <f>IFERROR(__xludf.DUMMYFUNCTION("""COMPUTED_VALUE"""),"КНУ (факультет КЭФ, Международных Отношений, Лингвистики или Юриспруденции)")</f>
        <v>КНУ (факультет КЭФ, Международных Отношений, Лингвистики или Юриспруденции)</v>
      </c>
      <c r="W176" s="43" t="str">
        <f>IFERROR(__xludf.DUMMYFUNCTION("""COMPUTED_VALUE"""),"2023-02-15T18:30:38Z")</f>
        <v>2023-02-15T18:30:38Z</v>
      </c>
      <c r="X176" s="43"/>
      <c r="Y176" s="43"/>
      <c r="Z176" s="43"/>
    </row>
    <row r="177" hidden="1">
      <c r="A177" s="43" t="str">
        <f>IFERROR(__xludf.DUMMYFUNCTION("""COMPUTED_VALUE"""),"5142036_1292124")</f>
        <v>5142036_1292124</v>
      </c>
      <c r="B177" s="43" t="str">
        <f>IFERROR(__xludf.DUMMYFUNCTION("""COMPUTED_VALUE"""),"Meriam Boukadi")</f>
        <v>Meriam Boukadi</v>
      </c>
      <c r="C177" s="43" t="str">
        <f>IFERROR(__xludf.DUMMYFUNCTION("""COMPUTED_VALUE"""),"realization_broken")</f>
        <v>realization_broken</v>
      </c>
      <c r="D177" s="43" t="str">
        <f>IFERROR(__xludf.DUMMYFUNCTION("""COMPUTED_VALUE"""),"No")</f>
        <v>No</v>
      </c>
      <c r="E177" s="43" t="str">
        <f>IFERROR(__xludf.DUMMYFUNCTION("""COMPUTED_VALUE"""),"p_c836008e2e8ec636fb433405db8aa70eb555325f@inbound.aiesec.org")</f>
        <v>p_c836008e2e8ec636fb433405db8aa70eb555325f@inbound.aiesec.org</v>
      </c>
      <c r="F177" s="43">
        <f>IFERROR(__xludf.DUMMYFUNCTION("""COMPUTED_VALUE"""),2.3525948E7)</f>
        <v>23525948</v>
      </c>
      <c r="G177" s="43" t="str">
        <f>IFERROR(__xludf.DUMMYFUNCTION("""COMPUTED_VALUE"""),"Tunisia")</f>
        <v>Tunisia</v>
      </c>
      <c r="H177" s="43" t="str">
        <f>IFERROR(__xludf.DUMMYFUNCTION("""COMPUTED_VALUE"""),"MEDINA")</f>
        <v>MEDINA</v>
      </c>
      <c r="I177" s="43" t="str">
        <f>IFERROR(__xludf.DUMMYFUNCTION("""COMPUTED_VALUE"""),"Turkey")</f>
        <v>Turkey</v>
      </c>
      <c r="J177" s="43" t="str">
        <f>IFERROR(__xludf.DUMMYFUNCTION("""COMPUTED_VALUE"""),"KOCAELI")</f>
        <v>KOCAELI</v>
      </c>
      <c r="K177" s="44" t="str">
        <f>IFERROR(__xludf.DUMMYFUNCTION("""COMPUTED_VALUE"""),"https://expa.aiesec.org/opportunities/1292124")</f>
        <v>https://expa.aiesec.org/opportunities/1292124</v>
      </c>
      <c r="L177" s="43" t="str">
        <f>IFERROR(__xludf.DUMMYFUNCTION("""COMPUTED_VALUE"""),"GTe")</f>
        <v>GTe</v>
      </c>
      <c r="M177" s="43" t="str">
        <f>IFERROR(__xludf.DUMMYFUNCTION("""COMPUTED_VALUE"""),"medium")</f>
        <v>medium</v>
      </c>
      <c r="N177" s="45">
        <f>IFERROR(__xludf.DUMMYFUNCTION("""COMPUTED_VALUE"""),44975.0)</f>
        <v>44975</v>
      </c>
      <c r="O177" s="45">
        <f>IFERROR(__xludf.DUMMYFUNCTION("""COMPUTED_VALUE"""),44989.0)</f>
        <v>44989</v>
      </c>
      <c r="P177" s="45">
        <f>IFERROR(__xludf.DUMMYFUNCTION("""COMPUTED_VALUE"""),45107.0)</f>
        <v>45107</v>
      </c>
      <c r="Q177" s="45"/>
      <c r="R177" s="45"/>
      <c r="S177" s="43"/>
      <c r="T177" s="43"/>
      <c r="U177" s="43" t="str">
        <f>IFERROR(__xludf.DUMMYFUNCTION("""COMPUTED_VALUE"""),"English Teacher in Çocuk Sarayı Kindergarden")</f>
        <v>English Teacher in Çocuk Sarayı Kindergarden</v>
      </c>
      <c r="V177" s="43" t="str">
        <f>IFERROR(__xludf.DUMMYFUNCTION("""COMPUTED_VALUE"""),"FLAH")</f>
        <v>FLAH</v>
      </c>
      <c r="W177" s="43" t="str">
        <f>IFERROR(__xludf.DUMMYFUNCTION("""COMPUTED_VALUE"""),"2022-10-28T09:42:27Z")</f>
        <v>2022-10-28T09:42:27Z</v>
      </c>
      <c r="X177" s="43"/>
      <c r="Y177" s="43"/>
      <c r="Z177" s="43"/>
    </row>
    <row r="178" hidden="1">
      <c r="A178" s="43" t="str">
        <f>IFERROR(__xludf.DUMMYFUNCTION("""COMPUTED_VALUE"""),"4816287_1281195")</f>
        <v>4816287_1281195</v>
      </c>
      <c r="B178" s="43" t="str">
        <f>IFERROR(__xludf.DUMMYFUNCTION("""COMPUTED_VALUE"""),"Guy Alain Betranou Kouakou")</f>
        <v>Guy Alain Betranou Kouakou</v>
      </c>
      <c r="C178" s="43" t="str">
        <f>IFERROR(__xludf.DUMMYFUNCTION("""COMPUTED_VALUE"""),"realized")</f>
        <v>realized</v>
      </c>
      <c r="D178" s="43" t="str">
        <f>IFERROR(__xludf.DUMMYFUNCTION("""COMPUTED_VALUE"""),"No")</f>
        <v>No</v>
      </c>
      <c r="E178" s="43" t="str">
        <f>IFERROR(__xludf.DUMMYFUNCTION("""COMPUTED_VALUE"""),"p_f866f7393fb45da60a843140f85eb1bf7768f11b@inbound.aiesec.org")</f>
        <v>p_f866f7393fb45da60a843140f85eb1bf7768f11b@inbound.aiesec.org</v>
      </c>
      <c r="F178" s="43">
        <f>IFERROR(__xludf.DUMMYFUNCTION("""COMPUTED_VALUE"""),7.47256058E8)</f>
        <v>747256058</v>
      </c>
      <c r="G178" s="43" t="str">
        <f>IFERROR(__xludf.DUMMYFUNCTION("""COMPUTED_VALUE"""),"Cote D'Ivoire")</f>
        <v>Cote D'Ivoire</v>
      </c>
      <c r="H178" s="43" t="str">
        <f>IFERROR(__xludf.DUMMYFUNCTION("""COMPUTED_VALUE"""),"COCODY-ABIDJAN")</f>
        <v>COCODY-ABIDJAN</v>
      </c>
      <c r="I178" s="43" t="str">
        <f>IFERROR(__xludf.DUMMYFUNCTION("""COMPUTED_VALUE"""),"Turkey")</f>
        <v>Turkey</v>
      </c>
      <c r="J178" s="43" t="str">
        <f>IFERROR(__xludf.DUMMYFUNCTION("""COMPUTED_VALUE"""),"BURSA")</f>
        <v>BURSA</v>
      </c>
      <c r="K178" s="44" t="str">
        <f>IFERROR(__xludf.DUMMYFUNCTION("""COMPUTED_VALUE"""),"https://expa.aiesec.org/opportunities/1281195")</f>
        <v>https://expa.aiesec.org/opportunities/1281195</v>
      </c>
      <c r="L178" s="43" t="str">
        <f>IFERROR(__xludf.DUMMYFUNCTION("""COMPUTED_VALUE"""),"GTe")</f>
        <v>GTe</v>
      </c>
      <c r="M178" s="43" t="str">
        <f>IFERROR(__xludf.DUMMYFUNCTION("""COMPUTED_VALUE"""),"long")</f>
        <v>long</v>
      </c>
      <c r="N178" s="45">
        <f>IFERROR(__xludf.DUMMYFUNCTION("""COMPUTED_VALUE"""),44981.0)</f>
        <v>44981</v>
      </c>
      <c r="O178" s="45">
        <f>IFERROR(__xludf.DUMMYFUNCTION("""COMPUTED_VALUE"""),45000.0)</f>
        <v>45000</v>
      </c>
      <c r="P178" s="45">
        <f>IFERROR(__xludf.DUMMYFUNCTION("""COMPUTED_VALUE"""),45366.0)</f>
        <v>45366</v>
      </c>
      <c r="Q178" s="45">
        <f>IFERROR(__xludf.DUMMYFUNCTION("""COMPUTED_VALUE"""),45035.0)</f>
        <v>45035</v>
      </c>
      <c r="R178" s="45">
        <f>IFERROR(__xludf.DUMMYFUNCTION("""COMPUTED_VALUE"""),45401.0)</f>
        <v>45401</v>
      </c>
      <c r="S178" s="43"/>
      <c r="T178" s="43"/>
      <c r="U178" s="43" t="str">
        <f>IFERROR(__xludf.DUMMYFUNCTION("""COMPUTED_VALUE"""),"ENGLISH TEACHING")</f>
        <v>ENGLISH TEACHING</v>
      </c>
      <c r="V178" s="43" t="str">
        <f>IFERROR(__xludf.DUMMYFUNCTION("""COMPUTED_VALUE"""),"LC COCODY")</f>
        <v>LC COCODY</v>
      </c>
      <c r="W178" s="43" t="str">
        <f>IFERROR(__xludf.DUMMYFUNCTION("""COMPUTED_VALUE"""),"2021-11-25T09:18:54Z")</f>
        <v>2021-11-25T09:18:54Z</v>
      </c>
      <c r="X178" s="43"/>
      <c r="Y178" s="43"/>
      <c r="Z178" s="43"/>
    </row>
    <row r="179" hidden="1">
      <c r="A179" s="43" t="str">
        <f>IFERROR(__xludf.DUMMYFUNCTION("""COMPUTED_VALUE"""),"5175295_1278298")</f>
        <v>5175295_1278298</v>
      </c>
      <c r="B179" s="43" t="str">
        <f>IFERROR(__xludf.DUMMYFUNCTION("""COMPUTED_VALUE"""),"Nour el imen Lazaar")</f>
        <v>Nour el imen Lazaar</v>
      </c>
      <c r="C179" s="43" t="str">
        <f>IFERROR(__xludf.DUMMYFUNCTION("""COMPUTED_VALUE"""),"realized")</f>
        <v>realized</v>
      </c>
      <c r="D179" s="43" t="str">
        <f>IFERROR(__xludf.DUMMYFUNCTION("""COMPUTED_VALUE"""),"No")</f>
        <v>No</v>
      </c>
      <c r="E179" s="43" t="str">
        <f>IFERROR(__xludf.DUMMYFUNCTION("""COMPUTED_VALUE"""),"p_4b2b814d607e7eaa66861594b809517fdc207e8d@inbound.aiesec.org")</f>
        <v>p_4b2b814d607e7eaa66861594b809517fdc207e8d@inbound.aiesec.org</v>
      </c>
      <c r="F179" s="43">
        <f>IFERROR(__xludf.DUMMYFUNCTION("""COMPUTED_VALUE"""),5.53098205E8)</f>
        <v>553098205</v>
      </c>
      <c r="G179" s="43" t="str">
        <f>IFERROR(__xludf.DUMMYFUNCTION("""COMPUTED_VALUE"""),"Algeria")</f>
        <v>Algeria</v>
      </c>
      <c r="H179" s="43" t="str">
        <f>IFERROR(__xludf.DUMMYFUNCTION("""COMPUTED_VALUE"""),"Oran")</f>
        <v>Oran</v>
      </c>
      <c r="I179" s="43" t="str">
        <f>IFERROR(__xludf.DUMMYFUNCTION("""COMPUTED_VALUE"""),"Turkey")</f>
        <v>Turkey</v>
      </c>
      <c r="J179" s="43" t="str">
        <f>IFERROR(__xludf.DUMMYFUNCTION("""COMPUTED_VALUE"""),"KOCAELI")</f>
        <v>KOCAELI</v>
      </c>
      <c r="K179" s="44" t="str">
        <f>IFERROR(__xludf.DUMMYFUNCTION("""COMPUTED_VALUE"""),"https://expa.aiesec.org/opportunities/1278298")</f>
        <v>https://expa.aiesec.org/opportunities/1278298</v>
      </c>
      <c r="L179" s="43" t="str">
        <f>IFERROR(__xludf.DUMMYFUNCTION("""COMPUTED_VALUE"""),"GTe")</f>
        <v>GTe</v>
      </c>
      <c r="M179" s="43" t="str">
        <f>IFERROR(__xludf.DUMMYFUNCTION("""COMPUTED_VALUE"""),"long")</f>
        <v>long</v>
      </c>
      <c r="N179" s="45">
        <f>IFERROR(__xludf.DUMMYFUNCTION("""COMPUTED_VALUE"""),44983.0)</f>
        <v>44983</v>
      </c>
      <c r="O179" s="45">
        <f>IFERROR(__xludf.DUMMYFUNCTION("""COMPUTED_VALUE"""),45005.0)</f>
        <v>45005</v>
      </c>
      <c r="P179" s="45">
        <f>IFERROR(__xludf.DUMMYFUNCTION("""COMPUTED_VALUE"""),45311.0)</f>
        <v>45311</v>
      </c>
      <c r="Q179" s="45">
        <f>IFERROR(__xludf.DUMMYFUNCTION("""COMPUTED_VALUE"""),45020.0)</f>
        <v>45020</v>
      </c>
      <c r="R179" s="45">
        <f>IFERROR(__xludf.DUMMYFUNCTION("""COMPUTED_VALUE"""),45355.0)</f>
        <v>45355</v>
      </c>
      <c r="S179" s="43"/>
      <c r="T179" s="43"/>
      <c r="U179" s="43" t="str">
        <f>IFERROR(__xludf.DUMMYFUNCTION("""COMPUTED_VALUE"""),"Gebze İngiliz Kültür ")</f>
        <v>Gebze İngiliz Kültür </v>
      </c>
      <c r="V179" s="43" t="str">
        <f>IFERROR(__xludf.DUMMYFUNCTION("""COMPUTED_VALUE"""),"AIESEC in Oran")</f>
        <v>AIESEC in Oran</v>
      </c>
      <c r="W179" s="43" t="str">
        <f>IFERROR(__xludf.DUMMYFUNCTION("""COMPUTED_VALUE"""),"2023-01-10T23:22:48Z")</f>
        <v>2023-01-10T23:22:48Z</v>
      </c>
      <c r="X179" s="43"/>
      <c r="Y179" s="43"/>
      <c r="Z179" s="43"/>
    </row>
    <row r="180" hidden="1">
      <c r="A180" s="43" t="str">
        <f>IFERROR(__xludf.DUMMYFUNCTION("""COMPUTED_VALUE"""),"4906008_1292545")</f>
        <v>4906008_1292545</v>
      </c>
      <c r="B180" s="43" t="str">
        <f>IFERROR(__xludf.DUMMYFUNCTION("""COMPUTED_VALUE"""),"Yassmine Farah Ben Ghorbel")</f>
        <v>Yassmine Farah Ben Ghorbel</v>
      </c>
      <c r="C180" s="43" t="str">
        <f>IFERROR(__xludf.DUMMYFUNCTION("""COMPUTED_VALUE"""),"realized")</f>
        <v>realized</v>
      </c>
      <c r="D180" s="43" t="str">
        <f>IFERROR(__xludf.DUMMYFUNCTION("""COMPUTED_VALUE"""),"No")</f>
        <v>No</v>
      </c>
      <c r="E180" s="43" t="str">
        <f>IFERROR(__xludf.DUMMYFUNCTION("""COMPUTED_VALUE"""),"p_f5d732cfff32bfb26e30a496da6a8acf60fc2a89@inbound.aiesec.org")</f>
        <v>p_f5d732cfff32bfb26e30a496da6a8acf60fc2a89@inbound.aiesec.org</v>
      </c>
      <c r="F180" s="43">
        <f>IFERROR(__xludf.DUMMYFUNCTION("""COMPUTED_VALUE"""),2.902821E7)</f>
        <v>29028210</v>
      </c>
      <c r="G180" s="43" t="str">
        <f>IFERROR(__xludf.DUMMYFUNCTION("""COMPUTED_VALUE"""),"Tunisia")</f>
        <v>Tunisia</v>
      </c>
      <c r="H180" s="43" t="str">
        <f>IFERROR(__xludf.DUMMYFUNCTION("""COMPUTED_VALUE"""),"Carthage")</f>
        <v>Carthage</v>
      </c>
      <c r="I180" s="43" t="str">
        <f>IFERROR(__xludf.DUMMYFUNCTION("""COMPUTED_VALUE"""),"Turkey")</f>
        <v>Turkey</v>
      </c>
      <c r="J180" s="43" t="str">
        <f>IFERROR(__xludf.DUMMYFUNCTION("""COMPUTED_VALUE"""),"BURSA")</f>
        <v>BURSA</v>
      </c>
      <c r="K180" s="44" t="str">
        <f>IFERROR(__xludf.DUMMYFUNCTION("""COMPUTED_VALUE"""),"https://expa.aiesec.org/opportunities/1292545")</f>
        <v>https://expa.aiesec.org/opportunities/1292545</v>
      </c>
      <c r="L180" s="43" t="str">
        <f>IFERROR(__xludf.DUMMYFUNCTION("""COMPUTED_VALUE"""),"GTe")</f>
        <v>GTe</v>
      </c>
      <c r="M180" s="43" t="str">
        <f>IFERROR(__xludf.DUMMYFUNCTION("""COMPUTED_VALUE"""),"long")</f>
        <v>long</v>
      </c>
      <c r="N180" s="45">
        <f>IFERROR(__xludf.DUMMYFUNCTION("""COMPUTED_VALUE"""),44985.0)</f>
        <v>44985</v>
      </c>
      <c r="O180" s="45">
        <f>IFERROR(__xludf.DUMMYFUNCTION("""COMPUTED_VALUE"""),45017.0)</f>
        <v>45017</v>
      </c>
      <c r="P180" s="45">
        <f>IFERROR(__xludf.DUMMYFUNCTION("""COMPUTED_VALUE"""),45383.0)</f>
        <v>45383</v>
      </c>
      <c r="Q180" s="45">
        <f>IFERROR(__xludf.DUMMYFUNCTION("""COMPUTED_VALUE"""),45107.0)</f>
        <v>45107</v>
      </c>
      <c r="R180" s="45">
        <f>IFERROR(__xludf.DUMMYFUNCTION("""COMPUTED_VALUE"""),45473.0)</f>
        <v>45473</v>
      </c>
      <c r="S180" s="43"/>
      <c r="T180" s="43"/>
      <c r="U180" s="43" t="str">
        <f>IFERROR(__xludf.DUMMYFUNCTION("""COMPUTED_VALUE"""),"Language teacher")</f>
        <v>Language teacher</v>
      </c>
      <c r="V180" s="43" t="str">
        <f>IFERROR(__xludf.DUMMYFUNCTION("""COMPUTED_VALUE"""),"ISLT")</f>
        <v>ISLT</v>
      </c>
      <c r="W180" s="43" t="str">
        <f>IFERROR(__xludf.DUMMYFUNCTION("""COMPUTED_VALUE"""),"2022-01-30T23:07:05Z")</f>
        <v>2022-01-30T23:07:05Z</v>
      </c>
      <c r="X180" s="43"/>
      <c r="Y180" s="43"/>
      <c r="Z180" s="43"/>
    </row>
    <row r="181" hidden="1">
      <c r="A181" s="43" t="str">
        <f>IFERROR(__xludf.DUMMYFUNCTION("""COMPUTED_VALUE"""),"5198688_1281195")</f>
        <v>5198688_1281195</v>
      </c>
      <c r="B181" s="43" t="str">
        <f>IFERROR(__xludf.DUMMYFUNCTION("""COMPUTED_VALUE"""),"Allen Nsajuli")</f>
        <v>Allen Nsajuli</v>
      </c>
      <c r="C181" s="43" t="str">
        <f>IFERROR(__xludf.DUMMYFUNCTION("""COMPUTED_VALUE"""),"approved")</f>
        <v>approved</v>
      </c>
      <c r="D181" s="43" t="str">
        <f>IFERROR(__xludf.DUMMYFUNCTION("""COMPUTED_VALUE"""),"No")</f>
        <v>No</v>
      </c>
      <c r="E181" s="43" t="str">
        <f>IFERROR(__xludf.DUMMYFUNCTION("""COMPUTED_VALUE"""),"p_d32a8c08bc2984e41c99fac1e9e3475fc92229f9@inbound.aiesec.org")</f>
        <v>p_d32a8c08bc2984e41c99fac1e9e3475fc92229f9@inbound.aiesec.org</v>
      </c>
      <c r="F181" s="43">
        <f>IFERROR(__xludf.DUMMYFUNCTION("""COMPUTED_VALUE"""),7.05673338E8)</f>
        <v>705673338</v>
      </c>
      <c r="G181" s="43" t="str">
        <f>IFERROR(__xludf.DUMMYFUNCTION("""COMPUTED_VALUE"""),"Uganda")</f>
        <v>Uganda</v>
      </c>
      <c r="H181" s="43" t="str">
        <f>IFERROR(__xludf.DUMMYFUNCTION("""COMPUTED_VALUE"""),"Makerere University Kampala")</f>
        <v>Makerere University Kampala</v>
      </c>
      <c r="I181" s="43" t="str">
        <f>IFERROR(__xludf.DUMMYFUNCTION("""COMPUTED_VALUE"""),"Turkey")</f>
        <v>Turkey</v>
      </c>
      <c r="J181" s="43" t="str">
        <f>IFERROR(__xludf.DUMMYFUNCTION("""COMPUTED_VALUE"""),"BURSA")</f>
        <v>BURSA</v>
      </c>
      <c r="K181" s="44" t="str">
        <f>IFERROR(__xludf.DUMMYFUNCTION("""COMPUTED_VALUE"""),"https://expa.aiesec.org/opportunities/1281195")</f>
        <v>https://expa.aiesec.org/opportunities/1281195</v>
      </c>
      <c r="L181" s="43" t="str">
        <f>IFERROR(__xludf.DUMMYFUNCTION("""COMPUTED_VALUE"""),"GTe")</f>
        <v>GTe</v>
      </c>
      <c r="M181" s="43" t="str">
        <f>IFERROR(__xludf.DUMMYFUNCTION("""COMPUTED_VALUE"""),"long")</f>
        <v>long</v>
      </c>
      <c r="N181" s="45">
        <f>IFERROR(__xludf.DUMMYFUNCTION("""COMPUTED_VALUE"""),44985.0)</f>
        <v>44985</v>
      </c>
      <c r="O181" s="45">
        <f>IFERROR(__xludf.DUMMYFUNCTION("""COMPUTED_VALUE"""),45157.0)</f>
        <v>45157</v>
      </c>
      <c r="P181" s="45">
        <f>IFERROR(__xludf.DUMMYFUNCTION("""COMPUTED_VALUE"""),45523.0)</f>
        <v>45523</v>
      </c>
      <c r="Q181" s="45"/>
      <c r="R181" s="45"/>
      <c r="S181" s="43"/>
      <c r="T181" s="43"/>
      <c r="U181" s="43" t="str">
        <f>IFERROR(__xludf.DUMMYFUNCTION("""COMPUTED_VALUE"""),"ENGLISH TEACHING")</f>
        <v>ENGLISH TEACHING</v>
      </c>
      <c r="V181" s="43" t="str">
        <f>IFERROR(__xludf.DUMMYFUNCTION("""COMPUTED_VALUE"""),"Makerere University")</f>
        <v>Makerere University</v>
      </c>
      <c r="W181" s="43" t="str">
        <f>IFERROR(__xludf.DUMMYFUNCTION("""COMPUTED_VALUE"""),"2023-02-24T21:22:10Z")</f>
        <v>2023-02-24T21:22:10Z</v>
      </c>
      <c r="X181" s="43"/>
      <c r="Y181" s="43"/>
      <c r="Z181" s="43"/>
    </row>
    <row r="182" hidden="1">
      <c r="A182" s="43" t="str">
        <f>IFERROR(__xludf.DUMMYFUNCTION("""COMPUTED_VALUE"""),"5202850_1277333")</f>
        <v>5202850_1277333</v>
      </c>
      <c r="B182" s="43" t="str">
        <f>IFERROR(__xludf.DUMMYFUNCTION("""COMPUTED_VALUE"""),"Souad El Euchi")</f>
        <v>Souad El Euchi</v>
      </c>
      <c r="C182" s="43" t="str">
        <f>IFERROR(__xludf.DUMMYFUNCTION("""COMPUTED_VALUE"""),"realized")</f>
        <v>realized</v>
      </c>
      <c r="D182" s="43" t="str">
        <f>IFERROR(__xludf.DUMMYFUNCTION("""COMPUTED_VALUE"""),"No")</f>
        <v>No</v>
      </c>
      <c r="E182" s="43" t="str">
        <f>IFERROR(__xludf.DUMMYFUNCTION("""COMPUTED_VALUE"""),"p_78a3aa7d0b57878ce93666326bf9a9fa2aea458a@inbound.aiesec.org")</f>
        <v>p_78a3aa7d0b57878ce93666326bf9a9fa2aea458a@inbound.aiesec.org</v>
      </c>
      <c r="F182" s="43"/>
      <c r="G182" s="43" t="str">
        <f>IFERROR(__xludf.DUMMYFUNCTION("""COMPUTED_VALUE"""),"Tunisia")</f>
        <v>Tunisia</v>
      </c>
      <c r="H182" s="43" t="str">
        <f>IFERROR(__xludf.DUMMYFUNCTION("""COMPUTED_VALUE"""),"UNIVERSITY")</f>
        <v>UNIVERSITY</v>
      </c>
      <c r="I182" s="43" t="str">
        <f>IFERROR(__xludf.DUMMYFUNCTION("""COMPUTED_VALUE"""),"Turkey")</f>
        <v>Turkey</v>
      </c>
      <c r="J182" s="43" t="str">
        <f>IFERROR(__xludf.DUMMYFUNCTION("""COMPUTED_VALUE"""),"KOCAELI")</f>
        <v>KOCAELI</v>
      </c>
      <c r="K182" s="44" t="str">
        <f>IFERROR(__xludf.DUMMYFUNCTION("""COMPUTED_VALUE"""),"https://expa.aiesec.org/opportunities/1277333")</f>
        <v>https://expa.aiesec.org/opportunities/1277333</v>
      </c>
      <c r="L182" s="43" t="str">
        <f>IFERROR(__xludf.DUMMYFUNCTION("""COMPUTED_VALUE"""),"GTe")</f>
        <v>GTe</v>
      </c>
      <c r="M182" s="43" t="str">
        <f>IFERROR(__xludf.DUMMYFUNCTION("""COMPUTED_VALUE"""),"long")</f>
        <v>long</v>
      </c>
      <c r="N182" s="45">
        <f>IFERROR(__xludf.DUMMYFUNCTION("""COMPUTED_VALUE"""),44986.0)</f>
        <v>44986</v>
      </c>
      <c r="O182" s="45">
        <f>IFERROR(__xludf.DUMMYFUNCTION("""COMPUTED_VALUE"""),45000.0)</f>
        <v>45000</v>
      </c>
      <c r="P182" s="45">
        <f>IFERROR(__xludf.DUMMYFUNCTION("""COMPUTED_VALUE"""),45366.0)</f>
        <v>45366</v>
      </c>
      <c r="Q182" s="45">
        <f>IFERROR(__xludf.DUMMYFUNCTION("""COMPUTED_VALUE"""),44993.0)</f>
        <v>44993</v>
      </c>
      <c r="R182" s="45">
        <f>IFERROR(__xludf.DUMMYFUNCTION("""COMPUTED_VALUE"""),45366.0)</f>
        <v>45366</v>
      </c>
      <c r="S182" s="43"/>
      <c r="T182" s="43"/>
      <c r="U182" s="43" t="str">
        <f>IFERROR(__xludf.DUMMYFUNCTION("""COMPUTED_VALUE"""),"English Teacher in English Time (Long)")</f>
        <v>English Teacher in English Time (Long)</v>
      </c>
      <c r="V182" s="43" t="str">
        <f>IFERROR(__xludf.DUMMYFUNCTION("""COMPUTED_VALUE"""),"CentraleCom")</f>
        <v>CentraleCom</v>
      </c>
      <c r="W182" s="43" t="str">
        <f>IFERROR(__xludf.DUMMYFUNCTION("""COMPUTED_VALUE"""),"2023-03-01T18:24:12Z")</f>
        <v>2023-03-01T18:24:12Z</v>
      </c>
      <c r="X182" s="43"/>
      <c r="Y182" s="43"/>
      <c r="Z182" s="43"/>
    </row>
    <row r="183" hidden="1">
      <c r="A183" s="43" t="str">
        <f>IFERROR(__xludf.DUMMYFUNCTION("""COMPUTED_VALUE"""),"5195812_1281195")</f>
        <v>5195812_1281195</v>
      </c>
      <c r="B183" s="43" t="str">
        <f>IFERROR(__xludf.DUMMYFUNCTION("""COMPUTED_VALUE"""),"Meerzat Zamirbek kyzy")</f>
        <v>Meerzat Zamirbek kyzy</v>
      </c>
      <c r="C183" s="43" t="str">
        <f>IFERROR(__xludf.DUMMYFUNCTION("""COMPUTED_VALUE"""),"realized")</f>
        <v>realized</v>
      </c>
      <c r="D183" s="43" t="str">
        <f>IFERROR(__xludf.DUMMYFUNCTION("""COMPUTED_VALUE"""),"No")</f>
        <v>No</v>
      </c>
      <c r="E183" s="43" t="str">
        <f>IFERROR(__xludf.DUMMYFUNCTION("""COMPUTED_VALUE"""),"p_5eabd5ee10d606b4655fc72ebeb9f13d28526215@inbound.aiesec.org")</f>
        <v>p_5eabd5ee10d606b4655fc72ebeb9f13d28526215@inbound.aiesec.org</v>
      </c>
      <c r="F183" s="43">
        <f>IFERROR(__xludf.DUMMYFUNCTION("""COMPUTED_VALUE"""),9.9055314E8)</f>
        <v>990553140</v>
      </c>
      <c r="G183" s="43" t="str">
        <f>IFERROR(__xludf.DUMMYFUNCTION("""COMPUTED_VALUE"""),"Kyrgyzstan")</f>
        <v>Kyrgyzstan</v>
      </c>
      <c r="H183" s="43" t="str">
        <f>IFERROR(__xludf.DUMMYFUNCTION("""COMPUTED_VALUE"""),"Impulse for Bishkek Leaders (IBL)")</f>
        <v>Impulse for Bishkek Leaders (IBL)</v>
      </c>
      <c r="I183" s="43" t="str">
        <f>IFERROR(__xludf.DUMMYFUNCTION("""COMPUTED_VALUE"""),"Turkey")</f>
        <v>Turkey</v>
      </c>
      <c r="J183" s="43" t="str">
        <f>IFERROR(__xludf.DUMMYFUNCTION("""COMPUTED_VALUE"""),"BURSA")</f>
        <v>BURSA</v>
      </c>
      <c r="K183" s="44" t="str">
        <f>IFERROR(__xludf.DUMMYFUNCTION("""COMPUTED_VALUE"""),"https://expa.aiesec.org/opportunities/1281195")</f>
        <v>https://expa.aiesec.org/opportunities/1281195</v>
      </c>
      <c r="L183" s="43" t="str">
        <f>IFERROR(__xludf.DUMMYFUNCTION("""COMPUTED_VALUE"""),"GTe")</f>
        <v>GTe</v>
      </c>
      <c r="M183" s="43" t="str">
        <f>IFERROR(__xludf.DUMMYFUNCTION("""COMPUTED_VALUE"""),"long")</f>
        <v>long</v>
      </c>
      <c r="N183" s="45">
        <f>IFERROR(__xludf.DUMMYFUNCTION("""COMPUTED_VALUE"""),44991.0)</f>
        <v>44991</v>
      </c>
      <c r="O183" s="45">
        <f>IFERROR(__xludf.DUMMYFUNCTION("""COMPUTED_VALUE"""),45000.0)</f>
        <v>45000</v>
      </c>
      <c r="P183" s="45">
        <f>IFERROR(__xludf.DUMMYFUNCTION("""COMPUTED_VALUE"""),45366.0)</f>
        <v>45366</v>
      </c>
      <c r="Q183" s="45">
        <f>IFERROR(__xludf.DUMMYFUNCTION("""COMPUTED_VALUE"""),45071.0)</f>
        <v>45071</v>
      </c>
      <c r="R183" s="45">
        <f>IFERROR(__xludf.DUMMYFUNCTION("""COMPUTED_VALUE"""),45436.0)</f>
        <v>45436</v>
      </c>
      <c r="S183" s="43"/>
      <c r="T183" s="43"/>
      <c r="U183" s="43" t="str">
        <f>IFERROR(__xludf.DUMMYFUNCTION("""COMPUTED_VALUE"""),"ENGLISH TEACHING")</f>
        <v>ENGLISH TEACHING</v>
      </c>
      <c r="V183" s="43" t="str">
        <f>IFERROR(__xludf.DUMMYFUNCTION("""COMPUTED_VALUE"""),"КТУ Манас (Другие факультеты)")</f>
        <v>КТУ Манас (Другие факультеты)</v>
      </c>
      <c r="W183" s="43" t="str">
        <f>IFERROR(__xludf.DUMMYFUNCTION("""COMPUTED_VALUE"""),"2023-02-21T11:02:03Z")</f>
        <v>2023-02-21T11:02:03Z</v>
      </c>
      <c r="X183" s="43"/>
      <c r="Y183" s="43"/>
      <c r="Z183" s="43"/>
    </row>
    <row r="184" hidden="1">
      <c r="A184" s="43" t="str">
        <f>IFERROR(__xludf.DUMMYFUNCTION("""COMPUTED_VALUE"""),"5184888_1283288")</f>
        <v>5184888_1283288</v>
      </c>
      <c r="B184" s="43" t="str">
        <f>IFERROR(__xludf.DUMMYFUNCTION("""COMPUTED_VALUE"""),"Meriem Moussaoui")</f>
        <v>Meriem Moussaoui</v>
      </c>
      <c r="C184" s="43" t="str">
        <f>IFERROR(__xludf.DUMMYFUNCTION("""COMPUTED_VALUE"""),"realized")</f>
        <v>realized</v>
      </c>
      <c r="D184" s="43" t="str">
        <f>IFERROR(__xludf.DUMMYFUNCTION("""COMPUTED_VALUE"""),"No")</f>
        <v>No</v>
      </c>
      <c r="E184" s="43" t="str">
        <f>IFERROR(__xludf.DUMMYFUNCTION("""COMPUTED_VALUE"""),"p_b0d2033e953e82e961b53a905aa103331e34a060@inbound.aiesec.org")</f>
        <v>p_b0d2033e953e82e961b53a905aa103331e34a060@inbound.aiesec.org</v>
      </c>
      <c r="F184" s="43">
        <f>IFERROR(__xludf.DUMMYFUNCTION("""COMPUTED_VALUE"""),2.6124631E7)</f>
        <v>26124631</v>
      </c>
      <c r="G184" s="43" t="str">
        <f>IFERROR(__xludf.DUMMYFUNCTION("""COMPUTED_VALUE"""),"Tunisia")</f>
        <v>Tunisia</v>
      </c>
      <c r="H184" s="43" t="str">
        <f>IFERROR(__xludf.DUMMYFUNCTION("""COMPUTED_VALUE"""),"UNIVERSITY")</f>
        <v>UNIVERSITY</v>
      </c>
      <c r="I184" s="43" t="str">
        <f>IFERROR(__xludf.DUMMYFUNCTION("""COMPUTED_VALUE"""),"Turkey")</f>
        <v>Turkey</v>
      </c>
      <c r="J184" s="43" t="str">
        <f>IFERROR(__xludf.DUMMYFUNCTION("""COMPUTED_VALUE"""),"ISTANBUL ASIA")</f>
        <v>ISTANBUL ASIA</v>
      </c>
      <c r="K184" s="44" t="str">
        <f>IFERROR(__xludf.DUMMYFUNCTION("""COMPUTED_VALUE"""),"https://expa.aiesec.org/opportunities/1283288")</f>
        <v>https://expa.aiesec.org/opportunities/1283288</v>
      </c>
      <c r="L184" s="43" t="str">
        <f>IFERROR(__xludf.DUMMYFUNCTION("""COMPUTED_VALUE"""),"GTe")</f>
        <v>GTe</v>
      </c>
      <c r="M184" s="43" t="str">
        <f>IFERROR(__xludf.DUMMYFUNCTION("""COMPUTED_VALUE"""),"long")</f>
        <v>long</v>
      </c>
      <c r="N184" s="45">
        <f>IFERROR(__xludf.DUMMYFUNCTION("""COMPUTED_VALUE"""),44992.0)</f>
        <v>44992</v>
      </c>
      <c r="O184" s="45">
        <f>IFERROR(__xludf.DUMMYFUNCTION("""COMPUTED_VALUE"""),45019.0)</f>
        <v>45019</v>
      </c>
      <c r="P184" s="45">
        <f>IFERROR(__xludf.DUMMYFUNCTION("""COMPUTED_VALUE"""),45385.0)</f>
        <v>45385</v>
      </c>
      <c r="Q184" s="45">
        <f>IFERROR(__xludf.DUMMYFUNCTION("""COMPUTED_VALUE"""),45020.0)</f>
        <v>45020</v>
      </c>
      <c r="R184" s="45">
        <f>IFERROR(__xludf.DUMMYFUNCTION("""COMPUTED_VALUE"""),45386.0)</f>
        <v>45386</v>
      </c>
      <c r="S184" s="43"/>
      <c r="T184" s="43" t="str">
        <f>IFERROR(__xludf.DUMMYFUNCTION("""COMPUTED_VALUE"""),"Other")</f>
        <v>Other</v>
      </c>
      <c r="U184" s="43" t="str">
        <f>IFERROR(__xludf.DUMMYFUNCTION("""COMPUTED_VALUE"""),"Native Speaker")</f>
        <v>Native Speaker</v>
      </c>
      <c r="V184" s="43" t="str">
        <f>IFERROR(__xludf.DUMMYFUNCTION("""COMPUTED_VALUE"""),"FST")</f>
        <v>FST</v>
      </c>
      <c r="W184" s="43" t="str">
        <f>IFERROR(__xludf.DUMMYFUNCTION("""COMPUTED_VALUE"""),"2023-02-03T13:45:44Z")</f>
        <v>2023-02-03T13:45:44Z</v>
      </c>
      <c r="X184" s="43"/>
      <c r="Y184" s="43"/>
      <c r="Z184" s="43"/>
    </row>
    <row r="185" hidden="1">
      <c r="A185" s="43" t="str">
        <f>IFERROR(__xludf.DUMMYFUNCTION("""COMPUTED_VALUE"""),"5209822_1286368")</f>
        <v>5209822_1286368</v>
      </c>
      <c r="B185" s="43" t="str">
        <f>IFERROR(__xludf.DUMMYFUNCTION("""COMPUTED_VALUE"""),"Cindy Mutiara Saprina")</f>
        <v>Cindy Mutiara Saprina</v>
      </c>
      <c r="C185" s="43" t="str">
        <f>IFERROR(__xludf.DUMMYFUNCTION("""COMPUTED_VALUE"""),"realized")</f>
        <v>realized</v>
      </c>
      <c r="D185" s="43" t="str">
        <f>IFERROR(__xludf.DUMMYFUNCTION("""COMPUTED_VALUE"""),"No")</f>
        <v>No</v>
      </c>
      <c r="E185" s="43" t="str">
        <f>IFERROR(__xludf.DUMMYFUNCTION("""COMPUTED_VALUE"""),"p_00b3c77e40d15c19d95102bb12eb5b085540aa26@inbound.aiesec.org")</f>
        <v>p_00b3c77e40d15c19d95102bb12eb5b085540aa26@inbound.aiesec.org</v>
      </c>
      <c r="F185" s="43">
        <f>IFERROR(__xludf.DUMMYFUNCTION("""COMPUTED_VALUE"""),8.1381268385E10)</f>
        <v>81381268385</v>
      </c>
      <c r="G185" s="43" t="str">
        <f>IFERROR(__xludf.DUMMYFUNCTION("""COMPUTED_VALUE"""),"Indonesia")</f>
        <v>Indonesia</v>
      </c>
      <c r="H185" s="43" t="str">
        <f>IFERROR(__xludf.DUMMYFUNCTION("""COMPUTED_VALUE"""),"IPB")</f>
        <v>IPB</v>
      </c>
      <c r="I185" s="43" t="str">
        <f>IFERROR(__xludf.DUMMYFUNCTION("""COMPUTED_VALUE"""),"Turkey")</f>
        <v>Turkey</v>
      </c>
      <c r="J185" s="43" t="str">
        <f>IFERROR(__xludf.DUMMYFUNCTION("""COMPUTED_VALUE"""),"ISTANBUL ASIA")</f>
        <v>ISTANBUL ASIA</v>
      </c>
      <c r="K185" s="44" t="str">
        <f>IFERROR(__xludf.DUMMYFUNCTION("""COMPUTED_VALUE"""),"https://expa.aiesec.org/opportunities/1286368")</f>
        <v>https://expa.aiesec.org/opportunities/1286368</v>
      </c>
      <c r="L185" s="43" t="str">
        <f>IFERROR(__xludf.DUMMYFUNCTION("""COMPUTED_VALUE"""),"GTe")</f>
        <v>GTe</v>
      </c>
      <c r="M185" s="43" t="str">
        <f>IFERROR(__xludf.DUMMYFUNCTION("""COMPUTED_VALUE"""),"long")</f>
        <v>long</v>
      </c>
      <c r="N185" s="45">
        <f>IFERROR(__xludf.DUMMYFUNCTION("""COMPUTED_VALUE"""),44996.0)</f>
        <v>44996</v>
      </c>
      <c r="O185" s="45">
        <f>IFERROR(__xludf.DUMMYFUNCTION("""COMPUTED_VALUE"""),45082.0)</f>
        <v>45082</v>
      </c>
      <c r="P185" s="45">
        <f>IFERROR(__xludf.DUMMYFUNCTION("""COMPUTED_VALUE"""),45448.0)</f>
        <v>45448</v>
      </c>
      <c r="Q185" s="45">
        <f>IFERROR(__xludf.DUMMYFUNCTION("""COMPUTED_VALUE"""),45096.0)</f>
        <v>45096</v>
      </c>
      <c r="R185" s="45">
        <f>IFERROR(__xludf.DUMMYFUNCTION("""COMPUTED_VALUE"""),45462.0)</f>
        <v>45462</v>
      </c>
      <c r="S185" s="43"/>
      <c r="T185" s="43"/>
      <c r="U185" s="43" t="str">
        <f>IFERROR(__xludf.DUMMYFUNCTION("""COMPUTED_VALUE"""),"English Teacher")</f>
        <v>English Teacher</v>
      </c>
      <c r="V185" s="43" t="str">
        <f>IFERROR(__xludf.DUMMYFUNCTION("""COMPUTED_VALUE"""),"Institut Pertanian Bogor")</f>
        <v>Institut Pertanian Bogor</v>
      </c>
      <c r="W185" s="43" t="str">
        <f>IFERROR(__xludf.DUMMYFUNCTION("""COMPUTED_VALUE"""),"2023-03-08T13:13:31Z")</f>
        <v>2023-03-08T13:13:31Z</v>
      </c>
      <c r="X185" s="43"/>
      <c r="Y185" s="43"/>
      <c r="Z185" s="43"/>
    </row>
    <row r="186" hidden="1">
      <c r="A186" s="43" t="str">
        <f>IFERROR(__xludf.DUMMYFUNCTION("""COMPUTED_VALUE"""),"4607166_1286368")</f>
        <v>4607166_1286368</v>
      </c>
      <c r="B186" s="43" t="str">
        <f>IFERROR(__xludf.DUMMYFUNCTION("""COMPUTED_VALUE"""),"Nadine Salah")</f>
        <v>Nadine Salah</v>
      </c>
      <c r="C186" s="43" t="str">
        <f>IFERROR(__xludf.DUMMYFUNCTION("""COMPUTED_VALUE"""),"realized")</f>
        <v>realized</v>
      </c>
      <c r="D186" s="43" t="str">
        <f>IFERROR(__xludf.DUMMYFUNCTION("""COMPUTED_VALUE"""),"No")</f>
        <v>No</v>
      </c>
      <c r="E186" s="43" t="str">
        <f>IFERROR(__xludf.DUMMYFUNCTION("""COMPUTED_VALUE"""),"p_e604e6816e1843b0597d02e5a4c31d596b02eeb0@inbound.aiesec.org")</f>
        <v>p_e604e6816e1843b0597d02e5a4c31d596b02eeb0@inbound.aiesec.org</v>
      </c>
      <c r="F186" s="43">
        <f>IFERROR(__xludf.DUMMYFUNCTION("""COMPUTED_VALUE"""),1.021213334E9)</f>
        <v>1021213334</v>
      </c>
      <c r="G186" s="43" t="str">
        <f>IFERROR(__xludf.DUMMYFUNCTION("""COMPUTED_VALUE"""),"Egypt")</f>
        <v>Egypt</v>
      </c>
      <c r="H186" s="43" t="str">
        <f>IFERROR(__xludf.DUMMYFUNCTION("""COMPUTED_VALUE"""),"Ain Shams University")</f>
        <v>Ain Shams University</v>
      </c>
      <c r="I186" s="43" t="str">
        <f>IFERROR(__xludf.DUMMYFUNCTION("""COMPUTED_VALUE"""),"Turkey")</f>
        <v>Turkey</v>
      </c>
      <c r="J186" s="43" t="str">
        <f>IFERROR(__xludf.DUMMYFUNCTION("""COMPUTED_VALUE"""),"ISTANBUL ASIA")</f>
        <v>ISTANBUL ASIA</v>
      </c>
      <c r="K186" s="44" t="str">
        <f>IFERROR(__xludf.DUMMYFUNCTION("""COMPUTED_VALUE"""),"https://expa.aiesec.org/opportunities/1286368")</f>
        <v>https://expa.aiesec.org/opportunities/1286368</v>
      </c>
      <c r="L186" s="43" t="str">
        <f>IFERROR(__xludf.DUMMYFUNCTION("""COMPUTED_VALUE"""),"GTe")</f>
        <v>GTe</v>
      </c>
      <c r="M186" s="43" t="str">
        <f>IFERROR(__xludf.DUMMYFUNCTION("""COMPUTED_VALUE"""),"long")</f>
        <v>long</v>
      </c>
      <c r="N186" s="45">
        <f>IFERROR(__xludf.DUMMYFUNCTION("""COMPUTED_VALUE"""),44998.0)</f>
        <v>44998</v>
      </c>
      <c r="O186" s="45">
        <f>IFERROR(__xludf.DUMMYFUNCTION("""COMPUTED_VALUE"""),45145.0)</f>
        <v>45145</v>
      </c>
      <c r="P186" s="45">
        <f>IFERROR(__xludf.DUMMYFUNCTION("""COMPUTED_VALUE"""),45511.0)</f>
        <v>45511</v>
      </c>
      <c r="Q186" s="45">
        <f>IFERROR(__xludf.DUMMYFUNCTION("""COMPUTED_VALUE"""),45146.0)</f>
        <v>45146</v>
      </c>
      <c r="R186" s="45">
        <f>IFERROR(__xludf.DUMMYFUNCTION("""COMPUTED_VALUE"""),45512.0)</f>
        <v>45512</v>
      </c>
      <c r="S186" s="43"/>
      <c r="T186" s="43"/>
      <c r="U186" s="43" t="str">
        <f>IFERROR(__xludf.DUMMYFUNCTION("""COMPUTED_VALUE"""),"English Teacher")</f>
        <v>English Teacher</v>
      </c>
      <c r="V186" s="43" t="str">
        <f>IFERROR(__xludf.DUMMYFUNCTION("""COMPUTED_VALUE"""),"Ain Shams University")</f>
        <v>Ain Shams University</v>
      </c>
      <c r="W186" s="43" t="str">
        <f>IFERROR(__xludf.DUMMYFUNCTION("""COMPUTED_VALUE"""),"2021-04-05T20:36:49Z")</f>
        <v>2021-04-05T20:36:49Z</v>
      </c>
      <c r="X186" s="43"/>
      <c r="Y186" s="43"/>
      <c r="Z186" s="43"/>
    </row>
    <row r="187" hidden="1">
      <c r="A187" s="43" t="str">
        <f>IFERROR(__xludf.DUMMYFUNCTION("""COMPUTED_VALUE"""),"4829328_1293243")</f>
        <v>4829328_1293243</v>
      </c>
      <c r="B187" s="43" t="str">
        <f>IFERROR(__xludf.DUMMYFUNCTION("""COMPUTED_VALUE"""),"Diboune Hanine")</f>
        <v>Diboune Hanine</v>
      </c>
      <c r="C187" s="43" t="str">
        <f>IFERROR(__xludf.DUMMYFUNCTION("""COMPUTED_VALUE"""),"realized")</f>
        <v>realized</v>
      </c>
      <c r="D187" s="43" t="str">
        <f>IFERROR(__xludf.DUMMYFUNCTION("""COMPUTED_VALUE"""),"No")</f>
        <v>No</v>
      </c>
      <c r="E187" s="43" t="str">
        <f>IFERROR(__xludf.DUMMYFUNCTION("""COMPUTED_VALUE"""),"p_1eba1734c89713a784098901e6730afad18cc970@inbound.aiesec.org")</f>
        <v>p_1eba1734c89713a784098901e6730afad18cc970@inbound.aiesec.org</v>
      </c>
      <c r="F187" s="43">
        <f>IFERROR(__xludf.DUMMYFUNCTION("""COMPUTED_VALUE"""),6.69449907E8)</f>
        <v>669449907</v>
      </c>
      <c r="G187" s="43" t="str">
        <f>IFERROR(__xludf.DUMMYFUNCTION("""COMPUTED_VALUE"""),"Algeria")</f>
        <v>Algeria</v>
      </c>
      <c r="H187" s="43" t="str">
        <f>IFERROR(__xludf.DUMMYFUNCTION("""COMPUTED_VALUE"""),"Babez")</f>
        <v>Babez</v>
      </c>
      <c r="I187" s="43" t="str">
        <f>IFERROR(__xludf.DUMMYFUNCTION("""COMPUTED_VALUE"""),"Turkey")</f>
        <v>Turkey</v>
      </c>
      <c r="J187" s="43" t="str">
        <f>IFERROR(__xludf.DUMMYFUNCTION("""COMPUTED_VALUE"""),"ISTANBUL WEST")</f>
        <v>ISTANBUL WEST</v>
      </c>
      <c r="K187" s="44" t="str">
        <f>IFERROR(__xludf.DUMMYFUNCTION("""COMPUTED_VALUE"""),"https://expa.aiesec.org/opportunities/1293243")</f>
        <v>https://expa.aiesec.org/opportunities/1293243</v>
      </c>
      <c r="L187" s="43" t="str">
        <f>IFERROR(__xludf.DUMMYFUNCTION("""COMPUTED_VALUE"""),"GTe")</f>
        <v>GTe</v>
      </c>
      <c r="M187" s="43" t="str">
        <f>IFERROR(__xludf.DUMMYFUNCTION("""COMPUTED_VALUE"""),"long")</f>
        <v>long</v>
      </c>
      <c r="N187" s="45">
        <f>IFERROR(__xludf.DUMMYFUNCTION("""COMPUTED_VALUE"""),45000.0)</f>
        <v>45000</v>
      </c>
      <c r="O187" s="45">
        <f>IFERROR(__xludf.DUMMYFUNCTION("""COMPUTED_VALUE"""),45068.0)</f>
        <v>45068</v>
      </c>
      <c r="P187" s="45">
        <f>IFERROR(__xludf.DUMMYFUNCTION("""COMPUTED_VALUE"""),45429.0)</f>
        <v>45429</v>
      </c>
      <c r="Q187" s="45">
        <f>IFERROR(__xludf.DUMMYFUNCTION("""COMPUTED_VALUE"""),45035.0)</f>
        <v>45035</v>
      </c>
      <c r="R187" s="45">
        <f>IFERROR(__xludf.DUMMYFUNCTION("""COMPUTED_VALUE"""),45429.0)</f>
        <v>45429</v>
      </c>
      <c r="S187" s="43"/>
      <c r="T187" s="43"/>
      <c r="U187" s="43" t="str">
        <f>IFERROR(__xludf.DUMMYFUNCTION("""COMPUTED_VALUE"""),"English Teacher")</f>
        <v>English Teacher</v>
      </c>
      <c r="V187" s="43" t="str">
        <f>IFERROR(__xludf.DUMMYFUNCTION("""COMPUTED_VALUE"""),"-")</f>
        <v>-</v>
      </c>
      <c r="W187" s="43" t="str">
        <f>IFERROR(__xludf.DUMMYFUNCTION("""COMPUTED_VALUE"""),"2021-12-04T00:35:59Z")</f>
        <v>2021-12-04T00:35:59Z</v>
      </c>
      <c r="X187" s="43"/>
      <c r="Y187" s="43"/>
      <c r="Z187" s="43"/>
    </row>
    <row r="188" hidden="1">
      <c r="A188" s="43" t="str">
        <f>IFERROR(__xludf.DUMMYFUNCTION("""COMPUTED_VALUE"""),"5212112_1292545")</f>
        <v>5212112_1292545</v>
      </c>
      <c r="B188" s="43" t="str">
        <f>IFERROR(__xludf.DUMMYFUNCTION("""COMPUTED_VALUE"""),"Malithi Mullegamgoda")</f>
        <v>Malithi Mullegamgoda</v>
      </c>
      <c r="C188" s="43" t="str">
        <f>IFERROR(__xludf.DUMMYFUNCTION("""COMPUTED_VALUE"""),"realized")</f>
        <v>realized</v>
      </c>
      <c r="D188" s="43" t="str">
        <f>IFERROR(__xludf.DUMMYFUNCTION("""COMPUTED_VALUE"""),"No")</f>
        <v>No</v>
      </c>
      <c r="E188" s="43" t="str">
        <f>IFERROR(__xludf.DUMMYFUNCTION("""COMPUTED_VALUE"""),"p_364af7107021a6fb61db3b1a7464235b21aa6db2@inbound.aiesec.org")</f>
        <v>p_364af7107021a6fb61db3b1a7464235b21aa6db2@inbound.aiesec.org</v>
      </c>
      <c r="F188" s="43">
        <f>IFERROR(__xludf.DUMMYFUNCTION("""COMPUTED_VALUE"""),7.71749151E8)</f>
        <v>771749151</v>
      </c>
      <c r="G188" s="43" t="str">
        <f>IFERROR(__xludf.DUMMYFUNCTION("""COMPUTED_VALUE"""),"Sri Lanka")</f>
        <v>Sri Lanka</v>
      </c>
      <c r="H188" s="43" t="str">
        <f>IFERROR(__xludf.DUMMYFUNCTION("""COMPUTED_VALUE"""),"COLOMBO NORTH")</f>
        <v>COLOMBO NORTH</v>
      </c>
      <c r="I188" s="43" t="str">
        <f>IFERROR(__xludf.DUMMYFUNCTION("""COMPUTED_VALUE"""),"Turkey")</f>
        <v>Turkey</v>
      </c>
      <c r="J188" s="43" t="str">
        <f>IFERROR(__xludf.DUMMYFUNCTION("""COMPUTED_VALUE"""),"BURSA")</f>
        <v>BURSA</v>
      </c>
      <c r="K188" s="44" t="str">
        <f>IFERROR(__xludf.DUMMYFUNCTION("""COMPUTED_VALUE"""),"https://expa.aiesec.org/opportunities/1292545")</f>
        <v>https://expa.aiesec.org/opportunities/1292545</v>
      </c>
      <c r="L188" s="43" t="str">
        <f>IFERROR(__xludf.DUMMYFUNCTION("""COMPUTED_VALUE"""),"GTe")</f>
        <v>GTe</v>
      </c>
      <c r="M188" s="43" t="str">
        <f>IFERROR(__xludf.DUMMYFUNCTION("""COMPUTED_VALUE"""),"long")</f>
        <v>long</v>
      </c>
      <c r="N188" s="45">
        <f>IFERROR(__xludf.DUMMYFUNCTION("""COMPUTED_VALUE"""),45001.0)</f>
        <v>45001</v>
      </c>
      <c r="O188" s="45">
        <f>IFERROR(__xludf.DUMMYFUNCTION("""COMPUTED_VALUE"""),45036.0)</f>
        <v>45036</v>
      </c>
      <c r="P188" s="45">
        <f>IFERROR(__xludf.DUMMYFUNCTION("""COMPUTED_VALUE"""),45402.0)</f>
        <v>45402</v>
      </c>
      <c r="Q188" s="45">
        <f>IFERROR(__xludf.DUMMYFUNCTION("""COMPUTED_VALUE"""),45046.0)</f>
        <v>45046</v>
      </c>
      <c r="R188" s="45">
        <f>IFERROR(__xludf.DUMMYFUNCTION("""COMPUTED_VALUE"""),45413.0)</f>
        <v>45413</v>
      </c>
      <c r="S188" s="43"/>
      <c r="T188" s="43"/>
      <c r="U188" s="43" t="str">
        <f>IFERROR(__xludf.DUMMYFUNCTION("""COMPUTED_VALUE"""),"Language teacher")</f>
        <v>Language teacher</v>
      </c>
      <c r="V188" s="43" t="str">
        <f>IFERROR(__xludf.DUMMYFUNCTION("""COMPUTED_VALUE"""),"University of Kelaniya")</f>
        <v>University of Kelaniya</v>
      </c>
      <c r="W188" s="43" t="str">
        <f>IFERROR(__xludf.DUMMYFUNCTION("""COMPUTED_VALUE"""),"2023-03-10T13:54:16Z")</f>
        <v>2023-03-10T13:54:16Z</v>
      </c>
      <c r="X188" s="43"/>
      <c r="Y188" s="43"/>
      <c r="Z188" s="43"/>
    </row>
    <row r="189" hidden="1">
      <c r="A189" s="43" t="str">
        <f>IFERROR(__xludf.DUMMYFUNCTION("""COMPUTED_VALUE"""),"5192860_1287942")</f>
        <v>5192860_1287942</v>
      </c>
      <c r="B189" s="43" t="str">
        <f>IFERROR(__xludf.DUMMYFUNCTION("""COMPUTED_VALUE"""),"Aqsa Tabassum Aqsa Tabassum")</f>
        <v>Aqsa Tabassum Aqsa Tabassum</v>
      </c>
      <c r="C189" s="43" t="str">
        <f>IFERROR(__xludf.DUMMYFUNCTION("""COMPUTED_VALUE"""),"realized")</f>
        <v>realized</v>
      </c>
      <c r="D189" s="43" t="str">
        <f>IFERROR(__xludf.DUMMYFUNCTION("""COMPUTED_VALUE"""),"No")</f>
        <v>No</v>
      </c>
      <c r="E189" s="43" t="str">
        <f>IFERROR(__xludf.DUMMYFUNCTION("""COMPUTED_VALUE"""),"p_d3f75ac734fabf4110c01f71a844bb6c12f8c5c6@inbound.aiesec.org")</f>
        <v>p_d3f75ac734fabf4110c01f71a844bb6c12f8c5c6@inbound.aiesec.org</v>
      </c>
      <c r="F189" s="43">
        <f>IFERROR(__xludf.DUMMYFUNCTION("""COMPUTED_VALUE"""),3.165166646E9)</f>
        <v>3165166646</v>
      </c>
      <c r="G189" s="43" t="str">
        <f>IFERROR(__xludf.DUMMYFUNCTION("""COMPUTED_VALUE"""),"Pakistan")</f>
        <v>Pakistan</v>
      </c>
      <c r="H189" s="43" t="str">
        <f>IFERROR(__xludf.DUMMYFUNCTION("""COMPUTED_VALUE"""),"Karachi South")</f>
        <v>Karachi South</v>
      </c>
      <c r="I189" s="43" t="str">
        <f>IFERROR(__xludf.DUMMYFUNCTION("""COMPUTED_VALUE"""),"Turkey")</f>
        <v>Turkey</v>
      </c>
      <c r="J189" s="43" t="str">
        <f>IFERROR(__xludf.DUMMYFUNCTION("""COMPUTED_VALUE"""),"İZMİR")</f>
        <v>İZMİR</v>
      </c>
      <c r="K189" s="44" t="str">
        <f>IFERROR(__xludf.DUMMYFUNCTION("""COMPUTED_VALUE"""),"https://expa.aiesec.org/opportunities/1287942")</f>
        <v>https://expa.aiesec.org/opportunities/1287942</v>
      </c>
      <c r="L189" s="43" t="str">
        <f>IFERROR(__xludf.DUMMYFUNCTION("""COMPUTED_VALUE"""),"GTe")</f>
        <v>GTe</v>
      </c>
      <c r="M189" s="43" t="str">
        <f>IFERROR(__xludf.DUMMYFUNCTION("""COMPUTED_VALUE"""),"long")</f>
        <v>long</v>
      </c>
      <c r="N189" s="45">
        <f>IFERROR(__xludf.DUMMYFUNCTION("""COMPUTED_VALUE"""),45001.0)</f>
        <v>45001</v>
      </c>
      <c r="O189" s="45">
        <f>IFERROR(__xludf.DUMMYFUNCTION("""COMPUTED_VALUE"""),44988.0)</f>
        <v>44988</v>
      </c>
      <c r="P189" s="45">
        <f>IFERROR(__xludf.DUMMYFUNCTION("""COMPUTED_VALUE"""),45260.0)</f>
        <v>45260</v>
      </c>
      <c r="Q189" s="45">
        <f>IFERROR(__xludf.DUMMYFUNCTION("""COMPUTED_VALUE"""),45005.0)</f>
        <v>45005</v>
      </c>
      <c r="R189" s="45">
        <f>IFERROR(__xludf.DUMMYFUNCTION("""COMPUTED_VALUE"""),45371.0)</f>
        <v>45371</v>
      </c>
      <c r="S189" s="43"/>
      <c r="T189" s="43"/>
      <c r="U189" s="43" t="str">
        <f>IFERROR(__xludf.DUMMYFUNCTION("""COMPUTED_VALUE"""),"Kindergarten English Teacher")</f>
        <v>Kindergarten English Teacher</v>
      </c>
      <c r="V189" s="43" t="str">
        <f>IFERROR(__xludf.DUMMYFUNCTION("""COMPUTED_VALUE"""),"Karachi - Salim Habib University")</f>
        <v>Karachi - Salim Habib University</v>
      </c>
      <c r="W189" s="43" t="str">
        <f>IFERROR(__xludf.DUMMYFUNCTION("""COMPUTED_VALUE"""),"2023-02-17T11:50:09Z")</f>
        <v>2023-02-17T11:50:09Z</v>
      </c>
      <c r="X189" s="43"/>
      <c r="Y189" s="43"/>
      <c r="Z189" s="43"/>
    </row>
    <row r="190" hidden="1">
      <c r="A190" s="43" t="str">
        <f>IFERROR(__xludf.DUMMYFUNCTION("""COMPUTED_VALUE"""),"5158416_1293448")</f>
        <v>5158416_1293448</v>
      </c>
      <c r="B190" s="43" t="str">
        <f>IFERROR(__xludf.DUMMYFUNCTION("""COMPUTED_VALUE"""),"Oumayma Guidara")</f>
        <v>Oumayma Guidara</v>
      </c>
      <c r="C190" s="43" t="str">
        <f>IFERROR(__xludf.DUMMYFUNCTION("""COMPUTED_VALUE"""),"completed")</f>
        <v>completed</v>
      </c>
      <c r="D190" s="43" t="str">
        <f>IFERROR(__xludf.DUMMYFUNCTION("""COMPUTED_VALUE"""),"No")</f>
        <v>No</v>
      </c>
      <c r="E190" s="43" t="str">
        <f>IFERROR(__xludf.DUMMYFUNCTION("""COMPUTED_VALUE"""),"p_5b6ca46385eed90bb677f754d9e528e4ac6c00ee@inbound.aiesec.org")</f>
        <v>p_5b6ca46385eed90bb677f754d9e528e4ac6c00ee@inbound.aiesec.org</v>
      </c>
      <c r="F190" s="43"/>
      <c r="G190" s="43" t="str">
        <f>IFERROR(__xludf.DUMMYFUNCTION("""COMPUTED_VALUE"""),"Tunisia")</f>
        <v>Tunisia</v>
      </c>
      <c r="H190" s="43" t="str">
        <f>IFERROR(__xludf.DUMMYFUNCTION("""COMPUTED_VALUE"""),"SFAX")</f>
        <v>SFAX</v>
      </c>
      <c r="I190" s="43" t="str">
        <f>IFERROR(__xludf.DUMMYFUNCTION("""COMPUTED_VALUE"""),"Turkey")</f>
        <v>Turkey</v>
      </c>
      <c r="J190" s="43" t="str">
        <f>IFERROR(__xludf.DUMMYFUNCTION("""COMPUTED_VALUE"""),"KOCAELI")</f>
        <v>KOCAELI</v>
      </c>
      <c r="K190" s="44" t="str">
        <f>IFERROR(__xludf.DUMMYFUNCTION("""COMPUTED_VALUE"""),"https://expa.aiesec.org/opportunities/1293448")</f>
        <v>https://expa.aiesec.org/opportunities/1293448</v>
      </c>
      <c r="L190" s="43" t="str">
        <f>IFERROR(__xludf.DUMMYFUNCTION("""COMPUTED_VALUE"""),"GTe")</f>
        <v>GTe</v>
      </c>
      <c r="M190" s="43" t="str">
        <f>IFERROR(__xludf.DUMMYFUNCTION("""COMPUTED_VALUE"""),"short")</f>
        <v>short</v>
      </c>
      <c r="N190" s="45">
        <f>IFERROR(__xludf.DUMMYFUNCTION("""COMPUTED_VALUE"""),45002.0)</f>
        <v>45002</v>
      </c>
      <c r="O190" s="45">
        <f>IFERROR(__xludf.DUMMYFUNCTION("""COMPUTED_VALUE"""),45016.0)</f>
        <v>45016</v>
      </c>
      <c r="P190" s="45">
        <f>IFERROR(__xludf.DUMMYFUNCTION("""COMPUTED_VALUE"""),45099.0)</f>
        <v>45099</v>
      </c>
      <c r="Q190" s="45">
        <f>IFERROR(__xludf.DUMMYFUNCTION("""COMPUTED_VALUE"""),45020.0)</f>
        <v>45020</v>
      </c>
      <c r="R190" s="45">
        <f>IFERROR(__xludf.DUMMYFUNCTION("""COMPUTED_VALUE"""),45104.0)</f>
        <v>45104</v>
      </c>
      <c r="S190" s="43"/>
      <c r="T190" s="43"/>
      <c r="U190" s="43" t="str">
        <f>IFERROR(__xludf.DUMMYFUNCTION("""COMPUTED_VALUE"""),"English Teacher in Kindergarten (SHORT)")</f>
        <v>English Teacher in Kindergarten (SHORT)</v>
      </c>
      <c r="V190" s="43" t="str">
        <f>IFERROR(__xludf.DUMMYFUNCTION("""COMPUTED_VALUE"""),"-")</f>
        <v>-</v>
      </c>
      <c r="W190" s="43" t="str">
        <f>IFERROR(__xludf.DUMMYFUNCTION("""COMPUTED_VALUE"""),"2022-11-24T16:38:27Z")</f>
        <v>2022-11-24T16:38:27Z</v>
      </c>
      <c r="X190" s="43"/>
      <c r="Y190" s="43"/>
      <c r="Z190" s="43"/>
    </row>
    <row r="191" hidden="1">
      <c r="A191" s="43" t="str">
        <f>IFERROR(__xludf.DUMMYFUNCTION("""COMPUTED_VALUE"""),"5117832_1291375")</f>
        <v>5117832_1291375</v>
      </c>
      <c r="B191" s="43" t="str">
        <f>IFERROR(__xludf.DUMMYFUNCTION("""COMPUTED_VALUE"""),"Diana Ivanova")</f>
        <v>Diana Ivanova</v>
      </c>
      <c r="C191" s="43" t="str">
        <f>IFERROR(__xludf.DUMMYFUNCTION("""COMPUTED_VALUE"""),"realized")</f>
        <v>realized</v>
      </c>
      <c r="D191" s="43" t="str">
        <f>IFERROR(__xludf.DUMMYFUNCTION("""COMPUTED_VALUE"""),"No")</f>
        <v>No</v>
      </c>
      <c r="E191" s="43" t="str">
        <f>IFERROR(__xludf.DUMMYFUNCTION("""COMPUTED_VALUE"""),"p_a28c34eb77ea40836bc32d1ee87ec94e39d08d34@inbound.aiesec.org")</f>
        <v>p_a28c34eb77ea40836bc32d1ee87ec94e39d08d34@inbound.aiesec.org</v>
      </c>
      <c r="F191" s="43"/>
      <c r="G191" s="43" t="str">
        <f>IFERROR(__xludf.DUMMYFUNCTION("""COMPUTED_VALUE"""),"Russia")</f>
        <v>Russia</v>
      </c>
      <c r="H191" s="43" t="str">
        <f>IFERROR(__xludf.DUMMYFUNCTION("""COMPUTED_VALUE"""),"MOSCOW")</f>
        <v>MOSCOW</v>
      </c>
      <c r="I191" s="43" t="str">
        <f>IFERROR(__xludf.DUMMYFUNCTION("""COMPUTED_VALUE"""),"Turkey")</f>
        <v>Turkey</v>
      </c>
      <c r="J191" s="43" t="str">
        <f>IFERROR(__xludf.DUMMYFUNCTION("""COMPUTED_VALUE"""),"ESKISEHIR")</f>
        <v>ESKISEHIR</v>
      </c>
      <c r="K191" s="44" t="str">
        <f>IFERROR(__xludf.DUMMYFUNCTION("""COMPUTED_VALUE"""),"https://expa.aiesec.org/opportunities/1291375")</f>
        <v>https://expa.aiesec.org/opportunities/1291375</v>
      </c>
      <c r="L191" s="43" t="str">
        <f>IFERROR(__xludf.DUMMYFUNCTION("""COMPUTED_VALUE"""),"GTe")</f>
        <v>GTe</v>
      </c>
      <c r="M191" s="43" t="str">
        <f>IFERROR(__xludf.DUMMYFUNCTION("""COMPUTED_VALUE"""),"long")</f>
        <v>long</v>
      </c>
      <c r="N191" s="45">
        <f>IFERROR(__xludf.DUMMYFUNCTION("""COMPUTED_VALUE"""),45005.0)</f>
        <v>45005</v>
      </c>
      <c r="O191" s="45">
        <f>IFERROR(__xludf.DUMMYFUNCTION("""COMPUTED_VALUE"""),45170.0)</f>
        <v>45170</v>
      </c>
      <c r="P191" s="45">
        <f>IFERROR(__xludf.DUMMYFUNCTION("""COMPUTED_VALUE"""),45535.0)</f>
        <v>45535</v>
      </c>
      <c r="Q191" s="45">
        <f>IFERROR(__xludf.DUMMYFUNCTION("""COMPUTED_VALUE"""),45170.0)</f>
        <v>45170</v>
      </c>
      <c r="R191" s="45">
        <f>IFERROR(__xludf.DUMMYFUNCTION("""COMPUTED_VALUE"""),45535.0)</f>
        <v>45535</v>
      </c>
      <c r="S191" s="43"/>
      <c r="T191" s="43"/>
      <c r="U191" s="43" t="str">
        <f>IFERROR(__xludf.DUMMYFUNCTION("""COMPUTED_VALUE"""),"English Teacher")</f>
        <v>English Teacher</v>
      </c>
      <c r="V191" s="43" t="str">
        <f>IFERROR(__xludf.DUMMYFUNCTION("""COMPUTED_VALUE"""),"Moscow")</f>
        <v>Moscow</v>
      </c>
      <c r="W191" s="43" t="str">
        <f>IFERROR(__xludf.DUMMYFUNCTION("""COMPUTED_VALUE"""),"2022-09-22T20:14:08Z")</f>
        <v>2022-09-22T20:14:08Z</v>
      </c>
      <c r="X191" s="43"/>
      <c r="Y191" s="43"/>
      <c r="Z191" s="43"/>
    </row>
    <row r="192" hidden="1">
      <c r="A192" s="43" t="str">
        <f>IFERROR(__xludf.DUMMYFUNCTION("""COMPUTED_VALUE"""),"5170438_1292765")</f>
        <v>5170438_1292765</v>
      </c>
      <c r="B192" s="43" t="str">
        <f>IFERROR(__xludf.DUMMYFUNCTION("""COMPUTED_VALUE"""),"Aoudia Ines")</f>
        <v>Aoudia Ines</v>
      </c>
      <c r="C192" s="43" t="str">
        <f>IFERROR(__xludf.DUMMYFUNCTION("""COMPUTED_VALUE"""),"completed")</f>
        <v>completed</v>
      </c>
      <c r="D192" s="43" t="str">
        <f>IFERROR(__xludf.DUMMYFUNCTION("""COMPUTED_VALUE"""),"No")</f>
        <v>No</v>
      </c>
      <c r="E192" s="43" t="str">
        <f>IFERROR(__xludf.DUMMYFUNCTION("""COMPUTED_VALUE"""),"p_c071033e332c97b01a0d164d7f7e34528d126dd4@inbound.aiesec.org")</f>
        <v>p_c071033e332c97b01a0d164d7f7e34528d126dd4@inbound.aiesec.org</v>
      </c>
      <c r="F192" s="43">
        <f>IFERROR(__xludf.DUMMYFUNCTION("""COMPUTED_VALUE"""),6.97534565E8)</f>
        <v>697534565</v>
      </c>
      <c r="G192" s="43" t="str">
        <f>IFERROR(__xludf.DUMMYFUNCTION("""COMPUTED_VALUE"""),"Algeria")</f>
        <v>Algeria</v>
      </c>
      <c r="H192" s="43" t="str">
        <f>IFERROR(__xludf.DUMMYFUNCTION("""COMPUTED_VALUE"""),"Benak")</f>
        <v>Benak</v>
      </c>
      <c r="I192" s="43" t="str">
        <f>IFERROR(__xludf.DUMMYFUNCTION("""COMPUTED_VALUE"""),"Turkey")</f>
        <v>Turkey</v>
      </c>
      <c r="J192" s="43" t="str">
        <f>IFERROR(__xludf.DUMMYFUNCTION("""COMPUTED_VALUE"""),"GAZIANTEP")</f>
        <v>GAZIANTEP</v>
      </c>
      <c r="K192" s="44" t="str">
        <f>IFERROR(__xludf.DUMMYFUNCTION("""COMPUTED_VALUE"""),"https://expa.aiesec.org/opportunities/1292765")</f>
        <v>https://expa.aiesec.org/opportunities/1292765</v>
      </c>
      <c r="L192" s="43" t="str">
        <f>IFERROR(__xludf.DUMMYFUNCTION("""COMPUTED_VALUE"""),"GTe")</f>
        <v>GTe</v>
      </c>
      <c r="M192" s="43" t="str">
        <f>IFERROR(__xludf.DUMMYFUNCTION("""COMPUTED_VALUE"""),"short")</f>
        <v>short</v>
      </c>
      <c r="N192" s="45">
        <f>IFERROR(__xludf.DUMMYFUNCTION("""COMPUTED_VALUE"""),45008.0)</f>
        <v>45008</v>
      </c>
      <c r="O192" s="45">
        <f>IFERROR(__xludf.DUMMYFUNCTION("""COMPUTED_VALUE"""),45021.0)</f>
        <v>45021</v>
      </c>
      <c r="P192" s="45">
        <f>IFERROR(__xludf.DUMMYFUNCTION("""COMPUTED_VALUE"""),45104.0)</f>
        <v>45104</v>
      </c>
      <c r="Q192" s="45">
        <f>IFERROR(__xludf.DUMMYFUNCTION("""COMPUTED_VALUE"""),45024.0)</f>
        <v>45024</v>
      </c>
      <c r="R192" s="45">
        <f>IFERROR(__xludf.DUMMYFUNCTION("""COMPUTED_VALUE"""),45116.0)</f>
        <v>45116</v>
      </c>
      <c r="S192" s="43"/>
      <c r="T192" s="43"/>
      <c r="U192" s="43" t="str">
        <f>IFERROR(__xludf.DUMMYFUNCTION("""COMPUTED_VALUE"""),"English Teacher")</f>
        <v>English Teacher</v>
      </c>
      <c r="V192" s="43" t="str">
        <f>IFERROR(__xludf.DUMMYFUNCTION("""COMPUTED_VALUE"""),"AIESEC in Benak")</f>
        <v>AIESEC in Benak</v>
      </c>
      <c r="W192" s="43" t="str">
        <f>IFERROR(__xludf.DUMMYFUNCTION("""COMPUTED_VALUE"""),"2022-12-26T18:56:32Z")</f>
        <v>2022-12-26T18:56:32Z</v>
      </c>
      <c r="X192" s="43"/>
      <c r="Y192" s="43"/>
      <c r="Z192" s="43"/>
    </row>
    <row r="193" hidden="1">
      <c r="A193" s="43" t="str">
        <f>IFERROR(__xludf.DUMMYFUNCTION("""COMPUTED_VALUE"""),"4993835_1287942")</f>
        <v>4993835_1287942</v>
      </c>
      <c r="B193" s="43" t="str">
        <f>IFERROR(__xludf.DUMMYFUNCTION("""COMPUTED_VALUE"""),"Farah Ben Romdhane")</f>
        <v>Farah Ben Romdhane</v>
      </c>
      <c r="C193" s="43" t="str">
        <f>IFERROR(__xludf.DUMMYFUNCTION("""COMPUTED_VALUE"""),"completed")</f>
        <v>completed</v>
      </c>
      <c r="D193" s="43" t="str">
        <f>IFERROR(__xludf.DUMMYFUNCTION("""COMPUTED_VALUE"""),"No")</f>
        <v>No</v>
      </c>
      <c r="E193" s="43" t="str">
        <f>IFERROR(__xludf.DUMMYFUNCTION("""COMPUTED_VALUE"""),"p_55dc491891c5153a78958bdca1f959cae4b42a2e@inbound.aiesec.org")</f>
        <v>p_55dc491891c5153a78958bdca1f959cae4b42a2e@inbound.aiesec.org</v>
      </c>
      <c r="F193" s="43">
        <f>IFERROR(__xludf.DUMMYFUNCTION("""COMPUTED_VALUE"""),2.7175516E7)</f>
        <v>27175516</v>
      </c>
      <c r="G193" s="43" t="str">
        <f>IFERROR(__xludf.DUMMYFUNCTION("""COMPUTED_VALUE"""),"Tunisia")</f>
        <v>Tunisia</v>
      </c>
      <c r="H193" s="43" t="str">
        <f>IFERROR(__xludf.DUMMYFUNCTION("""COMPUTED_VALUE"""),"Carthage")</f>
        <v>Carthage</v>
      </c>
      <c r="I193" s="43" t="str">
        <f>IFERROR(__xludf.DUMMYFUNCTION("""COMPUTED_VALUE"""),"Turkey")</f>
        <v>Turkey</v>
      </c>
      <c r="J193" s="43" t="str">
        <f>IFERROR(__xludf.DUMMYFUNCTION("""COMPUTED_VALUE"""),"İZMİR")</f>
        <v>İZMİR</v>
      </c>
      <c r="K193" s="44" t="str">
        <f>IFERROR(__xludf.DUMMYFUNCTION("""COMPUTED_VALUE"""),"https://expa.aiesec.org/opportunities/1287942")</f>
        <v>https://expa.aiesec.org/opportunities/1287942</v>
      </c>
      <c r="L193" s="43" t="str">
        <f>IFERROR(__xludf.DUMMYFUNCTION("""COMPUTED_VALUE"""),"GTe")</f>
        <v>GTe</v>
      </c>
      <c r="M193" s="43" t="str">
        <f>IFERROR(__xludf.DUMMYFUNCTION("""COMPUTED_VALUE"""),"long")</f>
        <v>long</v>
      </c>
      <c r="N193" s="45">
        <f>IFERROR(__xludf.DUMMYFUNCTION("""COMPUTED_VALUE"""),45014.0)</f>
        <v>45014</v>
      </c>
      <c r="O193" s="45">
        <f>IFERROR(__xludf.DUMMYFUNCTION("""COMPUTED_VALUE"""),45046.0)</f>
        <v>45046</v>
      </c>
      <c r="P193" s="45">
        <f>IFERROR(__xludf.DUMMYFUNCTION("""COMPUTED_VALUE"""),45260.0)</f>
        <v>45260</v>
      </c>
      <c r="Q193" s="45">
        <f>IFERROR(__xludf.DUMMYFUNCTION("""COMPUTED_VALUE"""),45015.0)</f>
        <v>45015</v>
      </c>
      <c r="R193" s="45">
        <f>IFERROR(__xludf.DUMMYFUNCTION("""COMPUTED_VALUE"""),45260.0)</f>
        <v>45260</v>
      </c>
      <c r="S193" s="43"/>
      <c r="T193" s="43"/>
      <c r="U193" s="43" t="str">
        <f>IFERROR(__xludf.DUMMYFUNCTION("""COMPUTED_VALUE"""),"Kindergarten English Teacher")</f>
        <v>Kindergarten English Teacher</v>
      </c>
      <c r="V193" s="43" t="str">
        <f>IFERROR(__xludf.DUMMYFUNCTION("""COMPUTED_VALUE"""),"ISLT")</f>
        <v>ISLT</v>
      </c>
      <c r="W193" s="43" t="str">
        <f>IFERROR(__xludf.DUMMYFUNCTION("""COMPUTED_VALUE"""),"2022-03-19T23:41:27Z")</f>
        <v>2022-03-19T23:41:27Z</v>
      </c>
      <c r="X193" s="43"/>
      <c r="Y193" s="43"/>
      <c r="Z193" s="43"/>
    </row>
    <row r="194">
      <c r="A194" s="43" t="str">
        <f>IFERROR(__xludf.DUMMYFUNCTION("""COMPUTED_VALUE"""),"5210096_1289671")</f>
        <v>5210096_1289671</v>
      </c>
      <c r="B194" s="43" t="str">
        <f>IFERROR(__xludf.DUMMYFUNCTION("""COMPUTED_VALUE"""),"Maria Carey")</f>
        <v>Maria Carey</v>
      </c>
      <c r="C194" s="43" t="str">
        <f>IFERROR(__xludf.DUMMYFUNCTION("""COMPUTED_VALUE"""),"approved")</f>
        <v>approved</v>
      </c>
      <c r="D194" s="43" t="str">
        <f>IFERROR(__xludf.DUMMYFUNCTION("""COMPUTED_VALUE"""),"No")</f>
        <v>No</v>
      </c>
      <c r="E194" s="43" t="str">
        <f>IFERROR(__xludf.DUMMYFUNCTION("""COMPUTED_VALUE"""),"p_452c8c3aea316983bd1caee6ebaf2a3b549eefa1@inbound.aiesec.org")</f>
        <v>p_452c8c3aea316983bd1caee6ebaf2a3b549eefa1@inbound.aiesec.org</v>
      </c>
      <c r="F194" s="43">
        <f>IFERROR(__xludf.DUMMYFUNCTION("""COMPUTED_VALUE"""),8.59314075E9)</f>
        <v>8593140750</v>
      </c>
      <c r="G194" s="43" t="str">
        <f>IFERROR(__xludf.DUMMYFUNCTION("""COMPUTED_VALUE"""),"United States")</f>
        <v>United States</v>
      </c>
      <c r="H194" s="43" t="str">
        <f>IFERROR(__xludf.DUMMYFUNCTION("""COMPUTED_VALUE"""),"UNITED STATES (MC)")</f>
        <v>UNITED STATES (MC)</v>
      </c>
      <c r="I194" s="43" t="str">
        <f>IFERROR(__xludf.DUMMYFUNCTION("""COMPUTED_VALUE"""),"Turkey")</f>
        <v>Turkey</v>
      </c>
      <c r="J194" s="43" t="str">
        <f>IFERROR(__xludf.DUMMYFUNCTION("""COMPUTED_VALUE"""),"İZMİR")</f>
        <v>İZMİR</v>
      </c>
      <c r="K194" s="44" t="str">
        <f>IFERROR(__xludf.DUMMYFUNCTION("""COMPUTED_VALUE"""),"https://expa.aiesec.org/opportunities/1289671")</f>
        <v>https://expa.aiesec.org/opportunities/1289671</v>
      </c>
      <c r="L194" s="43" t="str">
        <f>IFERROR(__xludf.DUMMYFUNCTION("""COMPUTED_VALUE"""),"GTe")</f>
        <v>GTe</v>
      </c>
      <c r="M194" s="43" t="str">
        <f>IFERROR(__xludf.DUMMYFUNCTION("""COMPUTED_VALUE"""),"medium")</f>
        <v>medium</v>
      </c>
      <c r="N194" s="45">
        <f>IFERROR(__xludf.DUMMYFUNCTION("""COMPUTED_VALUE"""),45014.0)</f>
        <v>45014</v>
      </c>
      <c r="O194" s="45">
        <f>IFERROR(__xludf.DUMMYFUNCTION("""COMPUTED_VALUE"""),45068.0)</f>
        <v>45068</v>
      </c>
      <c r="P194" s="45">
        <f>IFERROR(__xludf.DUMMYFUNCTION("""COMPUTED_VALUE"""),45159.0)</f>
        <v>45159</v>
      </c>
      <c r="Q194" s="45"/>
      <c r="R194" s="45"/>
      <c r="S194" s="43"/>
      <c r="T194" s="43"/>
      <c r="U194" s="43" t="str">
        <f>IFERROR(__xludf.DUMMYFUNCTION("""COMPUTED_VALUE"""),"Science Teacher in Space Camp")</f>
        <v>Science Teacher in Space Camp</v>
      </c>
      <c r="V194" s="43" t="str">
        <f>IFERROR(__xludf.DUMMYFUNCTION("""COMPUTED_VALUE"""),"University of Tennessee")</f>
        <v>University of Tennessee</v>
      </c>
      <c r="W194" s="43" t="str">
        <f>IFERROR(__xludf.DUMMYFUNCTION("""COMPUTED_VALUE"""),"2023-03-08T16:37:14Z")</f>
        <v>2023-03-08T16:37:14Z</v>
      </c>
      <c r="X194" s="43"/>
      <c r="Y194" s="43"/>
      <c r="Z194" s="43"/>
    </row>
    <row r="195">
      <c r="A195" s="43" t="str">
        <f>IFERROR(__xludf.DUMMYFUNCTION("""COMPUTED_VALUE"""),"5213295_1289671")</f>
        <v>5213295_1289671</v>
      </c>
      <c r="B195" s="43" t="str">
        <f>IFERROR(__xludf.DUMMYFUNCTION("""COMPUTED_VALUE"""),"Jaden Dietz")</f>
        <v>Jaden Dietz</v>
      </c>
      <c r="C195" s="43" t="str">
        <f>IFERROR(__xludf.DUMMYFUNCTION("""COMPUTED_VALUE"""),"approved")</f>
        <v>approved</v>
      </c>
      <c r="D195" s="43" t="str">
        <f>IFERROR(__xludf.DUMMYFUNCTION("""COMPUTED_VALUE"""),"No")</f>
        <v>No</v>
      </c>
      <c r="E195" s="43" t="str">
        <f>IFERROR(__xludf.DUMMYFUNCTION("""COMPUTED_VALUE"""),"p_c9387f84caee0313e2e222fb4647e6d2e09f6994@inbound.aiesec.org")</f>
        <v>p_c9387f84caee0313e2e222fb4647e6d2e09f6994@inbound.aiesec.org</v>
      </c>
      <c r="F195" s="43">
        <f>IFERROR(__xludf.DUMMYFUNCTION("""COMPUTED_VALUE"""),8.594624703E9)</f>
        <v>8594624703</v>
      </c>
      <c r="G195" s="43" t="str">
        <f>IFERROR(__xludf.DUMMYFUNCTION("""COMPUTED_VALUE"""),"United States")</f>
        <v>United States</v>
      </c>
      <c r="H195" s="43" t="str">
        <f>IFERROR(__xludf.DUMMYFUNCTION("""COMPUTED_VALUE"""),"UNITED STATES (MC)")</f>
        <v>UNITED STATES (MC)</v>
      </c>
      <c r="I195" s="43" t="str">
        <f>IFERROR(__xludf.DUMMYFUNCTION("""COMPUTED_VALUE"""),"Turkey")</f>
        <v>Turkey</v>
      </c>
      <c r="J195" s="43" t="str">
        <f>IFERROR(__xludf.DUMMYFUNCTION("""COMPUTED_VALUE"""),"İZMİR")</f>
        <v>İZMİR</v>
      </c>
      <c r="K195" s="44" t="str">
        <f>IFERROR(__xludf.DUMMYFUNCTION("""COMPUTED_VALUE"""),"https://expa.aiesec.org/opportunities/1289671")</f>
        <v>https://expa.aiesec.org/opportunities/1289671</v>
      </c>
      <c r="L195" s="43" t="str">
        <f>IFERROR(__xludf.DUMMYFUNCTION("""COMPUTED_VALUE"""),"GTe")</f>
        <v>GTe</v>
      </c>
      <c r="M195" s="43" t="str">
        <f>IFERROR(__xludf.DUMMYFUNCTION("""COMPUTED_VALUE"""),"medium")</f>
        <v>medium</v>
      </c>
      <c r="N195" s="45">
        <f>IFERROR(__xludf.DUMMYFUNCTION("""COMPUTED_VALUE"""),45015.0)</f>
        <v>45015</v>
      </c>
      <c r="O195" s="45">
        <f>IFERROR(__xludf.DUMMYFUNCTION("""COMPUTED_VALUE"""),45068.0)</f>
        <v>45068</v>
      </c>
      <c r="P195" s="45">
        <f>IFERROR(__xludf.DUMMYFUNCTION("""COMPUTED_VALUE"""),45159.0)</f>
        <v>45159</v>
      </c>
      <c r="Q195" s="45"/>
      <c r="R195" s="45"/>
      <c r="S195" s="43"/>
      <c r="T195" s="43"/>
      <c r="U195" s="43" t="str">
        <f>IFERROR(__xludf.DUMMYFUNCTION("""COMPUTED_VALUE"""),"Science Teacher in Space Camp")</f>
        <v>Science Teacher in Space Camp</v>
      </c>
      <c r="V195" s="43" t="str">
        <f>IFERROR(__xludf.DUMMYFUNCTION("""COMPUTED_VALUE"""),"The Ohio State University")</f>
        <v>The Ohio State University</v>
      </c>
      <c r="W195" s="43" t="str">
        <f>IFERROR(__xludf.DUMMYFUNCTION("""COMPUTED_VALUE"""),"2023-03-11T17:54:16Z")</f>
        <v>2023-03-11T17:54:16Z</v>
      </c>
      <c r="X195" s="43"/>
      <c r="Y195" s="43"/>
      <c r="Z195" s="43"/>
    </row>
    <row r="196" hidden="1">
      <c r="A196" s="43" t="str">
        <f>IFERROR(__xludf.DUMMYFUNCTION("""COMPUTED_VALUE"""),"5230564_1281195")</f>
        <v>5230564_1281195</v>
      </c>
      <c r="B196" s="43" t="str">
        <f>IFERROR(__xludf.DUMMYFUNCTION("""COMPUTED_VALUE"""),"Sowayba Haggag")</f>
        <v>Sowayba Haggag</v>
      </c>
      <c r="C196" s="43" t="str">
        <f>IFERROR(__xludf.DUMMYFUNCTION("""COMPUTED_VALUE"""),"approved")</f>
        <v>approved</v>
      </c>
      <c r="D196" s="43" t="str">
        <f>IFERROR(__xludf.DUMMYFUNCTION("""COMPUTED_VALUE"""),"No")</f>
        <v>No</v>
      </c>
      <c r="E196" s="43" t="str">
        <f>IFERROR(__xludf.DUMMYFUNCTION("""COMPUTED_VALUE"""),"p_428decfd02eb6483260ad586f7e686fc7bf26bf1@inbound.aiesec.org")</f>
        <v>p_428decfd02eb6483260ad586f7e686fc7bf26bf1@inbound.aiesec.org</v>
      </c>
      <c r="F196" s="43"/>
      <c r="G196" s="43" t="str">
        <f>IFERROR(__xludf.DUMMYFUNCTION("""COMPUTED_VALUE"""),"Egypt")</f>
        <v>Egypt</v>
      </c>
      <c r="H196" s="43" t="str">
        <f>IFERROR(__xludf.DUMMYFUNCTION("""COMPUTED_VALUE"""),"Alexandria")</f>
        <v>Alexandria</v>
      </c>
      <c r="I196" s="43" t="str">
        <f>IFERROR(__xludf.DUMMYFUNCTION("""COMPUTED_VALUE"""),"Turkey")</f>
        <v>Turkey</v>
      </c>
      <c r="J196" s="43" t="str">
        <f>IFERROR(__xludf.DUMMYFUNCTION("""COMPUTED_VALUE"""),"BURSA")</f>
        <v>BURSA</v>
      </c>
      <c r="K196" s="44" t="str">
        <f>IFERROR(__xludf.DUMMYFUNCTION("""COMPUTED_VALUE"""),"https://expa.aiesec.org/opportunities/1281195")</f>
        <v>https://expa.aiesec.org/opportunities/1281195</v>
      </c>
      <c r="L196" s="43" t="str">
        <f>IFERROR(__xludf.DUMMYFUNCTION("""COMPUTED_VALUE"""),"GTe")</f>
        <v>GTe</v>
      </c>
      <c r="M196" s="43" t="str">
        <f>IFERROR(__xludf.DUMMYFUNCTION("""COMPUTED_VALUE"""),"long")</f>
        <v>long</v>
      </c>
      <c r="N196" s="45">
        <f>IFERROR(__xludf.DUMMYFUNCTION("""COMPUTED_VALUE"""),45016.0)</f>
        <v>45016</v>
      </c>
      <c r="O196" s="45">
        <f>IFERROR(__xludf.DUMMYFUNCTION("""COMPUTED_VALUE"""),45171.0)</f>
        <v>45171</v>
      </c>
      <c r="P196" s="45">
        <f>IFERROR(__xludf.DUMMYFUNCTION("""COMPUTED_VALUE"""),45473.0)</f>
        <v>45473</v>
      </c>
      <c r="Q196" s="45"/>
      <c r="R196" s="45"/>
      <c r="S196" s="43"/>
      <c r="T196" s="43"/>
      <c r="U196" s="43" t="str">
        <f>IFERROR(__xludf.DUMMYFUNCTION("""COMPUTED_VALUE"""),"ENGLISH TEACHING")</f>
        <v>ENGLISH TEACHING</v>
      </c>
      <c r="V196" s="43" t="str">
        <f>IFERROR(__xludf.DUMMYFUNCTION("""COMPUTED_VALUE"""),"Alexandria University")</f>
        <v>Alexandria University</v>
      </c>
      <c r="W196" s="43" t="str">
        <f>IFERROR(__xludf.DUMMYFUNCTION("""COMPUTED_VALUE"""),"2023-03-29T22:54:56Z")</f>
        <v>2023-03-29T22:54:56Z</v>
      </c>
      <c r="X196" s="43"/>
      <c r="Y196" s="43"/>
      <c r="Z196" s="43"/>
    </row>
    <row r="197" hidden="1">
      <c r="A197" s="43" t="str">
        <f>IFERROR(__xludf.DUMMYFUNCTION("""COMPUTED_VALUE"""),"4400485_1289328")</f>
        <v>4400485_1289328</v>
      </c>
      <c r="B197" s="43" t="str">
        <f>IFERROR(__xludf.DUMMYFUNCTION("""COMPUTED_VALUE"""),"Lívia Lima")</f>
        <v>Lívia Lima</v>
      </c>
      <c r="C197" s="43" t="str">
        <f>IFERROR(__xludf.DUMMYFUNCTION("""COMPUTED_VALUE"""),"realized")</f>
        <v>realized</v>
      </c>
      <c r="D197" s="43" t="str">
        <f>IFERROR(__xludf.DUMMYFUNCTION("""COMPUTED_VALUE"""),"No")</f>
        <v>No</v>
      </c>
      <c r="E197" s="43" t="str">
        <f>IFERROR(__xludf.DUMMYFUNCTION("""COMPUTED_VALUE"""),"p_9daf4693a0e8026fb1b2bf182aec47144341c8ff@inbound.aiesec.org")</f>
        <v>p_9daf4693a0e8026fb1b2bf182aec47144341c8ff@inbound.aiesec.org</v>
      </c>
      <c r="F197" s="43"/>
      <c r="G197" s="43" t="str">
        <f>IFERROR(__xludf.DUMMYFUNCTION("""COMPUTED_VALUE"""),"Brazil")</f>
        <v>Brazil</v>
      </c>
      <c r="H197" s="43" t="str">
        <f>IFERROR(__xludf.DUMMYFUNCTION("""COMPUTED_VALUE"""),"UBERLÂNDIA")</f>
        <v>UBERLÂNDIA</v>
      </c>
      <c r="I197" s="43" t="str">
        <f>IFERROR(__xludf.DUMMYFUNCTION("""COMPUTED_VALUE"""),"Turkey")</f>
        <v>Turkey</v>
      </c>
      <c r="J197" s="43" t="str">
        <f>IFERROR(__xludf.DUMMYFUNCTION("""COMPUTED_VALUE"""),"ANKARA")</f>
        <v>ANKARA</v>
      </c>
      <c r="K197" s="44" t="str">
        <f>IFERROR(__xludf.DUMMYFUNCTION("""COMPUTED_VALUE"""),"https://expa.aiesec.org/opportunities/1289328")</f>
        <v>https://expa.aiesec.org/opportunities/1289328</v>
      </c>
      <c r="L197" s="43" t="str">
        <f>IFERROR(__xludf.DUMMYFUNCTION("""COMPUTED_VALUE"""),"GTe")</f>
        <v>GTe</v>
      </c>
      <c r="M197" s="43" t="str">
        <f>IFERROR(__xludf.DUMMYFUNCTION("""COMPUTED_VALUE"""),"long")</f>
        <v>long</v>
      </c>
      <c r="N197" s="45">
        <f>IFERROR(__xludf.DUMMYFUNCTION("""COMPUTED_VALUE"""),45016.0)</f>
        <v>45016</v>
      </c>
      <c r="O197" s="45">
        <f>IFERROR(__xludf.DUMMYFUNCTION("""COMPUTED_VALUE"""),45033.0)</f>
        <v>45033</v>
      </c>
      <c r="P197" s="45">
        <f>IFERROR(__xludf.DUMMYFUNCTION("""COMPUTED_VALUE"""),45394.0)</f>
        <v>45394</v>
      </c>
      <c r="Q197" s="45">
        <f>IFERROR(__xludf.DUMMYFUNCTION("""COMPUTED_VALUE"""),45043.0)</f>
        <v>45043</v>
      </c>
      <c r="R197" s="45">
        <f>IFERROR(__xludf.DUMMYFUNCTION("""COMPUTED_VALUE"""),45404.0)</f>
        <v>45404</v>
      </c>
      <c r="S197" s="43"/>
      <c r="T197" s="43"/>
      <c r="U197" s="43" t="str">
        <f>IFERROR(__xludf.DUMMYFUNCTION("""COMPUTED_VALUE"""),"Language Teacher")</f>
        <v>Language Teacher</v>
      </c>
      <c r="V197" s="43" t="str">
        <f>IFERROR(__xludf.DUMMYFUNCTION("""COMPUTED_VALUE"""),"Uberlândia")</f>
        <v>Uberlândia</v>
      </c>
      <c r="W197" s="43" t="str">
        <f>IFERROR(__xludf.DUMMYFUNCTION("""COMPUTED_VALUE"""),"2020-10-19T11:32:08Z")</f>
        <v>2020-10-19T11:32:08Z</v>
      </c>
      <c r="X197" s="43"/>
      <c r="Y197" s="43"/>
      <c r="Z197" s="43"/>
    </row>
    <row r="198" hidden="1">
      <c r="A198" s="43" t="str">
        <f>IFERROR(__xludf.DUMMYFUNCTION("""COMPUTED_VALUE"""),"5234697_1281195")</f>
        <v>5234697_1281195</v>
      </c>
      <c r="B198" s="43" t="str">
        <f>IFERROR(__xludf.DUMMYFUNCTION("""COMPUTED_VALUE"""),"Sabrina Chaouali")</f>
        <v>Sabrina Chaouali</v>
      </c>
      <c r="C198" s="43" t="str">
        <f>IFERROR(__xludf.DUMMYFUNCTION("""COMPUTED_VALUE"""),"realized")</f>
        <v>realized</v>
      </c>
      <c r="D198" s="43" t="str">
        <f>IFERROR(__xludf.DUMMYFUNCTION("""COMPUTED_VALUE"""),"No")</f>
        <v>No</v>
      </c>
      <c r="E198" s="43" t="str">
        <f>IFERROR(__xludf.DUMMYFUNCTION("""COMPUTED_VALUE"""),"p_80bbb3cb6f1ccca793a6f929dbcca024750a7169@inbound.aiesec.org")</f>
        <v>p_80bbb3cb6f1ccca793a6f929dbcca024750a7169@inbound.aiesec.org</v>
      </c>
      <c r="F198" s="43">
        <f>IFERROR(__xludf.DUMMYFUNCTION("""COMPUTED_VALUE"""),9.3379774E7)</f>
        <v>93379774</v>
      </c>
      <c r="G198" s="43" t="str">
        <f>IFERROR(__xludf.DUMMYFUNCTION("""COMPUTED_VALUE"""),"Tunisia")</f>
        <v>Tunisia</v>
      </c>
      <c r="H198" s="43" t="str">
        <f>IFERROR(__xludf.DUMMYFUNCTION("""COMPUTED_VALUE"""),"MEDINA")</f>
        <v>MEDINA</v>
      </c>
      <c r="I198" s="43" t="str">
        <f>IFERROR(__xludf.DUMMYFUNCTION("""COMPUTED_VALUE"""),"Turkey")</f>
        <v>Turkey</v>
      </c>
      <c r="J198" s="43" t="str">
        <f>IFERROR(__xludf.DUMMYFUNCTION("""COMPUTED_VALUE"""),"BURSA")</f>
        <v>BURSA</v>
      </c>
      <c r="K198" s="44" t="str">
        <f>IFERROR(__xludf.DUMMYFUNCTION("""COMPUTED_VALUE"""),"https://expa.aiesec.org/opportunities/1281195")</f>
        <v>https://expa.aiesec.org/opportunities/1281195</v>
      </c>
      <c r="L198" s="43" t="str">
        <f>IFERROR(__xludf.DUMMYFUNCTION("""COMPUTED_VALUE"""),"GTe")</f>
        <v>GTe</v>
      </c>
      <c r="M198" s="43" t="str">
        <f>IFERROR(__xludf.DUMMYFUNCTION("""COMPUTED_VALUE"""),"long")</f>
        <v>long</v>
      </c>
      <c r="N198" s="45">
        <f>IFERROR(__xludf.DUMMYFUNCTION("""COMPUTED_VALUE"""),45020.0)</f>
        <v>45020</v>
      </c>
      <c r="O198" s="45">
        <f>IFERROR(__xludf.DUMMYFUNCTION("""COMPUTED_VALUE"""),45156.0)</f>
        <v>45156</v>
      </c>
      <c r="P198" s="45">
        <f>IFERROR(__xludf.DUMMYFUNCTION("""COMPUTED_VALUE"""),45522.0)</f>
        <v>45522</v>
      </c>
      <c r="Q198" s="45">
        <f>IFERROR(__xludf.DUMMYFUNCTION("""COMPUTED_VALUE"""),45176.0)</f>
        <v>45176</v>
      </c>
      <c r="R198" s="45">
        <f>IFERROR(__xludf.DUMMYFUNCTION("""COMPUTED_VALUE"""),45540.0)</f>
        <v>45540</v>
      </c>
      <c r="S198" s="43"/>
      <c r="T198" s="43"/>
      <c r="U198" s="43" t="str">
        <f>IFERROR(__xludf.DUMMYFUNCTION("""COMPUTED_VALUE"""),"ENGLISH TEACHING")</f>
        <v>ENGLISH TEACHING</v>
      </c>
      <c r="V198" s="43" t="str">
        <f>IFERROR(__xludf.DUMMYFUNCTION("""COMPUTED_VALUE"""),"FLAH")</f>
        <v>FLAH</v>
      </c>
      <c r="W198" s="43" t="str">
        <f>IFERROR(__xludf.DUMMYFUNCTION("""COMPUTED_VALUE"""),"2023-04-04T12:27:38Z")</f>
        <v>2023-04-04T12:27:38Z</v>
      </c>
      <c r="X198" s="43"/>
      <c r="Y198" s="43"/>
      <c r="Z198" s="43"/>
    </row>
    <row r="199" hidden="1">
      <c r="A199" s="43" t="str">
        <f>IFERROR(__xludf.DUMMYFUNCTION("""COMPUTED_VALUE"""),"5191093_1291375")</f>
        <v>5191093_1291375</v>
      </c>
      <c r="B199" s="43" t="str">
        <f>IFERROR(__xludf.DUMMYFUNCTION("""COMPUTED_VALUE"""),"Chamali Gamage")</f>
        <v>Chamali Gamage</v>
      </c>
      <c r="C199" s="43" t="str">
        <f>IFERROR(__xludf.DUMMYFUNCTION("""COMPUTED_VALUE"""),"realization_broken")</f>
        <v>realization_broken</v>
      </c>
      <c r="D199" s="43" t="str">
        <f>IFERROR(__xludf.DUMMYFUNCTION("""COMPUTED_VALUE"""),"No")</f>
        <v>No</v>
      </c>
      <c r="E199" s="43" t="str">
        <f>IFERROR(__xludf.DUMMYFUNCTION("""COMPUTED_VALUE"""),"p_5ae3c5d38ddf79bd0155a86d7c0a21d9e41923cd@inbound.aiesec.org")</f>
        <v>p_5ae3c5d38ddf79bd0155a86d7c0a21d9e41923cd@inbound.aiesec.org</v>
      </c>
      <c r="F199" s="43">
        <f>IFERROR(__xludf.DUMMYFUNCTION("""COMPUTED_VALUE"""),7.17717818E8)</f>
        <v>717717818</v>
      </c>
      <c r="G199" s="43" t="str">
        <f>IFERROR(__xludf.DUMMYFUNCTION("""COMPUTED_VALUE"""),"Sri Lanka")</f>
        <v>Sri Lanka</v>
      </c>
      <c r="H199" s="43" t="str">
        <f>IFERROR(__xludf.DUMMYFUNCTION("""COMPUTED_VALUE"""),"COLOMBO NORTH")</f>
        <v>COLOMBO NORTH</v>
      </c>
      <c r="I199" s="43" t="str">
        <f>IFERROR(__xludf.DUMMYFUNCTION("""COMPUTED_VALUE"""),"Turkey")</f>
        <v>Turkey</v>
      </c>
      <c r="J199" s="43" t="str">
        <f>IFERROR(__xludf.DUMMYFUNCTION("""COMPUTED_VALUE"""),"ESKISEHIR")</f>
        <v>ESKISEHIR</v>
      </c>
      <c r="K199" s="44" t="str">
        <f>IFERROR(__xludf.DUMMYFUNCTION("""COMPUTED_VALUE"""),"https://expa.aiesec.org/opportunities/1291375")</f>
        <v>https://expa.aiesec.org/opportunities/1291375</v>
      </c>
      <c r="L199" s="43" t="str">
        <f>IFERROR(__xludf.DUMMYFUNCTION("""COMPUTED_VALUE"""),"GTe")</f>
        <v>GTe</v>
      </c>
      <c r="M199" s="43" t="str">
        <f>IFERROR(__xludf.DUMMYFUNCTION("""COMPUTED_VALUE"""),"long")</f>
        <v>long</v>
      </c>
      <c r="N199" s="45">
        <f>IFERROR(__xludf.DUMMYFUNCTION("""COMPUTED_VALUE"""),45022.0)</f>
        <v>45022</v>
      </c>
      <c r="O199" s="45">
        <f>IFERROR(__xludf.DUMMYFUNCTION("""COMPUTED_VALUE"""),45170.0)</f>
        <v>45170</v>
      </c>
      <c r="P199" s="45">
        <f>IFERROR(__xludf.DUMMYFUNCTION("""COMPUTED_VALUE"""),45535.0)</f>
        <v>45535</v>
      </c>
      <c r="Q199" s="45"/>
      <c r="R199" s="45"/>
      <c r="S199" s="43"/>
      <c r="T199" s="43"/>
      <c r="U199" s="43" t="str">
        <f>IFERROR(__xludf.DUMMYFUNCTION("""COMPUTED_VALUE"""),"English Teacher")</f>
        <v>English Teacher</v>
      </c>
      <c r="V199" s="43" t="str">
        <f>IFERROR(__xludf.DUMMYFUNCTION("""COMPUTED_VALUE"""),"University of Kelaniya")</f>
        <v>University of Kelaniya</v>
      </c>
      <c r="W199" s="43" t="str">
        <f>IFERROR(__xludf.DUMMYFUNCTION("""COMPUTED_VALUE"""),"2023-02-15T07:30:46Z")</f>
        <v>2023-02-15T07:30:46Z</v>
      </c>
      <c r="X199" s="43"/>
      <c r="Y199" s="43"/>
      <c r="Z199" s="43"/>
    </row>
    <row r="200" hidden="1">
      <c r="A200" s="43" t="str">
        <f>IFERROR(__xludf.DUMMYFUNCTION("""COMPUTED_VALUE"""),"5237499_1289686")</f>
        <v>5237499_1289686</v>
      </c>
      <c r="B200" s="43" t="str">
        <f>IFERROR(__xludf.DUMMYFUNCTION("""COMPUTED_VALUE"""),"Hadeer Hesham")</f>
        <v>Hadeer Hesham</v>
      </c>
      <c r="C200" s="43" t="str">
        <f>IFERROR(__xludf.DUMMYFUNCTION("""COMPUTED_VALUE"""),"realized")</f>
        <v>realized</v>
      </c>
      <c r="D200" s="43" t="str">
        <f>IFERROR(__xludf.DUMMYFUNCTION("""COMPUTED_VALUE"""),"No")</f>
        <v>No</v>
      </c>
      <c r="E200" s="43" t="str">
        <f>IFERROR(__xludf.DUMMYFUNCTION("""COMPUTED_VALUE"""),"p_05cb1a7fbedbae4b2d4eab86fdc35f114e9da373@inbound.aiesec.org")</f>
        <v>p_05cb1a7fbedbae4b2d4eab86fdc35f114e9da373@inbound.aiesec.org</v>
      </c>
      <c r="F200" s="43">
        <f>IFERROR(__xludf.DUMMYFUNCTION("""COMPUTED_VALUE"""),1.204512435E9)</f>
        <v>1204512435</v>
      </c>
      <c r="G200" s="43" t="str">
        <f>IFERROR(__xludf.DUMMYFUNCTION("""COMPUTED_VALUE"""),"Egypt")</f>
        <v>Egypt</v>
      </c>
      <c r="H200" s="43" t="str">
        <f>IFERROR(__xludf.DUMMYFUNCTION("""COMPUTED_VALUE"""),"Alexandria")</f>
        <v>Alexandria</v>
      </c>
      <c r="I200" s="43" t="str">
        <f>IFERROR(__xludf.DUMMYFUNCTION("""COMPUTED_VALUE"""),"Turkey")</f>
        <v>Turkey</v>
      </c>
      <c r="J200" s="43" t="str">
        <f>IFERROR(__xludf.DUMMYFUNCTION("""COMPUTED_VALUE"""),"SAKARYA")</f>
        <v>SAKARYA</v>
      </c>
      <c r="K200" s="44" t="str">
        <f>IFERROR(__xludf.DUMMYFUNCTION("""COMPUTED_VALUE"""),"https://expa.aiesec.org/opportunities/1289686")</f>
        <v>https://expa.aiesec.org/opportunities/1289686</v>
      </c>
      <c r="L200" s="43" t="str">
        <f>IFERROR(__xludf.DUMMYFUNCTION("""COMPUTED_VALUE"""),"GTe")</f>
        <v>GTe</v>
      </c>
      <c r="M200" s="43" t="str">
        <f>IFERROR(__xludf.DUMMYFUNCTION("""COMPUTED_VALUE"""),"long")</f>
        <v>long</v>
      </c>
      <c r="N200" s="45">
        <f>IFERROR(__xludf.DUMMYFUNCTION("""COMPUTED_VALUE"""),45024.0)</f>
        <v>45024</v>
      </c>
      <c r="O200" s="45">
        <f>IFERROR(__xludf.DUMMYFUNCTION("""COMPUTED_VALUE"""),45078.0)</f>
        <v>45078</v>
      </c>
      <c r="P200" s="45">
        <f>IFERROR(__xludf.DUMMYFUNCTION("""COMPUTED_VALUE"""),45444.0)</f>
        <v>45444</v>
      </c>
      <c r="Q200" s="45">
        <f>IFERROR(__xludf.DUMMYFUNCTION("""COMPUTED_VALUE"""),45090.0)</f>
        <v>45090</v>
      </c>
      <c r="R200" s="45">
        <f>IFERROR(__xludf.DUMMYFUNCTION("""COMPUTED_VALUE"""),45455.0)</f>
        <v>45455</v>
      </c>
      <c r="S200" s="43"/>
      <c r="T200" s="43"/>
      <c r="U200" s="43" t="str">
        <f>IFERROR(__xludf.DUMMYFUNCTION("""COMPUTED_VALUE"""),"English Language Teacher | American Culture")</f>
        <v>English Language Teacher | American Culture</v>
      </c>
      <c r="V200" s="43" t="str">
        <f>IFERROR(__xludf.DUMMYFUNCTION("""COMPUTED_VALUE"""),"Alexandria University")</f>
        <v>Alexandria University</v>
      </c>
      <c r="W200" s="43" t="str">
        <f>IFERROR(__xludf.DUMMYFUNCTION("""COMPUTED_VALUE"""),"2023-04-08T10:28:39Z")</f>
        <v>2023-04-08T10:28:39Z</v>
      </c>
      <c r="X200" s="43"/>
      <c r="Y200" s="43"/>
      <c r="Z200" s="43"/>
    </row>
    <row r="201" hidden="1">
      <c r="A201" s="43" t="str">
        <f>IFERROR(__xludf.DUMMYFUNCTION("""COMPUTED_VALUE"""),"5204210_1286368")</f>
        <v>5204210_1286368</v>
      </c>
      <c r="B201" s="43" t="str">
        <f>IFERROR(__xludf.DUMMYFUNCTION("""COMPUTED_VALUE"""),"Yulia Mikhaylova")</f>
        <v>Yulia Mikhaylova</v>
      </c>
      <c r="C201" s="43" t="str">
        <f>IFERROR(__xludf.DUMMYFUNCTION("""COMPUTED_VALUE"""),"realized")</f>
        <v>realized</v>
      </c>
      <c r="D201" s="43" t="str">
        <f>IFERROR(__xludf.DUMMYFUNCTION("""COMPUTED_VALUE"""),"No")</f>
        <v>No</v>
      </c>
      <c r="E201" s="43" t="str">
        <f>IFERROR(__xludf.DUMMYFUNCTION("""COMPUTED_VALUE"""),"p_1c36d989cc2fa48d6baba94ed5a6c5a9956fc77e@inbound.aiesec.org")</f>
        <v>p_1c36d989cc2fa48d6baba94ed5a6c5a9956fc77e@inbound.aiesec.org</v>
      </c>
      <c r="F201" s="43">
        <f>IFERROR(__xludf.DUMMYFUNCTION("""COMPUTED_VALUE"""),9.51214971E9)</f>
        <v>9512149710</v>
      </c>
      <c r="G201" s="43" t="str">
        <f>IFERROR(__xludf.DUMMYFUNCTION("""COMPUTED_VALUE"""),"Russia")</f>
        <v>Russia</v>
      </c>
      <c r="H201" s="43" t="str">
        <f>IFERROR(__xludf.DUMMYFUNCTION("""COMPUTED_VALUE"""),"MOSCOW")</f>
        <v>MOSCOW</v>
      </c>
      <c r="I201" s="43" t="str">
        <f>IFERROR(__xludf.DUMMYFUNCTION("""COMPUTED_VALUE"""),"Turkey")</f>
        <v>Turkey</v>
      </c>
      <c r="J201" s="43" t="str">
        <f>IFERROR(__xludf.DUMMYFUNCTION("""COMPUTED_VALUE"""),"ISTANBUL ASIA")</f>
        <v>ISTANBUL ASIA</v>
      </c>
      <c r="K201" s="44" t="str">
        <f>IFERROR(__xludf.DUMMYFUNCTION("""COMPUTED_VALUE"""),"https://expa.aiesec.org/opportunities/1286368")</f>
        <v>https://expa.aiesec.org/opportunities/1286368</v>
      </c>
      <c r="L201" s="43" t="str">
        <f>IFERROR(__xludf.DUMMYFUNCTION("""COMPUTED_VALUE"""),"GTe")</f>
        <v>GTe</v>
      </c>
      <c r="M201" s="43" t="str">
        <f>IFERROR(__xludf.DUMMYFUNCTION("""COMPUTED_VALUE"""),"long")</f>
        <v>long</v>
      </c>
      <c r="N201" s="45">
        <f>IFERROR(__xludf.DUMMYFUNCTION("""COMPUTED_VALUE"""),45024.0)</f>
        <v>45024</v>
      </c>
      <c r="O201" s="45">
        <f>IFERROR(__xludf.DUMMYFUNCTION("""COMPUTED_VALUE"""),45145.0)</f>
        <v>45145</v>
      </c>
      <c r="P201" s="45">
        <f>IFERROR(__xludf.DUMMYFUNCTION("""COMPUTED_VALUE"""),45511.0)</f>
        <v>45511</v>
      </c>
      <c r="Q201" s="45">
        <f>IFERROR(__xludf.DUMMYFUNCTION("""COMPUTED_VALUE"""),45146.0)</f>
        <v>45146</v>
      </c>
      <c r="R201" s="45">
        <f>IFERROR(__xludf.DUMMYFUNCTION("""COMPUTED_VALUE"""),45512.0)</f>
        <v>45512</v>
      </c>
      <c r="S201" s="43"/>
      <c r="T201" s="43"/>
      <c r="U201" s="43" t="str">
        <f>IFERROR(__xludf.DUMMYFUNCTION("""COMPUTED_VALUE"""),"English Teacher")</f>
        <v>English Teacher</v>
      </c>
      <c r="V201" s="43" t="str">
        <f>IFERROR(__xludf.DUMMYFUNCTION("""COMPUTED_VALUE"""),"Moscow")</f>
        <v>Moscow</v>
      </c>
      <c r="W201" s="43" t="str">
        <f>IFERROR(__xludf.DUMMYFUNCTION("""COMPUTED_VALUE"""),"2023-03-03T04:50:05Z")</f>
        <v>2023-03-03T04:50:05Z</v>
      </c>
      <c r="X201" s="43"/>
      <c r="Y201" s="43"/>
      <c r="Z201" s="43"/>
    </row>
    <row r="202">
      <c r="A202" s="43" t="str">
        <f>IFERROR(__xludf.DUMMYFUNCTION("""COMPUTED_VALUE"""),"5210564_1289672")</f>
        <v>5210564_1289672</v>
      </c>
      <c r="B202" s="43" t="str">
        <f>IFERROR(__xludf.DUMMYFUNCTION("""COMPUTED_VALUE"""),"Connor Helgeson")</f>
        <v>Connor Helgeson</v>
      </c>
      <c r="C202" s="43" t="str">
        <f>IFERROR(__xludf.DUMMYFUNCTION("""COMPUTED_VALUE"""),"approved")</f>
        <v>approved</v>
      </c>
      <c r="D202" s="43" t="str">
        <f>IFERROR(__xludf.DUMMYFUNCTION("""COMPUTED_VALUE"""),"No")</f>
        <v>No</v>
      </c>
      <c r="E202" s="43" t="str">
        <f>IFERROR(__xludf.DUMMYFUNCTION("""COMPUTED_VALUE"""),"p_fcf11be5042de1f0dd79f485ecced1477c0b9cc5@inbound.aiesec.org")</f>
        <v>p_fcf11be5042de1f0dd79f485ecced1477c0b9cc5@inbound.aiesec.org</v>
      </c>
      <c r="F202" s="43">
        <f>IFERROR(__xludf.DUMMYFUNCTION("""COMPUTED_VALUE"""),5.023964277E9)</f>
        <v>5023964277</v>
      </c>
      <c r="G202" s="43" t="str">
        <f>IFERROR(__xludf.DUMMYFUNCTION("""COMPUTED_VALUE"""),"United States")</f>
        <v>United States</v>
      </c>
      <c r="H202" s="43" t="str">
        <f>IFERROR(__xludf.DUMMYFUNCTION("""COMPUTED_VALUE"""),"UNITED STATES (MC)")</f>
        <v>UNITED STATES (MC)</v>
      </c>
      <c r="I202" s="43" t="str">
        <f>IFERROR(__xludf.DUMMYFUNCTION("""COMPUTED_VALUE"""),"Turkey")</f>
        <v>Turkey</v>
      </c>
      <c r="J202" s="43" t="str">
        <f>IFERROR(__xludf.DUMMYFUNCTION("""COMPUTED_VALUE"""),"İZMİR")</f>
        <v>İZMİR</v>
      </c>
      <c r="K202" s="44" t="str">
        <f>IFERROR(__xludf.DUMMYFUNCTION("""COMPUTED_VALUE"""),"https://expa.aiesec.org/opportunities/1289672")</f>
        <v>https://expa.aiesec.org/opportunities/1289672</v>
      </c>
      <c r="L202" s="43" t="str">
        <f>IFERROR(__xludf.DUMMYFUNCTION("""COMPUTED_VALUE"""),"GTe")</f>
        <v>GTe</v>
      </c>
      <c r="M202" s="43" t="str">
        <f>IFERROR(__xludf.DUMMYFUNCTION("""COMPUTED_VALUE"""),"long")</f>
        <v>long</v>
      </c>
      <c r="N202" s="45">
        <f>IFERROR(__xludf.DUMMYFUNCTION("""COMPUTED_VALUE"""),45026.0)</f>
        <v>45026</v>
      </c>
      <c r="O202" s="45">
        <f>IFERROR(__xludf.DUMMYFUNCTION("""COMPUTED_VALUE"""),45061.0)</f>
        <v>45061</v>
      </c>
      <c r="P202" s="45">
        <f>IFERROR(__xludf.DUMMYFUNCTION("""COMPUTED_VALUE"""),45255.0)</f>
        <v>45255</v>
      </c>
      <c r="Q202" s="45"/>
      <c r="R202" s="45"/>
      <c r="S202" s="43"/>
      <c r="T202" s="43"/>
      <c r="U202" s="43" t="str">
        <f>IFERROR(__xludf.DUMMYFUNCTION("""COMPUTED_VALUE"""),"Science Teacher in Space Camp")</f>
        <v>Science Teacher in Space Camp</v>
      </c>
      <c r="V202" s="43" t="str">
        <f>IFERROR(__xludf.DUMMYFUNCTION("""COMPUTED_VALUE"""),"The Ohio State University")</f>
        <v>The Ohio State University</v>
      </c>
      <c r="W202" s="43" t="str">
        <f>IFERROR(__xludf.DUMMYFUNCTION("""COMPUTED_VALUE"""),"2023-03-09T06:43:01Z")</f>
        <v>2023-03-09T06:43:01Z</v>
      </c>
      <c r="X202" s="43"/>
      <c r="Y202" s="43"/>
      <c r="Z202" s="43"/>
    </row>
    <row r="203" hidden="1">
      <c r="A203" s="43" t="str">
        <f>IFERROR(__xludf.DUMMYFUNCTION("""COMPUTED_VALUE"""),"5239696_1284447")</f>
        <v>5239696_1284447</v>
      </c>
      <c r="B203" s="43" t="str">
        <f>IFERROR(__xludf.DUMMYFUNCTION("""COMPUTED_VALUE"""),"Mohammed Dia Eddine Bassou")</f>
        <v>Mohammed Dia Eddine Bassou</v>
      </c>
      <c r="C203" s="43" t="str">
        <f>IFERROR(__xludf.DUMMYFUNCTION("""COMPUTED_VALUE"""),"realized")</f>
        <v>realized</v>
      </c>
      <c r="D203" s="43" t="str">
        <f>IFERROR(__xludf.DUMMYFUNCTION("""COMPUTED_VALUE"""),"No")</f>
        <v>No</v>
      </c>
      <c r="E203" s="43" t="str">
        <f>IFERROR(__xludf.DUMMYFUNCTION("""COMPUTED_VALUE"""),"p_88d1008a9b25c8a3c8dce31a4bc9c842b3274420@inbound.aiesec.org")</f>
        <v>p_88d1008a9b25c8a3c8dce31a4bc9c842b3274420@inbound.aiesec.org</v>
      </c>
      <c r="F203" s="43">
        <f>IFERROR(__xludf.DUMMYFUNCTION("""COMPUTED_VALUE"""),6.58824448E8)</f>
        <v>658824448</v>
      </c>
      <c r="G203" s="43" t="str">
        <f>IFERROR(__xludf.DUMMYFUNCTION("""COMPUTED_VALUE"""),"Algeria")</f>
        <v>Algeria</v>
      </c>
      <c r="H203" s="43" t="str">
        <f>IFERROR(__xludf.DUMMYFUNCTION("""COMPUTED_VALUE"""),"Ouargla")</f>
        <v>Ouargla</v>
      </c>
      <c r="I203" s="43" t="str">
        <f>IFERROR(__xludf.DUMMYFUNCTION("""COMPUTED_VALUE"""),"Turkey")</f>
        <v>Turkey</v>
      </c>
      <c r="J203" s="43" t="str">
        <f>IFERROR(__xludf.DUMMYFUNCTION("""COMPUTED_VALUE"""),"KONYA")</f>
        <v>KONYA</v>
      </c>
      <c r="K203" s="44" t="str">
        <f>IFERROR(__xludf.DUMMYFUNCTION("""COMPUTED_VALUE"""),"https://expa.aiesec.org/opportunities/1284447")</f>
        <v>https://expa.aiesec.org/opportunities/1284447</v>
      </c>
      <c r="L203" s="43" t="str">
        <f>IFERROR(__xludf.DUMMYFUNCTION("""COMPUTED_VALUE"""),"GTe")</f>
        <v>GTe</v>
      </c>
      <c r="M203" s="43" t="str">
        <f>IFERROR(__xludf.DUMMYFUNCTION("""COMPUTED_VALUE"""),"long")</f>
        <v>long</v>
      </c>
      <c r="N203" s="45">
        <f>IFERROR(__xludf.DUMMYFUNCTION("""COMPUTED_VALUE"""),45029.0)</f>
        <v>45029</v>
      </c>
      <c r="O203" s="45">
        <f>IFERROR(__xludf.DUMMYFUNCTION("""COMPUTED_VALUE"""),45051.0)</f>
        <v>45051</v>
      </c>
      <c r="P203" s="45">
        <f>IFERROR(__xludf.DUMMYFUNCTION("""COMPUTED_VALUE"""),45417.0)</f>
        <v>45417</v>
      </c>
      <c r="Q203" s="45">
        <f>IFERROR(__xludf.DUMMYFUNCTION("""COMPUTED_VALUE"""),45072.0)</f>
        <v>45072</v>
      </c>
      <c r="R203" s="45">
        <f>IFERROR(__xludf.DUMMYFUNCTION("""COMPUTED_VALUE"""),45438.0)</f>
        <v>45438</v>
      </c>
      <c r="S203" s="43"/>
      <c r="T203" s="43"/>
      <c r="U203" s="43" t="str">
        <f>IFERROR(__xludf.DUMMYFUNCTION("""COMPUTED_VALUE"""),"English Teacher at Teachera ")</f>
        <v>English Teacher at Teachera </v>
      </c>
      <c r="V203" s="43" t="str">
        <f>IFERROR(__xludf.DUMMYFUNCTION("""COMPUTED_VALUE"""),"AIESEC in Ouargla")</f>
        <v>AIESEC in Ouargla</v>
      </c>
      <c r="W203" s="43" t="str">
        <f>IFERROR(__xludf.DUMMYFUNCTION("""COMPUTED_VALUE"""),"2023-04-11T16:41:57Z")</f>
        <v>2023-04-11T16:41:57Z</v>
      </c>
      <c r="X203" s="43"/>
      <c r="Y203" s="43"/>
      <c r="Z203" s="43"/>
    </row>
    <row r="204" hidden="1">
      <c r="A204" s="43" t="str">
        <f>IFERROR(__xludf.DUMMYFUNCTION("""COMPUTED_VALUE"""),"1972844_1294158")</f>
        <v>1972844_1294158</v>
      </c>
      <c r="B204" s="43" t="str">
        <f>IFERROR(__xludf.DUMMYFUNCTION("""COMPUTED_VALUE"""),"ibtihal bouriaba")</f>
        <v>ibtihal bouriaba</v>
      </c>
      <c r="C204" s="43" t="str">
        <f>IFERROR(__xludf.DUMMYFUNCTION("""COMPUTED_VALUE"""),"completed")</f>
        <v>completed</v>
      </c>
      <c r="D204" s="43" t="str">
        <f>IFERROR(__xludf.DUMMYFUNCTION("""COMPUTED_VALUE"""),"No")</f>
        <v>No</v>
      </c>
      <c r="E204" s="43" t="str">
        <f>IFERROR(__xludf.DUMMYFUNCTION("""COMPUTED_VALUE"""),"p_ffbc181d21ff5019ab014f8798bfd691938638bb@inbound.aiesec.org")</f>
        <v>p_ffbc181d21ff5019ab014f8798bfd691938638bb@inbound.aiesec.org</v>
      </c>
      <c r="F204" s="43">
        <f>IFERROR(__xludf.DUMMYFUNCTION("""COMPUTED_VALUE"""),7.13402214E8)</f>
        <v>713402214</v>
      </c>
      <c r="G204" s="43" t="str">
        <f>IFERROR(__xludf.DUMMYFUNCTION("""COMPUTED_VALUE"""),"Morocco")</f>
        <v>Morocco</v>
      </c>
      <c r="H204" s="43" t="str">
        <f>IFERROR(__xludf.DUMMYFUNCTION("""COMPUTED_VALUE"""),"Casablanca")</f>
        <v>Casablanca</v>
      </c>
      <c r="I204" s="43" t="str">
        <f>IFERROR(__xludf.DUMMYFUNCTION("""COMPUTED_VALUE"""),"Turkey")</f>
        <v>Turkey</v>
      </c>
      <c r="J204" s="43" t="str">
        <f>IFERROR(__xludf.DUMMYFUNCTION("""COMPUTED_VALUE"""),"KOCAELI")</f>
        <v>KOCAELI</v>
      </c>
      <c r="K204" s="44" t="str">
        <f>IFERROR(__xludf.DUMMYFUNCTION("""COMPUTED_VALUE"""),"https://expa.aiesec.org/opportunities/1294158")</f>
        <v>https://expa.aiesec.org/opportunities/1294158</v>
      </c>
      <c r="L204" s="43" t="str">
        <f>IFERROR(__xludf.DUMMYFUNCTION("""COMPUTED_VALUE"""),"GTe")</f>
        <v>GTe</v>
      </c>
      <c r="M204" s="43" t="str">
        <f>IFERROR(__xludf.DUMMYFUNCTION("""COMPUTED_VALUE"""),"short")</f>
        <v>short</v>
      </c>
      <c r="N204" s="45">
        <f>IFERROR(__xludf.DUMMYFUNCTION("""COMPUTED_VALUE"""),45030.0)</f>
        <v>45030</v>
      </c>
      <c r="O204" s="45">
        <f>IFERROR(__xludf.DUMMYFUNCTION("""COMPUTED_VALUE"""),45041.0)</f>
        <v>45041</v>
      </c>
      <c r="P204" s="45">
        <f>IFERROR(__xludf.DUMMYFUNCTION("""COMPUTED_VALUE"""),45104.0)</f>
        <v>45104</v>
      </c>
      <c r="Q204" s="45">
        <f>IFERROR(__xludf.DUMMYFUNCTION("""COMPUTED_VALUE"""),45055.0)</f>
        <v>45055</v>
      </c>
      <c r="R204" s="45">
        <f>IFERROR(__xludf.DUMMYFUNCTION("""COMPUTED_VALUE"""),45116.0)</f>
        <v>45116</v>
      </c>
      <c r="S204" s="43"/>
      <c r="T204" s="43"/>
      <c r="U204" s="43" t="str">
        <f>IFERROR(__xludf.DUMMYFUNCTION("""COMPUTED_VALUE"""),"English Teacher in Yahya Kaptan Koleji (SHORT TERM)")</f>
        <v>English Teacher in Yahya Kaptan Koleji (SHORT TERM)</v>
      </c>
      <c r="V204" s="43" t="str">
        <f>IFERROR(__xludf.DUMMYFUNCTION("""COMPUTED_VALUE"""),"-")</f>
        <v>-</v>
      </c>
      <c r="W204" s="43" t="str">
        <f>IFERROR(__xludf.DUMMYFUNCTION("""COMPUTED_VALUE"""),"2017-12-26T21:26:02Z")</f>
        <v>2017-12-26T21:26:02Z</v>
      </c>
      <c r="X204" s="43"/>
      <c r="Y204" s="43"/>
      <c r="Z204" s="43"/>
    </row>
    <row r="205" hidden="1">
      <c r="A205" s="43" t="str">
        <f>IFERROR(__xludf.DUMMYFUNCTION("""COMPUTED_VALUE"""),"5242014_1288871")</f>
        <v>5242014_1288871</v>
      </c>
      <c r="B205" s="43" t="str">
        <f>IFERROR(__xludf.DUMMYFUNCTION("""COMPUTED_VALUE"""),"Lamia Benmahrouche")</f>
        <v>Lamia Benmahrouche</v>
      </c>
      <c r="C205" s="43" t="str">
        <f>IFERROR(__xludf.DUMMYFUNCTION("""COMPUTED_VALUE"""),"realized")</f>
        <v>realized</v>
      </c>
      <c r="D205" s="43" t="str">
        <f>IFERROR(__xludf.DUMMYFUNCTION("""COMPUTED_VALUE"""),"No")</f>
        <v>No</v>
      </c>
      <c r="E205" s="43" t="str">
        <f>IFERROR(__xludf.DUMMYFUNCTION("""COMPUTED_VALUE"""),"p_5695fb427f8cdcadafb495e2a1dce2c37c642300@inbound.aiesec.org")</f>
        <v>p_5695fb427f8cdcadafb495e2a1dce2c37c642300@inbound.aiesec.org</v>
      </c>
      <c r="F205" s="43">
        <f>IFERROR(__xludf.DUMMYFUNCTION("""COMPUTED_VALUE"""),6.74967398E8)</f>
        <v>674967398</v>
      </c>
      <c r="G205" s="43" t="str">
        <f>IFERROR(__xludf.DUMMYFUNCTION("""COMPUTED_VALUE"""),"Algeria")</f>
        <v>Algeria</v>
      </c>
      <c r="H205" s="43" t="str">
        <f>IFERROR(__xludf.DUMMYFUNCTION("""COMPUTED_VALUE"""),"Babez")</f>
        <v>Babez</v>
      </c>
      <c r="I205" s="43" t="str">
        <f>IFERROR(__xludf.DUMMYFUNCTION("""COMPUTED_VALUE"""),"Turkey")</f>
        <v>Turkey</v>
      </c>
      <c r="J205" s="43" t="str">
        <f>IFERROR(__xludf.DUMMYFUNCTION("""COMPUTED_VALUE"""),"ISTANBUL ASIA")</f>
        <v>ISTANBUL ASIA</v>
      </c>
      <c r="K205" s="44" t="str">
        <f>IFERROR(__xludf.DUMMYFUNCTION("""COMPUTED_VALUE"""),"https://expa.aiesec.org/opportunities/1288871")</f>
        <v>https://expa.aiesec.org/opportunities/1288871</v>
      </c>
      <c r="L205" s="43" t="str">
        <f>IFERROR(__xludf.DUMMYFUNCTION("""COMPUTED_VALUE"""),"GTe")</f>
        <v>GTe</v>
      </c>
      <c r="M205" s="43" t="str">
        <f>IFERROR(__xludf.DUMMYFUNCTION("""COMPUTED_VALUE"""),"long")</f>
        <v>long</v>
      </c>
      <c r="N205" s="45">
        <f>IFERROR(__xludf.DUMMYFUNCTION("""COMPUTED_VALUE"""),45033.0)</f>
        <v>45033</v>
      </c>
      <c r="O205" s="45">
        <f>IFERROR(__xludf.DUMMYFUNCTION("""COMPUTED_VALUE"""),45153.0)</f>
        <v>45153</v>
      </c>
      <c r="P205" s="45">
        <f>IFERROR(__xludf.DUMMYFUNCTION("""COMPUTED_VALUE"""),45519.0)</f>
        <v>45519</v>
      </c>
      <c r="Q205" s="45">
        <f>IFERROR(__xludf.DUMMYFUNCTION("""COMPUTED_VALUE"""),45160.0)</f>
        <v>45160</v>
      </c>
      <c r="R205" s="45">
        <f>IFERROR(__xludf.DUMMYFUNCTION("""COMPUTED_VALUE"""),45526.0)</f>
        <v>45526</v>
      </c>
      <c r="S205" s="43"/>
      <c r="T205" s="43"/>
      <c r="U205" s="43" t="str">
        <f>IFERROR(__xludf.DUMMYFUNCTION("""COMPUTED_VALUE""")," English Teacher")</f>
        <v> English Teacher</v>
      </c>
      <c r="V205" s="43" t="str">
        <f>IFERROR(__xludf.DUMMYFUNCTION("""COMPUTED_VALUE"""),"AIESEC in Babez")</f>
        <v>AIESEC in Babez</v>
      </c>
      <c r="W205" s="43" t="str">
        <f>IFERROR(__xludf.DUMMYFUNCTION("""COMPUTED_VALUE"""),"2023-04-14T13:24:53Z")</f>
        <v>2023-04-14T13:24:53Z</v>
      </c>
      <c r="X205" s="43"/>
      <c r="Y205" s="43"/>
      <c r="Z205" s="43"/>
    </row>
    <row r="206" hidden="1">
      <c r="A206" s="43" t="str">
        <f>IFERROR(__xludf.DUMMYFUNCTION("""COMPUTED_VALUE"""),"4629194_1293755")</f>
        <v>4629194_1293755</v>
      </c>
      <c r="B206" s="43" t="str">
        <f>IFERROR(__xludf.DUMMYFUNCTION("""COMPUTED_VALUE"""),"deleted 4629194")</f>
        <v>deleted 4629194</v>
      </c>
      <c r="C206" s="43" t="str">
        <f>IFERROR(__xludf.DUMMYFUNCTION("""COMPUTED_VALUE"""),"approved")</f>
        <v>approved</v>
      </c>
      <c r="D206" s="43" t="str">
        <f>IFERROR(__xludf.DUMMYFUNCTION("""COMPUTED_VALUE"""),"No")</f>
        <v>No</v>
      </c>
      <c r="E206" s="43" t="str">
        <f>IFERROR(__xludf.DUMMYFUNCTION("""COMPUTED_VALUE"""),"p_cd141043026bfb6ac28c2585c156eb2c59f83f36@inbound.aiesec.org")</f>
        <v>p_cd141043026bfb6ac28c2585c156eb2c59f83f36@inbound.aiesec.org</v>
      </c>
      <c r="F206" s="43"/>
      <c r="G206" s="43" t="str">
        <f>IFERROR(__xludf.DUMMYFUNCTION("""COMPUTED_VALUE"""),"Egypt")</f>
        <v>Egypt</v>
      </c>
      <c r="H206" s="43" t="str">
        <f>IFERROR(__xludf.DUMMYFUNCTION("""COMPUTED_VALUE"""),"Zagazig")</f>
        <v>Zagazig</v>
      </c>
      <c r="I206" s="43" t="str">
        <f>IFERROR(__xludf.DUMMYFUNCTION("""COMPUTED_VALUE"""),"Turkey")</f>
        <v>Turkey</v>
      </c>
      <c r="J206" s="43" t="str">
        <f>IFERROR(__xludf.DUMMYFUNCTION("""COMPUTED_VALUE"""),"DENIZLI")</f>
        <v>DENIZLI</v>
      </c>
      <c r="K206" s="44" t="str">
        <f>IFERROR(__xludf.DUMMYFUNCTION("""COMPUTED_VALUE"""),"https://expa.aiesec.org/opportunities/1293755")</f>
        <v>https://expa.aiesec.org/opportunities/1293755</v>
      </c>
      <c r="L206" s="43" t="str">
        <f>IFERROR(__xludf.DUMMYFUNCTION("""COMPUTED_VALUE"""),"GTe")</f>
        <v>GTe</v>
      </c>
      <c r="M206" s="43" t="str">
        <f>IFERROR(__xludf.DUMMYFUNCTION("""COMPUTED_VALUE"""),"long")</f>
        <v>long</v>
      </c>
      <c r="N206" s="45">
        <f>IFERROR(__xludf.DUMMYFUNCTION("""COMPUTED_VALUE"""),45034.0)</f>
        <v>45034</v>
      </c>
      <c r="O206" s="45">
        <f>IFERROR(__xludf.DUMMYFUNCTION("""COMPUTED_VALUE"""),45139.0)</f>
        <v>45139</v>
      </c>
      <c r="P206" s="45">
        <f>IFERROR(__xludf.DUMMYFUNCTION("""COMPUTED_VALUE"""),45505.0)</f>
        <v>45505</v>
      </c>
      <c r="Q206" s="45"/>
      <c r="R206" s="45"/>
      <c r="S206" s="43"/>
      <c r="T206" s="43"/>
      <c r="U206" s="43" t="str">
        <f>IFERROR(__xludf.DUMMYFUNCTION("""COMPUTED_VALUE"""),"TEACHER/SEÇKİN 0 6 YAŞ")</f>
        <v>TEACHER/SEÇKİN 0 6 YAŞ</v>
      </c>
      <c r="V206" s="43" t="str">
        <f>IFERROR(__xludf.DUMMYFUNCTION("""COMPUTED_VALUE"""),"Zagazig")</f>
        <v>Zagazig</v>
      </c>
      <c r="W206" s="43" t="str">
        <f>IFERROR(__xludf.DUMMYFUNCTION("""COMPUTED_VALUE"""),"2021-04-26T00:47:21Z")</f>
        <v>2021-04-26T00:47:21Z</v>
      </c>
      <c r="X206" s="43"/>
      <c r="Y206" s="43"/>
      <c r="Z206" s="43"/>
    </row>
    <row r="207" hidden="1">
      <c r="A207" s="43" t="str">
        <f>IFERROR(__xludf.DUMMYFUNCTION("""COMPUTED_VALUE"""),"3811952_1291375")</f>
        <v>3811952_1291375</v>
      </c>
      <c r="B207" s="43" t="str">
        <f>IFERROR(__xludf.DUMMYFUNCTION("""COMPUTED_VALUE"""),"Abderraouf Necer")</f>
        <v>Abderraouf Necer</v>
      </c>
      <c r="C207" s="43" t="str">
        <f>IFERROR(__xludf.DUMMYFUNCTION("""COMPUTED_VALUE"""),"realized")</f>
        <v>realized</v>
      </c>
      <c r="D207" s="43" t="str">
        <f>IFERROR(__xludf.DUMMYFUNCTION("""COMPUTED_VALUE"""),"No")</f>
        <v>No</v>
      </c>
      <c r="E207" s="43" t="str">
        <f>IFERROR(__xludf.DUMMYFUNCTION("""COMPUTED_VALUE"""),"p_e4330980dd628dafa39d1ae64f5068715940f675@inbound.aiesec.org")</f>
        <v>p_e4330980dd628dafa39d1ae64f5068715940f675@inbound.aiesec.org</v>
      </c>
      <c r="F207" s="43">
        <f>IFERROR(__xludf.DUMMYFUNCTION("""COMPUTED_VALUE"""),7.80940043E8)</f>
        <v>780940043</v>
      </c>
      <c r="G207" s="43" t="str">
        <f>IFERROR(__xludf.DUMMYFUNCTION("""COMPUTED_VALUE"""),"Algeria")</f>
        <v>Algeria</v>
      </c>
      <c r="H207" s="43" t="str">
        <f>IFERROR(__xludf.DUMMYFUNCTION("""COMPUTED_VALUE"""),"Babez")</f>
        <v>Babez</v>
      </c>
      <c r="I207" s="43" t="str">
        <f>IFERROR(__xludf.DUMMYFUNCTION("""COMPUTED_VALUE"""),"Turkey")</f>
        <v>Turkey</v>
      </c>
      <c r="J207" s="43" t="str">
        <f>IFERROR(__xludf.DUMMYFUNCTION("""COMPUTED_VALUE"""),"ESKISEHIR")</f>
        <v>ESKISEHIR</v>
      </c>
      <c r="K207" s="44" t="str">
        <f>IFERROR(__xludf.DUMMYFUNCTION("""COMPUTED_VALUE"""),"https://expa.aiesec.org/opportunities/1291375")</f>
        <v>https://expa.aiesec.org/opportunities/1291375</v>
      </c>
      <c r="L207" s="43" t="str">
        <f>IFERROR(__xludf.DUMMYFUNCTION("""COMPUTED_VALUE"""),"GTe")</f>
        <v>GTe</v>
      </c>
      <c r="M207" s="43" t="str">
        <f>IFERROR(__xludf.DUMMYFUNCTION("""COMPUTED_VALUE"""),"long")</f>
        <v>long</v>
      </c>
      <c r="N207" s="45">
        <f>IFERROR(__xludf.DUMMYFUNCTION("""COMPUTED_VALUE"""),45039.0)</f>
        <v>45039</v>
      </c>
      <c r="O207" s="45">
        <f>IFERROR(__xludf.DUMMYFUNCTION("""COMPUTED_VALUE"""),45199.0)</f>
        <v>45199</v>
      </c>
      <c r="P207" s="45">
        <f>IFERROR(__xludf.DUMMYFUNCTION("""COMPUTED_VALUE"""),45564.0)</f>
        <v>45564</v>
      </c>
      <c r="Q207" s="45">
        <f>IFERROR(__xludf.DUMMYFUNCTION("""COMPUTED_VALUE"""),45153.0)</f>
        <v>45153</v>
      </c>
      <c r="R207" s="45">
        <f>IFERROR(__xludf.DUMMYFUNCTION("""COMPUTED_VALUE"""),45564.0)</f>
        <v>45564</v>
      </c>
      <c r="S207" s="43"/>
      <c r="T207" s="43"/>
      <c r="U207" s="43" t="str">
        <f>IFERROR(__xludf.DUMMYFUNCTION("""COMPUTED_VALUE"""),"English Teacher")</f>
        <v>English Teacher</v>
      </c>
      <c r="V207" s="43" t="str">
        <f>IFERROR(__xludf.DUMMYFUNCTION("""COMPUTED_VALUE"""),"-")</f>
        <v>-</v>
      </c>
      <c r="W207" s="43" t="str">
        <f>IFERROR(__xludf.DUMMYFUNCTION("""COMPUTED_VALUE"""),"2019-09-04T08:32:34Z")</f>
        <v>2019-09-04T08:32:34Z</v>
      </c>
      <c r="X207" s="43"/>
      <c r="Y207" s="43"/>
      <c r="Z207" s="43"/>
    </row>
    <row r="208" hidden="1">
      <c r="A208" s="43" t="str">
        <f>IFERROR(__xludf.DUMMYFUNCTION("""COMPUTED_VALUE"""),"5242150_1285209")</f>
        <v>5242150_1285209</v>
      </c>
      <c r="B208" s="43" t="str">
        <f>IFERROR(__xludf.DUMMYFUNCTION("""COMPUTED_VALUE"""),"Stefanne Alexandra Bucurú Jurado")</f>
        <v>Stefanne Alexandra Bucurú Jurado</v>
      </c>
      <c r="C208" s="43" t="str">
        <f>IFERROR(__xludf.DUMMYFUNCTION("""COMPUTED_VALUE"""),"completed")</f>
        <v>completed</v>
      </c>
      <c r="D208" s="43" t="str">
        <f>IFERROR(__xludf.DUMMYFUNCTION("""COMPUTED_VALUE"""),"No")</f>
        <v>No</v>
      </c>
      <c r="E208" s="43" t="str">
        <f>IFERROR(__xludf.DUMMYFUNCTION("""COMPUTED_VALUE"""),"p_76270b72be209068487b189c5cee1b372745d16e@inbound.aiesec.org")</f>
        <v>p_76270b72be209068487b189c5cee1b372745d16e@inbound.aiesec.org</v>
      </c>
      <c r="F208" s="43">
        <f>IFERROR(__xludf.DUMMYFUNCTION("""COMPUTED_VALUE"""),3.227354032E9)</f>
        <v>3227354032</v>
      </c>
      <c r="G208" s="43" t="str">
        <f>IFERROR(__xludf.DUMMYFUNCTION("""COMPUTED_VALUE"""),"Colombia")</f>
        <v>Colombia</v>
      </c>
      <c r="H208" s="43" t="str">
        <f>IFERROR(__xludf.DUMMYFUNCTION("""COMPUTED_VALUE"""),"IBAGUÉ")</f>
        <v>IBAGUÉ</v>
      </c>
      <c r="I208" s="43" t="str">
        <f>IFERROR(__xludf.DUMMYFUNCTION("""COMPUTED_VALUE"""),"Turkey")</f>
        <v>Turkey</v>
      </c>
      <c r="J208" s="43" t="str">
        <f>IFERROR(__xludf.DUMMYFUNCTION("""COMPUTED_VALUE"""),"ESKISEHIR")</f>
        <v>ESKISEHIR</v>
      </c>
      <c r="K208" s="44" t="str">
        <f>IFERROR(__xludf.DUMMYFUNCTION("""COMPUTED_VALUE"""),"https://expa.aiesec.org/opportunities/1285209")</f>
        <v>https://expa.aiesec.org/opportunities/1285209</v>
      </c>
      <c r="L208" s="43" t="str">
        <f>IFERROR(__xludf.DUMMYFUNCTION("""COMPUTED_VALUE"""),"GTe")</f>
        <v>GTe</v>
      </c>
      <c r="M208" s="43" t="str">
        <f>IFERROR(__xludf.DUMMYFUNCTION("""COMPUTED_VALUE"""),"long")</f>
        <v>long</v>
      </c>
      <c r="N208" s="45">
        <f>IFERROR(__xludf.DUMMYFUNCTION("""COMPUTED_VALUE"""),45040.0)</f>
        <v>45040</v>
      </c>
      <c r="O208" s="45">
        <f>IFERROR(__xludf.DUMMYFUNCTION("""COMPUTED_VALUE"""),45060.0)</f>
        <v>45060</v>
      </c>
      <c r="P208" s="45">
        <f>IFERROR(__xludf.DUMMYFUNCTION("""COMPUTED_VALUE"""),45547.0)</f>
        <v>45547</v>
      </c>
      <c r="Q208" s="45">
        <f>IFERROR(__xludf.DUMMYFUNCTION("""COMPUTED_VALUE"""),45059.0)</f>
        <v>45059</v>
      </c>
      <c r="R208" s="45">
        <f>IFERROR(__xludf.DUMMYFUNCTION("""COMPUTED_VALUE"""),45184.0)</f>
        <v>45184</v>
      </c>
      <c r="S208" s="43"/>
      <c r="T208" s="43"/>
      <c r="U208" s="43" t="str">
        <f>IFERROR(__xludf.DUMMYFUNCTION("""COMPUTED_VALUE"""),"English Teacher")</f>
        <v>English Teacher</v>
      </c>
      <c r="V208" s="43" t="str">
        <f>IFERROR(__xludf.DUMMYFUNCTION("""COMPUTED_VALUE"""),"-")</f>
        <v>-</v>
      </c>
      <c r="W208" s="43" t="str">
        <f>IFERROR(__xludf.DUMMYFUNCTION("""COMPUTED_VALUE"""),"2023-04-14T17:07:03Z")</f>
        <v>2023-04-14T17:07:03Z</v>
      </c>
      <c r="X208" s="43"/>
      <c r="Y208" s="43"/>
      <c r="Z208" s="43"/>
    </row>
    <row r="209" hidden="1">
      <c r="A209" s="43" t="str">
        <f>IFERROR(__xludf.DUMMYFUNCTION("""COMPUTED_VALUE"""),"5243810_1281195")</f>
        <v>5243810_1281195</v>
      </c>
      <c r="B209" s="43" t="str">
        <f>IFERROR(__xludf.DUMMYFUNCTION("""COMPUTED_VALUE"""),"Hind Gouja")</f>
        <v>Hind Gouja</v>
      </c>
      <c r="C209" s="43" t="str">
        <f>IFERROR(__xludf.DUMMYFUNCTION("""COMPUTED_VALUE"""),"realized")</f>
        <v>realized</v>
      </c>
      <c r="D209" s="43" t="str">
        <f>IFERROR(__xludf.DUMMYFUNCTION("""COMPUTED_VALUE"""),"No")</f>
        <v>No</v>
      </c>
      <c r="E209" s="43" t="str">
        <f>IFERROR(__xludf.DUMMYFUNCTION("""COMPUTED_VALUE"""),"p_eb0e4420d042ec78b5248baeed2409683f77c44a@inbound.aiesec.org")</f>
        <v>p_eb0e4420d042ec78b5248baeed2409683f77c44a@inbound.aiesec.org</v>
      </c>
      <c r="F209" s="43"/>
      <c r="G209" s="43" t="str">
        <f>IFERROR(__xludf.DUMMYFUNCTION("""COMPUTED_VALUE"""),"Tunisia")</f>
        <v>Tunisia</v>
      </c>
      <c r="H209" s="43" t="str">
        <f>IFERROR(__xludf.DUMMYFUNCTION("""COMPUTED_VALUE"""),"Carthage")</f>
        <v>Carthage</v>
      </c>
      <c r="I209" s="43" t="str">
        <f>IFERROR(__xludf.DUMMYFUNCTION("""COMPUTED_VALUE"""),"Turkey")</f>
        <v>Turkey</v>
      </c>
      <c r="J209" s="43" t="str">
        <f>IFERROR(__xludf.DUMMYFUNCTION("""COMPUTED_VALUE"""),"BURSA")</f>
        <v>BURSA</v>
      </c>
      <c r="K209" s="44" t="str">
        <f>IFERROR(__xludf.DUMMYFUNCTION("""COMPUTED_VALUE"""),"https://expa.aiesec.org/opportunities/1281195")</f>
        <v>https://expa.aiesec.org/opportunities/1281195</v>
      </c>
      <c r="L209" s="43" t="str">
        <f>IFERROR(__xludf.DUMMYFUNCTION("""COMPUTED_VALUE"""),"GTe")</f>
        <v>GTe</v>
      </c>
      <c r="M209" s="43" t="str">
        <f>IFERROR(__xludf.DUMMYFUNCTION("""COMPUTED_VALUE"""),"long")</f>
        <v>long</v>
      </c>
      <c r="N209" s="45">
        <f>IFERROR(__xludf.DUMMYFUNCTION("""COMPUTED_VALUE"""),45042.0)</f>
        <v>45042</v>
      </c>
      <c r="O209" s="45">
        <f>IFERROR(__xludf.DUMMYFUNCTION("""COMPUTED_VALUE"""),45158.0)</f>
        <v>45158</v>
      </c>
      <c r="P209" s="45">
        <f>IFERROR(__xludf.DUMMYFUNCTION("""COMPUTED_VALUE"""),45524.0)</f>
        <v>45524</v>
      </c>
      <c r="Q209" s="45">
        <f>IFERROR(__xludf.DUMMYFUNCTION("""COMPUTED_VALUE"""),45176.0)</f>
        <v>45176</v>
      </c>
      <c r="R209" s="45">
        <f>IFERROR(__xludf.DUMMYFUNCTION("""COMPUTED_VALUE"""),45540.0)</f>
        <v>45540</v>
      </c>
      <c r="S209" s="43"/>
      <c r="T209" s="43"/>
      <c r="U209" s="43" t="str">
        <f>IFERROR(__xludf.DUMMYFUNCTION("""COMPUTED_VALUE"""),"ENGLISH TEACHING")</f>
        <v>ENGLISH TEACHING</v>
      </c>
      <c r="V209" s="43" t="str">
        <f>IFERROR(__xludf.DUMMYFUNCTION("""COMPUTED_VALUE"""),"Institut supérieur des technologies de l'environnement, de l'urbanisme et du bâtiment")</f>
        <v>Institut supérieur des technologies de l'environnement, de l'urbanisme et du bâtiment</v>
      </c>
      <c r="W209" s="43" t="str">
        <f>IFERROR(__xludf.DUMMYFUNCTION("""COMPUTED_VALUE"""),"2023-04-17T14:01:48Z")</f>
        <v>2023-04-17T14:01:48Z</v>
      </c>
      <c r="X209" s="43"/>
      <c r="Y209" s="43"/>
      <c r="Z209" s="43"/>
    </row>
    <row r="210" hidden="1">
      <c r="A210" s="43" t="str">
        <f>IFERROR(__xludf.DUMMYFUNCTION("""COMPUTED_VALUE"""),"5181956_1294655")</f>
        <v>5181956_1294655</v>
      </c>
      <c r="B210" s="43" t="str">
        <f>IFERROR(__xludf.DUMMYFUNCTION("""COMPUTED_VALUE"""),"Zineddine LACHICHI")</f>
        <v>Zineddine LACHICHI</v>
      </c>
      <c r="C210" s="43" t="str">
        <f>IFERROR(__xludf.DUMMYFUNCTION("""COMPUTED_VALUE"""),"realized")</f>
        <v>realized</v>
      </c>
      <c r="D210" s="43" t="str">
        <f>IFERROR(__xludf.DUMMYFUNCTION("""COMPUTED_VALUE"""),"No")</f>
        <v>No</v>
      </c>
      <c r="E210" s="43" t="str">
        <f>IFERROR(__xludf.DUMMYFUNCTION("""COMPUTED_VALUE"""),"p_086e47e6219ad9d611a42d5644d19b7b408d37f6@inbound.aiesec.org")</f>
        <v>p_086e47e6219ad9d611a42d5644d19b7b408d37f6@inbound.aiesec.org</v>
      </c>
      <c r="F210" s="43">
        <f>IFERROR(__xludf.DUMMYFUNCTION("""COMPUTED_VALUE"""),5.42755313E8)</f>
        <v>542755313</v>
      </c>
      <c r="G210" s="43" t="str">
        <f>IFERROR(__xludf.DUMMYFUNCTION("""COMPUTED_VALUE"""),"Algeria")</f>
        <v>Algeria</v>
      </c>
      <c r="H210" s="43" t="str">
        <f>IFERROR(__xludf.DUMMYFUNCTION("""COMPUTED_VALUE"""),"Babez")</f>
        <v>Babez</v>
      </c>
      <c r="I210" s="43" t="str">
        <f>IFERROR(__xludf.DUMMYFUNCTION("""COMPUTED_VALUE"""),"Turkey")</f>
        <v>Turkey</v>
      </c>
      <c r="J210" s="43" t="str">
        <f>IFERROR(__xludf.DUMMYFUNCTION("""COMPUTED_VALUE"""),"KOCAELI")</f>
        <v>KOCAELI</v>
      </c>
      <c r="K210" s="44" t="str">
        <f>IFERROR(__xludf.DUMMYFUNCTION("""COMPUTED_VALUE"""),"https://expa.aiesec.org/opportunities/1294655")</f>
        <v>https://expa.aiesec.org/opportunities/1294655</v>
      </c>
      <c r="L210" s="43" t="str">
        <f>IFERROR(__xludf.DUMMYFUNCTION("""COMPUTED_VALUE"""),"GTe")</f>
        <v>GTe</v>
      </c>
      <c r="M210" s="43" t="str">
        <f>IFERROR(__xludf.DUMMYFUNCTION("""COMPUTED_VALUE"""),"long")</f>
        <v>long</v>
      </c>
      <c r="N210" s="45">
        <f>IFERROR(__xludf.DUMMYFUNCTION("""COMPUTED_VALUE"""),45043.0)</f>
        <v>45043</v>
      </c>
      <c r="O210" s="45">
        <f>IFERROR(__xludf.DUMMYFUNCTION("""COMPUTED_VALUE"""),45170.0)</f>
        <v>45170</v>
      </c>
      <c r="P210" s="45">
        <f>IFERROR(__xludf.DUMMYFUNCTION("""COMPUTED_VALUE"""),45535.0)</f>
        <v>45535</v>
      </c>
      <c r="Q210" s="45">
        <f>IFERROR(__xludf.DUMMYFUNCTION("""COMPUTED_VALUE"""),45169.0)</f>
        <v>45169</v>
      </c>
      <c r="R210" s="45">
        <f>IFERROR(__xludf.DUMMYFUNCTION("""COMPUTED_VALUE"""),45538.0)</f>
        <v>45538</v>
      </c>
      <c r="S210" s="43"/>
      <c r="T210" s="43"/>
      <c r="U210" s="43" t="str">
        <f>IFERROR(__xludf.DUMMYFUNCTION("""COMPUTED_VALUE"""),"English Teacher in TEOL Language Course")</f>
        <v>English Teacher in TEOL Language Course</v>
      </c>
      <c r="V210" s="43" t="str">
        <f>IFERROR(__xludf.DUMMYFUNCTION("""COMPUTED_VALUE"""),"AIESEC in Babez")</f>
        <v>AIESEC in Babez</v>
      </c>
      <c r="W210" s="43" t="str">
        <f>IFERROR(__xludf.DUMMYFUNCTION("""COMPUTED_VALUE"""),"2023-01-29T14:43:01Z")</f>
        <v>2023-01-29T14:43:01Z</v>
      </c>
      <c r="X210" s="43"/>
      <c r="Y210" s="43"/>
      <c r="Z210" s="43"/>
    </row>
    <row r="211" hidden="1">
      <c r="A211" s="43" t="str">
        <f>IFERROR(__xludf.DUMMYFUNCTION("""COMPUTED_VALUE"""),"4827247_1277661")</f>
        <v>4827247_1277661</v>
      </c>
      <c r="B211" s="43" t="str">
        <f>IFERROR(__xludf.DUMMYFUNCTION("""COMPUTED_VALUE"""),"Nezar Rashed")</f>
        <v>Nezar Rashed</v>
      </c>
      <c r="C211" s="43" t="str">
        <f>IFERROR(__xludf.DUMMYFUNCTION("""COMPUTED_VALUE"""),"approved")</f>
        <v>approved</v>
      </c>
      <c r="D211" s="43" t="str">
        <f>IFERROR(__xludf.DUMMYFUNCTION("""COMPUTED_VALUE"""),"No")</f>
        <v>No</v>
      </c>
      <c r="E211" s="43" t="str">
        <f>IFERROR(__xludf.DUMMYFUNCTION("""COMPUTED_VALUE"""),"p_73d3b7d80c30ac9d15d46e2fba15f3a1aa5a120a@inbound.aiesec.org")</f>
        <v>p_73d3b7d80c30ac9d15d46e2fba15f3a1aa5a120a@inbound.aiesec.org</v>
      </c>
      <c r="F211" s="43">
        <f>IFERROR(__xludf.DUMMYFUNCTION("""COMPUTED_VALUE"""),1.0227197E9)</f>
        <v>1022719700</v>
      </c>
      <c r="G211" s="43" t="str">
        <f>IFERROR(__xludf.DUMMYFUNCTION("""COMPUTED_VALUE"""),"Egypt")</f>
        <v>Egypt</v>
      </c>
      <c r="H211" s="43" t="str">
        <f>IFERROR(__xludf.DUMMYFUNCTION("""COMPUTED_VALUE"""),"Cairo University")</f>
        <v>Cairo University</v>
      </c>
      <c r="I211" s="43" t="str">
        <f>IFERROR(__xludf.DUMMYFUNCTION("""COMPUTED_VALUE"""),"Turkey")</f>
        <v>Turkey</v>
      </c>
      <c r="J211" s="43" t="str">
        <f>IFERROR(__xludf.DUMMYFUNCTION("""COMPUTED_VALUE"""),"KOCAELI")</f>
        <v>KOCAELI</v>
      </c>
      <c r="K211" s="44" t="str">
        <f>IFERROR(__xludf.DUMMYFUNCTION("""COMPUTED_VALUE"""),"https://expa.aiesec.org/opportunities/1277661")</f>
        <v>https://expa.aiesec.org/opportunities/1277661</v>
      </c>
      <c r="L211" s="43" t="str">
        <f>IFERROR(__xludf.DUMMYFUNCTION("""COMPUTED_VALUE"""),"GTe")</f>
        <v>GTe</v>
      </c>
      <c r="M211" s="43" t="str">
        <f>IFERROR(__xludf.DUMMYFUNCTION("""COMPUTED_VALUE"""),"long")</f>
        <v>long</v>
      </c>
      <c r="N211" s="45">
        <f>IFERROR(__xludf.DUMMYFUNCTION("""COMPUTED_VALUE"""),45043.0)</f>
        <v>45043</v>
      </c>
      <c r="O211" s="45">
        <f>IFERROR(__xludf.DUMMYFUNCTION("""COMPUTED_VALUE"""),45158.0)</f>
        <v>45158</v>
      </c>
      <c r="P211" s="45">
        <f>IFERROR(__xludf.DUMMYFUNCTION("""COMPUTED_VALUE"""),45458.0)</f>
        <v>45458</v>
      </c>
      <c r="Q211" s="45"/>
      <c r="R211" s="45"/>
      <c r="S211" s="43"/>
      <c r="T211" s="43"/>
      <c r="U211" s="43" t="str">
        <f>IFERROR(__xludf.DUMMYFUNCTION("""COMPUTED_VALUE"""),"English Teacher in Körfez Uğur Okulları")</f>
        <v>English Teacher in Körfez Uğur Okulları</v>
      </c>
      <c r="V211" s="43" t="str">
        <f>IFERROR(__xludf.DUMMYFUNCTION("""COMPUTED_VALUE"""),"Cairo Univeristy")</f>
        <v>Cairo Univeristy</v>
      </c>
      <c r="W211" s="43" t="str">
        <f>IFERROR(__xludf.DUMMYFUNCTION("""COMPUTED_VALUE"""),"2021-12-02T12:54:39Z")</f>
        <v>2021-12-02T12:54:39Z</v>
      </c>
      <c r="X211" s="43"/>
      <c r="Y211" s="43"/>
      <c r="Z211" s="43"/>
    </row>
    <row r="212" hidden="1">
      <c r="A212" s="43" t="str">
        <f>IFERROR(__xludf.DUMMYFUNCTION("""COMPUTED_VALUE"""),"5249254_1292975")</f>
        <v>5249254_1292975</v>
      </c>
      <c r="B212" s="43" t="str">
        <f>IFERROR(__xludf.DUMMYFUNCTION("""COMPUTED_VALUE"""),"Marina Pavlova")</f>
        <v>Marina Pavlova</v>
      </c>
      <c r="C212" s="43" t="str">
        <f>IFERROR(__xludf.DUMMYFUNCTION("""COMPUTED_VALUE"""),"realized")</f>
        <v>realized</v>
      </c>
      <c r="D212" s="43" t="str">
        <f>IFERROR(__xludf.DUMMYFUNCTION("""COMPUTED_VALUE"""),"No")</f>
        <v>No</v>
      </c>
      <c r="E212" s="43" t="str">
        <f>IFERROR(__xludf.DUMMYFUNCTION("""COMPUTED_VALUE"""),"p_5a008bd1a7d958a0a9d01a48d2c7209a502357b5@inbound.aiesec.org")</f>
        <v>p_5a008bd1a7d958a0a9d01a48d2c7209a502357b5@inbound.aiesec.org</v>
      </c>
      <c r="F212" s="43">
        <f>IFERROR(__xludf.DUMMYFUNCTION("""COMPUTED_VALUE"""),9.217664071E9)</f>
        <v>9217664071</v>
      </c>
      <c r="G212" s="43" t="str">
        <f>IFERROR(__xludf.DUMMYFUNCTION("""COMPUTED_VALUE"""),"Russia")</f>
        <v>Russia</v>
      </c>
      <c r="H212" s="43" t="str">
        <f>IFERROR(__xludf.DUMMYFUNCTION("""COMPUTED_VALUE"""),"ENGEC-GUAP, Saint-Petersburg")</f>
        <v>ENGEC-GUAP, Saint-Petersburg</v>
      </c>
      <c r="I212" s="43" t="str">
        <f>IFERROR(__xludf.DUMMYFUNCTION("""COMPUTED_VALUE"""),"Turkey")</f>
        <v>Turkey</v>
      </c>
      <c r="J212" s="43" t="str">
        <f>IFERROR(__xludf.DUMMYFUNCTION("""COMPUTED_VALUE"""),"TRABZON")</f>
        <v>TRABZON</v>
      </c>
      <c r="K212" s="44" t="str">
        <f>IFERROR(__xludf.DUMMYFUNCTION("""COMPUTED_VALUE"""),"https://expa.aiesec.org/opportunities/1292975")</f>
        <v>https://expa.aiesec.org/opportunities/1292975</v>
      </c>
      <c r="L212" s="43" t="str">
        <f>IFERROR(__xludf.DUMMYFUNCTION("""COMPUTED_VALUE"""),"GTe")</f>
        <v>GTe</v>
      </c>
      <c r="M212" s="43" t="str">
        <f>IFERROR(__xludf.DUMMYFUNCTION("""COMPUTED_VALUE"""),"long")</f>
        <v>long</v>
      </c>
      <c r="N212" s="45">
        <f>IFERROR(__xludf.DUMMYFUNCTION("""COMPUTED_VALUE"""),45043.0)</f>
        <v>45043</v>
      </c>
      <c r="O212" s="45">
        <f>IFERROR(__xludf.DUMMYFUNCTION("""COMPUTED_VALUE"""),45170.0)</f>
        <v>45170</v>
      </c>
      <c r="P212" s="45">
        <f>IFERROR(__xludf.DUMMYFUNCTION("""COMPUTED_VALUE"""),45474.0)</f>
        <v>45474</v>
      </c>
      <c r="Q212" s="45">
        <f>IFERROR(__xludf.DUMMYFUNCTION("""COMPUTED_VALUE"""),45198.0)</f>
        <v>45198</v>
      </c>
      <c r="R212" s="45">
        <f>IFERROR(__xludf.DUMMYFUNCTION("""COMPUTED_VALUE"""),45504.0)</f>
        <v>45504</v>
      </c>
      <c r="S212" s="43"/>
      <c r="T212" s="43"/>
      <c r="U212" s="43" t="str">
        <f>IFERROR(__xludf.DUMMYFUNCTION("""COMPUTED_VALUE"""),"English Teacher")</f>
        <v>English Teacher</v>
      </c>
      <c r="V212" s="43" t="str">
        <f>IFERROR(__xludf.DUMMYFUNCTION("""COMPUTED_VALUE"""),"Saint-Petersburg (отделение ИНЖЭК)")</f>
        <v>Saint-Petersburg (отделение ИНЖЭК)</v>
      </c>
      <c r="W212" s="43" t="str">
        <f>IFERROR(__xludf.DUMMYFUNCTION("""COMPUTED_VALUE"""),"2023-04-25T16:49:41Z")</f>
        <v>2023-04-25T16:49:41Z</v>
      </c>
      <c r="X212" s="43"/>
      <c r="Y212" s="43"/>
      <c r="Z212" s="43"/>
    </row>
    <row r="213" hidden="1">
      <c r="A213" s="43" t="str">
        <f>IFERROR(__xludf.DUMMYFUNCTION("""COMPUTED_VALUE"""),"5091455_1293244")</f>
        <v>5091455_1293244</v>
      </c>
      <c r="B213" s="43" t="str">
        <f>IFERROR(__xludf.DUMMYFUNCTION("""COMPUTED_VALUE"""),"Mohamed Ben Sik Ali")</f>
        <v>Mohamed Ben Sik Ali</v>
      </c>
      <c r="C213" s="43" t="str">
        <f>IFERROR(__xludf.DUMMYFUNCTION("""COMPUTED_VALUE"""),"approved")</f>
        <v>approved</v>
      </c>
      <c r="D213" s="43" t="str">
        <f>IFERROR(__xludf.DUMMYFUNCTION("""COMPUTED_VALUE"""),"No")</f>
        <v>No</v>
      </c>
      <c r="E213" s="43" t="str">
        <f>IFERROR(__xludf.DUMMYFUNCTION("""COMPUTED_VALUE"""),"p_45b90164f5ee25fac506ae28dd28cf296d145d10@inbound.aiesec.org")</f>
        <v>p_45b90164f5ee25fac506ae28dd28cf296d145d10@inbound.aiesec.org</v>
      </c>
      <c r="F213" s="43">
        <f>IFERROR(__xludf.DUMMYFUNCTION("""COMPUTED_VALUE"""),9.8196934E7)</f>
        <v>98196934</v>
      </c>
      <c r="G213" s="43" t="str">
        <f>IFERROR(__xludf.DUMMYFUNCTION("""COMPUTED_VALUE"""),"Tunisia")</f>
        <v>Tunisia</v>
      </c>
      <c r="H213" s="43" t="str">
        <f>IFERROR(__xludf.DUMMYFUNCTION("""COMPUTED_VALUE"""),"HADRUMET")</f>
        <v>HADRUMET</v>
      </c>
      <c r="I213" s="43" t="str">
        <f>IFERROR(__xludf.DUMMYFUNCTION("""COMPUTED_VALUE"""),"Turkey")</f>
        <v>Turkey</v>
      </c>
      <c r="J213" s="43" t="str">
        <f>IFERROR(__xludf.DUMMYFUNCTION("""COMPUTED_VALUE"""),"ISTANBUL WEST")</f>
        <v>ISTANBUL WEST</v>
      </c>
      <c r="K213" s="44" t="str">
        <f>IFERROR(__xludf.DUMMYFUNCTION("""COMPUTED_VALUE"""),"https://expa.aiesec.org/opportunities/1293244")</f>
        <v>https://expa.aiesec.org/opportunities/1293244</v>
      </c>
      <c r="L213" s="43" t="str">
        <f>IFERROR(__xludf.DUMMYFUNCTION("""COMPUTED_VALUE"""),"GTe")</f>
        <v>GTe</v>
      </c>
      <c r="M213" s="43" t="str">
        <f>IFERROR(__xludf.DUMMYFUNCTION("""COMPUTED_VALUE"""),"long")</f>
        <v>long</v>
      </c>
      <c r="N213" s="45">
        <f>IFERROR(__xludf.DUMMYFUNCTION("""COMPUTED_VALUE"""),45043.0)</f>
        <v>45043</v>
      </c>
      <c r="O213" s="45">
        <f>IFERROR(__xludf.DUMMYFUNCTION("""COMPUTED_VALUE"""),45110.0)</f>
        <v>45110</v>
      </c>
      <c r="P213" s="45">
        <f>IFERROR(__xludf.DUMMYFUNCTION("""COMPUTED_VALUE"""),45474.0)</f>
        <v>45474</v>
      </c>
      <c r="Q213" s="45"/>
      <c r="R213" s="45"/>
      <c r="S213" s="43"/>
      <c r="T213" s="43"/>
      <c r="U213" s="43" t="str">
        <f>IFERROR(__xludf.DUMMYFUNCTION("""COMPUTED_VALUE"""),"English Teacher")</f>
        <v>English Teacher</v>
      </c>
      <c r="V213" s="43" t="str">
        <f>IFERROR(__xludf.DUMMYFUNCTION("""COMPUTED_VALUE"""),"FLSH Sousse")</f>
        <v>FLSH Sousse</v>
      </c>
      <c r="W213" s="43" t="str">
        <f>IFERROR(__xludf.DUMMYFUNCTION("""COMPUTED_VALUE"""),"2022-08-09T08:55:28Z")</f>
        <v>2022-08-09T08:55:28Z</v>
      </c>
      <c r="X213" s="43"/>
      <c r="Y213" s="43"/>
      <c r="Z213" s="43"/>
    </row>
    <row r="214" hidden="1">
      <c r="A214" s="43" t="str">
        <f>IFERROR(__xludf.DUMMYFUNCTION("""COMPUTED_VALUE"""),"5252699_1289390")</f>
        <v>5252699_1289390</v>
      </c>
      <c r="B214" s="43" t="str">
        <f>IFERROR(__xludf.DUMMYFUNCTION("""COMPUTED_VALUE"""),"SYRINE BATOUL HAMATOU")</f>
        <v>SYRINE BATOUL HAMATOU</v>
      </c>
      <c r="C214" s="43" t="str">
        <f>IFERROR(__xludf.DUMMYFUNCTION("""COMPUTED_VALUE"""),"realized")</f>
        <v>realized</v>
      </c>
      <c r="D214" s="43" t="str">
        <f>IFERROR(__xludf.DUMMYFUNCTION("""COMPUTED_VALUE"""),"No")</f>
        <v>No</v>
      </c>
      <c r="E214" s="43" t="str">
        <f>IFERROR(__xludf.DUMMYFUNCTION("""COMPUTED_VALUE"""),"p_45251bcac571fe5654db00fa686e7562c65732ce@inbound.aiesec.org")</f>
        <v>p_45251bcac571fe5654db00fa686e7562c65732ce@inbound.aiesec.org</v>
      </c>
      <c r="F214" s="43">
        <f>IFERROR(__xludf.DUMMYFUNCTION("""COMPUTED_VALUE"""),7.92833905E8)</f>
        <v>792833905</v>
      </c>
      <c r="G214" s="43" t="str">
        <f>IFERROR(__xludf.DUMMYFUNCTION("""COMPUTED_VALUE"""),"Algeria")</f>
        <v>Algeria</v>
      </c>
      <c r="H214" s="43" t="str">
        <f>IFERROR(__xludf.DUMMYFUNCTION("""COMPUTED_VALUE"""),"Constantine")</f>
        <v>Constantine</v>
      </c>
      <c r="I214" s="43" t="str">
        <f>IFERROR(__xludf.DUMMYFUNCTION("""COMPUTED_VALUE"""),"Turkey")</f>
        <v>Turkey</v>
      </c>
      <c r="J214" s="43" t="str">
        <f>IFERROR(__xludf.DUMMYFUNCTION("""COMPUTED_VALUE"""),"KOCAELI")</f>
        <v>KOCAELI</v>
      </c>
      <c r="K214" s="44" t="str">
        <f>IFERROR(__xludf.DUMMYFUNCTION("""COMPUTED_VALUE"""),"https://expa.aiesec.org/opportunities/1289390")</f>
        <v>https://expa.aiesec.org/opportunities/1289390</v>
      </c>
      <c r="L214" s="43" t="str">
        <f>IFERROR(__xludf.DUMMYFUNCTION("""COMPUTED_VALUE"""),"GTe")</f>
        <v>GTe</v>
      </c>
      <c r="M214" s="43" t="str">
        <f>IFERROR(__xludf.DUMMYFUNCTION("""COMPUTED_VALUE"""),"long")</f>
        <v>long</v>
      </c>
      <c r="N214" s="45">
        <f>IFERROR(__xludf.DUMMYFUNCTION("""COMPUTED_VALUE"""),45045.0)</f>
        <v>45045</v>
      </c>
      <c r="O214" s="45">
        <f>IFERROR(__xludf.DUMMYFUNCTION("""COMPUTED_VALUE"""),45096.0)</f>
        <v>45096</v>
      </c>
      <c r="P214" s="45">
        <f>IFERROR(__xludf.DUMMYFUNCTION("""COMPUTED_VALUE"""),45462.0)</f>
        <v>45462</v>
      </c>
      <c r="Q214" s="45">
        <f>IFERROR(__xludf.DUMMYFUNCTION("""COMPUTED_VALUE"""),45112.0)</f>
        <v>45112</v>
      </c>
      <c r="R214" s="45">
        <f>IFERROR(__xludf.DUMMYFUNCTION("""COMPUTED_VALUE"""),45476.0)</f>
        <v>45476</v>
      </c>
      <c r="S214" s="43"/>
      <c r="T214" s="43"/>
      <c r="U214" s="43" t="str">
        <f>IFERROR(__xludf.DUMMYFUNCTION("""COMPUTED_VALUE"""),"Kindergarten Teacher in Tuncay Emir Okulları")</f>
        <v>Kindergarten Teacher in Tuncay Emir Okulları</v>
      </c>
      <c r="V214" s="43" t="str">
        <f>IFERROR(__xludf.DUMMYFUNCTION("""COMPUTED_VALUE"""),"AIESEC in Constantine")</f>
        <v>AIESEC in Constantine</v>
      </c>
      <c r="W214" s="43" t="str">
        <f>IFERROR(__xludf.DUMMYFUNCTION("""COMPUTED_VALUE"""),"2023-04-29T19:27:52Z")</f>
        <v>2023-04-29T19:27:52Z</v>
      </c>
      <c r="X214" s="43"/>
      <c r="Y214" s="43"/>
      <c r="Z214" s="43"/>
    </row>
    <row r="215" hidden="1">
      <c r="A215" s="43" t="str">
        <f>IFERROR(__xludf.DUMMYFUNCTION("""COMPUTED_VALUE"""),"4122088_1291846")</f>
        <v>4122088_1291846</v>
      </c>
      <c r="B215" s="43" t="str">
        <f>IFERROR(__xludf.DUMMYFUNCTION("""COMPUTED_VALUE"""),"Nouha Benyamina")</f>
        <v>Nouha Benyamina</v>
      </c>
      <c r="C215" s="43" t="str">
        <f>IFERROR(__xludf.DUMMYFUNCTION("""COMPUTED_VALUE"""),"finished")</f>
        <v>finished</v>
      </c>
      <c r="D215" s="43" t="str">
        <f>IFERROR(__xludf.DUMMYFUNCTION("""COMPUTED_VALUE"""),"No")</f>
        <v>No</v>
      </c>
      <c r="E215" s="43" t="str">
        <f>IFERROR(__xludf.DUMMYFUNCTION("""COMPUTED_VALUE"""),"p_dc9160b529674c5ccdd646bd53a2d9a3bef10660@inbound.aiesec.org")</f>
        <v>p_dc9160b529674c5ccdd646bd53a2d9a3bef10660@inbound.aiesec.org</v>
      </c>
      <c r="F215" s="43">
        <f>IFERROR(__xludf.DUMMYFUNCTION("""COMPUTED_VALUE"""),6.10526383E8)</f>
        <v>610526383</v>
      </c>
      <c r="G215" s="43" t="str">
        <f>IFERROR(__xludf.DUMMYFUNCTION("""COMPUTED_VALUE"""),"Morocco")</f>
        <v>Morocco</v>
      </c>
      <c r="H215" s="43" t="str">
        <f>IFERROR(__xludf.DUMMYFUNCTION("""COMPUTED_VALUE"""),"Fez")</f>
        <v>Fez</v>
      </c>
      <c r="I215" s="43" t="str">
        <f>IFERROR(__xludf.DUMMYFUNCTION("""COMPUTED_VALUE"""),"Turkey")</f>
        <v>Turkey</v>
      </c>
      <c r="J215" s="43" t="str">
        <f>IFERROR(__xludf.DUMMYFUNCTION("""COMPUTED_VALUE"""),"ADANA")</f>
        <v>ADANA</v>
      </c>
      <c r="K215" s="44" t="str">
        <f>IFERROR(__xludf.DUMMYFUNCTION("""COMPUTED_VALUE"""),"https://expa.aiesec.org/opportunities/1291846")</f>
        <v>https://expa.aiesec.org/opportunities/1291846</v>
      </c>
      <c r="L215" s="43" t="str">
        <f>IFERROR(__xludf.DUMMYFUNCTION("""COMPUTED_VALUE"""),"GTe")</f>
        <v>GTe</v>
      </c>
      <c r="M215" s="43" t="str">
        <f>IFERROR(__xludf.DUMMYFUNCTION("""COMPUTED_VALUE"""),"medium")</f>
        <v>medium</v>
      </c>
      <c r="N215" s="45">
        <f>IFERROR(__xludf.DUMMYFUNCTION("""COMPUTED_VALUE"""),45045.0)</f>
        <v>45045</v>
      </c>
      <c r="O215" s="45">
        <f>IFERROR(__xludf.DUMMYFUNCTION("""COMPUTED_VALUE"""),45057.0)</f>
        <v>45057</v>
      </c>
      <c r="P215" s="45">
        <f>IFERROR(__xludf.DUMMYFUNCTION("""COMPUTED_VALUE"""),45215.0)</f>
        <v>45215</v>
      </c>
      <c r="Q215" s="45">
        <f>IFERROR(__xludf.DUMMYFUNCTION("""COMPUTED_VALUE"""),45045.0)</f>
        <v>45045</v>
      </c>
      <c r="R215" s="45">
        <f>IFERROR(__xludf.DUMMYFUNCTION("""COMPUTED_VALUE"""),45215.0)</f>
        <v>45215</v>
      </c>
      <c r="S215" s="43"/>
      <c r="T215" s="43"/>
      <c r="U215" s="43" t="str">
        <f>IFERROR(__xludf.DUMMYFUNCTION("""COMPUTED_VALUE"""),"English Teacher | TAA")</f>
        <v>English Teacher | TAA</v>
      </c>
      <c r="V215" s="43" t="str">
        <f>IFERROR(__xludf.DUMMYFUNCTION("""COMPUTED_VALUE"""),"Other-FEZ")</f>
        <v>Other-FEZ</v>
      </c>
      <c r="W215" s="43" t="str">
        <f>IFERROR(__xludf.DUMMYFUNCTION("""COMPUTED_VALUE"""),"2020-01-02T19:25:28Z")</f>
        <v>2020-01-02T19:25:28Z</v>
      </c>
      <c r="X215" s="43"/>
      <c r="Y215" s="43"/>
      <c r="Z215" s="43"/>
    </row>
    <row r="216" hidden="1">
      <c r="A216" s="43" t="str">
        <f>IFERROR(__xludf.DUMMYFUNCTION("""COMPUTED_VALUE"""),"5252704_1294674")</f>
        <v>5252704_1294674</v>
      </c>
      <c r="B216" s="43" t="str">
        <f>IFERROR(__xludf.DUMMYFUNCTION("""COMPUTED_VALUE"""),"Ольга Студілко")</f>
        <v>Ольга Студілко</v>
      </c>
      <c r="C216" s="43" t="str">
        <f>IFERROR(__xludf.DUMMYFUNCTION("""COMPUTED_VALUE"""),"completed")</f>
        <v>completed</v>
      </c>
      <c r="D216" s="43" t="str">
        <f>IFERROR(__xludf.DUMMYFUNCTION("""COMPUTED_VALUE"""),"No")</f>
        <v>No</v>
      </c>
      <c r="E216" s="43" t="str">
        <f>IFERROR(__xludf.DUMMYFUNCTION("""COMPUTED_VALUE"""),"p_d87255f48186bc2c8d48aa8de853e82de5018a17@inbound.aiesec.org")</f>
        <v>p_d87255f48186bc2c8d48aa8de853e82de5018a17@inbound.aiesec.org</v>
      </c>
      <c r="F216" s="43"/>
      <c r="G216" s="43" t="str">
        <f>IFERROR(__xludf.DUMMYFUNCTION("""COMPUTED_VALUE"""),"Ukraine")</f>
        <v>Ukraine</v>
      </c>
      <c r="H216" s="43" t="str">
        <f>IFERROR(__xludf.DUMMYFUNCTION("""COMPUTED_VALUE"""),"KYIV")</f>
        <v>KYIV</v>
      </c>
      <c r="I216" s="43" t="str">
        <f>IFERROR(__xludf.DUMMYFUNCTION("""COMPUTED_VALUE"""),"Turkey")</f>
        <v>Turkey</v>
      </c>
      <c r="J216" s="43" t="str">
        <f>IFERROR(__xludf.DUMMYFUNCTION("""COMPUTED_VALUE"""),"ISTANBUL ASIA")</f>
        <v>ISTANBUL ASIA</v>
      </c>
      <c r="K216" s="44" t="str">
        <f>IFERROR(__xludf.DUMMYFUNCTION("""COMPUTED_VALUE"""),"https://expa.aiesec.org/opportunities/1294674")</f>
        <v>https://expa.aiesec.org/opportunities/1294674</v>
      </c>
      <c r="L216" s="43" t="str">
        <f>IFERROR(__xludf.DUMMYFUNCTION("""COMPUTED_VALUE"""),"GTe")</f>
        <v>GTe</v>
      </c>
      <c r="M216" s="43" t="str">
        <f>IFERROR(__xludf.DUMMYFUNCTION("""COMPUTED_VALUE"""),"short")</f>
        <v>short</v>
      </c>
      <c r="N216" s="45">
        <f>IFERROR(__xludf.DUMMYFUNCTION("""COMPUTED_VALUE"""),45047.0)</f>
        <v>45047</v>
      </c>
      <c r="O216" s="45">
        <f>IFERROR(__xludf.DUMMYFUNCTION("""COMPUTED_VALUE"""),45096.0)</f>
        <v>45096</v>
      </c>
      <c r="P216" s="45">
        <f>IFERROR(__xludf.DUMMYFUNCTION("""COMPUTED_VALUE"""),45165.0)</f>
        <v>45165</v>
      </c>
      <c r="Q216" s="45">
        <f>IFERROR(__xludf.DUMMYFUNCTION("""COMPUTED_VALUE"""),45096.0)</f>
        <v>45096</v>
      </c>
      <c r="R216" s="45">
        <f>IFERROR(__xludf.DUMMYFUNCTION("""COMPUTED_VALUE"""),45165.0)</f>
        <v>45165</v>
      </c>
      <c r="S216" s="43"/>
      <c r="T216" s="43"/>
      <c r="U216" s="43" t="str">
        <f>IFERROR(__xludf.DUMMYFUNCTION("""COMPUTED_VALUE"""),"English Teacher")</f>
        <v>English Teacher</v>
      </c>
      <c r="V216" s="43" t="str">
        <f>IFERROR(__xludf.DUMMYFUNCTION("""COMPUTED_VALUE"""),"-")</f>
        <v>-</v>
      </c>
      <c r="W216" s="43" t="str">
        <f>IFERROR(__xludf.DUMMYFUNCTION("""COMPUTED_VALUE"""),"2023-04-29T19:39:53Z")</f>
        <v>2023-04-29T19:39:53Z</v>
      </c>
      <c r="X216" s="43"/>
      <c r="Y216" s="43"/>
      <c r="Z216" s="43"/>
    </row>
    <row r="217" hidden="1">
      <c r="A217" s="43" t="str">
        <f>IFERROR(__xludf.DUMMYFUNCTION("""COMPUTED_VALUE"""),"5241679_1287942")</f>
        <v>5241679_1287942</v>
      </c>
      <c r="B217" s="43" t="str">
        <f>IFERROR(__xludf.DUMMYFUNCTION("""COMPUTED_VALUE"""),"Intizara Arkinova")</f>
        <v>Intizara Arkinova</v>
      </c>
      <c r="C217" s="43" t="str">
        <f>IFERROR(__xludf.DUMMYFUNCTION("""COMPUTED_VALUE"""),"finished")</f>
        <v>finished</v>
      </c>
      <c r="D217" s="43" t="str">
        <f>IFERROR(__xludf.DUMMYFUNCTION("""COMPUTED_VALUE"""),"No")</f>
        <v>No</v>
      </c>
      <c r="E217" s="43" t="str">
        <f>IFERROR(__xludf.DUMMYFUNCTION("""COMPUTED_VALUE"""),"p_19493c504c7ef997563b61e1416b153519e35f02@inbound.aiesec.org")</f>
        <v>p_19493c504c7ef997563b61e1416b153519e35f02@inbound.aiesec.org</v>
      </c>
      <c r="F217" s="43">
        <f>IFERROR(__xludf.DUMMYFUNCTION("""COMPUTED_VALUE"""),7.073914172E9)</f>
        <v>7073914172</v>
      </c>
      <c r="G217" s="43" t="str">
        <f>IFERROR(__xludf.DUMMYFUNCTION("""COMPUTED_VALUE"""),"Kazakhstan")</f>
        <v>Kazakhstan</v>
      </c>
      <c r="H217" s="43" t="str">
        <f>IFERROR(__xludf.DUMMYFUNCTION("""COMPUTED_VALUE"""),"ALMATY")</f>
        <v>ALMATY</v>
      </c>
      <c r="I217" s="43" t="str">
        <f>IFERROR(__xludf.DUMMYFUNCTION("""COMPUTED_VALUE"""),"Turkey")</f>
        <v>Turkey</v>
      </c>
      <c r="J217" s="43" t="str">
        <f>IFERROR(__xludf.DUMMYFUNCTION("""COMPUTED_VALUE"""),"İZMİR")</f>
        <v>İZMİR</v>
      </c>
      <c r="K217" s="44" t="str">
        <f>IFERROR(__xludf.DUMMYFUNCTION("""COMPUTED_VALUE"""),"https://expa.aiesec.org/opportunities/1287942")</f>
        <v>https://expa.aiesec.org/opportunities/1287942</v>
      </c>
      <c r="L217" s="43" t="str">
        <f>IFERROR(__xludf.DUMMYFUNCTION("""COMPUTED_VALUE"""),"GTe")</f>
        <v>GTe</v>
      </c>
      <c r="M217" s="43" t="str">
        <f>IFERROR(__xludf.DUMMYFUNCTION("""COMPUTED_VALUE"""),"long")</f>
        <v>long</v>
      </c>
      <c r="N217" s="45">
        <f>IFERROR(__xludf.DUMMYFUNCTION("""COMPUTED_VALUE"""),45050.0)</f>
        <v>45050</v>
      </c>
      <c r="O217" s="45">
        <f>IFERROR(__xludf.DUMMYFUNCTION("""COMPUTED_VALUE"""),45046.0)</f>
        <v>45046</v>
      </c>
      <c r="P217" s="45">
        <f>IFERROR(__xludf.DUMMYFUNCTION("""COMPUTED_VALUE"""),45235.0)</f>
        <v>45235</v>
      </c>
      <c r="Q217" s="45">
        <f>IFERROR(__xludf.DUMMYFUNCTION("""COMPUTED_VALUE"""),45076.0)</f>
        <v>45076</v>
      </c>
      <c r="R217" s="45">
        <f>IFERROR(__xludf.DUMMYFUNCTION("""COMPUTED_VALUE"""),45265.0)</f>
        <v>45265</v>
      </c>
      <c r="S217" s="43"/>
      <c r="T217" s="43"/>
      <c r="U217" s="43" t="str">
        <f>IFERROR(__xludf.DUMMYFUNCTION("""COMPUTED_VALUE"""),"Kindergarten English Teacher")</f>
        <v>Kindergarten English Teacher</v>
      </c>
      <c r="V217" s="43" t="str">
        <f>IFERROR(__xludf.DUMMYFUNCTION("""COMPUTED_VALUE"""),"Almaty")</f>
        <v>Almaty</v>
      </c>
      <c r="W217" s="43" t="str">
        <f>IFERROR(__xludf.DUMMYFUNCTION("""COMPUTED_VALUE"""),"2023-04-14T03:33:20Z")</f>
        <v>2023-04-14T03:33:20Z</v>
      </c>
      <c r="X217" s="43"/>
      <c r="Y217" s="43"/>
      <c r="Z217" s="43"/>
    </row>
    <row r="218" hidden="1">
      <c r="A218" s="43" t="str">
        <f>IFERROR(__xludf.DUMMYFUNCTION("""COMPUTED_VALUE"""),"4173894_1290616")</f>
        <v>4173894_1290616</v>
      </c>
      <c r="B218" s="43" t="str">
        <f>IFERROR(__xludf.DUMMYFUNCTION("""COMPUTED_VALUE"""),"sonia atbi")</f>
        <v>sonia atbi</v>
      </c>
      <c r="C218" s="43" t="str">
        <f>IFERROR(__xludf.DUMMYFUNCTION("""COMPUTED_VALUE"""),"realized")</f>
        <v>realized</v>
      </c>
      <c r="D218" s="43" t="str">
        <f>IFERROR(__xludf.DUMMYFUNCTION("""COMPUTED_VALUE"""),"No")</f>
        <v>No</v>
      </c>
      <c r="E218" s="43" t="str">
        <f>IFERROR(__xludf.DUMMYFUNCTION("""COMPUTED_VALUE"""),"p_453f186fa8d138a9d21d45774fdca4dbb51b9204@inbound.aiesec.org")</f>
        <v>p_453f186fa8d138a9d21d45774fdca4dbb51b9204@inbound.aiesec.org</v>
      </c>
      <c r="F218" s="43">
        <f>IFERROR(__xludf.DUMMYFUNCTION("""COMPUTED_VALUE"""),5.53218374E8)</f>
        <v>553218374</v>
      </c>
      <c r="G218" s="43" t="str">
        <f>IFERROR(__xludf.DUMMYFUNCTION("""COMPUTED_VALUE"""),"Algeria")</f>
        <v>Algeria</v>
      </c>
      <c r="H218" s="43" t="str">
        <f>IFERROR(__xludf.DUMMYFUNCTION("""COMPUTED_VALUE"""),"Babez")</f>
        <v>Babez</v>
      </c>
      <c r="I218" s="43" t="str">
        <f>IFERROR(__xludf.DUMMYFUNCTION("""COMPUTED_VALUE"""),"Turkey")</f>
        <v>Turkey</v>
      </c>
      <c r="J218" s="43" t="str">
        <f>IFERROR(__xludf.DUMMYFUNCTION("""COMPUTED_VALUE"""),"ESKISEHIR")</f>
        <v>ESKISEHIR</v>
      </c>
      <c r="K218" s="44" t="str">
        <f>IFERROR(__xludf.DUMMYFUNCTION("""COMPUTED_VALUE"""),"https://expa.aiesec.org/opportunities/1290616")</f>
        <v>https://expa.aiesec.org/opportunities/1290616</v>
      </c>
      <c r="L218" s="43" t="str">
        <f>IFERROR(__xludf.DUMMYFUNCTION("""COMPUTED_VALUE"""),"GTe")</f>
        <v>GTe</v>
      </c>
      <c r="M218" s="43" t="str">
        <f>IFERROR(__xludf.DUMMYFUNCTION("""COMPUTED_VALUE"""),"long")</f>
        <v>long</v>
      </c>
      <c r="N218" s="45">
        <f>IFERROR(__xludf.DUMMYFUNCTION("""COMPUTED_VALUE"""),45052.0)</f>
        <v>45052</v>
      </c>
      <c r="O218" s="45">
        <f>IFERROR(__xludf.DUMMYFUNCTION("""COMPUTED_VALUE"""),45061.0)</f>
        <v>45061</v>
      </c>
      <c r="P218" s="45">
        <f>IFERROR(__xludf.DUMMYFUNCTION("""COMPUTED_VALUE"""),45414.0)</f>
        <v>45414</v>
      </c>
      <c r="Q218" s="45">
        <f>IFERROR(__xludf.DUMMYFUNCTION("""COMPUTED_VALUE"""),45059.0)</f>
        <v>45059</v>
      </c>
      <c r="R218" s="45">
        <f>IFERROR(__xludf.DUMMYFUNCTION("""COMPUTED_VALUE"""),45414.0)</f>
        <v>45414</v>
      </c>
      <c r="S218" s="43"/>
      <c r="T218" s="43"/>
      <c r="U218" s="43" t="str">
        <f>IFERROR(__xludf.DUMMYFUNCTION("""COMPUTED_VALUE"""),"English Teacher (Duplicated)")</f>
        <v>English Teacher (Duplicated)</v>
      </c>
      <c r="V218" s="43" t="str">
        <f>IFERROR(__xludf.DUMMYFUNCTION("""COMPUTED_VALUE"""),"-")</f>
        <v>-</v>
      </c>
      <c r="W218" s="43" t="str">
        <f>IFERROR(__xludf.DUMMYFUNCTION("""COMPUTED_VALUE"""),"2020-02-08T21:43:44Z")</f>
        <v>2020-02-08T21:43:44Z</v>
      </c>
      <c r="X218" s="43"/>
      <c r="Y218" s="43"/>
      <c r="Z218" s="43"/>
    </row>
    <row r="219" hidden="1">
      <c r="A219" s="43" t="str">
        <f>IFERROR(__xludf.DUMMYFUNCTION("""COMPUTED_VALUE"""),"5257621_1293212")</f>
        <v>5257621_1293212</v>
      </c>
      <c r="B219" s="43" t="str">
        <f>IFERROR(__xludf.DUMMYFUNCTION("""COMPUTED_VALUE"""),"Dorra Boubaker")</f>
        <v>Dorra Boubaker</v>
      </c>
      <c r="C219" s="43" t="str">
        <f>IFERROR(__xludf.DUMMYFUNCTION("""COMPUTED_VALUE"""),"realized")</f>
        <v>realized</v>
      </c>
      <c r="D219" s="43" t="str">
        <f>IFERROR(__xludf.DUMMYFUNCTION("""COMPUTED_VALUE"""),"No")</f>
        <v>No</v>
      </c>
      <c r="E219" s="43" t="str">
        <f>IFERROR(__xludf.DUMMYFUNCTION("""COMPUTED_VALUE"""),"p_9e894f743e9db1784d31db60ff52f4932e80fd1a@inbound.aiesec.org")</f>
        <v>p_9e894f743e9db1784d31db60ff52f4932e80fd1a@inbound.aiesec.org</v>
      </c>
      <c r="F219" s="43">
        <f>IFERROR(__xludf.DUMMYFUNCTION("""COMPUTED_VALUE"""),2.04475E7)</f>
        <v>20447500</v>
      </c>
      <c r="G219" s="43" t="str">
        <f>IFERROR(__xludf.DUMMYFUNCTION("""COMPUTED_VALUE"""),"Tunisia")</f>
        <v>Tunisia</v>
      </c>
      <c r="H219" s="43" t="str">
        <f>IFERROR(__xludf.DUMMYFUNCTION("""COMPUTED_VALUE"""),"Carthage")</f>
        <v>Carthage</v>
      </c>
      <c r="I219" s="43" t="str">
        <f>IFERROR(__xludf.DUMMYFUNCTION("""COMPUTED_VALUE"""),"Turkey")</f>
        <v>Turkey</v>
      </c>
      <c r="J219" s="43" t="str">
        <f>IFERROR(__xludf.DUMMYFUNCTION("""COMPUTED_VALUE"""),"KOCAELI")</f>
        <v>KOCAELI</v>
      </c>
      <c r="K219" s="44" t="str">
        <f>IFERROR(__xludf.DUMMYFUNCTION("""COMPUTED_VALUE"""),"https://expa.aiesec.org/opportunities/1293212")</f>
        <v>https://expa.aiesec.org/opportunities/1293212</v>
      </c>
      <c r="L219" s="43" t="str">
        <f>IFERROR(__xludf.DUMMYFUNCTION("""COMPUTED_VALUE"""),"GTe")</f>
        <v>GTe</v>
      </c>
      <c r="M219" s="43" t="str">
        <f>IFERROR(__xludf.DUMMYFUNCTION("""COMPUTED_VALUE"""),"long")</f>
        <v>long</v>
      </c>
      <c r="N219" s="45">
        <f>IFERROR(__xludf.DUMMYFUNCTION("""COMPUTED_VALUE"""),45054.0)</f>
        <v>45054</v>
      </c>
      <c r="O219" s="45">
        <f>IFERROR(__xludf.DUMMYFUNCTION("""COMPUTED_VALUE"""),45076.0)</f>
        <v>45076</v>
      </c>
      <c r="P219" s="45">
        <f>IFERROR(__xludf.DUMMYFUNCTION("""COMPUTED_VALUE"""),45442.0)</f>
        <v>45442</v>
      </c>
      <c r="Q219" s="45">
        <f>IFERROR(__xludf.DUMMYFUNCTION("""COMPUTED_VALUE"""),45068.0)</f>
        <v>45068</v>
      </c>
      <c r="R219" s="45">
        <f>IFERROR(__xludf.DUMMYFUNCTION("""COMPUTED_VALUE"""),45442.0)</f>
        <v>45442</v>
      </c>
      <c r="S219" s="43"/>
      <c r="T219" s="43"/>
      <c r="U219" s="43" t="str">
        <f>IFERROR(__xludf.DUMMYFUNCTION("""COMPUTED_VALUE"""),"English Teacher in Kindergarten")</f>
        <v>English Teacher in Kindergarten</v>
      </c>
      <c r="V219" s="43" t="str">
        <f>IFERROR(__xludf.DUMMYFUNCTION("""COMPUTED_VALUE"""),"Institut supérieur des cadres de l'enfance ISCE")</f>
        <v>Institut supérieur des cadres de l'enfance ISCE</v>
      </c>
      <c r="W219" s="43" t="str">
        <f>IFERROR(__xludf.DUMMYFUNCTION("""COMPUTED_VALUE"""),"2023-05-08T12:35:35Z")</f>
        <v>2023-05-08T12:35:35Z</v>
      </c>
      <c r="X219" s="43"/>
      <c r="Y219" s="43"/>
      <c r="Z219" s="43"/>
    </row>
    <row r="220" hidden="1">
      <c r="A220" s="43" t="str">
        <f>IFERROR(__xludf.DUMMYFUNCTION("""COMPUTED_VALUE"""),"5255139_1278774")</f>
        <v>5255139_1278774</v>
      </c>
      <c r="B220" s="43" t="str">
        <f>IFERROR(__xludf.DUMMYFUNCTION("""COMPUTED_VALUE"""),"douae talidi")</f>
        <v>douae talidi</v>
      </c>
      <c r="C220" s="43" t="str">
        <f>IFERROR(__xludf.DUMMYFUNCTION("""COMPUTED_VALUE"""),"realized")</f>
        <v>realized</v>
      </c>
      <c r="D220" s="43" t="str">
        <f>IFERROR(__xludf.DUMMYFUNCTION("""COMPUTED_VALUE"""),"No")</f>
        <v>No</v>
      </c>
      <c r="E220" s="43" t="str">
        <f>IFERROR(__xludf.DUMMYFUNCTION("""COMPUTED_VALUE"""),"p_5710fdf26435287fe277c6405d70699d8b2fc0bf@inbound.aiesec.org")</f>
        <v>p_5710fdf26435287fe277c6405d70699d8b2fc0bf@inbound.aiesec.org</v>
      </c>
      <c r="F220" s="43">
        <f>IFERROR(__xludf.DUMMYFUNCTION("""COMPUTED_VALUE"""),6.11213698E8)</f>
        <v>611213698</v>
      </c>
      <c r="G220" s="43" t="str">
        <f>IFERROR(__xludf.DUMMYFUNCTION("""COMPUTED_VALUE"""),"Morocco")</f>
        <v>Morocco</v>
      </c>
      <c r="H220" s="43" t="str">
        <f>IFERROR(__xludf.DUMMYFUNCTION("""COMPUTED_VALUE"""),"Meknes")</f>
        <v>Meknes</v>
      </c>
      <c r="I220" s="43" t="str">
        <f>IFERROR(__xludf.DUMMYFUNCTION("""COMPUTED_VALUE"""),"Turkey")</f>
        <v>Turkey</v>
      </c>
      <c r="J220" s="43" t="str">
        <f>IFERROR(__xludf.DUMMYFUNCTION("""COMPUTED_VALUE"""),"BURSA")</f>
        <v>BURSA</v>
      </c>
      <c r="K220" s="44" t="str">
        <f>IFERROR(__xludf.DUMMYFUNCTION("""COMPUTED_VALUE"""),"https://expa.aiesec.org/opportunities/1278774")</f>
        <v>https://expa.aiesec.org/opportunities/1278774</v>
      </c>
      <c r="L220" s="43" t="str">
        <f>IFERROR(__xludf.DUMMYFUNCTION("""COMPUTED_VALUE"""),"GTe")</f>
        <v>GTe</v>
      </c>
      <c r="M220" s="43" t="str">
        <f>IFERROR(__xludf.DUMMYFUNCTION("""COMPUTED_VALUE"""),"long")</f>
        <v>long</v>
      </c>
      <c r="N220" s="45">
        <f>IFERROR(__xludf.DUMMYFUNCTION("""COMPUTED_VALUE"""),45054.0)</f>
        <v>45054</v>
      </c>
      <c r="O220" s="45">
        <f>IFERROR(__xludf.DUMMYFUNCTION("""COMPUTED_VALUE"""),45170.0)</f>
        <v>45170</v>
      </c>
      <c r="P220" s="45">
        <f>IFERROR(__xludf.DUMMYFUNCTION("""COMPUTED_VALUE"""),45536.0)</f>
        <v>45536</v>
      </c>
      <c r="Q220" s="45">
        <f>IFERROR(__xludf.DUMMYFUNCTION("""COMPUTED_VALUE"""),45176.0)</f>
        <v>45176</v>
      </c>
      <c r="R220" s="45">
        <f>IFERROR(__xludf.DUMMYFUNCTION("""COMPUTED_VALUE"""),45540.0)</f>
        <v>45540</v>
      </c>
      <c r="S220" s="43"/>
      <c r="T220" s="43"/>
      <c r="U220" s="43" t="str">
        <f>IFERROR(__xludf.DUMMYFUNCTION("""COMPUTED_VALUE"""),"English Teaching ")</f>
        <v>English Teaching </v>
      </c>
      <c r="V220" s="43" t="str">
        <f>IFERROR(__xludf.DUMMYFUNCTION("""COMPUTED_VALUE"""),"FLSH Meknès")</f>
        <v>FLSH Meknès</v>
      </c>
      <c r="W220" s="43" t="str">
        <f>IFERROR(__xludf.DUMMYFUNCTION("""COMPUTED_VALUE"""),"2023-05-03T13:59:21Z")</f>
        <v>2023-05-03T13:59:21Z</v>
      </c>
      <c r="X220" s="43"/>
      <c r="Y220" s="43"/>
      <c r="Z220" s="43"/>
    </row>
    <row r="221" hidden="1">
      <c r="A221" s="43" t="str">
        <f>IFERROR(__xludf.DUMMYFUNCTION("""COMPUTED_VALUE"""),"5258432_1287560")</f>
        <v>5258432_1287560</v>
      </c>
      <c r="B221" s="43" t="str">
        <f>IFERROR(__xludf.DUMMYFUNCTION("""COMPUTED_VALUE"""),"Fella Boukerche")</f>
        <v>Fella Boukerche</v>
      </c>
      <c r="C221" s="43" t="str">
        <f>IFERROR(__xludf.DUMMYFUNCTION("""COMPUTED_VALUE"""),"realized")</f>
        <v>realized</v>
      </c>
      <c r="D221" s="43" t="str">
        <f>IFERROR(__xludf.DUMMYFUNCTION("""COMPUTED_VALUE"""),"No")</f>
        <v>No</v>
      </c>
      <c r="E221" s="43" t="str">
        <f>IFERROR(__xludf.DUMMYFUNCTION("""COMPUTED_VALUE"""),"p_0973c2566916846560142c76979979e3eaf2f09b@inbound.aiesec.org")</f>
        <v>p_0973c2566916846560142c76979979e3eaf2f09b@inbound.aiesec.org</v>
      </c>
      <c r="F221" s="43">
        <f>IFERROR(__xludf.DUMMYFUNCTION("""COMPUTED_VALUE"""),5.55438216E8)</f>
        <v>555438216</v>
      </c>
      <c r="G221" s="43" t="str">
        <f>IFERROR(__xludf.DUMMYFUNCTION("""COMPUTED_VALUE"""),"Algeria")</f>
        <v>Algeria</v>
      </c>
      <c r="H221" s="43" t="str">
        <f>IFERROR(__xludf.DUMMYFUNCTION("""COMPUTED_VALUE"""),"Babez")</f>
        <v>Babez</v>
      </c>
      <c r="I221" s="43" t="str">
        <f>IFERROR(__xludf.DUMMYFUNCTION("""COMPUTED_VALUE"""),"Turkey")</f>
        <v>Turkey</v>
      </c>
      <c r="J221" s="43" t="str">
        <f>IFERROR(__xludf.DUMMYFUNCTION("""COMPUTED_VALUE"""),"ANKARA")</f>
        <v>ANKARA</v>
      </c>
      <c r="K221" s="44" t="str">
        <f>IFERROR(__xludf.DUMMYFUNCTION("""COMPUTED_VALUE"""),"https://expa.aiesec.org/opportunities/1287560")</f>
        <v>https://expa.aiesec.org/opportunities/1287560</v>
      </c>
      <c r="L221" s="43" t="str">
        <f>IFERROR(__xludf.DUMMYFUNCTION("""COMPUTED_VALUE"""),"GTe")</f>
        <v>GTe</v>
      </c>
      <c r="M221" s="43" t="str">
        <f>IFERROR(__xludf.DUMMYFUNCTION("""COMPUTED_VALUE"""),"long")</f>
        <v>long</v>
      </c>
      <c r="N221" s="45">
        <f>IFERROR(__xludf.DUMMYFUNCTION("""COMPUTED_VALUE"""),45055.0)</f>
        <v>45055</v>
      </c>
      <c r="O221" s="45">
        <f>IFERROR(__xludf.DUMMYFUNCTION("""COMPUTED_VALUE"""),45110.0)</f>
        <v>45110</v>
      </c>
      <c r="P221" s="45">
        <f>IFERROR(__xludf.DUMMYFUNCTION("""COMPUTED_VALUE"""),45471.0)</f>
        <v>45471</v>
      </c>
      <c r="Q221" s="45">
        <f>IFERROR(__xludf.DUMMYFUNCTION("""COMPUTED_VALUE"""),45114.0)</f>
        <v>45114</v>
      </c>
      <c r="R221" s="45">
        <f>IFERROR(__xludf.DUMMYFUNCTION("""COMPUTED_VALUE"""),45474.0)</f>
        <v>45474</v>
      </c>
      <c r="S221" s="43"/>
      <c r="T221" s="43"/>
      <c r="U221" s="43" t="str">
        <f>IFERROR(__xludf.DUMMYFUNCTION("""COMPUTED_VALUE"""),"Kindergarten Teacher")</f>
        <v>Kindergarten Teacher</v>
      </c>
      <c r="V221" s="43" t="str">
        <f>IFERROR(__xludf.DUMMYFUNCTION("""COMPUTED_VALUE"""),"AIESEC in Babez")</f>
        <v>AIESEC in Babez</v>
      </c>
      <c r="W221" s="43" t="str">
        <f>IFERROR(__xludf.DUMMYFUNCTION("""COMPUTED_VALUE"""),"2023-05-09T16:44:37Z")</f>
        <v>2023-05-09T16:44:37Z</v>
      </c>
      <c r="X221" s="43"/>
      <c r="Y221" s="43"/>
      <c r="Z221" s="43"/>
    </row>
    <row r="222" hidden="1">
      <c r="A222" s="43" t="str">
        <f>IFERROR(__xludf.DUMMYFUNCTION("""COMPUTED_VALUE"""),"5257806_1287560")</f>
        <v>5257806_1287560</v>
      </c>
      <c r="B222" s="43" t="str">
        <f>IFERROR(__xludf.DUMMYFUNCTION("""COMPUTED_VALUE"""),"Miral Raafat")</f>
        <v>Miral Raafat</v>
      </c>
      <c r="C222" s="43" t="str">
        <f>IFERROR(__xludf.DUMMYFUNCTION("""COMPUTED_VALUE"""),"realized")</f>
        <v>realized</v>
      </c>
      <c r="D222" s="43" t="str">
        <f>IFERROR(__xludf.DUMMYFUNCTION("""COMPUTED_VALUE"""),"No")</f>
        <v>No</v>
      </c>
      <c r="E222" s="43" t="str">
        <f>IFERROR(__xludf.DUMMYFUNCTION("""COMPUTED_VALUE"""),"p_de945d2ee7d4b325ed4fc583d2e4376ed8e1d770@inbound.aiesec.org")</f>
        <v>p_de945d2ee7d4b325ed4fc583d2e4376ed8e1d770@inbound.aiesec.org</v>
      </c>
      <c r="F222" s="43">
        <f>IFERROR(__xludf.DUMMYFUNCTION("""COMPUTED_VALUE"""),1.013646419E9)</f>
        <v>1013646419</v>
      </c>
      <c r="G222" s="43" t="str">
        <f>IFERROR(__xludf.DUMMYFUNCTION("""COMPUTED_VALUE"""),"Egypt")</f>
        <v>Egypt</v>
      </c>
      <c r="H222" s="43" t="str">
        <f>IFERROR(__xludf.DUMMYFUNCTION("""COMPUTED_VALUE"""),"Alexandria")</f>
        <v>Alexandria</v>
      </c>
      <c r="I222" s="43" t="str">
        <f>IFERROR(__xludf.DUMMYFUNCTION("""COMPUTED_VALUE"""),"Turkey")</f>
        <v>Turkey</v>
      </c>
      <c r="J222" s="43" t="str">
        <f>IFERROR(__xludf.DUMMYFUNCTION("""COMPUTED_VALUE"""),"ANKARA")</f>
        <v>ANKARA</v>
      </c>
      <c r="K222" s="44" t="str">
        <f>IFERROR(__xludf.DUMMYFUNCTION("""COMPUTED_VALUE"""),"https://expa.aiesec.org/opportunities/1287560")</f>
        <v>https://expa.aiesec.org/opportunities/1287560</v>
      </c>
      <c r="L222" s="43" t="str">
        <f>IFERROR(__xludf.DUMMYFUNCTION("""COMPUTED_VALUE"""),"GTe")</f>
        <v>GTe</v>
      </c>
      <c r="M222" s="43" t="str">
        <f>IFERROR(__xludf.DUMMYFUNCTION("""COMPUTED_VALUE"""),"long")</f>
        <v>long</v>
      </c>
      <c r="N222" s="45">
        <f>IFERROR(__xludf.DUMMYFUNCTION("""COMPUTED_VALUE"""),45055.0)</f>
        <v>45055</v>
      </c>
      <c r="O222" s="45">
        <f>IFERROR(__xludf.DUMMYFUNCTION("""COMPUTED_VALUE"""),45110.0)</f>
        <v>45110</v>
      </c>
      <c r="P222" s="45">
        <f>IFERROR(__xludf.DUMMYFUNCTION("""COMPUTED_VALUE"""),45471.0)</f>
        <v>45471</v>
      </c>
      <c r="Q222" s="45">
        <f>IFERROR(__xludf.DUMMYFUNCTION("""COMPUTED_VALUE"""),45135.0)</f>
        <v>45135</v>
      </c>
      <c r="R222" s="45">
        <f>IFERROR(__xludf.DUMMYFUNCTION("""COMPUTED_VALUE"""),45495.0)</f>
        <v>45495</v>
      </c>
      <c r="S222" s="43"/>
      <c r="T222" s="43"/>
      <c r="U222" s="43" t="str">
        <f>IFERROR(__xludf.DUMMYFUNCTION("""COMPUTED_VALUE"""),"Kindergarten Teacher")</f>
        <v>Kindergarten Teacher</v>
      </c>
      <c r="V222" s="43" t="str">
        <f>IFERROR(__xludf.DUMMYFUNCTION("""COMPUTED_VALUE"""),"Alexandria University")</f>
        <v>Alexandria University</v>
      </c>
      <c r="W222" s="43" t="str">
        <f>IFERROR(__xludf.DUMMYFUNCTION("""COMPUTED_VALUE"""),"2023-05-08T16:50:47Z")</f>
        <v>2023-05-08T16:50:47Z</v>
      </c>
      <c r="X222" s="43"/>
      <c r="Y222" s="43"/>
      <c r="Z222" s="43"/>
    </row>
    <row r="223" hidden="1">
      <c r="A223" s="43" t="str">
        <f>IFERROR(__xludf.DUMMYFUNCTION("""COMPUTED_VALUE"""),"5241262_1279327")</f>
        <v>5241262_1279327</v>
      </c>
      <c r="B223" s="43" t="str">
        <f>IFERROR(__xludf.DUMMYFUNCTION("""COMPUTED_VALUE"""),"Ikram Hadid")</f>
        <v>Ikram Hadid</v>
      </c>
      <c r="C223" s="43" t="str">
        <f>IFERROR(__xludf.DUMMYFUNCTION("""COMPUTED_VALUE"""),"realized")</f>
        <v>realized</v>
      </c>
      <c r="D223" s="43" t="str">
        <f>IFERROR(__xludf.DUMMYFUNCTION("""COMPUTED_VALUE"""),"No")</f>
        <v>No</v>
      </c>
      <c r="E223" s="43" t="str">
        <f>IFERROR(__xludf.DUMMYFUNCTION("""COMPUTED_VALUE"""),"p_a0bf762103594fa189d3cfdff773c0f89db2f81a@inbound.aiesec.org")</f>
        <v>p_a0bf762103594fa189d3cfdff773c0f89db2f81a@inbound.aiesec.org</v>
      </c>
      <c r="F223" s="43"/>
      <c r="G223" s="43" t="str">
        <f>IFERROR(__xludf.DUMMYFUNCTION("""COMPUTED_VALUE"""),"Algeria")</f>
        <v>Algeria</v>
      </c>
      <c r="H223" s="43" t="str">
        <f>IFERROR(__xludf.DUMMYFUNCTION("""COMPUTED_VALUE"""),"Babez")</f>
        <v>Babez</v>
      </c>
      <c r="I223" s="43" t="str">
        <f>IFERROR(__xludf.DUMMYFUNCTION("""COMPUTED_VALUE"""),"Turkey")</f>
        <v>Turkey</v>
      </c>
      <c r="J223" s="43" t="str">
        <f>IFERROR(__xludf.DUMMYFUNCTION("""COMPUTED_VALUE"""),"KOCAELI")</f>
        <v>KOCAELI</v>
      </c>
      <c r="K223" s="44" t="str">
        <f>IFERROR(__xludf.DUMMYFUNCTION("""COMPUTED_VALUE"""),"https://expa.aiesec.org/opportunities/1279327")</f>
        <v>https://expa.aiesec.org/opportunities/1279327</v>
      </c>
      <c r="L223" s="43" t="str">
        <f>IFERROR(__xludf.DUMMYFUNCTION("""COMPUTED_VALUE"""),"GTe")</f>
        <v>GTe</v>
      </c>
      <c r="M223" s="43" t="str">
        <f>IFERROR(__xludf.DUMMYFUNCTION("""COMPUTED_VALUE"""),"long")</f>
        <v>long</v>
      </c>
      <c r="N223" s="45">
        <f>IFERROR(__xludf.DUMMYFUNCTION("""COMPUTED_VALUE"""),45055.0)</f>
        <v>45055</v>
      </c>
      <c r="O223" s="45">
        <f>IFERROR(__xludf.DUMMYFUNCTION("""COMPUTED_VALUE"""),45200.0)</f>
        <v>45200</v>
      </c>
      <c r="P223" s="45">
        <f>IFERROR(__xludf.DUMMYFUNCTION("""COMPUTED_VALUE"""),45453.0)</f>
        <v>45453</v>
      </c>
      <c r="Q223" s="45">
        <f>IFERROR(__xludf.DUMMYFUNCTION("""COMPUTED_VALUE"""),45201.0)</f>
        <v>45201</v>
      </c>
      <c r="R223" s="45">
        <f>IFERROR(__xludf.DUMMYFUNCTION("""COMPUTED_VALUE"""),45454.0)</f>
        <v>45454</v>
      </c>
      <c r="S223" s="43"/>
      <c r="T223" s="43"/>
      <c r="U223" s="43" t="str">
        <f>IFERROR(__xludf.DUMMYFUNCTION("""COMPUTED_VALUE"""),"English Teacher in DİLKO")</f>
        <v>English Teacher in DİLKO</v>
      </c>
      <c r="V223" s="43" t="str">
        <f>IFERROR(__xludf.DUMMYFUNCTION("""COMPUTED_VALUE"""),"-")</f>
        <v>-</v>
      </c>
      <c r="W223" s="43" t="str">
        <f>IFERROR(__xludf.DUMMYFUNCTION("""COMPUTED_VALUE"""),"2023-04-13T14:17:02Z")</f>
        <v>2023-04-13T14:17:02Z</v>
      </c>
      <c r="X223" s="43"/>
      <c r="Y223" s="43"/>
      <c r="Z223" s="43"/>
    </row>
    <row r="224" hidden="1">
      <c r="A224" s="43" t="str">
        <f>IFERROR(__xludf.DUMMYFUNCTION("""COMPUTED_VALUE"""),"5159567_1292127")</f>
        <v>5159567_1292127</v>
      </c>
      <c r="B224" s="43" t="str">
        <f>IFERROR(__xludf.DUMMYFUNCTION("""COMPUTED_VALUE"""),"Oumayma Mahouachi")</f>
        <v>Oumayma Mahouachi</v>
      </c>
      <c r="C224" s="43" t="str">
        <f>IFERROR(__xludf.DUMMYFUNCTION("""COMPUTED_VALUE"""),"realized")</f>
        <v>realized</v>
      </c>
      <c r="D224" s="43" t="str">
        <f>IFERROR(__xludf.DUMMYFUNCTION("""COMPUTED_VALUE"""),"No")</f>
        <v>No</v>
      </c>
      <c r="E224" s="43" t="str">
        <f>IFERROR(__xludf.DUMMYFUNCTION("""COMPUTED_VALUE"""),"p_515e693cb798707a4d80467e4a38e9726da977a1@inbound.aiesec.org")</f>
        <v>p_515e693cb798707a4d80467e4a38e9726da977a1@inbound.aiesec.org</v>
      </c>
      <c r="F224" s="43">
        <f>IFERROR(__xludf.DUMMYFUNCTION("""COMPUTED_VALUE"""),5.2060799E7)</f>
        <v>52060799</v>
      </c>
      <c r="G224" s="43" t="str">
        <f>IFERROR(__xludf.DUMMYFUNCTION("""COMPUTED_VALUE"""),"Tunisia")</f>
        <v>Tunisia</v>
      </c>
      <c r="H224" s="43" t="str">
        <f>IFERROR(__xludf.DUMMYFUNCTION("""COMPUTED_VALUE"""),"HADRUMET")</f>
        <v>HADRUMET</v>
      </c>
      <c r="I224" s="43" t="str">
        <f>IFERROR(__xludf.DUMMYFUNCTION("""COMPUTED_VALUE"""),"Turkey")</f>
        <v>Turkey</v>
      </c>
      <c r="J224" s="43" t="str">
        <f>IFERROR(__xludf.DUMMYFUNCTION("""COMPUTED_VALUE"""),"DENIZLI")</f>
        <v>DENIZLI</v>
      </c>
      <c r="K224" s="44" t="str">
        <f>IFERROR(__xludf.DUMMYFUNCTION("""COMPUTED_VALUE"""),"https://expa.aiesec.org/opportunities/1292127")</f>
        <v>https://expa.aiesec.org/opportunities/1292127</v>
      </c>
      <c r="L224" s="43" t="str">
        <f>IFERROR(__xludf.DUMMYFUNCTION("""COMPUTED_VALUE"""),"GTe")</f>
        <v>GTe</v>
      </c>
      <c r="M224" s="43" t="str">
        <f>IFERROR(__xludf.DUMMYFUNCTION("""COMPUTED_VALUE"""),"long")</f>
        <v>long</v>
      </c>
      <c r="N224" s="45">
        <f>IFERROR(__xludf.DUMMYFUNCTION("""COMPUTED_VALUE"""),45057.0)</f>
        <v>45057</v>
      </c>
      <c r="O224" s="45">
        <f>IFERROR(__xludf.DUMMYFUNCTION("""COMPUTED_VALUE"""),45076.0)</f>
        <v>45076</v>
      </c>
      <c r="P224" s="45">
        <f>IFERROR(__xludf.DUMMYFUNCTION("""COMPUTED_VALUE"""),45442.0)</f>
        <v>45442</v>
      </c>
      <c r="Q224" s="45">
        <f>IFERROR(__xludf.DUMMYFUNCTION("""COMPUTED_VALUE"""),45075.0)</f>
        <v>45075</v>
      </c>
      <c r="R224" s="45">
        <f>IFERROR(__xludf.DUMMYFUNCTION("""COMPUTED_VALUE"""),45442.0)</f>
        <v>45442</v>
      </c>
      <c r="S224" s="43"/>
      <c r="T224" s="43"/>
      <c r="U224" s="43" t="str">
        <f>IFERROR(__xludf.DUMMYFUNCTION("""COMPUTED_VALUE"""),"English Teacher")</f>
        <v>English Teacher</v>
      </c>
      <c r="V224" s="43" t="str">
        <f>IFERROR(__xludf.DUMMYFUNCTION("""COMPUTED_VALUE"""),"FLSH Sousse")</f>
        <v>FLSH Sousse</v>
      </c>
      <c r="W224" s="43" t="str">
        <f>IFERROR(__xludf.DUMMYFUNCTION("""COMPUTED_VALUE"""),"2022-11-27T19:05:51Z")</f>
        <v>2022-11-27T19:05:51Z</v>
      </c>
      <c r="X224" s="43"/>
      <c r="Y224" s="43"/>
      <c r="Z224" s="43"/>
    </row>
    <row r="225" hidden="1">
      <c r="A225" s="43" t="str">
        <f>IFERROR(__xludf.DUMMYFUNCTION("""COMPUTED_VALUE"""),"5238013_1294641")</f>
        <v>5238013_1294641</v>
      </c>
      <c r="B225" s="43" t="str">
        <f>IFERROR(__xludf.DUMMYFUNCTION("""COMPUTED_VALUE"""),"Besma Tilbi")</f>
        <v>Besma Tilbi</v>
      </c>
      <c r="C225" s="43" t="str">
        <f>IFERROR(__xludf.DUMMYFUNCTION("""COMPUTED_VALUE"""),"realized")</f>
        <v>realized</v>
      </c>
      <c r="D225" s="43" t="str">
        <f>IFERROR(__xludf.DUMMYFUNCTION("""COMPUTED_VALUE"""),"No")</f>
        <v>No</v>
      </c>
      <c r="E225" s="43" t="str">
        <f>IFERROR(__xludf.DUMMYFUNCTION("""COMPUTED_VALUE"""),"p_d7d3439f9e88c5c0c3dc0ade06fd9206a2c58a62@inbound.aiesec.org")</f>
        <v>p_d7d3439f9e88c5c0c3dc0ade06fd9206a2c58a62@inbound.aiesec.org</v>
      </c>
      <c r="F225" s="43">
        <f>IFERROR(__xludf.DUMMYFUNCTION("""COMPUTED_VALUE"""),6.56742017E8)</f>
        <v>656742017</v>
      </c>
      <c r="G225" s="43" t="str">
        <f>IFERROR(__xludf.DUMMYFUNCTION("""COMPUTED_VALUE"""),"Algeria")</f>
        <v>Algeria</v>
      </c>
      <c r="H225" s="43" t="str">
        <f>IFERROR(__xludf.DUMMYFUNCTION("""COMPUTED_VALUE"""),"Constantine")</f>
        <v>Constantine</v>
      </c>
      <c r="I225" s="43" t="str">
        <f>IFERROR(__xludf.DUMMYFUNCTION("""COMPUTED_VALUE"""),"Turkey")</f>
        <v>Turkey</v>
      </c>
      <c r="J225" s="43" t="str">
        <f>IFERROR(__xludf.DUMMYFUNCTION("""COMPUTED_VALUE"""),"ISTANBUL WEST")</f>
        <v>ISTANBUL WEST</v>
      </c>
      <c r="K225" s="44" t="str">
        <f>IFERROR(__xludf.DUMMYFUNCTION("""COMPUTED_VALUE"""),"https://expa.aiesec.org/opportunities/1294641")</f>
        <v>https://expa.aiesec.org/opportunities/1294641</v>
      </c>
      <c r="L225" s="43" t="str">
        <f>IFERROR(__xludf.DUMMYFUNCTION("""COMPUTED_VALUE"""),"GTe")</f>
        <v>GTe</v>
      </c>
      <c r="M225" s="43" t="str">
        <f>IFERROR(__xludf.DUMMYFUNCTION("""COMPUTED_VALUE"""),"long")</f>
        <v>long</v>
      </c>
      <c r="N225" s="45">
        <f>IFERROR(__xludf.DUMMYFUNCTION("""COMPUTED_VALUE"""),45057.0)</f>
        <v>45057</v>
      </c>
      <c r="O225" s="45">
        <f>IFERROR(__xludf.DUMMYFUNCTION("""COMPUTED_VALUE"""),45152.0)</f>
        <v>45152</v>
      </c>
      <c r="P225" s="45">
        <f>IFERROR(__xludf.DUMMYFUNCTION("""COMPUTED_VALUE"""),45473.0)</f>
        <v>45473</v>
      </c>
      <c r="Q225" s="45">
        <f>IFERROR(__xludf.DUMMYFUNCTION("""COMPUTED_VALUE"""),45153.0)</f>
        <v>45153</v>
      </c>
      <c r="R225" s="45">
        <f>IFERROR(__xludf.DUMMYFUNCTION("""COMPUTED_VALUE"""),45518.0)</f>
        <v>45518</v>
      </c>
      <c r="S225" s="43"/>
      <c r="T225" s="43"/>
      <c r="U225" s="43" t="str">
        <f>IFERROR(__xludf.DUMMYFUNCTION("""COMPUTED_VALUE"""),"Kindergarten Assistant Teacher at Ihsan International School in Istanbul")</f>
        <v>Kindergarten Assistant Teacher at Ihsan International School in Istanbul</v>
      </c>
      <c r="V225" s="43" t="str">
        <f>IFERROR(__xludf.DUMMYFUNCTION("""COMPUTED_VALUE"""),"AIESEC in Constantine")</f>
        <v>AIESEC in Constantine</v>
      </c>
      <c r="W225" s="43" t="str">
        <f>IFERROR(__xludf.DUMMYFUNCTION("""COMPUTED_VALUE"""),"2023-04-09T09:29:00Z")</f>
        <v>2023-04-09T09:29:00Z</v>
      </c>
      <c r="X225" s="43"/>
      <c r="Y225" s="43"/>
      <c r="Z225" s="43"/>
    </row>
    <row r="226" hidden="1">
      <c r="A226" s="43" t="str">
        <f>IFERROR(__xludf.DUMMYFUNCTION("""COMPUTED_VALUE"""),"4409833_1286368")</f>
        <v>4409833_1286368</v>
      </c>
      <c r="B226" s="43" t="str">
        <f>IFERROR(__xludf.DUMMYFUNCTION("""COMPUTED_VALUE"""),"Afef Boujemaa")</f>
        <v>Afef Boujemaa</v>
      </c>
      <c r="C226" s="43" t="str">
        <f>IFERROR(__xludf.DUMMYFUNCTION("""COMPUTED_VALUE"""),"realized")</f>
        <v>realized</v>
      </c>
      <c r="D226" s="43" t="str">
        <f>IFERROR(__xludf.DUMMYFUNCTION("""COMPUTED_VALUE"""),"No")</f>
        <v>No</v>
      </c>
      <c r="E226" s="43" t="str">
        <f>IFERROR(__xludf.DUMMYFUNCTION("""COMPUTED_VALUE"""),"p_67f2de25b63722b39dc22b30f088cd1933f71d60@inbound.aiesec.org")</f>
        <v>p_67f2de25b63722b39dc22b30f088cd1933f71d60@inbound.aiesec.org</v>
      </c>
      <c r="F226" s="43">
        <f>IFERROR(__xludf.DUMMYFUNCTION("""COMPUTED_VALUE"""),2.0276504E7)</f>
        <v>20276504</v>
      </c>
      <c r="G226" s="43" t="str">
        <f>IFERROR(__xludf.DUMMYFUNCTION("""COMPUTED_VALUE"""),"Tunisia")</f>
        <v>Tunisia</v>
      </c>
      <c r="H226" s="43" t="str">
        <f>IFERROR(__xludf.DUMMYFUNCTION("""COMPUTED_VALUE"""),"Carthage")</f>
        <v>Carthage</v>
      </c>
      <c r="I226" s="43" t="str">
        <f>IFERROR(__xludf.DUMMYFUNCTION("""COMPUTED_VALUE"""),"Turkey")</f>
        <v>Turkey</v>
      </c>
      <c r="J226" s="43" t="str">
        <f>IFERROR(__xludf.DUMMYFUNCTION("""COMPUTED_VALUE"""),"ISTANBUL ASIA")</f>
        <v>ISTANBUL ASIA</v>
      </c>
      <c r="K226" s="44" t="str">
        <f>IFERROR(__xludf.DUMMYFUNCTION("""COMPUTED_VALUE"""),"https://expa.aiesec.org/opportunities/1286368")</f>
        <v>https://expa.aiesec.org/opportunities/1286368</v>
      </c>
      <c r="L226" s="43" t="str">
        <f>IFERROR(__xludf.DUMMYFUNCTION("""COMPUTED_VALUE"""),"GTe")</f>
        <v>GTe</v>
      </c>
      <c r="M226" s="43" t="str">
        <f>IFERROR(__xludf.DUMMYFUNCTION("""COMPUTED_VALUE"""),"long")</f>
        <v>long</v>
      </c>
      <c r="N226" s="45">
        <f>IFERROR(__xludf.DUMMYFUNCTION("""COMPUTED_VALUE"""),45058.0)</f>
        <v>45058</v>
      </c>
      <c r="O226" s="45">
        <f>IFERROR(__xludf.DUMMYFUNCTION("""COMPUTED_VALUE"""),45145.0)</f>
        <v>45145</v>
      </c>
      <c r="P226" s="45">
        <f>IFERROR(__xludf.DUMMYFUNCTION("""COMPUTED_VALUE"""),45511.0)</f>
        <v>45511</v>
      </c>
      <c r="Q226" s="45">
        <f>IFERROR(__xludf.DUMMYFUNCTION("""COMPUTED_VALUE"""),45166.0)</f>
        <v>45166</v>
      </c>
      <c r="R226" s="45">
        <f>IFERROR(__xludf.DUMMYFUNCTION("""COMPUTED_VALUE"""),45532.0)</f>
        <v>45532</v>
      </c>
      <c r="S226" s="43"/>
      <c r="T226" s="43"/>
      <c r="U226" s="43" t="str">
        <f>IFERROR(__xludf.DUMMYFUNCTION("""COMPUTED_VALUE"""),"English Teacher")</f>
        <v>English Teacher</v>
      </c>
      <c r="V226" s="43" t="str">
        <f>IFERROR(__xludf.DUMMYFUNCTION("""COMPUTED_VALUE"""),"ISLT")</f>
        <v>ISLT</v>
      </c>
      <c r="W226" s="43" t="str">
        <f>IFERROR(__xludf.DUMMYFUNCTION("""COMPUTED_VALUE"""),"2020-10-29T11:52:02Z")</f>
        <v>2020-10-29T11:52:02Z</v>
      </c>
      <c r="X226" s="43"/>
      <c r="Y226" s="43"/>
      <c r="Z226" s="43"/>
    </row>
    <row r="227" hidden="1">
      <c r="A227" s="43" t="str">
        <f>IFERROR(__xludf.DUMMYFUNCTION("""COMPUTED_VALUE"""),"2210599_1281195")</f>
        <v>2210599_1281195</v>
      </c>
      <c r="B227" s="43" t="str">
        <f>IFERROR(__xludf.DUMMYFUNCTION("""COMPUTED_VALUE"""),"nayera keshk")</f>
        <v>nayera keshk</v>
      </c>
      <c r="C227" s="43" t="str">
        <f>IFERROR(__xludf.DUMMYFUNCTION("""COMPUTED_VALUE"""),"realized")</f>
        <v>realized</v>
      </c>
      <c r="D227" s="43" t="str">
        <f>IFERROR(__xludf.DUMMYFUNCTION("""COMPUTED_VALUE"""),"No")</f>
        <v>No</v>
      </c>
      <c r="E227" s="43" t="str">
        <f>IFERROR(__xludf.DUMMYFUNCTION("""COMPUTED_VALUE"""),"p_6ddd5592100f9a9912b75481aaf0fbdcb34fdf70@inbound.aiesec.org")</f>
        <v>p_6ddd5592100f9a9912b75481aaf0fbdcb34fdf70@inbound.aiesec.org</v>
      </c>
      <c r="F227" s="43">
        <f>IFERROR(__xludf.DUMMYFUNCTION("""COMPUTED_VALUE"""),1.153755097E9)</f>
        <v>1153755097</v>
      </c>
      <c r="G227" s="43" t="str">
        <f>IFERROR(__xludf.DUMMYFUNCTION("""COMPUTED_VALUE"""),"Egypt")</f>
        <v>Egypt</v>
      </c>
      <c r="H227" s="43" t="str">
        <f>IFERROR(__xludf.DUMMYFUNCTION("""COMPUTED_VALUE"""),"Alexandria")</f>
        <v>Alexandria</v>
      </c>
      <c r="I227" s="43" t="str">
        <f>IFERROR(__xludf.DUMMYFUNCTION("""COMPUTED_VALUE"""),"Turkey")</f>
        <v>Turkey</v>
      </c>
      <c r="J227" s="43" t="str">
        <f>IFERROR(__xludf.DUMMYFUNCTION("""COMPUTED_VALUE"""),"BURSA")</f>
        <v>BURSA</v>
      </c>
      <c r="K227" s="44" t="str">
        <f>IFERROR(__xludf.DUMMYFUNCTION("""COMPUTED_VALUE"""),"https://expa.aiesec.org/opportunities/1281195")</f>
        <v>https://expa.aiesec.org/opportunities/1281195</v>
      </c>
      <c r="L227" s="43" t="str">
        <f>IFERROR(__xludf.DUMMYFUNCTION("""COMPUTED_VALUE"""),"GTe")</f>
        <v>GTe</v>
      </c>
      <c r="M227" s="43" t="str">
        <f>IFERROR(__xludf.DUMMYFUNCTION("""COMPUTED_VALUE"""),"long")</f>
        <v>long</v>
      </c>
      <c r="N227" s="45">
        <f>IFERROR(__xludf.DUMMYFUNCTION("""COMPUTED_VALUE"""),45067.0)</f>
        <v>45067</v>
      </c>
      <c r="O227" s="45">
        <f>IFERROR(__xludf.DUMMYFUNCTION("""COMPUTED_VALUE"""),45156.0)</f>
        <v>45156</v>
      </c>
      <c r="P227" s="45">
        <f>IFERROR(__xludf.DUMMYFUNCTION("""COMPUTED_VALUE"""),45345.0)</f>
        <v>45345</v>
      </c>
      <c r="Q227" s="45">
        <f>IFERROR(__xludf.DUMMYFUNCTION("""COMPUTED_VALUE"""),45160.0)</f>
        <v>45160</v>
      </c>
      <c r="R227" s="45">
        <f>IFERROR(__xludf.DUMMYFUNCTION("""COMPUTED_VALUE"""),45347.0)</f>
        <v>45347</v>
      </c>
      <c r="S227" s="43"/>
      <c r="T227" s="43"/>
      <c r="U227" s="43" t="str">
        <f>IFERROR(__xludf.DUMMYFUNCTION("""COMPUTED_VALUE"""),"ENGLISH TEACHING")</f>
        <v>ENGLISH TEACHING</v>
      </c>
      <c r="V227" s="43" t="str">
        <f>IFERROR(__xludf.DUMMYFUNCTION("""COMPUTED_VALUE"""),"-")</f>
        <v>-</v>
      </c>
      <c r="W227" s="43" t="str">
        <f>IFERROR(__xludf.DUMMYFUNCTION("""COMPUTED_VALUE"""),"2018-04-18T15:40:02Z")</f>
        <v>2018-04-18T15:40:02Z</v>
      </c>
      <c r="X227" s="43"/>
      <c r="Y227" s="43"/>
      <c r="Z227" s="43"/>
    </row>
    <row r="228" hidden="1">
      <c r="A228" s="43" t="str">
        <f>IFERROR(__xludf.DUMMYFUNCTION("""COMPUTED_VALUE"""),"5264619_1287702")</f>
        <v>5264619_1287702</v>
      </c>
      <c r="B228" s="43" t="str">
        <f>IFERROR(__xludf.DUMMYFUNCTION("""COMPUTED_VALUE"""),"Manal Guelloula")</f>
        <v>Manal Guelloula</v>
      </c>
      <c r="C228" s="43" t="str">
        <f>IFERROR(__xludf.DUMMYFUNCTION("""COMPUTED_VALUE"""),"realized")</f>
        <v>realized</v>
      </c>
      <c r="D228" s="43" t="str">
        <f>IFERROR(__xludf.DUMMYFUNCTION("""COMPUTED_VALUE"""),"No")</f>
        <v>No</v>
      </c>
      <c r="E228" s="43" t="str">
        <f>IFERROR(__xludf.DUMMYFUNCTION("""COMPUTED_VALUE"""),"p_ed2b1e893f07b215dc0aaf55628e86fa20fbe5c9@inbound.aiesec.org")</f>
        <v>p_ed2b1e893f07b215dc0aaf55628e86fa20fbe5c9@inbound.aiesec.org</v>
      </c>
      <c r="F228" s="43">
        <f>IFERROR(__xludf.DUMMYFUNCTION("""COMPUTED_VALUE"""),5.50138988E8)</f>
        <v>550138988</v>
      </c>
      <c r="G228" s="43" t="str">
        <f>IFERROR(__xludf.DUMMYFUNCTION("""COMPUTED_VALUE"""),"Algeria")</f>
        <v>Algeria</v>
      </c>
      <c r="H228" s="43" t="str">
        <f>IFERROR(__xludf.DUMMYFUNCTION("""COMPUTED_VALUE"""),"Blida")</f>
        <v>Blida</v>
      </c>
      <c r="I228" s="43" t="str">
        <f>IFERROR(__xludf.DUMMYFUNCTION("""COMPUTED_VALUE"""),"Turkey")</f>
        <v>Turkey</v>
      </c>
      <c r="J228" s="43" t="str">
        <f>IFERROR(__xludf.DUMMYFUNCTION("""COMPUTED_VALUE"""),"ADANA")</f>
        <v>ADANA</v>
      </c>
      <c r="K228" s="44" t="str">
        <f>IFERROR(__xludf.DUMMYFUNCTION("""COMPUTED_VALUE"""),"https://expa.aiesec.org/opportunities/1287702")</f>
        <v>https://expa.aiesec.org/opportunities/1287702</v>
      </c>
      <c r="L228" s="43" t="str">
        <f>IFERROR(__xludf.DUMMYFUNCTION("""COMPUTED_VALUE"""),"GTe")</f>
        <v>GTe</v>
      </c>
      <c r="M228" s="43" t="str">
        <f>IFERROR(__xludf.DUMMYFUNCTION("""COMPUTED_VALUE"""),"long")</f>
        <v>long</v>
      </c>
      <c r="N228" s="45">
        <f>IFERROR(__xludf.DUMMYFUNCTION("""COMPUTED_VALUE"""),45068.0)</f>
        <v>45068</v>
      </c>
      <c r="O228" s="45">
        <f>IFERROR(__xludf.DUMMYFUNCTION("""COMPUTED_VALUE"""),45173.0)</f>
        <v>45173</v>
      </c>
      <c r="P228" s="45">
        <f>IFERROR(__xludf.DUMMYFUNCTION("""COMPUTED_VALUE"""),45471.0)</f>
        <v>45471</v>
      </c>
      <c r="Q228" s="45">
        <f>IFERROR(__xludf.DUMMYFUNCTION("""COMPUTED_VALUE"""),45173.0)</f>
        <v>45173</v>
      </c>
      <c r="R228" s="45">
        <f>IFERROR(__xludf.DUMMYFUNCTION("""COMPUTED_VALUE"""),45471.0)</f>
        <v>45471</v>
      </c>
      <c r="S228" s="43"/>
      <c r="T228" s="43"/>
      <c r="U228" s="43" t="str">
        <f>IFERROR(__xludf.DUMMYFUNCTION("""COMPUTED_VALUE"""),"English Teacher")</f>
        <v>English Teacher</v>
      </c>
      <c r="V228" s="43" t="str">
        <f>IFERROR(__xludf.DUMMYFUNCTION("""COMPUTED_VALUE"""),"AIESEC in Blida")</f>
        <v>AIESEC in Blida</v>
      </c>
      <c r="W228" s="43" t="str">
        <f>IFERROR(__xludf.DUMMYFUNCTION("""COMPUTED_VALUE"""),"2023-05-21T21:27:33Z")</f>
        <v>2023-05-21T21:27:33Z</v>
      </c>
      <c r="X228" s="43"/>
      <c r="Y228" s="43"/>
      <c r="Z228" s="43"/>
    </row>
    <row r="229" hidden="1">
      <c r="A229" s="43" t="str">
        <f>IFERROR(__xludf.DUMMYFUNCTION("""COMPUTED_VALUE"""),"5261619_1292303")</f>
        <v>5261619_1292303</v>
      </c>
      <c r="B229" s="43" t="str">
        <f>IFERROR(__xludf.DUMMYFUNCTION("""COMPUTED_VALUE"""),"Patricia Ysabel Araza")</f>
        <v>Patricia Ysabel Araza</v>
      </c>
      <c r="C229" s="43" t="str">
        <f>IFERROR(__xludf.DUMMYFUNCTION("""COMPUTED_VALUE"""),"realized")</f>
        <v>realized</v>
      </c>
      <c r="D229" s="43" t="str">
        <f>IFERROR(__xludf.DUMMYFUNCTION("""COMPUTED_VALUE"""),"No")</f>
        <v>No</v>
      </c>
      <c r="E229" s="43" t="str">
        <f>IFERROR(__xludf.DUMMYFUNCTION("""COMPUTED_VALUE"""),"p_937d96b4674bd639d87f28ef2b8d8dc00fe8e94d@inbound.aiesec.org")</f>
        <v>p_937d96b4674bd639d87f28ef2b8d8dc00fe8e94d@inbound.aiesec.org</v>
      </c>
      <c r="F229" s="43">
        <f>IFERROR(__xludf.DUMMYFUNCTION("""COMPUTED_VALUE"""),9.065823395E9)</f>
        <v>9065823395</v>
      </c>
      <c r="G229" s="43" t="str">
        <f>IFERROR(__xludf.DUMMYFUNCTION("""COMPUTED_VALUE"""),"Philippines")</f>
        <v>Philippines</v>
      </c>
      <c r="H229" s="43" t="str">
        <f>IFERROR(__xludf.DUMMYFUNCTION("""COMPUTED_VALUE"""),"De La Salle - College of St. Benilde")</f>
        <v>De La Salle - College of St. Benilde</v>
      </c>
      <c r="I229" s="43" t="str">
        <f>IFERROR(__xludf.DUMMYFUNCTION("""COMPUTED_VALUE"""),"Turkey")</f>
        <v>Turkey</v>
      </c>
      <c r="J229" s="43" t="str">
        <f>IFERROR(__xludf.DUMMYFUNCTION("""COMPUTED_VALUE"""),"ISTANBUL ASIA")</f>
        <v>ISTANBUL ASIA</v>
      </c>
      <c r="K229" s="44" t="str">
        <f>IFERROR(__xludf.DUMMYFUNCTION("""COMPUTED_VALUE"""),"https://expa.aiesec.org/opportunities/1292303")</f>
        <v>https://expa.aiesec.org/opportunities/1292303</v>
      </c>
      <c r="L229" s="43" t="str">
        <f>IFERROR(__xludf.DUMMYFUNCTION("""COMPUTED_VALUE"""),"GTe")</f>
        <v>GTe</v>
      </c>
      <c r="M229" s="43" t="str">
        <f>IFERROR(__xludf.DUMMYFUNCTION("""COMPUTED_VALUE"""),"long")</f>
        <v>long</v>
      </c>
      <c r="N229" s="45">
        <f>IFERROR(__xludf.DUMMYFUNCTION("""COMPUTED_VALUE"""),45068.0)</f>
        <v>45068</v>
      </c>
      <c r="O229" s="45">
        <f>IFERROR(__xludf.DUMMYFUNCTION("""COMPUTED_VALUE"""),45152.0)</f>
        <v>45152</v>
      </c>
      <c r="P229" s="45">
        <f>IFERROR(__xludf.DUMMYFUNCTION("""COMPUTED_VALUE"""),45520.0)</f>
        <v>45520</v>
      </c>
      <c r="Q229" s="45">
        <f>IFERROR(__xludf.DUMMYFUNCTION("""COMPUTED_VALUE"""),45153.0)</f>
        <v>45153</v>
      </c>
      <c r="R229" s="45">
        <f>IFERROR(__xludf.DUMMYFUNCTION("""COMPUTED_VALUE"""),45521.0)</f>
        <v>45521</v>
      </c>
      <c r="S229" s="43"/>
      <c r="T229" s="43"/>
      <c r="U229" s="43" t="str">
        <f>IFERROR(__xludf.DUMMYFUNCTION("""COMPUTED_VALUE"""),"French Teacher")</f>
        <v>French Teacher</v>
      </c>
      <c r="V229" s="43" t="str">
        <f>IFERROR(__xludf.DUMMYFUNCTION("""COMPUTED_VALUE"""),"De La Salle - College of St. Benilde")</f>
        <v>De La Salle - College of St. Benilde</v>
      </c>
      <c r="W229" s="43" t="str">
        <f>IFERROR(__xludf.DUMMYFUNCTION("""COMPUTED_VALUE"""),"2023-05-15T21:45:15Z")</f>
        <v>2023-05-15T21:45:15Z</v>
      </c>
      <c r="X229" s="43"/>
      <c r="Y229" s="43"/>
      <c r="Z229" s="43"/>
    </row>
    <row r="230" hidden="1">
      <c r="A230" s="43" t="str">
        <f>IFERROR(__xludf.DUMMYFUNCTION("""COMPUTED_VALUE"""),"5142948_1295293")</f>
        <v>5142948_1295293</v>
      </c>
      <c r="B230" s="43" t="str">
        <f>IFERROR(__xludf.DUMMYFUNCTION("""COMPUTED_VALUE"""),"Sagarika Ameta")</f>
        <v>Sagarika Ameta</v>
      </c>
      <c r="C230" s="43" t="str">
        <f>IFERROR(__xludf.DUMMYFUNCTION("""COMPUTED_VALUE"""),"realized")</f>
        <v>realized</v>
      </c>
      <c r="D230" s="43" t="str">
        <f>IFERROR(__xludf.DUMMYFUNCTION("""COMPUTED_VALUE"""),"No")</f>
        <v>No</v>
      </c>
      <c r="E230" s="43" t="str">
        <f>IFERROR(__xludf.DUMMYFUNCTION("""COMPUTED_VALUE"""),"p_df85b52d26f7f40d4d77ad27d2ae00cc75e1f4ab@inbound.aiesec.org")</f>
        <v>p_df85b52d26f7f40d4d77ad27d2ae00cc75e1f4ab@inbound.aiesec.org</v>
      </c>
      <c r="F230" s="43">
        <f>IFERROR(__xludf.DUMMYFUNCTION("""COMPUTED_VALUE"""),8.849845272E9)</f>
        <v>8849845272</v>
      </c>
      <c r="G230" s="43" t="str">
        <f>IFERROR(__xludf.DUMMYFUNCTION("""COMPUTED_VALUE"""),"India")</f>
        <v>India</v>
      </c>
      <c r="H230" s="43" t="str">
        <f>IFERROR(__xludf.DUMMYFUNCTION("""COMPUTED_VALUE"""),"Ahmedabad")</f>
        <v>Ahmedabad</v>
      </c>
      <c r="I230" s="43" t="str">
        <f>IFERROR(__xludf.DUMMYFUNCTION("""COMPUTED_VALUE"""),"Turkey")</f>
        <v>Turkey</v>
      </c>
      <c r="J230" s="43" t="str">
        <f>IFERROR(__xludf.DUMMYFUNCTION("""COMPUTED_VALUE"""),"KOCAELI")</f>
        <v>KOCAELI</v>
      </c>
      <c r="K230" s="44" t="str">
        <f>IFERROR(__xludf.DUMMYFUNCTION("""COMPUTED_VALUE"""),"https://expa.aiesec.org/opportunities/1295293")</f>
        <v>https://expa.aiesec.org/opportunities/1295293</v>
      </c>
      <c r="L230" s="43" t="str">
        <f>IFERROR(__xludf.DUMMYFUNCTION("""COMPUTED_VALUE"""),"GTe")</f>
        <v>GTe</v>
      </c>
      <c r="M230" s="43" t="str">
        <f>IFERROR(__xludf.DUMMYFUNCTION("""COMPUTED_VALUE"""),"long")</f>
        <v>long</v>
      </c>
      <c r="N230" s="45">
        <f>IFERROR(__xludf.DUMMYFUNCTION("""COMPUTED_VALUE"""),45069.0)</f>
        <v>45069</v>
      </c>
      <c r="O230" s="45">
        <f>IFERROR(__xludf.DUMMYFUNCTION("""COMPUTED_VALUE"""),45170.0)</f>
        <v>45170</v>
      </c>
      <c r="P230" s="45">
        <f>IFERROR(__xludf.DUMMYFUNCTION("""COMPUTED_VALUE"""),45534.0)</f>
        <v>45534</v>
      </c>
      <c r="Q230" s="45">
        <f>IFERROR(__xludf.DUMMYFUNCTION("""COMPUTED_VALUE"""),45169.0)</f>
        <v>45169</v>
      </c>
      <c r="R230" s="45">
        <f>IFERROR(__xludf.DUMMYFUNCTION("""COMPUTED_VALUE"""),45534.0)</f>
        <v>45534</v>
      </c>
      <c r="S230" s="43"/>
      <c r="T230" s="43"/>
      <c r="U230" s="43" t="str">
        <f>IFERROR(__xludf.DUMMYFUNCTION("""COMPUTED_VALUE"""),"English Teacher in Vahide Yılmaz Kindergarden")</f>
        <v>English Teacher in Vahide Yılmaz Kindergarden</v>
      </c>
      <c r="V230" s="43" t="str">
        <f>IFERROR(__xludf.DUMMYFUNCTION("""COMPUTED_VALUE"""),"National Institute of Design (NID), Ahmedabad")</f>
        <v>National Institute of Design (NID), Ahmedabad</v>
      </c>
      <c r="W230" s="43" t="str">
        <f>IFERROR(__xludf.DUMMYFUNCTION("""COMPUTED_VALUE"""),"2022-10-29T20:49:10Z")</f>
        <v>2022-10-29T20:49:10Z</v>
      </c>
      <c r="X230" s="43"/>
      <c r="Y230" s="43"/>
      <c r="Z230" s="43"/>
    </row>
    <row r="231" hidden="1">
      <c r="A231" s="43" t="str">
        <f>IFERROR(__xludf.DUMMYFUNCTION("""COMPUTED_VALUE"""),"4703856_1293242")</f>
        <v>4703856_1293242</v>
      </c>
      <c r="B231" s="43" t="str">
        <f>IFERROR(__xludf.DUMMYFUNCTION("""COMPUTED_VALUE"""),"Arij Ben Amor")</f>
        <v>Arij Ben Amor</v>
      </c>
      <c r="C231" s="43" t="str">
        <f>IFERROR(__xludf.DUMMYFUNCTION("""COMPUTED_VALUE"""),"realized")</f>
        <v>realized</v>
      </c>
      <c r="D231" s="43" t="str">
        <f>IFERROR(__xludf.DUMMYFUNCTION("""COMPUTED_VALUE"""),"No")</f>
        <v>No</v>
      </c>
      <c r="E231" s="43" t="str">
        <f>IFERROR(__xludf.DUMMYFUNCTION("""COMPUTED_VALUE"""),"p_4c12d91b4382574dc861f1088acbcf9dd7eace50@inbound.aiesec.org")</f>
        <v>p_4c12d91b4382574dc861f1088acbcf9dd7eace50@inbound.aiesec.org</v>
      </c>
      <c r="F231" s="43">
        <f>IFERROR(__xludf.DUMMYFUNCTION("""COMPUTED_VALUE"""),9.4835122E7)</f>
        <v>94835122</v>
      </c>
      <c r="G231" s="43" t="str">
        <f>IFERROR(__xludf.DUMMYFUNCTION("""COMPUTED_VALUE"""),"Tunisia")</f>
        <v>Tunisia</v>
      </c>
      <c r="H231" s="43" t="str">
        <f>IFERROR(__xludf.DUMMYFUNCTION("""COMPUTED_VALUE"""),"RUSPINA")</f>
        <v>RUSPINA</v>
      </c>
      <c r="I231" s="43" t="str">
        <f>IFERROR(__xludf.DUMMYFUNCTION("""COMPUTED_VALUE"""),"Turkey")</f>
        <v>Turkey</v>
      </c>
      <c r="J231" s="43" t="str">
        <f>IFERROR(__xludf.DUMMYFUNCTION("""COMPUTED_VALUE"""),"ISTANBUL WEST")</f>
        <v>ISTANBUL WEST</v>
      </c>
      <c r="K231" s="44" t="str">
        <f>IFERROR(__xludf.DUMMYFUNCTION("""COMPUTED_VALUE"""),"https://expa.aiesec.org/opportunities/1293242")</f>
        <v>https://expa.aiesec.org/opportunities/1293242</v>
      </c>
      <c r="L231" s="43" t="str">
        <f>IFERROR(__xludf.DUMMYFUNCTION("""COMPUTED_VALUE"""),"GTe")</f>
        <v>GTe</v>
      </c>
      <c r="M231" s="43" t="str">
        <f>IFERROR(__xludf.DUMMYFUNCTION("""COMPUTED_VALUE"""),"long")</f>
        <v>long</v>
      </c>
      <c r="N231" s="45">
        <f>IFERROR(__xludf.DUMMYFUNCTION("""COMPUTED_VALUE"""),45069.0)</f>
        <v>45069</v>
      </c>
      <c r="O231" s="45">
        <f>IFERROR(__xludf.DUMMYFUNCTION("""COMPUTED_VALUE"""),45082.0)</f>
        <v>45082</v>
      </c>
      <c r="P231" s="45">
        <f>IFERROR(__xludf.DUMMYFUNCTION("""COMPUTED_VALUE"""),45444.0)</f>
        <v>45444</v>
      </c>
      <c r="Q231" s="45">
        <f>IFERROR(__xludf.DUMMYFUNCTION("""COMPUTED_VALUE"""),45083.0)</f>
        <v>45083</v>
      </c>
      <c r="R231" s="45">
        <f>IFERROR(__xludf.DUMMYFUNCTION("""COMPUTED_VALUE"""),45445.0)</f>
        <v>45445</v>
      </c>
      <c r="S231" s="43"/>
      <c r="T231" s="43"/>
      <c r="U231" s="43" t="str">
        <f>IFERROR(__xludf.DUMMYFUNCTION("""COMPUTED_VALUE"""),"English Teacher")</f>
        <v>English Teacher</v>
      </c>
      <c r="V231" s="43" t="str">
        <f>IFERROR(__xludf.DUMMYFUNCTION("""COMPUTED_VALUE"""),"ISLAA Moknine")</f>
        <v>ISLAA Moknine</v>
      </c>
      <c r="W231" s="43" t="str">
        <f>IFERROR(__xludf.DUMMYFUNCTION("""COMPUTED_VALUE"""),"2021-08-04T09:33:10Z")</f>
        <v>2021-08-04T09:33:10Z</v>
      </c>
      <c r="X231" s="43"/>
      <c r="Y231" s="43"/>
      <c r="Z231" s="43"/>
    </row>
    <row r="232" hidden="1">
      <c r="A232" s="43" t="str">
        <f>IFERROR(__xludf.DUMMYFUNCTION("""COMPUTED_VALUE"""),"5222156_1295124")</f>
        <v>5222156_1295124</v>
      </c>
      <c r="B232" s="43" t="str">
        <f>IFERROR(__xludf.DUMMYFUNCTION("""COMPUTED_VALUE"""),"Wafaa Salem")</f>
        <v>Wafaa Salem</v>
      </c>
      <c r="C232" s="43" t="str">
        <f>IFERROR(__xludf.DUMMYFUNCTION("""COMPUTED_VALUE"""),"realized")</f>
        <v>realized</v>
      </c>
      <c r="D232" s="43" t="str">
        <f>IFERROR(__xludf.DUMMYFUNCTION("""COMPUTED_VALUE"""),"No")</f>
        <v>No</v>
      </c>
      <c r="E232" s="43" t="str">
        <f>IFERROR(__xludf.DUMMYFUNCTION("""COMPUTED_VALUE"""),"p_0b07ba3585551f80a83d0412564dd4d0bb3dcc38@inbound.aiesec.org")</f>
        <v>p_0b07ba3585551f80a83d0412564dd4d0bb3dcc38@inbound.aiesec.org</v>
      </c>
      <c r="F232" s="43">
        <f>IFERROR(__xludf.DUMMYFUNCTION("""COMPUTED_VALUE"""),1.112249461E9)</f>
        <v>1112249461</v>
      </c>
      <c r="G232" s="43" t="str">
        <f>IFERROR(__xludf.DUMMYFUNCTION("""COMPUTED_VALUE"""),"Egypt")</f>
        <v>Egypt</v>
      </c>
      <c r="H232" s="43" t="str">
        <f>IFERROR(__xludf.DUMMYFUNCTION("""COMPUTED_VALUE"""),"Mansoura")</f>
        <v>Mansoura</v>
      </c>
      <c r="I232" s="43" t="str">
        <f>IFERROR(__xludf.DUMMYFUNCTION("""COMPUTED_VALUE"""),"Turkey")</f>
        <v>Turkey</v>
      </c>
      <c r="J232" s="43" t="str">
        <f>IFERROR(__xludf.DUMMYFUNCTION("""COMPUTED_VALUE"""),"TRABZON")</f>
        <v>TRABZON</v>
      </c>
      <c r="K232" s="44" t="str">
        <f>IFERROR(__xludf.DUMMYFUNCTION("""COMPUTED_VALUE"""),"https://expa.aiesec.org/opportunities/1295124")</f>
        <v>https://expa.aiesec.org/opportunities/1295124</v>
      </c>
      <c r="L232" s="43" t="str">
        <f>IFERROR(__xludf.DUMMYFUNCTION("""COMPUTED_VALUE"""),"GTe")</f>
        <v>GTe</v>
      </c>
      <c r="M232" s="43" t="str">
        <f>IFERROR(__xludf.DUMMYFUNCTION("""COMPUTED_VALUE"""),"long")</f>
        <v>long</v>
      </c>
      <c r="N232" s="45">
        <f>IFERROR(__xludf.DUMMYFUNCTION("""COMPUTED_VALUE"""),45071.0)</f>
        <v>45071</v>
      </c>
      <c r="O232" s="45">
        <f>IFERROR(__xludf.DUMMYFUNCTION("""COMPUTED_VALUE"""),45166.0)</f>
        <v>45166</v>
      </c>
      <c r="P232" s="45">
        <f>IFERROR(__xludf.DUMMYFUNCTION("""COMPUTED_VALUE"""),45463.0)</f>
        <v>45463</v>
      </c>
      <c r="Q232" s="45">
        <f>IFERROR(__xludf.DUMMYFUNCTION("""COMPUTED_VALUE"""),45190.0)</f>
        <v>45190</v>
      </c>
      <c r="R232" s="45">
        <f>IFERROR(__xludf.DUMMYFUNCTION("""COMPUTED_VALUE"""),45488.0)</f>
        <v>45488</v>
      </c>
      <c r="S232" s="43"/>
      <c r="T232" s="43"/>
      <c r="U232" s="43" t="str">
        <f>IFERROR(__xludf.DUMMYFUNCTION("""COMPUTED_VALUE"""),"English Teacher")</f>
        <v>English Teacher</v>
      </c>
      <c r="V232" s="43" t="str">
        <f>IFERROR(__xludf.DUMMYFUNCTION("""COMPUTED_VALUE"""),"Mansoura")</f>
        <v>Mansoura</v>
      </c>
      <c r="W232" s="43" t="str">
        <f>IFERROR(__xludf.DUMMYFUNCTION("""COMPUTED_VALUE"""),"2023-03-20T23:35:22Z")</f>
        <v>2023-03-20T23:35:22Z</v>
      </c>
      <c r="X232" s="43"/>
      <c r="Y232" s="43"/>
      <c r="Z232" s="43"/>
    </row>
    <row r="233" hidden="1">
      <c r="A233" s="43" t="str">
        <f>IFERROR(__xludf.DUMMYFUNCTION("""COMPUTED_VALUE"""),"5148934_1294785")</f>
        <v>5148934_1294785</v>
      </c>
      <c r="B233" s="43" t="str">
        <f>IFERROR(__xludf.DUMMYFUNCTION("""COMPUTED_VALUE"""),"Hanaa Mezara")</f>
        <v>Hanaa Mezara</v>
      </c>
      <c r="C233" s="43" t="str">
        <f>IFERROR(__xludf.DUMMYFUNCTION("""COMPUTED_VALUE"""),"realized")</f>
        <v>realized</v>
      </c>
      <c r="D233" s="43" t="str">
        <f>IFERROR(__xludf.DUMMYFUNCTION("""COMPUTED_VALUE"""),"No")</f>
        <v>No</v>
      </c>
      <c r="E233" s="43" t="str">
        <f>IFERROR(__xludf.DUMMYFUNCTION("""COMPUTED_VALUE"""),"p_12f2c3a139b8675eb23f14ae3701e9b77f640e01@inbound.aiesec.org")</f>
        <v>p_12f2c3a139b8675eb23f14ae3701e9b77f640e01@inbound.aiesec.org</v>
      </c>
      <c r="F233" s="43"/>
      <c r="G233" s="43" t="str">
        <f>IFERROR(__xludf.DUMMYFUNCTION("""COMPUTED_VALUE"""),"Algeria")</f>
        <v>Algeria</v>
      </c>
      <c r="H233" s="43" t="str">
        <f>IFERROR(__xludf.DUMMYFUNCTION("""COMPUTED_VALUE"""),"Oran")</f>
        <v>Oran</v>
      </c>
      <c r="I233" s="43" t="str">
        <f>IFERROR(__xludf.DUMMYFUNCTION("""COMPUTED_VALUE"""),"Turkey")</f>
        <v>Turkey</v>
      </c>
      <c r="J233" s="43" t="str">
        <f>IFERROR(__xludf.DUMMYFUNCTION("""COMPUTED_VALUE"""),"ADANA")</f>
        <v>ADANA</v>
      </c>
      <c r="K233" s="44" t="str">
        <f>IFERROR(__xludf.DUMMYFUNCTION("""COMPUTED_VALUE"""),"https://expa.aiesec.org/opportunities/1294785")</f>
        <v>https://expa.aiesec.org/opportunities/1294785</v>
      </c>
      <c r="L233" s="43" t="str">
        <f>IFERROR(__xludf.DUMMYFUNCTION("""COMPUTED_VALUE"""),"GTe")</f>
        <v>GTe</v>
      </c>
      <c r="M233" s="43" t="str">
        <f>IFERROR(__xludf.DUMMYFUNCTION("""COMPUTED_VALUE"""),"long")</f>
        <v>long</v>
      </c>
      <c r="N233" s="45">
        <f>IFERROR(__xludf.DUMMYFUNCTION("""COMPUTED_VALUE"""),45071.0)</f>
        <v>45071</v>
      </c>
      <c r="O233" s="45">
        <f>IFERROR(__xludf.DUMMYFUNCTION("""COMPUTED_VALUE"""),45158.0)</f>
        <v>45158</v>
      </c>
      <c r="P233" s="45">
        <f>IFERROR(__xludf.DUMMYFUNCTION("""COMPUTED_VALUE"""),45524.0)</f>
        <v>45524</v>
      </c>
      <c r="Q233" s="45">
        <f>IFERROR(__xludf.DUMMYFUNCTION("""COMPUTED_VALUE"""),45159.0)</f>
        <v>45159</v>
      </c>
      <c r="R233" s="45">
        <f>IFERROR(__xludf.DUMMYFUNCTION("""COMPUTED_VALUE"""),45525.0)</f>
        <v>45525</v>
      </c>
      <c r="S233" s="43"/>
      <c r="T233" s="43"/>
      <c r="U233" s="43" t="str">
        <f>IFERROR(__xludf.DUMMYFUNCTION("""COMPUTED_VALUE"""),"English Teacher")</f>
        <v>English Teacher</v>
      </c>
      <c r="V233" s="43" t="str">
        <f>IFERROR(__xludf.DUMMYFUNCTION("""COMPUTED_VALUE"""),"AIESEC in Oran")</f>
        <v>AIESEC in Oran</v>
      </c>
      <c r="W233" s="43" t="str">
        <f>IFERROR(__xludf.DUMMYFUNCTION("""COMPUTED_VALUE"""),"2022-11-07T21:20:22Z")</f>
        <v>2022-11-07T21:20:22Z</v>
      </c>
      <c r="X233" s="43"/>
      <c r="Y233" s="43"/>
      <c r="Z233" s="43"/>
    </row>
    <row r="234" hidden="1">
      <c r="A234" s="43" t="str">
        <f>IFERROR(__xludf.DUMMYFUNCTION("""COMPUTED_VALUE"""),"1380707_1294941")</f>
        <v>1380707_1294941</v>
      </c>
      <c r="B234" s="43" t="str">
        <f>IFERROR(__xludf.DUMMYFUNCTION("""COMPUTED_VALUE"""),"ibrahim ELeraky")</f>
        <v>ibrahim ELeraky</v>
      </c>
      <c r="C234" s="43" t="str">
        <f>IFERROR(__xludf.DUMMYFUNCTION("""COMPUTED_VALUE"""),"realized")</f>
        <v>realized</v>
      </c>
      <c r="D234" s="43" t="str">
        <f>IFERROR(__xludf.DUMMYFUNCTION("""COMPUTED_VALUE"""),"No")</f>
        <v>No</v>
      </c>
      <c r="E234" s="43" t="str">
        <f>IFERROR(__xludf.DUMMYFUNCTION("""COMPUTED_VALUE"""),"p_a8fb7ab7d403eb3898a975829525b65d1ee37f15@inbound.aiesec.org")</f>
        <v>p_a8fb7ab7d403eb3898a975829525b65d1ee37f15@inbound.aiesec.org</v>
      </c>
      <c r="F234" s="43">
        <f>IFERROR(__xludf.DUMMYFUNCTION("""COMPUTED_VALUE"""),1.551212127E9)</f>
        <v>1551212127</v>
      </c>
      <c r="G234" s="43" t="str">
        <f>IFERROR(__xludf.DUMMYFUNCTION("""COMPUTED_VALUE"""),"Egypt")</f>
        <v>Egypt</v>
      </c>
      <c r="H234" s="43" t="str">
        <f>IFERROR(__xludf.DUMMYFUNCTION("""COMPUTED_VALUE"""),"MC Egypt")</f>
        <v>MC Egypt</v>
      </c>
      <c r="I234" s="43" t="str">
        <f>IFERROR(__xludf.DUMMYFUNCTION("""COMPUTED_VALUE"""),"Turkey")</f>
        <v>Turkey</v>
      </c>
      <c r="J234" s="43" t="str">
        <f>IFERROR(__xludf.DUMMYFUNCTION("""COMPUTED_VALUE"""),"ADANA")</f>
        <v>ADANA</v>
      </c>
      <c r="K234" s="44" t="str">
        <f>IFERROR(__xludf.DUMMYFUNCTION("""COMPUTED_VALUE"""),"https://expa.aiesec.org/opportunities/1294941")</f>
        <v>https://expa.aiesec.org/opportunities/1294941</v>
      </c>
      <c r="L234" s="43" t="str">
        <f>IFERROR(__xludf.DUMMYFUNCTION("""COMPUTED_VALUE"""),"GTe")</f>
        <v>GTe</v>
      </c>
      <c r="M234" s="43" t="str">
        <f>IFERROR(__xludf.DUMMYFUNCTION("""COMPUTED_VALUE"""),"long")</f>
        <v>long</v>
      </c>
      <c r="N234" s="45">
        <f>IFERROR(__xludf.DUMMYFUNCTION("""COMPUTED_VALUE"""),45075.0)</f>
        <v>45075</v>
      </c>
      <c r="O234" s="45">
        <f>IFERROR(__xludf.DUMMYFUNCTION("""COMPUTED_VALUE"""),45153.0)</f>
        <v>45153</v>
      </c>
      <c r="P234" s="45">
        <f>IFERROR(__xludf.DUMMYFUNCTION("""COMPUTED_VALUE"""),45474.0)</f>
        <v>45474</v>
      </c>
      <c r="Q234" s="45">
        <f>IFERROR(__xludf.DUMMYFUNCTION("""COMPUTED_VALUE"""),45183.0)</f>
        <v>45183</v>
      </c>
      <c r="R234" s="45">
        <f>IFERROR(__xludf.DUMMYFUNCTION("""COMPUTED_VALUE"""),45504.0)</f>
        <v>45504</v>
      </c>
      <c r="S234" s="43"/>
      <c r="T234" s="43"/>
      <c r="U234" s="43" t="str">
        <f>IFERROR(__xludf.DUMMYFUNCTION("""COMPUTED_VALUE"""),"English Teaching in Diyarbakır TED")</f>
        <v>English Teaching in Diyarbakır TED</v>
      </c>
      <c r="V234" s="43" t="str">
        <f>IFERROR(__xludf.DUMMYFUNCTION("""COMPUTED_VALUE"""),"-")</f>
        <v>-</v>
      </c>
      <c r="W234" s="43" t="str">
        <f>IFERROR(__xludf.DUMMYFUNCTION("""COMPUTED_VALUE"""),"2017-02-24T18:58:02Z")</f>
        <v>2017-02-24T18:58:02Z</v>
      </c>
      <c r="X234" s="43"/>
      <c r="Y234" s="43"/>
      <c r="Z234" s="43"/>
    </row>
    <row r="235" hidden="1">
      <c r="A235" s="43" t="str">
        <f>IFERROR(__xludf.DUMMYFUNCTION("""COMPUTED_VALUE"""),"5267652_1294941")</f>
        <v>5267652_1294941</v>
      </c>
      <c r="B235" s="43" t="str">
        <f>IFERROR(__xludf.DUMMYFUNCTION("""COMPUTED_VALUE"""),"yosr rebai")</f>
        <v>yosr rebai</v>
      </c>
      <c r="C235" s="43" t="str">
        <f>IFERROR(__xludf.DUMMYFUNCTION("""COMPUTED_VALUE"""),"realized")</f>
        <v>realized</v>
      </c>
      <c r="D235" s="43" t="str">
        <f>IFERROR(__xludf.DUMMYFUNCTION("""COMPUTED_VALUE"""),"No")</f>
        <v>No</v>
      </c>
      <c r="E235" s="43" t="str">
        <f>IFERROR(__xludf.DUMMYFUNCTION("""COMPUTED_VALUE"""),"p_5a796c2985c88b59b9978c35e704b8d1aea503f5@inbound.aiesec.org")</f>
        <v>p_5a796c2985c88b59b9978c35e704b8d1aea503f5@inbound.aiesec.org</v>
      </c>
      <c r="F235" s="43">
        <f>IFERROR(__xludf.DUMMYFUNCTION("""COMPUTED_VALUE"""),5.005878E7)</f>
        <v>50058780</v>
      </c>
      <c r="G235" s="43" t="str">
        <f>IFERROR(__xludf.DUMMYFUNCTION("""COMPUTED_VALUE"""),"Tunisia")</f>
        <v>Tunisia</v>
      </c>
      <c r="H235" s="43" t="str">
        <f>IFERROR(__xludf.DUMMYFUNCTION("""COMPUTED_VALUE"""),"BARDO")</f>
        <v>BARDO</v>
      </c>
      <c r="I235" s="43" t="str">
        <f>IFERROR(__xludf.DUMMYFUNCTION("""COMPUTED_VALUE"""),"Turkey")</f>
        <v>Turkey</v>
      </c>
      <c r="J235" s="43" t="str">
        <f>IFERROR(__xludf.DUMMYFUNCTION("""COMPUTED_VALUE"""),"ADANA")</f>
        <v>ADANA</v>
      </c>
      <c r="K235" s="44" t="str">
        <f>IFERROR(__xludf.DUMMYFUNCTION("""COMPUTED_VALUE"""),"https://expa.aiesec.org/opportunities/1294941")</f>
        <v>https://expa.aiesec.org/opportunities/1294941</v>
      </c>
      <c r="L235" s="43" t="str">
        <f>IFERROR(__xludf.DUMMYFUNCTION("""COMPUTED_VALUE"""),"GTe")</f>
        <v>GTe</v>
      </c>
      <c r="M235" s="43" t="str">
        <f>IFERROR(__xludf.DUMMYFUNCTION("""COMPUTED_VALUE"""),"long")</f>
        <v>long</v>
      </c>
      <c r="N235" s="45">
        <f>IFERROR(__xludf.DUMMYFUNCTION("""COMPUTED_VALUE"""),45075.0)</f>
        <v>45075</v>
      </c>
      <c r="O235" s="45">
        <f>IFERROR(__xludf.DUMMYFUNCTION("""COMPUTED_VALUE"""),45153.0)</f>
        <v>45153</v>
      </c>
      <c r="P235" s="45">
        <f>IFERROR(__xludf.DUMMYFUNCTION("""COMPUTED_VALUE"""),45474.0)</f>
        <v>45474</v>
      </c>
      <c r="Q235" s="45">
        <f>IFERROR(__xludf.DUMMYFUNCTION("""COMPUTED_VALUE"""),45177.0)</f>
        <v>45177</v>
      </c>
      <c r="R235" s="45">
        <f>IFERROR(__xludf.DUMMYFUNCTION("""COMPUTED_VALUE"""),45497.0)</f>
        <v>45497</v>
      </c>
      <c r="S235" s="43"/>
      <c r="T235" s="43"/>
      <c r="U235" s="43" t="str">
        <f>IFERROR(__xludf.DUMMYFUNCTION("""COMPUTED_VALUE"""),"English Teaching in Diyarbakır TED")</f>
        <v>English Teaching in Diyarbakır TED</v>
      </c>
      <c r="V235" s="43" t="str">
        <f>IFERROR(__xludf.DUMMYFUNCTION("""COMPUTED_VALUE"""),"Institut supérieur des études appliquées en humanités  ISEAH kef")</f>
        <v>Institut supérieur des études appliquées en humanités  ISEAH kef</v>
      </c>
      <c r="W235" s="43" t="str">
        <f>IFERROR(__xludf.DUMMYFUNCTION("""COMPUTED_VALUE"""),"2023-05-27T17:33:38Z")</f>
        <v>2023-05-27T17:33:38Z</v>
      </c>
      <c r="X235" s="43"/>
      <c r="Y235" s="43"/>
      <c r="Z235" s="43"/>
    </row>
    <row r="236" hidden="1">
      <c r="A236" s="43" t="str">
        <f>IFERROR(__xludf.DUMMYFUNCTION("""COMPUTED_VALUE"""),"5258090_1286368")</f>
        <v>5258090_1286368</v>
      </c>
      <c r="B236" s="43" t="str">
        <f>IFERROR(__xludf.DUMMYFUNCTION("""COMPUTED_VALUE"""),"Leylakhanim Jafarova")</f>
        <v>Leylakhanim Jafarova</v>
      </c>
      <c r="C236" s="43" t="str">
        <f>IFERROR(__xludf.DUMMYFUNCTION("""COMPUTED_VALUE"""),"realized")</f>
        <v>realized</v>
      </c>
      <c r="D236" s="43" t="str">
        <f>IFERROR(__xludf.DUMMYFUNCTION("""COMPUTED_VALUE"""),"No")</f>
        <v>No</v>
      </c>
      <c r="E236" s="43" t="str">
        <f>IFERROR(__xludf.DUMMYFUNCTION("""COMPUTED_VALUE"""),"p_2e9315142346b23587d49f59ddb6c5f2b3969194@inbound.aiesec.org")</f>
        <v>p_2e9315142346b23587d49f59ddb6c5f2b3969194@inbound.aiesec.org</v>
      </c>
      <c r="F236" s="43">
        <f>IFERROR(__xludf.DUMMYFUNCTION("""COMPUTED_VALUE"""),5.59696448E8)</f>
        <v>559696448</v>
      </c>
      <c r="G236" s="43" t="str">
        <f>IFERROR(__xludf.DUMMYFUNCTION("""COMPUTED_VALUE"""),"Azerbaijan")</f>
        <v>Azerbaijan</v>
      </c>
      <c r="H236" s="43" t="str">
        <f>IFERROR(__xludf.DUMMYFUNCTION("""COMPUTED_VALUE"""),"Baku Qafqaz")</f>
        <v>Baku Qafqaz</v>
      </c>
      <c r="I236" s="43" t="str">
        <f>IFERROR(__xludf.DUMMYFUNCTION("""COMPUTED_VALUE"""),"Turkey")</f>
        <v>Turkey</v>
      </c>
      <c r="J236" s="43" t="str">
        <f>IFERROR(__xludf.DUMMYFUNCTION("""COMPUTED_VALUE"""),"ISTANBUL ASIA")</f>
        <v>ISTANBUL ASIA</v>
      </c>
      <c r="K236" s="44" t="str">
        <f>IFERROR(__xludf.DUMMYFUNCTION("""COMPUTED_VALUE"""),"https://expa.aiesec.org/opportunities/1286368")</f>
        <v>https://expa.aiesec.org/opportunities/1286368</v>
      </c>
      <c r="L236" s="43" t="str">
        <f>IFERROR(__xludf.DUMMYFUNCTION("""COMPUTED_VALUE"""),"GTe")</f>
        <v>GTe</v>
      </c>
      <c r="M236" s="43" t="str">
        <f>IFERROR(__xludf.DUMMYFUNCTION("""COMPUTED_VALUE"""),"long")</f>
        <v>long</v>
      </c>
      <c r="N236" s="45">
        <f>IFERROR(__xludf.DUMMYFUNCTION("""COMPUTED_VALUE"""),45075.0)</f>
        <v>45075</v>
      </c>
      <c r="O236" s="45">
        <f>IFERROR(__xludf.DUMMYFUNCTION("""COMPUTED_VALUE"""),45145.0)</f>
        <v>45145</v>
      </c>
      <c r="P236" s="45">
        <f>IFERROR(__xludf.DUMMYFUNCTION("""COMPUTED_VALUE"""),45511.0)</f>
        <v>45511</v>
      </c>
      <c r="Q236" s="45">
        <f>IFERROR(__xludf.DUMMYFUNCTION("""COMPUTED_VALUE"""),45146.0)</f>
        <v>45146</v>
      </c>
      <c r="R236" s="45">
        <f>IFERROR(__xludf.DUMMYFUNCTION("""COMPUTED_VALUE"""),45512.0)</f>
        <v>45512</v>
      </c>
      <c r="S236" s="43"/>
      <c r="T236" s="43"/>
      <c r="U236" s="43" t="str">
        <f>IFERROR(__xludf.DUMMYFUNCTION("""COMPUTED_VALUE"""),"English Teacher")</f>
        <v>English Teacher</v>
      </c>
      <c r="V236" s="43" t="str">
        <f>IFERROR(__xludf.DUMMYFUNCTION("""COMPUTED_VALUE"""),"Baku Engineering University")</f>
        <v>Baku Engineering University</v>
      </c>
      <c r="W236" s="43" t="str">
        <f>IFERROR(__xludf.DUMMYFUNCTION("""COMPUTED_VALUE"""),"2023-05-09T08:52:24Z")</f>
        <v>2023-05-09T08:52:24Z</v>
      </c>
      <c r="X236" s="43"/>
      <c r="Y236" s="43"/>
      <c r="Z236" s="43"/>
    </row>
    <row r="237" hidden="1">
      <c r="A237" s="43" t="str">
        <f>IFERROR(__xludf.DUMMYFUNCTION("""COMPUTED_VALUE"""),"5260548_1281195")</f>
        <v>5260548_1281195</v>
      </c>
      <c r="B237" s="43" t="str">
        <f>IFERROR(__xludf.DUMMYFUNCTION("""COMPUTED_VALUE"""),"Paula Andrea Martinez Fonseca")</f>
        <v>Paula Andrea Martinez Fonseca</v>
      </c>
      <c r="C237" s="43" t="str">
        <f>IFERROR(__xludf.DUMMYFUNCTION("""COMPUTED_VALUE"""),"realized")</f>
        <v>realized</v>
      </c>
      <c r="D237" s="43" t="str">
        <f>IFERROR(__xludf.DUMMYFUNCTION("""COMPUTED_VALUE"""),"No")</f>
        <v>No</v>
      </c>
      <c r="E237" s="43" t="str">
        <f>IFERROR(__xludf.DUMMYFUNCTION("""COMPUTED_VALUE"""),"p_0d8c3e0cb0cb388abcd12c4fdbfdf92795c29a9e@inbound.aiesec.org")</f>
        <v>p_0d8c3e0cb0cb388abcd12c4fdbfdf92795c29a9e@inbound.aiesec.org</v>
      </c>
      <c r="F237" s="43">
        <f>IFERROR(__xludf.DUMMYFUNCTION("""COMPUTED_VALUE"""),3.227746467E9)</f>
        <v>3227746467</v>
      </c>
      <c r="G237" s="43" t="str">
        <f>IFERROR(__xludf.DUMMYFUNCTION("""COMPUTED_VALUE"""),"Colombia")</f>
        <v>Colombia</v>
      </c>
      <c r="H237" s="43" t="str">
        <f>IFERROR(__xludf.DUMMYFUNCTION("""COMPUTED_VALUE"""),"ANDES")</f>
        <v>ANDES</v>
      </c>
      <c r="I237" s="43" t="str">
        <f>IFERROR(__xludf.DUMMYFUNCTION("""COMPUTED_VALUE"""),"Turkey")</f>
        <v>Turkey</v>
      </c>
      <c r="J237" s="43" t="str">
        <f>IFERROR(__xludf.DUMMYFUNCTION("""COMPUTED_VALUE"""),"BURSA")</f>
        <v>BURSA</v>
      </c>
      <c r="K237" s="44" t="str">
        <f>IFERROR(__xludf.DUMMYFUNCTION("""COMPUTED_VALUE"""),"https://expa.aiesec.org/opportunities/1281195")</f>
        <v>https://expa.aiesec.org/opportunities/1281195</v>
      </c>
      <c r="L237" s="43" t="str">
        <f>IFERROR(__xludf.DUMMYFUNCTION("""COMPUTED_VALUE"""),"GTe")</f>
        <v>GTe</v>
      </c>
      <c r="M237" s="43" t="str">
        <f>IFERROR(__xludf.DUMMYFUNCTION("""COMPUTED_VALUE"""),"long")</f>
        <v>long</v>
      </c>
      <c r="N237" s="45">
        <f>IFERROR(__xludf.DUMMYFUNCTION("""COMPUTED_VALUE"""),45076.0)</f>
        <v>45076</v>
      </c>
      <c r="O237" s="45">
        <f>IFERROR(__xludf.DUMMYFUNCTION("""COMPUTED_VALUE"""),45171.0)</f>
        <v>45171</v>
      </c>
      <c r="P237" s="45">
        <f>IFERROR(__xludf.DUMMYFUNCTION("""COMPUTED_VALUE"""),45473.0)</f>
        <v>45473</v>
      </c>
      <c r="Q237" s="45">
        <f>IFERROR(__xludf.DUMMYFUNCTION("""COMPUTED_VALUE"""),45176.0)</f>
        <v>45176</v>
      </c>
      <c r="R237" s="45">
        <f>IFERROR(__xludf.DUMMYFUNCTION("""COMPUTED_VALUE"""),45476.0)</f>
        <v>45476</v>
      </c>
      <c r="S237" s="43"/>
      <c r="T237" s="43"/>
      <c r="U237" s="43" t="str">
        <f>IFERROR(__xludf.DUMMYFUNCTION("""COMPUTED_VALUE"""),"ENGLISH TEACHING")</f>
        <v>ENGLISH TEACHING</v>
      </c>
      <c r="V237" s="43" t="str">
        <f>IFERROR(__xludf.DUMMYFUNCTION("""COMPUTED_VALUE"""),"Bogotá - Universidad de Los Andes")</f>
        <v>Bogotá - Universidad de Los Andes</v>
      </c>
      <c r="W237" s="43" t="str">
        <f>IFERROR(__xludf.DUMMYFUNCTION("""COMPUTED_VALUE"""),"2023-05-13T14:55:04Z")</f>
        <v>2023-05-13T14:55:04Z</v>
      </c>
      <c r="X237" s="43"/>
      <c r="Y237" s="43"/>
      <c r="Z237" s="43"/>
    </row>
    <row r="238" hidden="1">
      <c r="A238" s="43" t="str">
        <f>IFERROR(__xludf.DUMMYFUNCTION("""COMPUTED_VALUE"""),"5267319_1289307")</f>
        <v>5267319_1289307</v>
      </c>
      <c r="B238" s="43" t="str">
        <f>IFERROR(__xludf.DUMMYFUNCTION("""COMPUTED_VALUE"""),"Imane Akram")</f>
        <v>Imane Akram</v>
      </c>
      <c r="C238" s="43" t="str">
        <f>IFERROR(__xludf.DUMMYFUNCTION("""COMPUTED_VALUE"""),"realized")</f>
        <v>realized</v>
      </c>
      <c r="D238" s="43" t="str">
        <f>IFERROR(__xludf.DUMMYFUNCTION("""COMPUTED_VALUE"""),"No")</f>
        <v>No</v>
      </c>
      <c r="E238" s="43" t="str">
        <f>IFERROR(__xludf.DUMMYFUNCTION("""COMPUTED_VALUE"""),"p_e7ae95cc79e962c4401f10bcb02d7a95036d2f64@inbound.aiesec.org")</f>
        <v>p_e7ae95cc79e962c4401f10bcb02d7a95036d2f64@inbound.aiesec.org</v>
      </c>
      <c r="F238" s="43">
        <f>IFERROR(__xludf.DUMMYFUNCTION("""COMPUTED_VALUE"""),6.12241201E8)</f>
        <v>612241201</v>
      </c>
      <c r="G238" s="43" t="str">
        <f>IFERROR(__xludf.DUMMYFUNCTION("""COMPUTED_VALUE"""),"Morocco")</f>
        <v>Morocco</v>
      </c>
      <c r="H238" s="43" t="str">
        <f>IFERROR(__xludf.DUMMYFUNCTION("""COMPUTED_VALUE"""),"Casablanca")</f>
        <v>Casablanca</v>
      </c>
      <c r="I238" s="43" t="str">
        <f>IFERROR(__xludf.DUMMYFUNCTION("""COMPUTED_VALUE"""),"Turkey")</f>
        <v>Turkey</v>
      </c>
      <c r="J238" s="43" t="str">
        <f>IFERROR(__xludf.DUMMYFUNCTION("""COMPUTED_VALUE"""),"ISTANBUL")</f>
        <v>ISTANBUL</v>
      </c>
      <c r="K238" s="44" t="str">
        <f>IFERROR(__xludf.DUMMYFUNCTION("""COMPUTED_VALUE"""),"https://expa.aiesec.org/opportunities/1289307")</f>
        <v>https://expa.aiesec.org/opportunities/1289307</v>
      </c>
      <c r="L238" s="43" t="str">
        <f>IFERROR(__xludf.DUMMYFUNCTION("""COMPUTED_VALUE"""),"GTe")</f>
        <v>GTe</v>
      </c>
      <c r="M238" s="43" t="str">
        <f>IFERROR(__xludf.DUMMYFUNCTION("""COMPUTED_VALUE"""),"long")</f>
        <v>long</v>
      </c>
      <c r="N238" s="45">
        <f>IFERROR(__xludf.DUMMYFUNCTION("""COMPUTED_VALUE"""),45077.0)</f>
        <v>45077</v>
      </c>
      <c r="O238" s="45">
        <f>IFERROR(__xludf.DUMMYFUNCTION("""COMPUTED_VALUE"""),45152.0)</f>
        <v>45152</v>
      </c>
      <c r="P238" s="45">
        <f>IFERROR(__xludf.DUMMYFUNCTION("""COMPUTED_VALUE"""),45515.0)</f>
        <v>45515</v>
      </c>
      <c r="Q238" s="45">
        <f>IFERROR(__xludf.DUMMYFUNCTION("""COMPUTED_VALUE"""),45152.0)</f>
        <v>45152</v>
      </c>
      <c r="R238" s="45">
        <f>IFERROR(__xludf.DUMMYFUNCTION("""COMPUTED_VALUE"""),45515.0)</f>
        <v>45515</v>
      </c>
      <c r="S238" s="43"/>
      <c r="T238" s="43"/>
      <c r="U238" s="43" t="str">
        <f>IFERROR(__xludf.DUMMYFUNCTION("""COMPUTED_VALUE"""),"Preschool English Teacher")</f>
        <v>Preschool English Teacher</v>
      </c>
      <c r="V238" s="43" t="str">
        <f>IFERROR(__xludf.DUMMYFUNCTION("""COMPUTED_VALUE"""),"FSJES Aïn Chock Casablanca")</f>
        <v>FSJES Aïn Chock Casablanca</v>
      </c>
      <c r="W238" s="43" t="str">
        <f>IFERROR(__xludf.DUMMYFUNCTION("""COMPUTED_VALUE"""),"2023-05-26T22:40:03Z")</f>
        <v>2023-05-26T22:40:03Z</v>
      </c>
      <c r="X238" s="43"/>
      <c r="Y238" s="43"/>
      <c r="Z238" s="43"/>
    </row>
    <row r="239" hidden="1">
      <c r="A239" s="43" t="str">
        <f>IFERROR(__xludf.DUMMYFUNCTION("""COMPUTED_VALUE"""),"3869403_1295743")</f>
        <v>3869403_1295743</v>
      </c>
      <c r="B239" s="43" t="str">
        <f>IFERROR(__xludf.DUMMYFUNCTION("""COMPUTED_VALUE"""),"Alberta Kokoi Akyereku Tackie")</f>
        <v>Alberta Kokoi Akyereku Tackie</v>
      </c>
      <c r="C239" s="43" t="str">
        <f>IFERROR(__xludf.DUMMYFUNCTION("""COMPUTED_VALUE"""),"realized")</f>
        <v>realized</v>
      </c>
      <c r="D239" s="43" t="str">
        <f>IFERROR(__xludf.DUMMYFUNCTION("""COMPUTED_VALUE"""),"No")</f>
        <v>No</v>
      </c>
      <c r="E239" s="43" t="str">
        <f>IFERROR(__xludf.DUMMYFUNCTION("""COMPUTED_VALUE"""),"p_7099b6e160cc26f31a2a2f6aab141bd648b7ba8d@inbound.aiesec.org")</f>
        <v>p_7099b6e160cc26f31a2a2f6aab141bd648b7ba8d@inbound.aiesec.org</v>
      </c>
      <c r="F239" s="43">
        <f>IFERROR(__xludf.DUMMYFUNCTION("""COMPUTED_VALUE"""),2.66520955E8)</f>
        <v>266520955</v>
      </c>
      <c r="G239" s="43" t="str">
        <f>IFERROR(__xludf.DUMMYFUNCTION("""COMPUTED_VALUE"""),"Ghana")</f>
        <v>Ghana</v>
      </c>
      <c r="H239" s="43" t="str">
        <f>IFERROR(__xludf.DUMMYFUNCTION("""COMPUTED_VALUE""")," RMU")</f>
        <v> RMU</v>
      </c>
      <c r="I239" s="43" t="str">
        <f>IFERROR(__xludf.DUMMYFUNCTION("""COMPUTED_VALUE"""),"Turkey")</f>
        <v>Turkey</v>
      </c>
      <c r="J239" s="43" t="str">
        <f>IFERROR(__xludf.DUMMYFUNCTION("""COMPUTED_VALUE"""),"KOCAELI")</f>
        <v>KOCAELI</v>
      </c>
      <c r="K239" s="44" t="str">
        <f>IFERROR(__xludf.DUMMYFUNCTION("""COMPUTED_VALUE"""),"https://expa.aiesec.org/opportunities/1295743")</f>
        <v>https://expa.aiesec.org/opportunities/1295743</v>
      </c>
      <c r="L239" s="43" t="str">
        <f>IFERROR(__xludf.DUMMYFUNCTION("""COMPUTED_VALUE"""),"GTe")</f>
        <v>GTe</v>
      </c>
      <c r="M239" s="43" t="str">
        <f>IFERROR(__xludf.DUMMYFUNCTION("""COMPUTED_VALUE"""),"long")</f>
        <v>long</v>
      </c>
      <c r="N239" s="45">
        <f>IFERROR(__xludf.DUMMYFUNCTION("""COMPUTED_VALUE"""),45080.0)</f>
        <v>45080</v>
      </c>
      <c r="O239" s="45">
        <f>IFERROR(__xludf.DUMMYFUNCTION("""COMPUTED_VALUE"""),45194.0)</f>
        <v>45194</v>
      </c>
      <c r="P239" s="45">
        <f>IFERROR(__xludf.DUMMYFUNCTION("""COMPUTED_VALUE"""),45444.0)</f>
        <v>45444</v>
      </c>
      <c r="Q239" s="45">
        <f>IFERROR(__xludf.DUMMYFUNCTION("""COMPUTED_VALUE"""),45251.0)</f>
        <v>45251</v>
      </c>
      <c r="R239" s="45">
        <f>IFERROR(__xludf.DUMMYFUNCTION("""COMPUTED_VALUE"""),45500.0)</f>
        <v>45500</v>
      </c>
      <c r="S239" s="43"/>
      <c r="T239" s="43"/>
      <c r="U239" s="43" t="str">
        <f>IFERROR(__xludf.DUMMYFUNCTION("""COMPUTED_VALUE"""),"English Teacher in Gözde Kindergarden")</f>
        <v>English Teacher in Gözde Kindergarden</v>
      </c>
      <c r="V239" s="43" t="str">
        <f>IFERROR(__xludf.DUMMYFUNCTION("""COMPUTED_VALUE"""),"Accra - Anglican University College of Technology")</f>
        <v>Accra - Anglican University College of Technology</v>
      </c>
      <c r="W239" s="43" t="str">
        <f>IFERROR(__xludf.DUMMYFUNCTION("""COMPUTED_VALUE"""),"2019-10-03T07:21:18Z")</f>
        <v>2019-10-03T07:21:18Z</v>
      </c>
      <c r="X239" s="43"/>
      <c r="Y239" s="43"/>
      <c r="Z239" s="43"/>
    </row>
    <row r="240" hidden="1">
      <c r="A240" s="43" t="str">
        <f>IFERROR(__xludf.DUMMYFUNCTION("""COMPUTED_VALUE"""),"5269552_1293755")</f>
        <v>5269552_1293755</v>
      </c>
      <c r="B240" s="43" t="str">
        <f>IFERROR(__xludf.DUMMYFUNCTION("""COMPUTED_VALUE"""),"Jailan Anies")</f>
        <v>Jailan Anies</v>
      </c>
      <c r="C240" s="43" t="str">
        <f>IFERROR(__xludf.DUMMYFUNCTION("""COMPUTED_VALUE"""),"realized")</f>
        <v>realized</v>
      </c>
      <c r="D240" s="43" t="str">
        <f>IFERROR(__xludf.DUMMYFUNCTION("""COMPUTED_VALUE"""),"No")</f>
        <v>No</v>
      </c>
      <c r="E240" s="43" t="str">
        <f>IFERROR(__xludf.DUMMYFUNCTION("""COMPUTED_VALUE"""),"p_4f84aa7ac82632234f1e08e9e1299f3ae8705fcf@inbound.aiesec.org")</f>
        <v>p_4f84aa7ac82632234f1e08e9e1299f3ae8705fcf@inbound.aiesec.org</v>
      </c>
      <c r="F240" s="43">
        <f>IFERROR(__xludf.DUMMYFUNCTION("""COMPUTED_VALUE"""),1.003207134E9)</f>
        <v>1003207134</v>
      </c>
      <c r="G240" s="43" t="str">
        <f>IFERROR(__xludf.DUMMYFUNCTION("""COMPUTED_VALUE"""),"Egypt")</f>
        <v>Egypt</v>
      </c>
      <c r="H240" s="43" t="str">
        <f>IFERROR(__xludf.DUMMYFUNCTION("""COMPUTED_VALUE"""),"Zagazig")</f>
        <v>Zagazig</v>
      </c>
      <c r="I240" s="43" t="str">
        <f>IFERROR(__xludf.DUMMYFUNCTION("""COMPUTED_VALUE"""),"Turkey")</f>
        <v>Turkey</v>
      </c>
      <c r="J240" s="43" t="str">
        <f>IFERROR(__xludf.DUMMYFUNCTION("""COMPUTED_VALUE"""),"DENIZLI")</f>
        <v>DENIZLI</v>
      </c>
      <c r="K240" s="44" t="str">
        <f>IFERROR(__xludf.DUMMYFUNCTION("""COMPUTED_VALUE"""),"https://expa.aiesec.org/opportunities/1293755")</f>
        <v>https://expa.aiesec.org/opportunities/1293755</v>
      </c>
      <c r="L240" s="43" t="str">
        <f>IFERROR(__xludf.DUMMYFUNCTION("""COMPUTED_VALUE"""),"GTe")</f>
        <v>GTe</v>
      </c>
      <c r="M240" s="43" t="str">
        <f>IFERROR(__xludf.DUMMYFUNCTION("""COMPUTED_VALUE"""),"long")</f>
        <v>long</v>
      </c>
      <c r="N240" s="45">
        <f>IFERROR(__xludf.DUMMYFUNCTION("""COMPUTED_VALUE"""),45082.0)</f>
        <v>45082</v>
      </c>
      <c r="O240" s="45">
        <f>IFERROR(__xludf.DUMMYFUNCTION("""COMPUTED_VALUE"""),45141.0)</f>
        <v>45141</v>
      </c>
      <c r="P240" s="45">
        <f>IFERROR(__xludf.DUMMYFUNCTION("""COMPUTED_VALUE"""),45507.0)</f>
        <v>45507</v>
      </c>
      <c r="Q240" s="45">
        <f>IFERROR(__xludf.DUMMYFUNCTION("""COMPUTED_VALUE"""),45152.0)</f>
        <v>45152</v>
      </c>
      <c r="R240" s="45">
        <f>IFERROR(__xludf.DUMMYFUNCTION("""COMPUTED_VALUE"""),45518.0)</f>
        <v>45518</v>
      </c>
      <c r="S240" s="43"/>
      <c r="T240" s="43"/>
      <c r="U240" s="43" t="str">
        <f>IFERROR(__xludf.DUMMYFUNCTION("""COMPUTED_VALUE"""),"TEACHER/SEÇKİN 0 6 YAŞ")</f>
        <v>TEACHER/SEÇKİN 0 6 YAŞ</v>
      </c>
      <c r="V240" s="43" t="str">
        <f>IFERROR(__xludf.DUMMYFUNCTION("""COMPUTED_VALUE"""),"Zagazig")</f>
        <v>Zagazig</v>
      </c>
      <c r="W240" s="43" t="str">
        <f>IFERROR(__xludf.DUMMYFUNCTION("""COMPUTED_VALUE"""),"2023-05-31T13:18:18Z")</f>
        <v>2023-05-31T13:18:18Z</v>
      </c>
      <c r="X240" s="43"/>
      <c r="Y240" s="43"/>
      <c r="Z240" s="43"/>
    </row>
    <row r="241" hidden="1">
      <c r="A241" s="43" t="str">
        <f>IFERROR(__xludf.DUMMYFUNCTION("""COMPUTED_VALUE"""),"5143404_1287702")</f>
        <v>5143404_1287702</v>
      </c>
      <c r="B241" s="43" t="str">
        <f>IFERROR(__xludf.DUMMYFUNCTION("""COMPUTED_VALUE"""),"Nourhene Lalaoui")</f>
        <v>Nourhene Lalaoui</v>
      </c>
      <c r="C241" s="43" t="str">
        <f>IFERROR(__xludf.DUMMYFUNCTION("""COMPUTED_VALUE"""),"realized")</f>
        <v>realized</v>
      </c>
      <c r="D241" s="43" t="str">
        <f>IFERROR(__xludf.DUMMYFUNCTION("""COMPUTED_VALUE"""),"No")</f>
        <v>No</v>
      </c>
      <c r="E241" s="43" t="str">
        <f>IFERROR(__xludf.DUMMYFUNCTION("""COMPUTED_VALUE"""),"p_139ee5a193fd76da97472e23824beab636cc692b@inbound.aiesec.org")</f>
        <v>p_139ee5a193fd76da97472e23824beab636cc692b@inbound.aiesec.org</v>
      </c>
      <c r="F241" s="43"/>
      <c r="G241" s="43" t="str">
        <f>IFERROR(__xludf.DUMMYFUNCTION("""COMPUTED_VALUE"""),"Algeria")</f>
        <v>Algeria</v>
      </c>
      <c r="H241" s="43" t="str">
        <f>IFERROR(__xludf.DUMMYFUNCTION("""COMPUTED_VALUE"""),"Constantine")</f>
        <v>Constantine</v>
      </c>
      <c r="I241" s="43" t="str">
        <f>IFERROR(__xludf.DUMMYFUNCTION("""COMPUTED_VALUE"""),"Turkey")</f>
        <v>Turkey</v>
      </c>
      <c r="J241" s="43" t="str">
        <f>IFERROR(__xludf.DUMMYFUNCTION("""COMPUTED_VALUE"""),"ADANA")</f>
        <v>ADANA</v>
      </c>
      <c r="K241" s="44" t="str">
        <f>IFERROR(__xludf.DUMMYFUNCTION("""COMPUTED_VALUE"""),"https://expa.aiesec.org/opportunities/1287702")</f>
        <v>https://expa.aiesec.org/opportunities/1287702</v>
      </c>
      <c r="L241" s="43" t="str">
        <f>IFERROR(__xludf.DUMMYFUNCTION("""COMPUTED_VALUE"""),"GTe")</f>
        <v>GTe</v>
      </c>
      <c r="M241" s="43" t="str">
        <f>IFERROR(__xludf.DUMMYFUNCTION("""COMPUTED_VALUE"""),"long")</f>
        <v>long</v>
      </c>
      <c r="N241" s="45">
        <f>IFERROR(__xludf.DUMMYFUNCTION("""COMPUTED_VALUE"""),45083.0)</f>
        <v>45083</v>
      </c>
      <c r="O241" s="45">
        <f>IFERROR(__xludf.DUMMYFUNCTION("""COMPUTED_VALUE"""),45173.0)</f>
        <v>45173</v>
      </c>
      <c r="P241" s="45">
        <f>IFERROR(__xludf.DUMMYFUNCTION("""COMPUTED_VALUE"""),45471.0)</f>
        <v>45471</v>
      </c>
      <c r="Q241" s="45">
        <f>IFERROR(__xludf.DUMMYFUNCTION("""COMPUTED_VALUE"""),45177.0)</f>
        <v>45177</v>
      </c>
      <c r="R241" s="45">
        <f>IFERROR(__xludf.DUMMYFUNCTION("""COMPUTED_VALUE"""),45477.0)</f>
        <v>45477</v>
      </c>
      <c r="S241" s="43"/>
      <c r="T241" s="43"/>
      <c r="U241" s="43" t="str">
        <f>IFERROR(__xludf.DUMMYFUNCTION("""COMPUTED_VALUE"""),"English Teacher")</f>
        <v>English Teacher</v>
      </c>
      <c r="V241" s="43" t="str">
        <f>IFERROR(__xludf.DUMMYFUNCTION("""COMPUTED_VALUE"""),"-")</f>
        <v>-</v>
      </c>
      <c r="W241" s="43" t="str">
        <f>IFERROR(__xludf.DUMMYFUNCTION("""COMPUTED_VALUE"""),"2022-10-30T22:28:50Z")</f>
        <v>2022-10-30T22:28:50Z</v>
      </c>
      <c r="X241" s="43"/>
      <c r="Y241" s="43"/>
      <c r="Z241" s="43"/>
    </row>
    <row r="242" hidden="1">
      <c r="A242" s="43" t="str">
        <f>IFERROR(__xludf.DUMMYFUNCTION("""COMPUTED_VALUE"""),"5271280_1259741")</f>
        <v>5271280_1259741</v>
      </c>
      <c r="B242" s="43" t="str">
        <f>IFERROR(__xludf.DUMMYFUNCTION("""COMPUTED_VALUE"""),"Hamza Ahmed")</f>
        <v>Hamza Ahmed</v>
      </c>
      <c r="C242" s="43" t="str">
        <f>IFERROR(__xludf.DUMMYFUNCTION("""COMPUTED_VALUE"""),"approved")</f>
        <v>approved</v>
      </c>
      <c r="D242" s="43" t="str">
        <f>IFERROR(__xludf.DUMMYFUNCTION("""COMPUTED_VALUE"""),"No")</f>
        <v>No</v>
      </c>
      <c r="E242" s="43" t="str">
        <f>IFERROR(__xludf.DUMMYFUNCTION("""COMPUTED_VALUE"""),"p_4521412a0f8772ccbecb3acbeaa33f1e343d523f@inbound.aiesec.org")</f>
        <v>p_4521412a0f8772ccbecb3acbeaa33f1e343d523f@inbound.aiesec.org</v>
      </c>
      <c r="F242" s="43">
        <f>IFERROR(__xludf.DUMMYFUNCTION("""COMPUTED_VALUE"""),1.09220376E9)</f>
        <v>1092203760</v>
      </c>
      <c r="G242" s="43" t="str">
        <f>IFERROR(__xludf.DUMMYFUNCTION("""COMPUTED_VALUE"""),"Egypt")</f>
        <v>Egypt</v>
      </c>
      <c r="H242" s="43" t="str">
        <f>IFERROR(__xludf.DUMMYFUNCTION("""COMPUTED_VALUE"""),"MUST")</f>
        <v>MUST</v>
      </c>
      <c r="I242" s="43" t="str">
        <f>IFERROR(__xludf.DUMMYFUNCTION("""COMPUTED_VALUE"""),"Turkey")</f>
        <v>Turkey</v>
      </c>
      <c r="J242" s="43" t="str">
        <f>IFERROR(__xludf.DUMMYFUNCTION("""COMPUTED_VALUE"""),"KONYA")</f>
        <v>KONYA</v>
      </c>
      <c r="K242" s="44" t="str">
        <f>IFERROR(__xludf.DUMMYFUNCTION("""COMPUTED_VALUE"""),"https://expa.aiesec.org/opportunities/1259741")</f>
        <v>https://expa.aiesec.org/opportunities/1259741</v>
      </c>
      <c r="L242" s="43" t="str">
        <f>IFERROR(__xludf.DUMMYFUNCTION("""COMPUTED_VALUE"""),"GTe")</f>
        <v>GTe</v>
      </c>
      <c r="M242" s="43" t="str">
        <f>IFERROR(__xludf.DUMMYFUNCTION("""COMPUTED_VALUE"""),"long")</f>
        <v>long</v>
      </c>
      <c r="N242" s="45">
        <f>IFERROR(__xludf.DUMMYFUNCTION("""COMPUTED_VALUE"""),45084.0)</f>
        <v>45084</v>
      </c>
      <c r="O242" s="45">
        <f>IFERROR(__xludf.DUMMYFUNCTION("""COMPUTED_VALUE"""),45139.0)</f>
        <v>45139</v>
      </c>
      <c r="P242" s="45">
        <f>IFERROR(__xludf.DUMMYFUNCTION("""COMPUTED_VALUE"""),45505.0)</f>
        <v>45505</v>
      </c>
      <c r="Q242" s="45"/>
      <c r="R242" s="45"/>
      <c r="S242" s="43"/>
      <c r="T242" s="43"/>
      <c r="U242" s="43" t="str">
        <f>IFERROR(__xludf.DUMMYFUNCTION("""COMPUTED_VALUE"""),"English Teacher")</f>
        <v>English Teacher</v>
      </c>
      <c r="V242" s="43" t="str">
        <f>IFERROR(__xludf.DUMMYFUNCTION("""COMPUTED_VALUE"""),"MUST University")</f>
        <v>MUST University</v>
      </c>
      <c r="W242" s="43" t="str">
        <f>IFERROR(__xludf.DUMMYFUNCTION("""COMPUTED_VALUE"""),"2023-06-04T11:51:23Z")</f>
        <v>2023-06-04T11:51:23Z</v>
      </c>
      <c r="X242" s="43"/>
      <c r="Y242" s="43"/>
      <c r="Z242" s="43"/>
    </row>
    <row r="243" hidden="1">
      <c r="A243" s="43" t="str">
        <f>IFERROR(__xludf.DUMMYFUNCTION("""COMPUTED_VALUE"""),"5268269_1278703")</f>
        <v>5268269_1278703</v>
      </c>
      <c r="B243" s="43" t="str">
        <f>IFERROR(__xludf.DUMMYFUNCTION("""COMPUTED_VALUE"""),"Valeria Efimova")</f>
        <v>Valeria Efimova</v>
      </c>
      <c r="C243" s="43" t="str">
        <f>IFERROR(__xludf.DUMMYFUNCTION("""COMPUTED_VALUE"""),"approved")</f>
        <v>approved</v>
      </c>
      <c r="D243" s="43" t="str">
        <f>IFERROR(__xludf.DUMMYFUNCTION("""COMPUTED_VALUE"""),"No")</f>
        <v>No</v>
      </c>
      <c r="E243" s="43" t="str">
        <f>IFERROR(__xludf.DUMMYFUNCTION("""COMPUTED_VALUE"""),"p_0630582a0b962d49fe9cd6cfedbf7316731a50e6@inbound.aiesec.org")</f>
        <v>p_0630582a0b962d49fe9cd6cfedbf7316731a50e6@inbound.aiesec.org</v>
      </c>
      <c r="F243" s="43"/>
      <c r="G243" s="43" t="str">
        <f>IFERROR(__xludf.DUMMYFUNCTION("""COMPUTED_VALUE"""),"Russia")</f>
        <v>Russia</v>
      </c>
      <c r="H243" s="43" t="str">
        <f>IFERROR(__xludf.DUMMYFUNCTION("""COMPUTED_VALUE"""),"ENGEC-GUAP, Saint-Petersburg")</f>
        <v>ENGEC-GUAP, Saint-Petersburg</v>
      </c>
      <c r="I243" s="43" t="str">
        <f>IFERROR(__xludf.DUMMYFUNCTION("""COMPUTED_VALUE"""),"Turkey")</f>
        <v>Turkey</v>
      </c>
      <c r="J243" s="43" t="str">
        <f>IFERROR(__xludf.DUMMYFUNCTION("""COMPUTED_VALUE"""),"KOCAELI")</f>
        <v>KOCAELI</v>
      </c>
      <c r="K243" s="44" t="str">
        <f>IFERROR(__xludf.DUMMYFUNCTION("""COMPUTED_VALUE"""),"https://expa.aiesec.org/opportunities/1278703")</f>
        <v>https://expa.aiesec.org/opportunities/1278703</v>
      </c>
      <c r="L243" s="43" t="str">
        <f>IFERROR(__xludf.DUMMYFUNCTION("""COMPUTED_VALUE"""),"GTe")</f>
        <v>GTe</v>
      </c>
      <c r="M243" s="43" t="str">
        <f>IFERROR(__xludf.DUMMYFUNCTION("""COMPUTED_VALUE"""),"long")</f>
        <v>long</v>
      </c>
      <c r="N243" s="45">
        <f>IFERROR(__xludf.DUMMYFUNCTION("""COMPUTED_VALUE"""),45084.0)</f>
        <v>45084</v>
      </c>
      <c r="O243" s="45">
        <f>IFERROR(__xludf.DUMMYFUNCTION("""COMPUTED_VALUE"""),45173.0)</f>
        <v>45173</v>
      </c>
      <c r="P243" s="45">
        <f>IFERROR(__xludf.DUMMYFUNCTION("""COMPUTED_VALUE"""),45515.0)</f>
        <v>45515</v>
      </c>
      <c r="Q243" s="45"/>
      <c r="R243" s="45"/>
      <c r="S243" s="43"/>
      <c r="T243" s="43"/>
      <c r="U243" s="43" t="str">
        <f>IFERROR(__xludf.DUMMYFUNCTION("""COMPUTED_VALUE"""),"Kindergarden Teacher in Rengin  Anaokulu")</f>
        <v>Kindergarden Teacher in Rengin  Anaokulu</v>
      </c>
      <c r="V243" s="43" t="str">
        <f>IFERROR(__xludf.DUMMYFUNCTION("""COMPUTED_VALUE"""),"-")</f>
        <v>-</v>
      </c>
      <c r="W243" s="43" t="str">
        <f>IFERROR(__xludf.DUMMYFUNCTION("""COMPUTED_VALUE"""),"2023-05-29T12:48:21Z")</f>
        <v>2023-05-29T12:48:21Z</v>
      </c>
      <c r="X243" s="43"/>
      <c r="Y243" s="43"/>
      <c r="Z243" s="43"/>
    </row>
    <row r="244" hidden="1">
      <c r="A244" s="43" t="str">
        <f>IFERROR(__xludf.DUMMYFUNCTION("""COMPUTED_VALUE"""),"3791073_1294473")</f>
        <v>3791073_1294473</v>
      </c>
      <c r="B244" s="43" t="str">
        <f>IFERROR(__xludf.DUMMYFUNCTION("""COMPUTED_VALUE"""),"Letizia Porcu")</f>
        <v>Letizia Porcu</v>
      </c>
      <c r="C244" s="43" t="str">
        <f>IFERROR(__xludf.DUMMYFUNCTION("""COMPUTED_VALUE"""),"realized")</f>
        <v>realized</v>
      </c>
      <c r="D244" s="43" t="str">
        <f>IFERROR(__xludf.DUMMYFUNCTION("""COMPUTED_VALUE"""),"No")</f>
        <v>No</v>
      </c>
      <c r="E244" s="43" t="str">
        <f>IFERROR(__xludf.DUMMYFUNCTION("""COMPUTED_VALUE"""),"p_1d41e534765767e36857d0932f473f32ecb5613f@inbound.aiesec.org")</f>
        <v>p_1d41e534765767e36857d0932f473f32ecb5613f@inbound.aiesec.org</v>
      </c>
      <c r="F244" s="43"/>
      <c r="G244" s="43" t="str">
        <f>IFERROR(__xludf.DUMMYFUNCTION("""COMPUTED_VALUE"""),"Italy")</f>
        <v>Italy</v>
      </c>
      <c r="H244" s="43" t="str">
        <f>IFERROR(__xludf.DUMMYFUNCTION("""COMPUTED_VALUE"""),"Milano")</f>
        <v>Milano</v>
      </c>
      <c r="I244" s="43" t="str">
        <f>IFERROR(__xludf.DUMMYFUNCTION("""COMPUTED_VALUE"""),"Turkey")</f>
        <v>Turkey</v>
      </c>
      <c r="J244" s="43" t="str">
        <f>IFERROR(__xludf.DUMMYFUNCTION("""COMPUTED_VALUE"""),"SAKARYA")</f>
        <v>SAKARYA</v>
      </c>
      <c r="K244" s="44" t="str">
        <f>IFERROR(__xludf.DUMMYFUNCTION("""COMPUTED_VALUE"""),"https://expa.aiesec.org/opportunities/1294473")</f>
        <v>https://expa.aiesec.org/opportunities/1294473</v>
      </c>
      <c r="L244" s="43" t="str">
        <f>IFERROR(__xludf.DUMMYFUNCTION("""COMPUTED_VALUE"""),"GTe")</f>
        <v>GTe</v>
      </c>
      <c r="M244" s="43" t="str">
        <f>IFERROR(__xludf.DUMMYFUNCTION("""COMPUTED_VALUE"""),"long")</f>
        <v>long</v>
      </c>
      <c r="N244" s="45">
        <f>IFERROR(__xludf.DUMMYFUNCTION("""COMPUTED_VALUE"""),45084.0)</f>
        <v>45084</v>
      </c>
      <c r="O244" s="45">
        <f>IFERROR(__xludf.DUMMYFUNCTION("""COMPUTED_VALUE"""),45170.0)</f>
        <v>45170</v>
      </c>
      <c r="P244" s="45">
        <f>IFERROR(__xludf.DUMMYFUNCTION("""COMPUTED_VALUE"""),45536.0)</f>
        <v>45536</v>
      </c>
      <c r="Q244" s="45">
        <f>IFERROR(__xludf.DUMMYFUNCTION("""COMPUTED_VALUE"""),45182.0)</f>
        <v>45182</v>
      </c>
      <c r="R244" s="45">
        <f>IFERROR(__xludf.DUMMYFUNCTION("""COMPUTED_VALUE"""),45546.0)</f>
        <v>45546</v>
      </c>
      <c r="S244" s="43"/>
      <c r="T244" s="43"/>
      <c r="U244" s="43" t="str">
        <f>IFERROR(__xludf.DUMMYFUNCTION("""COMPUTED_VALUE"""),"English Teacher | Dudu Akademi")</f>
        <v>English Teacher | Dudu Akademi</v>
      </c>
      <c r="V244" s="43" t="str">
        <f>IFERROR(__xludf.DUMMYFUNCTION("""COMPUTED_VALUE"""),"-")</f>
        <v>-</v>
      </c>
      <c r="W244" s="43" t="str">
        <f>IFERROR(__xludf.DUMMYFUNCTION("""COMPUTED_VALUE"""),"2019-08-25T19:10:32Z")</f>
        <v>2019-08-25T19:10:32Z</v>
      </c>
      <c r="X244" s="43"/>
      <c r="Y244" s="43"/>
      <c r="Z244" s="43"/>
    </row>
    <row r="245" hidden="1">
      <c r="A245" s="43" t="str">
        <f>IFERROR(__xludf.DUMMYFUNCTION("""COMPUTED_VALUE"""),"5131466_1294636")</f>
        <v>5131466_1294636</v>
      </c>
      <c r="B245" s="43" t="str">
        <f>IFERROR(__xludf.DUMMYFUNCTION("""COMPUTED_VALUE"""),"Sarra Selmi")</f>
        <v>Sarra Selmi</v>
      </c>
      <c r="C245" s="43" t="str">
        <f>IFERROR(__xludf.DUMMYFUNCTION("""COMPUTED_VALUE"""),"realized")</f>
        <v>realized</v>
      </c>
      <c r="D245" s="43" t="str">
        <f>IFERROR(__xludf.DUMMYFUNCTION("""COMPUTED_VALUE"""),"No")</f>
        <v>No</v>
      </c>
      <c r="E245" s="43" t="str">
        <f>IFERROR(__xludf.DUMMYFUNCTION("""COMPUTED_VALUE"""),"p_876276db7894f42721fcf050b6050aa3373a8d89@inbound.aiesec.org")</f>
        <v>p_876276db7894f42721fcf050b6050aa3373a8d89@inbound.aiesec.org</v>
      </c>
      <c r="F245" s="43"/>
      <c r="G245" s="43" t="str">
        <f>IFERROR(__xludf.DUMMYFUNCTION("""COMPUTED_VALUE"""),"Tunisia")</f>
        <v>Tunisia</v>
      </c>
      <c r="H245" s="43" t="str">
        <f>IFERROR(__xludf.DUMMYFUNCTION("""COMPUTED_VALUE"""),"HADRUMET")</f>
        <v>HADRUMET</v>
      </c>
      <c r="I245" s="43" t="str">
        <f>IFERROR(__xludf.DUMMYFUNCTION("""COMPUTED_VALUE"""),"Turkey")</f>
        <v>Turkey</v>
      </c>
      <c r="J245" s="43" t="str">
        <f>IFERROR(__xludf.DUMMYFUNCTION("""COMPUTED_VALUE"""),"ISTANBUL WEST")</f>
        <v>ISTANBUL WEST</v>
      </c>
      <c r="K245" s="44" t="str">
        <f>IFERROR(__xludf.DUMMYFUNCTION("""COMPUTED_VALUE"""),"https://expa.aiesec.org/opportunities/1294636")</f>
        <v>https://expa.aiesec.org/opportunities/1294636</v>
      </c>
      <c r="L245" s="43" t="str">
        <f>IFERROR(__xludf.DUMMYFUNCTION("""COMPUTED_VALUE"""),"GTe")</f>
        <v>GTe</v>
      </c>
      <c r="M245" s="43" t="str">
        <f>IFERROR(__xludf.DUMMYFUNCTION("""COMPUTED_VALUE"""),"long")</f>
        <v>long</v>
      </c>
      <c r="N245" s="45">
        <f>IFERROR(__xludf.DUMMYFUNCTION("""COMPUTED_VALUE"""),45085.0)</f>
        <v>45085</v>
      </c>
      <c r="O245" s="45">
        <f>IFERROR(__xludf.DUMMYFUNCTION("""COMPUTED_VALUE"""),45145.0)</f>
        <v>45145</v>
      </c>
      <c r="P245" s="45">
        <f>IFERROR(__xludf.DUMMYFUNCTION("""COMPUTED_VALUE"""),45473.0)</f>
        <v>45473</v>
      </c>
      <c r="Q245" s="45">
        <f>IFERROR(__xludf.DUMMYFUNCTION("""COMPUTED_VALUE"""),45170.0)</f>
        <v>45170</v>
      </c>
      <c r="R245" s="45">
        <f>IFERROR(__xludf.DUMMYFUNCTION("""COMPUTED_VALUE"""),45535.0)</f>
        <v>45535</v>
      </c>
      <c r="S245" s="43"/>
      <c r="T245" s="43"/>
      <c r="U245" s="43" t="str">
        <f>IFERROR(__xludf.DUMMYFUNCTION("""COMPUTED_VALUE"""),"Kindergarden English Teacher at Ihsan International School")</f>
        <v>Kindergarden English Teacher at Ihsan International School</v>
      </c>
      <c r="V245" s="43" t="str">
        <f>IFERROR(__xludf.DUMMYFUNCTION("""COMPUTED_VALUE"""),"-")</f>
        <v>-</v>
      </c>
      <c r="W245" s="43" t="str">
        <f>IFERROR(__xludf.DUMMYFUNCTION("""COMPUTED_VALUE"""),"2022-10-12T20:57:55Z")</f>
        <v>2022-10-12T20:57:55Z</v>
      </c>
      <c r="X245" s="43"/>
      <c r="Y245" s="43"/>
      <c r="Z245" s="43"/>
    </row>
    <row r="246" hidden="1">
      <c r="A246" s="43" t="str">
        <f>IFERROR(__xludf.DUMMYFUNCTION("""COMPUTED_VALUE"""),"4580838_1293407")</f>
        <v>4580838_1293407</v>
      </c>
      <c r="B246" s="43" t="str">
        <f>IFERROR(__xludf.DUMMYFUNCTION("""COMPUTED_VALUE"""),"SARRA ADDED")</f>
        <v>SARRA ADDED</v>
      </c>
      <c r="C246" s="43" t="str">
        <f>IFERROR(__xludf.DUMMYFUNCTION("""COMPUTED_VALUE"""),"approval_broken")</f>
        <v>approval_broken</v>
      </c>
      <c r="D246" s="43" t="str">
        <f>IFERROR(__xludf.DUMMYFUNCTION("""COMPUTED_VALUE"""),"No")</f>
        <v>No</v>
      </c>
      <c r="E246" s="43" t="str">
        <f>IFERROR(__xludf.DUMMYFUNCTION("""COMPUTED_VALUE"""),"p_7d95a1932190e972c1063487e48ea2e17adeb753@inbound.aiesec.org")</f>
        <v>p_7d95a1932190e972c1063487e48ea2e17adeb753@inbound.aiesec.org</v>
      </c>
      <c r="F246" s="43"/>
      <c r="G246" s="43" t="str">
        <f>IFERROR(__xludf.DUMMYFUNCTION("""COMPUTED_VALUE"""),"Tunisia")</f>
        <v>Tunisia</v>
      </c>
      <c r="H246" s="43" t="str">
        <f>IFERROR(__xludf.DUMMYFUNCTION("""COMPUTED_VALUE"""),"UNIVERSITY")</f>
        <v>UNIVERSITY</v>
      </c>
      <c r="I246" s="43" t="str">
        <f>IFERROR(__xludf.DUMMYFUNCTION("""COMPUTED_VALUE"""),"Turkey")</f>
        <v>Turkey</v>
      </c>
      <c r="J246" s="43" t="str">
        <f>IFERROR(__xludf.DUMMYFUNCTION("""COMPUTED_VALUE"""),"ISTANBUL ASIA")</f>
        <v>ISTANBUL ASIA</v>
      </c>
      <c r="K246" s="44" t="str">
        <f>IFERROR(__xludf.DUMMYFUNCTION("""COMPUTED_VALUE"""),"https://expa.aiesec.org/opportunities/1293407")</f>
        <v>https://expa.aiesec.org/opportunities/1293407</v>
      </c>
      <c r="L246" s="43" t="str">
        <f>IFERROR(__xludf.DUMMYFUNCTION("""COMPUTED_VALUE"""),"GTe")</f>
        <v>GTe</v>
      </c>
      <c r="M246" s="43" t="str">
        <f>IFERROR(__xludf.DUMMYFUNCTION("""COMPUTED_VALUE"""),"long")</f>
        <v>long</v>
      </c>
      <c r="N246" s="45">
        <f>IFERROR(__xludf.DUMMYFUNCTION("""COMPUTED_VALUE"""),45115.0)</f>
        <v>45115</v>
      </c>
      <c r="O246" s="45">
        <f>IFERROR(__xludf.DUMMYFUNCTION("""COMPUTED_VALUE"""),45117.0)</f>
        <v>45117</v>
      </c>
      <c r="P246" s="45">
        <f>IFERROR(__xludf.DUMMYFUNCTION("""COMPUTED_VALUE"""),45480.0)</f>
        <v>45480</v>
      </c>
      <c r="Q246" s="45"/>
      <c r="R246" s="45"/>
      <c r="S246" s="43"/>
      <c r="T246" s="43"/>
      <c r="U246" s="43" t="str">
        <f>IFERROR(__xludf.DUMMYFUNCTION("""COMPUTED_VALUE"""),"English Teacher ")</f>
        <v>English Teacher </v>
      </c>
      <c r="V246" s="43" t="str">
        <f>IFERROR(__xludf.DUMMYFUNCTION("""COMPUTED_VALUE"""),"-")</f>
        <v>-</v>
      </c>
      <c r="W246" s="43" t="str">
        <f>IFERROR(__xludf.DUMMYFUNCTION("""COMPUTED_VALUE"""),"2021-03-16T17:29:20Z")</f>
        <v>2021-03-16T17:29:20Z</v>
      </c>
      <c r="X246" s="43"/>
      <c r="Y246" s="43"/>
      <c r="Z246" s="43"/>
    </row>
    <row r="247" hidden="1">
      <c r="A247" s="43" t="str">
        <f>IFERROR(__xludf.DUMMYFUNCTION("""COMPUTED_VALUE"""),"5272372_1295716")</f>
        <v>5272372_1295716</v>
      </c>
      <c r="B247" s="43" t="str">
        <f>IFERROR(__xludf.DUMMYFUNCTION("""COMPUTED_VALUE"""),"Esraa Khattab")</f>
        <v>Esraa Khattab</v>
      </c>
      <c r="C247" s="43" t="str">
        <f>IFERROR(__xludf.DUMMYFUNCTION("""COMPUTED_VALUE"""),"realized")</f>
        <v>realized</v>
      </c>
      <c r="D247" s="43" t="str">
        <f>IFERROR(__xludf.DUMMYFUNCTION("""COMPUTED_VALUE"""),"No")</f>
        <v>No</v>
      </c>
      <c r="E247" s="43" t="str">
        <f>IFERROR(__xludf.DUMMYFUNCTION("""COMPUTED_VALUE"""),"p_f3775c3caaf0f4f796fbb8cf80fbc0c4a37d7755@inbound.aiesec.org")</f>
        <v>p_f3775c3caaf0f4f796fbb8cf80fbc0c4a37d7755@inbound.aiesec.org</v>
      </c>
      <c r="F247" s="43">
        <f>IFERROR(__xludf.DUMMYFUNCTION("""COMPUTED_VALUE"""),1.009560379E9)</f>
        <v>1009560379</v>
      </c>
      <c r="G247" s="43" t="str">
        <f>IFERROR(__xludf.DUMMYFUNCTION("""COMPUTED_VALUE"""),"Egypt")</f>
        <v>Egypt</v>
      </c>
      <c r="H247" s="43" t="str">
        <f>IFERROR(__xludf.DUMMYFUNCTION("""COMPUTED_VALUE"""),"Cairo University")</f>
        <v>Cairo University</v>
      </c>
      <c r="I247" s="43" t="str">
        <f>IFERROR(__xludf.DUMMYFUNCTION("""COMPUTED_VALUE"""),"Turkey")</f>
        <v>Turkey</v>
      </c>
      <c r="J247" s="43" t="str">
        <f>IFERROR(__xludf.DUMMYFUNCTION("""COMPUTED_VALUE"""),"ISTANBUL ASIA")</f>
        <v>ISTANBUL ASIA</v>
      </c>
      <c r="K247" s="44" t="str">
        <f>IFERROR(__xludf.DUMMYFUNCTION("""COMPUTED_VALUE"""),"https://expa.aiesec.org/opportunities/1295716")</f>
        <v>https://expa.aiesec.org/opportunities/1295716</v>
      </c>
      <c r="L247" s="43" t="str">
        <f>IFERROR(__xludf.DUMMYFUNCTION("""COMPUTED_VALUE"""),"GTe")</f>
        <v>GTe</v>
      </c>
      <c r="M247" s="43" t="str">
        <f>IFERROR(__xludf.DUMMYFUNCTION("""COMPUTED_VALUE"""),"long")</f>
        <v>long</v>
      </c>
      <c r="N247" s="45">
        <f>IFERROR(__xludf.DUMMYFUNCTION("""COMPUTED_VALUE"""),45085.0)</f>
        <v>45085</v>
      </c>
      <c r="O247" s="45">
        <f>IFERROR(__xludf.DUMMYFUNCTION("""COMPUTED_VALUE"""),45145.0)</f>
        <v>45145</v>
      </c>
      <c r="P247" s="45">
        <f>IFERROR(__xludf.DUMMYFUNCTION("""COMPUTED_VALUE"""),45507.0)</f>
        <v>45507</v>
      </c>
      <c r="Q247" s="45">
        <f>IFERROR(__xludf.DUMMYFUNCTION("""COMPUTED_VALUE"""),45146.0)</f>
        <v>45146</v>
      </c>
      <c r="R247" s="45">
        <f>IFERROR(__xludf.DUMMYFUNCTION("""COMPUTED_VALUE"""),45508.0)</f>
        <v>45508</v>
      </c>
      <c r="S247" s="43"/>
      <c r="T247" s="43"/>
      <c r="U247" s="43" t="str">
        <f>IFERROR(__xludf.DUMMYFUNCTION("""COMPUTED_VALUE"""),"English Teacher")</f>
        <v>English Teacher</v>
      </c>
      <c r="V247" s="43" t="str">
        <f>IFERROR(__xludf.DUMMYFUNCTION("""COMPUTED_VALUE"""),"Cairo Univeristy")</f>
        <v>Cairo Univeristy</v>
      </c>
      <c r="W247" s="43" t="str">
        <f>IFERROR(__xludf.DUMMYFUNCTION("""COMPUTED_VALUE"""),"2023-06-07T10:33:35Z")</f>
        <v>2023-06-07T10:33:35Z</v>
      </c>
      <c r="X247" s="43"/>
      <c r="Y247" s="43"/>
      <c r="Z247" s="43"/>
    </row>
    <row r="248" hidden="1">
      <c r="A248" s="43" t="str">
        <f>IFERROR(__xludf.DUMMYFUNCTION("""COMPUTED_VALUE"""),"5267479_1293407")</f>
        <v>5267479_1293407</v>
      </c>
      <c r="B248" s="43" t="str">
        <f>IFERROR(__xludf.DUMMYFUNCTION("""COMPUTED_VALUE"""),"Hasna Bard")</f>
        <v>Hasna Bard</v>
      </c>
      <c r="C248" s="43" t="str">
        <f>IFERROR(__xludf.DUMMYFUNCTION("""COMPUTED_VALUE"""),"approved")</f>
        <v>approved</v>
      </c>
      <c r="D248" s="43" t="str">
        <f>IFERROR(__xludf.DUMMYFUNCTION("""COMPUTED_VALUE"""),"No")</f>
        <v>No</v>
      </c>
      <c r="E248" s="43" t="str">
        <f>IFERROR(__xludf.DUMMYFUNCTION("""COMPUTED_VALUE"""),"p_fc0779984339118fc1fa188eba38fa4df8b06827@inbound.aiesec.org")</f>
        <v>p_fc0779984339118fc1fa188eba38fa4df8b06827@inbound.aiesec.org</v>
      </c>
      <c r="F248" s="43"/>
      <c r="G248" s="43" t="str">
        <f>IFERROR(__xludf.DUMMYFUNCTION("""COMPUTED_VALUE"""),"Morocco")</f>
        <v>Morocco</v>
      </c>
      <c r="H248" s="43" t="str">
        <f>IFERROR(__xludf.DUMMYFUNCTION("""COMPUTED_VALUE"""),"Morocco (MC)")</f>
        <v>Morocco (MC)</v>
      </c>
      <c r="I248" s="43" t="str">
        <f>IFERROR(__xludf.DUMMYFUNCTION("""COMPUTED_VALUE"""),"Turkey")</f>
        <v>Turkey</v>
      </c>
      <c r="J248" s="43" t="str">
        <f>IFERROR(__xludf.DUMMYFUNCTION("""COMPUTED_VALUE"""),"ISTANBUL ASIA")</f>
        <v>ISTANBUL ASIA</v>
      </c>
      <c r="K248" s="44" t="str">
        <f>IFERROR(__xludf.DUMMYFUNCTION("""COMPUTED_VALUE"""),"https://expa.aiesec.org/opportunities/1293407")</f>
        <v>https://expa.aiesec.org/opportunities/1293407</v>
      </c>
      <c r="L248" s="43" t="str">
        <f>IFERROR(__xludf.DUMMYFUNCTION("""COMPUTED_VALUE"""),"GTe")</f>
        <v>GTe</v>
      </c>
      <c r="M248" s="43" t="str">
        <f>IFERROR(__xludf.DUMMYFUNCTION("""COMPUTED_VALUE"""),"long")</f>
        <v>long</v>
      </c>
      <c r="N248" s="45">
        <f>IFERROR(__xludf.DUMMYFUNCTION("""COMPUTED_VALUE"""),45085.0)</f>
        <v>45085</v>
      </c>
      <c r="O248" s="45">
        <f>IFERROR(__xludf.DUMMYFUNCTION("""COMPUTED_VALUE"""),45166.0)</f>
        <v>45166</v>
      </c>
      <c r="P248" s="45">
        <f>IFERROR(__xludf.DUMMYFUNCTION("""COMPUTED_VALUE"""),45534.0)</f>
        <v>45534</v>
      </c>
      <c r="Q248" s="45"/>
      <c r="R248" s="45"/>
      <c r="S248" s="43"/>
      <c r="T248" s="43"/>
      <c r="U248" s="43" t="str">
        <f>IFERROR(__xludf.DUMMYFUNCTION("""COMPUTED_VALUE"""),"English Teacher ")</f>
        <v>English Teacher </v>
      </c>
      <c r="V248" s="43" t="str">
        <f>IFERROR(__xludf.DUMMYFUNCTION("""COMPUTED_VALUE"""),"-")</f>
        <v>-</v>
      </c>
      <c r="W248" s="43" t="str">
        <f>IFERROR(__xludf.DUMMYFUNCTION("""COMPUTED_VALUE"""),"2023-05-27T12:06:44Z")</f>
        <v>2023-05-27T12:06:44Z</v>
      </c>
      <c r="X248" s="43"/>
      <c r="Y248" s="43"/>
      <c r="Z248" s="43"/>
    </row>
    <row r="249" hidden="1">
      <c r="A249" s="43" t="str">
        <f>IFERROR(__xludf.DUMMYFUNCTION("""COMPUTED_VALUE"""),"5272599_1295514")</f>
        <v>5272599_1295514</v>
      </c>
      <c r="B249" s="43" t="str">
        <f>IFERROR(__xludf.DUMMYFUNCTION("""COMPUTED_VALUE"""),"Zahra Belkhiria")</f>
        <v>Zahra Belkhiria</v>
      </c>
      <c r="C249" s="43" t="str">
        <f>IFERROR(__xludf.DUMMYFUNCTION("""COMPUTED_VALUE"""),"approved")</f>
        <v>approved</v>
      </c>
      <c r="D249" s="43" t="str">
        <f>IFERROR(__xludf.DUMMYFUNCTION("""COMPUTED_VALUE"""),"No")</f>
        <v>No</v>
      </c>
      <c r="E249" s="43" t="str">
        <f>IFERROR(__xludf.DUMMYFUNCTION("""COMPUTED_VALUE"""),"p_ee833837fab16474aac10d4cb03c0c70b7420c55@inbound.aiesec.org")</f>
        <v>p_ee833837fab16474aac10d4cb03c0c70b7420c55@inbound.aiesec.org</v>
      </c>
      <c r="F249" s="43">
        <f>IFERROR(__xludf.DUMMYFUNCTION("""COMPUTED_VALUE"""),9.928971E7)</f>
        <v>99289710</v>
      </c>
      <c r="G249" s="43" t="str">
        <f>IFERROR(__xludf.DUMMYFUNCTION("""COMPUTED_VALUE"""),"Tunisia")</f>
        <v>Tunisia</v>
      </c>
      <c r="H249" s="43" t="str">
        <f>IFERROR(__xludf.DUMMYFUNCTION("""COMPUTED_VALUE"""),"RUSPINA")</f>
        <v>RUSPINA</v>
      </c>
      <c r="I249" s="43" t="str">
        <f>IFERROR(__xludf.DUMMYFUNCTION("""COMPUTED_VALUE"""),"Turkey")</f>
        <v>Turkey</v>
      </c>
      <c r="J249" s="43" t="str">
        <f>IFERROR(__xludf.DUMMYFUNCTION("""COMPUTED_VALUE"""),"GAZIANTEP")</f>
        <v>GAZIANTEP</v>
      </c>
      <c r="K249" s="44" t="str">
        <f>IFERROR(__xludf.DUMMYFUNCTION("""COMPUTED_VALUE"""),"https://expa.aiesec.org/opportunities/1295514")</f>
        <v>https://expa.aiesec.org/opportunities/1295514</v>
      </c>
      <c r="L249" s="43" t="str">
        <f>IFERROR(__xludf.DUMMYFUNCTION("""COMPUTED_VALUE"""),"GTe")</f>
        <v>GTe</v>
      </c>
      <c r="M249" s="43" t="str">
        <f>IFERROR(__xludf.DUMMYFUNCTION("""COMPUTED_VALUE"""),"long")</f>
        <v>long</v>
      </c>
      <c r="N249" s="45">
        <f>IFERROR(__xludf.DUMMYFUNCTION("""COMPUTED_VALUE"""),45086.0)</f>
        <v>45086</v>
      </c>
      <c r="O249" s="45">
        <f>IFERROR(__xludf.DUMMYFUNCTION("""COMPUTED_VALUE"""),45108.0)</f>
        <v>45108</v>
      </c>
      <c r="P249" s="45">
        <f>IFERROR(__xludf.DUMMYFUNCTION("""COMPUTED_VALUE"""),45473.0)</f>
        <v>45473</v>
      </c>
      <c r="Q249" s="45"/>
      <c r="R249" s="45"/>
      <c r="S249" s="43"/>
      <c r="T249" s="43"/>
      <c r="U249" s="43" t="str">
        <f>IFERROR(__xludf.DUMMYFUNCTION("""COMPUTED_VALUE"""),"English Teacher")</f>
        <v>English Teacher</v>
      </c>
      <c r="V249" s="43" t="str">
        <f>IFERROR(__xludf.DUMMYFUNCTION("""COMPUTED_VALUE"""),"ISLAA Moknine")</f>
        <v>ISLAA Moknine</v>
      </c>
      <c r="W249" s="43" t="str">
        <f>IFERROR(__xludf.DUMMYFUNCTION("""COMPUTED_VALUE"""),"2023-06-07T18:30:40Z")</f>
        <v>2023-06-07T18:30:40Z</v>
      </c>
      <c r="X249" s="43"/>
      <c r="Y249" s="43"/>
      <c r="Z249" s="43"/>
    </row>
    <row r="250">
      <c r="A250" s="43" t="str">
        <f>IFERROR(__xludf.DUMMYFUNCTION("""COMPUTED_VALUE"""),"5264104_1290731")</f>
        <v>5264104_1290731</v>
      </c>
      <c r="B250" s="43" t="str">
        <f>IFERROR(__xludf.DUMMYFUNCTION("""COMPUTED_VALUE"""),"Vidah Yeboah")</f>
        <v>Vidah Yeboah</v>
      </c>
      <c r="C250" s="43" t="str">
        <f>IFERROR(__xludf.DUMMYFUNCTION("""COMPUTED_VALUE"""),"approved")</f>
        <v>approved</v>
      </c>
      <c r="D250" s="43" t="str">
        <f>IFERROR(__xludf.DUMMYFUNCTION("""COMPUTED_VALUE"""),"No")</f>
        <v>No</v>
      </c>
      <c r="E250" s="43" t="str">
        <f>IFERROR(__xludf.DUMMYFUNCTION("""COMPUTED_VALUE"""),"p_ec459c8d0722769c05f299b2345f21a1ec597edc@inbound.aiesec.org")</f>
        <v>p_ec459c8d0722769c05f299b2345f21a1ec597edc@inbound.aiesec.org</v>
      </c>
      <c r="F250" s="43">
        <f>IFERROR(__xludf.DUMMYFUNCTION("""COMPUTED_VALUE"""),5.4932281E8)</f>
        <v>549322810</v>
      </c>
      <c r="G250" s="43" t="str">
        <f>IFERROR(__xludf.DUMMYFUNCTION("""COMPUTED_VALUE"""),"Ghana")</f>
        <v>Ghana</v>
      </c>
      <c r="H250" s="43" t="str">
        <f>IFERROR(__xludf.DUMMYFUNCTION("""COMPUTED_VALUE""")," RMU")</f>
        <v> RMU</v>
      </c>
      <c r="I250" s="43" t="str">
        <f>IFERROR(__xludf.DUMMYFUNCTION("""COMPUTED_VALUE"""),"Turkey")</f>
        <v>Turkey</v>
      </c>
      <c r="J250" s="43" t="str">
        <f>IFERROR(__xludf.DUMMYFUNCTION("""COMPUTED_VALUE"""),"GAZIANTEP")</f>
        <v>GAZIANTEP</v>
      </c>
      <c r="K250" s="44" t="str">
        <f>IFERROR(__xludf.DUMMYFUNCTION("""COMPUTED_VALUE"""),"https://expa.aiesec.org/opportunities/1290731")</f>
        <v>https://expa.aiesec.org/opportunities/1290731</v>
      </c>
      <c r="L250" s="43" t="str">
        <f>IFERROR(__xludf.DUMMYFUNCTION("""COMPUTED_VALUE"""),"GTe")</f>
        <v>GTe</v>
      </c>
      <c r="M250" s="43" t="str">
        <f>IFERROR(__xludf.DUMMYFUNCTION("""COMPUTED_VALUE"""),"long")</f>
        <v>long</v>
      </c>
      <c r="N250" s="45">
        <f>IFERROR(__xludf.DUMMYFUNCTION("""COMPUTED_VALUE"""),45086.0)</f>
        <v>45086</v>
      </c>
      <c r="O250" s="45">
        <f>IFERROR(__xludf.DUMMYFUNCTION("""COMPUTED_VALUE"""),45107.0)</f>
        <v>45107</v>
      </c>
      <c r="P250" s="45">
        <f>IFERROR(__xludf.DUMMYFUNCTION("""COMPUTED_VALUE"""),45472.0)</f>
        <v>45472</v>
      </c>
      <c r="Q250" s="45"/>
      <c r="R250" s="45"/>
      <c r="S250" s="43"/>
      <c r="T250" s="43"/>
      <c r="U250" s="43" t="str">
        <f>IFERROR(__xludf.DUMMYFUNCTION("""COMPUTED_VALUE"""),"English Time")</f>
        <v>English Time</v>
      </c>
      <c r="V250" s="43" t="str">
        <f>IFERROR(__xludf.DUMMYFUNCTION("""COMPUTED_VALUE"""),"Accra - Regional Maritime University")</f>
        <v>Accra - Regional Maritime University</v>
      </c>
      <c r="W250" s="43" t="str">
        <f>IFERROR(__xludf.DUMMYFUNCTION("""COMPUTED_VALUE"""),"2023-05-20T13:35:33Z")</f>
        <v>2023-05-20T13:35:33Z</v>
      </c>
      <c r="X250" s="43"/>
      <c r="Y250" s="43"/>
      <c r="Z250" s="43"/>
    </row>
    <row r="251" hidden="1">
      <c r="A251" s="43" t="str">
        <f>IFERROR(__xludf.DUMMYFUNCTION("""COMPUTED_VALUE"""),"2250493_1283288")</f>
        <v>2250493_1283288</v>
      </c>
      <c r="B251" s="43" t="str">
        <f>IFERROR(__xludf.DUMMYFUNCTION("""COMPUTED_VALUE"""),"Amr Hossam Eldeen")</f>
        <v>Amr Hossam Eldeen</v>
      </c>
      <c r="C251" s="43" t="str">
        <f>IFERROR(__xludf.DUMMYFUNCTION("""COMPUTED_VALUE"""),"realized")</f>
        <v>realized</v>
      </c>
      <c r="D251" s="43" t="str">
        <f>IFERROR(__xludf.DUMMYFUNCTION("""COMPUTED_VALUE"""),"No")</f>
        <v>No</v>
      </c>
      <c r="E251" s="43" t="str">
        <f>IFERROR(__xludf.DUMMYFUNCTION("""COMPUTED_VALUE"""),"p_5f7dd47f7bd5263d845b4fc4bfdf6b23b3abc233@inbound.aiesec.org")</f>
        <v>p_5f7dd47f7bd5263d845b4fc4bfdf6b23b3abc233@inbound.aiesec.org</v>
      </c>
      <c r="F251" s="43">
        <f>IFERROR(__xludf.DUMMYFUNCTION("""COMPUTED_VALUE"""),1.141898585E9)</f>
        <v>1141898585</v>
      </c>
      <c r="G251" s="43" t="str">
        <f>IFERROR(__xludf.DUMMYFUNCTION("""COMPUTED_VALUE"""),"Egypt")</f>
        <v>Egypt</v>
      </c>
      <c r="H251" s="43" t="str">
        <f>IFERROR(__xludf.DUMMYFUNCTION("""COMPUTED_VALUE"""),"MUST")</f>
        <v>MUST</v>
      </c>
      <c r="I251" s="43" t="str">
        <f>IFERROR(__xludf.DUMMYFUNCTION("""COMPUTED_VALUE"""),"Turkey")</f>
        <v>Turkey</v>
      </c>
      <c r="J251" s="43" t="str">
        <f>IFERROR(__xludf.DUMMYFUNCTION("""COMPUTED_VALUE"""),"ISTANBUL ASIA")</f>
        <v>ISTANBUL ASIA</v>
      </c>
      <c r="K251" s="44" t="str">
        <f>IFERROR(__xludf.DUMMYFUNCTION("""COMPUTED_VALUE"""),"https://expa.aiesec.org/opportunities/1283288")</f>
        <v>https://expa.aiesec.org/opportunities/1283288</v>
      </c>
      <c r="L251" s="43" t="str">
        <f>IFERROR(__xludf.DUMMYFUNCTION("""COMPUTED_VALUE"""),"GTe")</f>
        <v>GTe</v>
      </c>
      <c r="M251" s="43" t="str">
        <f>IFERROR(__xludf.DUMMYFUNCTION("""COMPUTED_VALUE"""),"long")</f>
        <v>long</v>
      </c>
      <c r="N251" s="45">
        <f>IFERROR(__xludf.DUMMYFUNCTION("""COMPUTED_VALUE"""),45087.0)</f>
        <v>45087</v>
      </c>
      <c r="O251" s="45">
        <f>IFERROR(__xludf.DUMMYFUNCTION("""COMPUTED_VALUE"""),45082.0)</f>
        <v>45082</v>
      </c>
      <c r="P251" s="45">
        <f>IFERROR(__xludf.DUMMYFUNCTION("""COMPUTED_VALUE"""),45448.0)</f>
        <v>45448</v>
      </c>
      <c r="Q251" s="45">
        <f>IFERROR(__xludf.DUMMYFUNCTION("""COMPUTED_VALUE"""),45092.0)</f>
        <v>45092</v>
      </c>
      <c r="R251" s="45">
        <f>IFERROR(__xludf.DUMMYFUNCTION("""COMPUTED_VALUE"""),45458.0)</f>
        <v>45458</v>
      </c>
      <c r="S251" s="43"/>
      <c r="T251" s="43" t="str">
        <f>IFERROR(__xludf.DUMMYFUNCTION("""COMPUTED_VALUE"""),"Other")</f>
        <v>Other</v>
      </c>
      <c r="U251" s="43" t="str">
        <f>IFERROR(__xludf.DUMMYFUNCTION("""COMPUTED_VALUE"""),"Native Speaker")</f>
        <v>Native Speaker</v>
      </c>
      <c r="V251" s="43" t="str">
        <f>IFERROR(__xludf.DUMMYFUNCTION("""COMPUTED_VALUE"""),"MSA Univeristy")</f>
        <v>MSA Univeristy</v>
      </c>
      <c r="W251" s="43" t="str">
        <f>IFERROR(__xludf.DUMMYFUNCTION("""COMPUTED_VALUE"""),"2018-04-23T11:51:03Z")</f>
        <v>2018-04-23T11:51:03Z</v>
      </c>
      <c r="X251" s="43"/>
      <c r="Y251" s="43"/>
      <c r="Z251" s="43"/>
    </row>
    <row r="252" hidden="1">
      <c r="A252" s="43" t="str">
        <f>IFERROR(__xludf.DUMMYFUNCTION("""COMPUTED_VALUE"""),"5174306_1294941")</f>
        <v>5174306_1294941</v>
      </c>
      <c r="B252" s="43" t="str">
        <f>IFERROR(__xludf.DUMMYFUNCTION("""COMPUTED_VALUE"""),"AICHA BOUFENCHOUCHA")</f>
        <v>AICHA BOUFENCHOUCHA</v>
      </c>
      <c r="C252" s="43" t="str">
        <f>IFERROR(__xludf.DUMMYFUNCTION("""COMPUTED_VALUE"""),"realization_broken")</f>
        <v>realization_broken</v>
      </c>
      <c r="D252" s="43" t="str">
        <f>IFERROR(__xludf.DUMMYFUNCTION("""COMPUTED_VALUE"""),"No")</f>
        <v>No</v>
      </c>
      <c r="E252" s="43" t="str">
        <f>IFERROR(__xludf.DUMMYFUNCTION("""COMPUTED_VALUE"""),"p_654e5194ce3af14e8685c6d0412ff8612d542f7c@inbound.aiesec.org")</f>
        <v>p_654e5194ce3af14e8685c6d0412ff8612d542f7c@inbound.aiesec.org</v>
      </c>
      <c r="F252" s="43">
        <f>IFERROR(__xludf.DUMMYFUNCTION("""COMPUTED_VALUE"""),6.68213094E8)</f>
        <v>668213094</v>
      </c>
      <c r="G252" s="43" t="str">
        <f>IFERROR(__xludf.DUMMYFUNCTION("""COMPUTED_VALUE"""),"Algeria")</f>
        <v>Algeria</v>
      </c>
      <c r="H252" s="43" t="str">
        <f>IFERROR(__xludf.DUMMYFUNCTION("""COMPUTED_VALUE"""),"Bejaia")</f>
        <v>Bejaia</v>
      </c>
      <c r="I252" s="43" t="str">
        <f>IFERROR(__xludf.DUMMYFUNCTION("""COMPUTED_VALUE"""),"Turkey")</f>
        <v>Turkey</v>
      </c>
      <c r="J252" s="43" t="str">
        <f>IFERROR(__xludf.DUMMYFUNCTION("""COMPUTED_VALUE"""),"ADANA")</f>
        <v>ADANA</v>
      </c>
      <c r="K252" s="44" t="str">
        <f>IFERROR(__xludf.DUMMYFUNCTION("""COMPUTED_VALUE"""),"https://expa.aiesec.org/opportunities/1294941")</f>
        <v>https://expa.aiesec.org/opportunities/1294941</v>
      </c>
      <c r="L252" s="43" t="str">
        <f>IFERROR(__xludf.DUMMYFUNCTION("""COMPUTED_VALUE"""),"GTe")</f>
        <v>GTe</v>
      </c>
      <c r="M252" s="43" t="str">
        <f>IFERROR(__xludf.DUMMYFUNCTION("""COMPUTED_VALUE"""),"long")</f>
        <v>long</v>
      </c>
      <c r="N252" s="45">
        <f>IFERROR(__xludf.DUMMYFUNCTION("""COMPUTED_VALUE"""),45088.0)</f>
        <v>45088</v>
      </c>
      <c r="O252" s="45">
        <f>IFERROR(__xludf.DUMMYFUNCTION("""COMPUTED_VALUE"""),45153.0)</f>
        <v>45153</v>
      </c>
      <c r="P252" s="45">
        <f>IFERROR(__xludf.DUMMYFUNCTION("""COMPUTED_VALUE"""),45474.0)</f>
        <v>45474</v>
      </c>
      <c r="Q252" s="45"/>
      <c r="R252" s="45"/>
      <c r="S252" s="43"/>
      <c r="T252" s="43"/>
      <c r="U252" s="43" t="str">
        <f>IFERROR(__xludf.DUMMYFUNCTION("""COMPUTED_VALUE"""),"English Teaching in Diyarbakır TED")</f>
        <v>English Teaching in Diyarbakır TED</v>
      </c>
      <c r="V252" s="43" t="str">
        <f>IFERROR(__xludf.DUMMYFUNCTION("""COMPUTED_VALUE"""),"AIESEC in Bejaia")</f>
        <v>AIESEC in Bejaia</v>
      </c>
      <c r="W252" s="43" t="str">
        <f>IFERROR(__xludf.DUMMYFUNCTION("""COMPUTED_VALUE"""),"2023-01-08T13:05:21Z")</f>
        <v>2023-01-08T13:05:21Z</v>
      </c>
      <c r="X252" s="43"/>
      <c r="Y252" s="43"/>
      <c r="Z252" s="43"/>
    </row>
    <row r="253" hidden="1">
      <c r="A253" s="43" t="str">
        <f>IFERROR(__xludf.DUMMYFUNCTION("""COMPUTED_VALUE"""),"4663622_1264946")</f>
        <v>4663622_1264946</v>
      </c>
      <c r="B253" s="43" t="str">
        <f>IFERROR(__xludf.DUMMYFUNCTION("""COMPUTED_VALUE"""),"Monika Marshela Tiurnauli Simbolon")</f>
        <v>Monika Marshela Tiurnauli Simbolon</v>
      </c>
      <c r="C253" s="43" t="str">
        <f>IFERROR(__xludf.DUMMYFUNCTION("""COMPUTED_VALUE"""),"approved")</f>
        <v>approved</v>
      </c>
      <c r="D253" s="43" t="str">
        <f>IFERROR(__xludf.DUMMYFUNCTION("""COMPUTED_VALUE"""),"No")</f>
        <v>No</v>
      </c>
      <c r="E253" s="43" t="str">
        <f>IFERROR(__xludf.DUMMYFUNCTION("""COMPUTED_VALUE"""),"p_25feeddc1f2c1f43170a109442ec6ec66359d75d@inbound.aiesec.org")</f>
        <v>p_25feeddc1f2c1f43170a109442ec6ec66359d75d@inbound.aiesec.org</v>
      </c>
      <c r="F253" s="43">
        <f>IFERROR(__xludf.DUMMYFUNCTION("""COMPUTED_VALUE"""),8.2335641448E10)</f>
        <v>82335641448</v>
      </c>
      <c r="G253" s="43" t="str">
        <f>IFERROR(__xludf.DUMMYFUNCTION("""COMPUTED_VALUE"""),"Indonesia")</f>
        <v>Indonesia</v>
      </c>
      <c r="H253" s="43" t="str">
        <f>IFERROR(__xludf.DUMMYFUNCTION("""COMPUTED_VALUE"""),"Semarang")</f>
        <v>Semarang</v>
      </c>
      <c r="I253" s="43" t="str">
        <f>IFERROR(__xludf.DUMMYFUNCTION("""COMPUTED_VALUE"""),"Turkey")</f>
        <v>Turkey</v>
      </c>
      <c r="J253" s="43" t="str">
        <f>IFERROR(__xludf.DUMMYFUNCTION("""COMPUTED_VALUE"""),"KOCAELI")</f>
        <v>KOCAELI</v>
      </c>
      <c r="K253" s="44" t="str">
        <f>IFERROR(__xludf.DUMMYFUNCTION("""COMPUTED_VALUE"""),"https://expa.aiesec.org/opportunities/1264946")</f>
        <v>https://expa.aiesec.org/opportunities/1264946</v>
      </c>
      <c r="L253" s="43" t="str">
        <f>IFERROR(__xludf.DUMMYFUNCTION("""COMPUTED_VALUE"""),"GTe")</f>
        <v>GTe</v>
      </c>
      <c r="M253" s="43" t="str">
        <f>IFERROR(__xludf.DUMMYFUNCTION("""COMPUTED_VALUE"""),"long")</f>
        <v>long</v>
      </c>
      <c r="N253" s="45">
        <f>IFERROR(__xludf.DUMMYFUNCTION("""COMPUTED_VALUE"""),45088.0)</f>
        <v>45088</v>
      </c>
      <c r="O253" s="45">
        <f>IFERROR(__xludf.DUMMYFUNCTION("""COMPUTED_VALUE"""),45166.0)</f>
        <v>45166</v>
      </c>
      <c r="P253" s="45">
        <f>IFERROR(__xludf.DUMMYFUNCTION("""COMPUTED_VALUE"""),45473.0)</f>
        <v>45473</v>
      </c>
      <c r="Q253" s="45"/>
      <c r="R253" s="45"/>
      <c r="S253" s="43"/>
      <c r="T253" s="43"/>
      <c r="U253" s="43" t="str">
        <f>IFERROR(__xludf.DUMMYFUNCTION("""COMPUTED_VALUE"""),"English Teacher in Boutique Kindergarden ")</f>
        <v>English Teacher in Boutique Kindergarden </v>
      </c>
      <c r="V253" s="43" t="str">
        <f>IFERROR(__xludf.DUMMYFUNCTION("""COMPUTED_VALUE"""),"Universitas Diponegoro")</f>
        <v>Universitas Diponegoro</v>
      </c>
      <c r="W253" s="43" t="str">
        <f>IFERROR(__xludf.DUMMYFUNCTION("""COMPUTED_VALUE"""),"2021-06-09T12:49:36Z")</f>
        <v>2021-06-09T12:49:36Z</v>
      </c>
      <c r="X253" s="43"/>
      <c r="Y253" s="43"/>
      <c r="Z253" s="43"/>
    </row>
    <row r="254" hidden="1">
      <c r="A254" s="43" t="str">
        <f>IFERROR(__xludf.DUMMYFUNCTION("""COMPUTED_VALUE"""),"5241754_1286368")</f>
        <v>5241754_1286368</v>
      </c>
      <c r="B254" s="43" t="str">
        <f>IFERROR(__xludf.DUMMYFUNCTION("""COMPUTED_VALUE"""),"Yuliia Hunko")</f>
        <v>Yuliia Hunko</v>
      </c>
      <c r="C254" s="43" t="str">
        <f>IFERROR(__xludf.DUMMYFUNCTION("""COMPUTED_VALUE"""),"realized")</f>
        <v>realized</v>
      </c>
      <c r="D254" s="43" t="str">
        <f>IFERROR(__xludf.DUMMYFUNCTION("""COMPUTED_VALUE"""),"No")</f>
        <v>No</v>
      </c>
      <c r="E254" s="43" t="str">
        <f>IFERROR(__xludf.DUMMYFUNCTION("""COMPUTED_VALUE"""),"p_2d8a620a2526abec5b280ba6949498608f5e741e@inbound.aiesec.org")</f>
        <v>p_2d8a620a2526abec5b280ba6949498608f5e741e@inbound.aiesec.org</v>
      </c>
      <c r="F254" s="43">
        <f>IFERROR(__xludf.DUMMYFUNCTION("""COMPUTED_VALUE"""),9.78455E8)</f>
        <v>978455000</v>
      </c>
      <c r="G254" s="43" t="str">
        <f>IFERROR(__xludf.DUMMYFUNCTION("""COMPUTED_VALUE"""),"Ukraine")</f>
        <v>Ukraine</v>
      </c>
      <c r="H254" s="43" t="str">
        <f>IFERROR(__xludf.DUMMYFUNCTION("""COMPUTED_VALUE"""),"LVIV")</f>
        <v>LVIV</v>
      </c>
      <c r="I254" s="43" t="str">
        <f>IFERROR(__xludf.DUMMYFUNCTION("""COMPUTED_VALUE"""),"Turkey")</f>
        <v>Turkey</v>
      </c>
      <c r="J254" s="43" t="str">
        <f>IFERROR(__xludf.DUMMYFUNCTION("""COMPUTED_VALUE"""),"ISTANBUL ASIA")</f>
        <v>ISTANBUL ASIA</v>
      </c>
      <c r="K254" s="44" t="str">
        <f>IFERROR(__xludf.DUMMYFUNCTION("""COMPUTED_VALUE"""),"https://expa.aiesec.org/opportunities/1286368")</f>
        <v>https://expa.aiesec.org/opportunities/1286368</v>
      </c>
      <c r="L254" s="43" t="str">
        <f>IFERROR(__xludf.DUMMYFUNCTION("""COMPUTED_VALUE"""),"GTe")</f>
        <v>GTe</v>
      </c>
      <c r="M254" s="43" t="str">
        <f>IFERROR(__xludf.DUMMYFUNCTION("""COMPUTED_VALUE"""),"long")</f>
        <v>long</v>
      </c>
      <c r="N254" s="45">
        <f>IFERROR(__xludf.DUMMYFUNCTION("""COMPUTED_VALUE"""),45088.0)</f>
        <v>45088</v>
      </c>
      <c r="O254" s="45">
        <f>IFERROR(__xludf.DUMMYFUNCTION("""COMPUTED_VALUE"""),45152.0)</f>
        <v>45152</v>
      </c>
      <c r="P254" s="45">
        <f>IFERROR(__xludf.DUMMYFUNCTION("""COMPUTED_VALUE"""),45473.0)</f>
        <v>45473</v>
      </c>
      <c r="Q254" s="45">
        <f>IFERROR(__xludf.DUMMYFUNCTION("""COMPUTED_VALUE"""),45153.0)</f>
        <v>45153</v>
      </c>
      <c r="R254" s="45">
        <f>IFERROR(__xludf.DUMMYFUNCTION("""COMPUTED_VALUE"""),45478.0)</f>
        <v>45478</v>
      </c>
      <c r="S254" s="43"/>
      <c r="T254" s="43"/>
      <c r="U254" s="43" t="str">
        <f>IFERROR(__xludf.DUMMYFUNCTION("""COMPUTED_VALUE"""),"English Teacher")</f>
        <v>English Teacher</v>
      </c>
      <c r="V254" s="43" t="str">
        <f>IFERROR(__xludf.DUMMYFUNCTION("""COMPUTED_VALUE"""),"Lviv ")</f>
        <v>Lviv </v>
      </c>
      <c r="W254" s="43" t="str">
        <f>IFERROR(__xludf.DUMMYFUNCTION("""COMPUTED_VALUE"""),"2023-04-14T06:38:13Z")</f>
        <v>2023-04-14T06:38:13Z</v>
      </c>
      <c r="X254" s="43"/>
      <c r="Y254" s="43"/>
      <c r="Z254" s="43"/>
    </row>
    <row r="255" hidden="1">
      <c r="A255" s="43" t="str">
        <f>IFERROR(__xludf.DUMMYFUNCTION("""COMPUTED_VALUE"""),"5257898_1278774")</f>
        <v>5257898_1278774</v>
      </c>
      <c r="B255" s="43" t="str">
        <f>IFERROR(__xludf.DUMMYFUNCTION("""COMPUTED_VALUE"""),"Mounia Boutaous")</f>
        <v>Mounia Boutaous</v>
      </c>
      <c r="C255" s="43" t="str">
        <f>IFERROR(__xludf.DUMMYFUNCTION("""COMPUTED_VALUE"""),"realized")</f>
        <v>realized</v>
      </c>
      <c r="D255" s="43" t="str">
        <f>IFERROR(__xludf.DUMMYFUNCTION("""COMPUTED_VALUE"""),"No")</f>
        <v>No</v>
      </c>
      <c r="E255" s="43" t="str">
        <f>IFERROR(__xludf.DUMMYFUNCTION("""COMPUTED_VALUE"""),"p_b80c04e27c051fdf6e06b8792bc61dc9eea11cec@inbound.aiesec.org")</f>
        <v>p_b80c04e27c051fdf6e06b8792bc61dc9eea11cec@inbound.aiesec.org</v>
      </c>
      <c r="F255" s="43">
        <f>IFERROR(__xludf.DUMMYFUNCTION("""COMPUTED_VALUE"""),5.60785994E8)</f>
        <v>560785994</v>
      </c>
      <c r="G255" s="43" t="str">
        <f>IFERROR(__xludf.DUMMYFUNCTION("""COMPUTED_VALUE"""),"Algeria")</f>
        <v>Algeria</v>
      </c>
      <c r="H255" s="43" t="str">
        <f>IFERROR(__xludf.DUMMYFUNCTION("""COMPUTED_VALUE"""),"Babez")</f>
        <v>Babez</v>
      </c>
      <c r="I255" s="43" t="str">
        <f>IFERROR(__xludf.DUMMYFUNCTION("""COMPUTED_VALUE"""),"Turkey")</f>
        <v>Turkey</v>
      </c>
      <c r="J255" s="43" t="str">
        <f>IFERROR(__xludf.DUMMYFUNCTION("""COMPUTED_VALUE"""),"BURSA")</f>
        <v>BURSA</v>
      </c>
      <c r="K255" s="44" t="str">
        <f>IFERROR(__xludf.DUMMYFUNCTION("""COMPUTED_VALUE"""),"https://expa.aiesec.org/opportunities/1278774")</f>
        <v>https://expa.aiesec.org/opportunities/1278774</v>
      </c>
      <c r="L255" s="43" t="str">
        <f>IFERROR(__xludf.DUMMYFUNCTION("""COMPUTED_VALUE"""),"GTe")</f>
        <v>GTe</v>
      </c>
      <c r="M255" s="43" t="str">
        <f>IFERROR(__xludf.DUMMYFUNCTION("""COMPUTED_VALUE"""),"long")</f>
        <v>long</v>
      </c>
      <c r="N255" s="45">
        <f>IFERROR(__xludf.DUMMYFUNCTION("""COMPUTED_VALUE"""),45089.0)</f>
        <v>45089</v>
      </c>
      <c r="O255" s="45">
        <f>IFERROR(__xludf.DUMMYFUNCTION("""COMPUTED_VALUE"""),45141.0)</f>
        <v>45141</v>
      </c>
      <c r="P255" s="45">
        <f>IFERROR(__xludf.DUMMYFUNCTION("""COMPUTED_VALUE"""),45507.0)</f>
        <v>45507</v>
      </c>
      <c r="Q255" s="45">
        <f>IFERROR(__xludf.DUMMYFUNCTION("""COMPUTED_VALUE"""),45156.0)</f>
        <v>45156</v>
      </c>
      <c r="R255" s="45">
        <f>IFERROR(__xludf.DUMMYFUNCTION("""COMPUTED_VALUE"""),45522.0)</f>
        <v>45522</v>
      </c>
      <c r="S255" s="43"/>
      <c r="T255" s="43"/>
      <c r="U255" s="43" t="str">
        <f>IFERROR(__xludf.DUMMYFUNCTION("""COMPUTED_VALUE"""),"English Teaching ")</f>
        <v>English Teaching </v>
      </c>
      <c r="V255" s="43" t="str">
        <f>IFERROR(__xludf.DUMMYFUNCTION("""COMPUTED_VALUE"""),"-")</f>
        <v>-</v>
      </c>
      <c r="W255" s="43" t="str">
        <f>IFERROR(__xludf.DUMMYFUNCTION("""COMPUTED_VALUE"""),"2023-05-08T20:05:05Z")</f>
        <v>2023-05-08T20:05:05Z</v>
      </c>
      <c r="X255" s="43"/>
      <c r="Y255" s="43"/>
      <c r="Z255" s="43"/>
    </row>
    <row r="256" hidden="1">
      <c r="A256" s="43" t="str">
        <f>IFERROR(__xludf.DUMMYFUNCTION("""COMPUTED_VALUE"""),"5237076_1293243")</f>
        <v>5237076_1293243</v>
      </c>
      <c r="B256" s="43" t="str">
        <f>IFERROR(__xludf.DUMMYFUNCTION("""COMPUTED_VALUE"""),"RAHEEL AHMAD")</f>
        <v>RAHEEL AHMAD</v>
      </c>
      <c r="C256" s="43" t="str">
        <f>IFERROR(__xludf.DUMMYFUNCTION("""COMPUTED_VALUE"""),"approved")</f>
        <v>approved</v>
      </c>
      <c r="D256" s="43" t="str">
        <f>IFERROR(__xludf.DUMMYFUNCTION("""COMPUTED_VALUE"""),"No")</f>
        <v>No</v>
      </c>
      <c r="E256" s="43" t="str">
        <f>IFERROR(__xludf.DUMMYFUNCTION("""COMPUTED_VALUE"""),"p_39cbecc42f020a9bcefedaa2f5fa63f2fcaf1c76@inbound.aiesec.org")</f>
        <v>p_39cbecc42f020a9bcefedaa2f5fa63f2fcaf1c76@inbound.aiesec.org</v>
      </c>
      <c r="F256" s="43">
        <f>IFERROR(__xludf.DUMMYFUNCTION("""COMPUTED_VALUE"""),3.351775885E9)</f>
        <v>3351775885</v>
      </c>
      <c r="G256" s="43" t="str">
        <f>IFERROR(__xludf.DUMMYFUNCTION("""COMPUTED_VALUE"""),"Pakistan")</f>
        <v>Pakistan</v>
      </c>
      <c r="H256" s="43" t="str">
        <f>IFERROR(__xludf.DUMMYFUNCTION("""COMPUTED_VALUE"""),"Multan")</f>
        <v>Multan</v>
      </c>
      <c r="I256" s="43" t="str">
        <f>IFERROR(__xludf.DUMMYFUNCTION("""COMPUTED_VALUE"""),"Turkey")</f>
        <v>Turkey</v>
      </c>
      <c r="J256" s="43" t="str">
        <f>IFERROR(__xludf.DUMMYFUNCTION("""COMPUTED_VALUE"""),"ISTANBUL WEST")</f>
        <v>ISTANBUL WEST</v>
      </c>
      <c r="K256" s="44" t="str">
        <f>IFERROR(__xludf.DUMMYFUNCTION("""COMPUTED_VALUE"""),"https://expa.aiesec.org/opportunities/1293243")</f>
        <v>https://expa.aiesec.org/opportunities/1293243</v>
      </c>
      <c r="L256" s="43" t="str">
        <f>IFERROR(__xludf.DUMMYFUNCTION("""COMPUTED_VALUE"""),"GTe")</f>
        <v>GTe</v>
      </c>
      <c r="M256" s="43" t="str">
        <f>IFERROR(__xludf.DUMMYFUNCTION("""COMPUTED_VALUE"""),"long")</f>
        <v>long</v>
      </c>
      <c r="N256" s="45">
        <f>IFERROR(__xludf.DUMMYFUNCTION("""COMPUTED_VALUE"""),45090.0)</f>
        <v>45090</v>
      </c>
      <c r="O256" s="45">
        <f>IFERROR(__xludf.DUMMYFUNCTION("""COMPUTED_VALUE"""),45117.0)</f>
        <v>45117</v>
      </c>
      <c r="P256" s="45">
        <f>IFERROR(__xludf.DUMMYFUNCTION("""COMPUTED_VALUE"""),45478.0)</f>
        <v>45478</v>
      </c>
      <c r="Q256" s="45"/>
      <c r="R256" s="45"/>
      <c r="S256" s="43"/>
      <c r="T256" s="43"/>
      <c r="U256" s="43" t="str">
        <f>IFERROR(__xludf.DUMMYFUNCTION("""COMPUTED_VALUE"""),"English Teacher")</f>
        <v>English Teacher</v>
      </c>
      <c r="V256" s="43" t="str">
        <f>IFERROR(__xludf.DUMMYFUNCTION("""COMPUTED_VALUE"""),"Multan - Bahauddin Zakariya University (BZU)")</f>
        <v>Multan - Bahauddin Zakariya University (BZU)</v>
      </c>
      <c r="W256" s="43" t="str">
        <f>IFERROR(__xludf.DUMMYFUNCTION("""COMPUTED_VALUE"""),"2023-04-07T13:15:11Z")</f>
        <v>2023-04-07T13:15:11Z</v>
      </c>
      <c r="X256" s="43"/>
      <c r="Y256" s="43"/>
      <c r="Z256" s="43"/>
    </row>
    <row r="257" hidden="1">
      <c r="A257" s="43" t="str">
        <f>IFERROR(__xludf.DUMMYFUNCTION("""COMPUTED_VALUE"""),"4327433_1278298")</f>
        <v>4327433_1278298</v>
      </c>
      <c r="B257" s="43" t="str">
        <f>IFERROR(__xludf.DUMMYFUNCTION("""COMPUTED_VALUE"""),"Saša Stajić")</f>
        <v>Saša Stajić</v>
      </c>
      <c r="C257" s="43" t="str">
        <f>IFERROR(__xludf.DUMMYFUNCTION("""COMPUTED_VALUE"""),"realized")</f>
        <v>realized</v>
      </c>
      <c r="D257" s="43" t="str">
        <f>IFERROR(__xludf.DUMMYFUNCTION("""COMPUTED_VALUE"""),"No")</f>
        <v>No</v>
      </c>
      <c r="E257" s="43" t="str">
        <f>IFERROR(__xludf.DUMMYFUNCTION("""COMPUTED_VALUE"""),"p_19d133846cc3c56a29621e8b057370a056c0fda0@inbound.aiesec.org")</f>
        <v>p_19d133846cc3c56a29621e8b057370a056c0fda0@inbound.aiesec.org</v>
      </c>
      <c r="F257" s="43"/>
      <c r="G257" s="43" t="str">
        <f>IFERROR(__xludf.DUMMYFUNCTION("""COMPUTED_VALUE"""),"Bosnia and Herzegovina")</f>
        <v>Bosnia and Herzegovina</v>
      </c>
      <c r="H257" s="43" t="str">
        <f>IFERROR(__xludf.DUMMYFUNCTION("""COMPUTED_VALUE"""),"SARAJEVO")</f>
        <v>SARAJEVO</v>
      </c>
      <c r="I257" s="43" t="str">
        <f>IFERROR(__xludf.DUMMYFUNCTION("""COMPUTED_VALUE"""),"Turkey")</f>
        <v>Turkey</v>
      </c>
      <c r="J257" s="43" t="str">
        <f>IFERROR(__xludf.DUMMYFUNCTION("""COMPUTED_VALUE"""),"KOCAELI")</f>
        <v>KOCAELI</v>
      </c>
      <c r="K257" s="44" t="str">
        <f>IFERROR(__xludf.DUMMYFUNCTION("""COMPUTED_VALUE"""),"https://expa.aiesec.org/opportunities/1278298")</f>
        <v>https://expa.aiesec.org/opportunities/1278298</v>
      </c>
      <c r="L257" s="43" t="str">
        <f>IFERROR(__xludf.DUMMYFUNCTION("""COMPUTED_VALUE"""),"GTe")</f>
        <v>GTe</v>
      </c>
      <c r="M257" s="43" t="str">
        <f>IFERROR(__xludf.DUMMYFUNCTION("""COMPUTED_VALUE"""),"long")</f>
        <v>long</v>
      </c>
      <c r="N257" s="45">
        <f>IFERROR(__xludf.DUMMYFUNCTION("""COMPUTED_VALUE"""),45091.0)</f>
        <v>45091</v>
      </c>
      <c r="O257" s="45">
        <f>IFERROR(__xludf.DUMMYFUNCTION("""COMPUTED_VALUE"""),45103.0)</f>
        <v>45103</v>
      </c>
      <c r="P257" s="45">
        <f>IFERROR(__xludf.DUMMYFUNCTION("""COMPUTED_VALUE"""),45352.0)</f>
        <v>45352</v>
      </c>
      <c r="Q257" s="45">
        <f>IFERROR(__xludf.DUMMYFUNCTION("""COMPUTED_VALUE"""),45141.0)</f>
        <v>45141</v>
      </c>
      <c r="R257" s="45">
        <f>IFERROR(__xludf.DUMMYFUNCTION("""COMPUTED_VALUE"""),45388.0)</f>
        <v>45388</v>
      </c>
      <c r="S257" s="43"/>
      <c r="T257" s="43"/>
      <c r="U257" s="43" t="str">
        <f>IFERROR(__xludf.DUMMYFUNCTION("""COMPUTED_VALUE"""),"Gebze İngiliz Kültür ")</f>
        <v>Gebze İngiliz Kültür </v>
      </c>
      <c r="V257" s="43" t="str">
        <f>IFERROR(__xludf.DUMMYFUNCTION("""COMPUTED_VALUE"""),"Sarajevo")</f>
        <v>Sarajevo</v>
      </c>
      <c r="W257" s="43" t="str">
        <f>IFERROR(__xludf.DUMMYFUNCTION("""COMPUTED_VALUE"""),"2020-07-11T13:35:02Z")</f>
        <v>2020-07-11T13:35:02Z</v>
      </c>
      <c r="X257" s="43"/>
      <c r="Y257" s="43"/>
      <c r="Z257" s="43"/>
    </row>
    <row r="258" hidden="1">
      <c r="A258" s="43" t="str">
        <f>IFERROR(__xludf.DUMMYFUNCTION("""COMPUTED_VALUE"""),"5268517_1287702")</f>
        <v>5268517_1287702</v>
      </c>
      <c r="B258" s="43" t="str">
        <f>IFERROR(__xludf.DUMMYFUNCTION("""COMPUTED_VALUE"""),"Chaima Atri")</f>
        <v>Chaima Atri</v>
      </c>
      <c r="C258" s="43" t="str">
        <f>IFERROR(__xludf.DUMMYFUNCTION("""COMPUTED_VALUE"""),"realized")</f>
        <v>realized</v>
      </c>
      <c r="D258" s="43" t="str">
        <f>IFERROR(__xludf.DUMMYFUNCTION("""COMPUTED_VALUE"""),"No")</f>
        <v>No</v>
      </c>
      <c r="E258" s="43" t="str">
        <f>IFERROR(__xludf.DUMMYFUNCTION("""COMPUTED_VALUE"""),"p_0fc2106b1980053636d567cc401e948575568882@inbound.aiesec.org")</f>
        <v>p_0fc2106b1980053636d567cc401e948575568882@inbound.aiesec.org</v>
      </c>
      <c r="F258" s="43"/>
      <c r="G258" s="43" t="str">
        <f>IFERROR(__xludf.DUMMYFUNCTION("""COMPUTED_VALUE"""),"Tunisia")</f>
        <v>Tunisia</v>
      </c>
      <c r="H258" s="43" t="str">
        <f>IFERROR(__xludf.DUMMYFUNCTION("""COMPUTED_VALUE"""),"BARDO")</f>
        <v>BARDO</v>
      </c>
      <c r="I258" s="43" t="str">
        <f>IFERROR(__xludf.DUMMYFUNCTION("""COMPUTED_VALUE"""),"Turkey")</f>
        <v>Turkey</v>
      </c>
      <c r="J258" s="43" t="str">
        <f>IFERROR(__xludf.DUMMYFUNCTION("""COMPUTED_VALUE"""),"ADANA")</f>
        <v>ADANA</v>
      </c>
      <c r="K258" s="44" t="str">
        <f>IFERROR(__xludf.DUMMYFUNCTION("""COMPUTED_VALUE"""),"https://expa.aiesec.org/opportunities/1287702")</f>
        <v>https://expa.aiesec.org/opportunities/1287702</v>
      </c>
      <c r="L258" s="43" t="str">
        <f>IFERROR(__xludf.DUMMYFUNCTION("""COMPUTED_VALUE"""),"GTe")</f>
        <v>GTe</v>
      </c>
      <c r="M258" s="43" t="str">
        <f>IFERROR(__xludf.DUMMYFUNCTION("""COMPUTED_VALUE"""),"long")</f>
        <v>long</v>
      </c>
      <c r="N258" s="45">
        <f>IFERROR(__xludf.DUMMYFUNCTION("""COMPUTED_VALUE"""),45091.0)</f>
        <v>45091</v>
      </c>
      <c r="O258" s="45">
        <f>IFERROR(__xludf.DUMMYFUNCTION("""COMPUTED_VALUE"""),45173.0)</f>
        <v>45173</v>
      </c>
      <c r="P258" s="45">
        <f>IFERROR(__xludf.DUMMYFUNCTION("""COMPUTED_VALUE"""),45471.0)</f>
        <v>45471</v>
      </c>
      <c r="Q258" s="45">
        <f>IFERROR(__xludf.DUMMYFUNCTION("""COMPUTED_VALUE"""),45173.0)</f>
        <v>45173</v>
      </c>
      <c r="R258" s="45">
        <f>IFERROR(__xludf.DUMMYFUNCTION("""COMPUTED_VALUE"""),45471.0)</f>
        <v>45471</v>
      </c>
      <c r="S258" s="43"/>
      <c r="T258" s="43"/>
      <c r="U258" s="43" t="str">
        <f>IFERROR(__xludf.DUMMYFUNCTION("""COMPUTED_VALUE"""),"English Teacher")</f>
        <v>English Teacher</v>
      </c>
      <c r="V258" s="43" t="str">
        <f>IFERROR(__xludf.DUMMYFUNCTION("""COMPUTED_VALUE"""),"-")</f>
        <v>-</v>
      </c>
      <c r="W258" s="43" t="str">
        <f>IFERROR(__xludf.DUMMYFUNCTION("""COMPUTED_VALUE"""),"2023-05-29T22:54:58Z")</f>
        <v>2023-05-29T22:54:58Z</v>
      </c>
      <c r="X258" s="43"/>
      <c r="Y258" s="43"/>
      <c r="Z258" s="43"/>
    </row>
    <row r="259" hidden="1">
      <c r="A259" s="43" t="str">
        <f>IFERROR(__xludf.DUMMYFUNCTION("""COMPUTED_VALUE"""),"2387059_1291989")</f>
        <v>2387059_1291989</v>
      </c>
      <c r="B259" s="43" t="str">
        <f>IFERROR(__xludf.DUMMYFUNCTION("""COMPUTED_VALUE"""),"Bouchedjra Soumia")</f>
        <v>Bouchedjra Soumia</v>
      </c>
      <c r="C259" s="43" t="str">
        <f>IFERROR(__xludf.DUMMYFUNCTION("""COMPUTED_VALUE"""),"realized")</f>
        <v>realized</v>
      </c>
      <c r="D259" s="43" t="str">
        <f>IFERROR(__xludf.DUMMYFUNCTION("""COMPUTED_VALUE"""),"No")</f>
        <v>No</v>
      </c>
      <c r="E259" s="43" t="str">
        <f>IFERROR(__xludf.DUMMYFUNCTION("""COMPUTED_VALUE"""),"p_3ecc4175b5d07da688a2ae94030ef051c34bd0f1@inbound.aiesec.org")</f>
        <v>p_3ecc4175b5d07da688a2ae94030ef051c34bd0f1@inbound.aiesec.org</v>
      </c>
      <c r="F259" s="43">
        <f>IFERROR(__xludf.DUMMYFUNCTION("""COMPUTED_VALUE"""),7.9903366E8)</f>
        <v>799033660</v>
      </c>
      <c r="G259" s="43" t="str">
        <f>IFERROR(__xludf.DUMMYFUNCTION("""COMPUTED_VALUE"""),"Algeria")</f>
        <v>Algeria</v>
      </c>
      <c r="H259" s="43" t="str">
        <f>IFERROR(__xludf.DUMMYFUNCTION("""COMPUTED_VALUE"""),"Oran")</f>
        <v>Oran</v>
      </c>
      <c r="I259" s="43" t="str">
        <f>IFERROR(__xludf.DUMMYFUNCTION("""COMPUTED_VALUE"""),"Turkey")</f>
        <v>Turkey</v>
      </c>
      <c r="J259" s="43" t="str">
        <f>IFERROR(__xludf.DUMMYFUNCTION("""COMPUTED_VALUE"""),"GAZIANTEP")</f>
        <v>GAZIANTEP</v>
      </c>
      <c r="K259" s="44" t="str">
        <f>IFERROR(__xludf.DUMMYFUNCTION("""COMPUTED_VALUE"""),"https://expa.aiesec.org/opportunities/1291989")</f>
        <v>https://expa.aiesec.org/opportunities/1291989</v>
      </c>
      <c r="L259" s="43" t="str">
        <f>IFERROR(__xludf.DUMMYFUNCTION("""COMPUTED_VALUE"""),"GTe")</f>
        <v>GTe</v>
      </c>
      <c r="M259" s="43" t="str">
        <f>IFERROR(__xludf.DUMMYFUNCTION("""COMPUTED_VALUE"""),"long")</f>
        <v>long</v>
      </c>
      <c r="N259" s="45">
        <f>IFERROR(__xludf.DUMMYFUNCTION("""COMPUTED_VALUE"""),45092.0)</f>
        <v>45092</v>
      </c>
      <c r="O259" s="45">
        <f>IFERROR(__xludf.DUMMYFUNCTION("""COMPUTED_VALUE"""),45139.0)</f>
        <v>45139</v>
      </c>
      <c r="P259" s="45">
        <f>IFERROR(__xludf.DUMMYFUNCTION("""COMPUTED_VALUE"""),45443.0)</f>
        <v>45443</v>
      </c>
      <c r="Q259" s="45">
        <f>IFERROR(__xludf.DUMMYFUNCTION("""COMPUTED_VALUE"""),45139.0)</f>
        <v>45139</v>
      </c>
      <c r="R259" s="45">
        <f>IFERROR(__xludf.DUMMYFUNCTION("""COMPUTED_VALUE"""),45443.0)</f>
        <v>45443</v>
      </c>
      <c r="S259" s="43"/>
      <c r="T259" s="43"/>
      <c r="U259" s="43" t="str">
        <f>IFERROR(__xludf.DUMMYFUNCTION("""COMPUTED_VALUE"""),"English Teacher")</f>
        <v>English Teacher</v>
      </c>
      <c r="V259" s="43" t="str">
        <f>IFERROR(__xludf.DUMMYFUNCTION("""COMPUTED_VALUE"""),"AIESEC in Bejaia")</f>
        <v>AIESEC in Bejaia</v>
      </c>
      <c r="W259" s="43" t="str">
        <f>IFERROR(__xludf.DUMMYFUNCTION("""COMPUTED_VALUE"""),"2018-06-27T00:06:52Z")</f>
        <v>2018-06-27T00:06:52Z</v>
      </c>
      <c r="X259" s="43"/>
      <c r="Y259" s="43"/>
      <c r="Z259" s="43"/>
    </row>
    <row r="260" hidden="1">
      <c r="A260" s="43" t="str">
        <f>IFERROR(__xludf.DUMMYFUNCTION("""COMPUTED_VALUE"""),"5275701_1286840")</f>
        <v>5275701_1286840</v>
      </c>
      <c r="B260" s="43" t="str">
        <f>IFERROR(__xludf.DUMMYFUNCTION("""COMPUTED_VALUE"""),"Ahlem Ben Yaflah")</f>
        <v>Ahlem Ben Yaflah</v>
      </c>
      <c r="C260" s="43" t="str">
        <f>IFERROR(__xludf.DUMMYFUNCTION("""COMPUTED_VALUE"""),"approved")</f>
        <v>approved</v>
      </c>
      <c r="D260" s="43" t="str">
        <f>IFERROR(__xludf.DUMMYFUNCTION("""COMPUTED_VALUE"""),"No")</f>
        <v>No</v>
      </c>
      <c r="E260" s="43" t="str">
        <f>IFERROR(__xludf.DUMMYFUNCTION("""COMPUTED_VALUE"""),"p_9d8dcb8b7c01cb966fcb564c03751dc7b0f98174@inbound.aiesec.org")</f>
        <v>p_9d8dcb8b7c01cb966fcb564c03751dc7b0f98174@inbound.aiesec.org</v>
      </c>
      <c r="F260" s="43">
        <f>IFERROR(__xludf.DUMMYFUNCTION("""COMPUTED_VALUE"""),5.4924353E7)</f>
        <v>54924353</v>
      </c>
      <c r="G260" s="43" t="str">
        <f>IFERROR(__xludf.DUMMYFUNCTION("""COMPUTED_VALUE"""),"Tunisia")</f>
        <v>Tunisia</v>
      </c>
      <c r="H260" s="43" t="str">
        <f>IFERROR(__xludf.DUMMYFUNCTION("""COMPUTED_VALUE"""),"BARDO")</f>
        <v>BARDO</v>
      </c>
      <c r="I260" s="43" t="str">
        <f>IFERROR(__xludf.DUMMYFUNCTION("""COMPUTED_VALUE"""),"Turkey")</f>
        <v>Turkey</v>
      </c>
      <c r="J260" s="43" t="str">
        <f>IFERROR(__xludf.DUMMYFUNCTION("""COMPUTED_VALUE"""),"ISTANBUL WEST")</f>
        <v>ISTANBUL WEST</v>
      </c>
      <c r="K260" s="44" t="str">
        <f>IFERROR(__xludf.DUMMYFUNCTION("""COMPUTED_VALUE"""),"https://expa.aiesec.org/opportunities/1286840")</f>
        <v>https://expa.aiesec.org/opportunities/1286840</v>
      </c>
      <c r="L260" s="43" t="str">
        <f>IFERROR(__xludf.DUMMYFUNCTION("""COMPUTED_VALUE"""),"GTe")</f>
        <v>GTe</v>
      </c>
      <c r="M260" s="43" t="str">
        <f>IFERROR(__xludf.DUMMYFUNCTION("""COMPUTED_VALUE"""),"long")</f>
        <v>long</v>
      </c>
      <c r="N260" s="45">
        <f>IFERROR(__xludf.DUMMYFUNCTION("""COMPUTED_VALUE"""),45093.0)</f>
        <v>45093</v>
      </c>
      <c r="O260" s="45">
        <f>IFERROR(__xludf.DUMMYFUNCTION("""COMPUTED_VALUE"""),45153.0)</f>
        <v>45153</v>
      </c>
      <c r="P260" s="45">
        <f>IFERROR(__xludf.DUMMYFUNCTION("""COMPUTED_VALUE"""),45518.0)</f>
        <v>45518</v>
      </c>
      <c r="Q260" s="45"/>
      <c r="R260" s="45"/>
      <c r="S260" s="43"/>
      <c r="T260" s="43" t="str">
        <f>IFERROR(__xludf.DUMMYFUNCTION("""COMPUTED_VALUE"""),"Business Development")</f>
        <v>Business Development</v>
      </c>
      <c r="U260" s="43" t="str">
        <f>IFERROR(__xludf.DUMMYFUNCTION("""COMPUTED_VALUE"""),"Pre-School Teacher at Istanbul AIKA/Büyükçekmece")</f>
        <v>Pre-School Teacher at Istanbul AIKA/Büyükçekmece</v>
      </c>
      <c r="V260" s="43" t="str">
        <f>IFERROR(__xludf.DUMMYFUNCTION("""COMPUTED_VALUE"""),"FSHS Tunis")</f>
        <v>FSHS Tunis</v>
      </c>
      <c r="W260" s="43" t="str">
        <f>IFERROR(__xludf.DUMMYFUNCTION("""COMPUTED_VALUE"""),"2023-06-15T14:51:21Z")</f>
        <v>2023-06-15T14:51:21Z</v>
      </c>
      <c r="X260" s="43"/>
      <c r="Y260" s="43"/>
      <c r="Z260" s="43"/>
    </row>
    <row r="261" hidden="1">
      <c r="A261" s="43" t="str">
        <f>IFERROR(__xludf.DUMMYFUNCTION("""COMPUTED_VALUE"""),"5273674_1295042")</f>
        <v>5273674_1295042</v>
      </c>
      <c r="B261" s="43" t="str">
        <f>IFERROR(__xludf.DUMMYFUNCTION("""COMPUTED_VALUE"""),"Walid AbdelAli")</f>
        <v>Walid AbdelAli</v>
      </c>
      <c r="C261" s="43" t="str">
        <f>IFERROR(__xludf.DUMMYFUNCTION("""COMPUTED_VALUE"""),"realization_broken")</f>
        <v>realization_broken</v>
      </c>
      <c r="D261" s="43" t="str">
        <f>IFERROR(__xludf.DUMMYFUNCTION("""COMPUTED_VALUE"""),"No")</f>
        <v>No</v>
      </c>
      <c r="E261" s="43" t="str">
        <f>IFERROR(__xludf.DUMMYFUNCTION("""COMPUTED_VALUE"""),"p_877248e730ca392e0d6757865c96f9a986cf6f93@inbound.aiesec.org")</f>
        <v>p_877248e730ca392e0d6757865c96f9a986cf6f93@inbound.aiesec.org</v>
      </c>
      <c r="F261" s="43">
        <f>IFERROR(__xludf.DUMMYFUNCTION("""COMPUTED_VALUE"""),1.112300295E9)</f>
        <v>1112300295</v>
      </c>
      <c r="G261" s="43" t="str">
        <f>IFERROR(__xludf.DUMMYFUNCTION("""COMPUTED_VALUE"""),"Egypt")</f>
        <v>Egypt</v>
      </c>
      <c r="H261" s="43" t="str">
        <f>IFERROR(__xludf.DUMMYFUNCTION("""COMPUTED_VALUE"""),"Mansoura")</f>
        <v>Mansoura</v>
      </c>
      <c r="I261" s="43" t="str">
        <f>IFERROR(__xludf.DUMMYFUNCTION("""COMPUTED_VALUE"""),"Turkey")</f>
        <v>Turkey</v>
      </c>
      <c r="J261" s="43" t="str">
        <f>IFERROR(__xludf.DUMMYFUNCTION("""COMPUTED_VALUE"""),"ANKARA")</f>
        <v>ANKARA</v>
      </c>
      <c r="K261" s="44" t="str">
        <f>IFERROR(__xludf.DUMMYFUNCTION("""COMPUTED_VALUE"""),"https://expa.aiesec.org/opportunities/1295042")</f>
        <v>https://expa.aiesec.org/opportunities/1295042</v>
      </c>
      <c r="L261" s="43" t="str">
        <f>IFERROR(__xludf.DUMMYFUNCTION("""COMPUTED_VALUE"""),"GTe")</f>
        <v>GTe</v>
      </c>
      <c r="M261" s="43" t="str">
        <f>IFERROR(__xludf.DUMMYFUNCTION("""COMPUTED_VALUE"""),"long")</f>
        <v>long</v>
      </c>
      <c r="N261" s="45">
        <f>IFERROR(__xludf.DUMMYFUNCTION("""COMPUTED_VALUE"""),45093.0)</f>
        <v>45093</v>
      </c>
      <c r="O261" s="45">
        <f>IFERROR(__xludf.DUMMYFUNCTION("""COMPUTED_VALUE"""),45152.0)</f>
        <v>45152</v>
      </c>
      <c r="P261" s="45">
        <f>IFERROR(__xludf.DUMMYFUNCTION("""COMPUTED_VALUE"""),45513.0)</f>
        <v>45513</v>
      </c>
      <c r="Q261" s="45"/>
      <c r="R261" s="45"/>
      <c r="S261" s="43"/>
      <c r="T261" s="43"/>
      <c r="U261" s="43" t="str">
        <f>IFERROR(__xludf.DUMMYFUNCTION("""COMPUTED_VALUE"""),"Teacher(english,PE,math)")</f>
        <v>Teacher(english,PE,math)</v>
      </c>
      <c r="V261" s="43" t="str">
        <f>IFERROR(__xludf.DUMMYFUNCTION("""COMPUTED_VALUE"""),"Mansoura")</f>
        <v>Mansoura</v>
      </c>
      <c r="W261" s="43" t="str">
        <f>IFERROR(__xludf.DUMMYFUNCTION("""COMPUTED_VALUE"""),"2023-06-10T15:04:00Z")</f>
        <v>2023-06-10T15:04:00Z</v>
      </c>
      <c r="X261" s="43"/>
      <c r="Y261" s="43"/>
      <c r="Z261" s="43"/>
    </row>
    <row r="262" hidden="1">
      <c r="A262" s="43" t="str">
        <f>IFERROR(__xludf.DUMMYFUNCTION("""COMPUTED_VALUE"""),"5241609_1289387")</f>
        <v>5241609_1289387</v>
      </c>
      <c r="B262" s="43" t="str">
        <f>IFERROR(__xludf.DUMMYFUNCTION("""COMPUTED_VALUE"""),"Rihab Chbil")</f>
        <v>Rihab Chbil</v>
      </c>
      <c r="C262" s="43" t="str">
        <f>IFERROR(__xludf.DUMMYFUNCTION("""COMPUTED_VALUE"""),"realized")</f>
        <v>realized</v>
      </c>
      <c r="D262" s="43" t="str">
        <f>IFERROR(__xludf.DUMMYFUNCTION("""COMPUTED_VALUE"""),"No")</f>
        <v>No</v>
      </c>
      <c r="E262" s="43" t="str">
        <f>IFERROR(__xludf.DUMMYFUNCTION("""COMPUTED_VALUE"""),"p_613d13ae16f9f1f19cb62d854d7d0726be9d5be5@inbound.aiesec.org")</f>
        <v>p_613d13ae16f9f1f19cb62d854d7d0726be9d5be5@inbound.aiesec.org</v>
      </c>
      <c r="F262" s="43">
        <f>IFERROR(__xludf.DUMMYFUNCTION("""COMPUTED_VALUE"""),2.7320354E7)</f>
        <v>27320354</v>
      </c>
      <c r="G262" s="43" t="str">
        <f>IFERROR(__xludf.DUMMYFUNCTION("""COMPUTED_VALUE"""),"Tunisia")</f>
        <v>Tunisia</v>
      </c>
      <c r="H262" s="43" t="str">
        <f>IFERROR(__xludf.DUMMYFUNCTION("""COMPUTED_VALUE"""),"RUSPINA")</f>
        <v>RUSPINA</v>
      </c>
      <c r="I262" s="43" t="str">
        <f>IFERROR(__xludf.DUMMYFUNCTION("""COMPUTED_VALUE"""),"Turkey")</f>
        <v>Turkey</v>
      </c>
      <c r="J262" s="43" t="str">
        <f>IFERROR(__xludf.DUMMYFUNCTION("""COMPUTED_VALUE"""),"BURSA")</f>
        <v>BURSA</v>
      </c>
      <c r="K262" s="44" t="str">
        <f>IFERROR(__xludf.DUMMYFUNCTION("""COMPUTED_VALUE"""),"https://expa.aiesec.org/opportunities/1289387")</f>
        <v>https://expa.aiesec.org/opportunities/1289387</v>
      </c>
      <c r="L262" s="43" t="str">
        <f>IFERROR(__xludf.DUMMYFUNCTION("""COMPUTED_VALUE"""),"GTe")</f>
        <v>GTe</v>
      </c>
      <c r="M262" s="43" t="str">
        <f>IFERROR(__xludf.DUMMYFUNCTION("""COMPUTED_VALUE"""),"long")</f>
        <v>long</v>
      </c>
      <c r="N262" s="45">
        <f>IFERROR(__xludf.DUMMYFUNCTION("""COMPUTED_VALUE"""),45093.0)</f>
        <v>45093</v>
      </c>
      <c r="O262" s="45">
        <f>IFERROR(__xludf.DUMMYFUNCTION("""COMPUTED_VALUE"""),45168.0)</f>
        <v>45168</v>
      </c>
      <c r="P262" s="45">
        <f>IFERROR(__xludf.DUMMYFUNCTION("""COMPUTED_VALUE"""),45534.0)</f>
        <v>45534</v>
      </c>
      <c r="Q262" s="45">
        <f>IFERROR(__xludf.DUMMYFUNCTION("""COMPUTED_VALUE"""),45176.0)</f>
        <v>45176</v>
      </c>
      <c r="R262" s="45">
        <f>IFERROR(__xludf.DUMMYFUNCTION("""COMPUTED_VALUE"""),45540.0)</f>
        <v>45540</v>
      </c>
      <c r="S262" s="43"/>
      <c r="T262" s="43"/>
      <c r="U262" s="43" t="str">
        <f>IFERROR(__xludf.DUMMYFUNCTION("""COMPUTED_VALUE"""),"English Teacher")</f>
        <v>English Teacher</v>
      </c>
      <c r="V262" s="43" t="str">
        <f>IFERROR(__xludf.DUMMYFUNCTION("""COMPUTED_VALUE"""),"ISLAA Moknine")</f>
        <v>ISLAA Moknine</v>
      </c>
      <c r="W262" s="43" t="str">
        <f>IFERROR(__xludf.DUMMYFUNCTION("""COMPUTED_VALUE"""),"2023-04-13T23:50:15Z")</f>
        <v>2023-04-13T23:50:15Z</v>
      </c>
      <c r="X262" s="43"/>
      <c r="Y262" s="43"/>
      <c r="Z262" s="43"/>
    </row>
    <row r="263" hidden="1">
      <c r="A263" s="43" t="str">
        <f>IFERROR(__xludf.DUMMYFUNCTION("""COMPUTED_VALUE"""),"5268516_1294785")</f>
        <v>5268516_1294785</v>
      </c>
      <c r="B263" s="43" t="str">
        <f>IFERROR(__xludf.DUMMYFUNCTION("""COMPUTED_VALUE"""),"Iheb Hidri")</f>
        <v>Iheb Hidri</v>
      </c>
      <c r="C263" s="43" t="str">
        <f>IFERROR(__xludf.DUMMYFUNCTION("""COMPUTED_VALUE"""),"realized")</f>
        <v>realized</v>
      </c>
      <c r="D263" s="43" t="str">
        <f>IFERROR(__xludf.DUMMYFUNCTION("""COMPUTED_VALUE"""),"No")</f>
        <v>No</v>
      </c>
      <c r="E263" s="43" t="str">
        <f>IFERROR(__xludf.DUMMYFUNCTION("""COMPUTED_VALUE"""),"p_612aaece09492888ab254d117c1e4b0728e3387f@inbound.aiesec.org")</f>
        <v>p_612aaece09492888ab254d117c1e4b0728e3387f@inbound.aiesec.org</v>
      </c>
      <c r="F263" s="43"/>
      <c r="G263" s="43" t="str">
        <f>IFERROR(__xludf.DUMMYFUNCTION("""COMPUTED_VALUE"""),"Tunisia")</f>
        <v>Tunisia</v>
      </c>
      <c r="H263" s="43" t="str">
        <f>IFERROR(__xludf.DUMMYFUNCTION("""COMPUTED_VALUE"""),"BARDO")</f>
        <v>BARDO</v>
      </c>
      <c r="I263" s="43" t="str">
        <f>IFERROR(__xludf.DUMMYFUNCTION("""COMPUTED_VALUE"""),"Turkey")</f>
        <v>Turkey</v>
      </c>
      <c r="J263" s="43" t="str">
        <f>IFERROR(__xludf.DUMMYFUNCTION("""COMPUTED_VALUE"""),"ADANA")</f>
        <v>ADANA</v>
      </c>
      <c r="K263" s="44" t="str">
        <f>IFERROR(__xludf.DUMMYFUNCTION("""COMPUTED_VALUE"""),"https://expa.aiesec.org/opportunities/1294785")</f>
        <v>https://expa.aiesec.org/opportunities/1294785</v>
      </c>
      <c r="L263" s="43" t="str">
        <f>IFERROR(__xludf.DUMMYFUNCTION("""COMPUTED_VALUE"""),"GTe")</f>
        <v>GTe</v>
      </c>
      <c r="M263" s="43" t="str">
        <f>IFERROR(__xludf.DUMMYFUNCTION("""COMPUTED_VALUE"""),"long")</f>
        <v>long</v>
      </c>
      <c r="N263" s="45">
        <f>IFERROR(__xludf.DUMMYFUNCTION("""COMPUTED_VALUE"""),45093.0)</f>
        <v>45093</v>
      </c>
      <c r="O263" s="45">
        <f>IFERROR(__xludf.DUMMYFUNCTION("""COMPUTED_VALUE"""),45158.0)</f>
        <v>45158</v>
      </c>
      <c r="P263" s="45">
        <f>IFERROR(__xludf.DUMMYFUNCTION("""COMPUTED_VALUE"""),45524.0)</f>
        <v>45524</v>
      </c>
      <c r="Q263" s="45">
        <f>IFERROR(__xludf.DUMMYFUNCTION("""COMPUTED_VALUE"""),45159.0)</f>
        <v>45159</v>
      </c>
      <c r="R263" s="45">
        <f>IFERROR(__xludf.DUMMYFUNCTION("""COMPUTED_VALUE"""),45525.0)</f>
        <v>45525</v>
      </c>
      <c r="S263" s="43"/>
      <c r="T263" s="43"/>
      <c r="U263" s="43" t="str">
        <f>IFERROR(__xludf.DUMMYFUNCTION("""COMPUTED_VALUE"""),"English Teacher")</f>
        <v>English Teacher</v>
      </c>
      <c r="V263" s="43" t="str">
        <f>IFERROR(__xludf.DUMMYFUNCTION("""COMPUTED_VALUE"""),"-")</f>
        <v>-</v>
      </c>
      <c r="W263" s="43" t="str">
        <f>IFERROR(__xludf.DUMMYFUNCTION("""COMPUTED_VALUE"""),"2023-05-29T22:53:24Z")</f>
        <v>2023-05-29T22:53:24Z</v>
      </c>
      <c r="X263" s="43"/>
      <c r="Y263" s="43"/>
      <c r="Z263" s="43"/>
    </row>
    <row r="264" hidden="1">
      <c r="A264" s="43" t="str">
        <f>IFERROR(__xludf.DUMMYFUNCTION("""COMPUTED_VALUE"""),"5212507_1289293")</f>
        <v>5212507_1289293</v>
      </c>
      <c r="B264" s="43" t="str">
        <f>IFERROR(__xludf.DUMMYFUNCTION("""COMPUTED_VALUE"""),"Hajar Douhan")</f>
        <v>Hajar Douhan</v>
      </c>
      <c r="C264" s="43" t="str">
        <f>IFERROR(__xludf.DUMMYFUNCTION("""COMPUTED_VALUE"""),"realized")</f>
        <v>realized</v>
      </c>
      <c r="D264" s="43" t="str">
        <f>IFERROR(__xludf.DUMMYFUNCTION("""COMPUTED_VALUE"""),"No")</f>
        <v>No</v>
      </c>
      <c r="E264" s="43" t="str">
        <f>IFERROR(__xludf.DUMMYFUNCTION("""COMPUTED_VALUE"""),"p_f077928c7d04f0535b63156a858b41b90e65d31b@inbound.aiesec.org")</f>
        <v>p_f077928c7d04f0535b63156a858b41b90e65d31b@inbound.aiesec.org</v>
      </c>
      <c r="F264" s="43">
        <f>IFERROR(__xludf.DUMMYFUNCTION("""COMPUTED_VALUE"""),7.77598702E8)</f>
        <v>777598702</v>
      </c>
      <c r="G264" s="43" t="str">
        <f>IFERROR(__xludf.DUMMYFUNCTION("""COMPUTED_VALUE"""),"Morocco")</f>
        <v>Morocco</v>
      </c>
      <c r="H264" s="43" t="str">
        <f>IFERROR(__xludf.DUMMYFUNCTION("""COMPUTED_VALUE"""),"Meknes")</f>
        <v>Meknes</v>
      </c>
      <c r="I264" s="43" t="str">
        <f>IFERROR(__xludf.DUMMYFUNCTION("""COMPUTED_VALUE"""),"Turkey")</f>
        <v>Turkey</v>
      </c>
      <c r="J264" s="43" t="str">
        <f>IFERROR(__xludf.DUMMYFUNCTION("""COMPUTED_VALUE"""),"ADANA")</f>
        <v>ADANA</v>
      </c>
      <c r="K264" s="44" t="str">
        <f>IFERROR(__xludf.DUMMYFUNCTION("""COMPUTED_VALUE"""),"https://expa.aiesec.org/opportunities/1289293")</f>
        <v>https://expa.aiesec.org/opportunities/1289293</v>
      </c>
      <c r="L264" s="43" t="str">
        <f>IFERROR(__xludf.DUMMYFUNCTION("""COMPUTED_VALUE"""),"GTe")</f>
        <v>GTe</v>
      </c>
      <c r="M264" s="43" t="str">
        <f>IFERROR(__xludf.DUMMYFUNCTION("""COMPUTED_VALUE"""),"long")</f>
        <v>long</v>
      </c>
      <c r="N264" s="45">
        <f>IFERROR(__xludf.DUMMYFUNCTION("""COMPUTED_VALUE"""),45093.0)</f>
        <v>45093</v>
      </c>
      <c r="O264" s="45">
        <f>IFERROR(__xludf.DUMMYFUNCTION("""COMPUTED_VALUE"""),45170.0)</f>
        <v>45170</v>
      </c>
      <c r="P264" s="45">
        <f>IFERROR(__xludf.DUMMYFUNCTION("""COMPUTED_VALUE"""),45474.0)</f>
        <v>45474</v>
      </c>
      <c r="Q264" s="45">
        <f>IFERROR(__xludf.DUMMYFUNCTION("""COMPUTED_VALUE"""),45175.0)</f>
        <v>45175</v>
      </c>
      <c r="R264" s="45">
        <f>IFERROR(__xludf.DUMMYFUNCTION("""COMPUTED_VALUE"""),45479.0)</f>
        <v>45479</v>
      </c>
      <c r="S264" s="43"/>
      <c r="T264" s="43"/>
      <c r="U264" s="43" t="str">
        <f>IFERROR(__xludf.DUMMYFUNCTION("""COMPUTED_VALUE"""),"English Teacher")</f>
        <v>English Teacher</v>
      </c>
      <c r="V264" s="43" t="str">
        <f>IFERROR(__xludf.DUMMYFUNCTION("""COMPUTED_VALUE"""),"FLSH Meknès")</f>
        <v>FLSH Meknès</v>
      </c>
      <c r="W264" s="43" t="str">
        <f>IFERROR(__xludf.DUMMYFUNCTION("""COMPUTED_VALUE"""),"2023-03-10T20:33:30Z")</f>
        <v>2023-03-10T20:33:30Z</v>
      </c>
      <c r="X264" s="43"/>
      <c r="Y264" s="43"/>
      <c r="Z264" s="43"/>
    </row>
    <row r="265" hidden="1">
      <c r="A265" s="43" t="str">
        <f>IFERROR(__xludf.DUMMYFUNCTION("""COMPUTED_VALUE"""),"5275767_1289689")</f>
        <v>5275767_1289689</v>
      </c>
      <c r="B265" s="43" t="str">
        <f>IFERROR(__xludf.DUMMYFUNCTION("""COMPUTED_VALUE"""),"Lana Belenkaia")</f>
        <v>Lana Belenkaia</v>
      </c>
      <c r="C265" s="43" t="str">
        <f>IFERROR(__xludf.DUMMYFUNCTION("""COMPUTED_VALUE"""),"realized")</f>
        <v>realized</v>
      </c>
      <c r="D265" s="43" t="str">
        <f>IFERROR(__xludf.DUMMYFUNCTION("""COMPUTED_VALUE"""),"No")</f>
        <v>No</v>
      </c>
      <c r="E265" s="43" t="str">
        <f>IFERROR(__xludf.DUMMYFUNCTION("""COMPUTED_VALUE"""),"p_df1b053148b8a0287b2482b34dba179877cdcdb6@inbound.aiesec.org")</f>
        <v>p_df1b053148b8a0287b2482b34dba179877cdcdb6@inbound.aiesec.org</v>
      </c>
      <c r="F265" s="43">
        <f>IFERROR(__xludf.DUMMYFUNCTION("""COMPUTED_VALUE"""),9.211558366E9)</f>
        <v>9211558366</v>
      </c>
      <c r="G265" s="43" t="str">
        <f>IFERROR(__xludf.DUMMYFUNCTION("""COMPUTED_VALUE"""),"Russia")</f>
        <v>Russia</v>
      </c>
      <c r="H265" s="43" t="str">
        <f>IFERROR(__xludf.DUMMYFUNCTION("""COMPUTED_VALUE"""),"ENGEC-GUAP, Saint-Petersburg")</f>
        <v>ENGEC-GUAP, Saint-Petersburg</v>
      </c>
      <c r="I265" s="43" t="str">
        <f>IFERROR(__xludf.DUMMYFUNCTION("""COMPUTED_VALUE"""),"Turkey")</f>
        <v>Turkey</v>
      </c>
      <c r="J265" s="43" t="str">
        <f>IFERROR(__xludf.DUMMYFUNCTION("""COMPUTED_VALUE"""),"SAKARYA")</f>
        <v>SAKARYA</v>
      </c>
      <c r="K265" s="44" t="str">
        <f>IFERROR(__xludf.DUMMYFUNCTION("""COMPUTED_VALUE"""),"https://expa.aiesec.org/opportunities/1289689")</f>
        <v>https://expa.aiesec.org/opportunities/1289689</v>
      </c>
      <c r="L265" s="43" t="str">
        <f>IFERROR(__xludf.DUMMYFUNCTION("""COMPUTED_VALUE"""),"GTe")</f>
        <v>GTe</v>
      </c>
      <c r="M265" s="43" t="str">
        <f>IFERROR(__xludf.DUMMYFUNCTION("""COMPUTED_VALUE"""),"medium")</f>
        <v>medium</v>
      </c>
      <c r="N265" s="45">
        <f>IFERROR(__xludf.DUMMYFUNCTION("""COMPUTED_VALUE"""),45095.0)</f>
        <v>45095</v>
      </c>
      <c r="O265" s="45">
        <f>IFERROR(__xludf.DUMMYFUNCTION("""COMPUTED_VALUE"""),45189.0)</f>
        <v>45189</v>
      </c>
      <c r="P265" s="45">
        <f>IFERROR(__xludf.DUMMYFUNCTION("""COMPUTED_VALUE"""),45370.0)</f>
        <v>45370</v>
      </c>
      <c r="Q265" s="45">
        <f>IFERROR(__xludf.DUMMYFUNCTION("""COMPUTED_VALUE"""),45182.0)</f>
        <v>45182</v>
      </c>
      <c r="R265" s="45">
        <f>IFERROR(__xludf.DUMMYFUNCTION("""COMPUTED_VALUE"""),45375.0)</f>
        <v>45375</v>
      </c>
      <c r="S265" s="43"/>
      <c r="T265" s="43"/>
      <c r="U265" s="43" t="str">
        <f>IFERROR(__xludf.DUMMYFUNCTION("""COMPUTED_VALUE"""),"English Language Teacher | Makrodil Universal Language Academy")</f>
        <v>English Language Teacher | Makrodil Universal Language Academy</v>
      </c>
      <c r="V265" s="43" t="str">
        <f>IFERROR(__xludf.DUMMYFUNCTION("""COMPUTED_VALUE"""),"Saint-Petersburg (отделение ИНЖЭК)")</f>
        <v>Saint-Petersburg (отделение ИНЖЭК)</v>
      </c>
      <c r="W265" s="43" t="str">
        <f>IFERROR(__xludf.DUMMYFUNCTION("""COMPUTED_VALUE"""),"2023-06-15T17:24:09Z")</f>
        <v>2023-06-15T17:24:09Z</v>
      </c>
      <c r="X265" s="43"/>
      <c r="Y265" s="43"/>
      <c r="Z265" s="43"/>
    </row>
    <row r="266" hidden="1">
      <c r="A266" s="43" t="str">
        <f>IFERROR(__xludf.DUMMYFUNCTION("""COMPUTED_VALUE"""),"5143068_1286368")</f>
        <v>5143068_1286368</v>
      </c>
      <c r="B266" s="43" t="str">
        <f>IFERROR(__xludf.DUMMYFUNCTION("""COMPUTED_VALUE"""),"Željana Đokić")</f>
        <v>Željana Đokić</v>
      </c>
      <c r="C266" s="43" t="str">
        <f>IFERROR(__xludf.DUMMYFUNCTION("""COMPUTED_VALUE"""),"realized")</f>
        <v>realized</v>
      </c>
      <c r="D266" s="43" t="str">
        <f>IFERROR(__xludf.DUMMYFUNCTION("""COMPUTED_VALUE"""),"No")</f>
        <v>No</v>
      </c>
      <c r="E266" s="43" t="str">
        <f>IFERROR(__xludf.DUMMYFUNCTION("""COMPUTED_VALUE"""),"p_a280f27cfe35c506d35d6e2a23ee4fa9b4921f72@inbound.aiesec.org")</f>
        <v>p_a280f27cfe35c506d35d6e2a23ee4fa9b4921f72@inbound.aiesec.org</v>
      </c>
      <c r="F266" s="43">
        <f>IFERROR(__xludf.DUMMYFUNCTION("""COMPUTED_VALUE"""),6.12033791E8)</f>
        <v>612033791</v>
      </c>
      <c r="G266" s="43" t="str">
        <f>IFERROR(__xludf.DUMMYFUNCTION("""COMPUTED_VALUE"""),"Serbia")</f>
        <v>Serbia</v>
      </c>
      <c r="H266" s="43" t="str">
        <f>IFERROR(__xludf.DUMMYFUNCTION("""COMPUTED_VALUE"""),"NOVI SAD")</f>
        <v>NOVI SAD</v>
      </c>
      <c r="I266" s="43" t="str">
        <f>IFERROR(__xludf.DUMMYFUNCTION("""COMPUTED_VALUE"""),"Turkey")</f>
        <v>Turkey</v>
      </c>
      <c r="J266" s="43" t="str">
        <f>IFERROR(__xludf.DUMMYFUNCTION("""COMPUTED_VALUE"""),"ISTANBUL ASIA")</f>
        <v>ISTANBUL ASIA</v>
      </c>
      <c r="K266" s="44" t="str">
        <f>IFERROR(__xludf.DUMMYFUNCTION("""COMPUTED_VALUE"""),"https://expa.aiesec.org/opportunities/1286368")</f>
        <v>https://expa.aiesec.org/opportunities/1286368</v>
      </c>
      <c r="L266" s="43" t="str">
        <f>IFERROR(__xludf.DUMMYFUNCTION("""COMPUTED_VALUE"""),"GTe")</f>
        <v>GTe</v>
      </c>
      <c r="M266" s="43" t="str">
        <f>IFERROR(__xludf.DUMMYFUNCTION("""COMPUTED_VALUE"""),"long")</f>
        <v>long</v>
      </c>
      <c r="N266" s="45">
        <f>IFERROR(__xludf.DUMMYFUNCTION("""COMPUTED_VALUE"""),45096.0)</f>
        <v>45096</v>
      </c>
      <c r="O266" s="45">
        <f>IFERROR(__xludf.DUMMYFUNCTION("""COMPUTED_VALUE"""),45153.0)</f>
        <v>45153</v>
      </c>
      <c r="P266" s="45">
        <f>IFERROR(__xludf.DUMMYFUNCTION("""COMPUTED_VALUE"""),45473.0)</f>
        <v>45473</v>
      </c>
      <c r="Q266" s="45">
        <f>IFERROR(__xludf.DUMMYFUNCTION("""COMPUTED_VALUE"""),45153.0)</f>
        <v>45153</v>
      </c>
      <c r="R266" s="45">
        <f>IFERROR(__xludf.DUMMYFUNCTION("""COMPUTED_VALUE"""),45473.0)</f>
        <v>45473</v>
      </c>
      <c r="S266" s="43"/>
      <c r="T266" s="43"/>
      <c r="U266" s="43" t="str">
        <f>IFERROR(__xludf.DUMMYFUNCTION("""COMPUTED_VALUE"""),"English Teacher")</f>
        <v>English Teacher</v>
      </c>
      <c r="V266" s="43" t="str">
        <f>IFERROR(__xludf.DUMMYFUNCTION("""COMPUTED_VALUE"""),"Novi Sad")</f>
        <v>Novi Sad</v>
      </c>
      <c r="W266" s="43" t="str">
        <f>IFERROR(__xludf.DUMMYFUNCTION("""COMPUTED_VALUE"""),"2022-10-30T08:33:52Z")</f>
        <v>2022-10-30T08:33:52Z</v>
      </c>
      <c r="X266" s="43"/>
      <c r="Y266" s="43"/>
      <c r="Z266" s="43"/>
    </row>
    <row r="267" hidden="1">
      <c r="A267" s="43" t="str">
        <f>IFERROR(__xludf.DUMMYFUNCTION("""COMPUTED_VALUE"""),"5181263_1295514")</f>
        <v>5181263_1295514</v>
      </c>
      <c r="B267" s="43" t="str">
        <f>IFERROR(__xludf.DUMMYFUNCTION("""COMPUTED_VALUE"""),"ikram ghemri")</f>
        <v>ikram ghemri</v>
      </c>
      <c r="C267" s="43" t="str">
        <f>IFERROR(__xludf.DUMMYFUNCTION("""COMPUTED_VALUE"""),"approved")</f>
        <v>approved</v>
      </c>
      <c r="D267" s="43" t="str">
        <f>IFERROR(__xludf.DUMMYFUNCTION("""COMPUTED_VALUE"""),"No")</f>
        <v>No</v>
      </c>
      <c r="E267" s="43" t="str">
        <f>IFERROR(__xludf.DUMMYFUNCTION("""COMPUTED_VALUE"""),"p_69f9d2db7c3bceb8e8d05c03b979171ff6c498bd@inbound.aiesec.org")</f>
        <v>p_69f9d2db7c3bceb8e8d05c03b979171ff6c498bd@inbound.aiesec.org</v>
      </c>
      <c r="F267" s="43">
        <f>IFERROR(__xludf.DUMMYFUNCTION("""COMPUTED_VALUE"""),7.99274717E8)</f>
        <v>799274717</v>
      </c>
      <c r="G267" s="43" t="str">
        <f>IFERROR(__xludf.DUMMYFUNCTION("""COMPUTED_VALUE"""),"Algeria")</f>
        <v>Algeria</v>
      </c>
      <c r="H267" s="43" t="str">
        <f>IFERROR(__xludf.DUMMYFUNCTION("""COMPUTED_VALUE"""),"Blida")</f>
        <v>Blida</v>
      </c>
      <c r="I267" s="43" t="str">
        <f>IFERROR(__xludf.DUMMYFUNCTION("""COMPUTED_VALUE"""),"Turkey")</f>
        <v>Turkey</v>
      </c>
      <c r="J267" s="43" t="str">
        <f>IFERROR(__xludf.DUMMYFUNCTION("""COMPUTED_VALUE"""),"GAZIANTEP")</f>
        <v>GAZIANTEP</v>
      </c>
      <c r="K267" s="44" t="str">
        <f>IFERROR(__xludf.DUMMYFUNCTION("""COMPUTED_VALUE"""),"https://expa.aiesec.org/opportunities/1295514")</f>
        <v>https://expa.aiesec.org/opportunities/1295514</v>
      </c>
      <c r="L267" s="43" t="str">
        <f>IFERROR(__xludf.DUMMYFUNCTION("""COMPUTED_VALUE"""),"GTe")</f>
        <v>GTe</v>
      </c>
      <c r="M267" s="43" t="str">
        <f>IFERROR(__xludf.DUMMYFUNCTION("""COMPUTED_VALUE"""),"long")</f>
        <v>long</v>
      </c>
      <c r="N267" s="45">
        <f>IFERROR(__xludf.DUMMYFUNCTION("""COMPUTED_VALUE"""),45096.0)</f>
        <v>45096</v>
      </c>
      <c r="O267" s="45">
        <f>IFERROR(__xludf.DUMMYFUNCTION("""COMPUTED_VALUE"""),45108.0)</f>
        <v>45108</v>
      </c>
      <c r="P267" s="45">
        <f>IFERROR(__xludf.DUMMYFUNCTION("""COMPUTED_VALUE"""),45473.0)</f>
        <v>45473</v>
      </c>
      <c r="Q267" s="45"/>
      <c r="R267" s="45"/>
      <c r="S267" s="43"/>
      <c r="T267" s="43"/>
      <c r="U267" s="43" t="str">
        <f>IFERROR(__xludf.DUMMYFUNCTION("""COMPUTED_VALUE"""),"English Teacher")</f>
        <v>English Teacher</v>
      </c>
      <c r="V267" s="43" t="str">
        <f>IFERROR(__xludf.DUMMYFUNCTION("""COMPUTED_VALUE"""),"-")</f>
        <v>-</v>
      </c>
      <c r="W267" s="43" t="str">
        <f>IFERROR(__xludf.DUMMYFUNCTION("""COMPUTED_VALUE"""),"2023-01-27T13:30:55Z")</f>
        <v>2023-01-27T13:30:55Z</v>
      </c>
      <c r="X267" s="43"/>
      <c r="Y267" s="43"/>
      <c r="Z267" s="43"/>
    </row>
    <row r="268" hidden="1">
      <c r="A268" s="43" t="str">
        <f>IFERROR(__xludf.DUMMYFUNCTION("""COMPUTED_VALUE"""),"5276763_1286839")</f>
        <v>5276763_1286839</v>
      </c>
      <c r="B268" s="43" t="str">
        <f>IFERROR(__xludf.DUMMYFUNCTION("""COMPUTED_VALUE"""),"deleted 5276763")</f>
        <v>deleted 5276763</v>
      </c>
      <c r="C268" s="43" t="str">
        <f>IFERROR(__xludf.DUMMYFUNCTION("""COMPUTED_VALUE"""),"realized")</f>
        <v>realized</v>
      </c>
      <c r="D268" s="43" t="str">
        <f>IFERROR(__xludf.DUMMYFUNCTION("""COMPUTED_VALUE"""),"No")</f>
        <v>No</v>
      </c>
      <c r="E268" s="43" t="str">
        <f>IFERROR(__xludf.DUMMYFUNCTION("""COMPUTED_VALUE"""),"p_1ef2f82b0ed6f00faa54f05ee0c1b5ab8bd64932@inbound.aiesec.org")</f>
        <v>p_1ef2f82b0ed6f00faa54f05ee0c1b5ab8bd64932@inbound.aiesec.org</v>
      </c>
      <c r="F268" s="43"/>
      <c r="G268" s="43" t="str">
        <f>IFERROR(__xludf.DUMMYFUNCTION("""COMPUTED_VALUE"""),"Tunisia")</f>
        <v>Tunisia</v>
      </c>
      <c r="H268" s="43" t="str">
        <f>IFERROR(__xludf.DUMMYFUNCTION("""COMPUTED_VALUE"""),"MEDINA")</f>
        <v>MEDINA</v>
      </c>
      <c r="I268" s="43" t="str">
        <f>IFERROR(__xludf.DUMMYFUNCTION("""COMPUTED_VALUE"""),"Turkey")</f>
        <v>Turkey</v>
      </c>
      <c r="J268" s="43" t="str">
        <f>IFERROR(__xludf.DUMMYFUNCTION("""COMPUTED_VALUE"""),"ISTANBUL WEST")</f>
        <v>ISTANBUL WEST</v>
      </c>
      <c r="K268" s="44" t="str">
        <f>IFERROR(__xludf.DUMMYFUNCTION("""COMPUTED_VALUE"""),"https://expa.aiesec.org/opportunities/1286839")</f>
        <v>https://expa.aiesec.org/opportunities/1286839</v>
      </c>
      <c r="L268" s="43" t="str">
        <f>IFERROR(__xludf.DUMMYFUNCTION("""COMPUTED_VALUE"""),"GTe")</f>
        <v>GTe</v>
      </c>
      <c r="M268" s="43" t="str">
        <f>IFERROR(__xludf.DUMMYFUNCTION("""COMPUTED_VALUE"""),"long")</f>
        <v>long</v>
      </c>
      <c r="N268" s="45">
        <f>IFERROR(__xludf.DUMMYFUNCTION("""COMPUTED_VALUE"""),45097.0)</f>
        <v>45097</v>
      </c>
      <c r="O268" s="45">
        <f>IFERROR(__xludf.DUMMYFUNCTION("""COMPUTED_VALUE"""),45153.0)</f>
        <v>45153</v>
      </c>
      <c r="P268" s="45">
        <f>IFERROR(__xludf.DUMMYFUNCTION("""COMPUTED_VALUE"""),45513.0)</f>
        <v>45513</v>
      </c>
      <c r="Q268" s="45">
        <f>IFERROR(__xludf.DUMMYFUNCTION("""COMPUTED_VALUE"""),45158.0)</f>
        <v>45158</v>
      </c>
      <c r="R268" s="45">
        <f>IFERROR(__xludf.DUMMYFUNCTION("""COMPUTED_VALUE"""),45523.0)</f>
        <v>45523</v>
      </c>
      <c r="S268" s="43"/>
      <c r="T268" s="43" t="str">
        <f>IFERROR(__xludf.DUMMYFUNCTION("""COMPUTED_VALUE"""),"Business Development")</f>
        <v>Business Development</v>
      </c>
      <c r="U268" s="43" t="str">
        <f>IFERROR(__xludf.DUMMYFUNCTION("""COMPUTED_VALUE"""),"Pre-School Teacher at Istanbul AIKA/Florya ")</f>
        <v>Pre-School Teacher at Istanbul AIKA/Florya </v>
      </c>
      <c r="V268" s="43" t="str">
        <f>IFERROR(__xludf.DUMMYFUNCTION("""COMPUTED_VALUE"""),"-")</f>
        <v>-</v>
      </c>
      <c r="W268" s="43" t="str">
        <f>IFERROR(__xludf.DUMMYFUNCTION("""COMPUTED_VALUE"""),"2023-06-18T15:31:31Z")</f>
        <v>2023-06-18T15:31:31Z</v>
      </c>
      <c r="X268" s="43"/>
      <c r="Y268" s="43"/>
      <c r="Z268" s="43"/>
    </row>
    <row r="269" hidden="1">
      <c r="A269" s="43" t="str">
        <f>IFERROR(__xludf.DUMMYFUNCTION("""COMPUTED_VALUE"""),"5049200_1293395")</f>
        <v>5049200_1293395</v>
      </c>
      <c r="B269" s="43" t="str">
        <f>IFERROR(__xludf.DUMMYFUNCTION("""COMPUTED_VALUE"""),"Younan Iskarous")</f>
        <v>Younan Iskarous</v>
      </c>
      <c r="C269" s="43" t="str">
        <f>IFERROR(__xludf.DUMMYFUNCTION("""COMPUTED_VALUE"""),"realization_broken")</f>
        <v>realization_broken</v>
      </c>
      <c r="D269" s="43" t="str">
        <f>IFERROR(__xludf.DUMMYFUNCTION("""COMPUTED_VALUE"""),"No")</f>
        <v>No</v>
      </c>
      <c r="E269" s="43" t="str">
        <f>IFERROR(__xludf.DUMMYFUNCTION("""COMPUTED_VALUE"""),"p_c51c2a828ff77522becd53dec6e450dc6e1270b8@inbound.aiesec.org")</f>
        <v>p_c51c2a828ff77522becd53dec6e450dc6e1270b8@inbound.aiesec.org</v>
      </c>
      <c r="F269" s="43"/>
      <c r="G269" s="43" t="str">
        <f>IFERROR(__xludf.DUMMYFUNCTION("""COMPUTED_VALUE"""),"Egypt")</f>
        <v>Egypt</v>
      </c>
      <c r="H269" s="43" t="str">
        <f>IFERROR(__xludf.DUMMYFUNCTION("""COMPUTED_VALUE"""),"GUC")</f>
        <v>GUC</v>
      </c>
      <c r="I269" s="43" t="str">
        <f>IFERROR(__xludf.DUMMYFUNCTION("""COMPUTED_VALUE"""),"Turkey")</f>
        <v>Turkey</v>
      </c>
      <c r="J269" s="43" t="str">
        <f>IFERROR(__xludf.DUMMYFUNCTION("""COMPUTED_VALUE"""),"ESKISEHIR")</f>
        <v>ESKISEHIR</v>
      </c>
      <c r="K269" s="44" t="str">
        <f>IFERROR(__xludf.DUMMYFUNCTION("""COMPUTED_VALUE"""),"https://expa.aiesec.org/opportunities/1293395")</f>
        <v>https://expa.aiesec.org/opportunities/1293395</v>
      </c>
      <c r="L269" s="43" t="str">
        <f>IFERROR(__xludf.DUMMYFUNCTION("""COMPUTED_VALUE"""),"GTe")</f>
        <v>GTe</v>
      </c>
      <c r="M269" s="43" t="str">
        <f>IFERROR(__xludf.DUMMYFUNCTION("""COMPUTED_VALUE"""),"long")</f>
        <v>long</v>
      </c>
      <c r="N269" s="45">
        <f>IFERROR(__xludf.DUMMYFUNCTION("""COMPUTED_VALUE"""),45097.0)</f>
        <v>45097</v>
      </c>
      <c r="O269" s="45">
        <f>IFERROR(__xludf.DUMMYFUNCTION("""COMPUTED_VALUE"""),45153.0)</f>
        <v>45153</v>
      </c>
      <c r="P269" s="45">
        <f>IFERROR(__xludf.DUMMYFUNCTION("""COMPUTED_VALUE"""),45517.0)</f>
        <v>45517</v>
      </c>
      <c r="Q269" s="45"/>
      <c r="R269" s="45"/>
      <c r="S269" s="43"/>
      <c r="T269" s="43"/>
      <c r="U269" s="43" t="str">
        <f>IFERROR(__xludf.DUMMYFUNCTION("""COMPUTED_VALUE"""),"Spanish Teacher")</f>
        <v>Spanish Teacher</v>
      </c>
      <c r="V269" s="43" t="str">
        <f>IFERROR(__xludf.DUMMYFUNCTION("""COMPUTED_VALUE"""),"-")</f>
        <v>-</v>
      </c>
      <c r="W269" s="43" t="str">
        <f>IFERROR(__xludf.DUMMYFUNCTION("""COMPUTED_VALUE"""),"2022-04-30T14:54:38Z")</f>
        <v>2022-04-30T14:54:38Z</v>
      </c>
      <c r="X269" s="43"/>
      <c r="Y269" s="43"/>
      <c r="Z269" s="43"/>
    </row>
    <row r="270" hidden="1">
      <c r="A270" s="43" t="str">
        <f>IFERROR(__xludf.DUMMYFUNCTION("""COMPUTED_VALUE"""),"5059224_1294941")</f>
        <v>5059224_1294941</v>
      </c>
      <c r="B270" s="43" t="str">
        <f>IFERROR(__xludf.DUMMYFUNCTION("""COMPUTED_VALUE"""),"Mohamed Nibras")</f>
        <v>Mohamed Nibras</v>
      </c>
      <c r="C270" s="43" t="str">
        <f>IFERROR(__xludf.DUMMYFUNCTION("""COMPUTED_VALUE"""),"approved")</f>
        <v>approved</v>
      </c>
      <c r="D270" s="43" t="str">
        <f>IFERROR(__xludf.DUMMYFUNCTION("""COMPUTED_VALUE"""),"No")</f>
        <v>No</v>
      </c>
      <c r="E270" s="43" t="str">
        <f>IFERROR(__xludf.DUMMYFUNCTION("""COMPUTED_VALUE"""),"p_a76946262732720fa03a46ad625776443ba1c139@inbound.aiesec.org")</f>
        <v>p_a76946262732720fa03a46ad625776443ba1c139@inbound.aiesec.org</v>
      </c>
      <c r="F270" s="43">
        <f>IFERROR(__xludf.DUMMYFUNCTION("""COMPUTED_VALUE"""),7.74980864E8)</f>
        <v>774980864</v>
      </c>
      <c r="G270" s="43" t="str">
        <f>IFERROR(__xludf.DUMMYFUNCTION("""COMPUTED_VALUE"""),"Sri Lanka")</f>
        <v>Sri Lanka</v>
      </c>
      <c r="H270" s="43" t="str">
        <f>IFERROR(__xludf.DUMMYFUNCTION("""COMPUTED_VALUE"""),"COLOMBO CENTRAL")</f>
        <v>COLOMBO CENTRAL</v>
      </c>
      <c r="I270" s="43" t="str">
        <f>IFERROR(__xludf.DUMMYFUNCTION("""COMPUTED_VALUE"""),"Turkey")</f>
        <v>Turkey</v>
      </c>
      <c r="J270" s="43" t="str">
        <f>IFERROR(__xludf.DUMMYFUNCTION("""COMPUTED_VALUE"""),"ADANA")</f>
        <v>ADANA</v>
      </c>
      <c r="K270" s="44" t="str">
        <f>IFERROR(__xludf.DUMMYFUNCTION("""COMPUTED_VALUE"""),"https://expa.aiesec.org/opportunities/1294941")</f>
        <v>https://expa.aiesec.org/opportunities/1294941</v>
      </c>
      <c r="L270" s="43" t="str">
        <f>IFERROR(__xludf.DUMMYFUNCTION("""COMPUTED_VALUE"""),"GTe")</f>
        <v>GTe</v>
      </c>
      <c r="M270" s="43" t="str">
        <f>IFERROR(__xludf.DUMMYFUNCTION("""COMPUTED_VALUE"""),"long")</f>
        <v>long</v>
      </c>
      <c r="N270" s="45">
        <f>IFERROR(__xludf.DUMMYFUNCTION("""COMPUTED_VALUE"""),45097.0)</f>
        <v>45097</v>
      </c>
      <c r="O270" s="45">
        <f>IFERROR(__xludf.DUMMYFUNCTION("""COMPUTED_VALUE"""),45153.0)</f>
        <v>45153</v>
      </c>
      <c r="P270" s="45">
        <f>IFERROR(__xludf.DUMMYFUNCTION("""COMPUTED_VALUE"""),45474.0)</f>
        <v>45474</v>
      </c>
      <c r="Q270" s="45"/>
      <c r="R270" s="45"/>
      <c r="S270" s="43"/>
      <c r="T270" s="43"/>
      <c r="U270" s="43" t="str">
        <f>IFERROR(__xludf.DUMMYFUNCTION("""COMPUTED_VALUE"""),"English Teaching in Diyarbakır TED")</f>
        <v>English Teaching in Diyarbakır TED</v>
      </c>
      <c r="V270" s="43" t="str">
        <f>IFERROR(__xludf.DUMMYFUNCTION("""COMPUTED_VALUE"""),"University of Colombo")</f>
        <v>University of Colombo</v>
      </c>
      <c r="W270" s="43" t="str">
        <f>IFERROR(__xludf.DUMMYFUNCTION("""COMPUTED_VALUE"""),"2022-05-18T11:15:16Z")</f>
        <v>2022-05-18T11:15:16Z</v>
      </c>
      <c r="X270" s="43"/>
      <c r="Y270" s="43"/>
      <c r="Z270" s="43"/>
    </row>
    <row r="271" hidden="1">
      <c r="A271" s="43" t="str">
        <f>IFERROR(__xludf.DUMMYFUNCTION("""COMPUTED_VALUE"""),"1845929_1274161")</f>
        <v>1845929_1274161</v>
      </c>
      <c r="B271" s="43" t="str">
        <f>IFERROR(__xludf.DUMMYFUNCTION("""COMPUTED_VALUE"""),"Loay ELGaml")</f>
        <v>Loay ELGaml</v>
      </c>
      <c r="C271" s="43" t="str">
        <f>IFERROR(__xludf.DUMMYFUNCTION("""COMPUTED_VALUE"""),"realization_broken")</f>
        <v>realization_broken</v>
      </c>
      <c r="D271" s="43" t="str">
        <f>IFERROR(__xludf.DUMMYFUNCTION("""COMPUTED_VALUE"""),"No")</f>
        <v>No</v>
      </c>
      <c r="E271" s="43" t="str">
        <f>IFERROR(__xludf.DUMMYFUNCTION("""COMPUTED_VALUE"""),"p_b26f761eea869da79fed487544710cf4362e0dfe@inbound.aiesec.org")</f>
        <v>p_b26f761eea869da79fed487544710cf4362e0dfe@inbound.aiesec.org</v>
      </c>
      <c r="F271" s="43">
        <f>IFERROR(__xludf.DUMMYFUNCTION("""COMPUTED_VALUE"""),1.008308275E9)</f>
        <v>1008308275</v>
      </c>
      <c r="G271" s="43" t="str">
        <f>IFERROR(__xludf.DUMMYFUNCTION("""COMPUTED_VALUE"""),"Egypt")</f>
        <v>Egypt</v>
      </c>
      <c r="H271" s="43" t="str">
        <f>IFERROR(__xludf.DUMMYFUNCTION("""COMPUTED_VALUE"""),"Alexandria")</f>
        <v>Alexandria</v>
      </c>
      <c r="I271" s="43" t="str">
        <f>IFERROR(__xludf.DUMMYFUNCTION("""COMPUTED_VALUE"""),"Turkey")</f>
        <v>Turkey</v>
      </c>
      <c r="J271" s="43" t="str">
        <f>IFERROR(__xludf.DUMMYFUNCTION("""COMPUTED_VALUE"""),"KOCAELI")</f>
        <v>KOCAELI</v>
      </c>
      <c r="K271" s="44" t="str">
        <f>IFERROR(__xludf.DUMMYFUNCTION("""COMPUTED_VALUE"""),"https://expa.aiesec.org/opportunities/1274161")</f>
        <v>https://expa.aiesec.org/opportunities/1274161</v>
      </c>
      <c r="L271" s="43" t="str">
        <f>IFERROR(__xludf.DUMMYFUNCTION("""COMPUTED_VALUE"""),"GTe")</f>
        <v>GTe</v>
      </c>
      <c r="M271" s="43" t="str">
        <f>IFERROR(__xludf.DUMMYFUNCTION("""COMPUTED_VALUE"""),"long")</f>
        <v>long</v>
      </c>
      <c r="N271" s="45">
        <f>IFERROR(__xludf.DUMMYFUNCTION("""COMPUTED_VALUE"""),45098.0)</f>
        <v>45098</v>
      </c>
      <c r="O271" s="45">
        <f>IFERROR(__xludf.DUMMYFUNCTION("""COMPUTED_VALUE"""),45173.0)</f>
        <v>45173</v>
      </c>
      <c r="P271" s="45">
        <f>IFERROR(__xludf.DUMMYFUNCTION("""COMPUTED_VALUE"""),45471.0)</f>
        <v>45471</v>
      </c>
      <c r="Q271" s="45"/>
      <c r="R271" s="45"/>
      <c r="S271" s="43"/>
      <c r="T271" s="43"/>
      <c r="U271" s="43" t="str">
        <f>IFERROR(__xludf.DUMMYFUNCTION("""COMPUTED_VALUE"""),"English Teacher in Başiskele Uğur Okulları")</f>
        <v>English Teacher in Başiskele Uğur Okulları</v>
      </c>
      <c r="V271" s="43" t="str">
        <f>IFERROR(__xludf.DUMMYFUNCTION("""COMPUTED_VALUE"""),"-")</f>
        <v>-</v>
      </c>
      <c r="W271" s="43" t="str">
        <f>IFERROR(__xludf.DUMMYFUNCTION("""COMPUTED_VALUE"""),"2017-11-05T07:12:01Z")</f>
        <v>2017-11-05T07:12:01Z</v>
      </c>
      <c r="X271" s="43"/>
      <c r="Y271" s="43"/>
      <c r="Z271" s="43"/>
    </row>
    <row r="272" hidden="1">
      <c r="A272" s="43" t="str">
        <f>IFERROR(__xludf.DUMMYFUNCTION("""COMPUTED_VALUE"""),"4759552_1264946")</f>
        <v>4759552_1264946</v>
      </c>
      <c r="B272" s="43" t="str">
        <f>IFERROR(__xludf.DUMMYFUNCTION("""COMPUTED_VALUE"""),"Eduarda Marcon")</f>
        <v>Eduarda Marcon</v>
      </c>
      <c r="C272" s="43" t="str">
        <f>IFERROR(__xludf.DUMMYFUNCTION("""COMPUTED_VALUE"""),"realized")</f>
        <v>realized</v>
      </c>
      <c r="D272" s="43" t="str">
        <f>IFERROR(__xludf.DUMMYFUNCTION("""COMPUTED_VALUE"""),"No")</f>
        <v>No</v>
      </c>
      <c r="E272" s="43" t="str">
        <f>IFERROR(__xludf.DUMMYFUNCTION("""COMPUTED_VALUE"""),"p_dc72b6a3a8e154ff6aa623cdba20ff7ad043d149@inbound.aiesec.org")</f>
        <v>p_dc72b6a3a8e154ff6aa623cdba20ff7ad043d149@inbound.aiesec.org</v>
      </c>
      <c r="F272" s="43"/>
      <c r="G272" s="43" t="str">
        <f>IFERROR(__xludf.DUMMYFUNCTION("""COMPUTED_VALUE"""),"Brazil")</f>
        <v>Brazil</v>
      </c>
      <c r="H272" s="43" t="str">
        <f>IFERROR(__xludf.DUMMYFUNCTION("""COMPUTED_VALUE"""),"SANTA MARIA")</f>
        <v>SANTA MARIA</v>
      </c>
      <c r="I272" s="43" t="str">
        <f>IFERROR(__xludf.DUMMYFUNCTION("""COMPUTED_VALUE"""),"Turkey")</f>
        <v>Turkey</v>
      </c>
      <c r="J272" s="43" t="str">
        <f>IFERROR(__xludf.DUMMYFUNCTION("""COMPUTED_VALUE"""),"KOCAELI")</f>
        <v>KOCAELI</v>
      </c>
      <c r="K272" s="44" t="str">
        <f>IFERROR(__xludf.DUMMYFUNCTION("""COMPUTED_VALUE"""),"https://expa.aiesec.org/opportunities/1264946")</f>
        <v>https://expa.aiesec.org/opportunities/1264946</v>
      </c>
      <c r="L272" s="43" t="str">
        <f>IFERROR(__xludf.DUMMYFUNCTION("""COMPUTED_VALUE"""),"GTe")</f>
        <v>GTe</v>
      </c>
      <c r="M272" s="43" t="str">
        <f>IFERROR(__xludf.DUMMYFUNCTION("""COMPUTED_VALUE"""),"long")</f>
        <v>long</v>
      </c>
      <c r="N272" s="45">
        <f>IFERROR(__xludf.DUMMYFUNCTION("""COMPUTED_VALUE"""),45100.0)</f>
        <v>45100</v>
      </c>
      <c r="O272" s="45">
        <f>IFERROR(__xludf.DUMMYFUNCTION("""COMPUTED_VALUE"""),45166.0)</f>
        <v>45166</v>
      </c>
      <c r="P272" s="45">
        <f>IFERROR(__xludf.DUMMYFUNCTION("""COMPUTED_VALUE"""),45473.0)</f>
        <v>45473</v>
      </c>
      <c r="Q272" s="45">
        <f>IFERROR(__xludf.DUMMYFUNCTION("""COMPUTED_VALUE"""),45169.0)</f>
        <v>45169</v>
      </c>
      <c r="R272" s="45">
        <f>IFERROR(__xludf.DUMMYFUNCTION("""COMPUTED_VALUE"""),45478.0)</f>
        <v>45478</v>
      </c>
      <c r="S272" s="43"/>
      <c r="T272" s="43"/>
      <c r="U272" s="43" t="str">
        <f>IFERROR(__xludf.DUMMYFUNCTION("""COMPUTED_VALUE"""),"English Teacher in Boutique Kindergarden ")</f>
        <v>English Teacher in Boutique Kindergarden </v>
      </c>
      <c r="V272" s="43" t="str">
        <f>IFERROR(__xludf.DUMMYFUNCTION("""COMPUTED_VALUE"""),"-")</f>
        <v>-</v>
      </c>
      <c r="W272" s="43" t="str">
        <f>IFERROR(__xludf.DUMMYFUNCTION("""COMPUTED_VALUE"""),"2021-10-06T17:35:06Z")</f>
        <v>2021-10-06T17:35:06Z</v>
      </c>
      <c r="X272" s="43"/>
      <c r="Y272" s="43"/>
      <c r="Z272" s="43"/>
    </row>
    <row r="273" hidden="1">
      <c r="A273" s="43" t="str">
        <f>IFERROR(__xludf.DUMMYFUNCTION("""COMPUTED_VALUE"""),"5277654_1281195")</f>
        <v>5277654_1281195</v>
      </c>
      <c r="B273" s="43" t="str">
        <f>IFERROR(__xludf.DUMMYFUNCTION("""COMPUTED_VALUE"""),"Amina Guendouz")</f>
        <v>Amina Guendouz</v>
      </c>
      <c r="C273" s="43" t="str">
        <f>IFERROR(__xludf.DUMMYFUNCTION("""COMPUTED_VALUE"""),"realized")</f>
        <v>realized</v>
      </c>
      <c r="D273" s="43" t="str">
        <f>IFERROR(__xludf.DUMMYFUNCTION("""COMPUTED_VALUE"""),"No")</f>
        <v>No</v>
      </c>
      <c r="E273" s="43" t="str">
        <f>IFERROR(__xludf.DUMMYFUNCTION("""COMPUTED_VALUE"""),"p_022f825b2096c9d6859dca0f5ce46ade49a92618@inbound.aiesec.org")</f>
        <v>p_022f825b2096c9d6859dca0f5ce46ade49a92618@inbound.aiesec.org</v>
      </c>
      <c r="F273" s="43">
        <f>IFERROR(__xludf.DUMMYFUNCTION("""COMPUTED_VALUE"""),6.58327997E8)</f>
        <v>658327997</v>
      </c>
      <c r="G273" s="43" t="str">
        <f>IFERROR(__xludf.DUMMYFUNCTION("""COMPUTED_VALUE"""),"Algeria")</f>
        <v>Algeria</v>
      </c>
      <c r="H273" s="43" t="str">
        <f>IFERROR(__xludf.DUMMYFUNCTION("""COMPUTED_VALUE"""),"Blida")</f>
        <v>Blida</v>
      </c>
      <c r="I273" s="43" t="str">
        <f>IFERROR(__xludf.DUMMYFUNCTION("""COMPUTED_VALUE"""),"Turkey")</f>
        <v>Turkey</v>
      </c>
      <c r="J273" s="43" t="str">
        <f>IFERROR(__xludf.DUMMYFUNCTION("""COMPUTED_VALUE"""),"BURSA")</f>
        <v>BURSA</v>
      </c>
      <c r="K273" s="44" t="str">
        <f>IFERROR(__xludf.DUMMYFUNCTION("""COMPUTED_VALUE"""),"https://expa.aiesec.org/opportunities/1281195")</f>
        <v>https://expa.aiesec.org/opportunities/1281195</v>
      </c>
      <c r="L273" s="43" t="str">
        <f>IFERROR(__xludf.DUMMYFUNCTION("""COMPUTED_VALUE"""),"GTe")</f>
        <v>GTe</v>
      </c>
      <c r="M273" s="43" t="str">
        <f>IFERROR(__xludf.DUMMYFUNCTION("""COMPUTED_VALUE"""),"long")</f>
        <v>long</v>
      </c>
      <c r="N273" s="45">
        <f>IFERROR(__xludf.DUMMYFUNCTION("""COMPUTED_VALUE"""),45100.0)</f>
        <v>45100</v>
      </c>
      <c r="O273" s="45">
        <f>IFERROR(__xludf.DUMMYFUNCTION("""COMPUTED_VALUE"""),45158.0)</f>
        <v>45158</v>
      </c>
      <c r="P273" s="45">
        <f>IFERROR(__xludf.DUMMYFUNCTION("""COMPUTED_VALUE"""),45524.0)</f>
        <v>45524</v>
      </c>
      <c r="Q273" s="45">
        <f>IFERROR(__xludf.DUMMYFUNCTION("""COMPUTED_VALUE"""),45160.0)</f>
        <v>45160</v>
      </c>
      <c r="R273" s="45">
        <f>IFERROR(__xludf.DUMMYFUNCTION("""COMPUTED_VALUE"""),45524.0)</f>
        <v>45524</v>
      </c>
      <c r="S273" s="43"/>
      <c r="T273" s="43"/>
      <c r="U273" s="43" t="str">
        <f>IFERROR(__xludf.DUMMYFUNCTION("""COMPUTED_VALUE"""),"ENGLISH TEACHING")</f>
        <v>ENGLISH TEACHING</v>
      </c>
      <c r="V273" s="43" t="str">
        <f>IFERROR(__xludf.DUMMYFUNCTION("""COMPUTED_VALUE"""),"AIESEC in Blida")</f>
        <v>AIESEC in Blida</v>
      </c>
      <c r="W273" s="43" t="str">
        <f>IFERROR(__xludf.DUMMYFUNCTION("""COMPUTED_VALUE"""),"2023-06-20T17:03:15Z")</f>
        <v>2023-06-20T17:03:15Z</v>
      </c>
      <c r="X273" s="43"/>
      <c r="Y273" s="43"/>
      <c r="Z273" s="43"/>
    </row>
    <row r="274" hidden="1">
      <c r="A274" s="43" t="str">
        <f>IFERROR(__xludf.DUMMYFUNCTION("""COMPUTED_VALUE"""),"4580838_1288871")</f>
        <v>4580838_1288871</v>
      </c>
      <c r="B274" s="43" t="str">
        <f>IFERROR(__xludf.DUMMYFUNCTION("""COMPUTED_VALUE"""),"SARRA ADDED")</f>
        <v>SARRA ADDED</v>
      </c>
      <c r="C274" s="43" t="str">
        <f>IFERROR(__xludf.DUMMYFUNCTION("""COMPUTED_VALUE"""),"realized")</f>
        <v>realized</v>
      </c>
      <c r="D274" s="43" t="str">
        <f>IFERROR(__xludf.DUMMYFUNCTION("""COMPUTED_VALUE"""),"No")</f>
        <v>No</v>
      </c>
      <c r="E274" s="43" t="str">
        <f>IFERROR(__xludf.DUMMYFUNCTION("""COMPUTED_VALUE"""),"p_7d95a1932190e972c1063487e48ea2e17adeb753@inbound.aiesec.org")</f>
        <v>p_7d95a1932190e972c1063487e48ea2e17adeb753@inbound.aiesec.org</v>
      </c>
      <c r="F274" s="43"/>
      <c r="G274" s="43" t="str">
        <f>IFERROR(__xludf.DUMMYFUNCTION("""COMPUTED_VALUE"""),"Tunisia")</f>
        <v>Tunisia</v>
      </c>
      <c r="H274" s="43" t="str">
        <f>IFERROR(__xludf.DUMMYFUNCTION("""COMPUTED_VALUE"""),"UNIVERSITY")</f>
        <v>UNIVERSITY</v>
      </c>
      <c r="I274" s="43" t="str">
        <f>IFERROR(__xludf.DUMMYFUNCTION("""COMPUTED_VALUE"""),"Turkey")</f>
        <v>Turkey</v>
      </c>
      <c r="J274" s="43" t="str">
        <f>IFERROR(__xludf.DUMMYFUNCTION("""COMPUTED_VALUE"""),"ISTANBUL ASIA")</f>
        <v>ISTANBUL ASIA</v>
      </c>
      <c r="K274" s="44" t="str">
        <f>IFERROR(__xludf.DUMMYFUNCTION("""COMPUTED_VALUE"""),"https://expa.aiesec.org/opportunities/1288871")</f>
        <v>https://expa.aiesec.org/opportunities/1288871</v>
      </c>
      <c r="L274" s="43" t="str">
        <f>IFERROR(__xludf.DUMMYFUNCTION("""COMPUTED_VALUE"""),"GTe")</f>
        <v>GTe</v>
      </c>
      <c r="M274" s="43" t="str">
        <f>IFERROR(__xludf.DUMMYFUNCTION("""COMPUTED_VALUE"""),"long")</f>
        <v>long</v>
      </c>
      <c r="N274" s="45">
        <f>IFERROR(__xludf.DUMMYFUNCTION("""COMPUTED_VALUE"""),45101.0)</f>
        <v>45101</v>
      </c>
      <c r="O274" s="45">
        <f>IFERROR(__xludf.DUMMYFUNCTION("""COMPUTED_VALUE"""),45173.0)</f>
        <v>45173</v>
      </c>
      <c r="P274" s="45">
        <f>IFERROR(__xludf.DUMMYFUNCTION("""COMPUTED_VALUE"""),45536.0)</f>
        <v>45536</v>
      </c>
      <c r="Q274" s="45">
        <f>IFERROR(__xludf.DUMMYFUNCTION("""COMPUTED_VALUE"""),45174.0)</f>
        <v>45174</v>
      </c>
      <c r="R274" s="45">
        <f>IFERROR(__xludf.DUMMYFUNCTION("""COMPUTED_VALUE"""),45537.0)</f>
        <v>45537</v>
      </c>
      <c r="S274" s="43"/>
      <c r="T274" s="43"/>
      <c r="U274" s="43" t="str">
        <f>IFERROR(__xludf.DUMMYFUNCTION("""COMPUTED_VALUE""")," English Teacher")</f>
        <v> English Teacher</v>
      </c>
      <c r="V274" s="43" t="str">
        <f>IFERROR(__xludf.DUMMYFUNCTION("""COMPUTED_VALUE"""),"-")</f>
        <v>-</v>
      </c>
      <c r="W274" s="43" t="str">
        <f>IFERROR(__xludf.DUMMYFUNCTION("""COMPUTED_VALUE"""),"2021-03-16T17:29:20Z")</f>
        <v>2021-03-16T17:29:20Z</v>
      </c>
      <c r="X274" s="43"/>
      <c r="Y274" s="43"/>
      <c r="Z274" s="43"/>
    </row>
    <row r="275" hidden="1">
      <c r="A275" s="43" t="str">
        <f>IFERROR(__xludf.DUMMYFUNCTION("""COMPUTED_VALUE"""),"5278461_1296474")</f>
        <v>5278461_1296474</v>
      </c>
      <c r="B275" s="43" t="str">
        <f>IFERROR(__xludf.DUMMYFUNCTION("""COMPUTED_VALUE"""),"Montaha gharbi")</f>
        <v>Montaha gharbi</v>
      </c>
      <c r="C275" s="43" t="str">
        <f>IFERROR(__xludf.DUMMYFUNCTION("""COMPUTED_VALUE"""),"realization_broken")</f>
        <v>realization_broken</v>
      </c>
      <c r="D275" s="43" t="str">
        <f>IFERROR(__xludf.DUMMYFUNCTION("""COMPUTED_VALUE"""),"No")</f>
        <v>No</v>
      </c>
      <c r="E275" s="43" t="str">
        <f>IFERROR(__xludf.DUMMYFUNCTION("""COMPUTED_VALUE"""),"p_513a3c619869bbfb216cca935f9fee5f99022a1e@inbound.aiesec.org")</f>
        <v>p_513a3c619869bbfb216cca935f9fee5f99022a1e@inbound.aiesec.org</v>
      </c>
      <c r="F275" s="43">
        <f>IFERROR(__xludf.DUMMYFUNCTION("""COMPUTED_VALUE"""),5.315133117E9)</f>
        <v>5315133117</v>
      </c>
      <c r="G275" s="43" t="str">
        <f>IFERROR(__xludf.DUMMYFUNCTION("""COMPUTED_VALUE"""),"Tunisia")</f>
        <v>Tunisia</v>
      </c>
      <c r="H275" s="43" t="str">
        <f>IFERROR(__xludf.DUMMYFUNCTION("""COMPUTED_VALUE"""),"RUSPINA")</f>
        <v>RUSPINA</v>
      </c>
      <c r="I275" s="43" t="str">
        <f>IFERROR(__xludf.DUMMYFUNCTION("""COMPUTED_VALUE"""),"Turkey")</f>
        <v>Turkey</v>
      </c>
      <c r="J275" s="43" t="str">
        <f>IFERROR(__xludf.DUMMYFUNCTION("""COMPUTED_VALUE"""),"SAKARYA")</f>
        <v>SAKARYA</v>
      </c>
      <c r="K275" s="44" t="str">
        <f>IFERROR(__xludf.DUMMYFUNCTION("""COMPUTED_VALUE"""),"https://expa.aiesec.org/opportunities/1296474")</f>
        <v>https://expa.aiesec.org/opportunities/1296474</v>
      </c>
      <c r="L275" s="43" t="str">
        <f>IFERROR(__xludf.DUMMYFUNCTION("""COMPUTED_VALUE"""),"GTe")</f>
        <v>GTe</v>
      </c>
      <c r="M275" s="43" t="str">
        <f>IFERROR(__xludf.DUMMYFUNCTION("""COMPUTED_VALUE"""),"long")</f>
        <v>long</v>
      </c>
      <c r="N275" s="45">
        <f>IFERROR(__xludf.DUMMYFUNCTION("""COMPUTED_VALUE"""),45101.0)</f>
        <v>45101</v>
      </c>
      <c r="O275" s="45">
        <f>IFERROR(__xludf.DUMMYFUNCTION("""COMPUTED_VALUE"""),45112.0)</f>
        <v>45112</v>
      </c>
      <c r="P275" s="45">
        <f>IFERROR(__xludf.DUMMYFUNCTION("""COMPUTED_VALUE"""),45477.0)</f>
        <v>45477</v>
      </c>
      <c r="Q275" s="45"/>
      <c r="R275" s="45"/>
      <c r="S275" s="43"/>
      <c r="T275" s="43"/>
      <c r="U275" s="43" t="str">
        <f>IFERROR(__xludf.DUMMYFUNCTION("""COMPUTED_VALUE"""),"English Teacher")</f>
        <v>English Teacher</v>
      </c>
      <c r="V275" s="43" t="str">
        <f>IFERROR(__xludf.DUMMYFUNCTION("""COMPUTED_VALUE"""),"ISLAA Moknine")</f>
        <v>ISLAA Moknine</v>
      </c>
      <c r="W275" s="43" t="str">
        <f>IFERROR(__xludf.DUMMYFUNCTION("""COMPUTED_VALUE"""),"2023-06-22T18:37:22Z")</f>
        <v>2023-06-22T18:37:22Z</v>
      </c>
      <c r="X275" s="43"/>
      <c r="Y275" s="43"/>
      <c r="Z275" s="43"/>
    </row>
    <row r="276" hidden="1">
      <c r="A276" s="43" t="str">
        <f>IFERROR(__xludf.DUMMYFUNCTION("""COMPUTED_VALUE"""),"5088850_1289293")</f>
        <v>5088850_1289293</v>
      </c>
      <c r="B276" s="43" t="str">
        <f>IFERROR(__xludf.DUMMYFUNCTION("""COMPUTED_VALUE"""),"Sihem Mansouri")</f>
        <v>Sihem Mansouri</v>
      </c>
      <c r="C276" s="43" t="str">
        <f>IFERROR(__xludf.DUMMYFUNCTION("""COMPUTED_VALUE"""),"approval_broken")</f>
        <v>approval_broken</v>
      </c>
      <c r="D276" s="43" t="str">
        <f>IFERROR(__xludf.DUMMYFUNCTION("""COMPUTED_VALUE"""),"No")</f>
        <v>No</v>
      </c>
      <c r="E276" s="43" t="str">
        <f>IFERROR(__xludf.DUMMYFUNCTION("""COMPUTED_VALUE"""),"p_e44e3e25bd8c0639bd77669405d3cc2edc1d81ca@inbound.aiesec.org")</f>
        <v>p_e44e3e25bd8c0639bd77669405d3cc2edc1d81ca@inbound.aiesec.org</v>
      </c>
      <c r="F276" s="43">
        <f>IFERROR(__xludf.DUMMYFUNCTION("""COMPUTED_VALUE"""),5.42067871E8)</f>
        <v>542067871</v>
      </c>
      <c r="G276" s="43" t="str">
        <f>IFERROR(__xludf.DUMMYFUNCTION("""COMPUTED_VALUE"""),"Algeria")</f>
        <v>Algeria</v>
      </c>
      <c r="H276" s="43" t="str">
        <f>IFERROR(__xludf.DUMMYFUNCTION("""COMPUTED_VALUE"""),"Blida")</f>
        <v>Blida</v>
      </c>
      <c r="I276" s="43" t="str">
        <f>IFERROR(__xludf.DUMMYFUNCTION("""COMPUTED_VALUE"""),"Turkey")</f>
        <v>Turkey</v>
      </c>
      <c r="J276" s="43" t="str">
        <f>IFERROR(__xludf.DUMMYFUNCTION("""COMPUTED_VALUE"""),"ADANA")</f>
        <v>ADANA</v>
      </c>
      <c r="K276" s="44" t="str">
        <f>IFERROR(__xludf.DUMMYFUNCTION("""COMPUTED_VALUE"""),"https://expa.aiesec.org/opportunities/1289293")</f>
        <v>https://expa.aiesec.org/opportunities/1289293</v>
      </c>
      <c r="L276" s="43" t="str">
        <f>IFERROR(__xludf.DUMMYFUNCTION("""COMPUTED_VALUE"""),"GTe")</f>
        <v>GTe</v>
      </c>
      <c r="M276" s="43" t="str">
        <f>IFERROR(__xludf.DUMMYFUNCTION("""COMPUTED_VALUE"""),"long")</f>
        <v>long</v>
      </c>
      <c r="N276" s="45">
        <f>IFERROR(__xludf.DUMMYFUNCTION("""COMPUTED_VALUE"""),45139.0)</f>
        <v>45139</v>
      </c>
      <c r="O276" s="45">
        <f>IFERROR(__xludf.DUMMYFUNCTION("""COMPUTED_VALUE"""),45170.0)</f>
        <v>45170</v>
      </c>
      <c r="P276" s="45">
        <f>IFERROR(__xludf.DUMMYFUNCTION("""COMPUTED_VALUE"""),45474.0)</f>
        <v>45474</v>
      </c>
      <c r="Q276" s="45"/>
      <c r="R276" s="45"/>
      <c r="S276" s="43"/>
      <c r="T276" s="43"/>
      <c r="U276" s="43" t="str">
        <f>IFERROR(__xludf.DUMMYFUNCTION("""COMPUTED_VALUE"""),"English Teacher in Bahçeşehir College")</f>
        <v>English Teacher in Bahçeşehir College</v>
      </c>
      <c r="V276" s="43" t="str">
        <f>IFERROR(__xludf.DUMMYFUNCTION("""COMPUTED_VALUE"""),"AIESEC in Blida")</f>
        <v>AIESEC in Blida</v>
      </c>
      <c r="W276" s="43" t="str">
        <f>IFERROR(__xludf.DUMMYFUNCTION("""COMPUTED_VALUE"""),"2022-08-03T19:29:29Z")</f>
        <v>2022-08-03T19:29:29Z</v>
      </c>
      <c r="X276" s="43"/>
      <c r="Y276" s="43"/>
      <c r="Z276" s="43"/>
    </row>
    <row r="277" hidden="1">
      <c r="A277" s="43" t="str">
        <f>IFERROR(__xludf.DUMMYFUNCTION("""COMPUTED_VALUE"""),"5279476_1277661")</f>
        <v>5279476_1277661</v>
      </c>
      <c r="B277" s="43" t="str">
        <f>IFERROR(__xludf.DUMMYFUNCTION("""COMPUTED_VALUE"""),"chaima hammami")</f>
        <v>chaima hammami</v>
      </c>
      <c r="C277" s="43" t="str">
        <f>IFERROR(__xludf.DUMMYFUNCTION("""COMPUTED_VALUE"""),"realized")</f>
        <v>realized</v>
      </c>
      <c r="D277" s="43" t="str">
        <f>IFERROR(__xludf.DUMMYFUNCTION("""COMPUTED_VALUE"""),"No")</f>
        <v>No</v>
      </c>
      <c r="E277" s="43" t="str">
        <f>IFERROR(__xludf.DUMMYFUNCTION("""COMPUTED_VALUE"""),"p_cdd74df39a64ddcb561448d6b868ffa4dd16d6dc@inbound.aiesec.org")</f>
        <v>p_cdd74df39a64ddcb561448d6b868ffa4dd16d6dc@inbound.aiesec.org</v>
      </c>
      <c r="F277" s="43">
        <f>IFERROR(__xludf.DUMMYFUNCTION("""COMPUTED_VALUE"""),5.0021643E7)</f>
        <v>50021643</v>
      </c>
      <c r="G277" s="43" t="str">
        <f>IFERROR(__xludf.DUMMYFUNCTION("""COMPUTED_VALUE"""),"Tunisia")</f>
        <v>Tunisia</v>
      </c>
      <c r="H277" s="43" t="str">
        <f>IFERROR(__xludf.DUMMYFUNCTION("""COMPUTED_VALUE"""),"HADRUMET")</f>
        <v>HADRUMET</v>
      </c>
      <c r="I277" s="43" t="str">
        <f>IFERROR(__xludf.DUMMYFUNCTION("""COMPUTED_VALUE"""),"Turkey")</f>
        <v>Turkey</v>
      </c>
      <c r="J277" s="43" t="str">
        <f>IFERROR(__xludf.DUMMYFUNCTION("""COMPUTED_VALUE"""),"KOCAELI")</f>
        <v>KOCAELI</v>
      </c>
      <c r="K277" s="44" t="str">
        <f>IFERROR(__xludf.DUMMYFUNCTION("""COMPUTED_VALUE"""),"https://expa.aiesec.org/opportunities/1277661")</f>
        <v>https://expa.aiesec.org/opportunities/1277661</v>
      </c>
      <c r="L277" s="43" t="str">
        <f>IFERROR(__xludf.DUMMYFUNCTION("""COMPUTED_VALUE"""),"GTe")</f>
        <v>GTe</v>
      </c>
      <c r="M277" s="43" t="str">
        <f>IFERROR(__xludf.DUMMYFUNCTION("""COMPUTED_VALUE"""),"long")</f>
        <v>long</v>
      </c>
      <c r="N277" s="45">
        <f>IFERROR(__xludf.DUMMYFUNCTION("""COMPUTED_VALUE"""),45103.0)</f>
        <v>45103</v>
      </c>
      <c r="O277" s="45">
        <f>IFERROR(__xludf.DUMMYFUNCTION("""COMPUTED_VALUE"""),45166.0)</f>
        <v>45166</v>
      </c>
      <c r="P277" s="45">
        <f>IFERROR(__xludf.DUMMYFUNCTION("""COMPUTED_VALUE"""),45458.0)</f>
        <v>45458</v>
      </c>
      <c r="Q277" s="45">
        <f>IFERROR(__xludf.DUMMYFUNCTION("""COMPUTED_VALUE"""),45169.0)</f>
        <v>45169</v>
      </c>
      <c r="R277" s="45">
        <f>IFERROR(__xludf.DUMMYFUNCTION("""COMPUTED_VALUE"""),45464.0)</f>
        <v>45464</v>
      </c>
      <c r="S277" s="43"/>
      <c r="T277" s="43"/>
      <c r="U277" s="43" t="str">
        <f>IFERROR(__xludf.DUMMYFUNCTION("""COMPUTED_VALUE"""),"English Teacher in Körfez Uğur Okulları")</f>
        <v>English Teacher in Körfez Uğur Okulları</v>
      </c>
      <c r="V277" s="43" t="str">
        <f>IFERROR(__xludf.DUMMYFUNCTION("""COMPUTED_VALUE"""),"FLSH Sousse")</f>
        <v>FLSH Sousse</v>
      </c>
      <c r="W277" s="43" t="str">
        <f>IFERROR(__xludf.DUMMYFUNCTION("""COMPUTED_VALUE"""),"2023-06-26T09:55:01Z")</f>
        <v>2023-06-26T09:55:01Z</v>
      </c>
      <c r="X277" s="43"/>
      <c r="Y277" s="43"/>
      <c r="Z277" s="43"/>
    </row>
    <row r="278" hidden="1">
      <c r="A278" s="43" t="str">
        <f>IFERROR(__xludf.DUMMYFUNCTION("""COMPUTED_VALUE"""),"5279048_1278298")</f>
        <v>5279048_1278298</v>
      </c>
      <c r="B278" s="43" t="str">
        <f>IFERROR(__xludf.DUMMYFUNCTION("""COMPUTED_VALUE"""),"Ahmed Ben khlifa")</f>
        <v>Ahmed Ben khlifa</v>
      </c>
      <c r="C278" s="43" t="str">
        <f>IFERROR(__xludf.DUMMYFUNCTION("""COMPUTED_VALUE"""),"realized")</f>
        <v>realized</v>
      </c>
      <c r="D278" s="43" t="str">
        <f>IFERROR(__xludf.DUMMYFUNCTION("""COMPUTED_VALUE"""),"No")</f>
        <v>No</v>
      </c>
      <c r="E278" s="43" t="str">
        <f>IFERROR(__xludf.DUMMYFUNCTION("""COMPUTED_VALUE"""),"p_bec4ad74a67d8ecfd16c8e978496b2260650140b@inbound.aiesec.org")</f>
        <v>p_bec4ad74a67d8ecfd16c8e978496b2260650140b@inbound.aiesec.org</v>
      </c>
      <c r="F278" s="43">
        <f>IFERROR(__xludf.DUMMYFUNCTION("""COMPUTED_VALUE"""),5.35898E7)</f>
        <v>53589800</v>
      </c>
      <c r="G278" s="43" t="str">
        <f>IFERROR(__xludf.DUMMYFUNCTION("""COMPUTED_VALUE"""),"Tunisia")</f>
        <v>Tunisia</v>
      </c>
      <c r="H278" s="43" t="str">
        <f>IFERROR(__xludf.DUMMYFUNCTION("""COMPUTED_VALUE"""),"HADRUMET")</f>
        <v>HADRUMET</v>
      </c>
      <c r="I278" s="43" t="str">
        <f>IFERROR(__xludf.DUMMYFUNCTION("""COMPUTED_VALUE"""),"Turkey")</f>
        <v>Turkey</v>
      </c>
      <c r="J278" s="43" t="str">
        <f>IFERROR(__xludf.DUMMYFUNCTION("""COMPUTED_VALUE"""),"KOCAELI")</f>
        <v>KOCAELI</v>
      </c>
      <c r="K278" s="44" t="str">
        <f>IFERROR(__xludf.DUMMYFUNCTION("""COMPUTED_VALUE"""),"https://expa.aiesec.org/opportunities/1278298")</f>
        <v>https://expa.aiesec.org/opportunities/1278298</v>
      </c>
      <c r="L278" s="43" t="str">
        <f>IFERROR(__xludf.DUMMYFUNCTION("""COMPUTED_VALUE"""),"GTe")</f>
        <v>GTe</v>
      </c>
      <c r="M278" s="43" t="str">
        <f>IFERROR(__xludf.DUMMYFUNCTION("""COMPUTED_VALUE"""),"long")</f>
        <v>long</v>
      </c>
      <c r="N278" s="45">
        <f>IFERROR(__xludf.DUMMYFUNCTION("""COMPUTED_VALUE"""),45103.0)</f>
        <v>45103</v>
      </c>
      <c r="O278" s="45">
        <f>IFERROR(__xludf.DUMMYFUNCTION("""COMPUTED_VALUE"""),45170.0)</f>
        <v>45170</v>
      </c>
      <c r="P278" s="45">
        <f>IFERROR(__xludf.DUMMYFUNCTION("""COMPUTED_VALUE"""),45445.0)</f>
        <v>45445</v>
      </c>
      <c r="Q278" s="45">
        <f>IFERROR(__xludf.DUMMYFUNCTION("""COMPUTED_VALUE"""),45246.0)</f>
        <v>45246</v>
      </c>
      <c r="R278" s="45">
        <f>IFERROR(__xludf.DUMMYFUNCTION("""COMPUTED_VALUE"""),45521.0)</f>
        <v>45521</v>
      </c>
      <c r="S278" s="43"/>
      <c r="T278" s="43"/>
      <c r="U278" s="43" t="str">
        <f>IFERROR(__xludf.DUMMYFUNCTION("""COMPUTED_VALUE"""),"Gebze İngiliz Kültür ")</f>
        <v>Gebze İngiliz Kültür </v>
      </c>
      <c r="V278" s="43" t="str">
        <f>IFERROR(__xludf.DUMMYFUNCTION("""COMPUTED_VALUE"""),"FLSH Sousse")</f>
        <v>FLSH Sousse</v>
      </c>
      <c r="W278" s="43" t="str">
        <f>IFERROR(__xludf.DUMMYFUNCTION("""COMPUTED_VALUE"""),"2023-06-24T19:20:12Z")</f>
        <v>2023-06-24T19:20:12Z</v>
      </c>
      <c r="X278" s="43"/>
      <c r="Y278" s="43"/>
      <c r="Z278" s="43"/>
    </row>
    <row r="279" hidden="1">
      <c r="A279" s="43" t="str">
        <f>IFERROR(__xludf.DUMMYFUNCTION("""COMPUTED_VALUE"""),"4173814_1296323")</f>
        <v>4173814_1296323</v>
      </c>
      <c r="B279" s="43" t="str">
        <f>IFERROR(__xludf.DUMMYFUNCTION("""COMPUTED_VALUE"""),"Nawres Chaalia")</f>
        <v>Nawres Chaalia</v>
      </c>
      <c r="C279" s="43" t="str">
        <f>IFERROR(__xludf.DUMMYFUNCTION("""COMPUTED_VALUE"""),"realized")</f>
        <v>realized</v>
      </c>
      <c r="D279" s="43" t="str">
        <f>IFERROR(__xludf.DUMMYFUNCTION("""COMPUTED_VALUE"""),"No")</f>
        <v>No</v>
      </c>
      <c r="E279" s="43" t="str">
        <f>IFERROR(__xludf.DUMMYFUNCTION("""COMPUTED_VALUE"""),"p_89e269a0528b0fc7c0b0478cb08889dd0eebdf74@inbound.aiesec.org")</f>
        <v>p_89e269a0528b0fc7c0b0478cb08889dd0eebdf74@inbound.aiesec.org</v>
      </c>
      <c r="F279" s="43">
        <f>IFERROR(__xludf.DUMMYFUNCTION("""COMPUTED_VALUE"""),5.3556599E7)</f>
        <v>53556599</v>
      </c>
      <c r="G279" s="43" t="str">
        <f>IFERROR(__xludf.DUMMYFUNCTION("""COMPUTED_VALUE"""),"Tunisia")</f>
        <v>Tunisia</v>
      </c>
      <c r="H279" s="43" t="str">
        <f>IFERROR(__xludf.DUMMYFUNCTION("""COMPUTED_VALUE"""),"Carthage")</f>
        <v>Carthage</v>
      </c>
      <c r="I279" s="43" t="str">
        <f>IFERROR(__xludf.DUMMYFUNCTION("""COMPUTED_VALUE"""),"Turkey")</f>
        <v>Turkey</v>
      </c>
      <c r="J279" s="43" t="str">
        <f>IFERROR(__xludf.DUMMYFUNCTION("""COMPUTED_VALUE"""),"KOCAELI")</f>
        <v>KOCAELI</v>
      </c>
      <c r="K279" s="44" t="str">
        <f>IFERROR(__xludf.DUMMYFUNCTION("""COMPUTED_VALUE"""),"https://expa.aiesec.org/opportunities/1296323")</f>
        <v>https://expa.aiesec.org/opportunities/1296323</v>
      </c>
      <c r="L279" s="43" t="str">
        <f>IFERROR(__xludf.DUMMYFUNCTION("""COMPUTED_VALUE"""),"GTe")</f>
        <v>GTe</v>
      </c>
      <c r="M279" s="43" t="str">
        <f>IFERROR(__xludf.DUMMYFUNCTION("""COMPUTED_VALUE"""),"long")</f>
        <v>long</v>
      </c>
      <c r="N279" s="45">
        <f>IFERROR(__xludf.DUMMYFUNCTION("""COMPUTED_VALUE"""),45103.0)</f>
        <v>45103</v>
      </c>
      <c r="O279" s="45">
        <f>IFERROR(__xludf.DUMMYFUNCTION("""COMPUTED_VALUE"""),45173.0)</f>
        <v>45173</v>
      </c>
      <c r="P279" s="45">
        <f>IFERROR(__xludf.DUMMYFUNCTION("""COMPUTED_VALUE"""),45471.0)</f>
        <v>45471</v>
      </c>
      <c r="Q279" s="45">
        <f>IFERROR(__xludf.DUMMYFUNCTION("""COMPUTED_VALUE"""),45169.0)</f>
        <v>45169</v>
      </c>
      <c r="R279" s="45">
        <f>IFERROR(__xludf.DUMMYFUNCTION("""COMPUTED_VALUE"""),45471.0)</f>
        <v>45471</v>
      </c>
      <c r="S279" s="43"/>
      <c r="T279" s="43"/>
      <c r="U279" s="43" t="str">
        <f>IFERROR(__xludf.DUMMYFUNCTION("""COMPUTED_VALUE"""),"English Teacher in Kindergarten")</f>
        <v>English Teacher in Kindergarten</v>
      </c>
      <c r="V279" s="43" t="str">
        <f>IFERROR(__xludf.DUMMYFUNCTION("""COMPUTED_VALUE"""),"FSJPST")</f>
        <v>FSJPST</v>
      </c>
      <c r="W279" s="43" t="str">
        <f>IFERROR(__xludf.DUMMYFUNCTION("""COMPUTED_VALUE"""),"2020-02-08T20:18:54Z")</f>
        <v>2020-02-08T20:18:54Z</v>
      </c>
      <c r="X279" s="43"/>
      <c r="Y279" s="43"/>
      <c r="Z279" s="43"/>
    </row>
    <row r="280" hidden="1">
      <c r="A280" s="43" t="str">
        <f>IFERROR(__xludf.DUMMYFUNCTION("""COMPUTED_VALUE"""),"5233385_1291586")</f>
        <v>5233385_1291586</v>
      </c>
      <c r="B280" s="43" t="str">
        <f>IFERROR(__xludf.DUMMYFUNCTION("""COMPUTED_VALUE"""),"Salima Kallel")</f>
        <v>Salima Kallel</v>
      </c>
      <c r="C280" s="43" t="str">
        <f>IFERROR(__xludf.DUMMYFUNCTION("""COMPUTED_VALUE"""),"realized")</f>
        <v>realized</v>
      </c>
      <c r="D280" s="43" t="str">
        <f>IFERROR(__xludf.DUMMYFUNCTION("""COMPUTED_VALUE"""),"No")</f>
        <v>No</v>
      </c>
      <c r="E280" s="43" t="str">
        <f>IFERROR(__xludf.DUMMYFUNCTION("""COMPUTED_VALUE"""),"p_32963bed151d7533096589cf7163fed493e1e442@inbound.aiesec.org")</f>
        <v>p_32963bed151d7533096589cf7163fed493e1e442@inbound.aiesec.org</v>
      </c>
      <c r="F280" s="43">
        <f>IFERROR(__xludf.DUMMYFUNCTION("""COMPUTED_VALUE"""),2.8606181E7)</f>
        <v>28606181</v>
      </c>
      <c r="G280" s="43" t="str">
        <f>IFERROR(__xludf.DUMMYFUNCTION("""COMPUTED_VALUE"""),"Tunisia")</f>
        <v>Tunisia</v>
      </c>
      <c r="H280" s="43" t="str">
        <f>IFERROR(__xludf.DUMMYFUNCTION("""COMPUTED_VALUE"""),"BARDO")</f>
        <v>BARDO</v>
      </c>
      <c r="I280" s="43" t="str">
        <f>IFERROR(__xludf.DUMMYFUNCTION("""COMPUTED_VALUE"""),"Turkey")</f>
        <v>Turkey</v>
      </c>
      <c r="J280" s="43" t="str">
        <f>IFERROR(__xludf.DUMMYFUNCTION("""COMPUTED_VALUE"""),"SAKARYA")</f>
        <v>SAKARYA</v>
      </c>
      <c r="K280" s="44" t="str">
        <f>IFERROR(__xludf.DUMMYFUNCTION("""COMPUTED_VALUE"""),"https://expa.aiesec.org/opportunities/1291586")</f>
        <v>https://expa.aiesec.org/opportunities/1291586</v>
      </c>
      <c r="L280" s="43" t="str">
        <f>IFERROR(__xludf.DUMMYFUNCTION("""COMPUTED_VALUE"""),"GTe")</f>
        <v>GTe</v>
      </c>
      <c r="M280" s="43" t="str">
        <f>IFERROR(__xludf.DUMMYFUNCTION("""COMPUTED_VALUE"""),"long")</f>
        <v>long</v>
      </c>
      <c r="N280" s="45">
        <f>IFERROR(__xludf.DUMMYFUNCTION("""COMPUTED_VALUE"""),45103.0)</f>
        <v>45103</v>
      </c>
      <c r="O280" s="45">
        <f>IFERROR(__xludf.DUMMYFUNCTION("""COMPUTED_VALUE"""),45139.0)</f>
        <v>45139</v>
      </c>
      <c r="P280" s="45">
        <f>IFERROR(__xludf.DUMMYFUNCTION("""COMPUTED_VALUE"""),45505.0)</f>
        <v>45505</v>
      </c>
      <c r="Q280" s="45">
        <f>IFERROR(__xludf.DUMMYFUNCTION("""COMPUTED_VALUE"""),45182.0)</f>
        <v>45182</v>
      </c>
      <c r="R280" s="45">
        <f>IFERROR(__xludf.DUMMYFUNCTION("""COMPUTED_VALUE"""),45546.0)</f>
        <v>45546</v>
      </c>
      <c r="S280" s="43"/>
      <c r="T280" s="43"/>
      <c r="U280" s="43" t="str">
        <f>IFERROR(__xludf.DUMMYFUNCTION("""COMPUTED_VALUE"""),"English Teacher | Private School")</f>
        <v>English Teacher | Private School</v>
      </c>
      <c r="V280" s="43" t="str">
        <f>IFERROR(__xludf.DUMMYFUNCTION("""COMPUTED_VALUE"""),"TBS")</f>
        <v>TBS</v>
      </c>
      <c r="W280" s="43" t="str">
        <f>IFERROR(__xludf.DUMMYFUNCTION("""COMPUTED_VALUE"""),"2023-04-02T17:31:20Z")</f>
        <v>2023-04-02T17:31:20Z</v>
      </c>
      <c r="X280" s="43"/>
      <c r="Y280" s="43"/>
      <c r="Z280" s="43"/>
    </row>
    <row r="281" hidden="1">
      <c r="A281" s="43" t="str">
        <f>IFERROR(__xludf.DUMMYFUNCTION("""COMPUTED_VALUE"""),"5279867_1289307")</f>
        <v>5279867_1289307</v>
      </c>
      <c r="B281" s="43" t="str">
        <f>IFERROR(__xludf.DUMMYFUNCTION("""COMPUTED_VALUE"""),"manjouri erij")</f>
        <v>manjouri erij</v>
      </c>
      <c r="C281" s="43" t="str">
        <f>IFERROR(__xludf.DUMMYFUNCTION("""COMPUTED_VALUE"""),"realized")</f>
        <v>realized</v>
      </c>
      <c r="D281" s="43" t="str">
        <f>IFERROR(__xludf.DUMMYFUNCTION("""COMPUTED_VALUE"""),"No")</f>
        <v>No</v>
      </c>
      <c r="E281" s="43" t="str">
        <f>IFERROR(__xludf.DUMMYFUNCTION("""COMPUTED_VALUE"""),"p_6e4b7a44ab2d87b1f7a7ad5250cc6a4f23470c00@inbound.aiesec.org")</f>
        <v>p_6e4b7a44ab2d87b1f7a7ad5250cc6a4f23470c00@inbound.aiesec.org</v>
      </c>
      <c r="F281" s="43">
        <f>IFERROR(__xludf.DUMMYFUNCTION("""COMPUTED_VALUE"""),5.2818651E7)</f>
        <v>52818651</v>
      </c>
      <c r="G281" s="43" t="str">
        <f>IFERROR(__xludf.DUMMYFUNCTION("""COMPUTED_VALUE"""),"Tunisia")</f>
        <v>Tunisia</v>
      </c>
      <c r="H281" s="43" t="str">
        <f>IFERROR(__xludf.DUMMYFUNCTION("""COMPUTED_VALUE"""),"MEDINA")</f>
        <v>MEDINA</v>
      </c>
      <c r="I281" s="43" t="str">
        <f>IFERROR(__xludf.DUMMYFUNCTION("""COMPUTED_VALUE"""),"Turkey")</f>
        <v>Turkey</v>
      </c>
      <c r="J281" s="43" t="str">
        <f>IFERROR(__xludf.DUMMYFUNCTION("""COMPUTED_VALUE"""),"ISTANBUL")</f>
        <v>ISTANBUL</v>
      </c>
      <c r="K281" s="44" t="str">
        <f>IFERROR(__xludf.DUMMYFUNCTION("""COMPUTED_VALUE"""),"https://expa.aiesec.org/opportunities/1289307")</f>
        <v>https://expa.aiesec.org/opportunities/1289307</v>
      </c>
      <c r="L281" s="43" t="str">
        <f>IFERROR(__xludf.DUMMYFUNCTION("""COMPUTED_VALUE"""),"GTe")</f>
        <v>GTe</v>
      </c>
      <c r="M281" s="43" t="str">
        <f>IFERROR(__xludf.DUMMYFUNCTION("""COMPUTED_VALUE"""),"long")</f>
        <v>long</v>
      </c>
      <c r="N281" s="45">
        <f>IFERROR(__xludf.DUMMYFUNCTION("""COMPUTED_VALUE"""),45104.0)</f>
        <v>45104</v>
      </c>
      <c r="O281" s="45">
        <f>IFERROR(__xludf.DUMMYFUNCTION("""COMPUTED_VALUE"""),45152.0)</f>
        <v>45152</v>
      </c>
      <c r="P281" s="45">
        <f>IFERROR(__xludf.DUMMYFUNCTION("""COMPUTED_VALUE"""),45522.0)</f>
        <v>45522</v>
      </c>
      <c r="Q281" s="45">
        <f>IFERROR(__xludf.DUMMYFUNCTION("""COMPUTED_VALUE"""),45152.0)</f>
        <v>45152</v>
      </c>
      <c r="R281" s="45">
        <f>IFERROR(__xludf.DUMMYFUNCTION("""COMPUTED_VALUE"""),45522.0)</f>
        <v>45522</v>
      </c>
      <c r="S281" s="43"/>
      <c r="T281" s="43"/>
      <c r="U281" s="43" t="str">
        <f>IFERROR(__xludf.DUMMYFUNCTION("""COMPUTED_VALUE"""),"Preschool English Teacher")</f>
        <v>Preschool English Teacher</v>
      </c>
      <c r="V281" s="43" t="str">
        <f>IFERROR(__xludf.DUMMYFUNCTION("""COMPUTED_VALUE"""),"FLAH")</f>
        <v>FLAH</v>
      </c>
      <c r="W281" s="43" t="str">
        <f>IFERROR(__xludf.DUMMYFUNCTION("""COMPUTED_VALUE"""),"2023-06-27T13:18:11Z")</f>
        <v>2023-06-27T13:18:11Z</v>
      </c>
      <c r="X281" s="43"/>
      <c r="Y281" s="43"/>
      <c r="Z281" s="43"/>
    </row>
    <row r="282" hidden="1">
      <c r="A282" s="43" t="str">
        <f>IFERROR(__xludf.DUMMYFUNCTION("""COMPUTED_VALUE"""),"5279175_1283628")</f>
        <v>5279175_1283628</v>
      </c>
      <c r="B282" s="43" t="str">
        <f>IFERROR(__xludf.DUMMYFUNCTION("""COMPUTED_VALUE"""),"Kamouche Khaled")</f>
        <v>Kamouche Khaled</v>
      </c>
      <c r="C282" s="43" t="str">
        <f>IFERROR(__xludf.DUMMYFUNCTION("""COMPUTED_VALUE"""),"realized")</f>
        <v>realized</v>
      </c>
      <c r="D282" s="43" t="str">
        <f>IFERROR(__xludf.DUMMYFUNCTION("""COMPUTED_VALUE"""),"No")</f>
        <v>No</v>
      </c>
      <c r="E282" s="43" t="str">
        <f>IFERROR(__xludf.DUMMYFUNCTION("""COMPUTED_VALUE"""),"p_e5b8aa2faea5fcc0efed9af50e5e8bc93a28d7ec@inbound.aiesec.org")</f>
        <v>p_e5b8aa2faea5fcc0efed9af50e5e8bc93a28d7ec@inbound.aiesec.org</v>
      </c>
      <c r="F282" s="43">
        <f>IFERROR(__xludf.DUMMYFUNCTION("""COMPUTED_VALUE"""),6.75855129E8)</f>
        <v>675855129</v>
      </c>
      <c r="G282" s="43" t="str">
        <f>IFERROR(__xludf.DUMMYFUNCTION("""COMPUTED_VALUE"""),"Algeria")</f>
        <v>Algeria</v>
      </c>
      <c r="H282" s="43" t="str">
        <f>IFERROR(__xludf.DUMMYFUNCTION("""COMPUTED_VALUE"""),"Bejaia")</f>
        <v>Bejaia</v>
      </c>
      <c r="I282" s="43" t="str">
        <f>IFERROR(__xludf.DUMMYFUNCTION("""COMPUTED_VALUE"""),"Turkey")</f>
        <v>Turkey</v>
      </c>
      <c r="J282" s="43" t="str">
        <f>IFERROR(__xludf.DUMMYFUNCTION("""COMPUTED_VALUE"""),"ESKISEHIR")</f>
        <v>ESKISEHIR</v>
      </c>
      <c r="K282" s="44" t="str">
        <f>IFERROR(__xludf.DUMMYFUNCTION("""COMPUTED_VALUE"""),"https://expa.aiesec.org/opportunities/1283628")</f>
        <v>https://expa.aiesec.org/opportunities/1283628</v>
      </c>
      <c r="L282" s="43" t="str">
        <f>IFERROR(__xludf.DUMMYFUNCTION("""COMPUTED_VALUE"""),"GTe")</f>
        <v>GTe</v>
      </c>
      <c r="M282" s="43" t="str">
        <f>IFERROR(__xludf.DUMMYFUNCTION("""COMPUTED_VALUE"""),"long")</f>
        <v>long</v>
      </c>
      <c r="N282" s="45">
        <f>IFERROR(__xludf.DUMMYFUNCTION("""COMPUTED_VALUE"""),45105.0)</f>
        <v>45105</v>
      </c>
      <c r="O282" s="45">
        <f>IFERROR(__xludf.DUMMYFUNCTION("""COMPUTED_VALUE"""),45153.0)</f>
        <v>45153</v>
      </c>
      <c r="P282" s="45">
        <f>IFERROR(__xludf.DUMMYFUNCTION("""COMPUTED_VALUE"""),45518.0)</f>
        <v>45518</v>
      </c>
      <c r="Q282" s="45">
        <f>IFERROR(__xludf.DUMMYFUNCTION("""COMPUTED_VALUE"""),45153.0)</f>
        <v>45153</v>
      </c>
      <c r="R282" s="45">
        <f>IFERROR(__xludf.DUMMYFUNCTION("""COMPUTED_VALUE"""),45518.0)</f>
        <v>45518</v>
      </c>
      <c r="S282" s="43"/>
      <c r="T282" s="43"/>
      <c r="U282" s="43" t="str">
        <f>IFERROR(__xludf.DUMMYFUNCTION("""COMPUTED_VALUE"""),"Join Wimbledn Academy ")</f>
        <v>Join Wimbledn Academy </v>
      </c>
      <c r="V282" s="43" t="str">
        <f>IFERROR(__xludf.DUMMYFUNCTION("""COMPUTED_VALUE"""),"AIESEC in Constantine")</f>
        <v>AIESEC in Constantine</v>
      </c>
      <c r="W282" s="43" t="str">
        <f>IFERROR(__xludf.DUMMYFUNCTION("""COMPUTED_VALUE"""),"2023-06-25T09:31:48Z")</f>
        <v>2023-06-25T09:31:48Z</v>
      </c>
      <c r="X282" s="43"/>
      <c r="Y282" s="43"/>
      <c r="Z282" s="43"/>
    </row>
    <row r="283" hidden="1">
      <c r="A283" s="43" t="str">
        <f>IFERROR(__xludf.DUMMYFUNCTION("""COMPUTED_VALUE"""),"5262895_1281195")</f>
        <v>5262895_1281195</v>
      </c>
      <c r="B283" s="43" t="str">
        <f>IFERROR(__xludf.DUMMYFUNCTION("""COMPUTED_VALUE"""),"Adelina Shayhullina")</f>
        <v>Adelina Shayhullina</v>
      </c>
      <c r="C283" s="43" t="str">
        <f>IFERROR(__xludf.DUMMYFUNCTION("""COMPUTED_VALUE"""),"realized")</f>
        <v>realized</v>
      </c>
      <c r="D283" s="43" t="str">
        <f>IFERROR(__xludf.DUMMYFUNCTION("""COMPUTED_VALUE"""),"No")</f>
        <v>No</v>
      </c>
      <c r="E283" s="43" t="str">
        <f>IFERROR(__xludf.DUMMYFUNCTION("""COMPUTED_VALUE"""),"p_e7958974fff033881d5a28e666cc6854049d4a28@inbound.aiesec.org")</f>
        <v>p_e7958974fff033881d5a28e666cc6854049d4a28@inbound.aiesec.org</v>
      </c>
      <c r="F283" s="43">
        <f>IFERROR(__xludf.DUMMYFUNCTION("""COMPUTED_VALUE"""),9.279270232E9)</f>
        <v>9279270232</v>
      </c>
      <c r="G283" s="43" t="str">
        <f>IFERROR(__xludf.DUMMYFUNCTION("""COMPUTED_VALUE"""),"Russia")</f>
        <v>Russia</v>
      </c>
      <c r="H283" s="43" t="str">
        <f>IFERROR(__xludf.DUMMYFUNCTION("""COMPUTED_VALUE"""),"VAM RUSSIA")</f>
        <v>VAM RUSSIA</v>
      </c>
      <c r="I283" s="43" t="str">
        <f>IFERROR(__xludf.DUMMYFUNCTION("""COMPUTED_VALUE"""),"Turkey")</f>
        <v>Turkey</v>
      </c>
      <c r="J283" s="43" t="str">
        <f>IFERROR(__xludf.DUMMYFUNCTION("""COMPUTED_VALUE"""),"BURSA")</f>
        <v>BURSA</v>
      </c>
      <c r="K283" s="44" t="str">
        <f>IFERROR(__xludf.DUMMYFUNCTION("""COMPUTED_VALUE"""),"https://expa.aiesec.org/opportunities/1281195")</f>
        <v>https://expa.aiesec.org/opportunities/1281195</v>
      </c>
      <c r="L283" s="43" t="str">
        <f>IFERROR(__xludf.DUMMYFUNCTION("""COMPUTED_VALUE"""),"GTe")</f>
        <v>GTe</v>
      </c>
      <c r="M283" s="43" t="str">
        <f>IFERROR(__xludf.DUMMYFUNCTION("""COMPUTED_VALUE"""),"long")</f>
        <v>long</v>
      </c>
      <c r="N283" s="45">
        <f>IFERROR(__xludf.DUMMYFUNCTION("""COMPUTED_VALUE"""),45107.0)</f>
        <v>45107</v>
      </c>
      <c r="O283" s="45">
        <f>IFERROR(__xludf.DUMMYFUNCTION("""COMPUTED_VALUE"""),45174.0)</f>
        <v>45174</v>
      </c>
      <c r="P283" s="45">
        <f>IFERROR(__xludf.DUMMYFUNCTION("""COMPUTED_VALUE"""),45540.0)</f>
        <v>45540</v>
      </c>
      <c r="Q283" s="45">
        <f>IFERROR(__xludf.DUMMYFUNCTION("""COMPUTED_VALUE"""),45176.0)</f>
        <v>45176</v>
      </c>
      <c r="R283" s="45">
        <f>IFERROR(__xludf.DUMMYFUNCTION("""COMPUTED_VALUE"""),45540.0)</f>
        <v>45540</v>
      </c>
      <c r="S283" s="43"/>
      <c r="T283" s="43"/>
      <c r="U283" s="43" t="str">
        <f>IFERROR(__xludf.DUMMYFUNCTION("""COMPUTED_VALUE"""),"ENGLISH TEACHING")</f>
        <v>ENGLISH TEACHING</v>
      </c>
      <c r="V283" s="43" t="str">
        <f>IFERROR(__xludf.DUMMYFUNCTION("""COMPUTED_VALUE"""),"Other")</f>
        <v>Other</v>
      </c>
      <c r="W283" s="43" t="str">
        <f>IFERROR(__xludf.DUMMYFUNCTION("""COMPUTED_VALUE"""),"2023-05-18T12:20:52Z")</f>
        <v>2023-05-18T12:20:52Z</v>
      </c>
      <c r="X283" s="43"/>
      <c r="Y283" s="43"/>
      <c r="Z283" s="43"/>
    </row>
    <row r="284" hidden="1">
      <c r="A284" s="43" t="str">
        <f>IFERROR(__xludf.DUMMYFUNCTION("""COMPUTED_VALUE"""),"5052227_1291989")</f>
        <v>5052227_1291989</v>
      </c>
      <c r="B284" s="43" t="str">
        <f>IFERROR(__xludf.DUMMYFUNCTION("""COMPUTED_VALUE"""),"Leila Moussaoui")</f>
        <v>Leila Moussaoui</v>
      </c>
      <c r="C284" s="43" t="str">
        <f>IFERROR(__xludf.DUMMYFUNCTION("""COMPUTED_VALUE"""),"realized")</f>
        <v>realized</v>
      </c>
      <c r="D284" s="43" t="str">
        <f>IFERROR(__xludf.DUMMYFUNCTION("""COMPUTED_VALUE"""),"No")</f>
        <v>No</v>
      </c>
      <c r="E284" s="43" t="str">
        <f>IFERROR(__xludf.DUMMYFUNCTION("""COMPUTED_VALUE"""),"p_0af5b1d3257d1116931e7bcdee7c77a466d4533d@inbound.aiesec.org")</f>
        <v>p_0af5b1d3257d1116931e7bcdee7c77a466d4533d@inbound.aiesec.org</v>
      </c>
      <c r="F284" s="43">
        <f>IFERROR(__xludf.DUMMYFUNCTION("""COMPUTED_VALUE"""),6.62716791E8)</f>
        <v>662716791</v>
      </c>
      <c r="G284" s="43" t="str">
        <f>IFERROR(__xludf.DUMMYFUNCTION("""COMPUTED_VALUE"""),"Algeria")</f>
        <v>Algeria</v>
      </c>
      <c r="H284" s="43" t="str">
        <f>IFERROR(__xludf.DUMMYFUNCTION("""COMPUTED_VALUE"""),"Blida")</f>
        <v>Blida</v>
      </c>
      <c r="I284" s="43" t="str">
        <f>IFERROR(__xludf.DUMMYFUNCTION("""COMPUTED_VALUE"""),"Turkey")</f>
        <v>Turkey</v>
      </c>
      <c r="J284" s="43" t="str">
        <f>IFERROR(__xludf.DUMMYFUNCTION("""COMPUTED_VALUE"""),"GAZIANTEP")</f>
        <v>GAZIANTEP</v>
      </c>
      <c r="K284" s="44" t="str">
        <f>IFERROR(__xludf.DUMMYFUNCTION("""COMPUTED_VALUE"""),"https://expa.aiesec.org/opportunities/1291989")</f>
        <v>https://expa.aiesec.org/opportunities/1291989</v>
      </c>
      <c r="L284" s="43" t="str">
        <f>IFERROR(__xludf.DUMMYFUNCTION("""COMPUTED_VALUE"""),"GTe")</f>
        <v>GTe</v>
      </c>
      <c r="M284" s="43" t="str">
        <f>IFERROR(__xludf.DUMMYFUNCTION("""COMPUTED_VALUE"""),"long")</f>
        <v>long</v>
      </c>
      <c r="N284" s="45">
        <f>IFERROR(__xludf.DUMMYFUNCTION("""COMPUTED_VALUE"""),45107.0)</f>
        <v>45107</v>
      </c>
      <c r="O284" s="45">
        <f>IFERROR(__xludf.DUMMYFUNCTION("""COMPUTED_VALUE"""),45139.0)</f>
        <v>45139</v>
      </c>
      <c r="P284" s="45">
        <f>IFERROR(__xludf.DUMMYFUNCTION("""COMPUTED_VALUE"""),45443.0)</f>
        <v>45443</v>
      </c>
      <c r="Q284" s="45">
        <f>IFERROR(__xludf.DUMMYFUNCTION("""COMPUTED_VALUE"""),45169.0)</f>
        <v>45169</v>
      </c>
      <c r="R284" s="45">
        <f>IFERROR(__xludf.DUMMYFUNCTION("""COMPUTED_VALUE"""),45473.0)</f>
        <v>45473</v>
      </c>
      <c r="S284" s="43"/>
      <c r="T284" s="43"/>
      <c r="U284" s="43" t="str">
        <f>IFERROR(__xludf.DUMMYFUNCTION("""COMPUTED_VALUE"""),"English Teacher")</f>
        <v>English Teacher</v>
      </c>
      <c r="V284" s="43" t="str">
        <f>IFERROR(__xludf.DUMMYFUNCTION("""COMPUTED_VALUE"""),"AIESEC in Blida")</f>
        <v>AIESEC in Blida</v>
      </c>
      <c r="W284" s="43" t="str">
        <f>IFERROR(__xludf.DUMMYFUNCTION("""COMPUTED_VALUE"""),"2022-05-06T17:27:44Z")</f>
        <v>2022-05-06T17:27:44Z</v>
      </c>
      <c r="X284" s="43"/>
      <c r="Y284" s="43"/>
      <c r="Z284" s="43"/>
    </row>
    <row r="285" hidden="1">
      <c r="A285" s="43" t="str">
        <f>IFERROR(__xludf.DUMMYFUNCTION("""COMPUTED_VALUE"""),"5279342_1295568")</f>
        <v>5279342_1295568</v>
      </c>
      <c r="B285" s="43" t="str">
        <f>IFERROR(__xludf.DUMMYFUNCTION("""COMPUTED_VALUE"""),"Samah Essam")</f>
        <v>Samah Essam</v>
      </c>
      <c r="C285" s="43" t="str">
        <f>IFERROR(__xludf.DUMMYFUNCTION("""COMPUTED_VALUE"""),"approved")</f>
        <v>approved</v>
      </c>
      <c r="D285" s="43" t="str">
        <f>IFERROR(__xludf.DUMMYFUNCTION("""COMPUTED_VALUE"""),"No")</f>
        <v>No</v>
      </c>
      <c r="E285" s="43" t="str">
        <f>IFERROR(__xludf.DUMMYFUNCTION("""COMPUTED_VALUE"""),"p_34982063e44d1c20b0844ac621532e70c1b0ad00@inbound.aiesec.org")</f>
        <v>p_34982063e44d1c20b0844ac621532e70c1b0ad00@inbound.aiesec.org</v>
      </c>
      <c r="F285" s="43">
        <f>IFERROR(__xludf.DUMMYFUNCTION("""COMPUTED_VALUE"""),1.223040553E9)</f>
        <v>1223040553</v>
      </c>
      <c r="G285" s="43" t="str">
        <f>IFERROR(__xludf.DUMMYFUNCTION("""COMPUTED_VALUE"""),"Egypt")</f>
        <v>Egypt</v>
      </c>
      <c r="H285" s="43" t="str">
        <f>IFERROR(__xludf.DUMMYFUNCTION("""COMPUTED_VALUE"""),"Alexandria")</f>
        <v>Alexandria</v>
      </c>
      <c r="I285" s="43" t="str">
        <f>IFERROR(__xludf.DUMMYFUNCTION("""COMPUTED_VALUE"""),"Turkey")</f>
        <v>Turkey</v>
      </c>
      <c r="J285" s="43" t="str">
        <f>IFERROR(__xludf.DUMMYFUNCTION("""COMPUTED_VALUE"""),"GAZIANTEP")</f>
        <v>GAZIANTEP</v>
      </c>
      <c r="K285" s="44" t="str">
        <f>IFERROR(__xludf.DUMMYFUNCTION("""COMPUTED_VALUE"""),"https://expa.aiesec.org/opportunities/1295568")</f>
        <v>https://expa.aiesec.org/opportunities/1295568</v>
      </c>
      <c r="L285" s="43" t="str">
        <f>IFERROR(__xludf.DUMMYFUNCTION("""COMPUTED_VALUE"""),"GTe")</f>
        <v>GTe</v>
      </c>
      <c r="M285" s="43" t="str">
        <f>IFERROR(__xludf.DUMMYFUNCTION("""COMPUTED_VALUE"""),"long")</f>
        <v>long</v>
      </c>
      <c r="N285" s="45">
        <f>IFERROR(__xludf.DUMMYFUNCTION("""COMPUTED_VALUE"""),45108.0)</f>
        <v>45108</v>
      </c>
      <c r="O285" s="45">
        <f>IFERROR(__xludf.DUMMYFUNCTION("""COMPUTED_VALUE"""),45139.0)</f>
        <v>45139</v>
      </c>
      <c r="P285" s="45">
        <f>IFERROR(__xludf.DUMMYFUNCTION("""COMPUTED_VALUE"""),45504.0)</f>
        <v>45504</v>
      </c>
      <c r="Q285" s="45"/>
      <c r="R285" s="45"/>
      <c r="S285" s="43"/>
      <c r="T285" s="43"/>
      <c r="U285" s="43" t="str">
        <f>IFERROR(__xludf.DUMMYFUNCTION("""COMPUTED_VALUE"""),"English Time")</f>
        <v>English Time</v>
      </c>
      <c r="V285" s="43" t="str">
        <f>IFERROR(__xludf.DUMMYFUNCTION("""COMPUTED_VALUE"""),"Alexandria University")</f>
        <v>Alexandria University</v>
      </c>
      <c r="W285" s="43" t="str">
        <f>IFERROR(__xludf.DUMMYFUNCTION("""COMPUTED_VALUE"""),"2023-06-25T18:39:39Z")</f>
        <v>2023-06-25T18:39:39Z</v>
      </c>
      <c r="X285" s="43"/>
      <c r="Y285" s="43"/>
      <c r="Z285" s="43"/>
    </row>
    <row r="286" hidden="1">
      <c r="A286" s="43" t="str">
        <f>IFERROR(__xludf.DUMMYFUNCTION("""COMPUTED_VALUE"""),"5270402_1294941")</f>
        <v>5270402_1294941</v>
      </c>
      <c r="B286" s="43" t="str">
        <f>IFERROR(__xludf.DUMMYFUNCTION("""COMPUTED_VALUE"""),"Grace Urielle Boua")</f>
        <v>Grace Urielle Boua</v>
      </c>
      <c r="C286" s="43" t="str">
        <f>IFERROR(__xludf.DUMMYFUNCTION("""COMPUTED_VALUE"""),"approved")</f>
        <v>approved</v>
      </c>
      <c r="D286" s="43" t="str">
        <f>IFERROR(__xludf.DUMMYFUNCTION("""COMPUTED_VALUE"""),"No")</f>
        <v>No</v>
      </c>
      <c r="E286" s="43" t="str">
        <f>IFERROR(__xludf.DUMMYFUNCTION("""COMPUTED_VALUE"""),"p_ee0fc565d57d9843e16423454fd7c5c74e8dab78@inbound.aiesec.org")</f>
        <v>p_ee0fc565d57d9843e16423454fd7c5c74e8dab78@inbound.aiesec.org</v>
      </c>
      <c r="F286" s="43">
        <f>IFERROR(__xludf.DUMMYFUNCTION("""COMPUTED_VALUE"""),7.47203399E8)</f>
        <v>747203399</v>
      </c>
      <c r="G286" s="43" t="str">
        <f>IFERROR(__xludf.DUMMYFUNCTION("""COMPUTED_VALUE"""),"Cote D'Ivoire")</f>
        <v>Cote D'Ivoire</v>
      </c>
      <c r="H286" s="43" t="str">
        <f>IFERROR(__xludf.DUMMYFUNCTION("""COMPUTED_VALUE""")," UIPA ")</f>
        <v> UIPA </v>
      </c>
      <c r="I286" s="43" t="str">
        <f>IFERROR(__xludf.DUMMYFUNCTION("""COMPUTED_VALUE"""),"Turkey")</f>
        <v>Turkey</v>
      </c>
      <c r="J286" s="43" t="str">
        <f>IFERROR(__xludf.DUMMYFUNCTION("""COMPUTED_VALUE"""),"ADANA")</f>
        <v>ADANA</v>
      </c>
      <c r="K286" s="44" t="str">
        <f>IFERROR(__xludf.DUMMYFUNCTION("""COMPUTED_VALUE"""),"https://expa.aiesec.org/opportunities/1294941")</f>
        <v>https://expa.aiesec.org/opportunities/1294941</v>
      </c>
      <c r="L286" s="43" t="str">
        <f>IFERROR(__xludf.DUMMYFUNCTION("""COMPUTED_VALUE"""),"GTe")</f>
        <v>GTe</v>
      </c>
      <c r="M286" s="43" t="str">
        <f>IFERROR(__xludf.DUMMYFUNCTION("""COMPUTED_VALUE"""),"long")</f>
        <v>long</v>
      </c>
      <c r="N286" s="45">
        <f>IFERROR(__xludf.DUMMYFUNCTION("""COMPUTED_VALUE"""),45108.0)</f>
        <v>45108</v>
      </c>
      <c r="O286" s="45">
        <f>IFERROR(__xludf.DUMMYFUNCTION("""COMPUTED_VALUE"""),45153.0)</f>
        <v>45153</v>
      </c>
      <c r="P286" s="45">
        <f>IFERROR(__xludf.DUMMYFUNCTION("""COMPUTED_VALUE"""),45474.0)</f>
        <v>45474</v>
      </c>
      <c r="Q286" s="45"/>
      <c r="R286" s="45"/>
      <c r="S286" s="43"/>
      <c r="T286" s="43"/>
      <c r="U286" s="43" t="str">
        <f>IFERROR(__xludf.DUMMYFUNCTION("""COMPUTED_VALUE"""),"English Teaching in Diyarbakır TED")</f>
        <v>English Teaching in Diyarbakır TED</v>
      </c>
      <c r="V286" s="43" t="str">
        <f>IFERROR(__xludf.DUMMYFUNCTION("""COMPUTED_VALUE"""),"LC UIPA ")</f>
        <v>LC UIPA </v>
      </c>
      <c r="W286" s="43" t="str">
        <f>IFERROR(__xludf.DUMMYFUNCTION("""COMPUTED_VALUE"""),"2023-06-01T23:30:00Z")</f>
        <v>2023-06-01T23:30:00Z</v>
      </c>
      <c r="X286" s="43"/>
      <c r="Y286" s="43"/>
      <c r="Z286" s="43"/>
    </row>
    <row r="287" hidden="1">
      <c r="A287" s="43" t="str">
        <f>IFERROR(__xludf.DUMMYFUNCTION("""COMPUTED_VALUE"""),"5281091_1295568")</f>
        <v>5281091_1295568</v>
      </c>
      <c r="B287" s="43" t="str">
        <f>IFERROR(__xludf.DUMMYFUNCTION("""COMPUTED_VALUE"""),"Nada Mediouni")</f>
        <v>Nada Mediouni</v>
      </c>
      <c r="C287" s="43" t="str">
        <f>IFERROR(__xludf.DUMMYFUNCTION("""COMPUTED_VALUE"""),"realized")</f>
        <v>realized</v>
      </c>
      <c r="D287" s="43" t="str">
        <f>IFERROR(__xludf.DUMMYFUNCTION("""COMPUTED_VALUE"""),"No")</f>
        <v>No</v>
      </c>
      <c r="E287" s="43" t="str">
        <f>IFERROR(__xludf.DUMMYFUNCTION("""COMPUTED_VALUE"""),"p_47a3d2c7c2d7d75b5785f12814a558a075188e5e@inbound.aiesec.org")</f>
        <v>p_47a3d2c7c2d7d75b5785f12814a558a075188e5e@inbound.aiesec.org</v>
      </c>
      <c r="F287" s="43">
        <f>IFERROR(__xludf.DUMMYFUNCTION("""COMPUTED_VALUE"""),5.3258029E7)</f>
        <v>53258029</v>
      </c>
      <c r="G287" s="43" t="str">
        <f>IFERROR(__xludf.DUMMYFUNCTION("""COMPUTED_VALUE"""),"Tunisia")</f>
        <v>Tunisia</v>
      </c>
      <c r="H287" s="43" t="str">
        <f>IFERROR(__xludf.DUMMYFUNCTION("""COMPUTED_VALUE"""),"RUSPINA")</f>
        <v>RUSPINA</v>
      </c>
      <c r="I287" s="43" t="str">
        <f>IFERROR(__xludf.DUMMYFUNCTION("""COMPUTED_VALUE"""),"Turkey")</f>
        <v>Turkey</v>
      </c>
      <c r="J287" s="43" t="str">
        <f>IFERROR(__xludf.DUMMYFUNCTION("""COMPUTED_VALUE"""),"GAZIANTEP")</f>
        <v>GAZIANTEP</v>
      </c>
      <c r="K287" s="44" t="str">
        <f>IFERROR(__xludf.DUMMYFUNCTION("""COMPUTED_VALUE"""),"https://expa.aiesec.org/opportunities/1295568")</f>
        <v>https://expa.aiesec.org/opportunities/1295568</v>
      </c>
      <c r="L287" s="43" t="str">
        <f>IFERROR(__xludf.DUMMYFUNCTION("""COMPUTED_VALUE"""),"GTe")</f>
        <v>GTe</v>
      </c>
      <c r="M287" s="43" t="str">
        <f>IFERROR(__xludf.DUMMYFUNCTION("""COMPUTED_VALUE"""),"long")</f>
        <v>long</v>
      </c>
      <c r="N287" s="45">
        <f>IFERROR(__xludf.DUMMYFUNCTION("""COMPUTED_VALUE"""),45108.0)</f>
        <v>45108</v>
      </c>
      <c r="O287" s="45">
        <f>IFERROR(__xludf.DUMMYFUNCTION("""COMPUTED_VALUE"""),45139.0)</f>
        <v>45139</v>
      </c>
      <c r="P287" s="45">
        <f>IFERROR(__xludf.DUMMYFUNCTION("""COMPUTED_VALUE"""),45504.0)</f>
        <v>45504</v>
      </c>
      <c r="Q287" s="45">
        <f>IFERROR(__xludf.DUMMYFUNCTION("""COMPUTED_VALUE"""),45127.0)</f>
        <v>45127</v>
      </c>
      <c r="R287" s="45">
        <f>IFERROR(__xludf.DUMMYFUNCTION("""COMPUTED_VALUE"""),45504.0)</f>
        <v>45504</v>
      </c>
      <c r="S287" s="43"/>
      <c r="T287" s="43"/>
      <c r="U287" s="43" t="str">
        <f>IFERROR(__xludf.DUMMYFUNCTION("""COMPUTED_VALUE"""),"English Time")</f>
        <v>English Time</v>
      </c>
      <c r="V287" s="43" t="str">
        <f>IFERROR(__xludf.DUMMYFUNCTION("""COMPUTED_VALUE"""),"ISLAA Moknine")</f>
        <v>ISLAA Moknine</v>
      </c>
      <c r="W287" s="43" t="str">
        <f>IFERROR(__xludf.DUMMYFUNCTION("""COMPUTED_VALUE"""),"2023-07-01T11:23:12Z")</f>
        <v>2023-07-01T11:23:12Z</v>
      </c>
      <c r="X287" s="43"/>
      <c r="Y287" s="43"/>
      <c r="Z287" s="43"/>
    </row>
    <row r="288" hidden="1">
      <c r="A288" s="43" t="str">
        <f>IFERROR(__xludf.DUMMYFUNCTION("""COMPUTED_VALUE"""),"4076883_1286368")</f>
        <v>4076883_1286368</v>
      </c>
      <c r="B288" s="43" t="str">
        <f>IFERROR(__xludf.DUMMYFUNCTION("""COMPUTED_VALUE"""),"Ivona Kukić")</f>
        <v>Ivona Kukić</v>
      </c>
      <c r="C288" s="43" t="str">
        <f>IFERROR(__xludf.DUMMYFUNCTION("""COMPUTED_VALUE"""),"realized")</f>
        <v>realized</v>
      </c>
      <c r="D288" s="43" t="str">
        <f>IFERROR(__xludf.DUMMYFUNCTION("""COMPUTED_VALUE"""),"No")</f>
        <v>No</v>
      </c>
      <c r="E288" s="43" t="str">
        <f>IFERROR(__xludf.DUMMYFUNCTION("""COMPUTED_VALUE"""),"p_3fc15b08389f08347e18d055d943d11b05e12a5c@inbound.aiesec.org")</f>
        <v>p_3fc15b08389f08347e18d055d943d11b05e12a5c@inbound.aiesec.org</v>
      </c>
      <c r="F288" s="43">
        <f>IFERROR(__xludf.DUMMYFUNCTION("""COMPUTED_VALUE"""),6.183747E7)</f>
        <v>61837470</v>
      </c>
      <c r="G288" s="43" t="str">
        <f>IFERROR(__xludf.DUMMYFUNCTION("""COMPUTED_VALUE"""),"Bosnia and Herzegovina")</f>
        <v>Bosnia and Herzegovina</v>
      </c>
      <c r="H288" s="43" t="str">
        <f>IFERROR(__xludf.DUMMYFUNCTION("""COMPUTED_VALUE"""),"ZENICA")</f>
        <v>ZENICA</v>
      </c>
      <c r="I288" s="43" t="str">
        <f>IFERROR(__xludf.DUMMYFUNCTION("""COMPUTED_VALUE"""),"Turkey")</f>
        <v>Turkey</v>
      </c>
      <c r="J288" s="43" t="str">
        <f>IFERROR(__xludf.DUMMYFUNCTION("""COMPUTED_VALUE"""),"ISTANBUL ASIA")</f>
        <v>ISTANBUL ASIA</v>
      </c>
      <c r="K288" s="44" t="str">
        <f>IFERROR(__xludf.DUMMYFUNCTION("""COMPUTED_VALUE"""),"https://expa.aiesec.org/opportunities/1286368")</f>
        <v>https://expa.aiesec.org/opportunities/1286368</v>
      </c>
      <c r="L288" s="43" t="str">
        <f>IFERROR(__xludf.DUMMYFUNCTION("""COMPUTED_VALUE"""),"GTe")</f>
        <v>GTe</v>
      </c>
      <c r="M288" s="43" t="str">
        <f>IFERROR(__xludf.DUMMYFUNCTION("""COMPUTED_VALUE"""),"long")</f>
        <v>long</v>
      </c>
      <c r="N288" s="45">
        <f>IFERROR(__xludf.DUMMYFUNCTION("""COMPUTED_VALUE"""),45111.0)</f>
        <v>45111</v>
      </c>
      <c r="O288" s="45">
        <f>IFERROR(__xludf.DUMMYFUNCTION("""COMPUTED_VALUE"""),45139.0)</f>
        <v>45139</v>
      </c>
      <c r="P288" s="45">
        <f>IFERROR(__xludf.DUMMYFUNCTION("""COMPUTED_VALUE"""),45506.0)</f>
        <v>45506</v>
      </c>
      <c r="Q288" s="45">
        <f>IFERROR(__xludf.DUMMYFUNCTION("""COMPUTED_VALUE"""),45146.0)</f>
        <v>45146</v>
      </c>
      <c r="R288" s="45">
        <f>IFERROR(__xludf.DUMMYFUNCTION("""COMPUTED_VALUE"""),45513.0)</f>
        <v>45513</v>
      </c>
      <c r="S288" s="43"/>
      <c r="T288" s="43"/>
      <c r="U288" s="43" t="str">
        <f>IFERROR(__xludf.DUMMYFUNCTION("""COMPUTED_VALUE"""),"English Teacher")</f>
        <v>English Teacher</v>
      </c>
      <c r="V288" s="43" t="str">
        <f>IFERROR(__xludf.DUMMYFUNCTION("""COMPUTED_VALUE"""),"-")</f>
        <v>-</v>
      </c>
      <c r="W288" s="43" t="str">
        <f>IFERROR(__xludf.DUMMYFUNCTION("""COMPUTED_VALUE"""),"2019-12-05T17:46:52Z")</f>
        <v>2019-12-05T17:46:52Z</v>
      </c>
      <c r="X288" s="43"/>
      <c r="Y288" s="43"/>
      <c r="Z288" s="43"/>
    </row>
    <row r="289" hidden="1">
      <c r="A289" s="43" t="str">
        <f>IFERROR(__xludf.DUMMYFUNCTION("""COMPUTED_VALUE"""),"5093476_1292492")</f>
        <v>5093476_1292492</v>
      </c>
      <c r="B289" s="43" t="str">
        <f>IFERROR(__xludf.DUMMYFUNCTION("""COMPUTED_VALUE"""),"Safa Al Andalusi")</f>
        <v>Safa Al Andalusi</v>
      </c>
      <c r="C289" s="43" t="str">
        <f>IFERROR(__xludf.DUMMYFUNCTION("""COMPUTED_VALUE"""),"realized")</f>
        <v>realized</v>
      </c>
      <c r="D289" s="43" t="str">
        <f>IFERROR(__xludf.DUMMYFUNCTION("""COMPUTED_VALUE"""),"No")</f>
        <v>No</v>
      </c>
      <c r="E289" s="43" t="str">
        <f>IFERROR(__xludf.DUMMYFUNCTION("""COMPUTED_VALUE"""),"p_3d3bc8baa94c93f6371a63d5c7735063e47f7428@inbound.aiesec.org")</f>
        <v>p_3d3bc8baa94c93f6371a63d5c7735063e47f7428@inbound.aiesec.org</v>
      </c>
      <c r="F289" s="43">
        <f>IFERROR(__xludf.DUMMYFUNCTION("""COMPUTED_VALUE"""),2.2550075E7)</f>
        <v>22550075</v>
      </c>
      <c r="G289" s="43" t="str">
        <f>IFERROR(__xludf.DUMMYFUNCTION("""COMPUTED_VALUE"""),"Tunisia")</f>
        <v>Tunisia</v>
      </c>
      <c r="H289" s="43" t="str">
        <f>IFERROR(__xludf.DUMMYFUNCTION("""COMPUTED_VALUE"""),"NABEL")</f>
        <v>NABEL</v>
      </c>
      <c r="I289" s="43" t="str">
        <f>IFERROR(__xludf.DUMMYFUNCTION("""COMPUTED_VALUE"""),"Turkey")</f>
        <v>Turkey</v>
      </c>
      <c r="J289" s="43" t="str">
        <f>IFERROR(__xludf.DUMMYFUNCTION("""COMPUTED_VALUE"""),"ISTANBUL ASIA")</f>
        <v>ISTANBUL ASIA</v>
      </c>
      <c r="K289" s="44" t="str">
        <f>IFERROR(__xludf.DUMMYFUNCTION("""COMPUTED_VALUE"""),"https://expa.aiesec.org/opportunities/1292492")</f>
        <v>https://expa.aiesec.org/opportunities/1292492</v>
      </c>
      <c r="L289" s="43" t="str">
        <f>IFERROR(__xludf.DUMMYFUNCTION("""COMPUTED_VALUE"""),"GTe")</f>
        <v>GTe</v>
      </c>
      <c r="M289" s="43" t="str">
        <f>IFERROR(__xludf.DUMMYFUNCTION("""COMPUTED_VALUE"""),"long")</f>
        <v>long</v>
      </c>
      <c r="N289" s="45">
        <f>IFERROR(__xludf.DUMMYFUNCTION("""COMPUTED_VALUE"""),45111.0)</f>
        <v>45111</v>
      </c>
      <c r="O289" s="45">
        <f>IFERROR(__xludf.DUMMYFUNCTION("""COMPUTED_VALUE"""),45124.0)</f>
        <v>45124</v>
      </c>
      <c r="P289" s="45">
        <f>IFERROR(__xludf.DUMMYFUNCTION("""COMPUTED_VALUE"""),45490.0)</f>
        <v>45490</v>
      </c>
      <c r="Q289" s="45">
        <f>IFERROR(__xludf.DUMMYFUNCTION("""COMPUTED_VALUE"""),45126.0)</f>
        <v>45126</v>
      </c>
      <c r="R289" s="45">
        <f>IFERROR(__xludf.DUMMYFUNCTION("""COMPUTED_VALUE"""),45492.0)</f>
        <v>45492</v>
      </c>
      <c r="S289" s="43"/>
      <c r="T289" s="43"/>
      <c r="U289" s="43" t="str">
        <f>IFERROR(__xludf.DUMMYFUNCTION("""COMPUTED_VALUE"""),"English Teacher ")</f>
        <v>English Teacher </v>
      </c>
      <c r="V289" s="43" t="str">
        <f>IFERROR(__xludf.DUMMYFUNCTION("""COMPUTED_VALUE"""),"-")</f>
        <v>-</v>
      </c>
      <c r="W289" s="43" t="str">
        <f>IFERROR(__xludf.DUMMYFUNCTION("""COMPUTED_VALUE"""),"2022-08-15T12:02:46Z")</f>
        <v>2022-08-15T12:02:46Z</v>
      </c>
      <c r="X289" s="43"/>
      <c r="Y289" s="43"/>
      <c r="Z289" s="43"/>
    </row>
    <row r="290" hidden="1">
      <c r="A290" s="43" t="str">
        <f>IFERROR(__xludf.DUMMYFUNCTION("""COMPUTED_VALUE"""),"5274674_1291989")</f>
        <v>5274674_1291989</v>
      </c>
      <c r="B290" s="43" t="str">
        <f>IFERROR(__xludf.DUMMYFUNCTION("""COMPUTED_VALUE"""),"Nirmani Indrachapa Perera")</f>
        <v>Nirmani Indrachapa Perera</v>
      </c>
      <c r="C290" s="43" t="str">
        <f>IFERROR(__xludf.DUMMYFUNCTION("""COMPUTED_VALUE"""),"realized")</f>
        <v>realized</v>
      </c>
      <c r="D290" s="43" t="str">
        <f>IFERROR(__xludf.DUMMYFUNCTION("""COMPUTED_VALUE"""),"No")</f>
        <v>No</v>
      </c>
      <c r="E290" s="43" t="str">
        <f>IFERROR(__xludf.DUMMYFUNCTION("""COMPUTED_VALUE"""),"p_4b822e2f427ea80354a6ad09bb50cdc824fbb49c@inbound.aiesec.org")</f>
        <v>p_4b822e2f427ea80354a6ad09bb50cdc824fbb49c@inbound.aiesec.org</v>
      </c>
      <c r="F290" s="43"/>
      <c r="G290" s="43" t="str">
        <f>IFERROR(__xludf.DUMMYFUNCTION("""COMPUTED_VALUE"""),"Sri Lanka")</f>
        <v>Sri Lanka</v>
      </c>
      <c r="H290" s="43" t="str">
        <f>IFERROR(__xludf.DUMMYFUNCTION("""COMPUTED_VALUE"""),"COLOMBO SOUTH")</f>
        <v>COLOMBO SOUTH</v>
      </c>
      <c r="I290" s="43" t="str">
        <f>IFERROR(__xludf.DUMMYFUNCTION("""COMPUTED_VALUE"""),"Turkey")</f>
        <v>Turkey</v>
      </c>
      <c r="J290" s="43" t="str">
        <f>IFERROR(__xludf.DUMMYFUNCTION("""COMPUTED_VALUE"""),"GAZIANTEP")</f>
        <v>GAZIANTEP</v>
      </c>
      <c r="K290" s="44" t="str">
        <f>IFERROR(__xludf.DUMMYFUNCTION("""COMPUTED_VALUE"""),"https://expa.aiesec.org/opportunities/1291989")</f>
        <v>https://expa.aiesec.org/opportunities/1291989</v>
      </c>
      <c r="L290" s="43" t="str">
        <f>IFERROR(__xludf.DUMMYFUNCTION("""COMPUTED_VALUE"""),"GTe")</f>
        <v>GTe</v>
      </c>
      <c r="M290" s="43" t="str">
        <f>IFERROR(__xludf.DUMMYFUNCTION("""COMPUTED_VALUE"""),"long")</f>
        <v>long</v>
      </c>
      <c r="N290" s="45">
        <f>IFERROR(__xludf.DUMMYFUNCTION("""COMPUTED_VALUE"""),45111.0)</f>
        <v>45111</v>
      </c>
      <c r="O290" s="45">
        <f>IFERROR(__xludf.DUMMYFUNCTION("""COMPUTED_VALUE"""),45139.0)</f>
        <v>45139</v>
      </c>
      <c r="P290" s="45">
        <f>IFERROR(__xludf.DUMMYFUNCTION("""COMPUTED_VALUE"""),45443.0)</f>
        <v>45443</v>
      </c>
      <c r="Q290" s="45">
        <f>IFERROR(__xludf.DUMMYFUNCTION("""COMPUTED_VALUE"""),45161.0)</f>
        <v>45161</v>
      </c>
      <c r="R290" s="45">
        <f>IFERROR(__xludf.DUMMYFUNCTION("""COMPUTED_VALUE"""),45465.0)</f>
        <v>45465</v>
      </c>
      <c r="S290" s="43"/>
      <c r="T290" s="43"/>
      <c r="U290" s="43" t="str">
        <f>IFERROR(__xludf.DUMMYFUNCTION("""COMPUTED_VALUE"""),"English Teacher")</f>
        <v>English Teacher</v>
      </c>
      <c r="V290" s="43" t="str">
        <f>IFERROR(__xludf.DUMMYFUNCTION("""COMPUTED_VALUE"""),"-")</f>
        <v>-</v>
      </c>
      <c r="W290" s="43" t="str">
        <f>IFERROR(__xludf.DUMMYFUNCTION("""COMPUTED_VALUE"""),"2023-06-13T05:06:03Z")</f>
        <v>2023-06-13T05:06:03Z</v>
      </c>
      <c r="X290" s="43"/>
      <c r="Y290" s="43"/>
      <c r="Z290" s="43"/>
    </row>
    <row r="291" hidden="1">
      <c r="A291" s="43" t="str">
        <f>IFERROR(__xludf.DUMMYFUNCTION("""COMPUTED_VALUE"""),"5264821_1259741")</f>
        <v>5264821_1259741</v>
      </c>
      <c r="B291" s="43" t="str">
        <f>IFERROR(__xludf.DUMMYFUNCTION("""COMPUTED_VALUE"""),"Sara Selim")</f>
        <v>Sara Selim</v>
      </c>
      <c r="C291" s="43" t="str">
        <f>IFERROR(__xludf.DUMMYFUNCTION("""COMPUTED_VALUE"""),"realized")</f>
        <v>realized</v>
      </c>
      <c r="D291" s="43" t="str">
        <f>IFERROR(__xludf.DUMMYFUNCTION("""COMPUTED_VALUE"""),"No")</f>
        <v>No</v>
      </c>
      <c r="E291" s="43" t="str">
        <f>IFERROR(__xludf.DUMMYFUNCTION("""COMPUTED_VALUE"""),"p_ffe4cb5d978bb9abd00b48e60193405a8f16cbc0@inbound.aiesec.org")</f>
        <v>p_ffe4cb5d978bb9abd00b48e60193405a8f16cbc0@inbound.aiesec.org</v>
      </c>
      <c r="F291" s="43">
        <f>IFERROR(__xludf.DUMMYFUNCTION("""COMPUTED_VALUE"""),1.147531469E9)</f>
        <v>1147531469</v>
      </c>
      <c r="G291" s="43" t="str">
        <f>IFERROR(__xludf.DUMMYFUNCTION("""COMPUTED_VALUE"""),"Egypt")</f>
        <v>Egypt</v>
      </c>
      <c r="H291" s="43" t="str">
        <f>IFERROR(__xludf.DUMMYFUNCTION("""COMPUTED_VALUE"""),"Ain Shams University")</f>
        <v>Ain Shams University</v>
      </c>
      <c r="I291" s="43" t="str">
        <f>IFERROR(__xludf.DUMMYFUNCTION("""COMPUTED_VALUE"""),"Turkey")</f>
        <v>Turkey</v>
      </c>
      <c r="J291" s="43" t="str">
        <f>IFERROR(__xludf.DUMMYFUNCTION("""COMPUTED_VALUE"""),"KONYA")</f>
        <v>KONYA</v>
      </c>
      <c r="K291" s="44" t="str">
        <f>IFERROR(__xludf.DUMMYFUNCTION("""COMPUTED_VALUE"""),"https://expa.aiesec.org/opportunities/1259741")</f>
        <v>https://expa.aiesec.org/opportunities/1259741</v>
      </c>
      <c r="L291" s="43" t="str">
        <f>IFERROR(__xludf.DUMMYFUNCTION("""COMPUTED_VALUE"""),"GTe")</f>
        <v>GTe</v>
      </c>
      <c r="M291" s="43" t="str">
        <f>IFERROR(__xludf.DUMMYFUNCTION("""COMPUTED_VALUE"""),"long")</f>
        <v>long</v>
      </c>
      <c r="N291" s="45">
        <f>IFERROR(__xludf.DUMMYFUNCTION("""COMPUTED_VALUE"""),45112.0)</f>
        <v>45112</v>
      </c>
      <c r="O291" s="45">
        <f>IFERROR(__xludf.DUMMYFUNCTION("""COMPUTED_VALUE"""),45139.0)</f>
        <v>45139</v>
      </c>
      <c r="P291" s="45">
        <f>IFERROR(__xludf.DUMMYFUNCTION("""COMPUTED_VALUE"""),45505.0)</f>
        <v>45505</v>
      </c>
      <c r="Q291" s="45">
        <f>IFERROR(__xludf.DUMMYFUNCTION("""COMPUTED_VALUE"""),45171.0)</f>
        <v>45171</v>
      </c>
      <c r="R291" s="45">
        <f>IFERROR(__xludf.DUMMYFUNCTION("""COMPUTED_VALUE"""),45537.0)</f>
        <v>45537</v>
      </c>
      <c r="S291" s="43"/>
      <c r="T291" s="43"/>
      <c r="U291" s="43" t="str">
        <f>IFERROR(__xludf.DUMMYFUNCTION("""COMPUTED_VALUE"""),"English Teacher")</f>
        <v>English Teacher</v>
      </c>
      <c r="V291" s="43" t="str">
        <f>IFERROR(__xludf.DUMMYFUNCTION("""COMPUTED_VALUE"""),"Ain Shams University")</f>
        <v>Ain Shams University</v>
      </c>
      <c r="W291" s="43" t="str">
        <f>IFERROR(__xludf.DUMMYFUNCTION("""COMPUTED_VALUE"""),"2023-05-22T12:22:29Z")</f>
        <v>2023-05-22T12:22:29Z</v>
      </c>
      <c r="X291" s="43"/>
      <c r="Y291" s="43"/>
      <c r="Z291" s="43"/>
    </row>
    <row r="292" hidden="1">
      <c r="A292" s="43" t="str">
        <f>IFERROR(__xludf.DUMMYFUNCTION("""COMPUTED_VALUE"""),"5282200_1289307")</f>
        <v>5282200_1289307</v>
      </c>
      <c r="B292" s="43" t="str">
        <f>IFERROR(__xludf.DUMMYFUNCTION("""COMPUTED_VALUE"""),"Madiha Bouskine")</f>
        <v>Madiha Bouskine</v>
      </c>
      <c r="C292" s="43" t="str">
        <f>IFERROR(__xludf.DUMMYFUNCTION("""COMPUTED_VALUE"""),"approved")</f>
        <v>approved</v>
      </c>
      <c r="D292" s="43" t="str">
        <f>IFERROR(__xludf.DUMMYFUNCTION("""COMPUTED_VALUE"""),"No")</f>
        <v>No</v>
      </c>
      <c r="E292" s="43" t="str">
        <f>IFERROR(__xludf.DUMMYFUNCTION("""COMPUTED_VALUE"""),"p_5e31d5244ec1785636f5149250b5749df7980c80@inbound.aiesec.org")</f>
        <v>p_5e31d5244ec1785636f5149250b5749df7980c80@inbound.aiesec.org</v>
      </c>
      <c r="F292" s="43">
        <f>IFERROR(__xludf.DUMMYFUNCTION("""COMPUTED_VALUE"""),5.518352852E9)</f>
        <v>5518352852</v>
      </c>
      <c r="G292" s="43" t="str">
        <f>IFERROR(__xludf.DUMMYFUNCTION("""COMPUTED_VALUE"""),"Algeria")</f>
        <v>Algeria</v>
      </c>
      <c r="H292" s="43" t="str">
        <f>IFERROR(__xludf.DUMMYFUNCTION("""COMPUTED_VALUE"""),"Babez")</f>
        <v>Babez</v>
      </c>
      <c r="I292" s="43" t="str">
        <f>IFERROR(__xludf.DUMMYFUNCTION("""COMPUTED_VALUE"""),"Turkey")</f>
        <v>Turkey</v>
      </c>
      <c r="J292" s="43" t="str">
        <f>IFERROR(__xludf.DUMMYFUNCTION("""COMPUTED_VALUE"""),"ISTANBUL")</f>
        <v>ISTANBUL</v>
      </c>
      <c r="K292" s="44" t="str">
        <f>IFERROR(__xludf.DUMMYFUNCTION("""COMPUTED_VALUE"""),"https://expa.aiesec.org/opportunities/1289307")</f>
        <v>https://expa.aiesec.org/opportunities/1289307</v>
      </c>
      <c r="L292" s="43" t="str">
        <f>IFERROR(__xludf.DUMMYFUNCTION("""COMPUTED_VALUE"""),"GTe")</f>
        <v>GTe</v>
      </c>
      <c r="M292" s="43" t="str">
        <f>IFERROR(__xludf.DUMMYFUNCTION("""COMPUTED_VALUE"""),"long")</f>
        <v>long</v>
      </c>
      <c r="N292" s="45">
        <f>IFERROR(__xludf.DUMMYFUNCTION("""COMPUTED_VALUE"""),45112.0)</f>
        <v>45112</v>
      </c>
      <c r="O292" s="45">
        <f>IFERROR(__xludf.DUMMYFUNCTION("""COMPUTED_VALUE"""),45125.0)</f>
        <v>45125</v>
      </c>
      <c r="P292" s="45">
        <f>IFERROR(__xludf.DUMMYFUNCTION("""COMPUTED_VALUE"""),45485.0)</f>
        <v>45485</v>
      </c>
      <c r="Q292" s="45"/>
      <c r="R292" s="45"/>
      <c r="S292" s="43"/>
      <c r="T292" s="43"/>
      <c r="U292" s="43" t="str">
        <f>IFERROR(__xludf.DUMMYFUNCTION("""COMPUTED_VALUE"""),"Preschool English Teacher")</f>
        <v>Preschool English Teacher</v>
      </c>
      <c r="V292" s="43" t="str">
        <f>IFERROR(__xludf.DUMMYFUNCTION("""COMPUTED_VALUE"""),"AIESEC in Babez")</f>
        <v>AIESEC in Babez</v>
      </c>
      <c r="W292" s="43" t="str">
        <f>IFERROR(__xludf.DUMMYFUNCTION("""COMPUTED_VALUE"""),"2023-07-04T19:31:19Z")</f>
        <v>2023-07-04T19:31:19Z</v>
      </c>
      <c r="X292" s="43"/>
      <c r="Y292" s="43"/>
      <c r="Z292" s="43"/>
    </row>
    <row r="293" hidden="1">
      <c r="A293" s="43" t="str">
        <f>IFERROR(__xludf.DUMMYFUNCTION("""COMPUTED_VALUE"""),"3184582_1296231")</f>
        <v>3184582_1296231</v>
      </c>
      <c r="B293" s="43" t="str">
        <f>IFERROR(__xludf.DUMMYFUNCTION("""COMPUTED_VALUE"""),"Salma Kahlaoui")</f>
        <v>Salma Kahlaoui</v>
      </c>
      <c r="C293" s="43" t="str">
        <f>IFERROR(__xludf.DUMMYFUNCTION("""COMPUTED_VALUE"""),"realized")</f>
        <v>realized</v>
      </c>
      <c r="D293" s="43" t="str">
        <f>IFERROR(__xludf.DUMMYFUNCTION("""COMPUTED_VALUE"""),"No")</f>
        <v>No</v>
      </c>
      <c r="E293" s="43" t="str">
        <f>IFERROR(__xludf.DUMMYFUNCTION("""COMPUTED_VALUE"""),"p_16cc22db8376f798890f52dc2c99061d5c8ed6df@inbound.aiesec.org")</f>
        <v>p_16cc22db8376f798890f52dc2c99061d5c8ed6df@inbound.aiesec.org</v>
      </c>
      <c r="F293" s="43">
        <f>IFERROR(__xludf.DUMMYFUNCTION("""COMPUTED_VALUE"""),9.7099997E7)</f>
        <v>97099997</v>
      </c>
      <c r="G293" s="43" t="str">
        <f>IFERROR(__xludf.DUMMYFUNCTION("""COMPUTED_VALUE"""),"Tunisia")</f>
        <v>Tunisia</v>
      </c>
      <c r="H293" s="43" t="str">
        <f>IFERROR(__xludf.DUMMYFUNCTION("""COMPUTED_VALUE"""),"MEDINA")</f>
        <v>MEDINA</v>
      </c>
      <c r="I293" s="43" t="str">
        <f>IFERROR(__xludf.DUMMYFUNCTION("""COMPUTED_VALUE"""),"Turkey")</f>
        <v>Turkey</v>
      </c>
      <c r="J293" s="43" t="str">
        <f>IFERROR(__xludf.DUMMYFUNCTION("""COMPUTED_VALUE"""),"GAZIANTEP")</f>
        <v>GAZIANTEP</v>
      </c>
      <c r="K293" s="44" t="str">
        <f>IFERROR(__xludf.DUMMYFUNCTION("""COMPUTED_VALUE"""),"https://expa.aiesec.org/opportunities/1296231")</f>
        <v>https://expa.aiesec.org/opportunities/1296231</v>
      </c>
      <c r="L293" s="43" t="str">
        <f>IFERROR(__xludf.DUMMYFUNCTION("""COMPUTED_VALUE"""),"GTe")</f>
        <v>GTe</v>
      </c>
      <c r="M293" s="43" t="str">
        <f>IFERROR(__xludf.DUMMYFUNCTION("""COMPUTED_VALUE"""),"long")</f>
        <v>long</v>
      </c>
      <c r="N293" s="45">
        <f>IFERROR(__xludf.DUMMYFUNCTION("""COMPUTED_VALUE"""),45113.0)</f>
        <v>45113</v>
      </c>
      <c r="O293" s="45">
        <f>IFERROR(__xludf.DUMMYFUNCTION("""COMPUTED_VALUE"""),45153.0)</f>
        <v>45153</v>
      </c>
      <c r="P293" s="45">
        <f>IFERROR(__xludf.DUMMYFUNCTION("""COMPUTED_VALUE"""),45473.0)</f>
        <v>45473</v>
      </c>
      <c r="Q293" s="45">
        <f>IFERROR(__xludf.DUMMYFUNCTION("""COMPUTED_VALUE"""),45154.0)</f>
        <v>45154</v>
      </c>
      <c r="R293" s="45">
        <f>IFERROR(__xludf.DUMMYFUNCTION("""COMPUTED_VALUE"""),45473.0)</f>
        <v>45473</v>
      </c>
      <c r="S293" s="43"/>
      <c r="T293" s="43"/>
      <c r="U293" s="43" t="str">
        <f>IFERROR(__xludf.DUMMYFUNCTION("""COMPUTED_VALUE"""),"English Teacher")</f>
        <v>English Teacher</v>
      </c>
      <c r="V293" s="43" t="str">
        <f>IFERROR(__xludf.DUMMYFUNCTION("""COMPUTED_VALUE"""),"FLAH")</f>
        <v>FLAH</v>
      </c>
      <c r="W293" s="43" t="str">
        <f>IFERROR(__xludf.DUMMYFUNCTION("""COMPUTED_VALUE"""),"2019-03-07T14:42:29Z")</f>
        <v>2019-03-07T14:42:29Z</v>
      </c>
      <c r="X293" s="43"/>
      <c r="Y293" s="43"/>
      <c r="Z293" s="43"/>
    </row>
    <row r="294" hidden="1">
      <c r="A294" s="43" t="str">
        <f>IFERROR(__xludf.DUMMYFUNCTION("""COMPUTED_VALUE"""),"5282770_1296492")</f>
        <v>5282770_1296492</v>
      </c>
      <c r="B294" s="43" t="str">
        <f>IFERROR(__xludf.DUMMYFUNCTION("""COMPUTED_VALUE"""),"Chaima Trabelsi")</f>
        <v>Chaima Trabelsi</v>
      </c>
      <c r="C294" s="43" t="str">
        <f>IFERROR(__xludf.DUMMYFUNCTION("""COMPUTED_VALUE"""),"realized")</f>
        <v>realized</v>
      </c>
      <c r="D294" s="43" t="str">
        <f>IFERROR(__xludf.DUMMYFUNCTION("""COMPUTED_VALUE"""),"No")</f>
        <v>No</v>
      </c>
      <c r="E294" s="43" t="str">
        <f>IFERROR(__xludf.DUMMYFUNCTION("""COMPUTED_VALUE"""),"p_cb76f29f77f3ddaaab2d06409ef91f6dd63a116f@inbound.aiesec.org")</f>
        <v>p_cb76f29f77f3ddaaab2d06409ef91f6dd63a116f@inbound.aiesec.org</v>
      </c>
      <c r="F294" s="43">
        <f>IFERROR(__xludf.DUMMYFUNCTION("""COMPUTED_VALUE"""),5.4765054E7)</f>
        <v>54765054</v>
      </c>
      <c r="G294" s="43" t="str">
        <f>IFERROR(__xludf.DUMMYFUNCTION("""COMPUTED_VALUE"""),"Tunisia")</f>
        <v>Tunisia</v>
      </c>
      <c r="H294" s="43" t="str">
        <f>IFERROR(__xludf.DUMMYFUNCTION("""COMPUTED_VALUE"""),"HADRUMET")</f>
        <v>HADRUMET</v>
      </c>
      <c r="I294" s="43" t="str">
        <f>IFERROR(__xludf.DUMMYFUNCTION("""COMPUTED_VALUE"""),"Turkey")</f>
        <v>Turkey</v>
      </c>
      <c r="J294" s="43" t="str">
        <f>IFERROR(__xludf.DUMMYFUNCTION("""COMPUTED_VALUE"""),"BURSA")</f>
        <v>BURSA</v>
      </c>
      <c r="K294" s="44" t="str">
        <f>IFERROR(__xludf.DUMMYFUNCTION("""COMPUTED_VALUE"""),"https://expa.aiesec.org/opportunities/1296492")</f>
        <v>https://expa.aiesec.org/opportunities/1296492</v>
      </c>
      <c r="L294" s="43" t="str">
        <f>IFERROR(__xludf.DUMMYFUNCTION("""COMPUTED_VALUE"""),"GTe")</f>
        <v>GTe</v>
      </c>
      <c r="M294" s="43" t="str">
        <f>IFERROR(__xludf.DUMMYFUNCTION("""COMPUTED_VALUE"""),"long")</f>
        <v>long</v>
      </c>
      <c r="N294" s="45">
        <f>IFERROR(__xludf.DUMMYFUNCTION("""COMPUTED_VALUE"""),45113.0)</f>
        <v>45113</v>
      </c>
      <c r="O294" s="45">
        <f>IFERROR(__xludf.DUMMYFUNCTION("""COMPUTED_VALUE"""),45160.0)</f>
        <v>45160</v>
      </c>
      <c r="P294" s="45">
        <f>IFERROR(__xludf.DUMMYFUNCTION("""COMPUTED_VALUE"""),45522.0)</f>
        <v>45522</v>
      </c>
      <c r="Q294" s="45">
        <f>IFERROR(__xludf.DUMMYFUNCTION("""COMPUTED_VALUE"""),45181.0)</f>
        <v>45181</v>
      </c>
      <c r="R294" s="45">
        <f>IFERROR(__xludf.DUMMYFUNCTION("""COMPUTED_VALUE"""),45543.0)</f>
        <v>45543</v>
      </c>
      <c r="S294" s="43"/>
      <c r="T294" s="43"/>
      <c r="U294" s="43" t="str">
        <f>IFERROR(__xludf.DUMMYFUNCTION("""COMPUTED_VALUE"""),"English/Spanish teacher")</f>
        <v>English/Spanish teacher</v>
      </c>
      <c r="V294" s="43" t="str">
        <f>IFERROR(__xludf.DUMMYFUNCTION("""COMPUTED_VALUE"""),"FLSH Sousse")</f>
        <v>FLSH Sousse</v>
      </c>
      <c r="W294" s="43" t="str">
        <f>IFERROR(__xludf.DUMMYFUNCTION("""COMPUTED_VALUE"""),"2023-07-06T12:20:50Z")</f>
        <v>2023-07-06T12:20:50Z</v>
      </c>
      <c r="X294" s="43"/>
      <c r="Y294" s="43"/>
      <c r="Z294" s="43"/>
    </row>
    <row r="295" hidden="1">
      <c r="A295" s="43" t="str">
        <f>IFERROR(__xludf.DUMMYFUNCTION("""COMPUTED_VALUE"""),"5276402_1277661")</f>
        <v>5276402_1277661</v>
      </c>
      <c r="B295" s="43" t="str">
        <f>IFERROR(__xludf.DUMMYFUNCTION("""COMPUTED_VALUE"""),"Kamali Choudary")</f>
        <v>Kamali Choudary</v>
      </c>
      <c r="C295" s="43" t="str">
        <f>IFERROR(__xludf.DUMMYFUNCTION("""COMPUTED_VALUE"""),"realized")</f>
        <v>realized</v>
      </c>
      <c r="D295" s="43" t="str">
        <f>IFERROR(__xludf.DUMMYFUNCTION("""COMPUTED_VALUE"""),"No")</f>
        <v>No</v>
      </c>
      <c r="E295" s="43" t="str">
        <f>IFERROR(__xludf.DUMMYFUNCTION("""COMPUTED_VALUE"""),"p_ef979e8b1980e316b78f2d8c79cc2960bb00324c@inbound.aiesec.org")</f>
        <v>p_ef979e8b1980e316b78f2d8c79cc2960bb00324c@inbound.aiesec.org</v>
      </c>
      <c r="F295" s="43">
        <f>IFERROR(__xludf.DUMMYFUNCTION("""COMPUTED_VALUE"""),7.60450035E8)</f>
        <v>760450035</v>
      </c>
      <c r="G295" s="43" t="str">
        <f>IFERROR(__xludf.DUMMYFUNCTION("""COMPUTED_VALUE"""),"Sri Lanka")</f>
        <v>Sri Lanka</v>
      </c>
      <c r="H295" s="43" t="str">
        <f>IFERROR(__xludf.DUMMYFUNCTION("""COMPUTED_VALUE"""),"COLOMBO SOUTH")</f>
        <v>COLOMBO SOUTH</v>
      </c>
      <c r="I295" s="43" t="str">
        <f>IFERROR(__xludf.DUMMYFUNCTION("""COMPUTED_VALUE"""),"Turkey")</f>
        <v>Turkey</v>
      </c>
      <c r="J295" s="43" t="str">
        <f>IFERROR(__xludf.DUMMYFUNCTION("""COMPUTED_VALUE"""),"KOCAELI")</f>
        <v>KOCAELI</v>
      </c>
      <c r="K295" s="44" t="str">
        <f>IFERROR(__xludf.DUMMYFUNCTION("""COMPUTED_VALUE"""),"https://expa.aiesec.org/opportunities/1277661")</f>
        <v>https://expa.aiesec.org/opportunities/1277661</v>
      </c>
      <c r="L295" s="43" t="str">
        <f>IFERROR(__xludf.DUMMYFUNCTION("""COMPUTED_VALUE"""),"GTe")</f>
        <v>GTe</v>
      </c>
      <c r="M295" s="43" t="str">
        <f>IFERROR(__xludf.DUMMYFUNCTION("""COMPUTED_VALUE"""),"long")</f>
        <v>long</v>
      </c>
      <c r="N295" s="45">
        <f>IFERROR(__xludf.DUMMYFUNCTION("""COMPUTED_VALUE"""),45114.0)</f>
        <v>45114</v>
      </c>
      <c r="O295" s="45">
        <f>IFERROR(__xludf.DUMMYFUNCTION("""COMPUTED_VALUE"""),45180.0)</f>
        <v>45180</v>
      </c>
      <c r="P295" s="45">
        <f>IFERROR(__xludf.DUMMYFUNCTION("""COMPUTED_VALUE"""),45547.0)</f>
        <v>45547</v>
      </c>
      <c r="Q295" s="45">
        <f>IFERROR(__xludf.DUMMYFUNCTION("""COMPUTED_VALUE"""),45179.0)</f>
        <v>45179</v>
      </c>
      <c r="R295" s="45">
        <f>IFERROR(__xludf.DUMMYFUNCTION("""COMPUTED_VALUE"""),45547.0)</f>
        <v>45547</v>
      </c>
      <c r="S295" s="43"/>
      <c r="T295" s="43"/>
      <c r="U295" s="43" t="str">
        <f>IFERROR(__xludf.DUMMYFUNCTION("""COMPUTED_VALUE"""),"English Teacher in Körfez Uğur Okulları")</f>
        <v>English Teacher in Körfez Uğur Okulları</v>
      </c>
      <c r="V295" s="43" t="str">
        <f>IFERROR(__xludf.DUMMYFUNCTION("""COMPUTED_VALUE"""),"Esol College")</f>
        <v>Esol College</v>
      </c>
      <c r="W295" s="43" t="str">
        <f>IFERROR(__xludf.DUMMYFUNCTION("""COMPUTED_VALUE"""),"2023-06-17T14:57:21Z")</f>
        <v>2023-06-17T14:57:21Z</v>
      </c>
      <c r="X295" s="43"/>
      <c r="Y295" s="43"/>
      <c r="Z295" s="43"/>
    </row>
    <row r="296" hidden="1">
      <c r="A296" s="43" t="str">
        <f>IFERROR(__xludf.DUMMYFUNCTION("""COMPUTED_VALUE"""),"5278474_1293243")</f>
        <v>5278474_1293243</v>
      </c>
      <c r="B296" s="43" t="str">
        <f>IFERROR(__xludf.DUMMYFUNCTION("""COMPUTED_VALUE"""),"Fatima Khan")</f>
        <v>Fatima Khan</v>
      </c>
      <c r="C296" s="43" t="str">
        <f>IFERROR(__xludf.DUMMYFUNCTION("""COMPUTED_VALUE"""),"approved")</f>
        <v>approved</v>
      </c>
      <c r="D296" s="43" t="str">
        <f>IFERROR(__xludf.DUMMYFUNCTION("""COMPUTED_VALUE"""),"No")</f>
        <v>No</v>
      </c>
      <c r="E296" s="43" t="str">
        <f>IFERROR(__xludf.DUMMYFUNCTION("""COMPUTED_VALUE"""),"p_3b9a1509744a2a05f6716ddc2760795c332d11ec@inbound.aiesec.org")</f>
        <v>p_3b9a1509744a2a05f6716ddc2760795c332d11ec@inbound.aiesec.org</v>
      </c>
      <c r="F296" s="43">
        <f>IFERROR(__xludf.DUMMYFUNCTION("""COMPUTED_VALUE"""),3.1266584584E10)</f>
        <v>31266584584</v>
      </c>
      <c r="G296" s="43" t="str">
        <f>IFERROR(__xludf.DUMMYFUNCTION("""COMPUTED_VALUE"""),"Pakistan")</f>
        <v>Pakistan</v>
      </c>
      <c r="H296" s="43" t="str">
        <f>IFERROR(__xludf.DUMMYFUNCTION("""COMPUTED_VALUE"""),"Multan")</f>
        <v>Multan</v>
      </c>
      <c r="I296" s="43" t="str">
        <f>IFERROR(__xludf.DUMMYFUNCTION("""COMPUTED_VALUE"""),"Turkey")</f>
        <v>Turkey</v>
      </c>
      <c r="J296" s="43" t="str">
        <f>IFERROR(__xludf.DUMMYFUNCTION("""COMPUTED_VALUE"""),"ISTANBUL WEST")</f>
        <v>ISTANBUL WEST</v>
      </c>
      <c r="K296" s="44" t="str">
        <f>IFERROR(__xludf.DUMMYFUNCTION("""COMPUTED_VALUE"""),"https://expa.aiesec.org/opportunities/1293243")</f>
        <v>https://expa.aiesec.org/opportunities/1293243</v>
      </c>
      <c r="L296" s="43" t="str">
        <f>IFERROR(__xludf.DUMMYFUNCTION("""COMPUTED_VALUE"""),"GTe")</f>
        <v>GTe</v>
      </c>
      <c r="M296" s="43" t="str">
        <f>IFERROR(__xludf.DUMMYFUNCTION("""COMPUTED_VALUE"""),"long")</f>
        <v>long</v>
      </c>
      <c r="N296" s="45">
        <f>IFERROR(__xludf.DUMMYFUNCTION("""COMPUTED_VALUE"""),45116.0)</f>
        <v>45116</v>
      </c>
      <c r="O296" s="45">
        <f>IFERROR(__xludf.DUMMYFUNCTION("""COMPUTED_VALUE"""),45117.0)</f>
        <v>45117</v>
      </c>
      <c r="P296" s="45">
        <f>IFERROR(__xludf.DUMMYFUNCTION("""COMPUTED_VALUE"""),45478.0)</f>
        <v>45478</v>
      </c>
      <c r="Q296" s="45"/>
      <c r="R296" s="45"/>
      <c r="S296" s="43"/>
      <c r="T296" s="43"/>
      <c r="U296" s="43" t="str">
        <f>IFERROR(__xludf.DUMMYFUNCTION("""COMPUTED_VALUE"""),"English Teacher")</f>
        <v>English Teacher</v>
      </c>
      <c r="V296" s="43" t="str">
        <f>IFERROR(__xludf.DUMMYFUNCTION("""COMPUTED_VALUE"""),"Multan - Other")</f>
        <v>Multan - Other</v>
      </c>
      <c r="W296" s="43" t="str">
        <f>IFERROR(__xludf.DUMMYFUNCTION("""COMPUTED_VALUE"""),"2023-06-22T19:38:17Z")</f>
        <v>2023-06-22T19:38:17Z</v>
      </c>
      <c r="X296" s="43"/>
      <c r="Y296" s="43"/>
      <c r="Z296" s="43"/>
    </row>
    <row r="297" hidden="1">
      <c r="A297" s="43" t="str">
        <f>IFERROR(__xludf.DUMMYFUNCTION("""COMPUTED_VALUE"""),"3847647_1297056")</f>
        <v>3847647_1297056</v>
      </c>
      <c r="B297" s="43" t="str">
        <f>IFERROR(__xludf.DUMMYFUNCTION("""COMPUTED_VALUE"""),"Naomi Naa Wellington")</f>
        <v>Naomi Naa Wellington</v>
      </c>
      <c r="C297" s="43" t="str">
        <f>IFERROR(__xludf.DUMMYFUNCTION("""COMPUTED_VALUE"""),"realized")</f>
        <v>realized</v>
      </c>
      <c r="D297" s="43" t="str">
        <f>IFERROR(__xludf.DUMMYFUNCTION("""COMPUTED_VALUE"""),"No")</f>
        <v>No</v>
      </c>
      <c r="E297" s="43" t="str">
        <f>IFERROR(__xludf.DUMMYFUNCTION("""COMPUTED_VALUE"""),"p_a37dd9621dc9c435199af6c288a9c34303cc2ae6@inbound.aiesec.org")</f>
        <v>p_a37dd9621dc9c435199af6c288a9c34303cc2ae6@inbound.aiesec.org</v>
      </c>
      <c r="F297" s="43">
        <f>IFERROR(__xludf.DUMMYFUNCTION("""COMPUTED_VALUE"""),2.75466742E8)</f>
        <v>275466742</v>
      </c>
      <c r="G297" s="43" t="str">
        <f>IFERROR(__xludf.DUMMYFUNCTION("""COMPUTED_VALUE"""),"Ghana")</f>
        <v>Ghana</v>
      </c>
      <c r="H297" s="43" t="str">
        <f>IFERROR(__xludf.DUMMYFUNCTION("""COMPUTED_VALUE"""),"LEGON")</f>
        <v>LEGON</v>
      </c>
      <c r="I297" s="43" t="str">
        <f>IFERROR(__xludf.DUMMYFUNCTION("""COMPUTED_VALUE"""),"Turkey")</f>
        <v>Turkey</v>
      </c>
      <c r="J297" s="43" t="str">
        <f>IFERROR(__xludf.DUMMYFUNCTION("""COMPUTED_VALUE"""),"KOCAELI")</f>
        <v>KOCAELI</v>
      </c>
      <c r="K297" s="44" t="str">
        <f>IFERROR(__xludf.DUMMYFUNCTION("""COMPUTED_VALUE"""),"https://expa.aiesec.org/opportunities/1297056")</f>
        <v>https://expa.aiesec.org/opportunities/1297056</v>
      </c>
      <c r="L297" s="43" t="str">
        <f>IFERROR(__xludf.DUMMYFUNCTION("""COMPUTED_VALUE"""),"GTe")</f>
        <v>GTe</v>
      </c>
      <c r="M297" s="43" t="str">
        <f>IFERROR(__xludf.DUMMYFUNCTION("""COMPUTED_VALUE"""),"long")</f>
        <v>long</v>
      </c>
      <c r="N297" s="45">
        <f>IFERROR(__xludf.DUMMYFUNCTION("""COMPUTED_VALUE"""),45117.0)</f>
        <v>45117</v>
      </c>
      <c r="O297" s="45">
        <f>IFERROR(__xludf.DUMMYFUNCTION("""COMPUTED_VALUE"""),45170.0)</f>
        <v>45170</v>
      </c>
      <c r="P297" s="45">
        <f>IFERROR(__xludf.DUMMYFUNCTION("""COMPUTED_VALUE"""),45459.0)</f>
        <v>45459</v>
      </c>
      <c r="Q297" s="45">
        <f>IFERROR(__xludf.DUMMYFUNCTION("""COMPUTED_VALUE"""),45251.0)</f>
        <v>45251</v>
      </c>
      <c r="R297" s="45">
        <f>IFERROR(__xludf.DUMMYFUNCTION("""COMPUTED_VALUE"""),45542.0)</f>
        <v>45542</v>
      </c>
      <c r="S297" s="43"/>
      <c r="T297" s="43"/>
      <c r="U297" s="43" t="str">
        <f>IFERROR(__xludf.DUMMYFUNCTION("""COMPUTED_VALUE"""),"English Teacher in Latife Hanım Kindergarten")</f>
        <v>English Teacher in Latife Hanım Kindergarten</v>
      </c>
      <c r="V297" s="43" t="str">
        <f>IFERROR(__xludf.DUMMYFUNCTION("""COMPUTED_VALUE"""),"Accra - University of Ghana")</f>
        <v>Accra - University of Ghana</v>
      </c>
      <c r="W297" s="43" t="str">
        <f>IFERROR(__xludf.DUMMYFUNCTION("""COMPUTED_VALUE"""),"2019-09-22T16:39:58Z")</f>
        <v>2019-09-22T16:39:58Z</v>
      </c>
      <c r="X297" s="43"/>
      <c r="Y297" s="43"/>
      <c r="Z297" s="43"/>
    </row>
    <row r="298" hidden="1">
      <c r="A298" s="43" t="str">
        <f>IFERROR(__xludf.DUMMYFUNCTION("""COMPUTED_VALUE"""),"5279027_1277333")</f>
        <v>5279027_1277333</v>
      </c>
      <c r="B298" s="43" t="str">
        <f>IFERROR(__xludf.DUMMYFUNCTION("""COMPUTED_VALUE"""),"Feten Barhoumi")</f>
        <v>Feten Barhoumi</v>
      </c>
      <c r="C298" s="43" t="str">
        <f>IFERROR(__xludf.DUMMYFUNCTION("""COMPUTED_VALUE"""),"approved")</f>
        <v>approved</v>
      </c>
      <c r="D298" s="43" t="str">
        <f>IFERROR(__xludf.DUMMYFUNCTION("""COMPUTED_VALUE"""),"No")</f>
        <v>No</v>
      </c>
      <c r="E298" s="43" t="str">
        <f>IFERROR(__xludf.DUMMYFUNCTION("""COMPUTED_VALUE"""),"p_d25e28372a863bf816ff52d3e98be46a8d0d7ae6@inbound.aiesec.org")</f>
        <v>p_d25e28372a863bf816ff52d3e98be46a8d0d7ae6@inbound.aiesec.org</v>
      </c>
      <c r="F298" s="43">
        <f>IFERROR(__xludf.DUMMYFUNCTION("""COMPUTED_VALUE"""),5.487061E7)</f>
        <v>54870610</v>
      </c>
      <c r="G298" s="43" t="str">
        <f>IFERROR(__xludf.DUMMYFUNCTION("""COMPUTED_VALUE"""),"Tunisia")</f>
        <v>Tunisia</v>
      </c>
      <c r="H298" s="43" t="str">
        <f>IFERROR(__xludf.DUMMYFUNCTION("""COMPUTED_VALUE"""),"HADRUMET")</f>
        <v>HADRUMET</v>
      </c>
      <c r="I298" s="43" t="str">
        <f>IFERROR(__xludf.DUMMYFUNCTION("""COMPUTED_VALUE"""),"Turkey")</f>
        <v>Turkey</v>
      </c>
      <c r="J298" s="43" t="str">
        <f>IFERROR(__xludf.DUMMYFUNCTION("""COMPUTED_VALUE"""),"KOCAELI")</f>
        <v>KOCAELI</v>
      </c>
      <c r="K298" s="44" t="str">
        <f>IFERROR(__xludf.DUMMYFUNCTION("""COMPUTED_VALUE"""),"https://expa.aiesec.org/opportunities/1277333")</f>
        <v>https://expa.aiesec.org/opportunities/1277333</v>
      </c>
      <c r="L298" s="43" t="str">
        <f>IFERROR(__xludf.DUMMYFUNCTION("""COMPUTED_VALUE"""),"GTe")</f>
        <v>GTe</v>
      </c>
      <c r="M298" s="43" t="str">
        <f>IFERROR(__xludf.DUMMYFUNCTION("""COMPUTED_VALUE"""),"long")</f>
        <v>long</v>
      </c>
      <c r="N298" s="45">
        <f>IFERROR(__xludf.DUMMYFUNCTION("""COMPUTED_VALUE"""),45118.0)</f>
        <v>45118</v>
      </c>
      <c r="O298" s="45">
        <f>IFERROR(__xludf.DUMMYFUNCTION("""COMPUTED_VALUE"""),45148.0)</f>
        <v>45148</v>
      </c>
      <c r="P298" s="45">
        <f>IFERROR(__xludf.DUMMYFUNCTION("""COMPUTED_VALUE"""),45337.0)</f>
        <v>45337</v>
      </c>
      <c r="Q298" s="45"/>
      <c r="R298" s="45"/>
      <c r="S298" s="43"/>
      <c r="T298" s="43"/>
      <c r="U298" s="43" t="str">
        <f>IFERROR(__xludf.DUMMYFUNCTION("""COMPUTED_VALUE"""),"English Teacher in English Time (Long)")</f>
        <v>English Teacher in English Time (Long)</v>
      </c>
      <c r="V298" s="43" t="str">
        <f>IFERROR(__xludf.DUMMYFUNCTION("""COMPUTED_VALUE"""),"FLSH Sousse")</f>
        <v>FLSH Sousse</v>
      </c>
      <c r="W298" s="43" t="str">
        <f>IFERROR(__xludf.DUMMYFUNCTION("""COMPUTED_VALUE"""),"2023-06-24T18:00:38Z")</f>
        <v>2023-06-24T18:00:38Z</v>
      </c>
      <c r="X298" s="43"/>
      <c r="Y298" s="43"/>
      <c r="Z298" s="43"/>
    </row>
    <row r="299" hidden="1">
      <c r="A299" s="43" t="str">
        <f>IFERROR(__xludf.DUMMYFUNCTION("""COMPUTED_VALUE"""),"5284258_1294785")</f>
        <v>5284258_1294785</v>
      </c>
      <c r="B299" s="43" t="str">
        <f>IFERROR(__xludf.DUMMYFUNCTION("""COMPUTED_VALUE"""),"hadil khelifi")</f>
        <v>hadil khelifi</v>
      </c>
      <c r="C299" s="43" t="str">
        <f>IFERROR(__xludf.DUMMYFUNCTION("""COMPUTED_VALUE"""),"realized")</f>
        <v>realized</v>
      </c>
      <c r="D299" s="43" t="str">
        <f>IFERROR(__xludf.DUMMYFUNCTION("""COMPUTED_VALUE"""),"No")</f>
        <v>No</v>
      </c>
      <c r="E299" s="43" t="str">
        <f>IFERROR(__xludf.DUMMYFUNCTION("""COMPUTED_VALUE"""),"p_cc722c1636727aaec3b873336617cb733835af80@inbound.aiesec.org")</f>
        <v>p_cc722c1636727aaec3b873336617cb733835af80@inbound.aiesec.org</v>
      </c>
      <c r="F299" s="43">
        <f>IFERROR(__xludf.DUMMYFUNCTION("""COMPUTED_VALUE"""),5.649106E7)</f>
        <v>56491060</v>
      </c>
      <c r="G299" s="43" t="str">
        <f>IFERROR(__xludf.DUMMYFUNCTION("""COMPUTED_VALUE"""),"Tunisia")</f>
        <v>Tunisia</v>
      </c>
      <c r="H299" s="43" t="str">
        <f>IFERROR(__xludf.DUMMYFUNCTION("""COMPUTED_VALUE"""),"HADRUMET")</f>
        <v>HADRUMET</v>
      </c>
      <c r="I299" s="43" t="str">
        <f>IFERROR(__xludf.DUMMYFUNCTION("""COMPUTED_VALUE"""),"Turkey")</f>
        <v>Turkey</v>
      </c>
      <c r="J299" s="43" t="str">
        <f>IFERROR(__xludf.DUMMYFUNCTION("""COMPUTED_VALUE"""),"ADANA")</f>
        <v>ADANA</v>
      </c>
      <c r="K299" s="44" t="str">
        <f>IFERROR(__xludf.DUMMYFUNCTION("""COMPUTED_VALUE"""),"https://expa.aiesec.org/opportunities/1294785")</f>
        <v>https://expa.aiesec.org/opportunities/1294785</v>
      </c>
      <c r="L299" s="43" t="str">
        <f>IFERROR(__xludf.DUMMYFUNCTION("""COMPUTED_VALUE"""),"GTe")</f>
        <v>GTe</v>
      </c>
      <c r="M299" s="43" t="str">
        <f>IFERROR(__xludf.DUMMYFUNCTION("""COMPUTED_VALUE"""),"long")</f>
        <v>long</v>
      </c>
      <c r="N299" s="45">
        <f>IFERROR(__xludf.DUMMYFUNCTION("""COMPUTED_VALUE"""),45118.0)</f>
        <v>45118</v>
      </c>
      <c r="O299" s="45">
        <f>IFERROR(__xludf.DUMMYFUNCTION("""COMPUTED_VALUE"""),45158.0)</f>
        <v>45158</v>
      </c>
      <c r="P299" s="45">
        <f>IFERROR(__xludf.DUMMYFUNCTION("""COMPUTED_VALUE"""),45524.0)</f>
        <v>45524</v>
      </c>
      <c r="Q299" s="45">
        <f>IFERROR(__xludf.DUMMYFUNCTION("""COMPUTED_VALUE"""),45159.0)</f>
        <v>45159</v>
      </c>
      <c r="R299" s="45">
        <f>IFERROR(__xludf.DUMMYFUNCTION("""COMPUTED_VALUE"""),45525.0)</f>
        <v>45525</v>
      </c>
      <c r="S299" s="43"/>
      <c r="T299" s="43"/>
      <c r="U299" s="43" t="str">
        <f>IFERROR(__xludf.DUMMYFUNCTION("""COMPUTED_VALUE"""),"English Teacher")</f>
        <v>English Teacher</v>
      </c>
      <c r="V299" s="43" t="str">
        <f>IFERROR(__xludf.DUMMYFUNCTION("""COMPUTED_VALUE"""),"FLSH Sousse")</f>
        <v>FLSH Sousse</v>
      </c>
      <c r="W299" s="43" t="str">
        <f>IFERROR(__xludf.DUMMYFUNCTION("""COMPUTED_VALUE"""),"2023-07-11T11:29:18Z")</f>
        <v>2023-07-11T11:29:18Z</v>
      </c>
      <c r="X299" s="43"/>
      <c r="Y299" s="43"/>
      <c r="Z299" s="43"/>
    </row>
    <row r="300" hidden="1">
      <c r="A300" s="43" t="str">
        <f>IFERROR(__xludf.DUMMYFUNCTION("""COMPUTED_VALUE"""),"5284218_1292559")</f>
        <v>5284218_1292559</v>
      </c>
      <c r="B300" s="43" t="str">
        <f>IFERROR(__xludf.DUMMYFUNCTION("""COMPUTED_VALUE"""),"Amal Ghedira")</f>
        <v>Amal Ghedira</v>
      </c>
      <c r="C300" s="43" t="str">
        <f>IFERROR(__xludf.DUMMYFUNCTION("""COMPUTED_VALUE"""),"approved")</f>
        <v>approved</v>
      </c>
      <c r="D300" s="43" t="str">
        <f>IFERROR(__xludf.DUMMYFUNCTION("""COMPUTED_VALUE"""),"No")</f>
        <v>No</v>
      </c>
      <c r="E300" s="43" t="str">
        <f>IFERROR(__xludf.DUMMYFUNCTION("""COMPUTED_VALUE"""),"p_9df59abc913a152b1a3fed1bf3c64d877ffc13f1@inbound.aiesec.org")</f>
        <v>p_9df59abc913a152b1a3fed1bf3c64d877ffc13f1@inbound.aiesec.org</v>
      </c>
      <c r="F300" s="43">
        <f>IFERROR(__xludf.DUMMYFUNCTION("""COMPUTED_VALUE"""),9.6912118E7)</f>
        <v>96912118</v>
      </c>
      <c r="G300" s="43" t="str">
        <f>IFERROR(__xludf.DUMMYFUNCTION("""COMPUTED_VALUE"""),"Tunisia")</f>
        <v>Tunisia</v>
      </c>
      <c r="H300" s="43" t="str">
        <f>IFERROR(__xludf.DUMMYFUNCTION("""COMPUTED_VALUE"""),"HADRUMET")</f>
        <v>HADRUMET</v>
      </c>
      <c r="I300" s="43" t="str">
        <f>IFERROR(__xludf.DUMMYFUNCTION("""COMPUTED_VALUE"""),"Turkey")</f>
        <v>Turkey</v>
      </c>
      <c r="J300" s="43" t="str">
        <f>IFERROR(__xludf.DUMMYFUNCTION("""COMPUTED_VALUE"""),"BURSA")</f>
        <v>BURSA</v>
      </c>
      <c r="K300" s="44" t="str">
        <f>IFERROR(__xludf.DUMMYFUNCTION("""COMPUTED_VALUE"""),"https://expa.aiesec.org/opportunities/1292559")</f>
        <v>https://expa.aiesec.org/opportunities/1292559</v>
      </c>
      <c r="L300" s="43" t="str">
        <f>IFERROR(__xludf.DUMMYFUNCTION("""COMPUTED_VALUE"""),"GTe")</f>
        <v>GTe</v>
      </c>
      <c r="M300" s="43" t="str">
        <f>IFERROR(__xludf.DUMMYFUNCTION("""COMPUTED_VALUE"""),"long")</f>
        <v>long</v>
      </c>
      <c r="N300" s="45">
        <f>IFERROR(__xludf.DUMMYFUNCTION("""COMPUTED_VALUE"""),45118.0)</f>
        <v>45118</v>
      </c>
      <c r="O300" s="45">
        <f>IFERROR(__xludf.DUMMYFUNCTION("""COMPUTED_VALUE"""),45139.0)</f>
        <v>45139</v>
      </c>
      <c r="P300" s="45">
        <f>IFERROR(__xludf.DUMMYFUNCTION("""COMPUTED_VALUE"""),45505.0)</f>
        <v>45505</v>
      </c>
      <c r="Q300" s="45"/>
      <c r="R300" s="45"/>
      <c r="S300" s="43"/>
      <c r="T300" s="43"/>
      <c r="U300" s="43" t="str">
        <f>IFERROR(__xludf.DUMMYFUNCTION("""COMPUTED_VALUE"""),"teacher")</f>
        <v>teacher</v>
      </c>
      <c r="V300" s="43" t="str">
        <f>IFERROR(__xludf.DUMMYFUNCTION("""COMPUTED_VALUE"""),"IHEC Sousse")</f>
        <v>IHEC Sousse</v>
      </c>
      <c r="W300" s="43" t="str">
        <f>IFERROR(__xludf.DUMMYFUNCTION("""COMPUTED_VALUE"""),"2023-07-11T09:25:39Z")</f>
        <v>2023-07-11T09:25:39Z</v>
      </c>
      <c r="X300" s="43"/>
      <c r="Y300" s="43"/>
      <c r="Z300" s="43"/>
    </row>
    <row r="301" hidden="1">
      <c r="A301" s="43" t="str">
        <f>IFERROR(__xludf.DUMMYFUNCTION("""COMPUTED_VALUE"""),"3258667_1279525")</f>
        <v>3258667_1279525</v>
      </c>
      <c r="B301" s="43" t="str">
        <f>IFERROR(__xludf.DUMMYFUNCTION("""COMPUTED_VALUE"""),"Oumaima Zoghlemi")</f>
        <v>Oumaima Zoghlemi</v>
      </c>
      <c r="C301" s="43" t="str">
        <f>IFERROR(__xludf.DUMMYFUNCTION("""COMPUTED_VALUE"""),"approved")</f>
        <v>approved</v>
      </c>
      <c r="D301" s="43" t="str">
        <f>IFERROR(__xludf.DUMMYFUNCTION("""COMPUTED_VALUE"""),"No")</f>
        <v>No</v>
      </c>
      <c r="E301" s="43" t="str">
        <f>IFERROR(__xludf.DUMMYFUNCTION("""COMPUTED_VALUE"""),"p_c35054171f96d0917eec0976d5999821c19645b4@inbound.aiesec.org")</f>
        <v>p_c35054171f96d0917eec0976d5999821c19645b4@inbound.aiesec.org</v>
      </c>
      <c r="F301" s="43">
        <f>IFERROR(__xludf.DUMMYFUNCTION("""COMPUTED_VALUE"""),2.4167712E7)</f>
        <v>24167712</v>
      </c>
      <c r="G301" s="43" t="str">
        <f>IFERROR(__xludf.DUMMYFUNCTION("""COMPUTED_VALUE"""),"Tunisia")</f>
        <v>Tunisia</v>
      </c>
      <c r="H301" s="43" t="str">
        <f>IFERROR(__xludf.DUMMYFUNCTION("""COMPUTED_VALUE"""),"BARDO")</f>
        <v>BARDO</v>
      </c>
      <c r="I301" s="43" t="str">
        <f>IFERROR(__xludf.DUMMYFUNCTION("""COMPUTED_VALUE"""),"Turkey")</f>
        <v>Turkey</v>
      </c>
      <c r="J301" s="43" t="str">
        <f>IFERROR(__xludf.DUMMYFUNCTION("""COMPUTED_VALUE"""),"KOCAELI")</f>
        <v>KOCAELI</v>
      </c>
      <c r="K301" s="44" t="str">
        <f>IFERROR(__xludf.DUMMYFUNCTION("""COMPUTED_VALUE"""),"https://expa.aiesec.org/opportunities/1279525")</f>
        <v>https://expa.aiesec.org/opportunities/1279525</v>
      </c>
      <c r="L301" s="43" t="str">
        <f>IFERROR(__xludf.DUMMYFUNCTION("""COMPUTED_VALUE"""),"GTe")</f>
        <v>GTe</v>
      </c>
      <c r="M301" s="43" t="str">
        <f>IFERROR(__xludf.DUMMYFUNCTION("""COMPUTED_VALUE"""),"long")</f>
        <v>long</v>
      </c>
      <c r="N301" s="45">
        <f>IFERROR(__xludf.DUMMYFUNCTION("""COMPUTED_VALUE"""),45119.0)</f>
        <v>45119</v>
      </c>
      <c r="O301" s="45">
        <f>IFERROR(__xludf.DUMMYFUNCTION("""COMPUTED_VALUE"""),45166.0)</f>
        <v>45166</v>
      </c>
      <c r="P301" s="45">
        <f>IFERROR(__xludf.DUMMYFUNCTION("""COMPUTED_VALUE"""),45531.0)</f>
        <v>45531</v>
      </c>
      <c r="Q301" s="45"/>
      <c r="R301" s="45"/>
      <c r="S301" s="43"/>
      <c r="T301" s="43"/>
      <c r="U301" s="43" t="str">
        <f>IFERROR(__xludf.DUMMYFUNCTION("""COMPUTED_VALUE"""),"English Teacher in American Life")</f>
        <v>English Teacher in American Life</v>
      </c>
      <c r="V301" s="43" t="str">
        <f>IFERROR(__xludf.DUMMYFUNCTION("""COMPUTED_VALUE"""),"ISSHT")</f>
        <v>ISSHT</v>
      </c>
      <c r="W301" s="43" t="str">
        <f>IFERROR(__xludf.DUMMYFUNCTION("""COMPUTED_VALUE"""),"2019-03-23T14:36:06Z")</f>
        <v>2019-03-23T14:36:06Z</v>
      </c>
      <c r="X301" s="43"/>
      <c r="Y301" s="43"/>
      <c r="Z301" s="43"/>
    </row>
    <row r="302" hidden="1">
      <c r="A302" s="43" t="str">
        <f>IFERROR(__xludf.DUMMYFUNCTION("""COMPUTED_VALUE"""),"5284670_1288607")</f>
        <v>5284670_1288607</v>
      </c>
      <c r="B302" s="43" t="str">
        <f>IFERROR(__xludf.DUMMYFUNCTION("""COMPUTED_VALUE"""),"Rania Hamdi")</f>
        <v>Rania Hamdi</v>
      </c>
      <c r="C302" s="43" t="str">
        <f>IFERROR(__xludf.DUMMYFUNCTION("""COMPUTED_VALUE"""),"realization_broken")</f>
        <v>realization_broken</v>
      </c>
      <c r="D302" s="43" t="str">
        <f>IFERROR(__xludf.DUMMYFUNCTION("""COMPUTED_VALUE"""),"No")</f>
        <v>No</v>
      </c>
      <c r="E302" s="43" t="str">
        <f>IFERROR(__xludf.DUMMYFUNCTION("""COMPUTED_VALUE"""),"p_62002a76514bbb71bf6b822008f17e1abfe02d9e@inbound.aiesec.org")</f>
        <v>p_62002a76514bbb71bf6b822008f17e1abfe02d9e@inbound.aiesec.org</v>
      </c>
      <c r="F302" s="43">
        <f>IFERROR(__xludf.DUMMYFUNCTION("""COMPUTED_VALUE"""),2.1434334E7)</f>
        <v>21434334</v>
      </c>
      <c r="G302" s="43" t="str">
        <f>IFERROR(__xludf.DUMMYFUNCTION("""COMPUTED_VALUE"""),"Tunisia")</f>
        <v>Tunisia</v>
      </c>
      <c r="H302" s="43" t="str">
        <f>IFERROR(__xludf.DUMMYFUNCTION("""COMPUTED_VALUE"""),"HADRUMET")</f>
        <v>HADRUMET</v>
      </c>
      <c r="I302" s="43" t="str">
        <f>IFERROR(__xludf.DUMMYFUNCTION("""COMPUTED_VALUE"""),"Turkey")</f>
        <v>Turkey</v>
      </c>
      <c r="J302" s="43" t="str">
        <f>IFERROR(__xludf.DUMMYFUNCTION("""COMPUTED_VALUE"""),"KOCAELI")</f>
        <v>KOCAELI</v>
      </c>
      <c r="K302" s="44" t="str">
        <f>IFERROR(__xludf.DUMMYFUNCTION("""COMPUTED_VALUE"""),"https://expa.aiesec.org/opportunities/1288607")</f>
        <v>https://expa.aiesec.org/opportunities/1288607</v>
      </c>
      <c r="L302" s="43" t="str">
        <f>IFERROR(__xludf.DUMMYFUNCTION("""COMPUTED_VALUE"""),"GTe")</f>
        <v>GTe</v>
      </c>
      <c r="M302" s="43" t="str">
        <f>IFERROR(__xludf.DUMMYFUNCTION("""COMPUTED_VALUE"""),"long")</f>
        <v>long</v>
      </c>
      <c r="N302" s="45">
        <f>IFERROR(__xludf.DUMMYFUNCTION("""COMPUTED_VALUE"""),45119.0)</f>
        <v>45119</v>
      </c>
      <c r="O302" s="45">
        <f>IFERROR(__xludf.DUMMYFUNCTION("""COMPUTED_VALUE"""),45173.0)</f>
        <v>45173</v>
      </c>
      <c r="P302" s="45">
        <f>IFERROR(__xludf.DUMMYFUNCTION("""COMPUTED_VALUE"""),45447.0)</f>
        <v>45447</v>
      </c>
      <c r="Q302" s="45"/>
      <c r="R302" s="45"/>
      <c r="S302" s="43"/>
      <c r="T302" s="43"/>
      <c r="U302" s="43" t="str">
        <f>IFERROR(__xludf.DUMMYFUNCTION("""COMPUTED_VALUE"""),"English Teacher in Üstün Başarı Kindergarten")</f>
        <v>English Teacher in Üstün Başarı Kindergarten</v>
      </c>
      <c r="V302" s="43" t="str">
        <f>IFERROR(__xludf.DUMMYFUNCTION("""COMPUTED_VALUE"""),"FLSH Sousse")</f>
        <v>FLSH Sousse</v>
      </c>
      <c r="W302" s="43" t="str">
        <f>IFERROR(__xludf.DUMMYFUNCTION("""COMPUTED_VALUE"""),"2023-07-12T16:12:09Z")</f>
        <v>2023-07-12T16:12:09Z</v>
      </c>
      <c r="X302" s="43"/>
      <c r="Y302" s="43"/>
      <c r="Z302" s="43"/>
    </row>
    <row r="303" hidden="1">
      <c r="A303" s="43" t="str">
        <f>IFERROR(__xludf.DUMMYFUNCTION("""COMPUTED_VALUE"""),"5275849_1294655")</f>
        <v>5275849_1294655</v>
      </c>
      <c r="B303" s="43" t="str">
        <f>IFERROR(__xludf.DUMMYFUNCTION("""COMPUTED_VALUE"""),"Waad Omri")</f>
        <v>Waad Omri</v>
      </c>
      <c r="C303" s="43" t="str">
        <f>IFERROR(__xludf.DUMMYFUNCTION("""COMPUTED_VALUE"""),"realized")</f>
        <v>realized</v>
      </c>
      <c r="D303" s="43" t="str">
        <f>IFERROR(__xludf.DUMMYFUNCTION("""COMPUTED_VALUE"""),"No")</f>
        <v>No</v>
      </c>
      <c r="E303" s="43" t="str">
        <f>IFERROR(__xludf.DUMMYFUNCTION("""COMPUTED_VALUE"""),"p_0672d5495665242a1f1dfb28f1276530e24d882b@inbound.aiesec.org")</f>
        <v>p_0672d5495665242a1f1dfb28f1276530e24d882b@inbound.aiesec.org</v>
      </c>
      <c r="F303" s="43">
        <f>IFERROR(__xludf.DUMMYFUNCTION("""COMPUTED_VALUE"""),9.202706E7)</f>
        <v>92027060</v>
      </c>
      <c r="G303" s="43" t="str">
        <f>IFERROR(__xludf.DUMMYFUNCTION("""COMPUTED_VALUE"""),"Tunisia")</f>
        <v>Tunisia</v>
      </c>
      <c r="H303" s="43" t="str">
        <f>IFERROR(__xludf.DUMMYFUNCTION("""COMPUTED_VALUE"""),"HADRUMET")</f>
        <v>HADRUMET</v>
      </c>
      <c r="I303" s="43" t="str">
        <f>IFERROR(__xludf.DUMMYFUNCTION("""COMPUTED_VALUE"""),"Turkey")</f>
        <v>Turkey</v>
      </c>
      <c r="J303" s="43" t="str">
        <f>IFERROR(__xludf.DUMMYFUNCTION("""COMPUTED_VALUE"""),"KOCAELI")</f>
        <v>KOCAELI</v>
      </c>
      <c r="K303" s="44" t="str">
        <f>IFERROR(__xludf.DUMMYFUNCTION("""COMPUTED_VALUE"""),"https://expa.aiesec.org/opportunities/1294655")</f>
        <v>https://expa.aiesec.org/opportunities/1294655</v>
      </c>
      <c r="L303" s="43" t="str">
        <f>IFERROR(__xludf.DUMMYFUNCTION("""COMPUTED_VALUE"""),"GTe")</f>
        <v>GTe</v>
      </c>
      <c r="M303" s="43" t="str">
        <f>IFERROR(__xludf.DUMMYFUNCTION("""COMPUTED_VALUE"""),"long")</f>
        <v>long</v>
      </c>
      <c r="N303" s="45">
        <f>IFERROR(__xludf.DUMMYFUNCTION("""COMPUTED_VALUE"""),45119.0)</f>
        <v>45119</v>
      </c>
      <c r="O303" s="45">
        <f>IFERROR(__xludf.DUMMYFUNCTION("""COMPUTED_VALUE"""),45170.0)</f>
        <v>45170</v>
      </c>
      <c r="P303" s="45">
        <f>IFERROR(__xludf.DUMMYFUNCTION("""COMPUTED_VALUE"""),45535.0)</f>
        <v>45535</v>
      </c>
      <c r="Q303" s="45">
        <f>IFERROR(__xludf.DUMMYFUNCTION("""COMPUTED_VALUE"""),45169.0)</f>
        <v>45169</v>
      </c>
      <c r="R303" s="45">
        <f>IFERROR(__xludf.DUMMYFUNCTION("""COMPUTED_VALUE"""),45538.0)</f>
        <v>45538</v>
      </c>
      <c r="S303" s="43"/>
      <c r="T303" s="43"/>
      <c r="U303" s="43" t="str">
        <f>IFERROR(__xludf.DUMMYFUNCTION("""COMPUTED_VALUE"""),"English Teacher in TEOL Language Course")</f>
        <v>English Teacher in TEOL Language Course</v>
      </c>
      <c r="V303" s="43" t="str">
        <f>IFERROR(__xludf.DUMMYFUNCTION("""COMPUTED_VALUE"""),"FLSH Sousse")</f>
        <v>FLSH Sousse</v>
      </c>
      <c r="W303" s="43" t="str">
        <f>IFERROR(__xludf.DUMMYFUNCTION("""COMPUTED_VALUE"""),"2023-06-15T22:22:02Z")</f>
        <v>2023-06-15T22:22:02Z</v>
      </c>
      <c r="X303" s="43"/>
      <c r="Y303" s="43"/>
      <c r="Z303" s="43"/>
    </row>
    <row r="304" hidden="1">
      <c r="A304" s="43" t="str">
        <f>IFERROR(__xludf.DUMMYFUNCTION("""COMPUTED_VALUE"""),"5284648_1296538")</f>
        <v>5284648_1296538</v>
      </c>
      <c r="B304" s="43" t="str">
        <f>IFERROR(__xludf.DUMMYFUNCTION("""COMPUTED_VALUE"""),"Chaima Ben Fredj")</f>
        <v>Chaima Ben Fredj</v>
      </c>
      <c r="C304" s="43" t="str">
        <f>IFERROR(__xludf.DUMMYFUNCTION("""COMPUTED_VALUE"""),"realized")</f>
        <v>realized</v>
      </c>
      <c r="D304" s="43" t="str">
        <f>IFERROR(__xludf.DUMMYFUNCTION("""COMPUTED_VALUE"""),"No")</f>
        <v>No</v>
      </c>
      <c r="E304" s="43" t="str">
        <f>IFERROR(__xludf.DUMMYFUNCTION("""COMPUTED_VALUE"""),"p_8894c814430466d8aab70a3ad4cd5989670923a7@inbound.aiesec.org")</f>
        <v>p_8894c814430466d8aab70a3ad4cd5989670923a7@inbound.aiesec.org</v>
      </c>
      <c r="F304" s="43">
        <f>IFERROR(__xludf.DUMMYFUNCTION("""COMPUTED_VALUE"""),5.8996356E7)</f>
        <v>58996356</v>
      </c>
      <c r="G304" s="43" t="str">
        <f>IFERROR(__xludf.DUMMYFUNCTION("""COMPUTED_VALUE"""),"Tunisia")</f>
        <v>Tunisia</v>
      </c>
      <c r="H304" s="43" t="str">
        <f>IFERROR(__xludf.DUMMYFUNCTION("""COMPUTED_VALUE"""),"HADRUMET")</f>
        <v>HADRUMET</v>
      </c>
      <c r="I304" s="43" t="str">
        <f>IFERROR(__xludf.DUMMYFUNCTION("""COMPUTED_VALUE"""),"Turkey")</f>
        <v>Turkey</v>
      </c>
      <c r="J304" s="43" t="str">
        <f>IFERROR(__xludf.DUMMYFUNCTION("""COMPUTED_VALUE"""),"KOCAELI")</f>
        <v>KOCAELI</v>
      </c>
      <c r="K304" s="44" t="str">
        <f>IFERROR(__xludf.DUMMYFUNCTION("""COMPUTED_VALUE"""),"https://expa.aiesec.org/opportunities/1296538")</f>
        <v>https://expa.aiesec.org/opportunities/1296538</v>
      </c>
      <c r="L304" s="43" t="str">
        <f>IFERROR(__xludf.DUMMYFUNCTION("""COMPUTED_VALUE"""),"GTe")</f>
        <v>GTe</v>
      </c>
      <c r="M304" s="43" t="str">
        <f>IFERROR(__xludf.DUMMYFUNCTION("""COMPUTED_VALUE"""),"long")</f>
        <v>long</v>
      </c>
      <c r="N304" s="45">
        <f>IFERROR(__xludf.DUMMYFUNCTION("""COMPUTED_VALUE"""),45119.0)</f>
        <v>45119</v>
      </c>
      <c r="O304" s="45">
        <f>IFERROR(__xludf.DUMMYFUNCTION("""COMPUTED_VALUE"""),45200.0)</f>
        <v>45200</v>
      </c>
      <c r="P304" s="45">
        <f>IFERROR(__xludf.DUMMYFUNCTION("""COMPUTED_VALUE"""),45442.0)</f>
        <v>45442</v>
      </c>
      <c r="Q304" s="45">
        <f>IFERROR(__xludf.DUMMYFUNCTION("""COMPUTED_VALUE"""),45244.0)</f>
        <v>45244</v>
      </c>
      <c r="R304" s="45">
        <f>IFERROR(__xludf.DUMMYFUNCTION("""COMPUTED_VALUE"""),45484.0)</f>
        <v>45484</v>
      </c>
      <c r="S304" s="43"/>
      <c r="T304" s="43"/>
      <c r="U304" s="43" t="str">
        <f>IFERROR(__xludf.DUMMYFUNCTION("""COMPUTED_VALUE"""),"English Teacher in Çocuk Sarayı Kindergarden")</f>
        <v>English Teacher in Çocuk Sarayı Kindergarden</v>
      </c>
      <c r="V304" s="43" t="str">
        <f>IFERROR(__xludf.DUMMYFUNCTION("""COMPUTED_VALUE"""),"FLSH Sousse")</f>
        <v>FLSH Sousse</v>
      </c>
      <c r="W304" s="43" t="str">
        <f>IFERROR(__xludf.DUMMYFUNCTION("""COMPUTED_VALUE"""),"2023-07-12T15:08:00Z")</f>
        <v>2023-07-12T15:08:00Z</v>
      </c>
      <c r="X304" s="43"/>
      <c r="Y304" s="43"/>
      <c r="Z304" s="43"/>
    </row>
    <row r="305" hidden="1">
      <c r="A305" s="43" t="str">
        <f>IFERROR(__xludf.DUMMYFUNCTION("""COMPUTED_VALUE"""),"5284054_1292560")</f>
        <v>5284054_1292560</v>
      </c>
      <c r="B305" s="43" t="str">
        <f>IFERROR(__xludf.DUMMYFUNCTION("""COMPUTED_VALUE"""),"Dounya Boutout")</f>
        <v>Dounya Boutout</v>
      </c>
      <c r="C305" s="43" t="str">
        <f>IFERROR(__xludf.DUMMYFUNCTION("""COMPUTED_VALUE"""),"realized")</f>
        <v>realized</v>
      </c>
      <c r="D305" s="43" t="str">
        <f>IFERROR(__xludf.DUMMYFUNCTION("""COMPUTED_VALUE"""),"No")</f>
        <v>No</v>
      </c>
      <c r="E305" s="43" t="str">
        <f>IFERROR(__xludf.DUMMYFUNCTION("""COMPUTED_VALUE"""),"p_690bb86448b2929cbd509d6074fd5fb7fdafa954@inbound.aiesec.org")</f>
        <v>p_690bb86448b2929cbd509d6074fd5fb7fdafa954@inbound.aiesec.org</v>
      </c>
      <c r="F305" s="43"/>
      <c r="G305" s="43" t="str">
        <f>IFERROR(__xludf.DUMMYFUNCTION("""COMPUTED_VALUE"""),"Algeria")</f>
        <v>Algeria</v>
      </c>
      <c r="H305" s="43" t="str">
        <f>IFERROR(__xludf.DUMMYFUNCTION("""COMPUTED_VALUE"""),"Constantine")</f>
        <v>Constantine</v>
      </c>
      <c r="I305" s="43" t="str">
        <f>IFERROR(__xludf.DUMMYFUNCTION("""COMPUTED_VALUE"""),"Turkey")</f>
        <v>Turkey</v>
      </c>
      <c r="J305" s="43" t="str">
        <f>IFERROR(__xludf.DUMMYFUNCTION("""COMPUTED_VALUE"""),"BURSA")</f>
        <v>BURSA</v>
      </c>
      <c r="K305" s="44" t="str">
        <f>IFERROR(__xludf.DUMMYFUNCTION("""COMPUTED_VALUE"""),"https://expa.aiesec.org/opportunities/1292560")</f>
        <v>https://expa.aiesec.org/opportunities/1292560</v>
      </c>
      <c r="L305" s="43" t="str">
        <f>IFERROR(__xludf.DUMMYFUNCTION("""COMPUTED_VALUE"""),"GTe")</f>
        <v>GTe</v>
      </c>
      <c r="M305" s="43" t="str">
        <f>IFERROR(__xludf.DUMMYFUNCTION("""COMPUTED_VALUE"""),"long")</f>
        <v>long</v>
      </c>
      <c r="N305" s="45">
        <f>IFERROR(__xludf.DUMMYFUNCTION("""COMPUTED_VALUE"""),45119.0)</f>
        <v>45119</v>
      </c>
      <c r="O305" s="45">
        <f>IFERROR(__xludf.DUMMYFUNCTION("""COMPUTED_VALUE"""),45158.0)</f>
        <v>45158</v>
      </c>
      <c r="P305" s="45">
        <f>IFERROR(__xludf.DUMMYFUNCTION("""COMPUTED_VALUE"""),45519.0)</f>
        <v>45519</v>
      </c>
      <c r="Q305" s="45">
        <f>IFERROR(__xludf.DUMMYFUNCTION("""COMPUTED_VALUE"""),45160.0)</f>
        <v>45160</v>
      </c>
      <c r="R305" s="45">
        <f>IFERROR(__xludf.DUMMYFUNCTION("""COMPUTED_VALUE"""),45519.0)</f>
        <v>45519</v>
      </c>
      <c r="S305" s="43"/>
      <c r="T305" s="43"/>
      <c r="U305" s="43" t="str">
        <f>IFERROR(__xludf.DUMMYFUNCTION("""COMPUTED_VALUE"""),"Language Teacher")</f>
        <v>Language Teacher</v>
      </c>
      <c r="V305" s="43" t="str">
        <f>IFERROR(__xludf.DUMMYFUNCTION("""COMPUTED_VALUE"""),"-")</f>
        <v>-</v>
      </c>
      <c r="W305" s="43" t="str">
        <f>IFERROR(__xludf.DUMMYFUNCTION("""COMPUTED_VALUE"""),"2023-07-10T17:37:14Z")</f>
        <v>2023-07-10T17:37:14Z</v>
      </c>
      <c r="X305" s="43"/>
      <c r="Y305" s="43"/>
      <c r="Z305" s="43"/>
    </row>
    <row r="306" hidden="1">
      <c r="A306" s="43" t="str">
        <f>IFERROR(__xludf.DUMMYFUNCTION("""COMPUTED_VALUE"""),"5038415_1296787")</f>
        <v>5038415_1296787</v>
      </c>
      <c r="B306" s="43" t="str">
        <f>IFERROR(__xludf.DUMMYFUNCTION("""COMPUTED_VALUE"""),"Amen Zewdu Mersha")</f>
        <v>Amen Zewdu Mersha</v>
      </c>
      <c r="C306" s="43" t="str">
        <f>IFERROR(__xludf.DUMMYFUNCTION("""COMPUTED_VALUE"""),"realized")</f>
        <v>realized</v>
      </c>
      <c r="D306" s="43" t="str">
        <f>IFERROR(__xludf.DUMMYFUNCTION("""COMPUTED_VALUE"""),"No")</f>
        <v>No</v>
      </c>
      <c r="E306" s="43" t="str">
        <f>IFERROR(__xludf.DUMMYFUNCTION("""COMPUTED_VALUE"""),"p_daa620531fc4f9a7cd5a83f22ec4c9e77ce6dc64@inbound.aiesec.org")</f>
        <v>p_daa620531fc4f9a7cd5a83f22ec4c9e77ce6dc64@inbound.aiesec.org</v>
      </c>
      <c r="F306" s="43"/>
      <c r="G306" s="43" t="str">
        <f>IFERROR(__xludf.DUMMYFUNCTION("""COMPUTED_VALUE"""),"Ethiopia")</f>
        <v>Ethiopia</v>
      </c>
      <c r="H306" s="43" t="str">
        <f>IFERROR(__xludf.DUMMYFUNCTION("""COMPUTED_VALUE"""),"School of Commerce (SOC)")</f>
        <v>School of Commerce (SOC)</v>
      </c>
      <c r="I306" s="43" t="str">
        <f>IFERROR(__xludf.DUMMYFUNCTION("""COMPUTED_VALUE"""),"Turkey")</f>
        <v>Turkey</v>
      </c>
      <c r="J306" s="43" t="str">
        <f>IFERROR(__xludf.DUMMYFUNCTION("""COMPUTED_VALUE"""),"KOCAELI")</f>
        <v>KOCAELI</v>
      </c>
      <c r="K306" s="44" t="str">
        <f>IFERROR(__xludf.DUMMYFUNCTION("""COMPUTED_VALUE"""),"https://expa.aiesec.org/opportunities/1296787")</f>
        <v>https://expa.aiesec.org/opportunities/1296787</v>
      </c>
      <c r="L306" s="43" t="str">
        <f>IFERROR(__xludf.DUMMYFUNCTION("""COMPUTED_VALUE"""),"GTe")</f>
        <v>GTe</v>
      </c>
      <c r="M306" s="43" t="str">
        <f>IFERROR(__xludf.DUMMYFUNCTION("""COMPUTED_VALUE"""),"long")</f>
        <v>long</v>
      </c>
      <c r="N306" s="45">
        <f>IFERROR(__xludf.DUMMYFUNCTION("""COMPUTED_VALUE"""),45121.0)</f>
        <v>45121</v>
      </c>
      <c r="O306" s="45">
        <f>IFERROR(__xludf.DUMMYFUNCTION("""COMPUTED_VALUE"""),45166.0)</f>
        <v>45166</v>
      </c>
      <c r="P306" s="45">
        <f>IFERROR(__xludf.DUMMYFUNCTION("""COMPUTED_VALUE"""),45531.0)</f>
        <v>45531</v>
      </c>
      <c r="Q306" s="45">
        <f>IFERROR(__xludf.DUMMYFUNCTION("""COMPUTED_VALUE"""),45189.0)</f>
        <v>45189</v>
      </c>
      <c r="R306" s="45">
        <f>IFERROR(__xludf.DUMMYFUNCTION("""COMPUTED_VALUE"""),45554.0)</f>
        <v>45554</v>
      </c>
      <c r="S306" s="43"/>
      <c r="T306" s="43"/>
      <c r="U306" s="43" t="str">
        <f>IFERROR(__xludf.DUMMYFUNCTION("""COMPUTED_VALUE"""),"English Teacher in Çocuk Kasabası Kindergarten")</f>
        <v>English Teacher in Çocuk Kasabası Kindergarten</v>
      </c>
      <c r="V306" s="43" t="str">
        <f>IFERROR(__xludf.DUMMYFUNCTION("""COMPUTED_VALUE"""),"-")</f>
        <v>-</v>
      </c>
      <c r="W306" s="43" t="str">
        <f>IFERROR(__xludf.DUMMYFUNCTION("""COMPUTED_VALUE"""),"2022-04-13T13:01:00Z")</f>
        <v>2022-04-13T13:01:00Z</v>
      </c>
      <c r="X306" s="43"/>
      <c r="Y306" s="43"/>
      <c r="Z306" s="43"/>
    </row>
    <row r="307" hidden="1">
      <c r="A307" s="43" t="str">
        <f>IFERROR(__xludf.DUMMYFUNCTION("""COMPUTED_VALUE"""),"5284448_1290027")</f>
        <v>5284448_1290027</v>
      </c>
      <c r="B307" s="43" t="str">
        <f>IFERROR(__xludf.DUMMYFUNCTION("""COMPUTED_VALUE"""),"Rania ghrairi")</f>
        <v>Rania ghrairi</v>
      </c>
      <c r="C307" s="43" t="str">
        <f>IFERROR(__xludf.DUMMYFUNCTION("""COMPUTED_VALUE"""),"realized")</f>
        <v>realized</v>
      </c>
      <c r="D307" s="43" t="str">
        <f>IFERROR(__xludf.DUMMYFUNCTION("""COMPUTED_VALUE"""),"No")</f>
        <v>No</v>
      </c>
      <c r="E307" s="43" t="str">
        <f>IFERROR(__xludf.DUMMYFUNCTION("""COMPUTED_VALUE"""),"p_82743945ed3cf685a890690a01248969781258fc@inbound.aiesec.org")</f>
        <v>p_82743945ed3cf685a890690a01248969781258fc@inbound.aiesec.org</v>
      </c>
      <c r="F307" s="43">
        <f>IFERROR(__xludf.DUMMYFUNCTION("""COMPUTED_VALUE"""),2.5543058E7)</f>
        <v>25543058</v>
      </c>
      <c r="G307" s="43" t="str">
        <f>IFERROR(__xludf.DUMMYFUNCTION("""COMPUTED_VALUE"""),"Tunisia")</f>
        <v>Tunisia</v>
      </c>
      <c r="H307" s="43" t="str">
        <f>IFERROR(__xludf.DUMMYFUNCTION("""COMPUTED_VALUE"""),"MEDINA")</f>
        <v>MEDINA</v>
      </c>
      <c r="I307" s="43" t="str">
        <f>IFERROR(__xludf.DUMMYFUNCTION("""COMPUTED_VALUE"""),"Turkey")</f>
        <v>Turkey</v>
      </c>
      <c r="J307" s="43" t="str">
        <f>IFERROR(__xludf.DUMMYFUNCTION("""COMPUTED_VALUE"""),"GAZIANTEP")</f>
        <v>GAZIANTEP</v>
      </c>
      <c r="K307" s="44" t="str">
        <f>IFERROR(__xludf.DUMMYFUNCTION("""COMPUTED_VALUE"""),"https://expa.aiesec.org/opportunities/1290027")</f>
        <v>https://expa.aiesec.org/opportunities/1290027</v>
      </c>
      <c r="L307" s="43" t="str">
        <f>IFERROR(__xludf.DUMMYFUNCTION("""COMPUTED_VALUE"""),"GTe")</f>
        <v>GTe</v>
      </c>
      <c r="M307" s="43" t="str">
        <f>IFERROR(__xludf.DUMMYFUNCTION("""COMPUTED_VALUE"""),"long")</f>
        <v>long</v>
      </c>
      <c r="N307" s="45">
        <f>IFERROR(__xludf.DUMMYFUNCTION("""COMPUTED_VALUE"""),45121.0)</f>
        <v>45121</v>
      </c>
      <c r="O307" s="45">
        <f>IFERROR(__xludf.DUMMYFUNCTION("""COMPUTED_VALUE"""),45139.0)</f>
        <v>45139</v>
      </c>
      <c r="P307" s="45">
        <f>IFERROR(__xludf.DUMMYFUNCTION("""COMPUTED_VALUE"""),45504.0)</f>
        <v>45504</v>
      </c>
      <c r="Q307" s="45">
        <f>IFERROR(__xludf.DUMMYFUNCTION("""COMPUTED_VALUE"""),45161.0)</f>
        <v>45161</v>
      </c>
      <c r="R307" s="45">
        <f>IFERROR(__xludf.DUMMYFUNCTION("""COMPUTED_VALUE"""),45526.0)</f>
        <v>45526</v>
      </c>
      <c r="S307" s="43"/>
      <c r="T307" s="43"/>
      <c r="U307" s="43" t="str">
        <f>IFERROR(__xludf.DUMMYFUNCTION("""COMPUTED_VALUE"""),"ENGLISH TEACHER")</f>
        <v>ENGLISH TEACHER</v>
      </c>
      <c r="V307" s="43" t="str">
        <f>IFERROR(__xludf.DUMMYFUNCTION("""COMPUTED_VALUE"""),"FLAH")</f>
        <v>FLAH</v>
      </c>
      <c r="W307" s="43" t="str">
        <f>IFERROR(__xludf.DUMMYFUNCTION("""COMPUTED_VALUE"""),"2023-07-11T22:29:32Z")</f>
        <v>2023-07-11T22:29:32Z</v>
      </c>
      <c r="X307" s="43"/>
      <c r="Y307" s="43"/>
      <c r="Z307" s="43"/>
    </row>
    <row r="308" hidden="1">
      <c r="A308" s="43" t="str">
        <f>IFERROR(__xludf.DUMMYFUNCTION("""COMPUTED_VALUE"""),"5285208_1294473")</f>
        <v>5285208_1294473</v>
      </c>
      <c r="B308" s="43" t="str">
        <f>IFERROR(__xludf.DUMMYFUNCTION("""COMPUTED_VALUE"""),"hytef touati")</f>
        <v>hytef touati</v>
      </c>
      <c r="C308" s="43" t="str">
        <f>IFERROR(__xludf.DUMMYFUNCTION("""COMPUTED_VALUE"""),"approved")</f>
        <v>approved</v>
      </c>
      <c r="D308" s="43" t="str">
        <f>IFERROR(__xludf.DUMMYFUNCTION("""COMPUTED_VALUE"""),"No")</f>
        <v>No</v>
      </c>
      <c r="E308" s="43" t="str">
        <f>IFERROR(__xludf.DUMMYFUNCTION("""COMPUTED_VALUE"""),"p_f9bd3ffdcb7c44d28d50eda8986c59d9ada3ca3e@inbound.aiesec.org")</f>
        <v>p_f9bd3ffdcb7c44d28d50eda8986c59d9ada3ca3e@inbound.aiesec.org</v>
      </c>
      <c r="F308" s="43">
        <f>IFERROR(__xludf.DUMMYFUNCTION("""COMPUTED_VALUE"""),7.95909318E8)</f>
        <v>795909318</v>
      </c>
      <c r="G308" s="43" t="str">
        <f>IFERROR(__xludf.DUMMYFUNCTION("""COMPUTED_VALUE"""),"Algeria")</f>
        <v>Algeria</v>
      </c>
      <c r="H308" s="43" t="str">
        <f>IFERROR(__xludf.DUMMYFUNCTION("""COMPUTED_VALUE"""),"Oran")</f>
        <v>Oran</v>
      </c>
      <c r="I308" s="43" t="str">
        <f>IFERROR(__xludf.DUMMYFUNCTION("""COMPUTED_VALUE"""),"Turkey")</f>
        <v>Turkey</v>
      </c>
      <c r="J308" s="43" t="str">
        <f>IFERROR(__xludf.DUMMYFUNCTION("""COMPUTED_VALUE"""),"SAKARYA")</f>
        <v>SAKARYA</v>
      </c>
      <c r="K308" s="44" t="str">
        <f>IFERROR(__xludf.DUMMYFUNCTION("""COMPUTED_VALUE"""),"https://expa.aiesec.org/opportunities/1294473")</f>
        <v>https://expa.aiesec.org/opportunities/1294473</v>
      </c>
      <c r="L308" s="43" t="str">
        <f>IFERROR(__xludf.DUMMYFUNCTION("""COMPUTED_VALUE"""),"GTe")</f>
        <v>GTe</v>
      </c>
      <c r="M308" s="43" t="str">
        <f>IFERROR(__xludf.DUMMYFUNCTION("""COMPUTED_VALUE"""),"long")</f>
        <v>long</v>
      </c>
      <c r="N308" s="45">
        <f>IFERROR(__xludf.DUMMYFUNCTION("""COMPUTED_VALUE"""),45121.0)</f>
        <v>45121</v>
      </c>
      <c r="O308" s="45">
        <f>IFERROR(__xludf.DUMMYFUNCTION("""COMPUTED_VALUE"""),45170.0)</f>
        <v>45170</v>
      </c>
      <c r="P308" s="45">
        <f>IFERROR(__xludf.DUMMYFUNCTION("""COMPUTED_VALUE"""),45536.0)</f>
        <v>45536</v>
      </c>
      <c r="Q308" s="45"/>
      <c r="R308" s="45"/>
      <c r="S308" s="43"/>
      <c r="T308" s="43"/>
      <c r="U308" s="43" t="str">
        <f>IFERROR(__xludf.DUMMYFUNCTION("""COMPUTED_VALUE"""),"English Teacher | Dudu Akademi")</f>
        <v>English Teacher | Dudu Akademi</v>
      </c>
      <c r="V308" s="43" t="str">
        <f>IFERROR(__xludf.DUMMYFUNCTION("""COMPUTED_VALUE"""),"AIESEC in Oran")</f>
        <v>AIESEC in Oran</v>
      </c>
      <c r="W308" s="43" t="str">
        <f>IFERROR(__xludf.DUMMYFUNCTION("""COMPUTED_VALUE"""),"2023-07-14T13:23:54Z")</f>
        <v>2023-07-14T13:23:54Z</v>
      </c>
      <c r="X308" s="43"/>
      <c r="Y308" s="43"/>
      <c r="Z308" s="43"/>
    </row>
    <row r="309" hidden="1">
      <c r="A309" s="43" t="str">
        <f>IFERROR(__xludf.DUMMYFUNCTION("""COMPUTED_VALUE"""),"5285310_1295514")</f>
        <v>5285310_1295514</v>
      </c>
      <c r="B309" s="43" t="str">
        <f>IFERROR(__xludf.DUMMYFUNCTION("""COMPUTED_VALUE"""),"deleted 5285310")</f>
        <v>deleted 5285310</v>
      </c>
      <c r="C309" s="43" t="str">
        <f>IFERROR(__xludf.DUMMYFUNCTION("""COMPUTED_VALUE"""),"approved")</f>
        <v>approved</v>
      </c>
      <c r="D309" s="43" t="str">
        <f>IFERROR(__xludf.DUMMYFUNCTION("""COMPUTED_VALUE"""),"No")</f>
        <v>No</v>
      </c>
      <c r="E309" s="43" t="str">
        <f>IFERROR(__xludf.DUMMYFUNCTION("""COMPUTED_VALUE"""),"p_799af7214feb008372bc394b9e598e10d199686a@inbound.aiesec.org")</f>
        <v>p_799af7214feb008372bc394b9e598e10d199686a@inbound.aiesec.org</v>
      </c>
      <c r="F309" s="43"/>
      <c r="G309" s="43" t="str">
        <f>IFERROR(__xludf.DUMMYFUNCTION("""COMPUTED_VALUE"""),"Algeria")</f>
        <v>Algeria</v>
      </c>
      <c r="H309" s="43" t="str">
        <f>IFERROR(__xludf.DUMMYFUNCTION("""COMPUTED_VALUE"""),"Blida")</f>
        <v>Blida</v>
      </c>
      <c r="I309" s="43" t="str">
        <f>IFERROR(__xludf.DUMMYFUNCTION("""COMPUTED_VALUE"""),"Turkey")</f>
        <v>Turkey</v>
      </c>
      <c r="J309" s="43" t="str">
        <f>IFERROR(__xludf.DUMMYFUNCTION("""COMPUTED_VALUE"""),"GAZIANTEP")</f>
        <v>GAZIANTEP</v>
      </c>
      <c r="K309" s="44" t="str">
        <f>IFERROR(__xludf.DUMMYFUNCTION("""COMPUTED_VALUE"""),"https://expa.aiesec.org/opportunities/1295514")</f>
        <v>https://expa.aiesec.org/opportunities/1295514</v>
      </c>
      <c r="L309" s="43" t="str">
        <f>IFERROR(__xludf.DUMMYFUNCTION("""COMPUTED_VALUE"""),"GTe")</f>
        <v>GTe</v>
      </c>
      <c r="M309" s="43" t="str">
        <f>IFERROR(__xludf.DUMMYFUNCTION("""COMPUTED_VALUE"""),"long")</f>
        <v>long</v>
      </c>
      <c r="N309" s="45">
        <f>IFERROR(__xludf.DUMMYFUNCTION("""COMPUTED_VALUE"""),45122.0)</f>
        <v>45122</v>
      </c>
      <c r="O309" s="45">
        <f>IFERROR(__xludf.DUMMYFUNCTION("""COMPUTED_VALUE"""),45143.0)</f>
        <v>45143</v>
      </c>
      <c r="P309" s="45">
        <f>IFERROR(__xludf.DUMMYFUNCTION("""COMPUTED_VALUE"""),45508.0)</f>
        <v>45508</v>
      </c>
      <c r="Q309" s="45"/>
      <c r="R309" s="45"/>
      <c r="S309" s="43"/>
      <c r="T309" s="43"/>
      <c r="U309" s="43" t="str">
        <f>IFERROR(__xludf.DUMMYFUNCTION("""COMPUTED_VALUE"""),"English Teacher")</f>
        <v>English Teacher</v>
      </c>
      <c r="V309" s="43" t="str">
        <f>IFERROR(__xludf.DUMMYFUNCTION("""COMPUTED_VALUE"""),"AIESEC in Blida")</f>
        <v>AIESEC in Blida</v>
      </c>
      <c r="W309" s="43" t="str">
        <f>IFERROR(__xludf.DUMMYFUNCTION("""COMPUTED_VALUE"""),"2023-07-14T17:13:14Z")</f>
        <v>2023-07-14T17:13:14Z</v>
      </c>
      <c r="X309" s="43"/>
      <c r="Y309" s="43"/>
      <c r="Z309" s="43"/>
    </row>
    <row r="310" hidden="1">
      <c r="A310" s="43" t="str">
        <f>IFERROR(__xludf.DUMMYFUNCTION("""COMPUTED_VALUE"""),"5277059_1286839")</f>
        <v>5277059_1286839</v>
      </c>
      <c r="B310" s="43" t="str">
        <f>IFERROR(__xludf.DUMMYFUNCTION("""COMPUTED_VALUE"""),"Nesrine Mokdad")</f>
        <v>Nesrine Mokdad</v>
      </c>
      <c r="C310" s="43" t="str">
        <f>IFERROR(__xludf.DUMMYFUNCTION("""COMPUTED_VALUE"""),"approved")</f>
        <v>approved</v>
      </c>
      <c r="D310" s="43" t="str">
        <f>IFERROR(__xludf.DUMMYFUNCTION("""COMPUTED_VALUE"""),"No")</f>
        <v>No</v>
      </c>
      <c r="E310" s="43" t="str">
        <f>IFERROR(__xludf.DUMMYFUNCTION("""COMPUTED_VALUE"""),"p_3fa8663709a2b38a67405cdc517d8557bd34c393@inbound.aiesec.org")</f>
        <v>p_3fa8663709a2b38a67405cdc517d8557bd34c393@inbound.aiesec.org</v>
      </c>
      <c r="F310" s="43">
        <f>IFERROR(__xludf.DUMMYFUNCTION("""COMPUTED_VALUE"""),5.41019855E8)</f>
        <v>541019855</v>
      </c>
      <c r="G310" s="43" t="str">
        <f>IFERROR(__xludf.DUMMYFUNCTION("""COMPUTED_VALUE"""),"Algeria")</f>
        <v>Algeria</v>
      </c>
      <c r="H310" s="43" t="str">
        <f>IFERROR(__xludf.DUMMYFUNCTION("""COMPUTED_VALUE"""),"Blida")</f>
        <v>Blida</v>
      </c>
      <c r="I310" s="43" t="str">
        <f>IFERROR(__xludf.DUMMYFUNCTION("""COMPUTED_VALUE"""),"Turkey")</f>
        <v>Turkey</v>
      </c>
      <c r="J310" s="43" t="str">
        <f>IFERROR(__xludf.DUMMYFUNCTION("""COMPUTED_VALUE"""),"ISTANBUL WEST")</f>
        <v>ISTANBUL WEST</v>
      </c>
      <c r="K310" s="44" t="str">
        <f>IFERROR(__xludf.DUMMYFUNCTION("""COMPUTED_VALUE"""),"https://expa.aiesec.org/opportunities/1286839")</f>
        <v>https://expa.aiesec.org/opportunities/1286839</v>
      </c>
      <c r="L310" s="43" t="str">
        <f>IFERROR(__xludf.DUMMYFUNCTION("""COMPUTED_VALUE"""),"GTe")</f>
        <v>GTe</v>
      </c>
      <c r="M310" s="43" t="str">
        <f>IFERROR(__xludf.DUMMYFUNCTION("""COMPUTED_VALUE"""),"long")</f>
        <v>long</v>
      </c>
      <c r="N310" s="45">
        <f>IFERROR(__xludf.DUMMYFUNCTION("""COMPUTED_VALUE"""),45122.0)</f>
        <v>45122</v>
      </c>
      <c r="O310" s="45">
        <f>IFERROR(__xludf.DUMMYFUNCTION("""COMPUTED_VALUE"""),45153.0)</f>
        <v>45153</v>
      </c>
      <c r="P310" s="45">
        <f>IFERROR(__xludf.DUMMYFUNCTION("""COMPUTED_VALUE"""),45513.0)</f>
        <v>45513</v>
      </c>
      <c r="Q310" s="45"/>
      <c r="R310" s="45"/>
      <c r="S310" s="43"/>
      <c r="T310" s="43" t="str">
        <f>IFERROR(__xludf.DUMMYFUNCTION("""COMPUTED_VALUE"""),"Business Development")</f>
        <v>Business Development</v>
      </c>
      <c r="U310" s="43" t="str">
        <f>IFERROR(__xludf.DUMMYFUNCTION("""COMPUTED_VALUE"""),"Pre-School Teacher at Istanbul AIKA/Florya ")</f>
        <v>Pre-School Teacher at Istanbul AIKA/Florya </v>
      </c>
      <c r="V310" s="43" t="str">
        <f>IFERROR(__xludf.DUMMYFUNCTION("""COMPUTED_VALUE"""),"AIESEC in Blida")</f>
        <v>AIESEC in Blida</v>
      </c>
      <c r="W310" s="43" t="str">
        <f>IFERROR(__xludf.DUMMYFUNCTION("""COMPUTED_VALUE"""),"2023-06-19T13:10:03Z")</f>
        <v>2023-06-19T13:10:03Z</v>
      </c>
      <c r="X310" s="43"/>
      <c r="Y310" s="43"/>
      <c r="Z310" s="43"/>
    </row>
    <row r="311" hidden="1">
      <c r="A311" s="43" t="str">
        <f>IFERROR(__xludf.DUMMYFUNCTION("""COMPUTED_VALUE"""),"5100869_1286836")</f>
        <v>5100869_1286836</v>
      </c>
      <c r="B311" s="43" t="str">
        <f>IFERROR(__xludf.DUMMYFUNCTION("""COMPUTED_VALUE"""),"oum keltoum chekhab")</f>
        <v>oum keltoum chekhab</v>
      </c>
      <c r="C311" s="43" t="str">
        <f>IFERROR(__xludf.DUMMYFUNCTION("""COMPUTED_VALUE"""),"realized")</f>
        <v>realized</v>
      </c>
      <c r="D311" s="43" t="str">
        <f>IFERROR(__xludf.DUMMYFUNCTION("""COMPUTED_VALUE"""),"No")</f>
        <v>No</v>
      </c>
      <c r="E311" s="43" t="str">
        <f>IFERROR(__xludf.DUMMYFUNCTION("""COMPUTED_VALUE"""),"p_6f77bde04e20fc50cbcbbb5d569d6dd6a3e9f30d@inbound.aiesec.org")</f>
        <v>p_6f77bde04e20fc50cbcbbb5d569d6dd6a3e9f30d@inbound.aiesec.org</v>
      </c>
      <c r="F311" s="43">
        <f>IFERROR(__xludf.DUMMYFUNCTION("""COMPUTED_VALUE"""),6.98520907E8)</f>
        <v>698520907</v>
      </c>
      <c r="G311" s="43" t="str">
        <f>IFERROR(__xludf.DUMMYFUNCTION("""COMPUTED_VALUE"""),"Algeria")</f>
        <v>Algeria</v>
      </c>
      <c r="H311" s="43" t="str">
        <f>IFERROR(__xludf.DUMMYFUNCTION("""COMPUTED_VALUE"""),"Blida")</f>
        <v>Blida</v>
      </c>
      <c r="I311" s="43" t="str">
        <f>IFERROR(__xludf.DUMMYFUNCTION("""COMPUTED_VALUE"""),"Turkey")</f>
        <v>Turkey</v>
      </c>
      <c r="J311" s="43" t="str">
        <f>IFERROR(__xludf.DUMMYFUNCTION("""COMPUTED_VALUE"""),"ISTANBUL WEST")</f>
        <v>ISTANBUL WEST</v>
      </c>
      <c r="K311" s="44" t="str">
        <f>IFERROR(__xludf.DUMMYFUNCTION("""COMPUTED_VALUE"""),"https://expa.aiesec.org/opportunities/1286836")</f>
        <v>https://expa.aiesec.org/opportunities/1286836</v>
      </c>
      <c r="L311" s="43" t="str">
        <f>IFERROR(__xludf.DUMMYFUNCTION("""COMPUTED_VALUE"""),"GTe")</f>
        <v>GTe</v>
      </c>
      <c r="M311" s="43" t="str">
        <f>IFERROR(__xludf.DUMMYFUNCTION("""COMPUTED_VALUE"""),"long")</f>
        <v>long</v>
      </c>
      <c r="N311" s="45">
        <f>IFERROR(__xludf.DUMMYFUNCTION("""COMPUTED_VALUE"""),45122.0)</f>
        <v>45122</v>
      </c>
      <c r="O311" s="45">
        <f>IFERROR(__xludf.DUMMYFUNCTION("""COMPUTED_VALUE"""),45159.0)</f>
        <v>45159</v>
      </c>
      <c r="P311" s="45">
        <f>IFERROR(__xludf.DUMMYFUNCTION("""COMPUTED_VALUE"""),45516.0)</f>
        <v>45516</v>
      </c>
      <c r="Q311" s="45">
        <f>IFERROR(__xludf.DUMMYFUNCTION("""COMPUTED_VALUE"""),45153.0)</f>
        <v>45153</v>
      </c>
      <c r="R311" s="45">
        <f>IFERROR(__xludf.DUMMYFUNCTION("""COMPUTED_VALUE"""),45523.0)</f>
        <v>45523</v>
      </c>
      <c r="S311" s="43"/>
      <c r="T311" s="43" t="str">
        <f>IFERROR(__xludf.DUMMYFUNCTION("""COMPUTED_VALUE"""),"Business Development")</f>
        <v>Business Development</v>
      </c>
      <c r="U311" s="43" t="str">
        <f>IFERROR(__xludf.DUMMYFUNCTION("""COMPUTED_VALUE"""),"Pre-School Teacher at Istanbul AIKA/Bahçeşehir")</f>
        <v>Pre-School Teacher at Istanbul AIKA/Bahçeşehir</v>
      </c>
      <c r="V311" s="43" t="str">
        <f>IFERROR(__xludf.DUMMYFUNCTION("""COMPUTED_VALUE"""),"-")</f>
        <v>-</v>
      </c>
      <c r="W311" s="43" t="str">
        <f>IFERROR(__xludf.DUMMYFUNCTION("""COMPUTED_VALUE"""),"2022-08-28T01:12:27Z")</f>
        <v>2022-08-28T01:12:27Z</v>
      </c>
      <c r="X311" s="43"/>
      <c r="Y311" s="43"/>
      <c r="Z311" s="43"/>
    </row>
    <row r="312" hidden="1">
      <c r="A312" s="43" t="str">
        <f>IFERROR(__xludf.DUMMYFUNCTION("""COMPUTED_VALUE"""),"5278592_1286837")</f>
        <v>5278592_1286837</v>
      </c>
      <c r="B312" s="43" t="str">
        <f>IFERROR(__xludf.DUMMYFUNCTION("""COMPUTED_VALUE"""),"ARUNA ZHOLDYBAY")</f>
        <v>ARUNA ZHOLDYBAY</v>
      </c>
      <c r="C312" s="43" t="str">
        <f>IFERROR(__xludf.DUMMYFUNCTION("""COMPUTED_VALUE"""),"realized")</f>
        <v>realized</v>
      </c>
      <c r="D312" s="43" t="str">
        <f>IFERROR(__xludf.DUMMYFUNCTION("""COMPUTED_VALUE"""),"No")</f>
        <v>No</v>
      </c>
      <c r="E312" s="43" t="str">
        <f>IFERROR(__xludf.DUMMYFUNCTION("""COMPUTED_VALUE"""),"p_b26f1a616e0068ff677680da532925bee9953dc3@inbound.aiesec.org")</f>
        <v>p_b26f1a616e0068ff677680da532925bee9953dc3@inbound.aiesec.org</v>
      </c>
      <c r="F312" s="43">
        <f>IFERROR(__xludf.DUMMYFUNCTION("""COMPUTED_VALUE"""),7.077289718E9)</f>
        <v>7077289718</v>
      </c>
      <c r="G312" s="43" t="str">
        <f>IFERROR(__xludf.DUMMYFUNCTION("""COMPUTED_VALUE"""),"Kazakhstan")</f>
        <v>Kazakhstan</v>
      </c>
      <c r="H312" s="43" t="str">
        <f>IFERROR(__xludf.DUMMYFUNCTION("""COMPUTED_VALUE"""),"ALMATY")</f>
        <v>ALMATY</v>
      </c>
      <c r="I312" s="43" t="str">
        <f>IFERROR(__xludf.DUMMYFUNCTION("""COMPUTED_VALUE"""),"Turkey")</f>
        <v>Turkey</v>
      </c>
      <c r="J312" s="43" t="str">
        <f>IFERROR(__xludf.DUMMYFUNCTION("""COMPUTED_VALUE"""),"ISTANBUL WEST")</f>
        <v>ISTANBUL WEST</v>
      </c>
      <c r="K312" s="44" t="str">
        <f>IFERROR(__xludf.DUMMYFUNCTION("""COMPUTED_VALUE"""),"https://expa.aiesec.org/opportunities/1286837")</f>
        <v>https://expa.aiesec.org/opportunities/1286837</v>
      </c>
      <c r="L312" s="43" t="str">
        <f>IFERROR(__xludf.DUMMYFUNCTION("""COMPUTED_VALUE"""),"GTe")</f>
        <v>GTe</v>
      </c>
      <c r="M312" s="43" t="str">
        <f>IFERROR(__xludf.DUMMYFUNCTION("""COMPUTED_VALUE"""),"long")</f>
        <v>long</v>
      </c>
      <c r="N312" s="45">
        <f>IFERROR(__xludf.DUMMYFUNCTION("""COMPUTED_VALUE"""),45124.0)</f>
        <v>45124</v>
      </c>
      <c r="O312" s="45">
        <f>IFERROR(__xludf.DUMMYFUNCTION("""COMPUTED_VALUE"""),45159.0)</f>
        <v>45159</v>
      </c>
      <c r="P312" s="45">
        <f>IFERROR(__xludf.DUMMYFUNCTION("""COMPUTED_VALUE"""),45516.0)</f>
        <v>45516</v>
      </c>
      <c r="Q312" s="45">
        <f>IFERROR(__xludf.DUMMYFUNCTION("""COMPUTED_VALUE"""),45153.0)</f>
        <v>45153</v>
      </c>
      <c r="R312" s="45">
        <f>IFERROR(__xludf.DUMMYFUNCTION("""COMPUTED_VALUE"""),45523.0)</f>
        <v>45523</v>
      </c>
      <c r="S312" s="43"/>
      <c r="T312" s="43" t="str">
        <f>IFERROR(__xludf.DUMMYFUNCTION("""COMPUTED_VALUE"""),"Business Development")</f>
        <v>Business Development</v>
      </c>
      <c r="U312" s="43" t="str">
        <f>IFERROR(__xludf.DUMMYFUNCTION("""COMPUTED_VALUE"""),"Pre-School Teacher at Istanbul AIKA/Beylikdüzü")</f>
        <v>Pre-School Teacher at Istanbul AIKA/Beylikdüzü</v>
      </c>
      <c r="V312" s="43" t="str">
        <f>IFERROR(__xludf.DUMMYFUNCTION("""COMPUTED_VALUE"""),"Almaty")</f>
        <v>Almaty</v>
      </c>
      <c r="W312" s="43" t="str">
        <f>IFERROR(__xludf.DUMMYFUNCTION("""COMPUTED_VALUE"""),"2023-06-23T09:02:50Z")</f>
        <v>2023-06-23T09:02:50Z</v>
      </c>
      <c r="X312" s="43"/>
      <c r="Y312" s="43"/>
      <c r="Z312" s="43"/>
    </row>
    <row r="313" hidden="1">
      <c r="A313" s="43" t="str">
        <f>IFERROR(__xludf.DUMMYFUNCTION("""COMPUTED_VALUE"""),"5286179_1286059")</f>
        <v>5286179_1286059</v>
      </c>
      <c r="B313" s="43" t="str">
        <f>IFERROR(__xludf.DUMMYFUNCTION("""COMPUTED_VALUE"""),"Toufik Drafli")</f>
        <v>Toufik Drafli</v>
      </c>
      <c r="C313" s="43" t="str">
        <f>IFERROR(__xludf.DUMMYFUNCTION("""COMPUTED_VALUE"""),"realized")</f>
        <v>realized</v>
      </c>
      <c r="D313" s="43" t="str">
        <f>IFERROR(__xludf.DUMMYFUNCTION("""COMPUTED_VALUE"""),"No")</f>
        <v>No</v>
      </c>
      <c r="E313" s="43" t="str">
        <f>IFERROR(__xludf.DUMMYFUNCTION("""COMPUTED_VALUE"""),"p_2ebfd17214e2111a049f190f5be9ce34467f7597@inbound.aiesec.org")</f>
        <v>p_2ebfd17214e2111a049f190f5be9ce34467f7597@inbound.aiesec.org</v>
      </c>
      <c r="F313" s="43">
        <f>IFERROR(__xludf.DUMMYFUNCTION("""COMPUTED_VALUE"""),9.049064571E9)</f>
        <v>9049064571</v>
      </c>
      <c r="G313" s="43" t="str">
        <f>IFERROR(__xludf.DUMMYFUNCTION("""COMPUTED_VALUE"""),"Algeria")</f>
        <v>Algeria</v>
      </c>
      <c r="H313" s="43" t="str">
        <f>IFERROR(__xludf.DUMMYFUNCTION("""COMPUTED_VALUE"""),"Blida")</f>
        <v>Blida</v>
      </c>
      <c r="I313" s="43" t="str">
        <f>IFERROR(__xludf.DUMMYFUNCTION("""COMPUTED_VALUE"""),"Turkey")</f>
        <v>Turkey</v>
      </c>
      <c r="J313" s="43" t="str">
        <f>IFERROR(__xludf.DUMMYFUNCTION("""COMPUTED_VALUE"""),"İZMİR")</f>
        <v>İZMİR</v>
      </c>
      <c r="K313" s="44" t="str">
        <f>IFERROR(__xludf.DUMMYFUNCTION("""COMPUTED_VALUE"""),"https://expa.aiesec.org/opportunities/1286059")</f>
        <v>https://expa.aiesec.org/opportunities/1286059</v>
      </c>
      <c r="L313" s="43" t="str">
        <f>IFERROR(__xludf.DUMMYFUNCTION("""COMPUTED_VALUE"""),"GTe")</f>
        <v>GTe</v>
      </c>
      <c r="M313" s="43" t="str">
        <f>IFERROR(__xludf.DUMMYFUNCTION("""COMPUTED_VALUE"""),"long")</f>
        <v>long</v>
      </c>
      <c r="N313" s="45">
        <f>IFERROR(__xludf.DUMMYFUNCTION("""COMPUTED_VALUE"""),45124.0)</f>
        <v>45124</v>
      </c>
      <c r="O313" s="45">
        <f>IFERROR(__xludf.DUMMYFUNCTION("""COMPUTED_VALUE"""),45138.0)</f>
        <v>45138</v>
      </c>
      <c r="P313" s="45">
        <f>IFERROR(__xludf.DUMMYFUNCTION("""COMPUTED_VALUE"""),45503.0)</f>
        <v>45503</v>
      </c>
      <c r="Q313" s="45">
        <f>IFERROR(__xludf.DUMMYFUNCTION("""COMPUTED_VALUE"""),45184.0)</f>
        <v>45184</v>
      </c>
      <c r="R313" s="45">
        <f>IFERROR(__xludf.DUMMYFUNCTION("""COMPUTED_VALUE"""),45564.0)</f>
        <v>45564</v>
      </c>
      <c r="S313" s="43"/>
      <c r="T313" s="43"/>
      <c r="U313" s="43" t="str">
        <f>IFERROR(__xludf.DUMMYFUNCTION("""COMPUTED_VALUE"""),"English Teacher in Aydın")</f>
        <v>English Teacher in Aydın</v>
      </c>
      <c r="V313" s="43" t="str">
        <f>IFERROR(__xludf.DUMMYFUNCTION("""COMPUTED_VALUE"""),"AIESEC in Blida")</f>
        <v>AIESEC in Blida</v>
      </c>
      <c r="W313" s="43" t="str">
        <f>IFERROR(__xludf.DUMMYFUNCTION("""COMPUTED_VALUE"""),"2023-07-17T17:12:08Z")</f>
        <v>2023-07-17T17:12:08Z</v>
      </c>
      <c r="X313" s="43"/>
      <c r="Y313" s="43"/>
      <c r="Z313" s="43"/>
    </row>
    <row r="314" hidden="1">
      <c r="A314" s="43" t="str">
        <f>IFERROR(__xludf.DUMMYFUNCTION("""COMPUTED_VALUE"""),"5079398_1295982")</f>
        <v>5079398_1295982</v>
      </c>
      <c r="B314" s="43" t="str">
        <f>IFERROR(__xludf.DUMMYFUNCTION("""COMPUTED_VALUE"""),"Yassine Slimene")</f>
        <v>Yassine Slimene</v>
      </c>
      <c r="C314" s="43" t="str">
        <f>IFERROR(__xludf.DUMMYFUNCTION("""COMPUTED_VALUE"""),"realized")</f>
        <v>realized</v>
      </c>
      <c r="D314" s="43" t="str">
        <f>IFERROR(__xludf.DUMMYFUNCTION("""COMPUTED_VALUE"""),"No")</f>
        <v>No</v>
      </c>
      <c r="E314" s="43" t="str">
        <f>IFERROR(__xludf.DUMMYFUNCTION("""COMPUTED_VALUE"""),"p_d8529061cd48fdddf88cb845f25bc6469d817a21@inbound.aiesec.org")</f>
        <v>p_d8529061cd48fdddf88cb845f25bc6469d817a21@inbound.aiesec.org</v>
      </c>
      <c r="F314" s="43">
        <f>IFERROR(__xludf.DUMMYFUNCTION("""COMPUTED_VALUE"""),5.375426976E9)</f>
        <v>5375426976</v>
      </c>
      <c r="G314" s="43" t="str">
        <f>IFERROR(__xludf.DUMMYFUNCTION("""COMPUTED_VALUE"""),"Tunisia")</f>
        <v>Tunisia</v>
      </c>
      <c r="H314" s="43" t="str">
        <f>IFERROR(__xludf.DUMMYFUNCTION("""COMPUTED_VALUE"""),"BARDO")</f>
        <v>BARDO</v>
      </c>
      <c r="I314" s="43" t="str">
        <f>IFERROR(__xludf.DUMMYFUNCTION("""COMPUTED_VALUE"""),"Turkey")</f>
        <v>Turkey</v>
      </c>
      <c r="J314" s="43" t="str">
        <f>IFERROR(__xludf.DUMMYFUNCTION("""COMPUTED_VALUE"""),"BURSA")</f>
        <v>BURSA</v>
      </c>
      <c r="K314" s="44" t="str">
        <f>IFERROR(__xludf.DUMMYFUNCTION("""COMPUTED_VALUE"""),"https://expa.aiesec.org/opportunities/1295982")</f>
        <v>https://expa.aiesec.org/opportunities/1295982</v>
      </c>
      <c r="L314" s="43" t="str">
        <f>IFERROR(__xludf.DUMMYFUNCTION("""COMPUTED_VALUE"""),"GTe")</f>
        <v>GTe</v>
      </c>
      <c r="M314" s="43" t="str">
        <f>IFERROR(__xludf.DUMMYFUNCTION("""COMPUTED_VALUE"""),"long")</f>
        <v>long</v>
      </c>
      <c r="N314" s="45">
        <f>IFERROR(__xludf.DUMMYFUNCTION("""COMPUTED_VALUE"""),45124.0)</f>
        <v>45124</v>
      </c>
      <c r="O314" s="45">
        <f>IFERROR(__xludf.DUMMYFUNCTION("""COMPUTED_VALUE"""),45170.0)</f>
        <v>45170</v>
      </c>
      <c r="P314" s="45">
        <f>IFERROR(__xludf.DUMMYFUNCTION("""COMPUTED_VALUE"""),45473.0)</f>
        <v>45473</v>
      </c>
      <c r="Q314" s="45">
        <f>IFERROR(__xludf.DUMMYFUNCTION("""COMPUTED_VALUE"""),45181.0)</f>
        <v>45181</v>
      </c>
      <c r="R314" s="45">
        <f>IFERROR(__xludf.DUMMYFUNCTION("""COMPUTED_VALUE"""),45484.0)</f>
        <v>45484</v>
      </c>
      <c r="S314" s="43"/>
      <c r="T314" s="43"/>
      <c r="U314" s="43" t="str">
        <f>IFERROR(__xludf.DUMMYFUNCTION("""COMPUTED_VALUE"""),"English Teacher")</f>
        <v>English Teacher</v>
      </c>
      <c r="V314" s="43" t="str">
        <f>IFERROR(__xludf.DUMMYFUNCTION("""COMPUTED_VALUE"""),"ISEAHT")</f>
        <v>ISEAHT</v>
      </c>
      <c r="W314" s="43" t="str">
        <f>IFERROR(__xludf.DUMMYFUNCTION("""COMPUTED_VALUE"""),"2022-07-03T19:57:38Z")</f>
        <v>2022-07-03T19:57:38Z</v>
      </c>
      <c r="X314" s="43"/>
      <c r="Y314" s="43"/>
      <c r="Z314" s="43"/>
    </row>
    <row r="315" hidden="1">
      <c r="A315" s="43" t="str">
        <f>IFERROR(__xludf.DUMMYFUNCTION("""COMPUTED_VALUE"""),"1407489_1295042")</f>
        <v>1407489_1295042</v>
      </c>
      <c r="B315" s="43" t="str">
        <f>IFERROR(__xludf.DUMMYFUNCTION("""COMPUTED_VALUE"""),"iskander sokraf")</f>
        <v>iskander sokraf</v>
      </c>
      <c r="C315" s="43" t="str">
        <f>IFERROR(__xludf.DUMMYFUNCTION("""COMPUTED_VALUE"""),"realized")</f>
        <v>realized</v>
      </c>
      <c r="D315" s="43" t="str">
        <f>IFERROR(__xludf.DUMMYFUNCTION("""COMPUTED_VALUE"""),"No")</f>
        <v>No</v>
      </c>
      <c r="E315" s="43" t="str">
        <f>IFERROR(__xludf.DUMMYFUNCTION("""COMPUTED_VALUE"""),"p_f62301e95eb1baad47e327b6ee54b5f9c2ed81d6@inbound.aiesec.org")</f>
        <v>p_f62301e95eb1baad47e327b6ee54b5f9c2ed81d6@inbound.aiesec.org</v>
      </c>
      <c r="F315" s="43">
        <f>IFERROR(__xludf.DUMMYFUNCTION("""COMPUTED_VALUE"""),2.1654968E7)</f>
        <v>21654968</v>
      </c>
      <c r="G315" s="43" t="str">
        <f>IFERROR(__xludf.DUMMYFUNCTION("""COMPUTED_VALUE"""),"Tunisia")</f>
        <v>Tunisia</v>
      </c>
      <c r="H315" s="43" t="str">
        <f>IFERROR(__xludf.DUMMYFUNCTION("""COMPUTED_VALUE"""),"UNIVERSITY")</f>
        <v>UNIVERSITY</v>
      </c>
      <c r="I315" s="43" t="str">
        <f>IFERROR(__xludf.DUMMYFUNCTION("""COMPUTED_VALUE"""),"Turkey")</f>
        <v>Turkey</v>
      </c>
      <c r="J315" s="43" t="str">
        <f>IFERROR(__xludf.DUMMYFUNCTION("""COMPUTED_VALUE"""),"ANKARA")</f>
        <v>ANKARA</v>
      </c>
      <c r="K315" s="44" t="str">
        <f>IFERROR(__xludf.DUMMYFUNCTION("""COMPUTED_VALUE"""),"https://expa.aiesec.org/opportunities/1295042")</f>
        <v>https://expa.aiesec.org/opportunities/1295042</v>
      </c>
      <c r="L315" s="43" t="str">
        <f>IFERROR(__xludf.DUMMYFUNCTION("""COMPUTED_VALUE"""),"GTe")</f>
        <v>GTe</v>
      </c>
      <c r="M315" s="43" t="str">
        <f>IFERROR(__xludf.DUMMYFUNCTION("""COMPUTED_VALUE"""),"long")</f>
        <v>long</v>
      </c>
      <c r="N315" s="45">
        <f>IFERROR(__xludf.DUMMYFUNCTION("""COMPUTED_VALUE"""),45125.0)</f>
        <v>45125</v>
      </c>
      <c r="O315" s="45">
        <f>IFERROR(__xludf.DUMMYFUNCTION("""COMPUTED_VALUE"""),45187.0)</f>
        <v>45187</v>
      </c>
      <c r="P315" s="45">
        <f>IFERROR(__xludf.DUMMYFUNCTION("""COMPUTED_VALUE"""),45548.0)</f>
        <v>45548</v>
      </c>
      <c r="Q315" s="45">
        <f>IFERROR(__xludf.DUMMYFUNCTION("""COMPUTED_VALUE"""),45192.0)</f>
        <v>45192</v>
      </c>
      <c r="R315" s="45">
        <f>IFERROR(__xludf.DUMMYFUNCTION("""COMPUTED_VALUE"""),45551.0)</f>
        <v>45551</v>
      </c>
      <c r="S315" s="43"/>
      <c r="T315" s="43"/>
      <c r="U315" s="43" t="str">
        <f>IFERROR(__xludf.DUMMYFUNCTION("""COMPUTED_VALUE"""),"Teacher(english,PE,math)")</f>
        <v>Teacher(english,PE,math)</v>
      </c>
      <c r="V315" s="43" t="str">
        <f>IFERROR(__xludf.DUMMYFUNCTION("""COMPUTED_VALUE"""),"-")</f>
        <v>-</v>
      </c>
      <c r="W315" s="43" t="str">
        <f>IFERROR(__xludf.DUMMYFUNCTION("""COMPUTED_VALUE"""),"2017-03-10T19:15:49Z")</f>
        <v>2017-03-10T19:15:49Z</v>
      </c>
      <c r="X315" s="43"/>
      <c r="Y315" s="43"/>
      <c r="Z315" s="43"/>
    </row>
    <row r="316" hidden="1">
      <c r="A316" s="43" t="str">
        <f>IFERROR(__xludf.DUMMYFUNCTION("""COMPUTED_VALUE"""),"5285997_1295042")</f>
        <v>5285997_1295042</v>
      </c>
      <c r="B316" s="43" t="str">
        <f>IFERROR(__xludf.DUMMYFUNCTION("""COMPUTED_VALUE"""),"Khadija Ayedi")</f>
        <v>Khadija Ayedi</v>
      </c>
      <c r="C316" s="43" t="str">
        <f>IFERROR(__xludf.DUMMYFUNCTION("""COMPUTED_VALUE"""),"realized")</f>
        <v>realized</v>
      </c>
      <c r="D316" s="43" t="str">
        <f>IFERROR(__xludf.DUMMYFUNCTION("""COMPUTED_VALUE"""),"No")</f>
        <v>No</v>
      </c>
      <c r="E316" s="43" t="str">
        <f>IFERROR(__xludf.DUMMYFUNCTION("""COMPUTED_VALUE"""),"p_89d2cf28b7b47db4c1fa7a115bb88fea0d6e1658@inbound.aiesec.org")</f>
        <v>p_89d2cf28b7b47db4c1fa7a115bb88fea0d6e1658@inbound.aiesec.org</v>
      </c>
      <c r="F316" s="43">
        <f>IFERROR(__xludf.DUMMYFUNCTION("""COMPUTED_VALUE"""),9.3533231E7)</f>
        <v>93533231</v>
      </c>
      <c r="G316" s="43" t="str">
        <f>IFERROR(__xludf.DUMMYFUNCTION("""COMPUTED_VALUE"""),"Tunisia")</f>
        <v>Tunisia</v>
      </c>
      <c r="H316" s="43" t="str">
        <f>IFERROR(__xludf.DUMMYFUNCTION("""COMPUTED_VALUE"""),"UNIVERSITY")</f>
        <v>UNIVERSITY</v>
      </c>
      <c r="I316" s="43" t="str">
        <f>IFERROR(__xludf.DUMMYFUNCTION("""COMPUTED_VALUE"""),"Turkey")</f>
        <v>Turkey</v>
      </c>
      <c r="J316" s="43" t="str">
        <f>IFERROR(__xludf.DUMMYFUNCTION("""COMPUTED_VALUE"""),"ANKARA")</f>
        <v>ANKARA</v>
      </c>
      <c r="K316" s="44" t="str">
        <f>IFERROR(__xludf.DUMMYFUNCTION("""COMPUTED_VALUE"""),"https://expa.aiesec.org/opportunities/1295042")</f>
        <v>https://expa.aiesec.org/opportunities/1295042</v>
      </c>
      <c r="L316" s="43" t="str">
        <f>IFERROR(__xludf.DUMMYFUNCTION("""COMPUTED_VALUE"""),"GTe")</f>
        <v>GTe</v>
      </c>
      <c r="M316" s="43" t="str">
        <f>IFERROR(__xludf.DUMMYFUNCTION("""COMPUTED_VALUE"""),"long")</f>
        <v>long</v>
      </c>
      <c r="N316" s="45">
        <f>IFERROR(__xludf.DUMMYFUNCTION("""COMPUTED_VALUE"""),45125.0)</f>
        <v>45125</v>
      </c>
      <c r="O316" s="45">
        <f>IFERROR(__xludf.DUMMYFUNCTION("""COMPUTED_VALUE"""),45187.0)</f>
        <v>45187</v>
      </c>
      <c r="P316" s="45">
        <f>IFERROR(__xludf.DUMMYFUNCTION("""COMPUTED_VALUE"""),45548.0)</f>
        <v>45548</v>
      </c>
      <c r="Q316" s="45">
        <f>IFERROR(__xludf.DUMMYFUNCTION("""COMPUTED_VALUE"""),45192.0)</f>
        <v>45192</v>
      </c>
      <c r="R316" s="45">
        <f>IFERROR(__xludf.DUMMYFUNCTION("""COMPUTED_VALUE"""),45551.0)</f>
        <v>45551</v>
      </c>
      <c r="S316" s="43"/>
      <c r="T316" s="43"/>
      <c r="U316" s="43" t="str">
        <f>IFERROR(__xludf.DUMMYFUNCTION("""COMPUTED_VALUE"""),"Teacher(english,PE,math)")</f>
        <v>Teacher(english,PE,math)</v>
      </c>
      <c r="V316" s="43" t="str">
        <f>IFERROR(__xludf.DUMMYFUNCTION("""COMPUTED_VALUE"""),"ISSHT")</f>
        <v>ISSHT</v>
      </c>
      <c r="W316" s="43" t="str">
        <f>IFERROR(__xludf.DUMMYFUNCTION("""COMPUTED_VALUE"""),"2023-07-17T08:36:45Z")</f>
        <v>2023-07-17T08:36:45Z</v>
      </c>
      <c r="X316" s="43"/>
      <c r="Y316" s="43"/>
      <c r="Z316" s="43"/>
    </row>
    <row r="317" hidden="1">
      <c r="A317" s="43" t="str">
        <f>IFERROR(__xludf.DUMMYFUNCTION("""COMPUTED_VALUE"""),"5236414_1287702")</f>
        <v>5236414_1287702</v>
      </c>
      <c r="B317" s="43" t="str">
        <f>IFERROR(__xludf.DUMMYFUNCTION("""COMPUTED_VALUE"""),"Nourhan Ahmad")</f>
        <v>Nourhan Ahmad</v>
      </c>
      <c r="C317" s="43" t="str">
        <f>IFERROR(__xludf.DUMMYFUNCTION("""COMPUTED_VALUE"""),"realized")</f>
        <v>realized</v>
      </c>
      <c r="D317" s="43" t="str">
        <f>IFERROR(__xludf.DUMMYFUNCTION("""COMPUTED_VALUE"""),"No")</f>
        <v>No</v>
      </c>
      <c r="E317" s="43" t="str">
        <f>IFERROR(__xludf.DUMMYFUNCTION("""COMPUTED_VALUE"""),"p_28a9cead871d53876856f99702bab5b9e62ea281@inbound.aiesec.org")</f>
        <v>p_28a9cead871d53876856f99702bab5b9e62ea281@inbound.aiesec.org</v>
      </c>
      <c r="F317" s="43">
        <f>IFERROR(__xludf.DUMMYFUNCTION("""COMPUTED_VALUE"""),1.019077944E9)</f>
        <v>1019077944</v>
      </c>
      <c r="G317" s="43" t="str">
        <f>IFERROR(__xludf.DUMMYFUNCTION("""COMPUTED_VALUE"""),"Egypt")</f>
        <v>Egypt</v>
      </c>
      <c r="H317" s="43" t="str">
        <f>IFERROR(__xludf.DUMMYFUNCTION("""COMPUTED_VALUE"""),"MIU")</f>
        <v>MIU</v>
      </c>
      <c r="I317" s="43" t="str">
        <f>IFERROR(__xludf.DUMMYFUNCTION("""COMPUTED_VALUE"""),"Turkey")</f>
        <v>Turkey</v>
      </c>
      <c r="J317" s="43" t="str">
        <f>IFERROR(__xludf.DUMMYFUNCTION("""COMPUTED_VALUE"""),"ADANA")</f>
        <v>ADANA</v>
      </c>
      <c r="K317" s="44" t="str">
        <f>IFERROR(__xludf.DUMMYFUNCTION("""COMPUTED_VALUE"""),"https://expa.aiesec.org/opportunities/1287702")</f>
        <v>https://expa.aiesec.org/opportunities/1287702</v>
      </c>
      <c r="L317" s="43" t="str">
        <f>IFERROR(__xludf.DUMMYFUNCTION("""COMPUTED_VALUE"""),"GTe")</f>
        <v>GTe</v>
      </c>
      <c r="M317" s="43" t="str">
        <f>IFERROR(__xludf.DUMMYFUNCTION("""COMPUTED_VALUE"""),"long")</f>
        <v>long</v>
      </c>
      <c r="N317" s="45">
        <f>IFERROR(__xludf.DUMMYFUNCTION("""COMPUTED_VALUE"""),45126.0)</f>
        <v>45126</v>
      </c>
      <c r="O317" s="45">
        <f>IFERROR(__xludf.DUMMYFUNCTION("""COMPUTED_VALUE"""),45170.0)</f>
        <v>45170</v>
      </c>
      <c r="P317" s="45">
        <f>IFERROR(__xludf.DUMMYFUNCTION("""COMPUTED_VALUE"""),45474.0)</f>
        <v>45474</v>
      </c>
      <c r="Q317" s="45">
        <f>IFERROR(__xludf.DUMMYFUNCTION("""COMPUTED_VALUE"""),45173.0)</f>
        <v>45173</v>
      </c>
      <c r="R317" s="45">
        <f>IFERROR(__xludf.DUMMYFUNCTION("""COMPUTED_VALUE"""),45477.0)</f>
        <v>45477</v>
      </c>
      <c r="S317" s="43"/>
      <c r="T317" s="43"/>
      <c r="U317" s="43" t="str">
        <f>IFERROR(__xludf.DUMMYFUNCTION("""COMPUTED_VALUE"""),"English Teacher")</f>
        <v>English Teacher</v>
      </c>
      <c r="V317" s="43" t="str">
        <f>IFERROR(__xludf.DUMMYFUNCTION("""COMPUTED_VALUE"""),"MIU University")</f>
        <v>MIU University</v>
      </c>
      <c r="W317" s="43" t="str">
        <f>IFERROR(__xludf.DUMMYFUNCTION("""COMPUTED_VALUE"""),"2023-04-06T14:35:29Z")</f>
        <v>2023-04-06T14:35:29Z</v>
      </c>
      <c r="X317" s="43"/>
      <c r="Y317" s="43"/>
      <c r="Z317" s="43"/>
    </row>
    <row r="318" hidden="1">
      <c r="A318" s="43" t="str">
        <f>IFERROR(__xludf.DUMMYFUNCTION("""COMPUTED_VALUE"""),"5286222_1262994")</f>
        <v>5286222_1262994</v>
      </c>
      <c r="B318" s="43" t="str">
        <f>IFERROR(__xludf.DUMMYFUNCTION("""COMPUTED_VALUE"""),"abdelrahman mussa")</f>
        <v>abdelrahman mussa</v>
      </c>
      <c r="C318" s="43" t="str">
        <f>IFERROR(__xludf.DUMMYFUNCTION("""COMPUTED_VALUE"""),"realized")</f>
        <v>realized</v>
      </c>
      <c r="D318" s="43" t="str">
        <f>IFERROR(__xludf.DUMMYFUNCTION("""COMPUTED_VALUE"""),"No")</f>
        <v>No</v>
      </c>
      <c r="E318" s="43" t="str">
        <f>IFERROR(__xludf.DUMMYFUNCTION("""COMPUTED_VALUE"""),"p_e5132016ee477ceb47a9776ac5d3aae5997caaed@inbound.aiesec.org")</f>
        <v>p_e5132016ee477ceb47a9776ac5d3aae5997caaed@inbound.aiesec.org</v>
      </c>
      <c r="F318" s="43">
        <f>IFERROR(__xludf.DUMMYFUNCTION("""COMPUTED_VALUE"""),5.344291667E9)</f>
        <v>5344291667</v>
      </c>
      <c r="G318" s="43" t="str">
        <f>IFERROR(__xludf.DUMMYFUNCTION("""COMPUTED_VALUE"""),"Egypt")</f>
        <v>Egypt</v>
      </c>
      <c r="H318" s="43" t="str">
        <f>IFERROR(__xludf.DUMMYFUNCTION("""COMPUTED_VALUE"""),"Ain Shams University")</f>
        <v>Ain Shams University</v>
      </c>
      <c r="I318" s="43" t="str">
        <f>IFERROR(__xludf.DUMMYFUNCTION("""COMPUTED_VALUE"""),"Turkey")</f>
        <v>Turkey</v>
      </c>
      <c r="J318" s="43" t="str">
        <f>IFERROR(__xludf.DUMMYFUNCTION("""COMPUTED_VALUE"""),"GAZIANTEP")</f>
        <v>GAZIANTEP</v>
      </c>
      <c r="K318" s="44" t="str">
        <f>IFERROR(__xludf.DUMMYFUNCTION("""COMPUTED_VALUE"""),"https://expa.aiesec.org/opportunities/1262994")</f>
        <v>https://expa.aiesec.org/opportunities/1262994</v>
      </c>
      <c r="L318" s="43" t="str">
        <f>IFERROR(__xludf.DUMMYFUNCTION("""COMPUTED_VALUE"""),"GTe")</f>
        <v>GTe</v>
      </c>
      <c r="M318" s="43" t="str">
        <f>IFERROR(__xludf.DUMMYFUNCTION("""COMPUTED_VALUE"""),"long")</f>
        <v>long</v>
      </c>
      <c r="N318" s="45">
        <f>IFERROR(__xludf.DUMMYFUNCTION("""COMPUTED_VALUE"""),45126.0)</f>
        <v>45126</v>
      </c>
      <c r="O318" s="45">
        <f>IFERROR(__xludf.DUMMYFUNCTION("""COMPUTED_VALUE"""),45138.0)</f>
        <v>45138</v>
      </c>
      <c r="P318" s="45">
        <f>IFERROR(__xludf.DUMMYFUNCTION("""COMPUTED_VALUE"""),45503.0)</f>
        <v>45503</v>
      </c>
      <c r="Q318" s="45">
        <f>IFERROR(__xludf.DUMMYFUNCTION("""COMPUTED_VALUE"""),45154.0)</f>
        <v>45154</v>
      </c>
      <c r="R318" s="45">
        <f>IFERROR(__xludf.DUMMYFUNCTION("""COMPUTED_VALUE"""),45518.0)</f>
        <v>45518</v>
      </c>
      <c r="S318" s="43"/>
      <c r="T318" s="43"/>
      <c r="U318" s="43" t="str">
        <f>IFERROR(__xludf.DUMMYFUNCTION("""COMPUTED_VALUE"""),"English Teacher ")</f>
        <v>English Teacher </v>
      </c>
      <c r="V318" s="43" t="str">
        <f>IFERROR(__xludf.DUMMYFUNCTION("""COMPUTED_VALUE"""),"Ain Shams University")</f>
        <v>Ain Shams University</v>
      </c>
      <c r="W318" s="43" t="str">
        <f>IFERROR(__xludf.DUMMYFUNCTION("""COMPUTED_VALUE"""),"2023-07-17T19:44:50Z")</f>
        <v>2023-07-17T19:44:50Z</v>
      </c>
      <c r="X318" s="43"/>
      <c r="Y318" s="43"/>
      <c r="Z318" s="43"/>
    </row>
    <row r="319" hidden="1">
      <c r="A319" s="43" t="str">
        <f>IFERROR(__xludf.DUMMYFUNCTION("""COMPUTED_VALUE"""),"5284423_1286368")</f>
        <v>5284423_1286368</v>
      </c>
      <c r="B319" s="43" t="str">
        <f>IFERROR(__xludf.DUMMYFUNCTION("""COMPUTED_VALUE"""),"Romina Balla")</f>
        <v>Romina Balla</v>
      </c>
      <c r="C319" s="43" t="str">
        <f>IFERROR(__xludf.DUMMYFUNCTION("""COMPUTED_VALUE"""),"realized")</f>
        <v>realized</v>
      </c>
      <c r="D319" s="43" t="str">
        <f>IFERROR(__xludf.DUMMYFUNCTION("""COMPUTED_VALUE"""),"No")</f>
        <v>No</v>
      </c>
      <c r="E319" s="43" t="str">
        <f>IFERROR(__xludf.DUMMYFUNCTION("""COMPUTED_VALUE"""),"p_ce31495c3c796b6d482b850ba548bfdbfdd95f69@inbound.aiesec.org")</f>
        <v>p_ce31495c3c796b6d482b850ba548bfdbfdd95f69@inbound.aiesec.org</v>
      </c>
      <c r="F319" s="43">
        <f>IFERROR(__xludf.DUMMYFUNCTION("""COMPUTED_VALUE"""),6.75854136E8)</f>
        <v>675854136</v>
      </c>
      <c r="G319" s="43" t="str">
        <f>IFERROR(__xludf.DUMMYFUNCTION("""COMPUTED_VALUE"""),"Albania")</f>
        <v>Albania</v>
      </c>
      <c r="H319" s="43" t="str">
        <f>IFERROR(__xludf.DUMMYFUNCTION("""COMPUTED_VALUE"""),"North Tirana")</f>
        <v>North Tirana</v>
      </c>
      <c r="I319" s="43" t="str">
        <f>IFERROR(__xludf.DUMMYFUNCTION("""COMPUTED_VALUE"""),"Turkey")</f>
        <v>Turkey</v>
      </c>
      <c r="J319" s="43" t="str">
        <f>IFERROR(__xludf.DUMMYFUNCTION("""COMPUTED_VALUE"""),"ISTANBUL ASIA")</f>
        <v>ISTANBUL ASIA</v>
      </c>
      <c r="K319" s="44" t="str">
        <f>IFERROR(__xludf.DUMMYFUNCTION("""COMPUTED_VALUE"""),"https://expa.aiesec.org/opportunities/1286368")</f>
        <v>https://expa.aiesec.org/opportunities/1286368</v>
      </c>
      <c r="L319" s="43" t="str">
        <f>IFERROR(__xludf.DUMMYFUNCTION("""COMPUTED_VALUE"""),"GTe")</f>
        <v>GTe</v>
      </c>
      <c r="M319" s="43" t="str">
        <f>IFERROR(__xludf.DUMMYFUNCTION("""COMPUTED_VALUE"""),"long")</f>
        <v>long</v>
      </c>
      <c r="N319" s="45">
        <f>IFERROR(__xludf.DUMMYFUNCTION("""COMPUTED_VALUE"""),45127.0)</f>
        <v>45127</v>
      </c>
      <c r="O319" s="45">
        <f>IFERROR(__xludf.DUMMYFUNCTION("""COMPUTED_VALUE"""),45153.0)</f>
        <v>45153</v>
      </c>
      <c r="P319" s="45">
        <f>IFERROR(__xludf.DUMMYFUNCTION("""COMPUTED_VALUE"""),45458.0)</f>
        <v>45458</v>
      </c>
      <c r="Q319" s="45">
        <f>IFERROR(__xludf.DUMMYFUNCTION("""COMPUTED_VALUE"""),45153.0)</f>
        <v>45153</v>
      </c>
      <c r="R319" s="45">
        <f>IFERROR(__xludf.DUMMYFUNCTION("""COMPUTED_VALUE"""),45458.0)</f>
        <v>45458</v>
      </c>
      <c r="S319" s="43"/>
      <c r="T319" s="43"/>
      <c r="U319" s="43" t="str">
        <f>IFERROR(__xludf.DUMMYFUNCTION("""COMPUTED_VALUE"""),"English Teacher")</f>
        <v>English Teacher</v>
      </c>
      <c r="V319" s="43" t="str">
        <f>IFERROR(__xludf.DUMMYFUNCTION("""COMPUTED_VALUE"""),"Faculty of Foreign Languages Tirana University")</f>
        <v>Faculty of Foreign Languages Tirana University</v>
      </c>
      <c r="W319" s="43" t="str">
        <f>IFERROR(__xludf.DUMMYFUNCTION("""COMPUTED_VALUE"""),"2023-07-11T20:32:14Z")</f>
        <v>2023-07-11T20:32:14Z</v>
      </c>
      <c r="X319" s="43"/>
      <c r="Y319" s="43"/>
      <c r="Z319" s="43"/>
    </row>
    <row r="320" hidden="1">
      <c r="A320" s="43" t="str">
        <f>IFERROR(__xludf.DUMMYFUNCTION("""COMPUTED_VALUE"""),"5287903_1288871")</f>
        <v>5287903_1288871</v>
      </c>
      <c r="B320" s="43" t="str">
        <f>IFERROR(__xludf.DUMMYFUNCTION("""COMPUTED_VALUE"""),"khaoula amdouni")</f>
        <v>khaoula amdouni</v>
      </c>
      <c r="C320" s="43" t="str">
        <f>IFERROR(__xludf.DUMMYFUNCTION("""COMPUTED_VALUE"""),"realized")</f>
        <v>realized</v>
      </c>
      <c r="D320" s="43" t="str">
        <f>IFERROR(__xludf.DUMMYFUNCTION("""COMPUTED_VALUE"""),"No")</f>
        <v>No</v>
      </c>
      <c r="E320" s="43" t="str">
        <f>IFERROR(__xludf.DUMMYFUNCTION("""COMPUTED_VALUE"""),"p_1ef51444db6a31052ccc205f35b45013a41e204c@inbound.aiesec.org")</f>
        <v>p_1ef51444db6a31052ccc205f35b45013a41e204c@inbound.aiesec.org</v>
      </c>
      <c r="F320" s="43">
        <f>IFERROR(__xludf.DUMMYFUNCTION("""COMPUTED_VALUE"""),2.1101174E7)</f>
        <v>21101174</v>
      </c>
      <c r="G320" s="43" t="str">
        <f>IFERROR(__xludf.DUMMYFUNCTION("""COMPUTED_VALUE"""),"Tunisia")</f>
        <v>Tunisia</v>
      </c>
      <c r="H320" s="43" t="str">
        <f>IFERROR(__xludf.DUMMYFUNCTION("""COMPUTED_VALUE"""),"RUSPINA")</f>
        <v>RUSPINA</v>
      </c>
      <c r="I320" s="43" t="str">
        <f>IFERROR(__xludf.DUMMYFUNCTION("""COMPUTED_VALUE"""),"Turkey")</f>
        <v>Turkey</v>
      </c>
      <c r="J320" s="43" t="str">
        <f>IFERROR(__xludf.DUMMYFUNCTION("""COMPUTED_VALUE"""),"ISTANBUL ASIA")</f>
        <v>ISTANBUL ASIA</v>
      </c>
      <c r="K320" s="44" t="str">
        <f>IFERROR(__xludf.DUMMYFUNCTION("""COMPUTED_VALUE"""),"https://expa.aiesec.org/opportunities/1288871")</f>
        <v>https://expa.aiesec.org/opportunities/1288871</v>
      </c>
      <c r="L320" s="43" t="str">
        <f>IFERROR(__xludf.DUMMYFUNCTION("""COMPUTED_VALUE"""),"GTe")</f>
        <v>GTe</v>
      </c>
      <c r="M320" s="43" t="str">
        <f>IFERROR(__xludf.DUMMYFUNCTION("""COMPUTED_VALUE"""),"long")</f>
        <v>long</v>
      </c>
      <c r="N320" s="45">
        <f>IFERROR(__xludf.DUMMYFUNCTION("""COMPUTED_VALUE"""),45129.0)</f>
        <v>45129</v>
      </c>
      <c r="O320" s="45">
        <f>IFERROR(__xludf.DUMMYFUNCTION("""COMPUTED_VALUE"""),45166.0)</f>
        <v>45166</v>
      </c>
      <c r="P320" s="45">
        <f>IFERROR(__xludf.DUMMYFUNCTION("""COMPUTED_VALUE"""),45527.0)</f>
        <v>45527</v>
      </c>
      <c r="Q320" s="45">
        <f>IFERROR(__xludf.DUMMYFUNCTION("""COMPUTED_VALUE"""),45166.0)</f>
        <v>45166</v>
      </c>
      <c r="R320" s="45">
        <f>IFERROR(__xludf.DUMMYFUNCTION("""COMPUTED_VALUE"""),45527.0)</f>
        <v>45527</v>
      </c>
      <c r="S320" s="43"/>
      <c r="T320" s="43"/>
      <c r="U320" s="43" t="str">
        <f>IFERROR(__xludf.DUMMYFUNCTION("""COMPUTED_VALUE""")," English Teacher")</f>
        <v> English Teacher</v>
      </c>
      <c r="V320" s="43" t="str">
        <f>IFERROR(__xludf.DUMMYFUNCTION("""COMPUTED_VALUE"""),"ISEAH Mahdia")</f>
        <v>ISEAH Mahdia</v>
      </c>
      <c r="W320" s="43" t="str">
        <f>IFERROR(__xludf.DUMMYFUNCTION("""COMPUTED_VALUE"""),"2023-07-21T15:29:18Z")</f>
        <v>2023-07-21T15:29:18Z</v>
      </c>
      <c r="X320" s="43"/>
      <c r="Y320" s="43"/>
      <c r="Z320" s="43"/>
    </row>
    <row r="321" hidden="1">
      <c r="A321" s="43" t="str">
        <f>IFERROR(__xludf.DUMMYFUNCTION("""COMPUTED_VALUE"""),"5177990_1293407")</f>
        <v>5177990_1293407</v>
      </c>
      <c r="B321" s="43" t="str">
        <f>IFERROR(__xludf.DUMMYFUNCTION("""COMPUTED_VALUE"""),"Tuqa Haqiqi")</f>
        <v>Tuqa Haqiqi</v>
      </c>
      <c r="C321" s="43" t="str">
        <f>IFERROR(__xludf.DUMMYFUNCTION("""COMPUTED_VALUE"""),"realization_broken")</f>
        <v>realization_broken</v>
      </c>
      <c r="D321" s="43" t="str">
        <f>IFERROR(__xludf.DUMMYFUNCTION("""COMPUTED_VALUE"""),"No")</f>
        <v>No</v>
      </c>
      <c r="E321" s="43" t="str">
        <f>IFERROR(__xludf.DUMMYFUNCTION("""COMPUTED_VALUE"""),"p_be9230a006d19232a7f9825653a1340ed4f72ffd@inbound.aiesec.org")</f>
        <v>p_be9230a006d19232a7f9825653a1340ed4f72ffd@inbound.aiesec.org</v>
      </c>
      <c r="F321" s="43">
        <f>IFERROR(__xludf.DUMMYFUNCTION("""COMPUTED_VALUE"""),1.114051197E9)</f>
        <v>1114051197</v>
      </c>
      <c r="G321" s="43" t="str">
        <f>IFERROR(__xludf.DUMMYFUNCTION("""COMPUTED_VALUE"""),"Egypt")</f>
        <v>Egypt</v>
      </c>
      <c r="H321" s="43" t="str">
        <f>IFERROR(__xludf.DUMMYFUNCTION("""COMPUTED_VALUE"""),"MSA")</f>
        <v>MSA</v>
      </c>
      <c r="I321" s="43" t="str">
        <f>IFERROR(__xludf.DUMMYFUNCTION("""COMPUTED_VALUE"""),"Turkey")</f>
        <v>Turkey</v>
      </c>
      <c r="J321" s="43" t="str">
        <f>IFERROR(__xludf.DUMMYFUNCTION("""COMPUTED_VALUE"""),"ISTANBUL ASIA")</f>
        <v>ISTANBUL ASIA</v>
      </c>
      <c r="K321" s="44" t="str">
        <f>IFERROR(__xludf.DUMMYFUNCTION("""COMPUTED_VALUE"""),"https://expa.aiesec.org/opportunities/1293407")</f>
        <v>https://expa.aiesec.org/opportunities/1293407</v>
      </c>
      <c r="L321" s="43" t="str">
        <f>IFERROR(__xludf.DUMMYFUNCTION("""COMPUTED_VALUE"""),"GTe")</f>
        <v>GTe</v>
      </c>
      <c r="M321" s="43" t="str">
        <f>IFERROR(__xludf.DUMMYFUNCTION("""COMPUTED_VALUE"""),"long")</f>
        <v>long</v>
      </c>
      <c r="N321" s="45">
        <f>IFERROR(__xludf.DUMMYFUNCTION("""COMPUTED_VALUE"""),45129.0)</f>
        <v>45129</v>
      </c>
      <c r="O321" s="45">
        <f>IFERROR(__xludf.DUMMYFUNCTION("""COMPUTED_VALUE"""),45159.0)</f>
        <v>45159</v>
      </c>
      <c r="P321" s="45">
        <f>IFERROR(__xludf.DUMMYFUNCTION("""COMPUTED_VALUE"""),45527.0)</f>
        <v>45527</v>
      </c>
      <c r="Q321" s="45"/>
      <c r="R321" s="45"/>
      <c r="S321" s="43"/>
      <c r="T321" s="43"/>
      <c r="U321" s="43" t="str">
        <f>IFERROR(__xludf.DUMMYFUNCTION("""COMPUTED_VALUE"""),"English Teacher ")</f>
        <v>English Teacher </v>
      </c>
      <c r="V321" s="43" t="str">
        <f>IFERROR(__xludf.DUMMYFUNCTION("""COMPUTED_VALUE"""),"MSA Univeristy")</f>
        <v>MSA Univeristy</v>
      </c>
      <c r="W321" s="43" t="str">
        <f>IFERROR(__xludf.DUMMYFUNCTION("""COMPUTED_VALUE"""),"2023-01-18T15:25:34Z")</f>
        <v>2023-01-18T15:25:34Z</v>
      </c>
      <c r="X321" s="43"/>
      <c r="Y321" s="43"/>
      <c r="Z321" s="43"/>
    </row>
    <row r="322" hidden="1">
      <c r="A322" s="43" t="str">
        <f>IFERROR(__xludf.DUMMYFUNCTION("""COMPUTED_VALUE"""),"5287599_1282413")</f>
        <v>5287599_1282413</v>
      </c>
      <c r="B322" s="43" t="str">
        <f>IFERROR(__xludf.DUMMYFUNCTION("""COMPUTED_VALUE"""),"Ouissem Ben Abd Allah")</f>
        <v>Ouissem Ben Abd Allah</v>
      </c>
      <c r="C322" s="43" t="str">
        <f>IFERROR(__xludf.DUMMYFUNCTION("""COMPUTED_VALUE"""),"realized")</f>
        <v>realized</v>
      </c>
      <c r="D322" s="43" t="str">
        <f>IFERROR(__xludf.DUMMYFUNCTION("""COMPUTED_VALUE"""),"No")</f>
        <v>No</v>
      </c>
      <c r="E322" s="43" t="str">
        <f>IFERROR(__xludf.DUMMYFUNCTION("""COMPUTED_VALUE"""),"p_e90b7255ed5dd0f68e638fe1dcd70744668f5643@inbound.aiesec.org")</f>
        <v>p_e90b7255ed5dd0f68e638fe1dcd70744668f5643@inbound.aiesec.org</v>
      </c>
      <c r="F322" s="43">
        <f>IFERROR(__xludf.DUMMYFUNCTION("""COMPUTED_VALUE"""),6.69165205E8)</f>
        <v>669165205</v>
      </c>
      <c r="G322" s="43" t="str">
        <f>IFERROR(__xludf.DUMMYFUNCTION("""COMPUTED_VALUE"""),"Algeria")</f>
        <v>Algeria</v>
      </c>
      <c r="H322" s="43" t="str">
        <f>IFERROR(__xludf.DUMMYFUNCTION("""COMPUTED_VALUE"""),"Tlemcen")</f>
        <v>Tlemcen</v>
      </c>
      <c r="I322" s="43" t="str">
        <f>IFERROR(__xludf.DUMMYFUNCTION("""COMPUTED_VALUE"""),"Turkey")</f>
        <v>Turkey</v>
      </c>
      <c r="J322" s="43" t="str">
        <f>IFERROR(__xludf.DUMMYFUNCTION("""COMPUTED_VALUE"""),"KOCAELI")</f>
        <v>KOCAELI</v>
      </c>
      <c r="K322" s="44" t="str">
        <f>IFERROR(__xludf.DUMMYFUNCTION("""COMPUTED_VALUE"""),"https://expa.aiesec.org/opportunities/1282413")</f>
        <v>https://expa.aiesec.org/opportunities/1282413</v>
      </c>
      <c r="L322" s="43" t="str">
        <f>IFERROR(__xludf.DUMMYFUNCTION("""COMPUTED_VALUE"""),"GTe")</f>
        <v>GTe</v>
      </c>
      <c r="M322" s="43" t="str">
        <f>IFERROR(__xludf.DUMMYFUNCTION("""COMPUTED_VALUE"""),"long")</f>
        <v>long</v>
      </c>
      <c r="N322" s="45">
        <f>IFERROR(__xludf.DUMMYFUNCTION("""COMPUTED_VALUE"""),45130.0)</f>
        <v>45130</v>
      </c>
      <c r="O322" s="45">
        <f>IFERROR(__xludf.DUMMYFUNCTION("""COMPUTED_VALUE"""),45173.0)</f>
        <v>45173</v>
      </c>
      <c r="P322" s="45">
        <f>IFERROR(__xludf.DUMMYFUNCTION("""COMPUTED_VALUE"""),45464.0)</f>
        <v>45464</v>
      </c>
      <c r="Q322" s="45">
        <f>IFERROR(__xludf.DUMMYFUNCTION("""COMPUTED_VALUE"""),45179.0)</f>
        <v>45179</v>
      </c>
      <c r="R322" s="45">
        <f>IFERROR(__xludf.DUMMYFUNCTION("""COMPUTED_VALUE"""),45471.0)</f>
        <v>45471</v>
      </c>
      <c r="S322" s="43"/>
      <c r="T322" s="43"/>
      <c r="U322" s="43" t="str">
        <f>IFERROR(__xludf.DUMMYFUNCTION("""COMPUTED_VALUE"""),"English Teacher in Era College")</f>
        <v>English Teacher in Era College</v>
      </c>
      <c r="V322" s="43" t="str">
        <f>IFERROR(__xludf.DUMMYFUNCTION("""COMPUTED_VALUE"""),"AIESEC in Tlemcen")</f>
        <v>AIESEC in Tlemcen</v>
      </c>
      <c r="W322" s="43" t="str">
        <f>IFERROR(__xludf.DUMMYFUNCTION("""COMPUTED_VALUE"""),"2023-07-20T16:31:17Z")</f>
        <v>2023-07-20T16:31:17Z</v>
      </c>
      <c r="X322" s="43"/>
      <c r="Y322" s="43"/>
      <c r="Z322" s="43"/>
    </row>
    <row r="323" hidden="1">
      <c r="A323" s="43" t="str">
        <f>IFERROR(__xludf.DUMMYFUNCTION("""COMPUTED_VALUE"""),"5287053_1295460")</f>
        <v>5287053_1295460</v>
      </c>
      <c r="B323" s="43" t="str">
        <f>IFERROR(__xludf.DUMMYFUNCTION("""COMPUTED_VALUE"""),"Safa terzeg bhiri")</f>
        <v>Safa terzeg bhiri</v>
      </c>
      <c r="C323" s="43" t="str">
        <f>IFERROR(__xludf.DUMMYFUNCTION("""COMPUTED_VALUE"""),"realized")</f>
        <v>realized</v>
      </c>
      <c r="D323" s="43" t="str">
        <f>IFERROR(__xludf.DUMMYFUNCTION("""COMPUTED_VALUE"""),"No")</f>
        <v>No</v>
      </c>
      <c r="E323" s="43" t="str">
        <f>IFERROR(__xludf.DUMMYFUNCTION("""COMPUTED_VALUE"""),"p_9d4e52bdb64313ec51341f17f8e7410ec41f5345@inbound.aiesec.org")</f>
        <v>p_9d4e52bdb64313ec51341f17f8e7410ec41f5345@inbound.aiesec.org</v>
      </c>
      <c r="F323" s="43">
        <f>IFERROR(__xludf.DUMMYFUNCTION("""COMPUTED_VALUE"""),5.54016577E9)</f>
        <v>5540165770</v>
      </c>
      <c r="G323" s="43" t="str">
        <f>IFERROR(__xludf.DUMMYFUNCTION("""COMPUTED_VALUE"""),"Tunisia")</f>
        <v>Tunisia</v>
      </c>
      <c r="H323" s="43" t="str">
        <f>IFERROR(__xludf.DUMMYFUNCTION("""COMPUTED_VALUE"""),"BARDO")</f>
        <v>BARDO</v>
      </c>
      <c r="I323" s="43" t="str">
        <f>IFERROR(__xludf.DUMMYFUNCTION("""COMPUTED_VALUE"""),"Turkey")</f>
        <v>Turkey</v>
      </c>
      <c r="J323" s="43" t="str">
        <f>IFERROR(__xludf.DUMMYFUNCTION("""COMPUTED_VALUE"""),"ESKISEHIR")</f>
        <v>ESKISEHIR</v>
      </c>
      <c r="K323" s="44" t="str">
        <f>IFERROR(__xludf.DUMMYFUNCTION("""COMPUTED_VALUE"""),"https://expa.aiesec.org/opportunities/1295460")</f>
        <v>https://expa.aiesec.org/opportunities/1295460</v>
      </c>
      <c r="L323" s="43" t="str">
        <f>IFERROR(__xludf.DUMMYFUNCTION("""COMPUTED_VALUE"""),"GTe")</f>
        <v>GTe</v>
      </c>
      <c r="M323" s="43" t="str">
        <f>IFERROR(__xludf.DUMMYFUNCTION("""COMPUTED_VALUE"""),"long")</f>
        <v>long</v>
      </c>
      <c r="N323" s="45">
        <f>IFERROR(__xludf.DUMMYFUNCTION("""COMPUTED_VALUE"""),45130.0)</f>
        <v>45130</v>
      </c>
      <c r="O323" s="45">
        <f>IFERROR(__xludf.DUMMYFUNCTION("""COMPUTED_VALUE"""),45170.0)</f>
        <v>45170</v>
      </c>
      <c r="P323" s="45">
        <f>IFERROR(__xludf.DUMMYFUNCTION("""COMPUTED_VALUE"""),45458.0)</f>
        <v>45458</v>
      </c>
      <c r="Q323" s="45">
        <f>IFERROR(__xludf.DUMMYFUNCTION("""COMPUTED_VALUE"""),45170.0)</f>
        <v>45170</v>
      </c>
      <c r="R323" s="45">
        <f>IFERROR(__xludf.DUMMYFUNCTION("""COMPUTED_VALUE"""),45458.0)</f>
        <v>45458</v>
      </c>
      <c r="S323" s="43"/>
      <c r="T323" s="43"/>
      <c r="U323" s="43" t="str">
        <f>IFERROR(__xludf.DUMMYFUNCTION("""COMPUTED_VALUE"""),"English Teacher at Birey")</f>
        <v>English Teacher at Birey</v>
      </c>
      <c r="V323" s="43" t="str">
        <f>IFERROR(__xludf.DUMMYFUNCTION("""COMPUTED_VALUE"""),"FSHS Tunis")</f>
        <v>FSHS Tunis</v>
      </c>
      <c r="W323" s="43" t="str">
        <f>IFERROR(__xludf.DUMMYFUNCTION("""COMPUTED_VALUE"""),"2023-07-19T08:28:48Z")</f>
        <v>2023-07-19T08:28:48Z</v>
      </c>
      <c r="X323" s="43"/>
      <c r="Y323" s="43"/>
      <c r="Z323" s="43"/>
    </row>
    <row r="324" hidden="1">
      <c r="A324" s="43" t="str">
        <f>IFERROR(__xludf.DUMMYFUNCTION("""COMPUTED_VALUE"""),"5287452_1286839")</f>
        <v>5287452_1286839</v>
      </c>
      <c r="B324" s="43" t="str">
        <f>IFERROR(__xludf.DUMMYFUNCTION("""COMPUTED_VALUE"""),"Samah Mohamed")</f>
        <v>Samah Mohamed</v>
      </c>
      <c r="C324" s="43" t="str">
        <f>IFERROR(__xludf.DUMMYFUNCTION("""COMPUTED_VALUE"""),"approved")</f>
        <v>approved</v>
      </c>
      <c r="D324" s="43" t="str">
        <f>IFERROR(__xludf.DUMMYFUNCTION("""COMPUTED_VALUE"""),"No")</f>
        <v>No</v>
      </c>
      <c r="E324" s="43" t="str">
        <f>IFERROR(__xludf.DUMMYFUNCTION("""COMPUTED_VALUE"""),"p_a3f21834954a4cbdecde74ac6a23c55a2c5ada89@inbound.aiesec.org")</f>
        <v>p_a3f21834954a4cbdecde74ac6a23c55a2c5ada89@inbound.aiesec.org</v>
      </c>
      <c r="F324" s="43">
        <f>IFERROR(__xludf.DUMMYFUNCTION("""COMPUTED_VALUE"""),1.002675819E9)</f>
        <v>1002675819</v>
      </c>
      <c r="G324" s="43" t="str">
        <f>IFERROR(__xludf.DUMMYFUNCTION("""COMPUTED_VALUE"""),"Egypt")</f>
        <v>Egypt</v>
      </c>
      <c r="H324" s="43" t="str">
        <f>IFERROR(__xludf.DUMMYFUNCTION("""COMPUTED_VALUE"""),"Helwan")</f>
        <v>Helwan</v>
      </c>
      <c r="I324" s="43" t="str">
        <f>IFERROR(__xludf.DUMMYFUNCTION("""COMPUTED_VALUE"""),"Turkey")</f>
        <v>Turkey</v>
      </c>
      <c r="J324" s="43" t="str">
        <f>IFERROR(__xludf.DUMMYFUNCTION("""COMPUTED_VALUE"""),"ISTANBUL WEST")</f>
        <v>ISTANBUL WEST</v>
      </c>
      <c r="K324" s="44" t="str">
        <f>IFERROR(__xludf.DUMMYFUNCTION("""COMPUTED_VALUE"""),"https://expa.aiesec.org/opportunities/1286839")</f>
        <v>https://expa.aiesec.org/opportunities/1286839</v>
      </c>
      <c r="L324" s="43" t="str">
        <f>IFERROR(__xludf.DUMMYFUNCTION("""COMPUTED_VALUE"""),"GTe")</f>
        <v>GTe</v>
      </c>
      <c r="M324" s="43" t="str">
        <f>IFERROR(__xludf.DUMMYFUNCTION("""COMPUTED_VALUE"""),"long")</f>
        <v>long</v>
      </c>
      <c r="N324" s="45">
        <f>IFERROR(__xludf.DUMMYFUNCTION("""COMPUTED_VALUE"""),45131.0)</f>
        <v>45131</v>
      </c>
      <c r="O324" s="45">
        <f>IFERROR(__xludf.DUMMYFUNCTION("""COMPUTED_VALUE"""),45153.0)</f>
        <v>45153</v>
      </c>
      <c r="P324" s="45">
        <f>IFERROR(__xludf.DUMMYFUNCTION("""COMPUTED_VALUE"""),45504.0)</f>
        <v>45504</v>
      </c>
      <c r="Q324" s="45"/>
      <c r="R324" s="45"/>
      <c r="S324" s="43"/>
      <c r="T324" s="43" t="str">
        <f>IFERROR(__xludf.DUMMYFUNCTION("""COMPUTED_VALUE"""),"Business Development")</f>
        <v>Business Development</v>
      </c>
      <c r="U324" s="43" t="str">
        <f>IFERROR(__xludf.DUMMYFUNCTION("""COMPUTED_VALUE"""),"Pre-School Teacher at Istanbul AIKA/Florya ")</f>
        <v>Pre-School Teacher at Istanbul AIKA/Florya </v>
      </c>
      <c r="V324" s="43" t="str">
        <f>IFERROR(__xludf.DUMMYFUNCTION("""COMPUTED_VALUE"""),"Helwan University")</f>
        <v>Helwan University</v>
      </c>
      <c r="W324" s="43" t="str">
        <f>IFERROR(__xludf.DUMMYFUNCTION("""COMPUTED_VALUE"""),"2023-07-20T09:27:05Z")</f>
        <v>2023-07-20T09:27:05Z</v>
      </c>
      <c r="X324" s="43"/>
      <c r="Y324" s="43"/>
      <c r="Z324" s="43"/>
    </row>
    <row r="325" hidden="1">
      <c r="A325" s="43" t="str">
        <f>IFERROR(__xludf.DUMMYFUNCTION("""COMPUTED_VALUE"""),"5127960_1296980")</f>
        <v>5127960_1296980</v>
      </c>
      <c r="B325" s="43" t="str">
        <f>IFERROR(__xludf.DUMMYFUNCTION("""COMPUTED_VALUE"""),"Menna Zakaria")</f>
        <v>Menna Zakaria</v>
      </c>
      <c r="C325" s="43" t="str">
        <f>IFERROR(__xludf.DUMMYFUNCTION("""COMPUTED_VALUE"""),"realization_broken")</f>
        <v>realization_broken</v>
      </c>
      <c r="D325" s="43" t="str">
        <f>IFERROR(__xludf.DUMMYFUNCTION("""COMPUTED_VALUE"""),"No")</f>
        <v>No</v>
      </c>
      <c r="E325" s="43" t="str">
        <f>IFERROR(__xludf.DUMMYFUNCTION("""COMPUTED_VALUE"""),"p_5bc1d65160f863f723e3d2adff58026ed436f597@inbound.aiesec.org")</f>
        <v>p_5bc1d65160f863f723e3d2adff58026ed436f597@inbound.aiesec.org</v>
      </c>
      <c r="F325" s="43">
        <f>IFERROR(__xludf.DUMMYFUNCTION("""COMPUTED_VALUE"""),1.022225582E9)</f>
        <v>1022225582</v>
      </c>
      <c r="G325" s="43" t="str">
        <f>IFERROR(__xludf.DUMMYFUNCTION("""COMPUTED_VALUE"""),"Egypt")</f>
        <v>Egypt</v>
      </c>
      <c r="H325" s="43" t="str">
        <f>IFERROR(__xludf.DUMMYFUNCTION("""COMPUTED_VALUE"""),"MIU")</f>
        <v>MIU</v>
      </c>
      <c r="I325" s="43" t="str">
        <f>IFERROR(__xludf.DUMMYFUNCTION("""COMPUTED_VALUE"""),"Turkey")</f>
        <v>Turkey</v>
      </c>
      <c r="J325" s="43" t="str">
        <f>IFERROR(__xludf.DUMMYFUNCTION("""COMPUTED_VALUE"""),"ISTANBUL ASIA")</f>
        <v>ISTANBUL ASIA</v>
      </c>
      <c r="K325" s="44" t="str">
        <f>IFERROR(__xludf.DUMMYFUNCTION("""COMPUTED_VALUE"""),"https://expa.aiesec.org/opportunities/1296980")</f>
        <v>https://expa.aiesec.org/opportunities/1296980</v>
      </c>
      <c r="L325" s="43" t="str">
        <f>IFERROR(__xludf.DUMMYFUNCTION("""COMPUTED_VALUE"""),"GTe")</f>
        <v>GTe</v>
      </c>
      <c r="M325" s="43" t="str">
        <f>IFERROR(__xludf.DUMMYFUNCTION("""COMPUTED_VALUE"""),"long")</f>
        <v>long</v>
      </c>
      <c r="N325" s="45">
        <f>IFERROR(__xludf.DUMMYFUNCTION("""COMPUTED_VALUE"""),45131.0)</f>
        <v>45131</v>
      </c>
      <c r="O325" s="45">
        <f>IFERROR(__xludf.DUMMYFUNCTION("""COMPUTED_VALUE"""),45159.0)</f>
        <v>45159</v>
      </c>
      <c r="P325" s="45">
        <f>IFERROR(__xludf.DUMMYFUNCTION("""COMPUTED_VALUE"""),45520.0)</f>
        <v>45520</v>
      </c>
      <c r="Q325" s="45"/>
      <c r="R325" s="45"/>
      <c r="S325" s="43"/>
      <c r="T325" s="43"/>
      <c r="U325" s="43" t="str">
        <f>IFERROR(__xludf.DUMMYFUNCTION("""COMPUTED_VALUE"""),"English Teacher")</f>
        <v>English Teacher</v>
      </c>
      <c r="V325" s="43" t="str">
        <f>IFERROR(__xludf.DUMMYFUNCTION("""COMPUTED_VALUE"""),"MIU University")</f>
        <v>MIU University</v>
      </c>
      <c r="W325" s="43" t="str">
        <f>IFERROR(__xludf.DUMMYFUNCTION("""COMPUTED_VALUE"""),"2022-10-09T08:50:44Z")</f>
        <v>2022-10-09T08:50:44Z</v>
      </c>
      <c r="X325" s="43"/>
      <c r="Y325" s="43"/>
      <c r="Z325" s="43"/>
    </row>
    <row r="326" hidden="1">
      <c r="A326" s="43" t="str">
        <f>IFERROR(__xludf.DUMMYFUNCTION("""COMPUTED_VALUE"""),"5288877_1297132")</f>
        <v>5288877_1297132</v>
      </c>
      <c r="B326" s="43" t="str">
        <f>IFERROR(__xludf.DUMMYFUNCTION("""COMPUTED_VALUE"""),"Safa Bdiri")</f>
        <v>Safa Bdiri</v>
      </c>
      <c r="C326" s="43" t="str">
        <f>IFERROR(__xludf.DUMMYFUNCTION("""COMPUTED_VALUE"""),"realized")</f>
        <v>realized</v>
      </c>
      <c r="D326" s="43" t="str">
        <f>IFERROR(__xludf.DUMMYFUNCTION("""COMPUTED_VALUE"""),"No")</f>
        <v>No</v>
      </c>
      <c r="E326" s="43" t="str">
        <f>IFERROR(__xludf.DUMMYFUNCTION("""COMPUTED_VALUE"""),"p_382fd6e359e1c4e1ba0cb25bcb3aa8aac6f330d2@inbound.aiesec.org")</f>
        <v>p_382fd6e359e1c4e1ba0cb25bcb3aa8aac6f330d2@inbound.aiesec.org</v>
      </c>
      <c r="F326" s="43">
        <f>IFERROR(__xludf.DUMMYFUNCTION("""COMPUTED_VALUE"""),2.0437404E7)</f>
        <v>20437404</v>
      </c>
      <c r="G326" s="43" t="str">
        <f>IFERROR(__xludf.DUMMYFUNCTION("""COMPUTED_VALUE"""),"Tunisia")</f>
        <v>Tunisia</v>
      </c>
      <c r="H326" s="43" t="str">
        <f>IFERROR(__xludf.DUMMYFUNCTION("""COMPUTED_VALUE"""),"Carthage")</f>
        <v>Carthage</v>
      </c>
      <c r="I326" s="43" t="str">
        <f>IFERROR(__xludf.DUMMYFUNCTION("""COMPUTED_VALUE"""),"Turkey")</f>
        <v>Turkey</v>
      </c>
      <c r="J326" s="43" t="str">
        <f>IFERROR(__xludf.DUMMYFUNCTION("""COMPUTED_VALUE"""),"KOCAELI")</f>
        <v>KOCAELI</v>
      </c>
      <c r="K326" s="44" t="str">
        <f>IFERROR(__xludf.DUMMYFUNCTION("""COMPUTED_VALUE"""),"https://expa.aiesec.org/opportunities/1297132")</f>
        <v>https://expa.aiesec.org/opportunities/1297132</v>
      </c>
      <c r="L326" s="43" t="str">
        <f>IFERROR(__xludf.DUMMYFUNCTION("""COMPUTED_VALUE"""),"GTe")</f>
        <v>GTe</v>
      </c>
      <c r="M326" s="43" t="str">
        <f>IFERROR(__xludf.DUMMYFUNCTION("""COMPUTED_VALUE"""),"long")</f>
        <v>long</v>
      </c>
      <c r="N326" s="45">
        <f>IFERROR(__xludf.DUMMYFUNCTION("""COMPUTED_VALUE"""),45131.0)</f>
        <v>45131</v>
      </c>
      <c r="O326" s="45">
        <f>IFERROR(__xludf.DUMMYFUNCTION("""COMPUTED_VALUE"""),45173.0)</f>
        <v>45173</v>
      </c>
      <c r="P326" s="45">
        <f>IFERROR(__xludf.DUMMYFUNCTION("""COMPUTED_VALUE"""),45447.0)</f>
        <v>45447</v>
      </c>
      <c r="Q326" s="45">
        <f>IFERROR(__xludf.DUMMYFUNCTION("""COMPUTED_VALUE"""),45179.0)</f>
        <v>45179</v>
      </c>
      <c r="R326" s="45">
        <f>IFERROR(__xludf.DUMMYFUNCTION("""COMPUTED_VALUE"""),45451.0)</f>
        <v>45451</v>
      </c>
      <c r="S326" s="43"/>
      <c r="T326" s="43"/>
      <c r="U326" s="43" t="str">
        <f>IFERROR(__xludf.DUMMYFUNCTION("""COMPUTED_VALUE"""),"English Teacher in Üstün Başarı Collage")</f>
        <v>English Teacher in Üstün Başarı Collage</v>
      </c>
      <c r="V326" s="43" t="str">
        <f>IFERROR(__xludf.DUMMYFUNCTION("""COMPUTED_VALUE"""),"ISLT")</f>
        <v>ISLT</v>
      </c>
      <c r="W326" s="43" t="str">
        <f>IFERROR(__xludf.DUMMYFUNCTION("""COMPUTED_VALUE"""),"2023-07-24T16:34:05Z")</f>
        <v>2023-07-24T16:34:05Z</v>
      </c>
      <c r="X326" s="43"/>
      <c r="Y326" s="43"/>
      <c r="Z326" s="43"/>
    </row>
    <row r="327" hidden="1">
      <c r="A327" s="43" t="str">
        <f>IFERROR(__xludf.DUMMYFUNCTION("""COMPUTED_VALUE"""),"4667589_1291606")</f>
        <v>4667589_1291606</v>
      </c>
      <c r="B327" s="43" t="str">
        <f>IFERROR(__xludf.DUMMYFUNCTION("""COMPUTED_VALUE"""),"sandra kwimba")</f>
        <v>sandra kwimba</v>
      </c>
      <c r="C327" s="43" t="str">
        <f>IFERROR(__xludf.DUMMYFUNCTION("""COMPUTED_VALUE"""),"approved")</f>
        <v>approved</v>
      </c>
      <c r="D327" s="43" t="str">
        <f>IFERROR(__xludf.DUMMYFUNCTION("""COMPUTED_VALUE"""),"No")</f>
        <v>No</v>
      </c>
      <c r="E327" s="43" t="str">
        <f>IFERROR(__xludf.DUMMYFUNCTION("""COMPUTED_VALUE"""),"p_279af05a80a9908079c0487bfee888a28b28424e@inbound.aiesec.org")</f>
        <v>p_279af05a80a9908079c0487bfee888a28b28424e@inbound.aiesec.org</v>
      </c>
      <c r="F327" s="43">
        <f>IFERROR(__xludf.DUMMYFUNCTION("""COMPUTED_VALUE"""),5.346069981E9)</f>
        <v>5346069981</v>
      </c>
      <c r="G327" s="43" t="str">
        <f>IFERROR(__xludf.DUMMYFUNCTION("""COMPUTED_VALUE"""),"Kenya")</f>
        <v>Kenya</v>
      </c>
      <c r="H327" s="43" t="str">
        <f>IFERROR(__xludf.DUMMYFUNCTION("""COMPUTED_VALUE"""),"DAYSTAR")</f>
        <v>DAYSTAR</v>
      </c>
      <c r="I327" s="43" t="str">
        <f>IFERROR(__xludf.DUMMYFUNCTION("""COMPUTED_VALUE"""),"Turkey")</f>
        <v>Turkey</v>
      </c>
      <c r="J327" s="43" t="str">
        <f>IFERROR(__xludf.DUMMYFUNCTION("""COMPUTED_VALUE"""),"BURSA")</f>
        <v>BURSA</v>
      </c>
      <c r="K327" s="44" t="str">
        <f>IFERROR(__xludf.DUMMYFUNCTION("""COMPUTED_VALUE"""),"https://expa.aiesec.org/opportunities/1291606")</f>
        <v>https://expa.aiesec.org/opportunities/1291606</v>
      </c>
      <c r="L327" s="43" t="str">
        <f>IFERROR(__xludf.DUMMYFUNCTION("""COMPUTED_VALUE"""),"GTe")</f>
        <v>GTe</v>
      </c>
      <c r="M327" s="43" t="str">
        <f>IFERROR(__xludf.DUMMYFUNCTION("""COMPUTED_VALUE"""),"long")</f>
        <v>long</v>
      </c>
      <c r="N327" s="45">
        <f>IFERROR(__xludf.DUMMYFUNCTION("""COMPUTED_VALUE"""),45132.0)</f>
        <v>45132</v>
      </c>
      <c r="O327" s="45">
        <f>IFERROR(__xludf.DUMMYFUNCTION("""COMPUTED_VALUE"""),45174.0)</f>
        <v>45174</v>
      </c>
      <c r="P327" s="45">
        <f>IFERROR(__xludf.DUMMYFUNCTION("""COMPUTED_VALUE"""),45540.0)</f>
        <v>45540</v>
      </c>
      <c r="Q327" s="45"/>
      <c r="R327" s="45"/>
      <c r="S327" s="43"/>
      <c r="T327" s="43"/>
      <c r="U327" s="43" t="str">
        <f>IFERROR(__xludf.DUMMYFUNCTION("""COMPUTED_VALUE"""),"Teacher")</f>
        <v>Teacher</v>
      </c>
      <c r="V327" s="43" t="str">
        <f>IFERROR(__xludf.DUMMYFUNCTION("""COMPUTED_VALUE"""),"Daystar University")</f>
        <v>Daystar University</v>
      </c>
      <c r="W327" s="43" t="str">
        <f>IFERROR(__xludf.DUMMYFUNCTION("""COMPUTED_VALUE"""),"2021-06-14T20:16:16Z")</f>
        <v>2021-06-14T20:16:16Z</v>
      </c>
      <c r="X327" s="43"/>
      <c r="Y327" s="43"/>
      <c r="Z327" s="43"/>
    </row>
    <row r="328" hidden="1">
      <c r="A328" s="43" t="str">
        <f>IFERROR(__xludf.DUMMYFUNCTION("""COMPUTED_VALUE"""),"5142036_1288837")</f>
        <v>5142036_1288837</v>
      </c>
      <c r="B328" s="43" t="str">
        <f>IFERROR(__xludf.DUMMYFUNCTION("""COMPUTED_VALUE"""),"Meriam Boukadi")</f>
        <v>Meriam Boukadi</v>
      </c>
      <c r="C328" s="43" t="str">
        <f>IFERROR(__xludf.DUMMYFUNCTION("""COMPUTED_VALUE"""),"realized")</f>
        <v>realized</v>
      </c>
      <c r="D328" s="43" t="str">
        <f>IFERROR(__xludf.DUMMYFUNCTION("""COMPUTED_VALUE"""),"No")</f>
        <v>No</v>
      </c>
      <c r="E328" s="43" t="str">
        <f>IFERROR(__xludf.DUMMYFUNCTION("""COMPUTED_VALUE"""),"p_c836008e2e8ec636fb433405db8aa70eb555325f@inbound.aiesec.org")</f>
        <v>p_c836008e2e8ec636fb433405db8aa70eb555325f@inbound.aiesec.org</v>
      </c>
      <c r="F328" s="43">
        <f>IFERROR(__xludf.DUMMYFUNCTION("""COMPUTED_VALUE"""),2.3525948E7)</f>
        <v>23525948</v>
      </c>
      <c r="G328" s="43" t="str">
        <f>IFERROR(__xludf.DUMMYFUNCTION("""COMPUTED_VALUE"""),"Tunisia")</f>
        <v>Tunisia</v>
      </c>
      <c r="H328" s="43" t="str">
        <f>IFERROR(__xludf.DUMMYFUNCTION("""COMPUTED_VALUE"""),"MEDINA")</f>
        <v>MEDINA</v>
      </c>
      <c r="I328" s="43" t="str">
        <f>IFERROR(__xludf.DUMMYFUNCTION("""COMPUTED_VALUE"""),"Turkey")</f>
        <v>Turkey</v>
      </c>
      <c r="J328" s="43" t="str">
        <f>IFERROR(__xludf.DUMMYFUNCTION("""COMPUTED_VALUE"""),"KOCAELI")</f>
        <v>KOCAELI</v>
      </c>
      <c r="K328" s="44" t="str">
        <f>IFERROR(__xludf.DUMMYFUNCTION("""COMPUTED_VALUE"""),"https://expa.aiesec.org/opportunities/1288837")</f>
        <v>https://expa.aiesec.org/opportunities/1288837</v>
      </c>
      <c r="L328" s="43" t="str">
        <f>IFERROR(__xludf.DUMMYFUNCTION("""COMPUTED_VALUE"""),"GTe")</f>
        <v>GTe</v>
      </c>
      <c r="M328" s="43" t="str">
        <f>IFERROR(__xludf.DUMMYFUNCTION("""COMPUTED_VALUE"""),"long")</f>
        <v>long</v>
      </c>
      <c r="N328" s="45">
        <f>IFERROR(__xludf.DUMMYFUNCTION("""COMPUTED_VALUE"""),45133.0)</f>
        <v>45133</v>
      </c>
      <c r="O328" s="45">
        <f>IFERROR(__xludf.DUMMYFUNCTION("""COMPUTED_VALUE"""),45180.0)</f>
        <v>45180</v>
      </c>
      <c r="P328" s="45">
        <f>IFERROR(__xludf.DUMMYFUNCTION("""COMPUTED_VALUE"""),45459.0)</f>
        <v>45459</v>
      </c>
      <c r="Q328" s="45">
        <f>IFERROR(__xludf.DUMMYFUNCTION("""COMPUTED_VALUE"""),45179.0)</f>
        <v>45179</v>
      </c>
      <c r="R328" s="45">
        <f>IFERROR(__xludf.DUMMYFUNCTION("""COMPUTED_VALUE"""),45464.0)</f>
        <v>45464</v>
      </c>
      <c r="S328" s="43"/>
      <c r="T328" s="43"/>
      <c r="U328" s="43" t="str">
        <f>IFERROR(__xludf.DUMMYFUNCTION("""COMPUTED_VALUE"""),"Kindergarten Teacher in Yaşam Paylaşım School")</f>
        <v>Kindergarten Teacher in Yaşam Paylaşım School</v>
      </c>
      <c r="V328" s="43" t="str">
        <f>IFERROR(__xludf.DUMMYFUNCTION("""COMPUTED_VALUE"""),"FLAH")</f>
        <v>FLAH</v>
      </c>
      <c r="W328" s="43" t="str">
        <f>IFERROR(__xludf.DUMMYFUNCTION("""COMPUTED_VALUE"""),"2022-10-28T09:42:27Z")</f>
        <v>2022-10-28T09:42:27Z</v>
      </c>
      <c r="X328" s="43"/>
      <c r="Y328" s="43"/>
      <c r="Z328" s="43"/>
    </row>
    <row r="329" hidden="1">
      <c r="A329" s="43" t="str">
        <f>IFERROR(__xludf.DUMMYFUNCTION("""COMPUTED_VALUE"""),"5208531_1259741")</f>
        <v>5208531_1259741</v>
      </c>
      <c r="B329" s="43" t="str">
        <f>IFERROR(__xludf.DUMMYFUNCTION("""COMPUTED_VALUE"""),"Shimaa Yasser")</f>
        <v>Shimaa Yasser</v>
      </c>
      <c r="C329" s="43" t="str">
        <f>IFERROR(__xludf.DUMMYFUNCTION("""COMPUTED_VALUE"""),"approved")</f>
        <v>approved</v>
      </c>
      <c r="D329" s="43" t="str">
        <f>IFERROR(__xludf.DUMMYFUNCTION("""COMPUTED_VALUE"""),"No")</f>
        <v>No</v>
      </c>
      <c r="E329" s="43" t="str">
        <f>IFERROR(__xludf.DUMMYFUNCTION("""COMPUTED_VALUE"""),"p_6979fd5076bcb06517b7f075e8b345485cc6399f@inbound.aiesec.org")</f>
        <v>p_6979fd5076bcb06517b7f075e8b345485cc6399f@inbound.aiesec.org</v>
      </c>
      <c r="F329" s="43">
        <f>IFERROR(__xludf.DUMMYFUNCTION("""COMPUTED_VALUE"""),1.157649293E9)</f>
        <v>1157649293</v>
      </c>
      <c r="G329" s="43" t="str">
        <f>IFERROR(__xludf.DUMMYFUNCTION("""COMPUTED_VALUE"""),"Egypt")</f>
        <v>Egypt</v>
      </c>
      <c r="H329" s="43" t="str">
        <f>IFERROR(__xludf.DUMMYFUNCTION("""COMPUTED_VALUE"""),"Beni Suef")</f>
        <v>Beni Suef</v>
      </c>
      <c r="I329" s="43" t="str">
        <f>IFERROR(__xludf.DUMMYFUNCTION("""COMPUTED_VALUE"""),"Turkey")</f>
        <v>Turkey</v>
      </c>
      <c r="J329" s="43" t="str">
        <f>IFERROR(__xludf.DUMMYFUNCTION("""COMPUTED_VALUE"""),"KONYA")</f>
        <v>KONYA</v>
      </c>
      <c r="K329" s="44" t="str">
        <f>IFERROR(__xludf.DUMMYFUNCTION("""COMPUTED_VALUE"""),"https://expa.aiesec.org/opportunities/1259741")</f>
        <v>https://expa.aiesec.org/opportunities/1259741</v>
      </c>
      <c r="L329" s="43" t="str">
        <f>IFERROR(__xludf.DUMMYFUNCTION("""COMPUTED_VALUE"""),"GTe")</f>
        <v>GTe</v>
      </c>
      <c r="M329" s="43" t="str">
        <f>IFERROR(__xludf.DUMMYFUNCTION("""COMPUTED_VALUE"""),"long")</f>
        <v>long</v>
      </c>
      <c r="N329" s="45">
        <f>IFERROR(__xludf.DUMMYFUNCTION("""COMPUTED_VALUE"""),45133.0)</f>
        <v>45133</v>
      </c>
      <c r="O329" s="45">
        <f>IFERROR(__xludf.DUMMYFUNCTION("""COMPUTED_VALUE"""),45148.0)</f>
        <v>45148</v>
      </c>
      <c r="P329" s="45">
        <f>IFERROR(__xludf.DUMMYFUNCTION("""COMPUTED_VALUE"""),45514.0)</f>
        <v>45514</v>
      </c>
      <c r="Q329" s="45"/>
      <c r="R329" s="45"/>
      <c r="S329" s="43"/>
      <c r="T329" s="43"/>
      <c r="U329" s="43" t="str">
        <f>IFERROR(__xludf.DUMMYFUNCTION("""COMPUTED_VALUE"""),"English Teacher")</f>
        <v>English Teacher</v>
      </c>
      <c r="V329" s="43" t="str">
        <f>IFERROR(__xludf.DUMMYFUNCTION("""COMPUTED_VALUE"""),"Fayoum")</f>
        <v>Fayoum</v>
      </c>
      <c r="W329" s="43" t="str">
        <f>IFERROR(__xludf.DUMMYFUNCTION("""COMPUTED_VALUE"""),"2023-03-07T11:56:02Z")</f>
        <v>2023-03-07T11:56:02Z</v>
      </c>
      <c r="X329" s="43"/>
      <c r="Y329" s="43"/>
      <c r="Z329" s="43"/>
    </row>
    <row r="330" hidden="1">
      <c r="A330" s="43" t="str">
        <f>IFERROR(__xludf.DUMMYFUNCTION("""COMPUTED_VALUE"""),"5283640_1294653")</f>
        <v>5283640_1294653</v>
      </c>
      <c r="B330" s="43" t="str">
        <f>IFERROR(__xludf.DUMMYFUNCTION("""COMPUTED_VALUE"""),"Rimel Chabbah")</f>
        <v>Rimel Chabbah</v>
      </c>
      <c r="C330" s="43" t="str">
        <f>IFERROR(__xludf.DUMMYFUNCTION("""COMPUTED_VALUE"""),"realized")</f>
        <v>realized</v>
      </c>
      <c r="D330" s="43" t="str">
        <f>IFERROR(__xludf.DUMMYFUNCTION("""COMPUTED_VALUE"""),"No")</f>
        <v>No</v>
      </c>
      <c r="E330" s="43" t="str">
        <f>IFERROR(__xludf.DUMMYFUNCTION("""COMPUTED_VALUE"""),"p_c45c3ee8f93e8fc19436507d9172bc4b78456879@inbound.aiesec.org")</f>
        <v>p_c45c3ee8f93e8fc19436507d9172bc4b78456879@inbound.aiesec.org</v>
      </c>
      <c r="F330" s="43">
        <f>IFERROR(__xludf.DUMMYFUNCTION("""COMPUTED_VALUE"""),5.4186672E7)</f>
        <v>54186672</v>
      </c>
      <c r="G330" s="43" t="str">
        <f>IFERROR(__xludf.DUMMYFUNCTION("""COMPUTED_VALUE"""),"Tunisia")</f>
        <v>Tunisia</v>
      </c>
      <c r="H330" s="43" t="str">
        <f>IFERROR(__xludf.DUMMYFUNCTION("""COMPUTED_VALUE"""),"MEDINA")</f>
        <v>MEDINA</v>
      </c>
      <c r="I330" s="43" t="str">
        <f>IFERROR(__xludf.DUMMYFUNCTION("""COMPUTED_VALUE"""),"Turkey")</f>
        <v>Turkey</v>
      </c>
      <c r="J330" s="43" t="str">
        <f>IFERROR(__xludf.DUMMYFUNCTION("""COMPUTED_VALUE"""),"BURSA")</f>
        <v>BURSA</v>
      </c>
      <c r="K330" s="44" t="str">
        <f>IFERROR(__xludf.DUMMYFUNCTION("""COMPUTED_VALUE"""),"https://expa.aiesec.org/opportunities/1294653")</f>
        <v>https://expa.aiesec.org/opportunities/1294653</v>
      </c>
      <c r="L330" s="43" t="str">
        <f>IFERROR(__xludf.DUMMYFUNCTION("""COMPUTED_VALUE"""),"GTe")</f>
        <v>GTe</v>
      </c>
      <c r="M330" s="43" t="str">
        <f>IFERROR(__xludf.DUMMYFUNCTION("""COMPUTED_VALUE"""),"long")</f>
        <v>long</v>
      </c>
      <c r="N330" s="45">
        <f>IFERROR(__xludf.DUMMYFUNCTION("""COMPUTED_VALUE"""),45133.0)</f>
        <v>45133</v>
      </c>
      <c r="O330" s="45">
        <f>IFERROR(__xludf.DUMMYFUNCTION("""COMPUTED_VALUE"""),45174.0)</f>
        <v>45174</v>
      </c>
      <c r="P330" s="45">
        <f>IFERROR(__xludf.DUMMYFUNCTION("""COMPUTED_VALUE"""),45540.0)</f>
        <v>45540</v>
      </c>
      <c r="Q330" s="45">
        <f>IFERROR(__xludf.DUMMYFUNCTION("""COMPUTED_VALUE"""),45188.0)</f>
        <v>45188</v>
      </c>
      <c r="R330" s="45">
        <f>IFERROR(__xludf.DUMMYFUNCTION("""COMPUTED_VALUE"""),45552.0)</f>
        <v>45552</v>
      </c>
      <c r="S330" s="43"/>
      <c r="T330" s="43"/>
      <c r="U330" s="43" t="str">
        <f>IFERROR(__xludf.DUMMYFUNCTION("""COMPUTED_VALUE"""),"Spanish Teacher")</f>
        <v>Spanish Teacher</v>
      </c>
      <c r="V330" s="43" t="str">
        <f>IFERROR(__xludf.DUMMYFUNCTION("""COMPUTED_VALUE"""),"ISAM Manouba")</f>
        <v>ISAM Manouba</v>
      </c>
      <c r="W330" s="43" t="str">
        <f>IFERROR(__xludf.DUMMYFUNCTION("""COMPUTED_VALUE"""),"2023-07-09T16:12:16Z")</f>
        <v>2023-07-09T16:12:16Z</v>
      </c>
      <c r="X330" s="43"/>
      <c r="Y330" s="43"/>
      <c r="Z330" s="43"/>
    </row>
    <row r="331" hidden="1">
      <c r="A331" s="43" t="str">
        <f>IFERROR(__xludf.DUMMYFUNCTION("""COMPUTED_VALUE"""),"5276513_1295167")</f>
        <v>5276513_1295167</v>
      </c>
      <c r="B331" s="43" t="str">
        <f>IFERROR(__xludf.DUMMYFUNCTION("""COMPUTED_VALUE"""),"Farouk Kouider Moussaoui")</f>
        <v>Farouk Kouider Moussaoui</v>
      </c>
      <c r="C331" s="43" t="str">
        <f>IFERROR(__xludf.DUMMYFUNCTION("""COMPUTED_VALUE"""),"approved")</f>
        <v>approved</v>
      </c>
      <c r="D331" s="43" t="str">
        <f>IFERROR(__xludf.DUMMYFUNCTION("""COMPUTED_VALUE"""),"No")</f>
        <v>No</v>
      </c>
      <c r="E331" s="43" t="str">
        <f>IFERROR(__xludf.DUMMYFUNCTION("""COMPUTED_VALUE"""),"p_c569153932a964fafade88bfb1d464d2dc3d9dbc@inbound.aiesec.org")</f>
        <v>p_c569153932a964fafade88bfb1d464d2dc3d9dbc@inbound.aiesec.org</v>
      </c>
      <c r="F331" s="43">
        <f>IFERROR(__xludf.DUMMYFUNCTION("""COMPUTED_VALUE"""),6.99468188E8)</f>
        <v>699468188</v>
      </c>
      <c r="G331" s="43" t="str">
        <f>IFERROR(__xludf.DUMMYFUNCTION("""COMPUTED_VALUE"""),"Algeria")</f>
        <v>Algeria</v>
      </c>
      <c r="H331" s="43" t="str">
        <f>IFERROR(__xludf.DUMMYFUNCTION("""COMPUTED_VALUE"""),"Babez")</f>
        <v>Babez</v>
      </c>
      <c r="I331" s="43" t="str">
        <f>IFERROR(__xludf.DUMMYFUNCTION("""COMPUTED_VALUE"""),"Turkey")</f>
        <v>Turkey</v>
      </c>
      <c r="J331" s="43" t="str">
        <f>IFERROR(__xludf.DUMMYFUNCTION("""COMPUTED_VALUE"""),"BURSA")</f>
        <v>BURSA</v>
      </c>
      <c r="K331" s="44" t="str">
        <f>IFERROR(__xludf.DUMMYFUNCTION("""COMPUTED_VALUE"""),"https://expa.aiesec.org/opportunities/1295167")</f>
        <v>https://expa.aiesec.org/opportunities/1295167</v>
      </c>
      <c r="L331" s="43" t="str">
        <f>IFERROR(__xludf.DUMMYFUNCTION("""COMPUTED_VALUE"""),"GTe")</f>
        <v>GTe</v>
      </c>
      <c r="M331" s="43" t="str">
        <f>IFERROR(__xludf.DUMMYFUNCTION("""COMPUTED_VALUE"""),"long")</f>
        <v>long</v>
      </c>
      <c r="N331" s="45">
        <f>IFERROR(__xludf.DUMMYFUNCTION("""COMPUTED_VALUE"""),45133.0)</f>
        <v>45133</v>
      </c>
      <c r="O331" s="45">
        <f>IFERROR(__xludf.DUMMYFUNCTION("""COMPUTED_VALUE"""),45173.0)</f>
        <v>45173</v>
      </c>
      <c r="P331" s="45">
        <f>IFERROR(__xludf.DUMMYFUNCTION("""COMPUTED_VALUE"""),45463.0)</f>
        <v>45463</v>
      </c>
      <c r="Q331" s="45"/>
      <c r="R331" s="45"/>
      <c r="S331" s="43"/>
      <c r="T331" s="43"/>
      <c r="U331" s="43" t="str">
        <f>IFERROR(__xludf.DUMMYFUNCTION("""COMPUTED_VALUE"""),"English Teacher")</f>
        <v>English Teacher</v>
      </c>
      <c r="V331" s="43" t="str">
        <f>IFERROR(__xludf.DUMMYFUNCTION("""COMPUTED_VALUE"""),"AIESEC in Blida")</f>
        <v>AIESEC in Blida</v>
      </c>
      <c r="W331" s="43" t="str">
        <f>IFERROR(__xludf.DUMMYFUNCTION("""COMPUTED_VALUE"""),"2023-06-17T22:11:35Z")</f>
        <v>2023-06-17T22:11:35Z</v>
      </c>
      <c r="X331" s="43"/>
      <c r="Y331" s="43"/>
      <c r="Z331" s="43"/>
    </row>
    <row r="332" hidden="1">
      <c r="A332" s="43" t="str">
        <f>IFERROR(__xludf.DUMMYFUNCTION("""COMPUTED_VALUE"""),"5289491_1291989")</f>
        <v>5289491_1291989</v>
      </c>
      <c r="B332" s="43" t="str">
        <f>IFERROR(__xludf.DUMMYFUNCTION("""COMPUTED_VALUE"""),"Nour Elhouda Bassalah")</f>
        <v>Nour Elhouda Bassalah</v>
      </c>
      <c r="C332" s="43" t="str">
        <f>IFERROR(__xludf.DUMMYFUNCTION("""COMPUTED_VALUE"""),"realized")</f>
        <v>realized</v>
      </c>
      <c r="D332" s="43" t="str">
        <f>IFERROR(__xludf.DUMMYFUNCTION("""COMPUTED_VALUE"""),"No")</f>
        <v>No</v>
      </c>
      <c r="E332" s="43" t="str">
        <f>IFERROR(__xludf.DUMMYFUNCTION("""COMPUTED_VALUE"""),"p_5b2e2d94dbffa9dc7f99815f220655947147c97f@inbound.aiesec.org")</f>
        <v>p_5b2e2d94dbffa9dc7f99815f220655947147c97f@inbound.aiesec.org</v>
      </c>
      <c r="F332" s="43">
        <f>IFERROR(__xludf.DUMMYFUNCTION("""COMPUTED_VALUE"""),9.4842035E7)</f>
        <v>94842035</v>
      </c>
      <c r="G332" s="43" t="str">
        <f>IFERROR(__xludf.DUMMYFUNCTION("""COMPUTED_VALUE"""),"Tunisia")</f>
        <v>Tunisia</v>
      </c>
      <c r="H332" s="43" t="str">
        <f>IFERROR(__xludf.DUMMYFUNCTION("""COMPUTED_VALUE"""),"Carthage")</f>
        <v>Carthage</v>
      </c>
      <c r="I332" s="43" t="str">
        <f>IFERROR(__xludf.DUMMYFUNCTION("""COMPUTED_VALUE"""),"Turkey")</f>
        <v>Turkey</v>
      </c>
      <c r="J332" s="43" t="str">
        <f>IFERROR(__xludf.DUMMYFUNCTION("""COMPUTED_VALUE"""),"GAZIANTEP")</f>
        <v>GAZIANTEP</v>
      </c>
      <c r="K332" s="44" t="str">
        <f>IFERROR(__xludf.DUMMYFUNCTION("""COMPUTED_VALUE"""),"https://expa.aiesec.org/opportunities/1291989")</f>
        <v>https://expa.aiesec.org/opportunities/1291989</v>
      </c>
      <c r="L332" s="43" t="str">
        <f>IFERROR(__xludf.DUMMYFUNCTION("""COMPUTED_VALUE"""),"GTe")</f>
        <v>GTe</v>
      </c>
      <c r="M332" s="43" t="str">
        <f>IFERROR(__xludf.DUMMYFUNCTION("""COMPUTED_VALUE"""),"long")</f>
        <v>long</v>
      </c>
      <c r="N332" s="45">
        <f>IFERROR(__xludf.DUMMYFUNCTION("""COMPUTED_VALUE"""),45134.0)</f>
        <v>45134</v>
      </c>
      <c r="O332" s="45">
        <f>IFERROR(__xludf.DUMMYFUNCTION("""COMPUTED_VALUE"""),45139.0)</f>
        <v>45139</v>
      </c>
      <c r="P332" s="45">
        <f>IFERROR(__xludf.DUMMYFUNCTION("""COMPUTED_VALUE"""),45443.0)</f>
        <v>45443</v>
      </c>
      <c r="Q332" s="45">
        <f>IFERROR(__xludf.DUMMYFUNCTION("""COMPUTED_VALUE"""),45154.0)</f>
        <v>45154</v>
      </c>
      <c r="R332" s="45">
        <f>IFERROR(__xludf.DUMMYFUNCTION("""COMPUTED_VALUE"""),45456.0)</f>
        <v>45456</v>
      </c>
      <c r="S332" s="43"/>
      <c r="T332" s="43"/>
      <c r="U332" s="43" t="str">
        <f>IFERROR(__xludf.DUMMYFUNCTION("""COMPUTED_VALUE"""),"English Teacher")</f>
        <v>English Teacher</v>
      </c>
      <c r="V332" s="43" t="str">
        <f>IFERROR(__xludf.DUMMYFUNCTION("""COMPUTED_VALUE"""),"ISLT")</f>
        <v>ISLT</v>
      </c>
      <c r="W332" s="43" t="str">
        <f>IFERROR(__xludf.DUMMYFUNCTION("""COMPUTED_VALUE"""),"2023-07-25T22:07:53Z")</f>
        <v>2023-07-25T22:07:53Z</v>
      </c>
      <c r="X332" s="43"/>
      <c r="Y332" s="43"/>
      <c r="Z332" s="43"/>
    </row>
    <row r="333" hidden="1">
      <c r="A333" s="43" t="str">
        <f>IFERROR(__xludf.DUMMYFUNCTION("""COMPUTED_VALUE"""),"5289783_1277333")</f>
        <v>5289783_1277333</v>
      </c>
      <c r="B333" s="43" t="str">
        <f>IFERROR(__xludf.DUMMYFUNCTION("""COMPUTED_VALUE"""),"Faten Barhoumi")</f>
        <v>Faten Barhoumi</v>
      </c>
      <c r="C333" s="43" t="str">
        <f>IFERROR(__xludf.DUMMYFUNCTION("""COMPUTED_VALUE"""),"realized")</f>
        <v>realized</v>
      </c>
      <c r="D333" s="43" t="str">
        <f>IFERROR(__xludf.DUMMYFUNCTION("""COMPUTED_VALUE"""),"No")</f>
        <v>No</v>
      </c>
      <c r="E333" s="43" t="str">
        <f>IFERROR(__xludf.DUMMYFUNCTION("""COMPUTED_VALUE"""),"p_566b073ba3465a651a13cc67f675237358013f6c@inbound.aiesec.org")</f>
        <v>p_566b073ba3465a651a13cc67f675237358013f6c@inbound.aiesec.org</v>
      </c>
      <c r="F333" s="43">
        <f>IFERROR(__xludf.DUMMYFUNCTION("""COMPUTED_VALUE"""),5.4489395E7)</f>
        <v>54489395</v>
      </c>
      <c r="G333" s="43" t="str">
        <f>IFERROR(__xludf.DUMMYFUNCTION("""COMPUTED_VALUE"""),"Tunisia")</f>
        <v>Tunisia</v>
      </c>
      <c r="H333" s="43" t="str">
        <f>IFERROR(__xludf.DUMMYFUNCTION("""COMPUTED_VALUE"""),"HADRUMET")</f>
        <v>HADRUMET</v>
      </c>
      <c r="I333" s="43" t="str">
        <f>IFERROR(__xludf.DUMMYFUNCTION("""COMPUTED_VALUE"""),"Turkey")</f>
        <v>Turkey</v>
      </c>
      <c r="J333" s="43" t="str">
        <f>IFERROR(__xludf.DUMMYFUNCTION("""COMPUTED_VALUE"""),"KOCAELI")</f>
        <v>KOCAELI</v>
      </c>
      <c r="K333" s="44" t="str">
        <f>IFERROR(__xludf.DUMMYFUNCTION("""COMPUTED_VALUE"""),"https://expa.aiesec.org/opportunities/1277333")</f>
        <v>https://expa.aiesec.org/opportunities/1277333</v>
      </c>
      <c r="L333" s="43" t="str">
        <f>IFERROR(__xludf.DUMMYFUNCTION("""COMPUTED_VALUE"""),"GTe")</f>
        <v>GTe</v>
      </c>
      <c r="M333" s="43" t="str">
        <f>IFERROR(__xludf.DUMMYFUNCTION("""COMPUTED_VALUE"""),"long")</f>
        <v>long</v>
      </c>
      <c r="N333" s="45">
        <f>IFERROR(__xludf.DUMMYFUNCTION("""COMPUTED_VALUE"""),45135.0)</f>
        <v>45135</v>
      </c>
      <c r="O333" s="45">
        <f>IFERROR(__xludf.DUMMYFUNCTION("""COMPUTED_VALUE"""),45148.0)</f>
        <v>45148</v>
      </c>
      <c r="P333" s="45">
        <f>IFERROR(__xludf.DUMMYFUNCTION("""COMPUTED_VALUE"""),45513.0)</f>
        <v>45513</v>
      </c>
      <c r="Q333" s="45">
        <f>IFERROR(__xludf.DUMMYFUNCTION("""COMPUTED_VALUE"""),45144.0)</f>
        <v>45144</v>
      </c>
      <c r="R333" s="45">
        <f>IFERROR(__xludf.DUMMYFUNCTION("""COMPUTED_VALUE"""),45513.0)</f>
        <v>45513</v>
      </c>
      <c r="S333" s="43"/>
      <c r="T333" s="43"/>
      <c r="U333" s="43" t="str">
        <f>IFERROR(__xludf.DUMMYFUNCTION("""COMPUTED_VALUE"""),"English Teacher in English Time (Long)")</f>
        <v>English Teacher in English Time (Long)</v>
      </c>
      <c r="V333" s="43" t="str">
        <f>IFERROR(__xludf.DUMMYFUNCTION("""COMPUTED_VALUE"""),"FLSH Sousse")</f>
        <v>FLSH Sousse</v>
      </c>
      <c r="W333" s="43" t="str">
        <f>IFERROR(__xludf.DUMMYFUNCTION("""COMPUTED_VALUE"""),"2023-07-26T12:55:16Z")</f>
        <v>2023-07-26T12:55:16Z</v>
      </c>
      <c r="X333" s="43"/>
      <c r="Y333" s="43"/>
      <c r="Z333" s="43"/>
    </row>
    <row r="334" hidden="1">
      <c r="A334" s="43" t="str">
        <f>IFERROR(__xludf.DUMMYFUNCTION("""COMPUTED_VALUE"""),"5281676_1296819")</f>
        <v>5281676_1296819</v>
      </c>
      <c r="B334" s="43" t="str">
        <f>IFERROR(__xludf.DUMMYFUNCTION("""COMPUTED_VALUE"""),"Andi Safitri Manggarani Baso")</f>
        <v>Andi Safitri Manggarani Baso</v>
      </c>
      <c r="C334" s="43" t="str">
        <f>IFERROR(__xludf.DUMMYFUNCTION("""COMPUTED_VALUE"""),"realized")</f>
        <v>realized</v>
      </c>
      <c r="D334" s="43" t="str">
        <f>IFERROR(__xludf.DUMMYFUNCTION("""COMPUTED_VALUE"""),"No")</f>
        <v>No</v>
      </c>
      <c r="E334" s="43" t="str">
        <f>IFERROR(__xludf.DUMMYFUNCTION("""COMPUTED_VALUE"""),"p_00d4cccc0a29765b480c8ae8f3c6d00723642ad9@inbound.aiesec.org")</f>
        <v>p_00d4cccc0a29765b480c8ae8f3c6d00723642ad9@inbound.aiesec.org</v>
      </c>
      <c r="F334" s="43">
        <f>IFERROR(__xludf.DUMMYFUNCTION("""COMPUTED_VALUE"""),5.545989613E9)</f>
        <v>5545989613</v>
      </c>
      <c r="G334" s="43" t="str">
        <f>IFERROR(__xludf.DUMMYFUNCTION("""COMPUTED_VALUE"""),"Indonesia")</f>
        <v>Indonesia</v>
      </c>
      <c r="H334" s="43" t="str">
        <f>IFERROR(__xludf.DUMMYFUNCTION("""COMPUTED_VALUE"""),"UB")</f>
        <v>UB</v>
      </c>
      <c r="I334" s="43" t="str">
        <f>IFERROR(__xludf.DUMMYFUNCTION("""COMPUTED_VALUE"""),"Turkey")</f>
        <v>Turkey</v>
      </c>
      <c r="J334" s="43" t="str">
        <f>IFERROR(__xludf.DUMMYFUNCTION("""COMPUTED_VALUE"""),"ESKISEHIR")</f>
        <v>ESKISEHIR</v>
      </c>
      <c r="K334" s="44" t="str">
        <f>IFERROR(__xludf.DUMMYFUNCTION("""COMPUTED_VALUE"""),"https://expa.aiesec.org/opportunities/1296819")</f>
        <v>https://expa.aiesec.org/opportunities/1296819</v>
      </c>
      <c r="L334" s="43" t="str">
        <f>IFERROR(__xludf.DUMMYFUNCTION("""COMPUTED_VALUE"""),"GTe")</f>
        <v>GTe</v>
      </c>
      <c r="M334" s="43" t="str">
        <f>IFERROR(__xludf.DUMMYFUNCTION("""COMPUTED_VALUE"""),"long")</f>
        <v>long</v>
      </c>
      <c r="N334" s="45">
        <f>IFERROR(__xludf.DUMMYFUNCTION("""COMPUTED_VALUE"""),45136.0)</f>
        <v>45136</v>
      </c>
      <c r="O334" s="45">
        <f>IFERROR(__xludf.DUMMYFUNCTION("""COMPUTED_VALUE"""),45173.0)</f>
        <v>45173</v>
      </c>
      <c r="P334" s="45">
        <f>IFERROR(__xludf.DUMMYFUNCTION("""COMPUTED_VALUE"""),45537.0)</f>
        <v>45537</v>
      </c>
      <c r="Q334" s="45">
        <f>IFERROR(__xludf.DUMMYFUNCTION("""COMPUTED_VALUE"""),45170.0)</f>
        <v>45170</v>
      </c>
      <c r="R334" s="45">
        <f>IFERROR(__xludf.DUMMYFUNCTION("""COMPUTED_VALUE"""),45537.0)</f>
        <v>45537</v>
      </c>
      <c r="S334" s="43"/>
      <c r="T334" s="43"/>
      <c r="U334" s="43" t="str">
        <f>IFERROR(__xludf.DUMMYFUNCTION("""COMPUTED_VALUE"""),"Language Teacher")</f>
        <v>Language Teacher</v>
      </c>
      <c r="V334" s="43" t="str">
        <f>IFERROR(__xludf.DUMMYFUNCTION("""COMPUTED_VALUE"""),"Universitas Brawijaya")</f>
        <v>Universitas Brawijaya</v>
      </c>
      <c r="W334" s="43" t="str">
        <f>IFERROR(__xludf.DUMMYFUNCTION("""COMPUTED_VALUE"""),"2023-07-03T08:56:54Z")</f>
        <v>2023-07-03T08:56:54Z</v>
      </c>
      <c r="X334" s="43"/>
      <c r="Y334" s="43"/>
      <c r="Z334" s="43"/>
    </row>
    <row r="335" hidden="1">
      <c r="A335" s="43" t="str">
        <f>IFERROR(__xludf.DUMMYFUNCTION("""COMPUTED_VALUE"""),"1784693_1288486")</f>
        <v>1784693_1288486</v>
      </c>
      <c r="B335" s="43" t="str">
        <f>IFERROR(__xludf.DUMMYFUNCTION("""COMPUTED_VALUE"""),"sarah taha")</f>
        <v>sarah taha</v>
      </c>
      <c r="C335" s="43" t="str">
        <f>IFERROR(__xludf.DUMMYFUNCTION("""COMPUTED_VALUE"""),"realized")</f>
        <v>realized</v>
      </c>
      <c r="D335" s="43" t="str">
        <f>IFERROR(__xludf.DUMMYFUNCTION("""COMPUTED_VALUE"""),"No")</f>
        <v>No</v>
      </c>
      <c r="E335" s="43" t="str">
        <f>IFERROR(__xludf.DUMMYFUNCTION("""COMPUTED_VALUE"""),"p_408aa68f9b2b9e17d731101568ad8d65462d21dd@inbound.aiesec.org")</f>
        <v>p_408aa68f9b2b9e17d731101568ad8d65462d21dd@inbound.aiesec.org</v>
      </c>
      <c r="F335" s="43">
        <f>IFERROR(__xludf.DUMMYFUNCTION("""COMPUTED_VALUE"""),1.0070495E9)</f>
        <v>1007049500</v>
      </c>
      <c r="G335" s="43" t="str">
        <f>IFERROR(__xludf.DUMMYFUNCTION("""COMPUTED_VALUE"""),"Egypt")</f>
        <v>Egypt</v>
      </c>
      <c r="H335" s="43" t="str">
        <f>IFERROR(__xludf.DUMMYFUNCTION("""COMPUTED_VALUE"""),"Helwan")</f>
        <v>Helwan</v>
      </c>
      <c r="I335" s="43" t="str">
        <f>IFERROR(__xludf.DUMMYFUNCTION("""COMPUTED_VALUE"""),"Turkey")</f>
        <v>Turkey</v>
      </c>
      <c r="J335" s="43" t="str">
        <f>IFERROR(__xludf.DUMMYFUNCTION("""COMPUTED_VALUE"""),"ISPARTA")</f>
        <v>ISPARTA</v>
      </c>
      <c r="K335" s="44" t="str">
        <f>IFERROR(__xludf.DUMMYFUNCTION("""COMPUTED_VALUE"""),"https://expa.aiesec.org/opportunities/1288486")</f>
        <v>https://expa.aiesec.org/opportunities/1288486</v>
      </c>
      <c r="L335" s="43" t="str">
        <f>IFERROR(__xludf.DUMMYFUNCTION("""COMPUTED_VALUE"""),"GTe")</f>
        <v>GTe</v>
      </c>
      <c r="M335" s="43" t="str">
        <f>IFERROR(__xludf.DUMMYFUNCTION("""COMPUTED_VALUE"""),"medium")</f>
        <v>medium</v>
      </c>
      <c r="N335" s="45">
        <f>IFERROR(__xludf.DUMMYFUNCTION("""COMPUTED_VALUE"""),45136.0)</f>
        <v>45136</v>
      </c>
      <c r="O335" s="45">
        <f>IFERROR(__xludf.DUMMYFUNCTION("""COMPUTED_VALUE"""),45201.0)</f>
        <v>45201</v>
      </c>
      <c r="P335" s="45">
        <f>IFERROR(__xludf.DUMMYFUNCTION("""COMPUTED_VALUE"""),45382.0)</f>
        <v>45382</v>
      </c>
      <c r="Q335" s="45">
        <f>IFERROR(__xludf.DUMMYFUNCTION("""COMPUTED_VALUE"""),45204.0)</f>
        <v>45204</v>
      </c>
      <c r="R335" s="45">
        <f>IFERROR(__xludf.DUMMYFUNCTION("""COMPUTED_VALUE"""),45383.0)</f>
        <v>45383</v>
      </c>
      <c r="S335" s="43"/>
      <c r="T335" s="43"/>
      <c r="U335" s="43" t="str">
        <f>IFERROR(__xludf.DUMMYFUNCTION("""COMPUTED_VALUE"""),"English Teaching")</f>
        <v>English Teaching</v>
      </c>
      <c r="V335" s="43" t="str">
        <f>IFERROR(__xludf.DUMMYFUNCTION("""COMPUTED_VALUE"""),"-")</f>
        <v>-</v>
      </c>
      <c r="W335" s="43" t="str">
        <f>IFERROR(__xludf.DUMMYFUNCTION("""COMPUTED_VALUE"""),"2017-10-10T06:35:22Z")</f>
        <v>2017-10-10T06:35:22Z</v>
      </c>
      <c r="X335" s="43"/>
      <c r="Y335" s="43"/>
      <c r="Z335" s="43"/>
    </row>
    <row r="336" hidden="1">
      <c r="A336" s="43" t="str">
        <f>IFERROR(__xludf.DUMMYFUNCTION("""COMPUTED_VALUE"""),"5280329_1288864")</f>
        <v>5280329_1288864</v>
      </c>
      <c r="B336" s="43" t="str">
        <f>IFERROR(__xludf.DUMMYFUNCTION("""COMPUTED_VALUE"""),"Hadjar Sefiane")</f>
        <v>Hadjar Sefiane</v>
      </c>
      <c r="C336" s="43" t="str">
        <f>IFERROR(__xludf.DUMMYFUNCTION("""COMPUTED_VALUE"""),"realized")</f>
        <v>realized</v>
      </c>
      <c r="D336" s="43" t="str">
        <f>IFERROR(__xludf.DUMMYFUNCTION("""COMPUTED_VALUE"""),"No")</f>
        <v>No</v>
      </c>
      <c r="E336" s="43" t="str">
        <f>IFERROR(__xludf.DUMMYFUNCTION("""COMPUTED_VALUE"""),"p_73a8368273cf2701c94d3106db7302b1ee0ba954@inbound.aiesec.org")</f>
        <v>p_73a8368273cf2701c94d3106db7302b1ee0ba954@inbound.aiesec.org</v>
      </c>
      <c r="F336" s="43"/>
      <c r="G336" s="43" t="str">
        <f>IFERROR(__xludf.DUMMYFUNCTION("""COMPUTED_VALUE"""),"Algeria")</f>
        <v>Algeria</v>
      </c>
      <c r="H336" s="43" t="str">
        <f>IFERROR(__xludf.DUMMYFUNCTION("""COMPUTED_VALUE"""),"Tlemcen")</f>
        <v>Tlemcen</v>
      </c>
      <c r="I336" s="43" t="str">
        <f>IFERROR(__xludf.DUMMYFUNCTION("""COMPUTED_VALUE"""),"Turkey")</f>
        <v>Turkey</v>
      </c>
      <c r="J336" s="43" t="str">
        <f>IFERROR(__xludf.DUMMYFUNCTION("""COMPUTED_VALUE"""),"KOCAELI")</f>
        <v>KOCAELI</v>
      </c>
      <c r="K336" s="44" t="str">
        <f>IFERROR(__xludf.DUMMYFUNCTION("""COMPUTED_VALUE"""),"https://expa.aiesec.org/opportunities/1288864")</f>
        <v>https://expa.aiesec.org/opportunities/1288864</v>
      </c>
      <c r="L336" s="43" t="str">
        <f>IFERROR(__xludf.DUMMYFUNCTION("""COMPUTED_VALUE"""),"GTe")</f>
        <v>GTe</v>
      </c>
      <c r="M336" s="43" t="str">
        <f>IFERROR(__xludf.DUMMYFUNCTION("""COMPUTED_VALUE"""),"long")</f>
        <v>long</v>
      </c>
      <c r="N336" s="45">
        <f>IFERROR(__xludf.DUMMYFUNCTION("""COMPUTED_VALUE"""),45137.0)</f>
        <v>45137</v>
      </c>
      <c r="O336" s="45">
        <f>IFERROR(__xludf.DUMMYFUNCTION("""COMPUTED_VALUE"""),45173.0)</f>
        <v>45173</v>
      </c>
      <c r="P336" s="45">
        <f>IFERROR(__xludf.DUMMYFUNCTION("""COMPUTED_VALUE"""),45471.0)</f>
        <v>45471</v>
      </c>
      <c r="Q336" s="45">
        <f>IFERROR(__xludf.DUMMYFUNCTION("""COMPUTED_VALUE"""),45179.0)</f>
        <v>45179</v>
      </c>
      <c r="R336" s="45">
        <f>IFERROR(__xludf.DUMMYFUNCTION("""COMPUTED_VALUE"""),45478.0)</f>
        <v>45478</v>
      </c>
      <c r="S336" s="43"/>
      <c r="T336" s="43"/>
      <c r="U336" s="43" t="str">
        <f>IFERROR(__xludf.DUMMYFUNCTION("""COMPUTED_VALUE"""),"English Teacher in Pelikan College")</f>
        <v>English Teacher in Pelikan College</v>
      </c>
      <c r="V336" s="43" t="str">
        <f>IFERROR(__xludf.DUMMYFUNCTION("""COMPUTED_VALUE"""),"-")</f>
        <v>-</v>
      </c>
      <c r="W336" s="43" t="str">
        <f>IFERROR(__xludf.DUMMYFUNCTION("""COMPUTED_VALUE"""),"2023-06-29T08:12:12Z")</f>
        <v>2023-06-29T08:12:12Z</v>
      </c>
      <c r="X336" s="43"/>
      <c r="Y336" s="43"/>
      <c r="Z336" s="43"/>
    </row>
    <row r="337" hidden="1">
      <c r="A337" s="43" t="str">
        <f>IFERROR(__xludf.DUMMYFUNCTION("""COMPUTED_VALUE"""),"5291902_1277661")</f>
        <v>5291902_1277661</v>
      </c>
      <c r="B337" s="43" t="str">
        <f>IFERROR(__xludf.DUMMYFUNCTION("""COMPUTED_VALUE"""),"Roumaissa Khadidja Mosbah")</f>
        <v>Roumaissa Khadidja Mosbah</v>
      </c>
      <c r="C337" s="43" t="str">
        <f>IFERROR(__xludf.DUMMYFUNCTION("""COMPUTED_VALUE"""),"realized")</f>
        <v>realized</v>
      </c>
      <c r="D337" s="43" t="str">
        <f>IFERROR(__xludf.DUMMYFUNCTION("""COMPUTED_VALUE"""),"No")</f>
        <v>No</v>
      </c>
      <c r="E337" s="43" t="str">
        <f>IFERROR(__xludf.DUMMYFUNCTION("""COMPUTED_VALUE"""),"p_519c742de149b0683f9b19f15ab0ff2c947ea247@inbound.aiesec.org")</f>
        <v>p_519c742de149b0683f9b19f15ab0ff2c947ea247@inbound.aiesec.org</v>
      </c>
      <c r="F337" s="43">
        <f>IFERROR(__xludf.DUMMYFUNCTION("""COMPUTED_VALUE"""),5.521324E8)</f>
        <v>552132400</v>
      </c>
      <c r="G337" s="43" t="str">
        <f>IFERROR(__xludf.DUMMYFUNCTION("""COMPUTED_VALUE"""),"Algeria")</f>
        <v>Algeria</v>
      </c>
      <c r="H337" s="43" t="str">
        <f>IFERROR(__xludf.DUMMYFUNCTION("""COMPUTED_VALUE"""),"Blida")</f>
        <v>Blida</v>
      </c>
      <c r="I337" s="43" t="str">
        <f>IFERROR(__xludf.DUMMYFUNCTION("""COMPUTED_VALUE"""),"Turkey")</f>
        <v>Turkey</v>
      </c>
      <c r="J337" s="43" t="str">
        <f>IFERROR(__xludf.DUMMYFUNCTION("""COMPUTED_VALUE"""),"KOCAELI")</f>
        <v>KOCAELI</v>
      </c>
      <c r="K337" s="44" t="str">
        <f>IFERROR(__xludf.DUMMYFUNCTION("""COMPUTED_VALUE"""),"https://expa.aiesec.org/opportunities/1277661")</f>
        <v>https://expa.aiesec.org/opportunities/1277661</v>
      </c>
      <c r="L337" s="43" t="str">
        <f>IFERROR(__xludf.DUMMYFUNCTION("""COMPUTED_VALUE"""),"GTe")</f>
        <v>GTe</v>
      </c>
      <c r="M337" s="43" t="str">
        <f>IFERROR(__xludf.DUMMYFUNCTION("""COMPUTED_VALUE"""),"long")</f>
        <v>long</v>
      </c>
      <c r="N337" s="45">
        <f>IFERROR(__xludf.DUMMYFUNCTION("""COMPUTED_VALUE"""),45137.0)</f>
        <v>45137</v>
      </c>
      <c r="O337" s="45">
        <f>IFERROR(__xludf.DUMMYFUNCTION("""COMPUTED_VALUE"""),45166.0)</f>
        <v>45166</v>
      </c>
      <c r="P337" s="45">
        <f>IFERROR(__xludf.DUMMYFUNCTION("""COMPUTED_VALUE"""),45458.0)</f>
        <v>45458</v>
      </c>
      <c r="Q337" s="45">
        <f>IFERROR(__xludf.DUMMYFUNCTION("""COMPUTED_VALUE"""),45169.0)</f>
        <v>45169</v>
      </c>
      <c r="R337" s="45">
        <f>IFERROR(__xludf.DUMMYFUNCTION("""COMPUTED_VALUE"""),45460.0)</f>
        <v>45460</v>
      </c>
      <c r="S337" s="43"/>
      <c r="T337" s="43"/>
      <c r="U337" s="43" t="str">
        <f>IFERROR(__xludf.DUMMYFUNCTION("""COMPUTED_VALUE"""),"English Teacher in Körfez Uğur Okulları")</f>
        <v>English Teacher in Körfez Uğur Okulları</v>
      </c>
      <c r="V337" s="43" t="str">
        <f>IFERROR(__xludf.DUMMYFUNCTION("""COMPUTED_VALUE"""),"AIESEC in Blida")</f>
        <v>AIESEC in Blida</v>
      </c>
      <c r="W337" s="43" t="str">
        <f>IFERROR(__xludf.DUMMYFUNCTION("""COMPUTED_VALUE"""),"2023-07-30T19:39:33Z")</f>
        <v>2023-07-30T19:39:33Z</v>
      </c>
      <c r="X337" s="43"/>
      <c r="Y337" s="43"/>
      <c r="Z337" s="43"/>
    </row>
    <row r="338" hidden="1">
      <c r="A338" s="43" t="str">
        <f>IFERROR(__xludf.DUMMYFUNCTION("""COMPUTED_VALUE"""),"5290861_1273874")</f>
        <v>5290861_1273874</v>
      </c>
      <c r="B338" s="43" t="str">
        <f>IFERROR(__xludf.DUMMYFUNCTION("""COMPUTED_VALUE"""),"Querem Anselmo")</f>
        <v>Querem Anselmo</v>
      </c>
      <c r="C338" s="43" t="str">
        <f>IFERROR(__xludf.DUMMYFUNCTION("""COMPUTED_VALUE"""),"realization_broken")</f>
        <v>realization_broken</v>
      </c>
      <c r="D338" s="43" t="str">
        <f>IFERROR(__xludf.DUMMYFUNCTION("""COMPUTED_VALUE"""),"No")</f>
        <v>No</v>
      </c>
      <c r="E338" s="43" t="str">
        <f>IFERROR(__xludf.DUMMYFUNCTION("""COMPUTED_VALUE"""),"p_52a48269bcd590b43c1441d444cd41477a793693@inbound.aiesec.org")</f>
        <v>p_52a48269bcd590b43c1441d444cd41477a793693@inbound.aiesec.org</v>
      </c>
      <c r="F338" s="43">
        <f>IFERROR(__xludf.DUMMYFUNCTION("""COMPUTED_VALUE"""),6.1999197592E10)</f>
        <v>61999197592</v>
      </c>
      <c r="G338" s="43" t="str">
        <f>IFERROR(__xludf.DUMMYFUNCTION("""COMPUTED_VALUE"""),"Brazil")</f>
        <v>Brazil</v>
      </c>
      <c r="H338" s="43" t="str">
        <f>IFERROR(__xludf.DUMMYFUNCTION("""COMPUTED_VALUE"""),"BRASÍLIA")</f>
        <v>BRASÍLIA</v>
      </c>
      <c r="I338" s="43" t="str">
        <f>IFERROR(__xludf.DUMMYFUNCTION("""COMPUTED_VALUE"""),"Turkey")</f>
        <v>Turkey</v>
      </c>
      <c r="J338" s="43" t="str">
        <f>IFERROR(__xludf.DUMMYFUNCTION("""COMPUTED_VALUE"""),"KOCAELI")</f>
        <v>KOCAELI</v>
      </c>
      <c r="K338" s="44" t="str">
        <f>IFERROR(__xludf.DUMMYFUNCTION("""COMPUTED_VALUE"""),"https://expa.aiesec.org/opportunities/1273874")</f>
        <v>https://expa.aiesec.org/opportunities/1273874</v>
      </c>
      <c r="L338" s="43" t="str">
        <f>IFERROR(__xludf.DUMMYFUNCTION("""COMPUTED_VALUE"""),"GTe")</f>
        <v>GTe</v>
      </c>
      <c r="M338" s="43" t="str">
        <f>IFERROR(__xludf.DUMMYFUNCTION("""COMPUTED_VALUE"""),"long")</f>
        <v>long</v>
      </c>
      <c r="N338" s="45">
        <f>IFERROR(__xludf.DUMMYFUNCTION("""COMPUTED_VALUE"""),45138.0)</f>
        <v>45138</v>
      </c>
      <c r="O338" s="45">
        <f>IFERROR(__xludf.DUMMYFUNCTION("""COMPUTED_VALUE"""),45173.0)</f>
        <v>45173</v>
      </c>
      <c r="P338" s="45">
        <f>IFERROR(__xludf.DUMMYFUNCTION("""COMPUTED_VALUE"""),45429.0)</f>
        <v>45429</v>
      </c>
      <c r="Q338" s="45"/>
      <c r="R338" s="45"/>
      <c r="S338" s="43"/>
      <c r="T338" s="43"/>
      <c r="U338" s="43" t="str">
        <f>IFERROR(__xludf.DUMMYFUNCTION("""COMPUTED_VALUE"""),"Yeşil Vadi English Teacher")</f>
        <v>Yeşil Vadi English Teacher</v>
      </c>
      <c r="V338" s="43" t="str">
        <f>IFERROR(__xludf.DUMMYFUNCTION("""COMPUTED_VALUE"""),"Brasília")</f>
        <v>Brasília</v>
      </c>
      <c r="W338" s="43" t="str">
        <f>IFERROR(__xludf.DUMMYFUNCTION("""COMPUTED_VALUE"""),"2023-07-28T13:06:04Z")</f>
        <v>2023-07-28T13:06:04Z</v>
      </c>
      <c r="X338" s="43"/>
      <c r="Y338" s="43"/>
      <c r="Z338" s="43"/>
    </row>
    <row r="339" hidden="1">
      <c r="A339" s="43" t="str">
        <f>IFERROR(__xludf.DUMMYFUNCTION("""COMPUTED_VALUE"""),"5291074_1279525")</f>
        <v>5291074_1279525</v>
      </c>
      <c r="B339" s="43" t="str">
        <f>IFERROR(__xludf.DUMMYFUNCTION("""COMPUTED_VALUE"""),"Assia Issoulah")</f>
        <v>Assia Issoulah</v>
      </c>
      <c r="C339" s="43" t="str">
        <f>IFERROR(__xludf.DUMMYFUNCTION("""COMPUTED_VALUE"""),"realized")</f>
        <v>realized</v>
      </c>
      <c r="D339" s="43" t="str">
        <f>IFERROR(__xludf.DUMMYFUNCTION("""COMPUTED_VALUE"""),"No")</f>
        <v>No</v>
      </c>
      <c r="E339" s="43" t="str">
        <f>IFERROR(__xludf.DUMMYFUNCTION("""COMPUTED_VALUE"""),"p_d52c0fbc02e9b34b124e3c9c036be1cf8b513d91@inbound.aiesec.org")</f>
        <v>p_d52c0fbc02e9b34b124e3c9c036be1cf8b513d91@inbound.aiesec.org</v>
      </c>
      <c r="F339" s="43">
        <f>IFERROR(__xludf.DUMMYFUNCTION("""COMPUTED_VALUE"""),6.19149794E8)</f>
        <v>619149794</v>
      </c>
      <c r="G339" s="43" t="str">
        <f>IFERROR(__xludf.DUMMYFUNCTION("""COMPUTED_VALUE"""),"Morocco")</f>
        <v>Morocco</v>
      </c>
      <c r="H339" s="43" t="str">
        <f>IFERROR(__xludf.DUMMYFUNCTION("""COMPUTED_VALUE"""),"Agadir")</f>
        <v>Agadir</v>
      </c>
      <c r="I339" s="43" t="str">
        <f>IFERROR(__xludf.DUMMYFUNCTION("""COMPUTED_VALUE"""),"Turkey")</f>
        <v>Turkey</v>
      </c>
      <c r="J339" s="43" t="str">
        <f>IFERROR(__xludf.DUMMYFUNCTION("""COMPUTED_VALUE"""),"KOCAELI")</f>
        <v>KOCAELI</v>
      </c>
      <c r="K339" s="44" t="str">
        <f>IFERROR(__xludf.DUMMYFUNCTION("""COMPUTED_VALUE"""),"https://expa.aiesec.org/opportunities/1279525")</f>
        <v>https://expa.aiesec.org/opportunities/1279525</v>
      </c>
      <c r="L339" s="43" t="str">
        <f>IFERROR(__xludf.DUMMYFUNCTION("""COMPUTED_VALUE"""),"GTe")</f>
        <v>GTe</v>
      </c>
      <c r="M339" s="43" t="str">
        <f>IFERROR(__xludf.DUMMYFUNCTION("""COMPUTED_VALUE"""),"long")</f>
        <v>long</v>
      </c>
      <c r="N339" s="45">
        <f>IFERROR(__xludf.DUMMYFUNCTION("""COMPUTED_VALUE"""),45139.0)</f>
        <v>45139</v>
      </c>
      <c r="O339" s="45">
        <f>IFERROR(__xludf.DUMMYFUNCTION("""COMPUTED_VALUE"""),45170.0)</f>
        <v>45170</v>
      </c>
      <c r="P339" s="45">
        <f>IFERROR(__xludf.DUMMYFUNCTION("""COMPUTED_VALUE"""),45535.0)</f>
        <v>45535</v>
      </c>
      <c r="Q339" s="45">
        <f>IFERROR(__xludf.DUMMYFUNCTION("""COMPUTED_VALUE"""),45179.0)</f>
        <v>45179</v>
      </c>
      <c r="R339" s="45">
        <f>IFERROR(__xludf.DUMMYFUNCTION("""COMPUTED_VALUE"""),45545.0)</f>
        <v>45545</v>
      </c>
      <c r="S339" s="43"/>
      <c r="T339" s="43"/>
      <c r="U339" s="43" t="str">
        <f>IFERROR(__xludf.DUMMYFUNCTION("""COMPUTED_VALUE"""),"English Teacher in American Life")</f>
        <v>English Teacher in American Life</v>
      </c>
      <c r="V339" s="43" t="str">
        <f>IFERROR(__xludf.DUMMYFUNCTION("""COMPUTED_VALUE"""),"FLSH Agadir")</f>
        <v>FLSH Agadir</v>
      </c>
      <c r="W339" s="43" t="str">
        <f>IFERROR(__xludf.DUMMYFUNCTION("""COMPUTED_VALUE"""),"2023-07-28T17:29:48Z")</f>
        <v>2023-07-28T17:29:48Z</v>
      </c>
      <c r="X339" s="43"/>
      <c r="Y339" s="43"/>
      <c r="Z339" s="43"/>
    </row>
    <row r="340" hidden="1">
      <c r="A340" s="43" t="str">
        <f>IFERROR(__xludf.DUMMYFUNCTION("""COMPUTED_VALUE"""),"5290794_1293244")</f>
        <v>5290794_1293244</v>
      </c>
      <c r="B340" s="43" t="str">
        <f>IFERROR(__xludf.DUMMYFUNCTION("""COMPUTED_VALUE"""),"Sarah Gouda")</f>
        <v>Sarah Gouda</v>
      </c>
      <c r="C340" s="43" t="str">
        <f>IFERROR(__xludf.DUMMYFUNCTION("""COMPUTED_VALUE"""),"realized")</f>
        <v>realized</v>
      </c>
      <c r="D340" s="43" t="str">
        <f>IFERROR(__xludf.DUMMYFUNCTION("""COMPUTED_VALUE"""),"No")</f>
        <v>No</v>
      </c>
      <c r="E340" s="43" t="str">
        <f>IFERROR(__xludf.DUMMYFUNCTION("""COMPUTED_VALUE"""),"p_e0f3de8d2b01a67d4adc8f5e48d9bd8c33cc6eec@inbound.aiesec.org")</f>
        <v>p_e0f3de8d2b01a67d4adc8f5e48d9bd8c33cc6eec@inbound.aiesec.org</v>
      </c>
      <c r="F340" s="43">
        <f>IFERROR(__xludf.DUMMYFUNCTION("""COMPUTED_VALUE"""),1.276495495E9)</f>
        <v>1276495495</v>
      </c>
      <c r="G340" s="43" t="str">
        <f>IFERROR(__xludf.DUMMYFUNCTION("""COMPUTED_VALUE"""),"Egypt")</f>
        <v>Egypt</v>
      </c>
      <c r="H340" s="43" t="str">
        <f>IFERROR(__xludf.DUMMYFUNCTION("""COMPUTED_VALUE"""),"Zagazig")</f>
        <v>Zagazig</v>
      </c>
      <c r="I340" s="43" t="str">
        <f>IFERROR(__xludf.DUMMYFUNCTION("""COMPUTED_VALUE"""),"Turkey")</f>
        <v>Turkey</v>
      </c>
      <c r="J340" s="43" t="str">
        <f>IFERROR(__xludf.DUMMYFUNCTION("""COMPUTED_VALUE"""),"ISTANBUL WEST")</f>
        <v>ISTANBUL WEST</v>
      </c>
      <c r="K340" s="44" t="str">
        <f>IFERROR(__xludf.DUMMYFUNCTION("""COMPUTED_VALUE"""),"https://expa.aiesec.org/opportunities/1293244")</f>
        <v>https://expa.aiesec.org/opportunities/1293244</v>
      </c>
      <c r="L340" s="43" t="str">
        <f>IFERROR(__xludf.DUMMYFUNCTION("""COMPUTED_VALUE"""),"GTe")</f>
        <v>GTe</v>
      </c>
      <c r="M340" s="43" t="str">
        <f>IFERROR(__xludf.DUMMYFUNCTION("""COMPUTED_VALUE"""),"long")</f>
        <v>long</v>
      </c>
      <c r="N340" s="45">
        <f>IFERROR(__xludf.DUMMYFUNCTION("""COMPUTED_VALUE"""),45139.0)</f>
        <v>45139</v>
      </c>
      <c r="O340" s="45">
        <f>IFERROR(__xludf.DUMMYFUNCTION("""COMPUTED_VALUE"""),45153.0)</f>
        <v>45153</v>
      </c>
      <c r="P340" s="45">
        <f>IFERROR(__xludf.DUMMYFUNCTION("""COMPUTED_VALUE"""),45513.0)</f>
        <v>45513</v>
      </c>
      <c r="Q340" s="45">
        <f>IFERROR(__xludf.DUMMYFUNCTION("""COMPUTED_VALUE"""),45181.0)</f>
        <v>45181</v>
      </c>
      <c r="R340" s="45">
        <f>IFERROR(__xludf.DUMMYFUNCTION("""COMPUTED_VALUE"""),45540.0)</f>
        <v>45540</v>
      </c>
      <c r="S340" s="43"/>
      <c r="T340" s="43"/>
      <c r="U340" s="43" t="str">
        <f>IFERROR(__xludf.DUMMYFUNCTION("""COMPUTED_VALUE"""),"English Teacher")</f>
        <v>English Teacher</v>
      </c>
      <c r="V340" s="43" t="str">
        <f>IFERROR(__xludf.DUMMYFUNCTION("""COMPUTED_VALUE"""),"Zagazig")</f>
        <v>Zagazig</v>
      </c>
      <c r="W340" s="43" t="str">
        <f>IFERROR(__xludf.DUMMYFUNCTION("""COMPUTED_VALUE"""),"2023-07-28T12:30:39Z")</f>
        <v>2023-07-28T12:30:39Z</v>
      </c>
      <c r="X340" s="43"/>
      <c r="Y340" s="43"/>
      <c r="Z340" s="43"/>
    </row>
    <row r="341" hidden="1">
      <c r="A341" s="43" t="str">
        <f>IFERROR(__xludf.DUMMYFUNCTION("""COMPUTED_VALUE"""),"5288900_1297711")</f>
        <v>5288900_1297711</v>
      </c>
      <c r="B341" s="43" t="str">
        <f>IFERROR(__xludf.DUMMYFUNCTION("""COMPUTED_VALUE"""),"Eya Dhib")</f>
        <v>Eya Dhib</v>
      </c>
      <c r="C341" s="43" t="str">
        <f>IFERROR(__xludf.DUMMYFUNCTION("""COMPUTED_VALUE"""),"realized")</f>
        <v>realized</v>
      </c>
      <c r="D341" s="43" t="str">
        <f>IFERROR(__xludf.DUMMYFUNCTION("""COMPUTED_VALUE"""),"No")</f>
        <v>No</v>
      </c>
      <c r="E341" s="43" t="str">
        <f>IFERROR(__xludf.DUMMYFUNCTION("""COMPUTED_VALUE"""),"p_7a1f319b9a58d6da1aaff29db4fa09df1aba9162@inbound.aiesec.org")</f>
        <v>p_7a1f319b9a58d6da1aaff29db4fa09df1aba9162@inbound.aiesec.org</v>
      </c>
      <c r="F341" s="43">
        <f>IFERROR(__xludf.DUMMYFUNCTION("""COMPUTED_VALUE"""),2.1999356E7)</f>
        <v>21999356</v>
      </c>
      <c r="G341" s="43" t="str">
        <f>IFERROR(__xludf.DUMMYFUNCTION("""COMPUTED_VALUE"""),"Tunisia")</f>
        <v>Tunisia</v>
      </c>
      <c r="H341" s="43" t="str">
        <f>IFERROR(__xludf.DUMMYFUNCTION("""COMPUTED_VALUE"""),"Carthage")</f>
        <v>Carthage</v>
      </c>
      <c r="I341" s="43" t="str">
        <f>IFERROR(__xludf.DUMMYFUNCTION("""COMPUTED_VALUE"""),"Turkey")</f>
        <v>Turkey</v>
      </c>
      <c r="J341" s="43" t="str">
        <f>IFERROR(__xludf.DUMMYFUNCTION("""COMPUTED_VALUE"""),"KOCAELI")</f>
        <v>KOCAELI</v>
      </c>
      <c r="K341" s="44" t="str">
        <f>IFERROR(__xludf.DUMMYFUNCTION("""COMPUTED_VALUE"""),"https://expa.aiesec.org/opportunities/1297711")</f>
        <v>https://expa.aiesec.org/opportunities/1297711</v>
      </c>
      <c r="L341" s="43" t="str">
        <f>IFERROR(__xludf.DUMMYFUNCTION("""COMPUTED_VALUE"""),"GTe")</f>
        <v>GTe</v>
      </c>
      <c r="M341" s="43" t="str">
        <f>IFERROR(__xludf.DUMMYFUNCTION("""COMPUTED_VALUE"""),"long")</f>
        <v>long</v>
      </c>
      <c r="N341" s="45">
        <f>IFERROR(__xludf.DUMMYFUNCTION("""COMPUTED_VALUE"""),45139.0)</f>
        <v>45139</v>
      </c>
      <c r="O341" s="45">
        <f>IFERROR(__xludf.DUMMYFUNCTION("""COMPUTED_VALUE"""),45170.0)</f>
        <v>45170</v>
      </c>
      <c r="P341" s="45">
        <f>IFERROR(__xludf.DUMMYFUNCTION("""COMPUTED_VALUE"""),45473.0)</f>
        <v>45473</v>
      </c>
      <c r="Q341" s="45">
        <f>IFERROR(__xludf.DUMMYFUNCTION("""COMPUTED_VALUE"""),45179.0)</f>
        <v>45179</v>
      </c>
      <c r="R341" s="45">
        <f>IFERROR(__xludf.DUMMYFUNCTION("""COMPUTED_VALUE"""),45483.0)</f>
        <v>45483</v>
      </c>
      <c r="S341" s="43"/>
      <c r="T341" s="43"/>
      <c r="U341" s="43" t="str">
        <f>IFERROR(__xludf.DUMMYFUNCTION("""COMPUTED_VALUE"""),"English Teacher in British Culture")</f>
        <v>English Teacher in British Culture</v>
      </c>
      <c r="V341" s="43" t="str">
        <f>IFERROR(__xludf.DUMMYFUNCTION("""COMPUTED_VALUE"""),"ISLT")</f>
        <v>ISLT</v>
      </c>
      <c r="W341" s="43" t="str">
        <f>IFERROR(__xludf.DUMMYFUNCTION("""COMPUTED_VALUE"""),"2023-07-24T17:35:45Z")</f>
        <v>2023-07-24T17:35:45Z</v>
      </c>
      <c r="X341" s="43"/>
      <c r="Y341" s="43"/>
      <c r="Z341" s="43"/>
    </row>
    <row r="342" hidden="1">
      <c r="A342" s="43" t="str">
        <f>IFERROR(__xludf.DUMMYFUNCTION("""COMPUTED_VALUE"""),"5286874_1286839")</f>
        <v>5286874_1286839</v>
      </c>
      <c r="B342" s="43" t="str">
        <f>IFERROR(__xludf.DUMMYFUNCTION("""COMPUTED_VALUE"""),"Rehab Chihab")</f>
        <v>Rehab Chihab</v>
      </c>
      <c r="C342" s="43" t="str">
        <f>IFERROR(__xludf.DUMMYFUNCTION("""COMPUTED_VALUE"""),"realized")</f>
        <v>realized</v>
      </c>
      <c r="D342" s="43" t="str">
        <f>IFERROR(__xludf.DUMMYFUNCTION("""COMPUTED_VALUE"""),"No")</f>
        <v>No</v>
      </c>
      <c r="E342" s="43" t="str">
        <f>IFERROR(__xludf.DUMMYFUNCTION("""COMPUTED_VALUE"""),"p_c1968e9cb0c3396aeda93da34b3fa484de5b3a0a@inbound.aiesec.org")</f>
        <v>p_c1968e9cb0c3396aeda93da34b3fa484de5b3a0a@inbound.aiesec.org</v>
      </c>
      <c r="F342" s="43"/>
      <c r="G342" s="43" t="str">
        <f>IFERROR(__xludf.DUMMYFUNCTION("""COMPUTED_VALUE"""),"Tunisia")</f>
        <v>Tunisia</v>
      </c>
      <c r="H342" s="43" t="str">
        <f>IFERROR(__xludf.DUMMYFUNCTION("""COMPUTED_VALUE"""),"HADRUMET")</f>
        <v>HADRUMET</v>
      </c>
      <c r="I342" s="43" t="str">
        <f>IFERROR(__xludf.DUMMYFUNCTION("""COMPUTED_VALUE"""),"Turkey")</f>
        <v>Turkey</v>
      </c>
      <c r="J342" s="43" t="str">
        <f>IFERROR(__xludf.DUMMYFUNCTION("""COMPUTED_VALUE"""),"ISTANBUL WEST")</f>
        <v>ISTANBUL WEST</v>
      </c>
      <c r="K342" s="44" t="str">
        <f>IFERROR(__xludf.DUMMYFUNCTION("""COMPUTED_VALUE"""),"https://expa.aiesec.org/opportunities/1286839")</f>
        <v>https://expa.aiesec.org/opportunities/1286839</v>
      </c>
      <c r="L342" s="43" t="str">
        <f>IFERROR(__xludf.DUMMYFUNCTION("""COMPUTED_VALUE"""),"GTe")</f>
        <v>GTe</v>
      </c>
      <c r="M342" s="43" t="str">
        <f>IFERROR(__xludf.DUMMYFUNCTION("""COMPUTED_VALUE"""),"long")</f>
        <v>long</v>
      </c>
      <c r="N342" s="45">
        <f>IFERROR(__xludf.DUMMYFUNCTION("""COMPUTED_VALUE"""),45140.0)</f>
        <v>45140</v>
      </c>
      <c r="O342" s="45">
        <f>IFERROR(__xludf.DUMMYFUNCTION("""COMPUTED_VALUE"""),45159.0)</f>
        <v>45159</v>
      </c>
      <c r="P342" s="45">
        <f>IFERROR(__xludf.DUMMYFUNCTION("""COMPUTED_VALUE"""),45520.0)</f>
        <v>45520</v>
      </c>
      <c r="Q342" s="45">
        <f>IFERROR(__xludf.DUMMYFUNCTION("""COMPUTED_VALUE"""),45158.0)</f>
        <v>45158</v>
      </c>
      <c r="R342" s="45">
        <f>IFERROR(__xludf.DUMMYFUNCTION("""COMPUTED_VALUE"""),45523.0)</f>
        <v>45523</v>
      </c>
      <c r="S342" s="43"/>
      <c r="T342" s="43" t="str">
        <f>IFERROR(__xludf.DUMMYFUNCTION("""COMPUTED_VALUE"""),"Business Development")</f>
        <v>Business Development</v>
      </c>
      <c r="U342" s="43" t="str">
        <f>IFERROR(__xludf.DUMMYFUNCTION("""COMPUTED_VALUE"""),"Pre-School Teacher at Istanbul AIKA/Florya ")</f>
        <v>Pre-School Teacher at Istanbul AIKA/Florya </v>
      </c>
      <c r="V342" s="43" t="str">
        <f>IFERROR(__xludf.DUMMYFUNCTION("""COMPUTED_VALUE"""),"-")</f>
        <v>-</v>
      </c>
      <c r="W342" s="43" t="str">
        <f>IFERROR(__xludf.DUMMYFUNCTION("""COMPUTED_VALUE"""),"2023-07-18T20:47:35Z")</f>
        <v>2023-07-18T20:47:35Z</v>
      </c>
      <c r="X342" s="43"/>
      <c r="Y342" s="43"/>
      <c r="Z342" s="43"/>
    </row>
    <row r="343" hidden="1">
      <c r="A343" s="43" t="str">
        <f>IFERROR(__xludf.DUMMYFUNCTION("""COMPUTED_VALUE"""),"5279488_1297652")</f>
        <v>5279488_1297652</v>
      </c>
      <c r="B343" s="43" t="str">
        <f>IFERROR(__xludf.DUMMYFUNCTION("""COMPUTED_VALUE"""),"M'hamed Ben Badida")</f>
        <v>M'hamed Ben Badida</v>
      </c>
      <c r="C343" s="43" t="str">
        <f>IFERROR(__xludf.DUMMYFUNCTION("""COMPUTED_VALUE"""),"approved")</f>
        <v>approved</v>
      </c>
      <c r="D343" s="43" t="str">
        <f>IFERROR(__xludf.DUMMYFUNCTION("""COMPUTED_VALUE"""),"No")</f>
        <v>No</v>
      </c>
      <c r="E343" s="43" t="str">
        <f>IFERROR(__xludf.DUMMYFUNCTION("""COMPUTED_VALUE"""),"p_1c4df789930685e849f84213e6d3f32ec670a2d5@inbound.aiesec.org")</f>
        <v>p_1c4df789930685e849f84213e6d3f32ec670a2d5@inbound.aiesec.org</v>
      </c>
      <c r="F343" s="43">
        <f>IFERROR(__xludf.DUMMYFUNCTION("""COMPUTED_VALUE"""),7.01739751E8)</f>
        <v>701739751</v>
      </c>
      <c r="G343" s="43" t="str">
        <f>IFERROR(__xludf.DUMMYFUNCTION("""COMPUTED_VALUE"""),"Morocco")</f>
        <v>Morocco</v>
      </c>
      <c r="H343" s="43" t="str">
        <f>IFERROR(__xludf.DUMMYFUNCTION("""COMPUTED_VALUE"""),"Agadir")</f>
        <v>Agadir</v>
      </c>
      <c r="I343" s="43" t="str">
        <f>IFERROR(__xludf.DUMMYFUNCTION("""COMPUTED_VALUE"""),"Turkey")</f>
        <v>Turkey</v>
      </c>
      <c r="J343" s="43" t="str">
        <f>IFERROR(__xludf.DUMMYFUNCTION("""COMPUTED_VALUE"""),"İZMİR")</f>
        <v>İZMİR</v>
      </c>
      <c r="K343" s="44" t="str">
        <f>IFERROR(__xludf.DUMMYFUNCTION("""COMPUTED_VALUE"""),"https://expa.aiesec.org/opportunities/1297652")</f>
        <v>https://expa.aiesec.org/opportunities/1297652</v>
      </c>
      <c r="L343" s="43" t="str">
        <f>IFERROR(__xludf.DUMMYFUNCTION("""COMPUTED_VALUE"""),"GTe")</f>
        <v>GTe</v>
      </c>
      <c r="M343" s="43" t="str">
        <f>IFERROR(__xludf.DUMMYFUNCTION("""COMPUTED_VALUE"""),"long")</f>
        <v>long</v>
      </c>
      <c r="N343" s="45">
        <f>IFERROR(__xludf.DUMMYFUNCTION("""COMPUTED_VALUE"""),45140.0)</f>
        <v>45140</v>
      </c>
      <c r="O343" s="45">
        <f>IFERROR(__xludf.DUMMYFUNCTION("""COMPUTED_VALUE"""),45169.0)</f>
        <v>45169</v>
      </c>
      <c r="P343" s="45">
        <f>IFERROR(__xludf.DUMMYFUNCTION("""COMPUTED_VALUE"""),45473.0)</f>
        <v>45473</v>
      </c>
      <c r="Q343" s="45"/>
      <c r="R343" s="45"/>
      <c r="S343" s="43"/>
      <c r="T343" s="43"/>
      <c r="U343" s="43" t="str">
        <f>IFERROR(__xludf.DUMMYFUNCTION("""COMPUTED_VALUE"""),"Language Teacher")</f>
        <v>Language Teacher</v>
      </c>
      <c r="V343" s="43" t="str">
        <f>IFERROR(__xludf.DUMMYFUNCTION("""COMPUTED_VALUE"""),"FLSH Agadir")</f>
        <v>FLSH Agadir</v>
      </c>
      <c r="W343" s="43" t="str">
        <f>IFERROR(__xludf.DUMMYFUNCTION("""COMPUTED_VALUE"""),"2023-06-26T10:47:21Z")</f>
        <v>2023-06-26T10:47:21Z</v>
      </c>
      <c r="X343" s="43"/>
      <c r="Y343" s="43"/>
      <c r="Z343" s="43"/>
    </row>
    <row r="344" hidden="1">
      <c r="A344" s="43" t="str">
        <f>IFERROR(__xludf.DUMMYFUNCTION("""COMPUTED_VALUE"""),"5293207_1296851")</f>
        <v>5293207_1296851</v>
      </c>
      <c r="B344" s="43" t="str">
        <f>IFERROR(__xludf.DUMMYFUNCTION("""COMPUTED_VALUE"""),"Marwa Djobby")</f>
        <v>Marwa Djobby</v>
      </c>
      <c r="C344" s="43" t="str">
        <f>IFERROR(__xludf.DUMMYFUNCTION("""COMPUTED_VALUE"""),"realized")</f>
        <v>realized</v>
      </c>
      <c r="D344" s="43" t="str">
        <f>IFERROR(__xludf.DUMMYFUNCTION("""COMPUTED_VALUE"""),"No")</f>
        <v>No</v>
      </c>
      <c r="E344" s="43" t="str">
        <f>IFERROR(__xludf.DUMMYFUNCTION("""COMPUTED_VALUE"""),"p_586eb61670b5a742c538fd135ea91c7dcf248e74@inbound.aiesec.org")</f>
        <v>p_586eb61670b5a742c538fd135ea91c7dcf248e74@inbound.aiesec.org</v>
      </c>
      <c r="F344" s="43">
        <f>IFERROR(__xludf.DUMMYFUNCTION("""COMPUTED_VALUE"""),5.2483905E7)</f>
        <v>52483905</v>
      </c>
      <c r="G344" s="43" t="str">
        <f>IFERROR(__xludf.DUMMYFUNCTION("""COMPUTED_VALUE"""),"Tunisia")</f>
        <v>Tunisia</v>
      </c>
      <c r="H344" s="43" t="str">
        <f>IFERROR(__xludf.DUMMYFUNCTION("""COMPUTED_VALUE"""),"BARDO")</f>
        <v>BARDO</v>
      </c>
      <c r="I344" s="43" t="str">
        <f>IFERROR(__xludf.DUMMYFUNCTION("""COMPUTED_VALUE"""),"Turkey")</f>
        <v>Turkey</v>
      </c>
      <c r="J344" s="43" t="str">
        <f>IFERROR(__xludf.DUMMYFUNCTION("""COMPUTED_VALUE"""),"ISTANBUL")</f>
        <v>ISTANBUL</v>
      </c>
      <c r="K344" s="44" t="str">
        <f>IFERROR(__xludf.DUMMYFUNCTION("""COMPUTED_VALUE"""),"https://expa.aiesec.org/opportunities/1296851")</f>
        <v>https://expa.aiesec.org/opportunities/1296851</v>
      </c>
      <c r="L344" s="43" t="str">
        <f>IFERROR(__xludf.DUMMYFUNCTION("""COMPUTED_VALUE"""),"GTe")</f>
        <v>GTe</v>
      </c>
      <c r="M344" s="43" t="str">
        <f>IFERROR(__xludf.DUMMYFUNCTION("""COMPUTED_VALUE"""),"long")</f>
        <v>long</v>
      </c>
      <c r="N344" s="45">
        <f>IFERROR(__xludf.DUMMYFUNCTION("""COMPUTED_VALUE"""),45141.0)</f>
        <v>45141</v>
      </c>
      <c r="O344" s="45">
        <f>IFERROR(__xludf.DUMMYFUNCTION("""COMPUTED_VALUE"""),45173.0)</f>
        <v>45173</v>
      </c>
      <c r="P344" s="45">
        <f>IFERROR(__xludf.DUMMYFUNCTION("""COMPUTED_VALUE"""),45513.0)</f>
        <v>45513</v>
      </c>
      <c r="Q344" s="45">
        <f>IFERROR(__xludf.DUMMYFUNCTION("""COMPUTED_VALUE"""),45175.0)</f>
        <v>45175</v>
      </c>
      <c r="R344" s="45">
        <f>IFERROR(__xludf.DUMMYFUNCTION("""COMPUTED_VALUE"""),45513.0)</f>
        <v>45513</v>
      </c>
      <c r="S344" s="43"/>
      <c r="T344" s="43"/>
      <c r="U344" s="43" t="str">
        <f>IFERROR(__xludf.DUMMYFUNCTION("""COMPUTED_VALUE"""),"English Teacher in Istanbul")</f>
        <v>English Teacher in Istanbul</v>
      </c>
      <c r="V344" s="43" t="str">
        <f>IFERROR(__xludf.DUMMYFUNCTION("""COMPUTED_VALUE"""),"ISBAT")</f>
        <v>ISBAT</v>
      </c>
      <c r="W344" s="43" t="str">
        <f>IFERROR(__xludf.DUMMYFUNCTION("""COMPUTED_VALUE"""),"2023-08-02T12:10:37Z")</f>
        <v>2023-08-02T12:10:37Z</v>
      </c>
      <c r="X344" s="43"/>
      <c r="Y344" s="43"/>
      <c r="Z344" s="43"/>
    </row>
    <row r="345" hidden="1">
      <c r="A345" s="43" t="str">
        <f>IFERROR(__xludf.DUMMYFUNCTION("""COMPUTED_VALUE"""),"5162160_1286059")</f>
        <v>5162160_1286059</v>
      </c>
      <c r="B345" s="43" t="str">
        <f>IFERROR(__xludf.DUMMYFUNCTION("""COMPUTED_VALUE"""),"Ouahiba ABDAOUI")</f>
        <v>Ouahiba ABDAOUI</v>
      </c>
      <c r="C345" s="43" t="str">
        <f>IFERROR(__xludf.DUMMYFUNCTION("""COMPUTED_VALUE"""),"realization_broken")</f>
        <v>realization_broken</v>
      </c>
      <c r="D345" s="43" t="str">
        <f>IFERROR(__xludf.DUMMYFUNCTION("""COMPUTED_VALUE"""),"No")</f>
        <v>No</v>
      </c>
      <c r="E345" s="43" t="str">
        <f>IFERROR(__xludf.DUMMYFUNCTION("""COMPUTED_VALUE"""),"p_a6b6bd0de9f2e39c066e65433d4abde1bfb0955c@inbound.aiesec.org")</f>
        <v>p_a6b6bd0de9f2e39c066e65433d4abde1bfb0955c@inbound.aiesec.org</v>
      </c>
      <c r="F345" s="43"/>
      <c r="G345" s="43" t="str">
        <f>IFERROR(__xludf.DUMMYFUNCTION("""COMPUTED_VALUE"""),"Algeria")</f>
        <v>Algeria</v>
      </c>
      <c r="H345" s="43" t="str">
        <f>IFERROR(__xludf.DUMMYFUNCTION("""COMPUTED_VALUE"""),"Tlemcen")</f>
        <v>Tlemcen</v>
      </c>
      <c r="I345" s="43" t="str">
        <f>IFERROR(__xludf.DUMMYFUNCTION("""COMPUTED_VALUE"""),"Turkey")</f>
        <v>Turkey</v>
      </c>
      <c r="J345" s="43" t="str">
        <f>IFERROR(__xludf.DUMMYFUNCTION("""COMPUTED_VALUE"""),"İZMİR")</f>
        <v>İZMİR</v>
      </c>
      <c r="K345" s="44" t="str">
        <f>IFERROR(__xludf.DUMMYFUNCTION("""COMPUTED_VALUE"""),"https://expa.aiesec.org/opportunities/1286059")</f>
        <v>https://expa.aiesec.org/opportunities/1286059</v>
      </c>
      <c r="L345" s="43" t="str">
        <f>IFERROR(__xludf.DUMMYFUNCTION("""COMPUTED_VALUE"""),"GTe")</f>
        <v>GTe</v>
      </c>
      <c r="M345" s="43" t="str">
        <f>IFERROR(__xludf.DUMMYFUNCTION("""COMPUTED_VALUE"""),"long")</f>
        <v>long</v>
      </c>
      <c r="N345" s="45">
        <f>IFERROR(__xludf.DUMMYFUNCTION("""COMPUTED_VALUE"""),45141.0)</f>
        <v>45141</v>
      </c>
      <c r="O345" s="45">
        <f>IFERROR(__xludf.DUMMYFUNCTION("""COMPUTED_VALUE"""),45199.0)</f>
        <v>45199</v>
      </c>
      <c r="P345" s="45">
        <f>IFERROR(__xludf.DUMMYFUNCTION("""COMPUTED_VALUE"""),45564.0)</f>
        <v>45564</v>
      </c>
      <c r="Q345" s="45"/>
      <c r="R345" s="45"/>
      <c r="S345" s="43"/>
      <c r="T345" s="43"/>
      <c r="U345" s="43" t="str">
        <f>IFERROR(__xludf.DUMMYFUNCTION("""COMPUTED_VALUE"""),"English Teacher in Aydın")</f>
        <v>English Teacher in Aydın</v>
      </c>
      <c r="V345" s="43" t="str">
        <f>IFERROR(__xludf.DUMMYFUNCTION("""COMPUTED_VALUE"""),"-")</f>
        <v>-</v>
      </c>
      <c r="W345" s="43" t="str">
        <f>IFERROR(__xludf.DUMMYFUNCTION("""COMPUTED_VALUE"""),"2022-12-03T11:58:29Z")</f>
        <v>2022-12-03T11:58:29Z</v>
      </c>
      <c r="X345" s="43"/>
      <c r="Y345" s="43"/>
      <c r="Z345" s="43"/>
    </row>
    <row r="346" hidden="1">
      <c r="A346" s="43" t="str">
        <f>IFERROR(__xludf.DUMMYFUNCTION("""COMPUTED_VALUE"""),"5240638_1297355")</f>
        <v>5240638_1297355</v>
      </c>
      <c r="B346" s="43" t="str">
        <f>IFERROR(__xludf.DUMMYFUNCTION("""COMPUTED_VALUE"""),"Fezile Duduzile Mabila")</f>
        <v>Fezile Duduzile Mabila</v>
      </c>
      <c r="C346" s="43" t="str">
        <f>IFERROR(__xludf.DUMMYFUNCTION("""COMPUTED_VALUE"""),"approved")</f>
        <v>approved</v>
      </c>
      <c r="D346" s="43" t="str">
        <f>IFERROR(__xludf.DUMMYFUNCTION("""COMPUTED_VALUE"""),"No")</f>
        <v>No</v>
      </c>
      <c r="E346" s="43" t="str">
        <f>IFERROR(__xludf.DUMMYFUNCTION("""COMPUTED_VALUE"""),"p_9a2658ef94c086f08370891ab6d44685b52bc3f2@inbound.aiesec.org")</f>
        <v>p_9a2658ef94c086f08370891ab6d44685b52bc3f2@inbound.aiesec.org</v>
      </c>
      <c r="F346" s="43">
        <f>IFERROR(__xludf.DUMMYFUNCTION("""COMPUTED_VALUE"""),8.1565444E8)</f>
        <v>815654440</v>
      </c>
      <c r="G346" s="43" t="str">
        <f>IFERROR(__xludf.DUMMYFUNCTION("""COMPUTED_VALUE"""),"South Africa")</f>
        <v>South Africa</v>
      </c>
      <c r="H346" s="43" t="str">
        <f>IFERROR(__xludf.DUMMYFUNCTION("""COMPUTED_VALUE"""),"University of Pretoria")</f>
        <v>University of Pretoria</v>
      </c>
      <c r="I346" s="43" t="str">
        <f>IFERROR(__xludf.DUMMYFUNCTION("""COMPUTED_VALUE"""),"Turkey")</f>
        <v>Turkey</v>
      </c>
      <c r="J346" s="43" t="str">
        <f>IFERROR(__xludf.DUMMYFUNCTION("""COMPUTED_VALUE"""),"ADANA")</f>
        <v>ADANA</v>
      </c>
      <c r="K346" s="44" t="str">
        <f>IFERROR(__xludf.DUMMYFUNCTION("""COMPUTED_VALUE"""),"https://expa.aiesec.org/opportunities/1297355")</f>
        <v>https://expa.aiesec.org/opportunities/1297355</v>
      </c>
      <c r="L346" s="43" t="str">
        <f>IFERROR(__xludf.DUMMYFUNCTION("""COMPUTED_VALUE"""),"GTe")</f>
        <v>GTe</v>
      </c>
      <c r="M346" s="43" t="str">
        <f>IFERROR(__xludf.DUMMYFUNCTION("""COMPUTED_VALUE"""),"long")</f>
        <v>long</v>
      </c>
      <c r="N346" s="45">
        <f>IFERROR(__xludf.DUMMYFUNCTION("""COMPUTED_VALUE"""),45143.0)</f>
        <v>45143</v>
      </c>
      <c r="O346" s="45">
        <f>IFERROR(__xludf.DUMMYFUNCTION("""COMPUTED_VALUE"""),45187.0)</f>
        <v>45187</v>
      </c>
      <c r="P346" s="45">
        <f>IFERROR(__xludf.DUMMYFUNCTION("""COMPUTED_VALUE"""),45467.0)</f>
        <v>45467</v>
      </c>
      <c r="Q346" s="45"/>
      <c r="R346" s="45"/>
      <c r="S346" s="43"/>
      <c r="T346" s="43"/>
      <c r="U346" s="43" t="str">
        <f>IFERROR(__xludf.DUMMYFUNCTION("""COMPUTED_VALUE"""),"Pre-School Teacher")</f>
        <v>Pre-School Teacher</v>
      </c>
      <c r="V346" s="43" t="str">
        <f>IFERROR(__xludf.DUMMYFUNCTION("""COMPUTED_VALUE"""),"University of Pretoria")</f>
        <v>University of Pretoria</v>
      </c>
      <c r="W346" s="43" t="str">
        <f>IFERROR(__xludf.DUMMYFUNCTION("""COMPUTED_VALUE"""),"2023-04-12T18:32:28Z")</f>
        <v>2023-04-12T18:32:28Z</v>
      </c>
      <c r="X346" s="43"/>
      <c r="Y346" s="43"/>
      <c r="Z346" s="43"/>
    </row>
    <row r="347" hidden="1">
      <c r="A347" s="43" t="str">
        <f>IFERROR(__xludf.DUMMYFUNCTION("""COMPUTED_VALUE"""),"5296881_1286839")</f>
        <v>5296881_1286839</v>
      </c>
      <c r="B347" s="43" t="str">
        <f>IFERROR(__xludf.DUMMYFUNCTION("""COMPUTED_VALUE"""),"chaimi wafaa")</f>
        <v>chaimi wafaa</v>
      </c>
      <c r="C347" s="43" t="str">
        <f>IFERROR(__xludf.DUMMYFUNCTION("""COMPUTED_VALUE"""),"realized")</f>
        <v>realized</v>
      </c>
      <c r="D347" s="43" t="str">
        <f>IFERROR(__xludf.DUMMYFUNCTION("""COMPUTED_VALUE"""),"No")</f>
        <v>No</v>
      </c>
      <c r="E347" s="43" t="str">
        <f>IFERROR(__xludf.DUMMYFUNCTION("""COMPUTED_VALUE"""),"p_d275392c1dfa15db87a0aab515f69b7421422d8b@inbound.aiesec.org")</f>
        <v>p_d275392c1dfa15db87a0aab515f69b7421422d8b@inbound.aiesec.org</v>
      </c>
      <c r="F347" s="43">
        <f>IFERROR(__xludf.DUMMYFUNCTION("""COMPUTED_VALUE"""),5.53088947E8)</f>
        <v>553088947</v>
      </c>
      <c r="G347" s="43" t="str">
        <f>IFERROR(__xludf.DUMMYFUNCTION("""COMPUTED_VALUE"""),"Algeria")</f>
        <v>Algeria</v>
      </c>
      <c r="H347" s="43" t="str">
        <f>IFERROR(__xludf.DUMMYFUNCTION("""COMPUTED_VALUE"""),"Oran")</f>
        <v>Oran</v>
      </c>
      <c r="I347" s="43" t="str">
        <f>IFERROR(__xludf.DUMMYFUNCTION("""COMPUTED_VALUE"""),"Turkey")</f>
        <v>Turkey</v>
      </c>
      <c r="J347" s="43" t="str">
        <f>IFERROR(__xludf.DUMMYFUNCTION("""COMPUTED_VALUE"""),"ISTANBUL WEST")</f>
        <v>ISTANBUL WEST</v>
      </c>
      <c r="K347" s="44" t="str">
        <f>IFERROR(__xludf.DUMMYFUNCTION("""COMPUTED_VALUE"""),"https://expa.aiesec.org/opportunities/1286839")</f>
        <v>https://expa.aiesec.org/opportunities/1286839</v>
      </c>
      <c r="L347" s="43" t="str">
        <f>IFERROR(__xludf.DUMMYFUNCTION("""COMPUTED_VALUE"""),"GTe")</f>
        <v>GTe</v>
      </c>
      <c r="M347" s="43" t="str">
        <f>IFERROR(__xludf.DUMMYFUNCTION("""COMPUTED_VALUE"""),"long")</f>
        <v>long</v>
      </c>
      <c r="N347" s="45">
        <f>IFERROR(__xludf.DUMMYFUNCTION("""COMPUTED_VALUE"""),45143.0)</f>
        <v>45143</v>
      </c>
      <c r="O347" s="45">
        <f>IFERROR(__xludf.DUMMYFUNCTION("""COMPUTED_VALUE"""),45169.0)</f>
        <v>45169</v>
      </c>
      <c r="P347" s="45">
        <f>IFERROR(__xludf.DUMMYFUNCTION("""COMPUTED_VALUE"""),45523.0)</f>
        <v>45523</v>
      </c>
      <c r="Q347" s="45">
        <f>IFERROR(__xludf.DUMMYFUNCTION("""COMPUTED_VALUE"""),45158.0)</f>
        <v>45158</v>
      </c>
      <c r="R347" s="45">
        <f>IFERROR(__xludf.DUMMYFUNCTION("""COMPUTED_VALUE"""),45523.0)</f>
        <v>45523</v>
      </c>
      <c r="S347" s="43"/>
      <c r="T347" s="43" t="str">
        <f>IFERROR(__xludf.DUMMYFUNCTION("""COMPUTED_VALUE"""),"Business Development")</f>
        <v>Business Development</v>
      </c>
      <c r="U347" s="43" t="str">
        <f>IFERROR(__xludf.DUMMYFUNCTION("""COMPUTED_VALUE"""),"Pre-School Teacher at Istanbul AIKA/Florya ")</f>
        <v>Pre-School Teacher at Istanbul AIKA/Florya </v>
      </c>
      <c r="V347" s="43" t="str">
        <f>IFERROR(__xludf.DUMMYFUNCTION("""COMPUTED_VALUE"""),"AIESEC in Oran")</f>
        <v>AIESEC in Oran</v>
      </c>
      <c r="W347" s="43" t="str">
        <f>IFERROR(__xludf.DUMMYFUNCTION("""COMPUTED_VALUE"""),"2023-08-04T14:00:48Z")</f>
        <v>2023-08-04T14:00:48Z</v>
      </c>
      <c r="X347" s="43"/>
      <c r="Y347" s="43"/>
      <c r="Z347" s="43"/>
    </row>
    <row r="348" hidden="1">
      <c r="A348" s="43" t="str">
        <f>IFERROR(__xludf.DUMMYFUNCTION("""COMPUTED_VALUE"""),"5285539_1286839")</f>
        <v>5285539_1286839</v>
      </c>
      <c r="B348" s="43" t="str">
        <f>IFERROR(__xludf.DUMMYFUNCTION("""COMPUTED_VALUE"""),"Hoorain Amjad")</f>
        <v>Hoorain Amjad</v>
      </c>
      <c r="C348" s="43" t="str">
        <f>IFERROR(__xludf.DUMMYFUNCTION("""COMPUTED_VALUE"""),"realized")</f>
        <v>realized</v>
      </c>
      <c r="D348" s="43" t="str">
        <f>IFERROR(__xludf.DUMMYFUNCTION("""COMPUTED_VALUE"""),"No")</f>
        <v>No</v>
      </c>
      <c r="E348" s="43" t="str">
        <f>IFERROR(__xludf.DUMMYFUNCTION("""COMPUTED_VALUE"""),"p_1fd81c91987cd5b36834418fc646f560e3748a2a@inbound.aiesec.org")</f>
        <v>p_1fd81c91987cd5b36834418fc646f560e3748a2a@inbound.aiesec.org</v>
      </c>
      <c r="F348" s="43">
        <f>IFERROR(__xludf.DUMMYFUNCTION("""COMPUTED_VALUE"""),3.247188E9)</f>
        <v>3247188000</v>
      </c>
      <c r="G348" s="43" t="str">
        <f>IFERROR(__xludf.DUMMYFUNCTION("""COMPUTED_VALUE"""),"Pakistan")</f>
        <v>Pakistan</v>
      </c>
      <c r="H348" s="43" t="str">
        <f>IFERROR(__xludf.DUMMYFUNCTION("""COMPUTED_VALUE"""),"Multan")</f>
        <v>Multan</v>
      </c>
      <c r="I348" s="43" t="str">
        <f>IFERROR(__xludf.DUMMYFUNCTION("""COMPUTED_VALUE"""),"Turkey")</f>
        <v>Turkey</v>
      </c>
      <c r="J348" s="43" t="str">
        <f>IFERROR(__xludf.DUMMYFUNCTION("""COMPUTED_VALUE"""),"ISTANBUL WEST")</f>
        <v>ISTANBUL WEST</v>
      </c>
      <c r="K348" s="44" t="str">
        <f>IFERROR(__xludf.DUMMYFUNCTION("""COMPUTED_VALUE"""),"https://expa.aiesec.org/opportunities/1286839")</f>
        <v>https://expa.aiesec.org/opportunities/1286839</v>
      </c>
      <c r="L348" s="43" t="str">
        <f>IFERROR(__xludf.DUMMYFUNCTION("""COMPUTED_VALUE"""),"GTe")</f>
        <v>GTe</v>
      </c>
      <c r="M348" s="43" t="str">
        <f>IFERROR(__xludf.DUMMYFUNCTION("""COMPUTED_VALUE"""),"long")</f>
        <v>long</v>
      </c>
      <c r="N348" s="45">
        <f>IFERROR(__xludf.DUMMYFUNCTION("""COMPUTED_VALUE"""),45144.0)</f>
        <v>45144</v>
      </c>
      <c r="O348" s="45">
        <f>IFERROR(__xludf.DUMMYFUNCTION("""COMPUTED_VALUE"""),45169.0)</f>
        <v>45169</v>
      </c>
      <c r="P348" s="45">
        <f>IFERROR(__xludf.DUMMYFUNCTION("""COMPUTED_VALUE"""),45523.0)</f>
        <v>45523</v>
      </c>
      <c r="Q348" s="45">
        <f>IFERROR(__xludf.DUMMYFUNCTION("""COMPUTED_VALUE"""),45181.0)</f>
        <v>45181</v>
      </c>
      <c r="R348" s="45">
        <f>IFERROR(__xludf.DUMMYFUNCTION("""COMPUTED_VALUE"""),45535.0)</f>
        <v>45535</v>
      </c>
      <c r="S348" s="43"/>
      <c r="T348" s="43" t="str">
        <f>IFERROR(__xludf.DUMMYFUNCTION("""COMPUTED_VALUE"""),"Business Development")</f>
        <v>Business Development</v>
      </c>
      <c r="U348" s="43" t="str">
        <f>IFERROR(__xludf.DUMMYFUNCTION("""COMPUTED_VALUE"""),"Pre-School Teacher at Istanbul AIKA/Florya ")</f>
        <v>Pre-School Teacher at Istanbul AIKA/Florya </v>
      </c>
      <c r="V348" s="43" t="str">
        <f>IFERROR(__xludf.DUMMYFUNCTION("""COMPUTED_VALUE"""),"Multan - Other")</f>
        <v>Multan - Other</v>
      </c>
      <c r="W348" s="43" t="str">
        <f>IFERROR(__xludf.DUMMYFUNCTION("""COMPUTED_VALUE"""),"2023-07-15T15:41:46Z")</f>
        <v>2023-07-15T15:41:46Z</v>
      </c>
      <c r="X348" s="43"/>
      <c r="Y348" s="43"/>
      <c r="Z348" s="43"/>
    </row>
    <row r="349" hidden="1">
      <c r="A349" s="43" t="str">
        <f>IFERROR(__xludf.DUMMYFUNCTION("""COMPUTED_VALUE"""),"5291900_1295566")</f>
        <v>5291900_1295566</v>
      </c>
      <c r="B349" s="43" t="str">
        <f>IFERROR(__xludf.DUMMYFUNCTION("""COMPUTED_VALUE"""),"Rayenne Skhiri")</f>
        <v>Rayenne Skhiri</v>
      </c>
      <c r="C349" s="43" t="str">
        <f>IFERROR(__xludf.DUMMYFUNCTION("""COMPUTED_VALUE"""),"realized")</f>
        <v>realized</v>
      </c>
      <c r="D349" s="43" t="str">
        <f>IFERROR(__xludf.DUMMYFUNCTION("""COMPUTED_VALUE"""),"No")</f>
        <v>No</v>
      </c>
      <c r="E349" s="43" t="str">
        <f>IFERROR(__xludf.DUMMYFUNCTION("""COMPUTED_VALUE"""),"p_7b238898593cd45cbc1be7d72fc25de1a90e1ec6@inbound.aiesec.org")</f>
        <v>p_7b238898593cd45cbc1be7d72fc25de1a90e1ec6@inbound.aiesec.org</v>
      </c>
      <c r="F349" s="43">
        <f>IFERROR(__xludf.DUMMYFUNCTION("""COMPUTED_VALUE"""),2.1620162E7)</f>
        <v>21620162</v>
      </c>
      <c r="G349" s="43" t="str">
        <f>IFERROR(__xludf.DUMMYFUNCTION("""COMPUTED_VALUE"""),"Tunisia")</f>
        <v>Tunisia</v>
      </c>
      <c r="H349" s="43" t="str">
        <f>IFERROR(__xludf.DUMMYFUNCTION("""COMPUTED_VALUE"""),"HADRUMET")</f>
        <v>HADRUMET</v>
      </c>
      <c r="I349" s="43" t="str">
        <f>IFERROR(__xludf.DUMMYFUNCTION("""COMPUTED_VALUE"""),"Turkey")</f>
        <v>Turkey</v>
      </c>
      <c r="J349" s="43" t="str">
        <f>IFERROR(__xludf.DUMMYFUNCTION("""COMPUTED_VALUE"""),"GAZIANTEP")</f>
        <v>GAZIANTEP</v>
      </c>
      <c r="K349" s="44" t="str">
        <f>IFERROR(__xludf.DUMMYFUNCTION("""COMPUTED_VALUE"""),"https://expa.aiesec.org/opportunities/1295566")</f>
        <v>https://expa.aiesec.org/opportunities/1295566</v>
      </c>
      <c r="L349" s="43" t="str">
        <f>IFERROR(__xludf.DUMMYFUNCTION("""COMPUTED_VALUE"""),"GTe")</f>
        <v>GTe</v>
      </c>
      <c r="M349" s="43" t="str">
        <f>IFERROR(__xludf.DUMMYFUNCTION("""COMPUTED_VALUE"""),"long")</f>
        <v>long</v>
      </c>
      <c r="N349" s="45">
        <f>IFERROR(__xludf.DUMMYFUNCTION("""COMPUTED_VALUE"""),45144.0)</f>
        <v>45144</v>
      </c>
      <c r="O349" s="45">
        <f>IFERROR(__xludf.DUMMYFUNCTION("""COMPUTED_VALUE"""),45153.0)</f>
        <v>45153</v>
      </c>
      <c r="P349" s="45">
        <f>IFERROR(__xludf.DUMMYFUNCTION("""COMPUTED_VALUE"""),45518.0)</f>
        <v>45518</v>
      </c>
      <c r="Q349" s="45">
        <f>IFERROR(__xludf.DUMMYFUNCTION("""COMPUTED_VALUE"""),45154.0)</f>
        <v>45154</v>
      </c>
      <c r="R349" s="45">
        <f>IFERROR(__xludf.DUMMYFUNCTION("""COMPUTED_VALUE"""),45518.0)</f>
        <v>45518</v>
      </c>
      <c r="S349" s="43"/>
      <c r="T349" s="43"/>
      <c r="U349" s="43" t="str">
        <f>IFERROR(__xludf.DUMMYFUNCTION("""COMPUTED_VALUE"""),"English Teacher")</f>
        <v>English Teacher</v>
      </c>
      <c r="V349" s="43" t="str">
        <f>IFERROR(__xludf.DUMMYFUNCTION("""COMPUTED_VALUE"""),"FLSH Sousse")</f>
        <v>FLSH Sousse</v>
      </c>
      <c r="W349" s="43" t="str">
        <f>IFERROR(__xludf.DUMMYFUNCTION("""COMPUTED_VALUE"""),"2023-07-30T19:37:18Z")</f>
        <v>2023-07-30T19:37:18Z</v>
      </c>
      <c r="X349" s="43"/>
      <c r="Y349" s="43"/>
      <c r="Z349" s="43"/>
    </row>
    <row r="350" hidden="1">
      <c r="A350" s="43" t="str">
        <f>IFERROR(__xludf.DUMMYFUNCTION("""COMPUTED_VALUE"""),"4667589_1297712")</f>
        <v>4667589_1297712</v>
      </c>
      <c r="B350" s="43" t="str">
        <f>IFERROR(__xludf.DUMMYFUNCTION("""COMPUTED_VALUE"""),"sandra kwimba")</f>
        <v>sandra kwimba</v>
      </c>
      <c r="C350" s="43" t="str">
        <f>IFERROR(__xludf.DUMMYFUNCTION("""COMPUTED_VALUE"""),"realized")</f>
        <v>realized</v>
      </c>
      <c r="D350" s="43" t="str">
        <f>IFERROR(__xludf.DUMMYFUNCTION("""COMPUTED_VALUE"""),"No")</f>
        <v>No</v>
      </c>
      <c r="E350" s="43" t="str">
        <f>IFERROR(__xludf.DUMMYFUNCTION("""COMPUTED_VALUE"""),"p_279af05a80a9908079c0487bfee888a28b28424e@inbound.aiesec.org")</f>
        <v>p_279af05a80a9908079c0487bfee888a28b28424e@inbound.aiesec.org</v>
      </c>
      <c r="F350" s="43">
        <f>IFERROR(__xludf.DUMMYFUNCTION("""COMPUTED_VALUE"""),5.346069981E9)</f>
        <v>5346069981</v>
      </c>
      <c r="G350" s="43" t="str">
        <f>IFERROR(__xludf.DUMMYFUNCTION("""COMPUTED_VALUE"""),"Kenya")</f>
        <v>Kenya</v>
      </c>
      <c r="H350" s="43" t="str">
        <f>IFERROR(__xludf.DUMMYFUNCTION("""COMPUTED_VALUE"""),"DAYSTAR")</f>
        <v>DAYSTAR</v>
      </c>
      <c r="I350" s="43" t="str">
        <f>IFERROR(__xludf.DUMMYFUNCTION("""COMPUTED_VALUE"""),"Turkey")</f>
        <v>Turkey</v>
      </c>
      <c r="J350" s="43" t="str">
        <f>IFERROR(__xludf.DUMMYFUNCTION("""COMPUTED_VALUE"""),"KOCAELI")</f>
        <v>KOCAELI</v>
      </c>
      <c r="K350" s="44" t="str">
        <f>IFERROR(__xludf.DUMMYFUNCTION("""COMPUTED_VALUE"""),"https://expa.aiesec.org/opportunities/1297712")</f>
        <v>https://expa.aiesec.org/opportunities/1297712</v>
      </c>
      <c r="L350" s="43" t="str">
        <f>IFERROR(__xludf.DUMMYFUNCTION("""COMPUTED_VALUE"""),"GTe")</f>
        <v>GTe</v>
      </c>
      <c r="M350" s="43" t="str">
        <f>IFERROR(__xludf.DUMMYFUNCTION("""COMPUTED_VALUE"""),"long")</f>
        <v>long</v>
      </c>
      <c r="N350" s="45">
        <f>IFERROR(__xludf.DUMMYFUNCTION("""COMPUTED_VALUE"""),45145.0)</f>
        <v>45145</v>
      </c>
      <c r="O350" s="45">
        <f>IFERROR(__xludf.DUMMYFUNCTION("""COMPUTED_VALUE"""),45180.0)</f>
        <v>45180</v>
      </c>
      <c r="P350" s="45">
        <f>IFERROR(__xludf.DUMMYFUNCTION("""COMPUTED_VALUE"""),45457.0)</f>
        <v>45457</v>
      </c>
      <c r="Q350" s="45">
        <f>IFERROR(__xludf.DUMMYFUNCTION("""COMPUTED_VALUE"""),45251.0)</f>
        <v>45251</v>
      </c>
      <c r="R350" s="45">
        <f>IFERROR(__xludf.DUMMYFUNCTION("""COMPUTED_VALUE"""),45529.0)</f>
        <v>45529</v>
      </c>
      <c r="S350" s="43"/>
      <c r="T350" s="43"/>
      <c r="U350" s="43" t="str">
        <f>IFERROR(__xludf.DUMMYFUNCTION("""COMPUTED_VALUE"""),"English Teacher in ODTÜ - KYÖV Schools")</f>
        <v>English Teacher in ODTÜ - KYÖV Schools</v>
      </c>
      <c r="V350" s="43" t="str">
        <f>IFERROR(__xludf.DUMMYFUNCTION("""COMPUTED_VALUE"""),"Daystar University")</f>
        <v>Daystar University</v>
      </c>
      <c r="W350" s="43" t="str">
        <f>IFERROR(__xludf.DUMMYFUNCTION("""COMPUTED_VALUE"""),"2021-06-14T20:16:16Z")</f>
        <v>2021-06-14T20:16:16Z</v>
      </c>
      <c r="X350" s="43"/>
      <c r="Y350" s="43"/>
      <c r="Z350" s="43"/>
    </row>
    <row r="351" hidden="1">
      <c r="A351" s="43" t="str">
        <f>IFERROR(__xludf.DUMMYFUNCTION("""COMPUTED_VALUE"""),"5293070_1278298")</f>
        <v>5293070_1278298</v>
      </c>
      <c r="B351" s="43" t="str">
        <f>IFERROR(__xludf.DUMMYFUNCTION("""COMPUTED_VALUE"""),"Maria Shevchuk")</f>
        <v>Maria Shevchuk</v>
      </c>
      <c r="C351" s="43" t="str">
        <f>IFERROR(__xludf.DUMMYFUNCTION("""COMPUTED_VALUE"""),"realized")</f>
        <v>realized</v>
      </c>
      <c r="D351" s="43" t="str">
        <f>IFERROR(__xludf.DUMMYFUNCTION("""COMPUTED_VALUE"""),"No")</f>
        <v>No</v>
      </c>
      <c r="E351" s="43" t="str">
        <f>IFERROR(__xludf.DUMMYFUNCTION("""COMPUTED_VALUE"""),"p_183ec14670f8dc0c8f8d05fce32675961759bd5c@inbound.aiesec.org")</f>
        <v>p_183ec14670f8dc0c8f8d05fce32675961759bd5c@inbound.aiesec.org</v>
      </c>
      <c r="F351" s="43">
        <f>IFERROR(__xludf.DUMMYFUNCTION("""COMPUTED_VALUE"""),7.9155477904E10)</f>
        <v>79155477904</v>
      </c>
      <c r="G351" s="43" t="str">
        <f>IFERROR(__xludf.DUMMYFUNCTION("""COMPUTED_VALUE"""),"Russia")</f>
        <v>Russia</v>
      </c>
      <c r="H351" s="43" t="str">
        <f>IFERROR(__xludf.DUMMYFUNCTION("""COMPUTED_VALUE"""),"TYUMEN")</f>
        <v>TYUMEN</v>
      </c>
      <c r="I351" s="43" t="str">
        <f>IFERROR(__xludf.DUMMYFUNCTION("""COMPUTED_VALUE"""),"Turkey")</f>
        <v>Turkey</v>
      </c>
      <c r="J351" s="43" t="str">
        <f>IFERROR(__xludf.DUMMYFUNCTION("""COMPUTED_VALUE"""),"KOCAELI")</f>
        <v>KOCAELI</v>
      </c>
      <c r="K351" s="44" t="str">
        <f>IFERROR(__xludf.DUMMYFUNCTION("""COMPUTED_VALUE"""),"https://expa.aiesec.org/opportunities/1278298")</f>
        <v>https://expa.aiesec.org/opportunities/1278298</v>
      </c>
      <c r="L351" s="43" t="str">
        <f>IFERROR(__xludf.DUMMYFUNCTION("""COMPUTED_VALUE"""),"GTe")</f>
        <v>GTe</v>
      </c>
      <c r="M351" s="43" t="str">
        <f>IFERROR(__xludf.DUMMYFUNCTION("""COMPUTED_VALUE"""),"long")</f>
        <v>long</v>
      </c>
      <c r="N351" s="45">
        <f>IFERROR(__xludf.DUMMYFUNCTION("""COMPUTED_VALUE"""),45145.0)</f>
        <v>45145</v>
      </c>
      <c r="O351" s="45">
        <f>IFERROR(__xludf.DUMMYFUNCTION("""COMPUTED_VALUE"""),45170.0)</f>
        <v>45170</v>
      </c>
      <c r="P351" s="45">
        <f>IFERROR(__xludf.DUMMYFUNCTION("""COMPUTED_VALUE"""),45474.0)</f>
        <v>45474</v>
      </c>
      <c r="Q351" s="45">
        <f>IFERROR(__xludf.DUMMYFUNCTION("""COMPUTED_VALUE"""),45179.0)</f>
        <v>45179</v>
      </c>
      <c r="R351" s="45">
        <f>IFERROR(__xludf.DUMMYFUNCTION("""COMPUTED_VALUE"""),45483.0)</f>
        <v>45483</v>
      </c>
      <c r="S351" s="43"/>
      <c r="T351" s="43"/>
      <c r="U351" s="43" t="str">
        <f>IFERROR(__xludf.DUMMYFUNCTION("""COMPUTED_VALUE"""),"Gebze İngiliz Kültür ")</f>
        <v>Gebze İngiliz Kültür </v>
      </c>
      <c r="V351" s="43" t="str">
        <f>IFERROR(__xludf.DUMMYFUNCTION("""COMPUTED_VALUE"""),"Tyumen")</f>
        <v>Tyumen</v>
      </c>
      <c r="W351" s="43" t="str">
        <f>IFERROR(__xludf.DUMMYFUNCTION("""COMPUTED_VALUE"""),"2023-08-02T07:46:34Z")</f>
        <v>2023-08-02T07:46:34Z</v>
      </c>
      <c r="X351" s="43"/>
      <c r="Y351" s="43"/>
      <c r="Z351" s="43"/>
    </row>
    <row r="352" hidden="1">
      <c r="A352" s="43" t="str">
        <f>IFERROR(__xludf.DUMMYFUNCTION("""COMPUTED_VALUE"""),"5297016_1289307")</f>
        <v>5297016_1289307</v>
      </c>
      <c r="B352" s="43" t="str">
        <f>IFERROR(__xludf.DUMMYFUNCTION("""COMPUTED_VALUE"""),"Nezha Imane Mchaouar")</f>
        <v>Nezha Imane Mchaouar</v>
      </c>
      <c r="C352" s="43" t="str">
        <f>IFERROR(__xludf.DUMMYFUNCTION("""COMPUTED_VALUE"""),"realized")</f>
        <v>realized</v>
      </c>
      <c r="D352" s="43" t="str">
        <f>IFERROR(__xludf.DUMMYFUNCTION("""COMPUTED_VALUE"""),"No")</f>
        <v>No</v>
      </c>
      <c r="E352" s="43" t="str">
        <f>IFERROR(__xludf.DUMMYFUNCTION("""COMPUTED_VALUE"""),"p_15fa8797505cc03aa40f839530fde6993bd907e5@inbound.aiesec.org")</f>
        <v>p_15fa8797505cc03aa40f839530fde6993bd907e5@inbound.aiesec.org</v>
      </c>
      <c r="F352" s="43">
        <f>IFERROR(__xludf.DUMMYFUNCTION("""COMPUTED_VALUE"""),6.75192624E8)</f>
        <v>675192624</v>
      </c>
      <c r="G352" s="43" t="str">
        <f>IFERROR(__xludf.DUMMYFUNCTION("""COMPUTED_VALUE"""),"Morocco")</f>
        <v>Morocco</v>
      </c>
      <c r="H352" s="43" t="str">
        <f>IFERROR(__xludf.DUMMYFUNCTION("""COMPUTED_VALUE"""),"Morocco (MC)")</f>
        <v>Morocco (MC)</v>
      </c>
      <c r="I352" s="43" t="str">
        <f>IFERROR(__xludf.DUMMYFUNCTION("""COMPUTED_VALUE"""),"Turkey")</f>
        <v>Turkey</v>
      </c>
      <c r="J352" s="43" t="str">
        <f>IFERROR(__xludf.DUMMYFUNCTION("""COMPUTED_VALUE"""),"ISTANBUL")</f>
        <v>ISTANBUL</v>
      </c>
      <c r="K352" s="44" t="str">
        <f>IFERROR(__xludf.DUMMYFUNCTION("""COMPUTED_VALUE"""),"https://expa.aiesec.org/opportunities/1289307")</f>
        <v>https://expa.aiesec.org/opportunities/1289307</v>
      </c>
      <c r="L352" s="43" t="str">
        <f>IFERROR(__xludf.DUMMYFUNCTION("""COMPUTED_VALUE"""),"GTe")</f>
        <v>GTe</v>
      </c>
      <c r="M352" s="43" t="str">
        <f>IFERROR(__xludf.DUMMYFUNCTION("""COMPUTED_VALUE"""),"long")</f>
        <v>long</v>
      </c>
      <c r="N352" s="45">
        <f>IFERROR(__xludf.DUMMYFUNCTION("""COMPUTED_VALUE"""),45146.0)</f>
        <v>45146</v>
      </c>
      <c r="O352" s="45">
        <f>IFERROR(__xludf.DUMMYFUNCTION("""COMPUTED_VALUE"""),45158.0)</f>
        <v>45158</v>
      </c>
      <c r="P352" s="45">
        <f>IFERROR(__xludf.DUMMYFUNCTION("""COMPUTED_VALUE"""),45485.0)</f>
        <v>45485</v>
      </c>
      <c r="Q352" s="45">
        <f>IFERROR(__xludf.DUMMYFUNCTION("""COMPUTED_VALUE"""),45180.0)</f>
        <v>45180</v>
      </c>
      <c r="R352" s="45">
        <f>IFERROR(__xludf.DUMMYFUNCTION("""COMPUTED_VALUE"""),45507.0)</f>
        <v>45507</v>
      </c>
      <c r="S352" s="43"/>
      <c r="T352" s="43"/>
      <c r="U352" s="43" t="str">
        <f>IFERROR(__xludf.DUMMYFUNCTION("""COMPUTED_VALUE"""),"Preschool English Teacher")</f>
        <v>Preschool English Teacher</v>
      </c>
      <c r="V352" s="43" t="str">
        <f>IFERROR(__xludf.DUMMYFUNCTION("""COMPUTED_VALUE"""),"Other-RABAT")</f>
        <v>Other-RABAT</v>
      </c>
      <c r="W352" s="43" t="str">
        <f>IFERROR(__xludf.DUMMYFUNCTION("""COMPUTED_VALUE"""),"2023-08-04T15:39:15Z")</f>
        <v>2023-08-04T15:39:15Z</v>
      </c>
      <c r="X352" s="43"/>
      <c r="Y352" s="43"/>
      <c r="Z352" s="43"/>
    </row>
    <row r="353" hidden="1">
      <c r="A353" s="43" t="str">
        <f>IFERROR(__xludf.DUMMYFUNCTION("""COMPUTED_VALUE"""),"5299445_1289615")</f>
        <v>5299445_1289615</v>
      </c>
      <c r="B353" s="43" t="str">
        <f>IFERROR(__xludf.DUMMYFUNCTION("""COMPUTED_VALUE"""),"hadhom sirine")</f>
        <v>hadhom sirine</v>
      </c>
      <c r="C353" s="43" t="str">
        <f>IFERROR(__xludf.DUMMYFUNCTION("""COMPUTED_VALUE"""),"realized")</f>
        <v>realized</v>
      </c>
      <c r="D353" s="43" t="str">
        <f>IFERROR(__xludf.DUMMYFUNCTION("""COMPUTED_VALUE"""),"No")</f>
        <v>No</v>
      </c>
      <c r="E353" s="43" t="str">
        <f>IFERROR(__xludf.DUMMYFUNCTION("""COMPUTED_VALUE"""),"p_2fce3a96438efdc015f29b907972eaca5066dc29@inbound.aiesec.org")</f>
        <v>p_2fce3a96438efdc015f29b907972eaca5066dc29@inbound.aiesec.org</v>
      </c>
      <c r="F353" s="43">
        <f>IFERROR(__xludf.DUMMYFUNCTION("""COMPUTED_VALUE"""),5.8647386E7)</f>
        <v>58647386</v>
      </c>
      <c r="G353" s="43" t="str">
        <f>IFERROR(__xludf.DUMMYFUNCTION("""COMPUTED_VALUE"""),"Tunisia")</f>
        <v>Tunisia</v>
      </c>
      <c r="H353" s="43" t="str">
        <f>IFERROR(__xludf.DUMMYFUNCTION("""COMPUTED_VALUE"""),"HADRUMET")</f>
        <v>HADRUMET</v>
      </c>
      <c r="I353" s="43" t="str">
        <f>IFERROR(__xludf.DUMMYFUNCTION("""COMPUTED_VALUE"""),"Turkey")</f>
        <v>Turkey</v>
      </c>
      <c r="J353" s="43" t="str">
        <f>IFERROR(__xludf.DUMMYFUNCTION("""COMPUTED_VALUE"""),"KOCAELI")</f>
        <v>KOCAELI</v>
      </c>
      <c r="K353" s="44" t="str">
        <f>IFERROR(__xludf.DUMMYFUNCTION("""COMPUTED_VALUE"""),"https://expa.aiesec.org/opportunities/1289615")</f>
        <v>https://expa.aiesec.org/opportunities/1289615</v>
      </c>
      <c r="L353" s="43" t="str">
        <f>IFERROR(__xludf.DUMMYFUNCTION("""COMPUTED_VALUE"""),"GTe")</f>
        <v>GTe</v>
      </c>
      <c r="M353" s="43" t="str">
        <f>IFERROR(__xludf.DUMMYFUNCTION("""COMPUTED_VALUE"""),"long")</f>
        <v>long</v>
      </c>
      <c r="N353" s="45">
        <f>IFERROR(__xludf.DUMMYFUNCTION("""COMPUTED_VALUE"""),45146.0)</f>
        <v>45146</v>
      </c>
      <c r="O353" s="45">
        <f>IFERROR(__xludf.DUMMYFUNCTION("""COMPUTED_VALUE"""),45200.0)</f>
        <v>45200</v>
      </c>
      <c r="P353" s="45">
        <f>IFERROR(__xludf.DUMMYFUNCTION("""COMPUTED_VALUE"""),45444.0)</f>
        <v>45444</v>
      </c>
      <c r="Q353" s="45">
        <f>IFERROR(__xludf.DUMMYFUNCTION("""COMPUTED_VALUE"""),45201.0)</f>
        <v>45201</v>
      </c>
      <c r="R353" s="45">
        <f>IFERROR(__xludf.DUMMYFUNCTION("""COMPUTED_VALUE"""),45445.0)</f>
        <v>45445</v>
      </c>
      <c r="S353" s="43"/>
      <c r="T353" s="43"/>
      <c r="U353" s="43" t="str">
        <f>IFERROR(__xludf.DUMMYFUNCTION("""COMPUTED_VALUE"""),"English Teacher in Düşün Kindergarten (LONG)")</f>
        <v>English Teacher in Düşün Kindergarten (LONG)</v>
      </c>
      <c r="V353" s="43" t="str">
        <f>IFERROR(__xludf.DUMMYFUNCTION("""COMPUTED_VALUE"""),"FLSH Sousse")</f>
        <v>FLSH Sousse</v>
      </c>
      <c r="W353" s="43" t="str">
        <f>IFERROR(__xludf.DUMMYFUNCTION("""COMPUTED_VALUE"""),"2023-08-08T13:40:12Z")</f>
        <v>2023-08-08T13:40:12Z</v>
      </c>
      <c r="X353" s="43"/>
      <c r="Y353" s="43"/>
      <c r="Z353" s="43"/>
    </row>
    <row r="354" hidden="1">
      <c r="A354" s="43" t="str">
        <f>IFERROR(__xludf.DUMMYFUNCTION("""COMPUTED_VALUE"""),"5275067_1289393")</f>
        <v>5275067_1289393</v>
      </c>
      <c r="B354" s="43" t="str">
        <f>IFERROR(__xludf.DUMMYFUNCTION("""COMPUTED_VALUE"""),"Araibi Oumaima")</f>
        <v>Araibi Oumaima</v>
      </c>
      <c r="C354" s="43" t="str">
        <f>IFERROR(__xludf.DUMMYFUNCTION("""COMPUTED_VALUE"""),"realized")</f>
        <v>realized</v>
      </c>
      <c r="D354" s="43" t="str">
        <f>IFERROR(__xludf.DUMMYFUNCTION("""COMPUTED_VALUE"""),"No")</f>
        <v>No</v>
      </c>
      <c r="E354" s="43" t="str">
        <f>IFERROR(__xludf.DUMMYFUNCTION("""COMPUTED_VALUE"""),"p_009098a76265501117a151d2539eb310178a2719@inbound.aiesec.org")</f>
        <v>p_009098a76265501117a151d2539eb310178a2719@inbound.aiesec.org</v>
      </c>
      <c r="F354" s="43">
        <f>IFERROR(__xludf.DUMMYFUNCTION("""COMPUTED_VALUE"""),9.036426E7)</f>
        <v>90364260</v>
      </c>
      <c r="G354" s="43" t="str">
        <f>IFERROR(__xludf.DUMMYFUNCTION("""COMPUTED_VALUE"""),"Tunisia")</f>
        <v>Tunisia</v>
      </c>
      <c r="H354" s="43" t="str">
        <f>IFERROR(__xludf.DUMMYFUNCTION("""COMPUTED_VALUE"""),"UNIVERSITY")</f>
        <v>UNIVERSITY</v>
      </c>
      <c r="I354" s="43" t="str">
        <f>IFERROR(__xludf.DUMMYFUNCTION("""COMPUTED_VALUE"""),"Turkey")</f>
        <v>Turkey</v>
      </c>
      <c r="J354" s="43" t="str">
        <f>IFERROR(__xludf.DUMMYFUNCTION("""COMPUTED_VALUE"""),"KOCAELI")</f>
        <v>KOCAELI</v>
      </c>
      <c r="K354" s="44" t="str">
        <f>IFERROR(__xludf.DUMMYFUNCTION("""COMPUTED_VALUE"""),"https://expa.aiesec.org/opportunities/1289393")</f>
        <v>https://expa.aiesec.org/opportunities/1289393</v>
      </c>
      <c r="L354" s="43" t="str">
        <f>IFERROR(__xludf.DUMMYFUNCTION("""COMPUTED_VALUE"""),"GTe")</f>
        <v>GTe</v>
      </c>
      <c r="M354" s="43" t="str">
        <f>IFERROR(__xludf.DUMMYFUNCTION("""COMPUTED_VALUE"""),"long")</f>
        <v>long</v>
      </c>
      <c r="N354" s="45">
        <f>IFERROR(__xludf.DUMMYFUNCTION("""COMPUTED_VALUE"""),45146.0)</f>
        <v>45146</v>
      </c>
      <c r="O354" s="45">
        <f>IFERROR(__xludf.DUMMYFUNCTION("""COMPUTED_VALUE"""),45173.0)</f>
        <v>45173</v>
      </c>
      <c r="P354" s="45">
        <f>IFERROR(__xludf.DUMMYFUNCTION("""COMPUTED_VALUE"""),45471.0)</f>
        <v>45471</v>
      </c>
      <c r="Q354" s="45">
        <f>IFERROR(__xludf.DUMMYFUNCTION("""COMPUTED_VALUE"""),45184.0)</f>
        <v>45184</v>
      </c>
      <c r="R354" s="45">
        <f>IFERROR(__xludf.DUMMYFUNCTION("""COMPUTED_VALUE"""),45490.0)</f>
        <v>45490</v>
      </c>
      <c r="S354" s="43"/>
      <c r="T354" s="43"/>
      <c r="U354" s="43" t="str">
        <f>IFERROR(__xludf.DUMMYFUNCTION("""COMPUTED_VALUE"""),"English Teacher in OMTAS College")</f>
        <v>English Teacher in OMTAS College</v>
      </c>
      <c r="V354" s="43" t="str">
        <f>IFERROR(__xludf.DUMMYFUNCTION("""COMPUTED_VALUE"""),"Institut supérieur des sciences humaines (ISSH JENDOUBA)")</f>
        <v>Institut supérieur des sciences humaines (ISSH JENDOUBA)</v>
      </c>
      <c r="W354" s="43" t="str">
        <f>IFERROR(__xludf.DUMMYFUNCTION("""COMPUTED_VALUE"""),"2023-06-13T22:18:53Z")</f>
        <v>2023-06-13T22:18:53Z</v>
      </c>
      <c r="X354" s="43"/>
      <c r="Y354" s="43"/>
      <c r="Z354" s="43"/>
    </row>
    <row r="355" hidden="1">
      <c r="A355" s="43" t="str">
        <f>IFERROR(__xludf.DUMMYFUNCTION("""COMPUTED_VALUE"""),"5299494_1290731")</f>
        <v>5299494_1290731</v>
      </c>
      <c r="B355" s="43" t="str">
        <f>IFERROR(__xludf.DUMMYFUNCTION("""COMPUTED_VALUE"""),"fida haddad")</f>
        <v>fida haddad</v>
      </c>
      <c r="C355" s="43" t="str">
        <f>IFERROR(__xludf.DUMMYFUNCTION("""COMPUTED_VALUE"""),"realized")</f>
        <v>realized</v>
      </c>
      <c r="D355" s="43" t="str">
        <f>IFERROR(__xludf.DUMMYFUNCTION("""COMPUTED_VALUE"""),"No")</f>
        <v>No</v>
      </c>
      <c r="E355" s="43" t="str">
        <f>IFERROR(__xludf.DUMMYFUNCTION("""COMPUTED_VALUE"""),"p_cff6dc113f0e20bb188d22da86cba2c97469ac69@inbound.aiesec.org")</f>
        <v>p_cff6dc113f0e20bb188d22da86cba2c97469ac69@inbound.aiesec.org</v>
      </c>
      <c r="F355" s="43">
        <f>IFERROR(__xludf.DUMMYFUNCTION("""COMPUTED_VALUE"""),5.6088052E7)</f>
        <v>56088052</v>
      </c>
      <c r="G355" s="43" t="str">
        <f>IFERROR(__xludf.DUMMYFUNCTION("""COMPUTED_VALUE"""),"Tunisia")</f>
        <v>Tunisia</v>
      </c>
      <c r="H355" s="43" t="str">
        <f>IFERROR(__xludf.DUMMYFUNCTION("""COMPUTED_VALUE"""),"RUSPINA")</f>
        <v>RUSPINA</v>
      </c>
      <c r="I355" s="43" t="str">
        <f>IFERROR(__xludf.DUMMYFUNCTION("""COMPUTED_VALUE"""),"Turkey")</f>
        <v>Turkey</v>
      </c>
      <c r="J355" s="43" t="str">
        <f>IFERROR(__xludf.DUMMYFUNCTION("""COMPUTED_VALUE"""),"GAZIANTEP")</f>
        <v>GAZIANTEP</v>
      </c>
      <c r="K355" s="44" t="str">
        <f>IFERROR(__xludf.DUMMYFUNCTION("""COMPUTED_VALUE"""),"https://expa.aiesec.org/opportunities/1290731")</f>
        <v>https://expa.aiesec.org/opportunities/1290731</v>
      </c>
      <c r="L355" s="43" t="str">
        <f>IFERROR(__xludf.DUMMYFUNCTION("""COMPUTED_VALUE"""),"GTe")</f>
        <v>GTe</v>
      </c>
      <c r="M355" s="43" t="str">
        <f>IFERROR(__xludf.DUMMYFUNCTION("""COMPUTED_VALUE"""),"long")</f>
        <v>long</v>
      </c>
      <c r="N355" s="45">
        <f>IFERROR(__xludf.DUMMYFUNCTION("""COMPUTED_VALUE"""),45146.0)</f>
        <v>45146</v>
      </c>
      <c r="O355" s="45">
        <f>IFERROR(__xludf.DUMMYFUNCTION("""COMPUTED_VALUE"""),45148.0)</f>
        <v>45148</v>
      </c>
      <c r="P355" s="45">
        <f>IFERROR(__xludf.DUMMYFUNCTION("""COMPUTED_VALUE"""),45513.0)</f>
        <v>45513</v>
      </c>
      <c r="Q355" s="45">
        <f>IFERROR(__xludf.DUMMYFUNCTION("""COMPUTED_VALUE"""),45154.0)</f>
        <v>45154</v>
      </c>
      <c r="R355" s="45">
        <f>IFERROR(__xludf.DUMMYFUNCTION("""COMPUTED_VALUE"""),45517.0)</f>
        <v>45517</v>
      </c>
      <c r="S355" s="43"/>
      <c r="T355" s="43"/>
      <c r="U355" s="43" t="str">
        <f>IFERROR(__xludf.DUMMYFUNCTION("""COMPUTED_VALUE"""),"English Time")</f>
        <v>English Time</v>
      </c>
      <c r="V355" s="43" t="str">
        <f>IFERROR(__xludf.DUMMYFUNCTION("""COMPUTED_VALUE"""),"ISLAA Moknine")</f>
        <v>ISLAA Moknine</v>
      </c>
      <c r="W355" s="43" t="str">
        <f>IFERROR(__xludf.DUMMYFUNCTION("""COMPUTED_VALUE"""),"2023-08-08T14:46:49Z")</f>
        <v>2023-08-08T14:46:49Z</v>
      </c>
      <c r="X355" s="43"/>
      <c r="Y355" s="43"/>
      <c r="Z355" s="43"/>
    </row>
    <row r="356" hidden="1">
      <c r="A356" s="43" t="str">
        <f>IFERROR(__xludf.DUMMYFUNCTION("""COMPUTED_VALUE"""),"5297879_1290731")</f>
        <v>5297879_1290731</v>
      </c>
      <c r="B356" s="43" t="str">
        <f>IFERROR(__xludf.DUMMYFUNCTION("""COMPUTED_VALUE"""),"youssef methneni")</f>
        <v>youssef methneni</v>
      </c>
      <c r="C356" s="43" t="str">
        <f>IFERROR(__xludf.DUMMYFUNCTION("""COMPUTED_VALUE"""),"realized")</f>
        <v>realized</v>
      </c>
      <c r="D356" s="43" t="str">
        <f>IFERROR(__xludf.DUMMYFUNCTION("""COMPUTED_VALUE"""),"No")</f>
        <v>No</v>
      </c>
      <c r="E356" s="43" t="str">
        <f>IFERROR(__xludf.DUMMYFUNCTION("""COMPUTED_VALUE"""),"p_b90f72082d9f4425464847169e0e3c4b9c47ff2c@inbound.aiesec.org")</f>
        <v>p_b90f72082d9f4425464847169e0e3c4b9c47ff2c@inbound.aiesec.org</v>
      </c>
      <c r="F356" s="43">
        <f>IFERROR(__xludf.DUMMYFUNCTION("""COMPUTED_VALUE"""),9.3570476E7)</f>
        <v>93570476</v>
      </c>
      <c r="G356" s="43" t="str">
        <f>IFERROR(__xludf.DUMMYFUNCTION("""COMPUTED_VALUE"""),"Tunisia")</f>
        <v>Tunisia</v>
      </c>
      <c r="H356" s="43" t="str">
        <f>IFERROR(__xludf.DUMMYFUNCTION("""COMPUTED_VALUE"""),"RUSPINA")</f>
        <v>RUSPINA</v>
      </c>
      <c r="I356" s="43" t="str">
        <f>IFERROR(__xludf.DUMMYFUNCTION("""COMPUTED_VALUE"""),"Turkey")</f>
        <v>Turkey</v>
      </c>
      <c r="J356" s="43" t="str">
        <f>IFERROR(__xludf.DUMMYFUNCTION("""COMPUTED_VALUE"""),"GAZIANTEP")</f>
        <v>GAZIANTEP</v>
      </c>
      <c r="K356" s="44" t="str">
        <f>IFERROR(__xludf.DUMMYFUNCTION("""COMPUTED_VALUE"""),"https://expa.aiesec.org/opportunities/1290731")</f>
        <v>https://expa.aiesec.org/opportunities/1290731</v>
      </c>
      <c r="L356" s="43" t="str">
        <f>IFERROR(__xludf.DUMMYFUNCTION("""COMPUTED_VALUE"""),"GTe")</f>
        <v>GTe</v>
      </c>
      <c r="M356" s="43" t="str">
        <f>IFERROR(__xludf.DUMMYFUNCTION("""COMPUTED_VALUE"""),"long")</f>
        <v>long</v>
      </c>
      <c r="N356" s="45">
        <f>IFERROR(__xludf.DUMMYFUNCTION("""COMPUTED_VALUE"""),45146.0)</f>
        <v>45146</v>
      </c>
      <c r="O356" s="45">
        <f>IFERROR(__xludf.DUMMYFUNCTION("""COMPUTED_VALUE"""),45148.0)</f>
        <v>45148</v>
      </c>
      <c r="P356" s="45">
        <f>IFERROR(__xludf.DUMMYFUNCTION("""COMPUTED_VALUE"""),45513.0)</f>
        <v>45513</v>
      </c>
      <c r="Q356" s="45">
        <f>IFERROR(__xludf.DUMMYFUNCTION("""COMPUTED_VALUE"""),45154.0)</f>
        <v>45154</v>
      </c>
      <c r="R356" s="45">
        <f>IFERROR(__xludf.DUMMYFUNCTION("""COMPUTED_VALUE"""),45517.0)</f>
        <v>45517</v>
      </c>
      <c r="S356" s="43"/>
      <c r="T356" s="43"/>
      <c r="U356" s="43" t="str">
        <f>IFERROR(__xludf.DUMMYFUNCTION("""COMPUTED_VALUE"""),"English Time")</f>
        <v>English Time</v>
      </c>
      <c r="V356" s="43" t="str">
        <f>IFERROR(__xludf.DUMMYFUNCTION("""COMPUTED_VALUE"""),"ISLAA Moknine")</f>
        <v>ISLAA Moknine</v>
      </c>
      <c r="W356" s="43" t="str">
        <f>IFERROR(__xludf.DUMMYFUNCTION("""COMPUTED_VALUE"""),"2023-08-05T15:51:07Z")</f>
        <v>2023-08-05T15:51:07Z</v>
      </c>
      <c r="X356" s="43"/>
      <c r="Y356" s="43"/>
      <c r="Z356" s="43"/>
    </row>
    <row r="357" hidden="1">
      <c r="A357" s="43" t="str">
        <f>IFERROR(__xludf.DUMMYFUNCTION("""COMPUTED_VALUE"""),"4555871_1297417")</f>
        <v>4555871_1297417</v>
      </c>
      <c r="B357" s="43" t="str">
        <f>IFERROR(__xludf.DUMMYFUNCTION("""COMPUTED_VALUE"""),"Hafdhallaoui Safa")</f>
        <v>Hafdhallaoui Safa</v>
      </c>
      <c r="C357" s="43" t="str">
        <f>IFERROR(__xludf.DUMMYFUNCTION("""COMPUTED_VALUE"""),"realized")</f>
        <v>realized</v>
      </c>
      <c r="D357" s="43" t="str">
        <f>IFERROR(__xludf.DUMMYFUNCTION("""COMPUTED_VALUE"""),"No")</f>
        <v>No</v>
      </c>
      <c r="E357" s="43" t="str">
        <f>IFERROR(__xludf.DUMMYFUNCTION("""COMPUTED_VALUE"""),"p_f1c95707b4914e5811a338143e0d8fa585259c01@inbound.aiesec.org")</f>
        <v>p_f1c95707b4914e5811a338143e0d8fa585259c01@inbound.aiesec.org</v>
      </c>
      <c r="F357" s="43">
        <f>IFERROR(__xludf.DUMMYFUNCTION("""COMPUTED_VALUE"""),2.8695175E7)</f>
        <v>28695175</v>
      </c>
      <c r="G357" s="43" t="str">
        <f>IFERROR(__xludf.DUMMYFUNCTION("""COMPUTED_VALUE"""),"Tunisia")</f>
        <v>Tunisia</v>
      </c>
      <c r="H357" s="43" t="str">
        <f>IFERROR(__xludf.DUMMYFUNCTION("""COMPUTED_VALUE"""),"Tacapes")</f>
        <v>Tacapes</v>
      </c>
      <c r="I357" s="43" t="str">
        <f>IFERROR(__xludf.DUMMYFUNCTION("""COMPUTED_VALUE"""),"Turkey")</f>
        <v>Turkey</v>
      </c>
      <c r="J357" s="43" t="str">
        <f>IFERROR(__xludf.DUMMYFUNCTION("""COMPUTED_VALUE"""),"İZMİR")</f>
        <v>İZMİR</v>
      </c>
      <c r="K357" s="44" t="str">
        <f>IFERROR(__xludf.DUMMYFUNCTION("""COMPUTED_VALUE"""),"https://expa.aiesec.org/opportunities/1297417")</f>
        <v>https://expa.aiesec.org/opportunities/1297417</v>
      </c>
      <c r="L357" s="43" t="str">
        <f>IFERROR(__xludf.DUMMYFUNCTION("""COMPUTED_VALUE"""),"GTe")</f>
        <v>GTe</v>
      </c>
      <c r="M357" s="43" t="str">
        <f>IFERROR(__xludf.DUMMYFUNCTION("""COMPUTED_VALUE"""),"long")</f>
        <v>long</v>
      </c>
      <c r="N357" s="45">
        <f>IFERROR(__xludf.DUMMYFUNCTION("""COMPUTED_VALUE"""),45147.0)</f>
        <v>45147</v>
      </c>
      <c r="O357" s="45">
        <f>IFERROR(__xludf.DUMMYFUNCTION("""COMPUTED_VALUE"""),45199.0)</f>
        <v>45199</v>
      </c>
      <c r="P357" s="45">
        <f>IFERROR(__xludf.DUMMYFUNCTION("""COMPUTED_VALUE"""),45564.0)</f>
        <v>45564</v>
      </c>
      <c r="Q357" s="45">
        <f>IFERROR(__xludf.DUMMYFUNCTION("""COMPUTED_VALUE"""),45188.0)</f>
        <v>45188</v>
      </c>
      <c r="R357" s="45">
        <f>IFERROR(__xludf.DUMMYFUNCTION("""COMPUTED_VALUE"""),45564.0)</f>
        <v>45564</v>
      </c>
      <c r="S357" s="43"/>
      <c r="T357" s="43"/>
      <c r="U357" s="43" t="str">
        <f>IFERROR(__xludf.DUMMYFUNCTION("""COMPUTED_VALUE"""),"Language Teacher")</f>
        <v>Language Teacher</v>
      </c>
      <c r="V357" s="43" t="str">
        <f>IFERROR(__xludf.DUMMYFUNCTION("""COMPUTED_VALUE"""),"ISG Gabes")</f>
        <v>ISG Gabes</v>
      </c>
      <c r="W357" s="43" t="str">
        <f>IFERROR(__xludf.DUMMYFUNCTION("""COMPUTED_VALUE"""),"2021-02-23T10:43:57Z")</f>
        <v>2021-02-23T10:43:57Z</v>
      </c>
      <c r="X357" s="43"/>
      <c r="Y357" s="43"/>
      <c r="Z357" s="43"/>
    </row>
    <row r="358" hidden="1">
      <c r="A358" s="43" t="str">
        <f>IFERROR(__xludf.DUMMYFUNCTION("""COMPUTED_VALUE"""),"3830826_1295743")</f>
        <v>3830826_1295743</v>
      </c>
      <c r="B358" s="43" t="str">
        <f>IFERROR(__xludf.DUMMYFUNCTION("""COMPUTED_VALUE"""),"Dghim Hamdy")</f>
        <v>Dghim Hamdy</v>
      </c>
      <c r="C358" s="43" t="str">
        <f>IFERROR(__xludf.DUMMYFUNCTION("""COMPUTED_VALUE"""),"realized")</f>
        <v>realized</v>
      </c>
      <c r="D358" s="43" t="str">
        <f>IFERROR(__xludf.DUMMYFUNCTION("""COMPUTED_VALUE"""),"No")</f>
        <v>No</v>
      </c>
      <c r="E358" s="43" t="str">
        <f>IFERROR(__xludf.DUMMYFUNCTION("""COMPUTED_VALUE"""),"p_55e5afe58432d85145478ad3ee5d391b8c258cbb@inbound.aiesec.org")</f>
        <v>p_55e5afe58432d85145478ad3ee5d391b8c258cbb@inbound.aiesec.org</v>
      </c>
      <c r="F358" s="43">
        <f>IFERROR(__xludf.DUMMYFUNCTION("""COMPUTED_VALUE"""),9.6995135E7)</f>
        <v>96995135</v>
      </c>
      <c r="G358" s="43" t="str">
        <f>IFERROR(__xludf.DUMMYFUNCTION("""COMPUTED_VALUE"""),"Tunisia")</f>
        <v>Tunisia</v>
      </c>
      <c r="H358" s="43" t="str">
        <f>IFERROR(__xludf.DUMMYFUNCTION("""COMPUTED_VALUE"""),"HADRUMET")</f>
        <v>HADRUMET</v>
      </c>
      <c r="I358" s="43" t="str">
        <f>IFERROR(__xludf.DUMMYFUNCTION("""COMPUTED_VALUE"""),"Turkey")</f>
        <v>Turkey</v>
      </c>
      <c r="J358" s="43" t="str">
        <f>IFERROR(__xludf.DUMMYFUNCTION("""COMPUTED_VALUE"""),"KOCAELI")</f>
        <v>KOCAELI</v>
      </c>
      <c r="K358" s="44" t="str">
        <f>IFERROR(__xludf.DUMMYFUNCTION("""COMPUTED_VALUE"""),"https://expa.aiesec.org/opportunities/1295743")</f>
        <v>https://expa.aiesec.org/opportunities/1295743</v>
      </c>
      <c r="L358" s="43" t="str">
        <f>IFERROR(__xludf.DUMMYFUNCTION("""COMPUTED_VALUE"""),"GTe")</f>
        <v>GTe</v>
      </c>
      <c r="M358" s="43" t="str">
        <f>IFERROR(__xludf.DUMMYFUNCTION("""COMPUTED_VALUE"""),"long")</f>
        <v>long</v>
      </c>
      <c r="N358" s="45">
        <f>IFERROR(__xludf.DUMMYFUNCTION("""COMPUTED_VALUE"""),45148.0)</f>
        <v>45148</v>
      </c>
      <c r="O358" s="45">
        <f>IFERROR(__xludf.DUMMYFUNCTION("""COMPUTED_VALUE"""),45194.0)</f>
        <v>45194</v>
      </c>
      <c r="P358" s="45">
        <f>IFERROR(__xludf.DUMMYFUNCTION("""COMPUTED_VALUE"""),45444.0)</f>
        <v>45444</v>
      </c>
      <c r="Q358" s="45">
        <f>IFERROR(__xludf.DUMMYFUNCTION("""COMPUTED_VALUE"""),45196.0)</f>
        <v>45196</v>
      </c>
      <c r="R358" s="45">
        <f>IFERROR(__xludf.DUMMYFUNCTION("""COMPUTED_VALUE"""),45444.0)</f>
        <v>45444</v>
      </c>
      <c r="S358" s="43"/>
      <c r="T358" s="43"/>
      <c r="U358" s="43" t="str">
        <f>IFERROR(__xludf.DUMMYFUNCTION("""COMPUTED_VALUE"""),"English Teacher in Gözde Kindergarden")</f>
        <v>English Teacher in Gözde Kindergarden</v>
      </c>
      <c r="V358" s="43" t="str">
        <f>IFERROR(__xludf.DUMMYFUNCTION("""COMPUTED_VALUE"""),"FLSH Sousse")</f>
        <v>FLSH Sousse</v>
      </c>
      <c r="W358" s="43" t="str">
        <f>IFERROR(__xludf.DUMMYFUNCTION("""COMPUTED_VALUE"""),"2019-09-14T11:33:33Z")</f>
        <v>2019-09-14T11:33:33Z</v>
      </c>
      <c r="X358" s="43"/>
      <c r="Y358" s="43"/>
      <c r="Z358" s="43"/>
    </row>
    <row r="359" hidden="1">
      <c r="A359" s="43" t="str">
        <f>IFERROR(__xludf.DUMMYFUNCTION("""COMPUTED_VALUE"""),"2094841_1278298")</f>
        <v>2094841_1278298</v>
      </c>
      <c r="B359" s="43" t="str">
        <f>IFERROR(__xludf.DUMMYFUNCTION("""COMPUTED_VALUE"""),"Mohamed Jegham")</f>
        <v>Mohamed Jegham</v>
      </c>
      <c r="C359" s="43" t="str">
        <f>IFERROR(__xludf.DUMMYFUNCTION("""COMPUTED_VALUE"""),"realized")</f>
        <v>realized</v>
      </c>
      <c r="D359" s="43" t="str">
        <f>IFERROR(__xludf.DUMMYFUNCTION("""COMPUTED_VALUE"""),"No")</f>
        <v>No</v>
      </c>
      <c r="E359" s="43" t="str">
        <f>IFERROR(__xludf.DUMMYFUNCTION("""COMPUTED_VALUE"""),"p_b11273b01239b4727d5e172a46e722f36a54a323@inbound.aiesec.org")</f>
        <v>p_b11273b01239b4727d5e172a46e722f36a54a323@inbound.aiesec.org</v>
      </c>
      <c r="F359" s="43">
        <f>IFERROR(__xludf.DUMMYFUNCTION("""COMPUTED_VALUE"""),5.3747342E7)</f>
        <v>53747342</v>
      </c>
      <c r="G359" s="43" t="str">
        <f>IFERROR(__xludf.DUMMYFUNCTION("""COMPUTED_VALUE"""),"Tunisia")</f>
        <v>Tunisia</v>
      </c>
      <c r="H359" s="43" t="str">
        <f>IFERROR(__xludf.DUMMYFUNCTION("""COMPUTED_VALUE"""),"HADRUMET")</f>
        <v>HADRUMET</v>
      </c>
      <c r="I359" s="43" t="str">
        <f>IFERROR(__xludf.DUMMYFUNCTION("""COMPUTED_VALUE"""),"Turkey")</f>
        <v>Turkey</v>
      </c>
      <c r="J359" s="43" t="str">
        <f>IFERROR(__xludf.DUMMYFUNCTION("""COMPUTED_VALUE"""),"KOCAELI")</f>
        <v>KOCAELI</v>
      </c>
      <c r="K359" s="44" t="str">
        <f>IFERROR(__xludf.DUMMYFUNCTION("""COMPUTED_VALUE"""),"https://expa.aiesec.org/opportunities/1278298")</f>
        <v>https://expa.aiesec.org/opportunities/1278298</v>
      </c>
      <c r="L359" s="43" t="str">
        <f>IFERROR(__xludf.DUMMYFUNCTION("""COMPUTED_VALUE"""),"GTe")</f>
        <v>GTe</v>
      </c>
      <c r="M359" s="43" t="str">
        <f>IFERROR(__xludf.DUMMYFUNCTION("""COMPUTED_VALUE"""),"long")</f>
        <v>long</v>
      </c>
      <c r="N359" s="45">
        <f>IFERROR(__xludf.DUMMYFUNCTION("""COMPUTED_VALUE"""),45148.0)</f>
        <v>45148</v>
      </c>
      <c r="O359" s="45">
        <f>IFERROR(__xludf.DUMMYFUNCTION("""COMPUTED_VALUE"""),45170.0)</f>
        <v>45170</v>
      </c>
      <c r="P359" s="45">
        <f>IFERROR(__xludf.DUMMYFUNCTION("""COMPUTED_VALUE"""),45473.0)</f>
        <v>45473</v>
      </c>
      <c r="Q359" s="45">
        <f>IFERROR(__xludf.DUMMYFUNCTION("""COMPUTED_VALUE"""),45179.0)</f>
        <v>45179</v>
      </c>
      <c r="R359" s="45">
        <f>IFERROR(__xludf.DUMMYFUNCTION("""COMPUTED_VALUE"""),45483.0)</f>
        <v>45483</v>
      </c>
      <c r="S359" s="43"/>
      <c r="T359" s="43"/>
      <c r="U359" s="43" t="str">
        <f>IFERROR(__xludf.DUMMYFUNCTION("""COMPUTED_VALUE"""),"Gebze İngiliz Kültür ")</f>
        <v>Gebze İngiliz Kültür </v>
      </c>
      <c r="V359" s="43" t="str">
        <f>IFERROR(__xludf.DUMMYFUNCTION("""COMPUTED_VALUE"""),"-")</f>
        <v>-</v>
      </c>
      <c r="W359" s="43" t="str">
        <f>IFERROR(__xludf.DUMMYFUNCTION("""COMPUTED_VALUE"""),"2018-03-08T22:18:13Z")</f>
        <v>2018-03-08T22:18:13Z</v>
      </c>
      <c r="X359" s="43"/>
      <c r="Y359" s="43"/>
      <c r="Z359" s="43"/>
    </row>
    <row r="360" hidden="1">
      <c r="A360" s="43" t="str">
        <f>IFERROR(__xludf.DUMMYFUNCTION("""COMPUTED_VALUE"""),"5270091_1296307")</f>
        <v>5270091_1296307</v>
      </c>
      <c r="B360" s="43" t="str">
        <f>IFERROR(__xludf.DUMMYFUNCTION("""COMPUTED_VALUE"""),"krishna dixit")</f>
        <v>krishna dixit</v>
      </c>
      <c r="C360" s="43" t="str">
        <f>IFERROR(__xludf.DUMMYFUNCTION("""COMPUTED_VALUE"""),"realized")</f>
        <v>realized</v>
      </c>
      <c r="D360" s="43" t="str">
        <f>IFERROR(__xludf.DUMMYFUNCTION("""COMPUTED_VALUE"""),"No")</f>
        <v>No</v>
      </c>
      <c r="E360" s="43" t="str">
        <f>IFERROR(__xludf.DUMMYFUNCTION("""COMPUTED_VALUE"""),"p_be1268456c2ee022902abf89251de3c7a53c34a3@inbound.aiesec.org")</f>
        <v>p_be1268456c2ee022902abf89251de3c7a53c34a3@inbound.aiesec.org</v>
      </c>
      <c r="F360" s="43">
        <f>IFERROR(__xludf.DUMMYFUNCTION("""COMPUTED_VALUE"""),8.879540962E9)</f>
        <v>8879540962</v>
      </c>
      <c r="G360" s="43" t="str">
        <f>IFERROR(__xludf.DUMMYFUNCTION("""COMPUTED_VALUE"""),"India")</f>
        <v>India</v>
      </c>
      <c r="H360" s="43" t="str">
        <f>IFERROR(__xludf.DUMMYFUNCTION("""COMPUTED_VALUE"""),"Bhopal")</f>
        <v>Bhopal</v>
      </c>
      <c r="I360" s="43" t="str">
        <f>IFERROR(__xludf.DUMMYFUNCTION("""COMPUTED_VALUE"""),"Turkey")</f>
        <v>Turkey</v>
      </c>
      <c r="J360" s="43" t="str">
        <f>IFERROR(__xludf.DUMMYFUNCTION("""COMPUTED_VALUE"""),"İZMİR")</f>
        <v>İZMİR</v>
      </c>
      <c r="K360" s="44" t="str">
        <f>IFERROR(__xludf.DUMMYFUNCTION("""COMPUTED_VALUE"""),"https://expa.aiesec.org/opportunities/1296307")</f>
        <v>https://expa.aiesec.org/opportunities/1296307</v>
      </c>
      <c r="L360" s="43" t="str">
        <f>IFERROR(__xludf.DUMMYFUNCTION("""COMPUTED_VALUE"""),"GTe")</f>
        <v>GTe</v>
      </c>
      <c r="M360" s="43" t="str">
        <f>IFERROR(__xludf.DUMMYFUNCTION("""COMPUTED_VALUE"""),"long")</f>
        <v>long</v>
      </c>
      <c r="N360" s="45">
        <f>IFERROR(__xludf.DUMMYFUNCTION("""COMPUTED_VALUE"""),45148.0)</f>
        <v>45148</v>
      </c>
      <c r="O360" s="45">
        <f>IFERROR(__xludf.DUMMYFUNCTION("""COMPUTED_VALUE"""),45138.0)</f>
        <v>45138</v>
      </c>
      <c r="P360" s="45">
        <f>IFERROR(__xludf.DUMMYFUNCTION("""COMPUTED_VALUE"""),45503.0)</f>
        <v>45503</v>
      </c>
      <c r="Q360" s="45">
        <f>IFERROR(__xludf.DUMMYFUNCTION("""COMPUTED_VALUE"""),45258.0)</f>
        <v>45258</v>
      </c>
      <c r="R360" s="45">
        <f>IFERROR(__xludf.DUMMYFUNCTION("""COMPUTED_VALUE"""),45623.0)</f>
        <v>45623</v>
      </c>
      <c r="S360" s="43"/>
      <c r="T360" s="43"/>
      <c r="U360" s="43" t="str">
        <f>IFERROR(__xludf.DUMMYFUNCTION("""COMPUTED_VALUE"""),"English Teacher")</f>
        <v>English Teacher</v>
      </c>
      <c r="V360" s="43" t="str">
        <f>IFERROR(__xludf.DUMMYFUNCTION("""COMPUTED_VALUE"""),"Disaster Management Institute, Bhopal")</f>
        <v>Disaster Management Institute, Bhopal</v>
      </c>
      <c r="W360" s="43" t="str">
        <f>IFERROR(__xludf.DUMMYFUNCTION("""COMPUTED_VALUE"""),"2023-06-01T10:18:39Z")</f>
        <v>2023-06-01T10:18:39Z</v>
      </c>
      <c r="X360" s="43"/>
      <c r="Y360" s="43"/>
      <c r="Z360" s="43"/>
    </row>
    <row r="361" hidden="1">
      <c r="A361" s="43" t="str">
        <f>IFERROR(__xludf.DUMMYFUNCTION("""COMPUTED_VALUE"""),"5279898_1297677")</f>
        <v>5279898_1297677</v>
      </c>
      <c r="B361" s="43" t="str">
        <f>IFERROR(__xludf.DUMMYFUNCTION("""COMPUTED_VALUE"""),"Dariia Fomina")</f>
        <v>Dariia Fomina</v>
      </c>
      <c r="C361" s="43" t="str">
        <f>IFERROR(__xludf.DUMMYFUNCTION("""COMPUTED_VALUE"""),"finished")</f>
        <v>finished</v>
      </c>
      <c r="D361" s="43" t="str">
        <f>IFERROR(__xludf.DUMMYFUNCTION("""COMPUTED_VALUE"""),"No")</f>
        <v>No</v>
      </c>
      <c r="E361" s="43" t="str">
        <f>IFERROR(__xludf.DUMMYFUNCTION("""COMPUTED_VALUE"""),"p_4517c1eec5df33a518388207330bde6a8911de95@inbound.aiesec.org")</f>
        <v>p_4517c1eec5df33a518388207330bde6a8911de95@inbound.aiesec.org</v>
      </c>
      <c r="F361" s="43"/>
      <c r="G361" s="43" t="str">
        <f>IFERROR(__xludf.DUMMYFUNCTION("""COMPUTED_VALUE"""),"Ukraine")</f>
        <v>Ukraine</v>
      </c>
      <c r="H361" s="43" t="str">
        <f>IFERROR(__xludf.DUMMYFUNCTION("""COMPUTED_VALUE"""),"IVANO-FRANKIVSK")</f>
        <v>IVANO-FRANKIVSK</v>
      </c>
      <c r="I361" s="43" t="str">
        <f>IFERROR(__xludf.DUMMYFUNCTION("""COMPUTED_VALUE"""),"Turkey")</f>
        <v>Turkey</v>
      </c>
      <c r="J361" s="43" t="str">
        <f>IFERROR(__xludf.DUMMYFUNCTION("""COMPUTED_VALUE"""),"ANKARA")</f>
        <v>ANKARA</v>
      </c>
      <c r="K361" s="44" t="str">
        <f>IFERROR(__xludf.DUMMYFUNCTION("""COMPUTED_VALUE"""),"https://expa.aiesec.org/opportunities/1297677")</f>
        <v>https://expa.aiesec.org/opportunities/1297677</v>
      </c>
      <c r="L361" s="43" t="str">
        <f>IFERROR(__xludf.DUMMYFUNCTION("""COMPUTED_VALUE"""),"GTe")</f>
        <v>GTe</v>
      </c>
      <c r="M361" s="43" t="str">
        <f>IFERROR(__xludf.DUMMYFUNCTION("""COMPUTED_VALUE"""),"short")</f>
        <v>short</v>
      </c>
      <c r="N361" s="45">
        <f>IFERROR(__xludf.DUMMYFUNCTION("""COMPUTED_VALUE"""),45149.0)</f>
        <v>45149</v>
      </c>
      <c r="O361" s="45">
        <f>IFERROR(__xludf.DUMMYFUNCTION("""COMPUTED_VALUE"""),45170.0)</f>
        <v>45170</v>
      </c>
      <c r="P361" s="45">
        <f>IFERROR(__xludf.DUMMYFUNCTION("""COMPUTED_VALUE"""),45233.0)</f>
        <v>45233</v>
      </c>
      <c r="Q361" s="45">
        <f>IFERROR(__xludf.DUMMYFUNCTION("""COMPUTED_VALUE"""),45175.0)</f>
        <v>45175</v>
      </c>
      <c r="R361" s="45">
        <f>IFERROR(__xludf.DUMMYFUNCTION("""COMPUTED_VALUE"""),45236.0)</f>
        <v>45236</v>
      </c>
      <c r="S361" s="43"/>
      <c r="T361" s="43"/>
      <c r="U361" s="43" t="str">
        <f>IFERROR(__xludf.DUMMYFUNCTION("""COMPUTED_VALUE"""),"English Teacher ")</f>
        <v>English Teacher </v>
      </c>
      <c r="V361" s="43" t="str">
        <f>IFERROR(__xludf.DUMMYFUNCTION("""COMPUTED_VALUE"""),"-")</f>
        <v>-</v>
      </c>
      <c r="W361" s="43" t="str">
        <f>IFERROR(__xludf.DUMMYFUNCTION("""COMPUTED_VALUE"""),"2023-06-27T14:53:20Z")</f>
        <v>2023-06-27T14:53:20Z</v>
      </c>
      <c r="X361" s="43"/>
      <c r="Y361" s="43"/>
      <c r="Z361" s="43"/>
    </row>
    <row r="362" hidden="1">
      <c r="A362" s="43" t="str">
        <f>IFERROR(__xludf.DUMMYFUNCTION("""COMPUTED_VALUE"""),"5301381_1281195")</f>
        <v>5301381_1281195</v>
      </c>
      <c r="B362" s="43" t="str">
        <f>IFERROR(__xludf.DUMMYFUNCTION("""COMPUTED_VALUE"""),"Hayfa Ben attia")</f>
        <v>Hayfa Ben attia</v>
      </c>
      <c r="C362" s="43" t="str">
        <f>IFERROR(__xludf.DUMMYFUNCTION("""COMPUTED_VALUE"""),"realized")</f>
        <v>realized</v>
      </c>
      <c r="D362" s="43" t="str">
        <f>IFERROR(__xludf.DUMMYFUNCTION("""COMPUTED_VALUE"""),"No")</f>
        <v>No</v>
      </c>
      <c r="E362" s="43" t="str">
        <f>IFERROR(__xludf.DUMMYFUNCTION("""COMPUTED_VALUE"""),"p_bb3ab1b6236adfd8e872d79e15fed9e6f6f99d13@inbound.aiesec.org")</f>
        <v>p_bb3ab1b6236adfd8e872d79e15fed9e6f6f99d13@inbound.aiesec.org</v>
      </c>
      <c r="F362" s="43">
        <f>IFERROR(__xludf.DUMMYFUNCTION("""COMPUTED_VALUE"""),5.441717096E9)</f>
        <v>5441717096</v>
      </c>
      <c r="G362" s="43" t="str">
        <f>IFERROR(__xludf.DUMMYFUNCTION("""COMPUTED_VALUE"""),"Tunisia")</f>
        <v>Tunisia</v>
      </c>
      <c r="H362" s="43" t="str">
        <f>IFERROR(__xludf.DUMMYFUNCTION("""COMPUTED_VALUE"""),"Tacapes")</f>
        <v>Tacapes</v>
      </c>
      <c r="I362" s="43" t="str">
        <f>IFERROR(__xludf.DUMMYFUNCTION("""COMPUTED_VALUE"""),"Turkey")</f>
        <v>Turkey</v>
      </c>
      <c r="J362" s="43" t="str">
        <f>IFERROR(__xludf.DUMMYFUNCTION("""COMPUTED_VALUE"""),"BURSA")</f>
        <v>BURSA</v>
      </c>
      <c r="K362" s="44" t="str">
        <f>IFERROR(__xludf.DUMMYFUNCTION("""COMPUTED_VALUE"""),"https://expa.aiesec.org/opportunities/1281195")</f>
        <v>https://expa.aiesec.org/opportunities/1281195</v>
      </c>
      <c r="L362" s="43" t="str">
        <f>IFERROR(__xludf.DUMMYFUNCTION("""COMPUTED_VALUE"""),"GTe")</f>
        <v>GTe</v>
      </c>
      <c r="M362" s="43" t="str">
        <f>IFERROR(__xludf.DUMMYFUNCTION("""COMPUTED_VALUE"""),"long")</f>
        <v>long</v>
      </c>
      <c r="N362" s="45">
        <f>IFERROR(__xludf.DUMMYFUNCTION("""COMPUTED_VALUE"""),45150.0)</f>
        <v>45150</v>
      </c>
      <c r="O362" s="45">
        <f>IFERROR(__xludf.DUMMYFUNCTION("""COMPUTED_VALUE"""),45174.0)</f>
        <v>45174</v>
      </c>
      <c r="P362" s="45">
        <f>IFERROR(__xludf.DUMMYFUNCTION("""COMPUTED_VALUE"""),45540.0)</f>
        <v>45540</v>
      </c>
      <c r="Q362" s="45">
        <f>IFERROR(__xludf.DUMMYFUNCTION("""COMPUTED_VALUE"""),45176.0)</f>
        <v>45176</v>
      </c>
      <c r="R362" s="45">
        <f>IFERROR(__xludf.DUMMYFUNCTION("""COMPUTED_VALUE"""),45540.0)</f>
        <v>45540</v>
      </c>
      <c r="S362" s="43"/>
      <c r="T362" s="43"/>
      <c r="U362" s="43" t="str">
        <f>IFERROR(__xludf.DUMMYFUNCTION("""COMPUTED_VALUE"""),"ENGLISH TEACHING")</f>
        <v>ENGLISH TEACHING</v>
      </c>
      <c r="V362" s="43" t="str">
        <f>IFERROR(__xludf.DUMMYFUNCTION("""COMPUTED_VALUE"""),"ISLG")</f>
        <v>ISLG</v>
      </c>
      <c r="W362" s="43" t="str">
        <f>IFERROR(__xludf.DUMMYFUNCTION("""COMPUTED_VALUE"""),"2023-08-11T21:47:54Z")</f>
        <v>2023-08-11T21:47:54Z</v>
      </c>
      <c r="X362" s="43"/>
      <c r="Y362" s="43"/>
      <c r="Z362" s="43"/>
    </row>
    <row r="363" hidden="1">
      <c r="A363" s="43" t="str">
        <f>IFERROR(__xludf.DUMMYFUNCTION("""COMPUTED_VALUE"""),"5038701_1289293")</f>
        <v>5038701_1289293</v>
      </c>
      <c r="B363" s="43" t="str">
        <f>IFERROR(__xludf.DUMMYFUNCTION("""COMPUTED_VALUE"""),"Khadidja Nor El Houda Tahri")</f>
        <v>Khadidja Nor El Houda Tahri</v>
      </c>
      <c r="C363" s="43" t="str">
        <f>IFERROR(__xludf.DUMMYFUNCTION("""COMPUTED_VALUE"""),"realized")</f>
        <v>realized</v>
      </c>
      <c r="D363" s="43" t="str">
        <f>IFERROR(__xludf.DUMMYFUNCTION("""COMPUTED_VALUE"""),"No")</f>
        <v>No</v>
      </c>
      <c r="E363" s="43" t="str">
        <f>IFERROR(__xludf.DUMMYFUNCTION("""COMPUTED_VALUE"""),"p_92f335074b7f1edc10a5971157fc130822475a06@inbound.aiesec.org")</f>
        <v>p_92f335074b7f1edc10a5971157fc130822475a06@inbound.aiesec.org</v>
      </c>
      <c r="F363" s="43">
        <f>IFERROR(__xludf.DUMMYFUNCTION("""COMPUTED_VALUE"""),5.41415629E8)</f>
        <v>541415629</v>
      </c>
      <c r="G363" s="43" t="str">
        <f>IFERROR(__xludf.DUMMYFUNCTION("""COMPUTED_VALUE"""),"Algeria")</f>
        <v>Algeria</v>
      </c>
      <c r="H363" s="43" t="str">
        <f>IFERROR(__xludf.DUMMYFUNCTION("""COMPUTED_VALUE"""),"Tlemcen")</f>
        <v>Tlemcen</v>
      </c>
      <c r="I363" s="43" t="str">
        <f>IFERROR(__xludf.DUMMYFUNCTION("""COMPUTED_VALUE"""),"Turkey")</f>
        <v>Turkey</v>
      </c>
      <c r="J363" s="43" t="str">
        <f>IFERROR(__xludf.DUMMYFUNCTION("""COMPUTED_VALUE"""),"ADANA")</f>
        <v>ADANA</v>
      </c>
      <c r="K363" s="44" t="str">
        <f>IFERROR(__xludf.DUMMYFUNCTION("""COMPUTED_VALUE"""),"https://expa.aiesec.org/opportunities/1289293")</f>
        <v>https://expa.aiesec.org/opportunities/1289293</v>
      </c>
      <c r="L363" s="43" t="str">
        <f>IFERROR(__xludf.DUMMYFUNCTION("""COMPUTED_VALUE"""),"GTe")</f>
        <v>GTe</v>
      </c>
      <c r="M363" s="43" t="str">
        <f>IFERROR(__xludf.DUMMYFUNCTION("""COMPUTED_VALUE"""),"long")</f>
        <v>long</v>
      </c>
      <c r="N363" s="45">
        <f>IFERROR(__xludf.DUMMYFUNCTION("""COMPUTED_VALUE"""),45151.0)</f>
        <v>45151</v>
      </c>
      <c r="O363" s="45">
        <f>IFERROR(__xludf.DUMMYFUNCTION("""COMPUTED_VALUE"""),45173.0)</f>
        <v>45173</v>
      </c>
      <c r="P363" s="45">
        <f>IFERROR(__xludf.DUMMYFUNCTION("""COMPUTED_VALUE"""),45471.0)</f>
        <v>45471</v>
      </c>
      <c r="Q363" s="45">
        <f>IFERROR(__xludf.DUMMYFUNCTION("""COMPUTED_VALUE"""),45194.0)</f>
        <v>45194</v>
      </c>
      <c r="R363" s="45">
        <f>IFERROR(__xludf.DUMMYFUNCTION("""COMPUTED_VALUE"""),45492.0)</f>
        <v>45492</v>
      </c>
      <c r="S363" s="43"/>
      <c r="T363" s="43"/>
      <c r="U363" s="43" t="str">
        <f>IFERROR(__xludf.DUMMYFUNCTION("""COMPUTED_VALUE"""),"English Teacher")</f>
        <v>English Teacher</v>
      </c>
      <c r="V363" s="43" t="str">
        <f>IFERROR(__xludf.DUMMYFUNCTION("""COMPUTED_VALUE"""),"AIESEC in Tlemcen")</f>
        <v>AIESEC in Tlemcen</v>
      </c>
      <c r="W363" s="43" t="str">
        <f>IFERROR(__xludf.DUMMYFUNCTION("""COMPUTED_VALUE"""),"2022-04-13T20:53:12Z")</f>
        <v>2022-04-13T20:53:12Z</v>
      </c>
      <c r="X363" s="43"/>
      <c r="Y363" s="43"/>
      <c r="Z363" s="43"/>
    </row>
    <row r="364" hidden="1">
      <c r="A364" s="43" t="str">
        <f>IFERROR(__xludf.DUMMYFUNCTION("""COMPUTED_VALUE"""),"5300337_1295514")</f>
        <v>5300337_1295514</v>
      </c>
      <c r="B364" s="43" t="str">
        <f>IFERROR(__xludf.DUMMYFUNCTION("""COMPUTED_VALUE"""),"Afef Houachri")</f>
        <v>Afef Houachri</v>
      </c>
      <c r="C364" s="43" t="str">
        <f>IFERROR(__xludf.DUMMYFUNCTION("""COMPUTED_VALUE"""),"realized")</f>
        <v>realized</v>
      </c>
      <c r="D364" s="43" t="str">
        <f>IFERROR(__xludf.DUMMYFUNCTION("""COMPUTED_VALUE"""),"No")</f>
        <v>No</v>
      </c>
      <c r="E364" s="43" t="str">
        <f>IFERROR(__xludf.DUMMYFUNCTION("""COMPUTED_VALUE"""),"p_09f4af022e3b6e5cc7e21229435a9c461439f512@inbound.aiesec.org")</f>
        <v>p_09f4af022e3b6e5cc7e21229435a9c461439f512@inbound.aiesec.org</v>
      </c>
      <c r="F364" s="43">
        <f>IFERROR(__xludf.DUMMYFUNCTION("""COMPUTED_VALUE"""),2.2190036E7)</f>
        <v>22190036</v>
      </c>
      <c r="G364" s="43" t="str">
        <f>IFERROR(__xludf.DUMMYFUNCTION("""COMPUTED_VALUE"""),"Tunisia")</f>
        <v>Tunisia</v>
      </c>
      <c r="H364" s="43" t="str">
        <f>IFERROR(__xludf.DUMMYFUNCTION("""COMPUTED_VALUE"""),"Carthage")</f>
        <v>Carthage</v>
      </c>
      <c r="I364" s="43" t="str">
        <f>IFERROR(__xludf.DUMMYFUNCTION("""COMPUTED_VALUE"""),"Turkey")</f>
        <v>Turkey</v>
      </c>
      <c r="J364" s="43" t="str">
        <f>IFERROR(__xludf.DUMMYFUNCTION("""COMPUTED_VALUE"""),"GAZIANTEP")</f>
        <v>GAZIANTEP</v>
      </c>
      <c r="K364" s="44" t="str">
        <f>IFERROR(__xludf.DUMMYFUNCTION("""COMPUTED_VALUE"""),"https://expa.aiesec.org/opportunities/1295514")</f>
        <v>https://expa.aiesec.org/opportunities/1295514</v>
      </c>
      <c r="L364" s="43" t="str">
        <f>IFERROR(__xludf.DUMMYFUNCTION("""COMPUTED_VALUE"""),"GTe")</f>
        <v>GTe</v>
      </c>
      <c r="M364" s="43" t="str">
        <f>IFERROR(__xludf.DUMMYFUNCTION("""COMPUTED_VALUE"""),"long")</f>
        <v>long</v>
      </c>
      <c r="N364" s="45">
        <f>IFERROR(__xludf.DUMMYFUNCTION("""COMPUTED_VALUE"""),45151.0)</f>
        <v>45151</v>
      </c>
      <c r="O364" s="45">
        <f>IFERROR(__xludf.DUMMYFUNCTION("""COMPUTED_VALUE"""),45164.0)</f>
        <v>45164</v>
      </c>
      <c r="P364" s="45">
        <f>IFERROR(__xludf.DUMMYFUNCTION("""COMPUTED_VALUE"""),45529.0)</f>
        <v>45529</v>
      </c>
      <c r="Q364" s="45">
        <f>IFERROR(__xludf.DUMMYFUNCTION("""COMPUTED_VALUE"""),45161.0)</f>
        <v>45161</v>
      </c>
      <c r="R364" s="45">
        <f>IFERROR(__xludf.DUMMYFUNCTION("""COMPUTED_VALUE"""),45529.0)</f>
        <v>45529</v>
      </c>
      <c r="S364" s="43"/>
      <c r="T364" s="43"/>
      <c r="U364" s="43" t="str">
        <f>IFERROR(__xludf.DUMMYFUNCTION("""COMPUTED_VALUE"""),"English Teacher")</f>
        <v>English Teacher</v>
      </c>
      <c r="V364" s="43" t="str">
        <f>IFERROR(__xludf.DUMMYFUNCTION("""COMPUTED_VALUE"""),"ISLT")</f>
        <v>ISLT</v>
      </c>
      <c r="W364" s="43" t="str">
        <f>IFERROR(__xludf.DUMMYFUNCTION("""COMPUTED_VALUE"""),"2023-08-09T21:21:41Z")</f>
        <v>2023-08-09T21:21:41Z</v>
      </c>
      <c r="X364" s="43"/>
      <c r="Y364" s="43"/>
      <c r="Z364" s="43"/>
    </row>
    <row r="365" hidden="1">
      <c r="A365" s="43" t="str">
        <f>IFERROR(__xludf.DUMMYFUNCTION("""COMPUTED_VALUE"""),"4770276_1286521")</f>
        <v>4770276_1286521</v>
      </c>
      <c r="B365" s="43" t="str">
        <f>IFERROR(__xludf.DUMMYFUNCTION("""COMPUTED_VALUE"""),"Sara Naas")</f>
        <v>Sara Naas</v>
      </c>
      <c r="C365" s="43" t="str">
        <f>IFERROR(__xludf.DUMMYFUNCTION("""COMPUTED_VALUE"""),"approved")</f>
        <v>approved</v>
      </c>
      <c r="D365" s="43" t="str">
        <f>IFERROR(__xludf.DUMMYFUNCTION("""COMPUTED_VALUE"""),"No")</f>
        <v>No</v>
      </c>
      <c r="E365" s="43" t="str">
        <f>IFERROR(__xludf.DUMMYFUNCTION("""COMPUTED_VALUE"""),"p_fc3087ab1308dc5a87b376533275e87f932223a4@inbound.aiesec.org")</f>
        <v>p_fc3087ab1308dc5a87b376533275e87f932223a4@inbound.aiesec.org</v>
      </c>
      <c r="F365" s="43">
        <f>IFERROR(__xludf.DUMMYFUNCTION("""COMPUTED_VALUE"""),5.41817333E8)</f>
        <v>541817333</v>
      </c>
      <c r="G365" s="43" t="str">
        <f>IFERROR(__xludf.DUMMYFUNCTION("""COMPUTED_VALUE"""),"Algeria")</f>
        <v>Algeria</v>
      </c>
      <c r="H365" s="43" t="str">
        <f>IFERROR(__xludf.DUMMYFUNCTION("""COMPUTED_VALUE"""),"Oran")</f>
        <v>Oran</v>
      </c>
      <c r="I365" s="43" t="str">
        <f>IFERROR(__xludf.DUMMYFUNCTION("""COMPUTED_VALUE"""),"Turkey")</f>
        <v>Turkey</v>
      </c>
      <c r="J365" s="43" t="str">
        <f>IFERROR(__xludf.DUMMYFUNCTION("""COMPUTED_VALUE"""),"GAZIANTEP")</f>
        <v>GAZIANTEP</v>
      </c>
      <c r="K365" s="44" t="str">
        <f>IFERROR(__xludf.DUMMYFUNCTION("""COMPUTED_VALUE"""),"https://expa.aiesec.org/opportunities/1286521")</f>
        <v>https://expa.aiesec.org/opportunities/1286521</v>
      </c>
      <c r="L365" s="43" t="str">
        <f>IFERROR(__xludf.DUMMYFUNCTION("""COMPUTED_VALUE"""),"GTe")</f>
        <v>GTe</v>
      </c>
      <c r="M365" s="43" t="str">
        <f>IFERROR(__xludf.DUMMYFUNCTION("""COMPUTED_VALUE"""),"long")</f>
        <v>long</v>
      </c>
      <c r="N365" s="45">
        <f>IFERROR(__xludf.DUMMYFUNCTION("""COMPUTED_VALUE"""),45153.0)</f>
        <v>45153</v>
      </c>
      <c r="O365" s="45">
        <f>IFERROR(__xludf.DUMMYFUNCTION("""COMPUTED_VALUE"""),45148.0)</f>
        <v>45148</v>
      </c>
      <c r="P365" s="45">
        <f>IFERROR(__xludf.DUMMYFUNCTION("""COMPUTED_VALUE"""),45513.0)</f>
        <v>45513</v>
      </c>
      <c r="Q365" s="45"/>
      <c r="R365" s="45"/>
      <c r="S365" s="43"/>
      <c r="T365" s="43"/>
      <c r="U365" s="43" t="str">
        <f>IFERROR(__xludf.DUMMYFUNCTION("""COMPUTED_VALUE"""),"ENGLİSH TRACHER")</f>
        <v>ENGLİSH TRACHER</v>
      </c>
      <c r="V365" s="43" t="str">
        <f>IFERROR(__xludf.DUMMYFUNCTION("""COMPUTED_VALUE"""),"AIESEC in Bejaia")</f>
        <v>AIESEC in Bejaia</v>
      </c>
      <c r="W365" s="43" t="str">
        <f>IFERROR(__xludf.DUMMYFUNCTION("""COMPUTED_VALUE"""),"2021-10-22T15:43:44Z")</f>
        <v>2021-10-22T15:43:44Z</v>
      </c>
      <c r="X365" s="43"/>
      <c r="Y365" s="43"/>
      <c r="Z365" s="43"/>
    </row>
    <row r="366" hidden="1">
      <c r="A366" s="43" t="str">
        <f>IFERROR(__xludf.DUMMYFUNCTION("""COMPUTED_VALUE"""),"5292263_1277661")</f>
        <v>5292263_1277661</v>
      </c>
      <c r="B366" s="43" t="str">
        <f>IFERROR(__xludf.DUMMYFUNCTION("""COMPUTED_VALUE"""),"deleted 5292263")</f>
        <v>deleted 5292263</v>
      </c>
      <c r="C366" s="43" t="str">
        <f>IFERROR(__xludf.DUMMYFUNCTION("""COMPUTED_VALUE"""),"realized")</f>
        <v>realized</v>
      </c>
      <c r="D366" s="43" t="str">
        <f>IFERROR(__xludf.DUMMYFUNCTION("""COMPUTED_VALUE"""),"No")</f>
        <v>No</v>
      </c>
      <c r="E366" s="43" t="str">
        <f>IFERROR(__xludf.DUMMYFUNCTION("""COMPUTED_VALUE"""),"p_b7b0f6c109f0082f94163bc837568b3fa0aaf48f@inbound.aiesec.org")</f>
        <v>p_b7b0f6c109f0082f94163bc837568b3fa0aaf48f@inbound.aiesec.org</v>
      </c>
      <c r="F366" s="43"/>
      <c r="G366" s="43" t="str">
        <f>IFERROR(__xludf.DUMMYFUNCTION("""COMPUTED_VALUE"""),"Algeria")</f>
        <v>Algeria</v>
      </c>
      <c r="H366" s="43" t="str">
        <f>IFERROR(__xludf.DUMMYFUNCTION("""COMPUTED_VALUE"""),"Oran")</f>
        <v>Oran</v>
      </c>
      <c r="I366" s="43" t="str">
        <f>IFERROR(__xludf.DUMMYFUNCTION("""COMPUTED_VALUE"""),"Turkey")</f>
        <v>Turkey</v>
      </c>
      <c r="J366" s="43" t="str">
        <f>IFERROR(__xludf.DUMMYFUNCTION("""COMPUTED_VALUE"""),"KOCAELI")</f>
        <v>KOCAELI</v>
      </c>
      <c r="K366" s="44" t="str">
        <f>IFERROR(__xludf.DUMMYFUNCTION("""COMPUTED_VALUE"""),"https://expa.aiesec.org/opportunities/1277661")</f>
        <v>https://expa.aiesec.org/opportunities/1277661</v>
      </c>
      <c r="L366" s="43" t="str">
        <f>IFERROR(__xludf.DUMMYFUNCTION("""COMPUTED_VALUE"""),"GTe")</f>
        <v>GTe</v>
      </c>
      <c r="M366" s="43" t="str">
        <f>IFERROR(__xludf.DUMMYFUNCTION("""COMPUTED_VALUE"""),"long")</f>
        <v>long</v>
      </c>
      <c r="N366" s="45">
        <f>IFERROR(__xludf.DUMMYFUNCTION("""COMPUTED_VALUE"""),45154.0)</f>
        <v>45154</v>
      </c>
      <c r="O366" s="45">
        <f>IFERROR(__xludf.DUMMYFUNCTION("""COMPUTED_VALUE"""),45166.0)</f>
        <v>45166</v>
      </c>
      <c r="P366" s="45">
        <f>IFERROR(__xludf.DUMMYFUNCTION("""COMPUTED_VALUE"""),45458.0)</f>
        <v>45458</v>
      </c>
      <c r="Q366" s="45">
        <f>IFERROR(__xludf.DUMMYFUNCTION("""COMPUTED_VALUE"""),45196.0)</f>
        <v>45196</v>
      </c>
      <c r="R366" s="45">
        <f>IFERROR(__xludf.DUMMYFUNCTION("""COMPUTED_VALUE"""),45486.0)</f>
        <v>45486</v>
      </c>
      <c r="S366" s="43"/>
      <c r="T366" s="43"/>
      <c r="U366" s="43" t="str">
        <f>IFERROR(__xludf.DUMMYFUNCTION("""COMPUTED_VALUE"""),"English Teacher in Körfez Uğur Okulları")</f>
        <v>English Teacher in Körfez Uğur Okulları</v>
      </c>
      <c r="V366" s="43" t="str">
        <f>IFERROR(__xludf.DUMMYFUNCTION("""COMPUTED_VALUE"""),"AIESEC in Oran")</f>
        <v>AIESEC in Oran</v>
      </c>
      <c r="W366" s="43" t="str">
        <f>IFERROR(__xludf.DUMMYFUNCTION("""COMPUTED_VALUE"""),"2023-07-31T16:18:21Z")</f>
        <v>2023-07-31T16:18:21Z</v>
      </c>
      <c r="X366" s="43"/>
      <c r="Y366" s="43"/>
      <c r="Z366" s="43"/>
    </row>
    <row r="367" hidden="1">
      <c r="A367" s="43" t="str">
        <f>IFERROR(__xludf.DUMMYFUNCTION("""COMPUTED_VALUE"""),"5301066_1288607")</f>
        <v>5301066_1288607</v>
      </c>
      <c r="B367" s="43" t="str">
        <f>IFERROR(__xludf.DUMMYFUNCTION("""COMPUTED_VALUE"""),"N H Takrim")</f>
        <v>N H Takrim</v>
      </c>
      <c r="C367" s="43" t="str">
        <f>IFERROR(__xludf.DUMMYFUNCTION("""COMPUTED_VALUE"""),"realized")</f>
        <v>realized</v>
      </c>
      <c r="D367" s="43" t="str">
        <f>IFERROR(__xludf.DUMMYFUNCTION("""COMPUTED_VALUE"""),"No")</f>
        <v>No</v>
      </c>
      <c r="E367" s="43" t="str">
        <f>IFERROR(__xludf.DUMMYFUNCTION("""COMPUTED_VALUE"""),"p_6b347a33f427cd21a52706713496d5a9e5f7af4f@inbound.aiesec.org")</f>
        <v>p_6b347a33f427cd21a52706713496d5a9e5f7af4f@inbound.aiesec.org</v>
      </c>
      <c r="F367" s="43">
        <f>IFERROR(__xludf.DUMMYFUNCTION("""COMPUTED_VALUE"""),1.914339897E9)</f>
        <v>1914339897</v>
      </c>
      <c r="G367" s="43" t="str">
        <f>IFERROR(__xludf.DUMMYFUNCTION("""COMPUTED_VALUE"""),"Bangladesh")</f>
        <v>Bangladesh</v>
      </c>
      <c r="H367" s="43" t="str">
        <f>IFERROR(__xludf.DUMMYFUNCTION("""COMPUTED_VALUE"""),"National Office")</f>
        <v>National Office</v>
      </c>
      <c r="I367" s="43" t="str">
        <f>IFERROR(__xludf.DUMMYFUNCTION("""COMPUTED_VALUE"""),"Turkey")</f>
        <v>Turkey</v>
      </c>
      <c r="J367" s="43" t="str">
        <f>IFERROR(__xludf.DUMMYFUNCTION("""COMPUTED_VALUE"""),"KOCAELI")</f>
        <v>KOCAELI</v>
      </c>
      <c r="K367" s="44" t="str">
        <f>IFERROR(__xludf.DUMMYFUNCTION("""COMPUTED_VALUE"""),"https://expa.aiesec.org/opportunities/1288607")</f>
        <v>https://expa.aiesec.org/opportunities/1288607</v>
      </c>
      <c r="L367" s="43" t="str">
        <f>IFERROR(__xludf.DUMMYFUNCTION("""COMPUTED_VALUE"""),"GTe")</f>
        <v>GTe</v>
      </c>
      <c r="M367" s="43" t="str">
        <f>IFERROR(__xludf.DUMMYFUNCTION("""COMPUTED_VALUE"""),"long")</f>
        <v>long</v>
      </c>
      <c r="N367" s="45">
        <f>IFERROR(__xludf.DUMMYFUNCTION("""COMPUTED_VALUE"""),45155.0)</f>
        <v>45155</v>
      </c>
      <c r="O367" s="45">
        <f>IFERROR(__xludf.DUMMYFUNCTION("""COMPUTED_VALUE"""),45178.0)</f>
        <v>45178</v>
      </c>
      <c r="P367" s="45">
        <f>IFERROR(__xludf.DUMMYFUNCTION("""COMPUTED_VALUE"""),45444.0)</f>
        <v>45444</v>
      </c>
      <c r="Q367" s="45">
        <f>IFERROR(__xludf.DUMMYFUNCTION("""COMPUTED_VALUE"""),45251.0)</f>
        <v>45251</v>
      </c>
      <c r="R367" s="45">
        <f>IFERROR(__xludf.DUMMYFUNCTION("""COMPUTED_VALUE"""),45515.0)</f>
        <v>45515</v>
      </c>
      <c r="S367" s="43"/>
      <c r="T367" s="43"/>
      <c r="U367" s="43" t="str">
        <f>IFERROR(__xludf.DUMMYFUNCTION("""COMPUTED_VALUE"""),"English Teacher in Üstün Başarı Kindergarten")</f>
        <v>English Teacher in Üstün Başarı Kindergarten</v>
      </c>
      <c r="V367" s="43" t="str">
        <f>IFERROR(__xludf.DUMMYFUNCTION("""COMPUTED_VALUE"""),"Others")</f>
        <v>Others</v>
      </c>
      <c r="W367" s="43" t="str">
        <f>IFERROR(__xludf.DUMMYFUNCTION("""COMPUTED_VALUE"""),"2023-08-11T06:41:56Z")</f>
        <v>2023-08-11T06:41:56Z</v>
      </c>
      <c r="X367" s="43"/>
      <c r="Y367" s="43"/>
      <c r="Z367" s="43"/>
    </row>
    <row r="368" hidden="1">
      <c r="A368" s="43" t="str">
        <f>IFERROR(__xludf.DUMMYFUNCTION("""COMPUTED_VALUE"""),"5285642_1298334")</f>
        <v>5285642_1298334</v>
      </c>
      <c r="B368" s="43" t="str">
        <f>IFERROR(__xludf.DUMMYFUNCTION("""COMPUTED_VALUE"""),"Gaddacha Asfour Sarra")</f>
        <v>Gaddacha Asfour Sarra</v>
      </c>
      <c r="C368" s="43" t="str">
        <f>IFERROR(__xludf.DUMMYFUNCTION("""COMPUTED_VALUE"""),"realized")</f>
        <v>realized</v>
      </c>
      <c r="D368" s="43" t="str">
        <f>IFERROR(__xludf.DUMMYFUNCTION("""COMPUTED_VALUE"""),"No")</f>
        <v>No</v>
      </c>
      <c r="E368" s="43" t="str">
        <f>IFERROR(__xludf.DUMMYFUNCTION("""COMPUTED_VALUE"""),"p_c65dd224039a53abd651566f041048ff16f4ddb1@inbound.aiesec.org")</f>
        <v>p_c65dd224039a53abd651566f041048ff16f4ddb1@inbound.aiesec.org</v>
      </c>
      <c r="F368" s="43">
        <f>IFERROR(__xludf.DUMMYFUNCTION("""COMPUTED_VALUE"""),2.9573606E7)</f>
        <v>29573606</v>
      </c>
      <c r="G368" s="43" t="str">
        <f>IFERROR(__xludf.DUMMYFUNCTION("""COMPUTED_VALUE"""),"Tunisia")</f>
        <v>Tunisia</v>
      </c>
      <c r="H368" s="43" t="str">
        <f>IFERROR(__xludf.DUMMYFUNCTION("""COMPUTED_VALUE"""),"Carthage")</f>
        <v>Carthage</v>
      </c>
      <c r="I368" s="43" t="str">
        <f>IFERROR(__xludf.DUMMYFUNCTION("""COMPUTED_VALUE"""),"Turkey")</f>
        <v>Turkey</v>
      </c>
      <c r="J368" s="43" t="str">
        <f>IFERROR(__xludf.DUMMYFUNCTION("""COMPUTED_VALUE"""),"KOCAELI")</f>
        <v>KOCAELI</v>
      </c>
      <c r="K368" s="44" t="str">
        <f>IFERROR(__xludf.DUMMYFUNCTION("""COMPUTED_VALUE"""),"https://expa.aiesec.org/opportunities/1298334")</f>
        <v>https://expa.aiesec.org/opportunities/1298334</v>
      </c>
      <c r="L368" s="43" t="str">
        <f>IFERROR(__xludf.DUMMYFUNCTION("""COMPUTED_VALUE"""),"GTe")</f>
        <v>GTe</v>
      </c>
      <c r="M368" s="43" t="str">
        <f>IFERROR(__xludf.DUMMYFUNCTION("""COMPUTED_VALUE"""),"long")</f>
        <v>long</v>
      </c>
      <c r="N368" s="45">
        <f>IFERROR(__xludf.DUMMYFUNCTION("""COMPUTED_VALUE"""),45156.0)</f>
        <v>45156</v>
      </c>
      <c r="O368" s="45">
        <f>IFERROR(__xludf.DUMMYFUNCTION("""COMPUTED_VALUE"""),45170.0)</f>
        <v>45170</v>
      </c>
      <c r="P368" s="45">
        <f>IFERROR(__xludf.DUMMYFUNCTION("""COMPUTED_VALUE"""),45374.0)</f>
        <v>45374</v>
      </c>
      <c r="Q368" s="45">
        <f>IFERROR(__xludf.DUMMYFUNCTION("""COMPUTED_VALUE"""),45179.0)</f>
        <v>45179</v>
      </c>
      <c r="R368" s="45">
        <f>IFERROR(__xludf.DUMMYFUNCTION("""COMPUTED_VALUE"""),45466.0)</f>
        <v>45466</v>
      </c>
      <c r="S368" s="43"/>
      <c r="T368" s="43"/>
      <c r="U368" s="43" t="str">
        <f>IFERROR(__xludf.DUMMYFUNCTION("""COMPUTED_VALUE"""),"English Teacher in English World Kindergarden")</f>
        <v>English Teacher in English World Kindergarden</v>
      </c>
      <c r="V368" s="43" t="str">
        <f>IFERROR(__xludf.DUMMYFUNCTION("""COMPUTED_VALUE"""),"ISLT")</f>
        <v>ISLT</v>
      </c>
      <c r="W368" s="43" t="str">
        <f>IFERROR(__xludf.DUMMYFUNCTION("""COMPUTED_VALUE"""),"2023-07-16T00:07:15Z")</f>
        <v>2023-07-16T00:07:15Z</v>
      </c>
      <c r="X368" s="43"/>
      <c r="Y368" s="43"/>
      <c r="Z368" s="43"/>
    </row>
    <row r="369" hidden="1">
      <c r="A369" s="43" t="str">
        <f>IFERROR(__xludf.DUMMYFUNCTION("""COMPUTED_VALUE"""),"5304173_1278703")</f>
        <v>5304173_1278703</v>
      </c>
      <c r="B369" s="43" t="str">
        <f>IFERROR(__xludf.DUMMYFUNCTION("""COMPUTED_VALUE"""),"oumaima chermiti")</f>
        <v>oumaima chermiti</v>
      </c>
      <c r="C369" s="43" t="str">
        <f>IFERROR(__xludf.DUMMYFUNCTION("""COMPUTED_VALUE"""),"realized")</f>
        <v>realized</v>
      </c>
      <c r="D369" s="43" t="str">
        <f>IFERROR(__xludf.DUMMYFUNCTION("""COMPUTED_VALUE"""),"No")</f>
        <v>No</v>
      </c>
      <c r="E369" s="43" t="str">
        <f>IFERROR(__xludf.DUMMYFUNCTION("""COMPUTED_VALUE"""),"p_2d804d40ec4de2428a01d95a8e2a1c355b0231ef@inbound.aiesec.org")</f>
        <v>p_2d804d40ec4de2428a01d95a8e2a1c355b0231ef@inbound.aiesec.org</v>
      </c>
      <c r="F369" s="43">
        <f>IFERROR(__xludf.DUMMYFUNCTION("""COMPUTED_VALUE"""),5.4051532E7)</f>
        <v>54051532</v>
      </c>
      <c r="G369" s="43" t="str">
        <f>IFERROR(__xludf.DUMMYFUNCTION("""COMPUTED_VALUE"""),"Tunisia")</f>
        <v>Tunisia</v>
      </c>
      <c r="H369" s="43" t="str">
        <f>IFERROR(__xludf.DUMMYFUNCTION("""COMPUTED_VALUE"""),"SFAX")</f>
        <v>SFAX</v>
      </c>
      <c r="I369" s="43" t="str">
        <f>IFERROR(__xludf.DUMMYFUNCTION("""COMPUTED_VALUE"""),"Turkey")</f>
        <v>Turkey</v>
      </c>
      <c r="J369" s="43" t="str">
        <f>IFERROR(__xludf.DUMMYFUNCTION("""COMPUTED_VALUE"""),"KOCAELI")</f>
        <v>KOCAELI</v>
      </c>
      <c r="K369" s="44" t="str">
        <f>IFERROR(__xludf.DUMMYFUNCTION("""COMPUTED_VALUE"""),"https://expa.aiesec.org/opportunities/1278703")</f>
        <v>https://expa.aiesec.org/opportunities/1278703</v>
      </c>
      <c r="L369" s="43" t="str">
        <f>IFERROR(__xludf.DUMMYFUNCTION("""COMPUTED_VALUE"""),"GTe")</f>
        <v>GTe</v>
      </c>
      <c r="M369" s="43" t="str">
        <f>IFERROR(__xludf.DUMMYFUNCTION("""COMPUTED_VALUE"""),"long")</f>
        <v>long</v>
      </c>
      <c r="N369" s="45">
        <f>IFERROR(__xludf.DUMMYFUNCTION("""COMPUTED_VALUE"""),45156.0)</f>
        <v>45156</v>
      </c>
      <c r="O369" s="45">
        <f>IFERROR(__xludf.DUMMYFUNCTION("""COMPUTED_VALUE"""),45173.0)</f>
        <v>45173</v>
      </c>
      <c r="P369" s="45">
        <f>IFERROR(__xludf.DUMMYFUNCTION("""COMPUTED_VALUE"""),45457.0)</f>
        <v>45457</v>
      </c>
      <c r="Q369" s="45">
        <f>IFERROR(__xludf.DUMMYFUNCTION("""COMPUTED_VALUE"""),45179.0)</f>
        <v>45179</v>
      </c>
      <c r="R369" s="45">
        <f>IFERROR(__xludf.DUMMYFUNCTION("""COMPUTED_VALUE"""),45464.0)</f>
        <v>45464</v>
      </c>
      <c r="S369" s="43"/>
      <c r="T369" s="43"/>
      <c r="U369" s="43" t="str">
        <f>IFERROR(__xludf.DUMMYFUNCTION("""COMPUTED_VALUE"""),"Kindergarden Teacher in Rengin  Anaokulu")</f>
        <v>Kindergarden Teacher in Rengin  Anaokulu</v>
      </c>
      <c r="V369" s="43" t="str">
        <f>IFERROR(__xludf.DUMMYFUNCTION("""COMPUTED_VALUE"""),"FLSH sfax ")</f>
        <v>FLSH sfax </v>
      </c>
      <c r="W369" s="43" t="str">
        <f>IFERROR(__xludf.DUMMYFUNCTION("""COMPUTED_VALUE"""),"2023-08-17T12:56:19Z")</f>
        <v>2023-08-17T12:56:19Z</v>
      </c>
      <c r="X369" s="43"/>
      <c r="Y369" s="43"/>
      <c r="Z369" s="43"/>
    </row>
    <row r="370" hidden="1">
      <c r="A370" s="43" t="str">
        <f>IFERROR(__xludf.DUMMYFUNCTION("""COMPUTED_VALUE"""),"4285071_1296980")</f>
        <v>4285071_1296980</v>
      </c>
      <c r="B370" s="43" t="str">
        <f>IFERROR(__xludf.DUMMYFUNCTION("""COMPUTED_VALUE"""),"Khadija Salam")</f>
        <v>Khadija Salam</v>
      </c>
      <c r="C370" s="43" t="str">
        <f>IFERROR(__xludf.DUMMYFUNCTION("""COMPUTED_VALUE"""),"approved")</f>
        <v>approved</v>
      </c>
      <c r="D370" s="43" t="str">
        <f>IFERROR(__xludf.DUMMYFUNCTION("""COMPUTED_VALUE"""),"No")</f>
        <v>No</v>
      </c>
      <c r="E370" s="43" t="str">
        <f>IFERROR(__xludf.DUMMYFUNCTION("""COMPUTED_VALUE"""),"p_9f06f5af197cbdf58de93d25335faee8b3b7d0b3@inbound.aiesec.org")</f>
        <v>p_9f06f5af197cbdf58de93d25335faee8b3b7d0b3@inbound.aiesec.org</v>
      </c>
      <c r="F370" s="43">
        <f>IFERROR(__xludf.DUMMYFUNCTION("""COMPUTED_VALUE"""),6.89481036E8)</f>
        <v>689481036</v>
      </c>
      <c r="G370" s="43" t="str">
        <f>IFERROR(__xludf.DUMMYFUNCTION("""COMPUTED_VALUE"""),"Morocco")</f>
        <v>Morocco</v>
      </c>
      <c r="H370" s="43" t="str">
        <f>IFERROR(__xludf.DUMMYFUNCTION("""COMPUTED_VALUE"""),"Agadir")</f>
        <v>Agadir</v>
      </c>
      <c r="I370" s="43" t="str">
        <f>IFERROR(__xludf.DUMMYFUNCTION("""COMPUTED_VALUE"""),"Turkey")</f>
        <v>Turkey</v>
      </c>
      <c r="J370" s="43" t="str">
        <f>IFERROR(__xludf.DUMMYFUNCTION("""COMPUTED_VALUE"""),"ISTANBUL ASIA")</f>
        <v>ISTANBUL ASIA</v>
      </c>
      <c r="K370" s="44" t="str">
        <f>IFERROR(__xludf.DUMMYFUNCTION("""COMPUTED_VALUE"""),"https://expa.aiesec.org/opportunities/1296980")</f>
        <v>https://expa.aiesec.org/opportunities/1296980</v>
      </c>
      <c r="L370" s="43" t="str">
        <f>IFERROR(__xludf.DUMMYFUNCTION("""COMPUTED_VALUE"""),"GTe")</f>
        <v>GTe</v>
      </c>
      <c r="M370" s="43" t="str">
        <f>IFERROR(__xludf.DUMMYFUNCTION("""COMPUTED_VALUE"""),"long")</f>
        <v>long</v>
      </c>
      <c r="N370" s="45">
        <f>IFERROR(__xludf.DUMMYFUNCTION("""COMPUTED_VALUE"""),45157.0)</f>
        <v>45157</v>
      </c>
      <c r="O370" s="45">
        <f>IFERROR(__xludf.DUMMYFUNCTION("""COMPUTED_VALUE"""),45173.0)</f>
        <v>45173</v>
      </c>
      <c r="P370" s="45">
        <f>IFERROR(__xludf.DUMMYFUNCTION("""COMPUTED_VALUE"""),45536.0)</f>
        <v>45536</v>
      </c>
      <c r="Q370" s="45"/>
      <c r="R370" s="45"/>
      <c r="S370" s="43"/>
      <c r="T370" s="43"/>
      <c r="U370" s="43" t="str">
        <f>IFERROR(__xludf.DUMMYFUNCTION("""COMPUTED_VALUE"""),"English Teacher")</f>
        <v>English Teacher</v>
      </c>
      <c r="V370" s="43" t="str">
        <f>IFERROR(__xludf.DUMMYFUNCTION("""COMPUTED_VALUE"""),"Other-AGADIR")</f>
        <v>Other-AGADIR</v>
      </c>
      <c r="W370" s="43" t="str">
        <f>IFERROR(__xludf.DUMMYFUNCTION("""COMPUTED_VALUE"""),"2020-05-08T15:10:44Z")</f>
        <v>2020-05-08T15:10:44Z</v>
      </c>
      <c r="X370" s="43"/>
      <c r="Y370" s="43"/>
      <c r="Z370" s="43"/>
    </row>
    <row r="371" hidden="1">
      <c r="A371" s="43" t="str">
        <f>IFERROR(__xludf.DUMMYFUNCTION("""COMPUTED_VALUE"""),"5305794_1264946")</f>
        <v>5305794_1264946</v>
      </c>
      <c r="B371" s="43" t="str">
        <f>IFERROR(__xludf.DUMMYFUNCTION("""COMPUTED_VALUE"""),"Dhekra Sahli")</f>
        <v>Dhekra Sahli</v>
      </c>
      <c r="C371" s="43" t="str">
        <f>IFERROR(__xludf.DUMMYFUNCTION("""COMPUTED_VALUE"""),"realized")</f>
        <v>realized</v>
      </c>
      <c r="D371" s="43" t="str">
        <f>IFERROR(__xludf.DUMMYFUNCTION("""COMPUTED_VALUE"""),"No")</f>
        <v>No</v>
      </c>
      <c r="E371" s="43" t="str">
        <f>IFERROR(__xludf.DUMMYFUNCTION("""COMPUTED_VALUE"""),"p_3e037144c0198a88928f3e775af3a4b46b2f2ad5@inbound.aiesec.org")</f>
        <v>p_3e037144c0198a88928f3e775af3a4b46b2f2ad5@inbound.aiesec.org</v>
      </c>
      <c r="F371" s="43">
        <f>IFERROR(__xludf.DUMMYFUNCTION("""COMPUTED_VALUE"""),9.8247039E7)</f>
        <v>98247039</v>
      </c>
      <c r="G371" s="43" t="str">
        <f>IFERROR(__xludf.DUMMYFUNCTION("""COMPUTED_VALUE"""),"Tunisia")</f>
        <v>Tunisia</v>
      </c>
      <c r="H371" s="43" t="str">
        <f>IFERROR(__xludf.DUMMYFUNCTION("""COMPUTED_VALUE"""),"RUSPINA")</f>
        <v>RUSPINA</v>
      </c>
      <c r="I371" s="43" t="str">
        <f>IFERROR(__xludf.DUMMYFUNCTION("""COMPUTED_VALUE"""),"Turkey")</f>
        <v>Turkey</v>
      </c>
      <c r="J371" s="43" t="str">
        <f>IFERROR(__xludf.DUMMYFUNCTION("""COMPUTED_VALUE"""),"KOCAELI")</f>
        <v>KOCAELI</v>
      </c>
      <c r="K371" s="44" t="str">
        <f>IFERROR(__xludf.DUMMYFUNCTION("""COMPUTED_VALUE"""),"https://expa.aiesec.org/opportunities/1264946")</f>
        <v>https://expa.aiesec.org/opportunities/1264946</v>
      </c>
      <c r="L371" s="43" t="str">
        <f>IFERROR(__xludf.DUMMYFUNCTION("""COMPUTED_VALUE"""),"GTe")</f>
        <v>GTe</v>
      </c>
      <c r="M371" s="43" t="str">
        <f>IFERROR(__xludf.DUMMYFUNCTION("""COMPUTED_VALUE"""),"long")</f>
        <v>long</v>
      </c>
      <c r="N371" s="45">
        <f>IFERROR(__xludf.DUMMYFUNCTION("""COMPUTED_VALUE"""),45159.0)</f>
        <v>45159</v>
      </c>
      <c r="O371" s="45">
        <f>IFERROR(__xludf.DUMMYFUNCTION("""COMPUTED_VALUE"""),45187.0)</f>
        <v>45187</v>
      </c>
      <c r="P371" s="45">
        <f>IFERROR(__xludf.DUMMYFUNCTION("""COMPUTED_VALUE"""),45474.0)</f>
        <v>45474</v>
      </c>
      <c r="Q371" s="45">
        <f>IFERROR(__xludf.DUMMYFUNCTION("""COMPUTED_VALUE"""),45189.0)</f>
        <v>45189</v>
      </c>
      <c r="R371" s="45">
        <f>IFERROR(__xludf.DUMMYFUNCTION("""COMPUTED_VALUE"""),45476.0)</f>
        <v>45476</v>
      </c>
      <c r="S371" s="43"/>
      <c r="T371" s="43"/>
      <c r="U371" s="43" t="str">
        <f>IFERROR(__xludf.DUMMYFUNCTION("""COMPUTED_VALUE"""),"English Teacher in Boutique Kindergarden ")</f>
        <v>English Teacher in Boutique Kindergarden </v>
      </c>
      <c r="V371" s="43" t="str">
        <f>IFERROR(__xludf.DUMMYFUNCTION("""COMPUTED_VALUE"""),"ISLAA Moknine")</f>
        <v>ISLAA Moknine</v>
      </c>
      <c r="W371" s="43" t="str">
        <f>IFERROR(__xludf.DUMMYFUNCTION("""COMPUTED_VALUE"""),"2023-08-20T09:43:20Z")</f>
        <v>2023-08-20T09:43:20Z</v>
      </c>
      <c r="X371" s="43"/>
      <c r="Y371" s="43"/>
      <c r="Z371" s="43"/>
    </row>
    <row r="372" hidden="1">
      <c r="A372" s="43" t="str">
        <f>IFERROR(__xludf.DUMMYFUNCTION("""COMPUTED_VALUE"""),"5304792_1285363")</f>
        <v>5304792_1285363</v>
      </c>
      <c r="B372" s="43" t="str">
        <f>IFERROR(__xludf.DUMMYFUNCTION("""COMPUTED_VALUE"""),"Sakha Briki")</f>
        <v>Sakha Briki</v>
      </c>
      <c r="C372" s="43" t="str">
        <f>IFERROR(__xludf.DUMMYFUNCTION("""COMPUTED_VALUE"""),"realized")</f>
        <v>realized</v>
      </c>
      <c r="D372" s="43" t="str">
        <f>IFERROR(__xludf.DUMMYFUNCTION("""COMPUTED_VALUE"""),"No")</f>
        <v>No</v>
      </c>
      <c r="E372" s="43" t="str">
        <f>IFERROR(__xludf.DUMMYFUNCTION("""COMPUTED_VALUE"""),"p_4476d5d27afb00e23eaab0cc3e8d7b40cd161d69@inbound.aiesec.org")</f>
        <v>p_4476d5d27afb00e23eaab0cc3e8d7b40cd161d69@inbound.aiesec.org</v>
      </c>
      <c r="F372" s="43">
        <f>IFERROR(__xludf.DUMMYFUNCTION("""COMPUTED_VALUE"""),5.4710198E7)</f>
        <v>54710198</v>
      </c>
      <c r="G372" s="43" t="str">
        <f>IFERROR(__xludf.DUMMYFUNCTION("""COMPUTED_VALUE"""),"Tunisia")</f>
        <v>Tunisia</v>
      </c>
      <c r="H372" s="43" t="str">
        <f>IFERROR(__xludf.DUMMYFUNCTION("""COMPUTED_VALUE"""),"SFAX")</f>
        <v>SFAX</v>
      </c>
      <c r="I372" s="43" t="str">
        <f>IFERROR(__xludf.DUMMYFUNCTION("""COMPUTED_VALUE"""),"Turkey")</f>
        <v>Turkey</v>
      </c>
      <c r="J372" s="43" t="str">
        <f>IFERROR(__xludf.DUMMYFUNCTION("""COMPUTED_VALUE"""),"KOCAELI")</f>
        <v>KOCAELI</v>
      </c>
      <c r="K372" s="44" t="str">
        <f>IFERROR(__xludf.DUMMYFUNCTION("""COMPUTED_VALUE"""),"https://expa.aiesec.org/opportunities/1285363")</f>
        <v>https://expa.aiesec.org/opportunities/1285363</v>
      </c>
      <c r="L372" s="43" t="str">
        <f>IFERROR(__xludf.DUMMYFUNCTION("""COMPUTED_VALUE"""),"GTe")</f>
        <v>GTe</v>
      </c>
      <c r="M372" s="43" t="str">
        <f>IFERROR(__xludf.DUMMYFUNCTION("""COMPUTED_VALUE"""),"long")</f>
        <v>long</v>
      </c>
      <c r="N372" s="45">
        <f>IFERROR(__xludf.DUMMYFUNCTION("""COMPUTED_VALUE"""),45160.0)</f>
        <v>45160</v>
      </c>
      <c r="O372" s="45">
        <f>IFERROR(__xludf.DUMMYFUNCTION("""COMPUTED_VALUE"""),45170.0)</f>
        <v>45170</v>
      </c>
      <c r="P372" s="45">
        <f>IFERROR(__xludf.DUMMYFUNCTION("""COMPUTED_VALUE"""),45457.0)</f>
        <v>45457</v>
      </c>
      <c r="Q372" s="45">
        <f>IFERROR(__xludf.DUMMYFUNCTION("""COMPUTED_VALUE"""),45179.0)</f>
        <v>45179</v>
      </c>
      <c r="R372" s="45">
        <f>IFERROR(__xludf.DUMMYFUNCTION("""COMPUTED_VALUE"""),45467.0)</f>
        <v>45467</v>
      </c>
      <c r="S372" s="43"/>
      <c r="T372" s="43"/>
      <c r="U372" s="43" t="str">
        <f>IFERROR(__xludf.DUMMYFUNCTION("""COMPUTED_VALUE"""),"Kindergarten Teacher at Duru SMY Anaokulu")</f>
        <v>Kindergarten Teacher at Duru SMY Anaokulu</v>
      </c>
      <c r="V372" s="43" t="str">
        <f>IFERROR(__xludf.DUMMYFUNCTION("""COMPUTED_VALUE"""),"FLSH sfax ")</f>
        <v>FLSH sfax </v>
      </c>
      <c r="W372" s="43" t="str">
        <f>IFERROR(__xludf.DUMMYFUNCTION("""COMPUTED_VALUE"""),"2023-08-18T13:09:42Z")</f>
        <v>2023-08-18T13:09:42Z</v>
      </c>
      <c r="X372" s="43"/>
      <c r="Y372" s="43"/>
      <c r="Z372" s="43"/>
    </row>
    <row r="373" hidden="1">
      <c r="A373" s="43" t="str">
        <f>IFERROR(__xludf.DUMMYFUNCTION("""COMPUTED_VALUE"""),"5307192_1278298")</f>
        <v>5307192_1278298</v>
      </c>
      <c r="B373" s="43" t="str">
        <f>IFERROR(__xludf.DUMMYFUNCTION("""COMPUTED_VALUE"""),"Meriam Ben salah")</f>
        <v>Meriam Ben salah</v>
      </c>
      <c r="C373" s="43" t="str">
        <f>IFERROR(__xludf.DUMMYFUNCTION("""COMPUTED_VALUE"""),"realized")</f>
        <v>realized</v>
      </c>
      <c r="D373" s="43" t="str">
        <f>IFERROR(__xludf.DUMMYFUNCTION("""COMPUTED_VALUE"""),"No")</f>
        <v>No</v>
      </c>
      <c r="E373" s="43" t="str">
        <f>IFERROR(__xludf.DUMMYFUNCTION("""COMPUTED_VALUE"""),"p_45b1fb0ac621c78206805dbd2161984492f2b93d@inbound.aiesec.org")</f>
        <v>p_45b1fb0ac621c78206805dbd2161984492f2b93d@inbound.aiesec.org</v>
      </c>
      <c r="F373" s="43"/>
      <c r="G373" s="43" t="str">
        <f>IFERROR(__xludf.DUMMYFUNCTION("""COMPUTED_VALUE"""),"Tunisia")</f>
        <v>Tunisia</v>
      </c>
      <c r="H373" s="43" t="str">
        <f>IFERROR(__xludf.DUMMYFUNCTION("""COMPUTED_VALUE"""),"HADRUMET")</f>
        <v>HADRUMET</v>
      </c>
      <c r="I373" s="43" t="str">
        <f>IFERROR(__xludf.DUMMYFUNCTION("""COMPUTED_VALUE"""),"Turkey")</f>
        <v>Turkey</v>
      </c>
      <c r="J373" s="43" t="str">
        <f>IFERROR(__xludf.DUMMYFUNCTION("""COMPUTED_VALUE"""),"KOCAELI")</f>
        <v>KOCAELI</v>
      </c>
      <c r="K373" s="44" t="str">
        <f>IFERROR(__xludf.DUMMYFUNCTION("""COMPUTED_VALUE"""),"https://expa.aiesec.org/opportunities/1278298")</f>
        <v>https://expa.aiesec.org/opportunities/1278298</v>
      </c>
      <c r="L373" s="43" t="str">
        <f>IFERROR(__xludf.DUMMYFUNCTION("""COMPUTED_VALUE"""),"GTe")</f>
        <v>GTe</v>
      </c>
      <c r="M373" s="43" t="str">
        <f>IFERROR(__xludf.DUMMYFUNCTION("""COMPUTED_VALUE"""),"long")</f>
        <v>long</v>
      </c>
      <c r="N373" s="45">
        <f>IFERROR(__xludf.DUMMYFUNCTION("""COMPUTED_VALUE"""),45160.0)</f>
        <v>45160</v>
      </c>
      <c r="O373" s="45">
        <f>IFERROR(__xludf.DUMMYFUNCTION("""COMPUTED_VALUE"""),45170.0)</f>
        <v>45170</v>
      </c>
      <c r="P373" s="45">
        <f>IFERROR(__xludf.DUMMYFUNCTION("""COMPUTED_VALUE"""),45473.0)</f>
        <v>45473</v>
      </c>
      <c r="Q373" s="45">
        <f>IFERROR(__xludf.DUMMYFUNCTION("""COMPUTED_VALUE"""),45179.0)</f>
        <v>45179</v>
      </c>
      <c r="R373" s="45">
        <f>IFERROR(__xludf.DUMMYFUNCTION("""COMPUTED_VALUE"""),45483.0)</f>
        <v>45483</v>
      </c>
      <c r="S373" s="43"/>
      <c r="T373" s="43"/>
      <c r="U373" s="43" t="str">
        <f>IFERROR(__xludf.DUMMYFUNCTION("""COMPUTED_VALUE"""),"Gebze İngiliz Kültür ")</f>
        <v>Gebze İngiliz Kültür </v>
      </c>
      <c r="V373" s="43" t="str">
        <f>IFERROR(__xludf.DUMMYFUNCTION("""COMPUTED_VALUE"""),"FLSH Sousse")</f>
        <v>FLSH Sousse</v>
      </c>
      <c r="W373" s="43" t="str">
        <f>IFERROR(__xludf.DUMMYFUNCTION("""COMPUTED_VALUE"""),"2023-08-22T12:13:52Z")</f>
        <v>2023-08-22T12:13:52Z</v>
      </c>
      <c r="X373" s="43"/>
      <c r="Y373" s="43"/>
      <c r="Z373" s="43"/>
    </row>
    <row r="374" hidden="1">
      <c r="A374" s="43" t="str">
        <f>IFERROR(__xludf.DUMMYFUNCTION("""COMPUTED_VALUE"""),"5228827_1289485")</f>
        <v>5228827_1289485</v>
      </c>
      <c r="B374" s="43" t="str">
        <f>IFERROR(__xludf.DUMMYFUNCTION("""COMPUTED_VALUE"""),"Kanani Mohamed Belkouider")</f>
        <v>Kanani Mohamed Belkouider</v>
      </c>
      <c r="C374" s="43" t="str">
        <f>IFERROR(__xludf.DUMMYFUNCTION("""COMPUTED_VALUE"""),"realized")</f>
        <v>realized</v>
      </c>
      <c r="D374" s="43" t="str">
        <f>IFERROR(__xludf.DUMMYFUNCTION("""COMPUTED_VALUE"""),"No")</f>
        <v>No</v>
      </c>
      <c r="E374" s="43" t="str">
        <f>IFERROR(__xludf.DUMMYFUNCTION("""COMPUTED_VALUE"""),"p_ea45020f16035bc7e658f68ad72cba603872b9f7@inbound.aiesec.org")</f>
        <v>p_ea45020f16035bc7e658f68ad72cba603872b9f7@inbound.aiesec.org</v>
      </c>
      <c r="F374" s="43">
        <f>IFERROR(__xludf.DUMMYFUNCTION("""COMPUTED_VALUE"""),5.010727756E9)</f>
        <v>5010727756</v>
      </c>
      <c r="G374" s="43" t="str">
        <f>IFERROR(__xludf.DUMMYFUNCTION("""COMPUTED_VALUE"""),"Algeria")</f>
        <v>Algeria</v>
      </c>
      <c r="H374" s="43" t="str">
        <f>IFERROR(__xludf.DUMMYFUNCTION("""COMPUTED_VALUE"""),"Oran")</f>
        <v>Oran</v>
      </c>
      <c r="I374" s="43" t="str">
        <f>IFERROR(__xludf.DUMMYFUNCTION("""COMPUTED_VALUE"""),"Turkey")</f>
        <v>Turkey</v>
      </c>
      <c r="J374" s="43" t="str">
        <f>IFERROR(__xludf.DUMMYFUNCTION("""COMPUTED_VALUE"""),"BURSA")</f>
        <v>BURSA</v>
      </c>
      <c r="K374" s="44" t="str">
        <f>IFERROR(__xludf.DUMMYFUNCTION("""COMPUTED_VALUE"""),"https://expa.aiesec.org/opportunities/1289485")</f>
        <v>https://expa.aiesec.org/opportunities/1289485</v>
      </c>
      <c r="L374" s="43" t="str">
        <f>IFERROR(__xludf.DUMMYFUNCTION("""COMPUTED_VALUE"""),"GTe")</f>
        <v>GTe</v>
      </c>
      <c r="M374" s="43" t="str">
        <f>IFERROR(__xludf.DUMMYFUNCTION("""COMPUTED_VALUE"""),"long")</f>
        <v>long</v>
      </c>
      <c r="N374" s="45">
        <f>IFERROR(__xludf.DUMMYFUNCTION("""COMPUTED_VALUE"""),45160.0)</f>
        <v>45160</v>
      </c>
      <c r="O374" s="45">
        <f>IFERROR(__xludf.DUMMYFUNCTION("""COMPUTED_VALUE"""),45184.0)</f>
        <v>45184</v>
      </c>
      <c r="P374" s="45">
        <f>IFERROR(__xludf.DUMMYFUNCTION("""COMPUTED_VALUE"""),45550.0)</f>
        <v>45550</v>
      </c>
      <c r="Q374" s="45">
        <f>IFERROR(__xludf.DUMMYFUNCTION("""COMPUTED_VALUE"""),45188.0)</f>
        <v>45188</v>
      </c>
      <c r="R374" s="45">
        <f>IFERROR(__xludf.DUMMYFUNCTION("""COMPUTED_VALUE"""),45552.0)</f>
        <v>45552</v>
      </c>
      <c r="S374" s="43"/>
      <c r="T374" s="43"/>
      <c r="U374" s="43" t="str">
        <f>IFERROR(__xludf.DUMMYFUNCTION("""COMPUTED_VALUE"""),"English Teacher/Yalova")</f>
        <v>English Teacher/Yalova</v>
      </c>
      <c r="V374" s="43" t="str">
        <f>IFERROR(__xludf.DUMMYFUNCTION("""COMPUTED_VALUE"""),"AIESEC in Oran")</f>
        <v>AIESEC in Oran</v>
      </c>
      <c r="W374" s="43" t="str">
        <f>IFERROR(__xludf.DUMMYFUNCTION("""COMPUTED_VALUE"""),"2023-03-28T09:06:22Z")</f>
        <v>2023-03-28T09:06:22Z</v>
      </c>
      <c r="X374" s="43"/>
      <c r="Y374" s="43"/>
      <c r="Z374" s="43"/>
    </row>
    <row r="375" hidden="1">
      <c r="A375" s="43" t="str">
        <f>IFERROR(__xludf.DUMMYFUNCTION("""COMPUTED_VALUE"""),"5295976_1297445")</f>
        <v>5295976_1297445</v>
      </c>
      <c r="B375" s="43" t="str">
        <f>IFERROR(__xludf.DUMMYFUNCTION("""COMPUTED_VALUE"""),"Tinhinane Ait med")</f>
        <v>Tinhinane Ait med</v>
      </c>
      <c r="C375" s="43" t="str">
        <f>IFERROR(__xludf.DUMMYFUNCTION("""COMPUTED_VALUE"""),"approved")</f>
        <v>approved</v>
      </c>
      <c r="D375" s="43" t="str">
        <f>IFERROR(__xludf.DUMMYFUNCTION("""COMPUTED_VALUE"""),"No")</f>
        <v>No</v>
      </c>
      <c r="E375" s="43" t="str">
        <f>IFERROR(__xludf.DUMMYFUNCTION("""COMPUTED_VALUE"""),"p_83e11c8c8db3d502cddfc1f5bd8aa8cbca6e4485@inbound.aiesec.org")</f>
        <v>p_83e11c8c8db3d502cddfc1f5bd8aa8cbca6e4485@inbound.aiesec.org</v>
      </c>
      <c r="F375" s="43"/>
      <c r="G375" s="43" t="str">
        <f>IFERROR(__xludf.DUMMYFUNCTION("""COMPUTED_VALUE"""),"Algeria")</f>
        <v>Algeria</v>
      </c>
      <c r="H375" s="43" t="str">
        <f>IFERROR(__xludf.DUMMYFUNCTION("""COMPUTED_VALUE"""),"Oran")</f>
        <v>Oran</v>
      </c>
      <c r="I375" s="43" t="str">
        <f>IFERROR(__xludf.DUMMYFUNCTION("""COMPUTED_VALUE"""),"Turkey")</f>
        <v>Turkey</v>
      </c>
      <c r="J375" s="43" t="str">
        <f>IFERROR(__xludf.DUMMYFUNCTION("""COMPUTED_VALUE"""),"GAZIANTEP")</f>
        <v>GAZIANTEP</v>
      </c>
      <c r="K375" s="44" t="str">
        <f>IFERROR(__xludf.DUMMYFUNCTION("""COMPUTED_VALUE"""),"https://expa.aiesec.org/opportunities/1297445")</f>
        <v>https://expa.aiesec.org/opportunities/1297445</v>
      </c>
      <c r="L375" s="43" t="str">
        <f>IFERROR(__xludf.DUMMYFUNCTION("""COMPUTED_VALUE"""),"GTe")</f>
        <v>GTe</v>
      </c>
      <c r="M375" s="43" t="str">
        <f>IFERROR(__xludf.DUMMYFUNCTION("""COMPUTED_VALUE"""),"long")</f>
        <v>long</v>
      </c>
      <c r="N375" s="45">
        <f>IFERROR(__xludf.DUMMYFUNCTION("""COMPUTED_VALUE"""),45161.0)</f>
        <v>45161</v>
      </c>
      <c r="O375" s="45">
        <f>IFERROR(__xludf.DUMMYFUNCTION("""COMPUTED_VALUE"""),45170.0)</f>
        <v>45170</v>
      </c>
      <c r="P375" s="45">
        <f>IFERROR(__xludf.DUMMYFUNCTION("""COMPUTED_VALUE"""),45535.0)</f>
        <v>45535</v>
      </c>
      <c r="Q375" s="45"/>
      <c r="R375" s="45"/>
      <c r="S375" s="43"/>
      <c r="T375" s="43"/>
      <c r="U375" s="43" t="str">
        <f>IFERROR(__xludf.DUMMYFUNCTION("""COMPUTED_VALUE"""),"English Teacher")</f>
        <v>English Teacher</v>
      </c>
      <c r="V375" s="43" t="str">
        <f>IFERROR(__xludf.DUMMYFUNCTION("""COMPUTED_VALUE"""),"-")</f>
        <v>-</v>
      </c>
      <c r="W375" s="43" t="str">
        <f>IFERROR(__xludf.DUMMYFUNCTION("""COMPUTED_VALUE"""),"2023-08-03T20:22:37Z")</f>
        <v>2023-08-03T20:22:37Z</v>
      </c>
      <c r="X375" s="43"/>
      <c r="Y375" s="43"/>
      <c r="Z375" s="43"/>
    </row>
    <row r="376" hidden="1">
      <c r="A376" s="43" t="str">
        <f>IFERROR(__xludf.DUMMYFUNCTION("""COMPUTED_VALUE"""),"4827510_1277333")</f>
        <v>4827510_1277333</v>
      </c>
      <c r="B376" s="43" t="str">
        <f>IFERROR(__xludf.DUMMYFUNCTION("""COMPUTED_VALUE"""),"Yassmine Jaziri")</f>
        <v>Yassmine Jaziri</v>
      </c>
      <c r="C376" s="43" t="str">
        <f>IFERROR(__xludf.DUMMYFUNCTION("""COMPUTED_VALUE"""),"realized")</f>
        <v>realized</v>
      </c>
      <c r="D376" s="43" t="str">
        <f>IFERROR(__xludf.DUMMYFUNCTION("""COMPUTED_VALUE"""),"No")</f>
        <v>No</v>
      </c>
      <c r="E376" s="43" t="str">
        <f>IFERROR(__xludf.DUMMYFUNCTION("""COMPUTED_VALUE"""),"p_791a19ecab3803ad9812461eda29f0cfe07f5dea@inbound.aiesec.org")</f>
        <v>p_791a19ecab3803ad9812461eda29f0cfe07f5dea@inbound.aiesec.org</v>
      </c>
      <c r="F376" s="43">
        <f>IFERROR(__xludf.DUMMYFUNCTION("""COMPUTED_VALUE"""),2.7331213E7)</f>
        <v>27331213</v>
      </c>
      <c r="G376" s="43" t="str">
        <f>IFERROR(__xludf.DUMMYFUNCTION("""COMPUTED_VALUE"""),"Tunisia")</f>
        <v>Tunisia</v>
      </c>
      <c r="H376" s="43" t="str">
        <f>IFERROR(__xludf.DUMMYFUNCTION("""COMPUTED_VALUE"""),"HADRUMET")</f>
        <v>HADRUMET</v>
      </c>
      <c r="I376" s="43" t="str">
        <f>IFERROR(__xludf.DUMMYFUNCTION("""COMPUTED_VALUE"""),"Turkey")</f>
        <v>Turkey</v>
      </c>
      <c r="J376" s="43" t="str">
        <f>IFERROR(__xludf.DUMMYFUNCTION("""COMPUTED_VALUE"""),"KOCAELI")</f>
        <v>KOCAELI</v>
      </c>
      <c r="K376" s="44" t="str">
        <f>IFERROR(__xludf.DUMMYFUNCTION("""COMPUTED_VALUE"""),"https://expa.aiesec.org/opportunities/1277333")</f>
        <v>https://expa.aiesec.org/opportunities/1277333</v>
      </c>
      <c r="L376" s="43" t="str">
        <f>IFERROR(__xludf.DUMMYFUNCTION("""COMPUTED_VALUE"""),"GTe")</f>
        <v>GTe</v>
      </c>
      <c r="M376" s="43" t="str">
        <f>IFERROR(__xludf.DUMMYFUNCTION("""COMPUTED_VALUE"""),"long")</f>
        <v>long</v>
      </c>
      <c r="N376" s="45">
        <f>IFERROR(__xludf.DUMMYFUNCTION("""COMPUTED_VALUE"""),45162.0)</f>
        <v>45162</v>
      </c>
      <c r="O376" s="45">
        <f>IFERROR(__xludf.DUMMYFUNCTION("""COMPUTED_VALUE"""),45180.0)</f>
        <v>45180</v>
      </c>
      <c r="P376" s="45">
        <f>IFERROR(__xludf.DUMMYFUNCTION("""COMPUTED_VALUE"""),45546.0)</f>
        <v>45546</v>
      </c>
      <c r="Q376" s="45">
        <f>IFERROR(__xludf.DUMMYFUNCTION("""COMPUTED_VALUE"""),45179.0)</f>
        <v>45179</v>
      </c>
      <c r="R376" s="45">
        <f>IFERROR(__xludf.DUMMYFUNCTION("""COMPUTED_VALUE"""),45546.0)</f>
        <v>45546</v>
      </c>
      <c r="S376" s="43"/>
      <c r="T376" s="43"/>
      <c r="U376" s="43" t="str">
        <f>IFERROR(__xludf.DUMMYFUNCTION("""COMPUTED_VALUE"""),"English Teacher in English Time (Long)")</f>
        <v>English Teacher in English Time (Long)</v>
      </c>
      <c r="V376" s="43" t="str">
        <f>IFERROR(__xludf.DUMMYFUNCTION("""COMPUTED_VALUE"""),"FLSH Sousse")</f>
        <v>FLSH Sousse</v>
      </c>
      <c r="W376" s="43" t="str">
        <f>IFERROR(__xludf.DUMMYFUNCTION("""COMPUTED_VALUE"""),"2021-12-02T18:45:42Z")</f>
        <v>2021-12-02T18:45:42Z</v>
      </c>
      <c r="X376" s="43"/>
      <c r="Y376" s="43"/>
      <c r="Z376" s="43"/>
    </row>
    <row r="377" hidden="1">
      <c r="A377" s="43" t="str">
        <f>IFERROR(__xludf.DUMMYFUNCTION("""COMPUTED_VALUE"""),"4418329_1277333")</f>
        <v>4418329_1277333</v>
      </c>
      <c r="B377" s="43" t="str">
        <f>IFERROR(__xludf.DUMMYFUNCTION("""COMPUTED_VALUE"""),"Malek Ali")</f>
        <v>Malek Ali</v>
      </c>
      <c r="C377" s="43" t="str">
        <f>IFERROR(__xludf.DUMMYFUNCTION("""COMPUTED_VALUE"""),"realized")</f>
        <v>realized</v>
      </c>
      <c r="D377" s="43" t="str">
        <f>IFERROR(__xludf.DUMMYFUNCTION("""COMPUTED_VALUE"""),"No")</f>
        <v>No</v>
      </c>
      <c r="E377" s="43" t="str">
        <f>IFERROR(__xludf.DUMMYFUNCTION("""COMPUTED_VALUE"""),"p_1888dfc231464fd8f92b7c749489023495ecf87c@inbound.aiesec.org")</f>
        <v>p_1888dfc231464fd8f92b7c749489023495ecf87c@inbound.aiesec.org</v>
      </c>
      <c r="F377" s="43">
        <f>IFERROR(__xludf.DUMMYFUNCTION("""COMPUTED_VALUE"""),5.5756255E7)</f>
        <v>55756255</v>
      </c>
      <c r="G377" s="43" t="str">
        <f>IFERROR(__xludf.DUMMYFUNCTION("""COMPUTED_VALUE"""),"Tunisia")</f>
        <v>Tunisia</v>
      </c>
      <c r="H377" s="43" t="str">
        <f>IFERROR(__xludf.DUMMYFUNCTION("""COMPUTED_VALUE"""),"HADRUMET")</f>
        <v>HADRUMET</v>
      </c>
      <c r="I377" s="43" t="str">
        <f>IFERROR(__xludf.DUMMYFUNCTION("""COMPUTED_VALUE"""),"Turkey")</f>
        <v>Turkey</v>
      </c>
      <c r="J377" s="43" t="str">
        <f>IFERROR(__xludf.DUMMYFUNCTION("""COMPUTED_VALUE"""),"KOCAELI")</f>
        <v>KOCAELI</v>
      </c>
      <c r="K377" s="44" t="str">
        <f>IFERROR(__xludf.DUMMYFUNCTION("""COMPUTED_VALUE"""),"https://expa.aiesec.org/opportunities/1277333")</f>
        <v>https://expa.aiesec.org/opportunities/1277333</v>
      </c>
      <c r="L377" s="43" t="str">
        <f>IFERROR(__xludf.DUMMYFUNCTION("""COMPUTED_VALUE"""),"GTe")</f>
        <v>GTe</v>
      </c>
      <c r="M377" s="43" t="str">
        <f>IFERROR(__xludf.DUMMYFUNCTION("""COMPUTED_VALUE"""),"long")</f>
        <v>long</v>
      </c>
      <c r="N377" s="45">
        <f>IFERROR(__xludf.DUMMYFUNCTION("""COMPUTED_VALUE"""),45162.0)</f>
        <v>45162</v>
      </c>
      <c r="O377" s="45">
        <f>IFERROR(__xludf.DUMMYFUNCTION("""COMPUTED_VALUE"""),45180.0)</f>
        <v>45180</v>
      </c>
      <c r="P377" s="45">
        <f>IFERROR(__xludf.DUMMYFUNCTION("""COMPUTED_VALUE"""),45546.0)</f>
        <v>45546</v>
      </c>
      <c r="Q377" s="45">
        <f>IFERROR(__xludf.DUMMYFUNCTION("""COMPUTED_VALUE"""),45179.0)</f>
        <v>45179</v>
      </c>
      <c r="R377" s="45">
        <f>IFERROR(__xludf.DUMMYFUNCTION("""COMPUTED_VALUE"""),45546.0)</f>
        <v>45546</v>
      </c>
      <c r="S377" s="43"/>
      <c r="T377" s="43"/>
      <c r="U377" s="43" t="str">
        <f>IFERROR(__xludf.DUMMYFUNCTION("""COMPUTED_VALUE"""),"English Teacher in English Time (Long)")</f>
        <v>English Teacher in English Time (Long)</v>
      </c>
      <c r="V377" s="43" t="str">
        <f>IFERROR(__xludf.DUMMYFUNCTION("""COMPUTED_VALUE"""),"FLSH Sousse")</f>
        <v>FLSH Sousse</v>
      </c>
      <c r="W377" s="43" t="str">
        <f>IFERROR(__xludf.DUMMYFUNCTION("""COMPUTED_VALUE"""),"2020-11-08T20:31:17Z")</f>
        <v>2020-11-08T20:31:17Z</v>
      </c>
      <c r="X377" s="43"/>
      <c r="Y377" s="43"/>
      <c r="Z377" s="43"/>
    </row>
    <row r="378" hidden="1">
      <c r="A378" s="43" t="str">
        <f>IFERROR(__xludf.DUMMYFUNCTION("""COMPUTED_VALUE"""),"5278238_1288486")</f>
        <v>5278238_1288486</v>
      </c>
      <c r="B378" s="43" t="str">
        <f>IFERROR(__xludf.DUMMYFUNCTION("""COMPUTED_VALUE"""),"Israa Elgeushy")</f>
        <v>Israa Elgeushy</v>
      </c>
      <c r="C378" s="43" t="str">
        <f>IFERROR(__xludf.DUMMYFUNCTION("""COMPUTED_VALUE"""),"realized")</f>
        <v>realized</v>
      </c>
      <c r="D378" s="43" t="str">
        <f>IFERROR(__xludf.DUMMYFUNCTION("""COMPUTED_VALUE"""),"No")</f>
        <v>No</v>
      </c>
      <c r="E378" s="43" t="str">
        <f>IFERROR(__xludf.DUMMYFUNCTION("""COMPUTED_VALUE"""),"p_0ac178e1ddb7ba832c509645434f7bd4e68ab2a6@inbound.aiesec.org")</f>
        <v>p_0ac178e1ddb7ba832c509645434f7bd4e68ab2a6@inbound.aiesec.org</v>
      </c>
      <c r="F378" s="43">
        <f>IFERROR(__xludf.DUMMYFUNCTION("""COMPUTED_VALUE"""),1.15153232E9)</f>
        <v>1151532320</v>
      </c>
      <c r="G378" s="43" t="str">
        <f>IFERROR(__xludf.DUMMYFUNCTION("""COMPUTED_VALUE"""),"Egypt")</f>
        <v>Egypt</v>
      </c>
      <c r="H378" s="43" t="str">
        <f>IFERROR(__xludf.DUMMYFUNCTION("""COMPUTED_VALUE"""),"Cairo University")</f>
        <v>Cairo University</v>
      </c>
      <c r="I378" s="43" t="str">
        <f>IFERROR(__xludf.DUMMYFUNCTION("""COMPUTED_VALUE"""),"Turkey")</f>
        <v>Turkey</v>
      </c>
      <c r="J378" s="43" t="str">
        <f>IFERROR(__xludf.DUMMYFUNCTION("""COMPUTED_VALUE"""),"ISPARTA")</f>
        <v>ISPARTA</v>
      </c>
      <c r="K378" s="44" t="str">
        <f>IFERROR(__xludf.DUMMYFUNCTION("""COMPUTED_VALUE"""),"https://expa.aiesec.org/opportunities/1288486")</f>
        <v>https://expa.aiesec.org/opportunities/1288486</v>
      </c>
      <c r="L378" s="43" t="str">
        <f>IFERROR(__xludf.DUMMYFUNCTION("""COMPUTED_VALUE"""),"GTe")</f>
        <v>GTe</v>
      </c>
      <c r="M378" s="43" t="str">
        <f>IFERROR(__xludf.DUMMYFUNCTION("""COMPUTED_VALUE"""),"medium")</f>
        <v>medium</v>
      </c>
      <c r="N378" s="45">
        <f>IFERROR(__xludf.DUMMYFUNCTION("""COMPUTED_VALUE"""),45162.0)</f>
        <v>45162</v>
      </c>
      <c r="O378" s="45">
        <f>IFERROR(__xludf.DUMMYFUNCTION("""COMPUTED_VALUE"""),45187.0)</f>
        <v>45187</v>
      </c>
      <c r="P378" s="45">
        <f>IFERROR(__xludf.DUMMYFUNCTION("""COMPUTED_VALUE"""),45368.0)</f>
        <v>45368</v>
      </c>
      <c r="Q378" s="45">
        <f>IFERROR(__xludf.DUMMYFUNCTION("""COMPUTED_VALUE"""),45207.0)</f>
        <v>45207</v>
      </c>
      <c r="R378" s="45">
        <f>IFERROR(__xludf.DUMMYFUNCTION("""COMPUTED_VALUE"""),45389.0)</f>
        <v>45389</v>
      </c>
      <c r="S378" s="43"/>
      <c r="T378" s="43"/>
      <c r="U378" s="43" t="str">
        <f>IFERROR(__xludf.DUMMYFUNCTION("""COMPUTED_VALUE"""),"English Teaching")</f>
        <v>English Teaching</v>
      </c>
      <c r="V378" s="43" t="str">
        <f>IFERROR(__xludf.DUMMYFUNCTION("""COMPUTED_VALUE"""),"Cairo Univeristy")</f>
        <v>Cairo Univeristy</v>
      </c>
      <c r="W378" s="43" t="str">
        <f>IFERROR(__xludf.DUMMYFUNCTION("""COMPUTED_VALUE"""),"2023-06-22T08:40:14Z")</f>
        <v>2023-06-22T08:40:14Z</v>
      </c>
      <c r="X378" s="43"/>
      <c r="Y378" s="43"/>
      <c r="Z378" s="43"/>
    </row>
    <row r="379" hidden="1">
      <c r="A379" s="43" t="str">
        <f>IFERROR(__xludf.DUMMYFUNCTION("""COMPUTED_VALUE"""),"2263553_1298413")</f>
        <v>2263553_1298413</v>
      </c>
      <c r="B379" s="43" t="str">
        <f>IFERROR(__xludf.DUMMYFUNCTION("""COMPUTED_VALUE"""),"Chouaibi Imen")</f>
        <v>Chouaibi Imen</v>
      </c>
      <c r="C379" s="43" t="str">
        <f>IFERROR(__xludf.DUMMYFUNCTION("""COMPUTED_VALUE"""),"realized")</f>
        <v>realized</v>
      </c>
      <c r="D379" s="43" t="str">
        <f>IFERROR(__xludf.DUMMYFUNCTION("""COMPUTED_VALUE"""),"No")</f>
        <v>No</v>
      </c>
      <c r="E379" s="43" t="str">
        <f>IFERROR(__xludf.DUMMYFUNCTION("""COMPUTED_VALUE"""),"p_cb21b7ae3e7456e431b3743ec786a3f1a091abfe@inbound.aiesec.org")</f>
        <v>p_cb21b7ae3e7456e431b3743ec786a3f1a091abfe@inbound.aiesec.org</v>
      </c>
      <c r="F379" s="43">
        <f>IFERROR(__xludf.DUMMYFUNCTION("""COMPUTED_VALUE"""),5.4102752E7)</f>
        <v>54102752</v>
      </c>
      <c r="G379" s="43" t="str">
        <f>IFERROR(__xludf.DUMMYFUNCTION("""COMPUTED_VALUE"""),"Tunisia")</f>
        <v>Tunisia</v>
      </c>
      <c r="H379" s="43" t="str">
        <f>IFERROR(__xludf.DUMMYFUNCTION("""COMPUTED_VALUE"""),"HADRUMET")</f>
        <v>HADRUMET</v>
      </c>
      <c r="I379" s="43" t="str">
        <f>IFERROR(__xludf.DUMMYFUNCTION("""COMPUTED_VALUE"""),"Turkey")</f>
        <v>Turkey</v>
      </c>
      <c r="J379" s="43" t="str">
        <f>IFERROR(__xludf.DUMMYFUNCTION("""COMPUTED_VALUE"""),"ADANA")</f>
        <v>ADANA</v>
      </c>
      <c r="K379" s="44" t="str">
        <f>IFERROR(__xludf.DUMMYFUNCTION("""COMPUTED_VALUE"""),"https://expa.aiesec.org/opportunities/1298413")</f>
        <v>https://expa.aiesec.org/opportunities/1298413</v>
      </c>
      <c r="L379" s="43" t="str">
        <f>IFERROR(__xludf.DUMMYFUNCTION("""COMPUTED_VALUE"""),"GTe")</f>
        <v>GTe</v>
      </c>
      <c r="M379" s="43" t="str">
        <f>IFERROR(__xludf.DUMMYFUNCTION("""COMPUTED_VALUE"""),"long")</f>
        <v>long</v>
      </c>
      <c r="N379" s="45">
        <f>IFERROR(__xludf.DUMMYFUNCTION("""COMPUTED_VALUE"""),45162.0)</f>
        <v>45162</v>
      </c>
      <c r="O379" s="45">
        <f>IFERROR(__xludf.DUMMYFUNCTION("""COMPUTED_VALUE"""),45176.0)</f>
        <v>45176</v>
      </c>
      <c r="P379" s="45">
        <f>IFERROR(__xludf.DUMMYFUNCTION("""COMPUTED_VALUE"""),45541.0)</f>
        <v>45541</v>
      </c>
      <c r="Q379" s="45">
        <f>IFERROR(__xludf.DUMMYFUNCTION("""COMPUTED_VALUE"""),45177.0)</f>
        <v>45177</v>
      </c>
      <c r="R379" s="45">
        <f>IFERROR(__xludf.DUMMYFUNCTION("""COMPUTED_VALUE"""),45542.0)</f>
        <v>45542</v>
      </c>
      <c r="S379" s="43"/>
      <c r="T379" s="43"/>
      <c r="U379" s="43" t="str">
        <f>IFERROR(__xludf.DUMMYFUNCTION("""COMPUTED_VALUE"""),"English Teacher")</f>
        <v>English Teacher</v>
      </c>
      <c r="V379" s="43" t="str">
        <f>IFERROR(__xludf.DUMMYFUNCTION("""COMPUTED_VALUE"""),"FLSH Sousse")</f>
        <v>FLSH Sousse</v>
      </c>
      <c r="W379" s="43" t="str">
        <f>IFERROR(__xludf.DUMMYFUNCTION("""COMPUTED_VALUE"""),"2018-04-27T17:30:51Z")</f>
        <v>2018-04-27T17:30:51Z</v>
      </c>
      <c r="X379" s="43"/>
      <c r="Y379" s="43"/>
      <c r="Z379" s="43"/>
    </row>
    <row r="380" hidden="1">
      <c r="A380" s="43" t="str">
        <f>IFERROR(__xludf.DUMMYFUNCTION("""COMPUTED_VALUE"""),"5292853_1295568")</f>
        <v>5292853_1295568</v>
      </c>
      <c r="B380" s="43" t="str">
        <f>IFERROR(__xludf.DUMMYFUNCTION("""COMPUTED_VALUE"""),"Seifallah Sahli")</f>
        <v>Seifallah Sahli</v>
      </c>
      <c r="C380" s="43" t="str">
        <f>IFERROR(__xludf.DUMMYFUNCTION("""COMPUTED_VALUE"""),"realized")</f>
        <v>realized</v>
      </c>
      <c r="D380" s="43" t="str">
        <f>IFERROR(__xludf.DUMMYFUNCTION("""COMPUTED_VALUE"""),"No")</f>
        <v>No</v>
      </c>
      <c r="E380" s="43" t="str">
        <f>IFERROR(__xludf.DUMMYFUNCTION("""COMPUTED_VALUE"""),"p_64e0d4c4eeeb7730aff5cc012ee8a1eef3259a50@inbound.aiesec.org")</f>
        <v>p_64e0d4c4eeeb7730aff5cc012ee8a1eef3259a50@inbound.aiesec.org</v>
      </c>
      <c r="F380" s="43">
        <f>IFERROR(__xludf.DUMMYFUNCTION("""COMPUTED_VALUE"""),9.9322336E7)</f>
        <v>99322336</v>
      </c>
      <c r="G380" s="43" t="str">
        <f>IFERROR(__xludf.DUMMYFUNCTION("""COMPUTED_VALUE"""),"Tunisia")</f>
        <v>Tunisia</v>
      </c>
      <c r="H380" s="43" t="str">
        <f>IFERROR(__xludf.DUMMYFUNCTION("""COMPUTED_VALUE"""),"RUSPINA")</f>
        <v>RUSPINA</v>
      </c>
      <c r="I380" s="43" t="str">
        <f>IFERROR(__xludf.DUMMYFUNCTION("""COMPUTED_VALUE"""),"Turkey")</f>
        <v>Turkey</v>
      </c>
      <c r="J380" s="43" t="str">
        <f>IFERROR(__xludf.DUMMYFUNCTION("""COMPUTED_VALUE"""),"GAZIANTEP")</f>
        <v>GAZIANTEP</v>
      </c>
      <c r="K380" s="44" t="str">
        <f>IFERROR(__xludf.DUMMYFUNCTION("""COMPUTED_VALUE"""),"https://expa.aiesec.org/opportunities/1295568")</f>
        <v>https://expa.aiesec.org/opportunities/1295568</v>
      </c>
      <c r="L380" s="43" t="str">
        <f>IFERROR(__xludf.DUMMYFUNCTION("""COMPUTED_VALUE"""),"GTe")</f>
        <v>GTe</v>
      </c>
      <c r="M380" s="43" t="str">
        <f>IFERROR(__xludf.DUMMYFUNCTION("""COMPUTED_VALUE"""),"long")</f>
        <v>long</v>
      </c>
      <c r="N380" s="45">
        <f>IFERROR(__xludf.DUMMYFUNCTION("""COMPUTED_VALUE"""),45162.0)</f>
        <v>45162</v>
      </c>
      <c r="O380" s="45">
        <f>IFERROR(__xludf.DUMMYFUNCTION("""COMPUTED_VALUE"""),45154.0)</f>
        <v>45154</v>
      </c>
      <c r="P380" s="45">
        <f>IFERROR(__xludf.DUMMYFUNCTION("""COMPUTED_VALUE"""),45519.0)</f>
        <v>45519</v>
      </c>
      <c r="Q380" s="45">
        <f>IFERROR(__xludf.DUMMYFUNCTION("""COMPUTED_VALUE"""),45169.0)</f>
        <v>45169</v>
      </c>
      <c r="R380" s="45">
        <f>IFERROR(__xludf.DUMMYFUNCTION("""COMPUTED_VALUE"""),45534.0)</f>
        <v>45534</v>
      </c>
      <c r="S380" s="43"/>
      <c r="T380" s="43"/>
      <c r="U380" s="43" t="str">
        <f>IFERROR(__xludf.DUMMYFUNCTION("""COMPUTED_VALUE"""),"English Time")</f>
        <v>English Time</v>
      </c>
      <c r="V380" s="43" t="str">
        <f>IFERROR(__xludf.DUMMYFUNCTION("""COMPUTED_VALUE"""),"ISLAA Moknine")</f>
        <v>ISLAA Moknine</v>
      </c>
      <c r="W380" s="43" t="str">
        <f>IFERROR(__xludf.DUMMYFUNCTION("""COMPUTED_VALUE"""),"2023-08-01T19:45:39Z")</f>
        <v>2023-08-01T19:45:39Z</v>
      </c>
      <c r="X380" s="43"/>
      <c r="Y380" s="43"/>
      <c r="Z380" s="43"/>
    </row>
    <row r="381" hidden="1">
      <c r="A381" s="43" t="str">
        <f>IFERROR(__xludf.DUMMYFUNCTION("""COMPUTED_VALUE"""),"5284675_1291417")</f>
        <v>5284675_1291417</v>
      </c>
      <c r="B381" s="43" t="str">
        <f>IFERROR(__xludf.DUMMYFUNCTION("""COMPUTED_VALUE"""),"Diana Musaeva")</f>
        <v>Diana Musaeva</v>
      </c>
      <c r="C381" s="43" t="str">
        <f>IFERROR(__xludf.DUMMYFUNCTION("""COMPUTED_VALUE"""),"realized")</f>
        <v>realized</v>
      </c>
      <c r="D381" s="43" t="str">
        <f>IFERROR(__xludf.DUMMYFUNCTION("""COMPUTED_VALUE"""),"No")</f>
        <v>No</v>
      </c>
      <c r="E381" s="43" t="str">
        <f>IFERROR(__xludf.DUMMYFUNCTION("""COMPUTED_VALUE"""),"p_342f0ed89de1b5312b3c705d866e9ee479f24984@inbound.aiesec.org")</f>
        <v>p_342f0ed89de1b5312b3c705d866e9ee479f24984@inbound.aiesec.org</v>
      </c>
      <c r="F381" s="43">
        <f>IFERROR(__xludf.DUMMYFUNCTION("""COMPUTED_VALUE"""),7.078522852E9)</f>
        <v>7078522852</v>
      </c>
      <c r="G381" s="43" t="str">
        <f>IFERROR(__xludf.DUMMYFUNCTION("""COMPUTED_VALUE"""),"Kazakhstan")</f>
        <v>Kazakhstan</v>
      </c>
      <c r="H381" s="43" t="str">
        <f>IFERROR(__xludf.DUMMYFUNCTION("""COMPUTED_VALUE"""),"ALMATY")</f>
        <v>ALMATY</v>
      </c>
      <c r="I381" s="43" t="str">
        <f>IFERROR(__xludf.DUMMYFUNCTION("""COMPUTED_VALUE"""),"Turkey")</f>
        <v>Turkey</v>
      </c>
      <c r="J381" s="43" t="str">
        <f>IFERROR(__xludf.DUMMYFUNCTION("""COMPUTED_VALUE"""),"ESKISEHIR")</f>
        <v>ESKISEHIR</v>
      </c>
      <c r="K381" s="44" t="str">
        <f>IFERROR(__xludf.DUMMYFUNCTION("""COMPUTED_VALUE"""),"https://expa.aiesec.org/opportunities/1291417")</f>
        <v>https://expa.aiesec.org/opportunities/1291417</v>
      </c>
      <c r="L381" s="43" t="str">
        <f>IFERROR(__xludf.DUMMYFUNCTION("""COMPUTED_VALUE"""),"GTe")</f>
        <v>GTe</v>
      </c>
      <c r="M381" s="43" t="str">
        <f>IFERROR(__xludf.DUMMYFUNCTION("""COMPUTED_VALUE"""),"long")</f>
        <v>long</v>
      </c>
      <c r="N381" s="45">
        <f>IFERROR(__xludf.DUMMYFUNCTION("""COMPUTED_VALUE"""),45164.0)</f>
        <v>45164</v>
      </c>
      <c r="O381" s="45">
        <f>IFERROR(__xludf.DUMMYFUNCTION("""COMPUTED_VALUE"""),45179.0)</f>
        <v>45179</v>
      </c>
      <c r="P381" s="45">
        <f>IFERROR(__xludf.DUMMYFUNCTION("""COMPUTED_VALUE"""),45544.0)</f>
        <v>45544</v>
      </c>
      <c r="Q381" s="45">
        <f>IFERROR(__xludf.DUMMYFUNCTION("""COMPUTED_VALUE"""),45184.0)</f>
        <v>45184</v>
      </c>
      <c r="R381" s="45">
        <f>IFERROR(__xludf.DUMMYFUNCTION("""COMPUTED_VALUE"""),45549.0)</f>
        <v>45549</v>
      </c>
      <c r="S381" s="43"/>
      <c r="T381" s="43"/>
      <c r="U381" s="43" t="str">
        <f>IFERROR(__xludf.DUMMYFUNCTION("""COMPUTED_VALUE"""),"English-Spanish/English-German Teacher")</f>
        <v>English-Spanish/English-German Teacher</v>
      </c>
      <c r="V381" s="43" t="str">
        <f>IFERROR(__xludf.DUMMYFUNCTION("""COMPUTED_VALUE"""),"Shymkent")</f>
        <v>Shymkent</v>
      </c>
      <c r="W381" s="43" t="str">
        <f>IFERROR(__xludf.DUMMYFUNCTION("""COMPUTED_VALUE"""),"2023-07-12T16:15:34Z")</f>
        <v>2023-07-12T16:15:34Z</v>
      </c>
      <c r="X381" s="43"/>
      <c r="Y381" s="43"/>
      <c r="Z381" s="43"/>
    </row>
    <row r="382" hidden="1">
      <c r="A382" s="43" t="str">
        <f>IFERROR(__xludf.DUMMYFUNCTION("""COMPUTED_VALUE"""),"5309396_1297154")</f>
        <v>5309396_1297154</v>
      </c>
      <c r="B382" s="43" t="str">
        <f>IFERROR(__xludf.DUMMYFUNCTION("""COMPUTED_VALUE"""),"Jovana Obrenović")</f>
        <v>Jovana Obrenović</v>
      </c>
      <c r="C382" s="43" t="str">
        <f>IFERROR(__xludf.DUMMYFUNCTION("""COMPUTED_VALUE"""),"realized")</f>
        <v>realized</v>
      </c>
      <c r="D382" s="43" t="str">
        <f>IFERROR(__xludf.DUMMYFUNCTION("""COMPUTED_VALUE"""),"No")</f>
        <v>No</v>
      </c>
      <c r="E382" s="43" t="str">
        <f>IFERROR(__xludf.DUMMYFUNCTION("""COMPUTED_VALUE"""),"p_8a22e103c458bd1dad2893630e5a961582b5435c@inbound.aiesec.org")</f>
        <v>p_8a22e103c458bd1dad2893630e5a961582b5435c@inbound.aiesec.org</v>
      </c>
      <c r="F382" s="43">
        <f>IFERROR(__xludf.DUMMYFUNCTION("""COMPUTED_VALUE"""),6.77340611E8)</f>
        <v>677340611</v>
      </c>
      <c r="G382" s="43" t="str">
        <f>IFERROR(__xludf.DUMMYFUNCTION("""COMPUTED_VALUE"""),"Serbia")</f>
        <v>Serbia</v>
      </c>
      <c r="H382" s="43" t="str">
        <f>IFERROR(__xludf.DUMMYFUNCTION("""COMPUTED_VALUE"""),"BELGRADE FON")</f>
        <v>BELGRADE FON</v>
      </c>
      <c r="I382" s="43" t="str">
        <f>IFERROR(__xludf.DUMMYFUNCTION("""COMPUTED_VALUE"""),"Turkey")</f>
        <v>Turkey</v>
      </c>
      <c r="J382" s="43" t="str">
        <f>IFERROR(__xludf.DUMMYFUNCTION("""COMPUTED_VALUE"""),"ADANA")</f>
        <v>ADANA</v>
      </c>
      <c r="K382" s="44" t="str">
        <f>IFERROR(__xludf.DUMMYFUNCTION("""COMPUTED_VALUE"""),"https://expa.aiesec.org/opportunities/1297154")</f>
        <v>https://expa.aiesec.org/opportunities/1297154</v>
      </c>
      <c r="L382" s="43" t="str">
        <f>IFERROR(__xludf.DUMMYFUNCTION("""COMPUTED_VALUE"""),"GTe")</f>
        <v>GTe</v>
      </c>
      <c r="M382" s="43" t="str">
        <f>IFERROR(__xludf.DUMMYFUNCTION("""COMPUTED_VALUE"""),"medium")</f>
        <v>medium</v>
      </c>
      <c r="N382" s="45">
        <f>IFERROR(__xludf.DUMMYFUNCTION("""COMPUTED_VALUE"""),45165.0)</f>
        <v>45165</v>
      </c>
      <c r="O382" s="45">
        <f>IFERROR(__xludf.DUMMYFUNCTION("""COMPUTED_VALUE"""),45173.0)</f>
        <v>45173</v>
      </c>
      <c r="P382" s="45">
        <f>IFERROR(__xludf.DUMMYFUNCTION("""COMPUTED_VALUE"""),45351.0)</f>
        <v>45351</v>
      </c>
      <c r="Q382" s="45">
        <f>IFERROR(__xludf.DUMMYFUNCTION("""COMPUTED_VALUE"""),45173.0)</f>
        <v>45173</v>
      </c>
      <c r="R382" s="45">
        <f>IFERROR(__xludf.DUMMYFUNCTION("""COMPUTED_VALUE"""),45351.0)</f>
        <v>45351</v>
      </c>
      <c r="S382" s="43"/>
      <c r="T382" s="43"/>
      <c r="U382" s="43" t="str">
        <f>IFERROR(__xludf.DUMMYFUNCTION("""COMPUTED_VALUE"""),"Pre-School Teacher | Adana Maple Bear ")</f>
        <v>Pre-School Teacher | Adana Maple Bear </v>
      </c>
      <c r="V382" s="43" t="str">
        <f>IFERROR(__xludf.DUMMYFUNCTION("""COMPUTED_VALUE"""),"Faculty of Political Sciences, Belgrade")</f>
        <v>Faculty of Political Sciences, Belgrade</v>
      </c>
      <c r="W382" s="43" t="str">
        <f>IFERROR(__xludf.DUMMYFUNCTION("""COMPUTED_VALUE"""),"2023-08-25T15:45:13Z")</f>
        <v>2023-08-25T15:45:13Z</v>
      </c>
      <c r="X382" s="43"/>
      <c r="Y382" s="43"/>
      <c r="Z382" s="43"/>
    </row>
    <row r="383" hidden="1">
      <c r="A383" s="43" t="str">
        <f>IFERROR(__xludf.DUMMYFUNCTION("""COMPUTED_VALUE"""),"5305913_1287942")</f>
        <v>5305913_1287942</v>
      </c>
      <c r="B383" s="43" t="str">
        <f>IFERROR(__xludf.DUMMYFUNCTION("""COMPUTED_VALUE"""),"Stella Mikhaylova")</f>
        <v>Stella Mikhaylova</v>
      </c>
      <c r="C383" s="43" t="str">
        <f>IFERROR(__xludf.DUMMYFUNCTION("""COMPUTED_VALUE"""),"realized")</f>
        <v>realized</v>
      </c>
      <c r="D383" s="43" t="str">
        <f>IFERROR(__xludf.DUMMYFUNCTION("""COMPUTED_VALUE"""),"No")</f>
        <v>No</v>
      </c>
      <c r="E383" s="43" t="str">
        <f>IFERROR(__xludf.DUMMYFUNCTION("""COMPUTED_VALUE"""),"p_a5dde1426b290dba69a7920bb6f92adde8fd4ff1@inbound.aiesec.org")</f>
        <v>p_a5dde1426b290dba69a7920bb6f92adde8fd4ff1@inbound.aiesec.org</v>
      </c>
      <c r="F383" s="43">
        <f>IFERROR(__xludf.DUMMYFUNCTION("""COMPUTED_VALUE"""),9.876004909E9)</f>
        <v>9876004909</v>
      </c>
      <c r="G383" s="43" t="str">
        <f>IFERROR(__xludf.DUMMYFUNCTION("""COMPUTED_VALUE"""),"Russia")</f>
        <v>Russia</v>
      </c>
      <c r="H383" s="43" t="str">
        <f>IFERROR(__xludf.DUMMYFUNCTION("""COMPUTED_VALUE"""),"UFA")</f>
        <v>UFA</v>
      </c>
      <c r="I383" s="43" t="str">
        <f>IFERROR(__xludf.DUMMYFUNCTION("""COMPUTED_VALUE"""),"Turkey")</f>
        <v>Turkey</v>
      </c>
      <c r="J383" s="43" t="str">
        <f>IFERROR(__xludf.DUMMYFUNCTION("""COMPUTED_VALUE"""),"İZMİR")</f>
        <v>İZMİR</v>
      </c>
      <c r="K383" s="44" t="str">
        <f>IFERROR(__xludf.DUMMYFUNCTION("""COMPUTED_VALUE"""),"https://expa.aiesec.org/opportunities/1287942")</f>
        <v>https://expa.aiesec.org/opportunities/1287942</v>
      </c>
      <c r="L383" s="43" t="str">
        <f>IFERROR(__xludf.DUMMYFUNCTION("""COMPUTED_VALUE"""),"GTe")</f>
        <v>GTe</v>
      </c>
      <c r="M383" s="43" t="str">
        <f>IFERROR(__xludf.DUMMYFUNCTION("""COMPUTED_VALUE"""),"long")</f>
        <v>long</v>
      </c>
      <c r="N383" s="45">
        <f>IFERROR(__xludf.DUMMYFUNCTION("""COMPUTED_VALUE"""),45166.0)</f>
        <v>45166</v>
      </c>
      <c r="O383" s="45">
        <f>IFERROR(__xludf.DUMMYFUNCTION("""COMPUTED_VALUE"""),45199.0)</f>
        <v>45199</v>
      </c>
      <c r="P383" s="45">
        <f>IFERROR(__xludf.DUMMYFUNCTION("""COMPUTED_VALUE"""),45564.0)</f>
        <v>45564</v>
      </c>
      <c r="Q383" s="45">
        <f>IFERROR(__xludf.DUMMYFUNCTION("""COMPUTED_VALUE"""),45196.0)</f>
        <v>45196</v>
      </c>
      <c r="R383" s="45">
        <f>IFERROR(__xludf.DUMMYFUNCTION("""COMPUTED_VALUE"""),45564.0)</f>
        <v>45564</v>
      </c>
      <c r="S383" s="43"/>
      <c r="T383" s="43"/>
      <c r="U383" s="43" t="str">
        <f>IFERROR(__xludf.DUMMYFUNCTION("""COMPUTED_VALUE"""),"Kindergarten English Teacher")</f>
        <v>Kindergarten English Teacher</v>
      </c>
      <c r="V383" s="43" t="str">
        <f>IFERROR(__xludf.DUMMYFUNCTION("""COMPUTED_VALUE"""),"Ufa")</f>
        <v>Ufa</v>
      </c>
      <c r="W383" s="43" t="str">
        <f>IFERROR(__xludf.DUMMYFUNCTION("""COMPUTED_VALUE"""),"2023-08-20T12:39:20Z")</f>
        <v>2023-08-20T12:39:20Z</v>
      </c>
      <c r="X383" s="43"/>
      <c r="Y383" s="43"/>
      <c r="Z383" s="43"/>
    </row>
    <row r="384" hidden="1">
      <c r="A384" s="43" t="str">
        <f>IFERROR(__xludf.DUMMYFUNCTION("""COMPUTED_VALUE"""),"5303667_1291606")</f>
        <v>5303667_1291606</v>
      </c>
      <c r="B384" s="43" t="str">
        <f>IFERROR(__xludf.DUMMYFUNCTION("""COMPUTED_VALUE"""),"chadhe ben khaled")</f>
        <v>chadhe ben khaled</v>
      </c>
      <c r="C384" s="43" t="str">
        <f>IFERROR(__xludf.DUMMYFUNCTION("""COMPUTED_VALUE"""),"realized")</f>
        <v>realized</v>
      </c>
      <c r="D384" s="43" t="str">
        <f>IFERROR(__xludf.DUMMYFUNCTION("""COMPUTED_VALUE"""),"No")</f>
        <v>No</v>
      </c>
      <c r="E384" s="43" t="str">
        <f>IFERROR(__xludf.DUMMYFUNCTION("""COMPUTED_VALUE"""),"p_2b526ea9bafecd7f2c4563612c672a1a6bc6743c@inbound.aiesec.org")</f>
        <v>p_2b526ea9bafecd7f2c4563612c672a1a6bc6743c@inbound.aiesec.org</v>
      </c>
      <c r="F384" s="43">
        <f>IFERROR(__xludf.DUMMYFUNCTION("""COMPUTED_VALUE"""),5.4621986E7)</f>
        <v>54621986</v>
      </c>
      <c r="G384" s="43" t="str">
        <f>IFERROR(__xludf.DUMMYFUNCTION("""COMPUTED_VALUE"""),"Tunisia")</f>
        <v>Tunisia</v>
      </c>
      <c r="H384" s="43" t="str">
        <f>IFERROR(__xludf.DUMMYFUNCTION("""COMPUTED_VALUE"""),"Carthage")</f>
        <v>Carthage</v>
      </c>
      <c r="I384" s="43" t="str">
        <f>IFERROR(__xludf.DUMMYFUNCTION("""COMPUTED_VALUE"""),"Turkey")</f>
        <v>Turkey</v>
      </c>
      <c r="J384" s="43" t="str">
        <f>IFERROR(__xludf.DUMMYFUNCTION("""COMPUTED_VALUE"""),"BURSA")</f>
        <v>BURSA</v>
      </c>
      <c r="K384" s="44" t="str">
        <f>IFERROR(__xludf.DUMMYFUNCTION("""COMPUTED_VALUE"""),"https://expa.aiesec.org/opportunities/1291606")</f>
        <v>https://expa.aiesec.org/opportunities/1291606</v>
      </c>
      <c r="L384" s="43" t="str">
        <f>IFERROR(__xludf.DUMMYFUNCTION("""COMPUTED_VALUE"""),"GTe")</f>
        <v>GTe</v>
      </c>
      <c r="M384" s="43" t="str">
        <f>IFERROR(__xludf.DUMMYFUNCTION("""COMPUTED_VALUE"""),"long")</f>
        <v>long</v>
      </c>
      <c r="N384" s="45">
        <f>IFERROR(__xludf.DUMMYFUNCTION("""COMPUTED_VALUE"""),45168.0)</f>
        <v>45168</v>
      </c>
      <c r="O384" s="45">
        <f>IFERROR(__xludf.DUMMYFUNCTION("""COMPUTED_VALUE"""),45275.0)</f>
        <v>45275</v>
      </c>
      <c r="P384" s="45">
        <f>IFERROR(__xludf.DUMMYFUNCTION("""COMPUTED_VALUE"""),45555.0)</f>
        <v>45555</v>
      </c>
      <c r="Q384" s="45">
        <f>IFERROR(__xludf.DUMMYFUNCTION("""COMPUTED_VALUE"""),45272.0)</f>
        <v>45272</v>
      </c>
      <c r="R384" s="45">
        <f>IFERROR(__xludf.DUMMYFUNCTION("""COMPUTED_VALUE"""),45555.0)</f>
        <v>45555</v>
      </c>
      <c r="S384" s="43"/>
      <c r="T384" s="43"/>
      <c r="U384" s="43" t="str">
        <f>IFERROR(__xludf.DUMMYFUNCTION("""COMPUTED_VALUE"""),"Teacher")</f>
        <v>Teacher</v>
      </c>
      <c r="V384" s="43" t="str">
        <f>IFERROR(__xludf.DUMMYFUNCTION("""COMPUTED_VALUE"""),"ISLT")</f>
        <v>ISLT</v>
      </c>
      <c r="W384" s="43" t="str">
        <f>IFERROR(__xludf.DUMMYFUNCTION("""COMPUTED_VALUE"""),"2023-08-16T14:48:41Z")</f>
        <v>2023-08-16T14:48:41Z</v>
      </c>
      <c r="X384" s="43"/>
      <c r="Y384" s="43"/>
      <c r="Z384" s="43"/>
    </row>
    <row r="385" hidden="1">
      <c r="A385" s="43" t="str">
        <f>IFERROR(__xludf.DUMMYFUNCTION("""COMPUTED_VALUE"""),"4114689_1298772")</f>
        <v>4114689_1298772</v>
      </c>
      <c r="B385" s="43" t="str">
        <f>IFERROR(__xludf.DUMMYFUNCTION("""COMPUTED_VALUE"""),"Chrigui Rania")</f>
        <v>Chrigui Rania</v>
      </c>
      <c r="C385" s="43" t="str">
        <f>IFERROR(__xludf.DUMMYFUNCTION("""COMPUTED_VALUE"""),"realized")</f>
        <v>realized</v>
      </c>
      <c r="D385" s="43" t="str">
        <f>IFERROR(__xludf.DUMMYFUNCTION("""COMPUTED_VALUE"""),"No")</f>
        <v>No</v>
      </c>
      <c r="E385" s="43" t="str">
        <f>IFERROR(__xludf.DUMMYFUNCTION("""COMPUTED_VALUE"""),"p_7805c178030fc5f7204d49ae0a7bd1f292bb882f@inbound.aiesec.org")</f>
        <v>p_7805c178030fc5f7204d49ae0a7bd1f292bb882f@inbound.aiesec.org</v>
      </c>
      <c r="F385" s="43">
        <f>IFERROR(__xludf.DUMMYFUNCTION("""COMPUTED_VALUE"""),2.4583027E7)</f>
        <v>24583027</v>
      </c>
      <c r="G385" s="43" t="str">
        <f>IFERROR(__xludf.DUMMYFUNCTION("""COMPUTED_VALUE"""),"Tunisia")</f>
        <v>Tunisia</v>
      </c>
      <c r="H385" s="43" t="str">
        <f>IFERROR(__xludf.DUMMYFUNCTION("""COMPUTED_VALUE"""),"UNIVERSITY")</f>
        <v>UNIVERSITY</v>
      </c>
      <c r="I385" s="43" t="str">
        <f>IFERROR(__xludf.DUMMYFUNCTION("""COMPUTED_VALUE"""),"Turkey")</f>
        <v>Turkey</v>
      </c>
      <c r="J385" s="43" t="str">
        <f>IFERROR(__xludf.DUMMYFUNCTION("""COMPUTED_VALUE"""),"KOCAELI")</f>
        <v>KOCAELI</v>
      </c>
      <c r="K385" s="44" t="str">
        <f>IFERROR(__xludf.DUMMYFUNCTION("""COMPUTED_VALUE"""),"https://expa.aiesec.org/opportunities/1298772")</f>
        <v>https://expa.aiesec.org/opportunities/1298772</v>
      </c>
      <c r="L385" s="43" t="str">
        <f>IFERROR(__xludf.DUMMYFUNCTION("""COMPUTED_VALUE"""),"GTe")</f>
        <v>GTe</v>
      </c>
      <c r="M385" s="43" t="str">
        <f>IFERROR(__xludf.DUMMYFUNCTION("""COMPUTED_VALUE"""),"long")</f>
        <v>long</v>
      </c>
      <c r="N385" s="45">
        <f>IFERROR(__xludf.DUMMYFUNCTION("""COMPUTED_VALUE"""),45168.0)</f>
        <v>45168</v>
      </c>
      <c r="O385" s="45">
        <f>IFERROR(__xludf.DUMMYFUNCTION("""COMPUTED_VALUE"""),45181.0)</f>
        <v>45181</v>
      </c>
      <c r="P385" s="45">
        <f>IFERROR(__xludf.DUMMYFUNCTION("""COMPUTED_VALUE"""),45514.0)</f>
        <v>45514</v>
      </c>
      <c r="Q385" s="45">
        <f>IFERROR(__xludf.DUMMYFUNCTION("""COMPUTED_VALUE"""),45189.0)</f>
        <v>45189</v>
      </c>
      <c r="R385" s="45">
        <f>IFERROR(__xludf.DUMMYFUNCTION("""COMPUTED_VALUE"""),45522.0)</f>
        <v>45522</v>
      </c>
      <c r="S385" s="43"/>
      <c r="T385" s="43"/>
      <c r="U385" s="43" t="str">
        <f>IFERROR(__xludf.DUMMYFUNCTION("""COMPUTED_VALUE"""),"English Teacher in Sevgi Tomurcukları Kindergarten")</f>
        <v>English Teacher in Sevgi Tomurcukları Kindergarten</v>
      </c>
      <c r="V385" s="43" t="str">
        <f>IFERROR(__xludf.DUMMYFUNCTION("""COMPUTED_VALUE"""),"FST")</f>
        <v>FST</v>
      </c>
      <c r="W385" s="43" t="str">
        <f>IFERROR(__xludf.DUMMYFUNCTION("""COMPUTED_VALUE"""),"2019-12-26T21:12:09Z")</f>
        <v>2019-12-26T21:12:09Z</v>
      </c>
      <c r="X385" s="43"/>
      <c r="Y385" s="43"/>
      <c r="Z385" s="43"/>
    </row>
    <row r="386" hidden="1">
      <c r="A386" s="43" t="str">
        <f>IFERROR(__xludf.DUMMYFUNCTION("""COMPUTED_VALUE"""),"5053084_1298733")</f>
        <v>5053084_1298733</v>
      </c>
      <c r="B386" s="43" t="str">
        <f>IFERROR(__xludf.DUMMYFUNCTION("""COMPUTED_VALUE"""),"Gunay Dadashova")</f>
        <v>Gunay Dadashova</v>
      </c>
      <c r="C386" s="43" t="str">
        <f>IFERROR(__xludf.DUMMYFUNCTION("""COMPUTED_VALUE"""),"approved")</f>
        <v>approved</v>
      </c>
      <c r="D386" s="43" t="str">
        <f>IFERROR(__xludf.DUMMYFUNCTION("""COMPUTED_VALUE"""),"No")</f>
        <v>No</v>
      </c>
      <c r="E386" s="43" t="str">
        <f>IFERROR(__xludf.DUMMYFUNCTION("""COMPUTED_VALUE"""),"p_be0dd7f6a1904187eb46c7ddc3c044c22dfb7d19@inbound.aiesec.org")</f>
        <v>p_be0dd7f6a1904187eb46c7ddc3c044c22dfb7d19@inbound.aiesec.org</v>
      </c>
      <c r="F386" s="43">
        <f>IFERROR(__xludf.DUMMYFUNCTION("""COMPUTED_VALUE"""),7.08593001E8)</f>
        <v>708593001</v>
      </c>
      <c r="G386" s="43" t="str">
        <f>IFERROR(__xludf.DUMMYFUNCTION("""COMPUTED_VALUE"""),"Azerbaijan")</f>
        <v>Azerbaijan</v>
      </c>
      <c r="H386" s="43" t="str">
        <f>IFERROR(__xludf.DUMMYFUNCTION("""COMPUTED_VALUE"""),"Baku ADA")</f>
        <v>Baku ADA</v>
      </c>
      <c r="I386" s="43" t="str">
        <f>IFERROR(__xludf.DUMMYFUNCTION("""COMPUTED_VALUE"""),"Turkey")</f>
        <v>Turkey</v>
      </c>
      <c r="J386" s="43" t="str">
        <f>IFERROR(__xludf.DUMMYFUNCTION("""COMPUTED_VALUE"""),"KOCAELI")</f>
        <v>KOCAELI</v>
      </c>
      <c r="K386" s="44" t="str">
        <f>IFERROR(__xludf.DUMMYFUNCTION("""COMPUTED_VALUE"""),"https://expa.aiesec.org/opportunities/1298733")</f>
        <v>https://expa.aiesec.org/opportunities/1298733</v>
      </c>
      <c r="L386" s="43" t="str">
        <f>IFERROR(__xludf.DUMMYFUNCTION("""COMPUTED_VALUE"""),"GTe")</f>
        <v>GTe</v>
      </c>
      <c r="M386" s="43" t="str">
        <f>IFERROR(__xludf.DUMMYFUNCTION("""COMPUTED_VALUE"""),"long")</f>
        <v>long</v>
      </c>
      <c r="N386" s="45">
        <f>IFERROR(__xludf.DUMMYFUNCTION("""COMPUTED_VALUE"""),45169.0)</f>
        <v>45169</v>
      </c>
      <c r="O386" s="45">
        <f>IFERROR(__xludf.DUMMYFUNCTION("""COMPUTED_VALUE"""),45181.0)</f>
        <v>45181</v>
      </c>
      <c r="P386" s="45">
        <f>IFERROR(__xludf.DUMMYFUNCTION("""COMPUTED_VALUE"""),45453.0)</f>
        <v>45453</v>
      </c>
      <c r="Q386" s="45"/>
      <c r="R386" s="45"/>
      <c r="S386" s="43"/>
      <c r="T386" s="43"/>
      <c r="U386" s="43" t="str">
        <f>IFERROR(__xludf.DUMMYFUNCTION("""COMPUTED_VALUE"""),"English Teacher in Alfa Cocuk Kindergarten")</f>
        <v>English Teacher in Alfa Cocuk Kindergarten</v>
      </c>
      <c r="V386" s="43" t="str">
        <f>IFERROR(__xludf.DUMMYFUNCTION("""COMPUTED_VALUE"""),"Azerbaijan State Pedagogical University")</f>
        <v>Azerbaijan State Pedagogical University</v>
      </c>
      <c r="W386" s="43" t="str">
        <f>IFERROR(__xludf.DUMMYFUNCTION("""COMPUTED_VALUE"""),"2022-05-08T13:28:08Z")</f>
        <v>2022-05-08T13:28:08Z</v>
      </c>
      <c r="X386" s="43"/>
      <c r="Y386" s="43"/>
      <c r="Z386" s="43"/>
    </row>
    <row r="387" hidden="1">
      <c r="A387" s="43" t="str">
        <f>IFERROR(__xludf.DUMMYFUNCTION("""COMPUTED_VALUE"""),"5098308_1298738")</f>
        <v>5098308_1298738</v>
      </c>
      <c r="B387" s="43" t="str">
        <f>IFERROR(__xludf.DUMMYFUNCTION("""COMPUTED_VALUE"""),"Bisma Hussain")</f>
        <v>Bisma Hussain</v>
      </c>
      <c r="C387" s="43" t="str">
        <f>IFERROR(__xludf.DUMMYFUNCTION("""COMPUTED_VALUE"""),"approved")</f>
        <v>approved</v>
      </c>
      <c r="D387" s="43" t="str">
        <f>IFERROR(__xludf.DUMMYFUNCTION("""COMPUTED_VALUE"""),"No")</f>
        <v>No</v>
      </c>
      <c r="E387" s="43" t="str">
        <f>IFERROR(__xludf.DUMMYFUNCTION("""COMPUTED_VALUE"""),"p_4a94dfa44a1a93206f8214f1ee1d612ff89ce926@inbound.aiesec.org")</f>
        <v>p_4a94dfa44a1a93206f8214f1ee1d612ff89ce926@inbound.aiesec.org</v>
      </c>
      <c r="F387" s="43">
        <f>IFERROR(__xludf.DUMMYFUNCTION("""COMPUTED_VALUE"""),5.06515821E9)</f>
        <v>5065158210</v>
      </c>
      <c r="G387" s="43" t="str">
        <f>IFERROR(__xludf.DUMMYFUNCTION("""COMPUTED_VALUE"""),"Pakistan")</f>
        <v>Pakistan</v>
      </c>
      <c r="H387" s="43" t="str">
        <f>IFERROR(__xludf.DUMMYFUNCTION("""COMPUTED_VALUE"""),"Karachi South")</f>
        <v>Karachi South</v>
      </c>
      <c r="I387" s="43" t="str">
        <f>IFERROR(__xludf.DUMMYFUNCTION("""COMPUTED_VALUE"""),"Turkey")</f>
        <v>Turkey</v>
      </c>
      <c r="J387" s="43" t="str">
        <f>IFERROR(__xludf.DUMMYFUNCTION("""COMPUTED_VALUE"""),"İZMİR")</f>
        <v>İZMİR</v>
      </c>
      <c r="K387" s="44" t="str">
        <f>IFERROR(__xludf.DUMMYFUNCTION("""COMPUTED_VALUE"""),"https://expa.aiesec.org/opportunities/1298738")</f>
        <v>https://expa.aiesec.org/opportunities/1298738</v>
      </c>
      <c r="L387" s="43" t="str">
        <f>IFERROR(__xludf.DUMMYFUNCTION("""COMPUTED_VALUE"""),"GTe")</f>
        <v>GTe</v>
      </c>
      <c r="M387" s="43" t="str">
        <f>IFERROR(__xludf.DUMMYFUNCTION("""COMPUTED_VALUE"""),"medium")</f>
        <v>medium</v>
      </c>
      <c r="N387" s="45">
        <f>IFERROR(__xludf.DUMMYFUNCTION("""COMPUTED_VALUE"""),45169.0)</f>
        <v>45169</v>
      </c>
      <c r="O387" s="45">
        <f>IFERROR(__xludf.DUMMYFUNCTION("""COMPUTED_VALUE"""),45184.0)</f>
        <v>45184</v>
      </c>
      <c r="P387" s="45">
        <f>IFERROR(__xludf.DUMMYFUNCTION("""COMPUTED_VALUE"""),45365.0)</f>
        <v>45365</v>
      </c>
      <c r="Q387" s="45"/>
      <c r="R387" s="45"/>
      <c r="S387" s="43"/>
      <c r="T387" s="43"/>
      <c r="U387" s="43" t="str">
        <f>IFERROR(__xludf.DUMMYFUNCTION("""COMPUTED_VALUE"""),"Language Teacher")</f>
        <v>Language Teacher</v>
      </c>
      <c r="V387" s="43" t="str">
        <f>IFERROR(__xludf.DUMMYFUNCTION("""COMPUTED_VALUE"""),"Karachi - PAF Karachi Institute of Economics &amp; Technology")</f>
        <v>Karachi - PAF Karachi Institute of Economics &amp; Technology</v>
      </c>
      <c r="W387" s="43" t="str">
        <f>IFERROR(__xludf.DUMMYFUNCTION("""COMPUTED_VALUE"""),"2022-08-23T23:43:54Z")</f>
        <v>2022-08-23T23:43:54Z</v>
      </c>
      <c r="X387" s="43"/>
      <c r="Y387" s="43"/>
      <c r="Z387" s="43"/>
    </row>
    <row r="388" hidden="1">
      <c r="A388" s="43" t="str">
        <f>IFERROR(__xludf.DUMMYFUNCTION("""COMPUTED_VALUE"""),"5313151_1277661")</f>
        <v>5313151_1277661</v>
      </c>
      <c r="B388" s="43" t="str">
        <f>IFERROR(__xludf.DUMMYFUNCTION("""COMPUTED_VALUE"""),"Abdelfettah Mohammed Bahlouli")</f>
        <v>Abdelfettah Mohammed Bahlouli</v>
      </c>
      <c r="C388" s="43" t="str">
        <f>IFERROR(__xludf.DUMMYFUNCTION("""COMPUTED_VALUE"""),"realized")</f>
        <v>realized</v>
      </c>
      <c r="D388" s="43" t="str">
        <f>IFERROR(__xludf.DUMMYFUNCTION("""COMPUTED_VALUE"""),"No")</f>
        <v>No</v>
      </c>
      <c r="E388" s="43" t="str">
        <f>IFERROR(__xludf.DUMMYFUNCTION("""COMPUTED_VALUE"""),"p_b06c181637e2bf33f0e1807a685a0049d5ac8495@inbound.aiesec.org")</f>
        <v>p_b06c181637e2bf33f0e1807a685a0049d5ac8495@inbound.aiesec.org</v>
      </c>
      <c r="F388" s="43">
        <f>IFERROR(__xludf.DUMMYFUNCTION("""COMPUTED_VALUE"""),6.96420023E8)</f>
        <v>696420023</v>
      </c>
      <c r="G388" s="43" t="str">
        <f>IFERROR(__xludf.DUMMYFUNCTION("""COMPUTED_VALUE"""),"Algeria")</f>
        <v>Algeria</v>
      </c>
      <c r="H388" s="43" t="str">
        <f>IFERROR(__xludf.DUMMYFUNCTION("""COMPUTED_VALUE"""),"Oran")</f>
        <v>Oran</v>
      </c>
      <c r="I388" s="43" t="str">
        <f>IFERROR(__xludf.DUMMYFUNCTION("""COMPUTED_VALUE"""),"Turkey")</f>
        <v>Turkey</v>
      </c>
      <c r="J388" s="43" t="str">
        <f>IFERROR(__xludf.DUMMYFUNCTION("""COMPUTED_VALUE"""),"KOCAELI")</f>
        <v>KOCAELI</v>
      </c>
      <c r="K388" s="44" t="str">
        <f>IFERROR(__xludf.DUMMYFUNCTION("""COMPUTED_VALUE"""),"https://expa.aiesec.org/opportunities/1277661")</f>
        <v>https://expa.aiesec.org/opportunities/1277661</v>
      </c>
      <c r="L388" s="43" t="str">
        <f>IFERROR(__xludf.DUMMYFUNCTION("""COMPUTED_VALUE"""),"GTe")</f>
        <v>GTe</v>
      </c>
      <c r="M388" s="43" t="str">
        <f>IFERROR(__xludf.DUMMYFUNCTION("""COMPUTED_VALUE"""),"long")</f>
        <v>long</v>
      </c>
      <c r="N388" s="45">
        <f>IFERROR(__xludf.DUMMYFUNCTION("""COMPUTED_VALUE"""),45169.0)</f>
        <v>45169</v>
      </c>
      <c r="O388" s="45">
        <f>IFERROR(__xludf.DUMMYFUNCTION("""COMPUTED_VALUE"""),45187.0)</f>
        <v>45187</v>
      </c>
      <c r="P388" s="45">
        <f>IFERROR(__xludf.DUMMYFUNCTION("""COMPUTED_VALUE"""),45457.0)</f>
        <v>45457</v>
      </c>
      <c r="Q388" s="45">
        <f>IFERROR(__xludf.DUMMYFUNCTION("""COMPUTED_VALUE"""),45189.0)</f>
        <v>45189</v>
      </c>
      <c r="R388" s="45">
        <f>IFERROR(__xludf.DUMMYFUNCTION("""COMPUTED_VALUE"""),45459.0)</f>
        <v>45459</v>
      </c>
      <c r="S388" s="43"/>
      <c r="T388" s="43"/>
      <c r="U388" s="43" t="str">
        <f>IFERROR(__xludf.DUMMYFUNCTION("""COMPUTED_VALUE"""),"English Teacher in Körfez Uğur Okulları")</f>
        <v>English Teacher in Körfez Uğur Okulları</v>
      </c>
      <c r="V388" s="43" t="str">
        <f>IFERROR(__xludf.DUMMYFUNCTION("""COMPUTED_VALUE"""),"AIESEC in Oran")</f>
        <v>AIESEC in Oran</v>
      </c>
      <c r="W388" s="43" t="str">
        <f>IFERROR(__xludf.DUMMYFUNCTION("""COMPUTED_VALUE"""),"2023-08-30T06:52:27Z")</f>
        <v>2023-08-30T06:52:27Z</v>
      </c>
      <c r="X388" s="43"/>
      <c r="Y388" s="43"/>
      <c r="Z388" s="43"/>
    </row>
    <row r="389" hidden="1">
      <c r="A389" s="43" t="str">
        <f>IFERROR(__xludf.DUMMYFUNCTION("""COMPUTED_VALUE"""),"5310129_1286521")</f>
        <v>5310129_1286521</v>
      </c>
      <c r="B389" s="43" t="str">
        <f>IFERROR(__xludf.DUMMYFUNCTION("""COMPUTED_VALUE"""),"Ameni Baccouche")</f>
        <v>Ameni Baccouche</v>
      </c>
      <c r="C389" s="43" t="str">
        <f>IFERROR(__xludf.DUMMYFUNCTION("""COMPUTED_VALUE"""),"realized")</f>
        <v>realized</v>
      </c>
      <c r="D389" s="43" t="str">
        <f>IFERROR(__xludf.DUMMYFUNCTION("""COMPUTED_VALUE"""),"No")</f>
        <v>No</v>
      </c>
      <c r="E389" s="43" t="str">
        <f>IFERROR(__xludf.DUMMYFUNCTION("""COMPUTED_VALUE"""),"p_f14ba5b6cc1e50cb4004d36ecd9f96200a1b54b3@inbound.aiesec.org")</f>
        <v>p_f14ba5b6cc1e50cb4004d36ecd9f96200a1b54b3@inbound.aiesec.org</v>
      </c>
      <c r="F389" s="43">
        <f>IFERROR(__xludf.DUMMYFUNCTION("""COMPUTED_VALUE"""),5.5486697E7)</f>
        <v>55486697</v>
      </c>
      <c r="G389" s="43" t="str">
        <f>IFERROR(__xludf.DUMMYFUNCTION("""COMPUTED_VALUE"""),"Tunisia")</f>
        <v>Tunisia</v>
      </c>
      <c r="H389" s="43" t="str">
        <f>IFERROR(__xludf.DUMMYFUNCTION("""COMPUTED_VALUE"""),"RUSPINA")</f>
        <v>RUSPINA</v>
      </c>
      <c r="I389" s="43" t="str">
        <f>IFERROR(__xludf.DUMMYFUNCTION("""COMPUTED_VALUE"""),"Turkey")</f>
        <v>Turkey</v>
      </c>
      <c r="J389" s="43" t="str">
        <f>IFERROR(__xludf.DUMMYFUNCTION("""COMPUTED_VALUE"""),"GAZIANTEP")</f>
        <v>GAZIANTEP</v>
      </c>
      <c r="K389" s="44" t="str">
        <f>IFERROR(__xludf.DUMMYFUNCTION("""COMPUTED_VALUE"""),"https://expa.aiesec.org/opportunities/1286521")</f>
        <v>https://expa.aiesec.org/opportunities/1286521</v>
      </c>
      <c r="L389" s="43" t="str">
        <f>IFERROR(__xludf.DUMMYFUNCTION("""COMPUTED_VALUE"""),"GTe")</f>
        <v>GTe</v>
      </c>
      <c r="M389" s="43" t="str">
        <f>IFERROR(__xludf.DUMMYFUNCTION("""COMPUTED_VALUE"""),"long")</f>
        <v>long</v>
      </c>
      <c r="N389" s="45">
        <f>IFERROR(__xludf.DUMMYFUNCTION("""COMPUTED_VALUE"""),45171.0)</f>
        <v>45171</v>
      </c>
      <c r="O389" s="45">
        <f>IFERROR(__xludf.DUMMYFUNCTION("""COMPUTED_VALUE"""),45183.0)</f>
        <v>45183</v>
      </c>
      <c r="P389" s="45">
        <f>IFERROR(__xludf.DUMMYFUNCTION("""COMPUTED_VALUE"""),45548.0)</f>
        <v>45548</v>
      </c>
      <c r="Q389" s="45">
        <f>IFERROR(__xludf.DUMMYFUNCTION("""COMPUTED_VALUE"""),45176.0)</f>
        <v>45176</v>
      </c>
      <c r="R389" s="45">
        <f>IFERROR(__xludf.DUMMYFUNCTION("""COMPUTED_VALUE"""),45548.0)</f>
        <v>45548</v>
      </c>
      <c r="S389" s="43"/>
      <c r="T389" s="43"/>
      <c r="U389" s="43" t="str">
        <f>IFERROR(__xludf.DUMMYFUNCTION("""COMPUTED_VALUE"""),"ENGLİSH TRACHER")</f>
        <v>ENGLİSH TRACHER</v>
      </c>
      <c r="V389" s="43" t="str">
        <f>IFERROR(__xludf.DUMMYFUNCTION("""COMPUTED_VALUE"""),"ISLAA Moknine")</f>
        <v>ISLAA Moknine</v>
      </c>
      <c r="W389" s="43" t="str">
        <f>IFERROR(__xludf.DUMMYFUNCTION("""COMPUTED_VALUE"""),"2023-08-26T13:09:17Z")</f>
        <v>2023-08-26T13:09:17Z</v>
      </c>
      <c r="X389" s="43"/>
      <c r="Y389" s="43"/>
      <c r="Z389" s="43"/>
    </row>
    <row r="390" hidden="1">
      <c r="A390" s="43" t="str">
        <f>IFERROR(__xludf.DUMMYFUNCTION("""COMPUTED_VALUE"""),"5148066_1286839")</f>
        <v>5148066_1286839</v>
      </c>
      <c r="B390" s="43" t="str">
        <f>IFERROR(__xludf.DUMMYFUNCTION("""COMPUTED_VALUE"""),"Boudour Khaloui")</f>
        <v>Boudour Khaloui</v>
      </c>
      <c r="C390" s="43" t="str">
        <f>IFERROR(__xludf.DUMMYFUNCTION("""COMPUTED_VALUE"""),"realized")</f>
        <v>realized</v>
      </c>
      <c r="D390" s="43" t="str">
        <f>IFERROR(__xludf.DUMMYFUNCTION("""COMPUTED_VALUE"""),"No")</f>
        <v>No</v>
      </c>
      <c r="E390" s="43" t="str">
        <f>IFERROR(__xludf.DUMMYFUNCTION("""COMPUTED_VALUE"""),"p_574b145b339fa806245a54ab590c6578ac90536d@inbound.aiesec.org")</f>
        <v>p_574b145b339fa806245a54ab590c6578ac90536d@inbound.aiesec.org</v>
      </c>
      <c r="F390" s="43">
        <f>IFERROR(__xludf.DUMMYFUNCTION("""COMPUTED_VALUE"""),5.52705418E8)</f>
        <v>552705418</v>
      </c>
      <c r="G390" s="43" t="str">
        <f>IFERROR(__xludf.DUMMYFUNCTION("""COMPUTED_VALUE"""),"Algeria")</f>
        <v>Algeria</v>
      </c>
      <c r="H390" s="43" t="str">
        <f>IFERROR(__xludf.DUMMYFUNCTION("""COMPUTED_VALUE"""),"Benak")</f>
        <v>Benak</v>
      </c>
      <c r="I390" s="43" t="str">
        <f>IFERROR(__xludf.DUMMYFUNCTION("""COMPUTED_VALUE"""),"Turkey")</f>
        <v>Turkey</v>
      </c>
      <c r="J390" s="43" t="str">
        <f>IFERROR(__xludf.DUMMYFUNCTION("""COMPUTED_VALUE"""),"ISTANBUL WEST")</f>
        <v>ISTANBUL WEST</v>
      </c>
      <c r="K390" s="44" t="str">
        <f>IFERROR(__xludf.DUMMYFUNCTION("""COMPUTED_VALUE"""),"https://expa.aiesec.org/opportunities/1286839")</f>
        <v>https://expa.aiesec.org/opportunities/1286839</v>
      </c>
      <c r="L390" s="43" t="str">
        <f>IFERROR(__xludf.DUMMYFUNCTION("""COMPUTED_VALUE"""),"GTe")</f>
        <v>GTe</v>
      </c>
      <c r="M390" s="43" t="str">
        <f>IFERROR(__xludf.DUMMYFUNCTION("""COMPUTED_VALUE"""),"long")</f>
        <v>long</v>
      </c>
      <c r="N390" s="45">
        <f>IFERROR(__xludf.DUMMYFUNCTION("""COMPUTED_VALUE"""),45171.0)</f>
        <v>45171</v>
      </c>
      <c r="O390" s="45">
        <f>IFERROR(__xludf.DUMMYFUNCTION("""COMPUTED_VALUE"""),45180.0)</f>
        <v>45180</v>
      </c>
      <c r="P390" s="45">
        <f>IFERROR(__xludf.DUMMYFUNCTION("""COMPUTED_VALUE"""),45509.0)</f>
        <v>45509</v>
      </c>
      <c r="Q390" s="45">
        <f>IFERROR(__xludf.DUMMYFUNCTION("""COMPUTED_VALUE"""),45179.0)</f>
        <v>45179</v>
      </c>
      <c r="R390" s="45">
        <f>IFERROR(__xludf.DUMMYFUNCTION("""COMPUTED_VALUE"""),45535.0)</f>
        <v>45535</v>
      </c>
      <c r="S390" s="43"/>
      <c r="T390" s="43" t="str">
        <f>IFERROR(__xludf.DUMMYFUNCTION("""COMPUTED_VALUE"""),"Business Development")</f>
        <v>Business Development</v>
      </c>
      <c r="U390" s="43" t="str">
        <f>IFERROR(__xludf.DUMMYFUNCTION("""COMPUTED_VALUE"""),"Pre-School Teacher at Istanbul AIKA/Florya ")</f>
        <v>Pre-School Teacher at Istanbul AIKA/Florya </v>
      </c>
      <c r="V390" s="43" t="str">
        <f>IFERROR(__xludf.DUMMYFUNCTION("""COMPUTED_VALUE"""),"AIESEC in Benak")</f>
        <v>AIESEC in Benak</v>
      </c>
      <c r="W390" s="43" t="str">
        <f>IFERROR(__xludf.DUMMYFUNCTION("""COMPUTED_VALUE"""),"2022-11-06T20:46:42Z")</f>
        <v>2022-11-06T20:46:42Z</v>
      </c>
      <c r="X390" s="43"/>
      <c r="Y390" s="43"/>
      <c r="Z390" s="43"/>
    </row>
    <row r="391" hidden="1">
      <c r="A391" s="43" t="str">
        <f>IFERROR(__xludf.DUMMYFUNCTION("""COMPUTED_VALUE"""),"5312118_1291586")</f>
        <v>5312118_1291586</v>
      </c>
      <c r="B391" s="43" t="str">
        <f>IFERROR(__xludf.DUMMYFUNCTION("""COMPUTED_VALUE"""),"Firuza Atakishiyeva")</f>
        <v>Firuza Atakishiyeva</v>
      </c>
      <c r="C391" s="43" t="str">
        <f>IFERROR(__xludf.DUMMYFUNCTION("""COMPUTED_VALUE"""),"realized")</f>
        <v>realized</v>
      </c>
      <c r="D391" s="43" t="str">
        <f>IFERROR(__xludf.DUMMYFUNCTION("""COMPUTED_VALUE"""),"No")</f>
        <v>No</v>
      </c>
      <c r="E391" s="43" t="str">
        <f>IFERROR(__xludf.DUMMYFUNCTION("""COMPUTED_VALUE"""),"p_47c84c8d65948576455c3ee5525147df4c1f8908@inbound.aiesec.org")</f>
        <v>p_47c84c8d65948576455c3ee5525147df4c1f8908@inbound.aiesec.org</v>
      </c>
      <c r="F391" s="43"/>
      <c r="G391" s="43" t="str">
        <f>IFERROR(__xludf.DUMMYFUNCTION("""COMPUTED_VALUE"""),"Azerbaijan")</f>
        <v>Azerbaijan</v>
      </c>
      <c r="H391" s="43" t="str">
        <f>IFERROR(__xludf.DUMMYFUNCTION("""COMPUTED_VALUE"""),"Baku Qafqaz")</f>
        <v>Baku Qafqaz</v>
      </c>
      <c r="I391" s="43" t="str">
        <f>IFERROR(__xludf.DUMMYFUNCTION("""COMPUTED_VALUE"""),"Turkey")</f>
        <v>Turkey</v>
      </c>
      <c r="J391" s="43" t="str">
        <f>IFERROR(__xludf.DUMMYFUNCTION("""COMPUTED_VALUE"""),"SAKARYA")</f>
        <v>SAKARYA</v>
      </c>
      <c r="K391" s="44" t="str">
        <f>IFERROR(__xludf.DUMMYFUNCTION("""COMPUTED_VALUE"""),"https://expa.aiesec.org/opportunities/1291586")</f>
        <v>https://expa.aiesec.org/opportunities/1291586</v>
      </c>
      <c r="L391" s="43" t="str">
        <f>IFERROR(__xludf.DUMMYFUNCTION("""COMPUTED_VALUE"""),"GTe")</f>
        <v>GTe</v>
      </c>
      <c r="M391" s="43" t="str">
        <f>IFERROR(__xludf.DUMMYFUNCTION("""COMPUTED_VALUE"""),"long")</f>
        <v>long</v>
      </c>
      <c r="N391" s="45">
        <f>IFERROR(__xludf.DUMMYFUNCTION("""COMPUTED_VALUE"""),45173.0)</f>
        <v>45173</v>
      </c>
      <c r="O391" s="45">
        <f>IFERROR(__xludf.DUMMYFUNCTION("""COMPUTED_VALUE"""),45180.0)</f>
        <v>45180</v>
      </c>
      <c r="P391" s="45">
        <f>IFERROR(__xludf.DUMMYFUNCTION("""COMPUTED_VALUE"""),45536.0)</f>
        <v>45536</v>
      </c>
      <c r="Q391" s="45">
        <f>IFERROR(__xludf.DUMMYFUNCTION("""COMPUTED_VALUE"""),45182.0)</f>
        <v>45182</v>
      </c>
      <c r="R391" s="45">
        <f>IFERROR(__xludf.DUMMYFUNCTION("""COMPUTED_VALUE"""),45536.0)</f>
        <v>45536</v>
      </c>
      <c r="S391" s="43"/>
      <c r="T391" s="43"/>
      <c r="U391" s="43" t="str">
        <f>IFERROR(__xludf.DUMMYFUNCTION("""COMPUTED_VALUE"""),"English Teacher | Private School")</f>
        <v>English Teacher | Private School</v>
      </c>
      <c r="V391" s="43" t="str">
        <f>IFERROR(__xludf.DUMMYFUNCTION("""COMPUTED_VALUE"""),"-")</f>
        <v>-</v>
      </c>
      <c r="W391" s="43" t="str">
        <f>IFERROR(__xludf.DUMMYFUNCTION("""COMPUTED_VALUE"""),"2023-08-29T13:30:15Z")</f>
        <v>2023-08-29T13:30:15Z</v>
      </c>
      <c r="X391" s="43"/>
      <c r="Y391" s="43"/>
      <c r="Z391" s="43"/>
    </row>
    <row r="392" hidden="1">
      <c r="A392" s="43" t="str">
        <f>IFERROR(__xludf.DUMMYFUNCTION("""COMPUTED_VALUE"""),"5318564_1292559")</f>
        <v>5318564_1292559</v>
      </c>
      <c r="B392" s="43" t="str">
        <f>IFERROR(__xludf.DUMMYFUNCTION("""COMPUTED_VALUE"""),"amal Ghedira")</f>
        <v>amal Ghedira</v>
      </c>
      <c r="C392" s="43" t="str">
        <f>IFERROR(__xludf.DUMMYFUNCTION("""COMPUTED_VALUE"""),"realized")</f>
        <v>realized</v>
      </c>
      <c r="D392" s="43" t="str">
        <f>IFERROR(__xludf.DUMMYFUNCTION("""COMPUTED_VALUE"""),"No")</f>
        <v>No</v>
      </c>
      <c r="E392" s="43" t="str">
        <f>IFERROR(__xludf.DUMMYFUNCTION("""COMPUTED_VALUE"""),"p_864e30b9b51a9c0904f4c78f1611017a6daab726@inbound.aiesec.org")</f>
        <v>p_864e30b9b51a9c0904f4c78f1611017a6daab726@inbound.aiesec.org</v>
      </c>
      <c r="F392" s="43">
        <f>IFERROR(__xludf.DUMMYFUNCTION("""COMPUTED_VALUE"""),9.6912118E7)</f>
        <v>96912118</v>
      </c>
      <c r="G392" s="43" t="str">
        <f>IFERROR(__xludf.DUMMYFUNCTION("""COMPUTED_VALUE"""),"Tunisia")</f>
        <v>Tunisia</v>
      </c>
      <c r="H392" s="43" t="str">
        <f>IFERROR(__xludf.DUMMYFUNCTION("""COMPUTED_VALUE"""),"HADRUMET")</f>
        <v>HADRUMET</v>
      </c>
      <c r="I392" s="43" t="str">
        <f>IFERROR(__xludf.DUMMYFUNCTION("""COMPUTED_VALUE"""),"Turkey")</f>
        <v>Turkey</v>
      </c>
      <c r="J392" s="43" t="str">
        <f>IFERROR(__xludf.DUMMYFUNCTION("""COMPUTED_VALUE"""),"BURSA")</f>
        <v>BURSA</v>
      </c>
      <c r="K392" s="44" t="str">
        <f>IFERROR(__xludf.DUMMYFUNCTION("""COMPUTED_VALUE"""),"https://expa.aiesec.org/opportunities/1292559")</f>
        <v>https://expa.aiesec.org/opportunities/1292559</v>
      </c>
      <c r="L392" s="43" t="str">
        <f>IFERROR(__xludf.DUMMYFUNCTION("""COMPUTED_VALUE"""),"GTe")</f>
        <v>GTe</v>
      </c>
      <c r="M392" s="43" t="str">
        <f>IFERROR(__xludf.DUMMYFUNCTION("""COMPUTED_VALUE"""),"long")</f>
        <v>long</v>
      </c>
      <c r="N392" s="45">
        <f>IFERROR(__xludf.DUMMYFUNCTION("""COMPUTED_VALUE"""),45174.0)</f>
        <v>45174</v>
      </c>
      <c r="O392" s="45">
        <f>IFERROR(__xludf.DUMMYFUNCTION("""COMPUTED_VALUE"""),45194.0)</f>
        <v>45194</v>
      </c>
      <c r="P392" s="45">
        <f>IFERROR(__xludf.DUMMYFUNCTION("""COMPUTED_VALUE"""),45555.0)</f>
        <v>45555</v>
      </c>
      <c r="Q392" s="45">
        <f>IFERROR(__xludf.DUMMYFUNCTION("""COMPUTED_VALUE"""),45197.0)</f>
        <v>45197</v>
      </c>
      <c r="R392" s="45">
        <f>IFERROR(__xludf.DUMMYFUNCTION("""COMPUTED_VALUE"""),45558.0)</f>
        <v>45558</v>
      </c>
      <c r="S392" s="43"/>
      <c r="T392" s="43"/>
      <c r="U392" s="43" t="str">
        <f>IFERROR(__xludf.DUMMYFUNCTION("""COMPUTED_VALUE"""),"teacher")</f>
        <v>teacher</v>
      </c>
      <c r="V392" s="43" t="str">
        <f>IFERROR(__xludf.DUMMYFUNCTION("""COMPUTED_VALUE"""),"IHEC Sousse")</f>
        <v>IHEC Sousse</v>
      </c>
      <c r="W392" s="43" t="str">
        <f>IFERROR(__xludf.DUMMYFUNCTION("""COMPUTED_VALUE"""),"2023-09-05T13:12:40Z")</f>
        <v>2023-09-05T13:12:40Z</v>
      </c>
      <c r="X392" s="43"/>
      <c r="Y392" s="43"/>
      <c r="Z392" s="43"/>
    </row>
    <row r="393" hidden="1">
      <c r="A393" s="43" t="str">
        <f>IFERROR(__xludf.DUMMYFUNCTION("""COMPUTED_VALUE"""),"5318159_1298748")</f>
        <v>5318159_1298748</v>
      </c>
      <c r="B393" s="43" t="str">
        <f>IFERROR(__xludf.DUMMYFUNCTION("""COMPUTED_VALUE"""),"Chaymaa El majdoub")</f>
        <v>Chaymaa El majdoub</v>
      </c>
      <c r="C393" s="43" t="str">
        <f>IFERROR(__xludf.DUMMYFUNCTION("""COMPUTED_VALUE"""),"realized")</f>
        <v>realized</v>
      </c>
      <c r="D393" s="43" t="str">
        <f>IFERROR(__xludf.DUMMYFUNCTION("""COMPUTED_VALUE"""),"No")</f>
        <v>No</v>
      </c>
      <c r="E393" s="43" t="str">
        <f>IFERROR(__xludf.DUMMYFUNCTION("""COMPUTED_VALUE"""),"p_97b7e804511cc6bb946b263028375587405a8625@inbound.aiesec.org")</f>
        <v>p_97b7e804511cc6bb946b263028375587405a8625@inbound.aiesec.org</v>
      </c>
      <c r="F393" s="43">
        <f>IFERROR(__xludf.DUMMYFUNCTION("""COMPUTED_VALUE"""),6.82155603E8)</f>
        <v>682155603</v>
      </c>
      <c r="G393" s="43" t="str">
        <f>IFERROR(__xludf.DUMMYFUNCTION("""COMPUTED_VALUE"""),"Morocco")</f>
        <v>Morocco</v>
      </c>
      <c r="H393" s="43" t="str">
        <f>IFERROR(__xludf.DUMMYFUNCTION("""COMPUTED_VALUE"""),"Morocco (MC)")</f>
        <v>Morocco (MC)</v>
      </c>
      <c r="I393" s="43" t="str">
        <f>IFERROR(__xludf.DUMMYFUNCTION("""COMPUTED_VALUE"""),"Turkey")</f>
        <v>Turkey</v>
      </c>
      <c r="J393" s="43" t="str">
        <f>IFERROR(__xludf.DUMMYFUNCTION("""COMPUTED_VALUE"""),"GAZIANTEP")</f>
        <v>GAZIANTEP</v>
      </c>
      <c r="K393" s="44" t="str">
        <f>IFERROR(__xludf.DUMMYFUNCTION("""COMPUTED_VALUE"""),"https://expa.aiesec.org/opportunities/1298748")</f>
        <v>https://expa.aiesec.org/opportunities/1298748</v>
      </c>
      <c r="L393" s="43" t="str">
        <f>IFERROR(__xludf.DUMMYFUNCTION("""COMPUTED_VALUE"""),"GTe")</f>
        <v>GTe</v>
      </c>
      <c r="M393" s="43" t="str">
        <f>IFERROR(__xludf.DUMMYFUNCTION("""COMPUTED_VALUE"""),"long")</f>
        <v>long</v>
      </c>
      <c r="N393" s="45">
        <f>IFERROR(__xludf.DUMMYFUNCTION("""COMPUTED_VALUE"""),45174.0)</f>
        <v>45174</v>
      </c>
      <c r="O393" s="45">
        <f>IFERROR(__xludf.DUMMYFUNCTION("""COMPUTED_VALUE"""),45189.0)</f>
        <v>45189</v>
      </c>
      <c r="P393" s="45">
        <f>IFERROR(__xludf.DUMMYFUNCTION("""COMPUTED_VALUE"""),45554.0)</f>
        <v>45554</v>
      </c>
      <c r="Q393" s="45">
        <f>IFERROR(__xludf.DUMMYFUNCTION("""COMPUTED_VALUE"""),45194.0)</f>
        <v>45194</v>
      </c>
      <c r="R393" s="45">
        <f>IFERROR(__xludf.DUMMYFUNCTION("""COMPUTED_VALUE"""),45559.0)</f>
        <v>45559</v>
      </c>
      <c r="S393" s="43"/>
      <c r="T393" s="43"/>
      <c r="U393" s="43" t="str">
        <f>IFERROR(__xludf.DUMMYFUNCTION("""COMPUTED_VALUE"""),"English Teacher")</f>
        <v>English Teacher</v>
      </c>
      <c r="V393" s="43" t="str">
        <f>IFERROR(__xludf.DUMMYFUNCTION("""COMPUTED_VALUE"""),"Other-RABAT")</f>
        <v>Other-RABAT</v>
      </c>
      <c r="W393" s="43" t="str">
        <f>IFERROR(__xludf.DUMMYFUNCTION("""COMPUTED_VALUE"""),"2023-09-04T16:53:21Z")</f>
        <v>2023-09-04T16:53:21Z</v>
      </c>
      <c r="X393" s="43"/>
      <c r="Y393" s="43"/>
      <c r="Z393" s="43"/>
    </row>
    <row r="394" hidden="1">
      <c r="A394" s="43" t="str">
        <f>IFERROR(__xludf.DUMMYFUNCTION("""COMPUTED_VALUE"""),"5316428_1298746")</f>
        <v>5316428_1298746</v>
      </c>
      <c r="B394" s="43" t="str">
        <f>IFERROR(__xludf.DUMMYFUNCTION("""COMPUTED_VALUE"""),"chaimae choukri")</f>
        <v>chaimae choukri</v>
      </c>
      <c r="C394" s="43" t="str">
        <f>IFERROR(__xludf.DUMMYFUNCTION("""COMPUTED_VALUE"""),"realized")</f>
        <v>realized</v>
      </c>
      <c r="D394" s="43" t="str">
        <f>IFERROR(__xludf.DUMMYFUNCTION("""COMPUTED_VALUE"""),"No")</f>
        <v>No</v>
      </c>
      <c r="E394" s="43" t="str">
        <f>IFERROR(__xludf.DUMMYFUNCTION("""COMPUTED_VALUE"""),"p_a01b263c707b76b95c78b0387ac6f1c62937c111@inbound.aiesec.org")</f>
        <v>p_a01b263c707b76b95c78b0387ac6f1c62937c111@inbound.aiesec.org</v>
      </c>
      <c r="F394" s="43">
        <f>IFERROR(__xludf.DUMMYFUNCTION("""COMPUTED_VALUE"""),7.06650579E8)</f>
        <v>706650579</v>
      </c>
      <c r="G394" s="43" t="str">
        <f>IFERROR(__xludf.DUMMYFUNCTION("""COMPUTED_VALUE"""),"Morocco")</f>
        <v>Morocco</v>
      </c>
      <c r="H394" s="43" t="str">
        <f>IFERROR(__xludf.DUMMYFUNCTION("""COMPUTED_VALUE"""),"Morocco (MC)")</f>
        <v>Morocco (MC)</v>
      </c>
      <c r="I394" s="43" t="str">
        <f>IFERROR(__xludf.DUMMYFUNCTION("""COMPUTED_VALUE"""),"Turkey")</f>
        <v>Turkey</v>
      </c>
      <c r="J394" s="43" t="str">
        <f>IFERROR(__xludf.DUMMYFUNCTION("""COMPUTED_VALUE"""),"GAZIANTEP")</f>
        <v>GAZIANTEP</v>
      </c>
      <c r="K394" s="44" t="str">
        <f>IFERROR(__xludf.DUMMYFUNCTION("""COMPUTED_VALUE"""),"https://expa.aiesec.org/opportunities/1298746")</f>
        <v>https://expa.aiesec.org/opportunities/1298746</v>
      </c>
      <c r="L394" s="43" t="str">
        <f>IFERROR(__xludf.DUMMYFUNCTION("""COMPUTED_VALUE"""),"GTe")</f>
        <v>GTe</v>
      </c>
      <c r="M394" s="43" t="str">
        <f>IFERROR(__xludf.DUMMYFUNCTION("""COMPUTED_VALUE"""),"long")</f>
        <v>long</v>
      </c>
      <c r="N394" s="45">
        <f>IFERROR(__xludf.DUMMYFUNCTION("""COMPUTED_VALUE"""),45174.0)</f>
        <v>45174</v>
      </c>
      <c r="O394" s="45">
        <f>IFERROR(__xludf.DUMMYFUNCTION("""COMPUTED_VALUE"""),45199.0)</f>
        <v>45199</v>
      </c>
      <c r="P394" s="45">
        <f>IFERROR(__xludf.DUMMYFUNCTION("""COMPUTED_VALUE"""),45564.0)</f>
        <v>45564</v>
      </c>
      <c r="Q394" s="45">
        <f>IFERROR(__xludf.DUMMYFUNCTION("""COMPUTED_VALUE"""),45189.0)</f>
        <v>45189</v>
      </c>
      <c r="R394" s="45">
        <f>IFERROR(__xludf.DUMMYFUNCTION("""COMPUTED_VALUE"""),45564.0)</f>
        <v>45564</v>
      </c>
      <c r="S394" s="43"/>
      <c r="T394" s="43"/>
      <c r="U394" s="43" t="str">
        <f>IFERROR(__xludf.DUMMYFUNCTION("""COMPUTED_VALUE"""),"English Teacher")</f>
        <v>English Teacher</v>
      </c>
      <c r="V394" s="43" t="str">
        <f>IFERROR(__xludf.DUMMYFUNCTION("""COMPUTED_VALUE"""),"OUJDA")</f>
        <v>OUJDA</v>
      </c>
      <c r="W394" s="43" t="str">
        <f>IFERROR(__xludf.DUMMYFUNCTION("""COMPUTED_VALUE"""),"2023-09-01T17:32:18Z")</f>
        <v>2023-09-01T17:32:18Z</v>
      </c>
      <c r="X394" s="43"/>
      <c r="Y394" s="43"/>
      <c r="Z394" s="43"/>
    </row>
    <row r="395" hidden="1">
      <c r="A395" s="43" t="str">
        <f>IFERROR(__xludf.DUMMYFUNCTION("""COMPUTED_VALUE"""),"5318251_1298403")</f>
        <v>5318251_1298403</v>
      </c>
      <c r="B395" s="43" t="str">
        <f>IFERROR(__xludf.DUMMYFUNCTION("""COMPUTED_VALUE"""),"feriel arrami")</f>
        <v>feriel arrami</v>
      </c>
      <c r="C395" s="43" t="str">
        <f>IFERROR(__xludf.DUMMYFUNCTION("""COMPUTED_VALUE"""),"realized")</f>
        <v>realized</v>
      </c>
      <c r="D395" s="43" t="str">
        <f>IFERROR(__xludf.DUMMYFUNCTION("""COMPUTED_VALUE"""),"No")</f>
        <v>No</v>
      </c>
      <c r="E395" s="43" t="str">
        <f>IFERROR(__xludf.DUMMYFUNCTION("""COMPUTED_VALUE"""),"p_aeed7256f972e53ba274c5f1a775a218b7e1841a@inbound.aiesec.org")</f>
        <v>p_aeed7256f972e53ba274c5f1a775a218b7e1841a@inbound.aiesec.org</v>
      </c>
      <c r="F395" s="43">
        <f>IFERROR(__xludf.DUMMYFUNCTION("""COMPUTED_VALUE"""),9.2407183E7)</f>
        <v>92407183</v>
      </c>
      <c r="G395" s="43" t="str">
        <f>IFERROR(__xludf.DUMMYFUNCTION("""COMPUTED_VALUE"""),"Tunisia")</f>
        <v>Tunisia</v>
      </c>
      <c r="H395" s="43" t="str">
        <f>IFERROR(__xludf.DUMMYFUNCTION("""COMPUTED_VALUE"""),"Carthage")</f>
        <v>Carthage</v>
      </c>
      <c r="I395" s="43" t="str">
        <f>IFERROR(__xludf.DUMMYFUNCTION("""COMPUTED_VALUE"""),"Turkey")</f>
        <v>Turkey</v>
      </c>
      <c r="J395" s="43" t="str">
        <f>IFERROR(__xludf.DUMMYFUNCTION("""COMPUTED_VALUE"""),"ANKARA")</f>
        <v>ANKARA</v>
      </c>
      <c r="K395" s="44" t="str">
        <f>IFERROR(__xludf.DUMMYFUNCTION("""COMPUTED_VALUE"""),"https://expa.aiesec.org/opportunities/1298403")</f>
        <v>https://expa.aiesec.org/opportunities/1298403</v>
      </c>
      <c r="L395" s="43" t="str">
        <f>IFERROR(__xludf.DUMMYFUNCTION("""COMPUTED_VALUE"""),"GTe")</f>
        <v>GTe</v>
      </c>
      <c r="M395" s="43" t="str">
        <f>IFERROR(__xludf.DUMMYFUNCTION("""COMPUTED_VALUE"""),"long")</f>
        <v>long</v>
      </c>
      <c r="N395" s="45">
        <f>IFERROR(__xludf.DUMMYFUNCTION("""COMPUTED_VALUE"""),45174.0)</f>
        <v>45174</v>
      </c>
      <c r="O395" s="45">
        <f>IFERROR(__xludf.DUMMYFUNCTION("""COMPUTED_VALUE"""),45187.0)</f>
        <v>45187</v>
      </c>
      <c r="P395" s="45">
        <f>IFERROR(__xludf.DUMMYFUNCTION("""COMPUTED_VALUE"""),45548.0)</f>
        <v>45548</v>
      </c>
      <c r="Q395" s="45">
        <f>IFERROR(__xludf.DUMMYFUNCTION("""COMPUTED_VALUE"""),45188.0)</f>
        <v>45188</v>
      </c>
      <c r="R395" s="45">
        <f>IFERROR(__xludf.DUMMYFUNCTION("""COMPUTED_VALUE"""),45548.0)</f>
        <v>45548</v>
      </c>
      <c r="S395" s="43"/>
      <c r="T395" s="43"/>
      <c r="U395" s="43" t="str">
        <f>IFERROR(__xludf.DUMMYFUNCTION("""COMPUTED_VALUE"""),"English Teacher ")</f>
        <v>English Teacher </v>
      </c>
      <c r="V395" s="43" t="str">
        <f>IFERROR(__xludf.DUMMYFUNCTION("""COMPUTED_VALUE"""),"ISLT")</f>
        <v>ISLT</v>
      </c>
      <c r="W395" s="43" t="str">
        <f>IFERROR(__xludf.DUMMYFUNCTION("""COMPUTED_VALUE"""),"2023-09-04T20:18:18Z")</f>
        <v>2023-09-04T20:18:18Z</v>
      </c>
      <c r="X395" s="43"/>
      <c r="Y395" s="43"/>
      <c r="Z395" s="43"/>
    </row>
    <row r="396" hidden="1">
      <c r="A396" s="43" t="str">
        <f>IFERROR(__xludf.DUMMYFUNCTION("""COMPUTED_VALUE"""),"5318214_1298403")</f>
        <v>5318214_1298403</v>
      </c>
      <c r="B396" s="43" t="str">
        <f>IFERROR(__xludf.DUMMYFUNCTION("""COMPUTED_VALUE"""),"chaima ben ameur")</f>
        <v>chaima ben ameur</v>
      </c>
      <c r="C396" s="43" t="str">
        <f>IFERROR(__xludf.DUMMYFUNCTION("""COMPUTED_VALUE"""),"realized")</f>
        <v>realized</v>
      </c>
      <c r="D396" s="43" t="str">
        <f>IFERROR(__xludf.DUMMYFUNCTION("""COMPUTED_VALUE"""),"No")</f>
        <v>No</v>
      </c>
      <c r="E396" s="43" t="str">
        <f>IFERROR(__xludf.DUMMYFUNCTION("""COMPUTED_VALUE"""),"p_bb386a7f179cf42854dd45ecd7874d336e120344@inbound.aiesec.org")</f>
        <v>p_bb386a7f179cf42854dd45ecd7874d336e120344@inbound.aiesec.org</v>
      </c>
      <c r="F396" s="43">
        <f>IFERROR(__xludf.DUMMYFUNCTION("""COMPUTED_VALUE"""),5.4710018E7)</f>
        <v>54710018</v>
      </c>
      <c r="G396" s="43" t="str">
        <f>IFERROR(__xludf.DUMMYFUNCTION("""COMPUTED_VALUE"""),"Tunisia")</f>
        <v>Tunisia</v>
      </c>
      <c r="H396" s="43" t="str">
        <f>IFERROR(__xludf.DUMMYFUNCTION("""COMPUTED_VALUE"""),"Carthage")</f>
        <v>Carthage</v>
      </c>
      <c r="I396" s="43" t="str">
        <f>IFERROR(__xludf.DUMMYFUNCTION("""COMPUTED_VALUE"""),"Turkey")</f>
        <v>Turkey</v>
      </c>
      <c r="J396" s="43" t="str">
        <f>IFERROR(__xludf.DUMMYFUNCTION("""COMPUTED_VALUE"""),"ANKARA")</f>
        <v>ANKARA</v>
      </c>
      <c r="K396" s="44" t="str">
        <f>IFERROR(__xludf.DUMMYFUNCTION("""COMPUTED_VALUE"""),"https://expa.aiesec.org/opportunities/1298403")</f>
        <v>https://expa.aiesec.org/opportunities/1298403</v>
      </c>
      <c r="L396" s="43" t="str">
        <f>IFERROR(__xludf.DUMMYFUNCTION("""COMPUTED_VALUE"""),"GTe")</f>
        <v>GTe</v>
      </c>
      <c r="M396" s="43" t="str">
        <f>IFERROR(__xludf.DUMMYFUNCTION("""COMPUTED_VALUE"""),"long")</f>
        <v>long</v>
      </c>
      <c r="N396" s="45">
        <f>IFERROR(__xludf.DUMMYFUNCTION("""COMPUTED_VALUE"""),45175.0)</f>
        <v>45175</v>
      </c>
      <c r="O396" s="45">
        <f>IFERROR(__xludf.DUMMYFUNCTION("""COMPUTED_VALUE"""),45187.0)</f>
        <v>45187</v>
      </c>
      <c r="P396" s="45">
        <f>IFERROR(__xludf.DUMMYFUNCTION("""COMPUTED_VALUE"""),45548.0)</f>
        <v>45548</v>
      </c>
      <c r="Q396" s="45">
        <f>IFERROR(__xludf.DUMMYFUNCTION("""COMPUTED_VALUE"""),45188.0)</f>
        <v>45188</v>
      </c>
      <c r="R396" s="45">
        <f>IFERROR(__xludf.DUMMYFUNCTION("""COMPUTED_VALUE"""),45548.0)</f>
        <v>45548</v>
      </c>
      <c r="S396" s="43"/>
      <c r="T396" s="43"/>
      <c r="U396" s="43" t="str">
        <f>IFERROR(__xludf.DUMMYFUNCTION("""COMPUTED_VALUE"""),"English Teacher ")</f>
        <v>English Teacher </v>
      </c>
      <c r="V396" s="43" t="str">
        <f>IFERROR(__xludf.DUMMYFUNCTION("""COMPUTED_VALUE"""),"ISLT")</f>
        <v>ISLT</v>
      </c>
      <c r="W396" s="43" t="str">
        <f>IFERROR(__xludf.DUMMYFUNCTION("""COMPUTED_VALUE"""),"2023-09-04T18:45:49Z")</f>
        <v>2023-09-04T18:45:49Z</v>
      </c>
      <c r="X396" s="43"/>
      <c r="Y396" s="43"/>
      <c r="Z396" s="43"/>
    </row>
    <row r="397" hidden="1">
      <c r="A397" s="43" t="str">
        <f>IFERROR(__xludf.DUMMYFUNCTION("""COMPUTED_VALUE"""),"5315960_1295980")</f>
        <v>5315960_1295980</v>
      </c>
      <c r="B397" s="43" t="str">
        <f>IFERROR(__xludf.DUMMYFUNCTION("""COMPUTED_VALUE"""),"Mariem Ben Haj Mhamed")</f>
        <v>Mariem Ben Haj Mhamed</v>
      </c>
      <c r="C397" s="43" t="str">
        <f>IFERROR(__xludf.DUMMYFUNCTION("""COMPUTED_VALUE"""),"realized")</f>
        <v>realized</v>
      </c>
      <c r="D397" s="43" t="str">
        <f>IFERROR(__xludf.DUMMYFUNCTION("""COMPUTED_VALUE"""),"No")</f>
        <v>No</v>
      </c>
      <c r="E397" s="43" t="str">
        <f>IFERROR(__xludf.DUMMYFUNCTION("""COMPUTED_VALUE"""),"p_015ec0655358bf7eb56a8cec5a840aaf0267b9b9@inbound.aiesec.org")</f>
        <v>p_015ec0655358bf7eb56a8cec5a840aaf0267b9b9@inbound.aiesec.org</v>
      </c>
      <c r="F397" s="43">
        <f>IFERROR(__xludf.DUMMYFUNCTION("""COMPUTED_VALUE"""),5.0079178E7)</f>
        <v>50079178</v>
      </c>
      <c r="G397" s="43" t="str">
        <f>IFERROR(__xludf.DUMMYFUNCTION("""COMPUTED_VALUE"""),"Tunisia")</f>
        <v>Tunisia</v>
      </c>
      <c r="H397" s="43" t="str">
        <f>IFERROR(__xludf.DUMMYFUNCTION("""COMPUTED_VALUE"""),"HADRUMET")</f>
        <v>HADRUMET</v>
      </c>
      <c r="I397" s="43" t="str">
        <f>IFERROR(__xludf.DUMMYFUNCTION("""COMPUTED_VALUE"""),"Turkey")</f>
        <v>Turkey</v>
      </c>
      <c r="J397" s="43" t="str">
        <f>IFERROR(__xludf.DUMMYFUNCTION("""COMPUTED_VALUE"""),"BURSA")</f>
        <v>BURSA</v>
      </c>
      <c r="K397" s="44" t="str">
        <f>IFERROR(__xludf.DUMMYFUNCTION("""COMPUTED_VALUE"""),"https://expa.aiesec.org/opportunities/1295980")</f>
        <v>https://expa.aiesec.org/opportunities/1295980</v>
      </c>
      <c r="L397" s="43" t="str">
        <f>IFERROR(__xludf.DUMMYFUNCTION("""COMPUTED_VALUE"""),"GTe")</f>
        <v>GTe</v>
      </c>
      <c r="M397" s="43" t="str">
        <f>IFERROR(__xludf.DUMMYFUNCTION("""COMPUTED_VALUE"""),"long")</f>
        <v>long</v>
      </c>
      <c r="N397" s="45">
        <f>IFERROR(__xludf.DUMMYFUNCTION("""COMPUTED_VALUE"""),45175.0)</f>
        <v>45175</v>
      </c>
      <c r="O397" s="45">
        <f>IFERROR(__xludf.DUMMYFUNCTION("""COMPUTED_VALUE"""),45185.0)</f>
        <v>45185</v>
      </c>
      <c r="P397" s="45">
        <f>IFERROR(__xludf.DUMMYFUNCTION("""COMPUTED_VALUE"""),45474.0)</f>
        <v>45474</v>
      </c>
      <c r="Q397" s="45">
        <f>IFERROR(__xludf.DUMMYFUNCTION("""COMPUTED_VALUE"""),45188.0)</f>
        <v>45188</v>
      </c>
      <c r="R397" s="45">
        <f>IFERROR(__xludf.DUMMYFUNCTION("""COMPUTED_VALUE"""),45475.0)</f>
        <v>45475</v>
      </c>
      <c r="S397" s="43"/>
      <c r="T397" s="43"/>
      <c r="U397" s="43" t="str">
        <f>IFERROR(__xludf.DUMMYFUNCTION("""COMPUTED_VALUE"""),"English Teacher")</f>
        <v>English Teacher</v>
      </c>
      <c r="V397" s="43" t="str">
        <f>IFERROR(__xludf.DUMMYFUNCTION("""COMPUTED_VALUE"""),"FLSH Sousse")</f>
        <v>FLSH Sousse</v>
      </c>
      <c r="W397" s="43" t="str">
        <f>IFERROR(__xludf.DUMMYFUNCTION("""COMPUTED_VALUE"""),"2023-09-01T07:55:14Z")</f>
        <v>2023-09-01T07:55:14Z</v>
      </c>
      <c r="X397" s="43"/>
      <c r="Y397" s="43"/>
      <c r="Z397" s="43"/>
    </row>
    <row r="398" hidden="1">
      <c r="A398" s="43" t="str">
        <f>IFERROR(__xludf.DUMMYFUNCTION("""COMPUTED_VALUE"""),"4736833_1293407")</f>
        <v>4736833_1293407</v>
      </c>
      <c r="B398" s="43" t="str">
        <f>IFERROR(__xludf.DUMMYFUNCTION("""COMPUTED_VALUE"""),"Toqqa Abdelaziz")</f>
        <v>Toqqa Abdelaziz</v>
      </c>
      <c r="C398" s="43" t="str">
        <f>IFERROR(__xludf.DUMMYFUNCTION("""COMPUTED_VALUE"""),"approved")</f>
        <v>approved</v>
      </c>
      <c r="D398" s="43" t="str">
        <f>IFERROR(__xludf.DUMMYFUNCTION("""COMPUTED_VALUE"""),"No")</f>
        <v>No</v>
      </c>
      <c r="E398" s="43" t="str">
        <f>IFERROR(__xludf.DUMMYFUNCTION("""COMPUTED_VALUE"""),"p_f4ddeea8eff9aaa40bd580e51449ca58b51d5dd8@inbound.aiesec.org")</f>
        <v>p_f4ddeea8eff9aaa40bd580e51449ca58b51d5dd8@inbound.aiesec.org</v>
      </c>
      <c r="F398" s="43">
        <f>IFERROR(__xludf.DUMMYFUNCTION("""COMPUTED_VALUE"""),1.006891183E9)</f>
        <v>1006891183</v>
      </c>
      <c r="G398" s="43" t="str">
        <f>IFERROR(__xludf.DUMMYFUNCTION("""COMPUTED_VALUE"""),"Egypt")</f>
        <v>Egypt</v>
      </c>
      <c r="H398" s="43" t="str">
        <f>IFERROR(__xludf.DUMMYFUNCTION("""COMPUTED_VALUE"""),"Ain Shams University")</f>
        <v>Ain Shams University</v>
      </c>
      <c r="I398" s="43" t="str">
        <f>IFERROR(__xludf.DUMMYFUNCTION("""COMPUTED_VALUE"""),"Turkey")</f>
        <v>Turkey</v>
      </c>
      <c r="J398" s="43" t="str">
        <f>IFERROR(__xludf.DUMMYFUNCTION("""COMPUTED_VALUE"""),"ISTANBUL ASIA")</f>
        <v>ISTANBUL ASIA</v>
      </c>
      <c r="K398" s="44" t="str">
        <f>IFERROR(__xludf.DUMMYFUNCTION("""COMPUTED_VALUE"""),"https://expa.aiesec.org/opportunities/1293407")</f>
        <v>https://expa.aiesec.org/opportunities/1293407</v>
      </c>
      <c r="L398" s="43" t="str">
        <f>IFERROR(__xludf.DUMMYFUNCTION("""COMPUTED_VALUE"""),"GTe")</f>
        <v>GTe</v>
      </c>
      <c r="M398" s="43" t="str">
        <f>IFERROR(__xludf.DUMMYFUNCTION("""COMPUTED_VALUE"""),"long")</f>
        <v>long</v>
      </c>
      <c r="N398" s="45">
        <f>IFERROR(__xludf.DUMMYFUNCTION("""COMPUTED_VALUE"""),45178.0)</f>
        <v>45178</v>
      </c>
      <c r="O398" s="45">
        <f>IFERROR(__xludf.DUMMYFUNCTION("""COMPUTED_VALUE"""),45180.0)</f>
        <v>45180</v>
      </c>
      <c r="P398" s="45">
        <f>IFERROR(__xludf.DUMMYFUNCTION("""COMPUTED_VALUE"""),45541.0)</f>
        <v>45541</v>
      </c>
      <c r="Q398" s="45"/>
      <c r="R398" s="45"/>
      <c r="S398" s="43"/>
      <c r="T398" s="43"/>
      <c r="U398" s="43" t="str">
        <f>IFERROR(__xludf.DUMMYFUNCTION("""COMPUTED_VALUE"""),"English Teacher ")</f>
        <v>English Teacher </v>
      </c>
      <c r="V398" s="43" t="str">
        <f>IFERROR(__xludf.DUMMYFUNCTION("""COMPUTED_VALUE"""),"Ain Shams University")</f>
        <v>Ain Shams University</v>
      </c>
      <c r="W398" s="43" t="str">
        <f>IFERROR(__xludf.DUMMYFUNCTION("""COMPUTED_VALUE"""),"2021-09-14T10:38:26Z")</f>
        <v>2021-09-14T10:38:26Z</v>
      </c>
      <c r="X398" s="43"/>
      <c r="Y398" s="43"/>
      <c r="Z398" s="43"/>
    </row>
    <row r="399" hidden="1">
      <c r="A399" s="43" t="str">
        <f>IFERROR(__xludf.DUMMYFUNCTION("""COMPUTED_VALUE"""),"5320939_1295514")</f>
        <v>5320939_1295514</v>
      </c>
      <c r="B399" s="43" t="str">
        <f>IFERROR(__xludf.DUMMYFUNCTION("""COMPUTED_VALUE"""),"Zahra Belkhiria")</f>
        <v>Zahra Belkhiria</v>
      </c>
      <c r="C399" s="43" t="str">
        <f>IFERROR(__xludf.DUMMYFUNCTION("""COMPUTED_VALUE"""),"realized")</f>
        <v>realized</v>
      </c>
      <c r="D399" s="43" t="str">
        <f>IFERROR(__xludf.DUMMYFUNCTION("""COMPUTED_VALUE"""),"No")</f>
        <v>No</v>
      </c>
      <c r="E399" s="43" t="str">
        <f>IFERROR(__xludf.DUMMYFUNCTION("""COMPUTED_VALUE"""),"p_497a1b22aa41cf1c04908b77d320695217df25c1@inbound.aiesec.org")</f>
        <v>p_497a1b22aa41cf1c04908b77d320695217df25c1@inbound.aiesec.org</v>
      </c>
      <c r="F399" s="43">
        <f>IFERROR(__xludf.DUMMYFUNCTION("""COMPUTED_VALUE"""),9.928971E7)</f>
        <v>99289710</v>
      </c>
      <c r="G399" s="43" t="str">
        <f>IFERROR(__xludf.DUMMYFUNCTION("""COMPUTED_VALUE"""),"Tunisia")</f>
        <v>Tunisia</v>
      </c>
      <c r="H399" s="43" t="str">
        <f>IFERROR(__xludf.DUMMYFUNCTION("""COMPUTED_VALUE"""),"RUSPINA")</f>
        <v>RUSPINA</v>
      </c>
      <c r="I399" s="43" t="str">
        <f>IFERROR(__xludf.DUMMYFUNCTION("""COMPUTED_VALUE"""),"Turkey")</f>
        <v>Turkey</v>
      </c>
      <c r="J399" s="43" t="str">
        <f>IFERROR(__xludf.DUMMYFUNCTION("""COMPUTED_VALUE"""),"GAZIANTEP")</f>
        <v>GAZIANTEP</v>
      </c>
      <c r="K399" s="44" t="str">
        <f>IFERROR(__xludf.DUMMYFUNCTION("""COMPUTED_VALUE"""),"https://expa.aiesec.org/opportunities/1295514")</f>
        <v>https://expa.aiesec.org/opportunities/1295514</v>
      </c>
      <c r="L399" s="43" t="str">
        <f>IFERROR(__xludf.DUMMYFUNCTION("""COMPUTED_VALUE"""),"GTe")</f>
        <v>GTe</v>
      </c>
      <c r="M399" s="43" t="str">
        <f>IFERROR(__xludf.DUMMYFUNCTION("""COMPUTED_VALUE"""),"long")</f>
        <v>long</v>
      </c>
      <c r="N399" s="45">
        <f>IFERROR(__xludf.DUMMYFUNCTION("""COMPUTED_VALUE"""),45178.0)</f>
        <v>45178</v>
      </c>
      <c r="O399" s="45">
        <f>IFERROR(__xludf.DUMMYFUNCTION("""COMPUTED_VALUE"""),45192.0)</f>
        <v>45192</v>
      </c>
      <c r="P399" s="45">
        <f>IFERROR(__xludf.DUMMYFUNCTION("""COMPUTED_VALUE"""),45557.0)</f>
        <v>45557</v>
      </c>
      <c r="Q399" s="45">
        <f>IFERROR(__xludf.DUMMYFUNCTION("""COMPUTED_VALUE"""),45181.0)</f>
        <v>45181</v>
      </c>
      <c r="R399" s="45">
        <f>IFERROR(__xludf.DUMMYFUNCTION("""COMPUTED_VALUE"""),45557.0)</f>
        <v>45557</v>
      </c>
      <c r="S399" s="43"/>
      <c r="T399" s="43"/>
      <c r="U399" s="43" t="str">
        <f>IFERROR(__xludf.DUMMYFUNCTION("""COMPUTED_VALUE"""),"English Teacher")</f>
        <v>English Teacher</v>
      </c>
      <c r="V399" s="43" t="str">
        <f>IFERROR(__xludf.DUMMYFUNCTION("""COMPUTED_VALUE"""),"ISLAA Moknine")</f>
        <v>ISLAA Moknine</v>
      </c>
      <c r="W399" s="43" t="str">
        <f>IFERROR(__xludf.DUMMYFUNCTION("""COMPUTED_VALUE"""),"2023-09-09T19:42:48Z")</f>
        <v>2023-09-09T19:42:48Z</v>
      </c>
      <c r="X399" s="43"/>
      <c r="Y399" s="43"/>
      <c r="Z399" s="43"/>
    </row>
    <row r="400" hidden="1">
      <c r="A400" s="43" t="str">
        <f>IFERROR(__xludf.DUMMYFUNCTION("""COMPUTED_VALUE"""),"5083527_1298235")</f>
        <v>5083527_1298235</v>
      </c>
      <c r="B400" s="43" t="str">
        <f>IFERROR(__xludf.DUMMYFUNCTION("""COMPUTED_VALUE"""),"Ines Aoudia")</f>
        <v>Ines Aoudia</v>
      </c>
      <c r="C400" s="43" t="str">
        <f>IFERROR(__xludf.DUMMYFUNCTION("""COMPUTED_VALUE"""),"approved")</f>
        <v>approved</v>
      </c>
      <c r="D400" s="43" t="str">
        <f>IFERROR(__xludf.DUMMYFUNCTION("""COMPUTED_VALUE"""),"No")</f>
        <v>No</v>
      </c>
      <c r="E400" s="43" t="str">
        <f>IFERROR(__xludf.DUMMYFUNCTION("""COMPUTED_VALUE"""),"p_103e399d3daa6748c9dd2343a56af4fb9899ad16@inbound.aiesec.org")</f>
        <v>p_103e399d3daa6748c9dd2343a56af4fb9899ad16@inbound.aiesec.org</v>
      </c>
      <c r="F400" s="43">
        <f>IFERROR(__xludf.DUMMYFUNCTION("""COMPUTED_VALUE"""),6.97534565E8)</f>
        <v>697534565</v>
      </c>
      <c r="G400" s="43" t="str">
        <f>IFERROR(__xludf.DUMMYFUNCTION("""COMPUTED_VALUE"""),"Algeria")</f>
        <v>Algeria</v>
      </c>
      <c r="H400" s="43" t="str">
        <f>IFERROR(__xludf.DUMMYFUNCTION("""COMPUTED_VALUE"""),"Benak")</f>
        <v>Benak</v>
      </c>
      <c r="I400" s="43" t="str">
        <f>IFERROR(__xludf.DUMMYFUNCTION("""COMPUTED_VALUE"""),"Turkey")</f>
        <v>Turkey</v>
      </c>
      <c r="J400" s="43" t="str">
        <f>IFERROR(__xludf.DUMMYFUNCTION("""COMPUTED_VALUE"""),"İZMİR")</f>
        <v>İZMİR</v>
      </c>
      <c r="K400" s="44" t="str">
        <f>IFERROR(__xludf.DUMMYFUNCTION("""COMPUTED_VALUE"""),"https://expa.aiesec.org/opportunities/1298235")</f>
        <v>https://expa.aiesec.org/opportunities/1298235</v>
      </c>
      <c r="L400" s="43" t="str">
        <f>IFERROR(__xludf.DUMMYFUNCTION("""COMPUTED_VALUE"""),"GTe")</f>
        <v>GTe</v>
      </c>
      <c r="M400" s="43" t="str">
        <f>IFERROR(__xludf.DUMMYFUNCTION("""COMPUTED_VALUE"""),"long")</f>
        <v>long</v>
      </c>
      <c r="N400" s="45">
        <f>IFERROR(__xludf.DUMMYFUNCTION("""COMPUTED_VALUE"""),45179.0)</f>
        <v>45179</v>
      </c>
      <c r="O400" s="45">
        <f>IFERROR(__xludf.DUMMYFUNCTION("""COMPUTED_VALUE"""),45199.0)</f>
        <v>45199</v>
      </c>
      <c r="P400" s="45">
        <f>IFERROR(__xludf.DUMMYFUNCTION("""COMPUTED_VALUE"""),45473.0)</f>
        <v>45473</v>
      </c>
      <c r="Q400" s="45"/>
      <c r="R400" s="45"/>
      <c r="S400" s="43"/>
      <c r="T400" s="43"/>
      <c r="U400" s="43" t="str">
        <f>IFERROR(__xludf.DUMMYFUNCTION("""COMPUTED_VALUE"""),"Language Teacher")</f>
        <v>Language Teacher</v>
      </c>
      <c r="V400" s="43" t="str">
        <f>IFERROR(__xludf.DUMMYFUNCTION("""COMPUTED_VALUE"""),"AIESEC in Benak")</f>
        <v>AIESEC in Benak</v>
      </c>
      <c r="W400" s="43" t="str">
        <f>IFERROR(__xludf.DUMMYFUNCTION("""COMPUTED_VALUE"""),"2022-07-17T22:45:38Z")</f>
        <v>2022-07-17T22:45:38Z</v>
      </c>
      <c r="X400" s="43"/>
      <c r="Y400" s="43"/>
      <c r="Z400" s="43"/>
    </row>
    <row r="401" hidden="1">
      <c r="A401" s="43" t="str">
        <f>IFERROR(__xludf.DUMMYFUNCTION("""COMPUTED_VALUE"""),"5211720_1297606")</f>
        <v>5211720_1297606</v>
      </c>
      <c r="B401" s="43" t="str">
        <f>IFERROR(__xludf.DUMMYFUNCTION("""COMPUTED_VALUE"""),"Amaney Hamdey")</f>
        <v>Amaney Hamdey</v>
      </c>
      <c r="C401" s="43" t="str">
        <f>IFERROR(__xludf.DUMMYFUNCTION("""COMPUTED_VALUE"""),"realized")</f>
        <v>realized</v>
      </c>
      <c r="D401" s="43" t="str">
        <f>IFERROR(__xludf.DUMMYFUNCTION("""COMPUTED_VALUE"""),"No")</f>
        <v>No</v>
      </c>
      <c r="E401" s="43" t="str">
        <f>IFERROR(__xludf.DUMMYFUNCTION("""COMPUTED_VALUE"""),"p_1b83f8b07eed25be71a59d4fe6fd4958ef509788@inbound.aiesec.org")</f>
        <v>p_1b83f8b07eed25be71a59d4fe6fd4958ef509788@inbound.aiesec.org</v>
      </c>
      <c r="F401" s="43">
        <f>IFERROR(__xludf.DUMMYFUNCTION("""COMPUTED_VALUE"""),1.025796173E9)</f>
        <v>1025796173</v>
      </c>
      <c r="G401" s="43" t="str">
        <f>IFERROR(__xludf.DUMMYFUNCTION("""COMPUTED_VALUE"""),"Egypt")</f>
        <v>Egypt</v>
      </c>
      <c r="H401" s="43" t="str">
        <f>IFERROR(__xludf.DUMMYFUNCTION("""COMPUTED_VALUE"""),"Cairo University")</f>
        <v>Cairo University</v>
      </c>
      <c r="I401" s="43" t="str">
        <f>IFERROR(__xludf.DUMMYFUNCTION("""COMPUTED_VALUE"""),"Turkey")</f>
        <v>Turkey</v>
      </c>
      <c r="J401" s="43" t="str">
        <f>IFERROR(__xludf.DUMMYFUNCTION("""COMPUTED_VALUE"""),"BURSA")</f>
        <v>BURSA</v>
      </c>
      <c r="K401" s="44" t="str">
        <f>IFERROR(__xludf.DUMMYFUNCTION("""COMPUTED_VALUE"""),"https://expa.aiesec.org/opportunities/1297606")</f>
        <v>https://expa.aiesec.org/opportunities/1297606</v>
      </c>
      <c r="L401" s="43" t="str">
        <f>IFERROR(__xludf.DUMMYFUNCTION("""COMPUTED_VALUE"""),"GTe")</f>
        <v>GTe</v>
      </c>
      <c r="M401" s="43" t="str">
        <f>IFERROR(__xludf.DUMMYFUNCTION("""COMPUTED_VALUE"""),"long")</f>
        <v>long</v>
      </c>
      <c r="N401" s="45">
        <f>IFERROR(__xludf.DUMMYFUNCTION("""COMPUTED_VALUE"""),45179.0)</f>
        <v>45179</v>
      </c>
      <c r="O401" s="45">
        <f>IFERROR(__xludf.DUMMYFUNCTION("""COMPUTED_VALUE"""),45205.0)</f>
        <v>45205</v>
      </c>
      <c r="P401" s="45">
        <f>IFERROR(__xludf.DUMMYFUNCTION("""COMPUTED_VALUE"""),45571.0)</f>
        <v>45571</v>
      </c>
      <c r="Q401" s="45">
        <f>IFERROR(__xludf.DUMMYFUNCTION("""COMPUTED_VALUE"""),45231.0)</f>
        <v>45231</v>
      </c>
      <c r="R401" s="45">
        <f>IFERROR(__xludf.DUMMYFUNCTION("""COMPUTED_VALUE"""),45597.0)</f>
        <v>45597</v>
      </c>
      <c r="S401" s="43"/>
      <c r="T401" s="43"/>
      <c r="U401" s="43" t="str">
        <f>IFERROR(__xludf.DUMMYFUNCTION("""COMPUTED_VALUE"""),"ENGLISH TEACHER")</f>
        <v>ENGLISH TEACHER</v>
      </c>
      <c r="V401" s="43" t="str">
        <f>IFERROR(__xludf.DUMMYFUNCTION("""COMPUTED_VALUE"""),"Cairo Univeristy")</f>
        <v>Cairo Univeristy</v>
      </c>
      <c r="W401" s="43" t="str">
        <f>IFERROR(__xludf.DUMMYFUNCTION("""COMPUTED_VALUE"""),"2023-03-10T07:53:33Z")</f>
        <v>2023-03-10T07:53:33Z</v>
      </c>
      <c r="X401" s="43"/>
      <c r="Y401" s="43"/>
      <c r="Z401" s="43"/>
    </row>
    <row r="402" hidden="1">
      <c r="A402" s="43" t="str">
        <f>IFERROR(__xludf.DUMMYFUNCTION("""COMPUTED_VALUE"""),"5278373_1295982")</f>
        <v>5278373_1295982</v>
      </c>
      <c r="B402" s="43" t="str">
        <f>IFERROR(__xludf.DUMMYFUNCTION("""COMPUTED_VALUE"""),"souad djebari")</f>
        <v>souad djebari</v>
      </c>
      <c r="C402" s="43" t="str">
        <f>IFERROR(__xludf.DUMMYFUNCTION("""COMPUTED_VALUE"""),"realized")</f>
        <v>realized</v>
      </c>
      <c r="D402" s="43" t="str">
        <f>IFERROR(__xludf.DUMMYFUNCTION("""COMPUTED_VALUE"""),"No")</f>
        <v>No</v>
      </c>
      <c r="E402" s="43" t="str">
        <f>IFERROR(__xludf.DUMMYFUNCTION("""COMPUTED_VALUE"""),"p_d41552fb044df595d0ff41a4b4ad741d46888f8f@inbound.aiesec.org")</f>
        <v>p_d41552fb044df595d0ff41a4b4ad741d46888f8f@inbound.aiesec.org</v>
      </c>
      <c r="F402" s="43">
        <f>IFERROR(__xludf.DUMMYFUNCTION("""COMPUTED_VALUE"""),5.57343998E8)</f>
        <v>557343998</v>
      </c>
      <c r="G402" s="43" t="str">
        <f>IFERROR(__xludf.DUMMYFUNCTION("""COMPUTED_VALUE"""),"Algeria")</f>
        <v>Algeria</v>
      </c>
      <c r="H402" s="43" t="str">
        <f>IFERROR(__xludf.DUMMYFUNCTION("""COMPUTED_VALUE"""),"Blida")</f>
        <v>Blida</v>
      </c>
      <c r="I402" s="43" t="str">
        <f>IFERROR(__xludf.DUMMYFUNCTION("""COMPUTED_VALUE"""),"Turkey")</f>
        <v>Turkey</v>
      </c>
      <c r="J402" s="43" t="str">
        <f>IFERROR(__xludf.DUMMYFUNCTION("""COMPUTED_VALUE"""),"BURSA")</f>
        <v>BURSA</v>
      </c>
      <c r="K402" s="44" t="str">
        <f>IFERROR(__xludf.DUMMYFUNCTION("""COMPUTED_VALUE"""),"https://expa.aiesec.org/opportunities/1295982")</f>
        <v>https://expa.aiesec.org/opportunities/1295982</v>
      </c>
      <c r="L402" s="43" t="str">
        <f>IFERROR(__xludf.DUMMYFUNCTION("""COMPUTED_VALUE"""),"GTe")</f>
        <v>GTe</v>
      </c>
      <c r="M402" s="43" t="str">
        <f>IFERROR(__xludf.DUMMYFUNCTION("""COMPUTED_VALUE"""),"long")</f>
        <v>long</v>
      </c>
      <c r="N402" s="45">
        <f>IFERROR(__xludf.DUMMYFUNCTION("""COMPUTED_VALUE"""),45179.0)</f>
        <v>45179</v>
      </c>
      <c r="O402" s="45">
        <f>IFERROR(__xludf.DUMMYFUNCTION("""COMPUTED_VALUE"""),45179.0)</f>
        <v>45179</v>
      </c>
      <c r="P402" s="45">
        <f>IFERROR(__xludf.DUMMYFUNCTION("""COMPUTED_VALUE"""),45483.0)</f>
        <v>45483</v>
      </c>
      <c r="Q402" s="45">
        <f>IFERROR(__xludf.DUMMYFUNCTION("""COMPUTED_VALUE"""),45197.0)</f>
        <v>45197</v>
      </c>
      <c r="R402" s="45">
        <f>IFERROR(__xludf.DUMMYFUNCTION("""COMPUTED_VALUE"""),45501.0)</f>
        <v>45501</v>
      </c>
      <c r="S402" s="43"/>
      <c r="T402" s="43"/>
      <c r="U402" s="43" t="str">
        <f>IFERROR(__xludf.DUMMYFUNCTION("""COMPUTED_VALUE"""),"English Teacher")</f>
        <v>English Teacher</v>
      </c>
      <c r="V402" s="43" t="str">
        <f>IFERROR(__xludf.DUMMYFUNCTION("""COMPUTED_VALUE"""),"AIESEC in Blida")</f>
        <v>AIESEC in Blida</v>
      </c>
      <c r="W402" s="43" t="str">
        <f>IFERROR(__xludf.DUMMYFUNCTION("""COMPUTED_VALUE"""),"2023-06-22T14:43:42Z")</f>
        <v>2023-06-22T14:43:42Z</v>
      </c>
      <c r="X402" s="43"/>
      <c r="Y402" s="43"/>
      <c r="Z402" s="43"/>
    </row>
    <row r="403" hidden="1">
      <c r="A403" s="43" t="str">
        <f>IFERROR(__xludf.DUMMYFUNCTION("""COMPUTED_VALUE"""),"5288909_1289296")</f>
        <v>5288909_1289296</v>
      </c>
      <c r="B403" s="43" t="str">
        <f>IFERROR(__xludf.DUMMYFUNCTION("""COMPUTED_VALUE"""),"ZHANSAYA OMIRZAK")</f>
        <v>ZHANSAYA OMIRZAK</v>
      </c>
      <c r="C403" s="43" t="str">
        <f>IFERROR(__xludf.DUMMYFUNCTION("""COMPUTED_VALUE"""),"realized")</f>
        <v>realized</v>
      </c>
      <c r="D403" s="43" t="str">
        <f>IFERROR(__xludf.DUMMYFUNCTION("""COMPUTED_VALUE"""),"No")</f>
        <v>No</v>
      </c>
      <c r="E403" s="43" t="str">
        <f>IFERROR(__xludf.DUMMYFUNCTION("""COMPUTED_VALUE"""),"p_2e90e38163e792617d9dec41a558d6b703007766@inbound.aiesec.org")</f>
        <v>p_2e90e38163e792617d9dec41a558d6b703007766@inbound.aiesec.org</v>
      </c>
      <c r="F403" s="43">
        <f>IFERROR(__xludf.DUMMYFUNCTION("""COMPUTED_VALUE"""),7.47545485E9)</f>
        <v>7475454850</v>
      </c>
      <c r="G403" s="43" t="str">
        <f>IFERROR(__xludf.DUMMYFUNCTION("""COMPUTED_VALUE"""),"Kazakhstan")</f>
        <v>Kazakhstan</v>
      </c>
      <c r="H403" s="43" t="str">
        <f>IFERROR(__xludf.DUMMYFUNCTION("""COMPUTED_VALUE"""),"ALMATY")</f>
        <v>ALMATY</v>
      </c>
      <c r="I403" s="43" t="str">
        <f>IFERROR(__xludf.DUMMYFUNCTION("""COMPUTED_VALUE"""),"Turkey")</f>
        <v>Turkey</v>
      </c>
      <c r="J403" s="43" t="str">
        <f>IFERROR(__xludf.DUMMYFUNCTION("""COMPUTED_VALUE"""),"İZMİR")</f>
        <v>İZMİR</v>
      </c>
      <c r="K403" s="44" t="str">
        <f>IFERROR(__xludf.DUMMYFUNCTION("""COMPUTED_VALUE"""),"https://expa.aiesec.org/opportunities/1289296")</f>
        <v>https://expa.aiesec.org/opportunities/1289296</v>
      </c>
      <c r="L403" s="43" t="str">
        <f>IFERROR(__xludf.DUMMYFUNCTION("""COMPUTED_VALUE"""),"GTe")</f>
        <v>GTe</v>
      </c>
      <c r="M403" s="43" t="str">
        <f>IFERROR(__xludf.DUMMYFUNCTION("""COMPUTED_VALUE"""),"long")</f>
        <v>long</v>
      </c>
      <c r="N403" s="45">
        <f>IFERROR(__xludf.DUMMYFUNCTION("""COMPUTED_VALUE"""),45180.0)</f>
        <v>45180</v>
      </c>
      <c r="O403" s="45">
        <f>IFERROR(__xludf.DUMMYFUNCTION("""COMPUTED_VALUE"""),45199.0)</f>
        <v>45199</v>
      </c>
      <c r="P403" s="45">
        <f>IFERROR(__xludf.DUMMYFUNCTION("""COMPUTED_VALUE"""),45564.0)</f>
        <v>45564</v>
      </c>
      <c r="Q403" s="45">
        <f>IFERROR(__xludf.DUMMYFUNCTION("""COMPUTED_VALUE"""),45193.0)</f>
        <v>45193</v>
      </c>
      <c r="R403" s="45">
        <f>IFERROR(__xludf.DUMMYFUNCTION("""COMPUTED_VALUE"""),45564.0)</f>
        <v>45564</v>
      </c>
      <c r="S403" s="43"/>
      <c r="T403" s="43"/>
      <c r="U403" s="43" t="str">
        <f>IFERROR(__xludf.DUMMYFUNCTION("""COMPUTED_VALUE"""),"English Teacher in Kindergarten, Izmir")</f>
        <v>English Teacher in Kindergarten, Izmir</v>
      </c>
      <c r="V403" s="43" t="str">
        <f>IFERROR(__xludf.DUMMYFUNCTION("""COMPUTED_VALUE"""),"Almaty")</f>
        <v>Almaty</v>
      </c>
      <c r="W403" s="43" t="str">
        <f>IFERROR(__xludf.DUMMYFUNCTION("""COMPUTED_VALUE"""),"2023-07-24T17:44:18Z")</f>
        <v>2023-07-24T17:44:18Z</v>
      </c>
      <c r="X403" s="43"/>
      <c r="Y403" s="43"/>
      <c r="Z403" s="43"/>
    </row>
    <row r="404" hidden="1">
      <c r="A404" s="43" t="str">
        <f>IFERROR(__xludf.DUMMYFUNCTION("""COMPUTED_VALUE"""),"3519704_1297132")</f>
        <v>3519704_1297132</v>
      </c>
      <c r="B404" s="43" t="str">
        <f>IFERROR(__xludf.DUMMYFUNCTION("""COMPUTED_VALUE"""),"amamou rania")</f>
        <v>amamou rania</v>
      </c>
      <c r="C404" s="43" t="str">
        <f>IFERROR(__xludf.DUMMYFUNCTION("""COMPUTED_VALUE"""),"realized")</f>
        <v>realized</v>
      </c>
      <c r="D404" s="43" t="str">
        <f>IFERROR(__xludf.DUMMYFUNCTION("""COMPUTED_VALUE"""),"No")</f>
        <v>No</v>
      </c>
      <c r="E404" s="43" t="str">
        <f>IFERROR(__xludf.DUMMYFUNCTION("""COMPUTED_VALUE"""),"p_b3ce41142aef74fdbfe603375789a685cf2d9e6e@inbound.aiesec.org")</f>
        <v>p_b3ce41142aef74fdbfe603375789a685cf2d9e6e@inbound.aiesec.org</v>
      </c>
      <c r="F404" s="43">
        <f>IFERROR(__xludf.DUMMYFUNCTION("""COMPUTED_VALUE"""),9.5322117E7)</f>
        <v>95322117</v>
      </c>
      <c r="G404" s="43" t="str">
        <f>IFERROR(__xludf.DUMMYFUNCTION("""COMPUTED_VALUE"""),"Tunisia")</f>
        <v>Tunisia</v>
      </c>
      <c r="H404" s="43" t="str">
        <f>IFERROR(__xludf.DUMMYFUNCTION("""COMPUTED_VALUE"""),"HADRUMET")</f>
        <v>HADRUMET</v>
      </c>
      <c r="I404" s="43" t="str">
        <f>IFERROR(__xludf.DUMMYFUNCTION("""COMPUTED_VALUE"""),"Turkey")</f>
        <v>Turkey</v>
      </c>
      <c r="J404" s="43" t="str">
        <f>IFERROR(__xludf.DUMMYFUNCTION("""COMPUTED_VALUE"""),"KOCAELI")</f>
        <v>KOCAELI</v>
      </c>
      <c r="K404" s="44" t="str">
        <f>IFERROR(__xludf.DUMMYFUNCTION("""COMPUTED_VALUE"""),"https://expa.aiesec.org/opportunities/1297132")</f>
        <v>https://expa.aiesec.org/opportunities/1297132</v>
      </c>
      <c r="L404" s="43" t="str">
        <f>IFERROR(__xludf.DUMMYFUNCTION("""COMPUTED_VALUE"""),"GTe")</f>
        <v>GTe</v>
      </c>
      <c r="M404" s="43" t="str">
        <f>IFERROR(__xludf.DUMMYFUNCTION("""COMPUTED_VALUE"""),"long")</f>
        <v>long</v>
      </c>
      <c r="N404" s="45">
        <f>IFERROR(__xludf.DUMMYFUNCTION("""COMPUTED_VALUE"""),45181.0)</f>
        <v>45181</v>
      </c>
      <c r="O404" s="45">
        <f>IFERROR(__xludf.DUMMYFUNCTION("""COMPUTED_VALUE"""),45194.0)</f>
        <v>45194</v>
      </c>
      <c r="P404" s="45">
        <f>IFERROR(__xludf.DUMMYFUNCTION("""COMPUTED_VALUE"""),45452.0)</f>
        <v>45452</v>
      </c>
      <c r="Q404" s="45">
        <f>IFERROR(__xludf.DUMMYFUNCTION("""COMPUTED_VALUE"""),45189.0)</f>
        <v>45189</v>
      </c>
      <c r="R404" s="45">
        <f>IFERROR(__xludf.DUMMYFUNCTION("""COMPUTED_VALUE"""),45452.0)</f>
        <v>45452</v>
      </c>
      <c r="S404" s="43"/>
      <c r="T404" s="43"/>
      <c r="U404" s="43" t="str">
        <f>IFERROR(__xludf.DUMMYFUNCTION("""COMPUTED_VALUE"""),"English Teacher in Üstün Başarı Collage")</f>
        <v>English Teacher in Üstün Başarı Collage</v>
      </c>
      <c r="V404" s="43" t="str">
        <f>IFERROR(__xludf.DUMMYFUNCTION("""COMPUTED_VALUE"""),"-")</f>
        <v>-</v>
      </c>
      <c r="W404" s="43" t="str">
        <f>IFERROR(__xludf.DUMMYFUNCTION("""COMPUTED_VALUE"""),"2019-06-10T17:05:23Z")</f>
        <v>2019-06-10T17:05:23Z</v>
      </c>
      <c r="X404" s="43"/>
      <c r="Y404" s="43"/>
      <c r="Z404" s="43"/>
    </row>
    <row r="405" hidden="1">
      <c r="A405" s="43" t="str">
        <f>IFERROR(__xludf.DUMMYFUNCTION("""COMPUTED_VALUE"""),"3737071_1295566")</f>
        <v>3737071_1295566</v>
      </c>
      <c r="B405" s="43" t="str">
        <f>IFERROR(__xludf.DUMMYFUNCTION("""COMPUTED_VALUE"""),"Mohamed Amine Benhmida")</f>
        <v>Mohamed Amine Benhmida</v>
      </c>
      <c r="C405" s="43" t="str">
        <f>IFERROR(__xludf.DUMMYFUNCTION("""COMPUTED_VALUE"""),"realized")</f>
        <v>realized</v>
      </c>
      <c r="D405" s="43" t="str">
        <f>IFERROR(__xludf.DUMMYFUNCTION("""COMPUTED_VALUE"""),"No")</f>
        <v>No</v>
      </c>
      <c r="E405" s="43" t="str">
        <f>IFERROR(__xludf.DUMMYFUNCTION("""COMPUTED_VALUE"""),"p_4de851150153806bf43be6150bfd3b8af728e833@inbound.aiesec.org")</f>
        <v>p_4de851150153806bf43be6150bfd3b8af728e833@inbound.aiesec.org</v>
      </c>
      <c r="F405" s="43"/>
      <c r="G405" s="43" t="str">
        <f>IFERROR(__xludf.DUMMYFUNCTION("""COMPUTED_VALUE"""),"Tunisia")</f>
        <v>Tunisia</v>
      </c>
      <c r="H405" s="43" t="str">
        <f>IFERROR(__xludf.DUMMYFUNCTION("""COMPUTED_VALUE"""),"RUSPINA")</f>
        <v>RUSPINA</v>
      </c>
      <c r="I405" s="43" t="str">
        <f>IFERROR(__xludf.DUMMYFUNCTION("""COMPUTED_VALUE"""),"Turkey")</f>
        <v>Turkey</v>
      </c>
      <c r="J405" s="43" t="str">
        <f>IFERROR(__xludf.DUMMYFUNCTION("""COMPUTED_VALUE"""),"GAZIANTEP")</f>
        <v>GAZIANTEP</v>
      </c>
      <c r="K405" s="44" t="str">
        <f>IFERROR(__xludf.DUMMYFUNCTION("""COMPUTED_VALUE"""),"https://expa.aiesec.org/opportunities/1295566")</f>
        <v>https://expa.aiesec.org/opportunities/1295566</v>
      </c>
      <c r="L405" s="43" t="str">
        <f>IFERROR(__xludf.DUMMYFUNCTION("""COMPUTED_VALUE"""),"GTe")</f>
        <v>GTe</v>
      </c>
      <c r="M405" s="43" t="str">
        <f>IFERROR(__xludf.DUMMYFUNCTION("""COMPUTED_VALUE"""),"long")</f>
        <v>long</v>
      </c>
      <c r="N405" s="45">
        <f>IFERROR(__xludf.DUMMYFUNCTION("""COMPUTED_VALUE"""),45182.0)</f>
        <v>45182</v>
      </c>
      <c r="O405" s="45">
        <f>IFERROR(__xludf.DUMMYFUNCTION("""COMPUTED_VALUE"""),45190.0)</f>
        <v>45190</v>
      </c>
      <c r="P405" s="45">
        <f>IFERROR(__xludf.DUMMYFUNCTION("""COMPUTED_VALUE"""),45555.0)</f>
        <v>45555</v>
      </c>
      <c r="Q405" s="45">
        <f>IFERROR(__xludf.DUMMYFUNCTION("""COMPUTED_VALUE"""),45205.0)</f>
        <v>45205</v>
      </c>
      <c r="R405" s="45">
        <f>IFERROR(__xludf.DUMMYFUNCTION("""COMPUTED_VALUE"""),45570.0)</f>
        <v>45570</v>
      </c>
      <c r="S405" s="43"/>
      <c r="T405" s="43"/>
      <c r="U405" s="43" t="str">
        <f>IFERROR(__xludf.DUMMYFUNCTION("""COMPUTED_VALUE"""),"English Teacher")</f>
        <v>English Teacher</v>
      </c>
      <c r="V405" s="43" t="str">
        <f>IFERROR(__xludf.DUMMYFUNCTION("""COMPUTED_VALUE"""),"-")</f>
        <v>-</v>
      </c>
      <c r="W405" s="43" t="str">
        <f>IFERROR(__xludf.DUMMYFUNCTION("""COMPUTED_VALUE"""),"2019-08-03T20:22:20Z")</f>
        <v>2019-08-03T20:22:20Z</v>
      </c>
      <c r="X405" s="43"/>
      <c r="Y405" s="43"/>
      <c r="Z405" s="43"/>
    </row>
    <row r="406" hidden="1">
      <c r="A406" s="43" t="str">
        <f>IFERROR(__xludf.DUMMYFUNCTION("""COMPUTED_VALUE"""),"4148593_1291989")</f>
        <v>4148593_1291989</v>
      </c>
      <c r="B406" s="43" t="str">
        <f>IFERROR(__xludf.DUMMYFUNCTION("""COMPUTED_VALUE"""),"sarra mansouri")</f>
        <v>sarra mansouri</v>
      </c>
      <c r="C406" s="43" t="str">
        <f>IFERROR(__xludf.DUMMYFUNCTION("""COMPUTED_VALUE"""),"realized")</f>
        <v>realized</v>
      </c>
      <c r="D406" s="43" t="str">
        <f>IFERROR(__xludf.DUMMYFUNCTION("""COMPUTED_VALUE"""),"No")</f>
        <v>No</v>
      </c>
      <c r="E406" s="43" t="str">
        <f>IFERROR(__xludf.DUMMYFUNCTION("""COMPUTED_VALUE"""),"p_7d2ef7450241f6da5268c45b74aa2115593b562c@inbound.aiesec.org")</f>
        <v>p_7d2ef7450241f6da5268c45b74aa2115593b562c@inbound.aiesec.org</v>
      </c>
      <c r="F406" s="43">
        <f>IFERROR(__xludf.DUMMYFUNCTION("""COMPUTED_VALUE"""),5.2009584E7)</f>
        <v>52009584</v>
      </c>
      <c r="G406" s="43" t="str">
        <f>IFERROR(__xludf.DUMMYFUNCTION("""COMPUTED_VALUE"""),"Tunisia")</f>
        <v>Tunisia</v>
      </c>
      <c r="H406" s="43" t="str">
        <f>IFERROR(__xludf.DUMMYFUNCTION("""COMPUTED_VALUE"""),"MEDINA")</f>
        <v>MEDINA</v>
      </c>
      <c r="I406" s="43" t="str">
        <f>IFERROR(__xludf.DUMMYFUNCTION("""COMPUTED_VALUE"""),"Turkey")</f>
        <v>Turkey</v>
      </c>
      <c r="J406" s="43" t="str">
        <f>IFERROR(__xludf.DUMMYFUNCTION("""COMPUTED_VALUE"""),"GAZIANTEP")</f>
        <v>GAZIANTEP</v>
      </c>
      <c r="K406" s="44" t="str">
        <f>IFERROR(__xludf.DUMMYFUNCTION("""COMPUTED_VALUE"""),"https://expa.aiesec.org/opportunities/1291989")</f>
        <v>https://expa.aiesec.org/opportunities/1291989</v>
      </c>
      <c r="L406" s="43" t="str">
        <f>IFERROR(__xludf.DUMMYFUNCTION("""COMPUTED_VALUE"""),"GTe")</f>
        <v>GTe</v>
      </c>
      <c r="M406" s="43" t="str">
        <f>IFERROR(__xludf.DUMMYFUNCTION("""COMPUTED_VALUE"""),"long")</f>
        <v>long</v>
      </c>
      <c r="N406" s="45">
        <f>IFERROR(__xludf.DUMMYFUNCTION("""COMPUTED_VALUE"""),45183.0)</f>
        <v>45183</v>
      </c>
      <c r="O406" s="45">
        <f>IFERROR(__xludf.DUMMYFUNCTION("""COMPUTED_VALUE"""),45189.0)</f>
        <v>45189</v>
      </c>
      <c r="P406" s="45">
        <f>IFERROR(__xludf.DUMMYFUNCTION("""COMPUTED_VALUE"""),45554.0)</f>
        <v>45554</v>
      </c>
      <c r="Q406" s="45">
        <f>IFERROR(__xludf.DUMMYFUNCTION("""COMPUTED_VALUE"""),45194.0)</f>
        <v>45194</v>
      </c>
      <c r="R406" s="45">
        <f>IFERROR(__xludf.DUMMYFUNCTION("""COMPUTED_VALUE"""),45559.0)</f>
        <v>45559</v>
      </c>
      <c r="S406" s="43"/>
      <c r="T406" s="43"/>
      <c r="U406" s="43" t="str">
        <f>IFERROR(__xludf.DUMMYFUNCTION("""COMPUTED_VALUE"""),"English Teacher")</f>
        <v>English Teacher</v>
      </c>
      <c r="V406" s="43" t="str">
        <f>IFERROR(__xludf.DUMMYFUNCTION("""COMPUTED_VALUE"""),"FLAH")</f>
        <v>FLAH</v>
      </c>
      <c r="W406" s="43" t="str">
        <f>IFERROR(__xludf.DUMMYFUNCTION("""COMPUTED_VALUE"""),"2020-01-20T20:11:12Z")</f>
        <v>2020-01-20T20:11:12Z</v>
      </c>
      <c r="X406" s="43"/>
      <c r="Y406" s="43"/>
      <c r="Z406" s="43"/>
    </row>
    <row r="407" hidden="1">
      <c r="A407" s="43" t="str">
        <f>IFERROR(__xludf.DUMMYFUNCTION("""COMPUTED_VALUE"""),"5315110_1295982")</f>
        <v>5315110_1295982</v>
      </c>
      <c r="B407" s="43" t="str">
        <f>IFERROR(__xludf.DUMMYFUNCTION("""COMPUTED_VALUE"""),"Jamli Mohamed Amin")</f>
        <v>Jamli Mohamed Amin</v>
      </c>
      <c r="C407" s="43" t="str">
        <f>IFERROR(__xludf.DUMMYFUNCTION("""COMPUTED_VALUE"""),"realized")</f>
        <v>realized</v>
      </c>
      <c r="D407" s="43" t="str">
        <f>IFERROR(__xludf.DUMMYFUNCTION("""COMPUTED_VALUE"""),"No")</f>
        <v>No</v>
      </c>
      <c r="E407" s="43" t="str">
        <f>IFERROR(__xludf.DUMMYFUNCTION("""COMPUTED_VALUE"""),"p_092178be268e65093acae223fd5e9f6c680b01f3@inbound.aiesec.org")</f>
        <v>p_092178be268e65093acae223fd5e9f6c680b01f3@inbound.aiesec.org</v>
      </c>
      <c r="F407" s="43">
        <f>IFERROR(__xludf.DUMMYFUNCTION("""COMPUTED_VALUE"""),2.7434072E7)</f>
        <v>27434072</v>
      </c>
      <c r="G407" s="43" t="str">
        <f>IFERROR(__xludf.DUMMYFUNCTION("""COMPUTED_VALUE"""),"Tunisia")</f>
        <v>Tunisia</v>
      </c>
      <c r="H407" s="43" t="str">
        <f>IFERROR(__xludf.DUMMYFUNCTION("""COMPUTED_VALUE"""),"RUSPINA")</f>
        <v>RUSPINA</v>
      </c>
      <c r="I407" s="43" t="str">
        <f>IFERROR(__xludf.DUMMYFUNCTION("""COMPUTED_VALUE"""),"Turkey")</f>
        <v>Turkey</v>
      </c>
      <c r="J407" s="43" t="str">
        <f>IFERROR(__xludf.DUMMYFUNCTION("""COMPUTED_VALUE"""),"BURSA")</f>
        <v>BURSA</v>
      </c>
      <c r="K407" s="44" t="str">
        <f>IFERROR(__xludf.DUMMYFUNCTION("""COMPUTED_VALUE"""),"https://expa.aiesec.org/opportunities/1295982")</f>
        <v>https://expa.aiesec.org/opportunities/1295982</v>
      </c>
      <c r="L407" s="43" t="str">
        <f>IFERROR(__xludf.DUMMYFUNCTION("""COMPUTED_VALUE"""),"GTe")</f>
        <v>GTe</v>
      </c>
      <c r="M407" s="43" t="str">
        <f>IFERROR(__xludf.DUMMYFUNCTION("""COMPUTED_VALUE"""),"long")</f>
        <v>long</v>
      </c>
      <c r="N407" s="45">
        <f>IFERROR(__xludf.DUMMYFUNCTION("""COMPUTED_VALUE"""),45183.0)</f>
        <v>45183</v>
      </c>
      <c r="O407" s="45">
        <f>IFERROR(__xludf.DUMMYFUNCTION("""COMPUTED_VALUE"""),45196.0)</f>
        <v>45196</v>
      </c>
      <c r="P407" s="45">
        <f>IFERROR(__xludf.DUMMYFUNCTION("""COMPUTED_VALUE"""),45473.0)</f>
        <v>45473</v>
      </c>
      <c r="Q407" s="45">
        <f>IFERROR(__xludf.DUMMYFUNCTION("""COMPUTED_VALUE"""),45197.0)</f>
        <v>45197</v>
      </c>
      <c r="R407" s="45">
        <f>IFERROR(__xludf.DUMMYFUNCTION("""COMPUTED_VALUE"""),45474.0)</f>
        <v>45474</v>
      </c>
      <c r="S407" s="43"/>
      <c r="T407" s="43"/>
      <c r="U407" s="43" t="str">
        <f>IFERROR(__xludf.DUMMYFUNCTION("""COMPUTED_VALUE"""),"English Teacher")</f>
        <v>English Teacher</v>
      </c>
      <c r="V407" s="43" t="str">
        <f>IFERROR(__xludf.DUMMYFUNCTION("""COMPUTED_VALUE"""),"ISLAA Moknine")</f>
        <v>ISLAA Moknine</v>
      </c>
      <c r="W407" s="43" t="str">
        <f>IFERROR(__xludf.DUMMYFUNCTION("""COMPUTED_VALUE"""),"2023-08-31T17:13:58Z")</f>
        <v>2023-08-31T17:13:58Z</v>
      </c>
      <c r="X407" s="43"/>
      <c r="Y407" s="43"/>
      <c r="Z407" s="43"/>
    </row>
    <row r="408" hidden="1">
      <c r="A408" s="43" t="str">
        <f>IFERROR(__xludf.DUMMYFUNCTION("""COMPUTED_VALUE"""),"5260132_1296231")</f>
        <v>5260132_1296231</v>
      </c>
      <c r="B408" s="43" t="str">
        <f>IFERROR(__xludf.DUMMYFUNCTION("""COMPUTED_VALUE"""),"farah rahrah")</f>
        <v>farah rahrah</v>
      </c>
      <c r="C408" s="43" t="str">
        <f>IFERROR(__xludf.DUMMYFUNCTION("""COMPUTED_VALUE"""),"approved")</f>
        <v>approved</v>
      </c>
      <c r="D408" s="43" t="str">
        <f>IFERROR(__xludf.DUMMYFUNCTION("""COMPUTED_VALUE"""),"No")</f>
        <v>No</v>
      </c>
      <c r="E408" s="43" t="str">
        <f>IFERROR(__xludf.DUMMYFUNCTION("""COMPUTED_VALUE"""),"p_b081d8de871b9a9517f9dafc980710854b806101@inbound.aiesec.org")</f>
        <v>p_b081d8de871b9a9517f9dafc980710854b806101@inbound.aiesec.org</v>
      </c>
      <c r="F408" s="43">
        <f>IFERROR(__xludf.DUMMYFUNCTION("""COMPUTED_VALUE"""),7.7525642E8)</f>
        <v>775256420</v>
      </c>
      <c r="G408" s="43" t="str">
        <f>IFERROR(__xludf.DUMMYFUNCTION("""COMPUTED_VALUE"""),"Algeria")</f>
        <v>Algeria</v>
      </c>
      <c r="H408" s="43" t="str">
        <f>IFERROR(__xludf.DUMMYFUNCTION("""COMPUTED_VALUE"""),"Babez")</f>
        <v>Babez</v>
      </c>
      <c r="I408" s="43" t="str">
        <f>IFERROR(__xludf.DUMMYFUNCTION("""COMPUTED_VALUE"""),"Turkey")</f>
        <v>Turkey</v>
      </c>
      <c r="J408" s="43" t="str">
        <f>IFERROR(__xludf.DUMMYFUNCTION("""COMPUTED_VALUE"""),"GAZIANTEP")</f>
        <v>GAZIANTEP</v>
      </c>
      <c r="K408" s="44" t="str">
        <f>IFERROR(__xludf.DUMMYFUNCTION("""COMPUTED_VALUE"""),"https://expa.aiesec.org/opportunities/1296231")</f>
        <v>https://expa.aiesec.org/opportunities/1296231</v>
      </c>
      <c r="L408" s="43" t="str">
        <f>IFERROR(__xludf.DUMMYFUNCTION("""COMPUTED_VALUE"""),"GTe")</f>
        <v>GTe</v>
      </c>
      <c r="M408" s="43" t="str">
        <f>IFERROR(__xludf.DUMMYFUNCTION("""COMPUTED_VALUE"""),"long")</f>
        <v>long</v>
      </c>
      <c r="N408" s="45">
        <f>IFERROR(__xludf.DUMMYFUNCTION("""COMPUTED_VALUE"""),45183.0)</f>
        <v>45183</v>
      </c>
      <c r="O408" s="45">
        <f>IFERROR(__xludf.DUMMYFUNCTION("""COMPUTED_VALUE"""),45189.0)</f>
        <v>45189</v>
      </c>
      <c r="P408" s="45">
        <f>IFERROR(__xludf.DUMMYFUNCTION("""COMPUTED_VALUE"""),45554.0)</f>
        <v>45554</v>
      </c>
      <c r="Q408" s="45"/>
      <c r="R408" s="45"/>
      <c r="S408" s="43"/>
      <c r="T408" s="43"/>
      <c r="U408" s="43" t="str">
        <f>IFERROR(__xludf.DUMMYFUNCTION("""COMPUTED_VALUE"""),"English Teacher")</f>
        <v>English Teacher</v>
      </c>
      <c r="V408" s="43" t="str">
        <f>IFERROR(__xludf.DUMMYFUNCTION("""COMPUTED_VALUE"""),"AIESEC in Babez")</f>
        <v>AIESEC in Babez</v>
      </c>
      <c r="W408" s="43" t="str">
        <f>IFERROR(__xludf.DUMMYFUNCTION("""COMPUTED_VALUE"""),"2023-05-12T17:42:46Z")</f>
        <v>2023-05-12T17:42:46Z</v>
      </c>
      <c r="X408" s="43"/>
      <c r="Y408" s="43"/>
      <c r="Z408" s="43"/>
    </row>
    <row r="409" hidden="1">
      <c r="A409" s="43" t="str">
        <f>IFERROR(__xludf.DUMMYFUNCTION("""COMPUTED_VALUE"""),"5255443_1291606")</f>
        <v>5255443_1291606</v>
      </c>
      <c r="B409" s="43" t="str">
        <f>IFERROR(__xludf.DUMMYFUNCTION("""COMPUTED_VALUE"""),"Siwar Zribi")</f>
        <v>Siwar Zribi</v>
      </c>
      <c r="C409" s="43" t="str">
        <f>IFERROR(__xludf.DUMMYFUNCTION("""COMPUTED_VALUE"""),"realized")</f>
        <v>realized</v>
      </c>
      <c r="D409" s="43" t="str">
        <f>IFERROR(__xludf.DUMMYFUNCTION("""COMPUTED_VALUE"""),"No")</f>
        <v>No</v>
      </c>
      <c r="E409" s="43" t="str">
        <f>IFERROR(__xludf.DUMMYFUNCTION("""COMPUTED_VALUE"""),"p_19279f9629ff2975beb623a4fa574b2487509e0a@inbound.aiesec.org")</f>
        <v>p_19279f9629ff2975beb623a4fa574b2487509e0a@inbound.aiesec.org</v>
      </c>
      <c r="F409" s="43">
        <f>IFERROR(__xludf.DUMMYFUNCTION("""COMPUTED_VALUE"""),2.9584024E7)</f>
        <v>29584024</v>
      </c>
      <c r="G409" s="43" t="str">
        <f>IFERROR(__xludf.DUMMYFUNCTION("""COMPUTED_VALUE"""),"Tunisia")</f>
        <v>Tunisia</v>
      </c>
      <c r="H409" s="43" t="str">
        <f>IFERROR(__xludf.DUMMYFUNCTION("""COMPUTED_VALUE"""),"Carthage")</f>
        <v>Carthage</v>
      </c>
      <c r="I409" s="43" t="str">
        <f>IFERROR(__xludf.DUMMYFUNCTION("""COMPUTED_VALUE"""),"Turkey")</f>
        <v>Turkey</v>
      </c>
      <c r="J409" s="43" t="str">
        <f>IFERROR(__xludf.DUMMYFUNCTION("""COMPUTED_VALUE"""),"BURSA")</f>
        <v>BURSA</v>
      </c>
      <c r="K409" s="44" t="str">
        <f>IFERROR(__xludf.DUMMYFUNCTION("""COMPUTED_VALUE"""),"https://expa.aiesec.org/opportunities/1291606")</f>
        <v>https://expa.aiesec.org/opportunities/1291606</v>
      </c>
      <c r="L409" s="43" t="str">
        <f>IFERROR(__xludf.DUMMYFUNCTION("""COMPUTED_VALUE"""),"GTe")</f>
        <v>GTe</v>
      </c>
      <c r="M409" s="43" t="str">
        <f>IFERROR(__xludf.DUMMYFUNCTION("""COMPUTED_VALUE"""),"long")</f>
        <v>long</v>
      </c>
      <c r="N409" s="45">
        <f>IFERROR(__xludf.DUMMYFUNCTION("""COMPUTED_VALUE"""),45183.0)</f>
        <v>45183</v>
      </c>
      <c r="O409" s="45">
        <f>IFERROR(__xludf.DUMMYFUNCTION("""COMPUTED_VALUE"""),45211.0)</f>
        <v>45211</v>
      </c>
      <c r="P409" s="45">
        <f>IFERROR(__xludf.DUMMYFUNCTION("""COMPUTED_VALUE"""),45555.0)</f>
        <v>45555</v>
      </c>
      <c r="Q409" s="45">
        <f>IFERROR(__xludf.DUMMYFUNCTION("""COMPUTED_VALUE"""),45225.0)</f>
        <v>45225</v>
      </c>
      <c r="R409" s="45">
        <f>IFERROR(__xludf.DUMMYFUNCTION("""COMPUTED_VALUE"""),45568.0)</f>
        <v>45568</v>
      </c>
      <c r="S409" s="43"/>
      <c r="T409" s="43"/>
      <c r="U409" s="43" t="str">
        <f>IFERROR(__xludf.DUMMYFUNCTION("""COMPUTED_VALUE"""),"Teacher")</f>
        <v>Teacher</v>
      </c>
      <c r="V409" s="43" t="str">
        <f>IFERROR(__xludf.DUMMYFUNCTION("""COMPUTED_VALUE"""),"ISLT")</f>
        <v>ISLT</v>
      </c>
      <c r="W409" s="43" t="str">
        <f>IFERROR(__xludf.DUMMYFUNCTION("""COMPUTED_VALUE"""),"2023-05-03T23:19:57Z")</f>
        <v>2023-05-03T23:19:57Z</v>
      </c>
      <c r="X409" s="43"/>
      <c r="Y409" s="43"/>
      <c r="Z409" s="43"/>
    </row>
    <row r="410" hidden="1">
      <c r="A410" s="43" t="str">
        <f>IFERROR(__xludf.DUMMYFUNCTION("""COMPUTED_VALUE"""),"4311442_1289444")</f>
        <v>4311442_1289444</v>
      </c>
      <c r="B410" s="43" t="str">
        <f>IFERROR(__xludf.DUMMYFUNCTION("""COMPUTED_VALUE"""),"Oumayma Elborgi Bouraoui")</f>
        <v>Oumayma Elborgi Bouraoui</v>
      </c>
      <c r="C410" s="43" t="str">
        <f>IFERROR(__xludf.DUMMYFUNCTION("""COMPUTED_VALUE"""),"realized")</f>
        <v>realized</v>
      </c>
      <c r="D410" s="43" t="str">
        <f>IFERROR(__xludf.DUMMYFUNCTION("""COMPUTED_VALUE"""),"No")</f>
        <v>No</v>
      </c>
      <c r="E410" s="43" t="str">
        <f>IFERROR(__xludf.DUMMYFUNCTION("""COMPUTED_VALUE"""),"p_f22cb532fd2c2a3840f750a24f53a9897fbf609d@inbound.aiesec.org")</f>
        <v>p_f22cb532fd2c2a3840f750a24f53a9897fbf609d@inbound.aiesec.org</v>
      </c>
      <c r="F410" s="43">
        <f>IFERROR(__xludf.DUMMYFUNCTION("""COMPUTED_VALUE"""),5.8803524E7)</f>
        <v>58803524</v>
      </c>
      <c r="G410" s="43" t="str">
        <f>IFERROR(__xludf.DUMMYFUNCTION("""COMPUTED_VALUE"""),"Tunisia")</f>
        <v>Tunisia</v>
      </c>
      <c r="H410" s="43" t="str">
        <f>IFERROR(__xludf.DUMMYFUNCTION("""COMPUTED_VALUE"""),"HADRUMET")</f>
        <v>HADRUMET</v>
      </c>
      <c r="I410" s="43" t="str">
        <f>IFERROR(__xludf.DUMMYFUNCTION("""COMPUTED_VALUE"""),"Turkey")</f>
        <v>Turkey</v>
      </c>
      <c r="J410" s="43" t="str">
        <f>IFERROR(__xludf.DUMMYFUNCTION("""COMPUTED_VALUE"""),"ADANA")</f>
        <v>ADANA</v>
      </c>
      <c r="K410" s="44" t="str">
        <f>IFERROR(__xludf.DUMMYFUNCTION("""COMPUTED_VALUE"""),"https://expa.aiesec.org/opportunities/1289444")</f>
        <v>https://expa.aiesec.org/opportunities/1289444</v>
      </c>
      <c r="L410" s="43" t="str">
        <f>IFERROR(__xludf.DUMMYFUNCTION("""COMPUTED_VALUE"""),"GTe")</f>
        <v>GTe</v>
      </c>
      <c r="M410" s="43" t="str">
        <f>IFERROR(__xludf.DUMMYFUNCTION("""COMPUTED_VALUE"""),"long")</f>
        <v>long</v>
      </c>
      <c r="N410" s="45">
        <f>IFERROR(__xludf.DUMMYFUNCTION("""COMPUTED_VALUE"""),45184.0)</f>
        <v>45184</v>
      </c>
      <c r="O410" s="45">
        <f>IFERROR(__xludf.DUMMYFUNCTION("""COMPUTED_VALUE"""),45192.0)</f>
        <v>45192</v>
      </c>
      <c r="P410" s="45">
        <f>IFERROR(__xludf.DUMMYFUNCTION("""COMPUTED_VALUE"""),45555.0)</f>
        <v>45555</v>
      </c>
      <c r="Q410" s="45">
        <f>IFERROR(__xludf.DUMMYFUNCTION("""COMPUTED_VALUE"""),45194.0)</f>
        <v>45194</v>
      </c>
      <c r="R410" s="45">
        <f>IFERROR(__xludf.DUMMYFUNCTION("""COMPUTED_VALUE"""),45559.0)</f>
        <v>45559</v>
      </c>
      <c r="S410" s="43"/>
      <c r="T410" s="43"/>
      <c r="U410" s="43" t="str">
        <f>IFERROR(__xludf.DUMMYFUNCTION("""COMPUTED_VALUE"""),"English Teacher in TED KOLEJİ")</f>
        <v>English Teacher in TED KOLEJİ</v>
      </c>
      <c r="V410" s="43" t="str">
        <f>IFERROR(__xludf.DUMMYFUNCTION("""COMPUTED_VALUE"""),"FLSH Sousse")</f>
        <v>FLSH Sousse</v>
      </c>
      <c r="W410" s="43" t="str">
        <f>IFERROR(__xludf.DUMMYFUNCTION("""COMPUTED_VALUE"""),"2020-06-17T20:21:01Z")</f>
        <v>2020-06-17T20:21:01Z</v>
      </c>
      <c r="X410" s="43"/>
      <c r="Y410" s="43"/>
      <c r="Z410" s="43"/>
    </row>
    <row r="411" hidden="1">
      <c r="A411" s="43" t="str">
        <f>IFERROR(__xludf.DUMMYFUNCTION("""COMPUTED_VALUE"""),"2460653_1289444")</f>
        <v>2460653_1289444</v>
      </c>
      <c r="B411" s="43" t="str">
        <f>IFERROR(__xludf.DUMMYFUNCTION("""COMPUTED_VALUE"""),"Aymen Delly")</f>
        <v>Aymen Delly</v>
      </c>
      <c r="C411" s="43" t="str">
        <f>IFERROR(__xludf.DUMMYFUNCTION("""COMPUTED_VALUE"""),"realized")</f>
        <v>realized</v>
      </c>
      <c r="D411" s="43" t="str">
        <f>IFERROR(__xludf.DUMMYFUNCTION("""COMPUTED_VALUE"""),"No")</f>
        <v>No</v>
      </c>
      <c r="E411" s="43" t="str">
        <f>IFERROR(__xludf.DUMMYFUNCTION("""COMPUTED_VALUE"""),"p_ca1874a4204527158d547f1cd81437035680aef1@inbound.aiesec.org")</f>
        <v>p_ca1874a4204527158d547f1cd81437035680aef1@inbound.aiesec.org</v>
      </c>
      <c r="F411" s="43">
        <f>IFERROR(__xludf.DUMMYFUNCTION("""COMPUTED_VALUE"""),2.7889718E7)</f>
        <v>27889718</v>
      </c>
      <c r="G411" s="43" t="str">
        <f>IFERROR(__xludf.DUMMYFUNCTION("""COMPUTED_VALUE"""),"Tunisia")</f>
        <v>Tunisia</v>
      </c>
      <c r="H411" s="43" t="str">
        <f>IFERROR(__xludf.DUMMYFUNCTION("""COMPUTED_VALUE"""),"HADRUMET")</f>
        <v>HADRUMET</v>
      </c>
      <c r="I411" s="43" t="str">
        <f>IFERROR(__xludf.DUMMYFUNCTION("""COMPUTED_VALUE"""),"Turkey")</f>
        <v>Turkey</v>
      </c>
      <c r="J411" s="43" t="str">
        <f>IFERROR(__xludf.DUMMYFUNCTION("""COMPUTED_VALUE"""),"ADANA")</f>
        <v>ADANA</v>
      </c>
      <c r="K411" s="44" t="str">
        <f>IFERROR(__xludf.DUMMYFUNCTION("""COMPUTED_VALUE"""),"https://expa.aiesec.org/opportunities/1289444")</f>
        <v>https://expa.aiesec.org/opportunities/1289444</v>
      </c>
      <c r="L411" s="43" t="str">
        <f>IFERROR(__xludf.DUMMYFUNCTION("""COMPUTED_VALUE"""),"GTe")</f>
        <v>GTe</v>
      </c>
      <c r="M411" s="43" t="str">
        <f>IFERROR(__xludf.DUMMYFUNCTION("""COMPUTED_VALUE"""),"long")</f>
        <v>long</v>
      </c>
      <c r="N411" s="45">
        <f>IFERROR(__xludf.DUMMYFUNCTION("""COMPUTED_VALUE"""),45184.0)</f>
        <v>45184</v>
      </c>
      <c r="O411" s="45">
        <f>IFERROR(__xludf.DUMMYFUNCTION("""COMPUTED_VALUE"""),45192.0)</f>
        <v>45192</v>
      </c>
      <c r="P411" s="45">
        <f>IFERROR(__xludf.DUMMYFUNCTION("""COMPUTED_VALUE"""),45555.0)</f>
        <v>45555</v>
      </c>
      <c r="Q411" s="45">
        <f>IFERROR(__xludf.DUMMYFUNCTION("""COMPUTED_VALUE"""),45194.0)</f>
        <v>45194</v>
      </c>
      <c r="R411" s="45">
        <f>IFERROR(__xludf.DUMMYFUNCTION("""COMPUTED_VALUE"""),45559.0)</f>
        <v>45559</v>
      </c>
      <c r="S411" s="43"/>
      <c r="T411" s="43"/>
      <c r="U411" s="43" t="str">
        <f>IFERROR(__xludf.DUMMYFUNCTION("""COMPUTED_VALUE"""),"English Teacher in TED KOLEJİ")</f>
        <v>English Teacher in TED KOLEJİ</v>
      </c>
      <c r="V411" s="43" t="str">
        <f>IFERROR(__xludf.DUMMYFUNCTION("""COMPUTED_VALUE"""),"FLSH Sousse")</f>
        <v>FLSH Sousse</v>
      </c>
      <c r="W411" s="43" t="str">
        <f>IFERROR(__xludf.DUMMYFUNCTION("""COMPUTED_VALUE"""),"2018-07-25T12:40:34Z")</f>
        <v>2018-07-25T12:40:34Z</v>
      </c>
      <c r="X411" s="43"/>
      <c r="Y411" s="43"/>
      <c r="Z411" s="43"/>
    </row>
    <row r="412" hidden="1">
      <c r="A412" s="43" t="str">
        <f>IFERROR(__xludf.DUMMYFUNCTION("""COMPUTED_VALUE"""),"5325394_1297135")</f>
        <v>5325394_1297135</v>
      </c>
      <c r="B412" s="43" t="str">
        <f>IFERROR(__xludf.DUMMYFUNCTION("""COMPUTED_VALUE"""),"Sandra Wassef")</f>
        <v>Sandra Wassef</v>
      </c>
      <c r="C412" s="43" t="str">
        <f>IFERROR(__xludf.DUMMYFUNCTION("""COMPUTED_VALUE"""),"approved")</f>
        <v>approved</v>
      </c>
      <c r="D412" s="43" t="str">
        <f>IFERROR(__xludf.DUMMYFUNCTION("""COMPUTED_VALUE"""),"No")</f>
        <v>No</v>
      </c>
      <c r="E412" s="43" t="str">
        <f>IFERROR(__xludf.DUMMYFUNCTION("""COMPUTED_VALUE"""),"p_48785b9f8d3078d1212f4d48714ff14399277532@inbound.aiesec.org")</f>
        <v>p_48785b9f8d3078d1212f4d48714ff14399277532@inbound.aiesec.org</v>
      </c>
      <c r="F412" s="43">
        <f>IFERROR(__xludf.DUMMYFUNCTION("""COMPUTED_VALUE"""),1.28972535E9)</f>
        <v>1289725350</v>
      </c>
      <c r="G412" s="43" t="str">
        <f>IFERROR(__xludf.DUMMYFUNCTION("""COMPUTED_VALUE"""),"Egypt")</f>
        <v>Egypt</v>
      </c>
      <c r="H412" s="43" t="str">
        <f>IFERROR(__xludf.DUMMYFUNCTION("""COMPUTED_VALUE"""),"MSA")</f>
        <v>MSA</v>
      </c>
      <c r="I412" s="43" t="str">
        <f>IFERROR(__xludf.DUMMYFUNCTION("""COMPUTED_VALUE"""),"Turkey")</f>
        <v>Turkey</v>
      </c>
      <c r="J412" s="43" t="str">
        <f>IFERROR(__xludf.DUMMYFUNCTION("""COMPUTED_VALUE"""),"ADANA")</f>
        <v>ADANA</v>
      </c>
      <c r="K412" s="44" t="str">
        <f>IFERROR(__xludf.DUMMYFUNCTION("""COMPUTED_VALUE"""),"https://expa.aiesec.org/opportunities/1297135")</f>
        <v>https://expa.aiesec.org/opportunities/1297135</v>
      </c>
      <c r="L412" s="43" t="str">
        <f>IFERROR(__xludf.DUMMYFUNCTION("""COMPUTED_VALUE"""),"GTe")</f>
        <v>GTe</v>
      </c>
      <c r="M412" s="43" t="str">
        <f>IFERROR(__xludf.DUMMYFUNCTION("""COMPUTED_VALUE"""),"medium")</f>
        <v>medium</v>
      </c>
      <c r="N412" s="45">
        <f>IFERROR(__xludf.DUMMYFUNCTION("""COMPUTED_VALUE"""),45185.0)</f>
        <v>45185</v>
      </c>
      <c r="O412" s="45">
        <f>IFERROR(__xludf.DUMMYFUNCTION("""COMPUTED_VALUE"""),45219.0)</f>
        <v>45219</v>
      </c>
      <c r="P412" s="45">
        <f>IFERROR(__xludf.DUMMYFUNCTION("""COMPUTED_VALUE"""),45400.0)</f>
        <v>45400</v>
      </c>
      <c r="Q412" s="45"/>
      <c r="R412" s="45"/>
      <c r="S412" s="43"/>
      <c r="T412" s="43"/>
      <c r="U412" s="43" t="str">
        <f>IFERROR(__xludf.DUMMYFUNCTION("""COMPUTED_VALUE"""),"Pre-School Teacher ")</f>
        <v>Pre-School Teacher </v>
      </c>
      <c r="V412" s="43" t="str">
        <f>IFERROR(__xludf.DUMMYFUNCTION("""COMPUTED_VALUE"""),"MSA Univeristy")</f>
        <v>MSA Univeristy</v>
      </c>
      <c r="W412" s="43" t="str">
        <f>IFERROR(__xludf.DUMMYFUNCTION("""COMPUTED_VALUE"""),"2023-09-16T13:10:03Z")</f>
        <v>2023-09-16T13:10:03Z</v>
      </c>
      <c r="X412" s="43"/>
      <c r="Y412" s="43"/>
      <c r="Z412" s="43"/>
    </row>
    <row r="413" hidden="1">
      <c r="A413" s="43" t="str">
        <f>IFERROR(__xludf.DUMMYFUNCTION("""COMPUTED_VALUE"""),"5325882_1295716")</f>
        <v>5325882_1295716</v>
      </c>
      <c r="B413" s="43" t="str">
        <f>IFERROR(__xludf.DUMMYFUNCTION("""COMPUTED_VALUE"""),"Sandi Mohamed")</f>
        <v>Sandi Mohamed</v>
      </c>
      <c r="C413" s="43" t="str">
        <f>IFERROR(__xludf.DUMMYFUNCTION("""COMPUTED_VALUE"""),"approved")</f>
        <v>approved</v>
      </c>
      <c r="D413" s="43" t="str">
        <f>IFERROR(__xludf.DUMMYFUNCTION("""COMPUTED_VALUE"""),"No")</f>
        <v>No</v>
      </c>
      <c r="E413" s="43" t="str">
        <f>IFERROR(__xludf.DUMMYFUNCTION("""COMPUTED_VALUE"""),"p_f94ad7a0b681fa88776447a76811a60c8597a674@inbound.aiesec.org")</f>
        <v>p_f94ad7a0b681fa88776447a76811a60c8597a674@inbound.aiesec.org</v>
      </c>
      <c r="F413" s="43">
        <f>IFERROR(__xludf.DUMMYFUNCTION("""COMPUTED_VALUE"""),1.123552605E9)</f>
        <v>1123552605</v>
      </c>
      <c r="G413" s="43" t="str">
        <f>IFERROR(__xludf.DUMMYFUNCTION("""COMPUTED_VALUE"""),"Egypt")</f>
        <v>Egypt</v>
      </c>
      <c r="H413" s="43" t="str">
        <f>IFERROR(__xludf.DUMMYFUNCTION("""COMPUTED_VALUE"""),"Helwan")</f>
        <v>Helwan</v>
      </c>
      <c r="I413" s="43" t="str">
        <f>IFERROR(__xludf.DUMMYFUNCTION("""COMPUTED_VALUE"""),"Turkey")</f>
        <v>Turkey</v>
      </c>
      <c r="J413" s="43" t="str">
        <f>IFERROR(__xludf.DUMMYFUNCTION("""COMPUTED_VALUE"""),"ISTANBUL ASIA")</f>
        <v>ISTANBUL ASIA</v>
      </c>
      <c r="K413" s="44" t="str">
        <f>IFERROR(__xludf.DUMMYFUNCTION("""COMPUTED_VALUE"""),"https://expa.aiesec.org/opportunities/1295716")</f>
        <v>https://expa.aiesec.org/opportunities/1295716</v>
      </c>
      <c r="L413" s="43" t="str">
        <f>IFERROR(__xludf.DUMMYFUNCTION("""COMPUTED_VALUE"""),"GTe")</f>
        <v>GTe</v>
      </c>
      <c r="M413" s="43" t="str">
        <f>IFERROR(__xludf.DUMMYFUNCTION("""COMPUTED_VALUE"""),"long")</f>
        <v>long</v>
      </c>
      <c r="N413" s="45">
        <f>IFERROR(__xludf.DUMMYFUNCTION("""COMPUTED_VALUE"""),45186.0)</f>
        <v>45186</v>
      </c>
      <c r="O413" s="45">
        <f>IFERROR(__xludf.DUMMYFUNCTION("""COMPUTED_VALUE"""),45227.0)</f>
        <v>45227</v>
      </c>
      <c r="P413" s="45">
        <f>IFERROR(__xludf.DUMMYFUNCTION("""COMPUTED_VALUE"""),45583.0)</f>
        <v>45583</v>
      </c>
      <c r="Q413" s="45"/>
      <c r="R413" s="45"/>
      <c r="S413" s="43"/>
      <c r="T413" s="43"/>
      <c r="U413" s="43" t="str">
        <f>IFERROR(__xludf.DUMMYFUNCTION("""COMPUTED_VALUE"""),"English Teacher")</f>
        <v>English Teacher</v>
      </c>
      <c r="V413" s="43" t="str">
        <f>IFERROR(__xludf.DUMMYFUNCTION("""COMPUTED_VALUE"""),"Helwan University")</f>
        <v>Helwan University</v>
      </c>
      <c r="W413" s="43" t="str">
        <f>IFERROR(__xludf.DUMMYFUNCTION("""COMPUTED_VALUE"""),"2023-09-17T09:05:44Z")</f>
        <v>2023-09-17T09:05:44Z</v>
      </c>
      <c r="X413" s="43"/>
      <c r="Y413" s="43"/>
      <c r="Z413" s="43"/>
    </row>
    <row r="414" hidden="1">
      <c r="A414" s="43" t="str">
        <f>IFERROR(__xludf.DUMMYFUNCTION("""COMPUTED_VALUE"""),"5326122_1293407")</f>
        <v>5326122_1293407</v>
      </c>
      <c r="B414" s="43" t="str">
        <f>IFERROR(__xludf.DUMMYFUNCTION("""COMPUTED_VALUE"""),"Fatema Abdelrahman")</f>
        <v>Fatema Abdelrahman</v>
      </c>
      <c r="C414" s="43" t="str">
        <f>IFERROR(__xludf.DUMMYFUNCTION("""COMPUTED_VALUE"""),"realized")</f>
        <v>realized</v>
      </c>
      <c r="D414" s="43" t="str">
        <f>IFERROR(__xludf.DUMMYFUNCTION("""COMPUTED_VALUE"""),"No")</f>
        <v>No</v>
      </c>
      <c r="E414" s="43" t="str">
        <f>IFERROR(__xludf.DUMMYFUNCTION("""COMPUTED_VALUE"""),"p_a032e32331596d436f24784e58348621b816dd08@inbound.aiesec.org")</f>
        <v>p_a032e32331596d436f24784e58348621b816dd08@inbound.aiesec.org</v>
      </c>
      <c r="F414" s="43">
        <f>IFERROR(__xludf.DUMMYFUNCTION("""COMPUTED_VALUE"""),1.12251224E9)</f>
        <v>1122512240</v>
      </c>
      <c r="G414" s="43" t="str">
        <f>IFERROR(__xludf.DUMMYFUNCTION("""COMPUTED_VALUE"""),"Egypt")</f>
        <v>Egypt</v>
      </c>
      <c r="H414" s="43" t="str">
        <f>IFERROR(__xludf.DUMMYFUNCTION("""COMPUTED_VALUE"""),"Alexandria")</f>
        <v>Alexandria</v>
      </c>
      <c r="I414" s="43" t="str">
        <f>IFERROR(__xludf.DUMMYFUNCTION("""COMPUTED_VALUE"""),"Turkey")</f>
        <v>Turkey</v>
      </c>
      <c r="J414" s="43" t="str">
        <f>IFERROR(__xludf.DUMMYFUNCTION("""COMPUTED_VALUE"""),"ISTANBUL ASIA")</f>
        <v>ISTANBUL ASIA</v>
      </c>
      <c r="K414" s="44" t="str">
        <f>IFERROR(__xludf.DUMMYFUNCTION("""COMPUTED_VALUE"""),"https://expa.aiesec.org/opportunities/1293407")</f>
        <v>https://expa.aiesec.org/opportunities/1293407</v>
      </c>
      <c r="L414" s="43" t="str">
        <f>IFERROR(__xludf.DUMMYFUNCTION("""COMPUTED_VALUE"""),"GTe")</f>
        <v>GTe</v>
      </c>
      <c r="M414" s="43" t="str">
        <f>IFERROR(__xludf.DUMMYFUNCTION("""COMPUTED_VALUE"""),"long")</f>
        <v>long</v>
      </c>
      <c r="N414" s="45">
        <f>IFERROR(__xludf.DUMMYFUNCTION("""COMPUTED_VALUE"""),45186.0)</f>
        <v>45186</v>
      </c>
      <c r="O414" s="45">
        <f>IFERROR(__xludf.DUMMYFUNCTION("""COMPUTED_VALUE"""),45208.0)</f>
        <v>45208</v>
      </c>
      <c r="P414" s="45">
        <f>IFERROR(__xludf.DUMMYFUNCTION("""COMPUTED_VALUE"""),45478.0)</f>
        <v>45478</v>
      </c>
      <c r="Q414" s="45">
        <f>IFERROR(__xludf.DUMMYFUNCTION("""COMPUTED_VALUE"""),45241.0)</f>
        <v>45241</v>
      </c>
      <c r="R414" s="45">
        <f>IFERROR(__xludf.DUMMYFUNCTION("""COMPUTED_VALUE"""),45511.0)</f>
        <v>45511</v>
      </c>
      <c r="S414" s="43"/>
      <c r="T414" s="43"/>
      <c r="U414" s="43" t="str">
        <f>IFERROR(__xludf.DUMMYFUNCTION("""COMPUTED_VALUE"""),"English Teacher ")</f>
        <v>English Teacher </v>
      </c>
      <c r="V414" s="43" t="str">
        <f>IFERROR(__xludf.DUMMYFUNCTION("""COMPUTED_VALUE"""),"Alexandria University")</f>
        <v>Alexandria University</v>
      </c>
      <c r="W414" s="43" t="str">
        <f>IFERROR(__xludf.DUMMYFUNCTION("""COMPUTED_VALUE"""),"2023-09-17T13:51:54Z")</f>
        <v>2023-09-17T13:51:54Z</v>
      </c>
      <c r="X414" s="43"/>
      <c r="Y414" s="43"/>
      <c r="Z414" s="43"/>
    </row>
    <row r="415" hidden="1">
      <c r="A415" s="43" t="str">
        <f>IFERROR(__xludf.DUMMYFUNCTION("""COMPUTED_VALUE"""),"5326737_1297088")</f>
        <v>5326737_1297088</v>
      </c>
      <c r="B415" s="43" t="str">
        <f>IFERROR(__xludf.DUMMYFUNCTION("""COMPUTED_VALUE"""),"Eya Ouesleti")</f>
        <v>Eya Ouesleti</v>
      </c>
      <c r="C415" s="43" t="str">
        <f>IFERROR(__xludf.DUMMYFUNCTION("""COMPUTED_VALUE"""),"realized")</f>
        <v>realized</v>
      </c>
      <c r="D415" s="43" t="str">
        <f>IFERROR(__xludf.DUMMYFUNCTION("""COMPUTED_VALUE"""),"No")</f>
        <v>No</v>
      </c>
      <c r="E415" s="43" t="str">
        <f>IFERROR(__xludf.DUMMYFUNCTION("""COMPUTED_VALUE"""),"p_efd1355510a06c6b52d965bc7f10011ee19e8ca8@inbound.aiesec.org")</f>
        <v>p_efd1355510a06c6b52d965bc7f10011ee19e8ca8@inbound.aiesec.org</v>
      </c>
      <c r="F415" s="43">
        <f>IFERROR(__xludf.DUMMYFUNCTION("""COMPUTED_VALUE"""),5.0094804E7)</f>
        <v>50094804</v>
      </c>
      <c r="G415" s="43" t="str">
        <f>IFERROR(__xludf.DUMMYFUNCTION("""COMPUTED_VALUE"""),"Tunisia")</f>
        <v>Tunisia</v>
      </c>
      <c r="H415" s="43" t="str">
        <f>IFERROR(__xludf.DUMMYFUNCTION("""COMPUTED_VALUE"""),"HADRUMET")</f>
        <v>HADRUMET</v>
      </c>
      <c r="I415" s="43" t="str">
        <f>IFERROR(__xludf.DUMMYFUNCTION("""COMPUTED_VALUE"""),"Turkey")</f>
        <v>Turkey</v>
      </c>
      <c r="J415" s="43" t="str">
        <f>IFERROR(__xludf.DUMMYFUNCTION("""COMPUTED_VALUE"""),"ADANA")</f>
        <v>ADANA</v>
      </c>
      <c r="K415" s="44" t="str">
        <f>IFERROR(__xludf.DUMMYFUNCTION("""COMPUTED_VALUE"""),"https://expa.aiesec.org/opportunities/1297088")</f>
        <v>https://expa.aiesec.org/opportunities/1297088</v>
      </c>
      <c r="L415" s="43" t="str">
        <f>IFERROR(__xludf.DUMMYFUNCTION("""COMPUTED_VALUE"""),"GTe")</f>
        <v>GTe</v>
      </c>
      <c r="M415" s="43" t="str">
        <f>IFERROR(__xludf.DUMMYFUNCTION("""COMPUTED_VALUE"""),"long")</f>
        <v>long</v>
      </c>
      <c r="N415" s="45">
        <f>IFERROR(__xludf.DUMMYFUNCTION("""COMPUTED_VALUE"""),45187.0)</f>
        <v>45187</v>
      </c>
      <c r="O415" s="45">
        <f>IFERROR(__xludf.DUMMYFUNCTION("""COMPUTED_VALUE"""),45200.0)</f>
        <v>45200</v>
      </c>
      <c r="P415" s="45">
        <f>IFERROR(__xludf.DUMMYFUNCTION("""COMPUTED_VALUE"""),45565.0)</f>
        <v>45565</v>
      </c>
      <c r="Q415" s="45">
        <f>IFERROR(__xludf.DUMMYFUNCTION("""COMPUTED_VALUE"""),45201.0)</f>
        <v>45201</v>
      </c>
      <c r="R415" s="45">
        <f>IFERROR(__xludf.DUMMYFUNCTION("""COMPUTED_VALUE"""),45566.0)</f>
        <v>45566</v>
      </c>
      <c r="S415" s="43"/>
      <c r="T415" s="43"/>
      <c r="U415" s="43" t="str">
        <f>IFERROR(__xludf.DUMMYFUNCTION("""COMPUTED_VALUE"""),"Pre-School Teaching")</f>
        <v>Pre-School Teaching</v>
      </c>
      <c r="V415" s="43" t="str">
        <f>IFERROR(__xludf.DUMMYFUNCTION("""COMPUTED_VALUE"""),"FLSH Sousse")</f>
        <v>FLSH Sousse</v>
      </c>
      <c r="W415" s="43" t="str">
        <f>IFERROR(__xludf.DUMMYFUNCTION("""COMPUTED_VALUE"""),"2023-09-18T14:53:31Z")</f>
        <v>2023-09-18T14:53:31Z</v>
      </c>
      <c r="X415" s="43"/>
      <c r="Y415" s="43"/>
      <c r="Z415" s="43"/>
    </row>
    <row r="416" hidden="1">
      <c r="A416" s="43" t="str">
        <f>IFERROR(__xludf.DUMMYFUNCTION("""COMPUTED_VALUE"""),"5088850_1297978")</f>
        <v>5088850_1297978</v>
      </c>
      <c r="B416" s="43" t="str">
        <f>IFERROR(__xludf.DUMMYFUNCTION("""COMPUTED_VALUE"""),"Sihem Mansouri")</f>
        <v>Sihem Mansouri</v>
      </c>
      <c r="C416" s="43" t="str">
        <f>IFERROR(__xludf.DUMMYFUNCTION("""COMPUTED_VALUE"""),"approved")</f>
        <v>approved</v>
      </c>
      <c r="D416" s="43" t="str">
        <f>IFERROR(__xludf.DUMMYFUNCTION("""COMPUTED_VALUE"""),"No")</f>
        <v>No</v>
      </c>
      <c r="E416" s="43" t="str">
        <f>IFERROR(__xludf.DUMMYFUNCTION("""COMPUTED_VALUE"""),"p_e44e3e25bd8c0639bd77669405d3cc2edc1d81ca@inbound.aiesec.org")</f>
        <v>p_e44e3e25bd8c0639bd77669405d3cc2edc1d81ca@inbound.aiesec.org</v>
      </c>
      <c r="F416" s="43">
        <f>IFERROR(__xludf.DUMMYFUNCTION("""COMPUTED_VALUE"""),5.40306672E8)</f>
        <v>540306672</v>
      </c>
      <c r="G416" s="43" t="str">
        <f>IFERROR(__xludf.DUMMYFUNCTION("""COMPUTED_VALUE"""),"Algeria")</f>
        <v>Algeria</v>
      </c>
      <c r="H416" s="43" t="str">
        <f>IFERROR(__xludf.DUMMYFUNCTION("""COMPUTED_VALUE"""),"Blida")</f>
        <v>Blida</v>
      </c>
      <c r="I416" s="43" t="str">
        <f>IFERROR(__xludf.DUMMYFUNCTION("""COMPUTED_VALUE"""),"Turkey")</f>
        <v>Turkey</v>
      </c>
      <c r="J416" s="43" t="str">
        <f>IFERROR(__xludf.DUMMYFUNCTION("""COMPUTED_VALUE"""),"SAMSUN")</f>
        <v>SAMSUN</v>
      </c>
      <c r="K416" s="44" t="str">
        <f>IFERROR(__xludf.DUMMYFUNCTION("""COMPUTED_VALUE"""),"https://expa.aiesec.org/opportunities/1297978")</f>
        <v>https://expa.aiesec.org/opportunities/1297978</v>
      </c>
      <c r="L416" s="43" t="str">
        <f>IFERROR(__xludf.DUMMYFUNCTION("""COMPUTED_VALUE"""),"GTe")</f>
        <v>GTe</v>
      </c>
      <c r="M416" s="43" t="str">
        <f>IFERROR(__xludf.DUMMYFUNCTION("""COMPUTED_VALUE"""),"long")</f>
        <v>long</v>
      </c>
      <c r="N416" s="45">
        <f>IFERROR(__xludf.DUMMYFUNCTION("""COMPUTED_VALUE"""),45187.0)</f>
        <v>45187</v>
      </c>
      <c r="O416" s="45">
        <f>IFERROR(__xludf.DUMMYFUNCTION("""COMPUTED_VALUE"""),45173.0)</f>
        <v>45173</v>
      </c>
      <c r="P416" s="45">
        <f>IFERROR(__xludf.DUMMYFUNCTION("""COMPUTED_VALUE"""),45537.0)</f>
        <v>45537</v>
      </c>
      <c r="Q416" s="45"/>
      <c r="R416" s="45"/>
      <c r="S416" s="43"/>
      <c r="T416" s="43"/>
      <c r="U416" s="43" t="str">
        <f>IFERROR(__xludf.DUMMYFUNCTION("""COMPUTED_VALUE"""),"English Teacher")</f>
        <v>English Teacher</v>
      </c>
      <c r="V416" s="43" t="str">
        <f>IFERROR(__xludf.DUMMYFUNCTION("""COMPUTED_VALUE"""),"AIESEC in Blida")</f>
        <v>AIESEC in Blida</v>
      </c>
      <c r="W416" s="43" t="str">
        <f>IFERROR(__xludf.DUMMYFUNCTION("""COMPUTED_VALUE"""),"2022-08-03T19:29:29Z")</f>
        <v>2022-08-03T19:29:29Z</v>
      </c>
      <c r="X416" s="43"/>
      <c r="Y416" s="43"/>
      <c r="Z416" s="43"/>
    </row>
    <row r="417" hidden="1">
      <c r="A417" s="43" t="str">
        <f>IFERROR(__xludf.DUMMYFUNCTION("""COMPUTED_VALUE"""),"3703338_1288593")</f>
        <v>3703338_1288593</v>
      </c>
      <c r="B417" s="43" t="str">
        <f>IFERROR(__xludf.DUMMYFUNCTION("""COMPUTED_VALUE"""),"Ruta Welay")</f>
        <v>Ruta Welay</v>
      </c>
      <c r="C417" s="43" t="str">
        <f>IFERROR(__xludf.DUMMYFUNCTION("""COMPUTED_VALUE"""),"approved")</f>
        <v>approved</v>
      </c>
      <c r="D417" s="43" t="str">
        <f>IFERROR(__xludf.DUMMYFUNCTION("""COMPUTED_VALUE"""),"No")</f>
        <v>No</v>
      </c>
      <c r="E417" s="43" t="str">
        <f>IFERROR(__xludf.DUMMYFUNCTION("""COMPUTED_VALUE"""),"p_4bc0c713ed33a71cdad1d191c8007c3daf56a690@inbound.aiesec.org")</f>
        <v>p_4bc0c713ed33a71cdad1d191c8007c3daf56a690@inbound.aiesec.org</v>
      </c>
      <c r="F417" s="43">
        <f>IFERROR(__xludf.DUMMYFUNCTION("""COMPUTED_VALUE"""),9.14777108E8)</f>
        <v>914777108</v>
      </c>
      <c r="G417" s="43" t="str">
        <f>IFERROR(__xludf.DUMMYFUNCTION("""COMPUTED_VALUE"""),"Ethiopia")</f>
        <v>Ethiopia</v>
      </c>
      <c r="H417" s="43" t="str">
        <f>IFERROR(__xludf.DUMMYFUNCTION("""COMPUTED_VALUE"""),"Other Universities and Institutions")</f>
        <v>Other Universities and Institutions</v>
      </c>
      <c r="I417" s="43" t="str">
        <f>IFERROR(__xludf.DUMMYFUNCTION("""COMPUTED_VALUE"""),"Turkey")</f>
        <v>Turkey</v>
      </c>
      <c r="J417" s="43" t="str">
        <f>IFERROR(__xludf.DUMMYFUNCTION("""COMPUTED_VALUE"""),"İZMİR")</f>
        <v>İZMİR</v>
      </c>
      <c r="K417" s="44" t="str">
        <f>IFERROR(__xludf.DUMMYFUNCTION("""COMPUTED_VALUE"""),"https://expa.aiesec.org/opportunities/1288593")</f>
        <v>https://expa.aiesec.org/opportunities/1288593</v>
      </c>
      <c r="L417" s="43" t="str">
        <f>IFERROR(__xludf.DUMMYFUNCTION("""COMPUTED_VALUE"""),"GTe")</f>
        <v>GTe</v>
      </c>
      <c r="M417" s="43" t="str">
        <f>IFERROR(__xludf.DUMMYFUNCTION("""COMPUTED_VALUE"""),"long")</f>
        <v>long</v>
      </c>
      <c r="N417" s="45">
        <f>IFERROR(__xludf.DUMMYFUNCTION("""COMPUTED_VALUE"""),45188.0)</f>
        <v>45188</v>
      </c>
      <c r="O417" s="45">
        <f>IFERROR(__xludf.DUMMYFUNCTION("""COMPUTED_VALUE"""),45199.0)</f>
        <v>45199</v>
      </c>
      <c r="P417" s="45">
        <f>IFERROR(__xludf.DUMMYFUNCTION("""COMPUTED_VALUE"""),45473.0)</f>
        <v>45473</v>
      </c>
      <c r="Q417" s="45"/>
      <c r="R417" s="45"/>
      <c r="S417" s="43"/>
      <c r="T417" s="43"/>
      <c r="U417" s="43" t="str">
        <f>IFERROR(__xludf.DUMMYFUNCTION("""COMPUTED_VALUE"""),"English Teacher in Manisa")</f>
        <v>English Teacher in Manisa</v>
      </c>
      <c r="V417" s="43" t="str">
        <f>IFERROR(__xludf.DUMMYFUNCTION("""COMPUTED_VALUE"""),"Other Universities and Institutions")</f>
        <v>Other Universities and Institutions</v>
      </c>
      <c r="W417" s="43" t="str">
        <f>IFERROR(__xludf.DUMMYFUNCTION("""COMPUTED_VALUE"""),"2019-07-24T19:25:34Z")</f>
        <v>2019-07-24T19:25:34Z</v>
      </c>
      <c r="X417" s="43"/>
      <c r="Y417" s="43"/>
      <c r="Z417" s="43"/>
    </row>
    <row r="418" hidden="1">
      <c r="A418" s="43" t="str">
        <f>IFERROR(__xludf.DUMMYFUNCTION("""COMPUTED_VALUE"""),"4628847_1259741")</f>
        <v>4628847_1259741</v>
      </c>
      <c r="B418" s="43" t="str">
        <f>IFERROR(__xludf.DUMMYFUNCTION("""COMPUTED_VALUE"""),"Rawda Badr")</f>
        <v>Rawda Badr</v>
      </c>
      <c r="C418" s="43" t="str">
        <f>IFERROR(__xludf.DUMMYFUNCTION("""COMPUTED_VALUE"""),"approved")</f>
        <v>approved</v>
      </c>
      <c r="D418" s="43" t="str">
        <f>IFERROR(__xludf.DUMMYFUNCTION("""COMPUTED_VALUE"""),"No")</f>
        <v>No</v>
      </c>
      <c r="E418" s="43" t="str">
        <f>IFERROR(__xludf.DUMMYFUNCTION("""COMPUTED_VALUE"""),"p_eca11f18fed527804fea493991fc16af09f2b235@inbound.aiesec.org")</f>
        <v>p_eca11f18fed527804fea493991fc16af09f2b235@inbound.aiesec.org</v>
      </c>
      <c r="F418" s="43">
        <f>IFERROR(__xludf.DUMMYFUNCTION("""COMPUTED_VALUE"""),1.119418999E9)</f>
        <v>1119418999</v>
      </c>
      <c r="G418" s="43" t="str">
        <f>IFERROR(__xludf.DUMMYFUNCTION("""COMPUTED_VALUE"""),"Egypt")</f>
        <v>Egypt</v>
      </c>
      <c r="H418" s="43" t="str">
        <f>IFERROR(__xludf.DUMMYFUNCTION("""COMPUTED_VALUE"""),"Mansoura")</f>
        <v>Mansoura</v>
      </c>
      <c r="I418" s="43" t="str">
        <f>IFERROR(__xludf.DUMMYFUNCTION("""COMPUTED_VALUE"""),"Turkey")</f>
        <v>Turkey</v>
      </c>
      <c r="J418" s="43" t="str">
        <f>IFERROR(__xludf.DUMMYFUNCTION("""COMPUTED_VALUE"""),"KONYA")</f>
        <v>KONYA</v>
      </c>
      <c r="K418" s="44" t="str">
        <f>IFERROR(__xludf.DUMMYFUNCTION("""COMPUTED_VALUE"""),"https://expa.aiesec.org/opportunities/1259741")</f>
        <v>https://expa.aiesec.org/opportunities/1259741</v>
      </c>
      <c r="L418" s="43" t="str">
        <f>IFERROR(__xludf.DUMMYFUNCTION("""COMPUTED_VALUE"""),"GTe")</f>
        <v>GTe</v>
      </c>
      <c r="M418" s="43" t="str">
        <f>IFERROR(__xludf.DUMMYFUNCTION("""COMPUTED_VALUE"""),"long")</f>
        <v>long</v>
      </c>
      <c r="N418" s="45">
        <f>IFERROR(__xludf.DUMMYFUNCTION("""COMPUTED_VALUE"""),45188.0)</f>
        <v>45188</v>
      </c>
      <c r="O418" s="45">
        <f>IFERROR(__xludf.DUMMYFUNCTION("""COMPUTED_VALUE"""),45214.0)</f>
        <v>45214</v>
      </c>
      <c r="P418" s="45">
        <f>IFERROR(__xludf.DUMMYFUNCTION("""COMPUTED_VALUE"""),45579.0)</f>
        <v>45579</v>
      </c>
      <c r="Q418" s="45"/>
      <c r="R418" s="45"/>
      <c r="S418" s="43"/>
      <c r="T418" s="43"/>
      <c r="U418" s="43" t="str">
        <f>IFERROR(__xludf.DUMMYFUNCTION("""COMPUTED_VALUE"""),"English Teacher")</f>
        <v>English Teacher</v>
      </c>
      <c r="V418" s="43" t="str">
        <f>IFERROR(__xludf.DUMMYFUNCTION("""COMPUTED_VALUE"""),"Mansoura")</f>
        <v>Mansoura</v>
      </c>
      <c r="W418" s="43" t="str">
        <f>IFERROR(__xludf.DUMMYFUNCTION("""COMPUTED_VALUE"""),"2021-04-25T14:18:39Z")</f>
        <v>2021-04-25T14:18:39Z</v>
      </c>
      <c r="X418" s="43"/>
      <c r="Y418" s="43"/>
      <c r="Z418" s="43"/>
    </row>
    <row r="419" hidden="1">
      <c r="A419" s="43" t="str">
        <f>IFERROR(__xludf.DUMMYFUNCTION("""COMPUTED_VALUE"""),"5309451_1296305")</f>
        <v>5309451_1296305</v>
      </c>
      <c r="B419" s="43" t="str">
        <f>IFERROR(__xludf.DUMMYFUNCTION("""COMPUTED_VALUE"""),"Linda Ayed")</f>
        <v>Linda Ayed</v>
      </c>
      <c r="C419" s="43" t="str">
        <f>IFERROR(__xludf.DUMMYFUNCTION("""COMPUTED_VALUE"""),"realized")</f>
        <v>realized</v>
      </c>
      <c r="D419" s="43" t="str">
        <f>IFERROR(__xludf.DUMMYFUNCTION("""COMPUTED_VALUE"""),"No")</f>
        <v>No</v>
      </c>
      <c r="E419" s="43" t="str">
        <f>IFERROR(__xludf.DUMMYFUNCTION("""COMPUTED_VALUE"""),"p_bd042e7d836bcbe3a58f25eb0f1460921c3d879b@inbound.aiesec.org")</f>
        <v>p_bd042e7d836bcbe3a58f25eb0f1460921c3d879b@inbound.aiesec.org</v>
      </c>
      <c r="F419" s="43">
        <f>IFERROR(__xludf.DUMMYFUNCTION("""COMPUTED_VALUE"""),2.9616227E7)</f>
        <v>29616227</v>
      </c>
      <c r="G419" s="43" t="str">
        <f>IFERROR(__xludf.DUMMYFUNCTION("""COMPUTED_VALUE"""),"Tunisia")</f>
        <v>Tunisia</v>
      </c>
      <c r="H419" s="43" t="str">
        <f>IFERROR(__xludf.DUMMYFUNCTION("""COMPUTED_VALUE"""),"Carthage")</f>
        <v>Carthage</v>
      </c>
      <c r="I419" s="43" t="str">
        <f>IFERROR(__xludf.DUMMYFUNCTION("""COMPUTED_VALUE"""),"Turkey")</f>
        <v>Turkey</v>
      </c>
      <c r="J419" s="43" t="str">
        <f>IFERROR(__xludf.DUMMYFUNCTION("""COMPUTED_VALUE"""),"İZMİR")</f>
        <v>İZMİR</v>
      </c>
      <c r="K419" s="44" t="str">
        <f>IFERROR(__xludf.DUMMYFUNCTION("""COMPUTED_VALUE"""),"https://expa.aiesec.org/opportunities/1296305")</f>
        <v>https://expa.aiesec.org/opportunities/1296305</v>
      </c>
      <c r="L419" s="43" t="str">
        <f>IFERROR(__xludf.DUMMYFUNCTION("""COMPUTED_VALUE"""),"GTe")</f>
        <v>GTe</v>
      </c>
      <c r="M419" s="43" t="str">
        <f>IFERROR(__xludf.DUMMYFUNCTION("""COMPUTED_VALUE"""),"long")</f>
        <v>long</v>
      </c>
      <c r="N419" s="45">
        <f>IFERROR(__xludf.DUMMYFUNCTION("""COMPUTED_VALUE"""),45188.0)</f>
        <v>45188</v>
      </c>
      <c r="O419" s="45">
        <f>IFERROR(__xludf.DUMMYFUNCTION("""COMPUTED_VALUE"""),45199.0)</f>
        <v>45199</v>
      </c>
      <c r="P419" s="45">
        <f>IFERROR(__xludf.DUMMYFUNCTION("""COMPUTED_VALUE"""),45564.0)</f>
        <v>45564</v>
      </c>
      <c r="Q419" s="45">
        <f>IFERROR(__xludf.DUMMYFUNCTION("""COMPUTED_VALUE"""),45208.0)</f>
        <v>45208</v>
      </c>
      <c r="R419" s="45">
        <f>IFERROR(__xludf.DUMMYFUNCTION("""COMPUTED_VALUE"""),45573.0)</f>
        <v>45573</v>
      </c>
      <c r="S419" s="43"/>
      <c r="T419" s="43"/>
      <c r="U419" s="43" t="str">
        <f>IFERROR(__xludf.DUMMYFUNCTION("""COMPUTED_VALUE"""),"English Teacher")</f>
        <v>English Teacher</v>
      </c>
      <c r="V419" s="43" t="str">
        <f>IFERROR(__xludf.DUMMYFUNCTION("""COMPUTED_VALUE"""),"ISLT")</f>
        <v>ISLT</v>
      </c>
      <c r="W419" s="43" t="str">
        <f>IFERROR(__xludf.DUMMYFUNCTION("""COMPUTED_VALUE"""),"2023-08-25T16:45:44Z")</f>
        <v>2023-08-25T16:45:44Z</v>
      </c>
      <c r="X419" s="43"/>
      <c r="Y419" s="43"/>
      <c r="Z419" s="43"/>
    </row>
    <row r="420" hidden="1">
      <c r="A420" s="43" t="str">
        <f>IFERROR(__xludf.DUMMYFUNCTION("""COMPUTED_VALUE"""),"5326648_1259741")</f>
        <v>5326648_1259741</v>
      </c>
      <c r="B420" s="43" t="str">
        <f>IFERROR(__xludf.DUMMYFUNCTION("""COMPUTED_VALUE"""),"Shimaa Yasser")</f>
        <v>Shimaa Yasser</v>
      </c>
      <c r="C420" s="43" t="str">
        <f>IFERROR(__xludf.DUMMYFUNCTION("""COMPUTED_VALUE"""),"realized")</f>
        <v>realized</v>
      </c>
      <c r="D420" s="43" t="str">
        <f>IFERROR(__xludf.DUMMYFUNCTION("""COMPUTED_VALUE"""),"No")</f>
        <v>No</v>
      </c>
      <c r="E420" s="43" t="str">
        <f>IFERROR(__xludf.DUMMYFUNCTION("""COMPUTED_VALUE"""),"p_f008b9bfe6baf555debce80a4eb90cbbff39643c@inbound.aiesec.org")</f>
        <v>p_f008b9bfe6baf555debce80a4eb90cbbff39643c@inbound.aiesec.org</v>
      </c>
      <c r="F420" s="43">
        <f>IFERROR(__xludf.DUMMYFUNCTION("""COMPUTED_VALUE"""),1.157649293E9)</f>
        <v>1157649293</v>
      </c>
      <c r="G420" s="43" t="str">
        <f>IFERROR(__xludf.DUMMYFUNCTION("""COMPUTED_VALUE"""),"Egypt")</f>
        <v>Egypt</v>
      </c>
      <c r="H420" s="43" t="str">
        <f>IFERROR(__xludf.DUMMYFUNCTION("""COMPUTED_VALUE"""),"Beni Suef")</f>
        <v>Beni Suef</v>
      </c>
      <c r="I420" s="43" t="str">
        <f>IFERROR(__xludf.DUMMYFUNCTION("""COMPUTED_VALUE"""),"Turkey")</f>
        <v>Turkey</v>
      </c>
      <c r="J420" s="43" t="str">
        <f>IFERROR(__xludf.DUMMYFUNCTION("""COMPUTED_VALUE"""),"KONYA")</f>
        <v>KONYA</v>
      </c>
      <c r="K420" s="44" t="str">
        <f>IFERROR(__xludf.DUMMYFUNCTION("""COMPUTED_VALUE"""),"https://expa.aiesec.org/opportunities/1259741")</f>
        <v>https://expa.aiesec.org/opportunities/1259741</v>
      </c>
      <c r="L420" s="43" t="str">
        <f>IFERROR(__xludf.DUMMYFUNCTION("""COMPUTED_VALUE"""),"GTe")</f>
        <v>GTe</v>
      </c>
      <c r="M420" s="43" t="str">
        <f>IFERROR(__xludf.DUMMYFUNCTION("""COMPUTED_VALUE"""),"long")</f>
        <v>long</v>
      </c>
      <c r="N420" s="45">
        <f>IFERROR(__xludf.DUMMYFUNCTION("""COMPUTED_VALUE"""),45189.0)</f>
        <v>45189</v>
      </c>
      <c r="O420" s="45">
        <f>IFERROR(__xludf.DUMMYFUNCTION("""COMPUTED_VALUE"""),45214.0)</f>
        <v>45214</v>
      </c>
      <c r="P420" s="45">
        <f>IFERROR(__xludf.DUMMYFUNCTION("""COMPUTED_VALUE"""),45579.0)</f>
        <v>45579</v>
      </c>
      <c r="Q420" s="45">
        <f>IFERROR(__xludf.DUMMYFUNCTION("""COMPUTED_VALUE"""),45216.0)</f>
        <v>45216</v>
      </c>
      <c r="R420" s="45">
        <f>IFERROR(__xludf.DUMMYFUNCTION("""COMPUTED_VALUE"""),45579.0)</f>
        <v>45579</v>
      </c>
      <c r="S420" s="43"/>
      <c r="T420" s="43"/>
      <c r="U420" s="43" t="str">
        <f>IFERROR(__xludf.DUMMYFUNCTION("""COMPUTED_VALUE"""),"English Teacher")</f>
        <v>English Teacher</v>
      </c>
      <c r="V420" s="43" t="str">
        <f>IFERROR(__xludf.DUMMYFUNCTION("""COMPUTED_VALUE"""),"Fayoum")</f>
        <v>Fayoum</v>
      </c>
      <c r="W420" s="43" t="str">
        <f>IFERROR(__xludf.DUMMYFUNCTION("""COMPUTED_VALUE"""),"2023-09-18T12:44:08Z")</f>
        <v>2023-09-18T12:44:08Z</v>
      </c>
      <c r="X420" s="43"/>
      <c r="Y420" s="43"/>
      <c r="Z420" s="43"/>
    </row>
    <row r="421" hidden="1">
      <c r="A421" s="43" t="str">
        <f>IFERROR(__xludf.DUMMYFUNCTION("""COMPUTED_VALUE"""),"5327703_1298736")</f>
        <v>5327703_1298736</v>
      </c>
      <c r="B421" s="43" t="str">
        <f>IFERROR(__xludf.DUMMYFUNCTION("""COMPUTED_VALUE"""),"Omnia Khedr")</f>
        <v>Omnia Khedr</v>
      </c>
      <c r="C421" s="43" t="str">
        <f>IFERROR(__xludf.DUMMYFUNCTION("""COMPUTED_VALUE"""),"approved")</f>
        <v>approved</v>
      </c>
      <c r="D421" s="43" t="str">
        <f>IFERROR(__xludf.DUMMYFUNCTION("""COMPUTED_VALUE"""),"No")</f>
        <v>No</v>
      </c>
      <c r="E421" s="43" t="str">
        <f>IFERROR(__xludf.DUMMYFUNCTION("""COMPUTED_VALUE"""),"p_a7d17a74e2dc672ba4e85849c0439c2b971dfef5@inbound.aiesec.org")</f>
        <v>p_a7d17a74e2dc672ba4e85849c0439c2b971dfef5@inbound.aiesec.org</v>
      </c>
      <c r="F421" s="43">
        <f>IFERROR(__xludf.DUMMYFUNCTION("""COMPUTED_VALUE"""),1.091154622E9)</f>
        <v>1091154622</v>
      </c>
      <c r="G421" s="43" t="str">
        <f>IFERROR(__xludf.DUMMYFUNCTION("""COMPUTED_VALUE"""),"Egypt")</f>
        <v>Egypt</v>
      </c>
      <c r="H421" s="43" t="str">
        <f>IFERROR(__xludf.DUMMYFUNCTION("""COMPUTED_VALUE"""),"6th October University")</f>
        <v>6th October University</v>
      </c>
      <c r="I421" s="43" t="str">
        <f>IFERROR(__xludf.DUMMYFUNCTION("""COMPUTED_VALUE"""),"Turkey")</f>
        <v>Turkey</v>
      </c>
      <c r="J421" s="43" t="str">
        <f>IFERROR(__xludf.DUMMYFUNCTION("""COMPUTED_VALUE"""),"ISTANBUL ASIA")</f>
        <v>ISTANBUL ASIA</v>
      </c>
      <c r="K421" s="44" t="str">
        <f>IFERROR(__xludf.DUMMYFUNCTION("""COMPUTED_VALUE"""),"https://expa.aiesec.org/opportunities/1298736")</f>
        <v>https://expa.aiesec.org/opportunities/1298736</v>
      </c>
      <c r="L421" s="43" t="str">
        <f>IFERROR(__xludf.DUMMYFUNCTION("""COMPUTED_VALUE"""),"GTe")</f>
        <v>GTe</v>
      </c>
      <c r="M421" s="43" t="str">
        <f>IFERROR(__xludf.DUMMYFUNCTION("""COMPUTED_VALUE"""),"long")</f>
        <v>long</v>
      </c>
      <c r="N421" s="45">
        <f>IFERROR(__xludf.DUMMYFUNCTION("""COMPUTED_VALUE"""),45189.0)</f>
        <v>45189</v>
      </c>
      <c r="O421" s="45">
        <f>IFERROR(__xludf.DUMMYFUNCTION("""COMPUTED_VALUE"""),45206.0)</f>
        <v>45206</v>
      </c>
      <c r="P421" s="45">
        <f>IFERROR(__xludf.DUMMYFUNCTION("""COMPUTED_VALUE"""),45569.0)</f>
        <v>45569</v>
      </c>
      <c r="Q421" s="45"/>
      <c r="R421" s="45"/>
      <c r="S421" s="43"/>
      <c r="T421" s="43"/>
      <c r="U421" s="43" t="str">
        <f>IFERROR(__xludf.DUMMYFUNCTION("""COMPUTED_VALUE"""),"Amerikan Kültür Kavacık")</f>
        <v>Amerikan Kültür Kavacık</v>
      </c>
      <c r="V421" s="43" t="str">
        <f>IFERROR(__xludf.DUMMYFUNCTION("""COMPUTED_VALUE"""),"6th of October University")</f>
        <v>6th of October University</v>
      </c>
      <c r="W421" s="43" t="str">
        <f>IFERROR(__xludf.DUMMYFUNCTION("""COMPUTED_VALUE"""),"2023-09-19T21:28:44Z")</f>
        <v>2023-09-19T21:28:44Z</v>
      </c>
      <c r="X421" s="43"/>
      <c r="Y421" s="43"/>
      <c r="Z421" s="43"/>
    </row>
    <row r="422" hidden="1">
      <c r="A422" s="43" t="str">
        <f>IFERROR(__xludf.DUMMYFUNCTION("""COMPUTED_VALUE"""),"5282798_1299445")</f>
        <v>5282798_1299445</v>
      </c>
      <c r="B422" s="43" t="str">
        <f>IFERROR(__xludf.DUMMYFUNCTION("""COMPUTED_VALUE"""),"Imene Lakhmes")</f>
        <v>Imene Lakhmes</v>
      </c>
      <c r="C422" s="43" t="str">
        <f>IFERROR(__xludf.DUMMYFUNCTION("""COMPUTED_VALUE"""),"realized")</f>
        <v>realized</v>
      </c>
      <c r="D422" s="43" t="str">
        <f>IFERROR(__xludf.DUMMYFUNCTION("""COMPUTED_VALUE"""),"No")</f>
        <v>No</v>
      </c>
      <c r="E422" s="43" t="str">
        <f>IFERROR(__xludf.DUMMYFUNCTION("""COMPUTED_VALUE"""),"p_45f5a880397c100409a43e51ae04c2a5754254df@inbound.aiesec.org")</f>
        <v>p_45f5a880397c100409a43e51ae04c2a5754254df@inbound.aiesec.org</v>
      </c>
      <c r="F422" s="43">
        <f>IFERROR(__xludf.DUMMYFUNCTION("""COMPUTED_VALUE"""),6.98246172E8)</f>
        <v>698246172</v>
      </c>
      <c r="G422" s="43" t="str">
        <f>IFERROR(__xludf.DUMMYFUNCTION("""COMPUTED_VALUE"""),"Algeria")</f>
        <v>Algeria</v>
      </c>
      <c r="H422" s="43" t="str">
        <f>IFERROR(__xludf.DUMMYFUNCTION("""COMPUTED_VALUE"""),"Oran")</f>
        <v>Oran</v>
      </c>
      <c r="I422" s="43" t="str">
        <f>IFERROR(__xludf.DUMMYFUNCTION("""COMPUTED_VALUE"""),"Turkey")</f>
        <v>Turkey</v>
      </c>
      <c r="J422" s="43" t="str">
        <f>IFERROR(__xludf.DUMMYFUNCTION("""COMPUTED_VALUE"""),"ISTANBUL ASIA")</f>
        <v>ISTANBUL ASIA</v>
      </c>
      <c r="K422" s="44" t="str">
        <f>IFERROR(__xludf.DUMMYFUNCTION("""COMPUTED_VALUE"""),"https://expa.aiesec.org/opportunities/1299445")</f>
        <v>https://expa.aiesec.org/opportunities/1299445</v>
      </c>
      <c r="L422" s="43" t="str">
        <f>IFERROR(__xludf.DUMMYFUNCTION("""COMPUTED_VALUE"""),"GTe")</f>
        <v>GTe</v>
      </c>
      <c r="M422" s="43" t="str">
        <f>IFERROR(__xludf.DUMMYFUNCTION("""COMPUTED_VALUE"""),"long")</f>
        <v>long</v>
      </c>
      <c r="N422" s="45">
        <f>IFERROR(__xludf.DUMMYFUNCTION("""COMPUTED_VALUE"""),45189.0)</f>
        <v>45189</v>
      </c>
      <c r="O422" s="45">
        <f>IFERROR(__xludf.DUMMYFUNCTION("""COMPUTED_VALUE"""),45202.0)</f>
        <v>45202</v>
      </c>
      <c r="P422" s="45">
        <f>IFERROR(__xludf.DUMMYFUNCTION("""COMPUTED_VALUE"""),45562.0)</f>
        <v>45562</v>
      </c>
      <c r="Q422" s="45">
        <f>IFERROR(__xludf.DUMMYFUNCTION("""COMPUTED_VALUE"""),45209.0)</f>
        <v>45209</v>
      </c>
      <c r="R422" s="45">
        <f>IFERROR(__xludf.DUMMYFUNCTION("""COMPUTED_VALUE"""),45569.0)</f>
        <v>45569</v>
      </c>
      <c r="S422" s="43"/>
      <c r="T422" s="43"/>
      <c r="U422" s="43" t="str">
        <f>IFERROR(__xludf.DUMMYFUNCTION("""COMPUTED_VALUE"""),"Atabay Anaokulu")</f>
        <v>Atabay Anaokulu</v>
      </c>
      <c r="V422" s="43" t="str">
        <f>IFERROR(__xludf.DUMMYFUNCTION("""COMPUTED_VALUE"""),"AIESEC in Oran")</f>
        <v>AIESEC in Oran</v>
      </c>
      <c r="W422" s="43" t="str">
        <f>IFERROR(__xludf.DUMMYFUNCTION("""COMPUTED_VALUE"""),"2023-07-06T13:39:26Z")</f>
        <v>2023-07-06T13:39:26Z</v>
      </c>
      <c r="X422" s="43"/>
      <c r="Y422" s="43"/>
      <c r="Z422" s="43"/>
    </row>
    <row r="423" hidden="1">
      <c r="A423" s="43" t="str">
        <f>IFERROR(__xludf.DUMMYFUNCTION("""COMPUTED_VALUE"""),"5302293_1295042")</f>
        <v>5302293_1295042</v>
      </c>
      <c r="B423" s="43" t="str">
        <f>IFERROR(__xludf.DUMMYFUNCTION("""COMPUTED_VALUE"""),"Fanit Amine")</f>
        <v>Fanit Amine</v>
      </c>
      <c r="C423" s="43" t="str">
        <f>IFERROR(__xludf.DUMMYFUNCTION("""COMPUTED_VALUE"""),"realized")</f>
        <v>realized</v>
      </c>
      <c r="D423" s="43" t="str">
        <f>IFERROR(__xludf.DUMMYFUNCTION("""COMPUTED_VALUE"""),"No")</f>
        <v>No</v>
      </c>
      <c r="E423" s="43" t="str">
        <f>IFERROR(__xludf.DUMMYFUNCTION("""COMPUTED_VALUE"""),"p_864fdd1b9b61f95bd2d0612e01e3f64b2527e0a9@inbound.aiesec.org")</f>
        <v>p_864fdd1b9b61f95bd2d0612e01e3f64b2527e0a9@inbound.aiesec.org</v>
      </c>
      <c r="F423" s="43"/>
      <c r="G423" s="43" t="str">
        <f>IFERROR(__xludf.DUMMYFUNCTION("""COMPUTED_VALUE"""),"Algeria")</f>
        <v>Algeria</v>
      </c>
      <c r="H423" s="43" t="str">
        <f>IFERROR(__xludf.DUMMYFUNCTION("""COMPUTED_VALUE"""),"Constantine")</f>
        <v>Constantine</v>
      </c>
      <c r="I423" s="43" t="str">
        <f>IFERROR(__xludf.DUMMYFUNCTION("""COMPUTED_VALUE"""),"Turkey")</f>
        <v>Turkey</v>
      </c>
      <c r="J423" s="43" t="str">
        <f>IFERROR(__xludf.DUMMYFUNCTION("""COMPUTED_VALUE"""),"ANKARA")</f>
        <v>ANKARA</v>
      </c>
      <c r="K423" s="44" t="str">
        <f>IFERROR(__xludf.DUMMYFUNCTION("""COMPUTED_VALUE"""),"https://expa.aiesec.org/opportunities/1295042")</f>
        <v>https://expa.aiesec.org/opportunities/1295042</v>
      </c>
      <c r="L423" s="43" t="str">
        <f>IFERROR(__xludf.DUMMYFUNCTION("""COMPUTED_VALUE"""),"GTe")</f>
        <v>GTe</v>
      </c>
      <c r="M423" s="43" t="str">
        <f>IFERROR(__xludf.DUMMYFUNCTION("""COMPUTED_VALUE"""),"long")</f>
        <v>long</v>
      </c>
      <c r="N423" s="45">
        <f>IFERROR(__xludf.DUMMYFUNCTION("""COMPUTED_VALUE"""),45189.0)</f>
        <v>45189</v>
      </c>
      <c r="O423" s="45">
        <f>IFERROR(__xludf.DUMMYFUNCTION("""COMPUTED_VALUE"""),45173.0)</f>
        <v>45173</v>
      </c>
      <c r="P423" s="45">
        <f>IFERROR(__xludf.DUMMYFUNCTION("""COMPUTED_VALUE"""),45534.0)</f>
        <v>45534</v>
      </c>
      <c r="Q423" s="45">
        <f>IFERROR(__xludf.DUMMYFUNCTION("""COMPUTED_VALUE"""),45234.0)</f>
        <v>45234</v>
      </c>
      <c r="R423" s="45">
        <f>IFERROR(__xludf.DUMMYFUNCTION("""COMPUTED_VALUE"""),45595.0)</f>
        <v>45595</v>
      </c>
      <c r="S423" s="43"/>
      <c r="T423" s="43"/>
      <c r="U423" s="43" t="str">
        <f>IFERROR(__xludf.DUMMYFUNCTION("""COMPUTED_VALUE"""),"Teacher(english,PE,math)")</f>
        <v>Teacher(english,PE,math)</v>
      </c>
      <c r="V423" s="43" t="str">
        <f>IFERROR(__xludf.DUMMYFUNCTION("""COMPUTED_VALUE"""),"-")</f>
        <v>-</v>
      </c>
      <c r="W423" s="43" t="str">
        <f>IFERROR(__xludf.DUMMYFUNCTION("""COMPUTED_VALUE"""),"2023-08-14T11:24:09Z")</f>
        <v>2023-08-14T11:24:09Z</v>
      </c>
      <c r="X423" s="43"/>
      <c r="Y423" s="43"/>
      <c r="Z423" s="43"/>
    </row>
    <row r="424" hidden="1">
      <c r="A424" s="43" t="str">
        <f>IFERROR(__xludf.DUMMYFUNCTION("""COMPUTED_VALUE"""),"2342028_1299196")</f>
        <v>2342028_1299196</v>
      </c>
      <c r="B424" s="43" t="str">
        <f>IFERROR(__xludf.DUMMYFUNCTION("""COMPUTED_VALUE"""),"Ikram Kriaà")</f>
        <v>Ikram Kriaà</v>
      </c>
      <c r="C424" s="43" t="str">
        <f>IFERROR(__xludf.DUMMYFUNCTION("""COMPUTED_VALUE"""),"realized")</f>
        <v>realized</v>
      </c>
      <c r="D424" s="43" t="str">
        <f>IFERROR(__xludf.DUMMYFUNCTION("""COMPUTED_VALUE"""),"No")</f>
        <v>No</v>
      </c>
      <c r="E424" s="43" t="str">
        <f>IFERROR(__xludf.DUMMYFUNCTION("""COMPUTED_VALUE"""),"p_a06cb23ac51e800b8d34b715b374c9256b1d6b94@inbound.aiesec.org")</f>
        <v>p_a06cb23ac51e800b8d34b715b374c9256b1d6b94@inbound.aiesec.org</v>
      </c>
      <c r="F424" s="43">
        <f>IFERROR(__xludf.DUMMYFUNCTION("""COMPUTED_VALUE"""),5.0234412E7)</f>
        <v>50234412</v>
      </c>
      <c r="G424" s="43" t="str">
        <f>IFERROR(__xludf.DUMMYFUNCTION("""COMPUTED_VALUE"""),"Tunisia")</f>
        <v>Tunisia</v>
      </c>
      <c r="H424" s="43" t="str">
        <f>IFERROR(__xludf.DUMMYFUNCTION("""COMPUTED_VALUE"""),"HADRUMET")</f>
        <v>HADRUMET</v>
      </c>
      <c r="I424" s="43" t="str">
        <f>IFERROR(__xludf.DUMMYFUNCTION("""COMPUTED_VALUE"""),"Turkey")</f>
        <v>Turkey</v>
      </c>
      <c r="J424" s="43" t="str">
        <f>IFERROR(__xludf.DUMMYFUNCTION("""COMPUTED_VALUE"""),"KOCAELI")</f>
        <v>KOCAELI</v>
      </c>
      <c r="K424" s="44" t="str">
        <f>IFERROR(__xludf.DUMMYFUNCTION("""COMPUTED_VALUE"""),"https://expa.aiesec.org/opportunities/1299196")</f>
        <v>https://expa.aiesec.org/opportunities/1299196</v>
      </c>
      <c r="L424" s="43" t="str">
        <f>IFERROR(__xludf.DUMMYFUNCTION("""COMPUTED_VALUE"""),"GTe")</f>
        <v>GTe</v>
      </c>
      <c r="M424" s="43" t="str">
        <f>IFERROR(__xludf.DUMMYFUNCTION("""COMPUTED_VALUE"""),"long")</f>
        <v>long</v>
      </c>
      <c r="N424" s="45">
        <f>IFERROR(__xludf.DUMMYFUNCTION("""COMPUTED_VALUE"""),45190.0)</f>
        <v>45190</v>
      </c>
      <c r="O424" s="45">
        <f>IFERROR(__xludf.DUMMYFUNCTION("""COMPUTED_VALUE"""),45194.0)</f>
        <v>45194</v>
      </c>
      <c r="P424" s="45">
        <f>IFERROR(__xludf.DUMMYFUNCTION("""COMPUTED_VALUE"""),45452.0)</f>
        <v>45452</v>
      </c>
      <c r="Q424" s="45">
        <f>IFERROR(__xludf.DUMMYFUNCTION("""COMPUTED_VALUE"""),45201.0)</f>
        <v>45201</v>
      </c>
      <c r="R424" s="45">
        <f>IFERROR(__xludf.DUMMYFUNCTION("""COMPUTED_VALUE"""),45458.0)</f>
        <v>45458</v>
      </c>
      <c r="S424" s="43"/>
      <c r="T424" s="43"/>
      <c r="U424" s="43" t="str">
        <f>IFERROR(__xludf.DUMMYFUNCTION("""COMPUTED_VALUE"""),"English Teacher in Minik AR-GE Anaokulu Mutlukent")</f>
        <v>English Teacher in Minik AR-GE Anaokulu Mutlukent</v>
      </c>
      <c r="V424" s="43" t="str">
        <f>IFERROR(__xludf.DUMMYFUNCTION("""COMPUTED_VALUE"""),"FLSH Sousse")</f>
        <v>FLSH Sousse</v>
      </c>
      <c r="W424" s="43" t="str">
        <f>IFERROR(__xludf.DUMMYFUNCTION("""COMPUTED_VALUE"""),"2018-06-03T23:49:43Z")</f>
        <v>2018-06-03T23:49:43Z</v>
      </c>
      <c r="X424" s="43"/>
      <c r="Y424" s="43"/>
      <c r="Z424" s="43"/>
    </row>
    <row r="425" hidden="1">
      <c r="A425" s="43" t="str">
        <f>IFERROR(__xludf.DUMMYFUNCTION("""COMPUTED_VALUE"""),"5317140_1294780")</f>
        <v>5317140_1294780</v>
      </c>
      <c r="B425" s="43" t="str">
        <f>IFERROR(__xludf.DUMMYFUNCTION("""COMPUTED_VALUE"""),"Zaynab Belkasmi")</f>
        <v>Zaynab Belkasmi</v>
      </c>
      <c r="C425" s="43" t="str">
        <f>IFERROR(__xludf.DUMMYFUNCTION("""COMPUTED_VALUE"""),"realized")</f>
        <v>realized</v>
      </c>
      <c r="D425" s="43" t="str">
        <f>IFERROR(__xludf.DUMMYFUNCTION("""COMPUTED_VALUE"""),"No")</f>
        <v>No</v>
      </c>
      <c r="E425" s="43" t="str">
        <f>IFERROR(__xludf.DUMMYFUNCTION("""COMPUTED_VALUE"""),"p_23ca384e0e1d47b4f59fd5ce44dd9919f00292e4@inbound.aiesec.org")</f>
        <v>p_23ca384e0e1d47b4f59fd5ce44dd9919f00292e4@inbound.aiesec.org</v>
      </c>
      <c r="F425" s="43"/>
      <c r="G425" s="43" t="str">
        <f>IFERROR(__xludf.DUMMYFUNCTION("""COMPUTED_VALUE"""),"Morocco")</f>
        <v>Morocco</v>
      </c>
      <c r="H425" s="43" t="str">
        <f>IFERROR(__xludf.DUMMYFUNCTION("""COMPUTED_VALUE"""),"Morocco (MC)")</f>
        <v>Morocco (MC)</v>
      </c>
      <c r="I425" s="43" t="str">
        <f>IFERROR(__xludf.DUMMYFUNCTION("""COMPUTED_VALUE"""),"Turkey")</f>
        <v>Turkey</v>
      </c>
      <c r="J425" s="43" t="str">
        <f>IFERROR(__xludf.DUMMYFUNCTION("""COMPUTED_VALUE"""),"GAZIANTEP")</f>
        <v>GAZIANTEP</v>
      </c>
      <c r="K425" s="44" t="str">
        <f>IFERROR(__xludf.DUMMYFUNCTION("""COMPUTED_VALUE"""),"https://expa.aiesec.org/opportunities/1294780")</f>
        <v>https://expa.aiesec.org/opportunities/1294780</v>
      </c>
      <c r="L425" s="43" t="str">
        <f>IFERROR(__xludf.DUMMYFUNCTION("""COMPUTED_VALUE"""),"GTe")</f>
        <v>GTe</v>
      </c>
      <c r="M425" s="43" t="str">
        <f>IFERROR(__xludf.DUMMYFUNCTION("""COMPUTED_VALUE"""),"long")</f>
        <v>long</v>
      </c>
      <c r="N425" s="45">
        <f>IFERROR(__xludf.DUMMYFUNCTION("""COMPUTED_VALUE"""),45191.0)</f>
        <v>45191</v>
      </c>
      <c r="O425" s="45">
        <f>IFERROR(__xludf.DUMMYFUNCTION("""COMPUTED_VALUE"""),45189.0)</f>
        <v>45189</v>
      </c>
      <c r="P425" s="45">
        <f>IFERROR(__xludf.DUMMYFUNCTION("""COMPUTED_VALUE"""),45554.0)</f>
        <v>45554</v>
      </c>
      <c r="Q425" s="45">
        <f>IFERROR(__xludf.DUMMYFUNCTION("""COMPUTED_VALUE"""),45204.0)</f>
        <v>45204</v>
      </c>
      <c r="R425" s="45">
        <f>IFERROR(__xludf.DUMMYFUNCTION("""COMPUTED_VALUE"""),45569.0)</f>
        <v>45569</v>
      </c>
      <c r="S425" s="43"/>
      <c r="T425" s="43"/>
      <c r="U425" s="43" t="str">
        <f>IFERROR(__xludf.DUMMYFUNCTION("""COMPUTED_VALUE"""),"English Teacher")</f>
        <v>English Teacher</v>
      </c>
      <c r="V425" s="43" t="str">
        <f>IFERROR(__xludf.DUMMYFUNCTION("""COMPUTED_VALUE"""),"-")</f>
        <v>-</v>
      </c>
      <c r="W425" s="43" t="str">
        <f>IFERROR(__xludf.DUMMYFUNCTION("""COMPUTED_VALUE"""),"2023-09-02T22:36:52Z")</f>
        <v>2023-09-02T22:36:52Z</v>
      </c>
      <c r="X425" s="43"/>
      <c r="Y425" s="43"/>
      <c r="Z425" s="43"/>
    </row>
    <row r="426" hidden="1">
      <c r="A426" s="43" t="str">
        <f>IFERROR(__xludf.DUMMYFUNCTION("""COMPUTED_VALUE"""),"5327093_1297445")</f>
        <v>5327093_1297445</v>
      </c>
      <c r="B426" s="43" t="str">
        <f>IFERROR(__xludf.DUMMYFUNCTION("""COMPUTED_VALUE"""),"Ait mohamed Tinhinane")</f>
        <v>Ait mohamed Tinhinane</v>
      </c>
      <c r="C426" s="43" t="str">
        <f>IFERROR(__xludf.DUMMYFUNCTION("""COMPUTED_VALUE"""),"realized")</f>
        <v>realized</v>
      </c>
      <c r="D426" s="43" t="str">
        <f>IFERROR(__xludf.DUMMYFUNCTION("""COMPUTED_VALUE"""),"No")</f>
        <v>No</v>
      </c>
      <c r="E426" s="43" t="str">
        <f>IFERROR(__xludf.DUMMYFUNCTION("""COMPUTED_VALUE"""),"p_80267b57741e83750a8639ac39bd1a19ef0386f5@inbound.aiesec.org")</f>
        <v>p_80267b57741e83750a8639ac39bd1a19ef0386f5@inbound.aiesec.org</v>
      </c>
      <c r="F426" s="43">
        <f>IFERROR(__xludf.DUMMYFUNCTION("""COMPUTED_VALUE"""),7.93011342E8)</f>
        <v>793011342</v>
      </c>
      <c r="G426" s="43" t="str">
        <f>IFERROR(__xludf.DUMMYFUNCTION("""COMPUTED_VALUE"""),"Algeria")</f>
        <v>Algeria</v>
      </c>
      <c r="H426" s="43" t="str">
        <f>IFERROR(__xludf.DUMMYFUNCTION("""COMPUTED_VALUE"""),"Oran")</f>
        <v>Oran</v>
      </c>
      <c r="I426" s="43" t="str">
        <f>IFERROR(__xludf.DUMMYFUNCTION("""COMPUTED_VALUE"""),"Turkey")</f>
        <v>Turkey</v>
      </c>
      <c r="J426" s="43" t="str">
        <f>IFERROR(__xludf.DUMMYFUNCTION("""COMPUTED_VALUE"""),"GAZIANTEP")</f>
        <v>GAZIANTEP</v>
      </c>
      <c r="K426" s="44" t="str">
        <f>IFERROR(__xludf.DUMMYFUNCTION("""COMPUTED_VALUE"""),"https://expa.aiesec.org/opportunities/1297445")</f>
        <v>https://expa.aiesec.org/opportunities/1297445</v>
      </c>
      <c r="L426" s="43" t="str">
        <f>IFERROR(__xludf.DUMMYFUNCTION("""COMPUTED_VALUE"""),"GTe")</f>
        <v>GTe</v>
      </c>
      <c r="M426" s="43" t="str">
        <f>IFERROR(__xludf.DUMMYFUNCTION("""COMPUTED_VALUE"""),"long")</f>
        <v>long</v>
      </c>
      <c r="N426" s="45">
        <f>IFERROR(__xludf.DUMMYFUNCTION("""COMPUTED_VALUE"""),45191.0)</f>
        <v>45191</v>
      </c>
      <c r="O426" s="45">
        <f>IFERROR(__xludf.DUMMYFUNCTION("""COMPUTED_VALUE"""),45201.0)</f>
        <v>45201</v>
      </c>
      <c r="P426" s="45">
        <f>IFERROR(__xludf.DUMMYFUNCTION("""COMPUTED_VALUE"""),45566.0)</f>
        <v>45566</v>
      </c>
      <c r="Q426" s="45">
        <f>IFERROR(__xludf.DUMMYFUNCTION("""COMPUTED_VALUE"""),45191.0)</f>
        <v>45191</v>
      </c>
      <c r="R426" s="45">
        <f>IFERROR(__xludf.DUMMYFUNCTION("""COMPUTED_VALUE"""),45566.0)</f>
        <v>45566</v>
      </c>
      <c r="S426" s="43"/>
      <c r="T426" s="43"/>
      <c r="U426" s="43" t="str">
        <f>IFERROR(__xludf.DUMMYFUNCTION("""COMPUTED_VALUE"""),"English Teacher")</f>
        <v>English Teacher</v>
      </c>
      <c r="V426" s="43" t="str">
        <f>IFERROR(__xludf.DUMMYFUNCTION("""COMPUTED_VALUE"""),"AIESEC in Oran")</f>
        <v>AIESEC in Oran</v>
      </c>
      <c r="W426" s="43" t="str">
        <f>IFERROR(__xludf.DUMMYFUNCTION("""COMPUTED_VALUE"""),"2023-09-18T23:30:23Z")</f>
        <v>2023-09-18T23:30:23Z</v>
      </c>
      <c r="X426" s="43"/>
      <c r="Y426" s="43"/>
      <c r="Z426" s="43"/>
    </row>
    <row r="427" hidden="1">
      <c r="A427" s="43" t="str">
        <f>IFERROR(__xludf.DUMMYFUNCTION("""COMPUTED_VALUE"""),"5323805_1294581")</f>
        <v>5323805_1294581</v>
      </c>
      <c r="B427" s="43" t="str">
        <f>IFERROR(__xludf.DUMMYFUNCTION("""COMPUTED_VALUE"""),"Mohamed Qriouch")</f>
        <v>Mohamed Qriouch</v>
      </c>
      <c r="C427" s="43" t="str">
        <f>IFERROR(__xludf.DUMMYFUNCTION("""COMPUTED_VALUE"""),"realized")</f>
        <v>realized</v>
      </c>
      <c r="D427" s="43" t="str">
        <f>IFERROR(__xludf.DUMMYFUNCTION("""COMPUTED_VALUE"""),"No")</f>
        <v>No</v>
      </c>
      <c r="E427" s="43" t="str">
        <f>IFERROR(__xludf.DUMMYFUNCTION("""COMPUTED_VALUE"""),"p_1568901d89ee918412ff3b18f587d5cb40b2fa23@inbound.aiesec.org")</f>
        <v>p_1568901d89ee918412ff3b18f587d5cb40b2fa23@inbound.aiesec.org</v>
      </c>
      <c r="F427" s="43">
        <f>IFERROR(__xludf.DUMMYFUNCTION("""COMPUTED_VALUE"""),6.95229223E8)</f>
        <v>695229223</v>
      </c>
      <c r="G427" s="43" t="str">
        <f>IFERROR(__xludf.DUMMYFUNCTION("""COMPUTED_VALUE"""),"Morocco")</f>
        <v>Morocco</v>
      </c>
      <c r="H427" s="43" t="str">
        <f>IFERROR(__xludf.DUMMYFUNCTION("""COMPUTED_VALUE"""),"Casablanca")</f>
        <v>Casablanca</v>
      </c>
      <c r="I427" s="43" t="str">
        <f>IFERROR(__xludf.DUMMYFUNCTION("""COMPUTED_VALUE"""),"Turkey")</f>
        <v>Turkey</v>
      </c>
      <c r="J427" s="43" t="str">
        <f>IFERROR(__xludf.DUMMYFUNCTION("""COMPUTED_VALUE"""),"SAKARYA")</f>
        <v>SAKARYA</v>
      </c>
      <c r="K427" s="44" t="str">
        <f>IFERROR(__xludf.DUMMYFUNCTION("""COMPUTED_VALUE"""),"https://expa.aiesec.org/opportunities/1294581")</f>
        <v>https://expa.aiesec.org/opportunities/1294581</v>
      </c>
      <c r="L427" s="43" t="str">
        <f>IFERROR(__xludf.DUMMYFUNCTION("""COMPUTED_VALUE"""),"GTe")</f>
        <v>GTe</v>
      </c>
      <c r="M427" s="43" t="str">
        <f>IFERROR(__xludf.DUMMYFUNCTION("""COMPUTED_VALUE"""),"long")</f>
        <v>long</v>
      </c>
      <c r="N427" s="45">
        <f>IFERROR(__xludf.DUMMYFUNCTION("""COMPUTED_VALUE"""),45191.0)</f>
        <v>45191</v>
      </c>
      <c r="O427" s="45">
        <f>IFERROR(__xludf.DUMMYFUNCTION("""COMPUTED_VALUE"""),45195.0)</f>
        <v>45195</v>
      </c>
      <c r="P427" s="45">
        <f>IFERROR(__xludf.DUMMYFUNCTION("""COMPUTED_VALUE"""),45557.0)</f>
        <v>45557</v>
      </c>
      <c r="Q427" s="45">
        <f>IFERROR(__xludf.DUMMYFUNCTION("""COMPUTED_VALUE"""),45192.0)</f>
        <v>45192</v>
      </c>
      <c r="R427" s="45">
        <f>IFERROR(__xludf.DUMMYFUNCTION("""COMPUTED_VALUE"""),45557.0)</f>
        <v>45557</v>
      </c>
      <c r="S427" s="43"/>
      <c r="T427" s="43"/>
      <c r="U427" s="43" t="str">
        <f>IFERROR(__xludf.DUMMYFUNCTION("""COMPUTED_VALUE"""),"Kindergarden Teacher")</f>
        <v>Kindergarden Teacher</v>
      </c>
      <c r="V427" s="43" t="str">
        <f>IFERROR(__xludf.DUMMYFUNCTION("""COMPUTED_VALUE"""),"FLSH Ben Msik Casablanca")</f>
        <v>FLSH Ben Msik Casablanca</v>
      </c>
      <c r="W427" s="43" t="str">
        <f>IFERROR(__xludf.DUMMYFUNCTION("""COMPUTED_VALUE"""),"2023-09-14T12:03:54Z")</f>
        <v>2023-09-14T12:03:54Z</v>
      </c>
      <c r="X427" s="43"/>
      <c r="Y427" s="43"/>
      <c r="Z427" s="43"/>
    </row>
    <row r="428" hidden="1">
      <c r="A428" s="43" t="str">
        <f>IFERROR(__xludf.DUMMYFUNCTION("""COMPUTED_VALUE"""),"3312030_1297652")</f>
        <v>3312030_1297652</v>
      </c>
      <c r="B428" s="43" t="str">
        <f>IFERROR(__xludf.DUMMYFUNCTION("""COMPUTED_VALUE"""),"oumar sow")</f>
        <v>oumar sow</v>
      </c>
      <c r="C428" s="43" t="str">
        <f>IFERROR(__xludf.DUMMYFUNCTION("""COMPUTED_VALUE"""),"approved")</f>
        <v>approved</v>
      </c>
      <c r="D428" s="43" t="str">
        <f>IFERROR(__xludf.DUMMYFUNCTION("""COMPUTED_VALUE"""),"No")</f>
        <v>No</v>
      </c>
      <c r="E428" s="43" t="str">
        <f>IFERROR(__xludf.DUMMYFUNCTION("""COMPUTED_VALUE"""),"p_873eb3f72a1a57efd3105de4c5f4b4831d867b61@inbound.aiesec.org")</f>
        <v>p_873eb3f72a1a57efd3105de4c5f4b4831d867b61@inbound.aiesec.org</v>
      </c>
      <c r="F428" s="43">
        <f>IFERROR(__xludf.DUMMYFUNCTION("""COMPUTED_VALUE"""),5.439716896E9)</f>
        <v>5439716896</v>
      </c>
      <c r="G428" s="43" t="str">
        <f>IFERROR(__xludf.DUMMYFUNCTION("""COMPUTED_VALUE"""),"Senegal")</f>
        <v>Senegal</v>
      </c>
      <c r="H428" s="43" t="str">
        <f>IFERROR(__xludf.DUMMYFUNCTION("""COMPUTED_VALUE"""),"Senegal")</f>
        <v>Senegal</v>
      </c>
      <c r="I428" s="43" t="str">
        <f>IFERROR(__xludf.DUMMYFUNCTION("""COMPUTED_VALUE"""),"Turkey")</f>
        <v>Turkey</v>
      </c>
      <c r="J428" s="43" t="str">
        <f>IFERROR(__xludf.DUMMYFUNCTION("""COMPUTED_VALUE"""),"İZMİR")</f>
        <v>İZMİR</v>
      </c>
      <c r="K428" s="44" t="str">
        <f>IFERROR(__xludf.DUMMYFUNCTION("""COMPUTED_VALUE"""),"https://expa.aiesec.org/opportunities/1297652")</f>
        <v>https://expa.aiesec.org/opportunities/1297652</v>
      </c>
      <c r="L428" s="43" t="str">
        <f>IFERROR(__xludf.DUMMYFUNCTION("""COMPUTED_VALUE"""),"GTe")</f>
        <v>GTe</v>
      </c>
      <c r="M428" s="43" t="str">
        <f>IFERROR(__xludf.DUMMYFUNCTION("""COMPUTED_VALUE"""),"long")</f>
        <v>long</v>
      </c>
      <c r="N428" s="45">
        <f>IFERROR(__xludf.DUMMYFUNCTION("""COMPUTED_VALUE"""),45192.0)</f>
        <v>45192</v>
      </c>
      <c r="O428" s="45">
        <f>IFERROR(__xludf.DUMMYFUNCTION("""COMPUTED_VALUE"""),45199.0)</f>
        <v>45199</v>
      </c>
      <c r="P428" s="45">
        <f>IFERROR(__xludf.DUMMYFUNCTION("""COMPUTED_VALUE"""),45564.0)</f>
        <v>45564</v>
      </c>
      <c r="Q428" s="45"/>
      <c r="R428" s="45"/>
      <c r="S428" s="43"/>
      <c r="T428" s="43"/>
      <c r="U428" s="43" t="str">
        <f>IFERROR(__xludf.DUMMYFUNCTION("""COMPUTED_VALUE"""),"Language Teacher")</f>
        <v>Language Teacher</v>
      </c>
      <c r="V428" s="43" t="str">
        <f>IFERROR(__xludf.DUMMYFUNCTION("""COMPUTED_VALUE"""),"-")</f>
        <v>-</v>
      </c>
      <c r="W428" s="43" t="str">
        <f>IFERROR(__xludf.DUMMYFUNCTION("""COMPUTED_VALUE"""),"2019-04-09T09:35:35Z")</f>
        <v>2019-04-09T09:35:35Z</v>
      </c>
      <c r="X428" s="43"/>
      <c r="Y428" s="43"/>
      <c r="Z428" s="43"/>
    </row>
    <row r="429" hidden="1">
      <c r="A429" s="43" t="str">
        <f>IFERROR(__xludf.DUMMYFUNCTION("""COMPUTED_VALUE"""),"5244769_1296625")</f>
        <v>5244769_1296625</v>
      </c>
      <c r="B429" s="43" t="str">
        <f>IFERROR(__xludf.DUMMYFUNCTION("""COMPUTED_VALUE"""),"Nageb Shehata")</f>
        <v>Nageb Shehata</v>
      </c>
      <c r="C429" s="43" t="str">
        <f>IFERROR(__xludf.DUMMYFUNCTION("""COMPUTED_VALUE"""),"approved")</f>
        <v>approved</v>
      </c>
      <c r="D429" s="43" t="str">
        <f>IFERROR(__xludf.DUMMYFUNCTION("""COMPUTED_VALUE"""),"No")</f>
        <v>No</v>
      </c>
      <c r="E429" s="43" t="str">
        <f>IFERROR(__xludf.DUMMYFUNCTION("""COMPUTED_VALUE"""),"p_672ad07bd79f214f98cd7b8816da0530b411d04c@inbound.aiesec.org")</f>
        <v>p_672ad07bd79f214f98cd7b8816da0530b411d04c@inbound.aiesec.org</v>
      </c>
      <c r="F429" s="43">
        <f>IFERROR(__xludf.DUMMYFUNCTION("""COMPUTED_VALUE"""),1.013144772E9)</f>
        <v>1013144772</v>
      </c>
      <c r="G429" s="43" t="str">
        <f>IFERROR(__xludf.DUMMYFUNCTION("""COMPUTED_VALUE"""),"Egypt")</f>
        <v>Egypt</v>
      </c>
      <c r="H429" s="43" t="str">
        <f>IFERROR(__xludf.DUMMYFUNCTION("""COMPUTED_VALUE"""),"Menofia")</f>
        <v>Menofia</v>
      </c>
      <c r="I429" s="43" t="str">
        <f>IFERROR(__xludf.DUMMYFUNCTION("""COMPUTED_VALUE"""),"Turkey")</f>
        <v>Turkey</v>
      </c>
      <c r="J429" s="43" t="str">
        <f>IFERROR(__xludf.DUMMYFUNCTION("""COMPUTED_VALUE"""),"SAKARYA")</f>
        <v>SAKARYA</v>
      </c>
      <c r="K429" s="44" t="str">
        <f>IFERROR(__xludf.DUMMYFUNCTION("""COMPUTED_VALUE"""),"https://expa.aiesec.org/opportunities/1296625")</f>
        <v>https://expa.aiesec.org/opportunities/1296625</v>
      </c>
      <c r="L429" s="43" t="str">
        <f>IFERROR(__xludf.DUMMYFUNCTION("""COMPUTED_VALUE"""),"GTe")</f>
        <v>GTe</v>
      </c>
      <c r="M429" s="43" t="str">
        <f>IFERROR(__xludf.DUMMYFUNCTION("""COMPUTED_VALUE"""),"long")</f>
        <v>long</v>
      </c>
      <c r="N429" s="45">
        <f>IFERROR(__xludf.DUMMYFUNCTION("""COMPUTED_VALUE"""),45193.0)</f>
        <v>45193</v>
      </c>
      <c r="O429" s="45">
        <f>IFERROR(__xludf.DUMMYFUNCTION("""COMPUTED_VALUE"""),45207.0)</f>
        <v>45207</v>
      </c>
      <c r="P429" s="45">
        <f>IFERROR(__xludf.DUMMYFUNCTION("""COMPUTED_VALUE"""),45571.0)</f>
        <v>45571</v>
      </c>
      <c r="Q429" s="45"/>
      <c r="R429" s="45"/>
      <c r="S429" s="43"/>
      <c r="T429" s="43"/>
      <c r="U429" s="43" t="str">
        <f>IFERROR(__xludf.DUMMYFUNCTION("""COMPUTED_VALUE"""),"English Teacher")</f>
        <v>English Teacher</v>
      </c>
      <c r="V429" s="43" t="str">
        <f>IFERROR(__xludf.DUMMYFUNCTION("""COMPUTED_VALUE"""),"University of Sadat City")</f>
        <v>University of Sadat City</v>
      </c>
      <c r="W429" s="43" t="str">
        <f>IFERROR(__xludf.DUMMYFUNCTION("""COMPUTED_VALUE"""),"2023-04-18T18:58:30Z")</f>
        <v>2023-04-18T18:58:30Z</v>
      </c>
      <c r="X429" s="43"/>
      <c r="Y429" s="43"/>
      <c r="Z429" s="43"/>
    </row>
    <row r="430" hidden="1">
      <c r="A430" s="43" t="str">
        <f>IFERROR(__xludf.DUMMYFUNCTION("""COMPUTED_VALUE"""),"5331903_1296538")</f>
        <v>5331903_1296538</v>
      </c>
      <c r="B430" s="43" t="str">
        <f>IFERROR(__xludf.DUMMYFUNCTION("""COMPUTED_VALUE"""),"jihed dridi")</f>
        <v>jihed dridi</v>
      </c>
      <c r="C430" s="43" t="str">
        <f>IFERROR(__xludf.DUMMYFUNCTION("""COMPUTED_VALUE"""),"realized")</f>
        <v>realized</v>
      </c>
      <c r="D430" s="43" t="str">
        <f>IFERROR(__xludf.DUMMYFUNCTION("""COMPUTED_VALUE"""),"No")</f>
        <v>No</v>
      </c>
      <c r="E430" s="43" t="str">
        <f>IFERROR(__xludf.DUMMYFUNCTION("""COMPUTED_VALUE"""),"p_d44ffbd8a086d102dcdfa90069f051f54c281d93@inbound.aiesec.org")</f>
        <v>p_d44ffbd8a086d102dcdfa90069f051f54c281d93@inbound.aiesec.org</v>
      </c>
      <c r="F430" s="43">
        <f>IFERROR(__xludf.DUMMYFUNCTION("""COMPUTED_VALUE"""),2.5738644E7)</f>
        <v>25738644</v>
      </c>
      <c r="G430" s="43" t="str">
        <f>IFERROR(__xludf.DUMMYFUNCTION("""COMPUTED_VALUE"""),"Tunisia")</f>
        <v>Tunisia</v>
      </c>
      <c r="H430" s="43" t="str">
        <f>IFERROR(__xludf.DUMMYFUNCTION("""COMPUTED_VALUE"""),"HADRUMET")</f>
        <v>HADRUMET</v>
      </c>
      <c r="I430" s="43" t="str">
        <f>IFERROR(__xludf.DUMMYFUNCTION("""COMPUTED_VALUE"""),"Turkey")</f>
        <v>Turkey</v>
      </c>
      <c r="J430" s="43" t="str">
        <f>IFERROR(__xludf.DUMMYFUNCTION("""COMPUTED_VALUE"""),"KOCAELI")</f>
        <v>KOCAELI</v>
      </c>
      <c r="K430" s="44" t="str">
        <f>IFERROR(__xludf.DUMMYFUNCTION("""COMPUTED_VALUE"""),"https://expa.aiesec.org/opportunities/1296538")</f>
        <v>https://expa.aiesec.org/opportunities/1296538</v>
      </c>
      <c r="L430" s="43" t="str">
        <f>IFERROR(__xludf.DUMMYFUNCTION("""COMPUTED_VALUE"""),"GTe")</f>
        <v>GTe</v>
      </c>
      <c r="M430" s="43" t="str">
        <f>IFERROR(__xludf.DUMMYFUNCTION("""COMPUTED_VALUE"""),"long")</f>
        <v>long</v>
      </c>
      <c r="N430" s="45">
        <f>IFERROR(__xludf.DUMMYFUNCTION("""COMPUTED_VALUE"""),45194.0)</f>
        <v>45194</v>
      </c>
      <c r="O430" s="45">
        <f>IFERROR(__xludf.DUMMYFUNCTION("""COMPUTED_VALUE"""),45205.0)</f>
        <v>45205</v>
      </c>
      <c r="P430" s="45">
        <f>IFERROR(__xludf.DUMMYFUNCTION("""COMPUTED_VALUE"""),45459.0)</f>
        <v>45459</v>
      </c>
      <c r="Q430" s="45">
        <f>IFERROR(__xludf.DUMMYFUNCTION("""COMPUTED_VALUE"""),45201.0)</f>
        <v>45201</v>
      </c>
      <c r="R430" s="45">
        <f>IFERROR(__xludf.DUMMYFUNCTION("""COMPUTED_VALUE"""),45459.0)</f>
        <v>45459</v>
      </c>
      <c r="S430" s="43"/>
      <c r="T430" s="43"/>
      <c r="U430" s="43" t="str">
        <f>IFERROR(__xludf.DUMMYFUNCTION("""COMPUTED_VALUE"""),"English Teacher in Çocuk Sarayı Kindergarden")</f>
        <v>English Teacher in Çocuk Sarayı Kindergarden</v>
      </c>
      <c r="V430" s="43" t="str">
        <f>IFERROR(__xludf.DUMMYFUNCTION("""COMPUTED_VALUE"""),"FLSH Sousse")</f>
        <v>FLSH Sousse</v>
      </c>
      <c r="W430" s="43" t="str">
        <f>IFERROR(__xludf.DUMMYFUNCTION("""COMPUTED_VALUE"""),"2023-09-25T11:31:04Z")</f>
        <v>2023-09-25T11:31:04Z</v>
      </c>
      <c r="X430" s="43"/>
      <c r="Y430" s="43"/>
      <c r="Z430" s="43"/>
    </row>
    <row r="431" hidden="1">
      <c r="A431" s="43" t="str">
        <f>IFERROR(__xludf.DUMMYFUNCTION("""COMPUTED_VALUE"""),"5325882_1286368")</f>
        <v>5325882_1286368</v>
      </c>
      <c r="B431" s="43" t="str">
        <f>IFERROR(__xludf.DUMMYFUNCTION("""COMPUTED_VALUE"""),"Sandi Mohamed")</f>
        <v>Sandi Mohamed</v>
      </c>
      <c r="C431" s="43" t="str">
        <f>IFERROR(__xludf.DUMMYFUNCTION("""COMPUTED_VALUE"""),"realized")</f>
        <v>realized</v>
      </c>
      <c r="D431" s="43" t="str">
        <f>IFERROR(__xludf.DUMMYFUNCTION("""COMPUTED_VALUE"""),"No")</f>
        <v>No</v>
      </c>
      <c r="E431" s="43" t="str">
        <f>IFERROR(__xludf.DUMMYFUNCTION("""COMPUTED_VALUE"""),"p_f94ad7a0b681fa88776447a76811a60c8597a674@inbound.aiesec.org")</f>
        <v>p_f94ad7a0b681fa88776447a76811a60c8597a674@inbound.aiesec.org</v>
      </c>
      <c r="F431" s="43">
        <f>IFERROR(__xludf.DUMMYFUNCTION("""COMPUTED_VALUE"""),1.123552605E9)</f>
        <v>1123552605</v>
      </c>
      <c r="G431" s="43" t="str">
        <f>IFERROR(__xludf.DUMMYFUNCTION("""COMPUTED_VALUE"""),"Egypt")</f>
        <v>Egypt</v>
      </c>
      <c r="H431" s="43" t="str">
        <f>IFERROR(__xludf.DUMMYFUNCTION("""COMPUTED_VALUE"""),"Helwan")</f>
        <v>Helwan</v>
      </c>
      <c r="I431" s="43" t="str">
        <f>IFERROR(__xludf.DUMMYFUNCTION("""COMPUTED_VALUE"""),"Turkey")</f>
        <v>Turkey</v>
      </c>
      <c r="J431" s="43" t="str">
        <f>IFERROR(__xludf.DUMMYFUNCTION("""COMPUTED_VALUE"""),"ISTANBUL ASIA")</f>
        <v>ISTANBUL ASIA</v>
      </c>
      <c r="K431" s="44" t="str">
        <f>IFERROR(__xludf.DUMMYFUNCTION("""COMPUTED_VALUE"""),"https://expa.aiesec.org/opportunities/1286368")</f>
        <v>https://expa.aiesec.org/opportunities/1286368</v>
      </c>
      <c r="L431" s="43" t="str">
        <f>IFERROR(__xludf.DUMMYFUNCTION("""COMPUTED_VALUE"""),"GTe")</f>
        <v>GTe</v>
      </c>
      <c r="M431" s="43" t="str">
        <f>IFERROR(__xludf.DUMMYFUNCTION("""COMPUTED_VALUE"""),"long")</f>
        <v>long</v>
      </c>
      <c r="N431" s="45">
        <f>IFERROR(__xludf.DUMMYFUNCTION("""COMPUTED_VALUE"""),45194.0)</f>
        <v>45194</v>
      </c>
      <c r="O431" s="45">
        <f>IFERROR(__xludf.DUMMYFUNCTION("""COMPUTED_VALUE"""),45208.0)</f>
        <v>45208</v>
      </c>
      <c r="P431" s="45">
        <f>IFERROR(__xludf.DUMMYFUNCTION("""COMPUTED_VALUE"""),45473.0)</f>
        <v>45473</v>
      </c>
      <c r="Q431" s="45">
        <f>IFERROR(__xludf.DUMMYFUNCTION("""COMPUTED_VALUE"""),45241.0)</f>
        <v>45241</v>
      </c>
      <c r="R431" s="45">
        <f>IFERROR(__xludf.DUMMYFUNCTION("""COMPUTED_VALUE"""),45506.0)</f>
        <v>45506</v>
      </c>
      <c r="S431" s="43"/>
      <c r="T431" s="43"/>
      <c r="U431" s="43" t="str">
        <f>IFERROR(__xludf.DUMMYFUNCTION("""COMPUTED_VALUE"""),"English Teacher")</f>
        <v>English Teacher</v>
      </c>
      <c r="V431" s="43" t="str">
        <f>IFERROR(__xludf.DUMMYFUNCTION("""COMPUTED_VALUE"""),"Helwan University")</f>
        <v>Helwan University</v>
      </c>
      <c r="W431" s="43" t="str">
        <f>IFERROR(__xludf.DUMMYFUNCTION("""COMPUTED_VALUE"""),"2023-09-17T09:05:44Z")</f>
        <v>2023-09-17T09:05:44Z</v>
      </c>
      <c r="X431" s="43"/>
      <c r="Y431" s="43"/>
      <c r="Z431" s="43"/>
    </row>
    <row r="432" hidden="1">
      <c r="A432" s="43" t="str">
        <f>IFERROR(__xludf.DUMMYFUNCTION("""COMPUTED_VALUE"""),"5327692_1290168")</f>
        <v>5327692_1290168</v>
      </c>
      <c r="B432" s="43" t="str">
        <f>IFERROR(__xludf.DUMMYFUNCTION("""COMPUTED_VALUE"""),"Hmidi Hadil")</f>
        <v>Hmidi Hadil</v>
      </c>
      <c r="C432" s="43" t="str">
        <f>IFERROR(__xludf.DUMMYFUNCTION("""COMPUTED_VALUE"""),"realized")</f>
        <v>realized</v>
      </c>
      <c r="D432" s="43" t="str">
        <f>IFERROR(__xludf.DUMMYFUNCTION("""COMPUTED_VALUE"""),"No")</f>
        <v>No</v>
      </c>
      <c r="E432" s="43" t="str">
        <f>IFERROR(__xludf.DUMMYFUNCTION("""COMPUTED_VALUE"""),"p_1fd543520b69807864850b4cbde13c89cc8ef892@inbound.aiesec.org")</f>
        <v>p_1fd543520b69807864850b4cbde13c89cc8ef892@inbound.aiesec.org</v>
      </c>
      <c r="F432" s="43">
        <f>IFERROR(__xludf.DUMMYFUNCTION("""COMPUTED_VALUE"""),9.6214277E7)</f>
        <v>96214277</v>
      </c>
      <c r="G432" s="43" t="str">
        <f>IFERROR(__xludf.DUMMYFUNCTION("""COMPUTED_VALUE"""),"Tunisia")</f>
        <v>Tunisia</v>
      </c>
      <c r="H432" s="43" t="str">
        <f>IFERROR(__xludf.DUMMYFUNCTION("""COMPUTED_VALUE"""),"RUSPINA")</f>
        <v>RUSPINA</v>
      </c>
      <c r="I432" s="43" t="str">
        <f>IFERROR(__xludf.DUMMYFUNCTION("""COMPUTED_VALUE"""),"Turkey")</f>
        <v>Turkey</v>
      </c>
      <c r="J432" s="43" t="str">
        <f>IFERROR(__xludf.DUMMYFUNCTION("""COMPUTED_VALUE"""),"GAZIANTEP")</f>
        <v>GAZIANTEP</v>
      </c>
      <c r="K432" s="44" t="str">
        <f>IFERROR(__xludf.DUMMYFUNCTION("""COMPUTED_VALUE"""),"https://expa.aiesec.org/opportunities/1290168")</f>
        <v>https://expa.aiesec.org/opportunities/1290168</v>
      </c>
      <c r="L432" s="43" t="str">
        <f>IFERROR(__xludf.DUMMYFUNCTION("""COMPUTED_VALUE"""),"GTe")</f>
        <v>GTe</v>
      </c>
      <c r="M432" s="43" t="str">
        <f>IFERROR(__xludf.DUMMYFUNCTION("""COMPUTED_VALUE"""),"medium")</f>
        <v>medium</v>
      </c>
      <c r="N432" s="45">
        <f>IFERROR(__xludf.DUMMYFUNCTION("""COMPUTED_VALUE"""),45194.0)</f>
        <v>45194</v>
      </c>
      <c r="O432" s="45">
        <f>IFERROR(__xludf.DUMMYFUNCTION("""COMPUTED_VALUE"""),45189.0)</f>
        <v>45189</v>
      </c>
      <c r="P432" s="45">
        <f>IFERROR(__xludf.DUMMYFUNCTION("""COMPUTED_VALUE"""),45366.0)</f>
        <v>45366</v>
      </c>
      <c r="Q432" s="45">
        <f>IFERROR(__xludf.DUMMYFUNCTION("""COMPUTED_VALUE"""),45204.0)</f>
        <v>45204</v>
      </c>
      <c r="R432" s="45">
        <f>IFERROR(__xludf.DUMMYFUNCTION("""COMPUTED_VALUE"""),45381.0)</f>
        <v>45381</v>
      </c>
      <c r="S432" s="43"/>
      <c r="T432" s="43"/>
      <c r="U432" s="43" t="str">
        <f>IFERROR(__xludf.DUMMYFUNCTION("""COMPUTED_VALUE"""),"ENGLISH TEACHER")</f>
        <v>ENGLISH TEACHER</v>
      </c>
      <c r="V432" s="43" t="str">
        <f>IFERROR(__xludf.DUMMYFUNCTION("""COMPUTED_VALUE"""),"ISLAA Moknine")</f>
        <v>ISLAA Moknine</v>
      </c>
      <c r="W432" s="43" t="str">
        <f>IFERROR(__xludf.DUMMYFUNCTION("""COMPUTED_VALUE"""),"2023-09-19T20:53:11Z")</f>
        <v>2023-09-19T20:53:11Z</v>
      </c>
      <c r="X432" s="43"/>
      <c r="Y432" s="43"/>
      <c r="Z432" s="43"/>
    </row>
    <row r="433" hidden="1">
      <c r="A433" s="43" t="str">
        <f>IFERROR(__xludf.DUMMYFUNCTION("""COMPUTED_VALUE"""),"5332230_1288706")</f>
        <v>5332230_1288706</v>
      </c>
      <c r="B433" s="43" t="str">
        <f>IFERROR(__xludf.DUMMYFUNCTION("""COMPUTED_VALUE"""),"Mohamed Esawy")</f>
        <v>Mohamed Esawy</v>
      </c>
      <c r="C433" s="43" t="str">
        <f>IFERROR(__xludf.DUMMYFUNCTION("""COMPUTED_VALUE"""),"approved")</f>
        <v>approved</v>
      </c>
      <c r="D433" s="43" t="str">
        <f>IFERROR(__xludf.DUMMYFUNCTION("""COMPUTED_VALUE"""),"No")</f>
        <v>No</v>
      </c>
      <c r="E433" s="43" t="str">
        <f>IFERROR(__xludf.DUMMYFUNCTION("""COMPUTED_VALUE"""),"p_3d219c06c757d0e2797ea257443575bf2022fb6d@inbound.aiesec.org")</f>
        <v>p_3d219c06c757d0e2797ea257443575bf2022fb6d@inbound.aiesec.org</v>
      </c>
      <c r="F433" s="43">
        <f>IFERROR(__xludf.DUMMYFUNCTION("""COMPUTED_VALUE"""),1.110261593E9)</f>
        <v>1110261593</v>
      </c>
      <c r="G433" s="43" t="str">
        <f>IFERROR(__xludf.DUMMYFUNCTION("""COMPUTED_VALUE"""),"Egypt")</f>
        <v>Egypt</v>
      </c>
      <c r="H433" s="43" t="str">
        <f>IFERROR(__xludf.DUMMYFUNCTION("""COMPUTED_VALUE"""),"Ain Shams University")</f>
        <v>Ain Shams University</v>
      </c>
      <c r="I433" s="43" t="str">
        <f>IFERROR(__xludf.DUMMYFUNCTION("""COMPUTED_VALUE"""),"Turkey")</f>
        <v>Turkey</v>
      </c>
      <c r="J433" s="43" t="str">
        <f>IFERROR(__xludf.DUMMYFUNCTION("""COMPUTED_VALUE"""),"GAZIANTEP")</f>
        <v>GAZIANTEP</v>
      </c>
      <c r="K433" s="44" t="str">
        <f>IFERROR(__xludf.DUMMYFUNCTION("""COMPUTED_VALUE"""),"https://expa.aiesec.org/opportunities/1288706")</f>
        <v>https://expa.aiesec.org/opportunities/1288706</v>
      </c>
      <c r="L433" s="43" t="str">
        <f>IFERROR(__xludf.DUMMYFUNCTION("""COMPUTED_VALUE"""),"GTe")</f>
        <v>GTe</v>
      </c>
      <c r="M433" s="43" t="str">
        <f>IFERROR(__xludf.DUMMYFUNCTION("""COMPUTED_VALUE"""),"long")</f>
        <v>long</v>
      </c>
      <c r="N433" s="45">
        <f>IFERROR(__xludf.DUMMYFUNCTION("""COMPUTED_VALUE"""),45195.0)</f>
        <v>45195</v>
      </c>
      <c r="O433" s="45">
        <f>IFERROR(__xludf.DUMMYFUNCTION("""COMPUTED_VALUE"""),45231.0)</f>
        <v>45231</v>
      </c>
      <c r="P433" s="45">
        <f>IFERROR(__xludf.DUMMYFUNCTION("""COMPUTED_VALUE"""),45596.0)</f>
        <v>45596</v>
      </c>
      <c r="Q433" s="45"/>
      <c r="R433" s="45"/>
      <c r="S433" s="43"/>
      <c r="T433" s="43"/>
      <c r="U433" s="43" t="str">
        <f>IFERROR(__xludf.DUMMYFUNCTION("""COMPUTED_VALUE"""),"ENGLISH TEACHER")</f>
        <v>ENGLISH TEACHER</v>
      </c>
      <c r="V433" s="43" t="str">
        <f>IFERROR(__xludf.DUMMYFUNCTION("""COMPUTED_VALUE"""),"Ain Shams University")</f>
        <v>Ain Shams University</v>
      </c>
      <c r="W433" s="43" t="str">
        <f>IFERROR(__xludf.DUMMYFUNCTION("""COMPUTED_VALUE"""),"2023-09-25T16:10:49Z")</f>
        <v>2023-09-25T16:10:49Z</v>
      </c>
      <c r="X433" s="43"/>
      <c r="Y433" s="43"/>
      <c r="Z433" s="43"/>
    </row>
    <row r="434" hidden="1">
      <c r="A434" s="43" t="str">
        <f>IFERROR(__xludf.DUMMYFUNCTION("""COMPUTED_VALUE"""),"5090285_1299279")</f>
        <v>5090285_1299279</v>
      </c>
      <c r="B434" s="43" t="str">
        <f>IFERROR(__xludf.DUMMYFUNCTION("""COMPUTED_VALUE"""),"Natasha Hameed")</f>
        <v>Natasha Hameed</v>
      </c>
      <c r="C434" s="43" t="str">
        <f>IFERROR(__xludf.DUMMYFUNCTION("""COMPUTED_VALUE"""),"approved")</f>
        <v>approved</v>
      </c>
      <c r="D434" s="43" t="str">
        <f>IFERROR(__xludf.DUMMYFUNCTION("""COMPUTED_VALUE"""),"No")</f>
        <v>No</v>
      </c>
      <c r="E434" s="43" t="str">
        <f>IFERROR(__xludf.DUMMYFUNCTION("""COMPUTED_VALUE"""),"p_1c9696c40ca4fbc5acfdff4d5627a760a1c5592d@inbound.aiesec.org")</f>
        <v>p_1c9696c40ca4fbc5acfdff4d5627a760a1c5592d@inbound.aiesec.org</v>
      </c>
      <c r="F434" s="43">
        <f>IFERROR(__xludf.DUMMYFUNCTION("""COMPUTED_VALUE"""),7.55358536E8)</f>
        <v>755358536</v>
      </c>
      <c r="G434" s="43" t="str">
        <f>IFERROR(__xludf.DUMMYFUNCTION("""COMPUTED_VALUE"""),"Sri Lanka")</f>
        <v>Sri Lanka</v>
      </c>
      <c r="H434" s="43" t="str">
        <f>IFERROR(__xludf.DUMMYFUNCTION("""COMPUTED_VALUE"""),"COLOMBO SOUTH")</f>
        <v>COLOMBO SOUTH</v>
      </c>
      <c r="I434" s="43" t="str">
        <f>IFERROR(__xludf.DUMMYFUNCTION("""COMPUTED_VALUE"""),"Turkey")</f>
        <v>Turkey</v>
      </c>
      <c r="J434" s="43" t="str">
        <f>IFERROR(__xludf.DUMMYFUNCTION("""COMPUTED_VALUE"""),"ANKARA")</f>
        <v>ANKARA</v>
      </c>
      <c r="K434" s="44" t="str">
        <f>IFERROR(__xludf.DUMMYFUNCTION("""COMPUTED_VALUE"""),"https://expa.aiesec.org/opportunities/1299279")</f>
        <v>https://expa.aiesec.org/opportunities/1299279</v>
      </c>
      <c r="L434" s="43" t="str">
        <f>IFERROR(__xludf.DUMMYFUNCTION("""COMPUTED_VALUE"""),"GTe")</f>
        <v>GTe</v>
      </c>
      <c r="M434" s="43" t="str">
        <f>IFERROR(__xludf.DUMMYFUNCTION("""COMPUTED_VALUE"""),"long")</f>
        <v>long</v>
      </c>
      <c r="N434" s="45">
        <f>IFERROR(__xludf.DUMMYFUNCTION("""COMPUTED_VALUE"""),45195.0)</f>
        <v>45195</v>
      </c>
      <c r="O434" s="45">
        <f>IFERROR(__xludf.DUMMYFUNCTION("""COMPUTED_VALUE"""),45208.0)</f>
        <v>45208</v>
      </c>
      <c r="P434" s="45">
        <f>IFERROR(__xludf.DUMMYFUNCTION("""COMPUTED_VALUE"""),45572.0)</f>
        <v>45572</v>
      </c>
      <c r="Q434" s="45"/>
      <c r="R434" s="45"/>
      <c r="S434" s="43"/>
      <c r="T434" s="43"/>
      <c r="U434" s="43" t="str">
        <f>IFERROR(__xludf.DUMMYFUNCTION("""COMPUTED_VALUE"""),"English Teacher")</f>
        <v>English Teacher</v>
      </c>
      <c r="V434" s="43" t="str">
        <f>IFERROR(__xludf.DUMMYFUNCTION("""COMPUTED_VALUE"""),"Esol College")</f>
        <v>Esol College</v>
      </c>
      <c r="W434" s="43" t="str">
        <f>IFERROR(__xludf.DUMMYFUNCTION("""COMPUTED_VALUE"""),"2022-08-06T12:27:51Z")</f>
        <v>2022-08-06T12:27:51Z</v>
      </c>
      <c r="X434" s="43"/>
      <c r="Y434" s="43"/>
      <c r="Z434" s="43"/>
    </row>
    <row r="435" hidden="1">
      <c r="A435" s="43" t="str">
        <f>IFERROR(__xludf.DUMMYFUNCTION("""COMPUTED_VALUE"""),"5320530_1292767")</f>
        <v>5320530_1292767</v>
      </c>
      <c r="B435" s="43" t="str">
        <f>IFERROR(__xludf.DUMMYFUNCTION("""COMPUTED_VALUE"""),"Alexa Juarez")</f>
        <v>Alexa Juarez</v>
      </c>
      <c r="C435" s="43" t="str">
        <f>IFERROR(__xludf.DUMMYFUNCTION("""COMPUTED_VALUE"""),"realized")</f>
        <v>realized</v>
      </c>
      <c r="D435" s="43" t="str">
        <f>IFERROR(__xludf.DUMMYFUNCTION("""COMPUTED_VALUE"""),"No")</f>
        <v>No</v>
      </c>
      <c r="E435" s="43" t="str">
        <f>IFERROR(__xludf.DUMMYFUNCTION("""COMPUTED_VALUE"""),"p_6f20f6a716c9205ea623c604633d8aad2bd55fa1@inbound.aiesec.org")</f>
        <v>p_6f20f6a716c9205ea623c604633d8aad2bd55fa1@inbound.aiesec.org</v>
      </c>
      <c r="F435" s="43">
        <f>IFERROR(__xludf.DUMMYFUNCTION("""COMPUTED_VALUE"""),4.922568398E9)</f>
        <v>4922568398</v>
      </c>
      <c r="G435" s="43" t="str">
        <f>IFERROR(__xludf.DUMMYFUNCTION("""COMPUTED_VALUE"""),"Mexico")</f>
        <v>Mexico</v>
      </c>
      <c r="H435" s="43" t="str">
        <f>IFERROR(__xludf.DUMMYFUNCTION("""COMPUTED_VALUE"""),"Guanajuato")</f>
        <v>Guanajuato</v>
      </c>
      <c r="I435" s="43" t="str">
        <f>IFERROR(__xludf.DUMMYFUNCTION("""COMPUTED_VALUE"""),"Turkey")</f>
        <v>Turkey</v>
      </c>
      <c r="J435" s="43" t="str">
        <f>IFERROR(__xludf.DUMMYFUNCTION("""COMPUTED_VALUE"""),"ISPARTA")</f>
        <v>ISPARTA</v>
      </c>
      <c r="K435" s="44" t="str">
        <f>IFERROR(__xludf.DUMMYFUNCTION("""COMPUTED_VALUE"""),"https://expa.aiesec.org/opportunities/1292767")</f>
        <v>https://expa.aiesec.org/opportunities/1292767</v>
      </c>
      <c r="L435" s="43" t="str">
        <f>IFERROR(__xludf.DUMMYFUNCTION("""COMPUTED_VALUE"""),"GTe")</f>
        <v>GTe</v>
      </c>
      <c r="M435" s="43" t="str">
        <f>IFERROR(__xludf.DUMMYFUNCTION("""COMPUTED_VALUE"""),"long")</f>
        <v>long</v>
      </c>
      <c r="N435" s="45">
        <f>IFERROR(__xludf.DUMMYFUNCTION("""COMPUTED_VALUE"""),45196.0)</f>
        <v>45196</v>
      </c>
      <c r="O435" s="45">
        <f>IFERROR(__xludf.DUMMYFUNCTION("""COMPUTED_VALUE"""),45306.0)</f>
        <v>45306</v>
      </c>
      <c r="P435" s="45">
        <f>IFERROR(__xludf.DUMMYFUNCTION("""COMPUTED_VALUE"""),45597.0)</f>
        <v>45597</v>
      </c>
      <c r="Q435" s="45">
        <f>IFERROR(__xludf.DUMMYFUNCTION("""COMPUTED_VALUE"""),45306.0)</f>
        <v>45306</v>
      </c>
      <c r="R435" s="45">
        <f>IFERROR(__xludf.DUMMYFUNCTION("""COMPUTED_VALUE"""),45597.0)</f>
        <v>45597</v>
      </c>
      <c r="S435" s="43"/>
      <c r="T435" s="43"/>
      <c r="U435" s="43" t="str">
        <f>IFERROR(__xludf.DUMMYFUNCTION("""COMPUTED_VALUE"""),"English Teacher")</f>
        <v>English Teacher</v>
      </c>
      <c r="V435" s="43" t="str">
        <f>IFERROR(__xludf.DUMMYFUNCTION("""COMPUTED_VALUE"""),"Guanajuato - Universidad Iberoamericana Campus León")</f>
        <v>Guanajuato - Universidad Iberoamericana Campus León</v>
      </c>
      <c r="W435" s="43" t="str">
        <f>IFERROR(__xludf.DUMMYFUNCTION("""COMPUTED_VALUE"""),"2023-09-08T19:23:10Z")</f>
        <v>2023-09-08T19:23:10Z</v>
      </c>
      <c r="X435" s="43"/>
      <c r="Y435" s="43"/>
      <c r="Z435" s="43"/>
    </row>
    <row r="436" hidden="1">
      <c r="A436" s="43" t="str">
        <f>IFERROR(__xludf.DUMMYFUNCTION("""COMPUTED_VALUE"""),"5122431_1288201")</f>
        <v>5122431_1288201</v>
      </c>
      <c r="B436" s="43" t="str">
        <f>IFERROR(__xludf.DUMMYFUNCTION("""COMPUTED_VALUE"""),"Chebihi Tinhinane")</f>
        <v>Chebihi Tinhinane</v>
      </c>
      <c r="C436" s="43" t="str">
        <f>IFERROR(__xludf.DUMMYFUNCTION("""COMPUTED_VALUE"""),"realized")</f>
        <v>realized</v>
      </c>
      <c r="D436" s="43" t="str">
        <f>IFERROR(__xludf.DUMMYFUNCTION("""COMPUTED_VALUE"""),"No")</f>
        <v>No</v>
      </c>
      <c r="E436" s="43" t="str">
        <f>IFERROR(__xludf.DUMMYFUNCTION("""COMPUTED_VALUE"""),"p_dbdefd258091cfe40de5edba424d97eebf6c26e7@inbound.aiesec.org")</f>
        <v>p_dbdefd258091cfe40de5edba424d97eebf6c26e7@inbound.aiesec.org</v>
      </c>
      <c r="F436" s="43">
        <f>IFERROR(__xludf.DUMMYFUNCTION("""COMPUTED_VALUE"""),6.67987075E8)</f>
        <v>667987075</v>
      </c>
      <c r="G436" s="43" t="str">
        <f>IFERROR(__xludf.DUMMYFUNCTION("""COMPUTED_VALUE"""),"Algeria")</f>
        <v>Algeria</v>
      </c>
      <c r="H436" s="43" t="str">
        <f>IFERROR(__xludf.DUMMYFUNCTION("""COMPUTED_VALUE"""),"Babez")</f>
        <v>Babez</v>
      </c>
      <c r="I436" s="43" t="str">
        <f>IFERROR(__xludf.DUMMYFUNCTION("""COMPUTED_VALUE"""),"Turkey")</f>
        <v>Turkey</v>
      </c>
      <c r="J436" s="43" t="str">
        <f>IFERROR(__xludf.DUMMYFUNCTION("""COMPUTED_VALUE"""),"ISTANBUL ASIA")</f>
        <v>ISTANBUL ASIA</v>
      </c>
      <c r="K436" s="44" t="str">
        <f>IFERROR(__xludf.DUMMYFUNCTION("""COMPUTED_VALUE"""),"https://expa.aiesec.org/opportunities/1288201")</f>
        <v>https://expa.aiesec.org/opportunities/1288201</v>
      </c>
      <c r="L436" s="43" t="str">
        <f>IFERROR(__xludf.DUMMYFUNCTION("""COMPUTED_VALUE"""),"GTe")</f>
        <v>GTe</v>
      </c>
      <c r="M436" s="43" t="str">
        <f>IFERROR(__xludf.DUMMYFUNCTION("""COMPUTED_VALUE"""),"long")</f>
        <v>long</v>
      </c>
      <c r="N436" s="45">
        <f>IFERROR(__xludf.DUMMYFUNCTION("""COMPUTED_VALUE"""),45196.0)</f>
        <v>45196</v>
      </c>
      <c r="O436" s="45">
        <f>IFERROR(__xludf.DUMMYFUNCTION("""COMPUTED_VALUE"""),45211.0)</f>
        <v>45211</v>
      </c>
      <c r="P436" s="45">
        <f>IFERROR(__xludf.DUMMYFUNCTION("""COMPUTED_VALUE"""),45401.0)</f>
        <v>45401</v>
      </c>
      <c r="Q436" s="45">
        <f>IFERROR(__xludf.DUMMYFUNCTION("""COMPUTED_VALUE"""),45241.0)</f>
        <v>45241</v>
      </c>
      <c r="R436" s="45">
        <f>IFERROR(__xludf.DUMMYFUNCTION("""COMPUTED_VALUE"""),45431.0)</f>
        <v>45431</v>
      </c>
      <c r="S436" s="43"/>
      <c r="T436" s="43"/>
      <c r="U436" s="43" t="str">
        <f>IFERROR(__xludf.DUMMYFUNCTION("""COMPUTED_VALUE"""),"English Teacher")</f>
        <v>English Teacher</v>
      </c>
      <c r="V436" s="43" t="str">
        <f>IFERROR(__xludf.DUMMYFUNCTION("""COMPUTED_VALUE"""),"AIESEC in Babez")</f>
        <v>AIESEC in Babez</v>
      </c>
      <c r="W436" s="43" t="str">
        <f>IFERROR(__xludf.DUMMYFUNCTION("""COMPUTED_VALUE"""),"2022-09-29T18:51:00Z")</f>
        <v>2022-09-29T18:51:00Z</v>
      </c>
      <c r="X436" s="43"/>
      <c r="Y436" s="43"/>
      <c r="Z436" s="43"/>
    </row>
    <row r="437" hidden="1">
      <c r="A437" s="43" t="str">
        <f>IFERROR(__xludf.DUMMYFUNCTION("""COMPUTED_VALUE"""),"5318176_1298406")</f>
        <v>5318176_1298406</v>
      </c>
      <c r="B437" s="43" t="str">
        <f>IFERROR(__xludf.DUMMYFUNCTION("""COMPUTED_VALUE"""),"Cristina Perez")</f>
        <v>Cristina Perez</v>
      </c>
      <c r="C437" s="43" t="str">
        <f>IFERROR(__xludf.DUMMYFUNCTION("""COMPUTED_VALUE"""),"realized")</f>
        <v>realized</v>
      </c>
      <c r="D437" s="43" t="str">
        <f>IFERROR(__xludf.DUMMYFUNCTION("""COMPUTED_VALUE"""),"No")</f>
        <v>No</v>
      </c>
      <c r="E437" s="43" t="str">
        <f>IFERROR(__xludf.DUMMYFUNCTION("""COMPUTED_VALUE"""),"p_796676dea00a05ca0126bf468761edaede376dac@inbound.aiesec.org")</f>
        <v>p_796676dea00a05ca0126bf468761edaede376dac@inbound.aiesec.org</v>
      </c>
      <c r="F437" s="43">
        <f>IFERROR(__xludf.DUMMYFUNCTION("""COMPUTED_VALUE"""),9.148793436E9)</f>
        <v>9148793436</v>
      </c>
      <c r="G437" s="43" t="str">
        <f>IFERROR(__xludf.DUMMYFUNCTION("""COMPUTED_VALUE"""),"United States")</f>
        <v>United States</v>
      </c>
      <c r="H437" s="43" t="str">
        <f>IFERROR(__xludf.DUMMYFUNCTION("""COMPUTED_VALUE"""),"NEW YORK CITY")</f>
        <v>NEW YORK CITY</v>
      </c>
      <c r="I437" s="43" t="str">
        <f>IFERROR(__xludf.DUMMYFUNCTION("""COMPUTED_VALUE"""),"Turkey")</f>
        <v>Turkey</v>
      </c>
      <c r="J437" s="43" t="str">
        <f>IFERROR(__xludf.DUMMYFUNCTION("""COMPUTED_VALUE"""),"ADANA")</f>
        <v>ADANA</v>
      </c>
      <c r="K437" s="44" t="str">
        <f>IFERROR(__xludf.DUMMYFUNCTION("""COMPUTED_VALUE"""),"https://expa.aiesec.org/opportunities/1298406")</f>
        <v>https://expa.aiesec.org/opportunities/1298406</v>
      </c>
      <c r="L437" s="43" t="str">
        <f>IFERROR(__xludf.DUMMYFUNCTION("""COMPUTED_VALUE"""),"GTe")</f>
        <v>GTe</v>
      </c>
      <c r="M437" s="43" t="str">
        <f>IFERROR(__xludf.DUMMYFUNCTION("""COMPUTED_VALUE"""),"long")</f>
        <v>long</v>
      </c>
      <c r="N437" s="45">
        <f>IFERROR(__xludf.DUMMYFUNCTION("""COMPUTED_VALUE"""),45197.0)</f>
        <v>45197</v>
      </c>
      <c r="O437" s="45">
        <f>IFERROR(__xludf.DUMMYFUNCTION("""COMPUTED_VALUE"""),45203.0)</f>
        <v>45203</v>
      </c>
      <c r="P437" s="45">
        <f>IFERROR(__xludf.DUMMYFUNCTION("""COMPUTED_VALUE"""),45599.0)</f>
        <v>45599</v>
      </c>
      <c r="Q437" s="45">
        <f>IFERROR(__xludf.DUMMYFUNCTION("""COMPUTED_VALUE"""),45230.0)</f>
        <v>45230</v>
      </c>
      <c r="R437" s="45">
        <f>IFERROR(__xludf.DUMMYFUNCTION("""COMPUTED_VALUE"""),45625.0)</f>
        <v>45625</v>
      </c>
      <c r="S437" s="43"/>
      <c r="T437" s="43"/>
      <c r="U437" s="43" t="str">
        <f>IFERROR(__xludf.DUMMYFUNCTION("""COMPUTED_VALUE"""),"PRE-SCHOOL TEACHER")</f>
        <v>PRE-SCHOOL TEACHER</v>
      </c>
      <c r="V437" s="43" t="str">
        <f>IFERROR(__xludf.DUMMYFUNCTION("""COMPUTED_VALUE"""),"New York University")</f>
        <v>New York University</v>
      </c>
      <c r="W437" s="43" t="str">
        <f>IFERROR(__xludf.DUMMYFUNCTION("""COMPUTED_VALUE"""),"2023-09-04T17:26:31Z")</f>
        <v>2023-09-04T17:26:31Z</v>
      </c>
      <c r="X437" s="43"/>
      <c r="Y437" s="43"/>
      <c r="Z437" s="43"/>
    </row>
    <row r="438" hidden="1">
      <c r="A438" s="43" t="str">
        <f>IFERROR(__xludf.DUMMYFUNCTION("""COMPUTED_VALUE"""),"5336262_1294473")</f>
        <v>5336262_1294473</v>
      </c>
      <c r="B438" s="43" t="str">
        <f>IFERROR(__xludf.DUMMYFUNCTION("""COMPUTED_VALUE"""),"hytef touati")</f>
        <v>hytef touati</v>
      </c>
      <c r="C438" s="43" t="str">
        <f>IFERROR(__xludf.DUMMYFUNCTION("""COMPUTED_VALUE"""),"approved")</f>
        <v>approved</v>
      </c>
      <c r="D438" s="43" t="str">
        <f>IFERROR(__xludf.DUMMYFUNCTION("""COMPUTED_VALUE"""),"No")</f>
        <v>No</v>
      </c>
      <c r="E438" s="43" t="str">
        <f>IFERROR(__xludf.DUMMYFUNCTION("""COMPUTED_VALUE"""),"p_cd41826be38ede9ff7e8954ed262c0898158df5b@inbound.aiesec.org")</f>
        <v>p_cd41826be38ede9ff7e8954ed262c0898158df5b@inbound.aiesec.org</v>
      </c>
      <c r="F438" s="43">
        <f>IFERROR(__xludf.DUMMYFUNCTION("""COMPUTED_VALUE"""),5.5045825E8)</f>
        <v>550458250</v>
      </c>
      <c r="G438" s="43" t="str">
        <f>IFERROR(__xludf.DUMMYFUNCTION("""COMPUTED_VALUE"""),"Algeria")</f>
        <v>Algeria</v>
      </c>
      <c r="H438" s="43" t="str">
        <f>IFERROR(__xludf.DUMMYFUNCTION("""COMPUTED_VALUE"""),"Oran")</f>
        <v>Oran</v>
      </c>
      <c r="I438" s="43" t="str">
        <f>IFERROR(__xludf.DUMMYFUNCTION("""COMPUTED_VALUE"""),"Turkey")</f>
        <v>Turkey</v>
      </c>
      <c r="J438" s="43" t="str">
        <f>IFERROR(__xludf.DUMMYFUNCTION("""COMPUTED_VALUE"""),"SAKARYA")</f>
        <v>SAKARYA</v>
      </c>
      <c r="K438" s="44" t="str">
        <f>IFERROR(__xludf.DUMMYFUNCTION("""COMPUTED_VALUE"""),"https://expa.aiesec.org/opportunities/1294473")</f>
        <v>https://expa.aiesec.org/opportunities/1294473</v>
      </c>
      <c r="L438" s="43" t="str">
        <f>IFERROR(__xludf.DUMMYFUNCTION("""COMPUTED_VALUE"""),"GTe")</f>
        <v>GTe</v>
      </c>
      <c r="M438" s="43" t="str">
        <f>IFERROR(__xludf.DUMMYFUNCTION("""COMPUTED_VALUE"""),"long")</f>
        <v>long</v>
      </c>
      <c r="N438" s="45">
        <f>IFERROR(__xludf.DUMMYFUNCTION("""COMPUTED_VALUE"""),45197.0)</f>
        <v>45197</v>
      </c>
      <c r="O438" s="45">
        <f>IFERROR(__xludf.DUMMYFUNCTION("""COMPUTED_VALUE"""),45208.0)</f>
        <v>45208</v>
      </c>
      <c r="P438" s="45">
        <f>IFERROR(__xludf.DUMMYFUNCTION("""COMPUTED_VALUE"""),45570.0)</f>
        <v>45570</v>
      </c>
      <c r="Q438" s="45"/>
      <c r="R438" s="45"/>
      <c r="S438" s="43"/>
      <c r="T438" s="43"/>
      <c r="U438" s="43" t="str">
        <f>IFERROR(__xludf.DUMMYFUNCTION("""COMPUTED_VALUE"""),"English Teacher | Dudu Akademi")</f>
        <v>English Teacher | Dudu Akademi</v>
      </c>
      <c r="V438" s="43" t="str">
        <f>IFERROR(__xludf.DUMMYFUNCTION("""COMPUTED_VALUE"""),"AIESEC in Oran")</f>
        <v>AIESEC in Oran</v>
      </c>
      <c r="W438" s="43" t="str">
        <f>IFERROR(__xludf.DUMMYFUNCTION("""COMPUTED_VALUE"""),"2023-09-28T13:32:25Z")</f>
        <v>2023-09-28T13:32:25Z</v>
      </c>
      <c r="X438" s="43"/>
      <c r="Y438" s="43"/>
      <c r="Z438" s="43"/>
    </row>
    <row r="439" hidden="1">
      <c r="A439" s="43" t="str">
        <f>IFERROR(__xludf.DUMMYFUNCTION("""COMPUTED_VALUE"""),"1826581_1291375")</f>
        <v>1826581_1291375</v>
      </c>
      <c r="B439" s="43" t="str">
        <f>IFERROR(__xludf.DUMMYFUNCTION("""COMPUTED_VALUE"""),"ZAHRA HECHCHAD")</f>
        <v>ZAHRA HECHCHAD</v>
      </c>
      <c r="C439" s="43" t="str">
        <f>IFERROR(__xludf.DUMMYFUNCTION("""COMPUTED_VALUE"""),"realized")</f>
        <v>realized</v>
      </c>
      <c r="D439" s="43" t="str">
        <f>IFERROR(__xludf.DUMMYFUNCTION("""COMPUTED_VALUE"""),"No")</f>
        <v>No</v>
      </c>
      <c r="E439" s="43" t="str">
        <f>IFERROR(__xludf.DUMMYFUNCTION("""COMPUTED_VALUE"""),"p_2e12aafbbcd8bcfe730b60e67bd47cc9f390bddf@inbound.aiesec.org")</f>
        <v>p_2e12aafbbcd8bcfe730b60e67bd47cc9f390bddf@inbound.aiesec.org</v>
      </c>
      <c r="F439" s="43">
        <f>IFERROR(__xludf.DUMMYFUNCTION("""COMPUTED_VALUE"""),5.54683665E8)</f>
        <v>554683665</v>
      </c>
      <c r="G439" s="43" t="str">
        <f>IFERROR(__xludf.DUMMYFUNCTION("""COMPUTED_VALUE"""),"Algeria")</f>
        <v>Algeria</v>
      </c>
      <c r="H439" s="43" t="str">
        <f>IFERROR(__xludf.DUMMYFUNCTION("""COMPUTED_VALUE"""),"Babez")</f>
        <v>Babez</v>
      </c>
      <c r="I439" s="43" t="str">
        <f>IFERROR(__xludf.DUMMYFUNCTION("""COMPUTED_VALUE"""),"Turkey")</f>
        <v>Turkey</v>
      </c>
      <c r="J439" s="43" t="str">
        <f>IFERROR(__xludf.DUMMYFUNCTION("""COMPUTED_VALUE"""),"ESKISEHIR")</f>
        <v>ESKISEHIR</v>
      </c>
      <c r="K439" s="44" t="str">
        <f>IFERROR(__xludf.DUMMYFUNCTION("""COMPUTED_VALUE"""),"https://expa.aiesec.org/opportunities/1291375")</f>
        <v>https://expa.aiesec.org/opportunities/1291375</v>
      </c>
      <c r="L439" s="43" t="str">
        <f>IFERROR(__xludf.DUMMYFUNCTION("""COMPUTED_VALUE"""),"GTe")</f>
        <v>GTe</v>
      </c>
      <c r="M439" s="43" t="str">
        <f>IFERROR(__xludf.DUMMYFUNCTION("""COMPUTED_VALUE"""),"long")</f>
        <v>long</v>
      </c>
      <c r="N439" s="45">
        <f>IFERROR(__xludf.DUMMYFUNCTION("""COMPUTED_VALUE"""),45197.0)</f>
        <v>45197</v>
      </c>
      <c r="O439" s="45">
        <f>IFERROR(__xludf.DUMMYFUNCTION("""COMPUTED_VALUE"""),45203.0)</f>
        <v>45203</v>
      </c>
      <c r="P439" s="45">
        <f>IFERROR(__xludf.DUMMYFUNCTION("""COMPUTED_VALUE"""),45568.0)</f>
        <v>45568</v>
      </c>
      <c r="Q439" s="45">
        <f>IFERROR(__xludf.DUMMYFUNCTION("""COMPUTED_VALUE"""),45199.0)</f>
        <v>45199</v>
      </c>
      <c r="R439" s="45">
        <f>IFERROR(__xludf.DUMMYFUNCTION("""COMPUTED_VALUE"""),45568.0)</f>
        <v>45568</v>
      </c>
      <c r="S439" s="43"/>
      <c r="T439" s="43"/>
      <c r="U439" s="43" t="str">
        <f>IFERROR(__xludf.DUMMYFUNCTION("""COMPUTED_VALUE"""),"English Teacher")</f>
        <v>English Teacher</v>
      </c>
      <c r="V439" s="43" t="str">
        <f>IFERROR(__xludf.DUMMYFUNCTION("""COMPUTED_VALUE"""),"-")</f>
        <v>-</v>
      </c>
      <c r="W439" s="43" t="str">
        <f>IFERROR(__xludf.DUMMYFUNCTION("""COMPUTED_VALUE"""),"2017-10-27T21:24:58Z")</f>
        <v>2017-10-27T21:24:58Z</v>
      </c>
      <c r="X439" s="43"/>
      <c r="Y439" s="43"/>
      <c r="Z439" s="43"/>
    </row>
    <row r="440" hidden="1">
      <c r="A440" s="43" t="str">
        <f>IFERROR(__xludf.DUMMYFUNCTION("""COMPUTED_VALUE"""),"2181049_1296625")</f>
        <v>2181049_1296625</v>
      </c>
      <c r="B440" s="43" t="str">
        <f>IFERROR(__xludf.DUMMYFUNCTION("""COMPUTED_VALUE"""),"Hashini Wickramasinghe")</f>
        <v>Hashini Wickramasinghe</v>
      </c>
      <c r="C440" s="43" t="str">
        <f>IFERROR(__xludf.DUMMYFUNCTION("""COMPUTED_VALUE"""),"approved")</f>
        <v>approved</v>
      </c>
      <c r="D440" s="43" t="str">
        <f>IFERROR(__xludf.DUMMYFUNCTION("""COMPUTED_VALUE"""),"No")</f>
        <v>No</v>
      </c>
      <c r="E440" s="43" t="str">
        <f>IFERROR(__xludf.DUMMYFUNCTION("""COMPUTED_VALUE"""),"p_dcd36b80811310e09a4d027c9248d68e6dfbf957@inbound.aiesec.org")</f>
        <v>p_dcd36b80811310e09a4d027c9248d68e6dfbf957@inbound.aiesec.org</v>
      </c>
      <c r="F440" s="43">
        <f>IFERROR(__xludf.DUMMYFUNCTION("""COMPUTED_VALUE"""),7.16611932E8)</f>
        <v>716611932</v>
      </c>
      <c r="G440" s="43" t="str">
        <f>IFERROR(__xludf.DUMMYFUNCTION("""COMPUTED_VALUE"""),"Sri Lanka")</f>
        <v>Sri Lanka</v>
      </c>
      <c r="H440" s="43" t="str">
        <f>IFERROR(__xludf.DUMMYFUNCTION("""COMPUTED_VALUE"""),"KANDY")</f>
        <v>KANDY</v>
      </c>
      <c r="I440" s="43" t="str">
        <f>IFERROR(__xludf.DUMMYFUNCTION("""COMPUTED_VALUE"""),"Turkey")</f>
        <v>Turkey</v>
      </c>
      <c r="J440" s="43" t="str">
        <f>IFERROR(__xludf.DUMMYFUNCTION("""COMPUTED_VALUE"""),"SAKARYA")</f>
        <v>SAKARYA</v>
      </c>
      <c r="K440" s="44" t="str">
        <f>IFERROR(__xludf.DUMMYFUNCTION("""COMPUTED_VALUE"""),"https://expa.aiesec.org/opportunities/1296625")</f>
        <v>https://expa.aiesec.org/opportunities/1296625</v>
      </c>
      <c r="L440" s="43" t="str">
        <f>IFERROR(__xludf.DUMMYFUNCTION("""COMPUTED_VALUE"""),"GTe")</f>
        <v>GTe</v>
      </c>
      <c r="M440" s="43" t="str">
        <f>IFERROR(__xludf.DUMMYFUNCTION("""COMPUTED_VALUE"""),"long")</f>
        <v>long</v>
      </c>
      <c r="N440" s="45">
        <f>IFERROR(__xludf.DUMMYFUNCTION("""COMPUTED_VALUE"""),45198.0)</f>
        <v>45198</v>
      </c>
      <c r="O440" s="45">
        <f>IFERROR(__xludf.DUMMYFUNCTION("""COMPUTED_VALUE"""),45207.0)</f>
        <v>45207</v>
      </c>
      <c r="P440" s="45">
        <f>IFERROR(__xludf.DUMMYFUNCTION("""COMPUTED_VALUE"""),45571.0)</f>
        <v>45571</v>
      </c>
      <c r="Q440" s="45"/>
      <c r="R440" s="45"/>
      <c r="S440" s="43"/>
      <c r="T440" s="43"/>
      <c r="U440" s="43" t="str">
        <f>IFERROR(__xludf.DUMMYFUNCTION("""COMPUTED_VALUE"""),"English Teacher")</f>
        <v>English Teacher</v>
      </c>
      <c r="V440" s="43" t="str">
        <f>IFERROR(__xludf.DUMMYFUNCTION("""COMPUTED_VALUE"""),"-")</f>
        <v>-</v>
      </c>
      <c r="W440" s="43" t="str">
        <f>IFERROR(__xludf.DUMMYFUNCTION("""COMPUTED_VALUE"""),"2018-04-09T03:21:43Z")</f>
        <v>2018-04-09T03:21:43Z</v>
      </c>
      <c r="X440" s="43"/>
      <c r="Y440" s="43"/>
      <c r="Z440" s="43"/>
    </row>
    <row r="441" hidden="1">
      <c r="A441" s="43" t="str">
        <f>IFERROR(__xludf.DUMMYFUNCTION("""COMPUTED_VALUE"""),"5332029_1286368")</f>
        <v>5332029_1286368</v>
      </c>
      <c r="B441" s="43" t="str">
        <f>IFERROR(__xludf.DUMMYFUNCTION("""COMPUTED_VALUE"""),"Khalima Roziyeva")</f>
        <v>Khalima Roziyeva</v>
      </c>
      <c r="C441" s="43" t="str">
        <f>IFERROR(__xludf.DUMMYFUNCTION("""COMPUTED_VALUE"""),"realized")</f>
        <v>realized</v>
      </c>
      <c r="D441" s="43" t="str">
        <f>IFERROR(__xludf.DUMMYFUNCTION("""COMPUTED_VALUE"""),"No")</f>
        <v>No</v>
      </c>
      <c r="E441" s="43" t="str">
        <f>IFERROR(__xludf.DUMMYFUNCTION("""COMPUTED_VALUE"""),"p_9ef514bf5b9987ab097addc8b8054e53b2e169c0@inbound.aiesec.org")</f>
        <v>p_9ef514bf5b9987ab097addc8b8054e53b2e169c0@inbound.aiesec.org</v>
      </c>
      <c r="F441" s="43">
        <f>IFERROR(__xludf.DUMMYFUNCTION("""COMPUTED_VALUE"""),7.059818214E9)</f>
        <v>7059818214</v>
      </c>
      <c r="G441" s="43" t="str">
        <f>IFERROR(__xludf.DUMMYFUNCTION("""COMPUTED_VALUE"""),"Kazakhstan")</f>
        <v>Kazakhstan</v>
      </c>
      <c r="H441" s="43" t="str">
        <f>IFERROR(__xludf.DUMMYFUNCTION("""COMPUTED_VALUE"""),"ALMATY")</f>
        <v>ALMATY</v>
      </c>
      <c r="I441" s="43" t="str">
        <f>IFERROR(__xludf.DUMMYFUNCTION("""COMPUTED_VALUE"""),"Turkey")</f>
        <v>Turkey</v>
      </c>
      <c r="J441" s="43" t="str">
        <f>IFERROR(__xludf.DUMMYFUNCTION("""COMPUTED_VALUE"""),"ISTANBUL ASIA")</f>
        <v>ISTANBUL ASIA</v>
      </c>
      <c r="K441" s="44" t="str">
        <f>IFERROR(__xludf.DUMMYFUNCTION("""COMPUTED_VALUE"""),"https://expa.aiesec.org/opportunities/1286368")</f>
        <v>https://expa.aiesec.org/opportunities/1286368</v>
      </c>
      <c r="L441" s="43" t="str">
        <f>IFERROR(__xludf.DUMMYFUNCTION("""COMPUTED_VALUE"""),"GTe")</f>
        <v>GTe</v>
      </c>
      <c r="M441" s="43" t="str">
        <f>IFERROR(__xludf.DUMMYFUNCTION("""COMPUTED_VALUE"""),"long")</f>
        <v>long</v>
      </c>
      <c r="N441" s="45">
        <f>IFERROR(__xludf.DUMMYFUNCTION("""COMPUTED_VALUE"""),45198.0)</f>
        <v>45198</v>
      </c>
      <c r="O441" s="45">
        <f>IFERROR(__xludf.DUMMYFUNCTION("""COMPUTED_VALUE"""),45209.0)</f>
        <v>45209</v>
      </c>
      <c r="P441" s="45">
        <f>IFERROR(__xludf.DUMMYFUNCTION("""COMPUTED_VALUE"""),45499.0)</f>
        <v>45499</v>
      </c>
      <c r="Q441" s="45">
        <f>IFERROR(__xludf.DUMMYFUNCTION("""COMPUTED_VALUE"""),45212.0)</f>
        <v>45212</v>
      </c>
      <c r="R441" s="45">
        <f>IFERROR(__xludf.DUMMYFUNCTION("""COMPUTED_VALUE"""),45502.0)</f>
        <v>45502</v>
      </c>
      <c r="S441" s="43"/>
      <c r="T441" s="43"/>
      <c r="U441" s="43" t="str">
        <f>IFERROR(__xludf.DUMMYFUNCTION("""COMPUTED_VALUE"""),"English Teacher")</f>
        <v>English Teacher</v>
      </c>
      <c r="V441" s="43" t="str">
        <f>IFERROR(__xludf.DUMMYFUNCTION("""COMPUTED_VALUE"""),"Almaty")</f>
        <v>Almaty</v>
      </c>
      <c r="W441" s="43" t="str">
        <f>IFERROR(__xludf.DUMMYFUNCTION("""COMPUTED_VALUE"""),"2023-09-25T12:38:37Z")</f>
        <v>2023-09-25T12:38:37Z</v>
      </c>
      <c r="X441" s="43"/>
      <c r="Y441" s="43"/>
      <c r="Z441" s="43"/>
    </row>
    <row r="442" hidden="1">
      <c r="A442" s="43" t="str">
        <f>IFERROR(__xludf.DUMMYFUNCTION("""COMPUTED_VALUE"""),"5327522_1291375")</f>
        <v>5327522_1291375</v>
      </c>
      <c r="B442" s="43" t="str">
        <f>IFERROR(__xludf.DUMMYFUNCTION("""COMPUTED_VALUE"""),"Safe Bejaoui")</f>
        <v>Safe Bejaoui</v>
      </c>
      <c r="C442" s="43" t="str">
        <f>IFERROR(__xludf.DUMMYFUNCTION("""COMPUTED_VALUE"""),"realized")</f>
        <v>realized</v>
      </c>
      <c r="D442" s="43" t="str">
        <f>IFERROR(__xludf.DUMMYFUNCTION("""COMPUTED_VALUE"""),"No")</f>
        <v>No</v>
      </c>
      <c r="E442" s="43" t="str">
        <f>IFERROR(__xludf.DUMMYFUNCTION("""COMPUTED_VALUE"""),"p_96c36f2622e8a5a92c46020a12d9ece8cd814220@inbound.aiesec.org")</f>
        <v>p_96c36f2622e8a5a92c46020a12d9ece8cd814220@inbound.aiesec.org</v>
      </c>
      <c r="F442" s="43">
        <f>IFERROR(__xludf.DUMMYFUNCTION("""COMPUTED_VALUE"""),9.3368139E7)</f>
        <v>93368139</v>
      </c>
      <c r="G442" s="43" t="str">
        <f>IFERROR(__xludf.DUMMYFUNCTION("""COMPUTED_VALUE"""),"Tunisia")</f>
        <v>Tunisia</v>
      </c>
      <c r="H442" s="43" t="str">
        <f>IFERROR(__xludf.DUMMYFUNCTION("""COMPUTED_VALUE"""),"RUSPINA")</f>
        <v>RUSPINA</v>
      </c>
      <c r="I442" s="43" t="str">
        <f>IFERROR(__xludf.DUMMYFUNCTION("""COMPUTED_VALUE"""),"Turkey")</f>
        <v>Turkey</v>
      </c>
      <c r="J442" s="43" t="str">
        <f>IFERROR(__xludf.DUMMYFUNCTION("""COMPUTED_VALUE"""),"ESKISEHIR")</f>
        <v>ESKISEHIR</v>
      </c>
      <c r="K442" s="44" t="str">
        <f>IFERROR(__xludf.DUMMYFUNCTION("""COMPUTED_VALUE"""),"https://expa.aiesec.org/opportunities/1291375")</f>
        <v>https://expa.aiesec.org/opportunities/1291375</v>
      </c>
      <c r="L442" s="43" t="str">
        <f>IFERROR(__xludf.DUMMYFUNCTION("""COMPUTED_VALUE"""),"GTe")</f>
        <v>GTe</v>
      </c>
      <c r="M442" s="43" t="str">
        <f>IFERROR(__xludf.DUMMYFUNCTION("""COMPUTED_VALUE"""),"long")</f>
        <v>long</v>
      </c>
      <c r="N442" s="45">
        <f>IFERROR(__xludf.DUMMYFUNCTION("""COMPUTED_VALUE"""),45199.0)</f>
        <v>45199</v>
      </c>
      <c r="O442" s="45">
        <f>IFERROR(__xludf.DUMMYFUNCTION("""COMPUTED_VALUE"""),45202.0)</f>
        <v>45202</v>
      </c>
      <c r="P442" s="45">
        <f>IFERROR(__xludf.DUMMYFUNCTION("""COMPUTED_VALUE"""),45567.0)</f>
        <v>45567</v>
      </c>
      <c r="Q442" s="45">
        <f>IFERROR(__xludf.DUMMYFUNCTION("""COMPUTED_VALUE"""),45199.0)</f>
        <v>45199</v>
      </c>
      <c r="R442" s="45">
        <f>IFERROR(__xludf.DUMMYFUNCTION("""COMPUTED_VALUE"""),45589.0)</f>
        <v>45589</v>
      </c>
      <c r="S442" s="43"/>
      <c r="T442" s="43"/>
      <c r="U442" s="43" t="str">
        <f>IFERROR(__xludf.DUMMYFUNCTION("""COMPUTED_VALUE"""),"English Teacher")</f>
        <v>English Teacher</v>
      </c>
      <c r="V442" s="43" t="str">
        <f>IFERROR(__xludf.DUMMYFUNCTION("""COMPUTED_VALUE"""),"FSEG Mahdia")</f>
        <v>FSEG Mahdia</v>
      </c>
      <c r="W442" s="43" t="str">
        <f>IFERROR(__xludf.DUMMYFUNCTION("""COMPUTED_VALUE"""),"2023-09-19T15:06:03Z")</f>
        <v>2023-09-19T15:06:03Z</v>
      </c>
      <c r="X442" s="43"/>
      <c r="Y442" s="43"/>
      <c r="Z442" s="43"/>
    </row>
    <row r="443" hidden="1">
      <c r="A443" s="43" t="str">
        <f>IFERROR(__xludf.DUMMYFUNCTION("""COMPUTED_VALUE"""),"5322542_1295716")</f>
        <v>5322542_1295716</v>
      </c>
      <c r="B443" s="43" t="str">
        <f>IFERROR(__xludf.DUMMYFUNCTION("""COMPUTED_VALUE"""),"Afaf Bakr")</f>
        <v>Afaf Bakr</v>
      </c>
      <c r="C443" s="43" t="str">
        <f>IFERROR(__xludf.DUMMYFUNCTION("""COMPUTED_VALUE"""),"realized")</f>
        <v>realized</v>
      </c>
      <c r="D443" s="43" t="str">
        <f>IFERROR(__xludf.DUMMYFUNCTION("""COMPUTED_VALUE"""),"No")</f>
        <v>No</v>
      </c>
      <c r="E443" s="43" t="str">
        <f>IFERROR(__xludf.DUMMYFUNCTION("""COMPUTED_VALUE"""),"p_c88396d92bd71132e787da8656255d565ef16ee4@inbound.aiesec.org")</f>
        <v>p_c88396d92bd71132e787da8656255d565ef16ee4@inbound.aiesec.org</v>
      </c>
      <c r="F443" s="43"/>
      <c r="G443" s="43" t="str">
        <f>IFERROR(__xludf.DUMMYFUNCTION("""COMPUTED_VALUE"""),"Egypt")</f>
        <v>Egypt</v>
      </c>
      <c r="H443" s="43" t="str">
        <f>IFERROR(__xludf.DUMMYFUNCTION("""COMPUTED_VALUE"""),"Helwan")</f>
        <v>Helwan</v>
      </c>
      <c r="I443" s="43" t="str">
        <f>IFERROR(__xludf.DUMMYFUNCTION("""COMPUTED_VALUE"""),"Turkey")</f>
        <v>Turkey</v>
      </c>
      <c r="J443" s="43" t="str">
        <f>IFERROR(__xludf.DUMMYFUNCTION("""COMPUTED_VALUE"""),"ISTANBUL ASIA")</f>
        <v>ISTANBUL ASIA</v>
      </c>
      <c r="K443" s="44" t="str">
        <f>IFERROR(__xludf.DUMMYFUNCTION("""COMPUTED_VALUE"""),"https://expa.aiesec.org/opportunities/1295716")</f>
        <v>https://expa.aiesec.org/opportunities/1295716</v>
      </c>
      <c r="L443" s="43" t="str">
        <f>IFERROR(__xludf.DUMMYFUNCTION("""COMPUTED_VALUE"""),"GTe")</f>
        <v>GTe</v>
      </c>
      <c r="M443" s="43" t="str">
        <f>IFERROR(__xludf.DUMMYFUNCTION("""COMPUTED_VALUE"""),"long")</f>
        <v>long</v>
      </c>
      <c r="N443" s="45">
        <f>IFERROR(__xludf.DUMMYFUNCTION("""COMPUTED_VALUE"""),45200.0)</f>
        <v>45200</v>
      </c>
      <c r="O443" s="45">
        <f>IFERROR(__xludf.DUMMYFUNCTION("""COMPUTED_VALUE"""),45213.0)</f>
        <v>45213</v>
      </c>
      <c r="P443" s="45">
        <f>IFERROR(__xludf.DUMMYFUNCTION("""COMPUTED_VALUE"""),45578.0)</f>
        <v>45578</v>
      </c>
      <c r="Q443" s="45">
        <f>IFERROR(__xludf.DUMMYFUNCTION("""COMPUTED_VALUE"""),45286.0)</f>
        <v>45286</v>
      </c>
      <c r="R443" s="45">
        <f>IFERROR(__xludf.DUMMYFUNCTION("""COMPUTED_VALUE"""),45651.0)</f>
        <v>45651</v>
      </c>
      <c r="S443" s="43"/>
      <c r="T443" s="43"/>
      <c r="U443" s="43" t="str">
        <f>IFERROR(__xludf.DUMMYFUNCTION("""COMPUTED_VALUE"""),"English Teacher")</f>
        <v>English Teacher</v>
      </c>
      <c r="V443" s="43" t="str">
        <f>IFERROR(__xludf.DUMMYFUNCTION("""COMPUTED_VALUE"""),"-")</f>
        <v>-</v>
      </c>
      <c r="W443" s="43" t="str">
        <f>IFERROR(__xludf.DUMMYFUNCTION("""COMPUTED_VALUE"""),"2023-09-12T15:39:25Z")</f>
        <v>2023-09-12T15:39:25Z</v>
      </c>
      <c r="X443" s="43"/>
      <c r="Y443" s="43"/>
      <c r="Z443" s="43"/>
    </row>
    <row r="444" hidden="1">
      <c r="A444" s="43" t="str">
        <f>IFERROR(__xludf.DUMMYFUNCTION("""COMPUTED_VALUE"""),"5287452_1293407")</f>
        <v>5287452_1293407</v>
      </c>
      <c r="B444" s="43" t="str">
        <f>IFERROR(__xludf.DUMMYFUNCTION("""COMPUTED_VALUE"""),"Samah Mohamed")</f>
        <v>Samah Mohamed</v>
      </c>
      <c r="C444" s="43" t="str">
        <f>IFERROR(__xludf.DUMMYFUNCTION("""COMPUTED_VALUE"""),"realized")</f>
        <v>realized</v>
      </c>
      <c r="D444" s="43" t="str">
        <f>IFERROR(__xludf.DUMMYFUNCTION("""COMPUTED_VALUE"""),"No")</f>
        <v>No</v>
      </c>
      <c r="E444" s="43" t="str">
        <f>IFERROR(__xludf.DUMMYFUNCTION("""COMPUTED_VALUE"""),"p_a3f21834954a4cbdecde74ac6a23c55a2c5ada89@inbound.aiesec.org")</f>
        <v>p_a3f21834954a4cbdecde74ac6a23c55a2c5ada89@inbound.aiesec.org</v>
      </c>
      <c r="F444" s="43">
        <f>IFERROR(__xludf.DUMMYFUNCTION("""COMPUTED_VALUE"""),1.002675819E9)</f>
        <v>1002675819</v>
      </c>
      <c r="G444" s="43" t="str">
        <f>IFERROR(__xludf.DUMMYFUNCTION("""COMPUTED_VALUE"""),"Egypt")</f>
        <v>Egypt</v>
      </c>
      <c r="H444" s="43" t="str">
        <f>IFERROR(__xludf.DUMMYFUNCTION("""COMPUTED_VALUE"""),"Helwan")</f>
        <v>Helwan</v>
      </c>
      <c r="I444" s="43" t="str">
        <f>IFERROR(__xludf.DUMMYFUNCTION("""COMPUTED_VALUE"""),"Turkey")</f>
        <v>Turkey</v>
      </c>
      <c r="J444" s="43" t="str">
        <f>IFERROR(__xludf.DUMMYFUNCTION("""COMPUTED_VALUE"""),"ISTANBUL ASIA")</f>
        <v>ISTANBUL ASIA</v>
      </c>
      <c r="K444" s="44" t="str">
        <f>IFERROR(__xludf.DUMMYFUNCTION("""COMPUTED_VALUE"""),"https://expa.aiesec.org/opportunities/1293407")</f>
        <v>https://expa.aiesec.org/opportunities/1293407</v>
      </c>
      <c r="L444" s="43" t="str">
        <f>IFERROR(__xludf.DUMMYFUNCTION("""COMPUTED_VALUE"""),"GTe")</f>
        <v>GTe</v>
      </c>
      <c r="M444" s="43" t="str">
        <f>IFERROR(__xludf.DUMMYFUNCTION("""COMPUTED_VALUE"""),"long")</f>
        <v>long</v>
      </c>
      <c r="N444" s="45">
        <f>IFERROR(__xludf.DUMMYFUNCTION("""COMPUTED_VALUE"""),45200.0)</f>
        <v>45200</v>
      </c>
      <c r="O444" s="45">
        <f>IFERROR(__xludf.DUMMYFUNCTION("""COMPUTED_VALUE"""),45214.0)</f>
        <v>45214</v>
      </c>
      <c r="P444" s="45">
        <f>IFERROR(__xludf.DUMMYFUNCTION("""COMPUTED_VALUE"""),45485.0)</f>
        <v>45485</v>
      </c>
      <c r="Q444" s="45">
        <f>IFERROR(__xludf.DUMMYFUNCTION("""COMPUTED_VALUE"""),45209.0)</f>
        <v>45209</v>
      </c>
      <c r="R444" s="45">
        <f>IFERROR(__xludf.DUMMYFUNCTION("""COMPUTED_VALUE"""),45485.0)</f>
        <v>45485</v>
      </c>
      <c r="S444" s="43"/>
      <c r="T444" s="43"/>
      <c r="U444" s="43" t="str">
        <f>IFERROR(__xludf.DUMMYFUNCTION("""COMPUTED_VALUE"""),"English Teacher ")</f>
        <v>English Teacher </v>
      </c>
      <c r="V444" s="43" t="str">
        <f>IFERROR(__xludf.DUMMYFUNCTION("""COMPUTED_VALUE"""),"Helwan University")</f>
        <v>Helwan University</v>
      </c>
      <c r="W444" s="43" t="str">
        <f>IFERROR(__xludf.DUMMYFUNCTION("""COMPUTED_VALUE"""),"2023-07-20T09:27:05Z")</f>
        <v>2023-07-20T09:27:05Z</v>
      </c>
      <c r="X444" s="43"/>
      <c r="Y444" s="43"/>
      <c r="Z444" s="43"/>
    </row>
    <row r="445" hidden="1">
      <c r="A445" s="43" t="str">
        <f>IFERROR(__xludf.DUMMYFUNCTION("""COMPUTED_VALUE"""),"5319086_1298770")</f>
        <v>5319086_1298770</v>
      </c>
      <c r="B445" s="43" t="str">
        <f>IFERROR(__xludf.DUMMYFUNCTION("""COMPUTED_VALUE"""),"Anushka Weerakkody")</f>
        <v>Anushka Weerakkody</v>
      </c>
      <c r="C445" s="43" t="str">
        <f>IFERROR(__xludf.DUMMYFUNCTION("""COMPUTED_VALUE"""),"approved")</f>
        <v>approved</v>
      </c>
      <c r="D445" s="43" t="str">
        <f>IFERROR(__xludf.DUMMYFUNCTION("""COMPUTED_VALUE"""),"No")</f>
        <v>No</v>
      </c>
      <c r="E445" s="43" t="str">
        <f>IFERROR(__xludf.DUMMYFUNCTION("""COMPUTED_VALUE"""),"p_dc1926d7051d4cc299c6dd35ef8454b731dc0602@inbound.aiesec.org")</f>
        <v>p_dc1926d7051d4cc299c6dd35ef8454b731dc0602@inbound.aiesec.org</v>
      </c>
      <c r="F445" s="43">
        <f>IFERROR(__xludf.DUMMYFUNCTION("""COMPUTED_VALUE"""),7.74724788E8)</f>
        <v>774724788</v>
      </c>
      <c r="G445" s="43" t="str">
        <f>IFERROR(__xludf.DUMMYFUNCTION("""COMPUTED_VALUE"""),"Sri Lanka")</f>
        <v>Sri Lanka</v>
      </c>
      <c r="H445" s="43" t="str">
        <f>IFERROR(__xludf.DUMMYFUNCTION("""COMPUTED_VALUE"""),"COLOMBO CENTRAL")</f>
        <v>COLOMBO CENTRAL</v>
      </c>
      <c r="I445" s="43" t="str">
        <f>IFERROR(__xludf.DUMMYFUNCTION("""COMPUTED_VALUE"""),"Turkey")</f>
        <v>Turkey</v>
      </c>
      <c r="J445" s="43" t="str">
        <f>IFERROR(__xludf.DUMMYFUNCTION("""COMPUTED_VALUE"""),"ISTANBUL ASIA")</f>
        <v>ISTANBUL ASIA</v>
      </c>
      <c r="K445" s="44" t="str">
        <f>IFERROR(__xludf.DUMMYFUNCTION("""COMPUTED_VALUE"""),"https://expa.aiesec.org/opportunities/1298770")</f>
        <v>https://expa.aiesec.org/opportunities/1298770</v>
      </c>
      <c r="L445" s="43" t="str">
        <f>IFERROR(__xludf.DUMMYFUNCTION("""COMPUTED_VALUE"""),"GTe")</f>
        <v>GTe</v>
      </c>
      <c r="M445" s="43" t="str">
        <f>IFERROR(__xludf.DUMMYFUNCTION("""COMPUTED_VALUE"""),"long")</f>
        <v>long</v>
      </c>
      <c r="N445" s="45">
        <f>IFERROR(__xludf.DUMMYFUNCTION("""COMPUTED_VALUE"""),45201.0)</f>
        <v>45201</v>
      </c>
      <c r="O445" s="45">
        <f>IFERROR(__xludf.DUMMYFUNCTION("""COMPUTED_VALUE"""),45201.0)</f>
        <v>45201</v>
      </c>
      <c r="P445" s="45">
        <f>IFERROR(__xludf.DUMMYFUNCTION("""COMPUTED_VALUE"""),45478.0)</f>
        <v>45478</v>
      </c>
      <c r="Q445" s="45"/>
      <c r="R445" s="45"/>
      <c r="S445" s="43"/>
      <c r="T445" s="43"/>
      <c r="U445" s="43" t="str">
        <f>IFERROR(__xludf.DUMMYFUNCTION("""COMPUTED_VALUE"""),"Amerikan Kültür Soyak Anaokulu")</f>
        <v>Amerikan Kültür Soyak Anaokulu</v>
      </c>
      <c r="V445" s="43" t="str">
        <f>IFERROR(__xludf.DUMMYFUNCTION("""COMPUTED_VALUE"""),"University of Colombo")</f>
        <v>University of Colombo</v>
      </c>
      <c r="W445" s="43" t="str">
        <f>IFERROR(__xludf.DUMMYFUNCTION("""COMPUTED_VALUE"""),"2023-09-06T13:14:53Z")</f>
        <v>2023-09-06T13:14:53Z</v>
      </c>
      <c r="X445" s="43"/>
      <c r="Y445" s="43"/>
      <c r="Z445" s="43"/>
    </row>
    <row r="446" hidden="1">
      <c r="A446" s="43" t="str">
        <f>IFERROR(__xludf.DUMMYFUNCTION("""COMPUTED_VALUE"""),"5339623_1298736")</f>
        <v>5339623_1298736</v>
      </c>
      <c r="B446" s="43" t="str">
        <f>IFERROR(__xludf.DUMMYFUNCTION("""COMPUTED_VALUE"""),"Aisha Farag")</f>
        <v>Aisha Farag</v>
      </c>
      <c r="C446" s="43" t="str">
        <f>IFERROR(__xludf.DUMMYFUNCTION("""COMPUTED_VALUE"""),"realized")</f>
        <v>realized</v>
      </c>
      <c r="D446" s="43" t="str">
        <f>IFERROR(__xludf.DUMMYFUNCTION("""COMPUTED_VALUE"""),"No")</f>
        <v>No</v>
      </c>
      <c r="E446" s="43" t="str">
        <f>IFERROR(__xludf.DUMMYFUNCTION("""COMPUTED_VALUE"""),"p_360190e33c9f71e7d92735646336537d2ffb6bcf@inbound.aiesec.org")</f>
        <v>p_360190e33c9f71e7d92735646336537d2ffb6bcf@inbound.aiesec.org</v>
      </c>
      <c r="F446" s="43">
        <f>IFERROR(__xludf.DUMMYFUNCTION("""COMPUTED_VALUE"""),1.124268065E9)</f>
        <v>1124268065</v>
      </c>
      <c r="G446" s="43" t="str">
        <f>IFERROR(__xludf.DUMMYFUNCTION("""COMPUTED_VALUE"""),"Egypt")</f>
        <v>Egypt</v>
      </c>
      <c r="H446" s="43" t="str">
        <f>IFERROR(__xludf.DUMMYFUNCTION("""COMPUTED_VALUE"""),"Alexandria")</f>
        <v>Alexandria</v>
      </c>
      <c r="I446" s="43" t="str">
        <f>IFERROR(__xludf.DUMMYFUNCTION("""COMPUTED_VALUE"""),"Turkey")</f>
        <v>Turkey</v>
      </c>
      <c r="J446" s="43" t="str">
        <f>IFERROR(__xludf.DUMMYFUNCTION("""COMPUTED_VALUE"""),"ISTANBUL ASIA")</f>
        <v>ISTANBUL ASIA</v>
      </c>
      <c r="K446" s="44" t="str">
        <f>IFERROR(__xludf.DUMMYFUNCTION("""COMPUTED_VALUE"""),"https://expa.aiesec.org/opportunities/1298736")</f>
        <v>https://expa.aiesec.org/opportunities/1298736</v>
      </c>
      <c r="L446" s="43" t="str">
        <f>IFERROR(__xludf.DUMMYFUNCTION("""COMPUTED_VALUE"""),"GTe")</f>
        <v>GTe</v>
      </c>
      <c r="M446" s="43" t="str">
        <f>IFERROR(__xludf.DUMMYFUNCTION("""COMPUTED_VALUE"""),"long")</f>
        <v>long</v>
      </c>
      <c r="N446" s="45">
        <f>IFERROR(__xludf.DUMMYFUNCTION("""COMPUTED_VALUE"""),45201.0)</f>
        <v>45201</v>
      </c>
      <c r="O446" s="45">
        <f>IFERROR(__xludf.DUMMYFUNCTION("""COMPUTED_VALUE"""),45220.0)</f>
        <v>45220</v>
      </c>
      <c r="P446" s="45">
        <f>IFERROR(__xludf.DUMMYFUNCTION("""COMPUTED_VALUE"""),45585.0)</f>
        <v>45585</v>
      </c>
      <c r="Q446" s="45">
        <f>IFERROR(__xludf.DUMMYFUNCTION("""COMPUTED_VALUE"""),45241.0)</f>
        <v>45241</v>
      </c>
      <c r="R446" s="45">
        <f>IFERROR(__xludf.DUMMYFUNCTION("""COMPUTED_VALUE"""),45606.0)</f>
        <v>45606</v>
      </c>
      <c r="S446" s="43"/>
      <c r="T446" s="43"/>
      <c r="U446" s="43" t="str">
        <f>IFERROR(__xludf.DUMMYFUNCTION("""COMPUTED_VALUE"""),"Amerikan Kültür Kavacık")</f>
        <v>Amerikan Kültür Kavacık</v>
      </c>
      <c r="V446" s="43" t="str">
        <f>IFERROR(__xludf.DUMMYFUNCTION("""COMPUTED_VALUE"""),"Alexandria University")</f>
        <v>Alexandria University</v>
      </c>
      <c r="W446" s="43" t="str">
        <f>IFERROR(__xludf.DUMMYFUNCTION("""COMPUTED_VALUE"""),"2023-10-02T09:44:28Z")</f>
        <v>2023-10-02T09:44:28Z</v>
      </c>
      <c r="X446" s="43"/>
      <c r="Y446" s="43"/>
      <c r="Z446" s="43"/>
    </row>
    <row r="447" hidden="1">
      <c r="A447" s="43" t="str">
        <f>IFERROR(__xludf.DUMMYFUNCTION("""COMPUTED_VALUE"""),"5327550_1283628")</f>
        <v>5327550_1283628</v>
      </c>
      <c r="B447" s="43" t="str">
        <f>IFERROR(__xludf.DUMMYFUNCTION("""COMPUTED_VALUE"""),"Hadjer Nesrine Guidoum")</f>
        <v>Hadjer Nesrine Guidoum</v>
      </c>
      <c r="C447" s="43" t="str">
        <f>IFERROR(__xludf.DUMMYFUNCTION("""COMPUTED_VALUE"""),"realized")</f>
        <v>realized</v>
      </c>
      <c r="D447" s="43" t="str">
        <f>IFERROR(__xludf.DUMMYFUNCTION("""COMPUTED_VALUE"""),"No")</f>
        <v>No</v>
      </c>
      <c r="E447" s="43" t="str">
        <f>IFERROR(__xludf.DUMMYFUNCTION("""COMPUTED_VALUE"""),"p_c3d22564890db654650dc74656b3f4426daa2140@inbound.aiesec.org")</f>
        <v>p_c3d22564890db654650dc74656b3f4426daa2140@inbound.aiesec.org</v>
      </c>
      <c r="F447" s="43">
        <f>IFERROR(__xludf.DUMMYFUNCTION("""COMPUTED_VALUE"""),5.360258845E9)</f>
        <v>5360258845</v>
      </c>
      <c r="G447" s="43" t="str">
        <f>IFERROR(__xludf.DUMMYFUNCTION("""COMPUTED_VALUE"""),"Algeria")</f>
        <v>Algeria</v>
      </c>
      <c r="H447" s="43" t="str">
        <f>IFERROR(__xludf.DUMMYFUNCTION("""COMPUTED_VALUE"""),"Benak")</f>
        <v>Benak</v>
      </c>
      <c r="I447" s="43" t="str">
        <f>IFERROR(__xludf.DUMMYFUNCTION("""COMPUTED_VALUE"""),"Turkey")</f>
        <v>Turkey</v>
      </c>
      <c r="J447" s="43" t="str">
        <f>IFERROR(__xludf.DUMMYFUNCTION("""COMPUTED_VALUE"""),"ESKISEHIR")</f>
        <v>ESKISEHIR</v>
      </c>
      <c r="K447" s="44" t="str">
        <f>IFERROR(__xludf.DUMMYFUNCTION("""COMPUTED_VALUE"""),"https://expa.aiesec.org/opportunities/1283628")</f>
        <v>https://expa.aiesec.org/opportunities/1283628</v>
      </c>
      <c r="L447" s="43" t="str">
        <f>IFERROR(__xludf.DUMMYFUNCTION("""COMPUTED_VALUE"""),"GTe")</f>
        <v>GTe</v>
      </c>
      <c r="M447" s="43" t="str">
        <f>IFERROR(__xludf.DUMMYFUNCTION("""COMPUTED_VALUE"""),"long")</f>
        <v>long</v>
      </c>
      <c r="N447" s="45">
        <f>IFERROR(__xludf.DUMMYFUNCTION("""COMPUTED_VALUE"""),45201.0)</f>
        <v>45201</v>
      </c>
      <c r="O447" s="45">
        <f>IFERROR(__xludf.DUMMYFUNCTION("""COMPUTED_VALUE"""),45202.0)</f>
        <v>45202</v>
      </c>
      <c r="P447" s="45">
        <f>IFERROR(__xludf.DUMMYFUNCTION("""COMPUTED_VALUE"""),45567.0)</f>
        <v>45567</v>
      </c>
      <c r="Q447" s="45">
        <f>IFERROR(__xludf.DUMMYFUNCTION("""COMPUTED_VALUE"""),45202.0)</f>
        <v>45202</v>
      </c>
      <c r="R447" s="45">
        <f>IFERROR(__xludf.DUMMYFUNCTION("""COMPUTED_VALUE"""),45567.0)</f>
        <v>45567</v>
      </c>
      <c r="S447" s="43"/>
      <c r="T447" s="43"/>
      <c r="U447" s="43" t="str">
        <f>IFERROR(__xludf.DUMMYFUNCTION("""COMPUTED_VALUE"""),"Join Wimbledn Academy ")</f>
        <v>Join Wimbledn Academy </v>
      </c>
      <c r="V447" s="43" t="str">
        <f>IFERROR(__xludf.DUMMYFUNCTION("""COMPUTED_VALUE"""),"AIESEC in Benak")</f>
        <v>AIESEC in Benak</v>
      </c>
      <c r="W447" s="43" t="str">
        <f>IFERROR(__xludf.DUMMYFUNCTION("""COMPUTED_VALUE"""),"2023-09-19T15:27:32Z")</f>
        <v>2023-09-19T15:27:32Z</v>
      </c>
      <c r="X447" s="43"/>
      <c r="Y447" s="43"/>
      <c r="Z447" s="43"/>
    </row>
    <row r="448" hidden="1">
      <c r="A448" s="43" t="str">
        <f>IFERROR(__xludf.DUMMYFUNCTION("""COMPUTED_VALUE"""),"965589_1281195")</f>
        <v>965589_1281195</v>
      </c>
      <c r="B448" s="43" t="str">
        <f>IFERROR(__xludf.DUMMYFUNCTION("""COMPUTED_VALUE"""),"Fawwaz Izeddin")</f>
        <v>Fawwaz Izeddin</v>
      </c>
      <c r="C448" s="43" t="str">
        <f>IFERROR(__xludf.DUMMYFUNCTION("""COMPUTED_VALUE"""),"realized")</f>
        <v>realized</v>
      </c>
      <c r="D448" s="43" t="str">
        <f>IFERROR(__xludf.DUMMYFUNCTION("""COMPUTED_VALUE"""),"No")</f>
        <v>No</v>
      </c>
      <c r="E448" s="43" t="str">
        <f>IFERROR(__xludf.DUMMYFUNCTION("""COMPUTED_VALUE"""),"p_e67fbd3015c88233a6a797938b925a5ba08f9e92@inbound.aiesec.org")</f>
        <v>p_e67fbd3015c88233a6a797938b925a5ba08f9e92@inbound.aiesec.org</v>
      </c>
      <c r="F448" s="43">
        <f>IFERROR(__xludf.DUMMYFUNCTION("""COMPUTED_VALUE"""),4.91895193E8)</f>
        <v>491895193</v>
      </c>
      <c r="G448" s="43" t="str">
        <f>IFERROR(__xludf.DUMMYFUNCTION("""COMPUTED_VALUE"""),"Jordan")</f>
        <v>Jordan</v>
      </c>
      <c r="H448" s="43" t="str">
        <f>IFERROR(__xludf.DUMMYFUNCTION("""COMPUTED_VALUE"""),"AMMAN")</f>
        <v>AMMAN</v>
      </c>
      <c r="I448" s="43" t="str">
        <f>IFERROR(__xludf.DUMMYFUNCTION("""COMPUTED_VALUE"""),"Turkey")</f>
        <v>Turkey</v>
      </c>
      <c r="J448" s="43" t="str">
        <f>IFERROR(__xludf.DUMMYFUNCTION("""COMPUTED_VALUE"""),"BURSA")</f>
        <v>BURSA</v>
      </c>
      <c r="K448" s="44" t="str">
        <f>IFERROR(__xludf.DUMMYFUNCTION("""COMPUTED_VALUE"""),"https://expa.aiesec.org/opportunities/1281195")</f>
        <v>https://expa.aiesec.org/opportunities/1281195</v>
      </c>
      <c r="L448" s="43" t="str">
        <f>IFERROR(__xludf.DUMMYFUNCTION("""COMPUTED_VALUE"""),"GTe")</f>
        <v>GTe</v>
      </c>
      <c r="M448" s="43" t="str">
        <f>IFERROR(__xludf.DUMMYFUNCTION("""COMPUTED_VALUE"""),"long")</f>
        <v>long</v>
      </c>
      <c r="N448" s="45">
        <f>IFERROR(__xludf.DUMMYFUNCTION("""COMPUTED_VALUE"""),45202.0)</f>
        <v>45202</v>
      </c>
      <c r="O448" s="45">
        <f>IFERROR(__xludf.DUMMYFUNCTION("""COMPUTED_VALUE"""),45206.0)</f>
        <v>45206</v>
      </c>
      <c r="P448" s="45">
        <f>IFERROR(__xludf.DUMMYFUNCTION("""COMPUTED_VALUE"""),45572.0)</f>
        <v>45572</v>
      </c>
      <c r="Q448" s="45">
        <f>IFERROR(__xludf.DUMMYFUNCTION("""COMPUTED_VALUE"""),45226.0)</f>
        <v>45226</v>
      </c>
      <c r="R448" s="45">
        <f>IFERROR(__xludf.DUMMYFUNCTION("""COMPUTED_VALUE"""),45590.0)</f>
        <v>45590</v>
      </c>
      <c r="S448" s="43"/>
      <c r="T448" s="43"/>
      <c r="U448" s="43" t="str">
        <f>IFERROR(__xludf.DUMMYFUNCTION("""COMPUTED_VALUE"""),"ENGLISH TEACHING")</f>
        <v>ENGLISH TEACHING</v>
      </c>
      <c r="V448" s="43" t="str">
        <f>IFERROR(__xludf.DUMMYFUNCTION("""COMPUTED_VALUE"""),"-")</f>
        <v>-</v>
      </c>
      <c r="W448" s="43" t="str">
        <f>IFERROR(__xludf.DUMMYFUNCTION("""COMPUTED_VALUE"""),"2016-04-09T13:58:16Z")</f>
        <v>2016-04-09T13:58:16Z</v>
      </c>
      <c r="X448" s="43"/>
      <c r="Y448" s="43"/>
      <c r="Z448" s="43"/>
    </row>
    <row r="449" hidden="1">
      <c r="A449" s="43" t="str">
        <f>IFERROR(__xludf.DUMMYFUNCTION("""COMPUTED_VALUE"""),"3603128_1296625")</f>
        <v>3603128_1296625</v>
      </c>
      <c r="B449" s="43" t="str">
        <f>IFERROR(__xludf.DUMMYFUNCTION("""COMPUTED_VALUE"""),"Mona Karkar")</f>
        <v>Mona Karkar</v>
      </c>
      <c r="C449" s="43" t="str">
        <f>IFERROR(__xludf.DUMMYFUNCTION("""COMPUTED_VALUE"""),"realized")</f>
        <v>realized</v>
      </c>
      <c r="D449" s="43" t="str">
        <f>IFERROR(__xludf.DUMMYFUNCTION("""COMPUTED_VALUE"""),"No")</f>
        <v>No</v>
      </c>
      <c r="E449" s="43" t="str">
        <f>IFERROR(__xludf.DUMMYFUNCTION("""COMPUTED_VALUE"""),"p_9383209b7930aa34e4e3645bc4b71abcea190e1a@inbound.aiesec.org")</f>
        <v>p_9383209b7930aa34e4e3645bc4b71abcea190e1a@inbound.aiesec.org</v>
      </c>
      <c r="F449" s="43">
        <f>IFERROR(__xludf.DUMMYFUNCTION("""COMPUTED_VALUE"""),7.07749274E8)</f>
        <v>707749274</v>
      </c>
      <c r="G449" s="43" t="str">
        <f>IFERROR(__xludf.DUMMYFUNCTION("""COMPUTED_VALUE"""),"Morocco")</f>
        <v>Morocco</v>
      </c>
      <c r="H449" s="43" t="str">
        <f>IFERROR(__xludf.DUMMYFUNCTION("""COMPUTED_VALUE"""),"Casablanca")</f>
        <v>Casablanca</v>
      </c>
      <c r="I449" s="43" t="str">
        <f>IFERROR(__xludf.DUMMYFUNCTION("""COMPUTED_VALUE"""),"Turkey")</f>
        <v>Turkey</v>
      </c>
      <c r="J449" s="43" t="str">
        <f>IFERROR(__xludf.DUMMYFUNCTION("""COMPUTED_VALUE"""),"SAKARYA")</f>
        <v>SAKARYA</v>
      </c>
      <c r="K449" s="44" t="str">
        <f>IFERROR(__xludf.DUMMYFUNCTION("""COMPUTED_VALUE"""),"https://expa.aiesec.org/opportunities/1296625")</f>
        <v>https://expa.aiesec.org/opportunities/1296625</v>
      </c>
      <c r="L449" s="43" t="str">
        <f>IFERROR(__xludf.DUMMYFUNCTION("""COMPUTED_VALUE"""),"GTe")</f>
        <v>GTe</v>
      </c>
      <c r="M449" s="43" t="str">
        <f>IFERROR(__xludf.DUMMYFUNCTION("""COMPUTED_VALUE"""),"long")</f>
        <v>long</v>
      </c>
      <c r="N449" s="45">
        <f>IFERROR(__xludf.DUMMYFUNCTION("""COMPUTED_VALUE"""),45202.0)</f>
        <v>45202</v>
      </c>
      <c r="O449" s="45">
        <f>IFERROR(__xludf.DUMMYFUNCTION("""COMPUTED_VALUE"""),45207.0)</f>
        <v>45207</v>
      </c>
      <c r="P449" s="45">
        <f>IFERROR(__xludf.DUMMYFUNCTION("""COMPUTED_VALUE"""),45571.0)</f>
        <v>45571</v>
      </c>
      <c r="Q449" s="45">
        <f>IFERROR(__xludf.DUMMYFUNCTION("""COMPUTED_VALUE"""),45216.0)</f>
        <v>45216</v>
      </c>
      <c r="R449" s="45">
        <f>IFERROR(__xludf.DUMMYFUNCTION("""COMPUTED_VALUE"""),45579.0)</f>
        <v>45579</v>
      </c>
      <c r="S449" s="43"/>
      <c r="T449" s="43"/>
      <c r="U449" s="43" t="str">
        <f>IFERROR(__xludf.DUMMYFUNCTION("""COMPUTED_VALUE"""),"English Teacher")</f>
        <v>English Teacher</v>
      </c>
      <c r="V449" s="43" t="str">
        <f>IFERROR(__xludf.DUMMYFUNCTION("""COMPUTED_VALUE"""),"Other-CASABLANCA")</f>
        <v>Other-CASABLANCA</v>
      </c>
      <c r="W449" s="43" t="str">
        <f>IFERROR(__xludf.DUMMYFUNCTION("""COMPUTED_VALUE"""),"2019-07-03T14:56:29Z")</f>
        <v>2019-07-03T14:56:29Z</v>
      </c>
      <c r="X449" s="43"/>
      <c r="Y449" s="43"/>
      <c r="Z449" s="43"/>
    </row>
    <row r="450" hidden="1">
      <c r="A450" s="43" t="str">
        <f>IFERROR(__xludf.DUMMYFUNCTION("""COMPUTED_VALUE"""),"5284670_1298733")</f>
        <v>5284670_1298733</v>
      </c>
      <c r="B450" s="43" t="str">
        <f>IFERROR(__xludf.DUMMYFUNCTION("""COMPUTED_VALUE"""),"Rania Hamdi")</f>
        <v>Rania Hamdi</v>
      </c>
      <c r="C450" s="43" t="str">
        <f>IFERROR(__xludf.DUMMYFUNCTION("""COMPUTED_VALUE"""),"realized")</f>
        <v>realized</v>
      </c>
      <c r="D450" s="43" t="str">
        <f>IFERROR(__xludf.DUMMYFUNCTION("""COMPUTED_VALUE"""),"No")</f>
        <v>No</v>
      </c>
      <c r="E450" s="43" t="str">
        <f>IFERROR(__xludf.DUMMYFUNCTION("""COMPUTED_VALUE"""),"p_62002a76514bbb71bf6b822008f17e1abfe02d9e@inbound.aiesec.org")</f>
        <v>p_62002a76514bbb71bf6b822008f17e1abfe02d9e@inbound.aiesec.org</v>
      </c>
      <c r="F450" s="43">
        <f>IFERROR(__xludf.DUMMYFUNCTION("""COMPUTED_VALUE"""),2.1434334E7)</f>
        <v>21434334</v>
      </c>
      <c r="G450" s="43" t="str">
        <f>IFERROR(__xludf.DUMMYFUNCTION("""COMPUTED_VALUE"""),"Tunisia")</f>
        <v>Tunisia</v>
      </c>
      <c r="H450" s="43" t="str">
        <f>IFERROR(__xludf.DUMMYFUNCTION("""COMPUTED_VALUE"""),"HADRUMET")</f>
        <v>HADRUMET</v>
      </c>
      <c r="I450" s="43" t="str">
        <f>IFERROR(__xludf.DUMMYFUNCTION("""COMPUTED_VALUE"""),"Turkey")</f>
        <v>Turkey</v>
      </c>
      <c r="J450" s="43" t="str">
        <f>IFERROR(__xludf.DUMMYFUNCTION("""COMPUTED_VALUE"""),"KOCAELI")</f>
        <v>KOCAELI</v>
      </c>
      <c r="K450" s="44" t="str">
        <f>IFERROR(__xludf.DUMMYFUNCTION("""COMPUTED_VALUE"""),"https://expa.aiesec.org/opportunities/1298733")</f>
        <v>https://expa.aiesec.org/opportunities/1298733</v>
      </c>
      <c r="L450" s="43" t="str">
        <f>IFERROR(__xludf.DUMMYFUNCTION("""COMPUTED_VALUE"""),"GTe")</f>
        <v>GTe</v>
      </c>
      <c r="M450" s="43" t="str">
        <f>IFERROR(__xludf.DUMMYFUNCTION("""COMPUTED_VALUE"""),"long")</f>
        <v>long</v>
      </c>
      <c r="N450" s="45">
        <f>IFERROR(__xludf.DUMMYFUNCTION("""COMPUTED_VALUE"""),45202.0)</f>
        <v>45202</v>
      </c>
      <c r="O450" s="45">
        <f>IFERROR(__xludf.DUMMYFUNCTION("""COMPUTED_VALUE"""),45215.0)</f>
        <v>45215</v>
      </c>
      <c r="P450" s="45">
        <f>IFERROR(__xludf.DUMMYFUNCTION("""COMPUTED_VALUE"""),45452.0)</f>
        <v>45452</v>
      </c>
      <c r="Q450" s="45">
        <f>IFERROR(__xludf.DUMMYFUNCTION("""COMPUTED_VALUE"""),45175.0)</f>
        <v>45175</v>
      </c>
      <c r="R450" s="45">
        <f>IFERROR(__xludf.DUMMYFUNCTION("""COMPUTED_VALUE"""),45451.0)</f>
        <v>45451</v>
      </c>
      <c r="S450" s="43"/>
      <c r="T450" s="43"/>
      <c r="U450" s="43" t="str">
        <f>IFERROR(__xludf.DUMMYFUNCTION("""COMPUTED_VALUE"""),"English Teacher in Alfa Cocuk Kindergarten")</f>
        <v>English Teacher in Alfa Cocuk Kindergarten</v>
      </c>
      <c r="V450" s="43" t="str">
        <f>IFERROR(__xludf.DUMMYFUNCTION("""COMPUTED_VALUE"""),"FLSH Sousse")</f>
        <v>FLSH Sousse</v>
      </c>
      <c r="W450" s="43" t="str">
        <f>IFERROR(__xludf.DUMMYFUNCTION("""COMPUTED_VALUE"""),"2023-07-12T16:12:09Z")</f>
        <v>2023-07-12T16:12:09Z</v>
      </c>
      <c r="X450" s="43"/>
      <c r="Y450" s="43"/>
      <c r="Z450" s="43"/>
    </row>
    <row r="451" hidden="1">
      <c r="A451" s="43" t="str">
        <f>IFERROR(__xludf.DUMMYFUNCTION("""COMPUTED_VALUE"""),"5331770_1259741")</f>
        <v>5331770_1259741</v>
      </c>
      <c r="B451" s="43" t="str">
        <f>IFERROR(__xludf.DUMMYFUNCTION("""COMPUTED_VALUE"""),"Marwa Ezzat")</f>
        <v>Marwa Ezzat</v>
      </c>
      <c r="C451" s="43" t="str">
        <f>IFERROR(__xludf.DUMMYFUNCTION("""COMPUTED_VALUE"""),"realized")</f>
        <v>realized</v>
      </c>
      <c r="D451" s="43" t="str">
        <f>IFERROR(__xludf.DUMMYFUNCTION("""COMPUTED_VALUE"""),"No")</f>
        <v>No</v>
      </c>
      <c r="E451" s="43" t="str">
        <f>IFERROR(__xludf.DUMMYFUNCTION("""COMPUTED_VALUE"""),"p_08602009e29d21f01796a3b18189155ab50351ce@inbound.aiesec.org")</f>
        <v>p_08602009e29d21f01796a3b18189155ab50351ce@inbound.aiesec.org</v>
      </c>
      <c r="F451" s="43">
        <f>IFERROR(__xludf.DUMMYFUNCTION("""COMPUTED_VALUE"""),1.110501779E9)</f>
        <v>1110501779</v>
      </c>
      <c r="G451" s="43" t="str">
        <f>IFERROR(__xludf.DUMMYFUNCTION("""COMPUTED_VALUE"""),"Egypt")</f>
        <v>Egypt</v>
      </c>
      <c r="H451" s="43" t="str">
        <f>IFERROR(__xludf.DUMMYFUNCTION("""COMPUTED_VALUE"""),"Mansoura")</f>
        <v>Mansoura</v>
      </c>
      <c r="I451" s="43" t="str">
        <f>IFERROR(__xludf.DUMMYFUNCTION("""COMPUTED_VALUE"""),"Turkey")</f>
        <v>Turkey</v>
      </c>
      <c r="J451" s="43" t="str">
        <f>IFERROR(__xludf.DUMMYFUNCTION("""COMPUTED_VALUE"""),"KONYA")</f>
        <v>KONYA</v>
      </c>
      <c r="K451" s="44" t="str">
        <f>IFERROR(__xludf.DUMMYFUNCTION("""COMPUTED_VALUE"""),"https://expa.aiesec.org/opportunities/1259741")</f>
        <v>https://expa.aiesec.org/opportunities/1259741</v>
      </c>
      <c r="L451" s="43" t="str">
        <f>IFERROR(__xludf.DUMMYFUNCTION("""COMPUTED_VALUE"""),"GTe")</f>
        <v>GTe</v>
      </c>
      <c r="M451" s="43" t="str">
        <f>IFERROR(__xludf.DUMMYFUNCTION("""COMPUTED_VALUE"""),"long")</f>
        <v>long</v>
      </c>
      <c r="N451" s="45">
        <f>IFERROR(__xludf.DUMMYFUNCTION("""COMPUTED_VALUE"""),45202.0)</f>
        <v>45202</v>
      </c>
      <c r="O451" s="45">
        <f>IFERROR(__xludf.DUMMYFUNCTION("""COMPUTED_VALUE"""),45261.0)</f>
        <v>45261</v>
      </c>
      <c r="P451" s="45">
        <f>IFERROR(__xludf.DUMMYFUNCTION("""COMPUTED_VALUE"""),45626.0)</f>
        <v>45626</v>
      </c>
      <c r="Q451" s="45">
        <f>IFERROR(__xludf.DUMMYFUNCTION("""COMPUTED_VALUE"""),45297.0)</f>
        <v>45297</v>
      </c>
      <c r="R451" s="45">
        <f>IFERROR(__xludf.DUMMYFUNCTION("""COMPUTED_VALUE"""),45662.0)</f>
        <v>45662</v>
      </c>
      <c r="S451" s="43"/>
      <c r="T451" s="43"/>
      <c r="U451" s="43" t="str">
        <f>IFERROR(__xludf.DUMMYFUNCTION("""COMPUTED_VALUE"""),"English Teacher")</f>
        <v>English Teacher</v>
      </c>
      <c r="V451" s="43" t="str">
        <f>IFERROR(__xludf.DUMMYFUNCTION("""COMPUTED_VALUE"""),"Mansoura")</f>
        <v>Mansoura</v>
      </c>
      <c r="W451" s="43" t="str">
        <f>IFERROR(__xludf.DUMMYFUNCTION("""COMPUTED_VALUE"""),"2023-09-25T08:47:33Z")</f>
        <v>2023-09-25T08:47:33Z</v>
      </c>
      <c r="X451" s="43"/>
      <c r="Y451" s="43"/>
      <c r="Z451" s="43"/>
    </row>
    <row r="452" hidden="1">
      <c r="A452" s="43" t="str">
        <f>IFERROR(__xludf.DUMMYFUNCTION("""COMPUTED_VALUE"""),"5061413_1286368")</f>
        <v>5061413_1286368</v>
      </c>
      <c r="B452" s="43" t="str">
        <f>IFERROR(__xludf.DUMMYFUNCTION("""COMPUTED_VALUE"""),"romaissa SMAIL")</f>
        <v>romaissa SMAIL</v>
      </c>
      <c r="C452" s="43" t="str">
        <f>IFERROR(__xludf.DUMMYFUNCTION("""COMPUTED_VALUE"""),"approved")</f>
        <v>approved</v>
      </c>
      <c r="D452" s="43" t="str">
        <f>IFERROR(__xludf.DUMMYFUNCTION("""COMPUTED_VALUE"""),"No")</f>
        <v>No</v>
      </c>
      <c r="E452" s="43" t="str">
        <f>IFERROR(__xludf.DUMMYFUNCTION("""COMPUTED_VALUE"""),"p_53ab294b97d20be882b9637ff7bfbbad494994b9@inbound.aiesec.org")</f>
        <v>p_53ab294b97d20be882b9637ff7bfbbad494994b9@inbound.aiesec.org</v>
      </c>
      <c r="F452" s="43">
        <f>IFERROR(__xludf.DUMMYFUNCTION("""COMPUTED_VALUE"""),6.73673327E8)</f>
        <v>673673327</v>
      </c>
      <c r="G452" s="43" t="str">
        <f>IFERROR(__xludf.DUMMYFUNCTION("""COMPUTED_VALUE"""),"Algeria")</f>
        <v>Algeria</v>
      </c>
      <c r="H452" s="43" t="str">
        <f>IFERROR(__xludf.DUMMYFUNCTION("""COMPUTED_VALUE"""),"Babez")</f>
        <v>Babez</v>
      </c>
      <c r="I452" s="43" t="str">
        <f>IFERROR(__xludf.DUMMYFUNCTION("""COMPUTED_VALUE"""),"Turkey")</f>
        <v>Turkey</v>
      </c>
      <c r="J452" s="43" t="str">
        <f>IFERROR(__xludf.DUMMYFUNCTION("""COMPUTED_VALUE"""),"ISTANBUL ASIA")</f>
        <v>ISTANBUL ASIA</v>
      </c>
      <c r="K452" s="44" t="str">
        <f>IFERROR(__xludf.DUMMYFUNCTION("""COMPUTED_VALUE"""),"https://expa.aiesec.org/opportunities/1286368")</f>
        <v>https://expa.aiesec.org/opportunities/1286368</v>
      </c>
      <c r="L452" s="43" t="str">
        <f>IFERROR(__xludf.DUMMYFUNCTION("""COMPUTED_VALUE"""),"GTe")</f>
        <v>GTe</v>
      </c>
      <c r="M452" s="43" t="str">
        <f>IFERROR(__xludf.DUMMYFUNCTION("""COMPUTED_VALUE"""),"long")</f>
        <v>long</v>
      </c>
      <c r="N452" s="45">
        <f>IFERROR(__xludf.DUMMYFUNCTION("""COMPUTED_VALUE"""),45203.0)</f>
        <v>45203</v>
      </c>
      <c r="O452" s="45">
        <f>IFERROR(__xludf.DUMMYFUNCTION("""COMPUTED_VALUE"""),45229.0)</f>
        <v>45229</v>
      </c>
      <c r="P452" s="45">
        <f>IFERROR(__xludf.DUMMYFUNCTION("""COMPUTED_VALUE"""),45473.0)</f>
        <v>45473</v>
      </c>
      <c r="Q452" s="45"/>
      <c r="R452" s="45"/>
      <c r="S452" s="43"/>
      <c r="T452" s="43"/>
      <c r="U452" s="43" t="str">
        <f>IFERROR(__xludf.DUMMYFUNCTION("""COMPUTED_VALUE"""),"English Teacher")</f>
        <v>English Teacher</v>
      </c>
      <c r="V452" s="43" t="str">
        <f>IFERROR(__xludf.DUMMYFUNCTION("""COMPUTED_VALUE"""),"AIESEC in Babez")</f>
        <v>AIESEC in Babez</v>
      </c>
      <c r="W452" s="43" t="str">
        <f>IFERROR(__xludf.DUMMYFUNCTION("""COMPUTED_VALUE"""),"2022-05-20T22:04:24Z")</f>
        <v>2022-05-20T22:04:24Z</v>
      </c>
      <c r="X452" s="43"/>
      <c r="Y452" s="43"/>
      <c r="Z452" s="43"/>
    </row>
    <row r="453" hidden="1">
      <c r="A453" s="43" t="str">
        <f>IFERROR(__xludf.DUMMYFUNCTION("""COMPUTED_VALUE"""),"5257325_1292975")</f>
        <v>5257325_1292975</v>
      </c>
      <c r="B453" s="43" t="str">
        <f>IFERROR(__xludf.DUMMYFUNCTION("""COMPUTED_VALUE"""),"Shaima Ghaoui")</f>
        <v>Shaima Ghaoui</v>
      </c>
      <c r="C453" s="43" t="str">
        <f>IFERROR(__xludf.DUMMYFUNCTION("""COMPUTED_VALUE"""),"realized")</f>
        <v>realized</v>
      </c>
      <c r="D453" s="43" t="str">
        <f>IFERROR(__xludf.DUMMYFUNCTION("""COMPUTED_VALUE"""),"No")</f>
        <v>No</v>
      </c>
      <c r="E453" s="43" t="str">
        <f>IFERROR(__xludf.DUMMYFUNCTION("""COMPUTED_VALUE"""),"p_ac04ba1f682a9485d7d15fd48101c190b78f0d81@inbound.aiesec.org")</f>
        <v>p_ac04ba1f682a9485d7d15fd48101c190b78f0d81@inbound.aiesec.org</v>
      </c>
      <c r="F453" s="43"/>
      <c r="G453" s="43" t="str">
        <f>IFERROR(__xludf.DUMMYFUNCTION("""COMPUTED_VALUE"""),"Tunisia")</f>
        <v>Tunisia</v>
      </c>
      <c r="H453" s="43" t="str">
        <f>IFERROR(__xludf.DUMMYFUNCTION("""COMPUTED_VALUE"""),"BARDO")</f>
        <v>BARDO</v>
      </c>
      <c r="I453" s="43" t="str">
        <f>IFERROR(__xludf.DUMMYFUNCTION("""COMPUTED_VALUE"""),"Turkey")</f>
        <v>Turkey</v>
      </c>
      <c r="J453" s="43" t="str">
        <f>IFERROR(__xludf.DUMMYFUNCTION("""COMPUTED_VALUE"""),"TRABZON")</f>
        <v>TRABZON</v>
      </c>
      <c r="K453" s="44" t="str">
        <f>IFERROR(__xludf.DUMMYFUNCTION("""COMPUTED_VALUE"""),"https://expa.aiesec.org/opportunities/1292975")</f>
        <v>https://expa.aiesec.org/opportunities/1292975</v>
      </c>
      <c r="L453" s="43" t="str">
        <f>IFERROR(__xludf.DUMMYFUNCTION("""COMPUTED_VALUE"""),"GTe")</f>
        <v>GTe</v>
      </c>
      <c r="M453" s="43" t="str">
        <f>IFERROR(__xludf.DUMMYFUNCTION("""COMPUTED_VALUE"""),"long")</f>
        <v>long</v>
      </c>
      <c r="N453" s="45">
        <f>IFERROR(__xludf.DUMMYFUNCTION("""COMPUTED_VALUE"""),45203.0)</f>
        <v>45203</v>
      </c>
      <c r="O453" s="45">
        <f>IFERROR(__xludf.DUMMYFUNCTION("""COMPUTED_VALUE"""),45178.0)</f>
        <v>45178</v>
      </c>
      <c r="P453" s="45">
        <f>IFERROR(__xludf.DUMMYFUNCTION("""COMPUTED_VALUE"""),45473.0)</f>
        <v>45473</v>
      </c>
      <c r="Q453" s="45">
        <f>IFERROR(__xludf.DUMMYFUNCTION("""COMPUTED_VALUE"""),45203.0)</f>
        <v>45203</v>
      </c>
      <c r="R453" s="45">
        <f>IFERROR(__xludf.DUMMYFUNCTION("""COMPUTED_VALUE"""),45498.0)</f>
        <v>45498</v>
      </c>
      <c r="S453" s="43"/>
      <c r="T453" s="43"/>
      <c r="U453" s="43" t="str">
        <f>IFERROR(__xludf.DUMMYFUNCTION("""COMPUTED_VALUE"""),"English Teacher")</f>
        <v>English Teacher</v>
      </c>
      <c r="V453" s="43" t="str">
        <f>IFERROR(__xludf.DUMMYFUNCTION("""COMPUTED_VALUE"""),"FSHS Tunis")</f>
        <v>FSHS Tunis</v>
      </c>
      <c r="W453" s="43" t="str">
        <f>IFERROR(__xludf.DUMMYFUNCTION("""COMPUTED_VALUE"""),"2023-05-07T22:34:10Z")</f>
        <v>2023-05-07T22:34:10Z</v>
      </c>
      <c r="X453" s="43"/>
      <c r="Y453" s="43"/>
      <c r="Z453" s="43"/>
    </row>
    <row r="454" hidden="1">
      <c r="A454" s="43" t="str">
        <f>IFERROR(__xludf.DUMMYFUNCTION("""COMPUTED_VALUE"""),"5342641_1296980")</f>
        <v>5342641_1296980</v>
      </c>
      <c r="B454" s="43" t="str">
        <f>IFERROR(__xludf.DUMMYFUNCTION("""COMPUTED_VALUE"""),"Wafa Boumesjed")</f>
        <v>Wafa Boumesjed</v>
      </c>
      <c r="C454" s="43" t="str">
        <f>IFERROR(__xludf.DUMMYFUNCTION("""COMPUTED_VALUE"""),"realized")</f>
        <v>realized</v>
      </c>
      <c r="D454" s="43" t="str">
        <f>IFERROR(__xludf.DUMMYFUNCTION("""COMPUTED_VALUE"""),"No")</f>
        <v>No</v>
      </c>
      <c r="E454" s="43" t="str">
        <f>IFERROR(__xludf.DUMMYFUNCTION("""COMPUTED_VALUE"""),"p_ceda0b4dac069d1621d8d4692b0a4e02f5745287@inbound.aiesec.org")</f>
        <v>p_ceda0b4dac069d1621d8d4692b0a4e02f5745287@inbound.aiesec.org</v>
      </c>
      <c r="F454" s="43">
        <f>IFERROR(__xludf.DUMMYFUNCTION("""COMPUTED_VALUE"""),7.99452751E8)</f>
        <v>799452751</v>
      </c>
      <c r="G454" s="43" t="str">
        <f>IFERROR(__xludf.DUMMYFUNCTION("""COMPUTED_VALUE"""),"Algeria")</f>
        <v>Algeria</v>
      </c>
      <c r="H454" s="43" t="str">
        <f>IFERROR(__xludf.DUMMYFUNCTION("""COMPUTED_VALUE"""),"Babez")</f>
        <v>Babez</v>
      </c>
      <c r="I454" s="43" t="str">
        <f>IFERROR(__xludf.DUMMYFUNCTION("""COMPUTED_VALUE"""),"Turkey")</f>
        <v>Turkey</v>
      </c>
      <c r="J454" s="43" t="str">
        <f>IFERROR(__xludf.DUMMYFUNCTION("""COMPUTED_VALUE"""),"ISTANBUL ASIA")</f>
        <v>ISTANBUL ASIA</v>
      </c>
      <c r="K454" s="44" t="str">
        <f>IFERROR(__xludf.DUMMYFUNCTION("""COMPUTED_VALUE"""),"https://expa.aiesec.org/opportunities/1296980")</f>
        <v>https://expa.aiesec.org/opportunities/1296980</v>
      </c>
      <c r="L454" s="43" t="str">
        <f>IFERROR(__xludf.DUMMYFUNCTION("""COMPUTED_VALUE"""),"GTe")</f>
        <v>GTe</v>
      </c>
      <c r="M454" s="43" t="str">
        <f>IFERROR(__xludf.DUMMYFUNCTION("""COMPUTED_VALUE"""),"long")</f>
        <v>long</v>
      </c>
      <c r="N454" s="45">
        <f>IFERROR(__xludf.DUMMYFUNCTION("""COMPUTED_VALUE"""),45204.0)</f>
        <v>45204</v>
      </c>
      <c r="O454" s="45">
        <f>IFERROR(__xludf.DUMMYFUNCTION("""COMPUTED_VALUE"""),45217.0)</f>
        <v>45217</v>
      </c>
      <c r="P454" s="45">
        <f>IFERROR(__xludf.DUMMYFUNCTION("""COMPUTED_VALUE"""),45582.0)</f>
        <v>45582</v>
      </c>
      <c r="Q454" s="45">
        <f>IFERROR(__xludf.DUMMYFUNCTION("""COMPUTED_VALUE"""),45224.0)</f>
        <v>45224</v>
      </c>
      <c r="R454" s="45">
        <f>IFERROR(__xludf.DUMMYFUNCTION("""COMPUTED_VALUE"""),45589.0)</f>
        <v>45589</v>
      </c>
      <c r="S454" s="43"/>
      <c r="T454" s="43"/>
      <c r="U454" s="43" t="str">
        <f>IFERROR(__xludf.DUMMYFUNCTION("""COMPUTED_VALUE"""),"English Teacher")</f>
        <v>English Teacher</v>
      </c>
      <c r="V454" s="43" t="str">
        <f>IFERROR(__xludf.DUMMYFUNCTION("""COMPUTED_VALUE"""),"AIESEC in Babez")</f>
        <v>AIESEC in Babez</v>
      </c>
      <c r="W454" s="43" t="str">
        <f>IFERROR(__xludf.DUMMYFUNCTION("""COMPUTED_VALUE"""),"2023-10-04T20:53:45Z")</f>
        <v>2023-10-04T20:53:45Z</v>
      </c>
      <c r="X454" s="43"/>
      <c r="Y454" s="43"/>
      <c r="Z454" s="43"/>
    </row>
    <row r="455" hidden="1">
      <c r="A455" s="43" t="str">
        <f>IFERROR(__xludf.DUMMYFUNCTION("""COMPUTED_VALUE"""),"5096909_1287011")</f>
        <v>5096909_1287011</v>
      </c>
      <c r="B455" s="43" t="str">
        <f>IFERROR(__xludf.DUMMYFUNCTION("""COMPUTED_VALUE"""),"Narmin Karimova")</f>
        <v>Narmin Karimova</v>
      </c>
      <c r="C455" s="43" t="str">
        <f>IFERROR(__xludf.DUMMYFUNCTION("""COMPUTED_VALUE"""),"approved")</f>
        <v>approved</v>
      </c>
      <c r="D455" s="43" t="str">
        <f>IFERROR(__xludf.DUMMYFUNCTION("""COMPUTED_VALUE"""),"No")</f>
        <v>No</v>
      </c>
      <c r="E455" s="43" t="str">
        <f>IFERROR(__xludf.DUMMYFUNCTION("""COMPUTED_VALUE"""),"p_c8c3bc9b6c0580668f3ebe1340da7c5350c1cd4e@inbound.aiesec.org")</f>
        <v>p_c8c3bc9b6c0580668f3ebe1340da7c5350c1cd4e@inbound.aiesec.org</v>
      </c>
      <c r="F455" s="43">
        <f>IFERROR(__xludf.DUMMYFUNCTION("""COMPUTED_VALUE"""),5.04441739E8)</f>
        <v>504441739</v>
      </c>
      <c r="G455" s="43" t="str">
        <f>IFERROR(__xludf.DUMMYFUNCTION("""COMPUTED_VALUE"""),"Azerbaijan")</f>
        <v>Azerbaijan</v>
      </c>
      <c r="H455" s="43" t="str">
        <f>IFERROR(__xludf.DUMMYFUNCTION("""COMPUTED_VALUE"""),"Baku Qafqaz")</f>
        <v>Baku Qafqaz</v>
      </c>
      <c r="I455" s="43" t="str">
        <f>IFERROR(__xludf.DUMMYFUNCTION("""COMPUTED_VALUE"""),"Turkey")</f>
        <v>Turkey</v>
      </c>
      <c r="J455" s="43" t="str">
        <f>IFERROR(__xludf.DUMMYFUNCTION("""COMPUTED_VALUE"""),"SAKARYA")</f>
        <v>SAKARYA</v>
      </c>
      <c r="K455" s="44" t="str">
        <f>IFERROR(__xludf.DUMMYFUNCTION("""COMPUTED_VALUE"""),"https://expa.aiesec.org/opportunities/1287011")</f>
        <v>https://expa.aiesec.org/opportunities/1287011</v>
      </c>
      <c r="L455" s="43" t="str">
        <f>IFERROR(__xludf.DUMMYFUNCTION("""COMPUTED_VALUE"""),"GTe")</f>
        <v>GTe</v>
      </c>
      <c r="M455" s="43" t="str">
        <f>IFERROR(__xludf.DUMMYFUNCTION("""COMPUTED_VALUE"""),"long")</f>
        <v>long</v>
      </c>
      <c r="N455" s="45">
        <f>IFERROR(__xludf.DUMMYFUNCTION("""COMPUTED_VALUE"""),45205.0)</f>
        <v>45205</v>
      </c>
      <c r="O455" s="45">
        <f>IFERROR(__xludf.DUMMYFUNCTION("""COMPUTED_VALUE"""),45231.0)</f>
        <v>45231</v>
      </c>
      <c r="P455" s="45">
        <f>IFERROR(__xludf.DUMMYFUNCTION("""COMPUTED_VALUE"""),45420.0)</f>
        <v>45420</v>
      </c>
      <c r="Q455" s="45"/>
      <c r="R455" s="45"/>
      <c r="S455" s="43"/>
      <c r="T455" s="43"/>
      <c r="U455" s="43" t="str">
        <f>IFERROR(__xludf.DUMMYFUNCTION("""COMPUTED_VALUE"""),"Kindergarten English Teacher")</f>
        <v>Kindergarten English Teacher</v>
      </c>
      <c r="V455" s="43" t="str">
        <f>IFERROR(__xludf.DUMMYFUNCTION("""COMPUTED_VALUE"""),"Azerbaijan University of Languages")</f>
        <v>Azerbaijan University of Languages</v>
      </c>
      <c r="W455" s="43" t="str">
        <f>IFERROR(__xludf.DUMMYFUNCTION("""COMPUTED_VALUE"""),"2022-08-21T17:26:07Z")</f>
        <v>2022-08-21T17:26:07Z</v>
      </c>
      <c r="X455" s="43"/>
      <c r="Y455" s="43"/>
      <c r="Z455" s="43"/>
    </row>
    <row r="456" hidden="1">
      <c r="A456" s="43" t="str">
        <f>IFERROR(__xludf.DUMMYFUNCTION("""COMPUTED_VALUE"""),"5324732_1299036")</f>
        <v>5324732_1299036</v>
      </c>
      <c r="B456" s="43" t="str">
        <f>IFERROR(__xludf.DUMMYFUNCTION("""COMPUTED_VALUE"""),"aymen sayari")</f>
        <v>aymen sayari</v>
      </c>
      <c r="C456" s="43" t="str">
        <f>IFERROR(__xludf.DUMMYFUNCTION("""COMPUTED_VALUE"""),"realized")</f>
        <v>realized</v>
      </c>
      <c r="D456" s="43" t="str">
        <f>IFERROR(__xludf.DUMMYFUNCTION("""COMPUTED_VALUE"""),"No")</f>
        <v>No</v>
      </c>
      <c r="E456" s="43" t="str">
        <f>IFERROR(__xludf.DUMMYFUNCTION("""COMPUTED_VALUE"""),"p_226e028ebc3d58710b30122097da46712c37f72e@inbound.aiesec.org")</f>
        <v>p_226e028ebc3d58710b30122097da46712c37f72e@inbound.aiesec.org</v>
      </c>
      <c r="F456" s="43">
        <f>IFERROR(__xludf.DUMMYFUNCTION("""COMPUTED_VALUE"""),2.6928122E7)</f>
        <v>26928122</v>
      </c>
      <c r="G456" s="43" t="str">
        <f>IFERROR(__xludf.DUMMYFUNCTION("""COMPUTED_VALUE"""),"Tunisia")</f>
        <v>Tunisia</v>
      </c>
      <c r="H456" s="43" t="str">
        <f>IFERROR(__xludf.DUMMYFUNCTION("""COMPUTED_VALUE"""),"RUSPINA")</f>
        <v>RUSPINA</v>
      </c>
      <c r="I456" s="43" t="str">
        <f>IFERROR(__xludf.DUMMYFUNCTION("""COMPUTED_VALUE"""),"Turkey")</f>
        <v>Turkey</v>
      </c>
      <c r="J456" s="43" t="str">
        <f>IFERROR(__xludf.DUMMYFUNCTION("""COMPUTED_VALUE"""),"GAZIANTEP")</f>
        <v>GAZIANTEP</v>
      </c>
      <c r="K456" s="44" t="str">
        <f>IFERROR(__xludf.DUMMYFUNCTION("""COMPUTED_VALUE"""),"https://expa.aiesec.org/opportunities/1299036")</f>
        <v>https://expa.aiesec.org/opportunities/1299036</v>
      </c>
      <c r="L456" s="43" t="str">
        <f>IFERROR(__xludf.DUMMYFUNCTION("""COMPUTED_VALUE"""),"GTe")</f>
        <v>GTe</v>
      </c>
      <c r="M456" s="43" t="str">
        <f>IFERROR(__xludf.DUMMYFUNCTION("""COMPUTED_VALUE"""),"long")</f>
        <v>long</v>
      </c>
      <c r="N456" s="45">
        <f>IFERROR(__xludf.DUMMYFUNCTION("""COMPUTED_VALUE"""),45205.0)</f>
        <v>45205</v>
      </c>
      <c r="O456" s="45">
        <f>IFERROR(__xludf.DUMMYFUNCTION("""COMPUTED_VALUE"""),45203.0)</f>
        <v>45203</v>
      </c>
      <c r="P456" s="45">
        <f>IFERROR(__xludf.DUMMYFUNCTION("""COMPUTED_VALUE"""),45568.0)</f>
        <v>45568</v>
      </c>
      <c r="Q456" s="45">
        <f>IFERROR(__xludf.DUMMYFUNCTION("""COMPUTED_VALUE"""),45230.0)</f>
        <v>45230</v>
      </c>
      <c r="R456" s="45">
        <f>IFERROR(__xludf.DUMMYFUNCTION("""COMPUTED_VALUE"""),45595.0)</f>
        <v>45595</v>
      </c>
      <c r="S456" s="43"/>
      <c r="T456" s="43"/>
      <c r="U456" s="43" t="str">
        <f>IFERROR(__xludf.DUMMYFUNCTION("""COMPUTED_VALUE"""),"English Teacher")</f>
        <v>English Teacher</v>
      </c>
      <c r="V456" s="43" t="str">
        <f>IFERROR(__xludf.DUMMYFUNCTION("""COMPUTED_VALUE"""),"ISLAA Moknine")</f>
        <v>ISLAA Moknine</v>
      </c>
      <c r="W456" s="43" t="str">
        <f>IFERROR(__xludf.DUMMYFUNCTION("""COMPUTED_VALUE"""),"2023-09-15T14:52:00Z")</f>
        <v>2023-09-15T14:52:00Z</v>
      </c>
      <c r="X456" s="43"/>
      <c r="Y456" s="43"/>
      <c r="Z456" s="43"/>
    </row>
    <row r="457" hidden="1">
      <c r="A457" s="43" t="str">
        <f>IFERROR(__xludf.DUMMYFUNCTION("""COMPUTED_VALUE"""),"5344002_1283288")</f>
        <v>5344002_1283288</v>
      </c>
      <c r="B457" s="43" t="str">
        <f>IFERROR(__xludf.DUMMYFUNCTION("""COMPUTED_VALUE"""),"khaoula abidi")</f>
        <v>khaoula abidi</v>
      </c>
      <c r="C457" s="43" t="str">
        <f>IFERROR(__xludf.DUMMYFUNCTION("""COMPUTED_VALUE"""),"realized")</f>
        <v>realized</v>
      </c>
      <c r="D457" s="43" t="str">
        <f>IFERROR(__xludf.DUMMYFUNCTION("""COMPUTED_VALUE"""),"No")</f>
        <v>No</v>
      </c>
      <c r="E457" s="43" t="str">
        <f>IFERROR(__xludf.DUMMYFUNCTION("""COMPUTED_VALUE"""),"p_cfc7aa773721828503d96d75ba87b467ef2081eb@inbound.aiesec.org")</f>
        <v>p_cfc7aa773721828503d96d75ba87b467ef2081eb@inbound.aiesec.org</v>
      </c>
      <c r="F457" s="43"/>
      <c r="G457" s="43" t="str">
        <f>IFERROR(__xludf.DUMMYFUNCTION("""COMPUTED_VALUE"""),"Tunisia")</f>
        <v>Tunisia</v>
      </c>
      <c r="H457" s="43" t="str">
        <f>IFERROR(__xludf.DUMMYFUNCTION("""COMPUTED_VALUE"""),"MEDINA")</f>
        <v>MEDINA</v>
      </c>
      <c r="I457" s="43" t="str">
        <f>IFERROR(__xludf.DUMMYFUNCTION("""COMPUTED_VALUE"""),"Turkey")</f>
        <v>Turkey</v>
      </c>
      <c r="J457" s="43" t="str">
        <f>IFERROR(__xludf.DUMMYFUNCTION("""COMPUTED_VALUE"""),"ISTANBUL ASIA")</f>
        <v>ISTANBUL ASIA</v>
      </c>
      <c r="K457" s="44" t="str">
        <f>IFERROR(__xludf.DUMMYFUNCTION("""COMPUTED_VALUE"""),"https://expa.aiesec.org/opportunities/1283288")</f>
        <v>https://expa.aiesec.org/opportunities/1283288</v>
      </c>
      <c r="L457" s="43" t="str">
        <f>IFERROR(__xludf.DUMMYFUNCTION("""COMPUTED_VALUE"""),"GTe")</f>
        <v>GTe</v>
      </c>
      <c r="M457" s="43" t="str">
        <f>IFERROR(__xludf.DUMMYFUNCTION("""COMPUTED_VALUE"""),"long")</f>
        <v>long</v>
      </c>
      <c r="N457" s="45">
        <f>IFERROR(__xludf.DUMMYFUNCTION("""COMPUTED_VALUE"""),45206.0)</f>
        <v>45206</v>
      </c>
      <c r="O457" s="45">
        <f>IFERROR(__xludf.DUMMYFUNCTION("""COMPUTED_VALUE"""),45250.0)</f>
        <v>45250</v>
      </c>
      <c r="P457" s="45">
        <f>IFERROR(__xludf.DUMMYFUNCTION("""COMPUTED_VALUE"""),45616.0)</f>
        <v>45616</v>
      </c>
      <c r="Q457" s="45">
        <f>IFERROR(__xludf.DUMMYFUNCTION("""COMPUTED_VALUE"""),45251.0)</f>
        <v>45251</v>
      </c>
      <c r="R457" s="45">
        <f>IFERROR(__xludf.DUMMYFUNCTION("""COMPUTED_VALUE"""),45616.0)</f>
        <v>45616</v>
      </c>
      <c r="S457" s="43"/>
      <c r="T457" s="43" t="str">
        <f>IFERROR(__xludf.DUMMYFUNCTION("""COMPUTED_VALUE"""),"Other")</f>
        <v>Other</v>
      </c>
      <c r="U457" s="43" t="str">
        <f>IFERROR(__xludf.DUMMYFUNCTION("""COMPUTED_VALUE"""),"Native Speaker")</f>
        <v>Native Speaker</v>
      </c>
      <c r="V457" s="43" t="str">
        <f>IFERROR(__xludf.DUMMYFUNCTION("""COMPUTED_VALUE"""),"-")</f>
        <v>-</v>
      </c>
      <c r="W457" s="43" t="str">
        <f>IFERROR(__xludf.DUMMYFUNCTION("""COMPUTED_VALUE"""),"2023-10-06T16:38:35Z")</f>
        <v>2023-10-06T16:38:35Z</v>
      </c>
      <c r="X457" s="43"/>
      <c r="Y457" s="43"/>
      <c r="Z457" s="43"/>
    </row>
    <row r="458" hidden="1">
      <c r="A458" s="43" t="str">
        <f>IFERROR(__xludf.DUMMYFUNCTION("""COMPUTED_VALUE"""),"3829683_1259741")</f>
        <v>3829683_1259741</v>
      </c>
      <c r="B458" s="43" t="str">
        <f>IFERROR(__xludf.DUMMYFUNCTION("""COMPUTED_VALUE"""),"salwa hassanin")</f>
        <v>salwa hassanin</v>
      </c>
      <c r="C458" s="43" t="str">
        <f>IFERROR(__xludf.DUMMYFUNCTION("""COMPUTED_VALUE"""),"approved")</f>
        <v>approved</v>
      </c>
      <c r="D458" s="43" t="str">
        <f>IFERROR(__xludf.DUMMYFUNCTION("""COMPUTED_VALUE"""),"No")</f>
        <v>No</v>
      </c>
      <c r="E458" s="43" t="str">
        <f>IFERROR(__xludf.DUMMYFUNCTION("""COMPUTED_VALUE"""),"p_43185315fe4e8563f798a0ef94865a420c69f7f3@inbound.aiesec.org")</f>
        <v>p_43185315fe4e8563f798a0ef94865a420c69f7f3@inbound.aiesec.org</v>
      </c>
      <c r="F458" s="43">
        <f>IFERROR(__xludf.DUMMYFUNCTION("""COMPUTED_VALUE"""),1.016564762E9)</f>
        <v>1016564762</v>
      </c>
      <c r="G458" s="43" t="str">
        <f>IFERROR(__xludf.DUMMYFUNCTION("""COMPUTED_VALUE"""),"Egypt")</f>
        <v>Egypt</v>
      </c>
      <c r="H458" s="43" t="str">
        <f>IFERROR(__xludf.DUMMYFUNCTION("""COMPUTED_VALUE"""),"Zagazig")</f>
        <v>Zagazig</v>
      </c>
      <c r="I458" s="43" t="str">
        <f>IFERROR(__xludf.DUMMYFUNCTION("""COMPUTED_VALUE"""),"Turkey")</f>
        <v>Turkey</v>
      </c>
      <c r="J458" s="43" t="str">
        <f>IFERROR(__xludf.DUMMYFUNCTION("""COMPUTED_VALUE"""),"KONYA")</f>
        <v>KONYA</v>
      </c>
      <c r="K458" s="44" t="str">
        <f>IFERROR(__xludf.DUMMYFUNCTION("""COMPUTED_VALUE"""),"https://expa.aiesec.org/opportunities/1259741")</f>
        <v>https://expa.aiesec.org/opportunities/1259741</v>
      </c>
      <c r="L458" s="43" t="str">
        <f>IFERROR(__xludf.DUMMYFUNCTION("""COMPUTED_VALUE"""),"GTe")</f>
        <v>GTe</v>
      </c>
      <c r="M458" s="43" t="str">
        <f>IFERROR(__xludf.DUMMYFUNCTION("""COMPUTED_VALUE"""),"long")</f>
        <v>long</v>
      </c>
      <c r="N458" s="45">
        <f>IFERROR(__xludf.DUMMYFUNCTION("""COMPUTED_VALUE"""),45207.0)</f>
        <v>45207</v>
      </c>
      <c r="O458" s="45">
        <f>IFERROR(__xludf.DUMMYFUNCTION("""COMPUTED_VALUE"""),45214.0)</f>
        <v>45214</v>
      </c>
      <c r="P458" s="45">
        <f>IFERROR(__xludf.DUMMYFUNCTION("""COMPUTED_VALUE"""),45579.0)</f>
        <v>45579</v>
      </c>
      <c r="Q458" s="45"/>
      <c r="R458" s="45"/>
      <c r="S458" s="43"/>
      <c r="T458" s="43"/>
      <c r="U458" s="43" t="str">
        <f>IFERROR(__xludf.DUMMYFUNCTION("""COMPUTED_VALUE"""),"English Teacher")</f>
        <v>English Teacher</v>
      </c>
      <c r="V458" s="43" t="str">
        <f>IFERROR(__xludf.DUMMYFUNCTION("""COMPUTED_VALUE"""),"Zagazig")</f>
        <v>Zagazig</v>
      </c>
      <c r="W458" s="43" t="str">
        <f>IFERROR(__xludf.DUMMYFUNCTION("""COMPUTED_VALUE"""),"2019-09-13T13:49:33Z")</f>
        <v>2019-09-13T13:49:33Z</v>
      </c>
      <c r="X458" s="43"/>
      <c r="Y458" s="43"/>
      <c r="Z458" s="43"/>
    </row>
    <row r="459" hidden="1">
      <c r="A459" s="43" t="str">
        <f>IFERROR(__xludf.DUMMYFUNCTION("""COMPUTED_VALUE"""),"5282695_1287560")</f>
        <v>5282695_1287560</v>
      </c>
      <c r="B459" s="43" t="str">
        <f>IFERROR(__xludf.DUMMYFUNCTION("""COMPUTED_VALUE"""),"Menna Taher")</f>
        <v>Menna Taher</v>
      </c>
      <c r="C459" s="43" t="str">
        <f>IFERROR(__xludf.DUMMYFUNCTION("""COMPUTED_VALUE"""),"realized")</f>
        <v>realized</v>
      </c>
      <c r="D459" s="43" t="str">
        <f>IFERROR(__xludf.DUMMYFUNCTION("""COMPUTED_VALUE"""),"No")</f>
        <v>No</v>
      </c>
      <c r="E459" s="43" t="str">
        <f>IFERROR(__xludf.DUMMYFUNCTION("""COMPUTED_VALUE"""),"p_d9bed5a510d0a110d962d4c201d4b258926acef3@inbound.aiesec.org")</f>
        <v>p_d9bed5a510d0a110d962d4c201d4b258926acef3@inbound.aiesec.org</v>
      </c>
      <c r="F459" s="43">
        <f>IFERROR(__xludf.DUMMYFUNCTION("""COMPUTED_VALUE"""),1.206353787E9)</f>
        <v>1206353787</v>
      </c>
      <c r="G459" s="43" t="str">
        <f>IFERROR(__xludf.DUMMYFUNCTION("""COMPUTED_VALUE"""),"Egypt")</f>
        <v>Egypt</v>
      </c>
      <c r="H459" s="43" t="str">
        <f>IFERROR(__xludf.DUMMYFUNCTION("""COMPUTED_VALUE"""),"GUC")</f>
        <v>GUC</v>
      </c>
      <c r="I459" s="43" t="str">
        <f>IFERROR(__xludf.DUMMYFUNCTION("""COMPUTED_VALUE"""),"Turkey")</f>
        <v>Turkey</v>
      </c>
      <c r="J459" s="43" t="str">
        <f>IFERROR(__xludf.DUMMYFUNCTION("""COMPUTED_VALUE"""),"ANKARA")</f>
        <v>ANKARA</v>
      </c>
      <c r="K459" s="44" t="str">
        <f>IFERROR(__xludf.DUMMYFUNCTION("""COMPUTED_VALUE"""),"https://expa.aiesec.org/opportunities/1287560")</f>
        <v>https://expa.aiesec.org/opportunities/1287560</v>
      </c>
      <c r="L459" s="43" t="str">
        <f>IFERROR(__xludf.DUMMYFUNCTION("""COMPUTED_VALUE"""),"GTe")</f>
        <v>GTe</v>
      </c>
      <c r="M459" s="43" t="str">
        <f>IFERROR(__xludf.DUMMYFUNCTION("""COMPUTED_VALUE"""),"long")</f>
        <v>long</v>
      </c>
      <c r="N459" s="45">
        <f>IFERROR(__xludf.DUMMYFUNCTION("""COMPUTED_VALUE"""),45208.0)</f>
        <v>45208</v>
      </c>
      <c r="O459" s="45">
        <f>IFERROR(__xludf.DUMMYFUNCTION("""COMPUTED_VALUE"""),45222.0)</f>
        <v>45222</v>
      </c>
      <c r="P459" s="45">
        <f>IFERROR(__xludf.DUMMYFUNCTION("""COMPUTED_VALUE"""),45583.0)</f>
        <v>45583</v>
      </c>
      <c r="Q459" s="45">
        <f>IFERROR(__xludf.DUMMYFUNCTION("""COMPUTED_VALUE"""),45236.0)</f>
        <v>45236</v>
      </c>
      <c r="R459" s="45">
        <f>IFERROR(__xludf.DUMMYFUNCTION("""COMPUTED_VALUE"""),45597.0)</f>
        <v>45597</v>
      </c>
      <c r="S459" s="43"/>
      <c r="T459" s="43"/>
      <c r="U459" s="43" t="str">
        <f>IFERROR(__xludf.DUMMYFUNCTION("""COMPUTED_VALUE"""),"Kindergarten Teacher")</f>
        <v>Kindergarten Teacher</v>
      </c>
      <c r="V459" s="43" t="str">
        <f>IFERROR(__xludf.DUMMYFUNCTION("""COMPUTED_VALUE"""),"GUC")</f>
        <v>GUC</v>
      </c>
      <c r="W459" s="43" t="str">
        <f>IFERROR(__xludf.DUMMYFUNCTION("""COMPUTED_VALUE"""),"2023-07-06T09:57:45Z")</f>
        <v>2023-07-06T09:57:45Z</v>
      </c>
      <c r="X459" s="43"/>
      <c r="Y459" s="43"/>
      <c r="Z459" s="43"/>
    </row>
    <row r="460" hidden="1">
      <c r="A460" s="43" t="str">
        <f>IFERROR(__xludf.DUMMYFUNCTION("""COMPUTED_VALUE"""),"5347245_1297344")</f>
        <v>5347245_1297344</v>
      </c>
      <c r="B460" s="43" t="str">
        <f>IFERROR(__xludf.DUMMYFUNCTION("""COMPUTED_VALUE"""),"Molka Zoghlami")</f>
        <v>Molka Zoghlami</v>
      </c>
      <c r="C460" s="43" t="str">
        <f>IFERROR(__xludf.DUMMYFUNCTION("""COMPUTED_VALUE"""),"realized")</f>
        <v>realized</v>
      </c>
      <c r="D460" s="43" t="str">
        <f>IFERROR(__xludf.DUMMYFUNCTION("""COMPUTED_VALUE"""),"No")</f>
        <v>No</v>
      </c>
      <c r="E460" s="43" t="str">
        <f>IFERROR(__xludf.DUMMYFUNCTION("""COMPUTED_VALUE"""),"p_29f86c801f6f7926b1f233af916aff7287207989@inbound.aiesec.org")</f>
        <v>p_29f86c801f6f7926b1f233af916aff7287207989@inbound.aiesec.org</v>
      </c>
      <c r="F460" s="43">
        <f>IFERROR(__xludf.DUMMYFUNCTION("""COMPUTED_VALUE"""),2.2475737E7)</f>
        <v>22475737</v>
      </c>
      <c r="G460" s="43" t="str">
        <f>IFERROR(__xludf.DUMMYFUNCTION("""COMPUTED_VALUE"""),"Tunisia")</f>
        <v>Tunisia</v>
      </c>
      <c r="H460" s="43" t="str">
        <f>IFERROR(__xludf.DUMMYFUNCTION("""COMPUTED_VALUE"""),"UNIVERSITY")</f>
        <v>UNIVERSITY</v>
      </c>
      <c r="I460" s="43" t="str">
        <f>IFERROR(__xludf.DUMMYFUNCTION("""COMPUTED_VALUE"""),"Turkey")</f>
        <v>Turkey</v>
      </c>
      <c r="J460" s="43" t="str">
        <f>IFERROR(__xludf.DUMMYFUNCTION("""COMPUTED_VALUE"""),"BURSA")</f>
        <v>BURSA</v>
      </c>
      <c r="K460" s="44" t="str">
        <f>IFERROR(__xludf.DUMMYFUNCTION("""COMPUTED_VALUE"""),"https://expa.aiesec.org/opportunities/1297344")</f>
        <v>https://expa.aiesec.org/opportunities/1297344</v>
      </c>
      <c r="L460" s="43" t="str">
        <f>IFERROR(__xludf.DUMMYFUNCTION("""COMPUTED_VALUE"""),"GTe")</f>
        <v>GTe</v>
      </c>
      <c r="M460" s="43" t="str">
        <f>IFERROR(__xludf.DUMMYFUNCTION("""COMPUTED_VALUE"""),"long")</f>
        <v>long</v>
      </c>
      <c r="N460" s="45">
        <f>IFERROR(__xludf.DUMMYFUNCTION("""COMPUTED_VALUE"""),45209.0)</f>
        <v>45209</v>
      </c>
      <c r="O460" s="45">
        <f>IFERROR(__xludf.DUMMYFUNCTION("""COMPUTED_VALUE"""),45230.0)</f>
        <v>45230</v>
      </c>
      <c r="P460" s="45">
        <f>IFERROR(__xludf.DUMMYFUNCTION("""COMPUTED_VALUE"""),45595.0)</f>
        <v>45595</v>
      </c>
      <c r="Q460" s="45">
        <f>IFERROR(__xludf.DUMMYFUNCTION("""COMPUTED_VALUE"""),45231.0)</f>
        <v>45231</v>
      </c>
      <c r="R460" s="45">
        <f>IFERROR(__xludf.DUMMYFUNCTION("""COMPUTED_VALUE"""),45596.0)</f>
        <v>45596</v>
      </c>
      <c r="S460" s="43"/>
      <c r="T460" s="43"/>
      <c r="U460" s="43" t="str">
        <f>IFERROR(__xludf.DUMMYFUNCTION("""COMPUTED_VALUE"""),"Language Teacher")</f>
        <v>Language Teacher</v>
      </c>
      <c r="V460" s="43" t="str">
        <f>IFERROR(__xludf.DUMMYFUNCTION("""COMPUTED_VALUE"""),"ISSHT")</f>
        <v>ISSHT</v>
      </c>
      <c r="W460" s="43" t="str">
        <f>IFERROR(__xludf.DUMMYFUNCTION("""COMPUTED_VALUE"""),"2023-10-09T20:50:13Z")</f>
        <v>2023-10-09T20:50:13Z</v>
      </c>
      <c r="X460" s="43"/>
      <c r="Y460" s="43"/>
      <c r="Z460" s="43"/>
    </row>
    <row r="461" hidden="1">
      <c r="A461" s="43" t="str">
        <f>IFERROR(__xludf.DUMMYFUNCTION("""COMPUTED_VALUE"""),"866077_1262994")</f>
        <v>866077_1262994</v>
      </c>
      <c r="B461" s="43" t="str">
        <f>IFERROR(__xludf.DUMMYFUNCTION("""COMPUTED_VALUE"""),"fouad mohamed")</f>
        <v>fouad mohamed</v>
      </c>
      <c r="C461" s="43" t="str">
        <f>IFERROR(__xludf.DUMMYFUNCTION("""COMPUTED_VALUE"""),"approved")</f>
        <v>approved</v>
      </c>
      <c r="D461" s="43" t="str">
        <f>IFERROR(__xludf.DUMMYFUNCTION("""COMPUTED_VALUE"""),"No")</f>
        <v>No</v>
      </c>
      <c r="E461" s="43" t="str">
        <f>IFERROR(__xludf.DUMMYFUNCTION("""COMPUTED_VALUE"""),"p_368ad36ec4e3cbbff5908b663ba4cea0fe864fba@inbound.aiesec.org")</f>
        <v>p_368ad36ec4e3cbbff5908b663ba4cea0fe864fba@inbound.aiesec.org</v>
      </c>
      <c r="F461" s="43">
        <f>IFERROR(__xludf.DUMMYFUNCTION("""COMPUTED_VALUE"""),5.516321168E9)</f>
        <v>5516321168</v>
      </c>
      <c r="G461" s="43" t="str">
        <f>IFERROR(__xludf.DUMMYFUNCTION("""COMPUTED_VALUE"""),"Egypt")</f>
        <v>Egypt</v>
      </c>
      <c r="H461" s="43" t="str">
        <f>IFERROR(__xludf.DUMMYFUNCTION("""COMPUTED_VALUE"""),"Cairo University")</f>
        <v>Cairo University</v>
      </c>
      <c r="I461" s="43" t="str">
        <f>IFERROR(__xludf.DUMMYFUNCTION("""COMPUTED_VALUE"""),"Turkey")</f>
        <v>Turkey</v>
      </c>
      <c r="J461" s="43" t="str">
        <f>IFERROR(__xludf.DUMMYFUNCTION("""COMPUTED_VALUE"""),"GAZIANTEP")</f>
        <v>GAZIANTEP</v>
      </c>
      <c r="K461" s="44" t="str">
        <f>IFERROR(__xludf.DUMMYFUNCTION("""COMPUTED_VALUE"""),"https://expa.aiesec.org/opportunities/1262994")</f>
        <v>https://expa.aiesec.org/opportunities/1262994</v>
      </c>
      <c r="L461" s="43" t="str">
        <f>IFERROR(__xludf.DUMMYFUNCTION("""COMPUTED_VALUE"""),"GTe")</f>
        <v>GTe</v>
      </c>
      <c r="M461" s="43" t="str">
        <f>IFERROR(__xludf.DUMMYFUNCTION("""COMPUTED_VALUE"""),"long")</f>
        <v>long</v>
      </c>
      <c r="N461" s="45">
        <f>IFERROR(__xludf.DUMMYFUNCTION("""COMPUTED_VALUE"""),45209.0)</f>
        <v>45209</v>
      </c>
      <c r="O461" s="45">
        <f>IFERROR(__xludf.DUMMYFUNCTION("""COMPUTED_VALUE"""),45200.0)</f>
        <v>45200</v>
      </c>
      <c r="P461" s="45">
        <f>IFERROR(__xludf.DUMMYFUNCTION("""COMPUTED_VALUE"""),45389.0)</f>
        <v>45389</v>
      </c>
      <c r="Q461" s="45"/>
      <c r="R461" s="45"/>
      <c r="S461" s="43"/>
      <c r="T461" s="43"/>
      <c r="U461" s="43" t="str">
        <f>IFERROR(__xludf.DUMMYFUNCTION("""COMPUTED_VALUE"""),"English Teacher ")</f>
        <v>English Teacher </v>
      </c>
      <c r="V461" s="43" t="str">
        <f>IFERROR(__xludf.DUMMYFUNCTION("""COMPUTED_VALUE"""),"-")</f>
        <v>-</v>
      </c>
      <c r="W461" s="43" t="str">
        <f>IFERROR(__xludf.DUMMYFUNCTION("""COMPUTED_VALUE"""),"2016-02-18T15:08:52Z")</f>
        <v>2016-02-18T15:08:52Z</v>
      </c>
      <c r="X461" s="43"/>
      <c r="Y461" s="43"/>
      <c r="Z461" s="43"/>
    </row>
    <row r="462" hidden="1">
      <c r="A462" s="43" t="str">
        <f>IFERROR(__xludf.DUMMYFUNCTION("""COMPUTED_VALUE"""),"5348309_1298736")</f>
        <v>5348309_1298736</v>
      </c>
      <c r="B462" s="43" t="str">
        <f>IFERROR(__xludf.DUMMYFUNCTION("""COMPUTED_VALUE"""),"Abdulrahman Hendawi")</f>
        <v>Abdulrahman Hendawi</v>
      </c>
      <c r="C462" s="43" t="str">
        <f>IFERROR(__xludf.DUMMYFUNCTION("""COMPUTED_VALUE"""),"approved")</f>
        <v>approved</v>
      </c>
      <c r="D462" s="43" t="str">
        <f>IFERROR(__xludf.DUMMYFUNCTION("""COMPUTED_VALUE"""),"No")</f>
        <v>No</v>
      </c>
      <c r="E462" s="43" t="str">
        <f>IFERROR(__xludf.DUMMYFUNCTION("""COMPUTED_VALUE"""),"p_27bf204e235e2e14867a39ca8e56d206c2b22199@inbound.aiesec.org")</f>
        <v>p_27bf204e235e2e14867a39ca8e56d206c2b22199@inbound.aiesec.org</v>
      </c>
      <c r="F462" s="43">
        <f>IFERROR(__xludf.DUMMYFUNCTION("""COMPUTED_VALUE"""),1.01807105E9)</f>
        <v>1018071050</v>
      </c>
      <c r="G462" s="43" t="str">
        <f>IFERROR(__xludf.DUMMYFUNCTION("""COMPUTED_VALUE"""),"Egypt")</f>
        <v>Egypt</v>
      </c>
      <c r="H462" s="43" t="str">
        <f>IFERROR(__xludf.DUMMYFUNCTION("""COMPUTED_VALUE"""),"Alexandria")</f>
        <v>Alexandria</v>
      </c>
      <c r="I462" s="43" t="str">
        <f>IFERROR(__xludf.DUMMYFUNCTION("""COMPUTED_VALUE"""),"Turkey")</f>
        <v>Turkey</v>
      </c>
      <c r="J462" s="43" t="str">
        <f>IFERROR(__xludf.DUMMYFUNCTION("""COMPUTED_VALUE"""),"ISTANBUL ASIA")</f>
        <v>ISTANBUL ASIA</v>
      </c>
      <c r="K462" s="44" t="str">
        <f>IFERROR(__xludf.DUMMYFUNCTION("""COMPUTED_VALUE"""),"https://expa.aiesec.org/opportunities/1298736")</f>
        <v>https://expa.aiesec.org/opportunities/1298736</v>
      </c>
      <c r="L462" s="43" t="str">
        <f>IFERROR(__xludf.DUMMYFUNCTION("""COMPUTED_VALUE"""),"GTe")</f>
        <v>GTe</v>
      </c>
      <c r="M462" s="43" t="str">
        <f>IFERROR(__xludf.DUMMYFUNCTION("""COMPUTED_VALUE"""),"long")</f>
        <v>long</v>
      </c>
      <c r="N462" s="45">
        <f>IFERROR(__xludf.DUMMYFUNCTION("""COMPUTED_VALUE"""),45210.0)</f>
        <v>45210</v>
      </c>
      <c r="O462" s="45">
        <f>IFERROR(__xludf.DUMMYFUNCTION("""COMPUTED_VALUE"""),45223.0)</f>
        <v>45223</v>
      </c>
      <c r="P462" s="45">
        <f>IFERROR(__xludf.DUMMYFUNCTION("""COMPUTED_VALUE"""),45588.0)</f>
        <v>45588</v>
      </c>
      <c r="Q462" s="45"/>
      <c r="R462" s="45"/>
      <c r="S462" s="43"/>
      <c r="T462" s="43"/>
      <c r="U462" s="43" t="str">
        <f>IFERROR(__xludf.DUMMYFUNCTION("""COMPUTED_VALUE"""),"Amerikan Kültür Kavacık")</f>
        <v>Amerikan Kültür Kavacık</v>
      </c>
      <c r="V462" s="43" t="str">
        <f>IFERROR(__xludf.DUMMYFUNCTION("""COMPUTED_VALUE"""),"Pharos University Alexandria")</f>
        <v>Pharos University Alexandria</v>
      </c>
      <c r="W462" s="43" t="str">
        <f>IFERROR(__xludf.DUMMYFUNCTION("""COMPUTED_VALUE"""),"2023-10-10T16:32:43Z")</f>
        <v>2023-10-10T16:32:43Z</v>
      </c>
      <c r="X462" s="43"/>
      <c r="Y462" s="43"/>
      <c r="Z462" s="43"/>
    </row>
    <row r="463" hidden="1">
      <c r="A463" s="43" t="str">
        <f>IFERROR(__xludf.DUMMYFUNCTION("""COMPUTED_VALUE"""),"5312604_1298736")</f>
        <v>5312604_1298736</v>
      </c>
      <c r="B463" s="43" t="str">
        <f>IFERROR(__xludf.DUMMYFUNCTION("""COMPUTED_VALUE"""),"Farah Mebrouk")</f>
        <v>Farah Mebrouk</v>
      </c>
      <c r="C463" s="43" t="str">
        <f>IFERROR(__xludf.DUMMYFUNCTION("""COMPUTED_VALUE"""),"realized")</f>
        <v>realized</v>
      </c>
      <c r="D463" s="43" t="str">
        <f>IFERROR(__xludf.DUMMYFUNCTION("""COMPUTED_VALUE"""),"No")</f>
        <v>No</v>
      </c>
      <c r="E463" s="43" t="str">
        <f>IFERROR(__xludf.DUMMYFUNCTION("""COMPUTED_VALUE"""),"p_aa91b3075c97b22d094a156bac7f0a39e0797f69@inbound.aiesec.org")</f>
        <v>p_aa91b3075c97b22d094a156bac7f0a39e0797f69@inbound.aiesec.org</v>
      </c>
      <c r="F463" s="43"/>
      <c r="G463" s="43" t="str">
        <f>IFERROR(__xludf.DUMMYFUNCTION("""COMPUTED_VALUE"""),"Algeria")</f>
        <v>Algeria</v>
      </c>
      <c r="H463" s="43" t="str">
        <f>IFERROR(__xludf.DUMMYFUNCTION("""COMPUTED_VALUE"""),"Bejaia")</f>
        <v>Bejaia</v>
      </c>
      <c r="I463" s="43" t="str">
        <f>IFERROR(__xludf.DUMMYFUNCTION("""COMPUTED_VALUE"""),"Turkey")</f>
        <v>Turkey</v>
      </c>
      <c r="J463" s="43" t="str">
        <f>IFERROR(__xludf.DUMMYFUNCTION("""COMPUTED_VALUE"""),"ISTANBUL ASIA")</f>
        <v>ISTANBUL ASIA</v>
      </c>
      <c r="K463" s="44" t="str">
        <f>IFERROR(__xludf.DUMMYFUNCTION("""COMPUTED_VALUE"""),"https://expa.aiesec.org/opportunities/1298736")</f>
        <v>https://expa.aiesec.org/opportunities/1298736</v>
      </c>
      <c r="L463" s="43" t="str">
        <f>IFERROR(__xludf.DUMMYFUNCTION("""COMPUTED_VALUE"""),"GTe")</f>
        <v>GTe</v>
      </c>
      <c r="M463" s="43" t="str">
        <f>IFERROR(__xludf.DUMMYFUNCTION("""COMPUTED_VALUE"""),"long")</f>
        <v>long</v>
      </c>
      <c r="N463" s="45">
        <f>IFERROR(__xludf.DUMMYFUNCTION("""COMPUTED_VALUE"""),45210.0)</f>
        <v>45210</v>
      </c>
      <c r="O463" s="45">
        <f>IFERROR(__xludf.DUMMYFUNCTION("""COMPUTED_VALUE"""),45223.0)</f>
        <v>45223</v>
      </c>
      <c r="P463" s="45">
        <f>IFERROR(__xludf.DUMMYFUNCTION("""COMPUTED_VALUE"""),45588.0)</f>
        <v>45588</v>
      </c>
      <c r="Q463" s="45">
        <f>IFERROR(__xludf.DUMMYFUNCTION("""COMPUTED_VALUE"""),45228.0)</f>
        <v>45228</v>
      </c>
      <c r="R463" s="45">
        <f>IFERROR(__xludf.DUMMYFUNCTION("""COMPUTED_VALUE"""),45593.0)</f>
        <v>45593</v>
      </c>
      <c r="S463" s="43"/>
      <c r="T463" s="43"/>
      <c r="U463" s="43" t="str">
        <f>IFERROR(__xludf.DUMMYFUNCTION("""COMPUTED_VALUE"""),"Amerikan Kültür Kavacık")</f>
        <v>Amerikan Kültür Kavacık</v>
      </c>
      <c r="V463" s="43" t="str">
        <f>IFERROR(__xludf.DUMMYFUNCTION("""COMPUTED_VALUE"""),"-")</f>
        <v>-</v>
      </c>
      <c r="W463" s="43" t="str">
        <f>IFERROR(__xludf.DUMMYFUNCTION("""COMPUTED_VALUE"""),"2023-08-29T20:23:29Z")</f>
        <v>2023-08-29T20:23:29Z</v>
      </c>
      <c r="X463" s="43"/>
      <c r="Y463" s="43"/>
      <c r="Z463" s="43"/>
    </row>
    <row r="464" hidden="1">
      <c r="A464" s="43" t="str">
        <f>IFERROR(__xludf.DUMMYFUNCTION("""COMPUTED_VALUE"""),"5350109_1286836")</f>
        <v>5350109_1286836</v>
      </c>
      <c r="B464" s="43" t="str">
        <f>IFERROR(__xludf.DUMMYFUNCTION("""COMPUTED_VALUE"""),"Emna Souissi")</f>
        <v>Emna Souissi</v>
      </c>
      <c r="C464" s="43" t="str">
        <f>IFERROR(__xludf.DUMMYFUNCTION("""COMPUTED_VALUE"""),"approved")</f>
        <v>approved</v>
      </c>
      <c r="D464" s="43" t="str">
        <f>IFERROR(__xludf.DUMMYFUNCTION("""COMPUTED_VALUE"""),"No")</f>
        <v>No</v>
      </c>
      <c r="E464" s="43" t="str">
        <f>IFERROR(__xludf.DUMMYFUNCTION("""COMPUTED_VALUE"""),"p_0a1c45f58792783cc027c5139121602b7eb7c3dc@inbound.aiesec.org")</f>
        <v>p_0a1c45f58792783cc027c5139121602b7eb7c3dc@inbound.aiesec.org</v>
      </c>
      <c r="F464" s="43">
        <f>IFERROR(__xludf.DUMMYFUNCTION("""COMPUTED_VALUE"""),9.9919981E7)</f>
        <v>99919981</v>
      </c>
      <c r="G464" s="43" t="str">
        <f>IFERROR(__xludf.DUMMYFUNCTION("""COMPUTED_VALUE"""),"Tunisia")</f>
        <v>Tunisia</v>
      </c>
      <c r="H464" s="43" t="str">
        <f>IFERROR(__xludf.DUMMYFUNCTION("""COMPUTED_VALUE"""),"SFAX")</f>
        <v>SFAX</v>
      </c>
      <c r="I464" s="43" t="str">
        <f>IFERROR(__xludf.DUMMYFUNCTION("""COMPUTED_VALUE"""),"Turkey")</f>
        <v>Turkey</v>
      </c>
      <c r="J464" s="43" t="str">
        <f>IFERROR(__xludf.DUMMYFUNCTION("""COMPUTED_VALUE"""),"ISTANBUL WEST")</f>
        <v>ISTANBUL WEST</v>
      </c>
      <c r="K464" s="44" t="str">
        <f>IFERROR(__xludf.DUMMYFUNCTION("""COMPUTED_VALUE"""),"https://expa.aiesec.org/opportunities/1286836")</f>
        <v>https://expa.aiesec.org/opportunities/1286836</v>
      </c>
      <c r="L464" s="43" t="str">
        <f>IFERROR(__xludf.DUMMYFUNCTION("""COMPUTED_VALUE"""),"GTe")</f>
        <v>GTe</v>
      </c>
      <c r="M464" s="43" t="str">
        <f>IFERROR(__xludf.DUMMYFUNCTION("""COMPUTED_VALUE"""),"long")</f>
        <v>long</v>
      </c>
      <c r="N464" s="45">
        <f>IFERROR(__xludf.DUMMYFUNCTION("""COMPUTED_VALUE"""),45212.0)</f>
        <v>45212</v>
      </c>
      <c r="O464" s="45">
        <f>IFERROR(__xludf.DUMMYFUNCTION("""COMPUTED_VALUE"""),45230.0)</f>
        <v>45230</v>
      </c>
      <c r="P464" s="45">
        <f>IFERROR(__xludf.DUMMYFUNCTION("""COMPUTED_VALUE"""),45586.0)</f>
        <v>45586</v>
      </c>
      <c r="Q464" s="45"/>
      <c r="R464" s="45"/>
      <c r="S464" s="43"/>
      <c r="T464" s="43" t="str">
        <f>IFERROR(__xludf.DUMMYFUNCTION("""COMPUTED_VALUE"""),"Business Development")</f>
        <v>Business Development</v>
      </c>
      <c r="U464" s="43" t="str">
        <f>IFERROR(__xludf.DUMMYFUNCTION("""COMPUTED_VALUE"""),"Pre-School Teacher at Istanbul AIKA/Bahçeşehir")</f>
        <v>Pre-School Teacher at Istanbul AIKA/Bahçeşehir</v>
      </c>
      <c r="V464" s="43" t="str">
        <f>IFERROR(__xludf.DUMMYFUNCTION("""COMPUTED_VALUE"""),"FLSH sfax ")</f>
        <v>FLSH sfax </v>
      </c>
      <c r="W464" s="43" t="str">
        <f>IFERROR(__xludf.DUMMYFUNCTION("""COMPUTED_VALUE"""),"2023-10-12T10:37:19Z")</f>
        <v>2023-10-12T10:37:19Z</v>
      </c>
      <c r="X464" s="43"/>
      <c r="Y464" s="43"/>
      <c r="Z464" s="43"/>
    </row>
    <row r="465" hidden="1">
      <c r="A465" s="43" t="str">
        <f>IFERROR(__xludf.DUMMYFUNCTION("""COMPUTED_VALUE"""),"5350673_1292545")</f>
        <v>5350673_1292545</v>
      </c>
      <c r="B465" s="43" t="str">
        <f>IFERROR(__xludf.DUMMYFUNCTION("""COMPUTED_VALUE"""),"Wafaa Merzouk")</f>
        <v>Wafaa Merzouk</v>
      </c>
      <c r="C465" s="43" t="str">
        <f>IFERROR(__xludf.DUMMYFUNCTION("""COMPUTED_VALUE"""),"realized")</f>
        <v>realized</v>
      </c>
      <c r="D465" s="43" t="str">
        <f>IFERROR(__xludf.DUMMYFUNCTION("""COMPUTED_VALUE"""),"No")</f>
        <v>No</v>
      </c>
      <c r="E465" s="43" t="str">
        <f>IFERROR(__xludf.DUMMYFUNCTION("""COMPUTED_VALUE"""),"p_a479c3ed1c7ceecbb5c75f7a46598b348b0336ee@inbound.aiesec.org")</f>
        <v>p_a479c3ed1c7ceecbb5c75f7a46598b348b0336ee@inbound.aiesec.org</v>
      </c>
      <c r="F465" s="43"/>
      <c r="G465" s="43" t="str">
        <f>IFERROR(__xludf.DUMMYFUNCTION("""COMPUTED_VALUE"""),"Algeria")</f>
        <v>Algeria</v>
      </c>
      <c r="H465" s="43" t="str">
        <f>IFERROR(__xludf.DUMMYFUNCTION("""COMPUTED_VALUE"""),"Tlemcen")</f>
        <v>Tlemcen</v>
      </c>
      <c r="I465" s="43" t="str">
        <f>IFERROR(__xludf.DUMMYFUNCTION("""COMPUTED_VALUE"""),"Turkey")</f>
        <v>Turkey</v>
      </c>
      <c r="J465" s="43" t="str">
        <f>IFERROR(__xludf.DUMMYFUNCTION("""COMPUTED_VALUE"""),"BURSA")</f>
        <v>BURSA</v>
      </c>
      <c r="K465" s="44" t="str">
        <f>IFERROR(__xludf.DUMMYFUNCTION("""COMPUTED_VALUE"""),"https://expa.aiesec.org/opportunities/1292545")</f>
        <v>https://expa.aiesec.org/opportunities/1292545</v>
      </c>
      <c r="L465" s="43" t="str">
        <f>IFERROR(__xludf.DUMMYFUNCTION("""COMPUTED_VALUE"""),"GTe")</f>
        <v>GTe</v>
      </c>
      <c r="M465" s="43" t="str">
        <f>IFERROR(__xludf.DUMMYFUNCTION("""COMPUTED_VALUE"""),"long")</f>
        <v>long</v>
      </c>
      <c r="N465" s="45">
        <f>IFERROR(__xludf.DUMMYFUNCTION("""COMPUTED_VALUE"""),45213.0)</f>
        <v>45213</v>
      </c>
      <c r="O465" s="45">
        <f>IFERROR(__xludf.DUMMYFUNCTION("""COMPUTED_VALUE"""),45275.0)</f>
        <v>45275</v>
      </c>
      <c r="P465" s="45">
        <f>IFERROR(__xludf.DUMMYFUNCTION("""COMPUTED_VALUE"""),45641.0)</f>
        <v>45641</v>
      </c>
      <c r="Q465" s="45">
        <f>IFERROR(__xludf.DUMMYFUNCTION("""COMPUTED_VALUE"""),45287.0)</f>
        <v>45287</v>
      </c>
      <c r="R465" s="45">
        <f>IFERROR(__xludf.DUMMYFUNCTION("""COMPUTED_VALUE"""),45653.0)</f>
        <v>45653</v>
      </c>
      <c r="S465" s="43"/>
      <c r="T465" s="43"/>
      <c r="U465" s="43" t="str">
        <f>IFERROR(__xludf.DUMMYFUNCTION("""COMPUTED_VALUE"""),"Language teacher")</f>
        <v>Language teacher</v>
      </c>
      <c r="V465" s="43" t="str">
        <f>IFERROR(__xludf.DUMMYFUNCTION("""COMPUTED_VALUE"""),"-")</f>
        <v>-</v>
      </c>
      <c r="W465" s="43" t="str">
        <f>IFERROR(__xludf.DUMMYFUNCTION("""COMPUTED_VALUE"""),"2023-10-12T19:20:20Z")</f>
        <v>2023-10-12T19:20:20Z</v>
      </c>
      <c r="X465" s="43"/>
      <c r="Y465" s="43"/>
      <c r="Z465" s="43"/>
    </row>
    <row r="466" hidden="1">
      <c r="A466" s="43" t="str">
        <f>IFERROR(__xludf.DUMMYFUNCTION("""COMPUTED_VALUE"""),"5303671_1295743")</f>
        <v>5303671_1295743</v>
      </c>
      <c r="B466" s="43" t="str">
        <f>IFERROR(__xludf.DUMMYFUNCTION("""COMPUTED_VALUE"""),"Badoui Hagui")</f>
        <v>Badoui Hagui</v>
      </c>
      <c r="C466" s="43" t="str">
        <f>IFERROR(__xludf.DUMMYFUNCTION("""COMPUTED_VALUE"""),"realized")</f>
        <v>realized</v>
      </c>
      <c r="D466" s="43" t="str">
        <f>IFERROR(__xludf.DUMMYFUNCTION("""COMPUTED_VALUE"""),"No")</f>
        <v>No</v>
      </c>
      <c r="E466" s="43" t="str">
        <f>IFERROR(__xludf.DUMMYFUNCTION("""COMPUTED_VALUE"""),"p_16ed98dbf05a1b533c0515356b125e4953126022@inbound.aiesec.org")</f>
        <v>p_16ed98dbf05a1b533c0515356b125e4953126022@inbound.aiesec.org</v>
      </c>
      <c r="F466" s="43">
        <f>IFERROR(__xludf.DUMMYFUNCTION("""COMPUTED_VALUE"""),2.4767622E7)</f>
        <v>24767622</v>
      </c>
      <c r="G466" s="43" t="str">
        <f>IFERROR(__xludf.DUMMYFUNCTION("""COMPUTED_VALUE"""),"Tunisia")</f>
        <v>Tunisia</v>
      </c>
      <c r="H466" s="43" t="str">
        <f>IFERROR(__xludf.DUMMYFUNCTION("""COMPUTED_VALUE"""),"HADRUMET")</f>
        <v>HADRUMET</v>
      </c>
      <c r="I466" s="43" t="str">
        <f>IFERROR(__xludf.DUMMYFUNCTION("""COMPUTED_VALUE"""),"Turkey")</f>
        <v>Turkey</v>
      </c>
      <c r="J466" s="43" t="str">
        <f>IFERROR(__xludf.DUMMYFUNCTION("""COMPUTED_VALUE"""),"KOCAELI")</f>
        <v>KOCAELI</v>
      </c>
      <c r="K466" s="44" t="str">
        <f>IFERROR(__xludf.DUMMYFUNCTION("""COMPUTED_VALUE"""),"https://expa.aiesec.org/opportunities/1295743")</f>
        <v>https://expa.aiesec.org/opportunities/1295743</v>
      </c>
      <c r="L466" s="43" t="str">
        <f>IFERROR(__xludf.DUMMYFUNCTION("""COMPUTED_VALUE"""),"GTe")</f>
        <v>GTe</v>
      </c>
      <c r="M466" s="43" t="str">
        <f>IFERROR(__xludf.DUMMYFUNCTION("""COMPUTED_VALUE"""),"long")</f>
        <v>long</v>
      </c>
      <c r="N466" s="45">
        <f>IFERROR(__xludf.DUMMYFUNCTION("""COMPUTED_VALUE"""),45214.0)</f>
        <v>45214</v>
      </c>
      <c r="O466" s="45">
        <f>IFERROR(__xludf.DUMMYFUNCTION("""COMPUTED_VALUE"""),45214.0)</f>
        <v>45214</v>
      </c>
      <c r="P466" s="45">
        <f>IFERROR(__xludf.DUMMYFUNCTION("""COMPUTED_VALUE"""),45459.0)</f>
        <v>45459</v>
      </c>
      <c r="Q466" s="45">
        <f>IFERROR(__xludf.DUMMYFUNCTION("""COMPUTED_VALUE"""),45244.0)</f>
        <v>45244</v>
      </c>
      <c r="R466" s="45">
        <f>IFERROR(__xludf.DUMMYFUNCTION("""COMPUTED_VALUE"""),45489.0)</f>
        <v>45489</v>
      </c>
      <c r="S466" s="43"/>
      <c r="T466" s="43"/>
      <c r="U466" s="43" t="str">
        <f>IFERROR(__xludf.DUMMYFUNCTION("""COMPUTED_VALUE"""),"English Teacher in Gözde Kindergarden")</f>
        <v>English Teacher in Gözde Kindergarden</v>
      </c>
      <c r="V466" s="43" t="str">
        <f>IFERROR(__xludf.DUMMYFUNCTION("""COMPUTED_VALUE"""),"FLSH Sousse")</f>
        <v>FLSH Sousse</v>
      </c>
      <c r="W466" s="43" t="str">
        <f>IFERROR(__xludf.DUMMYFUNCTION("""COMPUTED_VALUE"""),"2023-08-16T14:52:18Z")</f>
        <v>2023-08-16T14:52:18Z</v>
      </c>
      <c r="X466" s="43"/>
      <c r="Y466" s="43"/>
      <c r="Z466" s="43"/>
    </row>
    <row r="467" hidden="1">
      <c r="A467" s="43" t="str">
        <f>IFERROR(__xludf.DUMMYFUNCTION("""COMPUTED_VALUE"""),"5284975_1298274")</f>
        <v>5284975_1298274</v>
      </c>
      <c r="B467" s="43" t="str">
        <f>IFERROR(__xludf.DUMMYFUNCTION("""COMPUTED_VALUE"""),"Nisrine Ghazi")</f>
        <v>Nisrine Ghazi</v>
      </c>
      <c r="C467" s="43" t="str">
        <f>IFERROR(__xludf.DUMMYFUNCTION("""COMPUTED_VALUE"""),"realized")</f>
        <v>realized</v>
      </c>
      <c r="D467" s="43" t="str">
        <f>IFERROR(__xludf.DUMMYFUNCTION("""COMPUTED_VALUE"""),"No")</f>
        <v>No</v>
      </c>
      <c r="E467" s="43" t="str">
        <f>IFERROR(__xludf.DUMMYFUNCTION("""COMPUTED_VALUE"""),"p_5b753280b05c42786c21de56d0c929111734980b@inbound.aiesec.org")</f>
        <v>p_5b753280b05c42786c21de56d0c929111734980b@inbound.aiesec.org</v>
      </c>
      <c r="F467" s="43">
        <f>IFERROR(__xludf.DUMMYFUNCTION("""COMPUTED_VALUE"""),6.12189155E8)</f>
        <v>612189155</v>
      </c>
      <c r="G467" s="43" t="str">
        <f>IFERROR(__xludf.DUMMYFUNCTION("""COMPUTED_VALUE"""),"Morocco")</f>
        <v>Morocco</v>
      </c>
      <c r="H467" s="43" t="str">
        <f>IFERROR(__xludf.DUMMYFUNCTION("""COMPUTED_VALUE"""),"Casablanca")</f>
        <v>Casablanca</v>
      </c>
      <c r="I467" s="43" t="str">
        <f>IFERROR(__xludf.DUMMYFUNCTION("""COMPUTED_VALUE"""),"Turkey")</f>
        <v>Turkey</v>
      </c>
      <c r="J467" s="43" t="str">
        <f>IFERROR(__xludf.DUMMYFUNCTION("""COMPUTED_VALUE"""),"ESKISEHIR")</f>
        <v>ESKISEHIR</v>
      </c>
      <c r="K467" s="44" t="str">
        <f>IFERROR(__xludf.DUMMYFUNCTION("""COMPUTED_VALUE"""),"https://expa.aiesec.org/opportunities/1298274")</f>
        <v>https://expa.aiesec.org/opportunities/1298274</v>
      </c>
      <c r="L467" s="43" t="str">
        <f>IFERROR(__xludf.DUMMYFUNCTION("""COMPUTED_VALUE"""),"GTe")</f>
        <v>GTe</v>
      </c>
      <c r="M467" s="43" t="str">
        <f>IFERROR(__xludf.DUMMYFUNCTION("""COMPUTED_VALUE"""),"medium")</f>
        <v>medium</v>
      </c>
      <c r="N467" s="45">
        <f>IFERROR(__xludf.DUMMYFUNCTION("""COMPUTED_VALUE"""),45216.0)</f>
        <v>45216</v>
      </c>
      <c r="O467" s="45">
        <f>IFERROR(__xludf.DUMMYFUNCTION("""COMPUTED_VALUE"""),45231.0)</f>
        <v>45231</v>
      </c>
      <c r="P467" s="45">
        <f>IFERROR(__xludf.DUMMYFUNCTION("""COMPUTED_VALUE"""),45382.0)</f>
        <v>45382</v>
      </c>
      <c r="Q467" s="45">
        <f>IFERROR(__xludf.DUMMYFUNCTION("""COMPUTED_VALUE"""),45240.0)</f>
        <v>45240</v>
      </c>
      <c r="R467" s="45">
        <f>IFERROR(__xludf.DUMMYFUNCTION("""COMPUTED_VALUE"""),45391.0)</f>
        <v>45391</v>
      </c>
      <c r="S467" s="43"/>
      <c r="T467" s="43"/>
      <c r="U467" s="43" t="str">
        <f>IFERROR(__xludf.DUMMYFUNCTION("""COMPUTED_VALUE"""),"English-Spanish/English-German Teacher")</f>
        <v>English-Spanish/English-German Teacher</v>
      </c>
      <c r="V467" s="43" t="str">
        <f>IFERROR(__xludf.DUMMYFUNCTION("""COMPUTED_VALUE"""),"Ecole Nationale De Commerce Et De Gestion Casablanca (ENCGC)")</f>
        <v>Ecole Nationale De Commerce Et De Gestion Casablanca (ENCGC)</v>
      </c>
      <c r="W467" s="43" t="str">
        <f>IFERROR(__xludf.DUMMYFUNCTION("""COMPUTED_VALUE"""),"2023-07-13T14:52:09Z")</f>
        <v>2023-07-13T14:52:09Z</v>
      </c>
      <c r="X467" s="43"/>
      <c r="Y467" s="43"/>
      <c r="Z467" s="43"/>
    </row>
    <row r="468" hidden="1">
      <c r="A468" s="43" t="str">
        <f>IFERROR(__xludf.DUMMYFUNCTION("""COMPUTED_VALUE"""),"3603477_1296625")</f>
        <v>3603477_1296625</v>
      </c>
      <c r="B468" s="43" t="str">
        <f>IFERROR(__xludf.DUMMYFUNCTION("""COMPUTED_VALUE"""),"Oscar Fernando Martínez Sanabria")</f>
        <v>Oscar Fernando Martínez Sanabria</v>
      </c>
      <c r="C468" s="43" t="str">
        <f>IFERROR(__xludf.DUMMYFUNCTION("""COMPUTED_VALUE"""),"realized")</f>
        <v>realized</v>
      </c>
      <c r="D468" s="43" t="str">
        <f>IFERROR(__xludf.DUMMYFUNCTION("""COMPUTED_VALUE"""),"No")</f>
        <v>No</v>
      </c>
      <c r="E468" s="43" t="str">
        <f>IFERROR(__xludf.DUMMYFUNCTION("""COMPUTED_VALUE"""),"p_b855e85326e3585500f2a237ee25d00a6b499558@inbound.aiesec.org")</f>
        <v>p_b855e85326e3585500f2a237ee25d00a6b499558@inbound.aiesec.org</v>
      </c>
      <c r="F468" s="43">
        <f>IFERROR(__xludf.DUMMYFUNCTION("""COMPUTED_VALUE"""),3.144191572E9)</f>
        <v>3144191572</v>
      </c>
      <c r="G468" s="43" t="str">
        <f>IFERROR(__xludf.DUMMYFUNCTION("""COMPUTED_VALUE"""),"Colombia")</f>
        <v>Colombia</v>
      </c>
      <c r="H468" s="43" t="str">
        <f>IFERROR(__xludf.DUMMYFUNCTION("""COMPUTED_VALUE"""),"Javeriana")</f>
        <v>Javeriana</v>
      </c>
      <c r="I468" s="43" t="str">
        <f>IFERROR(__xludf.DUMMYFUNCTION("""COMPUTED_VALUE"""),"Turkey")</f>
        <v>Turkey</v>
      </c>
      <c r="J468" s="43" t="str">
        <f>IFERROR(__xludf.DUMMYFUNCTION("""COMPUTED_VALUE"""),"SAKARYA")</f>
        <v>SAKARYA</v>
      </c>
      <c r="K468" s="44" t="str">
        <f>IFERROR(__xludf.DUMMYFUNCTION("""COMPUTED_VALUE"""),"https://expa.aiesec.org/opportunities/1296625")</f>
        <v>https://expa.aiesec.org/opportunities/1296625</v>
      </c>
      <c r="L468" s="43" t="str">
        <f>IFERROR(__xludf.DUMMYFUNCTION("""COMPUTED_VALUE"""),"GTe")</f>
        <v>GTe</v>
      </c>
      <c r="M468" s="43" t="str">
        <f>IFERROR(__xludf.DUMMYFUNCTION("""COMPUTED_VALUE"""),"long")</f>
        <v>long</v>
      </c>
      <c r="N468" s="45">
        <f>IFERROR(__xludf.DUMMYFUNCTION("""COMPUTED_VALUE"""),45216.0)</f>
        <v>45216</v>
      </c>
      <c r="O468" s="45">
        <f>IFERROR(__xludf.DUMMYFUNCTION("""COMPUTED_VALUE"""),45207.0)</f>
        <v>45207</v>
      </c>
      <c r="P468" s="45">
        <f>IFERROR(__xludf.DUMMYFUNCTION("""COMPUTED_VALUE"""),45571.0)</f>
        <v>45571</v>
      </c>
      <c r="Q468" s="45">
        <f>IFERROR(__xludf.DUMMYFUNCTION("""COMPUTED_VALUE"""),45250.0)</f>
        <v>45250</v>
      </c>
      <c r="R468" s="45">
        <f>IFERROR(__xludf.DUMMYFUNCTION("""COMPUTED_VALUE"""),45612.0)</f>
        <v>45612</v>
      </c>
      <c r="S468" s="43"/>
      <c r="T468" s="43"/>
      <c r="U468" s="43" t="str">
        <f>IFERROR(__xludf.DUMMYFUNCTION("""COMPUTED_VALUE"""),"English Teacher")</f>
        <v>English Teacher</v>
      </c>
      <c r="V468" s="43" t="str">
        <f>IFERROR(__xludf.DUMMYFUNCTION("""COMPUTED_VALUE"""),"-")</f>
        <v>-</v>
      </c>
      <c r="W468" s="43" t="str">
        <f>IFERROR(__xludf.DUMMYFUNCTION("""COMPUTED_VALUE"""),"2019-07-03T16:28:34Z")</f>
        <v>2019-07-03T16:28:34Z</v>
      </c>
      <c r="X468" s="43"/>
      <c r="Y468" s="43"/>
      <c r="Z468" s="43"/>
    </row>
    <row r="469" hidden="1">
      <c r="A469" s="43" t="str">
        <f>IFERROR(__xludf.DUMMYFUNCTION("""COMPUTED_VALUE"""),"5328708_1299687")</f>
        <v>5328708_1299687</v>
      </c>
      <c r="B469" s="43" t="str">
        <f>IFERROR(__xludf.DUMMYFUNCTION("""COMPUTED_VALUE"""),"Ellen Kgagamatso Matthews")</f>
        <v>Ellen Kgagamatso Matthews</v>
      </c>
      <c r="C469" s="43" t="str">
        <f>IFERROR(__xludf.DUMMYFUNCTION("""COMPUTED_VALUE"""),"approved")</f>
        <v>approved</v>
      </c>
      <c r="D469" s="43" t="str">
        <f>IFERROR(__xludf.DUMMYFUNCTION("""COMPUTED_VALUE"""),"No")</f>
        <v>No</v>
      </c>
      <c r="E469" s="43" t="str">
        <f>IFERROR(__xludf.DUMMYFUNCTION("""COMPUTED_VALUE"""),"p_3929eeed4b1c0851752ff5631fd8d89b2e37cea4@inbound.aiesec.org")</f>
        <v>p_3929eeed4b1c0851752ff5631fd8d89b2e37cea4@inbound.aiesec.org</v>
      </c>
      <c r="F469" s="43">
        <f>IFERROR(__xludf.DUMMYFUNCTION("""COMPUTED_VALUE"""),6.03285844E8)</f>
        <v>603285844</v>
      </c>
      <c r="G469" s="43" t="str">
        <f>IFERROR(__xludf.DUMMYFUNCTION("""COMPUTED_VALUE"""),"South Africa")</f>
        <v>South Africa</v>
      </c>
      <c r="H469" s="43" t="str">
        <f>IFERROR(__xludf.DUMMYFUNCTION("""COMPUTED_VALUE"""),"University of Johannesburg")</f>
        <v>University of Johannesburg</v>
      </c>
      <c r="I469" s="43" t="str">
        <f>IFERROR(__xludf.DUMMYFUNCTION("""COMPUTED_VALUE"""),"Turkey")</f>
        <v>Turkey</v>
      </c>
      <c r="J469" s="43" t="str">
        <f>IFERROR(__xludf.DUMMYFUNCTION("""COMPUTED_VALUE"""),"DENIZLI")</f>
        <v>DENIZLI</v>
      </c>
      <c r="K469" s="44" t="str">
        <f>IFERROR(__xludf.DUMMYFUNCTION("""COMPUTED_VALUE"""),"https://expa.aiesec.org/opportunities/1299687")</f>
        <v>https://expa.aiesec.org/opportunities/1299687</v>
      </c>
      <c r="L469" s="43" t="str">
        <f>IFERROR(__xludf.DUMMYFUNCTION("""COMPUTED_VALUE"""),"GTe")</f>
        <v>GTe</v>
      </c>
      <c r="M469" s="43" t="str">
        <f>IFERROR(__xludf.DUMMYFUNCTION("""COMPUTED_VALUE"""),"long")</f>
        <v>long</v>
      </c>
      <c r="N469" s="45">
        <f>IFERROR(__xludf.DUMMYFUNCTION("""COMPUTED_VALUE"""),45217.0)</f>
        <v>45217</v>
      </c>
      <c r="O469" s="45">
        <f>IFERROR(__xludf.DUMMYFUNCTION("""COMPUTED_VALUE"""),45230.0)</f>
        <v>45230</v>
      </c>
      <c r="P469" s="45">
        <f>IFERROR(__xludf.DUMMYFUNCTION("""COMPUTED_VALUE"""),45596.0)</f>
        <v>45596</v>
      </c>
      <c r="Q469" s="45"/>
      <c r="R469" s="45"/>
      <c r="S469" s="43"/>
      <c r="T469" s="43"/>
      <c r="U469" s="43" t="str">
        <f>IFERROR(__xludf.DUMMYFUNCTION("""COMPUTED_VALUE"""),"Aydın Lisan English Teacher")</f>
        <v>Aydın Lisan English Teacher</v>
      </c>
      <c r="V469" s="43" t="str">
        <f>IFERROR(__xludf.DUMMYFUNCTION("""COMPUTED_VALUE"""),"University of Johannesburg")</f>
        <v>University of Johannesburg</v>
      </c>
      <c r="W469" s="43" t="str">
        <f>IFERROR(__xludf.DUMMYFUNCTION("""COMPUTED_VALUE"""),"2023-09-21T06:15:59Z")</f>
        <v>2023-09-21T06:15:59Z</v>
      </c>
      <c r="X469" s="43"/>
      <c r="Y469" s="43"/>
      <c r="Z469" s="43"/>
    </row>
    <row r="470" hidden="1">
      <c r="A470" s="43" t="str">
        <f>IFERROR(__xludf.DUMMYFUNCTION("""COMPUTED_VALUE"""),"5353141_1289686")</f>
        <v>5353141_1289686</v>
      </c>
      <c r="B470" s="43" t="str">
        <f>IFERROR(__xludf.DUMMYFUNCTION("""COMPUTED_VALUE"""),"Hadeer Hesham")</f>
        <v>Hadeer Hesham</v>
      </c>
      <c r="C470" s="43" t="str">
        <f>IFERROR(__xludf.DUMMYFUNCTION("""COMPUTED_VALUE"""),"approved")</f>
        <v>approved</v>
      </c>
      <c r="D470" s="43" t="str">
        <f>IFERROR(__xludf.DUMMYFUNCTION("""COMPUTED_VALUE"""),"No")</f>
        <v>No</v>
      </c>
      <c r="E470" s="43" t="str">
        <f>IFERROR(__xludf.DUMMYFUNCTION("""COMPUTED_VALUE"""),"p_1c20a684a4e8ab9ecbcd606fdaf140899957b970@inbound.aiesec.org")</f>
        <v>p_1c20a684a4e8ab9ecbcd606fdaf140899957b970@inbound.aiesec.org</v>
      </c>
      <c r="F470" s="43">
        <f>IFERROR(__xludf.DUMMYFUNCTION("""COMPUTED_VALUE"""),1.207664046E9)</f>
        <v>1207664046</v>
      </c>
      <c r="G470" s="43" t="str">
        <f>IFERROR(__xludf.DUMMYFUNCTION("""COMPUTED_VALUE"""),"Egypt")</f>
        <v>Egypt</v>
      </c>
      <c r="H470" s="43" t="str">
        <f>IFERROR(__xludf.DUMMYFUNCTION("""COMPUTED_VALUE"""),"Alexandria")</f>
        <v>Alexandria</v>
      </c>
      <c r="I470" s="43" t="str">
        <f>IFERROR(__xludf.DUMMYFUNCTION("""COMPUTED_VALUE"""),"Turkey")</f>
        <v>Turkey</v>
      </c>
      <c r="J470" s="43" t="str">
        <f>IFERROR(__xludf.DUMMYFUNCTION("""COMPUTED_VALUE"""),"SAKARYA")</f>
        <v>SAKARYA</v>
      </c>
      <c r="K470" s="44" t="str">
        <f>IFERROR(__xludf.DUMMYFUNCTION("""COMPUTED_VALUE"""),"https://expa.aiesec.org/opportunities/1289686")</f>
        <v>https://expa.aiesec.org/opportunities/1289686</v>
      </c>
      <c r="L470" s="43" t="str">
        <f>IFERROR(__xludf.DUMMYFUNCTION("""COMPUTED_VALUE"""),"GTe")</f>
        <v>GTe</v>
      </c>
      <c r="M470" s="43" t="str">
        <f>IFERROR(__xludf.DUMMYFUNCTION("""COMPUTED_VALUE"""),"long")</f>
        <v>long</v>
      </c>
      <c r="N470" s="45">
        <f>IFERROR(__xludf.DUMMYFUNCTION("""COMPUTED_VALUE"""),45217.0)</f>
        <v>45217</v>
      </c>
      <c r="O470" s="45">
        <f>IFERROR(__xludf.DUMMYFUNCTION("""COMPUTED_VALUE"""),45261.0)</f>
        <v>45261</v>
      </c>
      <c r="P470" s="45">
        <f>IFERROR(__xludf.DUMMYFUNCTION("""COMPUTED_VALUE"""),45627.0)</f>
        <v>45627</v>
      </c>
      <c r="Q470" s="45"/>
      <c r="R470" s="45"/>
      <c r="S470" s="43"/>
      <c r="T470" s="43"/>
      <c r="U470" s="43" t="str">
        <f>IFERROR(__xludf.DUMMYFUNCTION("""COMPUTED_VALUE"""),"English Language Teacher | American Culture")</f>
        <v>English Language Teacher | American Culture</v>
      </c>
      <c r="V470" s="43" t="str">
        <f>IFERROR(__xludf.DUMMYFUNCTION("""COMPUTED_VALUE"""),"Alexandria University")</f>
        <v>Alexandria University</v>
      </c>
      <c r="W470" s="43" t="str">
        <f>IFERROR(__xludf.DUMMYFUNCTION("""COMPUTED_VALUE"""),"2023-10-16T21:40:34Z")</f>
        <v>2023-10-16T21:40:34Z</v>
      </c>
      <c r="X470" s="43"/>
      <c r="Y470" s="43"/>
      <c r="Z470" s="43"/>
    </row>
    <row r="471" hidden="1">
      <c r="A471" s="43" t="str">
        <f>IFERROR(__xludf.DUMMYFUNCTION("""COMPUTED_VALUE"""),"5348654_1298312")</f>
        <v>5348654_1298312</v>
      </c>
      <c r="B471" s="43" t="str">
        <f>IFERROR(__xludf.DUMMYFUNCTION("""COMPUTED_VALUE"""),"Maida Imran Mughal")</f>
        <v>Maida Imran Mughal</v>
      </c>
      <c r="C471" s="43" t="str">
        <f>IFERROR(__xludf.DUMMYFUNCTION("""COMPUTED_VALUE"""),"realized")</f>
        <v>realized</v>
      </c>
      <c r="D471" s="43" t="str">
        <f>IFERROR(__xludf.DUMMYFUNCTION("""COMPUTED_VALUE"""),"No")</f>
        <v>No</v>
      </c>
      <c r="E471" s="43" t="str">
        <f>IFERROR(__xludf.DUMMYFUNCTION("""COMPUTED_VALUE"""),"p_4b0b15c8f99cdbb20b6a558447538c290c13bfdd@inbound.aiesec.org")</f>
        <v>p_4b0b15c8f99cdbb20b6a558447538c290c13bfdd@inbound.aiesec.org</v>
      </c>
      <c r="F471" s="43">
        <f>IFERROR(__xludf.DUMMYFUNCTION("""COMPUTED_VALUE"""),3.070055339E9)</f>
        <v>3070055339</v>
      </c>
      <c r="G471" s="43" t="str">
        <f>IFERROR(__xludf.DUMMYFUNCTION("""COMPUTED_VALUE"""),"Pakistan")</f>
        <v>Pakistan</v>
      </c>
      <c r="H471" s="43" t="str">
        <f>IFERROR(__xludf.DUMMYFUNCTION("""COMPUTED_VALUE"""),"Islamabad")</f>
        <v>Islamabad</v>
      </c>
      <c r="I471" s="43" t="str">
        <f>IFERROR(__xludf.DUMMYFUNCTION("""COMPUTED_VALUE"""),"Turkey")</f>
        <v>Turkey</v>
      </c>
      <c r="J471" s="43" t="str">
        <f>IFERROR(__xludf.DUMMYFUNCTION("""COMPUTED_VALUE"""),"ISTANBUL WEST")</f>
        <v>ISTANBUL WEST</v>
      </c>
      <c r="K471" s="44" t="str">
        <f>IFERROR(__xludf.DUMMYFUNCTION("""COMPUTED_VALUE"""),"https://expa.aiesec.org/opportunities/1298312")</f>
        <v>https://expa.aiesec.org/opportunities/1298312</v>
      </c>
      <c r="L471" s="43" t="str">
        <f>IFERROR(__xludf.DUMMYFUNCTION("""COMPUTED_VALUE"""),"GTe")</f>
        <v>GTe</v>
      </c>
      <c r="M471" s="43" t="str">
        <f>IFERROR(__xludf.DUMMYFUNCTION("""COMPUTED_VALUE"""),"long")</f>
        <v>long</v>
      </c>
      <c r="N471" s="45">
        <f>IFERROR(__xludf.DUMMYFUNCTION("""COMPUTED_VALUE"""),45217.0)</f>
        <v>45217</v>
      </c>
      <c r="O471" s="45">
        <f>IFERROR(__xludf.DUMMYFUNCTION("""COMPUTED_VALUE"""),45230.0)</f>
        <v>45230</v>
      </c>
      <c r="P471" s="45">
        <f>IFERROR(__xludf.DUMMYFUNCTION("""COMPUTED_VALUE"""),45593.0)</f>
        <v>45593</v>
      </c>
      <c r="Q471" s="45">
        <f>IFERROR(__xludf.DUMMYFUNCTION("""COMPUTED_VALUE"""),45232.0)</f>
        <v>45232</v>
      </c>
      <c r="R471" s="45">
        <f>IFERROR(__xludf.DUMMYFUNCTION("""COMPUTED_VALUE"""),45593.0)</f>
        <v>45593</v>
      </c>
      <c r="S471" s="43"/>
      <c r="T471" s="43"/>
      <c r="U471" s="43" t="str">
        <f>IFERROR(__xludf.DUMMYFUNCTION("""COMPUTED_VALUE"""),"Child Care Assistant English Teacher at İstanbul Akıl Kulesi")</f>
        <v>Child Care Assistant English Teacher at İstanbul Akıl Kulesi</v>
      </c>
      <c r="V471" s="43" t="str">
        <f>IFERROR(__xludf.DUMMYFUNCTION("""COMPUTED_VALUE"""),"Islamabad - Roots IVY")</f>
        <v>Islamabad - Roots IVY</v>
      </c>
      <c r="W471" s="43" t="str">
        <f>IFERROR(__xludf.DUMMYFUNCTION("""COMPUTED_VALUE"""),"2023-10-11T06:39:30Z")</f>
        <v>2023-10-11T06:39:30Z</v>
      </c>
      <c r="X471" s="43"/>
      <c r="Y471" s="43"/>
      <c r="Z471" s="43"/>
    </row>
    <row r="472" hidden="1">
      <c r="A472" s="43" t="str">
        <f>IFERROR(__xludf.DUMMYFUNCTION("""COMPUTED_VALUE"""),"5329150_1289307")</f>
        <v>5329150_1289307</v>
      </c>
      <c r="B472" s="43" t="str">
        <f>IFERROR(__xludf.DUMMYFUNCTION("""COMPUTED_VALUE"""),"Houda MOUAOUIA")</f>
        <v>Houda MOUAOUIA</v>
      </c>
      <c r="C472" s="43" t="str">
        <f>IFERROR(__xludf.DUMMYFUNCTION("""COMPUTED_VALUE"""),"realized")</f>
        <v>realized</v>
      </c>
      <c r="D472" s="43" t="str">
        <f>IFERROR(__xludf.DUMMYFUNCTION("""COMPUTED_VALUE"""),"No")</f>
        <v>No</v>
      </c>
      <c r="E472" s="43" t="str">
        <f>IFERROR(__xludf.DUMMYFUNCTION("""COMPUTED_VALUE"""),"p_2686e024613c7a62a0d065cafd47de8b512ce519@inbound.aiesec.org")</f>
        <v>p_2686e024613c7a62a0d065cafd47de8b512ce519@inbound.aiesec.org</v>
      </c>
      <c r="F472" s="43">
        <f>IFERROR(__xludf.DUMMYFUNCTION("""COMPUTED_VALUE"""),6.21150606E8)</f>
        <v>621150606</v>
      </c>
      <c r="G472" s="43" t="str">
        <f>IFERROR(__xludf.DUMMYFUNCTION("""COMPUTED_VALUE"""),"Morocco")</f>
        <v>Morocco</v>
      </c>
      <c r="H472" s="43" t="str">
        <f>IFERROR(__xludf.DUMMYFUNCTION("""COMPUTED_VALUE"""),"Mohammedia")</f>
        <v>Mohammedia</v>
      </c>
      <c r="I472" s="43" t="str">
        <f>IFERROR(__xludf.DUMMYFUNCTION("""COMPUTED_VALUE"""),"Turkey")</f>
        <v>Turkey</v>
      </c>
      <c r="J472" s="43" t="str">
        <f>IFERROR(__xludf.DUMMYFUNCTION("""COMPUTED_VALUE"""),"ISTANBUL")</f>
        <v>ISTANBUL</v>
      </c>
      <c r="K472" s="44" t="str">
        <f>IFERROR(__xludf.DUMMYFUNCTION("""COMPUTED_VALUE"""),"https://expa.aiesec.org/opportunities/1289307")</f>
        <v>https://expa.aiesec.org/opportunities/1289307</v>
      </c>
      <c r="L472" s="43" t="str">
        <f>IFERROR(__xludf.DUMMYFUNCTION("""COMPUTED_VALUE"""),"GTe")</f>
        <v>GTe</v>
      </c>
      <c r="M472" s="43" t="str">
        <f>IFERROR(__xludf.DUMMYFUNCTION("""COMPUTED_VALUE"""),"long")</f>
        <v>long</v>
      </c>
      <c r="N472" s="45">
        <f>IFERROR(__xludf.DUMMYFUNCTION("""COMPUTED_VALUE"""),45218.0)</f>
        <v>45218</v>
      </c>
      <c r="O472" s="45">
        <f>IFERROR(__xludf.DUMMYFUNCTION("""COMPUTED_VALUE"""),45229.0)</f>
        <v>45229</v>
      </c>
      <c r="P472" s="45">
        <f>IFERROR(__xludf.DUMMYFUNCTION("""COMPUTED_VALUE"""),45597.0)</f>
        <v>45597</v>
      </c>
      <c r="Q472" s="45">
        <f>IFERROR(__xludf.DUMMYFUNCTION("""COMPUTED_VALUE"""),45218.0)</f>
        <v>45218</v>
      </c>
      <c r="R472" s="45">
        <f>IFERROR(__xludf.DUMMYFUNCTION("""COMPUTED_VALUE"""),45597.0)</f>
        <v>45597</v>
      </c>
      <c r="S472" s="43"/>
      <c r="T472" s="43"/>
      <c r="U472" s="43" t="str">
        <f>IFERROR(__xludf.DUMMYFUNCTION("""COMPUTED_VALUE"""),"Preschool English Teacher")</f>
        <v>Preschool English Teacher</v>
      </c>
      <c r="V472" s="43" t="str">
        <f>IFERROR(__xludf.DUMMYFUNCTION("""COMPUTED_VALUE"""),"Other-MOHAMMEDIA")</f>
        <v>Other-MOHAMMEDIA</v>
      </c>
      <c r="W472" s="43" t="str">
        <f>IFERROR(__xludf.DUMMYFUNCTION("""COMPUTED_VALUE"""),"2023-09-21T12:27:30Z")</f>
        <v>2023-09-21T12:27:30Z</v>
      </c>
      <c r="X472" s="43"/>
      <c r="Y472" s="43"/>
      <c r="Z472" s="43"/>
    </row>
    <row r="473" hidden="1">
      <c r="A473" s="43" t="str">
        <f>IFERROR(__xludf.DUMMYFUNCTION("""COMPUTED_VALUE"""),"5320472_1298534")</f>
        <v>5320472_1298534</v>
      </c>
      <c r="B473" s="43" t="str">
        <f>IFERROR(__xludf.DUMMYFUNCTION("""COMPUTED_VALUE"""),"Zaer El Hamedi")</f>
        <v>Zaer El Hamedi</v>
      </c>
      <c r="C473" s="43" t="str">
        <f>IFERROR(__xludf.DUMMYFUNCTION("""COMPUTED_VALUE"""),"approved")</f>
        <v>approved</v>
      </c>
      <c r="D473" s="43" t="str">
        <f>IFERROR(__xludf.DUMMYFUNCTION("""COMPUTED_VALUE"""),"No")</f>
        <v>No</v>
      </c>
      <c r="E473" s="43" t="str">
        <f>IFERROR(__xludf.DUMMYFUNCTION("""COMPUTED_VALUE"""),"p_d137b39ee9b23a50416ff7d0b737fbceff796949@inbound.aiesec.org")</f>
        <v>p_d137b39ee9b23a50416ff7d0b737fbceff796949@inbound.aiesec.org</v>
      </c>
      <c r="F473" s="43">
        <f>IFERROR(__xludf.DUMMYFUNCTION("""COMPUTED_VALUE"""),5.5143054E7)</f>
        <v>55143054</v>
      </c>
      <c r="G473" s="43" t="str">
        <f>IFERROR(__xludf.DUMMYFUNCTION("""COMPUTED_VALUE"""),"Tunisia")</f>
        <v>Tunisia</v>
      </c>
      <c r="H473" s="43" t="str">
        <f>IFERROR(__xludf.DUMMYFUNCTION("""COMPUTED_VALUE"""),"Carthage")</f>
        <v>Carthage</v>
      </c>
      <c r="I473" s="43" t="str">
        <f>IFERROR(__xludf.DUMMYFUNCTION("""COMPUTED_VALUE"""),"Turkey")</f>
        <v>Turkey</v>
      </c>
      <c r="J473" s="43" t="str">
        <f>IFERROR(__xludf.DUMMYFUNCTION("""COMPUTED_VALUE"""),"GAZIANTEP")</f>
        <v>GAZIANTEP</v>
      </c>
      <c r="K473" s="44" t="str">
        <f>IFERROR(__xludf.DUMMYFUNCTION("""COMPUTED_VALUE"""),"https://expa.aiesec.org/opportunities/1298534")</f>
        <v>https://expa.aiesec.org/opportunities/1298534</v>
      </c>
      <c r="L473" s="43" t="str">
        <f>IFERROR(__xludf.DUMMYFUNCTION("""COMPUTED_VALUE"""),"GTe")</f>
        <v>GTe</v>
      </c>
      <c r="M473" s="43" t="str">
        <f>IFERROR(__xludf.DUMMYFUNCTION("""COMPUTED_VALUE"""),"long")</f>
        <v>long</v>
      </c>
      <c r="N473" s="45">
        <f>IFERROR(__xludf.DUMMYFUNCTION("""COMPUTED_VALUE"""),45218.0)</f>
        <v>45218</v>
      </c>
      <c r="O473" s="45">
        <f>IFERROR(__xludf.DUMMYFUNCTION("""COMPUTED_VALUE"""),45226.0)</f>
        <v>45226</v>
      </c>
      <c r="P473" s="45">
        <f>IFERROR(__xludf.DUMMYFUNCTION("""COMPUTED_VALUE"""),45591.0)</f>
        <v>45591</v>
      </c>
      <c r="Q473" s="45"/>
      <c r="R473" s="45"/>
      <c r="S473" s="43"/>
      <c r="T473" s="43"/>
      <c r="U473" s="43" t="str">
        <f>IFERROR(__xludf.DUMMYFUNCTION("""COMPUTED_VALUE"""),"English Teacher")</f>
        <v>English Teacher</v>
      </c>
      <c r="V473" s="43" t="str">
        <f>IFERROR(__xludf.DUMMYFUNCTION("""COMPUTED_VALUE"""),"ISLT")</f>
        <v>ISLT</v>
      </c>
      <c r="W473" s="43" t="str">
        <f>IFERROR(__xludf.DUMMYFUNCTION("""COMPUTED_VALUE"""),"2023-09-08T16:47:54Z")</f>
        <v>2023-09-08T16:47:54Z</v>
      </c>
      <c r="X473" s="43"/>
      <c r="Y473" s="43"/>
      <c r="Z473" s="43"/>
    </row>
    <row r="474" hidden="1">
      <c r="A474" s="43" t="str">
        <f>IFERROR(__xludf.DUMMYFUNCTION("""COMPUTED_VALUE"""),"5260132_1299954")</f>
        <v>5260132_1299954</v>
      </c>
      <c r="B474" s="43" t="str">
        <f>IFERROR(__xludf.DUMMYFUNCTION("""COMPUTED_VALUE"""),"farah rahrah")</f>
        <v>farah rahrah</v>
      </c>
      <c r="C474" s="43" t="str">
        <f>IFERROR(__xludf.DUMMYFUNCTION("""COMPUTED_VALUE"""),"realized")</f>
        <v>realized</v>
      </c>
      <c r="D474" s="43" t="str">
        <f>IFERROR(__xludf.DUMMYFUNCTION("""COMPUTED_VALUE"""),"No")</f>
        <v>No</v>
      </c>
      <c r="E474" s="43" t="str">
        <f>IFERROR(__xludf.DUMMYFUNCTION("""COMPUTED_VALUE"""),"p_b081d8de871b9a9517f9dafc980710854b806101@inbound.aiesec.org")</f>
        <v>p_b081d8de871b9a9517f9dafc980710854b806101@inbound.aiesec.org</v>
      </c>
      <c r="F474" s="43">
        <f>IFERROR(__xludf.DUMMYFUNCTION("""COMPUTED_VALUE"""),7.7525642E8)</f>
        <v>775256420</v>
      </c>
      <c r="G474" s="43" t="str">
        <f>IFERROR(__xludf.DUMMYFUNCTION("""COMPUTED_VALUE"""),"Algeria")</f>
        <v>Algeria</v>
      </c>
      <c r="H474" s="43" t="str">
        <f>IFERROR(__xludf.DUMMYFUNCTION("""COMPUTED_VALUE"""),"Babez")</f>
        <v>Babez</v>
      </c>
      <c r="I474" s="43" t="str">
        <f>IFERROR(__xludf.DUMMYFUNCTION("""COMPUTED_VALUE"""),"Turkey")</f>
        <v>Turkey</v>
      </c>
      <c r="J474" s="43" t="str">
        <f>IFERROR(__xludf.DUMMYFUNCTION("""COMPUTED_VALUE"""),"GAZIANTEP")</f>
        <v>GAZIANTEP</v>
      </c>
      <c r="K474" s="44" t="str">
        <f>IFERROR(__xludf.DUMMYFUNCTION("""COMPUTED_VALUE"""),"https://expa.aiesec.org/opportunities/1299954")</f>
        <v>https://expa.aiesec.org/opportunities/1299954</v>
      </c>
      <c r="L474" s="43" t="str">
        <f>IFERROR(__xludf.DUMMYFUNCTION("""COMPUTED_VALUE"""),"GTe")</f>
        <v>GTe</v>
      </c>
      <c r="M474" s="43" t="str">
        <f>IFERROR(__xludf.DUMMYFUNCTION("""COMPUTED_VALUE"""),"long")</f>
        <v>long</v>
      </c>
      <c r="N474" s="45">
        <f>IFERROR(__xludf.DUMMYFUNCTION("""COMPUTED_VALUE"""),45218.0)</f>
        <v>45218</v>
      </c>
      <c r="O474" s="45">
        <f>IFERROR(__xludf.DUMMYFUNCTION("""COMPUTED_VALUE"""),45219.0)</f>
        <v>45219</v>
      </c>
      <c r="P474" s="45">
        <f>IFERROR(__xludf.DUMMYFUNCTION("""COMPUTED_VALUE"""),45584.0)</f>
        <v>45584</v>
      </c>
      <c r="Q474" s="45">
        <f>IFERROR(__xludf.DUMMYFUNCTION("""COMPUTED_VALUE"""),45230.0)</f>
        <v>45230</v>
      </c>
      <c r="R474" s="45">
        <f>IFERROR(__xludf.DUMMYFUNCTION("""COMPUTED_VALUE"""),45595.0)</f>
        <v>45595</v>
      </c>
      <c r="S474" s="43"/>
      <c r="T474" s="43"/>
      <c r="U474" s="43" t="str">
        <f>IFERROR(__xludf.DUMMYFUNCTION("""COMPUTED_VALUE"""),"English Teacher")</f>
        <v>English Teacher</v>
      </c>
      <c r="V474" s="43" t="str">
        <f>IFERROR(__xludf.DUMMYFUNCTION("""COMPUTED_VALUE"""),"AIESEC in Babez")</f>
        <v>AIESEC in Babez</v>
      </c>
      <c r="W474" s="43" t="str">
        <f>IFERROR(__xludf.DUMMYFUNCTION("""COMPUTED_VALUE"""),"2023-05-12T17:42:46Z")</f>
        <v>2023-05-12T17:42:46Z</v>
      </c>
      <c r="X474" s="43"/>
      <c r="Y474" s="43"/>
      <c r="Z474" s="43"/>
    </row>
    <row r="475" hidden="1">
      <c r="A475" s="43" t="str">
        <f>IFERROR(__xludf.DUMMYFUNCTION("""COMPUTED_VALUE"""),"5225985_1296470")</f>
        <v>5225985_1296470</v>
      </c>
      <c r="B475" s="43" t="str">
        <f>IFERROR(__xludf.DUMMYFUNCTION("""COMPUTED_VALUE"""),"Nesrine Abida")</f>
        <v>Nesrine Abida</v>
      </c>
      <c r="C475" s="43" t="str">
        <f>IFERROR(__xludf.DUMMYFUNCTION("""COMPUTED_VALUE"""),"realized")</f>
        <v>realized</v>
      </c>
      <c r="D475" s="43" t="str">
        <f>IFERROR(__xludf.DUMMYFUNCTION("""COMPUTED_VALUE"""),"No")</f>
        <v>No</v>
      </c>
      <c r="E475" s="43" t="str">
        <f>IFERROR(__xludf.DUMMYFUNCTION("""COMPUTED_VALUE"""),"p_0c421eed9cfab9322c4826c4c9780c16f9ba3247@inbound.aiesec.org")</f>
        <v>p_0c421eed9cfab9322c4826c4c9780c16f9ba3247@inbound.aiesec.org</v>
      </c>
      <c r="F475" s="43">
        <f>IFERROR(__xludf.DUMMYFUNCTION("""COMPUTED_VALUE"""),5.4592727E7)</f>
        <v>54592727</v>
      </c>
      <c r="G475" s="43" t="str">
        <f>IFERROR(__xludf.DUMMYFUNCTION("""COMPUTED_VALUE"""),"Tunisia")</f>
        <v>Tunisia</v>
      </c>
      <c r="H475" s="43" t="str">
        <f>IFERROR(__xludf.DUMMYFUNCTION("""COMPUTED_VALUE"""),"THYNA")</f>
        <v>THYNA</v>
      </c>
      <c r="I475" s="43" t="str">
        <f>IFERROR(__xludf.DUMMYFUNCTION("""COMPUTED_VALUE"""),"Turkey")</f>
        <v>Turkey</v>
      </c>
      <c r="J475" s="43" t="str">
        <f>IFERROR(__xludf.DUMMYFUNCTION("""COMPUTED_VALUE"""),"BURSA")</f>
        <v>BURSA</v>
      </c>
      <c r="K475" s="44" t="str">
        <f>IFERROR(__xludf.DUMMYFUNCTION("""COMPUTED_VALUE"""),"https://expa.aiesec.org/opportunities/1296470")</f>
        <v>https://expa.aiesec.org/opportunities/1296470</v>
      </c>
      <c r="L475" s="43" t="str">
        <f>IFERROR(__xludf.DUMMYFUNCTION("""COMPUTED_VALUE"""),"GTe")</f>
        <v>GTe</v>
      </c>
      <c r="M475" s="43" t="str">
        <f>IFERROR(__xludf.DUMMYFUNCTION("""COMPUTED_VALUE"""),"long")</f>
        <v>long</v>
      </c>
      <c r="N475" s="45">
        <f>IFERROR(__xludf.DUMMYFUNCTION("""COMPUTED_VALUE"""),45220.0)</f>
        <v>45220</v>
      </c>
      <c r="O475" s="45">
        <f>IFERROR(__xludf.DUMMYFUNCTION("""COMPUTED_VALUE"""),45230.0)</f>
        <v>45230</v>
      </c>
      <c r="P475" s="45">
        <f>IFERROR(__xludf.DUMMYFUNCTION("""COMPUTED_VALUE"""),45596.0)</f>
        <v>45596</v>
      </c>
      <c r="Q475" s="45">
        <f>IFERROR(__xludf.DUMMYFUNCTION("""COMPUTED_VALUE"""),45231.0)</f>
        <v>45231</v>
      </c>
      <c r="R475" s="45">
        <f>IFERROR(__xludf.DUMMYFUNCTION("""COMPUTED_VALUE"""),45597.0)</f>
        <v>45597</v>
      </c>
      <c r="S475" s="43"/>
      <c r="T475" s="43"/>
      <c r="U475" s="43" t="str">
        <f>IFERROR(__xludf.DUMMYFUNCTION("""COMPUTED_VALUE"""),"Englısh Teacher")</f>
        <v>Englısh Teacher</v>
      </c>
      <c r="V475" s="43" t="str">
        <f>IFERROR(__xludf.DUMMYFUNCTION("""COMPUTED_VALUE"""),"ESC SFAX")</f>
        <v>ESC SFAX</v>
      </c>
      <c r="W475" s="43" t="str">
        <f>IFERROR(__xludf.DUMMYFUNCTION("""COMPUTED_VALUE"""),"2023-03-24T15:34:34Z")</f>
        <v>2023-03-24T15:34:34Z</v>
      </c>
      <c r="X475" s="43"/>
      <c r="Y475" s="43"/>
      <c r="Z475" s="43"/>
    </row>
    <row r="476" hidden="1">
      <c r="A476" s="43" t="str">
        <f>IFERROR(__xludf.DUMMYFUNCTION("""COMPUTED_VALUE"""),"5359408_1283288")</f>
        <v>5359408_1283288</v>
      </c>
      <c r="B476" s="43" t="str">
        <f>IFERROR(__xludf.DUMMYFUNCTION("""COMPUTED_VALUE"""),"Marwa Aroua")</f>
        <v>Marwa Aroua</v>
      </c>
      <c r="C476" s="43" t="str">
        <f>IFERROR(__xludf.DUMMYFUNCTION("""COMPUTED_VALUE"""),"realized")</f>
        <v>realized</v>
      </c>
      <c r="D476" s="43" t="str">
        <f>IFERROR(__xludf.DUMMYFUNCTION("""COMPUTED_VALUE"""),"No")</f>
        <v>No</v>
      </c>
      <c r="E476" s="43" t="str">
        <f>IFERROR(__xludf.DUMMYFUNCTION("""COMPUTED_VALUE"""),"p_0c63dce5c13e7fa02893182c207042ac311c8b24@inbound.aiesec.org")</f>
        <v>p_0c63dce5c13e7fa02893182c207042ac311c8b24@inbound.aiesec.org</v>
      </c>
      <c r="F476" s="43">
        <f>IFERROR(__xludf.DUMMYFUNCTION("""COMPUTED_VALUE"""),5.1112706E7)</f>
        <v>51112706</v>
      </c>
      <c r="G476" s="43" t="str">
        <f>IFERROR(__xludf.DUMMYFUNCTION("""COMPUTED_VALUE"""),"Tunisia")</f>
        <v>Tunisia</v>
      </c>
      <c r="H476" s="43" t="str">
        <f>IFERROR(__xludf.DUMMYFUNCTION("""COMPUTED_VALUE"""),"MEDINA")</f>
        <v>MEDINA</v>
      </c>
      <c r="I476" s="43" t="str">
        <f>IFERROR(__xludf.DUMMYFUNCTION("""COMPUTED_VALUE"""),"Turkey")</f>
        <v>Turkey</v>
      </c>
      <c r="J476" s="43" t="str">
        <f>IFERROR(__xludf.DUMMYFUNCTION("""COMPUTED_VALUE"""),"ISTANBUL ASIA")</f>
        <v>ISTANBUL ASIA</v>
      </c>
      <c r="K476" s="44" t="str">
        <f>IFERROR(__xludf.DUMMYFUNCTION("""COMPUTED_VALUE"""),"https://expa.aiesec.org/opportunities/1283288")</f>
        <v>https://expa.aiesec.org/opportunities/1283288</v>
      </c>
      <c r="L476" s="43" t="str">
        <f>IFERROR(__xludf.DUMMYFUNCTION("""COMPUTED_VALUE"""),"GTe")</f>
        <v>GTe</v>
      </c>
      <c r="M476" s="43" t="str">
        <f>IFERROR(__xludf.DUMMYFUNCTION("""COMPUTED_VALUE"""),"long")</f>
        <v>long</v>
      </c>
      <c r="N476" s="45">
        <f>IFERROR(__xludf.DUMMYFUNCTION("""COMPUTED_VALUE"""),45224.0)</f>
        <v>45224</v>
      </c>
      <c r="O476" s="45">
        <f>IFERROR(__xludf.DUMMYFUNCTION("""COMPUTED_VALUE"""),45250.0)</f>
        <v>45250</v>
      </c>
      <c r="P476" s="45">
        <f>IFERROR(__xludf.DUMMYFUNCTION("""COMPUTED_VALUE"""),45616.0)</f>
        <v>45616</v>
      </c>
      <c r="Q476" s="45">
        <f>IFERROR(__xludf.DUMMYFUNCTION("""COMPUTED_VALUE"""),45253.0)</f>
        <v>45253</v>
      </c>
      <c r="R476" s="45">
        <f>IFERROR(__xludf.DUMMYFUNCTION("""COMPUTED_VALUE"""),45620.0)</f>
        <v>45620</v>
      </c>
      <c r="S476" s="43"/>
      <c r="T476" s="43" t="str">
        <f>IFERROR(__xludf.DUMMYFUNCTION("""COMPUTED_VALUE"""),"Other")</f>
        <v>Other</v>
      </c>
      <c r="U476" s="43" t="str">
        <f>IFERROR(__xludf.DUMMYFUNCTION("""COMPUTED_VALUE"""),"Native Speaker")</f>
        <v>Native Speaker</v>
      </c>
      <c r="V476" s="43" t="str">
        <f>IFERROR(__xludf.DUMMYFUNCTION("""COMPUTED_VALUE"""),"FLAH")</f>
        <v>FLAH</v>
      </c>
      <c r="W476" s="43" t="str">
        <f>IFERROR(__xludf.DUMMYFUNCTION("""COMPUTED_VALUE"""),"2023-10-24T19:31:36Z")</f>
        <v>2023-10-24T19:31:36Z</v>
      </c>
      <c r="X476" s="43"/>
      <c r="Y476" s="43"/>
      <c r="Z476" s="43"/>
    </row>
    <row r="477" hidden="1">
      <c r="A477" s="43" t="str">
        <f>IFERROR(__xludf.DUMMYFUNCTION("""COMPUTED_VALUE"""),"5361082_1300126")</f>
        <v>5361082_1300126</v>
      </c>
      <c r="B477" s="43" t="str">
        <f>IFERROR(__xludf.DUMMYFUNCTION("""COMPUTED_VALUE"""),"Khaoula Mejri")</f>
        <v>Khaoula Mejri</v>
      </c>
      <c r="C477" s="43" t="str">
        <f>IFERROR(__xludf.DUMMYFUNCTION("""COMPUTED_VALUE"""),"approved")</f>
        <v>approved</v>
      </c>
      <c r="D477" s="43" t="str">
        <f>IFERROR(__xludf.DUMMYFUNCTION("""COMPUTED_VALUE"""),"No")</f>
        <v>No</v>
      </c>
      <c r="E477" s="43" t="str">
        <f>IFERROR(__xludf.DUMMYFUNCTION("""COMPUTED_VALUE"""),"p_f3d7e5beb7c61826e02c9d4ba688be1740c5eefd@inbound.aiesec.org")</f>
        <v>p_f3d7e5beb7c61826e02c9d4ba688be1740c5eefd@inbound.aiesec.org</v>
      </c>
      <c r="F477" s="43">
        <f>IFERROR(__xludf.DUMMYFUNCTION("""COMPUTED_VALUE"""),5.3895035E7)</f>
        <v>53895035</v>
      </c>
      <c r="G477" s="43" t="str">
        <f>IFERROR(__xludf.DUMMYFUNCTION("""COMPUTED_VALUE"""),"Tunisia")</f>
        <v>Tunisia</v>
      </c>
      <c r="H477" s="43" t="str">
        <f>IFERROR(__xludf.DUMMYFUNCTION("""COMPUTED_VALUE"""),"UNIVERSITY")</f>
        <v>UNIVERSITY</v>
      </c>
      <c r="I477" s="43" t="str">
        <f>IFERROR(__xludf.DUMMYFUNCTION("""COMPUTED_VALUE"""),"Turkey")</f>
        <v>Turkey</v>
      </c>
      <c r="J477" s="43" t="str">
        <f>IFERROR(__xludf.DUMMYFUNCTION("""COMPUTED_VALUE"""),"BURSA")</f>
        <v>BURSA</v>
      </c>
      <c r="K477" s="44" t="str">
        <f>IFERROR(__xludf.DUMMYFUNCTION("""COMPUTED_VALUE"""),"https://expa.aiesec.org/opportunities/1300126")</f>
        <v>https://expa.aiesec.org/opportunities/1300126</v>
      </c>
      <c r="L477" s="43" t="str">
        <f>IFERROR(__xludf.DUMMYFUNCTION("""COMPUTED_VALUE"""),"GTe")</f>
        <v>GTe</v>
      </c>
      <c r="M477" s="43" t="str">
        <f>IFERROR(__xludf.DUMMYFUNCTION("""COMPUTED_VALUE"""),"long")</f>
        <v>long</v>
      </c>
      <c r="N477" s="45">
        <f>IFERROR(__xludf.DUMMYFUNCTION("""COMPUTED_VALUE"""),45225.0)</f>
        <v>45225</v>
      </c>
      <c r="O477" s="45">
        <f>IFERROR(__xludf.DUMMYFUNCTION("""COMPUTED_VALUE"""),45235.0)</f>
        <v>45235</v>
      </c>
      <c r="P477" s="45">
        <f>IFERROR(__xludf.DUMMYFUNCTION("""COMPUTED_VALUE"""),45601.0)</f>
        <v>45601</v>
      </c>
      <c r="Q477" s="45"/>
      <c r="R477" s="45"/>
      <c r="S477" s="43"/>
      <c r="T477" s="43"/>
      <c r="U477" s="43" t="str">
        <f>IFERROR(__xludf.DUMMYFUNCTION("""COMPUTED_VALUE"""),"English Teacher")</f>
        <v>English Teacher</v>
      </c>
      <c r="V477" s="43" t="str">
        <f>IFERROR(__xludf.DUMMYFUNCTION("""COMPUTED_VALUE"""),"ISSHT")</f>
        <v>ISSHT</v>
      </c>
      <c r="W477" s="43" t="str">
        <f>IFERROR(__xludf.DUMMYFUNCTION("""COMPUTED_VALUE"""),"2023-10-26T18:04:17Z")</f>
        <v>2023-10-26T18:04:17Z</v>
      </c>
      <c r="X477" s="43"/>
      <c r="Y477" s="43"/>
      <c r="Z477" s="43"/>
    </row>
    <row r="478" hidden="1">
      <c r="A478" s="43" t="str">
        <f>IFERROR(__xludf.DUMMYFUNCTION("""COMPUTED_VALUE"""),"5216612_1279525")</f>
        <v>5216612_1279525</v>
      </c>
      <c r="B478" s="43" t="str">
        <f>IFERROR(__xludf.DUMMYFUNCTION("""COMPUTED_VALUE"""),"Joana Fonseca de Almeida")</f>
        <v>Joana Fonseca de Almeida</v>
      </c>
      <c r="C478" s="43" t="str">
        <f>IFERROR(__xludf.DUMMYFUNCTION("""COMPUTED_VALUE"""),"realized")</f>
        <v>realized</v>
      </c>
      <c r="D478" s="43" t="str">
        <f>IFERROR(__xludf.DUMMYFUNCTION("""COMPUTED_VALUE"""),"No")</f>
        <v>No</v>
      </c>
      <c r="E478" s="43" t="str">
        <f>IFERROR(__xludf.DUMMYFUNCTION("""COMPUTED_VALUE"""),"p_158620dd3e5e62e5ffd2d764abec50be235c7363@inbound.aiesec.org")</f>
        <v>p_158620dd3e5e62e5ffd2d764abec50be235c7363@inbound.aiesec.org</v>
      </c>
      <c r="F478" s="43">
        <f>IFERROR(__xludf.DUMMYFUNCTION("""COMPUTED_VALUE"""),5.4999024252E10)</f>
        <v>54999024252</v>
      </c>
      <c r="G478" s="43" t="str">
        <f>IFERROR(__xludf.DUMMYFUNCTION("""COMPUTED_VALUE"""),"Brazil")</f>
        <v>Brazil</v>
      </c>
      <c r="H478" s="43" t="str">
        <f>IFERROR(__xludf.DUMMYFUNCTION("""COMPUTED_VALUE"""),"PORTO ALEGRE")</f>
        <v>PORTO ALEGRE</v>
      </c>
      <c r="I478" s="43" t="str">
        <f>IFERROR(__xludf.DUMMYFUNCTION("""COMPUTED_VALUE"""),"Turkey")</f>
        <v>Turkey</v>
      </c>
      <c r="J478" s="43" t="str">
        <f>IFERROR(__xludf.DUMMYFUNCTION("""COMPUTED_VALUE"""),"KOCAELI")</f>
        <v>KOCAELI</v>
      </c>
      <c r="K478" s="44" t="str">
        <f>IFERROR(__xludf.DUMMYFUNCTION("""COMPUTED_VALUE"""),"https://expa.aiesec.org/opportunities/1279525")</f>
        <v>https://expa.aiesec.org/opportunities/1279525</v>
      </c>
      <c r="L478" s="43" t="str">
        <f>IFERROR(__xludf.DUMMYFUNCTION("""COMPUTED_VALUE"""),"GTe")</f>
        <v>GTe</v>
      </c>
      <c r="M478" s="43" t="str">
        <f>IFERROR(__xludf.DUMMYFUNCTION("""COMPUTED_VALUE"""),"long")</f>
        <v>long</v>
      </c>
      <c r="N478" s="45">
        <f>IFERROR(__xludf.DUMMYFUNCTION("""COMPUTED_VALUE"""),45226.0)</f>
        <v>45226</v>
      </c>
      <c r="O478" s="45">
        <f>IFERROR(__xludf.DUMMYFUNCTION("""COMPUTED_VALUE"""),45236.0)</f>
        <v>45236</v>
      </c>
      <c r="P478" s="45">
        <f>IFERROR(__xludf.DUMMYFUNCTION("""COMPUTED_VALUE"""),45466.0)</f>
        <v>45466</v>
      </c>
      <c r="Q478" s="45">
        <f>IFERROR(__xludf.DUMMYFUNCTION("""COMPUTED_VALUE"""),45251.0)</f>
        <v>45251</v>
      </c>
      <c r="R478" s="45">
        <f>IFERROR(__xludf.DUMMYFUNCTION("""COMPUTED_VALUE"""),45481.0)</f>
        <v>45481</v>
      </c>
      <c r="S478" s="43"/>
      <c r="T478" s="43"/>
      <c r="U478" s="43" t="str">
        <f>IFERROR(__xludf.DUMMYFUNCTION("""COMPUTED_VALUE"""),"English Teacher in American Life")</f>
        <v>English Teacher in American Life</v>
      </c>
      <c r="V478" s="43" t="str">
        <f>IFERROR(__xludf.DUMMYFUNCTION("""COMPUTED_VALUE"""),"Porto Alegre")</f>
        <v>Porto Alegre</v>
      </c>
      <c r="W478" s="43" t="str">
        <f>IFERROR(__xludf.DUMMYFUNCTION("""COMPUTED_VALUE"""),"2023-03-15T02:04:44Z")</f>
        <v>2023-03-15T02:04:44Z</v>
      </c>
      <c r="X478" s="43"/>
      <c r="Y478" s="43"/>
      <c r="Z478" s="43"/>
    </row>
    <row r="479" hidden="1">
      <c r="A479" s="43" t="str">
        <f>IFERROR(__xludf.DUMMYFUNCTION("""COMPUTED_VALUE"""),"3520287_1298736")</f>
        <v>3520287_1298736</v>
      </c>
      <c r="B479" s="43" t="str">
        <f>IFERROR(__xludf.DUMMYFUNCTION("""COMPUTED_VALUE"""),"Asma Kelaiaia")</f>
        <v>Asma Kelaiaia</v>
      </c>
      <c r="C479" s="43" t="str">
        <f>IFERROR(__xludf.DUMMYFUNCTION("""COMPUTED_VALUE"""),"realized")</f>
        <v>realized</v>
      </c>
      <c r="D479" s="43" t="str">
        <f>IFERROR(__xludf.DUMMYFUNCTION("""COMPUTED_VALUE"""),"No")</f>
        <v>No</v>
      </c>
      <c r="E479" s="43" t="str">
        <f>IFERROR(__xludf.DUMMYFUNCTION("""COMPUTED_VALUE"""),"p_2784d3cbbb89dd1765a2aed6395ae2bae48d89c8@inbound.aiesec.org")</f>
        <v>p_2784d3cbbb89dd1765a2aed6395ae2bae48d89c8@inbound.aiesec.org</v>
      </c>
      <c r="F479" s="43">
        <f>IFERROR(__xludf.DUMMYFUNCTION("""COMPUTED_VALUE"""),6.58489071E8)</f>
        <v>658489071</v>
      </c>
      <c r="G479" s="43" t="str">
        <f>IFERROR(__xludf.DUMMYFUNCTION("""COMPUTED_VALUE"""),"Algeria")</f>
        <v>Algeria</v>
      </c>
      <c r="H479" s="43" t="str">
        <f>IFERROR(__xludf.DUMMYFUNCTION("""COMPUTED_VALUE"""),"Constantine")</f>
        <v>Constantine</v>
      </c>
      <c r="I479" s="43" t="str">
        <f>IFERROR(__xludf.DUMMYFUNCTION("""COMPUTED_VALUE"""),"Turkey")</f>
        <v>Turkey</v>
      </c>
      <c r="J479" s="43" t="str">
        <f>IFERROR(__xludf.DUMMYFUNCTION("""COMPUTED_VALUE"""),"ISTANBUL ASIA")</f>
        <v>ISTANBUL ASIA</v>
      </c>
      <c r="K479" s="44" t="str">
        <f>IFERROR(__xludf.DUMMYFUNCTION("""COMPUTED_VALUE"""),"https://expa.aiesec.org/opportunities/1298736")</f>
        <v>https://expa.aiesec.org/opportunities/1298736</v>
      </c>
      <c r="L479" s="43" t="str">
        <f>IFERROR(__xludf.DUMMYFUNCTION("""COMPUTED_VALUE"""),"GTe")</f>
        <v>GTe</v>
      </c>
      <c r="M479" s="43" t="str">
        <f>IFERROR(__xludf.DUMMYFUNCTION("""COMPUTED_VALUE"""),"long")</f>
        <v>long</v>
      </c>
      <c r="N479" s="45">
        <f>IFERROR(__xludf.DUMMYFUNCTION("""COMPUTED_VALUE"""),45227.0)</f>
        <v>45227</v>
      </c>
      <c r="O479" s="45">
        <f>IFERROR(__xludf.DUMMYFUNCTION("""COMPUTED_VALUE"""),45223.0)</f>
        <v>45223</v>
      </c>
      <c r="P479" s="45">
        <f>IFERROR(__xludf.DUMMYFUNCTION("""COMPUTED_VALUE"""),45588.0)</f>
        <v>45588</v>
      </c>
      <c r="Q479" s="45">
        <f>IFERROR(__xludf.DUMMYFUNCTION("""COMPUTED_VALUE"""),45275.0)</f>
        <v>45275</v>
      </c>
      <c r="R479" s="45">
        <f>IFERROR(__xludf.DUMMYFUNCTION("""COMPUTED_VALUE"""),45640.0)</f>
        <v>45640</v>
      </c>
      <c r="S479" s="43"/>
      <c r="T479" s="43"/>
      <c r="U479" s="43" t="str">
        <f>IFERROR(__xludf.DUMMYFUNCTION("""COMPUTED_VALUE"""),"Amerikan Kültür Kavacık")</f>
        <v>Amerikan Kültür Kavacık</v>
      </c>
      <c r="V479" s="43" t="str">
        <f>IFERROR(__xludf.DUMMYFUNCTION("""COMPUTED_VALUE"""),"AIESEC in Babez")</f>
        <v>AIESEC in Babez</v>
      </c>
      <c r="W479" s="43" t="str">
        <f>IFERROR(__xludf.DUMMYFUNCTION("""COMPUTED_VALUE"""),"2019-06-10T19:44:44Z")</f>
        <v>2019-06-10T19:44:44Z</v>
      </c>
      <c r="X479" s="43"/>
      <c r="Y479" s="43"/>
      <c r="Z479" s="43"/>
    </row>
    <row r="480" hidden="1">
      <c r="A480" s="43" t="str">
        <f>IFERROR(__xludf.DUMMYFUNCTION("""COMPUTED_VALUE"""),"5361321_1292545")</f>
        <v>5361321_1292545</v>
      </c>
      <c r="B480" s="43" t="str">
        <f>IFERROR(__xludf.DUMMYFUNCTION("""COMPUTED_VALUE"""),"Housna Mezerreg")</f>
        <v>Housna Mezerreg</v>
      </c>
      <c r="C480" s="43" t="str">
        <f>IFERROR(__xludf.DUMMYFUNCTION("""COMPUTED_VALUE"""),"approved")</f>
        <v>approved</v>
      </c>
      <c r="D480" s="43" t="str">
        <f>IFERROR(__xludf.DUMMYFUNCTION("""COMPUTED_VALUE"""),"No")</f>
        <v>No</v>
      </c>
      <c r="E480" s="43" t="str">
        <f>IFERROR(__xludf.DUMMYFUNCTION("""COMPUTED_VALUE"""),"p_9333bb57fcfd529b9c5fec75c5cb78f2cbc27abf@inbound.aiesec.org")</f>
        <v>p_9333bb57fcfd529b9c5fec75c5cb78f2cbc27abf@inbound.aiesec.org</v>
      </c>
      <c r="F480" s="43">
        <f>IFERROR(__xludf.DUMMYFUNCTION("""COMPUTED_VALUE"""),7.81742168E8)</f>
        <v>781742168</v>
      </c>
      <c r="G480" s="43" t="str">
        <f>IFERROR(__xludf.DUMMYFUNCTION("""COMPUTED_VALUE"""),"Algeria")</f>
        <v>Algeria</v>
      </c>
      <c r="H480" s="43" t="str">
        <f>IFERROR(__xludf.DUMMYFUNCTION("""COMPUTED_VALUE"""),"Bejaia")</f>
        <v>Bejaia</v>
      </c>
      <c r="I480" s="43" t="str">
        <f>IFERROR(__xludf.DUMMYFUNCTION("""COMPUTED_VALUE"""),"Turkey")</f>
        <v>Turkey</v>
      </c>
      <c r="J480" s="43" t="str">
        <f>IFERROR(__xludf.DUMMYFUNCTION("""COMPUTED_VALUE"""),"BURSA")</f>
        <v>BURSA</v>
      </c>
      <c r="K480" s="44" t="str">
        <f>IFERROR(__xludf.DUMMYFUNCTION("""COMPUTED_VALUE"""),"https://expa.aiesec.org/opportunities/1292545")</f>
        <v>https://expa.aiesec.org/opportunities/1292545</v>
      </c>
      <c r="L480" s="43" t="str">
        <f>IFERROR(__xludf.DUMMYFUNCTION("""COMPUTED_VALUE"""),"GTe")</f>
        <v>GTe</v>
      </c>
      <c r="M480" s="43" t="str">
        <f>IFERROR(__xludf.DUMMYFUNCTION("""COMPUTED_VALUE"""),"long")</f>
        <v>long</v>
      </c>
      <c r="N480" s="45">
        <f>IFERROR(__xludf.DUMMYFUNCTION("""COMPUTED_VALUE"""),45227.0)</f>
        <v>45227</v>
      </c>
      <c r="O480" s="45">
        <f>IFERROR(__xludf.DUMMYFUNCTION("""COMPUTED_VALUE"""),45275.0)</f>
        <v>45275</v>
      </c>
      <c r="P480" s="45">
        <f>IFERROR(__xludf.DUMMYFUNCTION("""COMPUTED_VALUE"""),45641.0)</f>
        <v>45641</v>
      </c>
      <c r="Q480" s="45"/>
      <c r="R480" s="45"/>
      <c r="S480" s="43"/>
      <c r="T480" s="43"/>
      <c r="U480" s="43" t="str">
        <f>IFERROR(__xludf.DUMMYFUNCTION("""COMPUTED_VALUE"""),"Language teacher")</f>
        <v>Language teacher</v>
      </c>
      <c r="V480" s="43" t="str">
        <f>IFERROR(__xludf.DUMMYFUNCTION("""COMPUTED_VALUE"""),"AIESEC in Bejaia")</f>
        <v>AIESEC in Bejaia</v>
      </c>
      <c r="W480" s="43" t="str">
        <f>IFERROR(__xludf.DUMMYFUNCTION("""COMPUTED_VALUE"""),"2023-10-27T08:47:46Z")</f>
        <v>2023-10-27T08:47:46Z</v>
      </c>
      <c r="X480" s="43"/>
      <c r="Y480" s="43"/>
      <c r="Z480" s="43"/>
    </row>
    <row r="481" hidden="1">
      <c r="A481" s="43" t="str">
        <f>IFERROR(__xludf.DUMMYFUNCTION("""COMPUTED_VALUE"""),"5363185_1299036")</f>
        <v>5363185_1299036</v>
      </c>
      <c r="B481" s="43" t="str">
        <f>IFERROR(__xludf.DUMMYFUNCTION("""COMPUTED_VALUE"""),"Zaer El Hamadi")</f>
        <v>Zaer El Hamadi</v>
      </c>
      <c r="C481" s="43" t="str">
        <f>IFERROR(__xludf.DUMMYFUNCTION("""COMPUTED_VALUE"""),"realized")</f>
        <v>realized</v>
      </c>
      <c r="D481" s="43" t="str">
        <f>IFERROR(__xludf.DUMMYFUNCTION("""COMPUTED_VALUE"""),"No")</f>
        <v>No</v>
      </c>
      <c r="E481" s="43" t="str">
        <f>IFERROR(__xludf.DUMMYFUNCTION("""COMPUTED_VALUE"""),"p_7632d43c5e1ba38300a5a02b6f90e4d447d64884@inbound.aiesec.org")</f>
        <v>p_7632d43c5e1ba38300a5a02b6f90e4d447d64884@inbound.aiesec.org</v>
      </c>
      <c r="F481" s="43">
        <f>IFERROR(__xludf.DUMMYFUNCTION("""COMPUTED_VALUE"""),5.5143054E7)</f>
        <v>55143054</v>
      </c>
      <c r="G481" s="43" t="str">
        <f>IFERROR(__xludf.DUMMYFUNCTION("""COMPUTED_VALUE"""),"Tunisia")</f>
        <v>Tunisia</v>
      </c>
      <c r="H481" s="43" t="str">
        <f>IFERROR(__xludf.DUMMYFUNCTION("""COMPUTED_VALUE"""),"Carthage")</f>
        <v>Carthage</v>
      </c>
      <c r="I481" s="43" t="str">
        <f>IFERROR(__xludf.DUMMYFUNCTION("""COMPUTED_VALUE"""),"Turkey")</f>
        <v>Turkey</v>
      </c>
      <c r="J481" s="43" t="str">
        <f>IFERROR(__xludf.DUMMYFUNCTION("""COMPUTED_VALUE"""),"GAZIANTEP")</f>
        <v>GAZIANTEP</v>
      </c>
      <c r="K481" s="44" t="str">
        <f>IFERROR(__xludf.DUMMYFUNCTION("""COMPUTED_VALUE"""),"https://expa.aiesec.org/opportunities/1299036")</f>
        <v>https://expa.aiesec.org/opportunities/1299036</v>
      </c>
      <c r="L481" s="43" t="str">
        <f>IFERROR(__xludf.DUMMYFUNCTION("""COMPUTED_VALUE"""),"GTe")</f>
        <v>GTe</v>
      </c>
      <c r="M481" s="43" t="str">
        <f>IFERROR(__xludf.DUMMYFUNCTION("""COMPUTED_VALUE"""),"long")</f>
        <v>long</v>
      </c>
      <c r="N481" s="45">
        <f>IFERROR(__xludf.DUMMYFUNCTION("""COMPUTED_VALUE"""),45229.0)</f>
        <v>45229</v>
      </c>
      <c r="O481" s="45">
        <f>IFERROR(__xludf.DUMMYFUNCTION("""COMPUTED_VALUE"""),45233.0)</f>
        <v>45233</v>
      </c>
      <c r="P481" s="45">
        <f>IFERROR(__xludf.DUMMYFUNCTION("""COMPUTED_VALUE"""),45598.0)</f>
        <v>45598</v>
      </c>
      <c r="Q481" s="45">
        <f>IFERROR(__xludf.DUMMYFUNCTION("""COMPUTED_VALUE"""),45231.0)</f>
        <v>45231</v>
      </c>
      <c r="R481" s="45">
        <f>IFERROR(__xludf.DUMMYFUNCTION("""COMPUTED_VALUE"""),45598.0)</f>
        <v>45598</v>
      </c>
      <c r="S481" s="43"/>
      <c r="T481" s="43"/>
      <c r="U481" s="43" t="str">
        <f>IFERROR(__xludf.DUMMYFUNCTION("""COMPUTED_VALUE"""),"English Teacher")</f>
        <v>English Teacher</v>
      </c>
      <c r="V481" s="43" t="str">
        <f>IFERROR(__xludf.DUMMYFUNCTION("""COMPUTED_VALUE"""),"ISLT")</f>
        <v>ISLT</v>
      </c>
      <c r="W481" s="43" t="str">
        <f>IFERROR(__xludf.DUMMYFUNCTION("""COMPUTED_VALUE"""),"2023-10-30T06:36:43Z")</f>
        <v>2023-10-30T06:36:43Z</v>
      </c>
      <c r="X481" s="43"/>
      <c r="Y481" s="43"/>
      <c r="Z481" s="43"/>
    </row>
    <row r="482" hidden="1">
      <c r="A482" s="43" t="str">
        <f>IFERROR(__xludf.DUMMYFUNCTION("""COMPUTED_VALUE"""),"5363327_1293543")</f>
        <v>5363327_1293543</v>
      </c>
      <c r="B482" s="43" t="str">
        <f>IFERROR(__xludf.DUMMYFUNCTION("""COMPUTED_VALUE"""),"Kaoula SI AHMED")</f>
        <v>Kaoula SI AHMED</v>
      </c>
      <c r="C482" s="43" t="str">
        <f>IFERROR(__xludf.DUMMYFUNCTION("""COMPUTED_VALUE"""),"realized")</f>
        <v>realized</v>
      </c>
      <c r="D482" s="43" t="str">
        <f>IFERROR(__xludf.DUMMYFUNCTION("""COMPUTED_VALUE"""),"No")</f>
        <v>No</v>
      </c>
      <c r="E482" s="43" t="str">
        <f>IFERROR(__xludf.DUMMYFUNCTION("""COMPUTED_VALUE"""),"p_1f9b16a4567ff4ec0de84c9b3a51d57a73e2c45c@inbound.aiesec.org")</f>
        <v>p_1f9b16a4567ff4ec0de84c9b3a51d57a73e2c45c@inbound.aiesec.org</v>
      </c>
      <c r="F482" s="43">
        <f>IFERROR(__xludf.DUMMYFUNCTION("""COMPUTED_VALUE"""),6.97249093E8)</f>
        <v>697249093</v>
      </c>
      <c r="G482" s="43" t="str">
        <f>IFERROR(__xludf.DUMMYFUNCTION("""COMPUTED_VALUE"""),"Algeria")</f>
        <v>Algeria</v>
      </c>
      <c r="H482" s="43" t="str">
        <f>IFERROR(__xludf.DUMMYFUNCTION("""COMPUTED_VALUE"""),"Tlemcen")</f>
        <v>Tlemcen</v>
      </c>
      <c r="I482" s="43" t="str">
        <f>IFERROR(__xludf.DUMMYFUNCTION("""COMPUTED_VALUE"""),"Turkey")</f>
        <v>Turkey</v>
      </c>
      <c r="J482" s="43" t="str">
        <f>IFERROR(__xludf.DUMMYFUNCTION("""COMPUTED_VALUE"""),"ANKARA")</f>
        <v>ANKARA</v>
      </c>
      <c r="K482" s="44" t="str">
        <f>IFERROR(__xludf.DUMMYFUNCTION("""COMPUTED_VALUE"""),"https://expa.aiesec.org/opportunities/1293543")</f>
        <v>https://expa.aiesec.org/opportunities/1293543</v>
      </c>
      <c r="L482" s="43" t="str">
        <f>IFERROR(__xludf.DUMMYFUNCTION("""COMPUTED_VALUE"""),"GTe")</f>
        <v>GTe</v>
      </c>
      <c r="M482" s="43" t="str">
        <f>IFERROR(__xludf.DUMMYFUNCTION("""COMPUTED_VALUE"""),"long")</f>
        <v>long</v>
      </c>
      <c r="N482" s="45">
        <f>IFERROR(__xludf.DUMMYFUNCTION("""COMPUTED_VALUE"""),45229.0)</f>
        <v>45229</v>
      </c>
      <c r="O482" s="45">
        <f>IFERROR(__xludf.DUMMYFUNCTION("""COMPUTED_VALUE"""),45252.0)</f>
        <v>45252</v>
      </c>
      <c r="P482" s="45">
        <f>IFERROR(__xludf.DUMMYFUNCTION("""COMPUTED_VALUE"""),45616.0)</f>
        <v>45616</v>
      </c>
      <c r="Q482" s="45">
        <f>IFERROR(__xludf.DUMMYFUNCTION("""COMPUTED_VALUE"""),45256.0)</f>
        <v>45256</v>
      </c>
      <c r="R482" s="45">
        <f>IFERROR(__xludf.DUMMYFUNCTION("""COMPUTED_VALUE"""),45620.0)</f>
        <v>45620</v>
      </c>
      <c r="S482" s="43"/>
      <c r="T482" s="43"/>
      <c r="U482" s="43" t="str">
        <f>IFERROR(__xludf.DUMMYFUNCTION("""COMPUTED_VALUE"""),"English Teacher")</f>
        <v>English Teacher</v>
      </c>
      <c r="V482" s="43" t="str">
        <f>IFERROR(__xludf.DUMMYFUNCTION("""COMPUTED_VALUE"""),"AIESEC in Tlemcen")</f>
        <v>AIESEC in Tlemcen</v>
      </c>
      <c r="W482" s="43" t="str">
        <f>IFERROR(__xludf.DUMMYFUNCTION("""COMPUTED_VALUE"""),"2023-10-30T11:32:34Z")</f>
        <v>2023-10-30T11:32:34Z</v>
      </c>
      <c r="X482" s="43"/>
      <c r="Y482" s="43"/>
      <c r="Z482" s="43"/>
    </row>
    <row r="483" hidden="1">
      <c r="A483" s="43" t="str">
        <f>IFERROR(__xludf.DUMMYFUNCTION("""COMPUTED_VALUE"""),"5355709_1286839")</f>
        <v>5355709_1286839</v>
      </c>
      <c r="B483" s="43" t="str">
        <f>IFERROR(__xludf.DUMMYFUNCTION("""COMPUTED_VALUE"""),"Chayma Ben alia")</f>
        <v>Chayma Ben alia</v>
      </c>
      <c r="C483" s="43" t="str">
        <f>IFERROR(__xludf.DUMMYFUNCTION("""COMPUTED_VALUE"""),"realized")</f>
        <v>realized</v>
      </c>
      <c r="D483" s="43" t="str">
        <f>IFERROR(__xludf.DUMMYFUNCTION("""COMPUTED_VALUE"""),"No")</f>
        <v>No</v>
      </c>
      <c r="E483" s="43" t="str">
        <f>IFERROR(__xludf.DUMMYFUNCTION("""COMPUTED_VALUE"""),"p_da7f8062a12b1e4287147e4c2611b4e2bcdec487@inbound.aiesec.org")</f>
        <v>p_da7f8062a12b1e4287147e4c2611b4e2bcdec487@inbound.aiesec.org</v>
      </c>
      <c r="F483" s="43">
        <f>IFERROR(__xludf.DUMMYFUNCTION("""COMPUTED_VALUE"""),5.8229937E7)</f>
        <v>58229937</v>
      </c>
      <c r="G483" s="43" t="str">
        <f>IFERROR(__xludf.DUMMYFUNCTION("""COMPUTED_VALUE"""),"Tunisia")</f>
        <v>Tunisia</v>
      </c>
      <c r="H483" s="43" t="str">
        <f>IFERROR(__xludf.DUMMYFUNCTION("""COMPUTED_VALUE"""),"UNIVERSITY")</f>
        <v>UNIVERSITY</v>
      </c>
      <c r="I483" s="43" t="str">
        <f>IFERROR(__xludf.DUMMYFUNCTION("""COMPUTED_VALUE"""),"Turkey")</f>
        <v>Turkey</v>
      </c>
      <c r="J483" s="43" t="str">
        <f>IFERROR(__xludf.DUMMYFUNCTION("""COMPUTED_VALUE"""),"ISTANBUL WEST")</f>
        <v>ISTANBUL WEST</v>
      </c>
      <c r="K483" s="44" t="str">
        <f>IFERROR(__xludf.DUMMYFUNCTION("""COMPUTED_VALUE"""),"https://expa.aiesec.org/opportunities/1286839")</f>
        <v>https://expa.aiesec.org/opportunities/1286839</v>
      </c>
      <c r="L483" s="43" t="str">
        <f>IFERROR(__xludf.DUMMYFUNCTION("""COMPUTED_VALUE"""),"GTe")</f>
        <v>GTe</v>
      </c>
      <c r="M483" s="43" t="str">
        <f>IFERROR(__xludf.DUMMYFUNCTION("""COMPUTED_VALUE"""),"long")</f>
        <v>long</v>
      </c>
      <c r="N483" s="45">
        <f>IFERROR(__xludf.DUMMYFUNCTION("""COMPUTED_VALUE"""),45232.0)</f>
        <v>45232</v>
      </c>
      <c r="O483" s="45">
        <f>IFERROR(__xludf.DUMMYFUNCTION("""COMPUTED_VALUE"""),45230.0)</f>
        <v>45230</v>
      </c>
      <c r="P483" s="45">
        <f>IFERROR(__xludf.DUMMYFUNCTION("""COMPUTED_VALUE"""),45594.0)</f>
        <v>45594</v>
      </c>
      <c r="Q483" s="45">
        <f>IFERROR(__xludf.DUMMYFUNCTION("""COMPUTED_VALUE"""),45243.0)</f>
        <v>45243</v>
      </c>
      <c r="R483" s="45">
        <f>IFERROR(__xludf.DUMMYFUNCTION("""COMPUTED_VALUE"""),45605.0)</f>
        <v>45605</v>
      </c>
      <c r="S483" s="43"/>
      <c r="T483" s="43" t="str">
        <f>IFERROR(__xludf.DUMMYFUNCTION("""COMPUTED_VALUE"""),"Business Development")</f>
        <v>Business Development</v>
      </c>
      <c r="U483" s="43" t="str">
        <f>IFERROR(__xludf.DUMMYFUNCTION("""COMPUTED_VALUE"""),"Pre-School Teacher at Istanbul AIKA/Florya ")</f>
        <v>Pre-School Teacher at Istanbul AIKA/Florya </v>
      </c>
      <c r="V483" s="43" t="str">
        <f>IFERROR(__xludf.DUMMYFUNCTION("""COMPUTED_VALUE"""),"IMSET Tunis")</f>
        <v>IMSET Tunis</v>
      </c>
      <c r="W483" s="43" t="str">
        <f>IFERROR(__xludf.DUMMYFUNCTION("""COMPUTED_VALUE"""),"2023-10-19T17:21:52Z")</f>
        <v>2023-10-19T17:21:52Z</v>
      </c>
      <c r="X483" s="43"/>
      <c r="Y483" s="43"/>
      <c r="Z483" s="43"/>
    </row>
    <row r="484" hidden="1">
      <c r="A484" s="43" t="str">
        <f>IFERROR(__xludf.DUMMYFUNCTION("""COMPUTED_VALUE"""),"5329985_1298770")</f>
        <v>5329985_1298770</v>
      </c>
      <c r="B484" s="43" t="str">
        <f>IFERROR(__xludf.DUMMYFUNCTION("""COMPUTED_VALUE"""),"Amira Nouira")</f>
        <v>Amira Nouira</v>
      </c>
      <c r="C484" s="43" t="str">
        <f>IFERROR(__xludf.DUMMYFUNCTION("""COMPUTED_VALUE"""),"realized")</f>
        <v>realized</v>
      </c>
      <c r="D484" s="43" t="str">
        <f>IFERROR(__xludf.DUMMYFUNCTION("""COMPUTED_VALUE"""),"No")</f>
        <v>No</v>
      </c>
      <c r="E484" s="43" t="str">
        <f>IFERROR(__xludf.DUMMYFUNCTION("""COMPUTED_VALUE"""),"p_5377d876b24df6fb434d157819cc67e47bda899f@inbound.aiesec.org")</f>
        <v>p_5377d876b24df6fb434d157819cc67e47bda899f@inbound.aiesec.org</v>
      </c>
      <c r="F484" s="43"/>
      <c r="G484" s="43" t="str">
        <f>IFERROR(__xludf.DUMMYFUNCTION("""COMPUTED_VALUE"""),"Tunisia")</f>
        <v>Tunisia</v>
      </c>
      <c r="H484" s="43" t="str">
        <f>IFERROR(__xludf.DUMMYFUNCTION("""COMPUTED_VALUE"""),"RUSPINA")</f>
        <v>RUSPINA</v>
      </c>
      <c r="I484" s="43" t="str">
        <f>IFERROR(__xludf.DUMMYFUNCTION("""COMPUTED_VALUE"""),"Turkey")</f>
        <v>Turkey</v>
      </c>
      <c r="J484" s="43" t="str">
        <f>IFERROR(__xludf.DUMMYFUNCTION("""COMPUTED_VALUE"""),"ISTANBUL ASIA")</f>
        <v>ISTANBUL ASIA</v>
      </c>
      <c r="K484" s="44" t="str">
        <f>IFERROR(__xludf.DUMMYFUNCTION("""COMPUTED_VALUE"""),"https://expa.aiesec.org/opportunities/1298770")</f>
        <v>https://expa.aiesec.org/opportunities/1298770</v>
      </c>
      <c r="L484" s="43" t="str">
        <f>IFERROR(__xludf.DUMMYFUNCTION("""COMPUTED_VALUE"""),"GTe")</f>
        <v>GTe</v>
      </c>
      <c r="M484" s="43" t="str">
        <f>IFERROR(__xludf.DUMMYFUNCTION("""COMPUTED_VALUE"""),"long")</f>
        <v>long</v>
      </c>
      <c r="N484" s="45">
        <f>IFERROR(__xludf.DUMMYFUNCTION("""COMPUTED_VALUE"""),45233.0)</f>
        <v>45233</v>
      </c>
      <c r="O484" s="45">
        <f>IFERROR(__xludf.DUMMYFUNCTION("""COMPUTED_VALUE"""),45234.0)</f>
        <v>45234</v>
      </c>
      <c r="P484" s="45">
        <f>IFERROR(__xludf.DUMMYFUNCTION("""COMPUTED_VALUE"""),45508.0)</f>
        <v>45508</v>
      </c>
      <c r="Q484" s="45">
        <f>IFERROR(__xludf.DUMMYFUNCTION("""COMPUTED_VALUE"""),45238.0)</f>
        <v>45238</v>
      </c>
      <c r="R484" s="45">
        <f>IFERROR(__xludf.DUMMYFUNCTION("""COMPUTED_VALUE"""),45512.0)</f>
        <v>45512</v>
      </c>
      <c r="S484" s="43"/>
      <c r="T484" s="43"/>
      <c r="U484" s="43" t="str">
        <f>IFERROR(__xludf.DUMMYFUNCTION("""COMPUTED_VALUE"""),"Amerikan Kültür Soyak Anaokulu")</f>
        <v>Amerikan Kültür Soyak Anaokulu</v>
      </c>
      <c r="V484" s="43" t="str">
        <f>IFERROR(__xludf.DUMMYFUNCTION("""COMPUTED_VALUE"""),"-")</f>
        <v>-</v>
      </c>
      <c r="W484" s="43" t="str">
        <f>IFERROR(__xludf.DUMMYFUNCTION("""COMPUTED_VALUE"""),"2023-09-22T12:52:07Z")</f>
        <v>2023-09-22T12:52:07Z</v>
      </c>
      <c r="X484" s="43"/>
      <c r="Y484" s="43"/>
      <c r="Z484" s="43"/>
    </row>
    <row r="485" hidden="1">
      <c r="A485" s="43" t="str">
        <f>IFERROR(__xludf.DUMMYFUNCTION("""COMPUTED_VALUE"""),"5038966_1277661")</f>
        <v>5038966_1277661</v>
      </c>
      <c r="B485" s="43" t="str">
        <f>IFERROR(__xludf.DUMMYFUNCTION("""COMPUTED_VALUE"""),"Mohammed Wahibi")</f>
        <v>Mohammed Wahibi</v>
      </c>
      <c r="C485" s="43" t="str">
        <f>IFERROR(__xludf.DUMMYFUNCTION("""COMPUTED_VALUE"""),"realized")</f>
        <v>realized</v>
      </c>
      <c r="D485" s="43" t="str">
        <f>IFERROR(__xludf.DUMMYFUNCTION("""COMPUTED_VALUE"""),"No")</f>
        <v>No</v>
      </c>
      <c r="E485" s="43" t="str">
        <f>IFERROR(__xludf.DUMMYFUNCTION("""COMPUTED_VALUE"""),"p_22231d629cd3c8589b9240fc1fab62da3357a29f@inbound.aiesec.org")</f>
        <v>p_22231d629cd3c8589b9240fc1fab62da3357a29f@inbound.aiesec.org</v>
      </c>
      <c r="F485" s="43">
        <f>IFERROR(__xludf.DUMMYFUNCTION("""COMPUTED_VALUE"""),6.76910134E8)</f>
        <v>676910134</v>
      </c>
      <c r="G485" s="43" t="str">
        <f>IFERROR(__xludf.DUMMYFUNCTION("""COMPUTED_VALUE"""),"Morocco")</f>
        <v>Morocco</v>
      </c>
      <c r="H485" s="43" t="str">
        <f>IFERROR(__xludf.DUMMYFUNCTION("""COMPUTED_VALUE"""),"Mohammedia")</f>
        <v>Mohammedia</v>
      </c>
      <c r="I485" s="43" t="str">
        <f>IFERROR(__xludf.DUMMYFUNCTION("""COMPUTED_VALUE"""),"Turkey")</f>
        <v>Turkey</v>
      </c>
      <c r="J485" s="43" t="str">
        <f>IFERROR(__xludf.DUMMYFUNCTION("""COMPUTED_VALUE"""),"KOCAELI")</f>
        <v>KOCAELI</v>
      </c>
      <c r="K485" s="44" t="str">
        <f>IFERROR(__xludf.DUMMYFUNCTION("""COMPUTED_VALUE"""),"https://expa.aiesec.org/opportunities/1277661")</f>
        <v>https://expa.aiesec.org/opportunities/1277661</v>
      </c>
      <c r="L485" s="43" t="str">
        <f>IFERROR(__xludf.DUMMYFUNCTION("""COMPUTED_VALUE"""),"GTe")</f>
        <v>GTe</v>
      </c>
      <c r="M485" s="43" t="str">
        <f>IFERROR(__xludf.DUMMYFUNCTION("""COMPUTED_VALUE"""),"long")</f>
        <v>long</v>
      </c>
      <c r="N485" s="45">
        <f>IFERROR(__xludf.DUMMYFUNCTION("""COMPUTED_VALUE"""),45234.0)</f>
        <v>45234</v>
      </c>
      <c r="O485" s="45">
        <f>IFERROR(__xludf.DUMMYFUNCTION("""COMPUTED_VALUE"""),45236.0)</f>
        <v>45236</v>
      </c>
      <c r="P485" s="45">
        <f>IFERROR(__xludf.DUMMYFUNCTION("""COMPUTED_VALUE"""),45464.0)</f>
        <v>45464</v>
      </c>
      <c r="Q485" s="45">
        <f>IFERROR(__xludf.DUMMYFUNCTION("""COMPUTED_VALUE"""),45259.0)</f>
        <v>45259</v>
      </c>
      <c r="R485" s="45">
        <f>IFERROR(__xludf.DUMMYFUNCTION("""COMPUTED_VALUE"""),45487.0)</f>
        <v>45487</v>
      </c>
      <c r="S485" s="43"/>
      <c r="T485" s="43"/>
      <c r="U485" s="43" t="str">
        <f>IFERROR(__xludf.DUMMYFUNCTION("""COMPUTED_VALUE"""),"English Teacher in Körfez Uğur Okulları")</f>
        <v>English Teacher in Körfez Uğur Okulları</v>
      </c>
      <c r="V485" s="43" t="str">
        <f>IFERROR(__xludf.DUMMYFUNCTION("""COMPUTED_VALUE"""),"FLSH Mohammadia")</f>
        <v>FLSH Mohammadia</v>
      </c>
      <c r="W485" s="43" t="str">
        <f>IFERROR(__xludf.DUMMYFUNCTION("""COMPUTED_VALUE"""),"2022-04-14T12:08:33Z")</f>
        <v>2022-04-14T12:08:33Z</v>
      </c>
      <c r="X485" s="43"/>
      <c r="Y485" s="43"/>
      <c r="Z485" s="43"/>
    </row>
    <row r="486" hidden="1">
      <c r="A486" s="43" t="str">
        <f>IFERROR(__xludf.DUMMYFUNCTION("""COMPUTED_VALUE"""),"5331158_1259741")</f>
        <v>5331158_1259741</v>
      </c>
      <c r="B486" s="43" t="str">
        <f>IFERROR(__xludf.DUMMYFUNCTION("""COMPUTED_VALUE"""),"Mariam Mostafa")</f>
        <v>Mariam Mostafa</v>
      </c>
      <c r="C486" s="43" t="str">
        <f>IFERROR(__xludf.DUMMYFUNCTION("""COMPUTED_VALUE"""),"approved")</f>
        <v>approved</v>
      </c>
      <c r="D486" s="43" t="str">
        <f>IFERROR(__xludf.DUMMYFUNCTION("""COMPUTED_VALUE"""),"No")</f>
        <v>No</v>
      </c>
      <c r="E486" s="43" t="str">
        <f>IFERROR(__xludf.DUMMYFUNCTION("""COMPUTED_VALUE"""),"p_7b944bd372ed0fc4911632a753b8b390af7bdd93@inbound.aiesec.org")</f>
        <v>p_7b944bd372ed0fc4911632a753b8b390af7bdd93@inbound.aiesec.org</v>
      </c>
      <c r="F486" s="43">
        <f>IFERROR(__xludf.DUMMYFUNCTION("""COMPUTED_VALUE"""),1.067873178E9)</f>
        <v>1067873178</v>
      </c>
      <c r="G486" s="43" t="str">
        <f>IFERROR(__xludf.DUMMYFUNCTION("""COMPUTED_VALUE"""),"Egypt")</f>
        <v>Egypt</v>
      </c>
      <c r="H486" s="43" t="str">
        <f>IFERROR(__xludf.DUMMYFUNCTION("""COMPUTED_VALUE"""),"Mansoura")</f>
        <v>Mansoura</v>
      </c>
      <c r="I486" s="43" t="str">
        <f>IFERROR(__xludf.DUMMYFUNCTION("""COMPUTED_VALUE"""),"Turkey")</f>
        <v>Turkey</v>
      </c>
      <c r="J486" s="43" t="str">
        <f>IFERROR(__xludf.DUMMYFUNCTION("""COMPUTED_VALUE"""),"KONYA")</f>
        <v>KONYA</v>
      </c>
      <c r="K486" s="44" t="str">
        <f>IFERROR(__xludf.DUMMYFUNCTION("""COMPUTED_VALUE"""),"https://expa.aiesec.org/opportunities/1259741")</f>
        <v>https://expa.aiesec.org/opportunities/1259741</v>
      </c>
      <c r="L486" s="43" t="str">
        <f>IFERROR(__xludf.DUMMYFUNCTION("""COMPUTED_VALUE"""),"GTe")</f>
        <v>GTe</v>
      </c>
      <c r="M486" s="43" t="str">
        <f>IFERROR(__xludf.DUMMYFUNCTION("""COMPUTED_VALUE"""),"long")</f>
        <v>long</v>
      </c>
      <c r="N486" s="45">
        <f>IFERROR(__xludf.DUMMYFUNCTION("""COMPUTED_VALUE"""),45236.0)</f>
        <v>45236</v>
      </c>
      <c r="O486" s="45">
        <f>IFERROR(__xludf.DUMMYFUNCTION("""COMPUTED_VALUE"""),45261.0)</f>
        <v>45261</v>
      </c>
      <c r="P486" s="45">
        <f>IFERROR(__xludf.DUMMYFUNCTION("""COMPUTED_VALUE"""),45626.0)</f>
        <v>45626</v>
      </c>
      <c r="Q486" s="45"/>
      <c r="R486" s="45"/>
      <c r="S486" s="43"/>
      <c r="T486" s="43"/>
      <c r="U486" s="43" t="str">
        <f>IFERROR(__xludf.DUMMYFUNCTION("""COMPUTED_VALUE"""),"English Teacher")</f>
        <v>English Teacher</v>
      </c>
      <c r="V486" s="43" t="str">
        <f>IFERROR(__xludf.DUMMYFUNCTION("""COMPUTED_VALUE"""),"Mansoura")</f>
        <v>Mansoura</v>
      </c>
      <c r="W486" s="43" t="str">
        <f>IFERROR(__xludf.DUMMYFUNCTION("""COMPUTED_VALUE"""),"2023-09-24T10:24:18Z")</f>
        <v>2023-09-24T10:24:18Z</v>
      </c>
      <c r="X486" s="43"/>
      <c r="Y486" s="43"/>
      <c r="Z486" s="43"/>
    </row>
    <row r="487" hidden="1">
      <c r="A487" s="43" t="str">
        <f>IFERROR(__xludf.DUMMYFUNCTION("""COMPUTED_VALUE"""),"5367795_1291989")</f>
        <v>5367795_1291989</v>
      </c>
      <c r="B487" s="43" t="str">
        <f>IFERROR(__xludf.DUMMYFUNCTION("""COMPUTED_VALUE"""),"Hedil Ben Salem")</f>
        <v>Hedil Ben Salem</v>
      </c>
      <c r="C487" s="43" t="str">
        <f>IFERROR(__xludf.DUMMYFUNCTION("""COMPUTED_VALUE"""),"realized")</f>
        <v>realized</v>
      </c>
      <c r="D487" s="43" t="str">
        <f>IFERROR(__xludf.DUMMYFUNCTION("""COMPUTED_VALUE"""),"No")</f>
        <v>No</v>
      </c>
      <c r="E487" s="43" t="str">
        <f>IFERROR(__xludf.DUMMYFUNCTION("""COMPUTED_VALUE"""),"p_e73a1f5579102b48aa04ca185e3363ecc91dec25@inbound.aiesec.org")</f>
        <v>p_e73a1f5579102b48aa04ca185e3363ecc91dec25@inbound.aiesec.org</v>
      </c>
      <c r="F487" s="43">
        <f>IFERROR(__xludf.DUMMYFUNCTION("""COMPUTED_VALUE"""),5.278496E7)</f>
        <v>52784960</v>
      </c>
      <c r="G487" s="43" t="str">
        <f>IFERROR(__xludf.DUMMYFUNCTION("""COMPUTED_VALUE"""),"Tunisia")</f>
        <v>Tunisia</v>
      </c>
      <c r="H487" s="43" t="str">
        <f>IFERROR(__xludf.DUMMYFUNCTION("""COMPUTED_VALUE"""),"RUSPINA")</f>
        <v>RUSPINA</v>
      </c>
      <c r="I487" s="43" t="str">
        <f>IFERROR(__xludf.DUMMYFUNCTION("""COMPUTED_VALUE"""),"Turkey")</f>
        <v>Turkey</v>
      </c>
      <c r="J487" s="43" t="str">
        <f>IFERROR(__xludf.DUMMYFUNCTION("""COMPUTED_VALUE"""),"GAZIANTEP")</f>
        <v>GAZIANTEP</v>
      </c>
      <c r="K487" s="44" t="str">
        <f>IFERROR(__xludf.DUMMYFUNCTION("""COMPUTED_VALUE"""),"https://expa.aiesec.org/opportunities/1291989")</f>
        <v>https://expa.aiesec.org/opportunities/1291989</v>
      </c>
      <c r="L487" s="43" t="str">
        <f>IFERROR(__xludf.DUMMYFUNCTION("""COMPUTED_VALUE"""),"GTe")</f>
        <v>GTe</v>
      </c>
      <c r="M487" s="43" t="str">
        <f>IFERROR(__xludf.DUMMYFUNCTION("""COMPUTED_VALUE"""),"long")</f>
        <v>long</v>
      </c>
      <c r="N487" s="45">
        <f>IFERROR(__xludf.DUMMYFUNCTION("""COMPUTED_VALUE"""),45237.0)</f>
        <v>45237</v>
      </c>
      <c r="O487" s="45">
        <f>IFERROR(__xludf.DUMMYFUNCTION("""COMPUTED_VALUE"""),45241.0)</f>
        <v>45241</v>
      </c>
      <c r="P487" s="45">
        <f>IFERROR(__xludf.DUMMYFUNCTION("""COMPUTED_VALUE"""),45458.0)</f>
        <v>45458</v>
      </c>
      <c r="Q487" s="45">
        <f>IFERROR(__xludf.DUMMYFUNCTION("""COMPUTED_VALUE"""),45253.0)</f>
        <v>45253</v>
      </c>
      <c r="R487" s="45">
        <f>IFERROR(__xludf.DUMMYFUNCTION("""COMPUTED_VALUE"""),45619.0)</f>
        <v>45619</v>
      </c>
      <c r="S487" s="43"/>
      <c r="T487" s="43"/>
      <c r="U487" s="43" t="str">
        <f>IFERROR(__xludf.DUMMYFUNCTION("""COMPUTED_VALUE"""),"English Teacher")</f>
        <v>English Teacher</v>
      </c>
      <c r="V487" s="43" t="str">
        <f>IFERROR(__xludf.DUMMYFUNCTION("""COMPUTED_VALUE"""),"ISLAA Moknine")</f>
        <v>ISLAA Moknine</v>
      </c>
      <c r="W487" s="43" t="str">
        <f>IFERROR(__xludf.DUMMYFUNCTION("""COMPUTED_VALUE"""),"2023-11-06T17:43:47Z")</f>
        <v>2023-11-06T17:43:47Z</v>
      </c>
      <c r="X487" s="43"/>
      <c r="Y487" s="43"/>
      <c r="Z487" s="43"/>
    </row>
    <row r="488" hidden="1">
      <c r="A488" s="43" t="str">
        <f>IFERROR(__xludf.DUMMYFUNCTION("""COMPUTED_VALUE"""),"4976563_1301049")</f>
        <v>4976563_1301049</v>
      </c>
      <c r="B488" s="43" t="str">
        <f>IFERROR(__xludf.DUMMYFUNCTION("""COMPUTED_VALUE"""),"Mohamed Ilyes Boukari")</f>
        <v>Mohamed Ilyes Boukari</v>
      </c>
      <c r="C488" s="43" t="str">
        <f>IFERROR(__xludf.DUMMYFUNCTION("""COMPUTED_VALUE"""),"realized")</f>
        <v>realized</v>
      </c>
      <c r="D488" s="43" t="str">
        <f>IFERROR(__xludf.DUMMYFUNCTION("""COMPUTED_VALUE"""),"No")</f>
        <v>No</v>
      </c>
      <c r="E488" s="43" t="str">
        <f>IFERROR(__xludf.DUMMYFUNCTION("""COMPUTED_VALUE"""),"p_fa967e257fd7c5e4bf11773270906dcad3093656@inbound.aiesec.org")</f>
        <v>p_fa967e257fd7c5e4bf11773270906dcad3093656@inbound.aiesec.org</v>
      </c>
      <c r="F488" s="43">
        <f>IFERROR(__xludf.DUMMYFUNCTION("""COMPUTED_VALUE"""),5.0400684E7)</f>
        <v>50400684</v>
      </c>
      <c r="G488" s="43" t="str">
        <f>IFERROR(__xludf.DUMMYFUNCTION("""COMPUTED_VALUE"""),"Tunisia")</f>
        <v>Tunisia</v>
      </c>
      <c r="H488" s="43" t="str">
        <f>IFERROR(__xludf.DUMMYFUNCTION("""COMPUTED_VALUE"""),"NABEL")</f>
        <v>NABEL</v>
      </c>
      <c r="I488" s="43" t="str">
        <f>IFERROR(__xludf.DUMMYFUNCTION("""COMPUTED_VALUE"""),"Turkey")</f>
        <v>Turkey</v>
      </c>
      <c r="J488" s="43" t="str">
        <f>IFERROR(__xludf.DUMMYFUNCTION("""COMPUTED_VALUE"""),"DENIZLI")</f>
        <v>DENIZLI</v>
      </c>
      <c r="K488" s="44" t="str">
        <f>IFERROR(__xludf.DUMMYFUNCTION("""COMPUTED_VALUE"""),"https://expa.aiesec.org/opportunities/1301049")</f>
        <v>https://expa.aiesec.org/opportunities/1301049</v>
      </c>
      <c r="L488" s="43" t="str">
        <f>IFERROR(__xludf.DUMMYFUNCTION("""COMPUTED_VALUE"""),"GTe")</f>
        <v>GTe</v>
      </c>
      <c r="M488" s="43" t="str">
        <f>IFERROR(__xludf.DUMMYFUNCTION("""COMPUTED_VALUE"""),"long")</f>
        <v>long</v>
      </c>
      <c r="N488" s="45">
        <f>IFERROR(__xludf.DUMMYFUNCTION("""COMPUTED_VALUE"""),45240.0)</f>
        <v>45240</v>
      </c>
      <c r="O488" s="45">
        <f>IFERROR(__xludf.DUMMYFUNCTION("""COMPUTED_VALUE"""),45275.0)</f>
        <v>45275</v>
      </c>
      <c r="P488" s="45">
        <f>IFERROR(__xludf.DUMMYFUNCTION("""COMPUTED_VALUE"""),45641.0)</f>
        <v>45641</v>
      </c>
      <c r="Q488" s="45">
        <f>IFERROR(__xludf.DUMMYFUNCTION("""COMPUTED_VALUE"""),45276.0)</f>
        <v>45276</v>
      </c>
      <c r="R488" s="45">
        <f>IFERROR(__xludf.DUMMYFUNCTION("""COMPUTED_VALUE"""),45641.0)</f>
        <v>45641</v>
      </c>
      <c r="S488" s="43"/>
      <c r="T488" s="43"/>
      <c r="U488" s="43" t="str">
        <f>IFERROR(__xludf.DUMMYFUNCTION("""COMPUTED_VALUE"""),"Tac Language School/ English Teacher")</f>
        <v>Tac Language School/ English Teacher</v>
      </c>
      <c r="V488" s="43" t="str">
        <f>IFERROR(__xludf.DUMMYFUNCTION("""COMPUTED_VALUE"""),"ISLN")</f>
        <v>ISLN</v>
      </c>
      <c r="W488" s="43" t="str">
        <f>IFERROR(__xludf.DUMMYFUNCTION("""COMPUTED_VALUE"""),"2022-03-10T15:56:55Z")</f>
        <v>2022-03-10T15:56:55Z</v>
      </c>
      <c r="X488" s="43"/>
      <c r="Y488" s="43"/>
      <c r="Z488" s="43"/>
    </row>
    <row r="489" hidden="1">
      <c r="A489" s="43" t="str">
        <f>IFERROR(__xludf.DUMMYFUNCTION("""COMPUTED_VALUE"""),"5367494_1291989")</f>
        <v>5367494_1291989</v>
      </c>
      <c r="B489" s="43" t="str">
        <f>IFERROR(__xludf.DUMMYFUNCTION("""COMPUTED_VALUE"""),"Zaynab Belkasmi")</f>
        <v>Zaynab Belkasmi</v>
      </c>
      <c r="C489" s="43" t="str">
        <f>IFERROR(__xludf.DUMMYFUNCTION("""COMPUTED_VALUE"""),"realized")</f>
        <v>realized</v>
      </c>
      <c r="D489" s="43" t="str">
        <f>IFERROR(__xludf.DUMMYFUNCTION("""COMPUTED_VALUE"""),"No")</f>
        <v>No</v>
      </c>
      <c r="E489" s="43" t="str">
        <f>IFERROR(__xludf.DUMMYFUNCTION("""COMPUTED_VALUE"""),"p_b9ea9ec8a9ab96d4440f71fad215ee909669a82f@inbound.aiesec.org")</f>
        <v>p_b9ea9ec8a9ab96d4440f71fad215ee909669a82f@inbound.aiesec.org</v>
      </c>
      <c r="F489" s="43">
        <f>IFERROR(__xludf.DUMMYFUNCTION("""COMPUTED_VALUE"""),7.00750015E8)</f>
        <v>700750015</v>
      </c>
      <c r="G489" s="43" t="str">
        <f>IFERROR(__xludf.DUMMYFUNCTION("""COMPUTED_VALUE"""),"Morocco")</f>
        <v>Morocco</v>
      </c>
      <c r="H489" s="43" t="str">
        <f>IFERROR(__xludf.DUMMYFUNCTION("""COMPUTED_VALUE"""),"Morocco (MC)")</f>
        <v>Morocco (MC)</v>
      </c>
      <c r="I489" s="43" t="str">
        <f>IFERROR(__xludf.DUMMYFUNCTION("""COMPUTED_VALUE"""),"Turkey")</f>
        <v>Turkey</v>
      </c>
      <c r="J489" s="43" t="str">
        <f>IFERROR(__xludf.DUMMYFUNCTION("""COMPUTED_VALUE"""),"GAZIANTEP")</f>
        <v>GAZIANTEP</v>
      </c>
      <c r="K489" s="44" t="str">
        <f>IFERROR(__xludf.DUMMYFUNCTION("""COMPUTED_VALUE"""),"https://expa.aiesec.org/opportunities/1291989")</f>
        <v>https://expa.aiesec.org/opportunities/1291989</v>
      </c>
      <c r="L489" s="43" t="str">
        <f>IFERROR(__xludf.DUMMYFUNCTION("""COMPUTED_VALUE"""),"GTe")</f>
        <v>GTe</v>
      </c>
      <c r="M489" s="43" t="str">
        <f>IFERROR(__xludf.DUMMYFUNCTION("""COMPUTED_VALUE"""),"long")</f>
        <v>long</v>
      </c>
      <c r="N489" s="45">
        <f>IFERROR(__xludf.DUMMYFUNCTION("""COMPUTED_VALUE"""),45240.0)</f>
        <v>45240</v>
      </c>
      <c r="O489" s="45">
        <f>IFERROR(__xludf.DUMMYFUNCTION("""COMPUTED_VALUE"""),45241.0)</f>
        <v>45241</v>
      </c>
      <c r="P489" s="45">
        <f>IFERROR(__xludf.DUMMYFUNCTION("""COMPUTED_VALUE"""),45458.0)</f>
        <v>45458</v>
      </c>
      <c r="Q489" s="45">
        <f>IFERROR(__xludf.DUMMYFUNCTION("""COMPUTED_VALUE"""),45260.0)</f>
        <v>45260</v>
      </c>
      <c r="R489" s="45">
        <f>IFERROR(__xludf.DUMMYFUNCTION("""COMPUTED_VALUE"""),45477.0)</f>
        <v>45477</v>
      </c>
      <c r="S489" s="43"/>
      <c r="T489" s="43"/>
      <c r="U489" s="43" t="str">
        <f>IFERROR(__xludf.DUMMYFUNCTION("""COMPUTED_VALUE"""),"English Teacher")</f>
        <v>English Teacher</v>
      </c>
      <c r="V489" s="43" t="str">
        <f>IFERROR(__xludf.DUMMYFUNCTION("""COMPUTED_VALUE"""),"Other-RABAT")</f>
        <v>Other-RABAT</v>
      </c>
      <c r="W489" s="43" t="str">
        <f>IFERROR(__xludf.DUMMYFUNCTION("""COMPUTED_VALUE"""),"2023-11-06T10:45:51Z")</f>
        <v>2023-11-06T10:45:51Z</v>
      </c>
      <c r="X489" s="43"/>
      <c r="Y489" s="43"/>
      <c r="Z489" s="43"/>
    </row>
    <row r="490" hidden="1">
      <c r="A490" s="43" t="str">
        <f>IFERROR(__xludf.DUMMYFUNCTION("""COMPUTED_VALUE"""),"5355292_1281195")</f>
        <v>5355292_1281195</v>
      </c>
      <c r="B490" s="43" t="str">
        <f>IFERROR(__xludf.DUMMYFUNCTION("""COMPUTED_VALUE"""),"Khaled Kaddeche")</f>
        <v>Khaled Kaddeche</v>
      </c>
      <c r="C490" s="43" t="str">
        <f>IFERROR(__xludf.DUMMYFUNCTION("""COMPUTED_VALUE"""),"realized")</f>
        <v>realized</v>
      </c>
      <c r="D490" s="43" t="str">
        <f>IFERROR(__xludf.DUMMYFUNCTION("""COMPUTED_VALUE"""),"No")</f>
        <v>No</v>
      </c>
      <c r="E490" s="43" t="str">
        <f>IFERROR(__xludf.DUMMYFUNCTION("""COMPUTED_VALUE"""),"p_280fd246a81f4f81999a122eb7dc47f8b44f8636@inbound.aiesec.org")</f>
        <v>p_280fd246a81f4f81999a122eb7dc47f8b44f8636@inbound.aiesec.org</v>
      </c>
      <c r="F490" s="43"/>
      <c r="G490" s="43" t="str">
        <f>IFERROR(__xludf.DUMMYFUNCTION("""COMPUTED_VALUE"""),"Tunisia")</f>
        <v>Tunisia</v>
      </c>
      <c r="H490" s="43" t="str">
        <f>IFERROR(__xludf.DUMMYFUNCTION("""COMPUTED_VALUE"""),"UNIVERSITY")</f>
        <v>UNIVERSITY</v>
      </c>
      <c r="I490" s="43" t="str">
        <f>IFERROR(__xludf.DUMMYFUNCTION("""COMPUTED_VALUE"""),"Turkey")</f>
        <v>Turkey</v>
      </c>
      <c r="J490" s="43" t="str">
        <f>IFERROR(__xludf.DUMMYFUNCTION("""COMPUTED_VALUE"""),"BURSA")</f>
        <v>BURSA</v>
      </c>
      <c r="K490" s="44" t="str">
        <f>IFERROR(__xludf.DUMMYFUNCTION("""COMPUTED_VALUE"""),"https://expa.aiesec.org/opportunities/1281195")</f>
        <v>https://expa.aiesec.org/opportunities/1281195</v>
      </c>
      <c r="L490" s="43" t="str">
        <f>IFERROR(__xludf.DUMMYFUNCTION("""COMPUTED_VALUE"""),"GTe")</f>
        <v>GTe</v>
      </c>
      <c r="M490" s="43" t="str">
        <f>IFERROR(__xludf.DUMMYFUNCTION("""COMPUTED_VALUE"""),"long")</f>
        <v>long</v>
      </c>
      <c r="N490" s="45">
        <f>IFERROR(__xludf.DUMMYFUNCTION("""COMPUTED_VALUE"""),45241.0)</f>
        <v>45241</v>
      </c>
      <c r="O490" s="45">
        <f>IFERROR(__xludf.DUMMYFUNCTION("""COMPUTED_VALUE"""),45255.0)</f>
        <v>45255</v>
      </c>
      <c r="P490" s="45">
        <f>IFERROR(__xludf.DUMMYFUNCTION("""COMPUTED_VALUE"""),45616.0)</f>
        <v>45616</v>
      </c>
      <c r="Q490" s="45">
        <f>IFERROR(__xludf.DUMMYFUNCTION("""COMPUTED_VALUE"""),45272.0)</f>
        <v>45272</v>
      </c>
      <c r="R490" s="45">
        <f>IFERROR(__xludf.DUMMYFUNCTION("""COMPUTED_VALUE"""),45633.0)</f>
        <v>45633</v>
      </c>
      <c r="S490" s="43"/>
      <c r="T490" s="43"/>
      <c r="U490" s="43" t="str">
        <f>IFERROR(__xludf.DUMMYFUNCTION("""COMPUTED_VALUE"""),"ENGLISH TEACHING")</f>
        <v>ENGLISH TEACHING</v>
      </c>
      <c r="V490" s="43" t="str">
        <f>IFERROR(__xludf.DUMMYFUNCTION("""COMPUTED_VALUE"""),"-")</f>
        <v>-</v>
      </c>
      <c r="W490" s="43" t="str">
        <f>IFERROR(__xludf.DUMMYFUNCTION("""COMPUTED_VALUE"""),"2023-10-19T09:53:53Z")</f>
        <v>2023-10-19T09:53:53Z</v>
      </c>
      <c r="X490" s="43"/>
      <c r="Y490" s="43"/>
      <c r="Z490" s="43"/>
    </row>
    <row r="491" hidden="1">
      <c r="A491" s="43" t="str">
        <f>IFERROR(__xludf.DUMMYFUNCTION("""COMPUTED_VALUE"""),"5326862_1298737")</f>
        <v>5326862_1298737</v>
      </c>
      <c r="B491" s="43" t="str">
        <f>IFERROR(__xludf.DUMMYFUNCTION("""COMPUTED_VALUE"""),"Chaymae Kahouaji")</f>
        <v>Chaymae Kahouaji</v>
      </c>
      <c r="C491" s="43" t="str">
        <f>IFERROR(__xludf.DUMMYFUNCTION("""COMPUTED_VALUE"""),"realized")</f>
        <v>realized</v>
      </c>
      <c r="D491" s="43" t="str">
        <f>IFERROR(__xludf.DUMMYFUNCTION("""COMPUTED_VALUE"""),"No")</f>
        <v>No</v>
      </c>
      <c r="E491" s="43" t="str">
        <f>IFERROR(__xludf.DUMMYFUNCTION("""COMPUTED_VALUE"""),"p_51c1292fe50571b3caaee85ff4a80a6796641a97@inbound.aiesec.org")</f>
        <v>p_51c1292fe50571b3caaee85ff4a80a6796641a97@inbound.aiesec.org</v>
      </c>
      <c r="F491" s="43"/>
      <c r="G491" s="43" t="str">
        <f>IFERROR(__xludf.DUMMYFUNCTION("""COMPUTED_VALUE"""),"Morocco")</f>
        <v>Morocco</v>
      </c>
      <c r="H491" s="43" t="str">
        <f>IFERROR(__xludf.DUMMYFUNCTION("""COMPUTED_VALUE"""),"Morocco (MC)")</f>
        <v>Morocco (MC)</v>
      </c>
      <c r="I491" s="43" t="str">
        <f>IFERROR(__xludf.DUMMYFUNCTION("""COMPUTED_VALUE"""),"Turkey")</f>
        <v>Turkey</v>
      </c>
      <c r="J491" s="43" t="str">
        <f>IFERROR(__xludf.DUMMYFUNCTION("""COMPUTED_VALUE"""),"İZMİR")</f>
        <v>İZMİR</v>
      </c>
      <c r="K491" s="44" t="str">
        <f>IFERROR(__xludf.DUMMYFUNCTION("""COMPUTED_VALUE"""),"https://expa.aiesec.org/opportunities/1298737")</f>
        <v>https://expa.aiesec.org/opportunities/1298737</v>
      </c>
      <c r="L491" s="43" t="str">
        <f>IFERROR(__xludf.DUMMYFUNCTION("""COMPUTED_VALUE"""),"GTe")</f>
        <v>GTe</v>
      </c>
      <c r="M491" s="43" t="str">
        <f>IFERROR(__xludf.DUMMYFUNCTION("""COMPUTED_VALUE"""),"long")</f>
        <v>long</v>
      </c>
      <c r="N491" s="45">
        <f>IFERROR(__xludf.DUMMYFUNCTION("""COMPUTED_VALUE"""),45243.0)</f>
        <v>45243</v>
      </c>
      <c r="O491" s="45">
        <f>IFERROR(__xludf.DUMMYFUNCTION("""COMPUTED_VALUE"""),45260.0)</f>
        <v>45260</v>
      </c>
      <c r="P491" s="45">
        <f>IFERROR(__xludf.DUMMYFUNCTION("""COMPUTED_VALUE"""),45625.0)</f>
        <v>45625</v>
      </c>
      <c r="Q491" s="45">
        <f>IFERROR(__xludf.DUMMYFUNCTION("""COMPUTED_VALUE"""),45258.0)</f>
        <v>45258</v>
      </c>
      <c r="R491" s="45">
        <f>IFERROR(__xludf.DUMMYFUNCTION("""COMPUTED_VALUE"""),45625.0)</f>
        <v>45625</v>
      </c>
      <c r="S491" s="43"/>
      <c r="T491" s="43"/>
      <c r="U491" s="43" t="str">
        <f>IFERROR(__xludf.DUMMYFUNCTION("""COMPUTED_VALUE"""),"Language Teacher")</f>
        <v>Language Teacher</v>
      </c>
      <c r="V491" s="43" t="str">
        <f>IFERROR(__xludf.DUMMYFUNCTION("""COMPUTED_VALUE"""),"-")</f>
        <v>-</v>
      </c>
      <c r="W491" s="43" t="str">
        <f>IFERROR(__xludf.DUMMYFUNCTION("""COMPUTED_VALUE"""),"2023-09-18T17:24:06Z")</f>
        <v>2023-09-18T17:24:06Z</v>
      </c>
      <c r="X491" s="43"/>
      <c r="Y491" s="43"/>
      <c r="Z491" s="43"/>
    </row>
    <row r="492" hidden="1">
      <c r="A492" s="43" t="str">
        <f>IFERROR(__xludf.DUMMYFUNCTION("""COMPUTED_VALUE"""),"1281043_1298737")</f>
        <v>1281043_1298737</v>
      </c>
      <c r="B492" s="43" t="str">
        <f>IFERROR(__xludf.DUMMYFUNCTION("""COMPUTED_VALUE"""),"Dayssem Chourabi")</f>
        <v>Dayssem Chourabi</v>
      </c>
      <c r="C492" s="43" t="str">
        <f>IFERROR(__xludf.DUMMYFUNCTION("""COMPUTED_VALUE"""),"realized")</f>
        <v>realized</v>
      </c>
      <c r="D492" s="43" t="str">
        <f>IFERROR(__xludf.DUMMYFUNCTION("""COMPUTED_VALUE"""),"No")</f>
        <v>No</v>
      </c>
      <c r="E492" s="43" t="str">
        <f>IFERROR(__xludf.DUMMYFUNCTION("""COMPUTED_VALUE"""),"p_43d19637167de22bdcf6116a40eee2bb3696c93a@inbound.aiesec.org")</f>
        <v>p_43d19637167de22bdcf6116a40eee2bb3696c93a@inbound.aiesec.org</v>
      </c>
      <c r="F492" s="43">
        <f>IFERROR(__xludf.DUMMYFUNCTION("""COMPUTED_VALUE"""),5.2844188E7)</f>
        <v>52844188</v>
      </c>
      <c r="G492" s="43" t="str">
        <f>IFERROR(__xludf.DUMMYFUNCTION("""COMPUTED_VALUE"""),"Tunisia")</f>
        <v>Tunisia</v>
      </c>
      <c r="H492" s="43" t="str">
        <f>IFERROR(__xludf.DUMMYFUNCTION("""COMPUTED_VALUE"""),"NABEL")</f>
        <v>NABEL</v>
      </c>
      <c r="I492" s="43" t="str">
        <f>IFERROR(__xludf.DUMMYFUNCTION("""COMPUTED_VALUE"""),"Turkey")</f>
        <v>Turkey</v>
      </c>
      <c r="J492" s="43" t="str">
        <f>IFERROR(__xludf.DUMMYFUNCTION("""COMPUTED_VALUE"""),"İZMİR")</f>
        <v>İZMİR</v>
      </c>
      <c r="K492" s="44" t="str">
        <f>IFERROR(__xludf.DUMMYFUNCTION("""COMPUTED_VALUE"""),"https://expa.aiesec.org/opportunities/1298737")</f>
        <v>https://expa.aiesec.org/opportunities/1298737</v>
      </c>
      <c r="L492" s="43" t="str">
        <f>IFERROR(__xludf.DUMMYFUNCTION("""COMPUTED_VALUE"""),"GTe")</f>
        <v>GTe</v>
      </c>
      <c r="M492" s="43" t="str">
        <f>IFERROR(__xludf.DUMMYFUNCTION("""COMPUTED_VALUE"""),"long")</f>
        <v>long</v>
      </c>
      <c r="N492" s="45">
        <f>IFERROR(__xludf.DUMMYFUNCTION("""COMPUTED_VALUE"""),45243.0)</f>
        <v>45243</v>
      </c>
      <c r="O492" s="45">
        <f>IFERROR(__xludf.DUMMYFUNCTION("""COMPUTED_VALUE"""),45260.0)</f>
        <v>45260</v>
      </c>
      <c r="P492" s="45">
        <f>IFERROR(__xludf.DUMMYFUNCTION("""COMPUTED_VALUE"""),45625.0)</f>
        <v>45625</v>
      </c>
      <c r="Q492" s="45">
        <f>IFERROR(__xludf.DUMMYFUNCTION("""COMPUTED_VALUE"""),45302.0)</f>
        <v>45302</v>
      </c>
      <c r="R492" s="45">
        <f>IFERROR(__xludf.DUMMYFUNCTION("""COMPUTED_VALUE"""),45667.0)</f>
        <v>45667</v>
      </c>
      <c r="S492" s="43"/>
      <c r="T492" s="43"/>
      <c r="U492" s="43" t="str">
        <f>IFERROR(__xludf.DUMMYFUNCTION("""COMPUTED_VALUE"""),"Language Teacher")</f>
        <v>Language Teacher</v>
      </c>
      <c r="V492" s="43" t="str">
        <f>IFERROR(__xludf.DUMMYFUNCTION("""COMPUTED_VALUE"""),"-")</f>
        <v>-</v>
      </c>
      <c r="W492" s="43" t="str">
        <f>IFERROR(__xludf.DUMMYFUNCTION("""COMPUTED_VALUE"""),"2016-12-10T10:00:26Z")</f>
        <v>2016-12-10T10:00:26Z</v>
      </c>
      <c r="X492" s="43"/>
      <c r="Y492" s="43"/>
      <c r="Z492" s="43"/>
    </row>
    <row r="493" hidden="1">
      <c r="A493" s="43" t="str">
        <f>IFERROR(__xludf.DUMMYFUNCTION("""COMPUTED_VALUE"""),"5369478_1283288")</f>
        <v>5369478_1283288</v>
      </c>
      <c r="B493" s="43" t="str">
        <f>IFERROR(__xludf.DUMMYFUNCTION("""COMPUTED_VALUE"""),"Mariem Maamouri")</f>
        <v>Mariem Maamouri</v>
      </c>
      <c r="C493" s="43" t="str">
        <f>IFERROR(__xludf.DUMMYFUNCTION("""COMPUTED_VALUE"""),"realized")</f>
        <v>realized</v>
      </c>
      <c r="D493" s="43" t="str">
        <f>IFERROR(__xludf.DUMMYFUNCTION("""COMPUTED_VALUE"""),"No")</f>
        <v>No</v>
      </c>
      <c r="E493" s="43" t="str">
        <f>IFERROR(__xludf.DUMMYFUNCTION("""COMPUTED_VALUE"""),"p_71dc975b83354f682de70c6b5ccd0ec58d564461@inbound.aiesec.org")</f>
        <v>p_71dc975b83354f682de70c6b5ccd0ec58d564461@inbound.aiesec.org</v>
      </c>
      <c r="F493" s="43"/>
      <c r="G493" s="43" t="str">
        <f>IFERROR(__xludf.DUMMYFUNCTION("""COMPUTED_VALUE"""),"Tunisia")</f>
        <v>Tunisia</v>
      </c>
      <c r="H493" s="43" t="str">
        <f>IFERROR(__xludf.DUMMYFUNCTION("""COMPUTED_VALUE"""),"NABEL")</f>
        <v>NABEL</v>
      </c>
      <c r="I493" s="43" t="str">
        <f>IFERROR(__xludf.DUMMYFUNCTION("""COMPUTED_VALUE"""),"Turkey")</f>
        <v>Turkey</v>
      </c>
      <c r="J493" s="43" t="str">
        <f>IFERROR(__xludf.DUMMYFUNCTION("""COMPUTED_VALUE"""),"ISTANBUL ASIA")</f>
        <v>ISTANBUL ASIA</v>
      </c>
      <c r="K493" s="44" t="str">
        <f>IFERROR(__xludf.DUMMYFUNCTION("""COMPUTED_VALUE"""),"https://expa.aiesec.org/opportunities/1283288")</f>
        <v>https://expa.aiesec.org/opportunities/1283288</v>
      </c>
      <c r="L493" s="43" t="str">
        <f>IFERROR(__xludf.DUMMYFUNCTION("""COMPUTED_VALUE"""),"GTe")</f>
        <v>GTe</v>
      </c>
      <c r="M493" s="43" t="str">
        <f>IFERROR(__xludf.DUMMYFUNCTION("""COMPUTED_VALUE"""),"long")</f>
        <v>long</v>
      </c>
      <c r="N493" s="45">
        <f>IFERROR(__xludf.DUMMYFUNCTION("""COMPUTED_VALUE"""),45243.0)</f>
        <v>45243</v>
      </c>
      <c r="O493" s="45">
        <f>IFERROR(__xludf.DUMMYFUNCTION("""COMPUTED_VALUE"""),45251.0)</f>
        <v>45251</v>
      </c>
      <c r="P493" s="45">
        <f>IFERROR(__xludf.DUMMYFUNCTION("""COMPUTED_VALUE"""),45471.0)</f>
        <v>45471</v>
      </c>
      <c r="Q493" s="45">
        <f>IFERROR(__xludf.DUMMYFUNCTION("""COMPUTED_VALUE"""),45253.0)</f>
        <v>45253</v>
      </c>
      <c r="R493" s="45">
        <f>IFERROR(__xludf.DUMMYFUNCTION("""COMPUTED_VALUE"""),45474.0)</f>
        <v>45474</v>
      </c>
      <c r="S493" s="43"/>
      <c r="T493" s="43" t="str">
        <f>IFERROR(__xludf.DUMMYFUNCTION("""COMPUTED_VALUE"""),"Other")</f>
        <v>Other</v>
      </c>
      <c r="U493" s="43" t="str">
        <f>IFERROR(__xludf.DUMMYFUNCTION("""COMPUTED_VALUE"""),"Native Speaker")</f>
        <v>Native Speaker</v>
      </c>
      <c r="V493" s="43" t="str">
        <f>IFERROR(__xludf.DUMMYFUNCTION("""COMPUTED_VALUE"""),"-")</f>
        <v>-</v>
      </c>
      <c r="W493" s="43" t="str">
        <f>IFERROR(__xludf.DUMMYFUNCTION("""COMPUTED_VALUE"""),"2023-11-09T07:29:35Z")</f>
        <v>2023-11-09T07:29:35Z</v>
      </c>
      <c r="X493" s="43"/>
      <c r="Y493" s="43"/>
      <c r="Z493" s="43"/>
    </row>
    <row r="494" hidden="1">
      <c r="A494" s="43" t="str">
        <f>IFERROR(__xludf.DUMMYFUNCTION("""COMPUTED_VALUE"""),"4747550_1277333")</f>
        <v>4747550_1277333</v>
      </c>
      <c r="B494" s="43" t="str">
        <f>IFERROR(__xludf.DUMMYFUNCTION("""COMPUTED_VALUE"""),"Ahmed Chalbia")</f>
        <v>Ahmed Chalbia</v>
      </c>
      <c r="C494" s="43" t="str">
        <f>IFERROR(__xludf.DUMMYFUNCTION("""COMPUTED_VALUE"""),"realized")</f>
        <v>realized</v>
      </c>
      <c r="D494" s="43" t="str">
        <f>IFERROR(__xludf.DUMMYFUNCTION("""COMPUTED_VALUE"""),"No")</f>
        <v>No</v>
      </c>
      <c r="E494" s="43" t="str">
        <f>IFERROR(__xludf.DUMMYFUNCTION("""COMPUTED_VALUE"""),"p_aeba8b0cbcafccccceda6a5b849d5c8c2e2e5948@inbound.aiesec.org")</f>
        <v>p_aeba8b0cbcafccccceda6a5b849d5c8c2e2e5948@inbound.aiesec.org</v>
      </c>
      <c r="F494" s="43">
        <f>IFERROR(__xludf.DUMMYFUNCTION("""COMPUTED_VALUE"""),2.8220189E7)</f>
        <v>28220189</v>
      </c>
      <c r="G494" s="43" t="str">
        <f>IFERROR(__xludf.DUMMYFUNCTION("""COMPUTED_VALUE"""),"Tunisia")</f>
        <v>Tunisia</v>
      </c>
      <c r="H494" s="43" t="str">
        <f>IFERROR(__xludf.DUMMYFUNCTION("""COMPUTED_VALUE"""),"HADRUMET")</f>
        <v>HADRUMET</v>
      </c>
      <c r="I494" s="43" t="str">
        <f>IFERROR(__xludf.DUMMYFUNCTION("""COMPUTED_VALUE"""),"Turkey")</f>
        <v>Turkey</v>
      </c>
      <c r="J494" s="43" t="str">
        <f>IFERROR(__xludf.DUMMYFUNCTION("""COMPUTED_VALUE"""),"KOCAELI")</f>
        <v>KOCAELI</v>
      </c>
      <c r="K494" s="44" t="str">
        <f>IFERROR(__xludf.DUMMYFUNCTION("""COMPUTED_VALUE"""),"https://expa.aiesec.org/opportunities/1277333")</f>
        <v>https://expa.aiesec.org/opportunities/1277333</v>
      </c>
      <c r="L494" s="43" t="str">
        <f>IFERROR(__xludf.DUMMYFUNCTION("""COMPUTED_VALUE"""),"GTe")</f>
        <v>GTe</v>
      </c>
      <c r="M494" s="43" t="str">
        <f>IFERROR(__xludf.DUMMYFUNCTION("""COMPUTED_VALUE"""),"long")</f>
        <v>long</v>
      </c>
      <c r="N494" s="45">
        <f>IFERROR(__xludf.DUMMYFUNCTION("""COMPUTED_VALUE"""),45243.0)</f>
        <v>45243</v>
      </c>
      <c r="O494" s="45">
        <f>IFERROR(__xludf.DUMMYFUNCTION("""COMPUTED_VALUE"""),45254.0)</f>
        <v>45254</v>
      </c>
      <c r="P494" s="45">
        <f>IFERROR(__xludf.DUMMYFUNCTION("""COMPUTED_VALUE"""),45459.0)</f>
        <v>45459</v>
      </c>
      <c r="Q494" s="45">
        <f>IFERROR(__xludf.DUMMYFUNCTION("""COMPUTED_VALUE"""),45258.0)</f>
        <v>45258</v>
      </c>
      <c r="R494" s="45">
        <f>IFERROR(__xludf.DUMMYFUNCTION("""COMPUTED_VALUE"""),45461.0)</f>
        <v>45461</v>
      </c>
      <c r="S494" s="43"/>
      <c r="T494" s="43"/>
      <c r="U494" s="43" t="str">
        <f>IFERROR(__xludf.DUMMYFUNCTION("""COMPUTED_VALUE"""),"English Teacher in English Time (Long)")</f>
        <v>English Teacher in English Time (Long)</v>
      </c>
      <c r="V494" s="43" t="str">
        <f>IFERROR(__xludf.DUMMYFUNCTION("""COMPUTED_VALUE"""),"FLSH Sousse")</f>
        <v>FLSH Sousse</v>
      </c>
      <c r="W494" s="43" t="str">
        <f>IFERROR(__xludf.DUMMYFUNCTION("""COMPUTED_VALUE"""),"2021-09-24T22:42:02Z")</f>
        <v>2021-09-24T22:42:02Z</v>
      </c>
      <c r="X494" s="43"/>
      <c r="Y494" s="43"/>
      <c r="Z494" s="43"/>
    </row>
    <row r="495" hidden="1">
      <c r="A495" s="43" t="str">
        <f>IFERROR(__xludf.DUMMYFUNCTION("""COMPUTED_VALUE"""),"5363097_1289355")</f>
        <v>5363097_1289355</v>
      </c>
      <c r="B495" s="43" t="str">
        <f>IFERROR(__xludf.DUMMYFUNCTION("""COMPUTED_VALUE"""),"Inara Jayawardhana")</f>
        <v>Inara Jayawardhana</v>
      </c>
      <c r="C495" s="43" t="str">
        <f>IFERROR(__xludf.DUMMYFUNCTION("""COMPUTED_VALUE"""),"approved")</f>
        <v>approved</v>
      </c>
      <c r="D495" s="43" t="str">
        <f>IFERROR(__xludf.DUMMYFUNCTION("""COMPUTED_VALUE"""),"No")</f>
        <v>No</v>
      </c>
      <c r="E495" s="43" t="str">
        <f>IFERROR(__xludf.DUMMYFUNCTION("""COMPUTED_VALUE"""),"p_7b740c1d5ef43b8465f787c633aa1c508d4a2d1e@inbound.aiesec.org")</f>
        <v>p_7b740c1d5ef43b8465f787c633aa1c508d4a2d1e@inbound.aiesec.org</v>
      </c>
      <c r="F495" s="43">
        <f>IFERROR(__xludf.DUMMYFUNCTION("""COMPUTED_VALUE"""),7.02223277E8)</f>
        <v>702223277</v>
      </c>
      <c r="G495" s="43" t="str">
        <f>IFERROR(__xludf.DUMMYFUNCTION("""COMPUTED_VALUE"""),"Sri Lanka")</f>
        <v>Sri Lanka</v>
      </c>
      <c r="H495" s="43" t="str">
        <f>IFERROR(__xludf.DUMMYFUNCTION("""COMPUTED_VALUE"""),"COLOMBO SOUTH")</f>
        <v>COLOMBO SOUTH</v>
      </c>
      <c r="I495" s="43" t="str">
        <f>IFERROR(__xludf.DUMMYFUNCTION("""COMPUTED_VALUE"""),"Turkey")</f>
        <v>Turkey</v>
      </c>
      <c r="J495" s="43" t="str">
        <f>IFERROR(__xludf.DUMMYFUNCTION("""COMPUTED_VALUE"""),"ANTALYA")</f>
        <v>ANTALYA</v>
      </c>
      <c r="K495" s="44" t="str">
        <f>IFERROR(__xludf.DUMMYFUNCTION("""COMPUTED_VALUE"""),"https://expa.aiesec.org/opportunities/1289355")</f>
        <v>https://expa.aiesec.org/opportunities/1289355</v>
      </c>
      <c r="L495" s="43" t="str">
        <f>IFERROR(__xludf.DUMMYFUNCTION("""COMPUTED_VALUE"""),"GTe")</f>
        <v>GTe</v>
      </c>
      <c r="M495" s="43" t="str">
        <f>IFERROR(__xludf.DUMMYFUNCTION("""COMPUTED_VALUE"""),"long")</f>
        <v>long</v>
      </c>
      <c r="N495" s="45">
        <f>IFERROR(__xludf.DUMMYFUNCTION("""COMPUTED_VALUE"""),45244.0)</f>
        <v>45244</v>
      </c>
      <c r="O495" s="45">
        <f>IFERROR(__xludf.DUMMYFUNCTION("""COMPUTED_VALUE"""),45278.0)</f>
        <v>45278</v>
      </c>
      <c r="P495" s="45">
        <f>IFERROR(__xludf.DUMMYFUNCTION("""COMPUTED_VALUE"""),45644.0)</f>
        <v>45644</v>
      </c>
      <c r="Q495" s="45"/>
      <c r="R495" s="45"/>
      <c r="S495" s="43"/>
      <c r="T495" s="43"/>
      <c r="U495" s="43" t="str">
        <f>IFERROR(__xludf.DUMMYFUNCTION("""COMPUTED_VALUE"""),"English Teacher")</f>
        <v>English Teacher</v>
      </c>
      <c r="V495" s="43" t="str">
        <f>IFERROR(__xludf.DUMMYFUNCTION("""COMPUTED_VALUE"""),"Esol College")</f>
        <v>Esol College</v>
      </c>
      <c r="W495" s="43" t="str">
        <f>IFERROR(__xludf.DUMMYFUNCTION("""COMPUTED_VALUE"""),"2023-10-29T20:10:20Z")</f>
        <v>2023-10-29T20:10:20Z</v>
      </c>
      <c r="X495" s="43"/>
      <c r="Y495" s="43"/>
      <c r="Z495" s="43"/>
    </row>
    <row r="496" hidden="1">
      <c r="A496" s="43" t="str">
        <f>IFERROR(__xludf.DUMMYFUNCTION("""COMPUTED_VALUE"""),"5316268_1290731")</f>
        <v>5316268_1290731</v>
      </c>
      <c r="B496" s="43" t="str">
        <f>IFERROR(__xludf.DUMMYFUNCTION("""COMPUTED_VALUE"""),"Mehdi Bouguesri")</f>
        <v>Mehdi Bouguesri</v>
      </c>
      <c r="C496" s="43" t="str">
        <f>IFERROR(__xludf.DUMMYFUNCTION("""COMPUTED_VALUE"""),"realized")</f>
        <v>realized</v>
      </c>
      <c r="D496" s="43" t="str">
        <f>IFERROR(__xludf.DUMMYFUNCTION("""COMPUTED_VALUE"""),"No")</f>
        <v>No</v>
      </c>
      <c r="E496" s="43" t="str">
        <f>IFERROR(__xludf.DUMMYFUNCTION("""COMPUTED_VALUE"""),"p_5d0ee9ef359b7cde10a81798f800b4d7ddbdebf8@inbound.aiesec.org")</f>
        <v>p_5d0ee9ef359b7cde10a81798f800b4d7ddbdebf8@inbound.aiesec.org</v>
      </c>
      <c r="F496" s="43">
        <f>IFERROR(__xludf.DUMMYFUNCTION("""COMPUTED_VALUE"""),6.99811318E8)</f>
        <v>699811318</v>
      </c>
      <c r="G496" s="43" t="str">
        <f>IFERROR(__xludf.DUMMYFUNCTION("""COMPUTED_VALUE"""),"Algeria")</f>
        <v>Algeria</v>
      </c>
      <c r="H496" s="43" t="str">
        <f>IFERROR(__xludf.DUMMYFUNCTION("""COMPUTED_VALUE"""),"Oran")</f>
        <v>Oran</v>
      </c>
      <c r="I496" s="43" t="str">
        <f>IFERROR(__xludf.DUMMYFUNCTION("""COMPUTED_VALUE"""),"Turkey")</f>
        <v>Turkey</v>
      </c>
      <c r="J496" s="43" t="str">
        <f>IFERROR(__xludf.DUMMYFUNCTION("""COMPUTED_VALUE"""),"GAZIANTEP")</f>
        <v>GAZIANTEP</v>
      </c>
      <c r="K496" s="44" t="str">
        <f>IFERROR(__xludf.DUMMYFUNCTION("""COMPUTED_VALUE"""),"https://expa.aiesec.org/opportunities/1290731")</f>
        <v>https://expa.aiesec.org/opportunities/1290731</v>
      </c>
      <c r="L496" s="43" t="str">
        <f>IFERROR(__xludf.DUMMYFUNCTION("""COMPUTED_VALUE"""),"GTe")</f>
        <v>GTe</v>
      </c>
      <c r="M496" s="43" t="str">
        <f>IFERROR(__xludf.DUMMYFUNCTION("""COMPUTED_VALUE"""),"long")</f>
        <v>long</v>
      </c>
      <c r="N496" s="45">
        <f>IFERROR(__xludf.DUMMYFUNCTION("""COMPUTED_VALUE"""),45245.0)</f>
        <v>45245</v>
      </c>
      <c r="O496" s="45">
        <f>IFERROR(__xludf.DUMMYFUNCTION("""COMPUTED_VALUE"""),45252.0)</f>
        <v>45252</v>
      </c>
      <c r="P496" s="45">
        <f>IFERROR(__xludf.DUMMYFUNCTION("""COMPUTED_VALUE"""),45586.0)</f>
        <v>45586</v>
      </c>
      <c r="Q496" s="45">
        <f>IFERROR(__xludf.DUMMYFUNCTION("""COMPUTED_VALUE"""),45315.0)</f>
        <v>45315</v>
      </c>
      <c r="R496" s="45">
        <f>IFERROR(__xludf.DUMMYFUNCTION("""COMPUTED_VALUE"""),45680.0)</f>
        <v>45680</v>
      </c>
      <c r="S496" s="43"/>
      <c r="T496" s="43"/>
      <c r="U496" s="43" t="str">
        <f>IFERROR(__xludf.DUMMYFUNCTION("""COMPUTED_VALUE"""),"English Time")</f>
        <v>English Time</v>
      </c>
      <c r="V496" s="43" t="str">
        <f>IFERROR(__xludf.DUMMYFUNCTION("""COMPUTED_VALUE"""),"AIESEC in Oran")</f>
        <v>AIESEC in Oran</v>
      </c>
      <c r="W496" s="43" t="str">
        <f>IFERROR(__xludf.DUMMYFUNCTION("""COMPUTED_VALUE"""),"2023-09-01T15:17:26Z")</f>
        <v>2023-09-01T15:17:26Z</v>
      </c>
      <c r="X496" s="43"/>
      <c r="Y496" s="43"/>
      <c r="Z496" s="43"/>
    </row>
    <row r="497" hidden="1">
      <c r="A497" s="43" t="str">
        <f>IFERROR(__xludf.DUMMYFUNCTION("""COMPUTED_VALUE"""),"5318306_1282413")</f>
        <v>5318306_1282413</v>
      </c>
      <c r="B497" s="43" t="str">
        <f>IFERROR(__xludf.DUMMYFUNCTION("""COMPUTED_VALUE"""),"Nour Elhouda Ben Abouda")</f>
        <v>Nour Elhouda Ben Abouda</v>
      </c>
      <c r="C497" s="43" t="str">
        <f>IFERROR(__xludf.DUMMYFUNCTION("""COMPUTED_VALUE"""),"realized")</f>
        <v>realized</v>
      </c>
      <c r="D497" s="43" t="str">
        <f>IFERROR(__xludf.DUMMYFUNCTION("""COMPUTED_VALUE"""),"No")</f>
        <v>No</v>
      </c>
      <c r="E497" s="43" t="str">
        <f>IFERROR(__xludf.DUMMYFUNCTION("""COMPUTED_VALUE"""),"p_dd759267de0bd87d31c371bee1ef11acbfec342c@inbound.aiesec.org")</f>
        <v>p_dd759267de0bd87d31c371bee1ef11acbfec342c@inbound.aiesec.org</v>
      </c>
      <c r="F497" s="43">
        <f>IFERROR(__xludf.DUMMYFUNCTION("""COMPUTED_VALUE"""),5.5054769E7)</f>
        <v>55054769</v>
      </c>
      <c r="G497" s="43" t="str">
        <f>IFERROR(__xludf.DUMMYFUNCTION("""COMPUTED_VALUE"""),"Tunisia")</f>
        <v>Tunisia</v>
      </c>
      <c r="H497" s="43" t="str">
        <f>IFERROR(__xludf.DUMMYFUNCTION("""COMPUTED_VALUE"""),"SFAX")</f>
        <v>SFAX</v>
      </c>
      <c r="I497" s="43" t="str">
        <f>IFERROR(__xludf.DUMMYFUNCTION("""COMPUTED_VALUE"""),"Turkey")</f>
        <v>Turkey</v>
      </c>
      <c r="J497" s="43" t="str">
        <f>IFERROR(__xludf.DUMMYFUNCTION("""COMPUTED_VALUE"""),"KOCAELI")</f>
        <v>KOCAELI</v>
      </c>
      <c r="K497" s="44" t="str">
        <f>IFERROR(__xludf.DUMMYFUNCTION("""COMPUTED_VALUE"""),"https://expa.aiesec.org/opportunities/1282413")</f>
        <v>https://expa.aiesec.org/opportunities/1282413</v>
      </c>
      <c r="L497" s="43" t="str">
        <f>IFERROR(__xludf.DUMMYFUNCTION("""COMPUTED_VALUE"""),"GTe")</f>
        <v>GTe</v>
      </c>
      <c r="M497" s="43" t="str">
        <f>IFERROR(__xludf.DUMMYFUNCTION("""COMPUTED_VALUE"""),"long")</f>
        <v>long</v>
      </c>
      <c r="N497" s="45">
        <f>IFERROR(__xludf.DUMMYFUNCTION("""COMPUTED_VALUE"""),45245.0)</f>
        <v>45245</v>
      </c>
      <c r="O497" s="45">
        <f>IFERROR(__xludf.DUMMYFUNCTION("""COMPUTED_VALUE"""),45254.0)</f>
        <v>45254</v>
      </c>
      <c r="P497" s="45">
        <f>IFERROR(__xludf.DUMMYFUNCTION("""COMPUTED_VALUE"""),45459.0)</f>
        <v>45459</v>
      </c>
      <c r="Q497" s="45">
        <f>IFERROR(__xludf.DUMMYFUNCTION("""COMPUTED_VALUE"""),45259.0)</f>
        <v>45259</v>
      </c>
      <c r="R497" s="45">
        <f>IFERROR(__xludf.DUMMYFUNCTION("""COMPUTED_VALUE"""),45464.0)</f>
        <v>45464</v>
      </c>
      <c r="S497" s="43"/>
      <c r="T497" s="43"/>
      <c r="U497" s="43" t="str">
        <f>IFERROR(__xludf.DUMMYFUNCTION("""COMPUTED_VALUE"""),"English Teacher in Era College")</f>
        <v>English Teacher in Era College</v>
      </c>
      <c r="V497" s="43" t="str">
        <f>IFERROR(__xludf.DUMMYFUNCTION("""COMPUTED_VALUE"""),"FLSH sfax ")</f>
        <v>FLSH sfax </v>
      </c>
      <c r="W497" s="43" t="str">
        <f>IFERROR(__xludf.DUMMYFUNCTION("""COMPUTED_VALUE"""),"2023-09-04T23:10:26Z")</f>
        <v>2023-09-04T23:10:26Z</v>
      </c>
      <c r="X497" s="43"/>
      <c r="Y497" s="43"/>
      <c r="Z497" s="43"/>
    </row>
    <row r="498" hidden="1">
      <c r="A498" s="43" t="str">
        <f>IFERROR(__xludf.DUMMYFUNCTION("""COMPUTED_VALUE"""),"5368192_1284668")</f>
        <v>5368192_1284668</v>
      </c>
      <c r="B498" s="43" t="str">
        <f>IFERROR(__xludf.DUMMYFUNCTION("""COMPUTED_VALUE"""),"Mariem elhachmi")</f>
        <v>Mariem elhachmi</v>
      </c>
      <c r="C498" s="43" t="str">
        <f>IFERROR(__xludf.DUMMYFUNCTION("""COMPUTED_VALUE"""),"realized")</f>
        <v>realized</v>
      </c>
      <c r="D498" s="43" t="str">
        <f>IFERROR(__xludf.DUMMYFUNCTION("""COMPUTED_VALUE"""),"No")</f>
        <v>No</v>
      </c>
      <c r="E498" s="43" t="str">
        <f>IFERROR(__xludf.DUMMYFUNCTION("""COMPUTED_VALUE"""),"p_49927696f7d5667e14cd48c25bdbb1d9f9ec9eb6@inbound.aiesec.org")</f>
        <v>p_49927696f7d5667e14cd48c25bdbb1d9f9ec9eb6@inbound.aiesec.org</v>
      </c>
      <c r="F498" s="43">
        <f>IFERROR(__xludf.DUMMYFUNCTION("""COMPUTED_VALUE"""),6.80629114E8)</f>
        <v>680629114</v>
      </c>
      <c r="G498" s="43" t="str">
        <f>IFERROR(__xludf.DUMMYFUNCTION("""COMPUTED_VALUE"""),"Morocco")</f>
        <v>Morocco</v>
      </c>
      <c r="H498" s="43" t="str">
        <f>IFERROR(__xludf.DUMMYFUNCTION("""COMPUTED_VALUE"""),"Fez")</f>
        <v>Fez</v>
      </c>
      <c r="I498" s="43" t="str">
        <f>IFERROR(__xludf.DUMMYFUNCTION("""COMPUTED_VALUE"""),"Turkey")</f>
        <v>Turkey</v>
      </c>
      <c r="J498" s="43" t="str">
        <f>IFERROR(__xludf.DUMMYFUNCTION("""COMPUTED_VALUE"""),"BURSA")</f>
        <v>BURSA</v>
      </c>
      <c r="K498" s="44" t="str">
        <f>IFERROR(__xludf.DUMMYFUNCTION("""COMPUTED_VALUE"""),"https://expa.aiesec.org/opportunities/1284668")</f>
        <v>https://expa.aiesec.org/opportunities/1284668</v>
      </c>
      <c r="L498" s="43" t="str">
        <f>IFERROR(__xludf.DUMMYFUNCTION("""COMPUTED_VALUE"""),"GTe")</f>
        <v>GTe</v>
      </c>
      <c r="M498" s="43" t="str">
        <f>IFERROR(__xludf.DUMMYFUNCTION("""COMPUTED_VALUE"""),"long")</f>
        <v>long</v>
      </c>
      <c r="N498" s="45">
        <f>IFERROR(__xludf.DUMMYFUNCTION("""COMPUTED_VALUE"""),45247.0)</f>
        <v>45247</v>
      </c>
      <c r="O498" s="45">
        <f>IFERROR(__xludf.DUMMYFUNCTION("""COMPUTED_VALUE"""),45250.0)</f>
        <v>45250</v>
      </c>
      <c r="P498" s="45">
        <f>IFERROR(__xludf.DUMMYFUNCTION("""COMPUTED_VALUE"""),45616.0)</f>
        <v>45616</v>
      </c>
      <c r="Q498" s="45">
        <f>IFERROR(__xludf.DUMMYFUNCTION("""COMPUTED_VALUE"""),45260.0)</f>
        <v>45260</v>
      </c>
      <c r="R498" s="45">
        <f>IFERROR(__xludf.DUMMYFUNCTION("""COMPUTED_VALUE"""),45625.0)</f>
        <v>45625</v>
      </c>
      <c r="S498" s="43"/>
      <c r="T498" s="43"/>
      <c r="U498" s="43" t="str">
        <f>IFERROR(__xludf.DUMMYFUNCTION("""COMPUTED_VALUE"""),"Kindergarden Teacher")</f>
        <v>Kindergarden Teacher</v>
      </c>
      <c r="V498" s="43" t="str">
        <f>IFERROR(__xludf.DUMMYFUNCTION("""COMPUTED_VALUE"""),"FLSH Dahr El Mehraz et Sais Fès")</f>
        <v>FLSH Dahr El Mehraz et Sais Fès</v>
      </c>
      <c r="W498" s="43" t="str">
        <f>IFERROR(__xludf.DUMMYFUNCTION("""COMPUTED_VALUE"""),"2023-11-07T12:09:29Z")</f>
        <v>2023-11-07T12:09:29Z</v>
      </c>
      <c r="X498" s="43"/>
      <c r="Y498" s="43"/>
      <c r="Z498" s="43"/>
    </row>
    <row r="499" hidden="1">
      <c r="A499" s="43" t="str">
        <f>IFERROR(__xludf.DUMMYFUNCTION("""COMPUTED_VALUE"""),"5265134_1298993")</f>
        <v>5265134_1298993</v>
      </c>
      <c r="B499" s="43" t="str">
        <f>IFERROR(__xludf.DUMMYFUNCTION("""COMPUTED_VALUE"""),"Emagou Latifa junelle")</f>
        <v>Emagou Latifa junelle</v>
      </c>
      <c r="C499" s="43" t="str">
        <f>IFERROR(__xludf.DUMMYFUNCTION("""COMPUTED_VALUE"""),"approved")</f>
        <v>approved</v>
      </c>
      <c r="D499" s="43" t="str">
        <f>IFERROR(__xludf.DUMMYFUNCTION("""COMPUTED_VALUE"""),"No")</f>
        <v>No</v>
      </c>
      <c r="E499" s="43" t="str">
        <f>IFERROR(__xludf.DUMMYFUNCTION("""COMPUTED_VALUE"""),"p_61ebd6081d8cf1d6091360c197a7b7e88a208cac@inbound.aiesec.org")</f>
        <v>p_61ebd6081d8cf1d6091360c197a7b7e88a208cac@inbound.aiesec.org</v>
      </c>
      <c r="F499" s="43">
        <f>IFERROR(__xludf.DUMMYFUNCTION("""COMPUTED_VALUE"""),6.91744625E8)</f>
        <v>691744625</v>
      </c>
      <c r="G499" s="43" t="str">
        <f>IFERROR(__xludf.DUMMYFUNCTION("""COMPUTED_VALUE"""),"Cameroon")</f>
        <v>Cameroon</v>
      </c>
      <c r="H499" s="43" t="str">
        <f>IFERROR(__xludf.DUMMYFUNCTION("""COMPUTED_VALUE"""),"Douala")</f>
        <v>Douala</v>
      </c>
      <c r="I499" s="43" t="str">
        <f>IFERROR(__xludf.DUMMYFUNCTION("""COMPUTED_VALUE"""),"Turkey")</f>
        <v>Turkey</v>
      </c>
      <c r="J499" s="43" t="str">
        <f>IFERROR(__xludf.DUMMYFUNCTION("""COMPUTED_VALUE"""),"ADANA")</f>
        <v>ADANA</v>
      </c>
      <c r="K499" s="44" t="str">
        <f>IFERROR(__xludf.DUMMYFUNCTION("""COMPUTED_VALUE"""),"https://expa.aiesec.org/opportunities/1298993")</f>
        <v>https://expa.aiesec.org/opportunities/1298993</v>
      </c>
      <c r="L499" s="43" t="str">
        <f>IFERROR(__xludf.DUMMYFUNCTION("""COMPUTED_VALUE"""),"GTe")</f>
        <v>GTe</v>
      </c>
      <c r="M499" s="43" t="str">
        <f>IFERROR(__xludf.DUMMYFUNCTION("""COMPUTED_VALUE"""),"long")</f>
        <v>long</v>
      </c>
      <c r="N499" s="45">
        <f>IFERROR(__xludf.DUMMYFUNCTION("""COMPUTED_VALUE"""),45248.0)</f>
        <v>45248</v>
      </c>
      <c r="O499" s="45">
        <f>IFERROR(__xludf.DUMMYFUNCTION("""COMPUTED_VALUE"""),45270.0)</f>
        <v>45270</v>
      </c>
      <c r="P499" s="45">
        <f>IFERROR(__xludf.DUMMYFUNCTION("""COMPUTED_VALUE"""),45459.0)</f>
        <v>45459</v>
      </c>
      <c r="Q499" s="45"/>
      <c r="R499" s="45"/>
      <c r="S499" s="43"/>
      <c r="T499" s="43"/>
      <c r="U499" s="43" t="str">
        <f>IFERROR(__xludf.DUMMYFUNCTION("""COMPUTED_VALUE"""),"Pre-School Teacher in Osmaniye")</f>
        <v>Pre-School Teacher in Osmaniye</v>
      </c>
      <c r="V499" s="43" t="str">
        <f>IFERROR(__xludf.DUMMYFUNCTION("""COMPUTED_VALUE"""),"UNV Douala")</f>
        <v>UNV Douala</v>
      </c>
      <c r="W499" s="43" t="str">
        <f>IFERROR(__xludf.DUMMYFUNCTION("""COMPUTED_VALUE"""),"2023-05-22T22:31:00Z")</f>
        <v>2023-05-22T22:31:00Z</v>
      </c>
      <c r="X499" s="43"/>
      <c r="Y499" s="43"/>
      <c r="Z499" s="43"/>
    </row>
    <row r="500" hidden="1">
      <c r="A500" s="43" t="str">
        <f>IFERROR(__xludf.DUMMYFUNCTION("""COMPUTED_VALUE"""),"5375944_1289686")</f>
        <v>5375944_1289686</v>
      </c>
      <c r="B500" s="43" t="str">
        <f>IFERROR(__xludf.DUMMYFUNCTION("""COMPUTED_VALUE"""),"hadeer hesham")</f>
        <v>hadeer hesham</v>
      </c>
      <c r="C500" s="43" t="str">
        <f>IFERROR(__xludf.DUMMYFUNCTION("""COMPUTED_VALUE"""),"approved")</f>
        <v>approved</v>
      </c>
      <c r="D500" s="43" t="str">
        <f>IFERROR(__xludf.DUMMYFUNCTION("""COMPUTED_VALUE"""),"No")</f>
        <v>No</v>
      </c>
      <c r="E500" s="43" t="str">
        <f>IFERROR(__xludf.DUMMYFUNCTION("""COMPUTED_VALUE"""),"p_3e7b00ff30181494364d9a463e06c6364c7ef077@inbound.aiesec.org")</f>
        <v>p_3e7b00ff30181494364d9a463e06c6364c7ef077@inbound.aiesec.org</v>
      </c>
      <c r="F500" s="43">
        <f>IFERROR(__xludf.DUMMYFUNCTION("""COMPUTED_VALUE"""),1.207664046E9)</f>
        <v>1207664046</v>
      </c>
      <c r="G500" s="43" t="str">
        <f>IFERROR(__xludf.DUMMYFUNCTION("""COMPUTED_VALUE"""),"Egypt")</f>
        <v>Egypt</v>
      </c>
      <c r="H500" s="43" t="str">
        <f>IFERROR(__xludf.DUMMYFUNCTION("""COMPUTED_VALUE"""),"Alexandria")</f>
        <v>Alexandria</v>
      </c>
      <c r="I500" s="43" t="str">
        <f>IFERROR(__xludf.DUMMYFUNCTION("""COMPUTED_VALUE"""),"Turkey")</f>
        <v>Turkey</v>
      </c>
      <c r="J500" s="43" t="str">
        <f>IFERROR(__xludf.DUMMYFUNCTION("""COMPUTED_VALUE"""),"SAKARYA")</f>
        <v>SAKARYA</v>
      </c>
      <c r="K500" s="44" t="str">
        <f>IFERROR(__xludf.DUMMYFUNCTION("""COMPUTED_VALUE"""),"https://expa.aiesec.org/opportunities/1289686")</f>
        <v>https://expa.aiesec.org/opportunities/1289686</v>
      </c>
      <c r="L500" s="43" t="str">
        <f>IFERROR(__xludf.DUMMYFUNCTION("""COMPUTED_VALUE"""),"GTe")</f>
        <v>GTe</v>
      </c>
      <c r="M500" s="43" t="str">
        <f>IFERROR(__xludf.DUMMYFUNCTION("""COMPUTED_VALUE"""),"long")</f>
        <v>long</v>
      </c>
      <c r="N500" s="45">
        <f>IFERROR(__xludf.DUMMYFUNCTION("""COMPUTED_VALUE"""),45250.0)</f>
        <v>45250</v>
      </c>
      <c r="O500" s="45">
        <f>IFERROR(__xludf.DUMMYFUNCTION("""COMPUTED_VALUE"""),45292.0)</f>
        <v>45292</v>
      </c>
      <c r="P500" s="45">
        <f>IFERROR(__xludf.DUMMYFUNCTION("""COMPUTED_VALUE"""),45657.0)</f>
        <v>45657</v>
      </c>
      <c r="Q500" s="45"/>
      <c r="R500" s="45"/>
      <c r="S500" s="43"/>
      <c r="T500" s="43"/>
      <c r="U500" s="43" t="str">
        <f>IFERROR(__xludf.DUMMYFUNCTION("""COMPUTED_VALUE"""),"English Language Teacher | American Culture")</f>
        <v>English Language Teacher | American Culture</v>
      </c>
      <c r="V500" s="43" t="str">
        <f>IFERROR(__xludf.DUMMYFUNCTION("""COMPUTED_VALUE"""),"Alexandria University")</f>
        <v>Alexandria University</v>
      </c>
      <c r="W500" s="43" t="str">
        <f>IFERROR(__xludf.DUMMYFUNCTION("""COMPUTED_VALUE"""),"2023-11-20T12:35:35Z")</f>
        <v>2023-11-20T12:35:35Z</v>
      </c>
      <c r="X500" s="43"/>
      <c r="Y500" s="43"/>
      <c r="Z500" s="43"/>
    </row>
    <row r="501" hidden="1">
      <c r="A501" s="43" t="str">
        <f>IFERROR(__xludf.DUMMYFUNCTION("""COMPUTED_VALUE"""),"5375535_1299449")</f>
        <v>5375535_1299449</v>
      </c>
      <c r="B501" s="43" t="str">
        <f>IFERROR(__xludf.DUMMYFUNCTION("""COMPUTED_VALUE"""),"Mayar Mohamed")</f>
        <v>Mayar Mohamed</v>
      </c>
      <c r="C501" s="43" t="str">
        <f>IFERROR(__xludf.DUMMYFUNCTION("""COMPUTED_VALUE"""),"realized")</f>
        <v>realized</v>
      </c>
      <c r="D501" s="43" t="str">
        <f>IFERROR(__xludf.DUMMYFUNCTION("""COMPUTED_VALUE"""),"No")</f>
        <v>No</v>
      </c>
      <c r="E501" s="43" t="str">
        <f>IFERROR(__xludf.DUMMYFUNCTION("""COMPUTED_VALUE"""),"p_e1f92bcc09c934841d38d54c01562cbc242f9421@inbound.aiesec.org")</f>
        <v>p_e1f92bcc09c934841d38d54c01562cbc242f9421@inbound.aiesec.org</v>
      </c>
      <c r="F501" s="43">
        <f>IFERROR(__xludf.DUMMYFUNCTION("""COMPUTED_VALUE"""),5.339633102E9)</f>
        <v>5339633102</v>
      </c>
      <c r="G501" s="43" t="str">
        <f>IFERROR(__xludf.DUMMYFUNCTION("""COMPUTED_VALUE"""),"Egypt")</f>
        <v>Egypt</v>
      </c>
      <c r="H501" s="43" t="str">
        <f>IFERROR(__xludf.DUMMYFUNCTION("""COMPUTED_VALUE"""),"Alexandria")</f>
        <v>Alexandria</v>
      </c>
      <c r="I501" s="43" t="str">
        <f>IFERROR(__xludf.DUMMYFUNCTION("""COMPUTED_VALUE"""),"Turkey")</f>
        <v>Turkey</v>
      </c>
      <c r="J501" s="43" t="str">
        <f>IFERROR(__xludf.DUMMYFUNCTION("""COMPUTED_VALUE"""),"TRABZON")</f>
        <v>TRABZON</v>
      </c>
      <c r="K501" s="44" t="str">
        <f>IFERROR(__xludf.DUMMYFUNCTION("""COMPUTED_VALUE"""),"https://expa.aiesec.org/opportunities/1299449")</f>
        <v>https://expa.aiesec.org/opportunities/1299449</v>
      </c>
      <c r="L501" s="43" t="str">
        <f>IFERROR(__xludf.DUMMYFUNCTION("""COMPUTED_VALUE"""),"GTe")</f>
        <v>GTe</v>
      </c>
      <c r="M501" s="43" t="str">
        <f>IFERROR(__xludf.DUMMYFUNCTION("""COMPUTED_VALUE"""),"long")</f>
        <v>long</v>
      </c>
      <c r="N501" s="45">
        <f>IFERROR(__xludf.DUMMYFUNCTION("""COMPUTED_VALUE"""),45250.0)</f>
        <v>45250</v>
      </c>
      <c r="O501" s="45">
        <f>IFERROR(__xludf.DUMMYFUNCTION("""COMPUTED_VALUE"""),45263.0)</f>
        <v>45263</v>
      </c>
      <c r="P501" s="45">
        <f>IFERROR(__xludf.DUMMYFUNCTION("""COMPUTED_VALUE"""),45534.0)</f>
        <v>45534</v>
      </c>
      <c r="Q501" s="45">
        <f>IFERROR(__xludf.DUMMYFUNCTION("""COMPUTED_VALUE"""),45250.0)</f>
        <v>45250</v>
      </c>
      <c r="R501" s="45">
        <f>IFERROR(__xludf.DUMMYFUNCTION("""COMPUTED_VALUE"""),45534.0)</f>
        <v>45534</v>
      </c>
      <c r="S501" s="43"/>
      <c r="T501" s="43"/>
      <c r="U501" s="43" t="str">
        <f>IFERROR(__xludf.DUMMYFUNCTION("""COMPUTED_VALUE"""),"TAD LANGUAGE SCHOOL")</f>
        <v>TAD LANGUAGE SCHOOL</v>
      </c>
      <c r="V501" s="43" t="str">
        <f>IFERROR(__xludf.DUMMYFUNCTION("""COMPUTED_VALUE"""),"Alexandria University")</f>
        <v>Alexandria University</v>
      </c>
      <c r="W501" s="43" t="str">
        <f>IFERROR(__xludf.DUMMYFUNCTION("""COMPUTED_VALUE"""),"2023-11-19T18:04:02Z")</f>
        <v>2023-11-19T18:04:02Z</v>
      </c>
      <c r="X501" s="43"/>
      <c r="Y501" s="43"/>
      <c r="Z501" s="43"/>
    </row>
    <row r="502" hidden="1">
      <c r="A502" s="43" t="str">
        <f>IFERROR(__xludf.DUMMYFUNCTION("""COMPUTED_VALUE"""),"5373728_1297135")</f>
        <v>5373728_1297135</v>
      </c>
      <c r="B502" s="43" t="str">
        <f>IFERROR(__xludf.DUMMYFUNCTION("""COMPUTED_VALUE"""),"Sandra Wassef")</f>
        <v>Sandra Wassef</v>
      </c>
      <c r="C502" s="43" t="str">
        <f>IFERROR(__xludf.DUMMYFUNCTION("""COMPUTED_VALUE"""),"realized")</f>
        <v>realized</v>
      </c>
      <c r="D502" s="43" t="str">
        <f>IFERROR(__xludf.DUMMYFUNCTION("""COMPUTED_VALUE"""),"No")</f>
        <v>No</v>
      </c>
      <c r="E502" s="43" t="str">
        <f>IFERROR(__xludf.DUMMYFUNCTION("""COMPUTED_VALUE"""),"p_ec5a5e52e0046a731441697d32da1e7008bb95d0@inbound.aiesec.org")</f>
        <v>p_ec5a5e52e0046a731441697d32da1e7008bb95d0@inbound.aiesec.org</v>
      </c>
      <c r="F502" s="43">
        <f>IFERROR(__xludf.DUMMYFUNCTION("""COMPUTED_VALUE"""),1.28972535E9)</f>
        <v>1289725350</v>
      </c>
      <c r="G502" s="43" t="str">
        <f>IFERROR(__xludf.DUMMYFUNCTION("""COMPUTED_VALUE"""),"Egypt")</f>
        <v>Egypt</v>
      </c>
      <c r="H502" s="43" t="str">
        <f>IFERROR(__xludf.DUMMYFUNCTION("""COMPUTED_VALUE"""),"MSA")</f>
        <v>MSA</v>
      </c>
      <c r="I502" s="43" t="str">
        <f>IFERROR(__xludf.DUMMYFUNCTION("""COMPUTED_VALUE"""),"Turkey")</f>
        <v>Turkey</v>
      </c>
      <c r="J502" s="43" t="str">
        <f>IFERROR(__xludf.DUMMYFUNCTION("""COMPUTED_VALUE"""),"ADANA")</f>
        <v>ADANA</v>
      </c>
      <c r="K502" s="44" t="str">
        <f>IFERROR(__xludf.DUMMYFUNCTION("""COMPUTED_VALUE"""),"https://expa.aiesec.org/opportunities/1297135")</f>
        <v>https://expa.aiesec.org/opportunities/1297135</v>
      </c>
      <c r="L502" s="43" t="str">
        <f>IFERROR(__xludf.DUMMYFUNCTION("""COMPUTED_VALUE"""),"GTe")</f>
        <v>GTe</v>
      </c>
      <c r="M502" s="43" t="str">
        <f>IFERROR(__xludf.DUMMYFUNCTION("""COMPUTED_VALUE"""),"medium")</f>
        <v>medium</v>
      </c>
      <c r="N502" s="45">
        <f>IFERROR(__xludf.DUMMYFUNCTION("""COMPUTED_VALUE"""),45250.0)</f>
        <v>45250</v>
      </c>
      <c r="O502" s="45">
        <f>IFERROR(__xludf.DUMMYFUNCTION("""COMPUTED_VALUE"""),45276.0)</f>
        <v>45276</v>
      </c>
      <c r="P502" s="45">
        <f>IFERROR(__xludf.DUMMYFUNCTION("""COMPUTED_VALUE"""),45427.0)</f>
        <v>45427</v>
      </c>
      <c r="Q502" s="45">
        <f>IFERROR(__xludf.DUMMYFUNCTION("""COMPUTED_VALUE"""),45293.0)</f>
        <v>45293</v>
      </c>
      <c r="R502" s="45">
        <f>IFERROR(__xludf.DUMMYFUNCTION("""COMPUTED_VALUE"""),45658.0)</f>
        <v>45658</v>
      </c>
      <c r="S502" s="43"/>
      <c r="T502" s="43"/>
      <c r="U502" s="43" t="str">
        <f>IFERROR(__xludf.DUMMYFUNCTION("""COMPUTED_VALUE"""),"Pre-School Teacher ")</f>
        <v>Pre-School Teacher </v>
      </c>
      <c r="V502" s="43" t="str">
        <f>IFERROR(__xludf.DUMMYFUNCTION("""COMPUTED_VALUE"""),"MSA Univeristy")</f>
        <v>MSA Univeristy</v>
      </c>
      <c r="W502" s="43" t="str">
        <f>IFERROR(__xludf.DUMMYFUNCTION("""COMPUTED_VALUE"""),"2023-11-16T20:42:19Z")</f>
        <v>2023-11-16T20:42:19Z</v>
      </c>
      <c r="X502" s="43"/>
      <c r="Y502" s="43"/>
      <c r="Z502" s="43"/>
    </row>
    <row r="503" hidden="1">
      <c r="A503" s="43" t="str">
        <f>IFERROR(__xludf.DUMMYFUNCTION("""COMPUTED_VALUE"""),"5376246_1296625")</f>
        <v>5376246_1296625</v>
      </c>
      <c r="B503" s="43" t="str">
        <f>IFERROR(__xludf.DUMMYFUNCTION("""COMPUTED_VALUE"""),"Nageb Shehata")</f>
        <v>Nageb Shehata</v>
      </c>
      <c r="C503" s="43" t="str">
        <f>IFERROR(__xludf.DUMMYFUNCTION("""COMPUTED_VALUE"""),"realized")</f>
        <v>realized</v>
      </c>
      <c r="D503" s="43" t="str">
        <f>IFERROR(__xludf.DUMMYFUNCTION("""COMPUTED_VALUE"""),"No")</f>
        <v>No</v>
      </c>
      <c r="E503" s="43" t="str">
        <f>IFERROR(__xludf.DUMMYFUNCTION("""COMPUTED_VALUE"""),"p_04c7e34b283f61d89aaba9a1f2b10c726440b6b7@inbound.aiesec.org")</f>
        <v>p_04c7e34b283f61d89aaba9a1f2b10c726440b6b7@inbound.aiesec.org</v>
      </c>
      <c r="F503" s="43">
        <f>IFERROR(__xludf.DUMMYFUNCTION("""COMPUTED_VALUE"""),1.013144772E9)</f>
        <v>1013144772</v>
      </c>
      <c r="G503" s="43" t="str">
        <f>IFERROR(__xludf.DUMMYFUNCTION("""COMPUTED_VALUE"""),"Egypt")</f>
        <v>Egypt</v>
      </c>
      <c r="H503" s="43" t="str">
        <f>IFERROR(__xludf.DUMMYFUNCTION("""COMPUTED_VALUE"""),"Menofia")</f>
        <v>Menofia</v>
      </c>
      <c r="I503" s="43" t="str">
        <f>IFERROR(__xludf.DUMMYFUNCTION("""COMPUTED_VALUE"""),"Turkey")</f>
        <v>Turkey</v>
      </c>
      <c r="J503" s="43" t="str">
        <f>IFERROR(__xludf.DUMMYFUNCTION("""COMPUTED_VALUE"""),"SAKARYA")</f>
        <v>SAKARYA</v>
      </c>
      <c r="K503" s="44" t="str">
        <f>IFERROR(__xludf.DUMMYFUNCTION("""COMPUTED_VALUE"""),"https://expa.aiesec.org/opportunities/1296625")</f>
        <v>https://expa.aiesec.org/opportunities/1296625</v>
      </c>
      <c r="L503" s="43" t="str">
        <f>IFERROR(__xludf.DUMMYFUNCTION("""COMPUTED_VALUE"""),"GTe")</f>
        <v>GTe</v>
      </c>
      <c r="M503" s="43" t="str">
        <f>IFERROR(__xludf.DUMMYFUNCTION("""COMPUTED_VALUE"""),"long")</f>
        <v>long</v>
      </c>
      <c r="N503" s="45">
        <f>IFERROR(__xludf.DUMMYFUNCTION("""COMPUTED_VALUE"""),45251.0)</f>
        <v>45251</v>
      </c>
      <c r="O503" s="45">
        <f>IFERROR(__xludf.DUMMYFUNCTION("""COMPUTED_VALUE"""),45260.0)</f>
        <v>45260</v>
      </c>
      <c r="P503" s="45">
        <f>IFERROR(__xludf.DUMMYFUNCTION("""COMPUTED_VALUE"""),45626.0)</f>
        <v>45626</v>
      </c>
      <c r="Q503" s="45">
        <f>IFERROR(__xludf.DUMMYFUNCTION("""COMPUTED_VALUE"""),45257.0)</f>
        <v>45257</v>
      </c>
      <c r="R503" s="45">
        <f>IFERROR(__xludf.DUMMYFUNCTION("""COMPUTED_VALUE"""),45626.0)</f>
        <v>45626</v>
      </c>
      <c r="S503" s="43"/>
      <c r="T503" s="43"/>
      <c r="U503" s="43" t="str">
        <f>IFERROR(__xludf.DUMMYFUNCTION("""COMPUTED_VALUE"""),"English Teacher")</f>
        <v>English Teacher</v>
      </c>
      <c r="V503" s="43" t="str">
        <f>IFERROR(__xludf.DUMMYFUNCTION("""COMPUTED_VALUE"""),"University of Sadat City")</f>
        <v>University of Sadat City</v>
      </c>
      <c r="W503" s="43" t="str">
        <f>IFERROR(__xludf.DUMMYFUNCTION("""COMPUTED_VALUE"""),"2023-11-20T17:57:00Z")</f>
        <v>2023-11-20T17:57:00Z</v>
      </c>
      <c r="X503" s="43"/>
      <c r="Y503" s="43"/>
      <c r="Z503" s="43"/>
    </row>
    <row r="504" hidden="1">
      <c r="A504" s="43" t="str">
        <f>IFERROR(__xludf.DUMMYFUNCTION("""COMPUTED_VALUE"""),"5370389_1301559")</f>
        <v>5370389_1301559</v>
      </c>
      <c r="B504" s="43" t="str">
        <f>IFERROR(__xludf.DUMMYFUNCTION("""COMPUTED_VALUE"""),"Bochra Bouafsoun")</f>
        <v>Bochra Bouafsoun</v>
      </c>
      <c r="C504" s="43" t="str">
        <f>IFERROR(__xludf.DUMMYFUNCTION("""COMPUTED_VALUE"""),"realized")</f>
        <v>realized</v>
      </c>
      <c r="D504" s="43" t="str">
        <f>IFERROR(__xludf.DUMMYFUNCTION("""COMPUTED_VALUE"""),"No")</f>
        <v>No</v>
      </c>
      <c r="E504" s="43" t="str">
        <f>IFERROR(__xludf.DUMMYFUNCTION("""COMPUTED_VALUE"""),"p_4b2d36c8ebdce0b45b2fa7ae8c526ca301b2f638@inbound.aiesec.org")</f>
        <v>p_4b2d36c8ebdce0b45b2fa7ae8c526ca301b2f638@inbound.aiesec.org</v>
      </c>
      <c r="F504" s="43">
        <f>IFERROR(__xludf.DUMMYFUNCTION("""COMPUTED_VALUE"""),5.8760083E7)</f>
        <v>58760083</v>
      </c>
      <c r="G504" s="43" t="str">
        <f>IFERROR(__xludf.DUMMYFUNCTION("""COMPUTED_VALUE"""),"Tunisia")</f>
        <v>Tunisia</v>
      </c>
      <c r="H504" s="43" t="str">
        <f>IFERROR(__xludf.DUMMYFUNCTION("""COMPUTED_VALUE"""),"UNIVERSITY")</f>
        <v>UNIVERSITY</v>
      </c>
      <c r="I504" s="43" t="str">
        <f>IFERROR(__xludf.DUMMYFUNCTION("""COMPUTED_VALUE"""),"Turkey")</f>
        <v>Turkey</v>
      </c>
      <c r="J504" s="43" t="str">
        <f>IFERROR(__xludf.DUMMYFUNCTION("""COMPUTED_VALUE"""),"ISTANBUL WEST")</f>
        <v>ISTANBUL WEST</v>
      </c>
      <c r="K504" s="44" t="str">
        <f>IFERROR(__xludf.DUMMYFUNCTION("""COMPUTED_VALUE"""),"https://expa.aiesec.org/opportunities/1301559")</f>
        <v>https://expa.aiesec.org/opportunities/1301559</v>
      </c>
      <c r="L504" s="43" t="str">
        <f>IFERROR(__xludf.DUMMYFUNCTION("""COMPUTED_VALUE"""),"GTe")</f>
        <v>GTe</v>
      </c>
      <c r="M504" s="43" t="str">
        <f>IFERROR(__xludf.DUMMYFUNCTION("""COMPUTED_VALUE"""),"long")</f>
        <v>long</v>
      </c>
      <c r="N504" s="45">
        <f>IFERROR(__xludf.DUMMYFUNCTION("""COMPUTED_VALUE"""),45253.0)</f>
        <v>45253</v>
      </c>
      <c r="O504" s="45">
        <f>IFERROR(__xludf.DUMMYFUNCTION("""COMPUTED_VALUE"""),45266.0)</f>
        <v>45266</v>
      </c>
      <c r="P504" s="45">
        <f>IFERROR(__xludf.DUMMYFUNCTION("""COMPUTED_VALUE"""),45625.0)</f>
        <v>45625</v>
      </c>
      <c r="Q504" s="45">
        <f>IFERROR(__xludf.DUMMYFUNCTION("""COMPUTED_VALUE"""),45267.0)</f>
        <v>45267</v>
      </c>
      <c r="R504" s="45">
        <f>IFERROR(__xludf.DUMMYFUNCTION("""COMPUTED_VALUE"""),45625.0)</f>
        <v>45625</v>
      </c>
      <c r="S504" s="43"/>
      <c r="T504" s="43"/>
      <c r="U504" s="43" t="str">
        <f>IFERROR(__xludf.DUMMYFUNCTION("""COMPUTED_VALUE"""),"PRE - SCHOOL TEACHER at ISTANBUL AIKA/BAHÇEŞEHİR")</f>
        <v>PRE - SCHOOL TEACHER at ISTANBUL AIKA/BAHÇEŞEHİR</v>
      </c>
      <c r="V504" s="43" t="str">
        <f>IFERROR(__xludf.DUMMYFUNCTION("""COMPUTED_VALUE"""),"ISSHT")</f>
        <v>ISSHT</v>
      </c>
      <c r="W504" s="43" t="str">
        <f>IFERROR(__xludf.DUMMYFUNCTION("""COMPUTED_VALUE"""),"2023-11-10T15:26:49Z")</f>
        <v>2023-11-10T15:26:49Z</v>
      </c>
      <c r="X504" s="43"/>
      <c r="Y504" s="43"/>
      <c r="Z504" s="43"/>
    </row>
    <row r="505" hidden="1">
      <c r="A505" s="43" t="str">
        <f>IFERROR(__xludf.DUMMYFUNCTION("""COMPUTED_VALUE"""),"5376572_1283288")</f>
        <v>5376572_1283288</v>
      </c>
      <c r="B505" s="43" t="str">
        <f>IFERROR(__xludf.DUMMYFUNCTION("""COMPUTED_VALUE"""),"Sarah Bauroth")</f>
        <v>Sarah Bauroth</v>
      </c>
      <c r="C505" s="43" t="str">
        <f>IFERROR(__xludf.DUMMYFUNCTION("""COMPUTED_VALUE"""),"realized")</f>
        <v>realized</v>
      </c>
      <c r="D505" s="43" t="str">
        <f>IFERROR(__xludf.DUMMYFUNCTION("""COMPUTED_VALUE"""),"No")</f>
        <v>No</v>
      </c>
      <c r="E505" s="43" t="str">
        <f>IFERROR(__xludf.DUMMYFUNCTION("""COMPUTED_VALUE"""),"p_21a191f96f0c79f0004f05bdf9b063be138ae84d@inbound.aiesec.org")</f>
        <v>p_21a191f96f0c79f0004f05bdf9b063be138ae84d@inbound.aiesec.org</v>
      </c>
      <c r="F505" s="43"/>
      <c r="G505" s="43" t="str">
        <f>IFERROR(__xludf.DUMMYFUNCTION("""COMPUTED_VALUE"""),"Germany")</f>
        <v>Germany</v>
      </c>
      <c r="H505" s="43" t="str">
        <f>IFERROR(__xludf.DUMMYFUNCTION("""COMPUTED_VALUE"""),"HALLE")</f>
        <v>HALLE</v>
      </c>
      <c r="I505" s="43" t="str">
        <f>IFERROR(__xludf.DUMMYFUNCTION("""COMPUTED_VALUE"""),"Turkey")</f>
        <v>Turkey</v>
      </c>
      <c r="J505" s="43" t="str">
        <f>IFERROR(__xludf.DUMMYFUNCTION("""COMPUTED_VALUE"""),"ISTANBUL ASIA")</f>
        <v>ISTANBUL ASIA</v>
      </c>
      <c r="K505" s="44" t="str">
        <f>IFERROR(__xludf.DUMMYFUNCTION("""COMPUTED_VALUE"""),"https://expa.aiesec.org/opportunities/1283288")</f>
        <v>https://expa.aiesec.org/opportunities/1283288</v>
      </c>
      <c r="L505" s="43" t="str">
        <f>IFERROR(__xludf.DUMMYFUNCTION("""COMPUTED_VALUE"""),"GTe")</f>
        <v>GTe</v>
      </c>
      <c r="M505" s="43" t="str">
        <f>IFERROR(__xludf.DUMMYFUNCTION("""COMPUTED_VALUE"""),"long")</f>
        <v>long</v>
      </c>
      <c r="N505" s="45">
        <f>IFERROR(__xludf.DUMMYFUNCTION("""COMPUTED_VALUE"""),45254.0)</f>
        <v>45254</v>
      </c>
      <c r="O505" s="45">
        <f>IFERROR(__xludf.DUMMYFUNCTION("""COMPUTED_VALUE"""),45271.0)</f>
        <v>45271</v>
      </c>
      <c r="P505" s="45">
        <f>IFERROR(__xludf.DUMMYFUNCTION("""COMPUTED_VALUE"""),45632.0)</f>
        <v>45632</v>
      </c>
      <c r="Q505" s="45">
        <f>IFERROR(__xludf.DUMMYFUNCTION("""COMPUTED_VALUE"""),45306.0)</f>
        <v>45306</v>
      </c>
      <c r="R505" s="45">
        <f>IFERROR(__xludf.DUMMYFUNCTION("""COMPUTED_VALUE"""),45667.0)</f>
        <v>45667</v>
      </c>
      <c r="S505" s="43"/>
      <c r="T505" s="43" t="str">
        <f>IFERROR(__xludf.DUMMYFUNCTION("""COMPUTED_VALUE"""),"Other")</f>
        <v>Other</v>
      </c>
      <c r="U505" s="43" t="str">
        <f>IFERROR(__xludf.DUMMYFUNCTION("""COMPUTED_VALUE"""),"Native Speaker")</f>
        <v>Native Speaker</v>
      </c>
      <c r="V505" s="43" t="str">
        <f>IFERROR(__xludf.DUMMYFUNCTION("""COMPUTED_VALUE"""),"Leipzig")</f>
        <v>Leipzig</v>
      </c>
      <c r="W505" s="43" t="str">
        <f>IFERROR(__xludf.DUMMYFUNCTION("""COMPUTED_VALUE"""),"2023-11-21T08:59:40Z")</f>
        <v>2023-11-21T08:59:40Z</v>
      </c>
      <c r="X505" s="43"/>
      <c r="Y505" s="43"/>
      <c r="Z505" s="43"/>
    </row>
    <row r="506" hidden="1">
      <c r="A506" s="43" t="str">
        <f>IFERROR(__xludf.DUMMYFUNCTION("""COMPUTED_VALUE"""),"5374714_1284668")</f>
        <v>5374714_1284668</v>
      </c>
      <c r="B506" s="43" t="str">
        <f>IFERROR(__xludf.DUMMYFUNCTION("""COMPUTED_VALUE"""),"Chaimae El kroumi")</f>
        <v>Chaimae El kroumi</v>
      </c>
      <c r="C506" s="43" t="str">
        <f>IFERROR(__xludf.DUMMYFUNCTION("""COMPUTED_VALUE"""),"realized")</f>
        <v>realized</v>
      </c>
      <c r="D506" s="43" t="str">
        <f>IFERROR(__xludf.DUMMYFUNCTION("""COMPUTED_VALUE"""),"No")</f>
        <v>No</v>
      </c>
      <c r="E506" s="43" t="str">
        <f>IFERROR(__xludf.DUMMYFUNCTION("""COMPUTED_VALUE"""),"p_3f4b1c548aadd8214532c4573d5390e5b822a984@inbound.aiesec.org")</f>
        <v>p_3f4b1c548aadd8214532c4573d5390e5b822a984@inbound.aiesec.org</v>
      </c>
      <c r="F506" s="43">
        <f>IFERROR(__xludf.DUMMYFUNCTION("""COMPUTED_VALUE"""),6.51026739E8)</f>
        <v>651026739</v>
      </c>
      <c r="G506" s="43" t="str">
        <f>IFERROR(__xludf.DUMMYFUNCTION("""COMPUTED_VALUE"""),"Morocco")</f>
        <v>Morocco</v>
      </c>
      <c r="H506" s="43" t="str">
        <f>IFERROR(__xludf.DUMMYFUNCTION("""COMPUTED_VALUE"""),"Morocco (MC)")</f>
        <v>Morocco (MC)</v>
      </c>
      <c r="I506" s="43" t="str">
        <f>IFERROR(__xludf.DUMMYFUNCTION("""COMPUTED_VALUE"""),"Turkey")</f>
        <v>Turkey</v>
      </c>
      <c r="J506" s="43" t="str">
        <f>IFERROR(__xludf.DUMMYFUNCTION("""COMPUTED_VALUE"""),"BURSA")</f>
        <v>BURSA</v>
      </c>
      <c r="K506" s="44" t="str">
        <f>IFERROR(__xludf.DUMMYFUNCTION("""COMPUTED_VALUE"""),"https://expa.aiesec.org/opportunities/1284668")</f>
        <v>https://expa.aiesec.org/opportunities/1284668</v>
      </c>
      <c r="L506" s="43" t="str">
        <f>IFERROR(__xludf.DUMMYFUNCTION("""COMPUTED_VALUE"""),"GTe")</f>
        <v>GTe</v>
      </c>
      <c r="M506" s="43" t="str">
        <f>IFERROR(__xludf.DUMMYFUNCTION("""COMPUTED_VALUE"""),"long")</f>
        <v>long</v>
      </c>
      <c r="N506" s="45">
        <f>IFERROR(__xludf.DUMMYFUNCTION("""COMPUTED_VALUE"""),45254.0)</f>
        <v>45254</v>
      </c>
      <c r="O506" s="45">
        <f>IFERROR(__xludf.DUMMYFUNCTION("""COMPUTED_VALUE"""),45269.0)</f>
        <v>45269</v>
      </c>
      <c r="P506" s="45">
        <f>IFERROR(__xludf.DUMMYFUNCTION("""COMPUTED_VALUE"""),45634.0)</f>
        <v>45634</v>
      </c>
      <c r="Q506" s="45">
        <f>IFERROR(__xludf.DUMMYFUNCTION("""COMPUTED_VALUE"""),45272.0)</f>
        <v>45272</v>
      </c>
      <c r="R506" s="45">
        <f>IFERROR(__xludf.DUMMYFUNCTION("""COMPUTED_VALUE"""),45637.0)</f>
        <v>45637</v>
      </c>
      <c r="S506" s="43"/>
      <c r="T506" s="43"/>
      <c r="U506" s="43" t="str">
        <f>IFERROR(__xludf.DUMMYFUNCTION("""COMPUTED_VALUE"""),"Kindergarden Teacher")</f>
        <v>Kindergarden Teacher</v>
      </c>
      <c r="V506" s="43" t="str">
        <f>IFERROR(__xludf.DUMMYFUNCTION("""COMPUTED_VALUE"""),"Collège LaSalle Marrakech")</f>
        <v>Collège LaSalle Marrakech</v>
      </c>
      <c r="W506" s="43" t="str">
        <f>IFERROR(__xludf.DUMMYFUNCTION("""COMPUTED_VALUE"""),"2023-11-17T22:04:06Z")</f>
        <v>2023-11-17T22:04:06Z</v>
      </c>
      <c r="X506" s="43"/>
      <c r="Y506" s="43"/>
      <c r="Z506" s="43"/>
    </row>
    <row r="507" hidden="1">
      <c r="A507" s="43" t="str">
        <f>IFERROR(__xludf.DUMMYFUNCTION("""COMPUTED_VALUE"""),"5379336_1294473")</f>
        <v>5379336_1294473</v>
      </c>
      <c r="B507" s="43" t="str">
        <f>IFERROR(__xludf.DUMMYFUNCTION("""COMPUTED_VALUE"""),"hytef touati")</f>
        <v>hytef touati</v>
      </c>
      <c r="C507" s="43" t="str">
        <f>IFERROR(__xludf.DUMMYFUNCTION("""COMPUTED_VALUE"""),"approved")</f>
        <v>approved</v>
      </c>
      <c r="D507" s="43" t="str">
        <f>IFERROR(__xludf.DUMMYFUNCTION("""COMPUTED_VALUE"""),"No")</f>
        <v>No</v>
      </c>
      <c r="E507" s="43" t="str">
        <f>IFERROR(__xludf.DUMMYFUNCTION("""COMPUTED_VALUE"""),"p_0abf378d8781d44d65838891b54848a787047d12@inbound.aiesec.org")</f>
        <v>p_0abf378d8781d44d65838891b54848a787047d12@inbound.aiesec.org</v>
      </c>
      <c r="F507" s="43">
        <f>IFERROR(__xludf.DUMMYFUNCTION("""COMPUTED_VALUE"""),7.95909318E8)</f>
        <v>795909318</v>
      </c>
      <c r="G507" s="43" t="str">
        <f>IFERROR(__xludf.DUMMYFUNCTION("""COMPUTED_VALUE"""),"Algeria")</f>
        <v>Algeria</v>
      </c>
      <c r="H507" s="43" t="str">
        <f>IFERROR(__xludf.DUMMYFUNCTION("""COMPUTED_VALUE"""),"Oran")</f>
        <v>Oran</v>
      </c>
      <c r="I507" s="43" t="str">
        <f>IFERROR(__xludf.DUMMYFUNCTION("""COMPUTED_VALUE"""),"Turkey")</f>
        <v>Turkey</v>
      </c>
      <c r="J507" s="43" t="str">
        <f>IFERROR(__xludf.DUMMYFUNCTION("""COMPUTED_VALUE"""),"SAKARYA")</f>
        <v>SAKARYA</v>
      </c>
      <c r="K507" s="44" t="str">
        <f>IFERROR(__xludf.DUMMYFUNCTION("""COMPUTED_VALUE"""),"https://expa.aiesec.org/opportunities/1294473")</f>
        <v>https://expa.aiesec.org/opportunities/1294473</v>
      </c>
      <c r="L507" s="43" t="str">
        <f>IFERROR(__xludf.DUMMYFUNCTION("""COMPUTED_VALUE"""),"GTe")</f>
        <v>GTe</v>
      </c>
      <c r="M507" s="43" t="str">
        <f>IFERROR(__xludf.DUMMYFUNCTION("""COMPUTED_VALUE"""),"long")</f>
        <v>long</v>
      </c>
      <c r="N507" s="45">
        <f>IFERROR(__xludf.DUMMYFUNCTION("""COMPUTED_VALUE"""),45254.0)</f>
        <v>45254</v>
      </c>
      <c r="O507" s="45">
        <f>IFERROR(__xludf.DUMMYFUNCTION("""COMPUTED_VALUE"""),45275.0)</f>
        <v>45275</v>
      </c>
      <c r="P507" s="45">
        <f>IFERROR(__xludf.DUMMYFUNCTION("""COMPUTED_VALUE"""),45638.0)</f>
        <v>45638</v>
      </c>
      <c r="Q507" s="45"/>
      <c r="R507" s="45"/>
      <c r="S507" s="43"/>
      <c r="T507" s="43"/>
      <c r="U507" s="43" t="str">
        <f>IFERROR(__xludf.DUMMYFUNCTION("""COMPUTED_VALUE"""),"English Teacher | Dudu Akademi")</f>
        <v>English Teacher | Dudu Akademi</v>
      </c>
      <c r="V507" s="43" t="str">
        <f>IFERROR(__xludf.DUMMYFUNCTION("""COMPUTED_VALUE"""),"AIESEC in Oran")</f>
        <v>AIESEC in Oran</v>
      </c>
      <c r="W507" s="43" t="str">
        <f>IFERROR(__xludf.DUMMYFUNCTION("""COMPUTED_VALUE"""),"2023-11-24T22:29:31Z")</f>
        <v>2023-11-24T22:29:31Z</v>
      </c>
      <c r="X507" s="43"/>
      <c r="Y507" s="43"/>
      <c r="Z507" s="43"/>
    </row>
    <row r="508" hidden="1">
      <c r="A508" s="43" t="str">
        <f>IFERROR(__xludf.DUMMYFUNCTION("""COMPUTED_VALUE"""),"5301410_1299013")</f>
        <v>5301410_1299013</v>
      </c>
      <c r="B508" s="43" t="str">
        <f>IFERROR(__xludf.DUMMYFUNCTION("""COMPUTED_VALUE"""),"DOUNANE Hadjer")</f>
        <v>DOUNANE Hadjer</v>
      </c>
      <c r="C508" s="43" t="str">
        <f>IFERROR(__xludf.DUMMYFUNCTION("""COMPUTED_VALUE"""),"realized")</f>
        <v>realized</v>
      </c>
      <c r="D508" s="43" t="str">
        <f>IFERROR(__xludf.DUMMYFUNCTION("""COMPUTED_VALUE"""),"No")</f>
        <v>No</v>
      </c>
      <c r="E508" s="43" t="str">
        <f>IFERROR(__xludf.DUMMYFUNCTION("""COMPUTED_VALUE"""),"p_ad2ed2de98d49b46728c062d7a9c7a3d29cadfd1@inbound.aiesec.org")</f>
        <v>p_ad2ed2de98d49b46728c062d7a9c7a3d29cadfd1@inbound.aiesec.org</v>
      </c>
      <c r="F508" s="43">
        <f>IFERROR(__xludf.DUMMYFUNCTION("""COMPUTED_VALUE"""),6.98129548E8)</f>
        <v>698129548</v>
      </c>
      <c r="G508" s="43" t="str">
        <f>IFERROR(__xludf.DUMMYFUNCTION("""COMPUTED_VALUE"""),"Algeria")</f>
        <v>Algeria</v>
      </c>
      <c r="H508" s="43" t="str">
        <f>IFERROR(__xludf.DUMMYFUNCTION("""COMPUTED_VALUE"""),"Oran")</f>
        <v>Oran</v>
      </c>
      <c r="I508" s="43" t="str">
        <f>IFERROR(__xludf.DUMMYFUNCTION("""COMPUTED_VALUE"""),"Turkey")</f>
        <v>Turkey</v>
      </c>
      <c r="J508" s="43" t="str">
        <f>IFERROR(__xludf.DUMMYFUNCTION("""COMPUTED_VALUE"""),"GAZIANTEP")</f>
        <v>GAZIANTEP</v>
      </c>
      <c r="K508" s="44" t="str">
        <f>IFERROR(__xludf.DUMMYFUNCTION("""COMPUTED_VALUE"""),"https://expa.aiesec.org/opportunities/1299013")</f>
        <v>https://expa.aiesec.org/opportunities/1299013</v>
      </c>
      <c r="L508" s="43" t="str">
        <f>IFERROR(__xludf.DUMMYFUNCTION("""COMPUTED_VALUE"""),"GTe")</f>
        <v>GTe</v>
      </c>
      <c r="M508" s="43" t="str">
        <f>IFERROR(__xludf.DUMMYFUNCTION("""COMPUTED_VALUE"""),"long")</f>
        <v>long</v>
      </c>
      <c r="N508" s="45">
        <f>IFERROR(__xludf.DUMMYFUNCTION("""COMPUTED_VALUE"""),45257.0)</f>
        <v>45257</v>
      </c>
      <c r="O508" s="45">
        <f>IFERROR(__xludf.DUMMYFUNCTION("""COMPUTED_VALUE"""),45268.0)</f>
        <v>45268</v>
      </c>
      <c r="P508" s="45">
        <f>IFERROR(__xludf.DUMMYFUNCTION("""COMPUTED_VALUE"""),45633.0)</f>
        <v>45633</v>
      </c>
      <c r="Q508" s="45">
        <f>IFERROR(__xludf.DUMMYFUNCTION("""COMPUTED_VALUE"""),45287.0)</f>
        <v>45287</v>
      </c>
      <c r="R508" s="45">
        <f>IFERROR(__xludf.DUMMYFUNCTION("""COMPUTED_VALUE"""),45652.0)</f>
        <v>45652</v>
      </c>
      <c r="S508" s="43"/>
      <c r="T508" s="43"/>
      <c r="U508" s="43" t="str">
        <f>IFERROR(__xludf.DUMMYFUNCTION("""COMPUTED_VALUE"""),"English Teacher ")</f>
        <v>English Teacher </v>
      </c>
      <c r="V508" s="43" t="str">
        <f>IFERROR(__xludf.DUMMYFUNCTION("""COMPUTED_VALUE"""),"AIESEC in Oran")</f>
        <v>AIESEC in Oran</v>
      </c>
      <c r="W508" s="43" t="str">
        <f>IFERROR(__xludf.DUMMYFUNCTION("""COMPUTED_VALUE"""),"2023-08-12T00:33:43Z")</f>
        <v>2023-08-12T00:33:43Z</v>
      </c>
      <c r="X508" s="43"/>
      <c r="Y508" s="43"/>
      <c r="Z508" s="43"/>
    </row>
    <row r="509" hidden="1">
      <c r="A509" s="43" t="str">
        <f>IFERROR(__xludf.DUMMYFUNCTION("""COMPUTED_VALUE"""),"5381118_1299824")</f>
        <v>5381118_1299824</v>
      </c>
      <c r="B509" s="43" t="str">
        <f>IFERROR(__xludf.DUMMYFUNCTION("""COMPUTED_VALUE"""),"Rania Amamou")</f>
        <v>Rania Amamou</v>
      </c>
      <c r="C509" s="43" t="str">
        <f>IFERROR(__xludf.DUMMYFUNCTION("""COMPUTED_VALUE"""),"realized")</f>
        <v>realized</v>
      </c>
      <c r="D509" s="43" t="str">
        <f>IFERROR(__xludf.DUMMYFUNCTION("""COMPUTED_VALUE"""),"No")</f>
        <v>No</v>
      </c>
      <c r="E509" s="43" t="str">
        <f>IFERROR(__xludf.DUMMYFUNCTION("""COMPUTED_VALUE"""),"p_fdf97a623f594bc51c05b3117e9f7bc63e395d04@inbound.aiesec.org")</f>
        <v>p_fdf97a623f594bc51c05b3117e9f7bc63e395d04@inbound.aiesec.org</v>
      </c>
      <c r="F509" s="43">
        <f>IFERROR(__xludf.DUMMYFUNCTION("""COMPUTED_VALUE"""),2.8640414E7)</f>
        <v>28640414</v>
      </c>
      <c r="G509" s="43" t="str">
        <f>IFERROR(__xludf.DUMMYFUNCTION("""COMPUTED_VALUE"""),"Tunisia")</f>
        <v>Tunisia</v>
      </c>
      <c r="H509" s="43" t="str">
        <f>IFERROR(__xludf.DUMMYFUNCTION("""COMPUTED_VALUE"""),"HADRUMET")</f>
        <v>HADRUMET</v>
      </c>
      <c r="I509" s="43" t="str">
        <f>IFERROR(__xludf.DUMMYFUNCTION("""COMPUTED_VALUE"""),"Turkey")</f>
        <v>Turkey</v>
      </c>
      <c r="J509" s="43" t="str">
        <f>IFERROR(__xludf.DUMMYFUNCTION("""COMPUTED_VALUE"""),"KOCAELI")</f>
        <v>KOCAELI</v>
      </c>
      <c r="K509" s="44" t="str">
        <f>IFERROR(__xludf.DUMMYFUNCTION("""COMPUTED_VALUE"""),"https://expa.aiesec.org/opportunities/1299824")</f>
        <v>https://expa.aiesec.org/opportunities/1299824</v>
      </c>
      <c r="L509" s="43" t="str">
        <f>IFERROR(__xludf.DUMMYFUNCTION("""COMPUTED_VALUE"""),"GTe")</f>
        <v>GTe</v>
      </c>
      <c r="M509" s="43" t="str">
        <f>IFERROR(__xludf.DUMMYFUNCTION("""COMPUTED_VALUE"""),"long")</f>
        <v>long</v>
      </c>
      <c r="N509" s="45">
        <f>IFERROR(__xludf.DUMMYFUNCTION("""COMPUTED_VALUE"""),45257.0)</f>
        <v>45257</v>
      </c>
      <c r="O509" s="45">
        <f>IFERROR(__xludf.DUMMYFUNCTION("""COMPUTED_VALUE"""),45260.0)</f>
        <v>45260</v>
      </c>
      <c r="P509" s="45">
        <f>IFERROR(__xludf.DUMMYFUNCTION("""COMPUTED_VALUE"""),45458.0)</f>
        <v>45458</v>
      </c>
      <c r="Q509" s="45">
        <f>IFERROR(__xludf.DUMMYFUNCTION("""COMPUTED_VALUE"""),45257.0)</f>
        <v>45257</v>
      </c>
      <c r="R509" s="45">
        <f>IFERROR(__xludf.DUMMYFUNCTION("""COMPUTED_VALUE"""),45458.0)</f>
        <v>45458</v>
      </c>
      <c r="S509" s="43"/>
      <c r="T509" s="43"/>
      <c r="U509" s="43" t="str">
        <f>IFERROR(__xludf.DUMMYFUNCTION("""COMPUTED_VALUE"""),"English Teacher in Limon Ağacı Kindergaten")</f>
        <v>English Teacher in Limon Ağacı Kindergaten</v>
      </c>
      <c r="V509" s="43" t="str">
        <f>IFERROR(__xludf.DUMMYFUNCTION("""COMPUTED_VALUE"""),"FLSH Sousse")</f>
        <v>FLSH Sousse</v>
      </c>
      <c r="W509" s="43" t="str">
        <f>IFERROR(__xludf.DUMMYFUNCTION("""COMPUTED_VALUE"""),"2023-11-27T21:23:46Z")</f>
        <v>2023-11-27T21:23:46Z</v>
      </c>
      <c r="X509" s="43"/>
      <c r="Y509" s="43"/>
      <c r="Z509" s="43"/>
    </row>
    <row r="510" hidden="1">
      <c r="A510" s="43" t="str">
        <f>IFERROR(__xludf.DUMMYFUNCTION("""COMPUTED_VALUE"""),"5018462_1286368")</f>
        <v>5018462_1286368</v>
      </c>
      <c r="B510" s="43" t="str">
        <f>IFERROR(__xludf.DUMMYFUNCTION("""COMPUTED_VALUE"""),"nesrine jeddi")</f>
        <v>nesrine jeddi</v>
      </c>
      <c r="C510" s="43" t="str">
        <f>IFERROR(__xludf.DUMMYFUNCTION("""COMPUTED_VALUE"""),"realized")</f>
        <v>realized</v>
      </c>
      <c r="D510" s="43" t="str">
        <f>IFERROR(__xludf.DUMMYFUNCTION("""COMPUTED_VALUE"""),"No")</f>
        <v>No</v>
      </c>
      <c r="E510" s="43" t="str">
        <f>IFERROR(__xludf.DUMMYFUNCTION("""COMPUTED_VALUE"""),"p_70466bcee553f333958311055ec334f39e8a4c68@inbound.aiesec.org")</f>
        <v>p_70466bcee553f333958311055ec334f39e8a4c68@inbound.aiesec.org</v>
      </c>
      <c r="F510" s="43">
        <f>IFERROR(__xludf.DUMMYFUNCTION("""COMPUTED_VALUE"""),5.2390497E7)</f>
        <v>52390497</v>
      </c>
      <c r="G510" s="43" t="str">
        <f>IFERROR(__xludf.DUMMYFUNCTION("""COMPUTED_VALUE"""),"Tunisia")</f>
        <v>Tunisia</v>
      </c>
      <c r="H510" s="43" t="str">
        <f>IFERROR(__xludf.DUMMYFUNCTION("""COMPUTED_VALUE"""),"Carthage")</f>
        <v>Carthage</v>
      </c>
      <c r="I510" s="43" t="str">
        <f>IFERROR(__xludf.DUMMYFUNCTION("""COMPUTED_VALUE"""),"Turkey")</f>
        <v>Turkey</v>
      </c>
      <c r="J510" s="43" t="str">
        <f>IFERROR(__xludf.DUMMYFUNCTION("""COMPUTED_VALUE"""),"ISTANBUL ASIA")</f>
        <v>ISTANBUL ASIA</v>
      </c>
      <c r="K510" s="44" t="str">
        <f>IFERROR(__xludf.DUMMYFUNCTION("""COMPUTED_VALUE"""),"https://expa.aiesec.org/opportunities/1286368")</f>
        <v>https://expa.aiesec.org/opportunities/1286368</v>
      </c>
      <c r="L510" s="43" t="str">
        <f>IFERROR(__xludf.DUMMYFUNCTION("""COMPUTED_VALUE"""),"GTe")</f>
        <v>GTe</v>
      </c>
      <c r="M510" s="43" t="str">
        <f>IFERROR(__xludf.DUMMYFUNCTION("""COMPUTED_VALUE"""),"long")</f>
        <v>long</v>
      </c>
      <c r="N510" s="45">
        <f>IFERROR(__xludf.DUMMYFUNCTION("""COMPUTED_VALUE"""),45258.0)</f>
        <v>45258</v>
      </c>
      <c r="O510" s="45">
        <f>IFERROR(__xludf.DUMMYFUNCTION("""COMPUTED_VALUE"""),45273.0)</f>
        <v>45273</v>
      </c>
      <c r="P510" s="45">
        <f>IFERROR(__xludf.DUMMYFUNCTION("""COMPUTED_VALUE"""),45499.0)</f>
        <v>45499</v>
      </c>
      <c r="Q510" s="45">
        <f>IFERROR(__xludf.DUMMYFUNCTION("""COMPUTED_VALUE"""),45274.0)</f>
        <v>45274</v>
      </c>
      <c r="R510" s="45">
        <f>IFERROR(__xludf.DUMMYFUNCTION("""COMPUTED_VALUE"""),45500.0)</f>
        <v>45500</v>
      </c>
      <c r="S510" s="43"/>
      <c r="T510" s="43"/>
      <c r="U510" s="43" t="str">
        <f>IFERROR(__xludf.DUMMYFUNCTION("""COMPUTED_VALUE"""),"English Teacher")</f>
        <v>English Teacher</v>
      </c>
      <c r="V510" s="43" t="str">
        <f>IFERROR(__xludf.DUMMYFUNCTION("""COMPUTED_VALUE"""),"ISLT")</f>
        <v>ISLT</v>
      </c>
      <c r="W510" s="43" t="str">
        <f>IFERROR(__xludf.DUMMYFUNCTION("""COMPUTED_VALUE"""),"2022-03-31T21:48:51Z")</f>
        <v>2022-03-31T21:48:51Z</v>
      </c>
      <c r="X510" s="43"/>
      <c r="Y510" s="43"/>
      <c r="Z510" s="43"/>
    </row>
    <row r="511" hidden="1">
      <c r="A511" s="43" t="str">
        <f>IFERROR(__xludf.DUMMYFUNCTION("""COMPUTED_VALUE"""),"5381920_1286521")</f>
        <v>5381920_1286521</v>
      </c>
      <c r="B511" s="43" t="str">
        <f>IFERROR(__xludf.DUMMYFUNCTION("""COMPUTED_VALUE"""),"Leila Mou")</f>
        <v>Leila Mou</v>
      </c>
      <c r="C511" s="43" t="str">
        <f>IFERROR(__xludf.DUMMYFUNCTION("""COMPUTED_VALUE"""),"realized")</f>
        <v>realized</v>
      </c>
      <c r="D511" s="43" t="str">
        <f>IFERROR(__xludf.DUMMYFUNCTION("""COMPUTED_VALUE"""),"No")</f>
        <v>No</v>
      </c>
      <c r="E511" s="43" t="str">
        <f>IFERROR(__xludf.DUMMYFUNCTION("""COMPUTED_VALUE"""),"p_2317d88b6e2455e898ed98a6ff4e5cd25fd981b1@inbound.aiesec.org")</f>
        <v>p_2317d88b6e2455e898ed98a6ff4e5cd25fd981b1@inbound.aiesec.org</v>
      </c>
      <c r="F511" s="43">
        <f>IFERROR(__xludf.DUMMYFUNCTION("""COMPUTED_VALUE"""),6.62716791E8)</f>
        <v>662716791</v>
      </c>
      <c r="G511" s="43" t="str">
        <f>IFERROR(__xludf.DUMMYFUNCTION("""COMPUTED_VALUE"""),"Algeria")</f>
        <v>Algeria</v>
      </c>
      <c r="H511" s="43" t="str">
        <f>IFERROR(__xludf.DUMMYFUNCTION("""COMPUTED_VALUE"""),"Blida")</f>
        <v>Blida</v>
      </c>
      <c r="I511" s="43" t="str">
        <f>IFERROR(__xludf.DUMMYFUNCTION("""COMPUTED_VALUE"""),"Turkey")</f>
        <v>Turkey</v>
      </c>
      <c r="J511" s="43" t="str">
        <f>IFERROR(__xludf.DUMMYFUNCTION("""COMPUTED_VALUE"""),"GAZIANTEP")</f>
        <v>GAZIANTEP</v>
      </c>
      <c r="K511" s="44" t="str">
        <f>IFERROR(__xludf.DUMMYFUNCTION("""COMPUTED_VALUE"""),"https://expa.aiesec.org/opportunities/1286521")</f>
        <v>https://expa.aiesec.org/opportunities/1286521</v>
      </c>
      <c r="L511" s="43" t="str">
        <f>IFERROR(__xludf.DUMMYFUNCTION("""COMPUTED_VALUE"""),"GTe")</f>
        <v>GTe</v>
      </c>
      <c r="M511" s="43" t="str">
        <f>IFERROR(__xludf.DUMMYFUNCTION("""COMPUTED_VALUE"""),"long")</f>
        <v>long</v>
      </c>
      <c r="N511" s="45">
        <f>IFERROR(__xludf.DUMMYFUNCTION("""COMPUTED_VALUE"""),45259.0)</f>
        <v>45259</v>
      </c>
      <c r="O511" s="45">
        <f>IFERROR(__xludf.DUMMYFUNCTION("""COMPUTED_VALUE"""),45283.0)</f>
        <v>45283</v>
      </c>
      <c r="P511" s="45">
        <f>IFERROR(__xludf.DUMMYFUNCTION("""COMPUTED_VALUE"""),45648.0)</f>
        <v>45648</v>
      </c>
      <c r="Q511" s="45">
        <f>IFERROR(__xludf.DUMMYFUNCTION("""COMPUTED_VALUE"""),45260.0)</f>
        <v>45260</v>
      </c>
      <c r="R511" s="45">
        <f>IFERROR(__xludf.DUMMYFUNCTION("""COMPUTED_VALUE"""),45648.0)</f>
        <v>45648</v>
      </c>
      <c r="S511" s="43"/>
      <c r="T511" s="43"/>
      <c r="U511" s="43" t="str">
        <f>IFERROR(__xludf.DUMMYFUNCTION("""COMPUTED_VALUE"""),"ENGLİSH TRACHER")</f>
        <v>ENGLİSH TRACHER</v>
      </c>
      <c r="V511" s="43" t="str">
        <f>IFERROR(__xludf.DUMMYFUNCTION("""COMPUTED_VALUE"""),"AIESEC in Blida")</f>
        <v>AIESEC in Blida</v>
      </c>
      <c r="W511" s="43" t="str">
        <f>IFERROR(__xludf.DUMMYFUNCTION("""COMPUTED_VALUE"""),"2023-11-28T18:29:00Z")</f>
        <v>2023-11-28T18:29:00Z</v>
      </c>
      <c r="X511" s="43"/>
      <c r="Y511" s="43"/>
      <c r="Z511" s="43"/>
    </row>
    <row r="512" hidden="1">
      <c r="A512" s="43" t="str">
        <f>IFERROR(__xludf.DUMMYFUNCTION("""COMPUTED_VALUE"""),"5370207_1298736")</f>
        <v>5370207_1298736</v>
      </c>
      <c r="B512" s="43" t="str">
        <f>IFERROR(__xludf.DUMMYFUNCTION("""COMPUTED_VALUE"""),"Hagar Kadry")</f>
        <v>Hagar Kadry</v>
      </c>
      <c r="C512" s="43" t="str">
        <f>IFERROR(__xludf.DUMMYFUNCTION("""COMPUTED_VALUE"""),"approved")</f>
        <v>approved</v>
      </c>
      <c r="D512" s="43" t="str">
        <f>IFERROR(__xludf.DUMMYFUNCTION("""COMPUTED_VALUE"""),"No")</f>
        <v>No</v>
      </c>
      <c r="E512" s="43" t="str">
        <f>IFERROR(__xludf.DUMMYFUNCTION("""COMPUTED_VALUE"""),"p_d24ecc9f5d3ebf3a903880cbec0f99c39d8f5e38@inbound.aiesec.org")</f>
        <v>p_d24ecc9f5d3ebf3a903880cbec0f99c39d8f5e38@inbound.aiesec.org</v>
      </c>
      <c r="F512" s="43">
        <f>IFERROR(__xludf.DUMMYFUNCTION("""COMPUTED_VALUE"""),1.020327586E9)</f>
        <v>1020327586</v>
      </c>
      <c r="G512" s="43" t="str">
        <f>IFERROR(__xludf.DUMMYFUNCTION("""COMPUTED_VALUE"""),"Egypt")</f>
        <v>Egypt</v>
      </c>
      <c r="H512" s="43" t="str">
        <f>IFERROR(__xludf.DUMMYFUNCTION("""COMPUTED_VALUE"""),"Helwan")</f>
        <v>Helwan</v>
      </c>
      <c r="I512" s="43" t="str">
        <f>IFERROR(__xludf.DUMMYFUNCTION("""COMPUTED_VALUE"""),"Turkey")</f>
        <v>Turkey</v>
      </c>
      <c r="J512" s="43" t="str">
        <f>IFERROR(__xludf.DUMMYFUNCTION("""COMPUTED_VALUE"""),"ISTANBUL ASIA")</f>
        <v>ISTANBUL ASIA</v>
      </c>
      <c r="K512" s="44" t="str">
        <f>IFERROR(__xludf.DUMMYFUNCTION("""COMPUTED_VALUE"""),"https://expa.aiesec.org/opportunities/1298736")</f>
        <v>https://expa.aiesec.org/opportunities/1298736</v>
      </c>
      <c r="L512" s="43" t="str">
        <f>IFERROR(__xludf.DUMMYFUNCTION("""COMPUTED_VALUE"""),"GTe")</f>
        <v>GTe</v>
      </c>
      <c r="M512" s="43" t="str">
        <f>IFERROR(__xludf.DUMMYFUNCTION("""COMPUTED_VALUE"""),"long")</f>
        <v>long</v>
      </c>
      <c r="N512" s="45">
        <f>IFERROR(__xludf.DUMMYFUNCTION("""COMPUTED_VALUE"""),45259.0)</f>
        <v>45259</v>
      </c>
      <c r="O512" s="45">
        <f>IFERROR(__xludf.DUMMYFUNCTION("""COMPUTED_VALUE"""),45264.0)</f>
        <v>45264</v>
      </c>
      <c r="P512" s="45">
        <f>IFERROR(__xludf.DUMMYFUNCTION("""COMPUTED_VALUE"""),45630.0)</f>
        <v>45630</v>
      </c>
      <c r="Q512" s="45"/>
      <c r="R512" s="45"/>
      <c r="S512" s="43"/>
      <c r="T512" s="43"/>
      <c r="U512" s="43" t="str">
        <f>IFERROR(__xludf.DUMMYFUNCTION("""COMPUTED_VALUE"""),"Amerikan Kültür Kavacık")</f>
        <v>Amerikan Kültür Kavacık</v>
      </c>
      <c r="V512" s="43" t="str">
        <f>IFERROR(__xludf.DUMMYFUNCTION("""COMPUTED_VALUE"""),"Helwan University")</f>
        <v>Helwan University</v>
      </c>
      <c r="W512" s="43" t="str">
        <f>IFERROR(__xludf.DUMMYFUNCTION("""COMPUTED_VALUE"""),"2023-11-10T09:19:23Z")</f>
        <v>2023-11-10T09:19:23Z</v>
      </c>
      <c r="X512" s="43"/>
      <c r="Y512" s="43"/>
      <c r="Z512" s="43"/>
    </row>
    <row r="513" hidden="1">
      <c r="A513" s="43" t="str">
        <f>IFERROR(__xludf.DUMMYFUNCTION("""COMPUTED_VALUE"""),"4903388_1291482")</f>
        <v>4903388_1291482</v>
      </c>
      <c r="B513" s="43" t="str">
        <f>IFERROR(__xludf.DUMMYFUNCTION("""COMPUTED_VALUE"""),"Azat Azimzade")</f>
        <v>Azat Azimzade</v>
      </c>
      <c r="C513" s="43" t="str">
        <f>IFERROR(__xludf.DUMMYFUNCTION("""COMPUTED_VALUE"""),"realized")</f>
        <v>realized</v>
      </c>
      <c r="D513" s="43" t="str">
        <f>IFERROR(__xludf.DUMMYFUNCTION("""COMPUTED_VALUE"""),"No")</f>
        <v>No</v>
      </c>
      <c r="E513" s="43" t="str">
        <f>IFERROR(__xludf.DUMMYFUNCTION("""COMPUTED_VALUE"""),"p_04a76eca719826e22ab857df864bee7c85349154@inbound.aiesec.org")</f>
        <v>p_04a76eca719826e22ab857df864bee7c85349154@inbound.aiesec.org</v>
      </c>
      <c r="F513" s="43">
        <f>IFERROR(__xludf.DUMMYFUNCTION("""COMPUTED_VALUE"""),5.384426419E9)</f>
        <v>5384426419</v>
      </c>
      <c r="G513" s="43" t="str">
        <f>IFERROR(__xludf.DUMMYFUNCTION("""COMPUTED_VALUE"""),"Italy")</f>
        <v>Italy</v>
      </c>
      <c r="H513" s="43" t="str">
        <f>IFERROR(__xludf.DUMMYFUNCTION("""COMPUTED_VALUE"""),"PoliTO")</f>
        <v>PoliTO</v>
      </c>
      <c r="I513" s="43" t="str">
        <f>IFERROR(__xludf.DUMMYFUNCTION("""COMPUTED_VALUE"""),"Turkey")</f>
        <v>Turkey</v>
      </c>
      <c r="J513" s="43" t="str">
        <f>IFERROR(__xludf.DUMMYFUNCTION("""COMPUTED_VALUE"""),"TRABZON")</f>
        <v>TRABZON</v>
      </c>
      <c r="K513" s="44" t="str">
        <f>IFERROR(__xludf.DUMMYFUNCTION("""COMPUTED_VALUE"""),"https://expa.aiesec.org/opportunities/1291482")</f>
        <v>https://expa.aiesec.org/opportunities/1291482</v>
      </c>
      <c r="L513" s="43" t="str">
        <f>IFERROR(__xludf.DUMMYFUNCTION("""COMPUTED_VALUE"""),"GTe")</f>
        <v>GTe</v>
      </c>
      <c r="M513" s="43" t="str">
        <f>IFERROR(__xludf.DUMMYFUNCTION("""COMPUTED_VALUE"""),"long")</f>
        <v>long</v>
      </c>
      <c r="N513" s="45">
        <f>IFERROR(__xludf.DUMMYFUNCTION("""COMPUTED_VALUE"""),45260.0)</f>
        <v>45260</v>
      </c>
      <c r="O513" s="45">
        <f>IFERROR(__xludf.DUMMYFUNCTION("""COMPUTED_VALUE"""),45268.0)</f>
        <v>45268</v>
      </c>
      <c r="P513" s="45">
        <f>IFERROR(__xludf.DUMMYFUNCTION("""COMPUTED_VALUE"""),45626.0)</f>
        <v>45626</v>
      </c>
      <c r="Q513" s="45">
        <f>IFERROR(__xludf.DUMMYFUNCTION("""COMPUTED_VALUE"""),45274.0)</f>
        <v>45274</v>
      </c>
      <c r="R513" s="45">
        <f>IFERROR(__xludf.DUMMYFUNCTION("""COMPUTED_VALUE"""),45639.0)</f>
        <v>45639</v>
      </c>
      <c r="S513" s="43"/>
      <c r="T513" s="43"/>
      <c r="U513" s="43" t="str">
        <f>IFERROR(__xludf.DUMMYFUNCTION("""COMPUTED_VALUE"""),"English Teacher in TEOL")</f>
        <v>English Teacher in TEOL</v>
      </c>
      <c r="V513" s="43" t="str">
        <f>IFERROR(__xludf.DUMMYFUNCTION("""COMPUTED_VALUE"""),"-")</f>
        <v>-</v>
      </c>
      <c r="W513" s="43" t="str">
        <f>IFERROR(__xludf.DUMMYFUNCTION("""COMPUTED_VALUE"""),"2022-01-28T19:13:06Z")</f>
        <v>2022-01-28T19:13:06Z</v>
      </c>
      <c r="X513" s="43"/>
      <c r="Y513" s="43"/>
      <c r="Z513" s="43"/>
    </row>
    <row r="514" hidden="1">
      <c r="A514" s="43" t="str">
        <f>IFERROR(__xludf.DUMMYFUNCTION("""COMPUTED_VALUE"""),"5046187_1289390")</f>
        <v>5046187_1289390</v>
      </c>
      <c r="B514" s="43" t="str">
        <f>IFERROR(__xludf.DUMMYFUNCTION("""COMPUTED_VALUE"""),"Hanine Saïd")</f>
        <v>Hanine Saïd</v>
      </c>
      <c r="C514" s="43" t="str">
        <f>IFERROR(__xludf.DUMMYFUNCTION("""COMPUTED_VALUE"""),"approved")</f>
        <v>approved</v>
      </c>
      <c r="D514" s="43" t="str">
        <f>IFERROR(__xludf.DUMMYFUNCTION("""COMPUTED_VALUE"""),"No")</f>
        <v>No</v>
      </c>
      <c r="E514" s="43" t="str">
        <f>IFERROR(__xludf.DUMMYFUNCTION("""COMPUTED_VALUE"""),"p_e8b74be4401d25f30370e5bbd4d1fc0edeaaab31@inbound.aiesec.org")</f>
        <v>p_e8b74be4401d25f30370e5bbd4d1fc0edeaaab31@inbound.aiesec.org</v>
      </c>
      <c r="F514" s="43">
        <f>IFERROR(__xludf.DUMMYFUNCTION("""COMPUTED_VALUE"""),5.8408904E7)</f>
        <v>58408904</v>
      </c>
      <c r="G514" s="43" t="str">
        <f>IFERROR(__xludf.DUMMYFUNCTION("""COMPUTED_VALUE"""),"Tunisia")</f>
        <v>Tunisia</v>
      </c>
      <c r="H514" s="43" t="str">
        <f>IFERROR(__xludf.DUMMYFUNCTION("""COMPUTED_VALUE"""),"HADRUMET")</f>
        <v>HADRUMET</v>
      </c>
      <c r="I514" s="43" t="str">
        <f>IFERROR(__xludf.DUMMYFUNCTION("""COMPUTED_VALUE"""),"Turkey")</f>
        <v>Turkey</v>
      </c>
      <c r="J514" s="43" t="str">
        <f>IFERROR(__xludf.DUMMYFUNCTION("""COMPUTED_VALUE"""),"KOCAELI")</f>
        <v>KOCAELI</v>
      </c>
      <c r="K514" s="44" t="str">
        <f>IFERROR(__xludf.DUMMYFUNCTION("""COMPUTED_VALUE"""),"https://expa.aiesec.org/opportunities/1289390")</f>
        <v>https://expa.aiesec.org/opportunities/1289390</v>
      </c>
      <c r="L514" s="43" t="str">
        <f>IFERROR(__xludf.DUMMYFUNCTION("""COMPUTED_VALUE"""),"GTe")</f>
        <v>GTe</v>
      </c>
      <c r="M514" s="43" t="str">
        <f>IFERROR(__xludf.DUMMYFUNCTION("""COMPUTED_VALUE"""),"long")</f>
        <v>long</v>
      </c>
      <c r="N514" s="45">
        <f>IFERROR(__xludf.DUMMYFUNCTION("""COMPUTED_VALUE"""),45260.0)</f>
        <v>45260</v>
      </c>
      <c r="O514" s="45">
        <f>IFERROR(__xludf.DUMMYFUNCTION("""COMPUTED_VALUE"""),45278.0)</f>
        <v>45278</v>
      </c>
      <c r="P514" s="45">
        <f>IFERROR(__xludf.DUMMYFUNCTION("""COMPUTED_VALUE"""),45470.0)</f>
        <v>45470</v>
      </c>
      <c r="Q514" s="45"/>
      <c r="R514" s="45"/>
      <c r="S514" s="43"/>
      <c r="T514" s="43"/>
      <c r="U514" s="43" t="str">
        <f>IFERROR(__xludf.DUMMYFUNCTION("""COMPUTED_VALUE"""),"Kindergarten Teacher in Tuncay Emir Okulları")</f>
        <v>Kindergarten Teacher in Tuncay Emir Okulları</v>
      </c>
      <c r="V514" s="43" t="str">
        <f>IFERROR(__xludf.DUMMYFUNCTION("""COMPUTED_VALUE"""),"FLSH Sousse")</f>
        <v>FLSH Sousse</v>
      </c>
      <c r="W514" s="43" t="str">
        <f>IFERROR(__xludf.DUMMYFUNCTION("""COMPUTED_VALUE"""),"2022-04-26T08:32:32Z")</f>
        <v>2022-04-26T08:32:32Z</v>
      </c>
      <c r="X514" s="43"/>
      <c r="Y514" s="43"/>
      <c r="Z514" s="43"/>
    </row>
    <row r="515" hidden="1">
      <c r="A515" s="43" t="str">
        <f>IFERROR(__xludf.DUMMYFUNCTION("""COMPUTED_VALUE"""),"5380281_1298736")</f>
        <v>5380281_1298736</v>
      </c>
      <c r="B515" s="43" t="str">
        <f>IFERROR(__xludf.DUMMYFUNCTION("""COMPUTED_VALUE"""),"Ferdaous Guesmi")</f>
        <v>Ferdaous Guesmi</v>
      </c>
      <c r="C515" s="43" t="str">
        <f>IFERROR(__xludf.DUMMYFUNCTION("""COMPUTED_VALUE"""),"realized")</f>
        <v>realized</v>
      </c>
      <c r="D515" s="43" t="str">
        <f>IFERROR(__xludf.DUMMYFUNCTION("""COMPUTED_VALUE"""),"No")</f>
        <v>No</v>
      </c>
      <c r="E515" s="43" t="str">
        <f>IFERROR(__xludf.DUMMYFUNCTION("""COMPUTED_VALUE"""),"p_64d62bba6e5c1804237473f6022a641dc13c3039@inbound.aiesec.org")</f>
        <v>p_64d62bba6e5c1804237473f6022a641dc13c3039@inbound.aiesec.org</v>
      </c>
      <c r="F515" s="43">
        <f>IFERROR(__xludf.DUMMYFUNCTION("""COMPUTED_VALUE"""),9.4145561E7)</f>
        <v>94145561</v>
      </c>
      <c r="G515" s="43" t="str">
        <f>IFERROR(__xludf.DUMMYFUNCTION("""COMPUTED_VALUE"""),"Tunisia")</f>
        <v>Tunisia</v>
      </c>
      <c r="H515" s="43" t="str">
        <f>IFERROR(__xludf.DUMMYFUNCTION("""COMPUTED_VALUE"""),"Carthage")</f>
        <v>Carthage</v>
      </c>
      <c r="I515" s="43" t="str">
        <f>IFERROR(__xludf.DUMMYFUNCTION("""COMPUTED_VALUE"""),"Turkey")</f>
        <v>Turkey</v>
      </c>
      <c r="J515" s="43" t="str">
        <f>IFERROR(__xludf.DUMMYFUNCTION("""COMPUTED_VALUE"""),"ISTANBUL ASIA")</f>
        <v>ISTANBUL ASIA</v>
      </c>
      <c r="K515" s="44" t="str">
        <f>IFERROR(__xludf.DUMMYFUNCTION("""COMPUTED_VALUE"""),"https://expa.aiesec.org/opportunities/1298736")</f>
        <v>https://expa.aiesec.org/opportunities/1298736</v>
      </c>
      <c r="L515" s="43" t="str">
        <f>IFERROR(__xludf.DUMMYFUNCTION("""COMPUTED_VALUE"""),"GTe")</f>
        <v>GTe</v>
      </c>
      <c r="M515" s="43" t="str">
        <f>IFERROR(__xludf.DUMMYFUNCTION("""COMPUTED_VALUE"""),"long")</f>
        <v>long</v>
      </c>
      <c r="N515" s="45">
        <f>IFERROR(__xludf.DUMMYFUNCTION("""COMPUTED_VALUE"""),45260.0)</f>
        <v>45260</v>
      </c>
      <c r="O515" s="45">
        <f>IFERROR(__xludf.DUMMYFUNCTION("""COMPUTED_VALUE"""),45264.0)</f>
        <v>45264</v>
      </c>
      <c r="P515" s="45">
        <f>IFERROR(__xludf.DUMMYFUNCTION("""COMPUTED_VALUE"""),45630.0)</f>
        <v>45630</v>
      </c>
      <c r="Q515" s="45">
        <f>IFERROR(__xludf.DUMMYFUNCTION("""COMPUTED_VALUE"""),45269.0)</f>
        <v>45269</v>
      </c>
      <c r="R515" s="45">
        <f>IFERROR(__xludf.DUMMYFUNCTION("""COMPUTED_VALUE"""),45635.0)</f>
        <v>45635</v>
      </c>
      <c r="S515" s="43"/>
      <c r="T515" s="43"/>
      <c r="U515" s="43" t="str">
        <f>IFERROR(__xludf.DUMMYFUNCTION("""COMPUTED_VALUE"""),"Amerikan Kültür Kavacık")</f>
        <v>Amerikan Kültür Kavacık</v>
      </c>
      <c r="V515" s="43" t="str">
        <f>IFERROR(__xludf.DUMMYFUNCTION("""COMPUTED_VALUE"""),"ISLT")</f>
        <v>ISLT</v>
      </c>
      <c r="W515" s="43" t="str">
        <f>IFERROR(__xludf.DUMMYFUNCTION("""COMPUTED_VALUE"""),"2023-11-26T12:59:43Z")</f>
        <v>2023-11-26T12:59:43Z</v>
      </c>
      <c r="X515" s="43"/>
      <c r="Y515" s="43"/>
      <c r="Z515" s="43"/>
    </row>
    <row r="516" hidden="1">
      <c r="A516" s="43" t="str">
        <f>IFERROR(__xludf.DUMMYFUNCTION("""COMPUTED_VALUE"""),"5341362_1296625")</f>
        <v>5341362_1296625</v>
      </c>
      <c r="B516" s="43" t="str">
        <f>IFERROR(__xludf.DUMMYFUNCTION("""COMPUTED_VALUE"""),"Ahlem Tizaoui")</f>
        <v>Ahlem Tizaoui</v>
      </c>
      <c r="C516" s="43" t="str">
        <f>IFERROR(__xludf.DUMMYFUNCTION("""COMPUTED_VALUE"""),"approved")</f>
        <v>approved</v>
      </c>
      <c r="D516" s="43" t="str">
        <f>IFERROR(__xludf.DUMMYFUNCTION("""COMPUTED_VALUE"""),"No")</f>
        <v>No</v>
      </c>
      <c r="E516" s="43" t="str">
        <f>IFERROR(__xludf.DUMMYFUNCTION("""COMPUTED_VALUE"""),"p_9fa1a5c4de0b033c30047757943c68fa7f12354b@inbound.aiesec.org")</f>
        <v>p_9fa1a5c4de0b033c30047757943c68fa7f12354b@inbound.aiesec.org</v>
      </c>
      <c r="F516" s="43">
        <f>IFERROR(__xludf.DUMMYFUNCTION("""COMPUTED_VALUE"""),6.6033611E8)</f>
        <v>660336110</v>
      </c>
      <c r="G516" s="43" t="str">
        <f>IFERROR(__xludf.DUMMYFUNCTION("""COMPUTED_VALUE"""),"Algeria")</f>
        <v>Algeria</v>
      </c>
      <c r="H516" s="43" t="str">
        <f>IFERROR(__xludf.DUMMYFUNCTION("""COMPUTED_VALUE"""),"Oran")</f>
        <v>Oran</v>
      </c>
      <c r="I516" s="43" t="str">
        <f>IFERROR(__xludf.DUMMYFUNCTION("""COMPUTED_VALUE"""),"Turkey")</f>
        <v>Turkey</v>
      </c>
      <c r="J516" s="43" t="str">
        <f>IFERROR(__xludf.DUMMYFUNCTION("""COMPUTED_VALUE"""),"SAKARYA")</f>
        <v>SAKARYA</v>
      </c>
      <c r="K516" s="44" t="str">
        <f>IFERROR(__xludf.DUMMYFUNCTION("""COMPUTED_VALUE"""),"https://expa.aiesec.org/opportunities/1296625")</f>
        <v>https://expa.aiesec.org/opportunities/1296625</v>
      </c>
      <c r="L516" s="43" t="str">
        <f>IFERROR(__xludf.DUMMYFUNCTION("""COMPUTED_VALUE"""),"GTe")</f>
        <v>GTe</v>
      </c>
      <c r="M516" s="43" t="str">
        <f>IFERROR(__xludf.DUMMYFUNCTION("""COMPUTED_VALUE"""),"long")</f>
        <v>long</v>
      </c>
      <c r="N516" s="45">
        <f>IFERROR(__xludf.DUMMYFUNCTION("""COMPUTED_VALUE"""),45260.0)</f>
        <v>45260</v>
      </c>
      <c r="O516" s="45">
        <f>IFERROR(__xludf.DUMMYFUNCTION("""COMPUTED_VALUE"""),45264.0)</f>
        <v>45264</v>
      </c>
      <c r="P516" s="45">
        <f>IFERROR(__xludf.DUMMYFUNCTION("""COMPUTED_VALUE"""),45505.0)</f>
        <v>45505</v>
      </c>
      <c r="Q516" s="45"/>
      <c r="R516" s="45"/>
      <c r="S516" s="43"/>
      <c r="T516" s="43"/>
      <c r="U516" s="43" t="str">
        <f>IFERROR(__xludf.DUMMYFUNCTION("""COMPUTED_VALUE"""),"English Teacher")</f>
        <v>English Teacher</v>
      </c>
      <c r="V516" s="43" t="str">
        <f>IFERROR(__xludf.DUMMYFUNCTION("""COMPUTED_VALUE"""),"AIESEC in Oran")</f>
        <v>AIESEC in Oran</v>
      </c>
      <c r="W516" s="43" t="str">
        <f>IFERROR(__xludf.DUMMYFUNCTION("""COMPUTED_VALUE"""),"2023-10-03T20:59:34Z")</f>
        <v>2023-10-03T20:59:34Z</v>
      </c>
      <c r="X516" s="43"/>
      <c r="Y516" s="43"/>
      <c r="Z516" s="43"/>
    </row>
    <row r="517" hidden="1">
      <c r="A517" s="43" t="str">
        <f>IFERROR(__xludf.DUMMYFUNCTION("""COMPUTED_VALUE"""),"5384294_1300649")</f>
        <v>5384294_1300649</v>
      </c>
      <c r="B517" s="43" t="str">
        <f>IFERROR(__xludf.DUMMYFUNCTION("""COMPUTED_VALUE"""),"jihen kafsi")</f>
        <v>jihen kafsi</v>
      </c>
      <c r="C517" s="43" t="str">
        <f>IFERROR(__xludf.DUMMYFUNCTION("""COMPUTED_VALUE"""),"approved")</f>
        <v>approved</v>
      </c>
      <c r="D517" s="43" t="str">
        <f>IFERROR(__xludf.DUMMYFUNCTION("""COMPUTED_VALUE"""),"No")</f>
        <v>No</v>
      </c>
      <c r="E517" s="43" t="str">
        <f>IFERROR(__xludf.DUMMYFUNCTION("""COMPUTED_VALUE"""),"p_5699691398bae60f1d62ee92b7cee75ff61682a5@inbound.aiesec.org")</f>
        <v>p_5699691398bae60f1d62ee92b7cee75ff61682a5@inbound.aiesec.org</v>
      </c>
      <c r="F517" s="43">
        <f>IFERROR(__xludf.DUMMYFUNCTION("""COMPUTED_VALUE"""),5.3027204E7)</f>
        <v>53027204</v>
      </c>
      <c r="G517" s="43" t="str">
        <f>IFERROR(__xludf.DUMMYFUNCTION("""COMPUTED_VALUE"""),"Tunisia")</f>
        <v>Tunisia</v>
      </c>
      <c r="H517" s="43" t="str">
        <f>IFERROR(__xludf.DUMMYFUNCTION("""COMPUTED_VALUE"""),"RUSPINA")</f>
        <v>RUSPINA</v>
      </c>
      <c r="I517" s="43" t="str">
        <f>IFERROR(__xludf.DUMMYFUNCTION("""COMPUTED_VALUE"""),"Turkey")</f>
        <v>Turkey</v>
      </c>
      <c r="J517" s="43" t="str">
        <f>IFERROR(__xludf.DUMMYFUNCTION("""COMPUTED_VALUE"""),"KOCAELI")</f>
        <v>KOCAELI</v>
      </c>
      <c r="K517" s="44" t="str">
        <f>IFERROR(__xludf.DUMMYFUNCTION("""COMPUTED_VALUE"""),"https://expa.aiesec.org/opportunities/1300649")</f>
        <v>https://expa.aiesec.org/opportunities/1300649</v>
      </c>
      <c r="L517" s="43" t="str">
        <f>IFERROR(__xludf.DUMMYFUNCTION("""COMPUTED_VALUE"""),"GTe")</f>
        <v>GTe</v>
      </c>
      <c r="M517" s="43" t="str">
        <f>IFERROR(__xludf.DUMMYFUNCTION("""COMPUTED_VALUE"""),"long")</f>
        <v>long</v>
      </c>
      <c r="N517" s="45">
        <f>IFERROR(__xludf.DUMMYFUNCTION("""COMPUTED_VALUE"""),45262.0)</f>
        <v>45262</v>
      </c>
      <c r="O517" s="45">
        <f>IFERROR(__xludf.DUMMYFUNCTION("""COMPUTED_VALUE"""),45286.0)</f>
        <v>45286</v>
      </c>
      <c r="P517" s="45">
        <f>IFERROR(__xludf.DUMMYFUNCTION("""COMPUTED_VALUE"""),45475.0)</f>
        <v>45475</v>
      </c>
      <c r="Q517" s="45"/>
      <c r="R517" s="45"/>
      <c r="S517" s="43"/>
      <c r="T517" s="43"/>
      <c r="U517" s="43" t="str">
        <f>IFERROR(__xludf.DUMMYFUNCTION("""COMPUTED_VALUE"""),"English Teacher in Birikim Okulları")</f>
        <v>English Teacher in Birikim Okulları</v>
      </c>
      <c r="V517" s="43" t="str">
        <f>IFERROR(__xludf.DUMMYFUNCTION("""COMPUTED_VALUE"""),"ISEAH Mahdia")</f>
        <v>ISEAH Mahdia</v>
      </c>
      <c r="W517" s="43" t="str">
        <f>IFERROR(__xludf.DUMMYFUNCTION("""COMPUTED_VALUE"""),"2023-12-02T12:58:23Z")</f>
        <v>2023-12-02T12:58:23Z</v>
      </c>
      <c r="X517" s="43"/>
      <c r="Y517" s="43"/>
      <c r="Z517" s="43"/>
    </row>
    <row r="518" hidden="1">
      <c r="A518" s="43" t="str">
        <f>IFERROR(__xludf.DUMMYFUNCTION("""COMPUTED_VALUE"""),"5053443_1298736")</f>
        <v>5053443_1298736</v>
      </c>
      <c r="B518" s="43" t="str">
        <f>IFERROR(__xludf.DUMMYFUNCTION("""COMPUTED_VALUE"""),"Abdul Rehman Khan")</f>
        <v>Abdul Rehman Khan</v>
      </c>
      <c r="C518" s="43" t="str">
        <f>IFERROR(__xludf.DUMMYFUNCTION("""COMPUTED_VALUE"""),"approved")</f>
        <v>approved</v>
      </c>
      <c r="D518" s="43" t="str">
        <f>IFERROR(__xludf.DUMMYFUNCTION("""COMPUTED_VALUE"""),"No")</f>
        <v>No</v>
      </c>
      <c r="E518" s="43" t="str">
        <f>IFERROR(__xludf.DUMMYFUNCTION("""COMPUTED_VALUE"""),"p_ccf7684ebfad4946ead68dc9d5c6531e87675f7b@inbound.aiesec.org")</f>
        <v>p_ccf7684ebfad4946ead68dc9d5c6531e87675f7b@inbound.aiesec.org</v>
      </c>
      <c r="F518" s="43">
        <f>IFERROR(__xludf.DUMMYFUNCTION("""COMPUTED_VALUE"""),5.376035843E9)</f>
        <v>5376035843</v>
      </c>
      <c r="G518" s="43" t="str">
        <f>IFERROR(__xludf.DUMMYFUNCTION("""COMPUTED_VALUE"""),"Pakistan")</f>
        <v>Pakistan</v>
      </c>
      <c r="H518" s="43" t="str">
        <f>IFERROR(__xludf.DUMMYFUNCTION("""COMPUTED_VALUE"""),"Karachi")</f>
        <v>Karachi</v>
      </c>
      <c r="I518" s="43" t="str">
        <f>IFERROR(__xludf.DUMMYFUNCTION("""COMPUTED_VALUE"""),"Turkey")</f>
        <v>Turkey</v>
      </c>
      <c r="J518" s="43" t="str">
        <f>IFERROR(__xludf.DUMMYFUNCTION("""COMPUTED_VALUE"""),"ISTANBUL ASIA")</f>
        <v>ISTANBUL ASIA</v>
      </c>
      <c r="K518" s="44" t="str">
        <f>IFERROR(__xludf.DUMMYFUNCTION("""COMPUTED_VALUE"""),"https://expa.aiesec.org/opportunities/1298736")</f>
        <v>https://expa.aiesec.org/opportunities/1298736</v>
      </c>
      <c r="L518" s="43" t="str">
        <f>IFERROR(__xludf.DUMMYFUNCTION("""COMPUTED_VALUE"""),"GTe")</f>
        <v>GTe</v>
      </c>
      <c r="M518" s="43" t="str">
        <f>IFERROR(__xludf.DUMMYFUNCTION("""COMPUTED_VALUE"""),"long")</f>
        <v>long</v>
      </c>
      <c r="N518" s="45">
        <f>IFERROR(__xludf.DUMMYFUNCTION("""COMPUTED_VALUE"""),45264.0)</f>
        <v>45264</v>
      </c>
      <c r="O518" s="45">
        <f>IFERROR(__xludf.DUMMYFUNCTION("""COMPUTED_VALUE"""),45250.0)</f>
        <v>45250</v>
      </c>
      <c r="P518" s="45">
        <f>IFERROR(__xludf.DUMMYFUNCTION("""COMPUTED_VALUE"""),45611.0)</f>
        <v>45611</v>
      </c>
      <c r="Q518" s="45"/>
      <c r="R518" s="45"/>
      <c r="S518" s="43"/>
      <c r="T518" s="43"/>
      <c r="U518" s="43" t="str">
        <f>IFERROR(__xludf.DUMMYFUNCTION("""COMPUTED_VALUE"""),"Amerikan Kültür Kavacık")</f>
        <v>Amerikan Kültür Kavacık</v>
      </c>
      <c r="V518" s="43" t="str">
        <f>IFERROR(__xludf.DUMMYFUNCTION("""COMPUTED_VALUE"""),"Karachi - Bahria University ")</f>
        <v>Karachi - Bahria University </v>
      </c>
      <c r="W518" s="43" t="str">
        <f>IFERROR(__xludf.DUMMYFUNCTION("""COMPUTED_VALUE"""),"2022-05-09T10:04:32Z")</f>
        <v>2022-05-09T10:04:32Z</v>
      </c>
      <c r="X518" s="43"/>
      <c r="Y518" s="43"/>
      <c r="Z518" s="43"/>
    </row>
    <row r="519" hidden="1">
      <c r="A519" s="43" t="str">
        <f>IFERROR(__xludf.DUMMYFUNCTION("""COMPUTED_VALUE"""),"5386178_1300126")</f>
        <v>5386178_1300126</v>
      </c>
      <c r="B519" s="43" t="str">
        <f>IFERROR(__xludf.DUMMYFUNCTION("""COMPUTED_VALUE"""),"Fatima zahra Djaanine")</f>
        <v>Fatima zahra Djaanine</v>
      </c>
      <c r="C519" s="43" t="str">
        <f>IFERROR(__xludf.DUMMYFUNCTION("""COMPUTED_VALUE"""),"realized")</f>
        <v>realized</v>
      </c>
      <c r="D519" s="43" t="str">
        <f>IFERROR(__xludf.DUMMYFUNCTION("""COMPUTED_VALUE"""),"No")</f>
        <v>No</v>
      </c>
      <c r="E519" s="43" t="str">
        <f>IFERROR(__xludf.DUMMYFUNCTION("""COMPUTED_VALUE"""),"p_3a68ff9ce54aefcf73ff609201329155a6271fa7@inbound.aiesec.org")</f>
        <v>p_3a68ff9ce54aefcf73ff609201329155a6271fa7@inbound.aiesec.org</v>
      </c>
      <c r="F519" s="43"/>
      <c r="G519" s="43" t="str">
        <f>IFERROR(__xludf.DUMMYFUNCTION("""COMPUTED_VALUE"""),"Algeria")</f>
        <v>Algeria</v>
      </c>
      <c r="H519" s="43" t="str">
        <f>IFERROR(__xludf.DUMMYFUNCTION("""COMPUTED_VALUE"""),"Tlemcen")</f>
        <v>Tlemcen</v>
      </c>
      <c r="I519" s="43" t="str">
        <f>IFERROR(__xludf.DUMMYFUNCTION("""COMPUTED_VALUE"""),"Turkey")</f>
        <v>Turkey</v>
      </c>
      <c r="J519" s="43" t="str">
        <f>IFERROR(__xludf.DUMMYFUNCTION("""COMPUTED_VALUE"""),"BURSA")</f>
        <v>BURSA</v>
      </c>
      <c r="K519" s="44" t="str">
        <f>IFERROR(__xludf.DUMMYFUNCTION("""COMPUTED_VALUE"""),"https://expa.aiesec.org/opportunities/1300126")</f>
        <v>https://expa.aiesec.org/opportunities/1300126</v>
      </c>
      <c r="L519" s="43" t="str">
        <f>IFERROR(__xludf.DUMMYFUNCTION("""COMPUTED_VALUE"""),"GTe")</f>
        <v>GTe</v>
      </c>
      <c r="M519" s="43" t="str">
        <f>IFERROR(__xludf.DUMMYFUNCTION("""COMPUTED_VALUE"""),"long")</f>
        <v>long</v>
      </c>
      <c r="N519" s="45">
        <f>IFERROR(__xludf.DUMMYFUNCTION("""COMPUTED_VALUE"""),45266.0)</f>
        <v>45266</v>
      </c>
      <c r="O519" s="45">
        <f>IFERROR(__xludf.DUMMYFUNCTION("""COMPUTED_VALUE"""),45269.0)</f>
        <v>45269</v>
      </c>
      <c r="P519" s="45">
        <f>IFERROR(__xludf.DUMMYFUNCTION("""COMPUTED_VALUE"""),45635.0)</f>
        <v>45635</v>
      </c>
      <c r="Q519" s="45">
        <f>IFERROR(__xludf.DUMMYFUNCTION("""COMPUTED_VALUE"""),45307.0)</f>
        <v>45307</v>
      </c>
      <c r="R519" s="45">
        <f>IFERROR(__xludf.DUMMYFUNCTION("""COMPUTED_VALUE"""),45673.0)</f>
        <v>45673</v>
      </c>
      <c r="S519" s="43"/>
      <c r="T519" s="43"/>
      <c r="U519" s="43" t="str">
        <f>IFERROR(__xludf.DUMMYFUNCTION("""COMPUTED_VALUE"""),"English Teacher")</f>
        <v>English Teacher</v>
      </c>
      <c r="V519" s="43" t="str">
        <f>IFERROR(__xludf.DUMMYFUNCTION("""COMPUTED_VALUE"""),"-")</f>
        <v>-</v>
      </c>
      <c r="W519" s="43" t="str">
        <f>IFERROR(__xludf.DUMMYFUNCTION("""COMPUTED_VALUE"""),"2023-12-06T11:47:00Z")</f>
        <v>2023-12-06T11:47:00Z</v>
      </c>
      <c r="X519" s="43"/>
      <c r="Y519" s="43"/>
      <c r="Z519" s="43"/>
    </row>
    <row r="520" hidden="1">
      <c r="A520" s="43" t="str">
        <f>IFERROR(__xludf.DUMMYFUNCTION("""COMPUTED_VALUE"""),"5386491_1295514")</f>
        <v>5386491_1295514</v>
      </c>
      <c r="B520" s="43" t="str">
        <f>IFERROR(__xludf.DUMMYFUNCTION("""COMPUTED_VALUE"""),"Marwen Hmidi")</f>
        <v>Marwen Hmidi</v>
      </c>
      <c r="C520" s="43" t="str">
        <f>IFERROR(__xludf.DUMMYFUNCTION("""COMPUTED_VALUE"""),"realized")</f>
        <v>realized</v>
      </c>
      <c r="D520" s="43" t="str">
        <f>IFERROR(__xludf.DUMMYFUNCTION("""COMPUTED_VALUE"""),"No")</f>
        <v>No</v>
      </c>
      <c r="E520" s="43" t="str">
        <f>IFERROR(__xludf.DUMMYFUNCTION("""COMPUTED_VALUE"""),"p_05e2869e5a54bf4cab3a8ed3e435adeccb2c9088@inbound.aiesec.org")</f>
        <v>p_05e2869e5a54bf4cab3a8ed3e435adeccb2c9088@inbound.aiesec.org</v>
      </c>
      <c r="F520" s="43">
        <f>IFERROR(__xludf.DUMMYFUNCTION("""COMPUTED_VALUE"""),2.2334733E7)</f>
        <v>22334733</v>
      </c>
      <c r="G520" s="43" t="str">
        <f>IFERROR(__xludf.DUMMYFUNCTION("""COMPUTED_VALUE"""),"Tunisia")</f>
        <v>Tunisia</v>
      </c>
      <c r="H520" s="43" t="str">
        <f>IFERROR(__xludf.DUMMYFUNCTION("""COMPUTED_VALUE"""),"Carthage")</f>
        <v>Carthage</v>
      </c>
      <c r="I520" s="43" t="str">
        <f>IFERROR(__xludf.DUMMYFUNCTION("""COMPUTED_VALUE"""),"Turkey")</f>
        <v>Turkey</v>
      </c>
      <c r="J520" s="43" t="str">
        <f>IFERROR(__xludf.DUMMYFUNCTION("""COMPUTED_VALUE"""),"GAZIANTEP")</f>
        <v>GAZIANTEP</v>
      </c>
      <c r="K520" s="44" t="str">
        <f>IFERROR(__xludf.DUMMYFUNCTION("""COMPUTED_VALUE"""),"https://expa.aiesec.org/opportunities/1295514")</f>
        <v>https://expa.aiesec.org/opportunities/1295514</v>
      </c>
      <c r="L520" s="43" t="str">
        <f>IFERROR(__xludf.DUMMYFUNCTION("""COMPUTED_VALUE"""),"GTe")</f>
        <v>GTe</v>
      </c>
      <c r="M520" s="43" t="str">
        <f>IFERROR(__xludf.DUMMYFUNCTION("""COMPUTED_VALUE"""),"long")</f>
        <v>long</v>
      </c>
      <c r="N520" s="45">
        <f>IFERROR(__xludf.DUMMYFUNCTION("""COMPUTED_VALUE"""),45267.0)</f>
        <v>45267</v>
      </c>
      <c r="O520" s="45">
        <f>IFERROR(__xludf.DUMMYFUNCTION("""COMPUTED_VALUE"""),45275.0)</f>
        <v>45275</v>
      </c>
      <c r="P520" s="45">
        <f>IFERROR(__xludf.DUMMYFUNCTION("""COMPUTED_VALUE"""),45640.0)</f>
        <v>45640</v>
      </c>
      <c r="Q520" s="45">
        <f>IFERROR(__xludf.DUMMYFUNCTION("""COMPUTED_VALUE"""),45287.0)</f>
        <v>45287</v>
      </c>
      <c r="R520" s="45">
        <f>IFERROR(__xludf.DUMMYFUNCTION("""COMPUTED_VALUE"""),45652.0)</f>
        <v>45652</v>
      </c>
      <c r="S520" s="43"/>
      <c r="T520" s="43"/>
      <c r="U520" s="43" t="str">
        <f>IFERROR(__xludf.DUMMYFUNCTION("""COMPUTED_VALUE"""),"English Teacher")</f>
        <v>English Teacher</v>
      </c>
      <c r="V520" s="43" t="str">
        <f>IFERROR(__xludf.DUMMYFUNCTION("""COMPUTED_VALUE"""),"ISLT")</f>
        <v>ISLT</v>
      </c>
      <c r="W520" s="43" t="str">
        <f>IFERROR(__xludf.DUMMYFUNCTION("""COMPUTED_VALUE"""),"2023-12-06T19:42:35Z")</f>
        <v>2023-12-06T19:42:35Z</v>
      </c>
      <c r="X520" s="43"/>
      <c r="Y520" s="43"/>
      <c r="Z520" s="43"/>
    </row>
    <row r="521" hidden="1">
      <c r="A521" s="43" t="str">
        <f>IFERROR(__xludf.DUMMYFUNCTION("""COMPUTED_VALUE"""),"5086494_1300649")</f>
        <v>5086494_1300649</v>
      </c>
      <c r="B521" s="43" t="str">
        <f>IFERROR(__xludf.DUMMYFUNCTION("""COMPUTED_VALUE"""),"Rebah Missaoui")</f>
        <v>Rebah Missaoui</v>
      </c>
      <c r="C521" s="43" t="str">
        <f>IFERROR(__xludf.DUMMYFUNCTION("""COMPUTED_VALUE"""),"approved")</f>
        <v>approved</v>
      </c>
      <c r="D521" s="43" t="str">
        <f>IFERROR(__xludf.DUMMYFUNCTION("""COMPUTED_VALUE"""),"No")</f>
        <v>No</v>
      </c>
      <c r="E521" s="43" t="str">
        <f>IFERROR(__xludf.DUMMYFUNCTION("""COMPUTED_VALUE"""),"p_bb5352b5c01ea962cb9360963b7cf9ca86c138b2@inbound.aiesec.org")</f>
        <v>p_bb5352b5c01ea962cb9360963b7cf9ca86c138b2@inbound.aiesec.org</v>
      </c>
      <c r="F521" s="43">
        <f>IFERROR(__xludf.DUMMYFUNCTION("""COMPUTED_VALUE"""),5.357705118E9)</f>
        <v>5357705118</v>
      </c>
      <c r="G521" s="43" t="str">
        <f>IFERROR(__xludf.DUMMYFUNCTION("""COMPUTED_VALUE"""),"Tunisia")</f>
        <v>Tunisia</v>
      </c>
      <c r="H521" s="43" t="str">
        <f>IFERROR(__xludf.DUMMYFUNCTION("""COMPUTED_VALUE"""),"RUSPINA")</f>
        <v>RUSPINA</v>
      </c>
      <c r="I521" s="43" t="str">
        <f>IFERROR(__xludf.DUMMYFUNCTION("""COMPUTED_VALUE"""),"Turkey")</f>
        <v>Turkey</v>
      </c>
      <c r="J521" s="43" t="str">
        <f>IFERROR(__xludf.DUMMYFUNCTION("""COMPUTED_VALUE"""),"KOCAELI")</f>
        <v>KOCAELI</v>
      </c>
      <c r="K521" s="44" t="str">
        <f>IFERROR(__xludf.DUMMYFUNCTION("""COMPUTED_VALUE"""),"https://expa.aiesec.org/opportunities/1300649")</f>
        <v>https://expa.aiesec.org/opportunities/1300649</v>
      </c>
      <c r="L521" s="43" t="str">
        <f>IFERROR(__xludf.DUMMYFUNCTION("""COMPUTED_VALUE"""),"GTe")</f>
        <v>GTe</v>
      </c>
      <c r="M521" s="43" t="str">
        <f>IFERROR(__xludf.DUMMYFUNCTION("""COMPUTED_VALUE"""),"long")</f>
        <v>long</v>
      </c>
      <c r="N521" s="45">
        <f>IFERROR(__xludf.DUMMYFUNCTION("""COMPUTED_VALUE"""),45271.0)</f>
        <v>45271</v>
      </c>
      <c r="O521" s="45">
        <f>IFERROR(__xludf.DUMMYFUNCTION("""COMPUTED_VALUE"""),45277.0)</f>
        <v>45277</v>
      </c>
      <c r="P521" s="45">
        <f>IFERROR(__xludf.DUMMYFUNCTION("""COMPUTED_VALUE"""),45466.0)</f>
        <v>45466</v>
      </c>
      <c r="Q521" s="45"/>
      <c r="R521" s="45"/>
      <c r="S521" s="43"/>
      <c r="T521" s="43"/>
      <c r="U521" s="43" t="str">
        <f>IFERROR(__xludf.DUMMYFUNCTION("""COMPUTED_VALUE"""),"English Teacher in Birikim Okulları")</f>
        <v>English Teacher in Birikim Okulları</v>
      </c>
      <c r="V521" s="43" t="str">
        <f>IFERROR(__xludf.DUMMYFUNCTION("""COMPUTED_VALUE"""),"ISLAA Moknine")</f>
        <v>ISLAA Moknine</v>
      </c>
      <c r="W521" s="43" t="str">
        <f>IFERROR(__xludf.DUMMYFUNCTION("""COMPUTED_VALUE"""),"2022-07-27T20:03:55Z")</f>
        <v>2022-07-27T20:03:55Z</v>
      </c>
      <c r="X521" s="43"/>
      <c r="Y521" s="43"/>
      <c r="Z521" s="43"/>
    </row>
    <row r="522" hidden="1">
      <c r="A522" s="43" t="str">
        <f>IFERROR(__xludf.DUMMYFUNCTION("""COMPUTED_VALUE"""),"3696924_1298413")</f>
        <v>3696924_1298413</v>
      </c>
      <c r="B522" s="43" t="str">
        <f>IFERROR(__xludf.DUMMYFUNCTION("""COMPUTED_VALUE"""),"mouna ben jazia")</f>
        <v>mouna ben jazia</v>
      </c>
      <c r="C522" s="43" t="str">
        <f>IFERROR(__xludf.DUMMYFUNCTION("""COMPUTED_VALUE"""),"realized")</f>
        <v>realized</v>
      </c>
      <c r="D522" s="43" t="str">
        <f>IFERROR(__xludf.DUMMYFUNCTION("""COMPUTED_VALUE"""),"No")</f>
        <v>No</v>
      </c>
      <c r="E522" s="43" t="str">
        <f>IFERROR(__xludf.DUMMYFUNCTION("""COMPUTED_VALUE"""),"p_bb7acda16851f7028a49e34191e4dfae04ca5871@inbound.aiesec.org")</f>
        <v>p_bb7acda16851f7028a49e34191e4dfae04ca5871@inbound.aiesec.org</v>
      </c>
      <c r="F522" s="43">
        <f>IFERROR(__xludf.DUMMYFUNCTION("""COMPUTED_VALUE"""),5.5304088E7)</f>
        <v>55304088</v>
      </c>
      <c r="G522" s="43" t="str">
        <f>IFERROR(__xludf.DUMMYFUNCTION("""COMPUTED_VALUE"""),"Tunisia")</f>
        <v>Tunisia</v>
      </c>
      <c r="H522" s="43" t="str">
        <f>IFERROR(__xludf.DUMMYFUNCTION("""COMPUTED_VALUE"""),"MEDINA")</f>
        <v>MEDINA</v>
      </c>
      <c r="I522" s="43" t="str">
        <f>IFERROR(__xludf.DUMMYFUNCTION("""COMPUTED_VALUE"""),"Turkey")</f>
        <v>Turkey</v>
      </c>
      <c r="J522" s="43" t="str">
        <f>IFERROR(__xludf.DUMMYFUNCTION("""COMPUTED_VALUE"""),"ADANA")</f>
        <v>ADANA</v>
      </c>
      <c r="K522" s="44" t="str">
        <f>IFERROR(__xludf.DUMMYFUNCTION("""COMPUTED_VALUE"""),"https://expa.aiesec.org/opportunities/1298413")</f>
        <v>https://expa.aiesec.org/opportunities/1298413</v>
      </c>
      <c r="L522" s="43" t="str">
        <f>IFERROR(__xludf.DUMMYFUNCTION("""COMPUTED_VALUE"""),"GTe")</f>
        <v>GTe</v>
      </c>
      <c r="M522" s="43" t="str">
        <f>IFERROR(__xludf.DUMMYFUNCTION("""COMPUTED_VALUE"""),"long")</f>
        <v>long</v>
      </c>
      <c r="N522" s="45">
        <f>IFERROR(__xludf.DUMMYFUNCTION("""COMPUTED_VALUE"""),45272.0)</f>
        <v>45272</v>
      </c>
      <c r="O522" s="45">
        <f>IFERROR(__xludf.DUMMYFUNCTION("""COMPUTED_VALUE"""),45285.0)</f>
        <v>45285</v>
      </c>
      <c r="P522" s="45">
        <f>IFERROR(__xludf.DUMMYFUNCTION("""COMPUTED_VALUE"""),45651.0)</f>
        <v>45651</v>
      </c>
      <c r="Q522" s="45">
        <f>IFERROR(__xludf.DUMMYFUNCTION("""COMPUTED_VALUE"""),45288.0)</f>
        <v>45288</v>
      </c>
      <c r="R522" s="45">
        <f>IFERROR(__xludf.DUMMYFUNCTION("""COMPUTED_VALUE"""),45654.0)</f>
        <v>45654</v>
      </c>
      <c r="S522" s="43"/>
      <c r="T522" s="43"/>
      <c r="U522" s="43" t="str">
        <f>IFERROR(__xludf.DUMMYFUNCTION("""COMPUTED_VALUE"""),"English Teacher")</f>
        <v>English Teacher</v>
      </c>
      <c r="V522" s="43" t="str">
        <f>IFERROR(__xludf.DUMMYFUNCTION("""COMPUTED_VALUE"""),"-")</f>
        <v>-</v>
      </c>
      <c r="W522" s="43" t="str">
        <f>IFERROR(__xludf.DUMMYFUNCTION("""COMPUTED_VALUE"""),"2019-07-23T13:44:08Z")</f>
        <v>2019-07-23T13:44:08Z</v>
      </c>
      <c r="X522" s="43"/>
      <c r="Y522" s="43"/>
      <c r="Z522" s="43"/>
    </row>
    <row r="523" hidden="1">
      <c r="A523" s="43" t="str">
        <f>IFERROR(__xludf.DUMMYFUNCTION("""COMPUTED_VALUE"""),"5389777_1302266")</f>
        <v>5389777_1302266</v>
      </c>
      <c r="B523" s="43" t="str">
        <f>IFERROR(__xludf.DUMMYFUNCTION("""COMPUTED_VALUE"""),"Ines Ayachi")</f>
        <v>Ines Ayachi</v>
      </c>
      <c r="C523" s="43" t="str">
        <f>IFERROR(__xludf.DUMMYFUNCTION("""COMPUTED_VALUE"""),"approved")</f>
        <v>approved</v>
      </c>
      <c r="D523" s="43" t="str">
        <f>IFERROR(__xludf.DUMMYFUNCTION("""COMPUTED_VALUE"""),"No")</f>
        <v>No</v>
      </c>
      <c r="E523" s="43" t="str">
        <f>IFERROR(__xludf.DUMMYFUNCTION("""COMPUTED_VALUE"""),"p_cd1f3c9d4760f905ac0a32343837b70d198ef4c5@inbound.aiesec.org")</f>
        <v>p_cd1f3c9d4760f905ac0a32343837b70d198ef4c5@inbound.aiesec.org</v>
      </c>
      <c r="F523" s="43">
        <f>IFERROR(__xludf.DUMMYFUNCTION("""COMPUTED_VALUE"""),2.5549167E7)</f>
        <v>25549167</v>
      </c>
      <c r="G523" s="43" t="str">
        <f>IFERROR(__xludf.DUMMYFUNCTION("""COMPUTED_VALUE"""),"Tunisia")</f>
        <v>Tunisia</v>
      </c>
      <c r="H523" s="43" t="str">
        <f>IFERROR(__xludf.DUMMYFUNCTION("""COMPUTED_VALUE"""),"RUSPINA")</f>
        <v>RUSPINA</v>
      </c>
      <c r="I523" s="43" t="str">
        <f>IFERROR(__xludf.DUMMYFUNCTION("""COMPUTED_VALUE"""),"Turkey")</f>
        <v>Turkey</v>
      </c>
      <c r="J523" s="43" t="str">
        <f>IFERROR(__xludf.DUMMYFUNCTION("""COMPUTED_VALUE"""),"GAZIANTEP")</f>
        <v>GAZIANTEP</v>
      </c>
      <c r="K523" s="44" t="str">
        <f>IFERROR(__xludf.DUMMYFUNCTION("""COMPUTED_VALUE"""),"https://expa.aiesec.org/opportunities/1302266")</f>
        <v>https://expa.aiesec.org/opportunities/1302266</v>
      </c>
      <c r="L523" s="43" t="str">
        <f>IFERROR(__xludf.DUMMYFUNCTION("""COMPUTED_VALUE"""),"GTe")</f>
        <v>GTe</v>
      </c>
      <c r="M523" s="43" t="str">
        <f>IFERROR(__xludf.DUMMYFUNCTION("""COMPUTED_VALUE"""),"long")</f>
        <v>long</v>
      </c>
      <c r="N523" s="45">
        <f>IFERROR(__xludf.DUMMYFUNCTION("""COMPUTED_VALUE"""),45274.0)</f>
        <v>45274</v>
      </c>
      <c r="O523" s="45">
        <f>IFERROR(__xludf.DUMMYFUNCTION("""COMPUTED_VALUE"""),45478.0)</f>
        <v>45478</v>
      </c>
      <c r="P523" s="45">
        <f>IFERROR(__xludf.DUMMYFUNCTION("""COMPUTED_VALUE"""),45812.0)</f>
        <v>45812</v>
      </c>
      <c r="Q523" s="45"/>
      <c r="R523" s="45"/>
      <c r="S523" s="43"/>
      <c r="T523" s="43"/>
      <c r="U523" s="43" t="str">
        <f>IFERROR(__xludf.DUMMYFUNCTION("""COMPUTED_VALUE"""),"ENGLISH TEACHER")</f>
        <v>ENGLISH TEACHER</v>
      </c>
      <c r="V523" s="43" t="str">
        <f>IFERROR(__xludf.DUMMYFUNCTION("""COMPUTED_VALUE"""),"ISLAA Moknine")</f>
        <v>ISLAA Moknine</v>
      </c>
      <c r="W523" s="43" t="str">
        <f>IFERROR(__xludf.DUMMYFUNCTION("""COMPUTED_VALUE"""),"2023-12-13T21:00:14Z")</f>
        <v>2023-12-13T21:00:14Z</v>
      </c>
      <c r="X523" s="43"/>
      <c r="Y523" s="43"/>
      <c r="Z523" s="43"/>
    </row>
    <row r="524" hidden="1">
      <c r="A524" s="43" t="str">
        <f>IFERROR(__xludf.DUMMYFUNCTION("""COMPUTED_VALUE"""),"5389760_1274161")</f>
        <v>5389760_1274161</v>
      </c>
      <c r="B524" s="43" t="str">
        <f>IFERROR(__xludf.DUMMYFUNCTION("""COMPUTED_VALUE"""),"Yasmine Ben Omrane")</f>
        <v>Yasmine Ben Omrane</v>
      </c>
      <c r="C524" s="43" t="str">
        <f>IFERROR(__xludf.DUMMYFUNCTION("""COMPUTED_VALUE"""),"approved")</f>
        <v>approved</v>
      </c>
      <c r="D524" s="43" t="str">
        <f>IFERROR(__xludf.DUMMYFUNCTION("""COMPUTED_VALUE"""),"No")</f>
        <v>No</v>
      </c>
      <c r="E524" s="43" t="str">
        <f>IFERROR(__xludf.DUMMYFUNCTION("""COMPUTED_VALUE"""),"p_a35f509336f7e4a14154ab4975d616db6d2c86cb@inbound.aiesec.org")</f>
        <v>p_a35f509336f7e4a14154ab4975d616db6d2c86cb@inbound.aiesec.org</v>
      </c>
      <c r="F524" s="43"/>
      <c r="G524" s="43" t="str">
        <f>IFERROR(__xludf.DUMMYFUNCTION("""COMPUTED_VALUE"""),"Tunisia")</f>
        <v>Tunisia</v>
      </c>
      <c r="H524" s="43" t="str">
        <f>IFERROR(__xludf.DUMMYFUNCTION("""COMPUTED_VALUE"""),"RUSPINA")</f>
        <v>RUSPINA</v>
      </c>
      <c r="I524" s="43" t="str">
        <f>IFERROR(__xludf.DUMMYFUNCTION("""COMPUTED_VALUE"""),"Turkey")</f>
        <v>Turkey</v>
      </c>
      <c r="J524" s="43" t="str">
        <f>IFERROR(__xludf.DUMMYFUNCTION("""COMPUTED_VALUE"""),"KOCAELI")</f>
        <v>KOCAELI</v>
      </c>
      <c r="K524" s="44" t="str">
        <f>IFERROR(__xludf.DUMMYFUNCTION("""COMPUTED_VALUE"""),"https://expa.aiesec.org/opportunities/1274161")</f>
        <v>https://expa.aiesec.org/opportunities/1274161</v>
      </c>
      <c r="L524" s="43" t="str">
        <f>IFERROR(__xludf.DUMMYFUNCTION("""COMPUTED_VALUE"""),"GTe")</f>
        <v>GTe</v>
      </c>
      <c r="M524" s="43" t="str">
        <f>IFERROR(__xludf.DUMMYFUNCTION("""COMPUTED_VALUE"""),"long")</f>
        <v>long</v>
      </c>
      <c r="N524" s="45">
        <f>IFERROR(__xludf.DUMMYFUNCTION("""COMPUTED_VALUE"""),45275.0)</f>
        <v>45275</v>
      </c>
      <c r="O524" s="45">
        <f>IFERROR(__xludf.DUMMYFUNCTION("""COMPUTED_VALUE"""),45306.0)</f>
        <v>45306</v>
      </c>
      <c r="P524" s="45">
        <f>IFERROR(__xludf.DUMMYFUNCTION("""COMPUTED_VALUE"""),45623.0)</f>
        <v>45623</v>
      </c>
      <c r="Q524" s="45"/>
      <c r="R524" s="45"/>
      <c r="S524" s="43"/>
      <c r="T524" s="43"/>
      <c r="U524" s="43" t="str">
        <f>IFERROR(__xludf.DUMMYFUNCTION("""COMPUTED_VALUE"""),"English Teacher in Başiskele Uğur Okulları")</f>
        <v>English Teacher in Başiskele Uğur Okulları</v>
      </c>
      <c r="V524" s="43" t="str">
        <f>IFERROR(__xludf.DUMMYFUNCTION("""COMPUTED_VALUE"""),"-")</f>
        <v>-</v>
      </c>
      <c r="W524" s="43" t="str">
        <f>IFERROR(__xludf.DUMMYFUNCTION("""COMPUTED_VALUE"""),"2023-12-13T20:26:52Z")</f>
        <v>2023-12-13T20:26:52Z</v>
      </c>
      <c r="X524" s="43"/>
      <c r="Y524" s="43"/>
      <c r="Z524" s="43"/>
    </row>
    <row r="525" hidden="1">
      <c r="A525" s="43" t="str">
        <f>IFERROR(__xludf.DUMMYFUNCTION("""COMPUTED_VALUE"""),"5390746_1297154")</f>
        <v>5390746_1297154</v>
      </c>
      <c r="B525" s="43" t="str">
        <f>IFERROR(__xludf.DUMMYFUNCTION("""COMPUTED_VALUE"""),"Aya Ouesletii")</f>
        <v>Aya Ouesletii</v>
      </c>
      <c r="C525" s="43" t="str">
        <f>IFERROR(__xludf.DUMMYFUNCTION("""COMPUTED_VALUE"""),"approved")</f>
        <v>approved</v>
      </c>
      <c r="D525" s="43" t="str">
        <f>IFERROR(__xludf.DUMMYFUNCTION("""COMPUTED_VALUE"""),"No")</f>
        <v>No</v>
      </c>
      <c r="E525" s="43" t="str">
        <f>IFERROR(__xludf.DUMMYFUNCTION("""COMPUTED_VALUE"""),"p_e3aadcc5ba3928ba4841db1aa7e84627c4a9cb46@inbound.aiesec.org")</f>
        <v>p_e3aadcc5ba3928ba4841db1aa7e84627c4a9cb46@inbound.aiesec.org</v>
      </c>
      <c r="F525" s="43"/>
      <c r="G525" s="43" t="str">
        <f>IFERROR(__xludf.DUMMYFUNCTION("""COMPUTED_VALUE"""),"Tunisia")</f>
        <v>Tunisia</v>
      </c>
      <c r="H525" s="43" t="str">
        <f>IFERROR(__xludf.DUMMYFUNCTION("""COMPUTED_VALUE"""),"HADRUMET")</f>
        <v>HADRUMET</v>
      </c>
      <c r="I525" s="43" t="str">
        <f>IFERROR(__xludf.DUMMYFUNCTION("""COMPUTED_VALUE"""),"Turkey")</f>
        <v>Turkey</v>
      </c>
      <c r="J525" s="43" t="str">
        <f>IFERROR(__xludf.DUMMYFUNCTION("""COMPUTED_VALUE"""),"ADANA")</f>
        <v>ADANA</v>
      </c>
      <c r="K525" s="44" t="str">
        <f>IFERROR(__xludf.DUMMYFUNCTION("""COMPUTED_VALUE"""),"https://expa.aiesec.org/opportunities/1297154")</f>
        <v>https://expa.aiesec.org/opportunities/1297154</v>
      </c>
      <c r="L525" s="43" t="str">
        <f>IFERROR(__xludf.DUMMYFUNCTION("""COMPUTED_VALUE"""),"GTe")</f>
        <v>GTe</v>
      </c>
      <c r="M525" s="43" t="str">
        <f>IFERROR(__xludf.DUMMYFUNCTION("""COMPUTED_VALUE"""),"medium")</f>
        <v>medium</v>
      </c>
      <c r="N525" s="45">
        <f>IFERROR(__xludf.DUMMYFUNCTION("""COMPUTED_VALUE"""),45275.0)</f>
        <v>45275</v>
      </c>
      <c r="O525" s="45">
        <f>IFERROR(__xludf.DUMMYFUNCTION("""COMPUTED_VALUE"""),45289.0)</f>
        <v>45289</v>
      </c>
      <c r="P525" s="45">
        <f>IFERROR(__xludf.DUMMYFUNCTION("""COMPUTED_VALUE"""),45470.0)</f>
        <v>45470</v>
      </c>
      <c r="Q525" s="45"/>
      <c r="R525" s="45"/>
      <c r="S525" s="43"/>
      <c r="T525" s="43"/>
      <c r="U525" s="43" t="str">
        <f>IFERROR(__xludf.DUMMYFUNCTION("""COMPUTED_VALUE"""),"Pre-School Teacher | Adana Maple Bear ")</f>
        <v>Pre-School Teacher | Adana Maple Bear </v>
      </c>
      <c r="V525" s="43" t="str">
        <f>IFERROR(__xludf.DUMMYFUNCTION("""COMPUTED_VALUE"""),"FLSH Sousse")</f>
        <v>FLSH Sousse</v>
      </c>
      <c r="W525" s="43" t="str">
        <f>IFERROR(__xludf.DUMMYFUNCTION("""COMPUTED_VALUE"""),"2023-12-15T16:57:49Z")</f>
        <v>2023-12-15T16:57:49Z</v>
      </c>
      <c r="X525" s="43"/>
      <c r="Y525" s="43"/>
      <c r="Z525" s="43"/>
    </row>
    <row r="526" hidden="1">
      <c r="A526" s="43" t="str">
        <f>IFERROR(__xludf.DUMMYFUNCTION("""COMPUTED_VALUE"""),"5273661_1302171")</f>
        <v>5273661_1302171</v>
      </c>
      <c r="B526" s="43" t="str">
        <f>IFERROR(__xludf.DUMMYFUNCTION("""COMPUTED_VALUE"""),"Chaima Tarhouni")</f>
        <v>Chaima Tarhouni</v>
      </c>
      <c r="C526" s="43" t="str">
        <f>IFERROR(__xludf.DUMMYFUNCTION("""COMPUTED_VALUE"""),"realized")</f>
        <v>realized</v>
      </c>
      <c r="D526" s="43" t="str">
        <f>IFERROR(__xludf.DUMMYFUNCTION("""COMPUTED_VALUE"""),"No")</f>
        <v>No</v>
      </c>
      <c r="E526" s="43" t="str">
        <f>IFERROR(__xludf.DUMMYFUNCTION("""COMPUTED_VALUE"""),"p_bac587016c1cc9db205df8feecd9661e7b224e6c@inbound.aiesec.org")</f>
        <v>p_bac587016c1cc9db205df8feecd9661e7b224e6c@inbound.aiesec.org</v>
      </c>
      <c r="F526" s="43">
        <f>IFERROR(__xludf.DUMMYFUNCTION("""COMPUTED_VALUE"""),2.2668053E7)</f>
        <v>22668053</v>
      </c>
      <c r="G526" s="43" t="str">
        <f>IFERROR(__xludf.DUMMYFUNCTION("""COMPUTED_VALUE"""),"Tunisia")</f>
        <v>Tunisia</v>
      </c>
      <c r="H526" s="43" t="str">
        <f>IFERROR(__xludf.DUMMYFUNCTION("""COMPUTED_VALUE"""),"RUSPINA")</f>
        <v>RUSPINA</v>
      </c>
      <c r="I526" s="43" t="str">
        <f>IFERROR(__xludf.DUMMYFUNCTION("""COMPUTED_VALUE"""),"Turkey")</f>
        <v>Turkey</v>
      </c>
      <c r="J526" s="43" t="str">
        <f>IFERROR(__xludf.DUMMYFUNCTION("""COMPUTED_VALUE"""),"GAZIANTEP")</f>
        <v>GAZIANTEP</v>
      </c>
      <c r="K526" s="44" t="str">
        <f>IFERROR(__xludf.DUMMYFUNCTION("""COMPUTED_VALUE"""),"https://expa.aiesec.org/opportunities/1302171")</f>
        <v>https://expa.aiesec.org/opportunities/1302171</v>
      </c>
      <c r="L526" s="43" t="str">
        <f>IFERROR(__xludf.DUMMYFUNCTION("""COMPUTED_VALUE"""),"GTe")</f>
        <v>GTe</v>
      </c>
      <c r="M526" s="43" t="str">
        <f>IFERROR(__xludf.DUMMYFUNCTION("""COMPUTED_VALUE"""),"long")</f>
        <v>long</v>
      </c>
      <c r="N526" s="45">
        <f>IFERROR(__xludf.DUMMYFUNCTION("""COMPUTED_VALUE"""),45275.0)</f>
        <v>45275</v>
      </c>
      <c r="O526" s="45">
        <f>IFERROR(__xludf.DUMMYFUNCTION("""COMPUTED_VALUE"""),45292.0)</f>
        <v>45292</v>
      </c>
      <c r="P526" s="45">
        <f>IFERROR(__xludf.DUMMYFUNCTION("""COMPUTED_VALUE"""),45657.0)</f>
        <v>45657</v>
      </c>
      <c r="Q526" s="45">
        <f>IFERROR(__xludf.DUMMYFUNCTION("""COMPUTED_VALUE"""),45315.0)</f>
        <v>45315</v>
      </c>
      <c r="R526" s="45">
        <f>IFERROR(__xludf.DUMMYFUNCTION("""COMPUTED_VALUE"""),45680.0)</f>
        <v>45680</v>
      </c>
      <c r="S526" s="43"/>
      <c r="T526" s="43"/>
      <c r="U526" s="43" t="str">
        <f>IFERROR(__xludf.DUMMYFUNCTION("""COMPUTED_VALUE"""),"English Teacher")</f>
        <v>English Teacher</v>
      </c>
      <c r="V526" s="43" t="str">
        <f>IFERROR(__xludf.DUMMYFUNCTION("""COMPUTED_VALUE"""),"ISLAA Moknine")</f>
        <v>ISLAA Moknine</v>
      </c>
      <c r="W526" s="43" t="str">
        <f>IFERROR(__xludf.DUMMYFUNCTION("""COMPUTED_VALUE"""),"2023-06-10T14:08:23Z")</f>
        <v>2023-06-10T14:08:23Z</v>
      </c>
      <c r="X526" s="43"/>
      <c r="Y526" s="43"/>
      <c r="Z526" s="43"/>
    </row>
    <row r="527" hidden="1">
      <c r="A527" s="43" t="str">
        <f>IFERROR(__xludf.DUMMYFUNCTION("""COMPUTED_VALUE"""),"5372506_1302171")</f>
        <v>5372506_1302171</v>
      </c>
      <c r="B527" s="43" t="str">
        <f>IFERROR(__xludf.DUMMYFUNCTION("""COMPUTED_VALUE"""),"Maissa Tlili")</f>
        <v>Maissa Tlili</v>
      </c>
      <c r="C527" s="43" t="str">
        <f>IFERROR(__xludf.DUMMYFUNCTION("""COMPUTED_VALUE"""),"realized")</f>
        <v>realized</v>
      </c>
      <c r="D527" s="43" t="str">
        <f>IFERROR(__xludf.DUMMYFUNCTION("""COMPUTED_VALUE"""),"No")</f>
        <v>No</v>
      </c>
      <c r="E527" s="43" t="str">
        <f>IFERROR(__xludf.DUMMYFUNCTION("""COMPUTED_VALUE"""),"p_175ff2192c300d157e608a4cc0b219dee49b09fa@inbound.aiesec.org")</f>
        <v>p_175ff2192c300d157e608a4cc0b219dee49b09fa@inbound.aiesec.org</v>
      </c>
      <c r="F527" s="43"/>
      <c r="G527" s="43" t="str">
        <f>IFERROR(__xludf.DUMMYFUNCTION("""COMPUTED_VALUE"""),"Tunisia")</f>
        <v>Tunisia</v>
      </c>
      <c r="H527" s="43" t="str">
        <f>IFERROR(__xludf.DUMMYFUNCTION("""COMPUTED_VALUE"""),"RUSPINA")</f>
        <v>RUSPINA</v>
      </c>
      <c r="I527" s="43" t="str">
        <f>IFERROR(__xludf.DUMMYFUNCTION("""COMPUTED_VALUE"""),"Turkey")</f>
        <v>Turkey</v>
      </c>
      <c r="J527" s="43" t="str">
        <f>IFERROR(__xludf.DUMMYFUNCTION("""COMPUTED_VALUE"""),"GAZIANTEP")</f>
        <v>GAZIANTEP</v>
      </c>
      <c r="K527" s="44" t="str">
        <f>IFERROR(__xludf.DUMMYFUNCTION("""COMPUTED_VALUE"""),"https://expa.aiesec.org/opportunities/1302171")</f>
        <v>https://expa.aiesec.org/opportunities/1302171</v>
      </c>
      <c r="L527" s="43" t="str">
        <f>IFERROR(__xludf.DUMMYFUNCTION("""COMPUTED_VALUE"""),"GTe")</f>
        <v>GTe</v>
      </c>
      <c r="M527" s="43" t="str">
        <f>IFERROR(__xludf.DUMMYFUNCTION("""COMPUTED_VALUE"""),"long")</f>
        <v>long</v>
      </c>
      <c r="N527" s="45">
        <f>IFERROR(__xludf.DUMMYFUNCTION("""COMPUTED_VALUE"""),45275.0)</f>
        <v>45275</v>
      </c>
      <c r="O527" s="45">
        <f>IFERROR(__xludf.DUMMYFUNCTION("""COMPUTED_VALUE"""),45292.0)</f>
        <v>45292</v>
      </c>
      <c r="P527" s="45">
        <f>IFERROR(__xludf.DUMMYFUNCTION("""COMPUTED_VALUE"""),45657.0)</f>
        <v>45657</v>
      </c>
      <c r="Q527" s="45">
        <f>IFERROR(__xludf.DUMMYFUNCTION("""COMPUTED_VALUE"""),45315.0)</f>
        <v>45315</v>
      </c>
      <c r="R527" s="45">
        <f>IFERROR(__xludf.DUMMYFUNCTION("""COMPUTED_VALUE"""),45680.0)</f>
        <v>45680</v>
      </c>
      <c r="S527" s="43"/>
      <c r="T527" s="43"/>
      <c r="U527" s="43" t="str">
        <f>IFERROR(__xludf.DUMMYFUNCTION("""COMPUTED_VALUE"""),"English Teacher")</f>
        <v>English Teacher</v>
      </c>
      <c r="V527" s="43" t="str">
        <f>IFERROR(__xludf.DUMMYFUNCTION("""COMPUTED_VALUE"""),"-")</f>
        <v>-</v>
      </c>
      <c r="W527" s="43" t="str">
        <f>IFERROR(__xludf.DUMMYFUNCTION("""COMPUTED_VALUE"""),"2023-11-14T19:46:14Z")</f>
        <v>2023-11-14T19:46:14Z</v>
      </c>
      <c r="X527" s="43"/>
      <c r="Y527" s="43"/>
      <c r="Z527" s="43"/>
    </row>
    <row r="528" hidden="1">
      <c r="A528" s="43" t="str">
        <f>IFERROR(__xludf.DUMMYFUNCTION("""COMPUTED_VALUE"""),"5371951_1302171")</f>
        <v>5371951_1302171</v>
      </c>
      <c r="B528" s="43" t="str">
        <f>IFERROR(__xludf.DUMMYFUNCTION("""COMPUTED_VALUE"""),"Mohamed Aziz Gallala")</f>
        <v>Mohamed Aziz Gallala</v>
      </c>
      <c r="C528" s="43" t="str">
        <f>IFERROR(__xludf.DUMMYFUNCTION("""COMPUTED_VALUE"""),"approved")</f>
        <v>approved</v>
      </c>
      <c r="D528" s="43" t="str">
        <f>IFERROR(__xludf.DUMMYFUNCTION("""COMPUTED_VALUE"""),"No")</f>
        <v>No</v>
      </c>
      <c r="E528" s="43" t="str">
        <f>IFERROR(__xludf.DUMMYFUNCTION("""COMPUTED_VALUE"""),"p_01329d99afee413b325c00d828c25803c3eb7fe1@inbound.aiesec.org")</f>
        <v>p_01329d99afee413b325c00d828c25803c3eb7fe1@inbound.aiesec.org</v>
      </c>
      <c r="F528" s="43"/>
      <c r="G528" s="43" t="str">
        <f>IFERROR(__xludf.DUMMYFUNCTION("""COMPUTED_VALUE"""),"Tunisia")</f>
        <v>Tunisia</v>
      </c>
      <c r="H528" s="43" t="str">
        <f>IFERROR(__xludf.DUMMYFUNCTION("""COMPUTED_VALUE"""),"RUSPINA")</f>
        <v>RUSPINA</v>
      </c>
      <c r="I528" s="43" t="str">
        <f>IFERROR(__xludf.DUMMYFUNCTION("""COMPUTED_VALUE"""),"Turkey")</f>
        <v>Turkey</v>
      </c>
      <c r="J528" s="43" t="str">
        <f>IFERROR(__xludf.DUMMYFUNCTION("""COMPUTED_VALUE"""),"GAZIANTEP")</f>
        <v>GAZIANTEP</v>
      </c>
      <c r="K528" s="44" t="str">
        <f>IFERROR(__xludf.DUMMYFUNCTION("""COMPUTED_VALUE"""),"https://expa.aiesec.org/opportunities/1302171")</f>
        <v>https://expa.aiesec.org/opportunities/1302171</v>
      </c>
      <c r="L528" s="43" t="str">
        <f>IFERROR(__xludf.DUMMYFUNCTION("""COMPUTED_VALUE"""),"GTe")</f>
        <v>GTe</v>
      </c>
      <c r="M528" s="43" t="str">
        <f>IFERROR(__xludf.DUMMYFUNCTION("""COMPUTED_VALUE"""),"long")</f>
        <v>long</v>
      </c>
      <c r="N528" s="45">
        <f>IFERROR(__xludf.DUMMYFUNCTION("""COMPUTED_VALUE"""),45275.0)</f>
        <v>45275</v>
      </c>
      <c r="O528" s="45">
        <f>IFERROR(__xludf.DUMMYFUNCTION("""COMPUTED_VALUE"""),45292.0)</f>
        <v>45292</v>
      </c>
      <c r="P528" s="45">
        <f>IFERROR(__xludf.DUMMYFUNCTION("""COMPUTED_VALUE"""),45657.0)</f>
        <v>45657</v>
      </c>
      <c r="Q528" s="45"/>
      <c r="R528" s="45"/>
      <c r="S528" s="43"/>
      <c r="T528" s="43"/>
      <c r="U528" s="43" t="str">
        <f>IFERROR(__xludf.DUMMYFUNCTION("""COMPUTED_VALUE"""),"English Teacher")</f>
        <v>English Teacher</v>
      </c>
      <c r="V528" s="43" t="str">
        <f>IFERROR(__xludf.DUMMYFUNCTION("""COMPUTED_VALUE"""),"-")</f>
        <v>-</v>
      </c>
      <c r="W528" s="43" t="str">
        <f>IFERROR(__xludf.DUMMYFUNCTION("""COMPUTED_VALUE"""),"2023-11-13T22:38:47Z")</f>
        <v>2023-11-13T22:38:47Z</v>
      </c>
      <c r="X528" s="43"/>
      <c r="Y528" s="43"/>
      <c r="Z528" s="43"/>
    </row>
    <row r="529" hidden="1">
      <c r="A529" s="43" t="str">
        <f>IFERROR(__xludf.DUMMYFUNCTION("""COMPUTED_VALUE"""),"5276513_1302206")</f>
        <v>5276513_1302206</v>
      </c>
      <c r="B529" s="43" t="str">
        <f>IFERROR(__xludf.DUMMYFUNCTION("""COMPUTED_VALUE"""),"Farouk Kouider Moussaoui")</f>
        <v>Farouk Kouider Moussaoui</v>
      </c>
      <c r="C529" s="43" t="str">
        <f>IFERROR(__xludf.DUMMYFUNCTION("""COMPUTED_VALUE"""),"approved")</f>
        <v>approved</v>
      </c>
      <c r="D529" s="43" t="str">
        <f>IFERROR(__xludf.DUMMYFUNCTION("""COMPUTED_VALUE"""),"No")</f>
        <v>No</v>
      </c>
      <c r="E529" s="43" t="str">
        <f>IFERROR(__xludf.DUMMYFUNCTION("""COMPUTED_VALUE"""),"p_c569153932a964fafade88bfb1d464d2dc3d9dbc@inbound.aiesec.org")</f>
        <v>p_c569153932a964fafade88bfb1d464d2dc3d9dbc@inbound.aiesec.org</v>
      </c>
      <c r="F529" s="43">
        <f>IFERROR(__xludf.DUMMYFUNCTION("""COMPUTED_VALUE"""),6.99468188E8)</f>
        <v>699468188</v>
      </c>
      <c r="G529" s="43" t="str">
        <f>IFERROR(__xludf.DUMMYFUNCTION("""COMPUTED_VALUE"""),"Algeria")</f>
        <v>Algeria</v>
      </c>
      <c r="H529" s="43" t="str">
        <f>IFERROR(__xludf.DUMMYFUNCTION("""COMPUTED_VALUE"""),"Babez")</f>
        <v>Babez</v>
      </c>
      <c r="I529" s="43" t="str">
        <f>IFERROR(__xludf.DUMMYFUNCTION("""COMPUTED_VALUE"""),"Turkey")</f>
        <v>Turkey</v>
      </c>
      <c r="J529" s="43" t="str">
        <f>IFERROR(__xludf.DUMMYFUNCTION("""COMPUTED_VALUE"""),"ANKARA")</f>
        <v>ANKARA</v>
      </c>
      <c r="K529" s="44" t="str">
        <f>IFERROR(__xludf.DUMMYFUNCTION("""COMPUTED_VALUE"""),"https://expa.aiesec.org/opportunities/1302206")</f>
        <v>https://expa.aiesec.org/opportunities/1302206</v>
      </c>
      <c r="L529" s="43" t="str">
        <f>IFERROR(__xludf.DUMMYFUNCTION("""COMPUTED_VALUE"""),"GTe")</f>
        <v>GTe</v>
      </c>
      <c r="M529" s="43" t="str">
        <f>IFERROR(__xludf.DUMMYFUNCTION("""COMPUTED_VALUE"""),"long")</f>
        <v>long</v>
      </c>
      <c r="N529" s="45">
        <f>IFERROR(__xludf.DUMMYFUNCTION("""COMPUTED_VALUE"""),45277.0)</f>
        <v>45277</v>
      </c>
      <c r="O529" s="45">
        <f>IFERROR(__xludf.DUMMYFUNCTION("""COMPUTED_VALUE"""),45323.0)</f>
        <v>45323</v>
      </c>
      <c r="P529" s="45">
        <f>IFERROR(__xludf.DUMMYFUNCTION("""COMPUTED_VALUE"""),45688.0)</f>
        <v>45688</v>
      </c>
      <c r="Q529" s="45"/>
      <c r="R529" s="45"/>
      <c r="S529" s="43"/>
      <c r="T529" s="43"/>
      <c r="U529" s="43" t="str">
        <f>IFERROR(__xludf.DUMMYFUNCTION("""COMPUTED_VALUE"""),"English Teacher")</f>
        <v>English Teacher</v>
      </c>
      <c r="V529" s="43" t="str">
        <f>IFERROR(__xludf.DUMMYFUNCTION("""COMPUTED_VALUE"""),"AIESEC in Blida")</f>
        <v>AIESEC in Blida</v>
      </c>
      <c r="W529" s="43" t="str">
        <f>IFERROR(__xludf.DUMMYFUNCTION("""COMPUTED_VALUE"""),"2023-06-17T22:11:35Z")</f>
        <v>2023-06-17T22:11:35Z</v>
      </c>
      <c r="X529" s="43"/>
      <c r="Y529" s="43"/>
      <c r="Z529" s="43"/>
    </row>
    <row r="530" hidden="1">
      <c r="A530" s="43" t="str">
        <f>IFERROR(__xludf.DUMMYFUNCTION("""COMPUTED_VALUE"""),"5386871_1287942")</f>
        <v>5386871_1287942</v>
      </c>
      <c r="B530" s="43" t="str">
        <f>IFERROR(__xludf.DUMMYFUNCTION("""COMPUTED_VALUE"""),"Zatasha Maudina Sheika")</f>
        <v>Zatasha Maudina Sheika</v>
      </c>
      <c r="C530" s="43" t="str">
        <f>IFERROR(__xludf.DUMMYFUNCTION("""COMPUTED_VALUE"""),"realized")</f>
        <v>realized</v>
      </c>
      <c r="D530" s="43" t="str">
        <f>IFERROR(__xludf.DUMMYFUNCTION("""COMPUTED_VALUE"""),"No")</f>
        <v>No</v>
      </c>
      <c r="E530" s="43" t="str">
        <f>IFERROR(__xludf.DUMMYFUNCTION("""COMPUTED_VALUE"""),"p_c381537fa7f29f8ecfcd315ac18d3eb624653016@inbound.aiesec.org")</f>
        <v>p_c381537fa7f29f8ecfcd315ac18d3eb624653016@inbound.aiesec.org</v>
      </c>
      <c r="F530" s="43">
        <f>IFERROR(__xludf.DUMMYFUNCTION("""COMPUTED_VALUE"""),8.8976927285E10)</f>
        <v>88976927285</v>
      </c>
      <c r="G530" s="43" t="str">
        <f>IFERROR(__xludf.DUMMYFUNCTION("""COMPUTED_VALUE"""),"Indonesia")</f>
        <v>Indonesia</v>
      </c>
      <c r="H530" s="43" t="str">
        <f>IFERROR(__xludf.DUMMYFUNCTION("""COMPUTED_VALUE"""),"UIN Jakarta")</f>
        <v>UIN Jakarta</v>
      </c>
      <c r="I530" s="43" t="str">
        <f>IFERROR(__xludf.DUMMYFUNCTION("""COMPUTED_VALUE"""),"Turkey")</f>
        <v>Turkey</v>
      </c>
      <c r="J530" s="43" t="str">
        <f>IFERROR(__xludf.DUMMYFUNCTION("""COMPUTED_VALUE"""),"İZMİR")</f>
        <v>İZMİR</v>
      </c>
      <c r="K530" s="44" t="str">
        <f>IFERROR(__xludf.DUMMYFUNCTION("""COMPUTED_VALUE"""),"https://expa.aiesec.org/opportunities/1287942")</f>
        <v>https://expa.aiesec.org/opportunities/1287942</v>
      </c>
      <c r="L530" s="43" t="str">
        <f>IFERROR(__xludf.DUMMYFUNCTION("""COMPUTED_VALUE"""),"GTe")</f>
        <v>GTe</v>
      </c>
      <c r="M530" s="43" t="str">
        <f>IFERROR(__xludf.DUMMYFUNCTION("""COMPUTED_VALUE"""),"long")</f>
        <v>long</v>
      </c>
      <c r="N530" s="45">
        <f>IFERROR(__xludf.DUMMYFUNCTION("""COMPUTED_VALUE"""),45283.0)</f>
        <v>45283</v>
      </c>
      <c r="O530" s="45">
        <f>IFERROR(__xludf.DUMMYFUNCTION("""COMPUTED_VALUE"""),45292.0)</f>
        <v>45292</v>
      </c>
      <c r="P530" s="45">
        <f>IFERROR(__xludf.DUMMYFUNCTION("""COMPUTED_VALUE"""),45657.0)</f>
        <v>45657</v>
      </c>
      <c r="Q530" s="45">
        <f>IFERROR(__xludf.DUMMYFUNCTION("""COMPUTED_VALUE"""),45306.0)</f>
        <v>45306</v>
      </c>
      <c r="R530" s="45">
        <f>IFERROR(__xludf.DUMMYFUNCTION("""COMPUTED_VALUE"""),45671.0)</f>
        <v>45671</v>
      </c>
      <c r="S530" s="43"/>
      <c r="T530" s="43"/>
      <c r="U530" s="43" t="str">
        <f>IFERROR(__xludf.DUMMYFUNCTION("""COMPUTED_VALUE"""),"Kindergarten English Teacher")</f>
        <v>Kindergarten English Teacher</v>
      </c>
      <c r="V530" s="43" t="str">
        <f>IFERROR(__xludf.DUMMYFUNCTION("""COMPUTED_VALUE"""),"UIN Syarif Hidayatullah Jakarta")</f>
        <v>UIN Syarif Hidayatullah Jakarta</v>
      </c>
      <c r="W530" s="43" t="str">
        <f>IFERROR(__xludf.DUMMYFUNCTION("""COMPUTED_VALUE"""),"2023-12-07T13:59:04Z")</f>
        <v>2023-12-07T13:59:04Z</v>
      </c>
      <c r="X530" s="43"/>
      <c r="Y530" s="43"/>
      <c r="Z530" s="43"/>
    </row>
    <row r="531" hidden="1">
      <c r="A531" s="43" t="str">
        <f>IFERROR(__xludf.DUMMYFUNCTION("""COMPUTED_VALUE"""),"5381686_1289485")</f>
        <v>5381686_1289485</v>
      </c>
      <c r="B531" s="43" t="str">
        <f>IFERROR(__xludf.DUMMYFUNCTION("""COMPUTED_VALUE"""),"Israa Mohamed")</f>
        <v>Israa Mohamed</v>
      </c>
      <c r="C531" s="43" t="str">
        <f>IFERROR(__xludf.DUMMYFUNCTION("""COMPUTED_VALUE"""),"approved")</f>
        <v>approved</v>
      </c>
      <c r="D531" s="43" t="str">
        <f>IFERROR(__xludf.DUMMYFUNCTION("""COMPUTED_VALUE"""),"No")</f>
        <v>No</v>
      </c>
      <c r="E531" s="43" t="str">
        <f>IFERROR(__xludf.DUMMYFUNCTION("""COMPUTED_VALUE"""),"p_bdcdfccb6c9a63dbc9727a3dee7b595b580c943c@inbound.aiesec.org")</f>
        <v>p_bdcdfccb6c9a63dbc9727a3dee7b595b580c943c@inbound.aiesec.org</v>
      </c>
      <c r="F531" s="43">
        <f>IFERROR(__xludf.DUMMYFUNCTION("""COMPUTED_VALUE"""),1.272281055E9)</f>
        <v>1272281055</v>
      </c>
      <c r="G531" s="43" t="str">
        <f>IFERROR(__xludf.DUMMYFUNCTION("""COMPUTED_VALUE"""),"Egypt")</f>
        <v>Egypt</v>
      </c>
      <c r="H531" s="43" t="str">
        <f>IFERROR(__xludf.DUMMYFUNCTION("""COMPUTED_VALUE"""),"Alexandria")</f>
        <v>Alexandria</v>
      </c>
      <c r="I531" s="43" t="str">
        <f>IFERROR(__xludf.DUMMYFUNCTION("""COMPUTED_VALUE"""),"Turkey")</f>
        <v>Turkey</v>
      </c>
      <c r="J531" s="43" t="str">
        <f>IFERROR(__xludf.DUMMYFUNCTION("""COMPUTED_VALUE"""),"BURSA")</f>
        <v>BURSA</v>
      </c>
      <c r="K531" s="44" t="str">
        <f>IFERROR(__xludf.DUMMYFUNCTION("""COMPUTED_VALUE"""),"https://expa.aiesec.org/opportunities/1289485")</f>
        <v>https://expa.aiesec.org/opportunities/1289485</v>
      </c>
      <c r="L531" s="43" t="str">
        <f>IFERROR(__xludf.DUMMYFUNCTION("""COMPUTED_VALUE"""),"GTe")</f>
        <v>GTe</v>
      </c>
      <c r="M531" s="43" t="str">
        <f>IFERROR(__xludf.DUMMYFUNCTION("""COMPUTED_VALUE"""),"long")</f>
        <v>long</v>
      </c>
      <c r="N531" s="45">
        <f>IFERROR(__xludf.DUMMYFUNCTION("""COMPUTED_VALUE"""),45287.0)</f>
        <v>45287</v>
      </c>
      <c r="O531" s="45">
        <f>IFERROR(__xludf.DUMMYFUNCTION("""COMPUTED_VALUE"""),45295.0)</f>
        <v>45295</v>
      </c>
      <c r="P531" s="45">
        <f>IFERROR(__xludf.DUMMYFUNCTION("""COMPUTED_VALUE"""),45575.0)</f>
        <v>45575</v>
      </c>
      <c r="Q531" s="45"/>
      <c r="R531" s="45"/>
      <c r="S531" s="43"/>
      <c r="T531" s="43"/>
      <c r="U531" s="43" t="str">
        <f>IFERROR(__xludf.DUMMYFUNCTION("""COMPUTED_VALUE"""),"English Teacher/Yalova")</f>
        <v>English Teacher/Yalova</v>
      </c>
      <c r="V531" s="43" t="str">
        <f>IFERROR(__xludf.DUMMYFUNCTION("""COMPUTED_VALUE"""),"Alexandria University")</f>
        <v>Alexandria University</v>
      </c>
      <c r="W531" s="43" t="str">
        <f>IFERROR(__xludf.DUMMYFUNCTION("""COMPUTED_VALUE"""),"2023-11-28T13:46:35Z")</f>
        <v>2023-11-28T13:46:35Z</v>
      </c>
      <c r="X531" s="43"/>
      <c r="Y531" s="43"/>
      <c r="Z531" s="43"/>
    </row>
    <row r="532" hidden="1">
      <c r="A532" s="43" t="str">
        <f>IFERROR(__xludf.DUMMYFUNCTION("""COMPUTED_VALUE"""),"5217202_1264946")</f>
        <v>5217202_1264946</v>
      </c>
      <c r="B532" s="43" t="str">
        <f>IFERROR(__xludf.DUMMYFUNCTION("""COMPUTED_VALUE"""),"Eya Ouesleti")</f>
        <v>Eya Ouesleti</v>
      </c>
      <c r="C532" s="43" t="str">
        <f>IFERROR(__xludf.DUMMYFUNCTION("""COMPUTED_VALUE"""),"approved")</f>
        <v>approved</v>
      </c>
      <c r="D532" s="43" t="str">
        <f>IFERROR(__xludf.DUMMYFUNCTION("""COMPUTED_VALUE"""),"No")</f>
        <v>No</v>
      </c>
      <c r="E532" s="43" t="str">
        <f>IFERROR(__xludf.DUMMYFUNCTION("""COMPUTED_VALUE"""),"p_f4d01cd2c98e8b62466150d81cecfc4743aca562@inbound.aiesec.org")</f>
        <v>p_f4d01cd2c98e8b62466150d81cecfc4743aca562@inbound.aiesec.org</v>
      </c>
      <c r="F532" s="43">
        <f>IFERROR(__xludf.DUMMYFUNCTION("""COMPUTED_VALUE"""),5.0094804E7)</f>
        <v>50094804</v>
      </c>
      <c r="G532" s="43" t="str">
        <f>IFERROR(__xludf.DUMMYFUNCTION("""COMPUTED_VALUE"""),"Tunisia")</f>
        <v>Tunisia</v>
      </c>
      <c r="H532" s="43" t="str">
        <f>IFERROR(__xludf.DUMMYFUNCTION("""COMPUTED_VALUE"""),"HADRUMET")</f>
        <v>HADRUMET</v>
      </c>
      <c r="I532" s="43" t="str">
        <f>IFERROR(__xludf.DUMMYFUNCTION("""COMPUTED_VALUE"""),"Turkey")</f>
        <v>Turkey</v>
      </c>
      <c r="J532" s="43" t="str">
        <f>IFERROR(__xludf.DUMMYFUNCTION("""COMPUTED_VALUE"""),"KOCAELI")</f>
        <v>KOCAELI</v>
      </c>
      <c r="K532" s="44" t="str">
        <f>IFERROR(__xludf.DUMMYFUNCTION("""COMPUTED_VALUE"""),"https://expa.aiesec.org/opportunities/1264946")</f>
        <v>https://expa.aiesec.org/opportunities/1264946</v>
      </c>
      <c r="L532" s="43" t="str">
        <f>IFERROR(__xludf.DUMMYFUNCTION("""COMPUTED_VALUE"""),"GTe")</f>
        <v>GTe</v>
      </c>
      <c r="M532" s="43" t="str">
        <f>IFERROR(__xludf.DUMMYFUNCTION("""COMPUTED_VALUE"""),"long")</f>
        <v>long</v>
      </c>
      <c r="N532" s="45">
        <f>IFERROR(__xludf.DUMMYFUNCTION("""COMPUTED_VALUE"""),45288.0)</f>
        <v>45288</v>
      </c>
      <c r="O532" s="45">
        <f>IFERROR(__xludf.DUMMYFUNCTION("""COMPUTED_VALUE"""),45302.0)</f>
        <v>45302</v>
      </c>
      <c r="P532" s="45">
        <f>IFERROR(__xludf.DUMMYFUNCTION("""COMPUTED_VALUE"""),45491.0)</f>
        <v>45491</v>
      </c>
      <c r="Q532" s="45"/>
      <c r="R532" s="45"/>
      <c r="S532" s="43"/>
      <c r="T532" s="43"/>
      <c r="U532" s="43" t="str">
        <f>IFERROR(__xludf.DUMMYFUNCTION("""COMPUTED_VALUE"""),"English Teacher in Boutique Kindergarden ")</f>
        <v>English Teacher in Boutique Kindergarden </v>
      </c>
      <c r="V532" s="43" t="str">
        <f>IFERROR(__xludf.DUMMYFUNCTION("""COMPUTED_VALUE"""),"FLSH Sousse")</f>
        <v>FLSH Sousse</v>
      </c>
      <c r="W532" s="43" t="str">
        <f>IFERROR(__xludf.DUMMYFUNCTION("""COMPUTED_VALUE"""),"2023-03-15T12:23:48Z")</f>
        <v>2023-03-15T12:23:48Z</v>
      </c>
      <c r="X532" s="43"/>
      <c r="Y532" s="43"/>
      <c r="Z532" s="43"/>
    </row>
    <row r="533" hidden="1">
      <c r="A533" s="43" t="str">
        <f>IFERROR(__xludf.DUMMYFUNCTION("""COMPUTED_VALUE"""),"5394813_1298736")</f>
        <v>5394813_1298736</v>
      </c>
      <c r="B533" s="43" t="str">
        <f>IFERROR(__xludf.DUMMYFUNCTION("""COMPUTED_VALUE"""),"Abdo Mohamed")</f>
        <v>Abdo Mohamed</v>
      </c>
      <c r="C533" s="43" t="str">
        <f>IFERROR(__xludf.DUMMYFUNCTION("""COMPUTED_VALUE"""),"approved")</f>
        <v>approved</v>
      </c>
      <c r="D533" s="43" t="str">
        <f>IFERROR(__xludf.DUMMYFUNCTION("""COMPUTED_VALUE"""),"No")</f>
        <v>No</v>
      </c>
      <c r="E533" s="43" t="str">
        <f>IFERROR(__xludf.DUMMYFUNCTION("""COMPUTED_VALUE"""),"p_a4682e51886a3ca71cf277627b25299f440b8858@inbound.aiesec.org")</f>
        <v>p_a4682e51886a3ca71cf277627b25299f440b8858@inbound.aiesec.org</v>
      </c>
      <c r="F533" s="43"/>
      <c r="G533" s="43" t="str">
        <f>IFERROR(__xludf.DUMMYFUNCTION("""COMPUTED_VALUE"""),"Egypt")</f>
        <v>Egypt</v>
      </c>
      <c r="H533" s="43" t="str">
        <f>IFERROR(__xludf.DUMMYFUNCTION("""COMPUTED_VALUE"""),"Helwan")</f>
        <v>Helwan</v>
      </c>
      <c r="I533" s="43" t="str">
        <f>IFERROR(__xludf.DUMMYFUNCTION("""COMPUTED_VALUE"""),"Turkey")</f>
        <v>Turkey</v>
      </c>
      <c r="J533" s="43" t="str">
        <f>IFERROR(__xludf.DUMMYFUNCTION("""COMPUTED_VALUE"""),"ISTANBUL ASIA")</f>
        <v>ISTANBUL ASIA</v>
      </c>
      <c r="K533" s="44" t="str">
        <f>IFERROR(__xludf.DUMMYFUNCTION("""COMPUTED_VALUE"""),"https://expa.aiesec.org/opportunities/1298736")</f>
        <v>https://expa.aiesec.org/opportunities/1298736</v>
      </c>
      <c r="L533" s="43" t="str">
        <f>IFERROR(__xludf.DUMMYFUNCTION("""COMPUTED_VALUE"""),"GTe")</f>
        <v>GTe</v>
      </c>
      <c r="M533" s="43" t="str">
        <f>IFERROR(__xludf.DUMMYFUNCTION("""COMPUTED_VALUE"""),"long")</f>
        <v>long</v>
      </c>
      <c r="N533" s="45">
        <f>IFERROR(__xludf.DUMMYFUNCTION("""COMPUTED_VALUE"""),45288.0)</f>
        <v>45288</v>
      </c>
      <c r="O533" s="45">
        <f>IFERROR(__xludf.DUMMYFUNCTION("""COMPUTED_VALUE"""),45313.0)</f>
        <v>45313</v>
      </c>
      <c r="P533" s="45">
        <f>IFERROR(__xludf.DUMMYFUNCTION("""COMPUTED_VALUE"""),45674.0)</f>
        <v>45674</v>
      </c>
      <c r="Q533" s="45"/>
      <c r="R533" s="45"/>
      <c r="S533" s="43"/>
      <c r="T533" s="43"/>
      <c r="U533" s="43" t="str">
        <f>IFERROR(__xludf.DUMMYFUNCTION("""COMPUTED_VALUE"""),"Amerikan Kültür Kavacık")</f>
        <v>Amerikan Kültür Kavacık</v>
      </c>
      <c r="V533" s="43" t="str">
        <f>IFERROR(__xludf.DUMMYFUNCTION("""COMPUTED_VALUE"""),"-")</f>
        <v>-</v>
      </c>
      <c r="W533" s="43" t="str">
        <f>IFERROR(__xludf.DUMMYFUNCTION("""COMPUTED_VALUE"""),"2023-12-26T15:43:56Z")</f>
        <v>2023-12-26T15:43:56Z</v>
      </c>
      <c r="X533" s="43"/>
      <c r="Y533" s="43"/>
      <c r="Z533" s="43"/>
    </row>
    <row r="534" hidden="1">
      <c r="A534" s="43" t="str">
        <f>IFERROR(__xludf.DUMMYFUNCTION("""COMPUTED_VALUE"""),"5081363_1289689")</f>
        <v>5081363_1289689</v>
      </c>
      <c r="B534" s="43" t="str">
        <f>IFERROR(__xludf.DUMMYFUNCTION("""COMPUTED_VALUE"""),"SIMOURI OSSAMA")</f>
        <v>SIMOURI OSSAMA</v>
      </c>
      <c r="C534" s="43" t="str">
        <f>IFERROR(__xludf.DUMMYFUNCTION("""COMPUTED_VALUE"""),"realized")</f>
        <v>realized</v>
      </c>
      <c r="D534" s="43" t="str">
        <f>IFERROR(__xludf.DUMMYFUNCTION("""COMPUTED_VALUE"""),"No")</f>
        <v>No</v>
      </c>
      <c r="E534" s="43" t="str">
        <f>IFERROR(__xludf.DUMMYFUNCTION("""COMPUTED_VALUE"""),"p_53bf58e02081c207dc2d763bc47ccdbe8ec5b4f1@inbound.aiesec.org")</f>
        <v>p_53bf58e02081c207dc2d763bc47ccdbe8ec5b4f1@inbound.aiesec.org</v>
      </c>
      <c r="F534" s="43">
        <f>IFERROR(__xludf.DUMMYFUNCTION("""COMPUTED_VALUE"""),6.21724939E8)</f>
        <v>621724939</v>
      </c>
      <c r="G534" s="43" t="str">
        <f>IFERROR(__xludf.DUMMYFUNCTION("""COMPUTED_VALUE"""),"Morocco")</f>
        <v>Morocco</v>
      </c>
      <c r="H534" s="43" t="str">
        <f>IFERROR(__xludf.DUMMYFUNCTION("""COMPUTED_VALUE"""),"Kenitra")</f>
        <v>Kenitra</v>
      </c>
      <c r="I534" s="43" t="str">
        <f>IFERROR(__xludf.DUMMYFUNCTION("""COMPUTED_VALUE"""),"Turkey")</f>
        <v>Turkey</v>
      </c>
      <c r="J534" s="43" t="str">
        <f>IFERROR(__xludf.DUMMYFUNCTION("""COMPUTED_VALUE"""),"SAKARYA")</f>
        <v>SAKARYA</v>
      </c>
      <c r="K534" s="44" t="str">
        <f>IFERROR(__xludf.DUMMYFUNCTION("""COMPUTED_VALUE"""),"https://expa.aiesec.org/opportunities/1289689")</f>
        <v>https://expa.aiesec.org/opportunities/1289689</v>
      </c>
      <c r="L534" s="43" t="str">
        <f>IFERROR(__xludf.DUMMYFUNCTION("""COMPUTED_VALUE"""),"GTe")</f>
        <v>GTe</v>
      </c>
      <c r="M534" s="43" t="str">
        <f>IFERROR(__xludf.DUMMYFUNCTION("""COMPUTED_VALUE"""),"medium")</f>
        <v>medium</v>
      </c>
      <c r="N534" s="45">
        <f>IFERROR(__xludf.DUMMYFUNCTION("""COMPUTED_VALUE"""),45289.0)</f>
        <v>45289</v>
      </c>
      <c r="O534" s="45">
        <f>IFERROR(__xludf.DUMMYFUNCTION("""COMPUTED_VALUE"""),45302.0)</f>
        <v>45302</v>
      </c>
      <c r="P534" s="45">
        <f>IFERROR(__xludf.DUMMYFUNCTION("""COMPUTED_VALUE"""),45483.0)</f>
        <v>45483</v>
      </c>
      <c r="Q534" s="45">
        <f>IFERROR(__xludf.DUMMYFUNCTION("""COMPUTED_VALUE"""),45314.0)</f>
        <v>45314</v>
      </c>
      <c r="R534" s="45">
        <f>IFERROR(__xludf.DUMMYFUNCTION("""COMPUTED_VALUE"""),45495.0)</f>
        <v>45495</v>
      </c>
      <c r="S534" s="43"/>
      <c r="T534" s="43"/>
      <c r="U534" s="43" t="str">
        <f>IFERROR(__xludf.DUMMYFUNCTION("""COMPUTED_VALUE"""),"English Language Teacher | Makrodil Universal Language Academy")</f>
        <v>English Language Teacher | Makrodil Universal Language Academy</v>
      </c>
      <c r="V534" s="43" t="str">
        <f>IFERROR(__xludf.DUMMYFUNCTION("""COMPUTED_VALUE"""),"Faculté Des Sciences Kénitra")</f>
        <v>Faculté Des Sciences Kénitra</v>
      </c>
      <c r="W534" s="43" t="str">
        <f>IFERROR(__xludf.DUMMYFUNCTION("""COMPUTED_VALUE"""),"2022-07-10T11:28:10Z")</f>
        <v>2022-07-10T11:28:10Z</v>
      </c>
      <c r="X534" s="43"/>
      <c r="Y534" s="43"/>
      <c r="Z534" s="43"/>
    </row>
    <row r="535" hidden="1">
      <c r="A535" s="43" t="str">
        <f>IFERROR(__xludf.DUMMYFUNCTION("""COMPUTED_VALUE"""),"5394998_1290731")</f>
        <v>5394998_1290731</v>
      </c>
      <c r="B535" s="43" t="str">
        <f>IFERROR(__xludf.DUMMYFUNCTION("""COMPUTED_VALUE"""),"Bouguesri Mehdi")</f>
        <v>Bouguesri Mehdi</v>
      </c>
      <c r="C535" s="43" t="str">
        <f>IFERROR(__xludf.DUMMYFUNCTION("""COMPUTED_VALUE"""),"realized")</f>
        <v>realized</v>
      </c>
      <c r="D535" s="43" t="str">
        <f>IFERROR(__xludf.DUMMYFUNCTION("""COMPUTED_VALUE"""),"No")</f>
        <v>No</v>
      </c>
      <c r="E535" s="43" t="str">
        <f>IFERROR(__xludf.DUMMYFUNCTION("""COMPUTED_VALUE"""),"p_f17ffbc2d2f4c14864a76ddddf14d5fac9f9fe70@inbound.aiesec.org")</f>
        <v>p_f17ffbc2d2f4c14864a76ddddf14d5fac9f9fe70@inbound.aiesec.org</v>
      </c>
      <c r="F535" s="43">
        <f>IFERROR(__xludf.DUMMYFUNCTION("""COMPUTED_VALUE"""),6.99811318E8)</f>
        <v>699811318</v>
      </c>
      <c r="G535" s="43" t="str">
        <f>IFERROR(__xludf.DUMMYFUNCTION("""COMPUTED_VALUE"""),"Algeria")</f>
        <v>Algeria</v>
      </c>
      <c r="H535" s="43" t="str">
        <f>IFERROR(__xludf.DUMMYFUNCTION("""COMPUTED_VALUE"""),"Oran")</f>
        <v>Oran</v>
      </c>
      <c r="I535" s="43" t="str">
        <f>IFERROR(__xludf.DUMMYFUNCTION("""COMPUTED_VALUE"""),"Turkey")</f>
        <v>Turkey</v>
      </c>
      <c r="J535" s="43" t="str">
        <f>IFERROR(__xludf.DUMMYFUNCTION("""COMPUTED_VALUE"""),"GAZIANTEP")</f>
        <v>GAZIANTEP</v>
      </c>
      <c r="K535" s="44" t="str">
        <f>IFERROR(__xludf.DUMMYFUNCTION("""COMPUTED_VALUE"""),"https://expa.aiesec.org/opportunities/1290731")</f>
        <v>https://expa.aiesec.org/opportunities/1290731</v>
      </c>
      <c r="L535" s="43" t="str">
        <f>IFERROR(__xludf.DUMMYFUNCTION("""COMPUTED_VALUE"""),"GTe")</f>
        <v>GTe</v>
      </c>
      <c r="M535" s="43" t="str">
        <f>IFERROR(__xludf.DUMMYFUNCTION("""COMPUTED_VALUE"""),"long")</f>
        <v>long</v>
      </c>
      <c r="N535" s="45">
        <f>IFERROR(__xludf.DUMMYFUNCTION("""COMPUTED_VALUE"""),45290.0)</f>
        <v>45290</v>
      </c>
      <c r="O535" s="45">
        <f>IFERROR(__xludf.DUMMYFUNCTION("""COMPUTED_VALUE"""),45301.0)</f>
        <v>45301</v>
      </c>
      <c r="P535" s="45">
        <f>IFERROR(__xludf.DUMMYFUNCTION("""COMPUTED_VALUE"""),45635.0)</f>
        <v>45635</v>
      </c>
      <c r="Q535" s="45">
        <f>IFERROR(__xludf.DUMMYFUNCTION("""COMPUTED_VALUE"""),45315.0)</f>
        <v>45315</v>
      </c>
      <c r="R535" s="45">
        <f>IFERROR(__xludf.DUMMYFUNCTION("""COMPUTED_VALUE"""),45649.0)</f>
        <v>45649</v>
      </c>
      <c r="S535" s="43"/>
      <c r="T535" s="43"/>
      <c r="U535" s="43" t="str">
        <f>IFERROR(__xludf.DUMMYFUNCTION("""COMPUTED_VALUE"""),"English Time")</f>
        <v>English Time</v>
      </c>
      <c r="V535" s="43" t="str">
        <f>IFERROR(__xludf.DUMMYFUNCTION("""COMPUTED_VALUE"""),"AIESEC in Oran")</f>
        <v>AIESEC in Oran</v>
      </c>
      <c r="W535" s="43" t="str">
        <f>IFERROR(__xludf.DUMMYFUNCTION("""COMPUTED_VALUE"""),"2023-12-27T04:24:59Z")</f>
        <v>2023-12-27T04:24:59Z</v>
      </c>
      <c r="X535" s="43"/>
      <c r="Y535" s="43"/>
      <c r="Z535" s="43"/>
    </row>
    <row r="536" hidden="1">
      <c r="A536" s="43" t="str">
        <f>IFERROR(__xludf.DUMMYFUNCTION("""COMPUTED_VALUE"""),"5391840_1287942")</f>
        <v>5391840_1287942</v>
      </c>
      <c r="B536" s="43" t="str">
        <f>IFERROR(__xludf.DUMMYFUNCTION("""COMPUTED_VALUE"""),"Hayam Aly")</f>
        <v>Hayam Aly</v>
      </c>
      <c r="C536" s="43" t="str">
        <f>IFERROR(__xludf.DUMMYFUNCTION("""COMPUTED_VALUE"""),"approved")</f>
        <v>approved</v>
      </c>
      <c r="D536" s="43" t="str">
        <f>IFERROR(__xludf.DUMMYFUNCTION("""COMPUTED_VALUE"""),"No")</f>
        <v>No</v>
      </c>
      <c r="E536" s="43" t="str">
        <f>IFERROR(__xludf.DUMMYFUNCTION("""COMPUTED_VALUE"""),"p_81c10c3a89a1eb6848846b81c8dd85bcd603f53e@inbound.aiesec.org")</f>
        <v>p_81c10c3a89a1eb6848846b81c8dd85bcd603f53e@inbound.aiesec.org</v>
      </c>
      <c r="F536" s="43">
        <f>IFERROR(__xludf.DUMMYFUNCTION("""COMPUTED_VALUE"""),1.092895892E9)</f>
        <v>1092895892</v>
      </c>
      <c r="G536" s="43" t="str">
        <f>IFERROR(__xludf.DUMMYFUNCTION("""COMPUTED_VALUE"""),"Egypt")</f>
        <v>Egypt</v>
      </c>
      <c r="H536" s="43" t="str">
        <f>IFERROR(__xludf.DUMMYFUNCTION("""COMPUTED_VALUE"""),"Alexandria")</f>
        <v>Alexandria</v>
      </c>
      <c r="I536" s="43" t="str">
        <f>IFERROR(__xludf.DUMMYFUNCTION("""COMPUTED_VALUE"""),"Turkey")</f>
        <v>Turkey</v>
      </c>
      <c r="J536" s="43" t="str">
        <f>IFERROR(__xludf.DUMMYFUNCTION("""COMPUTED_VALUE"""),"İZMİR")</f>
        <v>İZMİR</v>
      </c>
      <c r="K536" s="44" t="str">
        <f>IFERROR(__xludf.DUMMYFUNCTION("""COMPUTED_VALUE"""),"https://expa.aiesec.org/opportunities/1287942")</f>
        <v>https://expa.aiesec.org/opportunities/1287942</v>
      </c>
      <c r="L536" s="43" t="str">
        <f>IFERROR(__xludf.DUMMYFUNCTION("""COMPUTED_VALUE"""),"GTe")</f>
        <v>GTe</v>
      </c>
      <c r="M536" s="43" t="str">
        <f>IFERROR(__xludf.DUMMYFUNCTION("""COMPUTED_VALUE"""),"long")</f>
        <v>long</v>
      </c>
      <c r="N536" s="45">
        <f>IFERROR(__xludf.DUMMYFUNCTION("""COMPUTED_VALUE"""),45293.0)</f>
        <v>45293</v>
      </c>
      <c r="O536" s="45">
        <f>IFERROR(__xludf.DUMMYFUNCTION("""COMPUTED_VALUE"""),45306.0)</f>
        <v>45306</v>
      </c>
      <c r="P536" s="45">
        <f>IFERROR(__xludf.DUMMYFUNCTION("""COMPUTED_VALUE"""),45671.0)</f>
        <v>45671</v>
      </c>
      <c r="Q536" s="45"/>
      <c r="R536" s="45"/>
      <c r="S536" s="43"/>
      <c r="T536" s="43"/>
      <c r="U536" s="43" t="str">
        <f>IFERROR(__xludf.DUMMYFUNCTION("""COMPUTED_VALUE"""),"Kindergarten English Teacher")</f>
        <v>Kindergarten English Teacher</v>
      </c>
      <c r="V536" s="43" t="str">
        <f>IFERROR(__xludf.DUMMYFUNCTION("""COMPUTED_VALUE"""),"Alexandria University")</f>
        <v>Alexandria University</v>
      </c>
      <c r="W536" s="43" t="str">
        <f>IFERROR(__xludf.DUMMYFUNCTION("""COMPUTED_VALUE"""),"2023-12-18T14:02:15Z")</f>
        <v>2023-12-18T14:02:15Z</v>
      </c>
      <c r="X536" s="43"/>
      <c r="Y536" s="43"/>
      <c r="Z536" s="43"/>
    </row>
    <row r="537" hidden="1">
      <c r="A537" s="43" t="str">
        <f>IFERROR(__xludf.DUMMYFUNCTION("""COMPUTED_VALUE"""),"5027833_1294941")</f>
        <v>5027833_1294941</v>
      </c>
      <c r="B537" s="43" t="str">
        <f>IFERROR(__xludf.DUMMYFUNCTION("""COMPUTED_VALUE"""),"Patricia del Rocio Maria Alba Cardona")</f>
        <v>Patricia del Rocio Maria Alba Cardona</v>
      </c>
      <c r="C537" s="43" t="str">
        <f>IFERROR(__xludf.DUMMYFUNCTION("""COMPUTED_VALUE"""),"approved")</f>
        <v>approved</v>
      </c>
      <c r="D537" s="43" t="str">
        <f>IFERROR(__xludf.DUMMYFUNCTION("""COMPUTED_VALUE"""),"No")</f>
        <v>No</v>
      </c>
      <c r="E537" s="43" t="str">
        <f>IFERROR(__xludf.DUMMYFUNCTION("""COMPUTED_VALUE"""),"p_26bd5e81ca807ad2c83717f1073f92c344d72b51@inbound.aiesec.org")</f>
        <v>p_26bd5e81ca807ad2c83717f1073f92c344d72b51@inbound.aiesec.org</v>
      </c>
      <c r="F537" s="43">
        <f>IFERROR(__xludf.DUMMYFUNCTION("""COMPUTED_VALUE"""),7.77216231E9)</f>
        <v>7772162310</v>
      </c>
      <c r="G537" s="43" t="str">
        <f>IFERROR(__xludf.DUMMYFUNCTION("""COMPUTED_VALUE"""),"Mexico")</f>
        <v>Mexico</v>
      </c>
      <c r="H537" s="43" t="str">
        <f>IFERROR(__xludf.DUMMYFUNCTION("""COMPUTED_VALUE"""),"UNAM")</f>
        <v>UNAM</v>
      </c>
      <c r="I537" s="43" t="str">
        <f>IFERROR(__xludf.DUMMYFUNCTION("""COMPUTED_VALUE"""),"Turkey")</f>
        <v>Turkey</v>
      </c>
      <c r="J537" s="43" t="str">
        <f>IFERROR(__xludf.DUMMYFUNCTION("""COMPUTED_VALUE"""),"ADANA")</f>
        <v>ADANA</v>
      </c>
      <c r="K537" s="44" t="str">
        <f>IFERROR(__xludf.DUMMYFUNCTION("""COMPUTED_VALUE"""),"https://expa.aiesec.org/opportunities/1294941")</f>
        <v>https://expa.aiesec.org/opportunities/1294941</v>
      </c>
      <c r="L537" s="43" t="str">
        <f>IFERROR(__xludf.DUMMYFUNCTION("""COMPUTED_VALUE"""),"GTe")</f>
        <v>GTe</v>
      </c>
      <c r="M537" s="43" t="str">
        <f>IFERROR(__xludf.DUMMYFUNCTION("""COMPUTED_VALUE"""),"long")</f>
        <v>long</v>
      </c>
      <c r="N537" s="45">
        <f>IFERROR(__xludf.DUMMYFUNCTION("""COMPUTED_VALUE"""),45297.0)</f>
        <v>45297</v>
      </c>
      <c r="O537" s="45">
        <f>IFERROR(__xludf.DUMMYFUNCTION("""COMPUTED_VALUE"""),45323.0)</f>
        <v>45323</v>
      </c>
      <c r="P537" s="45">
        <f>IFERROR(__xludf.DUMMYFUNCTION("""COMPUTED_VALUE"""),45512.0)</f>
        <v>45512</v>
      </c>
      <c r="Q537" s="45"/>
      <c r="R537" s="45"/>
      <c r="S537" s="43"/>
      <c r="T537" s="43"/>
      <c r="U537" s="43" t="str">
        <f>IFERROR(__xludf.DUMMYFUNCTION("""COMPUTED_VALUE"""),"English Teaching in Diyarbakır TED")</f>
        <v>English Teaching in Diyarbakır TED</v>
      </c>
      <c r="V537" s="43" t="str">
        <f>IFERROR(__xludf.DUMMYFUNCTION("""COMPUTED_VALUE"""),"-")</f>
        <v>-</v>
      </c>
      <c r="W537" s="43" t="str">
        <f>IFERROR(__xludf.DUMMYFUNCTION("""COMPUTED_VALUE"""),"2022-04-07T06:15:40Z")</f>
        <v>2022-04-07T06:15:40Z</v>
      </c>
      <c r="X537" s="43"/>
      <c r="Y537" s="43"/>
      <c r="Z537" s="43"/>
    </row>
    <row r="538" hidden="1">
      <c r="A538" s="43" t="str">
        <f>IFERROR(__xludf.DUMMYFUNCTION("""COMPUTED_VALUE"""),"5263818_1302896")</f>
        <v>5263818_1302896</v>
      </c>
      <c r="B538" s="43" t="str">
        <f>IFERROR(__xludf.DUMMYFUNCTION("""COMPUTED_VALUE"""),"Bekkhoucha Sihem")</f>
        <v>Bekkhoucha Sihem</v>
      </c>
      <c r="C538" s="43" t="str">
        <f>IFERROR(__xludf.DUMMYFUNCTION("""COMPUTED_VALUE"""),"approved")</f>
        <v>approved</v>
      </c>
      <c r="D538" s="43" t="str">
        <f>IFERROR(__xludf.DUMMYFUNCTION("""COMPUTED_VALUE"""),"No")</f>
        <v>No</v>
      </c>
      <c r="E538" s="43" t="str">
        <f>IFERROR(__xludf.DUMMYFUNCTION("""COMPUTED_VALUE"""),"p_6169cdf8e5dc37156b79795e089e199653fee63b@inbound.aiesec.org")</f>
        <v>p_6169cdf8e5dc37156b79795e089e199653fee63b@inbound.aiesec.org</v>
      </c>
      <c r="F538" s="43">
        <f>IFERROR(__xludf.DUMMYFUNCTION("""COMPUTED_VALUE"""),6.74038379E8)</f>
        <v>674038379</v>
      </c>
      <c r="G538" s="43" t="str">
        <f>IFERROR(__xludf.DUMMYFUNCTION("""COMPUTED_VALUE"""),"Algeria")</f>
        <v>Algeria</v>
      </c>
      <c r="H538" s="43" t="str">
        <f>IFERROR(__xludf.DUMMYFUNCTION("""COMPUTED_VALUE"""),"Tlemcen")</f>
        <v>Tlemcen</v>
      </c>
      <c r="I538" s="43" t="str">
        <f>IFERROR(__xludf.DUMMYFUNCTION("""COMPUTED_VALUE"""),"Turkey")</f>
        <v>Turkey</v>
      </c>
      <c r="J538" s="43" t="str">
        <f>IFERROR(__xludf.DUMMYFUNCTION("""COMPUTED_VALUE"""),"ISTANBUL ASIA")</f>
        <v>ISTANBUL ASIA</v>
      </c>
      <c r="K538" s="44" t="str">
        <f>IFERROR(__xludf.DUMMYFUNCTION("""COMPUTED_VALUE"""),"https://expa.aiesec.org/opportunities/1302896")</f>
        <v>https://expa.aiesec.org/opportunities/1302896</v>
      </c>
      <c r="L538" s="43" t="str">
        <f>IFERROR(__xludf.DUMMYFUNCTION("""COMPUTED_VALUE"""),"GTe")</f>
        <v>GTe</v>
      </c>
      <c r="M538" s="43" t="str">
        <f>IFERROR(__xludf.DUMMYFUNCTION("""COMPUTED_VALUE"""),"long")</f>
        <v>long</v>
      </c>
      <c r="N538" s="45">
        <f>IFERROR(__xludf.DUMMYFUNCTION("""COMPUTED_VALUE"""),45300.0)</f>
        <v>45300</v>
      </c>
      <c r="O538" s="45">
        <f>IFERROR(__xludf.DUMMYFUNCTION("""COMPUTED_VALUE"""),45313.0)</f>
        <v>45313</v>
      </c>
      <c r="P538" s="45">
        <f>IFERROR(__xludf.DUMMYFUNCTION("""COMPUTED_VALUE"""),45674.0)</f>
        <v>45674</v>
      </c>
      <c r="Q538" s="45"/>
      <c r="R538" s="45"/>
      <c r="S538" s="43"/>
      <c r="T538" s="43"/>
      <c r="U538" s="43" t="str">
        <f>IFERROR(__xludf.DUMMYFUNCTION("""COMPUTED_VALUE"""),"English Teacher, Kurtköy")</f>
        <v>English Teacher, Kurtköy</v>
      </c>
      <c r="V538" s="43" t="str">
        <f>IFERROR(__xludf.DUMMYFUNCTION("""COMPUTED_VALUE"""),"AIESEC in Tlemcen")</f>
        <v>AIESEC in Tlemcen</v>
      </c>
      <c r="W538" s="43" t="str">
        <f>IFERROR(__xludf.DUMMYFUNCTION("""COMPUTED_VALUE"""),"2023-05-19T23:16:37Z")</f>
        <v>2023-05-19T23:16:37Z</v>
      </c>
      <c r="X538" s="43"/>
      <c r="Y538" s="43"/>
      <c r="Z538" s="43"/>
    </row>
    <row r="539" hidden="1">
      <c r="A539" s="43" t="str">
        <f>IFERROR(__xludf.DUMMYFUNCTION("""COMPUTED_VALUE"""),"5398504_1291482")</f>
        <v>5398504_1291482</v>
      </c>
      <c r="B539" s="43" t="str">
        <f>IFERROR(__xludf.DUMMYFUNCTION("""COMPUTED_VALUE"""),"Parfait Jean De La Croix Mano")</f>
        <v>Parfait Jean De La Croix Mano</v>
      </c>
      <c r="C539" s="43" t="str">
        <f>IFERROR(__xludf.DUMMYFUNCTION("""COMPUTED_VALUE"""),"approved")</f>
        <v>approved</v>
      </c>
      <c r="D539" s="43" t="str">
        <f>IFERROR(__xludf.DUMMYFUNCTION("""COMPUTED_VALUE"""),"No")</f>
        <v>No</v>
      </c>
      <c r="E539" s="43" t="str">
        <f>IFERROR(__xludf.DUMMYFUNCTION("""COMPUTED_VALUE"""),"p_9284bc8feb37a43ed068999913ec0ef66688e7c9@inbound.aiesec.org")</f>
        <v>p_9284bc8feb37a43ed068999913ec0ef66688e7c9@inbound.aiesec.org</v>
      </c>
      <c r="F539" s="43">
        <f>IFERROR(__xludf.DUMMYFUNCTION("""COMPUTED_VALUE"""),6.5223472E7)</f>
        <v>65223472</v>
      </c>
      <c r="G539" s="43" t="str">
        <f>IFERROR(__xludf.DUMMYFUNCTION("""COMPUTED_VALUE"""),"Burkina Faso")</f>
        <v>Burkina Faso</v>
      </c>
      <c r="H539" s="43" t="str">
        <f>IFERROR(__xludf.DUMMYFUNCTION("""COMPUTED_VALUE"""),"AIESEC in Ouagadougou")</f>
        <v>AIESEC in Ouagadougou</v>
      </c>
      <c r="I539" s="43" t="str">
        <f>IFERROR(__xludf.DUMMYFUNCTION("""COMPUTED_VALUE"""),"Turkey")</f>
        <v>Turkey</v>
      </c>
      <c r="J539" s="43" t="str">
        <f>IFERROR(__xludf.DUMMYFUNCTION("""COMPUTED_VALUE"""),"TRABZON")</f>
        <v>TRABZON</v>
      </c>
      <c r="K539" s="44" t="str">
        <f>IFERROR(__xludf.DUMMYFUNCTION("""COMPUTED_VALUE"""),"https://expa.aiesec.org/opportunities/1291482")</f>
        <v>https://expa.aiesec.org/opportunities/1291482</v>
      </c>
      <c r="L539" s="43" t="str">
        <f>IFERROR(__xludf.DUMMYFUNCTION("""COMPUTED_VALUE"""),"GTe")</f>
        <v>GTe</v>
      </c>
      <c r="M539" s="43" t="str">
        <f>IFERROR(__xludf.DUMMYFUNCTION("""COMPUTED_VALUE"""),"long")</f>
        <v>long</v>
      </c>
      <c r="N539" s="45">
        <f>IFERROR(__xludf.DUMMYFUNCTION("""COMPUTED_VALUE"""),45300.0)</f>
        <v>45300</v>
      </c>
      <c r="O539" s="45">
        <f>IFERROR(__xludf.DUMMYFUNCTION("""COMPUTED_VALUE"""),45323.0)</f>
        <v>45323</v>
      </c>
      <c r="P539" s="45">
        <f>IFERROR(__xludf.DUMMYFUNCTION("""COMPUTED_VALUE"""),45657.0)</f>
        <v>45657</v>
      </c>
      <c r="Q539" s="45"/>
      <c r="R539" s="45"/>
      <c r="S539" s="43"/>
      <c r="T539" s="43"/>
      <c r="U539" s="43" t="str">
        <f>IFERROR(__xludf.DUMMYFUNCTION("""COMPUTED_VALUE"""),"English Teacher in TEOL")</f>
        <v>English Teacher in TEOL</v>
      </c>
      <c r="V539" s="43" t="str">
        <f>IFERROR(__xludf.DUMMYFUNCTION("""COMPUTED_VALUE"""),"Ouagadougou")</f>
        <v>Ouagadougou</v>
      </c>
      <c r="W539" s="43" t="str">
        <f>IFERROR(__xludf.DUMMYFUNCTION("""COMPUTED_VALUE"""),"2024-01-06T20:44:00Z")</f>
        <v>2024-01-06T20:44:00Z</v>
      </c>
      <c r="X539" s="43"/>
      <c r="Y539" s="43"/>
      <c r="Z539" s="43"/>
    </row>
    <row r="540" hidden="1">
      <c r="A540" s="43" t="str">
        <f>IFERROR(__xludf.DUMMYFUNCTION("""COMPUTED_VALUE"""),"5390730_1302898")</f>
        <v>5390730_1302898</v>
      </c>
      <c r="B540" s="43" t="str">
        <f>IFERROR(__xludf.DUMMYFUNCTION("""COMPUTED_VALUE"""),"Jawher Rahmani")</f>
        <v>Jawher Rahmani</v>
      </c>
      <c r="C540" s="43" t="str">
        <f>IFERROR(__xludf.DUMMYFUNCTION("""COMPUTED_VALUE"""),"approved")</f>
        <v>approved</v>
      </c>
      <c r="D540" s="43" t="str">
        <f>IFERROR(__xludf.DUMMYFUNCTION("""COMPUTED_VALUE"""),"No")</f>
        <v>No</v>
      </c>
      <c r="E540" s="43" t="str">
        <f>IFERROR(__xludf.DUMMYFUNCTION("""COMPUTED_VALUE"""),"p_d1c81508e855f8c87755e01f2a78f6da9e966421@inbound.aiesec.org")</f>
        <v>p_d1c81508e855f8c87755e01f2a78f6da9e966421@inbound.aiesec.org</v>
      </c>
      <c r="F540" s="43">
        <f>IFERROR(__xludf.DUMMYFUNCTION("""COMPUTED_VALUE"""),5.4687806E7)</f>
        <v>54687806</v>
      </c>
      <c r="G540" s="43" t="str">
        <f>IFERROR(__xludf.DUMMYFUNCTION("""COMPUTED_VALUE"""),"Tunisia")</f>
        <v>Tunisia</v>
      </c>
      <c r="H540" s="43" t="str">
        <f>IFERROR(__xludf.DUMMYFUNCTION("""COMPUTED_VALUE"""),"MEDINA")</f>
        <v>MEDINA</v>
      </c>
      <c r="I540" s="43" t="str">
        <f>IFERROR(__xludf.DUMMYFUNCTION("""COMPUTED_VALUE"""),"Turkey")</f>
        <v>Turkey</v>
      </c>
      <c r="J540" s="43" t="str">
        <f>IFERROR(__xludf.DUMMYFUNCTION("""COMPUTED_VALUE"""),"ISTANBUL ASIA")</f>
        <v>ISTANBUL ASIA</v>
      </c>
      <c r="K540" s="44" t="str">
        <f>IFERROR(__xludf.DUMMYFUNCTION("""COMPUTED_VALUE"""),"https://expa.aiesec.org/opportunities/1302898")</f>
        <v>https://expa.aiesec.org/opportunities/1302898</v>
      </c>
      <c r="L540" s="43" t="str">
        <f>IFERROR(__xludf.DUMMYFUNCTION("""COMPUTED_VALUE"""),"GTe")</f>
        <v>GTe</v>
      </c>
      <c r="M540" s="43" t="str">
        <f>IFERROR(__xludf.DUMMYFUNCTION("""COMPUTED_VALUE"""),"long")</f>
        <v>long</v>
      </c>
      <c r="N540" s="45">
        <f>IFERROR(__xludf.DUMMYFUNCTION("""COMPUTED_VALUE"""),45301.0)</f>
        <v>45301</v>
      </c>
      <c r="O540" s="45">
        <f>IFERROR(__xludf.DUMMYFUNCTION("""COMPUTED_VALUE"""),45313.0)</f>
        <v>45313</v>
      </c>
      <c r="P540" s="45">
        <f>IFERROR(__xludf.DUMMYFUNCTION("""COMPUTED_VALUE"""),45674.0)</f>
        <v>45674</v>
      </c>
      <c r="Q540" s="45"/>
      <c r="R540" s="45"/>
      <c r="S540" s="43"/>
      <c r="T540" s="43"/>
      <c r="U540" s="43" t="str">
        <f>IFERROR(__xludf.DUMMYFUNCTION("""COMPUTED_VALUE"""),"English Teacher, Çamlıca")</f>
        <v>English Teacher, Çamlıca</v>
      </c>
      <c r="V540" s="43" t="str">
        <f>IFERROR(__xludf.DUMMYFUNCTION("""COMPUTED_VALUE"""),"ISAM Manouba")</f>
        <v>ISAM Manouba</v>
      </c>
      <c r="W540" s="43" t="str">
        <f>IFERROR(__xludf.DUMMYFUNCTION("""COMPUTED_VALUE"""),"2023-12-15T16:27:28Z")</f>
        <v>2023-12-15T16:27:28Z</v>
      </c>
      <c r="X540" s="43"/>
      <c r="Y540" s="43"/>
      <c r="Z540" s="43"/>
    </row>
    <row r="541" hidden="1">
      <c r="A541" s="43" t="str">
        <f>IFERROR(__xludf.DUMMYFUNCTION("""COMPUTED_VALUE"""),"5381631_1296625")</f>
        <v>5381631_1296625</v>
      </c>
      <c r="B541" s="43" t="str">
        <f>IFERROR(__xludf.DUMMYFUNCTION("""COMPUTED_VALUE"""),"Zaineb Khelifi")</f>
        <v>Zaineb Khelifi</v>
      </c>
      <c r="C541" s="43" t="str">
        <f>IFERROR(__xludf.DUMMYFUNCTION("""COMPUTED_VALUE"""),"approved")</f>
        <v>approved</v>
      </c>
      <c r="D541" s="43" t="str">
        <f>IFERROR(__xludf.DUMMYFUNCTION("""COMPUTED_VALUE"""),"No")</f>
        <v>No</v>
      </c>
      <c r="E541" s="43" t="str">
        <f>IFERROR(__xludf.DUMMYFUNCTION("""COMPUTED_VALUE"""),"p_f380ba5efac28d182fb6525e6d79445d49a9f7fd@inbound.aiesec.org")</f>
        <v>p_f380ba5efac28d182fb6525e6d79445d49a9f7fd@inbound.aiesec.org</v>
      </c>
      <c r="F541" s="43"/>
      <c r="G541" s="43" t="str">
        <f>IFERROR(__xludf.DUMMYFUNCTION("""COMPUTED_VALUE"""),"Belgium")</f>
        <v>Belgium</v>
      </c>
      <c r="H541" s="43" t="str">
        <f>IFERROR(__xludf.DUMMYFUNCTION("""COMPUTED_VALUE"""),"Belgium (National) ")</f>
        <v>Belgium (National) </v>
      </c>
      <c r="I541" s="43" t="str">
        <f>IFERROR(__xludf.DUMMYFUNCTION("""COMPUTED_VALUE"""),"Turkey")</f>
        <v>Turkey</v>
      </c>
      <c r="J541" s="43" t="str">
        <f>IFERROR(__xludf.DUMMYFUNCTION("""COMPUTED_VALUE"""),"SAKARYA")</f>
        <v>SAKARYA</v>
      </c>
      <c r="K541" s="44" t="str">
        <f>IFERROR(__xludf.DUMMYFUNCTION("""COMPUTED_VALUE"""),"https://expa.aiesec.org/opportunities/1296625")</f>
        <v>https://expa.aiesec.org/opportunities/1296625</v>
      </c>
      <c r="L541" s="43" t="str">
        <f>IFERROR(__xludf.DUMMYFUNCTION("""COMPUTED_VALUE"""),"GTe")</f>
        <v>GTe</v>
      </c>
      <c r="M541" s="43" t="str">
        <f>IFERROR(__xludf.DUMMYFUNCTION("""COMPUTED_VALUE"""),"long")</f>
        <v>long</v>
      </c>
      <c r="N541" s="45">
        <f>IFERROR(__xludf.DUMMYFUNCTION("""COMPUTED_VALUE"""),45308.0)</f>
        <v>45308</v>
      </c>
      <c r="O541" s="45">
        <f>IFERROR(__xludf.DUMMYFUNCTION("""COMPUTED_VALUE"""),45327.0)</f>
        <v>45327</v>
      </c>
      <c r="P541" s="45">
        <f>IFERROR(__xludf.DUMMYFUNCTION("""COMPUTED_VALUE"""),45688.0)</f>
        <v>45688</v>
      </c>
      <c r="Q541" s="45"/>
      <c r="R541" s="45"/>
      <c r="S541" s="43"/>
      <c r="T541" s="43"/>
      <c r="U541" s="43" t="str">
        <f>IFERROR(__xludf.DUMMYFUNCTION("""COMPUTED_VALUE"""),"English Teacher")</f>
        <v>English Teacher</v>
      </c>
      <c r="V541" s="43" t="str">
        <f>IFERROR(__xludf.DUMMYFUNCTION("""COMPUTED_VALUE"""),"Other")</f>
        <v>Other</v>
      </c>
      <c r="W541" s="43" t="str">
        <f>IFERROR(__xludf.DUMMYFUNCTION("""COMPUTED_VALUE"""),"2023-11-28T13:11:44Z")</f>
        <v>2023-11-28T13:11:44Z</v>
      </c>
      <c r="X541" s="43"/>
      <c r="Y541" s="43"/>
      <c r="Z541" s="43"/>
    </row>
    <row r="542" hidden="1">
      <c r="A542" s="43" t="str">
        <f>IFERROR(__xludf.DUMMYFUNCTION("""COMPUTED_VALUE"""),"5397741_1286368")</f>
        <v>5397741_1286368</v>
      </c>
      <c r="B542" s="43" t="str">
        <f>IFERROR(__xludf.DUMMYFUNCTION("""COMPUTED_VALUE"""),"Heba Soliman")</f>
        <v>Heba Soliman</v>
      </c>
      <c r="C542" s="43" t="str">
        <f>IFERROR(__xludf.DUMMYFUNCTION("""COMPUTED_VALUE"""),"approved")</f>
        <v>approved</v>
      </c>
      <c r="D542" s="43" t="str">
        <f>IFERROR(__xludf.DUMMYFUNCTION("""COMPUTED_VALUE"""),"No")</f>
        <v>No</v>
      </c>
      <c r="E542" s="43" t="str">
        <f>IFERROR(__xludf.DUMMYFUNCTION("""COMPUTED_VALUE"""),"p_5c792c63c3583356ff70930af7330ecb24289a09@inbound.aiesec.org")</f>
        <v>p_5c792c63c3583356ff70930af7330ecb24289a09@inbound.aiesec.org</v>
      </c>
      <c r="F542" s="43">
        <f>IFERROR(__xludf.DUMMYFUNCTION("""COMPUTED_VALUE"""),1.091097516E9)</f>
        <v>1091097516</v>
      </c>
      <c r="G542" s="43" t="str">
        <f>IFERROR(__xludf.DUMMYFUNCTION("""COMPUTED_VALUE"""),"Egypt")</f>
        <v>Egypt</v>
      </c>
      <c r="H542" s="43" t="str">
        <f>IFERROR(__xludf.DUMMYFUNCTION("""COMPUTED_VALUE"""),"Alexandria")</f>
        <v>Alexandria</v>
      </c>
      <c r="I542" s="43" t="str">
        <f>IFERROR(__xludf.DUMMYFUNCTION("""COMPUTED_VALUE"""),"Turkey")</f>
        <v>Turkey</v>
      </c>
      <c r="J542" s="43" t="str">
        <f>IFERROR(__xludf.DUMMYFUNCTION("""COMPUTED_VALUE"""),"ISTANBUL ASIA")</f>
        <v>ISTANBUL ASIA</v>
      </c>
      <c r="K542" s="44" t="str">
        <f>IFERROR(__xludf.DUMMYFUNCTION("""COMPUTED_VALUE"""),"https://expa.aiesec.org/opportunities/1286368")</f>
        <v>https://expa.aiesec.org/opportunities/1286368</v>
      </c>
      <c r="L542" s="43" t="str">
        <f>IFERROR(__xludf.DUMMYFUNCTION("""COMPUTED_VALUE"""),"GTe")</f>
        <v>GTe</v>
      </c>
      <c r="M542" s="43" t="str">
        <f>IFERROR(__xludf.DUMMYFUNCTION("""COMPUTED_VALUE"""),"long")</f>
        <v>long</v>
      </c>
      <c r="N542" s="45">
        <f>IFERROR(__xludf.DUMMYFUNCTION("""COMPUTED_VALUE"""),45309.0)</f>
        <v>45309</v>
      </c>
      <c r="O542" s="45">
        <f>IFERROR(__xludf.DUMMYFUNCTION("""COMPUTED_VALUE"""),45323.0)</f>
        <v>45323</v>
      </c>
      <c r="P542" s="45">
        <f>IFERROR(__xludf.DUMMYFUNCTION("""COMPUTED_VALUE"""),45688.0)</f>
        <v>45688</v>
      </c>
      <c r="Q542" s="45"/>
      <c r="R542" s="45"/>
      <c r="S542" s="43"/>
      <c r="T542" s="43"/>
      <c r="U542" s="43" t="str">
        <f>IFERROR(__xludf.DUMMYFUNCTION("""COMPUTED_VALUE"""),"English Teacher")</f>
        <v>English Teacher</v>
      </c>
      <c r="V542" s="43" t="str">
        <f>IFERROR(__xludf.DUMMYFUNCTION("""COMPUTED_VALUE"""),"Alexandria University")</f>
        <v>Alexandria University</v>
      </c>
      <c r="W542" s="43" t="str">
        <f>IFERROR(__xludf.DUMMYFUNCTION("""COMPUTED_VALUE"""),"2024-01-04T10:01:29Z")</f>
        <v>2024-01-04T10:01:29Z</v>
      </c>
      <c r="X542" s="43"/>
      <c r="Y542" s="43"/>
      <c r="Z542" s="43"/>
    </row>
    <row r="543" hidden="1">
      <c r="A543" s="43" t="str">
        <f>IFERROR(__xludf.DUMMYFUNCTION("""COMPUTED_VALUE"""),"5261042_1288486")</f>
        <v>5261042_1288486</v>
      </c>
      <c r="B543" s="43" t="str">
        <f>IFERROR(__xludf.DUMMYFUNCTION("""COMPUTED_VALUE"""),"Amna Dernouni")</f>
        <v>Amna Dernouni</v>
      </c>
      <c r="C543" s="43" t="str">
        <f>IFERROR(__xludf.DUMMYFUNCTION("""COMPUTED_VALUE"""),"approved")</f>
        <v>approved</v>
      </c>
      <c r="D543" s="43" t="str">
        <f>IFERROR(__xludf.DUMMYFUNCTION("""COMPUTED_VALUE"""),"No")</f>
        <v>No</v>
      </c>
      <c r="E543" s="43" t="str">
        <f>IFERROR(__xludf.DUMMYFUNCTION("""COMPUTED_VALUE"""),"p_c82e5083c1d120073dab622a88b300e6ab93d408@inbound.aiesec.org")</f>
        <v>p_c82e5083c1d120073dab622a88b300e6ab93d408@inbound.aiesec.org</v>
      </c>
      <c r="F543" s="43">
        <f>IFERROR(__xludf.DUMMYFUNCTION("""COMPUTED_VALUE"""),5.61419899E8)</f>
        <v>561419899</v>
      </c>
      <c r="G543" s="43" t="str">
        <f>IFERROR(__xludf.DUMMYFUNCTION("""COMPUTED_VALUE"""),"Algeria")</f>
        <v>Algeria</v>
      </c>
      <c r="H543" s="43" t="str">
        <f>IFERROR(__xludf.DUMMYFUNCTION("""COMPUTED_VALUE"""),"Babez")</f>
        <v>Babez</v>
      </c>
      <c r="I543" s="43" t="str">
        <f>IFERROR(__xludf.DUMMYFUNCTION("""COMPUTED_VALUE"""),"Turkey")</f>
        <v>Turkey</v>
      </c>
      <c r="J543" s="43" t="str">
        <f>IFERROR(__xludf.DUMMYFUNCTION("""COMPUTED_VALUE"""),"ISPARTA")</f>
        <v>ISPARTA</v>
      </c>
      <c r="K543" s="44" t="str">
        <f>IFERROR(__xludf.DUMMYFUNCTION("""COMPUTED_VALUE"""),"https://expa.aiesec.org/opportunities/1288486")</f>
        <v>https://expa.aiesec.org/opportunities/1288486</v>
      </c>
      <c r="L543" s="43" t="str">
        <f>IFERROR(__xludf.DUMMYFUNCTION("""COMPUTED_VALUE"""),"GTe")</f>
        <v>GTe</v>
      </c>
      <c r="M543" s="43" t="str">
        <f>IFERROR(__xludf.DUMMYFUNCTION("""COMPUTED_VALUE"""),"medium")</f>
        <v>medium</v>
      </c>
      <c r="N543" s="45">
        <f>IFERROR(__xludf.DUMMYFUNCTION("""COMPUTED_VALUE"""),45311.0)</f>
        <v>45311</v>
      </c>
      <c r="O543" s="45">
        <f>IFERROR(__xludf.DUMMYFUNCTION("""COMPUTED_VALUE"""),45383.0)</f>
        <v>45383</v>
      </c>
      <c r="P543" s="45">
        <f>IFERROR(__xludf.DUMMYFUNCTION("""COMPUTED_VALUE"""),45564.0)</f>
        <v>45564</v>
      </c>
      <c r="Q543" s="45"/>
      <c r="R543" s="45"/>
      <c r="S543" s="43"/>
      <c r="T543" s="43"/>
      <c r="U543" s="43" t="str">
        <f>IFERROR(__xludf.DUMMYFUNCTION("""COMPUTED_VALUE"""),"English Teaching")</f>
        <v>English Teaching</v>
      </c>
      <c r="V543" s="43" t="str">
        <f>IFERROR(__xludf.DUMMYFUNCTION("""COMPUTED_VALUE"""),"AIESEC in Babez")</f>
        <v>AIESEC in Babez</v>
      </c>
      <c r="W543" s="43" t="str">
        <f>IFERROR(__xludf.DUMMYFUNCTION("""COMPUTED_VALUE"""),"2023-05-14T19:31:59Z")</f>
        <v>2023-05-14T19:31:59Z</v>
      </c>
      <c r="X543" s="43"/>
      <c r="Y543" s="43"/>
      <c r="Z543" s="43"/>
    </row>
    <row r="544" hidden="1">
      <c r="A544" s="43" t="str">
        <f>IFERROR(__xludf.DUMMYFUNCTION("""COMPUTED_VALUE"""),"5388505_1294941")</f>
        <v>5388505_1294941</v>
      </c>
      <c r="B544" s="43" t="str">
        <f>IFERROR(__xludf.DUMMYFUNCTION("""COMPUTED_VALUE"""),"Nibras Mohamed")</f>
        <v>Nibras Mohamed</v>
      </c>
      <c r="C544" s="43" t="str">
        <f>IFERROR(__xludf.DUMMYFUNCTION("""COMPUTED_VALUE"""),"realized")</f>
        <v>realized</v>
      </c>
      <c r="D544" s="43" t="str">
        <f>IFERROR(__xludf.DUMMYFUNCTION("""COMPUTED_VALUE"""),"No")</f>
        <v>No</v>
      </c>
      <c r="E544" s="43" t="str">
        <f>IFERROR(__xludf.DUMMYFUNCTION("""COMPUTED_VALUE"""),"p_c5f36dedcbd40bf16ae4c01eacf2adaf6c7a3c10@inbound.aiesec.org")</f>
        <v>p_c5f36dedcbd40bf16ae4c01eacf2adaf6c7a3c10@inbound.aiesec.org</v>
      </c>
      <c r="F544" s="43">
        <f>IFERROR(__xludf.DUMMYFUNCTION("""COMPUTED_VALUE"""),7.74980864E8)</f>
        <v>774980864</v>
      </c>
      <c r="G544" s="43" t="str">
        <f>IFERROR(__xludf.DUMMYFUNCTION("""COMPUTED_VALUE"""),"Sri Lanka")</f>
        <v>Sri Lanka</v>
      </c>
      <c r="H544" s="43" t="str">
        <f>IFERROR(__xludf.DUMMYFUNCTION("""COMPUTED_VALUE"""),"COLOMBO CENTRAL")</f>
        <v>COLOMBO CENTRAL</v>
      </c>
      <c r="I544" s="43" t="str">
        <f>IFERROR(__xludf.DUMMYFUNCTION("""COMPUTED_VALUE"""),"Turkey")</f>
        <v>Turkey</v>
      </c>
      <c r="J544" s="43" t="str">
        <f>IFERROR(__xludf.DUMMYFUNCTION("""COMPUTED_VALUE"""),"ADANA")</f>
        <v>ADANA</v>
      </c>
      <c r="K544" s="44" t="str">
        <f>IFERROR(__xludf.DUMMYFUNCTION("""COMPUTED_VALUE"""),"https://expa.aiesec.org/opportunities/1294941")</f>
        <v>https://expa.aiesec.org/opportunities/1294941</v>
      </c>
      <c r="L544" s="43" t="str">
        <f>IFERROR(__xludf.DUMMYFUNCTION("""COMPUTED_VALUE"""),"GTe")</f>
        <v>GTe</v>
      </c>
      <c r="M544" s="43" t="str">
        <f>IFERROR(__xludf.DUMMYFUNCTION("""COMPUTED_VALUE"""),"long")</f>
        <v>long</v>
      </c>
      <c r="N544" s="45">
        <f>IFERROR(__xludf.DUMMYFUNCTION("""COMPUTED_VALUE"""),45317.0)</f>
        <v>45317</v>
      </c>
      <c r="O544" s="45">
        <f>IFERROR(__xludf.DUMMYFUNCTION("""COMPUTED_VALUE"""),45323.0)</f>
        <v>45323</v>
      </c>
      <c r="P544" s="45">
        <f>IFERROR(__xludf.DUMMYFUNCTION("""COMPUTED_VALUE"""),45512.0)</f>
        <v>45512</v>
      </c>
      <c r="Q544" s="45">
        <f>IFERROR(__xludf.DUMMYFUNCTION("""COMPUTED_VALUE"""),45317.0)</f>
        <v>45317</v>
      </c>
      <c r="R544" s="45">
        <f>IFERROR(__xludf.DUMMYFUNCTION("""COMPUTED_VALUE"""),45512.0)</f>
        <v>45512</v>
      </c>
      <c r="S544" s="43"/>
      <c r="T544" s="43"/>
      <c r="U544" s="43" t="str">
        <f>IFERROR(__xludf.DUMMYFUNCTION("""COMPUTED_VALUE"""),"English Teaching in Diyarbakır TED")</f>
        <v>English Teaching in Diyarbakır TED</v>
      </c>
      <c r="V544" s="43" t="str">
        <f>IFERROR(__xludf.DUMMYFUNCTION("""COMPUTED_VALUE"""),"University of Colombo")</f>
        <v>University of Colombo</v>
      </c>
      <c r="W544" s="43" t="str">
        <f>IFERROR(__xludf.DUMMYFUNCTION("""COMPUTED_VALUE"""),"2023-12-11T12:01:17Z")</f>
        <v>2023-12-11T12:01:17Z</v>
      </c>
      <c r="X544" s="43"/>
      <c r="Y544" s="43"/>
      <c r="Z544" s="43"/>
    </row>
    <row r="545" hidden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hidden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hidden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hidden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hidden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hidden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hidden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hidden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hidden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hidden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hidden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hidden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hidden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hidden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hidden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hidden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hidden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hidden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hidden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hidden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hidden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hidden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hidden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hidden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hidden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hidden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hidden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hidden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hidden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hidden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hidden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hidden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hidden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hidden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hidden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hidden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hidden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hidden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hidden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hidden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hidden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hidden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hidden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hidden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idden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hidden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hidden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hidden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hidden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hidden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hidden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hidden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hidden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hidden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hidden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hidden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hidden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hidden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hidden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hidden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hidden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hidden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hidden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hidden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hidden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hidden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hidden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hidden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hidden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hidden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hidden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hidden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hidden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hidden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hidden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hidden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hidden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hidden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hidden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hidden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hidden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hidden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hidden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hidden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hidden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hidden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hidden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hidden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hidden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hidden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hidden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hidden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hidden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hidden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hidden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hidden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hidden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hidden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hidden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hidden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hidden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hidden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hidden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hidden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hidden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hidden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hidden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hidden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hidden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hidden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hidden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hidden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hidden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hidden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hidden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hidden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hidden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hidden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hidden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hidden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hidden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hidden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hidden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hidden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hidden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hidden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hidden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hidden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hidden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hidden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hidden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hidden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hidden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hidden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hidden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hidden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hidden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hidden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hidden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hidden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hidden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hidden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hidden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hidden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hidden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hidden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hidden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hidden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hidden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hidden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hidden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hidden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hidden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hidden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hidden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hidden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hidden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hidden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hidden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hidden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hidden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hidden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hidden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hidden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hidden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hidden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hidden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hidden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hidden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hidden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hidden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hidden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hidden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hidden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hidden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hidden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hidden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hidden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hidden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hidden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hidden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hidden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hidden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hidden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hidden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hidden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hidden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hidden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hidden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hidden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hidden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hidden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hidden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hidden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hidden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hidden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hidden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hidden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hidden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hidden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hidden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hidden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hidden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hidden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hidden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hidden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hidden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hidden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hidden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hidden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hidden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hidden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hidden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hidden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hidden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hidden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hidden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hidden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hidden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hidden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hidden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hidden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hidden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hidden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hidden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hidden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hidden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hidden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hidden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hidden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hidden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hidden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hidden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hidden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hidden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hidden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hidden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hidden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hidden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hidden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hidden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hidden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hidden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hidden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hidden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hidden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hidden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hidden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hidden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hidden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hidden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hidden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hidden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hidden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hidden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hidden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hidden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hidden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hidden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hidden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hidden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hidden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hidden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hidden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hidden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hidden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hidden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hidden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hidden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hidden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hidden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hidden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hidden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hidden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hidden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hidden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hidden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hidden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hidden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hidden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hidden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hidden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hidden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hidden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hidden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hidden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hidden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hidden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hidden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hidden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hidden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hidden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hidden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hidden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hidden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hidden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hidden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hidden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hidden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hidden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hidden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hidden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hidden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hidden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hidden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hidden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hidden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hidden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hidden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hidden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hidden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hidden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hidden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hidden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hidden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hidden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hidden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hidden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hidden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hidden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hidden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hidden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hidden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hidden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hidden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hidden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hidden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hidden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hidden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hidden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hidden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hidden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hidden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hidden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hidden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hidden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hidden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hidden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hidden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hidden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hidden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hidden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hidden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hidden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hidden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hidden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hidden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hidden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hidden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hidden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hidden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hidden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hidden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hidden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hidden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hidden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hidden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hidden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hidden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hidden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hidden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hidden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hidden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hidden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hidden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hidden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hidden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hidden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hidden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hidden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hidden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hidden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hidden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hidden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hidden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hidden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hidden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hidden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hidden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hidden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hidden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hidden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hidden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hidden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hidden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hidden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hidden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hidden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hidden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hidden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hidden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hidden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hidden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hidden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hidden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hidden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hidden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hidden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hidden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hidden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hidden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hidden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hidden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hidden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hidden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hidden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hidden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hidden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hidden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hidden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hidden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hidden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hidden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hidden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hidden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hidden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hidden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hidden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hidden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hidden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hidden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hidden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hidden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hidden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hidden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hidden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hidden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hidden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hidden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hidden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hidden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hidden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hidden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hidden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hidden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hidden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hidden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hidden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hidden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hidden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hidden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hidden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hidden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hidden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hidden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hidden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hidden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hidden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hidden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hidden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hidden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hidden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hidden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hidden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hidden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hidden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autoFilter ref="$A$1:$Z$1000">
    <filterColumn colId="2">
      <filters blank="1">
        <filter val="approval_broken"/>
        <filter val="approved"/>
      </filters>
    </filterColumn>
    <filterColumn colId="14">
      <filters>
        <filter val="2023-11-11"/>
        <filter val="2022-12-12"/>
        <filter val="2022-12-11"/>
        <filter val="2022-12-10"/>
        <filter val="2022-12-05"/>
        <filter val="2023-05-14"/>
        <filter val="2023-05-15"/>
        <filter val="2023-05-11"/>
        <filter val="2023-11-04"/>
        <filter val="2022-06-16"/>
        <filter val="2023-11-03"/>
        <filter val="2022-06-13"/>
        <filter val="2023-11-06"/>
        <filter val="2023-11-20"/>
        <filter val="2023-11-21"/>
        <filter val="2022-11-30"/>
        <filter val="2022-12-01"/>
        <filter val="2024-04-01"/>
        <filter val="2022-11-27"/>
        <filter val="2022-11-24"/>
        <filter val="2022-11-28"/>
        <filter val="2023-05-22"/>
        <filter val="2022-12-25"/>
        <filter val="2023-06-05"/>
        <filter val="2023-06-01"/>
        <filter val="2023-11-24"/>
        <filter val="2023-05-30"/>
        <filter val="2022-12-20"/>
        <filter val="2022-12-15"/>
        <filter val="2023-01-01"/>
        <filter val="2022-12-18"/>
        <filter val="2023-12-03"/>
        <filter val="2022-11-01"/>
        <filter val="2022-10-31"/>
        <filter val="2023-04-01"/>
        <filter val="2023-03-31"/>
        <filter val="2022-10-23"/>
        <filter val="2023-04-03"/>
        <filter val="2022-10-24"/>
        <filter val="2023-09-16"/>
        <filter val="2023-09-14"/>
        <filter val="2023-09-10"/>
        <filter val="2023-10-10"/>
        <filter val="2023-04-05"/>
        <filter val="2022-10-20"/>
        <filter val="2022-10-15"/>
        <filter val="2022-10-12"/>
        <filter val="2022-10-18"/>
        <filter val="2023-09-26"/>
        <filter val="2023-09-27"/>
        <filter val="2022-10-17"/>
        <filter val="2023-09-25"/>
        <filter val="2023-09-23"/>
        <filter val="2022-09-30"/>
        <filter val="2023-09-21"/>
        <filter val="2023-10-03"/>
        <filter val="2023-10-04"/>
        <filter val="2023-10-06"/>
        <filter val="2023-10-21"/>
        <filter val="2022-11-22"/>
        <filter val="2023-04-17"/>
        <filter val="2022-11-20"/>
        <filter val="2022-11-21"/>
        <filter val="2023-04-25"/>
        <filter val="2022-11-14"/>
        <filter val="2023-04-20"/>
        <filter val="2023-10-12"/>
        <filter val="2023-10-16"/>
        <filter val="2023-10-18"/>
        <filter val="2022-11-10"/>
        <filter val="2022-11-04"/>
        <filter val="2022-11-02"/>
        <filter val="2023-05-05"/>
        <filter val="2022-11-08"/>
        <filter val="2023-04-30"/>
        <filter val="2022-11-07"/>
        <filter val="2023-10-23"/>
        <filter val="2023-02-17"/>
        <filter val="2023-02-15"/>
        <filter val="2024-07-05"/>
        <filter val="2024-01-22"/>
        <filter val="2023-02-20"/>
        <filter val="2023-08-07"/>
        <filter val="2022-09-05"/>
        <filter val="2022-08-31"/>
        <filter val="2022-09-06"/>
        <filter val="2022-09-07"/>
        <filter val="2023-08-03"/>
        <filter val="2023-07-31"/>
        <filter val="2022-09-01"/>
        <filter val="2023-02-27"/>
        <filter val="2023-02-25"/>
        <filter val="2024-01-11"/>
        <filter val="2024-01-10"/>
        <filter val="2023-08-18"/>
        <filter val="2022-08-22"/>
        <filter val="2023-08-16"/>
        <filter val="2024-01-04"/>
        <filter val="2022-08-20"/>
        <filter val="2023-08-14"/>
        <filter val="2023-03-03"/>
        <filter val="2023-03-01"/>
        <filter val="2022-08-29"/>
        <filter val="2023-03-06"/>
        <filter val="2023-03-04"/>
        <filter val="2022-10-10"/>
        <filter val="2022-10-03"/>
        <filter val="2022-09-25"/>
        <filter val="2022-09-26"/>
        <filter val="2022-10-01"/>
        <filter val="2023-08-25"/>
        <filter val="2022-10-08"/>
        <filter val="2023-08-26"/>
        <filter val="2023-08-21"/>
        <filter val="2023-08-22"/>
        <filter val="2022-09-23"/>
        <filter val="2023-03-15"/>
        <filter val="2022-09-15"/>
        <filter val="2023-03-20"/>
        <filter val="2023-09-09"/>
        <filter val="2022-09-17"/>
        <filter val="2023-09-07"/>
        <filter val="2022-09-18"/>
        <filter val="2022-09-19"/>
        <filter val="2023-08-30"/>
        <filter val="2022-09-12"/>
        <filter val="2023-12-23"/>
        <filter val="2023-01-05"/>
        <filter val="2023-01-02"/>
        <filter val="2023-01-08"/>
        <filter val="2023-06-19"/>
        <filter val="2023-01-06"/>
        <filter val="2023-06-26"/>
        <filter val="2022-07-27"/>
        <filter val="2023-12-17"/>
        <filter val="2023-01-15"/>
        <filter val="2023-01-16"/>
        <filter val="2023-01-18"/>
        <filter val="2022-07-11"/>
        <filter val="2023-07-05"/>
        <filter val="2022-07-19"/>
        <filter val="2023-12-25"/>
        <filter val="2023-06-30"/>
        <filter val="2023-12-29"/>
        <filter val="2023-01-30"/>
        <filter val="2022-08-10"/>
        <filter val="2024-02-05"/>
        <filter val="2023-07-17"/>
        <filter val="2023-02-01"/>
        <filter val="2022-08-18"/>
        <filter val="2022-08-16"/>
        <filter val="2022-08-15"/>
        <filter val="2023-02-06"/>
        <filter val="2023-02-05"/>
        <filter val="2023-02-04"/>
        <filter val="2023-02-09"/>
        <filter val="2024-02-01"/>
      </filters>
    </filterColumn>
  </autoFilter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  <hyperlink r:id="rId319" ref="K320"/>
    <hyperlink r:id="rId320" ref="K321"/>
    <hyperlink r:id="rId321" ref="K322"/>
    <hyperlink r:id="rId322" ref="K323"/>
    <hyperlink r:id="rId323" ref="K324"/>
    <hyperlink r:id="rId324" ref="K325"/>
    <hyperlink r:id="rId325" ref="K326"/>
    <hyperlink r:id="rId326" ref="K327"/>
    <hyperlink r:id="rId327" ref="K328"/>
    <hyperlink r:id="rId328" ref="K329"/>
    <hyperlink r:id="rId329" ref="K330"/>
    <hyperlink r:id="rId330" ref="K331"/>
    <hyperlink r:id="rId331" ref="K332"/>
    <hyperlink r:id="rId332" ref="K333"/>
    <hyperlink r:id="rId333" ref="K334"/>
    <hyperlink r:id="rId334" ref="K335"/>
    <hyperlink r:id="rId335" ref="K336"/>
    <hyperlink r:id="rId336" ref="K337"/>
    <hyperlink r:id="rId337" ref="K338"/>
    <hyperlink r:id="rId338" ref="K339"/>
    <hyperlink r:id="rId339" ref="K340"/>
    <hyperlink r:id="rId340" ref="K341"/>
    <hyperlink r:id="rId341" ref="K342"/>
    <hyperlink r:id="rId342" ref="K343"/>
    <hyperlink r:id="rId343" ref="K344"/>
    <hyperlink r:id="rId344" ref="K345"/>
    <hyperlink r:id="rId345" ref="K346"/>
    <hyperlink r:id="rId346" ref="K347"/>
    <hyperlink r:id="rId347" ref="K348"/>
    <hyperlink r:id="rId348" ref="K349"/>
    <hyperlink r:id="rId349" ref="K350"/>
    <hyperlink r:id="rId350" ref="K351"/>
    <hyperlink r:id="rId351" ref="K352"/>
    <hyperlink r:id="rId352" ref="K353"/>
    <hyperlink r:id="rId353" ref="K354"/>
    <hyperlink r:id="rId354" ref="K355"/>
    <hyperlink r:id="rId355" ref="K356"/>
    <hyperlink r:id="rId356" ref="K357"/>
    <hyperlink r:id="rId357" ref="K358"/>
    <hyperlink r:id="rId358" ref="K359"/>
    <hyperlink r:id="rId359" ref="K360"/>
    <hyperlink r:id="rId360" ref="K361"/>
    <hyperlink r:id="rId361" ref="K362"/>
    <hyperlink r:id="rId362" ref="K363"/>
    <hyperlink r:id="rId363" ref="K364"/>
    <hyperlink r:id="rId364" ref="K365"/>
    <hyperlink r:id="rId365" ref="K366"/>
    <hyperlink r:id="rId366" ref="K367"/>
    <hyperlink r:id="rId367" ref="K368"/>
    <hyperlink r:id="rId368" ref="K369"/>
    <hyperlink r:id="rId369" ref="K370"/>
    <hyperlink r:id="rId370" ref="K371"/>
    <hyperlink r:id="rId371" ref="K372"/>
    <hyperlink r:id="rId372" ref="K373"/>
    <hyperlink r:id="rId373" ref="K374"/>
    <hyperlink r:id="rId374" ref="K375"/>
    <hyperlink r:id="rId375" ref="K376"/>
    <hyperlink r:id="rId376" ref="K377"/>
    <hyperlink r:id="rId377" ref="K378"/>
    <hyperlink r:id="rId378" ref="K379"/>
    <hyperlink r:id="rId379" ref="K380"/>
    <hyperlink r:id="rId380" ref="K381"/>
    <hyperlink r:id="rId381" ref="K382"/>
    <hyperlink r:id="rId382" ref="K383"/>
    <hyperlink r:id="rId383" ref="K384"/>
    <hyperlink r:id="rId384" ref="K385"/>
    <hyperlink r:id="rId385" ref="K386"/>
    <hyperlink r:id="rId386" ref="K387"/>
    <hyperlink r:id="rId387" ref="K388"/>
    <hyperlink r:id="rId388" ref="K389"/>
    <hyperlink r:id="rId389" ref="K390"/>
    <hyperlink r:id="rId390" ref="K391"/>
    <hyperlink r:id="rId391" ref="K392"/>
    <hyperlink r:id="rId392" ref="K393"/>
    <hyperlink r:id="rId393" ref="K394"/>
    <hyperlink r:id="rId394" ref="K395"/>
    <hyperlink r:id="rId395" ref="K396"/>
    <hyperlink r:id="rId396" ref="K397"/>
    <hyperlink r:id="rId397" ref="K398"/>
    <hyperlink r:id="rId398" ref="K399"/>
    <hyperlink r:id="rId399" ref="K400"/>
    <hyperlink r:id="rId400" ref="K401"/>
    <hyperlink r:id="rId401" ref="K402"/>
    <hyperlink r:id="rId402" ref="K403"/>
    <hyperlink r:id="rId403" ref="K404"/>
    <hyperlink r:id="rId404" ref="K405"/>
    <hyperlink r:id="rId405" ref="K406"/>
    <hyperlink r:id="rId406" ref="K407"/>
    <hyperlink r:id="rId407" ref="K408"/>
    <hyperlink r:id="rId408" ref="K409"/>
    <hyperlink r:id="rId409" ref="K410"/>
    <hyperlink r:id="rId410" ref="K411"/>
    <hyperlink r:id="rId411" ref="K412"/>
    <hyperlink r:id="rId412" ref="K413"/>
    <hyperlink r:id="rId413" ref="K414"/>
    <hyperlink r:id="rId414" ref="K415"/>
    <hyperlink r:id="rId415" ref="K416"/>
    <hyperlink r:id="rId416" ref="K417"/>
    <hyperlink r:id="rId417" ref="K418"/>
    <hyperlink r:id="rId418" ref="K419"/>
    <hyperlink r:id="rId419" ref="K420"/>
    <hyperlink r:id="rId420" ref="K421"/>
    <hyperlink r:id="rId421" ref="K422"/>
    <hyperlink r:id="rId422" ref="K423"/>
    <hyperlink r:id="rId423" ref="K424"/>
    <hyperlink r:id="rId424" ref="K425"/>
    <hyperlink r:id="rId425" ref="K426"/>
    <hyperlink r:id="rId426" ref="K427"/>
    <hyperlink r:id="rId427" ref="K428"/>
    <hyperlink r:id="rId428" ref="K429"/>
    <hyperlink r:id="rId429" ref="K430"/>
    <hyperlink r:id="rId430" ref="K431"/>
    <hyperlink r:id="rId431" ref="K432"/>
    <hyperlink r:id="rId432" ref="K433"/>
    <hyperlink r:id="rId433" ref="K434"/>
    <hyperlink r:id="rId434" ref="K435"/>
    <hyperlink r:id="rId435" ref="K436"/>
    <hyperlink r:id="rId436" ref="K437"/>
    <hyperlink r:id="rId437" ref="K438"/>
    <hyperlink r:id="rId438" ref="K439"/>
    <hyperlink r:id="rId439" ref="K440"/>
    <hyperlink r:id="rId440" ref="K441"/>
    <hyperlink r:id="rId441" ref="K442"/>
    <hyperlink r:id="rId442" ref="K443"/>
    <hyperlink r:id="rId443" ref="K444"/>
    <hyperlink r:id="rId444" ref="K445"/>
    <hyperlink r:id="rId445" ref="K446"/>
    <hyperlink r:id="rId446" ref="K447"/>
    <hyperlink r:id="rId447" ref="K448"/>
    <hyperlink r:id="rId448" ref="K449"/>
    <hyperlink r:id="rId449" ref="K450"/>
    <hyperlink r:id="rId450" ref="K451"/>
    <hyperlink r:id="rId451" ref="K452"/>
    <hyperlink r:id="rId452" ref="K453"/>
    <hyperlink r:id="rId453" ref="K454"/>
    <hyperlink r:id="rId454" ref="K455"/>
    <hyperlink r:id="rId455" ref="K456"/>
    <hyperlink r:id="rId456" ref="K457"/>
    <hyperlink r:id="rId457" ref="K458"/>
    <hyperlink r:id="rId458" ref="K459"/>
    <hyperlink r:id="rId459" ref="K460"/>
    <hyperlink r:id="rId460" ref="K461"/>
    <hyperlink r:id="rId461" ref="K462"/>
    <hyperlink r:id="rId462" ref="K463"/>
    <hyperlink r:id="rId463" ref="K464"/>
    <hyperlink r:id="rId464" ref="K465"/>
    <hyperlink r:id="rId465" ref="K466"/>
    <hyperlink r:id="rId466" ref="K467"/>
    <hyperlink r:id="rId467" ref="K468"/>
    <hyperlink r:id="rId468" ref="K469"/>
    <hyperlink r:id="rId469" ref="K470"/>
    <hyperlink r:id="rId470" ref="K471"/>
    <hyperlink r:id="rId471" ref="K472"/>
    <hyperlink r:id="rId472" ref="K473"/>
    <hyperlink r:id="rId473" ref="K474"/>
    <hyperlink r:id="rId474" ref="K475"/>
    <hyperlink r:id="rId475" ref="K476"/>
    <hyperlink r:id="rId476" ref="K477"/>
    <hyperlink r:id="rId477" ref="K478"/>
    <hyperlink r:id="rId478" ref="K479"/>
    <hyperlink r:id="rId479" ref="K480"/>
    <hyperlink r:id="rId480" ref="K481"/>
    <hyperlink r:id="rId481" ref="K482"/>
    <hyperlink r:id="rId482" ref="K483"/>
    <hyperlink r:id="rId483" ref="K484"/>
    <hyperlink r:id="rId484" ref="K485"/>
    <hyperlink r:id="rId485" ref="K486"/>
    <hyperlink r:id="rId486" ref="K487"/>
    <hyperlink r:id="rId487" ref="K488"/>
    <hyperlink r:id="rId488" ref="K489"/>
    <hyperlink r:id="rId489" ref="K490"/>
    <hyperlink r:id="rId490" ref="K491"/>
    <hyperlink r:id="rId491" ref="K492"/>
    <hyperlink r:id="rId492" ref="K493"/>
    <hyperlink r:id="rId493" ref="K494"/>
    <hyperlink r:id="rId494" ref="K495"/>
    <hyperlink r:id="rId495" ref="K496"/>
    <hyperlink r:id="rId496" ref="K497"/>
    <hyperlink r:id="rId497" ref="K498"/>
    <hyperlink r:id="rId498" ref="K499"/>
    <hyperlink r:id="rId499" ref="K500"/>
    <hyperlink r:id="rId500" ref="K501"/>
    <hyperlink r:id="rId501" ref="K502"/>
    <hyperlink r:id="rId502" ref="K503"/>
    <hyperlink r:id="rId503" ref="K504"/>
    <hyperlink r:id="rId504" ref="K505"/>
    <hyperlink r:id="rId505" ref="K506"/>
    <hyperlink r:id="rId506" ref="K507"/>
    <hyperlink r:id="rId507" ref="K508"/>
    <hyperlink r:id="rId508" ref="K509"/>
    <hyperlink r:id="rId509" ref="K510"/>
    <hyperlink r:id="rId510" ref="K511"/>
    <hyperlink r:id="rId511" ref="K512"/>
    <hyperlink r:id="rId512" ref="K513"/>
    <hyperlink r:id="rId513" ref="K514"/>
    <hyperlink r:id="rId514" ref="K515"/>
    <hyperlink r:id="rId515" ref="K516"/>
    <hyperlink r:id="rId516" ref="K517"/>
    <hyperlink r:id="rId517" ref="K518"/>
    <hyperlink r:id="rId518" ref="K519"/>
    <hyperlink r:id="rId519" ref="K520"/>
    <hyperlink r:id="rId520" ref="K521"/>
    <hyperlink r:id="rId521" ref="K522"/>
    <hyperlink r:id="rId522" ref="K523"/>
    <hyperlink r:id="rId523" ref="K524"/>
    <hyperlink r:id="rId524" ref="K525"/>
    <hyperlink r:id="rId525" ref="K526"/>
    <hyperlink r:id="rId526" ref="K527"/>
    <hyperlink r:id="rId527" ref="K528"/>
    <hyperlink r:id="rId528" ref="K529"/>
    <hyperlink r:id="rId529" ref="K530"/>
    <hyperlink r:id="rId530" ref="K531"/>
    <hyperlink r:id="rId531" ref="K532"/>
    <hyperlink r:id="rId532" ref="K533"/>
    <hyperlink r:id="rId533" ref="K534"/>
    <hyperlink r:id="rId534" ref="K535"/>
    <hyperlink r:id="rId535" ref="K536"/>
    <hyperlink r:id="rId536" ref="K537"/>
    <hyperlink r:id="rId537" ref="K538"/>
    <hyperlink r:id="rId538" ref="K539"/>
    <hyperlink r:id="rId539" ref="K540"/>
    <hyperlink r:id="rId540" ref="K541"/>
    <hyperlink r:id="rId541" ref="K542"/>
    <hyperlink r:id="rId542" ref="K543"/>
    <hyperlink r:id="rId543" ref="K544"/>
  </hyperlinks>
  <drawing r:id="rId54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3" t="str">
        <f>IFERROR(__xludf.DUMMYFUNCTION("QUERY('Expected Realizations'!A1:Z1000 ,""Select * Where L Contains 'GTa' and I Contains 'Turkey'"",1)"),"EP ID_Opp ID")</f>
        <v>EP ID_Opp ID</v>
      </c>
      <c r="B1" s="43" t="str">
        <f>IFERROR(__xludf.DUMMYFUNCTION("""COMPUTED_VALUE"""),"Full Name")</f>
        <v>Full Name</v>
      </c>
      <c r="C1" s="43" t="str">
        <f>IFERROR(__xludf.DUMMYFUNCTION("""COMPUTED_VALUE"""),"Status")</f>
        <v>Status</v>
      </c>
      <c r="D1" s="43" t="str">
        <f>IFERROR(__xludf.DUMMYFUNCTION("""COMPUTED_VALUE"""),"Remote Realized?")</f>
        <v>Remote Realized?</v>
      </c>
      <c r="E1" s="43" t="str">
        <f>IFERROR(__xludf.DUMMYFUNCTION("""COMPUTED_VALUE"""),"Email")</f>
        <v>Email</v>
      </c>
      <c r="F1" s="43" t="str">
        <f>IFERROR(__xludf.DUMMYFUNCTION("""COMPUTED_VALUE"""),"Phone Number")</f>
        <v>Phone Number</v>
      </c>
      <c r="G1" s="43" t="str">
        <f>IFERROR(__xludf.DUMMYFUNCTION("""COMPUTED_VALUE"""),"Home MC")</f>
        <v>Home MC</v>
      </c>
      <c r="H1" s="43" t="str">
        <f>IFERROR(__xludf.DUMMYFUNCTION("""COMPUTED_VALUE"""),"Home LC")</f>
        <v>Home LC</v>
      </c>
      <c r="I1" s="43" t="str">
        <f>IFERROR(__xludf.DUMMYFUNCTION("""COMPUTED_VALUE"""),"Host MC")</f>
        <v>Host MC</v>
      </c>
      <c r="J1" s="43" t="str">
        <f>IFERROR(__xludf.DUMMYFUNCTION("""COMPUTED_VALUE"""),"Host LC")</f>
        <v>Host LC</v>
      </c>
      <c r="K1" s="43" t="str">
        <f>IFERROR(__xludf.DUMMYFUNCTION("""COMPUTED_VALUE"""),"Oppprtunity")</f>
        <v>Oppprtunity</v>
      </c>
      <c r="L1" s="43" t="str">
        <f>IFERROR(__xludf.DUMMYFUNCTION("""COMPUTED_VALUE"""),"Product")</f>
        <v>Product</v>
      </c>
      <c r="M1" s="43" t="str">
        <f>IFERROR(__xludf.DUMMYFUNCTION("""COMPUTED_VALUE"""),"Duration Type")</f>
        <v>Duration Type</v>
      </c>
      <c r="N1" s="43" t="str">
        <f>IFERROR(__xludf.DUMMYFUNCTION("""COMPUTED_VALUE"""),"Date Approved")</f>
        <v>Date Approved</v>
      </c>
      <c r="O1" s="43" t="str">
        <f>IFERROR(__xludf.DUMMYFUNCTION("""COMPUTED_VALUE"""),"Slot Start Date")</f>
        <v>Slot Start Date</v>
      </c>
      <c r="P1" s="43" t="str">
        <f>IFERROR(__xludf.DUMMYFUNCTION("""COMPUTED_VALUE"""),"Slot End Date")</f>
        <v>Slot End Date</v>
      </c>
      <c r="Q1" s="43" t="str">
        <f>IFERROR(__xludf.DUMMYFUNCTION("""COMPUTED_VALUE"""),"Date Realized")</f>
        <v>Date Realized</v>
      </c>
      <c r="R1" s="43" t="str">
        <f>IFERROR(__xludf.DUMMYFUNCTION("""COMPUTED_VALUE"""),"Experience End Date")</f>
        <v>Experience End Date</v>
      </c>
      <c r="S1" s="43" t="str">
        <f>IFERROR(__xludf.DUMMYFUNCTION("""COMPUTED_VALUE"""),"Remote Realized Date")</f>
        <v>Remote Realized Date</v>
      </c>
      <c r="T1" s="43" t="str">
        <f>IFERROR(__xludf.DUMMYFUNCTION("""COMPUTED_VALUE"""),"Sub Product")</f>
        <v>Sub Product</v>
      </c>
      <c r="U1" s="43" t="str">
        <f>IFERROR(__xludf.DUMMYFUNCTION("""COMPUTED_VALUE"""),"Title")</f>
        <v>Title</v>
      </c>
      <c r="V1" s="43" t="str">
        <f>IFERROR(__xludf.DUMMYFUNCTION("""COMPUTED_VALUE"""),"Campus")</f>
        <v>Campus</v>
      </c>
      <c r="W1" s="43" t="str">
        <f>IFERROR(__xludf.DUMMYFUNCTION("""COMPUTED_VALUE"""),"Signup Date")</f>
        <v>Signup Date</v>
      </c>
      <c r="X1" s="43" t="str">
        <f>IFERROR(__xludf.DUMMYFUNCTION("""COMPUTED_VALUE"""),"")</f>
        <v/>
      </c>
      <c r="Y1" s="43" t="str">
        <f>IFERROR(__xludf.DUMMYFUNCTION("""COMPUTED_VALUE"""),"")</f>
        <v/>
      </c>
      <c r="Z1" s="43" t="str">
        <f>IFERROR(__xludf.DUMMYFUNCTION("""COMPUTED_VALUE"""),"")</f>
        <v/>
      </c>
    </row>
    <row r="2" hidden="1">
      <c r="A2" s="43" t="str">
        <f>IFERROR(__xludf.DUMMYFUNCTION("""COMPUTED_VALUE"""),"4522101_1287327")</f>
        <v>4522101_1287327</v>
      </c>
      <c r="B2" s="43" t="str">
        <f>IFERROR(__xludf.DUMMYFUNCTION("""COMPUTED_VALUE"""),"Stefania Rella")</f>
        <v>Stefania Rella</v>
      </c>
      <c r="C2" s="43" t="str">
        <f>IFERROR(__xludf.DUMMYFUNCTION("""COMPUTED_VALUE"""),"completed")</f>
        <v>completed</v>
      </c>
      <c r="D2" s="43" t="str">
        <f>IFERROR(__xludf.DUMMYFUNCTION("""COMPUTED_VALUE"""),"No")</f>
        <v>No</v>
      </c>
      <c r="E2" s="43" t="str">
        <f>IFERROR(__xludf.DUMMYFUNCTION("""COMPUTED_VALUE"""),"p_59424bb6d893536730be7d514daf627b89221fe3@inbound.aiesec.org")</f>
        <v>p_59424bb6d893536730be7d514daf627b89221fe3@inbound.aiesec.org</v>
      </c>
      <c r="F2" s="43"/>
      <c r="G2" s="43" t="str">
        <f>IFERROR(__xludf.DUMMYFUNCTION("""COMPUTED_VALUE"""),"Italy")</f>
        <v>Italy</v>
      </c>
      <c r="H2" s="43" t="str">
        <f>IFERROR(__xludf.DUMMYFUNCTION("""COMPUTED_VALUE"""),"Trento")</f>
        <v>Trento</v>
      </c>
      <c r="I2" s="43" t="str">
        <f>IFERROR(__xludf.DUMMYFUNCTION("""COMPUTED_VALUE"""),"Turkey")</f>
        <v>Turkey</v>
      </c>
      <c r="J2" s="43" t="str">
        <f>IFERROR(__xludf.DUMMYFUNCTION("""COMPUTED_VALUE"""),"İZMİR")</f>
        <v>İZMİR</v>
      </c>
      <c r="K2" s="44" t="str">
        <f>IFERROR(__xludf.DUMMYFUNCTION("""COMPUTED_VALUE"""),"https://expa.aiesec.org/opportunities/1287327")</f>
        <v>https://expa.aiesec.org/opportunities/1287327</v>
      </c>
      <c r="L2" s="43" t="str">
        <f>IFERROR(__xludf.DUMMYFUNCTION("""COMPUTED_VALUE"""),"GTa")</f>
        <v>GTa</v>
      </c>
      <c r="M2" s="43" t="str">
        <f>IFERROR(__xludf.DUMMYFUNCTION("""COMPUTED_VALUE"""),"short")</f>
        <v>short</v>
      </c>
      <c r="N2" s="45">
        <f>IFERROR(__xludf.DUMMYFUNCTION("""COMPUTED_VALUE"""),44743.0)</f>
        <v>44743</v>
      </c>
      <c r="O2" s="45">
        <f>IFERROR(__xludf.DUMMYFUNCTION("""COMPUTED_VALUE"""),44746.0)</f>
        <v>44746</v>
      </c>
      <c r="P2" s="45">
        <f>IFERROR(__xludf.DUMMYFUNCTION("""COMPUTED_VALUE"""),44808.0)</f>
        <v>44808</v>
      </c>
      <c r="Q2" s="45">
        <f>IFERROR(__xludf.DUMMYFUNCTION("""COMPUTED_VALUE"""),44831.0)</f>
        <v>44831</v>
      </c>
      <c r="R2" s="45">
        <f>IFERROR(__xludf.DUMMYFUNCTION("""COMPUTED_VALUE"""),44892.0)</f>
        <v>44892</v>
      </c>
      <c r="S2" s="43"/>
      <c r="T2" s="43" t="str">
        <f>IFERROR(__xludf.DUMMYFUNCTION("""COMPUTED_VALUE"""),"Business Administration")</f>
        <v>Business Administration</v>
      </c>
      <c r="U2" s="43" t="str">
        <f>IFERROR(__xludf.DUMMYFUNCTION("""COMPUTED_VALUE"""),"International Market Expansion")</f>
        <v>International Market Expansion</v>
      </c>
      <c r="V2" s="43" t="str">
        <f>IFERROR(__xludf.DUMMYFUNCTION("""COMPUTED_VALUE"""),"-")</f>
        <v>-</v>
      </c>
      <c r="W2" s="43" t="str">
        <f>IFERROR(__xludf.DUMMYFUNCTION("""COMPUTED_VALUE"""),"2021-01-22T17:06:40Z")</f>
        <v>2021-01-22T17:06:40Z</v>
      </c>
      <c r="X2" s="43"/>
      <c r="Y2" s="43"/>
      <c r="Z2" s="43"/>
    </row>
    <row r="3" hidden="1">
      <c r="A3" s="43" t="str">
        <f>IFERROR(__xludf.DUMMYFUNCTION("""COMPUTED_VALUE"""),"2013892_1286822")</f>
        <v>2013892_1286822</v>
      </c>
      <c r="B3" s="43" t="str">
        <f>IFERROR(__xludf.DUMMYFUNCTION("""COMPUTED_VALUE"""),"Ana Leonor Fernandes")</f>
        <v>Ana Leonor Fernandes</v>
      </c>
      <c r="C3" s="43" t="str">
        <f>IFERROR(__xludf.DUMMYFUNCTION("""COMPUTED_VALUE"""),"completed")</f>
        <v>completed</v>
      </c>
      <c r="D3" s="43" t="str">
        <f>IFERROR(__xludf.DUMMYFUNCTION("""COMPUTED_VALUE"""),"No")</f>
        <v>No</v>
      </c>
      <c r="E3" s="43" t="str">
        <f>IFERROR(__xludf.DUMMYFUNCTION("""COMPUTED_VALUE"""),"p_f423a5980e6c4fdb684a8c14a4229d5a9cf433f4@inbound.aiesec.org")</f>
        <v>p_f423a5980e6c4fdb684a8c14a4229d5a9cf433f4@inbound.aiesec.org</v>
      </c>
      <c r="F3" s="43"/>
      <c r="G3" s="43" t="str">
        <f>IFERROR(__xludf.DUMMYFUNCTION("""COMPUTED_VALUE"""),"Portugal")</f>
        <v>Portugal</v>
      </c>
      <c r="H3" s="43" t="str">
        <f>IFERROR(__xludf.DUMMYFUNCTION("""COMPUTED_VALUE"""),"PORTO FEP")</f>
        <v>PORTO FEP</v>
      </c>
      <c r="I3" s="43" t="str">
        <f>IFERROR(__xludf.DUMMYFUNCTION("""COMPUTED_VALUE"""),"Turkey")</f>
        <v>Turkey</v>
      </c>
      <c r="J3" s="43" t="str">
        <f>IFERROR(__xludf.DUMMYFUNCTION("""COMPUTED_VALUE"""),"ISTANBUL ASIA")</f>
        <v>ISTANBUL ASIA</v>
      </c>
      <c r="K3" s="44" t="str">
        <f>IFERROR(__xludf.DUMMYFUNCTION("""COMPUTED_VALUE"""),"https://expa.aiesec.org/opportunities/1286822")</f>
        <v>https://expa.aiesec.org/opportunities/1286822</v>
      </c>
      <c r="L3" s="43" t="str">
        <f>IFERROR(__xludf.DUMMYFUNCTION("""COMPUTED_VALUE"""),"GTa")</f>
        <v>GTa</v>
      </c>
      <c r="M3" s="43" t="str">
        <f>IFERROR(__xludf.DUMMYFUNCTION("""COMPUTED_VALUE"""),"short")</f>
        <v>short</v>
      </c>
      <c r="N3" s="45">
        <f>IFERROR(__xludf.DUMMYFUNCTION("""COMPUTED_VALUE"""),44746.0)</f>
        <v>44746</v>
      </c>
      <c r="O3" s="45">
        <f>IFERROR(__xludf.DUMMYFUNCTION("""COMPUTED_VALUE"""),44767.0)</f>
        <v>44767</v>
      </c>
      <c r="P3" s="45">
        <f>IFERROR(__xludf.DUMMYFUNCTION("""COMPUTED_VALUE"""),44850.0)</f>
        <v>44850</v>
      </c>
      <c r="Q3" s="45">
        <f>IFERROR(__xludf.DUMMYFUNCTION("""COMPUTED_VALUE"""),44769.0)</f>
        <v>44769</v>
      </c>
      <c r="R3" s="45">
        <f>IFERROR(__xludf.DUMMYFUNCTION("""COMPUTED_VALUE"""),44850.0)</f>
        <v>44850</v>
      </c>
      <c r="S3" s="43"/>
      <c r="T3" s="43" t="str">
        <f>IFERROR(__xludf.DUMMYFUNCTION("""COMPUTED_VALUE"""),"Business Development")</f>
        <v>Business Development</v>
      </c>
      <c r="U3" s="43" t="str">
        <f>IFERROR(__xludf.DUMMYFUNCTION("""COMPUTED_VALUE"""),"International Relationship Director")</f>
        <v>International Relationship Director</v>
      </c>
      <c r="V3" s="43" t="str">
        <f>IFERROR(__xludf.DUMMYFUNCTION("""COMPUTED_VALUE"""),"-")</f>
        <v>-</v>
      </c>
      <c r="W3" s="43" t="str">
        <f>IFERROR(__xludf.DUMMYFUNCTION("""COMPUTED_VALUE"""),"2018-02-01T22:17:35Z")</f>
        <v>2018-02-01T22:17:35Z</v>
      </c>
      <c r="X3" s="43"/>
      <c r="Y3" s="43"/>
      <c r="Z3" s="43"/>
    </row>
    <row r="4" hidden="1">
      <c r="A4" s="43" t="str">
        <f>IFERROR(__xludf.DUMMYFUNCTION("""COMPUTED_VALUE"""),"5068079_1274157")</f>
        <v>5068079_1274157</v>
      </c>
      <c r="B4" s="43" t="str">
        <f>IFERROR(__xludf.DUMMYFUNCTION("""COMPUTED_VALUE"""),"Milana Taalaibekova")</f>
        <v>Milana Taalaibekova</v>
      </c>
      <c r="C4" s="43" t="str">
        <f>IFERROR(__xludf.DUMMYFUNCTION("""COMPUTED_VALUE"""),"finished")</f>
        <v>finished</v>
      </c>
      <c r="D4" s="43" t="str">
        <f>IFERROR(__xludf.DUMMYFUNCTION("""COMPUTED_VALUE"""),"No")</f>
        <v>No</v>
      </c>
      <c r="E4" s="43" t="str">
        <f>IFERROR(__xludf.DUMMYFUNCTION("""COMPUTED_VALUE"""),"p_03c5221318c823a34f12b06fc55f0e0098cf0b17@inbound.aiesec.org")</f>
        <v>p_03c5221318c823a34f12b06fc55f0e0098cf0b17@inbound.aiesec.org</v>
      </c>
      <c r="F4" s="43"/>
      <c r="G4" s="43" t="str">
        <f>IFERROR(__xludf.DUMMYFUNCTION("""COMPUTED_VALUE"""),"Kyrgyzstan")</f>
        <v>Kyrgyzstan</v>
      </c>
      <c r="H4" s="43" t="str">
        <f>IFERROR(__xludf.DUMMYFUNCTION("""COMPUTED_VALUE"""),"Dragon")</f>
        <v>Dragon</v>
      </c>
      <c r="I4" s="43" t="str">
        <f>IFERROR(__xludf.DUMMYFUNCTION("""COMPUTED_VALUE"""),"Turkey")</f>
        <v>Turkey</v>
      </c>
      <c r="J4" s="43" t="str">
        <f>IFERROR(__xludf.DUMMYFUNCTION("""COMPUTED_VALUE"""),"KONYA")</f>
        <v>KONYA</v>
      </c>
      <c r="K4" s="44" t="str">
        <f>IFERROR(__xludf.DUMMYFUNCTION("""COMPUTED_VALUE"""),"https://expa.aiesec.org/opportunities/1274157")</f>
        <v>https://expa.aiesec.org/opportunities/1274157</v>
      </c>
      <c r="L4" s="43" t="str">
        <f>IFERROR(__xludf.DUMMYFUNCTION("""COMPUTED_VALUE"""),"GTa")</f>
        <v>GTa</v>
      </c>
      <c r="M4" s="43" t="str">
        <f>IFERROR(__xludf.DUMMYFUNCTION("""COMPUTED_VALUE"""),"long")</f>
        <v>long</v>
      </c>
      <c r="N4" s="45">
        <f>IFERROR(__xludf.DUMMYFUNCTION("""COMPUTED_VALUE"""),44751.0)</f>
        <v>44751</v>
      </c>
      <c r="O4" s="45">
        <f>IFERROR(__xludf.DUMMYFUNCTION("""COMPUTED_VALUE"""),44773.0)</f>
        <v>44773</v>
      </c>
      <c r="P4" s="45">
        <f>IFERROR(__xludf.DUMMYFUNCTION("""COMPUTED_VALUE"""),45138.0)</f>
        <v>45138</v>
      </c>
      <c r="Q4" s="45">
        <f>IFERROR(__xludf.DUMMYFUNCTION("""COMPUTED_VALUE"""),44830.0)</f>
        <v>44830</v>
      </c>
      <c r="R4" s="45">
        <f>IFERROR(__xludf.DUMMYFUNCTION("""COMPUTED_VALUE"""),45195.0)</f>
        <v>45195</v>
      </c>
      <c r="S4" s="43"/>
      <c r="T4" s="43" t="str">
        <f>IFERROR(__xludf.DUMMYFUNCTION("""COMPUTED_VALUE"""),"Business Development")</f>
        <v>Business Development</v>
      </c>
      <c r="U4" s="43" t="str">
        <f>IFERROR(__xludf.DUMMYFUNCTION("""COMPUTED_VALUE"""),"Sales Manager in RPN")</f>
        <v>Sales Manager in RPN</v>
      </c>
      <c r="V4" s="43" t="str">
        <f>IFERROR(__xludf.DUMMYFUNCTION("""COMPUTED_VALUE"""),"-")</f>
        <v>-</v>
      </c>
      <c r="W4" s="43" t="str">
        <f>IFERROR(__xludf.DUMMYFUNCTION("""COMPUTED_VALUE"""),"2022-06-03T12:54:18Z")</f>
        <v>2022-06-03T12:54:18Z</v>
      </c>
      <c r="X4" s="43"/>
      <c r="Y4" s="43"/>
      <c r="Z4" s="43"/>
    </row>
    <row r="5" hidden="1">
      <c r="A5" s="43" t="str">
        <f>IFERROR(__xludf.DUMMYFUNCTION("""COMPUTED_VALUE"""),"4408989_1288431")</f>
        <v>4408989_1288431</v>
      </c>
      <c r="B5" s="43" t="str">
        <f>IFERROR(__xludf.DUMMYFUNCTION("""COMPUTED_VALUE"""),"Nassim El aziz")</f>
        <v>Nassim El aziz</v>
      </c>
      <c r="C5" s="43" t="str">
        <f>IFERROR(__xludf.DUMMYFUNCTION("""COMPUTED_VALUE"""),"finished")</f>
        <v>finished</v>
      </c>
      <c r="D5" s="43" t="str">
        <f>IFERROR(__xludf.DUMMYFUNCTION("""COMPUTED_VALUE"""),"No")</f>
        <v>No</v>
      </c>
      <c r="E5" s="43" t="str">
        <f>IFERROR(__xludf.DUMMYFUNCTION("""COMPUTED_VALUE"""),"p_7eda68cdfaa854bc25dde01f188fa2ecd36d1915@inbound.aiesec.org")</f>
        <v>p_7eda68cdfaa854bc25dde01f188fa2ecd36d1915@inbound.aiesec.org</v>
      </c>
      <c r="F5" s="43">
        <f>IFERROR(__xludf.DUMMYFUNCTION("""COMPUTED_VALUE"""),7.08502706E8)</f>
        <v>708502706</v>
      </c>
      <c r="G5" s="43" t="str">
        <f>IFERROR(__xludf.DUMMYFUNCTION("""COMPUTED_VALUE"""),"Morocco")</f>
        <v>Morocco</v>
      </c>
      <c r="H5" s="43" t="str">
        <f>IFERROR(__xludf.DUMMYFUNCTION("""COMPUTED_VALUE"""),"Morocco (MC)")</f>
        <v>Morocco (MC)</v>
      </c>
      <c r="I5" s="43" t="str">
        <f>IFERROR(__xludf.DUMMYFUNCTION("""COMPUTED_VALUE"""),"Turkey")</f>
        <v>Turkey</v>
      </c>
      <c r="J5" s="43" t="str">
        <f>IFERROR(__xludf.DUMMYFUNCTION("""COMPUTED_VALUE"""),"KOCAELI")</f>
        <v>KOCAELI</v>
      </c>
      <c r="K5" s="44" t="str">
        <f>IFERROR(__xludf.DUMMYFUNCTION("""COMPUTED_VALUE"""),"https://expa.aiesec.org/opportunities/1288431")</f>
        <v>https://expa.aiesec.org/opportunities/1288431</v>
      </c>
      <c r="L5" s="43" t="str">
        <f>IFERROR(__xludf.DUMMYFUNCTION("""COMPUTED_VALUE"""),"GTa")</f>
        <v>GTa</v>
      </c>
      <c r="M5" s="43" t="str">
        <f>IFERROR(__xludf.DUMMYFUNCTION("""COMPUTED_VALUE"""),"long")</f>
        <v>long</v>
      </c>
      <c r="N5" s="45">
        <f>IFERROR(__xludf.DUMMYFUNCTION("""COMPUTED_VALUE"""),44761.0)</f>
        <v>44761</v>
      </c>
      <c r="O5" s="45">
        <f>IFERROR(__xludf.DUMMYFUNCTION("""COMPUTED_VALUE"""),44774.0)</f>
        <v>44774</v>
      </c>
      <c r="P5" s="45">
        <f>IFERROR(__xludf.DUMMYFUNCTION("""COMPUTED_VALUE"""),45139.0)</f>
        <v>45139</v>
      </c>
      <c r="Q5" s="45">
        <f>IFERROR(__xludf.DUMMYFUNCTION("""COMPUTED_VALUE"""),44818.0)</f>
        <v>44818</v>
      </c>
      <c r="R5" s="45">
        <f>IFERROR(__xludf.DUMMYFUNCTION("""COMPUTED_VALUE"""),45181.0)</f>
        <v>45181</v>
      </c>
      <c r="S5" s="43"/>
      <c r="T5" s="43" t="str">
        <f>IFERROR(__xludf.DUMMYFUNCTION("""COMPUTED_VALUE"""),"Business Development")</f>
        <v>Business Development</v>
      </c>
      <c r="U5" s="43" t="str">
        <f>IFERROR(__xludf.DUMMYFUNCTION("""COMPUTED_VALUE"""),"Export Sales Specialist in MICROPUL Company")</f>
        <v>Export Sales Specialist in MICROPUL Company</v>
      </c>
      <c r="V5" s="43" t="str">
        <f>IFERROR(__xludf.DUMMYFUNCTION("""COMPUTED_VALUE"""),"Other-EL JADIDA")</f>
        <v>Other-EL JADIDA</v>
      </c>
      <c r="W5" s="43" t="str">
        <f>IFERROR(__xludf.DUMMYFUNCTION("""COMPUTED_VALUE"""),"2020-10-28T11:01:10Z")</f>
        <v>2020-10-28T11:01:10Z</v>
      </c>
      <c r="X5" s="43"/>
      <c r="Y5" s="43"/>
      <c r="Z5" s="43"/>
    </row>
    <row r="6" hidden="1">
      <c r="A6" s="43" t="str">
        <f>IFERROR(__xludf.DUMMYFUNCTION("""COMPUTED_VALUE"""),"5082758_1288378")</f>
        <v>5082758_1288378</v>
      </c>
      <c r="B6" s="43" t="str">
        <f>IFERROR(__xludf.DUMMYFUNCTION("""COMPUTED_VALUE"""),"Илья Максимов")</f>
        <v>Илья Максимов</v>
      </c>
      <c r="C6" s="43" t="str">
        <f>IFERROR(__xludf.DUMMYFUNCTION("""COMPUTED_VALUE"""),"finished")</f>
        <v>finished</v>
      </c>
      <c r="D6" s="43" t="str">
        <f>IFERROR(__xludf.DUMMYFUNCTION("""COMPUTED_VALUE"""),"No")</f>
        <v>No</v>
      </c>
      <c r="E6" s="43" t="str">
        <f>IFERROR(__xludf.DUMMYFUNCTION("""COMPUTED_VALUE"""),"p_68333da03350d1f90fab1f328e6a0ffe2378b43a@inbound.aiesec.org")</f>
        <v>p_68333da03350d1f90fab1f328e6a0ffe2378b43a@inbound.aiesec.org</v>
      </c>
      <c r="F6" s="43"/>
      <c r="G6" s="43" t="str">
        <f>IFERROR(__xludf.DUMMYFUNCTION("""COMPUTED_VALUE"""),"Kyrgyzstan")</f>
        <v>Kyrgyzstan</v>
      </c>
      <c r="H6" s="43" t="str">
        <f>IFERROR(__xludf.DUMMYFUNCTION("""COMPUTED_VALUE"""),"Dragon")</f>
        <v>Dragon</v>
      </c>
      <c r="I6" s="43" t="str">
        <f>IFERROR(__xludf.DUMMYFUNCTION("""COMPUTED_VALUE"""),"Turkey")</f>
        <v>Turkey</v>
      </c>
      <c r="J6" s="43" t="str">
        <f>IFERROR(__xludf.DUMMYFUNCTION("""COMPUTED_VALUE"""),"KOCAELI")</f>
        <v>KOCAELI</v>
      </c>
      <c r="K6" s="44" t="str">
        <f>IFERROR(__xludf.DUMMYFUNCTION("""COMPUTED_VALUE"""),"https://expa.aiesec.org/opportunities/1288378")</f>
        <v>https://expa.aiesec.org/opportunities/1288378</v>
      </c>
      <c r="L6" s="43" t="str">
        <f>IFERROR(__xludf.DUMMYFUNCTION("""COMPUTED_VALUE"""),"GTa")</f>
        <v>GTa</v>
      </c>
      <c r="M6" s="43" t="str">
        <f>IFERROR(__xludf.DUMMYFUNCTION("""COMPUTED_VALUE"""),"long")</f>
        <v>long</v>
      </c>
      <c r="N6" s="45">
        <f>IFERROR(__xludf.DUMMYFUNCTION("""COMPUTED_VALUE"""),44763.0)</f>
        <v>44763</v>
      </c>
      <c r="O6" s="45">
        <f>IFERROR(__xludf.DUMMYFUNCTION("""COMPUTED_VALUE"""),44770.0)</f>
        <v>44770</v>
      </c>
      <c r="P6" s="45">
        <f>IFERROR(__xludf.DUMMYFUNCTION("""COMPUTED_VALUE"""),45135.0)</f>
        <v>45135</v>
      </c>
      <c r="Q6" s="45">
        <f>IFERROR(__xludf.DUMMYFUNCTION("""COMPUTED_VALUE"""),44790.0)</f>
        <v>44790</v>
      </c>
      <c r="R6" s="45">
        <f>IFERROR(__xludf.DUMMYFUNCTION("""COMPUTED_VALUE"""),45154.0)</f>
        <v>45154</v>
      </c>
      <c r="S6" s="43"/>
      <c r="T6" s="43" t="str">
        <f>IFERROR(__xludf.DUMMYFUNCTION("""COMPUTED_VALUE"""),"Marketing")</f>
        <v>Marketing</v>
      </c>
      <c r="U6" s="43" t="str">
        <f>IFERROR(__xludf.DUMMYFUNCTION("""COMPUTED_VALUE"""),"Graphic Designer in Cleopatra INK")</f>
        <v>Graphic Designer in Cleopatra INK</v>
      </c>
      <c r="V6" s="43" t="str">
        <f>IFERROR(__xludf.DUMMYFUNCTION("""COMPUTED_VALUE"""),"-")</f>
        <v>-</v>
      </c>
      <c r="W6" s="43" t="str">
        <f>IFERROR(__xludf.DUMMYFUNCTION("""COMPUTED_VALUE"""),"2022-07-14T19:28:37Z")</f>
        <v>2022-07-14T19:28:37Z</v>
      </c>
      <c r="X6" s="43"/>
      <c r="Y6" s="43"/>
      <c r="Z6" s="43"/>
    </row>
    <row r="7" hidden="1">
      <c r="A7" s="43" t="str">
        <f>IFERROR(__xludf.DUMMYFUNCTION("""COMPUTED_VALUE"""),"5085002_1268611")</f>
        <v>5085002_1268611</v>
      </c>
      <c r="B7" s="43" t="str">
        <f>IFERROR(__xludf.DUMMYFUNCTION("""COMPUTED_VALUE"""),"Maya SAIDANI")</f>
        <v>Maya SAIDANI</v>
      </c>
      <c r="C7" s="43" t="str">
        <f>IFERROR(__xludf.DUMMYFUNCTION("""COMPUTED_VALUE"""),"realized")</f>
        <v>realized</v>
      </c>
      <c r="D7" s="43" t="str">
        <f>IFERROR(__xludf.DUMMYFUNCTION("""COMPUTED_VALUE"""),"No")</f>
        <v>No</v>
      </c>
      <c r="E7" s="43" t="str">
        <f>IFERROR(__xludf.DUMMYFUNCTION("""COMPUTED_VALUE"""),"p_7ca3948c06f9a5df19f516ce5b1863e207aaab78@inbound.aiesec.org")</f>
        <v>p_7ca3948c06f9a5df19f516ce5b1863e207aaab78@inbound.aiesec.org</v>
      </c>
      <c r="F7" s="43">
        <f>IFERROR(__xludf.DUMMYFUNCTION("""COMPUTED_VALUE"""),5.59530916E8)</f>
        <v>559530916</v>
      </c>
      <c r="G7" s="43" t="str">
        <f>IFERROR(__xludf.DUMMYFUNCTION("""COMPUTED_VALUE"""),"Algeria")</f>
        <v>Algeria</v>
      </c>
      <c r="H7" s="43" t="str">
        <f>IFERROR(__xludf.DUMMYFUNCTION("""COMPUTED_VALUE"""),"Benak")</f>
        <v>Benak</v>
      </c>
      <c r="I7" s="43" t="str">
        <f>IFERROR(__xludf.DUMMYFUNCTION("""COMPUTED_VALUE"""),"Turkey")</f>
        <v>Turkey</v>
      </c>
      <c r="J7" s="43" t="str">
        <f>IFERROR(__xludf.DUMMYFUNCTION("""COMPUTED_VALUE"""),"ISTANBUL")</f>
        <v>ISTANBUL</v>
      </c>
      <c r="K7" s="44" t="str">
        <f>IFERROR(__xludf.DUMMYFUNCTION("""COMPUTED_VALUE"""),"https://expa.aiesec.org/opportunities/1268611")</f>
        <v>https://expa.aiesec.org/opportunities/1268611</v>
      </c>
      <c r="L7" s="43" t="str">
        <f>IFERROR(__xludf.DUMMYFUNCTION("""COMPUTED_VALUE"""),"GTa")</f>
        <v>GTa</v>
      </c>
      <c r="M7" s="43" t="str">
        <f>IFERROR(__xludf.DUMMYFUNCTION("""COMPUTED_VALUE"""),"long")</f>
        <v>long</v>
      </c>
      <c r="N7" s="45">
        <f>IFERROR(__xludf.DUMMYFUNCTION("""COMPUTED_VALUE"""),44764.0)</f>
        <v>44764</v>
      </c>
      <c r="O7" s="45">
        <f>IFERROR(__xludf.DUMMYFUNCTION("""COMPUTED_VALUE"""),44830.0)</f>
        <v>44830</v>
      </c>
      <c r="P7" s="45">
        <f>IFERROR(__xludf.DUMMYFUNCTION("""COMPUTED_VALUE"""),45352.0)</f>
        <v>45352</v>
      </c>
      <c r="Q7" s="45">
        <f>IFERROR(__xludf.DUMMYFUNCTION("""COMPUTED_VALUE"""),44834.0)</f>
        <v>44834</v>
      </c>
      <c r="R7" s="45">
        <f>IFERROR(__xludf.DUMMYFUNCTION("""COMPUTED_VALUE"""),45352.0)</f>
        <v>45352</v>
      </c>
      <c r="S7" s="43"/>
      <c r="T7" s="43" t="str">
        <f>IFERROR(__xludf.DUMMYFUNCTION("""COMPUTED_VALUE"""),"Business Administration")</f>
        <v>Business Administration</v>
      </c>
      <c r="U7" s="43" t="str">
        <f>IFERROR(__xludf.DUMMYFUNCTION("""COMPUTED_VALUE"""),"Tele Sales Agent ( French Speaker)")</f>
        <v>Tele Sales Agent ( French Speaker)</v>
      </c>
      <c r="V7" s="43" t="str">
        <f>IFERROR(__xludf.DUMMYFUNCTION("""COMPUTED_VALUE"""),"AIESEC in Benak")</f>
        <v>AIESEC in Benak</v>
      </c>
      <c r="W7" s="43" t="str">
        <f>IFERROR(__xludf.DUMMYFUNCTION("""COMPUTED_VALUE"""),"2022-07-22T12:36:27Z")</f>
        <v>2022-07-22T12:36:27Z</v>
      </c>
      <c r="X7" s="43"/>
      <c r="Y7" s="43"/>
      <c r="Z7" s="43"/>
    </row>
    <row r="8" hidden="1">
      <c r="A8" s="43" t="str">
        <f>IFERROR(__xludf.DUMMYFUNCTION("""COMPUTED_VALUE"""),"5083645_1268611")</f>
        <v>5083645_1268611</v>
      </c>
      <c r="B8" s="43" t="str">
        <f>IFERROR(__xludf.DUMMYFUNCTION("""COMPUTED_VALUE"""),"jonathan bambu")</f>
        <v>jonathan bambu</v>
      </c>
      <c r="C8" s="43" t="str">
        <f>IFERROR(__xludf.DUMMYFUNCTION("""COMPUTED_VALUE"""),"realized")</f>
        <v>realized</v>
      </c>
      <c r="D8" s="43" t="str">
        <f>IFERROR(__xludf.DUMMYFUNCTION("""COMPUTED_VALUE"""),"No")</f>
        <v>No</v>
      </c>
      <c r="E8" s="43" t="str">
        <f>IFERROR(__xludf.DUMMYFUNCTION("""COMPUTED_VALUE"""),"p_6b917d71747f549f2b20b84cf3cae9d68f880e68@inbound.aiesec.org")</f>
        <v>p_6b917d71747f549f2b20b84cf3cae9d68f880e68@inbound.aiesec.org</v>
      </c>
      <c r="F8" s="43">
        <f>IFERROR(__xludf.DUMMYFUNCTION("""COMPUTED_VALUE"""),5.345296294E9)</f>
        <v>5345296294</v>
      </c>
      <c r="G8" s="43" t="str">
        <f>IFERROR(__xludf.DUMMYFUNCTION("""COMPUTED_VALUE"""),"Cote D'Ivoire")</f>
        <v>Cote D'Ivoire</v>
      </c>
      <c r="H8" s="43" t="str">
        <f>IFERROR(__xludf.DUMMYFUNCTION("""COMPUTED_VALUE"""),"ABIDJAN SUD")</f>
        <v>ABIDJAN SUD</v>
      </c>
      <c r="I8" s="43" t="str">
        <f>IFERROR(__xludf.DUMMYFUNCTION("""COMPUTED_VALUE"""),"Turkey")</f>
        <v>Turkey</v>
      </c>
      <c r="J8" s="43" t="str">
        <f>IFERROR(__xludf.DUMMYFUNCTION("""COMPUTED_VALUE"""),"ISTANBUL")</f>
        <v>ISTANBUL</v>
      </c>
      <c r="K8" s="44" t="str">
        <f>IFERROR(__xludf.DUMMYFUNCTION("""COMPUTED_VALUE"""),"https://expa.aiesec.org/opportunities/1268611")</f>
        <v>https://expa.aiesec.org/opportunities/1268611</v>
      </c>
      <c r="L8" s="43" t="str">
        <f>IFERROR(__xludf.DUMMYFUNCTION("""COMPUTED_VALUE"""),"GTa")</f>
        <v>GTa</v>
      </c>
      <c r="M8" s="43" t="str">
        <f>IFERROR(__xludf.DUMMYFUNCTION("""COMPUTED_VALUE"""),"long")</f>
        <v>long</v>
      </c>
      <c r="N8" s="45">
        <f>IFERROR(__xludf.DUMMYFUNCTION("""COMPUTED_VALUE"""),44764.0)</f>
        <v>44764</v>
      </c>
      <c r="O8" s="45">
        <f>IFERROR(__xludf.DUMMYFUNCTION("""COMPUTED_VALUE"""),44802.0)</f>
        <v>44802</v>
      </c>
      <c r="P8" s="45">
        <f>IFERROR(__xludf.DUMMYFUNCTION("""COMPUTED_VALUE"""),45324.0)</f>
        <v>45324</v>
      </c>
      <c r="Q8" s="45">
        <f>IFERROR(__xludf.DUMMYFUNCTION("""COMPUTED_VALUE"""),44853.0)</f>
        <v>44853</v>
      </c>
      <c r="R8" s="45">
        <f>IFERROR(__xludf.DUMMYFUNCTION("""COMPUTED_VALUE"""),45380.0)</f>
        <v>45380</v>
      </c>
      <c r="S8" s="43"/>
      <c r="T8" s="43" t="str">
        <f>IFERROR(__xludf.DUMMYFUNCTION("""COMPUTED_VALUE"""),"Business Administration")</f>
        <v>Business Administration</v>
      </c>
      <c r="U8" s="43" t="str">
        <f>IFERROR(__xludf.DUMMYFUNCTION("""COMPUTED_VALUE"""),"Tele Sales Agent ( French Speaker)")</f>
        <v>Tele Sales Agent ( French Speaker)</v>
      </c>
      <c r="V8" s="43" t="str">
        <f>IFERROR(__xludf.DUMMYFUNCTION("""COMPUTED_VALUE"""),"LC ABIDJAN SUD")</f>
        <v>LC ABIDJAN SUD</v>
      </c>
      <c r="W8" s="43" t="str">
        <f>IFERROR(__xludf.DUMMYFUNCTION("""COMPUTED_VALUE"""),"2022-07-18T12:30:26Z")</f>
        <v>2022-07-18T12:30:26Z</v>
      </c>
      <c r="X8" s="43"/>
      <c r="Y8" s="43"/>
      <c r="Z8" s="43"/>
    </row>
    <row r="9" hidden="1">
      <c r="A9" s="43" t="str">
        <f>IFERROR(__xludf.DUMMYFUNCTION("""COMPUTED_VALUE"""),"4538339_1287943")</f>
        <v>4538339_1287943</v>
      </c>
      <c r="B9" s="43" t="str">
        <f>IFERROR(__xludf.DUMMYFUNCTION("""COMPUTED_VALUE"""),"Wiame El bakir")</f>
        <v>Wiame El bakir</v>
      </c>
      <c r="C9" s="43" t="str">
        <f>IFERROR(__xludf.DUMMYFUNCTION("""COMPUTED_VALUE"""),"finished")</f>
        <v>finished</v>
      </c>
      <c r="D9" s="43" t="str">
        <f>IFERROR(__xludf.DUMMYFUNCTION("""COMPUTED_VALUE"""),"No")</f>
        <v>No</v>
      </c>
      <c r="E9" s="43" t="str">
        <f>IFERROR(__xludf.DUMMYFUNCTION("""COMPUTED_VALUE"""),"p_db36bd552d5698f92a8e64d9e340bfc318a96732@inbound.aiesec.org")</f>
        <v>p_db36bd552d5698f92a8e64d9e340bfc318a96732@inbound.aiesec.org</v>
      </c>
      <c r="F9" s="43">
        <f>IFERROR(__xludf.DUMMYFUNCTION("""COMPUTED_VALUE"""),7.71941942E8)</f>
        <v>771941942</v>
      </c>
      <c r="G9" s="43" t="str">
        <f>IFERROR(__xludf.DUMMYFUNCTION("""COMPUTED_VALUE"""),"Morocco")</f>
        <v>Morocco</v>
      </c>
      <c r="H9" s="43" t="str">
        <f>IFERROR(__xludf.DUMMYFUNCTION("""COMPUTED_VALUE"""),"Morocco (MC)")</f>
        <v>Morocco (MC)</v>
      </c>
      <c r="I9" s="43" t="str">
        <f>IFERROR(__xludf.DUMMYFUNCTION("""COMPUTED_VALUE"""),"Turkey")</f>
        <v>Turkey</v>
      </c>
      <c r="J9" s="43" t="str">
        <f>IFERROR(__xludf.DUMMYFUNCTION("""COMPUTED_VALUE"""),"ISTANBUL ASIA")</f>
        <v>ISTANBUL ASIA</v>
      </c>
      <c r="K9" s="44" t="str">
        <f>IFERROR(__xludf.DUMMYFUNCTION("""COMPUTED_VALUE"""),"https://expa.aiesec.org/opportunities/1287943")</f>
        <v>https://expa.aiesec.org/opportunities/1287943</v>
      </c>
      <c r="L9" s="43" t="str">
        <f>IFERROR(__xludf.DUMMYFUNCTION("""COMPUTED_VALUE"""),"GTa")</f>
        <v>GTa</v>
      </c>
      <c r="M9" s="43" t="str">
        <f>IFERROR(__xludf.DUMMYFUNCTION("""COMPUTED_VALUE"""),"medium")</f>
        <v>medium</v>
      </c>
      <c r="N9" s="45">
        <f>IFERROR(__xludf.DUMMYFUNCTION("""COMPUTED_VALUE"""),44764.0)</f>
        <v>44764</v>
      </c>
      <c r="O9" s="45">
        <f>IFERROR(__xludf.DUMMYFUNCTION("""COMPUTED_VALUE"""),44836.0)</f>
        <v>44836</v>
      </c>
      <c r="P9" s="45">
        <f>IFERROR(__xludf.DUMMYFUNCTION("""COMPUTED_VALUE"""),45017.0)</f>
        <v>45017</v>
      </c>
      <c r="Q9" s="45">
        <f>IFERROR(__xludf.DUMMYFUNCTION("""COMPUTED_VALUE"""),44871.0)</f>
        <v>44871</v>
      </c>
      <c r="R9" s="45">
        <f>IFERROR(__xludf.DUMMYFUNCTION("""COMPUTED_VALUE"""),45184.0)</f>
        <v>45184</v>
      </c>
      <c r="S9" s="43"/>
      <c r="T9" s="43" t="str">
        <f>IFERROR(__xludf.DUMMYFUNCTION("""COMPUTED_VALUE"""),"Marketing")</f>
        <v>Marketing</v>
      </c>
      <c r="U9" s="43" t="str">
        <f>IFERROR(__xludf.DUMMYFUNCTION("""COMPUTED_VALUE"""),"Market Development Specialist")</f>
        <v>Market Development Specialist</v>
      </c>
      <c r="V9" s="43" t="str">
        <f>IFERROR(__xludf.DUMMYFUNCTION("""COMPUTED_VALUE"""),"SupdeCo Marrakech")</f>
        <v>SupdeCo Marrakech</v>
      </c>
      <c r="W9" s="43" t="str">
        <f>IFERROR(__xludf.DUMMYFUNCTION("""COMPUTED_VALUE"""),"2021-02-09T12:12:17Z")</f>
        <v>2021-02-09T12:12:17Z</v>
      </c>
      <c r="X9" s="43"/>
      <c r="Y9" s="43"/>
      <c r="Z9" s="43"/>
    </row>
    <row r="10" hidden="1">
      <c r="A10" s="43" t="str">
        <f>IFERROR(__xludf.DUMMYFUNCTION("""COMPUTED_VALUE"""),"3904884_1288101")</f>
        <v>3904884_1288101</v>
      </c>
      <c r="B10" s="43" t="str">
        <f>IFERROR(__xludf.DUMMYFUNCTION("""COMPUTED_VALUE"""),"Choali Khaoula")</f>
        <v>Choali Khaoula</v>
      </c>
      <c r="C10" s="43" t="str">
        <f>IFERROR(__xludf.DUMMYFUNCTION("""COMPUTED_VALUE"""),"finished")</f>
        <v>finished</v>
      </c>
      <c r="D10" s="43" t="str">
        <f>IFERROR(__xludf.DUMMYFUNCTION("""COMPUTED_VALUE"""),"No")</f>
        <v>No</v>
      </c>
      <c r="E10" s="43" t="str">
        <f>IFERROR(__xludf.DUMMYFUNCTION("""COMPUTED_VALUE"""),"p_f135aac502bbd77bc0abc1b5f7b660d9fabbcde7@inbound.aiesec.org")</f>
        <v>p_f135aac502bbd77bc0abc1b5f7b660d9fabbcde7@inbound.aiesec.org</v>
      </c>
      <c r="F10" s="43">
        <f>IFERROR(__xludf.DUMMYFUNCTION("""COMPUTED_VALUE"""),5.364827026E9)</f>
        <v>5364827026</v>
      </c>
      <c r="G10" s="43" t="str">
        <f>IFERROR(__xludf.DUMMYFUNCTION("""COMPUTED_VALUE"""),"Morocco")</f>
        <v>Morocco</v>
      </c>
      <c r="H10" s="43" t="str">
        <f>IFERROR(__xludf.DUMMYFUNCTION("""COMPUTED_VALUE"""),"Morocco (MC)")</f>
        <v>Morocco (MC)</v>
      </c>
      <c r="I10" s="43" t="str">
        <f>IFERROR(__xludf.DUMMYFUNCTION("""COMPUTED_VALUE"""),"Turkey")</f>
        <v>Turkey</v>
      </c>
      <c r="J10" s="43" t="str">
        <f>IFERROR(__xludf.DUMMYFUNCTION("""COMPUTED_VALUE"""),"İZMİR")</f>
        <v>İZMİR</v>
      </c>
      <c r="K10" s="44" t="str">
        <f>IFERROR(__xludf.DUMMYFUNCTION("""COMPUTED_VALUE"""),"https://expa.aiesec.org/opportunities/1288101")</f>
        <v>https://expa.aiesec.org/opportunities/1288101</v>
      </c>
      <c r="L10" s="43" t="str">
        <f>IFERROR(__xludf.DUMMYFUNCTION("""COMPUTED_VALUE"""),"GTa")</f>
        <v>GTa</v>
      </c>
      <c r="M10" s="43" t="str">
        <f>IFERROR(__xludf.DUMMYFUNCTION("""COMPUTED_VALUE"""),"long")</f>
        <v>long</v>
      </c>
      <c r="N10" s="45">
        <f>IFERROR(__xludf.DUMMYFUNCTION("""COMPUTED_VALUE"""),44769.0)</f>
        <v>44769</v>
      </c>
      <c r="O10" s="45">
        <f>IFERROR(__xludf.DUMMYFUNCTION("""COMPUTED_VALUE"""),44780.0)</f>
        <v>44780</v>
      </c>
      <c r="P10" s="45">
        <f>IFERROR(__xludf.DUMMYFUNCTION("""COMPUTED_VALUE"""),45084.0)</f>
        <v>45084</v>
      </c>
      <c r="Q10" s="45">
        <f>IFERROR(__xludf.DUMMYFUNCTION("""COMPUTED_VALUE"""),44775.0)</f>
        <v>44775</v>
      </c>
      <c r="R10" s="45">
        <f>IFERROR(__xludf.DUMMYFUNCTION("""COMPUTED_VALUE"""),45114.0)</f>
        <v>45114</v>
      </c>
      <c r="S10" s="43"/>
      <c r="T10" s="43" t="str">
        <f>IFERROR(__xludf.DUMMYFUNCTION("""COMPUTED_VALUE"""),"Business Administration")</f>
        <v>Business Administration</v>
      </c>
      <c r="U10" s="43" t="str">
        <f>IFERROR(__xludf.DUMMYFUNCTION("""COMPUTED_VALUE"""),"Marketing Manager in Izmir")</f>
        <v>Marketing Manager in Izmir</v>
      </c>
      <c r="V10" s="43" t="str">
        <f>IFERROR(__xludf.DUMMYFUNCTION("""COMPUTED_VALUE"""),"Other-EL JADIDA")</f>
        <v>Other-EL JADIDA</v>
      </c>
      <c r="W10" s="43" t="str">
        <f>IFERROR(__xludf.DUMMYFUNCTION("""COMPUTED_VALUE"""),"2019-10-18T10:29:49Z")</f>
        <v>2019-10-18T10:29:49Z</v>
      </c>
      <c r="X10" s="43"/>
      <c r="Y10" s="43"/>
      <c r="Z10" s="43"/>
    </row>
    <row r="11" hidden="1">
      <c r="A11" s="43" t="str">
        <f>IFERROR(__xludf.DUMMYFUNCTION("""COMPUTED_VALUE"""),"4399116_1286346")</f>
        <v>4399116_1286346</v>
      </c>
      <c r="B11" s="43" t="str">
        <f>IFERROR(__xludf.DUMMYFUNCTION("""COMPUTED_VALUE"""),"Shivani Goel")</f>
        <v>Shivani Goel</v>
      </c>
      <c r="C11" s="43" t="str">
        <f>IFERROR(__xludf.DUMMYFUNCTION("""COMPUTED_VALUE"""),"finished")</f>
        <v>finished</v>
      </c>
      <c r="D11" s="43" t="str">
        <f>IFERROR(__xludf.DUMMYFUNCTION("""COMPUTED_VALUE"""),"No")</f>
        <v>No</v>
      </c>
      <c r="E11" s="43" t="str">
        <f>IFERROR(__xludf.DUMMYFUNCTION("""COMPUTED_VALUE"""),"p_93fe134de184e65ec23c7167eaf6b1546ac0d57d@inbound.aiesec.org")</f>
        <v>p_93fe134de184e65ec23c7167eaf6b1546ac0d57d@inbound.aiesec.org</v>
      </c>
      <c r="F11" s="43"/>
      <c r="G11" s="43" t="str">
        <f>IFERROR(__xludf.DUMMYFUNCTION("""COMPUTED_VALUE"""),"India")</f>
        <v>India</v>
      </c>
      <c r="H11" s="43" t="str">
        <f>IFERROR(__xludf.DUMMYFUNCTION("""COMPUTED_VALUE"""),"Chandigarh")</f>
        <v>Chandigarh</v>
      </c>
      <c r="I11" s="43" t="str">
        <f>IFERROR(__xludf.DUMMYFUNCTION("""COMPUTED_VALUE"""),"Turkey")</f>
        <v>Turkey</v>
      </c>
      <c r="J11" s="43" t="str">
        <f>IFERROR(__xludf.DUMMYFUNCTION("""COMPUTED_VALUE"""),"ADANA")</f>
        <v>ADANA</v>
      </c>
      <c r="K11" s="44" t="str">
        <f>IFERROR(__xludf.DUMMYFUNCTION("""COMPUTED_VALUE"""),"https://expa.aiesec.org/opportunities/1286346")</f>
        <v>https://expa.aiesec.org/opportunities/1286346</v>
      </c>
      <c r="L11" s="43" t="str">
        <f>IFERROR(__xludf.DUMMYFUNCTION("""COMPUTED_VALUE"""),"GTa")</f>
        <v>GTa</v>
      </c>
      <c r="M11" s="43" t="str">
        <f>IFERROR(__xludf.DUMMYFUNCTION("""COMPUTED_VALUE"""),"short")</f>
        <v>short</v>
      </c>
      <c r="N11" s="45">
        <f>IFERROR(__xludf.DUMMYFUNCTION("""COMPUTED_VALUE"""),44769.0)</f>
        <v>44769</v>
      </c>
      <c r="O11" s="45">
        <f>IFERROR(__xludf.DUMMYFUNCTION("""COMPUTED_VALUE"""),44788.0)</f>
        <v>44788</v>
      </c>
      <c r="P11" s="45">
        <f>IFERROR(__xludf.DUMMYFUNCTION("""COMPUTED_VALUE"""),44849.0)</f>
        <v>44849</v>
      </c>
      <c r="Q11" s="45">
        <f>IFERROR(__xludf.DUMMYFUNCTION("""COMPUTED_VALUE"""),44859.0)</f>
        <v>44859</v>
      </c>
      <c r="R11" s="45">
        <f>IFERROR(__xludf.DUMMYFUNCTION("""COMPUTED_VALUE"""),44911.0)</f>
        <v>44911</v>
      </c>
      <c r="S11" s="43"/>
      <c r="T11" s="43" t="str">
        <f>IFERROR(__xludf.DUMMYFUNCTION("""COMPUTED_VALUE"""),"Business Development")</f>
        <v>Business Development</v>
      </c>
      <c r="U11" s="43" t="str">
        <f>IFERROR(__xludf.DUMMYFUNCTION("""COMPUTED_VALUE"""),"Marketing Short Term")</f>
        <v>Marketing Short Term</v>
      </c>
      <c r="V11" s="43" t="str">
        <f>IFERROR(__xludf.DUMMYFUNCTION("""COMPUTED_VALUE"""),"Chandigarh")</f>
        <v>Chandigarh</v>
      </c>
      <c r="W11" s="43" t="str">
        <f>IFERROR(__xludf.DUMMYFUNCTION("""COMPUTED_VALUE"""),"2020-10-17T18:09:36Z")</f>
        <v>2020-10-17T18:09:36Z</v>
      </c>
      <c r="X11" s="43"/>
      <c r="Y11" s="43"/>
      <c r="Z11" s="43"/>
    </row>
    <row r="12" hidden="1">
      <c r="A12" s="43" t="str">
        <f>IFERROR(__xludf.DUMMYFUNCTION("""COMPUTED_VALUE"""),"3826402_1288377")</f>
        <v>3826402_1288377</v>
      </c>
      <c r="B12" s="43" t="str">
        <f>IFERROR(__xludf.DUMMYFUNCTION("""COMPUTED_VALUE"""),"Yulissa Cortes")</f>
        <v>Yulissa Cortes</v>
      </c>
      <c r="C12" s="43" t="str">
        <f>IFERROR(__xludf.DUMMYFUNCTION("""COMPUTED_VALUE"""),"realization_broken")</f>
        <v>realization_broken</v>
      </c>
      <c r="D12" s="43" t="str">
        <f>IFERROR(__xludf.DUMMYFUNCTION("""COMPUTED_VALUE"""),"No")</f>
        <v>No</v>
      </c>
      <c r="E12" s="43" t="str">
        <f>IFERROR(__xludf.DUMMYFUNCTION("""COMPUTED_VALUE"""),"p_6a85d9bdd5b3472fefb22f1aa0bf729a4cf15507@inbound.aiesec.org")</f>
        <v>p_6a85d9bdd5b3472fefb22f1aa0bf729a4cf15507@inbound.aiesec.org</v>
      </c>
      <c r="F12" s="43">
        <f>IFERROR(__xludf.DUMMYFUNCTION("""COMPUTED_VALUE"""),3.192435536E9)</f>
        <v>3192435536</v>
      </c>
      <c r="G12" s="43" t="str">
        <f>IFERROR(__xludf.DUMMYFUNCTION("""COMPUTED_VALUE"""),"Colombia")</f>
        <v>Colombia</v>
      </c>
      <c r="H12" s="43" t="str">
        <f>IFERROR(__xludf.DUMMYFUNCTION("""COMPUTED_VALUE"""),"EXTERNADO")</f>
        <v>EXTERNADO</v>
      </c>
      <c r="I12" s="43" t="str">
        <f>IFERROR(__xludf.DUMMYFUNCTION("""COMPUTED_VALUE"""),"Turkey")</f>
        <v>Turkey</v>
      </c>
      <c r="J12" s="43" t="str">
        <f>IFERROR(__xludf.DUMMYFUNCTION("""COMPUTED_VALUE"""),"ADANA")</f>
        <v>ADANA</v>
      </c>
      <c r="K12" s="44" t="str">
        <f>IFERROR(__xludf.DUMMYFUNCTION("""COMPUTED_VALUE"""),"https://expa.aiesec.org/opportunities/1288377")</f>
        <v>https://expa.aiesec.org/opportunities/1288377</v>
      </c>
      <c r="L12" s="43" t="str">
        <f>IFERROR(__xludf.DUMMYFUNCTION("""COMPUTED_VALUE"""),"GTa")</f>
        <v>GTa</v>
      </c>
      <c r="M12" s="43" t="str">
        <f>IFERROR(__xludf.DUMMYFUNCTION("""COMPUTED_VALUE"""),"long")</f>
        <v>long</v>
      </c>
      <c r="N12" s="45">
        <f>IFERROR(__xludf.DUMMYFUNCTION("""COMPUTED_VALUE"""),44772.0)</f>
        <v>44772</v>
      </c>
      <c r="O12" s="45">
        <f>IFERROR(__xludf.DUMMYFUNCTION("""COMPUTED_VALUE"""),44803.0)</f>
        <v>44803</v>
      </c>
      <c r="P12" s="45">
        <f>IFERROR(__xludf.DUMMYFUNCTION("""COMPUTED_VALUE"""),45168.0)</f>
        <v>45168</v>
      </c>
      <c r="Q12" s="45"/>
      <c r="R12" s="45"/>
      <c r="S12" s="43"/>
      <c r="T12" s="43" t="str">
        <f>IFERROR(__xludf.DUMMYFUNCTION("""COMPUTED_VALUE"""),"Business Development")</f>
        <v>Business Development</v>
      </c>
      <c r="U12" s="43" t="str">
        <f>IFERROR(__xludf.DUMMYFUNCTION("""COMPUTED_VALUE"""),"Sales Executive in External Trade | Spanish Speaker")</f>
        <v>Sales Executive in External Trade | Spanish Speaker</v>
      </c>
      <c r="V12" s="43" t="str">
        <f>IFERROR(__xludf.DUMMYFUNCTION("""COMPUTED_VALUE"""),"Bogotá - Universidad Santo Tomás (USTA)")</f>
        <v>Bogotá - Universidad Santo Tomás (USTA)</v>
      </c>
      <c r="W12" s="43" t="str">
        <f>IFERROR(__xludf.DUMMYFUNCTION("""COMPUTED_VALUE"""),"2019-09-10T21:38:49Z")</f>
        <v>2019-09-10T21:38:49Z</v>
      </c>
      <c r="X12" s="43"/>
      <c r="Y12" s="43"/>
      <c r="Z12" s="43"/>
    </row>
    <row r="13" hidden="1">
      <c r="A13" s="43" t="str">
        <f>IFERROR(__xludf.DUMMYFUNCTION("""COMPUTED_VALUE"""),"5087875_1287859")</f>
        <v>5087875_1287859</v>
      </c>
      <c r="B13" s="43" t="str">
        <f>IFERROR(__xludf.DUMMYFUNCTION("""COMPUTED_VALUE"""),"Ayoub Taoufik")</f>
        <v>Ayoub Taoufik</v>
      </c>
      <c r="C13" s="43" t="str">
        <f>IFERROR(__xludf.DUMMYFUNCTION("""COMPUTED_VALUE"""),"completed")</f>
        <v>completed</v>
      </c>
      <c r="D13" s="43" t="str">
        <f>IFERROR(__xludf.DUMMYFUNCTION("""COMPUTED_VALUE"""),"No")</f>
        <v>No</v>
      </c>
      <c r="E13" s="43" t="str">
        <f>IFERROR(__xludf.DUMMYFUNCTION("""COMPUTED_VALUE"""),"p_592b14a35a41082d7758af4579caf4dee31ebaaa@inbound.aiesec.org")</f>
        <v>p_592b14a35a41082d7758af4579caf4dee31ebaaa@inbound.aiesec.org</v>
      </c>
      <c r="F13" s="43">
        <f>IFERROR(__xludf.DUMMYFUNCTION("""COMPUTED_VALUE"""),6.49533757E8)</f>
        <v>649533757</v>
      </c>
      <c r="G13" s="43" t="str">
        <f>IFERROR(__xludf.DUMMYFUNCTION("""COMPUTED_VALUE"""),"Morocco")</f>
        <v>Morocco</v>
      </c>
      <c r="H13" s="43" t="str">
        <f>IFERROR(__xludf.DUMMYFUNCTION("""COMPUTED_VALUE"""),"Casablanca")</f>
        <v>Casablanca</v>
      </c>
      <c r="I13" s="43" t="str">
        <f>IFERROR(__xludf.DUMMYFUNCTION("""COMPUTED_VALUE"""),"Turkey")</f>
        <v>Turkey</v>
      </c>
      <c r="J13" s="43" t="str">
        <f>IFERROR(__xludf.DUMMYFUNCTION("""COMPUTED_VALUE"""),"BURSA")</f>
        <v>BURSA</v>
      </c>
      <c r="K13" s="44" t="str">
        <f>IFERROR(__xludf.DUMMYFUNCTION("""COMPUTED_VALUE"""),"https://expa.aiesec.org/opportunities/1287859")</f>
        <v>https://expa.aiesec.org/opportunities/1287859</v>
      </c>
      <c r="L13" s="43" t="str">
        <f>IFERROR(__xludf.DUMMYFUNCTION("""COMPUTED_VALUE"""),"GTa")</f>
        <v>GTa</v>
      </c>
      <c r="M13" s="43" t="str">
        <f>IFERROR(__xludf.DUMMYFUNCTION("""COMPUTED_VALUE"""),"long")</f>
        <v>long</v>
      </c>
      <c r="N13" s="45">
        <f>IFERROR(__xludf.DUMMYFUNCTION("""COMPUTED_VALUE"""),44775.0)</f>
        <v>44775</v>
      </c>
      <c r="O13" s="45">
        <f>IFERROR(__xludf.DUMMYFUNCTION("""COMPUTED_VALUE"""),44830.0)</f>
        <v>44830</v>
      </c>
      <c r="P13" s="45">
        <f>IFERROR(__xludf.DUMMYFUNCTION("""COMPUTED_VALUE"""),45195.0)</f>
        <v>45195</v>
      </c>
      <c r="Q13" s="45">
        <f>IFERROR(__xludf.DUMMYFUNCTION("""COMPUTED_VALUE"""),44830.0)</f>
        <v>44830</v>
      </c>
      <c r="R13" s="45">
        <f>IFERROR(__xludf.DUMMYFUNCTION("""COMPUTED_VALUE"""),45194.0)</f>
        <v>45194</v>
      </c>
      <c r="S13" s="43"/>
      <c r="T13" s="43" t="str">
        <f>IFERROR(__xludf.DUMMYFUNCTION("""COMPUTED_VALUE"""),"Marketing")</f>
        <v>Marketing</v>
      </c>
      <c r="U13" s="43" t="str">
        <f>IFERROR(__xludf.DUMMYFUNCTION("""COMPUTED_VALUE"""),"Digital Marketing")</f>
        <v>Digital Marketing</v>
      </c>
      <c r="V13" s="43" t="str">
        <f>IFERROR(__xludf.DUMMYFUNCTION("""COMPUTED_VALUE"""),"FSJES Aïn Chock Casablanca")</f>
        <v>FSJES Aïn Chock Casablanca</v>
      </c>
      <c r="W13" s="43" t="str">
        <f>IFERROR(__xludf.DUMMYFUNCTION("""COMPUTED_VALUE"""),"2022-08-01T13:51:24Z")</f>
        <v>2022-08-01T13:51:24Z</v>
      </c>
      <c r="X13" s="43"/>
      <c r="Y13" s="43"/>
      <c r="Z13" s="43"/>
    </row>
    <row r="14" hidden="1">
      <c r="A14" s="43" t="str">
        <f>IFERROR(__xludf.DUMMYFUNCTION("""COMPUTED_VALUE"""),"5090273_1284992")</f>
        <v>5090273_1284992</v>
      </c>
      <c r="B14" s="43" t="str">
        <f>IFERROR(__xludf.DUMMYFUNCTION("""COMPUTED_VALUE"""),"Youssef Derbel")</f>
        <v>Youssef Derbel</v>
      </c>
      <c r="C14" s="43" t="str">
        <f>IFERROR(__xludf.DUMMYFUNCTION("""COMPUTED_VALUE"""),"realization_broken")</f>
        <v>realization_broken</v>
      </c>
      <c r="D14" s="43" t="str">
        <f>IFERROR(__xludf.DUMMYFUNCTION("""COMPUTED_VALUE"""),"No")</f>
        <v>No</v>
      </c>
      <c r="E14" s="43" t="str">
        <f>IFERROR(__xludf.DUMMYFUNCTION("""COMPUTED_VALUE"""),"p_2dc241ec0b1dbb2c4b88772c2c59bc05543571e3@inbound.aiesec.org")</f>
        <v>p_2dc241ec0b1dbb2c4b88772c2c59bc05543571e3@inbound.aiesec.org</v>
      </c>
      <c r="F14" s="43">
        <f>IFERROR(__xludf.DUMMYFUNCTION("""COMPUTED_VALUE"""),2.3596617E7)</f>
        <v>23596617</v>
      </c>
      <c r="G14" s="43" t="str">
        <f>IFERROR(__xludf.DUMMYFUNCTION("""COMPUTED_VALUE"""),"Tunisia")</f>
        <v>Tunisia</v>
      </c>
      <c r="H14" s="43" t="str">
        <f>IFERROR(__xludf.DUMMYFUNCTION("""COMPUTED_VALUE"""),"SFAX")</f>
        <v>SFAX</v>
      </c>
      <c r="I14" s="43" t="str">
        <f>IFERROR(__xludf.DUMMYFUNCTION("""COMPUTED_VALUE"""),"Turkey")</f>
        <v>Turkey</v>
      </c>
      <c r="J14" s="43" t="str">
        <f>IFERROR(__xludf.DUMMYFUNCTION("""COMPUTED_VALUE"""),"ESKISEHIR")</f>
        <v>ESKISEHIR</v>
      </c>
      <c r="K14" s="44" t="str">
        <f>IFERROR(__xludf.DUMMYFUNCTION("""COMPUTED_VALUE"""),"https://expa.aiesec.org/opportunities/1284992")</f>
        <v>https://expa.aiesec.org/opportunities/1284992</v>
      </c>
      <c r="L14" s="43" t="str">
        <f>IFERROR(__xludf.DUMMYFUNCTION("""COMPUTED_VALUE"""),"GTa")</f>
        <v>GTa</v>
      </c>
      <c r="M14" s="43" t="str">
        <f>IFERROR(__xludf.DUMMYFUNCTION("""COMPUTED_VALUE"""),"long")</f>
        <v>long</v>
      </c>
      <c r="N14" s="45">
        <f>IFERROR(__xludf.DUMMYFUNCTION("""COMPUTED_VALUE"""),44779.0)</f>
        <v>44779</v>
      </c>
      <c r="O14" s="45">
        <f>IFERROR(__xludf.DUMMYFUNCTION("""COMPUTED_VALUE"""),44813.0)</f>
        <v>44813</v>
      </c>
      <c r="P14" s="45">
        <f>IFERROR(__xludf.DUMMYFUNCTION("""COMPUTED_VALUE"""),45178.0)</f>
        <v>45178</v>
      </c>
      <c r="Q14" s="45"/>
      <c r="R14" s="45"/>
      <c r="S14" s="43"/>
      <c r="T14" s="43" t="str">
        <f>IFERROR(__xludf.DUMMYFUNCTION("""COMPUTED_VALUE"""),"Information Technology")</f>
        <v>Information Technology</v>
      </c>
      <c r="U14" s="43" t="str">
        <f>IFERROR(__xludf.DUMMYFUNCTION("""COMPUTED_VALUE"""),"Game Developer in Unity Software")</f>
        <v>Game Developer in Unity Software</v>
      </c>
      <c r="V14" s="43" t="str">
        <f>IFERROR(__xludf.DUMMYFUNCTION("""COMPUTED_VALUE"""),"ISIMS")</f>
        <v>ISIMS</v>
      </c>
      <c r="W14" s="43" t="str">
        <f>IFERROR(__xludf.DUMMYFUNCTION("""COMPUTED_VALUE"""),"2022-08-06T12:05:59Z")</f>
        <v>2022-08-06T12:05:59Z</v>
      </c>
      <c r="X14" s="43"/>
      <c r="Y14" s="43"/>
      <c r="Z14" s="43"/>
    </row>
    <row r="15" hidden="1">
      <c r="A15" s="43" t="str">
        <f>IFERROR(__xludf.DUMMYFUNCTION("""COMPUTED_VALUE"""),"3132766_1288548")</f>
        <v>3132766_1288548</v>
      </c>
      <c r="B15" s="43" t="str">
        <f>IFERROR(__xludf.DUMMYFUNCTION("""COMPUTED_VALUE"""),"nourhen gafsaoui")</f>
        <v>nourhen gafsaoui</v>
      </c>
      <c r="C15" s="43" t="str">
        <f>IFERROR(__xludf.DUMMYFUNCTION("""COMPUTED_VALUE"""),"realization_broken")</f>
        <v>realization_broken</v>
      </c>
      <c r="D15" s="43" t="str">
        <f>IFERROR(__xludf.DUMMYFUNCTION("""COMPUTED_VALUE"""),"No")</f>
        <v>No</v>
      </c>
      <c r="E15" s="43" t="str">
        <f>IFERROR(__xludf.DUMMYFUNCTION("""COMPUTED_VALUE"""),"p_4beb1247174cfbd38962ded7345606fe71bae342@inbound.aiesec.org")</f>
        <v>p_4beb1247174cfbd38962ded7345606fe71bae342@inbound.aiesec.org</v>
      </c>
      <c r="F15" s="43">
        <f>IFERROR(__xludf.DUMMYFUNCTION("""COMPUTED_VALUE"""),9.4935259E7)</f>
        <v>94935259</v>
      </c>
      <c r="G15" s="43" t="str">
        <f>IFERROR(__xludf.DUMMYFUNCTION("""COMPUTED_VALUE"""),"Tunisia")</f>
        <v>Tunisia</v>
      </c>
      <c r="H15" s="43" t="str">
        <f>IFERROR(__xludf.DUMMYFUNCTION("""COMPUTED_VALUE"""),"UNIVERSITY")</f>
        <v>UNIVERSITY</v>
      </c>
      <c r="I15" s="43" t="str">
        <f>IFERROR(__xludf.DUMMYFUNCTION("""COMPUTED_VALUE"""),"Turkey")</f>
        <v>Turkey</v>
      </c>
      <c r="J15" s="43" t="str">
        <f>IFERROR(__xludf.DUMMYFUNCTION("""COMPUTED_VALUE"""),"DENIZLI")</f>
        <v>DENIZLI</v>
      </c>
      <c r="K15" s="44" t="str">
        <f>IFERROR(__xludf.DUMMYFUNCTION("""COMPUTED_VALUE"""),"https://expa.aiesec.org/opportunities/1288548")</f>
        <v>https://expa.aiesec.org/opportunities/1288548</v>
      </c>
      <c r="L15" s="43" t="str">
        <f>IFERROR(__xludf.DUMMYFUNCTION("""COMPUTED_VALUE"""),"GTa")</f>
        <v>GTa</v>
      </c>
      <c r="M15" s="43" t="str">
        <f>IFERROR(__xludf.DUMMYFUNCTION("""COMPUTED_VALUE"""),"long")</f>
        <v>long</v>
      </c>
      <c r="N15" s="45">
        <f>IFERROR(__xludf.DUMMYFUNCTION("""COMPUTED_VALUE"""),44780.0)</f>
        <v>44780</v>
      </c>
      <c r="O15" s="45">
        <f>IFERROR(__xludf.DUMMYFUNCTION("""COMPUTED_VALUE"""),44788.0)</f>
        <v>44788</v>
      </c>
      <c r="P15" s="45">
        <f>IFERROR(__xludf.DUMMYFUNCTION("""COMPUTED_VALUE"""),45153.0)</f>
        <v>45153</v>
      </c>
      <c r="Q15" s="45"/>
      <c r="R15" s="45"/>
      <c r="S15" s="43"/>
      <c r="T15" s="43" t="str">
        <f>IFERROR(__xludf.DUMMYFUNCTION("""COMPUTED_VALUE"""),"Marketing")</f>
        <v>Marketing</v>
      </c>
      <c r="U15" s="43" t="str">
        <f>IFERROR(__xludf.DUMMYFUNCTION("""COMPUTED_VALUE"""),"Market Researcher/Sales Assistant on Ergün Özen Machine")</f>
        <v>Market Researcher/Sales Assistant on Ergün Özen Machine</v>
      </c>
      <c r="V15" s="43" t="str">
        <f>IFERROR(__xludf.DUMMYFUNCTION("""COMPUTED_VALUE"""),"ISET Rades")</f>
        <v>ISET Rades</v>
      </c>
      <c r="W15" s="43" t="str">
        <f>IFERROR(__xludf.DUMMYFUNCTION("""COMPUTED_VALUE"""),"2019-03-02T10:38:23Z")</f>
        <v>2019-03-02T10:38:23Z</v>
      </c>
      <c r="X15" s="43"/>
      <c r="Y15" s="43"/>
      <c r="Z15" s="43"/>
    </row>
    <row r="16" hidden="1">
      <c r="A16" s="43" t="str">
        <f>IFERROR(__xludf.DUMMYFUNCTION("""COMPUTED_VALUE"""),"5076111_1288615")</f>
        <v>5076111_1288615</v>
      </c>
      <c r="B16" s="43" t="str">
        <f>IFERROR(__xludf.DUMMYFUNCTION("""COMPUTED_VALUE"""),"Syed Raiyan")</f>
        <v>Syed Raiyan</v>
      </c>
      <c r="C16" s="43" t="str">
        <f>IFERROR(__xludf.DUMMYFUNCTION("""COMPUTED_VALUE"""),"completed")</f>
        <v>completed</v>
      </c>
      <c r="D16" s="43" t="str">
        <f>IFERROR(__xludf.DUMMYFUNCTION("""COMPUTED_VALUE"""),"No")</f>
        <v>No</v>
      </c>
      <c r="E16" s="43" t="str">
        <f>IFERROR(__xludf.DUMMYFUNCTION("""COMPUTED_VALUE"""),"p_2acd30edde64b0c9cbdda16a2f5813d98adbd626@inbound.aiesec.org")</f>
        <v>p_2acd30edde64b0c9cbdda16a2f5813d98adbd626@inbound.aiesec.org</v>
      </c>
      <c r="F16" s="43">
        <f>IFERROR(__xludf.DUMMYFUNCTION("""COMPUTED_VALUE"""),9.791077279E9)</f>
        <v>9791077279</v>
      </c>
      <c r="G16" s="43" t="str">
        <f>IFERROR(__xludf.DUMMYFUNCTION("""COMPUTED_VALUE"""),"India")</f>
        <v>India</v>
      </c>
      <c r="H16" s="43" t="str">
        <f>IFERROR(__xludf.DUMMYFUNCTION("""COMPUTED_VALUE"""),"Chennai")</f>
        <v>Chennai</v>
      </c>
      <c r="I16" s="43" t="str">
        <f>IFERROR(__xludf.DUMMYFUNCTION("""COMPUTED_VALUE"""),"Turkey")</f>
        <v>Turkey</v>
      </c>
      <c r="J16" s="43" t="str">
        <f>IFERROR(__xludf.DUMMYFUNCTION("""COMPUTED_VALUE"""),"KOCAELI")</f>
        <v>KOCAELI</v>
      </c>
      <c r="K16" s="44" t="str">
        <f>IFERROR(__xludf.DUMMYFUNCTION("""COMPUTED_VALUE"""),"https://expa.aiesec.org/opportunities/1288615")</f>
        <v>https://expa.aiesec.org/opportunities/1288615</v>
      </c>
      <c r="L16" s="43" t="str">
        <f>IFERROR(__xludf.DUMMYFUNCTION("""COMPUTED_VALUE"""),"GTa")</f>
        <v>GTa</v>
      </c>
      <c r="M16" s="43" t="str">
        <f>IFERROR(__xludf.DUMMYFUNCTION("""COMPUTED_VALUE"""),"long")</f>
        <v>long</v>
      </c>
      <c r="N16" s="45">
        <f>IFERROR(__xludf.DUMMYFUNCTION("""COMPUTED_VALUE"""),44781.0)</f>
        <v>44781</v>
      </c>
      <c r="O16" s="45">
        <f>IFERROR(__xludf.DUMMYFUNCTION("""COMPUTED_VALUE"""),44795.0)</f>
        <v>44795</v>
      </c>
      <c r="P16" s="45">
        <f>IFERROR(__xludf.DUMMYFUNCTION("""COMPUTED_VALUE"""),45160.0)</f>
        <v>45160</v>
      </c>
      <c r="Q16" s="45">
        <f>IFERROR(__xludf.DUMMYFUNCTION("""COMPUTED_VALUE"""),44858.0)</f>
        <v>44858</v>
      </c>
      <c r="R16" s="45">
        <f>IFERROR(__xludf.DUMMYFUNCTION("""COMPUTED_VALUE"""),45202.0)</f>
        <v>45202</v>
      </c>
      <c r="S16" s="43"/>
      <c r="T16" s="43" t="str">
        <f>IFERROR(__xludf.DUMMYFUNCTION("""COMPUTED_VALUE"""),"Engineering")</f>
        <v>Engineering</v>
      </c>
      <c r="U16" s="43" t="str">
        <f>IFERROR(__xludf.DUMMYFUNCTION("""COMPUTED_VALUE"""),"Mechanical Engineering in TOKSEL Company")</f>
        <v>Mechanical Engineering in TOKSEL Company</v>
      </c>
      <c r="V16" s="43" t="str">
        <f>IFERROR(__xludf.DUMMYFUNCTION("""COMPUTED_VALUE"""),"Anna University, Chennai")</f>
        <v>Anna University, Chennai</v>
      </c>
      <c r="W16" s="43" t="str">
        <f>IFERROR(__xludf.DUMMYFUNCTION("""COMPUTED_VALUE"""),"2022-06-24T09:25:04Z")</f>
        <v>2022-06-24T09:25:04Z</v>
      </c>
      <c r="X16" s="43"/>
      <c r="Y16" s="43"/>
      <c r="Z16" s="43"/>
    </row>
    <row r="17" hidden="1">
      <c r="A17" s="43" t="str">
        <f>IFERROR(__xludf.DUMMYFUNCTION("""COMPUTED_VALUE"""),"5083023_1278780")</f>
        <v>5083023_1278780</v>
      </c>
      <c r="B17" s="43" t="str">
        <f>IFERROR(__xludf.DUMMYFUNCTION("""COMPUTED_VALUE"""),"Chahinez Bouarara")</f>
        <v>Chahinez Bouarara</v>
      </c>
      <c r="C17" s="43" t="str">
        <f>IFERROR(__xludf.DUMMYFUNCTION("""COMPUTED_VALUE"""),"finished")</f>
        <v>finished</v>
      </c>
      <c r="D17" s="43" t="str">
        <f>IFERROR(__xludf.DUMMYFUNCTION("""COMPUTED_VALUE"""),"No")</f>
        <v>No</v>
      </c>
      <c r="E17" s="43" t="str">
        <f>IFERROR(__xludf.DUMMYFUNCTION("""COMPUTED_VALUE"""),"p_d20ef6bfc7c2bcf182e7910c8ea1667bed32a285@inbound.aiesec.org")</f>
        <v>p_d20ef6bfc7c2bcf182e7910c8ea1667bed32a285@inbound.aiesec.org</v>
      </c>
      <c r="F17" s="43"/>
      <c r="G17" s="43" t="str">
        <f>IFERROR(__xludf.DUMMYFUNCTION("""COMPUTED_VALUE"""),"Algeria")</f>
        <v>Algeria</v>
      </c>
      <c r="H17" s="43" t="str">
        <f>IFERROR(__xludf.DUMMYFUNCTION("""COMPUTED_VALUE"""),"Ouargla")</f>
        <v>Ouargla</v>
      </c>
      <c r="I17" s="43" t="str">
        <f>IFERROR(__xludf.DUMMYFUNCTION("""COMPUTED_VALUE"""),"Turkey")</f>
        <v>Turkey</v>
      </c>
      <c r="J17" s="43" t="str">
        <f>IFERROR(__xludf.DUMMYFUNCTION("""COMPUTED_VALUE"""),"KUTAHYA")</f>
        <v>KUTAHYA</v>
      </c>
      <c r="K17" s="44" t="str">
        <f>IFERROR(__xludf.DUMMYFUNCTION("""COMPUTED_VALUE"""),"https://expa.aiesec.org/opportunities/1278780")</f>
        <v>https://expa.aiesec.org/opportunities/1278780</v>
      </c>
      <c r="L17" s="43" t="str">
        <f>IFERROR(__xludf.DUMMYFUNCTION("""COMPUTED_VALUE"""),"GTa")</f>
        <v>GTa</v>
      </c>
      <c r="M17" s="43" t="str">
        <f>IFERROR(__xludf.DUMMYFUNCTION("""COMPUTED_VALUE"""),"long")</f>
        <v>long</v>
      </c>
      <c r="N17" s="45">
        <f>IFERROR(__xludf.DUMMYFUNCTION("""COMPUTED_VALUE"""),44784.0)</f>
        <v>44784</v>
      </c>
      <c r="O17" s="45">
        <f>IFERROR(__xludf.DUMMYFUNCTION("""COMPUTED_VALUE"""),44802.0)</f>
        <v>44802</v>
      </c>
      <c r="P17" s="45">
        <f>IFERROR(__xludf.DUMMYFUNCTION("""COMPUTED_VALUE"""),44991.0)</f>
        <v>44991</v>
      </c>
      <c r="Q17" s="45">
        <f>IFERROR(__xludf.DUMMYFUNCTION("""COMPUTED_VALUE"""),44864.0)</f>
        <v>44864</v>
      </c>
      <c r="R17" s="45">
        <f>IFERROR(__xludf.DUMMYFUNCTION("""COMPUTED_VALUE"""),45046.0)</f>
        <v>45046</v>
      </c>
      <c r="S17" s="43"/>
      <c r="T17" s="43" t="str">
        <f>IFERROR(__xludf.DUMMYFUNCTION("""COMPUTED_VALUE"""),"Business Administration")</f>
        <v>Business Administration</v>
      </c>
      <c r="U17" s="43" t="str">
        <f>IFERROR(__xludf.DUMMYFUNCTION("""COMPUTED_VALUE"""),"International Market Expansion")</f>
        <v>International Market Expansion</v>
      </c>
      <c r="V17" s="43" t="str">
        <f>IFERROR(__xludf.DUMMYFUNCTION("""COMPUTED_VALUE"""),"-")</f>
        <v>-</v>
      </c>
      <c r="W17" s="43" t="str">
        <f>IFERROR(__xludf.DUMMYFUNCTION("""COMPUTED_VALUE"""),"2022-07-15T18:05:11Z")</f>
        <v>2022-07-15T18:05:11Z</v>
      </c>
      <c r="X17" s="43"/>
      <c r="Y17" s="43"/>
      <c r="Z17" s="43"/>
    </row>
    <row r="18" hidden="1">
      <c r="A18" s="43" t="str">
        <f>IFERROR(__xludf.DUMMYFUNCTION("""COMPUTED_VALUE"""),"5084095_1288705")</f>
        <v>5084095_1288705</v>
      </c>
      <c r="B18" s="43" t="str">
        <f>IFERROR(__xludf.DUMMYFUNCTION("""COMPUTED_VALUE"""),"Soukaina SAADI")</f>
        <v>Soukaina SAADI</v>
      </c>
      <c r="C18" s="43" t="str">
        <f>IFERROR(__xludf.DUMMYFUNCTION("""COMPUTED_VALUE"""),"realization_broken")</f>
        <v>realization_broken</v>
      </c>
      <c r="D18" s="43" t="str">
        <f>IFERROR(__xludf.DUMMYFUNCTION("""COMPUTED_VALUE"""),"No")</f>
        <v>No</v>
      </c>
      <c r="E18" s="43" t="str">
        <f>IFERROR(__xludf.DUMMYFUNCTION("""COMPUTED_VALUE"""),"p_4efa9c0dcdfda9a48412d80548e7e826851bb8b2@inbound.aiesec.org")</f>
        <v>p_4efa9c0dcdfda9a48412d80548e7e826851bb8b2@inbound.aiesec.org</v>
      </c>
      <c r="F18" s="43">
        <f>IFERROR(__xludf.DUMMYFUNCTION("""COMPUTED_VALUE"""),6.50397213E8)</f>
        <v>650397213</v>
      </c>
      <c r="G18" s="43" t="str">
        <f>IFERROR(__xludf.DUMMYFUNCTION("""COMPUTED_VALUE"""),"Morocco")</f>
        <v>Morocco</v>
      </c>
      <c r="H18" s="43" t="str">
        <f>IFERROR(__xludf.DUMMYFUNCTION("""COMPUTED_VALUE"""),"Kenitra")</f>
        <v>Kenitra</v>
      </c>
      <c r="I18" s="43" t="str">
        <f>IFERROR(__xludf.DUMMYFUNCTION("""COMPUTED_VALUE"""),"Turkey")</f>
        <v>Turkey</v>
      </c>
      <c r="J18" s="43" t="str">
        <f>IFERROR(__xludf.DUMMYFUNCTION("""COMPUTED_VALUE"""),"GAZIANTEP")</f>
        <v>GAZIANTEP</v>
      </c>
      <c r="K18" s="44" t="str">
        <f>IFERROR(__xludf.DUMMYFUNCTION("""COMPUTED_VALUE"""),"https://expa.aiesec.org/opportunities/1288705")</f>
        <v>https://expa.aiesec.org/opportunities/1288705</v>
      </c>
      <c r="L18" s="43" t="str">
        <f>IFERROR(__xludf.DUMMYFUNCTION("""COMPUTED_VALUE"""),"GTa")</f>
        <v>GTa</v>
      </c>
      <c r="M18" s="43" t="str">
        <f>IFERROR(__xludf.DUMMYFUNCTION("""COMPUTED_VALUE"""),"long")</f>
        <v>long</v>
      </c>
      <c r="N18" s="45">
        <f>IFERROR(__xludf.DUMMYFUNCTION("""COMPUTED_VALUE"""),44785.0)</f>
        <v>44785</v>
      </c>
      <c r="O18" s="45">
        <f>IFERROR(__xludf.DUMMYFUNCTION("""COMPUTED_VALUE"""),44866.0)</f>
        <v>44866</v>
      </c>
      <c r="P18" s="45">
        <f>IFERROR(__xludf.DUMMYFUNCTION("""COMPUTED_VALUE"""),45231.0)</f>
        <v>45231</v>
      </c>
      <c r="Q18" s="45"/>
      <c r="R18" s="45"/>
      <c r="S18" s="43"/>
      <c r="T18" s="43" t="str">
        <f>IFERROR(__xludf.DUMMYFUNCTION("""COMPUTED_VALUE"""),"Marketing")</f>
        <v>Marketing</v>
      </c>
      <c r="U18" s="43" t="str">
        <f>IFERROR(__xludf.DUMMYFUNCTION("""COMPUTED_VALUE"""),"MARKETING")</f>
        <v>MARKETING</v>
      </c>
      <c r="V18" s="43" t="str">
        <f>IFERROR(__xludf.DUMMYFUNCTION("""COMPUTED_VALUE"""),"Ecole Nationale De Commerce Et De Gestion Kenitra (ENCGK)")</f>
        <v>Ecole Nationale De Commerce Et De Gestion Kenitra (ENCGK)</v>
      </c>
      <c r="W18" s="43" t="str">
        <f>IFERROR(__xludf.DUMMYFUNCTION("""COMPUTED_VALUE"""),"2022-07-19T15:34:02Z")</f>
        <v>2022-07-19T15:34:02Z</v>
      </c>
      <c r="X18" s="43"/>
      <c r="Y18" s="43"/>
      <c r="Z18" s="43"/>
    </row>
    <row r="19" hidden="1">
      <c r="A19" s="43" t="str">
        <f>IFERROR(__xludf.DUMMYFUNCTION("""COMPUTED_VALUE"""),"5085653_1279247")</f>
        <v>5085653_1279247</v>
      </c>
      <c r="B19" s="43" t="str">
        <f>IFERROR(__xludf.DUMMYFUNCTION("""COMPUTED_VALUE"""),"axel offret")</f>
        <v>axel offret</v>
      </c>
      <c r="C19" s="43" t="str">
        <f>IFERROR(__xludf.DUMMYFUNCTION("""COMPUTED_VALUE"""),"finished")</f>
        <v>finished</v>
      </c>
      <c r="D19" s="43" t="str">
        <f>IFERROR(__xludf.DUMMYFUNCTION("""COMPUTED_VALUE"""),"No")</f>
        <v>No</v>
      </c>
      <c r="E19" s="43" t="str">
        <f>IFERROR(__xludf.DUMMYFUNCTION("""COMPUTED_VALUE"""),"p_2160c10a132b4530fad5a5009f095feb460ead2a@inbound.aiesec.org")</f>
        <v>p_2160c10a132b4530fad5a5009f095feb460ead2a@inbound.aiesec.org</v>
      </c>
      <c r="F19" s="43"/>
      <c r="G19" s="43" t="str">
        <f>IFERROR(__xludf.DUMMYFUNCTION("""COMPUTED_VALUE"""),"France")</f>
        <v>France</v>
      </c>
      <c r="H19" s="43" t="str">
        <f>IFERROR(__xludf.DUMMYFUNCTION("""COMPUTED_VALUE"""),"Lyon")</f>
        <v>Lyon</v>
      </c>
      <c r="I19" s="43" t="str">
        <f>IFERROR(__xludf.DUMMYFUNCTION("""COMPUTED_VALUE"""),"Turkey")</f>
        <v>Turkey</v>
      </c>
      <c r="J19" s="43" t="str">
        <f>IFERROR(__xludf.DUMMYFUNCTION("""COMPUTED_VALUE"""),"DENIZLI")</f>
        <v>DENIZLI</v>
      </c>
      <c r="K19" s="44" t="str">
        <f>IFERROR(__xludf.DUMMYFUNCTION("""COMPUTED_VALUE"""),"https://expa.aiesec.org/opportunities/1279247")</f>
        <v>https://expa.aiesec.org/opportunities/1279247</v>
      </c>
      <c r="L19" s="43" t="str">
        <f>IFERROR(__xludf.DUMMYFUNCTION("""COMPUTED_VALUE"""),"GTa")</f>
        <v>GTa</v>
      </c>
      <c r="M19" s="43" t="str">
        <f>IFERROR(__xludf.DUMMYFUNCTION("""COMPUTED_VALUE"""),"medium")</f>
        <v>medium</v>
      </c>
      <c r="N19" s="45">
        <f>IFERROR(__xludf.DUMMYFUNCTION("""COMPUTED_VALUE"""),44785.0)</f>
        <v>44785</v>
      </c>
      <c r="O19" s="45">
        <f>IFERROR(__xludf.DUMMYFUNCTION("""COMPUTED_VALUE"""),44795.0)</f>
        <v>44795</v>
      </c>
      <c r="P19" s="45">
        <f>IFERROR(__xludf.DUMMYFUNCTION("""COMPUTED_VALUE"""),44976.0)</f>
        <v>44976</v>
      </c>
      <c r="Q19" s="45">
        <f>IFERROR(__xludf.DUMMYFUNCTION("""COMPUTED_VALUE"""),44787.0)</f>
        <v>44787</v>
      </c>
      <c r="R19" s="45">
        <f>IFERROR(__xludf.DUMMYFUNCTION("""COMPUTED_VALUE"""),44962.0)</f>
        <v>44962</v>
      </c>
      <c r="S19" s="43"/>
      <c r="T19" s="43" t="str">
        <f>IFERROR(__xludf.DUMMYFUNCTION("""COMPUTED_VALUE"""),"Other")</f>
        <v>Other</v>
      </c>
      <c r="U19" s="43" t="str">
        <f>IFERROR(__xludf.DUMMYFUNCTION("""COMPUTED_VALUE"""),"GAME ARTIST")</f>
        <v>GAME ARTIST</v>
      </c>
      <c r="V19" s="43" t="str">
        <f>IFERROR(__xludf.DUMMYFUNCTION("""COMPUTED_VALUE"""),"Lyon - other University")</f>
        <v>Lyon - other University</v>
      </c>
      <c r="W19" s="43" t="str">
        <f>IFERROR(__xludf.DUMMYFUNCTION("""COMPUTED_VALUE"""),"2022-07-25T10:15:34Z")</f>
        <v>2022-07-25T10:15:34Z</v>
      </c>
      <c r="X19" s="43"/>
      <c r="Y19" s="43"/>
      <c r="Z19" s="43"/>
    </row>
    <row r="20" hidden="1">
      <c r="A20" s="43" t="str">
        <f>IFERROR(__xludf.DUMMYFUNCTION("""COMPUTED_VALUE"""),"5101007_1287490")</f>
        <v>5101007_1287490</v>
      </c>
      <c r="B20" s="43" t="str">
        <f>IFERROR(__xludf.DUMMYFUNCTION("""COMPUTED_VALUE"""),"Fatma Fakhet")</f>
        <v>Fatma Fakhet</v>
      </c>
      <c r="C20" s="43" t="str">
        <f>IFERROR(__xludf.DUMMYFUNCTION("""COMPUTED_VALUE"""),"completed")</f>
        <v>completed</v>
      </c>
      <c r="D20" s="43" t="str">
        <f>IFERROR(__xludf.DUMMYFUNCTION("""COMPUTED_VALUE"""),"No")</f>
        <v>No</v>
      </c>
      <c r="E20" s="43" t="str">
        <f>IFERROR(__xludf.DUMMYFUNCTION("""COMPUTED_VALUE"""),"p_d3569bb50fa34433a99ca9d878e25bad7873fa0c@inbound.aiesec.org")</f>
        <v>p_d3569bb50fa34433a99ca9d878e25bad7873fa0c@inbound.aiesec.org</v>
      </c>
      <c r="F20" s="43">
        <f>IFERROR(__xludf.DUMMYFUNCTION("""COMPUTED_VALUE"""),2.474745E7)</f>
        <v>24747450</v>
      </c>
      <c r="G20" s="43" t="str">
        <f>IFERROR(__xludf.DUMMYFUNCTION("""COMPUTED_VALUE"""),"Tunisia")</f>
        <v>Tunisia</v>
      </c>
      <c r="H20" s="43" t="str">
        <f>IFERROR(__xludf.DUMMYFUNCTION("""COMPUTED_VALUE"""),"HADRUMET")</f>
        <v>HADRUMET</v>
      </c>
      <c r="I20" s="43" t="str">
        <f>IFERROR(__xludf.DUMMYFUNCTION("""COMPUTED_VALUE"""),"Turkey")</f>
        <v>Turkey</v>
      </c>
      <c r="J20" s="43" t="str">
        <f>IFERROR(__xludf.DUMMYFUNCTION("""COMPUTED_VALUE"""),"KOCAELI")</f>
        <v>KOCAELI</v>
      </c>
      <c r="K20" s="44" t="str">
        <f>IFERROR(__xludf.DUMMYFUNCTION("""COMPUTED_VALUE"""),"https://expa.aiesec.org/opportunities/1287490")</f>
        <v>https://expa.aiesec.org/opportunities/1287490</v>
      </c>
      <c r="L20" s="43" t="str">
        <f>IFERROR(__xludf.DUMMYFUNCTION("""COMPUTED_VALUE"""),"GTa")</f>
        <v>GTa</v>
      </c>
      <c r="M20" s="43" t="str">
        <f>IFERROR(__xludf.DUMMYFUNCTION("""COMPUTED_VALUE"""),"long")</f>
        <v>long</v>
      </c>
      <c r="N20" s="45">
        <f>IFERROR(__xludf.DUMMYFUNCTION("""COMPUTED_VALUE"""),44801.0)</f>
        <v>44801</v>
      </c>
      <c r="O20" s="45">
        <f>IFERROR(__xludf.DUMMYFUNCTION("""COMPUTED_VALUE"""),44805.0)</f>
        <v>44805</v>
      </c>
      <c r="P20" s="45">
        <f>IFERROR(__xludf.DUMMYFUNCTION("""COMPUTED_VALUE"""),45170.0)</f>
        <v>45170</v>
      </c>
      <c r="Q20" s="45">
        <f>IFERROR(__xludf.DUMMYFUNCTION("""COMPUTED_VALUE"""),44826.0)</f>
        <v>44826</v>
      </c>
      <c r="R20" s="45">
        <f>IFERROR(__xludf.DUMMYFUNCTION("""COMPUTED_VALUE"""),45188.0)</f>
        <v>45188</v>
      </c>
      <c r="S20" s="43"/>
      <c r="T20" s="43" t="str">
        <f>IFERROR(__xludf.DUMMYFUNCTION("""COMPUTED_VALUE"""),"Business Administration")</f>
        <v>Business Administration</v>
      </c>
      <c r="U20" s="43" t="str">
        <f>IFERROR(__xludf.DUMMYFUNCTION("""COMPUTED_VALUE"""),"Export Sales and Marketing Specialist in Rafex Company")</f>
        <v>Export Sales and Marketing Specialist in Rafex Company</v>
      </c>
      <c r="V20" s="43" t="str">
        <f>IFERROR(__xludf.DUMMYFUNCTION("""COMPUTED_VALUE"""),"Institut supérieur de finances et de fiscalité isff")</f>
        <v>Institut supérieur de finances et de fiscalité isff</v>
      </c>
      <c r="W20" s="43" t="str">
        <f>IFERROR(__xludf.DUMMYFUNCTION("""COMPUTED_VALUE"""),"2022-08-28T10:45:06Z")</f>
        <v>2022-08-28T10:45:06Z</v>
      </c>
      <c r="X20" s="43"/>
      <c r="Y20" s="43"/>
      <c r="Z20" s="43"/>
    </row>
    <row r="21" hidden="1">
      <c r="A21" s="43" t="str">
        <f>IFERROR(__xludf.DUMMYFUNCTION("""COMPUTED_VALUE"""),"4882738_1277443")</f>
        <v>4882738_1277443</v>
      </c>
      <c r="B21" s="43" t="str">
        <f>IFERROR(__xludf.DUMMYFUNCTION("""COMPUTED_VALUE"""),"Billel Kabli")</f>
        <v>Billel Kabli</v>
      </c>
      <c r="C21" s="43" t="str">
        <f>IFERROR(__xludf.DUMMYFUNCTION("""COMPUTED_VALUE"""),"completed")</f>
        <v>completed</v>
      </c>
      <c r="D21" s="43" t="str">
        <f>IFERROR(__xludf.DUMMYFUNCTION("""COMPUTED_VALUE"""),"No")</f>
        <v>No</v>
      </c>
      <c r="E21" s="43" t="str">
        <f>IFERROR(__xludf.DUMMYFUNCTION("""COMPUTED_VALUE"""),"p_37d76d8311ea682cb289393e49f9f899b12b410f@inbound.aiesec.org")</f>
        <v>p_37d76d8311ea682cb289393e49f9f899b12b410f@inbound.aiesec.org</v>
      </c>
      <c r="F21" s="43">
        <f>IFERROR(__xludf.DUMMYFUNCTION("""COMPUTED_VALUE"""),5.55351981E8)</f>
        <v>555351981</v>
      </c>
      <c r="G21" s="43" t="str">
        <f>IFERROR(__xludf.DUMMYFUNCTION("""COMPUTED_VALUE"""),"Ukraine")</f>
        <v>Ukraine</v>
      </c>
      <c r="H21" s="43" t="str">
        <f>IFERROR(__xludf.DUMMYFUNCTION("""COMPUTED_VALUE"""),"IVANO-FRANKIVSK")</f>
        <v>IVANO-FRANKIVSK</v>
      </c>
      <c r="I21" s="43" t="str">
        <f>IFERROR(__xludf.DUMMYFUNCTION("""COMPUTED_VALUE"""),"Turkey")</f>
        <v>Turkey</v>
      </c>
      <c r="J21" s="43" t="str">
        <f>IFERROR(__xludf.DUMMYFUNCTION("""COMPUTED_VALUE"""),"KUTAHYA")</f>
        <v>KUTAHYA</v>
      </c>
      <c r="K21" s="44" t="str">
        <f>IFERROR(__xludf.DUMMYFUNCTION("""COMPUTED_VALUE"""),"https://expa.aiesec.org/opportunities/1277443")</f>
        <v>https://expa.aiesec.org/opportunities/1277443</v>
      </c>
      <c r="L21" s="43" t="str">
        <f>IFERROR(__xludf.DUMMYFUNCTION("""COMPUTED_VALUE"""),"GTa")</f>
        <v>GTa</v>
      </c>
      <c r="M21" s="43" t="str">
        <f>IFERROR(__xludf.DUMMYFUNCTION("""COMPUTED_VALUE"""),"long")</f>
        <v>long</v>
      </c>
      <c r="N21" s="45">
        <f>IFERROR(__xludf.DUMMYFUNCTION("""COMPUTED_VALUE"""),44801.0)</f>
        <v>44801</v>
      </c>
      <c r="O21" s="45">
        <f>IFERROR(__xludf.DUMMYFUNCTION("""COMPUTED_VALUE"""),44802.0)</f>
        <v>44802</v>
      </c>
      <c r="P21" s="45">
        <f>IFERROR(__xludf.DUMMYFUNCTION("""COMPUTED_VALUE"""),44991.0)</f>
        <v>44991</v>
      </c>
      <c r="Q21" s="45">
        <f>IFERROR(__xludf.DUMMYFUNCTION("""COMPUTED_VALUE"""),44864.0)</f>
        <v>44864</v>
      </c>
      <c r="R21" s="45">
        <f>IFERROR(__xludf.DUMMYFUNCTION("""COMPUTED_VALUE"""),44995.0)</f>
        <v>44995</v>
      </c>
      <c r="S21" s="43"/>
      <c r="T21" s="43" t="str">
        <f>IFERROR(__xludf.DUMMYFUNCTION("""COMPUTED_VALUE"""),"Business Development")</f>
        <v>Business Development</v>
      </c>
      <c r="U21" s="43" t="str">
        <f>IFERROR(__xludf.DUMMYFUNCTION("""COMPUTED_VALUE"""),"International Market Expansion")</f>
        <v>International Market Expansion</v>
      </c>
      <c r="V21" s="43" t="str">
        <f>IFERROR(__xludf.DUMMYFUNCTION("""COMPUTED_VALUE"""),"Chernivtsi ")</f>
        <v>Chernivtsi </v>
      </c>
      <c r="W21" s="43" t="str">
        <f>IFERROR(__xludf.DUMMYFUNCTION("""COMPUTED_VALUE"""),"2022-01-15T08:41:40Z")</f>
        <v>2022-01-15T08:41:40Z</v>
      </c>
      <c r="X21" s="43"/>
      <c r="Y21" s="43"/>
      <c r="Z21" s="43"/>
    </row>
    <row r="22" hidden="1">
      <c r="A22" s="43" t="str">
        <f>IFERROR(__xludf.DUMMYFUNCTION("""COMPUTED_VALUE"""),"2477933_1289033")</f>
        <v>2477933_1289033</v>
      </c>
      <c r="B22" s="43" t="str">
        <f>IFERROR(__xludf.DUMMYFUNCTION("""COMPUTED_VALUE"""),"Othmen Aridhi")</f>
        <v>Othmen Aridhi</v>
      </c>
      <c r="C22" s="43" t="str">
        <f>IFERROR(__xludf.DUMMYFUNCTION("""COMPUTED_VALUE"""),"finished")</f>
        <v>finished</v>
      </c>
      <c r="D22" s="43" t="str">
        <f>IFERROR(__xludf.DUMMYFUNCTION("""COMPUTED_VALUE"""),"No")</f>
        <v>No</v>
      </c>
      <c r="E22" s="43" t="str">
        <f>IFERROR(__xludf.DUMMYFUNCTION("""COMPUTED_VALUE"""),"p_2ad7ac46ff4111c2f46fa3c6118afec1f512b881@inbound.aiesec.org")</f>
        <v>p_2ad7ac46ff4111c2f46fa3c6118afec1f512b881@inbound.aiesec.org</v>
      </c>
      <c r="F22" s="43">
        <f>IFERROR(__xludf.DUMMYFUNCTION("""COMPUTED_VALUE"""),2.3623526E7)</f>
        <v>23623526</v>
      </c>
      <c r="G22" s="43" t="str">
        <f>IFERROR(__xludf.DUMMYFUNCTION("""COMPUTED_VALUE"""),"Tunisia")</f>
        <v>Tunisia</v>
      </c>
      <c r="H22" s="43" t="str">
        <f>IFERROR(__xludf.DUMMYFUNCTION("""COMPUTED_VALUE"""),"Bizerte")</f>
        <v>Bizerte</v>
      </c>
      <c r="I22" s="43" t="str">
        <f>IFERROR(__xludf.DUMMYFUNCTION("""COMPUTED_VALUE"""),"Turkey")</f>
        <v>Turkey</v>
      </c>
      <c r="J22" s="43" t="str">
        <f>IFERROR(__xludf.DUMMYFUNCTION("""COMPUTED_VALUE"""),"KONYA")</f>
        <v>KONYA</v>
      </c>
      <c r="K22" s="44" t="str">
        <f>IFERROR(__xludf.DUMMYFUNCTION("""COMPUTED_VALUE"""),"https://expa.aiesec.org/opportunities/1289033")</f>
        <v>https://expa.aiesec.org/opportunities/1289033</v>
      </c>
      <c r="L22" s="43" t="str">
        <f>IFERROR(__xludf.DUMMYFUNCTION("""COMPUTED_VALUE"""),"GTa")</f>
        <v>GTa</v>
      </c>
      <c r="M22" s="43" t="str">
        <f>IFERROR(__xludf.DUMMYFUNCTION("""COMPUTED_VALUE"""),"long")</f>
        <v>long</v>
      </c>
      <c r="N22" s="45">
        <f>IFERROR(__xludf.DUMMYFUNCTION("""COMPUTED_VALUE"""),44802.0)</f>
        <v>44802</v>
      </c>
      <c r="O22" s="45">
        <f>IFERROR(__xludf.DUMMYFUNCTION("""COMPUTED_VALUE"""),44834.0)</f>
        <v>44834</v>
      </c>
      <c r="P22" s="45">
        <f>IFERROR(__xludf.DUMMYFUNCTION("""COMPUTED_VALUE"""),45199.0)</f>
        <v>45199</v>
      </c>
      <c r="Q22" s="45">
        <f>IFERROR(__xludf.DUMMYFUNCTION("""COMPUTED_VALUE"""),44875.0)</f>
        <v>44875</v>
      </c>
      <c r="R22" s="45">
        <f>IFERROR(__xludf.DUMMYFUNCTION("""COMPUTED_VALUE"""),45240.0)</f>
        <v>45240</v>
      </c>
      <c r="S22" s="43"/>
      <c r="T22" s="43" t="str">
        <f>IFERROR(__xludf.DUMMYFUNCTION("""COMPUTED_VALUE"""),"Marketing")</f>
        <v>Marketing</v>
      </c>
      <c r="U22" s="43" t="str">
        <f>IFERROR(__xludf.DUMMYFUNCTION("""COMPUTED_VALUE"""),"Marketing Specialist - French")</f>
        <v>Marketing Specialist - French</v>
      </c>
      <c r="V22" s="43" t="str">
        <f>IFERROR(__xludf.DUMMYFUNCTION("""COMPUTED_VALUE"""),"ISET Bizerte")</f>
        <v>ISET Bizerte</v>
      </c>
      <c r="W22" s="43" t="str">
        <f>IFERROR(__xludf.DUMMYFUNCTION("""COMPUTED_VALUE"""),"2018-08-08T21:14:44Z")</f>
        <v>2018-08-08T21:14:44Z</v>
      </c>
      <c r="X22" s="43"/>
      <c r="Y22" s="43"/>
      <c r="Z22" s="43"/>
    </row>
    <row r="23" hidden="1">
      <c r="A23" s="43" t="str">
        <f>IFERROR(__xludf.DUMMYFUNCTION("""COMPUTED_VALUE"""),"5080813_1288813")</f>
        <v>5080813_1288813</v>
      </c>
      <c r="B23" s="43" t="str">
        <f>IFERROR(__xludf.DUMMYFUNCTION("""COMPUTED_VALUE"""),"Mayar Darwish")</f>
        <v>Mayar Darwish</v>
      </c>
      <c r="C23" s="43" t="str">
        <f>IFERROR(__xludf.DUMMYFUNCTION("""COMPUTED_VALUE"""),"completed")</f>
        <v>completed</v>
      </c>
      <c r="D23" s="43" t="str">
        <f>IFERROR(__xludf.DUMMYFUNCTION("""COMPUTED_VALUE"""),"No")</f>
        <v>No</v>
      </c>
      <c r="E23" s="43" t="str">
        <f>IFERROR(__xludf.DUMMYFUNCTION("""COMPUTED_VALUE"""),"p_a6927947a976949f3071df8ffc9e6288499e15be@inbound.aiesec.org")</f>
        <v>p_a6927947a976949f3071df8ffc9e6288499e15be@inbound.aiesec.org</v>
      </c>
      <c r="F23" s="43">
        <f>IFERROR(__xludf.DUMMYFUNCTION("""COMPUTED_VALUE"""),1.143541755E9)</f>
        <v>1143541755</v>
      </c>
      <c r="G23" s="43" t="str">
        <f>IFERROR(__xludf.DUMMYFUNCTION("""COMPUTED_VALUE"""),"Egypt")</f>
        <v>Egypt</v>
      </c>
      <c r="H23" s="43" t="str">
        <f>IFERROR(__xludf.DUMMYFUNCTION("""COMPUTED_VALUE"""),"Alexandria")</f>
        <v>Alexandria</v>
      </c>
      <c r="I23" s="43" t="str">
        <f>IFERROR(__xludf.DUMMYFUNCTION("""COMPUTED_VALUE"""),"Turkey")</f>
        <v>Turkey</v>
      </c>
      <c r="J23" s="43" t="str">
        <f>IFERROR(__xludf.DUMMYFUNCTION("""COMPUTED_VALUE"""),"ISTANBUL WEST")</f>
        <v>ISTANBUL WEST</v>
      </c>
      <c r="K23" s="44" t="str">
        <f>IFERROR(__xludf.DUMMYFUNCTION("""COMPUTED_VALUE"""),"https://expa.aiesec.org/opportunities/1288813")</f>
        <v>https://expa.aiesec.org/opportunities/1288813</v>
      </c>
      <c r="L23" s="43" t="str">
        <f>IFERROR(__xludf.DUMMYFUNCTION("""COMPUTED_VALUE"""),"GTa")</f>
        <v>GTa</v>
      </c>
      <c r="M23" s="43" t="str">
        <f>IFERROR(__xludf.DUMMYFUNCTION("""COMPUTED_VALUE"""),"long")</f>
        <v>long</v>
      </c>
      <c r="N23" s="45">
        <f>IFERROR(__xludf.DUMMYFUNCTION("""COMPUTED_VALUE"""),44803.0)</f>
        <v>44803</v>
      </c>
      <c r="O23" s="45">
        <f>IFERROR(__xludf.DUMMYFUNCTION("""COMPUTED_VALUE"""),44816.0)</f>
        <v>44816</v>
      </c>
      <c r="P23" s="45">
        <f>IFERROR(__xludf.DUMMYFUNCTION("""COMPUTED_VALUE"""),45180.0)</f>
        <v>45180</v>
      </c>
      <c r="Q23" s="45">
        <f>IFERROR(__xludf.DUMMYFUNCTION("""COMPUTED_VALUE"""),44859.0)</f>
        <v>44859</v>
      </c>
      <c r="R23" s="45">
        <f>IFERROR(__xludf.DUMMYFUNCTION("""COMPUTED_VALUE"""),45223.0)</f>
        <v>45223</v>
      </c>
      <c r="S23" s="43"/>
      <c r="T23" s="43" t="str">
        <f>IFERROR(__xludf.DUMMYFUNCTION("""COMPUTED_VALUE"""),"Marketing")</f>
        <v>Marketing</v>
      </c>
      <c r="U23" s="43" t="str">
        <f>IFERROR(__xludf.DUMMYFUNCTION("""COMPUTED_VALUE"""),"Call Center Customer Representative")</f>
        <v>Call Center Customer Representative</v>
      </c>
      <c r="V23" s="43" t="str">
        <f>IFERROR(__xludf.DUMMYFUNCTION("""COMPUTED_VALUE"""),"Alexandria University")</f>
        <v>Alexandria University</v>
      </c>
      <c r="W23" s="43" t="str">
        <f>IFERROR(__xludf.DUMMYFUNCTION("""COMPUTED_VALUE"""),"2022-07-08T01:38:36Z")</f>
        <v>2022-07-08T01:38:36Z</v>
      </c>
      <c r="X23" s="43"/>
      <c r="Y23" s="43"/>
      <c r="Z23" s="43"/>
    </row>
    <row r="24" hidden="1">
      <c r="A24" s="43" t="str">
        <f>IFERROR(__xludf.DUMMYFUNCTION("""COMPUTED_VALUE"""),"5098635_1286828")</f>
        <v>5098635_1286828</v>
      </c>
      <c r="B24" s="43" t="str">
        <f>IFERROR(__xludf.DUMMYFUNCTION("""COMPUTED_VALUE"""),"Chaima Somai")</f>
        <v>Chaima Somai</v>
      </c>
      <c r="C24" s="43" t="str">
        <f>IFERROR(__xludf.DUMMYFUNCTION("""COMPUTED_VALUE"""),"finished")</f>
        <v>finished</v>
      </c>
      <c r="D24" s="43" t="str">
        <f>IFERROR(__xludf.DUMMYFUNCTION("""COMPUTED_VALUE"""),"No")</f>
        <v>No</v>
      </c>
      <c r="E24" s="43" t="str">
        <f>IFERROR(__xludf.DUMMYFUNCTION("""COMPUTED_VALUE"""),"p_b168ce87410ab47a7294c94e766808faceae0b74@inbound.aiesec.org")</f>
        <v>p_b168ce87410ab47a7294c94e766808faceae0b74@inbound.aiesec.org</v>
      </c>
      <c r="F24" s="43">
        <f>IFERROR(__xludf.DUMMYFUNCTION("""COMPUTED_VALUE"""),5.4539439E7)</f>
        <v>54539439</v>
      </c>
      <c r="G24" s="43" t="str">
        <f>IFERROR(__xludf.DUMMYFUNCTION("""COMPUTED_VALUE"""),"Tunisia")</f>
        <v>Tunisia</v>
      </c>
      <c r="H24" s="43" t="str">
        <f>IFERROR(__xludf.DUMMYFUNCTION("""COMPUTED_VALUE"""),"UNIVERSITY")</f>
        <v>UNIVERSITY</v>
      </c>
      <c r="I24" s="43" t="str">
        <f>IFERROR(__xludf.DUMMYFUNCTION("""COMPUTED_VALUE"""),"Turkey")</f>
        <v>Turkey</v>
      </c>
      <c r="J24" s="43" t="str">
        <f>IFERROR(__xludf.DUMMYFUNCTION("""COMPUTED_VALUE"""),"ISTANBUL")</f>
        <v>ISTANBUL</v>
      </c>
      <c r="K24" s="44" t="str">
        <f>IFERROR(__xludf.DUMMYFUNCTION("""COMPUTED_VALUE"""),"https://expa.aiesec.org/opportunities/1286828")</f>
        <v>https://expa.aiesec.org/opportunities/1286828</v>
      </c>
      <c r="L24" s="43" t="str">
        <f>IFERROR(__xludf.DUMMYFUNCTION("""COMPUTED_VALUE"""),"GTa")</f>
        <v>GTa</v>
      </c>
      <c r="M24" s="43" t="str">
        <f>IFERROR(__xludf.DUMMYFUNCTION("""COMPUTED_VALUE"""),"long")</f>
        <v>long</v>
      </c>
      <c r="N24" s="45">
        <f>IFERROR(__xludf.DUMMYFUNCTION("""COMPUTED_VALUE"""),44804.0)</f>
        <v>44804</v>
      </c>
      <c r="O24" s="45">
        <f>IFERROR(__xludf.DUMMYFUNCTION("""COMPUTED_VALUE"""),44829.0)</f>
        <v>44829</v>
      </c>
      <c r="P24" s="45">
        <f>IFERROR(__xludf.DUMMYFUNCTION("""COMPUTED_VALUE"""),45191.0)</f>
        <v>45191</v>
      </c>
      <c r="Q24" s="45">
        <f>IFERROR(__xludf.DUMMYFUNCTION("""COMPUTED_VALUE"""),44834.0)</f>
        <v>44834</v>
      </c>
      <c r="R24" s="45">
        <f>IFERROR(__xludf.DUMMYFUNCTION("""COMPUTED_VALUE"""),45191.0)</f>
        <v>45191</v>
      </c>
      <c r="S24" s="43"/>
      <c r="T24" s="43" t="str">
        <f>IFERROR(__xludf.DUMMYFUNCTION("""COMPUTED_VALUE"""),"Marketing")</f>
        <v>Marketing</v>
      </c>
      <c r="U24" s="43" t="str">
        <f>IFERROR(__xludf.DUMMYFUNCTION("""COMPUTED_VALUE"""),"Content Creation Intern in Istanbul")</f>
        <v>Content Creation Intern in Istanbul</v>
      </c>
      <c r="V24" s="43" t="str">
        <f>IFERROR(__xludf.DUMMYFUNCTION("""COMPUTED_VALUE"""),"ISI Tunis")</f>
        <v>ISI Tunis</v>
      </c>
      <c r="W24" s="43" t="str">
        <f>IFERROR(__xludf.DUMMYFUNCTION("""COMPUTED_VALUE"""),"2022-08-24T12:42:41Z")</f>
        <v>2022-08-24T12:42:41Z</v>
      </c>
      <c r="X24" s="43"/>
      <c r="Y24" s="43"/>
      <c r="Z24" s="43"/>
    </row>
    <row r="25" hidden="1">
      <c r="A25" s="43" t="str">
        <f>IFERROR(__xludf.DUMMYFUNCTION("""COMPUTED_VALUE"""),"2063275_1288813")</f>
        <v>2063275_1288813</v>
      </c>
      <c r="B25" s="43" t="str">
        <f>IFERROR(__xludf.DUMMYFUNCTION("""COMPUTED_VALUE"""),"Ruba Safwan")</f>
        <v>Ruba Safwan</v>
      </c>
      <c r="C25" s="43" t="str">
        <f>IFERROR(__xludf.DUMMYFUNCTION("""COMPUTED_VALUE"""),"finished")</f>
        <v>finished</v>
      </c>
      <c r="D25" s="43" t="str">
        <f>IFERROR(__xludf.DUMMYFUNCTION("""COMPUTED_VALUE"""),"No")</f>
        <v>No</v>
      </c>
      <c r="E25" s="43" t="str">
        <f>IFERROR(__xludf.DUMMYFUNCTION("""COMPUTED_VALUE"""),"p_47a07bd0a5f08caf8904b2579b1ebf4b9a043664@inbound.aiesec.org")</f>
        <v>p_47a07bd0a5f08caf8904b2579b1ebf4b9a043664@inbound.aiesec.org</v>
      </c>
      <c r="F25" s="43">
        <f>IFERROR(__xludf.DUMMYFUNCTION("""COMPUTED_VALUE"""),1.100234961E9)</f>
        <v>1100234961</v>
      </c>
      <c r="G25" s="43" t="str">
        <f>IFERROR(__xludf.DUMMYFUNCTION("""COMPUTED_VALUE"""),"Egypt")</f>
        <v>Egypt</v>
      </c>
      <c r="H25" s="43" t="str">
        <f>IFERROR(__xludf.DUMMYFUNCTION("""COMPUTED_VALUE"""),"Alexandria")</f>
        <v>Alexandria</v>
      </c>
      <c r="I25" s="43" t="str">
        <f>IFERROR(__xludf.DUMMYFUNCTION("""COMPUTED_VALUE"""),"Turkey")</f>
        <v>Turkey</v>
      </c>
      <c r="J25" s="43" t="str">
        <f>IFERROR(__xludf.DUMMYFUNCTION("""COMPUTED_VALUE"""),"ISTANBUL WEST")</f>
        <v>ISTANBUL WEST</v>
      </c>
      <c r="K25" s="44" t="str">
        <f>IFERROR(__xludf.DUMMYFUNCTION("""COMPUTED_VALUE"""),"https://expa.aiesec.org/opportunities/1288813")</f>
        <v>https://expa.aiesec.org/opportunities/1288813</v>
      </c>
      <c r="L25" s="43" t="str">
        <f>IFERROR(__xludf.DUMMYFUNCTION("""COMPUTED_VALUE"""),"GTa")</f>
        <v>GTa</v>
      </c>
      <c r="M25" s="43" t="str">
        <f>IFERROR(__xludf.DUMMYFUNCTION("""COMPUTED_VALUE"""),"long")</f>
        <v>long</v>
      </c>
      <c r="N25" s="45">
        <f>IFERROR(__xludf.DUMMYFUNCTION("""COMPUTED_VALUE"""),44807.0)</f>
        <v>44807</v>
      </c>
      <c r="O25" s="45">
        <f>IFERROR(__xludf.DUMMYFUNCTION("""COMPUTED_VALUE"""),44816.0)</f>
        <v>44816</v>
      </c>
      <c r="P25" s="45">
        <f>IFERROR(__xludf.DUMMYFUNCTION("""COMPUTED_VALUE"""),45180.0)</f>
        <v>45180</v>
      </c>
      <c r="Q25" s="45">
        <f>IFERROR(__xludf.DUMMYFUNCTION("""COMPUTED_VALUE"""),44860.0)</f>
        <v>44860</v>
      </c>
      <c r="R25" s="45">
        <f>IFERROR(__xludf.DUMMYFUNCTION("""COMPUTED_VALUE"""),45223.0)</f>
        <v>45223</v>
      </c>
      <c r="S25" s="43"/>
      <c r="T25" s="43" t="str">
        <f>IFERROR(__xludf.DUMMYFUNCTION("""COMPUTED_VALUE"""),"Marketing")</f>
        <v>Marketing</v>
      </c>
      <c r="U25" s="43" t="str">
        <f>IFERROR(__xludf.DUMMYFUNCTION("""COMPUTED_VALUE"""),"Call Center Customer Representative")</f>
        <v>Call Center Customer Representative</v>
      </c>
      <c r="V25" s="43" t="str">
        <f>IFERROR(__xludf.DUMMYFUNCTION("""COMPUTED_VALUE"""),"-")</f>
        <v>-</v>
      </c>
      <c r="W25" s="43" t="str">
        <f>IFERROR(__xludf.DUMMYFUNCTION("""COMPUTED_VALUE"""),"2018-02-26T01:58:53Z")</f>
        <v>2018-02-26T01:58:53Z</v>
      </c>
      <c r="X25" s="43"/>
      <c r="Y25" s="43"/>
      <c r="Z25" s="43"/>
    </row>
    <row r="26" hidden="1">
      <c r="A26" s="43" t="str">
        <f>IFERROR(__xludf.DUMMYFUNCTION("""COMPUTED_VALUE"""),"4736833_1288813")</f>
        <v>4736833_1288813</v>
      </c>
      <c r="B26" s="43" t="str">
        <f>IFERROR(__xludf.DUMMYFUNCTION("""COMPUTED_VALUE"""),"Toqqa Abdelaziz")</f>
        <v>Toqqa Abdelaziz</v>
      </c>
      <c r="C26" s="43" t="str">
        <f>IFERROR(__xludf.DUMMYFUNCTION("""COMPUTED_VALUE"""),"completed")</f>
        <v>completed</v>
      </c>
      <c r="D26" s="43" t="str">
        <f>IFERROR(__xludf.DUMMYFUNCTION("""COMPUTED_VALUE"""),"No")</f>
        <v>No</v>
      </c>
      <c r="E26" s="43" t="str">
        <f>IFERROR(__xludf.DUMMYFUNCTION("""COMPUTED_VALUE"""),"p_f4ddeea8eff9aaa40bd580e51449ca58b51d5dd8@inbound.aiesec.org")</f>
        <v>p_f4ddeea8eff9aaa40bd580e51449ca58b51d5dd8@inbound.aiesec.org</v>
      </c>
      <c r="F26" s="43">
        <f>IFERROR(__xludf.DUMMYFUNCTION("""COMPUTED_VALUE"""),1.006891183E9)</f>
        <v>1006891183</v>
      </c>
      <c r="G26" s="43" t="str">
        <f>IFERROR(__xludf.DUMMYFUNCTION("""COMPUTED_VALUE"""),"Egypt")</f>
        <v>Egypt</v>
      </c>
      <c r="H26" s="43" t="str">
        <f>IFERROR(__xludf.DUMMYFUNCTION("""COMPUTED_VALUE"""),"Ain Shams University")</f>
        <v>Ain Shams University</v>
      </c>
      <c r="I26" s="43" t="str">
        <f>IFERROR(__xludf.DUMMYFUNCTION("""COMPUTED_VALUE"""),"Turkey")</f>
        <v>Turkey</v>
      </c>
      <c r="J26" s="43" t="str">
        <f>IFERROR(__xludf.DUMMYFUNCTION("""COMPUTED_VALUE"""),"ISTANBUL WEST")</f>
        <v>ISTANBUL WEST</v>
      </c>
      <c r="K26" s="44" t="str">
        <f>IFERROR(__xludf.DUMMYFUNCTION("""COMPUTED_VALUE"""),"https://expa.aiesec.org/opportunities/1288813")</f>
        <v>https://expa.aiesec.org/opportunities/1288813</v>
      </c>
      <c r="L26" s="43" t="str">
        <f>IFERROR(__xludf.DUMMYFUNCTION("""COMPUTED_VALUE"""),"GTa")</f>
        <v>GTa</v>
      </c>
      <c r="M26" s="43" t="str">
        <f>IFERROR(__xludf.DUMMYFUNCTION("""COMPUTED_VALUE"""),"long")</f>
        <v>long</v>
      </c>
      <c r="N26" s="45">
        <f>IFERROR(__xludf.DUMMYFUNCTION("""COMPUTED_VALUE"""),44808.0)</f>
        <v>44808</v>
      </c>
      <c r="O26" s="45">
        <f>IFERROR(__xludf.DUMMYFUNCTION("""COMPUTED_VALUE"""),44816.0)</f>
        <v>44816</v>
      </c>
      <c r="P26" s="45">
        <f>IFERROR(__xludf.DUMMYFUNCTION("""COMPUTED_VALUE"""),45180.0)</f>
        <v>45180</v>
      </c>
      <c r="Q26" s="45">
        <f>IFERROR(__xludf.DUMMYFUNCTION("""COMPUTED_VALUE"""),44865.0)</f>
        <v>44865</v>
      </c>
      <c r="R26" s="45">
        <f>IFERROR(__xludf.DUMMYFUNCTION("""COMPUTED_VALUE"""),45230.0)</f>
        <v>45230</v>
      </c>
      <c r="S26" s="43"/>
      <c r="T26" s="43" t="str">
        <f>IFERROR(__xludf.DUMMYFUNCTION("""COMPUTED_VALUE"""),"Marketing")</f>
        <v>Marketing</v>
      </c>
      <c r="U26" s="43" t="str">
        <f>IFERROR(__xludf.DUMMYFUNCTION("""COMPUTED_VALUE"""),"Call Center Customer Representative")</f>
        <v>Call Center Customer Representative</v>
      </c>
      <c r="V26" s="43" t="str">
        <f>IFERROR(__xludf.DUMMYFUNCTION("""COMPUTED_VALUE"""),"Ain Shams University")</f>
        <v>Ain Shams University</v>
      </c>
      <c r="W26" s="43" t="str">
        <f>IFERROR(__xludf.DUMMYFUNCTION("""COMPUTED_VALUE"""),"2021-09-14T10:38:26Z")</f>
        <v>2021-09-14T10:38:26Z</v>
      </c>
      <c r="X26" s="43"/>
      <c r="Y26" s="43"/>
      <c r="Z26" s="43"/>
    </row>
    <row r="27" hidden="1">
      <c r="A27" s="43" t="str">
        <f>IFERROR(__xludf.DUMMYFUNCTION("""COMPUTED_VALUE"""),"3825033_1282655")</f>
        <v>3825033_1282655</v>
      </c>
      <c r="B27" s="43" t="str">
        <f>IFERROR(__xludf.DUMMYFUNCTION("""COMPUTED_VALUE"""),"Viviana Herrera")</f>
        <v>Viviana Herrera</v>
      </c>
      <c r="C27" s="43" t="str">
        <f>IFERROR(__xludf.DUMMYFUNCTION("""COMPUTED_VALUE"""),"finished")</f>
        <v>finished</v>
      </c>
      <c r="D27" s="43" t="str">
        <f>IFERROR(__xludf.DUMMYFUNCTION("""COMPUTED_VALUE"""),"No")</f>
        <v>No</v>
      </c>
      <c r="E27" s="43" t="str">
        <f>IFERROR(__xludf.DUMMYFUNCTION("""COMPUTED_VALUE"""),"p_1ad37b0db55405173f2362dbea157ac2517d50ae@inbound.aiesec.org")</f>
        <v>p_1ad37b0db55405173f2362dbea157ac2517d50ae@inbound.aiesec.org</v>
      </c>
      <c r="F27" s="43">
        <f>IFERROR(__xludf.DUMMYFUNCTION("""COMPUTED_VALUE"""),3.182846586E9)</f>
        <v>3182846586</v>
      </c>
      <c r="G27" s="43" t="str">
        <f>IFERROR(__xludf.DUMMYFUNCTION("""COMPUTED_VALUE"""),"Colombia")</f>
        <v>Colombia</v>
      </c>
      <c r="H27" s="43" t="str">
        <f>IFERROR(__xludf.DUMMYFUNCTION("""COMPUTED_VALUE"""),"IBAGUÉ")</f>
        <v>IBAGUÉ</v>
      </c>
      <c r="I27" s="43" t="str">
        <f>IFERROR(__xludf.DUMMYFUNCTION("""COMPUTED_VALUE"""),"Turkey")</f>
        <v>Turkey</v>
      </c>
      <c r="J27" s="43" t="str">
        <f>IFERROR(__xludf.DUMMYFUNCTION("""COMPUTED_VALUE"""),"BURSA")</f>
        <v>BURSA</v>
      </c>
      <c r="K27" s="44" t="str">
        <f>IFERROR(__xludf.DUMMYFUNCTION("""COMPUTED_VALUE"""),"https://expa.aiesec.org/opportunities/1282655")</f>
        <v>https://expa.aiesec.org/opportunities/1282655</v>
      </c>
      <c r="L27" s="43" t="str">
        <f>IFERROR(__xludf.DUMMYFUNCTION("""COMPUTED_VALUE"""),"GTa")</f>
        <v>GTa</v>
      </c>
      <c r="M27" s="43" t="str">
        <f>IFERROR(__xludf.DUMMYFUNCTION("""COMPUTED_VALUE"""),"long")</f>
        <v>long</v>
      </c>
      <c r="N27" s="45">
        <f>IFERROR(__xludf.DUMMYFUNCTION("""COMPUTED_VALUE"""),44812.0)</f>
        <v>44812</v>
      </c>
      <c r="O27" s="45">
        <f>IFERROR(__xludf.DUMMYFUNCTION("""COMPUTED_VALUE"""),44835.0)</f>
        <v>44835</v>
      </c>
      <c r="P27" s="45">
        <f>IFERROR(__xludf.DUMMYFUNCTION("""COMPUTED_VALUE"""),45200.0)</f>
        <v>45200</v>
      </c>
      <c r="Q27" s="45">
        <f>IFERROR(__xludf.DUMMYFUNCTION("""COMPUTED_VALUE"""),44835.0)</f>
        <v>44835</v>
      </c>
      <c r="R27" s="45">
        <f>IFERROR(__xludf.DUMMYFUNCTION("""COMPUTED_VALUE"""),45200.0)</f>
        <v>45200</v>
      </c>
      <c r="S27" s="43"/>
      <c r="T27" s="43" t="str">
        <f>IFERROR(__xludf.DUMMYFUNCTION("""COMPUTED_VALUE"""),"Marketing")</f>
        <v>Marketing</v>
      </c>
      <c r="U27" s="43" t="str">
        <f>IFERROR(__xludf.DUMMYFUNCTION("""COMPUTED_VALUE"""),"International Market Expansion")</f>
        <v>International Market Expansion</v>
      </c>
      <c r="V27" s="43" t="str">
        <f>IFERROR(__xludf.DUMMYFUNCTION("""COMPUTED_VALUE"""),"Ibagué - Universidad de Ibagué")</f>
        <v>Ibagué - Universidad de Ibagué</v>
      </c>
      <c r="W27" s="43" t="str">
        <f>IFERROR(__xludf.DUMMYFUNCTION("""COMPUTED_VALUE"""),"2019-09-09T21:36:00Z")</f>
        <v>2019-09-09T21:36:00Z</v>
      </c>
      <c r="X27" s="43"/>
      <c r="Y27" s="43"/>
      <c r="Z27" s="43"/>
    </row>
    <row r="28" hidden="1">
      <c r="A28" s="43" t="str">
        <f>IFERROR(__xludf.DUMMYFUNCTION("""COMPUTED_VALUE"""),"783413_1288813")</f>
        <v>783413_1288813</v>
      </c>
      <c r="B28" s="43" t="str">
        <f>IFERROR(__xludf.DUMMYFUNCTION("""COMPUTED_VALUE"""),"El Hassan Elorfi")</f>
        <v>El Hassan Elorfi</v>
      </c>
      <c r="C28" s="43" t="str">
        <f>IFERROR(__xludf.DUMMYFUNCTION("""COMPUTED_VALUE"""),"finished")</f>
        <v>finished</v>
      </c>
      <c r="D28" s="43" t="str">
        <f>IFERROR(__xludf.DUMMYFUNCTION("""COMPUTED_VALUE"""),"No")</f>
        <v>No</v>
      </c>
      <c r="E28" s="43" t="str">
        <f>IFERROR(__xludf.DUMMYFUNCTION("""COMPUTED_VALUE"""),"p_46982af01e7f58ccc94e70f30e85f8689ed8a07e@inbound.aiesec.org")</f>
        <v>p_46982af01e7f58ccc94e70f30e85f8689ed8a07e@inbound.aiesec.org</v>
      </c>
      <c r="F28" s="43">
        <f>IFERROR(__xludf.DUMMYFUNCTION("""COMPUTED_VALUE"""),5.54252713E8)</f>
        <v>554252713</v>
      </c>
      <c r="G28" s="43" t="str">
        <f>IFERROR(__xludf.DUMMYFUNCTION("""COMPUTED_VALUE"""),"Algeria")</f>
        <v>Algeria</v>
      </c>
      <c r="H28" s="43" t="str">
        <f>IFERROR(__xludf.DUMMYFUNCTION("""COMPUTED_VALUE"""),"Babez")</f>
        <v>Babez</v>
      </c>
      <c r="I28" s="43" t="str">
        <f>IFERROR(__xludf.DUMMYFUNCTION("""COMPUTED_VALUE"""),"Turkey")</f>
        <v>Turkey</v>
      </c>
      <c r="J28" s="43" t="str">
        <f>IFERROR(__xludf.DUMMYFUNCTION("""COMPUTED_VALUE"""),"ISTANBUL WEST")</f>
        <v>ISTANBUL WEST</v>
      </c>
      <c r="K28" s="44" t="str">
        <f>IFERROR(__xludf.DUMMYFUNCTION("""COMPUTED_VALUE"""),"https://expa.aiesec.org/opportunities/1288813")</f>
        <v>https://expa.aiesec.org/opportunities/1288813</v>
      </c>
      <c r="L28" s="43" t="str">
        <f>IFERROR(__xludf.DUMMYFUNCTION("""COMPUTED_VALUE"""),"GTa")</f>
        <v>GTa</v>
      </c>
      <c r="M28" s="43" t="str">
        <f>IFERROR(__xludf.DUMMYFUNCTION("""COMPUTED_VALUE"""),"long")</f>
        <v>long</v>
      </c>
      <c r="N28" s="45">
        <f>IFERROR(__xludf.DUMMYFUNCTION("""COMPUTED_VALUE"""),44813.0)</f>
        <v>44813</v>
      </c>
      <c r="O28" s="45">
        <f>IFERROR(__xludf.DUMMYFUNCTION("""COMPUTED_VALUE"""),44816.0)</f>
        <v>44816</v>
      </c>
      <c r="P28" s="45">
        <f>IFERROR(__xludf.DUMMYFUNCTION("""COMPUTED_VALUE"""),45180.0)</f>
        <v>45180</v>
      </c>
      <c r="Q28" s="45">
        <f>IFERROR(__xludf.DUMMYFUNCTION("""COMPUTED_VALUE"""),44859.0)</f>
        <v>44859</v>
      </c>
      <c r="R28" s="45">
        <f>IFERROR(__xludf.DUMMYFUNCTION("""COMPUTED_VALUE"""),45223.0)</f>
        <v>45223</v>
      </c>
      <c r="S28" s="43"/>
      <c r="T28" s="43" t="str">
        <f>IFERROR(__xludf.DUMMYFUNCTION("""COMPUTED_VALUE"""),"Marketing")</f>
        <v>Marketing</v>
      </c>
      <c r="U28" s="43" t="str">
        <f>IFERROR(__xludf.DUMMYFUNCTION("""COMPUTED_VALUE"""),"Call Center Customer Representative")</f>
        <v>Call Center Customer Representative</v>
      </c>
      <c r="V28" s="43" t="str">
        <f>IFERROR(__xludf.DUMMYFUNCTION("""COMPUTED_VALUE"""),"-")</f>
        <v>-</v>
      </c>
      <c r="W28" s="43" t="str">
        <f>IFERROR(__xludf.DUMMYFUNCTION("""COMPUTED_VALUE"""),"2015-11-26T06:31:30Z")</f>
        <v>2015-11-26T06:31:30Z</v>
      </c>
      <c r="X28" s="43"/>
      <c r="Y28" s="43"/>
      <c r="Z28" s="43"/>
    </row>
    <row r="29" hidden="1">
      <c r="A29" s="43" t="str">
        <f>IFERROR(__xludf.DUMMYFUNCTION("""COMPUTED_VALUE"""),"5085675_1288813")</f>
        <v>5085675_1288813</v>
      </c>
      <c r="B29" s="43" t="str">
        <f>IFERROR(__xludf.DUMMYFUNCTION("""COMPUTED_VALUE"""),"DOHA HAMRANI")</f>
        <v>DOHA HAMRANI</v>
      </c>
      <c r="C29" s="43" t="str">
        <f>IFERROR(__xludf.DUMMYFUNCTION("""COMPUTED_VALUE"""),"completed")</f>
        <v>completed</v>
      </c>
      <c r="D29" s="43" t="str">
        <f>IFERROR(__xludf.DUMMYFUNCTION("""COMPUTED_VALUE"""),"No")</f>
        <v>No</v>
      </c>
      <c r="E29" s="43" t="str">
        <f>IFERROR(__xludf.DUMMYFUNCTION("""COMPUTED_VALUE"""),"p_14386caff317a5d00b87778d8a68351baf9f99de@inbound.aiesec.org")</f>
        <v>p_14386caff317a5d00b87778d8a68351baf9f99de@inbound.aiesec.org</v>
      </c>
      <c r="F29" s="43">
        <f>IFERROR(__xludf.DUMMYFUNCTION("""COMPUTED_VALUE"""),6.65971871E8)</f>
        <v>665971871</v>
      </c>
      <c r="G29" s="43" t="str">
        <f>IFERROR(__xludf.DUMMYFUNCTION("""COMPUTED_VALUE"""),"Morocco")</f>
        <v>Morocco</v>
      </c>
      <c r="H29" s="43" t="str">
        <f>IFERROR(__xludf.DUMMYFUNCTION("""COMPUTED_VALUE"""),"Casablanca")</f>
        <v>Casablanca</v>
      </c>
      <c r="I29" s="43" t="str">
        <f>IFERROR(__xludf.DUMMYFUNCTION("""COMPUTED_VALUE"""),"Turkey")</f>
        <v>Turkey</v>
      </c>
      <c r="J29" s="43" t="str">
        <f>IFERROR(__xludf.DUMMYFUNCTION("""COMPUTED_VALUE"""),"ISTANBUL WEST")</f>
        <v>ISTANBUL WEST</v>
      </c>
      <c r="K29" s="44" t="str">
        <f>IFERROR(__xludf.DUMMYFUNCTION("""COMPUTED_VALUE"""),"https://expa.aiesec.org/opportunities/1288813")</f>
        <v>https://expa.aiesec.org/opportunities/1288813</v>
      </c>
      <c r="L29" s="43" t="str">
        <f>IFERROR(__xludf.DUMMYFUNCTION("""COMPUTED_VALUE"""),"GTa")</f>
        <v>GTa</v>
      </c>
      <c r="M29" s="43" t="str">
        <f>IFERROR(__xludf.DUMMYFUNCTION("""COMPUTED_VALUE"""),"long")</f>
        <v>long</v>
      </c>
      <c r="N29" s="45">
        <f>IFERROR(__xludf.DUMMYFUNCTION("""COMPUTED_VALUE"""),44814.0)</f>
        <v>44814</v>
      </c>
      <c r="O29" s="45">
        <f>IFERROR(__xludf.DUMMYFUNCTION("""COMPUTED_VALUE"""),44816.0)</f>
        <v>44816</v>
      </c>
      <c r="P29" s="45">
        <f>IFERROR(__xludf.DUMMYFUNCTION("""COMPUTED_VALUE"""),45180.0)</f>
        <v>45180</v>
      </c>
      <c r="Q29" s="45">
        <f>IFERROR(__xludf.DUMMYFUNCTION("""COMPUTED_VALUE"""),44865.0)</f>
        <v>44865</v>
      </c>
      <c r="R29" s="45">
        <f>IFERROR(__xludf.DUMMYFUNCTION("""COMPUTED_VALUE"""),45230.0)</f>
        <v>45230</v>
      </c>
      <c r="S29" s="43"/>
      <c r="T29" s="43" t="str">
        <f>IFERROR(__xludf.DUMMYFUNCTION("""COMPUTED_VALUE"""),"Marketing")</f>
        <v>Marketing</v>
      </c>
      <c r="U29" s="43" t="str">
        <f>IFERROR(__xludf.DUMMYFUNCTION("""COMPUTED_VALUE"""),"Call Center Customer Representative")</f>
        <v>Call Center Customer Representative</v>
      </c>
      <c r="V29" s="43" t="str">
        <f>IFERROR(__xludf.DUMMYFUNCTION("""COMPUTED_VALUE"""),"EST Casablanca")</f>
        <v>EST Casablanca</v>
      </c>
      <c r="W29" s="43" t="str">
        <f>IFERROR(__xludf.DUMMYFUNCTION("""COMPUTED_VALUE"""),"2022-07-25T11:37:24Z")</f>
        <v>2022-07-25T11:37:24Z</v>
      </c>
      <c r="X29" s="43"/>
      <c r="Y29" s="43"/>
      <c r="Z29" s="43"/>
    </row>
    <row r="30" hidden="1">
      <c r="A30" s="43" t="str">
        <f>IFERROR(__xludf.DUMMYFUNCTION("""COMPUTED_VALUE"""),"4773336_1281106")</f>
        <v>4773336_1281106</v>
      </c>
      <c r="B30" s="43" t="str">
        <f>IFERROR(__xludf.DUMMYFUNCTION("""COMPUTED_VALUE"""),"Hadil Moussawi")</f>
        <v>Hadil Moussawi</v>
      </c>
      <c r="C30" s="43" t="str">
        <f>IFERROR(__xludf.DUMMYFUNCTION("""COMPUTED_VALUE"""),"completed")</f>
        <v>completed</v>
      </c>
      <c r="D30" s="43" t="str">
        <f>IFERROR(__xludf.DUMMYFUNCTION("""COMPUTED_VALUE"""),"No")</f>
        <v>No</v>
      </c>
      <c r="E30" s="43" t="str">
        <f>IFERROR(__xludf.DUMMYFUNCTION("""COMPUTED_VALUE"""),"p_75db7bcc8cd0d811523457cead434a1a940c2c7d@inbound.aiesec.org")</f>
        <v>p_75db7bcc8cd0d811523457cead434a1a940c2c7d@inbound.aiesec.org</v>
      </c>
      <c r="F30" s="43"/>
      <c r="G30" s="43" t="str">
        <f>IFERROR(__xludf.DUMMYFUNCTION("""COMPUTED_VALUE"""),"Tunisia")</f>
        <v>Tunisia</v>
      </c>
      <c r="H30" s="43" t="str">
        <f>IFERROR(__xludf.DUMMYFUNCTION("""COMPUTED_VALUE"""),"BARDO")</f>
        <v>BARDO</v>
      </c>
      <c r="I30" s="43" t="str">
        <f>IFERROR(__xludf.DUMMYFUNCTION("""COMPUTED_VALUE"""),"Turkey")</f>
        <v>Turkey</v>
      </c>
      <c r="J30" s="43" t="str">
        <f>IFERROR(__xludf.DUMMYFUNCTION("""COMPUTED_VALUE"""),"DENIZLI")</f>
        <v>DENIZLI</v>
      </c>
      <c r="K30" s="44" t="str">
        <f>IFERROR(__xludf.DUMMYFUNCTION("""COMPUTED_VALUE"""),"https://expa.aiesec.org/opportunities/1281106")</f>
        <v>https://expa.aiesec.org/opportunities/1281106</v>
      </c>
      <c r="L30" s="43" t="str">
        <f>IFERROR(__xludf.DUMMYFUNCTION("""COMPUTED_VALUE"""),"GTa")</f>
        <v>GTa</v>
      </c>
      <c r="M30" s="43" t="str">
        <f>IFERROR(__xludf.DUMMYFUNCTION("""COMPUTED_VALUE"""),"long")</f>
        <v>long</v>
      </c>
      <c r="N30" s="45">
        <f>IFERROR(__xludf.DUMMYFUNCTION("""COMPUTED_VALUE"""),44818.0)</f>
        <v>44818</v>
      </c>
      <c r="O30" s="45">
        <f>IFERROR(__xludf.DUMMYFUNCTION("""COMPUTED_VALUE"""),44827.0)</f>
        <v>44827</v>
      </c>
      <c r="P30" s="45">
        <f>IFERROR(__xludf.DUMMYFUNCTION("""COMPUTED_VALUE"""),45199.0)</f>
        <v>45199</v>
      </c>
      <c r="Q30" s="45">
        <f>IFERROR(__xludf.DUMMYFUNCTION("""COMPUTED_VALUE"""),44825.0)</f>
        <v>44825</v>
      </c>
      <c r="R30" s="45">
        <f>IFERROR(__xludf.DUMMYFUNCTION("""COMPUTED_VALUE"""),45194.0)</f>
        <v>45194</v>
      </c>
      <c r="S30" s="43"/>
      <c r="T30" s="43" t="str">
        <f>IFERROR(__xludf.DUMMYFUNCTION("""COMPUTED_VALUE"""),"Marketing")</f>
        <v>Marketing</v>
      </c>
      <c r="U30" s="43" t="str">
        <f>IFERROR(__xludf.DUMMYFUNCTION("""COMPUTED_VALUE"""),"Marketing Opportunity on Alindair Soğutma Sistemleri")</f>
        <v>Marketing Opportunity on Alindair Soğutma Sistemleri</v>
      </c>
      <c r="V30" s="43" t="str">
        <f>IFERROR(__xludf.DUMMYFUNCTION("""COMPUTED_VALUE"""),"-")</f>
        <v>-</v>
      </c>
      <c r="W30" s="43" t="str">
        <f>IFERROR(__xludf.DUMMYFUNCTION("""COMPUTED_VALUE"""),"2021-10-25T10:50:28Z")</f>
        <v>2021-10-25T10:50:28Z</v>
      </c>
      <c r="X30" s="43"/>
      <c r="Y30" s="43"/>
      <c r="Z30" s="43"/>
    </row>
    <row r="31" hidden="1">
      <c r="A31" s="43" t="str">
        <f>IFERROR(__xludf.DUMMYFUNCTION("""COMPUTED_VALUE"""),"5111932_1289423")</f>
        <v>5111932_1289423</v>
      </c>
      <c r="B31" s="43" t="str">
        <f>IFERROR(__xludf.DUMMYFUNCTION("""COMPUTED_VALUE"""),"Sergio Zgheib")</f>
        <v>Sergio Zgheib</v>
      </c>
      <c r="C31" s="43" t="str">
        <f>IFERROR(__xludf.DUMMYFUNCTION("""COMPUTED_VALUE"""),"completed")</f>
        <v>completed</v>
      </c>
      <c r="D31" s="43" t="str">
        <f>IFERROR(__xludf.DUMMYFUNCTION("""COMPUTED_VALUE"""),"No")</f>
        <v>No</v>
      </c>
      <c r="E31" s="43" t="str">
        <f>IFERROR(__xludf.DUMMYFUNCTION("""COMPUTED_VALUE"""),"p_d0ba1c513f18cea96f312e76e96db126b99539ce@inbound.aiesec.org")</f>
        <v>p_d0ba1c513f18cea96f312e76e96db126b99539ce@inbound.aiesec.org</v>
      </c>
      <c r="F31" s="43">
        <f>IFERROR(__xludf.DUMMYFUNCTION("""COMPUTED_VALUE"""),7.8828001E7)</f>
        <v>78828001</v>
      </c>
      <c r="G31" s="43" t="str">
        <f>IFERROR(__xludf.DUMMYFUNCTION("""COMPUTED_VALUE"""),"Lebanon")</f>
        <v>Lebanon</v>
      </c>
      <c r="H31" s="43" t="str">
        <f>IFERROR(__xludf.DUMMYFUNCTION("""COMPUTED_VALUE"""),"Beirut")</f>
        <v>Beirut</v>
      </c>
      <c r="I31" s="43" t="str">
        <f>IFERROR(__xludf.DUMMYFUNCTION("""COMPUTED_VALUE"""),"Turkey")</f>
        <v>Turkey</v>
      </c>
      <c r="J31" s="43" t="str">
        <f>IFERROR(__xludf.DUMMYFUNCTION("""COMPUTED_VALUE"""),"KOCAELI")</f>
        <v>KOCAELI</v>
      </c>
      <c r="K31" s="44" t="str">
        <f>IFERROR(__xludf.DUMMYFUNCTION("""COMPUTED_VALUE"""),"https://expa.aiesec.org/opportunities/1289423")</f>
        <v>https://expa.aiesec.org/opportunities/1289423</v>
      </c>
      <c r="L31" s="43" t="str">
        <f>IFERROR(__xludf.DUMMYFUNCTION("""COMPUTED_VALUE"""),"GTa")</f>
        <v>GTa</v>
      </c>
      <c r="M31" s="43" t="str">
        <f>IFERROR(__xludf.DUMMYFUNCTION("""COMPUTED_VALUE"""),"medium")</f>
        <v>medium</v>
      </c>
      <c r="N31" s="45">
        <f>IFERROR(__xludf.DUMMYFUNCTION("""COMPUTED_VALUE"""),44820.0)</f>
        <v>44820</v>
      </c>
      <c r="O31" s="45">
        <f>IFERROR(__xludf.DUMMYFUNCTION("""COMPUTED_VALUE"""),44941.0)</f>
        <v>44941</v>
      </c>
      <c r="P31" s="45">
        <f>IFERROR(__xludf.DUMMYFUNCTION("""COMPUTED_VALUE"""),45061.0)</f>
        <v>45061</v>
      </c>
      <c r="Q31" s="45">
        <f>IFERROR(__xludf.DUMMYFUNCTION("""COMPUTED_VALUE"""),44953.0)</f>
        <v>44953</v>
      </c>
      <c r="R31" s="45">
        <f>IFERROR(__xludf.DUMMYFUNCTION("""COMPUTED_VALUE"""),45071.0)</f>
        <v>45071</v>
      </c>
      <c r="S31" s="43"/>
      <c r="T31" s="43" t="str">
        <f>IFERROR(__xludf.DUMMYFUNCTION("""COMPUTED_VALUE"""),"Engineering")</f>
        <v>Engineering</v>
      </c>
      <c r="U31" s="43" t="str">
        <f>IFERROR(__xludf.DUMMYFUNCTION("""COMPUTED_VALUE"""),"Mechanical Engineer in  MARTUR Company(MID)")</f>
        <v>Mechanical Engineer in  MARTUR Company(MID)</v>
      </c>
      <c r="V31" s="43" t="str">
        <f>IFERROR(__xludf.DUMMYFUNCTION("""COMPUTED_VALUE"""),"-")</f>
        <v>-</v>
      </c>
      <c r="W31" s="43" t="str">
        <f>IFERROR(__xludf.DUMMYFUNCTION("""COMPUTED_VALUE"""),"2022-09-14T06:52:57Z")</f>
        <v>2022-09-14T06:52:57Z</v>
      </c>
      <c r="X31" s="43"/>
      <c r="Y31" s="43"/>
      <c r="Z31" s="43"/>
    </row>
    <row r="32">
      <c r="A32" s="43" t="str">
        <f>IFERROR(__xludf.DUMMYFUNCTION("""COMPUTED_VALUE"""),"5098670_1289441")</f>
        <v>5098670_1289441</v>
      </c>
      <c r="B32" s="43" t="str">
        <f>IFERROR(__xludf.DUMMYFUNCTION("""COMPUTED_VALUE"""),"Dariia Pulyk")</f>
        <v>Dariia Pulyk</v>
      </c>
      <c r="C32" s="43" t="str">
        <f>IFERROR(__xludf.DUMMYFUNCTION("""COMPUTED_VALUE"""),"approved")</f>
        <v>approved</v>
      </c>
      <c r="D32" s="43" t="str">
        <f>IFERROR(__xludf.DUMMYFUNCTION("""COMPUTED_VALUE"""),"No")</f>
        <v>No</v>
      </c>
      <c r="E32" s="43" t="str">
        <f>IFERROR(__xludf.DUMMYFUNCTION("""COMPUTED_VALUE"""),"p_dca41fff5ca6457807e58103de3c8590bb1ba167@inbound.aiesec.org")</f>
        <v>p_dca41fff5ca6457807e58103de3c8590bb1ba167@inbound.aiesec.org</v>
      </c>
      <c r="F32" s="43">
        <f>IFERROR(__xludf.DUMMYFUNCTION("""COMPUTED_VALUE"""),9.89920553E8)</f>
        <v>989920553</v>
      </c>
      <c r="G32" s="43" t="str">
        <f>IFERROR(__xludf.DUMMYFUNCTION("""COMPUTED_VALUE"""),"Ukraine")</f>
        <v>Ukraine</v>
      </c>
      <c r="H32" s="43" t="str">
        <f>IFERROR(__xludf.DUMMYFUNCTION("""COMPUTED_VALUE"""),"CHERNIVTSI")</f>
        <v>CHERNIVTSI</v>
      </c>
      <c r="I32" s="43" t="str">
        <f>IFERROR(__xludf.DUMMYFUNCTION("""COMPUTED_VALUE"""),"Turkey")</f>
        <v>Turkey</v>
      </c>
      <c r="J32" s="43" t="str">
        <f>IFERROR(__xludf.DUMMYFUNCTION("""COMPUTED_VALUE"""),"İZMİR")</f>
        <v>İZMİR</v>
      </c>
      <c r="K32" s="44" t="str">
        <f>IFERROR(__xludf.DUMMYFUNCTION("""COMPUTED_VALUE"""),"https://expa.aiesec.org/opportunities/1289441")</f>
        <v>https://expa.aiesec.org/opportunities/1289441</v>
      </c>
      <c r="L32" s="43" t="str">
        <f>IFERROR(__xludf.DUMMYFUNCTION("""COMPUTED_VALUE"""),"GTa")</f>
        <v>GTa</v>
      </c>
      <c r="M32" s="43" t="str">
        <f>IFERROR(__xludf.DUMMYFUNCTION("""COMPUTED_VALUE"""),"short")</f>
        <v>short</v>
      </c>
      <c r="N32" s="45">
        <f>IFERROR(__xludf.DUMMYFUNCTION("""COMPUTED_VALUE"""),44823.0)</f>
        <v>44823</v>
      </c>
      <c r="O32" s="45">
        <f>IFERROR(__xludf.DUMMYFUNCTION("""COMPUTED_VALUE"""),44880.0)</f>
        <v>44880</v>
      </c>
      <c r="P32" s="45">
        <f>IFERROR(__xludf.DUMMYFUNCTION("""COMPUTED_VALUE"""),44941.0)</f>
        <v>44941</v>
      </c>
      <c r="Q32" s="45"/>
      <c r="R32" s="45"/>
      <c r="S32" s="43"/>
      <c r="T32" s="43" t="str">
        <f>IFERROR(__xludf.DUMMYFUNCTION("""COMPUTED_VALUE"""),"Marketing")</f>
        <v>Marketing</v>
      </c>
      <c r="U32" s="43" t="str">
        <f>IFERROR(__xludf.DUMMYFUNCTION("""COMPUTED_VALUE"""),"International Market Expansion in Izmir (Russian/Ukrainian Speaker)")</f>
        <v>International Market Expansion in Izmir (Russian/Ukrainian Speaker)</v>
      </c>
      <c r="V32" s="43" t="str">
        <f>IFERROR(__xludf.DUMMYFUNCTION("""COMPUTED_VALUE"""),"Chernivtsi")</f>
        <v>Chernivtsi</v>
      </c>
      <c r="W32" s="43" t="str">
        <f>IFERROR(__xludf.DUMMYFUNCTION("""COMPUTED_VALUE"""),"2022-08-24T13:47:16Z")</f>
        <v>2022-08-24T13:47:16Z</v>
      </c>
      <c r="X32" s="43"/>
      <c r="Y32" s="43"/>
      <c r="Z32" s="43"/>
    </row>
    <row r="33" hidden="1">
      <c r="A33" s="43" t="str">
        <f>IFERROR(__xludf.DUMMYFUNCTION("""COMPUTED_VALUE"""),"5113822_1289263")</f>
        <v>5113822_1289263</v>
      </c>
      <c r="B33" s="43" t="str">
        <f>IFERROR(__xludf.DUMMYFUNCTION("""COMPUTED_VALUE"""),"mariem mazroui")</f>
        <v>mariem mazroui</v>
      </c>
      <c r="C33" s="43" t="str">
        <f>IFERROR(__xludf.DUMMYFUNCTION("""COMPUTED_VALUE"""),"finished")</f>
        <v>finished</v>
      </c>
      <c r="D33" s="43" t="str">
        <f>IFERROR(__xludf.DUMMYFUNCTION("""COMPUTED_VALUE"""),"No")</f>
        <v>No</v>
      </c>
      <c r="E33" s="43" t="str">
        <f>IFERROR(__xludf.DUMMYFUNCTION("""COMPUTED_VALUE"""),"p_6005b167e3b0229084bcab0ae92f2c69557d8560@inbound.aiesec.org")</f>
        <v>p_6005b167e3b0229084bcab0ae92f2c69557d8560@inbound.aiesec.org</v>
      </c>
      <c r="F33" s="43">
        <f>IFERROR(__xludf.DUMMYFUNCTION("""COMPUTED_VALUE"""),5.5952028E7)</f>
        <v>55952028</v>
      </c>
      <c r="G33" s="43" t="str">
        <f>IFERROR(__xludf.DUMMYFUNCTION("""COMPUTED_VALUE"""),"Tunisia")</f>
        <v>Tunisia</v>
      </c>
      <c r="H33" s="43" t="str">
        <f>IFERROR(__xludf.DUMMYFUNCTION("""COMPUTED_VALUE"""),"HADRUMET")</f>
        <v>HADRUMET</v>
      </c>
      <c r="I33" s="43" t="str">
        <f>IFERROR(__xludf.DUMMYFUNCTION("""COMPUTED_VALUE"""),"Turkey")</f>
        <v>Turkey</v>
      </c>
      <c r="J33" s="43" t="str">
        <f>IFERROR(__xludf.DUMMYFUNCTION("""COMPUTED_VALUE"""),"KONYA")</f>
        <v>KONYA</v>
      </c>
      <c r="K33" s="44" t="str">
        <f>IFERROR(__xludf.DUMMYFUNCTION("""COMPUTED_VALUE"""),"https://expa.aiesec.org/opportunities/1289263")</f>
        <v>https://expa.aiesec.org/opportunities/1289263</v>
      </c>
      <c r="L33" s="43" t="str">
        <f>IFERROR(__xludf.DUMMYFUNCTION("""COMPUTED_VALUE"""),"GTa")</f>
        <v>GTa</v>
      </c>
      <c r="M33" s="43" t="str">
        <f>IFERROR(__xludf.DUMMYFUNCTION("""COMPUTED_VALUE"""),"long")</f>
        <v>long</v>
      </c>
      <c r="N33" s="45">
        <f>IFERROR(__xludf.DUMMYFUNCTION("""COMPUTED_VALUE"""),44830.0)</f>
        <v>44830</v>
      </c>
      <c r="O33" s="45">
        <f>IFERROR(__xludf.DUMMYFUNCTION("""COMPUTED_VALUE"""),44835.0)</f>
        <v>44835</v>
      </c>
      <c r="P33" s="45">
        <f>IFERROR(__xludf.DUMMYFUNCTION("""COMPUTED_VALUE"""),45200.0)</f>
        <v>45200</v>
      </c>
      <c r="Q33" s="45">
        <f>IFERROR(__xludf.DUMMYFUNCTION("""COMPUTED_VALUE"""),44885.0)</f>
        <v>44885</v>
      </c>
      <c r="R33" s="45">
        <f>IFERROR(__xludf.DUMMYFUNCTION("""COMPUTED_VALUE"""),45249.0)</f>
        <v>45249</v>
      </c>
      <c r="S33" s="43"/>
      <c r="T33" s="43" t="str">
        <f>IFERROR(__xludf.DUMMYFUNCTION("""COMPUTED_VALUE"""),"Marketing")</f>
        <v>Marketing</v>
      </c>
      <c r="U33" s="43" t="str">
        <f>IFERROR(__xludf.DUMMYFUNCTION("""COMPUTED_VALUE"""),"Marketing Specialist | Arabic")</f>
        <v>Marketing Specialist | Arabic</v>
      </c>
      <c r="V33" s="43" t="str">
        <f>IFERROR(__xludf.DUMMYFUNCTION("""COMPUTED_VALUE"""),"FSEG Sousse")</f>
        <v>FSEG Sousse</v>
      </c>
      <c r="W33" s="43" t="str">
        <f>IFERROR(__xludf.DUMMYFUNCTION("""COMPUTED_VALUE"""),"2022-09-16T16:24:06Z")</f>
        <v>2022-09-16T16:24:06Z</v>
      </c>
      <c r="X33" s="43"/>
      <c r="Y33" s="43"/>
      <c r="Z33" s="43"/>
    </row>
    <row r="34" hidden="1">
      <c r="A34" s="43" t="str">
        <f>IFERROR(__xludf.DUMMYFUNCTION("""COMPUTED_VALUE"""),"5119349_1288606")</f>
        <v>5119349_1288606</v>
      </c>
      <c r="B34" s="43" t="str">
        <f>IFERROR(__xludf.DUMMYFUNCTION("""COMPUTED_VALUE"""),"Meryem BOUHAFS")</f>
        <v>Meryem BOUHAFS</v>
      </c>
      <c r="C34" s="43" t="str">
        <f>IFERROR(__xludf.DUMMYFUNCTION("""COMPUTED_VALUE"""),"finished")</f>
        <v>finished</v>
      </c>
      <c r="D34" s="43" t="str">
        <f>IFERROR(__xludf.DUMMYFUNCTION("""COMPUTED_VALUE"""),"No")</f>
        <v>No</v>
      </c>
      <c r="E34" s="43" t="str">
        <f>IFERROR(__xludf.DUMMYFUNCTION("""COMPUTED_VALUE"""),"p_4ce2ed81278234bfabc808268b018656b89b784a@inbound.aiesec.org")</f>
        <v>p_4ce2ed81278234bfabc808268b018656b89b784a@inbound.aiesec.org</v>
      </c>
      <c r="F34" s="43">
        <f>IFERROR(__xludf.DUMMYFUNCTION("""COMPUTED_VALUE"""),6.9397409E8)</f>
        <v>693974090</v>
      </c>
      <c r="G34" s="43" t="str">
        <f>IFERROR(__xludf.DUMMYFUNCTION("""COMPUTED_VALUE"""),"Morocco")</f>
        <v>Morocco</v>
      </c>
      <c r="H34" s="43" t="str">
        <f>IFERROR(__xludf.DUMMYFUNCTION("""COMPUTED_VALUE"""),"Tangier")</f>
        <v>Tangier</v>
      </c>
      <c r="I34" s="43" t="str">
        <f>IFERROR(__xludf.DUMMYFUNCTION("""COMPUTED_VALUE"""),"Turkey")</f>
        <v>Turkey</v>
      </c>
      <c r="J34" s="43" t="str">
        <f>IFERROR(__xludf.DUMMYFUNCTION("""COMPUTED_VALUE"""),"ISTANBUL ASIA")</f>
        <v>ISTANBUL ASIA</v>
      </c>
      <c r="K34" s="44" t="str">
        <f>IFERROR(__xludf.DUMMYFUNCTION("""COMPUTED_VALUE"""),"https://expa.aiesec.org/opportunities/1288606")</f>
        <v>https://expa.aiesec.org/opportunities/1288606</v>
      </c>
      <c r="L34" s="43" t="str">
        <f>IFERROR(__xludf.DUMMYFUNCTION("""COMPUTED_VALUE"""),"GTa")</f>
        <v>GTa</v>
      </c>
      <c r="M34" s="43" t="str">
        <f>IFERROR(__xludf.DUMMYFUNCTION("""COMPUTED_VALUE"""),"short")</f>
        <v>short</v>
      </c>
      <c r="N34" s="45">
        <f>IFERROR(__xludf.DUMMYFUNCTION("""COMPUTED_VALUE"""),44832.0)</f>
        <v>44832</v>
      </c>
      <c r="O34" s="45">
        <f>IFERROR(__xludf.DUMMYFUNCTION("""COMPUTED_VALUE"""),44847.0)</f>
        <v>44847</v>
      </c>
      <c r="P34" s="45">
        <f>IFERROR(__xludf.DUMMYFUNCTION("""COMPUTED_VALUE"""),44926.0)</f>
        <v>44926</v>
      </c>
      <c r="Q34" s="45">
        <f>IFERROR(__xludf.DUMMYFUNCTION("""COMPUTED_VALUE"""),44855.0)</f>
        <v>44855</v>
      </c>
      <c r="R34" s="45">
        <f>IFERROR(__xludf.DUMMYFUNCTION("""COMPUTED_VALUE"""),44926.0)</f>
        <v>44926</v>
      </c>
      <c r="S34" s="43"/>
      <c r="T34" s="43" t="str">
        <f>IFERROR(__xludf.DUMMYFUNCTION("""COMPUTED_VALUE"""),"Business Development")</f>
        <v>Business Development</v>
      </c>
      <c r="U34" s="43" t="str">
        <f>IFERROR(__xludf.DUMMYFUNCTION("""COMPUTED_VALUE"""),"Sales Representtive")</f>
        <v>Sales Representtive</v>
      </c>
      <c r="V34" s="43" t="str">
        <f>IFERROR(__xludf.DUMMYFUNCTION("""COMPUTED_VALUE"""),"Ecole Nationale De Commerce Et De Gestion Tanger (ENCGT)")</f>
        <v>Ecole Nationale De Commerce Et De Gestion Tanger (ENCGT)</v>
      </c>
      <c r="W34" s="43" t="str">
        <f>IFERROR(__xludf.DUMMYFUNCTION("""COMPUTED_VALUE"""),"2022-09-25T22:12:35Z")</f>
        <v>2022-09-25T22:12:35Z</v>
      </c>
      <c r="X34" s="43"/>
      <c r="Y34" s="43"/>
      <c r="Z34" s="43"/>
    </row>
    <row r="35" hidden="1">
      <c r="A35" s="43" t="str">
        <f>IFERROR(__xludf.DUMMYFUNCTION("""COMPUTED_VALUE"""),"5106822_1289400")</f>
        <v>5106822_1289400</v>
      </c>
      <c r="B35" s="43" t="str">
        <f>IFERROR(__xludf.DUMMYFUNCTION("""COMPUTED_VALUE"""),"imane eddraate")</f>
        <v>imane eddraate</v>
      </c>
      <c r="C35" s="43" t="str">
        <f>IFERROR(__xludf.DUMMYFUNCTION("""COMPUTED_VALUE"""),"realization_broken")</f>
        <v>realization_broken</v>
      </c>
      <c r="D35" s="43" t="str">
        <f>IFERROR(__xludf.DUMMYFUNCTION("""COMPUTED_VALUE"""),"No")</f>
        <v>No</v>
      </c>
      <c r="E35" s="43" t="str">
        <f>IFERROR(__xludf.DUMMYFUNCTION("""COMPUTED_VALUE"""),"p_d310db5bddf8d1209063ffae2f0d175181c728d2@inbound.aiesec.org")</f>
        <v>p_d310db5bddf8d1209063ffae2f0d175181c728d2@inbound.aiesec.org</v>
      </c>
      <c r="F35" s="43">
        <f>IFERROR(__xludf.DUMMYFUNCTION("""COMPUTED_VALUE"""),6.00552721E8)</f>
        <v>600552721</v>
      </c>
      <c r="G35" s="43" t="str">
        <f>IFERROR(__xludf.DUMMYFUNCTION("""COMPUTED_VALUE"""),"Morocco")</f>
        <v>Morocco</v>
      </c>
      <c r="H35" s="43" t="str">
        <f>IFERROR(__xludf.DUMMYFUNCTION("""COMPUTED_VALUE"""),"Mohammedia")</f>
        <v>Mohammedia</v>
      </c>
      <c r="I35" s="43" t="str">
        <f>IFERROR(__xludf.DUMMYFUNCTION("""COMPUTED_VALUE"""),"Turkey")</f>
        <v>Turkey</v>
      </c>
      <c r="J35" s="43" t="str">
        <f>IFERROR(__xludf.DUMMYFUNCTION("""COMPUTED_VALUE"""),"KOCAELI")</f>
        <v>KOCAELI</v>
      </c>
      <c r="K35" s="44" t="str">
        <f>IFERROR(__xludf.DUMMYFUNCTION("""COMPUTED_VALUE"""),"https://expa.aiesec.org/opportunities/1289400")</f>
        <v>https://expa.aiesec.org/opportunities/1289400</v>
      </c>
      <c r="L35" s="43" t="str">
        <f>IFERROR(__xludf.DUMMYFUNCTION("""COMPUTED_VALUE"""),"GTa")</f>
        <v>GTa</v>
      </c>
      <c r="M35" s="43" t="str">
        <f>IFERROR(__xludf.DUMMYFUNCTION("""COMPUTED_VALUE"""),"long")</f>
        <v>long</v>
      </c>
      <c r="N35" s="45">
        <f>IFERROR(__xludf.DUMMYFUNCTION("""COMPUTED_VALUE"""),44833.0)</f>
        <v>44833</v>
      </c>
      <c r="O35" s="45">
        <f>IFERROR(__xludf.DUMMYFUNCTION("""COMPUTED_VALUE"""),44851.0)</f>
        <v>44851</v>
      </c>
      <c r="P35" s="45">
        <f>IFERROR(__xludf.DUMMYFUNCTION("""COMPUTED_VALUE"""),45216.0)</f>
        <v>45216</v>
      </c>
      <c r="Q35" s="45"/>
      <c r="R35" s="45"/>
      <c r="S35" s="43"/>
      <c r="T35" s="43" t="str">
        <f>IFERROR(__xludf.DUMMYFUNCTION("""COMPUTED_VALUE"""),"Engineering")</f>
        <v>Engineering</v>
      </c>
      <c r="U35" s="43" t="str">
        <f>IFERROR(__xludf.DUMMYFUNCTION("""COMPUTED_VALUE""")," Mechanical Engineering/Chemical Engineering in  UV-Tek Company")</f>
        <v> Mechanical Engineering/Chemical Engineering in  UV-Tek Company</v>
      </c>
      <c r="V35" s="43" t="str">
        <f>IFERROR(__xludf.DUMMYFUNCTION("""COMPUTED_VALUE"""),"Other-MOHAMMEDIA")</f>
        <v>Other-MOHAMMEDIA</v>
      </c>
      <c r="W35" s="43" t="str">
        <f>IFERROR(__xludf.DUMMYFUNCTION("""COMPUTED_VALUE"""),"2022-09-06T15:03:56Z")</f>
        <v>2022-09-06T15:03:56Z</v>
      </c>
      <c r="X35" s="43"/>
      <c r="Y35" s="43"/>
      <c r="Z35" s="43"/>
    </row>
    <row r="36" hidden="1">
      <c r="A36" s="43" t="str">
        <f>IFERROR(__xludf.DUMMYFUNCTION("""COMPUTED_VALUE"""),"5053443_1277549")</f>
        <v>5053443_1277549</v>
      </c>
      <c r="B36" s="43" t="str">
        <f>IFERROR(__xludf.DUMMYFUNCTION("""COMPUTED_VALUE"""),"Abdul Rehman Khan")</f>
        <v>Abdul Rehman Khan</v>
      </c>
      <c r="C36" s="43" t="str">
        <f>IFERROR(__xludf.DUMMYFUNCTION("""COMPUTED_VALUE"""),"completed")</f>
        <v>completed</v>
      </c>
      <c r="D36" s="43" t="str">
        <f>IFERROR(__xludf.DUMMYFUNCTION("""COMPUTED_VALUE"""),"No")</f>
        <v>No</v>
      </c>
      <c r="E36" s="43" t="str">
        <f>IFERROR(__xludf.DUMMYFUNCTION("""COMPUTED_VALUE"""),"p_ccf7684ebfad4946ead68dc9d5c6531e87675f7b@inbound.aiesec.org")</f>
        <v>p_ccf7684ebfad4946ead68dc9d5c6531e87675f7b@inbound.aiesec.org</v>
      </c>
      <c r="F36" s="43">
        <f>IFERROR(__xludf.DUMMYFUNCTION("""COMPUTED_VALUE"""),5.376035843E9)</f>
        <v>5376035843</v>
      </c>
      <c r="G36" s="43" t="str">
        <f>IFERROR(__xludf.DUMMYFUNCTION("""COMPUTED_VALUE"""),"Pakistan")</f>
        <v>Pakistan</v>
      </c>
      <c r="H36" s="43" t="str">
        <f>IFERROR(__xludf.DUMMYFUNCTION("""COMPUTED_VALUE"""),"Karachi")</f>
        <v>Karachi</v>
      </c>
      <c r="I36" s="43" t="str">
        <f>IFERROR(__xludf.DUMMYFUNCTION("""COMPUTED_VALUE"""),"Turkey")</f>
        <v>Turkey</v>
      </c>
      <c r="J36" s="43" t="str">
        <f>IFERROR(__xludf.DUMMYFUNCTION("""COMPUTED_VALUE"""),"KOCAELI")</f>
        <v>KOCAELI</v>
      </c>
      <c r="K36" s="44" t="str">
        <f>IFERROR(__xludf.DUMMYFUNCTION("""COMPUTED_VALUE"""),"https://expa.aiesec.org/opportunities/1277549")</f>
        <v>https://expa.aiesec.org/opportunities/1277549</v>
      </c>
      <c r="L36" s="43" t="str">
        <f>IFERROR(__xludf.DUMMYFUNCTION("""COMPUTED_VALUE"""),"GTa")</f>
        <v>GTa</v>
      </c>
      <c r="M36" s="43" t="str">
        <f>IFERROR(__xludf.DUMMYFUNCTION("""COMPUTED_VALUE"""),"short")</f>
        <v>short</v>
      </c>
      <c r="N36" s="45">
        <f>IFERROR(__xludf.DUMMYFUNCTION("""COMPUTED_VALUE"""),44834.0)</f>
        <v>44834</v>
      </c>
      <c r="O36" s="45">
        <f>IFERROR(__xludf.DUMMYFUNCTION("""COMPUTED_VALUE"""),44861.0)</f>
        <v>44861</v>
      </c>
      <c r="P36" s="45">
        <f>IFERROR(__xludf.DUMMYFUNCTION("""COMPUTED_VALUE"""),44917.0)</f>
        <v>44917</v>
      </c>
      <c r="Q36" s="45">
        <f>IFERROR(__xludf.DUMMYFUNCTION("""COMPUTED_VALUE"""),44875.0)</f>
        <v>44875</v>
      </c>
      <c r="R36" s="45">
        <f>IFERROR(__xludf.DUMMYFUNCTION("""COMPUTED_VALUE"""),44931.0)</f>
        <v>44931</v>
      </c>
      <c r="S36" s="43"/>
      <c r="T36" s="43" t="str">
        <f>IFERROR(__xludf.DUMMYFUNCTION("""COMPUTED_VALUE"""),"Business Development")</f>
        <v>Business Development</v>
      </c>
      <c r="U36" s="43" t="str">
        <f>IFERROR(__xludf.DUMMYFUNCTION("""COMPUTED_VALUE"""),"Marketing/Market Research in LedaPharma Company")</f>
        <v>Marketing/Market Research in LedaPharma Company</v>
      </c>
      <c r="V36" s="43" t="str">
        <f>IFERROR(__xludf.DUMMYFUNCTION("""COMPUTED_VALUE"""),"Karachi - Bahria University ")</f>
        <v>Karachi - Bahria University </v>
      </c>
      <c r="W36" s="43" t="str">
        <f>IFERROR(__xludf.DUMMYFUNCTION("""COMPUTED_VALUE"""),"2022-05-09T10:04:32Z")</f>
        <v>2022-05-09T10:04:32Z</v>
      </c>
      <c r="X36" s="43"/>
      <c r="Y36" s="43"/>
      <c r="Z36" s="43"/>
    </row>
    <row r="37" hidden="1">
      <c r="A37" s="43" t="str">
        <f>IFERROR(__xludf.DUMMYFUNCTION("""COMPUTED_VALUE"""),"1361303_1289424")</f>
        <v>1361303_1289424</v>
      </c>
      <c r="B37" s="43" t="str">
        <f>IFERROR(__xludf.DUMMYFUNCTION("""COMPUTED_VALUE"""),"najat bahloul")</f>
        <v>najat bahloul</v>
      </c>
      <c r="C37" s="43" t="str">
        <f>IFERROR(__xludf.DUMMYFUNCTION("""COMPUTED_VALUE"""),"finished")</f>
        <v>finished</v>
      </c>
      <c r="D37" s="43" t="str">
        <f>IFERROR(__xludf.DUMMYFUNCTION("""COMPUTED_VALUE"""),"No")</f>
        <v>No</v>
      </c>
      <c r="E37" s="43" t="str">
        <f>IFERROR(__xludf.DUMMYFUNCTION("""COMPUTED_VALUE"""),"p_912c7267ed1dfd5e53522780c92511af69276efd@inbound.aiesec.org")</f>
        <v>p_912c7267ed1dfd5e53522780c92511af69276efd@inbound.aiesec.org</v>
      </c>
      <c r="F37" s="43">
        <f>IFERROR(__xludf.DUMMYFUNCTION("""COMPUTED_VALUE"""),6.237406086E9)</f>
        <v>6237406086</v>
      </c>
      <c r="G37" s="43" t="str">
        <f>IFERROR(__xludf.DUMMYFUNCTION("""COMPUTED_VALUE"""),"Morocco")</f>
        <v>Morocco</v>
      </c>
      <c r="H37" s="43" t="str">
        <f>IFERROR(__xludf.DUMMYFUNCTION("""COMPUTED_VALUE"""),"Casablanca")</f>
        <v>Casablanca</v>
      </c>
      <c r="I37" s="43" t="str">
        <f>IFERROR(__xludf.DUMMYFUNCTION("""COMPUTED_VALUE"""),"Turkey")</f>
        <v>Turkey</v>
      </c>
      <c r="J37" s="43" t="str">
        <f>IFERROR(__xludf.DUMMYFUNCTION("""COMPUTED_VALUE"""),"KOCAELI")</f>
        <v>KOCAELI</v>
      </c>
      <c r="K37" s="44" t="str">
        <f>IFERROR(__xludf.DUMMYFUNCTION("""COMPUTED_VALUE"""),"https://expa.aiesec.org/opportunities/1289424")</f>
        <v>https://expa.aiesec.org/opportunities/1289424</v>
      </c>
      <c r="L37" s="43" t="str">
        <f>IFERROR(__xludf.DUMMYFUNCTION("""COMPUTED_VALUE"""),"GTa")</f>
        <v>GTa</v>
      </c>
      <c r="M37" s="43" t="str">
        <f>IFERROR(__xludf.DUMMYFUNCTION("""COMPUTED_VALUE"""),"long")</f>
        <v>long</v>
      </c>
      <c r="N37" s="45">
        <f>IFERROR(__xludf.DUMMYFUNCTION("""COMPUTED_VALUE"""),44834.0)</f>
        <v>44834</v>
      </c>
      <c r="O37" s="45">
        <f>IFERROR(__xludf.DUMMYFUNCTION("""COMPUTED_VALUE"""),44844.0)</f>
        <v>44844</v>
      </c>
      <c r="P37" s="45">
        <f>IFERROR(__xludf.DUMMYFUNCTION("""COMPUTED_VALUE"""),45209.0)</f>
        <v>45209</v>
      </c>
      <c r="Q37" s="45">
        <f>IFERROR(__xludf.DUMMYFUNCTION("""COMPUTED_VALUE"""),44888.0)</f>
        <v>44888</v>
      </c>
      <c r="R37" s="45">
        <f>IFERROR(__xludf.DUMMYFUNCTION("""COMPUTED_VALUE"""),45251.0)</f>
        <v>45251</v>
      </c>
      <c r="S37" s="43"/>
      <c r="T37" s="43" t="str">
        <f>IFERROR(__xludf.DUMMYFUNCTION("""COMPUTED_VALUE"""),"Engineering")</f>
        <v>Engineering</v>
      </c>
      <c r="U37" s="43" t="str">
        <f>IFERROR(__xludf.DUMMYFUNCTION("""COMPUTED_VALUE"""),"Mechanical Engineer in  MARTUR Company(LONG)")</f>
        <v>Mechanical Engineer in  MARTUR Company(LONG)</v>
      </c>
      <c r="V37" s="43" t="str">
        <f>IFERROR(__xludf.DUMMYFUNCTION("""COMPUTED_VALUE"""),"-")</f>
        <v>-</v>
      </c>
      <c r="W37" s="43" t="str">
        <f>IFERROR(__xludf.DUMMYFUNCTION("""COMPUTED_VALUE"""),"2017-02-16T00:22:19Z")</f>
        <v>2017-02-16T00:22:19Z</v>
      </c>
      <c r="X37" s="43"/>
      <c r="Y37" s="43"/>
      <c r="Z37" s="43"/>
    </row>
    <row r="38" hidden="1">
      <c r="A38" s="43" t="str">
        <f>IFERROR(__xludf.DUMMYFUNCTION("""COMPUTED_VALUE"""),"5124355_1289255")</f>
        <v>5124355_1289255</v>
      </c>
      <c r="B38" s="43" t="str">
        <f>IFERROR(__xludf.DUMMYFUNCTION("""COMPUTED_VALUE"""),"BENHAMICHE LYNDA")</f>
        <v>BENHAMICHE LYNDA</v>
      </c>
      <c r="C38" s="43" t="str">
        <f>IFERROR(__xludf.DUMMYFUNCTION("""COMPUTED_VALUE"""),"realized")</f>
        <v>realized</v>
      </c>
      <c r="D38" s="43" t="str">
        <f>IFERROR(__xludf.DUMMYFUNCTION("""COMPUTED_VALUE"""),"No")</f>
        <v>No</v>
      </c>
      <c r="E38" s="43" t="str">
        <f>IFERROR(__xludf.DUMMYFUNCTION("""COMPUTED_VALUE"""),"p_46d02651ea0508c93b5619e91237f7faeeb6b331@inbound.aiesec.org")</f>
        <v>p_46d02651ea0508c93b5619e91237f7faeeb6b331@inbound.aiesec.org</v>
      </c>
      <c r="F38" s="43">
        <f>IFERROR(__xludf.DUMMYFUNCTION("""COMPUTED_VALUE"""),5.57783068E8)</f>
        <v>557783068</v>
      </c>
      <c r="G38" s="43" t="str">
        <f>IFERROR(__xludf.DUMMYFUNCTION("""COMPUTED_VALUE"""),"Algeria")</f>
        <v>Algeria</v>
      </c>
      <c r="H38" s="43" t="str">
        <f>IFERROR(__xludf.DUMMYFUNCTION("""COMPUTED_VALUE"""),"Benak")</f>
        <v>Benak</v>
      </c>
      <c r="I38" s="43" t="str">
        <f>IFERROR(__xludf.DUMMYFUNCTION("""COMPUTED_VALUE"""),"Turkey")</f>
        <v>Turkey</v>
      </c>
      <c r="J38" s="43" t="str">
        <f>IFERROR(__xludf.DUMMYFUNCTION("""COMPUTED_VALUE"""),"ISTANBUL")</f>
        <v>ISTANBUL</v>
      </c>
      <c r="K38" s="44" t="str">
        <f>IFERROR(__xludf.DUMMYFUNCTION("""COMPUTED_VALUE"""),"https://expa.aiesec.org/opportunities/1289255")</f>
        <v>https://expa.aiesec.org/opportunities/1289255</v>
      </c>
      <c r="L38" s="43" t="str">
        <f>IFERROR(__xludf.DUMMYFUNCTION("""COMPUTED_VALUE"""),"GTa")</f>
        <v>GTa</v>
      </c>
      <c r="M38" s="43" t="str">
        <f>IFERROR(__xludf.DUMMYFUNCTION("""COMPUTED_VALUE"""),"long")</f>
        <v>long</v>
      </c>
      <c r="N38" s="45">
        <f>IFERROR(__xludf.DUMMYFUNCTION("""COMPUTED_VALUE"""),44837.0)</f>
        <v>44837</v>
      </c>
      <c r="O38" s="45">
        <f>IFERROR(__xludf.DUMMYFUNCTION("""COMPUTED_VALUE"""),44865.0)</f>
        <v>44865</v>
      </c>
      <c r="P38" s="45">
        <f>IFERROR(__xludf.DUMMYFUNCTION("""COMPUTED_VALUE"""),45401.0)</f>
        <v>45401</v>
      </c>
      <c r="Q38" s="45">
        <f>IFERROR(__xludf.DUMMYFUNCTION("""COMPUTED_VALUE"""),44863.0)</f>
        <v>44863</v>
      </c>
      <c r="R38" s="45">
        <f>IFERROR(__xludf.DUMMYFUNCTION("""COMPUTED_VALUE"""),45401.0)</f>
        <v>45401</v>
      </c>
      <c r="S38" s="43"/>
      <c r="T38" s="43" t="str">
        <f>IFERROR(__xludf.DUMMYFUNCTION("""COMPUTED_VALUE"""),"Business Administration")</f>
        <v>Business Administration</v>
      </c>
      <c r="U38" s="43" t="str">
        <f>IFERROR(__xludf.DUMMYFUNCTION("""COMPUTED_VALUE"""),"Telesales Specialist in Istanbul (French Speaker)")</f>
        <v>Telesales Specialist in Istanbul (French Speaker)</v>
      </c>
      <c r="V38" s="43" t="str">
        <f>IFERROR(__xludf.DUMMYFUNCTION("""COMPUTED_VALUE"""),"AIESEC in Benak")</f>
        <v>AIESEC in Benak</v>
      </c>
      <c r="W38" s="43" t="str">
        <f>IFERROR(__xludf.DUMMYFUNCTION("""COMPUTED_VALUE"""),"2022-10-03T13:51:33Z")</f>
        <v>2022-10-03T13:51:33Z</v>
      </c>
      <c r="X38" s="43"/>
      <c r="Y38" s="43"/>
      <c r="Z38" s="43"/>
    </row>
    <row r="39">
      <c r="A39" s="43" t="str">
        <f>IFERROR(__xludf.DUMMYFUNCTION("""COMPUTED_VALUE"""),"4081388_1289803")</f>
        <v>4081388_1289803</v>
      </c>
      <c r="B39" s="43" t="str">
        <f>IFERROR(__xludf.DUMMYFUNCTION("""COMPUTED_VALUE"""),"Yafa Natour")</f>
        <v>Yafa Natour</v>
      </c>
      <c r="C39" s="43" t="str">
        <f>IFERROR(__xludf.DUMMYFUNCTION("""COMPUTED_VALUE"""),"approved")</f>
        <v>approved</v>
      </c>
      <c r="D39" s="43" t="str">
        <f>IFERROR(__xludf.DUMMYFUNCTION("""COMPUTED_VALUE"""),"No")</f>
        <v>No</v>
      </c>
      <c r="E39" s="43" t="str">
        <f>IFERROR(__xludf.DUMMYFUNCTION("""COMPUTED_VALUE"""),"p_fca74f15b3bb04e40483b0ef52ffc6d5bd176112@inbound.aiesec.org")</f>
        <v>p_fca74f15b3bb04e40483b0ef52ffc6d5bd176112@inbound.aiesec.org</v>
      </c>
      <c r="F39" s="43">
        <f>IFERROR(__xludf.DUMMYFUNCTION("""COMPUTED_VALUE"""),7.97431792E8)</f>
        <v>797431792</v>
      </c>
      <c r="G39" s="43" t="str">
        <f>IFERROR(__xludf.DUMMYFUNCTION("""COMPUTED_VALUE"""),"Jordan")</f>
        <v>Jordan</v>
      </c>
      <c r="H39" s="43" t="str">
        <f>IFERROR(__xludf.DUMMYFUNCTION("""COMPUTED_VALUE"""),"AMMAN")</f>
        <v>AMMAN</v>
      </c>
      <c r="I39" s="43" t="str">
        <f>IFERROR(__xludf.DUMMYFUNCTION("""COMPUTED_VALUE"""),"Turkey")</f>
        <v>Turkey</v>
      </c>
      <c r="J39" s="43" t="str">
        <f>IFERROR(__xludf.DUMMYFUNCTION("""COMPUTED_VALUE"""),"ANKARA")</f>
        <v>ANKARA</v>
      </c>
      <c r="K39" s="44" t="str">
        <f>IFERROR(__xludf.DUMMYFUNCTION("""COMPUTED_VALUE"""),"https://expa.aiesec.org/opportunities/1289803")</f>
        <v>https://expa.aiesec.org/opportunities/1289803</v>
      </c>
      <c r="L39" s="43" t="str">
        <f>IFERROR(__xludf.DUMMYFUNCTION("""COMPUTED_VALUE"""),"GTa")</f>
        <v>GTa</v>
      </c>
      <c r="M39" s="43" t="str">
        <f>IFERROR(__xludf.DUMMYFUNCTION("""COMPUTED_VALUE"""),"medium")</f>
        <v>medium</v>
      </c>
      <c r="N39" s="45">
        <f>IFERROR(__xludf.DUMMYFUNCTION("""COMPUTED_VALUE"""),44837.0)</f>
        <v>44837</v>
      </c>
      <c r="O39" s="45">
        <f>IFERROR(__xludf.DUMMYFUNCTION("""COMPUTED_VALUE"""),44845.0)</f>
        <v>44845</v>
      </c>
      <c r="P39" s="45">
        <f>IFERROR(__xludf.DUMMYFUNCTION("""COMPUTED_VALUE"""),44957.0)</f>
        <v>44957</v>
      </c>
      <c r="Q39" s="45"/>
      <c r="R39" s="45"/>
      <c r="S39" s="43"/>
      <c r="T39" s="43" t="str">
        <f>IFERROR(__xludf.DUMMYFUNCTION("""COMPUTED_VALUE"""),"Business Administration")</f>
        <v>Business Administration</v>
      </c>
      <c r="U39" s="43" t="str">
        <f>IFERROR(__xludf.DUMMYFUNCTION("""COMPUTED_VALUE"""),"Export Manager")</f>
        <v>Export Manager</v>
      </c>
      <c r="V39" s="43" t="str">
        <f>IFERROR(__xludf.DUMMYFUNCTION("""COMPUTED_VALUE"""),"University of Jordan")</f>
        <v>University of Jordan</v>
      </c>
      <c r="W39" s="43" t="str">
        <f>IFERROR(__xludf.DUMMYFUNCTION("""COMPUTED_VALUE"""),"2019-12-08T15:56:36Z")</f>
        <v>2019-12-08T15:56:36Z</v>
      </c>
      <c r="X39" s="43"/>
      <c r="Y39" s="43"/>
      <c r="Z39" s="43"/>
    </row>
    <row r="40" hidden="1">
      <c r="A40" s="43" t="str">
        <f>IFERROR(__xludf.DUMMYFUNCTION("""COMPUTED_VALUE"""),"4958522_1285300")</f>
        <v>4958522_1285300</v>
      </c>
      <c r="B40" s="43" t="str">
        <f>IFERROR(__xludf.DUMMYFUNCTION("""COMPUTED_VALUE"""),"Amel Adjtoutah")</f>
        <v>Amel Adjtoutah</v>
      </c>
      <c r="C40" s="43" t="str">
        <f>IFERROR(__xludf.DUMMYFUNCTION("""COMPUTED_VALUE"""),"finished")</f>
        <v>finished</v>
      </c>
      <c r="D40" s="43" t="str">
        <f>IFERROR(__xludf.DUMMYFUNCTION("""COMPUTED_VALUE"""),"No")</f>
        <v>No</v>
      </c>
      <c r="E40" s="43" t="str">
        <f>IFERROR(__xludf.DUMMYFUNCTION("""COMPUTED_VALUE"""),"p_8e8c01057fdd3d7d17f4e28ffa04bd6ab64ba575@inbound.aiesec.org")</f>
        <v>p_8e8c01057fdd3d7d17f4e28ffa04bd6ab64ba575@inbound.aiesec.org</v>
      </c>
      <c r="F40" s="43">
        <f>IFERROR(__xludf.DUMMYFUNCTION("""COMPUTED_VALUE"""),5.40491376E8)</f>
        <v>540491376</v>
      </c>
      <c r="G40" s="43" t="str">
        <f>IFERROR(__xludf.DUMMYFUNCTION("""COMPUTED_VALUE"""),"Algeria")</f>
        <v>Algeria</v>
      </c>
      <c r="H40" s="43" t="str">
        <f>IFERROR(__xludf.DUMMYFUNCTION("""COMPUTED_VALUE"""),"Oran")</f>
        <v>Oran</v>
      </c>
      <c r="I40" s="43" t="str">
        <f>IFERROR(__xludf.DUMMYFUNCTION("""COMPUTED_VALUE"""),"Turkey")</f>
        <v>Turkey</v>
      </c>
      <c r="J40" s="43" t="str">
        <f>IFERROR(__xludf.DUMMYFUNCTION("""COMPUTED_VALUE"""),"KONYA")</f>
        <v>KONYA</v>
      </c>
      <c r="K40" s="44" t="str">
        <f>IFERROR(__xludf.DUMMYFUNCTION("""COMPUTED_VALUE"""),"https://expa.aiesec.org/opportunities/1285300")</f>
        <v>https://expa.aiesec.org/opportunities/1285300</v>
      </c>
      <c r="L40" s="43" t="str">
        <f>IFERROR(__xludf.DUMMYFUNCTION("""COMPUTED_VALUE"""),"GTa")</f>
        <v>GTa</v>
      </c>
      <c r="M40" s="43" t="str">
        <f>IFERROR(__xludf.DUMMYFUNCTION("""COMPUTED_VALUE"""),"long")</f>
        <v>long</v>
      </c>
      <c r="N40" s="45">
        <f>IFERROR(__xludf.DUMMYFUNCTION("""COMPUTED_VALUE"""),44838.0)</f>
        <v>44838</v>
      </c>
      <c r="O40" s="45">
        <f>IFERROR(__xludf.DUMMYFUNCTION("""COMPUTED_VALUE"""),44865.0)</f>
        <v>44865</v>
      </c>
      <c r="P40" s="45">
        <f>IFERROR(__xludf.DUMMYFUNCTION("""COMPUTED_VALUE"""),45230.0)</f>
        <v>45230</v>
      </c>
      <c r="Q40" s="45">
        <f>IFERROR(__xludf.DUMMYFUNCTION("""COMPUTED_VALUE"""),44865.0)</f>
        <v>44865</v>
      </c>
      <c r="R40" s="45">
        <f>IFERROR(__xludf.DUMMYFUNCTION("""COMPUTED_VALUE"""),45230.0)</f>
        <v>45230</v>
      </c>
      <c r="S40" s="43"/>
      <c r="T40" s="43" t="str">
        <f>IFERROR(__xludf.DUMMYFUNCTION("""COMPUTED_VALUE"""),"Marketing")</f>
        <v>Marketing</v>
      </c>
      <c r="U40" s="43" t="str">
        <f>IFERROR(__xludf.DUMMYFUNCTION("""COMPUTED_VALUE"""),"Marketing Specialish at Kavaklı Plastik")</f>
        <v>Marketing Specialish at Kavaklı Plastik</v>
      </c>
      <c r="V40" s="43" t="str">
        <f>IFERROR(__xludf.DUMMYFUNCTION("""COMPUTED_VALUE"""),"AIESEC in Oran")</f>
        <v>AIESEC in Oran</v>
      </c>
      <c r="W40" s="43" t="str">
        <f>IFERROR(__xludf.DUMMYFUNCTION("""COMPUTED_VALUE"""),"2022-03-02T13:45:47Z")</f>
        <v>2022-03-02T13:45:47Z</v>
      </c>
      <c r="X40" s="43"/>
      <c r="Y40" s="43"/>
      <c r="Z40" s="43"/>
    </row>
    <row r="41" hidden="1">
      <c r="A41" s="43" t="str">
        <f>IFERROR(__xludf.DUMMYFUNCTION("""COMPUTED_VALUE"""),"5125438_1286164")</f>
        <v>5125438_1286164</v>
      </c>
      <c r="B41" s="43" t="str">
        <f>IFERROR(__xludf.DUMMYFUNCTION("""COMPUTED_VALUE"""),"Amani Ghenim")</f>
        <v>Amani Ghenim</v>
      </c>
      <c r="C41" s="43" t="str">
        <f>IFERROR(__xludf.DUMMYFUNCTION("""COMPUTED_VALUE"""),"realization_broken")</f>
        <v>realization_broken</v>
      </c>
      <c r="D41" s="43" t="str">
        <f>IFERROR(__xludf.DUMMYFUNCTION("""COMPUTED_VALUE"""),"No")</f>
        <v>No</v>
      </c>
      <c r="E41" s="43" t="str">
        <f>IFERROR(__xludf.DUMMYFUNCTION("""COMPUTED_VALUE"""),"p_59a05d4b763d19e41f89c1ee92d269c88737b9f9@inbound.aiesec.org")</f>
        <v>p_59a05d4b763d19e41f89c1ee92d269c88737b9f9@inbound.aiesec.org</v>
      </c>
      <c r="F41" s="43">
        <f>IFERROR(__xludf.DUMMYFUNCTION("""COMPUTED_VALUE"""),5.31481227E9)</f>
        <v>5314812270</v>
      </c>
      <c r="G41" s="43" t="str">
        <f>IFERROR(__xludf.DUMMYFUNCTION("""COMPUTED_VALUE"""),"Tunisia")</f>
        <v>Tunisia</v>
      </c>
      <c r="H41" s="43" t="str">
        <f>IFERROR(__xludf.DUMMYFUNCTION("""COMPUTED_VALUE"""),"HADRUMET")</f>
        <v>HADRUMET</v>
      </c>
      <c r="I41" s="43" t="str">
        <f>IFERROR(__xludf.DUMMYFUNCTION("""COMPUTED_VALUE"""),"Turkey")</f>
        <v>Turkey</v>
      </c>
      <c r="J41" s="43" t="str">
        <f>IFERROR(__xludf.DUMMYFUNCTION("""COMPUTED_VALUE"""),"İZMİR")</f>
        <v>İZMİR</v>
      </c>
      <c r="K41" s="44" t="str">
        <f>IFERROR(__xludf.DUMMYFUNCTION("""COMPUTED_VALUE"""),"https://expa.aiesec.org/opportunities/1286164")</f>
        <v>https://expa.aiesec.org/opportunities/1286164</v>
      </c>
      <c r="L41" s="43" t="str">
        <f>IFERROR(__xludf.DUMMYFUNCTION("""COMPUTED_VALUE"""),"GTa")</f>
        <v>GTa</v>
      </c>
      <c r="M41" s="43" t="str">
        <f>IFERROR(__xludf.DUMMYFUNCTION("""COMPUTED_VALUE"""),"long")</f>
        <v>long</v>
      </c>
      <c r="N41" s="45">
        <f>IFERROR(__xludf.DUMMYFUNCTION("""COMPUTED_VALUE"""),44839.0)</f>
        <v>44839</v>
      </c>
      <c r="O41" s="45">
        <f>IFERROR(__xludf.DUMMYFUNCTION("""COMPUTED_VALUE"""),44866.0)</f>
        <v>44866</v>
      </c>
      <c r="P41" s="45">
        <f>IFERROR(__xludf.DUMMYFUNCTION("""COMPUTED_VALUE"""),45231.0)</f>
        <v>45231</v>
      </c>
      <c r="Q41" s="45"/>
      <c r="R41" s="45"/>
      <c r="S41" s="43"/>
      <c r="T41" s="43" t="str">
        <f>IFERROR(__xludf.DUMMYFUNCTION("""COMPUTED_VALUE"""),"Marketing")</f>
        <v>Marketing</v>
      </c>
      <c r="U41" s="43" t="str">
        <f>IFERROR(__xludf.DUMMYFUNCTION("""COMPUTED_VALUE"""),"International Market Expansion for Mechanical Engineers in Izmir")</f>
        <v>International Market Expansion for Mechanical Engineers in Izmir</v>
      </c>
      <c r="V41" s="43" t="str">
        <f>IFERROR(__xludf.DUMMYFUNCTION("""COMPUTED_VALUE"""),"IMSET Sousse")</f>
        <v>IMSET Sousse</v>
      </c>
      <c r="W41" s="43" t="str">
        <f>IFERROR(__xludf.DUMMYFUNCTION("""COMPUTED_VALUE"""),"2022-10-05T08:20:32Z")</f>
        <v>2022-10-05T08:20:32Z</v>
      </c>
      <c r="X41" s="43"/>
      <c r="Y41" s="43"/>
      <c r="Z41" s="43"/>
    </row>
    <row r="42" hidden="1">
      <c r="A42" s="43" t="str">
        <f>IFERROR(__xludf.DUMMYFUNCTION("""COMPUTED_VALUE"""),"1479685_1288813")</f>
        <v>1479685_1288813</v>
      </c>
      <c r="B42" s="43" t="str">
        <f>IFERROR(__xludf.DUMMYFUNCTION("""COMPUTED_VALUE"""),"Nessrine Charfi")</f>
        <v>Nessrine Charfi</v>
      </c>
      <c r="C42" s="43" t="str">
        <f>IFERROR(__xludf.DUMMYFUNCTION("""COMPUTED_VALUE"""),"realized")</f>
        <v>realized</v>
      </c>
      <c r="D42" s="43" t="str">
        <f>IFERROR(__xludf.DUMMYFUNCTION("""COMPUTED_VALUE"""),"No")</f>
        <v>No</v>
      </c>
      <c r="E42" s="43" t="str">
        <f>IFERROR(__xludf.DUMMYFUNCTION("""COMPUTED_VALUE"""),"p_9662959304e31070e454b997525fdc528fc73d1d@inbound.aiesec.org")</f>
        <v>p_9662959304e31070e454b997525fdc528fc73d1d@inbound.aiesec.org</v>
      </c>
      <c r="F42" s="43">
        <f>IFERROR(__xludf.DUMMYFUNCTION("""COMPUTED_VALUE"""),5.4444517E7)</f>
        <v>54444517</v>
      </c>
      <c r="G42" s="43" t="str">
        <f>IFERROR(__xludf.DUMMYFUNCTION("""COMPUTED_VALUE"""),"Tunisia")</f>
        <v>Tunisia</v>
      </c>
      <c r="H42" s="43" t="str">
        <f>IFERROR(__xludf.DUMMYFUNCTION("""COMPUTED_VALUE"""),"Carthage")</f>
        <v>Carthage</v>
      </c>
      <c r="I42" s="43" t="str">
        <f>IFERROR(__xludf.DUMMYFUNCTION("""COMPUTED_VALUE"""),"Turkey")</f>
        <v>Turkey</v>
      </c>
      <c r="J42" s="43" t="str">
        <f>IFERROR(__xludf.DUMMYFUNCTION("""COMPUTED_VALUE"""),"ISTANBUL WEST")</f>
        <v>ISTANBUL WEST</v>
      </c>
      <c r="K42" s="44" t="str">
        <f>IFERROR(__xludf.DUMMYFUNCTION("""COMPUTED_VALUE"""),"https://expa.aiesec.org/opportunities/1288813")</f>
        <v>https://expa.aiesec.org/opportunities/1288813</v>
      </c>
      <c r="L42" s="43" t="str">
        <f>IFERROR(__xludf.DUMMYFUNCTION("""COMPUTED_VALUE"""),"GTa")</f>
        <v>GTa</v>
      </c>
      <c r="M42" s="43" t="str">
        <f>IFERROR(__xludf.DUMMYFUNCTION("""COMPUTED_VALUE"""),"long")</f>
        <v>long</v>
      </c>
      <c r="N42" s="45">
        <f>IFERROR(__xludf.DUMMYFUNCTION("""COMPUTED_VALUE"""),44841.0)</f>
        <v>44841</v>
      </c>
      <c r="O42" s="45">
        <f>IFERROR(__xludf.DUMMYFUNCTION("""COMPUTED_VALUE"""),44872.0)</f>
        <v>44872</v>
      </c>
      <c r="P42" s="45">
        <f>IFERROR(__xludf.DUMMYFUNCTION("""COMPUTED_VALUE"""),45237.0)</f>
        <v>45237</v>
      </c>
      <c r="Q42" s="45">
        <f>IFERROR(__xludf.DUMMYFUNCTION("""COMPUTED_VALUE"""),45016.0)</f>
        <v>45016</v>
      </c>
      <c r="R42" s="45">
        <f>IFERROR(__xludf.DUMMYFUNCTION("""COMPUTED_VALUE"""),45382.0)</f>
        <v>45382</v>
      </c>
      <c r="S42" s="43"/>
      <c r="T42" s="43" t="str">
        <f>IFERROR(__xludf.DUMMYFUNCTION("""COMPUTED_VALUE"""),"Marketing")</f>
        <v>Marketing</v>
      </c>
      <c r="U42" s="43" t="str">
        <f>IFERROR(__xludf.DUMMYFUNCTION("""COMPUTED_VALUE"""),"Call Center Customer Representative")</f>
        <v>Call Center Customer Representative</v>
      </c>
      <c r="V42" s="43" t="str">
        <f>IFERROR(__xludf.DUMMYFUNCTION("""COMPUTED_VALUE"""),"-")</f>
        <v>-</v>
      </c>
      <c r="W42" s="43" t="str">
        <f>IFERROR(__xludf.DUMMYFUNCTION("""COMPUTED_VALUE"""),"2017-04-05T12:23:04Z")</f>
        <v>2017-04-05T12:23:04Z</v>
      </c>
      <c r="X42" s="43"/>
      <c r="Y42" s="43"/>
      <c r="Z42" s="43"/>
    </row>
    <row r="43" hidden="1">
      <c r="A43" s="43" t="str">
        <f>IFERROR(__xludf.DUMMYFUNCTION("""COMPUTED_VALUE"""),"5124572_1289255")</f>
        <v>5124572_1289255</v>
      </c>
      <c r="B43" s="43" t="str">
        <f>IFERROR(__xludf.DUMMYFUNCTION("""COMPUTED_VALUE"""),"Fella Bouskine")</f>
        <v>Fella Bouskine</v>
      </c>
      <c r="C43" s="43" t="str">
        <f>IFERROR(__xludf.DUMMYFUNCTION("""COMPUTED_VALUE"""),"realized")</f>
        <v>realized</v>
      </c>
      <c r="D43" s="43" t="str">
        <f>IFERROR(__xludf.DUMMYFUNCTION("""COMPUTED_VALUE"""),"No")</f>
        <v>No</v>
      </c>
      <c r="E43" s="43" t="str">
        <f>IFERROR(__xludf.DUMMYFUNCTION("""COMPUTED_VALUE"""),"p_cb47456c66a7813d583af23460ca7bc3c4b9429a@inbound.aiesec.org")</f>
        <v>p_cb47456c66a7813d583af23460ca7bc3c4b9429a@inbound.aiesec.org</v>
      </c>
      <c r="F43" s="43">
        <f>IFERROR(__xludf.DUMMYFUNCTION("""COMPUTED_VALUE"""),6.71418363E8)</f>
        <v>671418363</v>
      </c>
      <c r="G43" s="43" t="str">
        <f>IFERROR(__xludf.DUMMYFUNCTION("""COMPUTED_VALUE"""),"Algeria")</f>
        <v>Algeria</v>
      </c>
      <c r="H43" s="43" t="str">
        <f>IFERROR(__xludf.DUMMYFUNCTION("""COMPUTED_VALUE"""),"Babez")</f>
        <v>Babez</v>
      </c>
      <c r="I43" s="43" t="str">
        <f>IFERROR(__xludf.DUMMYFUNCTION("""COMPUTED_VALUE"""),"Turkey")</f>
        <v>Turkey</v>
      </c>
      <c r="J43" s="43" t="str">
        <f>IFERROR(__xludf.DUMMYFUNCTION("""COMPUTED_VALUE"""),"ISTANBUL")</f>
        <v>ISTANBUL</v>
      </c>
      <c r="K43" s="44" t="str">
        <f>IFERROR(__xludf.DUMMYFUNCTION("""COMPUTED_VALUE"""),"https://expa.aiesec.org/opportunities/1289255")</f>
        <v>https://expa.aiesec.org/opportunities/1289255</v>
      </c>
      <c r="L43" s="43" t="str">
        <f>IFERROR(__xludf.DUMMYFUNCTION("""COMPUTED_VALUE"""),"GTa")</f>
        <v>GTa</v>
      </c>
      <c r="M43" s="43" t="str">
        <f>IFERROR(__xludf.DUMMYFUNCTION("""COMPUTED_VALUE"""),"long")</f>
        <v>long</v>
      </c>
      <c r="N43" s="45">
        <f>IFERROR(__xludf.DUMMYFUNCTION("""COMPUTED_VALUE"""),44845.0)</f>
        <v>44845</v>
      </c>
      <c r="O43" s="45">
        <f>IFERROR(__xludf.DUMMYFUNCTION("""COMPUTED_VALUE"""),44865.0)</f>
        <v>44865</v>
      </c>
      <c r="P43" s="45">
        <f>IFERROR(__xludf.DUMMYFUNCTION("""COMPUTED_VALUE"""),45401.0)</f>
        <v>45401</v>
      </c>
      <c r="Q43" s="45">
        <f>IFERROR(__xludf.DUMMYFUNCTION("""COMPUTED_VALUE"""),44863.0)</f>
        <v>44863</v>
      </c>
      <c r="R43" s="45">
        <f>IFERROR(__xludf.DUMMYFUNCTION("""COMPUTED_VALUE"""),45401.0)</f>
        <v>45401</v>
      </c>
      <c r="S43" s="43"/>
      <c r="T43" s="43" t="str">
        <f>IFERROR(__xludf.DUMMYFUNCTION("""COMPUTED_VALUE"""),"Business Administration")</f>
        <v>Business Administration</v>
      </c>
      <c r="U43" s="43" t="str">
        <f>IFERROR(__xludf.DUMMYFUNCTION("""COMPUTED_VALUE"""),"Telesales Specialist in Istanbul (French Speaker)")</f>
        <v>Telesales Specialist in Istanbul (French Speaker)</v>
      </c>
      <c r="V43" s="43" t="str">
        <f>IFERROR(__xludf.DUMMYFUNCTION("""COMPUTED_VALUE"""),"AIESEC in Babez")</f>
        <v>AIESEC in Babez</v>
      </c>
      <c r="W43" s="43" t="str">
        <f>IFERROR(__xludf.DUMMYFUNCTION("""COMPUTED_VALUE"""),"2022-10-03T19:24:42Z")</f>
        <v>2022-10-03T19:24:42Z</v>
      </c>
      <c r="X43" s="43"/>
      <c r="Y43" s="43"/>
      <c r="Z43" s="43"/>
    </row>
    <row r="44" hidden="1">
      <c r="A44" s="43" t="str">
        <f>IFERROR(__xludf.DUMMYFUNCTION("""COMPUTED_VALUE"""),"2999671_1289437")</f>
        <v>2999671_1289437</v>
      </c>
      <c r="B44" s="43" t="str">
        <f>IFERROR(__xludf.DUMMYFUNCTION("""COMPUTED_VALUE"""),"Ilham Es-sabaoui")</f>
        <v>Ilham Es-sabaoui</v>
      </c>
      <c r="C44" s="43" t="str">
        <f>IFERROR(__xludf.DUMMYFUNCTION("""COMPUTED_VALUE"""),"realization_broken")</f>
        <v>realization_broken</v>
      </c>
      <c r="D44" s="43" t="str">
        <f>IFERROR(__xludf.DUMMYFUNCTION("""COMPUTED_VALUE"""),"No")</f>
        <v>No</v>
      </c>
      <c r="E44" s="43" t="str">
        <f>IFERROR(__xludf.DUMMYFUNCTION("""COMPUTED_VALUE"""),"p_c98f13399d9d9c2dbef7e3a8e5e46583ed32e911@inbound.aiesec.org")</f>
        <v>p_c98f13399d9d9c2dbef7e3a8e5e46583ed32e911@inbound.aiesec.org</v>
      </c>
      <c r="F44" s="43">
        <f>IFERROR(__xludf.DUMMYFUNCTION("""COMPUTED_VALUE"""),6.29257387E8)</f>
        <v>629257387</v>
      </c>
      <c r="G44" s="43" t="str">
        <f>IFERROR(__xludf.DUMMYFUNCTION("""COMPUTED_VALUE"""),"Morocco")</f>
        <v>Morocco</v>
      </c>
      <c r="H44" s="43" t="str">
        <f>IFERROR(__xludf.DUMMYFUNCTION("""COMPUTED_VALUE"""),"Morocco (MC)")</f>
        <v>Morocco (MC)</v>
      </c>
      <c r="I44" s="43" t="str">
        <f>IFERROR(__xludf.DUMMYFUNCTION("""COMPUTED_VALUE"""),"Turkey")</f>
        <v>Turkey</v>
      </c>
      <c r="J44" s="43" t="str">
        <f>IFERROR(__xludf.DUMMYFUNCTION("""COMPUTED_VALUE"""),"ADANA")</f>
        <v>ADANA</v>
      </c>
      <c r="K44" s="44" t="str">
        <f>IFERROR(__xludf.DUMMYFUNCTION("""COMPUTED_VALUE"""),"https://expa.aiesec.org/opportunities/1289437")</f>
        <v>https://expa.aiesec.org/opportunities/1289437</v>
      </c>
      <c r="L44" s="43" t="str">
        <f>IFERROR(__xludf.DUMMYFUNCTION("""COMPUTED_VALUE"""),"GTa")</f>
        <v>GTa</v>
      </c>
      <c r="M44" s="43" t="str">
        <f>IFERROR(__xludf.DUMMYFUNCTION("""COMPUTED_VALUE"""),"long")</f>
        <v>long</v>
      </c>
      <c r="N44" s="45">
        <f>IFERROR(__xludf.DUMMYFUNCTION("""COMPUTED_VALUE"""),44845.0)</f>
        <v>44845</v>
      </c>
      <c r="O44" s="45">
        <f>IFERROR(__xludf.DUMMYFUNCTION("""COMPUTED_VALUE"""),44858.0)</f>
        <v>44858</v>
      </c>
      <c r="P44" s="45">
        <f>IFERROR(__xludf.DUMMYFUNCTION("""COMPUTED_VALUE"""),45226.0)</f>
        <v>45226</v>
      </c>
      <c r="Q44" s="45"/>
      <c r="R44" s="45"/>
      <c r="S44" s="43"/>
      <c r="T44" s="43" t="str">
        <f>IFERROR(__xludf.DUMMYFUNCTION("""COMPUTED_VALUE"""),"Marketing")</f>
        <v>Marketing</v>
      </c>
      <c r="U44" s="43" t="str">
        <f>IFERROR(__xludf.DUMMYFUNCTION("""COMPUTED_VALUE"""),"Marketing | Osmak")</f>
        <v>Marketing | Osmak</v>
      </c>
      <c r="V44" s="43" t="str">
        <f>IFERROR(__xludf.DUMMYFUNCTION("""COMPUTED_VALUE"""),"Other-MARRAKECH")</f>
        <v>Other-MARRAKECH</v>
      </c>
      <c r="W44" s="43" t="str">
        <f>IFERROR(__xludf.DUMMYFUNCTION("""COMPUTED_VALUE"""),"2019-01-01T12:44:20Z")</f>
        <v>2019-01-01T12:44:20Z</v>
      </c>
      <c r="X44" s="43"/>
      <c r="Y44" s="43"/>
      <c r="Z44" s="43"/>
    </row>
    <row r="45" hidden="1">
      <c r="A45" s="43" t="str">
        <f>IFERROR(__xludf.DUMMYFUNCTION("""COMPUTED_VALUE"""),"5087690_1287083")</f>
        <v>5087690_1287083</v>
      </c>
      <c r="B45" s="43" t="str">
        <f>IFERROR(__xludf.DUMMYFUNCTION("""COMPUTED_VALUE"""),"Oumaima Elabbadi")</f>
        <v>Oumaima Elabbadi</v>
      </c>
      <c r="C45" s="43" t="str">
        <f>IFERROR(__xludf.DUMMYFUNCTION("""COMPUTED_VALUE"""),"finished")</f>
        <v>finished</v>
      </c>
      <c r="D45" s="43" t="str">
        <f>IFERROR(__xludf.DUMMYFUNCTION("""COMPUTED_VALUE"""),"No")</f>
        <v>No</v>
      </c>
      <c r="E45" s="43" t="str">
        <f>IFERROR(__xludf.DUMMYFUNCTION("""COMPUTED_VALUE"""),"p_4586c16a6540e156b3c751c31d74f377ef1261da@inbound.aiesec.org")</f>
        <v>p_4586c16a6540e156b3c751c31d74f377ef1261da@inbound.aiesec.org</v>
      </c>
      <c r="F45" s="43">
        <f>IFERROR(__xludf.DUMMYFUNCTION("""COMPUTED_VALUE"""),6.34450127E8)</f>
        <v>634450127</v>
      </c>
      <c r="G45" s="43" t="str">
        <f>IFERROR(__xludf.DUMMYFUNCTION("""COMPUTED_VALUE"""),"Morocco")</f>
        <v>Morocco</v>
      </c>
      <c r="H45" s="43" t="str">
        <f>IFERROR(__xludf.DUMMYFUNCTION("""COMPUTED_VALUE"""),"Agadir")</f>
        <v>Agadir</v>
      </c>
      <c r="I45" s="43" t="str">
        <f>IFERROR(__xludf.DUMMYFUNCTION("""COMPUTED_VALUE"""),"Turkey")</f>
        <v>Turkey</v>
      </c>
      <c r="J45" s="43" t="str">
        <f>IFERROR(__xludf.DUMMYFUNCTION("""COMPUTED_VALUE"""),"GAZIANTEP")</f>
        <v>GAZIANTEP</v>
      </c>
      <c r="K45" s="44" t="str">
        <f>IFERROR(__xludf.DUMMYFUNCTION("""COMPUTED_VALUE"""),"https://expa.aiesec.org/opportunities/1287083")</f>
        <v>https://expa.aiesec.org/opportunities/1287083</v>
      </c>
      <c r="L45" s="43" t="str">
        <f>IFERROR(__xludf.DUMMYFUNCTION("""COMPUTED_VALUE"""),"GTa")</f>
        <v>GTa</v>
      </c>
      <c r="M45" s="43" t="str">
        <f>IFERROR(__xludf.DUMMYFUNCTION("""COMPUTED_VALUE"""),"long")</f>
        <v>long</v>
      </c>
      <c r="N45" s="45">
        <f>IFERROR(__xludf.DUMMYFUNCTION("""COMPUTED_VALUE"""),44845.0)</f>
        <v>44845</v>
      </c>
      <c r="O45" s="45">
        <f>IFERROR(__xludf.DUMMYFUNCTION("""COMPUTED_VALUE"""),44835.0)</f>
        <v>44835</v>
      </c>
      <c r="P45" s="45">
        <f>IFERROR(__xludf.DUMMYFUNCTION("""COMPUTED_VALUE"""),45200.0)</f>
        <v>45200</v>
      </c>
      <c r="Q45" s="45">
        <f>IFERROR(__xludf.DUMMYFUNCTION("""COMPUTED_VALUE"""),44853.0)</f>
        <v>44853</v>
      </c>
      <c r="R45" s="45">
        <f>IFERROR(__xludf.DUMMYFUNCTION("""COMPUTED_VALUE"""),45218.0)</f>
        <v>45218</v>
      </c>
      <c r="S45" s="43"/>
      <c r="T45" s="43" t="str">
        <f>IFERROR(__xludf.DUMMYFUNCTION("""COMPUTED_VALUE"""),"Marketing")</f>
        <v>Marketing</v>
      </c>
      <c r="U45" s="43" t="str">
        <f>IFERROR(__xludf.DUMMYFUNCTION("""COMPUTED_VALUE"""),"Marketing&amp;Sales")</f>
        <v>Marketing&amp;Sales</v>
      </c>
      <c r="V45" s="43" t="str">
        <f>IFERROR(__xludf.DUMMYFUNCTION("""COMPUTED_VALUE"""),"Ecole Nationale De Commerce Et De Gestion Agadir (ENCGA)")</f>
        <v>Ecole Nationale De Commerce Et De Gestion Agadir (ENCGA)</v>
      </c>
      <c r="W45" s="43" t="str">
        <f>IFERROR(__xludf.DUMMYFUNCTION("""COMPUTED_VALUE"""),"2022-07-31T21:28:13Z")</f>
        <v>2022-07-31T21:28:13Z</v>
      </c>
      <c r="X45" s="43"/>
      <c r="Y45" s="43"/>
      <c r="Z45" s="43"/>
    </row>
    <row r="46" hidden="1">
      <c r="A46" s="43" t="str">
        <f>IFERROR(__xludf.DUMMYFUNCTION("""COMPUTED_VALUE"""),"4514247_1277549")</f>
        <v>4514247_1277549</v>
      </c>
      <c r="B46" s="43" t="str">
        <f>IFERROR(__xludf.DUMMYFUNCTION("""COMPUTED_VALUE"""),"Aruzhan Ilanbay")</f>
        <v>Aruzhan Ilanbay</v>
      </c>
      <c r="C46" s="43" t="str">
        <f>IFERROR(__xludf.DUMMYFUNCTION("""COMPUTED_VALUE"""),"completed")</f>
        <v>completed</v>
      </c>
      <c r="D46" s="43" t="str">
        <f>IFERROR(__xludf.DUMMYFUNCTION("""COMPUTED_VALUE"""),"No")</f>
        <v>No</v>
      </c>
      <c r="E46" s="43" t="str">
        <f>IFERROR(__xludf.DUMMYFUNCTION("""COMPUTED_VALUE"""),"p_c4b1606dff3409f36bea89e9a0f2640f66ed1833@inbound.aiesec.org")</f>
        <v>p_c4b1606dff3409f36bea89e9a0f2640f66ed1833@inbound.aiesec.org</v>
      </c>
      <c r="F46" s="43">
        <f>IFERROR(__xludf.DUMMYFUNCTION("""COMPUTED_VALUE"""),7.755725232E9)</f>
        <v>7755725232</v>
      </c>
      <c r="G46" s="43" t="str">
        <f>IFERROR(__xludf.DUMMYFUNCTION("""COMPUTED_VALUE"""),"Kazakhstan")</f>
        <v>Kazakhstan</v>
      </c>
      <c r="H46" s="43" t="str">
        <f>IFERROR(__xludf.DUMMYFUNCTION("""COMPUTED_VALUE"""),"Astana")</f>
        <v>Astana</v>
      </c>
      <c r="I46" s="43" t="str">
        <f>IFERROR(__xludf.DUMMYFUNCTION("""COMPUTED_VALUE"""),"Turkey")</f>
        <v>Turkey</v>
      </c>
      <c r="J46" s="43" t="str">
        <f>IFERROR(__xludf.DUMMYFUNCTION("""COMPUTED_VALUE"""),"KOCAELI")</f>
        <v>KOCAELI</v>
      </c>
      <c r="K46" s="44" t="str">
        <f>IFERROR(__xludf.DUMMYFUNCTION("""COMPUTED_VALUE"""),"https://expa.aiesec.org/opportunities/1277549")</f>
        <v>https://expa.aiesec.org/opportunities/1277549</v>
      </c>
      <c r="L46" s="43" t="str">
        <f>IFERROR(__xludf.DUMMYFUNCTION("""COMPUTED_VALUE"""),"GTa")</f>
        <v>GTa</v>
      </c>
      <c r="M46" s="43" t="str">
        <f>IFERROR(__xludf.DUMMYFUNCTION("""COMPUTED_VALUE"""),"short")</f>
        <v>short</v>
      </c>
      <c r="N46" s="45">
        <f>IFERROR(__xludf.DUMMYFUNCTION("""COMPUTED_VALUE"""),44846.0)</f>
        <v>44846</v>
      </c>
      <c r="O46" s="45">
        <f>IFERROR(__xludf.DUMMYFUNCTION("""COMPUTED_VALUE"""),44861.0)</f>
        <v>44861</v>
      </c>
      <c r="P46" s="45">
        <f>IFERROR(__xludf.DUMMYFUNCTION("""COMPUTED_VALUE"""),44917.0)</f>
        <v>44917</v>
      </c>
      <c r="Q46" s="45">
        <f>IFERROR(__xludf.DUMMYFUNCTION("""COMPUTED_VALUE"""),44902.0)</f>
        <v>44902</v>
      </c>
      <c r="R46" s="45">
        <f>IFERROR(__xludf.DUMMYFUNCTION("""COMPUTED_VALUE"""),44958.0)</f>
        <v>44958</v>
      </c>
      <c r="S46" s="43"/>
      <c r="T46" s="43" t="str">
        <f>IFERROR(__xludf.DUMMYFUNCTION("""COMPUTED_VALUE"""),"Business Development")</f>
        <v>Business Development</v>
      </c>
      <c r="U46" s="43" t="str">
        <f>IFERROR(__xludf.DUMMYFUNCTION("""COMPUTED_VALUE"""),"Marketing/Market Research in LedaPharma Company")</f>
        <v>Marketing/Market Research in LedaPharma Company</v>
      </c>
      <c r="V46" s="43" t="str">
        <f>IFERROR(__xludf.DUMMYFUNCTION("""COMPUTED_VALUE"""),"Taraz")</f>
        <v>Taraz</v>
      </c>
      <c r="W46" s="43" t="str">
        <f>IFERROR(__xludf.DUMMYFUNCTION("""COMPUTED_VALUE"""),"2021-01-11T05:45:09Z")</f>
        <v>2021-01-11T05:45:09Z</v>
      </c>
      <c r="X46" s="43"/>
      <c r="Y46" s="43"/>
      <c r="Z46" s="43"/>
    </row>
    <row r="47" hidden="1">
      <c r="A47" s="43" t="str">
        <f>IFERROR(__xludf.DUMMYFUNCTION("""COMPUTED_VALUE"""),"5127214_1281105")</f>
        <v>5127214_1281105</v>
      </c>
      <c r="B47" s="43" t="str">
        <f>IFERROR(__xludf.DUMMYFUNCTION("""COMPUTED_VALUE"""),"Sarah Araújo")</f>
        <v>Sarah Araújo</v>
      </c>
      <c r="C47" s="43" t="str">
        <f>IFERROR(__xludf.DUMMYFUNCTION("""COMPUTED_VALUE"""),"realization_broken")</f>
        <v>realization_broken</v>
      </c>
      <c r="D47" s="43" t="str">
        <f>IFERROR(__xludf.DUMMYFUNCTION("""COMPUTED_VALUE"""),"No")</f>
        <v>No</v>
      </c>
      <c r="E47" s="43" t="str">
        <f>IFERROR(__xludf.DUMMYFUNCTION("""COMPUTED_VALUE"""),"p_e990f54fcea3d55b7d52517d8ae2c31c8e16f8ff@inbound.aiesec.org")</f>
        <v>p_e990f54fcea3d55b7d52517d8ae2c31c8e16f8ff@inbound.aiesec.org</v>
      </c>
      <c r="F47" s="43"/>
      <c r="G47" s="43" t="str">
        <f>IFERROR(__xludf.DUMMYFUNCTION("""COMPUTED_VALUE"""),"Brazil")</f>
        <v>Brazil</v>
      </c>
      <c r="H47" s="43" t="str">
        <f>IFERROR(__xludf.DUMMYFUNCTION("""COMPUTED_VALUE"""),"BELO HORIZONTE ")</f>
        <v>BELO HORIZONTE </v>
      </c>
      <c r="I47" s="43" t="str">
        <f>IFERROR(__xludf.DUMMYFUNCTION("""COMPUTED_VALUE"""),"Turkey")</f>
        <v>Turkey</v>
      </c>
      <c r="J47" s="43" t="str">
        <f>IFERROR(__xludf.DUMMYFUNCTION("""COMPUTED_VALUE"""),"DENIZLI")</f>
        <v>DENIZLI</v>
      </c>
      <c r="K47" s="44" t="str">
        <f>IFERROR(__xludf.DUMMYFUNCTION("""COMPUTED_VALUE"""),"https://expa.aiesec.org/opportunities/1281105")</f>
        <v>https://expa.aiesec.org/opportunities/1281105</v>
      </c>
      <c r="L47" s="43" t="str">
        <f>IFERROR(__xludf.DUMMYFUNCTION("""COMPUTED_VALUE"""),"GTa")</f>
        <v>GTa</v>
      </c>
      <c r="M47" s="43" t="str">
        <f>IFERROR(__xludf.DUMMYFUNCTION("""COMPUTED_VALUE"""),"long")</f>
        <v>long</v>
      </c>
      <c r="N47" s="45">
        <f>IFERROR(__xludf.DUMMYFUNCTION("""COMPUTED_VALUE"""),44847.0)</f>
        <v>44847</v>
      </c>
      <c r="O47" s="45">
        <f>IFERROR(__xludf.DUMMYFUNCTION("""COMPUTED_VALUE"""),44858.0)</f>
        <v>44858</v>
      </c>
      <c r="P47" s="45">
        <f>IFERROR(__xludf.DUMMYFUNCTION("""COMPUTED_VALUE"""),45209.0)</f>
        <v>45209</v>
      </c>
      <c r="Q47" s="45"/>
      <c r="R47" s="45"/>
      <c r="S47" s="43"/>
      <c r="T47" s="43" t="str">
        <f>IFERROR(__xludf.DUMMYFUNCTION("""COMPUTED_VALUE"""),"Marketing")</f>
        <v>Marketing</v>
      </c>
      <c r="U47" s="43" t="str">
        <f>IFERROR(__xludf.DUMMYFUNCTION("""COMPUTED_VALUE"""),"Marketing Opportunıty on Alindair Soğutma Sistemleri")</f>
        <v>Marketing Opportunıty on Alindair Soğutma Sistemleri</v>
      </c>
      <c r="V47" s="43" t="str">
        <f>IFERROR(__xludf.DUMMYFUNCTION("""COMPUTED_VALUE"""),"-")</f>
        <v>-</v>
      </c>
      <c r="W47" s="43" t="str">
        <f>IFERROR(__xludf.DUMMYFUNCTION("""COMPUTED_VALUE"""),"2022-10-07T15:04:59Z")</f>
        <v>2022-10-07T15:04:59Z</v>
      </c>
      <c r="X47" s="43"/>
      <c r="Y47" s="43"/>
      <c r="Z47" s="43"/>
    </row>
    <row r="48" hidden="1">
      <c r="A48" s="43" t="str">
        <f>IFERROR(__xludf.DUMMYFUNCTION("""COMPUTED_VALUE"""),"5136023_1280310")</f>
        <v>5136023_1280310</v>
      </c>
      <c r="B48" s="43" t="str">
        <f>IFERROR(__xludf.DUMMYFUNCTION("""COMPUTED_VALUE"""),"Ait Messaoud Abdelwahab")</f>
        <v>Ait Messaoud Abdelwahab</v>
      </c>
      <c r="C48" s="43" t="str">
        <f>IFERROR(__xludf.DUMMYFUNCTION("""COMPUTED_VALUE"""),"finished")</f>
        <v>finished</v>
      </c>
      <c r="D48" s="43" t="str">
        <f>IFERROR(__xludf.DUMMYFUNCTION("""COMPUTED_VALUE"""),"No")</f>
        <v>No</v>
      </c>
      <c r="E48" s="43" t="str">
        <f>IFERROR(__xludf.DUMMYFUNCTION("""COMPUTED_VALUE"""),"p_7fe666e913b4449c4a04c1e3073ffc36c17faf01@inbound.aiesec.org")</f>
        <v>p_7fe666e913b4449c4a04c1e3073ffc36c17faf01@inbound.aiesec.org</v>
      </c>
      <c r="F48" s="43">
        <f>IFERROR(__xludf.DUMMYFUNCTION("""COMPUTED_VALUE"""),7.72128543E8)</f>
        <v>772128543</v>
      </c>
      <c r="G48" s="43" t="str">
        <f>IFERROR(__xludf.DUMMYFUNCTION("""COMPUTED_VALUE"""),"Morocco")</f>
        <v>Morocco</v>
      </c>
      <c r="H48" s="43" t="str">
        <f>IFERROR(__xludf.DUMMYFUNCTION("""COMPUTED_VALUE"""),"Agadir")</f>
        <v>Agadir</v>
      </c>
      <c r="I48" s="43" t="str">
        <f>IFERROR(__xludf.DUMMYFUNCTION("""COMPUTED_VALUE"""),"Turkey")</f>
        <v>Turkey</v>
      </c>
      <c r="J48" s="43" t="str">
        <f>IFERROR(__xludf.DUMMYFUNCTION("""COMPUTED_VALUE"""),"ISTANBUL")</f>
        <v>ISTANBUL</v>
      </c>
      <c r="K48" s="44" t="str">
        <f>IFERROR(__xludf.DUMMYFUNCTION("""COMPUTED_VALUE"""),"https://expa.aiesec.org/opportunities/1280310")</f>
        <v>https://expa.aiesec.org/opportunities/1280310</v>
      </c>
      <c r="L48" s="43" t="str">
        <f>IFERROR(__xludf.DUMMYFUNCTION("""COMPUTED_VALUE"""),"GTa")</f>
        <v>GTa</v>
      </c>
      <c r="M48" s="43" t="str">
        <f>IFERROR(__xludf.DUMMYFUNCTION("""COMPUTED_VALUE"""),"long")</f>
        <v>long</v>
      </c>
      <c r="N48" s="45">
        <f>IFERROR(__xludf.DUMMYFUNCTION("""COMPUTED_VALUE"""),44853.0)</f>
        <v>44853</v>
      </c>
      <c r="O48" s="45">
        <f>IFERROR(__xludf.DUMMYFUNCTION("""COMPUTED_VALUE"""),44874.0)</f>
        <v>44874</v>
      </c>
      <c r="P48" s="45">
        <f>IFERROR(__xludf.DUMMYFUNCTION("""COMPUTED_VALUE"""),45239.0)</f>
        <v>45239</v>
      </c>
      <c r="Q48" s="45">
        <f>IFERROR(__xludf.DUMMYFUNCTION("""COMPUTED_VALUE"""),44915.0)</f>
        <v>44915</v>
      </c>
      <c r="R48" s="45">
        <f>IFERROR(__xludf.DUMMYFUNCTION("""COMPUTED_VALUE"""),45280.0)</f>
        <v>45280</v>
      </c>
      <c r="S48" s="43"/>
      <c r="T48" s="43" t="str">
        <f>IFERROR(__xludf.DUMMYFUNCTION("""COMPUTED_VALUE"""),"Marketing")</f>
        <v>Marketing</v>
      </c>
      <c r="U48" s="43" t="str">
        <f>IFERROR(__xludf.DUMMYFUNCTION("""COMPUTED_VALUE"""),"Content writer / Copywriter (Duplicated)")</f>
        <v>Content writer / Copywriter (Duplicated)</v>
      </c>
      <c r="V48" s="43" t="str">
        <f>IFERROR(__xludf.DUMMYFUNCTION("""COMPUTED_VALUE"""),"Ecole Nationale De Commerce Et De Gestion Agadir (ENCGA)")</f>
        <v>Ecole Nationale De Commerce Et De Gestion Agadir (ENCGA)</v>
      </c>
      <c r="W48" s="43" t="str">
        <f>IFERROR(__xludf.DUMMYFUNCTION("""COMPUTED_VALUE"""),"2022-10-18T16:03:54Z")</f>
        <v>2022-10-18T16:03:54Z</v>
      </c>
      <c r="X48" s="43"/>
      <c r="Y48" s="43"/>
      <c r="Z48" s="43"/>
    </row>
    <row r="49">
      <c r="A49" s="43" t="str">
        <f>IFERROR(__xludf.DUMMYFUNCTION("""COMPUTED_VALUE"""),"4368449_1286821")</f>
        <v>4368449_1286821</v>
      </c>
      <c r="B49" s="43" t="str">
        <f>IFERROR(__xludf.DUMMYFUNCTION("""COMPUTED_VALUE"""),"Zahra'a Selmy")</f>
        <v>Zahra'a Selmy</v>
      </c>
      <c r="C49" s="43" t="str">
        <f>IFERROR(__xludf.DUMMYFUNCTION("""COMPUTED_VALUE"""),"approved")</f>
        <v>approved</v>
      </c>
      <c r="D49" s="43" t="str">
        <f>IFERROR(__xludf.DUMMYFUNCTION("""COMPUTED_VALUE"""),"No")</f>
        <v>No</v>
      </c>
      <c r="E49" s="43" t="str">
        <f>IFERROR(__xludf.DUMMYFUNCTION("""COMPUTED_VALUE"""),"p_bf83c50d44251386659ceb81623e81df2ca3cf7b@inbound.aiesec.org")</f>
        <v>p_bf83c50d44251386659ceb81623e81df2ca3cf7b@inbound.aiesec.org</v>
      </c>
      <c r="F49" s="43"/>
      <c r="G49" s="43" t="str">
        <f>IFERROR(__xludf.DUMMYFUNCTION("""COMPUTED_VALUE"""),"Tunisia")</f>
        <v>Tunisia</v>
      </c>
      <c r="H49" s="43" t="str">
        <f>IFERROR(__xludf.DUMMYFUNCTION("""COMPUTED_VALUE"""),"UNIVERSITY")</f>
        <v>UNIVERSITY</v>
      </c>
      <c r="I49" s="43" t="str">
        <f>IFERROR(__xludf.DUMMYFUNCTION("""COMPUTED_VALUE"""),"Turkey")</f>
        <v>Turkey</v>
      </c>
      <c r="J49" s="43" t="str">
        <f>IFERROR(__xludf.DUMMYFUNCTION("""COMPUTED_VALUE"""),"ISTANBUL ASIA")</f>
        <v>ISTANBUL ASIA</v>
      </c>
      <c r="K49" s="44" t="str">
        <f>IFERROR(__xludf.DUMMYFUNCTION("""COMPUTED_VALUE"""),"https://expa.aiesec.org/opportunities/1286821")</f>
        <v>https://expa.aiesec.org/opportunities/1286821</v>
      </c>
      <c r="L49" s="43" t="str">
        <f>IFERROR(__xludf.DUMMYFUNCTION("""COMPUTED_VALUE"""),"GTa")</f>
        <v>GTa</v>
      </c>
      <c r="M49" s="43" t="str">
        <f>IFERROR(__xludf.DUMMYFUNCTION("""COMPUTED_VALUE"""),"short")</f>
        <v>short</v>
      </c>
      <c r="N49" s="45">
        <f>IFERROR(__xludf.DUMMYFUNCTION("""COMPUTED_VALUE"""),44855.0)</f>
        <v>44855</v>
      </c>
      <c r="O49" s="45">
        <f>IFERROR(__xludf.DUMMYFUNCTION("""COMPUTED_VALUE"""),44928.0)</f>
        <v>44928</v>
      </c>
      <c r="P49" s="45">
        <f>IFERROR(__xludf.DUMMYFUNCTION("""COMPUTED_VALUE"""),45011.0)</f>
        <v>45011</v>
      </c>
      <c r="Q49" s="45"/>
      <c r="R49" s="45"/>
      <c r="S49" s="43"/>
      <c r="T49" s="43" t="str">
        <f>IFERROR(__xludf.DUMMYFUNCTION("""COMPUTED_VALUE"""),"Business Development")</f>
        <v>Business Development</v>
      </c>
      <c r="U49" s="43" t="str">
        <f>IFERROR(__xludf.DUMMYFUNCTION("""COMPUTED_VALUE"""),"International Relationship Director")</f>
        <v>International Relationship Director</v>
      </c>
      <c r="V49" s="43" t="str">
        <f>IFERROR(__xludf.DUMMYFUNCTION("""COMPUTED_VALUE"""),"-")</f>
        <v>-</v>
      </c>
      <c r="W49" s="43" t="str">
        <f>IFERROR(__xludf.DUMMYFUNCTION("""COMPUTED_VALUE"""),"2020-09-14T15:03:21Z")</f>
        <v>2020-09-14T15:03:21Z</v>
      </c>
      <c r="X49" s="43"/>
      <c r="Y49" s="43"/>
      <c r="Z49" s="43"/>
    </row>
    <row r="50" hidden="1">
      <c r="A50" s="43" t="str">
        <f>IFERROR(__xludf.DUMMYFUNCTION("""COMPUTED_VALUE"""),"5018439_1279548")</f>
        <v>5018439_1279548</v>
      </c>
      <c r="B50" s="43" t="str">
        <f>IFERROR(__xludf.DUMMYFUNCTION("""COMPUTED_VALUE"""),"Selim Souissi")</f>
        <v>Selim Souissi</v>
      </c>
      <c r="C50" s="43" t="str">
        <f>IFERROR(__xludf.DUMMYFUNCTION("""COMPUTED_VALUE"""),"finished")</f>
        <v>finished</v>
      </c>
      <c r="D50" s="43" t="str">
        <f>IFERROR(__xludf.DUMMYFUNCTION("""COMPUTED_VALUE"""),"No")</f>
        <v>No</v>
      </c>
      <c r="E50" s="43" t="str">
        <f>IFERROR(__xludf.DUMMYFUNCTION("""COMPUTED_VALUE"""),"p_0a1771e088a3734b892cd2476a4cf84f6cc1d5a4@inbound.aiesec.org")</f>
        <v>p_0a1771e088a3734b892cd2476a4cf84f6cc1d5a4@inbound.aiesec.org</v>
      </c>
      <c r="F50" s="43">
        <f>IFERROR(__xludf.DUMMYFUNCTION("""COMPUTED_VALUE"""),2.583695E7)</f>
        <v>25836950</v>
      </c>
      <c r="G50" s="43" t="str">
        <f>IFERROR(__xludf.DUMMYFUNCTION("""COMPUTED_VALUE"""),"Tunisia")</f>
        <v>Tunisia</v>
      </c>
      <c r="H50" s="43" t="str">
        <f>IFERROR(__xludf.DUMMYFUNCTION("""COMPUTED_VALUE"""),"MEDINA")</f>
        <v>MEDINA</v>
      </c>
      <c r="I50" s="43" t="str">
        <f>IFERROR(__xludf.DUMMYFUNCTION("""COMPUTED_VALUE"""),"Turkey")</f>
        <v>Turkey</v>
      </c>
      <c r="J50" s="43" t="str">
        <f>IFERROR(__xludf.DUMMYFUNCTION("""COMPUTED_VALUE"""),"KOCAELI")</f>
        <v>KOCAELI</v>
      </c>
      <c r="K50" s="44" t="str">
        <f>IFERROR(__xludf.DUMMYFUNCTION("""COMPUTED_VALUE"""),"https://expa.aiesec.org/opportunities/1279548")</f>
        <v>https://expa.aiesec.org/opportunities/1279548</v>
      </c>
      <c r="L50" s="43" t="str">
        <f>IFERROR(__xludf.DUMMYFUNCTION("""COMPUTED_VALUE"""),"GTa")</f>
        <v>GTa</v>
      </c>
      <c r="M50" s="43" t="str">
        <f>IFERROR(__xludf.DUMMYFUNCTION("""COMPUTED_VALUE"""),"long")</f>
        <v>long</v>
      </c>
      <c r="N50" s="45">
        <f>IFERROR(__xludf.DUMMYFUNCTION("""COMPUTED_VALUE"""),44855.0)</f>
        <v>44855</v>
      </c>
      <c r="O50" s="45">
        <f>IFERROR(__xludf.DUMMYFUNCTION("""COMPUTED_VALUE"""),44886.0)</f>
        <v>44886</v>
      </c>
      <c r="P50" s="45">
        <f>IFERROR(__xludf.DUMMYFUNCTION("""COMPUTED_VALUE"""),45075.0)</f>
        <v>45075</v>
      </c>
      <c r="Q50" s="45">
        <f>IFERROR(__xludf.DUMMYFUNCTION("""COMPUTED_VALUE"""),44886.0)</f>
        <v>44886</v>
      </c>
      <c r="R50" s="45">
        <f>IFERROR(__xludf.DUMMYFUNCTION("""COMPUTED_VALUE"""),45251.0)</f>
        <v>45251</v>
      </c>
      <c r="S50" s="43"/>
      <c r="T50" s="43" t="str">
        <f>IFERROR(__xludf.DUMMYFUNCTION("""COMPUTED_VALUE"""),"Business Development")</f>
        <v>Business Development</v>
      </c>
      <c r="U50" s="43" t="str">
        <f>IFERROR(__xludf.DUMMYFUNCTION("""COMPUTED_VALUE"""),"Export Sales in EUROTRAY Company")</f>
        <v>Export Sales in EUROTRAY Company</v>
      </c>
      <c r="V50" s="43" t="str">
        <f>IFERROR(__xludf.DUMMYFUNCTION("""COMPUTED_VALUE"""),"ESC MANOUBA")</f>
        <v>ESC MANOUBA</v>
      </c>
      <c r="W50" s="43" t="str">
        <f>IFERROR(__xludf.DUMMYFUNCTION("""COMPUTED_VALUE"""),"2022-03-31T21:06:06Z")</f>
        <v>2022-03-31T21:06:06Z</v>
      </c>
      <c r="X50" s="43"/>
      <c r="Y50" s="43"/>
      <c r="Z50" s="43"/>
    </row>
    <row r="51" hidden="1">
      <c r="A51" s="43" t="str">
        <f>IFERROR(__xludf.DUMMYFUNCTION("""COMPUTED_VALUE"""),"5118883_1290469")</f>
        <v>5118883_1290469</v>
      </c>
      <c r="B51" s="43" t="str">
        <f>IFERROR(__xludf.DUMMYFUNCTION("""COMPUTED_VALUE"""),"Mirismayil Agalarov")</f>
        <v>Mirismayil Agalarov</v>
      </c>
      <c r="C51" s="43" t="str">
        <f>IFERROR(__xludf.DUMMYFUNCTION("""COMPUTED_VALUE"""),"realization_broken")</f>
        <v>realization_broken</v>
      </c>
      <c r="D51" s="43" t="str">
        <f>IFERROR(__xludf.DUMMYFUNCTION("""COMPUTED_VALUE"""),"No")</f>
        <v>No</v>
      </c>
      <c r="E51" s="43" t="str">
        <f>IFERROR(__xludf.DUMMYFUNCTION("""COMPUTED_VALUE"""),"p_f039d0ee57b25e7cf06052f0c60838d0a5499a7f@inbound.aiesec.org")</f>
        <v>p_f039d0ee57b25e7cf06052f0c60838d0a5499a7f@inbound.aiesec.org</v>
      </c>
      <c r="F51" s="43"/>
      <c r="G51" s="43" t="str">
        <f>IFERROR(__xludf.DUMMYFUNCTION("""COMPUTED_VALUE"""),"Azerbaijan")</f>
        <v>Azerbaijan</v>
      </c>
      <c r="H51" s="43" t="str">
        <f>IFERROR(__xludf.DUMMYFUNCTION("""COMPUTED_VALUE"""),"Baku Qafqaz")</f>
        <v>Baku Qafqaz</v>
      </c>
      <c r="I51" s="43" t="str">
        <f>IFERROR(__xludf.DUMMYFUNCTION("""COMPUTED_VALUE"""),"Turkey")</f>
        <v>Turkey</v>
      </c>
      <c r="J51" s="43" t="str">
        <f>IFERROR(__xludf.DUMMYFUNCTION("""COMPUTED_VALUE"""),"KOCAELI")</f>
        <v>KOCAELI</v>
      </c>
      <c r="K51" s="44" t="str">
        <f>IFERROR(__xludf.DUMMYFUNCTION("""COMPUTED_VALUE"""),"https://expa.aiesec.org/opportunities/1290469")</f>
        <v>https://expa.aiesec.org/opportunities/1290469</v>
      </c>
      <c r="L51" s="43" t="str">
        <f>IFERROR(__xludf.DUMMYFUNCTION("""COMPUTED_VALUE"""),"GTa")</f>
        <v>GTa</v>
      </c>
      <c r="M51" s="43" t="str">
        <f>IFERROR(__xludf.DUMMYFUNCTION("""COMPUTED_VALUE"""),"long")</f>
        <v>long</v>
      </c>
      <c r="N51" s="45">
        <f>IFERROR(__xludf.DUMMYFUNCTION("""COMPUTED_VALUE"""),44860.0)</f>
        <v>44860</v>
      </c>
      <c r="O51" s="45">
        <f>IFERROR(__xludf.DUMMYFUNCTION("""COMPUTED_VALUE"""),44886.0)</f>
        <v>44886</v>
      </c>
      <c r="P51" s="45">
        <f>IFERROR(__xludf.DUMMYFUNCTION("""COMPUTED_VALUE"""),45251.0)</f>
        <v>45251</v>
      </c>
      <c r="Q51" s="45"/>
      <c r="R51" s="45"/>
      <c r="S51" s="43"/>
      <c r="T51" s="43" t="str">
        <f>IFERROR(__xludf.DUMMYFUNCTION("""COMPUTED_VALUE"""),"Marketing")</f>
        <v>Marketing</v>
      </c>
      <c r="U51" s="43" t="str">
        <f>IFERROR(__xludf.DUMMYFUNCTION("""COMPUTED_VALUE"""),"Sales&amp;Marketing in TOKSEL Company")</f>
        <v>Sales&amp;Marketing in TOKSEL Company</v>
      </c>
      <c r="V51" s="43" t="str">
        <f>IFERROR(__xludf.DUMMYFUNCTION("""COMPUTED_VALUE"""),"-")</f>
        <v>-</v>
      </c>
      <c r="W51" s="43" t="str">
        <f>IFERROR(__xludf.DUMMYFUNCTION("""COMPUTED_VALUE"""),"2022-09-24T19:57:09Z")</f>
        <v>2022-09-24T19:57:09Z</v>
      </c>
      <c r="X51" s="43"/>
      <c r="Y51" s="43"/>
      <c r="Z51" s="43"/>
    </row>
    <row r="52" hidden="1">
      <c r="A52" s="43" t="str">
        <f>IFERROR(__xludf.DUMMYFUNCTION("""COMPUTED_VALUE"""),"4827383_1289871")</f>
        <v>4827383_1289871</v>
      </c>
      <c r="B52" s="43" t="str">
        <f>IFERROR(__xludf.DUMMYFUNCTION("""COMPUTED_VALUE"""),"Rami ben hamouda")</f>
        <v>Rami ben hamouda</v>
      </c>
      <c r="C52" s="43" t="str">
        <f>IFERROR(__xludf.DUMMYFUNCTION("""COMPUTED_VALUE"""),"realized")</f>
        <v>realized</v>
      </c>
      <c r="D52" s="43" t="str">
        <f>IFERROR(__xludf.DUMMYFUNCTION("""COMPUTED_VALUE"""),"No")</f>
        <v>No</v>
      </c>
      <c r="E52" s="43" t="str">
        <f>IFERROR(__xludf.DUMMYFUNCTION("""COMPUTED_VALUE"""),"p_a871891e600260fe8dfd085d5eccfa5b0889406f@inbound.aiesec.org")</f>
        <v>p_a871891e600260fe8dfd085d5eccfa5b0889406f@inbound.aiesec.org</v>
      </c>
      <c r="F52" s="43"/>
      <c r="G52" s="43" t="str">
        <f>IFERROR(__xludf.DUMMYFUNCTION("""COMPUTED_VALUE"""),"Tunisia")</f>
        <v>Tunisia</v>
      </c>
      <c r="H52" s="43" t="str">
        <f>IFERROR(__xludf.DUMMYFUNCTION("""COMPUTED_VALUE"""),"Bizerte")</f>
        <v>Bizerte</v>
      </c>
      <c r="I52" s="43" t="str">
        <f>IFERROR(__xludf.DUMMYFUNCTION("""COMPUTED_VALUE"""),"Turkey")</f>
        <v>Turkey</v>
      </c>
      <c r="J52" s="43" t="str">
        <f>IFERROR(__xludf.DUMMYFUNCTION("""COMPUTED_VALUE"""),"KONYA")</f>
        <v>KONYA</v>
      </c>
      <c r="K52" s="44" t="str">
        <f>IFERROR(__xludf.DUMMYFUNCTION("""COMPUTED_VALUE"""),"https://expa.aiesec.org/opportunities/1289871")</f>
        <v>https://expa.aiesec.org/opportunities/1289871</v>
      </c>
      <c r="L52" s="43" t="str">
        <f>IFERROR(__xludf.DUMMYFUNCTION("""COMPUTED_VALUE"""),"GTa")</f>
        <v>GTa</v>
      </c>
      <c r="M52" s="43" t="str">
        <f>IFERROR(__xludf.DUMMYFUNCTION("""COMPUTED_VALUE"""),"long")</f>
        <v>long</v>
      </c>
      <c r="N52" s="45">
        <f>IFERROR(__xludf.DUMMYFUNCTION("""COMPUTED_VALUE"""),44860.0)</f>
        <v>44860</v>
      </c>
      <c r="O52" s="45">
        <f>IFERROR(__xludf.DUMMYFUNCTION("""COMPUTED_VALUE"""),44866.0)</f>
        <v>44866</v>
      </c>
      <c r="P52" s="45">
        <f>IFERROR(__xludf.DUMMYFUNCTION("""COMPUTED_VALUE"""),45231.0)</f>
        <v>45231</v>
      </c>
      <c r="Q52" s="45">
        <f>IFERROR(__xludf.DUMMYFUNCTION("""COMPUTED_VALUE"""),44966.0)</f>
        <v>44966</v>
      </c>
      <c r="R52" s="45">
        <f>IFERROR(__xludf.DUMMYFUNCTION("""COMPUTED_VALUE"""),45329.0)</f>
        <v>45329</v>
      </c>
      <c r="S52" s="43"/>
      <c r="T52" s="43" t="str">
        <f>IFERROR(__xludf.DUMMYFUNCTION("""COMPUTED_VALUE"""),"Marketing")</f>
        <v>Marketing</v>
      </c>
      <c r="U52" s="43" t="str">
        <f>IFERROR(__xludf.DUMMYFUNCTION("""COMPUTED_VALUE"""),"Marketing Specialist | Arabic - French")</f>
        <v>Marketing Specialist | Arabic - French</v>
      </c>
      <c r="V52" s="43" t="str">
        <f>IFERROR(__xludf.DUMMYFUNCTION("""COMPUTED_VALUE"""),"-")</f>
        <v>-</v>
      </c>
      <c r="W52" s="43" t="str">
        <f>IFERROR(__xludf.DUMMYFUNCTION("""COMPUTED_VALUE"""),"2021-12-02T15:14:19Z")</f>
        <v>2021-12-02T15:14:19Z</v>
      </c>
      <c r="X52" s="43"/>
      <c r="Y52" s="43"/>
      <c r="Z52" s="43"/>
    </row>
    <row r="53" hidden="1">
      <c r="A53" s="43" t="str">
        <f>IFERROR(__xludf.DUMMYFUNCTION("""COMPUTED_VALUE"""),"5119340_1288813")</f>
        <v>5119340_1288813</v>
      </c>
      <c r="B53" s="43" t="str">
        <f>IFERROR(__xludf.DUMMYFUNCTION("""COMPUTED_VALUE"""),"Lounis BENMOKHTAR")</f>
        <v>Lounis BENMOKHTAR</v>
      </c>
      <c r="C53" s="43" t="str">
        <f>IFERROR(__xludf.DUMMYFUNCTION("""COMPUTED_VALUE"""),"completed")</f>
        <v>completed</v>
      </c>
      <c r="D53" s="43" t="str">
        <f>IFERROR(__xludf.DUMMYFUNCTION("""COMPUTED_VALUE"""),"No")</f>
        <v>No</v>
      </c>
      <c r="E53" s="43" t="str">
        <f>IFERROR(__xludf.DUMMYFUNCTION("""COMPUTED_VALUE"""),"p_5dc508f995c86486c0f46de627b6d358e77d3777@inbound.aiesec.org")</f>
        <v>p_5dc508f995c86486c0f46de627b6d358e77d3777@inbound.aiesec.org</v>
      </c>
      <c r="F53" s="43"/>
      <c r="G53" s="43" t="str">
        <f>IFERROR(__xludf.DUMMYFUNCTION("""COMPUTED_VALUE"""),"Algeria")</f>
        <v>Algeria</v>
      </c>
      <c r="H53" s="43" t="str">
        <f>IFERROR(__xludf.DUMMYFUNCTION("""COMPUTED_VALUE"""),"Benak")</f>
        <v>Benak</v>
      </c>
      <c r="I53" s="43" t="str">
        <f>IFERROR(__xludf.DUMMYFUNCTION("""COMPUTED_VALUE"""),"Turkey")</f>
        <v>Turkey</v>
      </c>
      <c r="J53" s="43" t="str">
        <f>IFERROR(__xludf.DUMMYFUNCTION("""COMPUTED_VALUE"""),"ISTANBUL WEST")</f>
        <v>ISTANBUL WEST</v>
      </c>
      <c r="K53" s="44" t="str">
        <f>IFERROR(__xludf.DUMMYFUNCTION("""COMPUTED_VALUE"""),"https://expa.aiesec.org/opportunities/1288813")</f>
        <v>https://expa.aiesec.org/opportunities/1288813</v>
      </c>
      <c r="L53" s="43" t="str">
        <f>IFERROR(__xludf.DUMMYFUNCTION("""COMPUTED_VALUE"""),"GTa")</f>
        <v>GTa</v>
      </c>
      <c r="M53" s="43" t="str">
        <f>IFERROR(__xludf.DUMMYFUNCTION("""COMPUTED_VALUE"""),"long")</f>
        <v>long</v>
      </c>
      <c r="N53" s="45">
        <f>IFERROR(__xludf.DUMMYFUNCTION("""COMPUTED_VALUE"""),44864.0)</f>
        <v>44864</v>
      </c>
      <c r="O53" s="45">
        <f>IFERROR(__xludf.DUMMYFUNCTION("""COMPUTED_VALUE"""),44872.0)</f>
        <v>44872</v>
      </c>
      <c r="P53" s="45">
        <f>IFERROR(__xludf.DUMMYFUNCTION("""COMPUTED_VALUE"""),45237.0)</f>
        <v>45237</v>
      </c>
      <c r="Q53" s="45">
        <f>IFERROR(__xludf.DUMMYFUNCTION("""COMPUTED_VALUE"""),44892.0)</f>
        <v>44892</v>
      </c>
      <c r="R53" s="45">
        <f>IFERROR(__xludf.DUMMYFUNCTION("""COMPUTED_VALUE"""),45258.0)</f>
        <v>45258</v>
      </c>
      <c r="S53" s="43"/>
      <c r="T53" s="43" t="str">
        <f>IFERROR(__xludf.DUMMYFUNCTION("""COMPUTED_VALUE"""),"Marketing")</f>
        <v>Marketing</v>
      </c>
      <c r="U53" s="43" t="str">
        <f>IFERROR(__xludf.DUMMYFUNCTION("""COMPUTED_VALUE"""),"Call Center Customer Representative")</f>
        <v>Call Center Customer Representative</v>
      </c>
      <c r="V53" s="43" t="str">
        <f>IFERROR(__xludf.DUMMYFUNCTION("""COMPUTED_VALUE"""),"-")</f>
        <v>-</v>
      </c>
      <c r="W53" s="43" t="str">
        <f>IFERROR(__xludf.DUMMYFUNCTION("""COMPUTED_VALUE"""),"2022-09-25T21:44:17Z")</f>
        <v>2022-09-25T21:44:17Z</v>
      </c>
      <c r="X53" s="43"/>
      <c r="Y53" s="43"/>
      <c r="Z53" s="43"/>
    </row>
    <row r="54" hidden="1">
      <c r="A54" s="43" t="str">
        <f>IFERROR(__xludf.DUMMYFUNCTION("""COMPUTED_VALUE"""),"4751667_1290570")</f>
        <v>4751667_1290570</v>
      </c>
      <c r="B54" s="43" t="str">
        <f>IFERROR(__xludf.DUMMYFUNCTION("""COMPUTED_VALUE"""),"Rishabh Goswami")</f>
        <v>Rishabh Goswami</v>
      </c>
      <c r="C54" s="43" t="str">
        <f>IFERROR(__xludf.DUMMYFUNCTION("""COMPUTED_VALUE"""),"completed")</f>
        <v>completed</v>
      </c>
      <c r="D54" s="43" t="str">
        <f>IFERROR(__xludf.DUMMYFUNCTION("""COMPUTED_VALUE"""),"No")</f>
        <v>No</v>
      </c>
      <c r="E54" s="43" t="str">
        <f>IFERROR(__xludf.DUMMYFUNCTION("""COMPUTED_VALUE"""),"p_05e16a299c456dbfd92462b64ec86a15505a2dba@inbound.aiesec.org")</f>
        <v>p_05e16a299c456dbfd92462b64ec86a15505a2dba@inbound.aiesec.org</v>
      </c>
      <c r="F54" s="43"/>
      <c r="G54" s="43" t="str">
        <f>IFERROR(__xludf.DUMMYFUNCTION("""COMPUTED_VALUE"""),"India")</f>
        <v>India</v>
      </c>
      <c r="H54" s="43" t="str">
        <f>IFERROR(__xludf.DUMMYFUNCTION("""COMPUTED_VALUE"""),"Delhi IIT")</f>
        <v>Delhi IIT</v>
      </c>
      <c r="I54" s="43" t="str">
        <f>IFERROR(__xludf.DUMMYFUNCTION("""COMPUTED_VALUE"""),"Turkey")</f>
        <v>Turkey</v>
      </c>
      <c r="J54" s="43" t="str">
        <f>IFERROR(__xludf.DUMMYFUNCTION("""COMPUTED_VALUE"""),"ANTALYA")</f>
        <v>ANTALYA</v>
      </c>
      <c r="K54" s="44" t="str">
        <f>IFERROR(__xludf.DUMMYFUNCTION("""COMPUTED_VALUE"""),"https://expa.aiesec.org/opportunities/1290570")</f>
        <v>https://expa.aiesec.org/opportunities/1290570</v>
      </c>
      <c r="L54" s="43" t="str">
        <f>IFERROR(__xludf.DUMMYFUNCTION("""COMPUTED_VALUE"""),"GTa")</f>
        <v>GTa</v>
      </c>
      <c r="M54" s="43" t="str">
        <f>IFERROR(__xludf.DUMMYFUNCTION("""COMPUTED_VALUE"""),"medium")</f>
        <v>medium</v>
      </c>
      <c r="N54" s="45">
        <f>IFERROR(__xludf.DUMMYFUNCTION("""COMPUTED_VALUE"""),44867.0)</f>
        <v>44867</v>
      </c>
      <c r="O54" s="45">
        <f>IFERROR(__xludf.DUMMYFUNCTION("""COMPUTED_VALUE"""),44923.0)</f>
        <v>44923</v>
      </c>
      <c r="P54" s="45">
        <f>IFERROR(__xludf.DUMMYFUNCTION("""COMPUTED_VALUE"""),45104.0)</f>
        <v>45104</v>
      </c>
      <c r="Q54" s="45">
        <f>IFERROR(__xludf.DUMMYFUNCTION("""COMPUTED_VALUE"""),44954.0)</f>
        <v>44954</v>
      </c>
      <c r="R54" s="45">
        <f>IFERROR(__xludf.DUMMYFUNCTION("""COMPUTED_VALUE"""),45135.0)</f>
        <v>45135</v>
      </c>
      <c r="S54" s="43"/>
      <c r="T54" s="43" t="str">
        <f>IFERROR(__xludf.DUMMYFUNCTION("""COMPUTED_VALUE"""),"Information Technology")</f>
        <v>Information Technology</v>
      </c>
      <c r="U54" s="43" t="str">
        <f>IFERROR(__xludf.DUMMYFUNCTION("""COMPUTED_VALUE"""),"Front-End Developer")</f>
        <v>Front-End Developer</v>
      </c>
      <c r="V54" s="43" t="str">
        <f>IFERROR(__xludf.DUMMYFUNCTION("""COMPUTED_VALUE"""),"-")</f>
        <v>-</v>
      </c>
      <c r="W54" s="43" t="str">
        <f>IFERROR(__xludf.DUMMYFUNCTION("""COMPUTED_VALUE"""),"2021-09-28T12:53:51Z")</f>
        <v>2021-09-28T12:53:51Z</v>
      </c>
      <c r="X54" s="43"/>
      <c r="Y54" s="43"/>
      <c r="Z54" s="43"/>
    </row>
    <row r="55" hidden="1">
      <c r="A55" s="43" t="str">
        <f>IFERROR(__xludf.DUMMYFUNCTION("""COMPUTED_VALUE"""),"1764569_1279548")</f>
        <v>1764569_1279548</v>
      </c>
      <c r="B55" s="43" t="str">
        <f>IFERROR(__xludf.DUMMYFUNCTION("""COMPUTED_VALUE"""),"Camilo Azuero")</f>
        <v>Camilo Azuero</v>
      </c>
      <c r="C55" s="43" t="str">
        <f>IFERROR(__xludf.DUMMYFUNCTION("""COMPUTED_VALUE"""),"finished")</f>
        <v>finished</v>
      </c>
      <c r="D55" s="43" t="str">
        <f>IFERROR(__xludf.DUMMYFUNCTION("""COMPUTED_VALUE"""),"No")</f>
        <v>No</v>
      </c>
      <c r="E55" s="43" t="str">
        <f>IFERROR(__xludf.DUMMYFUNCTION("""COMPUTED_VALUE"""),"p_6e654c89766191feeee3af51c58b6a36c988f9c6@inbound.aiesec.org")</f>
        <v>p_6e654c89766191feeee3af51c58b6a36c988f9c6@inbound.aiesec.org</v>
      </c>
      <c r="F55" s="43">
        <f>IFERROR(__xludf.DUMMYFUNCTION("""COMPUTED_VALUE"""),3.112445927E9)</f>
        <v>3112445927</v>
      </c>
      <c r="G55" s="43" t="str">
        <f>IFERROR(__xludf.DUMMYFUNCTION("""COMPUTED_VALUE"""),"Colombia")</f>
        <v>Colombia</v>
      </c>
      <c r="H55" s="43" t="str">
        <f>IFERROR(__xludf.DUMMYFUNCTION("""COMPUTED_VALUE"""),"ANDES")</f>
        <v>ANDES</v>
      </c>
      <c r="I55" s="43" t="str">
        <f>IFERROR(__xludf.DUMMYFUNCTION("""COMPUTED_VALUE"""),"Turkey")</f>
        <v>Turkey</v>
      </c>
      <c r="J55" s="43" t="str">
        <f>IFERROR(__xludf.DUMMYFUNCTION("""COMPUTED_VALUE"""),"KOCAELI")</f>
        <v>KOCAELI</v>
      </c>
      <c r="K55" s="44" t="str">
        <f>IFERROR(__xludf.DUMMYFUNCTION("""COMPUTED_VALUE"""),"https://expa.aiesec.org/opportunities/1279548")</f>
        <v>https://expa.aiesec.org/opportunities/1279548</v>
      </c>
      <c r="L55" s="43" t="str">
        <f>IFERROR(__xludf.DUMMYFUNCTION("""COMPUTED_VALUE"""),"GTa")</f>
        <v>GTa</v>
      </c>
      <c r="M55" s="43" t="str">
        <f>IFERROR(__xludf.DUMMYFUNCTION("""COMPUTED_VALUE"""),"long")</f>
        <v>long</v>
      </c>
      <c r="N55" s="45">
        <f>IFERROR(__xludf.DUMMYFUNCTION("""COMPUTED_VALUE"""),44868.0)</f>
        <v>44868</v>
      </c>
      <c r="O55" s="45">
        <f>IFERROR(__xludf.DUMMYFUNCTION("""COMPUTED_VALUE"""),44895.0)</f>
        <v>44895</v>
      </c>
      <c r="P55" s="45">
        <f>IFERROR(__xludf.DUMMYFUNCTION("""COMPUTED_VALUE"""),45260.0)</f>
        <v>45260</v>
      </c>
      <c r="Q55" s="45">
        <f>IFERROR(__xludf.DUMMYFUNCTION("""COMPUTED_VALUE"""),44886.0)</f>
        <v>44886</v>
      </c>
      <c r="R55" s="45">
        <f>IFERROR(__xludf.DUMMYFUNCTION("""COMPUTED_VALUE"""),45260.0)</f>
        <v>45260</v>
      </c>
      <c r="S55" s="43"/>
      <c r="T55" s="43" t="str">
        <f>IFERROR(__xludf.DUMMYFUNCTION("""COMPUTED_VALUE"""),"Business Development")</f>
        <v>Business Development</v>
      </c>
      <c r="U55" s="43" t="str">
        <f>IFERROR(__xludf.DUMMYFUNCTION("""COMPUTED_VALUE"""),"Export Sales in EUROTRAY Company")</f>
        <v>Export Sales in EUROTRAY Company</v>
      </c>
      <c r="V55" s="43" t="str">
        <f>IFERROR(__xludf.DUMMYFUNCTION("""COMPUTED_VALUE"""),"-")</f>
        <v>-</v>
      </c>
      <c r="W55" s="43" t="str">
        <f>IFERROR(__xludf.DUMMYFUNCTION("""COMPUTED_VALUE"""),"2017-09-29T19:16:44Z")</f>
        <v>2017-09-29T19:16:44Z</v>
      </c>
      <c r="X55" s="43"/>
      <c r="Y55" s="43"/>
      <c r="Z55" s="43"/>
    </row>
    <row r="56" hidden="1">
      <c r="A56" s="43" t="str">
        <f>IFERROR(__xludf.DUMMYFUNCTION("""COMPUTED_VALUE"""),"5145886_1288708")</f>
        <v>5145886_1288708</v>
      </c>
      <c r="B56" s="43" t="str">
        <f>IFERROR(__xludf.DUMMYFUNCTION("""COMPUTED_VALUE"""),"Maha Trimech")</f>
        <v>Maha Trimech</v>
      </c>
      <c r="C56" s="43" t="str">
        <f>IFERROR(__xludf.DUMMYFUNCTION("""COMPUTED_VALUE"""),"realization_broken")</f>
        <v>realization_broken</v>
      </c>
      <c r="D56" s="43" t="str">
        <f>IFERROR(__xludf.DUMMYFUNCTION("""COMPUTED_VALUE"""),"No")</f>
        <v>No</v>
      </c>
      <c r="E56" s="43" t="str">
        <f>IFERROR(__xludf.DUMMYFUNCTION("""COMPUTED_VALUE"""),"p_90a97ad3619cc14a58535caf865727e6cab9c4d3@inbound.aiesec.org")</f>
        <v>p_90a97ad3619cc14a58535caf865727e6cab9c4d3@inbound.aiesec.org</v>
      </c>
      <c r="F56" s="43">
        <f>IFERROR(__xludf.DUMMYFUNCTION("""COMPUTED_VALUE"""),5.5655319E7)</f>
        <v>55655319</v>
      </c>
      <c r="G56" s="43" t="str">
        <f>IFERROR(__xludf.DUMMYFUNCTION("""COMPUTED_VALUE"""),"Tunisia")</f>
        <v>Tunisia</v>
      </c>
      <c r="H56" s="43" t="str">
        <f>IFERROR(__xludf.DUMMYFUNCTION("""COMPUTED_VALUE"""),"RUSPINA")</f>
        <v>RUSPINA</v>
      </c>
      <c r="I56" s="43" t="str">
        <f>IFERROR(__xludf.DUMMYFUNCTION("""COMPUTED_VALUE"""),"Turkey")</f>
        <v>Turkey</v>
      </c>
      <c r="J56" s="43" t="str">
        <f>IFERROR(__xludf.DUMMYFUNCTION("""COMPUTED_VALUE"""),"GAZIANTEP")</f>
        <v>GAZIANTEP</v>
      </c>
      <c r="K56" s="44" t="str">
        <f>IFERROR(__xludf.DUMMYFUNCTION("""COMPUTED_VALUE"""),"https://expa.aiesec.org/opportunities/1288708")</f>
        <v>https://expa.aiesec.org/opportunities/1288708</v>
      </c>
      <c r="L56" s="43" t="str">
        <f>IFERROR(__xludf.DUMMYFUNCTION("""COMPUTED_VALUE"""),"GTa")</f>
        <v>GTa</v>
      </c>
      <c r="M56" s="43" t="str">
        <f>IFERROR(__xludf.DUMMYFUNCTION("""COMPUTED_VALUE"""),"short")</f>
        <v>short</v>
      </c>
      <c r="N56" s="45">
        <f>IFERROR(__xludf.DUMMYFUNCTION("""COMPUTED_VALUE"""),44870.0)</f>
        <v>44870</v>
      </c>
      <c r="O56" s="45">
        <f>IFERROR(__xludf.DUMMYFUNCTION("""COMPUTED_VALUE"""),44880.0)</f>
        <v>44880</v>
      </c>
      <c r="P56" s="45">
        <f>IFERROR(__xludf.DUMMYFUNCTION("""COMPUTED_VALUE"""),44963.0)</f>
        <v>44963</v>
      </c>
      <c r="Q56" s="45"/>
      <c r="R56" s="45"/>
      <c r="S56" s="43"/>
      <c r="T56" s="43" t="str">
        <f>IFERROR(__xludf.DUMMYFUNCTION("""COMPUTED_VALUE"""),"Marketing")</f>
        <v>Marketing</v>
      </c>
      <c r="U56" s="43" t="str">
        <f>IFERROR(__xludf.DUMMYFUNCTION("""COMPUTED_VALUE"""),"MARKETING")</f>
        <v>MARKETING</v>
      </c>
      <c r="V56" s="43" t="str">
        <f>IFERROR(__xludf.DUMMYFUNCTION("""COMPUTED_VALUE"""),"ISMM Monastir")</f>
        <v>ISMM Monastir</v>
      </c>
      <c r="W56" s="43" t="str">
        <f>IFERROR(__xludf.DUMMYFUNCTION("""COMPUTED_VALUE"""),"2022-11-03T13:08:05Z")</f>
        <v>2022-11-03T13:08:05Z</v>
      </c>
      <c r="X56" s="43"/>
      <c r="Y56" s="43"/>
      <c r="Z56" s="43"/>
    </row>
    <row r="57" hidden="1">
      <c r="A57" s="43" t="str">
        <f>IFERROR(__xludf.DUMMYFUNCTION("""COMPUTED_VALUE"""),"4373900_1277549")</f>
        <v>4373900_1277549</v>
      </c>
      <c r="B57" s="43" t="str">
        <f>IFERROR(__xludf.DUMMYFUNCTION("""COMPUTED_VALUE"""),"Yomna Elemam")</f>
        <v>Yomna Elemam</v>
      </c>
      <c r="C57" s="43" t="str">
        <f>IFERROR(__xludf.DUMMYFUNCTION("""COMPUTED_VALUE"""),"completed")</f>
        <v>completed</v>
      </c>
      <c r="D57" s="43" t="str">
        <f>IFERROR(__xludf.DUMMYFUNCTION("""COMPUTED_VALUE"""),"No")</f>
        <v>No</v>
      </c>
      <c r="E57" s="43" t="str">
        <f>IFERROR(__xludf.DUMMYFUNCTION("""COMPUTED_VALUE"""),"p_779743f178e5d228288d4b8aa5574bd2a93e7d69@inbound.aiesec.org")</f>
        <v>p_779743f178e5d228288d4b8aa5574bd2a93e7d69@inbound.aiesec.org</v>
      </c>
      <c r="F57" s="43">
        <f>IFERROR(__xludf.DUMMYFUNCTION("""COMPUTED_VALUE"""),1.003700691E9)</f>
        <v>1003700691</v>
      </c>
      <c r="G57" s="43" t="str">
        <f>IFERROR(__xludf.DUMMYFUNCTION("""COMPUTED_VALUE"""),"Egypt")</f>
        <v>Egypt</v>
      </c>
      <c r="H57" s="43" t="str">
        <f>IFERROR(__xludf.DUMMYFUNCTION("""COMPUTED_VALUE"""),"Menofia")</f>
        <v>Menofia</v>
      </c>
      <c r="I57" s="43" t="str">
        <f>IFERROR(__xludf.DUMMYFUNCTION("""COMPUTED_VALUE"""),"Turkey")</f>
        <v>Turkey</v>
      </c>
      <c r="J57" s="43" t="str">
        <f>IFERROR(__xludf.DUMMYFUNCTION("""COMPUTED_VALUE"""),"KOCAELI")</f>
        <v>KOCAELI</v>
      </c>
      <c r="K57" s="44" t="str">
        <f>IFERROR(__xludf.DUMMYFUNCTION("""COMPUTED_VALUE"""),"https://expa.aiesec.org/opportunities/1277549")</f>
        <v>https://expa.aiesec.org/opportunities/1277549</v>
      </c>
      <c r="L57" s="43" t="str">
        <f>IFERROR(__xludf.DUMMYFUNCTION("""COMPUTED_VALUE"""),"GTa")</f>
        <v>GTa</v>
      </c>
      <c r="M57" s="43" t="str">
        <f>IFERROR(__xludf.DUMMYFUNCTION("""COMPUTED_VALUE"""),"short")</f>
        <v>short</v>
      </c>
      <c r="N57" s="45">
        <f>IFERROR(__xludf.DUMMYFUNCTION("""COMPUTED_VALUE"""),44871.0)</f>
        <v>44871</v>
      </c>
      <c r="O57" s="45">
        <f>IFERROR(__xludf.DUMMYFUNCTION("""COMPUTED_VALUE"""),44963.0)</f>
        <v>44963</v>
      </c>
      <c r="P57" s="45">
        <f>IFERROR(__xludf.DUMMYFUNCTION("""COMPUTED_VALUE"""),45005.0)</f>
        <v>45005</v>
      </c>
      <c r="Q57" s="45">
        <f>IFERROR(__xludf.DUMMYFUNCTION("""COMPUTED_VALUE"""),44966.0)</f>
        <v>44966</v>
      </c>
      <c r="R57" s="45">
        <f>IFERROR(__xludf.DUMMYFUNCTION("""COMPUTED_VALUE"""),45025.0)</f>
        <v>45025</v>
      </c>
      <c r="S57" s="43"/>
      <c r="T57" s="43" t="str">
        <f>IFERROR(__xludf.DUMMYFUNCTION("""COMPUTED_VALUE"""),"Business Development")</f>
        <v>Business Development</v>
      </c>
      <c r="U57" s="43" t="str">
        <f>IFERROR(__xludf.DUMMYFUNCTION("""COMPUTED_VALUE"""),"Marketing/Market Research in LedaPharma Company")</f>
        <v>Marketing/Market Research in LedaPharma Company</v>
      </c>
      <c r="V57" s="43" t="str">
        <f>IFERROR(__xludf.DUMMYFUNCTION("""COMPUTED_VALUE"""),"Menofia")</f>
        <v>Menofia</v>
      </c>
      <c r="W57" s="43" t="str">
        <f>IFERROR(__xludf.DUMMYFUNCTION("""COMPUTED_VALUE"""),"2020-09-20T17:42:43Z")</f>
        <v>2020-09-20T17:42:43Z</v>
      </c>
      <c r="X57" s="43"/>
      <c r="Y57" s="43"/>
      <c r="Z57" s="43"/>
    </row>
    <row r="58" hidden="1">
      <c r="A58" s="43" t="str">
        <f>IFERROR(__xludf.DUMMYFUNCTION("""COMPUTED_VALUE"""),"5145901_1288594")</f>
        <v>5145901_1288594</v>
      </c>
      <c r="B58" s="43" t="str">
        <f>IFERROR(__xludf.DUMMYFUNCTION("""COMPUTED_VALUE"""),"Najet Boussafa")</f>
        <v>Najet Boussafa</v>
      </c>
      <c r="C58" s="43" t="str">
        <f>IFERROR(__xludf.DUMMYFUNCTION("""COMPUTED_VALUE"""),"completed")</f>
        <v>completed</v>
      </c>
      <c r="D58" s="43" t="str">
        <f>IFERROR(__xludf.DUMMYFUNCTION("""COMPUTED_VALUE"""),"No")</f>
        <v>No</v>
      </c>
      <c r="E58" s="43" t="str">
        <f>IFERROR(__xludf.DUMMYFUNCTION("""COMPUTED_VALUE"""),"p_aba6a904ef56be884fb8d302e3259e611b1eb0c4@inbound.aiesec.org")</f>
        <v>p_aba6a904ef56be884fb8d302e3259e611b1eb0c4@inbound.aiesec.org</v>
      </c>
      <c r="F58" s="43"/>
      <c r="G58" s="43" t="str">
        <f>IFERROR(__xludf.DUMMYFUNCTION("""COMPUTED_VALUE"""),"Tunisia")</f>
        <v>Tunisia</v>
      </c>
      <c r="H58" s="43" t="str">
        <f>IFERROR(__xludf.DUMMYFUNCTION("""COMPUTED_VALUE"""),"RUSPINA")</f>
        <v>RUSPINA</v>
      </c>
      <c r="I58" s="43" t="str">
        <f>IFERROR(__xludf.DUMMYFUNCTION("""COMPUTED_VALUE"""),"Turkey")</f>
        <v>Turkey</v>
      </c>
      <c r="J58" s="43" t="str">
        <f>IFERROR(__xludf.DUMMYFUNCTION("""COMPUTED_VALUE"""),"GAZIANTEP")</f>
        <v>GAZIANTEP</v>
      </c>
      <c r="K58" s="44" t="str">
        <f>IFERROR(__xludf.DUMMYFUNCTION("""COMPUTED_VALUE"""),"https://expa.aiesec.org/opportunities/1288594")</f>
        <v>https://expa.aiesec.org/opportunities/1288594</v>
      </c>
      <c r="L58" s="43" t="str">
        <f>IFERROR(__xludf.DUMMYFUNCTION("""COMPUTED_VALUE"""),"GTa")</f>
        <v>GTa</v>
      </c>
      <c r="M58" s="43" t="str">
        <f>IFERROR(__xludf.DUMMYFUNCTION("""COMPUTED_VALUE"""),"short")</f>
        <v>short</v>
      </c>
      <c r="N58" s="45">
        <f>IFERROR(__xludf.DUMMYFUNCTION("""COMPUTED_VALUE"""),44873.0)</f>
        <v>44873</v>
      </c>
      <c r="O58" s="45">
        <f>IFERROR(__xludf.DUMMYFUNCTION("""COMPUTED_VALUE"""),44896.0)</f>
        <v>44896</v>
      </c>
      <c r="P58" s="45">
        <f>IFERROR(__xludf.DUMMYFUNCTION("""COMPUTED_VALUE"""),44979.0)</f>
        <v>44979</v>
      </c>
      <c r="Q58" s="45">
        <f>IFERROR(__xludf.DUMMYFUNCTION("""COMPUTED_VALUE"""),44910.0)</f>
        <v>44910</v>
      </c>
      <c r="R58" s="45">
        <f>IFERROR(__xludf.DUMMYFUNCTION("""COMPUTED_VALUE"""),44997.0)</f>
        <v>44997</v>
      </c>
      <c r="S58" s="43"/>
      <c r="T58" s="43" t="str">
        <f>IFERROR(__xludf.DUMMYFUNCTION("""COMPUTED_VALUE"""),"Marketing")</f>
        <v>Marketing</v>
      </c>
      <c r="U58" s="43" t="str">
        <f>IFERROR(__xludf.DUMMYFUNCTION("""COMPUTED_VALUE"""),"MARKETING")</f>
        <v>MARKETING</v>
      </c>
      <c r="V58" s="43" t="str">
        <f>IFERROR(__xludf.DUMMYFUNCTION("""COMPUTED_VALUE"""),"ISLAA Moknine")</f>
        <v>ISLAA Moknine</v>
      </c>
      <c r="W58" s="43" t="str">
        <f>IFERROR(__xludf.DUMMYFUNCTION("""COMPUTED_VALUE"""),"2022-11-03T13:19:10Z")</f>
        <v>2022-11-03T13:19:10Z</v>
      </c>
      <c r="X58" s="43"/>
      <c r="Y58" s="43"/>
      <c r="Z58" s="43"/>
    </row>
    <row r="59" hidden="1">
      <c r="A59" s="43" t="str">
        <f>IFERROR(__xludf.DUMMYFUNCTION("""COMPUTED_VALUE"""),"5145866_1284583")</f>
        <v>5145866_1284583</v>
      </c>
      <c r="B59" s="43" t="str">
        <f>IFERROR(__xludf.DUMMYFUNCTION("""COMPUTED_VALUE"""),"Mariana Ferreira Marques")</f>
        <v>Mariana Ferreira Marques</v>
      </c>
      <c r="C59" s="43" t="str">
        <f>IFERROR(__xludf.DUMMYFUNCTION("""COMPUTED_VALUE"""),"finished")</f>
        <v>finished</v>
      </c>
      <c r="D59" s="43" t="str">
        <f>IFERROR(__xludf.DUMMYFUNCTION("""COMPUTED_VALUE"""),"No")</f>
        <v>No</v>
      </c>
      <c r="E59" s="43" t="str">
        <f>IFERROR(__xludf.DUMMYFUNCTION("""COMPUTED_VALUE"""),"p_09292da8ff5b662cdb313bd74f716a103e9dd41e@inbound.aiesec.org")</f>
        <v>p_09292da8ff5b662cdb313bd74f716a103e9dd41e@inbound.aiesec.org</v>
      </c>
      <c r="F59" s="43"/>
      <c r="G59" s="43" t="str">
        <f>IFERROR(__xludf.DUMMYFUNCTION("""COMPUTED_VALUE"""),"Brazil")</f>
        <v>Brazil</v>
      </c>
      <c r="H59" s="43" t="str">
        <f>IFERROR(__xludf.DUMMYFUNCTION("""COMPUTED_VALUE"""),"BELO HORIZONTE ")</f>
        <v>BELO HORIZONTE </v>
      </c>
      <c r="I59" s="43" t="str">
        <f>IFERROR(__xludf.DUMMYFUNCTION("""COMPUTED_VALUE"""),"Turkey")</f>
        <v>Turkey</v>
      </c>
      <c r="J59" s="43" t="str">
        <f>IFERROR(__xludf.DUMMYFUNCTION("""COMPUTED_VALUE"""),"ISTANBUL")</f>
        <v>ISTANBUL</v>
      </c>
      <c r="K59" s="44" t="str">
        <f>IFERROR(__xludf.DUMMYFUNCTION("""COMPUTED_VALUE"""),"https://expa.aiesec.org/opportunities/1284583")</f>
        <v>https://expa.aiesec.org/opportunities/1284583</v>
      </c>
      <c r="L59" s="43" t="str">
        <f>IFERROR(__xludf.DUMMYFUNCTION("""COMPUTED_VALUE"""),"GTa")</f>
        <v>GTa</v>
      </c>
      <c r="M59" s="43" t="str">
        <f>IFERROR(__xludf.DUMMYFUNCTION("""COMPUTED_VALUE"""),"long")</f>
        <v>long</v>
      </c>
      <c r="N59" s="45">
        <f>IFERROR(__xludf.DUMMYFUNCTION("""COMPUTED_VALUE"""),44880.0)</f>
        <v>44880</v>
      </c>
      <c r="O59" s="45">
        <f>IFERROR(__xludf.DUMMYFUNCTION("""COMPUTED_VALUE"""),44924.0)</f>
        <v>44924</v>
      </c>
      <c r="P59" s="45">
        <f>IFERROR(__xludf.DUMMYFUNCTION("""COMPUTED_VALUE"""),45289.0)</f>
        <v>45289</v>
      </c>
      <c r="Q59" s="45">
        <f>IFERROR(__xludf.DUMMYFUNCTION("""COMPUTED_VALUE"""),44943.0)</f>
        <v>44943</v>
      </c>
      <c r="R59" s="45">
        <f>IFERROR(__xludf.DUMMYFUNCTION("""COMPUTED_VALUE"""),45308.0)</f>
        <v>45308</v>
      </c>
      <c r="S59" s="43"/>
      <c r="T59" s="43" t="str">
        <f>IFERROR(__xludf.DUMMYFUNCTION("""COMPUTED_VALUE"""),"Business Administration")</f>
        <v>Business Administration</v>
      </c>
      <c r="U59" s="43" t="str">
        <f>IFERROR(__xludf.DUMMYFUNCTION("""COMPUTED_VALUE"""),"Customer Service")</f>
        <v>Customer Service</v>
      </c>
      <c r="V59" s="43" t="str">
        <f>IFERROR(__xludf.DUMMYFUNCTION("""COMPUTED_VALUE"""),"-")</f>
        <v>-</v>
      </c>
      <c r="W59" s="43" t="str">
        <f>IFERROR(__xludf.DUMMYFUNCTION("""COMPUTED_VALUE"""),"2022-11-03T12:50:49Z")</f>
        <v>2022-11-03T12:50:49Z</v>
      </c>
      <c r="X59" s="43"/>
      <c r="Y59" s="43"/>
      <c r="Z59" s="43"/>
    </row>
    <row r="60" hidden="1">
      <c r="A60" s="43" t="str">
        <f>IFERROR(__xludf.DUMMYFUNCTION("""COMPUTED_VALUE"""),"5142975_1262819")</f>
        <v>5142975_1262819</v>
      </c>
      <c r="B60" s="43" t="str">
        <f>IFERROR(__xludf.DUMMYFUNCTION("""COMPUTED_VALUE"""),"norhenne rebaii")</f>
        <v>norhenne rebaii</v>
      </c>
      <c r="C60" s="43" t="str">
        <f>IFERROR(__xludf.DUMMYFUNCTION("""COMPUTED_VALUE"""),"realized")</f>
        <v>realized</v>
      </c>
      <c r="D60" s="43" t="str">
        <f>IFERROR(__xludf.DUMMYFUNCTION("""COMPUTED_VALUE"""),"No")</f>
        <v>No</v>
      </c>
      <c r="E60" s="43" t="str">
        <f>IFERROR(__xludf.DUMMYFUNCTION("""COMPUTED_VALUE"""),"p_9fed2773cd0e6780199ebd4545e92b03dee68ba2@inbound.aiesec.org")</f>
        <v>p_9fed2773cd0e6780199ebd4545e92b03dee68ba2@inbound.aiesec.org</v>
      </c>
      <c r="F60" s="43">
        <f>IFERROR(__xludf.DUMMYFUNCTION("""COMPUTED_VALUE"""),2.2660959E7)</f>
        <v>22660959</v>
      </c>
      <c r="G60" s="43" t="str">
        <f>IFERROR(__xludf.DUMMYFUNCTION("""COMPUTED_VALUE"""),"Tunisia")</f>
        <v>Tunisia</v>
      </c>
      <c r="H60" s="43" t="str">
        <f>IFERROR(__xludf.DUMMYFUNCTION("""COMPUTED_VALUE"""),"THYNA")</f>
        <v>THYNA</v>
      </c>
      <c r="I60" s="43" t="str">
        <f>IFERROR(__xludf.DUMMYFUNCTION("""COMPUTED_VALUE"""),"Turkey")</f>
        <v>Turkey</v>
      </c>
      <c r="J60" s="43" t="str">
        <f>IFERROR(__xludf.DUMMYFUNCTION("""COMPUTED_VALUE"""),"ISTANBUL")</f>
        <v>ISTANBUL</v>
      </c>
      <c r="K60" s="44" t="str">
        <f>IFERROR(__xludf.DUMMYFUNCTION("""COMPUTED_VALUE"""),"https://expa.aiesec.org/opportunities/1262819")</f>
        <v>https://expa.aiesec.org/opportunities/1262819</v>
      </c>
      <c r="L60" s="43" t="str">
        <f>IFERROR(__xludf.DUMMYFUNCTION("""COMPUTED_VALUE"""),"GTa")</f>
        <v>GTa</v>
      </c>
      <c r="M60" s="43" t="str">
        <f>IFERROR(__xludf.DUMMYFUNCTION("""COMPUTED_VALUE"""),"long")</f>
        <v>long</v>
      </c>
      <c r="N60" s="45">
        <f>IFERROR(__xludf.DUMMYFUNCTION("""COMPUTED_VALUE"""),44881.0)</f>
        <v>44881</v>
      </c>
      <c r="O60" s="45">
        <f>IFERROR(__xludf.DUMMYFUNCTION("""COMPUTED_VALUE"""),44893.0)</f>
        <v>44893</v>
      </c>
      <c r="P60" s="45">
        <f>IFERROR(__xludf.DUMMYFUNCTION("""COMPUTED_VALUE"""),45254.0)</f>
        <v>45254</v>
      </c>
      <c r="Q60" s="45">
        <f>IFERROR(__xludf.DUMMYFUNCTION("""COMPUTED_VALUE"""),44958.0)</f>
        <v>44958</v>
      </c>
      <c r="R60" s="45">
        <f>IFERROR(__xludf.DUMMYFUNCTION("""COMPUTED_VALUE"""),45323.0)</f>
        <v>45323</v>
      </c>
      <c r="S60" s="43"/>
      <c r="T60" s="43" t="str">
        <f>IFERROR(__xludf.DUMMYFUNCTION("""COMPUTED_VALUE"""),"Other")</f>
        <v>Other</v>
      </c>
      <c r="U60" s="43" t="str">
        <f>IFERROR(__xludf.DUMMYFUNCTION("""COMPUTED_VALUE"""),"Lawyer/ Legal Trainee")</f>
        <v>Lawyer/ Legal Trainee</v>
      </c>
      <c r="V60" s="43" t="str">
        <f>IFERROR(__xludf.DUMMYFUNCTION("""COMPUTED_VALUE"""),"FDSF")</f>
        <v>FDSF</v>
      </c>
      <c r="W60" s="43" t="str">
        <f>IFERROR(__xludf.DUMMYFUNCTION("""COMPUTED_VALUE"""),"2022-10-29T21:49:46Z")</f>
        <v>2022-10-29T21:49:46Z</v>
      </c>
      <c r="X60" s="43"/>
      <c r="Y60" s="43"/>
      <c r="Z60" s="43"/>
    </row>
    <row r="61" hidden="1">
      <c r="A61" s="43" t="str">
        <f>IFERROR(__xludf.DUMMYFUNCTION("""COMPUTED_VALUE"""),"5152476_1288431")</f>
        <v>5152476_1288431</v>
      </c>
      <c r="B61" s="43" t="str">
        <f>IFERROR(__xludf.DUMMYFUNCTION("""COMPUTED_VALUE"""),"Moomal Baloch")</f>
        <v>Moomal Baloch</v>
      </c>
      <c r="C61" s="43" t="str">
        <f>IFERROR(__xludf.DUMMYFUNCTION("""COMPUTED_VALUE"""),"finished")</f>
        <v>finished</v>
      </c>
      <c r="D61" s="43" t="str">
        <f>IFERROR(__xludf.DUMMYFUNCTION("""COMPUTED_VALUE"""),"No")</f>
        <v>No</v>
      </c>
      <c r="E61" s="43" t="str">
        <f>IFERROR(__xludf.DUMMYFUNCTION("""COMPUTED_VALUE"""),"p_2eba4818efb7976e55888bea72c64dc1e6c2e722@inbound.aiesec.org")</f>
        <v>p_2eba4818efb7976e55888bea72c64dc1e6c2e722@inbound.aiesec.org</v>
      </c>
      <c r="F61" s="43">
        <f>IFERROR(__xludf.DUMMYFUNCTION("""COMPUTED_VALUE"""),3.323563664E9)</f>
        <v>3323563664</v>
      </c>
      <c r="G61" s="43" t="str">
        <f>IFERROR(__xludf.DUMMYFUNCTION("""COMPUTED_VALUE"""),"Pakistan")</f>
        <v>Pakistan</v>
      </c>
      <c r="H61" s="43" t="str">
        <f>IFERROR(__xludf.DUMMYFUNCTION("""COMPUTED_VALUE"""),"Karachi")</f>
        <v>Karachi</v>
      </c>
      <c r="I61" s="43" t="str">
        <f>IFERROR(__xludf.DUMMYFUNCTION("""COMPUTED_VALUE"""),"Turkey")</f>
        <v>Turkey</v>
      </c>
      <c r="J61" s="43" t="str">
        <f>IFERROR(__xludf.DUMMYFUNCTION("""COMPUTED_VALUE"""),"KOCAELI")</f>
        <v>KOCAELI</v>
      </c>
      <c r="K61" s="44" t="str">
        <f>IFERROR(__xludf.DUMMYFUNCTION("""COMPUTED_VALUE"""),"https://expa.aiesec.org/opportunities/1288431")</f>
        <v>https://expa.aiesec.org/opportunities/1288431</v>
      </c>
      <c r="L61" s="43" t="str">
        <f>IFERROR(__xludf.DUMMYFUNCTION("""COMPUTED_VALUE"""),"GTa")</f>
        <v>GTa</v>
      </c>
      <c r="M61" s="43" t="str">
        <f>IFERROR(__xludf.DUMMYFUNCTION("""COMPUTED_VALUE"""),"long")</f>
        <v>long</v>
      </c>
      <c r="N61" s="45">
        <f>IFERROR(__xludf.DUMMYFUNCTION("""COMPUTED_VALUE"""),44882.0)</f>
        <v>44882</v>
      </c>
      <c r="O61" s="45">
        <f>IFERROR(__xludf.DUMMYFUNCTION("""COMPUTED_VALUE"""),44914.0)</f>
        <v>44914</v>
      </c>
      <c r="P61" s="45">
        <f>IFERROR(__xludf.DUMMYFUNCTION("""COMPUTED_VALUE"""),45279.0)</f>
        <v>45279</v>
      </c>
      <c r="Q61" s="45">
        <f>IFERROR(__xludf.DUMMYFUNCTION("""COMPUTED_VALUE"""),44912.0)</f>
        <v>44912</v>
      </c>
      <c r="R61" s="45">
        <f>IFERROR(__xludf.DUMMYFUNCTION("""COMPUTED_VALUE"""),45279.0)</f>
        <v>45279</v>
      </c>
      <c r="S61" s="43"/>
      <c r="T61" s="43" t="str">
        <f>IFERROR(__xludf.DUMMYFUNCTION("""COMPUTED_VALUE"""),"Business Development")</f>
        <v>Business Development</v>
      </c>
      <c r="U61" s="43" t="str">
        <f>IFERROR(__xludf.DUMMYFUNCTION("""COMPUTED_VALUE"""),"Export Sales Specialist in MICROPUL Company")</f>
        <v>Export Sales Specialist in MICROPUL Company</v>
      </c>
      <c r="V61" s="43" t="str">
        <f>IFERROR(__xludf.DUMMYFUNCTION("""COMPUTED_VALUE"""),"Karachi - Institute of Business Management")</f>
        <v>Karachi - Institute of Business Management</v>
      </c>
      <c r="W61" s="43" t="str">
        <f>IFERROR(__xludf.DUMMYFUNCTION("""COMPUTED_VALUE"""),"2022-11-14T10:57:48Z")</f>
        <v>2022-11-14T10:57:48Z</v>
      </c>
      <c r="X61" s="43"/>
      <c r="Y61" s="43"/>
      <c r="Z61" s="43"/>
    </row>
    <row r="62" hidden="1">
      <c r="A62" s="43" t="str">
        <f>IFERROR(__xludf.DUMMYFUNCTION("""COMPUTED_VALUE"""),"5136173_1288813")</f>
        <v>5136173_1288813</v>
      </c>
      <c r="B62" s="43" t="str">
        <f>IFERROR(__xludf.DUMMYFUNCTION("""COMPUTED_VALUE"""),"mohammed azzeddine othmane")</f>
        <v>mohammed azzeddine othmane</v>
      </c>
      <c r="C62" s="43" t="str">
        <f>IFERROR(__xludf.DUMMYFUNCTION("""COMPUTED_VALUE"""),"finished")</f>
        <v>finished</v>
      </c>
      <c r="D62" s="43" t="str">
        <f>IFERROR(__xludf.DUMMYFUNCTION("""COMPUTED_VALUE"""),"No")</f>
        <v>No</v>
      </c>
      <c r="E62" s="43" t="str">
        <f>IFERROR(__xludf.DUMMYFUNCTION("""COMPUTED_VALUE"""),"p_687adb21d17cd38b5b0d9eceebc709971d60748e@inbound.aiesec.org")</f>
        <v>p_687adb21d17cd38b5b0d9eceebc709971d60748e@inbound.aiesec.org</v>
      </c>
      <c r="F62" s="43">
        <f>IFERROR(__xludf.DUMMYFUNCTION("""COMPUTED_VALUE"""),6.65726223E8)</f>
        <v>665726223</v>
      </c>
      <c r="G62" s="43" t="str">
        <f>IFERROR(__xludf.DUMMYFUNCTION("""COMPUTED_VALUE"""),"Algeria")</f>
        <v>Algeria</v>
      </c>
      <c r="H62" s="43" t="str">
        <f>IFERROR(__xludf.DUMMYFUNCTION("""COMPUTED_VALUE"""),"Blida")</f>
        <v>Blida</v>
      </c>
      <c r="I62" s="43" t="str">
        <f>IFERROR(__xludf.DUMMYFUNCTION("""COMPUTED_VALUE"""),"Turkey")</f>
        <v>Turkey</v>
      </c>
      <c r="J62" s="43" t="str">
        <f>IFERROR(__xludf.DUMMYFUNCTION("""COMPUTED_VALUE"""),"ISTANBUL WEST")</f>
        <v>ISTANBUL WEST</v>
      </c>
      <c r="K62" s="44" t="str">
        <f>IFERROR(__xludf.DUMMYFUNCTION("""COMPUTED_VALUE"""),"https://expa.aiesec.org/opportunities/1288813")</f>
        <v>https://expa.aiesec.org/opportunities/1288813</v>
      </c>
      <c r="L62" s="43" t="str">
        <f>IFERROR(__xludf.DUMMYFUNCTION("""COMPUTED_VALUE"""),"GTa")</f>
        <v>GTa</v>
      </c>
      <c r="M62" s="43" t="str">
        <f>IFERROR(__xludf.DUMMYFUNCTION("""COMPUTED_VALUE"""),"long")</f>
        <v>long</v>
      </c>
      <c r="N62" s="45">
        <f>IFERROR(__xludf.DUMMYFUNCTION("""COMPUTED_VALUE"""),44882.0)</f>
        <v>44882</v>
      </c>
      <c r="O62" s="45">
        <f>IFERROR(__xludf.DUMMYFUNCTION("""COMPUTED_VALUE"""),44872.0)</f>
        <v>44872</v>
      </c>
      <c r="P62" s="45">
        <f>IFERROR(__xludf.DUMMYFUNCTION("""COMPUTED_VALUE"""),45237.0)</f>
        <v>45237</v>
      </c>
      <c r="Q62" s="45">
        <f>IFERROR(__xludf.DUMMYFUNCTION("""COMPUTED_VALUE"""),44940.0)</f>
        <v>44940</v>
      </c>
      <c r="R62" s="45">
        <f>IFERROR(__xludf.DUMMYFUNCTION("""COMPUTED_VALUE"""),45307.0)</f>
        <v>45307</v>
      </c>
      <c r="S62" s="43"/>
      <c r="T62" s="43" t="str">
        <f>IFERROR(__xludf.DUMMYFUNCTION("""COMPUTED_VALUE"""),"Marketing")</f>
        <v>Marketing</v>
      </c>
      <c r="U62" s="43" t="str">
        <f>IFERROR(__xludf.DUMMYFUNCTION("""COMPUTED_VALUE"""),"Call Center Customer Representative")</f>
        <v>Call Center Customer Representative</v>
      </c>
      <c r="V62" s="43" t="str">
        <f>IFERROR(__xludf.DUMMYFUNCTION("""COMPUTED_VALUE"""),"AIESEC in Blida")</f>
        <v>AIESEC in Blida</v>
      </c>
      <c r="W62" s="43" t="str">
        <f>IFERROR(__xludf.DUMMYFUNCTION("""COMPUTED_VALUE"""),"2022-10-18T19:08:05Z")</f>
        <v>2022-10-18T19:08:05Z</v>
      </c>
      <c r="X62" s="43"/>
      <c r="Y62" s="43"/>
      <c r="Z62" s="43"/>
    </row>
    <row r="63" hidden="1">
      <c r="A63" s="43" t="str">
        <f>IFERROR(__xludf.DUMMYFUNCTION("""COMPUTED_VALUE"""),"3944420_1285020")</f>
        <v>3944420_1285020</v>
      </c>
      <c r="B63" s="43" t="str">
        <f>IFERROR(__xludf.DUMMYFUNCTION("""COMPUTED_VALUE"""),"Akeh Nkeng Junior")</f>
        <v>Akeh Nkeng Junior</v>
      </c>
      <c r="C63" s="43" t="str">
        <f>IFERROR(__xludf.DUMMYFUNCTION("""COMPUTED_VALUE"""),"finished")</f>
        <v>finished</v>
      </c>
      <c r="D63" s="43" t="str">
        <f>IFERROR(__xludf.DUMMYFUNCTION("""COMPUTED_VALUE"""),"No")</f>
        <v>No</v>
      </c>
      <c r="E63" s="43" t="str">
        <f>IFERROR(__xludf.DUMMYFUNCTION("""COMPUTED_VALUE"""),"p_7cbf4fd0fa0e7eb5d76155b7f39e432d4757de3b@inbound.aiesec.org")</f>
        <v>p_7cbf4fd0fa0e7eb5d76155b7f39e432d4757de3b@inbound.aiesec.org</v>
      </c>
      <c r="F63" s="43"/>
      <c r="G63" s="43" t="str">
        <f>IFERROR(__xludf.DUMMYFUNCTION("""COMPUTED_VALUE"""),"Cameroon")</f>
        <v>Cameroon</v>
      </c>
      <c r="H63" s="43" t="str">
        <f>IFERROR(__xludf.DUMMYFUNCTION("""COMPUTED_VALUE"""),"Maroua")</f>
        <v>Maroua</v>
      </c>
      <c r="I63" s="43" t="str">
        <f>IFERROR(__xludf.DUMMYFUNCTION("""COMPUTED_VALUE"""),"Turkey")</f>
        <v>Turkey</v>
      </c>
      <c r="J63" s="43" t="str">
        <f>IFERROR(__xludf.DUMMYFUNCTION("""COMPUTED_VALUE"""),"GAZIANTEP")</f>
        <v>GAZIANTEP</v>
      </c>
      <c r="K63" s="44" t="str">
        <f>IFERROR(__xludf.DUMMYFUNCTION("""COMPUTED_VALUE"""),"https://expa.aiesec.org/opportunities/1285020")</f>
        <v>https://expa.aiesec.org/opportunities/1285020</v>
      </c>
      <c r="L63" s="43" t="str">
        <f>IFERROR(__xludf.DUMMYFUNCTION("""COMPUTED_VALUE"""),"GTa")</f>
        <v>GTa</v>
      </c>
      <c r="M63" s="43" t="str">
        <f>IFERROR(__xludf.DUMMYFUNCTION("""COMPUTED_VALUE"""),"long")</f>
        <v>long</v>
      </c>
      <c r="N63" s="45">
        <f>IFERROR(__xludf.DUMMYFUNCTION("""COMPUTED_VALUE"""),44886.0)</f>
        <v>44886</v>
      </c>
      <c r="O63" s="45">
        <f>IFERROR(__xludf.DUMMYFUNCTION("""COMPUTED_VALUE"""),44900.0)</f>
        <v>44900</v>
      </c>
      <c r="P63" s="45">
        <f>IFERROR(__xludf.DUMMYFUNCTION("""COMPUTED_VALUE"""),45265.0)</f>
        <v>45265</v>
      </c>
      <c r="Q63" s="45">
        <f>IFERROR(__xludf.DUMMYFUNCTION("""COMPUTED_VALUE"""),44886.0)</f>
        <v>44886</v>
      </c>
      <c r="R63" s="45">
        <f>IFERROR(__xludf.DUMMYFUNCTION("""COMPUTED_VALUE"""),45260.0)</f>
        <v>45260</v>
      </c>
      <c r="S63" s="43"/>
      <c r="T63" s="43" t="str">
        <f>IFERROR(__xludf.DUMMYFUNCTION("""COMPUTED_VALUE"""),"Marketing")</f>
        <v>Marketing</v>
      </c>
      <c r="U63" s="43" t="str">
        <f>IFERROR(__xludf.DUMMYFUNCTION("""COMPUTED_VALUE"""),"MARKETİNG&amp;SALES")</f>
        <v>MARKETİNG&amp;SALES</v>
      </c>
      <c r="V63" s="43" t="str">
        <f>IFERROR(__xludf.DUMMYFUNCTION("""COMPUTED_VALUE"""),"UNV Maroua")</f>
        <v>UNV Maroua</v>
      </c>
      <c r="W63" s="43" t="str">
        <f>IFERROR(__xludf.DUMMYFUNCTION("""COMPUTED_VALUE"""),"2019-11-02T06:48:43Z")</f>
        <v>2019-11-02T06:48:43Z</v>
      </c>
      <c r="X63" s="43"/>
      <c r="Y63" s="43"/>
      <c r="Z63" s="43"/>
    </row>
    <row r="64" hidden="1">
      <c r="A64" s="43" t="str">
        <f>IFERROR(__xludf.DUMMYFUNCTION("""COMPUTED_VALUE"""),"4678168_1286821")</f>
        <v>4678168_1286821</v>
      </c>
      <c r="B64" s="43" t="str">
        <f>IFERROR(__xludf.DUMMYFUNCTION("""COMPUTED_VALUE"""),"Molka Adassi")</f>
        <v>Molka Adassi</v>
      </c>
      <c r="C64" s="43" t="str">
        <f>IFERROR(__xludf.DUMMYFUNCTION("""COMPUTED_VALUE"""),"finished")</f>
        <v>finished</v>
      </c>
      <c r="D64" s="43" t="str">
        <f>IFERROR(__xludf.DUMMYFUNCTION("""COMPUTED_VALUE"""),"No")</f>
        <v>No</v>
      </c>
      <c r="E64" s="43" t="str">
        <f>IFERROR(__xludf.DUMMYFUNCTION("""COMPUTED_VALUE"""),"p_295956d52c7f70accdf4f34d402c4719d628ba06@inbound.aiesec.org")</f>
        <v>p_295956d52c7f70accdf4f34d402c4719d628ba06@inbound.aiesec.org</v>
      </c>
      <c r="F64" s="43"/>
      <c r="G64" s="43" t="str">
        <f>IFERROR(__xludf.DUMMYFUNCTION("""COMPUTED_VALUE"""),"Tunisia")</f>
        <v>Tunisia</v>
      </c>
      <c r="H64" s="43" t="str">
        <f>IFERROR(__xludf.DUMMYFUNCTION("""COMPUTED_VALUE"""),"BARDO")</f>
        <v>BARDO</v>
      </c>
      <c r="I64" s="43" t="str">
        <f>IFERROR(__xludf.DUMMYFUNCTION("""COMPUTED_VALUE"""),"Turkey")</f>
        <v>Turkey</v>
      </c>
      <c r="J64" s="43" t="str">
        <f>IFERROR(__xludf.DUMMYFUNCTION("""COMPUTED_VALUE"""),"ISTANBUL ASIA")</f>
        <v>ISTANBUL ASIA</v>
      </c>
      <c r="K64" s="44" t="str">
        <f>IFERROR(__xludf.DUMMYFUNCTION("""COMPUTED_VALUE"""),"https://expa.aiesec.org/opportunities/1286821")</f>
        <v>https://expa.aiesec.org/opportunities/1286821</v>
      </c>
      <c r="L64" s="43" t="str">
        <f>IFERROR(__xludf.DUMMYFUNCTION("""COMPUTED_VALUE"""),"GTa")</f>
        <v>GTa</v>
      </c>
      <c r="M64" s="43" t="str">
        <f>IFERROR(__xludf.DUMMYFUNCTION("""COMPUTED_VALUE"""),"short")</f>
        <v>short</v>
      </c>
      <c r="N64" s="45">
        <f>IFERROR(__xludf.DUMMYFUNCTION("""COMPUTED_VALUE"""),44886.0)</f>
        <v>44886</v>
      </c>
      <c r="O64" s="45">
        <f>IFERROR(__xludf.DUMMYFUNCTION("""COMPUTED_VALUE"""),44928.0)</f>
        <v>44928</v>
      </c>
      <c r="P64" s="45">
        <f>IFERROR(__xludf.DUMMYFUNCTION("""COMPUTED_VALUE"""),45011.0)</f>
        <v>45011</v>
      </c>
      <c r="Q64" s="45">
        <f>IFERROR(__xludf.DUMMYFUNCTION("""COMPUTED_VALUE"""),44925.0)</f>
        <v>44925</v>
      </c>
      <c r="R64" s="45">
        <f>IFERROR(__xludf.DUMMYFUNCTION("""COMPUTED_VALUE"""),45013.0)</f>
        <v>45013</v>
      </c>
      <c r="S64" s="43"/>
      <c r="T64" s="43" t="str">
        <f>IFERROR(__xludf.DUMMYFUNCTION("""COMPUTED_VALUE"""),"Business Development")</f>
        <v>Business Development</v>
      </c>
      <c r="U64" s="43" t="str">
        <f>IFERROR(__xludf.DUMMYFUNCTION("""COMPUTED_VALUE"""),"International Relationship Director")</f>
        <v>International Relationship Director</v>
      </c>
      <c r="V64" s="43" t="str">
        <f>IFERROR(__xludf.DUMMYFUNCTION("""COMPUTED_VALUE"""),"-")</f>
        <v>-</v>
      </c>
      <c r="W64" s="43" t="str">
        <f>IFERROR(__xludf.DUMMYFUNCTION("""COMPUTED_VALUE"""),"2021-06-27T21:10:02Z")</f>
        <v>2021-06-27T21:10:02Z</v>
      </c>
      <c r="X64" s="43"/>
      <c r="Y64" s="43"/>
      <c r="Z64" s="43"/>
    </row>
    <row r="65" hidden="1">
      <c r="A65" s="43" t="str">
        <f>IFERROR(__xludf.DUMMYFUNCTION("""COMPUTED_VALUE"""),"5156627_1287708")</f>
        <v>5156627_1287708</v>
      </c>
      <c r="B65" s="43" t="str">
        <f>IFERROR(__xludf.DUMMYFUNCTION("""COMPUTED_VALUE"""),"Omnia Ahmed")</f>
        <v>Omnia Ahmed</v>
      </c>
      <c r="C65" s="43" t="str">
        <f>IFERROR(__xludf.DUMMYFUNCTION("""COMPUTED_VALUE"""),"realization_broken")</f>
        <v>realization_broken</v>
      </c>
      <c r="D65" s="43" t="str">
        <f>IFERROR(__xludf.DUMMYFUNCTION("""COMPUTED_VALUE"""),"No")</f>
        <v>No</v>
      </c>
      <c r="E65" s="43" t="str">
        <f>IFERROR(__xludf.DUMMYFUNCTION("""COMPUTED_VALUE"""),"p_b8364e5c4cfd169593256e05b75ab1264ccb25fa@inbound.aiesec.org")</f>
        <v>p_b8364e5c4cfd169593256e05b75ab1264ccb25fa@inbound.aiesec.org</v>
      </c>
      <c r="F65" s="43"/>
      <c r="G65" s="43" t="str">
        <f>IFERROR(__xludf.DUMMYFUNCTION("""COMPUTED_VALUE"""),"Egypt")</f>
        <v>Egypt</v>
      </c>
      <c r="H65" s="43" t="str">
        <f>IFERROR(__xludf.DUMMYFUNCTION("""COMPUTED_VALUE"""),"Suez")</f>
        <v>Suez</v>
      </c>
      <c r="I65" s="43" t="str">
        <f>IFERROR(__xludf.DUMMYFUNCTION("""COMPUTED_VALUE"""),"Turkey")</f>
        <v>Turkey</v>
      </c>
      <c r="J65" s="43" t="str">
        <f>IFERROR(__xludf.DUMMYFUNCTION("""COMPUTED_VALUE"""),"ISTANBUL WEST")</f>
        <v>ISTANBUL WEST</v>
      </c>
      <c r="K65" s="44" t="str">
        <f>IFERROR(__xludf.DUMMYFUNCTION("""COMPUTED_VALUE"""),"https://expa.aiesec.org/opportunities/1287708")</f>
        <v>https://expa.aiesec.org/opportunities/1287708</v>
      </c>
      <c r="L65" s="43" t="str">
        <f>IFERROR(__xludf.DUMMYFUNCTION("""COMPUTED_VALUE"""),"GTa")</f>
        <v>GTa</v>
      </c>
      <c r="M65" s="43" t="str">
        <f>IFERROR(__xludf.DUMMYFUNCTION("""COMPUTED_VALUE"""),"long")</f>
        <v>long</v>
      </c>
      <c r="N65" s="45">
        <f>IFERROR(__xludf.DUMMYFUNCTION("""COMPUTED_VALUE"""),44887.0)</f>
        <v>44887</v>
      </c>
      <c r="O65" s="45">
        <f>IFERROR(__xludf.DUMMYFUNCTION("""COMPUTED_VALUE"""),44907.0)</f>
        <v>44907</v>
      </c>
      <c r="P65" s="45">
        <f>IFERROR(__xludf.DUMMYFUNCTION("""COMPUTED_VALUE"""),45271.0)</f>
        <v>45271</v>
      </c>
      <c r="Q65" s="45"/>
      <c r="R65" s="45"/>
      <c r="S65" s="43"/>
      <c r="T65" s="43" t="str">
        <f>IFERROR(__xludf.DUMMYFUNCTION("""COMPUTED_VALUE"""),"Marketing")</f>
        <v>Marketing</v>
      </c>
      <c r="U65" s="43" t="str">
        <f>IFERROR(__xludf.DUMMYFUNCTION("""COMPUTED_VALUE"""),"Telesales Specialist")</f>
        <v>Telesales Specialist</v>
      </c>
      <c r="V65" s="43" t="str">
        <f>IFERROR(__xludf.DUMMYFUNCTION("""COMPUTED_VALUE"""),"-")</f>
        <v>-</v>
      </c>
      <c r="W65" s="43" t="str">
        <f>IFERROR(__xludf.DUMMYFUNCTION("""COMPUTED_VALUE"""),"2022-11-21T16:53:31Z")</f>
        <v>2022-11-21T16:53:31Z</v>
      </c>
      <c r="X65" s="43"/>
      <c r="Y65" s="43"/>
      <c r="Z65" s="43"/>
    </row>
    <row r="66" hidden="1">
      <c r="A66" s="43" t="str">
        <f>IFERROR(__xludf.DUMMYFUNCTION("""COMPUTED_VALUE"""),"5155912_1288973")</f>
        <v>5155912_1288973</v>
      </c>
      <c r="B66" s="43" t="str">
        <f>IFERROR(__xludf.DUMMYFUNCTION("""COMPUTED_VALUE"""),"Fadwa Jadiri")</f>
        <v>Fadwa Jadiri</v>
      </c>
      <c r="C66" s="43" t="str">
        <f>IFERROR(__xludf.DUMMYFUNCTION("""COMPUTED_VALUE"""),"finished")</f>
        <v>finished</v>
      </c>
      <c r="D66" s="43" t="str">
        <f>IFERROR(__xludf.DUMMYFUNCTION("""COMPUTED_VALUE"""),"No")</f>
        <v>No</v>
      </c>
      <c r="E66" s="43" t="str">
        <f>IFERROR(__xludf.DUMMYFUNCTION("""COMPUTED_VALUE"""),"p_d1c47f08f093998ea1fc7ce4c1c804cf2745e103@inbound.aiesec.org")</f>
        <v>p_d1c47f08f093998ea1fc7ce4c1c804cf2745e103@inbound.aiesec.org</v>
      </c>
      <c r="F66" s="43"/>
      <c r="G66" s="43" t="str">
        <f>IFERROR(__xludf.DUMMYFUNCTION("""COMPUTED_VALUE"""),"Morocco")</f>
        <v>Morocco</v>
      </c>
      <c r="H66" s="43" t="str">
        <f>IFERROR(__xludf.DUMMYFUNCTION("""COMPUTED_VALUE"""),"Casablanca")</f>
        <v>Casablanca</v>
      </c>
      <c r="I66" s="43" t="str">
        <f>IFERROR(__xludf.DUMMYFUNCTION("""COMPUTED_VALUE"""),"Turkey")</f>
        <v>Turkey</v>
      </c>
      <c r="J66" s="43" t="str">
        <f>IFERROR(__xludf.DUMMYFUNCTION("""COMPUTED_VALUE"""),"ISTANBUL")</f>
        <v>ISTANBUL</v>
      </c>
      <c r="K66" s="44" t="str">
        <f>IFERROR(__xludf.DUMMYFUNCTION("""COMPUTED_VALUE"""),"https://expa.aiesec.org/opportunities/1288973")</f>
        <v>https://expa.aiesec.org/opportunities/1288973</v>
      </c>
      <c r="L66" s="43" t="str">
        <f>IFERROR(__xludf.DUMMYFUNCTION("""COMPUTED_VALUE"""),"GTa")</f>
        <v>GTa</v>
      </c>
      <c r="M66" s="43" t="str">
        <f>IFERROR(__xludf.DUMMYFUNCTION("""COMPUTED_VALUE"""),"long")</f>
        <v>long</v>
      </c>
      <c r="N66" s="45">
        <f>IFERROR(__xludf.DUMMYFUNCTION("""COMPUTED_VALUE"""),44887.0)</f>
        <v>44887</v>
      </c>
      <c r="O66" s="45">
        <f>IFERROR(__xludf.DUMMYFUNCTION("""COMPUTED_VALUE"""),44898.0)</f>
        <v>44898</v>
      </c>
      <c r="P66" s="45">
        <f>IFERROR(__xludf.DUMMYFUNCTION("""COMPUTED_VALUE"""),45247.0)</f>
        <v>45247</v>
      </c>
      <c r="Q66" s="45">
        <f>IFERROR(__xludf.DUMMYFUNCTION("""COMPUTED_VALUE"""),44898.0)</f>
        <v>44898</v>
      </c>
      <c r="R66" s="45">
        <f>IFERROR(__xludf.DUMMYFUNCTION("""COMPUTED_VALUE"""),45260.0)</f>
        <v>45260</v>
      </c>
      <c r="S66" s="43"/>
      <c r="T66" s="43" t="str">
        <f>IFERROR(__xludf.DUMMYFUNCTION("""COMPUTED_VALUE"""),"Marketing")</f>
        <v>Marketing</v>
      </c>
      <c r="U66" s="43" t="str">
        <f>IFERROR(__xludf.DUMMYFUNCTION("""COMPUTED_VALUE"""),"Content Creator in Istanbul")</f>
        <v>Content Creator in Istanbul</v>
      </c>
      <c r="V66" s="43" t="str">
        <f>IFERROR(__xludf.DUMMYFUNCTION("""COMPUTED_VALUE"""),"-")</f>
        <v>-</v>
      </c>
      <c r="W66" s="43" t="str">
        <f>IFERROR(__xludf.DUMMYFUNCTION("""COMPUTED_VALUE"""),"2022-11-19T19:35:18Z")</f>
        <v>2022-11-19T19:35:18Z</v>
      </c>
      <c r="X66" s="43"/>
      <c r="Y66" s="43"/>
      <c r="Z66" s="43"/>
    </row>
    <row r="67" hidden="1">
      <c r="A67" s="43" t="str">
        <f>IFERROR(__xludf.DUMMYFUNCTION("""COMPUTED_VALUE"""),"4955030_1290283")</f>
        <v>4955030_1290283</v>
      </c>
      <c r="B67" s="43" t="str">
        <f>IFERROR(__xludf.DUMMYFUNCTION("""COMPUTED_VALUE"""),"salma khemiri")</f>
        <v>salma khemiri</v>
      </c>
      <c r="C67" s="43" t="str">
        <f>IFERROR(__xludf.DUMMYFUNCTION("""COMPUTED_VALUE"""),"finished")</f>
        <v>finished</v>
      </c>
      <c r="D67" s="43" t="str">
        <f>IFERROR(__xludf.DUMMYFUNCTION("""COMPUTED_VALUE"""),"No")</f>
        <v>No</v>
      </c>
      <c r="E67" s="43" t="str">
        <f>IFERROR(__xludf.DUMMYFUNCTION("""COMPUTED_VALUE"""),"p_169f855934ecbe99e75bcf1fc8ff86211e5e04d3@inbound.aiesec.org")</f>
        <v>p_169f855934ecbe99e75bcf1fc8ff86211e5e04d3@inbound.aiesec.org</v>
      </c>
      <c r="F67" s="43">
        <f>IFERROR(__xludf.DUMMYFUNCTION("""COMPUTED_VALUE"""),5.6113422E7)</f>
        <v>56113422</v>
      </c>
      <c r="G67" s="43" t="str">
        <f>IFERROR(__xludf.DUMMYFUNCTION("""COMPUTED_VALUE"""),"Tunisia")</f>
        <v>Tunisia</v>
      </c>
      <c r="H67" s="43" t="str">
        <f>IFERROR(__xludf.DUMMYFUNCTION("""COMPUTED_VALUE"""),"BARDO")</f>
        <v>BARDO</v>
      </c>
      <c r="I67" s="43" t="str">
        <f>IFERROR(__xludf.DUMMYFUNCTION("""COMPUTED_VALUE"""),"Turkey")</f>
        <v>Turkey</v>
      </c>
      <c r="J67" s="43" t="str">
        <f>IFERROR(__xludf.DUMMYFUNCTION("""COMPUTED_VALUE"""),"ISTANBUL")</f>
        <v>ISTANBUL</v>
      </c>
      <c r="K67" s="44" t="str">
        <f>IFERROR(__xludf.DUMMYFUNCTION("""COMPUTED_VALUE"""),"https://expa.aiesec.org/opportunities/1290283")</f>
        <v>https://expa.aiesec.org/opportunities/1290283</v>
      </c>
      <c r="L67" s="43" t="str">
        <f>IFERROR(__xludf.DUMMYFUNCTION("""COMPUTED_VALUE"""),"GTa")</f>
        <v>GTa</v>
      </c>
      <c r="M67" s="43" t="str">
        <f>IFERROR(__xludf.DUMMYFUNCTION("""COMPUTED_VALUE"""),"long")</f>
        <v>long</v>
      </c>
      <c r="N67" s="45">
        <f>IFERROR(__xludf.DUMMYFUNCTION("""COMPUTED_VALUE"""),44888.0)</f>
        <v>44888</v>
      </c>
      <c r="O67" s="45">
        <f>IFERROR(__xludf.DUMMYFUNCTION("""COMPUTED_VALUE"""),44921.0)</f>
        <v>44921</v>
      </c>
      <c r="P67" s="45">
        <f>IFERROR(__xludf.DUMMYFUNCTION("""COMPUTED_VALUE"""),45289.0)</f>
        <v>45289</v>
      </c>
      <c r="Q67" s="45">
        <f>IFERROR(__xludf.DUMMYFUNCTION("""COMPUTED_VALUE"""),44949.0)</f>
        <v>44949</v>
      </c>
      <c r="R67" s="45">
        <f>IFERROR(__xludf.DUMMYFUNCTION("""COMPUTED_VALUE"""),45317.0)</f>
        <v>45317</v>
      </c>
      <c r="S67" s="43"/>
      <c r="T67" s="43" t="str">
        <f>IFERROR(__xludf.DUMMYFUNCTION("""COMPUTED_VALUE"""),"Business Development")</f>
        <v>Business Development</v>
      </c>
      <c r="U67" s="43" t="str">
        <f>IFERROR(__xludf.DUMMYFUNCTION("""COMPUTED_VALUE"""),"Sales and Marketing Expert")</f>
        <v>Sales and Marketing Expert</v>
      </c>
      <c r="V67" s="43" t="str">
        <f>IFERROR(__xludf.DUMMYFUNCTION("""COMPUTED_VALUE"""),"ISG Tunis")</f>
        <v>ISG Tunis</v>
      </c>
      <c r="W67" s="43" t="str">
        <f>IFERROR(__xludf.DUMMYFUNCTION("""COMPUTED_VALUE"""),"2022-02-28T20:35:10Z")</f>
        <v>2022-02-28T20:35:10Z</v>
      </c>
      <c r="X67" s="43"/>
      <c r="Y67" s="43"/>
      <c r="Z67" s="43"/>
    </row>
    <row r="68" hidden="1">
      <c r="A68" s="43" t="str">
        <f>IFERROR(__xludf.DUMMYFUNCTION("""COMPUTED_VALUE"""),"5156616_1285555")</f>
        <v>5156616_1285555</v>
      </c>
      <c r="B68" s="43" t="str">
        <f>IFERROR(__xludf.DUMMYFUNCTION("""COMPUTED_VALUE"""),"Maged Mohamed")</f>
        <v>Maged Mohamed</v>
      </c>
      <c r="C68" s="43" t="str">
        <f>IFERROR(__xludf.DUMMYFUNCTION("""COMPUTED_VALUE"""),"finished")</f>
        <v>finished</v>
      </c>
      <c r="D68" s="43" t="str">
        <f>IFERROR(__xludf.DUMMYFUNCTION("""COMPUTED_VALUE"""),"No")</f>
        <v>No</v>
      </c>
      <c r="E68" s="43" t="str">
        <f>IFERROR(__xludf.DUMMYFUNCTION("""COMPUTED_VALUE"""),"p_840a2138af557a9e991e8736732d278a0575c227@inbound.aiesec.org")</f>
        <v>p_840a2138af557a9e991e8736732d278a0575c227@inbound.aiesec.org</v>
      </c>
      <c r="F68" s="43">
        <f>IFERROR(__xludf.DUMMYFUNCTION("""COMPUTED_VALUE"""),1.098160222E9)</f>
        <v>1098160222</v>
      </c>
      <c r="G68" s="43" t="str">
        <f>IFERROR(__xludf.DUMMYFUNCTION("""COMPUTED_VALUE"""),"Egypt")</f>
        <v>Egypt</v>
      </c>
      <c r="H68" s="43" t="str">
        <f>IFERROR(__xludf.DUMMYFUNCTION("""COMPUTED_VALUE"""),"GUC")</f>
        <v>GUC</v>
      </c>
      <c r="I68" s="43" t="str">
        <f>IFERROR(__xludf.DUMMYFUNCTION("""COMPUTED_VALUE"""),"Turkey")</f>
        <v>Turkey</v>
      </c>
      <c r="J68" s="43" t="str">
        <f>IFERROR(__xludf.DUMMYFUNCTION("""COMPUTED_VALUE"""),"ISTANBUL")</f>
        <v>ISTANBUL</v>
      </c>
      <c r="K68" s="44" t="str">
        <f>IFERROR(__xludf.DUMMYFUNCTION("""COMPUTED_VALUE"""),"https://expa.aiesec.org/opportunities/1285555")</f>
        <v>https://expa.aiesec.org/opportunities/1285555</v>
      </c>
      <c r="L68" s="43" t="str">
        <f>IFERROR(__xludf.DUMMYFUNCTION("""COMPUTED_VALUE"""),"GTa")</f>
        <v>GTa</v>
      </c>
      <c r="M68" s="43" t="str">
        <f>IFERROR(__xludf.DUMMYFUNCTION("""COMPUTED_VALUE"""),"long")</f>
        <v>long</v>
      </c>
      <c r="N68" s="45">
        <f>IFERROR(__xludf.DUMMYFUNCTION("""COMPUTED_VALUE"""),44888.0)</f>
        <v>44888</v>
      </c>
      <c r="O68" s="45">
        <f>IFERROR(__xludf.DUMMYFUNCTION("""COMPUTED_VALUE"""),44894.0)</f>
        <v>44894</v>
      </c>
      <c r="P68" s="45">
        <f>IFERROR(__xludf.DUMMYFUNCTION("""COMPUTED_VALUE"""),45259.0)</f>
        <v>45259</v>
      </c>
      <c r="Q68" s="45">
        <f>IFERROR(__xludf.DUMMYFUNCTION("""COMPUTED_VALUE"""),44895.0)</f>
        <v>44895</v>
      </c>
      <c r="R68" s="45">
        <f>IFERROR(__xludf.DUMMYFUNCTION("""COMPUTED_VALUE"""),45260.0)</f>
        <v>45260</v>
      </c>
      <c r="S68" s="43"/>
      <c r="T68" s="43" t="str">
        <f>IFERROR(__xludf.DUMMYFUNCTION("""COMPUTED_VALUE"""),"Business Administration")</f>
        <v>Business Administration</v>
      </c>
      <c r="U68" s="43" t="str">
        <f>IFERROR(__xludf.DUMMYFUNCTION("""COMPUTED_VALUE"""),"Customer Support Junior Specialist")</f>
        <v>Customer Support Junior Specialist</v>
      </c>
      <c r="V68" s="43" t="str">
        <f>IFERROR(__xludf.DUMMYFUNCTION("""COMPUTED_VALUE"""),"GUC")</f>
        <v>GUC</v>
      </c>
      <c r="W68" s="43" t="str">
        <f>IFERROR(__xludf.DUMMYFUNCTION("""COMPUTED_VALUE"""),"2022-11-21T16:28:55Z")</f>
        <v>2022-11-21T16:28:55Z</v>
      </c>
      <c r="X68" s="43"/>
      <c r="Y68" s="43"/>
      <c r="Z68" s="43"/>
    </row>
    <row r="69" hidden="1">
      <c r="A69" s="43" t="str">
        <f>IFERROR(__xludf.DUMMYFUNCTION("""COMPUTED_VALUE"""),"5156587_1289255")</f>
        <v>5156587_1289255</v>
      </c>
      <c r="B69" s="43" t="str">
        <f>IFERROR(__xludf.DUMMYFUNCTION("""COMPUTED_VALUE"""),"Dahou Touaibia")</f>
        <v>Dahou Touaibia</v>
      </c>
      <c r="C69" s="43" t="str">
        <f>IFERROR(__xludf.DUMMYFUNCTION("""COMPUTED_VALUE"""),"realized")</f>
        <v>realized</v>
      </c>
      <c r="D69" s="43" t="str">
        <f>IFERROR(__xludf.DUMMYFUNCTION("""COMPUTED_VALUE"""),"No")</f>
        <v>No</v>
      </c>
      <c r="E69" s="43" t="str">
        <f>IFERROR(__xludf.DUMMYFUNCTION("""COMPUTED_VALUE"""),"p_9beca14a570c1463aed49fb218ae2e5e6484792c@inbound.aiesec.org")</f>
        <v>p_9beca14a570c1463aed49fb218ae2e5e6484792c@inbound.aiesec.org</v>
      </c>
      <c r="F69" s="43">
        <f>IFERROR(__xludf.DUMMYFUNCTION("""COMPUTED_VALUE"""),6.68095706E8)</f>
        <v>668095706</v>
      </c>
      <c r="G69" s="43" t="str">
        <f>IFERROR(__xludf.DUMMYFUNCTION("""COMPUTED_VALUE"""),"Algeria")</f>
        <v>Algeria</v>
      </c>
      <c r="H69" s="43" t="str">
        <f>IFERROR(__xludf.DUMMYFUNCTION("""COMPUTED_VALUE"""),"Oran")</f>
        <v>Oran</v>
      </c>
      <c r="I69" s="43" t="str">
        <f>IFERROR(__xludf.DUMMYFUNCTION("""COMPUTED_VALUE"""),"Turkey")</f>
        <v>Turkey</v>
      </c>
      <c r="J69" s="43" t="str">
        <f>IFERROR(__xludf.DUMMYFUNCTION("""COMPUTED_VALUE"""),"ISTANBUL")</f>
        <v>ISTANBUL</v>
      </c>
      <c r="K69" s="44" t="str">
        <f>IFERROR(__xludf.DUMMYFUNCTION("""COMPUTED_VALUE"""),"https://expa.aiesec.org/opportunities/1289255")</f>
        <v>https://expa.aiesec.org/opportunities/1289255</v>
      </c>
      <c r="L69" s="43" t="str">
        <f>IFERROR(__xludf.DUMMYFUNCTION("""COMPUTED_VALUE"""),"GTa")</f>
        <v>GTa</v>
      </c>
      <c r="M69" s="43" t="str">
        <f>IFERROR(__xludf.DUMMYFUNCTION("""COMPUTED_VALUE"""),"long")</f>
        <v>long</v>
      </c>
      <c r="N69" s="45">
        <f>IFERROR(__xludf.DUMMYFUNCTION("""COMPUTED_VALUE"""),44888.0)</f>
        <v>44888</v>
      </c>
      <c r="O69" s="45">
        <f>IFERROR(__xludf.DUMMYFUNCTION("""COMPUTED_VALUE"""),44921.0)</f>
        <v>44921</v>
      </c>
      <c r="P69" s="45">
        <f>IFERROR(__xludf.DUMMYFUNCTION("""COMPUTED_VALUE"""),45450.0)</f>
        <v>45450</v>
      </c>
      <c r="Q69" s="45">
        <f>IFERROR(__xludf.DUMMYFUNCTION("""COMPUTED_VALUE"""),44935.0)</f>
        <v>44935</v>
      </c>
      <c r="R69" s="45">
        <f>IFERROR(__xludf.DUMMYFUNCTION("""COMPUTED_VALUE"""),45464.0)</f>
        <v>45464</v>
      </c>
      <c r="S69" s="43"/>
      <c r="T69" s="43" t="str">
        <f>IFERROR(__xludf.DUMMYFUNCTION("""COMPUTED_VALUE"""),"Business Administration")</f>
        <v>Business Administration</v>
      </c>
      <c r="U69" s="43" t="str">
        <f>IFERROR(__xludf.DUMMYFUNCTION("""COMPUTED_VALUE"""),"Telesales Specialist in Istanbul (French Speaker)")</f>
        <v>Telesales Specialist in Istanbul (French Speaker)</v>
      </c>
      <c r="V69" s="43" t="str">
        <f>IFERROR(__xludf.DUMMYFUNCTION("""COMPUTED_VALUE"""),"AIESEC in Oran")</f>
        <v>AIESEC in Oran</v>
      </c>
      <c r="W69" s="43" t="str">
        <f>IFERROR(__xludf.DUMMYFUNCTION("""COMPUTED_VALUE"""),"2022-11-21T15:52:27Z")</f>
        <v>2022-11-21T15:52:27Z</v>
      </c>
      <c r="X69" s="43"/>
      <c r="Y69" s="43"/>
      <c r="Z69" s="43"/>
    </row>
    <row r="70" hidden="1">
      <c r="A70" s="43" t="str">
        <f>IFERROR(__xludf.DUMMYFUNCTION("""COMPUTED_VALUE"""),"4697656_1281101")</f>
        <v>4697656_1281101</v>
      </c>
      <c r="B70" s="43" t="str">
        <f>IFERROR(__xludf.DUMMYFUNCTION("""COMPUTED_VALUE"""),"meryem el assimi")</f>
        <v>meryem el assimi</v>
      </c>
      <c r="C70" s="43" t="str">
        <f>IFERROR(__xludf.DUMMYFUNCTION("""COMPUTED_VALUE"""),"finished")</f>
        <v>finished</v>
      </c>
      <c r="D70" s="43" t="str">
        <f>IFERROR(__xludf.DUMMYFUNCTION("""COMPUTED_VALUE"""),"No")</f>
        <v>No</v>
      </c>
      <c r="E70" s="43" t="str">
        <f>IFERROR(__xludf.DUMMYFUNCTION("""COMPUTED_VALUE"""),"p_ce05b414781cefbd62f05713c6fda98e9b6e22f2@inbound.aiesec.org")</f>
        <v>p_ce05b414781cefbd62f05713c6fda98e9b6e22f2@inbound.aiesec.org</v>
      </c>
      <c r="F70" s="43"/>
      <c r="G70" s="43" t="str">
        <f>IFERROR(__xludf.DUMMYFUNCTION("""COMPUTED_VALUE"""),"Morocco")</f>
        <v>Morocco</v>
      </c>
      <c r="H70" s="43" t="str">
        <f>IFERROR(__xludf.DUMMYFUNCTION("""COMPUTED_VALUE"""),"CLOSED ( Rabat )")</f>
        <v>CLOSED ( Rabat )</v>
      </c>
      <c r="I70" s="43" t="str">
        <f>IFERROR(__xludf.DUMMYFUNCTION("""COMPUTED_VALUE"""),"Turkey")</f>
        <v>Turkey</v>
      </c>
      <c r="J70" s="43" t="str">
        <f>IFERROR(__xludf.DUMMYFUNCTION("""COMPUTED_VALUE"""),"DENIZLI")</f>
        <v>DENIZLI</v>
      </c>
      <c r="K70" s="44" t="str">
        <f>IFERROR(__xludf.DUMMYFUNCTION("""COMPUTED_VALUE"""),"https://expa.aiesec.org/opportunities/1281101")</f>
        <v>https://expa.aiesec.org/opportunities/1281101</v>
      </c>
      <c r="L70" s="43" t="str">
        <f>IFERROR(__xludf.DUMMYFUNCTION("""COMPUTED_VALUE"""),"GTa")</f>
        <v>GTa</v>
      </c>
      <c r="M70" s="43" t="str">
        <f>IFERROR(__xludf.DUMMYFUNCTION("""COMPUTED_VALUE"""),"long")</f>
        <v>long</v>
      </c>
      <c r="N70" s="45">
        <f>IFERROR(__xludf.DUMMYFUNCTION("""COMPUTED_VALUE"""),44888.0)</f>
        <v>44888</v>
      </c>
      <c r="O70" s="45">
        <f>IFERROR(__xludf.DUMMYFUNCTION("""COMPUTED_VALUE"""),44907.0)</f>
        <v>44907</v>
      </c>
      <c r="P70" s="45">
        <f>IFERROR(__xludf.DUMMYFUNCTION("""COMPUTED_VALUE"""),45272.0)</f>
        <v>45272</v>
      </c>
      <c r="Q70" s="45">
        <f>IFERROR(__xludf.DUMMYFUNCTION("""COMPUTED_VALUE"""),44951.0)</f>
        <v>44951</v>
      </c>
      <c r="R70" s="45">
        <f>IFERROR(__xludf.DUMMYFUNCTION("""COMPUTED_VALUE"""),45316.0)</f>
        <v>45316</v>
      </c>
      <c r="S70" s="43"/>
      <c r="T70" s="43" t="str">
        <f>IFERROR(__xludf.DUMMYFUNCTION("""COMPUTED_VALUE"""),"Marketing")</f>
        <v>Marketing</v>
      </c>
      <c r="U70" s="43" t="str">
        <f>IFERROR(__xludf.DUMMYFUNCTION("""COMPUTED_VALUE"""),"Marketing Opportunıty on Alindair Soğutma Sistemleri")</f>
        <v>Marketing Opportunıty on Alindair Soğutma Sistemleri</v>
      </c>
      <c r="V70" s="43" t="str">
        <f>IFERROR(__xludf.DUMMYFUNCTION("""COMPUTED_VALUE"""),"-")</f>
        <v>-</v>
      </c>
      <c r="W70" s="43" t="str">
        <f>IFERROR(__xludf.DUMMYFUNCTION("""COMPUTED_VALUE"""),"2021-07-26T12:03:21Z")</f>
        <v>2021-07-26T12:03:21Z</v>
      </c>
      <c r="X70" s="43"/>
      <c r="Y70" s="43"/>
      <c r="Z70" s="43"/>
    </row>
    <row r="71" hidden="1">
      <c r="A71" s="43" t="str">
        <f>IFERROR(__xludf.DUMMYFUNCTION("""COMPUTED_VALUE"""),"5152256_1290876")</f>
        <v>5152256_1290876</v>
      </c>
      <c r="B71" s="43" t="str">
        <f>IFERROR(__xludf.DUMMYFUNCTION("""COMPUTED_VALUE"""),"Abir Zaafrane")</f>
        <v>Abir Zaafrane</v>
      </c>
      <c r="C71" s="43" t="str">
        <f>IFERROR(__xludf.DUMMYFUNCTION("""COMPUTED_VALUE"""),"finished")</f>
        <v>finished</v>
      </c>
      <c r="D71" s="43" t="str">
        <f>IFERROR(__xludf.DUMMYFUNCTION("""COMPUTED_VALUE"""),"No")</f>
        <v>No</v>
      </c>
      <c r="E71" s="43" t="str">
        <f>IFERROR(__xludf.DUMMYFUNCTION("""COMPUTED_VALUE"""),"p_f178e863a65aef5fdd92260fa8445ec0d6e1c47b@inbound.aiesec.org")</f>
        <v>p_f178e863a65aef5fdd92260fa8445ec0d6e1c47b@inbound.aiesec.org</v>
      </c>
      <c r="F71" s="43">
        <f>IFERROR(__xludf.DUMMYFUNCTION("""COMPUTED_VALUE"""),5.2880157E7)</f>
        <v>52880157</v>
      </c>
      <c r="G71" s="43" t="str">
        <f>IFERROR(__xludf.DUMMYFUNCTION("""COMPUTED_VALUE"""),"Tunisia")</f>
        <v>Tunisia</v>
      </c>
      <c r="H71" s="43" t="str">
        <f>IFERROR(__xludf.DUMMYFUNCTION("""COMPUTED_VALUE"""),"HADRUMET")</f>
        <v>HADRUMET</v>
      </c>
      <c r="I71" s="43" t="str">
        <f>IFERROR(__xludf.DUMMYFUNCTION("""COMPUTED_VALUE"""),"Turkey")</f>
        <v>Turkey</v>
      </c>
      <c r="J71" s="43" t="str">
        <f>IFERROR(__xludf.DUMMYFUNCTION("""COMPUTED_VALUE"""),"BURSA")</f>
        <v>BURSA</v>
      </c>
      <c r="K71" s="44" t="str">
        <f>IFERROR(__xludf.DUMMYFUNCTION("""COMPUTED_VALUE"""),"https://expa.aiesec.org/opportunities/1290876")</f>
        <v>https://expa.aiesec.org/opportunities/1290876</v>
      </c>
      <c r="L71" s="43" t="str">
        <f>IFERROR(__xludf.DUMMYFUNCTION("""COMPUTED_VALUE"""),"GTa")</f>
        <v>GTa</v>
      </c>
      <c r="M71" s="43" t="str">
        <f>IFERROR(__xludf.DUMMYFUNCTION("""COMPUTED_VALUE"""),"long")</f>
        <v>long</v>
      </c>
      <c r="N71" s="45">
        <f>IFERROR(__xludf.DUMMYFUNCTION("""COMPUTED_VALUE"""),44890.0)</f>
        <v>44890</v>
      </c>
      <c r="O71" s="45">
        <f>IFERROR(__xludf.DUMMYFUNCTION("""COMPUTED_VALUE"""),44927.0)</f>
        <v>44927</v>
      </c>
      <c r="P71" s="45">
        <f>IFERROR(__xludf.DUMMYFUNCTION("""COMPUTED_VALUE"""),45292.0)</f>
        <v>45292</v>
      </c>
      <c r="Q71" s="45">
        <f>IFERROR(__xludf.DUMMYFUNCTION("""COMPUTED_VALUE"""),44944.0)</f>
        <v>44944</v>
      </c>
      <c r="R71" s="45">
        <f>IFERROR(__xludf.DUMMYFUNCTION("""COMPUTED_VALUE"""),45309.0)</f>
        <v>45309</v>
      </c>
      <c r="S71" s="43"/>
      <c r="T71" s="43" t="str">
        <f>IFERROR(__xludf.DUMMYFUNCTION("""COMPUTED_VALUE"""),"Marketing")</f>
        <v>Marketing</v>
      </c>
      <c r="U71" s="43" t="str">
        <f>IFERROR(__xludf.DUMMYFUNCTION("""COMPUTED_VALUE"""),"Marketing ")</f>
        <v>Marketing </v>
      </c>
      <c r="V71" s="43" t="str">
        <f>IFERROR(__xludf.DUMMYFUNCTION("""COMPUTED_VALUE"""),"EPI Sousse")</f>
        <v>EPI Sousse</v>
      </c>
      <c r="W71" s="43" t="str">
        <f>IFERROR(__xludf.DUMMYFUNCTION("""COMPUTED_VALUE"""),"2022-11-13T21:04:31Z")</f>
        <v>2022-11-13T21:04:31Z</v>
      </c>
      <c r="X71" s="43"/>
      <c r="Y71" s="43"/>
      <c r="Z71" s="43"/>
    </row>
    <row r="72" hidden="1">
      <c r="A72" s="43" t="str">
        <f>IFERROR(__xludf.DUMMYFUNCTION("""COMPUTED_VALUE"""),"5158657_1289255")</f>
        <v>5158657_1289255</v>
      </c>
      <c r="B72" s="43" t="str">
        <f>IFERROR(__xludf.DUMMYFUNCTION("""COMPUTED_VALUE"""),"Imad boughambouz")</f>
        <v>Imad boughambouz</v>
      </c>
      <c r="C72" s="43" t="str">
        <f>IFERROR(__xludf.DUMMYFUNCTION("""COMPUTED_VALUE"""),"realized")</f>
        <v>realized</v>
      </c>
      <c r="D72" s="43" t="str">
        <f>IFERROR(__xludf.DUMMYFUNCTION("""COMPUTED_VALUE"""),"No")</f>
        <v>No</v>
      </c>
      <c r="E72" s="43" t="str">
        <f>IFERROR(__xludf.DUMMYFUNCTION("""COMPUTED_VALUE"""),"p_420a1eefcbe22c2bc983598d302da9c6ba15598e@inbound.aiesec.org")</f>
        <v>p_420a1eefcbe22c2bc983598d302da9c6ba15598e@inbound.aiesec.org</v>
      </c>
      <c r="F72" s="43"/>
      <c r="G72" s="43" t="str">
        <f>IFERROR(__xludf.DUMMYFUNCTION("""COMPUTED_VALUE"""),"Algeria")</f>
        <v>Algeria</v>
      </c>
      <c r="H72" s="43" t="str">
        <f>IFERROR(__xludf.DUMMYFUNCTION("""COMPUTED_VALUE"""),"Constantine")</f>
        <v>Constantine</v>
      </c>
      <c r="I72" s="43" t="str">
        <f>IFERROR(__xludf.DUMMYFUNCTION("""COMPUTED_VALUE"""),"Turkey")</f>
        <v>Turkey</v>
      </c>
      <c r="J72" s="43" t="str">
        <f>IFERROR(__xludf.DUMMYFUNCTION("""COMPUTED_VALUE"""),"ISTANBUL")</f>
        <v>ISTANBUL</v>
      </c>
      <c r="K72" s="44" t="str">
        <f>IFERROR(__xludf.DUMMYFUNCTION("""COMPUTED_VALUE"""),"https://expa.aiesec.org/opportunities/1289255")</f>
        <v>https://expa.aiesec.org/opportunities/1289255</v>
      </c>
      <c r="L72" s="43" t="str">
        <f>IFERROR(__xludf.DUMMYFUNCTION("""COMPUTED_VALUE"""),"GTa")</f>
        <v>GTa</v>
      </c>
      <c r="M72" s="43" t="str">
        <f>IFERROR(__xludf.DUMMYFUNCTION("""COMPUTED_VALUE"""),"long")</f>
        <v>long</v>
      </c>
      <c r="N72" s="45">
        <f>IFERROR(__xludf.DUMMYFUNCTION("""COMPUTED_VALUE"""),44892.0)</f>
        <v>44892</v>
      </c>
      <c r="O72" s="45">
        <f>IFERROR(__xludf.DUMMYFUNCTION("""COMPUTED_VALUE"""),44903.0)</f>
        <v>44903</v>
      </c>
      <c r="P72" s="45">
        <f>IFERROR(__xludf.DUMMYFUNCTION("""COMPUTED_VALUE"""),45401.0)</f>
        <v>45401</v>
      </c>
      <c r="Q72" s="45">
        <f>IFERROR(__xludf.DUMMYFUNCTION("""COMPUTED_VALUE"""),44903.0)</f>
        <v>44903</v>
      </c>
      <c r="R72" s="45">
        <f>IFERROR(__xludf.DUMMYFUNCTION("""COMPUTED_VALUE"""),45402.0)</f>
        <v>45402</v>
      </c>
      <c r="S72" s="43"/>
      <c r="T72" s="43" t="str">
        <f>IFERROR(__xludf.DUMMYFUNCTION("""COMPUTED_VALUE"""),"Business Administration")</f>
        <v>Business Administration</v>
      </c>
      <c r="U72" s="43" t="str">
        <f>IFERROR(__xludf.DUMMYFUNCTION("""COMPUTED_VALUE"""),"Telesales Specialist in Istanbul (French Speaker)")</f>
        <v>Telesales Specialist in Istanbul (French Speaker)</v>
      </c>
      <c r="V72" s="43" t="str">
        <f>IFERROR(__xludf.DUMMYFUNCTION("""COMPUTED_VALUE"""),"AIESEC in Constantine")</f>
        <v>AIESEC in Constantine</v>
      </c>
      <c r="W72" s="43" t="str">
        <f>IFERROR(__xludf.DUMMYFUNCTION("""COMPUTED_VALUE"""),"2022-11-25T08:38:41Z")</f>
        <v>2022-11-25T08:38:41Z</v>
      </c>
      <c r="X72" s="43"/>
      <c r="Y72" s="43"/>
      <c r="Z72" s="43"/>
    </row>
    <row r="73" hidden="1">
      <c r="A73" s="43" t="str">
        <f>IFERROR(__xludf.DUMMYFUNCTION("""COMPUTED_VALUE"""),"5027164_1288813")</f>
        <v>5027164_1288813</v>
      </c>
      <c r="B73" s="43" t="str">
        <f>IFERROR(__xludf.DUMMYFUNCTION("""COMPUTED_VALUE"""),"Sherouk Gamal ElDin")</f>
        <v>Sherouk Gamal ElDin</v>
      </c>
      <c r="C73" s="43" t="str">
        <f>IFERROR(__xludf.DUMMYFUNCTION("""COMPUTED_VALUE"""),"completed")</f>
        <v>completed</v>
      </c>
      <c r="D73" s="43" t="str">
        <f>IFERROR(__xludf.DUMMYFUNCTION("""COMPUTED_VALUE"""),"No")</f>
        <v>No</v>
      </c>
      <c r="E73" s="43" t="str">
        <f>IFERROR(__xludf.DUMMYFUNCTION("""COMPUTED_VALUE"""),"p_b3ae404943320406aae3e6f461b8c61ac3fea8b5@inbound.aiesec.org")</f>
        <v>p_b3ae404943320406aae3e6f461b8c61ac3fea8b5@inbound.aiesec.org</v>
      </c>
      <c r="F73" s="43">
        <f>IFERROR(__xludf.DUMMYFUNCTION("""COMPUTED_VALUE"""),5.360216965E9)</f>
        <v>5360216965</v>
      </c>
      <c r="G73" s="43" t="str">
        <f>IFERROR(__xludf.DUMMYFUNCTION("""COMPUTED_VALUE"""),"Egypt")</f>
        <v>Egypt</v>
      </c>
      <c r="H73" s="43" t="str">
        <f>IFERROR(__xludf.DUMMYFUNCTION("""COMPUTED_VALUE"""),"Alexandria")</f>
        <v>Alexandria</v>
      </c>
      <c r="I73" s="43" t="str">
        <f>IFERROR(__xludf.DUMMYFUNCTION("""COMPUTED_VALUE"""),"Turkey")</f>
        <v>Turkey</v>
      </c>
      <c r="J73" s="43" t="str">
        <f>IFERROR(__xludf.DUMMYFUNCTION("""COMPUTED_VALUE"""),"ISTANBUL WEST")</f>
        <v>ISTANBUL WEST</v>
      </c>
      <c r="K73" s="44" t="str">
        <f>IFERROR(__xludf.DUMMYFUNCTION("""COMPUTED_VALUE"""),"https://expa.aiesec.org/opportunities/1288813")</f>
        <v>https://expa.aiesec.org/opportunities/1288813</v>
      </c>
      <c r="L73" s="43" t="str">
        <f>IFERROR(__xludf.DUMMYFUNCTION("""COMPUTED_VALUE"""),"GTa")</f>
        <v>GTa</v>
      </c>
      <c r="M73" s="43" t="str">
        <f>IFERROR(__xludf.DUMMYFUNCTION("""COMPUTED_VALUE"""),"long")</f>
        <v>long</v>
      </c>
      <c r="N73" s="45">
        <f>IFERROR(__xludf.DUMMYFUNCTION("""COMPUTED_VALUE"""),44892.0)</f>
        <v>44892</v>
      </c>
      <c r="O73" s="45">
        <f>IFERROR(__xludf.DUMMYFUNCTION("""COMPUTED_VALUE"""),44914.0)</f>
        <v>44914</v>
      </c>
      <c r="P73" s="45">
        <f>IFERROR(__xludf.DUMMYFUNCTION("""COMPUTED_VALUE"""),45275.0)</f>
        <v>45275</v>
      </c>
      <c r="Q73" s="45">
        <f>IFERROR(__xludf.DUMMYFUNCTION("""COMPUTED_VALUE"""),44940.0)</f>
        <v>44940</v>
      </c>
      <c r="R73" s="45">
        <f>IFERROR(__xludf.DUMMYFUNCTION("""COMPUTED_VALUE"""),45303.0)</f>
        <v>45303</v>
      </c>
      <c r="S73" s="43"/>
      <c r="T73" s="43" t="str">
        <f>IFERROR(__xludf.DUMMYFUNCTION("""COMPUTED_VALUE"""),"Marketing")</f>
        <v>Marketing</v>
      </c>
      <c r="U73" s="43" t="str">
        <f>IFERROR(__xludf.DUMMYFUNCTION("""COMPUTED_VALUE"""),"Call Center Customer Representative")</f>
        <v>Call Center Customer Representative</v>
      </c>
      <c r="V73" s="43" t="str">
        <f>IFERROR(__xludf.DUMMYFUNCTION("""COMPUTED_VALUE"""),"Alexandria University")</f>
        <v>Alexandria University</v>
      </c>
      <c r="W73" s="43" t="str">
        <f>IFERROR(__xludf.DUMMYFUNCTION("""COMPUTED_VALUE"""),"2022-04-06T14:01:48Z")</f>
        <v>2022-04-06T14:01:48Z</v>
      </c>
      <c r="X73" s="43"/>
      <c r="Y73" s="43"/>
      <c r="Z73" s="43"/>
    </row>
    <row r="74" hidden="1">
      <c r="A74" s="43" t="str">
        <f>IFERROR(__xludf.DUMMYFUNCTION("""COMPUTED_VALUE"""),"5158745_1289255")</f>
        <v>5158745_1289255</v>
      </c>
      <c r="B74" s="43" t="str">
        <f>IFERROR(__xludf.DUMMYFUNCTION("""COMPUTED_VALUE"""),"ghita el boudlali")</f>
        <v>ghita el boudlali</v>
      </c>
      <c r="C74" s="43" t="str">
        <f>IFERROR(__xludf.DUMMYFUNCTION("""COMPUTED_VALUE"""),"realization_broken")</f>
        <v>realization_broken</v>
      </c>
      <c r="D74" s="43" t="str">
        <f>IFERROR(__xludf.DUMMYFUNCTION("""COMPUTED_VALUE"""),"No")</f>
        <v>No</v>
      </c>
      <c r="E74" s="43" t="str">
        <f>IFERROR(__xludf.DUMMYFUNCTION("""COMPUTED_VALUE"""),"p_64dac465f445552296a26356301890ee7d3c994c@inbound.aiesec.org")</f>
        <v>p_64dac465f445552296a26356301890ee7d3c994c@inbound.aiesec.org</v>
      </c>
      <c r="F74" s="43">
        <f>IFERROR(__xludf.DUMMYFUNCTION("""COMPUTED_VALUE"""),6.37755619E8)</f>
        <v>637755619</v>
      </c>
      <c r="G74" s="43" t="str">
        <f>IFERROR(__xludf.DUMMYFUNCTION("""COMPUTED_VALUE"""),"Morocco")</f>
        <v>Morocco</v>
      </c>
      <c r="H74" s="43" t="str">
        <f>IFERROR(__xludf.DUMMYFUNCTION("""COMPUTED_VALUE"""),"Morocco (MC)")</f>
        <v>Morocco (MC)</v>
      </c>
      <c r="I74" s="43" t="str">
        <f>IFERROR(__xludf.DUMMYFUNCTION("""COMPUTED_VALUE"""),"Turkey")</f>
        <v>Turkey</v>
      </c>
      <c r="J74" s="43" t="str">
        <f>IFERROR(__xludf.DUMMYFUNCTION("""COMPUTED_VALUE"""),"ISTANBUL")</f>
        <v>ISTANBUL</v>
      </c>
      <c r="K74" s="44" t="str">
        <f>IFERROR(__xludf.DUMMYFUNCTION("""COMPUTED_VALUE"""),"https://expa.aiesec.org/opportunities/1289255")</f>
        <v>https://expa.aiesec.org/opportunities/1289255</v>
      </c>
      <c r="L74" s="43" t="str">
        <f>IFERROR(__xludf.DUMMYFUNCTION("""COMPUTED_VALUE"""),"GTa")</f>
        <v>GTa</v>
      </c>
      <c r="M74" s="43" t="str">
        <f>IFERROR(__xludf.DUMMYFUNCTION("""COMPUTED_VALUE"""),"long")</f>
        <v>long</v>
      </c>
      <c r="N74" s="45">
        <f>IFERROR(__xludf.DUMMYFUNCTION("""COMPUTED_VALUE"""),44893.0)</f>
        <v>44893</v>
      </c>
      <c r="O74" s="45">
        <f>IFERROR(__xludf.DUMMYFUNCTION("""COMPUTED_VALUE"""),44903.0)</f>
        <v>44903</v>
      </c>
      <c r="P74" s="45">
        <f>IFERROR(__xludf.DUMMYFUNCTION("""COMPUTED_VALUE"""),45401.0)</f>
        <v>45401</v>
      </c>
      <c r="Q74" s="45"/>
      <c r="R74" s="45"/>
      <c r="S74" s="43"/>
      <c r="T74" s="43" t="str">
        <f>IFERROR(__xludf.DUMMYFUNCTION("""COMPUTED_VALUE"""),"Business Administration")</f>
        <v>Business Administration</v>
      </c>
      <c r="U74" s="43" t="str">
        <f>IFERROR(__xludf.DUMMYFUNCTION("""COMPUTED_VALUE"""),"Telesales Specialist in Istanbul (French Speaker)")</f>
        <v>Telesales Specialist in Istanbul (French Speaker)</v>
      </c>
      <c r="V74" s="43" t="str">
        <f>IFERROR(__xludf.DUMMYFUNCTION("""COMPUTED_VALUE"""),"Ecole Normale Supérieure Rabat (ENS)")</f>
        <v>Ecole Normale Supérieure Rabat (ENS)</v>
      </c>
      <c r="W74" s="43" t="str">
        <f>IFERROR(__xludf.DUMMYFUNCTION("""COMPUTED_VALUE"""),"2022-11-25T12:02:46Z")</f>
        <v>2022-11-25T12:02:46Z</v>
      </c>
      <c r="X74" s="43"/>
      <c r="Y74" s="43"/>
      <c r="Z74" s="43"/>
    </row>
    <row r="75" hidden="1">
      <c r="A75" s="43" t="str">
        <f>IFERROR(__xludf.DUMMYFUNCTION("""COMPUTED_VALUE"""),"5160340_1289255")</f>
        <v>5160340_1289255</v>
      </c>
      <c r="B75" s="43" t="str">
        <f>IFERROR(__xludf.DUMMYFUNCTION("""COMPUTED_VALUE"""),"Fella Bouskine")</f>
        <v>Fella Bouskine</v>
      </c>
      <c r="C75" s="43" t="str">
        <f>IFERROR(__xludf.DUMMYFUNCTION("""COMPUTED_VALUE"""),"realized")</f>
        <v>realized</v>
      </c>
      <c r="D75" s="43" t="str">
        <f>IFERROR(__xludf.DUMMYFUNCTION("""COMPUTED_VALUE"""),"No")</f>
        <v>No</v>
      </c>
      <c r="E75" s="43" t="str">
        <f>IFERROR(__xludf.DUMMYFUNCTION("""COMPUTED_VALUE"""),"p_dcc8379c2d8708c0118d70f1dfc48da00959f032@inbound.aiesec.org")</f>
        <v>p_dcc8379c2d8708c0118d70f1dfc48da00959f032@inbound.aiesec.org</v>
      </c>
      <c r="F75" s="43">
        <f>IFERROR(__xludf.DUMMYFUNCTION("""COMPUTED_VALUE"""),6.71418363E8)</f>
        <v>671418363</v>
      </c>
      <c r="G75" s="43" t="str">
        <f>IFERROR(__xludf.DUMMYFUNCTION("""COMPUTED_VALUE"""),"Algeria")</f>
        <v>Algeria</v>
      </c>
      <c r="H75" s="43" t="str">
        <f>IFERROR(__xludf.DUMMYFUNCTION("""COMPUTED_VALUE"""),"Babez")</f>
        <v>Babez</v>
      </c>
      <c r="I75" s="43" t="str">
        <f>IFERROR(__xludf.DUMMYFUNCTION("""COMPUTED_VALUE"""),"Turkey")</f>
        <v>Turkey</v>
      </c>
      <c r="J75" s="43" t="str">
        <f>IFERROR(__xludf.DUMMYFUNCTION("""COMPUTED_VALUE"""),"ISTANBUL")</f>
        <v>ISTANBUL</v>
      </c>
      <c r="K75" s="44" t="str">
        <f>IFERROR(__xludf.DUMMYFUNCTION("""COMPUTED_VALUE"""),"https://expa.aiesec.org/opportunities/1289255")</f>
        <v>https://expa.aiesec.org/opportunities/1289255</v>
      </c>
      <c r="L75" s="43" t="str">
        <f>IFERROR(__xludf.DUMMYFUNCTION("""COMPUTED_VALUE"""),"GTa")</f>
        <v>GTa</v>
      </c>
      <c r="M75" s="43" t="str">
        <f>IFERROR(__xludf.DUMMYFUNCTION("""COMPUTED_VALUE"""),"long")</f>
        <v>long</v>
      </c>
      <c r="N75" s="45">
        <f>IFERROR(__xludf.DUMMYFUNCTION("""COMPUTED_VALUE"""),44894.0)</f>
        <v>44894</v>
      </c>
      <c r="O75" s="45">
        <f>IFERROR(__xludf.DUMMYFUNCTION("""COMPUTED_VALUE"""),44903.0)</f>
        <v>44903</v>
      </c>
      <c r="P75" s="45">
        <f>IFERROR(__xludf.DUMMYFUNCTION("""COMPUTED_VALUE"""),45401.0)</f>
        <v>45401</v>
      </c>
      <c r="Q75" s="45">
        <f>IFERROR(__xludf.DUMMYFUNCTION("""COMPUTED_VALUE"""),44903.0)</f>
        <v>44903</v>
      </c>
      <c r="R75" s="45">
        <f>IFERROR(__xludf.DUMMYFUNCTION("""COMPUTED_VALUE"""),45402.0)</f>
        <v>45402</v>
      </c>
      <c r="S75" s="43"/>
      <c r="T75" s="43" t="str">
        <f>IFERROR(__xludf.DUMMYFUNCTION("""COMPUTED_VALUE"""),"Business Administration")</f>
        <v>Business Administration</v>
      </c>
      <c r="U75" s="43" t="str">
        <f>IFERROR(__xludf.DUMMYFUNCTION("""COMPUTED_VALUE"""),"Telesales Specialist in Istanbul (French Speaker)")</f>
        <v>Telesales Specialist in Istanbul (French Speaker)</v>
      </c>
      <c r="V75" s="43" t="str">
        <f>IFERROR(__xludf.DUMMYFUNCTION("""COMPUTED_VALUE"""),"AIESEC in Babez")</f>
        <v>AIESEC in Babez</v>
      </c>
      <c r="W75" s="43" t="str">
        <f>IFERROR(__xludf.DUMMYFUNCTION("""COMPUTED_VALUE"""),"2022-11-29T11:34:25Z")</f>
        <v>2022-11-29T11:34:25Z</v>
      </c>
      <c r="X75" s="43"/>
      <c r="Y75" s="43"/>
      <c r="Z75" s="43"/>
    </row>
    <row r="76" hidden="1">
      <c r="A76" s="43" t="str">
        <f>IFERROR(__xludf.DUMMYFUNCTION("""COMPUTED_VALUE"""),"5161087_1289255")</f>
        <v>5161087_1289255</v>
      </c>
      <c r="B76" s="43" t="str">
        <f>IFERROR(__xludf.DUMMYFUNCTION("""COMPUTED_VALUE"""),"BENHAMICHE LYNDA")</f>
        <v>BENHAMICHE LYNDA</v>
      </c>
      <c r="C76" s="43" t="str">
        <f>IFERROR(__xludf.DUMMYFUNCTION("""COMPUTED_VALUE"""),"realized")</f>
        <v>realized</v>
      </c>
      <c r="D76" s="43" t="str">
        <f>IFERROR(__xludf.DUMMYFUNCTION("""COMPUTED_VALUE"""),"No")</f>
        <v>No</v>
      </c>
      <c r="E76" s="43" t="str">
        <f>IFERROR(__xludf.DUMMYFUNCTION("""COMPUTED_VALUE"""),"p_5ecc60b2a3745a407142903a7b4b866515654224@inbound.aiesec.org")</f>
        <v>p_5ecc60b2a3745a407142903a7b4b866515654224@inbound.aiesec.org</v>
      </c>
      <c r="F76" s="43"/>
      <c r="G76" s="43" t="str">
        <f>IFERROR(__xludf.DUMMYFUNCTION("""COMPUTED_VALUE"""),"Algeria")</f>
        <v>Algeria</v>
      </c>
      <c r="H76" s="43" t="str">
        <f>IFERROR(__xludf.DUMMYFUNCTION("""COMPUTED_VALUE"""),"Benak")</f>
        <v>Benak</v>
      </c>
      <c r="I76" s="43" t="str">
        <f>IFERROR(__xludf.DUMMYFUNCTION("""COMPUTED_VALUE"""),"Turkey")</f>
        <v>Turkey</v>
      </c>
      <c r="J76" s="43" t="str">
        <f>IFERROR(__xludf.DUMMYFUNCTION("""COMPUTED_VALUE"""),"ISTANBUL")</f>
        <v>ISTANBUL</v>
      </c>
      <c r="K76" s="44" t="str">
        <f>IFERROR(__xludf.DUMMYFUNCTION("""COMPUTED_VALUE"""),"https://expa.aiesec.org/opportunities/1289255")</f>
        <v>https://expa.aiesec.org/opportunities/1289255</v>
      </c>
      <c r="L76" s="43" t="str">
        <f>IFERROR(__xludf.DUMMYFUNCTION("""COMPUTED_VALUE"""),"GTa")</f>
        <v>GTa</v>
      </c>
      <c r="M76" s="43" t="str">
        <f>IFERROR(__xludf.DUMMYFUNCTION("""COMPUTED_VALUE"""),"long")</f>
        <v>long</v>
      </c>
      <c r="N76" s="45">
        <f>IFERROR(__xludf.DUMMYFUNCTION("""COMPUTED_VALUE"""),44895.0)</f>
        <v>44895</v>
      </c>
      <c r="O76" s="45">
        <f>IFERROR(__xludf.DUMMYFUNCTION("""COMPUTED_VALUE"""),44903.0)</f>
        <v>44903</v>
      </c>
      <c r="P76" s="45">
        <f>IFERROR(__xludf.DUMMYFUNCTION("""COMPUTED_VALUE"""),45401.0)</f>
        <v>45401</v>
      </c>
      <c r="Q76" s="45">
        <f>IFERROR(__xludf.DUMMYFUNCTION("""COMPUTED_VALUE"""),44903.0)</f>
        <v>44903</v>
      </c>
      <c r="R76" s="45">
        <f>IFERROR(__xludf.DUMMYFUNCTION("""COMPUTED_VALUE"""),45402.0)</f>
        <v>45402</v>
      </c>
      <c r="S76" s="43"/>
      <c r="T76" s="43" t="str">
        <f>IFERROR(__xludf.DUMMYFUNCTION("""COMPUTED_VALUE"""),"Business Administration")</f>
        <v>Business Administration</v>
      </c>
      <c r="U76" s="43" t="str">
        <f>IFERROR(__xludf.DUMMYFUNCTION("""COMPUTED_VALUE"""),"Telesales Specialist in Istanbul (French Speaker)")</f>
        <v>Telesales Specialist in Istanbul (French Speaker)</v>
      </c>
      <c r="V76" s="43" t="str">
        <f>IFERROR(__xludf.DUMMYFUNCTION("""COMPUTED_VALUE"""),"AIESEC in Benak")</f>
        <v>AIESEC in Benak</v>
      </c>
      <c r="W76" s="43" t="str">
        <f>IFERROR(__xludf.DUMMYFUNCTION("""COMPUTED_VALUE"""),"2022-11-30T18:10:07Z")</f>
        <v>2022-11-30T18:10:07Z</v>
      </c>
      <c r="X76" s="43"/>
      <c r="Y76" s="43"/>
      <c r="Z76" s="43"/>
    </row>
    <row r="77">
      <c r="A77" s="43" t="str">
        <f>IFERROR(__xludf.DUMMYFUNCTION("""COMPUTED_VALUE"""),"5160661_1291229")</f>
        <v>5160661_1291229</v>
      </c>
      <c r="B77" s="43" t="str">
        <f>IFERROR(__xludf.DUMMYFUNCTION("""COMPUTED_VALUE"""),"Doaa Nosir")</f>
        <v>Doaa Nosir</v>
      </c>
      <c r="C77" s="43" t="str">
        <f>IFERROR(__xludf.DUMMYFUNCTION("""COMPUTED_VALUE"""),"approved")</f>
        <v>approved</v>
      </c>
      <c r="D77" s="43" t="str">
        <f>IFERROR(__xludf.DUMMYFUNCTION("""COMPUTED_VALUE"""),"No")</f>
        <v>No</v>
      </c>
      <c r="E77" s="43" t="str">
        <f>IFERROR(__xludf.DUMMYFUNCTION("""COMPUTED_VALUE"""),"p_1d103a23b3f1c47cae9414260f0be8ed63a8ab5e@inbound.aiesec.org")</f>
        <v>p_1d103a23b3f1c47cae9414260f0be8ed63a8ab5e@inbound.aiesec.org</v>
      </c>
      <c r="F77" s="43">
        <f>IFERROR(__xludf.DUMMYFUNCTION("""COMPUTED_VALUE"""),1.0650511E9)</f>
        <v>1065051100</v>
      </c>
      <c r="G77" s="43" t="str">
        <f>IFERROR(__xludf.DUMMYFUNCTION("""COMPUTED_VALUE"""),"Egypt")</f>
        <v>Egypt</v>
      </c>
      <c r="H77" s="43" t="str">
        <f>IFERROR(__xludf.DUMMYFUNCTION("""COMPUTED_VALUE"""),"Cairo University")</f>
        <v>Cairo University</v>
      </c>
      <c r="I77" s="43" t="str">
        <f>IFERROR(__xludf.DUMMYFUNCTION("""COMPUTED_VALUE"""),"Turkey")</f>
        <v>Turkey</v>
      </c>
      <c r="J77" s="43" t="str">
        <f>IFERROR(__xludf.DUMMYFUNCTION("""COMPUTED_VALUE"""),"GAZIANTEP")</f>
        <v>GAZIANTEP</v>
      </c>
      <c r="K77" s="44" t="str">
        <f>IFERROR(__xludf.DUMMYFUNCTION("""COMPUTED_VALUE"""),"https://expa.aiesec.org/opportunities/1291229")</f>
        <v>https://expa.aiesec.org/opportunities/1291229</v>
      </c>
      <c r="L77" s="43" t="str">
        <f>IFERROR(__xludf.DUMMYFUNCTION("""COMPUTED_VALUE"""),"GTa")</f>
        <v>GTa</v>
      </c>
      <c r="M77" s="43" t="str">
        <f>IFERROR(__xludf.DUMMYFUNCTION("""COMPUTED_VALUE"""),"long")</f>
        <v>long</v>
      </c>
      <c r="N77" s="45">
        <f>IFERROR(__xludf.DUMMYFUNCTION("""COMPUTED_VALUE"""),44895.0)</f>
        <v>44895</v>
      </c>
      <c r="O77" s="45">
        <f>IFERROR(__xludf.DUMMYFUNCTION("""COMPUTED_VALUE"""),44958.0)</f>
        <v>44958</v>
      </c>
      <c r="P77" s="45">
        <f>IFERROR(__xludf.DUMMYFUNCTION("""COMPUTED_VALUE"""),45323.0)</f>
        <v>45323</v>
      </c>
      <c r="Q77" s="45"/>
      <c r="R77" s="45"/>
      <c r="S77" s="43"/>
      <c r="T77" s="43" t="str">
        <f>IFERROR(__xludf.DUMMYFUNCTION("""COMPUTED_VALUE"""),"Marketing")</f>
        <v>Marketing</v>
      </c>
      <c r="U77" s="43" t="str">
        <f>IFERROR(__xludf.DUMMYFUNCTION("""COMPUTED_VALUE"""),"DIGITAL MARKETING")</f>
        <v>DIGITAL MARKETING</v>
      </c>
      <c r="V77" s="43" t="str">
        <f>IFERROR(__xludf.DUMMYFUNCTION("""COMPUTED_VALUE"""),"Cairo Univeristy")</f>
        <v>Cairo Univeristy</v>
      </c>
      <c r="W77" s="43" t="str">
        <f>IFERROR(__xludf.DUMMYFUNCTION("""COMPUTED_VALUE"""),"2022-11-29T21:22:48Z")</f>
        <v>2022-11-29T21:22:48Z</v>
      </c>
      <c r="X77" s="43"/>
      <c r="Y77" s="43"/>
      <c r="Z77" s="43"/>
    </row>
    <row r="78" hidden="1">
      <c r="A78" s="43" t="str">
        <f>IFERROR(__xludf.DUMMYFUNCTION("""COMPUTED_VALUE"""),"5089394_1289175")</f>
        <v>5089394_1289175</v>
      </c>
      <c r="B78" s="43" t="str">
        <f>IFERROR(__xludf.DUMMYFUNCTION("""COMPUTED_VALUE"""),"Laura Melo")</f>
        <v>Laura Melo</v>
      </c>
      <c r="C78" s="43" t="str">
        <f>IFERROR(__xludf.DUMMYFUNCTION("""COMPUTED_VALUE"""),"realization_broken")</f>
        <v>realization_broken</v>
      </c>
      <c r="D78" s="43" t="str">
        <f>IFERROR(__xludf.DUMMYFUNCTION("""COMPUTED_VALUE"""),"No")</f>
        <v>No</v>
      </c>
      <c r="E78" s="43" t="str">
        <f>IFERROR(__xludf.DUMMYFUNCTION("""COMPUTED_VALUE"""),"p_77da091ed09c15f143997234f9fa4a8855b634a2@inbound.aiesec.org")</f>
        <v>p_77da091ed09c15f143997234f9fa4a8855b634a2@inbound.aiesec.org</v>
      </c>
      <c r="F78" s="43"/>
      <c r="G78" s="43" t="str">
        <f>IFERROR(__xludf.DUMMYFUNCTION("""COMPUTED_VALUE"""),"Colombia")</f>
        <v>Colombia</v>
      </c>
      <c r="H78" s="43" t="str">
        <f>IFERROR(__xludf.DUMMYFUNCTION("""COMPUTED_VALUE"""),"ANDES")</f>
        <v>ANDES</v>
      </c>
      <c r="I78" s="43" t="str">
        <f>IFERROR(__xludf.DUMMYFUNCTION("""COMPUTED_VALUE"""),"Turkey")</f>
        <v>Turkey</v>
      </c>
      <c r="J78" s="43" t="str">
        <f>IFERROR(__xludf.DUMMYFUNCTION("""COMPUTED_VALUE"""),"KONYA")</f>
        <v>KONYA</v>
      </c>
      <c r="K78" s="44" t="str">
        <f>IFERROR(__xludf.DUMMYFUNCTION("""COMPUTED_VALUE"""),"https://expa.aiesec.org/opportunities/1289175")</f>
        <v>https://expa.aiesec.org/opportunities/1289175</v>
      </c>
      <c r="L78" s="43" t="str">
        <f>IFERROR(__xludf.DUMMYFUNCTION("""COMPUTED_VALUE"""),"GTa")</f>
        <v>GTa</v>
      </c>
      <c r="M78" s="43" t="str">
        <f>IFERROR(__xludf.DUMMYFUNCTION("""COMPUTED_VALUE"""),"long")</f>
        <v>long</v>
      </c>
      <c r="N78" s="45">
        <f>IFERROR(__xludf.DUMMYFUNCTION("""COMPUTED_VALUE"""),44895.0)</f>
        <v>44895</v>
      </c>
      <c r="O78" s="45">
        <f>IFERROR(__xludf.DUMMYFUNCTION("""COMPUTED_VALUE"""),44896.0)</f>
        <v>44896</v>
      </c>
      <c r="P78" s="45">
        <f>IFERROR(__xludf.DUMMYFUNCTION("""COMPUTED_VALUE"""),45261.0)</f>
        <v>45261</v>
      </c>
      <c r="Q78" s="45"/>
      <c r="R78" s="45"/>
      <c r="S78" s="43"/>
      <c r="T78" s="43" t="str">
        <f>IFERROR(__xludf.DUMMYFUNCTION("""COMPUTED_VALUE"""),"Marketing")</f>
        <v>Marketing</v>
      </c>
      <c r="U78" s="43" t="str">
        <f>IFERROR(__xludf.DUMMYFUNCTION("""COMPUTED_VALUE"""),"Marketing Specialist at Elmalı Makina")</f>
        <v>Marketing Specialist at Elmalı Makina</v>
      </c>
      <c r="V78" s="43" t="str">
        <f>IFERROR(__xludf.DUMMYFUNCTION("""COMPUTED_VALUE"""),"-")</f>
        <v>-</v>
      </c>
      <c r="W78" s="43" t="str">
        <f>IFERROR(__xludf.DUMMYFUNCTION("""COMPUTED_VALUE"""),"2022-08-04T21:29:37Z")</f>
        <v>2022-08-04T21:29:37Z</v>
      </c>
      <c r="X78" s="43"/>
      <c r="Y78" s="43"/>
      <c r="Z78" s="43"/>
    </row>
    <row r="79" hidden="1">
      <c r="A79" s="43" t="str">
        <f>IFERROR(__xludf.DUMMYFUNCTION("""COMPUTED_VALUE"""),"4950922_1287708")</f>
        <v>4950922_1287708</v>
      </c>
      <c r="B79" s="43" t="str">
        <f>IFERROR(__xludf.DUMMYFUNCTION("""COMPUTED_VALUE"""),"Kareem Almehelmy")</f>
        <v>Kareem Almehelmy</v>
      </c>
      <c r="C79" s="43" t="str">
        <f>IFERROR(__xludf.DUMMYFUNCTION("""COMPUTED_VALUE"""),"realized")</f>
        <v>realized</v>
      </c>
      <c r="D79" s="43" t="str">
        <f>IFERROR(__xludf.DUMMYFUNCTION("""COMPUTED_VALUE"""),"No")</f>
        <v>No</v>
      </c>
      <c r="E79" s="43" t="str">
        <f>IFERROR(__xludf.DUMMYFUNCTION("""COMPUTED_VALUE"""),"p_e9583cdeabf765f7a31da525d3d4515427d316b1@inbound.aiesec.org")</f>
        <v>p_e9583cdeabf765f7a31da525d3d4515427d316b1@inbound.aiesec.org</v>
      </c>
      <c r="F79" s="43"/>
      <c r="G79" s="43" t="str">
        <f>IFERROR(__xludf.DUMMYFUNCTION("""COMPUTED_VALUE"""),"Egypt")</f>
        <v>Egypt</v>
      </c>
      <c r="H79" s="43" t="str">
        <f>IFERROR(__xludf.DUMMYFUNCTION("""COMPUTED_VALUE"""),"Ain Shams University")</f>
        <v>Ain Shams University</v>
      </c>
      <c r="I79" s="43" t="str">
        <f>IFERROR(__xludf.DUMMYFUNCTION("""COMPUTED_VALUE"""),"Turkey")</f>
        <v>Turkey</v>
      </c>
      <c r="J79" s="43" t="str">
        <f>IFERROR(__xludf.DUMMYFUNCTION("""COMPUTED_VALUE"""),"ISTANBUL WEST")</f>
        <v>ISTANBUL WEST</v>
      </c>
      <c r="K79" s="44" t="str">
        <f>IFERROR(__xludf.DUMMYFUNCTION("""COMPUTED_VALUE"""),"https://expa.aiesec.org/opportunities/1287708")</f>
        <v>https://expa.aiesec.org/opportunities/1287708</v>
      </c>
      <c r="L79" s="43" t="str">
        <f>IFERROR(__xludf.DUMMYFUNCTION("""COMPUTED_VALUE"""),"GTa")</f>
        <v>GTa</v>
      </c>
      <c r="M79" s="43" t="str">
        <f>IFERROR(__xludf.DUMMYFUNCTION("""COMPUTED_VALUE"""),"long")</f>
        <v>long</v>
      </c>
      <c r="N79" s="45">
        <f>IFERROR(__xludf.DUMMYFUNCTION("""COMPUTED_VALUE"""),44900.0)</f>
        <v>44900</v>
      </c>
      <c r="O79" s="45">
        <f>IFERROR(__xludf.DUMMYFUNCTION("""COMPUTED_VALUE"""),44907.0)</f>
        <v>44907</v>
      </c>
      <c r="P79" s="45">
        <f>IFERROR(__xludf.DUMMYFUNCTION("""COMPUTED_VALUE"""),45271.0)</f>
        <v>45271</v>
      </c>
      <c r="Q79" s="45">
        <f>IFERROR(__xludf.DUMMYFUNCTION("""COMPUTED_VALUE"""),44970.0)</f>
        <v>44970</v>
      </c>
      <c r="R79" s="45">
        <f>IFERROR(__xludf.DUMMYFUNCTION("""COMPUTED_VALUE"""),45335.0)</f>
        <v>45335</v>
      </c>
      <c r="S79" s="43"/>
      <c r="T79" s="43" t="str">
        <f>IFERROR(__xludf.DUMMYFUNCTION("""COMPUTED_VALUE"""),"Marketing")</f>
        <v>Marketing</v>
      </c>
      <c r="U79" s="43" t="str">
        <f>IFERROR(__xludf.DUMMYFUNCTION("""COMPUTED_VALUE"""),"Telesales Specialist")</f>
        <v>Telesales Specialist</v>
      </c>
      <c r="V79" s="43" t="str">
        <f>IFERROR(__xludf.DUMMYFUNCTION("""COMPUTED_VALUE"""),"Ain Shams University")</f>
        <v>Ain Shams University</v>
      </c>
      <c r="W79" s="43" t="str">
        <f>IFERROR(__xludf.DUMMYFUNCTION("""COMPUTED_VALUE"""),"2022-02-26T13:32:45Z")</f>
        <v>2022-02-26T13:32:45Z</v>
      </c>
      <c r="X79" s="43"/>
      <c r="Y79" s="43"/>
      <c r="Z79" s="43"/>
    </row>
    <row r="80">
      <c r="A80" s="43" t="str">
        <f>IFERROR(__xludf.DUMMYFUNCTION("""COMPUTED_VALUE"""),"5163374_1289255")</f>
        <v>5163374_1289255</v>
      </c>
      <c r="B80" s="43" t="str">
        <f>IFERROR(__xludf.DUMMYFUNCTION("""COMPUTED_VALUE"""),"sabrine achouri")</f>
        <v>sabrine achouri</v>
      </c>
      <c r="C80" s="43" t="str">
        <f>IFERROR(__xludf.DUMMYFUNCTION("""COMPUTED_VALUE"""),"approved")</f>
        <v>approved</v>
      </c>
      <c r="D80" s="43" t="str">
        <f>IFERROR(__xludf.DUMMYFUNCTION("""COMPUTED_VALUE"""),"No")</f>
        <v>No</v>
      </c>
      <c r="E80" s="43" t="str">
        <f>IFERROR(__xludf.DUMMYFUNCTION("""COMPUTED_VALUE"""),"p_47acd092d2e794ca944025c752e827b7e96a7e9f@inbound.aiesec.org")</f>
        <v>p_47acd092d2e794ca944025c752e827b7e96a7e9f@inbound.aiesec.org</v>
      </c>
      <c r="F80" s="43">
        <f>IFERROR(__xludf.DUMMYFUNCTION("""COMPUTED_VALUE"""),5.3723914E7)</f>
        <v>53723914</v>
      </c>
      <c r="G80" s="43" t="str">
        <f>IFERROR(__xludf.DUMMYFUNCTION("""COMPUTED_VALUE"""),"Tunisia")</f>
        <v>Tunisia</v>
      </c>
      <c r="H80" s="43" t="str">
        <f>IFERROR(__xludf.DUMMYFUNCTION("""COMPUTED_VALUE"""),"NABEL")</f>
        <v>NABEL</v>
      </c>
      <c r="I80" s="43" t="str">
        <f>IFERROR(__xludf.DUMMYFUNCTION("""COMPUTED_VALUE"""),"Turkey")</f>
        <v>Turkey</v>
      </c>
      <c r="J80" s="43" t="str">
        <f>IFERROR(__xludf.DUMMYFUNCTION("""COMPUTED_VALUE"""),"ISTANBUL")</f>
        <v>ISTANBUL</v>
      </c>
      <c r="K80" s="44" t="str">
        <f>IFERROR(__xludf.DUMMYFUNCTION("""COMPUTED_VALUE"""),"https://expa.aiesec.org/opportunities/1289255")</f>
        <v>https://expa.aiesec.org/opportunities/1289255</v>
      </c>
      <c r="L80" s="43" t="str">
        <f>IFERROR(__xludf.DUMMYFUNCTION("""COMPUTED_VALUE"""),"GTa")</f>
        <v>GTa</v>
      </c>
      <c r="M80" s="43" t="str">
        <f>IFERROR(__xludf.DUMMYFUNCTION("""COMPUTED_VALUE"""),"long")</f>
        <v>long</v>
      </c>
      <c r="N80" s="45">
        <f>IFERROR(__xludf.DUMMYFUNCTION("""COMPUTED_VALUE"""),44901.0)</f>
        <v>44901</v>
      </c>
      <c r="O80" s="45">
        <f>IFERROR(__xludf.DUMMYFUNCTION("""COMPUTED_VALUE"""),44935.0)</f>
        <v>44935</v>
      </c>
      <c r="P80" s="45">
        <f>IFERROR(__xludf.DUMMYFUNCTION("""COMPUTED_VALUE"""),45474.0)</f>
        <v>45474</v>
      </c>
      <c r="Q80" s="45"/>
      <c r="R80" s="45"/>
      <c r="S80" s="43"/>
      <c r="T80" s="43" t="str">
        <f>IFERROR(__xludf.DUMMYFUNCTION("""COMPUTED_VALUE"""),"Business Administration")</f>
        <v>Business Administration</v>
      </c>
      <c r="U80" s="43" t="str">
        <f>IFERROR(__xludf.DUMMYFUNCTION("""COMPUTED_VALUE"""),"Telesales Specialist in Istanbul (French Speaker)")</f>
        <v>Telesales Specialist in Istanbul (French Speaker)</v>
      </c>
      <c r="V80" s="43" t="str">
        <f>IFERROR(__xludf.DUMMYFUNCTION("""COMPUTED_VALUE"""),"ISSTE Borj Cedria")</f>
        <v>ISSTE Borj Cedria</v>
      </c>
      <c r="W80" s="43" t="str">
        <f>IFERROR(__xludf.DUMMYFUNCTION("""COMPUTED_VALUE"""),"2022-12-06T15:32:42Z")</f>
        <v>2022-12-06T15:32:42Z</v>
      </c>
      <c r="X80" s="43"/>
      <c r="Y80" s="43"/>
      <c r="Z80" s="43"/>
    </row>
    <row r="81" hidden="1">
      <c r="A81" s="43" t="str">
        <f>IFERROR(__xludf.DUMMYFUNCTION("""COMPUTED_VALUE"""),"5155894_1277549")</f>
        <v>5155894_1277549</v>
      </c>
      <c r="B81" s="43" t="str">
        <f>IFERROR(__xludf.DUMMYFUNCTION("""COMPUTED_VALUE"""),"ismahane bouabsa")</f>
        <v>ismahane bouabsa</v>
      </c>
      <c r="C81" s="43" t="str">
        <f>IFERROR(__xludf.DUMMYFUNCTION("""COMPUTED_VALUE"""),"completed")</f>
        <v>completed</v>
      </c>
      <c r="D81" s="43" t="str">
        <f>IFERROR(__xludf.DUMMYFUNCTION("""COMPUTED_VALUE"""),"No")</f>
        <v>No</v>
      </c>
      <c r="E81" s="43" t="str">
        <f>IFERROR(__xludf.DUMMYFUNCTION("""COMPUTED_VALUE"""),"p_cd69101dd7d1423ee50fc22a93e21bcfb7a74778@inbound.aiesec.org")</f>
        <v>p_cd69101dd7d1423ee50fc22a93e21bcfb7a74778@inbound.aiesec.org</v>
      </c>
      <c r="F81" s="43">
        <f>IFERROR(__xludf.DUMMYFUNCTION("""COMPUTED_VALUE"""),1.7683427323E10)</f>
        <v>17683427323</v>
      </c>
      <c r="G81" s="43" t="str">
        <f>IFERROR(__xludf.DUMMYFUNCTION("""COMPUTED_VALUE"""),"Germany")</f>
        <v>Germany</v>
      </c>
      <c r="H81" s="43" t="str">
        <f>IFERROR(__xludf.DUMMYFUNCTION("""COMPUTED_VALUE"""),"BERLIN TU")</f>
        <v>BERLIN TU</v>
      </c>
      <c r="I81" s="43" t="str">
        <f>IFERROR(__xludf.DUMMYFUNCTION("""COMPUTED_VALUE"""),"Turkey")</f>
        <v>Turkey</v>
      </c>
      <c r="J81" s="43" t="str">
        <f>IFERROR(__xludf.DUMMYFUNCTION("""COMPUTED_VALUE"""),"KOCAELI")</f>
        <v>KOCAELI</v>
      </c>
      <c r="K81" s="44" t="str">
        <f>IFERROR(__xludf.DUMMYFUNCTION("""COMPUTED_VALUE"""),"https://expa.aiesec.org/opportunities/1277549")</f>
        <v>https://expa.aiesec.org/opportunities/1277549</v>
      </c>
      <c r="L81" s="43" t="str">
        <f>IFERROR(__xludf.DUMMYFUNCTION("""COMPUTED_VALUE"""),"GTa")</f>
        <v>GTa</v>
      </c>
      <c r="M81" s="43" t="str">
        <f>IFERROR(__xludf.DUMMYFUNCTION("""COMPUTED_VALUE"""),"short")</f>
        <v>short</v>
      </c>
      <c r="N81" s="45">
        <f>IFERROR(__xludf.DUMMYFUNCTION("""COMPUTED_VALUE"""),44904.0)</f>
        <v>44904</v>
      </c>
      <c r="O81" s="45">
        <f>IFERROR(__xludf.DUMMYFUNCTION("""COMPUTED_VALUE"""),44935.0)</f>
        <v>44935</v>
      </c>
      <c r="P81" s="45">
        <f>IFERROR(__xludf.DUMMYFUNCTION("""COMPUTED_VALUE"""),44994.0)</f>
        <v>44994</v>
      </c>
      <c r="Q81" s="45">
        <f>IFERROR(__xludf.DUMMYFUNCTION("""COMPUTED_VALUE"""),44935.0)</f>
        <v>44935</v>
      </c>
      <c r="R81" s="45">
        <f>IFERROR(__xludf.DUMMYFUNCTION("""COMPUTED_VALUE"""),44995.0)</f>
        <v>44995</v>
      </c>
      <c r="S81" s="43"/>
      <c r="T81" s="43" t="str">
        <f>IFERROR(__xludf.DUMMYFUNCTION("""COMPUTED_VALUE"""),"Business Development")</f>
        <v>Business Development</v>
      </c>
      <c r="U81" s="43" t="str">
        <f>IFERROR(__xludf.DUMMYFUNCTION("""COMPUTED_VALUE"""),"Marketing/Market Research in LedaPharma Company")</f>
        <v>Marketing/Market Research in LedaPharma Company</v>
      </c>
      <c r="V81" s="43" t="str">
        <f>IFERROR(__xludf.DUMMYFUNCTION("""COMPUTED_VALUE"""),"Berlin TU")</f>
        <v>Berlin TU</v>
      </c>
      <c r="W81" s="43" t="str">
        <f>IFERROR(__xludf.DUMMYFUNCTION("""COMPUTED_VALUE"""),"2022-11-19T18:37:35Z")</f>
        <v>2022-11-19T18:37:35Z</v>
      </c>
      <c r="X81" s="43"/>
      <c r="Y81" s="43"/>
      <c r="Z81" s="43"/>
    </row>
    <row r="82" hidden="1">
      <c r="A82" s="43" t="str">
        <f>IFERROR(__xludf.DUMMYFUNCTION("""COMPUTED_VALUE"""),"2989424_1289255")</f>
        <v>2989424_1289255</v>
      </c>
      <c r="B82" s="43" t="str">
        <f>IFERROR(__xludf.DUMMYFUNCTION("""COMPUTED_VALUE"""),"Cherifa Meribout")</f>
        <v>Cherifa Meribout</v>
      </c>
      <c r="C82" s="43" t="str">
        <f>IFERROR(__xludf.DUMMYFUNCTION("""COMPUTED_VALUE"""),"realized")</f>
        <v>realized</v>
      </c>
      <c r="D82" s="43" t="str">
        <f>IFERROR(__xludf.DUMMYFUNCTION("""COMPUTED_VALUE"""),"No")</f>
        <v>No</v>
      </c>
      <c r="E82" s="43" t="str">
        <f>IFERROR(__xludf.DUMMYFUNCTION("""COMPUTED_VALUE"""),"p_0023de6af878a42f69b021da340227f511333efe@inbound.aiesec.org")</f>
        <v>p_0023de6af878a42f69b021da340227f511333efe@inbound.aiesec.org</v>
      </c>
      <c r="F82" s="43">
        <f>IFERROR(__xludf.DUMMYFUNCTION("""COMPUTED_VALUE"""),5.317859187E9)</f>
        <v>5317859187</v>
      </c>
      <c r="G82" s="43" t="str">
        <f>IFERROR(__xludf.DUMMYFUNCTION("""COMPUTED_VALUE"""),"Algeria")</f>
        <v>Algeria</v>
      </c>
      <c r="H82" s="43" t="str">
        <f>IFERROR(__xludf.DUMMYFUNCTION("""COMPUTED_VALUE"""),"Constantine")</f>
        <v>Constantine</v>
      </c>
      <c r="I82" s="43" t="str">
        <f>IFERROR(__xludf.DUMMYFUNCTION("""COMPUTED_VALUE"""),"Turkey")</f>
        <v>Turkey</v>
      </c>
      <c r="J82" s="43" t="str">
        <f>IFERROR(__xludf.DUMMYFUNCTION("""COMPUTED_VALUE"""),"ISTANBUL")</f>
        <v>ISTANBUL</v>
      </c>
      <c r="K82" s="44" t="str">
        <f>IFERROR(__xludf.DUMMYFUNCTION("""COMPUTED_VALUE"""),"https://expa.aiesec.org/opportunities/1289255")</f>
        <v>https://expa.aiesec.org/opportunities/1289255</v>
      </c>
      <c r="L82" s="43" t="str">
        <f>IFERROR(__xludf.DUMMYFUNCTION("""COMPUTED_VALUE"""),"GTa")</f>
        <v>GTa</v>
      </c>
      <c r="M82" s="43" t="str">
        <f>IFERROR(__xludf.DUMMYFUNCTION("""COMPUTED_VALUE"""),"long")</f>
        <v>long</v>
      </c>
      <c r="N82" s="45">
        <f>IFERROR(__xludf.DUMMYFUNCTION("""COMPUTED_VALUE"""),44907.0)</f>
        <v>44907</v>
      </c>
      <c r="O82" s="45">
        <f>IFERROR(__xludf.DUMMYFUNCTION("""COMPUTED_VALUE"""),44935.0)</f>
        <v>44935</v>
      </c>
      <c r="P82" s="45">
        <f>IFERROR(__xludf.DUMMYFUNCTION("""COMPUTED_VALUE"""),45471.0)</f>
        <v>45471</v>
      </c>
      <c r="Q82" s="45">
        <f>IFERROR(__xludf.DUMMYFUNCTION("""COMPUTED_VALUE"""),45012.0)</f>
        <v>45012</v>
      </c>
      <c r="R82" s="45">
        <f>IFERROR(__xludf.DUMMYFUNCTION("""COMPUTED_VALUE"""),45562.0)</f>
        <v>45562</v>
      </c>
      <c r="S82" s="43"/>
      <c r="T82" s="43" t="str">
        <f>IFERROR(__xludf.DUMMYFUNCTION("""COMPUTED_VALUE"""),"Business Administration")</f>
        <v>Business Administration</v>
      </c>
      <c r="U82" s="43" t="str">
        <f>IFERROR(__xludf.DUMMYFUNCTION("""COMPUTED_VALUE"""),"Telesales Specialist in Istanbul (French Speaker)")</f>
        <v>Telesales Specialist in Istanbul (French Speaker)</v>
      </c>
      <c r="V82" s="43" t="str">
        <f>IFERROR(__xludf.DUMMYFUNCTION("""COMPUTED_VALUE"""),"AIESEC in Babez")</f>
        <v>AIESEC in Babez</v>
      </c>
      <c r="W82" s="43" t="str">
        <f>IFERROR(__xludf.DUMMYFUNCTION("""COMPUTED_VALUE"""),"2018-12-20T12:01:46Z")</f>
        <v>2018-12-20T12:01:46Z</v>
      </c>
      <c r="X82" s="43"/>
      <c r="Y82" s="43"/>
      <c r="Z82" s="43"/>
    </row>
    <row r="83" hidden="1">
      <c r="A83" s="43" t="str">
        <f>IFERROR(__xludf.DUMMYFUNCTION("""COMPUTED_VALUE"""),"5118006_1289255")</f>
        <v>5118006_1289255</v>
      </c>
      <c r="B83" s="43" t="str">
        <f>IFERROR(__xludf.DUMMYFUNCTION("""COMPUTED_VALUE"""),"ZINEB EL FATIH")</f>
        <v>ZINEB EL FATIH</v>
      </c>
      <c r="C83" s="43" t="str">
        <f>IFERROR(__xludf.DUMMYFUNCTION("""COMPUTED_VALUE"""),"completed")</f>
        <v>completed</v>
      </c>
      <c r="D83" s="43" t="str">
        <f>IFERROR(__xludf.DUMMYFUNCTION("""COMPUTED_VALUE"""),"No")</f>
        <v>No</v>
      </c>
      <c r="E83" s="43" t="str">
        <f>IFERROR(__xludf.DUMMYFUNCTION("""COMPUTED_VALUE"""),"p_b5918e5fda74c92ef3b2c9dffa74e215f608fe42@inbound.aiesec.org")</f>
        <v>p_b5918e5fda74c92ef3b2c9dffa74e215f608fe42@inbound.aiesec.org</v>
      </c>
      <c r="F83" s="43">
        <f>IFERROR(__xludf.DUMMYFUNCTION("""COMPUTED_VALUE"""),5.368967732E9)</f>
        <v>5368967732</v>
      </c>
      <c r="G83" s="43" t="str">
        <f>IFERROR(__xludf.DUMMYFUNCTION("""COMPUTED_VALUE"""),"Morocco")</f>
        <v>Morocco</v>
      </c>
      <c r="H83" s="43" t="str">
        <f>IFERROR(__xludf.DUMMYFUNCTION("""COMPUTED_VALUE"""),"Casablanca")</f>
        <v>Casablanca</v>
      </c>
      <c r="I83" s="43" t="str">
        <f>IFERROR(__xludf.DUMMYFUNCTION("""COMPUTED_VALUE"""),"Turkey")</f>
        <v>Turkey</v>
      </c>
      <c r="J83" s="43" t="str">
        <f>IFERROR(__xludf.DUMMYFUNCTION("""COMPUTED_VALUE"""),"ISTANBUL")</f>
        <v>ISTANBUL</v>
      </c>
      <c r="K83" s="44" t="str">
        <f>IFERROR(__xludf.DUMMYFUNCTION("""COMPUTED_VALUE"""),"https://expa.aiesec.org/opportunities/1289255")</f>
        <v>https://expa.aiesec.org/opportunities/1289255</v>
      </c>
      <c r="L83" s="43" t="str">
        <f>IFERROR(__xludf.DUMMYFUNCTION("""COMPUTED_VALUE"""),"GTa")</f>
        <v>GTa</v>
      </c>
      <c r="M83" s="43" t="str">
        <f>IFERROR(__xludf.DUMMYFUNCTION("""COMPUTED_VALUE"""),"long")</f>
        <v>long</v>
      </c>
      <c r="N83" s="45">
        <f>IFERROR(__xludf.DUMMYFUNCTION("""COMPUTED_VALUE"""),44909.0)</f>
        <v>44909</v>
      </c>
      <c r="O83" s="45">
        <f>IFERROR(__xludf.DUMMYFUNCTION("""COMPUTED_VALUE"""),44920.0)</f>
        <v>44920</v>
      </c>
      <c r="P83" s="45">
        <f>IFERROR(__xludf.DUMMYFUNCTION("""COMPUTED_VALUE"""),45109.0)</f>
        <v>45109</v>
      </c>
      <c r="Q83" s="45">
        <f>IFERROR(__xludf.DUMMYFUNCTION("""COMPUTED_VALUE"""),44920.0)</f>
        <v>44920</v>
      </c>
      <c r="R83" s="45">
        <f>IFERROR(__xludf.DUMMYFUNCTION("""COMPUTED_VALUE"""),45109.0)</f>
        <v>45109</v>
      </c>
      <c r="S83" s="43"/>
      <c r="T83" s="43" t="str">
        <f>IFERROR(__xludf.DUMMYFUNCTION("""COMPUTED_VALUE"""),"Business Administration")</f>
        <v>Business Administration</v>
      </c>
      <c r="U83" s="43" t="str">
        <f>IFERROR(__xludf.DUMMYFUNCTION("""COMPUTED_VALUE"""),"Telesales Specialist in Istanbul (French Speaker)")</f>
        <v>Telesales Specialist in Istanbul (French Speaker)</v>
      </c>
      <c r="V83" s="43" t="str">
        <f>IFERROR(__xludf.DUMMYFUNCTION("""COMPUTED_VALUE"""),"EST Casablanca")</f>
        <v>EST Casablanca</v>
      </c>
      <c r="W83" s="43" t="str">
        <f>IFERROR(__xludf.DUMMYFUNCTION("""COMPUTED_VALUE"""),"2022-09-23T08:27:44Z")</f>
        <v>2022-09-23T08:27:44Z</v>
      </c>
      <c r="X83" s="43"/>
      <c r="Y83" s="43"/>
      <c r="Z83" s="43"/>
    </row>
    <row r="84" hidden="1">
      <c r="A84" s="43" t="str">
        <f>IFERROR(__xludf.DUMMYFUNCTION("""COMPUTED_VALUE"""),"4617629_1291209")</f>
        <v>4617629_1291209</v>
      </c>
      <c r="B84" s="43" t="str">
        <f>IFERROR(__xludf.DUMMYFUNCTION("""COMPUTED_VALUE"""),"Ziad Elshorbagy")</f>
        <v>Ziad Elshorbagy</v>
      </c>
      <c r="C84" s="43" t="str">
        <f>IFERROR(__xludf.DUMMYFUNCTION("""COMPUTED_VALUE"""),"realized")</f>
        <v>realized</v>
      </c>
      <c r="D84" s="43" t="str">
        <f>IFERROR(__xludf.DUMMYFUNCTION("""COMPUTED_VALUE"""),"No")</f>
        <v>No</v>
      </c>
      <c r="E84" s="43" t="str">
        <f>IFERROR(__xludf.DUMMYFUNCTION("""COMPUTED_VALUE"""),"p_65a28748ec23fe3f527904d9cc68be2330e02272@inbound.aiesec.org")</f>
        <v>p_65a28748ec23fe3f527904d9cc68be2330e02272@inbound.aiesec.org</v>
      </c>
      <c r="F84" s="43"/>
      <c r="G84" s="43" t="str">
        <f>IFERROR(__xludf.DUMMYFUNCTION("""COMPUTED_VALUE"""),"Egypt")</f>
        <v>Egypt</v>
      </c>
      <c r="H84" s="43" t="str">
        <f>IFERROR(__xludf.DUMMYFUNCTION("""COMPUTED_VALUE"""),"GUC")</f>
        <v>GUC</v>
      </c>
      <c r="I84" s="43" t="str">
        <f>IFERROR(__xludf.DUMMYFUNCTION("""COMPUTED_VALUE"""),"Turkey")</f>
        <v>Turkey</v>
      </c>
      <c r="J84" s="43" t="str">
        <f>IFERROR(__xludf.DUMMYFUNCTION("""COMPUTED_VALUE"""),"ISTANBUL WEST")</f>
        <v>ISTANBUL WEST</v>
      </c>
      <c r="K84" s="44" t="str">
        <f>IFERROR(__xludf.DUMMYFUNCTION("""COMPUTED_VALUE"""),"https://expa.aiesec.org/opportunities/1291209")</f>
        <v>https://expa.aiesec.org/opportunities/1291209</v>
      </c>
      <c r="L84" s="43" t="str">
        <f>IFERROR(__xludf.DUMMYFUNCTION("""COMPUTED_VALUE"""),"GTa")</f>
        <v>GTa</v>
      </c>
      <c r="M84" s="43" t="str">
        <f>IFERROR(__xludf.DUMMYFUNCTION("""COMPUTED_VALUE"""),"long")</f>
        <v>long</v>
      </c>
      <c r="N84" s="45">
        <f>IFERROR(__xludf.DUMMYFUNCTION("""COMPUTED_VALUE"""),44910.0)</f>
        <v>44910</v>
      </c>
      <c r="O84" s="45">
        <f>IFERROR(__xludf.DUMMYFUNCTION("""COMPUTED_VALUE"""),44956.0)</f>
        <v>44956</v>
      </c>
      <c r="P84" s="45">
        <f>IFERROR(__xludf.DUMMYFUNCTION("""COMPUTED_VALUE"""),45317.0)</f>
        <v>45317</v>
      </c>
      <c r="Q84" s="45">
        <f>IFERROR(__xludf.DUMMYFUNCTION("""COMPUTED_VALUE"""),44998.0)</f>
        <v>44998</v>
      </c>
      <c r="R84" s="45">
        <f>IFERROR(__xludf.DUMMYFUNCTION("""COMPUTED_VALUE"""),45359.0)</f>
        <v>45359</v>
      </c>
      <c r="S84" s="43"/>
      <c r="T84" s="43" t="str">
        <f>IFERROR(__xludf.DUMMYFUNCTION("""COMPUTED_VALUE"""),"Marketing")</f>
        <v>Marketing</v>
      </c>
      <c r="U84" s="43" t="str">
        <f>IFERROR(__xludf.DUMMYFUNCTION("""COMPUTED_VALUE"""),"DIGITAL MARKETING SPECIALIST JUNIOR ")</f>
        <v>DIGITAL MARKETING SPECIALIST JUNIOR </v>
      </c>
      <c r="V84" s="43" t="str">
        <f>IFERROR(__xludf.DUMMYFUNCTION("""COMPUTED_VALUE"""),"-")</f>
        <v>-</v>
      </c>
      <c r="W84" s="43" t="str">
        <f>IFERROR(__xludf.DUMMYFUNCTION("""COMPUTED_VALUE"""),"2021-04-15T19:39:14Z")</f>
        <v>2021-04-15T19:39:14Z</v>
      </c>
      <c r="X84" s="43"/>
      <c r="Y84" s="43"/>
      <c r="Z84" s="43"/>
    </row>
    <row r="85" hidden="1">
      <c r="A85" s="43" t="str">
        <f>IFERROR(__xludf.DUMMYFUNCTION("""COMPUTED_VALUE"""),"5151068_1291216")</f>
        <v>5151068_1291216</v>
      </c>
      <c r="B85" s="43" t="str">
        <f>IFERROR(__xludf.DUMMYFUNCTION("""COMPUTED_VALUE"""),"Yassine Atya")</f>
        <v>Yassine Atya</v>
      </c>
      <c r="C85" s="43" t="str">
        <f>IFERROR(__xludf.DUMMYFUNCTION("""COMPUTED_VALUE"""),"finished")</f>
        <v>finished</v>
      </c>
      <c r="D85" s="43" t="str">
        <f>IFERROR(__xludf.DUMMYFUNCTION("""COMPUTED_VALUE"""),"No")</f>
        <v>No</v>
      </c>
      <c r="E85" s="43" t="str">
        <f>IFERROR(__xludf.DUMMYFUNCTION("""COMPUTED_VALUE"""),"p_29aa466bf9ad1310b3b68e3e89c79b628b9192c2@inbound.aiesec.org")</f>
        <v>p_29aa466bf9ad1310b3b68e3e89c79b628b9192c2@inbound.aiesec.org</v>
      </c>
      <c r="F85" s="43">
        <f>IFERROR(__xludf.DUMMYFUNCTION("""COMPUTED_VALUE"""),7.17207339E8)</f>
        <v>717207339</v>
      </c>
      <c r="G85" s="43" t="str">
        <f>IFERROR(__xludf.DUMMYFUNCTION("""COMPUTED_VALUE"""),"Morocco")</f>
        <v>Morocco</v>
      </c>
      <c r="H85" s="43" t="str">
        <f>IFERROR(__xludf.DUMMYFUNCTION("""COMPUTED_VALUE"""),"Kenitra")</f>
        <v>Kenitra</v>
      </c>
      <c r="I85" s="43" t="str">
        <f>IFERROR(__xludf.DUMMYFUNCTION("""COMPUTED_VALUE"""),"Turkey")</f>
        <v>Turkey</v>
      </c>
      <c r="J85" s="43" t="str">
        <f>IFERROR(__xludf.DUMMYFUNCTION("""COMPUTED_VALUE"""),"ISTANBUL WEST")</f>
        <v>ISTANBUL WEST</v>
      </c>
      <c r="K85" s="44" t="str">
        <f>IFERROR(__xludf.DUMMYFUNCTION("""COMPUTED_VALUE"""),"https://expa.aiesec.org/opportunities/1291216")</f>
        <v>https://expa.aiesec.org/opportunities/1291216</v>
      </c>
      <c r="L85" s="43" t="str">
        <f>IFERROR(__xludf.DUMMYFUNCTION("""COMPUTED_VALUE"""),"GTa")</f>
        <v>GTa</v>
      </c>
      <c r="M85" s="43" t="str">
        <f>IFERROR(__xludf.DUMMYFUNCTION("""COMPUTED_VALUE"""),"long")</f>
        <v>long</v>
      </c>
      <c r="N85" s="45">
        <f>IFERROR(__xludf.DUMMYFUNCTION("""COMPUTED_VALUE"""),44921.0)</f>
        <v>44921</v>
      </c>
      <c r="O85" s="45">
        <f>IFERROR(__xludf.DUMMYFUNCTION("""COMPUTED_VALUE"""),44956.0)</f>
        <v>44956</v>
      </c>
      <c r="P85" s="45">
        <f>IFERROR(__xludf.DUMMYFUNCTION("""COMPUTED_VALUE"""),45317.0)</f>
        <v>45317</v>
      </c>
      <c r="Q85" s="45">
        <f>IFERROR(__xludf.DUMMYFUNCTION("""COMPUTED_VALUE"""),44951.0)</f>
        <v>44951</v>
      </c>
      <c r="R85" s="45">
        <f>IFERROR(__xludf.DUMMYFUNCTION("""COMPUTED_VALUE"""),45317.0)</f>
        <v>45317</v>
      </c>
      <c r="S85" s="43"/>
      <c r="T85" s="43" t="str">
        <f>IFERROR(__xludf.DUMMYFUNCTION("""COMPUTED_VALUE"""),"Marketing")</f>
        <v>Marketing</v>
      </c>
      <c r="U85" s="43" t="str">
        <f>IFERROR(__xludf.DUMMYFUNCTION("""COMPUTED_VALUE"""),"SOCIAL MEDIA SPECIALIST ")</f>
        <v>SOCIAL MEDIA SPECIALIST </v>
      </c>
      <c r="V85" s="43" t="str">
        <f>IFERROR(__xludf.DUMMYFUNCTION("""COMPUTED_VALUE"""),"Ecole Nationale De Commerce Et De Gestion Kenitra (ENCGK)")</f>
        <v>Ecole Nationale De Commerce Et De Gestion Kenitra (ENCGK)</v>
      </c>
      <c r="W85" s="43" t="str">
        <f>IFERROR(__xludf.DUMMYFUNCTION("""COMPUTED_VALUE"""),"2022-11-10T20:05:19Z")</f>
        <v>2022-11-10T20:05:19Z</v>
      </c>
      <c r="X85" s="43"/>
      <c r="Y85" s="43"/>
      <c r="Z85" s="43"/>
    </row>
    <row r="86" hidden="1">
      <c r="A86" s="43" t="str">
        <f>IFERROR(__xludf.DUMMYFUNCTION("""COMPUTED_VALUE"""),"4643379_1291209")</f>
        <v>4643379_1291209</v>
      </c>
      <c r="B86" s="43" t="str">
        <f>IFERROR(__xludf.DUMMYFUNCTION("""COMPUTED_VALUE"""),"Aymane Azizi")</f>
        <v>Aymane Azizi</v>
      </c>
      <c r="C86" s="43" t="str">
        <f>IFERROR(__xludf.DUMMYFUNCTION("""COMPUTED_VALUE"""),"finished")</f>
        <v>finished</v>
      </c>
      <c r="D86" s="43" t="str">
        <f>IFERROR(__xludf.DUMMYFUNCTION("""COMPUTED_VALUE"""),"No")</f>
        <v>No</v>
      </c>
      <c r="E86" s="43" t="str">
        <f>IFERROR(__xludf.DUMMYFUNCTION("""COMPUTED_VALUE"""),"p_2bb808e4e37a850769f998669ae7ad49ed6e86f3@inbound.aiesec.org")</f>
        <v>p_2bb808e4e37a850769f998669ae7ad49ed6e86f3@inbound.aiesec.org</v>
      </c>
      <c r="F86" s="43"/>
      <c r="G86" s="43" t="str">
        <f>IFERROR(__xludf.DUMMYFUNCTION("""COMPUTED_VALUE"""),"Morocco")</f>
        <v>Morocco</v>
      </c>
      <c r="H86" s="43" t="str">
        <f>IFERROR(__xludf.DUMMYFUNCTION("""COMPUTED_VALUE"""),"Kenitra")</f>
        <v>Kenitra</v>
      </c>
      <c r="I86" s="43" t="str">
        <f>IFERROR(__xludf.DUMMYFUNCTION("""COMPUTED_VALUE"""),"Turkey")</f>
        <v>Turkey</v>
      </c>
      <c r="J86" s="43" t="str">
        <f>IFERROR(__xludf.DUMMYFUNCTION("""COMPUTED_VALUE"""),"ISTANBUL WEST")</f>
        <v>ISTANBUL WEST</v>
      </c>
      <c r="K86" s="44" t="str">
        <f>IFERROR(__xludf.DUMMYFUNCTION("""COMPUTED_VALUE"""),"https://expa.aiesec.org/opportunities/1291209")</f>
        <v>https://expa.aiesec.org/opportunities/1291209</v>
      </c>
      <c r="L86" s="43" t="str">
        <f>IFERROR(__xludf.DUMMYFUNCTION("""COMPUTED_VALUE"""),"GTa")</f>
        <v>GTa</v>
      </c>
      <c r="M86" s="43" t="str">
        <f>IFERROR(__xludf.DUMMYFUNCTION("""COMPUTED_VALUE"""),"long")</f>
        <v>long</v>
      </c>
      <c r="N86" s="45">
        <f>IFERROR(__xludf.DUMMYFUNCTION("""COMPUTED_VALUE"""),44924.0)</f>
        <v>44924</v>
      </c>
      <c r="O86" s="45">
        <f>IFERROR(__xludf.DUMMYFUNCTION("""COMPUTED_VALUE"""),44956.0)</f>
        <v>44956</v>
      </c>
      <c r="P86" s="45">
        <f>IFERROR(__xludf.DUMMYFUNCTION("""COMPUTED_VALUE"""),45317.0)</f>
        <v>45317</v>
      </c>
      <c r="Q86" s="45">
        <f>IFERROR(__xludf.DUMMYFUNCTION("""COMPUTED_VALUE"""),44951.0)</f>
        <v>44951</v>
      </c>
      <c r="R86" s="45">
        <f>IFERROR(__xludf.DUMMYFUNCTION("""COMPUTED_VALUE"""),45317.0)</f>
        <v>45317</v>
      </c>
      <c r="S86" s="43"/>
      <c r="T86" s="43" t="str">
        <f>IFERROR(__xludf.DUMMYFUNCTION("""COMPUTED_VALUE"""),"Marketing")</f>
        <v>Marketing</v>
      </c>
      <c r="U86" s="43" t="str">
        <f>IFERROR(__xludf.DUMMYFUNCTION("""COMPUTED_VALUE"""),"DIGITAL MARKETING SPECIALIST JUNIOR ")</f>
        <v>DIGITAL MARKETING SPECIALIST JUNIOR </v>
      </c>
      <c r="V86" s="43" t="str">
        <f>IFERROR(__xludf.DUMMYFUNCTION("""COMPUTED_VALUE"""),"Ecole Nationale De Commerce Et De Gestion Kenitra (ENCGK)")</f>
        <v>Ecole Nationale De Commerce Et De Gestion Kenitra (ENCGK)</v>
      </c>
      <c r="W86" s="43" t="str">
        <f>IFERROR(__xludf.DUMMYFUNCTION("""COMPUTED_VALUE"""),"2021-05-13T12:22:59Z")</f>
        <v>2021-05-13T12:22:59Z</v>
      </c>
      <c r="X86" s="43"/>
      <c r="Y86" s="43"/>
      <c r="Z86" s="43"/>
    </row>
    <row r="87" hidden="1">
      <c r="A87" s="43" t="str">
        <f>IFERROR(__xludf.DUMMYFUNCTION("""COMPUTED_VALUE"""),"5101370_1286821")</f>
        <v>5101370_1286821</v>
      </c>
      <c r="B87" s="43" t="str">
        <f>IFERROR(__xludf.DUMMYFUNCTION("""COMPUTED_VALUE"""),"Hajar Elamri")</f>
        <v>Hajar Elamri</v>
      </c>
      <c r="C87" s="43" t="str">
        <f>IFERROR(__xludf.DUMMYFUNCTION("""COMPUTED_VALUE"""),"realization_broken")</f>
        <v>realization_broken</v>
      </c>
      <c r="D87" s="43" t="str">
        <f>IFERROR(__xludf.DUMMYFUNCTION("""COMPUTED_VALUE"""),"No")</f>
        <v>No</v>
      </c>
      <c r="E87" s="43" t="str">
        <f>IFERROR(__xludf.DUMMYFUNCTION("""COMPUTED_VALUE"""),"p_1b255dcaa62acc374145a477d96b186e2c8e8d4e@inbound.aiesec.org")</f>
        <v>p_1b255dcaa62acc374145a477d96b186e2c8e8d4e@inbound.aiesec.org</v>
      </c>
      <c r="F87" s="43">
        <f>IFERROR(__xludf.DUMMYFUNCTION("""COMPUTED_VALUE"""),6.0952364E8)</f>
        <v>609523640</v>
      </c>
      <c r="G87" s="43" t="str">
        <f>IFERROR(__xludf.DUMMYFUNCTION("""COMPUTED_VALUE"""),"Morocco")</f>
        <v>Morocco</v>
      </c>
      <c r="H87" s="43" t="str">
        <f>IFERROR(__xludf.DUMMYFUNCTION("""COMPUTED_VALUE"""),"Kenitra")</f>
        <v>Kenitra</v>
      </c>
      <c r="I87" s="43" t="str">
        <f>IFERROR(__xludf.DUMMYFUNCTION("""COMPUTED_VALUE"""),"Turkey")</f>
        <v>Turkey</v>
      </c>
      <c r="J87" s="43" t="str">
        <f>IFERROR(__xludf.DUMMYFUNCTION("""COMPUTED_VALUE"""),"ISTANBUL ASIA")</f>
        <v>ISTANBUL ASIA</v>
      </c>
      <c r="K87" s="44" t="str">
        <f>IFERROR(__xludf.DUMMYFUNCTION("""COMPUTED_VALUE"""),"https://expa.aiesec.org/opportunities/1286821")</f>
        <v>https://expa.aiesec.org/opportunities/1286821</v>
      </c>
      <c r="L87" s="43" t="str">
        <f>IFERROR(__xludf.DUMMYFUNCTION("""COMPUTED_VALUE"""),"GTa")</f>
        <v>GTa</v>
      </c>
      <c r="M87" s="43" t="str">
        <f>IFERROR(__xludf.DUMMYFUNCTION("""COMPUTED_VALUE"""),"short")</f>
        <v>short</v>
      </c>
      <c r="N87" s="45">
        <f>IFERROR(__xludf.DUMMYFUNCTION("""COMPUTED_VALUE"""),44925.0)</f>
        <v>44925</v>
      </c>
      <c r="O87" s="45">
        <f>IFERROR(__xludf.DUMMYFUNCTION("""COMPUTED_VALUE"""),44937.0)</f>
        <v>44937</v>
      </c>
      <c r="P87" s="45">
        <f>IFERROR(__xludf.DUMMYFUNCTION("""COMPUTED_VALUE"""),45020.0)</f>
        <v>45020</v>
      </c>
      <c r="Q87" s="45"/>
      <c r="R87" s="45"/>
      <c r="S87" s="43"/>
      <c r="T87" s="43" t="str">
        <f>IFERROR(__xludf.DUMMYFUNCTION("""COMPUTED_VALUE"""),"Business Development")</f>
        <v>Business Development</v>
      </c>
      <c r="U87" s="43" t="str">
        <f>IFERROR(__xludf.DUMMYFUNCTION("""COMPUTED_VALUE"""),"International Relationship Director")</f>
        <v>International Relationship Director</v>
      </c>
      <c r="V87" s="43" t="str">
        <f>IFERROR(__xludf.DUMMYFUNCTION("""COMPUTED_VALUE"""),"Ecole Nationale De Commerce Et De Gestion Kenitra (ENCGK)")</f>
        <v>Ecole Nationale De Commerce Et De Gestion Kenitra (ENCGK)</v>
      </c>
      <c r="W87" s="43" t="str">
        <f>IFERROR(__xludf.DUMMYFUNCTION("""COMPUTED_VALUE"""),"2022-08-29T00:57:27Z")</f>
        <v>2022-08-29T00:57:27Z</v>
      </c>
      <c r="X87" s="43"/>
      <c r="Y87" s="43"/>
      <c r="Z87" s="43"/>
    </row>
    <row r="88" hidden="1">
      <c r="A88" s="43" t="str">
        <f>IFERROR(__xludf.DUMMYFUNCTION("""COMPUTED_VALUE"""),"4976589_1291717")</f>
        <v>4976589_1291717</v>
      </c>
      <c r="B88" s="43" t="str">
        <f>IFERROR(__xludf.DUMMYFUNCTION("""COMPUTED_VALUE"""),"Zineb Azelmat")</f>
        <v>Zineb Azelmat</v>
      </c>
      <c r="C88" s="43" t="str">
        <f>IFERROR(__xludf.DUMMYFUNCTION("""COMPUTED_VALUE"""),"finished")</f>
        <v>finished</v>
      </c>
      <c r="D88" s="43" t="str">
        <f>IFERROR(__xludf.DUMMYFUNCTION("""COMPUTED_VALUE"""),"No")</f>
        <v>No</v>
      </c>
      <c r="E88" s="43" t="str">
        <f>IFERROR(__xludf.DUMMYFUNCTION("""COMPUTED_VALUE"""),"p_9a36822b7ee55178204755ea730cf02298c80097@inbound.aiesec.org")</f>
        <v>p_9a36822b7ee55178204755ea730cf02298c80097@inbound.aiesec.org</v>
      </c>
      <c r="F88" s="43">
        <f>IFERROR(__xludf.DUMMYFUNCTION("""COMPUTED_VALUE"""),6.51390208E8)</f>
        <v>651390208</v>
      </c>
      <c r="G88" s="43" t="str">
        <f>IFERROR(__xludf.DUMMYFUNCTION("""COMPUTED_VALUE"""),"Morocco")</f>
        <v>Morocco</v>
      </c>
      <c r="H88" s="43" t="str">
        <f>IFERROR(__xludf.DUMMYFUNCTION("""COMPUTED_VALUE"""),"Fez")</f>
        <v>Fez</v>
      </c>
      <c r="I88" s="43" t="str">
        <f>IFERROR(__xludf.DUMMYFUNCTION("""COMPUTED_VALUE"""),"Turkey")</f>
        <v>Turkey</v>
      </c>
      <c r="J88" s="43" t="str">
        <f>IFERROR(__xludf.DUMMYFUNCTION("""COMPUTED_VALUE"""),"ISTANBUL ASIA")</f>
        <v>ISTANBUL ASIA</v>
      </c>
      <c r="K88" s="44" t="str">
        <f>IFERROR(__xludf.DUMMYFUNCTION("""COMPUTED_VALUE"""),"https://expa.aiesec.org/opportunities/1291717")</f>
        <v>https://expa.aiesec.org/opportunities/1291717</v>
      </c>
      <c r="L88" s="43" t="str">
        <f>IFERROR(__xludf.DUMMYFUNCTION("""COMPUTED_VALUE"""),"GTa")</f>
        <v>GTa</v>
      </c>
      <c r="M88" s="43" t="str">
        <f>IFERROR(__xludf.DUMMYFUNCTION("""COMPUTED_VALUE"""),"medium")</f>
        <v>medium</v>
      </c>
      <c r="N88" s="45">
        <f>IFERROR(__xludf.DUMMYFUNCTION("""COMPUTED_VALUE"""),44926.0)</f>
        <v>44926</v>
      </c>
      <c r="O88" s="45">
        <f>IFERROR(__xludf.DUMMYFUNCTION("""COMPUTED_VALUE"""),44949.0)</f>
        <v>44949</v>
      </c>
      <c r="P88" s="45">
        <f>IFERROR(__xludf.DUMMYFUNCTION("""COMPUTED_VALUE"""),45130.0)</f>
        <v>45130</v>
      </c>
      <c r="Q88" s="45">
        <f>IFERROR(__xludf.DUMMYFUNCTION("""COMPUTED_VALUE"""),44947.0)</f>
        <v>44947</v>
      </c>
      <c r="R88" s="45">
        <f>IFERROR(__xludf.DUMMYFUNCTION("""COMPUTED_VALUE"""),45161.0)</f>
        <v>45161</v>
      </c>
      <c r="S88" s="43"/>
      <c r="T88" s="43" t="str">
        <f>IFERROR(__xludf.DUMMYFUNCTION("""COMPUTED_VALUE"""),"Business Development")</f>
        <v>Business Development</v>
      </c>
      <c r="U88" s="43" t="str">
        <f>IFERROR(__xludf.DUMMYFUNCTION("""COMPUTED_VALUE"""),"Sales and Marketing Executive")</f>
        <v>Sales and Marketing Executive</v>
      </c>
      <c r="V88" s="43" t="str">
        <f>IFERROR(__xludf.DUMMYFUNCTION("""COMPUTED_VALUE"""),"Ecole Nationale De Commerce Et De Gestion Fès (ENCGF)")</f>
        <v>Ecole Nationale De Commerce Et De Gestion Fès (ENCGF)</v>
      </c>
      <c r="W88" s="43" t="str">
        <f>IFERROR(__xludf.DUMMYFUNCTION("""COMPUTED_VALUE"""),"2022-03-10T16:09:12Z")</f>
        <v>2022-03-10T16:09:12Z</v>
      </c>
      <c r="X88" s="43"/>
      <c r="Y88" s="43"/>
      <c r="Z88" s="43"/>
    </row>
    <row r="89" hidden="1">
      <c r="A89" s="43" t="str">
        <f>IFERROR(__xludf.DUMMYFUNCTION("""COMPUTED_VALUE"""),"5150080_1288813")</f>
        <v>5150080_1288813</v>
      </c>
      <c r="B89" s="43" t="str">
        <f>IFERROR(__xludf.DUMMYFUNCTION("""COMPUTED_VALUE"""),"Abdelrahman Magdy")</f>
        <v>Abdelrahman Magdy</v>
      </c>
      <c r="C89" s="43" t="str">
        <f>IFERROR(__xludf.DUMMYFUNCTION("""COMPUTED_VALUE"""),"realized")</f>
        <v>realized</v>
      </c>
      <c r="D89" s="43" t="str">
        <f>IFERROR(__xludf.DUMMYFUNCTION("""COMPUTED_VALUE"""),"No")</f>
        <v>No</v>
      </c>
      <c r="E89" s="43" t="str">
        <f>IFERROR(__xludf.DUMMYFUNCTION("""COMPUTED_VALUE"""),"p_74c580198c280b1708965648a8a68be8e53688e1@inbound.aiesec.org")</f>
        <v>p_74c580198c280b1708965648a8a68be8e53688e1@inbound.aiesec.org</v>
      </c>
      <c r="F89" s="43">
        <f>IFERROR(__xludf.DUMMYFUNCTION("""COMPUTED_VALUE"""),1.276087103E9)</f>
        <v>1276087103</v>
      </c>
      <c r="G89" s="43" t="str">
        <f>IFERROR(__xludf.DUMMYFUNCTION("""COMPUTED_VALUE"""),"Egypt")</f>
        <v>Egypt</v>
      </c>
      <c r="H89" s="43" t="str">
        <f>IFERROR(__xludf.DUMMYFUNCTION("""COMPUTED_VALUE"""),"Alexandria")</f>
        <v>Alexandria</v>
      </c>
      <c r="I89" s="43" t="str">
        <f>IFERROR(__xludf.DUMMYFUNCTION("""COMPUTED_VALUE"""),"Turkey")</f>
        <v>Turkey</v>
      </c>
      <c r="J89" s="43" t="str">
        <f>IFERROR(__xludf.DUMMYFUNCTION("""COMPUTED_VALUE"""),"ISTANBUL WEST")</f>
        <v>ISTANBUL WEST</v>
      </c>
      <c r="K89" s="44" t="str">
        <f>IFERROR(__xludf.DUMMYFUNCTION("""COMPUTED_VALUE"""),"https://expa.aiesec.org/opportunities/1288813")</f>
        <v>https://expa.aiesec.org/opportunities/1288813</v>
      </c>
      <c r="L89" s="43" t="str">
        <f>IFERROR(__xludf.DUMMYFUNCTION("""COMPUTED_VALUE"""),"GTa")</f>
        <v>GTa</v>
      </c>
      <c r="M89" s="43" t="str">
        <f>IFERROR(__xludf.DUMMYFUNCTION("""COMPUTED_VALUE"""),"long")</f>
        <v>long</v>
      </c>
      <c r="N89" s="45">
        <f>IFERROR(__xludf.DUMMYFUNCTION("""COMPUTED_VALUE"""),44927.0)</f>
        <v>44927</v>
      </c>
      <c r="O89" s="45">
        <f>IFERROR(__xludf.DUMMYFUNCTION("""COMPUTED_VALUE"""),44984.0)</f>
        <v>44984</v>
      </c>
      <c r="P89" s="45">
        <f>IFERROR(__xludf.DUMMYFUNCTION("""COMPUTED_VALUE"""),45348.0)</f>
        <v>45348</v>
      </c>
      <c r="Q89" s="45">
        <f>IFERROR(__xludf.DUMMYFUNCTION("""COMPUTED_VALUE"""),44998.0)</f>
        <v>44998</v>
      </c>
      <c r="R89" s="45">
        <f>IFERROR(__xludf.DUMMYFUNCTION("""COMPUTED_VALUE"""),45362.0)</f>
        <v>45362</v>
      </c>
      <c r="S89" s="43"/>
      <c r="T89" s="43" t="str">
        <f>IFERROR(__xludf.DUMMYFUNCTION("""COMPUTED_VALUE"""),"Marketing")</f>
        <v>Marketing</v>
      </c>
      <c r="U89" s="43" t="str">
        <f>IFERROR(__xludf.DUMMYFUNCTION("""COMPUTED_VALUE"""),"Call Center Customer Representative")</f>
        <v>Call Center Customer Representative</v>
      </c>
      <c r="V89" s="43" t="str">
        <f>IFERROR(__xludf.DUMMYFUNCTION("""COMPUTED_VALUE"""),"Alexandria University")</f>
        <v>Alexandria University</v>
      </c>
      <c r="W89" s="43" t="str">
        <f>IFERROR(__xludf.DUMMYFUNCTION("""COMPUTED_VALUE"""),"2022-11-09T10:27:08Z")</f>
        <v>2022-11-09T10:27:08Z</v>
      </c>
      <c r="X89" s="43"/>
      <c r="Y89" s="43"/>
      <c r="Z89" s="43"/>
    </row>
    <row r="90">
      <c r="A90" s="43" t="str">
        <f>IFERROR(__xludf.DUMMYFUNCTION("""COMPUTED_VALUE"""),"4936673_1278791")</f>
        <v>4936673_1278791</v>
      </c>
      <c r="B90" s="43" t="str">
        <f>IFERROR(__xludf.DUMMYFUNCTION("""COMPUTED_VALUE"""),"Ramzi Ben Abid")</f>
        <v>Ramzi Ben Abid</v>
      </c>
      <c r="C90" s="43" t="str">
        <f>IFERROR(__xludf.DUMMYFUNCTION("""COMPUTED_VALUE"""),"approved")</f>
        <v>approved</v>
      </c>
      <c r="D90" s="43" t="str">
        <f>IFERROR(__xludf.DUMMYFUNCTION("""COMPUTED_VALUE"""),"No")</f>
        <v>No</v>
      </c>
      <c r="E90" s="43" t="str">
        <f>IFERROR(__xludf.DUMMYFUNCTION("""COMPUTED_VALUE"""),"p_56d5a8dae64dc5ff6e82b485c4fe1ccf09347e30@inbound.aiesec.org")</f>
        <v>p_56d5a8dae64dc5ff6e82b485c4fe1ccf09347e30@inbound.aiesec.org</v>
      </c>
      <c r="F90" s="43"/>
      <c r="G90" s="43" t="str">
        <f>IFERROR(__xludf.DUMMYFUNCTION("""COMPUTED_VALUE"""),"Tunisia")</f>
        <v>Tunisia</v>
      </c>
      <c r="H90" s="43" t="str">
        <f>IFERROR(__xludf.DUMMYFUNCTION("""COMPUTED_VALUE"""),"BARDO")</f>
        <v>BARDO</v>
      </c>
      <c r="I90" s="43" t="str">
        <f>IFERROR(__xludf.DUMMYFUNCTION("""COMPUTED_VALUE"""),"Turkey")</f>
        <v>Turkey</v>
      </c>
      <c r="J90" s="43" t="str">
        <f>IFERROR(__xludf.DUMMYFUNCTION("""COMPUTED_VALUE"""),"KOCAELI")</f>
        <v>KOCAELI</v>
      </c>
      <c r="K90" s="44" t="str">
        <f>IFERROR(__xludf.DUMMYFUNCTION("""COMPUTED_VALUE"""),"https://expa.aiesec.org/opportunities/1278791")</f>
        <v>https://expa.aiesec.org/opportunities/1278791</v>
      </c>
      <c r="L90" s="43" t="str">
        <f>IFERROR(__xludf.DUMMYFUNCTION("""COMPUTED_VALUE"""),"GTa")</f>
        <v>GTa</v>
      </c>
      <c r="M90" s="43" t="str">
        <f>IFERROR(__xludf.DUMMYFUNCTION("""COMPUTED_VALUE"""),"long")</f>
        <v>long</v>
      </c>
      <c r="N90" s="45">
        <f>IFERROR(__xludf.DUMMYFUNCTION("""COMPUTED_VALUE"""),44929.0)</f>
        <v>44929</v>
      </c>
      <c r="O90" s="45">
        <f>IFERROR(__xludf.DUMMYFUNCTION("""COMPUTED_VALUE"""),44928.0)</f>
        <v>44928</v>
      </c>
      <c r="P90" s="45">
        <f>IFERROR(__xludf.DUMMYFUNCTION("""COMPUTED_VALUE"""),45293.0)</f>
        <v>45293</v>
      </c>
      <c r="Q90" s="45"/>
      <c r="R90" s="45"/>
      <c r="S90" s="43"/>
      <c r="T90" s="43" t="str">
        <f>IFERROR(__xludf.DUMMYFUNCTION("""COMPUTED_VALUE"""),"Business Development")</f>
        <v>Business Development</v>
      </c>
      <c r="U90" s="43" t="str">
        <f>IFERROR(__xludf.DUMMYFUNCTION("""COMPUTED_VALUE"""),"Export Sales and Marketing Specialist in ABS Madencilik")</f>
        <v>Export Sales and Marketing Specialist in ABS Madencilik</v>
      </c>
      <c r="V90" s="43" t="str">
        <f>IFERROR(__xludf.DUMMYFUNCTION("""COMPUTED_VALUE"""),"-")</f>
        <v>-</v>
      </c>
      <c r="W90" s="43" t="str">
        <f>IFERROR(__xludf.DUMMYFUNCTION("""COMPUTED_VALUE"""),"2022-02-18T15:49:25Z")</f>
        <v>2022-02-18T15:49:25Z</v>
      </c>
      <c r="X90" s="43"/>
      <c r="Y90" s="43"/>
      <c r="Z90" s="43"/>
    </row>
    <row r="91" hidden="1">
      <c r="A91" s="43" t="str">
        <f>IFERROR(__xludf.DUMMYFUNCTION("""COMPUTED_VALUE"""),"2834960_1289255")</f>
        <v>2834960_1289255</v>
      </c>
      <c r="B91" s="43" t="str">
        <f>IFERROR(__xludf.DUMMYFUNCTION("""COMPUTED_VALUE"""),"Ghada Amri")</f>
        <v>Ghada Amri</v>
      </c>
      <c r="C91" s="43" t="str">
        <f>IFERROR(__xludf.DUMMYFUNCTION("""COMPUTED_VALUE"""),"realized")</f>
        <v>realized</v>
      </c>
      <c r="D91" s="43" t="str">
        <f>IFERROR(__xludf.DUMMYFUNCTION("""COMPUTED_VALUE"""),"No")</f>
        <v>No</v>
      </c>
      <c r="E91" s="43" t="str">
        <f>IFERROR(__xludf.DUMMYFUNCTION("""COMPUTED_VALUE"""),"p_8a4c7bafe39dae8c43e5c1dfbc9eea9649b43442@inbound.aiesec.org")</f>
        <v>p_8a4c7bafe39dae8c43e5c1dfbc9eea9649b43442@inbound.aiesec.org</v>
      </c>
      <c r="F91" s="43">
        <f>IFERROR(__xludf.DUMMYFUNCTION("""COMPUTED_VALUE"""),2.1601362E7)</f>
        <v>21601362</v>
      </c>
      <c r="G91" s="43" t="str">
        <f>IFERROR(__xludf.DUMMYFUNCTION("""COMPUTED_VALUE"""),"Tunisia")</f>
        <v>Tunisia</v>
      </c>
      <c r="H91" s="43" t="str">
        <f>IFERROR(__xludf.DUMMYFUNCTION("""COMPUTED_VALUE"""),"UNIVERSITY")</f>
        <v>UNIVERSITY</v>
      </c>
      <c r="I91" s="43" t="str">
        <f>IFERROR(__xludf.DUMMYFUNCTION("""COMPUTED_VALUE"""),"Turkey")</f>
        <v>Turkey</v>
      </c>
      <c r="J91" s="43" t="str">
        <f>IFERROR(__xludf.DUMMYFUNCTION("""COMPUTED_VALUE"""),"ISTANBUL")</f>
        <v>ISTANBUL</v>
      </c>
      <c r="K91" s="44" t="str">
        <f>IFERROR(__xludf.DUMMYFUNCTION("""COMPUTED_VALUE"""),"https://expa.aiesec.org/opportunities/1289255")</f>
        <v>https://expa.aiesec.org/opportunities/1289255</v>
      </c>
      <c r="L91" s="43" t="str">
        <f>IFERROR(__xludf.DUMMYFUNCTION("""COMPUTED_VALUE"""),"GTa")</f>
        <v>GTa</v>
      </c>
      <c r="M91" s="43" t="str">
        <f>IFERROR(__xludf.DUMMYFUNCTION("""COMPUTED_VALUE"""),"long")</f>
        <v>long</v>
      </c>
      <c r="N91" s="45">
        <f>IFERROR(__xludf.DUMMYFUNCTION("""COMPUTED_VALUE"""),44930.0)</f>
        <v>44930</v>
      </c>
      <c r="O91" s="45">
        <f>IFERROR(__xludf.DUMMYFUNCTION("""COMPUTED_VALUE"""),44935.0)</f>
        <v>44935</v>
      </c>
      <c r="P91" s="45">
        <f>IFERROR(__xludf.DUMMYFUNCTION("""COMPUTED_VALUE"""),45471.0)</f>
        <v>45471</v>
      </c>
      <c r="Q91" s="45">
        <f>IFERROR(__xludf.DUMMYFUNCTION("""COMPUTED_VALUE"""),45005.0)</f>
        <v>45005</v>
      </c>
      <c r="R91" s="45">
        <f>IFERROR(__xludf.DUMMYFUNCTION("""COMPUTED_VALUE"""),45555.0)</f>
        <v>45555</v>
      </c>
      <c r="S91" s="43"/>
      <c r="T91" s="43" t="str">
        <f>IFERROR(__xludf.DUMMYFUNCTION("""COMPUTED_VALUE"""),"Business Administration")</f>
        <v>Business Administration</v>
      </c>
      <c r="U91" s="43" t="str">
        <f>IFERROR(__xludf.DUMMYFUNCTION("""COMPUTED_VALUE"""),"Telesales Specialist in Istanbul (French Speaker)")</f>
        <v>Telesales Specialist in Istanbul (French Speaker)</v>
      </c>
      <c r="V91" s="43" t="str">
        <f>IFERROR(__xludf.DUMMYFUNCTION("""COMPUTED_VALUE"""),"FSEGT")</f>
        <v>FSEGT</v>
      </c>
      <c r="W91" s="43" t="str">
        <f>IFERROR(__xludf.DUMMYFUNCTION("""COMPUTED_VALUE"""),"2018-11-05T20:59:37Z")</f>
        <v>2018-11-05T20:59:37Z</v>
      </c>
      <c r="X91" s="43"/>
      <c r="Y91" s="43"/>
      <c r="Z91" s="43"/>
    </row>
    <row r="92" hidden="1">
      <c r="A92" s="43" t="str">
        <f>IFERROR(__xludf.DUMMYFUNCTION("""COMPUTED_VALUE"""),"5172110_1277892")</f>
        <v>5172110_1277892</v>
      </c>
      <c r="B92" s="43" t="str">
        <f>IFERROR(__xludf.DUMMYFUNCTION("""COMPUTED_VALUE"""),"Temirlan Nurmamatov")</f>
        <v>Temirlan Nurmamatov</v>
      </c>
      <c r="C92" s="43" t="str">
        <f>IFERROR(__xludf.DUMMYFUNCTION("""COMPUTED_VALUE"""),"realized")</f>
        <v>realized</v>
      </c>
      <c r="D92" s="43" t="str">
        <f>IFERROR(__xludf.DUMMYFUNCTION("""COMPUTED_VALUE"""),"No")</f>
        <v>No</v>
      </c>
      <c r="E92" s="43" t="str">
        <f>IFERROR(__xludf.DUMMYFUNCTION("""COMPUTED_VALUE"""),"p_acc6fbdf911acadfcb181f08ab6b11ed7e086417@inbound.aiesec.org")</f>
        <v>p_acc6fbdf911acadfcb181f08ab6b11ed7e086417@inbound.aiesec.org</v>
      </c>
      <c r="F92" s="43"/>
      <c r="G92" s="43" t="str">
        <f>IFERROR(__xludf.DUMMYFUNCTION("""COMPUTED_VALUE"""),"Kyrgyzstan")</f>
        <v>Kyrgyzstan</v>
      </c>
      <c r="H92" s="43" t="str">
        <f>IFERROR(__xludf.DUMMYFUNCTION("""COMPUTED_VALUE"""),"Impulse for Bishkek Leaders (IBL)")</f>
        <v>Impulse for Bishkek Leaders (IBL)</v>
      </c>
      <c r="I92" s="43" t="str">
        <f>IFERROR(__xludf.DUMMYFUNCTION("""COMPUTED_VALUE"""),"Turkey")</f>
        <v>Turkey</v>
      </c>
      <c r="J92" s="43" t="str">
        <f>IFERROR(__xludf.DUMMYFUNCTION("""COMPUTED_VALUE"""),"ANTALYA")</f>
        <v>ANTALYA</v>
      </c>
      <c r="K92" s="44" t="str">
        <f>IFERROR(__xludf.DUMMYFUNCTION("""COMPUTED_VALUE"""),"https://expa.aiesec.org/opportunities/1277892")</f>
        <v>https://expa.aiesec.org/opportunities/1277892</v>
      </c>
      <c r="L92" s="43" t="str">
        <f>IFERROR(__xludf.DUMMYFUNCTION("""COMPUTED_VALUE"""),"GTa")</f>
        <v>GTa</v>
      </c>
      <c r="M92" s="43" t="str">
        <f>IFERROR(__xludf.DUMMYFUNCTION("""COMPUTED_VALUE"""),"long")</f>
        <v>long</v>
      </c>
      <c r="N92" s="45">
        <f>IFERROR(__xludf.DUMMYFUNCTION("""COMPUTED_VALUE"""),44933.0)</f>
        <v>44933</v>
      </c>
      <c r="O92" s="45">
        <f>IFERROR(__xludf.DUMMYFUNCTION("""COMPUTED_VALUE"""),44949.0)</f>
        <v>44949</v>
      </c>
      <c r="P92" s="45">
        <f>IFERROR(__xludf.DUMMYFUNCTION("""COMPUTED_VALUE"""),45314.0)</f>
        <v>45314</v>
      </c>
      <c r="Q92" s="45">
        <f>IFERROR(__xludf.DUMMYFUNCTION("""COMPUTED_VALUE"""),45033.0)</f>
        <v>45033</v>
      </c>
      <c r="R92" s="45">
        <f>IFERROR(__xludf.DUMMYFUNCTION("""COMPUTED_VALUE"""),45398.0)</f>
        <v>45398</v>
      </c>
      <c r="S92" s="43"/>
      <c r="T92" s="43" t="str">
        <f>IFERROR(__xludf.DUMMYFUNCTION("""COMPUTED_VALUE"""),"Information Technology")</f>
        <v>Information Technology</v>
      </c>
      <c r="U92" s="43" t="str">
        <f>IFERROR(__xludf.DUMMYFUNCTION("""COMPUTED_VALUE"""),"Mobile Developing w/ACTIMI")</f>
        <v>Mobile Developing w/ACTIMI</v>
      </c>
      <c r="V92" s="43" t="str">
        <f>IFERROR(__xludf.DUMMYFUNCTION("""COMPUTED_VALUE"""),"-")</f>
        <v>-</v>
      </c>
      <c r="W92" s="43" t="str">
        <f>IFERROR(__xludf.DUMMYFUNCTION("""COMPUTED_VALUE"""),"2023-01-01T09:20:33Z")</f>
        <v>2023-01-01T09:20:33Z</v>
      </c>
      <c r="X92" s="43"/>
      <c r="Y92" s="43"/>
      <c r="Z92" s="43"/>
    </row>
    <row r="93" hidden="1">
      <c r="A93" s="43" t="str">
        <f>IFERROR(__xludf.DUMMYFUNCTION("""COMPUTED_VALUE"""),"3251295_1290931")</f>
        <v>3251295_1290931</v>
      </c>
      <c r="B93" s="43" t="str">
        <f>IFERROR(__xludf.DUMMYFUNCTION("""COMPUTED_VALUE"""),"Radja Bouchama")</f>
        <v>Radja Bouchama</v>
      </c>
      <c r="C93" s="43" t="str">
        <f>IFERROR(__xludf.DUMMYFUNCTION("""COMPUTED_VALUE"""),"completed")</f>
        <v>completed</v>
      </c>
      <c r="D93" s="43" t="str">
        <f>IFERROR(__xludf.DUMMYFUNCTION("""COMPUTED_VALUE"""),"No")</f>
        <v>No</v>
      </c>
      <c r="E93" s="43" t="str">
        <f>IFERROR(__xludf.DUMMYFUNCTION("""COMPUTED_VALUE"""),"p_ed6ee549296f331588dfadef55a4a1b63de51477@inbound.aiesec.org")</f>
        <v>p_ed6ee549296f331588dfadef55a4a1b63de51477@inbound.aiesec.org</v>
      </c>
      <c r="F93" s="43"/>
      <c r="G93" s="43" t="str">
        <f>IFERROR(__xludf.DUMMYFUNCTION("""COMPUTED_VALUE"""),"Algeria")</f>
        <v>Algeria</v>
      </c>
      <c r="H93" s="43" t="str">
        <f>IFERROR(__xludf.DUMMYFUNCTION("""COMPUTED_VALUE"""),"Oran")</f>
        <v>Oran</v>
      </c>
      <c r="I93" s="43" t="str">
        <f>IFERROR(__xludf.DUMMYFUNCTION("""COMPUTED_VALUE"""),"Turkey")</f>
        <v>Turkey</v>
      </c>
      <c r="J93" s="43" t="str">
        <f>IFERROR(__xludf.DUMMYFUNCTION("""COMPUTED_VALUE"""),"ISTANBUL WEST")</f>
        <v>ISTANBUL WEST</v>
      </c>
      <c r="K93" s="44" t="str">
        <f>IFERROR(__xludf.DUMMYFUNCTION("""COMPUTED_VALUE"""),"https://expa.aiesec.org/opportunities/1290931")</f>
        <v>https://expa.aiesec.org/opportunities/1290931</v>
      </c>
      <c r="L93" s="43" t="str">
        <f>IFERROR(__xludf.DUMMYFUNCTION("""COMPUTED_VALUE"""),"GTa")</f>
        <v>GTa</v>
      </c>
      <c r="M93" s="43" t="str">
        <f>IFERROR(__xludf.DUMMYFUNCTION("""COMPUTED_VALUE"""),"medium")</f>
        <v>medium</v>
      </c>
      <c r="N93" s="45">
        <f>IFERROR(__xludf.DUMMYFUNCTION("""COMPUTED_VALUE"""),44934.0)</f>
        <v>44934</v>
      </c>
      <c r="O93" s="45">
        <f>IFERROR(__xludf.DUMMYFUNCTION("""COMPUTED_VALUE"""),44949.0)</f>
        <v>44949</v>
      </c>
      <c r="P93" s="45">
        <f>IFERROR(__xludf.DUMMYFUNCTION("""COMPUTED_VALUE"""),45128.0)</f>
        <v>45128</v>
      </c>
      <c r="Q93" s="45">
        <f>IFERROR(__xludf.DUMMYFUNCTION("""COMPUTED_VALUE"""),44970.0)</f>
        <v>44970</v>
      </c>
      <c r="R93" s="45">
        <f>IFERROR(__xludf.DUMMYFUNCTION("""COMPUTED_VALUE"""),45152.0)</f>
        <v>45152</v>
      </c>
      <c r="S93" s="43"/>
      <c r="T93" s="43" t="str">
        <f>IFERROR(__xludf.DUMMYFUNCTION("""COMPUTED_VALUE"""),"Marketing")</f>
        <v>Marketing</v>
      </c>
      <c r="U93" s="43" t="str">
        <f>IFERROR(__xludf.DUMMYFUNCTION("""COMPUTED_VALUE"""),"Sales Assistant at Akkaya")</f>
        <v>Sales Assistant at Akkaya</v>
      </c>
      <c r="V93" s="43" t="str">
        <f>IFERROR(__xludf.DUMMYFUNCTION("""COMPUTED_VALUE"""),"AIESEC in Bejaia")</f>
        <v>AIESEC in Bejaia</v>
      </c>
      <c r="W93" s="43" t="str">
        <f>IFERROR(__xludf.DUMMYFUNCTION("""COMPUTED_VALUE"""),"2019-03-21T19:12:54Z")</f>
        <v>2019-03-21T19:12:54Z</v>
      </c>
      <c r="X93" s="43"/>
      <c r="Y93" s="43"/>
      <c r="Z93" s="43"/>
    </row>
    <row r="94" hidden="1">
      <c r="A94" s="43" t="str">
        <f>IFERROR(__xludf.DUMMYFUNCTION("""COMPUTED_VALUE"""),"5174736_1286779")</f>
        <v>5174736_1286779</v>
      </c>
      <c r="B94" s="43" t="str">
        <f>IFERROR(__xludf.DUMMYFUNCTION("""COMPUTED_VALUE"""),"Gabino Villa O’Dogherty")</f>
        <v>Gabino Villa O’Dogherty</v>
      </c>
      <c r="C94" s="43" t="str">
        <f>IFERROR(__xludf.DUMMYFUNCTION("""COMPUTED_VALUE"""),"realized")</f>
        <v>realized</v>
      </c>
      <c r="D94" s="43" t="str">
        <f>IFERROR(__xludf.DUMMYFUNCTION("""COMPUTED_VALUE"""),"No")</f>
        <v>No</v>
      </c>
      <c r="E94" s="43" t="str">
        <f>IFERROR(__xludf.DUMMYFUNCTION("""COMPUTED_VALUE"""),"p_d167cd3685c9bae0471e3ee47d964bdaab1d8b45@inbound.aiesec.org")</f>
        <v>p_d167cd3685c9bae0471e3ee47d964bdaab1d8b45@inbound.aiesec.org</v>
      </c>
      <c r="F94" s="43">
        <f>IFERROR(__xludf.DUMMYFUNCTION("""COMPUTED_VALUE"""),9.841866809E9)</f>
        <v>9841866809</v>
      </c>
      <c r="G94" s="43" t="str">
        <f>IFERROR(__xludf.DUMMYFUNCTION("""COMPUTED_VALUE"""),"Mexico")</f>
        <v>Mexico</v>
      </c>
      <c r="H94" s="43" t="str">
        <f>IFERROR(__xludf.DUMMYFUNCTION("""COMPUTED_VALUE"""),"Querétaro")</f>
        <v>Querétaro</v>
      </c>
      <c r="I94" s="43" t="str">
        <f>IFERROR(__xludf.DUMMYFUNCTION("""COMPUTED_VALUE"""),"Turkey")</f>
        <v>Turkey</v>
      </c>
      <c r="J94" s="43" t="str">
        <f>IFERROR(__xludf.DUMMYFUNCTION("""COMPUTED_VALUE"""),"ISTANBUL")</f>
        <v>ISTANBUL</v>
      </c>
      <c r="K94" s="44" t="str">
        <f>IFERROR(__xludf.DUMMYFUNCTION("""COMPUTED_VALUE"""),"https://expa.aiesec.org/opportunities/1286779")</f>
        <v>https://expa.aiesec.org/opportunities/1286779</v>
      </c>
      <c r="L94" s="43" t="str">
        <f>IFERROR(__xludf.DUMMYFUNCTION("""COMPUTED_VALUE"""),"GTa")</f>
        <v>GTa</v>
      </c>
      <c r="M94" s="43" t="str">
        <f>IFERROR(__xludf.DUMMYFUNCTION("""COMPUTED_VALUE"""),"long")</f>
        <v>long</v>
      </c>
      <c r="N94" s="45">
        <f>IFERROR(__xludf.DUMMYFUNCTION("""COMPUTED_VALUE"""),44936.0)</f>
        <v>44936</v>
      </c>
      <c r="O94" s="45">
        <f>IFERROR(__xludf.DUMMYFUNCTION("""COMPUTED_VALUE"""),44963.0)</f>
        <v>44963</v>
      </c>
      <c r="P94" s="45">
        <f>IFERROR(__xludf.DUMMYFUNCTION("""COMPUTED_VALUE"""),45324.0)</f>
        <v>45324</v>
      </c>
      <c r="Q94" s="45">
        <f>IFERROR(__xludf.DUMMYFUNCTION("""COMPUTED_VALUE"""),44963.0)</f>
        <v>44963</v>
      </c>
      <c r="R94" s="45">
        <f>IFERROR(__xludf.DUMMYFUNCTION("""COMPUTED_VALUE"""),45328.0)</f>
        <v>45328</v>
      </c>
      <c r="S94" s="43"/>
      <c r="T94" s="43" t="str">
        <f>IFERROR(__xludf.DUMMYFUNCTION("""COMPUTED_VALUE"""),"Business Development")</f>
        <v>Business Development</v>
      </c>
      <c r="U94" s="43" t="str">
        <f>IFERROR(__xludf.DUMMYFUNCTION("""COMPUTED_VALUE"""),"Sales Intern in Istanbul")</f>
        <v>Sales Intern in Istanbul</v>
      </c>
      <c r="V94" s="43" t="str">
        <f>IFERROR(__xludf.DUMMYFUNCTION("""COMPUTED_VALUE"""),"Querétaro - Universidad Mondragón")</f>
        <v>Querétaro - Universidad Mondragón</v>
      </c>
      <c r="W94" s="43" t="str">
        <f>IFERROR(__xludf.DUMMYFUNCTION("""COMPUTED_VALUE"""),"2023-01-09T16:40:26Z")</f>
        <v>2023-01-09T16:40:26Z</v>
      </c>
      <c r="X94" s="43"/>
      <c r="Y94" s="43"/>
      <c r="Z94" s="43"/>
    </row>
    <row r="95" hidden="1">
      <c r="A95" s="43" t="str">
        <f>IFERROR(__xludf.DUMMYFUNCTION("""COMPUTED_VALUE"""),"5176287_1289255")</f>
        <v>5176287_1289255</v>
      </c>
      <c r="B95" s="43" t="str">
        <f>IFERROR(__xludf.DUMMYFUNCTION("""COMPUTED_VALUE"""),"FATIMA ZAHRA ATIF")</f>
        <v>FATIMA ZAHRA ATIF</v>
      </c>
      <c r="C95" s="43" t="str">
        <f>IFERROR(__xludf.DUMMYFUNCTION("""COMPUTED_VALUE"""),"realized")</f>
        <v>realized</v>
      </c>
      <c r="D95" s="43" t="str">
        <f>IFERROR(__xludf.DUMMYFUNCTION("""COMPUTED_VALUE"""),"No")</f>
        <v>No</v>
      </c>
      <c r="E95" s="43" t="str">
        <f>IFERROR(__xludf.DUMMYFUNCTION("""COMPUTED_VALUE"""),"p_971606813c44614a2c9784ab8f395a6b261f9e77@inbound.aiesec.org")</f>
        <v>p_971606813c44614a2c9784ab8f395a6b261f9e77@inbound.aiesec.org</v>
      </c>
      <c r="F95" s="43">
        <f>IFERROR(__xludf.DUMMYFUNCTION("""COMPUTED_VALUE"""),7.21742797E8)</f>
        <v>721742797</v>
      </c>
      <c r="G95" s="43" t="str">
        <f>IFERROR(__xludf.DUMMYFUNCTION("""COMPUTED_VALUE"""),"Morocco")</f>
        <v>Morocco</v>
      </c>
      <c r="H95" s="43" t="str">
        <f>IFERROR(__xludf.DUMMYFUNCTION("""COMPUTED_VALUE"""),"Agadir")</f>
        <v>Agadir</v>
      </c>
      <c r="I95" s="43" t="str">
        <f>IFERROR(__xludf.DUMMYFUNCTION("""COMPUTED_VALUE"""),"Turkey")</f>
        <v>Turkey</v>
      </c>
      <c r="J95" s="43" t="str">
        <f>IFERROR(__xludf.DUMMYFUNCTION("""COMPUTED_VALUE"""),"ISTANBUL")</f>
        <v>ISTANBUL</v>
      </c>
      <c r="K95" s="44" t="str">
        <f>IFERROR(__xludf.DUMMYFUNCTION("""COMPUTED_VALUE"""),"https://expa.aiesec.org/opportunities/1289255")</f>
        <v>https://expa.aiesec.org/opportunities/1289255</v>
      </c>
      <c r="L95" s="43" t="str">
        <f>IFERROR(__xludf.DUMMYFUNCTION("""COMPUTED_VALUE"""),"GTa")</f>
        <v>GTa</v>
      </c>
      <c r="M95" s="43" t="str">
        <f>IFERROR(__xludf.DUMMYFUNCTION("""COMPUTED_VALUE"""),"long")</f>
        <v>long</v>
      </c>
      <c r="N95" s="45">
        <f>IFERROR(__xludf.DUMMYFUNCTION("""COMPUTED_VALUE"""),44942.0)</f>
        <v>44942</v>
      </c>
      <c r="O95" s="45">
        <f>IFERROR(__xludf.DUMMYFUNCTION("""COMPUTED_VALUE"""),44970.0)</f>
        <v>44970</v>
      </c>
      <c r="P95" s="45">
        <f>IFERROR(__xludf.DUMMYFUNCTION("""COMPUTED_VALUE"""),45335.0)</f>
        <v>45335</v>
      </c>
      <c r="Q95" s="45">
        <f>IFERROR(__xludf.DUMMYFUNCTION("""COMPUTED_VALUE"""),44972.0)</f>
        <v>44972</v>
      </c>
      <c r="R95" s="45">
        <f>IFERROR(__xludf.DUMMYFUNCTION("""COMPUTED_VALUE"""),45516.0)</f>
        <v>45516</v>
      </c>
      <c r="S95" s="43"/>
      <c r="T95" s="43" t="str">
        <f>IFERROR(__xludf.DUMMYFUNCTION("""COMPUTED_VALUE"""),"Business Administration")</f>
        <v>Business Administration</v>
      </c>
      <c r="U95" s="43" t="str">
        <f>IFERROR(__xludf.DUMMYFUNCTION("""COMPUTED_VALUE"""),"Telesales Specialist in Istanbul (French Speaker)")</f>
        <v>Telesales Specialist in Istanbul (French Speaker)</v>
      </c>
      <c r="V95" s="43" t="str">
        <f>IFERROR(__xludf.DUMMYFUNCTION("""COMPUTED_VALUE"""),"FSJES Agadir")</f>
        <v>FSJES Agadir</v>
      </c>
      <c r="W95" s="43" t="str">
        <f>IFERROR(__xludf.DUMMYFUNCTION("""COMPUTED_VALUE"""),"2023-01-13T15:59:55Z")</f>
        <v>2023-01-13T15:59:55Z</v>
      </c>
      <c r="X95" s="43"/>
      <c r="Y95" s="43"/>
      <c r="Z95" s="43"/>
    </row>
    <row r="96" hidden="1">
      <c r="A96" s="43" t="str">
        <f>IFERROR(__xludf.DUMMYFUNCTION("""COMPUTED_VALUE"""),"4850094_1291873")</f>
        <v>4850094_1291873</v>
      </c>
      <c r="B96" s="43" t="str">
        <f>IFERROR(__xludf.DUMMYFUNCTION("""COMPUTED_VALUE"""),"Noha Hosssameldin Elsheikh")</f>
        <v>Noha Hosssameldin Elsheikh</v>
      </c>
      <c r="C96" s="43" t="str">
        <f>IFERROR(__xludf.DUMMYFUNCTION("""COMPUTED_VALUE"""),"realization_broken")</f>
        <v>realization_broken</v>
      </c>
      <c r="D96" s="43" t="str">
        <f>IFERROR(__xludf.DUMMYFUNCTION("""COMPUTED_VALUE"""),"No")</f>
        <v>No</v>
      </c>
      <c r="E96" s="43" t="str">
        <f>IFERROR(__xludf.DUMMYFUNCTION("""COMPUTED_VALUE"""),"p_d66823b7aa2af5372f06dc7feffdfbe290ed1bf8@inbound.aiesec.org")</f>
        <v>p_d66823b7aa2af5372f06dc7feffdfbe290ed1bf8@inbound.aiesec.org</v>
      </c>
      <c r="F96" s="43">
        <f>IFERROR(__xludf.DUMMYFUNCTION("""COMPUTED_VALUE"""),1.093441678E9)</f>
        <v>1093441678</v>
      </c>
      <c r="G96" s="43" t="str">
        <f>IFERROR(__xludf.DUMMYFUNCTION("""COMPUTED_VALUE"""),"Egypt")</f>
        <v>Egypt</v>
      </c>
      <c r="H96" s="43" t="str">
        <f>IFERROR(__xludf.DUMMYFUNCTION("""COMPUTED_VALUE"""),"Mansoura")</f>
        <v>Mansoura</v>
      </c>
      <c r="I96" s="43" t="str">
        <f>IFERROR(__xludf.DUMMYFUNCTION("""COMPUTED_VALUE"""),"Turkey")</f>
        <v>Turkey</v>
      </c>
      <c r="J96" s="43" t="str">
        <f>IFERROR(__xludf.DUMMYFUNCTION("""COMPUTED_VALUE"""),"ANTALYA")</f>
        <v>ANTALYA</v>
      </c>
      <c r="K96" s="44" t="str">
        <f>IFERROR(__xludf.DUMMYFUNCTION("""COMPUTED_VALUE"""),"https://expa.aiesec.org/opportunities/1291873")</f>
        <v>https://expa.aiesec.org/opportunities/1291873</v>
      </c>
      <c r="L96" s="43" t="str">
        <f>IFERROR(__xludf.DUMMYFUNCTION("""COMPUTED_VALUE"""),"GTa")</f>
        <v>GTa</v>
      </c>
      <c r="M96" s="43" t="str">
        <f>IFERROR(__xludf.DUMMYFUNCTION("""COMPUTED_VALUE"""),"medium")</f>
        <v>medium</v>
      </c>
      <c r="N96" s="45">
        <f>IFERROR(__xludf.DUMMYFUNCTION("""COMPUTED_VALUE"""),44942.0)</f>
        <v>44942</v>
      </c>
      <c r="O96" s="45">
        <f>IFERROR(__xludf.DUMMYFUNCTION("""COMPUTED_VALUE"""),45005.0)</f>
        <v>45005</v>
      </c>
      <c r="P96" s="45">
        <f>IFERROR(__xludf.DUMMYFUNCTION("""COMPUTED_VALUE"""),45186.0)</f>
        <v>45186</v>
      </c>
      <c r="Q96" s="45"/>
      <c r="R96" s="45"/>
      <c r="S96" s="43"/>
      <c r="T96" s="43" t="str">
        <f>IFERROR(__xludf.DUMMYFUNCTION("""COMPUTED_VALUE"""),"Marketing")</f>
        <v>Marketing</v>
      </c>
      <c r="U96" s="43" t="str">
        <f>IFERROR(__xludf.DUMMYFUNCTION("""COMPUTED_VALUE"""),"Marketing Intern")</f>
        <v>Marketing Intern</v>
      </c>
      <c r="V96" s="43" t="str">
        <f>IFERROR(__xludf.DUMMYFUNCTION("""COMPUTED_VALUE"""),"Mansoura")</f>
        <v>Mansoura</v>
      </c>
      <c r="W96" s="43" t="str">
        <f>IFERROR(__xludf.DUMMYFUNCTION("""COMPUTED_VALUE"""),"2021-12-20T17:37:16Z")</f>
        <v>2021-12-20T17:37:16Z</v>
      </c>
      <c r="X96" s="43"/>
      <c r="Y96" s="43"/>
      <c r="Z96" s="43"/>
    </row>
    <row r="97" hidden="1">
      <c r="A97" s="43" t="str">
        <f>IFERROR(__xludf.DUMMYFUNCTION("""COMPUTED_VALUE"""),"5178788_1265080")</f>
        <v>5178788_1265080</v>
      </c>
      <c r="B97" s="43" t="str">
        <f>IFERROR(__xludf.DUMMYFUNCTION("""COMPUTED_VALUE"""),"Oumaima Ait Jilali")</f>
        <v>Oumaima Ait Jilali</v>
      </c>
      <c r="C97" s="43" t="str">
        <f>IFERROR(__xludf.DUMMYFUNCTION("""COMPUTED_VALUE"""),"completed")</f>
        <v>completed</v>
      </c>
      <c r="D97" s="43" t="str">
        <f>IFERROR(__xludf.DUMMYFUNCTION("""COMPUTED_VALUE"""),"No")</f>
        <v>No</v>
      </c>
      <c r="E97" s="43" t="str">
        <f>IFERROR(__xludf.DUMMYFUNCTION("""COMPUTED_VALUE"""),"p_2b48a6a298efb9ab3ecd629b99c0776e4e1b17d0@inbound.aiesec.org")</f>
        <v>p_2b48a6a298efb9ab3ecd629b99c0776e4e1b17d0@inbound.aiesec.org</v>
      </c>
      <c r="F97" s="43"/>
      <c r="G97" s="43" t="str">
        <f>IFERROR(__xludf.DUMMYFUNCTION("""COMPUTED_VALUE"""),"Morocco")</f>
        <v>Morocco</v>
      </c>
      <c r="H97" s="43" t="str">
        <f>IFERROR(__xludf.DUMMYFUNCTION("""COMPUTED_VALUE"""),"Tangier")</f>
        <v>Tangier</v>
      </c>
      <c r="I97" s="43" t="str">
        <f>IFERROR(__xludf.DUMMYFUNCTION("""COMPUTED_VALUE"""),"Turkey")</f>
        <v>Turkey</v>
      </c>
      <c r="J97" s="43" t="str">
        <f>IFERROR(__xludf.DUMMYFUNCTION("""COMPUTED_VALUE"""),"ISTANBUL")</f>
        <v>ISTANBUL</v>
      </c>
      <c r="K97" s="44" t="str">
        <f>IFERROR(__xludf.DUMMYFUNCTION("""COMPUTED_VALUE"""),"https://expa.aiesec.org/opportunities/1265080")</f>
        <v>https://expa.aiesec.org/opportunities/1265080</v>
      </c>
      <c r="L97" s="43" t="str">
        <f>IFERROR(__xludf.DUMMYFUNCTION("""COMPUTED_VALUE"""),"GTa")</f>
        <v>GTa</v>
      </c>
      <c r="M97" s="43" t="str">
        <f>IFERROR(__xludf.DUMMYFUNCTION("""COMPUTED_VALUE"""),"short")</f>
        <v>short</v>
      </c>
      <c r="N97" s="45">
        <f>IFERROR(__xludf.DUMMYFUNCTION("""COMPUTED_VALUE"""),44946.0)</f>
        <v>44946</v>
      </c>
      <c r="O97" s="45">
        <f>IFERROR(__xludf.DUMMYFUNCTION("""COMPUTED_VALUE"""),44964.0)</f>
        <v>44964</v>
      </c>
      <c r="P97" s="45">
        <f>IFERROR(__xludf.DUMMYFUNCTION("""COMPUTED_VALUE"""),45047.0)</f>
        <v>45047</v>
      </c>
      <c r="Q97" s="45">
        <f>IFERROR(__xludf.DUMMYFUNCTION("""COMPUTED_VALUE"""),44981.0)</f>
        <v>44981</v>
      </c>
      <c r="R97" s="45">
        <f>IFERROR(__xludf.DUMMYFUNCTION("""COMPUTED_VALUE"""),45072.0)</f>
        <v>45072</v>
      </c>
      <c r="S97" s="43"/>
      <c r="T97" s="43" t="str">
        <f>IFERROR(__xludf.DUMMYFUNCTION("""COMPUTED_VALUE"""),"Business Development")</f>
        <v>Business Development</v>
      </c>
      <c r="U97" s="43" t="str">
        <f>IFERROR(__xludf.DUMMYFUNCTION("""COMPUTED_VALUE"""),"Foreign Trade Responsible in Istanbul ")</f>
        <v>Foreign Trade Responsible in Istanbul </v>
      </c>
      <c r="V97" s="43" t="str">
        <f>IFERROR(__xludf.DUMMYFUNCTION("""COMPUTED_VALUE"""),"-")</f>
        <v>-</v>
      </c>
      <c r="W97" s="43" t="str">
        <f>IFERROR(__xludf.DUMMYFUNCTION("""COMPUTED_VALUE"""),"2023-01-20T15:22:53Z")</f>
        <v>2023-01-20T15:22:53Z</v>
      </c>
      <c r="X97" s="43"/>
      <c r="Y97" s="43"/>
      <c r="Z97" s="43"/>
    </row>
    <row r="98" hidden="1">
      <c r="A98" s="43" t="str">
        <f>IFERROR(__xludf.DUMMYFUNCTION("""COMPUTED_VALUE"""),"5171106_1288606")</f>
        <v>5171106_1288606</v>
      </c>
      <c r="B98" s="43" t="str">
        <f>IFERROR(__xludf.DUMMYFUNCTION("""COMPUTED_VALUE"""),"Francisco Doddoli Valencia")</f>
        <v>Francisco Doddoli Valencia</v>
      </c>
      <c r="C98" s="43" t="str">
        <f>IFERROR(__xludf.DUMMYFUNCTION("""COMPUTED_VALUE"""),"completed")</f>
        <v>completed</v>
      </c>
      <c r="D98" s="43" t="str">
        <f>IFERROR(__xludf.DUMMYFUNCTION("""COMPUTED_VALUE"""),"No")</f>
        <v>No</v>
      </c>
      <c r="E98" s="43" t="str">
        <f>IFERROR(__xludf.DUMMYFUNCTION("""COMPUTED_VALUE"""),"p_89bffecd738d124579098c7dc7c8eabc998e37e0@inbound.aiesec.org")</f>
        <v>p_89bffecd738d124579098c7dc7c8eabc998e37e0@inbound.aiesec.org</v>
      </c>
      <c r="F98" s="43">
        <f>IFERROR(__xludf.DUMMYFUNCTION("""COMPUTED_VALUE"""),4.423972761E9)</f>
        <v>4423972761</v>
      </c>
      <c r="G98" s="43" t="str">
        <f>IFERROR(__xludf.DUMMYFUNCTION("""COMPUTED_VALUE"""),"Mexico")</f>
        <v>Mexico</v>
      </c>
      <c r="H98" s="43" t="str">
        <f>IFERROR(__xludf.DUMMYFUNCTION("""COMPUTED_VALUE"""),"Querétaro")</f>
        <v>Querétaro</v>
      </c>
      <c r="I98" s="43" t="str">
        <f>IFERROR(__xludf.DUMMYFUNCTION("""COMPUTED_VALUE"""),"Turkey")</f>
        <v>Turkey</v>
      </c>
      <c r="J98" s="43" t="str">
        <f>IFERROR(__xludf.DUMMYFUNCTION("""COMPUTED_VALUE"""),"ISTANBUL ASIA")</f>
        <v>ISTANBUL ASIA</v>
      </c>
      <c r="K98" s="44" t="str">
        <f>IFERROR(__xludf.DUMMYFUNCTION("""COMPUTED_VALUE"""),"https://expa.aiesec.org/opportunities/1288606")</f>
        <v>https://expa.aiesec.org/opportunities/1288606</v>
      </c>
      <c r="L98" s="43" t="str">
        <f>IFERROR(__xludf.DUMMYFUNCTION("""COMPUTED_VALUE"""),"GTa")</f>
        <v>GTa</v>
      </c>
      <c r="M98" s="43" t="str">
        <f>IFERROR(__xludf.DUMMYFUNCTION("""COMPUTED_VALUE"""),"short")</f>
        <v>short</v>
      </c>
      <c r="N98" s="45">
        <f>IFERROR(__xludf.DUMMYFUNCTION("""COMPUTED_VALUE"""),44950.0)</f>
        <v>44950</v>
      </c>
      <c r="O98" s="45">
        <f>IFERROR(__xludf.DUMMYFUNCTION("""COMPUTED_VALUE"""),44963.0)</f>
        <v>44963</v>
      </c>
      <c r="P98" s="45">
        <f>IFERROR(__xludf.DUMMYFUNCTION("""COMPUTED_VALUE"""),45046.0)</f>
        <v>45046</v>
      </c>
      <c r="Q98" s="45">
        <f>IFERROR(__xludf.DUMMYFUNCTION("""COMPUTED_VALUE"""),44966.0)</f>
        <v>44966</v>
      </c>
      <c r="R98" s="45">
        <f>IFERROR(__xludf.DUMMYFUNCTION("""COMPUTED_VALUE"""),45049.0)</f>
        <v>45049</v>
      </c>
      <c r="S98" s="43"/>
      <c r="T98" s="43" t="str">
        <f>IFERROR(__xludf.DUMMYFUNCTION("""COMPUTED_VALUE"""),"Business Development")</f>
        <v>Business Development</v>
      </c>
      <c r="U98" s="43" t="str">
        <f>IFERROR(__xludf.DUMMYFUNCTION("""COMPUTED_VALUE"""),"Sales Representtive")</f>
        <v>Sales Representtive</v>
      </c>
      <c r="V98" s="43" t="str">
        <f>IFERROR(__xludf.DUMMYFUNCTION("""COMPUTED_VALUE"""),"Querétaro - Universidad Mondragón")</f>
        <v>Querétaro - Universidad Mondragón</v>
      </c>
      <c r="W98" s="43" t="str">
        <f>IFERROR(__xludf.DUMMYFUNCTION("""COMPUTED_VALUE"""),"2022-12-28T16:34:38Z")</f>
        <v>2022-12-28T16:34:38Z</v>
      </c>
      <c r="X98" s="43"/>
      <c r="Y98" s="43"/>
      <c r="Z98" s="43"/>
    </row>
    <row r="99">
      <c r="A99" s="43" t="str">
        <f>IFERROR(__xludf.DUMMYFUNCTION("""COMPUTED_VALUE"""),"1748934_1280733")</f>
        <v>1748934_1280733</v>
      </c>
      <c r="B99" s="43" t="str">
        <f>IFERROR(__xludf.DUMMYFUNCTION("""COMPUTED_VALUE"""),"Salma Ben Khelifa")</f>
        <v>Salma Ben Khelifa</v>
      </c>
      <c r="C99" s="43" t="str">
        <f>IFERROR(__xludf.DUMMYFUNCTION("""COMPUTED_VALUE"""),"approved")</f>
        <v>approved</v>
      </c>
      <c r="D99" s="43" t="str">
        <f>IFERROR(__xludf.DUMMYFUNCTION("""COMPUTED_VALUE"""),"No")</f>
        <v>No</v>
      </c>
      <c r="E99" s="43" t="str">
        <f>IFERROR(__xludf.DUMMYFUNCTION("""COMPUTED_VALUE"""),"p_6f54f1162d0beb523ccbd0f4959b5d4f8fafc111@inbound.aiesec.org")</f>
        <v>p_6f54f1162d0beb523ccbd0f4959b5d4f8fafc111@inbound.aiesec.org</v>
      </c>
      <c r="F99" s="43">
        <f>IFERROR(__xludf.DUMMYFUNCTION("""COMPUTED_VALUE"""),2.4487642E7)</f>
        <v>24487642</v>
      </c>
      <c r="G99" s="43" t="str">
        <f>IFERROR(__xludf.DUMMYFUNCTION("""COMPUTED_VALUE"""),"Tunisia")</f>
        <v>Tunisia</v>
      </c>
      <c r="H99" s="43" t="str">
        <f>IFERROR(__xludf.DUMMYFUNCTION("""COMPUTED_VALUE"""),"BARDO")</f>
        <v>BARDO</v>
      </c>
      <c r="I99" s="43" t="str">
        <f>IFERROR(__xludf.DUMMYFUNCTION("""COMPUTED_VALUE"""),"Turkey")</f>
        <v>Turkey</v>
      </c>
      <c r="J99" s="43" t="str">
        <f>IFERROR(__xludf.DUMMYFUNCTION("""COMPUTED_VALUE"""),"ANTALYA")</f>
        <v>ANTALYA</v>
      </c>
      <c r="K99" s="44" t="str">
        <f>IFERROR(__xludf.DUMMYFUNCTION("""COMPUTED_VALUE"""),"https://expa.aiesec.org/opportunities/1280733")</f>
        <v>https://expa.aiesec.org/opportunities/1280733</v>
      </c>
      <c r="L99" s="43" t="str">
        <f>IFERROR(__xludf.DUMMYFUNCTION("""COMPUTED_VALUE"""),"GTa")</f>
        <v>GTa</v>
      </c>
      <c r="M99" s="43" t="str">
        <f>IFERROR(__xludf.DUMMYFUNCTION("""COMPUTED_VALUE"""),"long")</f>
        <v>long</v>
      </c>
      <c r="N99" s="45">
        <f>IFERROR(__xludf.DUMMYFUNCTION("""COMPUTED_VALUE"""),44951.0)</f>
        <v>44951</v>
      </c>
      <c r="O99" s="45">
        <f>IFERROR(__xludf.DUMMYFUNCTION("""COMPUTED_VALUE"""),44920.0)</f>
        <v>44920</v>
      </c>
      <c r="P99" s="45">
        <f>IFERROR(__xludf.DUMMYFUNCTION("""COMPUTED_VALUE"""),45285.0)</f>
        <v>45285</v>
      </c>
      <c r="Q99" s="45"/>
      <c r="R99" s="45"/>
      <c r="S99" s="43"/>
      <c r="T99" s="43" t="str">
        <f>IFERROR(__xludf.DUMMYFUNCTION("""COMPUTED_VALUE"""),"Other")</f>
        <v>Other</v>
      </c>
      <c r="U99" s="43" t="str">
        <f>IFERROR(__xludf.DUMMYFUNCTION("""COMPUTED_VALUE"""),"Public Relations w/Meet2Talk")</f>
        <v>Public Relations w/Meet2Talk</v>
      </c>
      <c r="V99" s="43" t="str">
        <f>IFERROR(__xludf.DUMMYFUNCTION("""COMPUTED_VALUE"""),"-")</f>
        <v>-</v>
      </c>
      <c r="W99" s="43" t="str">
        <f>IFERROR(__xludf.DUMMYFUNCTION("""COMPUTED_VALUE"""),"2017-09-21T23:05:45Z")</f>
        <v>2017-09-21T23:05:45Z</v>
      </c>
      <c r="X99" s="43"/>
      <c r="Y99" s="43"/>
      <c r="Z99" s="43"/>
    </row>
    <row r="100" hidden="1">
      <c r="A100" s="43" t="str">
        <f>IFERROR(__xludf.DUMMYFUNCTION("""COMPUTED_VALUE"""),"5178606_1289255")</f>
        <v>5178606_1289255</v>
      </c>
      <c r="B100" s="43" t="str">
        <f>IFERROR(__xludf.DUMMYFUNCTION("""COMPUTED_VALUE"""),"Ceriana Khelladi")</f>
        <v>Ceriana Khelladi</v>
      </c>
      <c r="C100" s="43" t="str">
        <f>IFERROR(__xludf.DUMMYFUNCTION("""COMPUTED_VALUE"""),"realized")</f>
        <v>realized</v>
      </c>
      <c r="D100" s="43" t="str">
        <f>IFERROR(__xludf.DUMMYFUNCTION("""COMPUTED_VALUE"""),"No")</f>
        <v>No</v>
      </c>
      <c r="E100" s="43" t="str">
        <f>IFERROR(__xludf.DUMMYFUNCTION("""COMPUTED_VALUE"""),"p_33226e02148964345ae7ae91f8cc017273d7c04e@inbound.aiesec.org")</f>
        <v>p_33226e02148964345ae7ae91f8cc017273d7c04e@inbound.aiesec.org</v>
      </c>
      <c r="F100" s="43">
        <f>IFERROR(__xludf.DUMMYFUNCTION("""COMPUTED_VALUE"""),5.51475142E8)</f>
        <v>551475142</v>
      </c>
      <c r="G100" s="43" t="str">
        <f>IFERROR(__xludf.DUMMYFUNCTION("""COMPUTED_VALUE"""),"Algeria")</f>
        <v>Algeria</v>
      </c>
      <c r="H100" s="43" t="str">
        <f>IFERROR(__xludf.DUMMYFUNCTION("""COMPUTED_VALUE"""),"Benak")</f>
        <v>Benak</v>
      </c>
      <c r="I100" s="43" t="str">
        <f>IFERROR(__xludf.DUMMYFUNCTION("""COMPUTED_VALUE"""),"Turkey")</f>
        <v>Turkey</v>
      </c>
      <c r="J100" s="43" t="str">
        <f>IFERROR(__xludf.DUMMYFUNCTION("""COMPUTED_VALUE"""),"ISTANBUL")</f>
        <v>ISTANBUL</v>
      </c>
      <c r="K100" s="44" t="str">
        <f>IFERROR(__xludf.DUMMYFUNCTION("""COMPUTED_VALUE"""),"https://expa.aiesec.org/opportunities/1289255")</f>
        <v>https://expa.aiesec.org/opportunities/1289255</v>
      </c>
      <c r="L100" s="43" t="str">
        <f>IFERROR(__xludf.DUMMYFUNCTION("""COMPUTED_VALUE"""),"GTa")</f>
        <v>GTa</v>
      </c>
      <c r="M100" s="43" t="str">
        <f>IFERROR(__xludf.DUMMYFUNCTION("""COMPUTED_VALUE"""),"long")</f>
        <v>long</v>
      </c>
      <c r="N100" s="45">
        <f>IFERROR(__xludf.DUMMYFUNCTION("""COMPUTED_VALUE"""),44953.0)</f>
        <v>44953</v>
      </c>
      <c r="O100" s="45">
        <f>IFERROR(__xludf.DUMMYFUNCTION("""COMPUTED_VALUE"""),44984.0)</f>
        <v>44984</v>
      </c>
      <c r="P100" s="45">
        <f>IFERROR(__xludf.DUMMYFUNCTION("""COMPUTED_VALUE"""),45527.0)</f>
        <v>45527</v>
      </c>
      <c r="Q100" s="45">
        <f>IFERROR(__xludf.DUMMYFUNCTION("""COMPUTED_VALUE"""),45005.0)</f>
        <v>45005</v>
      </c>
      <c r="R100" s="45">
        <f>IFERROR(__xludf.DUMMYFUNCTION("""COMPUTED_VALUE"""),45555.0)</f>
        <v>45555</v>
      </c>
      <c r="S100" s="43"/>
      <c r="T100" s="43" t="str">
        <f>IFERROR(__xludf.DUMMYFUNCTION("""COMPUTED_VALUE"""),"Business Administration")</f>
        <v>Business Administration</v>
      </c>
      <c r="U100" s="43" t="str">
        <f>IFERROR(__xludf.DUMMYFUNCTION("""COMPUTED_VALUE"""),"Telesales Specialist in Istanbul (French Speaker)")</f>
        <v>Telesales Specialist in Istanbul (French Speaker)</v>
      </c>
      <c r="V100" s="43" t="str">
        <f>IFERROR(__xludf.DUMMYFUNCTION("""COMPUTED_VALUE"""),"AIESEC in Benak")</f>
        <v>AIESEC in Benak</v>
      </c>
      <c r="W100" s="43" t="str">
        <f>IFERROR(__xludf.DUMMYFUNCTION("""COMPUTED_VALUE"""),"2023-01-20T08:16:34Z")</f>
        <v>2023-01-20T08:16:34Z</v>
      </c>
      <c r="X100" s="43"/>
      <c r="Y100" s="43"/>
      <c r="Z100" s="43"/>
    </row>
    <row r="101" hidden="1">
      <c r="A101" s="43" t="str">
        <f>IFERROR(__xludf.DUMMYFUNCTION("""COMPUTED_VALUE"""),"5182527_1290924")</f>
        <v>5182527_1290924</v>
      </c>
      <c r="B101" s="43" t="str">
        <f>IFERROR(__xludf.DUMMYFUNCTION("""COMPUTED_VALUE"""),"Sirine Kerkeni")</f>
        <v>Sirine Kerkeni</v>
      </c>
      <c r="C101" s="43" t="str">
        <f>IFERROR(__xludf.DUMMYFUNCTION("""COMPUTED_VALUE"""),"completed")</f>
        <v>completed</v>
      </c>
      <c r="D101" s="43" t="str">
        <f>IFERROR(__xludf.DUMMYFUNCTION("""COMPUTED_VALUE"""),"No")</f>
        <v>No</v>
      </c>
      <c r="E101" s="43" t="str">
        <f>IFERROR(__xludf.DUMMYFUNCTION("""COMPUTED_VALUE"""),"p_e9f7bea11696ff5648d612f52fdb127a1e789cd8@inbound.aiesec.org")</f>
        <v>p_e9f7bea11696ff5648d612f52fdb127a1e789cd8@inbound.aiesec.org</v>
      </c>
      <c r="F101" s="43">
        <f>IFERROR(__xludf.DUMMYFUNCTION("""COMPUTED_VALUE"""),2.7106629E7)</f>
        <v>27106629</v>
      </c>
      <c r="G101" s="43" t="str">
        <f>IFERROR(__xludf.DUMMYFUNCTION("""COMPUTED_VALUE"""),"Tunisia")</f>
        <v>Tunisia</v>
      </c>
      <c r="H101" s="43" t="str">
        <f>IFERROR(__xludf.DUMMYFUNCTION("""COMPUTED_VALUE"""),"BARDO")</f>
        <v>BARDO</v>
      </c>
      <c r="I101" s="43" t="str">
        <f>IFERROR(__xludf.DUMMYFUNCTION("""COMPUTED_VALUE"""),"Turkey")</f>
        <v>Turkey</v>
      </c>
      <c r="J101" s="43" t="str">
        <f>IFERROR(__xludf.DUMMYFUNCTION("""COMPUTED_VALUE"""),"ISTANBUL")</f>
        <v>ISTANBUL</v>
      </c>
      <c r="K101" s="44" t="str">
        <f>IFERROR(__xludf.DUMMYFUNCTION("""COMPUTED_VALUE"""),"https://expa.aiesec.org/opportunities/1290924")</f>
        <v>https://expa.aiesec.org/opportunities/1290924</v>
      </c>
      <c r="L101" s="43" t="str">
        <f>IFERROR(__xludf.DUMMYFUNCTION("""COMPUTED_VALUE"""),"GTa")</f>
        <v>GTa</v>
      </c>
      <c r="M101" s="43" t="str">
        <f>IFERROR(__xludf.DUMMYFUNCTION("""COMPUTED_VALUE"""),"short")</f>
        <v>short</v>
      </c>
      <c r="N101" s="45">
        <f>IFERROR(__xludf.DUMMYFUNCTION("""COMPUTED_VALUE"""),44958.0)</f>
        <v>44958</v>
      </c>
      <c r="O101" s="45">
        <f>IFERROR(__xludf.DUMMYFUNCTION("""COMPUTED_VALUE"""),44970.0)</f>
        <v>44970</v>
      </c>
      <c r="P101" s="45">
        <f>IFERROR(__xludf.DUMMYFUNCTION("""COMPUTED_VALUE"""),45023.0)</f>
        <v>45023</v>
      </c>
      <c r="Q101" s="45">
        <f>IFERROR(__xludf.DUMMYFUNCTION("""COMPUTED_VALUE"""),44971.0)</f>
        <v>44971</v>
      </c>
      <c r="R101" s="45">
        <f>IFERROR(__xludf.DUMMYFUNCTION("""COMPUTED_VALUE"""),45023.0)</f>
        <v>45023</v>
      </c>
      <c r="S101" s="43"/>
      <c r="T101" s="43" t="str">
        <f>IFERROR(__xludf.DUMMYFUNCTION("""COMPUTED_VALUE"""),"Business Development")</f>
        <v>Business Development</v>
      </c>
      <c r="U101" s="43" t="str">
        <f>IFERROR(__xludf.DUMMYFUNCTION("""COMPUTED_VALUE"""),"Sales Specialist in Istanbul")</f>
        <v>Sales Specialist in Istanbul</v>
      </c>
      <c r="V101" s="43" t="str">
        <f>IFERROR(__xludf.DUMMYFUNCTION("""COMPUTED_VALUE"""),"TBS")</f>
        <v>TBS</v>
      </c>
      <c r="W101" s="43" t="str">
        <f>IFERROR(__xludf.DUMMYFUNCTION("""COMPUTED_VALUE"""),"2023-01-30T23:31:17Z")</f>
        <v>2023-01-30T23:31:17Z</v>
      </c>
      <c r="X101" s="43"/>
      <c r="Y101" s="43"/>
      <c r="Z101" s="43"/>
    </row>
    <row r="102" hidden="1">
      <c r="A102" s="43" t="str">
        <f>IFERROR(__xludf.DUMMYFUNCTION("""COMPUTED_VALUE"""),"5090218_1287083")</f>
        <v>5090218_1287083</v>
      </c>
      <c r="B102" s="43" t="str">
        <f>IFERROR(__xludf.DUMMYFUNCTION("""COMPUTED_VALUE"""),"hadil kailil")</f>
        <v>hadil kailil</v>
      </c>
      <c r="C102" s="43" t="str">
        <f>IFERROR(__xludf.DUMMYFUNCTION("""COMPUTED_VALUE"""),"realization_broken")</f>
        <v>realization_broken</v>
      </c>
      <c r="D102" s="43" t="str">
        <f>IFERROR(__xludf.DUMMYFUNCTION("""COMPUTED_VALUE"""),"No")</f>
        <v>No</v>
      </c>
      <c r="E102" s="43" t="str">
        <f>IFERROR(__xludf.DUMMYFUNCTION("""COMPUTED_VALUE"""),"p_7532f1604a29891ca3edd603cc202a64c19bcec5@inbound.aiesec.org")</f>
        <v>p_7532f1604a29891ca3edd603cc202a64c19bcec5@inbound.aiesec.org</v>
      </c>
      <c r="F102" s="43">
        <f>IFERROR(__xludf.DUMMYFUNCTION("""COMPUTED_VALUE"""),5.078495671E9)</f>
        <v>5078495671</v>
      </c>
      <c r="G102" s="43" t="str">
        <f>IFERROR(__xludf.DUMMYFUNCTION("""COMPUTED_VALUE"""),"Morocco")</f>
        <v>Morocco</v>
      </c>
      <c r="H102" s="43" t="str">
        <f>IFERROR(__xludf.DUMMYFUNCTION("""COMPUTED_VALUE"""),"Morocco (MC)")</f>
        <v>Morocco (MC)</v>
      </c>
      <c r="I102" s="43" t="str">
        <f>IFERROR(__xludf.DUMMYFUNCTION("""COMPUTED_VALUE"""),"Turkey")</f>
        <v>Turkey</v>
      </c>
      <c r="J102" s="43" t="str">
        <f>IFERROR(__xludf.DUMMYFUNCTION("""COMPUTED_VALUE"""),"GAZIANTEP")</f>
        <v>GAZIANTEP</v>
      </c>
      <c r="K102" s="44" t="str">
        <f>IFERROR(__xludf.DUMMYFUNCTION("""COMPUTED_VALUE"""),"https://expa.aiesec.org/opportunities/1287083")</f>
        <v>https://expa.aiesec.org/opportunities/1287083</v>
      </c>
      <c r="L102" s="43" t="str">
        <f>IFERROR(__xludf.DUMMYFUNCTION("""COMPUTED_VALUE"""),"GTa")</f>
        <v>GTa</v>
      </c>
      <c r="M102" s="43" t="str">
        <f>IFERROR(__xludf.DUMMYFUNCTION("""COMPUTED_VALUE"""),"long")</f>
        <v>long</v>
      </c>
      <c r="N102" s="45">
        <f>IFERROR(__xludf.DUMMYFUNCTION("""COMPUTED_VALUE"""),44958.0)</f>
        <v>44958</v>
      </c>
      <c r="O102" s="45">
        <f>IFERROR(__xludf.DUMMYFUNCTION("""COMPUTED_VALUE"""),44958.0)</f>
        <v>44958</v>
      </c>
      <c r="P102" s="45">
        <f>IFERROR(__xludf.DUMMYFUNCTION("""COMPUTED_VALUE"""),45323.0)</f>
        <v>45323</v>
      </c>
      <c r="Q102" s="45"/>
      <c r="R102" s="45"/>
      <c r="S102" s="43"/>
      <c r="T102" s="43" t="str">
        <f>IFERROR(__xludf.DUMMYFUNCTION("""COMPUTED_VALUE"""),"Marketing")</f>
        <v>Marketing</v>
      </c>
      <c r="U102" s="43" t="str">
        <f>IFERROR(__xludf.DUMMYFUNCTION("""COMPUTED_VALUE"""),"Marketing&amp;Sales")</f>
        <v>Marketing&amp;Sales</v>
      </c>
      <c r="V102" s="43" t="str">
        <f>IFERROR(__xludf.DUMMYFUNCTION("""COMPUTED_VALUE"""),"FLSH Rabat")</f>
        <v>FLSH Rabat</v>
      </c>
      <c r="W102" s="43" t="str">
        <f>IFERROR(__xludf.DUMMYFUNCTION("""COMPUTED_VALUE"""),"2022-08-06T09:13:15Z")</f>
        <v>2022-08-06T09:13:15Z</v>
      </c>
      <c r="X102" s="43"/>
      <c r="Y102" s="43"/>
      <c r="Z102" s="43"/>
    </row>
    <row r="103" hidden="1">
      <c r="A103" s="43" t="str">
        <f>IFERROR(__xludf.DUMMYFUNCTION("""COMPUTED_VALUE"""),"5087690_1292149")</f>
        <v>5087690_1292149</v>
      </c>
      <c r="B103" s="43" t="str">
        <f>IFERROR(__xludf.DUMMYFUNCTION("""COMPUTED_VALUE"""),"Oumaima Elabbadi")</f>
        <v>Oumaima Elabbadi</v>
      </c>
      <c r="C103" s="43" t="str">
        <f>IFERROR(__xludf.DUMMYFUNCTION("""COMPUTED_VALUE"""),"realized")</f>
        <v>realized</v>
      </c>
      <c r="D103" s="43" t="str">
        <f>IFERROR(__xludf.DUMMYFUNCTION("""COMPUTED_VALUE"""),"No")</f>
        <v>No</v>
      </c>
      <c r="E103" s="43" t="str">
        <f>IFERROR(__xludf.DUMMYFUNCTION("""COMPUTED_VALUE"""),"p_4586c16a6540e156b3c751c31d74f377ef1261da@inbound.aiesec.org")</f>
        <v>p_4586c16a6540e156b3c751c31d74f377ef1261da@inbound.aiesec.org</v>
      </c>
      <c r="F103" s="43">
        <f>IFERROR(__xludf.DUMMYFUNCTION("""COMPUTED_VALUE"""),6.34450127E8)</f>
        <v>634450127</v>
      </c>
      <c r="G103" s="43" t="str">
        <f>IFERROR(__xludf.DUMMYFUNCTION("""COMPUTED_VALUE"""),"Morocco")</f>
        <v>Morocco</v>
      </c>
      <c r="H103" s="43" t="str">
        <f>IFERROR(__xludf.DUMMYFUNCTION("""COMPUTED_VALUE"""),"Agadir")</f>
        <v>Agadir</v>
      </c>
      <c r="I103" s="43" t="str">
        <f>IFERROR(__xludf.DUMMYFUNCTION("""COMPUTED_VALUE"""),"Turkey")</f>
        <v>Turkey</v>
      </c>
      <c r="J103" s="43" t="str">
        <f>IFERROR(__xludf.DUMMYFUNCTION("""COMPUTED_VALUE"""),"GAZIANTEP")</f>
        <v>GAZIANTEP</v>
      </c>
      <c r="K103" s="44" t="str">
        <f>IFERROR(__xludf.DUMMYFUNCTION("""COMPUTED_VALUE"""),"https://expa.aiesec.org/opportunities/1292149")</f>
        <v>https://expa.aiesec.org/opportunities/1292149</v>
      </c>
      <c r="L103" s="43" t="str">
        <f>IFERROR(__xludf.DUMMYFUNCTION("""COMPUTED_VALUE"""),"GTa")</f>
        <v>GTa</v>
      </c>
      <c r="M103" s="43" t="str">
        <f>IFERROR(__xludf.DUMMYFUNCTION("""COMPUTED_VALUE"""),"long")</f>
        <v>long</v>
      </c>
      <c r="N103" s="45">
        <f>IFERROR(__xludf.DUMMYFUNCTION("""COMPUTED_VALUE"""),44959.0)</f>
        <v>44959</v>
      </c>
      <c r="O103" s="45">
        <f>IFERROR(__xludf.DUMMYFUNCTION("""COMPUTED_VALUE"""),44986.0)</f>
        <v>44986</v>
      </c>
      <c r="P103" s="45">
        <f>IFERROR(__xludf.DUMMYFUNCTION("""COMPUTED_VALUE"""),45352.0)</f>
        <v>45352</v>
      </c>
      <c r="Q103" s="45">
        <f>IFERROR(__xludf.DUMMYFUNCTION("""COMPUTED_VALUE"""),44987.0)</f>
        <v>44987</v>
      </c>
      <c r="R103" s="45">
        <f>IFERROR(__xludf.DUMMYFUNCTION("""COMPUTED_VALUE"""),45352.0)</f>
        <v>45352</v>
      </c>
      <c r="S103" s="43"/>
      <c r="T103" s="43" t="str">
        <f>IFERROR(__xludf.DUMMYFUNCTION("""COMPUTED_VALUE"""),"Marketing")</f>
        <v>Marketing</v>
      </c>
      <c r="U103" s="43" t="str">
        <f>IFERROR(__xludf.DUMMYFUNCTION("""COMPUTED_VALUE"""),"Marketing")</f>
        <v>Marketing</v>
      </c>
      <c r="V103" s="43" t="str">
        <f>IFERROR(__xludf.DUMMYFUNCTION("""COMPUTED_VALUE"""),"Ecole Nationale De Commerce Et De Gestion Agadir (ENCGA)")</f>
        <v>Ecole Nationale De Commerce Et De Gestion Agadir (ENCGA)</v>
      </c>
      <c r="W103" s="43" t="str">
        <f>IFERROR(__xludf.DUMMYFUNCTION("""COMPUTED_VALUE"""),"2022-07-31T21:28:13Z")</f>
        <v>2022-07-31T21:28:13Z</v>
      </c>
      <c r="X103" s="43"/>
      <c r="Y103" s="43"/>
      <c r="Z103" s="43"/>
    </row>
    <row r="104" hidden="1">
      <c r="A104" s="43" t="str">
        <f>IFERROR(__xludf.DUMMYFUNCTION("""COMPUTED_VALUE"""),"5173807_1289378")</f>
        <v>5173807_1289378</v>
      </c>
      <c r="B104" s="43" t="str">
        <f>IFERROR(__xludf.DUMMYFUNCTION("""COMPUTED_VALUE"""),"Jesus Arnoldo Corral Diaz")</f>
        <v>Jesus Arnoldo Corral Diaz</v>
      </c>
      <c r="C104" s="43" t="str">
        <f>IFERROR(__xludf.DUMMYFUNCTION("""COMPUTED_VALUE"""),"realization_broken")</f>
        <v>realization_broken</v>
      </c>
      <c r="D104" s="43" t="str">
        <f>IFERROR(__xludf.DUMMYFUNCTION("""COMPUTED_VALUE"""),"No")</f>
        <v>No</v>
      </c>
      <c r="E104" s="43" t="str">
        <f>IFERROR(__xludf.DUMMYFUNCTION("""COMPUTED_VALUE"""),"p_8e73105fbdc3ddfeede0fb522449483ea48de271@inbound.aiesec.org")</f>
        <v>p_8e73105fbdc3ddfeede0fb522449483ea48de271@inbound.aiesec.org</v>
      </c>
      <c r="F104" s="43">
        <f>IFERROR(__xludf.DUMMYFUNCTION("""COMPUTED_VALUE"""),6.442461194E9)</f>
        <v>6442461194</v>
      </c>
      <c r="G104" s="43" t="str">
        <f>IFERROR(__xludf.DUMMYFUNCTION("""COMPUTED_VALUE"""),"Mexico")</f>
        <v>Mexico</v>
      </c>
      <c r="H104" s="43" t="str">
        <f>IFERROR(__xludf.DUMMYFUNCTION("""COMPUTED_VALUE"""),"Virtual Expansions MX")</f>
        <v>Virtual Expansions MX</v>
      </c>
      <c r="I104" s="43" t="str">
        <f>IFERROR(__xludf.DUMMYFUNCTION("""COMPUTED_VALUE"""),"Turkey")</f>
        <v>Turkey</v>
      </c>
      <c r="J104" s="43" t="str">
        <f>IFERROR(__xludf.DUMMYFUNCTION("""COMPUTED_VALUE"""),"ISTANBUL")</f>
        <v>ISTANBUL</v>
      </c>
      <c r="K104" s="44" t="str">
        <f>IFERROR(__xludf.DUMMYFUNCTION("""COMPUTED_VALUE"""),"https://expa.aiesec.org/opportunities/1289378")</f>
        <v>https://expa.aiesec.org/opportunities/1289378</v>
      </c>
      <c r="L104" s="43" t="str">
        <f>IFERROR(__xludf.DUMMYFUNCTION("""COMPUTED_VALUE"""),"GTa")</f>
        <v>GTa</v>
      </c>
      <c r="M104" s="43" t="str">
        <f>IFERROR(__xludf.DUMMYFUNCTION("""COMPUTED_VALUE"""),"long")</f>
        <v>long</v>
      </c>
      <c r="N104" s="45">
        <f>IFERROR(__xludf.DUMMYFUNCTION("""COMPUTED_VALUE"""),44959.0)</f>
        <v>44959</v>
      </c>
      <c r="O104" s="45">
        <f>IFERROR(__xludf.DUMMYFUNCTION("""COMPUTED_VALUE"""),44984.0)</f>
        <v>44984</v>
      </c>
      <c r="P104" s="45">
        <f>IFERROR(__xludf.DUMMYFUNCTION("""COMPUTED_VALUE"""),45527.0)</f>
        <v>45527</v>
      </c>
      <c r="Q104" s="45"/>
      <c r="R104" s="45"/>
      <c r="S104" s="43"/>
      <c r="T104" s="43" t="str">
        <f>IFERROR(__xludf.DUMMYFUNCTION("""COMPUTED_VALUE"""),"Business Administration")</f>
        <v>Business Administration</v>
      </c>
      <c r="U104" s="43" t="str">
        <f>IFERROR(__xludf.DUMMYFUNCTION("""COMPUTED_VALUE"""),"Telesales Specialist in Istanbul (Spanish Speaker)")</f>
        <v>Telesales Specialist in Istanbul (Spanish Speaker)</v>
      </c>
      <c r="V104" s="43" t="str">
        <f>IFERROR(__xludf.DUMMYFUNCTION("""COMPUTED_VALUE"""),"Sonora - Otra Universidad")</f>
        <v>Sonora - Otra Universidad</v>
      </c>
      <c r="W104" s="43" t="str">
        <f>IFERROR(__xludf.DUMMYFUNCTION("""COMPUTED_VALUE"""),"2023-01-06T17:29:11Z")</f>
        <v>2023-01-06T17:29:11Z</v>
      </c>
      <c r="X104" s="43"/>
      <c r="Y104" s="43"/>
      <c r="Z104" s="43"/>
    </row>
    <row r="105">
      <c r="A105" s="43" t="str">
        <f>IFERROR(__xludf.DUMMYFUNCTION("""COMPUTED_VALUE"""),"5184053_1279670")</f>
        <v>5184053_1279670</v>
      </c>
      <c r="B105" s="43" t="str">
        <f>IFERROR(__xludf.DUMMYFUNCTION("""COMPUTED_VALUE"""),"Rim Mrassi")</f>
        <v>Rim Mrassi</v>
      </c>
      <c r="C105" s="43" t="str">
        <f>IFERROR(__xludf.DUMMYFUNCTION("""COMPUTED_VALUE"""),"approved")</f>
        <v>approved</v>
      </c>
      <c r="D105" s="43" t="str">
        <f>IFERROR(__xludf.DUMMYFUNCTION("""COMPUTED_VALUE"""),"No")</f>
        <v>No</v>
      </c>
      <c r="E105" s="43" t="str">
        <f>IFERROR(__xludf.DUMMYFUNCTION("""COMPUTED_VALUE"""),"p_93b894c8f9461a0fce2e02da2f1e58095f2396e7@inbound.aiesec.org")</f>
        <v>p_93b894c8f9461a0fce2e02da2f1e58095f2396e7@inbound.aiesec.org</v>
      </c>
      <c r="F105" s="43">
        <f>IFERROR(__xludf.DUMMYFUNCTION("""COMPUTED_VALUE"""),5.428211E7)</f>
        <v>54282110</v>
      </c>
      <c r="G105" s="43" t="str">
        <f>IFERROR(__xludf.DUMMYFUNCTION("""COMPUTED_VALUE"""),"Tunisia")</f>
        <v>Tunisia</v>
      </c>
      <c r="H105" s="43" t="str">
        <f>IFERROR(__xludf.DUMMYFUNCTION("""COMPUTED_VALUE"""),"RUSPINA")</f>
        <v>RUSPINA</v>
      </c>
      <c r="I105" s="43" t="str">
        <f>IFERROR(__xludf.DUMMYFUNCTION("""COMPUTED_VALUE"""),"Turkey")</f>
        <v>Turkey</v>
      </c>
      <c r="J105" s="43" t="str">
        <f>IFERROR(__xludf.DUMMYFUNCTION("""COMPUTED_VALUE"""),"GAZIANTEP")</f>
        <v>GAZIANTEP</v>
      </c>
      <c r="K105" s="44" t="str">
        <f>IFERROR(__xludf.DUMMYFUNCTION("""COMPUTED_VALUE"""),"https://expa.aiesec.org/opportunities/1279670")</f>
        <v>https://expa.aiesec.org/opportunities/1279670</v>
      </c>
      <c r="L105" s="43" t="str">
        <f>IFERROR(__xludf.DUMMYFUNCTION("""COMPUTED_VALUE"""),"GTa")</f>
        <v>GTa</v>
      </c>
      <c r="M105" s="43" t="str">
        <f>IFERROR(__xludf.DUMMYFUNCTION("""COMPUTED_VALUE"""),"long")</f>
        <v>long</v>
      </c>
      <c r="N105" s="45">
        <f>IFERROR(__xludf.DUMMYFUNCTION("""COMPUTED_VALUE"""),44960.0)</f>
        <v>44960</v>
      </c>
      <c r="O105" s="45">
        <f>IFERROR(__xludf.DUMMYFUNCTION("""COMPUTED_VALUE"""),44972.0)</f>
        <v>44972</v>
      </c>
      <c r="P105" s="45">
        <f>IFERROR(__xludf.DUMMYFUNCTION("""COMPUTED_VALUE"""),45337.0)</f>
        <v>45337</v>
      </c>
      <c r="Q105" s="45"/>
      <c r="R105" s="45"/>
      <c r="S105" s="43"/>
      <c r="T105" s="43" t="str">
        <f>IFERROR(__xludf.DUMMYFUNCTION("""COMPUTED_VALUE"""),"Marketing")</f>
        <v>Marketing</v>
      </c>
      <c r="U105" s="43" t="str">
        <f>IFERROR(__xludf.DUMMYFUNCTION("""COMPUTED_VALUE"""),"Marketing&amp;Sales")</f>
        <v>Marketing&amp;Sales</v>
      </c>
      <c r="V105" s="43" t="str">
        <f>IFERROR(__xludf.DUMMYFUNCTION("""COMPUTED_VALUE"""),"ISET Mahdia")</f>
        <v>ISET Mahdia</v>
      </c>
      <c r="W105" s="43" t="str">
        <f>IFERROR(__xludf.DUMMYFUNCTION("""COMPUTED_VALUE"""),"2023-02-02T11:47:03Z")</f>
        <v>2023-02-02T11:47:03Z</v>
      </c>
      <c r="X105" s="43"/>
      <c r="Y105" s="43"/>
      <c r="Z105" s="43"/>
    </row>
    <row r="106" hidden="1">
      <c r="A106" s="43" t="str">
        <f>IFERROR(__xludf.DUMMYFUNCTION("""COMPUTED_VALUE"""),"5179753_1289255")</f>
        <v>5179753_1289255</v>
      </c>
      <c r="B106" s="43" t="str">
        <f>IFERROR(__xludf.DUMMYFUNCTION("""COMPUTED_VALUE"""),"Sara Ben rabah")</f>
        <v>Sara Ben rabah</v>
      </c>
      <c r="C106" s="43" t="str">
        <f>IFERROR(__xludf.DUMMYFUNCTION("""COMPUTED_VALUE"""),"realized")</f>
        <v>realized</v>
      </c>
      <c r="D106" s="43" t="str">
        <f>IFERROR(__xludf.DUMMYFUNCTION("""COMPUTED_VALUE"""),"No")</f>
        <v>No</v>
      </c>
      <c r="E106" s="43" t="str">
        <f>IFERROR(__xludf.DUMMYFUNCTION("""COMPUTED_VALUE"""),"p_24ead27c26c95a76283bcfa149473ffbc7223215@inbound.aiesec.org")</f>
        <v>p_24ead27c26c95a76283bcfa149473ffbc7223215@inbound.aiesec.org</v>
      </c>
      <c r="F106" s="43"/>
      <c r="G106" s="43" t="str">
        <f>IFERROR(__xludf.DUMMYFUNCTION("""COMPUTED_VALUE"""),"Algeria")</f>
        <v>Algeria</v>
      </c>
      <c r="H106" s="43" t="str">
        <f>IFERROR(__xludf.DUMMYFUNCTION("""COMPUTED_VALUE"""),"Babez")</f>
        <v>Babez</v>
      </c>
      <c r="I106" s="43" t="str">
        <f>IFERROR(__xludf.DUMMYFUNCTION("""COMPUTED_VALUE"""),"Turkey")</f>
        <v>Turkey</v>
      </c>
      <c r="J106" s="43" t="str">
        <f>IFERROR(__xludf.DUMMYFUNCTION("""COMPUTED_VALUE"""),"ISTANBUL")</f>
        <v>ISTANBUL</v>
      </c>
      <c r="K106" s="44" t="str">
        <f>IFERROR(__xludf.DUMMYFUNCTION("""COMPUTED_VALUE"""),"https://expa.aiesec.org/opportunities/1289255")</f>
        <v>https://expa.aiesec.org/opportunities/1289255</v>
      </c>
      <c r="L106" s="43" t="str">
        <f>IFERROR(__xludf.DUMMYFUNCTION("""COMPUTED_VALUE"""),"GTa")</f>
        <v>GTa</v>
      </c>
      <c r="M106" s="43" t="str">
        <f>IFERROR(__xludf.DUMMYFUNCTION("""COMPUTED_VALUE"""),"long")</f>
        <v>long</v>
      </c>
      <c r="N106" s="45">
        <f>IFERROR(__xludf.DUMMYFUNCTION("""COMPUTED_VALUE"""),44960.0)</f>
        <v>44960</v>
      </c>
      <c r="O106" s="45">
        <f>IFERROR(__xludf.DUMMYFUNCTION("""COMPUTED_VALUE"""),44977.0)</f>
        <v>44977</v>
      </c>
      <c r="P106" s="45">
        <f>IFERROR(__xludf.DUMMYFUNCTION("""COMPUTED_VALUE"""),45520.0)</f>
        <v>45520</v>
      </c>
      <c r="Q106" s="45">
        <f>IFERROR(__xludf.DUMMYFUNCTION("""COMPUTED_VALUE"""),45005.0)</f>
        <v>45005</v>
      </c>
      <c r="R106" s="45">
        <f>IFERROR(__xludf.DUMMYFUNCTION("""COMPUTED_VALUE"""),45548.0)</f>
        <v>45548</v>
      </c>
      <c r="S106" s="43"/>
      <c r="T106" s="43" t="str">
        <f>IFERROR(__xludf.DUMMYFUNCTION("""COMPUTED_VALUE"""),"Business Administration")</f>
        <v>Business Administration</v>
      </c>
      <c r="U106" s="43" t="str">
        <f>IFERROR(__xludf.DUMMYFUNCTION("""COMPUTED_VALUE"""),"Telesales Specialist in Istanbul (French Speaker)")</f>
        <v>Telesales Specialist in Istanbul (French Speaker)</v>
      </c>
      <c r="V106" s="43" t="str">
        <f>IFERROR(__xludf.DUMMYFUNCTION("""COMPUTED_VALUE"""),"AIESEC in Babez")</f>
        <v>AIESEC in Babez</v>
      </c>
      <c r="W106" s="43" t="str">
        <f>IFERROR(__xludf.DUMMYFUNCTION("""COMPUTED_VALUE"""),"2023-01-23T17:38:52Z")</f>
        <v>2023-01-23T17:38:52Z</v>
      </c>
      <c r="X106" s="43"/>
      <c r="Y106" s="43"/>
      <c r="Z106" s="43"/>
    </row>
    <row r="107" hidden="1">
      <c r="A107" s="43" t="str">
        <f>IFERROR(__xludf.DUMMYFUNCTION("""COMPUTED_VALUE"""),"4052502_1288548")</f>
        <v>4052502_1288548</v>
      </c>
      <c r="B107" s="43" t="str">
        <f>IFERROR(__xludf.DUMMYFUNCTION("""COMPUTED_VALUE"""),"Wafaa Chabbak")</f>
        <v>Wafaa Chabbak</v>
      </c>
      <c r="C107" s="43" t="str">
        <f>IFERROR(__xludf.DUMMYFUNCTION("""COMPUTED_VALUE"""),"realized")</f>
        <v>realized</v>
      </c>
      <c r="D107" s="43" t="str">
        <f>IFERROR(__xludf.DUMMYFUNCTION("""COMPUTED_VALUE"""),"No")</f>
        <v>No</v>
      </c>
      <c r="E107" s="43" t="str">
        <f>IFERROR(__xludf.DUMMYFUNCTION("""COMPUTED_VALUE"""),"p_c8abf006e5485103ea8d2098b2590738c104c79b@inbound.aiesec.org")</f>
        <v>p_c8abf006e5485103ea8d2098b2590738c104c79b@inbound.aiesec.org</v>
      </c>
      <c r="F107" s="43">
        <f>IFERROR(__xludf.DUMMYFUNCTION("""COMPUTED_VALUE"""),6.21483316E8)</f>
        <v>621483316</v>
      </c>
      <c r="G107" s="43" t="str">
        <f>IFERROR(__xludf.DUMMYFUNCTION("""COMPUTED_VALUE"""),"Morocco")</f>
        <v>Morocco</v>
      </c>
      <c r="H107" s="43" t="str">
        <f>IFERROR(__xludf.DUMMYFUNCTION("""COMPUTED_VALUE"""),"Casablanca")</f>
        <v>Casablanca</v>
      </c>
      <c r="I107" s="43" t="str">
        <f>IFERROR(__xludf.DUMMYFUNCTION("""COMPUTED_VALUE"""),"Turkey")</f>
        <v>Turkey</v>
      </c>
      <c r="J107" s="43" t="str">
        <f>IFERROR(__xludf.DUMMYFUNCTION("""COMPUTED_VALUE"""),"DENIZLI")</f>
        <v>DENIZLI</v>
      </c>
      <c r="K107" s="44" t="str">
        <f>IFERROR(__xludf.DUMMYFUNCTION("""COMPUTED_VALUE"""),"https://expa.aiesec.org/opportunities/1288548")</f>
        <v>https://expa.aiesec.org/opportunities/1288548</v>
      </c>
      <c r="L107" s="43" t="str">
        <f>IFERROR(__xludf.DUMMYFUNCTION("""COMPUTED_VALUE"""),"GTa")</f>
        <v>GTa</v>
      </c>
      <c r="M107" s="43" t="str">
        <f>IFERROR(__xludf.DUMMYFUNCTION("""COMPUTED_VALUE"""),"long")</f>
        <v>long</v>
      </c>
      <c r="N107" s="45">
        <f>IFERROR(__xludf.DUMMYFUNCTION("""COMPUTED_VALUE"""),44960.0)</f>
        <v>44960</v>
      </c>
      <c r="O107" s="45">
        <f>IFERROR(__xludf.DUMMYFUNCTION("""COMPUTED_VALUE"""),44958.0)</f>
        <v>44958</v>
      </c>
      <c r="P107" s="45">
        <f>IFERROR(__xludf.DUMMYFUNCTION("""COMPUTED_VALUE"""),45323.0)</f>
        <v>45323</v>
      </c>
      <c r="Q107" s="45">
        <f>IFERROR(__xludf.DUMMYFUNCTION("""COMPUTED_VALUE"""),44999.0)</f>
        <v>44999</v>
      </c>
      <c r="R107" s="45">
        <f>IFERROR(__xludf.DUMMYFUNCTION("""COMPUTED_VALUE"""),45364.0)</f>
        <v>45364</v>
      </c>
      <c r="S107" s="43"/>
      <c r="T107" s="43" t="str">
        <f>IFERROR(__xludf.DUMMYFUNCTION("""COMPUTED_VALUE"""),"Marketing")</f>
        <v>Marketing</v>
      </c>
      <c r="U107" s="43" t="str">
        <f>IFERROR(__xludf.DUMMYFUNCTION("""COMPUTED_VALUE"""),"Market Researcher/Sales Assistant on Ergün Özen Machine")</f>
        <v>Market Researcher/Sales Assistant on Ergün Özen Machine</v>
      </c>
      <c r="V107" s="43" t="str">
        <f>IFERROR(__xludf.DUMMYFUNCTION("""COMPUTED_VALUE"""),"Other-CASABLANCA")</f>
        <v>Other-CASABLANCA</v>
      </c>
      <c r="W107" s="43" t="str">
        <f>IFERROR(__xludf.DUMMYFUNCTION("""COMPUTED_VALUE"""),"2019-11-27T12:47:27Z")</f>
        <v>2019-11-27T12:47:27Z</v>
      </c>
      <c r="X107" s="43"/>
      <c r="Y107" s="43"/>
      <c r="Z107" s="43"/>
    </row>
    <row r="108" hidden="1">
      <c r="A108" s="43" t="str">
        <f>IFERROR(__xludf.DUMMYFUNCTION("""COMPUTED_VALUE"""),"5185318_1291964")</f>
        <v>5185318_1291964</v>
      </c>
      <c r="B108" s="43" t="str">
        <f>IFERROR(__xludf.DUMMYFUNCTION("""COMPUTED_VALUE"""),"Ahmed Sassi")</f>
        <v>Ahmed Sassi</v>
      </c>
      <c r="C108" s="43" t="str">
        <f>IFERROR(__xludf.DUMMYFUNCTION("""COMPUTED_VALUE"""),"realized")</f>
        <v>realized</v>
      </c>
      <c r="D108" s="43" t="str">
        <f>IFERROR(__xludf.DUMMYFUNCTION("""COMPUTED_VALUE"""),"No")</f>
        <v>No</v>
      </c>
      <c r="E108" s="43" t="str">
        <f>IFERROR(__xludf.DUMMYFUNCTION("""COMPUTED_VALUE"""),"p_24a53b0ea84a0ceb1c6383adbd13b176e9965a16@inbound.aiesec.org")</f>
        <v>p_24a53b0ea84a0ceb1c6383adbd13b176e9965a16@inbound.aiesec.org</v>
      </c>
      <c r="F108" s="43">
        <f>IFERROR(__xludf.DUMMYFUNCTION("""COMPUTED_VALUE"""),2.3946617E7)</f>
        <v>23946617</v>
      </c>
      <c r="G108" s="43" t="str">
        <f>IFERROR(__xludf.DUMMYFUNCTION("""COMPUTED_VALUE"""),"Tunisia")</f>
        <v>Tunisia</v>
      </c>
      <c r="H108" s="43" t="str">
        <f>IFERROR(__xludf.DUMMYFUNCTION("""COMPUTED_VALUE"""),"UNIVERSITY")</f>
        <v>UNIVERSITY</v>
      </c>
      <c r="I108" s="43" t="str">
        <f>IFERROR(__xludf.DUMMYFUNCTION("""COMPUTED_VALUE"""),"Turkey")</f>
        <v>Turkey</v>
      </c>
      <c r="J108" s="43" t="str">
        <f>IFERROR(__xludf.DUMMYFUNCTION("""COMPUTED_VALUE"""),"KOCAELI")</f>
        <v>KOCAELI</v>
      </c>
      <c r="K108" s="44" t="str">
        <f>IFERROR(__xludf.DUMMYFUNCTION("""COMPUTED_VALUE"""),"https://expa.aiesec.org/opportunities/1291964")</f>
        <v>https://expa.aiesec.org/opportunities/1291964</v>
      </c>
      <c r="L108" s="43" t="str">
        <f>IFERROR(__xludf.DUMMYFUNCTION("""COMPUTED_VALUE"""),"GTa")</f>
        <v>GTa</v>
      </c>
      <c r="M108" s="43" t="str">
        <f>IFERROR(__xludf.DUMMYFUNCTION("""COMPUTED_VALUE"""),"long")</f>
        <v>long</v>
      </c>
      <c r="N108" s="45">
        <f>IFERROR(__xludf.DUMMYFUNCTION("""COMPUTED_VALUE"""),44962.0)</f>
        <v>44962</v>
      </c>
      <c r="O108" s="45">
        <f>IFERROR(__xludf.DUMMYFUNCTION("""COMPUTED_VALUE"""),44976.0)</f>
        <v>44976</v>
      </c>
      <c r="P108" s="45">
        <f>IFERROR(__xludf.DUMMYFUNCTION("""COMPUTED_VALUE"""),45323.0)</f>
        <v>45323</v>
      </c>
      <c r="Q108" s="45">
        <f>IFERROR(__xludf.DUMMYFUNCTION("""COMPUTED_VALUE"""),44970.0)</f>
        <v>44970</v>
      </c>
      <c r="R108" s="45">
        <f>IFERROR(__xludf.DUMMYFUNCTION("""COMPUTED_VALUE"""),45341.0)</f>
        <v>45341</v>
      </c>
      <c r="S108" s="43"/>
      <c r="T108" s="43" t="str">
        <f>IFERROR(__xludf.DUMMYFUNCTION("""COMPUTED_VALUE"""),"Marketing")</f>
        <v>Marketing</v>
      </c>
      <c r="U108" s="43" t="str">
        <f>IFERROR(__xludf.DUMMYFUNCTION("""COMPUTED_VALUE"""),"Real Estate Agent in WASOTURK")</f>
        <v>Real Estate Agent in WASOTURK</v>
      </c>
      <c r="V108" s="43" t="str">
        <f>IFERROR(__xludf.DUMMYFUNCTION("""COMPUTED_VALUE"""),"FST")</f>
        <v>FST</v>
      </c>
      <c r="W108" s="43" t="str">
        <f>IFERROR(__xludf.DUMMYFUNCTION("""COMPUTED_VALUE"""),"2023-02-04T08:40:18Z")</f>
        <v>2023-02-04T08:40:18Z</v>
      </c>
      <c r="X108" s="43"/>
      <c r="Y108" s="43"/>
      <c r="Z108" s="43"/>
    </row>
    <row r="109" hidden="1">
      <c r="A109" s="43" t="str">
        <f>IFERROR(__xludf.DUMMYFUNCTION("""COMPUTED_VALUE"""),"5170736_1290469")</f>
        <v>5170736_1290469</v>
      </c>
      <c r="B109" s="43" t="str">
        <f>IFERROR(__xludf.DUMMYFUNCTION("""COMPUTED_VALUE"""),"Sabah NIGROU")</f>
        <v>Sabah NIGROU</v>
      </c>
      <c r="C109" s="43" t="str">
        <f>IFERROR(__xludf.DUMMYFUNCTION("""COMPUTED_VALUE"""),"realized")</f>
        <v>realized</v>
      </c>
      <c r="D109" s="43" t="str">
        <f>IFERROR(__xludf.DUMMYFUNCTION("""COMPUTED_VALUE"""),"No")</f>
        <v>No</v>
      </c>
      <c r="E109" s="43" t="str">
        <f>IFERROR(__xludf.DUMMYFUNCTION("""COMPUTED_VALUE"""),"p_61e920afb7d5799f31b7975247f58e87a49f9607@inbound.aiesec.org")</f>
        <v>p_61e920afb7d5799f31b7975247f58e87a49f9607@inbound.aiesec.org</v>
      </c>
      <c r="F109" s="43">
        <f>IFERROR(__xludf.DUMMYFUNCTION("""COMPUTED_VALUE"""),6.37680048E8)</f>
        <v>637680048</v>
      </c>
      <c r="G109" s="43" t="str">
        <f>IFERROR(__xludf.DUMMYFUNCTION("""COMPUTED_VALUE"""),"Morocco")</f>
        <v>Morocco</v>
      </c>
      <c r="H109" s="43" t="str">
        <f>IFERROR(__xludf.DUMMYFUNCTION("""COMPUTED_VALUE"""),"Agadir")</f>
        <v>Agadir</v>
      </c>
      <c r="I109" s="43" t="str">
        <f>IFERROR(__xludf.DUMMYFUNCTION("""COMPUTED_VALUE"""),"Turkey")</f>
        <v>Turkey</v>
      </c>
      <c r="J109" s="43" t="str">
        <f>IFERROR(__xludf.DUMMYFUNCTION("""COMPUTED_VALUE"""),"KOCAELI")</f>
        <v>KOCAELI</v>
      </c>
      <c r="K109" s="44" t="str">
        <f>IFERROR(__xludf.DUMMYFUNCTION("""COMPUTED_VALUE"""),"https://expa.aiesec.org/opportunities/1290469")</f>
        <v>https://expa.aiesec.org/opportunities/1290469</v>
      </c>
      <c r="L109" s="43" t="str">
        <f>IFERROR(__xludf.DUMMYFUNCTION("""COMPUTED_VALUE"""),"GTa")</f>
        <v>GTa</v>
      </c>
      <c r="M109" s="43" t="str">
        <f>IFERROR(__xludf.DUMMYFUNCTION("""COMPUTED_VALUE"""),"long")</f>
        <v>long</v>
      </c>
      <c r="N109" s="45">
        <f>IFERROR(__xludf.DUMMYFUNCTION("""COMPUTED_VALUE"""),44963.0)</f>
        <v>44963</v>
      </c>
      <c r="O109" s="45">
        <f>IFERROR(__xludf.DUMMYFUNCTION("""COMPUTED_VALUE"""),44967.0)</f>
        <v>44967</v>
      </c>
      <c r="P109" s="45">
        <f>IFERROR(__xludf.DUMMYFUNCTION("""COMPUTED_VALUE"""),45332.0)</f>
        <v>45332</v>
      </c>
      <c r="Q109" s="45">
        <f>IFERROR(__xludf.DUMMYFUNCTION("""COMPUTED_VALUE"""),45021.0)</f>
        <v>45021</v>
      </c>
      <c r="R109" s="45">
        <f>IFERROR(__xludf.DUMMYFUNCTION("""COMPUTED_VALUE"""),45384.0)</f>
        <v>45384</v>
      </c>
      <c r="S109" s="43"/>
      <c r="T109" s="43" t="str">
        <f>IFERROR(__xludf.DUMMYFUNCTION("""COMPUTED_VALUE"""),"Marketing")</f>
        <v>Marketing</v>
      </c>
      <c r="U109" s="43" t="str">
        <f>IFERROR(__xludf.DUMMYFUNCTION("""COMPUTED_VALUE"""),"Sales&amp;Marketing in TOKSEL Company")</f>
        <v>Sales&amp;Marketing in TOKSEL Company</v>
      </c>
      <c r="V109" s="43" t="str">
        <f>IFERROR(__xludf.DUMMYFUNCTION("""COMPUTED_VALUE"""),"ISTA Taddart Agadir")</f>
        <v>ISTA Taddart Agadir</v>
      </c>
      <c r="W109" s="43" t="str">
        <f>IFERROR(__xludf.DUMMYFUNCTION("""COMPUTED_VALUE"""),"2022-12-27T15:29:01Z")</f>
        <v>2022-12-27T15:29:01Z</v>
      </c>
      <c r="X109" s="43"/>
      <c r="Y109" s="43"/>
      <c r="Z109" s="43"/>
    </row>
    <row r="110" hidden="1">
      <c r="A110" s="43" t="str">
        <f>IFERROR(__xludf.DUMMYFUNCTION("""COMPUTED_VALUE"""),"5177082_1291783")</f>
        <v>5177082_1291783</v>
      </c>
      <c r="B110" s="43" t="str">
        <f>IFERROR(__xludf.DUMMYFUNCTION("""COMPUTED_VALUE"""),"Chaimaa Samraouan")</f>
        <v>Chaimaa Samraouan</v>
      </c>
      <c r="C110" s="43" t="str">
        <f>IFERROR(__xludf.DUMMYFUNCTION("""COMPUTED_VALUE"""),"realized")</f>
        <v>realized</v>
      </c>
      <c r="D110" s="43" t="str">
        <f>IFERROR(__xludf.DUMMYFUNCTION("""COMPUTED_VALUE"""),"No")</f>
        <v>No</v>
      </c>
      <c r="E110" s="43" t="str">
        <f>IFERROR(__xludf.DUMMYFUNCTION("""COMPUTED_VALUE"""),"p_b2c3b52b10a2dc45cc3b80eb9dbe175a2576b76a@inbound.aiesec.org")</f>
        <v>p_b2c3b52b10a2dc45cc3b80eb9dbe175a2576b76a@inbound.aiesec.org</v>
      </c>
      <c r="F110" s="43">
        <f>IFERROR(__xludf.DUMMYFUNCTION("""COMPUTED_VALUE"""),7.73393322E8)</f>
        <v>773393322</v>
      </c>
      <c r="G110" s="43" t="str">
        <f>IFERROR(__xludf.DUMMYFUNCTION("""COMPUTED_VALUE"""),"Morocco")</f>
        <v>Morocco</v>
      </c>
      <c r="H110" s="43" t="str">
        <f>IFERROR(__xludf.DUMMYFUNCTION("""COMPUTED_VALUE"""),"Casablanca")</f>
        <v>Casablanca</v>
      </c>
      <c r="I110" s="43" t="str">
        <f>IFERROR(__xludf.DUMMYFUNCTION("""COMPUTED_VALUE"""),"Turkey")</f>
        <v>Turkey</v>
      </c>
      <c r="J110" s="43" t="str">
        <f>IFERROR(__xludf.DUMMYFUNCTION("""COMPUTED_VALUE"""),"ISTANBUL")</f>
        <v>ISTANBUL</v>
      </c>
      <c r="K110" s="44" t="str">
        <f>IFERROR(__xludf.DUMMYFUNCTION("""COMPUTED_VALUE"""),"https://expa.aiesec.org/opportunities/1291783")</f>
        <v>https://expa.aiesec.org/opportunities/1291783</v>
      </c>
      <c r="L110" s="43" t="str">
        <f>IFERROR(__xludf.DUMMYFUNCTION("""COMPUTED_VALUE"""),"GTa")</f>
        <v>GTa</v>
      </c>
      <c r="M110" s="43" t="str">
        <f>IFERROR(__xludf.DUMMYFUNCTION("""COMPUTED_VALUE"""),"long")</f>
        <v>long</v>
      </c>
      <c r="N110" s="45">
        <f>IFERROR(__xludf.DUMMYFUNCTION("""COMPUTED_VALUE"""),44963.0)</f>
        <v>44963</v>
      </c>
      <c r="O110" s="45">
        <f>IFERROR(__xludf.DUMMYFUNCTION("""COMPUTED_VALUE"""),44969.0)</f>
        <v>44969</v>
      </c>
      <c r="P110" s="45">
        <f>IFERROR(__xludf.DUMMYFUNCTION("""COMPUTED_VALUE"""),45334.0)</f>
        <v>45334</v>
      </c>
      <c r="Q110" s="45">
        <f>IFERROR(__xludf.DUMMYFUNCTION("""COMPUTED_VALUE"""),45051.0)</f>
        <v>45051</v>
      </c>
      <c r="R110" s="45">
        <f>IFERROR(__xludf.DUMMYFUNCTION("""COMPUTED_VALUE"""),45418.0)</f>
        <v>45418</v>
      </c>
      <c r="S110" s="43"/>
      <c r="T110" s="43" t="str">
        <f>IFERROR(__xludf.DUMMYFUNCTION("""COMPUTED_VALUE"""),"Business Administration")</f>
        <v>Business Administration</v>
      </c>
      <c r="U110" s="43" t="str">
        <f>IFERROR(__xludf.DUMMYFUNCTION("""COMPUTED_VALUE"""),"Telesales Internship in Istanbul")</f>
        <v>Telesales Internship in Istanbul</v>
      </c>
      <c r="V110" s="43" t="str">
        <f>IFERROR(__xludf.DUMMYFUNCTION("""COMPUTED_VALUE"""),"FLSH Aïn Chock Casablanca")</f>
        <v>FLSH Aïn Chock Casablanca</v>
      </c>
      <c r="W110" s="43" t="str">
        <f>IFERROR(__xludf.DUMMYFUNCTION("""COMPUTED_VALUE"""),"2023-01-16T13:34:44Z")</f>
        <v>2023-01-16T13:34:44Z</v>
      </c>
      <c r="X110" s="43"/>
      <c r="Y110" s="43"/>
      <c r="Z110" s="43"/>
    </row>
    <row r="111" hidden="1">
      <c r="A111" s="43" t="str">
        <f>IFERROR(__xludf.DUMMYFUNCTION("""COMPUTED_VALUE"""),"5188861_1284501")</f>
        <v>5188861_1284501</v>
      </c>
      <c r="B111" s="43" t="str">
        <f>IFERROR(__xludf.DUMMYFUNCTION("""COMPUTED_VALUE"""),"Lorena Romero")</f>
        <v>Lorena Romero</v>
      </c>
      <c r="C111" s="43" t="str">
        <f>IFERROR(__xludf.DUMMYFUNCTION("""COMPUTED_VALUE"""),"realized")</f>
        <v>realized</v>
      </c>
      <c r="D111" s="43" t="str">
        <f>IFERROR(__xludf.DUMMYFUNCTION("""COMPUTED_VALUE"""),"No")</f>
        <v>No</v>
      </c>
      <c r="E111" s="43" t="str">
        <f>IFERROR(__xludf.DUMMYFUNCTION("""COMPUTED_VALUE"""),"p_b691b7e1fd6f60a9cc77ab3a9c4b54d7f4ebf793@inbound.aiesec.org")</f>
        <v>p_b691b7e1fd6f60a9cc77ab3a9c4b54d7f4ebf793@inbound.aiesec.org</v>
      </c>
      <c r="F111" s="43">
        <f>IFERROR(__xludf.DUMMYFUNCTION("""COMPUTED_VALUE"""),6.6069391E7)</f>
        <v>66069391</v>
      </c>
      <c r="G111" s="43" t="str">
        <f>IFERROR(__xludf.DUMMYFUNCTION("""COMPUTED_VALUE"""),"Panama")</f>
        <v>Panama</v>
      </c>
      <c r="H111" s="43" t="str">
        <f>IFERROR(__xludf.DUMMYFUNCTION("""COMPUTED_VALUE"""),"UTP")</f>
        <v>UTP</v>
      </c>
      <c r="I111" s="43" t="str">
        <f>IFERROR(__xludf.DUMMYFUNCTION("""COMPUTED_VALUE"""),"Turkey")</f>
        <v>Turkey</v>
      </c>
      <c r="J111" s="43" t="str">
        <f>IFERROR(__xludf.DUMMYFUNCTION("""COMPUTED_VALUE"""),"ISTANBUL")</f>
        <v>ISTANBUL</v>
      </c>
      <c r="K111" s="44" t="str">
        <f>IFERROR(__xludf.DUMMYFUNCTION("""COMPUTED_VALUE"""),"https://expa.aiesec.org/opportunities/1284501")</f>
        <v>https://expa.aiesec.org/opportunities/1284501</v>
      </c>
      <c r="L111" s="43" t="str">
        <f>IFERROR(__xludf.DUMMYFUNCTION("""COMPUTED_VALUE"""),"GTa")</f>
        <v>GTa</v>
      </c>
      <c r="M111" s="43" t="str">
        <f>IFERROR(__xludf.DUMMYFUNCTION("""COMPUTED_VALUE"""),"long")</f>
        <v>long</v>
      </c>
      <c r="N111" s="45">
        <f>IFERROR(__xludf.DUMMYFUNCTION("""COMPUTED_VALUE"""),44968.0)</f>
        <v>44968</v>
      </c>
      <c r="O111" s="45">
        <f>IFERROR(__xludf.DUMMYFUNCTION("""COMPUTED_VALUE"""),44998.0)</f>
        <v>44998</v>
      </c>
      <c r="P111" s="45">
        <f>IFERROR(__xludf.DUMMYFUNCTION("""COMPUTED_VALUE"""),45359.0)</f>
        <v>45359</v>
      </c>
      <c r="Q111" s="45">
        <f>IFERROR(__xludf.DUMMYFUNCTION("""COMPUTED_VALUE"""),45040.0)</f>
        <v>45040</v>
      </c>
      <c r="R111" s="45">
        <f>IFERROR(__xludf.DUMMYFUNCTION("""COMPUTED_VALUE"""),45408.0)</f>
        <v>45408</v>
      </c>
      <c r="S111" s="43"/>
      <c r="T111" s="43" t="str">
        <f>IFERROR(__xludf.DUMMYFUNCTION("""COMPUTED_VALUE"""),"Marketing")</f>
        <v>Marketing</v>
      </c>
      <c r="U111" s="43" t="str">
        <f>IFERROR(__xludf.DUMMYFUNCTION("""COMPUTED_VALUE"""),"Digital Marketing")</f>
        <v>Digital Marketing</v>
      </c>
      <c r="V111" s="43" t="str">
        <f>IFERROR(__xludf.DUMMYFUNCTION("""COMPUTED_VALUE"""),"-")</f>
        <v>-</v>
      </c>
      <c r="W111" s="43" t="str">
        <f>IFERROR(__xludf.DUMMYFUNCTION("""COMPUTED_VALUE"""),"2023-02-10T19:04:02Z")</f>
        <v>2023-02-10T19:04:02Z</v>
      </c>
      <c r="X111" s="43"/>
      <c r="Y111" s="43"/>
      <c r="Z111" s="43"/>
    </row>
    <row r="112" hidden="1">
      <c r="A112" s="43" t="str">
        <f>IFERROR(__xludf.DUMMYFUNCTION("""COMPUTED_VALUE"""),"5184070_1292058")</f>
        <v>5184070_1292058</v>
      </c>
      <c r="B112" s="43" t="str">
        <f>IFERROR(__xludf.DUMMYFUNCTION("""COMPUTED_VALUE"""),"OUMAYMA CHAGHMOUM")</f>
        <v>OUMAYMA CHAGHMOUM</v>
      </c>
      <c r="C112" s="43" t="str">
        <f>IFERROR(__xludf.DUMMYFUNCTION("""COMPUTED_VALUE"""),"realized")</f>
        <v>realized</v>
      </c>
      <c r="D112" s="43" t="str">
        <f>IFERROR(__xludf.DUMMYFUNCTION("""COMPUTED_VALUE"""),"No")</f>
        <v>No</v>
      </c>
      <c r="E112" s="43" t="str">
        <f>IFERROR(__xludf.DUMMYFUNCTION("""COMPUTED_VALUE"""),"p_97a6f978d249d319ece30341fc37df187e5d404e@inbound.aiesec.org")</f>
        <v>p_97a6f978d249d319ece30341fc37df187e5d404e@inbound.aiesec.org</v>
      </c>
      <c r="F112" s="43">
        <f>IFERROR(__xludf.DUMMYFUNCTION("""COMPUTED_VALUE"""),7.10288199E8)</f>
        <v>710288199</v>
      </c>
      <c r="G112" s="43" t="str">
        <f>IFERROR(__xludf.DUMMYFUNCTION("""COMPUTED_VALUE"""),"Morocco")</f>
        <v>Morocco</v>
      </c>
      <c r="H112" s="43" t="str">
        <f>IFERROR(__xludf.DUMMYFUNCTION("""COMPUTED_VALUE"""),"Kenitra")</f>
        <v>Kenitra</v>
      </c>
      <c r="I112" s="43" t="str">
        <f>IFERROR(__xludf.DUMMYFUNCTION("""COMPUTED_VALUE"""),"Turkey")</f>
        <v>Turkey</v>
      </c>
      <c r="J112" s="43" t="str">
        <f>IFERROR(__xludf.DUMMYFUNCTION("""COMPUTED_VALUE"""),"ADANA")</f>
        <v>ADANA</v>
      </c>
      <c r="K112" s="44" t="str">
        <f>IFERROR(__xludf.DUMMYFUNCTION("""COMPUTED_VALUE"""),"https://expa.aiesec.org/opportunities/1292058")</f>
        <v>https://expa.aiesec.org/opportunities/1292058</v>
      </c>
      <c r="L112" s="43" t="str">
        <f>IFERROR(__xludf.DUMMYFUNCTION("""COMPUTED_VALUE"""),"GTa")</f>
        <v>GTa</v>
      </c>
      <c r="M112" s="43" t="str">
        <f>IFERROR(__xludf.DUMMYFUNCTION("""COMPUTED_VALUE"""),"long")</f>
        <v>long</v>
      </c>
      <c r="N112" s="45">
        <f>IFERROR(__xludf.DUMMYFUNCTION("""COMPUTED_VALUE"""),44969.0)</f>
        <v>44969</v>
      </c>
      <c r="O112" s="45">
        <f>IFERROR(__xludf.DUMMYFUNCTION("""COMPUTED_VALUE"""),44973.0)</f>
        <v>44973</v>
      </c>
      <c r="P112" s="45">
        <f>IFERROR(__xludf.DUMMYFUNCTION("""COMPUTED_VALUE"""),45367.0)</f>
        <v>45367</v>
      </c>
      <c r="Q112" s="45">
        <f>IFERROR(__xludf.DUMMYFUNCTION("""COMPUTED_VALUE"""),45026.0)</f>
        <v>45026</v>
      </c>
      <c r="R112" s="45">
        <f>IFERROR(__xludf.DUMMYFUNCTION("""COMPUTED_VALUE"""),45420.0)</f>
        <v>45420</v>
      </c>
      <c r="S112" s="43"/>
      <c r="T112" s="43" t="str">
        <f>IFERROR(__xludf.DUMMYFUNCTION("""COMPUTED_VALUE"""),"Marketing")</f>
        <v>Marketing</v>
      </c>
      <c r="U112" s="43" t="str">
        <f>IFERROR(__xludf.DUMMYFUNCTION("""COMPUTED_VALUE"""),"Side Food Baharat | Marketing Specialist")</f>
        <v>Side Food Baharat | Marketing Specialist</v>
      </c>
      <c r="V112" s="43" t="str">
        <f>IFERROR(__xludf.DUMMYFUNCTION("""COMPUTED_VALUE"""),"Ecole Nationale De Commerce Et De Gestion Kenitra (ENCGK)")</f>
        <v>Ecole Nationale De Commerce Et De Gestion Kenitra (ENCGK)</v>
      </c>
      <c r="W112" s="43" t="str">
        <f>IFERROR(__xludf.DUMMYFUNCTION("""COMPUTED_VALUE"""),"2023-02-02T12:08:39Z")</f>
        <v>2023-02-02T12:08:39Z</v>
      </c>
      <c r="X112" s="43"/>
      <c r="Y112" s="43"/>
      <c r="Z112" s="43"/>
    </row>
    <row r="113" hidden="1">
      <c r="A113" s="43" t="str">
        <f>IFERROR(__xludf.DUMMYFUNCTION("""COMPUTED_VALUE"""),"5190602_1289255")</f>
        <v>5190602_1289255</v>
      </c>
      <c r="B113" s="43" t="str">
        <f>IFERROR(__xludf.DUMMYFUNCTION("""COMPUTED_VALUE"""),"Mouadh Nemri")</f>
        <v>Mouadh Nemri</v>
      </c>
      <c r="C113" s="43" t="str">
        <f>IFERROR(__xludf.DUMMYFUNCTION("""COMPUTED_VALUE"""),"realized")</f>
        <v>realized</v>
      </c>
      <c r="D113" s="43" t="str">
        <f>IFERROR(__xludf.DUMMYFUNCTION("""COMPUTED_VALUE"""),"No")</f>
        <v>No</v>
      </c>
      <c r="E113" s="43" t="str">
        <f>IFERROR(__xludf.DUMMYFUNCTION("""COMPUTED_VALUE"""),"p_c82f30aae42d2f077c45fcd5c5e0257f642adc2f@inbound.aiesec.org")</f>
        <v>p_c82f30aae42d2f077c45fcd5c5e0257f642adc2f@inbound.aiesec.org</v>
      </c>
      <c r="F113" s="43">
        <f>IFERROR(__xludf.DUMMYFUNCTION("""COMPUTED_VALUE"""),2.8315626E7)</f>
        <v>28315626</v>
      </c>
      <c r="G113" s="43" t="str">
        <f>IFERROR(__xludf.DUMMYFUNCTION("""COMPUTED_VALUE"""),"Tunisia")</f>
        <v>Tunisia</v>
      </c>
      <c r="H113" s="43" t="str">
        <f>IFERROR(__xludf.DUMMYFUNCTION("""COMPUTED_VALUE"""),"UNIVERSITY")</f>
        <v>UNIVERSITY</v>
      </c>
      <c r="I113" s="43" t="str">
        <f>IFERROR(__xludf.DUMMYFUNCTION("""COMPUTED_VALUE"""),"Turkey")</f>
        <v>Turkey</v>
      </c>
      <c r="J113" s="43" t="str">
        <f>IFERROR(__xludf.DUMMYFUNCTION("""COMPUTED_VALUE"""),"ISTANBUL")</f>
        <v>ISTANBUL</v>
      </c>
      <c r="K113" s="44" t="str">
        <f>IFERROR(__xludf.DUMMYFUNCTION("""COMPUTED_VALUE"""),"https://expa.aiesec.org/opportunities/1289255")</f>
        <v>https://expa.aiesec.org/opportunities/1289255</v>
      </c>
      <c r="L113" s="43" t="str">
        <f>IFERROR(__xludf.DUMMYFUNCTION("""COMPUTED_VALUE"""),"GTa")</f>
        <v>GTa</v>
      </c>
      <c r="M113" s="43" t="str">
        <f>IFERROR(__xludf.DUMMYFUNCTION("""COMPUTED_VALUE"""),"long")</f>
        <v>long</v>
      </c>
      <c r="N113" s="45">
        <f>IFERROR(__xludf.DUMMYFUNCTION("""COMPUTED_VALUE"""),44971.0)</f>
        <v>44971</v>
      </c>
      <c r="O113" s="45">
        <f>IFERROR(__xludf.DUMMYFUNCTION("""COMPUTED_VALUE"""),44991.0)</f>
        <v>44991</v>
      </c>
      <c r="P113" s="45">
        <f>IFERROR(__xludf.DUMMYFUNCTION("""COMPUTED_VALUE"""),45536.0)</f>
        <v>45536</v>
      </c>
      <c r="Q113" s="45">
        <f>IFERROR(__xludf.DUMMYFUNCTION("""COMPUTED_VALUE"""),44993.0)</f>
        <v>44993</v>
      </c>
      <c r="R113" s="45">
        <f>IFERROR(__xludf.DUMMYFUNCTION("""COMPUTED_VALUE"""),45536.0)</f>
        <v>45536</v>
      </c>
      <c r="S113" s="43"/>
      <c r="T113" s="43" t="str">
        <f>IFERROR(__xludf.DUMMYFUNCTION("""COMPUTED_VALUE"""),"Business Administration")</f>
        <v>Business Administration</v>
      </c>
      <c r="U113" s="43" t="str">
        <f>IFERROR(__xludf.DUMMYFUNCTION("""COMPUTED_VALUE"""),"Telesales Specialist in Istanbul (French Speaker)")</f>
        <v>Telesales Specialist in Istanbul (French Speaker)</v>
      </c>
      <c r="V113" s="43" t="str">
        <f>IFERROR(__xludf.DUMMYFUNCTION("""COMPUTED_VALUE"""),"FSEGT")</f>
        <v>FSEGT</v>
      </c>
      <c r="W113" s="43" t="str">
        <f>IFERROR(__xludf.DUMMYFUNCTION("""COMPUTED_VALUE"""),"2023-02-14T13:18:22Z")</f>
        <v>2023-02-14T13:18:22Z</v>
      </c>
      <c r="X113" s="43"/>
      <c r="Y113" s="43"/>
      <c r="Z113" s="43"/>
    </row>
    <row r="114" hidden="1">
      <c r="A114" s="43" t="str">
        <f>IFERROR(__xludf.DUMMYFUNCTION("""COMPUTED_VALUE"""),"5185644_1291663")</f>
        <v>5185644_1291663</v>
      </c>
      <c r="B114" s="43" t="str">
        <f>IFERROR(__xludf.DUMMYFUNCTION("""COMPUTED_VALUE"""),"ryadh hani")</f>
        <v>ryadh hani</v>
      </c>
      <c r="C114" s="43" t="str">
        <f>IFERROR(__xludf.DUMMYFUNCTION("""COMPUTED_VALUE"""),"realized")</f>
        <v>realized</v>
      </c>
      <c r="D114" s="43" t="str">
        <f>IFERROR(__xludf.DUMMYFUNCTION("""COMPUTED_VALUE"""),"No")</f>
        <v>No</v>
      </c>
      <c r="E114" s="43" t="str">
        <f>IFERROR(__xludf.DUMMYFUNCTION("""COMPUTED_VALUE"""),"p_07cc2f80066c9e9278cac3d28f7c16d4f176fb25@inbound.aiesec.org")</f>
        <v>p_07cc2f80066c9e9278cac3d28f7c16d4f176fb25@inbound.aiesec.org</v>
      </c>
      <c r="F114" s="43"/>
      <c r="G114" s="43" t="str">
        <f>IFERROR(__xludf.DUMMYFUNCTION("""COMPUTED_VALUE"""),"Algeria")</f>
        <v>Algeria</v>
      </c>
      <c r="H114" s="43" t="str">
        <f>IFERROR(__xludf.DUMMYFUNCTION("""COMPUTED_VALUE"""),"Benak")</f>
        <v>Benak</v>
      </c>
      <c r="I114" s="43" t="str">
        <f>IFERROR(__xludf.DUMMYFUNCTION("""COMPUTED_VALUE"""),"Turkey")</f>
        <v>Turkey</v>
      </c>
      <c r="J114" s="43" t="str">
        <f>IFERROR(__xludf.DUMMYFUNCTION("""COMPUTED_VALUE"""),"ISTANBUL WEST")</f>
        <v>ISTANBUL WEST</v>
      </c>
      <c r="K114" s="44" t="str">
        <f>IFERROR(__xludf.DUMMYFUNCTION("""COMPUTED_VALUE"""),"https://expa.aiesec.org/opportunities/1291663")</f>
        <v>https://expa.aiesec.org/opportunities/1291663</v>
      </c>
      <c r="L114" s="43" t="str">
        <f>IFERROR(__xludf.DUMMYFUNCTION("""COMPUTED_VALUE"""),"GTa")</f>
        <v>GTa</v>
      </c>
      <c r="M114" s="43" t="str">
        <f>IFERROR(__xludf.DUMMYFUNCTION("""COMPUTED_VALUE"""),"long")</f>
        <v>long</v>
      </c>
      <c r="N114" s="45">
        <f>IFERROR(__xludf.DUMMYFUNCTION("""COMPUTED_VALUE"""),44972.0)</f>
        <v>44972</v>
      </c>
      <c r="O114" s="45">
        <f>IFERROR(__xludf.DUMMYFUNCTION("""COMPUTED_VALUE"""),45000.0)</f>
        <v>45000</v>
      </c>
      <c r="P114" s="45">
        <f>IFERROR(__xludf.DUMMYFUNCTION("""COMPUTED_VALUE"""),45363.0)</f>
        <v>45363</v>
      </c>
      <c r="Q114" s="45">
        <f>IFERROR(__xludf.DUMMYFUNCTION("""COMPUTED_VALUE"""),45035.0)</f>
        <v>45035</v>
      </c>
      <c r="R114" s="45">
        <f>IFERROR(__xludf.DUMMYFUNCTION("""COMPUTED_VALUE"""),45398.0)</f>
        <v>45398</v>
      </c>
      <c r="S114" s="43"/>
      <c r="T114" s="43" t="str">
        <f>IFERROR(__xludf.DUMMYFUNCTION("""COMPUTED_VALUE"""),"Marketing")</f>
        <v>Marketing</v>
      </c>
      <c r="U114" s="43" t="str">
        <f>IFERROR(__xludf.DUMMYFUNCTION("""COMPUTED_VALUE"""),"Video Editor")</f>
        <v>Video Editor</v>
      </c>
      <c r="V114" s="43" t="str">
        <f>IFERROR(__xludf.DUMMYFUNCTION("""COMPUTED_VALUE"""),"-")</f>
        <v>-</v>
      </c>
      <c r="W114" s="43" t="str">
        <f>IFERROR(__xludf.DUMMYFUNCTION("""COMPUTED_VALUE"""),"2023-02-04T19:47:30Z")</f>
        <v>2023-02-04T19:47:30Z</v>
      </c>
      <c r="X114" s="43"/>
      <c r="Y114" s="43"/>
      <c r="Z114" s="43"/>
    </row>
    <row r="115" hidden="1">
      <c r="A115" s="43" t="str">
        <f>IFERROR(__xludf.DUMMYFUNCTION("""COMPUTED_VALUE"""),"3913429_1288813")</f>
        <v>3913429_1288813</v>
      </c>
      <c r="B115" s="43" t="str">
        <f>IFERROR(__xludf.DUMMYFUNCTION("""COMPUTED_VALUE"""),"djoudi walid")</f>
        <v>djoudi walid</v>
      </c>
      <c r="C115" s="43" t="str">
        <f>IFERROR(__xludf.DUMMYFUNCTION("""COMPUTED_VALUE"""),"realized")</f>
        <v>realized</v>
      </c>
      <c r="D115" s="43" t="str">
        <f>IFERROR(__xludf.DUMMYFUNCTION("""COMPUTED_VALUE"""),"No")</f>
        <v>No</v>
      </c>
      <c r="E115" s="43" t="str">
        <f>IFERROR(__xludf.DUMMYFUNCTION("""COMPUTED_VALUE"""),"p_d035599643f0d6995a53da084d649aee1c324979@inbound.aiesec.org")</f>
        <v>p_d035599643f0d6995a53da084d649aee1c324979@inbound.aiesec.org</v>
      </c>
      <c r="F115" s="43">
        <f>IFERROR(__xludf.DUMMYFUNCTION("""COMPUTED_VALUE"""),6.65783269E8)</f>
        <v>665783269</v>
      </c>
      <c r="G115" s="43" t="str">
        <f>IFERROR(__xludf.DUMMYFUNCTION("""COMPUTED_VALUE"""),"Algeria")</f>
        <v>Algeria</v>
      </c>
      <c r="H115" s="43" t="str">
        <f>IFERROR(__xludf.DUMMYFUNCTION("""COMPUTED_VALUE"""),"Ouargla")</f>
        <v>Ouargla</v>
      </c>
      <c r="I115" s="43" t="str">
        <f>IFERROR(__xludf.DUMMYFUNCTION("""COMPUTED_VALUE"""),"Turkey")</f>
        <v>Turkey</v>
      </c>
      <c r="J115" s="43" t="str">
        <f>IFERROR(__xludf.DUMMYFUNCTION("""COMPUTED_VALUE"""),"ISTANBUL WEST")</f>
        <v>ISTANBUL WEST</v>
      </c>
      <c r="K115" s="44" t="str">
        <f>IFERROR(__xludf.DUMMYFUNCTION("""COMPUTED_VALUE"""),"https://expa.aiesec.org/opportunities/1288813")</f>
        <v>https://expa.aiesec.org/opportunities/1288813</v>
      </c>
      <c r="L115" s="43" t="str">
        <f>IFERROR(__xludf.DUMMYFUNCTION("""COMPUTED_VALUE"""),"GTa")</f>
        <v>GTa</v>
      </c>
      <c r="M115" s="43" t="str">
        <f>IFERROR(__xludf.DUMMYFUNCTION("""COMPUTED_VALUE"""),"long")</f>
        <v>long</v>
      </c>
      <c r="N115" s="45">
        <f>IFERROR(__xludf.DUMMYFUNCTION("""COMPUTED_VALUE"""),44975.0)</f>
        <v>44975</v>
      </c>
      <c r="O115" s="45">
        <f>IFERROR(__xludf.DUMMYFUNCTION("""COMPUTED_VALUE"""),44986.0)</f>
        <v>44986</v>
      </c>
      <c r="P115" s="45">
        <f>IFERROR(__xludf.DUMMYFUNCTION("""COMPUTED_VALUE"""),45326.0)</f>
        <v>45326</v>
      </c>
      <c r="Q115" s="45">
        <f>IFERROR(__xludf.DUMMYFUNCTION("""COMPUTED_VALUE"""),45012.0)</f>
        <v>45012</v>
      </c>
      <c r="R115" s="45">
        <f>IFERROR(__xludf.DUMMYFUNCTION("""COMPUTED_VALUE"""),45364.0)</f>
        <v>45364</v>
      </c>
      <c r="S115" s="43"/>
      <c r="T115" s="43" t="str">
        <f>IFERROR(__xludf.DUMMYFUNCTION("""COMPUTED_VALUE"""),"Marketing")</f>
        <v>Marketing</v>
      </c>
      <c r="U115" s="43" t="str">
        <f>IFERROR(__xludf.DUMMYFUNCTION("""COMPUTED_VALUE"""),"Call Center Customer Representative")</f>
        <v>Call Center Customer Representative</v>
      </c>
      <c r="V115" s="43" t="str">
        <f>IFERROR(__xludf.DUMMYFUNCTION("""COMPUTED_VALUE"""),"AIESEC in Benak")</f>
        <v>AIESEC in Benak</v>
      </c>
      <c r="W115" s="43" t="str">
        <f>IFERROR(__xludf.DUMMYFUNCTION("""COMPUTED_VALUE"""),"2019-10-21T22:11:09Z")</f>
        <v>2019-10-21T22:11:09Z</v>
      </c>
      <c r="X115" s="43"/>
      <c r="Y115" s="43"/>
      <c r="Z115" s="43"/>
    </row>
    <row r="116">
      <c r="A116" s="43" t="str">
        <f>IFERROR(__xludf.DUMMYFUNCTION("""COMPUTED_VALUE"""),"1512948_1288813")</f>
        <v>1512948_1288813</v>
      </c>
      <c r="B116" s="43" t="str">
        <f>IFERROR(__xludf.DUMMYFUNCTION("""COMPUTED_VALUE"""),"Yamna Kawtar Haoussine")</f>
        <v>Yamna Kawtar Haoussine</v>
      </c>
      <c r="C116" s="43" t="str">
        <f>IFERROR(__xludf.DUMMYFUNCTION("""COMPUTED_VALUE"""),"approved")</f>
        <v>approved</v>
      </c>
      <c r="D116" s="43" t="str">
        <f>IFERROR(__xludf.DUMMYFUNCTION("""COMPUTED_VALUE"""),"No")</f>
        <v>No</v>
      </c>
      <c r="E116" s="43" t="str">
        <f>IFERROR(__xludf.DUMMYFUNCTION("""COMPUTED_VALUE"""),"p_2987732070ccc9f5b959698cc1204c9da3b1e938@inbound.aiesec.org")</f>
        <v>p_2987732070ccc9f5b959698cc1204c9da3b1e938@inbound.aiesec.org</v>
      </c>
      <c r="F116" s="43">
        <f>IFERROR(__xludf.DUMMYFUNCTION("""COMPUTED_VALUE"""),6.67865216E8)</f>
        <v>667865216</v>
      </c>
      <c r="G116" s="43" t="str">
        <f>IFERROR(__xludf.DUMMYFUNCTION("""COMPUTED_VALUE"""),"Algeria")</f>
        <v>Algeria</v>
      </c>
      <c r="H116" s="43" t="str">
        <f>IFERROR(__xludf.DUMMYFUNCTION("""COMPUTED_VALUE"""),"Benak")</f>
        <v>Benak</v>
      </c>
      <c r="I116" s="43" t="str">
        <f>IFERROR(__xludf.DUMMYFUNCTION("""COMPUTED_VALUE"""),"Turkey")</f>
        <v>Turkey</v>
      </c>
      <c r="J116" s="43" t="str">
        <f>IFERROR(__xludf.DUMMYFUNCTION("""COMPUTED_VALUE"""),"ISTANBUL WEST")</f>
        <v>ISTANBUL WEST</v>
      </c>
      <c r="K116" s="44" t="str">
        <f>IFERROR(__xludf.DUMMYFUNCTION("""COMPUTED_VALUE"""),"https://expa.aiesec.org/opportunities/1288813")</f>
        <v>https://expa.aiesec.org/opportunities/1288813</v>
      </c>
      <c r="L116" s="43" t="str">
        <f>IFERROR(__xludf.DUMMYFUNCTION("""COMPUTED_VALUE"""),"GTa")</f>
        <v>GTa</v>
      </c>
      <c r="M116" s="43" t="str">
        <f>IFERROR(__xludf.DUMMYFUNCTION("""COMPUTED_VALUE"""),"long")</f>
        <v>long</v>
      </c>
      <c r="N116" s="45">
        <f>IFERROR(__xludf.DUMMYFUNCTION("""COMPUTED_VALUE"""),44978.0)</f>
        <v>44978</v>
      </c>
      <c r="O116" s="45">
        <f>IFERROR(__xludf.DUMMYFUNCTION("""COMPUTED_VALUE"""),44986.0)</f>
        <v>44986</v>
      </c>
      <c r="P116" s="45">
        <f>IFERROR(__xludf.DUMMYFUNCTION("""COMPUTED_VALUE"""),45326.0)</f>
        <v>45326</v>
      </c>
      <c r="Q116" s="45"/>
      <c r="R116" s="45"/>
      <c r="S116" s="43"/>
      <c r="T116" s="43" t="str">
        <f>IFERROR(__xludf.DUMMYFUNCTION("""COMPUTED_VALUE"""),"Marketing")</f>
        <v>Marketing</v>
      </c>
      <c r="U116" s="43" t="str">
        <f>IFERROR(__xludf.DUMMYFUNCTION("""COMPUTED_VALUE"""),"Call Center Customer Representative")</f>
        <v>Call Center Customer Representative</v>
      </c>
      <c r="V116" s="43" t="str">
        <f>IFERROR(__xludf.DUMMYFUNCTION("""COMPUTED_VALUE"""),"-")</f>
        <v>-</v>
      </c>
      <c r="W116" s="43" t="str">
        <f>IFERROR(__xludf.DUMMYFUNCTION("""COMPUTED_VALUE"""),"2017-04-18T22:33:34Z")</f>
        <v>2017-04-18T22:33:34Z</v>
      </c>
      <c r="X116" s="43"/>
      <c r="Y116" s="43"/>
      <c r="Z116" s="43"/>
    </row>
    <row r="117" hidden="1">
      <c r="A117" s="43" t="str">
        <f>IFERROR(__xludf.DUMMYFUNCTION("""COMPUTED_VALUE"""),"5157773_1292361")</f>
        <v>5157773_1292361</v>
      </c>
      <c r="B117" s="43" t="str">
        <f>IFERROR(__xludf.DUMMYFUNCTION("""COMPUTED_VALUE"""),"Fatima Zahra HOUMADA")</f>
        <v>Fatima Zahra HOUMADA</v>
      </c>
      <c r="C117" s="43" t="str">
        <f>IFERROR(__xludf.DUMMYFUNCTION("""COMPUTED_VALUE"""),"realized")</f>
        <v>realized</v>
      </c>
      <c r="D117" s="43" t="str">
        <f>IFERROR(__xludf.DUMMYFUNCTION("""COMPUTED_VALUE"""),"No")</f>
        <v>No</v>
      </c>
      <c r="E117" s="43" t="str">
        <f>IFERROR(__xludf.DUMMYFUNCTION("""COMPUTED_VALUE"""),"p_da9daaf2ebc6adc87890059f2e18b86ec9c72d2d@inbound.aiesec.org")</f>
        <v>p_da9daaf2ebc6adc87890059f2e18b86ec9c72d2d@inbound.aiesec.org</v>
      </c>
      <c r="F117" s="43">
        <f>IFERROR(__xludf.DUMMYFUNCTION("""COMPUTED_VALUE"""),6.1508377E8)</f>
        <v>615083770</v>
      </c>
      <c r="G117" s="43" t="str">
        <f>IFERROR(__xludf.DUMMYFUNCTION("""COMPUTED_VALUE"""),"Morocco")</f>
        <v>Morocco</v>
      </c>
      <c r="H117" s="43" t="str">
        <f>IFERROR(__xludf.DUMMYFUNCTION("""COMPUTED_VALUE"""),"Kenitra")</f>
        <v>Kenitra</v>
      </c>
      <c r="I117" s="43" t="str">
        <f>IFERROR(__xludf.DUMMYFUNCTION("""COMPUTED_VALUE"""),"Turkey")</f>
        <v>Turkey</v>
      </c>
      <c r="J117" s="43" t="str">
        <f>IFERROR(__xludf.DUMMYFUNCTION("""COMPUTED_VALUE"""),"İZMİR")</f>
        <v>İZMİR</v>
      </c>
      <c r="K117" s="44" t="str">
        <f>IFERROR(__xludf.DUMMYFUNCTION("""COMPUTED_VALUE"""),"https://expa.aiesec.org/opportunities/1292361")</f>
        <v>https://expa.aiesec.org/opportunities/1292361</v>
      </c>
      <c r="L117" s="43" t="str">
        <f>IFERROR(__xludf.DUMMYFUNCTION("""COMPUTED_VALUE"""),"GTa")</f>
        <v>GTa</v>
      </c>
      <c r="M117" s="43" t="str">
        <f>IFERROR(__xludf.DUMMYFUNCTION("""COMPUTED_VALUE"""),"long")</f>
        <v>long</v>
      </c>
      <c r="N117" s="45">
        <f>IFERROR(__xludf.DUMMYFUNCTION("""COMPUTED_VALUE"""),44979.0)</f>
        <v>44979</v>
      </c>
      <c r="O117" s="45">
        <f>IFERROR(__xludf.DUMMYFUNCTION("""COMPUTED_VALUE"""),45017.0)</f>
        <v>45017</v>
      </c>
      <c r="P117" s="45">
        <f>IFERROR(__xludf.DUMMYFUNCTION("""COMPUTED_VALUE"""),45383.0)</f>
        <v>45383</v>
      </c>
      <c r="Q117" s="45">
        <f>IFERROR(__xludf.DUMMYFUNCTION("""COMPUTED_VALUE"""),44987.0)</f>
        <v>44987</v>
      </c>
      <c r="R117" s="45">
        <f>IFERROR(__xludf.DUMMYFUNCTION("""COMPUTED_VALUE"""),45383.0)</f>
        <v>45383</v>
      </c>
      <c r="S117" s="43"/>
      <c r="T117" s="43" t="str">
        <f>IFERROR(__xludf.DUMMYFUNCTION("""COMPUTED_VALUE"""),"Business Administration")</f>
        <v>Business Administration</v>
      </c>
      <c r="U117" s="43" t="str">
        <f>IFERROR(__xludf.DUMMYFUNCTION("""COMPUTED_VALUE"""),"Customer Service Support")</f>
        <v>Customer Service Support</v>
      </c>
      <c r="V117" s="43" t="str">
        <f>IFERROR(__xludf.DUMMYFUNCTION("""COMPUTED_VALUE"""),"Ecole Nationale De Commerce Et De Gestion Kenitra (ENCGK)")</f>
        <v>Ecole Nationale De Commerce Et De Gestion Kenitra (ENCGK)</v>
      </c>
      <c r="W117" s="43" t="str">
        <f>IFERROR(__xludf.DUMMYFUNCTION("""COMPUTED_VALUE"""),"2022-11-23T13:56:11Z")</f>
        <v>2022-11-23T13:56:11Z</v>
      </c>
      <c r="X117" s="43"/>
      <c r="Y117" s="43"/>
      <c r="Z117" s="43"/>
    </row>
    <row r="118" hidden="1">
      <c r="A118" s="43" t="str">
        <f>IFERROR(__xludf.DUMMYFUNCTION("""COMPUTED_VALUE"""),"4649022_1291370")</f>
        <v>4649022_1291370</v>
      </c>
      <c r="B118" s="43" t="str">
        <f>IFERROR(__xludf.DUMMYFUNCTION("""COMPUTED_VALUE"""),"Anna Weinberger")</f>
        <v>Anna Weinberger</v>
      </c>
      <c r="C118" s="43" t="str">
        <f>IFERROR(__xludf.DUMMYFUNCTION("""COMPUTED_VALUE"""),"finished")</f>
        <v>finished</v>
      </c>
      <c r="D118" s="43" t="str">
        <f>IFERROR(__xludf.DUMMYFUNCTION("""COMPUTED_VALUE"""),"No")</f>
        <v>No</v>
      </c>
      <c r="E118" s="43" t="str">
        <f>IFERROR(__xludf.DUMMYFUNCTION("""COMPUTED_VALUE"""),"p_07ad46a7651d7b226ff1a2a4d0906c00ab3ca24c@inbound.aiesec.org")</f>
        <v>p_07ad46a7651d7b226ff1a2a4d0906c00ab3ca24c@inbound.aiesec.org</v>
      </c>
      <c r="F118" s="43">
        <f>IFERROR(__xludf.DUMMYFUNCTION("""COMPUTED_VALUE"""),9.218766841E9)</f>
        <v>9218766841</v>
      </c>
      <c r="G118" s="43" t="str">
        <f>IFERROR(__xludf.DUMMYFUNCTION("""COMPUTED_VALUE"""),"Russia")</f>
        <v>Russia</v>
      </c>
      <c r="H118" s="43" t="str">
        <f>IFERROR(__xludf.DUMMYFUNCTION("""COMPUTED_VALUE"""),"ENGEC-GUAP, Saint-Petersburg")</f>
        <v>ENGEC-GUAP, Saint-Petersburg</v>
      </c>
      <c r="I118" s="43" t="str">
        <f>IFERROR(__xludf.DUMMYFUNCTION("""COMPUTED_VALUE"""),"Turkey")</f>
        <v>Turkey</v>
      </c>
      <c r="J118" s="43" t="str">
        <f>IFERROR(__xludf.DUMMYFUNCTION("""COMPUTED_VALUE"""),"ANKARA")</f>
        <v>ANKARA</v>
      </c>
      <c r="K118" s="44" t="str">
        <f>IFERROR(__xludf.DUMMYFUNCTION("""COMPUTED_VALUE"""),"https://expa.aiesec.org/opportunities/1291370")</f>
        <v>https://expa.aiesec.org/opportunities/1291370</v>
      </c>
      <c r="L118" s="43" t="str">
        <f>IFERROR(__xludf.DUMMYFUNCTION("""COMPUTED_VALUE"""),"GTa")</f>
        <v>GTa</v>
      </c>
      <c r="M118" s="43" t="str">
        <f>IFERROR(__xludf.DUMMYFUNCTION("""COMPUTED_VALUE"""),"short")</f>
        <v>short</v>
      </c>
      <c r="N118" s="45">
        <f>IFERROR(__xludf.DUMMYFUNCTION("""COMPUTED_VALUE"""),44985.0)</f>
        <v>44985</v>
      </c>
      <c r="O118" s="45">
        <f>IFERROR(__xludf.DUMMYFUNCTION("""COMPUTED_VALUE"""),45012.0)</f>
        <v>45012</v>
      </c>
      <c r="P118" s="45">
        <f>IFERROR(__xludf.DUMMYFUNCTION("""COMPUTED_VALUE"""),45093.0)</f>
        <v>45093</v>
      </c>
      <c r="Q118" s="45">
        <f>IFERROR(__xludf.DUMMYFUNCTION("""COMPUTED_VALUE"""),45012.0)</f>
        <v>45012</v>
      </c>
      <c r="R118" s="45">
        <f>IFERROR(__xludf.DUMMYFUNCTION("""COMPUTED_VALUE"""),45093.0)</f>
        <v>45093</v>
      </c>
      <c r="S118" s="43"/>
      <c r="T118" s="43" t="str">
        <f>IFERROR(__xludf.DUMMYFUNCTION("""COMPUTED_VALUE"""),"Business Development")</f>
        <v>Business Development</v>
      </c>
      <c r="U118" s="43" t="str">
        <f>IFERROR(__xludf.DUMMYFUNCTION("""COMPUTED_VALUE"""),"Sales Manager ")</f>
        <v>Sales Manager </v>
      </c>
      <c r="V118" s="43" t="str">
        <f>IFERROR(__xludf.DUMMYFUNCTION("""COMPUTED_VALUE"""),"-")</f>
        <v>-</v>
      </c>
      <c r="W118" s="43" t="str">
        <f>IFERROR(__xludf.DUMMYFUNCTION("""COMPUTED_VALUE"""),"2021-05-20T11:20:47Z")</f>
        <v>2021-05-20T11:20:47Z</v>
      </c>
      <c r="X118" s="43"/>
      <c r="Y118" s="43"/>
      <c r="Z118" s="43"/>
    </row>
    <row r="119" hidden="1">
      <c r="A119" s="43" t="str">
        <f>IFERROR(__xludf.DUMMYFUNCTION("""COMPUTED_VALUE"""),"3302591_1288813")</f>
        <v>3302591_1288813</v>
      </c>
      <c r="B119" s="43" t="str">
        <f>IFERROR(__xludf.DUMMYFUNCTION("""COMPUTED_VALUE"""),"feriel hammami")</f>
        <v>feriel hammami</v>
      </c>
      <c r="C119" s="43" t="str">
        <f>IFERROR(__xludf.DUMMYFUNCTION("""COMPUTED_VALUE"""),"realized")</f>
        <v>realized</v>
      </c>
      <c r="D119" s="43" t="str">
        <f>IFERROR(__xludf.DUMMYFUNCTION("""COMPUTED_VALUE"""),"No")</f>
        <v>No</v>
      </c>
      <c r="E119" s="43" t="str">
        <f>IFERROR(__xludf.DUMMYFUNCTION("""COMPUTED_VALUE"""),"p_8f79c4407f36a0aee9872adc56eed46beb0c7c9c@inbound.aiesec.org")</f>
        <v>p_8f79c4407f36a0aee9872adc56eed46beb0c7c9c@inbound.aiesec.org</v>
      </c>
      <c r="F119" s="43">
        <f>IFERROR(__xludf.DUMMYFUNCTION("""COMPUTED_VALUE"""),9.5127051E7)</f>
        <v>95127051</v>
      </c>
      <c r="G119" s="43" t="str">
        <f>IFERROR(__xludf.DUMMYFUNCTION("""COMPUTED_VALUE"""),"Tunisia")</f>
        <v>Tunisia</v>
      </c>
      <c r="H119" s="43" t="str">
        <f>IFERROR(__xludf.DUMMYFUNCTION("""COMPUTED_VALUE"""),"MEDINA")</f>
        <v>MEDINA</v>
      </c>
      <c r="I119" s="43" t="str">
        <f>IFERROR(__xludf.DUMMYFUNCTION("""COMPUTED_VALUE"""),"Turkey")</f>
        <v>Turkey</v>
      </c>
      <c r="J119" s="43" t="str">
        <f>IFERROR(__xludf.DUMMYFUNCTION("""COMPUTED_VALUE"""),"ISTANBUL WEST")</f>
        <v>ISTANBUL WEST</v>
      </c>
      <c r="K119" s="44" t="str">
        <f>IFERROR(__xludf.DUMMYFUNCTION("""COMPUTED_VALUE"""),"https://expa.aiesec.org/opportunities/1288813")</f>
        <v>https://expa.aiesec.org/opportunities/1288813</v>
      </c>
      <c r="L119" s="43" t="str">
        <f>IFERROR(__xludf.DUMMYFUNCTION("""COMPUTED_VALUE"""),"GTa")</f>
        <v>GTa</v>
      </c>
      <c r="M119" s="43" t="str">
        <f>IFERROR(__xludf.DUMMYFUNCTION("""COMPUTED_VALUE"""),"long")</f>
        <v>long</v>
      </c>
      <c r="N119" s="45">
        <f>IFERROR(__xludf.DUMMYFUNCTION("""COMPUTED_VALUE"""),44986.0)</f>
        <v>44986</v>
      </c>
      <c r="O119" s="45">
        <f>IFERROR(__xludf.DUMMYFUNCTION("""COMPUTED_VALUE"""),45047.0)</f>
        <v>45047</v>
      </c>
      <c r="P119" s="45">
        <f>IFERROR(__xludf.DUMMYFUNCTION("""COMPUTED_VALUE"""),45412.0)</f>
        <v>45412</v>
      </c>
      <c r="Q119" s="45">
        <f>IFERROR(__xludf.DUMMYFUNCTION("""COMPUTED_VALUE"""),45012.0)</f>
        <v>45012</v>
      </c>
      <c r="R119" s="45">
        <f>IFERROR(__xludf.DUMMYFUNCTION("""COMPUTED_VALUE"""),45412.0)</f>
        <v>45412</v>
      </c>
      <c r="S119" s="43"/>
      <c r="T119" s="43" t="str">
        <f>IFERROR(__xludf.DUMMYFUNCTION("""COMPUTED_VALUE"""),"Marketing")</f>
        <v>Marketing</v>
      </c>
      <c r="U119" s="43" t="str">
        <f>IFERROR(__xludf.DUMMYFUNCTION("""COMPUTED_VALUE"""),"Call Center Customer Representative")</f>
        <v>Call Center Customer Representative</v>
      </c>
      <c r="V119" s="43" t="str">
        <f>IFERROR(__xludf.DUMMYFUNCTION("""COMPUTED_VALUE"""),"FLAH")</f>
        <v>FLAH</v>
      </c>
      <c r="W119" s="43" t="str">
        <f>IFERROR(__xludf.DUMMYFUNCTION("""COMPUTED_VALUE"""),"2019-04-05T20:23:38Z")</f>
        <v>2019-04-05T20:23:38Z</v>
      </c>
      <c r="X119" s="43"/>
      <c r="Y119" s="43"/>
      <c r="Z119" s="43"/>
    </row>
    <row r="120" hidden="1">
      <c r="A120" s="43" t="str">
        <f>IFERROR(__xludf.DUMMYFUNCTION("""COMPUTED_VALUE"""),"5133535_1288377")</f>
        <v>5133535_1288377</v>
      </c>
      <c r="B120" s="43" t="str">
        <f>IFERROR(__xludf.DUMMYFUNCTION("""COMPUTED_VALUE"""),"Novita Sari Simorangkir")</f>
        <v>Novita Sari Simorangkir</v>
      </c>
      <c r="C120" s="43" t="str">
        <f>IFERROR(__xludf.DUMMYFUNCTION("""COMPUTED_VALUE"""),"realization_broken")</f>
        <v>realization_broken</v>
      </c>
      <c r="D120" s="43" t="str">
        <f>IFERROR(__xludf.DUMMYFUNCTION("""COMPUTED_VALUE"""),"No")</f>
        <v>No</v>
      </c>
      <c r="E120" s="43" t="str">
        <f>IFERROR(__xludf.DUMMYFUNCTION("""COMPUTED_VALUE"""),"p_ca075b71a0d5d4dc8be677b3a7ecd87c4337a271@inbound.aiesec.org")</f>
        <v>p_ca075b71a0d5d4dc8be677b3a7ecd87c4337a271@inbound.aiesec.org</v>
      </c>
      <c r="F120" s="43">
        <f>IFERROR(__xludf.DUMMYFUNCTION("""COMPUTED_VALUE"""),3.192435536E9)</f>
        <v>3192435536</v>
      </c>
      <c r="G120" s="43" t="str">
        <f>IFERROR(__xludf.DUMMYFUNCTION("""COMPUTED_VALUE"""),"Indonesia")</f>
        <v>Indonesia</v>
      </c>
      <c r="H120" s="43" t="str">
        <f>IFERROR(__xludf.DUMMYFUNCTION("""COMPUTED_VALUE"""),"PU")</f>
        <v>PU</v>
      </c>
      <c r="I120" s="43" t="str">
        <f>IFERROR(__xludf.DUMMYFUNCTION("""COMPUTED_VALUE"""),"Turkey")</f>
        <v>Turkey</v>
      </c>
      <c r="J120" s="43" t="str">
        <f>IFERROR(__xludf.DUMMYFUNCTION("""COMPUTED_VALUE"""),"ADANA")</f>
        <v>ADANA</v>
      </c>
      <c r="K120" s="44" t="str">
        <f>IFERROR(__xludf.DUMMYFUNCTION("""COMPUTED_VALUE"""),"https://expa.aiesec.org/opportunities/1288377")</f>
        <v>https://expa.aiesec.org/opportunities/1288377</v>
      </c>
      <c r="L120" s="43" t="str">
        <f>IFERROR(__xludf.DUMMYFUNCTION("""COMPUTED_VALUE"""),"GTa")</f>
        <v>GTa</v>
      </c>
      <c r="M120" s="43" t="str">
        <f>IFERROR(__xludf.DUMMYFUNCTION("""COMPUTED_VALUE"""),"long")</f>
        <v>long</v>
      </c>
      <c r="N120" s="45">
        <f>IFERROR(__xludf.DUMMYFUNCTION("""COMPUTED_VALUE"""),44987.0)</f>
        <v>44987</v>
      </c>
      <c r="O120" s="45">
        <f>IFERROR(__xludf.DUMMYFUNCTION("""COMPUTED_VALUE"""),44987.0)</f>
        <v>44987</v>
      </c>
      <c r="P120" s="45">
        <f>IFERROR(__xludf.DUMMYFUNCTION("""COMPUTED_VALUE"""),45358.0)</f>
        <v>45358</v>
      </c>
      <c r="Q120" s="45"/>
      <c r="R120" s="45"/>
      <c r="S120" s="43"/>
      <c r="T120" s="43" t="str">
        <f>IFERROR(__xludf.DUMMYFUNCTION("""COMPUTED_VALUE"""),"Business Development")</f>
        <v>Business Development</v>
      </c>
      <c r="U120" s="43" t="str">
        <f>IFERROR(__xludf.DUMMYFUNCTION("""COMPUTED_VALUE"""),"Sales Executive in External Trade | Spanish Speaker")</f>
        <v>Sales Executive in External Trade | Spanish Speaker</v>
      </c>
      <c r="V120" s="43" t="str">
        <f>IFERROR(__xludf.DUMMYFUNCTION("""COMPUTED_VALUE"""),"President University")</f>
        <v>President University</v>
      </c>
      <c r="W120" s="43" t="str">
        <f>IFERROR(__xludf.DUMMYFUNCTION("""COMPUTED_VALUE"""),"2022-10-15T17:09:31Z")</f>
        <v>2022-10-15T17:09:31Z</v>
      </c>
      <c r="X120" s="43"/>
      <c r="Y120" s="43"/>
      <c r="Z120" s="43"/>
    </row>
    <row r="121" hidden="1">
      <c r="A121" s="43" t="str">
        <f>IFERROR(__xludf.DUMMYFUNCTION("""COMPUTED_VALUE"""),"3944420_1292412")</f>
        <v>3944420_1292412</v>
      </c>
      <c r="B121" s="43" t="str">
        <f>IFERROR(__xludf.DUMMYFUNCTION("""COMPUTED_VALUE"""),"Akeh Nkeng Junior")</f>
        <v>Akeh Nkeng Junior</v>
      </c>
      <c r="C121" s="43" t="str">
        <f>IFERROR(__xludf.DUMMYFUNCTION("""COMPUTED_VALUE"""),"completed")</f>
        <v>completed</v>
      </c>
      <c r="D121" s="43" t="str">
        <f>IFERROR(__xludf.DUMMYFUNCTION("""COMPUTED_VALUE"""),"No")</f>
        <v>No</v>
      </c>
      <c r="E121" s="43" t="str">
        <f>IFERROR(__xludf.DUMMYFUNCTION("""COMPUTED_VALUE"""),"p_7cbf4fd0fa0e7eb5d76155b7f39e432d4757de3b@inbound.aiesec.org")</f>
        <v>p_7cbf4fd0fa0e7eb5d76155b7f39e432d4757de3b@inbound.aiesec.org</v>
      </c>
      <c r="F121" s="43"/>
      <c r="G121" s="43" t="str">
        <f>IFERROR(__xludf.DUMMYFUNCTION("""COMPUTED_VALUE"""),"Cameroon")</f>
        <v>Cameroon</v>
      </c>
      <c r="H121" s="43" t="str">
        <f>IFERROR(__xludf.DUMMYFUNCTION("""COMPUTED_VALUE"""),"Maroua")</f>
        <v>Maroua</v>
      </c>
      <c r="I121" s="43" t="str">
        <f>IFERROR(__xludf.DUMMYFUNCTION("""COMPUTED_VALUE"""),"Turkey")</f>
        <v>Turkey</v>
      </c>
      <c r="J121" s="43" t="str">
        <f>IFERROR(__xludf.DUMMYFUNCTION("""COMPUTED_VALUE"""),"GAZIANTEP")</f>
        <v>GAZIANTEP</v>
      </c>
      <c r="K121" s="44" t="str">
        <f>IFERROR(__xludf.DUMMYFUNCTION("""COMPUTED_VALUE"""),"https://expa.aiesec.org/opportunities/1292412")</f>
        <v>https://expa.aiesec.org/opportunities/1292412</v>
      </c>
      <c r="L121" s="43" t="str">
        <f>IFERROR(__xludf.DUMMYFUNCTION("""COMPUTED_VALUE"""),"GTa")</f>
        <v>GTa</v>
      </c>
      <c r="M121" s="43" t="str">
        <f>IFERROR(__xludf.DUMMYFUNCTION("""COMPUTED_VALUE"""),"long")</f>
        <v>long</v>
      </c>
      <c r="N121" s="45">
        <f>IFERROR(__xludf.DUMMYFUNCTION("""COMPUTED_VALUE"""),44987.0)</f>
        <v>44987</v>
      </c>
      <c r="O121" s="45">
        <f>IFERROR(__xludf.DUMMYFUNCTION("""COMPUTED_VALUE"""),44979.0)</f>
        <v>44979</v>
      </c>
      <c r="P121" s="45">
        <f>IFERROR(__xludf.DUMMYFUNCTION("""COMPUTED_VALUE"""),45168.0)</f>
        <v>45168</v>
      </c>
      <c r="Q121" s="45">
        <f>IFERROR(__xludf.DUMMYFUNCTION("""COMPUTED_VALUE"""),44987.0)</f>
        <v>44987</v>
      </c>
      <c r="R121" s="45">
        <f>IFERROR(__xludf.DUMMYFUNCTION("""COMPUTED_VALUE"""),45175.0)</f>
        <v>45175</v>
      </c>
      <c r="S121" s="43"/>
      <c r="T121" s="43" t="str">
        <f>IFERROR(__xludf.DUMMYFUNCTION("""COMPUTED_VALUE"""),"Marketing")</f>
        <v>Marketing</v>
      </c>
      <c r="U121" s="43" t="str">
        <f>IFERROR(__xludf.DUMMYFUNCTION("""COMPUTED_VALUE"""),"Marketing")</f>
        <v>Marketing</v>
      </c>
      <c r="V121" s="43" t="str">
        <f>IFERROR(__xludf.DUMMYFUNCTION("""COMPUTED_VALUE"""),"UNV Maroua")</f>
        <v>UNV Maroua</v>
      </c>
      <c r="W121" s="43" t="str">
        <f>IFERROR(__xludf.DUMMYFUNCTION("""COMPUTED_VALUE"""),"2019-11-02T06:48:43Z")</f>
        <v>2019-11-02T06:48:43Z</v>
      </c>
      <c r="X121" s="43"/>
      <c r="Y121" s="43"/>
      <c r="Z121" s="43"/>
    </row>
    <row r="122" hidden="1">
      <c r="A122" s="43" t="str">
        <f>IFERROR(__xludf.DUMMYFUNCTION("""COMPUTED_VALUE"""),"5204582_1280733")</f>
        <v>5204582_1280733</v>
      </c>
      <c r="B122" s="43" t="str">
        <f>IFERROR(__xludf.DUMMYFUNCTION("""COMPUTED_VALUE"""),"nada alsamman")</f>
        <v>nada alsamman</v>
      </c>
      <c r="C122" s="43" t="str">
        <f>IFERROR(__xludf.DUMMYFUNCTION("""COMPUTED_VALUE"""),"realized")</f>
        <v>realized</v>
      </c>
      <c r="D122" s="43" t="str">
        <f>IFERROR(__xludf.DUMMYFUNCTION("""COMPUTED_VALUE"""),"No")</f>
        <v>No</v>
      </c>
      <c r="E122" s="43" t="str">
        <f>IFERROR(__xludf.DUMMYFUNCTION("""COMPUTED_VALUE"""),"p_e1fa441756d17c10a6654a074c756dfdd10fcd78@inbound.aiesec.org")</f>
        <v>p_e1fa441756d17c10a6654a074c756dfdd10fcd78@inbound.aiesec.org</v>
      </c>
      <c r="F122" s="43">
        <f>IFERROR(__xludf.DUMMYFUNCTION("""COMPUTED_VALUE"""),2.05199287E8)</f>
        <v>205199287</v>
      </c>
      <c r="G122" s="43" t="str">
        <f>IFERROR(__xludf.DUMMYFUNCTION("""COMPUTED_VALUE"""),"Hungary")</f>
        <v>Hungary</v>
      </c>
      <c r="H122" s="43" t="str">
        <f>IFERROR(__xludf.DUMMYFUNCTION("""COMPUTED_VALUE"""),"BME - Budapest")</f>
        <v>BME - Budapest</v>
      </c>
      <c r="I122" s="43" t="str">
        <f>IFERROR(__xludf.DUMMYFUNCTION("""COMPUTED_VALUE"""),"Turkey")</f>
        <v>Turkey</v>
      </c>
      <c r="J122" s="43" t="str">
        <f>IFERROR(__xludf.DUMMYFUNCTION("""COMPUTED_VALUE"""),"ANTALYA")</f>
        <v>ANTALYA</v>
      </c>
      <c r="K122" s="44" t="str">
        <f>IFERROR(__xludf.DUMMYFUNCTION("""COMPUTED_VALUE"""),"https://expa.aiesec.org/opportunities/1280733")</f>
        <v>https://expa.aiesec.org/opportunities/1280733</v>
      </c>
      <c r="L122" s="43" t="str">
        <f>IFERROR(__xludf.DUMMYFUNCTION("""COMPUTED_VALUE"""),"GTa")</f>
        <v>GTa</v>
      </c>
      <c r="M122" s="43" t="str">
        <f>IFERROR(__xludf.DUMMYFUNCTION("""COMPUTED_VALUE"""),"long")</f>
        <v>long</v>
      </c>
      <c r="N122" s="45">
        <f>IFERROR(__xludf.DUMMYFUNCTION("""COMPUTED_VALUE"""),44989.0)</f>
        <v>44989</v>
      </c>
      <c r="O122" s="45">
        <f>IFERROR(__xludf.DUMMYFUNCTION("""COMPUTED_VALUE"""),45032.0)</f>
        <v>45032</v>
      </c>
      <c r="P122" s="45">
        <f>IFERROR(__xludf.DUMMYFUNCTION("""COMPUTED_VALUE"""),45398.0)</f>
        <v>45398</v>
      </c>
      <c r="Q122" s="45">
        <f>IFERROR(__xludf.DUMMYFUNCTION("""COMPUTED_VALUE"""),45097.0)</f>
        <v>45097</v>
      </c>
      <c r="R122" s="45">
        <f>IFERROR(__xludf.DUMMYFUNCTION("""COMPUTED_VALUE"""),45463.0)</f>
        <v>45463</v>
      </c>
      <c r="S122" s="43"/>
      <c r="T122" s="43" t="str">
        <f>IFERROR(__xludf.DUMMYFUNCTION("""COMPUTED_VALUE"""),"Other")</f>
        <v>Other</v>
      </c>
      <c r="U122" s="43" t="str">
        <f>IFERROR(__xludf.DUMMYFUNCTION("""COMPUTED_VALUE"""),"Public Relations w/Meet2Talk")</f>
        <v>Public Relations w/Meet2Talk</v>
      </c>
      <c r="V122" s="43" t="str">
        <f>IFERROR(__xludf.DUMMYFUNCTION("""COMPUTED_VALUE"""),"Szent István Egyetem")</f>
        <v>Szent István Egyetem</v>
      </c>
      <c r="W122" s="43" t="str">
        <f>IFERROR(__xludf.DUMMYFUNCTION("""COMPUTED_VALUE"""),"2023-03-03T13:10:16Z")</f>
        <v>2023-03-03T13:10:16Z</v>
      </c>
      <c r="X122" s="43"/>
      <c r="Y122" s="43"/>
      <c r="Z122" s="43"/>
    </row>
    <row r="123" hidden="1">
      <c r="A123" s="43" t="str">
        <f>IFERROR(__xludf.DUMMYFUNCTION("""COMPUTED_VALUE"""),"5180207_1279548")</f>
        <v>5180207_1279548</v>
      </c>
      <c r="B123" s="43" t="str">
        <f>IFERROR(__xludf.DUMMYFUNCTION("""COMPUTED_VALUE"""),"Saša Stajić")</f>
        <v>Saša Stajić</v>
      </c>
      <c r="C123" s="43" t="str">
        <f>IFERROR(__xludf.DUMMYFUNCTION("""COMPUTED_VALUE"""),"realized")</f>
        <v>realized</v>
      </c>
      <c r="D123" s="43" t="str">
        <f>IFERROR(__xludf.DUMMYFUNCTION("""COMPUTED_VALUE"""),"No")</f>
        <v>No</v>
      </c>
      <c r="E123" s="43" t="str">
        <f>IFERROR(__xludf.DUMMYFUNCTION("""COMPUTED_VALUE"""),"p_f932431acd18b86d7b068a3abbc4bbca4f77021a@inbound.aiesec.org")</f>
        <v>p_f932431acd18b86d7b068a3abbc4bbca4f77021a@inbound.aiesec.org</v>
      </c>
      <c r="F123" s="43"/>
      <c r="G123" s="43" t="str">
        <f>IFERROR(__xludf.DUMMYFUNCTION("""COMPUTED_VALUE"""),"Bosnia and Herzegovina")</f>
        <v>Bosnia and Herzegovina</v>
      </c>
      <c r="H123" s="43" t="str">
        <f>IFERROR(__xludf.DUMMYFUNCTION("""COMPUTED_VALUE"""),"SARAJEVO")</f>
        <v>SARAJEVO</v>
      </c>
      <c r="I123" s="43" t="str">
        <f>IFERROR(__xludf.DUMMYFUNCTION("""COMPUTED_VALUE"""),"Turkey")</f>
        <v>Turkey</v>
      </c>
      <c r="J123" s="43" t="str">
        <f>IFERROR(__xludf.DUMMYFUNCTION("""COMPUTED_VALUE"""),"KOCAELI")</f>
        <v>KOCAELI</v>
      </c>
      <c r="K123" s="44" t="str">
        <f>IFERROR(__xludf.DUMMYFUNCTION("""COMPUTED_VALUE"""),"https://expa.aiesec.org/opportunities/1279548")</f>
        <v>https://expa.aiesec.org/opportunities/1279548</v>
      </c>
      <c r="L123" s="43" t="str">
        <f>IFERROR(__xludf.DUMMYFUNCTION("""COMPUTED_VALUE"""),"GTa")</f>
        <v>GTa</v>
      </c>
      <c r="M123" s="43" t="str">
        <f>IFERROR(__xludf.DUMMYFUNCTION("""COMPUTED_VALUE"""),"long")</f>
        <v>long</v>
      </c>
      <c r="N123" s="45">
        <f>IFERROR(__xludf.DUMMYFUNCTION("""COMPUTED_VALUE"""),44990.0)</f>
        <v>44990</v>
      </c>
      <c r="O123" s="45">
        <f>IFERROR(__xludf.DUMMYFUNCTION("""COMPUTED_VALUE"""),44986.0)</f>
        <v>44986</v>
      </c>
      <c r="P123" s="45">
        <f>IFERROR(__xludf.DUMMYFUNCTION("""COMPUTED_VALUE"""),45352.0)</f>
        <v>45352</v>
      </c>
      <c r="Q123" s="45">
        <f>IFERROR(__xludf.DUMMYFUNCTION("""COMPUTED_VALUE"""),45005.0)</f>
        <v>45005</v>
      </c>
      <c r="R123" s="45">
        <f>IFERROR(__xludf.DUMMYFUNCTION("""COMPUTED_VALUE"""),45371.0)</f>
        <v>45371</v>
      </c>
      <c r="S123" s="43"/>
      <c r="T123" s="43" t="str">
        <f>IFERROR(__xludf.DUMMYFUNCTION("""COMPUTED_VALUE"""),"Business Development")</f>
        <v>Business Development</v>
      </c>
      <c r="U123" s="43" t="str">
        <f>IFERROR(__xludf.DUMMYFUNCTION("""COMPUTED_VALUE"""),"Export Sales in EUROTRAY Company")</f>
        <v>Export Sales in EUROTRAY Company</v>
      </c>
      <c r="V123" s="43" t="str">
        <f>IFERROR(__xludf.DUMMYFUNCTION("""COMPUTED_VALUE"""),"-")</f>
        <v>-</v>
      </c>
      <c r="W123" s="43" t="str">
        <f>IFERROR(__xludf.DUMMYFUNCTION("""COMPUTED_VALUE"""),"2023-01-24T21:42:56Z")</f>
        <v>2023-01-24T21:42:56Z</v>
      </c>
      <c r="X123" s="43"/>
      <c r="Y123" s="43"/>
      <c r="Z123" s="43"/>
    </row>
    <row r="124" hidden="1">
      <c r="A124" s="43" t="str">
        <f>IFERROR(__xludf.DUMMYFUNCTION("""COMPUTED_VALUE"""),"4554639_1287255")</f>
        <v>4554639_1287255</v>
      </c>
      <c r="B124" s="43" t="str">
        <f>IFERROR(__xludf.DUMMYFUNCTION("""COMPUTED_VALUE"""),"Hilmi Kabir")</f>
        <v>Hilmi Kabir</v>
      </c>
      <c r="C124" s="43" t="str">
        <f>IFERROR(__xludf.DUMMYFUNCTION("""COMPUTED_VALUE"""),"realized")</f>
        <v>realized</v>
      </c>
      <c r="D124" s="43" t="str">
        <f>IFERROR(__xludf.DUMMYFUNCTION("""COMPUTED_VALUE"""),"No")</f>
        <v>No</v>
      </c>
      <c r="E124" s="43" t="str">
        <f>IFERROR(__xludf.DUMMYFUNCTION("""COMPUTED_VALUE"""),"p_ef2aaa4a4ff287e6455124424e501d04eaeeb5bb@inbound.aiesec.org")</f>
        <v>p_ef2aaa4a4ff287e6455124424e501d04eaeeb5bb@inbound.aiesec.org</v>
      </c>
      <c r="F124" s="43">
        <f>IFERROR(__xludf.DUMMYFUNCTION("""COMPUTED_VALUE"""),8.777291387E9)</f>
        <v>8777291387</v>
      </c>
      <c r="G124" s="43" t="str">
        <f>IFERROR(__xludf.DUMMYFUNCTION("""COMPUTED_VALUE"""),"India")</f>
        <v>India</v>
      </c>
      <c r="H124" s="43" t="str">
        <f>IFERROR(__xludf.DUMMYFUNCTION("""COMPUTED_VALUE"""),"Kolkata")</f>
        <v>Kolkata</v>
      </c>
      <c r="I124" s="43" t="str">
        <f>IFERROR(__xludf.DUMMYFUNCTION("""COMPUTED_VALUE"""),"Turkey")</f>
        <v>Turkey</v>
      </c>
      <c r="J124" s="43" t="str">
        <f>IFERROR(__xludf.DUMMYFUNCTION("""COMPUTED_VALUE"""),"KOCAELI")</f>
        <v>KOCAELI</v>
      </c>
      <c r="K124" s="44" t="str">
        <f>IFERROR(__xludf.DUMMYFUNCTION("""COMPUTED_VALUE"""),"https://expa.aiesec.org/opportunities/1287255")</f>
        <v>https://expa.aiesec.org/opportunities/1287255</v>
      </c>
      <c r="L124" s="43" t="str">
        <f>IFERROR(__xludf.DUMMYFUNCTION("""COMPUTED_VALUE"""),"GTa")</f>
        <v>GTa</v>
      </c>
      <c r="M124" s="43" t="str">
        <f>IFERROR(__xludf.DUMMYFUNCTION("""COMPUTED_VALUE"""),"long")</f>
        <v>long</v>
      </c>
      <c r="N124" s="45">
        <f>IFERROR(__xludf.DUMMYFUNCTION("""COMPUTED_VALUE"""),44998.0)</f>
        <v>44998</v>
      </c>
      <c r="O124" s="45">
        <f>IFERROR(__xludf.DUMMYFUNCTION("""COMPUTED_VALUE"""),45012.0)</f>
        <v>45012</v>
      </c>
      <c r="P124" s="45">
        <f>IFERROR(__xludf.DUMMYFUNCTION("""COMPUTED_VALUE"""),45366.0)</f>
        <v>45366</v>
      </c>
      <c r="Q124" s="45">
        <f>IFERROR(__xludf.DUMMYFUNCTION("""COMPUTED_VALUE"""),45005.0)</f>
        <v>45005</v>
      </c>
      <c r="R124" s="45">
        <f>IFERROR(__xludf.DUMMYFUNCTION("""COMPUTED_VALUE"""),45366.0)</f>
        <v>45366</v>
      </c>
      <c r="S124" s="43"/>
      <c r="T124" s="43" t="str">
        <f>IFERROR(__xludf.DUMMYFUNCTION("""COMPUTED_VALUE"""),"Engineering")</f>
        <v>Engineering</v>
      </c>
      <c r="U124" s="43" t="str">
        <f>IFERROR(__xludf.DUMMYFUNCTION("""COMPUTED_VALUE"""),"Mechanical Engineer in DAĞGAZ Company")</f>
        <v>Mechanical Engineer in DAĞGAZ Company</v>
      </c>
      <c r="V124" s="43" t="str">
        <f>IFERROR(__xludf.DUMMYFUNCTION("""COMPUTED_VALUE"""),"Narula Institue of Technology, Kolkata")</f>
        <v>Narula Institue of Technology, Kolkata</v>
      </c>
      <c r="W124" s="43" t="str">
        <f>IFERROR(__xludf.DUMMYFUNCTION("""COMPUTED_VALUE"""),"2021-02-22T14:21:06Z")</f>
        <v>2021-02-22T14:21:06Z</v>
      </c>
      <c r="X124" s="43"/>
      <c r="Y124" s="43"/>
      <c r="Z124" s="43"/>
    </row>
    <row r="125" hidden="1">
      <c r="A125" s="43" t="str">
        <f>IFERROR(__xludf.DUMMYFUNCTION("""COMPUTED_VALUE"""),"5191285_1289255")</f>
        <v>5191285_1289255</v>
      </c>
      <c r="B125" s="43" t="str">
        <f>IFERROR(__xludf.DUMMYFUNCTION("""COMPUTED_VALUE"""),"Youssef Ben Amara")</f>
        <v>Youssef Ben Amara</v>
      </c>
      <c r="C125" s="43" t="str">
        <f>IFERROR(__xludf.DUMMYFUNCTION("""COMPUTED_VALUE"""),"realized")</f>
        <v>realized</v>
      </c>
      <c r="D125" s="43" t="str">
        <f>IFERROR(__xludf.DUMMYFUNCTION("""COMPUTED_VALUE"""),"No")</f>
        <v>No</v>
      </c>
      <c r="E125" s="43" t="str">
        <f>IFERROR(__xludf.DUMMYFUNCTION("""COMPUTED_VALUE"""),"p_e6840ee6dac68a11f971d64113e73730371c7160@inbound.aiesec.org")</f>
        <v>p_e6840ee6dac68a11f971d64113e73730371c7160@inbound.aiesec.org</v>
      </c>
      <c r="F125" s="43">
        <f>IFERROR(__xludf.DUMMYFUNCTION("""COMPUTED_VALUE"""),5.0463944E7)</f>
        <v>50463944</v>
      </c>
      <c r="G125" s="43" t="str">
        <f>IFERROR(__xludf.DUMMYFUNCTION("""COMPUTED_VALUE"""),"Tunisia")</f>
        <v>Tunisia</v>
      </c>
      <c r="H125" s="43" t="str">
        <f>IFERROR(__xludf.DUMMYFUNCTION("""COMPUTED_VALUE"""),"Carthage")</f>
        <v>Carthage</v>
      </c>
      <c r="I125" s="43" t="str">
        <f>IFERROR(__xludf.DUMMYFUNCTION("""COMPUTED_VALUE"""),"Turkey")</f>
        <v>Turkey</v>
      </c>
      <c r="J125" s="43" t="str">
        <f>IFERROR(__xludf.DUMMYFUNCTION("""COMPUTED_VALUE"""),"ISTANBUL")</f>
        <v>ISTANBUL</v>
      </c>
      <c r="K125" s="44" t="str">
        <f>IFERROR(__xludf.DUMMYFUNCTION("""COMPUTED_VALUE"""),"https://expa.aiesec.org/opportunities/1289255")</f>
        <v>https://expa.aiesec.org/opportunities/1289255</v>
      </c>
      <c r="L125" s="43" t="str">
        <f>IFERROR(__xludf.DUMMYFUNCTION("""COMPUTED_VALUE"""),"GTa")</f>
        <v>GTa</v>
      </c>
      <c r="M125" s="43" t="str">
        <f>IFERROR(__xludf.DUMMYFUNCTION("""COMPUTED_VALUE"""),"long")</f>
        <v>long</v>
      </c>
      <c r="N125" s="45">
        <f>IFERROR(__xludf.DUMMYFUNCTION("""COMPUTED_VALUE"""),44999.0)</f>
        <v>44999</v>
      </c>
      <c r="O125" s="45">
        <f>IFERROR(__xludf.DUMMYFUNCTION("""COMPUTED_VALUE"""),45005.0)</f>
        <v>45005</v>
      </c>
      <c r="P125" s="45">
        <f>IFERROR(__xludf.DUMMYFUNCTION("""COMPUTED_VALUE"""),45548.0)</f>
        <v>45548</v>
      </c>
      <c r="Q125" s="45">
        <f>IFERROR(__xludf.DUMMYFUNCTION("""COMPUTED_VALUE"""),45075.0)</f>
        <v>45075</v>
      </c>
      <c r="R125" s="45">
        <f>IFERROR(__xludf.DUMMYFUNCTION("""COMPUTED_VALUE"""),45625.0)</f>
        <v>45625</v>
      </c>
      <c r="S125" s="43"/>
      <c r="T125" s="43" t="str">
        <f>IFERROR(__xludf.DUMMYFUNCTION("""COMPUTED_VALUE"""),"Business Administration")</f>
        <v>Business Administration</v>
      </c>
      <c r="U125" s="43" t="str">
        <f>IFERROR(__xludf.DUMMYFUNCTION("""COMPUTED_VALUE"""),"Telesales Specialist in Istanbul (French Speaker)")</f>
        <v>Telesales Specialist in Istanbul (French Speaker)</v>
      </c>
      <c r="V125" s="43" t="str">
        <f>IFERROR(__xludf.DUMMYFUNCTION("""COMPUTED_VALUE"""),"EBS : ESPIMA")</f>
        <v>EBS : ESPIMA</v>
      </c>
      <c r="W125" s="43" t="str">
        <f>IFERROR(__xludf.DUMMYFUNCTION("""COMPUTED_VALUE"""),"2023-02-15T12:20:41Z")</f>
        <v>2023-02-15T12:20:41Z</v>
      </c>
      <c r="X125" s="43"/>
      <c r="Y125" s="43"/>
      <c r="Z125" s="43"/>
    </row>
    <row r="126" hidden="1">
      <c r="A126" s="43" t="str">
        <f>IFERROR(__xludf.DUMMYFUNCTION("""COMPUTED_VALUE"""),"2919929_1292878")</f>
        <v>2919929_1292878</v>
      </c>
      <c r="B126" s="43" t="str">
        <f>IFERROR(__xludf.DUMMYFUNCTION("""COMPUTED_VALUE"""),"Tanya Maslennikova")</f>
        <v>Tanya Maslennikova</v>
      </c>
      <c r="C126" s="43" t="str">
        <f>IFERROR(__xludf.DUMMYFUNCTION("""COMPUTED_VALUE"""),"completed")</f>
        <v>completed</v>
      </c>
      <c r="D126" s="43" t="str">
        <f>IFERROR(__xludf.DUMMYFUNCTION("""COMPUTED_VALUE"""),"No")</f>
        <v>No</v>
      </c>
      <c r="E126" s="43" t="str">
        <f>IFERROR(__xludf.DUMMYFUNCTION("""COMPUTED_VALUE"""),"p_6df44fc1eeb516a055177cc705367dafa5c87465@inbound.aiesec.org")</f>
        <v>p_6df44fc1eeb516a055177cc705367dafa5c87465@inbound.aiesec.org</v>
      </c>
      <c r="F126" s="43"/>
      <c r="G126" s="43" t="str">
        <f>IFERROR(__xludf.DUMMYFUNCTION("""COMPUTED_VALUE"""),"Russia")</f>
        <v>Russia</v>
      </c>
      <c r="H126" s="43" t="str">
        <f>IFERROR(__xludf.DUMMYFUNCTION("""COMPUTED_VALUE"""),"MOSCOW")</f>
        <v>MOSCOW</v>
      </c>
      <c r="I126" s="43" t="str">
        <f>IFERROR(__xludf.DUMMYFUNCTION("""COMPUTED_VALUE"""),"Turkey")</f>
        <v>Turkey</v>
      </c>
      <c r="J126" s="43" t="str">
        <f>IFERROR(__xludf.DUMMYFUNCTION("""COMPUTED_VALUE"""),"KOCAELI")</f>
        <v>KOCAELI</v>
      </c>
      <c r="K126" s="44" t="str">
        <f>IFERROR(__xludf.DUMMYFUNCTION("""COMPUTED_VALUE"""),"https://expa.aiesec.org/opportunities/1292878")</f>
        <v>https://expa.aiesec.org/opportunities/1292878</v>
      </c>
      <c r="L126" s="43" t="str">
        <f>IFERROR(__xludf.DUMMYFUNCTION("""COMPUTED_VALUE"""),"GTa")</f>
        <v>GTa</v>
      </c>
      <c r="M126" s="43" t="str">
        <f>IFERROR(__xludf.DUMMYFUNCTION("""COMPUTED_VALUE"""),"short")</f>
        <v>short</v>
      </c>
      <c r="N126" s="45">
        <f>IFERROR(__xludf.DUMMYFUNCTION("""COMPUTED_VALUE"""),45001.0)</f>
        <v>45001</v>
      </c>
      <c r="O126" s="45">
        <f>IFERROR(__xludf.DUMMYFUNCTION("""COMPUTED_VALUE"""),45002.0)</f>
        <v>45002</v>
      </c>
      <c r="P126" s="45">
        <f>IFERROR(__xludf.DUMMYFUNCTION("""COMPUTED_VALUE"""),45085.0)</f>
        <v>45085</v>
      </c>
      <c r="Q126" s="45">
        <f>IFERROR(__xludf.DUMMYFUNCTION("""COMPUTED_VALUE"""),45005.0)</f>
        <v>45005</v>
      </c>
      <c r="R126" s="45">
        <f>IFERROR(__xludf.DUMMYFUNCTION("""COMPUTED_VALUE"""),45088.0)</f>
        <v>45088</v>
      </c>
      <c r="S126" s="43"/>
      <c r="T126" s="43" t="str">
        <f>IFERROR(__xludf.DUMMYFUNCTION("""COMPUTED_VALUE"""),"Marketing")</f>
        <v>Marketing</v>
      </c>
      <c r="U126" s="43" t="str">
        <f>IFERROR(__xludf.DUMMYFUNCTION("""COMPUTED_VALUE"""),"Marketing Specialist in Aliz Team")</f>
        <v>Marketing Specialist in Aliz Team</v>
      </c>
      <c r="V126" s="43" t="str">
        <f>IFERROR(__xludf.DUMMYFUNCTION("""COMPUTED_VALUE"""),"Moscow")</f>
        <v>Moscow</v>
      </c>
      <c r="W126" s="43" t="str">
        <f>IFERROR(__xludf.DUMMYFUNCTION("""COMPUTED_VALUE"""),"2018-12-04T20:25:16Z")</f>
        <v>2018-12-04T20:25:16Z</v>
      </c>
      <c r="X126" s="43"/>
      <c r="Y126" s="43"/>
      <c r="Z126" s="43"/>
    </row>
    <row r="127" hidden="1">
      <c r="A127" s="43" t="str">
        <f>IFERROR(__xludf.DUMMYFUNCTION("""COMPUTED_VALUE"""),"4376663_1292878")</f>
        <v>4376663_1292878</v>
      </c>
      <c r="B127" s="43" t="str">
        <f>IFERROR(__xludf.DUMMYFUNCTION("""COMPUTED_VALUE"""),"Nataliia Kalinina")</f>
        <v>Nataliia Kalinina</v>
      </c>
      <c r="C127" s="43" t="str">
        <f>IFERROR(__xludf.DUMMYFUNCTION("""COMPUTED_VALUE"""),"completed")</f>
        <v>completed</v>
      </c>
      <c r="D127" s="43" t="str">
        <f>IFERROR(__xludf.DUMMYFUNCTION("""COMPUTED_VALUE"""),"No")</f>
        <v>No</v>
      </c>
      <c r="E127" s="43" t="str">
        <f>IFERROR(__xludf.DUMMYFUNCTION("""COMPUTED_VALUE"""),"p_8ed30e6aa9e9a829dfdeca4692dd8e93d8d0b572@inbound.aiesec.org")</f>
        <v>p_8ed30e6aa9e9a829dfdeca4692dd8e93d8d0b572@inbound.aiesec.org</v>
      </c>
      <c r="F127" s="43">
        <f>IFERROR(__xludf.DUMMYFUNCTION("""COMPUTED_VALUE"""),9.777618584E9)</f>
        <v>9777618584</v>
      </c>
      <c r="G127" s="43" t="str">
        <f>IFERROR(__xludf.DUMMYFUNCTION("""COMPUTED_VALUE"""),"Russia")</f>
        <v>Russia</v>
      </c>
      <c r="H127" s="43" t="str">
        <f>IFERROR(__xludf.DUMMYFUNCTION("""COMPUTED_VALUE"""),"MOSCOW")</f>
        <v>MOSCOW</v>
      </c>
      <c r="I127" s="43" t="str">
        <f>IFERROR(__xludf.DUMMYFUNCTION("""COMPUTED_VALUE"""),"Turkey")</f>
        <v>Turkey</v>
      </c>
      <c r="J127" s="43" t="str">
        <f>IFERROR(__xludf.DUMMYFUNCTION("""COMPUTED_VALUE"""),"KOCAELI")</f>
        <v>KOCAELI</v>
      </c>
      <c r="K127" s="44" t="str">
        <f>IFERROR(__xludf.DUMMYFUNCTION("""COMPUTED_VALUE"""),"https://expa.aiesec.org/opportunities/1292878")</f>
        <v>https://expa.aiesec.org/opportunities/1292878</v>
      </c>
      <c r="L127" s="43" t="str">
        <f>IFERROR(__xludf.DUMMYFUNCTION("""COMPUTED_VALUE"""),"GTa")</f>
        <v>GTa</v>
      </c>
      <c r="M127" s="43" t="str">
        <f>IFERROR(__xludf.DUMMYFUNCTION("""COMPUTED_VALUE"""),"short")</f>
        <v>short</v>
      </c>
      <c r="N127" s="45">
        <f>IFERROR(__xludf.DUMMYFUNCTION("""COMPUTED_VALUE"""),45001.0)</f>
        <v>45001</v>
      </c>
      <c r="O127" s="45">
        <f>IFERROR(__xludf.DUMMYFUNCTION("""COMPUTED_VALUE"""),45002.0)</f>
        <v>45002</v>
      </c>
      <c r="P127" s="45">
        <f>IFERROR(__xludf.DUMMYFUNCTION("""COMPUTED_VALUE"""),45085.0)</f>
        <v>45085</v>
      </c>
      <c r="Q127" s="45">
        <f>IFERROR(__xludf.DUMMYFUNCTION("""COMPUTED_VALUE"""),45005.0)</f>
        <v>45005</v>
      </c>
      <c r="R127" s="45">
        <f>IFERROR(__xludf.DUMMYFUNCTION("""COMPUTED_VALUE"""),45088.0)</f>
        <v>45088</v>
      </c>
      <c r="S127" s="43"/>
      <c r="T127" s="43" t="str">
        <f>IFERROR(__xludf.DUMMYFUNCTION("""COMPUTED_VALUE"""),"Marketing")</f>
        <v>Marketing</v>
      </c>
      <c r="U127" s="43" t="str">
        <f>IFERROR(__xludf.DUMMYFUNCTION("""COMPUTED_VALUE"""),"Marketing Specialist in Aliz Team")</f>
        <v>Marketing Specialist in Aliz Team</v>
      </c>
      <c r="V127" s="43" t="str">
        <f>IFERROR(__xludf.DUMMYFUNCTION("""COMPUTED_VALUE"""),"Moscow")</f>
        <v>Moscow</v>
      </c>
      <c r="W127" s="43" t="str">
        <f>IFERROR(__xludf.DUMMYFUNCTION("""COMPUTED_VALUE"""),"2020-09-23T11:12:03Z")</f>
        <v>2020-09-23T11:12:03Z</v>
      </c>
      <c r="X127" s="43"/>
      <c r="Y127" s="43"/>
      <c r="Z127" s="43"/>
    </row>
    <row r="128" hidden="1">
      <c r="A128" s="43" t="str">
        <f>IFERROR(__xludf.DUMMYFUNCTION("""COMPUTED_VALUE"""),"5211845_1288813")</f>
        <v>5211845_1288813</v>
      </c>
      <c r="B128" s="43" t="str">
        <f>IFERROR(__xludf.DUMMYFUNCTION("""COMPUTED_VALUE"""),"Arab Feriel")</f>
        <v>Arab Feriel</v>
      </c>
      <c r="C128" s="43" t="str">
        <f>IFERROR(__xludf.DUMMYFUNCTION("""COMPUTED_VALUE"""),"realization_broken")</f>
        <v>realization_broken</v>
      </c>
      <c r="D128" s="43" t="str">
        <f>IFERROR(__xludf.DUMMYFUNCTION("""COMPUTED_VALUE"""),"No")</f>
        <v>No</v>
      </c>
      <c r="E128" s="43" t="str">
        <f>IFERROR(__xludf.DUMMYFUNCTION("""COMPUTED_VALUE"""),"p_f09f03477accb3b680c33ff6239747712a91543f@inbound.aiesec.org")</f>
        <v>p_f09f03477accb3b680c33ff6239747712a91543f@inbound.aiesec.org</v>
      </c>
      <c r="F128" s="43">
        <f>IFERROR(__xludf.DUMMYFUNCTION("""COMPUTED_VALUE"""),5.382306476E9)</f>
        <v>5382306476</v>
      </c>
      <c r="G128" s="43" t="str">
        <f>IFERROR(__xludf.DUMMYFUNCTION("""COMPUTED_VALUE"""),"Algeria")</f>
        <v>Algeria</v>
      </c>
      <c r="H128" s="43" t="str">
        <f>IFERROR(__xludf.DUMMYFUNCTION("""COMPUTED_VALUE"""),"Bejaia")</f>
        <v>Bejaia</v>
      </c>
      <c r="I128" s="43" t="str">
        <f>IFERROR(__xludf.DUMMYFUNCTION("""COMPUTED_VALUE"""),"Turkey")</f>
        <v>Turkey</v>
      </c>
      <c r="J128" s="43" t="str">
        <f>IFERROR(__xludf.DUMMYFUNCTION("""COMPUTED_VALUE"""),"ISTANBUL WEST")</f>
        <v>ISTANBUL WEST</v>
      </c>
      <c r="K128" s="44" t="str">
        <f>IFERROR(__xludf.DUMMYFUNCTION("""COMPUTED_VALUE"""),"https://expa.aiesec.org/opportunities/1288813")</f>
        <v>https://expa.aiesec.org/opportunities/1288813</v>
      </c>
      <c r="L128" s="43" t="str">
        <f>IFERROR(__xludf.DUMMYFUNCTION("""COMPUTED_VALUE"""),"GTa")</f>
        <v>GTa</v>
      </c>
      <c r="M128" s="43" t="str">
        <f>IFERROR(__xludf.DUMMYFUNCTION("""COMPUTED_VALUE"""),"long")</f>
        <v>long</v>
      </c>
      <c r="N128" s="45">
        <f>IFERROR(__xludf.DUMMYFUNCTION("""COMPUTED_VALUE"""),45004.0)</f>
        <v>45004</v>
      </c>
      <c r="O128" s="45">
        <f>IFERROR(__xludf.DUMMYFUNCTION("""COMPUTED_VALUE"""),45047.0)</f>
        <v>45047</v>
      </c>
      <c r="P128" s="45">
        <f>IFERROR(__xludf.DUMMYFUNCTION("""COMPUTED_VALUE"""),45412.0)</f>
        <v>45412</v>
      </c>
      <c r="Q128" s="45"/>
      <c r="R128" s="45"/>
      <c r="S128" s="43"/>
      <c r="T128" s="43" t="str">
        <f>IFERROR(__xludf.DUMMYFUNCTION("""COMPUTED_VALUE"""),"Marketing")</f>
        <v>Marketing</v>
      </c>
      <c r="U128" s="43" t="str">
        <f>IFERROR(__xludf.DUMMYFUNCTION("""COMPUTED_VALUE"""),"Call Center Customer Representative")</f>
        <v>Call Center Customer Representative</v>
      </c>
      <c r="V128" s="43" t="str">
        <f>IFERROR(__xludf.DUMMYFUNCTION("""COMPUTED_VALUE"""),"AIESEC in Bejaia")</f>
        <v>AIESEC in Bejaia</v>
      </c>
      <c r="W128" s="43" t="str">
        <f>IFERROR(__xludf.DUMMYFUNCTION("""COMPUTED_VALUE"""),"2023-03-10T09:59:27Z")</f>
        <v>2023-03-10T09:59:27Z</v>
      </c>
      <c r="X128" s="43"/>
      <c r="Y128" s="43"/>
      <c r="Z128" s="43"/>
    </row>
    <row r="129" hidden="1">
      <c r="A129" s="43" t="str">
        <f>IFERROR(__xludf.DUMMYFUNCTION("""COMPUTED_VALUE"""),"5177211_1292878")</f>
        <v>5177211_1292878</v>
      </c>
      <c r="B129" s="43" t="str">
        <f>IFERROR(__xludf.DUMMYFUNCTION("""COMPUTED_VALUE"""),"Olesia Salakhova")</f>
        <v>Olesia Salakhova</v>
      </c>
      <c r="C129" s="43" t="str">
        <f>IFERROR(__xludf.DUMMYFUNCTION("""COMPUTED_VALUE"""),"finished")</f>
        <v>finished</v>
      </c>
      <c r="D129" s="43" t="str">
        <f>IFERROR(__xludf.DUMMYFUNCTION("""COMPUTED_VALUE"""),"No")</f>
        <v>No</v>
      </c>
      <c r="E129" s="43" t="str">
        <f>IFERROR(__xludf.DUMMYFUNCTION("""COMPUTED_VALUE"""),"p_0b08fc338b5f9ae67b33bab0d8a7a0e2be075908@inbound.aiesec.org")</f>
        <v>p_0b08fc338b5f9ae67b33bab0d8a7a0e2be075908@inbound.aiesec.org</v>
      </c>
      <c r="F129" s="43"/>
      <c r="G129" s="43" t="str">
        <f>IFERROR(__xludf.DUMMYFUNCTION("""COMPUTED_VALUE"""),"Russia")</f>
        <v>Russia</v>
      </c>
      <c r="H129" s="43" t="str">
        <f>IFERROR(__xludf.DUMMYFUNCTION("""COMPUTED_VALUE"""),"MOSCOW")</f>
        <v>MOSCOW</v>
      </c>
      <c r="I129" s="43" t="str">
        <f>IFERROR(__xludf.DUMMYFUNCTION("""COMPUTED_VALUE"""),"Turkey")</f>
        <v>Turkey</v>
      </c>
      <c r="J129" s="43" t="str">
        <f>IFERROR(__xludf.DUMMYFUNCTION("""COMPUTED_VALUE"""),"KOCAELI")</f>
        <v>KOCAELI</v>
      </c>
      <c r="K129" s="44" t="str">
        <f>IFERROR(__xludf.DUMMYFUNCTION("""COMPUTED_VALUE"""),"https://expa.aiesec.org/opportunities/1292878")</f>
        <v>https://expa.aiesec.org/opportunities/1292878</v>
      </c>
      <c r="L129" s="43" t="str">
        <f>IFERROR(__xludf.DUMMYFUNCTION("""COMPUTED_VALUE"""),"GTa")</f>
        <v>GTa</v>
      </c>
      <c r="M129" s="43" t="str">
        <f>IFERROR(__xludf.DUMMYFUNCTION("""COMPUTED_VALUE"""),"short")</f>
        <v>short</v>
      </c>
      <c r="N129" s="45">
        <f>IFERROR(__xludf.DUMMYFUNCTION("""COMPUTED_VALUE"""),45006.0)</f>
        <v>45006</v>
      </c>
      <c r="O129" s="45">
        <f>IFERROR(__xludf.DUMMYFUNCTION("""COMPUTED_VALUE"""),45002.0)</f>
        <v>45002</v>
      </c>
      <c r="P129" s="45">
        <f>IFERROR(__xludf.DUMMYFUNCTION("""COMPUTED_VALUE"""),45085.0)</f>
        <v>45085</v>
      </c>
      <c r="Q129" s="45">
        <f>IFERROR(__xludf.DUMMYFUNCTION("""COMPUTED_VALUE"""),45021.0)</f>
        <v>45021</v>
      </c>
      <c r="R129" s="45">
        <f>IFERROR(__xludf.DUMMYFUNCTION("""COMPUTED_VALUE"""),45108.0)</f>
        <v>45108</v>
      </c>
      <c r="S129" s="43"/>
      <c r="T129" s="43" t="str">
        <f>IFERROR(__xludf.DUMMYFUNCTION("""COMPUTED_VALUE"""),"Marketing")</f>
        <v>Marketing</v>
      </c>
      <c r="U129" s="43" t="str">
        <f>IFERROR(__xludf.DUMMYFUNCTION("""COMPUTED_VALUE"""),"Marketing Specialist in Aliz Team")</f>
        <v>Marketing Specialist in Aliz Team</v>
      </c>
      <c r="V129" s="43" t="str">
        <f>IFERROR(__xludf.DUMMYFUNCTION("""COMPUTED_VALUE"""),"Moscow")</f>
        <v>Moscow</v>
      </c>
      <c r="W129" s="43" t="str">
        <f>IFERROR(__xludf.DUMMYFUNCTION("""COMPUTED_VALUE"""),"2023-01-16T18:30:30Z")</f>
        <v>2023-01-16T18:30:30Z</v>
      </c>
      <c r="X129" s="43"/>
      <c r="Y129" s="43"/>
      <c r="Z129" s="43"/>
    </row>
    <row r="130" hidden="1">
      <c r="A130" s="43" t="str">
        <f>IFERROR(__xludf.DUMMYFUNCTION("""COMPUTED_VALUE"""),"1168987_1292678")</f>
        <v>1168987_1292678</v>
      </c>
      <c r="B130" s="43" t="str">
        <f>IFERROR(__xludf.DUMMYFUNCTION("""COMPUTED_VALUE"""),"Luiza Marina Reis Carvalho")</f>
        <v>Luiza Marina Reis Carvalho</v>
      </c>
      <c r="C130" s="43" t="str">
        <f>IFERROR(__xludf.DUMMYFUNCTION("""COMPUTED_VALUE"""),"approved")</f>
        <v>approved</v>
      </c>
      <c r="D130" s="43" t="str">
        <f>IFERROR(__xludf.DUMMYFUNCTION("""COMPUTED_VALUE"""),"No")</f>
        <v>No</v>
      </c>
      <c r="E130" s="43" t="str">
        <f>IFERROR(__xludf.DUMMYFUNCTION("""COMPUTED_VALUE"""),"p_44120f7cbdc6c15cb82a13ba9c8e3c0d2285510c@inbound.aiesec.org")</f>
        <v>p_44120f7cbdc6c15cb82a13ba9c8e3c0d2285510c@inbound.aiesec.org</v>
      </c>
      <c r="F130" s="43">
        <f>IFERROR(__xludf.DUMMYFUNCTION("""COMPUTED_VALUE"""),6.1992755445E10)</f>
        <v>61992755445</v>
      </c>
      <c r="G130" s="43" t="str">
        <f>IFERROR(__xludf.DUMMYFUNCTION("""COMPUTED_VALUE"""),"Brazil")</f>
        <v>Brazil</v>
      </c>
      <c r="H130" s="43" t="str">
        <f>IFERROR(__xludf.DUMMYFUNCTION("""COMPUTED_VALUE"""),"BRASÍLIA")</f>
        <v>BRASÍLIA</v>
      </c>
      <c r="I130" s="43" t="str">
        <f>IFERROR(__xludf.DUMMYFUNCTION("""COMPUTED_VALUE"""),"Turkey")</f>
        <v>Turkey</v>
      </c>
      <c r="J130" s="43" t="str">
        <f>IFERROR(__xludf.DUMMYFUNCTION("""COMPUTED_VALUE"""),"ISTANBUL WEST")</f>
        <v>ISTANBUL WEST</v>
      </c>
      <c r="K130" s="44" t="str">
        <f>IFERROR(__xludf.DUMMYFUNCTION("""COMPUTED_VALUE"""),"https://expa.aiesec.org/opportunities/1292678")</f>
        <v>https://expa.aiesec.org/opportunities/1292678</v>
      </c>
      <c r="L130" s="43" t="str">
        <f>IFERROR(__xludf.DUMMYFUNCTION("""COMPUTED_VALUE"""),"GTa")</f>
        <v>GTa</v>
      </c>
      <c r="M130" s="43" t="str">
        <f>IFERROR(__xludf.DUMMYFUNCTION("""COMPUTED_VALUE"""),"long")</f>
        <v>long</v>
      </c>
      <c r="N130" s="45">
        <f>IFERROR(__xludf.DUMMYFUNCTION("""COMPUTED_VALUE"""),45008.0)</f>
        <v>45008</v>
      </c>
      <c r="O130" s="45">
        <f>IFERROR(__xludf.DUMMYFUNCTION("""COMPUTED_VALUE"""),45184.0)</f>
        <v>45184</v>
      </c>
      <c r="P130" s="45">
        <f>IFERROR(__xludf.DUMMYFUNCTION("""COMPUTED_VALUE"""),45548.0)</f>
        <v>45548</v>
      </c>
      <c r="Q130" s="45"/>
      <c r="R130" s="45"/>
      <c r="S130" s="43"/>
      <c r="T130" s="43" t="str">
        <f>IFERROR(__xludf.DUMMYFUNCTION("""COMPUTED_VALUE"""),"Marketing")</f>
        <v>Marketing</v>
      </c>
      <c r="U130" s="43" t="str">
        <f>IFERROR(__xludf.DUMMYFUNCTION("""COMPUTED_VALUE"""),"Sales - Marketing Represantative")</f>
        <v>Sales - Marketing Represantative</v>
      </c>
      <c r="V130" s="43" t="str">
        <f>IFERROR(__xludf.DUMMYFUNCTION("""COMPUTED_VALUE"""),"-")</f>
        <v>-</v>
      </c>
      <c r="W130" s="43" t="str">
        <f>IFERROR(__xludf.DUMMYFUNCTION("""COMPUTED_VALUE"""),"2016-09-29T19:21:52Z")</f>
        <v>2016-09-29T19:21:52Z</v>
      </c>
      <c r="X130" s="43"/>
      <c r="Y130" s="43"/>
      <c r="Z130" s="43"/>
    </row>
    <row r="131" hidden="1">
      <c r="A131" s="43" t="str">
        <f>IFERROR(__xludf.DUMMYFUNCTION("""COMPUTED_VALUE"""),"5132964_1285555")</f>
        <v>5132964_1285555</v>
      </c>
      <c r="B131" s="43" t="str">
        <f>IFERROR(__xludf.DUMMYFUNCTION("""COMPUTED_VALUE"""),"Salma EL BEKKOURI ELALAMI")</f>
        <v>Salma EL BEKKOURI ELALAMI</v>
      </c>
      <c r="C131" s="43" t="str">
        <f>IFERROR(__xludf.DUMMYFUNCTION("""COMPUTED_VALUE"""),"realized")</f>
        <v>realized</v>
      </c>
      <c r="D131" s="43" t="str">
        <f>IFERROR(__xludf.DUMMYFUNCTION("""COMPUTED_VALUE"""),"No")</f>
        <v>No</v>
      </c>
      <c r="E131" s="43" t="str">
        <f>IFERROR(__xludf.DUMMYFUNCTION("""COMPUTED_VALUE"""),"p_bb65d21cf2d421d57886cef2067050a4d2d3acb3@inbound.aiesec.org")</f>
        <v>p_bb65d21cf2d421d57886cef2067050a4d2d3acb3@inbound.aiesec.org</v>
      </c>
      <c r="F131" s="43">
        <f>IFERROR(__xludf.DUMMYFUNCTION("""COMPUTED_VALUE"""),6.34860646E8)</f>
        <v>634860646</v>
      </c>
      <c r="G131" s="43" t="str">
        <f>IFERROR(__xludf.DUMMYFUNCTION("""COMPUTED_VALUE"""),"Morocco")</f>
        <v>Morocco</v>
      </c>
      <c r="H131" s="43" t="str">
        <f>IFERROR(__xludf.DUMMYFUNCTION("""COMPUTED_VALUE"""),"Morocco (MC)")</f>
        <v>Morocco (MC)</v>
      </c>
      <c r="I131" s="43" t="str">
        <f>IFERROR(__xludf.DUMMYFUNCTION("""COMPUTED_VALUE"""),"Turkey")</f>
        <v>Turkey</v>
      </c>
      <c r="J131" s="43" t="str">
        <f>IFERROR(__xludf.DUMMYFUNCTION("""COMPUTED_VALUE"""),"ISTANBUL")</f>
        <v>ISTANBUL</v>
      </c>
      <c r="K131" s="44" t="str">
        <f>IFERROR(__xludf.DUMMYFUNCTION("""COMPUTED_VALUE"""),"https://expa.aiesec.org/opportunities/1285555")</f>
        <v>https://expa.aiesec.org/opportunities/1285555</v>
      </c>
      <c r="L131" s="43" t="str">
        <f>IFERROR(__xludf.DUMMYFUNCTION("""COMPUTED_VALUE"""),"GTa")</f>
        <v>GTa</v>
      </c>
      <c r="M131" s="43" t="str">
        <f>IFERROR(__xludf.DUMMYFUNCTION("""COMPUTED_VALUE"""),"long")</f>
        <v>long</v>
      </c>
      <c r="N131" s="45">
        <f>IFERROR(__xludf.DUMMYFUNCTION("""COMPUTED_VALUE"""),45008.0)</f>
        <v>45008</v>
      </c>
      <c r="O131" s="45">
        <f>IFERROR(__xludf.DUMMYFUNCTION("""COMPUTED_VALUE"""),45026.0)</f>
        <v>45026</v>
      </c>
      <c r="P131" s="45">
        <f>IFERROR(__xludf.DUMMYFUNCTION("""COMPUTED_VALUE"""),45394.0)</f>
        <v>45394</v>
      </c>
      <c r="Q131" s="45">
        <f>IFERROR(__xludf.DUMMYFUNCTION("""COMPUTED_VALUE"""),45075.0)</f>
        <v>45075</v>
      </c>
      <c r="R131" s="45">
        <f>IFERROR(__xludf.DUMMYFUNCTION("""COMPUTED_VALUE"""),45443.0)</f>
        <v>45443</v>
      </c>
      <c r="S131" s="43"/>
      <c r="T131" s="43" t="str">
        <f>IFERROR(__xludf.DUMMYFUNCTION("""COMPUTED_VALUE"""),"Business Administration")</f>
        <v>Business Administration</v>
      </c>
      <c r="U131" s="43" t="str">
        <f>IFERROR(__xludf.DUMMYFUNCTION("""COMPUTED_VALUE"""),"Customer Support Junior Specialist")</f>
        <v>Customer Support Junior Specialist</v>
      </c>
      <c r="V131" s="43" t="str">
        <f>IFERROR(__xludf.DUMMYFUNCTION("""COMPUTED_VALUE"""),"Other-RABAT")</f>
        <v>Other-RABAT</v>
      </c>
      <c r="W131" s="43" t="str">
        <f>IFERROR(__xludf.DUMMYFUNCTION("""COMPUTED_VALUE"""),"2022-10-14T15:43:31Z")</f>
        <v>2022-10-14T15:43:31Z</v>
      </c>
      <c r="X131" s="43"/>
      <c r="Y131" s="43"/>
      <c r="Z131" s="43"/>
    </row>
    <row r="132" hidden="1">
      <c r="A132" s="43" t="str">
        <f>IFERROR(__xludf.DUMMYFUNCTION("""COMPUTED_VALUE"""),"5225909_1285010")</f>
        <v>5225909_1285010</v>
      </c>
      <c r="B132" s="43" t="str">
        <f>IFERROR(__xludf.DUMMYFUNCTION("""COMPUTED_VALUE"""),"Khaled Baffoun")</f>
        <v>Khaled Baffoun</v>
      </c>
      <c r="C132" s="43" t="str">
        <f>IFERROR(__xludf.DUMMYFUNCTION("""COMPUTED_VALUE"""),"realized")</f>
        <v>realized</v>
      </c>
      <c r="D132" s="43" t="str">
        <f>IFERROR(__xludf.DUMMYFUNCTION("""COMPUTED_VALUE"""),"No")</f>
        <v>No</v>
      </c>
      <c r="E132" s="43" t="str">
        <f>IFERROR(__xludf.DUMMYFUNCTION("""COMPUTED_VALUE"""),"p_84b8730cf7be068681bd0976190ed36141242398@inbound.aiesec.org")</f>
        <v>p_84b8730cf7be068681bd0976190ed36141242398@inbound.aiesec.org</v>
      </c>
      <c r="F132" s="43"/>
      <c r="G132" s="43" t="str">
        <f>IFERROR(__xludf.DUMMYFUNCTION("""COMPUTED_VALUE"""),"Tunisia")</f>
        <v>Tunisia</v>
      </c>
      <c r="H132" s="43" t="str">
        <f>IFERROR(__xludf.DUMMYFUNCTION("""COMPUTED_VALUE"""),"BARDO")</f>
        <v>BARDO</v>
      </c>
      <c r="I132" s="43" t="str">
        <f>IFERROR(__xludf.DUMMYFUNCTION("""COMPUTED_VALUE"""),"Turkey")</f>
        <v>Turkey</v>
      </c>
      <c r="J132" s="43" t="str">
        <f>IFERROR(__xludf.DUMMYFUNCTION("""COMPUTED_VALUE"""),"ISTANBUL")</f>
        <v>ISTANBUL</v>
      </c>
      <c r="K132" s="44" t="str">
        <f>IFERROR(__xludf.DUMMYFUNCTION("""COMPUTED_VALUE"""),"https://expa.aiesec.org/opportunities/1285010")</f>
        <v>https://expa.aiesec.org/opportunities/1285010</v>
      </c>
      <c r="L132" s="43" t="str">
        <f>IFERROR(__xludf.DUMMYFUNCTION("""COMPUTED_VALUE"""),"GTa")</f>
        <v>GTa</v>
      </c>
      <c r="M132" s="43" t="str">
        <f>IFERROR(__xludf.DUMMYFUNCTION("""COMPUTED_VALUE"""),"long")</f>
        <v>long</v>
      </c>
      <c r="N132" s="45">
        <f>IFERROR(__xludf.DUMMYFUNCTION("""COMPUTED_VALUE"""),45009.0)</f>
        <v>45009</v>
      </c>
      <c r="O132" s="45">
        <f>IFERROR(__xludf.DUMMYFUNCTION("""COMPUTED_VALUE"""),45047.0)</f>
        <v>45047</v>
      </c>
      <c r="P132" s="45">
        <f>IFERROR(__xludf.DUMMYFUNCTION("""COMPUTED_VALUE"""),45415.0)</f>
        <v>45415</v>
      </c>
      <c r="Q132" s="45">
        <f>IFERROR(__xludf.DUMMYFUNCTION("""COMPUTED_VALUE"""),45118.0)</f>
        <v>45118</v>
      </c>
      <c r="R132" s="45">
        <f>IFERROR(__xludf.DUMMYFUNCTION("""COMPUTED_VALUE"""),45485.0)</f>
        <v>45485</v>
      </c>
      <c r="S132" s="43"/>
      <c r="T132" s="43" t="str">
        <f>IFERROR(__xludf.DUMMYFUNCTION("""COMPUTED_VALUE"""),"Information Technology")</f>
        <v>Information Technology</v>
      </c>
      <c r="U132" s="43" t="str">
        <f>IFERROR(__xludf.DUMMYFUNCTION("""COMPUTED_VALUE"""),"Full Stack Developer")</f>
        <v>Full Stack Developer</v>
      </c>
      <c r="V132" s="43" t="str">
        <f>IFERROR(__xludf.DUMMYFUNCTION("""COMPUTED_VALUE"""),"-")</f>
        <v>-</v>
      </c>
      <c r="W132" s="43" t="str">
        <f>IFERROR(__xludf.DUMMYFUNCTION("""COMPUTED_VALUE"""),"2023-03-24T14:23:11Z")</f>
        <v>2023-03-24T14:23:11Z</v>
      </c>
      <c r="X132" s="43"/>
      <c r="Y132" s="43"/>
      <c r="Z132" s="43"/>
    </row>
    <row r="133" hidden="1">
      <c r="A133" s="43" t="str">
        <f>IFERROR(__xludf.DUMMYFUNCTION("""COMPUTED_VALUE"""),"5226689_1289255")</f>
        <v>5226689_1289255</v>
      </c>
      <c r="B133" s="43" t="str">
        <f>IFERROR(__xludf.DUMMYFUNCTION("""COMPUTED_VALUE"""),"Sarah Yataghane")</f>
        <v>Sarah Yataghane</v>
      </c>
      <c r="C133" s="43" t="str">
        <f>IFERROR(__xludf.DUMMYFUNCTION("""COMPUTED_VALUE"""),"realized")</f>
        <v>realized</v>
      </c>
      <c r="D133" s="43" t="str">
        <f>IFERROR(__xludf.DUMMYFUNCTION("""COMPUTED_VALUE"""),"No")</f>
        <v>No</v>
      </c>
      <c r="E133" s="43" t="str">
        <f>IFERROR(__xludf.DUMMYFUNCTION("""COMPUTED_VALUE"""),"p_48e17e7082978fb6dcd3e17c8e2649f1141f8f81@inbound.aiesec.org")</f>
        <v>p_48e17e7082978fb6dcd3e17c8e2649f1141f8f81@inbound.aiesec.org</v>
      </c>
      <c r="F133" s="43">
        <f>IFERROR(__xludf.DUMMYFUNCTION("""COMPUTED_VALUE"""),5.41657304E8)</f>
        <v>541657304</v>
      </c>
      <c r="G133" s="43" t="str">
        <f>IFERROR(__xludf.DUMMYFUNCTION("""COMPUTED_VALUE"""),"Algeria")</f>
        <v>Algeria</v>
      </c>
      <c r="H133" s="43" t="str">
        <f>IFERROR(__xludf.DUMMYFUNCTION("""COMPUTED_VALUE"""),"Babez")</f>
        <v>Babez</v>
      </c>
      <c r="I133" s="43" t="str">
        <f>IFERROR(__xludf.DUMMYFUNCTION("""COMPUTED_VALUE"""),"Turkey")</f>
        <v>Turkey</v>
      </c>
      <c r="J133" s="43" t="str">
        <f>IFERROR(__xludf.DUMMYFUNCTION("""COMPUTED_VALUE"""),"ISTANBUL")</f>
        <v>ISTANBUL</v>
      </c>
      <c r="K133" s="44" t="str">
        <f>IFERROR(__xludf.DUMMYFUNCTION("""COMPUTED_VALUE"""),"https://expa.aiesec.org/opportunities/1289255")</f>
        <v>https://expa.aiesec.org/opportunities/1289255</v>
      </c>
      <c r="L133" s="43" t="str">
        <f>IFERROR(__xludf.DUMMYFUNCTION("""COMPUTED_VALUE"""),"GTa")</f>
        <v>GTa</v>
      </c>
      <c r="M133" s="43" t="str">
        <f>IFERROR(__xludf.DUMMYFUNCTION("""COMPUTED_VALUE"""),"long")</f>
        <v>long</v>
      </c>
      <c r="N133" s="45">
        <f>IFERROR(__xludf.DUMMYFUNCTION("""COMPUTED_VALUE"""),45010.0)</f>
        <v>45010</v>
      </c>
      <c r="O133" s="45">
        <f>IFERROR(__xludf.DUMMYFUNCTION("""COMPUTED_VALUE"""),45060.0)</f>
        <v>45060</v>
      </c>
      <c r="P133" s="45">
        <f>IFERROR(__xludf.DUMMYFUNCTION("""COMPUTED_VALUE"""),45604.0)</f>
        <v>45604</v>
      </c>
      <c r="Q133" s="45">
        <f>IFERROR(__xludf.DUMMYFUNCTION("""COMPUTED_VALUE"""),45062.0)</f>
        <v>45062</v>
      </c>
      <c r="R133" s="45">
        <f>IFERROR(__xludf.DUMMYFUNCTION("""COMPUTED_VALUE"""),45611.0)</f>
        <v>45611</v>
      </c>
      <c r="S133" s="43"/>
      <c r="T133" s="43" t="str">
        <f>IFERROR(__xludf.DUMMYFUNCTION("""COMPUTED_VALUE"""),"Business Administration")</f>
        <v>Business Administration</v>
      </c>
      <c r="U133" s="43" t="str">
        <f>IFERROR(__xludf.DUMMYFUNCTION("""COMPUTED_VALUE"""),"Telesales Specialist in Istanbul (French Speaker)")</f>
        <v>Telesales Specialist in Istanbul (French Speaker)</v>
      </c>
      <c r="V133" s="43" t="str">
        <f>IFERROR(__xludf.DUMMYFUNCTION("""COMPUTED_VALUE"""),"AIESEC in Babez")</f>
        <v>AIESEC in Babez</v>
      </c>
      <c r="W133" s="43" t="str">
        <f>IFERROR(__xludf.DUMMYFUNCTION("""COMPUTED_VALUE"""),"2023-03-25T13:15:02Z")</f>
        <v>2023-03-25T13:15:02Z</v>
      </c>
      <c r="X133" s="43"/>
      <c r="Y133" s="43"/>
      <c r="Z133" s="43"/>
    </row>
    <row r="134" hidden="1">
      <c r="A134" s="43" t="str">
        <f>IFERROR(__xludf.DUMMYFUNCTION("""COMPUTED_VALUE"""),"4582712_1287708")</f>
        <v>4582712_1287708</v>
      </c>
      <c r="B134" s="43" t="str">
        <f>IFERROR(__xludf.DUMMYFUNCTION("""COMPUTED_VALUE"""),"Otávio Nascimento")</f>
        <v>Otávio Nascimento</v>
      </c>
      <c r="C134" s="43" t="str">
        <f>IFERROR(__xludf.DUMMYFUNCTION("""COMPUTED_VALUE"""),"realization_broken")</f>
        <v>realization_broken</v>
      </c>
      <c r="D134" s="43" t="str">
        <f>IFERROR(__xludf.DUMMYFUNCTION("""COMPUTED_VALUE"""),"No")</f>
        <v>No</v>
      </c>
      <c r="E134" s="43" t="str">
        <f>IFERROR(__xludf.DUMMYFUNCTION("""COMPUTED_VALUE"""),"p_4f00a4ca22d0628b1ee85ad01f318def5371ba56@inbound.aiesec.org")</f>
        <v>p_4f00a4ca22d0628b1ee85ad01f318def5371ba56@inbound.aiesec.org</v>
      </c>
      <c r="F134" s="43">
        <f>IFERROR(__xludf.DUMMYFUNCTION("""COMPUTED_VALUE"""),5.312526269E9)</f>
        <v>5312526269</v>
      </c>
      <c r="G134" s="43" t="str">
        <f>IFERROR(__xludf.DUMMYFUNCTION("""COMPUTED_VALUE"""),"Brazil")</f>
        <v>Brazil</v>
      </c>
      <c r="H134" s="43" t="str">
        <f>IFERROR(__xludf.DUMMYFUNCTION("""COMPUTED_VALUE"""),"BELO HORIZONTE ")</f>
        <v>BELO HORIZONTE </v>
      </c>
      <c r="I134" s="43" t="str">
        <f>IFERROR(__xludf.DUMMYFUNCTION("""COMPUTED_VALUE"""),"Turkey")</f>
        <v>Turkey</v>
      </c>
      <c r="J134" s="43" t="str">
        <f>IFERROR(__xludf.DUMMYFUNCTION("""COMPUTED_VALUE"""),"ISTANBUL WEST")</f>
        <v>ISTANBUL WEST</v>
      </c>
      <c r="K134" s="44" t="str">
        <f>IFERROR(__xludf.DUMMYFUNCTION("""COMPUTED_VALUE"""),"https://expa.aiesec.org/opportunities/1287708")</f>
        <v>https://expa.aiesec.org/opportunities/1287708</v>
      </c>
      <c r="L134" s="43" t="str">
        <f>IFERROR(__xludf.DUMMYFUNCTION("""COMPUTED_VALUE"""),"GTa")</f>
        <v>GTa</v>
      </c>
      <c r="M134" s="43" t="str">
        <f>IFERROR(__xludf.DUMMYFUNCTION("""COMPUTED_VALUE"""),"long")</f>
        <v>long</v>
      </c>
      <c r="N134" s="45">
        <f>IFERROR(__xludf.DUMMYFUNCTION("""COMPUTED_VALUE"""),45012.0)</f>
        <v>45012</v>
      </c>
      <c r="O134" s="45">
        <f>IFERROR(__xludf.DUMMYFUNCTION("""COMPUTED_VALUE"""),45077.0)</f>
        <v>45077</v>
      </c>
      <c r="P134" s="45">
        <f>IFERROR(__xludf.DUMMYFUNCTION("""COMPUTED_VALUE"""),45442.0)</f>
        <v>45442</v>
      </c>
      <c r="Q134" s="45"/>
      <c r="R134" s="45"/>
      <c r="S134" s="43"/>
      <c r="T134" s="43" t="str">
        <f>IFERROR(__xludf.DUMMYFUNCTION("""COMPUTED_VALUE"""),"Marketing")</f>
        <v>Marketing</v>
      </c>
      <c r="U134" s="43" t="str">
        <f>IFERROR(__xludf.DUMMYFUNCTION("""COMPUTED_VALUE"""),"Telesales Specialist")</f>
        <v>Telesales Specialist</v>
      </c>
      <c r="V134" s="43" t="str">
        <f>IFERROR(__xludf.DUMMYFUNCTION("""COMPUTED_VALUE"""),"Belo Horizonte")</f>
        <v>Belo Horizonte</v>
      </c>
      <c r="W134" s="43" t="str">
        <f>IFERROR(__xludf.DUMMYFUNCTION("""COMPUTED_VALUE"""),"2021-03-18T01:48:54Z")</f>
        <v>2021-03-18T01:48:54Z</v>
      </c>
      <c r="X134" s="43"/>
      <c r="Y134" s="43"/>
      <c r="Z134" s="43"/>
    </row>
    <row r="135" hidden="1">
      <c r="A135" s="43" t="str">
        <f>IFERROR(__xludf.DUMMYFUNCTION("""COMPUTED_VALUE"""),"5211384_1289255")</f>
        <v>5211384_1289255</v>
      </c>
      <c r="B135" s="43" t="str">
        <f>IFERROR(__xludf.DUMMYFUNCTION("""COMPUTED_VALUE"""),"Zoubida Chamchati")</f>
        <v>Zoubida Chamchati</v>
      </c>
      <c r="C135" s="43" t="str">
        <f>IFERROR(__xludf.DUMMYFUNCTION("""COMPUTED_VALUE"""),"realized")</f>
        <v>realized</v>
      </c>
      <c r="D135" s="43" t="str">
        <f>IFERROR(__xludf.DUMMYFUNCTION("""COMPUTED_VALUE"""),"No")</f>
        <v>No</v>
      </c>
      <c r="E135" s="43" t="str">
        <f>IFERROR(__xludf.DUMMYFUNCTION("""COMPUTED_VALUE"""),"p_7b3e8dee6a960a4126336ded3d6f3813c13d0547@inbound.aiesec.org")</f>
        <v>p_7b3e8dee6a960a4126336ded3d6f3813c13d0547@inbound.aiesec.org</v>
      </c>
      <c r="F135" s="43">
        <f>IFERROR(__xludf.DUMMYFUNCTION("""COMPUTED_VALUE"""),5.52868151E9)</f>
        <v>5528681510</v>
      </c>
      <c r="G135" s="43" t="str">
        <f>IFERROR(__xludf.DUMMYFUNCTION("""COMPUTED_VALUE"""),"Morocco")</f>
        <v>Morocco</v>
      </c>
      <c r="H135" s="43" t="str">
        <f>IFERROR(__xludf.DUMMYFUNCTION("""COMPUTED_VALUE"""),"Morocco (MC)")</f>
        <v>Morocco (MC)</v>
      </c>
      <c r="I135" s="43" t="str">
        <f>IFERROR(__xludf.DUMMYFUNCTION("""COMPUTED_VALUE"""),"Turkey")</f>
        <v>Turkey</v>
      </c>
      <c r="J135" s="43" t="str">
        <f>IFERROR(__xludf.DUMMYFUNCTION("""COMPUTED_VALUE"""),"ISTANBUL")</f>
        <v>ISTANBUL</v>
      </c>
      <c r="K135" s="44" t="str">
        <f>IFERROR(__xludf.DUMMYFUNCTION("""COMPUTED_VALUE"""),"https://expa.aiesec.org/opportunities/1289255")</f>
        <v>https://expa.aiesec.org/opportunities/1289255</v>
      </c>
      <c r="L135" s="43" t="str">
        <f>IFERROR(__xludf.DUMMYFUNCTION("""COMPUTED_VALUE"""),"GTa")</f>
        <v>GTa</v>
      </c>
      <c r="M135" s="43" t="str">
        <f>IFERROR(__xludf.DUMMYFUNCTION("""COMPUTED_VALUE"""),"long")</f>
        <v>long</v>
      </c>
      <c r="N135" s="45">
        <f>IFERROR(__xludf.DUMMYFUNCTION("""COMPUTED_VALUE"""),45013.0)</f>
        <v>45013</v>
      </c>
      <c r="O135" s="45">
        <f>IFERROR(__xludf.DUMMYFUNCTION("""COMPUTED_VALUE"""),45026.0)</f>
        <v>45026</v>
      </c>
      <c r="P135" s="45">
        <f>IFERROR(__xludf.DUMMYFUNCTION("""COMPUTED_VALUE"""),45569.0)</f>
        <v>45569</v>
      </c>
      <c r="Q135" s="45">
        <f>IFERROR(__xludf.DUMMYFUNCTION("""COMPUTED_VALUE"""),45054.0)</f>
        <v>45054</v>
      </c>
      <c r="R135" s="45">
        <f>IFERROR(__xludf.DUMMYFUNCTION("""COMPUTED_VALUE"""),45604.0)</f>
        <v>45604</v>
      </c>
      <c r="S135" s="43"/>
      <c r="T135" s="43" t="str">
        <f>IFERROR(__xludf.DUMMYFUNCTION("""COMPUTED_VALUE"""),"Business Administration")</f>
        <v>Business Administration</v>
      </c>
      <c r="U135" s="43" t="str">
        <f>IFERROR(__xludf.DUMMYFUNCTION("""COMPUTED_VALUE"""),"Telesales Specialist in Istanbul (French Speaker)")</f>
        <v>Telesales Specialist in Istanbul (French Speaker)</v>
      </c>
      <c r="V135" s="43" t="str">
        <f>IFERROR(__xludf.DUMMYFUNCTION("""COMPUTED_VALUE"""),"FS Semlalia Marrakech")</f>
        <v>FS Semlalia Marrakech</v>
      </c>
      <c r="W135" s="43" t="str">
        <f>IFERROR(__xludf.DUMMYFUNCTION("""COMPUTED_VALUE"""),"2023-03-09T19:16:01Z")</f>
        <v>2023-03-09T19:16:01Z</v>
      </c>
      <c r="X135" s="43"/>
      <c r="Y135" s="43"/>
      <c r="Z135" s="43"/>
    </row>
    <row r="136" hidden="1">
      <c r="A136" s="43" t="str">
        <f>IFERROR(__xludf.DUMMYFUNCTION("""COMPUTED_VALUE"""),"5230258_1289255")</f>
        <v>5230258_1289255</v>
      </c>
      <c r="B136" s="43" t="str">
        <f>IFERROR(__xludf.DUMMYFUNCTION("""COMPUTED_VALUE"""),"Souhaila Igdem")</f>
        <v>Souhaila Igdem</v>
      </c>
      <c r="C136" s="43" t="str">
        <f>IFERROR(__xludf.DUMMYFUNCTION("""COMPUTED_VALUE"""),"realized")</f>
        <v>realized</v>
      </c>
      <c r="D136" s="43" t="str">
        <f>IFERROR(__xludf.DUMMYFUNCTION("""COMPUTED_VALUE"""),"No")</f>
        <v>No</v>
      </c>
      <c r="E136" s="43" t="str">
        <f>IFERROR(__xludf.DUMMYFUNCTION("""COMPUTED_VALUE"""),"p_c68e68e3a133a53cc2b2fa5cad65805cb82388c3@inbound.aiesec.org")</f>
        <v>p_c68e68e3a133a53cc2b2fa5cad65805cb82388c3@inbound.aiesec.org</v>
      </c>
      <c r="F136" s="43">
        <f>IFERROR(__xludf.DUMMYFUNCTION("""COMPUTED_VALUE"""),7.00118318E8)</f>
        <v>700118318</v>
      </c>
      <c r="G136" s="43" t="str">
        <f>IFERROR(__xludf.DUMMYFUNCTION("""COMPUTED_VALUE"""),"Morocco")</f>
        <v>Morocco</v>
      </c>
      <c r="H136" s="43" t="str">
        <f>IFERROR(__xludf.DUMMYFUNCTION("""COMPUTED_VALUE"""),"Morocco (MC)")</f>
        <v>Morocco (MC)</v>
      </c>
      <c r="I136" s="43" t="str">
        <f>IFERROR(__xludf.DUMMYFUNCTION("""COMPUTED_VALUE"""),"Turkey")</f>
        <v>Turkey</v>
      </c>
      <c r="J136" s="43" t="str">
        <f>IFERROR(__xludf.DUMMYFUNCTION("""COMPUTED_VALUE"""),"ISTANBUL")</f>
        <v>ISTANBUL</v>
      </c>
      <c r="K136" s="44" t="str">
        <f>IFERROR(__xludf.DUMMYFUNCTION("""COMPUTED_VALUE"""),"https://expa.aiesec.org/opportunities/1289255")</f>
        <v>https://expa.aiesec.org/opportunities/1289255</v>
      </c>
      <c r="L136" s="43" t="str">
        <f>IFERROR(__xludf.DUMMYFUNCTION("""COMPUTED_VALUE"""),"GTa")</f>
        <v>GTa</v>
      </c>
      <c r="M136" s="43" t="str">
        <f>IFERROR(__xludf.DUMMYFUNCTION("""COMPUTED_VALUE"""),"long")</f>
        <v>long</v>
      </c>
      <c r="N136" s="45">
        <f>IFERROR(__xludf.DUMMYFUNCTION("""COMPUTED_VALUE"""),45014.0)</f>
        <v>45014</v>
      </c>
      <c r="O136" s="45">
        <f>IFERROR(__xludf.DUMMYFUNCTION("""COMPUTED_VALUE"""),45060.0)</f>
        <v>45060</v>
      </c>
      <c r="P136" s="45">
        <f>IFERROR(__xludf.DUMMYFUNCTION("""COMPUTED_VALUE"""),45604.0)</f>
        <v>45604</v>
      </c>
      <c r="Q136" s="45">
        <f>IFERROR(__xludf.DUMMYFUNCTION("""COMPUTED_VALUE"""),45082.0)</f>
        <v>45082</v>
      </c>
      <c r="R136" s="45">
        <f>IFERROR(__xludf.DUMMYFUNCTION("""COMPUTED_VALUE"""),45632.0)</f>
        <v>45632</v>
      </c>
      <c r="S136" s="43"/>
      <c r="T136" s="43" t="str">
        <f>IFERROR(__xludf.DUMMYFUNCTION("""COMPUTED_VALUE"""),"Business Administration")</f>
        <v>Business Administration</v>
      </c>
      <c r="U136" s="43" t="str">
        <f>IFERROR(__xludf.DUMMYFUNCTION("""COMPUTED_VALUE"""),"Telesales Specialist in Istanbul (French Speaker)")</f>
        <v>Telesales Specialist in Istanbul (French Speaker)</v>
      </c>
      <c r="V136" s="43" t="str">
        <f>IFERROR(__xludf.DUMMYFUNCTION("""COMPUTED_VALUE"""),"Other-MARRAKECH")</f>
        <v>Other-MARRAKECH</v>
      </c>
      <c r="W136" s="43" t="str">
        <f>IFERROR(__xludf.DUMMYFUNCTION("""COMPUTED_VALUE"""),"2023-03-29T16:23:16Z")</f>
        <v>2023-03-29T16:23:16Z</v>
      </c>
      <c r="X136" s="43"/>
      <c r="Y136" s="43"/>
      <c r="Z136" s="43"/>
    </row>
    <row r="137" hidden="1">
      <c r="A137" s="43" t="str">
        <f>IFERROR(__xludf.DUMMYFUNCTION("""COMPUTED_VALUE"""),"5230516_1293168")</f>
        <v>5230516_1293168</v>
      </c>
      <c r="B137" s="43" t="str">
        <f>IFERROR(__xludf.DUMMYFUNCTION("""COMPUTED_VALUE"""),"Haifa Memmi")</f>
        <v>Haifa Memmi</v>
      </c>
      <c r="C137" s="43" t="str">
        <f>IFERROR(__xludf.DUMMYFUNCTION("""COMPUTED_VALUE"""),"realized")</f>
        <v>realized</v>
      </c>
      <c r="D137" s="43" t="str">
        <f>IFERROR(__xludf.DUMMYFUNCTION("""COMPUTED_VALUE"""),"No")</f>
        <v>No</v>
      </c>
      <c r="E137" s="43" t="str">
        <f>IFERROR(__xludf.DUMMYFUNCTION("""COMPUTED_VALUE"""),"p_e7064f3d291f7da4fdefcd86f650b4422851e462@inbound.aiesec.org")</f>
        <v>p_e7064f3d291f7da4fdefcd86f650b4422851e462@inbound.aiesec.org</v>
      </c>
      <c r="F137" s="43">
        <f>IFERROR(__xludf.DUMMYFUNCTION("""COMPUTED_VALUE"""),5.0808572E7)</f>
        <v>50808572</v>
      </c>
      <c r="G137" s="43" t="str">
        <f>IFERROR(__xludf.DUMMYFUNCTION("""COMPUTED_VALUE"""),"Tunisia")</f>
        <v>Tunisia</v>
      </c>
      <c r="H137" s="43" t="str">
        <f>IFERROR(__xludf.DUMMYFUNCTION("""COMPUTED_VALUE"""),"RUSPINA")</f>
        <v>RUSPINA</v>
      </c>
      <c r="I137" s="43" t="str">
        <f>IFERROR(__xludf.DUMMYFUNCTION("""COMPUTED_VALUE"""),"Turkey")</f>
        <v>Turkey</v>
      </c>
      <c r="J137" s="43" t="str">
        <f>IFERROR(__xludf.DUMMYFUNCTION("""COMPUTED_VALUE"""),"ISTANBUL WEST")</f>
        <v>ISTANBUL WEST</v>
      </c>
      <c r="K137" s="44" t="str">
        <f>IFERROR(__xludf.DUMMYFUNCTION("""COMPUTED_VALUE"""),"https://expa.aiesec.org/opportunities/1293168")</f>
        <v>https://expa.aiesec.org/opportunities/1293168</v>
      </c>
      <c r="L137" s="43" t="str">
        <f>IFERROR(__xludf.DUMMYFUNCTION("""COMPUTED_VALUE"""),"GTa")</f>
        <v>GTa</v>
      </c>
      <c r="M137" s="43" t="str">
        <f>IFERROR(__xludf.DUMMYFUNCTION("""COMPUTED_VALUE"""),"long")</f>
        <v>long</v>
      </c>
      <c r="N137" s="45">
        <f>IFERROR(__xludf.DUMMYFUNCTION("""COMPUTED_VALUE"""),45015.0)</f>
        <v>45015</v>
      </c>
      <c r="O137" s="45">
        <f>IFERROR(__xludf.DUMMYFUNCTION("""COMPUTED_VALUE"""),45047.0)</f>
        <v>45047</v>
      </c>
      <c r="P137" s="45">
        <f>IFERROR(__xludf.DUMMYFUNCTION("""COMPUTED_VALUE"""),45408.0)</f>
        <v>45408</v>
      </c>
      <c r="Q137" s="45">
        <f>IFERROR(__xludf.DUMMYFUNCTION("""COMPUTED_VALUE"""),45061.0)</f>
        <v>45061</v>
      </c>
      <c r="R137" s="45">
        <f>IFERROR(__xludf.DUMMYFUNCTION("""COMPUTED_VALUE"""),45422.0)</f>
        <v>45422</v>
      </c>
      <c r="S137" s="43"/>
      <c r="T137" s="43" t="str">
        <f>IFERROR(__xludf.DUMMYFUNCTION("""COMPUTED_VALUE"""),"Marketing")</f>
        <v>Marketing</v>
      </c>
      <c r="U137" s="43" t="str">
        <f>IFERROR(__xludf.DUMMYFUNCTION("""COMPUTED_VALUE"""),"Telesales Speacialist ")</f>
        <v>Telesales Speacialist </v>
      </c>
      <c r="V137" s="43" t="str">
        <f>IFERROR(__xludf.DUMMYFUNCTION("""COMPUTED_VALUE"""),"Pharmacie Monastir")</f>
        <v>Pharmacie Monastir</v>
      </c>
      <c r="W137" s="43" t="str">
        <f>IFERROR(__xludf.DUMMYFUNCTION("""COMPUTED_VALUE"""),"2023-03-29T21:22:31Z")</f>
        <v>2023-03-29T21:22:31Z</v>
      </c>
      <c r="X137" s="43"/>
      <c r="Y137" s="43"/>
      <c r="Z137" s="43"/>
    </row>
    <row r="138" hidden="1">
      <c r="A138" s="43" t="str">
        <f>IFERROR(__xludf.DUMMYFUNCTION("""COMPUTED_VALUE"""),"5230315_1281414")</f>
        <v>5230315_1281414</v>
      </c>
      <c r="B138" s="43" t="str">
        <f>IFERROR(__xludf.DUMMYFUNCTION("""COMPUTED_VALUE"""),"Shady El sabbagh")</f>
        <v>Shady El sabbagh</v>
      </c>
      <c r="C138" s="43" t="str">
        <f>IFERROR(__xludf.DUMMYFUNCTION("""COMPUTED_VALUE"""),"realization_broken")</f>
        <v>realization_broken</v>
      </c>
      <c r="D138" s="43" t="str">
        <f>IFERROR(__xludf.DUMMYFUNCTION("""COMPUTED_VALUE"""),"No")</f>
        <v>No</v>
      </c>
      <c r="E138" s="43" t="str">
        <f>IFERROR(__xludf.DUMMYFUNCTION("""COMPUTED_VALUE"""),"p_c83be70b1e4a0b6ba7354e87aec6e18e5f2edbf4@inbound.aiesec.org")</f>
        <v>p_c83be70b1e4a0b6ba7354e87aec6e18e5f2edbf4@inbound.aiesec.org</v>
      </c>
      <c r="F138" s="43">
        <f>IFERROR(__xludf.DUMMYFUNCTION("""COMPUTED_VALUE"""),5.363389299E9)</f>
        <v>5363389299</v>
      </c>
      <c r="G138" s="43" t="str">
        <f>IFERROR(__xludf.DUMMYFUNCTION("""COMPUTED_VALUE"""),"Egypt")</f>
        <v>Egypt</v>
      </c>
      <c r="H138" s="43" t="str">
        <f>IFERROR(__xludf.DUMMYFUNCTION("""COMPUTED_VALUE"""),"MUST")</f>
        <v>MUST</v>
      </c>
      <c r="I138" s="43" t="str">
        <f>IFERROR(__xludf.DUMMYFUNCTION("""COMPUTED_VALUE"""),"Turkey")</f>
        <v>Turkey</v>
      </c>
      <c r="J138" s="43" t="str">
        <f>IFERROR(__xludf.DUMMYFUNCTION("""COMPUTED_VALUE"""),"GAZIANTEP")</f>
        <v>GAZIANTEP</v>
      </c>
      <c r="K138" s="44" t="str">
        <f>IFERROR(__xludf.DUMMYFUNCTION("""COMPUTED_VALUE"""),"https://expa.aiesec.org/opportunities/1281414")</f>
        <v>https://expa.aiesec.org/opportunities/1281414</v>
      </c>
      <c r="L138" s="43" t="str">
        <f>IFERROR(__xludf.DUMMYFUNCTION("""COMPUTED_VALUE"""),"GTa")</f>
        <v>GTa</v>
      </c>
      <c r="M138" s="43" t="str">
        <f>IFERROR(__xludf.DUMMYFUNCTION("""COMPUTED_VALUE"""),"long")</f>
        <v>long</v>
      </c>
      <c r="N138" s="45">
        <f>IFERROR(__xludf.DUMMYFUNCTION("""COMPUTED_VALUE"""),45016.0)</f>
        <v>45016</v>
      </c>
      <c r="O138" s="45">
        <f>IFERROR(__xludf.DUMMYFUNCTION("""COMPUTED_VALUE"""),45021.0)</f>
        <v>45021</v>
      </c>
      <c r="P138" s="45">
        <f>IFERROR(__xludf.DUMMYFUNCTION("""COMPUTED_VALUE"""),45387.0)</f>
        <v>45387</v>
      </c>
      <c r="Q138" s="45"/>
      <c r="R138" s="45"/>
      <c r="S138" s="43"/>
      <c r="T138" s="43" t="str">
        <f>IFERROR(__xludf.DUMMYFUNCTION("""COMPUTED_VALUE"""),"Marketing")</f>
        <v>Marketing</v>
      </c>
      <c r="U138" s="43" t="str">
        <f>IFERROR(__xludf.DUMMYFUNCTION("""COMPUTED_VALUE"""),"Marketing&amp;Sales")</f>
        <v>Marketing&amp;Sales</v>
      </c>
      <c r="V138" s="43" t="str">
        <f>IFERROR(__xludf.DUMMYFUNCTION("""COMPUTED_VALUE"""),"MUST University")</f>
        <v>MUST University</v>
      </c>
      <c r="W138" s="43" t="str">
        <f>IFERROR(__xludf.DUMMYFUNCTION("""COMPUTED_VALUE"""),"2023-03-29T17:02:59Z")</f>
        <v>2023-03-29T17:02:59Z</v>
      </c>
      <c r="X138" s="43"/>
      <c r="Y138" s="43"/>
      <c r="Z138" s="43"/>
    </row>
    <row r="139" hidden="1">
      <c r="A139" s="43" t="str">
        <f>IFERROR(__xludf.DUMMYFUNCTION("""COMPUTED_VALUE"""),"5228321_1290469")</f>
        <v>5228321_1290469</v>
      </c>
      <c r="B139" s="43" t="str">
        <f>IFERROR(__xludf.DUMMYFUNCTION("""COMPUTED_VALUE"""),"Jéssica Silva")</f>
        <v>Jéssica Silva</v>
      </c>
      <c r="C139" s="43" t="str">
        <f>IFERROR(__xludf.DUMMYFUNCTION("""COMPUTED_VALUE"""),"realized")</f>
        <v>realized</v>
      </c>
      <c r="D139" s="43" t="str">
        <f>IFERROR(__xludf.DUMMYFUNCTION("""COMPUTED_VALUE"""),"No")</f>
        <v>No</v>
      </c>
      <c r="E139" s="43" t="str">
        <f>IFERROR(__xludf.DUMMYFUNCTION("""COMPUTED_VALUE"""),"p_426e43d11358e28a9df0d9b902d6d1f79367089d@inbound.aiesec.org")</f>
        <v>p_426e43d11358e28a9df0d9b902d6d1f79367089d@inbound.aiesec.org</v>
      </c>
      <c r="F139" s="43">
        <f>IFERROR(__xludf.DUMMYFUNCTION("""COMPUTED_VALUE"""),8.1996302363E10)</f>
        <v>81996302363</v>
      </c>
      <c r="G139" s="43" t="str">
        <f>IFERROR(__xludf.DUMMYFUNCTION("""COMPUTED_VALUE"""),"Brazil")</f>
        <v>Brazil</v>
      </c>
      <c r="H139" s="43" t="str">
        <f>IFERROR(__xludf.DUMMYFUNCTION("""COMPUTED_VALUE"""),"RECIFE")</f>
        <v>RECIFE</v>
      </c>
      <c r="I139" s="43" t="str">
        <f>IFERROR(__xludf.DUMMYFUNCTION("""COMPUTED_VALUE"""),"Turkey")</f>
        <v>Turkey</v>
      </c>
      <c r="J139" s="43" t="str">
        <f>IFERROR(__xludf.DUMMYFUNCTION("""COMPUTED_VALUE"""),"KOCAELI")</f>
        <v>KOCAELI</v>
      </c>
      <c r="K139" s="44" t="str">
        <f>IFERROR(__xludf.DUMMYFUNCTION("""COMPUTED_VALUE"""),"https://expa.aiesec.org/opportunities/1290469")</f>
        <v>https://expa.aiesec.org/opportunities/1290469</v>
      </c>
      <c r="L139" s="43" t="str">
        <f>IFERROR(__xludf.DUMMYFUNCTION("""COMPUTED_VALUE"""),"GTa")</f>
        <v>GTa</v>
      </c>
      <c r="M139" s="43" t="str">
        <f>IFERROR(__xludf.DUMMYFUNCTION("""COMPUTED_VALUE"""),"long")</f>
        <v>long</v>
      </c>
      <c r="N139" s="45">
        <f>IFERROR(__xludf.DUMMYFUNCTION("""COMPUTED_VALUE"""),45016.0)</f>
        <v>45016</v>
      </c>
      <c r="O139" s="45">
        <f>IFERROR(__xludf.DUMMYFUNCTION("""COMPUTED_VALUE"""),45021.0)</f>
        <v>45021</v>
      </c>
      <c r="P139" s="45">
        <f>IFERROR(__xludf.DUMMYFUNCTION("""COMPUTED_VALUE"""),45387.0)</f>
        <v>45387</v>
      </c>
      <c r="Q139" s="45">
        <f>IFERROR(__xludf.DUMMYFUNCTION("""COMPUTED_VALUE"""),45027.0)</f>
        <v>45027</v>
      </c>
      <c r="R139" s="45">
        <f>IFERROR(__xludf.DUMMYFUNCTION("""COMPUTED_VALUE"""),45393.0)</f>
        <v>45393</v>
      </c>
      <c r="S139" s="43"/>
      <c r="T139" s="43" t="str">
        <f>IFERROR(__xludf.DUMMYFUNCTION("""COMPUTED_VALUE"""),"Marketing")</f>
        <v>Marketing</v>
      </c>
      <c r="U139" s="43" t="str">
        <f>IFERROR(__xludf.DUMMYFUNCTION("""COMPUTED_VALUE"""),"Sales&amp;Marketing in TOKSEL Company")</f>
        <v>Sales&amp;Marketing in TOKSEL Company</v>
      </c>
      <c r="V139" s="43" t="str">
        <f>IFERROR(__xludf.DUMMYFUNCTION("""COMPUTED_VALUE"""),"Recife")</f>
        <v>Recife</v>
      </c>
      <c r="W139" s="43" t="str">
        <f>IFERROR(__xludf.DUMMYFUNCTION("""COMPUTED_VALUE"""),"2023-03-27T16:55:18Z")</f>
        <v>2023-03-27T16:55:18Z</v>
      </c>
      <c r="X139" s="43"/>
      <c r="Y139" s="43"/>
      <c r="Z139" s="43"/>
    </row>
    <row r="140" hidden="1">
      <c r="A140" s="43" t="str">
        <f>IFERROR(__xludf.DUMMYFUNCTION("""COMPUTED_VALUE"""),"5224897_1291648")</f>
        <v>5224897_1291648</v>
      </c>
      <c r="B140" s="43" t="str">
        <f>IFERROR(__xludf.DUMMYFUNCTION("""COMPUTED_VALUE"""),"Madina İbragimova")</f>
        <v>Madina İbragimova</v>
      </c>
      <c r="C140" s="43" t="str">
        <f>IFERROR(__xludf.DUMMYFUNCTION("""COMPUTED_VALUE"""),"approved")</f>
        <v>approved</v>
      </c>
      <c r="D140" s="43" t="str">
        <f>IFERROR(__xludf.DUMMYFUNCTION("""COMPUTED_VALUE"""),"No")</f>
        <v>No</v>
      </c>
      <c r="E140" s="43" t="str">
        <f>IFERROR(__xludf.DUMMYFUNCTION("""COMPUTED_VALUE"""),"p_9c143b3735d04026f39cc34ad950dc200986931d@inbound.aiesec.org")</f>
        <v>p_9c143b3735d04026f39cc34ad950dc200986931d@inbound.aiesec.org</v>
      </c>
      <c r="F140" s="43">
        <f>IFERROR(__xludf.DUMMYFUNCTION("""COMPUTED_VALUE"""),5.58148731E8)</f>
        <v>558148731</v>
      </c>
      <c r="G140" s="43" t="str">
        <f>IFERROR(__xludf.DUMMYFUNCTION("""COMPUTED_VALUE"""),"Azerbaijan")</f>
        <v>Azerbaijan</v>
      </c>
      <c r="H140" s="43" t="str">
        <f>IFERROR(__xludf.DUMMYFUNCTION("""COMPUTED_VALUE"""),"Baku Synergy")</f>
        <v>Baku Synergy</v>
      </c>
      <c r="I140" s="43" t="str">
        <f>IFERROR(__xludf.DUMMYFUNCTION("""COMPUTED_VALUE"""),"Turkey")</f>
        <v>Turkey</v>
      </c>
      <c r="J140" s="43" t="str">
        <f>IFERROR(__xludf.DUMMYFUNCTION("""COMPUTED_VALUE"""),"ESKISEHIR")</f>
        <v>ESKISEHIR</v>
      </c>
      <c r="K140" s="44" t="str">
        <f>IFERROR(__xludf.DUMMYFUNCTION("""COMPUTED_VALUE"""),"https://expa.aiesec.org/opportunities/1291648")</f>
        <v>https://expa.aiesec.org/opportunities/1291648</v>
      </c>
      <c r="L140" s="43" t="str">
        <f>IFERROR(__xludf.DUMMYFUNCTION("""COMPUTED_VALUE"""),"GTa")</f>
        <v>GTa</v>
      </c>
      <c r="M140" s="43" t="str">
        <f>IFERROR(__xludf.DUMMYFUNCTION("""COMPUTED_VALUE"""),"short")</f>
        <v>short</v>
      </c>
      <c r="N140" s="45">
        <f>IFERROR(__xludf.DUMMYFUNCTION("""COMPUTED_VALUE"""),45017.0)</f>
        <v>45017</v>
      </c>
      <c r="O140" s="45">
        <f>IFERROR(__xludf.DUMMYFUNCTION("""COMPUTED_VALUE"""),45139.0)</f>
        <v>45139</v>
      </c>
      <c r="P140" s="45">
        <f>IFERROR(__xludf.DUMMYFUNCTION("""COMPUTED_VALUE"""),45215.0)</f>
        <v>45215</v>
      </c>
      <c r="Q140" s="45"/>
      <c r="R140" s="45"/>
      <c r="S140" s="43"/>
      <c r="T140" s="43" t="str">
        <f>IFERROR(__xludf.DUMMYFUNCTION("""COMPUTED_VALUE"""),"Business Development")</f>
        <v>Business Development</v>
      </c>
      <c r="U140" s="43" t="str">
        <f>IFERROR(__xludf.DUMMYFUNCTION("""COMPUTED_VALUE"""),"Digital Brand Ambassador")</f>
        <v>Digital Brand Ambassador</v>
      </c>
      <c r="V140" s="43" t="str">
        <f>IFERROR(__xludf.DUMMYFUNCTION("""COMPUTED_VALUE"""),"Azerbaijan State University of Economics")</f>
        <v>Azerbaijan State University of Economics</v>
      </c>
      <c r="W140" s="43" t="str">
        <f>IFERROR(__xludf.DUMMYFUNCTION("""COMPUTED_VALUE"""),"2023-03-23T13:29:29Z")</f>
        <v>2023-03-23T13:29:29Z</v>
      </c>
      <c r="X140" s="43"/>
      <c r="Y140" s="43"/>
      <c r="Z140" s="43"/>
    </row>
    <row r="141" hidden="1">
      <c r="A141" s="43" t="str">
        <f>IFERROR(__xludf.DUMMYFUNCTION("""COMPUTED_VALUE"""),"5232632_1288813")</f>
        <v>5232632_1288813</v>
      </c>
      <c r="B141" s="43" t="str">
        <f>IFERROR(__xludf.DUMMYFUNCTION("""COMPUTED_VALUE"""),"Muhammad Alam")</f>
        <v>Muhammad Alam</v>
      </c>
      <c r="C141" s="43" t="str">
        <f>IFERROR(__xludf.DUMMYFUNCTION("""COMPUTED_VALUE"""),"realization_broken")</f>
        <v>realization_broken</v>
      </c>
      <c r="D141" s="43" t="str">
        <f>IFERROR(__xludf.DUMMYFUNCTION("""COMPUTED_VALUE"""),"No")</f>
        <v>No</v>
      </c>
      <c r="E141" s="43" t="str">
        <f>IFERROR(__xludf.DUMMYFUNCTION("""COMPUTED_VALUE"""),"p_839614854a078d1fda24815276f3ef30ace5467f@inbound.aiesec.org")</f>
        <v>p_839614854a078d1fda24815276f3ef30ace5467f@inbound.aiesec.org</v>
      </c>
      <c r="F141" s="43">
        <f>IFERROR(__xludf.DUMMYFUNCTION("""COMPUTED_VALUE"""),3.00921762E9)</f>
        <v>3009217620</v>
      </c>
      <c r="G141" s="43" t="str">
        <f>IFERROR(__xludf.DUMMYFUNCTION("""COMPUTED_VALUE"""),"Pakistan")</f>
        <v>Pakistan</v>
      </c>
      <c r="H141" s="43" t="str">
        <f>IFERROR(__xludf.DUMMYFUNCTION("""COMPUTED_VALUE"""),"Karachi")</f>
        <v>Karachi</v>
      </c>
      <c r="I141" s="43" t="str">
        <f>IFERROR(__xludf.DUMMYFUNCTION("""COMPUTED_VALUE"""),"Turkey")</f>
        <v>Turkey</v>
      </c>
      <c r="J141" s="43" t="str">
        <f>IFERROR(__xludf.DUMMYFUNCTION("""COMPUTED_VALUE"""),"ISTANBUL WEST")</f>
        <v>ISTANBUL WEST</v>
      </c>
      <c r="K141" s="44" t="str">
        <f>IFERROR(__xludf.DUMMYFUNCTION("""COMPUTED_VALUE"""),"https://expa.aiesec.org/opportunities/1288813")</f>
        <v>https://expa.aiesec.org/opportunities/1288813</v>
      </c>
      <c r="L141" s="43" t="str">
        <f>IFERROR(__xludf.DUMMYFUNCTION("""COMPUTED_VALUE"""),"GTa")</f>
        <v>GTa</v>
      </c>
      <c r="M141" s="43" t="str">
        <f>IFERROR(__xludf.DUMMYFUNCTION("""COMPUTED_VALUE"""),"long")</f>
        <v>long</v>
      </c>
      <c r="N141" s="45">
        <f>IFERROR(__xludf.DUMMYFUNCTION("""COMPUTED_VALUE"""),45020.0)</f>
        <v>45020</v>
      </c>
      <c r="O141" s="45">
        <f>IFERROR(__xludf.DUMMYFUNCTION("""COMPUTED_VALUE"""),45047.0)</f>
        <v>45047</v>
      </c>
      <c r="P141" s="45">
        <f>IFERROR(__xludf.DUMMYFUNCTION("""COMPUTED_VALUE"""),45412.0)</f>
        <v>45412</v>
      </c>
      <c r="Q141" s="45"/>
      <c r="R141" s="45"/>
      <c r="S141" s="43"/>
      <c r="T141" s="43" t="str">
        <f>IFERROR(__xludf.DUMMYFUNCTION("""COMPUTED_VALUE"""),"Marketing")</f>
        <v>Marketing</v>
      </c>
      <c r="U141" s="43" t="str">
        <f>IFERROR(__xludf.DUMMYFUNCTION("""COMPUTED_VALUE"""),"Call Center Customer Representative")</f>
        <v>Call Center Customer Representative</v>
      </c>
      <c r="V141" s="43" t="str">
        <f>IFERROR(__xludf.DUMMYFUNCTION("""COMPUTED_VALUE"""),"Karachi - Textile Institute of Pakistan")</f>
        <v>Karachi - Textile Institute of Pakistan</v>
      </c>
      <c r="W141" s="43" t="str">
        <f>IFERROR(__xludf.DUMMYFUNCTION("""COMPUTED_VALUE"""),"2023-04-01T10:42:03Z")</f>
        <v>2023-04-01T10:42:03Z</v>
      </c>
      <c r="X141" s="43"/>
      <c r="Y141" s="43"/>
      <c r="Z141" s="43"/>
    </row>
    <row r="142" hidden="1">
      <c r="A142" s="43" t="str">
        <f>IFERROR(__xludf.DUMMYFUNCTION("""COMPUTED_VALUE"""),"5101370_1292533")</f>
        <v>5101370_1292533</v>
      </c>
      <c r="B142" s="43" t="str">
        <f>IFERROR(__xludf.DUMMYFUNCTION("""COMPUTED_VALUE"""),"Hajar Elamri")</f>
        <v>Hajar Elamri</v>
      </c>
      <c r="C142" s="43" t="str">
        <f>IFERROR(__xludf.DUMMYFUNCTION("""COMPUTED_VALUE"""),"realized")</f>
        <v>realized</v>
      </c>
      <c r="D142" s="43" t="str">
        <f>IFERROR(__xludf.DUMMYFUNCTION("""COMPUTED_VALUE"""),"No")</f>
        <v>No</v>
      </c>
      <c r="E142" s="43" t="str">
        <f>IFERROR(__xludf.DUMMYFUNCTION("""COMPUTED_VALUE"""),"p_1b255dcaa62acc374145a477d96b186e2c8e8d4e@inbound.aiesec.org")</f>
        <v>p_1b255dcaa62acc374145a477d96b186e2c8e8d4e@inbound.aiesec.org</v>
      </c>
      <c r="F142" s="43">
        <f>IFERROR(__xludf.DUMMYFUNCTION("""COMPUTED_VALUE"""),6.0952364E8)</f>
        <v>609523640</v>
      </c>
      <c r="G142" s="43" t="str">
        <f>IFERROR(__xludf.DUMMYFUNCTION("""COMPUTED_VALUE"""),"Morocco")</f>
        <v>Morocco</v>
      </c>
      <c r="H142" s="43" t="str">
        <f>IFERROR(__xludf.DUMMYFUNCTION("""COMPUTED_VALUE"""),"Kenitra")</f>
        <v>Kenitra</v>
      </c>
      <c r="I142" s="43" t="str">
        <f>IFERROR(__xludf.DUMMYFUNCTION("""COMPUTED_VALUE"""),"Turkey")</f>
        <v>Turkey</v>
      </c>
      <c r="J142" s="43" t="str">
        <f>IFERROR(__xludf.DUMMYFUNCTION("""COMPUTED_VALUE"""),"BURSA")</f>
        <v>BURSA</v>
      </c>
      <c r="K142" s="44" t="str">
        <f>IFERROR(__xludf.DUMMYFUNCTION("""COMPUTED_VALUE"""),"https://expa.aiesec.org/opportunities/1292533")</f>
        <v>https://expa.aiesec.org/opportunities/1292533</v>
      </c>
      <c r="L142" s="43" t="str">
        <f>IFERROR(__xludf.DUMMYFUNCTION("""COMPUTED_VALUE"""),"GTa")</f>
        <v>GTa</v>
      </c>
      <c r="M142" s="43" t="str">
        <f>IFERROR(__xludf.DUMMYFUNCTION("""COMPUTED_VALUE"""),"long")</f>
        <v>long</v>
      </c>
      <c r="N142" s="45">
        <f>IFERROR(__xludf.DUMMYFUNCTION("""COMPUTED_VALUE"""),45027.0)</f>
        <v>45027</v>
      </c>
      <c r="O142" s="45">
        <f>IFERROR(__xludf.DUMMYFUNCTION("""COMPUTED_VALUE"""),45031.0)</f>
        <v>45031</v>
      </c>
      <c r="P142" s="45">
        <f>IFERROR(__xludf.DUMMYFUNCTION("""COMPUTED_VALUE"""),45397.0)</f>
        <v>45397</v>
      </c>
      <c r="Q142" s="45">
        <f>IFERROR(__xludf.DUMMYFUNCTION("""COMPUTED_VALUE"""),45040.0)</f>
        <v>45040</v>
      </c>
      <c r="R142" s="45">
        <f>IFERROR(__xludf.DUMMYFUNCTION("""COMPUTED_VALUE"""),45406.0)</f>
        <v>45406</v>
      </c>
      <c r="S142" s="43"/>
      <c r="T142" s="43" t="str">
        <f>IFERROR(__xludf.DUMMYFUNCTION("""COMPUTED_VALUE"""),"Marketing")</f>
        <v>Marketing</v>
      </c>
      <c r="U142" s="43" t="str">
        <f>IFERROR(__xludf.DUMMYFUNCTION("""COMPUTED_VALUE"""),"Marketing")</f>
        <v>Marketing</v>
      </c>
      <c r="V142" s="43" t="str">
        <f>IFERROR(__xludf.DUMMYFUNCTION("""COMPUTED_VALUE"""),"Ecole Nationale De Commerce Et De Gestion Kenitra (ENCGK)")</f>
        <v>Ecole Nationale De Commerce Et De Gestion Kenitra (ENCGK)</v>
      </c>
      <c r="W142" s="43" t="str">
        <f>IFERROR(__xludf.DUMMYFUNCTION("""COMPUTED_VALUE"""),"2022-08-29T00:57:27Z")</f>
        <v>2022-08-29T00:57:27Z</v>
      </c>
      <c r="X142" s="43"/>
      <c r="Y142" s="43"/>
      <c r="Z142" s="43"/>
    </row>
    <row r="143" hidden="1">
      <c r="A143" s="43" t="str">
        <f>IFERROR(__xludf.DUMMYFUNCTION("""COMPUTED_VALUE"""),"5239095_1293133")</f>
        <v>5239095_1293133</v>
      </c>
      <c r="B143" s="43" t="str">
        <f>IFERROR(__xludf.DUMMYFUNCTION("""COMPUTED_VALUE"""),"Fabian Potes")</f>
        <v>Fabian Potes</v>
      </c>
      <c r="C143" s="43" t="str">
        <f>IFERROR(__xludf.DUMMYFUNCTION("""COMPUTED_VALUE"""),"realized")</f>
        <v>realized</v>
      </c>
      <c r="D143" s="43" t="str">
        <f>IFERROR(__xludf.DUMMYFUNCTION("""COMPUTED_VALUE"""),"No")</f>
        <v>No</v>
      </c>
      <c r="E143" s="43" t="str">
        <f>IFERROR(__xludf.DUMMYFUNCTION("""COMPUTED_VALUE"""),"p_f711a6c58f4a8bfb819e049507680e7729a02188@inbound.aiesec.org")</f>
        <v>p_f711a6c58f4a8bfb819e049507680e7729a02188@inbound.aiesec.org</v>
      </c>
      <c r="F143" s="43">
        <f>IFERROR(__xludf.DUMMYFUNCTION("""COMPUTED_VALUE"""),3.013755194E9)</f>
        <v>3013755194</v>
      </c>
      <c r="G143" s="43" t="str">
        <f>IFERROR(__xludf.DUMMYFUNCTION("""COMPUTED_VALUE"""),"Colombia")</f>
        <v>Colombia</v>
      </c>
      <c r="H143" s="43" t="str">
        <f>IFERROR(__xludf.DUMMYFUNCTION("""COMPUTED_VALUE"""),"EXTERNADO")</f>
        <v>EXTERNADO</v>
      </c>
      <c r="I143" s="43" t="str">
        <f>IFERROR(__xludf.DUMMYFUNCTION("""COMPUTED_VALUE"""),"Turkey")</f>
        <v>Turkey</v>
      </c>
      <c r="J143" s="43" t="str">
        <f>IFERROR(__xludf.DUMMYFUNCTION("""COMPUTED_VALUE"""),"BURSA")</f>
        <v>BURSA</v>
      </c>
      <c r="K143" s="44" t="str">
        <f>IFERROR(__xludf.DUMMYFUNCTION("""COMPUTED_VALUE"""),"https://expa.aiesec.org/opportunities/1293133")</f>
        <v>https://expa.aiesec.org/opportunities/1293133</v>
      </c>
      <c r="L143" s="43" t="str">
        <f>IFERROR(__xludf.DUMMYFUNCTION("""COMPUTED_VALUE"""),"GTa")</f>
        <v>GTa</v>
      </c>
      <c r="M143" s="43" t="str">
        <f>IFERROR(__xludf.DUMMYFUNCTION("""COMPUTED_VALUE"""),"long")</f>
        <v>long</v>
      </c>
      <c r="N143" s="45">
        <f>IFERROR(__xludf.DUMMYFUNCTION("""COMPUTED_VALUE"""),45028.0)</f>
        <v>45028</v>
      </c>
      <c r="O143" s="45">
        <f>IFERROR(__xludf.DUMMYFUNCTION("""COMPUTED_VALUE"""),45058.0)</f>
        <v>45058</v>
      </c>
      <c r="P143" s="45">
        <f>IFERROR(__xludf.DUMMYFUNCTION("""COMPUTED_VALUE"""),45424.0)</f>
        <v>45424</v>
      </c>
      <c r="Q143" s="45">
        <f>IFERROR(__xludf.DUMMYFUNCTION("""COMPUTED_VALUE"""),45060.0)</f>
        <v>45060</v>
      </c>
      <c r="R143" s="45">
        <f>IFERROR(__xludf.DUMMYFUNCTION("""COMPUTED_VALUE"""),45424.0)</f>
        <v>45424</v>
      </c>
      <c r="S143" s="43"/>
      <c r="T143" s="43" t="str">
        <f>IFERROR(__xludf.DUMMYFUNCTION("""COMPUTED_VALUE"""),"Marketing")</f>
        <v>Marketing</v>
      </c>
      <c r="U143" s="43" t="str">
        <f>IFERROR(__xludf.DUMMYFUNCTION("""COMPUTED_VALUE"""),"Marketing")</f>
        <v>Marketing</v>
      </c>
      <c r="V143" s="43" t="str">
        <f>IFERROR(__xludf.DUMMYFUNCTION("""COMPUTED_VALUE"""),"Bogotá - Universidad Externado De Colombia")</f>
        <v>Bogotá - Universidad Externado De Colombia</v>
      </c>
      <c r="W143" s="43" t="str">
        <f>IFERROR(__xludf.DUMMYFUNCTION("""COMPUTED_VALUE"""),"2023-04-10T19:45:11Z")</f>
        <v>2023-04-10T19:45:11Z</v>
      </c>
      <c r="X143" s="43"/>
      <c r="Y143" s="43"/>
      <c r="Z143" s="43"/>
    </row>
    <row r="144" hidden="1">
      <c r="A144" s="43" t="str">
        <f>IFERROR(__xludf.DUMMYFUNCTION("""COMPUTED_VALUE"""),"5085141_1292002")</f>
        <v>5085141_1292002</v>
      </c>
      <c r="B144" s="43" t="str">
        <f>IFERROR(__xludf.DUMMYFUNCTION("""COMPUTED_VALUE"""),"Rabia MEDJOUEL")</f>
        <v>Rabia MEDJOUEL</v>
      </c>
      <c r="C144" s="43" t="str">
        <f>IFERROR(__xludf.DUMMYFUNCTION("""COMPUTED_VALUE"""),"finished")</f>
        <v>finished</v>
      </c>
      <c r="D144" s="43" t="str">
        <f>IFERROR(__xludf.DUMMYFUNCTION("""COMPUTED_VALUE"""),"No")</f>
        <v>No</v>
      </c>
      <c r="E144" s="43" t="str">
        <f>IFERROR(__xludf.DUMMYFUNCTION("""COMPUTED_VALUE"""),"p_cb4697331ffc8c543a61da2c4dbff2e0c86af82f@inbound.aiesec.org")</f>
        <v>p_cb4697331ffc8c543a61da2c4dbff2e0c86af82f@inbound.aiesec.org</v>
      </c>
      <c r="F144" s="43">
        <f>IFERROR(__xludf.DUMMYFUNCTION("""COMPUTED_VALUE"""),6.98888917E8)</f>
        <v>698888917</v>
      </c>
      <c r="G144" s="43" t="str">
        <f>IFERROR(__xludf.DUMMYFUNCTION("""COMPUTED_VALUE"""),"Algeria")</f>
        <v>Algeria</v>
      </c>
      <c r="H144" s="43" t="str">
        <f>IFERROR(__xludf.DUMMYFUNCTION("""COMPUTED_VALUE"""),"Ouargla")</f>
        <v>Ouargla</v>
      </c>
      <c r="I144" s="43" t="str">
        <f>IFERROR(__xludf.DUMMYFUNCTION("""COMPUTED_VALUE"""),"Turkey")</f>
        <v>Turkey</v>
      </c>
      <c r="J144" s="43" t="str">
        <f>IFERROR(__xludf.DUMMYFUNCTION("""COMPUTED_VALUE"""),"İZMİR")</f>
        <v>İZMİR</v>
      </c>
      <c r="K144" s="44" t="str">
        <f>IFERROR(__xludf.DUMMYFUNCTION("""COMPUTED_VALUE"""),"https://expa.aiesec.org/opportunities/1292002")</f>
        <v>https://expa.aiesec.org/opportunities/1292002</v>
      </c>
      <c r="L144" s="43" t="str">
        <f>IFERROR(__xludf.DUMMYFUNCTION("""COMPUTED_VALUE"""),"GTa")</f>
        <v>GTa</v>
      </c>
      <c r="M144" s="43" t="str">
        <f>IFERROR(__xludf.DUMMYFUNCTION("""COMPUTED_VALUE"""),"long")</f>
        <v>long</v>
      </c>
      <c r="N144" s="45">
        <f>IFERROR(__xludf.DUMMYFUNCTION("""COMPUTED_VALUE"""),45028.0)</f>
        <v>45028</v>
      </c>
      <c r="O144" s="45">
        <f>IFERROR(__xludf.DUMMYFUNCTION("""COMPUTED_VALUE"""),45027.0)</f>
        <v>45027</v>
      </c>
      <c r="P144" s="45">
        <f>IFERROR(__xludf.DUMMYFUNCTION("""COMPUTED_VALUE"""),45261.0)</f>
        <v>45261</v>
      </c>
      <c r="Q144" s="45">
        <f>IFERROR(__xludf.DUMMYFUNCTION("""COMPUTED_VALUE"""),45029.0)</f>
        <v>45029</v>
      </c>
      <c r="R144" s="45">
        <f>IFERROR(__xludf.DUMMYFUNCTION("""COMPUTED_VALUE"""),45279.0)</f>
        <v>45279</v>
      </c>
      <c r="S144" s="43"/>
      <c r="T144" s="43" t="str">
        <f>IFERROR(__xludf.DUMMYFUNCTION("""COMPUTED_VALUE"""),"Business Administration")</f>
        <v>Business Administration</v>
      </c>
      <c r="U144" s="43" t="str">
        <f>IFERROR(__xludf.DUMMYFUNCTION("""COMPUTED_VALUE"""),"Interpreter")</f>
        <v>Interpreter</v>
      </c>
      <c r="V144" s="43" t="str">
        <f>IFERROR(__xludf.DUMMYFUNCTION("""COMPUTED_VALUE"""),"AIESEC in Ouargla")</f>
        <v>AIESEC in Ouargla</v>
      </c>
      <c r="W144" s="43" t="str">
        <f>IFERROR(__xludf.DUMMYFUNCTION("""COMPUTED_VALUE"""),"2022-07-23T00:12:56Z")</f>
        <v>2022-07-23T00:12:56Z</v>
      </c>
      <c r="X144" s="43"/>
      <c r="Y144" s="43"/>
      <c r="Z144" s="43"/>
    </row>
    <row r="145" hidden="1">
      <c r="A145" s="43" t="str">
        <f>IFERROR(__xludf.DUMMYFUNCTION("""COMPUTED_VALUE"""),"5211794_1284869")</f>
        <v>5211794_1284869</v>
      </c>
      <c r="B145" s="43" t="str">
        <f>IFERROR(__xludf.DUMMYFUNCTION("""COMPUTED_VALUE"""),"Ayas Salma")</f>
        <v>Ayas Salma</v>
      </c>
      <c r="C145" s="43" t="str">
        <f>IFERROR(__xludf.DUMMYFUNCTION("""COMPUTED_VALUE"""),"realized")</f>
        <v>realized</v>
      </c>
      <c r="D145" s="43" t="str">
        <f>IFERROR(__xludf.DUMMYFUNCTION("""COMPUTED_VALUE"""),"No")</f>
        <v>No</v>
      </c>
      <c r="E145" s="43" t="str">
        <f>IFERROR(__xludf.DUMMYFUNCTION("""COMPUTED_VALUE"""),"p_a20dcfed09643680dd2713fbaf5445d7d15beaf8@inbound.aiesec.org")</f>
        <v>p_a20dcfed09643680dd2713fbaf5445d7d15beaf8@inbound.aiesec.org</v>
      </c>
      <c r="F145" s="43">
        <f>IFERROR(__xludf.DUMMYFUNCTION("""COMPUTED_VALUE"""),7.96625829E8)</f>
        <v>796625829</v>
      </c>
      <c r="G145" s="43" t="str">
        <f>IFERROR(__xludf.DUMMYFUNCTION("""COMPUTED_VALUE"""),"Algeria")</f>
        <v>Algeria</v>
      </c>
      <c r="H145" s="43" t="str">
        <f>IFERROR(__xludf.DUMMYFUNCTION("""COMPUTED_VALUE"""),"Blida")</f>
        <v>Blida</v>
      </c>
      <c r="I145" s="43" t="str">
        <f>IFERROR(__xludf.DUMMYFUNCTION("""COMPUTED_VALUE"""),"Turkey")</f>
        <v>Turkey</v>
      </c>
      <c r="J145" s="43" t="str">
        <f>IFERROR(__xludf.DUMMYFUNCTION("""COMPUTED_VALUE"""),"KONYA")</f>
        <v>KONYA</v>
      </c>
      <c r="K145" s="44" t="str">
        <f>IFERROR(__xludf.DUMMYFUNCTION("""COMPUTED_VALUE"""),"https://expa.aiesec.org/opportunities/1284869")</f>
        <v>https://expa.aiesec.org/opportunities/1284869</v>
      </c>
      <c r="L145" s="43" t="str">
        <f>IFERROR(__xludf.DUMMYFUNCTION("""COMPUTED_VALUE"""),"GTa")</f>
        <v>GTa</v>
      </c>
      <c r="M145" s="43" t="str">
        <f>IFERROR(__xludf.DUMMYFUNCTION("""COMPUTED_VALUE"""),"long")</f>
        <v>long</v>
      </c>
      <c r="N145" s="45">
        <f>IFERROR(__xludf.DUMMYFUNCTION("""COMPUTED_VALUE"""),45032.0)</f>
        <v>45032</v>
      </c>
      <c r="O145" s="45">
        <f>IFERROR(__xludf.DUMMYFUNCTION("""COMPUTED_VALUE"""),45108.0)</f>
        <v>45108</v>
      </c>
      <c r="P145" s="45">
        <f>IFERROR(__xludf.DUMMYFUNCTION("""COMPUTED_VALUE"""),45474.0)</f>
        <v>45474</v>
      </c>
      <c r="Q145" s="45">
        <f>IFERROR(__xludf.DUMMYFUNCTION("""COMPUTED_VALUE"""),45078.0)</f>
        <v>45078</v>
      </c>
      <c r="R145" s="45">
        <f>IFERROR(__xludf.DUMMYFUNCTION("""COMPUTED_VALUE"""),45474.0)</f>
        <v>45474</v>
      </c>
      <c r="S145" s="43"/>
      <c r="T145" s="43" t="str">
        <f>IFERROR(__xludf.DUMMYFUNCTION("""COMPUTED_VALUE"""),"Marketing")</f>
        <v>Marketing</v>
      </c>
      <c r="U145" s="43" t="str">
        <f>IFERROR(__xludf.DUMMYFUNCTION("""COMPUTED_VALUE"""),"Marketing Specialist at Samed Dedemli")</f>
        <v>Marketing Specialist at Samed Dedemli</v>
      </c>
      <c r="V145" s="43" t="str">
        <f>IFERROR(__xludf.DUMMYFUNCTION("""COMPUTED_VALUE"""),"AIESEC in Blida")</f>
        <v>AIESEC in Blida</v>
      </c>
      <c r="W145" s="43" t="str">
        <f>IFERROR(__xludf.DUMMYFUNCTION("""COMPUTED_VALUE"""),"2023-03-10T08:55:34Z")</f>
        <v>2023-03-10T08:55:34Z</v>
      </c>
      <c r="X145" s="43"/>
      <c r="Y145" s="43"/>
      <c r="Z145" s="43"/>
    </row>
    <row r="146" hidden="1">
      <c r="A146" s="43" t="str">
        <f>IFERROR(__xludf.DUMMYFUNCTION("""COMPUTED_VALUE"""),"5241307_1289255")</f>
        <v>5241307_1289255</v>
      </c>
      <c r="B146" s="43" t="str">
        <f>IFERROR(__xludf.DUMMYFUNCTION("""COMPUTED_VALUE"""),"Nouhaila Karami")</f>
        <v>Nouhaila Karami</v>
      </c>
      <c r="C146" s="43" t="str">
        <f>IFERROR(__xludf.DUMMYFUNCTION("""COMPUTED_VALUE"""),"realized")</f>
        <v>realized</v>
      </c>
      <c r="D146" s="43" t="str">
        <f>IFERROR(__xludf.DUMMYFUNCTION("""COMPUTED_VALUE"""),"No")</f>
        <v>No</v>
      </c>
      <c r="E146" s="43" t="str">
        <f>IFERROR(__xludf.DUMMYFUNCTION("""COMPUTED_VALUE"""),"p_def7150275297c15aec30fd37e0fbe87aad97aa3@inbound.aiesec.org")</f>
        <v>p_def7150275297c15aec30fd37e0fbe87aad97aa3@inbound.aiesec.org</v>
      </c>
      <c r="F146" s="43"/>
      <c r="G146" s="43" t="str">
        <f>IFERROR(__xludf.DUMMYFUNCTION("""COMPUTED_VALUE"""),"Morocco")</f>
        <v>Morocco</v>
      </c>
      <c r="H146" s="43" t="str">
        <f>IFERROR(__xludf.DUMMYFUNCTION("""COMPUTED_VALUE"""),"Tetouan")</f>
        <v>Tetouan</v>
      </c>
      <c r="I146" s="43" t="str">
        <f>IFERROR(__xludf.DUMMYFUNCTION("""COMPUTED_VALUE"""),"Turkey")</f>
        <v>Turkey</v>
      </c>
      <c r="J146" s="43" t="str">
        <f>IFERROR(__xludf.DUMMYFUNCTION("""COMPUTED_VALUE"""),"ISTANBUL")</f>
        <v>ISTANBUL</v>
      </c>
      <c r="K146" s="44" t="str">
        <f>IFERROR(__xludf.DUMMYFUNCTION("""COMPUTED_VALUE"""),"https://expa.aiesec.org/opportunities/1289255")</f>
        <v>https://expa.aiesec.org/opportunities/1289255</v>
      </c>
      <c r="L146" s="43" t="str">
        <f>IFERROR(__xludf.DUMMYFUNCTION("""COMPUTED_VALUE"""),"GTa")</f>
        <v>GTa</v>
      </c>
      <c r="M146" s="43" t="str">
        <f>IFERROR(__xludf.DUMMYFUNCTION("""COMPUTED_VALUE"""),"long")</f>
        <v>long</v>
      </c>
      <c r="N146" s="45">
        <f>IFERROR(__xludf.DUMMYFUNCTION("""COMPUTED_VALUE"""),45033.0)</f>
        <v>45033</v>
      </c>
      <c r="O146" s="45">
        <f>IFERROR(__xludf.DUMMYFUNCTION("""COMPUTED_VALUE"""),45068.0)</f>
        <v>45068</v>
      </c>
      <c r="P146" s="45">
        <f>IFERROR(__xludf.DUMMYFUNCTION("""COMPUTED_VALUE"""),45611.0)</f>
        <v>45611</v>
      </c>
      <c r="Q146" s="45">
        <f>IFERROR(__xludf.DUMMYFUNCTION("""COMPUTED_VALUE"""),45069.0)</f>
        <v>45069</v>
      </c>
      <c r="R146" s="45">
        <f>IFERROR(__xludf.DUMMYFUNCTION("""COMPUTED_VALUE"""),45618.0)</f>
        <v>45618</v>
      </c>
      <c r="S146" s="43"/>
      <c r="T146" s="43" t="str">
        <f>IFERROR(__xludf.DUMMYFUNCTION("""COMPUTED_VALUE"""),"Business Administration")</f>
        <v>Business Administration</v>
      </c>
      <c r="U146" s="43" t="str">
        <f>IFERROR(__xludf.DUMMYFUNCTION("""COMPUTED_VALUE"""),"Telesales Specialist in Istanbul (French Speaker)")</f>
        <v>Telesales Specialist in Istanbul (French Speaker)</v>
      </c>
      <c r="V146" s="43" t="str">
        <f>IFERROR(__xludf.DUMMYFUNCTION("""COMPUTED_VALUE"""),"-")</f>
        <v>-</v>
      </c>
      <c r="W146" s="43" t="str">
        <f>IFERROR(__xludf.DUMMYFUNCTION("""COMPUTED_VALUE"""),"2023-04-13T15:03:17Z")</f>
        <v>2023-04-13T15:03:17Z</v>
      </c>
      <c r="X146" s="43"/>
      <c r="Y146" s="43"/>
      <c r="Z146" s="43"/>
    </row>
    <row r="147" hidden="1">
      <c r="A147" s="43" t="str">
        <f>IFERROR(__xludf.DUMMYFUNCTION("""COMPUTED_VALUE"""),"1926660_1286122")</f>
        <v>1926660_1286122</v>
      </c>
      <c r="B147" s="43" t="str">
        <f>IFERROR(__xludf.DUMMYFUNCTION("""COMPUTED_VALUE"""),"Sadia Afrin")</f>
        <v>Sadia Afrin</v>
      </c>
      <c r="C147" s="43" t="str">
        <f>IFERROR(__xludf.DUMMYFUNCTION("""COMPUTED_VALUE"""),"realized")</f>
        <v>realized</v>
      </c>
      <c r="D147" s="43" t="str">
        <f>IFERROR(__xludf.DUMMYFUNCTION("""COMPUTED_VALUE"""),"No")</f>
        <v>No</v>
      </c>
      <c r="E147" s="43" t="str">
        <f>IFERROR(__xludf.DUMMYFUNCTION("""COMPUTED_VALUE"""),"p_f4e398498ae720b28dd504a7c3f670784d292741@inbound.aiesec.org")</f>
        <v>p_f4e398498ae720b28dd504a7c3f670784d292741@inbound.aiesec.org</v>
      </c>
      <c r="F147" s="43"/>
      <c r="G147" s="43" t="str">
        <f>IFERROR(__xludf.DUMMYFUNCTION("""COMPUTED_VALUE"""),"Bangladesh")</f>
        <v>Bangladesh</v>
      </c>
      <c r="H147" s="43" t="str">
        <f>IFERROR(__xludf.DUMMYFUNCTION("""COMPUTED_VALUE"""),"National Office")</f>
        <v>National Office</v>
      </c>
      <c r="I147" s="43" t="str">
        <f>IFERROR(__xludf.DUMMYFUNCTION("""COMPUTED_VALUE"""),"Turkey")</f>
        <v>Turkey</v>
      </c>
      <c r="J147" s="43" t="str">
        <f>IFERROR(__xludf.DUMMYFUNCTION("""COMPUTED_VALUE"""),"BURSA")</f>
        <v>BURSA</v>
      </c>
      <c r="K147" s="44" t="str">
        <f>IFERROR(__xludf.DUMMYFUNCTION("""COMPUTED_VALUE"""),"https://expa.aiesec.org/opportunities/1286122")</f>
        <v>https://expa.aiesec.org/opportunities/1286122</v>
      </c>
      <c r="L147" s="43" t="str">
        <f>IFERROR(__xludf.DUMMYFUNCTION("""COMPUTED_VALUE"""),"GTa")</f>
        <v>GTa</v>
      </c>
      <c r="M147" s="43" t="str">
        <f>IFERROR(__xludf.DUMMYFUNCTION("""COMPUTED_VALUE"""),"long")</f>
        <v>long</v>
      </c>
      <c r="N147" s="45">
        <f>IFERROR(__xludf.DUMMYFUNCTION("""COMPUTED_VALUE"""),45035.0)</f>
        <v>45035</v>
      </c>
      <c r="O147" s="45">
        <f>IFERROR(__xludf.DUMMYFUNCTION("""COMPUTED_VALUE"""),45061.0)</f>
        <v>45061</v>
      </c>
      <c r="P147" s="45">
        <f>IFERROR(__xludf.DUMMYFUNCTION("""COMPUTED_VALUE"""),45427.0)</f>
        <v>45427</v>
      </c>
      <c r="Q147" s="45">
        <f>IFERROR(__xludf.DUMMYFUNCTION("""COMPUTED_VALUE"""),45100.0)</f>
        <v>45100</v>
      </c>
      <c r="R147" s="45">
        <f>IFERROR(__xludf.DUMMYFUNCTION("""COMPUTED_VALUE"""),45466.0)</f>
        <v>45466</v>
      </c>
      <c r="S147" s="43"/>
      <c r="T147" s="43" t="str">
        <f>IFERROR(__xludf.DUMMYFUNCTION("""COMPUTED_VALUE"""),"Marketing")</f>
        <v>Marketing</v>
      </c>
      <c r="U147" s="43" t="str">
        <f>IFERROR(__xludf.DUMMYFUNCTION("""COMPUTED_VALUE"""),"Marketing/ E-Commerce")</f>
        <v>Marketing/ E-Commerce</v>
      </c>
      <c r="V147" s="43" t="str">
        <f>IFERROR(__xludf.DUMMYFUNCTION("""COMPUTED_VALUE"""),"-")</f>
        <v>-</v>
      </c>
      <c r="W147" s="43" t="str">
        <f>IFERROR(__xludf.DUMMYFUNCTION("""COMPUTED_VALUE"""),"2017-12-08T11:58:16Z")</f>
        <v>2017-12-08T11:58:16Z</v>
      </c>
      <c r="X147" s="43"/>
      <c r="Y147" s="43"/>
      <c r="Z147" s="43"/>
    </row>
    <row r="148" hidden="1">
      <c r="A148" s="43" t="str">
        <f>IFERROR(__xludf.DUMMYFUNCTION("""COMPUTED_VALUE"""),"4706953_1293165")</f>
        <v>4706953_1293165</v>
      </c>
      <c r="B148" s="43" t="str">
        <f>IFERROR(__xludf.DUMMYFUNCTION("""COMPUTED_VALUE"""),"Badr Eddine Benfetima")</f>
        <v>Badr Eddine Benfetima</v>
      </c>
      <c r="C148" s="43" t="str">
        <f>IFERROR(__xludf.DUMMYFUNCTION("""COMPUTED_VALUE"""),"realized")</f>
        <v>realized</v>
      </c>
      <c r="D148" s="43" t="str">
        <f>IFERROR(__xludf.DUMMYFUNCTION("""COMPUTED_VALUE"""),"No")</f>
        <v>No</v>
      </c>
      <c r="E148" s="43" t="str">
        <f>IFERROR(__xludf.DUMMYFUNCTION("""COMPUTED_VALUE"""),"p_cab70b9d2832468967baa65ddef4b0b6110a3d80@inbound.aiesec.org")</f>
        <v>p_cab70b9d2832468967baa65ddef4b0b6110a3d80@inbound.aiesec.org</v>
      </c>
      <c r="F148" s="43">
        <f>IFERROR(__xludf.DUMMYFUNCTION("""COMPUTED_VALUE"""),5.59148119E8)</f>
        <v>559148119</v>
      </c>
      <c r="G148" s="43" t="str">
        <f>IFERROR(__xludf.DUMMYFUNCTION("""COMPUTED_VALUE"""),"Algeria")</f>
        <v>Algeria</v>
      </c>
      <c r="H148" s="43" t="str">
        <f>IFERROR(__xludf.DUMMYFUNCTION("""COMPUTED_VALUE"""),"Blida")</f>
        <v>Blida</v>
      </c>
      <c r="I148" s="43" t="str">
        <f>IFERROR(__xludf.DUMMYFUNCTION("""COMPUTED_VALUE"""),"Turkey")</f>
        <v>Turkey</v>
      </c>
      <c r="J148" s="43" t="str">
        <f>IFERROR(__xludf.DUMMYFUNCTION("""COMPUTED_VALUE"""),"ISTANBUL WEST")</f>
        <v>ISTANBUL WEST</v>
      </c>
      <c r="K148" s="44" t="str">
        <f>IFERROR(__xludf.DUMMYFUNCTION("""COMPUTED_VALUE"""),"https://expa.aiesec.org/opportunities/1293165")</f>
        <v>https://expa.aiesec.org/opportunities/1293165</v>
      </c>
      <c r="L148" s="43" t="str">
        <f>IFERROR(__xludf.DUMMYFUNCTION("""COMPUTED_VALUE"""),"GTa")</f>
        <v>GTa</v>
      </c>
      <c r="M148" s="43" t="str">
        <f>IFERROR(__xludf.DUMMYFUNCTION("""COMPUTED_VALUE"""),"long")</f>
        <v>long</v>
      </c>
      <c r="N148" s="45">
        <f>IFERROR(__xludf.DUMMYFUNCTION("""COMPUTED_VALUE"""),45036.0)</f>
        <v>45036</v>
      </c>
      <c r="O148" s="45">
        <f>IFERROR(__xludf.DUMMYFUNCTION("""COMPUTED_VALUE"""),45054.0)</f>
        <v>45054</v>
      </c>
      <c r="P148" s="45">
        <f>IFERROR(__xludf.DUMMYFUNCTION("""COMPUTED_VALUE"""),45417.0)</f>
        <v>45417</v>
      </c>
      <c r="Q148" s="45">
        <f>IFERROR(__xludf.DUMMYFUNCTION("""COMPUTED_VALUE"""),45075.0)</f>
        <v>45075</v>
      </c>
      <c r="R148" s="45">
        <f>IFERROR(__xludf.DUMMYFUNCTION("""COMPUTED_VALUE"""),45438.0)</f>
        <v>45438</v>
      </c>
      <c r="S148" s="43"/>
      <c r="T148" s="43" t="str">
        <f>IFERROR(__xludf.DUMMYFUNCTION("""COMPUTED_VALUE"""),"Marketing")</f>
        <v>Marketing</v>
      </c>
      <c r="U148" s="43" t="str">
        <f>IFERROR(__xludf.DUMMYFUNCTION("""COMPUTED_VALUE"""),"Market Research/Analyst")</f>
        <v>Market Research/Analyst</v>
      </c>
      <c r="V148" s="43" t="str">
        <f>IFERROR(__xludf.DUMMYFUNCTION("""COMPUTED_VALUE"""),"-")</f>
        <v>-</v>
      </c>
      <c r="W148" s="43" t="str">
        <f>IFERROR(__xludf.DUMMYFUNCTION("""COMPUTED_VALUE"""),"2021-08-08T10:36:08Z")</f>
        <v>2021-08-08T10:36:08Z</v>
      </c>
      <c r="X148" s="43"/>
      <c r="Y148" s="43"/>
      <c r="Z148" s="43"/>
    </row>
    <row r="149" hidden="1">
      <c r="A149" s="43" t="str">
        <f>IFERROR(__xludf.DUMMYFUNCTION("""COMPUTED_VALUE"""),"5201467_1291671")</f>
        <v>5201467_1291671</v>
      </c>
      <c r="B149" s="43" t="str">
        <f>IFERROR(__xludf.DUMMYFUNCTION("""COMPUTED_VALUE"""),"Rayen Rouaissi")</f>
        <v>Rayen Rouaissi</v>
      </c>
      <c r="C149" s="43" t="str">
        <f>IFERROR(__xludf.DUMMYFUNCTION("""COMPUTED_VALUE"""),"completed")</f>
        <v>completed</v>
      </c>
      <c r="D149" s="43" t="str">
        <f>IFERROR(__xludf.DUMMYFUNCTION("""COMPUTED_VALUE"""),"No")</f>
        <v>No</v>
      </c>
      <c r="E149" s="43" t="str">
        <f>IFERROR(__xludf.DUMMYFUNCTION("""COMPUTED_VALUE"""),"p_196f0cb1ea324aa709ae414e80ffaac5843f0863@inbound.aiesec.org")</f>
        <v>p_196f0cb1ea324aa709ae414e80ffaac5843f0863@inbound.aiesec.org</v>
      </c>
      <c r="F149" s="43"/>
      <c r="G149" s="43" t="str">
        <f>IFERROR(__xludf.DUMMYFUNCTION("""COMPUTED_VALUE"""),"Tunisia")</f>
        <v>Tunisia</v>
      </c>
      <c r="H149" s="43" t="str">
        <f>IFERROR(__xludf.DUMMYFUNCTION("""COMPUTED_VALUE"""),"BARDO")</f>
        <v>BARDO</v>
      </c>
      <c r="I149" s="43" t="str">
        <f>IFERROR(__xludf.DUMMYFUNCTION("""COMPUTED_VALUE"""),"Turkey")</f>
        <v>Turkey</v>
      </c>
      <c r="J149" s="43" t="str">
        <f>IFERROR(__xludf.DUMMYFUNCTION("""COMPUTED_VALUE"""),"ESKISEHIR")</f>
        <v>ESKISEHIR</v>
      </c>
      <c r="K149" s="44" t="str">
        <f>IFERROR(__xludf.DUMMYFUNCTION("""COMPUTED_VALUE"""),"https://expa.aiesec.org/opportunities/1291671")</f>
        <v>https://expa.aiesec.org/opportunities/1291671</v>
      </c>
      <c r="L149" s="43" t="str">
        <f>IFERROR(__xludf.DUMMYFUNCTION("""COMPUTED_VALUE"""),"GTa")</f>
        <v>GTa</v>
      </c>
      <c r="M149" s="43" t="str">
        <f>IFERROR(__xludf.DUMMYFUNCTION("""COMPUTED_VALUE"""),"short")</f>
        <v>short</v>
      </c>
      <c r="N149" s="45">
        <f>IFERROR(__xludf.DUMMYFUNCTION("""COMPUTED_VALUE"""),45040.0)</f>
        <v>45040</v>
      </c>
      <c r="O149" s="45">
        <f>IFERROR(__xludf.DUMMYFUNCTION("""COMPUTED_VALUE"""),45078.0)</f>
        <v>45078</v>
      </c>
      <c r="P149" s="45">
        <f>IFERROR(__xludf.DUMMYFUNCTION("""COMPUTED_VALUE"""),45161.0)</f>
        <v>45161</v>
      </c>
      <c r="Q149" s="45">
        <f>IFERROR(__xludf.DUMMYFUNCTION("""COMPUTED_VALUE"""),45076.0)</f>
        <v>45076</v>
      </c>
      <c r="R149" s="45">
        <f>IFERROR(__xludf.DUMMYFUNCTION("""COMPUTED_VALUE"""),45161.0)</f>
        <v>45161</v>
      </c>
      <c r="S149" s="43"/>
      <c r="T149" s="43" t="str">
        <f>IFERROR(__xludf.DUMMYFUNCTION("""COMPUTED_VALUE"""),"Business Development")</f>
        <v>Business Development</v>
      </c>
      <c r="U149" s="43" t="str">
        <f>IFERROR(__xludf.DUMMYFUNCTION("""COMPUTED_VALUE"""),"Consumer Service Consultant")</f>
        <v>Consumer Service Consultant</v>
      </c>
      <c r="V149" s="43" t="str">
        <f>IFERROR(__xludf.DUMMYFUNCTION("""COMPUTED_VALUE"""),"-")</f>
        <v>-</v>
      </c>
      <c r="W149" s="43" t="str">
        <f>IFERROR(__xludf.DUMMYFUNCTION("""COMPUTED_VALUE"""),"2023-02-28T16:06:20Z")</f>
        <v>2023-02-28T16:06:20Z</v>
      </c>
      <c r="X149" s="43"/>
      <c r="Y149" s="43"/>
      <c r="Z149" s="43"/>
    </row>
    <row r="150" hidden="1">
      <c r="A150" s="43" t="str">
        <f>IFERROR(__xludf.DUMMYFUNCTION("""COMPUTED_VALUE"""),"3851026_1291783")</f>
        <v>3851026_1291783</v>
      </c>
      <c r="B150" s="43" t="str">
        <f>IFERROR(__xludf.DUMMYFUNCTION("""COMPUTED_VALUE"""),"Abdelrhman Aly")</f>
        <v>Abdelrhman Aly</v>
      </c>
      <c r="C150" s="43" t="str">
        <f>IFERROR(__xludf.DUMMYFUNCTION("""COMPUTED_VALUE"""),"realized")</f>
        <v>realized</v>
      </c>
      <c r="D150" s="43" t="str">
        <f>IFERROR(__xludf.DUMMYFUNCTION("""COMPUTED_VALUE"""),"No")</f>
        <v>No</v>
      </c>
      <c r="E150" s="43" t="str">
        <f>IFERROR(__xludf.DUMMYFUNCTION("""COMPUTED_VALUE"""),"p_8446084caa9c4a6cb24fe65e7d608498537e503b@inbound.aiesec.org")</f>
        <v>p_8446084caa9c4a6cb24fe65e7d608498537e503b@inbound.aiesec.org</v>
      </c>
      <c r="F150" s="43">
        <f>IFERROR(__xludf.DUMMYFUNCTION("""COMPUTED_VALUE"""),1.008389357E9)</f>
        <v>1008389357</v>
      </c>
      <c r="G150" s="43" t="str">
        <f>IFERROR(__xludf.DUMMYFUNCTION("""COMPUTED_VALUE"""),"Egypt")</f>
        <v>Egypt</v>
      </c>
      <c r="H150" s="43" t="str">
        <f>IFERROR(__xludf.DUMMYFUNCTION("""COMPUTED_VALUE"""),"Alexandria")</f>
        <v>Alexandria</v>
      </c>
      <c r="I150" s="43" t="str">
        <f>IFERROR(__xludf.DUMMYFUNCTION("""COMPUTED_VALUE"""),"Turkey")</f>
        <v>Turkey</v>
      </c>
      <c r="J150" s="43" t="str">
        <f>IFERROR(__xludf.DUMMYFUNCTION("""COMPUTED_VALUE"""),"ISTANBUL")</f>
        <v>ISTANBUL</v>
      </c>
      <c r="K150" s="44" t="str">
        <f>IFERROR(__xludf.DUMMYFUNCTION("""COMPUTED_VALUE"""),"https://expa.aiesec.org/opportunities/1291783")</f>
        <v>https://expa.aiesec.org/opportunities/1291783</v>
      </c>
      <c r="L150" s="43" t="str">
        <f>IFERROR(__xludf.DUMMYFUNCTION("""COMPUTED_VALUE"""),"GTa")</f>
        <v>GTa</v>
      </c>
      <c r="M150" s="43" t="str">
        <f>IFERROR(__xludf.DUMMYFUNCTION("""COMPUTED_VALUE"""),"long")</f>
        <v>long</v>
      </c>
      <c r="N150" s="45">
        <f>IFERROR(__xludf.DUMMYFUNCTION("""COMPUTED_VALUE"""),45043.0)</f>
        <v>45043</v>
      </c>
      <c r="O150" s="45">
        <f>IFERROR(__xludf.DUMMYFUNCTION("""COMPUTED_VALUE"""),45096.0)</f>
        <v>45096</v>
      </c>
      <c r="P150" s="45">
        <f>IFERROR(__xludf.DUMMYFUNCTION("""COMPUTED_VALUE"""),45464.0)</f>
        <v>45464</v>
      </c>
      <c r="Q150" s="45">
        <f>IFERROR(__xludf.DUMMYFUNCTION("""COMPUTED_VALUE"""),45146.0)</f>
        <v>45146</v>
      </c>
      <c r="R150" s="45">
        <f>IFERROR(__xludf.DUMMYFUNCTION("""COMPUTED_VALUE"""),45514.0)</f>
        <v>45514</v>
      </c>
      <c r="S150" s="43"/>
      <c r="T150" s="43" t="str">
        <f>IFERROR(__xludf.DUMMYFUNCTION("""COMPUTED_VALUE"""),"Business Administration")</f>
        <v>Business Administration</v>
      </c>
      <c r="U150" s="43" t="str">
        <f>IFERROR(__xludf.DUMMYFUNCTION("""COMPUTED_VALUE"""),"Telesales Internship in Istanbul")</f>
        <v>Telesales Internship in Istanbul</v>
      </c>
      <c r="V150" s="43" t="str">
        <f>IFERROR(__xludf.DUMMYFUNCTION("""COMPUTED_VALUE"""),"-")</f>
        <v>-</v>
      </c>
      <c r="W150" s="43" t="str">
        <f>IFERROR(__xludf.DUMMYFUNCTION("""COMPUTED_VALUE"""),"2019-09-24T10:32:03Z")</f>
        <v>2019-09-24T10:32:03Z</v>
      </c>
      <c r="X150" s="43"/>
      <c r="Y150" s="43"/>
      <c r="Z150" s="43"/>
    </row>
    <row r="151" hidden="1">
      <c r="A151" s="43" t="str">
        <f>IFERROR(__xludf.DUMMYFUNCTION("""COMPUTED_VALUE"""),"5249267_1291473")</f>
        <v>5249267_1291473</v>
      </c>
      <c r="B151" s="43" t="str">
        <f>IFERROR(__xludf.DUMMYFUNCTION("""COMPUTED_VALUE"""),"Mohammed Brighli")</f>
        <v>Mohammed Brighli</v>
      </c>
      <c r="C151" s="43" t="str">
        <f>IFERROR(__xludf.DUMMYFUNCTION("""COMPUTED_VALUE"""),"realized")</f>
        <v>realized</v>
      </c>
      <c r="D151" s="43" t="str">
        <f>IFERROR(__xludf.DUMMYFUNCTION("""COMPUTED_VALUE"""),"No")</f>
        <v>No</v>
      </c>
      <c r="E151" s="43" t="str">
        <f>IFERROR(__xludf.DUMMYFUNCTION("""COMPUTED_VALUE"""),"p_a7a440904ebc0dcd6ebac2662ddcfff7f43142ee@inbound.aiesec.org")</f>
        <v>p_a7a440904ebc0dcd6ebac2662ddcfff7f43142ee@inbound.aiesec.org</v>
      </c>
      <c r="F151" s="43"/>
      <c r="G151" s="43" t="str">
        <f>IFERROR(__xludf.DUMMYFUNCTION("""COMPUTED_VALUE"""),"Morocco")</f>
        <v>Morocco</v>
      </c>
      <c r="H151" s="43" t="str">
        <f>IFERROR(__xludf.DUMMYFUNCTION("""COMPUTED_VALUE"""),"Ben Guerir")</f>
        <v>Ben Guerir</v>
      </c>
      <c r="I151" s="43" t="str">
        <f>IFERROR(__xludf.DUMMYFUNCTION("""COMPUTED_VALUE"""),"Turkey")</f>
        <v>Turkey</v>
      </c>
      <c r="J151" s="43" t="str">
        <f>IFERROR(__xludf.DUMMYFUNCTION("""COMPUTED_VALUE"""),"ESKISEHIR")</f>
        <v>ESKISEHIR</v>
      </c>
      <c r="K151" s="44" t="str">
        <f>IFERROR(__xludf.DUMMYFUNCTION("""COMPUTED_VALUE"""),"https://expa.aiesec.org/opportunities/1291473")</f>
        <v>https://expa.aiesec.org/opportunities/1291473</v>
      </c>
      <c r="L151" s="43" t="str">
        <f>IFERROR(__xludf.DUMMYFUNCTION("""COMPUTED_VALUE"""),"GTa")</f>
        <v>GTa</v>
      </c>
      <c r="M151" s="43" t="str">
        <f>IFERROR(__xludf.DUMMYFUNCTION("""COMPUTED_VALUE"""),"long")</f>
        <v>long</v>
      </c>
      <c r="N151" s="45">
        <f>IFERROR(__xludf.DUMMYFUNCTION("""COMPUTED_VALUE"""),45044.0)</f>
        <v>45044</v>
      </c>
      <c r="O151" s="45">
        <f>IFERROR(__xludf.DUMMYFUNCTION("""COMPUTED_VALUE"""),45127.0)</f>
        <v>45127</v>
      </c>
      <c r="P151" s="45">
        <f>IFERROR(__xludf.DUMMYFUNCTION("""COMPUTED_VALUE"""),45492.0)</f>
        <v>45492</v>
      </c>
      <c r="Q151" s="45">
        <f>IFERROR(__xludf.DUMMYFUNCTION("""COMPUTED_VALUE"""),45123.0)</f>
        <v>45123</v>
      </c>
      <c r="R151" s="45">
        <f>IFERROR(__xludf.DUMMYFUNCTION("""COMPUTED_VALUE"""),45492.0)</f>
        <v>45492</v>
      </c>
      <c r="S151" s="43"/>
      <c r="T151" s="43" t="str">
        <f>IFERROR(__xludf.DUMMYFUNCTION("""COMPUTED_VALUE"""),"Information Technology")</f>
        <v>Information Technology</v>
      </c>
      <c r="U151" s="43" t="str">
        <f>IFERROR(__xludf.DUMMYFUNCTION("""COMPUTED_VALUE"""),"Game Developer in Unity Software")</f>
        <v>Game Developer in Unity Software</v>
      </c>
      <c r="V151" s="43" t="str">
        <f>IFERROR(__xludf.DUMMYFUNCTION("""COMPUTED_VALUE"""),"-")</f>
        <v>-</v>
      </c>
      <c r="W151" s="43" t="str">
        <f>IFERROR(__xludf.DUMMYFUNCTION("""COMPUTED_VALUE"""),"2023-04-25T16:59:52Z")</f>
        <v>2023-04-25T16:59:52Z</v>
      </c>
      <c r="X151" s="43"/>
      <c r="Y151" s="43"/>
      <c r="Z151" s="43"/>
    </row>
    <row r="152" hidden="1">
      <c r="A152" s="43" t="str">
        <f>IFERROR(__xludf.DUMMYFUNCTION("""COMPUTED_VALUE"""),"4890241_1294332")</f>
        <v>4890241_1294332</v>
      </c>
      <c r="B152" s="43" t="str">
        <f>IFERROR(__xludf.DUMMYFUNCTION("""COMPUTED_VALUE"""),"Ivy wanjiru Gatimu")</f>
        <v>Ivy wanjiru Gatimu</v>
      </c>
      <c r="C152" s="43" t="str">
        <f>IFERROR(__xludf.DUMMYFUNCTION("""COMPUTED_VALUE"""),"realized")</f>
        <v>realized</v>
      </c>
      <c r="D152" s="43" t="str">
        <f>IFERROR(__xludf.DUMMYFUNCTION("""COMPUTED_VALUE"""),"No")</f>
        <v>No</v>
      </c>
      <c r="E152" s="43" t="str">
        <f>IFERROR(__xludf.DUMMYFUNCTION("""COMPUTED_VALUE"""),"p_2031463a266b1af6a13d74653a89491d648c915f@inbound.aiesec.org")</f>
        <v>p_2031463a266b1af6a13d74653a89491d648c915f@inbound.aiesec.org</v>
      </c>
      <c r="F152" s="43">
        <f>IFERROR(__xludf.DUMMYFUNCTION("""COMPUTED_VALUE"""),7.14618052E8)</f>
        <v>714618052</v>
      </c>
      <c r="G152" s="43" t="str">
        <f>IFERROR(__xludf.DUMMYFUNCTION("""COMPUTED_VALUE"""),"Middle East and Africa")</f>
        <v>Middle East and Africa</v>
      </c>
      <c r="H152" s="43" t="str">
        <f>IFERROR(__xludf.DUMMYFUNCTION("""COMPUTED_VALUE"""),"Kenya")</f>
        <v>Kenya</v>
      </c>
      <c r="I152" s="43" t="str">
        <f>IFERROR(__xludf.DUMMYFUNCTION("""COMPUTED_VALUE"""),"Turkey")</f>
        <v>Turkey</v>
      </c>
      <c r="J152" s="43" t="str">
        <f>IFERROR(__xludf.DUMMYFUNCTION("""COMPUTED_VALUE"""),"ISTANBUL WEST")</f>
        <v>ISTANBUL WEST</v>
      </c>
      <c r="K152" s="44" t="str">
        <f>IFERROR(__xludf.DUMMYFUNCTION("""COMPUTED_VALUE"""),"https://expa.aiesec.org/opportunities/1294332")</f>
        <v>https://expa.aiesec.org/opportunities/1294332</v>
      </c>
      <c r="L152" s="43" t="str">
        <f>IFERROR(__xludf.DUMMYFUNCTION("""COMPUTED_VALUE"""),"GTa")</f>
        <v>GTa</v>
      </c>
      <c r="M152" s="43" t="str">
        <f>IFERROR(__xludf.DUMMYFUNCTION("""COMPUTED_VALUE"""),"long")</f>
        <v>long</v>
      </c>
      <c r="N152" s="45">
        <f>IFERROR(__xludf.DUMMYFUNCTION("""COMPUTED_VALUE"""),45045.0)</f>
        <v>45045</v>
      </c>
      <c r="O152" s="45">
        <f>IFERROR(__xludf.DUMMYFUNCTION("""COMPUTED_VALUE"""),45117.0)</f>
        <v>45117</v>
      </c>
      <c r="P152" s="45">
        <f>IFERROR(__xludf.DUMMYFUNCTION("""COMPUTED_VALUE"""),45474.0)</f>
        <v>45474</v>
      </c>
      <c r="Q152" s="45">
        <f>IFERROR(__xludf.DUMMYFUNCTION("""COMPUTED_VALUE"""),45120.0)</f>
        <v>45120</v>
      </c>
      <c r="R152" s="45">
        <f>IFERROR(__xludf.DUMMYFUNCTION("""COMPUTED_VALUE"""),45477.0)</f>
        <v>45477</v>
      </c>
      <c r="S152" s="43"/>
      <c r="T152" s="43" t="str">
        <f>IFERROR(__xludf.DUMMYFUNCTION("""COMPUTED_VALUE"""),"Business Administration")</f>
        <v>Business Administration</v>
      </c>
      <c r="U152" s="43" t="str">
        <f>IFERROR(__xludf.DUMMYFUNCTION("""COMPUTED_VALUE"""),"Sales Consultant ( Customer Service )")</f>
        <v>Sales Consultant ( Customer Service )</v>
      </c>
      <c r="V152" s="43" t="str">
        <f>IFERROR(__xludf.DUMMYFUNCTION("""COMPUTED_VALUE"""),"Other")</f>
        <v>Other</v>
      </c>
      <c r="W152" s="43" t="str">
        <f>IFERROR(__xludf.DUMMYFUNCTION("""COMPUTED_VALUE"""),"2022-01-20T11:18:12Z")</f>
        <v>2022-01-20T11:18:12Z</v>
      </c>
      <c r="X152" s="43"/>
      <c r="Y152" s="43"/>
      <c r="Z152" s="43"/>
    </row>
    <row r="153" hidden="1">
      <c r="A153" s="43" t="str">
        <f>IFERROR(__xludf.DUMMYFUNCTION("""COMPUTED_VALUE"""),"5213404_1285555")</f>
        <v>5213404_1285555</v>
      </c>
      <c r="B153" s="43" t="str">
        <f>IFERROR(__xludf.DUMMYFUNCTION("""COMPUTED_VALUE"""),"Kenza Jabouk")</f>
        <v>Kenza Jabouk</v>
      </c>
      <c r="C153" s="43" t="str">
        <f>IFERROR(__xludf.DUMMYFUNCTION("""COMPUTED_VALUE"""),"realized")</f>
        <v>realized</v>
      </c>
      <c r="D153" s="43" t="str">
        <f>IFERROR(__xludf.DUMMYFUNCTION("""COMPUTED_VALUE"""),"No")</f>
        <v>No</v>
      </c>
      <c r="E153" s="43" t="str">
        <f>IFERROR(__xludf.DUMMYFUNCTION("""COMPUTED_VALUE"""),"p_8ddb463910dca9961fb55d0588d3863be94a09a0@inbound.aiesec.org")</f>
        <v>p_8ddb463910dca9961fb55d0588d3863be94a09a0@inbound.aiesec.org</v>
      </c>
      <c r="F153" s="43">
        <f>IFERROR(__xludf.DUMMYFUNCTION("""COMPUTED_VALUE"""),6.52148321E8)</f>
        <v>652148321</v>
      </c>
      <c r="G153" s="43" t="str">
        <f>IFERROR(__xludf.DUMMYFUNCTION("""COMPUTED_VALUE"""),"Morocco")</f>
        <v>Morocco</v>
      </c>
      <c r="H153" s="43" t="str">
        <f>IFERROR(__xludf.DUMMYFUNCTION("""COMPUTED_VALUE"""),"Morocco (MC)")</f>
        <v>Morocco (MC)</v>
      </c>
      <c r="I153" s="43" t="str">
        <f>IFERROR(__xludf.DUMMYFUNCTION("""COMPUTED_VALUE"""),"Turkey")</f>
        <v>Turkey</v>
      </c>
      <c r="J153" s="43" t="str">
        <f>IFERROR(__xludf.DUMMYFUNCTION("""COMPUTED_VALUE"""),"ISTANBUL")</f>
        <v>ISTANBUL</v>
      </c>
      <c r="K153" s="44" t="str">
        <f>IFERROR(__xludf.DUMMYFUNCTION("""COMPUTED_VALUE"""),"https://expa.aiesec.org/opportunities/1285555")</f>
        <v>https://expa.aiesec.org/opportunities/1285555</v>
      </c>
      <c r="L153" s="43" t="str">
        <f>IFERROR(__xludf.DUMMYFUNCTION("""COMPUTED_VALUE"""),"GTa")</f>
        <v>GTa</v>
      </c>
      <c r="M153" s="43" t="str">
        <f>IFERROR(__xludf.DUMMYFUNCTION("""COMPUTED_VALUE"""),"long")</f>
        <v>long</v>
      </c>
      <c r="N153" s="45">
        <f>IFERROR(__xludf.DUMMYFUNCTION("""COMPUTED_VALUE"""),45045.0)</f>
        <v>45045</v>
      </c>
      <c r="O153" s="45">
        <f>IFERROR(__xludf.DUMMYFUNCTION("""COMPUTED_VALUE"""),45026.0)</f>
        <v>45026</v>
      </c>
      <c r="P153" s="45">
        <f>IFERROR(__xludf.DUMMYFUNCTION("""COMPUTED_VALUE"""),45394.0)</f>
        <v>45394</v>
      </c>
      <c r="Q153" s="45">
        <f>IFERROR(__xludf.DUMMYFUNCTION("""COMPUTED_VALUE"""),45084.0)</f>
        <v>45084</v>
      </c>
      <c r="R153" s="45">
        <f>IFERROR(__xludf.DUMMYFUNCTION("""COMPUTED_VALUE"""),45452.0)</f>
        <v>45452</v>
      </c>
      <c r="S153" s="43"/>
      <c r="T153" s="43" t="str">
        <f>IFERROR(__xludf.DUMMYFUNCTION("""COMPUTED_VALUE"""),"Business Administration")</f>
        <v>Business Administration</v>
      </c>
      <c r="U153" s="43" t="str">
        <f>IFERROR(__xludf.DUMMYFUNCTION("""COMPUTED_VALUE"""),"Customer Support Junior Specialist")</f>
        <v>Customer Support Junior Specialist</v>
      </c>
      <c r="V153" s="43" t="str">
        <f>IFERROR(__xludf.DUMMYFUNCTION("""COMPUTED_VALUE"""),"ISTAH Marrakech")</f>
        <v>ISTAH Marrakech</v>
      </c>
      <c r="W153" s="43" t="str">
        <f>IFERROR(__xludf.DUMMYFUNCTION("""COMPUTED_VALUE"""),"2023-03-11T21:52:00Z")</f>
        <v>2023-03-11T21:52:00Z</v>
      </c>
      <c r="X153" s="43"/>
      <c r="Y153" s="43"/>
      <c r="Z153" s="43"/>
    </row>
    <row r="154" hidden="1">
      <c r="A154" s="43" t="str">
        <f>IFERROR(__xludf.DUMMYFUNCTION("""COMPUTED_VALUE"""),"5221105_1292717")</f>
        <v>5221105_1292717</v>
      </c>
      <c r="B154" s="43" t="str">
        <f>IFERROR(__xludf.DUMMYFUNCTION("""COMPUTED_VALUE"""),"Aya Taktak")</f>
        <v>Aya Taktak</v>
      </c>
      <c r="C154" s="43" t="str">
        <f>IFERROR(__xludf.DUMMYFUNCTION("""COMPUTED_VALUE"""),"completed")</f>
        <v>completed</v>
      </c>
      <c r="D154" s="43" t="str">
        <f>IFERROR(__xludf.DUMMYFUNCTION("""COMPUTED_VALUE"""),"No")</f>
        <v>No</v>
      </c>
      <c r="E154" s="43" t="str">
        <f>IFERROR(__xludf.DUMMYFUNCTION("""COMPUTED_VALUE"""),"p_cbd423303d6c50c23334418d5f42de971d751072@inbound.aiesec.org")</f>
        <v>p_cbd423303d6c50c23334418d5f42de971d751072@inbound.aiesec.org</v>
      </c>
      <c r="F154" s="43"/>
      <c r="G154" s="43" t="str">
        <f>IFERROR(__xludf.DUMMYFUNCTION("""COMPUTED_VALUE"""),"Tunisia")</f>
        <v>Tunisia</v>
      </c>
      <c r="H154" s="43" t="str">
        <f>IFERROR(__xludf.DUMMYFUNCTION("""COMPUTED_VALUE"""),"THYNA")</f>
        <v>THYNA</v>
      </c>
      <c r="I154" s="43" t="str">
        <f>IFERROR(__xludf.DUMMYFUNCTION("""COMPUTED_VALUE"""),"Turkey")</f>
        <v>Turkey</v>
      </c>
      <c r="J154" s="43" t="str">
        <f>IFERROR(__xludf.DUMMYFUNCTION("""COMPUTED_VALUE"""),"ISPARTA")</f>
        <v>ISPARTA</v>
      </c>
      <c r="K154" s="44" t="str">
        <f>IFERROR(__xludf.DUMMYFUNCTION("""COMPUTED_VALUE"""),"https://expa.aiesec.org/opportunities/1292717")</f>
        <v>https://expa.aiesec.org/opportunities/1292717</v>
      </c>
      <c r="L154" s="43" t="str">
        <f>IFERROR(__xludf.DUMMYFUNCTION("""COMPUTED_VALUE"""),"GTa")</f>
        <v>GTa</v>
      </c>
      <c r="M154" s="43" t="str">
        <f>IFERROR(__xludf.DUMMYFUNCTION("""COMPUTED_VALUE"""),"short")</f>
        <v>short</v>
      </c>
      <c r="N154" s="45">
        <f>IFERROR(__xludf.DUMMYFUNCTION("""COMPUTED_VALUE"""),45046.0)</f>
        <v>45046</v>
      </c>
      <c r="O154" s="45">
        <f>IFERROR(__xludf.DUMMYFUNCTION("""COMPUTED_VALUE"""),45067.0)</f>
        <v>45067</v>
      </c>
      <c r="P154" s="45">
        <f>IFERROR(__xludf.DUMMYFUNCTION("""COMPUTED_VALUE"""),45150.0)</f>
        <v>45150</v>
      </c>
      <c r="Q154" s="45">
        <f>IFERROR(__xludf.DUMMYFUNCTION("""COMPUTED_VALUE"""),45097.0)</f>
        <v>45097</v>
      </c>
      <c r="R154" s="45">
        <f>IFERROR(__xludf.DUMMYFUNCTION("""COMPUTED_VALUE"""),45179.0)</f>
        <v>45179</v>
      </c>
      <c r="S154" s="43"/>
      <c r="T154" s="43" t="str">
        <f>IFERROR(__xludf.DUMMYFUNCTION("""COMPUTED_VALUE"""),"Marketing")</f>
        <v>Marketing</v>
      </c>
      <c r="U154" s="43" t="str">
        <f>IFERROR(__xludf.DUMMYFUNCTION("""COMPUTED_VALUE"""),"Digital Marketing Designer")</f>
        <v>Digital Marketing Designer</v>
      </c>
      <c r="V154" s="43" t="str">
        <f>IFERROR(__xludf.DUMMYFUNCTION("""COMPUTED_VALUE"""),"-")</f>
        <v>-</v>
      </c>
      <c r="W154" s="43" t="str">
        <f>IFERROR(__xludf.DUMMYFUNCTION("""COMPUTED_VALUE"""),"2023-03-19T17:43:22Z")</f>
        <v>2023-03-19T17:43:22Z</v>
      </c>
      <c r="X154" s="43"/>
      <c r="Y154" s="43"/>
      <c r="Z154" s="43"/>
    </row>
    <row r="155" hidden="1">
      <c r="A155" s="43" t="str">
        <f>IFERROR(__xludf.DUMMYFUNCTION("""COMPUTED_VALUE"""),"5242143_1288909")</f>
        <v>5242143_1288909</v>
      </c>
      <c r="B155" s="43" t="str">
        <f>IFERROR(__xludf.DUMMYFUNCTION("""COMPUTED_VALUE"""),"Mauricio Alexander Jiménez Ocón")</f>
        <v>Mauricio Alexander Jiménez Ocón</v>
      </c>
      <c r="C155" s="43" t="str">
        <f>IFERROR(__xludf.DUMMYFUNCTION("""COMPUTED_VALUE"""),"realized")</f>
        <v>realized</v>
      </c>
      <c r="D155" s="43" t="str">
        <f>IFERROR(__xludf.DUMMYFUNCTION("""COMPUTED_VALUE"""),"No")</f>
        <v>No</v>
      </c>
      <c r="E155" s="43" t="str">
        <f>IFERROR(__xludf.DUMMYFUNCTION("""COMPUTED_VALUE"""),"p_2803af5dbabdbed75126d863641766f282ea7cf4@inbound.aiesec.org")</f>
        <v>p_2803af5dbabdbed75126d863641766f282ea7cf4@inbound.aiesec.org</v>
      </c>
      <c r="F155" s="43"/>
      <c r="G155" s="43" t="str">
        <f>IFERROR(__xludf.DUMMYFUNCTION("""COMPUTED_VALUE"""),"Peru")</f>
        <v>Peru</v>
      </c>
      <c r="H155" s="43" t="str">
        <f>IFERROR(__xludf.DUMMYFUNCTION("""COMPUTED_VALUE"""),"Lima")</f>
        <v>Lima</v>
      </c>
      <c r="I155" s="43" t="str">
        <f>IFERROR(__xludf.DUMMYFUNCTION("""COMPUTED_VALUE"""),"Turkey")</f>
        <v>Turkey</v>
      </c>
      <c r="J155" s="43" t="str">
        <f>IFERROR(__xludf.DUMMYFUNCTION("""COMPUTED_VALUE"""),"ISTANBUL ASIA")</f>
        <v>ISTANBUL ASIA</v>
      </c>
      <c r="K155" s="44" t="str">
        <f>IFERROR(__xludf.DUMMYFUNCTION("""COMPUTED_VALUE"""),"https://expa.aiesec.org/opportunities/1288909")</f>
        <v>https://expa.aiesec.org/opportunities/1288909</v>
      </c>
      <c r="L155" s="43" t="str">
        <f>IFERROR(__xludf.DUMMYFUNCTION("""COMPUTED_VALUE"""),"GTa")</f>
        <v>GTa</v>
      </c>
      <c r="M155" s="43" t="str">
        <f>IFERROR(__xludf.DUMMYFUNCTION("""COMPUTED_VALUE"""),"long")</f>
        <v>long</v>
      </c>
      <c r="N155" s="45">
        <f>IFERROR(__xludf.DUMMYFUNCTION("""COMPUTED_VALUE"""),45046.0)</f>
        <v>45046</v>
      </c>
      <c r="O155" s="45">
        <f>IFERROR(__xludf.DUMMYFUNCTION("""COMPUTED_VALUE"""),45082.0)</f>
        <v>45082</v>
      </c>
      <c r="P155" s="45">
        <f>IFERROR(__xludf.DUMMYFUNCTION("""COMPUTED_VALUE"""),45448.0)</f>
        <v>45448</v>
      </c>
      <c r="Q155" s="45">
        <f>IFERROR(__xludf.DUMMYFUNCTION("""COMPUTED_VALUE"""),45087.0)</f>
        <v>45087</v>
      </c>
      <c r="R155" s="45">
        <f>IFERROR(__xludf.DUMMYFUNCTION("""COMPUTED_VALUE"""),45453.0)</f>
        <v>45453</v>
      </c>
      <c r="S155" s="43"/>
      <c r="T155" s="43" t="str">
        <f>IFERROR(__xludf.DUMMYFUNCTION("""COMPUTED_VALUE"""),"Marketing")</f>
        <v>Marketing</v>
      </c>
      <c r="U155" s="43" t="str">
        <f>IFERROR(__xludf.DUMMYFUNCTION("""COMPUTED_VALUE"""),"Market Development Specialist")</f>
        <v>Market Development Specialist</v>
      </c>
      <c r="V155" s="43" t="str">
        <f>IFERROR(__xludf.DUMMYFUNCTION("""COMPUTED_VALUE"""),"-")</f>
        <v>-</v>
      </c>
      <c r="W155" s="43" t="str">
        <f>IFERROR(__xludf.DUMMYFUNCTION("""COMPUTED_VALUE"""),"2023-04-14T16:53:26Z")</f>
        <v>2023-04-14T16:53:26Z</v>
      </c>
      <c r="X155" s="43"/>
      <c r="Y155" s="43"/>
      <c r="Z155" s="43"/>
    </row>
    <row r="156" hidden="1">
      <c r="A156" s="43" t="str">
        <f>IFERROR(__xludf.DUMMYFUNCTION("""COMPUTED_VALUE"""),"5252585_1289378")</f>
        <v>5252585_1289378</v>
      </c>
      <c r="B156" s="43" t="str">
        <f>IFERROR(__xludf.DUMMYFUNCTION("""COMPUTED_VALUE"""),"Mohamed Tita")</f>
        <v>Mohamed Tita</v>
      </c>
      <c r="C156" s="43" t="str">
        <f>IFERROR(__xludf.DUMMYFUNCTION("""COMPUTED_VALUE"""),"realized")</f>
        <v>realized</v>
      </c>
      <c r="D156" s="43" t="str">
        <f>IFERROR(__xludf.DUMMYFUNCTION("""COMPUTED_VALUE"""),"No")</f>
        <v>No</v>
      </c>
      <c r="E156" s="43" t="str">
        <f>IFERROR(__xludf.DUMMYFUNCTION("""COMPUTED_VALUE"""),"p_2110bc5d14b392c61c8878ea677beb111c84c20a@inbound.aiesec.org")</f>
        <v>p_2110bc5d14b392c61c8878ea677beb111c84c20a@inbound.aiesec.org</v>
      </c>
      <c r="F156" s="43">
        <f>IFERROR(__xludf.DUMMYFUNCTION("""COMPUTED_VALUE"""),6.96882457E8)</f>
        <v>696882457</v>
      </c>
      <c r="G156" s="43" t="str">
        <f>IFERROR(__xludf.DUMMYFUNCTION("""COMPUTED_VALUE"""),"Morocco")</f>
        <v>Morocco</v>
      </c>
      <c r="H156" s="43" t="str">
        <f>IFERROR(__xludf.DUMMYFUNCTION("""COMPUTED_VALUE"""),"Tangier")</f>
        <v>Tangier</v>
      </c>
      <c r="I156" s="43" t="str">
        <f>IFERROR(__xludf.DUMMYFUNCTION("""COMPUTED_VALUE"""),"Turkey")</f>
        <v>Turkey</v>
      </c>
      <c r="J156" s="43" t="str">
        <f>IFERROR(__xludf.DUMMYFUNCTION("""COMPUTED_VALUE"""),"ISTANBUL")</f>
        <v>ISTANBUL</v>
      </c>
      <c r="K156" s="44" t="str">
        <f>IFERROR(__xludf.DUMMYFUNCTION("""COMPUTED_VALUE"""),"https://expa.aiesec.org/opportunities/1289378")</f>
        <v>https://expa.aiesec.org/opportunities/1289378</v>
      </c>
      <c r="L156" s="43" t="str">
        <f>IFERROR(__xludf.DUMMYFUNCTION("""COMPUTED_VALUE"""),"GTa")</f>
        <v>GTa</v>
      </c>
      <c r="M156" s="43" t="str">
        <f>IFERROR(__xludf.DUMMYFUNCTION("""COMPUTED_VALUE"""),"long")</f>
        <v>long</v>
      </c>
      <c r="N156" s="45">
        <f>IFERROR(__xludf.DUMMYFUNCTION("""COMPUTED_VALUE"""),45047.0)</f>
        <v>45047</v>
      </c>
      <c r="O156" s="45">
        <f>IFERROR(__xludf.DUMMYFUNCTION("""COMPUTED_VALUE"""),45089.0)</f>
        <v>45089</v>
      </c>
      <c r="P156" s="45">
        <f>IFERROR(__xludf.DUMMYFUNCTION("""COMPUTED_VALUE"""),45611.0)</f>
        <v>45611</v>
      </c>
      <c r="Q156" s="45">
        <f>IFERROR(__xludf.DUMMYFUNCTION("""COMPUTED_VALUE"""),45089.0)</f>
        <v>45089</v>
      </c>
      <c r="R156" s="45">
        <f>IFERROR(__xludf.DUMMYFUNCTION("""COMPUTED_VALUE"""),45611.0)</f>
        <v>45611</v>
      </c>
      <c r="S156" s="43"/>
      <c r="T156" s="43" t="str">
        <f>IFERROR(__xludf.DUMMYFUNCTION("""COMPUTED_VALUE"""),"Business Administration")</f>
        <v>Business Administration</v>
      </c>
      <c r="U156" s="43" t="str">
        <f>IFERROR(__xludf.DUMMYFUNCTION("""COMPUTED_VALUE"""),"Telesales Specialist in Istanbul (Spanish Speaker)")</f>
        <v>Telesales Specialist in Istanbul (Spanish Speaker)</v>
      </c>
      <c r="V156" s="43" t="str">
        <f>IFERROR(__xludf.DUMMYFUNCTION("""COMPUTED_VALUE"""),"Ecole Supérieure Roi Fahd de Traduction Tanger")</f>
        <v>Ecole Supérieure Roi Fahd de Traduction Tanger</v>
      </c>
      <c r="W156" s="43" t="str">
        <f>IFERROR(__xludf.DUMMYFUNCTION("""COMPUTED_VALUE"""),"2023-04-29T16:23:41Z")</f>
        <v>2023-04-29T16:23:41Z</v>
      </c>
      <c r="X156" s="43"/>
      <c r="Y156" s="43"/>
      <c r="Z156" s="43"/>
    </row>
    <row r="157" hidden="1">
      <c r="A157" s="43" t="str">
        <f>IFERROR(__xludf.DUMMYFUNCTION("""COMPUTED_VALUE"""),"5254353_1278791")</f>
        <v>5254353_1278791</v>
      </c>
      <c r="B157" s="43" t="str">
        <f>IFERROR(__xludf.DUMMYFUNCTION("""COMPUTED_VALUE"""),"Houssem Ben Yahya")</f>
        <v>Houssem Ben Yahya</v>
      </c>
      <c r="C157" s="43" t="str">
        <f>IFERROR(__xludf.DUMMYFUNCTION("""COMPUTED_VALUE"""),"realized")</f>
        <v>realized</v>
      </c>
      <c r="D157" s="43" t="str">
        <f>IFERROR(__xludf.DUMMYFUNCTION("""COMPUTED_VALUE"""),"No")</f>
        <v>No</v>
      </c>
      <c r="E157" s="43" t="str">
        <f>IFERROR(__xludf.DUMMYFUNCTION("""COMPUTED_VALUE"""),"p_1d78d9e0d0766b648dd1ffed507220b9f158ad3f@inbound.aiesec.org")</f>
        <v>p_1d78d9e0d0766b648dd1ffed507220b9f158ad3f@inbound.aiesec.org</v>
      </c>
      <c r="F157" s="43"/>
      <c r="G157" s="43" t="str">
        <f>IFERROR(__xludf.DUMMYFUNCTION("""COMPUTED_VALUE"""),"Tunisia")</f>
        <v>Tunisia</v>
      </c>
      <c r="H157" s="43" t="str">
        <f>IFERROR(__xludf.DUMMYFUNCTION("""COMPUTED_VALUE"""),"Carthage")</f>
        <v>Carthage</v>
      </c>
      <c r="I157" s="43" t="str">
        <f>IFERROR(__xludf.DUMMYFUNCTION("""COMPUTED_VALUE"""),"Turkey")</f>
        <v>Turkey</v>
      </c>
      <c r="J157" s="43" t="str">
        <f>IFERROR(__xludf.DUMMYFUNCTION("""COMPUTED_VALUE"""),"KOCAELI")</f>
        <v>KOCAELI</v>
      </c>
      <c r="K157" s="44" t="str">
        <f>IFERROR(__xludf.DUMMYFUNCTION("""COMPUTED_VALUE"""),"https://expa.aiesec.org/opportunities/1278791")</f>
        <v>https://expa.aiesec.org/opportunities/1278791</v>
      </c>
      <c r="L157" s="43" t="str">
        <f>IFERROR(__xludf.DUMMYFUNCTION("""COMPUTED_VALUE"""),"GTa")</f>
        <v>GTa</v>
      </c>
      <c r="M157" s="43" t="str">
        <f>IFERROR(__xludf.DUMMYFUNCTION("""COMPUTED_VALUE"""),"long")</f>
        <v>long</v>
      </c>
      <c r="N157" s="45">
        <f>IFERROR(__xludf.DUMMYFUNCTION("""COMPUTED_VALUE"""),45049.0)</f>
        <v>45049</v>
      </c>
      <c r="O157" s="45">
        <f>IFERROR(__xludf.DUMMYFUNCTION("""COMPUTED_VALUE"""),45075.0)</f>
        <v>45075</v>
      </c>
      <c r="P157" s="45">
        <f>IFERROR(__xludf.DUMMYFUNCTION("""COMPUTED_VALUE"""),45441.0)</f>
        <v>45441</v>
      </c>
      <c r="Q157" s="45">
        <f>IFERROR(__xludf.DUMMYFUNCTION("""COMPUTED_VALUE"""),45101.0)</f>
        <v>45101</v>
      </c>
      <c r="R157" s="45">
        <f>IFERROR(__xludf.DUMMYFUNCTION("""COMPUTED_VALUE"""),45465.0)</f>
        <v>45465</v>
      </c>
      <c r="S157" s="43"/>
      <c r="T157" s="43" t="str">
        <f>IFERROR(__xludf.DUMMYFUNCTION("""COMPUTED_VALUE"""),"Business Development")</f>
        <v>Business Development</v>
      </c>
      <c r="U157" s="43" t="str">
        <f>IFERROR(__xludf.DUMMYFUNCTION("""COMPUTED_VALUE"""),"Export Sales and Marketing Specialist in ABS Madencilik")</f>
        <v>Export Sales and Marketing Specialist in ABS Madencilik</v>
      </c>
      <c r="V157" s="43" t="str">
        <f>IFERROR(__xludf.DUMMYFUNCTION("""COMPUTED_VALUE"""),"IHEC Carthage")</f>
        <v>IHEC Carthage</v>
      </c>
      <c r="W157" s="43" t="str">
        <f>IFERROR(__xludf.DUMMYFUNCTION("""COMPUTED_VALUE"""),"2023-05-02T15:10:42Z")</f>
        <v>2023-05-02T15:10:42Z</v>
      </c>
      <c r="X157" s="43"/>
      <c r="Y157" s="43"/>
      <c r="Z157" s="43"/>
    </row>
    <row r="158" hidden="1">
      <c r="A158" s="43" t="str">
        <f>IFERROR(__xludf.DUMMYFUNCTION("""COMPUTED_VALUE"""),"4776928_1293541")</f>
        <v>4776928_1293541</v>
      </c>
      <c r="B158" s="43" t="str">
        <f>IFERROR(__xludf.DUMMYFUNCTION("""COMPUTED_VALUE"""),"Arij Zaghmouri")</f>
        <v>Arij Zaghmouri</v>
      </c>
      <c r="C158" s="43" t="str">
        <f>IFERROR(__xludf.DUMMYFUNCTION("""COMPUTED_VALUE"""),"realized")</f>
        <v>realized</v>
      </c>
      <c r="D158" s="43" t="str">
        <f>IFERROR(__xludf.DUMMYFUNCTION("""COMPUTED_VALUE"""),"No")</f>
        <v>No</v>
      </c>
      <c r="E158" s="43" t="str">
        <f>IFERROR(__xludf.DUMMYFUNCTION("""COMPUTED_VALUE"""),"p_91231e82c1fd9983d5e2892613f76920b6a6f9c1@inbound.aiesec.org")</f>
        <v>p_91231e82c1fd9983d5e2892613f76920b6a6f9c1@inbound.aiesec.org</v>
      </c>
      <c r="F158" s="43">
        <f>IFERROR(__xludf.DUMMYFUNCTION("""COMPUTED_VALUE"""),2.2457893E7)</f>
        <v>22457893</v>
      </c>
      <c r="G158" s="43" t="str">
        <f>IFERROR(__xludf.DUMMYFUNCTION("""COMPUTED_VALUE"""),"Tunisia")</f>
        <v>Tunisia</v>
      </c>
      <c r="H158" s="43" t="str">
        <f>IFERROR(__xludf.DUMMYFUNCTION("""COMPUTED_VALUE"""),"UNIVERSITY")</f>
        <v>UNIVERSITY</v>
      </c>
      <c r="I158" s="43" t="str">
        <f>IFERROR(__xludf.DUMMYFUNCTION("""COMPUTED_VALUE"""),"Turkey")</f>
        <v>Turkey</v>
      </c>
      <c r="J158" s="43" t="str">
        <f>IFERROR(__xludf.DUMMYFUNCTION("""COMPUTED_VALUE"""),"ANKARA")</f>
        <v>ANKARA</v>
      </c>
      <c r="K158" s="44" t="str">
        <f>IFERROR(__xludf.DUMMYFUNCTION("""COMPUTED_VALUE"""),"https://expa.aiesec.org/opportunities/1293541")</f>
        <v>https://expa.aiesec.org/opportunities/1293541</v>
      </c>
      <c r="L158" s="43" t="str">
        <f>IFERROR(__xludf.DUMMYFUNCTION("""COMPUTED_VALUE"""),"GTa")</f>
        <v>GTa</v>
      </c>
      <c r="M158" s="43" t="str">
        <f>IFERROR(__xludf.DUMMYFUNCTION("""COMPUTED_VALUE"""),"long")</f>
        <v>long</v>
      </c>
      <c r="N158" s="45">
        <f>IFERROR(__xludf.DUMMYFUNCTION("""COMPUTED_VALUE"""),45052.0)</f>
        <v>45052</v>
      </c>
      <c r="O158" s="45">
        <f>IFERROR(__xludf.DUMMYFUNCTION("""COMPUTED_VALUE"""),45076.0)</f>
        <v>45076</v>
      </c>
      <c r="P158" s="45">
        <f>IFERROR(__xludf.DUMMYFUNCTION("""COMPUTED_VALUE"""),45436.0)</f>
        <v>45436</v>
      </c>
      <c r="Q158" s="45">
        <f>IFERROR(__xludf.DUMMYFUNCTION("""COMPUTED_VALUE"""),45121.0)</f>
        <v>45121</v>
      </c>
      <c r="R158" s="45">
        <f>IFERROR(__xludf.DUMMYFUNCTION("""COMPUTED_VALUE"""),45483.0)</f>
        <v>45483</v>
      </c>
      <c r="S158" s="43"/>
      <c r="T158" s="43" t="str">
        <f>IFERROR(__xludf.DUMMYFUNCTION("""COMPUTED_VALUE"""),"Business Development")</f>
        <v>Business Development</v>
      </c>
      <c r="U158" s="43" t="str">
        <f>IFERROR(__xludf.DUMMYFUNCTION("""COMPUTED_VALUE"""),"International Sales Manager ")</f>
        <v>International Sales Manager </v>
      </c>
      <c r="V158" s="43" t="str">
        <f>IFERROR(__xludf.DUMMYFUNCTION("""COMPUTED_VALUE"""),"ISET Rades")</f>
        <v>ISET Rades</v>
      </c>
      <c r="W158" s="43" t="str">
        <f>IFERROR(__xludf.DUMMYFUNCTION("""COMPUTED_VALUE"""),"2021-10-29T09:17:26Z")</f>
        <v>2021-10-29T09:17:26Z</v>
      </c>
      <c r="X158" s="43"/>
      <c r="Y158" s="43"/>
      <c r="Z158" s="43"/>
    </row>
    <row r="159" hidden="1">
      <c r="A159" s="43" t="str">
        <f>IFERROR(__xludf.DUMMYFUNCTION("""COMPUTED_VALUE"""),"5254960_1286505")</f>
        <v>5254960_1286505</v>
      </c>
      <c r="B159" s="43" t="str">
        <f>IFERROR(__xludf.DUMMYFUNCTION("""COMPUTED_VALUE"""),"Esra'a Majdy")</f>
        <v>Esra'a Majdy</v>
      </c>
      <c r="C159" s="43" t="str">
        <f>IFERROR(__xludf.DUMMYFUNCTION("""COMPUTED_VALUE"""),"realization_broken")</f>
        <v>realization_broken</v>
      </c>
      <c r="D159" s="43" t="str">
        <f>IFERROR(__xludf.DUMMYFUNCTION("""COMPUTED_VALUE"""),"No")</f>
        <v>No</v>
      </c>
      <c r="E159" s="43" t="str">
        <f>IFERROR(__xludf.DUMMYFUNCTION("""COMPUTED_VALUE"""),"p_89ae1e4fb0369b01d37e9d0771a409f1cf50a3c6@inbound.aiesec.org")</f>
        <v>p_89ae1e4fb0369b01d37e9d0771a409f1cf50a3c6@inbound.aiesec.org</v>
      </c>
      <c r="F159" s="43">
        <f>IFERROR(__xludf.DUMMYFUNCTION("""COMPUTED_VALUE"""),1.11805092E9)</f>
        <v>1118050920</v>
      </c>
      <c r="G159" s="43" t="str">
        <f>IFERROR(__xludf.DUMMYFUNCTION("""COMPUTED_VALUE"""),"Egypt")</f>
        <v>Egypt</v>
      </c>
      <c r="H159" s="43" t="str">
        <f>IFERROR(__xludf.DUMMYFUNCTION("""COMPUTED_VALUE"""),"Mansoura")</f>
        <v>Mansoura</v>
      </c>
      <c r="I159" s="43" t="str">
        <f>IFERROR(__xludf.DUMMYFUNCTION("""COMPUTED_VALUE"""),"Turkey")</f>
        <v>Turkey</v>
      </c>
      <c r="J159" s="43" t="str">
        <f>IFERROR(__xludf.DUMMYFUNCTION("""COMPUTED_VALUE"""),"TRABZON")</f>
        <v>TRABZON</v>
      </c>
      <c r="K159" s="44" t="str">
        <f>IFERROR(__xludf.DUMMYFUNCTION("""COMPUTED_VALUE"""),"https://expa.aiesec.org/opportunities/1286505")</f>
        <v>https://expa.aiesec.org/opportunities/1286505</v>
      </c>
      <c r="L159" s="43" t="str">
        <f>IFERROR(__xludf.DUMMYFUNCTION("""COMPUTED_VALUE"""),"GTa")</f>
        <v>GTa</v>
      </c>
      <c r="M159" s="43" t="str">
        <f>IFERROR(__xludf.DUMMYFUNCTION("""COMPUTED_VALUE"""),"medium")</f>
        <v>medium</v>
      </c>
      <c r="N159" s="45">
        <f>IFERROR(__xludf.DUMMYFUNCTION("""COMPUTED_VALUE"""),45054.0)</f>
        <v>45054</v>
      </c>
      <c r="O159" s="45">
        <f>IFERROR(__xludf.DUMMYFUNCTION("""COMPUTED_VALUE"""),45097.0)</f>
        <v>45097</v>
      </c>
      <c r="P159" s="45">
        <f>IFERROR(__xludf.DUMMYFUNCTION("""COMPUTED_VALUE"""),45250.0)</f>
        <v>45250</v>
      </c>
      <c r="Q159" s="45"/>
      <c r="R159" s="45"/>
      <c r="S159" s="43"/>
      <c r="T159" s="43" t="str">
        <f>IFERROR(__xludf.DUMMYFUNCTION("""COMPUTED_VALUE"""),"Marketing")</f>
        <v>Marketing</v>
      </c>
      <c r="U159" s="43" t="str">
        <f>IFERROR(__xludf.DUMMYFUNCTION("""COMPUTED_VALUE"""),"Sales and Marketing")</f>
        <v>Sales and Marketing</v>
      </c>
      <c r="V159" s="43" t="str">
        <f>IFERROR(__xludf.DUMMYFUNCTION("""COMPUTED_VALUE"""),"Mansoura")</f>
        <v>Mansoura</v>
      </c>
      <c r="W159" s="43" t="str">
        <f>IFERROR(__xludf.DUMMYFUNCTION("""COMPUTED_VALUE"""),"2023-05-03T10:52:46Z")</f>
        <v>2023-05-03T10:52:46Z</v>
      </c>
      <c r="X159" s="43"/>
      <c r="Y159" s="43"/>
      <c r="Z159" s="43"/>
    </row>
    <row r="160">
      <c r="A160" s="43" t="str">
        <f>IFERROR(__xludf.DUMMYFUNCTION("""COMPUTED_VALUE"""),"4525261_1294332")</f>
        <v>4525261_1294332</v>
      </c>
      <c r="B160" s="43" t="str">
        <f>IFERROR(__xludf.DUMMYFUNCTION("""COMPUTED_VALUE"""),"Esther Nasubo")</f>
        <v>Esther Nasubo</v>
      </c>
      <c r="C160" s="43" t="str">
        <f>IFERROR(__xludf.DUMMYFUNCTION("""COMPUTED_VALUE"""),"approved")</f>
        <v>approved</v>
      </c>
      <c r="D160" s="43" t="str">
        <f>IFERROR(__xludf.DUMMYFUNCTION("""COMPUTED_VALUE"""),"No")</f>
        <v>No</v>
      </c>
      <c r="E160" s="43" t="str">
        <f>IFERROR(__xludf.DUMMYFUNCTION("""COMPUTED_VALUE"""),"p_4ad8285ce45854a869e940ac49e84768b9a82573@inbound.aiesec.org")</f>
        <v>p_4ad8285ce45854a869e940ac49e84768b9a82573@inbound.aiesec.org</v>
      </c>
      <c r="F160" s="43">
        <f>IFERROR(__xludf.DUMMYFUNCTION("""COMPUTED_VALUE"""),7.01139881E8)</f>
        <v>701139881</v>
      </c>
      <c r="G160" s="43" t="str">
        <f>IFERROR(__xludf.DUMMYFUNCTION("""COMPUTED_VALUE"""),"Kenya")</f>
        <v>Kenya</v>
      </c>
      <c r="H160" s="43" t="str">
        <f>IFERROR(__xludf.DUMMYFUNCTION("""COMPUTED_VALUE"""),"UoN")</f>
        <v>UoN</v>
      </c>
      <c r="I160" s="43" t="str">
        <f>IFERROR(__xludf.DUMMYFUNCTION("""COMPUTED_VALUE"""),"Turkey")</f>
        <v>Turkey</v>
      </c>
      <c r="J160" s="43" t="str">
        <f>IFERROR(__xludf.DUMMYFUNCTION("""COMPUTED_VALUE"""),"ISTANBUL WEST")</f>
        <v>ISTANBUL WEST</v>
      </c>
      <c r="K160" s="44" t="str">
        <f>IFERROR(__xludf.DUMMYFUNCTION("""COMPUTED_VALUE"""),"https://expa.aiesec.org/opportunities/1294332")</f>
        <v>https://expa.aiesec.org/opportunities/1294332</v>
      </c>
      <c r="L160" s="43" t="str">
        <f>IFERROR(__xludf.DUMMYFUNCTION("""COMPUTED_VALUE"""),"GTa")</f>
        <v>GTa</v>
      </c>
      <c r="M160" s="43" t="str">
        <f>IFERROR(__xludf.DUMMYFUNCTION("""COMPUTED_VALUE"""),"long")</f>
        <v>long</v>
      </c>
      <c r="N160" s="45">
        <f>IFERROR(__xludf.DUMMYFUNCTION("""COMPUTED_VALUE"""),45054.0)</f>
        <v>45054</v>
      </c>
      <c r="O160" s="45">
        <f>IFERROR(__xludf.DUMMYFUNCTION("""COMPUTED_VALUE"""),45078.0)</f>
        <v>45078</v>
      </c>
      <c r="P160" s="45">
        <f>IFERROR(__xludf.DUMMYFUNCTION("""COMPUTED_VALUE"""),45435.0)</f>
        <v>45435</v>
      </c>
      <c r="Q160" s="45"/>
      <c r="R160" s="45"/>
      <c r="S160" s="43"/>
      <c r="T160" s="43" t="str">
        <f>IFERROR(__xludf.DUMMYFUNCTION("""COMPUTED_VALUE"""),"Business Administration")</f>
        <v>Business Administration</v>
      </c>
      <c r="U160" s="43" t="str">
        <f>IFERROR(__xludf.DUMMYFUNCTION("""COMPUTED_VALUE"""),"Sales Consultant ( Customer Service )")</f>
        <v>Sales Consultant ( Customer Service )</v>
      </c>
      <c r="V160" s="43" t="str">
        <f>IFERROR(__xludf.DUMMYFUNCTION("""COMPUTED_VALUE"""),"University of Nairobi")</f>
        <v>University of Nairobi</v>
      </c>
      <c r="W160" s="43" t="str">
        <f>IFERROR(__xludf.DUMMYFUNCTION("""COMPUTED_VALUE"""),"2021-01-26T14:54:31Z")</f>
        <v>2021-01-26T14:54:31Z</v>
      </c>
      <c r="X160" s="43"/>
      <c r="Y160" s="43"/>
      <c r="Z160" s="43"/>
    </row>
    <row r="161" hidden="1">
      <c r="A161" s="43" t="str">
        <f>IFERROR(__xludf.DUMMYFUNCTION("""COMPUTED_VALUE"""),"5247288_1294332")</f>
        <v>5247288_1294332</v>
      </c>
      <c r="B161" s="43" t="str">
        <f>IFERROR(__xludf.DUMMYFUNCTION("""COMPUTED_VALUE"""),"Daria Lugovskaia")</f>
        <v>Daria Lugovskaia</v>
      </c>
      <c r="C161" s="43" t="str">
        <f>IFERROR(__xludf.DUMMYFUNCTION("""COMPUTED_VALUE"""),"realized")</f>
        <v>realized</v>
      </c>
      <c r="D161" s="43" t="str">
        <f>IFERROR(__xludf.DUMMYFUNCTION("""COMPUTED_VALUE"""),"No")</f>
        <v>No</v>
      </c>
      <c r="E161" s="43" t="str">
        <f>IFERROR(__xludf.DUMMYFUNCTION("""COMPUTED_VALUE"""),"p_e1341ef2ee7a0f00e47736025c2f31b0565dee5c@inbound.aiesec.org")</f>
        <v>p_e1341ef2ee7a0f00e47736025c2f31b0565dee5c@inbound.aiesec.org</v>
      </c>
      <c r="F161" s="43">
        <f>IFERROR(__xludf.DUMMYFUNCTION("""COMPUTED_VALUE"""),9.951137995E9)</f>
        <v>9951137995</v>
      </c>
      <c r="G161" s="43" t="str">
        <f>IFERROR(__xludf.DUMMYFUNCTION("""COMPUTED_VALUE"""),"Russia")</f>
        <v>Russia</v>
      </c>
      <c r="H161" s="43" t="str">
        <f>IFERROR(__xludf.DUMMYFUNCTION("""COMPUTED_VALUE"""),"MOSCOW")</f>
        <v>MOSCOW</v>
      </c>
      <c r="I161" s="43" t="str">
        <f>IFERROR(__xludf.DUMMYFUNCTION("""COMPUTED_VALUE"""),"Turkey")</f>
        <v>Turkey</v>
      </c>
      <c r="J161" s="43" t="str">
        <f>IFERROR(__xludf.DUMMYFUNCTION("""COMPUTED_VALUE"""),"ISTANBUL WEST")</f>
        <v>ISTANBUL WEST</v>
      </c>
      <c r="K161" s="44" t="str">
        <f>IFERROR(__xludf.DUMMYFUNCTION("""COMPUTED_VALUE"""),"https://expa.aiesec.org/opportunities/1294332")</f>
        <v>https://expa.aiesec.org/opportunities/1294332</v>
      </c>
      <c r="L161" s="43" t="str">
        <f>IFERROR(__xludf.DUMMYFUNCTION("""COMPUTED_VALUE"""),"GTa")</f>
        <v>GTa</v>
      </c>
      <c r="M161" s="43" t="str">
        <f>IFERROR(__xludf.DUMMYFUNCTION("""COMPUTED_VALUE"""),"long")</f>
        <v>long</v>
      </c>
      <c r="N161" s="45">
        <f>IFERROR(__xludf.DUMMYFUNCTION("""COMPUTED_VALUE"""),45055.0)</f>
        <v>45055</v>
      </c>
      <c r="O161" s="45">
        <f>IFERROR(__xludf.DUMMYFUNCTION("""COMPUTED_VALUE"""),45139.0)</f>
        <v>45139</v>
      </c>
      <c r="P161" s="45">
        <f>IFERROR(__xludf.DUMMYFUNCTION("""COMPUTED_VALUE"""),45504.0)</f>
        <v>45504</v>
      </c>
      <c r="Q161" s="45">
        <f>IFERROR(__xludf.DUMMYFUNCTION("""COMPUTED_VALUE"""),45138.0)</f>
        <v>45138</v>
      </c>
      <c r="R161" s="45">
        <f>IFERROR(__xludf.DUMMYFUNCTION("""COMPUTED_VALUE"""),45504.0)</f>
        <v>45504</v>
      </c>
      <c r="S161" s="43"/>
      <c r="T161" s="43" t="str">
        <f>IFERROR(__xludf.DUMMYFUNCTION("""COMPUTED_VALUE"""),"Business Administration")</f>
        <v>Business Administration</v>
      </c>
      <c r="U161" s="43" t="str">
        <f>IFERROR(__xludf.DUMMYFUNCTION("""COMPUTED_VALUE"""),"Sales Consultant ( Customer Service )")</f>
        <v>Sales Consultant ( Customer Service )</v>
      </c>
      <c r="V161" s="43" t="str">
        <f>IFERROR(__xludf.DUMMYFUNCTION("""COMPUTED_VALUE"""),"Moscow")</f>
        <v>Moscow</v>
      </c>
      <c r="W161" s="43" t="str">
        <f>IFERROR(__xludf.DUMMYFUNCTION("""COMPUTED_VALUE"""),"2023-04-22T13:30:48Z")</f>
        <v>2023-04-22T13:30:48Z</v>
      </c>
      <c r="X161" s="43"/>
      <c r="Y161" s="43"/>
      <c r="Z161" s="43"/>
    </row>
    <row r="162" hidden="1">
      <c r="A162" s="43" t="str">
        <f>IFERROR(__xludf.DUMMYFUNCTION("""COMPUTED_VALUE"""),"5242730_1294011")</f>
        <v>5242730_1294011</v>
      </c>
      <c r="B162" s="43" t="str">
        <f>IFERROR(__xludf.DUMMYFUNCTION("""COMPUTED_VALUE"""),"FATIMA EZZAHRAA TAGHAOUT")</f>
        <v>FATIMA EZZAHRAA TAGHAOUT</v>
      </c>
      <c r="C162" s="43" t="str">
        <f>IFERROR(__xludf.DUMMYFUNCTION("""COMPUTED_VALUE"""),"realized")</f>
        <v>realized</v>
      </c>
      <c r="D162" s="43" t="str">
        <f>IFERROR(__xludf.DUMMYFUNCTION("""COMPUTED_VALUE"""),"No")</f>
        <v>No</v>
      </c>
      <c r="E162" s="43" t="str">
        <f>IFERROR(__xludf.DUMMYFUNCTION("""COMPUTED_VALUE"""),"p_9ecfd433f744da2ea6763470c8e5bb5d61da8bd1@inbound.aiesec.org")</f>
        <v>p_9ecfd433f744da2ea6763470c8e5bb5d61da8bd1@inbound.aiesec.org</v>
      </c>
      <c r="F162" s="43">
        <f>IFERROR(__xludf.DUMMYFUNCTION("""COMPUTED_VALUE"""),6.21161972E8)</f>
        <v>621161972</v>
      </c>
      <c r="G162" s="43" t="str">
        <f>IFERROR(__xludf.DUMMYFUNCTION("""COMPUTED_VALUE"""),"Morocco")</f>
        <v>Morocco</v>
      </c>
      <c r="H162" s="43" t="str">
        <f>IFERROR(__xludf.DUMMYFUNCTION("""COMPUTED_VALUE"""),"Casablanca")</f>
        <v>Casablanca</v>
      </c>
      <c r="I162" s="43" t="str">
        <f>IFERROR(__xludf.DUMMYFUNCTION("""COMPUTED_VALUE"""),"Turkey")</f>
        <v>Turkey</v>
      </c>
      <c r="J162" s="43" t="str">
        <f>IFERROR(__xludf.DUMMYFUNCTION("""COMPUTED_VALUE"""),"BURSA")</f>
        <v>BURSA</v>
      </c>
      <c r="K162" s="44" t="str">
        <f>IFERROR(__xludf.DUMMYFUNCTION("""COMPUTED_VALUE"""),"https://expa.aiesec.org/opportunities/1294011")</f>
        <v>https://expa.aiesec.org/opportunities/1294011</v>
      </c>
      <c r="L162" s="43" t="str">
        <f>IFERROR(__xludf.DUMMYFUNCTION("""COMPUTED_VALUE"""),"GTa")</f>
        <v>GTa</v>
      </c>
      <c r="M162" s="43" t="str">
        <f>IFERROR(__xludf.DUMMYFUNCTION("""COMPUTED_VALUE"""),"long")</f>
        <v>long</v>
      </c>
      <c r="N162" s="45">
        <f>IFERROR(__xludf.DUMMYFUNCTION("""COMPUTED_VALUE"""),45055.0)</f>
        <v>45055</v>
      </c>
      <c r="O162" s="45">
        <f>IFERROR(__xludf.DUMMYFUNCTION("""COMPUTED_VALUE"""),45071.0)</f>
        <v>45071</v>
      </c>
      <c r="P162" s="45">
        <f>IFERROR(__xludf.DUMMYFUNCTION("""COMPUTED_VALUE"""),45437.0)</f>
        <v>45437</v>
      </c>
      <c r="Q162" s="45">
        <f>IFERROR(__xludf.DUMMYFUNCTION("""COMPUTED_VALUE"""),45092.0)</f>
        <v>45092</v>
      </c>
      <c r="R162" s="45">
        <f>IFERROR(__xludf.DUMMYFUNCTION("""COMPUTED_VALUE"""),45456.0)</f>
        <v>45456</v>
      </c>
      <c r="S162" s="43"/>
      <c r="T162" s="43" t="str">
        <f>IFERROR(__xludf.DUMMYFUNCTION("""COMPUTED_VALUE"""),"Marketing")</f>
        <v>Marketing</v>
      </c>
      <c r="U162" s="43" t="str">
        <f>IFERROR(__xludf.DUMMYFUNCTION("""COMPUTED_VALUE"""),"Marketing")</f>
        <v>Marketing</v>
      </c>
      <c r="V162" s="43" t="str">
        <f>IFERROR(__xludf.DUMMYFUNCTION("""COMPUTED_VALUE"""),"FSJES Aïn Chock Casablanca")</f>
        <v>FSJES Aïn Chock Casablanca</v>
      </c>
      <c r="W162" s="43" t="str">
        <f>IFERROR(__xludf.DUMMYFUNCTION("""COMPUTED_VALUE"""),"2023-04-15T19:13:15Z")</f>
        <v>2023-04-15T19:13:15Z</v>
      </c>
      <c r="X162" s="43"/>
      <c r="Y162" s="43"/>
      <c r="Z162" s="43"/>
    </row>
    <row r="163" hidden="1">
      <c r="A163" s="43" t="str">
        <f>IFERROR(__xludf.DUMMYFUNCTION("""COMPUTED_VALUE"""),"5238406_1294332")</f>
        <v>5238406_1294332</v>
      </c>
      <c r="B163" s="43" t="str">
        <f>IFERROR(__xludf.DUMMYFUNCTION("""COMPUTED_VALUE"""),"Fiza Asad")</f>
        <v>Fiza Asad</v>
      </c>
      <c r="C163" s="43" t="str">
        <f>IFERROR(__xludf.DUMMYFUNCTION("""COMPUTED_VALUE"""),"realized")</f>
        <v>realized</v>
      </c>
      <c r="D163" s="43" t="str">
        <f>IFERROR(__xludf.DUMMYFUNCTION("""COMPUTED_VALUE"""),"No")</f>
        <v>No</v>
      </c>
      <c r="E163" s="43" t="str">
        <f>IFERROR(__xludf.DUMMYFUNCTION("""COMPUTED_VALUE"""),"p_65b7af1daf09e582d17d2606cdc74f4c20622cc6@inbound.aiesec.org")</f>
        <v>p_65b7af1daf09e582d17d2606cdc74f4c20622cc6@inbound.aiesec.org</v>
      </c>
      <c r="F163" s="43"/>
      <c r="G163" s="43" t="str">
        <f>IFERROR(__xludf.DUMMYFUNCTION("""COMPUTED_VALUE"""),"Pakistan")</f>
        <v>Pakistan</v>
      </c>
      <c r="H163" s="43" t="str">
        <f>IFERROR(__xludf.DUMMYFUNCTION("""COMPUTED_VALUE"""),"Islamabad")</f>
        <v>Islamabad</v>
      </c>
      <c r="I163" s="43" t="str">
        <f>IFERROR(__xludf.DUMMYFUNCTION("""COMPUTED_VALUE"""),"Turkey")</f>
        <v>Turkey</v>
      </c>
      <c r="J163" s="43" t="str">
        <f>IFERROR(__xludf.DUMMYFUNCTION("""COMPUTED_VALUE"""),"ISTANBUL WEST")</f>
        <v>ISTANBUL WEST</v>
      </c>
      <c r="K163" s="44" t="str">
        <f>IFERROR(__xludf.DUMMYFUNCTION("""COMPUTED_VALUE"""),"https://expa.aiesec.org/opportunities/1294332")</f>
        <v>https://expa.aiesec.org/opportunities/1294332</v>
      </c>
      <c r="L163" s="43" t="str">
        <f>IFERROR(__xludf.DUMMYFUNCTION("""COMPUTED_VALUE"""),"GTa")</f>
        <v>GTa</v>
      </c>
      <c r="M163" s="43" t="str">
        <f>IFERROR(__xludf.DUMMYFUNCTION("""COMPUTED_VALUE"""),"long")</f>
        <v>long</v>
      </c>
      <c r="N163" s="45">
        <f>IFERROR(__xludf.DUMMYFUNCTION("""COMPUTED_VALUE"""),45057.0)</f>
        <v>45057</v>
      </c>
      <c r="O163" s="45">
        <f>IFERROR(__xludf.DUMMYFUNCTION("""COMPUTED_VALUE"""),45139.0)</f>
        <v>45139</v>
      </c>
      <c r="P163" s="45">
        <f>IFERROR(__xludf.DUMMYFUNCTION("""COMPUTED_VALUE"""),45504.0)</f>
        <v>45504</v>
      </c>
      <c r="Q163" s="45">
        <f>IFERROR(__xludf.DUMMYFUNCTION("""COMPUTED_VALUE"""),45170.0)</f>
        <v>45170</v>
      </c>
      <c r="R163" s="45">
        <f>IFERROR(__xludf.DUMMYFUNCTION("""COMPUTED_VALUE"""),45535.0)</f>
        <v>45535</v>
      </c>
      <c r="S163" s="43"/>
      <c r="T163" s="43" t="str">
        <f>IFERROR(__xludf.DUMMYFUNCTION("""COMPUTED_VALUE"""),"Business Administration")</f>
        <v>Business Administration</v>
      </c>
      <c r="U163" s="43" t="str">
        <f>IFERROR(__xludf.DUMMYFUNCTION("""COMPUTED_VALUE"""),"Sales Consultant ( Customer Service )")</f>
        <v>Sales Consultant ( Customer Service )</v>
      </c>
      <c r="V163" s="43" t="str">
        <f>IFERROR(__xludf.DUMMYFUNCTION("""COMPUTED_VALUE"""),"-")</f>
        <v>-</v>
      </c>
      <c r="W163" s="43" t="str">
        <f>IFERROR(__xludf.DUMMYFUNCTION("""COMPUTED_VALUE"""),"2023-04-09T23:31:35Z")</f>
        <v>2023-04-09T23:31:35Z</v>
      </c>
      <c r="X163" s="43"/>
      <c r="Y163" s="43"/>
      <c r="Z163" s="43"/>
    </row>
    <row r="164" hidden="1">
      <c r="A164" s="43" t="str">
        <f>IFERROR(__xludf.DUMMYFUNCTION("""COMPUTED_VALUE"""),"5260054_1294332")</f>
        <v>5260054_1294332</v>
      </c>
      <c r="B164" s="43" t="str">
        <f>IFERROR(__xludf.DUMMYFUNCTION("""COMPUTED_VALUE"""),"Sarah Ahmed Abdelghany")</f>
        <v>Sarah Ahmed Abdelghany</v>
      </c>
      <c r="C164" s="43" t="str">
        <f>IFERROR(__xludf.DUMMYFUNCTION("""COMPUTED_VALUE"""),"approved")</f>
        <v>approved</v>
      </c>
      <c r="D164" s="43" t="str">
        <f>IFERROR(__xludf.DUMMYFUNCTION("""COMPUTED_VALUE"""),"No")</f>
        <v>No</v>
      </c>
      <c r="E164" s="43" t="str">
        <f>IFERROR(__xludf.DUMMYFUNCTION("""COMPUTED_VALUE"""),"p_75830273b6e0a1605b0766a1aaed5fa41230fa4e@inbound.aiesec.org")</f>
        <v>p_75830273b6e0a1605b0766a1aaed5fa41230fa4e@inbound.aiesec.org</v>
      </c>
      <c r="F164" s="43">
        <f>IFERROR(__xludf.DUMMYFUNCTION("""COMPUTED_VALUE"""),1.026175273E9)</f>
        <v>1026175273</v>
      </c>
      <c r="G164" s="43" t="str">
        <f>IFERROR(__xludf.DUMMYFUNCTION("""COMPUTED_VALUE"""),"Egypt")</f>
        <v>Egypt</v>
      </c>
      <c r="H164" s="43" t="str">
        <f>IFERROR(__xludf.DUMMYFUNCTION("""COMPUTED_VALUE"""),"Alexandria")</f>
        <v>Alexandria</v>
      </c>
      <c r="I164" s="43" t="str">
        <f>IFERROR(__xludf.DUMMYFUNCTION("""COMPUTED_VALUE"""),"Turkey")</f>
        <v>Turkey</v>
      </c>
      <c r="J164" s="43" t="str">
        <f>IFERROR(__xludf.DUMMYFUNCTION("""COMPUTED_VALUE"""),"ISTANBUL WEST")</f>
        <v>ISTANBUL WEST</v>
      </c>
      <c r="K164" s="44" t="str">
        <f>IFERROR(__xludf.DUMMYFUNCTION("""COMPUTED_VALUE"""),"https://expa.aiesec.org/opportunities/1294332")</f>
        <v>https://expa.aiesec.org/opportunities/1294332</v>
      </c>
      <c r="L164" s="43" t="str">
        <f>IFERROR(__xludf.DUMMYFUNCTION("""COMPUTED_VALUE"""),"GTa")</f>
        <v>GTa</v>
      </c>
      <c r="M164" s="43" t="str">
        <f>IFERROR(__xludf.DUMMYFUNCTION("""COMPUTED_VALUE"""),"long")</f>
        <v>long</v>
      </c>
      <c r="N164" s="45">
        <f>IFERROR(__xludf.DUMMYFUNCTION("""COMPUTED_VALUE"""),45058.0)</f>
        <v>45058</v>
      </c>
      <c r="O164" s="45">
        <f>IFERROR(__xludf.DUMMYFUNCTION("""COMPUTED_VALUE"""),45139.0)</f>
        <v>45139</v>
      </c>
      <c r="P164" s="45">
        <f>IFERROR(__xludf.DUMMYFUNCTION("""COMPUTED_VALUE"""),45504.0)</f>
        <v>45504</v>
      </c>
      <c r="Q164" s="45"/>
      <c r="R164" s="45"/>
      <c r="S164" s="43"/>
      <c r="T164" s="43" t="str">
        <f>IFERROR(__xludf.DUMMYFUNCTION("""COMPUTED_VALUE"""),"Business Administration")</f>
        <v>Business Administration</v>
      </c>
      <c r="U164" s="43" t="str">
        <f>IFERROR(__xludf.DUMMYFUNCTION("""COMPUTED_VALUE"""),"Sales Consultant ( Customer Service )")</f>
        <v>Sales Consultant ( Customer Service )</v>
      </c>
      <c r="V164" s="43" t="str">
        <f>IFERROR(__xludf.DUMMYFUNCTION("""COMPUTED_VALUE"""),"Alexandria University")</f>
        <v>Alexandria University</v>
      </c>
      <c r="W164" s="43" t="str">
        <f>IFERROR(__xludf.DUMMYFUNCTION("""COMPUTED_VALUE"""),"2023-05-12T15:12:22Z")</f>
        <v>2023-05-12T15:12:22Z</v>
      </c>
      <c r="X164" s="43"/>
      <c r="Y164" s="43"/>
      <c r="Z164" s="43"/>
    </row>
    <row r="165" hidden="1">
      <c r="A165" s="43" t="str">
        <f>IFERROR(__xludf.DUMMYFUNCTION("""COMPUTED_VALUE"""),"4998873_1283873")</f>
        <v>4998873_1283873</v>
      </c>
      <c r="B165" s="43" t="str">
        <f>IFERROR(__xludf.DUMMYFUNCTION("""COMPUTED_VALUE"""),"Igor Akubardiia")</f>
        <v>Igor Akubardiia</v>
      </c>
      <c r="C165" s="43" t="str">
        <f>IFERROR(__xludf.DUMMYFUNCTION("""COMPUTED_VALUE"""),"realized")</f>
        <v>realized</v>
      </c>
      <c r="D165" s="43" t="str">
        <f>IFERROR(__xludf.DUMMYFUNCTION("""COMPUTED_VALUE"""),"No")</f>
        <v>No</v>
      </c>
      <c r="E165" s="43" t="str">
        <f>IFERROR(__xludf.DUMMYFUNCTION("""COMPUTED_VALUE"""),"p_322647a986fb32596ffa57f27527c73c8d3dc3b2@inbound.aiesec.org")</f>
        <v>p_322647a986fb32596ffa57f27527c73c8d3dc3b2@inbound.aiesec.org</v>
      </c>
      <c r="F165" s="43"/>
      <c r="G165" s="43" t="str">
        <f>IFERROR(__xludf.DUMMYFUNCTION("""COMPUTED_VALUE"""),"Russia")</f>
        <v>Russia</v>
      </c>
      <c r="H165" s="43" t="str">
        <f>IFERROR(__xludf.DUMMYFUNCTION("""COMPUTED_VALUE"""),"MOSCOW")</f>
        <v>MOSCOW</v>
      </c>
      <c r="I165" s="43" t="str">
        <f>IFERROR(__xludf.DUMMYFUNCTION("""COMPUTED_VALUE"""),"Turkey")</f>
        <v>Turkey</v>
      </c>
      <c r="J165" s="43" t="str">
        <f>IFERROR(__xludf.DUMMYFUNCTION("""COMPUTED_VALUE"""),"ISTANBUL ASIA")</f>
        <v>ISTANBUL ASIA</v>
      </c>
      <c r="K165" s="44" t="str">
        <f>IFERROR(__xludf.DUMMYFUNCTION("""COMPUTED_VALUE"""),"https://expa.aiesec.org/opportunities/1283873")</f>
        <v>https://expa.aiesec.org/opportunities/1283873</v>
      </c>
      <c r="L165" s="43" t="str">
        <f>IFERROR(__xludf.DUMMYFUNCTION("""COMPUTED_VALUE"""),"GTa")</f>
        <v>GTa</v>
      </c>
      <c r="M165" s="43" t="str">
        <f>IFERROR(__xludf.DUMMYFUNCTION("""COMPUTED_VALUE"""),"long")</f>
        <v>long</v>
      </c>
      <c r="N165" s="45">
        <f>IFERROR(__xludf.DUMMYFUNCTION("""COMPUTED_VALUE"""),45058.0)</f>
        <v>45058</v>
      </c>
      <c r="O165" s="45">
        <f>IFERROR(__xludf.DUMMYFUNCTION("""COMPUTED_VALUE"""),45068.0)</f>
        <v>45068</v>
      </c>
      <c r="P165" s="45">
        <f>IFERROR(__xludf.DUMMYFUNCTION("""COMPUTED_VALUE"""),45431.0)</f>
        <v>45431</v>
      </c>
      <c r="Q165" s="45">
        <f>IFERROR(__xludf.DUMMYFUNCTION("""COMPUTED_VALUE"""),45069.0)</f>
        <v>45069</v>
      </c>
      <c r="R165" s="45">
        <f>IFERROR(__xludf.DUMMYFUNCTION("""COMPUTED_VALUE"""),45431.0)</f>
        <v>45431</v>
      </c>
      <c r="S165" s="43"/>
      <c r="T165" s="43" t="str">
        <f>IFERROR(__xludf.DUMMYFUNCTION("""COMPUTED_VALUE"""),"Marketing")</f>
        <v>Marketing</v>
      </c>
      <c r="U165" s="43" t="str">
        <f>IFERROR(__xludf.DUMMYFUNCTION("""COMPUTED_VALUE"""),"Export Sales &amp; Marketing Research")</f>
        <v>Export Sales &amp; Marketing Research</v>
      </c>
      <c r="V165" s="43" t="str">
        <f>IFERROR(__xludf.DUMMYFUNCTION("""COMPUTED_VALUE"""),"-")</f>
        <v>-</v>
      </c>
      <c r="W165" s="43" t="str">
        <f>IFERROR(__xludf.DUMMYFUNCTION("""COMPUTED_VALUE"""),"2022-03-22T09:20:12Z")</f>
        <v>2022-03-22T09:20:12Z</v>
      </c>
      <c r="X165" s="43"/>
      <c r="Y165" s="43"/>
      <c r="Z165" s="43"/>
    </row>
    <row r="166" hidden="1">
      <c r="A166" s="43" t="str">
        <f>IFERROR(__xludf.DUMMYFUNCTION("""COMPUTED_VALUE"""),"989514_1293134")</f>
        <v>989514_1293134</v>
      </c>
      <c r="B166" s="43" t="str">
        <f>IFERROR(__xludf.DUMMYFUNCTION("""COMPUTED_VALUE"""),"Abdulla Hilalbayli")</f>
        <v>Abdulla Hilalbayli</v>
      </c>
      <c r="C166" s="43" t="str">
        <f>IFERROR(__xludf.DUMMYFUNCTION("""COMPUTED_VALUE"""),"realized")</f>
        <v>realized</v>
      </c>
      <c r="D166" s="43" t="str">
        <f>IFERROR(__xludf.DUMMYFUNCTION("""COMPUTED_VALUE"""),"No")</f>
        <v>No</v>
      </c>
      <c r="E166" s="43" t="str">
        <f>IFERROR(__xludf.DUMMYFUNCTION("""COMPUTED_VALUE"""),"p_537c4d9fa81e0ba70b809ba9085ed07e4e3e6c6e@inbound.aiesec.org")</f>
        <v>p_537c4d9fa81e0ba70b809ba9085ed07e4e3e6c6e@inbound.aiesec.org</v>
      </c>
      <c r="F166" s="43">
        <f>IFERROR(__xludf.DUMMYFUNCTION("""COMPUTED_VALUE"""),5.08000213E8)</f>
        <v>508000213</v>
      </c>
      <c r="G166" s="43" t="str">
        <f>IFERROR(__xludf.DUMMYFUNCTION("""COMPUTED_VALUE"""),"Azerbaijan")</f>
        <v>Azerbaijan</v>
      </c>
      <c r="H166" s="43" t="str">
        <f>IFERROR(__xludf.DUMMYFUNCTION("""COMPUTED_VALUE"""),"Baku Synergy")</f>
        <v>Baku Synergy</v>
      </c>
      <c r="I166" s="43" t="str">
        <f>IFERROR(__xludf.DUMMYFUNCTION("""COMPUTED_VALUE"""),"Turkey")</f>
        <v>Turkey</v>
      </c>
      <c r="J166" s="43" t="str">
        <f>IFERROR(__xludf.DUMMYFUNCTION("""COMPUTED_VALUE"""),"BURSA")</f>
        <v>BURSA</v>
      </c>
      <c r="K166" s="44" t="str">
        <f>IFERROR(__xludf.DUMMYFUNCTION("""COMPUTED_VALUE"""),"https://expa.aiesec.org/opportunities/1293134")</f>
        <v>https://expa.aiesec.org/opportunities/1293134</v>
      </c>
      <c r="L166" s="43" t="str">
        <f>IFERROR(__xludf.DUMMYFUNCTION("""COMPUTED_VALUE"""),"GTa")</f>
        <v>GTa</v>
      </c>
      <c r="M166" s="43" t="str">
        <f>IFERROR(__xludf.DUMMYFUNCTION("""COMPUTED_VALUE"""),"long")</f>
        <v>long</v>
      </c>
      <c r="N166" s="45">
        <f>IFERROR(__xludf.DUMMYFUNCTION("""COMPUTED_VALUE"""),45061.0)</f>
        <v>45061</v>
      </c>
      <c r="O166" s="45">
        <f>IFERROR(__xludf.DUMMYFUNCTION("""COMPUTED_VALUE"""),45087.0)</f>
        <v>45087</v>
      </c>
      <c r="P166" s="45">
        <f>IFERROR(__xludf.DUMMYFUNCTION("""COMPUTED_VALUE"""),45453.0)</f>
        <v>45453</v>
      </c>
      <c r="Q166" s="45">
        <f>IFERROR(__xludf.DUMMYFUNCTION("""COMPUTED_VALUE"""),45093.0)</f>
        <v>45093</v>
      </c>
      <c r="R166" s="45">
        <f>IFERROR(__xludf.DUMMYFUNCTION("""COMPUTED_VALUE"""),45459.0)</f>
        <v>45459</v>
      </c>
      <c r="S166" s="43"/>
      <c r="T166" s="43" t="str">
        <f>IFERROR(__xludf.DUMMYFUNCTION("""COMPUTED_VALUE"""),"Marketing")</f>
        <v>Marketing</v>
      </c>
      <c r="U166" s="43" t="str">
        <f>IFERROR(__xludf.DUMMYFUNCTION("""COMPUTED_VALUE"""),"Marketing")</f>
        <v>Marketing</v>
      </c>
      <c r="V166" s="43" t="str">
        <f>IFERROR(__xludf.DUMMYFUNCTION("""COMPUTED_VALUE"""),"-")</f>
        <v>-</v>
      </c>
      <c r="W166" s="43" t="str">
        <f>IFERROR(__xludf.DUMMYFUNCTION("""COMPUTED_VALUE"""),"2016-04-24T12:09:43Z")</f>
        <v>2016-04-24T12:09:43Z</v>
      </c>
      <c r="X166" s="43"/>
      <c r="Y166" s="43"/>
      <c r="Z166" s="43"/>
    </row>
    <row r="167">
      <c r="A167" s="43" t="str">
        <f>IFERROR(__xludf.DUMMYFUNCTION("""COMPUTED_VALUE"""),"5262060_1289255")</f>
        <v>5262060_1289255</v>
      </c>
      <c r="B167" s="43" t="str">
        <f>IFERROR(__xludf.DUMMYFUNCTION("""COMPUTED_VALUE"""),"Nadine arab")</f>
        <v>Nadine arab</v>
      </c>
      <c r="C167" s="43" t="str">
        <f>IFERROR(__xludf.DUMMYFUNCTION("""COMPUTED_VALUE"""),"approved")</f>
        <v>approved</v>
      </c>
      <c r="D167" s="43" t="str">
        <f>IFERROR(__xludf.DUMMYFUNCTION("""COMPUTED_VALUE"""),"No")</f>
        <v>No</v>
      </c>
      <c r="E167" s="43" t="str">
        <f>IFERROR(__xludf.DUMMYFUNCTION("""COMPUTED_VALUE"""),"p_b227bf1792364e56181c82ae0e7475280eed6e8c@inbound.aiesec.org")</f>
        <v>p_b227bf1792364e56181c82ae0e7475280eed6e8c@inbound.aiesec.org</v>
      </c>
      <c r="F167" s="43">
        <f>IFERROR(__xludf.DUMMYFUNCTION("""COMPUTED_VALUE"""),6.98726562E8)</f>
        <v>698726562</v>
      </c>
      <c r="G167" s="43" t="str">
        <f>IFERROR(__xludf.DUMMYFUNCTION("""COMPUTED_VALUE"""),"Algeria")</f>
        <v>Algeria</v>
      </c>
      <c r="H167" s="43" t="str">
        <f>IFERROR(__xludf.DUMMYFUNCTION("""COMPUTED_VALUE"""),"Constantine")</f>
        <v>Constantine</v>
      </c>
      <c r="I167" s="43" t="str">
        <f>IFERROR(__xludf.DUMMYFUNCTION("""COMPUTED_VALUE"""),"Turkey")</f>
        <v>Turkey</v>
      </c>
      <c r="J167" s="43" t="str">
        <f>IFERROR(__xludf.DUMMYFUNCTION("""COMPUTED_VALUE"""),"ISTANBUL")</f>
        <v>ISTANBUL</v>
      </c>
      <c r="K167" s="44" t="str">
        <f>IFERROR(__xludf.DUMMYFUNCTION("""COMPUTED_VALUE"""),"https://expa.aiesec.org/opportunities/1289255")</f>
        <v>https://expa.aiesec.org/opportunities/1289255</v>
      </c>
      <c r="L167" s="43" t="str">
        <f>IFERROR(__xludf.DUMMYFUNCTION("""COMPUTED_VALUE"""),"GTa")</f>
        <v>GTa</v>
      </c>
      <c r="M167" s="43" t="str">
        <f>IFERROR(__xludf.DUMMYFUNCTION("""COMPUTED_VALUE"""),"long")</f>
        <v>long</v>
      </c>
      <c r="N167" s="45">
        <f>IFERROR(__xludf.DUMMYFUNCTION("""COMPUTED_VALUE"""),45062.0)</f>
        <v>45062</v>
      </c>
      <c r="O167" s="45">
        <f>IFERROR(__xludf.DUMMYFUNCTION("""COMPUTED_VALUE"""),45103.0)</f>
        <v>45103</v>
      </c>
      <c r="P167" s="45">
        <f>IFERROR(__xludf.DUMMYFUNCTION("""COMPUTED_VALUE"""),45632.0)</f>
        <v>45632</v>
      </c>
      <c r="Q167" s="45"/>
      <c r="R167" s="45"/>
      <c r="S167" s="43"/>
      <c r="T167" s="43" t="str">
        <f>IFERROR(__xludf.DUMMYFUNCTION("""COMPUTED_VALUE"""),"Business Administration")</f>
        <v>Business Administration</v>
      </c>
      <c r="U167" s="43" t="str">
        <f>IFERROR(__xludf.DUMMYFUNCTION("""COMPUTED_VALUE"""),"Telesales Specialist in Istanbul (French Speaker)")</f>
        <v>Telesales Specialist in Istanbul (French Speaker)</v>
      </c>
      <c r="V167" s="43" t="str">
        <f>IFERROR(__xludf.DUMMYFUNCTION("""COMPUTED_VALUE"""),"AIESEC in Constantine")</f>
        <v>AIESEC in Constantine</v>
      </c>
      <c r="W167" s="43" t="str">
        <f>IFERROR(__xludf.DUMMYFUNCTION("""COMPUTED_VALUE"""),"2023-05-16T19:07:08Z")</f>
        <v>2023-05-16T19:07:08Z</v>
      </c>
      <c r="X167" s="43"/>
      <c r="Y167" s="43"/>
      <c r="Z167" s="43"/>
    </row>
    <row r="168">
      <c r="A168" s="43" t="str">
        <f>IFERROR(__xludf.DUMMYFUNCTION("""COMPUTED_VALUE"""),"2137209_1294332")</f>
        <v>2137209_1294332</v>
      </c>
      <c r="B168" s="43" t="str">
        <f>IFERROR(__xludf.DUMMYFUNCTION("""COMPUTED_VALUE"""),"Noelia Evangelina Mejia Valdivia")</f>
        <v>Noelia Evangelina Mejia Valdivia</v>
      </c>
      <c r="C168" s="43" t="str">
        <f>IFERROR(__xludf.DUMMYFUNCTION("""COMPUTED_VALUE"""),"approved")</f>
        <v>approved</v>
      </c>
      <c r="D168" s="43" t="str">
        <f>IFERROR(__xludf.DUMMYFUNCTION("""COMPUTED_VALUE"""),"No")</f>
        <v>No</v>
      </c>
      <c r="E168" s="43" t="str">
        <f>IFERROR(__xludf.DUMMYFUNCTION("""COMPUTED_VALUE"""),"p_dce81e007980f3612ae3c61345f8b829ab9e2ca0@inbound.aiesec.org")</f>
        <v>p_dce81e007980f3612ae3c61345f8b829ab9e2ca0@inbound.aiesec.org</v>
      </c>
      <c r="F168" s="43">
        <f>IFERROR(__xludf.DUMMYFUNCTION("""COMPUTED_VALUE"""),9.59515911E8)</f>
        <v>959515911</v>
      </c>
      <c r="G168" s="43" t="str">
        <f>IFERROR(__xludf.DUMMYFUNCTION("""COMPUTED_VALUE"""),"Peru")</f>
        <v>Peru</v>
      </c>
      <c r="H168" s="43" t="str">
        <f>IFERROR(__xludf.DUMMYFUNCTION("""COMPUTED_VALUE"""),"Arequipa")</f>
        <v>Arequipa</v>
      </c>
      <c r="I168" s="43" t="str">
        <f>IFERROR(__xludf.DUMMYFUNCTION("""COMPUTED_VALUE"""),"Turkey")</f>
        <v>Turkey</v>
      </c>
      <c r="J168" s="43" t="str">
        <f>IFERROR(__xludf.DUMMYFUNCTION("""COMPUTED_VALUE"""),"ISTANBUL WEST")</f>
        <v>ISTANBUL WEST</v>
      </c>
      <c r="K168" s="44" t="str">
        <f>IFERROR(__xludf.DUMMYFUNCTION("""COMPUTED_VALUE"""),"https://expa.aiesec.org/opportunities/1294332")</f>
        <v>https://expa.aiesec.org/opportunities/1294332</v>
      </c>
      <c r="L168" s="43" t="str">
        <f>IFERROR(__xludf.DUMMYFUNCTION("""COMPUTED_VALUE"""),"GTa")</f>
        <v>GTa</v>
      </c>
      <c r="M168" s="43" t="str">
        <f>IFERROR(__xludf.DUMMYFUNCTION("""COMPUTED_VALUE"""),"long")</f>
        <v>long</v>
      </c>
      <c r="N168" s="45">
        <f>IFERROR(__xludf.DUMMYFUNCTION("""COMPUTED_VALUE"""),45063.0)</f>
        <v>45063</v>
      </c>
      <c r="O168" s="45">
        <f>IFERROR(__xludf.DUMMYFUNCTION("""COMPUTED_VALUE"""),45078.0)</f>
        <v>45078</v>
      </c>
      <c r="P168" s="45">
        <f>IFERROR(__xludf.DUMMYFUNCTION("""COMPUTED_VALUE"""),45435.0)</f>
        <v>45435</v>
      </c>
      <c r="Q168" s="45"/>
      <c r="R168" s="45"/>
      <c r="S168" s="43"/>
      <c r="T168" s="43" t="str">
        <f>IFERROR(__xludf.DUMMYFUNCTION("""COMPUTED_VALUE"""),"Business Administration")</f>
        <v>Business Administration</v>
      </c>
      <c r="U168" s="43" t="str">
        <f>IFERROR(__xludf.DUMMYFUNCTION("""COMPUTED_VALUE"""),"Sales Consultant ( Customer Service )")</f>
        <v>Sales Consultant ( Customer Service )</v>
      </c>
      <c r="V168" s="43" t="str">
        <f>IFERROR(__xludf.DUMMYFUNCTION("""COMPUTED_VALUE"""),"-")</f>
        <v>-</v>
      </c>
      <c r="W168" s="43" t="str">
        <f>IFERROR(__xludf.DUMMYFUNCTION("""COMPUTED_VALUE"""),"2018-03-23T04:36:06Z")</f>
        <v>2018-03-23T04:36:06Z</v>
      </c>
      <c r="X168" s="43"/>
      <c r="Y168" s="43"/>
      <c r="Z168" s="43"/>
    </row>
    <row r="169" hidden="1">
      <c r="A169" s="43" t="str">
        <f>IFERROR(__xludf.DUMMYFUNCTION("""COMPUTED_VALUE"""),"5263513_1285555")</f>
        <v>5263513_1285555</v>
      </c>
      <c r="B169" s="43" t="str">
        <f>IFERROR(__xludf.DUMMYFUNCTION("""COMPUTED_VALUE"""),"Hajer Dkhili")</f>
        <v>Hajer Dkhili</v>
      </c>
      <c r="C169" s="43" t="str">
        <f>IFERROR(__xludf.DUMMYFUNCTION("""COMPUTED_VALUE"""),"finished")</f>
        <v>finished</v>
      </c>
      <c r="D169" s="43" t="str">
        <f>IFERROR(__xludf.DUMMYFUNCTION("""COMPUTED_VALUE"""),"No")</f>
        <v>No</v>
      </c>
      <c r="E169" s="43" t="str">
        <f>IFERROR(__xludf.DUMMYFUNCTION("""COMPUTED_VALUE"""),"p_25e68f0892aaf94be93aaaf703a8903746613dd6@inbound.aiesec.org")</f>
        <v>p_25e68f0892aaf94be93aaaf703a8903746613dd6@inbound.aiesec.org</v>
      </c>
      <c r="F169" s="43">
        <f>IFERROR(__xludf.DUMMYFUNCTION("""COMPUTED_VALUE"""),2.9034967E7)</f>
        <v>29034967</v>
      </c>
      <c r="G169" s="43" t="str">
        <f>IFERROR(__xludf.DUMMYFUNCTION("""COMPUTED_VALUE"""),"Tunisia")</f>
        <v>Tunisia</v>
      </c>
      <c r="H169" s="43" t="str">
        <f>IFERROR(__xludf.DUMMYFUNCTION("""COMPUTED_VALUE"""),"BARDO")</f>
        <v>BARDO</v>
      </c>
      <c r="I169" s="43" t="str">
        <f>IFERROR(__xludf.DUMMYFUNCTION("""COMPUTED_VALUE"""),"Turkey")</f>
        <v>Turkey</v>
      </c>
      <c r="J169" s="43" t="str">
        <f>IFERROR(__xludf.DUMMYFUNCTION("""COMPUTED_VALUE"""),"ISTANBUL")</f>
        <v>ISTANBUL</v>
      </c>
      <c r="K169" s="44" t="str">
        <f>IFERROR(__xludf.DUMMYFUNCTION("""COMPUTED_VALUE"""),"https://expa.aiesec.org/opportunities/1285555")</f>
        <v>https://expa.aiesec.org/opportunities/1285555</v>
      </c>
      <c r="L169" s="43" t="str">
        <f>IFERROR(__xludf.DUMMYFUNCTION("""COMPUTED_VALUE"""),"GTa")</f>
        <v>GTa</v>
      </c>
      <c r="M169" s="43" t="str">
        <f>IFERROR(__xludf.DUMMYFUNCTION("""COMPUTED_VALUE"""),"long")</f>
        <v>long</v>
      </c>
      <c r="N169" s="45">
        <f>IFERROR(__xludf.DUMMYFUNCTION("""COMPUTED_VALUE"""),45065.0)</f>
        <v>45065</v>
      </c>
      <c r="O169" s="45">
        <f>IFERROR(__xludf.DUMMYFUNCTION("""COMPUTED_VALUE"""),45096.0)</f>
        <v>45096</v>
      </c>
      <c r="P169" s="45">
        <f>IFERROR(__xludf.DUMMYFUNCTION("""COMPUTED_VALUE"""),45289.0)</f>
        <v>45289</v>
      </c>
      <c r="Q169" s="45">
        <f>IFERROR(__xludf.DUMMYFUNCTION("""COMPUTED_VALUE"""),45102.0)</f>
        <v>45102</v>
      </c>
      <c r="R169" s="45">
        <f>IFERROR(__xludf.DUMMYFUNCTION("""COMPUTED_VALUE"""),45293.0)</f>
        <v>45293</v>
      </c>
      <c r="S169" s="43"/>
      <c r="T169" s="43" t="str">
        <f>IFERROR(__xludf.DUMMYFUNCTION("""COMPUTED_VALUE"""),"Business Administration")</f>
        <v>Business Administration</v>
      </c>
      <c r="U169" s="43" t="str">
        <f>IFERROR(__xludf.DUMMYFUNCTION("""COMPUTED_VALUE"""),"Customer Support Junior Specialist")</f>
        <v>Customer Support Junior Specialist</v>
      </c>
      <c r="V169" s="43" t="str">
        <f>IFERROR(__xludf.DUMMYFUNCTION("""COMPUTED_VALUE"""),"TBS")</f>
        <v>TBS</v>
      </c>
      <c r="W169" s="43" t="str">
        <f>IFERROR(__xludf.DUMMYFUNCTION("""COMPUTED_VALUE"""),"2023-05-19T11:48:46Z")</f>
        <v>2023-05-19T11:48:46Z</v>
      </c>
      <c r="X169" s="43"/>
      <c r="Y169" s="43"/>
      <c r="Z169" s="43"/>
    </row>
    <row r="170" hidden="1">
      <c r="A170" s="43" t="str">
        <f>IFERROR(__xludf.DUMMYFUNCTION("""COMPUTED_VALUE"""),"5264574_1294332")</f>
        <v>5264574_1294332</v>
      </c>
      <c r="B170" s="43" t="str">
        <f>IFERROR(__xludf.DUMMYFUNCTION("""COMPUTED_VALUE"""),"Muhammad Mahad")</f>
        <v>Muhammad Mahad</v>
      </c>
      <c r="C170" s="43" t="str">
        <f>IFERROR(__xludf.DUMMYFUNCTION("""COMPUTED_VALUE"""),"realized")</f>
        <v>realized</v>
      </c>
      <c r="D170" s="43" t="str">
        <f>IFERROR(__xludf.DUMMYFUNCTION("""COMPUTED_VALUE"""),"No")</f>
        <v>No</v>
      </c>
      <c r="E170" s="43" t="str">
        <f>IFERROR(__xludf.DUMMYFUNCTION("""COMPUTED_VALUE"""),"p_1dc4e946698d418688a91e3f796e4e74abbffebd@inbound.aiesec.org")</f>
        <v>p_1dc4e946698d418688a91e3f796e4e74abbffebd@inbound.aiesec.org</v>
      </c>
      <c r="F170" s="43">
        <f>IFERROR(__xludf.DUMMYFUNCTION("""COMPUTED_VALUE"""),3.367699724E9)</f>
        <v>3367699724</v>
      </c>
      <c r="G170" s="43" t="str">
        <f>IFERROR(__xludf.DUMMYFUNCTION("""COMPUTED_VALUE"""),"Pakistan")</f>
        <v>Pakistan</v>
      </c>
      <c r="H170" s="43" t="str">
        <f>IFERROR(__xludf.DUMMYFUNCTION("""COMPUTED_VALUE"""),"Lahore - Pak")</f>
        <v>Lahore - Pak</v>
      </c>
      <c r="I170" s="43" t="str">
        <f>IFERROR(__xludf.DUMMYFUNCTION("""COMPUTED_VALUE"""),"Turkey")</f>
        <v>Turkey</v>
      </c>
      <c r="J170" s="43" t="str">
        <f>IFERROR(__xludf.DUMMYFUNCTION("""COMPUTED_VALUE"""),"ISTANBUL WEST")</f>
        <v>ISTANBUL WEST</v>
      </c>
      <c r="K170" s="44" t="str">
        <f>IFERROR(__xludf.DUMMYFUNCTION("""COMPUTED_VALUE"""),"https://expa.aiesec.org/opportunities/1294332")</f>
        <v>https://expa.aiesec.org/opportunities/1294332</v>
      </c>
      <c r="L170" s="43" t="str">
        <f>IFERROR(__xludf.DUMMYFUNCTION("""COMPUTED_VALUE"""),"GTa")</f>
        <v>GTa</v>
      </c>
      <c r="M170" s="43" t="str">
        <f>IFERROR(__xludf.DUMMYFUNCTION("""COMPUTED_VALUE"""),"long")</f>
        <v>long</v>
      </c>
      <c r="N170" s="45">
        <f>IFERROR(__xludf.DUMMYFUNCTION("""COMPUTED_VALUE"""),45067.0)</f>
        <v>45067</v>
      </c>
      <c r="O170" s="45">
        <f>IFERROR(__xludf.DUMMYFUNCTION("""COMPUTED_VALUE"""),45153.0)</f>
        <v>45153</v>
      </c>
      <c r="P170" s="45">
        <f>IFERROR(__xludf.DUMMYFUNCTION("""COMPUTED_VALUE"""),45517.0)</f>
        <v>45517</v>
      </c>
      <c r="Q170" s="45">
        <f>IFERROR(__xludf.DUMMYFUNCTION("""COMPUTED_VALUE"""),45171.0)</f>
        <v>45171</v>
      </c>
      <c r="R170" s="45">
        <f>IFERROR(__xludf.DUMMYFUNCTION("""COMPUTED_VALUE"""),45535.0)</f>
        <v>45535</v>
      </c>
      <c r="S170" s="43"/>
      <c r="T170" s="43" t="str">
        <f>IFERROR(__xludf.DUMMYFUNCTION("""COMPUTED_VALUE"""),"Business Administration")</f>
        <v>Business Administration</v>
      </c>
      <c r="U170" s="43" t="str">
        <f>IFERROR(__xludf.DUMMYFUNCTION("""COMPUTED_VALUE"""),"Sales Consultant ( Customer Service )")</f>
        <v>Sales Consultant ( Customer Service )</v>
      </c>
      <c r="V170" s="43" t="str">
        <f>IFERROR(__xludf.DUMMYFUNCTION("""COMPUTED_VALUE"""),"Lahore - University of Lahore (UoL)")</f>
        <v>Lahore - University of Lahore (UoL)</v>
      </c>
      <c r="W170" s="43" t="str">
        <f>IFERROR(__xludf.DUMMYFUNCTION("""COMPUTED_VALUE"""),"2023-05-21T18:50:40Z")</f>
        <v>2023-05-21T18:50:40Z</v>
      </c>
      <c r="X170" s="43"/>
      <c r="Y170" s="43"/>
      <c r="Z170" s="43"/>
    </row>
    <row r="171" hidden="1">
      <c r="A171" s="43" t="str">
        <f>IFERROR(__xludf.DUMMYFUNCTION("""COMPUTED_VALUE"""),"5264455_1292683")</f>
        <v>5264455_1292683</v>
      </c>
      <c r="B171" s="43" t="str">
        <f>IFERROR(__xludf.DUMMYFUNCTION("""COMPUTED_VALUE"""),"rikab yakoubi")</f>
        <v>rikab yakoubi</v>
      </c>
      <c r="C171" s="43" t="str">
        <f>IFERROR(__xludf.DUMMYFUNCTION("""COMPUTED_VALUE"""),"realized")</f>
        <v>realized</v>
      </c>
      <c r="D171" s="43" t="str">
        <f>IFERROR(__xludf.DUMMYFUNCTION("""COMPUTED_VALUE"""),"No")</f>
        <v>No</v>
      </c>
      <c r="E171" s="43" t="str">
        <f>IFERROR(__xludf.DUMMYFUNCTION("""COMPUTED_VALUE"""),"p_b370b04714002756d95d46ec6e896a9b88875e4d@inbound.aiesec.org")</f>
        <v>p_b370b04714002756d95d46ec6e896a9b88875e4d@inbound.aiesec.org</v>
      </c>
      <c r="F171" s="43">
        <f>IFERROR(__xludf.DUMMYFUNCTION("""COMPUTED_VALUE"""),5.1710333E7)</f>
        <v>51710333</v>
      </c>
      <c r="G171" s="43" t="str">
        <f>IFERROR(__xludf.DUMMYFUNCTION("""COMPUTED_VALUE"""),"Tunisia")</f>
        <v>Tunisia</v>
      </c>
      <c r="H171" s="43" t="str">
        <f>IFERROR(__xludf.DUMMYFUNCTION("""COMPUTED_VALUE"""),"THYNA")</f>
        <v>THYNA</v>
      </c>
      <c r="I171" s="43" t="str">
        <f>IFERROR(__xludf.DUMMYFUNCTION("""COMPUTED_VALUE"""),"Turkey")</f>
        <v>Turkey</v>
      </c>
      <c r="J171" s="43" t="str">
        <f>IFERROR(__xludf.DUMMYFUNCTION("""COMPUTED_VALUE"""),"ESKISEHIR")</f>
        <v>ESKISEHIR</v>
      </c>
      <c r="K171" s="44" t="str">
        <f>IFERROR(__xludf.DUMMYFUNCTION("""COMPUTED_VALUE"""),"https://expa.aiesec.org/opportunities/1292683")</f>
        <v>https://expa.aiesec.org/opportunities/1292683</v>
      </c>
      <c r="L171" s="43" t="str">
        <f>IFERROR(__xludf.DUMMYFUNCTION("""COMPUTED_VALUE"""),"GTa")</f>
        <v>GTa</v>
      </c>
      <c r="M171" s="43" t="str">
        <f>IFERROR(__xludf.DUMMYFUNCTION("""COMPUTED_VALUE"""),"long")</f>
        <v>long</v>
      </c>
      <c r="N171" s="45">
        <f>IFERROR(__xludf.DUMMYFUNCTION("""COMPUTED_VALUE"""),45067.0)</f>
        <v>45067</v>
      </c>
      <c r="O171" s="45">
        <f>IFERROR(__xludf.DUMMYFUNCTION("""COMPUTED_VALUE"""),45085.0)</f>
        <v>45085</v>
      </c>
      <c r="P171" s="45">
        <f>IFERROR(__xludf.DUMMYFUNCTION("""COMPUTED_VALUE"""),45450.0)</f>
        <v>45450</v>
      </c>
      <c r="Q171" s="45">
        <f>IFERROR(__xludf.DUMMYFUNCTION("""COMPUTED_VALUE"""),45085.0)</f>
        <v>45085</v>
      </c>
      <c r="R171" s="45">
        <f>IFERROR(__xludf.DUMMYFUNCTION("""COMPUTED_VALUE"""),45450.0)</f>
        <v>45450</v>
      </c>
      <c r="S171" s="43"/>
      <c r="T171" s="43" t="str">
        <f>IFERROR(__xludf.DUMMYFUNCTION("""COMPUTED_VALUE"""),"Business Development")</f>
        <v>Business Development</v>
      </c>
      <c r="U171" s="43" t="str">
        <f>IFERROR(__xludf.DUMMYFUNCTION("""COMPUTED_VALUE"""),"Foreign Trade&amp;Marketing Specialist")</f>
        <v>Foreign Trade&amp;Marketing Specialist</v>
      </c>
      <c r="V171" s="43" t="str">
        <f>IFERROR(__xludf.DUMMYFUNCTION("""COMPUTED_VALUE"""),"ISAAS")</f>
        <v>ISAAS</v>
      </c>
      <c r="W171" s="43" t="str">
        <f>IFERROR(__xludf.DUMMYFUNCTION("""COMPUTED_VALUE"""),"2023-05-21T12:50:59Z")</f>
        <v>2023-05-21T12:50:59Z</v>
      </c>
      <c r="X171" s="43"/>
      <c r="Y171" s="43"/>
      <c r="Z171" s="43"/>
    </row>
    <row r="172">
      <c r="A172" s="43" t="str">
        <f>IFERROR(__xludf.DUMMYFUNCTION("""COMPUTED_VALUE"""),"4735196_1294332")</f>
        <v>4735196_1294332</v>
      </c>
      <c r="B172" s="43" t="str">
        <f>IFERROR(__xludf.DUMMYFUNCTION("""COMPUTED_VALUE"""),"UROOJ SYED")</f>
        <v>UROOJ SYED</v>
      </c>
      <c r="C172" s="43" t="str">
        <f>IFERROR(__xludf.DUMMYFUNCTION("""COMPUTED_VALUE"""),"approved")</f>
        <v>approved</v>
      </c>
      <c r="D172" s="43" t="str">
        <f>IFERROR(__xludf.DUMMYFUNCTION("""COMPUTED_VALUE"""),"No")</f>
        <v>No</v>
      </c>
      <c r="E172" s="43" t="str">
        <f>IFERROR(__xludf.DUMMYFUNCTION("""COMPUTED_VALUE"""),"p_8f87cb1c86cac3f29ac484ee73b0270815f47a88@inbound.aiesec.org")</f>
        <v>p_8f87cb1c86cac3f29ac484ee73b0270815f47a88@inbound.aiesec.org</v>
      </c>
      <c r="F172" s="43">
        <f>IFERROR(__xludf.DUMMYFUNCTION("""COMPUTED_VALUE"""),3.36271242E9)</f>
        <v>3362712420</v>
      </c>
      <c r="G172" s="43" t="str">
        <f>IFERROR(__xludf.DUMMYFUNCTION("""COMPUTED_VALUE"""),"Pakistan")</f>
        <v>Pakistan</v>
      </c>
      <c r="H172" s="43" t="str">
        <f>IFERROR(__xludf.DUMMYFUNCTION("""COMPUTED_VALUE"""),"Karachi")</f>
        <v>Karachi</v>
      </c>
      <c r="I172" s="43" t="str">
        <f>IFERROR(__xludf.DUMMYFUNCTION("""COMPUTED_VALUE"""),"Turkey")</f>
        <v>Turkey</v>
      </c>
      <c r="J172" s="43" t="str">
        <f>IFERROR(__xludf.DUMMYFUNCTION("""COMPUTED_VALUE"""),"ISTANBUL WEST")</f>
        <v>ISTANBUL WEST</v>
      </c>
      <c r="K172" s="44" t="str">
        <f>IFERROR(__xludf.DUMMYFUNCTION("""COMPUTED_VALUE"""),"https://expa.aiesec.org/opportunities/1294332")</f>
        <v>https://expa.aiesec.org/opportunities/1294332</v>
      </c>
      <c r="L172" s="43" t="str">
        <f>IFERROR(__xludf.DUMMYFUNCTION("""COMPUTED_VALUE"""),"GTa")</f>
        <v>GTa</v>
      </c>
      <c r="M172" s="43" t="str">
        <f>IFERROR(__xludf.DUMMYFUNCTION("""COMPUTED_VALUE"""),"long")</f>
        <v>long</v>
      </c>
      <c r="N172" s="45">
        <f>IFERROR(__xludf.DUMMYFUNCTION("""COMPUTED_VALUE"""),45068.0)</f>
        <v>45068</v>
      </c>
      <c r="O172" s="45">
        <f>IFERROR(__xludf.DUMMYFUNCTION("""COMPUTED_VALUE"""),45079.0)</f>
        <v>45079</v>
      </c>
      <c r="P172" s="45">
        <f>IFERROR(__xludf.DUMMYFUNCTION("""COMPUTED_VALUE"""),45443.0)</f>
        <v>45443</v>
      </c>
      <c r="Q172" s="45"/>
      <c r="R172" s="45"/>
      <c r="S172" s="43"/>
      <c r="T172" s="43" t="str">
        <f>IFERROR(__xludf.DUMMYFUNCTION("""COMPUTED_VALUE"""),"Business Administration")</f>
        <v>Business Administration</v>
      </c>
      <c r="U172" s="43" t="str">
        <f>IFERROR(__xludf.DUMMYFUNCTION("""COMPUTED_VALUE"""),"Sales Consultant ( Customer Service )")</f>
        <v>Sales Consultant ( Customer Service )</v>
      </c>
      <c r="V172" s="43" t="str">
        <f>IFERROR(__xludf.DUMMYFUNCTION("""COMPUTED_VALUE"""),"Karachi - University of Karachi")</f>
        <v>Karachi - University of Karachi</v>
      </c>
      <c r="W172" s="43" t="str">
        <f>IFERROR(__xludf.DUMMYFUNCTION("""COMPUTED_VALUE"""),"2021-09-12T09:10:44Z")</f>
        <v>2021-09-12T09:10:44Z</v>
      </c>
      <c r="X172" s="43"/>
      <c r="Y172" s="43"/>
      <c r="Z172" s="43"/>
    </row>
    <row r="173" hidden="1">
      <c r="A173" s="43" t="str">
        <f>IFERROR(__xludf.DUMMYFUNCTION("""COMPUTED_VALUE"""),"5265325_1286821")</f>
        <v>5265325_1286821</v>
      </c>
      <c r="B173" s="43" t="str">
        <f>IFERROR(__xludf.DUMMYFUNCTION("""COMPUTED_VALUE"""),"Slim Sayeh")</f>
        <v>Slim Sayeh</v>
      </c>
      <c r="C173" s="43" t="str">
        <f>IFERROR(__xludf.DUMMYFUNCTION("""COMPUTED_VALUE"""),"finished")</f>
        <v>finished</v>
      </c>
      <c r="D173" s="43" t="str">
        <f>IFERROR(__xludf.DUMMYFUNCTION("""COMPUTED_VALUE"""),"No")</f>
        <v>No</v>
      </c>
      <c r="E173" s="43" t="str">
        <f>IFERROR(__xludf.DUMMYFUNCTION("""COMPUTED_VALUE"""),"p_818737f8eaeb0b28562638599c922da53e6529e4@inbound.aiesec.org")</f>
        <v>p_818737f8eaeb0b28562638599c922da53e6529e4@inbound.aiesec.org</v>
      </c>
      <c r="F173" s="43">
        <f>IFERROR(__xludf.DUMMYFUNCTION("""COMPUTED_VALUE"""),9.2653213E7)</f>
        <v>92653213</v>
      </c>
      <c r="G173" s="43" t="str">
        <f>IFERROR(__xludf.DUMMYFUNCTION("""COMPUTED_VALUE"""),"Tunisia")</f>
        <v>Tunisia</v>
      </c>
      <c r="H173" s="43" t="str">
        <f>IFERROR(__xludf.DUMMYFUNCTION("""COMPUTED_VALUE"""),"MEDINA")</f>
        <v>MEDINA</v>
      </c>
      <c r="I173" s="43" t="str">
        <f>IFERROR(__xludf.DUMMYFUNCTION("""COMPUTED_VALUE"""),"Turkey")</f>
        <v>Turkey</v>
      </c>
      <c r="J173" s="43" t="str">
        <f>IFERROR(__xludf.DUMMYFUNCTION("""COMPUTED_VALUE"""),"ISTANBUL ASIA")</f>
        <v>ISTANBUL ASIA</v>
      </c>
      <c r="K173" s="44" t="str">
        <f>IFERROR(__xludf.DUMMYFUNCTION("""COMPUTED_VALUE"""),"https://expa.aiesec.org/opportunities/1286821")</f>
        <v>https://expa.aiesec.org/opportunities/1286821</v>
      </c>
      <c r="L173" s="43" t="str">
        <f>IFERROR(__xludf.DUMMYFUNCTION("""COMPUTED_VALUE"""),"GTa")</f>
        <v>GTa</v>
      </c>
      <c r="M173" s="43" t="str">
        <f>IFERROR(__xludf.DUMMYFUNCTION("""COMPUTED_VALUE"""),"short")</f>
        <v>short</v>
      </c>
      <c r="N173" s="45">
        <f>IFERROR(__xludf.DUMMYFUNCTION("""COMPUTED_VALUE"""),45069.0)</f>
        <v>45069</v>
      </c>
      <c r="O173" s="45">
        <f>IFERROR(__xludf.DUMMYFUNCTION("""COMPUTED_VALUE"""),45082.0)</f>
        <v>45082</v>
      </c>
      <c r="P173" s="45">
        <f>IFERROR(__xludf.DUMMYFUNCTION("""COMPUTED_VALUE"""),45143.0)</f>
        <v>45143</v>
      </c>
      <c r="Q173" s="45">
        <f>IFERROR(__xludf.DUMMYFUNCTION("""COMPUTED_VALUE"""),45085.0)</f>
        <v>45085</v>
      </c>
      <c r="R173" s="45">
        <f>IFERROR(__xludf.DUMMYFUNCTION("""COMPUTED_VALUE"""),45156.0)</f>
        <v>45156</v>
      </c>
      <c r="S173" s="43"/>
      <c r="T173" s="43" t="str">
        <f>IFERROR(__xludf.DUMMYFUNCTION("""COMPUTED_VALUE"""),"Business Development")</f>
        <v>Business Development</v>
      </c>
      <c r="U173" s="43" t="str">
        <f>IFERROR(__xludf.DUMMYFUNCTION("""COMPUTED_VALUE"""),"International Relationship Director")</f>
        <v>International Relationship Director</v>
      </c>
      <c r="V173" s="43" t="str">
        <f>IFERROR(__xludf.DUMMYFUNCTION("""COMPUTED_VALUE"""),"ESC MANOUBA")</f>
        <v>ESC MANOUBA</v>
      </c>
      <c r="W173" s="43" t="str">
        <f>IFERROR(__xludf.DUMMYFUNCTION("""COMPUTED_VALUE"""),"2023-05-23T11:21:30Z")</f>
        <v>2023-05-23T11:21:30Z</v>
      </c>
      <c r="X173" s="43"/>
      <c r="Y173" s="43"/>
      <c r="Z173" s="43"/>
    </row>
    <row r="174" hidden="1">
      <c r="A174" s="43" t="str">
        <f>IFERROR(__xludf.DUMMYFUNCTION("""COMPUTED_VALUE"""),"1826637_1288159")</f>
        <v>1826637_1288159</v>
      </c>
      <c r="B174" s="43" t="str">
        <f>IFERROR(__xludf.DUMMYFUNCTION("""COMPUTED_VALUE"""),"Belkis Zurbaran")</f>
        <v>Belkis Zurbaran</v>
      </c>
      <c r="C174" s="43" t="str">
        <f>IFERROR(__xludf.DUMMYFUNCTION("""COMPUTED_VALUE"""),"realized")</f>
        <v>realized</v>
      </c>
      <c r="D174" s="43" t="str">
        <f>IFERROR(__xludf.DUMMYFUNCTION("""COMPUTED_VALUE"""),"No")</f>
        <v>No</v>
      </c>
      <c r="E174" s="43" t="str">
        <f>IFERROR(__xludf.DUMMYFUNCTION("""COMPUTED_VALUE"""),"p_689f24a99d1d437aa6cd702b8baf4e64b14ca560@inbound.aiesec.org")</f>
        <v>p_689f24a99d1d437aa6cd702b8baf4e64b14ca560@inbound.aiesec.org</v>
      </c>
      <c r="F174" s="43">
        <f>IFERROR(__xludf.DUMMYFUNCTION("""COMPUTED_VALUE"""),3.017369693E9)</f>
        <v>3017369693</v>
      </c>
      <c r="G174" s="43" t="str">
        <f>IFERROR(__xludf.DUMMYFUNCTION("""COMPUTED_VALUE"""),"Colombia")</f>
        <v>Colombia</v>
      </c>
      <c r="H174" s="43" t="str">
        <f>IFERROR(__xludf.DUMMYFUNCTION("""COMPUTED_VALUE"""),"SANTA MARTA")</f>
        <v>SANTA MARTA</v>
      </c>
      <c r="I174" s="43" t="str">
        <f>IFERROR(__xludf.DUMMYFUNCTION("""COMPUTED_VALUE"""),"Turkey")</f>
        <v>Turkey</v>
      </c>
      <c r="J174" s="43" t="str">
        <f>IFERROR(__xludf.DUMMYFUNCTION("""COMPUTED_VALUE"""),"ADANA")</f>
        <v>ADANA</v>
      </c>
      <c r="K174" s="44" t="str">
        <f>IFERROR(__xludf.DUMMYFUNCTION("""COMPUTED_VALUE"""),"https://expa.aiesec.org/opportunities/1288159")</f>
        <v>https://expa.aiesec.org/opportunities/1288159</v>
      </c>
      <c r="L174" s="43" t="str">
        <f>IFERROR(__xludf.DUMMYFUNCTION("""COMPUTED_VALUE"""),"GTa")</f>
        <v>GTa</v>
      </c>
      <c r="M174" s="43" t="str">
        <f>IFERROR(__xludf.DUMMYFUNCTION("""COMPUTED_VALUE"""),"long")</f>
        <v>long</v>
      </c>
      <c r="N174" s="45">
        <f>IFERROR(__xludf.DUMMYFUNCTION("""COMPUTED_VALUE"""),45069.0)</f>
        <v>45069</v>
      </c>
      <c r="O174" s="45">
        <f>IFERROR(__xludf.DUMMYFUNCTION("""COMPUTED_VALUE"""),45057.0)</f>
        <v>45057</v>
      </c>
      <c r="P174" s="45">
        <f>IFERROR(__xludf.DUMMYFUNCTION("""COMPUTED_VALUE"""),45425.0)</f>
        <v>45425</v>
      </c>
      <c r="Q174" s="45">
        <f>IFERROR(__xludf.DUMMYFUNCTION("""COMPUTED_VALUE"""),45120.0)</f>
        <v>45120</v>
      </c>
      <c r="R174" s="45">
        <f>IFERROR(__xludf.DUMMYFUNCTION("""COMPUTED_VALUE"""),45488.0)</f>
        <v>45488</v>
      </c>
      <c r="S174" s="43"/>
      <c r="T174" s="43" t="str">
        <f>IFERROR(__xludf.DUMMYFUNCTION("""COMPUTED_VALUE"""),"Marketing")</f>
        <v>Marketing</v>
      </c>
      <c r="U174" s="43" t="str">
        <f>IFERROR(__xludf.DUMMYFUNCTION("""COMPUTED_VALUE"""),"MARKETING INTERN | Spanish")</f>
        <v>MARKETING INTERN | Spanish</v>
      </c>
      <c r="V174" s="43" t="str">
        <f>IFERROR(__xludf.DUMMYFUNCTION("""COMPUTED_VALUE"""),"-")</f>
        <v>-</v>
      </c>
      <c r="W174" s="43" t="str">
        <f>IFERROR(__xludf.DUMMYFUNCTION("""COMPUTED_VALUE"""),"2017-10-27T21:58:16Z")</f>
        <v>2017-10-27T21:58:16Z</v>
      </c>
      <c r="X174" s="43"/>
      <c r="Y174" s="43"/>
      <c r="Z174" s="43"/>
    </row>
    <row r="175" hidden="1">
      <c r="A175" s="43" t="str">
        <f>IFERROR(__xludf.DUMMYFUNCTION("""COMPUTED_VALUE"""),"4563884_1294656")</f>
        <v>4563884_1294656</v>
      </c>
      <c r="B175" s="43" t="str">
        <f>IFERROR(__xludf.DUMMYFUNCTION("""COMPUTED_VALUE"""),"Farah Bouali")</f>
        <v>Farah Bouali</v>
      </c>
      <c r="C175" s="43" t="str">
        <f>IFERROR(__xludf.DUMMYFUNCTION("""COMPUTED_VALUE"""),"realized")</f>
        <v>realized</v>
      </c>
      <c r="D175" s="43" t="str">
        <f>IFERROR(__xludf.DUMMYFUNCTION("""COMPUTED_VALUE"""),"No")</f>
        <v>No</v>
      </c>
      <c r="E175" s="43" t="str">
        <f>IFERROR(__xludf.DUMMYFUNCTION("""COMPUTED_VALUE"""),"p_2d67d215b8365356c52fbd30153dead03195ca59@inbound.aiesec.org")</f>
        <v>p_2d67d215b8365356c52fbd30153dead03195ca59@inbound.aiesec.org</v>
      </c>
      <c r="F175" s="43"/>
      <c r="G175" s="43" t="str">
        <f>IFERROR(__xludf.DUMMYFUNCTION("""COMPUTED_VALUE"""),"Tunisia")</f>
        <v>Tunisia</v>
      </c>
      <c r="H175" s="43" t="str">
        <f>IFERROR(__xludf.DUMMYFUNCTION("""COMPUTED_VALUE"""),"UNIVERSITY")</f>
        <v>UNIVERSITY</v>
      </c>
      <c r="I175" s="43" t="str">
        <f>IFERROR(__xludf.DUMMYFUNCTION("""COMPUTED_VALUE"""),"Turkey")</f>
        <v>Turkey</v>
      </c>
      <c r="J175" s="43" t="str">
        <f>IFERROR(__xludf.DUMMYFUNCTION("""COMPUTED_VALUE"""),"BURSA")</f>
        <v>BURSA</v>
      </c>
      <c r="K175" s="44" t="str">
        <f>IFERROR(__xludf.DUMMYFUNCTION("""COMPUTED_VALUE"""),"https://expa.aiesec.org/opportunities/1294656")</f>
        <v>https://expa.aiesec.org/opportunities/1294656</v>
      </c>
      <c r="L175" s="43" t="str">
        <f>IFERROR(__xludf.DUMMYFUNCTION("""COMPUTED_VALUE"""),"GTa")</f>
        <v>GTa</v>
      </c>
      <c r="M175" s="43" t="str">
        <f>IFERROR(__xludf.DUMMYFUNCTION("""COMPUTED_VALUE"""),"long")</f>
        <v>long</v>
      </c>
      <c r="N175" s="45">
        <f>IFERROR(__xludf.DUMMYFUNCTION("""COMPUTED_VALUE"""),45071.0)</f>
        <v>45071</v>
      </c>
      <c r="O175" s="45">
        <f>IFERROR(__xludf.DUMMYFUNCTION("""COMPUTED_VALUE"""),45122.0)</f>
        <v>45122</v>
      </c>
      <c r="P175" s="45">
        <f>IFERROR(__xludf.DUMMYFUNCTION("""COMPUTED_VALUE"""),45488.0)</f>
        <v>45488</v>
      </c>
      <c r="Q175" s="45">
        <f>IFERROR(__xludf.DUMMYFUNCTION("""COMPUTED_VALUE"""),45125.0)</f>
        <v>45125</v>
      </c>
      <c r="R175" s="45">
        <f>IFERROR(__xludf.DUMMYFUNCTION("""COMPUTED_VALUE"""),45491.0)</f>
        <v>45491</v>
      </c>
      <c r="S175" s="43"/>
      <c r="T175" s="43" t="str">
        <f>IFERROR(__xludf.DUMMYFUNCTION("""COMPUTED_VALUE"""),"Marketing")</f>
        <v>Marketing</v>
      </c>
      <c r="U175" s="43" t="str">
        <f>IFERROR(__xludf.DUMMYFUNCTION("""COMPUTED_VALUE"""),"Market Researc Analyst")</f>
        <v>Market Researc Analyst</v>
      </c>
      <c r="V175" s="43" t="str">
        <f>IFERROR(__xludf.DUMMYFUNCTION("""COMPUTED_VALUE"""),"ENIT")</f>
        <v>ENIT</v>
      </c>
      <c r="W175" s="43" t="str">
        <f>IFERROR(__xludf.DUMMYFUNCTION("""COMPUTED_VALUE"""),"2021-03-01T19:47:42Z")</f>
        <v>2021-03-01T19:47:42Z</v>
      </c>
      <c r="X175" s="43"/>
      <c r="Y175" s="43"/>
      <c r="Z175" s="43"/>
    </row>
    <row r="176" hidden="1">
      <c r="A176" s="43" t="str">
        <f>IFERROR(__xludf.DUMMYFUNCTION("""COMPUTED_VALUE"""),"5268025_1292149")</f>
        <v>5268025_1292149</v>
      </c>
      <c r="B176" s="43" t="str">
        <f>IFERROR(__xludf.DUMMYFUNCTION("""COMPUTED_VALUE"""),"Soumia ELHARCHALI")</f>
        <v>Soumia ELHARCHALI</v>
      </c>
      <c r="C176" s="43" t="str">
        <f>IFERROR(__xludf.DUMMYFUNCTION("""COMPUTED_VALUE"""),"realized")</f>
        <v>realized</v>
      </c>
      <c r="D176" s="43" t="str">
        <f>IFERROR(__xludf.DUMMYFUNCTION("""COMPUTED_VALUE"""),"No")</f>
        <v>No</v>
      </c>
      <c r="E176" s="43" t="str">
        <f>IFERROR(__xludf.DUMMYFUNCTION("""COMPUTED_VALUE"""),"p_1613f960b353d739bcd9c60fd0383777d406e944@inbound.aiesec.org")</f>
        <v>p_1613f960b353d739bcd9c60fd0383777d406e944@inbound.aiesec.org</v>
      </c>
      <c r="F176" s="43">
        <f>IFERROR(__xludf.DUMMYFUNCTION("""COMPUTED_VALUE"""),6.76523938E8)</f>
        <v>676523938</v>
      </c>
      <c r="G176" s="43" t="str">
        <f>IFERROR(__xludf.DUMMYFUNCTION("""COMPUTED_VALUE"""),"Morocco")</f>
        <v>Morocco</v>
      </c>
      <c r="H176" s="43" t="str">
        <f>IFERROR(__xludf.DUMMYFUNCTION("""COMPUTED_VALUE"""),"Kenitra")</f>
        <v>Kenitra</v>
      </c>
      <c r="I176" s="43" t="str">
        <f>IFERROR(__xludf.DUMMYFUNCTION("""COMPUTED_VALUE"""),"Turkey")</f>
        <v>Turkey</v>
      </c>
      <c r="J176" s="43" t="str">
        <f>IFERROR(__xludf.DUMMYFUNCTION("""COMPUTED_VALUE"""),"GAZIANTEP")</f>
        <v>GAZIANTEP</v>
      </c>
      <c r="K176" s="44" t="str">
        <f>IFERROR(__xludf.DUMMYFUNCTION("""COMPUTED_VALUE"""),"https://expa.aiesec.org/opportunities/1292149")</f>
        <v>https://expa.aiesec.org/opportunities/1292149</v>
      </c>
      <c r="L176" s="43" t="str">
        <f>IFERROR(__xludf.DUMMYFUNCTION("""COMPUTED_VALUE"""),"GTa")</f>
        <v>GTa</v>
      </c>
      <c r="M176" s="43" t="str">
        <f>IFERROR(__xludf.DUMMYFUNCTION("""COMPUTED_VALUE"""),"long")</f>
        <v>long</v>
      </c>
      <c r="N176" s="45">
        <f>IFERROR(__xludf.DUMMYFUNCTION("""COMPUTED_VALUE"""),45074.0)</f>
        <v>45074</v>
      </c>
      <c r="O176" s="45">
        <f>IFERROR(__xludf.DUMMYFUNCTION("""COMPUTED_VALUE"""),45108.0)</f>
        <v>45108</v>
      </c>
      <c r="P176" s="45">
        <f>IFERROR(__xludf.DUMMYFUNCTION("""COMPUTED_VALUE"""),45473.0)</f>
        <v>45473</v>
      </c>
      <c r="Q176" s="45">
        <f>IFERROR(__xludf.DUMMYFUNCTION("""COMPUTED_VALUE"""),45109.0)</f>
        <v>45109</v>
      </c>
      <c r="R176" s="45">
        <f>IFERROR(__xludf.DUMMYFUNCTION("""COMPUTED_VALUE"""),45475.0)</f>
        <v>45475</v>
      </c>
      <c r="S176" s="43"/>
      <c r="T176" s="43" t="str">
        <f>IFERROR(__xludf.DUMMYFUNCTION("""COMPUTED_VALUE"""),"Marketing")</f>
        <v>Marketing</v>
      </c>
      <c r="U176" s="43" t="str">
        <f>IFERROR(__xludf.DUMMYFUNCTION("""COMPUTED_VALUE"""),"Marketing")</f>
        <v>Marketing</v>
      </c>
      <c r="V176" s="43" t="str">
        <f>IFERROR(__xludf.DUMMYFUNCTION("""COMPUTED_VALUE"""),"Ecole Nationale De Commerce Et De Gestion Kenitra (ENCGK)")</f>
        <v>Ecole Nationale De Commerce Et De Gestion Kenitra (ENCGK)</v>
      </c>
      <c r="W176" s="43" t="str">
        <f>IFERROR(__xludf.DUMMYFUNCTION("""COMPUTED_VALUE"""),"2023-05-28T19:46:46Z")</f>
        <v>2023-05-28T19:46:46Z</v>
      </c>
      <c r="X176" s="43"/>
      <c r="Y176" s="43"/>
      <c r="Z176" s="43"/>
    </row>
    <row r="177" hidden="1">
      <c r="A177" s="43" t="str">
        <f>IFERROR(__xludf.DUMMYFUNCTION("""COMPUTED_VALUE"""),"2351814_1294332")</f>
        <v>2351814_1294332</v>
      </c>
      <c r="B177" s="43" t="str">
        <f>IFERROR(__xludf.DUMMYFUNCTION("""COMPUTED_VALUE"""),"Abdelkrim DJEBIR")</f>
        <v>Abdelkrim DJEBIR</v>
      </c>
      <c r="C177" s="43" t="str">
        <f>IFERROR(__xludf.DUMMYFUNCTION("""COMPUTED_VALUE"""),"realized")</f>
        <v>realized</v>
      </c>
      <c r="D177" s="43" t="str">
        <f>IFERROR(__xludf.DUMMYFUNCTION("""COMPUTED_VALUE"""),"No")</f>
        <v>No</v>
      </c>
      <c r="E177" s="43" t="str">
        <f>IFERROR(__xludf.DUMMYFUNCTION("""COMPUTED_VALUE"""),"p_9c9b1c10fc1734afbeead49cf1b0645b06f63957@inbound.aiesec.org")</f>
        <v>p_9c9b1c10fc1734afbeead49cf1b0645b06f63957@inbound.aiesec.org</v>
      </c>
      <c r="F177" s="43">
        <f>IFERROR(__xludf.DUMMYFUNCTION("""COMPUTED_VALUE"""),5.62048235E8)</f>
        <v>562048235</v>
      </c>
      <c r="G177" s="43" t="str">
        <f>IFERROR(__xludf.DUMMYFUNCTION("""COMPUTED_VALUE"""),"Algeria")</f>
        <v>Algeria</v>
      </c>
      <c r="H177" s="43" t="str">
        <f>IFERROR(__xludf.DUMMYFUNCTION("""COMPUTED_VALUE"""),"Babez")</f>
        <v>Babez</v>
      </c>
      <c r="I177" s="43" t="str">
        <f>IFERROR(__xludf.DUMMYFUNCTION("""COMPUTED_VALUE"""),"Turkey")</f>
        <v>Turkey</v>
      </c>
      <c r="J177" s="43" t="str">
        <f>IFERROR(__xludf.DUMMYFUNCTION("""COMPUTED_VALUE"""),"ISTANBUL WEST")</f>
        <v>ISTANBUL WEST</v>
      </c>
      <c r="K177" s="44" t="str">
        <f>IFERROR(__xludf.DUMMYFUNCTION("""COMPUTED_VALUE"""),"https://expa.aiesec.org/opportunities/1294332")</f>
        <v>https://expa.aiesec.org/opportunities/1294332</v>
      </c>
      <c r="L177" s="43" t="str">
        <f>IFERROR(__xludf.DUMMYFUNCTION("""COMPUTED_VALUE"""),"GTa")</f>
        <v>GTa</v>
      </c>
      <c r="M177" s="43" t="str">
        <f>IFERROR(__xludf.DUMMYFUNCTION("""COMPUTED_VALUE"""),"long")</f>
        <v>long</v>
      </c>
      <c r="N177" s="45">
        <f>IFERROR(__xludf.DUMMYFUNCTION("""COMPUTED_VALUE"""),45074.0)</f>
        <v>45074</v>
      </c>
      <c r="O177" s="45">
        <f>IFERROR(__xludf.DUMMYFUNCTION("""COMPUTED_VALUE"""),45081.0)</f>
        <v>45081</v>
      </c>
      <c r="P177" s="45">
        <f>IFERROR(__xludf.DUMMYFUNCTION("""COMPUTED_VALUE"""),45443.0)</f>
        <v>45443</v>
      </c>
      <c r="Q177" s="45">
        <f>IFERROR(__xludf.DUMMYFUNCTION("""COMPUTED_VALUE"""),45083.0)</f>
        <v>45083</v>
      </c>
      <c r="R177" s="45">
        <f>IFERROR(__xludf.DUMMYFUNCTION("""COMPUTED_VALUE"""),45445.0)</f>
        <v>45445</v>
      </c>
      <c r="S177" s="43"/>
      <c r="T177" s="43" t="str">
        <f>IFERROR(__xludf.DUMMYFUNCTION("""COMPUTED_VALUE"""),"Business Administration")</f>
        <v>Business Administration</v>
      </c>
      <c r="U177" s="43" t="str">
        <f>IFERROR(__xludf.DUMMYFUNCTION("""COMPUTED_VALUE"""),"Sales Consultant ( Customer Service )")</f>
        <v>Sales Consultant ( Customer Service )</v>
      </c>
      <c r="V177" s="43" t="str">
        <f>IFERROR(__xludf.DUMMYFUNCTION("""COMPUTED_VALUE"""),"-")</f>
        <v>-</v>
      </c>
      <c r="W177" s="43" t="str">
        <f>IFERROR(__xludf.DUMMYFUNCTION("""COMPUTED_VALUE"""),"2018-06-09T01:53:22Z")</f>
        <v>2018-06-09T01:53:22Z</v>
      </c>
      <c r="X177" s="43"/>
      <c r="Y177" s="43"/>
      <c r="Z177" s="43"/>
    </row>
    <row r="178" hidden="1">
      <c r="A178" s="43" t="str">
        <f>IFERROR(__xludf.DUMMYFUNCTION("""COMPUTED_VALUE"""),"2271390_1294097")</f>
        <v>2271390_1294097</v>
      </c>
      <c r="B178" s="43" t="str">
        <f>IFERROR(__xludf.DUMMYFUNCTION("""COMPUTED_VALUE"""),"zidi miriam")</f>
        <v>zidi miriam</v>
      </c>
      <c r="C178" s="43" t="str">
        <f>IFERROR(__xludf.DUMMYFUNCTION("""COMPUTED_VALUE"""),"realized")</f>
        <v>realized</v>
      </c>
      <c r="D178" s="43" t="str">
        <f>IFERROR(__xludf.DUMMYFUNCTION("""COMPUTED_VALUE"""),"No")</f>
        <v>No</v>
      </c>
      <c r="E178" s="43" t="str">
        <f>IFERROR(__xludf.DUMMYFUNCTION("""COMPUTED_VALUE"""),"p_ee06c2729a1a75691de6f47be358ac6b6dac3abb@inbound.aiesec.org")</f>
        <v>p_ee06c2729a1a75691de6f47be358ac6b6dac3abb@inbound.aiesec.org</v>
      </c>
      <c r="F178" s="43">
        <f>IFERROR(__xludf.DUMMYFUNCTION("""COMPUTED_VALUE"""),5.332246E7)</f>
        <v>53322460</v>
      </c>
      <c r="G178" s="43" t="str">
        <f>IFERROR(__xludf.DUMMYFUNCTION("""COMPUTED_VALUE"""),"Tunisia")</f>
        <v>Tunisia</v>
      </c>
      <c r="H178" s="43" t="str">
        <f>IFERROR(__xludf.DUMMYFUNCTION("""COMPUTED_VALUE"""),"HADRUMET")</f>
        <v>HADRUMET</v>
      </c>
      <c r="I178" s="43" t="str">
        <f>IFERROR(__xludf.DUMMYFUNCTION("""COMPUTED_VALUE"""),"Turkey")</f>
        <v>Turkey</v>
      </c>
      <c r="J178" s="43" t="str">
        <f>IFERROR(__xludf.DUMMYFUNCTION("""COMPUTED_VALUE"""),"İZMİR")</f>
        <v>İZMİR</v>
      </c>
      <c r="K178" s="44" t="str">
        <f>IFERROR(__xludf.DUMMYFUNCTION("""COMPUTED_VALUE"""),"https://expa.aiesec.org/opportunities/1294097")</f>
        <v>https://expa.aiesec.org/opportunities/1294097</v>
      </c>
      <c r="L178" s="43" t="str">
        <f>IFERROR(__xludf.DUMMYFUNCTION("""COMPUTED_VALUE"""),"GTa")</f>
        <v>GTa</v>
      </c>
      <c r="M178" s="43" t="str">
        <f>IFERROR(__xludf.DUMMYFUNCTION("""COMPUTED_VALUE"""),"long")</f>
        <v>long</v>
      </c>
      <c r="N178" s="45">
        <f>IFERROR(__xludf.DUMMYFUNCTION("""COMPUTED_VALUE"""),45075.0)</f>
        <v>45075</v>
      </c>
      <c r="O178" s="45">
        <f>IFERROR(__xludf.DUMMYFUNCTION("""COMPUTED_VALUE"""),45082.0)</f>
        <v>45082</v>
      </c>
      <c r="P178" s="45">
        <f>IFERROR(__xludf.DUMMYFUNCTION("""COMPUTED_VALUE"""),45446.0)</f>
        <v>45446</v>
      </c>
      <c r="Q178" s="45">
        <f>IFERROR(__xludf.DUMMYFUNCTION("""COMPUTED_VALUE"""),45157.0)</f>
        <v>45157</v>
      </c>
      <c r="R178" s="45">
        <f>IFERROR(__xludf.DUMMYFUNCTION("""COMPUTED_VALUE"""),45524.0)</f>
        <v>45524</v>
      </c>
      <c r="S178" s="43"/>
      <c r="T178" s="43" t="str">
        <f>IFERROR(__xludf.DUMMYFUNCTION("""COMPUTED_VALUE"""),"Business Development")</f>
        <v>Business Development</v>
      </c>
      <c r="U178" s="43" t="str">
        <f>IFERROR(__xludf.DUMMYFUNCTION("""COMPUTED_VALUE"""),"Sales")</f>
        <v>Sales</v>
      </c>
      <c r="V178" s="43" t="str">
        <f>IFERROR(__xludf.DUMMYFUNCTION("""COMPUTED_VALUE"""),"FSEG Sousse")</f>
        <v>FSEG Sousse</v>
      </c>
      <c r="W178" s="43" t="str">
        <f>IFERROR(__xludf.DUMMYFUNCTION("""COMPUTED_VALUE"""),"2018-05-01T09:13:40Z")</f>
        <v>2018-05-01T09:13:40Z</v>
      </c>
      <c r="X178" s="43"/>
      <c r="Y178" s="43"/>
      <c r="Z178" s="43"/>
    </row>
    <row r="179" hidden="1">
      <c r="A179" s="43" t="str">
        <f>IFERROR(__xludf.DUMMYFUNCTION("""COMPUTED_VALUE"""),"5267968_1289308")</f>
        <v>5267968_1289308</v>
      </c>
      <c r="B179" s="43" t="str">
        <f>IFERROR(__xludf.DUMMYFUNCTION("""COMPUTED_VALUE"""),"MUSTAPHA NEFFAKH")</f>
        <v>MUSTAPHA NEFFAKH</v>
      </c>
      <c r="C179" s="43" t="str">
        <f>IFERROR(__xludf.DUMMYFUNCTION("""COMPUTED_VALUE"""),"realized")</f>
        <v>realized</v>
      </c>
      <c r="D179" s="43" t="str">
        <f>IFERROR(__xludf.DUMMYFUNCTION("""COMPUTED_VALUE"""),"No")</f>
        <v>No</v>
      </c>
      <c r="E179" s="43" t="str">
        <f>IFERROR(__xludf.DUMMYFUNCTION("""COMPUTED_VALUE"""),"p_95f7beaf40c5ea5ec0e5278f77ebd71faa5291e5@inbound.aiesec.org")</f>
        <v>p_95f7beaf40c5ea5ec0e5278f77ebd71faa5291e5@inbound.aiesec.org</v>
      </c>
      <c r="F179" s="43">
        <f>IFERROR(__xludf.DUMMYFUNCTION("""COMPUTED_VALUE"""),6.33466418E8)</f>
        <v>633466418</v>
      </c>
      <c r="G179" s="43" t="str">
        <f>IFERROR(__xludf.DUMMYFUNCTION("""COMPUTED_VALUE"""),"Morocco")</f>
        <v>Morocco</v>
      </c>
      <c r="H179" s="43" t="str">
        <f>IFERROR(__xludf.DUMMYFUNCTION("""COMPUTED_VALUE"""),"Tangier")</f>
        <v>Tangier</v>
      </c>
      <c r="I179" s="43" t="str">
        <f>IFERROR(__xludf.DUMMYFUNCTION("""COMPUTED_VALUE"""),"Turkey")</f>
        <v>Turkey</v>
      </c>
      <c r="J179" s="43" t="str">
        <f>IFERROR(__xludf.DUMMYFUNCTION("""COMPUTED_VALUE"""),"BURSA")</f>
        <v>BURSA</v>
      </c>
      <c r="K179" s="44" t="str">
        <f>IFERROR(__xludf.DUMMYFUNCTION("""COMPUTED_VALUE"""),"https://expa.aiesec.org/opportunities/1289308")</f>
        <v>https://expa.aiesec.org/opportunities/1289308</v>
      </c>
      <c r="L179" s="43" t="str">
        <f>IFERROR(__xludf.DUMMYFUNCTION("""COMPUTED_VALUE"""),"GTa")</f>
        <v>GTa</v>
      </c>
      <c r="M179" s="43" t="str">
        <f>IFERROR(__xludf.DUMMYFUNCTION("""COMPUTED_VALUE"""),"long")</f>
        <v>long</v>
      </c>
      <c r="N179" s="45">
        <f>IFERROR(__xludf.DUMMYFUNCTION("""COMPUTED_VALUE"""),45077.0)</f>
        <v>45077</v>
      </c>
      <c r="O179" s="45">
        <f>IFERROR(__xludf.DUMMYFUNCTION("""COMPUTED_VALUE"""),45117.0)</f>
        <v>45117</v>
      </c>
      <c r="P179" s="45">
        <f>IFERROR(__xludf.DUMMYFUNCTION("""COMPUTED_VALUE"""),45483.0)</f>
        <v>45483</v>
      </c>
      <c r="Q179" s="45">
        <f>IFERROR(__xludf.DUMMYFUNCTION("""COMPUTED_VALUE"""),45125.0)</f>
        <v>45125</v>
      </c>
      <c r="R179" s="45">
        <f>IFERROR(__xludf.DUMMYFUNCTION("""COMPUTED_VALUE"""),45491.0)</f>
        <v>45491</v>
      </c>
      <c r="S179" s="43"/>
      <c r="T179" s="43" t="str">
        <f>IFERROR(__xludf.DUMMYFUNCTION("""COMPUTED_VALUE"""),"Engineering")</f>
        <v>Engineering</v>
      </c>
      <c r="U179" s="43" t="str">
        <f>IFERROR(__xludf.DUMMYFUNCTION("""COMPUTED_VALUE"""),"Process Engineer")</f>
        <v>Process Engineer</v>
      </c>
      <c r="V179" s="43" t="str">
        <f>IFERROR(__xludf.DUMMYFUNCTION("""COMPUTED_VALUE"""),"FST Tanger")</f>
        <v>FST Tanger</v>
      </c>
      <c r="W179" s="43" t="str">
        <f>IFERROR(__xludf.DUMMYFUNCTION("""COMPUTED_VALUE"""),"2023-05-28T17:04:10Z")</f>
        <v>2023-05-28T17:04:10Z</v>
      </c>
      <c r="X179" s="43"/>
      <c r="Y179" s="43"/>
      <c r="Z179" s="43"/>
    </row>
    <row r="180" hidden="1">
      <c r="A180" s="43" t="str">
        <f>IFERROR(__xludf.DUMMYFUNCTION("""COMPUTED_VALUE"""),"5265450_1290924")</f>
        <v>5265450_1290924</v>
      </c>
      <c r="B180" s="43" t="str">
        <f>IFERROR(__xludf.DUMMYFUNCTION("""COMPUTED_VALUE"""),"Sirine Kerkeni")</f>
        <v>Sirine Kerkeni</v>
      </c>
      <c r="C180" s="43" t="str">
        <f>IFERROR(__xludf.DUMMYFUNCTION("""COMPUTED_VALUE"""),"approved")</f>
        <v>approved</v>
      </c>
      <c r="D180" s="43" t="str">
        <f>IFERROR(__xludf.DUMMYFUNCTION("""COMPUTED_VALUE"""),"No")</f>
        <v>No</v>
      </c>
      <c r="E180" s="43" t="str">
        <f>IFERROR(__xludf.DUMMYFUNCTION("""COMPUTED_VALUE"""),"p_764d226fbb823e27ed56c0bc496d1f9a3fd527de@inbound.aiesec.org")</f>
        <v>p_764d226fbb823e27ed56c0bc496d1f9a3fd527de@inbound.aiesec.org</v>
      </c>
      <c r="F180" s="43">
        <f>IFERROR(__xludf.DUMMYFUNCTION("""COMPUTED_VALUE"""),2.7106629E7)</f>
        <v>27106629</v>
      </c>
      <c r="G180" s="43" t="str">
        <f>IFERROR(__xludf.DUMMYFUNCTION("""COMPUTED_VALUE"""),"Tunisia")</f>
        <v>Tunisia</v>
      </c>
      <c r="H180" s="43" t="str">
        <f>IFERROR(__xludf.DUMMYFUNCTION("""COMPUTED_VALUE"""),"BARDO")</f>
        <v>BARDO</v>
      </c>
      <c r="I180" s="43" t="str">
        <f>IFERROR(__xludf.DUMMYFUNCTION("""COMPUTED_VALUE"""),"Turkey")</f>
        <v>Turkey</v>
      </c>
      <c r="J180" s="43" t="str">
        <f>IFERROR(__xludf.DUMMYFUNCTION("""COMPUTED_VALUE"""),"ISTANBUL")</f>
        <v>ISTANBUL</v>
      </c>
      <c r="K180" s="44" t="str">
        <f>IFERROR(__xludf.DUMMYFUNCTION("""COMPUTED_VALUE"""),"https://expa.aiesec.org/opportunities/1290924")</f>
        <v>https://expa.aiesec.org/opportunities/1290924</v>
      </c>
      <c r="L180" s="43" t="str">
        <f>IFERROR(__xludf.DUMMYFUNCTION("""COMPUTED_VALUE"""),"GTa")</f>
        <v>GTa</v>
      </c>
      <c r="M180" s="43" t="str">
        <f>IFERROR(__xludf.DUMMYFUNCTION("""COMPUTED_VALUE"""),"short")</f>
        <v>short</v>
      </c>
      <c r="N180" s="45">
        <f>IFERROR(__xludf.DUMMYFUNCTION("""COMPUTED_VALUE"""),45078.0)</f>
        <v>45078</v>
      </c>
      <c r="O180" s="45">
        <f>IFERROR(__xludf.DUMMYFUNCTION("""COMPUTED_VALUE"""),45117.0)</f>
        <v>45117</v>
      </c>
      <c r="P180" s="45">
        <f>IFERROR(__xludf.DUMMYFUNCTION("""COMPUTED_VALUE"""),45200.0)</f>
        <v>45200</v>
      </c>
      <c r="Q180" s="45"/>
      <c r="R180" s="45"/>
      <c r="S180" s="43"/>
      <c r="T180" s="43" t="str">
        <f>IFERROR(__xludf.DUMMYFUNCTION("""COMPUTED_VALUE"""),"Business Development")</f>
        <v>Business Development</v>
      </c>
      <c r="U180" s="43" t="str">
        <f>IFERROR(__xludf.DUMMYFUNCTION("""COMPUTED_VALUE"""),"Sales Specialist in Istanbul")</f>
        <v>Sales Specialist in Istanbul</v>
      </c>
      <c r="V180" s="43" t="str">
        <f>IFERROR(__xludf.DUMMYFUNCTION("""COMPUTED_VALUE"""),"TBS")</f>
        <v>TBS</v>
      </c>
      <c r="W180" s="43" t="str">
        <f>IFERROR(__xludf.DUMMYFUNCTION("""COMPUTED_VALUE"""),"2023-05-23T15:32:52Z")</f>
        <v>2023-05-23T15:32:52Z</v>
      </c>
      <c r="X180" s="43"/>
      <c r="Y180" s="43"/>
      <c r="Z180" s="43"/>
    </row>
    <row r="181" hidden="1">
      <c r="A181" s="43" t="str">
        <f>IFERROR(__xludf.DUMMYFUNCTION("""COMPUTED_VALUE"""),"5117494_1293541")</f>
        <v>5117494_1293541</v>
      </c>
      <c r="B181" s="43" t="str">
        <f>IFERROR(__xludf.DUMMYFUNCTION("""COMPUTED_VALUE"""),"Othmane Kourame")</f>
        <v>Othmane Kourame</v>
      </c>
      <c r="C181" s="43" t="str">
        <f>IFERROR(__xludf.DUMMYFUNCTION("""COMPUTED_VALUE"""),"realized")</f>
        <v>realized</v>
      </c>
      <c r="D181" s="43" t="str">
        <f>IFERROR(__xludf.DUMMYFUNCTION("""COMPUTED_VALUE"""),"No")</f>
        <v>No</v>
      </c>
      <c r="E181" s="43" t="str">
        <f>IFERROR(__xludf.DUMMYFUNCTION("""COMPUTED_VALUE"""),"p_151fdd110d46aaced260992a4d1da97804367c08@inbound.aiesec.org")</f>
        <v>p_151fdd110d46aaced260992a4d1da97804367c08@inbound.aiesec.org</v>
      </c>
      <c r="F181" s="43"/>
      <c r="G181" s="43" t="str">
        <f>IFERROR(__xludf.DUMMYFUNCTION("""COMPUTED_VALUE"""),"Morocco")</f>
        <v>Morocco</v>
      </c>
      <c r="H181" s="43" t="str">
        <f>IFERROR(__xludf.DUMMYFUNCTION("""COMPUTED_VALUE"""),"Settat")</f>
        <v>Settat</v>
      </c>
      <c r="I181" s="43" t="str">
        <f>IFERROR(__xludf.DUMMYFUNCTION("""COMPUTED_VALUE"""),"Turkey")</f>
        <v>Turkey</v>
      </c>
      <c r="J181" s="43" t="str">
        <f>IFERROR(__xludf.DUMMYFUNCTION("""COMPUTED_VALUE"""),"ANKARA")</f>
        <v>ANKARA</v>
      </c>
      <c r="K181" s="44" t="str">
        <f>IFERROR(__xludf.DUMMYFUNCTION("""COMPUTED_VALUE"""),"https://expa.aiesec.org/opportunities/1293541")</f>
        <v>https://expa.aiesec.org/opportunities/1293541</v>
      </c>
      <c r="L181" s="43" t="str">
        <f>IFERROR(__xludf.DUMMYFUNCTION("""COMPUTED_VALUE"""),"GTa")</f>
        <v>GTa</v>
      </c>
      <c r="M181" s="43" t="str">
        <f>IFERROR(__xludf.DUMMYFUNCTION("""COMPUTED_VALUE"""),"long")</f>
        <v>long</v>
      </c>
      <c r="N181" s="45">
        <f>IFERROR(__xludf.DUMMYFUNCTION("""COMPUTED_VALUE"""),45079.0)</f>
        <v>45079</v>
      </c>
      <c r="O181" s="45">
        <f>IFERROR(__xludf.DUMMYFUNCTION("""COMPUTED_VALUE"""),45076.0)</f>
        <v>45076</v>
      </c>
      <c r="P181" s="45">
        <f>IFERROR(__xludf.DUMMYFUNCTION("""COMPUTED_VALUE"""),45436.0)</f>
        <v>45436</v>
      </c>
      <c r="Q181" s="45">
        <f>IFERROR(__xludf.DUMMYFUNCTION("""COMPUTED_VALUE"""),45109.0)</f>
        <v>45109</v>
      </c>
      <c r="R181" s="45">
        <f>IFERROR(__xludf.DUMMYFUNCTION("""COMPUTED_VALUE"""),45501.0)</f>
        <v>45501</v>
      </c>
      <c r="S181" s="43"/>
      <c r="T181" s="43" t="str">
        <f>IFERROR(__xludf.DUMMYFUNCTION("""COMPUTED_VALUE"""),"Business Development")</f>
        <v>Business Development</v>
      </c>
      <c r="U181" s="43" t="str">
        <f>IFERROR(__xludf.DUMMYFUNCTION("""COMPUTED_VALUE"""),"International Sales Manager ")</f>
        <v>International Sales Manager </v>
      </c>
      <c r="V181" s="43" t="str">
        <f>IFERROR(__xludf.DUMMYFUNCTION("""COMPUTED_VALUE"""),"-")</f>
        <v>-</v>
      </c>
      <c r="W181" s="43" t="str">
        <f>IFERROR(__xludf.DUMMYFUNCTION("""COMPUTED_VALUE"""),"2022-09-22T11:26:30Z")</f>
        <v>2022-09-22T11:26:30Z</v>
      </c>
      <c r="X181" s="43"/>
      <c r="Y181" s="43"/>
      <c r="Z181" s="43"/>
    </row>
    <row r="182" hidden="1">
      <c r="A182" s="43" t="str">
        <f>IFERROR(__xludf.DUMMYFUNCTION("""COMPUTED_VALUE"""),"5053443_1295406")</f>
        <v>5053443_1295406</v>
      </c>
      <c r="B182" s="43" t="str">
        <f>IFERROR(__xludf.DUMMYFUNCTION("""COMPUTED_VALUE"""),"Abdul Rehman Khan")</f>
        <v>Abdul Rehman Khan</v>
      </c>
      <c r="C182" s="43" t="str">
        <f>IFERROR(__xludf.DUMMYFUNCTION("""COMPUTED_VALUE"""),"approved")</f>
        <v>approved</v>
      </c>
      <c r="D182" s="43" t="str">
        <f>IFERROR(__xludf.DUMMYFUNCTION("""COMPUTED_VALUE"""),"No")</f>
        <v>No</v>
      </c>
      <c r="E182" s="43" t="str">
        <f>IFERROR(__xludf.DUMMYFUNCTION("""COMPUTED_VALUE"""),"p_ccf7684ebfad4946ead68dc9d5c6531e87675f7b@inbound.aiesec.org")</f>
        <v>p_ccf7684ebfad4946ead68dc9d5c6531e87675f7b@inbound.aiesec.org</v>
      </c>
      <c r="F182" s="43">
        <f>IFERROR(__xludf.DUMMYFUNCTION("""COMPUTED_VALUE"""),5.376035843E9)</f>
        <v>5376035843</v>
      </c>
      <c r="G182" s="43" t="str">
        <f>IFERROR(__xludf.DUMMYFUNCTION("""COMPUTED_VALUE"""),"Pakistan")</f>
        <v>Pakistan</v>
      </c>
      <c r="H182" s="43" t="str">
        <f>IFERROR(__xludf.DUMMYFUNCTION("""COMPUTED_VALUE"""),"Karachi")</f>
        <v>Karachi</v>
      </c>
      <c r="I182" s="43" t="str">
        <f>IFERROR(__xludf.DUMMYFUNCTION("""COMPUTED_VALUE"""),"Turkey")</f>
        <v>Turkey</v>
      </c>
      <c r="J182" s="43" t="str">
        <f>IFERROR(__xludf.DUMMYFUNCTION("""COMPUTED_VALUE"""),"ISTANBUL")</f>
        <v>ISTANBUL</v>
      </c>
      <c r="K182" s="44" t="str">
        <f>IFERROR(__xludf.DUMMYFUNCTION("""COMPUTED_VALUE"""),"https://expa.aiesec.org/opportunities/1295406")</f>
        <v>https://expa.aiesec.org/opportunities/1295406</v>
      </c>
      <c r="L182" s="43" t="str">
        <f>IFERROR(__xludf.DUMMYFUNCTION("""COMPUTED_VALUE"""),"GTa")</f>
        <v>GTa</v>
      </c>
      <c r="M182" s="43" t="str">
        <f>IFERROR(__xludf.DUMMYFUNCTION("""COMPUTED_VALUE"""),"short")</f>
        <v>short</v>
      </c>
      <c r="N182" s="45">
        <f>IFERROR(__xludf.DUMMYFUNCTION("""COMPUTED_VALUE"""),45080.0)</f>
        <v>45080</v>
      </c>
      <c r="O182" s="45">
        <f>IFERROR(__xludf.DUMMYFUNCTION("""COMPUTED_VALUE"""),45117.0)</f>
        <v>45117</v>
      </c>
      <c r="P182" s="45">
        <f>IFERROR(__xludf.DUMMYFUNCTION("""COMPUTED_VALUE"""),45200.0)</f>
        <v>45200</v>
      </c>
      <c r="Q182" s="45"/>
      <c r="R182" s="45"/>
      <c r="S182" s="43"/>
      <c r="T182" s="43" t="str">
        <f>IFERROR(__xludf.DUMMYFUNCTION("""COMPUTED_VALUE"""),"Business Development")</f>
        <v>Business Development</v>
      </c>
      <c r="U182" s="43" t="str">
        <f>IFERROR(__xludf.DUMMYFUNCTION("""COMPUTED_VALUE"""),"Sales and Business Intelligence Specialist in Istanbul")</f>
        <v>Sales and Business Intelligence Specialist in Istanbul</v>
      </c>
      <c r="V182" s="43" t="str">
        <f>IFERROR(__xludf.DUMMYFUNCTION("""COMPUTED_VALUE"""),"Karachi - Bahria University ")</f>
        <v>Karachi - Bahria University </v>
      </c>
      <c r="W182" s="43" t="str">
        <f>IFERROR(__xludf.DUMMYFUNCTION("""COMPUTED_VALUE"""),"2022-05-09T10:04:32Z")</f>
        <v>2022-05-09T10:04:32Z</v>
      </c>
      <c r="X182" s="43"/>
      <c r="Y182" s="43"/>
      <c r="Z182" s="43"/>
    </row>
    <row r="183" hidden="1">
      <c r="A183" s="43" t="str">
        <f>IFERROR(__xludf.DUMMYFUNCTION("""COMPUTED_VALUE"""),"5270854_1294334")</f>
        <v>5270854_1294334</v>
      </c>
      <c r="B183" s="43" t="str">
        <f>IFERROR(__xludf.DUMMYFUNCTION("""COMPUTED_VALUE"""),"Eya Channoufi")</f>
        <v>Eya Channoufi</v>
      </c>
      <c r="C183" s="43" t="str">
        <f>IFERROR(__xludf.DUMMYFUNCTION("""COMPUTED_VALUE"""),"completed")</f>
        <v>completed</v>
      </c>
      <c r="D183" s="43" t="str">
        <f>IFERROR(__xludf.DUMMYFUNCTION("""COMPUTED_VALUE"""),"No")</f>
        <v>No</v>
      </c>
      <c r="E183" s="43" t="str">
        <f>IFERROR(__xludf.DUMMYFUNCTION("""COMPUTED_VALUE"""),"p_ad7e4a16d8a50edcc97c0d97aece39f4c7345b06@inbound.aiesec.org")</f>
        <v>p_ad7e4a16d8a50edcc97c0d97aece39f4c7345b06@inbound.aiesec.org</v>
      </c>
      <c r="F183" s="43"/>
      <c r="G183" s="43" t="str">
        <f>IFERROR(__xludf.DUMMYFUNCTION("""COMPUTED_VALUE"""),"Tunisia")</f>
        <v>Tunisia</v>
      </c>
      <c r="H183" s="43" t="str">
        <f>IFERROR(__xludf.DUMMYFUNCTION("""COMPUTED_VALUE"""),"THYNA")</f>
        <v>THYNA</v>
      </c>
      <c r="I183" s="43" t="str">
        <f>IFERROR(__xludf.DUMMYFUNCTION("""COMPUTED_VALUE"""),"Turkey")</f>
        <v>Turkey</v>
      </c>
      <c r="J183" s="43" t="str">
        <f>IFERROR(__xludf.DUMMYFUNCTION("""COMPUTED_VALUE"""),"ISPARTA")</f>
        <v>ISPARTA</v>
      </c>
      <c r="K183" s="44" t="str">
        <f>IFERROR(__xludf.DUMMYFUNCTION("""COMPUTED_VALUE"""),"https://expa.aiesec.org/opportunities/1294334")</f>
        <v>https://expa.aiesec.org/opportunities/1294334</v>
      </c>
      <c r="L183" s="43" t="str">
        <f>IFERROR(__xludf.DUMMYFUNCTION("""COMPUTED_VALUE"""),"GTa")</f>
        <v>GTa</v>
      </c>
      <c r="M183" s="43" t="str">
        <f>IFERROR(__xludf.DUMMYFUNCTION("""COMPUTED_VALUE"""),"short")</f>
        <v>short</v>
      </c>
      <c r="N183" s="45">
        <f>IFERROR(__xludf.DUMMYFUNCTION("""COMPUTED_VALUE"""),45081.0)</f>
        <v>45081</v>
      </c>
      <c r="O183" s="45">
        <f>IFERROR(__xludf.DUMMYFUNCTION("""COMPUTED_VALUE"""),45096.0)</f>
        <v>45096</v>
      </c>
      <c r="P183" s="45">
        <f>IFERROR(__xludf.DUMMYFUNCTION("""COMPUTED_VALUE"""),45179.0)</f>
        <v>45179</v>
      </c>
      <c r="Q183" s="45">
        <f>IFERROR(__xludf.DUMMYFUNCTION("""COMPUTED_VALUE"""),45097.0)</f>
        <v>45097</v>
      </c>
      <c r="R183" s="45">
        <f>IFERROR(__xludf.DUMMYFUNCTION("""COMPUTED_VALUE"""),45179.0)</f>
        <v>45179</v>
      </c>
      <c r="S183" s="43"/>
      <c r="T183" s="43" t="str">
        <f>IFERROR(__xludf.DUMMYFUNCTION("""COMPUTED_VALUE"""),"Marketing")</f>
        <v>Marketing</v>
      </c>
      <c r="U183" s="43" t="str">
        <f>IFERROR(__xludf.DUMMYFUNCTION("""COMPUTED_VALUE"""),"International Marketer")</f>
        <v>International Marketer</v>
      </c>
      <c r="V183" s="43" t="str">
        <f>IFERROR(__xludf.DUMMYFUNCTION("""COMPUTED_VALUE"""),"-")</f>
        <v>-</v>
      </c>
      <c r="W183" s="43" t="str">
        <f>IFERROR(__xludf.DUMMYFUNCTION("""COMPUTED_VALUE"""),"2023-06-02T23:44:40Z")</f>
        <v>2023-06-02T23:44:40Z</v>
      </c>
      <c r="X183" s="43"/>
      <c r="Y183" s="43"/>
      <c r="Z183" s="43"/>
    </row>
    <row r="184" hidden="1">
      <c r="A184" s="43" t="str">
        <f>IFERROR(__xludf.DUMMYFUNCTION("""COMPUTED_VALUE"""),"5262668_1287708")</f>
        <v>5262668_1287708</v>
      </c>
      <c r="B184" s="43" t="str">
        <f>IFERROR(__xludf.DUMMYFUNCTION("""COMPUTED_VALUE"""),"oussama hamdi")</f>
        <v>oussama hamdi</v>
      </c>
      <c r="C184" s="43" t="str">
        <f>IFERROR(__xludf.DUMMYFUNCTION("""COMPUTED_VALUE"""),"realized")</f>
        <v>realized</v>
      </c>
      <c r="D184" s="43" t="str">
        <f>IFERROR(__xludf.DUMMYFUNCTION("""COMPUTED_VALUE"""),"No")</f>
        <v>No</v>
      </c>
      <c r="E184" s="43" t="str">
        <f>IFERROR(__xludf.DUMMYFUNCTION("""COMPUTED_VALUE"""),"p_204575c61e269a3f7ee8e0ebe1a76733874325fa@inbound.aiesec.org")</f>
        <v>p_204575c61e269a3f7ee8e0ebe1a76733874325fa@inbound.aiesec.org</v>
      </c>
      <c r="F184" s="43">
        <f>IFERROR(__xludf.DUMMYFUNCTION("""COMPUTED_VALUE"""),5.397775326E9)</f>
        <v>5397775326</v>
      </c>
      <c r="G184" s="43" t="str">
        <f>IFERROR(__xludf.DUMMYFUNCTION("""COMPUTED_VALUE"""),"Morocco")</f>
        <v>Morocco</v>
      </c>
      <c r="H184" s="43" t="str">
        <f>IFERROR(__xludf.DUMMYFUNCTION("""COMPUTED_VALUE"""),"Morocco (MC)")</f>
        <v>Morocco (MC)</v>
      </c>
      <c r="I184" s="43" t="str">
        <f>IFERROR(__xludf.DUMMYFUNCTION("""COMPUTED_VALUE"""),"Turkey")</f>
        <v>Turkey</v>
      </c>
      <c r="J184" s="43" t="str">
        <f>IFERROR(__xludf.DUMMYFUNCTION("""COMPUTED_VALUE"""),"ISTANBUL WEST")</f>
        <v>ISTANBUL WEST</v>
      </c>
      <c r="K184" s="44" t="str">
        <f>IFERROR(__xludf.DUMMYFUNCTION("""COMPUTED_VALUE"""),"https://expa.aiesec.org/opportunities/1287708")</f>
        <v>https://expa.aiesec.org/opportunities/1287708</v>
      </c>
      <c r="L184" s="43" t="str">
        <f>IFERROR(__xludf.DUMMYFUNCTION("""COMPUTED_VALUE"""),"GTa")</f>
        <v>GTa</v>
      </c>
      <c r="M184" s="43" t="str">
        <f>IFERROR(__xludf.DUMMYFUNCTION("""COMPUTED_VALUE"""),"long")</f>
        <v>long</v>
      </c>
      <c r="N184" s="45">
        <f>IFERROR(__xludf.DUMMYFUNCTION("""COMPUTED_VALUE"""),45082.0)</f>
        <v>45082</v>
      </c>
      <c r="O184" s="45">
        <f>IFERROR(__xludf.DUMMYFUNCTION("""COMPUTED_VALUE"""),45105.0)</f>
        <v>45105</v>
      </c>
      <c r="P184" s="45">
        <f>IFERROR(__xludf.DUMMYFUNCTION("""COMPUTED_VALUE"""),45461.0)</f>
        <v>45461</v>
      </c>
      <c r="Q184" s="45">
        <f>IFERROR(__xludf.DUMMYFUNCTION("""COMPUTED_VALUE"""),45123.0)</f>
        <v>45123</v>
      </c>
      <c r="R184" s="45">
        <f>IFERROR(__xludf.DUMMYFUNCTION("""COMPUTED_VALUE"""),45488.0)</f>
        <v>45488</v>
      </c>
      <c r="S184" s="43"/>
      <c r="T184" s="43" t="str">
        <f>IFERROR(__xludf.DUMMYFUNCTION("""COMPUTED_VALUE"""),"Marketing")</f>
        <v>Marketing</v>
      </c>
      <c r="U184" s="43" t="str">
        <f>IFERROR(__xludf.DUMMYFUNCTION("""COMPUTED_VALUE"""),"Telesales Specialist")</f>
        <v>Telesales Specialist</v>
      </c>
      <c r="V184" s="43" t="str">
        <f>IFERROR(__xludf.DUMMYFUNCTION("""COMPUTED_VALUE"""),"Université Mohammed VI Polytechnique")</f>
        <v>Université Mohammed VI Polytechnique</v>
      </c>
      <c r="W184" s="43" t="str">
        <f>IFERROR(__xludf.DUMMYFUNCTION("""COMPUTED_VALUE"""),"2023-05-17T23:09:09Z")</f>
        <v>2023-05-17T23:09:09Z</v>
      </c>
      <c r="X184" s="43"/>
      <c r="Y184" s="43"/>
      <c r="Z184" s="43"/>
    </row>
    <row r="185" hidden="1">
      <c r="A185" s="43" t="str">
        <f>IFERROR(__xludf.DUMMYFUNCTION("""COMPUTED_VALUE"""),"5270960_1280733")</f>
        <v>5270960_1280733</v>
      </c>
      <c r="B185" s="43" t="str">
        <f>IFERROR(__xludf.DUMMYFUNCTION("""COMPUTED_VALUE"""),"Hesham Mohamed")</f>
        <v>Hesham Mohamed</v>
      </c>
      <c r="C185" s="43" t="str">
        <f>IFERROR(__xludf.DUMMYFUNCTION("""COMPUTED_VALUE"""),"approved")</f>
        <v>approved</v>
      </c>
      <c r="D185" s="43" t="str">
        <f>IFERROR(__xludf.DUMMYFUNCTION("""COMPUTED_VALUE"""),"No")</f>
        <v>No</v>
      </c>
      <c r="E185" s="43" t="str">
        <f>IFERROR(__xludf.DUMMYFUNCTION("""COMPUTED_VALUE"""),"p_9883af8cfc579b16350dae7812b99afce5fc6ca1@inbound.aiesec.org")</f>
        <v>p_9883af8cfc579b16350dae7812b99afce5fc6ca1@inbound.aiesec.org</v>
      </c>
      <c r="F185" s="43">
        <f>IFERROR(__xludf.DUMMYFUNCTION("""COMPUTED_VALUE"""),1.066336886E9)</f>
        <v>1066336886</v>
      </c>
      <c r="G185" s="43" t="str">
        <f>IFERROR(__xludf.DUMMYFUNCTION("""COMPUTED_VALUE"""),"Egypt")</f>
        <v>Egypt</v>
      </c>
      <c r="H185" s="43" t="str">
        <f>IFERROR(__xludf.DUMMYFUNCTION("""COMPUTED_VALUE"""),"Cairo University")</f>
        <v>Cairo University</v>
      </c>
      <c r="I185" s="43" t="str">
        <f>IFERROR(__xludf.DUMMYFUNCTION("""COMPUTED_VALUE"""),"Turkey")</f>
        <v>Turkey</v>
      </c>
      <c r="J185" s="43" t="str">
        <f>IFERROR(__xludf.DUMMYFUNCTION("""COMPUTED_VALUE"""),"ANTALYA")</f>
        <v>ANTALYA</v>
      </c>
      <c r="K185" s="44" t="str">
        <f>IFERROR(__xludf.DUMMYFUNCTION("""COMPUTED_VALUE"""),"https://expa.aiesec.org/opportunities/1280733")</f>
        <v>https://expa.aiesec.org/opportunities/1280733</v>
      </c>
      <c r="L185" s="43" t="str">
        <f>IFERROR(__xludf.DUMMYFUNCTION("""COMPUTED_VALUE"""),"GTa")</f>
        <v>GTa</v>
      </c>
      <c r="M185" s="43" t="str">
        <f>IFERROR(__xludf.DUMMYFUNCTION("""COMPUTED_VALUE"""),"long")</f>
        <v>long</v>
      </c>
      <c r="N185" s="45">
        <f>IFERROR(__xludf.DUMMYFUNCTION("""COMPUTED_VALUE"""),45082.0)</f>
        <v>45082</v>
      </c>
      <c r="O185" s="45">
        <f>IFERROR(__xludf.DUMMYFUNCTION("""COMPUTED_VALUE"""),45139.0)</f>
        <v>45139</v>
      </c>
      <c r="P185" s="45">
        <f>IFERROR(__xludf.DUMMYFUNCTION("""COMPUTED_VALUE"""),45505.0)</f>
        <v>45505</v>
      </c>
      <c r="Q185" s="45"/>
      <c r="R185" s="45"/>
      <c r="S185" s="43"/>
      <c r="T185" s="43" t="str">
        <f>IFERROR(__xludf.DUMMYFUNCTION("""COMPUTED_VALUE"""),"Other")</f>
        <v>Other</v>
      </c>
      <c r="U185" s="43" t="str">
        <f>IFERROR(__xludf.DUMMYFUNCTION("""COMPUTED_VALUE"""),"Public Relations w/Meet2Talk")</f>
        <v>Public Relations w/Meet2Talk</v>
      </c>
      <c r="V185" s="43" t="str">
        <f>IFERROR(__xludf.DUMMYFUNCTION("""COMPUTED_VALUE"""),"Cairo Univeristy")</f>
        <v>Cairo Univeristy</v>
      </c>
      <c r="W185" s="43" t="str">
        <f>IFERROR(__xludf.DUMMYFUNCTION("""COMPUTED_VALUE"""),"2023-06-03T10:40:40Z")</f>
        <v>2023-06-03T10:40:40Z</v>
      </c>
      <c r="X185" s="43"/>
      <c r="Y185" s="43"/>
      <c r="Z185" s="43"/>
    </row>
    <row r="186" hidden="1">
      <c r="A186" s="43" t="str">
        <f>IFERROR(__xludf.DUMMYFUNCTION("""COMPUTED_VALUE"""),"5272097_1294332")</f>
        <v>5272097_1294332</v>
      </c>
      <c r="B186" s="43" t="str">
        <f>IFERROR(__xludf.DUMMYFUNCTION("""COMPUTED_VALUE"""),"Abdullah Taha Mady")</f>
        <v>Abdullah Taha Mady</v>
      </c>
      <c r="C186" s="43" t="str">
        <f>IFERROR(__xludf.DUMMYFUNCTION("""COMPUTED_VALUE"""),"realized")</f>
        <v>realized</v>
      </c>
      <c r="D186" s="43" t="str">
        <f>IFERROR(__xludf.DUMMYFUNCTION("""COMPUTED_VALUE"""),"No")</f>
        <v>No</v>
      </c>
      <c r="E186" s="43" t="str">
        <f>IFERROR(__xludf.DUMMYFUNCTION("""COMPUTED_VALUE"""),"p_7da69dd7390813aa5607dc4a51d4bb21f19d5ba1@inbound.aiesec.org")</f>
        <v>p_7da69dd7390813aa5607dc4a51d4bb21f19d5ba1@inbound.aiesec.org</v>
      </c>
      <c r="F186" s="43">
        <f>IFERROR(__xludf.DUMMYFUNCTION("""COMPUTED_VALUE"""),1.011388007E9)</f>
        <v>1011388007</v>
      </c>
      <c r="G186" s="43" t="str">
        <f>IFERROR(__xludf.DUMMYFUNCTION("""COMPUTED_VALUE"""),"Egypt")</f>
        <v>Egypt</v>
      </c>
      <c r="H186" s="43" t="str">
        <f>IFERROR(__xludf.DUMMYFUNCTION("""COMPUTED_VALUE"""),"Alexandria")</f>
        <v>Alexandria</v>
      </c>
      <c r="I186" s="43" t="str">
        <f>IFERROR(__xludf.DUMMYFUNCTION("""COMPUTED_VALUE"""),"Turkey")</f>
        <v>Turkey</v>
      </c>
      <c r="J186" s="43" t="str">
        <f>IFERROR(__xludf.DUMMYFUNCTION("""COMPUTED_VALUE"""),"ISTANBUL WEST")</f>
        <v>ISTANBUL WEST</v>
      </c>
      <c r="K186" s="44" t="str">
        <f>IFERROR(__xludf.DUMMYFUNCTION("""COMPUTED_VALUE"""),"https://expa.aiesec.org/opportunities/1294332")</f>
        <v>https://expa.aiesec.org/opportunities/1294332</v>
      </c>
      <c r="L186" s="43" t="str">
        <f>IFERROR(__xludf.DUMMYFUNCTION("""COMPUTED_VALUE"""),"GTa")</f>
        <v>GTa</v>
      </c>
      <c r="M186" s="43" t="str">
        <f>IFERROR(__xludf.DUMMYFUNCTION("""COMPUTED_VALUE"""),"long")</f>
        <v>long</v>
      </c>
      <c r="N186" s="45">
        <f>IFERROR(__xludf.DUMMYFUNCTION("""COMPUTED_VALUE"""),45083.0)</f>
        <v>45083</v>
      </c>
      <c r="O186" s="45">
        <f>IFERROR(__xludf.DUMMYFUNCTION("""COMPUTED_VALUE"""),45139.0)</f>
        <v>45139</v>
      </c>
      <c r="P186" s="45">
        <f>IFERROR(__xludf.DUMMYFUNCTION("""COMPUTED_VALUE"""),45504.0)</f>
        <v>45504</v>
      </c>
      <c r="Q186" s="45">
        <f>IFERROR(__xludf.DUMMYFUNCTION("""COMPUTED_VALUE"""),45138.0)</f>
        <v>45138</v>
      </c>
      <c r="R186" s="45">
        <f>IFERROR(__xludf.DUMMYFUNCTION("""COMPUTED_VALUE"""),45504.0)</f>
        <v>45504</v>
      </c>
      <c r="S186" s="43"/>
      <c r="T186" s="43" t="str">
        <f>IFERROR(__xludf.DUMMYFUNCTION("""COMPUTED_VALUE"""),"Business Administration")</f>
        <v>Business Administration</v>
      </c>
      <c r="U186" s="43" t="str">
        <f>IFERROR(__xludf.DUMMYFUNCTION("""COMPUTED_VALUE"""),"Sales Consultant ( Customer Service )")</f>
        <v>Sales Consultant ( Customer Service )</v>
      </c>
      <c r="V186" s="43" t="str">
        <f>IFERROR(__xludf.DUMMYFUNCTION("""COMPUTED_VALUE"""),"Alexandria University")</f>
        <v>Alexandria University</v>
      </c>
      <c r="W186" s="43" t="str">
        <f>IFERROR(__xludf.DUMMYFUNCTION("""COMPUTED_VALUE"""),"2023-06-06T15:25:32Z")</f>
        <v>2023-06-06T15:25:32Z</v>
      </c>
      <c r="X186" s="43"/>
      <c r="Y186" s="43"/>
      <c r="Z186" s="43"/>
    </row>
    <row r="187" hidden="1">
      <c r="A187" s="43" t="str">
        <f>IFERROR(__xludf.DUMMYFUNCTION("""COMPUTED_VALUE"""),"5272501_1285555")</f>
        <v>5272501_1285555</v>
      </c>
      <c r="B187" s="43" t="str">
        <f>IFERROR(__xludf.DUMMYFUNCTION("""COMPUTED_VALUE"""),"Oussama Kahila")</f>
        <v>Oussama Kahila</v>
      </c>
      <c r="C187" s="43" t="str">
        <f>IFERROR(__xludf.DUMMYFUNCTION("""COMPUTED_VALUE"""),"finished")</f>
        <v>finished</v>
      </c>
      <c r="D187" s="43" t="str">
        <f>IFERROR(__xludf.DUMMYFUNCTION("""COMPUTED_VALUE"""),"No")</f>
        <v>No</v>
      </c>
      <c r="E187" s="43" t="str">
        <f>IFERROR(__xludf.DUMMYFUNCTION("""COMPUTED_VALUE"""),"p_18e200cabcfb4ed0c0d497f7600a63544a403607@inbound.aiesec.org")</f>
        <v>p_18e200cabcfb4ed0c0d497f7600a63544a403607@inbound.aiesec.org</v>
      </c>
      <c r="F187" s="43">
        <f>IFERROR(__xludf.DUMMYFUNCTION("""COMPUTED_VALUE"""),2.8239763E7)</f>
        <v>28239763</v>
      </c>
      <c r="G187" s="43" t="str">
        <f>IFERROR(__xludf.DUMMYFUNCTION("""COMPUTED_VALUE"""),"Tunisia")</f>
        <v>Tunisia</v>
      </c>
      <c r="H187" s="43" t="str">
        <f>IFERROR(__xludf.DUMMYFUNCTION("""COMPUTED_VALUE"""),"Tacapes")</f>
        <v>Tacapes</v>
      </c>
      <c r="I187" s="43" t="str">
        <f>IFERROR(__xludf.DUMMYFUNCTION("""COMPUTED_VALUE"""),"Turkey")</f>
        <v>Turkey</v>
      </c>
      <c r="J187" s="43" t="str">
        <f>IFERROR(__xludf.DUMMYFUNCTION("""COMPUTED_VALUE"""),"ISTANBUL")</f>
        <v>ISTANBUL</v>
      </c>
      <c r="K187" s="44" t="str">
        <f>IFERROR(__xludf.DUMMYFUNCTION("""COMPUTED_VALUE"""),"https://expa.aiesec.org/opportunities/1285555")</f>
        <v>https://expa.aiesec.org/opportunities/1285555</v>
      </c>
      <c r="L187" s="43" t="str">
        <f>IFERROR(__xludf.DUMMYFUNCTION("""COMPUTED_VALUE"""),"GTa")</f>
        <v>GTa</v>
      </c>
      <c r="M187" s="43" t="str">
        <f>IFERROR(__xludf.DUMMYFUNCTION("""COMPUTED_VALUE"""),"long")</f>
        <v>long</v>
      </c>
      <c r="N187" s="45">
        <f>IFERROR(__xludf.DUMMYFUNCTION("""COMPUTED_VALUE"""),45085.0)</f>
        <v>45085</v>
      </c>
      <c r="O187" s="45">
        <f>IFERROR(__xludf.DUMMYFUNCTION("""COMPUTED_VALUE"""),45124.0)</f>
        <v>45124</v>
      </c>
      <c r="P187" s="45">
        <f>IFERROR(__xludf.DUMMYFUNCTION("""COMPUTED_VALUE"""),45317.0)</f>
        <v>45317</v>
      </c>
      <c r="Q187" s="45">
        <f>IFERROR(__xludf.DUMMYFUNCTION("""COMPUTED_VALUE"""),45107.0)</f>
        <v>45107</v>
      </c>
      <c r="R187" s="45">
        <f>IFERROR(__xludf.DUMMYFUNCTION("""COMPUTED_VALUE"""),45317.0)</f>
        <v>45317</v>
      </c>
      <c r="S187" s="43"/>
      <c r="T187" s="43" t="str">
        <f>IFERROR(__xludf.DUMMYFUNCTION("""COMPUTED_VALUE"""),"Business Administration")</f>
        <v>Business Administration</v>
      </c>
      <c r="U187" s="43" t="str">
        <f>IFERROR(__xludf.DUMMYFUNCTION("""COMPUTED_VALUE"""),"Customer Support Junior Specialist")</f>
        <v>Customer Support Junior Specialist</v>
      </c>
      <c r="V187" s="43" t="str">
        <f>IFERROR(__xludf.DUMMYFUNCTION("""COMPUTED_VALUE"""),"ISG Gabes")</f>
        <v>ISG Gabes</v>
      </c>
      <c r="W187" s="43" t="str">
        <f>IFERROR(__xludf.DUMMYFUNCTION("""COMPUTED_VALUE"""),"2023-06-07T14:52:11Z")</f>
        <v>2023-06-07T14:52:11Z</v>
      </c>
      <c r="X187" s="43"/>
      <c r="Y187" s="43"/>
      <c r="Z187" s="43"/>
    </row>
    <row r="188" hidden="1">
      <c r="A188" s="43" t="str">
        <f>IFERROR(__xludf.DUMMYFUNCTION("""COMPUTED_VALUE"""),"5272442_1295434")</f>
        <v>5272442_1295434</v>
      </c>
      <c r="B188" s="43" t="str">
        <f>IFERROR(__xludf.DUMMYFUNCTION("""COMPUTED_VALUE"""),"Bejaoui Safe")</f>
        <v>Bejaoui Safe</v>
      </c>
      <c r="C188" s="43" t="str">
        <f>IFERROR(__xludf.DUMMYFUNCTION("""COMPUTED_VALUE"""),"completed")</f>
        <v>completed</v>
      </c>
      <c r="D188" s="43" t="str">
        <f>IFERROR(__xludf.DUMMYFUNCTION("""COMPUTED_VALUE"""),"No")</f>
        <v>No</v>
      </c>
      <c r="E188" s="43" t="str">
        <f>IFERROR(__xludf.DUMMYFUNCTION("""COMPUTED_VALUE"""),"p_018eea41b2c21016b2ac8aa4cba544dcd1b8d14f@inbound.aiesec.org")</f>
        <v>p_018eea41b2c21016b2ac8aa4cba544dcd1b8d14f@inbound.aiesec.org</v>
      </c>
      <c r="F188" s="43"/>
      <c r="G188" s="43" t="str">
        <f>IFERROR(__xludf.DUMMYFUNCTION("""COMPUTED_VALUE"""),"Tunisia")</f>
        <v>Tunisia</v>
      </c>
      <c r="H188" s="43" t="str">
        <f>IFERROR(__xludf.DUMMYFUNCTION("""COMPUTED_VALUE"""),"RUSPINA")</f>
        <v>RUSPINA</v>
      </c>
      <c r="I188" s="43" t="str">
        <f>IFERROR(__xludf.DUMMYFUNCTION("""COMPUTED_VALUE"""),"Turkey")</f>
        <v>Turkey</v>
      </c>
      <c r="J188" s="43" t="str">
        <f>IFERROR(__xludf.DUMMYFUNCTION("""COMPUTED_VALUE"""),"ESKISEHIR")</f>
        <v>ESKISEHIR</v>
      </c>
      <c r="K188" s="44" t="str">
        <f>IFERROR(__xludf.DUMMYFUNCTION("""COMPUTED_VALUE"""),"https://expa.aiesec.org/opportunities/1295434")</f>
        <v>https://expa.aiesec.org/opportunities/1295434</v>
      </c>
      <c r="L188" s="43" t="str">
        <f>IFERROR(__xludf.DUMMYFUNCTION("""COMPUTED_VALUE"""),"GTa")</f>
        <v>GTa</v>
      </c>
      <c r="M188" s="43" t="str">
        <f>IFERROR(__xludf.DUMMYFUNCTION("""COMPUTED_VALUE"""),"short")</f>
        <v>short</v>
      </c>
      <c r="N188" s="45">
        <f>IFERROR(__xludf.DUMMYFUNCTION("""COMPUTED_VALUE"""),45086.0)</f>
        <v>45086</v>
      </c>
      <c r="O188" s="45">
        <f>IFERROR(__xludf.DUMMYFUNCTION("""COMPUTED_VALUE"""),45108.0)</f>
        <v>45108</v>
      </c>
      <c r="P188" s="45">
        <f>IFERROR(__xludf.DUMMYFUNCTION("""COMPUTED_VALUE"""),45191.0)</f>
        <v>45191</v>
      </c>
      <c r="Q188" s="45">
        <f>IFERROR(__xludf.DUMMYFUNCTION("""COMPUTED_VALUE"""),45123.0)</f>
        <v>45123</v>
      </c>
      <c r="R188" s="45">
        <f>IFERROR(__xludf.DUMMYFUNCTION("""COMPUTED_VALUE"""),45222.0)</f>
        <v>45222</v>
      </c>
      <c r="S188" s="43"/>
      <c r="T188" s="43" t="str">
        <f>IFERROR(__xludf.DUMMYFUNCTION("""COMPUTED_VALUE"""),"Marketing")</f>
        <v>Marketing</v>
      </c>
      <c r="U188" s="43" t="str">
        <f>IFERROR(__xludf.DUMMYFUNCTION("""COMPUTED_VALUE"""),"Social Media Designer")</f>
        <v>Social Media Designer</v>
      </c>
      <c r="V188" s="43" t="str">
        <f>IFERROR(__xludf.DUMMYFUNCTION("""COMPUTED_VALUE"""),"-")</f>
        <v>-</v>
      </c>
      <c r="W188" s="43" t="str">
        <f>IFERROR(__xludf.DUMMYFUNCTION("""COMPUTED_VALUE"""),"2023-06-07T12:49:17Z")</f>
        <v>2023-06-07T12:49:17Z</v>
      </c>
      <c r="X188" s="43"/>
      <c r="Y188" s="43"/>
      <c r="Z188" s="43"/>
    </row>
    <row r="189" hidden="1">
      <c r="A189" s="43" t="str">
        <f>IFERROR(__xludf.DUMMYFUNCTION("""COMPUTED_VALUE"""),"5272840_1286369")</f>
        <v>5272840_1286369</v>
      </c>
      <c r="B189" s="43" t="str">
        <f>IFERROR(__xludf.DUMMYFUNCTION("""COMPUTED_VALUE"""),"Mariem Maamouri")</f>
        <v>Mariem Maamouri</v>
      </c>
      <c r="C189" s="43" t="str">
        <f>IFERROR(__xludf.DUMMYFUNCTION("""COMPUTED_VALUE"""),"realized")</f>
        <v>realized</v>
      </c>
      <c r="D189" s="43" t="str">
        <f>IFERROR(__xludf.DUMMYFUNCTION("""COMPUTED_VALUE"""),"No")</f>
        <v>No</v>
      </c>
      <c r="E189" s="43" t="str">
        <f>IFERROR(__xludf.DUMMYFUNCTION("""COMPUTED_VALUE"""),"p_d51c50a692a8d01aa69653f25227e4a903c8d15e@inbound.aiesec.org")</f>
        <v>p_d51c50a692a8d01aa69653f25227e4a903c8d15e@inbound.aiesec.org</v>
      </c>
      <c r="F189" s="43">
        <f>IFERROR(__xludf.DUMMYFUNCTION("""COMPUTED_VALUE"""),2.880897E7)</f>
        <v>28808970</v>
      </c>
      <c r="G189" s="43" t="str">
        <f>IFERROR(__xludf.DUMMYFUNCTION("""COMPUTED_VALUE"""),"Tunisia")</f>
        <v>Tunisia</v>
      </c>
      <c r="H189" s="43" t="str">
        <f>IFERROR(__xludf.DUMMYFUNCTION("""COMPUTED_VALUE"""),"NABEL")</f>
        <v>NABEL</v>
      </c>
      <c r="I189" s="43" t="str">
        <f>IFERROR(__xludf.DUMMYFUNCTION("""COMPUTED_VALUE"""),"Turkey")</f>
        <v>Turkey</v>
      </c>
      <c r="J189" s="43" t="str">
        <f>IFERROR(__xludf.DUMMYFUNCTION("""COMPUTED_VALUE"""),"ISTANBUL ASIA")</f>
        <v>ISTANBUL ASIA</v>
      </c>
      <c r="K189" s="44" t="str">
        <f>IFERROR(__xludf.DUMMYFUNCTION("""COMPUTED_VALUE"""),"https://expa.aiesec.org/opportunities/1286369")</f>
        <v>https://expa.aiesec.org/opportunities/1286369</v>
      </c>
      <c r="L189" s="43" t="str">
        <f>IFERROR(__xludf.DUMMYFUNCTION("""COMPUTED_VALUE"""),"GTa")</f>
        <v>GTa</v>
      </c>
      <c r="M189" s="43" t="str">
        <f>IFERROR(__xludf.DUMMYFUNCTION("""COMPUTED_VALUE"""),"long")</f>
        <v>long</v>
      </c>
      <c r="N189" s="45">
        <f>IFERROR(__xludf.DUMMYFUNCTION("""COMPUTED_VALUE"""),45086.0)</f>
        <v>45086</v>
      </c>
      <c r="O189" s="45">
        <f>IFERROR(__xludf.DUMMYFUNCTION("""COMPUTED_VALUE"""),45117.0)</f>
        <v>45117</v>
      </c>
      <c r="P189" s="45">
        <f>IFERROR(__xludf.DUMMYFUNCTION("""COMPUTED_VALUE"""),45480.0)</f>
        <v>45480</v>
      </c>
      <c r="Q189" s="45">
        <f>IFERROR(__xludf.DUMMYFUNCTION("""COMPUTED_VALUE"""),45152.0)</f>
        <v>45152</v>
      </c>
      <c r="R189" s="45">
        <f>IFERROR(__xludf.DUMMYFUNCTION("""COMPUTED_VALUE"""),45516.0)</f>
        <v>45516</v>
      </c>
      <c r="S189" s="43"/>
      <c r="T189" s="43" t="str">
        <f>IFERROR(__xludf.DUMMYFUNCTION("""COMPUTED_VALUE"""),"Marketing")</f>
        <v>Marketing</v>
      </c>
      <c r="U189" s="43" t="str">
        <f>IFERROR(__xludf.DUMMYFUNCTION("""COMPUTED_VALUE"""),"Export Sales &amp; Marketing Research")</f>
        <v>Export Sales &amp; Marketing Research</v>
      </c>
      <c r="V189" s="43" t="str">
        <f>IFERROR(__xludf.DUMMYFUNCTION("""COMPUTED_VALUE"""),"ISLN")</f>
        <v>ISLN</v>
      </c>
      <c r="W189" s="43" t="str">
        <f>IFERROR(__xludf.DUMMYFUNCTION("""COMPUTED_VALUE"""),"2023-06-08T09:52:34Z")</f>
        <v>2023-06-08T09:52:34Z</v>
      </c>
      <c r="X189" s="43"/>
      <c r="Y189" s="43"/>
      <c r="Z189" s="43"/>
    </row>
    <row r="190">
      <c r="A190" s="43" t="str">
        <f>IFERROR(__xludf.DUMMYFUNCTION("""COMPUTED_VALUE"""),"5271435_1285555")</f>
        <v>5271435_1285555</v>
      </c>
      <c r="B190" s="43" t="str">
        <f>IFERROR(__xludf.DUMMYFUNCTION("""COMPUTED_VALUE"""),"Cyrine Lamine")</f>
        <v>Cyrine Lamine</v>
      </c>
      <c r="C190" s="43" t="str">
        <f>IFERROR(__xludf.DUMMYFUNCTION("""COMPUTED_VALUE"""),"approved")</f>
        <v>approved</v>
      </c>
      <c r="D190" s="43" t="str">
        <f>IFERROR(__xludf.DUMMYFUNCTION("""COMPUTED_VALUE"""),"No")</f>
        <v>No</v>
      </c>
      <c r="E190" s="43" t="str">
        <f>IFERROR(__xludf.DUMMYFUNCTION("""COMPUTED_VALUE"""),"p_269e9ccd5c45784c85ea6916b23bdb6aaf6dd6a9@inbound.aiesec.org")</f>
        <v>p_269e9ccd5c45784c85ea6916b23bdb6aaf6dd6a9@inbound.aiesec.org</v>
      </c>
      <c r="F190" s="43">
        <f>IFERROR(__xludf.DUMMYFUNCTION("""COMPUTED_VALUE"""),5.4000187E7)</f>
        <v>54000187</v>
      </c>
      <c r="G190" s="43" t="str">
        <f>IFERROR(__xludf.DUMMYFUNCTION("""COMPUTED_VALUE"""),"Tunisia")</f>
        <v>Tunisia</v>
      </c>
      <c r="H190" s="43" t="str">
        <f>IFERROR(__xludf.DUMMYFUNCTION("""COMPUTED_VALUE"""),"Carthage")</f>
        <v>Carthage</v>
      </c>
      <c r="I190" s="43" t="str">
        <f>IFERROR(__xludf.DUMMYFUNCTION("""COMPUTED_VALUE"""),"Turkey")</f>
        <v>Turkey</v>
      </c>
      <c r="J190" s="43" t="str">
        <f>IFERROR(__xludf.DUMMYFUNCTION("""COMPUTED_VALUE"""),"ISTANBUL")</f>
        <v>ISTANBUL</v>
      </c>
      <c r="K190" s="44" t="str">
        <f>IFERROR(__xludf.DUMMYFUNCTION("""COMPUTED_VALUE"""),"https://expa.aiesec.org/opportunities/1285555")</f>
        <v>https://expa.aiesec.org/opportunities/1285555</v>
      </c>
      <c r="L190" s="43" t="str">
        <f>IFERROR(__xludf.DUMMYFUNCTION("""COMPUTED_VALUE"""),"GTa")</f>
        <v>GTa</v>
      </c>
      <c r="M190" s="43" t="str">
        <f>IFERROR(__xludf.DUMMYFUNCTION("""COMPUTED_VALUE"""),"long")</f>
        <v>long</v>
      </c>
      <c r="N190" s="45">
        <f>IFERROR(__xludf.DUMMYFUNCTION("""COMPUTED_VALUE"""),45086.0)</f>
        <v>45086</v>
      </c>
      <c r="O190" s="45">
        <f>IFERROR(__xludf.DUMMYFUNCTION("""COMPUTED_VALUE"""),45103.0)</f>
        <v>45103</v>
      </c>
      <c r="P190" s="45">
        <f>IFERROR(__xludf.DUMMYFUNCTION("""COMPUTED_VALUE"""),45296.0)</f>
        <v>45296</v>
      </c>
      <c r="Q190" s="45"/>
      <c r="R190" s="45"/>
      <c r="S190" s="43"/>
      <c r="T190" s="43" t="str">
        <f>IFERROR(__xludf.DUMMYFUNCTION("""COMPUTED_VALUE"""),"Business Administration")</f>
        <v>Business Administration</v>
      </c>
      <c r="U190" s="43" t="str">
        <f>IFERROR(__xludf.DUMMYFUNCTION("""COMPUTED_VALUE"""),"Customer Support Junior Specialist")</f>
        <v>Customer Support Junior Specialist</v>
      </c>
      <c r="V190" s="43" t="str">
        <f>IFERROR(__xludf.DUMMYFUNCTION("""COMPUTED_VALUE"""),"ISLT")</f>
        <v>ISLT</v>
      </c>
      <c r="W190" s="43" t="str">
        <f>IFERROR(__xludf.DUMMYFUNCTION("""COMPUTED_VALUE"""),"2023-06-04T21:12:12Z")</f>
        <v>2023-06-04T21:12:12Z</v>
      </c>
      <c r="X190" s="43"/>
      <c r="Y190" s="43"/>
      <c r="Z190" s="43"/>
    </row>
    <row r="191" hidden="1">
      <c r="A191" s="43" t="str">
        <f>IFERROR(__xludf.DUMMYFUNCTION("""COMPUTED_VALUE"""),"3253252_1296080")</f>
        <v>3253252_1296080</v>
      </c>
      <c r="B191" s="43" t="str">
        <f>IFERROR(__xludf.DUMMYFUNCTION("""COMPUTED_VALUE"""),"Oussema Tamallah")</f>
        <v>Oussema Tamallah</v>
      </c>
      <c r="C191" s="43" t="str">
        <f>IFERROR(__xludf.DUMMYFUNCTION("""COMPUTED_VALUE"""),"realized")</f>
        <v>realized</v>
      </c>
      <c r="D191" s="43" t="str">
        <f>IFERROR(__xludf.DUMMYFUNCTION("""COMPUTED_VALUE"""),"No")</f>
        <v>No</v>
      </c>
      <c r="E191" s="43" t="str">
        <f>IFERROR(__xludf.DUMMYFUNCTION("""COMPUTED_VALUE"""),"p_15335f988b266a3789f0b38cf0eb61d262bf5873@inbound.aiesec.org")</f>
        <v>p_15335f988b266a3789f0b38cf0eb61d262bf5873@inbound.aiesec.org</v>
      </c>
      <c r="F191" s="43">
        <f>IFERROR(__xludf.DUMMYFUNCTION("""COMPUTED_VALUE"""),9.6296329E7)</f>
        <v>96296329</v>
      </c>
      <c r="G191" s="43" t="str">
        <f>IFERROR(__xludf.DUMMYFUNCTION("""COMPUTED_VALUE"""),"Tunisia")</f>
        <v>Tunisia</v>
      </c>
      <c r="H191" s="43" t="str">
        <f>IFERROR(__xludf.DUMMYFUNCTION("""COMPUTED_VALUE"""),"HADRUMET")</f>
        <v>HADRUMET</v>
      </c>
      <c r="I191" s="43" t="str">
        <f>IFERROR(__xludf.DUMMYFUNCTION("""COMPUTED_VALUE"""),"Turkey")</f>
        <v>Turkey</v>
      </c>
      <c r="J191" s="43" t="str">
        <f>IFERROR(__xludf.DUMMYFUNCTION("""COMPUTED_VALUE"""),"ISTANBUL")</f>
        <v>ISTANBUL</v>
      </c>
      <c r="K191" s="44" t="str">
        <f>IFERROR(__xludf.DUMMYFUNCTION("""COMPUTED_VALUE"""),"https://expa.aiesec.org/opportunities/1296080")</f>
        <v>https://expa.aiesec.org/opportunities/1296080</v>
      </c>
      <c r="L191" s="43" t="str">
        <f>IFERROR(__xludf.DUMMYFUNCTION("""COMPUTED_VALUE"""),"GTa")</f>
        <v>GTa</v>
      </c>
      <c r="M191" s="43" t="str">
        <f>IFERROR(__xludf.DUMMYFUNCTION("""COMPUTED_VALUE"""),"long")</f>
        <v>long</v>
      </c>
      <c r="N191" s="45">
        <f>IFERROR(__xludf.DUMMYFUNCTION("""COMPUTED_VALUE"""),45088.0)</f>
        <v>45088</v>
      </c>
      <c r="O191" s="45">
        <f>IFERROR(__xludf.DUMMYFUNCTION("""COMPUTED_VALUE"""),45124.0)</f>
        <v>45124</v>
      </c>
      <c r="P191" s="45">
        <f>IFERROR(__xludf.DUMMYFUNCTION("""COMPUTED_VALUE"""),45492.0)</f>
        <v>45492</v>
      </c>
      <c r="Q191" s="45">
        <f>IFERROR(__xludf.DUMMYFUNCTION("""COMPUTED_VALUE"""),45188.0)</f>
        <v>45188</v>
      </c>
      <c r="R191" s="45">
        <f>IFERROR(__xludf.DUMMYFUNCTION("""COMPUTED_VALUE"""),45555.0)</f>
        <v>45555</v>
      </c>
      <c r="S191" s="43"/>
      <c r="T191" s="43" t="str">
        <f>IFERROR(__xludf.DUMMYFUNCTION("""COMPUTED_VALUE"""),"Engineering")</f>
        <v>Engineering</v>
      </c>
      <c r="U191" s="43" t="str">
        <f>IFERROR(__xludf.DUMMYFUNCTION("""COMPUTED_VALUE"""),"Mechanical Engineer in Istanbul")</f>
        <v>Mechanical Engineer in Istanbul</v>
      </c>
      <c r="V191" s="43" t="str">
        <f>IFERROR(__xludf.DUMMYFUNCTION("""COMPUTED_VALUE"""),"ISET Sousse")</f>
        <v>ISET Sousse</v>
      </c>
      <c r="W191" s="43" t="str">
        <f>IFERROR(__xludf.DUMMYFUNCTION("""COMPUTED_VALUE"""),"2019-03-22T08:27:26Z")</f>
        <v>2019-03-22T08:27:26Z</v>
      </c>
      <c r="X191" s="43"/>
      <c r="Y191" s="43"/>
      <c r="Z191" s="43"/>
    </row>
    <row r="192" hidden="1">
      <c r="A192" s="43" t="str">
        <f>IFERROR(__xludf.DUMMYFUNCTION("""COMPUTED_VALUE"""),"5274035_1289255")</f>
        <v>5274035_1289255</v>
      </c>
      <c r="B192" s="43" t="str">
        <f>IFERROR(__xludf.DUMMYFUNCTION("""COMPUTED_VALUE"""),"Houda Mouaouia")</f>
        <v>Houda Mouaouia</v>
      </c>
      <c r="C192" s="43" t="str">
        <f>IFERROR(__xludf.DUMMYFUNCTION("""COMPUTED_VALUE"""),"realized")</f>
        <v>realized</v>
      </c>
      <c r="D192" s="43" t="str">
        <f>IFERROR(__xludf.DUMMYFUNCTION("""COMPUTED_VALUE"""),"No")</f>
        <v>No</v>
      </c>
      <c r="E192" s="43" t="str">
        <f>IFERROR(__xludf.DUMMYFUNCTION("""COMPUTED_VALUE"""),"p_4d7e1968ad45f66b88fa1101311db410b30f1a8c@inbound.aiesec.org")</f>
        <v>p_4d7e1968ad45f66b88fa1101311db410b30f1a8c@inbound.aiesec.org</v>
      </c>
      <c r="F192" s="43">
        <f>IFERROR(__xludf.DUMMYFUNCTION("""COMPUTED_VALUE"""),6.21150606E8)</f>
        <v>621150606</v>
      </c>
      <c r="G192" s="43" t="str">
        <f>IFERROR(__xludf.DUMMYFUNCTION("""COMPUTED_VALUE"""),"Morocco")</f>
        <v>Morocco</v>
      </c>
      <c r="H192" s="43" t="str">
        <f>IFERROR(__xludf.DUMMYFUNCTION("""COMPUTED_VALUE"""),"Mohammedia")</f>
        <v>Mohammedia</v>
      </c>
      <c r="I192" s="43" t="str">
        <f>IFERROR(__xludf.DUMMYFUNCTION("""COMPUTED_VALUE"""),"Turkey")</f>
        <v>Turkey</v>
      </c>
      <c r="J192" s="43" t="str">
        <f>IFERROR(__xludf.DUMMYFUNCTION("""COMPUTED_VALUE"""),"ISTANBUL")</f>
        <v>ISTANBUL</v>
      </c>
      <c r="K192" s="44" t="str">
        <f>IFERROR(__xludf.DUMMYFUNCTION("""COMPUTED_VALUE"""),"https://expa.aiesec.org/opportunities/1289255")</f>
        <v>https://expa.aiesec.org/opportunities/1289255</v>
      </c>
      <c r="L192" s="43" t="str">
        <f>IFERROR(__xludf.DUMMYFUNCTION("""COMPUTED_VALUE"""),"GTa")</f>
        <v>GTa</v>
      </c>
      <c r="M192" s="43" t="str">
        <f>IFERROR(__xludf.DUMMYFUNCTION("""COMPUTED_VALUE"""),"long")</f>
        <v>long</v>
      </c>
      <c r="N192" s="45">
        <f>IFERROR(__xludf.DUMMYFUNCTION("""COMPUTED_VALUE"""),45089.0)</f>
        <v>45089</v>
      </c>
      <c r="O192" s="45">
        <f>IFERROR(__xludf.DUMMYFUNCTION("""COMPUTED_VALUE"""),45145.0)</f>
        <v>45145</v>
      </c>
      <c r="P192" s="45">
        <f>IFERROR(__xludf.DUMMYFUNCTION("""COMPUTED_VALUE"""),45660.0)</f>
        <v>45660</v>
      </c>
      <c r="Q192" s="45">
        <f>IFERROR(__xludf.DUMMYFUNCTION("""COMPUTED_VALUE"""),45145.0)</f>
        <v>45145</v>
      </c>
      <c r="R192" s="45">
        <f>IFERROR(__xludf.DUMMYFUNCTION("""COMPUTED_VALUE"""),45660.0)</f>
        <v>45660</v>
      </c>
      <c r="S192" s="43"/>
      <c r="T192" s="43" t="str">
        <f>IFERROR(__xludf.DUMMYFUNCTION("""COMPUTED_VALUE"""),"Business Administration")</f>
        <v>Business Administration</v>
      </c>
      <c r="U192" s="43" t="str">
        <f>IFERROR(__xludf.DUMMYFUNCTION("""COMPUTED_VALUE"""),"Telesales Specialist in Istanbul (French Speaker)")</f>
        <v>Telesales Specialist in Istanbul (French Speaker)</v>
      </c>
      <c r="V192" s="43" t="str">
        <f>IFERROR(__xludf.DUMMYFUNCTION("""COMPUTED_VALUE"""),"ISTAH Mohammadia")</f>
        <v>ISTAH Mohammadia</v>
      </c>
      <c r="W192" s="43" t="str">
        <f>IFERROR(__xludf.DUMMYFUNCTION("""COMPUTED_VALUE"""),"2023-06-11T21:22:54Z")</f>
        <v>2023-06-11T21:22:54Z</v>
      </c>
      <c r="X192" s="43"/>
      <c r="Y192" s="43"/>
      <c r="Z192" s="43"/>
    </row>
    <row r="193" hidden="1">
      <c r="A193" s="43" t="str">
        <f>IFERROR(__xludf.DUMMYFUNCTION("""COMPUTED_VALUE"""),"5273583_1289255")</f>
        <v>5273583_1289255</v>
      </c>
      <c r="B193" s="43" t="str">
        <f>IFERROR(__xludf.DUMMYFUNCTION("""COMPUTED_VALUE"""),"Naseer Ali Awan")</f>
        <v>Naseer Ali Awan</v>
      </c>
      <c r="C193" s="43" t="str">
        <f>IFERROR(__xludf.DUMMYFUNCTION("""COMPUTED_VALUE"""),"approved")</f>
        <v>approved</v>
      </c>
      <c r="D193" s="43" t="str">
        <f>IFERROR(__xludf.DUMMYFUNCTION("""COMPUTED_VALUE"""),"No")</f>
        <v>No</v>
      </c>
      <c r="E193" s="43" t="str">
        <f>IFERROR(__xludf.DUMMYFUNCTION("""COMPUTED_VALUE"""),"p_451d785d923dce4ae0d7cc523b5c6ce2969f0053@inbound.aiesec.org")</f>
        <v>p_451d785d923dce4ae0d7cc523b5c6ce2969f0053@inbound.aiesec.org</v>
      </c>
      <c r="F193" s="43">
        <f>IFERROR(__xludf.DUMMYFUNCTION("""COMPUTED_VALUE"""),3.327921782E9)</f>
        <v>3327921782</v>
      </c>
      <c r="G193" s="43" t="str">
        <f>IFERROR(__xludf.DUMMYFUNCTION("""COMPUTED_VALUE"""),"Pakistan")</f>
        <v>Pakistan</v>
      </c>
      <c r="H193" s="43" t="str">
        <f>IFERROR(__xludf.DUMMYFUNCTION("""COMPUTED_VALUE"""),"Karachi")</f>
        <v>Karachi</v>
      </c>
      <c r="I193" s="43" t="str">
        <f>IFERROR(__xludf.DUMMYFUNCTION("""COMPUTED_VALUE"""),"Turkey")</f>
        <v>Turkey</v>
      </c>
      <c r="J193" s="43" t="str">
        <f>IFERROR(__xludf.DUMMYFUNCTION("""COMPUTED_VALUE"""),"ISTANBUL")</f>
        <v>ISTANBUL</v>
      </c>
      <c r="K193" s="44" t="str">
        <f>IFERROR(__xludf.DUMMYFUNCTION("""COMPUTED_VALUE"""),"https://expa.aiesec.org/opportunities/1289255")</f>
        <v>https://expa.aiesec.org/opportunities/1289255</v>
      </c>
      <c r="L193" s="43" t="str">
        <f>IFERROR(__xludf.DUMMYFUNCTION("""COMPUTED_VALUE"""),"GTa")</f>
        <v>GTa</v>
      </c>
      <c r="M193" s="43" t="str">
        <f>IFERROR(__xludf.DUMMYFUNCTION("""COMPUTED_VALUE"""),"long")</f>
        <v>long</v>
      </c>
      <c r="N193" s="45">
        <f>IFERROR(__xludf.DUMMYFUNCTION("""COMPUTED_VALUE"""),45090.0)</f>
        <v>45090</v>
      </c>
      <c r="O193" s="45">
        <f>IFERROR(__xludf.DUMMYFUNCTION("""COMPUTED_VALUE"""),45138.0)</f>
        <v>45138</v>
      </c>
      <c r="P193" s="45">
        <f>IFERROR(__xludf.DUMMYFUNCTION("""COMPUTED_VALUE"""),45660.0)</f>
        <v>45660</v>
      </c>
      <c r="Q193" s="45"/>
      <c r="R193" s="45"/>
      <c r="S193" s="43"/>
      <c r="T193" s="43" t="str">
        <f>IFERROR(__xludf.DUMMYFUNCTION("""COMPUTED_VALUE"""),"Business Administration")</f>
        <v>Business Administration</v>
      </c>
      <c r="U193" s="43" t="str">
        <f>IFERROR(__xludf.DUMMYFUNCTION("""COMPUTED_VALUE"""),"Telesales Specialist in Istanbul (French Speaker)")</f>
        <v>Telesales Specialist in Istanbul (French Speaker)</v>
      </c>
      <c r="V193" s="43" t="str">
        <f>IFERROR(__xludf.DUMMYFUNCTION("""COMPUTED_VALUE"""),"Karachi - University of Karachi")</f>
        <v>Karachi - University of Karachi</v>
      </c>
      <c r="W193" s="43" t="str">
        <f>IFERROR(__xludf.DUMMYFUNCTION("""COMPUTED_VALUE"""),"2023-06-10T09:08:40Z")</f>
        <v>2023-06-10T09:08:40Z</v>
      </c>
      <c r="X193" s="43"/>
      <c r="Y193" s="43"/>
      <c r="Z193" s="43"/>
    </row>
    <row r="194" hidden="1">
      <c r="A194" s="43" t="str">
        <f>IFERROR(__xludf.DUMMYFUNCTION("""COMPUTED_VALUE"""),"5274257_1296081")</f>
        <v>5274257_1296081</v>
      </c>
      <c r="B194" s="43" t="str">
        <f>IFERROR(__xludf.DUMMYFUNCTION("""COMPUTED_VALUE"""),"Polina Savchenko")</f>
        <v>Polina Savchenko</v>
      </c>
      <c r="C194" s="43" t="str">
        <f>IFERROR(__xludf.DUMMYFUNCTION("""COMPUTED_VALUE"""),"realized")</f>
        <v>realized</v>
      </c>
      <c r="D194" s="43" t="str">
        <f>IFERROR(__xludf.DUMMYFUNCTION("""COMPUTED_VALUE"""),"No")</f>
        <v>No</v>
      </c>
      <c r="E194" s="43" t="str">
        <f>IFERROR(__xludf.DUMMYFUNCTION("""COMPUTED_VALUE"""),"p_fb16a25d9638476b972e96e4014d477a5931f4db@inbound.aiesec.org")</f>
        <v>p_fb16a25d9638476b972e96e4014d477a5931f4db@inbound.aiesec.org</v>
      </c>
      <c r="F194" s="43">
        <f>IFERROR(__xludf.DUMMYFUNCTION("""COMPUTED_VALUE"""),9.64919242E8)</f>
        <v>964919242</v>
      </c>
      <c r="G194" s="43" t="str">
        <f>IFERROR(__xludf.DUMMYFUNCTION("""COMPUTED_VALUE"""),"Ukraine")</f>
        <v>Ukraine</v>
      </c>
      <c r="H194" s="43" t="str">
        <f>IFERROR(__xludf.DUMMYFUNCTION("""COMPUTED_VALUE"""),"KHARKIV")</f>
        <v>KHARKIV</v>
      </c>
      <c r="I194" s="43" t="str">
        <f>IFERROR(__xludf.DUMMYFUNCTION("""COMPUTED_VALUE"""),"Turkey")</f>
        <v>Turkey</v>
      </c>
      <c r="J194" s="43" t="str">
        <f>IFERROR(__xludf.DUMMYFUNCTION("""COMPUTED_VALUE"""),"ISTANBUL")</f>
        <v>ISTANBUL</v>
      </c>
      <c r="K194" s="44" t="str">
        <f>IFERROR(__xludf.DUMMYFUNCTION("""COMPUTED_VALUE"""),"https://expa.aiesec.org/opportunities/1296081")</f>
        <v>https://expa.aiesec.org/opportunities/1296081</v>
      </c>
      <c r="L194" s="43" t="str">
        <f>IFERROR(__xludf.DUMMYFUNCTION("""COMPUTED_VALUE"""),"GTa")</f>
        <v>GTa</v>
      </c>
      <c r="M194" s="43" t="str">
        <f>IFERROR(__xludf.DUMMYFUNCTION("""COMPUTED_VALUE"""),"long")</f>
        <v>long</v>
      </c>
      <c r="N194" s="45">
        <f>IFERROR(__xludf.DUMMYFUNCTION("""COMPUTED_VALUE"""),45091.0)</f>
        <v>45091</v>
      </c>
      <c r="O194" s="45">
        <f>IFERROR(__xludf.DUMMYFUNCTION("""COMPUTED_VALUE"""),45124.0)</f>
        <v>45124</v>
      </c>
      <c r="P194" s="45">
        <f>IFERROR(__xludf.DUMMYFUNCTION("""COMPUTED_VALUE"""),45492.0)</f>
        <v>45492</v>
      </c>
      <c r="Q194" s="45">
        <f>IFERROR(__xludf.DUMMYFUNCTION("""COMPUTED_VALUE"""),45145.0)</f>
        <v>45145</v>
      </c>
      <c r="R194" s="45">
        <f>IFERROR(__xludf.DUMMYFUNCTION("""COMPUTED_VALUE"""),45513.0)</f>
        <v>45513</v>
      </c>
      <c r="S194" s="43"/>
      <c r="T194" s="43" t="str">
        <f>IFERROR(__xludf.DUMMYFUNCTION("""COMPUTED_VALUE"""),"Business Administration")</f>
        <v>Business Administration</v>
      </c>
      <c r="U194" s="43" t="str">
        <f>IFERROR(__xludf.DUMMYFUNCTION("""COMPUTED_VALUE"""),"Customer Success Specialist in Istanbul")</f>
        <v>Customer Success Specialist in Istanbul</v>
      </c>
      <c r="V194" s="43" t="str">
        <f>IFERROR(__xludf.DUMMYFUNCTION("""COMPUTED_VALUE"""),"Zaporizhzhia ")</f>
        <v>Zaporizhzhia </v>
      </c>
      <c r="W194" s="43" t="str">
        <f>IFERROR(__xludf.DUMMYFUNCTION("""COMPUTED_VALUE"""),"2023-06-12T10:02:48Z")</f>
        <v>2023-06-12T10:02:48Z</v>
      </c>
      <c r="X194" s="43"/>
      <c r="Y194" s="43"/>
      <c r="Z194" s="43"/>
    </row>
    <row r="195" hidden="1">
      <c r="A195" s="43" t="str">
        <f>IFERROR(__xludf.DUMMYFUNCTION("""COMPUTED_VALUE"""),"4552172_1294332")</f>
        <v>4552172_1294332</v>
      </c>
      <c r="B195" s="43" t="str">
        <f>IFERROR(__xludf.DUMMYFUNCTION("""COMPUTED_VALUE"""),"Mohamed Mekawy")</f>
        <v>Mohamed Mekawy</v>
      </c>
      <c r="C195" s="43" t="str">
        <f>IFERROR(__xludf.DUMMYFUNCTION("""COMPUTED_VALUE"""),"realized")</f>
        <v>realized</v>
      </c>
      <c r="D195" s="43" t="str">
        <f>IFERROR(__xludf.DUMMYFUNCTION("""COMPUTED_VALUE"""),"No")</f>
        <v>No</v>
      </c>
      <c r="E195" s="43" t="str">
        <f>IFERROR(__xludf.DUMMYFUNCTION("""COMPUTED_VALUE"""),"p_a119f41f71d402d6bc1ef4899433c83cf613f0ea@inbound.aiesec.org")</f>
        <v>p_a119f41f71d402d6bc1ef4899433c83cf613f0ea@inbound.aiesec.org</v>
      </c>
      <c r="F195" s="43">
        <f>IFERROR(__xludf.DUMMYFUNCTION("""COMPUTED_VALUE"""),1.110039672E9)</f>
        <v>1110039672</v>
      </c>
      <c r="G195" s="43" t="str">
        <f>IFERROR(__xludf.DUMMYFUNCTION("""COMPUTED_VALUE"""),"Egypt")</f>
        <v>Egypt</v>
      </c>
      <c r="H195" s="43" t="str">
        <f>IFERROR(__xludf.DUMMYFUNCTION("""COMPUTED_VALUE"""),"Alexandria")</f>
        <v>Alexandria</v>
      </c>
      <c r="I195" s="43" t="str">
        <f>IFERROR(__xludf.DUMMYFUNCTION("""COMPUTED_VALUE"""),"Turkey")</f>
        <v>Turkey</v>
      </c>
      <c r="J195" s="43" t="str">
        <f>IFERROR(__xludf.DUMMYFUNCTION("""COMPUTED_VALUE"""),"ISTANBUL WEST")</f>
        <v>ISTANBUL WEST</v>
      </c>
      <c r="K195" s="44" t="str">
        <f>IFERROR(__xludf.DUMMYFUNCTION("""COMPUTED_VALUE"""),"https://expa.aiesec.org/opportunities/1294332")</f>
        <v>https://expa.aiesec.org/opportunities/1294332</v>
      </c>
      <c r="L195" s="43" t="str">
        <f>IFERROR(__xludf.DUMMYFUNCTION("""COMPUTED_VALUE"""),"GTa")</f>
        <v>GTa</v>
      </c>
      <c r="M195" s="43" t="str">
        <f>IFERROR(__xludf.DUMMYFUNCTION("""COMPUTED_VALUE"""),"long")</f>
        <v>long</v>
      </c>
      <c r="N195" s="45">
        <f>IFERROR(__xludf.DUMMYFUNCTION("""COMPUTED_VALUE"""),45092.0)</f>
        <v>45092</v>
      </c>
      <c r="O195" s="45">
        <f>IFERROR(__xludf.DUMMYFUNCTION("""COMPUTED_VALUE"""),45139.0)</f>
        <v>45139</v>
      </c>
      <c r="P195" s="45">
        <f>IFERROR(__xludf.DUMMYFUNCTION("""COMPUTED_VALUE"""),45504.0)</f>
        <v>45504</v>
      </c>
      <c r="Q195" s="45">
        <f>IFERROR(__xludf.DUMMYFUNCTION("""COMPUTED_VALUE"""),45138.0)</f>
        <v>45138</v>
      </c>
      <c r="R195" s="45">
        <f>IFERROR(__xludf.DUMMYFUNCTION("""COMPUTED_VALUE"""),45504.0)</f>
        <v>45504</v>
      </c>
      <c r="S195" s="43"/>
      <c r="T195" s="43" t="str">
        <f>IFERROR(__xludf.DUMMYFUNCTION("""COMPUTED_VALUE"""),"Business Administration")</f>
        <v>Business Administration</v>
      </c>
      <c r="U195" s="43" t="str">
        <f>IFERROR(__xludf.DUMMYFUNCTION("""COMPUTED_VALUE"""),"Sales Consultant ( Customer Service )")</f>
        <v>Sales Consultant ( Customer Service )</v>
      </c>
      <c r="V195" s="43" t="str">
        <f>IFERROR(__xludf.DUMMYFUNCTION("""COMPUTED_VALUE"""),"Alexandria University")</f>
        <v>Alexandria University</v>
      </c>
      <c r="W195" s="43" t="str">
        <f>IFERROR(__xludf.DUMMYFUNCTION("""COMPUTED_VALUE"""),"2021-02-20T03:28:03Z")</f>
        <v>2021-02-20T03:28:03Z</v>
      </c>
      <c r="X195" s="43"/>
      <c r="Y195" s="43"/>
      <c r="Z195" s="43"/>
    </row>
    <row r="196" hidden="1">
      <c r="A196" s="43" t="str">
        <f>IFERROR(__xludf.DUMMYFUNCTION("""COMPUTED_VALUE"""),"5269154_1285555")</f>
        <v>5269154_1285555</v>
      </c>
      <c r="B196" s="43" t="str">
        <f>IFERROR(__xludf.DUMMYFUNCTION("""COMPUTED_VALUE"""),"nour cherif")</f>
        <v>nour cherif</v>
      </c>
      <c r="C196" s="43" t="str">
        <f>IFERROR(__xludf.DUMMYFUNCTION("""COMPUTED_VALUE"""),"approved")</f>
        <v>approved</v>
      </c>
      <c r="D196" s="43" t="str">
        <f>IFERROR(__xludf.DUMMYFUNCTION("""COMPUTED_VALUE"""),"No")</f>
        <v>No</v>
      </c>
      <c r="E196" s="43" t="str">
        <f>IFERROR(__xludf.DUMMYFUNCTION("""COMPUTED_VALUE"""),"p_df0a50c172a18e420a80e80b2d439c313749e48a@inbound.aiesec.org")</f>
        <v>p_df0a50c172a18e420a80e80b2d439c313749e48a@inbound.aiesec.org</v>
      </c>
      <c r="F196" s="43"/>
      <c r="G196" s="43" t="str">
        <f>IFERROR(__xludf.DUMMYFUNCTION("""COMPUTED_VALUE"""),"Tunisia")</f>
        <v>Tunisia</v>
      </c>
      <c r="H196" s="43" t="str">
        <f>IFERROR(__xludf.DUMMYFUNCTION("""COMPUTED_VALUE"""),"HADRUMET")</f>
        <v>HADRUMET</v>
      </c>
      <c r="I196" s="43" t="str">
        <f>IFERROR(__xludf.DUMMYFUNCTION("""COMPUTED_VALUE"""),"Turkey")</f>
        <v>Turkey</v>
      </c>
      <c r="J196" s="43" t="str">
        <f>IFERROR(__xludf.DUMMYFUNCTION("""COMPUTED_VALUE"""),"ISTANBUL")</f>
        <v>ISTANBUL</v>
      </c>
      <c r="K196" s="44" t="str">
        <f>IFERROR(__xludf.DUMMYFUNCTION("""COMPUTED_VALUE"""),"https://expa.aiesec.org/opportunities/1285555")</f>
        <v>https://expa.aiesec.org/opportunities/1285555</v>
      </c>
      <c r="L196" s="43" t="str">
        <f>IFERROR(__xludf.DUMMYFUNCTION("""COMPUTED_VALUE"""),"GTa")</f>
        <v>GTa</v>
      </c>
      <c r="M196" s="43" t="str">
        <f>IFERROR(__xludf.DUMMYFUNCTION("""COMPUTED_VALUE"""),"long")</f>
        <v>long</v>
      </c>
      <c r="N196" s="45">
        <f>IFERROR(__xludf.DUMMYFUNCTION("""COMPUTED_VALUE"""),45094.0)</f>
        <v>45094</v>
      </c>
      <c r="O196" s="45">
        <f>IFERROR(__xludf.DUMMYFUNCTION("""COMPUTED_VALUE"""),45117.0)</f>
        <v>45117</v>
      </c>
      <c r="P196" s="45">
        <f>IFERROR(__xludf.DUMMYFUNCTION("""COMPUTED_VALUE"""),45310.0)</f>
        <v>45310</v>
      </c>
      <c r="Q196" s="45"/>
      <c r="R196" s="45"/>
      <c r="S196" s="43"/>
      <c r="T196" s="43" t="str">
        <f>IFERROR(__xludf.DUMMYFUNCTION("""COMPUTED_VALUE"""),"Business Administration")</f>
        <v>Business Administration</v>
      </c>
      <c r="U196" s="43" t="str">
        <f>IFERROR(__xludf.DUMMYFUNCTION("""COMPUTED_VALUE"""),"Customer Support Junior Specialist")</f>
        <v>Customer Support Junior Specialist</v>
      </c>
      <c r="V196" s="43" t="str">
        <f>IFERROR(__xludf.DUMMYFUNCTION("""COMPUTED_VALUE"""),"-")</f>
        <v>-</v>
      </c>
      <c r="W196" s="43" t="str">
        <f>IFERROR(__xludf.DUMMYFUNCTION("""COMPUTED_VALUE"""),"2023-05-30T21:37:26Z")</f>
        <v>2023-05-30T21:37:26Z</v>
      </c>
      <c r="X196" s="43"/>
      <c r="Y196" s="43"/>
      <c r="Z196" s="43"/>
    </row>
    <row r="197" hidden="1">
      <c r="A197" s="43" t="str">
        <f>IFERROR(__xludf.DUMMYFUNCTION("""COMPUTED_VALUE"""),"5156627_1296477")</f>
        <v>5156627_1296477</v>
      </c>
      <c r="B197" s="43" t="str">
        <f>IFERROR(__xludf.DUMMYFUNCTION("""COMPUTED_VALUE"""),"Omnia Ahmed")</f>
        <v>Omnia Ahmed</v>
      </c>
      <c r="C197" s="43" t="str">
        <f>IFERROR(__xludf.DUMMYFUNCTION("""COMPUTED_VALUE"""),"realized")</f>
        <v>realized</v>
      </c>
      <c r="D197" s="43" t="str">
        <f>IFERROR(__xludf.DUMMYFUNCTION("""COMPUTED_VALUE"""),"No")</f>
        <v>No</v>
      </c>
      <c r="E197" s="43" t="str">
        <f>IFERROR(__xludf.DUMMYFUNCTION("""COMPUTED_VALUE"""),"p_b8364e5c4cfd169593256e05b75ab1264ccb25fa@inbound.aiesec.org")</f>
        <v>p_b8364e5c4cfd169593256e05b75ab1264ccb25fa@inbound.aiesec.org</v>
      </c>
      <c r="F197" s="43"/>
      <c r="G197" s="43" t="str">
        <f>IFERROR(__xludf.DUMMYFUNCTION("""COMPUTED_VALUE"""),"Egypt")</f>
        <v>Egypt</v>
      </c>
      <c r="H197" s="43" t="str">
        <f>IFERROR(__xludf.DUMMYFUNCTION("""COMPUTED_VALUE"""),"Suez")</f>
        <v>Suez</v>
      </c>
      <c r="I197" s="43" t="str">
        <f>IFERROR(__xludf.DUMMYFUNCTION("""COMPUTED_VALUE"""),"Turkey")</f>
        <v>Turkey</v>
      </c>
      <c r="J197" s="43" t="str">
        <f>IFERROR(__xludf.DUMMYFUNCTION("""COMPUTED_VALUE"""),"ISTANBUL WEST")</f>
        <v>ISTANBUL WEST</v>
      </c>
      <c r="K197" s="44" t="str">
        <f>IFERROR(__xludf.DUMMYFUNCTION("""COMPUTED_VALUE"""),"https://expa.aiesec.org/opportunities/1296477")</f>
        <v>https://expa.aiesec.org/opportunities/1296477</v>
      </c>
      <c r="L197" s="43" t="str">
        <f>IFERROR(__xludf.DUMMYFUNCTION("""COMPUTED_VALUE"""),"GTa")</f>
        <v>GTa</v>
      </c>
      <c r="M197" s="43" t="str">
        <f>IFERROR(__xludf.DUMMYFUNCTION("""COMPUTED_VALUE"""),"long")</f>
        <v>long</v>
      </c>
      <c r="N197" s="45">
        <f>IFERROR(__xludf.DUMMYFUNCTION("""COMPUTED_VALUE"""),45100.0)</f>
        <v>45100</v>
      </c>
      <c r="O197" s="45">
        <f>IFERROR(__xludf.DUMMYFUNCTION("""COMPUTED_VALUE"""),45117.0)</f>
        <v>45117</v>
      </c>
      <c r="P197" s="45">
        <f>IFERROR(__xludf.DUMMYFUNCTION("""COMPUTED_VALUE"""),45471.0)</f>
        <v>45471</v>
      </c>
      <c r="Q197" s="45">
        <f>IFERROR(__xludf.DUMMYFUNCTION("""COMPUTED_VALUE"""),45118.0)</f>
        <v>45118</v>
      </c>
      <c r="R197" s="45">
        <f>IFERROR(__xludf.DUMMYFUNCTION("""COMPUTED_VALUE"""),45473.0)</f>
        <v>45473</v>
      </c>
      <c r="S197" s="43"/>
      <c r="T197" s="43" t="str">
        <f>IFERROR(__xludf.DUMMYFUNCTION("""COMPUTED_VALUE"""),"Business Administration")</f>
        <v>Business Administration</v>
      </c>
      <c r="U197" s="43" t="str">
        <f>IFERROR(__xludf.DUMMYFUNCTION("""COMPUTED_VALUE"""),"Sales Consultant ( Customer Service)")</f>
        <v>Sales Consultant ( Customer Service)</v>
      </c>
      <c r="V197" s="43" t="str">
        <f>IFERROR(__xludf.DUMMYFUNCTION("""COMPUTED_VALUE"""),"-")</f>
        <v>-</v>
      </c>
      <c r="W197" s="43" t="str">
        <f>IFERROR(__xludf.DUMMYFUNCTION("""COMPUTED_VALUE"""),"2022-11-21T16:53:31Z")</f>
        <v>2022-11-21T16:53:31Z</v>
      </c>
      <c r="X197" s="43"/>
      <c r="Y197" s="43"/>
      <c r="Z197" s="43"/>
    </row>
    <row r="198" hidden="1">
      <c r="A198" s="43" t="str">
        <f>IFERROR(__xludf.DUMMYFUNCTION("""COMPUTED_VALUE"""),"5205964_1288377")</f>
        <v>5205964_1288377</v>
      </c>
      <c r="B198" s="43" t="str">
        <f>IFERROR(__xludf.DUMMYFUNCTION("""COMPUTED_VALUE"""),"alexandra fajardo")</f>
        <v>alexandra fajardo</v>
      </c>
      <c r="C198" s="43" t="str">
        <f>IFERROR(__xludf.DUMMYFUNCTION("""COMPUTED_VALUE"""),"approval_broken")</f>
        <v>approval_broken</v>
      </c>
      <c r="D198" s="43" t="str">
        <f>IFERROR(__xludf.DUMMYFUNCTION("""COMPUTED_VALUE"""),"No")</f>
        <v>No</v>
      </c>
      <c r="E198" s="43" t="str">
        <f>IFERROR(__xludf.DUMMYFUNCTION("""COMPUTED_VALUE"""),"p_223cfb0d174cee4b96561942e4bc8da486ec24de@inbound.aiesec.org")</f>
        <v>p_223cfb0d174cee4b96561942e4bc8da486ec24de@inbound.aiesec.org</v>
      </c>
      <c r="F198" s="43">
        <f>IFERROR(__xludf.DUMMYFUNCTION("""COMPUTED_VALUE"""),9.15625089E8)</f>
        <v>915625089</v>
      </c>
      <c r="G198" s="43" t="str">
        <f>IFERROR(__xludf.DUMMYFUNCTION("""COMPUTED_VALUE"""),"Peru")</f>
        <v>Peru</v>
      </c>
      <c r="H198" s="43" t="str">
        <f>IFERROR(__xludf.DUMMYFUNCTION("""COMPUTED_VALUE"""),"Lima")</f>
        <v>Lima</v>
      </c>
      <c r="I198" s="43" t="str">
        <f>IFERROR(__xludf.DUMMYFUNCTION("""COMPUTED_VALUE"""),"Turkey")</f>
        <v>Turkey</v>
      </c>
      <c r="J198" s="43" t="str">
        <f>IFERROR(__xludf.DUMMYFUNCTION("""COMPUTED_VALUE"""),"ADANA")</f>
        <v>ADANA</v>
      </c>
      <c r="K198" s="44" t="str">
        <f>IFERROR(__xludf.DUMMYFUNCTION("""COMPUTED_VALUE"""),"https://expa.aiesec.org/opportunities/1288377")</f>
        <v>https://expa.aiesec.org/opportunities/1288377</v>
      </c>
      <c r="L198" s="43" t="str">
        <f>IFERROR(__xludf.DUMMYFUNCTION("""COMPUTED_VALUE"""),"GTa")</f>
        <v>GTa</v>
      </c>
      <c r="M198" s="43" t="str">
        <f>IFERROR(__xludf.DUMMYFUNCTION("""COMPUTED_VALUE"""),"long")</f>
        <v>long</v>
      </c>
      <c r="N198" s="45">
        <f>IFERROR(__xludf.DUMMYFUNCTION("""COMPUTED_VALUE"""),45139.0)</f>
        <v>45139</v>
      </c>
      <c r="O198" s="45">
        <f>IFERROR(__xludf.DUMMYFUNCTION("""COMPUTED_VALUE"""),45122.0)</f>
        <v>45122</v>
      </c>
      <c r="P198" s="45">
        <f>IFERROR(__xludf.DUMMYFUNCTION("""COMPUTED_VALUE"""),45459.0)</f>
        <v>45459</v>
      </c>
      <c r="Q198" s="45"/>
      <c r="R198" s="45"/>
      <c r="S198" s="43"/>
      <c r="T198" s="43" t="str">
        <f>IFERROR(__xludf.DUMMYFUNCTION("""COMPUTED_VALUE"""),"Business Development")</f>
        <v>Business Development</v>
      </c>
      <c r="U198" s="43" t="str">
        <f>IFERROR(__xludf.DUMMYFUNCTION("""COMPUTED_VALUE"""),"EXPORT SALES INTERNSHIP|ADAWALL WALLPAPER INDUSTRY ")</f>
        <v>EXPORT SALES INTERNSHIP|ADAWALL WALLPAPER INDUSTRY </v>
      </c>
      <c r="V198" s="43" t="str">
        <f>IFERROR(__xludf.DUMMYFUNCTION("""COMPUTED_VALUE"""),"Lima - Universidad San Ignacio de Loyola")</f>
        <v>Lima - Universidad San Ignacio de Loyola</v>
      </c>
      <c r="W198" s="43" t="str">
        <f>IFERROR(__xludf.DUMMYFUNCTION("""COMPUTED_VALUE"""),"2023-03-05T03:22:04Z")</f>
        <v>2023-03-05T03:22:04Z</v>
      </c>
      <c r="X198" s="43"/>
      <c r="Y198" s="43"/>
      <c r="Z198" s="43"/>
    </row>
    <row r="199" hidden="1">
      <c r="A199" s="43" t="str">
        <f>IFERROR(__xludf.DUMMYFUNCTION("""COMPUTED_VALUE"""),"5203520_1296477")</f>
        <v>5203520_1296477</v>
      </c>
      <c r="B199" s="43" t="str">
        <f>IFERROR(__xludf.DUMMYFUNCTION("""COMPUTED_VALUE"""),"Khadija Mounadim")</f>
        <v>Khadija Mounadim</v>
      </c>
      <c r="C199" s="43" t="str">
        <f>IFERROR(__xludf.DUMMYFUNCTION("""COMPUTED_VALUE"""),"realized")</f>
        <v>realized</v>
      </c>
      <c r="D199" s="43" t="str">
        <f>IFERROR(__xludf.DUMMYFUNCTION("""COMPUTED_VALUE"""),"No")</f>
        <v>No</v>
      </c>
      <c r="E199" s="43" t="str">
        <f>IFERROR(__xludf.DUMMYFUNCTION("""COMPUTED_VALUE"""),"p_a2f28953f596545ad916f2b0d6a73fd1e452a207@inbound.aiesec.org")</f>
        <v>p_a2f28953f596545ad916f2b0d6a73fd1e452a207@inbound.aiesec.org</v>
      </c>
      <c r="F199" s="43">
        <f>IFERROR(__xludf.DUMMYFUNCTION("""COMPUTED_VALUE"""),6.90092905E8)</f>
        <v>690092905</v>
      </c>
      <c r="G199" s="43" t="str">
        <f>IFERROR(__xludf.DUMMYFUNCTION("""COMPUTED_VALUE"""),"Morocco")</f>
        <v>Morocco</v>
      </c>
      <c r="H199" s="43" t="str">
        <f>IFERROR(__xludf.DUMMYFUNCTION("""COMPUTED_VALUE"""),"Tangier")</f>
        <v>Tangier</v>
      </c>
      <c r="I199" s="43" t="str">
        <f>IFERROR(__xludf.DUMMYFUNCTION("""COMPUTED_VALUE"""),"Turkey")</f>
        <v>Turkey</v>
      </c>
      <c r="J199" s="43" t="str">
        <f>IFERROR(__xludf.DUMMYFUNCTION("""COMPUTED_VALUE"""),"ISTANBUL WEST")</f>
        <v>ISTANBUL WEST</v>
      </c>
      <c r="K199" s="44" t="str">
        <f>IFERROR(__xludf.DUMMYFUNCTION("""COMPUTED_VALUE"""),"https://expa.aiesec.org/opportunities/1296477")</f>
        <v>https://expa.aiesec.org/opportunities/1296477</v>
      </c>
      <c r="L199" s="43" t="str">
        <f>IFERROR(__xludf.DUMMYFUNCTION("""COMPUTED_VALUE"""),"GTa")</f>
        <v>GTa</v>
      </c>
      <c r="M199" s="43" t="str">
        <f>IFERROR(__xludf.DUMMYFUNCTION("""COMPUTED_VALUE"""),"long")</f>
        <v>long</v>
      </c>
      <c r="N199" s="45">
        <f>IFERROR(__xludf.DUMMYFUNCTION("""COMPUTED_VALUE"""),45101.0)</f>
        <v>45101</v>
      </c>
      <c r="O199" s="45">
        <f>IFERROR(__xludf.DUMMYFUNCTION("""COMPUTED_VALUE"""),45117.0)</f>
        <v>45117</v>
      </c>
      <c r="P199" s="45">
        <f>IFERROR(__xludf.DUMMYFUNCTION("""COMPUTED_VALUE"""),45471.0)</f>
        <v>45471</v>
      </c>
      <c r="Q199" s="45">
        <f>IFERROR(__xludf.DUMMYFUNCTION("""COMPUTED_VALUE"""),45122.0)</f>
        <v>45122</v>
      </c>
      <c r="R199" s="45">
        <f>IFERROR(__xludf.DUMMYFUNCTION("""COMPUTED_VALUE"""),45487.0)</f>
        <v>45487</v>
      </c>
      <c r="S199" s="43"/>
      <c r="T199" s="43" t="str">
        <f>IFERROR(__xludf.DUMMYFUNCTION("""COMPUTED_VALUE"""),"Business Administration")</f>
        <v>Business Administration</v>
      </c>
      <c r="U199" s="43" t="str">
        <f>IFERROR(__xludf.DUMMYFUNCTION("""COMPUTED_VALUE"""),"Sales Consultant ( Customer Service)")</f>
        <v>Sales Consultant ( Customer Service)</v>
      </c>
      <c r="V199" s="43" t="str">
        <f>IFERROR(__xludf.DUMMYFUNCTION("""COMPUTED_VALUE"""),"HEM Campus Tanger")</f>
        <v>HEM Campus Tanger</v>
      </c>
      <c r="W199" s="43" t="str">
        <f>IFERROR(__xludf.DUMMYFUNCTION("""COMPUTED_VALUE"""),"2023-03-02T12:03:16Z")</f>
        <v>2023-03-02T12:03:16Z</v>
      </c>
      <c r="X199" s="43"/>
      <c r="Y199" s="43"/>
      <c r="Z199" s="43"/>
    </row>
    <row r="200" hidden="1">
      <c r="A200" s="43" t="str">
        <f>IFERROR(__xludf.DUMMYFUNCTION("""COMPUTED_VALUE"""),"4934702_1294332")</f>
        <v>4934702_1294332</v>
      </c>
      <c r="B200" s="43" t="str">
        <f>IFERROR(__xludf.DUMMYFUNCTION("""COMPUTED_VALUE"""),"Rania Boughari")</f>
        <v>Rania Boughari</v>
      </c>
      <c r="C200" s="43" t="str">
        <f>IFERROR(__xludf.DUMMYFUNCTION("""COMPUTED_VALUE"""),"realized")</f>
        <v>realized</v>
      </c>
      <c r="D200" s="43" t="str">
        <f>IFERROR(__xludf.DUMMYFUNCTION("""COMPUTED_VALUE"""),"No")</f>
        <v>No</v>
      </c>
      <c r="E200" s="43" t="str">
        <f>IFERROR(__xludf.DUMMYFUNCTION("""COMPUTED_VALUE"""),"p_c6ef52c0caf66626359b7f4b85796443e64d9c89@inbound.aiesec.org")</f>
        <v>p_c6ef52c0caf66626359b7f4b85796443e64d9c89@inbound.aiesec.org</v>
      </c>
      <c r="F200" s="43">
        <f>IFERROR(__xludf.DUMMYFUNCTION("""COMPUTED_VALUE"""),7.9528596E8)</f>
        <v>795285960</v>
      </c>
      <c r="G200" s="43" t="str">
        <f>IFERROR(__xludf.DUMMYFUNCTION("""COMPUTED_VALUE"""),"Algeria")</f>
        <v>Algeria</v>
      </c>
      <c r="H200" s="43" t="str">
        <f>IFERROR(__xludf.DUMMYFUNCTION("""COMPUTED_VALUE"""),"Oran")</f>
        <v>Oran</v>
      </c>
      <c r="I200" s="43" t="str">
        <f>IFERROR(__xludf.DUMMYFUNCTION("""COMPUTED_VALUE"""),"Turkey")</f>
        <v>Turkey</v>
      </c>
      <c r="J200" s="43" t="str">
        <f>IFERROR(__xludf.DUMMYFUNCTION("""COMPUTED_VALUE"""),"ISTANBUL WEST")</f>
        <v>ISTANBUL WEST</v>
      </c>
      <c r="K200" s="44" t="str">
        <f>IFERROR(__xludf.DUMMYFUNCTION("""COMPUTED_VALUE"""),"https://expa.aiesec.org/opportunities/1294332")</f>
        <v>https://expa.aiesec.org/opportunities/1294332</v>
      </c>
      <c r="L200" s="43" t="str">
        <f>IFERROR(__xludf.DUMMYFUNCTION("""COMPUTED_VALUE"""),"GTa")</f>
        <v>GTa</v>
      </c>
      <c r="M200" s="43" t="str">
        <f>IFERROR(__xludf.DUMMYFUNCTION("""COMPUTED_VALUE"""),"long")</f>
        <v>long</v>
      </c>
      <c r="N200" s="45">
        <f>IFERROR(__xludf.DUMMYFUNCTION("""COMPUTED_VALUE"""),45103.0)</f>
        <v>45103</v>
      </c>
      <c r="O200" s="45">
        <f>IFERROR(__xludf.DUMMYFUNCTION("""COMPUTED_VALUE"""),45166.0)</f>
        <v>45166</v>
      </c>
      <c r="P200" s="45">
        <f>IFERROR(__xludf.DUMMYFUNCTION("""COMPUTED_VALUE"""),45520.0)</f>
        <v>45520</v>
      </c>
      <c r="Q200" s="45">
        <f>IFERROR(__xludf.DUMMYFUNCTION("""COMPUTED_VALUE"""),45170.0)</f>
        <v>45170</v>
      </c>
      <c r="R200" s="45">
        <f>IFERROR(__xludf.DUMMYFUNCTION("""COMPUTED_VALUE"""),45524.0)</f>
        <v>45524</v>
      </c>
      <c r="S200" s="43"/>
      <c r="T200" s="43" t="str">
        <f>IFERROR(__xludf.DUMMYFUNCTION("""COMPUTED_VALUE"""),"Business Administration")</f>
        <v>Business Administration</v>
      </c>
      <c r="U200" s="43" t="str">
        <f>IFERROR(__xludf.DUMMYFUNCTION("""COMPUTED_VALUE"""),"Sales Consultant ( Customer Service )")</f>
        <v>Sales Consultant ( Customer Service )</v>
      </c>
      <c r="V200" s="43" t="str">
        <f>IFERROR(__xludf.DUMMYFUNCTION("""COMPUTED_VALUE"""),"AIESEC in Oran")</f>
        <v>AIESEC in Oran</v>
      </c>
      <c r="W200" s="43" t="str">
        <f>IFERROR(__xludf.DUMMYFUNCTION("""COMPUTED_VALUE"""),"2022-02-17T10:41:55Z")</f>
        <v>2022-02-17T10:41:55Z</v>
      </c>
      <c r="X200" s="43"/>
      <c r="Y200" s="43"/>
      <c r="Z200" s="43"/>
    </row>
    <row r="201" hidden="1">
      <c r="A201" s="43" t="str">
        <f>IFERROR(__xludf.DUMMYFUNCTION("""COMPUTED_VALUE"""),"5211879_1294174")</f>
        <v>5211879_1294174</v>
      </c>
      <c r="B201" s="43" t="str">
        <f>IFERROR(__xludf.DUMMYFUNCTION("""COMPUTED_VALUE"""),"Syrine Essafi")</f>
        <v>Syrine Essafi</v>
      </c>
      <c r="C201" s="43" t="str">
        <f>IFERROR(__xludf.DUMMYFUNCTION("""COMPUTED_VALUE"""),"realized")</f>
        <v>realized</v>
      </c>
      <c r="D201" s="43" t="str">
        <f>IFERROR(__xludf.DUMMYFUNCTION("""COMPUTED_VALUE"""),"No")</f>
        <v>No</v>
      </c>
      <c r="E201" s="43" t="str">
        <f>IFERROR(__xludf.DUMMYFUNCTION("""COMPUTED_VALUE"""),"p_81064ed86357d7336e2ad6d237f256d15756f644@inbound.aiesec.org")</f>
        <v>p_81064ed86357d7336e2ad6d237f256d15756f644@inbound.aiesec.org</v>
      </c>
      <c r="F201" s="43"/>
      <c r="G201" s="43" t="str">
        <f>IFERROR(__xludf.DUMMYFUNCTION("""COMPUTED_VALUE"""),"Tunisia")</f>
        <v>Tunisia</v>
      </c>
      <c r="H201" s="43" t="str">
        <f>IFERROR(__xludf.DUMMYFUNCTION("""COMPUTED_VALUE"""),"BARDO")</f>
        <v>BARDO</v>
      </c>
      <c r="I201" s="43" t="str">
        <f>IFERROR(__xludf.DUMMYFUNCTION("""COMPUTED_VALUE"""),"Turkey")</f>
        <v>Turkey</v>
      </c>
      <c r="J201" s="43" t="str">
        <f>IFERROR(__xludf.DUMMYFUNCTION("""COMPUTED_VALUE"""),"ANKARA")</f>
        <v>ANKARA</v>
      </c>
      <c r="K201" s="44" t="str">
        <f>IFERROR(__xludf.DUMMYFUNCTION("""COMPUTED_VALUE"""),"https://expa.aiesec.org/opportunities/1294174")</f>
        <v>https://expa.aiesec.org/opportunities/1294174</v>
      </c>
      <c r="L201" s="43" t="str">
        <f>IFERROR(__xludf.DUMMYFUNCTION("""COMPUTED_VALUE"""),"GTa")</f>
        <v>GTa</v>
      </c>
      <c r="M201" s="43" t="str">
        <f>IFERROR(__xludf.DUMMYFUNCTION("""COMPUTED_VALUE"""),"long")</f>
        <v>long</v>
      </c>
      <c r="N201" s="45">
        <f>IFERROR(__xludf.DUMMYFUNCTION("""COMPUTED_VALUE"""),45103.0)</f>
        <v>45103</v>
      </c>
      <c r="O201" s="45">
        <f>IFERROR(__xludf.DUMMYFUNCTION("""COMPUTED_VALUE"""),45107.0)</f>
        <v>45107</v>
      </c>
      <c r="P201" s="45">
        <f>IFERROR(__xludf.DUMMYFUNCTION("""COMPUTED_VALUE"""),45471.0)</f>
        <v>45471</v>
      </c>
      <c r="Q201" s="45">
        <f>IFERROR(__xludf.DUMMYFUNCTION("""COMPUTED_VALUE"""),45141.0)</f>
        <v>45141</v>
      </c>
      <c r="R201" s="45">
        <f>IFERROR(__xludf.DUMMYFUNCTION("""COMPUTED_VALUE"""),45503.0)</f>
        <v>45503</v>
      </c>
      <c r="S201" s="43"/>
      <c r="T201" s="43" t="str">
        <f>IFERROR(__xludf.DUMMYFUNCTION("""COMPUTED_VALUE"""),"Marketing")</f>
        <v>Marketing</v>
      </c>
      <c r="U201" s="43" t="str">
        <f>IFERROR(__xludf.DUMMYFUNCTION("""COMPUTED_VALUE"""),"Marketing / Sales representative ")</f>
        <v>Marketing / Sales representative </v>
      </c>
      <c r="V201" s="43" t="str">
        <f>IFERROR(__xludf.DUMMYFUNCTION("""COMPUTED_VALUE"""),"-")</f>
        <v>-</v>
      </c>
      <c r="W201" s="43" t="str">
        <f>IFERROR(__xludf.DUMMYFUNCTION("""COMPUTED_VALUE"""),"2023-03-10T10:59:18Z")</f>
        <v>2023-03-10T10:59:18Z</v>
      </c>
      <c r="X201" s="43"/>
      <c r="Y201" s="43"/>
      <c r="Z201" s="43"/>
    </row>
    <row r="202" hidden="1">
      <c r="A202" s="43" t="str">
        <f>IFERROR(__xludf.DUMMYFUNCTION("""COMPUTED_VALUE"""),"1658513_1289378")</f>
        <v>1658513_1289378</v>
      </c>
      <c r="B202" s="43" t="str">
        <f>IFERROR(__xludf.DUMMYFUNCTION("""COMPUTED_VALUE"""),"Margarita Garay Sifuentes")</f>
        <v>Margarita Garay Sifuentes</v>
      </c>
      <c r="C202" s="43" t="str">
        <f>IFERROR(__xludf.DUMMYFUNCTION("""COMPUTED_VALUE"""),"realized")</f>
        <v>realized</v>
      </c>
      <c r="D202" s="43" t="str">
        <f>IFERROR(__xludf.DUMMYFUNCTION("""COMPUTED_VALUE"""),"No")</f>
        <v>No</v>
      </c>
      <c r="E202" s="43" t="str">
        <f>IFERROR(__xludf.DUMMYFUNCTION("""COMPUTED_VALUE"""),"p_d160f094de896427bb1bd70a9820b58a021e9dc2@inbound.aiesec.org")</f>
        <v>p_d160f094de896427bb1bd70a9820b58a021e9dc2@inbound.aiesec.org</v>
      </c>
      <c r="F202" s="43">
        <f>IFERROR(__xludf.DUMMYFUNCTION("""COMPUTED_VALUE"""),9.71468819E8)</f>
        <v>971468819</v>
      </c>
      <c r="G202" s="43" t="str">
        <f>IFERROR(__xludf.DUMMYFUNCTION("""COMPUTED_VALUE"""),"Peru")</f>
        <v>Peru</v>
      </c>
      <c r="H202" s="43" t="str">
        <f>IFERROR(__xludf.DUMMYFUNCTION("""COMPUTED_VALUE"""),"Universidad San Martin de Porres")</f>
        <v>Universidad San Martin de Porres</v>
      </c>
      <c r="I202" s="43" t="str">
        <f>IFERROR(__xludf.DUMMYFUNCTION("""COMPUTED_VALUE"""),"Turkey")</f>
        <v>Turkey</v>
      </c>
      <c r="J202" s="43" t="str">
        <f>IFERROR(__xludf.DUMMYFUNCTION("""COMPUTED_VALUE"""),"ISTANBUL")</f>
        <v>ISTANBUL</v>
      </c>
      <c r="K202" s="44" t="str">
        <f>IFERROR(__xludf.DUMMYFUNCTION("""COMPUTED_VALUE"""),"https://expa.aiesec.org/opportunities/1289378")</f>
        <v>https://expa.aiesec.org/opportunities/1289378</v>
      </c>
      <c r="L202" s="43" t="str">
        <f>IFERROR(__xludf.DUMMYFUNCTION("""COMPUTED_VALUE"""),"GTa")</f>
        <v>GTa</v>
      </c>
      <c r="M202" s="43" t="str">
        <f>IFERROR(__xludf.DUMMYFUNCTION("""COMPUTED_VALUE"""),"long")</f>
        <v>long</v>
      </c>
      <c r="N202" s="45">
        <f>IFERROR(__xludf.DUMMYFUNCTION("""COMPUTED_VALUE"""),45104.0)</f>
        <v>45104</v>
      </c>
      <c r="O202" s="45">
        <f>IFERROR(__xludf.DUMMYFUNCTION("""COMPUTED_VALUE"""),45159.0)</f>
        <v>45159</v>
      </c>
      <c r="P202" s="45">
        <f>IFERROR(__xludf.DUMMYFUNCTION("""COMPUTED_VALUE"""),45660.0)</f>
        <v>45660</v>
      </c>
      <c r="Q202" s="45">
        <f>IFERROR(__xludf.DUMMYFUNCTION("""COMPUTED_VALUE"""),45180.0)</f>
        <v>45180</v>
      </c>
      <c r="R202" s="45">
        <f>IFERROR(__xludf.DUMMYFUNCTION("""COMPUTED_VALUE"""),45681.0)</f>
        <v>45681</v>
      </c>
      <c r="S202" s="43"/>
      <c r="T202" s="43" t="str">
        <f>IFERROR(__xludf.DUMMYFUNCTION("""COMPUTED_VALUE"""),"Business Administration")</f>
        <v>Business Administration</v>
      </c>
      <c r="U202" s="43" t="str">
        <f>IFERROR(__xludf.DUMMYFUNCTION("""COMPUTED_VALUE"""),"Telesales Specialist in Istanbul (Spanish Speaker)")</f>
        <v>Telesales Specialist in Istanbul (Spanish Speaker)</v>
      </c>
      <c r="V202" s="43" t="str">
        <f>IFERROR(__xludf.DUMMYFUNCTION("""COMPUTED_VALUE"""),"-")</f>
        <v>-</v>
      </c>
      <c r="W202" s="43" t="str">
        <f>IFERROR(__xludf.DUMMYFUNCTION("""COMPUTED_VALUE"""),"2017-07-17T03:27:15Z")</f>
        <v>2017-07-17T03:27:15Z</v>
      </c>
      <c r="X202" s="43"/>
      <c r="Y202" s="43"/>
      <c r="Z202" s="43"/>
    </row>
    <row r="203" hidden="1">
      <c r="A203" s="43" t="str">
        <f>IFERROR(__xludf.DUMMYFUNCTION("""COMPUTED_VALUE"""),"5150435_1294586")</f>
        <v>5150435_1294586</v>
      </c>
      <c r="B203" s="43" t="str">
        <f>IFERROR(__xludf.DUMMYFUNCTION("""COMPUTED_VALUE"""),"AIRTON DE SOUZA")</f>
        <v>AIRTON DE SOUZA</v>
      </c>
      <c r="C203" s="43" t="str">
        <f>IFERROR(__xludf.DUMMYFUNCTION("""COMPUTED_VALUE"""),"realized")</f>
        <v>realized</v>
      </c>
      <c r="D203" s="43" t="str">
        <f>IFERROR(__xludf.DUMMYFUNCTION("""COMPUTED_VALUE"""),"No")</f>
        <v>No</v>
      </c>
      <c r="E203" s="43" t="str">
        <f>IFERROR(__xludf.DUMMYFUNCTION("""COMPUTED_VALUE"""),"p_e66662f82dcd7276636f4526cb4141dd47b5edd8@inbound.aiesec.org")</f>
        <v>p_e66662f82dcd7276636f4526cb4141dd47b5edd8@inbound.aiesec.org</v>
      </c>
      <c r="F203" s="43"/>
      <c r="G203" s="43" t="str">
        <f>IFERROR(__xludf.DUMMYFUNCTION("""COMPUTED_VALUE"""),"Brazil")</f>
        <v>Brazil</v>
      </c>
      <c r="H203" s="43" t="str">
        <f>IFERROR(__xludf.DUMMYFUNCTION("""COMPUTED_VALUE"""),"MANAUS")</f>
        <v>MANAUS</v>
      </c>
      <c r="I203" s="43" t="str">
        <f>IFERROR(__xludf.DUMMYFUNCTION("""COMPUTED_VALUE"""),"Turkey")</f>
        <v>Turkey</v>
      </c>
      <c r="J203" s="43" t="str">
        <f>IFERROR(__xludf.DUMMYFUNCTION("""COMPUTED_VALUE"""),"İZMİR")</f>
        <v>İZMİR</v>
      </c>
      <c r="K203" s="44" t="str">
        <f>IFERROR(__xludf.DUMMYFUNCTION("""COMPUTED_VALUE"""),"https://expa.aiesec.org/opportunities/1294586")</f>
        <v>https://expa.aiesec.org/opportunities/1294586</v>
      </c>
      <c r="L203" s="43" t="str">
        <f>IFERROR(__xludf.DUMMYFUNCTION("""COMPUTED_VALUE"""),"GTa")</f>
        <v>GTa</v>
      </c>
      <c r="M203" s="43" t="str">
        <f>IFERROR(__xludf.DUMMYFUNCTION("""COMPUTED_VALUE"""),"long")</f>
        <v>long</v>
      </c>
      <c r="N203" s="45">
        <f>IFERROR(__xludf.DUMMYFUNCTION("""COMPUTED_VALUE"""),45105.0)</f>
        <v>45105</v>
      </c>
      <c r="O203" s="45">
        <f>IFERROR(__xludf.DUMMYFUNCTION("""COMPUTED_VALUE"""),45138.0)</f>
        <v>45138</v>
      </c>
      <c r="P203" s="45">
        <f>IFERROR(__xludf.DUMMYFUNCTION("""COMPUTED_VALUE"""),45503.0)</f>
        <v>45503</v>
      </c>
      <c r="Q203" s="45">
        <f>IFERROR(__xludf.DUMMYFUNCTION("""COMPUTED_VALUE"""),45139.0)</f>
        <v>45139</v>
      </c>
      <c r="R203" s="45">
        <f>IFERROR(__xludf.DUMMYFUNCTION("""COMPUTED_VALUE"""),45505.0)</f>
        <v>45505</v>
      </c>
      <c r="S203" s="43"/>
      <c r="T203" s="43" t="str">
        <f>IFERROR(__xludf.DUMMYFUNCTION("""COMPUTED_VALUE"""),"Engineering")</f>
        <v>Engineering</v>
      </c>
      <c r="U203" s="43" t="str">
        <f>IFERROR(__xludf.DUMMYFUNCTION("""COMPUTED_VALUE"""),"Mechanical Engineering")</f>
        <v>Mechanical Engineering</v>
      </c>
      <c r="V203" s="43" t="str">
        <f>IFERROR(__xludf.DUMMYFUNCTION("""COMPUTED_VALUE"""),"Manaus")</f>
        <v>Manaus</v>
      </c>
      <c r="W203" s="43" t="str">
        <f>IFERROR(__xludf.DUMMYFUNCTION("""COMPUTED_VALUE"""),"2022-11-09T20:03:28Z")</f>
        <v>2022-11-09T20:03:28Z</v>
      </c>
      <c r="X203" s="43"/>
      <c r="Y203" s="43"/>
      <c r="Z203" s="43"/>
    </row>
    <row r="204" hidden="1">
      <c r="A204" s="43" t="str">
        <f>IFERROR(__xludf.DUMMYFUNCTION("""COMPUTED_VALUE"""),"5260570_1292103")</f>
        <v>5260570_1292103</v>
      </c>
      <c r="B204" s="43" t="str">
        <f>IFERROR(__xludf.DUMMYFUNCTION("""COMPUTED_VALUE"""),"Anggela Estanga B")</f>
        <v>Anggela Estanga B</v>
      </c>
      <c r="C204" s="43" t="str">
        <f>IFERROR(__xludf.DUMMYFUNCTION("""COMPUTED_VALUE"""),"realized")</f>
        <v>realized</v>
      </c>
      <c r="D204" s="43" t="str">
        <f>IFERROR(__xludf.DUMMYFUNCTION("""COMPUTED_VALUE"""),"No")</f>
        <v>No</v>
      </c>
      <c r="E204" s="43" t="str">
        <f>IFERROR(__xludf.DUMMYFUNCTION("""COMPUTED_VALUE"""),"p_20cf8cfed8c0fb638bf9cb4cde760d24568ce8d2@inbound.aiesec.org")</f>
        <v>p_20cf8cfed8c0fb638bf9cb4cde760d24568ce8d2@inbound.aiesec.org</v>
      </c>
      <c r="F204" s="43"/>
      <c r="G204" s="43" t="str">
        <f>IFERROR(__xludf.DUMMYFUNCTION("""COMPUTED_VALUE"""),"Venezuela")</f>
        <v>Venezuela</v>
      </c>
      <c r="H204" s="43" t="str">
        <f>IFERROR(__xludf.DUMMYFUNCTION("""COMPUTED_VALUE"""),"UCV&amp;UNIMET")</f>
        <v>UCV&amp;UNIMET</v>
      </c>
      <c r="I204" s="43" t="str">
        <f>IFERROR(__xludf.DUMMYFUNCTION("""COMPUTED_VALUE"""),"Turkey")</f>
        <v>Turkey</v>
      </c>
      <c r="J204" s="43" t="str">
        <f>IFERROR(__xludf.DUMMYFUNCTION("""COMPUTED_VALUE"""),"KONYA")</f>
        <v>KONYA</v>
      </c>
      <c r="K204" s="44" t="str">
        <f>IFERROR(__xludf.DUMMYFUNCTION("""COMPUTED_VALUE"""),"https://expa.aiesec.org/opportunities/1292103")</f>
        <v>https://expa.aiesec.org/opportunities/1292103</v>
      </c>
      <c r="L204" s="43" t="str">
        <f>IFERROR(__xludf.DUMMYFUNCTION("""COMPUTED_VALUE"""),"GTa")</f>
        <v>GTa</v>
      </c>
      <c r="M204" s="43" t="str">
        <f>IFERROR(__xludf.DUMMYFUNCTION("""COMPUTED_VALUE"""),"long")</f>
        <v>long</v>
      </c>
      <c r="N204" s="45">
        <f>IFERROR(__xludf.DUMMYFUNCTION("""COMPUTED_VALUE"""),45106.0)</f>
        <v>45106</v>
      </c>
      <c r="O204" s="45">
        <f>IFERROR(__xludf.DUMMYFUNCTION("""COMPUTED_VALUE"""),45139.0)</f>
        <v>45139</v>
      </c>
      <c r="P204" s="45">
        <f>IFERROR(__xludf.DUMMYFUNCTION("""COMPUTED_VALUE"""),45505.0)</f>
        <v>45505</v>
      </c>
      <c r="Q204" s="45">
        <f>IFERROR(__xludf.DUMMYFUNCTION("""COMPUTED_VALUE"""),45159.0)</f>
        <v>45159</v>
      </c>
      <c r="R204" s="45">
        <f>IFERROR(__xludf.DUMMYFUNCTION("""COMPUTED_VALUE"""),45525.0)</f>
        <v>45525</v>
      </c>
      <c r="S204" s="43"/>
      <c r="T204" s="43" t="str">
        <f>IFERROR(__xludf.DUMMYFUNCTION("""COMPUTED_VALUE"""),"Marketing")</f>
        <v>Marketing</v>
      </c>
      <c r="U204" s="43" t="str">
        <f>IFERROR(__xludf.DUMMYFUNCTION("""COMPUTED_VALUE"""),"Marketing and Sales Representative")</f>
        <v>Marketing and Sales Representative</v>
      </c>
      <c r="V204" s="43" t="str">
        <f>IFERROR(__xludf.DUMMYFUNCTION("""COMPUTED_VALUE"""),"-")</f>
        <v>-</v>
      </c>
      <c r="W204" s="43" t="str">
        <f>IFERROR(__xludf.DUMMYFUNCTION("""COMPUTED_VALUE"""),"2023-05-13T15:40:51Z")</f>
        <v>2023-05-13T15:40:51Z</v>
      </c>
      <c r="X204" s="43"/>
      <c r="Y204" s="43"/>
      <c r="Z204" s="43"/>
    </row>
    <row r="205" hidden="1">
      <c r="A205" s="43" t="str">
        <f>IFERROR(__xludf.DUMMYFUNCTION("""COMPUTED_VALUE"""),"4867895_1295382")</f>
        <v>4867895_1295382</v>
      </c>
      <c r="B205" s="43" t="str">
        <f>IFERROR(__xludf.DUMMYFUNCTION("""COMPUTED_VALUE"""),"hadil kailil")</f>
        <v>hadil kailil</v>
      </c>
      <c r="C205" s="43" t="str">
        <f>IFERROR(__xludf.DUMMYFUNCTION("""COMPUTED_VALUE"""),"completed")</f>
        <v>completed</v>
      </c>
      <c r="D205" s="43" t="str">
        <f>IFERROR(__xludf.DUMMYFUNCTION("""COMPUTED_VALUE"""),"No")</f>
        <v>No</v>
      </c>
      <c r="E205" s="43" t="str">
        <f>IFERROR(__xludf.DUMMYFUNCTION("""COMPUTED_VALUE"""),"p_e78ea1ade52e9505913bf7003c7167ebf5b79344@inbound.aiesec.org")</f>
        <v>p_e78ea1ade52e9505913bf7003c7167ebf5b79344@inbound.aiesec.org</v>
      </c>
      <c r="F205" s="43">
        <f>IFERROR(__xludf.DUMMYFUNCTION("""COMPUTED_VALUE"""),5.078495671E9)</f>
        <v>5078495671</v>
      </c>
      <c r="G205" s="43" t="str">
        <f>IFERROR(__xludf.DUMMYFUNCTION("""COMPUTED_VALUE"""),"Morocco")</f>
        <v>Morocco</v>
      </c>
      <c r="H205" s="43" t="str">
        <f>IFERROR(__xludf.DUMMYFUNCTION("""COMPUTED_VALUE"""),"Morocco (MC)")</f>
        <v>Morocco (MC)</v>
      </c>
      <c r="I205" s="43" t="str">
        <f>IFERROR(__xludf.DUMMYFUNCTION("""COMPUTED_VALUE"""),"Turkey")</f>
        <v>Turkey</v>
      </c>
      <c r="J205" s="43" t="str">
        <f>IFERROR(__xludf.DUMMYFUNCTION("""COMPUTED_VALUE"""),"GAZIANTEP")</f>
        <v>GAZIANTEP</v>
      </c>
      <c r="K205" s="44" t="str">
        <f>IFERROR(__xludf.DUMMYFUNCTION("""COMPUTED_VALUE"""),"https://expa.aiesec.org/opportunities/1295382")</f>
        <v>https://expa.aiesec.org/opportunities/1295382</v>
      </c>
      <c r="L205" s="43" t="str">
        <f>IFERROR(__xludf.DUMMYFUNCTION("""COMPUTED_VALUE"""),"GTa")</f>
        <v>GTa</v>
      </c>
      <c r="M205" s="43" t="str">
        <f>IFERROR(__xludf.DUMMYFUNCTION("""COMPUTED_VALUE"""),"long")</f>
        <v>long</v>
      </c>
      <c r="N205" s="45">
        <f>IFERROR(__xludf.DUMMYFUNCTION("""COMPUTED_VALUE"""),45109.0)</f>
        <v>45109</v>
      </c>
      <c r="O205" s="45">
        <f>IFERROR(__xludf.DUMMYFUNCTION("""COMPUTED_VALUE"""),45101.0)</f>
        <v>45101</v>
      </c>
      <c r="P205" s="45">
        <f>IFERROR(__xludf.DUMMYFUNCTION("""COMPUTED_VALUE"""),45290.0)</f>
        <v>45290</v>
      </c>
      <c r="Q205" s="45">
        <f>IFERROR(__xludf.DUMMYFUNCTION("""COMPUTED_VALUE"""),45110.0)</f>
        <v>45110</v>
      </c>
      <c r="R205" s="45">
        <f>IFERROR(__xludf.DUMMYFUNCTION("""COMPUTED_VALUE"""),45299.0)</f>
        <v>45299</v>
      </c>
      <c r="S205" s="43"/>
      <c r="T205" s="43" t="str">
        <f>IFERROR(__xludf.DUMMYFUNCTION("""COMPUTED_VALUE"""),"Marketing")</f>
        <v>Marketing</v>
      </c>
      <c r="U205" s="43" t="str">
        <f>IFERROR(__xludf.DUMMYFUNCTION("""COMPUTED_VALUE"""),"Marketing")</f>
        <v>Marketing</v>
      </c>
      <c r="V205" s="43" t="str">
        <f>IFERROR(__xludf.DUMMYFUNCTION("""COMPUTED_VALUE"""),"FLSH Rabat")</f>
        <v>FLSH Rabat</v>
      </c>
      <c r="W205" s="43" t="str">
        <f>IFERROR(__xludf.DUMMYFUNCTION("""COMPUTED_VALUE"""),"2022-01-05T20:14:50Z")</f>
        <v>2022-01-05T20:14:50Z</v>
      </c>
      <c r="X205" s="43"/>
      <c r="Y205" s="43"/>
      <c r="Z205" s="43"/>
    </row>
    <row r="206" hidden="1">
      <c r="A206" s="43" t="str">
        <f>IFERROR(__xludf.DUMMYFUNCTION("""COMPUTED_VALUE"""),"5244455_1294332")</f>
        <v>5244455_1294332</v>
      </c>
      <c r="B206" s="43" t="str">
        <f>IFERROR(__xludf.DUMMYFUNCTION("""COMPUTED_VALUE"""),"Hiba Rimouche")</f>
        <v>Hiba Rimouche</v>
      </c>
      <c r="C206" s="43" t="str">
        <f>IFERROR(__xludf.DUMMYFUNCTION("""COMPUTED_VALUE"""),"approved")</f>
        <v>approved</v>
      </c>
      <c r="D206" s="43" t="str">
        <f>IFERROR(__xludf.DUMMYFUNCTION("""COMPUTED_VALUE"""),"No")</f>
        <v>No</v>
      </c>
      <c r="E206" s="43" t="str">
        <f>IFERROR(__xludf.DUMMYFUNCTION("""COMPUTED_VALUE"""),"p_263ca950be651aae768c1cc7597ee7462ba8c4d2@inbound.aiesec.org")</f>
        <v>p_263ca950be651aae768c1cc7597ee7462ba8c4d2@inbound.aiesec.org</v>
      </c>
      <c r="F206" s="43">
        <f>IFERROR(__xludf.DUMMYFUNCTION("""COMPUTED_VALUE"""),5.56621964E8)</f>
        <v>556621964</v>
      </c>
      <c r="G206" s="43" t="str">
        <f>IFERROR(__xludf.DUMMYFUNCTION("""COMPUTED_VALUE"""),"Algeria")</f>
        <v>Algeria</v>
      </c>
      <c r="H206" s="43" t="str">
        <f>IFERROR(__xludf.DUMMYFUNCTION("""COMPUTED_VALUE"""),"Babez")</f>
        <v>Babez</v>
      </c>
      <c r="I206" s="43" t="str">
        <f>IFERROR(__xludf.DUMMYFUNCTION("""COMPUTED_VALUE"""),"Turkey")</f>
        <v>Turkey</v>
      </c>
      <c r="J206" s="43" t="str">
        <f>IFERROR(__xludf.DUMMYFUNCTION("""COMPUTED_VALUE"""),"ISTANBUL WEST")</f>
        <v>ISTANBUL WEST</v>
      </c>
      <c r="K206" s="44" t="str">
        <f>IFERROR(__xludf.DUMMYFUNCTION("""COMPUTED_VALUE"""),"https://expa.aiesec.org/opportunities/1294332")</f>
        <v>https://expa.aiesec.org/opportunities/1294332</v>
      </c>
      <c r="L206" s="43" t="str">
        <f>IFERROR(__xludf.DUMMYFUNCTION("""COMPUTED_VALUE"""),"GTa")</f>
        <v>GTa</v>
      </c>
      <c r="M206" s="43" t="str">
        <f>IFERROR(__xludf.DUMMYFUNCTION("""COMPUTED_VALUE"""),"long")</f>
        <v>long</v>
      </c>
      <c r="N206" s="45">
        <f>IFERROR(__xludf.DUMMYFUNCTION("""COMPUTED_VALUE"""),45111.0)</f>
        <v>45111</v>
      </c>
      <c r="O206" s="45">
        <f>IFERROR(__xludf.DUMMYFUNCTION("""COMPUTED_VALUE"""),45153.0)</f>
        <v>45153</v>
      </c>
      <c r="P206" s="45">
        <f>IFERROR(__xludf.DUMMYFUNCTION("""COMPUTED_VALUE"""),45513.0)</f>
        <v>45513</v>
      </c>
      <c r="Q206" s="45"/>
      <c r="R206" s="45"/>
      <c r="S206" s="43"/>
      <c r="T206" s="43" t="str">
        <f>IFERROR(__xludf.DUMMYFUNCTION("""COMPUTED_VALUE"""),"Business Administration")</f>
        <v>Business Administration</v>
      </c>
      <c r="U206" s="43" t="str">
        <f>IFERROR(__xludf.DUMMYFUNCTION("""COMPUTED_VALUE"""),"Sales Consultant ( Customer Service )")</f>
        <v>Sales Consultant ( Customer Service )</v>
      </c>
      <c r="V206" s="43" t="str">
        <f>IFERROR(__xludf.DUMMYFUNCTION("""COMPUTED_VALUE"""),"AIESEC in Babez")</f>
        <v>AIESEC in Babez</v>
      </c>
      <c r="W206" s="43" t="str">
        <f>IFERROR(__xludf.DUMMYFUNCTION("""COMPUTED_VALUE"""),"2023-04-18T11:12:56Z")</f>
        <v>2023-04-18T11:12:56Z</v>
      </c>
      <c r="X206" s="43"/>
      <c r="Y206" s="43"/>
      <c r="Z206" s="43"/>
    </row>
    <row r="207" hidden="1">
      <c r="A207" s="43" t="str">
        <f>IFERROR(__xludf.DUMMYFUNCTION("""COMPUTED_VALUE"""),"5282183_1289872")</f>
        <v>5282183_1289872</v>
      </c>
      <c r="B207" s="43" t="str">
        <f>IFERROR(__xludf.DUMMYFUNCTION("""COMPUTED_VALUE"""),"Ilham Essabaoui")</f>
        <v>Ilham Essabaoui</v>
      </c>
      <c r="C207" s="43" t="str">
        <f>IFERROR(__xludf.DUMMYFUNCTION("""COMPUTED_VALUE"""),"realized")</f>
        <v>realized</v>
      </c>
      <c r="D207" s="43" t="str">
        <f>IFERROR(__xludf.DUMMYFUNCTION("""COMPUTED_VALUE"""),"No")</f>
        <v>No</v>
      </c>
      <c r="E207" s="43" t="str">
        <f>IFERROR(__xludf.DUMMYFUNCTION("""COMPUTED_VALUE"""),"p_5a0d0b2e97864f1d9fd44198e275d5f5434464cb@inbound.aiesec.org")</f>
        <v>p_5a0d0b2e97864f1d9fd44198e275d5f5434464cb@inbound.aiesec.org</v>
      </c>
      <c r="F207" s="43">
        <f>IFERROR(__xludf.DUMMYFUNCTION("""COMPUTED_VALUE"""),6.29257387E8)</f>
        <v>629257387</v>
      </c>
      <c r="G207" s="43" t="str">
        <f>IFERROR(__xludf.DUMMYFUNCTION("""COMPUTED_VALUE"""),"Morocco")</f>
        <v>Morocco</v>
      </c>
      <c r="H207" s="43" t="str">
        <f>IFERROR(__xludf.DUMMYFUNCTION("""COMPUTED_VALUE"""),"Morocco (MC)")</f>
        <v>Morocco (MC)</v>
      </c>
      <c r="I207" s="43" t="str">
        <f>IFERROR(__xludf.DUMMYFUNCTION("""COMPUTED_VALUE"""),"Turkey")</f>
        <v>Turkey</v>
      </c>
      <c r="J207" s="43" t="str">
        <f>IFERROR(__xludf.DUMMYFUNCTION("""COMPUTED_VALUE"""),"KONYA")</f>
        <v>KONYA</v>
      </c>
      <c r="K207" s="44" t="str">
        <f>IFERROR(__xludf.DUMMYFUNCTION("""COMPUTED_VALUE"""),"https://expa.aiesec.org/opportunities/1289872")</f>
        <v>https://expa.aiesec.org/opportunities/1289872</v>
      </c>
      <c r="L207" s="43" t="str">
        <f>IFERROR(__xludf.DUMMYFUNCTION("""COMPUTED_VALUE"""),"GTa")</f>
        <v>GTa</v>
      </c>
      <c r="M207" s="43" t="str">
        <f>IFERROR(__xludf.DUMMYFUNCTION("""COMPUTED_VALUE"""),"long")</f>
        <v>long</v>
      </c>
      <c r="N207" s="45">
        <f>IFERROR(__xludf.DUMMYFUNCTION("""COMPUTED_VALUE"""),45111.0)</f>
        <v>45111</v>
      </c>
      <c r="O207" s="45">
        <f>IFERROR(__xludf.DUMMYFUNCTION("""COMPUTED_VALUE"""),45153.0)</f>
        <v>45153</v>
      </c>
      <c r="P207" s="45">
        <f>IFERROR(__xludf.DUMMYFUNCTION("""COMPUTED_VALUE"""),45519.0)</f>
        <v>45519</v>
      </c>
      <c r="Q207" s="45">
        <f>IFERROR(__xludf.DUMMYFUNCTION("""COMPUTED_VALUE"""),45164.0)</f>
        <v>45164</v>
      </c>
      <c r="R207" s="45">
        <f>IFERROR(__xludf.DUMMYFUNCTION("""COMPUTED_VALUE"""),45530.0)</f>
        <v>45530</v>
      </c>
      <c r="S207" s="43"/>
      <c r="T207" s="43" t="str">
        <f>IFERROR(__xludf.DUMMYFUNCTION("""COMPUTED_VALUE"""),"Marketing")</f>
        <v>Marketing</v>
      </c>
      <c r="U207" s="43" t="str">
        <f>IFERROR(__xludf.DUMMYFUNCTION("""COMPUTED_VALUE"""),"Marketing Specialist | Spanish")</f>
        <v>Marketing Specialist | Spanish</v>
      </c>
      <c r="V207" s="43" t="str">
        <f>IFERROR(__xludf.DUMMYFUNCTION("""COMPUTED_VALUE"""),"HEEC Marrakech")</f>
        <v>HEEC Marrakech</v>
      </c>
      <c r="W207" s="43" t="str">
        <f>IFERROR(__xludf.DUMMYFUNCTION("""COMPUTED_VALUE"""),"2023-07-04T18:38:36Z")</f>
        <v>2023-07-04T18:38:36Z</v>
      </c>
      <c r="X207" s="43"/>
      <c r="Y207" s="43"/>
      <c r="Z207" s="43"/>
    </row>
    <row r="208" hidden="1">
      <c r="A208" s="43" t="str">
        <f>IFERROR(__xludf.DUMMYFUNCTION("""COMPUTED_VALUE"""),"5211466_1296477")</f>
        <v>5211466_1296477</v>
      </c>
      <c r="B208" s="43" t="str">
        <f>IFERROR(__xludf.DUMMYFUNCTION("""COMPUTED_VALUE"""),"Sarah Toony")</f>
        <v>Sarah Toony</v>
      </c>
      <c r="C208" s="43" t="str">
        <f>IFERROR(__xludf.DUMMYFUNCTION("""COMPUTED_VALUE"""),"realized")</f>
        <v>realized</v>
      </c>
      <c r="D208" s="43" t="str">
        <f>IFERROR(__xludf.DUMMYFUNCTION("""COMPUTED_VALUE"""),"No")</f>
        <v>No</v>
      </c>
      <c r="E208" s="43" t="str">
        <f>IFERROR(__xludf.DUMMYFUNCTION("""COMPUTED_VALUE"""),"p_1fb018b1453010afdcc38d958a1c26e1bf589ac0@inbound.aiesec.org")</f>
        <v>p_1fb018b1453010afdcc38d958a1c26e1bf589ac0@inbound.aiesec.org</v>
      </c>
      <c r="F208" s="43">
        <f>IFERROR(__xludf.DUMMYFUNCTION("""COMPUTED_VALUE"""),1.014408983E9)</f>
        <v>1014408983</v>
      </c>
      <c r="G208" s="43" t="str">
        <f>IFERROR(__xludf.DUMMYFUNCTION("""COMPUTED_VALUE"""),"Egypt")</f>
        <v>Egypt</v>
      </c>
      <c r="H208" s="43" t="str">
        <f>IFERROR(__xludf.DUMMYFUNCTION("""COMPUTED_VALUE"""),"AAST In CAIRO")</f>
        <v>AAST In CAIRO</v>
      </c>
      <c r="I208" s="43" t="str">
        <f>IFERROR(__xludf.DUMMYFUNCTION("""COMPUTED_VALUE"""),"Turkey")</f>
        <v>Turkey</v>
      </c>
      <c r="J208" s="43" t="str">
        <f>IFERROR(__xludf.DUMMYFUNCTION("""COMPUTED_VALUE"""),"ISTANBUL WEST")</f>
        <v>ISTANBUL WEST</v>
      </c>
      <c r="K208" s="44" t="str">
        <f>IFERROR(__xludf.DUMMYFUNCTION("""COMPUTED_VALUE"""),"https://expa.aiesec.org/opportunities/1296477")</f>
        <v>https://expa.aiesec.org/opportunities/1296477</v>
      </c>
      <c r="L208" s="43" t="str">
        <f>IFERROR(__xludf.DUMMYFUNCTION("""COMPUTED_VALUE"""),"GTa")</f>
        <v>GTa</v>
      </c>
      <c r="M208" s="43" t="str">
        <f>IFERROR(__xludf.DUMMYFUNCTION("""COMPUTED_VALUE"""),"long")</f>
        <v>long</v>
      </c>
      <c r="N208" s="45">
        <f>IFERROR(__xludf.DUMMYFUNCTION("""COMPUTED_VALUE"""),45112.0)</f>
        <v>45112</v>
      </c>
      <c r="O208" s="45">
        <f>IFERROR(__xludf.DUMMYFUNCTION("""COMPUTED_VALUE"""),45138.0)</f>
        <v>45138</v>
      </c>
      <c r="P208" s="45">
        <f>IFERROR(__xludf.DUMMYFUNCTION("""COMPUTED_VALUE"""),45492.0)</f>
        <v>45492</v>
      </c>
      <c r="Q208" s="45">
        <f>IFERROR(__xludf.DUMMYFUNCTION("""COMPUTED_VALUE"""),45138.0)</f>
        <v>45138</v>
      </c>
      <c r="R208" s="45">
        <f>IFERROR(__xludf.DUMMYFUNCTION("""COMPUTED_VALUE"""),45504.0)</f>
        <v>45504</v>
      </c>
      <c r="S208" s="43"/>
      <c r="T208" s="43" t="str">
        <f>IFERROR(__xludf.DUMMYFUNCTION("""COMPUTED_VALUE"""),"Business Administration")</f>
        <v>Business Administration</v>
      </c>
      <c r="U208" s="43" t="str">
        <f>IFERROR(__xludf.DUMMYFUNCTION("""COMPUTED_VALUE"""),"Sales Consultant ( Customer Service)")</f>
        <v>Sales Consultant ( Customer Service)</v>
      </c>
      <c r="V208" s="43" t="str">
        <f>IFERROR(__xludf.DUMMYFUNCTION("""COMPUTED_VALUE"""),"BUE University")</f>
        <v>BUE University</v>
      </c>
      <c r="W208" s="43" t="str">
        <f>IFERROR(__xludf.DUMMYFUNCTION("""COMPUTED_VALUE"""),"2023-03-09T21:43:13Z")</f>
        <v>2023-03-09T21:43:13Z</v>
      </c>
      <c r="X208" s="43"/>
      <c r="Y208" s="43"/>
      <c r="Z208" s="43"/>
    </row>
    <row r="209" hidden="1">
      <c r="A209" s="43" t="str">
        <f>IFERROR(__xludf.DUMMYFUNCTION("""COMPUTED_VALUE"""),"5281868_1289255")</f>
        <v>5281868_1289255</v>
      </c>
      <c r="B209" s="43" t="str">
        <f>IFERROR(__xludf.DUMMYFUNCTION("""COMPUTED_VALUE"""),"Yassine Benalia")</f>
        <v>Yassine Benalia</v>
      </c>
      <c r="C209" s="43" t="str">
        <f>IFERROR(__xludf.DUMMYFUNCTION("""COMPUTED_VALUE"""),"realized")</f>
        <v>realized</v>
      </c>
      <c r="D209" s="43" t="str">
        <f>IFERROR(__xludf.DUMMYFUNCTION("""COMPUTED_VALUE"""),"No")</f>
        <v>No</v>
      </c>
      <c r="E209" s="43" t="str">
        <f>IFERROR(__xludf.DUMMYFUNCTION("""COMPUTED_VALUE"""),"p_3b410eac28e2574a5de70773d1bed7d9359aeccf@inbound.aiesec.org")</f>
        <v>p_3b410eac28e2574a5de70773d1bed7d9359aeccf@inbound.aiesec.org</v>
      </c>
      <c r="F209" s="43">
        <f>IFERROR(__xludf.DUMMYFUNCTION("""COMPUTED_VALUE"""),5.57945463E8)</f>
        <v>557945463</v>
      </c>
      <c r="G209" s="43" t="str">
        <f>IFERROR(__xludf.DUMMYFUNCTION("""COMPUTED_VALUE"""),"Algeria")</f>
        <v>Algeria</v>
      </c>
      <c r="H209" s="43" t="str">
        <f>IFERROR(__xludf.DUMMYFUNCTION("""COMPUTED_VALUE"""),"Babez")</f>
        <v>Babez</v>
      </c>
      <c r="I209" s="43" t="str">
        <f>IFERROR(__xludf.DUMMYFUNCTION("""COMPUTED_VALUE"""),"Turkey")</f>
        <v>Turkey</v>
      </c>
      <c r="J209" s="43" t="str">
        <f>IFERROR(__xludf.DUMMYFUNCTION("""COMPUTED_VALUE"""),"ISTANBUL")</f>
        <v>ISTANBUL</v>
      </c>
      <c r="K209" s="44" t="str">
        <f>IFERROR(__xludf.DUMMYFUNCTION("""COMPUTED_VALUE"""),"https://expa.aiesec.org/opportunities/1289255")</f>
        <v>https://expa.aiesec.org/opportunities/1289255</v>
      </c>
      <c r="L209" s="43" t="str">
        <f>IFERROR(__xludf.DUMMYFUNCTION("""COMPUTED_VALUE"""),"GTa")</f>
        <v>GTa</v>
      </c>
      <c r="M209" s="43" t="str">
        <f>IFERROR(__xludf.DUMMYFUNCTION("""COMPUTED_VALUE"""),"long")</f>
        <v>long</v>
      </c>
      <c r="N209" s="45">
        <f>IFERROR(__xludf.DUMMYFUNCTION("""COMPUTED_VALUE"""),45113.0)</f>
        <v>45113</v>
      </c>
      <c r="O209" s="45">
        <f>IFERROR(__xludf.DUMMYFUNCTION("""COMPUTED_VALUE"""),45159.0)</f>
        <v>45159</v>
      </c>
      <c r="P209" s="45">
        <f>IFERROR(__xludf.DUMMYFUNCTION("""COMPUTED_VALUE"""),45660.0)</f>
        <v>45660</v>
      </c>
      <c r="Q209" s="45">
        <f>IFERROR(__xludf.DUMMYFUNCTION("""COMPUTED_VALUE"""),45173.0)</f>
        <v>45173</v>
      </c>
      <c r="R209" s="45">
        <f>IFERROR(__xludf.DUMMYFUNCTION("""COMPUTED_VALUE"""),45674.0)</f>
        <v>45674</v>
      </c>
      <c r="S209" s="43"/>
      <c r="T209" s="43" t="str">
        <f>IFERROR(__xludf.DUMMYFUNCTION("""COMPUTED_VALUE"""),"Business Administration")</f>
        <v>Business Administration</v>
      </c>
      <c r="U209" s="43" t="str">
        <f>IFERROR(__xludf.DUMMYFUNCTION("""COMPUTED_VALUE"""),"Telesales Specialist in Istanbul (French Speaker)")</f>
        <v>Telesales Specialist in Istanbul (French Speaker)</v>
      </c>
      <c r="V209" s="43" t="str">
        <f>IFERROR(__xludf.DUMMYFUNCTION("""COMPUTED_VALUE"""),"AIESEC in Babez")</f>
        <v>AIESEC in Babez</v>
      </c>
      <c r="W209" s="43" t="str">
        <f>IFERROR(__xludf.DUMMYFUNCTION("""COMPUTED_VALUE"""),"2023-07-03T19:44:40Z")</f>
        <v>2023-07-03T19:44:40Z</v>
      </c>
      <c r="X209" s="43"/>
      <c r="Y209" s="43"/>
      <c r="Z209" s="43"/>
    </row>
    <row r="210" hidden="1">
      <c r="A210" s="43" t="str">
        <f>IFERROR(__xludf.DUMMYFUNCTION("""COMPUTED_VALUE"""),"5280927_1287708")</f>
        <v>5280927_1287708</v>
      </c>
      <c r="B210" s="43" t="str">
        <f>IFERROR(__xludf.DUMMYFUNCTION("""COMPUTED_VALUE"""),"Rahal Islam")</f>
        <v>Rahal Islam</v>
      </c>
      <c r="C210" s="43" t="str">
        <f>IFERROR(__xludf.DUMMYFUNCTION("""COMPUTED_VALUE"""),"realized")</f>
        <v>realized</v>
      </c>
      <c r="D210" s="43" t="str">
        <f>IFERROR(__xludf.DUMMYFUNCTION("""COMPUTED_VALUE"""),"No")</f>
        <v>No</v>
      </c>
      <c r="E210" s="43" t="str">
        <f>IFERROR(__xludf.DUMMYFUNCTION("""COMPUTED_VALUE"""),"p_523229c2d6d69cfc2c0bfb1467bff36b980d58b2@inbound.aiesec.org")</f>
        <v>p_523229c2d6d69cfc2c0bfb1467bff36b980d58b2@inbound.aiesec.org</v>
      </c>
      <c r="F210" s="43"/>
      <c r="G210" s="43" t="str">
        <f>IFERROR(__xludf.DUMMYFUNCTION("""COMPUTED_VALUE"""),"Algeria")</f>
        <v>Algeria</v>
      </c>
      <c r="H210" s="43" t="str">
        <f>IFERROR(__xludf.DUMMYFUNCTION("""COMPUTED_VALUE"""),"Blida")</f>
        <v>Blida</v>
      </c>
      <c r="I210" s="43" t="str">
        <f>IFERROR(__xludf.DUMMYFUNCTION("""COMPUTED_VALUE"""),"Turkey")</f>
        <v>Turkey</v>
      </c>
      <c r="J210" s="43" t="str">
        <f>IFERROR(__xludf.DUMMYFUNCTION("""COMPUTED_VALUE"""),"ISTANBUL WEST")</f>
        <v>ISTANBUL WEST</v>
      </c>
      <c r="K210" s="44" t="str">
        <f>IFERROR(__xludf.DUMMYFUNCTION("""COMPUTED_VALUE"""),"https://expa.aiesec.org/opportunities/1287708")</f>
        <v>https://expa.aiesec.org/opportunities/1287708</v>
      </c>
      <c r="L210" s="43" t="str">
        <f>IFERROR(__xludf.DUMMYFUNCTION("""COMPUTED_VALUE"""),"GTa")</f>
        <v>GTa</v>
      </c>
      <c r="M210" s="43" t="str">
        <f>IFERROR(__xludf.DUMMYFUNCTION("""COMPUTED_VALUE"""),"long")</f>
        <v>long</v>
      </c>
      <c r="N210" s="45">
        <f>IFERROR(__xludf.DUMMYFUNCTION("""COMPUTED_VALUE"""),45113.0)</f>
        <v>45113</v>
      </c>
      <c r="O210" s="45">
        <f>IFERROR(__xludf.DUMMYFUNCTION("""COMPUTED_VALUE"""),45137.0)</f>
        <v>45137</v>
      </c>
      <c r="P210" s="45">
        <f>IFERROR(__xludf.DUMMYFUNCTION("""COMPUTED_VALUE"""),45495.0)</f>
        <v>45495</v>
      </c>
      <c r="Q210" s="45">
        <f>IFERROR(__xludf.DUMMYFUNCTION("""COMPUTED_VALUE"""),45153.0)</f>
        <v>45153</v>
      </c>
      <c r="R210" s="45">
        <f>IFERROR(__xludf.DUMMYFUNCTION("""COMPUTED_VALUE"""),45518.0)</f>
        <v>45518</v>
      </c>
      <c r="S210" s="43"/>
      <c r="T210" s="43" t="str">
        <f>IFERROR(__xludf.DUMMYFUNCTION("""COMPUTED_VALUE"""),"Marketing")</f>
        <v>Marketing</v>
      </c>
      <c r="U210" s="43" t="str">
        <f>IFERROR(__xludf.DUMMYFUNCTION("""COMPUTED_VALUE"""),"Telesales Specialist")</f>
        <v>Telesales Specialist</v>
      </c>
      <c r="V210" s="43" t="str">
        <f>IFERROR(__xludf.DUMMYFUNCTION("""COMPUTED_VALUE"""),"-")</f>
        <v>-</v>
      </c>
      <c r="W210" s="43" t="str">
        <f>IFERROR(__xludf.DUMMYFUNCTION("""COMPUTED_VALUE"""),"2023-06-30T19:15:23Z")</f>
        <v>2023-06-30T19:15:23Z</v>
      </c>
      <c r="X210" s="43"/>
      <c r="Y210" s="43"/>
      <c r="Z210" s="43"/>
    </row>
    <row r="211" hidden="1">
      <c r="A211" s="43" t="str">
        <f>IFERROR(__xludf.DUMMYFUNCTION("""COMPUTED_VALUE"""),"5261666_1295795")</f>
        <v>5261666_1295795</v>
      </c>
      <c r="B211" s="43" t="str">
        <f>IFERROR(__xludf.DUMMYFUNCTION("""COMPUTED_VALUE"""),"Caroline Ribeiro Santos")</f>
        <v>Caroline Ribeiro Santos</v>
      </c>
      <c r="C211" s="43" t="str">
        <f>IFERROR(__xludf.DUMMYFUNCTION("""COMPUTED_VALUE"""),"realized")</f>
        <v>realized</v>
      </c>
      <c r="D211" s="43" t="str">
        <f>IFERROR(__xludf.DUMMYFUNCTION("""COMPUTED_VALUE"""),"No")</f>
        <v>No</v>
      </c>
      <c r="E211" s="43" t="str">
        <f>IFERROR(__xludf.DUMMYFUNCTION("""COMPUTED_VALUE"""),"p_a1fe0698f0625f974b003511bccd42e794873975@inbound.aiesec.org")</f>
        <v>p_a1fe0698f0625f974b003511bccd42e794873975@inbound.aiesec.org</v>
      </c>
      <c r="F211" s="43">
        <f>IFERROR(__xludf.DUMMYFUNCTION("""COMPUTED_VALUE"""),1.6996089625E10)</f>
        <v>16996089625</v>
      </c>
      <c r="G211" s="43" t="str">
        <f>IFERROR(__xludf.DUMMYFUNCTION("""COMPUTED_VALUE"""),"Brazil")</f>
        <v>Brazil</v>
      </c>
      <c r="H211" s="43" t="str">
        <f>IFERROR(__xludf.DUMMYFUNCTION("""COMPUTED_VALUE"""),"FRANCA")</f>
        <v>FRANCA</v>
      </c>
      <c r="I211" s="43" t="str">
        <f>IFERROR(__xludf.DUMMYFUNCTION("""COMPUTED_VALUE"""),"Turkey")</f>
        <v>Turkey</v>
      </c>
      <c r="J211" s="43" t="str">
        <f>IFERROR(__xludf.DUMMYFUNCTION("""COMPUTED_VALUE"""),"KONYA")</f>
        <v>KONYA</v>
      </c>
      <c r="K211" s="44" t="str">
        <f>IFERROR(__xludf.DUMMYFUNCTION("""COMPUTED_VALUE"""),"https://expa.aiesec.org/opportunities/1295795")</f>
        <v>https://expa.aiesec.org/opportunities/1295795</v>
      </c>
      <c r="L211" s="43" t="str">
        <f>IFERROR(__xludf.DUMMYFUNCTION("""COMPUTED_VALUE"""),"GTa")</f>
        <v>GTa</v>
      </c>
      <c r="M211" s="43" t="str">
        <f>IFERROR(__xludf.DUMMYFUNCTION("""COMPUTED_VALUE"""),"long")</f>
        <v>long</v>
      </c>
      <c r="N211" s="45">
        <f>IFERROR(__xludf.DUMMYFUNCTION("""COMPUTED_VALUE"""),45113.0)</f>
        <v>45113</v>
      </c>
      <c r="O211" s="45">
        <f>IFERROR(__xludf.DUMMYFUNCTION("""COMPUTED_VALUE"""),45139.0)</f>
        <v>45139</v>
      </c>
      <c r="P211" s="45">
        <f>IFERROR(__xludf.DUMMYFUNCTION("""COMPUTED_VALUE"""),45505.0)</f>
        <v>45505</v>
      </c>
      <c r="Q211" s="45">
        <f>IFERROR(__xludf.DUMMYFUNCTION("""COMPUTED_VALUE"""),45188.0)</f>
        <v>45188</v>
      </c>
      <c r="R211" s="45">
        <f>IFERROR(__xludf.DUMMYFUNCTION("""COMPUTED_VALUE"""),45554.0)</f>
        <v>45554</v>
      </c>
      <c r="S211" s="43"/>
      <c r="T211" s="43" t="str">
        <f>IFERROR(__xludf.DUMMYFUNCTION("""COMPUTED_VALUE"""),"Business Development")</f>
        <v>Business Development</v>
      </c>
      <c r="U211" s="43" t="str">
        <f>IFERROR(__xludf.DUMMYFUNCTION("""COMPUTED_VALUE"""),"Export Specialist")</f>
        <v>Export Specialist</v>
      </c>
      <c r="V211" s="43" t="str">
        <f>IFERROR(__xludf.DUMMYFUNCTION("""COMPUTED_VALUE"""),"Bauru")</f>
        <v>Bauru</v>
      </c>
      <c r="W211" s="43" t="str">
        <f>IFERROR(__xludf.DUMMYFUNCTION("""COMPUTED_VALUE"""),"2023-05-16T01:08:39Z")</f>
        <v>2023-05-16T01:08:39Z</v>
      </c>
      <c r="X211" s="43"/>
      <c r="Y211" s="43"/>
      <c r="Z211" s="43"/>
    </row>
    <row r="212" hidden="1">
      <c r="A212" s="43" t="str">
        <f>IFERROR(__xludf.DUMMYFUNCTION("""COMPUTED_VALUE"""),"5283221_1290469")</f>
        <v>5283221_1290469</v>
      </c>
      <c r="B212" s="43" t="str">
        <f>IFERROR(__xludf.DUMMYFUNCTION("""COMPUTED_VALUE"""),"Ana Martinez")</f>
        <v>Ana Martinez</v>
      </c>
      <c r="C212" s="43" t="str">
        <f>IFERROR(__xludf.DUMMYFUNCTION("""COMPUTED_VALUE"""),"realized")</f>
        <v>realized</v>
      </c>
      <c r="D212" s="43" t="str">
        <f>IFERROR(__xludf.DUMMYFUNCTION("""COMPUTED_VALUE"""),"No")</f>
        <v>No</v>
      </c>
      <c r="E212" s="43" t="str">
        <f>IFERROR(__xludf.DUMMYFUNCTION("""COMPUTED_VALUE"""),"p_a09d11ce959b04e09407e87b1a745a19848e3661@inbound.aiesec.org")</f>
        <v>p_a09d11ce959b04e09407e87b1a745a19848e3661@inbound.aiesec.org</v>
      </c>
      <c r="F212" s="43"/>
      <c r="G212" s="43" t="str">
        <f>IFERROR(__xludf.DUMMYFUNCTION("""COMPUTED_VALUE"""),"Colombia")</f>
        <v>Colombia</v>
      </c>
      <c r="H212" s="43" t="str">
        <f>IFERROR(__xludf.DUMMYFUNCTION("""COMPUTED_VALUE"""),"EXTERNADO")</f>
        <v>EXTERNADO</v>
      </c>
      <c r="I212" s="43" t="str">
        <f>IFERROR(__xludf.DUMMYFUNCTION("""COMPUTED_VALUE"""),"Turkey")</f>
        <v>Turkey</v>
      </c>
      <c r="J212" s="43" t="str">
        <f>IFERROR(__xludf.DUMMYFUNCTION("""COMPUTED_VALUE"""),"KOCAELI")</f>
        <v>KOCAELI</v>
      </c>
      <c r="K212" s="44" t="str">
        <f>IFERROR(__xludf.DUMMYFUNCTION("""COMPUTED_VALUE"""),"https://expa.aiesec.org/opportunities/1290469")</f>
        <v>https://expa.aiesec.org/opportunities/1290469</v>
      </c>
      <c r="L212" s="43" t="str">
        <f>IFERROR(__xludf.DUMMYFUNCTION("""COMPUTED_VALUE"""),"GTa")</f>
        <v>GTa</v>
      </c>
      <c r="M212" s="43" t="str">
        <f>IFERROR(__xludf.DUMMYFUNCTION("""COMPUTED_VALUE"""),"long")</f>
        <v>long</v>
      </c>
      <c r="N212" s="45">
        <f>IFERROR(__xludf.DUMMYFUNCTION("""COMPUTED_VALUE"""),45118.0)</f>
        <v>45118</v>
      </c>
      <c r="O212" s="45">
        <f>IFERROR(__xludf.DUMMYFUNCTION("""COMPUTED_VALUE"""),45180.0)</f>
        <v>45180</v>
      </c>
      <c r="P212" s="45">
        <f>IFERROR(__xludf.DUMMYFUNCTION("""COMPUTED_VALUE"""),45546.0)</f>
        <v>45546</v>
      </c>
      <c r="Q212" s="45">
        <f>IFERROR(__xludf.DUMMYFUNCTION("""COMPUTED_VALUE"""),45189.0)</f>
        <v>45189</v>
      </c>
      <c r="R212" s="45">
        <f>IFERROR(__xludf.DUMMYFUNCTION("""COMPUTED_VALUE"""),45555.0)</f>
        <v>45555</v>
      </c>
      <c r="S212" s="43"/>
      <c r="T212" s="43" t="str">
        <f>IFERROR(__xludf.DUMMYFUNCTION("""COMPUTED_VALUE"""),"Marketing")</f>
        <v>Marketing</v>
      </c>
      <c r="U212" s="43" t="str">
        <f>IFERROR(__xludf.DUMMYFUNCTION("""COMPUTED_VALUE"""),"Sales&amp;Marketing in TOKSEL Company")</f>
        <v>Sales&amp;Marketing in TOKSEL Company</v>
      </c>
      <c r="V212" s="43" t="str">
        <f>IFERROR(__xludf.DUMMYFUNCTION("""COMPUTED_VALUE"""),"-")</f>
        <v>-</v>
      </c>
      <c r="W212" s="43" t="str">
        <f>IFERROR(__xludf.DUMMYFUNCTION("""COMPUTED_VALUE"""),"2023-07-07T22:41:03Z")</f>
        <v>2023-07-07T22:41:03Z</v>
      </c>
      <c r="X212" s="43"/>
      <c r="Y212" s="43"/>
      <c r="Z212" s="43"/>
    </row>
    <row r="213" hidden="1">
      <c r="A213" s="43" t="str">
        <f>IFERROR(__xludf.DUMMYFUNCTION("""COMPUTED_VALUE"""),"5284119_1289255")</f>
        <v>5284119_1289255</v>
      </c>
      <c r="B213" s="43" t="str">
        <f>IFERROR(__xludf.DUMMYFUNCTION("""COMPUTED_VALUE"""),"Katia Ouazia")</f>
        <v>Katia Ouazia</v>
      </c>
      <c r="C213" s="43" t="str">
        <f>IFERROR(__xludf.DUMMYFUNCTION("""COMPUTED_VALUE"""),"realized")</f>
        <v>realized</v>
      </c>
      <c r="D213" s="43" t="str">
        <f>IFERROR(__xludf.DUMMYFUNCTION("""COMPUTED_VALUE"""),"No")</f>
        <v>No</v>
      </c>
      <c r="E213" s="43" t="str">
        <f>IFERROR(__xludf.DUMMYFUNCTION("""COMPUTED_VALUE"""),"p_bae07ca58d32c636ff5d0989ff9d2d2dc294b728@inbound.aiesec.org")</f>
        <v>p_bae07ca58d32c636ff5d0989ff9d2d2dc294b728@inbound.aiesec.org</v>
      </c>
      <c r="F213" s="43">
        <f>IFERROR(__xludf.DUMMYFUNCTION("""COMPUTED_VALUE"""),7.81396547E8)</f>
        <v>781396547</v>
      </c>
      <c r="G213" s="43" t="str">
        <f>IFERROR(__xludf.DUMMYFUNCTION("""COMPUTED_VALUE"""),"Algeria")</f>
        <v>Algeria</v>
      </c>
      <c r="H213" s="43" t="str">
        <f>IFERROR(__xludf.DUMMYFUNCTION("""COMPUTED_VALUE"""),"Babez")</f>
        <v>Babez</v>
      </c>
      <c r="I213" s="43" t="str">
        <f>IFERROR(__xludf.DUMMYFUNCTION("""COMPUTED_VALUE"""),"Turkey")</f>
        <v>Turkey</v>
      </c>
      <c r="J213" s="43" t="str">
        <f>IFERROR(__xludf.DUMMYFUNCTION("""COMPUTED_VALUE"""),"ISTANBUL")</f>
        <v>ISTANBUL</v>
      </c>
      <c r="K213" s="44" t="str">
        <f>IFERROR(__xludf.DUMMYFUNCTION("""COMPUTED_VALUE"""),"https://expa.aiesec.org/opportunities/1289255")</f>
        <v>https://expa.aiesec.org/opportunities/1289255</v>
      </c>
      <c r="L213" s="43" t="str">
        <f>IFERROR(__xludf.DUMMYFUNCTION("""COMPUTED_VALUE"""),"GTa")</f>
        <v>GTa</v>
      </c>
      <c r="M213" s="43" t="str">
        <f>IFERROR(__xludf.DUMMYFUNCTION("""COMPUTED_VALUE"""),"long")</f>
        <v>long</v>
      </c>
      <c r="N213" s="45">
        <f>IFERROR(__xludf.DUMMYFUNCTION("""COMPUTED_VALUE"""),45118.0)</f>
        <v>45118</v>
      </c>
      <c r="O213" s="45">
        <f>IFERROR(__xludf.DUMMYFUNCTION("""COMPUTED_VALUE"""),45180.0)</f>
        <v>45180</v>
      </c>
      <c r="P213" s="45">
        <f>IFERROR(__xludf.DUMMYFUNCTION("""COMPUTED_VALUE"""),45688.0)</f>
        <v>45688</v>
      </c>
      <c r="Q213" s="45">
        <f>IFERROR(__xludf.DUMMYFUNCTION("""COMPUTED_VALUE"""),45180.0)</f>
        <v>45180</v>
      </c>
      <c r="R213" s="45">
        <f>IFERROR(__xludf.DUMMYFUNCTION("""COMPUTED_VALUE"""),45688.0)</f>
        <v>45688</v>
      </c>
      <c r="S213" s="43"/>
      <c r="T213" s="43" t="str">
        <f>IFERROR(__xludf.DUMMYFUNCTION("""COMPUTED_VALUE"""),"Business Administration")</f>
        <v>Business Administration</v>
      </c>
      <c r="U213" s="43" t="str">
        <f>IFERROR(__xludf.DUMMYFUNCTION("""COMPUTED_VALUE"""),"Telesales Specialist in Istanbul (French Speaker)")</f>
        <v>Telesales Specialist in Istanbul (French Speaker)</v>
      </c>
      <c r="V213" s="43" t="str">
        <f>IFERROR(__xludf.DUMMYFUNCTION("""COMPUTED_VALUE"""),"AIESEC in Babez")</f>
        <v>AIESEC in Babez</v>
      </c>
      <c r="W213" s="43" t="str">
        <f>IFERROR(__xludf.DUMMYFUNCTION("""COMPUTED_VALUE"""),"2023-07-10T20:49:26Z")</f>
        <v>2023-07-10T20:49:26Z</v>
      </c>
      <c r="X213" s="43"/>
      <c r="Y213" s="43"/>
      <c r="Z213" s="43"/>
    </row>
    <row r="214" hidden="1">
      <c r="A214" s="43" t="str">
        <f>IFERROR(__xludf.DUMMYFUNCTION("""COMPUTED_VALUE"""),"1168987_1297126")</f>
        <v>1168987_1297126</v>
      </c>
      <c r="B214" s="43" t="str">
        <f>IFERROR(__xludf.DUMMYFUNCTION("""COMPUTED_VALUE"""),"Luiza Marina Reis Carvalho")</f>
        <v>Luiza Marina Reis Carvalho</v>
      </c>
      <c r="C214" s="43" t="str">
        <f>IFERROR(__xludf.DUMMYFUNCTION("""COMPUTED_VALUE"""),"realization_broken")</f>
        <v>realization_broken</v>
      </c>
      <c r="D214" s="43" t="str">
        <f>IFERROR(__xludf.DUMMYFUNCTION("""COMPUTED_VALUE"""),"No")</f>
        <v>No</v>
      </c>
      <c r="E214" s="43" t="str">
        <f>IFERROR(__xludf.DUMMYFUNCTION("""COMPUTED_VALUE"""),"p_44120f7cbdc6c15cb82a13ba9c8e3c0d2285510c@inbound.aiesec.org")</f>
        <v>p_44120f7cbdc6c15cb82a13ba9c8e3c0d2285510c@inbound.aiesec.org</v>
      </c>
      <c r="F214" s="43">
        <f>IFERROR(__xludf.DUMMYFUNCTION("""COMPUTED_VALUE"""),6.1992755445E10)</f>
        <v>61992755445</v>
      </c>
      <c r="G214" s="43" t="str">
        <f>IFERROR(__xludf.DUMMYFUNCTION("""COMPUTED_VALUE"""),"Brazil")</f>
        <v>Brazil</v>
      </c>
      <c r="H214" s="43" t="str">
        <f>IFERROR(__xludf.DUMMYFUNCTION("""COMPUTED_VALUE"""),"BRASÍLIA")</f>
        <v>BRASÍLIA</v>
      </c>
      <c r="I214" s="43" t="str">
        <f>IFERROR(__xludf.DUMMYFUNCTION("""COMPUTED_VALUE"""),"Turkey")</f>
        <v>Turkey</v>
      </c>
      <c r="J214" s="43" t="str">
        <f>IFERROR(__xludf.DUMMYFUNCTION("""COMPUTED_VALUE"""),"ISTANBUL WEST")</f>
        <v>ISTANBUL WEST</v>
      </c>
      <c r="K214" s="44" t="str">
        <f>IFERROR(__xludf.DUMMYFUNCTION("""COMPUTED_VALUE"""),"https://expa.aiesec.org/opportunities/1297126")</f>
        <v>https://expa.aiesec.org/opportunities/1297126</v>
      </c>
      <c r="L214" s="43" t="str">
        <f>IFERROR(__xludf.DUMMYFUNCTION("""COMPUTED_VALUE"""),"GTa")</f>
        <v>GTa</v>
      </c>
      <c r="M214" s="43" t="str">
        <f>IFERROR(__xludf.DUMMYFUNCTION("""COMPUTED_VALUE"""),"long")</f>
        <v>long</v>
      </c>
      <c r="N214" s="45">
        <f>IFERROR(__xludf.DUMMYFUNCTION("""COMPUTED_VALUE"""),45119.0)</f>
        <v>45119</v>
      </c>
      <c r="O214" s="45">
        <f>IFERROR(__xludf.DUMMYFUNCTION("""COMPUTED_VALUE"""),45132.0)</f>
        <v>45132</v>
      </c>
      <c r="P214" s="45">
        <f>IFERROR(__xludf.DUMMYFUNCTION("""COMPUTED_VALUE"""),45488.0)</f>
        <v>45488</v>
      </c>
      <c r="Q214" s="45"/>
      <c r="R214" s="45"/>
      <c r="S214" s="43"/>
      <c r="T214" s="43" t="str">
        <f>IFERROR(__xludf.DUMMYFUNCTION("""COMPUTED_VALUE"""),"Marketing")</f>
        <v>Marketing</v>
      </c>
      <c r="U214" s="43" t="str">
        <f>IFERROR(__xludf.DUMMYFUNCTION("""COMPUTED_VALUE"""),"Sales-Marketing Specialist")</f>
        <v>Sales-Marketing Specialist</v>
      </c>
      <c r="V214" s="43" t="str">
        <f>IFERROR(__xludf.DUMMYFUNCTION("""COMPUTED_VALUE"""),"-")</f>
        <v>-</v>
      </c>
      <c r="W214" s="43" t="str">
        <f>IFERROR(__xludf.DUMMYFUNCTION("""COMPUTED_VALUE"""),"2016-09-29T19:21:52Z")</f>
        <v>2016-09-29T19:21:52Z</v>
      </c>
      <c r="X214" s="43"/>
      <c r="Y214" s="43"/>
      <c r="Z214" s="43"/>
    </row>
    <row r="215" hidden="1">
      <c r="A215" s="43" t="str">
        <f>IFERROR(__xludf.DUMMYFUNCTION("""COMPUTED_VALUE"""),"956619_1294332")</f>
        <v>956619_1294332</v>
      </c>
      <c r="B215" s="43" t="str">
        <f>IFERROR(__xludf.DUMMYFUNCTION("""COMPUTED_VALUE"""),"Sara Hossam Yassin")</f>
        <v>Sara Hossam Yassin</v>
      </c>
      <c r="C215" s="43" t="str">
        <f>IFERROR(__xludf.DUMMYFUNCTION("""COMPUTED_VALUE"""),"approved")</f>
        <v>approved</v>
      </c>
      <c r="D215" s="43" t="str">
        <f>IFERROR(__xludf.DUMMYFUNCTION("""COMPUTED_VALUE"""),"No")</f>
        <v>No</v>
      </c>
      <c r="E215" s="43" t="str">
        <f>IFERROR(__xludf.DUMMYFUNCTION("""COMPUTED_VALUE"""),"p_2a7347fe1087c36311303d5ece84ab6d06c02a21@inbound.aiesec.org")</f>
        <v>p_2a7347fe1087c36311303d5ece84ab6d06c02a21@inbound.aiesec.org</v>
      </c>
      <c r="F215" s="43">
        <f>IFERROR(__xludf.DUMMYFUNCTION("""COMPUTED_VALUE"""),1.060757585E9)</f>
        <v>1060757585</v>
      </c>
      <c r="G215" s="43" t="str">
        <f>IFERROR(__xludf.DUMMYFUNCTION("""COMPUTED_VALUE"""),"Egypt")</f>
        <v>Egypt</v>
      </c>
      <c r="H215" s="43" t="str">
        <f>IFERROR(__xludf.DUMMYFUNCTION("""COMPUTED_VALUE"""),"Alexandria")</f>
        <v>Alexandria</v>
      </c>
      <c r="I215" s="43" t="str">
        <f>IFERROR(__xludf.DUMMYFUNCTION("""COMPUTED_VALUE"""),"Turkey")</f>
        <v>Turkey</v>
      </c>
      <c r="J215" s="43" t="str">
        <f>IFERROR(__xludf.DUMMYFUNCTION("""COMPUTED_VALUE"""),"ISTANBUL WEST")</f>
        <v>ISTANBUL WEST</v>
      </c>
      <c r="K215" s="44" t="str">
        <f>IFERROR(__xludf.DUMMYFUNCTION("""COMPUTED_VALUE"""),"https://expa.aiesec.org/opportunities/1294332")</f>
        <v>https://expa.aiesec.org/opportunities/1294332</v>
      </c>
      <c r="L215" s="43" t="str">
        <f>IFERROR(__xludf.DUMMYFUNCTION("""COMPUTED_VALUE"""),"GTa")</f>
        <v>GTa</v>
      </c>
      <c r="M215" s="43" t="str">
        <f>IFERROR(__xludf.DUMMYFUNCTION("""COMPUTED_VALUE"""),"long")</f>
        <v>long</v>
      </c>
      <c r="N215" s="45">
        <f>IFERROR(__xludf.DUMMYFUNCTION("""COMPUTED_VALUE"""),45120.0)</f>
        <v>45120</v>
      </c>
      <c r="O215" s="45">
        <f>IFERROR(__xludf.DUMMYFUNCTION("""COMPUTED_VALUE"""),45153.0)</f>
        <v>45153</v>
      </c>
      <c r="P215" s="45">
        <f>IFERROR(__xludf.DUMMYFUNCTION("""COMPUTED_VALUE"""),45517.0)</f>
        <v>45517</v>
      </c>
      <c r="Q215" s="45"/>
      <c r="R215" s="45"/>
      <c r="S215" s="43"/>
      <c r="T215" s="43" t="str">
        <f>IFERROR(__xludf.DUMMYFUNCTION("""COMPUTED_VALUE"""),"Business Administration")</f>
        <v>Business Administration</v>
      </c>
      <c r="U215" s="43" t="str">
        <f>IFERROR(__xludf.DUMMYFUNCTION("""COMPUTED_VALUE"""),"Sales Consultant ( Customer Service )")</f>
        <v>Sales Consultant ( Customer Service )</v>
      </c>
      <c r="V215" s="43" t="str">
        <f>IFERROR(__xludf.DUMMYFUNCTION("""COMPUTED_VALUE"""),"-")</f>
        <v>-</v>
      </c>
      <c r="W215" s="43" t="str">
        <f>IFERROR(__xludf.DUMMYFUNCTION("""COMPUTED_VALUE"""),"2016-04-04T13:05:37Z")</f>
        <v>2016-04-04T13:05:37Z</v>
      </c>
      <c r="X215" s="43"/>
      <c r="Y215" s="43"/>
      <c r="Z215" s="43"/>
    </row>
    <row r="216" hidden="1">
      <c r="A216" s="43" t="str">
        <f>IFERROR(__xludf.DUMMYFUNCTION("""COMPUTED_VALUE"""),"5272440_1294332")</f>
        <v>5272440_1294332</v>
      </c>
      <c r="B216" s="43" t="str">
        <f>IFERROR(__xludf.DUMMYFUNCTION("""COMPUTED_VALUE"""),"Sahar En-Najimi")</f>
        <v>Sahar En-Najimi</v>
      </c>
      <c r="C216" s="43" t="str">
        <f>IFERROR(__xludf.DUMMYFUNCTION("""COMPUTED_VALUE"""),"approved")</f>
        <v>approved</v>
      </c>
      <c r="D216" s="43" t="str">
        <f>IFERROR(__xludf.DUMMYFUNCTION("""COMPUTED_VALUE"""),"No")</f>
        <v>No</v>
      </c>
      <c r="E216" s="43" t="str">
        <f>IFERROR(__xludf.DUMMYFUNCTION("""COMPUTED_VALUE"""),"p_79c3033d8b93411ee43a7fbb89ad1e5c7dad117d@inbound.aiesec.org")</f>
        <v>p_79c3033d8b93411ee43a7fbb89ad1e5c7dad117d@inbound.aiesec.org</v>
      </c>
      <c r="F216" s="43">
        <f>IFERROR(__xludf.DUMMYFUNCTION("""COMPUTED_VALUE"""),6.82629902E8)</f>
        <v>682629902</v>
      </c>
      <c r="G216" s="43" t="str">
        <f>IFERROR(__xludf.DUMMYFUNCTION("""COMPUTED_VALUE"""),"Morocco")</f>
        <v>Morocco</v>
      </c>
      <c r="H216" s="43" t="str">
        <f>IFERROR(__xludf.DUMMYFUNCTION("""COMPUTED_VALUE"""),"Agadir")</f>
        <v>Agadir</v>
      </c>
      <c r="I216" s="43" t="str">
        <f>IFERROR(__xludf.DUMMYFUNCTION("""COMPUTED_VALUE"""),"Turkey")</f>
        <v>Turkey</v>
      </c>
      <c r="J216" s="43" t="str">
        <f>IFERROR(__xludf.DUMMYFUNCTION("""COMPUTED_VALUE"""),"ISTANBUL WEST")</f>
        <v>ISTANBUL WEST</v>
      </c>
      <c r="K216" s="44" t="str">
        <f>IFERROR(__xludf.DUMMYFUNCTION("""COMPUTED_VALUE"""),"https://expa.aiesec.org/opportunities/1294332")</f>
        <v>https://expa.aiesec.org/opportunities/1294332</v>
      </c>
      <c r="L216" s="43" t="str">
        <f>IFERROR(__xludf.DUMMYFUNCTION("""COMPUTED_VALUE"""),"GTa")</f>
        <v>GTa</v>
      </c>
      <c r="M216" s="43" t="str">
        <f>IFERROR(__xludf.DUMMYFUNCTION("""COMPUTED_VALUE"""),"long")</f>
        <v>long</v>
      </c>
      <c r="N216" s="45">
        <f>IFERROR(__xludf.DUMMYFUNCTION("""COMPUTED_VALUE"""),45120.0)</f>
        <v>45120</v>
      </c>
      <c r="O216" s="45">
        <f>IFERROR(__xludf.DUMMYFUNCTION("""COMPUTED_VALUE"""),45153.0)</f>
        <v>45153</v>
      </c>
      <c r="P216" s="45">
        <f>IFERROR(__xludf.DUMMYFUNCTION("""COMPUTED_VALUE"""),45517.0)</f>
        <v>45517</v>
      </c>
      <c r="Q216" s="45"/>
      <c r="R216" s="45"/>
      <c r="S216" s="43"/>
      <c r="T216" s="43" t="str">
        <f>IFERROR(__xludf.DUMMYFUNCTION("""COMPUTED_VALUE"""),"Business Administration")</f>
        <v>Business Administration</v>
      </c>
      <c r="U216" s="43" t="str">
        <f>IFERROR(__xludf.DUMMYFUNCTION("""COMPUTED_VALUE"""),"Sales Consultant ( Customer Service )")</f>
        <v>Sales Consultant ( Customer Service )</v>
      </c>
      <c r="V216" s="43" t="str">
        <f>IFERROR(__xludf.DUMMYFUNCTION("""COMPUTED_VALUE"""),"FLSH Agadir")</f>
        <v>FLSH Agadir</v>
      </c>
      <c r="W216" s="43" t="str">
        <f>IFERROR(__xludf.DUMMYFUNCTION("""COMPUTED_VALUE"""),"2023-06-07T12:41:58Z")</f>
        <v>2023-06-07T12:41:58Z</v>
      </c>
      <c r="X216" s="43"/>
      <c r="Y216" s="43"/>
      <c r="Z216" s="43"/>
    </row>
    <row r="217" hidden="1">
      <c r="A217" s="43" t="str">
        <f>IFERROR(__xludf.DUMMYFUNCTION("""COMPUTED_VALUE"""),"5171484_1294332")</f>
        <v>5171484_1294332</v>
      </c>
      <c r="B217" s="43" t="str">
        <f>IFERROR(__xludf.DUMMYFUNCTION("""COMPUTED_VALUE"""),"Badry Abdeltawab")</f>
        <v>Badry Abdeltawab</v>
      </c>
      <c r="C217" s="43" t="str">
        <f>IFERROR(__xludf.DUMMYFUNCTION("""COMPUTED_VALUE"""),"approved")</f>
        <v>approved</v>
      </c>
      <c r="D217" s="43" t="str">
        <f>IFERROR(__xludf.DUMMYFUNCTION("""COMPUTED_VALUE"""),"No")</f>
        <v>No</v>
      </c>
      <c r="E217" s="43" t="str">
        <f>IFERROR(__xludf.DUMMYFUNCTION("""COMPUTED_VALUE"""),"p_1fb3db898e40b708ff5877c28e220536dbf40110@inbound.aiesec.org")</f>
        <v>p_1fb3db898e40b708ff5877c28e220536dbf40110@inbound.aiesec.org</v>
      </c>
      <c r="F217" s="43">
        <f>IFERROR(__xludf.DUMMYFUNCTION("""COMPUTED_VALUE"""),1.114292043E9)</f>
        <v>1114292043</v>
      </c>
      <c r="G217" s="43" t="str">
        <f>IFERROR(__xludf.DUMMYFUNCTION("""COMPUTED_VALUE"""),"Egypt")</f>
        <v>Egypt</v>
      </c>
      <c r="H217" s="43" t="str">
        <f>IFERROR(__xludf.DUMMYFUNCTION("""COMPUTED_VALUE"""),"Cairo University")</f>
        <v>Cairo University</v>
      </c>
      <c r="I217" s="43" t="str">
        <f>IFERROR(__xludf.DUMMYFUNCTION("""COMPUTED_VALUE"""),"Turkey")</f>
        <v>Turkey</v>
      </c>
      <c r="J217" s="43" t="str">
        <f>IFERROR(__xludf.DUMMYFUNCTION("""COMPUTED_VALUE"""),"ISTANBUL WEST")</f>
        <v>ISTANBUL WEST</v>
      </c>
      <c r="K217" s="44" t="str">
        <f>IFERROR(__xludf.DUMMYFUNCTION("""COMPUTED_VALUE"""),"https://expa.aiesec.org/opportunities/1294332")</f>
        <v>https://expa.aiesec.org/opportunities/1294332</v>
      </c>
      <c r="L217" s="43" t="str">
        <f>IFERROR(__xludf.DUMMYFUNCTION("""COMPUTED_VALUE"""),"GTa")</f>
        <v>GTa</v>
      </c>
      <c r="M217" s="43" t="str">
        <f>IFERROR(__xludf.DUMMYFUNCTION("""COMPUTED_VALUE"""),"long")</f>
        <v>long</v>
      </c>
      <c r="N217" s="45">
        <f>IFERROR(__xludf.DUMMYFUNCTION("""COMPUTED_VALUE"""),45120.0)</f>
        <v>45120</v>
      </c>
      <c r="O217" s="45">
        <f>IFERROR(__xludf.DUMMYFUNCTION("""COMPUTED_VALUE"""),45139.0)</f>
        <v>45139</v>
      </c>
      <c r="P217" s="45">
        <f>IFERROR(__xludf.DUMMYFUNCTION("""COMPUTED_VALUE"""),45504.0)</f>
        <v>45504</v>
      </c>
      <c r="Q217" s="45"/>
      <c r="R217" s="45"/>
      <c r="S217" s="43"/>
      <c r="T217" s="43" t="str">
        <f>IFERROR(__xludf.DUMMYFUNCTION("""COMPUTED_VALUE"""),"Business Administration")</f>
        <v>Business Administration</v>
      </c>
      <c r="U217" s="43" t="str">
        <f>IFERROR(__xludf.DUMMYFUNCTION("""COMPUTED_VALUE"""),"Sales Consultant ( Customer Service )")</f>
        <v>Sales Consultant ( Customer Service )</v>
      </c>
      <c r="V217" s="43" t="str">
        <f>IFERROR(__xludf.DUMMYFUNCTION("""COMPUTED_VALUE"""),"Cairo Univeristy")</f>
        <v>Cairo Univeristy</v>
      </c>
      <c r="W217" s="43" t="str">
        <f>IFERROR(__xludf.DUMMYFUNCTION("""COMPUTED_VALUE"""),"2022-12-29T21:55:02Z")</f>
        <v>2022-12-29T21:55:02Z</v>
      </c>
      <c r="X217" s="43"/>
      <c r="Y217" s="43"/>
      <c r="Z217" s="43"/>
    </row>
    <row r="218" hidden="1">
      <c r="A218" s="43" t="str">
        <f>IFERROR(__xludf.DUMMYFUNCTION("""COMPUTED_VALUE"""),"5275439_1287908")</f>
        <v>5275439_1287908</v>
      </c>
      <c r="B218" s="43" t="str">
        <f>IFERROR(__xludf.DUMMYFUNCTION("""COMPUTED_VALUE"""),"bassem nouar")</f>
        <v>bassem nouar</v>
      </c>
      <c r="C218" s="43" t="str">
        <f>IFERROR(__xludf.DUMMYFUNCTION("""COMPUTED_VALUE"""),"completed")</f>
        <v>completed</v>
      </c>
      <c r="D218" s="43" t="str">
        <f>IFERROR(__xludf.DUMMYFUNCTION("""COMPUTED_VALUE"""),"No")</f>
        <v>No</v>
      </c>
      <c r="E218" s="43" t="str">
        <f>IFERROR(__xludf.DUMMYFUNCTION("""COMPUTED_VALUE"""),"p_2d510e0afe9d9da4de29396d9b4c73f5a7c3ed07@inbound.aiesec.org")</f>
        <v>p_2d510e0afe9d9da4de29396d9b4c73f5a7c3ed07@inbound.aiesec.org</v>
      </c>
      <c r="F218" s="43"/>
      <c r="G218" s="43" t="str">
        <f>IFERROR(__xludf.DUMMYFUNCTION("""COMPUTED_VALUE"""),"Tunisia")</f>
        <v>Tunisia</v>
      </c>
      <c r="H218" s="43" t="str">
        <f>IFERROR(__xludf.DUMMYFUNCTION("""COMPUTED_VALUE"""),"HADRUMET")</f>
        <v>HADRUMET</v>
      </c>
      <c r="I218" s="43" t="str">
        <f>IFERROR(__xludf.DUMMYFUNCTION("""COMPUTED_VALUE"""),"Turkey")</f>
        <v>Turkey</v>
      </c>
      <c r="J218" s="43" t="str">
        <f>IFERROR(__xludf.DUMMYFUNCTION("""COMPUTED_VALUE"""),"SAKARYA")</f>
        <v>SAKARYA</v>
      </c>
      <c r="K218" s="44" t="str">
        <f>IFERROR(__xludf.DUMMYFUNCTION("""COMPUTED_VALUE"""),"https://expa.aiesec.org/opportunities/1287908")</f>
        <v>https://expa.aiesec.org/opportunities/1287908</v>
      </c>
      <c r="L218" s="43" t="str">
        <f>IFERROR(__xludf.DUMMYFUNCTION("""COMPUTED_VALUE"""),"GTa")</f>
        <v>GTa</v>
      </c>
      <c r="M218" s="43" t="str">
        <f>IFERROR(__xludf.DUMMYFUNCTION("""COMPUTED_VALUE"""),"short")</f>
        <v>short</v>
      </c>
      <c r="N218" s="45">
        <f>IFERROR(__xludf.DUMMYFUNCTION("""COMPUTED_VALUE"""),45122.0)</f>
        <v>45122</v>
      </c>
      <c r="O218" s="45">
        <f>IFERROR(__xludf.DUMMYFUNCTION("""COMPUTED_VALUE"""),45214.0)</f>
        <v>45214</v>
      </c>
      <c r="P218" s="45">
        <f>IFERROR(__xludf.DUMMYFUNCTION("""COMPUTED_VALUE"""),45297.0)</f>
        <v>45297</v>
      </c>
      <c r="Q218" s="45">
        <f>IFERROR(__xludf.DUMMYFUNCTION("""COMPUTED_VALUE"""),45229.0)</f>
        <v>45229</v>
      </c>
      <c r="R218" s="45">
        <f>IFERROR(__xludf.DUMMYFUNCTION("""COMPUTED_VALUE"""),45312.0)</f>
        <v>45312</v>
      </c>
      <c r="S218" s="43"/>
      <c r="T218" s="43" t="str">
        <f>IFERROR(__xludf.DUMMYFUNCTION("""COMPUTED_VALUE"""),"Marketing")</f>
        <v>Marketing</v>
      </c>
      <c r="U218" s="43" t="str">
        <f>IFERROR(__xludf.DUMMYFUNCTION("""COMPUTED_VALUE"""),"Marketer (Duplicated) (Duplicated)")</f>
        <v>Marketer (Duplicated) (Duplicated)</v>
      </c>
      <c r="V218" s="43" t="str">
        <f>IFERROR(__xludf.DUMMYFUNCTION("""COMPUTED_VALUE"""),"-")</f>
        <v>-</v>
      </c>
      <c r="W218" s="43" t="str">
        <f>IFERROR(__xludf.DUMMYFUNCTION("""COMPUTED_VALUE"""),"2023-06-14T23:11:35Z")</f>
        <v>2023-06-14T23:11:35Z</v>
      </c>
      <c r="X218" s="43"/>
      <c r="Y218" s="43"/>
      <c r="Z218" s="43"/>
    </row>
    <row r="219" hidden="1">
      <c r="A219" s="43" t="str">
        <f>IFERROR(__xludf.DUMMYFUNCTION("""COMPUTED_VALUE"""),"3774500_1296419")</f>
        <v>3774500_1296419</v>
      </c>
      <c r="B219" s="43" t="str">
        <f>IFERROR(__xludf.DUMMYFUNCTION("""COMPUTED_VALUE"""),"hanaa Abouzakri")</f>
        <v>hanaa Abouzakri</v>
      </c>
      <c r="C219" s="43" t="str">
        <f>IFERROR(__xludf.DUMMYFUNCTION("""COMPUTED_VALUE"""),"realized")</f>
        <v>realized</v>
      </c>
      <c r="D219" s="43" t="str">
        <f>IFERROR(__xludf.DUMMYFUNCTION("""COMPUTED_VALUE"""),"No")</f>
        <v>No</v>
      </c>
      <c r="E219" s="43" t="str">
        <f>IFERROR(__xludf.DUMMYFUNCTION("""COMPUTED_VALUE"""),"p_9dc5d9f827987eb56c869962c71b7804eff64230@inbound.aiesec.org")</f>
        <v>p_9dc5d9f827987eb56c869962c71b7804eff64230@inbound.aiesec.org</v>
      </c>
      <c r="F219" s="43">
        <f>IFERROR(__xludf.DUMMYFUNCTION("""COMPUTED_VALUE"""),6.63512191E8)</f>
        <v>663512191</v>
      </c>
      <c r="G219" s="43" t="str">
        <f>IFERROR(__xludf.DUMMYFUNCTION("""COMPUTED_VALUE"""),"Morocco")</f>
        <v>Morocco</v>
      </c>
      <c r="H219" s="43" t="str">
        <f>IFERROR(__xludf.DUMMYFUNCTION("""COMPUTED_VALUE"""),"Agadir")</f>
        <v>Agadir</v>
      </c>
      <c r="I219" s="43" t="str">
        <f>IFERROR(__xludf.DUMMYFUNCTION("""COMPUTED_VALUE"""),"Turkey")</f>
        <v>Turkey</v>
      </c>
      <c r="J219" s="43" t="str">
        <f>IFERROR(__xludf.DUMMYFUNCTION("""COMPUTED_VALUE"""),"ESKISEHIR")</f>
        <v>ESKISEHIR</v>
      </c>
      <c r="K219" s="44" t="str">
        <f>IFERROR(__xludf.DUMMYFUNCTION("""COMPUTED_VALUE"""),"https://expa.aiesec.org/opportunities/1296419")</f>
        <v>https://expa.aiesec.org/opportunities/1296419</v>
      </c>
      <c r="L219" s="43" t="str">
        <f>IFERROR(__xludf.DUMMYFUNCTION("""COMPUTED_VALUE"""),"GTa")</f>
        <v>GTa</v>
      </c>
      <c r="M219" s="43" t="str">
        <f>IFERROR(__xludf.DUMMYFUNCTION("""COMPUTED_VALUE"""),"long")</f>
        <v>long</v>
      </c>
      <c r="N219" s="45">
        <f>IFERROR(__xludf.DUMMYFUNCTION("""COMPUTED_VALUE"""),45124.0)</f>
        <v>45124</v>
      </c>
      <c r="O219" s="45">
        <f>IFERROR(__xludf.DUMMYFUNCTION("""COMPUTED_VALUE"""),45187.0)</f>
        <v>45187</v>
      </c>
      <c r="P219" s="45">
        <f>IFERROR(__xludf.DUMMYFUNCTION("""COMPUTED_VALUE"""),45552.0)</f>
        <v>45552</v>
      </c>
      <c r="Q219" s="45">
        <f>IFERROR(__xludf.DUMMYFUNCTION("""COMPUTED_VALUE"""),45184.0)</f>
        <v>45184</v>
      </c>
      <c r="R219" s="45">
        <f>IFERROR(__xludf.DUMMYFUNCTION("""COMPUTED_VALUE"""),45552.0)</f>
        <v>45552</v>
      </c>
      <c r="S219" s="43"/>
      <c r="T219" s="43" t="str">
        <f>IFERROR(__xludf.DUMMYFUNCTION("""COMPUTED_VALUE"""),"Business Development")</f>
        <v>Business Development</v>
      </c>
      <c r="U219" s="43" t="str">
        <f>IFERROR(__xludf.DUMMYFUNCTION("""COMPUTED_VALUE"""),"Account Management")</f>
        <v>Account Management</v>
      </c>
      <c r="V219" s="43" t="str">
        <f>IFERROR(__xludf.DUMMYFUNCTION("""COMPUTED_VALUE"""),"Other-AGADIR")</f>
        <v>Other-AGADIR</v>
      </c>
      <c r="W219" s="43" t="str">
        <f>IFERROR(__xludf.DUMMYFUNCTION("""COMPUTED_VALUE"""),"2019-08-17T18:44:39Z")</f>
        <v>2019-08-17T18:44:39Z</v>
      </c>
      <c r="X219" s="43"/>
      <c r="Y219" s="43"/>
      <c r="Z219" s="43"/>
    </row>
    <row r="220" hidden="1">
      <c r="A220" s="43" t="str">
        <f>IFERROR(__xludf.DUMMYFUNCTION("""COMPUTED_VALUE"""),"5232632_1296477")</f>
        <v>5232632_1296477</v>
      </c>
      <c r="B220" s="43" t="str">
        <f>IFERROR(__xludf.DUMMYFUNCTION("""COMPUTED_VALUE"""),"Muhammad Alam")</f>
        <v>Muhammad Alam</v>
      </c>
      <c r="C220" s="43" t="str">
        <f>IFERROR(__xludf.DUMMYFUNCTION("""COMPUTED_VALUE"""),"realized")</f>
        <v>realized</v>
      </c>
      <c r="D220" s="43" t="str">
        <f>IFERROR(__xludf.DUMMYFUNCTION("""COMPUTED_VALUE"""),"No")</f>
        <v>No</v>
      </c>
      <c r="E220" s="43" t="str">
        <f>IFERROR(__xludf.DUMMYFUNCTION("""COMPUTED_VALUE"""),"p_839614854a078d1fda24815276f3ef30ace5467f@inbound.aiesec.org")</f>
        <v>p_839614854a078d1fda24815276f3ef30ace5467f@inbound.aiesec.org</v>
      </c>
      <c r="F220" s="43">
        <f>IFERROR(__xludf.DUMMYFUNCTION("""COMPUTED_VALUE"""),3.00921762E9)</f>
        <v>3009217620</v>
      </c>
      <c r="G220" s="43" t="str">
        <f>IFERROR(__xludf.DUMMYFUNCTION("""COMPUTED_VALUE"""),"Pakistan")</f>
        <v>Pakistan</v>
      </c>
      <c r="H220" s="43" t="str">
        <f>IFERROR(__xludf.DUMMYFUNCTION("""COMPUTED_VALUE"""),"Karachi")</f>
        <v>Karachi</v>
      </c>
      <c r="I220" s="43" t="str">
        <f>IFERROR(__xludf.DUMMYFUNCTION("""COMPUTED_VALUE"""),"Turkey")</f>
        <v>Turkey</v>
      </c>
      <c r="J220" s="43" t="str">
        <f>IFERROR(__xludf.DUMMYFUNCTION("""COMPUTED_VALUE"""),"ISTANBUL WEST")</f>
        <v>ISTANBUL WEST</v>
      </c>
      <c r="K220" s="44" t="str">
        <f>IFERROR(__xludf.DUMMYFUNCTION("""COMPUTED_VALUE"""),"https://expa.aiesec.org/opportunities/1296477")</f>
        <v>https://expa.aiesec.org/opportunities/1296477</v>
      </c>
      <c r="L220" s="43" t="str">
        <f>IFERROR(__xludf.DUMMYFUNCTION("""COMPUTED_VALUE"""),"GTa")</f>
        <v>GTa</v>
      </c>
      <c r="M220" s="43" t="str">
        <f>IFERROR(__xludf.DUMMYFUNCTION("""COMPUTED_VALUE"""),"long")</f>
        <v>long</v>
      </c>
      <c r="N220" s="45">
        <f>IFERROR(__xludf.DUMMYFUNCTION("""COMPUTED_VALUE"""),45125.0)</f>
        <v>45125</v>
      </c>
      <c r="O220" s="45">
        <f>IFERROR(__xludf.DUMMYFUNCTION("""COMPUTED_VALUE"""),45117.0)</f>
        <v>45117</v>
      </c>
      <c r="P220" s="45">
        <f>IFERROR(__xludf.DUMMYFUNCTION("""COMPUTED_VALUE"""),45471.0)</f>
        <v>45471</v>
      </c>
      <c r="Q220" s="45">
        <f>IFERROR(__xludf.DUMMYFUNCTION("""COMPUTED_VALUE"""),45125.0)</f>
        <v>45125</v>
      </c>
      <c r="R220" s="45">
        <f>IFERROR(__xludf.DUMMYFUNCTION("""COMPUTED_VALUE"""),45481.0)</f>
        <v>45481</v>
      </c>
      <c r="S220" s="43"/>
      <c r="T220" s="43" t="str">
        <f>IFERROR(__xludf.DUMMYFUNCTION("""COMPUTED_VALUE"""),"Business Administration")</f>
        <v>Business Administration</v>
      </c>
      <c r="U220" s="43" t="str">
        <f>IFERROR(__xludf.DUMMYFUNCTION("""COMPUTED_VALUE"""),"Sales Consultant ( Customer Service)")</f>
        <v>Sales Consultant ( Customer Service)</v>
      </c>
      <c r="V220" s="43" t="str">
        <f>IFERROR(__xludf.DUMMYFUNCTION("""COMPUTED_VALUE"""),"Karachi - Textile Institute of Pakistan")</f>
        <v>Karachi - Textile Institute of Pakistan</v>
      </c>
      <c r="W220" s="43" t="str">
        <f>IFERROR(__xludf.DUMMYFUNCTION("""COMPUTED_VALUE"""),"2023-04-01T10:42:03Z")</f>
        <v>2023-04-01T10:42:03Z</v>
      </c>
      <c r="X220" s="43"/>
      <c r="Y220" s="43"/>
      <c r="Z220" s="43"/>
    </row>
    <row r="221" hidden="1">
      <c r="A221" s="43" t="str">
        <f>IFERROR(__xludf.DUMMYFUNCTION("""COMPUTED_VALUE"""),"5139172_1296317")</f>
        <v>5139172_1296317</v>
      </c>
      <c r="B221" s="43" t="str">
        <f>IFERROR(__xludf.DUMMYFUNCTION("""COMPUTED_VALUE"""),"Olfa Hammedi")</f>
        <v>Olfa Hammedi</v>
      </c>
      <c r="C221" s="43" t="str">
        <f>IFERROR(__xludf.DUMMYFUNCTION("""COMPUTED_VALUE"""),"realized")</f>
        <v>realized</v>
      </c>
      <c r="D221" s="43" t="str">
        <f>IFERROR(__xludf.DUMMYFUNCTION("""COMPUTED_VALUE"""),"No")</f>
        <v>No</v>
      </c>
      <c r="E221" s="43" t="str">
        <f>IFERROR(__xludf.DUMMYFUNCTION("""COMPUTED_VALUE"""),"p_f00feabc15b208cd543421cc089a476afe7942d1@inbound.aiesec.org")</f>
        <v>p_f00feabc15b208cd543421cc089a476afe7942d1@inbound.aiesec.org</v>
      </c>
      <c r="F221" s="43">
        <f>IFERROR(__xludf.DUMMYFUNCTION("""COMPUTED_VALUE"""),5.3595654E7)</f>
        <v>53595654</v>
      </c>
      <c r="G221" s="43" t="str">
        <f>IFERROR(__xludf.DUMMYFUNCTION("""COMPUTED_VALUE"""),"Tunisia")</f>
        <v>Tunisia</v>
      </c>
      <c r="H221" s="43" t="str">
        <f>IFERROR(__xludf.DUMMYFUNCTION("""COMPUTED_VALUE"""),"NABEL")</f>
        <v>NABEL</v>
      </c>
      <c r="I221" s="43" t="str">
        <f>IFERROR(__xludf.DUMMYFUNCTION("""COMPUTED_VALUE"""),"Turkey")</f>
        <v>Turkey</v>
      </c>
      <c r="J221" s="43" t="str">
        <f>IFERROR(__xludf.DUMMYFUNCTION("""COMPUTED_VALUE"""),"ESKISEHIR")</f>
        <v>ESKISEHIR</v>
      </c>
      <c r="K221" s="44" t="str">
        <f>IFERROR(__xludf.DUMMYFUNCTION("""COMPUTED_VALUE"""),"https://expa.aiesec.org/opportunities/1296317")</f>
        <v>https://expa.aiesec.org/opportunities/1296317</v>
      </c>
      <c r="L221" s="43" t="str">
        <f>IFERROR(__xludf.DUMMYFUNCTION("""COMPUTED_VALUE"""),"GTa")</f>
        <v>GTa</v>
      </c>
      <c r="M221" s="43" t="str">
        <f>IFERROR(__xludf.DUMMYFUNCTION("""COMPUTED_VALUE"""),"long")</f>
        <v>long</v>
      </c>
      <c r="N221" s="45">
        <f>IFERROR(__xludf.DUMMYFUNCTION("""COMPUTED_VALUE"""),45125.0)</f>
        <v>45125</v>
      </c>
      <c r="O221" s="45">
        <f>IFERROR(__xludf.DUMMYFUNCTION("""COMPUTED_VALUE"""),45187.0)</f>
        <v>45187</v>
      </c>
      <c r="P221" s="45">
        <f>IFERROR(__xludf.DUMMYFUNCTION("""COMPUTED_VALUE"""),45551.0)</f>
        <v>45551</v>
      </c>
      <c r="Q221" s="45">
        <f>IFERROR(__xludf.DUMMYFUNCTION("""COMPUTED_VALUE"""),45184.0)</f>
        <v>45184</v>
      </c>
      <c r="R221" s="45">
        <f>IFERROR(__xludf.DUMMYFUNCTION("""COMPUTED_VALUE"""),45551.0)</f>
        <v>45551</v>
      </c>
      <c r="S221" s="43"/>
      <c r="T221" s="43" t="str">
        <f>IFERROR(__xludf.DUMMYFUNCTION("""COMPUTED_VALUE"""),"Engineering")</f>
        <v>Engineering</v>
      </c>
      <c r="U221" s="43" t="str">
        <f>IFERROR(__xludf.DUMMYFUNCTION("""COMPUTED_VALUE"""),"Mechanical Engineering")</f>
        <v>Mechanical Engineering</v>
      </c>
      <c r="V221" s="43" t="str">
        <f>IFERROR(__xludf.DUMMYFUNCTION("""COMPUTED_VALUE"""),"ISET Nabel")</f>
        <v>ISET Nabel</v>
      </c>
      <c r="W221" s="43" t="str">
        <f>IFERROR(__xludf.DUMMYFUNCTION("""COMPUTED_VALUE"""),"2022-10-23T22:05:43Z")</f>
        <v>2022-10-23T22:05:43Z</v>
      </c>
      <c r="X221" s="43"/>
      <c r="Y221" s="43"/>
      <c r="Z221" s="43"/>
    </row>
    <row r="222" hidden="1">
      <c r="A222" s="43" t="str">
        <f>IFERROR(__xludf.DUMMYFUNCTION("""COMPUTED_VALUE"""),"5145219_1296427")</f>
        <v>5145219_1296427</v>
      </c>
      <c r="B222" s="43" t="str">
        <f>IFERROR(__xludf.DUMMYFUNCTION("""COMPUTED_VALUE"""),"Aicha Dahmen")</f>
        <v>Aicha Dahmen</v>
      </c>
      <c r="C222" s="43" t="str">
        <f>IFERROR(__xludf.DUMMYFUNCTION("""COMPUTED_VALUE"""),"approved")</f>
        <v>approved</v>
      </c>
      <c r="D222" s="43" t="str">
        <f>IFERROR(__xludf.DUMMYFUNCTION("""COMPUTED_VALUE"""),"No")</f>
        <v>No</v>
      </c>
      <c r="E222" s="43" t="str">
        <f>IFERROR(__xludf.DUMMYFUNCTION("""COMPUTED_VALUE"""),"p_c78d613a9a022881339b7669f5e8ed2d5260e020@inbound.aiesec.org")</f>
        <v>p_c78d613a9a022881339b7669f5e8ed2d5260e020@inbound.aiesec.org</v>
      </c>
      <c r="F222" s="43">
        <f>IFERROR(__xludf.DUMMYFUNCTION("""COMPUTED_VALUE"""),5.0703602E7)</f>
        <v>50703602</v>
      </c>
      <c r="G222" s="43" t="str">
        <f>IFERROR(__xludf.DUMMYFUNCTION("""COMPUTED_VALUE"""),"Tunisia")</f>
        <v>Tunisia</v>
      </c>
      <c r="H222" s="43" t="str">
        <f>IFERROR(__xludf.DUMMYFUNCTION("""COMPUTED_VALUE"""),"HADRUMET")</f>
        <v>HADRUMET</v>
      </c>
      <c r="I222" s="43" t="str">
        <f>IFERROR(__xludf.DUMMYFUNCTION("""COMPUTED_VALUE"""),"Turkey")</f>
        <v>Turkey</v>
      </c>
      <c r="J222" s="43" t="str">
        <f>IFERROR(__xludf.DUMMYFUNCTION("""COMPUTED_VALUE"""),"ANTALYA")</f>
        <v>ANTALYA</v>
      </c>
      <c r="K222" s="44" t="str">
        <f>IFERROR(__xludf.DUMMYFUNCTION("""COMPUTED_VALUE"""),"https://expa.aiesec.org/opportunities/1296427")</f>
        <v>https://expa.aiesec.org/opportunities/1296427</v>
      </c>
      <c r="L222" s="43" t="str">
        <f>IFERROR(__xludf.DUMMYFUNCTION("""COMPUTED_VALUE"""),"GTa")</f>
        <v>GTa</v>
      </c>
      <c r="M222" s="43" t="str">
        <f>IFERROR(__xludf.DUMMYFUNCTION("""COMPUTED_VALUE"""),"long")</f>
        <v>long</v>
      </c>
      <c r="N222" s="45">
        <f>IFERROR(__xludf.DUMMYFUNCTION("""COMPUTED_VALUE"""),45127.0)</f>
        <v>45127</v>
      </c>
      <c r="O222" s="45">
        <f>IFERROR(__xludf.DUMMYFUNCTION("""COMPUTED_VALUE"""),45170.0)</f>
        <v>45170</v>
      </c>
      <c r="P222" s="45">
        <f>IFERROR(__xludf.DUMMYFUNCTION("""COMPUTED_VALUE"""),45536.0)</f>
        <v>45536</v>
      </c>
      <c r="Q222" s="45"/>
      <c r="R222" s="45"/>
      <c r="S222" s="43"/>
      <c r="T222" s="43" t="str">
        <f>IFERROR(__xludf.DUMMYFUNCTION("""COMPUTED_VALUE"""),"Business Development")</f>
        <v>Business Development</v>
      </c>
      <c r="U222" s="43" t="str">
        <f>IFERROR(__xludf.DUMMYFUNCTION("""COMPUTED_VALUE"""),"Business Development and Sales Manager")</f>
        <v>Business Development and Sales Manager</v>
      </c>
      <c r="V222" s="43" t="str">
        <f>IFERROR(__xludf.DUMMYFUNCTION("""COMPUTED_VALUE"""),"ISBAS")</f>
        <v>ISBAS</v>
      </c>
      <c r="W222" s="43" t="str">
        <f>IFERROR(__xludf.DUMMYFUNCTION("""COMPUTED_VALUE"""),"2022-11-02T16:04:52Z")</f>
        <v>2022-11-02T16:04:52Z</v>
      </c>
      <c r="X222" s="43"/>
      <c r="Y222" s="43"/>
      <c r="Z222" s="43"/>
    </row>
    <row r="223" hidden="1">
      <c r="A223" s="43" t="str">
        <f>IFERROR(__xludf.DUMMYFUNCTION("""COMPUTED_VALUE"""),"5162364_1294332")</f>
        <v>5162364_1294332</v>
      </c>
      <c r="B223" s="43" t="str">
        <f>IFERROR(__xludf.DUMMYFUNCTION("""COMPUTED_VALUE"""),"Amira Abdulnasser")</f>
        <v>Amira Abdulnasser</v>
      </c>
      <c r="C223" s="43" t="str">
        <f>IFERROR(__xludf.DUMMYFUNCTION("""COMPUTED_VALUE"""),"approved")</f>
        <v>approved</v>
      </c>
      <c r="D223" s="43" t="str">
        <f>IFERROR(__xludf.DUMMYFUNCTION("""COMPUTED_VALUE"""),"No")</f>
        <v>No</v>
      </c>
      <c r="E223" s="43" t="str">
        <f>IFERROR(__xludf.DUMMYFUNCTION("""COMPUTED_VALUE"""),"p_5f078bfbd09d2687c87fd3115cb05f1d2218bcfe@inbound.aiesec.org")</f>
        <v>p_5f078bfbd09d2687c87fd3115cb05f1d2218bcfe@inbound.aiesec.org</v>
      </c>
      <c r="F223" s="43">
        <f>IFERROR(__xludf.DUMMYFUNCTION("""COMPUTED_VALUE"""),1.28254275E9)</f>
        <v>1282542750</v>
      </c>
      <c r="G223" s="43" t="str">
        <f>IFERROR(__xludf.DUMMYFUNCTION("""COMPUTED_VALUE"""),"Egypt")</f>
        <v>Egypt</v>
      </c>
      <c r="H223" s="43" t="str">
        <f>IFERROR(__xludf.DUMMYFUNCTION("""COMPUTED_VALUE"""),"Alexandria")</f>
        <v>Alexandria</v>
      </c>
      <c r="I223" s="43" t="str">
        <f>IFERROR(__xludf.DUMMYFUNCTION("""COMPUTED_VALUE"""),"Turkey")</f>
        <v>Turkey</v>
      </c>
      <c r="J223" s="43" t="str">
        <f>IFERROR(__xludf.DUMMYFUNCTION("""COMPUTED_VALUE"""),"ISTANBUL WEST")</f>
        <v>ISTANBUL WEST</v>
      </c>
      <c r="K223" s="44" t="str">
        <f>IFERROR(__xludf.DUMMYFUNCTION("""COMPUTED_VALUE"""),"https://expa.aiesec.org/opportunities/1294332")</f>
        <v>https://expa.aiesec.org/opportunities/1294332</v>
      </c>
      <c r="L223" s="43" t="str">
        <f>IFERROR(__xludf.DUMMYFUNCTION("""COMPUTED_VALUE"""),"GTa")</f>
        <v>GTa</v>
      </c>
      <c r="M223" s="43" t="str">
        <f>IFERROR(__xludf.DUMMYFUNCTION("""COMPUTED_VALUE"""),"long")</f>
        <v>long</v>
      </c>
      <c r="N223" s="45">
        <f>IFERROR(__xludf.DUMMYFUNCTION("""COMPUTED_VALUE"""),45128.0)</f>
        <v>45128</v>
      </c>
      <c r="O223" s="45">
        <f>IFERROR(__xludf.DUMMYFUNCTION("""COMPUTED_VALUE"""),45184.0)</f>
        <v>45184</v>
      </c>
      <c r="P223" s="45">
        <f>IFERROR(__xludf.DUMMYFUNCTION("""COMPUTED_VALUE"""),45548.0)</f>
        <v>45548</v>
      </c>
      <c r="Q223" s="45"/>
      <c r="R223" s="45"/>
      <c r="S223" s="43"/>
      <c r="T223" s="43" t="str">
        <f>IFERROR(__xludf.DUMMYFUNCTION("""COMPUTED_VALUE"""),"Business Administration")</f>
        <v>Business Administration</v>
      </c>
      <c r="U223" s="43" t="str">
        <f>IFERROR(__xludf.DUMMYFUNCTION("""COMPUTED_VALUE"""),"Sales Consultant ( Customer Service )")</f>
        <v>Sales Consultant ( Customer Service )</v>
      </c>
      <c r="V223" s="43" t="str">
        <f>IFERROR(__xludf.DUMMYFUNCTION("""COMPUTED_VALUE"""),"Alexandria University")</f>
        <v>Alexandria University</v>
      </c>
      <c r="W223" s="43" t="str">
        <f>IFERROR(__xludf.DUMMYFUNCTION("""COMPUTED_VALUE"""),"2022-12-03T23:36:33Z")</f>
        <v>2022-12-03T23:36:33Z</v>
      </c>
      <c r="X223" s="43"/>
      <c r="Y223" s="43"/>
      <c r="Z223" s="43"/>
    </row>
    <row r="224" hidden="1">
      <c r="A224" s="43" t="str">
        <f>IFERROR(__xludf.DUMMYFUNCTION("""COMPUTED_VALUE"""),"5165158_1294332")</f>
        <v>5165158_1294332</v>
      </c>
      <c r="B224" s="43" t="str">
        <f>IFERROR(__xludf.DUMMYFUNCTION("""COMPUTED_VALUE"""),"Mariam Ibrahim")</f>
        <v>Mariam Ibrahim</v>
      </c>
      <c r="C224" s="43" t="str">
        <f>IFERROR(__xludf.DUMMYFUNCTION("""COMPUTED_VALUE"""),"realized")</f>
        <v>realized</v>
      </c>
      <c r="D224" s="43" t="str">
        <f>IFERROR(__xludf.DUMMYFUNCTION("""COMPUTED_VALUE"""),"No")</f>
        <v>No</v>
      </c>
      <c r="E224" s="43" t="str">
        <f>IFERROR(__xludf.DUMMYFUNCTION("""COMPUTED_VALUE"""),"p_25f3d458ad342dfa6e57eaffea19c04ba59e6b0f@inbound.aiesec.org")</f>
        <v>p_25f3d458ad342dfa6e57eaffea19c04ba59e6b0f@inbound.aiesec.org</v>
      </c>
      <c r="F224" s="43">
        <f>IFERROR(__xludf.DUMMYFUNCTION("""COMPUTED_VALUE"""),1.220527299E9)</f>
        <v>1220527299</v>
      </c>
      <c r="G224" s="43" t="str">
        <f>IFERROR(__xludf.DUMMYFUNCTION("""COMPUTED_VALUE"""),"Egypt")</f>
        <v>Egypt</v>
      </c>
      <c r="H224" s="43" t="str">
        <f>IFERROR(__xludf.DUMMYFUNCTION("""COMPUTED_VALUE"""),"Alexandria")</f>
        <v>Alexandria</v>
      </c>
      <c r="I224" s="43" t="str">
        <f>IFERROR(__xludf.DUMMYFUNCTION("""COMPUTED_VALUE"""),"Turkey")</f>
        <v>Turkey</v>
      </c>
      <c r="J224" s="43" t="str">
        <f>IFERROR(__xludf.DUMMYFUNCTION("""COMPUTED_VALUE"""),"ISTANBUL WEST")</f>
        <v>ISTANBUL WEST</v>
      </c>
      <c r="K224" s="44" t="str">
        <f>IFERROR(__xludf.DUMMYFUNCTION("""COMPUTED_VALUE"""),"https://expa.aiesec.org/opportunities/1294332")</f>
        <v>https://expa.aiesec.org/opportunities/1294332</v>
      </c>
      <c r="L224" s="43" t="str">
        <f>IFERROR(__xludf.DUMMYFUNCTION("""COMPUTED_VALUE"""),"GTa")</f>
        <v>GTa</v>
      </c>
      <c r="M224" s="43" t="str">
        <f>IFERROR(__xludf.DUMMYFUNCTION("""COMPUTED_VALUE"""),"long")</f>
        <v>long</v>
      </c>
      <c r="N224" s="45">
        <f>IFERROR(__xludf.DUMMYFUNCTION("""COMPUTED_VALUE"""),45128.0)</f>
        <v>45128</v>
      </c>
      <c r="O224" s="45">
        <f>IFERROR(__xludf.DUMMYFUNCTION("""COMPUTED_VALUE"""),45184.0)</f>
        <v>45184</v>
      </c>
      <c r="P224" s="45">
        <f>IFERROR(__xludf.DUMMYFUNCTION("""COMPUTED_VALUE"""),45548.0)</f>
        <v>45548</v>
      </c>
      <c r="Q224" s="45">
        <f>IFERROR(__xludf.DUMMYFUNCTION("""COMPUTED_VALUE"""),45215.0)</f>
        <v>45215</v>
      </c>
      <c r="R224" s="45">
        <f>IFERROR(__xludf.DUMMYFUNCTION("""COMPUTED_VALUE"""),45579.0)</f>
        <v>45579</v>
      </c>
      <c r="S224" s="43"/>
      <c r="T224" s="43" t="str">
        <f>IFERROR(__xludf.DUMMYFUNCTION("""COMPUTED_VALUE"""),"Business Administration")</f>
        <v>Business Administration</v>
      </c>
      <c r="U224" s="43" t="str">
        <f>IFERROR(__xludf.DUMMYFUNCTION("""COMPUTED_VALUE"""),"Sales Consultant ( Customer Service )")</f>
        <v>Sales Consultant ( Customer Service )</v>
      </c>
      <c r="V224" s="43" t="str">
        <f>IFERROR(__xludf.DUMMYFUNCTION("""COMPUTED_VALUE"""),"Alexandria University")</f>
        <v>Alexandria University</v>
      </c>
      <c r="W224" s="43" t="str">
        <f>IFERROR(__xludf.DUMMYFUNCTION("""COMPUTED_VALUE"""),"2022-12-11T20:54:44Z")</f>
        <v>2022-12-11T20:54:44Z</v>
      </c>
      <c r="X224" s="43"/>
      <c r="Y224" s="43"/>
      <c r="Z224" s="43"/>
    </row>
    <row r="225" hidden="1">
      <c r="A225" s="43" t="str">
        <f>IFERROR(__xludf.DUMMYFUNCTION("""COMPUTED_VALUE"""),"5287827_1297133")</f>
        <v>5287827_1297133</v>
      </c>
      <c r="B225" s="43" t="str">
        <f>IFERROR(__xludf.DUMMYFUNCTION("""COMPUTED_VALUE"""),"Farah Ben messaoud")</f>
        <v>Farah Ben messaoud</v>
      </c>
      <c r="C225" s="43" t="str">
        <f>IFERROR(__xludf.DUMMYFUNCTION("""COMPUTED_VALUE"""),"realized")</f>
        <v>realized</v>
      </c>
      <c r="D225" s="43" t="str">
        <f>IFERROR(__xludf.DUMMYFUNCTION("""COMPUTED_VALUE"""),"No")</f>
        <v>No</v>
      </c>
      <c r="E225" s="43" t="str">
        <f>IFERROR(__xludf.DUMMYFUNCTION("""COMPUTED_VALUE"""),"p_bdee2db9962f4fd6274cb1267c39e79f470acdcc@inbound.aiesec.org")</f>
        <v>p_bdee2db9962f4fd6274cb1267c39e79f470acdcc@inbound.aiesec.org</v>
      </c>
      <c r="F225" s="43">
        <f>IFERROR(__xludf.DUMMYFUNCTION("""COMPUTED_VALUE"""),2.8414168E7)</f>
        <v>28414168</v>
      </c>
      <c r="G225" s="43" t="str">
        <f>IFERROR(__xludf.DUMMYFUNCTION("""COMPUTED_VALUE"""),"Tunisia")</f>
        <v>Tunisia</v>
      </c>
      <c r="H225" s="43" t="str">
        <f>IFERROR(__xludf.DUMMYFUNCTION("""COMPUTED_VALUE"""),"SFAX")</f>
        <v>SFAX</v>
      </c>
      <c r="I225" s="43" t="str">
        <f>IFERROR(__xludf.DUMMYFUNCTION("""COMPUTED_VALUE"""),"Turkey")</f>
        <v>Turkey</v>
      </c>
      <c r="J225" s="43" t="str">
        <f>IFERROR(__xludf.DUMMYFUNCTION("""COMPUTED_VALUE"""),"ISTANBUL WEST")</f>
        <v>ISTANBUL WEST</v>
      </c>
      <c r="K225" s="44" t="str">
        <f>IFERROR(__xludf.DUMMYFUNCTION("""COMPUTED_VALUE"""),"https://expa.aiesec.org/opportunities/1297133")</f>
        <v>https://expa.aiesec.org/opportunities/1297133</v>
      </c>
      <c r="L225" s="43" t="str">
        <f>IFERROR(__xludf.DUMMYFUNCTION("""COMPUTED_VALUE"""),"GTa")</f>
        <v>GTa</v>
      </c>
      <c r="M225" s="43" t="str">
        <f>IFERROR(__xludf.DUMMYFUNCTION("""COMPUTED_VALUE"""),"long")</f>
        <v>long</v>
      </c>
      <c r="N225" s="45">
        <f>IFERROR(__xludf.DUMMYFUNCTION("""COMPUTED_VALUE"""),45129.0)</f>
        <v>45129</v>
      </c>
      <c r="O225" s="45">
        <f>IFERROR(__xludf.DUMMYFUNCTION("""COMPUTED_VALUE"""),45169.0)</f>
        <v>45169</v>
      </c>
      <c r="P225" s="45">
        <f>IFERROR(__xludf.DUMMYFUNCTION("""COMPUTED_VALUE"""),45517.0)</f>
        <v>45517</v>
      </c>
      <c r="Q225" s="45">
        <f>IFERROR(__xludf.DUMMYFUNCTION("""COMPUTED_VALUE"""),45153.0)</f>
        <v>45153</v>
      </c>
      <c r="R225" s="45">
        <f>IFERROR(__xludf.DUMMYFUNCTION("""COMPUTED_VALUE"""),45517.0)</f>
        <v>45517</v>
      </c>
      <c r="S225" s="43"/>
      <c r="T225" s="43" t="str">
        <f>IFERROR(__xludf.DUMMYFUNCTION("""COMPUTED_VALUE"""),"Business Administration")</f>
        <v>Business Administration</v>
      </c>
      <c r="U225" s="43" t="str">
        <f>IFERROR(__xludf.DUMMYFUNCTION("""COMPUTED_VALUE"""),"Russian Telesales Specialist")</f>
        <v>Russian Telesales Specialist</v>
      </c>
      <c r="V225" s="43" t="str">
        <f>IFERROR(__xludf.DUMMYFUNCTION("""COMPUTED_VALUE"""),"FSEG sfax")</f>
        <v>FSEG sfax</v>
      </c>
      <c r="W225" s="43" t="str">
        <f>IFERROR(__xludf.DUMMYFUNCTION("""COMPUTED_VALUE"""),"2023-07-21T11:53:10Z")</f>
        <v>2023-07-21T11:53:10Z</v>
      </c>
      <c r="X225" s="43"/>
      <c r="Y225" s="43"/>
      <c r="Z225" s="43"/>
    </row>
    <row r="226" hidden="1">
      <c r="A226" s="43" t="str">
        <f>IFERROR(__xludf.DUMMYFUNCTION("""COMPUTED_VALUE"""),"5288408_1289032")</f>
        <v>5288408_1289032</v>
      </c>
      <c r="B226" s="43" t="str">
        <f>IFERROR(__xludf.DUMMYFUNCTION("""COMPUTED_VALUE"""),"Ruslan Olmesov")</f>
        <v>Ruslan Olmesov</v>
      </c>
      <c r="C226" s="43" t="str">
        <f>IFERROR(__xludf.DUMMYFUNCTION("""COMPUTED_VALUE"""),"realized")</f>
        <v>realized</v>
      </c>
      <c r="D226" s="43" t="str">
        <f>IFERROR(__xludf.DUMMYFUNCTION("""COMPUTED_VALUE"""),"No")</f>
        <v>No</v>
      </c>
      <c r="E226" s="43" t="str">
        <f>IFERROR(__xludf.DUMMYFUNCTION("""COMPUTED_VALUE"""),"p_4c6ccfc53a9ce3eb7c566febcdbd9a251187761f@inbound.aiesec.org")</f>
        <v>p_4c6ccfc53a9ce3eb7c566febcdbd9a251187761f@inbound.aiesec.org</v>
      </c>
      <c r="F226" s="43">
        <f>IFERROR(__xludf.DUMMYFUNCTION("""COMPUTED_VALUE"""),9.291912054E9)</f>
        <v>9291912054</v>
      </c>
      <c r="G226" s="43" t="str">
        <f>IFERROR(__xludf.DUMMYFUNCTION("""COMPUTED_VALUE"""),"Russia")</f>
        <v>Russia</v>
      </c>
      <c r="H226" s="43" t="str">
        <f>IFERROR(__xludf.DUMMYFUNCTION("""COMPUTED_VALUE"""),"Rostov-on-Don")</f>
        <v>Rostov-on-Don</v>
      </c>
      <c r="I226" s="43" t="str">
        <f>IFERROR(__xludf.DUMMYFUNCTION("""COMPUTED_VALUE"""),"Turkey")</f>
        <v>Turkey</v>
      </c>
      <c r="J226" s="43" t="str">
        <f>IFERROR(__xludf.DUMMYFUNCTION("""COMPUTED_VALUE"""),"KONYA")</f>
        <v>KONYA</v>
      </c>
      <c r="K226" s="44" t="str">
        <f>IFERROR(__xludf.DUMMYFUNCTION("""COMPUTED_VALUE"""),"https://expa.aiesec.org/opportunities/1289032")</f>
        <v>https://expa.aiesec.org/opportunities/1289032</v>
      </c>
      <c r="L226" s="43" t="str">
        <f>IFERROR(__xludf.DUMMYFUNCTION("""COMPUTED_VALUE"""),"GTa")</f>
        <v>GTa</v>
      </c>
      <c r="M226" s="43" t="str">
        <f>IFERROR(__xludf.DUMMYFUNCTION("""COMPUTED_VALUE"""),"long")</f>
        <v>long</v>
      </c>
      <c r="N226" s="45">
        <f>IFERROR(__xludf.DUMMYFUNCTION("""COMPUTED_VALUE"""),45132.0)</f>
        <v>45132</v>
      </c>
      <c r="O226" s="45">
        <f>IFERROR(__xludf.DUMMYFUNCTION("""COMPUTED_VALUE"""),45138.0)</f>
        <v>45138</v>
      </c>
      <c r="P226" s="45">
        <f>IFERROR(__xludf.DUMMYFUNCTION("""COMPUTED_VALUE"""),45504.0)</f>
        <v>45504</v>
      </c>
      <c r="Q226" s="45">
        <f>IFERROR(__xludf.DUMMYFUNCTION("""COMPUTED_VALUE"""),45159.0)</f>
        <v>45159</v>
      </c>
      <c r="R226" s="45">
        <f>IFERROR(__xludf.DUMMYFUNCTION("""COMPUTED_VALUE"""),45525.0)</f>
        <v>45525</v>
      </c>
      <c r="S226" s="43"/>
      <c r="T226" s="43" t="str">
        <f>IFERROR(__xludf.DUMMYFUNCTION("""COMPUTED_VALUE"""),"Marketing")</f>
        <v>Marketing</v>
      </c>
      <c r="U226" s="43" t="str">
        <f>IFERROR(__xludf.DUMMYFUNCTION("""COMPUTED_VALUE"""),"Marketing Specialist - Spanish")</f>
        <v>Marketing Specialist - Spanish</v>
      </c>
      <c r="V226" s="43" t="str">
        <f>IFERROR(__xludf.DUMMYFUNCTION("""COMPUTED_VALUE"""),"Rostov-on-Don")</f>
        <v>Rostov-on-Don</v>
      </c>
      <c r="W226" s="43" t="str">
        <f>IFERROR(__xludf.DUMMYFUNCTION("""COMPUTED_VALUE"""),"2023-07-23T11:10:31Z")</f>
        <v>2023-07-23T11:10:31Z</v>
      </c>
      <c r="X226" s="43"/>
      <c r="Y226" s="43"/>
      <c r="Z226" s="43"/>
    </row>
    <row r="227" hidden="1">
      <c r="A227" s="43" t="str">
        <f>IFERROR(__xludf.DUMMYFUNCTION("""COMPUTED_VALUE"""),"5211794_1289174")</f>
        <v>5211794_1289174</v>
      </c>
      <c r="B227" s="43" t="str">
        <f>IFERROR(__xludf.DUMMYFUNCTION("""COMPUTED_VALUE"""),"Ayas Salma")</f>
        <v>Ayas Salma</v>
      </c>
      <c r="C227" s="43" t="str">
        <f>IFERROR(__xludf.DUMMYFUNCTION("""COMPUTED_VALUE"""),"realized")</f>
        <v>realized</v>
      </c>
      <c r="D227" s="43" t="str">
        <f>IFERROR(__xludf.DUMMYFUNCTION("""COMPUTED_VALUE"""),"No")</f>
        <v>No</v>
      </c>
      <c r="E227" s="43" t="str">
        <f>IFERROR(__xludf.DUMMYFUNCTION("""COMPUTED_VALUE"""),"p_a20dcfed09643680dd2713fbaf5445d7d15beaf8@inbound.aiesec.org")</f>
        <v>p_a20dcfed09643680dd2713fbaf5445d7d15beaf8@inbound.aiesec.org</v>
      </c>
      <c r="F227" s="43">
        <f>IFERROR(__xludf.DUMMYFUNCTION("""COMPUTED_VALUE"""),7.96625829E8)</f>
        <v>796625829</v>
      </c>
      <c r="G227" s="43" t="str">
        <f>IFERROR(__xludf.DUMMYFUNCTION("""COMPUTED_VALUE"""),"Algeria")</f>
        <v>Algeria</v>
      </c>
      <c r="H227" s="43" t="str">
        <f>IFERROR(__xludf.DUMMYFUNCTION("""COMPUTED_VALUE"""),"Blida")</f>
        <v>Blida</v>
      </c>
      <c r="I227" s="43" t="str">
        <f>IFERROR(__xludf.DUMMYFUNCTION("""COMPUTED_VALUE"""),"Turkey")</f>
        <v>Turkey</v>
      </c>
      <c r="J227" s="43" t="str">
        <f>IFERROR(__xludf.DUMMYFUNCTION("""COMPUTED_VALUE"""),"KONYA")</f>
        <v>KONYA</v>
      </c>
      <c r="K227" s="44" t="str">
        <f>IFERROR(__xludf.DUMMYFUNCTION("""COMPUTED_VALUE"""),"https://expa.aiesec.org/opportunities/1289174")</f>
        <v>https://expa.aiesec.org/opportunities/1289174</v>
      </c>
      <c r="L227" s="43" t="str">
        <f>IFERROR(__xludf.DUMMYFUNCTION("""COMPUTED_VALUE"""),"GTa")</f>
        <v>GTa</v>
      </c>
      <c r="M227" s="43" t="str">
        <f>IFERROR(__xludf.DUMMYFUNCTION("""COMPUTED_VALUE"""),"long")</f>
        <v>long</v>
      </c>
      <c r="N227" s="45">
        <f>IFERROR(__xludf.DUMMYFUNCTION("""COMPUTED_VALUE"""),45132.0)</f>
        <v>45132</v>
      </c>
      <c r="O227" s="45">
        <f>IFERROR(__xludf.DUMMYFUNCTION("""COMPUTED_VALUE"""),45140.0)</f>
        <v>45140</v>
      </c>
      <c r="P227" s="45">
        <f>IFERROR(__xludf.DUMMYFUNCTION("""COMPUTED_VALUE"""),45506.0)</f>
        <v>45506</v>
      </c>
      <c r="Q227" s="45">
        <f>IFERROR(__xludf.DUMMYFUNCTION("""COMPUTED_VALUE"""),45135.0)</f>
        <v>45135</v>
      </c>
      <c r="R227" s="45">
        <f>IFERROR(__xludf.DUMMYFUNCTION("""COMPUTED_VALUE"""),45506.0)</f>
        <v>45506</v>
      </c>
      <c r="S227" s="43"/>
      <c r="T227" s="43" t="str">
        <f>IFERROR(__xludf.DUMMYFUNCTION("""COMPUTED_VALUE"""),"Marketing")</f>
        <v>Marketing</v>
      </c>
      <c r="U227" s="43" t="str">
        <f>IFERROR(__xludf.DUMMYFUNCTION("""COMPUTED_VALUE"""),"Marketing Specialist at Elmalı Makina")</f>
        <v>Marketing Specialist at Elmalı Makina</v>
      </c>
      <c r="V227" s="43" t="str">
        <f>IFERROR(__xludf.DUMMYFUNCTION("""COMPUTED_VALUE"""),"AIESEC in Blida")</f>
        <v>AIESEC in Blida</v>
      </c>
      <c r="W227" s="43" t="str">
        <f>IFERROR(__xludf.DUMMYFUNCTION("""COMPUTED_VALUE"""),"2023-03-10T08:55:34Z")</f>
        <v>2023-03-10T08:55:34Z</v>
      </c>
      <c r="X227" s="43"/>
      <c r="Y227" s="43"/>
      <c r="Z227" s="43"/>
    </row>
    <row r="228" hidden="1">
      <c r="A228" s="43" t="str">
        <f>IFERROR(__xludf.DUMMYFUNCTION("""COMPUTED_VALUE"""),"5272207_1296387")</f>
        <v>5272207_1296387</v>
      </c>
      <c r="B228" s="43" t="str">
        <f>IFERROR(__xludf.DUMMYFUNCTION("""COMPUTED_VALUE"""),"Azza Salhi")</f>
        <v>Azza Salhi</v>
      </c>
      <c r="C228" s="43" t="str">
        <f>IFERROR(__xludf.DUMMYFUNCTION("""COMPUTED_VALUE"""),"realized")</f>
        <v>realized</v>
      </c>
      <c r="D228" s="43" t="str">
        <f>IFERROR(__xludf.DUMMYFUNCTION("""COMPUTED_VALUE"""),"No")</f>
        <v>No</v>
      </c>
      <c r="E228" s="43" t="str">
        <f>IFERROR(__xludf.DUMMYFUNCTION("""COMPUTED_VALUE"""),"p_bac5937b310af7071baa750520c0669dc3824d58@inbound.aiesec.org")</f>
        <v>p_bac5937b310af7071baa750520c0669dc3824d58@inbound.aiesec.org</v>
      </c>
      <c r="F228" s="43">
        <f>IFERROR(__xludf.DUMMYFUNCTION("""COMPUTED_VALUE"""),2.1747745E7)</f>
        <v>21747745</v>
      </c>
      <c r="G228" s="43" t="str">
        <f>IFERROR(__xludf.DUMMYFUNCTION("""COMPUTED_VALUE"""),"Tunisia")</f>
        <v>Tunisia</v>
      </c>
      <c r="H228" s="43" t="str">
        <f>IFERROR(__xludf.DUMMYFUNCTION("""COMPUTED_VALUE"""),"RUSPINA")</f>
        <v>RUSPINA</v>
      </c>
      <c r="I228" s="43" t="str">
        <f>IFERROR(__xludf.DUMMYFUNCTION("""COMPUTED_VALUE"""),"Turkey")</f>
        <v>Turkey</v>
      </c>
      <c r="J228" s="43" t="str">
        <f>IFERROR(__xludf.DUMMYFUNCTION("""COMPUTED_VALUE"""),"GAZIANTEP")</f>
        <v>GAZIANTEP</v>
      </c>
      <c r="K228" s="44" t="str">
        <f>IFERROR(__xludf.DUMMYFUNCTION("""COMPUTED_VALUE"""),"https://expa.aiesec.org/opportunities/1296387")</f>
        <v>https://expa.aiesec.org/opportunities/1296387</v>
      </c>
      <c r="L228" s="43" t="str">
        <f>IFERROR(__xludf.DUMMYFUNCTION("""COMPUTED_VALUE"""),"GTa")</f>
        <v>GTa</v>
      </c>
      <c r="M228" s="43" t="str">
        <f>IFERROR(__xludf.DUMMYFUNCTION("""COMPUTED_VALUE"""),"long")</f>
        <v>long</v>
      </c>
      <c r="N228" s="45">
        <f>IFERROR(__xludf.DUMMYFUNCTION("""COMPUTED_VALUE"""),45134.0)</f>
        <v>45134</v>
      </c>
      <c r="O228" s="45">
        <f>IFERROR(__xludf.DUMMYFUNCTION("""COMPUTED_VALUE"""),45153.0)</f>
        <v>45153</v>
      </c>
      <c r="P228" s="45">
        <f>IFERROR(__xludf.DUMMYFUNCTION("""COMPUTED_VALUE"""),45518.0)</f>
        <v>45518</v>
      </c>
      <c r="Q228" s="45">
        <f>IFERROR(__xludf.DUMMYFUNCTION("""COMPUTED_VALUE"""),45154.0)</f>
        <v>45154</v>
      </c>
      <c r="R228" s="45">
        <f>IFERROR(__xludf.DUMMYFUNCTION("""COMPUTED_VALUE"""),45518.0)</f>
        <v>45518</v>
      </c>
      <c r="S228" s="43"/>
      <c r="T228" s="43" t="str">
        <f>IFERROR(__xludf.DUMMYFUNCTION("""COMPUTED_VALUE"""),"Marketing")</f>
        <v>Marketing</v>
      </c>
      <c r="U228" s="43" t="str">
        <f>IFERROR(__xludf.DUMMYFUNCTION("""COMPUTED_VALUE"""),"Marketing")</f>
        <v>Marketing</v>
      </c>
      <c r="V228" s="43" t="str">
        <f>IFERROR(__xludf.DUMMYFUNCTION("""COMPUTED_VALUE"""),"FSEG Mahdia")</f>
        <v>FSEG Mahdia</v>
      </c>
      <c r="W228" s="43" t="str">
        <f>IFERROR(__xludf.DUMMYFUNCTION("""COMPUTED_VALUE"""),"2023-06-06T20:59:00Z")</f>
        <v>2023-06-06T20:59:00Z</v>
      </c>
      <c r="X228" s="43"/>
      <c r="Y228" s="43"/>
      <c r="Z228" s="43"/>
    </row>
    <row r="229" hidden="1">
      <c r="A229" s="43" t="str">
        <f>IFERROR(__xludf.DUMMYFUNCTION("""COMPUTED_VALUE"""),"5257973_1297080")</f>
        <v>5257973_1297080</v>
      </c>
      <c r="B229" s="43" t="str">
        <f>IFERROR(__xludf.DUMMYFUNCTION("""COMPUTED_VALUE"""),"Haifa Daoudi")</f>
        <v>Haifa Daoudi</v>
      </c>
      <c r="C229" s="43" t="str">
        <f>IFERROR(__xludf.DUMMYFUNCTION("""COMPUTED_VALUE"""),"realized")</f>
        <v>realized</v>
      </c>
      <c r="D229" s="43" t="str">
        <f>IFERROR(__xludf.DUMMYFUNCTION("""COMPUTED_VALUE"""),"No")</f>
        <v>No</v>
      </c>
      <c r="E229" s="43" t="str">
        <f>IFERROR(__xludf.DUMMYFUNCTION("""COMPUTED_VALUE"""),"p_12da8263dddbc2218a5da6c73b6f6a3475f26134@inbound.aiesec.org")</f>
        <v>p_12da8263dddbc2218a5da6c73b6f6a3475f26134@inbound.aiesec.org</v>
      </c>
      <c r="F229" s="43">
        <f>IFERROR(__xludf.DUMMYFUNCTION("""COMPUTED_VALUE"""),6.74266177E8)</f>
        <v>674266177</v>
      </c>
      <c r="G229" s="43" t="str">
        <f>IFERROR(__xludf.DUMMYFUNCTION("""COMPUTED_VALUE"""),"Algeria")</f>
        <v>Algeria</v>
      </c>
      <c r="H229" s="43" t="str">
        <f>IFERROR(__xludf.DUMMYFUNCTION("""COMPUTED_VALUE"""),"Blida")</f>
        <v>Blida</v>
      </c>
      <c r="I229" s="43" t="str">
        <f>IFERROR(__xludf.DUMMYFUNCTION("""COMPUTED_VALUE"""),"Turkey")</f>
        <v>Turkey</v>
      </c>
      <c r="J229" s="43" t="str">
        <f>IFERROR(__xludf.DUMMYFUNCTION("""COMPUTED_VALUE"""),"KOCAELI")</f>
        <v>KOCAELI</v>
      </c>
      <c r="K229" s="44" t="str">
        <f>IFERROR(__xludf.DUMMYFUNCTION("""COMPUTED_VALUE"""),"https://expa.aiesec.org/opportunities/1297080")</f>
        <v>https://expa.aiesec.org/opportunities/1297080</v>
      </c>
      <c r="L229" s="43" t="str">
        <f>IFERROR(__xludf.DUMMYFUNCTION("""COMPUTED_VALUE"""),"GTa")</f>
        <v>GTa</v>
      </c>
      <c r="M229" s="43" t="str">
        <f>IFERROR(__xludf.DUMMYFUNCTION("""COMPUTED_VALUE"""),"long")</f>
        <v>long</v>
      </c>
      <c r="N229" s="45">
        <f>IFERROR(__xludf.DUMMYFUNCTION("""COMPUTED_VALUE"""),45134.0)</f>
        <v>45134</v>
      </c>
      <c r="O229" s="45">
        <f>IFERROR(__xludf.DUMMYFUNCTION("""COMPUTED_VALUE"""),45199.0)</f>
        <v>45199</v>
      </c>
      <c r="P229" s="45">
        <f>IFERROR(__xludf.DUMMYFUNCTION("""COMPUTED_VALUE"""),45565.0)</f>
        <v>45565</v>
      </c>
      <c r="Q229" s="45">
        <f>IFERROR(__xludf.DUMMYFUNCTION("""COMPUTED_VALUE"""),45201.0)</f>
        <v>45201</v>
      </c>
      <c r="R229" s="45">
        <f>IFERROR(__xludf.DUMMYFUNCTION("""COMPUTED_VALUE"""),45567.0)</f>
        <v>45567</v>
      </c>
      <c r="S229" s="43"/>
      <c r="T229" s="43" t="str">
        <f>IFERROR(__xludf.DUMMYFUNCTION("""COMPUTED_VALUE"""),"Other")</f>
        <v>Other</v>
      </c>
      <c r="U229" s="43" t="str">
        <f>IFERROR(__xludf.DUMMYFUNCTION("""COMPUTED_VALUE"""),"English Coach in SARKUYSAN Company")</f>
        <v>English Coach in SARKUYSAN Company</v>
      </c>
      <c r="V229" s="43" t="str">
        <f>IFERROR(__xludf.DUMMYFUNCTION("""COMPUTED_VALUE"""),"AIESEC in Blida")</f>
        <v>AIESEC in Blida</v>
      </c>
      <c r="W229" s="43" t="str">
        <f>IFERROR(__xludf.DUMMYFUNCTION("""COMPUTED_VALUE"""),"2023-05-09T01:28:40Z")</f>
        <v>2023-05-09T01:28:40Z</v>
      </c>
      <c r="X229" s="43"/>
      <c r="Y229" s="43"/>
      <c r="Z229" s="43"/>
    </row>
    <row r="230" hidden="1">
      <c r="A230" s="43" t="str">
        <f>IFERROR(__xludf.DUMMYFUNCTION("""COMPUTED_VALUE"""),"5291404_1294332")</f>
        <v>5291404_1294332</v>
      </c>
      <c r="B230" s="43" t="str">
        <f>IFERROR(__xludf.DUMMYFUNCTION("""COMPUTED_VALUE"""),"Muhammed Ali")</f>
        <v>Muhammed Ali</v>
      </c>
      <c r="C230" s="43" t="str">
        <f>IFERROR(__xludf.DUMMYFUNCTION("""COMPUTED_VALUE"""),"realized")</f>
        <v>realized</v>
      </c>
      <c r="D230" s="43" t="str">
        <f>IFERROR(__xludf.DUMMYFUNCTION("""COMPUTED_VALUE"""),"No")</f>
        <v>No</v>
      </c>
      <c r="E230" s="43" t="str">
        <f>IFERROR(__xludf.DUMMYFUNCTION("""COMPUTED_VALUE"""),"p_de642d86818eb5583519173e18c2d64e2fc5c073@inbound.aiesec.org")</f>
        <v>p_de642d86818eb5583519173e18c2d64e2fc5c073@inbound.aiesec.org</v>
      </c>
      <c r="F230" s="43">
        <f>IFERROR(__xludf.DUMMYFUNCTION("""COMPUTED_VALUE"""),1.227031815E9)</f>
        <v>1227031815</v>
      </c>
      <c r="G230" s="43" t="str">
        <f>IFERROR(__xludf.DUMMYFUNCTION("""COMPUTED_VALUE"""),"Egypt")</f>
        <v>Egypt</v>
      </c>
      <c r="H230" s="43" t="str">
        <f>IFERROR(__xludf.DUMMYFUNCTION("""COMPUTED_VALUE"""),"Alexandria")</f>
        <v>Alexandria</v>
      </c>
      <c r="I230" s="43" t="str">
        <f>IFERROR(__xludf.DUMMYFUNCTION("""COMPUTED_VALUE"""),"Turkey")</f>
        <v>Turkey</v>
      </c>
      <c r="J230" s="43" t="str">
        <f>IFERROR(__xludf.DUMMYFUNCTION("""COMPUTED_VALUE"""),"ISTANBUL WEST")</f>
        <v>ISTANBUL WEST</v>
      </c>
      <c r="K230" s="44" t="str">
        <f>IFERROR(__xludf.DUMMYFUNCTION("""COMPUTED_VALUE"""),"https://expa.aiesec.org/opportunities/1294332")</f>
        <v>https://expa.aiesec.org/opportunities/1294332</v>
      </c>
      <c r="L230" s="43" t="str">
        <f>IFERROR(__xludf.DUMMYFUNCTION("""COMPUTED_VALUE"""),"GTa")</f>
        <v>GTa</v>
      </c>
      <c r="M230" s="43" t="str">
        <f>IFERROR(__xludf.DUMMYFUNCTION("""COMPUTED_VALUE"""),"long")</f>
        <v>long</v>
      </c>
      <c r="N230" s="45">
        <f>IFERROR(__xludf.DUMMYFUNCTION("""COMPUTED_VALUE"""),45136.0)</f>
        <v>45136</v>
      </c>
      <c r="O230" s="45">
        <f>IFERROR(__xludf.DUMMYFUNCTION("""COMPUTED_VALUE"""),45184.0)</f>
        <v>45184</v>
      </c>
      <c r="P230" s="45">
        <f>IFERROR(__xludf.DUMMYFUNCTION("""COMPUTED_VALUE"""),45548.0)</f>
        <v>45548</v>
      </c>
      <c r="Q230" s="45">
        <f>IFERROR(__xludf.DUMMYFUNCTION("""COMPUTED_VALUE"""),45213.0)</f>
        <v>45213</v>
      </c>
      <c r="R230" s="45">
        <f>IFERROR(__xludf.DUMMYFUNCTION("""COMPUTED_VALUE"""),45577.0)</f>
        <v>45577</v>
      </c>
      <c r="S230" s="43"/>
      <c r="T230" s="43" t="str">
        <f>IFERROR(__xludf.DUMMYFUNCTION("""COMPUTED_VALUE"""),"Business Administration")</f>
        <v>Business Administration</v>
      </c>
      <c r="U230" s="43" t="str">
        <f>IFERROR(__xludf.DUMMYFUNCTION("""COMPUTED_VALUE"""),"Sales Consultant ( Customer Service )")</f>
        <v>Sales Consultant ( Customer Service )</v>
      </c>
      <c r="V230" s="43" t="str">
        <f>IFERROR(__xludf.DUMMYFUNCTION("""COMPUTED_VALUE"""),"Alexandria University")</f>
        <v>Alexandria University</v>
      </c>
      <c r="W230" s="43" t="str">
        <f>IFERROR(__xludf.DUMMYFUNCTION("""COMPUTED_VALUE"""),"2023-07-29T12:29:57Z")</f>
        <v>2023-07-29T12:29:57Z</v>
      </c>
      <c r="X230" s="43"/>
      <c r="Y230" s="43"/>
      <c r="Z230" s="43"/>
    </row>
    <row r="231" hidden="1">
      <c r="A231" s="43" t="str">
        <f>IFERROR(__xludf.DUMMYFUNCTION("""COMPUTED_VALUE"""),"4467555_1292683")</f>
        <v>4467555_1292683</v>
      </c>
      <c r="B231" s="43" t="str">
        <f>IFERROR(__xludf.DUMMYFUNCTION("""COMPUTED_VALUE"""),"Fatima Zahra Essameut")</f>
        <v>Fatima Zahra Essameut</v>
      </c>
      <c r="C231" s="43" t="str">
        <f>IFERROR(__xludf.DUMMYFUNCTION("""COMPUTED_VALUE"""),"realized")</f>
        <v>realized</v>
      </c>
      <c r="D231" s="43" t="str">
        <f>IFERROR(__xludf.DUMMYFUNCTION("""COMPUTED_VALUE"""),"No")</f>
        <v>No</v>
      </c>
      <c r="E231" s="43" t="str">
        <f>IFERROR(__xludf.DUMMYFUNCTION("""COMPUTED_VALUE"""),"p_937ecfa2412cf6c6642410c56b59b9e8de343818@inbound.aiesec.org")</f>
        <v>p_937ecfa2412cf6c6642410c56b59b9e8de343818@inbound.aiesec.org</v>
      </c>
      <c r="F231" s="43">
        <f>IFERROR(__xludf.DUMMYFUNCTION("""COMPUTED_VALUE"""),7.81879732E8)</f>
        <v>781879732</v>
      </c>
      <c r="G231" s="43" t="str">
        <f>IFERROR(__xludf.DUMMYFUNCTION("""COMPUTED_VALUE"""),"Algeria")</f>
        <v>Algeria</v>
      </c>
      <c r="H231" s="43" t="str">
        <f>IFERROR(__xludf.DUMMYFUNCTION("""COMPUTED_VALUE"""),"Babez")</f>
        <v>Babez</v>
      </c>
      <c r="I231" s="43" t="str">
        <f>IFERROR(__xludf.DUMMYFUNCTION("""COMPUTED_VALUE"""),"Turkey")</f>
        <v>Turkey</v>
      </c>
      <c r="J231" s="43" t="str">
        <f>IFERROR(__xludf.DUMMYFUNCTION("""COMPUTED_VALUE"""),"ESKISEHIR")</f>
        <v>ESKISEHIR</v>
      </c>
      <c r="K231" s="44" t="str">
        <f>IFERROR(__xludf.DUMMYFUNCTION("""COMPUTED_VALUE"""),"https://expa.aiesec.org/opportunities/1292683")</f>
        <v>https://expa.aiesec.org/opportunities/1292683</v>
      </c>
      <c r="L231" s="43" t="str">
        <f>IFERROR(__xludf.DUMMYFUNCTION("""COMPUTED_VALUE"""),"GTa")</f>
        <v>GTa</v>
      </c>
      <c r="M231" s="43" t="str">
        <f>IFERROR(__xludf.DUMMYFUNCTION("""COMPUTED_VALUE"""),"long")</f>
        <v>long</v>
      </c>
      <c r="N231" s="45">
        <f>IFERROR(__xludf.DUMMYFUNCTION("""COMPUTED_VALUE"""),45139.0)</f>
        <v>45139</v>
      </c>
      <c r="O231" s="45">
        <f>IFERROR(__xludf.DUMMYFUNCTION("""COMPUTED_VALUE"""),45170.0)</f>
        <v>45170</v>
      </c>
      <c r="P231" s="45">
        <f>IFERROR(__xludf.DUMMYFUNCTION("""COMPUTED_VALUE"""),45535.0)</f>
        <v>45535</v>
      </c>
      <c r="Q231" s="45">
        <f>IFERROR(__xludf.DUMMYFUNCTION("""COMPUTED_VALUE"""),45170.0)</f>
        <v>45170</v>
      </c>
      <c r="R231" s="45">
        <f>IFERROR(__xludf.DUMMYFUNCTION("""COMPUTED_VALUE"""),45535.0)</f>
        <v>45535</v>
      </c>
      <c r="S231" s="43"/>
      <c r="T231" s="43" t="str">
        <f>IFERROR(__xludf.DUMMYFUNCTION("""COMPUTED_VALUE"""),"Business Development")</f>
        <v>Business Development</v>
      </c>
      <c r="U231" s="43" t="str">
        <f>IFERROR(__xludf.DUMMYFUNCTION("""COMPUTED_VALUE"""),"Foreign Trade&amp;Marketing Specialist")</f>
        <v>Foreign Trade&amp;Marketing Specialist</v>
      </c>
      <c r="V231" s="43" t="str">
        <f>IFERROR(__xludf.DUMMYFUNCTION("""COMPUTED_VALUE"""),"-")</f>
        <v>-</v>
      </c>
      <c r="W231" s="43" t="str">
        <f>IFERROR(__xludf.DUMMYFUNCTION("""COMPUTED_VALUE"""),"2020-12-05T23:25:03Z")</f>
        <v>2020-12-05T23:25:03Z</v>
      </c>
      <c r="X231" s="43"/>
      <c r="Y231" s="43"/>
      <c r="Z231" s="43"/>
    </row>
    <row r="232" hidden="1">
      <c r="A232" s="43" t="str">
        <f>IFERROR(__xludf.DUMMYFUNCTION("""COMPUTED_VALUE"""),"5135995_1285555")</f>
        <v>5135995_1285555</v>
      </c>
      <c r="B232" s="43" t="str">
        <f>IFERROR(__xludf.DUMMYFUNCTION("""COMPUTED_VALUE"""),"Ghada Amri")</f>
        <v>Ghada Amri</v>
      </c>
      <c r="C232" s="43" t="str">
        <f>IFERROR(__xludf.DUMMYFUNCTION("""COMPUTED_VALUE"""),"realized")</f>
        <v>realized</v>
      </c>
      <c r="D232" s="43" t="str">
        <f>IFERROR(__xludf.DUMMYFUNCTION("""COMPUTED_VALUE"""),"No")</f>
        <v>No</v>
      </c>
      <c r="E232" s="43" t="str">
        <f>IFERROR(__xludf.DUMMYFUNCTION("""COMPUTED_VALUE"""),"p_2f59e642a0394878eb2d376235f41497de81719d@inbound.aiesec.org")</f>
        <v>p_2f59e642a0394878eb2d376235f41497de81719d@inbound.aiesec.org</v>
      </c>
      <c r="F232" s="43">
        <f>IFERROR(__xludf.DUMMYFUNCTION("""COMPUTED_VALUE"""),2.1601362E7)</f>
        <v>21601362</v>
      </c>
      <c r="G232" s="43" t="str">
        <f>IFERROR(__xludf.DUMMYFUNCTION("""COMPUTED_VALUE"""),"Tunisia")</f>
        <v>Tunisia</v>
      </c>
      <c r="H232" s="43" t="str">
        <f>IFERROR(__xludf.DUMMYFUNCTION("""COMPUTED_VALUE"""),"UNIVERSITY")</f>
        <v>UNIVERSITY</v>
      </c>
      <c r="I232" s="43" t="str">
        <f>IFERROR(__xludf.DUMMYFUNCTION("""COMPUTED_VALUE"""),"Turkey")</f>
        <v>Turkey</v>
      </c>
      <c r="J232" s="43" t="str">
        <f>IFERROR(__xludf.DUMMYFUNCTION("""COMPUTED_VALUE"""),"ISTANBUL")</f>
        <v>ISTANBUL</v>
      </c>
      <c r="K232" s="44" t="str">
        <f>IFERROR(__xludf.DUMMYFUNCTION("""COMPUTED_VALUE"""),"https://expa.aiesec.org/opportunities/1285555")</f>
        <v>https://expa.aiesec.org/opportunities/1285555</v>
      </c>
      <c r="L232" s="43" t="str">
        <f>IFERROR(__xludf.DUMMYFUNCTION("""COMPUTED_VALUE"""),"GTa")</f>
        <v>GTa</v>
      </c>
      <c r="M232" s="43" t="str">
        <f>IFERROR(__xludf.DUMMYFUNCTION("""COMPUTED_VALUE"""),"long")</f>
        <v>long</v>
      </c>
      <c r="N232" s="45">
        <f>IFERROR(__xludf.DUMMYFUNCTION("""COMPUTED_VALUE"""),45139.0)</f>
        <v>45139</v>
      </c>
      <c r="O232" s="45">
        <f>IFERROR(__xludf.DUMMYFUNCTION("""COMPUTED_VALUE"""),45147.0)</f>
        <v>45147</v>
      </c>
      <c r="P232" s="45">
        <f>IFERROR(__xludf.DUMMYFUNCTION("""COMPUTED_VALUE"""),45336.0)</f>
        <v>45336</v>
      </c>
      <c r="Q232" s="45">
        <f>IFERROR(__xludf.DUMMYFUNCTION("""COMPUTED_VALUE"""),45188.0)</f>
        <v>45188</v>
      </c>
      <c r="R232" s="45">
        <f>IFERROR(__xludf.DUMMYFUNCTION("""COMPUTED_VALUE"""),45376.0)</f>
        <v>45376</v>
      </c>
      <c r="S232" s="43"/>
      <c r="T232" s="43" t="str">
        <f>IFERROR(__xludf.DUMMYFUNCTION("""COMPUTED_VALUE"""),"Business Administration")</f>
        <v>Business Administration</v>
      </c>
      <c r="U232" s="43" t="str">
        <f>IFERROR(__xludf.DUMMYFUNCTION("""COMPUTED_VALUE"""),"Customer Support Junior Specialist")</f>
        <v>Customer Support Junior Specialist</v>
      </c>
      <c r="V232" s="43" t="str">
        <f>IFERROR(__xludf.DUMMYFUNCTION("""COMPUTED_VALUE"""),"FSEGT")</f>
        <v>FSEGT</v>
      </c>
      <c r="W232" s="43" t="str">
        <f>IFERROR(__xludf.DUMMYFUNCTION("""COMPUTED_VALUE"""),"2022-10-18T15:35:22Z")</f>
        <v>2022-10-18T15:35:22Z</v>
      </c>
      <c r="X232" s="43"/>
      <c r="Y232" s="43"/>
      <c r="Z232" s="43"/>
    </row>
    <row r="233" hidden="1">
      <c r="A233" s="43" t="str">
        <f>IFERROR(__xludf.DUMMYFUNCTION("""COMPUTED_VALUE"""),"1633914_1296424")</f>
        <v>1633914_1296424</v>
      </c>
      <c r="B233" s="43" t="str">
        <f>IFERROR(__xludf.DUMMYFUNCTION("""COMPUTED_VALUE"""),"Tounsi Imen")</f>
        <v>Tounsi Imen</v>
      </c>
      <c r="C233" s="43" t="str">
        <f>IFERROR(__xludf.DUMMYFUNCTION("""COMPUTED_VALUE"""),"approved")</f>
        <v>approved</v>
      </c>
      <c r="D233" s="43" t="str">
        <f>IFERROR(__xludf.DUMMYFUNCTION("""COMPUTED_VALUE"""),"No")</f>
        <v>No</v>
      </c>
      <c r="E233" s="43" t="str">
        <f>IFERROR(__xludf.DUMMYFUNCTION("""COMPUTED_VALUE"""),"p_39aa3d7d6314042cf85867796b7af79549144930@inbound.aiesec.org")</f>
        <v>p_39aa3d7d6314042cf85867796b7af79549144930@inbound.aiesec.org</v>
      </c>
      <c r="F233" s="43">
        <f>IFERROR(__xludf.DUMMYFUNCTION("""COMPUTED_VALUE"""),2.0401276E7)</f>
        <v>20401276</v>
      </c>
      <c r="G233" s="43" t="str">
        <f>IFERROR(__xludf.DUMMYFUNCTION("""COMPUTED_VALUE"""),"Tunisia")</f>
        <v>Tunisia</v>
      </c>
      <c r="H233" s="43" t="str">
        <f>IFERROR(__xludf.DUMMYFUNCTION("""COMPUTED_VALUE"""),"BARDO")</f>
        <v>BARDO</v>
      </c>
      <c r="I233" s="43" t="str">
        <f>IFERROR(__xludf.DUMMYFUNCTION("""COMPUTED_VALUE"""),"Turkey")</f>
        <v>Turkey</v>
      </c>
      <c r="J233" s="43" t="str">
        <f>IFERROR(__xludf.DUMMYFUNCTION("""COMPUTED_VALUE"""),"ANTALYA")</f>
        <v>ANTALYA</v>
      </c>
      <c r="K233" s="44" t="str">
        <f>IFERROR(__xludf.DUMMYFUNCTION("""COMPUTED_VALUE"""),"https://expa.aiesec.org/opportunities/1296424")</f>
        <v>https://expa.aiesec.org/opportunities/1296424</v>
      </c>
      <c r="L233" s="43" t="str">
        <f>IFERROR(__xludf.DUMMYFUNCTION("""COMPUTED_VALUE"""),"GTa")</f>
        <v>GTa</v>
      </c>
      <c r="M233" s="43" t="str">
        <f>IFERROR(__xludf.DUMMYFUNCTION("""COMPUTED_VALUE"""),"long")</f>
        <v>long</v>
      </c>
      <c r="N233" s="45">
        <f>IFERROR(__xludf.DUMMYFUNCTION("""COMPUTED_VALUE"""),45141.0)</f>
        <v>45141</v>
      </c>
      <c r="O233" s="45">
        <f>IFERROR(__xludf.DUMMYFUNCTION("""COMPUTED_VALUE"""),45170.0)</f>
        <v>45170</v>
      </c>
      <c r="P233" s="45">
        <f>IFERROR(__xludf.DUMMYFUNCTION("""COMPUTED_VALUE"""),45536.0)</f>
        <v>45536</v>
      </c>
      <c r="Q233" s="45"/>
      <c r="R233" s="45"/>
      <c r="S233" s="43"/>
      <c r="T233" s="43" t="str">
        <f>IFERROR(__xludf.DUMMYFUNCTION("""COMPUTED_VALUE"""),"Marketing")</f>
        <v>Marketing</v>
      </c>
      <c r="U233" s="43" t="str">
        <f>IFERROR(__xludf.DUMMYFUNCTION("""COMPUTED_VALUE"""),"Marketing Intern")</f>
        <v>Marketing Intern</v>
      </c>
      <c r="V233" s="43" t="str">
        <f>IFERROR(__xludf.DUMMYFUNCTION("""COMPUTED_VALUE"""),"-")</f>
        <v>-</v>
      </c>
      <c r="W233" s="43" t="str">
        <f>IFERROR(__xludf.DUMMYFUNCTION("""COMPUTED_VALUE"""),"2017-06-26T03:40:39Z")</f>
        <v>2017-06-26T03:40:39Z</v>
      </c>
      <c r="X233" s="43"/>
      <c r="Y233" s="43"/>
      <c r="Z233" s="43"/>
    </row>
    <row r="234" hidden="1">
      <c r="A234" s="43" t="str">
        <f>IFERROR(__xludf.DUMMYFUNCTION("""COMPUTED_VALUE"""),"5297017_1297414")</f>
        <v>5297017_1297414</v>
      </c>
      <c r="B234" s="43" t="str">
        <f>IFERROR(__xludf.DUMMYFUNCTION("""COMPUTED_VALUE"""),"Chaimae SALMI")</f>
        <v>Chaimae SALMI</v>
      </c>
      <c r="C234" s="43" t="str">
        <f>IFERROR(__xludf.DUMMYFUNCTION("""COMPUTED_VALUE"""),"realized")</f>
        <v>realized</v>
      </c>
      <c r="D234" s="43" t="str">
        <f>IFERROR(__xludf.DUMMYFUNCTION("""COMPUTED_VALUE"""),"No")</f>
        <v>No</v>
      </c>
      <c r="E234" s="43" t="str">
        <f>IFERROR(__xludf.DUMMYFUNCTION("""COMPUTED_VALUE"""),"p_3324ed1ff286e6d10ff1742ca0641fe47590a396@inbound.aiesec.org")</f>
        <v>p_3324ed1ff286e6d10ff1742ca0641fe47590a396@inbound.aiesec.org</v>
      </c>
      <c r="F234" s="43">
        <f>IFERROR(__xludf.DUMMYFUNCTION("""COMPUTED_VALUE"""),6.53478333E8)</f>
        <v>653478333</v>
      </c>
      <c r="G234" s="43" t="str">
        <f>IFERROR(__xludf.DUMMYFUNCTION("""COMPUTED_VALUE"""),"Morocco")</f>
        <v>Morocco</v>
      </c>
      <c r="H234" s="43" t="str">
        <f>IFERROR(__xludf.DUMMYFUNCTION("""COMPUTED_VALUE"""),"Morocco (MC)")</f>
        <v>Morocco (MC)</v>
      </c>
      <c r="I234" s="43" t="str">
        <f>IFERROR(__xludf.DUMMYFUNCTION("""COMPUTED_VALUE"""),"Turkey")</f>
        <v>Turkey</v>
      </c>
      <c r="J234" s="43" t="str">
        <f>IFERROR(__xludf.DUMMYFUNCTION("""COMPUTED_VALUE"""),"GAZIANTEP")</f>
        <v>GAZIANTEP</v>
      </c>
      <c r="K234" s="44" t="str">
        <f>IFERROR(__xludf.DUMMYFUNCTION("""COMPUTED_VALUE"""),"https://expa.aiesec.org/opportunities/1297414")</f>
        <v>https://expa.aiesec.org/opportunities/1297414</v>
      </c>
      <c r="L234" s="43" t="str">
        <f>IFERROR(__xludf.DUMMYFUNCTION("""COMPUTED_VALUE"""),"GTa")</f>
        <v>GTa</v>
      </c>
      <c r="M234" s="43" t="str">
        <f>IFERROR(__xludf.DUMMYFUNCTION("""COMPUTED_VALUE"""),"long")</f>
        <v>long</v>
      </c>
      <c r="N234" s="45">
        <f>IFERROR(__xludf.DUMMYFUNCTION("""COMPUTED_VALUE"""),45142.0)</f>
        <v>45142</v>
      </c>
      <c r="O234" s="45">
        <f>IFERROR(__xludf.DUMMYFUNCTION("""COMPUTED_VALUE"""),45170.0)</f>
        <v>45170</v>
      </c>
      <c r="P234" s="45">
        <f>IFERROR(__xludf.DUMMYFUNCTION("""COMPUTED_VALUE"""),45535.0)</f>
        <v>45535</v>
      </c>
      <c r="Q234" s="45">
        <f>IFERROR(__xludf.DUMMYFUNCTION("""COMPUTED_VALUE"""),45191.0)</f>
        <v>45191</v>
      </c>
      <c r="R234" s="45">
        <f>IFERROR(__xludf.DUMMYFUNCTION("""COMPUTED_VALUE"""),45556.0)</f>
        <v>45556</v>
      </c>
      <c r="S234" s="43"/>
      <c r="T234" s="43" t="str">
        <f>IFERROR(__xludf.DUMMYFUNCTION("""COMPUTED_VALUE"""),"Marketing")</f>
        <v>Marketing</v>
      </c>
      <c r="U234" s="43" t="str">
        <f>IFERROR(__xludf.DUMMYFUNCTION("""COMPUTED_VALUE"""),"Marketing ")</f>
        <v>Marketing </v>
      </c>
      <c r="V234" s="43" t="str">
        <f>IFERROR(__xludf.DUMMYFUNCTION("""COMPUTED_VALUE"""),"OUJDA")</f>
        <v>OUJDA</v>
      </c>
      <c r="W234" s="43" t="str">
        <f>IFERROR(__xludf.DUMMYFUNCTION("""COMPUTED_VALUE"""),"2023-08-04T15:41:33Z")</f>
        <v>2023-08-04T15:41:33Z</v>
      </c>
      <c r="X234" s="43"/>
      <c r="Y234" s="43"/>
      <c r="Z234" s="43"/>
    </row>
    <row r="235" hidden="1">
      <c r="A235" s="43" t="str">
        <f>IFERROR(__xludf.DUMMYFUNCTION("""COMPUTED_VALUE"""),"5295099_1289255")</f>
        <v>5295099_1289255</v>
      </c>
      <c r="B235" s="43" t="str">
        <f>IFERROR(__xludf.DUMMYFUNCTION("""COMPUTED_VALUE"""),"EL MAHDI ABDELOUAHAD")</f>
        <v>EL MAHDI ABDELOUAHAD</v>
      </c>
      <c r="C235" s="43" t="str">
        <f>IFERROR(__xludf.DUMMYFUNCTION("""COMPUTED_VALUE"""),"approved")</f>
        <v>approved</v>
      </c>
      <c r="D235" s="43" t="str">
        <f>IFERROR(__xludf.DUMMYFUNCTION("""COMPUTED_VALUE"""),"No")</f>
        <v>No</v>
      </c>
      <c r="E235" s="43" t="str">
        <f>IFERROR(__xludf.DUMMYFUNCTION("""COMPUTED_VALUE"""),"p_e90a14b88a821e653e5a021115a143f748a9c9ae@inbound.aiesec.org")</f>
        <v>p_e90a14b88a821e653e5a021115a143f748a9c9ae@inbound.aiesec.org</v>
      </c>
      <c r="F235" s="43">
        <f>IFERROR(__xludf.DUMMYFUNCTION("""COMPUTED_VALUE"""),7.83816928E8)</f>
        <v>783816928</v>
      </c>
      <c r="G235" s="43" t="str">
        <f>IFERROR(__xludf.DUMMYFUNCTION("""COMPUTED_VALUE"""),"Algeria")</f>
        <v>Algeria</v>
      </c>
      <c r="H235" s="43" t="str">
        <f>IFERROR(__xludf.DUMMYFUNCTION("""COMPUTED_VALUE"""),"Babez")</f>
        <v>Babez</v>
      </c>
      <c r="I235" s="43" t="str">
        <f>IFERROR(__xludf.DUMMYFUNCTION("""COMPUTED_VALUE"""),"Turkey")</f>
        <v>Turkey</v>
      </c>
      <c r="J235" s="43" t="str">
        <f>IFERROR(__xludf.DUMMYFUNCTION("""COMPUTED_VALUE"""),"ISTANBUL")</f>
        <v>ISTANBUL</v>
      </c>
      <c r="K235" s="44" t="str">
        <f>IFERROR(__xludf.DUMMYFUNCTION("""COMPUTED_VALUE"""),"https://expa.aiesec.org/opportunities/1289255")</f>
        <v>https://expa.aiesec.org/opportunities/1289255</v>
      </c>
      <c r="L235" s="43" t="str">
        <f>IFERROR(__xludf.DUMMYFUNCTION("""COMPUTED_VALUE"""),"GTa")</f>
        <v>GTa</v>
      </c>
      <c r="M235" s="43" t="str">
        <f>IFERROR(__xludf.DUMMYFUNCTION("""COMPUTED_VALUE"""),"long")</f>
        <v>long</v>
      </c>
      <c r="N235" s="45">
        <f>IFERROR(__xludf.DUMMYFUNCTION("""COMPUTED_VALUE"""),45145.0)</f>
        <v>45145</v>
      </c>
      <c r="O235" s="45">
        <f>IFERROR(__xludf.DUMMYFUNCTION("""COMPUTED_VALUE"""),45257.0)</f>
        <v>45257</v>
      </c>
      <c r="P235" s="45">
        <f>IFERROR(__xludf.DUMMYFUNCTION("""COMPUTED_VALUE"""),45758.0)</f>
        <v>45758</v>
      </c>
      <c r="Q235" s="45"/>
      <c r="R235" s="45"/>
      <c r="S235" s="43"/>
      <c r="T235" s="43" t="str">
        <f>IFERROR(__xludf.DUMMYFUNCTION("""COMPUTED_VALUE"""),"Business Administration")</f>
        <v>Business Administration</v>
      </c>
      <c r="U235" s="43" t="str">
        <f>IFERROR(__xludf.DUMMYFUNCTION("""COMPUTED_VALUE"""),"Telesales Specialist in Istanbul (French Speaker)")</f>
        <v>Telesales Specialist in Istanbul (French Speaker)</v>
      </c>
      <c r="V235" s="43" t="str">
        <f>IFERROR(__xludf.DUMMYFUNCTION("""COMPUTED_VALUE"""),"AIESEC in Babez")</f>
        <v>AIESEC in Babez</v>
      </c>
      <c r="W235" s="43" t="str">
        <f>IFERROR(__xludf.DUMMYFUNCTION("""COMPUTED_VALUE"""),"2023-08-03T10:27:28Z")</f>
        <v>2023-08-03T10:27:28Z</v>
      </c>
      <c r="X235" s="43"/>
      <c r="Y235" s="43"/>
      <c r="Z235" s="43"/>
    </row>
    <row r="236" hidden="1">
      <c r="A236" s="43" t="str">
        <f>IFERROR(__xludf.DUMMYFUNCTION("""COMPUTED_VALUE"""),"5292559_1280733")</f>
        <v>5292559_1280733</v>
      </c>
      <c r="B236" s="43" t="str">
        <f>IFERROR(__xludf.DUMMYFUNCTION("""COMPUTED_VALUE"""),"Hesham Mohamed")</f>
        <v>Hesham Mohamed</v>
      </c>
      <c r="C236" s="43" t="str">
        <f>IFERROR(__xludf.DUMMYFUNCTION("""COMPUTED_VALUE"""),"approved")</f>
        <v>approved</v>
      </c>
      <c r="D236" s="43" t="str">
        <f>IFERROR(__xludf.DUMMYFUNCTION("""COMPUTED_VALUE"""),"No")</f>
        <v>No</v>
      </c>
      <c r="E236" s="43" t="str">
        <f>IFERROR(__xludf.DUMMYFUNCTION("""COMPUTED_VALUE"""),"p_3756599e37798b591869a7faddc266e035325054@inbound.aiesec.org")</f>
        <v>p_3756599e37798b591869a7faddc266e035325054@inbound.aiesec.org</v>
      </c>
      <c r="F236" s="43"/>
      <c r="G236" s="43" t="str">
        <f>IFERROR(__xludf.DUMMYFUNCTION("""COMPUTED_VALUE"""),"Egypt")</f>
        <v>Egypt</v>
      </c>
      <c r="H236" s="43" t="str">
        <f>IFERROR(__xludf.DUMMYFUNCTION("""COMPUTED_VALUE"""),"Cairo University")</f>
        <v>Cairo University</v>
      </c>
      <c r="I236" s="43" t="str">
        <f>IFERROR(__xludf.DUMMYFUNCTION("""COMPUTED_VALUE"""),"Turkey")</f>
        <v>Turkey</v>
      </c>
      <c r="J236" s="43" t="str">
        <f>IFERROR(__xludf.DUMMYFUNCTION("""COMPUTED_VALUE"""),"ANTALYA")</f>
        <v>ANTALYA</v>
      </c>
      <c r="K236" s="44" t="str">
        <f>IFERROR(__xludf.DUMMYFUNCTION("""COMPUTED_VALUE"""),"https://expa.aiesec.org/opportunities/1280733")</f>
        <v>https://expa.aiesec.org/opportunities/1280733</v>
      </c>
      <c r="L236" s="43" t="str">
        <f>IFERROR(__xludf.DUMMYFUNCTION("""COMPUTED_VALUE"""),"GTa")</f>
        <v>GTa</v>
      </c>
      <c r="M236" s="43" t="str">
        <f>IFERROR(__xludf.DUMMYFUNCTION("""COMPUTED_VALUE"""),"long")</f>
        <v>long</v>
      </c>
      <c r="N236" s="45">
        <f>IFERROR(__xludf.DUMMYFUNCTION("""COMPUTED_VALUE"""),45145.0)</f>
        <v>45145</v>
      </c>
      <c r="O236" s="45">
        <f>IFERROR(__xludf.DUMMYFUNCTION("""COMPUTED_VALUE"""),45231.0)</f>
        <v>45231</v>
      </c>
      <c r="P236" s="45">
        <f>IFERROR(__xludf.DUMMYFUNCTION("""COMPUTED_VALUE"""),45597.0)</f>
        <v>45597</v>
      </c>
      <c r="Q236" s="45"/>
      <c r="R236" s="45"/>
      <c r="S236" s="43"/>
      <c r="T236" s="43" t="str">
        <f>IFERROR(__xludf.DUMMYFUNCTION("""COMPUTED_VALUE"""),"Other")</f>
        <v>Other</v>
      </c>
      <c r="U236" s="43" t="str">
        <f>IFERROR(__xludf.DUMMYFUNCTION("""COMPUTED_VALUE"""),"Public Relations w/Meet2Talk")</f>
        <v>Public Relations w/Meet2Talk</v>
      </c>
      <c r="V236" s="43" t="str">
        <f>IFERROR(__xludf.DUMMYFUNCTION("""COMPUTED_VALUE"""),"-")</f>
        <v>-</v>
      </c>
      <c r="W236" s="43" t="str">
        <f>IFERROR(__xludf.DUMMYFUNCTION("""COMPUTED_VALUE"""),"2023-08-01T09:33:44Z")</f>
        <v>2023-08-01T09:33:44Z</v>
      </c>
      <c r="X236" s="43"/>
      <c r="Y236" s="43"/>
      <c r="Z236" s="43"/>
    </row>
    <row r="237" hidden="1">
      <c r="A237" s="43" t="str">
        <f>IFERROR(__xludf.DUMMYFUNCTION("""COMPUTED_VALUE"""),"5295451_1288377")</f>
        <v>5295451_1288377</v>
      </c>
      <c r="B237" s="43" t="str">
        <f>IFERROR(__xludf.DUMMYFUNCTION("""COMPUTED_VALUE"""),"Alexandra Fajardo")</f>
        <v>Alexandra Fajardo</v>
      </c>
      <c r="C237" s="43" t="str">
        <f>IFERROR(__xludf.DUMMYFUNCTION("""COMPUTED_VALUE"""),"realized")</f>
        <v>realized</v>
      </c>
      <c r="D237" s="43" t="str">
        <f>IFERROR(__xludf.DUMMYFUNCTION("""COMPUTED_VALUE"""),"No")</f>
        <v>No</v>
      </c>
      <c r="E237" s="43" t="str">
        <f>IFERROR(__xludf.DUMMYFUNCTION("""COMPUTED_VALUE"""),"p_fa78a655235047425378467e1d663ef606e4a62d@inbound.aiesec.org")</f>
        <v>p_fa78a655235047425378467e1d663ef606e4a62d@inbound.aiesec.org</v>
      </c>
      <c r="F237" s="43">
        <f>IFERROR(__xludf.DUMMYFUNCTION("""COMPUTED_VALUE"""),9.2007935E8)</f>
        <v>920079350</v>
      </c>
      <c r="G237" s="43" t="str">
        <f>IFERROR(__xludf.DUMMYFUNCTION("""COMPUTED_VALUE"""),"Peru")</f>
        <v>Peru</v>
      </c>
      <c r="H237" s="43" t="str">
        <f>IFERROR(__xludf.DUMMYFUNCTION("""COMPUTED_VALUE"""),"Lima")</f>
        <v>Lima</v>
      </c>
      <c r="I237" s="43" t="str">
        <f>IFERROR(__xludf.DUMMYFUNCTION("""COMPUTED_VALUE"""),"Turkey")</f>
        <v>Turkey</v>
      </c>
      <c r="J237" s="43" t="str">
        <f>IFERROR(__xludf.DUMMYFUNCTION("""COMPUTED_VALUE"""),"ADANA")</f>
        <v>ADANA</v>
      </c>
      <c r="K237" s="44" t="str">
        <f>IFERROR(__xludf.DUMMYFUNCTION("""COMPUTED_VALUE"""),"https://expa.aiesec.org/opportunities/1288377")</f>
        <v>https://expa.aiesec.org/opportunities/1288377</v>
      </c>
      <c r="L237" s="43" t="str">
        <f>IFERROR(__xludf.DUMMYFUNCTION("""COMPUTED_VALUE"""),"GTa")</f>
        <v>GTa</v>
      </c>
      <c r="M237" s="43" t="str">
        <f>IFERROR(__xludf.DUMMYFUNCTION("""COMPUTED_VALUE"""),"long")</f>
        <v>long</v>
      </c>
      <c r="N237" s="45">
        <f>IFERROR(__xludf.DUMMYFUNCTION("""COMPUTED_VALUE"""),45149.0)</f>
        <v>45149</v>
      </c>
      <c r="O237" s="45">
        <f>IFERROR(__xludf.DUMMYFUNCTION("""COMPUTED_VALUE"""),45159.0)</f>
        <v>45159</v>
      </c>
      <c r="P237" s="45">
        <f>IFERROR(__xludf.DUMMYFUNCTION("""COMPUTED_VALUE"""),45524.0)</f>
        <v>45524</v>
      </c>
      <c r="Q237" s="45">
        <f>IFERROR(__xludf.DUMMYFUNCTION("""COMPUTED_VALUE"""),45159.0)</f>
        <v>45159</v>
      </c>
      <c r="R237" s="45">
        <f>IFERROR(__xludf.DUMMYFUNCTION("""COMPUTED_VALUE"""),45524.0)</f>
        <v>45524</v>
      </c>
      <c r="S237" s="43"/>
      <c r="T237" s="43" t="str">
        <f>IFERROR(__xludf.DUMMYFUNCTION("""COMPUTED_VALUE"""),"Business Development")</f>
        <v>Business Development</v>
      </c>
      <c r="U237" s="43" t="str">
        <f>IFERROR(__xludf.DUMMYFUNCTION("""COMPUTED_VALUE"""),"Sales Executive in External Trade | Spanish Speaker")</f>
        <v>Sales Executive in External Trade | Spanish Speaker</v>
      </c>
      <c r="V237" s="43" t="str">
        <f>IFERROR(__xludf.DUMMYFUNCTION("""COMPUTED_VALUE"""),"Lima - Universidad San Ignacio de Loyola")</f>
        <v>Lima - Universidad San Ignacio de Loyola</v>
      </c>
      <c r="W237" s="43" t="str">
        <f>IFERROR(__xludf.DUMMYFUNCTION("""COMPUTED_VALUE"""),"2023-08-03T14:31:47Z")</f>
        <v>2023-08-03T14:31:47Z</v>
      </c>
      <c r="X237" s="43"/>
      <c r="Y237" s="43"/>
      <c r="Z237" s="43"/>
    </row>
    <row r="238" hidden="1">
      <c r="A238" s="43" t="str">
        <f>IFERROR(__xludf.DUMMYFUNCTION("""COMPUTED_VALUE"""),"3219232_1297603")</f>
        <v>3219232_1297603</v>
      </c>
      <c r="B238" s="43" t="str">
        <f>IFERROR(__xludf.DUMMYFUNCTION("""COMPUTED_VALUE"""),"Oubaida Abderrahmane Baara")</f>
        <v>Oubaida Abderrahmane Baara</v>
      </c>
      <c r="C238" s="43" t="str">
        <f>IFERROR(__xludf.DUMMYFUNCTION("""COMPUTED_VALUE"""),"realized")</f>
        <v>realized</v>
      </c>
      <c r="D238" s="43" t="str">
        <f>IFERROR(__xludf.DUMMYFUNCTION("""COMPUTED_VALUE"""),"No")</f>
        <v>No</v>
      </c>
      <c r="E238" s="43" t="str">
        <f>IFERROR(__xludf.DUMMYFUNCTION("""COMPUTED_VALUE"""),"p_e57d2e9b165225720516d78371a22fa85221121e@inbound.aiesec.org")</f>
        <v>p_e57d2e9b165225720516d78371a22fa85221121e@inbound.aiesec.org</v>
      </c>
      <c r="F238" s="43">
        <f>IFERROR(__xludf.DUMMYFUNCTION("""COMPUTED_VALUE"""),6.74600128E8)</f>
        <v>674600128</v>
      </c>
      <c r="G238" s="43" t="str">
        <f>IFERROR(__xludf.DUMMYFUNCTION("""COMPUTED_VALUE"""),"Algeria")</f>
        <v>Algeria</v>
      </c>
      <c r="H238" s="43" t="str">
        <f>IFERROR(__xludf.DUMMYFUNCTION("""COMPUTED_VALUE"""),"Babez")</f>
        <v>Babez</v>
      </c>
      <c r="I238" s="43" t="str">
        <f>IFERROR(__xludf.DUMMYFUNCTION("""COMPUTED_VALUE"""),"Turkey")</f>
        <v>Turkey</v>
      </c>
      <c r="J238" s="43" t="str">
        <f>IFERROR(__xludf.DUMMYFUNCTION("""COMPUTED_VALUE"""),"BURSA")</f>
        <v>BURSA</v>
      </c>
      <c r="K238" s="44" t="str">
        <f>IFERROR(__xludf.DUMMYFUNCTION("""COMPUTED_VALUE"""),"https://expa.aiesec.org/opportunities/1297603")</f>
        <v>https://expa.aiesec.org/opportunities/1297603</v>
      </c>
      <c r="L238" s="43" t="str">
        <f>IFERROR(__xludf.DUMMYFUNCTION("""COMPUTED_VALUE"""),"GTa")</f>
        <v>GTa</v>
      </c>
      <c r="M238" s="43" t="str">
        <f>IFERROR(__xludf.DUMMYFUNCTION("""COMPUTED_VALUE"""),"long")</f>
        <v>long</v>
      </c>
      <c r="N238" s="45">
        <f>IFERROR(__xludf.DUMMYFUNCTION("""COMPUTED_VALUE"""),45150.0)</f>
        <v>45150</v>
      </c>
      <c r="O238" s="45">
        <f>IFERROR(__xludf.DUMMYFUNCTION("""COMPUTED_VALUE"""),45179.0)</f>
        <v>45179</v>
      </c>
      <c r="P238" s="45">
        <f>IFERROR(__xludf.DUMMYFUNCTION("""COMPUTED_VALUE"""),45545.0)</f>
        <v>45545</v>
      </c>
      <c r="Q238" s="45">
        <f>IFERROR(__xludf.DUMMYFUNCTION("""COMPUTED_VALUE"""),45176.0)</f>
        <v>45176</v>
      </c>
      <c r="R238" s="45">
        <f>IFERROR(__xludf.DUMMYFUNCTION("""COMPUTED_VALUE"""),45545.0)</f>
        <v>45545</v>
      </c>
      <c r="S238" s="43"/>
      <c r="T238" s="43" t="str">
        <f>IFERROR(__xludf.DUMMYFUNCTION("""COMPUTED_VALUE"""),"Marketing")</f>
        <v>Marketing</v>
      </c>
      <c r="U238" s="43" t="str">
        <f>IFERROR(__xludf.DUMMYFUNCTION("""COMPUTED_VALUE"""),"MARKETING")</f>
        <v>MARKETING</v>
      </c>
      <c r="V238" s="43" t="str">
        <f>IFERROR(__xludf.DUMMYFUNCTION("""COMPUTED_VALUE"""),"-")</f>
        <v>-</v>
      </c>
      <c r="W238" s="43" t="str">
        <f>IFERROR(__xludf.DUMMYFUNCTION("""COMPUTED_VALUE"""),"2019-03-14T09:31:32Z")</f>
        <v>2019-03-14T09:31:32Z</v>
      </c>
      <c r="X238" s="43"/>
      <c r="Y238" s="43"/>
      <c r="Z238" s="43"/>
    </row>
    <row r="239" hidden="1">
      <c r="A239" s="43" t="str">
        <f>IFERROR(__xludf.DUMMYFUNCTION("""COMPUTED_VALUE"""),"5295859_1289255")</f>
        <v>5295859_1289255</v>
      </c>
      <c r="B239" s="43" t="str">
        <f>IFERROR(__xludf.DUMMYFUNCTION("""COMPUTED_VALUE"""),"Sana BOULANOUAR")</f>
        <v>Sana BOULANOUAR</v>
      </c>
      <c r="C239" s="43" t="str">
        <f>IFERROR(__xludf.DUMMYFUNCTION("""COMPUTED_VALUE"""),"realized")</f>
        <v>realized</v>
      </c>
      <c r="D239" s="43" t="str">
        <f>IFERROR(__xludf.DUMMYFUNCTION("""COMPUTED_VALUE"""),"No")</f>
        <v>No</v>
      </c>
      <c r="E239" s="43" t="str">
        <f>IFERROR(__xludf.DUMMYFUNCTION("""COMPUTED_VALUE"""),"p_190df8fd77f680ffe83e5c3379e275feff0249f1@inbound.aiesec.org")</f>
        <v>p_190df8fd77f680ffe83e5c3379e275feff0249f1@inbound.aiesec.org</v>
      </c>
      <c r="F239" s="43">
        <f>IFERROR(__xludf.DUMMYFUNCTION("""COMPUTED_VALUE"""),6.98255318E8)</f>
        <v>698255318</v>
      </c>
      <c r="G239" s="43" t="str">
        <f>IFERROR(__xludf.DUMMYFUNCTION("""COMPUTED_VALUE"""),"Algeria")</f>
        <v>Algeria</v>
      </c>
      <c r="H239" s="43" t="str">
        <f>IFERROR(__xludf.DUMMYFUNCTION("""COMPUTED_VALUE"""),"Babez")</f>
        <v>Babez</v>
      </c>
      <c r="I239" s="43" t="str">
        <f>IFERROR(__xludf.DUMMYFUNCTION("""COMPUTED_VALUE"""),"Turkey")</f>
        <v>Turkey</v>
      </c>
      <c r="J239" s="43" t="str">
        <f>IFERROR(__xludf.DUMMYFUNCTION("""COMPUTED_VALUE"""),"ISTANBUL")</f>
        <v>ISTANBUL</v>
      </c>
      <c r="K239" s="44" t="str">
        <f>IFERROR(__xludf.DUMMYFUNCTION("""COMPUTED_VALUE"""),"https://expa.aiesec.org/opportunities/1289255")</f>
        <v>https://expa.aiesec.org/opportunities/1289255</v>
      </c>
      <c r="L239" s="43" t="str">
        <f>IFERROR(__xludf.DUMMYFUNCTION("""COMPUTED_VALUE"""),"GTa")</f>
        <v>GTa</v>
      </c>
      <c r="M239" s="43" t="str">
        <f>IFERROR(__xludf.DUMMYFUNCTION("""COMPUTED_VALUE"""),"long")</f>
        <v>long</v>
      </c>
      <c r="N239" s="45">
        <f>IFERROR(__xludf.DUMMYFUNCTION("""COMPUTED_VALUE"""),45154.0)</f>
        <v>45154</v>
      </c>
      <c r="O239" s="45">
        <f>IFERROR(__xludf.DUMMYFUNCTION("""COMPUTED_VALUE"""),45215.0)</f>
        <v>45215</v>
      </c>
      <c r="P239" s="45">
        <f>IFERROR(__xludf.DUMMYFUNCTION("""COMPUTED_VALUE"""),45716.0)</f>
        <v>45716</v>
      </c>
      <c r="Q239" s="45">
        <f>IFERROR(__xludf.DUMMYFUNCTION("""COMPUTED_VALUE"""),45219.0)</f>
        <v>45219</v>
      </c>
      <c r="R239" s="45">
        <f>IFERROR(__xludf.DUMMYFUNCTION("""COMPUTED_VALUE"""),45720.0)</f>
        <v>45720</v>
      </c>
      <c r="S239" s="43"/>
      <c r="T239" s="43" t="str">
        <f>IFERROR(__xludf.DUMMYFUNCTION("""COMPUTED_VALUE"""),"Business Administration")</f>
        <v>Business Administration</v>
      </c>
      <c r="U239" s="43" t="str">
        <f>IFERROR(__xludf.DUMMYFUNCTION("""COMPUTED_VALUE"""),"Telesales Specialist in Istanbul (French Speaker)")</f>
        <v>Telesales Specialist in Istanbul (French Speaker)</v>
      </c>
      <c r="V239" s="43" t="str">
        <f>IFERROR(__xludf.DUMMYFUNCTION("""COMPUTED_VALUE"""),"AIESEC in Babez")</f>
        <v>AIESEC in Babez</v>
      </c>
      <c r="W239" s="43" t="str">
        <f>IFERROR(__xludf.DUMMYFUNCTION("""COMPUTED_VALUE"""),"2023-08-03T18:51:55Z")</f>
        <v>2023-08-03T18:51:55Z</v>
      </c>
      <c r="X239" s="43"/>
      <c r="Y239" s="43"/>
      <c r="Z239" s="43"/>
    </row>
    <row r="240" hidden="1">
      <c r="A240" s="43" t="str">
        <f>IFERROR(__xludf.DUMMYFUNCTION("""COMPUTED_VALUE"""),"5302250_1289378")</f>
        <v>5302250_1289378</v>
      </c>
      <c r="B240" s="43" t="str">
        <f>IFERROR(__xludf.DUMMYFUNCTION("""COMPUTED_VALUE"""),"El Haroual Aymane")</f>
        <v>El Haroual Aymane</v>
      </c>
      <c r="C240" s="43" t="str">
        <f>IFERROR(__xludf.DUMMYFUNCTION("""COMPUTED_VALUE"""),"realized")</f>
        <v>realized</v>
      </c>
      <c r="D240" s="43" t="str">
        <f>IFERROR(__xludf.DUMMYFUNCTION("""COMPUTED_VALUE"""),"No")</f>
        <v>No</v>
      </c>
      <c r="E240" s="43" t="str">
        <f>IFERROR(__xludf.DUMMYFUNCTION("""COMPUTED_VALUE"""),"p_8a6eb6d30011471487e28e9f0a8bad323bd6e6d6@inbound.aiesec.org")</f>
        <v>p_8a6eb6d30011471487e28e9f0a8bad323bd6e6d6@inbound.aiesec.org</v>
      </c>
      <c r="F240" s="43">
        <f>IFERROR(__xludf.DUMMYFUNCTION("""COMPUTED_VALUE"""),6.10131714E8)</f>
        <v>610131714</v>
      </c>
      <c r="G240" s="43" t="str">
        <f>IFERROR(__xludf.DUMMYFUNCTION("""COMPUTED_VALUE"""),"Morocco")</f>
        <v>Morocco</v>
      </c>
      <c r="H240" s="43" t="str">
        <f>IFERROR(__xludf.DUMMYFUNCTION("""COMPUTED_VALUE"""),"Tetouan")</f>
        <v>Tetouan</v>
      </c>
      <c r="I240" s="43" t="str">
        <f>IFERROR(__xludf.DUMMYFUNCTION("""COMPUTED_VALUE"""),"Turkey")</f>
        <v>Turkey</v>
      </c>
      <c r="J240" s="43" t="str">
        <f>IFERROR(__xludf.DUMMYFUNCTION("""COMPUTED_VALUE"""),"ISTANBUL")</f>
        <v>ISTANBUL</v>
      </c>
      <c r="K240" s="44" t="str">
        <f>IFERROR(__xludf.DUMMYFUNCTION("""COMPUTED_VALUE"""),"https://expa.aiesec.org/opportunities/1289378")</f>
        <v>https://expa.aiesec.org/opportunities/1289378</v>
      </c>
      <c r="L240" s="43" t="str">
        <f>IFERROR(__xludf.DUMMYFUNCTION("""COMPUTED_VALUE"""),"GTa")</f>
        <v>GTa</v>
      </c>
      <c r="M240" s="43" t="str">
        <f>IFERROR(__xludf.DUMMYFUNCTION("""COMPUTED_VALUE"""),"long")</f>
        <v>long</v>
      </c>
      <c r="N240" s="45">
        <f>IFERROR(__xludf.DUMMYFUNCTION("""COMPUTED_VALUE"""),45154.0)</f>
        <v>45154</v>
      </c>
      <c r="O240" s="45">
        <f>IFERROR(__xludf.DUMMYFUNCTION("""COMPUTED_VALUE"""),45173.0)</f>
        <v>45173</v>
      </c>
      <c r="P240" s="45">
        <f>IFERROR(__xludf.DUMMYFUNCTION("""COMPUTED_VALUE"""),45674.0)</f>
        <v>45674</v>
      </c>
      <c r="Q240" s="45">
        <f>IFERROR(__xludf.DUMMYFUNCTION("""COMPUTED_VALUE"""),45232.0)</f>
        <v>45232</v>
      </c>
      <c r="R240" s="45">
        <f>IFERROR(__xludf.DUMMYFUNCTION("""COMPUTED_VALUE"""),45733.0)</f>
        <v>45733</v>
      </c>
      <c r="S240" s="43"/>
      <c r="T240" s="43" t="str">
        <f>IFERROR(__xludf.DUMMYFUNCTION("""COMPUTED_VALUE"""),"Business Administration")</f>
        <v>Business Administration</v>
      </c>
      <c r="U240" s="43" t="str">
        <f>IFERROR(__xludf.DUMMYFUNCTION("""COMPUTED_VALUE"""),"Telesales Specialist in Istanbul (Spanish Speaker)")</f>
        <v>Telesales Specialist in Istanbul (Spanish Speaker)</v>
      </c>
      <c r="V240" s="43" t="str">
        <f>IFERROR(__xludf.DUMMYFUNCTION("""COMPUTED_VALUE"""),"Other-TETOUAN")</f>
        <v>Other-TETOUAN</v>
      </c>
      <c r="W240" s="43" t="str">
        <f>IFERROR(__xludf.DUMMYFUNCTION("""COMPUTED_VALUE"""),"2023-08-14T09:25:37Z")</f>
        <v>2023-08-14T09:25:37Z</v>
      </c>
      <c r="X240" s="43"/>
      <c r="Y240" s="43"/>
      <c r="Z240" s="43"/>
    </row>
    <row r="241" hidden="1">
      <c r="A241" s="43" t="str">
        <f>IFERROR(__xludf.DUMMYFUNCTION("""COMPUTED_VALUE"""),"5303638_1290469")</f>
        <v>5303638_1290469</v>
      </c>
      <c r="B241" s="43" t="str">
        <f>IFERROR(__xludf.DUMMYFUNCTION("""COMPUTED_VALUE"""),"Syed Raiyan")</f>
        <v>Syed Raiyan</v>
      </c>
      <c r="C241" s="43" t="str">
        <f>IFERROR(__xludf.DUMMYFUNCTION("""COMPUTED_VALUE"""),"realized")</f>
        <v>realized</v>
      </c>
      <c r="D241" s="43" t="str">
        <f>IFERROR(__xludf.DUMMYFUNCTION("""COMPUTED_VALUE"""),"No")</f>
        <v>No</v>
      </c>
      <c r="E241" s="43" t="str">
        <f>IFERROR(__xludf.DUMMYFUNCTION("""COMPUTED_VALUE"""),"p_ddf5ada0c8eafd5f9fcc4d407d41b40f5c490994@inbound.aiesec.org")</f>
        <v>p_ddf5ada0c8eafd5f9fcc4d407d41b40f5c490994@inbound.aiesec.org</v>
      </c>
      <c r="F241" s="43">
        <f>IFERROR(__xludf.DUMMYFUNCTION("""COMPUTED_VALUE"""),9.791077279E9)</f>
        <v>9791077279</v>
      </c>
      <c r="G241" s="43" t="str">
        <f>IFERROR(__xludf.DUMMYFUNCTION("""COMPUTED_VALUE"""),"India")</f>
        <v>India</v>
      </c>
      <c r="H241" s="43" t="str">
        <f>IFERROR(__xludf.DUMMYFUNCTION("""COMPUTED_VALUE"""),"Chennai")</f>
        <v>Chennai</v>
      </c>
      <c r="I241" s="43" t="str">
        <f>IFERROR(__xludf.DUMMYFUNCTION("""COMPUTED_VALUE"""),"Turkey")</f>
        <v>Turkey</v>
      </c>
      <c r="J241" s="43" t="str">
        <f>IFERROR(__xludf.DUMMYFUNCTION("""COMPUTED_VALUE"""),"KOCAELI")</f>
        <v>KOCAELI</v>
      </c>
      <c r="K241" s="44" t="str">
        <f>IFERROR(__xludf.DUMMYFUNCTION("""COMPUTED_VALUE"""),"https://expa.aiesec.org/opportunities/1290469")</f>
        <v>https://expa.aiesec.org/opportunities/1290469</v>
      </c>
      <c r="L241" s="43" t="str">
        <f>IFERROR(__xludf.DUMMYFUNCTION("""COMPUTED_VALUE"""),"GTa")</f>
        <v>GTa</v>
      </c>
      <c r="M241" s="43" t="str">
        <f>IFERROR(__xludf.DUMMYFUNCTION("""COMPUTED_VALUE"""),"long")</f>
        <v>long</v>
      </c>
      <c r="N241" s="45">
        <f>IFERROR(__xludf.DUMMYFUNCTION("""COMPUTED_VALUE"""),45154.0)</f>
        <v>45154</v>
      </c>
      <c r="O241" s="45">
        <f>IFERROR(__xludf.DUMMYFUNCTION("""COMPUTED_VALUE"""),45204.0)</f>
        <v>45204</v>
      </c>
      <c r="P241" s="45">
        <f>IFERROR(__xludf.DUMMYFUNCTION("""COMPUTED_VALUE"""),45570.0)</f>
        <v>45570</v>
      </c>
      <c r="Q241" s="45">
        <f>IFERROR(__xludf.DUMMYFUNCTION("""COMPUTED_VALUE"""),45234.0)</f>
        <v>45234</v>
      </c>
      <c r="R241" s="45">
        <f>IFERROR(__xludf.DUMMYFUNCTION("""COMPUTED_VALUE"""),45598.0)</f>
        <v>45598</v>
      </c>
      <c r="S241" s="43"/>
      <c r="T241" s="43" t="str">
        <f>IFERROR(__xludf.DUMMYFUNCTION("""COMPUTED_VALUE"""),"Marketing")</f>
        <v>Marketing</v>
      </c>
      <c r="U241" s="43" t="str">
        <f>IFERROR(__xludf.DUMMYFUNCTION("""COMPUTED_VALUE"""),"Sales&amp;Marketing in TOKSEL Company")</f>
        <v>Sales&amp;Marketing in TOKSEL Company</v>
      </c>
      <c r="V241" s="43" t="str">
        <f>IFERROR(__xludf.DUMMYFUNCTION("""COMPUTED_VALUE"""),"The New College, Chennai")</f>
        <v>The New College, Chennai</v>
      </c>
      <c r="W241" s="43" t="str">
        <f>IFERROR(__xludf.DUMMYFUNCTION("""COMPUTED_VALUE"""),"2023-08-16T13:54:00Z")</f>
        <v>2023-08-16T13:54:00Z</v>
      </c>
      <c r="X241" s="43"/>
      <c r="Y241" s="43"/>
      <c r="Z241" s="43"/>
    </row>
    <row r="242" hidden="1">
      <c r="A242" s="43" t="str">
        <f>IFERROR(__xludf.DUMMYFUNCTION("""COMPUTED_VALUE"""),"5081804_1288101")</f>
        <v>5081804_1288101</v>
      </c>
      <c r="B242" s="43" t="str">
        <f>IFERROR(__xludf.DUMMYFUNCTION("""COMPUTED_VALUE"""),"Roua Khiari")</f>
        <v>Roua Khiari</v>
      </c>
      <c r="C242" s="43" t="str">
        <f>IFERROR(__xludf.DUMMYFUNCTION("""COMPUTED_VALUE"""),"realized")</f>
        <v>realized</v>
      </c>
      <c r="D242" s="43" t="str">
        <f>IFERROR(__xludf.DUMMYFUNCTION("""COMPUTED_VALUE"""),"No")</f>
        <v>No</v>
      </c>
      <c r="E242" s="43" t="str">
        <f>IFERROR(__xludf.DUMMYFUNCTION("""COMPUTED_VALUE"""),"p_59bcf091ba7c188f84c1fcd9d33ce507de82b609@inbound.aiesec.org")</f>
        <v>p_59bcf091ba7c188f84c1fcd9d33ce507de82b609@inbound.aiesec.org</v>
      </c>
      <c r="F242" s="43">
        <f>IFERROR(__xludf.DUMMYFUNCTION("""COMPUTED_VALUE"""),5.8017552E7)</f>
        <v>58017552</v>
      </c>
      <c r="G242" s="43" t="str">
        <f>IFERROR(__xludf.DUMMYFUNCTION("""COMPUTED_VALUE"""),"Tunisia")</f>
        <v>Tunisia</v>
      </c>
      <c r="H242" s="43" t="str">
        <f>IFERROR(__xludf.DUMMYFUNCTION("""COMPUTED_VALUE"""),"SFAX")</f>
        <v>SFAX</v>
      </c>
      <c r="I242" s="43" t="str">
        <f>IFERROR(__xludf.DUMMYFUNCTION("""COMPUTED_VALUE"""),"Turkey")</f>
        <v>Turkey</v>
      </c>
      <c r="J242" s="43" t="str">
        <f>IFERROR(__xludf.DUMMYFUNCTION("""COMPUTED_VALUE"""),"İZMİR")</f>
        <v>İZMİR</v>
      </c>
      <c r="K242" s="44" t="str">
        <f>IFERROR(__xludf.DUMMYFUNCTION("""COMPUTED_VALUE"""),"https://expa.aiesec.org/opportunities/1288101")</f>
        <v>https://expa.aiesec.org/opportunities/1288101</v>
      </c>
      <c r="L242" s="43" t="str">
        <f>IFERROR(__xludf.DUMMYFUNCTION("""COMPUTED_VALUE"""),"GTa")</f>
        <v>GTa</v>
      </c>
      <c r="M242" s="43" t="str">
        <f>IFERROR(__xludf.DUMMYFUNCTION("""COMPUTED_VALUE"""),"long")</f>
        <v>long</v>
      </c>
      <c r="N242" s="45">
        <f>IFERROR(__xludf.DUMMYFUNCTION("""COMPUTED_VALUE"""),45155.0)</f>
        <v>45155</v>
      </c>
      <c r="O242" s="45">
        <f>IFERROR(__xludf.DUMMYFUNCTION("""COMPUTED_VALUE"""),45199.0)</f>
        <v>45199</v>
      </c>
      <c r="P242" s="45">
        <f>IFERROR(__xludf.DUMMYFUNCTION("""COMPUTED_VALUE"""),45564.0)</f>
        <v>45564</v>
      </c>
      <c r="Q242" s="45">
        <f>IFERROR(__xludf.DUMMYFUNCTION("""COMPUTED_VALUE"""),45199.0)</f>
        <v>45199</v>
      </c>
      <c r="R242" s="45">
        <f>IFERROR(__xludf.DUMMYFUNCTION("""COMPUTED_VALUE"""),45564.0)</f>
        <v>45564</v>
      </c>
      <c r="S242" s="43"/>
      <c r="T242" s="43" t="str">
        <f>IFERROR(__xludf.DUMMYFUNCTION("""COMPUTED_VALUE"""),"Business Administration")</f>
        <v>Business Administration</v>
      </c>
      <c r="U242" s="43" t="str">
        <f>IFERROR(__xludf.DUMMYFUNCTION("""COMPUTED_VALUE"""),"Marketing Manager in Izmir")</f>
        <v>Marketing Manager in Izmir</v>
      </c>
      <c r="V242" s="43" t="str">
        <f>IFERROR(__xludf.DUMMYFUNCTION("""COMPUTED_VALUE"""),"FSEG sfax")</f>
        <v>FSEG sfax</v>
      </c>
      <c r="W242" s="43" t="str">
        <f>IFERROR(__xludf.DUMMYFUNCTION("""COMPUTED_VALUE"""),"2022-07-11T20:54:06Z")</f>
        <v>2022-07-11T20:54:06Z</v>
      </c>
      <c r="X242" s="43"/>
      <c r="Y242" s="43"/>
      <c r="Z242" s="43"/>
    </row>
    <row r="243" hidden="1">
      <c r="A243" s="43" t="str">
        <f>IFERROR(__xludf.DUMMYFUNCTION("""COMPUTED_VALUE"""),"4187833_1294332")</f>
        <v>4187833_1294332</v>
      </c>
      <c r="B243" s="43" t="str">
        <f>IFERROR(__xludf.DUMMYFUNCTION("""COMPUTED_VALUE"""),"Israa Tork")</f>
        <v>Israa Tork</v>
      </c>
      <c r="C243" s="43" t="str">
        <f>IFERROR(__xludf.DUMMYFUNCTION("""COMPUTED_VALUE"""),"realized")</f>
        <v>realized</v>
      </c>
      <c r="D243" s="43" t="str">
        <f>IFERROR(__xludf.DUMMYFUNCTION("""COMPUTED_VALUE"""),"No")</f>
        <v>No</v>
      </c>
      <c r="E243" s="43" t="str">
        <f>IFERROR(__xludf.DUMMYFUNCTION("""COMPUTED_VALUE"""),"p_d64b5dcd1ce921b6e568d3e7673a312a85bde6eb@inbound.aiesec.org")</f>
        <v>p_d64b5dcd1ce921b6e568d3e7673a312a85bde6eb@inbound.aiesec.org</v>
      </c>
      <c r="F243" s="43">
        <f>IFERROR(__xludf.DUMMYFUNCTION("""COMPUTED_VALUE"""),1.205256414E9)</f>
        <v>1205256414</v>
      </c>
      <c r="G243" s="43" t="str">
        <f>IFERROR(__xludf.DUMMYFUNCTION("""COMPUTED_VALUE"""),"Egypt")</f>
        <v>Egypt</v>
      </c>
      <c r="H243" s="43" t="str">
        <f>IFERROR(__xludf.DUMMYFUNCTION("""COMPUTED_VALUE"""),"Alexandria")</f>
        <v>Alexandria</v>
      </c>
      <c r="I243" s="43" t="str">
        <f>IFERROR(__xludf.DUMMYFUNCTION("""COMPUTED_VALUE"""),"Turkey")</f>
        <v>Turkey</v>
      </c>
      <c r="J243" s="43" t="str">
        <f>IFERROR(__xludf.DUMMYFUNCTION("""COMPUTED_VALUE"""),"ISTANBUL WEST")</f>
        <v>ISTANBUL WEST</v>
      </c>
      <c r="K243" s="44" t="str">
        <f>IFERROR(__xludf.DUMMYFUNCTION("""COMPUTED_VALUE"""),"https://expa.aiesec.org/opportunities/1294332")</f>
        <v>https://expa.aiesec.org/opportunities/1294332</v>
      </c>
      <c r="L243" s="43" t="str">
        <f>IFERROR(__xludf.DUMMYFUNCTION("""COMPUTED_VALUE"""),"GTa")</f>
        <v>GTa</v>
      </c>
      <c r="M243" s="43" t="str">
        <f>IFERROR(__xludf.DUMMYFUNCTION("""COMPUTED_VALUE"""),"long")</f>
        <v>long</v>
      </c>
      <c r="N243" s="45">
        <f>IFERROR(__xludf.DUMMYFUNCTION("""COMPUTED_VALUE"""),45158.0)</f>
        <v>45158</v>
      </c>
      <c r="O243" s="45">
        <f>IFERROR(__xludf.DUMMYFUNCTION("""COMPUTED_VALUE"""),45194.0)</f>
        <v>45194</v>
      </c>
      <c r="P243" s="45">
        <f>IFERROR(__xludf.DUMMYFUNCTION("""COMPUTED_VALUE"""),45551.0)</f>
        <v>45551</v>
      </c>
      <c r="Q243" s="45">
        <f>IFERROR(__xludf.DUMMYFUNCTION("""COMPUTED_VALUE"""),45224.0)</f>
        <v>45224</v>
      </c>
      <c r="R243" s="45">
        <f>IFERROR(__xludf.DUMMYFUNCTION("""COMPUTED_VALUE"""),45587.0)</f>
        <v>45587</v>
      </c>
      <c r="S243" s="43"/>
      <c r="T243" s="43" t="str">
        <f>IFERROR(__xludf.DUMMYFUNCTION("""COMPUTED_VALUE"""),"Business Administration")</f>
        <v>Business Administration</v>
      </c>
      <c r="U243" s="43" t="str">
        <f>IFERROR(__xludf.DUMMYFUNCTION("""COMPUTED_VALUE"""),"Sales Consultant ( Customer Service )")</f>
        <v>Sales Consultant ( Customer Service )</v>
      </c>
      <c r="V243" s="43" t="str">
        <f>IFERROR(__xludf.DUMMYFUNCTION("""COMPUTED_VALUE"""),"Alexandria University")</f>
        <v>Alexandria University</v>
      </c>
      <c r="W243" s="43" t="str">
        <f>IFERROR(__xludf.DUMMYFUNCTION("""COMPUTED_VALUE"""),"2020-02-15T12:01:59Z")</f>
        <v>2020-02-15T12:01:59Z</v>
      </c>
      <c r="X243" s="43"/>
      <c r="Y243" s="43"/>
      <c r="Z243" s="43"/>
    </row>
    <row r="244" hidden="1">
      <c r="A244" s="43" t="str">
        <f>IFERROR(__xludf.DUMMYFUNCTION("""COMPUTED_VALUE"""),"5282514_1297080")</f>
        <v>5282514_1297080</v>
      </c>
      <c r="B244" s="43" t="str">
        <f>IFERROR(__xludf.DUMMYFUNCTION("""COMPUTED_VALUE"""),"KHOULOUD GUERILLI")</f>
        <v>KHOULOUD GUERILLI</v>
      </c>
      <c r="C244" s="43" t="str">
        <f>IFERROR(__xludf.DUMMYFUNCTION("""COMPUTED_VALUE"""),"realized")</f>
        <v>realized</v>
      </c>
      <c r="D244" s="43" t="str">
        <f>IFERROR(__xludf.DUMMYFUNCTION("""COMPUTED_VALUE"""),"No")</f>
        <v>No</v>
      </c>
      <c r="E244" s="43" t="str">
        <f>IFERROR(__xludf.DUMMYFUNCTION("""COMPUTED_VALUE"""),"p_ea0a3b0622c776847797ffa302df2859ecc5c6ef@inbound.aiesec.org")</f>
        <v>p_ea0a3b0622c776847797ffa302df2859ecc5c6ef@inbound.aiesec.org</v>
      </c>
      <c r="F244" s="43">
        <f>IFERROR(__xludf.DUMMYFUNCTION("""COMPUTED_VALUE"""),6.56366047E8)</f>
        <v>656366047</v>
      </c>
      <c r="G244" s="43" t="str">
        <f>IFERROR(__xludf.DUMMYFUNCTION("""COMPUTED_VALUE"""),"Algeria")</f>
        <v>Algeria</v>
      </c>
      <c r="H244" s="43" t="str">
        <f>IFERROR(__xludf.DUMMYFUNCTION("""COMPUTED_VALUE"""),"Constantine")</f>
        <v>Constantine</v>
      </c>
      <c r="I244" s="43" t="str">
        <f>IFERROR(__xludf.DUMMYFUNCTION("""COMPUTED_VALUE"""),"Turkey")</f>
        <v>Turkey</v>
      </c>
      <c r="J244" s="43" t="str">
        <f>IFERROR(__xludf.DUMMYFUNCTION("""COMPUTED_VALUE"""),"KOCAELI")</f>
        <v>KOCAELI</v>
      </c>
      <c r="K244" s="44" t="str">
        <f>IFERROR(__xludf.DUMMYFUNCTION("""COMPUTED_VALUE"""),"https://expa.aiesec.org/opportunities/1297080")</f>
        <v>https://expa.aiesec.org/opportunities/1297080</v>
      </c>
      <c r="L244" s="43" t="str">
        <f>IFERROR(__xludf.DUMMYFUNCTION("""COMPUTED_VALUE"""),"GTa")</f>
        <v>GTa</v>
      </c>
      <c r="M244" s="43" t="str">
        <f>IFERROR(__xludf.DUMMYFUNCTION("""COMPUTED_VALUE"""),"long")</f>
        <v>long</v>
      </c>
      <c r="N244" s="45">
        <f>IFERROR(__xludf.DUMMYFUNCTION("""COMPUTED_VALUE"""),45160.0)</f>
        <v>45160</v>
      </c>
      <c r="O244" s="45">
        <f>IFERROR(__xludf.DUMMYFUNCTION("""COMPUTED_VALUE"""),45199.0)</f>
        <v>45199</v>
      </c>
      <c r="P244" s="45">
        <f>IFERROR(__xludf.DUMMYFUNCTION("""COMPUTED_VALUE"""),45565.0)</f>
        <v>45565</v>
      </c>
      <c r="Q244" s="45">
        <f>IFERROR(__xludf.DUMMYFUNCTION("""COMPUTED_VALUE"""),45201.0)</f>
        <v>45201</v>
      </c>
      <c r="R244" s="45">
        <f>IFERROR(__xludf.DUMMYFUNCTION("""COMPUTED_VALUE"""),45567.0)</f>
        <v>45567</v>
      </c>
      <c r="S244" s="43"/>
      <c r="T244" s="43" t="str">
        <f>IFERROR(__xludf.DUMMYFUNCTION("""COMPUTED_VALUE"""),"Other")</f>
        <v>Other</v>
      </c>
      <c r="U244" s="43" t="str">
        <f>IFERROR(__xludf.DUMMYFUNCTION("""COMPUTED_VALUE"""),"English Coach in SARKUYSAN Company")</f>
        <v>English Coach in SARKUYSAN Company</v>
      </c>
      <c r="V244" s="43" t="str">
        <f>IFERROR(__xludf.DUMMYFUNCTION("""COMPUTED_VALUE"""),"AIESEC in Constantine")</f>
        <v>AIESEC in Constantine</v>
      </c>
      <c r="W244" s="43" t="str">
        <f>IFERROR(__xludf.DUMMYFUNCTION("""COMPUTED_VALUE"""),"2023-07-05T18:40:04Z")</f>
        <v>2023-07-05T18:40:04Z</v>
      </c>
      <c r="X244" s="43"/>
      <c r="Y244" s="43"/>
      <c r="Z244" s="43"/>
    </row>
    <row r="245" hidden="1">
      <c r="A245" s="43" t="str">
        <f>IFERROR(__xludf.DUMMYFUNCTION("""COMPUTED_VALUE"""),"5309095_1294332")</f>
        <v>5309095_1294332</v>
      </c>
      <c r="B245" s="43" t="str">
        <f>IFERROR(__xludf.DUMMYFUNCTION("""COMPUTED_VALUE"""),"Aya Gomaa")</f>
        <v>Aya Gomaa</v>
      </c>
      <c r="C245" s="43" t="str">
        <f>IFERROR(__xludf.DUMMYFUNCTION("""COMPUTED_VALUE"""),"realized")</f>
        <v>realized</v>
      </c>
      <c r="D245" s="43" t="str">
        <f>IFERROR(__xludf.DUMMYFUNCTION("""COMPUTED_VALUE"""),"No")</f>
        <v>No</v>
      </c>
      <c r="E245" s="43" t="str">
        <f>IFERROR(__xludf.DUMMYFUNCTION("""COMPUTED_VALUE"""),"p_e962cc6d3d6d467bd96b1efc9fd1e6827154f17b@inbound.aiesec.org")</f>
        <v>p_e962cc6d3d6d467bd96b1efc9fd1e6827154f17b@inbound.aiesec.org</v>
      </c>
      <c r="F245" s="43">
        <f>IFERROR(__xludf.DUMMYFUNCTION("""COMPUTED_VALUE"""),1.003456073E9)</f>
        <v>1003456073</v>
      </c>
      <c r="G245" s="43" t="str">
        <f>IFERROR(__xludf.DUMMYFUNCTION("""COMPUTED_VALUE"""),"Egypt")</f>
        <v>Egypt</v>
      </c>
      <c r="H245" s="43" t="str">
        <f>IFERROR(__xludf.DUMMYFUNCTION("""COMPUTED_VALUE"""),"AAST In CAIRO")</f>
        <v>AAST In CAIRO</v>
      </c>
      <c r="I245" s="43" t="str">
        <f>IFERROR(__xludf.DUMMYFUNCTION("""COMPUTED_VALUE"""),"Turkey")</f>
        <v>Turkey</v>
      </c>
      <c r="J245" s="43" t="str">
        <f>IFERROR(__xludf.DUMMYFUNCTION("""COMPUTED_VALUE"""),"ISTANBUL WEST")</f>
        <v>ISTANBUL WEST</v>
      </c>
      <c r="K245" s="44" t="str">
        <f>IFERROR(__xludf.DUMMYFUNCTION("""COMPUTED_VALUE"""),"https://expa.aiesec.org/opportunities/1294332")</f>
        <v>https://expa.aiesec.org/opportunities/1294332</v>
      </c>
      <c r="L245" s="43" t="str">
        <f>IFERROR(__xludf.DUMMYFUNCTION("""COMPUTED_VALUE"""),"GTa")</f>
        <v>GTa</v>
      </c>
      <c r="M245" s="43" t="str">
        <f>IFERROR(__xludf.DUMMYFUNCTION("""COMPUTED_VALUE"""),"long")</f>
        <v>long</v>
      </c>
      <c r="N245" s="45">
        <f>IFERROR(__xludf.DUMMYFUNCTION("""COMPUTED_VALUE"""),45164.0)</f>
        <v>45164</v>
      </c>
      <c r="O245" s="45">
        <f>IFERROR(__xludf.DUMMYFUNCTION("""COMPUTED_VALUE"""),45194.0)</f>
        <v>45194</v>
      </c>
      <c r="P245" s="45">
        <f>IFERROR(__xludf.DUMMYFUNCTION("""COMPUTED_VALUE"""),45551.0)</f>
        <v>45551</v>
      </c>
      <c r="Q245" s="45">
        <f>IFERROR(__xludf.DUMMYFUNCTION("""COMPUTED_VALUE"""),45211.0)</f>
        <v>45211</v>
      </c>
      <c r="R245" s="45">
        <f>IFERROR(__xludf.DUMMYFUNCTION("""COMPUTED_VALUE"""),45569.0)</f>
        <v>45569</v>
      </c>
      <c r="S245" s="43"/>
      <c r="T245" s="43" t="str">
        <f>IFERROR(__xludf.DUMMYFUNCTION("""COMPUTED_VALUE"""),"Business Administration")</f>
        <v>Business Administration</v>
      </c>
      <c r="U245" s="43" t="str">
        <f>IFERROR(__xludf.DUMMYFUNCTION("""COMPUTED_VALUE"""),"Sales Consultant ( Customer Service )")</f>
        <v>Sales Consultant ( Customer Service )</v>
      </c>
      <c r="V245" s="43" t="str">
        <f>IFERROR(__xludf.DUMMYFUNCTION("""COMPUTED_VALUE"""),"BUE University")</f>
        <v>BUE University</v>
      </c>
      <c r="W245" s="43" t="str">
        <f>IFERROR(__xludf.DUMMYFUNCTION("""COMPUTED_VALUE"""),"2023-08-25T07:22:49Z")</f>
        <v>2023-08-25T07:22:49Z</v>
      </c>
      <c r="X245" s="43"/>
      <c r="Y245" s="43"/>
      <c r="Z245" s="43"/>
    </row>
    <row r="246" hidden="1">
      <c r="A246" s="43" t="str">
        <f>IFERROR(__xludf.DUMMYFUNCTION("""COMPUTED_VALUE"""),"5303658_1291783")</f>
        <v>5303658_1291783</v>
      </c>
      <c r="B246" s="43" t="str">
        <f>IFERROR(__xludf.DUMMYFUNCTION("""COMPUTED_VALUE"""),"SALAH AGURICH")</f>
        <v>SALAH AGURICH</v>
      </c>
      <c r="C246" s="43" t="str">
        <f>IFERROR(__xludf.DUMMYFUNCTION("""COMPUTED_VALUE"""),"approved")</f>
        <v>approved</v>
      </c>
      <c r="D246" s="43" t="str">
        <f>IFERROR(__xludf.DUMMYFUNCTION("""COMPUTED_VALUE"""),"No")</f>
        <v>No</v>
      </c>
      <c r="E246" s="43" t="str">
        <f>IFERROR(__xludf.DUMMYFUNCTION("""COMPUTED_VALUE"""),"p_90775baa2fa13979ff0484a00fb9182e7c114578@inbound.aiesec.org")</f>
        <v>p_90775baa2fa13979ff0484a00fb9182e7c114578@inbound.aiesec.org</v>
      </c>
      <c r="F246" s="43"/>
      <c r="G246" s="43" t="str">
        <f>IFERROR(__xludf.DUMMYFUNCTION("""COMPUTED_VALUE"""),"Morocco")</f>
        <v>Morocco</v>
      </c>
      <c r="H246" s="43" t="str">
        <f>IFERROR(__xludf.DUMMYFUNCTION("""COMPUTED_VALUE"""),"Casablanca")</f>
        <v>Casablanca</v>
      </c>
      <c r="I246" s="43" t="str">
        <f>IFERROR(__xludf.DUMMYFUNCTION("""COMPUTED_VALUE"""),"Turkey")</f>
        <v>Turkey</v>
      </c>
      <c r="J246" s="43" t="str">
        <f>IFERROR(__xludf.DUMMYFUNCTION("""COMPUTED_VALUE"""),"ISTANBUL")</f>
        <v>ISTANBUL</v>
      </c>
      <c r="K246" s="44" t="str">
        <f>IFERROR(__xludf.DUMMYFUNCTION("""COMPUTED_VALUE"""),"https://expa.aiesec.org/opportunities/1291783")</f>
        <v>https://expa.aiesec.org/opportunities/1291783</v>
      </c>
      <c r="L246" s="43" t="str">
        <f>IFERROR(__xludf.DUMMYFUNCTION("""COMPUTED_VALUE"""),"GTa")</f>
        <v>GTa</v>
      </c>
      <c r="M246" s="43" t="str">
        <f>IFERROR(__xludf.DUMMYFUNCTION("""COMPUTED_VALUE"""),"long")</f>
        <v>long</v>
      </c>
      <c r="N246" s="45">
        <f>IFERROR(__xludf.DUMMYFUNCTION("""COMPUTED_VALUE"""),45169.0)</f>
        <v>45169</v>
      </c>
      <c r="O246" s="45">
        <f>IFERROR(__xludf.DUMMYFUNCTION("""COMPUTED_VALUE"""),45180.0)</f>
        <v>45180</v>
      </c>
      <c r="P246" s="45">
        <f>IFERROR(__xludf.DUMMYFUNCTION("""COMPUTED_VALUE"""),45548.0)</f>
        <v>45548</v>
      </c>
      <c r="Q246" s="45"/>
      <c r="R246" s="45"/>
      <c r="S246" s="43"/>
      <c r="T246" s="43" t="str">
        <f>IFERROR(__xludf.DUMMYFUNCTION("""COMPUTED_VALUE"""),"Business Administration")</f>
        <v>Business Administration</v>
      </c>
      <c r="U246" s="43" t="str">
        <f>IFERROR(__xludf.DUMMYFUNCTION("""COMPUTED_VALUE"""),"Telesales Internship in Istanbul")</f>
        <v>Telesales Internship in Istanbul</v>
      </c>
      <c r="V246" s="43" t="str">
        <f>IFERROR(__xludf.DUMMYFUNCTION("""COMPUTED_VALUE"""),"-")</f>
        <v>-</v>
      </c>
      <c r="W246" s="43" t="str">
        <f>IFERROR(__xludf.DUMMYFUNCTION("""COMPUTED_VALUE"""),"2023-08-16T14:29:27Z")</f>
        <v>2023-08-16T14:29:27Z</v>
      </c>
      <c r="X246" s="43"/>
      <c r="Y246" s="43"/>
      <c r="Z246" s="43"/>
    </row>
    <row r="247" hidden="1">
      <c r="A247" s="43" t="str">
        <f>IFERROR(__xludf.DUMMYFUNCTION("""COMPUTED_VALUE"""),"5307328_1294332")</f>
        <v>5307328_1294332</v>
      </c>
      <c r="B247" s="43" t="str">
        <f>IFERROR(__xludf.DUMMYFUNCTION("""COMPUTED_VALUE"""),"Badr Abdeltawab")</f>
        <v>Badr Abdeltawab</v>
      </c>
      <c r="C247" s="43" t="str">
        <f>IFERROR(__xludf.DUMMYFUNCTION("""COMPUTED_VALUE"""),"realized")</f>
        <v>realized</v>
      </c>
      <c r="D247" s="43" t="str">
        <f>IFERROR(__xludf.DUMMYFUNCTION("""COMPUTED_VALUE"""),"No")</f>
        <v>No</v>
      </c>
      <c r="E247" s="43" t="str">
        <f>IFERROR(__xludf.DUMMYFUNCTION("""COMPUTED_VALUE"""),"p_17865457c3ddc189491af96847133dbe23530ac1@inbound.aiesec.org")</f>
        <v>p_17865457c3ddc189491af96847133dbe23530ac1@inbound.aiesec.org</v>
      </c>
      <c r="F247" s="43">
        <f>IFERROR(__xludf.DUMMYFUNCTION("""COMPUTED_VALUE"""),1.022692895E9)</f>
        <v>1022692895</v>
      </c>
      <c r="G247" s="43" t="str">
        <f>IFERROR(__xludf.DUMMYFUNCTION("""COMPUTED_VALUE"""),"Egypt")</f>
        <v>Egypt</v>
      </c>
      <c r="H247" s="43" t="str">
        <f>IFERROR(__xludf.DUMMYFUNCTION("""COMPUTED_VALUE"""),"Cairo University")</f>
        <v>Cairo University</v>
      </c>
      <c r="I247" s="43" t="str">
        <f>IFERROR(__xludf.DUMMYFUNCTION("""COMPUTED_VALUE"""),"Turkey")</f>
        <v>Turkey</v>
      </c>
      <c r="J247" s="43" t="str">
        <f>IFERROR(__xludf.DUMMYFUNCTION("""COMPUTED_VALUE"""),"ISTANBUL WEST")</f>
        <v>ISTANBUL WEST</v>
      </c>
      <c r="K247" s="44" t="str">
        <f>IFERROR(__xludf.DUMMYFUNCTION("""COMPUTED_VALUE"""),"https://expa.aiesec.org/opportunities/1294332")</f>
        <v>https://expa.aiesec.org/opportunities/1294332</v>
      </c>
      <c r="L247" s="43" t="str">
        <f>IFERROR(__xludf.DUMMYFUNCTION("""COMPUTED_VALUE"""),"GTa")</f>
        <v>GTa</v>
      </c>
      <c r="M247" s="43" t="str">
        <f>IFERROR(__xludf.DUMMYFUNCTION("""COMPUTED_VALUE"""),"long")</f>
        <v>long</v>
      </c>
      <c r="N247" s="45">
        <f>IFERROR(__xludf.DUMMYFUNCTION("""COMPUTED_VALUE"""),45169.0)</f>
        <v>45169</v>
      </c>
      <c r="O247" s="45">
        <f>IFERROR(__xludf.DUMMYFUNCTION("""COMPUTED_VALUE"""),45169.0)</f>
        <v>45169</v>
      </c>
      <c r="P247" s="45">
        <f>IFERROR(__xludf.DUMMYFUNCTION("""COMPUTED_VALUE"""),45523.0)</f>
        <v>45523</v>
      </c>
      <c r="Q247" s="45">
        <f>IFERROR(__xludf.DUMMYFUNCTION("""COMPUTED_VALUE"""),45171.0)</f>
        <v>45171</v>
      </c>
      <c r="R247" s="45">
        <f>IFERROR(__xludf.DUMMYFUNCTION("""COMPUTED_VALUE"""),45532.0)</f>
        <v>45532</v>
      </c>
      <c r="S247" s="43"/>
      <c r="T247" s="43" t="str">
        <f>IFERROR(__xludf.DUMMYFUNCTION("""COMPUTED_VALUE"""),"Business Administration")</f>
        <v>Business Administration</v>
      </c>
      <c r="U247" s="43" t="str">
        <f>IFERROR(__xludf.DUMMYFUNCTION("""COMPUTED_VALUE"""),"Sales Consultant ( Customer Service )")</f>
        <v>Sales Consultant ( Customer Service )</v>
      </c>
      <c r="V247" s="43" t="str">
        <f>IFERROR(__xludf.DUMMYFUNCTION("""COMPUTED_VALUE"""),"Cairo Univeristy")</f>
        <v>Cairo Univeristy</v>
      </c>
      <c r="W247" s="43" t="str">
        <f>IFERROR(__xludf.DUMMYFUNCTION("""COMPUTED_VALUE"""),"2023-08-22T15:16:26Z")</f>
        <v>2023-08-22T15:16:26Z</v>
      </c>
      <c r="X247" s="43"/>
      <c r="Y247" s="43"/>
      <c r="Z247" s="43"/>
    </row>
    <row r="248" hidden="1">
      <c r="A248" s="43" t="str">
        <f>IFERROR(__xludf.DUMMYFUNCTION("""COMPUTED_VALUE"""),"4222768_1298730")</f>
        <v>4222768_1298730</v>
      </c>
      <c r="B248" s="43" t="str">
        <f>IFERROR(__xludf.DUMMYFUNCTION("""COMPUTED_VALUE"""),"Anas Bourayda")</f>
        <v>Anas Bourayda</v>
      </c>
      <c r="C248" s="43" t="str">
        <f>IFERROR(__xludf.DUMMYFUNCTION("""COMPUTED_VALUE"""),"realized")</f>
        <v>realized</v>
      </c>
      <c r="D248" s="43" t="str">
        <f>IFERROR(__xludf.DUMMYFUNCTION("""COMPUTED_VALUE"""),"No")</f>
        <v>No</v>
      </c>
      <c r="E248" s="43" t="str">
        <f>IFERROR(__xludf.DUMMYFUNCTION("""COMPUTED_VALUE"""),"p_b5d8cfab80c514b505f47bf4a8f4c4e9c4cbce74@inbound.aiesec.org")</f>
        <v>p_b5d8cfab80c514b505f47bf4a8f4c4e9c4cbce74@inbound.aiesec.org</v>
      </c>
      <c r="F248" s="43">
        <f>IFERROR(__xludf.DUMMYFUNCTION("""COMPUTED_VALUE"""),6.97472628E8)</f>
        <v>697472628</v>
      </c>
      <c r="G248" s="43" t="str">
        <f>IFERROR(__xludf.DUMMYFUNCTION("""COMPUTED_VALUE"""),"Morocco")</f>
        <v>Morocco</v>
      </c>
      <c r="H248" s="43" t="str">
        <f>IFERROR(__xludf.DUMMYFUNCTION("""COMPUTED_VALUE"""),"Agadir")</f>
        <v>Agadir</v>
      </c>
      <c r="I248" s="43" t="str">
        <f>IFERROR(__xludf.DUMMYFUNCTION("""COMPUTED_VALUE"""),"Turkey")</f>
        <v>Turkey</v>
      </c>
      <c r="J248" s="43" t="str">
        <f>IFERROR(__xludf.DUMMYFUNCTION("""COMPUTED_VALUE"""),"KOCAELI")</f>
        <v>KOCAELI</v>
      </c>
      <c r="K248" s="44" t="str">
        <f>IFERROR(__xludf.DUMMYFUNCTION("""COMPUTED_VALUE"""),"https://expa.aiesec.org/opportunities/1298730")</f>
        <v>https://expa.aiesec.org/opportunities/1298730</v>
      </c>
      <c r="L248" s="43" t="str">
        <f>IFERROR(__xludf.DUMMYFUNCTION("""COMPUTED_VALUE"""),"GTa")</f>
        <v>GTa</v>
      </c>
      <c r="M248" s="43" t="str">
        <f>IFERROR(__xludf.DUMMYFUNCTION("""COMPUTED_VALUE"""),"medium")</f>
        <v>medium</v>
      </c>
      <c r="N248" s="45">
        <f>IFERROR(__xludf.DUMMYFUNCTION("""COMPUTED_VALUE"""),45169.0)</f>
        <v>45169</v>
      </c>
      <c r="O248" s="45">
        <f>IFERROR(__xludf.DUMMYFUNCTION("""COMPUTED_VALUE"""),45209.0)</f>
        <v>45209</v>
      </c>
      <c r="P248" s="45">
        <f>IFERROR(__xludf.DUMMYFUNCTION("""COMPUTED_VALUE"""),45361.0)</f>
        <v>45361</v>
      </c>
      <c r="Q248" s="45">
        <f>IFERROR(__xludf.DUMMYFUNCTION("""COMPUTED_VALUE"""),45245.0)</f>
        <v>45245</v>
      </c>
      <c r="R248" s="45">
        <f>IFERROR(__xludf.DUMMYFUNCTION("""COMPUTED_VALUE"""),45397.0)</f>
        <v>45397</v>
      </c>
      <c r="S248" s="43"/>
      <c r="T248" s="43" t="str">
        <f>IFERROR(__xludf.DUMMYFUNCTION("""COMPUTED_VALUE"""),"Other")</f>
        <v>Other</v>
      </c>
      <c r="U248" s="43" t="str">
        <f>IFERROR(__xludf.DUMMYFUNCTION("""COMPUTED_VALUE"""),"Sales&amp;Export Intern MID")</f>
        <v>Sales&amp;Export Intern MID</v>
      </c>
      <c r="V248" s="43" t="str">
        <f>IFERROR(__xludf.DUMMYFUNCTION("""COMPUTED_VALUE"""),"Other-AGADIR")</f>
        <v>Other-AGADIR</v>
      </c>
      <c r="W248" s="43" t="str">
        <f>IFERROR(__xludf.DUMMYFUNCTION("""COMPUTED_VALUE"""),"2020-02-28T16:26:15Z")</f>
        <v>2020-02-28T16:26:15Z</v>
      </c>
      <c r="X248" s="43"/>
      <c r="Y248" s="43"/>
      <c r="Z248" s="43"/>
    </row>
    <row r="249" hidden="1">
      <c r="A249" s="43" t="str">
        <f>IFERROR(__xludf.DUMMYFUNCTION("""COMPUTED_VALUE"""),"5303165_1280733")</f>
        <v>5303165_1280733</v>
      </c>
      <c r="B249" s="43" t="str">
        <f>IFERROR(__xludf.DUMMYFUNCTION("""COMPUTED_VALUE"""),"refilwe totolo")</f>
        <v>refilwe totolo</v>
      </c>
      <c r="C249" s="43" t="str">
        <f>IFERROR(__xludf.DUMMYFUNCTION("""COMPUTED_VALUE"""),"realized")</f>
        <v>realized</v>
      </c>
      <c r="D249" s="43" t="str">
        <f>IFERROR(__xludf.DUMMYFUNCTION("""COMPUTED_VALUE"""),"No")</f>
        <v>No</v>
      </c>
      <c r="E249" s="43" t="str">
        <f>IFERROR(__xludf.DUMMYFUNCTION("""COMPUTED_VALUE"""),"p_04be7828e5b9d3f8a7904f98ecbdff037f10230b@inbound.aiesec.org")</f>
        <v>p_04be7828e5b9d3f8a7904f98ecbdff037f10230b@inbound.aiesec.org</v>
      </c>
      <c r="F249" s="43">
        <f>IFERROR(__xludf.DUMMYFUNCTION("""COMPUTED_VALUE"""),6.49178787E8)</f>
        <v>649178787</v>
      </c>
      <c r="G249" s="43" t="str">
        <f>IFERROR(__xludf.DUMMYFUNCTION("""COMPUTED_VALUE"""),"South Africa")</f>
        <v>South Africa</v>
      </c>
      <c r="H249" s="43" t="str">
        <f>IFERROR(__xludf.DUMMYFUNCTION("""COMPUTED_VALUE"""),"WITWATERSRAND (WITS)")</f>
        <v>WITWATERSRAND (WITS)</v>
      </c>
      <c r="I249" s="43" t="str">
        <f>IFERROR(__xludf.DUMMYFUNCTION("""COMPUTED_VALUE"""),"Turkey")</f>
        <v>Turkey</v>
      </c>
      <c r="J249" s="43" t="str">
        <f>IFERROR(__xludf.DUMMYFUNCTION("""COMPUTED_VALUE"""),"ANTALYA")</f>
        <v>ANTALYA</v>
      </c>
      <c r="K249" s="44" t="str">
        <f>IFERROR(__xludf.DUMMYFUNCTION("""COMPUTED_VALUE"""),"https://expa.aiesec.org/opportunities/1280733")</f>
        <v>https://expa.aiesec.org/opportunities/1280733</v>
      </c>
      <c r="L249" s="43" t="str">
        <f>IFERROR(__xludf.DUMMYFUNCTION("""COMPUTED_VALUE"""),"GTa")</f>
        <v>GTa</v>
      </c>
      <c r="M249" s="43" t="str">
        <f>IFERROR(__xludf.DUMMYFUNCTION("""COMPUTED_VALUE"""),"long")</f>
        <v>long</v>
      </c>
      <c r="N249" s="45">
        <f>IFERROR(__xludf.DUMMYFUNCTION("""COMPUTED_VALUE"""),45170.0)</f>
        <v>45170</v>
      </c>
      <c r="O249" s="45">
        <f>IFERROR(__xludf.DUMMYFUNCTION("""COMPUTED_VALUE"""),45187.0)</f>
        <v>45187</v>
      </c>
      <c r="P249" s="45">
        <f>IFERROR(__xludf.DUMMYFUNCTION("""COMPUTED_VALUE"""),45553.0)</f>
        <v>45553</v>
      </c>
      <c r="Q249" s="45">
        <f>IFERROR(__xludf.DUMMYFUNCTION("""COMPUTED_VALUE"""),45245.0)</f>
        <v>45245</v>
      </c>
      <c r="R249" s="45">
        <f>IFERROR(__xludf.DUMMYFUNCTION("""COMPUTED_VALUE"""),45609.0)</f>
        <v>45609</v>
      </c>
      <c r="S249" s="43"/>
      <c r="T249" s="43" t="str">
        <f>IFERROR(__xludf.DUMMYFUNCTION("""COMPUTED_VALUE"""),"Other")</f>
        <v>Other</v>
      </c>
      <c r="U249" s="43" t="str">
        <f>IFERROR(__xludf.DUMMYFUNCTION("""COMPUTED_VALUE"""),"Public Relations w/Meet2Talk")</f>
        <v>Public Relations w/Meet2Talk</v>
      </c>
      <c r="V249" s="43" t="str">
        <f>IFERROR(__xludf.DUMMYFUNCTION("""COMPUTED_VALUE"""),"-")</f>
        <v>-</v>
      </c>
      <c r="W249" s="43" t="str">
        <f>IFERROR(__xludf.DUMMYFUNCTION("""COMPUTED_VALUE"""),"2023-08-15T17:37:22Z")</f>
        <v>2023-08-15T17:37:22Z</v>
      </c>
      <c r="X249" s="43"/>
      <c r="Y249" s="43"/>
      <c r="Z249" s="43"/>
    </row>
    <row r="250" hidden="1">
      <c r="A250" s="43" t="str">
        <f>IFERROR(__xludf.DUMMYFUNCTION("""COMPUTED_VALUE"""),"5303527_1297661")</f>
        <v>5303527_1297661</v>
      </c>
      <c r="B250" s="43" t="str">
        <f>IFERROR(__xludf.DUMMYFUNCTION("""COMPUTED_VALUE"""),"Mariam MOHAMMED")</f>
        <v>Mariam MOHAMMED</v>
      </c>
      <c r="C250" s="43" t="str">
        <f>IFERROR(__xludf.DUMMYFUNCTION("""COMPUTED_VALUE"""),"approved")</f>
        <v>approved</v>
      </c>
      <c r="D250" s="43" t="str">
        <f>IFERROR(__xludf.DUMMYFUNCTION("""COMPUTED_VALUE"""),"No")</f>
        <v>No</v>
      </c>
      <c r="E250" s="43" t="str">
        <f>IFERROR(__xludf.DUMMYFUNCTION("""COMPUTED_VALUE"""),"p_caf324257236c1cccff8cff9bba78d1355713c80@inbound.aiesec.org")</f>
        <v>p_caf324257236c1cccff8cff9bba78d1355713c80@inbound.aiesec.org</v>
      </c>
      <c r="F250" s="43">
        <f>IFERROR(__xludf.DUMMYFUNCTION("""COMPUTED_VALUE"""),1.01889618E9)</f>
        <v>1018896180</v>
      </c>
      <c r="G250" s="43" t="str">
        <f>IFERROR(__xludf.DUMMYFUNCTION("""COMPUTED_VALUE"""),"Egypt")</f>
        <v>Egypt</v>
      </c>
      <c r="H250" s="43" t="str">
        <f>IFERROR(__xludf.DUMMYFUNCTION("""COMPUTED_VALUE"""),"Ain Shams University")</f>
        <v>Ain Shams University</v>
      </c>
      <c r="I250" s="43" t="str">
        <f>IFERROR(__xludf.DUMMYFUNCTION("""COMPUTED_VALUE"""),"Turkey")</f>
        <v>Turkey</v>
      </c>
      <c r="J250" s="43" t="str">
        <f>IFERROR(__xludf.DUMMYFUNCTION("""COMPUTED_VALUE"""),"KUTAHYA")</f>
        <v>KUTAHYA</v>
      </c>
      <c r="K250" s="44" t="str">
        <f>IFERROR(__xludf.DUMMYFUNCTION("""COMPUTED_VALUE"""),"https://expa.aiesec.org/opportunities/1297661")</f>
        <v>https://expa.aiesec.org/opportunities/1297661</v>
      </c>
      <c r="L250" s="43" t="str">
        <f>IFERROR(__xludf.DUMMYFUNCTION("""COMPUTED_VALUE"""),"GTa")</f>
        <v>GTa</v>
      </c>
      <c r="M250" s="43" t="str">
        <f>IFERROR(__xludf.DUMMYFUNCTION("""COMPUTED_VALUE"""),"long")</f>
        <v>long</v>
      </c>
      <c r="N250" s="45">
        <f>IFERROR(__xludf.DUMMYFUNCTION("""COMPUTED_VALUE"""),45176.0)</f>
        <v>45176</v>
      </c>
      <c r="O250" s="45">
        <f>IFERROR(__xludf.DUMMYFUNCTION("""COMPUTED_VALUE"""),45179.0)</f>
        <v>45179</v>
      </c>
      <c r="P250" s="45">
        <f>IFERROR(__xludf.DUMMYFUNCTION("""COMPUTED_VALUE"""),45483.0)</f>
        <v>45483</v>
      </c>
      <c r="Q250" s="45"/>
      <c r="R250" s="45"/>
      <c r="S250" s="43"/>
      <c r="T250" s="43" t="str">
        <f>IFERROR(__xludf.DUMMYFUNCTION("""COMPUTED_VALUE"""),"Marketing")</f>
        <v>Marketing</v>
      </c>
      <c r="U250" s="43" t="str">
        <f>IFERROR(__xludf.DUMMYFUNCTION("""COMPUTED_VALUE"""),"Marketing")</f>
        <v>Marketing</v>
      </c>
      <c r="V250" s="43" t="str">
        <f>IFERROR(__xludf.DUMMYFUNCTION("""COMPUTED_VALUE"""),"Ain Shams University")</f>
        <v>Ain Shams University</v>
      </c>
      <c r="W250" s="43" t="str">
        <f>IFERROR(__xludf.DUMMYFUNCTION("""COMPUTED_VALUE"""),"2023-08-16T10:13:35Z")</f>
        <v>2023-08-16T10:13:35Z</v>
      </c>
      <c r="X250" s="43"/>
      <c r="Y250" s="43"/>
      <c r="Z250" s="43"/>
    </row>
    <row r="251" hidden="1">
      <c r="A251" s="43" t="str">
        <f>IFERROR(__xludf.DUMMYFUNCTION("""COMPUTED_VALUE"""),"5319670_1294332")</f>
        <v>5319670_1294332</v>
      </c>
      <c r="B251" s="43" t="str">
        <f>IFERROR(__xludf.DUMMYFUNCTION("""COMPUTED_VALUE"""),"Sarah Elsayed")</f>
        <v>Sarah Elsayed</v>
      </c>
      <c r="C251" s="43" t="str">
        <f>IFERROR(__xludf.DUMMYFUNCTION("""COMPUTED_VALUE"""),"realized")</f>
        <v>realized</v>
      </c>
      <c r="D251" s="43" t="str">
        <f>IFERROR(__xludf.DUMMYFUNCTION("""COMPUTED_VALUE"""),"No")</f>
        <v>No</v>
      </c>
      <c r="E251" s="43" t="str">
        <f>IFERROR(__xludf.DUMMYFUNCTION("""COMPUTED_VALUE"""),"p_088332522fe7757b47c60ffad8ec796b79397877@inbound.aiesec.org")</f>
        <v>p_088332522fe7757b47c60ffad8ec796b79397877@inbound.aiesec.org</v>
      </c>
      <c r="F251" s="43">
        <f>IFERROR(__xludf.DUMMYFUNCTION("""COMPUTED_VALUE"""),1.019337767E9)</f>
        <v>1019337767</v>
      </c>
      <c r="G251" s="43" t="str">
        <f>IFERROR(__xludf.DUMMYFUNCTION("""COMPUTED_VALUE"""),"Egypt")</f>
        <v>Egypt</v>
      </c>
      <c r="H251" s="43" t="str">
        <f>IFERROR(__xludf.DUMMYFUNCTION("""COMPUTED_VALUE"""),"Alexandria")</f>
        <v>Alexandria</v>
      </c>
      <c r="I251" s="43" t="str">
        <f>IFERROR(__xludf.DUMMYFUNCTION("""COMPUTED_VALUE"""),"Turkey")</f>
        <v>Turkey</v>
      </c>
      <c r="J251" s="43" t="str">
        <f>IFERROR(__xludf.DUMMYFUNCTION("""COMPUTED_VALUE"""),"ISTANBUL WEST")</f>
        <v>ISTANBUL WEST</v>
      </c>
      <c r="K251" s="44" t="str">
        <f>IFERROR(__xludf.DUMMYFUNCTION("""COMPUTED_VALUE"""),"https://expa.aiesec.org/opportunities/1294332")</f>
        <v>https://expa.aiesec.org/opportunities/1294332</v>
      </c>
      <c r="L251" s="43" t="str">
        <f>IFERROR(__xludf.DUMMYFUNCTION("""COMPUTED_VALUE"""),"GTa")</f>
        <v>GTa</v>
      </c>
      <c r="M251" s="43" t="str">
        <f>IFERROR(__xludf.DUMMYFUNCTION("""COMPUTED_VALUE"""),"long")</f>
        <v>long</v>
      </c>
      <c r="N251" s="45">
        <f>IFERROR(__xludf.DUMMYFUNCTION("""COMPUTED_VALUE"""),45176.0)</f>
        <v>45176</v>
      </c>
      <c r="O251" s="45">
        <f>IFERROR(__xludf.DUMMYFUNCTION("""COMPUTED_VALUE"""),45215.0)</f>
        <v>45215</v>
      </c>
      <c r="P251" s="45">
        <f>IFERROR(__xludf.DUMMYFUNCTION("""COMPUTED_VALUE"""),45576.0)</f>
        <v>45576</v>
      </c>
      <c r="Q251" s="45">
        <f>IFERROR(__xludf.DUMMYFUNCTION("""COMPUTED_VALUE"""),45219.0)</f>
        <v>45219</v>
      </c>
      <c r="R251" s="45">
        <f>IFERROR(__xludf.DUMMYFUNCTION("""COMPUTED_VALUE"""),45580.0)</f>
        <v>45580</v>
      </c>
      <c r="S251" s="43"/>
      <c r="T251" s="43" t="str">
        <f>IFERROR(__xludf.DUMMYFUNCTION("""COMPUTED_VALUE"""),"Business Administration")</f>
        <v>Business Administration</v>
      </c>
      <c r="U251" s="43" t="str">
        <f>IFERROR(__xludf.DUMMYFUNCTION("""COMPUTED_VALUE"""),"Sales Consultant ( Customer Service )")</f>
        <v>Sales Consultant ( Customer Service )</v>
      </c>
      <c r="V251" s="43" t="str">
        <f>IFERROR(__xludf.DUMMYFUNCTION("""COMPUTED_VALUE"""),"Alexandria University")</f>
        <v>Alexandria University</v>
      </c>
      <c r="W251" s="43" t="str">
        <f>IFERROR(__xludf.DUMMYFUNCTION("""COMPUTED_VALUE"""),"2023-09-07T13:27:45Z")</f>
        <v>2023-09-07T13:27:45Z</v>
      </c>
      <c r="X251" s="43"/>
      <c r="Y251" s="43"/>
      <c r="Z251" s="43"/>
    </row>
    <row r="252" hidden="1">
      <c r="A252" s="43" t="str">
        <f>IFERROR(__xludf.DUMMYFUNCTION("""COMPUTED_VALUE"""),"5275903_1289378")</f>
        <v>5275903_1289378</v>
      </c>
      <c r="B252" s="43" t="str">
        <f>IFERROR(__xludf.DUMMYFUNCTION("""COMPUTED_VALUE"""),"Alvaro Guardo Rincon")</f>
        <v>Alvaro Guardo Rincon</v>
      </c>
      <c r="C252" s="43" t="str">
        <f>IFERROR(__xludf.DUMMYFUNCTION("""COMPUTED_VALUE"""),"realized")</f>
        <v>realized</v>
      </c>
      <c r="D252" s="43" t="str">
        <f>IFERROR(__xludf.DUMMYFUNCTION("""COMPUTED_VALUE"""),"No")</f>
        <v>No</v>
      </c>
      <c r="E252" s="43" t="str">
        <f>IFERROR(__xludf.DUMMYFUNCTION("""COMPUTED_VALUE"""),"p_1c2272c70264418e5fc94014373db2b2c1fc8a32@inbound.aiesec.org")</f>
        <v>p_1c2272c70264418e5fc94014373db2b2c1fc8a32@inbound.aiesec.org</v>
      </c>
      <c r="F252" s="43">
        <f>IFERROR(__xludf.DUMMYFUNCTION("""COMPUTED_VALUE"""),3.017060863E9)</f>
        <v>3017060863</v>
      </c>
      <c r="G252" s="43" t="str">
        <f>IFERROR(__xludf.DUMMYFUNCTION("""COMPUTED_VALUE"""),"Colombia")</f>
        <v>Colombia</v>
      </c>
      <c r="H252" s="43" t="str">
        <f>IFERROR(__xludf.DUMMYFUNCTION("""COMPUTED_VALUE"""),"UPB")</f>
        <v>UPB</v>
      </c>
      <c r="I252" s="43" t="str">
        <f>IFERROR(__xludf.DUMMYFUNCTION("""COMPUTED_VALUE"""),"Turkey")</f>
        <v>Turkey</v>
      </c>
      <c r="J252" s="43" t="str">
        <f>IFERROR(__xludf.DUMMYFUNCTION("""COMPUTED_VALUE"""),"ISTANBUL")</f>
        <v>ISTANBUL</v>
      </c>
      <c r="K252" s="44" t="str">
        <f>IFERROR(__xludf.DUMMYFUNCTION("""COMPUTED_VALUE"""),"https://expa.aiesec.org/opportunities/1289378")</f>
        <v>https://expa.aiesec.org/opportunities/1289378</v>
      </c>
      <c r="L252" s="43" t="str">
        <f>IFERROR(__xludf.DUMMYFUNCTION("""COMPUTED_VALUE"""),"GTa")</f>
        <v>GTa</v>
      </c>
      <c r="M252" s="43" t="str">
        <f>IFERROR(__xludf.DUMMYFUNCTION("""COMPUTED_VALUE"""),"long")</f>
        <v>long</v>
      </c>
      <c r="N252" s="45">
        <f>IFERROR(__xludf.DUMMYFUNCTION("""COMPUTED_VALUE"""),45178.0)</f>
        <v>45178</v>
      </c>
      <c r="O252" s="45">
        <f>IFERROR(__xludf.DUMMYFUNCTION("""COMPUTED_VALUE"""),45201.0)</f>
        <v>45201</v>
      </c>
      <c r="P252" s="45">
        <f>IFERROR(__xludf.DUMMYFUNCTION("""COMPUTED_VALUE"""),45702.0)</f>
        <v>45702</v>
      </c>
      <c r="Q252" s="45">
        <f>IFERROR(__xludf.DUMMYFUNCTION("""COMPUTED_VALUE"""),45219.0)</f>
        <v>45219</v>
      </c>
      <c r="R252" s="45">
        <f>IFERROR(__xludf.DUMMYFUNCTION("""COMPUTED_VALUE"""),45720.0)</f>
        <v>45720</v>
      </c>
      <c r="S252" s="43"/>
      <c r="T252" s="43" t="str">
        <f>IFERROR(__xludf.DUMMYFUNCTION("""COMPUTED_VALUE"""),"Business Administration")</f>
        <v>Business Administration</v>
      </c>
      <c r="U252" s="43" t="str">
        <f>IFERROR(__xludf.DUMMYFUNCTION("""COMPUTED_VALUE"""),"Telesales Specialist in Istanbul (Spanish Speaker)")</f>
        <v>Telesales Specialist in Istanbul (Spanish Speaker)</v>
      </c>
      <c r="V252" s="43" t="str">
        <f>IFERROR(__xludf.DUMMYFUNCTION("""COMPUTED_VALUE"""),"-")</f>
        <v>-</v>
      </c>
      <c r="W252" s="43" t="str">
        <f>IFERROR(__xludf.DUMMYFUNCTION("""COMPUTED_VALUE"""),"2023-06-16T05:57:41Z")</f>
        <v>2023-06-16T05:57:41Z</v>
      </c>
      <c r="X252" s="43"/>
      <c r="Y252" s="43"/>
      <c r="Z252" s="43"/>
    </row>
    <row r="253" hidden="1">
      <c r="A253" s="43" t="str">
        <f>IFERROR(__xludf.DUMMYFUNCTION("""COMPUTED_VALUE"""),"5320386_1292878")</f>
        <v>5320386_1292878</v>
      </c>
      <c r="B253" s="43" t="str">
        <f>IFERROR(__xludf.DUMMYFUNCTION("""COMPUTED_VALUE"""),"Abdellatif Sekouri")</f>
        <v>Abdellatif Sekouri</v>
      </c>
      <c r="C253" s="43" t="str">
        <f>IFERROR(__xludf.DUMMYFUNCTION("""COMPUTED_VALUE"""),"completed")</f>
        <v>completed</v>
      </c>
      <c r="D253" s="43" t="str">
        <f>IFERROR(__xludf.DUMMYFUNCTION("""COMPUTED_VALUE"""),"No")</f>
        <v>No</v>
      </c>
      <c r="E253" s="43" t="str">
        <f>IFERROR(__xludf.DUMMYFUNCTION("""COMPUTED_VALUE"""),"p_6d8787ff1382c5ec621221f7c9018499afcf56af@inbound.aiesec.org")</f>
        <v>p_6d8787ff1382c5ec621221f7c9018499afcf56af@inbound.aiesec.org</v>
      </c>
      <c r="F253" s="43">
        <f>IFERROR(__xludf.DUMMYFUNCTION("""COMPUTED_VALUE"""),7.7455897E8)</f>
        <v>774558970</v>
      </c>
      <c r="G253" s="43" t="str">
        <f>IFERROR(__xludf.DUMMYFUNCTION("""COMPUTED_VALUE"""),"Morocco")</f>
        <v>Morocco</v>
      </c>
      <c r="H253" s="43" t="str">
        <f>IFERROR(__xludf.DUMMYFUNCTION("""COMPUTED_VALUE"""),"Tetouan")</f>
        <v>Tetouan</v>
      </c>
      <c r="I253" s="43" t="str">
        <f>IFERROR(__xludf.DUMMYFUNCTION("""COMPUTED_VALUE"""),"Turkey")</f>
        <v>Turkey</v>
      </c>
      <c r="J253" s="43" t="str">
        <f>IFERROR(__xludf.DUMMYFUNCTION("""COMPUTED_VALUE"""),"KOCAELI")</f>
        <v>KOCAELI</v>
      </c>
      <c r="K253" s="44" t="str">
        <f>IFERROR(__xludf.DUMMYFUNCTION("""COMPUTED_VALUE"""),"https://expa.aiesec.org/opportunities/1292878")</f>
        <v>https://expa.aiesec.org/opportunities/1292878</v>
      </c>
      <c r="L253" s="43" t="str">
        <f>IFERROR(__xludf.DUMMYFUNCTION("""COMPUTED_VALUE"""),"GTa")</f>
        <v>GTa</v>
      </c>
      <c r="M253" s="43" t="str">
        <f>IFERROR(__xludf.DUMMYFUNCTION("""COMPUTED_VALUE"""),"short")</f>
        <v>short</v>
      </c>
      <c r="N253" s="45">
        <f>IFERROR(__xludf.DUMMYFUNCTION("""COMPUTED_VALUE"""),45179.0)</f>
        <v>45179</v>
      </c>
      <c r="O253" s="45">
        <f>IFERROR(__xludf.DUMMYFUNCTION("""COMPUTED_VALUE"""),45189.0)</f>
        <v>45189</v>
      </c>
      <c r="P253" s="45">
        <f>IFERROR(__xludf.DUMMYFUNCTION("""COMPUTED_VALUE"""),45233.0)</f>
        <v>45233</v>
      </c>
      <c r="Q253" s="45">
        <f>IFERROR(__xludf.DUMMYFUNCTION("""COMPUTED_VALUE"""),45184.0)</f>
        <v>45184</v>
      </c>
      <c r="R253" s="45">
        <f>IFERROR(__xludf.DUMMYFUNCTION("""COMPUTED_VALUE"""),45236.0)</f>
        <v>45236</v>
      </c>
      <c r="S253" s="43"/>
      <c r="T253" s="43" t="str">
        <f>IFERROR(__xludf.DUMMYFUNCTION("""COMPUTED_VALUE"""),"Marketing")</f>
        <v>Marketing</v>
      </c>
      <c r="U253" s="43" t="str">
        <f>IFERROR(__xludf.DUMMYFUNCTION("""COMPUTED_VALUE"""),"Marketing Specialist in Aliz Team")</f>
        <v>Marketing Specialist in Aliz Team</v>
      </c>
      <c r="V253" s="43" t="str">
        <f>IFERROR(__xludf.DUMMYFUNCTION("""COMPUTED_VALUE"""),"FSJES Tétouan")</f>
        <v>FSJES Tétouan</v>
      </c>
      <c r="W253" s="43" t="str">
        <f>IFERROR(__xludf.DUMMYFUNCTION("""COMPUTED_VALUE"""),"2023-09-08T14:42:43Z")</f>
        <v>2023-09-08T14:42:43Z</v>
      </c>
      <c r="X253" s="43"/>
      <c r="Y253" s="43"/>
      <c r="Z253" s="43"/>
    </row>
    <row r="254" hidden="1">
      <c r="A254" s="43" t="str">
        <f>IFERROR(__xludf.DUMMYFUNCTION("""COMPUTED_VALUE"""),"5317419_1294332")</f>
        <v>5317419_1294332</v>
      </c>
      <c r="B254" s="43" t="str">
        <f>IFERROR(__xludf.DUMMYFUNCTION("""COMPUTED_VALUE"""),"Oumaima Essafi")</f>
        <v>Oumaima Essafi</v>
      </c>
      <c r="C254" s="43" t="str">
        <f>IFERROR(__xludf.DUMMYFUNCTION("""COMPUTED_VALUE"""),"approved")</f>
        <v>approved</v>
      </c>
      <c r="D254" s="43" t="str">
        <f>IFERROR(__xludf.DUMMYFUNCTION("""COMPUTED_VALUE"""),"No")</f>
        <v>No</v>
      </c>
      <c r="E254" s="43" t="str">
        <f>IFERROR(__xludf.DUMMYFUNCTION("""COMPUTED_VALUE"""),"p_60560a4fbeadb26987d1c247c12cdd716ea99fae@inbound.aiesec.org")</f>
        <v>p_60560a4fbeadb26987d1c247c12cdd716ea99fae@inbound.aiesec.org</v>
      </c>
      <c r="F254" s="43">
        <f>IFERROR(__xludf.DUMMYFUNCTION("""COMPUTED_VALUE"""),6.10174016E8)</f>
        <v>610174016</v>
      </c>
      <c r="G254" s="43" t="str">
        <f>IFERROR(__xludf.DUMMYFUNCTION("""COMPUTED_VALUE"""),"Morocco")</f>
        <v>Morocco</v>
      </c>
      <c r="H254" s="43" t="str">
        <f>IFERROR(__xludf.DUMMYFUNCTION("""COMPUTED_VALUE"""),"Agadir")</f>
        <v>Agadir</v>
      </c>
      <c r="I254" s="43" t="str">
        <f>IFERROR(__xludf.DUMMYFUNCTION("""COMPUTED_VALUE"""),"Turkey")</f>
        <v>Turkey</v>
      </c>
      <c r="J254" s="43" t="str">
        <f>IFERROR(__xludf.DUMMYFUNCTION("""COMPUTED_VALUE"""),"ISTANBUL WEST")</f>
        <v>ISTANBUL WEST</v>
      </c>
      <c r="K254" s="44" t="str">
        <f>IFERROR(__xludf.DUMMYFUNCTION("""COMPUTED_VALUE"""),"https://expa.aiesec.org/opportunities/1294332")</f>
        <v>https://expa.aiesec.org/opportunities/1294332</v>
      </c>
      <c r="L254" s="43" t="str">
        <f>IFERROR(__xludf.DUMMYFUNCTION("""COMPUTED_VALUE"""),"GTa")</f>
        <v>GTa</v>
      </c>
      <c r="M254" s="43" t="str">
        <f>IFERROR(__xludf.DUMMYFUNCTION("""COMPUTED_VALUE"""),"long")</f>
        <v>long</v>
      </c>
      <c r="N254" s="45">
        <f>IFERROR(__xludf.DUMMYFUNCTION("""COMPUTED_VALUE"""),45179.0)</f>
        <v>45179</v>
      </c>
      <c r="O254" s="45">
        <f>IFERROR(__xludf.DUMMYFUNCTION("""COMPUTED_VALUE"""),45184.0)</f>
        <v>45184</v>
      </c>
      <c r="P254" s="45">
        <f>IFERROR(__xludf.DUMMYFUNCTION("""COMPUTED_VALUE"""),45548.0)</f>
        <v>45548</v>
      </c>
      <c r="Q254" s="45"/>
      <c r="R254" s="45"/>
      <c r="S254" s="43"/>
      <c r="T254" s="43" t="str">
        <f>IFERROR(__xludf.DUMMYFUNCTION("""COMPUTED_VALUE"""),"Business Administration")</f>
        <v>Business Administration</v>
      </c>
      <c r="U254" s="43" t="str">
        <f>IFERROR(__xludf.DUMMYFUNCTION("""COMPUTED_VALUE"""),"Sales Consultant ( Customer Service )")</f>
        <v>Sales Consultant ( Customer Service )</v>
      </c>
      <c r="V254" s="43" t="str">
        <f>IFERROR(__xludf.DUMMYFUNCTION("""COMPUTED_VALUE"""),"École nationale d'architecture Agadir (ENA)")</f>
        <v>École nationale d'architecture Agadir (ENA)</v>
      </c>
      <c r="W254" s="43" t="str">
        <f>IFERROR(__xludf.DUMMYFUNCTION("""COMPUTED_VALUE"""),"2023-09-03T13:54:48Z")</f>
        <v>2023-09-03T13:54:48Z</v>
      </c>
      <c r="X254" s="43"/>
      <c r="Y254" s="43"/>
      <c r="Z254" s="43"/>
    </row>
    <row r="255" hidden="1">
      <c r="A255" s="43" t="str">
        <f>IFERROR(__xludf.DUMMYFUNCTION("""COMPUTED_VALUE"""),"5304176_1294332")</f>
        <v>5304176_1294332</v>
      </c>
      <c r="B255" s="43" t="str">
        <f>IFERROR(__xludf.DUMMYFUNCTION("""COMPUTED_VALUE"""),"Chaimaa Kaouthar")</f>
        <v>Chaimaa Kaouthar</v>
      </c>
      <c r="C255" s="43" t="str">
        <f>IFERROR(__xludf.DUMMYFUNCTION("""COMPUTED_VALUE"""),"realized")</f>
        <v>realized</v>
      </c>
      <c r="D255" s="43" t="str">
        <f>IFERROR(__xludf.DUMMYFUNCTION("""COMPUTED_VALUE"""),"No")</f>
        <v>No</v>
      </c>
      <c r="E255" s="43" t="str">
        <f>IFERROR(__xludf.DUMMYFUNCTION("""COMPUTED_VALUE"""),"p_c2111b7cf71c3c50b94fc48705636776ccc997c6@inbound.aiesec.org")</f>
        <v>p_c2111b7cf71c3c50b94fc48705636776ccc997c6@inbound.aiesec.org</v>
      </c>
      <c r="F255" s="43">
        <f>IFERROR(__xludf.DUMMYFUNCTION("""COMPUTED_VALUE"""),5.454500395E9)</f>
        <v>5454500395</v>
      </c>
      <c r="G255" s="43" t="str">
        <f>IFERROR(__xludf.DUMMYFUNCTION("""COMPUTED_VALUE"""),"Morocco")</f>
        <v>Morocco</v>
      </c>
      <c r="H255" s="43" t="str">
        <f>IFERROR(__xludf.DUMMYFUNCTION("""COMPUTED_VALUE"""),"Casablanca")</f>
        <v>Casablanca</v>
      </c>
      <c r="I255" s="43" t="str">
        <f>IFERROR(__xludf.DUMMYFUNCTION("""COMPUTED_VALUE"""),"Turkey")</f>
        <v>Turkey</v>
      </c>
      <c r="J255" s="43" t="str">
        <f>IFERROR(__xludf.DUMMYFUNCTION("""COMPUTED_VALUE"""),"ISTANBUL WEST")</f>
        <v>ISTANBUL WEST</v>
      </c>
      <c r="K255" s="44" t="str">
        <f>IFERROR(__xludf.DUMMYFUNCTION("""COMPUTED_VALUE"""),"https://expa.aiesec.org/opportunities/1294332")</f>
        <v>https://expa.aiesec.org/opportunities/1294332</v>
      </c>
      <c r="L255" s="43" t="str">
        <f>IFERROR(__xludf.DUMMYFUNCTION("""COMPUTED_VALUE"""),"GTa")</f>
        <v>GTa</v>
      </c>
      <c r="M255" s="43" t="str">
        <f>IFERROR(__xludf.DUMMYFUNCTION("""COMPUTED_VALUE"""),"long")</f>
        <v>long</v>
      </c>
      <c r="N255" s="45">
        <f>IFERROR(__xludf.DUMMYFUNCTION("""COMPUTED_VALUE"""),45183.0)</f>
        <v>45183</v>
      </c>
      <c r="O255" s="45">
        <f>IFERROR(__xludf.DUMMYFUNCTION("""COMPUTED_VALUE"""),45169.0)</f>
        <v>45169</v>
      </c>
      <c r="P255" s="45">
        <f>IFERROR(__xludf.DUMMYFUNCTION("""COMPUTED_VALUE"""),45523.0)</f>
        <v>45523</v>
      </c>
      <c r="Q255" s="45">
        <f>IFERROR(__xludf.DUMMYFUNCTION("""COMPUTED_VALUE"""),45199.0)</f>
        <v>45199</v>
      </c>
      <c r="R255" s="45">
        <f>IFERROR(__xludf.DUMMYFUNCTION("""COMPUTED_VALUE"""),45553.0)</f>
        <v>45553</v>
      </c>
      <c r="S255" s="43"/>
      <c r="T255" s="43" t="str">
        <f>IFERROR(__xludf.DUMMYFUNCTION("""COMPUTED_VALUE"""),"Business Administration")</f>
        <v>Business Administration</v>
      </c>
      <c r="U255" s="43" t="str">
        <f>IFERROR(__xludf.DUMMYFUNCTION("""COMPUTED_VALUE"""),"Sales Consultant ( Customer Service )")</f>
        <v>Sales Consultant ( Customer Service )</v>
      </c>
      <c r="V255" s="43" t="str">
        <f>IFERROR(__xludf.DUMMYFUNCTION("""COMPUTED_VALUE"""),"Other-CASABLANCA")</f>
        <v>Other-CASABLANCA</v>
      </c>
      <c r="W255" s="43" t="str">
        <f>IFERROR(__xludf.DUMMYFUNCTION("""COMPUTED_VALUE"""),"2023-08-17T13:02:57Z")</f>
        <v>2023-08-17T13:02:57Z</v>
      </c>
      <c r="X255" s="43"/>
      <c r="Y255" s="43"/>
      <c r="Z255" s="43"/>
    </row>
    <row r="256" hidden="1">
      <c r="A256" s="43" t="str">
        <f>IFERROR(__xludf.DUMMYFUNCTION("""COMPUTED_VALUE"""),"3936205_1286122")</f>
        <v>3936205_1286122</v>
      </c>
      <c r="B256" s="43" t="str">
        <f>IFERROR(__xludf.DUMMYFUNCTION("""COMPUTED_VALUE"""),"Rahmouna Noudjoud Boudali")</f>
        <v>Rahmouna Noudjoud Boudali</v>
      </c>
      <c r="C256" s="43" t="str">
        <f>IFERROR(__xludf.DUMMYFUNCTION("""COMPUTED_VALUE"""),"approved")</f>
        <v>approved</v>
      </c>
      <c r="D256" s="43" t="str">
        <f>IFERROR(__xludf.DUMMYFUNCTION("""COMPUTED_VALUE"""),"No")</f>
        <v>No</v>
      </c>
      <c r="E256" s="43" t="str">
        <f>IFERROR(__xludf.DUMMYFUNCTION("""COMPUTED_VALUE"""),"p_4dfa90fcf46819e89cd47acad7be17584c09fa80@inbound.aiesec.org")</f>
        <v>p_4dfa90fcf46819e89cd47acad7be17584c09fa80@inbound.aiesec.org</v>
      </c>
      <c r="F256" s="43">
        <f>IFERROR(__xludf.DUMMYFUNCTION("""COMPUTED_VALUE"""),6.57301656E8)</f>
        <v>657301656</v>
      </c>
      <c r="G256" s="43" t="str">
        <f>IFERROR(__xludf.DUMMYFUNCTION("""COMPUTED_VALUE"""),"Algeria")</f>
        <v>Algeria</v>
      </c>
      <c r="H256" s="43" t="str">
        <f>IFERROR(__xludf.DUMMYFUNCTION("""COMPUTED_VALUE"""),"Benak")</f>
        <v>Benak</v>
      </c>
      <c r="I256" s="43" t="str">
        <f>IFERROR(__xludf.DUMMYFUNCTION("""COMPUTED_VALUE"""),"Turkey")</f>
        <v>Turkey</v>
      </c>
      <c r="J256" s="43" t="str">
        <f>IFERROR(__xludf.DUMMYFUNCTION("""COMPUTED_VALUE"""),"BURSA")</f>
        <v>BURSA</v>
      </c>
      <c r="K256" s="44" t="str">
        <f>IFERROR(__xludf.DUMMYFUNCTION("""COMPUTED_VALUE"""),"https://expa.aiesec.org/opportunities/1286122")</f>
        <v>https://expa.aiesec.org/opportunities/1286122</v>
      </c>
      <c r="L256" s="43" t="str">
        <f>IFERROR(__xludf.DUMMYFUNCTION("""COMPUTED_VALUE"""),"GTa")</f>
        <v>GTa</v>
      </c>
      <c r="M256" s="43" t="str">
        <f>IFERROR(__xludf.DUMMYFUNCTION("""COMPUTED_VALUE"""),"long")</f>
        <v>long</v>
      </c>
      <c r="N256" s="45">
        <f>IFERROR(__xludf.DUMMYFUNCTION("""COMPUTED_VALUE"""),45186.0)</f>
        <v>45186</v>
      </c>
      <c r="O256" s="45">
        <f>IFERROR(__xludf.DUMMYFUNCTION("""COMPUTED_VALUE"""),45217.0)</f>
        <v>45217</v>
      </c>
      <c r="P256" s="45">
        <f>IFERROR(__xludf.DUMMYFUNCTION("""COMPUTED_VALUE"""),45583.0)</f>
        <v>45583</v>
      </c>
      <c r="Q256" s="45"/>
      <c r="R256" s="45"/>
      <c r="S256" s="43"/>
      <c r="T256" s="43" t="str">
        <f>IFERROR(__xludf.DUMMYFUNCTION("""COMPUTED_VALUE"""),"Marketing")</f>
        <v>Marketing</v>
      </c>
      <c r="U256" s="43" t="str">
        <f>IFERROR(__xludf.DUMMYFUNCTION("""COMPUTED_VALUE"""),"Marketing/ E-Commerce")</f>
        <v>Marketing/ E-Commerce</v>
      </c>
      <c r="V256" s="43" t="str">
        <f>IFERROR(__xludf.DUMMYFUNCTION("""COMPUTED_VALUE"""),"-")</f>
        <v>-</v>
      </c>
      <c r="W256" s="43" t="str">
        <f>IFERROR(__xludf.DUMMYFUNCTION("""COMPUTED_VALUE"""),"2019-10-30T09:47:16Z")</f>
        <v>2019-10-30T09:47:16Z</v>
      </c>
      <c r="X256" s="43"/>
      <c r="Y256" s="43"/>
      <c r="Z256" s="43"/>
    </row>
    <row r="257" hidden="1">
      <c r="A257" s="43" t="str">
        <f>IFERROR(__xludf.DUMMYFUNCTION("""COMPUTED_VALUE"""),"5323463_1289255")</f>
        <v>5323463_1289255</v>
      </c>
      <c r="B257" s="43" t="str">
        <f>IFERROR(__xludf.DUMMYFUNCTION("""COMPUTED_VALUE"""),"Nadine ARAB")</f>
        <v>Nadine ARAB</v>
      </c>
      <c r="C257" s="43" t="str">
        <f>IFERROR(__xludf.DUMMYFUNCTION("""COMPUTED_VALUE"""),"realized")</f>
        <v>realized</v>
      </c>
      <c r="D257" s="43" t="str">
        <f>IFERROR(__xludf.DUMMYFUNCTION("""COMPUTED_VALUE"""),"No")</f>
        <v>No</v>
      </c>
      <c r="E257" s="43" t="str">
        <f>IFERROR(__xludf.DUMMYFUNCTION("""COMPUTED_VALUE"""),"p_9d1da592d9c701bd5badd6741ef8e3eeb764a572@inbound.aiesec.org")</f>
        <v>p_9d1da592d9c701bd5badd6741ef8e3eeb764a572@inbound.aiesec.org</v>
      </c>
      <c r="F257" s="43"/>
      <c r="G257" s="43" t="str">
        <f>IFERROR(__xludf.DUMMYFUNCTION("""COMPUTED_VALUE"""),"Algeria")</f>
        <v>Algeria</v>
      </c>
      <c r="H257" s="43" t="str">
        <f>IFERROR(__xludf.DUMMYFUNCTION("""COMPUTED_VALUE"""),"Constantine")</f>
        <v>Constantine</v>
      </c>
      <c r="I257" s="43" t="str">
        <f>IFERROR(__xludf.DUMMYFUNCTION("""COMPUTED_VALUE"""),"Turkey")</f>
        <v>Turkey</v>
      </c>
      <c r="J257" s="43" t="str">
        <f>IFERROR(__xludf.DUMMYFUNCTION("""COMPUTED_VALUE"""),"ISTANBUL")</f>
        <v>ISTANBUL</v>
      </c>
      <c r="K257" s="44" t="str">
        <f>IFERROR(__xludf.DUMMYFUNCTION("""COMPUTED_VALUE"""),"https://expa.aiesec.org/opportunities/1289255")</f>
        <v>https://expa.aiesec.org/opportunities/1289255</v>
      </c>
      <c r="L257" s="43" t="str">
        <f>IFERROR(__xludf.DUMMYFUNCTION("""COMPUTED_VALUE"""),"GTa")</f>
        <v>GTa</v>
      </c>
      <c r="M257" s="43" t="str">
        <f>IFERROR(__xludf.DUMMYFUNCTION("""COMPUTED_VALUE"""),"long")</f>
        <v>long</v>
      </c>
      <c r="N257" s="45">
        <f>IFERROR(__xludf.DUMMYFUNCTION("""COMPUTED_VALUE"""),45187.0)</f>
        <v>45187</v>
      </c>
      <c r="O257" s="45">
        <f>IFERROR(__xludf.DUMMYFUNCTION("""COMPUTED_VALUE"""),45195.0)</f>
        <v>45195</v>
      </c>
      <c r="P257" s="45">
        <f>IFERROR(__xludf.DUMMYFUNCTION("""COMPUTED_VALUE"""),45646.0)</f>
        <v>45646</v>
      </c>
      <c r="Q257" s="45">
        <f>IFERROR(__xludf.DUMMYFUNCTION("""COMPUTED_VALUE"""),45188.0)</f>
        <v>45188</v>
      </c>
      <c r="R257" s="45">
        <f>IFERROR(__xludf.DUMMYFUNCTION("""COMPUTED_VALUE"""),45646.0)</f>
        <v>45646</v>
      </c>
      <c r="S257" s="43"/>
      <c r="T257" s="43" t="str">
        <f>IFERROR(__xludf.DUMMYFUNCTION("""COMPUTED_VALUE"""),"Business Administration")</f>
        <v>Business Administration</v>
      </c>
      <c r="U257" s="43" t="str">
        <f>IFERROR(__xludf.DUMMYFUNCTION("""COMPUTED_VALUE"""),"Telesales Specialist in Istanbul (French Speaker)")</f>
        <v>Telesales Specialist in Istanbul (French Speaker)</v>
      </c>
      <c r="V257" s="43" t="str">
        <f>IFERROR(__xludf.DUMMYFUNCTION("""COMPUTED_VALUE"""),"-")</f>
        <v>-</v>
      </c>
      <c r="W257" s="43" t="str">
        <f>IFERROR(__xludf.DUMMYFUNCTION("""COMPUTED_VALUE"""),"2023-09-13T21:12:13Z")</f>
        <v>2023-09-13T21:12:13Z</v>
      </c>
      <c r="X257" s="43"/>
      <c r="Y257" s="43"/>
      <c r="Z257" s="43"/>
    </row>
    <row r="258" hidden="1">
      <c r="A258" s="43" t="str">
        <f>IFERROR(__xludf.DUMMYFUNCTION("""COMPUTED_VALUE"""),"5298303_1286122")</f>
        <v>5298303_1286122</v>
      </c>
      <c r="B258" s="43" t="str">
        <f>IFERROR(__xludf.DUMMYFUNCTION("""COMPUTED_VALUE"""),"Hamza Gaieb")</f>
        <v>Hamza Gaieb</v>
      </c>
      <c r="C258" s="43" t="str">
        <f>IFERROR(__xludf.DUMMYFUNCTION("""COMPUTED_VALUE"""),"realized")</f>
        <v>realized</v>
      </c>
      <c r="D258" s="43" t="str">
        <f>IFERROR(__xludf.DUMMYFUNCTION("""COMPUTED_VALUE"""),"No")</f>
        <v>No</v>
      </c>
      <c r="E258" s="43" t="str">
        <f>IFERROR(__xludf.DUMMYFUNCTION("""COMPUTED_VALUE"""),"p_f3ea209ed34b8850bbba24f4ec4dbde4bdca45d3@inbound.aiesec.org")</f>
        <v>p_f3ea209ed34b8850bbba24f4ec4dbde4bdca45d3@inbound.aiesec.org</v>
      </c>
      <c r="F258" s="43">
        <f>IFERROR(__xludf.DUMMYFUNCTION("""COMPUTED_VALUE"""),4.3314316E7)</f>
        <v>43314316</v>
      </c>
      <c r="G258" s="43" t="str">
        <f>IFERROR(__xludf.DUMMYFUNCTION("""COMPUTED_VALUE"""),"Tunisia")</f>
        <v>Tunisia</v>
      </c>
      <c r="H258" s="43" t="str">
        <f>IFERROR(__xludf.DUMMYFUNCTION("""COMPUTED_VALUE"""),"HADRUMET")</f>
        <v>HADRUMET</v>
      </c>
      <c r="I258" s="43" t="str">
        <f>IFERROR(__xludf.DUMMYFUNCTION("""COMPUTED_VALUE"""),"Turkey")</f>
        <v>Turkey</v>
      </c>
      <c r="J258" s="43" t="str">
        <f>IFERROR(__xludf.DUMMYFUNCTION("""COMPUTED_VALUE"""),"BURSA")</f>
        <v>BURSA</v>
      </c>
      <c r="K258" s="44" t="str">
        <f>IFERROR(__xludf.DUMMYFUNCTION("""COMPUTED_VALUE"""),"https://expa.aiesec.org/opportunities/1286122")</f>
        <v>https://expa.aiesec.org/opportunities/1286122</v>
      </c>
      <c r="L258" s="43" t="str">
        <f>IFERROR(__xludf.DUMMYFUNCTION("""COMPUTED_VALUE"""),"GTa")</f>
        <v>GTa</v>
      </c>
      <c r="M258" s="43" t="str">
        <f>IFERROR(__xludf.DUMMYFUNCTION("""COMPUTED_VALUE"""),"long")</f>
        <v>long</v>
      </c>
      <c r="N258" s="45">
        <f>IFERROR(__xludf.DUMMYFUNCTION("""COMPUTED_VALUE"""),45189.0)</f>
        <v>45189</v>
      </c>
      <c r="O258" s="45">
        <f>IFERROR(__xludf.DUMMYFUNCTION("""COMPUTED_VALUE"""),45231.0)</f>
        <v>45231</v>
      </c>
      <c r="P258" s="45">
        <f>IFERROR(__xludf.DUMMYFUNCTION("""COMPUTED_VALUE"""),45597.0)</f>
        <v>45597</v>
      </c>
      <c r="Q258" s="45">
        <f>IFERROR(__xludf.DUMMYFUNCTION("""COMPUTED_VALUE"""),45231.0)</f>
        <v>45231</v>
      </c>
      <c r="R258" s="45">
        <f>IFERROR(__xludf.DUMMYFUNCTION("""COMPUTED_VALUE"""),45597.0)</f>
        <v>45597</v>
      </c>
      <c r="S258" s="43"/>
      <c r="T258" s="43" t="str">
        <f>IFERROR(__xludf.DUMMYFUNCTION("""COMPUTED_VALUE"""),"Marketing")</f>
        <v>Marketing</v>
      </c>
      <c r="U258" s="43" t="str">
        <f>IFERROR(__xludf.DUMMYFUNCTION("""COMPUTED_VALUE"""),"Marketing/ E-Commerce")</f>
        <v>Marketing/ E-Commerce</v>
      </c>
      <c r="V258" s="43" t="str">
        <f>IFERROR(__xludf.DUMMYFUNCTION("""COMPUTED_VALUE"""),"ISET Sousse")</f>
        <v>ISET Sousse</v>
      </c>
      <c r="W258" s="43" t="str">
        <f>IFERROR(__xludf.DUMMYFUNCTION("""COMPUTED_VALUE"""),"2023-08-06T11:19:55Z")</f>
        <v>2023-08-06T11:19:55Z</v>
      </c>
      <c r="X258" s="43"/>
      <c r="Y258" s="43"/>
      <c r="Z258" s="43"/>
    </row>
    <row r="259" hidden="1">
      <c r="A259" s="43" t="str">
        <f>IFERROR(__xludf.DUMMYFUNCTION("""COMPUTED_VALUE"""),"5070973_1286122")</f>
        <v>5070973_1286122</v>
      </c>
      <c r="B259" s="43" t="str">
        <f>IFERROR(__xludf.DUMMYFUNCTION("""COMPUTED_VALUE"""),"Belhassen Ben Mahmoud")</f>
        <v>Belhassen Ben Mahmoud</v>
      </c>
      <c r="C259" s="43" t="str">
        <f>IFERROR(__xludf.DUMMYFUNCTION("""COMPUTED_VALUE"""),"realized")</f>
        <v>realized</v>
      </c>
      <c r="D259" s="43" t="str">
        <f>IFERROR(__xludf.DUMMYFUNCTION("""COMPUTED_VALUE"""),"No")</f>
        <v>No</v>
      </c>
      <c r="E259" s="43" t="str">
        <f>IFERROR(__xludf.DUMMYFUNCTION("""COMPUTED_VALUE"""),"p_832ff01c3194a3c9bc07cec3c0820996ace957a8@inbound.aiesec.org")</f>
        <v>p_832ff01c3194a3c9bc07cec3c0820996ace957a8@inbound.aiesec.org</v>
      </c>
      <c r="F259" s="43">
        <f>IFERROR(__xludf.DUMMYFUNCTION("""COMPUTED_VALUE"""),5.8367138E7)</f>
        <v>58367138</v>
      </c>
      <c r="G259" s="43" t="str">
        <f>IFERROR(__xludf.DUMMYFUNCTION("""COMPUTED_VALUE"""),"Tunisia")</f>
        <v>Tunisia</v>
      </c>
      <c r="H259" s="43" t="str">
        <f>IFERROR(__xludf.DUMMYFUNCTION("""COMPUTED_VALUE"""),"HADRUMET")</f>
        <v>HADRUMET</v>
      </c>
      <c r="I259" s="43" t="str">
        <f>IFERROR(__xludf.DUMMYFUNCTION("""COMPUTED_VALUE"""),"Turkey")</f>
        <v>Turkey</v>
      </c>
      <c r="J259" s="43" t="str">
        <f>IFERROR(__xludf.DUMMYFUNCTION("""COMPUTED_VALUE"""),"BURSA")</f>
        <v>BURSA</v>
      </c>
      <c r="K259" s="44" t="str">
        <f>IFERROR(__xludf.DUMMYFUNCTION("""COMPUTED_VALUE"""),"https://expa.aiesec.org/opportunities/1286122")</f>
        <v>https://expa.aiesec.org/opportunities/1286122</v>
      </c>
      <c r="L259" s="43" t="str">
        <f>IFERROR(__xludf.DUMMYFUNCTION("""COMPUTED_VALUE"""),"GTa")</f>
        <v>GTa</v>
      </c>
      <c r="M259" s="43" t="str">
        <f>IFERROR(__xludf.DUMMYFUNCTION("""COMPUTED_VALUE"""),"long")</f>
        <v>long</v>
      </c>
      <c r="N259" s="45">
        <f>IFERROR(__xludf.DUMMYFUNCTION("""COMPUTED_VALUE"""),45189.0)</f>
        <v>45189</v>
      </c>
      <c r="O259" s="45">
        <f>IFERROR(__xludf.DUMMYFUNCTION("""COMPUTED_VALUE"""),45217.0)</f>
        <v>45217</v>
      </c>
      <c r="P259" s="45">
        <f>IFERROR(__xludf.DUMMYFUNCTION("""COMPUTED_VALUE"""),45583.0)</f>
        <v>45583</v>
      </c>
      <c r="Q259" s="45">
        <f>IFERROR(__xludf.DUMMYFUNCTION("""COMPUTED_VALUE"""),45231.0)</f>
        <v>45231</v>
      </c>
      <c r="R259" s="45">
        <f>IFERROR(__xludf.DUMMYFUNCTION("""COMPUTED_VALUE"""),45597.0)</f>
        <v>45597</v>
      </c>
      <c r="S259" s="43"/>
      <c r="T259" s="43" t="str">
        <f>IFERROR(__xludf.DUMMYFUNCTION("""COMPUTED_VALUE"""),"Marketing")</f>
        <v>Marketing</v>
      </c>
      <c r="U259" s="43" t="str">
        <f>IFERROR(__xludf.DUMMYFUNCTION("""COMPUTED_VALUE"""),"Marketing/ E-Commerce")</f>
        <v>Marketing/ E-Commerce</v>
      </c>
      <c r="V259" s="43" t="str">
        <f>IFERROR(__xludf.DUMMYFUNCTION("""COMPUTED_VALUE"""),"ISSAT Sousse")</f>
        <v>ISSAT Sousse</v>
      </c>
      <c r="W259" s="43" t="str">
        <f>IFERROR(__xludf.DUMMYFUNCTION("""COMPUTED_VALUE"""),"2022-06-10T11:31:03Z")</f>
        <v>2022-06-10T11:31:03Z</v>
      </c>
      <c r="X259" s="43"/>
      <c r="Y259" s="43"/>
      <c r="Z259" s="43"/>
    </row>
    <row r="260" hidden="1">
      <c r="A260" s="43" t="str">
        <f>IFERROR(__xludf.DUMMYFUNCTION("""COMPUTED_VALUE"""),"5316103_1280733")</f>
        <v>5316103_1280733</v>
      </c>
      <c r="B260" s="43" t="str">
        <f>IFERROR(__xludf.DUMMYFUNCTION("""COMPUTED_VALUE"""),"Danish Qureshi")</f>
        <v>Danish Qureshi</v>
      </c>
      <c r="C260" s="43" t="str">
        <f>IFERROR(__xludf.DUMMYFUNCTION("""COMPUTED_VALUE"""),"approved")</f>
        <v>approved</v>
      </c>
      <c r="D260" s="43" t="str">
        <f>IFERROR(__xludf.DUMMYFUNCTION("""COMPUTED_VALUE"""),"No")</f>
        <v>No</v>
      </c>
      <c r="E260" s="43" t="str">
        <f>IFERROR(__xludf.DUMMYFUNCTION("""COMPUTED_VALUE"""),"p_ce7eb7661e64dc8c961b66707473661fca79efde@inbound.aiesec.org")</f>
        <v>p_ce7eb7661e64dc8c961b66707473661fca79efde@inbound.aiesec.org</v>
      </c>
      <c r="F260" s="43"/>
      <c r="G260" s="43" t="str">
        <f>IFERROR(__xludf.DUMMYFUNCTION("""COMPUTED_VALUE"""),"Pakistan")</f>
        <v>Pakistan</v>
      </c>
      <c r="H260" s="43" t="str">
        <f>IFERROR(__xludf.DUMMYFUNCTION("""COMPUTED_VALUE"""),"Karachi")</f>
        <v>Karachi</v>
      </c>
      <c r="I260" s="43" t="str">
        <f>IFERROR(__xludf.DUMMYFUNCTION("""COMPUTED_VALUE"""),"Turkey")</f>
        <v>Turkey</v>
      </c>
      <c r="J260" s="43" t="str">
        <f>IFERROR(__xludf.DUMMYFUNCTION("""COMPUTED_VALUE"""),"ANTALYA")</f>
        <v>ANTALYA</v>
      </c>
      <c r="K260" s="44" t="str">
        <f>IFERROR(__xludf.DUMMYFUNCTION("""COMPUTED_VALUE"""),"https://expa.aiesec.org/opportunities/1280733")</f>
        <v>https://expa.aiesec.org/opportunities/1280733</v>
      </c>
      <c r="L260" s="43" t="str">
        <f>IFERROR(__xludf.DUMMYFUNCTION("""COMPUTED_VALUE"""),"GTa")</f>
        <v>GTa</v>
      </c>
      <c r="M260" s="43" t="str">
        <f>IFERROR(__xludf.DUMMYFUNCTION("""COMPUTED_VALUE"""),"long")</f>
        <v>long</v>
      </c>
      <c r="N260" s="45">
        <f>IFERROR(__xludf.DUMMYFUNCTION("""COMPUTED_VALUE"""),45194.0)</f>
        <v>45194</v>
      </c>
      <c r="O260" s="45">
        <f>IFERROR(__xludf.DUMMYFUNCTION("""COMPUTED_VALUE"""),45285.0)</f>
        <v>45285</v>
      </c>
      <c r="P260" s="45">
        <f>IFERROR(__xludf.DUMMYFUNCTION("""COMPUTED_VALUE"""),45651.0)</f>
        <v>45651</v>
      </c>
      <c r="Q260" s="45"/>
      <c r="R260" s="45"/>
      <c r="S260" s="43"/>
      <c r="T260" s="43" t="str">
        <f>IFERROR(__xludf.DUMMYFUNCTION("""COMPUTED_VALUE"""),"Other")</f>
        <v>Other</v>
      </c>
      <c r="U260" s="43" t="str">
        <f>IFERROR(__xludf.DUMMYFUNCTION("""COMPUTED_VALUE"""),"Public Relations w/Meet2Talk")</f>
        <v>Public Relations w/Meet2Talk</v>
      </c>
      <c r="V260" s="43" t="str">
        <f>IFERROR(__xludf.DUMMYFUNCTION("""COMPUTED_VALUE"""),"-")</f>
        <v>-</v>
      </c>
      <c r="W260" s="43" t="str">
        <f>IFERROR(__xludf.DUMMYFUNCTION("""COMPUTED_VALUE"""),"2023-09-01T12:33:26Z")</f>
        <v>2023-09-01T12:33:26Z</v>
      </c>
      <c r="X260" s="43"/>
      <c r="Y260" s="43"/>
      <c r="Z260" s="43"/>
    </row>
    <row r="261" hidden="1">
      <c r="A261" s="43" t="str">
        <f>IFERROR(__xludf.DUMMYFUNCTION("""COMPUTED_VALUE"""),"5329582_1289378")</f>
        <v>5329582_1289378</v>
      </c>
      <c r="B261" s="43" t="str">
        <f>IFERROR(__xludf.DUMMYFUNCTION("""COMPUTED_VALUE"""),"Liliana Colin Carrasco")</f>
        <v>Liliana Colin Carrasco</v>
      </c>
      <c r="C261" s="43" t="str">
        <f>IFERROR(__xludf.DUMMYFUNCTION("""COMPUTED_VALUE"""),"approved")</f>
        <v>approved</v>
      </c>
      <c r="D261" s="43" t="str">
        <f>IFERROR(__xludf.DUMMYFUNCTION("""COMPUTED_VALUE"""),"No")</f>
        <v>No</v>
      </c>
      <c r="E261" s="43" t="str">
        <f>IFERROR(__xludf.DUMMYFUNCTION("""COMPUTED_VALUE"""),"p_75352a75fb992027d6befcd97875cdf58d4f64f4@inbound.aiesec.org")</f>
        <v>p_75352a75fb992027d6befcd97875cdf58d4f64f4@inbound.aiesec.org</v>
      </c>
      <c r="F261" s="43">
        <f>IFERROR(__xludf.DUMMYFUNCTION("""COMPUTED_VALUE"""),7.226128021E9)</f>
        <v>7226128021</v>
      </c>
      <c r="G261" s="43" t="str">
        <f>IFERROR(__xludf.DUMMYFUNCTION("""COMPUTED_VALUE"""),"Mexico")</f>
        <v>Mexico</v>
      </c>
      <c r="H261" s="43" t="str">
        <f>IFERROR(__xludf.DUMMYFUNCTION("""COMPUTED_VALUE"""),"Toluca")</f>
        <v>Toluca</v>
      </c>
      <c r="I261" s="43" t="str">
        <f>IFERROR(__xludf.DUMMYFUNCTION("""COMPUTED_VALUE"""),"Turkey")</f>
        <v>Turkey</v>
      </c>
      <c r="J261" s="43" t="str">
        <f>IFERROR(__xludf.DUMMYFUNCTION("""COMPUTED_VALUE"""),"ISTANBUL")</f>
        <v>ISTANBUL</v>
      </c>
      <c r="K261" s="44" t="str">
        <f>IFERROR(__xludf.DUMMYFUNCTION("""COMPUTED_VALUE"""),"https://expa.aiesec.org/opportunities/1289378")</f>
        <v>https://expa.aiesec.org/opportunities/1289378</v>
      </c>
      <c r="L261" s="43" t="str">
        <f>IFERROR(__xludf.DUMMYFUNCTION("""COMPUTED_VALUE"""),"GTa")</f>
        <v>GTa</v>
      </c>
      <c r="M261" s="43" t="str">
        <f>IFERROR(__xludf.DUMMYFUNCTION("""COMPUTED_VALUE"""),"long")</f>
        <v>long</v>
      </c>
      <c r="N261" s="45">
        <f>IFERROR(__xludf.DUMMYFUNCTION("""COMPUTED_VALUE"""),45196.0)</f>
        <v>45196</v>
      </c>
      <c r="O261" s="45">
        <f>IFERROR(__xludf.DUMMYFUNCTION("""COMPUTED_VALUE"""),45229.0)</f>
        <v>45229</v>
      </c>
      <c r="P261" s="45">
        <f>IFERROR(__xludf.DUMMYFUNCTION("""COMPUTED_VALUE"""),45772.0)</f>
        <v>45772</v>
      </c>
      <c r="Q261" s="45"/>
      <c r="R261" s="45"/>
      <c r="S261" s="43"/>
      <c r="T261" s="43" t="str">
        <f>IFERROR(__xludf.DUMMYFUNCTION("""COMPUTED_VALUE"""),"Business Administration")</f>
        <v>Business Administration</v>
      </c>
      <c r="U261" s="43" t="str">
        <f>IFERROR(__xludf.DUMMYFUNCTION("""COMPUTED_VALUE"""),"Telesales Specialist in Istanbul (Spanish Speaker)")</f>
        <v>Telesales Specialist in Istanbul (Spanish Speaker)</v>
      </c>
      <c r="V261" s="43" t="str">
        <f>IFERROR(__xludf.DUMMYFUNCTION("""COMPUTED_VALUE"""),"Estado de México - Universidad Univer Milenium ")</f>
        <v>Estado de México - Universidad Univer Milenium </v>
      </c>
      <c r="W261" s="43" t="str">
        <f>IFERROR(__xludf.DUMMYFUNCTION("""COMPUTED_VALUE"""),"2023-09-21T23:19:01Z")</f>
        <v>2023-09-21T23:19:01Z</v>
      </c>
      <c r="X261" s="43"/>
      <c r="Y261" s="43"/>
      <c r="Z261" s="43"/>
    </row>
    <row r="262" hidden="1">
      <c r="A262" s="43" t="str">
        <f>IFERROR(__xludf.DUMMYFUNCTION("""COMPUTED_VALUE"""),"3850100_1299622")</f>
        <v>3850100_1299622</v>
      </c>
      <c r="B262" s="43" t="str">
        <f>IFERROR(__xludf.DUMMYFUNCTION("""COMPUTED_VALUE"""),"Abir Daou")</f>
        <v>Abir Daou</v>
      </c>
      <c r="C262" s="43" t="str">
        <f>IFERROR(__xludf.DUMMYFUNCTION("""COMPUTED_VALUE"""),"realized")</f>
        <v>realized</v>
      </c>
      <c r="D262" s="43" t="str">
        <f>IFERROR(__xludf.DUMMYFUNCTION("""COMPUTED_VALUE"""),"No")</f>
        <v>No</v>
      </c>
      <c r="E262" s="43" t="str">
        <f>IFERROR(__xludf.DUMMYFUNCTION("""COMPUTED_VALUE"""),"p_f3e2543910903b27284740923ac48c3d4eb51fb5@inbound.aiesec.org")</f>
        <v>p_f3e2543910903b27284740923ac48c3d4eb51fb5@inbound.aiesec.org</v>
      </c>
      <c r="F262" s="43">
        <f>IFERROR(__xludf.DUMMYFUNCTION("""COMPUTED_VALUE"""),6.82448008E8)</f>
        <v>682448008</v>
      </c>
      <c r="G262" s="43" t="str">
        <f>IFERROR(__xludf.DUMMYFUNCTION("""COMPUTED_VALUE"""),"Morocco")</f>
        <v>Morocco</v>
      </c>
      <c r="H262" s="43" t="str">
        <f>IFERROR(__xludf.DUMMYFUNCTION("""COMPUTED_VALUE"""),"Morocco (MC)")</f>
        <v>Morocco (MC)</v>
      </c>
      <c r="I262" s="43" t="str">
        <f>IFERROR(__xludf.DUMMYFUNCTION("""COMPUTED_VALUE"""),"Turkey")</f>
        <v>Turkey</v>
      </c>
      <c r="J262" s="43" t="str">
        <f>IFERROR(__xludf.DUMMYFUNCTION("""COMPUTED_VALUE"""),"KONYA")</f>
        <v>KONYA</v>
      </c>
      <c r="K262" s="44" t="str">
        <f>IFERROR(__xludf.DUMMYFUNCTION("""COMPUTED_VALUE"""),"https://expa.aiesec.org/opportunities/1299622")</f>
        <v>https://expa.aiesec.org/opportunities/1299622</v>
      </c>
      <c r="L262" s="43" t="str">
        <f>IFERROR(__xludf.DUMMYFUNCTION("""COMPUTED_VALUE"""),"GTa")</f>
        <v>GTa</v>
      </c>
      <c r="M262" s="43" t="str">
        <f>IFERROR(__xludf.DUMMYFUNCTION("""COMPUTED_VALUE"""),"long")</f>
        <v>long</v>
      </c>
      <c r="N262" s="45">
        <f>IFERROR(__xludf.DUMMYFUNCTION("""COMPUTED_VALUE"""),45197.0)</f>
        <v>45197</v>
      </c>
      <c r="O262" s="45">
        <f>IFERROR(__xludf.DUMMYFUNCTION("""COMPUTED_VALUE"""),45214.0)</f>
        <v>45214</v>
      </c>
      <c r="P262" s="45">
        <f>IFERROR(__xludf.DUMMYFUNCTION("""COMPUTED_VALUE"""),45578.0)</f>
        <v>45578</v>
      </c>
      <c r="Q262" s="45">
        <f>IFERROR(__xludf.DUMMYFUNCTION("""COMPUTED_VALUE"""),45297.0)</f>
        <v>45297</v>
      </c>
      <c r="R262" s="45">
        <f>IFERROR(__xludf.DUMMYFUNCTION("""COMPUTED_VALUE"""),45661.0)</f>
        <v>45661</v>
      </c>
      <c r="S262" s="43"/>
      <c r="T262" s="43" t="str">
        <f>IFERROR(__xludf.DUMMYFUNCTION("""COMPUTED_VALUE"""),"Business Development")</f>
        <v>Business Development</v>
      </c>
      <c r="U262" s="43" t="str">
        <f>IFERROR(__xludf.DUMMYFUNCTION("""COMPUTED_VALUE"""),"Export Specialist")</f>
        <v>Export Specialist</v>
      </c>
      <c r="V262" s="43" t="str">
        <f>IFERROR(__xludf.DUMMYFUNCTION("""COMPUTED_VALUE"""),"Other-EL JADIDA")</f>
        <v>Other-EL JADIDA</v>
      </c>
      <c r="W262" s="43" t="str">
        <f>IFERROR(__xludf.DUMMYFUNCTION("""COMPUTED_VALUE"""),"2019-09-23T21:37:15Z")</f>
        <v>2019-09-23T21:37:15Z</v>
      </c>
      <c r="X262" s="43"/>
      <c r="Y262" s="43"/>
      <c r="Z262" s="43"/>
    </row>
    <row r="263" hidden="1">
      <c r="A263" s="43" t="str">
        <f>IFERROR(__xludf.DUMMYFUNCTION("""COMPUTED_VALUE"""),"5318149_1291783")</f>
        <v>5318149_1291783</v>
      </c>
      <c r="B263" s="43" t="str">
        <f>IFERROR(__xludf.DUMMYFUNCTION("""COMPUTED_VALUE"""),"omar ighoud")</f>
        <v>omar ighoud</v>
      </c>
      <c r="C263" s="43" t="str">
        <f>IFERROR(__xludf.DUMMYFUNCTION("""COMPUTED_VALUE"""),"realized")</f>
        <v>realized</v>
      </c>
      <c r="D263" s="43" t="str">
        <f>IFERROR(__xludf.DUMMYFUNCTION("""COMPUTED_VALUE"""),"No")</f>
        <v>No</v>
      </c>
      <c r="E263" s="43" t="str">
        <f>IFERROR(__xludf.DUMMYFUNCTION("""COMPUTED_VALUE"""),"p_6ff8e3fa0d941f31467eb314ca1103e7d97710b2@inbound.aiesec.org")</f>
        <v>p_6ff8e3fa0d941f31467eb314ca1103e7d97710b2@inbound.aiesec.org</v>
      </c>
      <c r="F263" s="43"/>
      <c r="G263" s="43" t="str">
        <f>IFERROR(__xludf.DUMMYFUNCTION("""COMPUTED_VALUE"""),"Morocco")</f>
        <v>Morocco</v>
      </c>
      <c r="H263" s="43" t="str">
        <f>IFERROR(__xludf.DUMMYFUNCTION("""COMPUTED_VALUE"""),"Casablanca")</f>
        <v>Casablanca</v>
      </c>
      <c r="I263" s="43" t="str">
        <f>IFERROR(__xludf.DUMMYFUNCTION("""COMPUTED_VALUE"""),"Turkey")</f>
        <v>Turkey</v>
      </c>
      <c r="J263" s="43" t="str">
        <f>IFERROR(__xludf.DUMMYFUNCTION("""COMPUTED_VALUE"""),"ISTANBUL")</f>
        <v>ISTANBUL</v>
      </c>
      <c r="K263" s="44" t="str">
        <f>IFERROR(__xludf.DUMMYFUNCTION("""COMPUTED_VALUE"""),"https://expa.aiesec.org/opportunities/1291783")</f>
        <v>https://expa.aiesec.org/opportunities/1291783</v>
      </c>
      <c r="L263" s="43" t="str">
        <f>IFERROR(__xludf.DUMMYFUNCTION("""COMPUTED_VALUE"""),"GTa")</f>
        <v>GTa</v>
      </c>
      <c r="M263" s="43" t="str">
        <f>IFERROR(__xludf.DUMMYFUNCTION("""COMPUTED_VALUE"""),"long")</f>
        <v>long</v>
      </c>
      <c r="N263" s="45">
        <f>IFERROR(__xludf.DUMMYFUNCTION("""COMPUTED_VALUE"""),45202.0)</f>
        <v>45202</v>
      </c>
      <c r="O263" s="45">
        <f>IFERROR(__xludf.DUMMYFUNCTION("""COMPUTED_VALUE"""),45236.0)</f>
        <v>45236</v>
      </c>
      <c r="P263" s="45">
        <f>IFERROR(__xludf.DUMMYFUNCTION("""COMPUTED_VALUE"""),45723.0)</f>
        <v>45723</v>
      </c>
      <c r="Q263" s="45">
        <f>IFERROR(__xludf.DUMMYFUNCTION("""COMPUTED_VALUE"""),45209.0)</f>
        <v>45209</v>
      </c>
      <c r="R263" s="45">
        <f>IFERROR(__xludf.DUMMYFUNCTION("""COMPUTED_VALUE"""),45723.0)</f>
        <v>45723</v>
      </c>
      <c r="S263" s="43"/>
      <c r="T263" s="43" t="str">
        <f>IFERROR(__xludf.DUMMYFUNCTION("""COMPUTED_VALUE"""),"Business Administration")</f>
        <v>Business Administration</v>
      </c>
      <c r="U263" s="43" t="str">
        <f>IFERROR(__xludf.DUMMYFUNCTION("""COMPUTED_VALUE"""),"Telesales Internship in Istanbul")</f>
        <v>Telesales Internship in Istanbul</v>
      </c>
      <c r="V263" s="43" t="str">
        <f>IFERROR(__xludf.DUMMYFUNCTION("""COMPUTED_VALUE"""),"-")</f>
        <v>-</v>
      </c>
      <c r="W263" s="43" t="str">
        <f>IFERROR(__xludf.DUMMYFUNCTION("""COMPUTED_VALUE"""),"2023-09-04T16:37:47Z")</f>
        <v>2023-09-04T16:37:47Z</v>
      </c>
      <c r="X263" s="43"/>
      <c r="Y263" s="43"/>
      <c r="Z263" s="43"/>
    </row>
    <row r="264" hidden="1">
      <c r="A264" s="43" t="str">
        <f>IFERROR(__xludf.DUMMYFUNCTION("""COMPUTED_VALUE"""),"5246463_1294332")</f>
        <v>5246463_1294332</v>
      </c>
      <c r="B264" s="43" t="str">
        <f>IFERROR(__xludf.DUMMYFUNCTION("""COMPUTED_VALUE"""),"Ahmed Morsy")</f>
        <v>Ahmed Morsy</v>
      </c>
      <c r="C264" s="43" t="str">
        <f>IFERROR(__xludf.DUMMYFUNCTION("""COMPUTED_VALUE"""),"realized")</f>
        <v>realized</v>
      </c>
      <c r="D264" s="43" t="str">
        <f>IFERROR(__xludf.DUMMYFUNCTION("""COMPUTED_VALUE"""),"No")</f>
        <v>No</v>
      </c>
      <c r="E264" s="43" t="str">
        <f>IFERROR(__xludf.DUMMYFUNCTION("""COMPUTED_VALUE"""),"p_b04684c66cfa28e2c7bd2cfb149def59d3745ff6@inbound.aiesec.org")</f>
        <v>p_b04684c66cfa28e2c7bd2cfb149def59d3745ff6@inbound.aiesec.org</v>
      </c>
      <c r="F264" s="43">
        <f>IFERROR(__xludf.DUMMYFUNCTION("""COMPUTED_VALUE"""),1.128400155E9)</f>
        <v>1128400155</v>
      </c>
      <c r="G264" s="43" t="str">
        <f>IFERROR(__xludf.DUMMYFUNCTION("""COMPUTED_VALUE"""),"Egypt")</f>
        <v>Egypt</v>
      </c>
      <c r="H264" s="43" t="str">
        <f>IFERROR(__xludf.DUMMYFUNCTION("""COMPUTED_VALUE"""),"GUC")</f>
        <v>GUC</v>
      </c>
      <c r="I264" s="43" t="str">
        <f>IFERROR(__xludf.DUMMYFUNCTION("""COMPUTED_VALUE"""),"Turkey")</f>
        <v>Turkey</v>
      </c>
      <c r="J264" s="43" t="str">
        <f>IFERROR(__xludf.DUMMYFUNCTION("""COMPUTED_VALUE"""),"ISTANBUL WEST")</f>
        <v>ISTANBUL WEST</v>
      </c>
      <c r="K264" s="44" t="str">
        <f>IFERROR(__xludf.DUMMYFUNCTION("""COMPUTED_VALUE"""),"https://expa.aiesec.org/opportunities/1294332")</f>
        <v>https://expa.aiesec.org/opportunities/1294332</v>
      </c>
      <c r="L264" s="43" t="str">
        <f>IFERROR(__xludf.DUMMYFUNCTION("""COMPUTED_VALUE"""),"GTa")</f>
        <v>GTa</v>
      </c>
      <c r="M264" s="43" t="str">
        <f>IFERROR(__xludf.DUMMYFUNCTION("""COMPUTED_VALUE"""),"long")</f>
        <v>long</v>
      </c>
      <c r="N264" s="45">
        <f>IFERROR(__xludf.DUMMYFUNCTION("""COMPUTED_VALUE"""),45203.0)</f>
        <v>45203</v>
      </c>
      <c r="O264" s="45">
        <f>IFERROR(__xludf.DUMMYFUNCTION("""COMPUTED_VALUE"""),45230.0)</f>
        <v>45230</v>
      </c>
      <c r="P264" s="45">
        <f>IFERROR(__xludf.DUMMYFUNCTION("""COMPUTED_VALUE"""),45595.0)</f>
        <v>45595</v>
      </c>
      <c r="Q264" s="45">
        <f>IFERROR(__xludf.DUMMYFUNCTION("""COMPUTED_VALUE"""),45235.0)</f>
        <v>45235</v>
      </c>
      <c r="R264" s="45">
        <f>IFERROR(__xludf.DUMMYFUNCTION("""COMPUTED_VALUE"""),45600.0)</f>
        <v>45600</v>
      </c>
      <c r="S264" s="43"/>
      <c r="T264" s="43" t="str">
        <f>IFERROR(__xludf.DUMMYFUNCTION("""COMPUTED_VALUE"""),"Business Administration")</f>
        <v>Business Administration</v>
      </c>
      <c r="U264" s="43" t="str">
        <f>IFERROR(__xludf.DUMMYFUNCTION("""COMPUTED_VALUE"""),"Sales Consultant ( Customer Service )")</f>
        <v>Sales Consultant ( Customer Service )</v>
      </c>
      <c r="V264" s="43" t="str">
        <f>IFERROR(__xludf.DUMMYFUNCTION("""COMPUTED_VALUE"""),"GUC")</f>
        <v>GUC</v>
      </c>
      <c r="W264" s="43" t="str">
        <f>IFERROR(__xludf.DUMMYFUNCTION("""COMPUTED_VALUE"""),"2023-04-20T20:38:34Z")</f>
        <v>2023-04-20T20:38:34Z</v>
      </c>
      <c r="X264" s="43"/>
      <c r="Y264" s="43"/>
      <c r="Z264" s="43"/>
    </row>
    <row r="265" hidden="1">
      <c r="A265" s="43" t="str">
        <f>IFERROR(__xludf.DUMMYFUNCTION("""COMPUTED_VALUE"""),"5335625_1299666")</f>
        <v>5335625_1299666</v>
      </c>
      <c r="B265" s="43" t="str">
        <f>IFERROR(__xludf.DUMMYFUNCTION("""COMPUTED_VALUE"""),"Muhammad Elamawy")</f>
        <v>Muhammad Elamawy</v>
      </c>
      <c r="C265" s="43" t="str">
        <f>IFERROR(__xludf.DUMMYFUNCTION("""COMPUTED_VALUE"""),"approved")</f>
        <v>approved</v>
      </c>
      <c r="D265" s="43" t="str">
        <f>IFERROR(__xludf.DUMMYFUNCTION("""COMPUTED_VALUE"""),"No")</f>
        <v>No</v>
      </c>
      <c r="E265" s="43" t="str">
        <f>IFERROR(__xludf.DUMMYFUNCTION("""COMPUTED_VALUE"""),"p_fd49a3e5e0b48b5316933fe368a46b80c5e32754@inbound.aiesec.org")</f>
        <v>p_fd49a3e5e0b48b5316933fe368a46b80c5e32754@inbound.aiesec.org</v>
      </c>
      <c r="F265" s="43">
        <f>IFERROR(__xludf.DUMMYFUNCTION("""COMPUTED_VALUE"""),1.014740272E9)</f>
        <v>1014740272</v>
      </c>
      <c r="G265" s="43" t="str">
        <f>IFERROR(__xludf.DUMMYFUNCTION("""COMPUTED_VALUE"""),"Egypt")</f>
        <v>Egypt</v>
      </c>
      <c r="H265" s="43" t="str">
        <f>IFERROR(__xludf.DUMMYFUNCTION("""COMPUTED_VALUE"""),"6th October University")</f>
        <v>6th October University</v>
      </c>
      <c r="I265" s="43" t="str">
        <f>IFERROR(__xludf.DUMMYFUNCTION("""COMPUTED_VALUE"""),"Turkey")</f>
        <v>Turkey</v>
      </c>
      <c r="J265" s="43" t="str">
        <f>IFERROR(__xludf.DUMMYFUNCTION("""COMPUTED_VALUE"""),"ISTANBUL WEST")</f>
        <v>ISTANBUL WEST</v>
      </c>
      <c r="K265" s="44" t="str">
        <f>IFERROR(__xludf.DUMMYFUNCTION("""COMPUTED_VALUE"""),"https://expa.aiesec.org/opportunities/1299666")</f>
        <v>https://expa.aiesec.org/opportunities/1299666</v>
      </c>
      <c r="L265" s="43" t="str">
        <f>IFERROR(__xludf.DUMMYFUNCTION("""COMPUTED_VALUE"""),"GTa")</f>
        <v>GTa</v>
      </c>
      <c r="M265" s="43" t="str">
        <f>IFERROR(__xludf.DUMMYFUNCTION("""COMPUTED_VALUE"""),"long")</f>
        <v>long</v>
      </c>
      <c r="N265" s="45">
        <f>IFERROR(__xludf.DUMMYFUNCTION("""COMPUTED_VALUE"""),45209.0)</f>
        <v>45209</v>
      </c>
      <c r="O265" s="45">
        <f>IFERROR(__xludf.DUMMYFUNCTION("""COMPUTED_VALUE"""),45243.0)</f>
        <v>45243</v>
      </c>
      <c r="P265" s="45">
        <f>IFERROR(__xludf.DUMMYFUNCTION("""COMPUTED_VALUE"""),45604.0)</f>
        <v>45604</v>
      </c>
      <c r="Q265" s="45"/>
      <c r="R265" s="45"/>
      <c r="S265" s="43"/>
      <c r="T265" s="43" t="str">
        <f>IFERROR(__xludf.DUMMYFUNCTION("""COMPUTED_VALUE"""),"Business Administration")</f>
        <v>Business Administration</v>
      </c>
      <c r="U265" s="43" t="str">
        <f>IFERROR(__xludf.DUMMYFUNCTION("""COMPUTED_VALUE"""),"Sales Consultant - English (Turkeyana Clinic)")</f>
        <v>Sales Consultant - English (Turkeyana Clinic)</v>
      </c>
      <c r="V265" s="43" t="str">
        <f>IFERROR(__xludf.DUMMYFUNCTION("""COMPUTED_VALUE"""),"6th of October University")</f>
        <v>6th of October University</v>
      </c>
      <c r="W265" s="43" t="str">
        <f>IFERROR(__xludf.DUMMYFUNCTION("""COMPUTED_VALUE"""),"2023-09-27T20:31:31Z")</f>
        <v>2023-09-27T20:31:31Z</v>
      </c>
      <c r="X265" s="43"/>
      <c r="Y265" s="43"/>
      <c r="Z265" s="43"/>
    </row>
    <row r="266" hidden="1">
      <c r="A266" s="43" t="str">
        <f>IFERROR(__xludf.DUMMYFUNCTION("""COMPUTED_VALUE"""),"5301578_1299666")</f>
        <v>5301578_1299666</v>
      </c>
      <c r="B266" s="43" t="str">
        <f>IFERROR(__xludf.DUMMYFUNCTION("""COMPUTED_VALUE"""),"Katia Yaya")</f>
        <v>Katia Yaya</v>
      </c>
      <c r="C266" s="43" t="str">
        <f>IFERROR(__xludf.DUMMYFUNCTION("""COMPUTED_VALUE"""),"approved")</f>
        <v>approved</v>
      </c>
      <c r="D266" s="43" t="str">
        <f>IFERROR(__xludf.DUMMYFUNCTION("""COMPUTED_VALUE"""),"No")</f>
        <v>No</v>
      </c>
      <c r="E266" s="43" t="str">
        <f>IFERROR(__xludf.DUMMYFUNCTION("""COMPUTED_VALUE"""),"p_0e7962ce0606bdf0a32dc0fea0fb00f10db7f989@inbound.aiesec.org")</f>
        <v>p_0e7962ce0606bdf0a32dc0fea0fb00f10db7f989@inbound.aiesec.org</v>
      </c>
      <c r="F266" s="43">
        <f>IFERROR(__xludf.DUMMYFUNCTION("""COMPUTED_VALUE"""),5.53211742E8)</f>
        <v>553211742</v>
      </c>
      <c r="G266" s="43" t="str">
        <f>IFERROR(__xludf.DUMMYFUNCTION("""COMPUTED_VALUE"""),"Algeria")</f>
        <v>Algeria</v>
      </c>
      <c r="H266" s="43" t="str">
        <f>IFERROR(__xludf.DUMMYFUNCTION("""COMPUTED_VALUE"""),"Bejaia")</f>
        <v>Bejaia</v>
      </c>
      <c r="I266" s="43" t="str">
        <f>IFERROR(__xludf.DUMMYFUNCTION("""COMPUTED_VALUE"""),"Turkey")</f>
        <v>Turkey</v>
      </c>
      <c r="J266" s="43" t="str">
        <f>IFERROR(__xludf.DUMMYFUNCTION("""COMPUTED_VALUE"""),"ISTANBUL WEST")</f>
        <v>ISTANBUL WEST</v>
      </c>
      <c r="K266" s="44" t="str">
        <f>IFERROR(__xludf.DUMMYFUNCTION("""COMPUTED_VALUE"""),"https://expa.aiesec.org/opportunities/1299666")</f>
        <v>https://expa.aiesec.org/opportunities/1299666</v>
      </c>
      <c r="L266" s="43" t="str">
        <f>IFERROR(__xludf.DUMMYFUNCTION("""COMPUTED_VALUE"""),"GTa")</f>
        <v>GTa</v>
      </c>
      <c r="M266" s="43" t="str">
        <f>IFERROR(__xludf.DUMMYFUNCTION("""COMPUTED_VALUE"""),"long")</f>
        <v>long</v>
      </c>
      <c r="N266" s="45">
        <f>IFERROR(__xludf.DUMMYFUNCTION("""COMPUTED_VALUE"""),45210.0)</f>
        <v>45210</v>
      </c>
      <c r="O266" s="45">
        <f>IFERROR(__xludf.DUMMYFUNCTION("""COMPUTED_VALUE"""),45243.0)</f>
        <v>45243</v>
      </c>
      <c r="P266" s="45">
        <f>IFERROR(__xludf.DUMMYFUNCTION("""COMPUTED_VALUE"""),45604.0)</f>
        <v>45604</v>
      </c>
      <c r="Q266" s="45"/>
      <c r="R266" s="45"/>
      <c r="S266" s="43"/>
      <c r="T266" s="43" t="str">
        <f>IFERROR(__xludf.DUMMYFUNCTION("""COMPUTED_VALUE"""),"Business Administration")</f>
        <v>Business Administration</v>
      </c>
      <c r="U266" s="43" t="str">
        <f>IFERROR(__xludf.DUMMYFUNCTION("""COMPUTED_VALUE"""),"Sales Consultant - English (Turkeyana Clinic)")</f>
        <v>Sales Consultant - English (Turkeyana Clinic)</v>
      </c>
      <c r="V266" s="43" t="str">
        <f>IFERROR(__xludf.DUMMYFUNCTION("""COMPUTED_VALUE"""),"AIESEC in Bejaia")</f>
        <v>AIESEC in Bejaia</v>
      </c>
      <c r="W266" s="43" t="str">
        <f>IFERROR(__xludf.DUMMYFUNCTION("""COMPUTED_VALUE"""),"2023-08-12T10:52:09Z")</f>
        <v>2023-08-12T10:52:09Z</v>
      </c>
      <c r="X266" s="43"/>
      <c r="Y266" s="43"/>
      <c r="Z266" s="43"/>
    </row>
    <row r="267" hidden="1">
      <c r="A267" s="43" t="str">
        <f>IFERROR(__xludf.DUMMYFUNCTION("""COMPUTED_VALUE"""),"5331426_1298285")</f>
        <v>5331426_1298285</v>
      </c>
      <c r="B267" s="43" t="str">
        <f>IFERROR(__xludf.DUMMYFUNCTION("""COMPUTED_VALUE"""),"Rafeek Saleh")</f>
        <v>Rafeek Saleh</v>
      </c>
      <c r="C267" s="43" t="str">
        <f>IFERROR(__xludf.DUMMYFUNCTION("""COMPUTED_VALUE"""),"approved")</f>
        <v>approved</v>
      </c>
      <c r="D267" s="43" t="str">
        <f>IFERROR(__xludf.DUMMYFUNCTION("""COMPUTED_VALUE"""),"No")</f>
        <v>No</v>
      </c>
      <c r="E267" s="43" t="str">
        <f>IFERROR(__xludf.DUMMYFUNCTION("""COMPUTED_VALUE"""),"p_006017989e513c9bbcedc5d08cb84dd7e1696a06@inbound.aiesec.org")</f>
        <v>p_006017989e513c9bbcedc5d08cb84dd7e1696a06@inbound.aiesec.org</v>
      </c>
      <c r="F267" s="43">
        <f>IFERROR(__xludf.DUMMYFUNCTION("""COMPUTED_VALUE"""),1.096477403E9)</f>
        <v>1096477403</v>
      </c>
      <c r="G267" s="43" t="str">
        <f>IFERROR(__xludf.DUMMYFUNCTION("""COMPUTED_VALUE"""),"Egypt")</f>
        <v>Egypt</v>
      </c>
      <c r="H267" s="43" t="str">
        <f>IFERROR(__xludf.DUMMYFUNCTION("""COMPUTED_VALUE"""),"Cairo University")</f>
        <v>Cairo University</v>
      </c>
      <c r="I267" s="43" t="str">
        <f>IFERROR(__xludf.DUMMYFUNCTION("""COMPUTED_VALUE"""),"Turkey")</f>
        <v>Turkey</v>
      </c>
      <c r="J267" s="43" t="str">
        <f>IFERROR(__xludf.DUMMYFUNCTION("""COMPUTED_VALUE"""),"İZMİR")</f>
        <v>İZMİR</v>
      </c>
      <c r="K267" s="44" t="str">
        <f>IFERROR(__xludf.DUMMYFUNCTION("""COMPUTED_VALUE"""),"https://expa.aiesec.org/opportunities/1298285")</f>
        <v>https://expa.aiesec.org/opportunities/1298285</v>
      </c>
      <c r="L267" s="43" t="str">
        <f>IFERROR(__xludf.DUMMYFUNCTION("""COMPUTED_VALUE"""),"GTa")</f>
        <v>GTa</v>
      </c>
      <c r="M267" s="43" t="str">
        <f>IFERROR(__xludf.DUMMYFUNCTION("""COMPUTED_VALUE"""),"long")</f>
        <v>long</v>
      </c>
      <c r="N267" s="45">
        <f>IFERROR(__xludf.DUMMYFUNCTION("""COMPUTED_VALUE"""),45211.0)</f>
        <v>45211</v>
      </c>
      <c r="O267" s="45">
        <f>IFERROR(__xludf.DUMMYFUNCTION("""COMPUTED_VALUE"""),45250.0)</f>
        <v>45250</v>
      </c>
      <c r="P267" s="45">
        <f>IFERROR(__xludf.DUMMYFUNCTION("""COMPUTED_VALUE"""),45614.0)</f>
        <v>45614</v>
      </c>
      <c r="Q267" s="45"/>
      <c r="R267" s="45"/>
      <c r="S267" s="43"/>
      <c r="T267" s="43" t="str">
        <f>IFERROR(__xludf.DUMMYFUNCTION("""COMPUTED_VALUE"""),"Engineering")</f>
        <v>Engineering</v>
      </c>
      <c r="U267" s="43" t="str">
        <f>IFERROR(__xludf.DUMMYFUNCTION("""COMPUTED_VALUE"""),"Mechanical Engineer")</f>
        <v>Mechanical Engineer</v>
      </c>
      <c r="V267" s="43" t="str">
        <f>IFERROR(__xludf.DUMMYFUNCTION("""COMPUTED_VALUE"""),"Cairo Univeristy")</f>
        <v>Cairo Univeristy</v>
      </c>
      <c r="W267" s="43" t="str">
        <f>IFERROR(__xludf.DUMMYFUNCTION("""COMPUTED_VALUE"""),"2023-09-24T17:47:02Z")</f>
        <v>2023-09-24T17:47:02Z</v>
      </c>
      <c r="X267" s="43"/>
      <c r="Y267" s="43"/>
      <c r="Z267" s="43"/>
    </row>
    <row r="268" hidden="1">
      <c r="A268" s="43" t="str">
        <f>IFERROR(__xludf.DUMMYFUNCTION("""COMPUTED_VALUE"""),"5310849_1297055")</f>
        <v>5310849_1297055</v>
      </c>
      <c r="B268" s="43" t="str">
        <f>IFERROR(__xludf.DUMMYFUNCTION("""COMPUTED_VALUE"""),"Andre Bernardi")</f>
        <v>Andre Bernardi</v>
      </c>
      <c r="C268" s="43" t="str">
        <f>IFERROR(__xludf.DUMMYFUNCTION("""COMPUTED_VALUE"""),"approved")</f>
        <v>approved</v>
      </c>
      <c r="D268" s="43" t="str">
        <f>IFERROR(__xludf.DUMMYFUNCTION("""COMPUTED_VALUE"""),"No")</f>
        <v>No</v>
      </c>
      <c r="E268" s="43" t="str">
        <f>IFERROR(__xludf.DUMMYFUNCTION("""COMPUTED_VALUE"""),"p_cc39f553f5ea87226d987f9feffe1ab39002f0d9@inbound.aiesec.org")</f>
        <v>p_cc39f553f5ea87226d987f9feffe1ab39002f0d9@inbound.aiesec.org</v>
      </c>
      <c r="F268" s="43"/>
      <c r="G268" s="43" t="str">
        <f>IFERROR(__xludf.DUMMYFUNCTION("""COMPUTED_VALUE"""),"Brazil")</f>
        <v>Brazil</v>
      </c>
      <c r="H268" s="43" t="str">
        <f>IFERROR(__xludf.DUMMYFUNCTION("""COMPUTED_VALUE"""),"CURITIBA")</f>
        <v>CURITIBA</v>
      </c>
      <c r="I268" s="43" t="str">
        <f>IFERROR(__xludf.DUMMYFUNCTION("""COMPUTED_VALUE"""),"Turkey")</f>
        <v>Turkey</v>
      </c>
      <c r="J268" s="43" t="str">
        <f>IFERROR(__xludf.DUMMYFUNCTION("""COMPUTED_VALUE"""),"KOCAELI")</f>
        <v>KOCAELI</v>
      </c>
      <c r="K268" s="44" t="str">
        <f>IFERROR(__xludf.DUMMYFUNCTION("""COMPUTED_VALUE"""),"https://expa.aiesec.org/opportunities/1297055")</f>
        <v>https://expa.aiesec.org/opportunities/1297055</v>
      </c>
      <c r="L268" s="43" t="str">
        <f>IFERROR(__xludf.DUMMYFUNCTION("""COMPUTED_VALUE"""),"GTa")</f>
        <v>GTa</v>
      </c>
      <c r="M268" s="43" t="str">
        <f>IFERROR(__xludf.DUMMYFUNCTION("""COMPUTED_VALUE"""),"long")</f>
        <v>long</v>
      </c>
      <c r="N268" s="45">
        <f>IFERROR(__xludf.DUMMYFUNCTION("""COMPUTED_VALUE"""),45211.0)</f>
        <v>45211</v>
      </c>
      <c r="O268" s="45">
        <f>IFERROR(__xludf.DUMMYFUNCTION("""COMPUTED_VALUE"""),45291.0)</f>
        <v>45291</v>
      </c>
      <c r="P268" s="45">
        <f>IFERROR(__xludf.DUMMYFUNCTION("""COMPUTED_VALUE"""),45657.0)</f>
        <v>45657</v>
      </c>
      <c r="Q268" s="45"/>
      <c r="R268" s="45"/>
      <c r="S268" s="43"/>
      <c r="T268" s="43" t="str">
        <f>IFERROR(__xludf.DUMMYFUNCTION("""COMPUTED_VALUE"""),"Other")</f>
        <v>Other</v>
      </c>
      <c r="U268" s="43" t="str">
        <f>IFERROR(__xludf.DUMMYFUNCTION("""COMPUTED_VALUE"""),"Mechanical Engineer in MERSEN Company")</f>
        <v>Mechanical Engineer in MERSEN Company</v>
      </c>
      <c r="V268" s="43" t="str">
        <f>IFERROR(__xludf.DUMMYFUNCTION("""COMPUTED_VALUE"""),"-")</f>
        <v>-</v>
      </c>
      <c r="W268" s="43" t="str">
        <f>IFERROR(__xludf.DUMMYFUNCTION("""COMPUTED_VALUE"""),"2023-08-27T13:42:51Z")</f>
        <v>2023-08-27T13:42:51Z</v>
      </c>
      <c r="X268" s="43"/>
      <c r="Y268" s="43"/>
      <c r="Z268" s="43"/>
    </row>
    <row r="269" hidden="1">
      <c r="A269" s="43" t="str">
        <f>IFERROR(__xludf.DUMMYFUNCTION("""COMPUTED_VALUE"""),"5351223_1287708")</f>
        <v>5351223_1287708</v>
      </c>
      <c r="B269" s="43" t="str">
        <f>IFERROR(__xludf.DUMMYFUNCTION("""COMPUTED_VALUE"""),"Sellami Marwa")</f>
        <v>Sellami Marwa</v>
      </c>
      <c r="C269" s="43" t="str">
        <f>IFERROR(__xludf.DUMMYFUNCTION("""COMPUTED_VALUE"""),"realized")</f>
        <v>realized</v>
      </c>
      <c r="D269" s="43" t="str">
        <f>IFERROR(__xludf.DUMMYFUNCTION("""COMPUTED_VALUE"""),"No")</f>
        <v>No</v>
      </c>
      <c r="E269" s="43" t="str">
        <f>IFERROR(__xludf.DUMMYFUNCTION("""COMPUTED_VALUE"""),"p_9a853c7980bf9798daec2e77c1c8de7b4ac72efc@inbound.aiesec.org")</f>
        <v>p_9a853c7980bf9798daec2e77c1c8de7b4ac72efc@inbound.aiesec.org</v>
      </c>
      <c r="F269" s="43">
        <f>IFERROR(__xludf.DUMMYFUNCTION("""COMPUTED_VALUE"""),5.0117774E7)</f>
        <v>50117774</v>
      </c>
      <c r="G269" s="43" t="str">
        <f>IFERROR(__xludf.DUMMYFUNCTION("""COMPUTED_VALUE"""),"Tunisia")</f>
        <v>Tunisia</v>
      </c>
      <c r="H269" s="43" t="str">
        <f>IFERROR(__xludf.DUMMYFUNCTION("""COMPUTED_VALUE"""),"MEDINA")</f>
        <v>MEDINA</v>
      </c>
      <c r="I269" s="43" t="str">
        <f>IFERROR(__xludf.DUMMYFUNCTION("""COMPUTED_VALUE"""),"Turkey")</f>
        <v>Turkey</v>
      </c>
      <c r="J269" s="43" t="str">
        <f>IFERROR(__xludf.DUMMYFUNCTION("""COMPUTED_VALUE"""),"ISTANBUL WEST")</f>
        <v>ISTANBUL WEST</v>
      </c>
      <c r="K269" s="44" t="str">
        <f>IFERROR(__xludf.DUMMYFUNCTION("""COMPUTED_VALUE"""),"https://expa.aiesec.org/opportunities/1287708")</f>
        <v>https://expa.aiesec.org/opportunities/1287708</v>
      </c>
      <c r="L269" s="43" t="str">
        <f>IFERROR(__xludf.DUMMYFUNCTION("""COMPUTED_VALUE"""),"GTa")</f>
        <v>GTa</v>
      </c>
      <c r="M269" s="43" t="str">
        <f>IFERROR(__xludf.DUMMYFUNCTION("""COMPUTED_VALUE"""),"long")</f>
        <v>long</v>
      </c>
      <c r="N269" s="45">
        <f>IFERROR(__xludf.DUMMYFUNCTION("""COMPUTED_VALUE"""),45212.0)</f>
        <v>45212</v>
      </c>
      <c r="O269" s="45">
        <f>IFERROR(__xludf.DUMMYFUNCTION("""COMPUTED_VALUE"""),45225.0)</f>
        <v>45225</v>
      </c>
      <c r="P269" s="45">
        <f>IFERROR(__xludf.DUMMYFUNCTION("""COMPUTED_VALUE"""),45579.0)</f>
        <v>45579</v>
      </c>
      <c r="Q269" s="45">
        <f>IFERROR(__xludf.DUMMYFUNCTION("""COMPUTED_VALUE"""),45231.0)</f>
        <v>45231</v>
      </c>
      <c r="R269" s="45">
        <f>IFERROR(__xludf.DUMMYFUNCTION("""COMPUTED_VALUE"""),45595.0)</f>
        <v>45595</v>
      </c>
      <c r="S269" s="43"/>
      <c r="T269" s="43" t="str">
        <f>IFERROR(__xludf.DUMMYFUNCTION("""COMPUTED_VALUE"""),"Marketing")</f>
        <v>Marketing</v>
      </c>
      <c r="U269" s="43" t="str">
        <f>IFERROR(__xludf.DUMMYFUNCTION("""COMPUTED_VALUE"""),"Telesales Specialist")</f>
        <v>Telesales Specialist</v>
      </c>
      <c r="V269" s="43" t="str">
        <f>IFERROR(__xludf.DUMMYFUNCTION("""COMPUTED_VALUE"""),"Other Universities")</f>
        <v>Other Universities</v>
      </c>
      <c r="W269" s="43" t="str">
        <f>IFERROR(__xludf.DUMMYFUNCTION("""COMPUTED_VALUE"""),"2023-10-13T16:46:43Z")</f>
        <v>2023-10-13T16:46:43Z</v>
      </c>
      <c r="X269" s="43"/>
      <c r="Y269" s="43"/>
      <c r="Z269" s="43"/>
    </row>
    <row r="270" hidden="1">
      <c r="A270" s="43" t="str">
        <f>IFERROR(__xludf.DUMMYFUNCTION("""COMPUTED_VALUE"""),"5346333_1289377")</f>
        <v>5346333_1289377</v>
      </c>
      <c r="B270" s="43" t="str">
        <f>IFERROR(__xludf.DUMMYFUNCTION("""COMPUTED_VALUE"""),"Bencheikh Akram")</f>
        <v>Bencheikh Akram</v>
      </c>
      <c r="C270" s="43" t="str">
        <f>IFERROR(__xludf.DUMMYFUNCTION("""COMPUTED_VALUE"""),"realized")</f>
        <v>realized</v>
      </c>
      <c r="D270" s="43" t="str">
        <f>IFERROR(__xludf.DUMMYFUNCTION("""COMPUTED_VALUE"""),"No")</f>
        <v>No</v>
      </c>
      <c r="E270" s="43" t="str">
        <f>IFERROR(__xludf.DUMMYFUNCTION("""COMPUTED_VALUE"""),"p_6c7418f6bf885e7e8b8cf118838c8dbf1c930a52@inbound.aiesec.org")</f>
        <v>p_6c7418f6bf885e7e8b8cf118838c8dbf1c930a52@inbound.aiesec.org</v>
      </c>
      <c r="F270" s="43"/>
      <c r="G270" s="43" t="str">
        <f>IFERROR(__xludf.DUMMYFUNCTION("""COMPUTED_VALUE"""),"Algeria")</f>
        <v>Algeria</v>
      </c>
      <c r="H270" s="43" t="str">
        <f>IFERROR(__xludf.DUMMYFUNCTION("""COMPUTED_VALUE"""),"Ouargla")</f>
        <v>Ouargla</v>
      </c>
      <c r="I270" s="43" t="str">
        <f>IFERROR(__xludf.DUMMYFUNCTION("""COMPUTED_VALUE"""),"Turkey")</f>
        <v>Turkey</v>
      </c>
      <c r="J270" s="43" t="str">
        <f>IFERROR(__xludf.DUMMYFUNCTION("""COMPUTED_VALUE"""),"ISTANBUL")</f>
        <v>ISTANBUL</v>
      </c>
      <c r="K270" s="44" t="str">
        <f>IFERROR(__xludf.DUMMYFUNCTION("""COMPUTED_VALUE"""),"https://expa.aiesec.org/opportunities/1289377")</f>
        <v>https://expa.aiesec.org/opportunities/1289377</v>
      </c>
      <c r="L270" s="43" t="str">
        <f>IFERROR(__xludf.DUMMYFUNCTION("""COMPUTED_VALUE"""),"GTa")</f>
        <v>GTa</v>
      </c>
      <c r="M270" s="43" t="str">
        <f>IFERROR(__xludf.DUMMYFUNCTION("""COMPUTED_VALUE"""),"long")</f>
        <v>long</v>
      </c>
      <c r="N270" s="45">
        <f>IFERROR(__xludf.DUMMYFUNCTION("""COMPUTED_VALUE"""),45215.0)</f>
        <v>45215</v>
      </c>
      <c r="O270" s="45">
        <f>IFERROR(__xludf.DUMMYFUNCTION("""COMPUTED_VALUE"""),45250.0)</f>
        <v>45250</v>
      </c>
      <c r="P270" s="45">
        <f>IFERROR(__xludf.DUMMYFUNCTION("""COMPUTED_VALUE"""),45618.0)</f>
        <v>45618</v>
      </c>
      <c r="Q270" s="45">
        <f>IFERROR(__xludf.DUMMYFUNCTION("""COMPUTED_VALUE"""),45274.0)</f>
        <v>45274</v>
      </c>
      <c r="R270" s="45">
        <f>IFERROR(__xludf.DUMMYFUNCTION("""COMPUTED_VALUE"""),45642.0)</f>
        <v>45642</v>
      </c>
      <c r="S270" s="43"/>
      <c r="T270" s="43" t="str">
        <f>IFERROR(__xludf.DUMMYFUNCTION("""COMPUTED_VALUE"""),"Business Administration")</f>
        <v>Business Administration</v>
      </c>
      <c r="U270" s="43" t="str">
        <f>IFERROR(__xludf.DUMMYFUNCTION("""COMPUTED_VALUE"""),"Telesales Specialist in Istanbul (Italian Speaker)")</f>
        <v>Telesales Specialist in Istanbul (Italian Speaker)</v>
      </c>
      <c r="V270" s="43" t="str">
        <f>IFERROR(__xludf.DUMMYFUNCTION("""COMPUTED_VALUE"""),"AIESEC in Ouargla")</f>
        <v>AIESEC in Ouargla</v>
      </c>
      <c r="W270" s="43" t="str">
        <f>IFERROR(__xludf.DUMMYFUNCTION("""COMPUTED_VALUE"""),"2023-10-09T10:16:41Z")</f>
        <v>2023-10-09T10:16:41Z</v>
      </c>
      <c r="X270" s="43"/>
      <c r="Y270" s="43"/>
      <c r="Z270" s="43"/>
    </row>
    <row r="271" hidden="1">
      <c r="A271" s="43" t="str">
        <f>IFERROR(__xludf.DUMMYFUNCTION("""COMPUTED_VALUE"""),"5303777_1299633")</f>
        <v>5303777_1299633</v>
      </c>
      <c r="B271" s="43" t="str">
        <f>IFERROR(__xludf.DUMMYFUNCTION("""COMPUTED_VALUE"""),"Mouna Hakis")</f>
        <v>Mouna Hakis</v>
      </c>
      <c r="C271" s="43" t="str">
        <f>IFERROR(__xludf.DUMMYFUNCTION("""COMPUTED_VALUE"""),"approved")</f>
        <v>approved</v>
      </c>
      <c r="D271" s="43" t="str">
        <f>IFERROR(__xludf.DUMMYFUNCTION("""COMPUTED_VALUE"""),"No")</f>
        <v>No</v>
      </c>
      <c r="E271" s="43" t="str">
        <f>IFERROR(__xludf.DUMMYFUNCTION("""COMPUTED_VALUE"""),"p_e295b5d40a8a4e225522972d0ef0e51d9179ed06@inbound.aiesec.org")</f>
        <v>p_e295b5d40a8a4e225522972d0ef0e51d9179ed06@inbound.aiesec.org</v>
      </c>
      <c r="F271" s="43">
        <f>IFERROR(__xludf.DUMMYFUNCTION("""COMPUTED_VALUE"""),6.00352961E8)</f>
        <v>600352961</v>
      </c>
      <c r="G271" s="43" t="str">
        <f>IFERROR(__xludf.DUMMYFUNCTION("""COMPUTED_VALUE"""),"Morocco")</f>
        <v>Morocco</v>
      </c>
      <c r="H271" s="43" t="str">
        <f>IFERROR(__xludf.DUMMYFUNCTION("""COMPUTED_VALUE"""),"Fez")</f>
        <v>Fez</v>
      </c>
      <c r="I271" s="43" t="str">
        <f>IFERROR(__xludf.DUMMYFUNCTION("""COMPUTED_VALUE"""),"Turkey")</f>
        <v>Turkey</v>
      </c>
      <c r="J271" s="43" t="str">
        <f>IFERROR(__xludf.DUMMYFUNCTION("""COMPUTED_VALUE"""),"KOCAELI")</f>
        <v>KOCAELI</v>
      </c>
      <c r="K271" s="44" t="str">
        <f>IFERROR(__xludf.DUMMYFUNCTION("""COMPUTED_VALUE"""),"https://expa.aiesec.org/opportunities/1299633")</f>
        <v>https://expa.aiesec.org/opportunities/1299633</v>
      </c>
      <c r="L271" s="43" t="str">
        <f>IFERROR(__xludf.DUMMYFUNCTION("""COMPUTED_VALUE"""),"GTa")</f>
        <v>GTa</v>
      </c>
      <c r="M271" s="43" t="str">
        <f>IFERROR(__xludf.DUMMYFUNCTION("""COMPUTED_VALUE"""),"long")</f>
        <v>long</v>
      </c>
      <c r="N271" s="45">
        <f>IFERROR(__xludf.DUMMYFUNCTION("""COMPUTED_VALUE"""),45215.0)</f>
        <v>45215</v>
      </c>
      <c r="O271" s="45">
        <f>IFERROR(__xludf.DUMMYFUNCTION("""COMPUTED_VALUE"""),45224.0)</f>
        <v>45224</v>
      </c>
      <c r="P271" s="45">
        <f>IFERROR(__xludf.DUMMYFUNCTION("""COMPUTED_VALUE"""),45590.0)</f>
        <v>45590</v>
      </c>
      <c r="Q271" s="45"/>
      <c r="R271" s="45"/>
      <c r="S271" s="43"/>
      <c r="T271" s="43" t="str">
        <f>IFERROR(__xludf.DUMMYFUNCTION("""COMPUTED_VALUE"""),"Marketing")</f>
        <v>Marketing</v>
      </c>
      <c r="U271" s="43" t="str">
        <f>IFERROR(__xludf.DUMMYFUNCTION("""COMPUTED_VALUE"""),"Mechanical Engineering - Civil Engineering")</f>
        <v>Mechanical Engineering - Civil Engineering</v>
      </c>
      <c r="V271" s="43" t="str">
        <f>IFERROR(__xludf.DUMMYFUNCTION("""COMPUTED_VALUE"""),"Ecole Nationale De Commerce Et De Gestion Fès (ENCGF)")</f>
        <v>Ecole Nationale De Commerce Et De Gestion Fès (ENCGF)</v>
      </c>
      <c r="W271" s="43" t="str">
        <f>IFERROR(__xludf.DUMMYFUNCTION("""COMPUTED_VALUE"""),"2023-08-16T17:12:53Z")</f>
        <v>2023-08-16T17:12:53Z</v>
      </c>
      <c r="X271" s="43"/>
      <c r="Y271" s="43"/>
      <c r="Z271" s="43"/>
    </row>
    <row r="272" hidden="1">
      <c r="A272" s="43" t="str">
        <f>IFERROR(__xludf.DUMMYFUNCTION("""COMPUTED_VALUE"""),"5351761_1289378")</f>
        <v>5351761_1289378</v>
      </c>
      <c r="B272" s="43" t="str">
        <f>IFERROR(__xludf.DUMMYFUNCTION("""COMPUTED_VALUE"""),"Djamel Amraoui")</f>
        <v>Djamel Amraoui</v>
      </c>
      <c r="C272" s="43" t="str">
        <f>IFERROR(__xludf.DUMMYFUNCTION("""COMPUTED_VALUE"""),"realized")</f>
        <v>realized</v>
      </c>
      <c r="D272" s="43" t="str">
        <f>IFERROR(__xludf.DUMMYFUNCTION("""COMPUTED_VALUE"""),"No")</f>
        <v>No</v>
      </c>
      <c r="E272" s="43" t="str">
        <f>IFERROR(__xludf.DUMMYFUNCTION("""COMPUTED_VALUE"""),"p_1e1d00f9489951669eb4a06c2af838f4906aaa9c@inbound.aiesec.org")</f>
        <v>p_1e1d00f9489951669eb4a06c2af838f4906aaa9c@inbound.aiesec.org</v>
      </c>
      <c r="F272" s="43">
        <f>IFERROR(__xludf.DUMMYFUNCTION("""COMPUTED_VALUE"""),5.62147983E8)</f>
        <v>562147983</v>
      </c>
      <c r="G272" s="43" t="str">
        <f>IFERROR(__xludf.DUMMYFUNCTION("""COMPUTED_VALUE"""),"Algeria")</f>
        <v>Algeria</v>
      </c>
      <c r="H272" s="43" t="str">
        <f>IFERROR(__xludf.DUMMYFUNCTION("""COMPUTED_VALUE"""),"Oran")</f>
        <v>Oran</v>
      </c>
      <c r="I272" s="43" t="str">
        <f>IFERROR(__xludf.DUMMYFUNCTION("""COMPUTED_VALUE"""),"Turkey")</f>
        <v>Turkey</v>
      </c>
      <c r="J272" s="43" t="str">
        <f>IFERROR(__xludf.DUMMYFUNCTION("""COMPUTED_VALUE"""),"ISTANBUL")</f>
        <v>ISTANBUL</v>
      </c>
      <c r="K272" s="44" t="str">
        <f>IFERROR(__xludf.DUMMYFUNCTION("""COMPUTED_VALUE"""),"https://expa.aiesec.org/opportunities/1289378")</f>
        <v>https://expa.aiesec.org/opportunities/1289378</v>
      </c>
      <c r="L272" s="43" t="str">
        <f>IFERROR(__xludf.DUMMYFUNCTION("""COMPUTED_VALUE"""),"GTa")</f>
        <v>GTa</v>
      </c>
      <c r="M272" s="43" t="str">
        <f>IFERROR(__xludf.DUMMYFUNCTION("""COMPUTED_VALUE"""),"long")</f>
        <v>long</v>
      </c>
      <c r="N272" s="45">
        <f>IFERROR(__xludf.DUMMYFUNCTION("""COMPUTED_VALUE"""),45216.0)</f>
        <v>45216</v>
      </c>
      <c r="O272" s="45">
        <f>IFERROR(__xludf.DUMMYFUNCTION("""COMPUTED_VALUE"""),45257.0)</f>
        <v>45257</v>
      </c>
      <c r="P272" s="45">
        <f>IFERROR(__xludf.DUMMYFUNCTION("""COMPUTED_VALUE"""),45625.0)</f>
        <v>45625</v>
      </c>
      <c r="Q272" s="45">
        <f>IFERROR(__xludf.DUMMYFUNCTION("""COMPUTED_VALUE"""),45261.0)</f>
        <v>45261</v>
      </c>
      <c r="R272" s="45">
        <f>IFERROR(__xludf.DUMMYFUNCTION("""COMPUTED_VALUE"""),45629.0)</f>
        <v>45629</v>
      </c>
      <c r="S272" s="43"/>
      <c r="T272" s="43" t="str">
        <f>IFERROR(__xludf.DUMMYFUNCTION("""COMPUTED_VALUE"""),"Business Administration")</f>
        <v>Business Administration</v>
      </c>
      <c r="U272" s="43" t="str">
        <f>IFERROR(__xludf.DUMMYFUNCTION("""COMPUTED_VALUE"""),"Telesales Specialist in Istanbul (Spanish Speaker)")</f>
        <v>Telesales Specialist in Istanbul (Spanish Speaker)</v>
      </c>
      <c r="V272" s="43" t="str">
        <f>IFERROR(__xludf.DUMMYFUNCTION("""COMPUTED_VALUE"""),"AIESEC in Oran")</f>
        <v>AIESEC in Oran</v>
      </c>
      <c r="W272" s="43" t="str">
        <f>IFERROR(__xludf.DUMMYFUNCTION("""COMPUTED_VALUE"""),"2023-10-14T12:36:06Z")</f>
        <v>2023-10-14T12:36:06Z</v>
      </c>
      <c r="X272" s="43"/>
      <c r="Y272" s="43"/>
      <c r="Z272" s="43"/>
    </row>
    <row r="273" hidden="1">
      <c r="A273" s="43" t="str">
        <f>IFERROR(__xludf.DUMMYFUNCTION("""COMPUTED_VALUE"""),"5352972_1299666")</f>
        <v>5352972_1299666</v>
      </c>
      <c r="B273" s="43" t="str">
        <f>IFERROR(__xludf.DUMMYFUNCTION("""COMPUTED_VALUE"""),"Khaoula Hjira")</f>
        <v>Khaoula Hjira</v>
      </c>
      <c r="C273" s="43" t="str">
        <f>IFERROR(__xludf.DUMMYFUNCTION("""COMPUTED_VALUE"""),"approved")</f>
        <v>approved</v>
      </c>
      <c r="D273" s="43" t="str">
        <f>IFERROR(__xludf.DUMMYFUNCTION("""COMPUTED_VALUE"""),"No")</f>
        <v>No</v>
      </c>
      <c r="E273" s="43" t="str">
        <f>IFERROR(__xludf.DUMMYFUNCTION("""COMPUTED_VALUE"""),"p_02e4d5ed440ce2a1b9e4f92e61a8b924e6f8cd5c@inbound.aiesec.org")</f>
        <v>p_02e4d5ed440ce2a1b9e4f92e61a8b924e6f8cd5c@inbound.aiesec.org</v>
      </c>
      <c r="F273" s="43">
        <f>IFERROR(__xludf.DUMMYFUNCTION("""COMPUTED_VALUE"""),6.56626905E8)</f>
        <v>656626905</v>
      </c>
      <c r="G273" s="43" t="str">
        <f>IFERROR(__xludf.DUMMYFUNCTION("""COMPUTED_VALUE"""),"Morocco")</f>
        <v>Morocco</v>
      </c>
      <c r="H273" s="43" t="str">
        <f>IFERROR(__xludf.DUMMYFUNCTION("""COMPUTED_VALUE"""),"Morocco (MC)")</f>
        <v>Morocco (MC)</v>
      </c>
      <c r="I273" s="43" t="str">
        <f>IFERROR(__xludf.DUMMYFUNCTION("""COMPUTED_VALUE"""),"Turkey")</f>
        <v>Turkey</v>
      </c>
      <c r="J273" s="43" t="str">
        <f>IFERROR(__xludf.DUMMYFUNCTION("""COMPUTED_VALUE"""),"ISTANBUL WEST")</f>
        <v>ISTANBUL WEST</v>
      </c>
      <c r="K273" s="44" t="str">
        <f>IFERROR(__xludf.DUMMYFUNCTION("""COMPUTED_VALUE"""),"https://expa.aiesec.org/opportunities/1299666")</f>
        <v>https://expa.aiesec.org/opportunities/1299666</v>
      </c>
      <c r="L273" s="43" t="str">
        <f>IFERROR(__xludf.DUMMYFUNCTION("""COMPUTED_VALUE"""),"GTa")</f>
        <v>GTa</v>
      </c>
      <c r="M273" s="43" t="str">
        <f>IFERROR(__xludf.DUMMYFUNCTION("""COMPUTED_VALUE"""),"long")</f>
        <v>long</v>
      </c>
      <c r="N273" s="45">
        <f>IFERROR(__xludf.DUMMYFUNCTION("""COMPUTED_VALUE"""),45219.0)</f>
        <v>45219</v>
      </c>
      <c r="O273" s="45">
        <f>IFERROR(__xludf.DUMMYFUNCTION("""COMPUTED_VALUE"""),45236.0)</f>
        <v>45236</v>
      </c>
      <c r="P273" s="45">
        <f>IFERROR(__xludf.DUMMYFUNCTION("""COMPUTED_VALUE"""),45597.0)</f>
        <v>45597</v>
      </c>
      <c r="Q273" s="45"/>
      <c r="R273" s="45"/>
      <c r="S273" s="43"/>
      <c r="T273" s="43" t="str">
        <f>IFERROR(__xludf.DUMMYFUNCTION("""COMPUTED_VALUE"""),"Business Administration")</f>
        <v>Business Administration</v>
      </c>
      <c r="U273" s="43" t="str">
        <f>IFERROR(__xludf.DUMMYFUNCTION("""COMPUTED_VALUE"""),"Sales Consultant - English (Turkeyana Clinic)")</f>
        <v>Sales Consultant - English (Turkeyana Clinic)</v>
      </c>
      <c r="V273" s="43" t="str">
        <f>IFERROR(__xludf.DUMMYFUNCTION("""COMPUTED_VALUE"""),"Other-RABAT")</f>
        <v>Other-RABAT</v>
      </c>
      <c r="W273" s="43" t="str">
        <f>IFERROR(__xludf.DUMMYFUNCTION("""COMPUTED_VALUE"""),"2023-10-16T15:09:50Z")</f>
        <v>2023-10-16T15:09:50Z</v>
      </c>
      <c r="X273" s="43"/>
      <c r="Y273" s="43"/>
      <c r="Z273" s="43"/>
    </row>
    <row r="274" hidden="1">
      <c r="A274" s="43" t="str">
        <f>IFERROR(__xludf.DUMMYFUNCTION("""COMPUTED_VALUE"""),"5349795_1300060")</f>
        <v>5349795_1300060</v>
      </c>
      <c r="B274" s="43" t="str">
        <f>IFERROR(__xludf.DUMMYFUNCTION("""COMPUTED_VALUE"""),"Majd Baccari")</f>
        <v>Majd Baccari</v>
      </c>
      <c r="C274" s="43" t="str">
        <f>IFERROR(__xludf.DUMMYFUNCTION("""COMPUTED_VALUE"""),"realized")</f>
        <v>realized</v>
      </c>
      <c r="D274" s="43" t="str">
        <f>IFERROR(__xludf.DUMMYFUNCTION("""COMPUTED_VALUE"""),"No")</f>
        <v>No</v>
      </c>
      <c r="E274" s="43" t="str">
        <f>IFERROR(__xludf.DUMMYFUNCTION("""COMPUTED_VALUE"""),"p_b37de1785848e58339f88baad6595b549852ab26@inbound.aiesec.org")</f>
        <v>p_b37de1785848e58339f88baad6595b549852ab26@inbound.aiesec.org</v>
      </c>
      <c r="F274" s="43">
        <f>IFERROR(__xludf.DUMMYFUNCTION("""COMPUTED_VALUE"""),5.1063131E7)</f>
        <v>51063131</v>
      </c>
      <c r="G274" s="43" t="str">
        <f>IFERROR(__xludf.DUMMYFUNCTION("""COMPUTED_VALUE"""),"Tunisia")</f>
        <v>Tunisia</v>
      </c>
      <c r="H274" s="43" t="str">
        <f>IFERROR(__xludf.DUMMYFUNCTION("""COMPUTED_VALUE"""),"RUSPINA")</f>
        <v>RUSPINA</v>
      </c>
      <c r="I274" s="43" t="str">
        <f>IFERROR(__xludf.DUMMYFUNCTION("""COMPUTED_VALUE"""),"Turkey")</f>
        <v>Turkey</v>
      </c>
      <c r="J274" s="43" t="str">
        <f>IFERROR(__xludf.DUMMYFUNCTION("""COMPUTED_VALUE"""),"GAZIANTEP")</f>
        <v>GAZIANTEP</v>
      </c>
      <c r="K274" s="44" t="str">
        <f>IFERROR(__xludf.DUMMYFUNCTION("""COMPUTED_VALUE"""),"https://expa.aiesec.org/opportunities/1300060")</f>
        <v>https://expa.aiesec.org/opportunities/1300060</v>
      </c>
      <c r="L274" s="43" t="str">
        <f>IFERROR(__xludf.DUMMYFUNCTION("""COMPUTED_VALUE"""),"GTa")</f>
        <v>GTa</v>
      </c>
      <c r="M274" s="43" t="str">
        <f>IFERROR(__xludf.DUMMYFUNCTION("""COMPUTED_VALUE"""),"long")</f>
        <v>long</v>
      </c>
      <c r="N274" s="45">
        <f>IFERROR(__xludf.DUMMYFUNCTION("""COMPUTED_VALUE"""),45223.0)</f>
        <v>45223</v>
      </c>
      <c r="O274" s="45">
        <f>IFERROR(__xludf.DUMMYFUNCTION("""COMPUTED_VALUE"""),45231.0)</f>
        <v>45231</v>
      </c>
      <c r="P274" s="45">
        <f>IFERROR(__xludf.DUMMYFUNCTION("""COMPUTED_VALUE"""),45596.0)</f>
        <v>45596</v>
      </c>
      <c r="Q274" s="45">
        <f>IFERROR(__xludf.DUMMYFUNCTION("""COMPUTED_VALUE"""),45247.0)</f>
        <v>45247</v>
      </c>
      <c r="R274" s="45">
        <f>IFERROR(__xludf.DUMMYFUNCTION("""COMPUTED_VALUE"""),45615.0)</f>
        <v>45615</v>
      </c>
      <c r="S274" s="43"/>
      <c r="T274" s="43" t="str">
        <f>IFERROR(__xludf.DUMMYFUNCTION("""COMPUTED_VALUE"""),"Marketing")</f>
        <v>Marketing</v>
      </c>
      <c r="U274" s="43" t="str">
        <f>IFERROR(__xludf.DUMMYFUNCTION("""COMPUTED_VALUE"""),"Marketing")</f>
        <v>Marketing</v>
      </c>
      <c r="V274" s="43" t="str">
        <f>IFERROR(__xludf.DUMMYFUNCTION("""COMPUTED_VALUE"""),"FSEG Mahdia")</f>
        <v>FSEG Mahdia</v>
      </c>
      <c r="W274" s="43" t="str">
        <f>IFERROR(__xludf.DUMMYFUNCTION("""COMPUTED_VALUE"""),"2023-10-11T23:07:41Z")</f>
        <v>2023-10-11T23:07:41Z</v>
      </c>
      <c r="X274" s="43"/>
      <c r="Y274" s="43"/>
      <c r="Z274" s="43"/>
    </row>
    <row r="275" hidden="1">
      <c r="A275" s="43" t="str">
        <f>IFERROR(__xludf.DUMMYFUNCTION("""COMPUTED_VALUE"""),"5355827_1295253")</f>
        <v>5355827_1295253</v>
      </c>
      <c r="B275" s="43" t="str">
        <f>IFERROR(__xludf.DUMMYFUNCTION("""COMPUTED_VALUE"""),"Elena Gurinova")</f>
        <v>Elena Gurinova</v>
      </c>
      <c r="C275" s="43" t="str">
        <f>IFERROR(__xludf.DUMMYFUNCTION("""COMPUTED_VALUE"""),"realized")</f>
        <v>realized</v>
      </c>
      <c r="D275" s="43" t="str">
        <f>IFERROR(__xludf.DUMMYFUNCTION("""COMPUTED_VALUE"""),"No")</f>
        <v>No</v>
      </c>
      <c r="E275" s="43" t="str">
        <f>IFERROR(__xludf.DUMMYFUNCTION("""COMPUTED_VALUE"""),"p_72cdf696a424a8caf8c46c90201565db99878231@inbound.aiesec.org")</f>
        <v>p_72cdf696a424a8caf8c46c90201565db99878231@inbound.aiesec.org</v>
      </c>
      <c r="F275" s="43">
        <f>IFERROR(__xludf.DUMMYFUNCTION("""COMPUTED_VALUE"""),9.601290096E9)</f>
        <v>9601290096</v>
      </c>
      <c r="G275" s="43" t="str">
        <f>IFERROR(__xludf.DUMMYFUNCTION("""COMPUTED_VALUE"""),"Russia")</f>
        <v>Russia</v>
      </c>
      <c r="H275" s="43" t="str">
        <f>IFERROR(__xludf.DUMMYFUNCTION("""COMPUTED_VALUE"""),"VORONEZH")</f>
        <v>VORONEZH</v>
      </c>
      <c r="I275" s="43" t="str">
        <f>IFERROR(__xludf.DUMMYFUNCTION("""COMPUTED_VALUE"""),"Turkey")</f>
        <v>Turkey</v>
      </c>
      <c r="J275" s="43" t="str">
        <f>IFERROR(__xludf.DUMMYFUNCTION("""COMPUTED_VALUE"""),"ISTANBUL")</f>
        <v>ISTANBUL</v>
      </c>
      <c r="K275" s="44" t="str">
        <f>IFERROR(__xludf.DUMMYFUNCTION("""COMPUTED_VALUE"""),"https://expa.aiesec.org/opportunities/1295253")</f>
        <v>https://expa.aiesec.org/opportunities/1295253</v>
      </c>
      <c r="L275" s="43" t="str">
        <f>IFERROR(__xludf.DUMMYFUNCTION("""COMPUTED_VALUE"""),"GTa")</f>
        <v>GTa</v>
      </c>
      <c r="M275" s="43" t="str">
        <f>IFERROR(__xludf.DUMMYFUNCTION("""COMPUTED_VALUE"""),"medium")</f>
        <v>medium</v>
      </c>
      <c r="N275" s="45">
        <f>IFERROR(__xludf.DUMMYFUNCTION("""COMPUTED_VALUE"""),45224.0)</f>
        <v>45224</v>
      </c>
      <c r="O275" s="45">
        <f>IFERROR(__xludf.DUMMYFUNCTION("""COMPUTED_VALUE"""),45257.0)</f>
        <v>45257</v>
      </c>
      <c r="P275" s="45">
        <f>IFERROR(__xludf.DUMMYFUNCTION("""COMPUTED_VALUE"""),45436.0)</f>
        <v>45436</v>
      </c>
      <c r="Q275" s="45">
        <f>IFERROR(__xludf.DUMMYFUNCTION("""COMPUTED_VALUE"""),45261.0)</f>
        <v>45261</v>
      </c>
      <c r="R275" s="45">
        <f>IFERROR(__xludf.DUMMYFUNCTION("""COMPUTED_VALUE"""),45440.0)</f>
        <v>45440</v>
      </c>
      <c r="S275" s="43"/>
      <c r="T275" s="43" t="str">
        <f>IFERROR(__xludf.DUMMYFUNCTION("""COMPUTED_VALUE"""),"Other")</f>
        <v>Other</v>
      </c>
      <c r="U275" s="43" t="str">
        <f>IFERROR(__xludf.DUMMYFUNCTION("""COMPUTED_VALUE"""),"Marine Claim/Insurance Specialist in Istanbul")</f>
        <v>Marine Claim/Insurance Specialist in Istanbul</v>
      </c>
      <c r="V275" s="43" t="str">
        <f>IFERROR(__xludf.DUMMYFUNCTION("""COMPUTED_VALUE"""),"Voronezh")</f>
        <v>Voronezh</v>
      </c>
      <c r="W275" s="43" t="str">
        <f>IFERROR(__xludf.DUMMYFUNCTION("""COMPUTED_VALUE"""),"2023-10-19T19:16:49Z")</f>
        <v>2023-10-19T19:16:49Z</v>
      </c>
      <c r="X275" s="43"/>
      <c r="Y275" s="43"/>
      <c r="Z275" s="43"/>
    </row>
    <row r="276" hidden="1">
      <c r="A276" s="43" t="str">
        <f>IFERROR(__xludf.DUMMYFUNCTION("""COMPUTED_VALUE"""),"5286770_1294332")</f>
        <v>5286770_1294332</v>
      </c>
      <c r="B276" s="43" t="str">
        <f>IFERROR(__xludf.DUMMYFUNCTION("""COMPUTED_VALUE"""),"Taima Zorgui")</f>
        <v>Taima Zorgui</v>
      </c>
      <c r="C276" s="43" t="str">
        <f>IFERROR(__xludf.DUMMYFUNCTION("""COMPUTED_VALUE"""),"approved")</f>
        <v>approved</v>
      </c>
      <c r="D276" s="43" t="str">
        <f>IFERROR(__xludf.DUMMYFUNCTION("""COMPUTED_VALUE"""),"No")</f>
        <v>No</v>
      </c>
      <c r="E276" s="43" t="str">
        <f>IFERROR(__xludf.DUMMYFUNCTION("""COMPUTED_VALUE"""),"p_e6721006cedea7229ad24ec7aff813a48e3a1b40@inbound.aiesec.org")</f>
        <v>p_e6721006cedea7229ad24ec7aff813a48e3a1b40@inbound.aiesec.org</v>
      </c>
      <c r="F276" s="43">
        <f>IFERROR(__xludf.DUMMYFUNCTION("""COMPUTED_VALUE"""),5.6063542E7)</f>
        <v>56063542</v>
      </c>
      <c r="G276" s="43" t="str">
        <f>IFERROR(__xludf.DUMMYFUNCTION("""COMPUTED_VALUE"""),"Tunisia")</f>
        <v>Tunisia</v>
      </c>
      <c r="H276" s="43" t="str">
        <f>IFERROR(__xludf.DUMMYFUNCTION("""COMPUTED_VALUE"""),"Carthage")</f>
        <v>Carthage</v>
      </c>
      <c r="I276" s="43" t="str">
        <f>IFERROR(__xludf.DUMMYFUNCTION("""COMPUTED_VALUE"""),"Turkey")</f>
        <v>Turkey</v>
      </c>
      <c r="J276" s="43" t="str">
        <f>IFERROR(__xludf.DUMMYFUNCTION("""COMPUTED_VALUE"""),"ISTANBUL WEST")</f>
        <v>ISTANBUL WEST</v>
      </c>
      <c r="K276" s="44" t="str">
        <f>IFERROR(__xludf.DUMMYFUNCTION("""COMPUTED_VALUE"""),"https://expa.aiesec.org/opportunities/1294332")</f>
        <v>https://expa.aiesec.org/opportunities/1294332</v>
      </c>
      <c r="L276" s="43" t="str">
        <f>IFERROR(__xludf.DUMMYFUNCTION("""COMPUTED_VALUE"""),"GTa")</f>
        <v>GTa</v>
      </c>
      <c r="M276" s="43" t="str">
        <f>IFERROR(__xludf.DUMMYFUNCTION("""COMPUTED_VALUE"""),"long")</f>
        <v>long</v>
      </c>
      <c r="N276" s="45">
        <f>IFERROR(__xludf.DUMMYFUNCTION("""COMPUTED_VALUE"""),45226.0)</f>
        <v>45226</v>
      </c>
      <c r="O276" s="45">
        <f>IFERROR(__xludf.DUMMYFUNCTION("""COMPUTED_VALUE"""),45322.0)</f>
        <v>45322</v>
      </c>
      <c r="P276" s="45">
        <f>IFERROR(__xludf.DUMMYFUNCTION("""COMPUTED_VALUE"""),45658.0)</f>
        <v>45658</v>
      </c>
      <c r="Q276" s="45"/>
      <c r="R276" s="45"/>
      <c r="S276" s="43"/>
      <c r="T276" s="43" t="str">
        <f>IFERROR(__xludf.DUMMYFUNCTION("""COMPUTED_VALUE"""),"Business Administration")</f>
        <v>Business Administration</v>
      </c>
      <c r="U276" s="43" t="str">
        <f>IFERROR(__xludf.DUMMYFUNCTION("""COMPUTED_VALUE"""),"Sales Consultant ( Customer Service )")</f>
        <v>Sales Consultant ( Customer Service )</v>
      </c>
      <c r="V276" s="43" t="str">
        <f>IFERROR(__xludf.DUMMYFUNCTION("""COMPUTED_VALUE"""),"IHEC Carthage")</f>
        <v>IHEC Carthage</v>
      </c>
      <c r="W276" s="43" t="str">
        <f>IFERROR(__xludf.DUMMYFUNCTION("""COMPUTED_VALUE"""),"2023-07-18T16:27:26Z")</f>
        <v>2023-07-18T16:27:26Z</v>
      </c>
      <c r="X276" s="43"/>
      <c r="Y276" s="43"/>
      <c r="Z276" s="43"/>
    </row>
    <row r="277" hidden="1">
      <c r="A277" s="43" t="str">
        <f>IFERROR(__xludf.DUMMYFUNCTION("""COMPUTED_VALUE"""),"5361637_1299665")</f>
        <v>5361637_1299665</v>
      </c>
      <c r="B277" s="43" t="str">
        <f>IFERROR(__xludf.DUMMYFUNCTION("""COMPUTED_VALUE"""),"Mouna Hidar")</f>
        <v>Mouna Hidar</v>
      </c>
      <c r="C277" s="43" t="str">
        <f>IFERROR(__xludf.DUMMYFUNCTION("""COMPUTED_VALUE"""),"realized")</f>
        <v>realized</v>
      </c>
      <c r="D277" s="43" t="str">
        <f>IFERROR(__xludf.DUMMYFUNCTION("""COMPUTED_VALUE"""),"No")</f>
        <v>No</v>
      </c>
      <c r="E277" s="43" t="str">
        <f>IFERROR(__xludf.DUMMYFUNCTION("""COMPUTED_VALUE"""),"p_f32b8adbf358465d1d12ba1413c9df64a28e64ba@inbound.aiesec.org")</f>
        <v>p_f32b8adbf358465d1d12ba1413c9df64a28e64ba@inbound.aiesec.org</v>
      </c>
      <c r="F277" s="43">
        <f>IFERROR(__xludf.DUMMYFUNCTION("""COMPUTED_VALUE"""),5.41339245E8)</f>
        <v>541339245</v>
      </c>
      <c r="G277" s="43" t="str">
        <f>IFERROR(__xludf.DUMMYFUNCTION("""COMPUTED_VALUE"""),"Algeria")</f>
        <v>Algeria</v>
      </c>
      <c r="H277" s="43" t="str">
        <f>IFERROR(__xludf.DUMMYFUNCTION("""COMPUTED_VALUE"""),"Benak")</f>
        <v>Benak</v>
      </c>
      <c r="I277" s="43" t="str">
        <f>IFERROR(__xludf.DUMMYFUNCTION("""COMPUTED_VALUE"""),"Turkey")</f>
        <v>Turkey</v>
      </c>
      <c r="J277" s="43" t="str">
        <f>IFERROR(__xludf.DUMMYFUNCTION("""COMPUTED_VALUE"""),"ISTANBUL WEST")</f>
        <v>ISTANBUL WEST</v>
      </c>
      <c r="K277" s="44" t="str">
        <f>IFERROR(__xludf.DUMMYFUNCTION("""COMPUTED_VALUE"""),"https://expa.aiesec.org/opportunities/1299665")</f>
        <v>https://expa.aiesec.org/opportunities/1299665</v>
      </c>
      <c r="L277" s="43" t="str">
        <f>IFERROR(__xludf.DUMMYFUNCTION("""COMPUTED_VALUE"""),"GTa")</f>
        <v>GTa</v>
      </c>
      <c r="M277" s="43" t="str">
        <f>IFERROR(__xludf.DUMMYFUNCTION("""COMPUTED_VALUE"""),"long")</f>
        <v>long</v>
      </c>
      <c r="N277" s="45">
        <f>IFERROR(__xludf.DUMMYFUNCTION("""COMPUTED_VALUE"""),45229.0)</f>
        <v>45229</v>
      </c>
      <c r="O277" s="45">
        <f>IFERROR(__xludf.DUMMYFUNCTION("""COMPUTED_VALUE"""),45264.0)</f>
        <v>45264</v>
      </c>
      <c r="P277" s="45">
        <f>IFERROR(__xludf.DUMMYFUNCTION("""COMPUTED_VALUE"""),45625.0)</f>
        <v>45625</v>
      </c>
      <c r="Q277" s="45">
        <f>IFERROR(__xludf.DUMMYFUNCTION("""COMPUTED_VALUE"""),45255.0)</f>
        <v>45255</v>
      </c>
      <c r="R277" s="45">
        <f>IFERROR(__xludf.DUMMYFUNCTION("""COMPUTED_VALUE"""),45625.0)</f>
        <v>45625</v>
      </c>
      <c r="S277" s="43"/>
      <c r="T277" s="43" t="str">
        <f>IFERROR(__xludf.DUMMYFUNCTION("""COMPUTED_VALUE"""),"Business Administration")</f>
        <v>Business Administration</v>
      </c>
      <c r="U277" s="43" t="str">
        <f>IFERROR(__xludf.DUMMYFUNCTION("""COMPUTED_VALUE"""),"Call Center Agent-English( Turkeyana Clinic)")</f>
        <v>Call Center Agent-English( Turkeyana Clinic)</v>
      </c>
      <c r="V277" s="43" t="str">
        <f>IFERROR(__xludf.DUMMYFUNCTION("""COMPUTED_VALUE"""),"AIESEC in Benak")</f>
        <v>AIESEC in Benak</v>
      </c>
      <c r="W277" s="43" t="str">
        <f>IFERROR(__xludf.DUMMYFUNCTION("""COMPUTED_VALUE"""),"2023-10-27T17:21:27Z")</f>
        <v>2023-10-27T17:21:27Z</v>
      </c>
      <c r="X277" s="43"/>
      <c r="Y277" s="43"/>
      <c r="Z277" s="43"/>
    </row>
    <row r="278" hidden="1">
      <c r="A278" s="43" t="str">
        <f>IFERROR(__xludf.DUMMYFUNCTION("""COMPUTED_VALUE"""),"5361418_1289255")</f>
        <v>5361418_1289255</v>
      </c>
      <c r="B278" s="43" t="str">
        <f>IFERROR(__xludf.DUMMYFUNCTION("""COMPUTED_VALUE"""),"Amal nasse lahsen")</f>
        <v>Amal nasse lahsen</v>
      </c>
      <c r="C278" s="43" t="str">
        <f>IFERROR(__xludf.DUMMYFUNCTION("""COMPUTED_VALUE"""),"approved")</f>
        <v>approved</v>
      </c>
      <c r="D278" s="43" t="str">
        <f>IFERROR(__xludf.DUMMYFUNCTION("""COMPUTED_VALUE"""),"No")</f>
        <v>No</v>
      </c>
      <c r="E278" s="43" t="str">
        <f>IFERROR(__xludf.DUMMYFUNCTION("""COMPUTED_VALUE"""),"p_11c9ca4f251bc0e52108964f012f341908bd027a@inbound.aiesec.org")</f>
        <v>p_11c9ca4f251bc0e52108964f012f341908bd027a@inbound.aiesec.org</v>
      </c>
      <c r="F278" s="43"/>
      <c r="G278" s="43" t="str">
        <f>IFERROR(__xludf.DUMMYFUNCTION("""COMPUTED_VALUE"""),"Morocco")</f>
        <v>Morocco</v>
      </c>
      <c r="H278" s="43" t="str">
        <f>IFERROR(__xludf.DUMMYFUNCTION("""COMPUTED_VALUE"""),"Agadir")</f>
        <v>Agadir</v>
      </c>
      <c r="I278" s="43" t="str">
        <f>IFERROR(__xludf.DUMMYFUNCTION("""COMPUTED_VALUE"""),"Turkey")</f>
        <v>Turkey</v>
      </c>
      <c r="J278" s="43" t="str">
        <f>IFERROR(__xludf.DUMMYFUNCTION("""COMPUTED_VALUE"""),"ISTANBUL")</f>
        <v>ISTANBUL</v>
      </c>
      <c r="K278" s="44" t="str">
        <f>IFERROR(__xludf.DUMMYFUNCTION("""COMPUTED_VALUE"""),"https://expa.aiesec.org/opportunities/1289255")</f>
        <v>https://expa.aiesec.org/opportunities/1289255</v>
      </c>
      <c r="L278" s="43" t="str">
        <f>IFERROR(__xludf.DUMMYFUNCTION("""COMPUTED_VALUE"""),"GTa")</f>
        <v>GTa</v>
      </c>
      <c r="M278" s="43" t="str">
        <f>IFERROR(__xludf.DUMMYFUNCTION("""COMPUTED_VALUE"""),"long")</f>
        <v>long</v>
      </c>
      <c r="N278" s="45">
        <f>IFERROR(__xludf.DUMMYFUNCTION("""COMPUTED_VALUE"""),45230.0)</f>
        <v>45230</v>
      </c>
      <c r="O278" s="45">
        <f>IFERROR(__xludf.DUMMYFUNCTION("""COMPUTED_VALUE"""),45271.0)</f>
        <v>45271</v>
      </c>
      <c r="P278" s="45">
        <f>IFERROR(__xludf.DUMMYFUNCTION("""COMPUTED_VALUE"""),45639.0)</f>
        <v>45639</v>
      </c>
      <c r="Q278" s="45"/>
      <c r="R278" s="45"/>
      <c r="S278" s="43"/>
      <c r="T278" s="43" t="str">
        <f>IFERROR(__xludf.DUMMYFUNCTION("""COMPUTED_VALUE"""),"Business Administration")</f>
        <v>Business Administration</v>
      </c>
      <c r="U278" s="43" t="str">
        <f>IFERROR(__xludf.DUMMYFUNCTION("""COMPUTED_VALUE"""),"Telesales Specialist in Istanbul (French Speaker)")</f>
        <v>Telesales Specialist in Istanbul (French Speaker)</v>
      </c>
      <c r="V278" s="43" t="str">
        <f>IFERROR(__xludf.DUMMYFUNCTION("""COMPUTED_VALUE"""),"-")</f>
        <v>-</v>
      </c>
      <c r="W278" s="43" t="str">
        <f>IFERROR(__xludf.DUMMYFUNCTION("""COMPUTED_VALUE"""),"2023-10-27T12:02:50Z")</f>
        <v>2023-10-27T12:02:50Z</v>
      </c>
      <c r="X278" s="43"/>
      <c r="Y278" s="43"/>
      <c r="Z278" s="43"/>
    </row>
    <row r="279" hidden="1">
      <c r="A279" s="43" t="str">
        <f>IFERROR(__xludf.DUMMYFUNCTION("""COMPUTED_VALUE"""),"5330143_1287708")</f>
        <v>5330143_1287708</v>
      </c>
      <c r="B279" s="43" t="str">
        <f>IFERROR(__xludf.DUMMYFUNCTION("""COMPUTED_VALUE"""),"Sirine Benhamouda")</f>
        <v>Sirine Benhamouda</v>
      </c>
      <c r="C279" s="43" t="str">
        <f>IFERROR(__xludf.DUMMYFUNCTION("""COMPUTED_VALUE"""),"realized")</f>
        <v>realized</v>
      </c>
      <c r="D279" s="43" t="str">
        <f>IFERROR(__xludf.DUMMYFUNCTION("""COMPUTED_VALUE"""),"No")</f>
        <v>No</v>
      </c>
      <c r="E279" s="43" t="str">
        <f>IFERROR(__xludf.DUMMYFUNCTION("""COMPUTED_VALUE"""),"p_284fee57bbcaf5b42e55d9723a6559361e2aa003@inbound.aiesec.org")</f>
        <v>p_284fee57bbcaf5b42e55d9723a6559361e2aa003@inbound.aiesec.org</v>
      </c>
      <c r="F279" s="43">
        <f>IFERROR(__xludf.DUMMYFUNCTION("""COMPUTED_VALUE"""),5.41270064E8)</f>
        <v>541270064</v>
      </c>
      <c r="G279" s="43" t="str">
        <f>IFERROR(__xludf.DUMMYFUNCTION("""COMPUTED_VALUE"""),"Algeria")</f>
        <v>Algeria</v>
      </c>
      <c r="H279" s="43" t="str">
        <f>IFERROR(__xludf.DUMMYFUNCTION("""COMPUTED_VALUE"""),"Benak")</f>
        <v>Benak</v>
      </c>
      <c r="I279" s="43" t="str">
        <f>IFERROR(__xludf.DUMMYFUNCTION("""COMPUTED_VALUE"""),"Turkey")</f>
        <v>Turkey</v>
      </c>
      <c r="J279" s="43" t="str">
        <f>IFERROR(__xludf.DUMMYFUNCTION("""COMPUTED_VALUE"""),"ISTANBUL WEST")</f>
        <v>ISTANBUL WEST</v>
      </c>
      <c r="K279" s="44" t="str">
        <f>IFERROR(__xludf.DUMMYFUNCTION("""COMPUTED_VALUE"""),"https://expa.aiesec.org/opportunities/1287708")</f>
        <v>https://expa.aiesec.org/opportunities/1287708</v>
      </c>
      <c r="L279" s="43" t="str">
        <f>IFERROR(__xludf.DUMMYFUNCTION("""COMPUTED_VALUE"""),"GTa")</f>
        <v>GTa</v>
      </c>
      <c r="M279" s="43" t="str">
        <f>IFERROR(__xludf.DUMMYFUNCTION("""COMPUTED_VALUE"""),"long")</f>
        <v>long</v>
      </c>
      <c r="N279" s="45">
        <f>IFERROR(__xludf.DUMMYFUNCTION("""COMPUTED_VALUE"""),45230.0)</f>
        <v>45230</v>
      </c>
      <c r="O279" s="45">
        <f>IFERROR(__xludf.DUMMYFUNCTION("""COMPUTED_VALUE"""),45208.0)</f>
        <v>45208</v>
      </c>
      <c r="P279" s="45">
        <f>IFERROR(__xludf.DUMMYFUNCTION("""COMPUTED_VALUE"""),45573.0)</f>
        <v>45573</v>
      </c>
      <c r="Q279" s="45">
        <f>IFERROR(__xludf.DUMMYFUNCTION("""COMPUTED_VALUE"""),45237.0)</f>
        <v>45237</v>
      </c>
      <c r="R279" s="45">
        <f>IFERROR(__xludf.DUMMYFUNCTION("""COMPUTED_VALUE"""),45602.0)</f>
        <v>45602</v>
      </c>
      <c r="S279" s="43"/>
      <c r="T279" s="43" t="str">
        <f>IFERROR(__xludf.DUMMYFUNCTION("""COMPUTED_VALUE"""),"Marketing")</f>
        <v>Marketing</v>
      </c>
      <c r="U279" s="43" t="str">
        <f>IFERROR(__xludf.DUMMYFUNCTION("""COMPUTED_VALUE"""),"Telesales Specialist")</f>
        <v>Telesales Specialist</v>
      </c>
      <c r="V279" s="43" t="str">
        <f>IFERROR(__xludf.DUMMYFUNCTION("""COMPUTED_VALUE"""),"AIESEC in Benak")</f>
        <v>AIESEC in Benak</v>
      </c>
      <c r="W279" s="43" t="str">
        <f>IFERROR(__xludf.DUMMYFUNCTION("""COMPUTED_VALUE"""),"2023-09-22T17:21:04Z")</f>
        <v>2023-09-22T17:21:04Z</v>
      </c>
      <c r="X279" s="43"/>
      <c r="Y279" s="43"/>
      <c r="Z279" s="43"/>
    </row>
    <row r="280" hidden="1">
      <c r="A280" s="43" t="str">
        <f>IFERROR(__xludf.DUMMYFUNCTION("""COMPUTED_VALUE"""),"5270854_1299995")</f>
        <v>5270854_1299995</v>
      </c>
      <c r="B280" s="43" t="str">
        <f>IFERROR(__xludf.DUMMYFUNCTION("""COMPUTED_VALUE"""),"Eya Channoufi")</f>
        <v>Eya Channoufi</v>
      </c>
      <c r="C280" s="43" t="str">
        <f>IFERROR(__xludf.DUMMYFUNCTION("""COMPUTED_VALUE"""),"approved")</f>
        <v>approved</v>
      </c>
      <c r="D280" s="43" t="str">
        <f>IFERROR(__xludf.DUMMYFUNCTION("""COMPUTED_VALUE"""),"No")</f>
        <v>No</v>
      </c>
      <c r="E280" s="43" t="str">
        <f>IFERROR(__xludf.DUMMYFUNCTION("""COMPUTED_VALUE"""),"p_ad7e4a16d8a50edcc97c0d97aece39f4c7345b06@inbound.aiesec.org")</f>
        <v>p_ad7e4a16d8a50edcc97c0d97aece39f4c7345b06@inbound.aiesec.org</v>
      </c>
      <c r="F280" s="43"/>
      <c r="G280" s="43" t="str">
        <f>IFERROR(__xludf.DUMMYFUNCTION("""COMPUTED_VALUE"""),"Tunisia")</f>
        <v>Tunisia</v>
      </c>
      <c r="H280" s="43" t="str">
        <f>IFERROR(__xludf.DUMMYFUNCTION("""COMPUTED_VALUE"""),"THYNA")</f>
        <v>THYNA</v>
      </c>
      <c r="I280" s="43" t="str">
        <f>IFERROR(__xludf.DUMMYFUNCTION("""COMPUTED_VALUE"""),"Turkey")</f>
        <v>Turkey</v>
      </c>
      <c r="J280" s="43" t="str">
        <f>IFERROR(__xludf.DUMMYFUNCTION("""COMPUTED_VALUE"""),"KOCAELI")</f>
        <v>KOCAELI</v>
      </c>
      <c r="K280" s="44" t="str">
        <f>IFERROR(__xludf.DUMMYFUNCTION("""COMPUTED_VALUE"""),"https://expa.aiesec.org/opportunities/1299995")</f>
        <v>https://expa.aiesec.org/opportunities/1299995</v>
      </c>
      <c r="L280" s="43" t="str">
        <f>IFERROR(__xludf.DUMMYFUNCTION("""COMPUTED_VALUE"""),"GTa")</f>
        <v>GTa</v>
      </c>
      <c r="M280" s="43" t="str">
        <f>IFERROR(__xludf.DUMMYFUNCTION("""COMPUTED_VALUE"""),"long")</f>
        <v>long</v>
      </c>
      <c r="N280" s="45">
        <f>IFERROR(__xludf.DUMMYFUNCTION("""COMPUTED_VALUE"""),45231.0)</f>
        <v>45231</v>
      </c>
      <c r="O280" s="45">
        <f>IFERROR(__xludf.DUMMYFUNCTION("""COMPUTED_VALUE"""),45278.0)</f>
        <v>45278</v>
      </c>
      <c r="P280" s="45">
        <f>IFERROR(__xludf.DUMMYFUNCTION("""COMPUTED_VALUE"""),45646.0)</f>
        <v>45646</v>
      </c>
      <c r="Q280" s="45"/>
      <c r="R280" s="45"/>
      <c r="S280" s="43"/>
      <c r="T280" s="43" t="str">
        <f>IFERROR(__xludf.DUMMYFUNCTION("""COMPUTED_VALUE"""),"Other")</f>
        <v>Other</v>
      </c>
      <c r="U280" s="43" t="str">
        <f>IFERROR(__xludf.DUMMYFUNCTION("""COMPUTED_VALUE"""),"Sales&amp;Export Intern in Erbir Company")</f>
        <v>Sales&amp;Export Intern in Erbir Company</v>
      </c>
      <c r="V280" s="43" t="str">
        <f>IFERROR(__xludf.DUMMYFUNCTION("""COMPUTED_VALUE"""),"-")</f>
        <v>-</v>
      </c>
      <c r="W280" s="43" t="str">
        <f>IFERROR(__xludf.DUMMYFUNCTION("""COMPUTED_VALUE"""),"2023-06-02T23:44:40Z")</f>
        <v>2023-06-02T23:44:40Z</v>
      </c>
      <c r="X280" s="43"/>
      <c r="Y280" s="43"/>
      <c r="Z280" s="43"/>
    </row>
    <row r="281" hidden="1">
      <c r="A281" s="43" t="str">
        <f>IFERROR(__xludf.DUMMYFUNCTION("""COMPUTED_VALUE"""),"5367838_1299665")</f>
        <v>5367838_1299665</v>
      </c>
      <c r="B281" s="43" t="str">
        <f>IFERROR(__xludf.DUMMYFUNCTION("""COMPUTED_VALUE"""),"Rouaa Haouachi")</f>
        <v>Rouaa Haouachi</v>
      </c>
      <c r="C281" s="43" t="str">
        <f>IFERROR(__xludf.DUMMYFUNCTION("""COMPUTED_VALUE"""),"approved")</f>
        <v>approved</v>
      </c>
      <c r="D281" s="43" t="str">
        <f>IFERROR(__xludf.DUMMYFUNCTION("""COMPUTED_VALUE"""),"No")</f>
        <v>No</v>
      </c>
      <c r="E281" s="43" t="str">
        <f>IFERROR(__xludf.DUMMYFUNCTION("""COMPUTED_VALUE"""),"p_8cd447a7c53d8dff28e4d4bcd95e5c075dd40988@inbound.aiesec.org")</f>
        <v>p_8cd447a7c53d8dff28e4d4bcd95e5c075dd40988@inbound.aiesec.org</v>
      </c>
      <c r="F281" s="43">
        <f>IFERROR(__xludf.DUMMYFUNCTION("""COMPUTED_VALUE"""),2.5864665E7)</f>
        <v>25864665</v>
      </c>
      <c r="G281" s="43" t="str">
        <f>IFERROR(__xludf.DUMMYFUNCTION("""COMPUTED_VALUE"""),"Tunisia")</f>
        <v>Tunisia</v>
      </c>
      <c r="H281" s="43" t="str">
        <f>IFERROR(__xludf.DUMMYFUNCTION("""COMPUTED_VALUE"""),"UNIVERSITY")</f>
        <v>UNIVERSITY</v>
      </c>
      <c r="I281" s="43" t="str">
        <f>IFERROR(__xludf.DUMMYFUNCTION("""COMPUTED_VALUE"""),"Turkey")</f>
        <v>Turkey</v>
      </c>
      <c r="J281" s="43" t="str">
        <f>IFERROR(__xludf.DUMMYFUNCTION("""COMPUTED_VALUE"""),"ISTANBUL WEST")</f>
        <v>ISTANBUL WEST</v>
      </c>
      <c r="K281" s="44" t="str">
        <f>IFERROR(__xludf.DUMMYFUNCTION("""COMPUTED_VALUE"""),"https://expa.aiesec.org/opportunities/1299665")</f>
        <v>https://expa.aiesec.org/opportunities/1299665</v>
      </c>
      <c r="L281" s="43" t="str">
        <f>IFERROR(__xludf.DUMMYFUNCTION("""COMPUTED_VALUE"""),"GTa")</f>
        <v>GTa</v>
      </c>
      <c r="M281" s="43" t="str">
        <f>IFERROR(__xludf.DUMMYFUNCTION("""COMPUTED_VALUE"""),"long")</f>
        <v>long</v>
      </c>
      <c r="N281" s="45">
        <f>IFERROR(__xludf.DUMMYFUNCTION("""COMPUTED_VALUE"""),45236.0)</f>
        <v>45236</v>
      </c>
      <c r="O281" s="45">
        <f>IFERROR(__xludf.DUMMYFUNCTION("""COMPUTED_VALUE"""),45458.0)</f>
        <v>45458</v>
      </c>
      <c r="P281" s="45">
        <f>IFERROR(__xludf.DUMMYFUNCTION("""COMPUTED_VALUE"""),45821.0)</f>
        <v>45821</v>
      </c>
      <c r="Q281" s="45"/>
      <c r="R281" s="45"/>
      <c r="S281" s="43"/>
      <c r="T281" s="43" t="str">
        <f>IFERROR(__xludf.DUMMYFUNCTION("""COMPUTED_VALUE"""),"Business Administration")</f>
        <v>Business Administration</v>
      </c>
      <c r="U281" s="43" t="str">
        <f>IFERROR(__xludf.DUMMYFUNCTION("""COMPUTED_VALUE"""),"Call Center Agent-English( Turkeyana Clinic)")</f>
        <v>Call Center Agent-English( Turkeyana Clinic)</v>
      </c>
      <c r="V281" s="43" t="str">
        <f>IFERROR(__xludf.DUMMYFUNCTION("""COMPUTED_VALUE"""),"FDSPT")</f>
        <v>FDSPT</v>
      </c>
      <c r="W281" s="43" t="str">
        <f>IFERROR(__xludf.DUMMYFUNCTION("""COMPUTED_VALUE"""),"2023-11-06T19:20:40Z")</f>
        <v>2023-11-06T19:20:40Z</v>
      </c>
      <c r="X281" s="43"/>
      <c r="Y281" s="43"/>
      <c r="Z281" s="43"/>
    </row>
    <row r="282" hidden="1">
      <c r="A282" s="43" t="str">
        <f>IFERROR(__xludf.DUMMYFUNCTION("""COMPUTED_VALUE"""),"5330454_1289255")</f>
        <v>5330454_1289255</v>
      </c>
      <c r="B282" s="43" t="str">
        <f>IFERROR(__xludf.DUMMYFUNCTION("""COMPUTED_VALUE"""),"Eya TARHOUNI")</f>
        <v>Eya TARHOUNI</v>
      </c>
      <c r="C282" s="43" t="str">
        <f>IFERROR(__xludf.DUMMYFUNCTION("""COMPUTED_VALUE"""),"approved")</f>
        <v>approved</v>
      </c>
      <c r="D282" s="43" t="str">
        <f>IFERROR(__xludf.DUMMYFUNCTION("""COMPUTED_VALUE"""),"No")</f>
        <v>No</v>
      </c>
      <c r="E282" s="43" t="str">
        <f>IFERROR(__xludf.DUMMYFUNCTION("""COMPUTED_VALUE"""),"p_d00872899fa45f64944d0390340ab9f41f1bd98b@inbound.aiesec.org")</f>
        <v>p_d00872899fa45f64944d0390340ab9f41f1bd98b@inbound.aiesec.org</v>
      </c>
      <c r="F282" s="43"/>
      <c r="G282" s="43" t="str">
        <f>IFERROR(__xludf.DUMMYFUNCTION("""COMPUTED_VALUE"""),"Tunisia")</f>
        <v>Tunisia</v>
      </c>
      <c r="H282" s="43" t="str">
        <f>IFERROR(__xludf.DUMMYFUNCTION("""COMPUTED_VALUE"""),"SFAX")</f>
        <v>SFAX</v>
      </c>
      <c r="I282" s="43" t="str">
        <f>IFERROR(__xludf.DUMMYFUNCTION("""COMPUTED_VALUE"""),"Turkey")</f>
        <v>Turkey</v>
      </c>
      <c r="J282" s="43" t="str">
        <f>IFERROR(__xludf.DUMMYFUNCTION("""COMPUTED_VALUE"""),"ISTANBUL")</f>
        <v>ISTANBUL</v>
      </c>
      <c r="K282" s="44" t="str">
        <f>IFERROR(__xludf.DUMMYFUNCTION("""COMPUTED_VALUE"""),"https://expa.aiesec.org/opportunities/1289255")</f>
        <v>https://expa.aiesec.org/opportunities/1289255</v>
      </c>
      <c r="L282" s="43" t="str">
        <f>IFERROR(__xludf.DUMMYFUNCTION("""COMPUTED_VALUE"""),"GTa")</f>
        <v>GTa</v>
      </c>
      <c r="M282" s="43" t="str">
        <f>IFERROR(__xludf.DUMMYFUNCTION("""COMPUTED_VALUE"""),"long")</f>
        <v>long</v>
      </c>
      <c r="N282" s="45">
        <f>IFERROR(__xludf.DUMMYFUNCTION("""COMPUTED_VALUE"""),45240.0)</f>
        <v>45240</v>
      </c>
      <c r="O282" s="45">
        <f>IFERROR(__xludf.DUMMYFUNCTION("""COMPUTED_VALUE"""),45285.0)</f>
        <v>45285</v>
      </c>
      <c r="P282" s="45">
        <f>IFERROR(__xludf.DUMMYFUNCTION("""COMPUTED_VALUE"""),45653.0)</f>
        <v>45653</v>
      </c>
      <c r="Q282" s="45"/>
      <c r="R282" s="45"/>
      <c r="S282" s="43"/>
      <c r="T282" s="43" t="str">
        <f>IFERROR(__xludf.DUMMYFUNCTION("""COMPUTED_VALUE"""),"Business Administration")</f>
        <v>Business Administration</v>
      </c>
      <c r="U282" s="43" t="str">
        <f>IFERROR(__xludf.DUMMYFUNCTION("""COMPUTED_VALUE"""),"Telesales Specialist in Istanbul (French Speaker)")</f>
        <v>Telesales Specialist in Istanbul (French Speaker)</v>
      </c>
      <c r="V282" s="43" t="str">
        <f>IFERROR(__xludf.DUMMYFUNCTION("""COMPUTED_VALUE"""),"-")</f>
        <v>-</v>
      </c>
      <c r="W282" s="43" t="str">
        <f>IFERROR(__xludf.DUMMYFUNCTION("""COMPUTED_VALUE"""),"2023-09-23T09:58:41Z")</f>
        <v>2023-09-23T09:58:41Z</v>
      </c>
      <c r="X282" s="43"/>
      <c r="Y282" s="43"/>
      <c r="Z282" s="43"/>
    </row>
    <row r="283" hidden="1">
      <c r="A283" s="43" t="str">
        <f>IFERROR(__xludf.DUMMYFUNCTION("""COMPUTED_VALUE"""),"5369453_1299419")</f>
        <v>5369453_1299419</v>
      </c>
      <c r="B283" s="43" t="str">
        <f>IFERROR(__xludf.DUMMYFUNCTION("""COMPUTED_VALUE"""),"Iryna Dzhulai")</f>
        <v>Iryna Dzhulai</v>
      </c>
      <c r="C283" s="43" t="str">
        <f>IFERROR(__xludf.DUMMYFUNCTION("""COMPUTED_VALUE"""),"finished")</f>
        <v>finished</v>
      </c>
      <c r="D283" s="43" t="str">
        <f>IFERROR(__xludf.DUMMYFUNCTION("""COMPUTED_VALUE"""),"No")</f>
        <v>No</v>
      </c>
      <c r="E283" s="43" t="str">
        <f>IFERROR(__xludf.DUMMYFUNCTION("""COMPUTED_VALUE"""),"p_21c94231e81f40f02d89f5c42773853e740508fc@inbound.aiesec.org")</f>
        <v>p_21c94231e81f40f02d89f5c42773853e740508fc@inbound.aiesec.org</v>
      </c>
      <c r="F283" s="43">
        <f>IFERROR(__xludf.DUMMYFUNCTION("""COMPUTED_VALUE"""),5.08703327E8)</f>
        <v>508703327</v>
      </c>
      <c r="G283" s="43" t="str">
        <f>IFERROR(__xludf.DUMMYFUNCTION("""COMPUTED_VALUE"""),"Ukraine")</f>
        <v>Ukraine</v>
      </c>
      <c r="H283" s="43" t="str">
        <f>IFERROR(__xludf.DUMMYFUNCTION("""COMPUTED_VALUE"""),"Kyiv Universities")</f>
        <v>Kyiv Universities</v>
      </c>
      <c r="I283" s="43" t="str">
        <f>IFERROR(__xludf.DUMMYFUNCTION("""COMPUTED_VALUE"""),"Turkey")</f>
        <v>Turkey</v>
      </c>
      <c r="J283" s="43" t="str">
        <f>IFERROR(__xludf.DUMMYFUNCTION("""COMPUTED_VALUE"""),"BURSA")</f>
        <v>BURSA</v>
      </c>
      <c r="K283" s="44" t="str">
        <f>IFERROR(__xludf.DUMMYFUNCTION("""COMPUTED_VALUE"""),"https://expa.aiesec.org/opportunities/1299419")</f>
        <v>https://expa.aiesec.org/opportunities/1299419</v>
      </c>
      <c r="L283" s="43" t="str">
        <f>IFERROR(__xludf.DUMMYFUNCTION("""COMPUTED_VALUE"""),"GTa")</f>
        <v>GTa</v>
      </c>
      <c r="M283" s="43" t="str">
        <f>IFERROR(__xludf.DUMMYFUNCTION("""COMPUTED_VALUE"""),"short")</f>
        <v>short</v>
      </c>
      <c r="N283" s="45">
        <f>IFERROR(__xludf.DUMMYFUNCTION("""COMPUTED_VALUE"""),45244.0)</f>
        <v>45244</v>
      </c>
      <c r="O283" s="45">
        <f>IFERROR(__xludf.DUMMYFUNCTION("""COMPUTED_VALUE"""),45251.0)</f>
        <v>45251</v>
      </c>
      <c r="P283" s="45">
        <f>IFERROR(__xludf.DUMMYFUNCTION("""COMPUTED_VALUE"""),45293.0)</f>
        <v>45293</v>
      </c>
      <c r="Q283" s="45">
        <f>IFERROR(__xludf.DUMMYFUNCTION("""COMPUTED_VALUE"""),45259.0)</f>
        <v>45259</v>
      </c>
      <c r="R283" s="45">
        <f>IFERROR(__xludf.DUMMYFUNCTION("""COMPUTED_VALUE"""),45302.0)</f>
        <v>45302</v>
      </c>
      <c r="S283" s="43"/>
      <c r="T283" s="43" t="str">
        <f>IFERROR(__xludf.DUMMYFUNCTION("""COMPUTED_VALUE"""),"Marketing")</f>
        <v>Marketing</v>
      </c>
      <c r="U283" s="43" t="str">
        <f>IFERROR(__xludf.DUMMYFUNCTION("""COMPUTED_VALUE"""),"Digital marketing")</f>
        <v>Digital marketing</v>
      </c>
      <c r="V283" s="43" t="str">
        <f>IFERROR(__xludf.DUMMYFUNCTION("""COMPUTED_VALUE"""),"Kyiv")</f>
        <v>Kyiv</v>
      </c>
      <c r="W283" s="43" t="str">
        <f>IFERROR(__xludf.DUMMYFUNCTION("""COMPUTED_VALUE"""),"2023-11-09T06:39:46Z")</f>
        <v>2023-11-09T06:39:46Z</v>
      </c>
      <c r="X283" s="43"/>
      <c r="Y283" s="43"/>
      <c r="Z283" s="43"/>
    </row>
    <row r="284" hidden="1">
      <c r="A284" s="43" t="str">
        <f>IFERROR(__xludf.DUMMYFUNCTION("""COMPUTED_VALUE"""),"3086891_1294332")</f>
        <v>3086891_1294332</v>
      </c>
      <c r="B284" s="43" t="str">
        <f>IFERROR(__xludf.DUMMYFUNCTION("""COMPUTED_VALUE"""),"Lina Elkadioui elidrissi")</f>
        <v>Lina Elkadioui elidrissi</v>
      </c>
      <c r="C284" s="43" t="str">
        <f>IFERROR(__xludf.DUMMYFUNCTION("""COMPUTED_VALUE"""),"realized")</f>
        <v>realized</v>
      </c>
      <c r="D284" s="43" t="str">
        <f>IFERROR(__xludf.DUMMYFUNCTION("""COMPUTED_VALUE"""),"No")</f>
        <v>No</v>
      </c>
      <c r="E284" s="43" t="str">
        <f>IFERROR(__xludf.DUMMYFUNCTION("""COMPUTED_VALUE"""),"p_fe8782c32eb604134876923e001c7a3b80de0b1d@inbound.aiesec.org")</f>
        <v>p_fe8782c32eb604134876923e001c7a3b80de0b1d@inbound.aiesec.org</v>
      </c>
      <c r="F284" s="43">
        <f>IFERROR(__xludf.DUMMYFUNCTION("""COMPUTED_VALUE"""),6.03343178E8)</f>
        <v>603343178</v>
      </c>
      <c r="G284" s="43" t="str">
        <f>IFERROR(__xludf.DUMMYFUNCTION("""COMPUTED_VALUE"""),"Morocco")</f>
        <v>Morocco</v>
      </c>
      <c r="H284" s="43" t="str">
        <f>IFERROR(__xludf.DUMMYFUNCTION("""COMPUTED_VALUE"""),"Morocco (MC)")</f>
        <v>Morocco (MC)</v>
      </c>
      <c r="I284" s="43" t="str">
        <f>IFERROR(__xludf.DUMMYFUNCTION("""COMPUTED_VALUE"""),"Turkey")</f>
        <v>Turkey</v>
      </c>
      <c r="J284" s="43" t="str">
        <f>IFERROR(__xludf.DUMMYFUNCTION("""COMPUTED_VALUE"""),"ISTANBUL WEST")</f>
        <v>ISTANBUL WEST</v>
      </c>
      <c r="K284" s="44" t="str">
        <f>IFERROR(__xludf.DUMMYFUNCTION("""COMPUTED_VALUE"""),"https://expa.aiesec.org/opportunities/1294332")</f>
        <v>https://expa.aiesec.org/opportunities/1294332</v>
      </c>
      <c r="L284" s="43" t="str">
        <f>IFERROR(__xludf.DUMMYFUNCTION("""COMPUTED_VALUE"""),"GTa")</f>
        <v>GTa</v>
      </c>
      <c r="M284" s="43" t="str">
        <f>IFERROR(__xludf.DUMMYFUNCTION("""COMPUTED_VALUE"""),"long")</f>
        <v>long</v>
      </c>
      <c r="N284" s="45">
        <f>IFERROR(__xludf.DUMMYFUNCTION("""COMPUTED_VALUE"""),45245.0)</f>
        <v>45245</v>
      </c>
      <c r="O284" s="45">
        <f>IFERROR(__xludf.DUMMYFUNCTION("""COMPUTED_VALUE"""),45252.0)</f>
        <v>45252</v>
      </c>
      <c r="P284" s="45">
        <f>IFERROR(__xludf.DUMMYFUNCTION("""COMPUTED_VALUE"""),45617.0)</f>
        <v>45617</v>
      </c>
      <c r="Q284" s="45">
        <f>IFERROR(__xludf.DUMMYFUNCTION("""COMPUTED_VALUE"""),45272.0)</f>
        <v>45272</v>
      </c>
      <c r="R284" s="45">
        <f>IFERROR(__xludf.DUMMYFUNCTION("""COMPUTED_VALUE"""),45637.0)</f>
        <v>45637</v>
      </c>
      <c r="S284" s="43"/>
      <c r="T284" s="43" t="str">
        <f>IFERROR(__xludf.DUMMYFUNCTION("""COMPUTED_VALUE"""),"Business Administration")</f>
        <v>Business Administration</v>
      </c>
      <c r="U284" s="43" t="str">
        <f>IFERROR(__xludf.DUMMYFUNCTION("""COMPUTED_VALUE"""),"Sales Consultant ( Customer Service )")</f>
        <v>Sales Consultant ( Customer Service )</v>
      </c>
      <c r="V284" s="43" t="str">
        <f>IFERROR(__xludf.DUMMYFUNCTION("""COMPUTED_VALUE"""),"Other-EL JADIDA")</f>
        <v>Other-EL JADIDA</v>
      </c>
      <c r="W284" s="43" t="str">
        <f>IFERROR(__xludf.DUMMYFUNCTION("""COMPUTED_VALUE"""),"2019-02-17T14:28:54Z")</f>
        <v>2019-02-17T14:28:54Z</v>
      </c>
      <c r="X284" s="43"/>
      <c r="Y284" s="43"/>
      <c r="Z284" s="43"/>
    </row>
    <row r="285" hidden="1">
      <c r="A285" s="43" t="str">
        <f>IFERROR(__xludf.DUMMYFUNCTION("""COMPUTED_VALUE"""),"5320021_1297055")</f>
        <v>5320021_1297055</v>
      </c>
      <c r="B285" s="43" t="str">
        <f>IFERROR(__xludf.DUMMYFUNCTION("""COMPUTED_VALUE"""),"Benothman Amine")</f>
        <v>Benothman Amine</v>
      </c>
      <c r="C285" s="43" t="str">
        <f>IFERROR(__xludf.DUMMYFUNCTION("""COMPUTED_VALUE"""),"approved")</f>
        <v>approved</v>
      </c>
      <c r="D285" s="43" t="str">
        <f>IFERROR(__xludf.DUMMYFUNCTION("""COMPUTED_VALUE"""),"No")</f>
        <v>No</v>
      </c>
      <c r="E285" s="43" t="str">
        <f>IFERROR(__xludf.DUMMYFUNCTION("""COMPUTED_VALUE"""),"p_9acfae4ba32f4ccb5ae57ced799bf406611355fc@inbound.aiesec.org")</f>
        <v>p_9acfae4ba32f4ccb5ae57ced799bf406611355fc@inbound.aiesec.org</v>
      </c>
      <c r="F285" s="43">
        <f>IFERROR(__xludf.DUMMYFUNCTION("""COMPUTED_VALUE"""),5.6316877E7)</f>
        <v>56316877</v>
      </c>
      <c r="G285" s="43" t="str">
        <f>IFERROR(__xludf.DUMMYFUNCTION("""COMPUTED_VALUE"""),"Tunisia")</f>
        <v>Tunisia</v>
      </c>
      <c r="H285" s="43" t="str">
        <f>IFERROR(__xludf.DUMMYFUNCTION("""COMPUTED_VALUE"""),"HADRUMET")</f>
        <v>HADRUMET</v>
      </c>
      <c r="I285" s="43" t="str">
        <f>IFERROR(__xludf.DUMMYFUNCTION("""COMPUTED_VALUE"""),"Turkey")</f>
        <v>Turkey</v>
      </c>
      <c r="J285" s="43" t="str">
        <f>IFERROR(__xludf.DUMMYFUNCTION("""COMPUTED_VALUE"""),"KOCAELI")</f>
        <v>KOCAELI</v>
      </c>
      <c r="K285" s="44" t="str">
        <f>IFERROR(__xludf.DUMMYFUNCTION("""COMPUTED_VALUE"""),"https://expa.aiesec.org/opportunities/1297055")</f>
        <v>https://expa.aiesec.org/opportunities/1297055</v>
      </c>
      <c r="L285" s="43" t="str">
        <f>IFERROR(__xludf.DUMMYFUNCTION("""COMPUTED_VALUE"""),"GTa")</f>
        <v>GTa</v>
      </c>
      <c r="M285" s="43" t="str">
        <f>IFERROR(__xludf.DUMMYFUNCTION("""COMPUTED_VALUE"""),"long")</f>
        <v>long</v>
      </c>
      <c r="N285" s="45">
        <f>IFERROR(__xludf.DUMMYFUNCTION("""COMPUTED_VALUE"""),45245.0)</f>
        <v>45245</v>
      </c>
      <c r="O285" s="45">
        <f>IFERROR(__xludf.DUMMYFUNCTION("""COMPUTED_VALUE"""),45292.0)</f>
        <v>45292</v>
      </c>
      <c r="P285" s="45">
        <f>IFERROR(__xludf.DUMMYFUNCTION("""COMPUTED_VALUE"""),45658.0)</f>
        <v>45658</v>
      </c>
      <c r="Q285" s="45"/>
      <c r="R285" s="45"/>
      <c r="S285" s="43"/>
      <c r="T285" s="43" t="str">
        <f>IFERROR(__xludf.DUMMYFUNCTION("""COMPUTED_VALUE"""),"Other")</f>
        <v>Other</v>
      </c>
      <c r="U285" s="43" t="str">
        <f>IFERROR(__xludf.DUMMYFUNCTION("""COMPUTED_VALUE"""),"Mechanical Engineer in MERSEN Company")</f>
        <v>Mechanical Engineer in MERSEN Company</v>
      </c>
      <c r="V285" s="43" t="str">
        <f>IFERROR(__xludf.DUMMYFUNCTION("""COMPUTED_VALUE"""),"EPI Sousse")</f>
        <v>EPI Sousse</v>
      </c>
      <c r="W285" s="43" t="str">
        <f>IFERROR(__xludf.DUMMYFUNCTION("""COMPUTED_VALUE"""),"2023-09-07T21:53:48Z")</f>
        <v>2023-09-07T21:53:48Z</v>
      </c>
      <c r="X285" s="43"/>
      <c r="Y285" s="43"/>
      <c r="Z285" s="43"/>
    </row>
    <row r="286" hidden="1">
      <c r="A286" s="43" t="str">
        <f>IFERROR(__xludf.DUMMYFUNCTION("""COMPUTED_VALUE"""),"5360461_1289255")</f>
        <v>5360461_1289255</v>
      </c>
      <c r="B286" s="43" t="str">
        <f>IFERROR(__xludf.DUMMYFUNCTION("""COMPUTED_VALUE"""),"abdulahi abdulgafar abdulahi")</f>
        <v>abdulahi abdulgafar abdulahi</v>
      </c>
      <c r="C286" s="43" t="str">
        <f>IFERROR(__xludf.DUMMYFUNCTION("""COMPUTED_VALUE"""),"approved")</f>
        <v>approved</v>
      </c>
      <c r="D286" s="43" t="str">
        <f>IFERROR(__xludf.DUMMYFUNCTION("""COMPUTED_VALUE"""),"No")</f>
        <v>No</v>
      </c>
      <c r="E286" s="43" t="str">
        <f>IFERROR(__xludf.DUMMYFUNCTION("""COMPUTED_VALUE"""),"p_f0c524777ba19e17f9decacf0258b4d01c2a7cab@inbound.aiesec.org")</f>
        <v>p_f0c524777ba19e17f9decacf0258b4d01c2a7cab@inbound.aiesec.org</v>
      </c>
      <c r="F286" s="43">
        <f>IFERROR(__xludf.DUMMYFUNCTION("""COMPUTED_VALUE"""),9.73918571E8)</f>
        <v>973918571</v>
      </c>
      <c r="G286" s="43" t="str">
        <f>IFERROR(__xludf.DUMMYFUNCTION("""COMPUTED_VALUE"""),"Ethiopia")</f>
        <v>Ethiopia</v>
      </c>
      <c r="H286" s="43" t="str">
        <f>IFERROR(__xludf.DUMMYFUNCTION("""COMPUTED_VALUE"""),"Other Universities and Institutions")</f>
        <v>Other Universities and Institutions</v>
      </c>
      <c r="I286" s="43" t="str">
        <f>IFERROR(__xludf.DUMMYFUNCTION("""COMPUTED_VALUE"""),"Turkey")</f>
        <v>Turkey</v>
      </c>
      <c r="J286" s="43" t="str">
        <f>IFERROR(__xludf.DUMMYFUNCTION("""COMPUTED_VALUE"""),"ISTANBUL")</f>
        <v>ISTANBUL</v>
      </c>
      <c r="K286" s="44" t="str">
        <f>IFERROR(__xludf.DUMMYFUNCTION("""COMPUTED_VALUE"""),"https://expa.aiesec.org/opportunities/1289255")</f>
        <v>https://expa.aiesec.org/opportunities/1289255</v>
      </c>
      <c r="L286" s="43" t="str">
        <f>IFERROR(__xludf.DUMMYFUNCTION("""COMPUTED_VALUE"""),"GTa")</f>
        <v>GTa</v>
      </c>
      <c r="M286" s="43" t="str">
        <f>IFERROR(__xludf.DUMMYFUNCTION("""COMPUTED_VALUE"""),"long")</f>
        <v>long</v>
      </c>
      <c r="N286" s="45">
        <f>IFERROR(__xludf.DUMMYFUNCTION("""COMPUTED_VALUE"""),45249.0)</f>
        <v>45249</v>
      </c>
      <c r="O286" s="45">
        <f>IFERROR(__xludf.DUMMYFUNCTION("""COMPUTED_VALUE"""),45257.0)</f>
        <v>45257</v>
      </c>
      <c r="P286" s="45">
        <f>IFERROR(__xludf.DUMMYFUNCTION("""COMPUTED_VALUE"""),45625.0)</f>
        <v>45625</v>
      </c>
      <c r="Q286" s="45"/>
      <c r="R286" s="45"/>
      <c r="S286" s="43"/>
      <c r="T286" s="43" t="str">
        <f>IFERROR(__xludf.DUMMYFUNCTION("""COMPUTED_VALUE"""),"Business Administration")</f>
        <v>Business Administration</v>
      </c>
      <c r="U286" s="43" t="str">
        <f>IFERROR(__xludf.DUMMYFUNCTION("""COMPUTED_VALUE"""),"Telesales Specialist in Istanbul (French Speaker)")</f>
        <v>Telesales Specialist in Istanbul (French Speaker)</v>
      </c>
      <c r="V286" s="43" t="str">
        <f>IFERROR(__xludf.DUMMYFUNCTION("""COMPUTED_VALUE"""),"Other Universities and Institutions")</f>
        <v>Other Universities and Institutions</v>
      </c>
      <c r="W286" s="43" t="str">
        <f>IFERROR(__xludf.DUMMYFUNCTION("""COMPUTED_VALUE"""),"2023-10-26T04:16:48Z")</f>
        <v>2023-10-26T04:16:48Z</v>
      </c>
      <c r="X286" s="43"/>
      <c r="Y286" s="43"/>
      <c r="Z286" s="43"/>
    </row>
    <row r="287" hidden="1">
      <c r="A287" s="43" t="str">
        <f>IFERROR(__xludf.DUMMYFUNCTION("""COMPUTED_VALUE"""),"5371902_1301470")</f>
        <v>5371902_1301470</v>
      </c>
      <c r="B287" s="43" t="str">
        <f>IFERROR(__xludf.DUMMYFUNCTION("""COMPUTED_VALUE"""),"Adnen Baccari")</f>
        <v>Adnen Baccari</v>
      </c>
      <c r="C287" s="43" t="str">
        <f>IFERROR(__xludf.DUMMYFUNCTION("""COMPUTED_VALUE"""),"realized")</f>
        <v>realized</v>
      </c>
      <c r="D287" s="43" t="str">
        <f>IFERROR(__xludf.DUMMYFUNCTION("""COMPUTED_VALUE"""),"No")</f>
        <v>No</v>
      </c>
      <c r="E287" s="43" t="str">
        <f>IFERROR(__xludf.DUMMYFUNCTION("""COMPUTED_VALUE"""),"p_9a9800eb9cce2afe371cae43b30cad0866d6e1c1@inbound.aiesec.org")</f>
        <v>p_9a9800eb9cce2afe371cae43b30cad0866d6e1c1@inbound.aiesec.org</v>
      </c>
      <c r="F287" s="43">
        <f>IFERROR(__xludf.DUMMYFUNCTION("""COMPUTED_VALUE"""),5.6887611E7)</f>
        <v>56887611</v>
      </c>
      <c r="G287" s="43" t="str">
        <f>IFERROR(__xludf.DUMMYFUNCTION("""COMPUTED_VALUE"""),"Tunisia")</f>
        <v>Tunisia</v>
      </c>
      <c r="H287" s="43" t="str">
        <f>IFERROR(__xludf.DUMMYFUNCTION("""COMPUTED_VALUE"""),"RUSPINA")</f>
        <v>RUSPINA</v>
      </c>
      <c r="I287" s="43" t="str">
        <f>IFERROR(__xludf.DUMMYFUNCTION("""COMPUTED_VALUE"""),"Turkey")</f>
        <v>Turkey</v>
      </c>
      <c r="J287" s="43" t="str">
        <f>IFERROR(__xludf.DUMMYFUNCTION("""COMPUTED_VALUE"""),"ISTANBUL")</f>
        <v>ISTANBUL</v>
      </c>
      <c r="K287" s="44" t="str">
        <f>IFERROR(__xludf.DUMMYFUNCTION("""COMPUTED_VALUE"""),"https://expa.aiesec.org/opportunities/1301470")</f>
        <v>https://expa.aiesec.org/opportunities/1301470</v>
      </c>
      <c r="L287" s="43" t="str">
        <f>IFERROR(__xludf.DUMMYFUNCTION("""COMPUTED_VALUE"""),"GTa")</f>
        <v>GTa</v>
      </c>
      <c r="M287" s="43" t="str">
        <f>IFERROR(__xludf.DUMMYFUNCTION("""COMPUTED_VALUE"""),"long")</f>
        <v>long</v>
      </c>
      <c r="N287" s="45">
        <f>IFERROR(__xludf.DUMMYFUNCTION("""COMPUTED_VALUE"""),45250.0)</f>
        <v>45250</v>
      </c>
      <c r="O287" s="45">
        <f>IFERROR(__xludf.DUMMYFUNCTION("""COMPUTED_VALUE"""),45285.0)</f>
        <v>45285</v>
      </c>
      <c r="P287" s="45">
        <f>IFERROR(__xludf.DUMMYFUNCTION("""COMPUTED_VALUE"""),45646.0)</f>
        <v>45646</v>
      </c>
      <c r="Q287" s="45">
        <f>IFERROR(__xludf.DUMMYFUNCTION("""COMPUTED_VALUE"""),45261.0)</f>
        <v>45261</v>
      </c>
      <c r="R287" s="45">
        <f>IFERROR(__xludf.DUMMYFUNCTION("""COMPUTED_VALUE"""),45646.0)</f>
        <v>45646</v>
      </c>
      <c r="S287" s="43"/>
      <c r="T287" s="43" t="str">
        <f>IFERROR(__xludf.DUMMYFUNCTION("""COMPUTED_VALUE"""),"Business Administration")</f>
        <v>Business Administration</v>
      </c>
      <c r="U287" s="43" t="str">
        <f>IFERROR(__xludf.DUMMYFUNCTION("""COMPUTED_VALUE"""),"Operation Specialist in İstanbul")</f>
        <v>Operation Specialist in İstanbul</v>
      </c>
      <c r="V287" s="43" t="str">
        <f>IFERROR(__xludf.DUMMYFUNCTION("""COMPUTED_VALUE"""),"FSEG Mahdia")</f>
        <v>FSEG Mahdia</v>
      </c>
      <c r="W287" s="43" t="str">
        <f>IFERROR(__xludf.DUMMYFUNCTION("""COMPUTED_VALUE"""),"2023-11-13T20:32:08Z")</f>
        <v>2023-11-13T20:32:08Z</v>
      </c>
      <c r="X287" s="43"/>
      <c r="Y287" s="43"/>
      <c r="Z287" s="43"/>
    </row>
    <row r="288" hidden="1">
      <c r="A288" s="43" t="str">
        <f>IFERROR(__xludf.DUMMYFUNCTION("""COMPUTED_VALUE"""),"5279296_1299666")</f>
        <v>5279296_1299666</v>
      </c>
      <c r="B288" s="43" t="str">
        <f>IFERROR(__xludf.DUMMYFUNCTION("""COMPUTED_VALUE"""),"Chourouk Khiari")</f>
        <v>Chourouk Khiari</v>
      </c>
      <c r="C288" s="43" t="str">
        <f>IFERROR(__xludf.DUMMYFUNCTION("""COMPUTED_VALUE"""),"realized")</f>
        <v>realized</v>
      </c>
      <c r="D288" s="43" t="str">
        <f>IFERROR(__xludf.DUMMYFUNCTION("""COMPUTED_VALUE"""),"No")</f>
        <v>No</v>
      </c>
      <c r="E288" s="43" t="str">
        <f>IFERROR(__xludf.DUMMYFUNCTION("""COMPUTED_VALUE"""),"p_939eaae669542da3caef3d294469bada27b183a6@inbound.aiesec.org")</f>
        <v>p_939eaae669542da3caef3d294469bada27b183a6@inbound.aiesec.org</v>
      </c>
      <c r="F288" s="43">
        <f>IFERROR(__xludf.DUMMYFUNCTION("""COMPUTED_VALUE"""),7.99544465E8)</f>
        <v>799544465</v>
      </c>
      <c r="G288" s="43" t="str">
        <f>IFERROR(__xludf.DUMMYFUNCTION("""COMPUTED_VALUE"""),"Algeria")</f>
        <v>Algeria</v>
      </c>
      <c r="H288" s="43" t="str">
        <f>IFERROR(__xludf.DUMMYFUNCTION("""COMPUTED_VALUE"""),"Babez")</f>
        <v>Babez</v>
      </c>
      <c r="I288" s="43" t="str">
        <f>IFERROR(__xludf.DUMMYFUNCTION("""COMPUTED_VALUE"""),"Turkey")</f>
        <v>Turkey</v>
      </c>
      <c r="J288" s="43" t="str">
        <f>IFERROR(__xludf.DUMMYFUNCTION("""COMPUTED_VALUE"""),"ISTANBUL WEST")</f>
        <v>ISTANBUL WEST</v>
      </c>
      <c r="K288" s="44" t="str">
        <f>IFERROR(__xludf.DUMMYFUNCTION("""COMPUTED_VALUE"""),"https://expa.aiesec.org/opportunities/1299666")</f>
        <v>https://expa.aiesec.org/opportunities/1299666</v>
      </c>
      <c r="L288" s="43" t="str">
        <f>IFERROR(__xludf.DUMMYFUNCTION("""COMPUTED_VALUE"""),"GTa")</f>
        <v>GTa</v>
      </c>
      <c r="M288" s="43" t="str">
        <f>IFERROR(__xludf.DUMMYFUNCTION("""COMPUTED_VALUE"""),"long")</f>
        <v>long</v>
      </c>
      <c r="N288" s="45">
        <f>IFERROR(__xludf.DUMMYFUNCTION("""COMPUTED_VALUE"""),45252.0)</f>
        <v>45252</v>
      </c>
      <c r="O288" s="45">
        <f>IFERROR(__xludf.DUMMYFUNCTION("""COMPUTED_VALUE"""),45271.0)</f>
        <v>45271</v>
      </c>
      <c r="P288" s="45">
        <f>IFERROR(__xludf.DUMMYFUNCTION("""COMPUTED_VALUE"""),45632.0)</f>
        <v>45632</v>
      </c>
      <c r="Q288" s="45">
        <f>IFERROR(__xludf.DUMMYFUNCTION("""COMPUTED_VALUE"""),45290.0)</f>
        <v>45290</v>
      </c>
      <c r="R288" s="45">
        <f>IFERROR(__xludf.DUMMYFUNCTION("""COMPUTED_VALUE"""),45653.0)</f>
        <v>45653</v>
      </c>
      <c r="S288" s="43"/>
      <c r="T288" s="43" t="str">
        <f>IFERROR(__xludf.DUMMYFUNCTION("""COMPUTED_VALUE"""),"Business Administration")</f>
        <v>Business Administration</v>
      </c>
      <c r="U288" s="43" t="str">
        <f>IFERROR(__xludf.DUMMYFUNCTION("""COMPUTED_VALUE"""),"Sales Consultant - English (Turkeyana Clinic)")</f>
        <v>Sales Consultant - English (Turkeyana Clinic)</v>
      </c>
      <c r="V288" s="43" t="str">
        <f>IFERROR(__xludf.DUMMYFUNCTION("""COMPUTED_VALUE"""),"AIESEC in Babez")</f>
        <v>AIESEC in Babez</v>
      </c>
      <c r="W288" s="43" t="str">
        <f>IFERROR(__xludf.DUMMYFUNCTION("""COMPUTED_VALUE"""),"2023-06-25T16:12:10Z")</f>
        <v>2023-06-25T16:12:10Z</v>
      </c>
      <c r="X288" s="43"/>
      <c r="Y288" s="43"/>
      <c r="Z288" s="43"/>
    </row>
    <row r="289" hidden="1">
      <c r="A289" s="43" t="str">
        <f>IFERROR(__xludf.DUMMYFUNCTION("""COMPUTED_VALUE"""),"5298316_1288373")</f>
        <v>5298316_1288373</v>
      </c>
      <c r="B289" s="43" t="str">
        <f>IFERROR(__xludf.DUMMYFUNCTION("""COMPUTED_VALUE"""),"Sara Mounjib")</f>
        <v>Sara Mounjib</v>
      </c>
      <c r="C289" s="43" t="str">
        <f>IFERROR(__xludf.DUMMYFUNCTION("""COMPUTED_VALUE"""),"realized")</f>
        <v>realized</v>
      </c>
      <c r="D289" s="43" t="str">
        <f>IFERROR(__xludf.DUMMYFUNCTION("""COMPUTED_VALUE"""),"No")</f>
        <v>No</v>
      </c>
      <c r="E289" s="43" t="str">
        <f>IFERROR(__xludf.DUMMYFUNCTION("""COMPUTED_VALUE"""),"p_274af41ecd794150212d8e296bea3307ae162ec9@inbound.aiesec.org")</f>
        <v>p_274af41ecd794150212d8e296bea3307ae162ec9@inbound.aiesec.org</v>
      </c>
      <c r="F289" s="43"/>
      <c r="G289" s="43" t="str">
        <f>IFERROR(__xludf.DUMMYFUNCTION("""COMPUTED_VALUE"""),"Morocco")</f>
        <v>Morocco</v>
      </c>
      <c r="H289" s="43" t="str">
        <f>IFERROR(__xludf.DUMMYFUNCTION("""COMPUTED_VALUE"""),"Casablanca")</f>
        <v>Casablanca</v>
      </c>
      <c r="I289" s="43" t="str">
        <f>IFERROR(__xludf.DUMMYFUNCTION("""COMPUTED_VALUE"""),"Turkey")</f>
        <v>Turkey</v>
      </c>
      <c r="J289" s="43" t="str">
        <f>IFERROR(__xludf.DUMMYFUNCTION("""COMPUTED_VALUE"""),"ADANA")</f>
        <v>ADANA</v>
      </c>
      <c r="K289" s="44" t="str">
        <f>IFERROR(__xludf.DUMMYFUNCTION("""COMPUTED_VALUE"""),"https://expa.aiesec.org/opportunities/1288373")</f>
        <v>https://expa.aiesec.org/opportunities/1288373</v>
      </c>
      <c r="L289" s="43" t="str">
        <f>IFERROR(__xludf.DUMMYFUNCTION("""COMPUTED_VALUE"""),"GTa")</f>
        <v>GTa</v>
      </c>
      <c r="M289" s="43" t="str">
        <f>IFERROR(__xludf.DUMMYFUNCTION("""COMPUTED_VALUE"""),"long")</f>
        <v>long</v>
      </c>
      <c r="N289" s="45">
        <f>IFERROR(__xludf.DUMMYFUNCTION("""COMPUTED_VALUE"""),45258.0)</f>
        <v>45258</v>
      </c>
      <c r="O289" s="45">
        <f>IFERROR(__xludf.DUMMYFUNCTION("""COMPUTED_VALUE"""),45191.0)</f>
        <v>45191</v>
      </c>
      <c r="P289" s="45">
        <f>IFERROR(__xludf.DUMMYFUNCTION("""COMPUTED_VALUE"""),45556.0)</f>
        <v>45556</v>
      </c>
      <c r="Q289" s="45">
        <f>IFERROR(__xludf.DUMMYFUNCTION("""COMPUTED_VALUE"""),45268.0)</f>
        <v>45268</v>
      </c>
      <c r="R289" s="45">
        <f>IFERROR(__xludf.DUMMYFUNCTION("""COMPUTED_VALUE"""),45633.0)</f>
        <v>45633</v>
      </c>
      <c r="S289" s="43"/>
      <c r="T289" s="43" t="str">
        <f>IFERROR(__xludf.DUMMYFUNCTION("""COMPUTED_VALUE"""),"Marketing")</f>
        <v>Marketing</v>
      </c>
      <c r="U289" s="43" t="str">
        <f>IFERROR(__xludf.DUMMYFUNCTION("""COMPUTED_VALUE"""),"Sales Executive | Arabic Speaker")</f>
        <v>Sales Executive | Arabic Speaker</v>
      </c>
      <c r="V289" s="43" t="str">
        <f>IFERROR(__xludf.DUMMYFUNCTION("""COMPUTED_VALUE"""),"-")</f>
        <v>-</v>
      </c>
      <c r="W289" s="43" t="str">
        <f>IFERROR(__xludf.DUMMYFUNCTION("""COMPUTED_VALUE"""),"2023-08-06T11:50:45Z")</f>
        <v>2023-08-06T11:50:45Z</v>
      </c>
      <c r="X289" s="43"/>
      <c r="Y289" s="43"/>
      <c r="Z289" s="43"/>
    </row>
    <row r="290" hidden="1">
      <c r="A290" s="43" t="str">
        <f>IFERROR(__xludf.DUMMYFUNCTION("""COMPUTED_VALUE"""),"5370184_1296457")</f>
        <v>5370184_1296457</v>
      </c>
      <c r="B290" s="43" t="str">
        <f>IFERROR(__xludf.DUMMYFUNCTION("""COMPUTED_VALUE"""),"Samman Mustafa")</f>
        <v>Samman Mustafa</v>
      </c>
      <c r="C290" s="43" t="str">
        <f>IFERROR(__xludf.DUMMYFUNCTION("""COMPUTED_VALUE"""),"approved")</f>
        <v>approved</v>
      </c>
      <c r="D290" s="43" t="str">
        <f>IFERROR(__xludf.DUMMYFUNCTION("""COMPUTED_VALUE"""),"No")</f>
        <v>No</v>
      </c>
      <c r="E290" s="43" t="str">
        <f>IFERROR(__xludf.DUMMYFUNCTION("""COMPUTED_VALUE"""),"p_b6b778c3d8d534fb238bc5103da64927ed359aaa@inbound.aiesec.org")</f>
        <v>p_b6b778c3d8d534fb238bc5103da64927ed359aaa@inbound.aiesec.org</v>
      </c>
      <c r="F290" s="43">
        <f>IFERROR(__xludf.DUMMYFUNCTION("""COMPUTED_VALUE"""),3.146001338E9)</f>
        <v>3146001338</v>
      </c>
      <c r="G290" s="43" t="str">
        <f>IFERROR(__xludf.DUMMYFUNCTION("""COMPUTED_VALUE"""),"Pakistan")</f>
        <v>Pakistan</v>
      </c>
      <c r="H290" s="43" t="str">
        <f>IFERROR(__xludf.DUMMYFUNCTION("""COMPUTED_VALUE"""),"NUST")</f>
        <v>NUST</v>
      </c>
      <c r="I290" s="43" t="str">
        <f>IFERROR(__xludf.DUMMYFUNCTION("""COMPUTED_VALUE"""),"Turkey")</f>
        <v>Turkey</v>
      </c>
      <c r="J290" s="43" t="str">
        <f>IFERROR(__xludf.DUMMYFUNCTION("""COMPUTED_VALUE"""),"KOCAELI")</f>
        <v>KOCAELI</v>
      </c>
      <c r="K290" s="44" t="str">
        <f>IFERROR(__xludf.DUMMYFUNCTION("""COMPUTED_VALUE"""),"https://expa.aiesec.org/opportunities/1296457")</f>
        <v>https://expa.aiesec.org/opportunities/1296457</v>
      </c>
      <c r="L290" s="43" t="str">
        <f>IFERROR(__xludf.DUMMYFUNCTION("""COMPUTED_VALUE"""),"GTa")</f>
        <v>GTa</v>
      </c>
      <c r="M290" s="43" t="str">
        <f>IFERROR(__xludf.DUMMYFUNCTION("""COMPUTED_VALUE"""),"long")</f>
        <v>long</v>
      </c>
      <c r="N290" s="45">
        <f>IFERROR(__xludf.DUMMYFUNCTION("""COMPUTED_VALUE"""),45259.0)</f>
        <v>45259</v>
      </c>
      <c r="O290" s="45">
        <f>IFERROR(__xludf.DUMMYFUNCTION("""COMPUTED_VALUE"""),45292.0)</f>
        <v>45292</v>
      </c>
      <c r="P290" s="45">
        <f>IFERROR(__xludf.DUMMYFUNCTION("""COMPUTED_VALUE"""),45660.0)</f>
        <v>45660</v>
      </c>
      <c r="Q290" s="45"/>
      <c r="R290" s="45"/>
      <c r="S290" s="43"/>
      <c r="T290" s="43" t="str">
        <f>IFERROR(__xludf.DUMMYFUNCTION("""COMPUTED_VALUE"""),"Marketing")</f>
        <v>Marketing</v>
      </c>
      <c r="U290" s="43" t="str">
        <f>IFERROR(__xludf.DUMMYFUNCTION("""COMPUTED_VALUE"""),"Marketing in EUROTRAY Company")</f>
        <v>Marketing in EUROTRAY Company</v>
      </c>
      <c r="V290" s="43" t="str">
        <f>IFERROR(__xludf.DUMMYFUNCTION("""COMPUTED_VALUE"""),"Islamabad - NUST (H-12)")</f>
        <v>Islamabad - NUST (H-12)</v>
      </c>
      <c r="W290" s="43" t="str">
        <f>IFERROR(__xludf.DUMMYFUNCTION("""COMPUTED_VALUE"""),"2023-11-10T07:23:23Z")</f>
        <v>2023-11-10T07:23:23Z</v>
      </c>
      <c r="X290" s="43"/>
      <c r="Y290" s="43"/>
      <c r="Z290" s="43"/>
    </row>
    <row r="291" hidden="1">
      <c r="A291" s="43" t="str">
        <f>IFERROR(__xludf.DUMMYFUNCTION("""COMPUTED_VALUE"""),"2598280_1291964")</f>
        <v>2598280_1291964</v>
      </c>
      <c r="B291" s="43" t="str">
        <f>IFERROR(__xludf.DUMMYFUNCTION("""COMPUTED_VALUE"""),"Luis Manuel Piña Colmenares")</f>
        <v>Luis Manuel Piña Colmenares</v>
      </c>
      <c r="C291" s="43" t="str">
        <f>IFERROR(__xludf.DUMMYFUNCTION("""COMPUTED_VALUE"""),"approved")</f>
        <v>approved</v>
      </c>
      <c r="D291" s="43" t="str">
        <f>IFERROR(__xludf.DUMMYFUNCTION("""COMPUTED_VALUE"""),"No")</f>
        <v>No</v>
      </c>
      <c r="E291" s="43" t="str">
        <f>IFERROR(__xludf.DUMMYFUNCTION("""COMPUTED_VALUE"""),"p_1d6f6ae1a3f158384e2fee0b7cd42b1d69a9e1fb@inbound.aiesec.org")</f>
        <v>p_1d6f6ae1a3f158384e2fee0b7cd42b1d69a9e1fb@inbound.aiesec.org</v>
      </c>
      <c r="F291" s="43">
        <f>IFERROR(__xludf.DUMMYFUNCTION("""COMPUTED_VALUE"""),4.245115991E9)</f>
        <v>4245115991</v>
      </c>
      <c r="G291" s="43" t="str">
        <f>IFERROR(__xludf.DUMMYFUNCTION("""COMPUTED_VALUE"""),"Venezuela")</f>
        <v>Venezuela</v>
      </c>
      <c r="H291" s="43" t="str">
        <f>IFERROR(__xludf.DUMMYFUNCTION("""COMPUTED_VALUE"""),"Barquisimeto")</f>
        <v>Barquisimeto</v>
      </c>
      <c r="I291" s="43" t="str">
        <f>IFERROR(__xludf.DUMMYFUNCTION("""COMPUTED_VALUE"""),"Turkey")</f>
        <v>Turkey</v>
      </c>
      <c r="J291" s="43" t="str">
        <f>IFERROR(__xludf.DUMMYFUNCTION("""COMPUTED_VALUE"""),"KOCAELI")</f>
        <v>KOCAELI</v>
      </c>
      <c r="K291" s="44" t="str">
        <f>IFERROR(__xludf.DUMMYFUNCTION("""COMPUTED_VALUE"""),"https://expa.aiesec.org/opportunities/1291964")</f>
        <v>https://expa.aiesec.org/opportunities/1291964</v>
      </c>
      <c r="L291" s="43" t="str">
        <f>IFERROR(__xludf.DUMMYFUNCTION("""COMPUTED_VALUE"""),"GTa")</f>
        <v>GTa</v>
      </c>
      <c r="M291" s="43" t="str">
        <f>IFERROR(__xludf.DUMMYFUNCTION("""COMPUTED_VALUE"""),"long")</f>
        <v>long</v>
      </c>
      <c r="N291" s="45">
        <f>IFERROR(__xludf.DUMMYFUNCTION("""COMPUTED_VALUE"""),45259.0)</f>
        <v>45259</v>
      </c>
      <c r="O291" s="45">
        <f>IFERROR(__xludf.DUMMYFUNCTION("""COMPUTED_VALUE"""),45262.0)</f>
        <v>45262</v>
      </c>
      <c r="P291" s="45">
        <f>IFERROR(__xludf.DUMMYFUNCTION("""COMPUTED_VALUE"""),45580.0)</f>
        <v>45580</v>
      </c>
      <c r="Q291" s="45"/>
      <c r="R291" s="45"/>
      <c r="S291" s="43"/>
      <c r="T291" s="43" t="str">
        <f>IFERROR(__xludf.DUMMYFUNCTION("""COMPUTED_VALUE"""),"Marketing")</f>
        <v>Marketing</v>
      </c>
      <c r="U291" s="43" t="str">
        <f>IFERROR(__xludf.DUMMYFUNCTION("""COMPUTED_VALUE"""),"Real Estate Agent in WASOTURK")</f>
        <v>Real Estate Agent in WASOTURK</v>
      </c>
      <c r="V291" s="43" t="str">
        <f>IFERROR(__xludf.DUMMYFUNCTION("""COMPUTED_VALUE"""),"Lara - Universidad Fermín Toro, Barquisimeto")</f>
        <v>Lara - Universidad Fermín Toro, Barquisimeto</v>
      </c>
      <c r="W291" s="43" t="str">
        <f>IFERROR(__xludf.DUMMYFUNCTION("""COMPUTED_VALUE"""),"2018-10-01T20:10:18Z")</f>
        <v>2018-10-01T20:10:18Z</v>
      </c>
      <c r="X291" s="43"/>
      <c r="Y291" s="43"/>
      <c r="Z291" s="43"/>
    </row>
    <row r="292" hidden="1">
      <c r="A292" s="43" t="str">
        <f>IFERROR(__xludf.DUMMYFUNCTION("""COMPUTED_VALUE"""),"5383012_1296304")</f>
        <v>5383012_1296304</v>
      </c>
      <c r="B292" s="43" t="str">
        <f>IFERROR(__xludf.DUMMYFUNCTION("""COMPUTED_VALUE"""),"Mariem Zidi")</f>
        <v>Mariem Zidi</v>
      </c>
      <c r="C292" s="43" t="str">
        <f>IFERROR(__xludf.DUMMYFUNCTION("""COMPUTED_VALUE"""),"approved")</f>
        <v>approved</v>
      </c>
      <c r="D292" s="43" t="str">
        <f>IFERROR(__xludf.DUMMYFUNCTION("""COMPUTED_VALUE"""),"No")</f>
        <v>No</v>
      </c>
      <c r="E292" s="43" t="str">
        <f>IFERROR(__xludf.DUMMYFUNCTION("""COMPUTED_VALUE"""),"p_c7460615642d55c64c95b7de2bd80a8e791cdc23@inbound.aiesec.org")</f>
        <v>p_c7460615642d55c64c95b7de2bd80a8e791cdc23@inbound.aiesec.org</v>
      </c>
      <c r="F292" s="43">
        <f>IFERROR(__xludf.DUMMYFUNCTION("""COMPUTED_VALUE"""),5.332246E7)</f>
        <v>53322460</v>
      </c>
      <c r="G292" s="43" t="str">
        <f>IFERROR(__xludf.DUMMYFUNCTION("""COMPUTED_VALUE"""),"Tunisia")</f>
        <v>Tunisia</v>
      </c>
      <c r="H292" s="43" t="str">
        <f>IFERROR(__xludf.DUMMYFUNCTION("""COMPUTED_VALUE"""),"HADRUMET")</f>
        <v>HADRUMET</v>
      </c>
      <c r="I292" s="43" t="str">
        <f>IFERROR(__xludf.DUMMYFUNCTION("""COMPUTED_VALUE"""),"Turkey")</f>
        <v>Turkey</v>
      </c>
      <c r="J292" s="43" t="str">
        <f>IFERROR(__xludf.DUMMYFUNCTION("""COMPUTED_VALUE"""),"İZMİR")</f>
        <v>İZMİR</v>
      </c>
      <c r="K292" s="44" t="str">
        <f>IFERROR(__xludf.DUMMYFUNCTION("""COMPUTED_VALUE"""),"https://expa.aiesec.org/opportunities/1296304")</f>
        <v>https://expa.aiesec.org/opportunities/1296304</v>
      </c>
      <c r="L292" s="43" t="str">
        <f>IFERROR(__xludf.DUMMYFUNCTION("""COMPUTED_VALUE"""),"GTa")</f>
        <v>GTa</v>
      </c>
      <c r="M292" s="43" t="str">
        <f>IFERROR(__xludf.DUMMYFUNCTION("""COMPUTED_VALUE"""),"long")</f>
        <v>long</v>
      </c>
      <c r="N292" s="45">
        <f>IFERROR(__xludf.DUMMYFUNCTION("""COMPUTED_VALUE"""),45260.0)</f>
        <v>45260</v>
      </c>
      <c r="O292" s="45">
        <f>IFERROR(__xludf.DUMMYFUNCTION("""COMPUTED_VALUE"""),45265.0)</f>
        <v>45265</v>
      </c>
      <c r="P292" s="45">
        <f>IFERROR(__xludf.DUMMYFUNCTION("""COMPUTED_VALUE"""),45630.0)</f>
        <v>45630</v>
      </c>
      <c r="Q292" s="45"/>
      <c r="R292" s="45"/>
      <c r="S292" s="43"/>
      <c r="T292" s="43" t="str">
        <f>IFERROR(__xludf.DUMMYFUNCTION("""COMPUTED_VALUE"""),"Other")</f>
        <v>Other</v>
      </c>
      <c r="U292" s="43" t="str">
        <f>IFERROR(__xludf.DUMMYFUNCTION("""COMPUTED_VALUE"""),"Customer Service")</f>
        <v>Customer Service</v>
      </c>
      <c r="V292" s="43" t="str">
        <f>IFERROR(__xludf.DUMMYFUNCTION("""COMPUTED_VALUE"""),"FSEG Sousse")</f>
        <v>FSEG Sousse</v>
      </c>
      <c r="W292" s="43" t="str">
        <f>IFERROR(__xludf.DUMMYFUNCTION("""COMPUTED_VALUE"""),"2023-11-30T10:17:36Z")</f>
        <v>2023-11-30T10:17:36Z</v>
      </c>
      <c r="X292" s="43"/>
      <c r="Y292" s="43"/>
      <c r="Z292" s="43"/>
    </row>
    <row r="293" hidden="1">
      <c r="A293" s="43" t="str">
        <f>IFERROR(__xludf.DUMMYFUNCTION("""COMPUTED_VALUE"""),"5381901_1292878")</f>
        <v>5381901_1292878</v>
      </c>
      <c r="B293" s="43" t="str">
        <f>IFERROR(__xludf.DUMMYFUNCTION("""COMPUTED_VALUE"""),"Talimano Telaumbanua")</f>
        <v>Talimano Telaumbanua</v>
      </c>
      <c r="C293" s="43" t="str">
        <f>IFERROR(__xludf.DUMMYFUNCTION("""COMPUTED_VALUE"""),"approved")</f>
        <v>approved</v>
      </c>
      <c r="D293" s="43" t="str">
        <f>IFERROR(__xludf.DUMMYFUNCTION("""COMPUTED_VALUE"""),"No")</f>
        <v>No</v>
      </c>
      <c r="E293" s="43" t="str">
        <f>IFERROR(__xludf.DUMMYFUNCTION("""COMPUTED_VALUE"""),"p_4215403b4ff39dcbae7deed0bcfda4ebe8990a96@inbound.aiesec.org")</f>
        <v>p_4215403b4ff39dcbae7deed0bcfda4ebe8990a96@inbound.aiesec.org</v>
      </c>
      <c r="F293" s="43"/>
      <c r="G293" s="43" t="str">
        <f>IFERROR(__xludf.DUMMYFUNCTION("""COMPUTED_VALUE"""),"Indonesia")</f>
        <v>Indonesia</v>
      </c>
      <c r="H293" s="43" t="str">
        <f>IFERROR(__xludf.DUMMYFUNCTION("""COMPUTED_VALUE"""),"Bandung")</f>
        <v>Bandung</v>
      </c>
      <c r="I293" s="43" t="str">
        <f>IFERROR(__xludf.DUMMYFUNCTION("""COMPUTED_VALUE"""),"Turkey")</f>
        <v>Turkey</v>
      </c>
      <c r="J293" s="43" t="str">
        <f>IFERROR(__xludf.DUMMYFUNCTION("""COMPUTED_VALUE"""),"KOCAELI")</f>
        <v>KOCAELI</v>
      </c>
      <c r="K293" s="44" t="str">
        <f>IFERROR(__xludf.DUMMYFUNCTION("""COMPUTED_VALUE"""),"https://expa.aiesec.org/opportunities/1292878")</f>
        <v>https://expa.aiesec.org/opportunities/1292878</v>
      </c>
      <c r="L293" s="43" t="str">
        <f>IFERROR(__xludf.DUMMYFUNCTION("""COMPUTED_VALUE"""),"GTa")</f>
        <v>GTa</v>
      </c>
      <c r="M293" s="43" t="str">
        <f>IFERROR(__xludf.DUMMYFUNCTION("""COMPUTED_VALUE"""),"short")</f>
        <v>short</v>
      </c>
      <c r="N293" s="45">
        <f>IFERROR(__xludf.DUMMYFUNCTION("""COMPUTED_VALUE"""),45260.0)</f>
        <v>45260</v>
      </c>
      <c r="O293" s="45">
        <f>IFERROR(__xludf.DUMMYFUNCTION("""COMPUTED_VALUE"""),45320.0)</f>
        <v>45320</v>
      </c>
      <c r="P293" s="45">
        <f>IFERROR(__xludf.DUMMYFUNCTION("""COMPUTED_VALUE"""),45362.0)</f>
        <v>45362</v>
      </c>
      <c r="Q293" s="45"/>
      <c r="R293" s="45"/>
      <c r="S293" s="43"/>
      <c r="T293" s="43" t="str">
        <f>IFERROR(__xludf.DUMMYFUNCTION("""COMPUTED_VALUE"""),"Marketing")</f>
        <v>Marketing</v>
      </c>
      <c r="U293" s="43" t="str">
        <f>IFERROR(__xludf.DUMMYFUNCTION("""COMPUTED_VALUE"""),"Marketing Specialist in Aliz Team")</f>
        <v>Marketing Specialist in Aliz Team</v>
      </c>
      <c r="V293" s="43" t="str">
        <f>IFERROR(__xludf.DUMMYFUNCTION("""COMPUTED_VALUE"""),"-")</f>
        <v>-</v>
      </c>
      <c r="W293" s="43" t="str">
        <f>IFERROR(__xludf.DUMMYFUNCTION("""COMPUTED_VALUE"""),"2023-11-28T17:58:49Z")</f>
        <v>2023-11-28T17:58:49Z</v>
      </c>
      <c r="X293" s="43"/>
      <c r="Y293" s="43"/>
      <c r="Z293" s="43"/>
    </row>
    <row r="294" hidden="1">
      <c r="A294" s="43" t="str">
        <f>IFERROR(__xludf.DUMMYFUNCTION("""COMPUTED_VALUE"""),"5383182_1301141")</f>
        <v>5383182_1301141</v>
      </c>
      <c r="B294" s="43" t="str">
        <f>IFERROR(__xludf.DUMMYFUNCTION("""COMPUTED_VALUE"""),"BELAL IBRAHIM")</f>
        <v>BELAL IBRAHIM</v>
      </c>
      <c r="C294" s="43" t="str">
        <f>IFERROR(__xludf.DUMMYFUNCTION("""COMPUTED_VALUE"""),"realized")</f>
        <v>realized</v>
      </c>
      <c r="D294" s="43" t="str">
        <f>IFERROR(__xludf.DUMMYFUNCTION("""COMPUTED_VALUE"""),"No")</f>
        <v>No</v>
      </c>
      <c r="E294" s="43" t="str">
        <f>IFERROR(__xludf.DUMMYFUNCTION("""COMPUTED_VALUE"""),"p_6a0d97521da9497ec33da5ea5e5b98d723ec1164@inbound.aiesec.org")</f>
        <v>p_6a0d97521da9497ec33da5ea5e5b98d723ec1164@inbound.aiesec.org</v>
      </c>
      <c r="F294" s="43">
        <f>IFERROR(__xludf.DUMMYFUNCTION("""COMPUTED_VALUE"""),1.066828901E9)</f>
        <v>1066828901</v>
      </c>
      <c r="G294" s="43" t="str">
        <f>IFERROR(__xludf.DUMMYFUNCTION("""COMPUTED_VALUE"""),"Egypt")</f>
        <v>Egypt</v>
      </c>
      <c r="H294" s="43" t="str">
        <f>IFERROR(__xludf.DUMMYFUNCTION("""COMPUTED_VALUE"""),"AAST In CAIRO")</f>
        <v>AAST In CAIRO</v>
      </c>
      <c r="I294" s="43" t="str">
        <f>IFERROR(__xludf.DUMMYFUNCTION("""COMPUTED_VALUE"""),"Turkey")</f>
        <v>Turkey</v>
      </c>
      <c r="J294" s="43" t="str">
        <f>IFERROR(__xludf.DUMMYFUNCTION("""COMPUTED_VALUE"""),"İZMİR")</f>
        <v>İZMİR</v>
      </c>
      <c r="K294" s="44" t="str">
        <f>IFERROR(__xludf.DUMMYFUNCTION("""COMPUTED_VALUE"""),"https://expa.aiesec.org/opportunities/1301141")</f>
        <v>https://expa.aiesec.org/opportunities/1301141</v>
      </c>
      <c r="L294" s="43" t="str">
        <f>IFERROR(__xludf.DUMMYFUNCTION("""COMPUTED_VALUE"""),"GTa")</f>
        <v>GTa</v>
      </c>
      <c r="M294" s="43" t="str">
        <f>IFERROR(__xludf.DUMMYFUNCTION("""COMPUTED_VALUE"""),"medium")</f>
        <v>medium</v>
      </c>
      <c r="N294" s="45">
        <f>IFERROR(__xludf.DUMMYFUNCTION("""COMPUTED_VALUE"""),45260.0)</f>
        <v>45260</v>
      </c>
      <c r="O294" s="45">
        <f>IFERROR(__xludf.DUMMYFUNCTION("""COMPUTED_VALUE"""),45292.0)</f>
        <v>45292</v>
      </c>
      <c r="P294" s="45">
        <f>IFERROR(__xludf.DUMMYFUNCTION("""COMPUTED_VALUE"""),45473.0)</f>
        <v>45473</v>
      </c>
      <c r="Q294" s="45">
        <f>IFERROR(__xludf.DUMMYFUNCTION("""COMPUTED_VALUE"""),45297.0)</f>
        <v>45297</v>
      </c>
      <c r="R294" s="45">
        <f>IFERROR(__xludf.DUMMYFUNCTION("""COMPUTED_VALUE"""),45478.0)</f>
        <v>45478</v>
      </c>
      <c r="S294" s="43"/>
      <c r="T294" s="43" t="str">
        <f>IFERROR(__xludf.DUMMYFUNCTION("""COMPUTED_VALUE"""),"Engineering")</f>
        <v>Engineering</v>
      </c>
      <c r="U294" s="43" t="str">
        <f>IFERROR(__xludf.DUMMYFUNCTION("""COMPUTED_VALUE"""),"Architect")</f>
        <v>Architect</v>
      </c>
      <c r="V294" s="43" t="str">
        <f>IFERROR(__xludf.DUMMYFUNCTION("""COMPUTED_VALUE"""),"AAST in Cairo Univeristy")</f>
        <v>AAST in Cairo Univeristy</v>
      </c>
      <c r="W294" s="43" t="str">
        <f>IFERROR(__xludf.DUMMYFUNCTION("""COMPUTED_VALUE"""),"2023-11-30T14:03:29Z")</f>
        <v>2023-11-30T14:03:29Z</v>
      </c>
      <c r="X294" s="43"/>
      <c r="Y294" s="43"/>
      <c r="Z294" s="43"/>
    </row>
    <row r="295" hidden="1">
      <c r="A295" s="43" t="str">
        <f>IFERROR(__xludf.DUMMYFUNCTION("""COMPUTED_VALUE"""),"5128576_1298885")</f>
        <v>5128576_1298885</v>
      </c>
      <c r="B295" s="43" t="str">
        <f>IFERROR(__xludf.DUMMYFUNCTION("""COMPUTED_VALUE"""),"Jennifer Mayo")</f>
        <v>Jennifer Mayo</v>
      </c>
      <c r="C295" s="43" t="str">
        <f>IFERROR(__xludf.DUMMYFUNCTION("""COMPUTED_VALUE"""),"realized")</f>
        <v>realized</v>
      </c>
      <c r="D295" s="43" t="str">
        <f>IFERROR(__xludf.DUMMYFUNCTION("""COMPUTED_VALUE"""),"No")</f>
        <v>No</v>
      </c>
      <c r="E295" s="43" t="str">
        <f>IFERROR(__xludf.DUMMYFUNCTION("""COMPUTED_VALUE"""),"p_2e718d7ede9a9b9376ac96d5b80fa7c3a4194eac@inbound.aiesec.org")</f>
        <v>p_2e718d7ede9a9b9376ac96d5b80fa7c3a4194eac@inbound.aiesec.org</v>
      </c>
      <c r="F295" s="43">
        <f>IFERROR(__xludf.DUMMYFUNCTION("""COMPUTED_VALUE"""),9.93666227E8)</f>
        <v>993666227</v>
      </c>
      <c r="G295" s="43" t="str">
        <f>IFERROR(__xludf.DUMMYFUNCTION("""COMPUTED_VALUE"""),"Peru")</f>
        <v>Peru</v>
      </c>
      <c r="H295" s="43" t="str">
        <f>IFERROR(__xludf.DUMMYFUNCTION("""COMPUTED_VALUE"""),"Lima")</f>
        <v>Lima</v>
      </c>
      <c r="I295" s="43" t="str">
        <f>IFERROR(__xludf.DUMMYFUNCTION("""COMPUTED_VALUE"""),"Turkey")</f>
        <v>Turkey</v>
      </c>
      <c r="J295" s="43" t="str">
        <f>IFERROR(__xludf.DUMMYFUNCTION("""COMPUTED_VALUE"""),"KONYA")</f>
        <v>KONYA</v>
      </c>
      <c r="K295" s="44" t="str">
        <f>IFERROR(__xludf.DUMMYFUNCTION("""COMPUTED_VALUE"""),"https://expa.aiesec.org/opportunities/1298885")</f>
        <v>https://expa.aiesec.org/opportunities/1298885</v>
      </c>
      <c r="L295" s="43" t="str">
        <f>IFERROR(__xludf.DUMMYFUNCTION("""COMPUTED_VALUE"""),"GTa")</f>
        <v>GTa</v>
      </c>
      <c r="M295" s="43" t="str">
        <f>IFERROR(__xludf.DUMMYFUNCTION("""COMPUTED_VALUE"""),"long")</f>
        <v>long</v>
      </c>
      <c r="N295" s="45">
        <f>IFERROR(__xludf.DUMMYFUNCTION("""COMPUTED_VALUE"""),45262.0)</f>
        <v>45262</v>
      </c>
      <c r="O295" s="45">
        <f>IFERROR(__xludf.DUMMYFUNCTION("""COMPUTED_VALUE"""),45231.0)</f>
        <v>45231</v>
      </c>
      <c r="P295" s="45">
        <f>IFERROR(__xludf.DUMMYFUNCTION("""COMPUTED_VALUE"""),45596.0)</f>
        <v>45596</v>
      </c>
      <c r="Q295" s="45">
        <f>IFERROR(__xludf.DUMMYFUNCTION("""COMPUTED_VALUE"""),45269.0)</f>
        <v>45269</v>
      </c>
      <c r="R295" s="45">
        <f>IFERROR(__xludf.DUMMYFUNCTION("""COMPUTED_VALUE"""),45634.0)</f>
        <v>45634</v>
      </c>
      <c r="S295" s="43"/>
      <c r="T295" s="43" t="str">
        <f>IFERROR(__xludf.DUMMYFUNCTION("""COMPUTED_VALUE"""),"Business Development")</f>
        <v>Business Development</v>
      </c>
      <c r="U295" s="43" t="str">
        <f>IFERROR(__xludf.DUMMYFUNCTION("""COMPUTED_VALUE"""),"Export Specialist at Agrowork")</f>
        <v>Export Specialist at Agrowork</v>
      </c>
      <c r="V295" s="43" t="str">
        <f>IFERROR(__xludf.DUMMYFUNCTION("""COMPUTED_VALUE"""),"Lima - Universidad San Ignacio de Loyola")</f>
        <v>Lima - Universidad San Ignacio de Loyola</v>
      </c>
      <c r="W295" s="43" t="str">
        <f>IFERROR(__xludf.DUMMYFUNCTION("""COMPUTED_VALUE"""),"2022-10-10T00:52:56Z")</f>
        <v>2022-10-10T00:52:56Z</v>
      </c>
      <c r="X295" s="43"/>
      <c r="Y295" s="43"/>
      <c r="Z295" s="43"/>
    </row>
    <row r="296" hidden="1">
      <c r="A296" s="43" t="str">
        <f>IFERROR(__xludf.DUMMYFUNCTION("""COMPUTED_VALUE"""),"5386360_1265080")</f>
        <v>5386360_1265080</v>
      </c>
      <c r="B296" s="43" t="str">
        <f>IFERROR(__xludf.DUMMYFUNCTION("""COMPUTED_VALUE"""),"rim machdoud")</f>
        <v>rim machdoud</v>
      </c>
      <c r="C296" s="43" t="str">
        <f>IFERROR(__xludf.DUMMYFUNCTION("""COMPUTED_VALUE"""),"approved")</f>
        <v>approved</v>
      </c>
      <c r="D296" s="43" t="str">
        <f>IFERROR(__xludf.DUMMYFUNCTION("""COMPUTED_VALUE"""),"No")</f>
        <v>No</v>
      </c>
      <c r="E296" s="43" t="str">
        <f>IFERROR(__xludf.DUMMYFUNCTION("""COMPUTED_VALUE"""),"p_7d11b7ff12605ccc36629cb47837a45105b5dc6d@inbound.aiesec.org")</f>
        <v>p_7d11b7ff12605ccc36629cb47837a45105b5dc6d@inbound.aiesec.org</v>
      </c>
      <c r="F296" s="43">
        <f>IFERROR(__xludf.DUMMYFUNCTION("""COMPUTED_VALUE"""),7.02135807E8)</f>
        <v>702135807</v>
      </c>
      <c r="G296" s="43" t="str">
        <f>IFERROR(__xludf.DUMMYFUNCTION("""COMPUTED_VALUE"""),"Morocco")</f>
        <v>Morocco</v>
      </c>
      <c r="H296" s="43" t="str">
        <f>IFERROR(__xludf.DUMMYFUNCTION("""COMPUTED_VALUE"""),"Kenitra")</f>
        <v>Kenitra</v>
      </c>
      <c r="I296" s="43" t="str">
        <f>IFERROR(__xludf.DUMMYFUNCTION("""COMPUTED_VALUE"""),"Turkey")</f>
        <v>Turkey</v>
      </c>
      <c r="J296" s="43" t="str">
        <f>IFERROR(__xludf.DUMMYFUNCTION("""COMPUTED_VALUE"""),"ISTANBUL")</f>
        <v>ISTANBUL</v>
      </c>
      <c r="K296" s="44" t="str">
        <f>IFERROR(__xludf.DUMMYFUNCTION("""COMPUTED_VALUE"""),"https://expa.aiesec.org/opportunities/1265080")</f>
        <v>https://expa.aiesec.org/opportunities/1265080</v>
      </c>
      <c r="L296" s="43" t="str">
        <f>IFERROR(__xludf.DUMMYFUNCTION("""COMPUTED_VALUE"""),"GTa")</f>
        <v>GTa</v>
      </c>
      <c r="M296" s="43" t="str">
        <f>IFERROR(__xludf.DUMMYFUNCTION("""COMPUTED_VALUE"""),"short")</f>
        <v>short</v>
      </c>
      <c r="N296" s="45">
        <f>IFERROR(__xludf.DUMMYFUNCTION("""COMPUTED_VALUE"""),45267.0)</f>
        <v>45267</v>
      </c>
      <c r="O296" s="45">
        <f>IFERROR(__xludf.DUMMYFUNCTION("""COMPUTED_VALUE"""),45306.0)</f>
        <v>45306</v>
      </c>
      <c r="P296" s="45">
        <f>IFERROR(__xludf.DUMMYFUNCTION("""COMPUTED_VALUE"""),45387.0)</f>
        <v>45387</v>
      </c>
      <c r="Q296" s="45"/>
      <c r="R296" s="45"/>
      <c r="S296" s="43"/>
      <c r="T296" s="43" t="str">
        <f>IFERROR(__xludf.DUMMYFUNCTION("""COMPUTED_VALUE"""),"Business Development")</f>
        <v>Business Development</v>
      </c>
      <c r="U296" s="43" t="str">
        <f>IFERROR(__xludf.DUMMYFUNCTION("""COMPUTED_VALUE"""),"Foreign Trade Responsible in Istanbul ")</f>
        <v>Foreign Trade Responsible in Istanbul </v>
      </c>
      <c r="V296" s="43" t="str">
        <f>IFERROR(__xludf.DUMMYFUNCTION("""COMPUTED_VALUE"""),"Ecole Nationale De Commerce Et De Gestion Kenitra (ENCGK)")</f>
        <v>Ecole Nationale De Commerce Et De Gestion Kenitra (ENCGK)</v>
      </c>
      <c r="W296" s="43" t="str">
        <f>IFERROR(__xludf.DUMMYFUNCTION("""COMPUTED_VALUE"""),"2023-12-06T16:26:05Z")</f>
        <v>2023-12-06T16:26:05Z</v>
      </c>
      <c r="X296" s="43"/>
      <c r="Y296" s="43"/>
      <c r="Z296" s="43"/>
    </row>
    <row r="297" hidden="1">
      <c r="A297" s="43" t="str">
        <f>IFERROR(__xludf.DUMMYFUNCTION("""COMPUTED_VALUE"""),"5184483_1301515")</f>
        <v>5184483_1301515</v>
      </c>
      <c r="B297" s="43" t="str">
        <f>IFERROR(__xludf.DUMMYFUNCTION("""COMPUTED_VALUE"""),"Aya Khalid")</f>
        <v>Aya Khalid</v>
      </c>
      <c r="C297" s="43" t="str">
        <f>IFERROR(__xludf.DUMMYFUNCTION("""COMPUTED_VALUE"""),"approved")</f>
        <v>approved</v>
      </c>
      <c r="D297" s="43" t="str">
        <f>IFERROR(__xludf.DUMMYFUNCTION("""COMPUTED_VALUE"""),"No")</f>
        <v>No</v>
      </c>
      <c r="E297" s="43" t="str">
        <f>IFERROR(__xludf.DUMMYFUNCTION("""COMPUTED_VALUE"""),"p_499f2c5738331eb0a3655e28a5cd9cabca186d0b@inbound.aiesec.org")</f>
        <v>p_499f2c5738331eb0a3655e28a5cd9cabca186d0b@inbound.aiesec.org</v>
      </c>
      <c r="F297" s="43"/>
      <c r="G297" s="43" t="str">
        <f>IFERROR(__xludf.DUMMYFUNCTION("""COMPUTED_VALUE"""),"Morocco")</f>
        <v>Morocco</v>
      </c>
      <c r="H297" s="43" t="str">
        <f>IFERROR(__xludf.DUMMYFUNCTION("""COMPUTED_VALUE"""),"Morocco (MC)")</f>
        <v>Morocco (MC)</v>
      </c>
      <c r="I297" s="43" t="str">
        <f>IFERROR(__xludf.DUMMYFUNCTION("""COMPUTED_VALUE"""),"Turkey")</f>
        <v>Turkey</v>
      </c>
      <c r="J297" s="43" t="str">
        <f>IFERROR(__xludf.DUMMYFUNCTION("""COMPUTED_VALUE"""),"KOCAELI")</f>
        <v>KOCAELI</v>
      </c>
      <c r="K297" s="44" t="str">
        <f>IFERROR(__xludf.DUMMYFUNCTION("""COMPUTED_VALUE"""),"https://expa.aiesec.org/opportunities/1301515")</f>
        <v>https://expa.aiesec.org/opportunities/1301515</v>
      </c>
      <c r="L297" s="43" t="str">
        <f>IFERROR(__xludf.DUMMYFUNCTION("""COMPUTED_VALUE"""),"GTa")</f>
        <v>GTa</v>
      </c>
      <c r="M297" s="43" t="str">
        <f>IFERROR(__xludf.DUMMYFUNCTION("""COMPUTED_VALUE"""),"long")</f>
        <v>long</v>
      </c>
      <c r="N297" s="45">
        <f>IFERROR(__xludf.DUMMYFUNCTION("""COMPUTED_VALUE"""),45268.0)</f>
        <v>45268</v>
      </c>
      <c r="O297" s="45">
        <f>IFERROR(__xludf.DUMMYFUNCTION("""COMPUTED_VALUE"""),45292.0)</f>
        <v>45292</v>
      </c>
      <c r="P297" s="45">
        <f>IFERROR(__xludf.DUMMYFUNCTION("""COMPUTED_VALUE"""),45658.0)</f>
        <v>45658</v>
      </c>
      <c r="Q297" s="45"/>
      <c r="R297" s="45"/>
      <c r="S297" s="43"/>
      <c r="T297" s="43" t="str">
        <f>IFERROR(__xludf.DUMMYFUNCTION("""COMPUTED_VALUE"""),"Other")</f>
        <v>Other</v>
      </c>
      <c r="U297" s="43" t="str">
        <f>IFERROR(__xludf.DUMMYFUNCTION("""COMPUTED_VALUE"""),"Real Estate Agent in OZR Projects")</f>
        <v>Real Estate Agent in OZR Projects</v>
      </c>
      <c r="V297" s="43" t="str">
        <f>IFERROR(__xludf.DUMMYFUNCTION("""COMPUTED_VALUE"""),"-")</f>
        <v>-</v>
      </c>
      <c r="W297" s="43" t="str">
        <f>IFERROR(__xludf.DUMMYFUNCTION("""COMPUTED_VALUE"""),"2023-02-02T20:48:12Z")</f>
        <v>2023-02-02T20:48:12Z</v>
      </c>
      <c r="X297" s="43"/>
      <c r="Y297" s="43"/>
      <c r="Z297" s="43"/>
    </row>
    <row r="298" hidden="1">
      <c r="A298" s="43" t="str">
        <f>IFERROR(__xludf.DUMMYFUNCTION("""COMPUTED_VALUE"""),"5222243_1301140")</f>
        <v>5222243_1301140</v>
      </c>
      <c r="B298" s="43" t="str">
        <f>IFERROR(__xludf.DUMMYFUNCTION("""COMPUTED_VALUE"""),"Salma Hallab")</f>
        <v>Salma Hallab</v>
      </c>
      <c r="C298" s="43" t="str">
        <f>IFERROR(__xludf.DUMMYFUNCTION("""COMPUTED_VALUE"""),"realized")</f>
        <v>realized</v>
      </c>
      <c r="D298" s="43" t="str">
        <f>IFERROR(__xludf.DUMMYFUNCTION("""COMPUTED_VALUE"""),"No")</f>
        <v>No</v>
      </c>
      <c r="E298" s="43" t="str">
        <f>IFERROR(__xludf.DUMMYFUNCTION("""COMPUTED_VALUE"""),"p_dacf1298b9d3e1bcaf6fca7bbe741d1e85cad3e3@inbound.aiesec.org")</f>
        <v>p_dacf1298b9d3e1bcaf6fca7bbe741d1e85cad3e3@inbound.aiesec.org</v>
      </c>
      <c r="F298" s="43">
        <f>IFERROR(__xludf.DUMMYFUNCTION("""COMPUTED_VALUE"""),7.67259935E8)</f>
        <v>767259935</v>
      </c>
      <c r="G298" s="43" t="str">
        <f>IFERROR(__xludf.DUMMYFUNCTION("""COMPUTED_VALUE"""),"Morocco")</f>
        <v>Morocco</v>
      </c>
      <c r="H298" s="43" t="str">
        <f>IFERROR(__xludf.DUMMYFUNCTION("""COMPUTED_VALUE"""),"Casablanca")</f>
        <v>Casablanca</v>
      </c>
      <c r="I298" s="43" t="str">
        <f>IFERROR(__xludf.DUMMYFUNCTION("""COMPUTED_VALUE"""),"Turkey")</f>
        <v>Turkey</v>
      </c>
      <c r="J298" s="43" t="str">
        <f>IFERROR(__xludf.DUMMYFUNCTION("""COMPUTED_VALUE"""),"İZMİR")</f>
        <v>İZMİR</v>
      </c>
      <c r="K298" s="44" t="str">
        <f>IFERROR(__xludf.DUMMYFUNCTION("""COMPUTED_VALUE"""),"https://expa.aiesec.org/opportunities/1301140")</f>
        <v>https://expa.aiesec.org/opportunities/1301140</v>
      </c>
      <c r="L298" s="43" t="str">
        <f>IFERROR(__xludf.DUMMYFUNCTION("""COMPUTED_VALUE"""),"GTa")</f>
        <v>GTa</v>
      </c>
      <c r="M298" s="43" t="str">
        <f>IFERROR(__xludf.DUMMYFUNCTION("""COMPUTED_VALUE"""),"medium")</f>
        <v>medium</v>
      </c>
      <c r="N298" s="45">
        <f>IFERROR(__xludf.DUMMYFUNCTION("""COMPUTED_VALUE"""),45268.0)</f>
        <v>45268</v>
      </c>
      <c r="O298" s="45">
        <f>IFERROR(__xludf.DUMMYFUNCTION("""COMPUTED_VALUE"""),45292.0)</f>
        <v>45292</v>
      </c>
      <c r="P298" s="45">
        <f>IFERROR(__xludf.DUMMYFUNCTION("""COMPUTED_VALUE"""),45473.0)</f>
        <v>45473</v>
      </c>
      <c r="Q298" s="45">
        <f>IFERROR(__xludf.DUMMYFUNCTION("""COMPUTED_VALUE"""),45297.0)</f>
        <v>45297</v>
      </c>
      <c r="R298" s="45">
        <f>IFERROR(__xludf.DUMMYFUNCTION("""COMPUTED_VALUE"""),45478.0)</f>
        <v>45478</v>
      </c>
      <c r="S298" s="43"/>
      <c r="T298" s="43" t="str">
        <f>IFERROR(__xludf.DUMMYFUNCTION("""COMPUTED_VALUE"""),"Business Development")</f>
        <v>Business Development</v>
      </c>
      <c r="U298" s="43" t="str">
        <f>IFERROR(__xludf.DUMMYFUNCTION("""COMPUTED_VALUE"""),"Sales")</f>
        <v>Sales</v>
      </c>
      <c r="V298" s="43" t="str">
        <f>IFERROR(__xludf.DUMMYFUNCTION("""COMPUTED_VALUE"""),"Other-CASABLANCA")</f>
        <v>Other-CASABLANCA</v>
      </c>
      <c r="W298" s="43" t="str">
        <f>IFERROR(__xludf.DUMMYFUNCTION("""COMPUTED_VALUE"""),"2023-03-21T04:16:41Z")</f>
        <v>2023-03-21T04:16:41Z</v>
      </c>
      <c r="X298" s="43"/>
      <c r="Y298" s="43"/>
      <c r="Z298" s="43"/>
    </row>
    <row r="299" hidden="1">
      <c r="A299" s="43" t="str">
        <f>IFERROR(__xludf.DUMMYFUNCTION("""COMPUTED_VALUE"""),"5387279_1299952")</f>
        <v>5387279_1299952</v>
      </c>
      <c r="B299" s="43" t="str">
        <f>IFERROR(__xludf.DUMMYFUNCTION("""COMPUTED_VALUE"""),"Dorcas Ogunloye")</f>
        <v>Dorcas Ogunloye</v>
      </c>
      <c r="C299" s="43" t="str">
        <f>IFERROR(__xludf.DUMMYFUNCTION("""COMPUTED_VALUE"""),"approved")</f>
        <v>approved</v>
      </c>
      <c r="D299" s="43" t="str">
        <f>IFERROR(__xludf.DUMMYFUNCTION("""COMPUTED_VALUE"""),"No")</f>
        <v>No</v>
      </c>
      <c r="E299" s="43" t="str">
        <f>IFERROR(__xludf.DUMMYFUNCTION("""COMPUTED_VALUE"""),"p_6779ee99e3fe38f4e0adea70b506c19b985213b4@inbound.aiesec.org")</f>
        <v>p_6779ee99e3fe38f4e0adea70b506c19b985213b4@inbound.aiesec.org</v>
      </c>
      <c r="F299" s="43"/>
      <c r="G299" s="43" t="str">
        <f>IFERROR(__xludf.DUMMYFUNCTION("""COMPUTED_VALUE"""),"Germany")</f>
        <v>Germany</v>
      </c>
      <c r="H299" s="43" t="str">
        <f>IFERROR(__xludf.DUMMYFUNCTION("""COMPUTED_VALUE"""),"AACHEN")</f>
        <v>AACHEN</v>
      </c>
      <c r="I299" s="43" t="str">
        <f>IFERROR(__xludf.DUMMYFUNCTION("""COMPUTED_VALUE"""),"Turkey")</f>
        <v>Turkey</v>
      </c>
      <c r="J299" s="43" t="str">
        <f>IFERROR(__xludf.DUMMYFUNCTION("""COMPUTED_VALUE"""),"BURSA")</f>
        <v>BURSA</v>
      </c>
      <c r="K299" s="44" t="str">
        <f>IFERROR(__xludf.DUMMYFUNCTION("""COMPUTED_VALUE"""),"https://expa.aiesec.org/opportunities/1299952")</f>
        <v>https://expa.aiesec.org/opportunities/1299952</v>
      </c>
      <c r="L299" s="43" t="str">
        <f>IFERROR(__xludf.DUMMYFUNCTION("""COMPUTED_VALUE"""),"GTa")</f>
        <v>GTa</v>
      </c>
      <c r="M299" s="43" t="str">
        <f>IFERROR(__xludf.DUMMYFUNCTION("""COMPUTED_VALUE"""),"medium")</f>
        <v>medium</v>
      </c>
      <c r="N299" s="45">
        <f>IFERROR(__xludf.DUMMYFUNCTION("""COMPUTED_VALUE"""),45270.0)</f>
        <v>45270</v>
      </c>
      <c r="O299" s="45">
        <f>IFERROR(__xludf.DUMMYFUNCTION("""COMPUTED_VALUE"""),45323.0)</f>
        <v>45323</v>
      </c>
      <c r="P299" s="45">
        <f>IFERROR(__xludf.DUMMYFUNCTION("""COMPUTED_VALUE"""),45444.0)</f>
        <v>45444</v>
      </c>
      <c r="Q299" s="45"/>
      <c r="R299" s="45"/>
      <c r="S299" s="43"/>
      <c r="T299" s="43" t="str">
        <f>IFERROR(__xludf.DUMMYFUNCTION("""COMPUTED_VALUE"""),"Marketing")</f>
        <v>Marketing</v>
      </c>
      <c r="U299" s="43" t="str">
        <f>IFERROR(__xludf.DUMMYFUNCTION("""COMPUTED_VALUE"""),"Digital Marketing")</f>
        <v>Digital Marketing</v>
      </c>
      <c r="V299" s="43" t="str">
        <f>IFERROR(__xludf.DUMMYFUNCTION("""COMPUTED_VALUE"""),"-")</f>
        <v>-</v>
      </c>
      <c r="W299" s="43" t="str">
        <f>IFERROR(__xludf.DUMMYFUNCTION("""COMPUTED_VALUE"""),"2023-12-08T11:29:45Z")</f>
        <v>2023-12-08T11:29:45Z</v>
      </c>
      <c r="X299" s="43"/>
      <c r="Y299" s="43"/>
      <c r="Z299" s="43"/>
    </row>
    <row r="300" hidden="1">
      <c r="A300" s="43" t="str">
        <f>IFERROR(__xludf.DUMMYFUNCTION("""COMPUTED_VALUE"""),"5382517_1292878")</f>
        <v>5382517_1292878</v>
      </c>
      <c r="B300" s="43" t="str">
        <f>IFERROR(__xludf.DUMMYFUNCTION("""COMPUTED_VALUE"""),"Muhammad Ali Husein")</f>
        <v>Muhammad Ali Husein</v>
      </c>
      <c r="C300" s="43" t="str">
        <f>IFERROR(__xludf.DUMMYFUNCTION("""COMPUTED_VALUE"""),"approved")</f>
        <v>approved</v>
      </c>
      <c r="D300" s="43" t="str">
        <f>IFERROR(__xludf.DUMMYFUNCTION("""COMPUTED_VALUE"""),"No")</f>
        <v>No</v>
      </c>
      <c r="E300" s="43" t="str">
        <f>IFERROR(__xludf.DUMMYFUNCTION("""COMPUTED_VALUE"""),"p_891d229a12390c673ccc43db9e8031a26c197197@inbound.aiesec.org")</f>
        <v>p_891d229a12390c673ccc43db9e8031a26c197197@inbound.aiesec.org</v>
      </c>
      <c r="F300" s="43">
        <f>IFERROR(__xludf.DUMMYFUNCTION("""COMPUTED_VALUE"""),8.22270152E10)</f>
        <v>82227015200</v>
      </c>
      <c r="G300" s="43" t="str">
        <f>IFERROR(__xludf.DUMMYFUNCTION("""COMPUTED_VALUE"""),"Indonesia")</f>
        <v>Indonesia</v>
      </c>
      <c r="H300" s="43" t="str">
        <f>IFERROR(__xludf.DUMMYFUNCTION("""COMPUTED_VALUE"""),"Unsoed")</f>
        <v>Unsoed</v>
      </c>
      <c r="I300" s="43" t="str">
        <f>IFERROR(__xludf.DUMMYFUNCTION("""COMPUTED_VALUE"""),"Turkey")</f>
        <v>Turkey</v>
      </c>
      <c r="J300" s="43" t="str">
        <f>IFERROR(__xludf.DUMMYFUNCTION("""COMPUTED_VALUE"""),"KOCAELI")</f>
        <v>KOCAELI</v>
      </c>
      <c r="K300" s="44" t="str">
        <f>IFERROR(__xludf.DUMMYFUNCTION("""COMPUTED_VALUE"""),"https://expa.aiesec.org/opportunities/1292878")</f>
        <v>https://expa.aiesec.org/opportunities/1292878</v>
      </c>
      <c r="L300" s="43" t="str">
        <f>IFERROR(__xludf.DUMMYFUNCTION("""COMPUTED_VALUE"""),"GTa")</f>
        <v>GTa</v>
      </c>
      <c r="M300" s="43" t="str">
        <f>IFERROR(__xludf.DUMMYFUNCTION("""COMPUTED_VALUE"""),"short")</f>
        <v>short</v>
      </c>
      <c r="N300" s="45">
        <f>IFERROR(__xludf.DUMMYFUNCTION("""COMPUTED_VALUE"""),45270.0)</f>
        <v>45270</v>
      </c>
      <c r="O300" s="45">
        <f>IFERROR(__xludf.DUMMYFUNCTION("""COMPUTED_VALUE"""),45320.0)</f>
        <v>45320</v>
      </c>
      <c r="P300" s="45">
        <f>IFERROR(__xludf.DUMMYFUNCTION("""COMPUTED_VALUE"""),45362.0)</f>
        <v>45362</v>
      </c>
      <c r="Q300" s="45"/>
      <c r="R300" s="45"/>
      <c r="S300" s="43"/>
      <c r="T300" s="43" t="str">
        <f>IFERROR(__xludf.DUMMYFUNCTION("""COMPUTED_VALUE"""),"Marketing")</f>
        <v>Marketing</v>
      </c>
      <c r="U300" s="43" t="str">
        <f>IFERROR(__xludf.DUMMYFUNCTION("""COMPUTED_VALUE"""),"Marketing Specialist in Aliz Team")</f>
        <v>Marketing Specialist in Aliz Team</v>
      </c>
      <c r="V300" s="43" t="str">
        <f>IFERROR(__xludf.DUMMYFUNCTION("""COMPUTED_VALUE"""),"Universitas Jendral Soedirman")</f>
        <v>Universitas Jendral Soedirman</v>
      </c>
      <c r="W300" s="43" t="str">
        <f>IFERROR(__xludf.DUMMYFUNCTION("""COMPUTED_VALUE"""),"2023-11-29T14:52:19Z")</f>
        <v>2023-11-29T14:52:19Z</v>
      </c>
      <c r="X300" s="43"/>
      <c r="Y300" s="43"/>
      <c r="Z300" s="43"/>
    </row>
    <row r="301" hidden="1">
      <c r="A301" s="43" t="str">
        <f>IFERROR(__xludf.DUMMYFUNCTION("""COMPUTED_VALUE"""),"5244169_1300854")</f>
        <v>5244169_1300854</v>
      </c>
      <c r="B301" s="43" t="str">
        <f>IFERROR(__xludf.DUMMYFUNCTION("""COMPUTED_VALUE"""),"Fedi Jouini")</f>
        <v>Fedi Jouini</v>
      </c>
      <c r="C301" s="43" t="str">
        <f>IFERROR(__xludf.DUMMYFUNCTION("""COMPUTED_VALUE"""),"approved")</f>
        <v>approved</v>
      </c>
      <c r="D301" s="43" t="str">
        <f>IFERROR(__xludf.DUMMYFUNCTION("""COMPUTED_VALUE"""),"No")</f>
        <v>No</v>
      </c>
      <c r="E301" s="43" t="str">
        <f>IFERROR(__xludf.DUMMYFUNCTION("""COMPUTED_VALUE"""),"p_9d156f3369d345f08704031ade206b3eb96a9775@inbound.aiesec.org")</f>
        <v>p_9d156f3369d345f08704031ade206b3eb96a9775@inbound.aiesec.org</v>
      </c>
      <c r="F301" s="43">
        <f>IFERROR(__xludf.DUMMYFUNCTION("""COMPUTED_VALUE"""),2.6629623E7)</f>
        <v>26629623</v>
      </c>
      <c r="G301" s="43" t="str">
        <f>IFERROR(__xludf.DUMMYFUNCTION("""COMPUTED_VALUE"""),"Tunisia")</f>
        <v>Tunisia</v>
      </c>
      <c r="H301" s="43" t="str">
        <f>IFERROR(__xludf.DUMMYFUNCTION("""COMPUTED_VALUE"""),"BARDO")</f>
        <v>BARDO</v>
      </c>
      <c r="I301" s="43" t="str">
        <f>IFERROR(__xludf.DUMMYFUNCTION("""COMPUTED_VALUE"""),"Turkey")</f>
        <v>Turkey</v>
      </c>
      <c r="J301" s="43" t="str">
        <f>IFERROR(__xludf.DUMMYFUNCTION("""COMPUTED_VALUE"""),"BURSA")</f>
        <v>BURSA</v>
      </c>
      <c r="K301" s="44" t="str">
        <f>IFERROR(__xludf.DUMMYFUNCTION("""COMPUTED_VALUE"""),"https://expa.aiesec.org/opportunities/1300854")</f>
        <v>https://expa.aiesec.org/opportunities/1300854</v>
      </c>
      <c r="L301" s="43" t="str">
        <f>IFERROR(__xludf.DUMMYFUNCTION("""COMPUTED_VALUE"""),"GTa")</f>
        <v>GTa</v>
      </c>
      <c r="M301" s="43" t="str">
        <f>IFERROR(__xludf.DUMMYFUNCTION("""COMPUTED_VALUE"""),"long")</f>
        <v>long</v>
      </c>
      <c r="N301" s="45">
        <f>IFERROR(__xludf.DUMMYFUNCTION("""COMPUTED_VALUE"""),45271.0)</f>
        <v>45271</v>
      </c>
      <c r="O301" s="45">
        <f>IFERROR(__xludf.DUMMYFUNCTION("""COMPUTED_VALUE"""),45292.0)</f>
        <v>45292</v>
      </c>
      <c r="P301" s="45">
        <f>IFERROR(__xludf.DUMMYFUNCTION("""COMPUTED_VALUE"""),45656.0)</f>
        <v>45656</v>
      </c>
      <c r="Q301" s="45"/>
      <c r="R301" s="45"/>
      <c r="S301" s="43"/>
      <c r="T301" s="43" t="str">
        <f>IFERROR(__xludf.DUMMYFUNCTION("""COMPUTED_VALUE"""),"Marketing")</f>
        <v>Marketing</v>
      </c>
      <c r="U301" s="43" t="str">
        <f>IFERROR(__xludf.DUMMYFUNCTION("""COMPUTED_VALUE"""),"Market Researcher")</f>
        <v>Market Researcher</v>
      </c>
      <c r="V301" s="43" t="str">
        <f>IFERROR(__xludf.DUMMYFUNCTION("""COMPUTED_VALUE"""),"ESPRIT El Ghazela ")</f>
        <v>ESPRIT El Ghazela </v>
      </c>
      <c r="W301" s="43" t="str">
        <f>IFERROR(__xludf.DUMMYFUNCTION("""COMPUTED_VALUE"""),"2023-04-18T05:02:25Z")</f>
        <v>2023-04-18T05:02:25Z</v>
      </c>
      <c r="X301" s="43"/>
      <c r="Y301" s="43"/>
      <c r="Z301" s="43"/>
    </row>
    <row r="302" hidden="1">
      <c r="A302" s="43" t="str">
        <f>IFERROR(__xludf.DUMMYFUNCTION("""COMPUTED_VALUE"""),"5389129_1302026")</f>
        <v>5389129_1302026</v>
      </c>
      <c r="B302" s="43" t="str">
        <f>IFERROR(__xludf.DUMMYFUNCTION("""COMPUTED_VALUE"""),"Samir Jegham")</f>
        <v>Samir Jegham</v>
      </c>
      <c r="C302" s="43" t="str">
        <f>IFERROR(__xludf.DUMMYFUNCTION("""COMPUTED_VALUE"""),"realized")</f>
        <v>realized</v>
      </c>
      <c r="D302" s="43" t="str">
        <f>IFERROR(__xludf.DUMMYFUNCTION("""COMPUTED_VALUE"""),"No")</f>
        <v>No</v>
      </c>
      <c r="E302" s="43" t="str">
        <f>IFERROR(__xludf.DUMMYFUNCTION("""COMPUTED_VALUE"""),"p_6d30fc9eedd08821a215493e677529a08a13a4f7@inbound.aiesec.org")</f>
        <v>p_6d30fc9eedd08821a215493e677529a08a13a4f7@inbound.aiesec.org</v>
      </c>
      <c r="F302" s="43">
        <f>IFERROR(__xludf.DUMMYFUNCTION("""COMPUTED_VALUE"""),2.7125012E7)</f>
        <v>27125012</v>
      </c>
      <c r="G302" s="43" t="str">
        <f>IFERROR(__xludf.DUMMYFUNCTION("""COMPUTED_VALUE"""),"Tunisia")</f>
        <v>Tunisia</v>
      </c>
      <c r="H302" s="43" t="str">
        <f>IFERROR(__xludf.DUMMYFUNCTION("""COMPUTED_VALUE"""),"HADRUMET")</f>
        <v>HADRUMET</v>
      </c>
      <c r="I302" s="43" t="str">
        <f>IFERROR(__xludf.DUMMYFUNCTION("""COMPUTED_VALUE"""),"Turkey")</f>
        <v>Turkey</v>
      </c>
      <c r="J302" s="43" t="str">
        <f>IFERROR(__xludf.DUMMYFUNCTION("""COMPUTED_VALUE"""),"ISTANBUL WEST")</f>
        <v>ISTANBUL WEST</v>
      </c>
      <c r="K302" s="44" t="str">
        <f>IFERROR(__xludf.DUMMYFUNCTION("""COMPUTED_VALUE"""),"https://expa.aiesec.org/opportunities/1302026")</f>
        <v>https://expa.aiesec.org/opportunities/1302026</v>
      </c>
      <c r="L302" s="43" t="str">
        <f>IFERROR(__xludf.DUMMYFUNCTION("""COMPUTED_VALUE"""),"GTa")</f>
        <v>GTa</v>
      </c>
      <c r="M302" s="43" t="str">
        <f>IFERROR(__xludf.DUMMYFUNCTION("""COMPUTED_VALUE"""),"long")</f>
        <v>long</v>
      </c>
      <c r="N302" s="45">
        <f>IFERROR(__xludf.DUMMYFUNCTION("""COMPUTED_VALUE"""),45272.0)</f>
        <v>45272</v>
      </c>
      <c r="O302" s="45">
        <f>IFERROR(__xludf.DUMMYFUNCTION("""COMPUTED_VALUE"""),45306.0)</f>
        <v>45306</v>
      </c>
      <c r="P302" s="45">
        <f>IFERROR(__xludf.DUMMYFUNCTION("""COMPUTED_VALUE"""),45667.0)</f>
        <v>45667</v>
      </c>
      <c r="Q302" s="45">
        <f>IFERROR(__xludf.DUMMYFUNCTION("""COMPUTED_VALUE"""),45310.0)</f>
        <v>45310</v>
      </c>
      <c r="R302" s="45">
        <f>IFERROR(__xludf.DUMMYFUNCTION("""COMPUTED_VALUE"""),45675.0)</f>
        <v>45675</v>
      </c>
      <c r="S302" s="43"/>
      <c r="T302" s="43" t="str">
        <f>IFERROR(__xludf.DUMMYFUNCTION("""COMPUTED_VALUE"""),"Marketing")</f>
        <v>Marketing</v>
      </c>
      <c r="U302" s="43" t="str">
        <f>IFERROR(__xludf.DUMMYFUNCTION("""COMPUTED_VALUE"""),"Market Research/Analyst")</f>
        <v>Market Research/Analyst</v>
      </c>
      <c r="V302" s="43" t="str">
        <f>IFERROR(__xludf.DUMMYFUNCTION("""COMPUTED_VALUE"""),"EPI Sousse")</f>
        <v>EPI Sousse</v>
      </c>
      <c r="W302" s="43" t="str">
        <f>IFERROR(__xludf.DUMMYFUNCTION("""COMPUTED_VALUE"""),"2023-12-12T15:38:15Z")</f>
        <v>2023-12-12T15:38:15Z</v>
      </c>
      <c r="X302" s="43"/>
      <c r="Y302" s="43"/>
      <c r="Z302" s="43"/>
    </row>
    <row r="303" hidden="1">
      <c r="A303" s="43" t="str">
        <f>IFERROR(__xludf.DUMMYFUNCTION("""COMPUTED_VALUE"""),"5389418_1286122")</f>
        <v>5389418_1286122</v>
      </c>
      <c r="B303" s="43" t="str">
        <f>IFERROR(__xludf.DUMMYFUNCTION("""COMPUTED_VALUE"""),"Mar Yem")</f>
        <v>Mar Yem</v>
      </c>
      <c r="C303" s="43" t="str">
        <f>IFERROR(__xludf.DUMMYFUNCTION("""COMPUTED_VALUE"""),"approved")</f>
        <v>approved</v>
      </c>
      <c r="D303" s="43" t="str">
        <f>IFERROR(__xludf.DUMMYFUNCTION("""COMPUTED_VALUE"""),"No")</f>
        <v>No</v>
      </c>
      <c r="E303" s="43" t="str">
        <f>IFERROR(__xludf.DUMMYFUNCTION("""COMPUTED_VALUE"""),"p_2cfe173a88ccfa67f01467e493e8bcb8bbabbdf0@inbound.aiesec.org")</f>
        <v>p_2cfe173a88ccfa67f01467e493e8bcb8bbabbdf0@inbound.aiesec.org</v>
      </c>
      <c r="F303" s="43">
        <f>IFERROR(__xludf.DUMMYFUNCTION("""COMPUTED_VALUE"""),5.332246E7)</f>
        <v>53322460</v>
      </c>
      <c r="G303" s="43" t="str">
        <f>IFERROR(__xludf.DUMMYFUNCTION("""COMPUTED_VALUE"""),"Tunisia")</f>
        <v>Tunisia</v>
      </c>
      <c r="H303" s="43" t="str">
        <f>IFERROR(__xludf.DUMMYFUNCTION("""COMPUTED_VALUE"""),"HADRUMET")</f>
        <v>HADRUMET</v>
      </c>
      <c r="I303" s="43" t="str">
        <f>IFERROR(__xludf.DUMMYFUNCTION("""COMPUTED_VALUE"""),"Turkey")</f>
        <v>Turkey</v>
      </c>
      <c r="J303" s="43" t="str">
        <f>IFERROR(__xludf.DUMMYFUNCTION("""COMPUTED_VALUE"""),"BURSA")</f>
        <v>BURSA</v>
      </c>
      <c r="K303" s="44" t="str">
        <f>IFERROR(__xludf.DUMMYFUNCTION("""COMPUTED_VALUE"""),"https://expa.aiesec.org/opportunities/1286122")</f>
        <v>https://expa.aiesec.org/opportunities/1286122</v>
      </c>
      <c r="L303" s="43" t="str">
        <f>IFERROR(__xludf.DUMMYFUNCTION("""COMPUTED_VALUE"""),"GTa")</f>
        <v>GTa</v>
      </c>
      <c r="M303" s="43" t="str">
        <f>IFERROR(__xludf.DUMMYFUNCTION("""COMPUTED_VALUE"""),"long")</f>
        <v>long</v>
      </c>
      <c r="N303" s="45">
        <f>IFERROR(__xludf.DUMMYFUNCTION("""COMPUTED_VALUE"""),45273.0)</f>
        <v>45273</v>
      </c>
      <c r="O303" s="45">
        <f>IFERROR(__xludf.DUMMYFUNCTION("""COMPUTED_VALUE"""),45287.0)</f>
        <v>45287</v>
      </c>
      <c r="P303" s="45">
        <f>IFERROR(__xludf.DUMMYFUNCTION("""COMPUTED_VALUE"""),45476.0)</f>
        <v>45476</v>
      </c>
      <c r="Q303" s="45"/>
      <c r="R303" s="45"/>
      <c r="S303" s="43"/>
      <c r="T303" s="43" t="str">
        <f>IFERROR(__xludf.DUMMYFUNCTION("""COMPUTED_VALUE"""),"Marketing")</f>
        <v>Marketing</v>
      </c>
      <c r="U303" s="43" t="str">
        <f>IFERROR(__xludf.DUMMYFUNCTION("""COMPUTED_VALUE"""),"Marketing/ E-Commerce")</f>
        <v>Marketing/ E-Commerce</v>
      </c>
      <c r="V303" s="43" t="str">
        <f>IFERROR(__xludf.DUMMYFUNCTION("""COMPUTED_VALUE"""),"FSEG Sousse")</f>
        <v>FSEG Sousse</v>
      </c>
      <c r="W303" s="43" t="str">
        <f>IFERROR(__xludf.DUMMYFUNCTION("""COMPUTED_VALUE"""),"2023-12-13T09:24:25Z")</f>
        <v>2023-12-13T09:24:25Z</v>
      </c>
      <c r="X303" s="43"/>
      <c r="Y303" s="43"/>
      <c r="Z303" s="43"/>
    </row>
    <row r="304" hidden="1">
      <c r="A304" s="43" t="str">
        <f>IFERROR(__xludf.DUMMYFUNCTION("""COMPUTED_VALUE"""),"3237766_1290876")</f>
        <v>3237766_1290876</v>
      </c>
      <c r="B304" s="43" t="str">
        <f>IFERROR(__xludf.DUMMYFUNCTION("""COMPUTED_VALUE"""),"Amal Ouji")</f>
        <v>Amal Ouji</v>
      </c>
      <c r="C304" s="43" t="str">
        <f>IFERROR(__xludf.DUMMYFUNCTION("""COMPUTED_VALUE"""),"approved")</f>
        <v>approved</v>
      </c>
      <c r="D304" s="43" t="str">
        <f>IFERROR(__xludf.DUMMYFUNCTION("""COMPUTED_VALUE"""),"No")</f>
        <v>No</v>
      </c>
      <c r="E304" s="43" t="str">
        <f>IFERROR(__xludf.DUMMYFUNCTION("""COMPUTED_VALUE"""),"p_f5cbfc9bf7510bde3898d5dcc65bfd5ee6ade840@inbound.aiesec.org")</f>
        <v>p_f5cbfc9bf7510bde3898d5dcc65bfd5ee6ade840@inbound.aiesec.org</v>
      </c>
      <c r="F304" s="43">
        <f>IFERROR(__xludf.DUMMYFUNCTION("""COMPUTED_VALUE"""),9.0414395E7)</f>
        <v>90414395</v>
      </c>
      <c r="G304" s="43" t="str">
        <f>IFERROR(__xludf.DUMMYFUNCTION("""COMPUTED_VALUE"""),"Tunisia")</f>
        <v>Tunisia</v>
      </c>
      <c r="H304" s="43" t="str">
        <f>IFERROR(__xludf.DUMMYFUNCTION("""COMPUTED_VALUE"""),"MEDINA")</f>
        <v>MEDINA</v>
      </c>
      <c r="I304" s="43" t="str">
        <f>IFERROR(__xludf.DUMMYFUNCTION("""COMPUTED_VALUE"""),"Turkey")</f>
        <v>Turkey</v>
      </c>
      <c r="J304" s="43" t="str">
        <f>IFERROR(__xludf.DUMMYFUNCTION("""COMPUTED_VALUE"""),"BURSA")</f>
        <v>BURSA</v>
      </c>
      <c r="K304" s="44" t="str">
        <f>IFERROR(__xludf.DUMMYFUNCTION("""COMPUTED_VALUE"""),"https://expa.aiesec.org/opportunities/1290876")</f>
        <v>https://expa.aiesec.org/opportunities/1290876</v>
      </c>
      <c r="L304" s="43" t="str">
        <f>IFERROR(__xludf.DUMMYFUNCTION("""COMPUTED_VALUE"""),"GTa")</f>
        <v>GTa</v>
      </c>
      <c r="M304" s="43" t="str">
        <f>IFERROR(__xludf.DUMMYFUNCTION("""COMPUTED_VALUE"""),"long")</f>
        <v>long</v>
      </c>
      <c r="N304" s="45">
        <f>IFERROR(__xludf.DUMMYFUNCTION("""COMPUTED_VALUE"""),45275.0)</f>
        <v>45275</v>
      </c>
      <c r="O304" s="45">
        <f>IFERROR(__xludf.DUMMYFUNCTION("""COMPUTED_VALUE"""),45337.0)</f>
        <v>45337</v>
      </c>
      <c r="P304" s="45">
        <f>IFERROR(__xludf.DUMMYFUNCTION("""COMPUTED_VALUE"""),45702.0)</f>
        <v>45702</v>
      </c>
      <c r="Q304" s="45"/>
      <c r="R304" s="45"/>
      <c r="S304" s="43"/>
      <c r="T304" s="43" t="str">
        <f>IFERROR(__xludf.DUMMYFUNCTION("""COMPUTED_VALUE"""),"Marketing")</f>
        <v>Marketing</v>
      </c>
      <c r="U304" s="43" t="str">
        <f>IFERROR(__xludf.DUMMYFUNCTION("""COMPUTED_VALUE"""),"Marketing ")</f>
        <v>Marketing </v>
      </c>
      <c r="V304" s="43" t="str">
        <f>IFERROR(__xludf.DUMMYFUNCTION("""COMPUTED_VALUE"""),"-")</f>
        <v>-</v>
      </c>
      <c r="W304" s="43" t="str">
        <f>IFERROR(__xludf.DUMMYFUNCTION("""COMPUTED_VALUE"""),"2019-03-18T18:57:16Z")</f>
        <v>2019-03-18T18:57:16Z</v>
      </c>
      <c r="X304" s="43"/>
      <c r="Y304" s="43"/>
      <c r="Z304" s="43"/>
    </row>
    <row r="305" hidden="1">
      <c r="A305" s="43" t="str">
        <f>IFERROR(__xludf.DUMMYFUNCTION("""COMPUTED_VALUE"""),"5389291_1299666")</f>
        <v>5389291_1299666</v>
      </c>
      <c r="B305" s="43" t="str">
        <f>IFERROR(__xludf.DUMMYFUNCTION("""COMPUTED_VALUE"""),"Muhammad Elamawy")</f>
        <v>Muhammad Elamawy</v>
      </c>
      <c r="C305" s="43" t="str">
        <f>IFERROR(__xludf.DUMMYFUNCTION("""COMPUTED_VALUE"""),"realized")</f>
        <v>realized</v>
      </c>
      <c r="D305" s="43" t="str">
        <f>IFERROR(__xludf.DUMMYFUNCTION("""COMPUTED_VALUE"""),"No")</f>
        <v>No</v>
      </c>
      <c r="E305" s="43" t="str">
        <f>IFERROR(__xludf.DUMMYFUNCTION("""COMPUTED_VALUE"""),"p_0c6da8fdee4252dfc4356094018089b73775d3d4@inbound.aiesec.org")</f>
        <v>p_0c6da8fdee4252dfc4356094018089b73775d3d4@inbound.aiesec.org</v>
      </c>
      <c r="F305" s="43">
        <f>IFERROR(__xludf.DUMMYFUNCTION("""COMPUTED_VALUE"""),1.116050295E9)</f>
        <v>1116050295</v>
      </c>
      <c r="G305" s="43" t="str">
        <f>IFERROR(__xludf.DUMMYFUNCTION("""COMPUTED_VALUE"""),"Egypt")</f>
        <v>Egypt</v>
      </c>
      <c r="H305" s="43" t="str">
        <f>IFERROR(__xludf.DUMMYFUNCTION("""COMPUTED_VALUE"""),"6th October University")</f>
        <v>6th October University</v>
      </c>
      <c r="I305" s="43" t="str">
        <f>IFERROR(__xludf.DUMMYFUNCTION("""COMPUTED_VALUE"""),"Turkey")</f>
        <v>Turkey</v>
      </c>
      <c r="J305" s="43" t="str">
        <f>IFERROR(__xludf.DUMMYFUNCTION("""COMPUTED_VALUE"""),"ISTANBUL WEST")</f>
        <v>ISTANBUL WEST</v>
      </c>
      <c r="K305" s="44" t="str">
        <f>IFERROR(__xludf.DUMMYFUNCTION("""COMPUTED_VALUE"""),"https://expa.aiesec.org/opportunities/1299666")</f>
        <v>https://expa.aiesec.org/opportunities/1299666</v>
      </c>
      <c r="L305" s="43" t="str">
        <f>IFERROR(__xludf.DUMMYFUNCTION("""COMPUTED_VALUE"""),"GTa")</f>
        <v>GTa</v>
      </c>
      <c r="M305" s="43" t="str">
        <f>IFERROR(__xludf.DUMMYFUNCTION("""COMPUTED_VALUE"""),"long")</f>
        <v>long</v>
      </c>
      <c r="N305" s="45">
        <f>IFERROR(__xludf.DUMMYFUNCTION("""COMPUTED_VALUE"""),45278.0)</f>
        <v>45278</v>
      </c>
      <c r="O305" s="45">
        <f>IFERROR(__xludf.DUMMYFUNCTION("""COMPUTED_VALUE"""),45299.0)</f>
        <v>45299</v>
      </c>
      <c r="P305" s="45">
        <f>IFERROR(__xludf.DUMMYFUNCTION("""COMPUTED_VALUE"""),45658.0)</f>
        <v>45658</v>
      </c>
      <c r="Q305" s="45">
        <f>IFERROR(__xludf.DUMMYFUNCTION("""COMPUTED_VALUE"""),45314.0)</f>
        <v>45314</v>
      </c>
      <c r="R305" s="45">
        <f>IFERROR(__xludf.DUMMYFUNCTION("""COMPUTED_VALUE"""),45679.0)</f>
        <v>45679</v>
      </c>
      <c r="S305" s="43"/>
      <c r="T305" s="43" t="str">
        <f>IFERROR(__xludf.DUMMYFUNCTION("""COMPUTED_VALUE"""),"Business Administration")</f>
        <v>Business Administration</v>
      </c>
      <c r="U305" s="43" t="str">
        <f>IFERROR(__xludf.DUMMYFUNCTION("""COMPUTED_VALUE"""),"Sales Consultant - English (Turkeyana Clinic)")</f>
        <v>Sales Consultant - English (Turkeyana Clinic)</v>
      </c>
      <c r="V305" s="43" t="str">
        <f>IFERROR(__xludf.DUMMYFUNCTION("""COMPUTED_VALUE"""),"6th of October University")</f>
        <v>6th of October University</v>
      </c>
      <c r="W305" s="43" t="str">
        <f>IFERROR(__xludf.DUMMYFUNCTION("""COMPUTED_VALUE"""),"2023-12-12T21:58:31Z")</f>
        <v>2023-12-12T21:58:31Z</v>
      </c>
      <c r="X305" s="43"/>
      <c r="Y305" s="43"/>
      <c r="Z305" s="43"/>
    </row>
    <row r="306" hidden="1">
      <c r="A306" s="43" t="str">
        <f>IFERROR(__xludf.DUMMYFUNCTION("""COMPUTED_VALUE"""),"5391233_1289255")</f>
        <v>5391233_1289255</v>
      </c>
      <c r="B306" s="43" t="str">
        <f>IFERROR(__xludf.DUMMYFUNCTION("""COMPUTED_VALUE"""),"Graciete Garcia")</f>
        <v>Graciete Garcia</v>
      </c>
      <c r="C306" s="43" t="str">
        <f>IFERROR(__xludf.DUMMYFUNCTION("""COMPUTED_VALUE"""),"approved")</f>
        <v>approved</v>
      </c>
      <c r="D306" s="43" t="str">
        <f>IFERROR(__xludf.DUMMYFUNCTION("""COMPUTED_VALUE"""),"No")</f>
        <v>No</v>
      </c>
      <c r="E306" s="43" t="str">
        <f>IFERROR(__xludf.DUMMYFUNCTION("""COMPUTED_VALUE"""),"p_8ca2d8d1b2d722c90358ff9cc6b6270bde8a16ab@inbound.aiesec.org")</f>
        <v>p_8ca2d8d1b2d722c90358ff9cc6b6270bde8a16ab@inbound.aiesec.org</v>
      </c>
      <c r="F306" s="43">
        <f>IFERROR(__xludf.DUMMYFUNCTION("""COMPUTED_VALUE"""),9.37249157E8)</f>
        <v>937249157</v>
      </c>
      <c r="G306" s="43" t="str">
        <f>IFERROR(__xludf.DUMMYFUNCTION("""COMPUTED_VALUE"""),"Mozambique")</f>
        <v>Mozambique</v>
      </c>
      <c r="H306" s="43" t="str">
        <f>IFERROR(__xludf.DUMMYFUNCTION("""COMPUTED_VALUE"""),"UEM")</f>
        <v>UEM</v>
      </c>
      <c r="I306" s="43" t="str">
        <f>IFERROR(__xludf.DUMMYFUNCTION("""COMPUTED_VALUE"""),"Turkey")</f>
        <v>Turkey</v>
      </c>
      <c r="J306" s="43" t="str">
        <f>IFERROR(__xludf.DUMMYFUNCTION("""COMPUTED_VALUE"""),"ISTANBUL")</f>
        <v>ISTANBUL</v>
      </c>
      <c r="K306" s="44" t="str">
        <f>IFERROR(__xludf.DUMMYFUNCTION("""COMPUTED_VALUE"""),"https://expa.aiesec.org/opportunities/1289255")</f>
        <v>https://expa.aiesec.org/opportunities/1289255</v>
      </c>
      <c r="L306" s="43" t="str">
        <f>IFERROR(__xludf.DUMMYFUNCTION("""COMPUTED_VALUE"""),"GTa")</f>
        <v>GTa</v>
      </c>
      <c r="M306" s="43" t="str">
        <f>IFERROR(__xludf.DUMMYFUNCTION("""COMPUTED_VALUE"""),"long")</f>
        <v>long</v>
      </c>
      <c r="N306" s="45">
        <f>IFERROR(__xludf.DUMMYFUNCTION("""COMPUTED_VALUE"""),45279.0)</f>
        <v>45279</v>
      </c>
      <c r="O306" s="45">
        <f>IFERROR(__xludf.DUMMYFUNCTION("""COMPUTED_VALUE"""),45306.0)</f>
        <v>45306</v>
      </c>
      <c r="P306" s="45">
        <f>IFERROR(__xludf.DUMMYFUNCTION("""COMPUTED_VALUE"""),45674.0)</f>
        <v>45674</v>
      </c>
      <c r="Q306" s="45"/>
      <c r="R306" s="45"/>
      <c r="S306" s="43"/>
      <c r="T306" s="43" t="str">
        <f>IFERROR(__xludf.DUMMYFUNCTION("""COMPUTED_VALUE"""),"Business Administration")</f>
        <v>Business Administration</v>
      </c>
      <c r="U306" s="43" t="str">
        <f>IFERROR(__xludf.DUMMYFUNCTION("""COMPUTED_VALUE"""),"Telesales Specialist in Istanbul (French Speaker)")</f>
        <v>Telesales Specialist in Istanbul (French Speaker)</v>
      </c>
      <c r="V306" s="43" t="str">
        <f>IFERROR(__xludf.DUMMYFUNCTION("""COMPUTED_VALUE"""),"UEM (Maputo)")</f>
        <v>UEM (Maputo)</v>
      </c>
      <c r="W306" s="43" t="str">
        <f>IFERROR(__xludf.DUMMYFUNCTION("""COMPUTED_VALUE"""),"2023-12-16T19:56:36Z")</f>
        <v>2023-12-16T19:56:36Z</v>
      </c>
      <c r="X306" s="43"/>
      <c r="Y306" s="43"/>
      <c r="Z306" s="43"/>
    </row>
    <row r="307" hidden="1">
      <c r="A307" s="43" t="str">
        <f>IFERROR(__xludf.DUMMYFUNCTION("""COMPUTED_VALUE"""),"5390905_1289255")</f>
        <v>5390905_1289255</v>
      </c>
      <c r="B307" s="43" t="str">
        <f>IFERROR(__xludf.DUMMYFUNCTION("""COMPUTED_VALUE"""),"Emerson Teixeira")</f>
        <v>Emerson Teixeira</v>
      </c>
      <c r="C307" s="43" t="str">
        <f>IFERROR(__xludf.DUMMYFUNCTION("""COMPUTED_VALUE"""),"approved")</f>
        <v>approved</v>
      </c>
      <c r="D307" s="43" t="str">
        <f>IFERROR(__xludf.DUMMYFUNCTION("""COMPUTED_VALUE"""),"No")</f>
        <v>No</v>
      </c>
      <c r="E307" s="43" t="str">
        <f>IFERROR(__xludf.DUMMYFUNCTION("""COMPUTED_VALUE"""),"p_90e11578461b0bcb7078a8c3417b93586b3025ef@inbound.aiesec.org")</f>
        <v>p_90e11578461b0bcb7078a8c3417b93586b3025ef@inbound.aiesec.org</v>
      </c>
      <c r="F307" s="43">
        <f>IFERROR(__xludf.DUMMYFUNCTION("""COMPUTED_VALUE"""),9.2732617E8)</f>
        <v>927326170</v>
      </c>
      <c r="G307" s="43" t="str">
        <f>IFERROR(__xludf.DUMMYFUNCTION("""COMPUTED_VALUE"""),"Mozambique")</f>
        <v>Mozambique</v>
      </c>
      <c r="H307" s="43" t="str">
        <f>IFERROR(__xludf.DUMMYFUNCTION("""COMPUTED_VALUE"""),"UEM")</f>
        <v>UEM</v>
      </c>
      <c r="I307" s="43" t="str">
        <f>IFERROR(__xludf.DUMMYFUNCTION("""COMPUTED_VALUE"""),"Turkey")</f>
        <v>Turkey</v>
      </c>
      <c r="J307" s="43" t="str">
        <f>IFERROR(__xludf.DUMMYFUNCTION("""COMPUTED_VALUE"""),"ISTANBUL")</f>
        <v>ISTANBUL</v>
      </c>
      <c r="K307" s="44" t="str">
        <f>IFERROR(__xludf.DUMMYFUNCTION("""COMPUTED_VALUE"""),"https://expa.aiesec.org/opportunities/1289255")</f>
        <v>https://expa.aiesec.org/opportunities/1289255</v>
      </c>
      <c r="L307" s="43" t="str">
        <f>IFERROR(__xludf.DUMMYFUNCTION("""COMPUTED_VALUE"""),"GTa")</f>
        <v>GTa</v>
      </c>
      <c r="M307" s="43" t="str">
        <f>IFERROR(__xludf.DUMMYFUNCTION("""COMPUTED_VALUE"""),"long")</f>
        <v>long</v>
      </c>
      <c r="N307" s="45">
        <f>IFERROR(__xludf.DUMMYFUNCTION("""COMPUTED_VALUE"""),45279.0)</f>
        <v>45279</v>
      </c>
      <c r="O307" s="45">
        <f>IFERROR(__xludf.DUMMYFUNCTION("""COMPUTED_VALUE"""),45306.0)</f>
        <v>45306</v>
      </c>
      <c r="P307" s="45">
        <f>IFERROR(__xludf.DUMMYFUNCTION("""COMPUTED_VALUE"""),45674.0)</f>
        <v>45674</v>
      </c>
      <c r="Q307" s="45"/>
      <c r="R307" s="45"/>
      <c r="S307" s="43"/>
      <c r="T307" s="43" t="str">
        <f>IFERROR(__xludf.DUMMYFUNCTION("""COMPUTED_VALUE"""),"Business Administration")</f>
        <v>Business Administration</v>
      </c>
      <c r="U307" s="43" t="str">
        <f>IFERROR(__xludf.DUMMYFUNCTION("""COMPUTED_VALUE"""),"Telesales Specialist in Istanbul (French Speaker)")</f>
        <v>Telesales Specialist in Istanbul (French Speaker)</v>
      </c>
      <c r="V307" s="43" t="str">
        <f>IFERROR(__xludf.DUMMYFUNCTION("""COMPUTED_VALUE"""),"UEM (Maputo)")</f>
        <v>UEM (Maputo)</v>
      </c>
      <c r="W307" s="43" t="str">
        <f>IFERROR(__xludf.DUMMYFUNCTION("""COMPUTED_VALUE"""),"2023-12-15T21:28:54Z")</f>
        <v>2023-12-15T21:28:54Z</v>
      </c>
      <c r="X307" s="43"/>
      <c r="Y307" s="43"/>
      <c r="Z307" s="43"/>
    </row>
    <row r="308" hidden="1">
      <c r="A308" s="43" t="str">
        <f>IFERROR(__xludf.DUMMYFUNCTION("""COMPUTED_VALUE"""),"5392674_1265080")</f>
        <v>5392674_1265080</v>
      </c>
      <c r="B308" s="43" t="str">
        <f>IFERROR(__xludf.DUMMYFUNCTION("""COMPUTED_VALUE"""),"Oumaima EL Hamrani")</f>
        <v>Oumaima EL Hamrani</v>
      </c>
      <c r="C308" s="43" t="str">
        <f>IFERROR(__xludf.DUMMYFUNCTION("""COMPUTED_VALUE"""),"approved")</f>
        <v>approved</v>
      </c>
      <c r="D308" s="43" t="str">
        <f>IFERROR(__xludf.DUMMYFUNCTION("""COMPUTED_VALUE"""),"No")</f>
        <v>No</v>
      </c>
      <c r="E308" s="43" t="str">
        <f>IFERROR(__xludf.DUMMYFUNCTION("""COMPUTED_VALUE"""),"p_cfa5c5503556047e23cc72abd04e9e9f0a6c8539@inbound.aiesec.org")</f>
        <v>p_cfa5c5503556047e23cc72abd04e9e9f0a6c8539@inbound.aiesec.org</v>
      </c>
      <c r="F308" s="43"/>
      <c r="G308" s="43" t="str">
        <f>IFERROR(__xludf.DUMMYFUNCTION("""COMPUTED_VALUE"""),"Morocco")</f>
        <v>Morocco</v>
      </c>
      <c r="H308" s="43" t="str">
        <f>IFERROR(__xludf.DUMMYFUNCTION("""COMPUTED_VALUE"""),"Ben Guerir")</f>
        <v>Ben Guerir</v>
      </c>
      <c r="I308" s="43" t="str">
        <f>IFERROR(__xludf.DUMMYFUNCTION("""COMPUTED_VALUE"""),"Turkey")</f>
        <v>Turkey</v>
      </c>
      <c r="J308" s="43" t="str">
        <f>IFERROR(__xludf.DUMMYFUNCTION("""COMPUTED_VALUE"""),"ISTANBUL")</f>
        <v>ISTANBUL</v>
      </c>
      <c r="K308" s="44" t="str">
        <f>IFERROR(__xludf.DUMMYFUNCTION("""COMPUTED_VALUE"""),"https://expa.aiesec.org/opportunities/1265080")</f>
        <v>https://expa.aiesec.org/opportunities/1265080</v>
      </c>
      <c r="L308" s="43" t="str">
        <f>IFERROR(__xludf.DUMMYFUNCTION("""COMPUTED_VALUE"""),"GTa")</f>
        <v>GTa</v>
      </c>
      <c r="M308" s="43" t="str">
        <f>IFERROR(__xludf.DUMMYFUNCTION("""COMPUTED_VALUE"""),"short")</f>
        <v>short</v>
      </c>
      <c r="N308" s="45">
        <f>IFERROR(__xludf.DUMMYFUNCTION("""COMPUTED_VALUE"""),45280.0)</f>
        <v>45280</v>
      </c>
      <c r="O308" s="45">
        <f>IFERROR(__xludf.DUMMYFUNCTION("""COMPUTED_VALUE"""),45425.0)</f>
        <v>45425</v>
      </c>
      <c r="P308" s="45">
        <f>IFERROR(__xludf.DUMMYFUNCTION("""COMPUTED_VALUE"""),45506.0)</f>
        <v>45506</v>
      </c>
      <c r="Q308" s="45"/>
      <c r="R308" s="45"/>
      <c r="S308" s="43"/>
      <c r="T308" s="43" t="str">
        <f>IFERROR(__xludf.DUMMYFUNCTION("""COMPUTED_VALUE"""),"Business Development")</f>
        <v>Business Development</v>
      </c>
      <c r="U308" s="43" t="str">
        <f>IFERROR(__xludf.DUMMYFUNCTION("""COMPUTED_VALUE"""),"Foreign Trade Responsible in Istanbul ")</f>
        <v>Foreign Trade Responsible in Istanbul </v>
      </c>
      <c r="V308" s="43" t="str">
        <f>IFERROR(__xludf.DUMMYFUNCTION("""COMPUTED_VALUE"""),"-")</f>
        <v>-</v>
      </c>
      <c r="W308" s="43" t="str">
        <f>IFERROR(__xludf.DUMMYFUNCTION("""COMPUTED_VALUE"""),"2023-12-20T15:34:23Z")</f>
        <v>2023-12-20T15:34:23Z</v>
      </c>
      <c r="X308" s="43"/>
      <c r="Y308" s="43"/>
      <c r="Z308" s="43"/>
    </row>
    <row r="309" hidden="1">
      <c r="A309" s="43" t="str">
        <f>IFERROR(__xludf.DUMMYFUNCTION("""COMPUTED_VALUE"""),"5391334_1289255")</f>
        <v>5391334_1289255</v>
      </c>
      <c r="B309" s="43" t="str">
        <f>IFERROR(__xludf.DUMMYFUNCTION("""COMPUTED_VALUE"""),"Achrafe Lharras")</f>
        <v>Achrafe Lharras</v>
      </c>
      <c r="C309" s="43" t="str">
        <f>IFERROR(__xludf.DUMMYFUNCTION("""COMPUTED_VALUE"""),"approved")</f>
        <v>approved</v>
      </c>
      <c r="D309" s="43" t="str">
        <f>IFERROR(__xludf.DUMMYFUNCTION("""COMPUTED_VALUE"""),"No")</f>
        <v>No</v>
      </c>
      <c r="E309" s="43" t="str">
        <f>IFERROR(__xludf.DUMMYFUNCTION("""COMPUTED_VALUE"""),"p_597b5dcd5939df22f390c9156a5f6df8522da3c4@inbound.aiesec.org")</f>
        <v>p_597b5dcd5939df22f390c9156a5f6df8522da3c4@inbound.aiesec.org</v>
      </c>
      <c r="F309" s="43">
        <f>IFERROR(__xludf.DUMMYFUNCTION("""COMPUTED_VALUE"""),6.49118706E8)</f>
        <v>649118706</v>
      </c>
      <c r="G309" s="43" t="str">
        <f>IFERROR(__xludf.DUMMYFUNCTION("""COMPUTED_VALUE"""),"Morocco")</f>
        <v>Morocco</v>
      </c>
      <c r="H309" s="43" t="str">
        <f>IFERROR(__xludf.DUMMYFUNCTION("""COMPUTED_VALUE"""),"Morocco (MC)")</f>
        <v>Morocco (MC)</v>
      </c>
      <c r="I309" s="43" t="str">
        <f>IFERROR(__xludf.DUMMYFUNCTION("""COMPUTED_VALUE"""),"Turkey")</f>
        <v>Turkey</v>
      </c>
      <c r="J309" s="43" t="str">
        <f>IFERROR(__xludf.DUMMYFUNCTION("""COMPUTED_VALUE"""),"ISTANBUL")</f>
        <v>ISTANBUL</v>
      </c>
      <c r="K309" s="44" t="str">
        <f>IFERROR(__xludf.DUMMYFUNCTION("""COMPUTED_VALUE"""),"https://expa.aiesec.org/opportunities/1289255")</f>
        <v>https://expa.aiesec.org/opportunities/1289255</v>
      </c>
      <c r="L309" s="43" t="str">
        <f>IFERROR(__xludf.DUMMYFUNCTION("""COMPUTED_VALUE"""),"GTa")</f>
        <v>GTa</v>
      </c>
      <c r="M309" s="43" t="str">
        <f>IFERROR(__xludf.DUMMYFUNCTION("""COMPUTED_VALUE"""),"long")</f>
        <v>long</v>
      </c>
      <c r="N309" s="45">
        <f>IFERROR(__xludf.DUMMYFUNCTION("""COMPUTED_VALUE"""),45281.0)</f>
        <v>45281</v>
      </c>
      <c r="O309" s="45">
        <f>IFERROR(__xludf.DUMMYFUNCTION("""COMPUTED_VALUE"""),45334.0)</f>
        <v>45334</v>
      </c>
      <c r="P309" s="45">
        <f>IFERROR(__xludf.DUMMYFUNCTION("""COMPUTED_VALUE"""),45702.0)</f>
        <v>45702</v>
      </c>
      <c r="Q309" s="45"/>
      <c r="R309" s="45"/>
      <c r="S309" s="43"/>
      <c r="T309" s="43" t="str">
        <f>IFERROR(__xludf.DUMMYFUNCTION("""COMPUTED_VALUE"""),"Business Administration")</f>
        <v>Business Administration</v>
      </c>
      <c r="U309" s="43" t="str">
        <f>IFERROR(__xludf.DUMMYFUNCTION("""COMPUTED_VALUE"""),"Telesales Specialist in Istanbul (French Speaker)")</f>
        <v>Telesales Specialist in Istanbul (French Speaker)</v>
      </c>
      <c r="V309" s="43" t="str">
        <f>IFERROR(__xludf.DUMMYFUNCTION("""COMPUTED_VALUE"""),"Other-RABAT")</f>
        <v>Other-RABAT</v>
      </c>
      <c r="W309" s="43" t="str">
        <f>IFERROR(__xludf.DUMMYFUNCTION("""COMPUTED_VALUE"""),"2023-12-17T09:00:44Z")</f>
        <v>2023-12-17T09:00:44Z</v>
      </c>
      <c r="X309" s="43"/>
      <c r="Y309" s="43"/>
      <c r="Z309" s="43"/>
    </row>
    <row r="310" hidden="1">
      <c r="A310" s="43" t="str">
        <f>IFERROR(__xludf.DUMMYFUNCTION("""COMPUTED_VALUE"""),"5136173_1289255")</f>
        <v>5136173_1289255</v>
      </c>
      <c r="B310" s="43" t="str">
        <f>IFERROR(__xludf.DUMMYFUNCTION("""COMPUTED_VALUE"""),"mohammed azzeddine othmane")</f>
        <v>mohammed azzeddine othmane</v>
      </c>
      <c r="C310" s="43" t="str">
        <f>IFERROR(__xludf.DUMMYFUNCTION("""COMPUTED_VALUE"""),"approved")</f>
        <v>approved</v>
      </c>
      <c r="D310" s="43" t="str">
        <f>IFERROR(__xludf.DUMMYFUNCTION("""COMPUTED_VALUE"""),"No")</f>
        <v>No</v>
      </c>
      <c r="E310" s="43" t="str">
        <f>IFERROR(__xludf.DUMMYFUNCTION("""COMPUTED_VALUE"""),"p_687adb21d17cd38b5b0d9eceebc709971d60748e@inbound.aiesec.org")</f>
        <v>p_687adb21d17cd38b5b0d9eceebc709971d60748e@inbound.aiesec.org</v>
      </c>
      <c r="F310" s="43">
        <f>IFERROR(__xludf.DUMMYFUNCTION("""COMPUTED_VALUE"""),6.65726223E8)</f>
        <v>665726223</v>
      </c>
      <c r="G310" s="43" t="str">
        <f>IFERROR(__xludf.DUMMYFUNCTION("""COMPUTED_VALUE"""),"Algeria")</f>
        <v>Algeria</v>
      </c>
      <c r="H310" s="43" t="str">
        <f>IFERROR(__xludf.DUMMYFUNCTION("""COMPUTED_VALUE"""),"Blida")</f>
        <v>Blida</v>
      </c>
      <c r="I310" s="43" t="str">
        <f>IFERROR(__xludf.DUMMYFUNCTION("""COMPUTED_VALUE"""),"Turkey")</f>
        <v>Turkey</v>
      </c>
      <c r="J310" s="43" t="str">
        <f>IFERROR(__xludf.DUMMYFUNCTION("""COMPUTED_VALUE"""),"ISTANBUL")</f>
        <v>ISTANBUL</v>
      </c>
      <c r="K310" s="44" t="str">
        <f>IFERROR(__xludf.DUMMYFUNCTION("""COMPUTED_VALUE"""),"https://expa.aiesec.org/opportunities/1289255")</f>
        <v>https://expa.aiesec.org/opportunities/1289255</v>
      </c>
      <c r="L310" s="43" t="str">
        <f>IFERROR(__xludf.DUMMYFUNCTION("""COMPUTED_VALUE"""),"GTa")</f>
        <v>GTa</v>
      </c>
      <c r="M310" s="43" t="str">
        <f>IFERROR(__xludf.DUMMYFUNCTION("""COMPUTED_VALUE"""),"long")</f>
        <v>long</v>
      </c>
      <c r="N310" s="45">
        <f>IFERROR(__xludf.DUMMYFUNCTION("""COMPUTED_VALUE"""),45284.0)</f>
        <v>45284</v>
      </c>
      <c r="O310" s="45">
        <f>IFERROR(__xludf.DUMMYFUNCTION("""COMPUTED_VALUE"""),45334.0)</f>
        <v>45334</v>
      </c>
      <c r="P310" s="45">
        <f>IFERROR(__xludf.DUMMYFUNCTION("""COMPUTED_VALUE"""),45702.0)</f>
        <v>45702</v>
      </c>
      <c r="Q310" s="45"/>
      <c r="R310" s="45"/>
      <c r="S310" s="43"/>
      <c r="T310" s="43" t="str">
        <f>IFERROR(__xludf.DUMMYFUNCTION("""COMPUTED_VALUE"""),"Business Administration")</f>
        <v>Business Administration</v>
      </c>
      <c r="U310" s="43" t="str">
        <f>IFERROR(__xludf.DUMMYFUNCTION("""COMPUTED_VALUE"""),"Telesales Specialist in Istanbul (French Speaker)")</f>
        <v>Telesales Specialist in Istanbul (French Speaker)</v>
      </c>
      <c r="V310" s="43" t="str">
        <f>IFERROR(__xludf.DUMMYFUNCTION("""COMPUTED_VALUE"""),"AIESEC in Blida")</f>
        <v>AIESEC in Blida</v>
      </c>
      <c r="W310" s="43" t="str">
        <f>IFERROR(__xludf.DUMMYFUNCTION("""COMPUTED_VALUE"""),"2022-10-18T19:08:05Z")</f>
        <v>2022-10-18T19:08:05Z</v>
      </c>
      <c r="X310" s="43"/>
      <c r="Y310" s="43"/>
      <c r="Z310" s="43"/>
    </row>
    <row r="311" hidden="1">
      <c r="A311" s="43" t="str">
        <f>IFERROR(__xludf.DUMMYFUNCTION("""COMPUTED_VALUE"""),"5393675_1289255")</f>
        <v>5393675_1289255</v>
      </c>
      <c r="B311" s="43" t="str">
        <f>IFERROR(__xludf.DUMMYFUNCTION("""COMPUTED_VALUE"""),"Merwane Telhaoui")</f>
        <v>Merwane Telhaoui</v>
      </c>
      <c r="C311" s="43" t="str">
        <f>IFERROR(__xludf.DUMMYFUNCTION("""COMPUTED_VALUE"""),"approved")</f>
        <v>approved</v>
      </c>
      <c r="D311" s="43" t="str">
        <f>IFERROR(__xludf.DUMMYFUNCTION("""COMPUTED_VALUE"""),"No")</f>
        <v>No</v>
      </c>
      <c r="E311" s="43" t="str">
        <f>IFERROR(__xludf.DUMMYFUNCTION("""COMPUTED_VALUE"""),"p_094c882c1c0f0ac5ca461b015a3c5e0448758461@inbound.aiesec.org")</f>
        <v>p_094c882c1c0f0ac5ca461b015a3c5e0448758461@inbound.aiesec.org</v>
      </c>
      <c r="F311" s="43">
        <f>IFERROR(__xludf.DUMMYFUNCTION("""COMPUTED_VALUE"""),5.54107866E8)</f>
        <v>554107866</v>
      </c>
      <c r="G311" s="43" t="str">
        <f>IFERROR(__xludf.DUMMYFUNCTION("""COMPUTED_VALUE"""),"Algeria")</f>
        <v>Algeria</v>
      </c>
      <c r="H311" s="43" t="str">
        <f>IFERROR(__xludf.DUMMYFUNCTION("""COMPUTED_VALUE"""),"Tlemcen")</f>
        <v>Tlemcen</v>
      </c>
      <c r="I311" s="43" t="str">
        <f>IFERROR(__xludf.DUMMYFUNCTION("""COMPUTED_VALUE"""),"Turkey")</f>
        <v>Turkey</v>
      </c>
      <c r="J311" s="43" t="str">
        <f>IFERROR(__xludf.DUMMYFUNCTION("""COMPUTED_VALUE"""),"ISTANBUL")</f>
        <v>ISTANBUL</v>
      </c>
      <c r="K311" s="44" t="str">
        <f>IFERROR(__xludf.DUMMYFUNCTION("""COMPUTED_VALUE"""),"https://expa.aiesec.org/opportunities/1289255")</f>
        <v>https://expa.aiesec.org/opportunities/1289255</v>
      </c>
      <c r="L311" s="43" t="str">
        <f>IFERROR(__xludf.DUMMYFUNCTION("""COMPUTED_VALUE"""),"GTa")</f>
        <v>GTa</v>
      </c>
      <c r="M311" s="43" t="str">
        <f>IFERROR(__xludf.DUMMYFUNCTION("""COMPUTED_VALUE"""),"long")</f>
        <v>long</v>
      </c>
      <c r="N311" s="45">
        <f>IFERROR(__xludf.DUMMYFUNCTION("""COMPUTED_VALUE"""),45285.0)</f>
        <v>45285</v>
      </c>
      <c r="O311" s="45">
        <f>IFERROR(__xludf.DUMMYFUNCTION("""COMPUTED_VALUE"""),45348.0)</f>
        <v>45348</v>
      </c>
      <c r="P311" s="45">
        <f>IFERROR(__xludf.DUMMYFUNCTION("""COMPUTED_VALUE"""),45716.0)</f>
        <v>45716</v>
      </c>
      <c r="Q311" s="45"/>
      <c r="R311" s="45"/>
      <c r="S311" s="43"/>
      <c r="T311" s="43" t="str">
        <f>IFERROR(__xludf.DUMMYFUNCTION("""COMPUTED_VALUE"""),"Business Administration")</f>
        <v>Business Administration</v>
      </c>
      <c r="U311" s="43" t="str">
        <f>IFERROR(__xludf.DUMMYFUNCTION("""COMPUTED_VALUE"""),"Telesales Specialist in Istanbul (French Speaker)")</f>
        <v>Telesales Specialist in Istanbul (French Speaker)</v>
      </c>
      <c r="V311" s="43" t="str">
        <f>IFERROR(__xludf.DUMMYFUNCTION("""COMPUTED_VALUE"""),"AIESEC in Tlemcen")</f>
        <v>AIESEC in Tlemcen</v>
      </c>
      <c r="W311" s="43" t="str">
        <f>IFERROR(__xludf.DUMMYFUNCTION("""COMPUTED_VALUE"""),"2023-12-23T11:37:23Z")</f>
        <v>2023-12-23T11:37:23Z</v>
      </c>
      <c r="X311" s="43"/>
      <c r="Y311" s="43"/>
      <c r="Z311" s="43"/>
    </row>
    <row r="312" hidden="1">
      <c r="A312" s="43" t="str">
        <f>IFERROR(__xludf.DUMMYFUNCTION("""COMPUTED_VALUE"""),"5391950_1302165")</f>
        <v>5391950_1302165</v>
      </c>
      <c r="B312" s="43" t="str">
        <f>IFERROR(__xludf.DUMMYFUNCTION("""COMPUTED_VALUE"""),"Lorenna Navarro")</f>
        <v>Lorenna Navarro</v>
      </c>
      <c r="C312" s="43" t="str">
        <f>IFERROR(__xludf.DUMMYFUNCTION("""COMPUTED_VALUE"""),"approved")</f>
        <v>approved</v>
      </c>
      <c r="D312" s="43" t="str">
        <f>IFERROR(__xludf.DUMMYFUNCTION("""COMPUTED_VALUE"""),"No")</f>
        <v>No</v>
      </c>
      <c r="E312" s="43" t="str">
        <f>IFERROR(__xludf.DUMMYFUNCTION("""COMPUTED_VALUE"""),"p_ac23dc403d2b2508f108eb89813cf64299d823d3@inbound.aiesec.org")</f>
        <v>p_ac23dc403d2b2508f108eb89813cf64299d823d3@inbound.aiesec.org</v>
      </c>
      <c r="F312" s="43"/>
      <c r="G312" s="43" t="str">
        <f>IFERROR(__xludf.DUMMYFUNCTION("""COMPUTED_VALUE"""),"Brazil")</f>
        <v>Brazil</v>
      </c>
      <c r="H312" s="43" t="str">
        <f>IFERROR(__xludf.DUMMYFUNCTION("""COMPUTED_VALUE"""),"BRASÍLIA")</f>
        <v>BRASÍLIA</v>
      </c>
      <c r="I312" s="43" t="str">
        <f>IFERROR(__xludf.DUMMYFUNCTION("""COMPUTED_VALUE"""),"Turkey")</f>
        <v>Turkey</v>
      </c>
      <c r="J312" s="43" t="str">
        <f>IFERROR(__xludf.DUMMYFUNCTION("""COMPUTED_VALUE"""),"GAZIANTEP")</f>
        <v>GAZIANTEP</v>
      </c>
      <c r="K312" s="44" t="str">
        <f>IFERROR(__xludf.DUMMYFUNCTION("""COMPUTED_VALUE"""),"https://expa.aiesec.org/opportunities/1302165")</f>
        <v>https://expa.aiesec.org/opportunities/1302165</v>
      </c>
      <c r="L312" s="43" t="str">
        <f>IFERROR(__xludf.DUMMYFUNCTION("""COMPUTED_VALUE"""),"GTa")</f>
        <v>GTa</v>
      </c>
      <c r="M312" s="43" t="str">
        <f>IFERROR(__xludf.DUMMYFUNCTION("""COMPUTED_VALUE"""),"long")</f>
        <v>long</v>
      </c>
      <c r="N312" s="45">
        <f>IFERROR(__xludf.DUMMYFUNCTION("""COMPUTED_VALUE"""),45285.0)</f>
        <v>45285</v>
      </c>
      <c r="O312" s="45">
        <f>IFERROR(__xludf.DUMMYFUNCTION("""COMPUTED_VALUE"""),45291.0)</f>
        <v>45291</v>
      </c>
      <c r="P312" s="45">
        <f>IFERROR(__xludf.DUMMYFUNCTION("""COMPUTED_VALUE"""),45656.0)</f>
        <v>45656</v>
      </c>
      <c r="Q312" s="45"/>
      <c r="R312" s="45"/>
      <c r="S312" s="43"/>
      <c r="T312" s="43" t="str">
        <f>IFERROR(__xludf.DUMMYFUNCTION("""COMPUTED_VALUE"""),"Other")</f>
        <v>Other</v>
      </c>
      <c r="U312" s="43" t="str">
        <f>IFERROR(__xludf.DUMMYFUNCTION("""COMPUTED_VALUE""")," MEAL OFFICER")</f>
        <v> MEAL OFFICER</v>
      </c>
      <c r="V312" s="43" t="str">
        <f>IFERROR(__xludf.DUMMYFUNCTION("""COMPUTED_VALUE"""),"-")</f>
        <v>-</v>
      </c>
      <c r="W312" s="43" t="str">
        <f>IFERROR(__xludf.DUMMYFUNCTION("""COMPUTED_VALUE"""),"2023-12-18T18:19:35Z")</f>
        <v>2023-12-18T18:19:35Z</v>
      </c>
      <c r="X312" s="43"/>
      <c r="Y312" s="43"/>
      <c r="Z312" s="43"/>
    </row>
    <row r="313" hidden="1">
      <c r="A313" s="43" t="str">
        <f>IFERROR(__xludf.DUMMYFUNCTION("""COMPUTED_VALUE"""),"5389598_1289255")</f>
        <v>5389598_1289255</v>
      </c>
      <c r="B313" s="43" t="str">
        <f>IFERROR(__xludf.DUMMYFUNCTION("""COMPUTED_VALUE"""),"Kaoutar Hsiba")</f>
        <v>Kaoutar Hsiba</v>
      </c>
      <c r="C313" s="43" t="str">
        <f>IFERROR(__xludf.DUMMYFUNCTION("""COMPUTED_VALUE"""),"approved")</f>
        <v>approved</v>
      </c>
      <c r="D313" s="43" t="str">
        <f>IFERROR(__xludf.DUMMYFUNCTION("""COMPUTED_VALUE"""),"No")</f>
        <v>No</v>
      </c>
      <c r="E313" s="43" t="str">
        <f>IFERROR(__xludf.DUMMYFUNCTION("""COMPUTED_VALUE"""),"p_dee77f93d268e08bf3cf32d013943dbd5e8cfb6b@inbound.aiesec.org")</f>
        <v>p_dee77f93d268e08bf3cf32d013943dbd5e8cfb6b@inbound.aiesec.org</v>
      </c>
      <c r="F313" s="43">
        <f>IFERROR(__xludf.DUMMYFUNCTION("""COMPUTED_VALUE"""),6.89604415E8)</f>
        <v>689604415</v>
      </c>
      <c r="G313" s="43" t="str">
        <f>IFERROR(__xludf.DUMMYFUNCTION("""COMPUTED_VALUE"""),"Morocco")</f>
        <v>Morocco</v>
      </c>
      <c r="H313" s="43" t="str">
        <f>IFERROR(__xludf.DUMMYFUNCTION("""COMPUTED_VALUE"""),"Morocco (MC)")</f>
        <v>Morocco (MC)</v>
      </c>
      <c r="I313" s="43" t="str">
        <f>IFERROR(__xludf.DUMMYFUNCTION("""COMPUTED_VALUE"""),"Turkey")</f>
        <v>Turkey</v>
      </c>
      <c r="J313" s="43" t="str">
        <f>IFERROR(__xludf.DUMMYFUNCTION("""COMPUTED_VALUE"""),"ISTANBUL")</f>
        <v>ISTANBUL</v>
      </c>
      <c r="K313" s="44" t="str">
        <f>IFERROR(__xludf.DUMMYFUNCTION("""COMPUTED_VALUE"""),"https://expa.aiesec.org/opportunities/1289255")</f>
        <v>https://expa.aiesec.org/opportunities/1289255</v>
      </c>
      <c r="L313" s="43" t="str">
        <f>IFERROR(__xludf.DUMMYFUNCTION("""COMPUTED_VALUE"""),"GTa")</f>
        <v>GTa</v>
      </c>
      <c r="M313" s="43" t="str">
        <f>IFERROR(__xludf.DUMMYFUNCTION("""COMPUTED_VALUE"""),"long")</f>
        <v>long</v>
      </c>
      <c r="N313" s="45">
        <f>IFERROR(__xludf.DUMMYFUNCTION("""COMPUTED_VALUE"""),45288.0)</f>
        <v>45288</v>
      </c>
      <c r="O313" s="45">
        <f>IFERROR(__xludf.DUMMYFUNCTION("""COMPUTED_VALUE"""),45306.0)</f>
        <v>45306</v>
      </c>
      <c r="P313" s="45">
        <f>IFERROR(__xludf.DUMMYFUNCTION("""COMPUTED_VALUE"""),45674.0)</f>
        <v>45674</v>
      </c>
      <c r="Q313" s="45"/>
      <c r="R313" s="45"/>
      <c r="S313" s="43"/>
      <c r="T313" s="43" t="str">
        <f>IFERROR(__xludf.DUMMYFUNCTION("""COMPUTED_VALUE"""),"Business Administration")</f>
        <v>Business Administration</v>
      </c>
      <c r="U313" s="43" t="str">
        <f>IFERROR(__xludf.DUMMYFUNCTION("""COMPUTED_VALUE"""),"Telesales Specialist in Istanbul (French Speaker)")</f>
        <v>Telesales Specialist in Istanbul (French Speaker)</v>
      </c>
      <c r="V313" s="43" t="str">
        <f>IFERROR(__xludf.DUMMYFUNCTION("""COMPUTED_VALUE"""),"CFI El Jadida")</f>
        <v>CFI El Jadida</v>
      </c>
      <c r="W313" s="43" t="str">
        <f>IFERROR(__xludf.DUMMYFUNCTION("""COMPUTED_VALUE"""),"2023-12-13T14:21:23Z")</f>
        <v>2023-12-13T14:21:23Z</v>
      </c>
      <c r="X313" s="43"/>
      <c r="Y313" s="43"/>
      <c r="Z313" s="43"/>
    </row>
    <row r="314" hidden="1">
      <c r="A314" s="43" t="str">
        <f>IFERROR(__xludf.DUMMYFUNCTION("""COMPUTED_VALUE"""),"5393005_1296424")</f>
        <v>5393005_1296424</v>
      </c>
      <c r="B314" s="43" t="str">
        <f>IFERROR(__xludf.DUMMYFUNCTION("""COMPUTED_VALUE"""),"HAMMAD ALI")</f>
        <v>HAMMAD ALI</v>
      </c>
      <c r="C314" s="43" t="str">
        <f>IFERROR(__xludf.DUMMYFUNCTION("""COMPUTED_VALUE"""),"approved")</f>
        <v>approved</v>
      </c>
      <c r="D314" s="43" t="str">
        <f>IFERROR(__xludf.DUMMYFUNCTION("""COMPUTED_VALUE"""),"No")</f>
        <v>No</v>
      </c>
      <c r="E314" s="43" t="str">
        <f>IFERROR(__xludf.DUMMYFUNCTION("""COMPUTED_VALUE"""),"p_09ceefd2de980c90977c4a883b2f38aa3ac64bd0@inbound.aiesec.org")</f>
        <v>p_09ceefd2de980c90977c4a883b2f38aa3ac64bd0@inbound.aiesec.org</v>
      </c>
      <c r="F314" s="43">
        <f>IFERROR(__xludf.DUMMYFUNCTION("""COMPUTED_VALUE"""),3.048878661E9)</f>
        <v>3048878661</v>
      </c>
      <c r="G314" s="43" t="str">
        <f>IFERROR(__xludf.DUMMYFUNCTION("""COMPUTED_VALUE"""),"Pakistan")</f>
        <v>Pakistan</v>
      </c>
      <c r="H314" s="43" t="str">
        <f>IFERROR(__xludf.DUMMYFUNCTION("""COMPUTED_VALUE"""),"Islamabad")</f>
        <v>Islamabad</v>
      </c>
      <c r="I314" s="43" t="str">
        <f>IFERROR(__xludf.DUMMYFUNCTION("""COMPUTED_VALUE"""),"Turkey")</f>
        <v>Turkey</v>
      </c>
      <c r="J314" s="43" t="str">
        <f>IFERROR(__xludf.DUMMYFUNCTION("""COMPUTED_VALUE"""),"ANTALYA")</f>
        <v>ANTALYA</v>
      </c>
      <c r="K314" s="44" t="str">
        <f>IFERROR(__xludf.DUMMYFUNCTION("""COMPUTED_VALUE"""),"https://expa.aiesec.org/opportunities/1296424")</f>
        <v>https://expa.aiesec.org/opportunities/1296424</v>
      </c>
      <c r="L314" s="43" t="str">
        <f>IFERROR(__xludf.DUMMYFUNCTION("""COMPUTED_VALUE"""),"GTa")</f>
        <v>GTa</v>
      </c>
      <c r="M314" s="43" t="str">
        <f>IFERROR(__xludf.DUMMYFUNCTION("""COMPUTED_VALUE"""),"long")</f>
        <v>long</v>
      </c>
      <c r="N314" s="45">
        <f>IFERROR(__xludf.DUMMYFUNCTION("""COMPUTED_VALUE"""),45297.0)</f>
        <v>45297</v>
      </c>
      <c r="O314" s="45">
        <f>IFERROR(__xludf.DUMMYFUNCTION("""COMPUTED_VALUE"""),45323.0)</f>
        <v>45323</v>
      </c>
      <c r="P314" s="45">
        <f>IFERROR(__xludf.DUMMYFUNCTION("""COMPUTED_VALUE"""),45689.0)</f>
        <v>45689</v>
      </c>
      <c r="Q314" s="45"/>
      <c r="R314" s="45"/>
      <c r="S314" s="43"/>
      <c r="T314" s="43" t="str">
        <f>IFERROR(__xludf.DUMMYFUNCTION("""COMPUTED_VALUE"""),"Marketing")</f>
        <v>Marketing</v>
      </c>
      <c r="U314" s="43" t="str">
        <f>IFERROR(__xludf.DUMMYFUNCTION("""COMPUTED_VALUE"""),"Marketing Intern")</f>
        <v>Marketing Intern</v>
      </c>
      <c r="V314" s="43" t="str">
        <f>IFERROR(__xludf.DUMMYFUNCTION("""COMPUTED_VALUE"""),"Islamabad - Roots IVY")</f>
        <v>Islamabad - Roots IVY</v>
      </c>
      <c r="W314" s="43" t="str">
        <f>IFERROR(__xludf.DUMMYFUNCTION("""COMPUTED_VALUE"""),"2023-12-21T15:50:26Z")</f>
        <v>2023-12-21T15:50:26Z</v>
      </c>
      <c r="X314" s="43"/>
      <c r="Y314" s="43"/>
      <c r="Z314" s="43"/>
    </row>
    <row r="315" hidden="1">
      <c r="A315" s="43" t="str">
        <f>IFERROR(__xludf.DUMMYFUNCTION("""COMPUTED_VALUE"""),"5397440_1296424")</f>
        <v>5397440_1296424</v>
      </c>
      <c r="B315" s="43" t="str">
        <f>IFERROR(__xludf.DUMMYFUNCTION("""COMPUTED_VALUE"""),"AIMAN HUSSAIN")</f>
        <v>AIMAN HUSSAIN</v>
      </c>
      <c r="C315" s="43" t="str">
        <f>IFERROR(__xludf.DUMMYFUNCTION("""COMPUTED_VALUE"""),"approved")</f>
        <v>approved</v>
      </c>
      <c r="D315" s="43" t="str">
        <f>IFERROR(__xludf.DUMMYFUNCTION("""COMPUTED_VALUE"""),"No")</f>
        <v>No</v>
      </c>
      <c r="E315" s="43" t="str">
        <f>IFERROR(__xludf.DUMMYFUNCTION("""COMPUTED_VALUE"""),"p_beafc76ab0a433b81dd5f1b023667ecde661a2a3@inbound.aiesec.org")</f>
        <v>p_beafc76ab0a433b81dd5f1b023667ecde661a2a3@inbound.aiesec.org</v>
      </c>
      <c r="F315" s="43">
        <f>IFERROR(__xludf.DUMMYFUNCTION("""COMPUTED_VALUE"""),3.364199866E9)</f>
        <v>3364199866</v>
      </c>
      <c r="G315" s="43" t="str">
        <f>IFERROR(__xludf.DUMMYFUNCTION("""COMPUTED_VALUE"""),"Pakistan")</f>
        <v>Pakistan</v>
      </c>
      <c r="H315" s="43" t="str">
        <f>IFERROR(__xludf.DUMMYFUNCTION("""COMPUTED_VALUE"""),"Islamabad")</f>
        <v>Islamabad</v>
      </c>
      <c r="I315" s="43" t="str">
        <f>IFERROR(__xludf.DUMMYFUNCTION("""COMPUTED_VALUE"""),"Turkey")</f>
        <v>Turkey</v>
      </c>
      <c r="J315" s="43" t="str">
        <f>IFERROR(__xludf.DUMMYFUNCTION("""COMPUTED_VALUE"""),"ANTALYA")</f>
        <v>ANTALYA</v>
      </c>
      <c r="K315" s="44" t="str">
        <f>IFERROR(__xludf.DUMMYFUNCTION("""COMPUTED_VALUE"""),"https://expa.aiesec.org/opportunities/1296424")</f>
        <v>https://expa.aiesec.org/opportunities/1296424</v>
      </c>
      <c r="L315" s="43" t="str">
        <f>IFERROR(__xludf.DUMMYFUNCTION("""COMPUTED_VALUE"""),"GTa")</f>
        <v>GTa</v>
      </c>
      <c r="M315" s="43" t="str">
        <f>IFERROR(__xludf.DUMMYFUNCTION("""COMPUTED_VALUE"""),"long")</f>
        <v>long</v>
      </c>
      <c r="N315" s="45">
        <f>IFERROR(__xludf.DUMMYFUNCTION("""COMPUTED_VALUE"""),45298.0)</f>
        <v>45298</v>
      </c>
      <c r="O315" s="45">
        <f>IFERROR(__xludf.DUMMYFUNCTION("""COMPUTED_VALUE"""),45323.0)</f>
        <v>45323</v>
      </c>
      <c r="P315" s="45">
        <f>IFERROR(__xludf.DUMMYFUNCTION("""COMPUTED_VALUE"""),45689.0)</f>
        <v>45689</v>
      </c>
      <c r="Q315" s="45"/>
      <c r="R315" s="45"/>
      <c r="S315" s="43"/>
      <c r="T315" s="43" t="str">
        <f>IFERROR(__xludf.DUMMYFUNCTION("""COMPUTED_VALUE"""),"Marketing")</f>
        <v>Marketing</v>
      </c>
      <c r="U315" s="43" t="str">
        <f>IFERROR(__xludf.DUMMYFUNCTION("""COMPUTED_VALUE"""),"Marketing Intern")</f>
        <v>Marketing Intern</v>
      </c>
      <c r="V315" s="43" t="str">
        <f>IFERROR(__xludf.DUMMYFUNCTION("""COMPUTED_VALUE"""),"Islamabad - Other")</f>
        <v>Islamabad - Other</v>
      </c>
      <c r="W315" s="43" t="str">
        <f>IFERROR(__xludf.DUMMYFUNCTION("""COMPUTED_VALUE"""),"2024-01-03T10:55:08Z")</f>
        <v>2024-01-03T10:55:08Z</v>
      </c>
      <c r="X315" s="43"/>
      <c r="Y315" s="43"/>
      <c r="Z315" s="43"/>
    </row>
    <row r="316" hidden="1">
      <c r="A316" s="43" t="str">
        <f>IFERROR(__xludf.DUMMYFUNCTION("""COMPUTED_VALUE"""),"4327433_1289255")</f>
        <v>4327433_1289255</v>
      </c>
      <c r="B316" s="43" t="str">
        <f>IFERROR(__xludf.DUMMYFUNCTION("""COMPUTED_VALUE"""),"Saša Stajić")</f>
        <v>Saša Stajić</v>
      </c>
      <c r="C316" s="43" t="str">
        <f>IFERROR(__xludf.DUMMYFUNCTION("""COMPUTED_VALUE"""),"approved")</f>
        <v>approved</v>
      </c>
      <c r="D316" s="43" t="str">
        <f>IFERROR(__xludf.DUMMYFUNCTION("""COMPUTED_VALUE"""),"No")</f>
        <v>No</v>
      </c>
      <c r="E316" s="43" t="str">
        <f>IFERROR(__xludf.DUMMYFUNCTION("""COMPUTED_VALUE"""),"p_19d133846cc3c56a29621e8b057370a056c0fda0@inbound.aiesec.org")</f>
        <v>p_19d133846cc3c56a29621e8b057370a056c0fda0@inbound.aiesec.org</v>
      </c>
      <c r="F316" s="43"/>
      <c r="G316" s="43" t="str">
        <f>IFERROR(__xludf.DUMMYFUNCTION("""COMPUTED_VALUE"""),"Bosnia and Herzegovina")</f>
        <v>Bosnia and Herzegovina</v>
      </c>
      <c r="H316" s="43" t="str">
        <f>IFERROR(__xludf.DUMMYFUNCTION("""COMPUTED_VALUE"""),"SARAJEVO")</f>
        <v>SARAJEVO</v>
      </c>
      <c r="I316" s="43" t="str">
        <f>IFERROR(__xludf.DUMMYFUNCTION("""COMPUTED_VALUE"""),"Turkey")</f>
        <v>Turkey</v>
      </c>
      <c r="J316" s="43" t="str">
        <f>IFERROR(__xludf.DUMMYFUNCTION("""COMPUTED_VALUE"""),"ISTANBUL")</f>
        <v>ISTANBUL</v>
      </c>
      <c r="K316" s="44" t="str">
        <f>IFERROR(__xludf.DUMMYFUNCTION("""COMPUTED_VALUE"""),"https://expa.aiesec.org/opportunities/1289255")</f>
        <v>https://expa.aiesec.org/opportunities/1289255</v>
      </c>
      <c r="L316" s="43" t="str">
        <f>IFERROR(__xludf.DUMMYFUNCTION("""COMPUTED_VALUE"""),"GTa")</f>
        <v>GTa</v>
      </c>
      <c r="M316" s="43" t="str">
        <f>IFERROR(__xludf.DUMMYFUNCTION("""COMPUTED_VALUE"""),"long")</f>
        <v>long</v>
      </c>
      <c r="N316" s="45">
        <f>IFERROR(__xludf.DUMMYFUNCTION("""COMPUTED_VALUE"""),45299.0)</f>
        <v>45299</v>
      </c>
      <c r="O316" s="45">
        <f>IFERROR(__xludf.DUMMYFUNCTION("""COMPUTED_VALUE"""),45376.0)</f>
        <v>45376</v>
      </c>
      <c r="P316" s="45">
        <f>IFERROR(__xludf.DUMMYFUNCTION("""COMPUTED_VALUE"""),45744.0)</f>
        <v>45744</v>
      </c>
      <c r="Q316" s="45"/>
      <c r="R316" s="45"/>
      <c r="S316" s="43"/>
      <c r="T316" s="43" t="str">
        <f>IFERROR(__xludf.DUMMYFUNCTION("""COMPUTED_VALUE"""),"Business Administration")</f>
        <v>Business Administration</v>
      </c>
      <c r="U316" s="43" t="str">
        <f>IFERROR(__xludf.DUMMYFUNCTION("""COMPUTED_VALUE"""),"Telesales Specialist in Istanbul (French Speaker)")</f>
        <v>Telesales Specialist in Istanbul (French Speaker)</v>
      </c>
      <c r="V316" s="43" t="str">
        <f>IFERROR(__xludf.DUMMYFUNCTION("""COMPUTED_VALUE"""),"Sarajevo")</f>
        <v>Sarajevo</v>
      </c>
      <c r="W316" s="43" t="str">
        <f>IFERROR(__xludf.DUMMYFUNCTION("""COMPUTED_VALUE"""),"2020-07-11T13:35:02Z")</f>
        <v>2020-07-11T13:35:02Z</v>
      </c>
      <c r="X316" s="43"/>
      <c r="Y316" s="43"/>
      <c r="Z316" s="43"/>
    </row>
    <row r="317" hidden="1">
      <c r="A317" s="43" t="str">
        <f>IFERROR(__xludf.DUMMYFUNCTION("""COMPUTED_VALUE"""),"5396340_1289255")</f>
        <v>5396340_1289255</v>
      </c>
      <c r="B317" s="43" t="str">
        <f>IFERROR(__xludf.DUMMYFUNCTION("""COMPUTED_VALUE"""),"Lounis BENMOKHTAR")</f>
        <v>Lounis BENMOKHTAR</v>
      </c>
      <c r="C317" s="43" t="str">
        <f>IFERROR(__xludf.DUMMYFUNCTION("""COMPUTED_VALUE"""),"approved")</f>
        <v>approved</v>
      </c>
      <c r="D317" s="43" t="str">
        <f>IFERROR(__xludf.DUMMYFUNCTION("""COMPUTED_VALUE"""),"No")</f>
        <v>No</v>
      </c>
      <c r="E317" s="43" t="str">
        <f>IFERROR(__xludf.DUMMYFUNCTION("""COMPUTED_VALUE"""),"p_f0f0ddabb32cfd328095c9e851ffe812293af18d@inbound.aiesec.org")</f>
        <v>p_f0f0ddabb32cfd328095c9e851ffe812293af18d@inbound.aiesec.org</v>
      </c>
      <c r="F317" s="43">
        <f>IFERROR(__xludf.DUMMYFUNCTION("""COMPUTED_VALUE"""),7.7011414E8)</f>
        <v>770114140</v>
      </c>
      <c r="G317" s="43" t="str">
        <f>IFERROR(__xludf.DUMMYFUNCTION("""COMPUTED_VALUE"""),"Algeria")</f>
        <v>Algeria</v>
      </c>
      <c r="H317" s="43" t="str">
        <f>IFERROR(__xludf.DUMMYFUNCTION("""COMPUTED_VALUE"""),"Benak")</f>
        <v>Benak</v>
      </c>
      <c r="I317" s="43" t="str">
        <f>IFERROR(__xludf.DUMMYFUNCTION("""COMPUTED_VALUE"""),"Turkey")</f>
        <v>Turkey</v>
      </c>
      <c r="J317" s="43" t="str">
        <f>IFERROR(__xludf.DUMMYFUNCTION("""COMPUTED_VALUE"""),"ISTANBUL")</f>
        <v>ISTANBUL</v>
      </c>
      <c r="K317" s="44" t="str">
        <f>IFERROR(__xludf.DUMMYFUNCTION("""COMPUTED_VALUE"""),"https://expa.aiesec.org/opportunities/1289255")</f>
        <v>https://expa.aiesec.org/opportunities/1289255</v>
      </c>
      <c r="L317" s="43" t="str">
        <f>IFERROR(__xludf.DUMMYFUNCTION("""COMPUTED_VALUE"""),"GTa")</f>
        <v>GTa</v>
      </c>
      <c r="M317" s="43" t="str">
        <f>IFERROR(__xludf.DUMMYFUNCTION("""COMPUTED_VALUE"""),"long")</f>
        <v>long</v>
      </c>
      <c r="N317" s="45">
        <f>IFERROR(__xludf.DUMMYFUNCTION("""COMPUTED_VALUE"""),45303.0)</f>
        <v>45303</v>
      </c>
      <c r="O317" s="45">
        <f>IFERROR(__xludf.DUMMYFUNCTION("""COMPUTED_VALUE"""),45341.0)</f>
        <v>45341</v>
      </c>
      <c r="P317" s="45">
        <f>IFERROR(__xludf.DUMMYFUNCTION("""COMPUTED_VALUE"""),45709.0)</f>
        <v>45709</v>
      </c>
      <c r="Q317" s="45"/>
      <c r="R317" s="45"/>
      <c r="S317" s="43"/>
      <c r="T317" s="43" t="str">
        <f>IFERROR(__xludf.DUMMYFUNCTION("""COMPUTED_VALUE"""),"Business Administration")</f>
        <v>Business Administration</v>
      </c>
      <c r="U317" s="43" t="str">
        <f>IFERROR(__xludf.DUMMYFUNCTION("""COMPUTED_VALUE"""),"Telesales Specialist in Istanbul (French Speaker)")</f>
        <v>Telesales Specialist in Istanbul (French Speaker)</v>
      </c>
      <c r="V317" s="43" t="str">
        <f>IFERROR(__xludf.DUMMYFUNCTION("""COMPUTED_VALUE"""),"AIESEC in Benak")</f>
        <v>AIESEC in Benak</v>
      </c>
      <c r="W317" s="43" t="str">
        <f>IFERROR(__xludf.DUMMYFUNCTION("""COMPUTED_VALUE"""),"2023-12-30T12:23:35Z")</f>
        <v>2023-12-30T12:23:35Z</v>
      </c>
      <c r="X317" s="43"/>
      <c r="Y317" s="43"/>
      <c r="Z317" s="43"/>
    </row>
    <row r="318" hidden="1">
      <c r="A318" s="43" t="str">
        <f>IFERROR(__xludf.DUMMYFUNCTION("""COMPUTED_VALUE"""),"5400513_1289255")</f>
        <v>5400513_1289255</v>
      </c>
      <c r="B318" s="43" t="str">
        <f>IFERROR(__xludf.DUMMYFUNCTION("""COMPUTED_VALUE"""),"Naseer Ali Awan")</f>
        <v>Naseer Ali Awan</v>
      </c>
      <c r="C318" s="43" t="str">
        <f>IFERROR(__xludf.DUMMYFUNCTION("""COMPUTED_VALUE"""),"approved")</f>
        <v>approved</v>
      </c>
      <c r="D318" s="43" t="str">
        <f>IFERROR(__xludf.DUMMYFUNCTION("""COMPUTED_VALUE"""),"No")</f>
        <v>No</v>
      </c>
      <c r="E318" s="43" t="str">
        <f>IFERROR(__xludf.DUMMYFUNCTION("""COMPUTED_VALUE"""),"p_06444dbeee3a24078b8c93d8ec7ab25356737b66@inbound.aiesec.org")</f>
        <v>p_06444dbeee3a24078b8c93d8ec7ab25356737b66@inbound.aiesec.org</v>
      </c>
      <c r="F318" s="43">
        <f>IFERROR(__xludf.DUMMYFUNCTION("""COMPUTED_VALUE"""),5.431640667E9)</f>
        <v>5431640667</v>
      </c>
      <c r="G318" s="43" t="str">
        <f>IFERROR(__xludf.DUMMYFUNCTION("""COMPUTED_VALUE"""),"Pakistan")</f>
        <v>Pakistan</v>
      </c>
      <c r="H318" s="43" t="str">
        <f>IFERROR(__xludf.DUMMYFUNCTION("""COMPUTED_VALUE"""),"Karachi")</f>
        <v>Karachi</v>
      </c>
      <c r="I318" s="43" t="str">
        <f>IFERROR(__xludf.DUMMYFUNCTION("""COMPUTED_VALUE"""),"Turkey")</f>
        <v>Turkey</v>
      </c>
      <c r="J318" s="43" t="str">
        <f>IFERROR(__xludf.DUMMYFUNCTION("""COMPUTED_VALUE"""),"ISTANBUL")</f>
        <v>ISTANBUL</v>
      </c>
      <c r="K318" s="44" t="str">
        <f>IFERROR(__xludf.DUMMYFUNCTION("""COMPUTED_VALUE"""),"https://expa.aiesec.org/opportunities/1289255")</f>
        <v>https://expa.aiesec.org/opportunities/1289255</v>
      </c>
      <c r="L318" s="43" t="str">
        <f>IFERROR(__xludf.DUMMYFUNCTION("""COMPUTED_VALUE"""),"GTa")</f>
        <v>GTa</v>
      </c>
      <c r="M318" s="43" t="str">
        <f>IFERROR(__xludf.DUMMYFUNCTION("""COMPUTED_VALUE"""),"long")</f>
        <v>long</v>
      </c>
      <c r="N318" s="45">
        <f>IFERROR(__xludf.DUMMYFUNCTION("""COMPUTED_VALUE"""),45305.0)</f>
        <v>45305</v>
      </c>
      <c r="O318" s="45">
        <f>IFERROR(__xludf.DUMMYFUNCTION("""COMPUTED_VALUE"""),45334.0)</f>
        <v>45334</v>
      </c>
      <c r="P318" s="45">
        <f>IFERROR(__xludf.DUMMYFUNCTION("""COMPUTED_VALUE"""),45691.0)</f>
        <v>45691</v>
      </c>
      <c r="Q318" s="45"/>
      <c r="R318" s="45"/>
      <c r="S318" s="43"/>
      <c r="T318" s="43" t="str">
        <f>IFERROR(__xludf.DUMMYFUNCTION("""COMPUTED_VALUE"""),"Business Administration")</f>
        <v>Business Administration</v>
      </c>
      <c r="U318" s="43" t="str">
        <f>IFERROR(__xludf.DUMMYFUNCTION("""COMPUTED_VALUE"""),"Telesales Specialist in Istanbul (French Speaker)")</f>
        <v>Telesales Specialist in Istanbul (French Speaker)</v>
      </c>
      <c r="V318" s="43" t="str">
        <f>IFERROR(__xludf.DUMMYFUNCTION("""COMPUTED_VALUE"""),"Karachi - Other")</f>
        <v>Karachi - Other</v>
      </c>
      <c r="W318" s="43" t="str">
        <f>IFERROR(__xludf.DUMMYFUNCTION("""COMPUTED_VALUE"""),"2024-01-12T22:56:56Z")</f>
        <v>2024-01-12T22:56:56Z</v>
      </c>
      <c r="X318" s="43"/>
      <c r="Y318" s="43"/>
      <c r="Z318" s="43"/>
    </row>
    <row r="319" hidden="1">
      <c r="A319" s="43" t="str">
        <f>IFERROR(__xludf.DUMMYFUNCTION("""COMPUTED_VALUE"""),"5395743_1299666")</f>
        <v>5395743_1299666</v>
      </c>
      <c r="B319" s="43" t="str">
        <f>IFERROR(__xludf.DUMMYFUNCTION("""COMPUTED_VALUE"""),"Sara Birkdar")</f>
        <v>Sara Birkdar</v>
      </c>
      <c r="C319" s="43" t="str">
        <f>IFERROR(__xludf.DUMMYFUNCTION("""COMPUTED_VALUE"""),"approved")</f>
        <v>approved</v>
      </c>
      <c r="D319" s="43" t="str">
        <f>IFERROR(__xludf.DUMMYFUNCTION("""COMPUTED_VALUE"""),"No")</f>
        <v>No</v>
      </c>
      <c r="E319" s="43" t="str">
        <f>IFERROR(__xludf.DUMMYFUNCTION("""COMPUTED_VALUE"""),"p_f05f125526e475b8a647b0c94c7b97c15fab49ae@inbound.aiesec.org")</f>
        <v>p_f05f125526e475b8a647b0c94c7b97c15fab49ae@inbound.aiesec.org</v>
      </c>
      <c r="F319" s="43">
        <f>IFERROR(__xludf.DUMMYFUNCTION("""COMPUTED_VALUE"""),7.869697071E9)</f>
        <v>7869697071</v>
      </c>
      <c r="G319" s="43" t="str">
        <f>IFERROR(__xludf.DUMMYFUNCTION("""COMPUTED_VALUE"""),"United Kingdom")</f>
        <v>United Kingdom</v>
      </c>
      <c r="H319" s="43" t="str">
        <f>IFERROR(__xludf.DUMMYFUNCTION("""COMPUTED_VALUE"""),"WARWICK")</f>
        <v>WARWICK</v>
      </c>
      <c r="I319" s="43" t="str">
        <f>IFERROR(__xludf.DUMMYFUNCTION("""COMPUTED_VALUE"""),"Turkey")</f>
        <v>Turkey</v>
      </c>
      <c r="J319" s="43" t="str">
        <f>IFERROR(__xludf.DUMMYFUNCTION("""COMPUTED_VALUE"""),"ISTANBUL WEST")</f>
        <v>ISTANBUL WEST</v>
      </c>
      <c r="K319" s="44" t="str">
        <f>IFERROR(__xludf.DUMMYFUNCTION("""COMPUTED_VALUE"""),"https://expa.aiesec.org/opportunities/1299666")</f>
        <v>https://expa.aiesec.org/opportunities/1299666</v>
      </c>
      <c r="L319" s="43" t="str">
        <f>IFERROR(__xludf.DUMMYFUNCTION("""COMPUTED_VALUE"""),"GTa")</f>
        <v>GTa</v>
      </c>
      <c r="M319" s="43" t="str">
        <f>IFERROR(__xludf.DUMMYFUNCTION("""COMPUTED_VALUE"""),"long")</f>
        <v>long</v>
      </c>
      <c r="N319" s="45">
        <f>IFERROR(__xludf.DUMMYFUNCTION("""COMPUTED_VALUE"""),45309.0)</f>
        <v>45309</v>
      </c>
      <c r="O319" s="45">
        <f>IFERROR(__xludf.DUMMYFUNCTION("""COMPUTED_VALUE"""),45340.0)</f>
        <v>45340</v>
      </c>
      <c r="P319" s="45">
        <f>IFERROR(__xludf.DUMMYFUNCTION("""COMPUTED_VALUE"""),45712.0)</f>
        <v>45712</v>
      </c>
      <c r="Q319" s="45"/>
      <c r="R319" s="45"/>
      <c r="S319" s="43"/>
      <c r="T319" s="43" t="str">
        <f>IFERROR(__xludf.DUMMYFUNCTION("""COMPUTED_VALUE"""),"Business Administration")</f>
        <v>Business Administration</v>
      </c>
      <c r="U319" s="43" t="str">
        <f>IFERROR(__xludf.DUMMYFUNCTION("""COMPUTED_VALUE"""),"Sales Consultant - English (Turkeyana Clinic)")</f>
        <v>Sales Consultant - English (Turkeyana Clinic)</v>
      </c>
      <c r="V319" s="43" t="str">
        <f>IFERROR(__xludf.DUMMYFUNCTION("""COMPUTED_VALUE"""),"Aston University, Birmingham")</f>
        <v>Aston University, Birmingham</v>
      </c>
      <c r="W319" s="43" t="str">
        <f>IFERROR(__xludf.DUMMYFUNCTION("""COMPUTED_VALUE"""),"2023-12-28T14:30:30Z")</f>
        <v>2023-12-28T14:30:30Z</v>
      </c>
      <c r="X319" s="43"/>
      <c r="Y319" s="43"/>
      <c r="Z319" s="43"/>
    </row>
    <row r="320" hidden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hidden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hidden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hidden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hidden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hidden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hidden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hidden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hidden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hidden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hidden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hidden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hidden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hidden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hidden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hidden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hidden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hidden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hidden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hidden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hidden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hidden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hidden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hidden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hidden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hidden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hidden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hidden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hidden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hidden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hidden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hidden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hidden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hidden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hidden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hidden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hidden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hidden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hidden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hidden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hidden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hidden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hidden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hidden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hidden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hidden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hidden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hidden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hidden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hidden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hidden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hidden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hidden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hidden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hidden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hidden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hidden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hidden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hidden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hidden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hidden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hidden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hidden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hidden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hidden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hidden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hidden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hidden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hidden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hidden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hidden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hidden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hidden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hidden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hidden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hidden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hidden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hidden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hidden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hidden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hidden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hidden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hidden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hidden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hidden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hidden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hidden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hidden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hidden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hidden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hidden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hidden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hidden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hidden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hidden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hidden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hidden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hidden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hidden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hidden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hidden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hidden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hidden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hidden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hidden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hidden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hidden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hidden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hidden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hidden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hidden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hidden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hidden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hidden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hidden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hidden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hidden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hidden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hidden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hidden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hidden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hidden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hidden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hidden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hidden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hidden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hidden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hidden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hidden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hidden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hidden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hidden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hidden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hidden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hidden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hidden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hidden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hidden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hidden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hidden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hidden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hidden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hidden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hidden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hidden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hidden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hidden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hidden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hidden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hidden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hidden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hidden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hidden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hidden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hidden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hidden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hidden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hidden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hidden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hidden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hidden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hidden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hidden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hidden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hidden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hidden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hidden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hidden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hidden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hidden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hidden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hidden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hidden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hidden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hidden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hidden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hidden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hidden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hidden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hidden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hidden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hidden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hidden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hidden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hidden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hidden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hidden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hidden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hidden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hidden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hidden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hidden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hidden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hidden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hidden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hidden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hidden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hidden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hidden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hidden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hidden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hidden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hidden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hidden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hidden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hidden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hidden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hidden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hidden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hidden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hidden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hidden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hidden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hidden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hidden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hidden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hidden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hidden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hidden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hidden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hidden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hidden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hidden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hidden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hidden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hidden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hidden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hidden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hidden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hidden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hidden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hidden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hidden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hidden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hidden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hidden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hidden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hidden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hidden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hidden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hidden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hidden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hidden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hidden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hidden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hidden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hidden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hidden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hidden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hidden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hidden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hidden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hidden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hidden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hidden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hidden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hidden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hidden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hidden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hidden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hidden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hidden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hidden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hidden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hidden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hidden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hidden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hidden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hidden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idden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hidden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hidden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hidden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hidden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hidden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hidden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hidden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hidden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hidden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hidden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hidden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hidden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hidden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hidden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hidden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hidden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hidden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hidden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hidden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hidden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hidden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hidden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hidden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hidden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hidden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hidden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hidden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hidden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hidden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hidden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hidden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hidden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hidden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hidden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hidden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hidden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hidden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hidden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hidden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hidden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hidden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hidden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hidden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hidden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hidden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hidden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hidden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hidden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hidden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hidden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hidden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hidden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hidden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hidden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hidden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hidden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hidden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hidden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hidden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hidden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hidden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hidden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hidden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hidden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hidden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hidden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hidden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hidden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hidden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hidden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hidden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hidden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hidden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hidden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hidden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hidden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hidden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hidden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hidden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hidden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hidden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hidden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hidden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hidden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hidden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hidden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hidden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hidden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hidden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hidden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hidden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hidden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hidden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hidden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hidden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hidden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hidden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hidden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hidden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hidden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hidden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hidden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hidden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hidden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hidden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hidden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hidden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hidden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hidden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hidden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hidden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hidden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hidden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hidden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hidden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hidden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hidden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hidden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hidden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hidden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hidden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hidden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hidden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hidden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hidden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hidden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hidden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hidden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hidden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hidden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hidden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hidden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hidden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hidden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hidden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hidden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hidden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hidden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hidden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hidden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hidden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hidden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hidden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hidden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hidden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hidden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hidden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hidden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hidden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hidden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hidden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hidden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hidden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hidden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hidden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hidden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hidden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hidden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hidden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hidden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hidden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hidden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hidden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hidden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hidden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hidden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hidden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hidden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hidden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hidden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hidden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hidden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hidden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hidden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hidden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hidden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hidden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hidden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hidden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hidden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hidden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hidden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hidden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hidden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hidden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hidden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hidden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hidden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hidden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hidden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hidden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hidden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hidden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hidden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hidden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hidden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hidden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hidden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hidden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hidden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hidden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hidden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hidden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hidden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hidden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hidden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hidden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hidden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hidden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hidden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hidden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hidden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hidden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hidden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hidden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hidden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hidden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hidden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hidden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hidden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hidden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hidden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hidden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hidden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hidden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hidden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hidden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hidden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hidden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hidden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hidden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hidden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hidden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hidden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hidden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hidden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hidden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hidden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hidden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hidden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hidden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hidden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hidden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hidden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hidden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hidden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hidden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hidden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hidden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hidden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hidden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hidden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hidden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hidden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hidden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hidden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hidden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hidden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hidden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hidden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hidden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hidden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hidden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hidden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hidden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hidden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hidden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hidden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hidden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hidden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hidden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hidden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hidden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hidden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hidden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hidden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hidden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hidden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hidden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hidden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hidden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hidden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hidden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hidden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hidden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hidden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hidden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hidden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hidden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hidden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hidden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hidden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hidden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hidden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hidden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hidden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hidden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hidden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hidden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hidden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hidden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hidden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hidden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hidden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hidden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hidden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hidden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hidden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hidden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hidden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hidden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hidden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hidden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hidden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hidden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hidden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hidden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hidden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hidden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hidden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hidden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hidden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hidden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hidden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hidden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hidden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hidden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hidden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hidden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hidden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hidden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hidden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hidden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hidden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hidden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hidden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hidden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hidden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hidden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hidden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hidden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hidden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hidden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hidden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hidden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hidden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hidden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hidden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hidden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hidden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hidden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hidden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hidden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hidden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hidden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hidden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hidden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hidden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hidden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hidden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hidden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hidden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hidden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hidden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hidden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hidden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hidden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hidden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hidden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hidden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hidden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hidden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hidden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hidden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hidden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hidden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hidden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hidden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hidden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hidden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hidden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hidden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hidden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hidden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hidden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hidden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hidden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hidden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hidden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hidden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hidden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hidden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hidden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hidden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hidden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hidden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hidden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hidden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hidden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hidden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hidden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hidden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hidden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hidden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hidden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hidden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hidden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hidden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hidden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hidden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hidden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autoFilter ref="$A$1:$Z$1000">
    <filterColumn colId="2">
      <filters>
        <filter val="approved"/>
      </filters>
    </filterColumn>
    <filterColumn colId="14">
      <filters blank="1">
        <filter val="2023-02-16"/>
        <filter val="2023-02-15"/>
        <filter val="2022-12-12"/>
        <filter val="2023-02-19"/>
        <filter val="2023-05-08"/>
        <filter val="2023-02-20"/>
        <filter val="2023-08-07"/>
        <filter val="2022-12-05"/>
        <filter val="2023-05-14"/>
        <filter val="2023-05-15"/>
        <filter val="2024-01-15"/>
        <filter val="2022-12-03"/>
        <filter val="2022-08-30"/>
        <filter val="2022-09-09"/>
        <filter val="2022-12-08"/>
        <filter val="2023-02-22"/>
        <filter val="2023-05-11"/>
        <filter val="2023-05-12"/>
        <filter val="2023-08-02"/>
        <filter val="2023-07-30"/>
        <filter val="2022-09-01"/>
        <filter val="2023-11-21"/>
        <filter val="2022-11-30"/>
        <filter val="2023-02-27"/>
        <filter val="2022-12-01"/>
        <filter val="2023-08-09"/>
        <filter val="2022-08-22"/>
        <filter val="2023-05-25"/>
        <filter val="2024-03-25"/>
        <filter val="2023-03-02"/>
        <filter val="2023-05-21"/>
        <filter val="2022-11-28"/>
        <filter val="2023-03-01"/>
        <filter val="2023-05-22"/>
        <filter val="2024-01-08"/>
        <filter val="2022-11-29"/>
        <filter val="2022-08-29"/>
        <filter val="2023-03-06"/>
        <filter val="2022-10-10"/>
        <filter val="2022-10-11"/>
        <filter val="2023-05-29"/>
        <filter val="2022-09-25"/>
        <filter val="2022-12-28"/>
        <filter val="2023-06-04"/>
        <filter val="2022-09-26"/>
        <filter val="2022-10-01"/>
        <filter val="2022-12-26"/>
        <filter val="2022-10-02"/>
        <filter val="2022-12-25"/>
        <filter val="2023-06-05"/>
        <filter val="2023-08-28"/>
        <filter val="2023-05-31"/>
        <filter val="2023-03-13"/>
        <filter val="2023-06-02"/>
        <filter val="2022-12-29"/>
        <filter val="2023-06-01"/>
        <filter val="2023-08-21"/>
        <filter val="2023-05-30"/>
        <filter val="2022-07-04"/>
        <filter val="2022-09-23"/>
        <filter val="2023-03-17"/>
        <filter val="2023-03-15"/>
        <filter val="2023-06-08"/>
        <filter val="2023-03-20"/>
        <filter val="2023-09-04"/>
        <filter val="2023-01-01"/>
        <filter val="2023-06-10"/>
        <filter val="2022-12-19"/>
        <filter val="2023-06-12"/>
        <filter val="2023-08-31"/>
        <filter val="2023-12-04"/>
        <filter val="2022-09-12"/>
        <filter val="2023-01-02"/>
        <filter val="2023-03-27"/>
        <filter val="2023-06-19"/>
        <filter val="2022-11-01"/>
        <filter val="2023-01-09"/>
        <filter val="2022-10-31"/>
        <filter val="2023-04-01"/>
        <filter val="2023-06-26"/>
        <filter val="2023-06-28"/>
        <filter val="2022-10-24"/>
        <filter val="2023-09-18"/>
        <filter val="2024-02-26"/>
        <filter val="2023-01-11"/>
        <filter val="2022-10-27"/>
        <filter val="2023-06-24"/>
        <filter val="2022-07-28"/>
        <filter val="2023-06-20"/>
        <filter val="2022-07-25"/>
        <filter val="2023-10-10"/>
        <filter val="2023-01-15"/>
        <filter val="2023-04-05"/>
        <filter val="2024-05-13"/>
        <filter val="2023-10-09"/>
        <filter val="2022-10-13"/>
        <filter val="2023-04-15"/>
        <filter val="2024-02-15"/>
        <filter val="2023-07-01"/>
        <filter val="2023-09-26"/>
        <filter val="2024-02-18"/>
        <filter val="2023-01-23"/>
        <filter val="2023-04-10"/>
        <filter val="2022-10-17"/>
        <filter val="2023-04-11"/>
        <filter val="2023-09-25"/>
        <filter val="2024-02-19"/>
        <filter val="2022-09-30"/>
        <filter val="2023-10-02"/>
        <filter val="2023-09-20"/>
        <filter val="2023-12-27"/>
        <filter val="2023-06-30"/>
        <filter val="2023-10-05"/>
        <filter val="2023-04-16"/>
        <filter val="2024-02-12"/>
        <filter val="2022-11-21"/>
        <filter val="2022-11-15"/>
        <filter val="2023-01-30"/>
        <filter val="2023-07-15"/>
        <filter val="2023-07-17"/>
        <filter val="2023-02-01"/>
        <filter val="2022-08-15"/>
        <filter val="2023-09-30"/>
        <filter val="2023-10-16"/>
        <filter val="2023-10-31"/>
        <filter val="2023-02-06"/>
        <filter val="2024-02-01"/>
        <filter val="2023-02-07"/>
        <filter val="2022-08-01"/>
        <filter val="2022-07-31"/>
        <filter val="2023-02-13"/>
        <filter val="2022-11-09"/>
        <filter val="2023-02-12"/>
        <filter val="2023-07-25"/>
        <filter val="2022-11-07"/>
        <filter val="2023-02-10"/>
        <filter val="2023-05-01"/>
        <filter val="2022-08-07"/>
        <filter val="2023-07-20"/>
        <filter val="2023-10-26"/>
      </filters>
    </filterColumn>
  </autoFilter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</hyperlinks>
  <drawing r:id="rId319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3" t="str">
        <f>IFERROR(__xludf.DUMMYFUNCTION("QUERY('Expected Realizations'!A1:Z1501 ,""Select * Where L Contains 'GV' and G Contains 'Turkey'"",1)"),"EP ID_Opp ID")</f>
        <v>EP ID_Opp ID</v>
      </c>
      <c r="B1" s="43" t="str">
        <f>IFERROR(__xludf.DUMMYFUNCTION("""COMPUTED_VALUE"""),"Full Name")</f>
        <v>Full Name</v>
      </c>
      <c r="C1" s="43" t="str">
        <f>IFERROR(__xludf.DUMMYFUNCTION("""COMPUTED_VALUE"""),"Status")</f>
        <v>Status</v>
      </c>
      <c r="D1" s="43" t="str">
        <f>IFERROR(__xludf.DUMMYFUNCTION("""COMPUTED_VALUE"""),"Remote Realized?")</f>
        <v>Remote Realized?</v>
      </c>
      <c r="E1" s="43" t="str">
        <f>IFERROR(__xludf.DUMMYFUNCTION("""COMPUTED_VALUE"""),"Email")</f>
        <v>Email</v>
      </c>
      <c r="F1" s="43" t="str">
        <f>IFERROR(__xludf.DUMMYFUNCTION("""COMPUTED_VALUE"""),"Phone Number")</f>
        <v>Phone Number</v>
      </c>
      <c r="G1" s="43" t="str">
        <f>IFERROR(__xludf.DUMMYFUNCTION("""COMPUTED_VALUE"""),"Home MC")</f>
        <v>Home MC</v>
      </c>
      <c r="H1" s="43" t="str">
        <f>IFERROR(__xludf.DUMMYFUNCTION("""COMPUTED_VALUE"""),"Home LC")</f>
        <v>Home LC</v>
      </c>
      <c r="I1" s="43" t="str">
        <f>IFERROR(__xludf.DUMMYFUNCTION("""COMPUTED_VALUE"""),"Host MC")</f>
        <v>Host MC</v>
      </c>
      <c r="J1" s="43" t="str">
        <f>IFERROR(__xludf.DUMMYFUNCTION("""COMPUTED_VALUE"""),"Host LC")</f>
        <v>Host LC</v>
      </c>
      <c r="K1" s="43" t="str">
        <f>IFERROR(__xludf.DUMMYFUNCTION("""COMPUTED_VALUE"""),"Oppprtunity")</f>
        <v>Oppprtunity</v>
      </c>
      <c r="L1" s="43" t="str">
        <f>IFERROR(__xludf.DUMMYFUNCTION("""COMPUTED_VALUE"""),"Product")</f>
        <v>Product</v>
      </c>
      <c r="M1" s="43" t="str">
        <f>IFERROR(__xludf.DUMMYFUNCTION("""COMPUTED_VALUE"""),"Duration Type")</f>
        <v>Duration Type</v>
      </c>
      <c r="N1" s="43" t="str">
        <f>IFERROR(__xludf.DUMMYFUNCTION("""COMPUTED_VALUE"""),"Date Approved")</f>
        <v>Date Approved</v>
      </c>
      <c r="O1" s="43" t="str">
        <f>IFERROR(__xludf.DUMMYFUNCTION("""COMPUTED_VALUE"""),"Slot Start Date")</f>
        <v>Slot Start Date</v>
      </c>
      <c r="P1" s="43" t="str">
        <f>IFERROR(__xludf.DUMMYFUNCTION("""COMPUTED_VALUE"""),"Slot End Date")</f>
        <v>Slot End Date</v>
      </c>
      <c r="Q1" s="43" t="str">
        <f>IFERROR(__xludf.DUMMYFUNCTION("""COMPUTED_VALUE"""),"Date Realized")</f>
        <v>Date Realized</v>
      </c>
      <c r="R1" s="43" t="str">
        <f>IFERROR(__xludf.DUMMYFUNCTION("""COMPUTED_VALUE"""),"Experience End Date")</f>
        <v>Experience End Date</v>
      </c>
      <c r="S1" s="43" t="str">
        <f>IFERROR(__xludf.DUMMYFUNCTION("""COMPUTED_VALUE"""),"Remote Realized Date")</f>
        <v>Remote Realized Date</v>
      </c>
      <c r="T1" s="43" t="str">
        <f>IFERROR(__xludf.DUMMYFUNCTION("""COMPUTED_VALUE"""),"Sub Product")</f>
        <v>Sub Product</v>
      </c>
      <c r="U1" s="43" t="str">
        <f>IFERROR(__xludf.DUMMYFUNCTION("""COMPUTED_VALUE"""),"Title")</f>
        <v>Title</v>
      </c>
      <c r="V1" s="43" t="str">
        <f>IFERROR(__xludf.DUMMYFUNCTION("""COMPUTED_VALUE"""),"Campus")</f>
        <v>Campus</v>
      </c>
      <c r="W1" s="43" t="str">
        <f>IFERROR(__xludf.DUMMYFUNCTION("""COMPUTED_VALUE"""),"Signup Date")</f>
        <v>Signup Date</v>
      </c>
      <c r="X1" s="43" t="str">
        <f>IFERROR(__xludf.DUMMYFUNCTION("""COMPUTED_VALUE"""),"")</f>
        <v/>
      </c>
      <c r="Y1" s="43" t="str">
        <f>IFERROR(__xludf.DUMMYFUNCTION("""COMPUTED_VALUE"""),"")</f>
        <v/>
      </c>
      <c r="Z1" s="43" t="str">
        <f>IFERROR(__xludf.DUMMYFUNCTION("""COMPUTED_VALUE"""),"")</f>
        <v/>
      </c>
    </row>
    <row r="2" hidden="1">
      <c r="A2" s="43" t="str">
        <f>IFERROR(__xludf.DUMMYFUNCTION("""COMPUTED_VALUE"""),"5078309_1287553")</f>
        <v>5078309_1287553</v>
      </c>
      <c r="B2" s="43" t="str">
        <f>IFERROR(__xludf.DUMMYFUNCTION("""COMPUTED_VALUE"""),"eesa sader")</f>
        <v>eesa sader</v>
      </c>
      <c r="C2" s="43" t="str">
        <f>IFERROR(__xludf.DUMMYFUNCTION("""COMPUTED_VALUE"""),"completed")</f>
        <v>completed</v>
      </c>
      <c r="D2" s="43" t="str">
        <f>IFERROR(__xludf.DUMMYFUNCTION("""COMPUTED_VALUE"""),"No")</f>
        <v>No</v>
      </c>
      <c r="E2" s="43" t="str">
        <f>IFERROR(__xludf.DUMMYFUNCTION("""COMPUTED_VALUE"""),"p_6a864b6ed9d9081681678727c1c995d5dd2feab3@inbound.aiesec.org")</f>
        <v>p_6a864b6ed9d9081681678727c1c995d5dd2feab3@inbound.aiesec.org</v>
      </c>
      <c r="F2" s="43"/>
      <c r="G2" s="43" t="str">
        <f>IFERROR(__xludf.DUMMYFUNCTION("""COMPUTED_VALUE"""),"Turkey")</f>
        <v>Turkey</v>
      </c>
      <c r="H2" s="43" t="str">
        <f>IFERROR(__xludf.DUMMYFUNCTION("""COMPUTED_VALUE"""),"KOCAELI")</f>
        <v>KOCAELI</v>
      </c>
      <c r="I2" s="43" t="str">
        <f>IFERROR(__xludf.DUMMYFUNCTION("""COMPUTED_VALUE"""),"Romania")</f>
        <v>Romania</v>
      </c>
      <c r="J2" s="43" t="str">
        <f>IFERROR(__xludf.DUMMYFUNCTION("""COMPUTED_VALUE"""),"BUCURESTI")</f>
        <v>BUCURESTI</v>
      </c>
      <c r="K2" s="44" t="str">
        <f>IFERROR(__xludf.DUMMYFUNCTION("""COMPUTED_VALUE"""),"https://expa.aiesec.org/opportunities/1287553")</f>
        <v>https://expa.aiesec.org/opportunities/1287553</v>
      </c>
      <c r="L2" s="43" t="str">
        <f>IFERROR(__xludf.DUMMYFUNCTION("""COMPUTED_VALUE"""),"GV")</f>
        <v>GV</v>
      </c>
      <c r="M2" s="43" t="str">
        <f>IFERROR(__xludf.DUMMYFUNCTION("""COMPUTED_VALUE"""),"short")</f>
        <v>short</v>
      </c>
      <c r="N2" s="45">
        <f>IFERROR(__xludf.DUMMYFUNCTION("""COMPUTED_VALUE"""),44746.0)</f>
        <v>44746</v>
      </c>
      <c r="O2" s="45">
        <f>IFERROR(__xludf.DUMMYFUNCTION("""COMPUTED_VALUE"""),44767.0)</f>
        <v>44767</v>
      </c>
      <c r="P2" s="45">
        <f>IFERROR(__xludf.DUMMYFUNCTION("""COMPUTED_VALUE"""),44809.0)</f>
        <v>44809</v>
      </c>
      <c r="Q2" s="45">
        <f>IFERROR(__xludf.DUMMYFUNCTION("""COMPUTED_VALUE"""),44768.0)</f>
        <v>44768</v>
      </c>
      <c r="R2" s="45">
        <f>IFERROR(__xludf.DUMMYFUNCTION("""COMPUTED_VALUE"""),44809.0)</f>
        <v>44809</v>
      </c>
      <c r="S2" s="43"/>
      <c r="T2" s="43"/>
      <c r="U2" s="43" t="str">
        <f>IFERROR(__xludf.DUMMYFUNCTION("""COMPUTED_VALUE"""),"Equify")</f>
        <v>Equify</v>
      </c>
      <c r="V2" s="43" t="str">
        <f>IFERROR(__xludf.DUMMYFUNCTION("""COMPUTED_VALUE"""),"-")</f>
        <v>-</v>
      </c>
      <c r="W2" s="43" t="str">
        <f>IFERROR(__xludf.DUMMYFUNCTION("""COMPUTED_VALUE"""),"2022-06-30T10:08:21Z")</f>
        <v>2022-06-30T10:08:21Z</v>
      </c>
      <c r="X2" s="43"/>
      <c r="Y2" s="43"/>
      <c r="Z2" s="43"/>
    </row>
    <row r="3" hidden="1">
      <c r="A3" s="43" t="str">
        <f>IFERROR(__xludf.DUMMYFUNCTION("""COMPUTED_VALUE"""),"4832044_1286879")</f>
        <v>4832044_1286879</v>
      </c>
      <c r="B3" s="43" t="str">
        <f>IFERROR(__xludf.DUMMYFUNCTION("""COMPUTED_VALUE"""),"Öznur Şafak")</f>
        <v>Öznur Şafak</v>
      </c>
      <c r="C3" s="43" t="str">
        <f>IFERROR(__xludf.DUMMYFUNCTION("""COMPUTED_VALUE"""),"completed")</f>
        <v>completed</v>
      </c>
      <c r="D3" s="43" t="str">
        <f>IFERROR(__xludf.DUMMYFUNCTION("""COMPUTED_VALUE"""),"No")</f>
        <v>No</v>
      </c>
      <c r="E3" s="43" t="str">
        <f>IFERROR(__xludf.DUMMYFUNCTION("""COMPUTED_VALUE"""),"p_038cf9f7de023602a4b169ec149e3b37defca362@inbound.aiesec.org")</f>
        <v>p_038cf9f7de023602a4b169ec149e3b37defca362@inbound.aiesec.org</v>
      </c>
      <c r="F3" s="43">
        <f>IFERROR(__xludf.DUMMYFUNCTION("""COMPUTED_VALUE"""),5.075936399E9)</f>
        <v>5075936399</v>
      </c>
      <c r="G3" s="43" t="str">
        <f>IFERROR(__xludf.DUMMYFUNCTION("""COMPUTED_VALUE"""),"Turkey")</f>
        <v>Turkey</v>
      </c>
      <c r="H3" s="43" t="str">
        <f>IFERROR(__xludf.DUMMYFUNCTION("""COMPUTED_VALUE"""),"ANKARA")</f>
        <v>ANKARA</v>
      </c>
      <c r="I3" s="43" t="str">
        <f>IFERROR(__xludf.DUMMYFUNCTION("""COMPUTED_VALUE"""),"Romania")</f>
        <v>Romania</v>
      </c>
      <c r="J3" s="43" t="str">
        <f>IFERROR(__xludf.DUMMYFUNCTION("""COMPUTED_VALUE"""),"Cluj-Napoca")</f>
        <v>Cluj-Napoca</v>
      </c>
      <c r="K3" s="44" t="str">
        <f>IFERROR(__xludf.DUMMYFUNCTION("""COMPUTED_VALUE"""),"https://expa.aiesec.org/opportunities/1286879")</f>
        <v>https://expa.aiesec.org/opportunities/1286879</v>
      </c>
      <c r="L3" s="43" t="str">
        <f>IFERROR(__xludf.DUMMYFUNCTION("""COMPUTED_VALUE"""),"GV")</f>
        <v>GV</v>
      </c>
      <c r="M3" s="43" t="str">
        <f>IFERROR(__xludf.DUMMYFUNCTION("""COMPUTED_VALUE"""),"short")</f>
        <v>short</v>
      </c>
      <c r="N3" s="45">
        <f>IFERROR(__xludf.DUMMYFUNCTION("""COMPUTED_VALUE"""),44747.0)</f>
        <v>44747</v>
      </c>
      <c r="O3" s="45">
        <f>IFERROR(__xludf.DUMMYFUNCTION("""COMPUTED_VALUE"""),44746.0)</f>
        <v>44746</v>
      </c>
      <c r="P3" s="45">
        <f>IFERROR(__xludf.DUMMYFUNCTION("""COMPUTED_VALUE"""),44788.0)</f>
        <v>44788</v>
      </c>
      <c r="Q3" s="45">
        <f>IFERROR(__xludf.DUMMYFUNCTION("""COMPUTED_VALUE"""),44768.0)</f>
        <v>44768</v>
      </c>
      <c r="R3" s="45">
        <f>IFERROR(__xludf.DUMMYFUNCTION("""COMPUTED_VALUE"""),44788.0)</f>
        <v>44788</v>
      </c>
      <c r="S3" s="43"/>
      <c r="T3" s="43"/>
      <c r="U3" s="43" t="str">
        <f>IFERROR(__xludf.DUMMYFUNCTION("""COMPUTED_VALUE"""),"Fingerprint")</f>
        <v>Fingerprint</v>
      </c>
      <c r="V3" s="43" t="str">
        <f>IFERROR(__xludf.DUMMYFUNCTION("""COMPUTED_VALUE"""),"ANKARA")</f>
        <v>ANKARA</v>
      </c>
      <c r="W3" s="43" t="str">
        <f>IFERROR(__xludf.DUMMYFUNCTION("""COMPUTED_VALUE"""),"2021-12-06T08:55:13Z")</f>
        <v>2021-12-06T08:55:13Z</v>
      </c>
      <c r="X3" s="43"/>
      <c r="Y3" s="43"/>
      <c r="Z3" s="43"/>
    </row>
    <row r="4" hidden="1">
      <c r="A4" s="43" t="str">
        <f>IFERROR(__xludf.DUMMYFUNCTION("""COMPUTED_VALUE"""),"5078407_1287128")</f>
        <v>5078407_1287128</v>
      </c>
      <c r="B4" s="43" t="str">
        <f>IFERROR(__xludf.DUMMYFUNCTION("""COMPUTED_VALUE"""),"Alper Delibaş")</f>
        <v>Alper Delibaş</v>
      </c>
      <c r="C4" s="43" t="str">
        <f>IFERROR(__xludf.DUMMYFUNCTION("""COMPUTED_VALUE"""),"completed")</f>
        <v>completed</v>
      </c>
      <c r="D4" s="43" t="str">
        <f>IFERROR(__xludf.DUMMYFUNCTION("""COMPUTED_VALUE"""),"No")</f>
        <v>No</v>
      </c>
      <c r="E4" s="43" t="str">
        <f>IFERROR(__xludf.DUMMYFUNCTION("""COMPUTED_VALUE"""),"p_276c87977c4337c24e5daba46160a6ea938b50d8@inbound.aiesec.org")</f>
        <v>p_276c87977c4337c24e5daba46160a6ea938b50d8@inbound.aiesec.org</v>
      </c>
      <c r="F4" s="43">
        <f>IFERROR(__xludf.DUMMYFUNCTION("""COMPUTED_VALUE"""),5.322971873E9)</f>
        <v>5322971873</v>
      </c>
      <c r="G4" s="43" t="str">
        <f>IFERROR(__xludf.DUMMYFUNCTION("""COMPUTED_VALUE"""),"Turkey")</f>
        <v>Turkey</v>
      </c>
      <c r="H4" s="43" t="str">
        <f>IFERROR(__xludf.DUMMYFUNCTION("""COMPUTED_VALUE"""),"ISTANBUL")</f>
        <v>ISTANBUL</v>
      </c>
      <c r="I4" s="43" t="str">
        <f>IFERROR(__xludf.DUMMYFUNCTION("""COMPUTED_VALUE"""),"Romania")</f>
        <v>Romania</v>
      </c>
      <c r="J4" s="43" t="str">
        <f>IFERROR(__xludf.DUMMYFUNCTION("""COMPUTED_VALUE"""),"Cluj-Napoca")</f>
        <v>Cluj-Napoca</v>
      </c>
      <c r="K4" s="44" t="str">
        <f>IFERROR(__xludf.DUMMYFUNCTION("""COMPUTED_VALUE"""),"https://expa.aiesec.org/opportunities/1287128")</f>
        <v>https://expa.aiesec.org/opportunities/1287128</v>
      </c>
      <c r="L4" s="43" t="str">
        <f>IFERROR(__xludf.DUMMYFUNCTION("""COMPUTED_VALUE"""),"GV")</f>
        <v>GV</v>
      </c>
      <c r="M4" s="43" t="str">
        <f>IFERROR(__xludf.DUMMYFUNCTION("""COMPUTED_VALUE"""),"short")</f>
        <v>short</v>
      </c>
      <c r="N4" s="45">
        <f>IFERROR(__xludf.DUMMYFUNCTION("""COMPUTED_VALUE"""),44747.0)</f>
        <v>44747</v>
      </c>
      <c r="O4" s="45">
        <f>IFERROR(__xludf.DUMMYFUNCTION("""COMPUTED_VALUE"""),44753.0)</f>
        <v>44753</v>
      </c>
      <c r="P4" s="45">
        <f>IFERROR(__xludf.DUMMYFUNCTION("""COMPUTED_VALUE"""),44795.0)</f>
        <v>44795</v>
      </c>
      <c r="Q4" s="45">
        <f>IFERROR(__xludf.DUMMYFUNCTION("""COMPUTED_VALUE"""),44754.0)</f>
        <v>44754</v>
      </c>
      <c r="R4" s="45">
        <f>IFERROR(__xludf.DUMMYFUNCTION("""COMPUTED_VALUE"""),44795.0)</f>
        <v>44795</v>
      </c>
      <c r="S4" s="43"/>
      <c r="T4" s="43"/>
      <c r="U4" s="43" t="str">
        <f>IFERROR(__xludf.DUMMYFUNCTION("""COMPUTED_VALUE"""),"Equify")</f>
        <v>Equify</v>
      </c>
      <c r="V4" s="43" t="str">
        <f>IFERROR(__xludf.DUMMYFUNCTION("""COMPUTED_VALUE"""),"ISTANBUL - BEYOGLU")</f>
        <v>ISTANBUL - BEYOGLU</v>
      </c>
      <c r="W4" s="43" t="str">
        <f>IFERROR(__xludf.DUMMYFUNCTION("""COMPUTED_VALUE"""),"2022-06-30T15:00:26Z")</f>
        <v>2022-06-30T15:00:26Z</v>
      </c>
      <c r="X4" s="43"/>
      <c r="Y4" s="43"/>
      <c r="Z4" s="43"/>
    </row>
    <row r="5" hidden="1">
      <c r="A5" s="43" t="str">
        <f>IFERROR(__xludf.DUMMYFUNCTION("""COMPUTED_VALUE"""),"5077765_1283949")</f>
        <v>5077765_1283949</v>
      </c>
      <c r="B5" s="43" t="str">
        <f>IFERROR(__xludf.DUMMYFUNCTION("""COMPUTED_VALUE"""),"benannur doğan")</f>
        <v>benannur doğan</v>
      </c>
      <c r="C5" s="43" t="str">
        <f>IFERROR(__xludf.DUMMYFUNCTION("""COMPUTED_VALUE"""),"approved")</f>
        <v>approved</v>
      </c>
      <c r="D5" s="43" t="str">
        <f>IFERROR(__xludf.DUMMYFUNCTION("""COMPUTED_VALUE"""),"No")</f>
        <v>No</v>
      </c>
      <c r="E5" s="43" t="str">
        <f>IFERROR(__xludf.DUMMYFUNCTION("""COMPUTED_VALUE"""),"p_c80034536720cf562111164e9e06c7568c51f62a@inbound.aiesec.org")</f>
        <v>p_c80034536720cf562111164e9e06c7568c51f62a@inbound.aiesec.org</v>
      </c>
      <c r="F5" s="43"/>
      <c r="G5" s="43" t="str">
        <f>IFERROR(__xludf.DUMMYFUNCTION("""COMPUTED_VALUE"""),"Turkey")</f>
        <v>Turkey</v>
      </c>
      <c r="H5" s="43" t="str">
        <f>IFERROR(__xludf.DUMMYFUNCTION("""COMPUTED_VALUE"""),"KOCAELI")</f>
        <v>KOCAELI</v>
      </c>
      <c r="I5" s="43" t="str">
        <f>IFERROR(__xludf.DUMMYFUNCTION("""COMPUTED_VALUE"""),"Costa Rica")</f>
        <v>Costa Rica</v>
      </c>
      <c r="J5" s="43" t="str">
        <f>IFERROR(__xludf.DUMMYFUNCTION("""COMPUTED_VALUE"""),"MC Costa Rica")</f>
        <v>MC Costa Rica</v>
      </c>
      <c r="K5" s="44" t="str">
        <f>IFERROR(__xludf.DUMMYFUNCTION("""COMPUTED_VALUE"""),"https://expa.aiesec.org/opportunities/1283949")</f>
        <v>https://expa.aiesec.org/opportunities/1283949</v>
      </c>
      <c r="L5" s="43" t="str">
        <f>IFERROR(__xludf.DUMMYFUNCTION("""COMPUTED_VALUE"""),"GV")</f>
        <v>GV</v>
      </c>
      <c r="M5" s="43" t="str">
        <f>IFERROR(__xludf.DUMMYFUNCTION("""COMPUTED_VALUE"""),"short")</f>
        <v>short</v>
      </c>
      <c r="N5" s="45">
        <f>IFERROR(__xludf.DUMMYFUNCTION("""COMPUTED_VALUE"""),44747.0)</f>
        <v>44747</v>
      </c>
      <c r="O5" s="45">
        <f>IFERROR(__xludf.DUMMYFUNCTION("""COMPUTED_VALUE"""),44900.0)</f>
        <v>44900</v>
      </c>
      <c r="P5" s="45">
        <f>IFERROR(__xludf.DUMMYFUNCTION("""COMPUTED_VALUE"""),44942.0)</f>
        <v>44942</v>
      </c>
      <c r="Q5" s="45"/>
      <c r="R5" s="45"/>
      <c r="S5" s="43"/>
      <c r="T5" s="43"/>
      <c r="U5" s="43" t="str">
        <f>IFERROR(__xludf.DUMMYFUNCTION("""COMPUTED_VALUE"""),"Green Leaders")</f>
        <v>Green Leaders</v>
      </c>
      <c r="V5" s="43" t="str">
        <f>IFERROR(__xludf.DUMMYFUNCTION("""COMPUTED_VALUE"""),"KOCAELI")</f>
        <v>KOCAELI</v>
      </c>
      <c r="W5" s="43" t="str">
        <f>IFERROR(__xludf.DUMMYFUNCTION("""COMPUTED_VALUE"""),"2022-06-28T22:32:19Z")</f>
        <v>2022-06-28T22:32:19Z</v>
      </c>
      <c r="X5" s="43"/>
      <c r="Y5" s="43"/>
      <c r="Z5" s="43"/>
    </row>
    <row r="6" hidden="1">
      <c r="A6" s="43" t="str">
        <f>IFERROR(__xludf.DUMMYFUNCTION("""COMPUTED_VALUE"""),"5032474_1285265")</f>
        <v>5032474_1285265</v>
      </c>
      <c r="B6" s="43" t="str">
        <f>IFERROR(__xludf.DUMMYFUNCTION("""COMPUTED_VALUE"""),"Ercan Altay Atmaca")</f>
        <v>Ercan Altay Atmaca</v>
      </c>
      <c r="C6" s="43" t="str">
        <f>IFERROR(__xludf.DUMMYFUNCTION("""COMPUTED_VALUE"""),"completed")</f>
        <v>completed</v>
      </c>
      <c r="D6" s="43" t="str">
        <f>IFERROR(__xludf.DUMMYFUNCTION("""COMPUTED_VALUE"""),"No")</f>
        <v>No</v>
      </c>
      <c r="E6" s="43" t="str">
        <f>IFERROR(__xludf.DUMMYFUNCTION("""COMPUTED_VALUE"""),"p_ff6aa106a04c2d139c7a220a8e9d41f73b7d42dd@inbound.aiesec.org")</f>
        <v>p_ff6aa106a04c2d139c7a220a8e9d41f73b7d42dd@inbound.aiesec.org</v>
      </c>
      <c r="F6" s="43">
        <f>IFERROR(__xludf.DUMMYFUNCTION("""COMPUTED_VALUE"""),5.349774651E9)</f>
        <v>5349774651</v>
      </c>
      <c r="G6" s="43" t="str">
        <f>IFERROR(__xludf.DUMMYFUNCTION("""COMPUTED_VALUE"""),"Turkey")</f>
        <v>Turkey</v>
      </c>
      <c r="H6" s="43" t="str">
        <f>IFERROR(__xludf.DUMMYFUNCTION("""COMPUTED_VALUE"""),"ISTANBUL ASIA")</f>
        <v>ISTANBUL ASIA</v>
      </c>
      <c r="I6" s="43" t="str">
        <f>IFERROR(__xludf.DUMMYFUNCTION("""COMPUTED_VALUE"""),"Lithuania")</f>
        <v>Lithuania</v>
      </c>
      <c r="J6" s="43" t="str">
        <f>IFERROR(__xludf.DUMMYFUNCTION("""COMPUTED_VALUE"""),"VILNIUS ISM")</f>
        <v>VILNIUS ISM</v>
      </c>
      <c r="K6" s="44" t="str">
        <f>IFERROR(__xludf.DUMMYFUNCTION("""COMPUTED_VALUE"""),"https://expa.aiesec.org/opportunities/1285265")</f>
        <v>https://expa.aiesec.org/opportunities/1285265</v>
      </c>
      <c r="L6" s="43" t="str">
        <f>IFERROR(__xludf.DUMMYFUNCTION("""COMPUTED_VALUE"""),"GV")</f>
        <v>GV</v>
      </c>
      <c r="M6" s="43" t="str">
        <f>IFERROR(__xludf.DUMMYFUNCTION("""COMPUTED_VALUE"""),"short")</f>
        <v>short</v>
      </c>
      <c r="N6" s="45">
        <f>IFERROR(__xludf.DUMMYFUNCTION("""COMPUTED_VALUE"""),44747.0)</f>
        <v>44747</v>
      </c>
      <c r="O6" s="45">
        <f>IFERROR(__xludf.DUMMYFUNCTION("""COMPUTED_VALUE"""),44753.0)</f>
        <v>44753</v>
      </c>
      <c r="P6" s="45">
        <f>IFERROR(__xludf.DUMMYFUNCTION("""COMPUTED_VALUE"""),44795.0)</f>
        <v>44795</v>
      </c>
      <c r="Q6" s="45">
        <f>IFERROR(__xludf.DUMMYFUNCTION("""COMPUTED_VALUE"""),44754.0)</f>
        <v>44754</v>
      </c>
      <c r="R6" s="45">
        <f>IFERROR(__xludf.DUMMYFUNCTION("""COMPUTED_VALUE"""),44795.0)</f>
        <v>44795</v>
      </c>
      <c r="S6" s="43"/>
      <c r="T6" s="43"/>
      <c r="U6" s="43" t="str">
        <f>IFERROR(__xludf.DUMMYFUNCTION("""COMPUTED_VALUE"""),"Youth 4 Impact")</f>
        <v>Youth 4 Impact</v>
      </c>
      <c r="V6" s="43" t="str">
        <f>IFERROR(__xludf.DUMMYFUNCTION("""COMPUTED_VALUE"""),"ISTANBUL - BEYOGLU")</f>
        <v>ISTANBUL - BEYOGLU</v>
      </c>
      <c r="W6" s="43" t="str">
        <f>IFERROR(__xludf.DUMMYFUNCTION("""COMPUTED_VALUE"""),"2022-04-09T16:02:26Z")</f>
        <v>2022-04-09T16:02:26Z</v>
      </c>
      <c r="X6" s="43"/>
      <c r="Y6" s="43"/>
      <c r="Z6" s="43"/>
    </row>
    <row r="7" hidden="1">
      <c r="A7" s="43" t="str">
        <f>IFERROR(__xludf.DUMMYFUNCTION("""COMPUTED_VALUE"""),"4763355_1286879")</f>
        <v>4763355_1286879</v>
      </c>
      <c r="B7" s="43" t="str">
        <f>IFERROR(__xludf.DUMMYFUNCTION("""COMPUTED_VALUE"""),"ikra çapcı")</f>
        <v>ikra çapcı</v>
      </c>
      <c r="C7" s="43" t="str">
        <f>IFERROR(__xludf.DUMMYFUNCTION("""COMPUTED_VALUE"""),"completed")</f>
        <v>completed</v>
      </c>
      <c r="D7" s="43" t="str">
        <f>IFERROR(__xludf.DUMMYFUNCTION("""COMPUTED_VALUE"""),"No")</f>
        <v>No</v>
      </c>
      <c r="E7" s="43" t="str">
        <f>IFERROR(__xludf.DUMMYFUNCTION("""COMPUTED_VALUE"""),"p_0737f196a1724003c46ff3c1a5ea26cf463a12d3@inbound.aiesec.org")</f>
        <v>p_0737f196a1724003c46ff3c1a5ea26cf463a12d3@inbound.aiesec.org</v>
      </c>
      <c r="F7" s="43">
        <f>IFERROR(__xludf.DUMMYFUNCTION("""COMPUTED_VALUE"""),5.418073246E9)</f>
        <v>5418073246</v>
      </c>
      <c r="G7" s="43" t="str">
        <f>IFERROR(__xludf.DUMMYFUNCTION("""COMPUTED_VALUE"""),"Turkey")</f>
        <v>Turkey</v>
      </c>
      <c r="H7" s="43" t="str">
        <f>IFERROR(__xludf.DUMMYFUNCTION("""COMPUTED_VALUE"""),"ANKARA")</f>
        <v>ANKARA</v>
      </c>
      <c r="I7" s="43" t="str">
        <f>IFERROR(__xludf.DUMMYFUNCTION("""COMPUTED_VALUE"""),"Romania")</f>
        <v>Romania</v>
      </c>
      <c r="J7" s="43" t="str">
        <f>IFERROR(__xludf.DUMMYFUNCTION("""COMPUTED_VALUE"""),"Cluj-Napoca")</f>
        <v>Cluj-Napoca</v>
      </c>
      <c r="K7" s="44" t="str">
        <f>IFERROR(__xludf.DUMMYFUNCTION("""COMPUTED_VALUE"""),"https://expa.aiesec.org/opportunities/1286879")</f>
        <v>https://expa.aiesec.org/opportunities/1286879</v>
      </c>
      <c r="L7" s="43" t="str">
        <f>IFERROR(__xludf.DUMMYFUNCTION("""COMPUTED_VALUE"""),"GV")</f>
        <v>GV</v>
      </c>
      <c r="M7" s="43" t="str">
        <f>IFERROR(__xludf.DUMMYFUNCTION("""COMPUTED_VALUE"""),"short")</f>
        <v>short</v>
      </c>
      <c r="N7" s="45">
        <f>IFERROR(__xludf.DUMMYFUNCTION("""COMPUTED_VALUE"""),44748.0)</f>
        <v>44748</v>
      </c>
      <c r="O7" s="45">
        <f>IFERROR(__xludf.DUMMYFUNCTION("""COMPUTED_VALUE"""),44746.0)</f>
        <v>44746</v>
      </c>
      <c r="P7" s="45">
        <f>IFERROR(__xludf.DUMMYFUNCTION("""COMPUTED_VALUE"""),44788.0)</f>
        <v>44788</v>
      </c>
      <c r="Q7" s="45">
        <f>IFERROR(__xludf.DUMMYFUNCTION("""COMPUTED_VALUE"""),44757.0)</f>
        <v>44757</v>
      </c>
      <c r="R7" s="45">
        <f>IFERROR(__xludf.DUMMYFUNCTION("""COMPUTED_VALUE"""),44797.0)</f>
        <v>44797</v>
      </c>
      <c r="S7" s="43"/>
      <c r="T7" s="43"/>
      <c r="U7" s="43" t="str">
        <f>IFERROR(__xludf.DUMMYFUNCTION("""COMPUTED_VALUE"""),"Fingerprint")</f>
        <v>Fingerprint</v>
      </c>
      <c r="V7" s="43" t="str">
        <f>IFERROR(__xludf.DUMMYFUNCTION("""COMPUTED_VALUE"""),"ANKARA")</f>
        <v>ANKARA</v>
      </c>
      <c r="W7" s="43" t="str">
        <f>IFERROR(__xludf.DUMMYFUNCTION("""COMPUTED_VALUE"""),"2021-10-12T16:59:25Z")</f>
        <v>2021-10-12T16:59:25Z</v>
      </c>
      <c r="X7" s="43"/>
      <c r="Y7" s="43"/>
      <c r="Z7" s="43"/>
    </row>
    <row r="8" hidden="1">
      <c r="A8" s="43" t="str">
        <f>IFERROR(__xludf.DUMMYFUNCTION("""COMPUTED_VALUE"""),"5073553_1287017")</f>
        <v>5073553_1287017</v>
      </c>
      <c r="B8" s="43" t="str">
        <f>IFERROR(__xludf.DUMMYFUNCTION("""COMPUTED_VALUE"""),"Ece Selin Ecer")</f>
        <v>Ece Selin Ecer</v>
      </c>
      <c r="C8" s="43" t="str">
        <f>IFERROR(__xludf.DUMMYFUNCTION("""COMPUTED_VALUE"""),"completed")</f>
        <v>completed</v>
      </c>
      <c r="D8" s="43" t="str">
        <f>IFERROR(__xludf.DUMMYFUNCTION("""COMPUTED_VALUE"""),"No")</f>
        <v>No</v>
      </c>
      <c r="E8" s="43" t="str">
        <f>IFERROR(__xludf.DUMMYFUNCTION("""COMPUTED_VALUE"""),"p_d48f85c4910e97fc7ee35e6a99745c99795e413e@inbound.aiesec.org")</f>
        <v>p_d48f85c4910e97fc7ee35e6a99745c99795e413e@inbound.aiesec.org</v>
      </c>
      <c r="F8" s="43">
        <f>IFERROR(__xludf.DUMMYFUNCTION("""COMPUTED_VALUE"""),5.309492927E9)</f>
        <v>5309492927</v>
      </c>
      <c r="G8" s="43" t="str">
        <f>IFERROR(__xludf.DUMMYFUNCTION("""COMPUTED_VALUE"""),"Turkey")</f>
        <v>Turkey</v>
      </c>
      <c r="H8" s="43" t="str">
        <f>IFERROR(__xludf.DUMMYFUNCTION("""COMPUTED_VALUE"""),"ISTANBUL ASIA")</f>
        <v>ISTANBUL ASIA</v>
      </c>
      <c r="I8" s="43" t="str">
        <f>IFERROR(__xludf.DUMMYFUNCTION("""COMPUTED_VALUE"""),"Poland")</f>
        <v>Poland</v>
      </c>
      <c r="J8" s="43" t="str">
        <f>IFERROR(__xludf.DUMMYFUNCTION("""COMPUTED_VALUE"""),"WARSZAWA SGH")</f>
        <v>WARSZAWA SGH</v>
      </c>
      <c r="K8" s="44" t="str">
        <f>IFERROR(__xludf.DUMMYFUNCTION("""COMPUTED_VALUE"""),"https://expa.aiesec.org/opportunities/1287017")</f>
        <v>https://expa.aiesec.org/opportunities/1287017</v>
      </c>
      <c r="L8" s="43" t="str">
        <f>IFERROR(__xludf.DUMMYFUNCTION("""COMPUTED_VALUE"""),"GV")</f>
        <v>GV</v>
      </c>
      <c r="M8" s="43" t="str">
        <f>IFERROR(__xludf.DUMMYFUNCTION("""COMPUTED_VALUE"""),"short")</f>
        <v>short</v>
      </c>
      <c r="N8" s="45">
        <f>IFERROR(__xludf.DUMMYFUNCTION("""COMPUTED_VALUE"""),44748.0)</f>
        <v>44748</v>
      </c>
      <c r="O8" s="45">
        <f>IFERROR(__xludf.DUMMYFUNCTION("""COMPUTED_VALUE"""),44766.0)</f>
        <v>44766</v>
      </c>
      <c r="P8" s="45">
        <f>IFERROR(__xludf.DUMMYFUNCTION("""COMPUTED_VALUE"""),44808.0)</f>
        <v>44808</v>
      </c>
      <c r="Q8" s="45">
        <f>IFERROR(__xludf.DUMMYFUNCTION("""COMPUTED_VALUE"""),44775.0)</f>
        <v>44775</v>
      </c>
      <c r="R8" s="45">
        <f>IFERROR(__xludf.DUMMYFUNCTION("""COMPUTED_VALUE"""),44808.0)</f>
        <v>44808</v>
      </c>
      <c r="S8" s="43"/>
      <c r="T8" s="43"/>
      <c r="U8" s="43" t="str">
        <f>IFERROR(__xludf.DUMMYFUNCTION("""COMPUTED_VALUE"""),"Global Classroom")</f>
        <v>Global Classroom</v>
      </c>
      <c r="V8" s="43" t="str">
        <f>IFERROR(__xludf.DUMMYFUNCTION("""COMPUTED_VALUE"""),"ISTANBUL ASIA")</f>
        <v>ISTANBUL ASIA</v>
      </c>
      <c r="W8" s="43" t="str">
        <f>IFERROR(__xludf.DUMMYFUNCTION("""COMPUTED_VALUE"""),"2022-06-16T20:11:23Z")</f>
        <v>2022-06-16T20:11:23Z</v>
      </c>
      <c r="X8" s="43"/>
      <c r="Y8" s="43"/>
      <c r="Z8" s="43"/>
    </row>
    <row r="9" hidden="1">
      <c r="A9" s="43" t="str">
        <f>IFERROR(__xludf.DUMMYFUNCTION("""COMPUTED_VALUE"""),"3900569_1282278")</f>
        <v>3900569_1282278</v>
      </c>
      <c r="B9" s="43" t="str">
        <f>IFERROR(__xludf.DUMMYFUNCTION("""COMPUTED_VALUE"""),"Berke Can Kelleci")</f>
        <v>Berke Can Kelleci</v>
      </c>
      <c r="C9" s="43" t="str">
        <f>IFERROR(__xludf.DUMMYFUNCTION("""COMPUTED_VALUE"""),"realization_broken")</f>
        <v>realization_broken</v>
      </c>
      <c r="D9" s="43" t="str">
        <f>IFERROR(__xludf.DUMMYFUNCTION("""COMPUTED_VALUE"""),"No")</f>
        <v>No</v>
      </c>
      <c r="E9" s="43" t="str">
        <f>IFERROR(__xludf.DUMMYFUNCTION("""COMPUTED_VALUE"""),"p_0d36f249ae5108d985b48daea4fd1423ed2f9a55@inbound.aiesec.org")</f>
        <v>p_0d36f249ae5108d985b48daea4fd1423ed2f9a55@inbound.aiesec.org</v>
      </c>
      <c r="F9" s="43">
        <f>IFERROR(__xludf.DUMMYFUNCTION("""COMPUTED_VALUE"""),5.307018868E9)</f>
        <v>5307018868</v>
      </c>
      <c r="G9" s="43" t="str">
        <f>IFERROR(__xludf.DUMMYFUNCTION("""COMPUTED_VALUE"""),"Turkey")</f>
        <v>Turkey</v>
      </c>
      <c r="H9" s="43" t="str">
        <f>IFERROR(__xludf.DUMMYFUNCTION("""COMPUTED_VALUE"""),"KOCAELI")</f>
        <v>KOCAELI</v>
      </c>
      <c r="I9" s="43" t="str">
        <f>IFERROR(__xludf.DUMMYFUNCTION("""COMPUTED_VALUE"""),"Romania")</f>
        <v>Romania</v>
      </c>
      <c r="J9" s="43" t="str">
        <f>IFERROR(__xludf.DUMMYFUNCTION("""COMPUTED_VALUE"""),"BUCURESTI")</f>
        <v>BUCURESTI</v>
      </c>
      <c r="K9" s="44" t="str">
        <f>IFERROR(__xludf.DUMMYFUNCTION("""COMPUTED_VALUE"""),"https://expa.aiesec.org/opportunities/1282278")</f>
        <v>https://expa.aiesec.org/opportunities/1282278</v>
      </c>
      <c r="L9" s="43" t="str">
        <f>IFERROR(__xludf.DUMMYFUNCTION("""COMPUTED_VALUE"""),"GV")</f>
        <v>GV</v>
      </c>
      <c r="M9" s="43" t="str">
        <f>IFERROR(__xludf.DUMMYFUNCTION("""COMPUTED_VALUE"""),"short")</f>
        <v>short</v>
      </c>
      <c r="N9" s="45">
        <f>IFERROR(__xludf.DUMMYFUNCTION("""COMPUTED_VALUE"""),44749.0)</f>
        <v>44749</v>
      </c>
      <c r="O9" s="45">
        <f>IFERROR(__xludf.DUMMYFUNCTION("""COMPUTED_VALUE"""),44767.0)</f>
        <v>44767</v>
      </c>
      <c r="P9" s="45">
        <f>IFERROR(__xludf.DUMMYFUNCTION("""COMPUTED_VALUE"""),44809.0)</f>
        <v>44809</v>
      </c>
      <c r="Q9" s="45"/>
      <c r="R9" s="45"/>
      <c r="S9" s="43"/>
      <c r="T9" s="43"/>
      <c r="U9" s="43" t="str">
        <f>IFERROR(__xludf.DUMMYFUNCTION("""COMPUTED_VALUE"""),"Youth 4 Impact")</f>
        <v>Youth 4 Impact</v>
      </c>
      <c r="V9" s="43" t="str">
        <f>IFERROR(__xludf.DUMMYFUNCTION("""COMPUTED_VALUE"""),"KOCAELI")</f>
        <v>KOCAELI</v>
      </c>
      <c r="W9" s="43" t="str">
        <f>IFERROR(__xludf.DUMMYFUNCTION("""COMPUTED_VALUE"""),"2019-10-16T22:40:07Z")</f>
        <v>2019-10-16T22:40:07Z</v>
      </c>
      <c r="X9" s="43"/>
      <c r="Y9" s="43"/>
      <c r="Z9" s="43"/>
    </row>
    <row r="10" hidden="1">
      <c r="A10" s="43" t="str">
        <f>IFERROR(__xludf.DUMMYFUNCTION("""COMPUTED_VALUE"""),"4881944_1288009")</f>
        <v>4881944_1288009</v>
      </c>
      <c r="B10" s="43" t="str">
        <f>IFERROR(__xludf.DUMMYFUNCTION("""COMPUTED_VALUE"""),"Zeynep Sümer")</f>
        <v>Zeynep Sümer</v>
      </c>
      <c r="C10" s="43" t="str">
        <f>IFERROR(__xludf.DUMMYFUNCTION("""COMPUTED_VALUE"""),"completed")</f>
        <v>completed</v>
      </c>
      <c r="D10" s="43" t="str">
        <f>IFERROR(__xludf.DUMMYFUNCTION("""COMPUTED_VALUE"""),"No")</f>
        <v>No</v>
      </c>
      <c r="E10" s="43" t="str">
        <f>IFERROR(__xludf.DUMMYFUNCTION("""COMPUTED_VALUE"""),"p_cb13702ef5b4f72b91266e85bddcf54a3a638942@inbound.aiesec.org")</f>
        <v>p_cb13702ef5b4f72b91266e85bddcf54a3a638942@inbound.aiesec.org</v>
      </c>
      <c r="F10" s="43">
        <f>IFERROR(__xludf.DUMMYFUNCTION("""COMPUTED_VALUE"""),5.334159297E9)</f>
        <v>5334159297</v>
      </c>
      <c r="G10" s="43" t="str">
        <f>IFERROR(__xludf.DUMMYFUNCTION("""COMPUTED_VALUE"""),"Turkey")</f>
        <v>Turkey</v>
      </c>
      <c r="H10" s="43" t="str">
        <f>IFERROR(__xludf.DUMMYFUNCTION("""COMPUTED_VALUE"""),"ANKARA")</f>
        <v>ANKARA</v>
      </c>
      <c r="I10" s="43" t="str">
        <f>IFERROR(__xludf.DUMMYFUNCTION("""COMPUTED_VALUE"""),"Azerbaijan")</f>
        <v>Azerbaijan</v>
      </c>
      <c r="J10" s="43" t="str">
        <f>IFERROR(__xludf.DUMMYFUNCTION("""COMPUTED_VALUE"""),"Baku Synergy")</f>
        <v>Baku Synergy</v>
      </c>
      <c r="K10" s="44" t="str">
        <f>IFERROR(__xludf.DUMMYFUNCTION("""COMPUTED_VALUE"""),"https://expa.aiesec.org/opportunities/1288009")</f>
        <v>https://expa.aiesec.org/opportunities/1288009</v>
      </c>
      <c r="L10" s="43" t="str">
        <f>IFERROR(__xludf.DUMMYFUNCTION("""COMPUTED_VALUE"""),"GV")</f>
        <v>GV</v>
      </c>
      <c r="M10" s="43" t="str">
        <f>IFERROR(__xludf.DUMMYFUNCTION("""COMPUTED_VALUE"""),"short")</f>
        <v>short</v>
      </c>
      <c r="N10" s="45">
        <f>IFERROR(__xludf.DUMMYFUNCTION("""COMPUTED_VALUE"""),44749.0)</f>
        <v>44749</v>
      </c>
      <c r="O10" s="45">
        <f>IFERROR(__xludf.DUMMYFUNCTION("""COMPUTED_VALUE"""),44774.0)</f>
        <v>44774</v>
      </c>
      <c r="P10" s="45">
        <f>IFERROR(__xludf.DUMMYFUNCTION("""COMPUTED_VALUE"""),44816.0)</f>
        <v>44816</v>
      </c>
      <c r="Q10" s="45">
        <f>IFERROR(__xludf.DUMMYFUNCTION("""COMPUTED_VALUE"""),44775.0)</f>
        <v>44775</v>
      </c>
      <c r="R10" s="45">
        <f>IFERROR(__xludf.DUMMYFUNCTION("""COMPUTED_VALUE"""),44816.0)</f>
        <v>44816</v>
      </c>
      <c r="S10" s="43"/>
      <c r="T10" s="43"/>
      <c r="U10" s="43" t="str">
        <f>IFERROR(__xludf.DUMMYFUNCTION("""COMPUTED_VALUE"""),"Green Leaders")</f>
        <v>Green Leaders</v>
      </c>
      <c r="V10" s="43" t="str">
        <f>IFERROR(__xludf.DUMMYFUNCTION("""COMPUTED_VALUE"""),"ANKARA")</f>
        <v>ANKARA</v>
      </c>
      <c r="W10" s="43" t="str">
        <f>IFERROR(__xludf.DUMMYFUNCTION("""COMPUTED_VALUE"""),"2022-01-14T14:54:43Z")</f>
        <v>2022-01-14T14:54:43Z</v>
      </c>
      <c r="X10" s="43"/>
      <c r="Y10" s="43"/>
      <c r="Z10" s="43"/>
    </row>
    <row r="11" hidden="1">
      <c r="A11" s="43" t="str">
        <f>IFERROR(__xludf.DUMMYFUNCTION("""COMPUTED_VALUE"""),"4604925_1288149")</f>
        <v>4604925_1288149</v>
      </c>
      <c r="B11" s="43" t="str">
        <f>IFERROR(__xludf.DUMMYFUNCTION("""COMPUTED_VALUE"""),"Kıvılcım Naz Böke")</f>
        <v>Kıvılcım Naz Böke</v>
      </c>
      <c r="C11" s="43" t="str">
        <f>IFERROR(__xludf.DUMMYFUNCTION("""COMPUTED_VALUE"""),"completed")</f>
        <v>completed</v>
      </c>
      <c r="D11" s="43" t="str">
        <f>IFERROR(__xludf.DUMMYFUNCTION("""COMPUTED_VALUE"""),"No")</f>
        <v>No</v>
      </c>
      <c r="E11" s="43" t="str">
        <f>IFERROR(__xludf.DUMMYFUNCTION("""COMPUTED_VALUE"""),"p_90f31a398e9ac37da47aff651f00984c219d083f@inbound.aiesec.org")</f>
        <v>p_90f31a398e9ac37da47aff651f00984c219d083f@inbound.aiesec.org</v>
      </c>
      <c r="F11" s="43">
        <f>IFERROR(__xludf.DUMMYFUNCTION("""COMPUTED_VALUE"""),5.419725105E9)</f>
        <v>5419725105</v>
      </c>
      <c r="G11" s="43" t="str">
        <f>IFERROR(__xludf.DUMMYFUNCTION("""COMPUTED_VALUE"""),"Turkey")</f>
        <v>Turkey</v>
      </c>
      <c r="H11" s="43" t="str">
        <f>IFERROR(__xludf.DUMMYFUNCTION("""COMPUTED_VALUE"""),"ANKARA")</f>
        <v>ANKARA</v>
      </c>
      <c r="I11" s="43" t="str">
        <f>IFERROR(__xludf.DUMMYFUNCTION("""COMPUTED_VALUE"""),"Romania")</f>
        <v>Romania</v>
      </c>
      <c r="J11" s="43" t="str">
        <f>IFERROR(__xludf.DUMMYFUNCTION("""COMPUTED_VALUE"""),"GALATI")</f>
        <v>GALATI</v>
      </c>
      <c r="K11" s="44" t="str">
        <f>IFERROR(__xludf.DUMMYFUNCTION("""COMPUTED_VALUE"""),"https://expa.aiesec.org/opportunities/1288149")</f>
        <v>https://expa.aiesec.org/opportunities/1288149</v>
      </c>
      <c r="L11" s="43" t="str">
        <f>IFERROR(__xludf.DUMMYFUNCTION("""COMPUTED_VALUE"""),"GV")</f>
        <v>GV</v>
      </c>
      <c r="M11" s="43" t="str">
        <f>IFERROR(__xludf.DUMMYFUNCTION("""COMPUTED_VALUE"""),"short")</f>
        <v>short</v>
      </c>
      <c r="N11" s="45">
        <f>IFERROR(__xludf.DUMMYFUNCTION("""COMPUTED_VALUE"""),44753.0)</f>
        <v>44753</v>
      </c>
      <c r="O11" s="45">
        <f>IFERROR(__xludf.DUMMYFUNCTION("""COMPUTED_VALUE"""),44774.0)</f>
        <v>44774</v>
      </c>
      <c r="P11" s="45">
        <f>IFERROR(__xludf.DUMMYFUNCTION("""COMPUTED_VALUE"""),44816.0)</f>
        <v>44816</v>
      </c>
      <c r="Q11" s="45">
        <f>IFERROR(__xludf.DUMMYFUNCTION("""COMPUTED_VALUE"""),44775.0)</f>
        <v>44775</v>
      </c>
      <c r="R11" s="45">
        <f>IFERROR(__xludf.DUMMYFUNCTION("""COMPUTED_VALUE"""),44816.0)</f>
        <v>44816</v>
      </c>
      <c r="S11" s="43"/>
      <c r="T11" s="43"/>
      <c r="U11" s="43" t="str">
        <f>IFERROR(__xludf.DUMMYFUNCTION("""COMPUTED_VALUE"""),"Green Leaders")</f>
        <v>Green Leaders</v>
      </c>
      <c r="V11" s="43" t="str">
        <f>IFERROR(__xludf.DUMMYFUNCTION("""COMPUTED_VALUE"""),"ANKARA")</f>
        <v>ANKARA</v>
      </c>
      <c r="W11" s="43" t="str">
        <f>IFERROR(__xludf.DUMMYFUNCTION("""COMPUTED_VALUE"""),"2021-04-03T16:17:35Z")</f>
        <v>2021-04-03T16:17:35Z</v>
      </c>
      <c r="X11" s="43"/>
      <c r="Y11" s="43"/>
      <c r="Z11" s="43"/>
    </row>
    <row r="12" hidden="1">
      <c r="A12" s="43" t="str">
        <f>IFERROR(__xludf.DUMMYFUNCTION("""COMPUTED_VALUE"""),"2588088_1287459")</f>
        <v>2588088_1287459</v>
      </c>
      <c r="B12" s="43" t="str">
        <f>IFERROR(__xludf.DUMMYFUNCTION("""COMPUTED_VALUE"""),"Eylem Torun")</f>
        <v>Eylem Torun</v>
      </c>
      <c r="C12" s="43" t="str">
        <f>IFERROR(__xludf.DUMMYFUNCTION("""COMPUTED_VALUE"""),"completed")</f>
        <v>completed</v>
      </c>
      <c r="D12" s="43" t="str">
        <f>IFERROR(__xludf.DUMMYFUNCTION("""COMPUTED_VALUE"""),"No")</f>
        <v>No</v>
      </c>
      <c r="E12" s="43" t="str">
        <f>IFERROR(__xludf.DUMMYFUNCTION("""COMPUTED_VALUE"""),"p_45358bf0121fb0bcfcc44542533c65034260657d@inbound.aiesec.org")</f>
        <v>p_45358bf0121fb0bcfcc44542533c65034260657d@inbound.aiesec.org</v>
      </c>
      <c r="F12" s="43">
        <f>IFERROR(__xludf.DUMMYFUNCTION("""COMPUTED_VALUE"""),5.374694505E9)</f>
        <v>5374694505</v>
      </c>
      <c r="G12" s="43" t="str">
        <f>IFERROR(__xludf.DUMMYFUNCTION("""COMPUTED_VALUE"""),"Turkey")</f>
        <v>Turkey</v>
      </c>
      <c r="H12" s="43" t="str">
        <f>IFERROR(__xludf.DUMMYFUNCTION("""COMPUTED_VALUE"""),"ISTANBUL ASIA")</f>
        <v>ISTANBUL ASIA</v>
      </c>
      <c r="I12" s="43" t="str">
        <f>IFERROR(__xludf.DUMMYFUNCTION("""COMPUTED_VALUE"""),"Sri Lanka")</f>
        <v>Sri Lanka</v>
      </c>
      <c r="J12" s="43" t="str">
        <f>IFERROR(__xludf.DUMMYFUNCTION("""COMPUTED_VALUE"""),"SLIIT")</f>
        <v>SLIIT</v>
      </c>
      <c r="K12" s="44" t="str">
        <f>IFERROR(__xludf.DUMMYFUNCTION("""COMPUTED_VALUE"""),"https://expa.aiesec.org/opportunities/1287459")</f>
        <v>https://expa.aiesec.org/opportunities/1287459</v>
      </c>
      <c r="L12" s="43" t="str">
        <f>IFERROR(__xludf.DUMMYFUNCTION("""COMPUTED_VALUE"""),"GV")</f>
        <v>GV</v>
      </c>
      <c r="M12" s="43" t="str">
        <f>IFERROR(__xludf.DUMMYFUNCTION("""COMPUTED_VALUE"""),"short")</f>
        <v>short</v>
      </c>
      <c r="N12" s="45">
        <f>IFERROR(__xludf.DUMMYFUNCTION("""COMPUTED_VALUE"""),44754.0)</f>
        <v>44754</v>
      </c>
      <c r="O12" s="45">
        <f>IFERROR(__xludf.DUMMYFUNCTION("""COMPUTED_VALUE"""),44759.0)</f>
        <v>44759</v>
      </c>
      <c r="P12" s="45">
        <f>IFERROR(__xludf.DUMMYFUNCTION("""COMPUTED_VALUE"""),44801.0)</f>
        <v>44801</v>
      </c>
      <c r="Q12" s="45">
        <f>IFERROR(__xludf.DUMMYFUNCTION("""COMPUTED_VALUE"""),44760.0)</f>
        <v>44760</v>
      </c>
      <c r="R12" s="45">
        <f>IFERROR(__xludf.DUMMYFUNCTION("""COMPUTED_VALUE"""),44801.0)</f>
        <v>44801</v>
      </c>
      <c r="S12" s="43"/>
      <c r="T12" s="43"/>
      <c r="U12" s="43" t="str">
        <f>IFERROR(__xludf.DUMMYFUNCTION("""COMPUTED_VALUE"""),"Aquatica")</f>
        <v>Aquatica</v>
      </c>
      <c r="V12" s="43" t="str">
        <f>IFERROR(__xludf.DUMMYFUNCTION("""COMPUTED_VALUE"""),"ISTANBUL ASIA")</f>
        <v>ISTANBUL ASIA</v>
      </c>
      <c r="W12" s="43" t="str">
        <f>IFERROR(__xludf.DUMMYFUNCTION("""COMPUTED_VALUE"""),"2018-09-27T16:40:38Z")</f>
        <v>2018-09-27T16:40:38Z</v>
      </c>
      <c r="X12" s="43"/>
      <c r="Y12" s="43"/>
      <c r="Z12" s="43"/>
    </row>
    <row r="13" hidden="1">
      <c r="A13" s="43" t="str">
        <f>IFERROR(__xludf.DUMMYFUNCTION("""COMPUTED_VALUE"""),"5082699_1284485")</f>
        <v>5082699_1284485</v>
      </c>
      <c r="B13" s="43" t="str">
        <f>IFERROR(__xludf.DUMMYFUNCTION("""COMPUTED_VALUE"""),"Elif Tezgel")</f>
        <v>Elif Tezgel</v>
      </c>
      <c r="C13" s="43" t="str">
        <f>IFERROR(__xludf.DUMMYFUNCTION("""COMPUTED_VALUE"""),"approved")</f>
        <v>approved</v>
      </c>
      <c r="D13" s="43" t="str">
        <f>IFERROR(__xludf.DUMMYFUNCTION("""COMPUTED_VALUE"""),"No")</f>
        <v>No</v>
      </c>
      <c r="E13" s="43" t="str">
        <f>IFERROR(__xludf.DUMMYFUNCTION("""COMPUTED_VALUE"""),"p_340ae36783e7899a63b9165306bd094e6cb84936@inbound.aiesec.org")</f>
        <v>p_340ae36783e7899a63b9165306bd094e6cb84936@inbound.aiesec.org</v>
      </c>
      <c r="F13" s="43"/>
      <c r="G13" s="43" t="str">
        <f>IFERROR(__xludf.DUMMYFUNCTION("""COMPUTED_VALUE"""),"Turkey")</f>
        <v>Turkey</v>
      </c>
      <c r="H13" s="43" t="str">
        <f>IFERROR(__xludf.DUMMYFUNCTION("""COMPUTED_VALUE"""),"KONYA")</f>
        <v>KONYA</v>
      </c>
      <c r="I13" s="43" t="str">
        <f>IFERROR(__xludf.DUMMYFUNCTION("""COMPUTED_VALUE"""),"India")</f>
        <v>India</v>
      </c>
      <c r="J13" s="43" t="str">
        <f>IFERROR(__xludf.DUMMYFUNCTION("""COMPUTED_VALUE"""),"Dehradun")</f>
        <v>Dehradun</v>
      </c>
      <c r="K13" s="44" t="str">
        <f>IFERROR(__xludf.DUMMYFUNCTION("""COMPUTED_VALUE"""),"https://expa.aiesec.org/opportunities/1284485")</f>
        <v>https://expa.aiesec.org/opportunities/1284485</v>
      </c>
      <c r="L13" s="43" t="str">
        <f>IFERROR(__xludf.DUMMYFUNCTION("""COMPUTED_VALUE"""),"GV")</f>
        <v>GV</v>
      </c>
      <c r="M13" s="43" t="str">
        <f>IFERROR(__xludf.DUMMYFUNCTION("""COMPUTED_VALUE"""),"short")</f>
        <v>short</v>
      </c>
      <c r="N13" s="45">
        <f>IFERROR(__xludf.DUMMYFUNCTION("""COMPUTED_VALUE"""),44756.0)</f>
        <v>44756</v>
      </c>
      <c r="O13" s="45">
        <f>IFERROR(__xludf.DUMMYFUNCTION("""COMPUTED_VALUE"""),44910.0)</f>
        <v>44910</v>
      </c>
      <c r="P13" s="45">
        <f>IFERROR(__xludf.DUMMYFUNCTION("""COMPUTED_VALUE"""),44952.0)</f>
        <v>44952</v>
      </c>
      <c r="Q13" s="45"/>
      <c r="R13" s="45"/>
      <c r="S13" s="43"/>
      <c r="T13" s="43"/>
      <c r="U13" s="43" t="str">
        <f>IFERROR(__xludf.DUMMYFUNCTION("""COMPUTED_VALUE"""),"Global Classroom")</f>
        <v>Global Classroom</v>
      </c>
      <c r="V13" s="43" t="str">
        <f>IFERROR(__xludf.DUMMYFUNCTION("""COMPUTED_VALUE"""),"KONYA")</f>
        <v>KONYA</v>
      </c>
      <c r="W13" s="43" t="str">
        <f>IFERROR(__xludf.DUMMYFUNCTION("""COMPUTED_VALUE"""),"2022-07-14T15:12:49Z")</f>
        <v>2022-07-14T15:12:49Z</v>
      </c>
      <c r="X13" s="43"/>
      <c r="Y13" s="43"/>
      <c r="Z13" s="43"/>
    </row>
    <row r="14" hidden="1">
      <c r="A14" s="43" t="str">
        <f>IFERROR(__xludf.DUMMYFUNCTION("""COMPUTED_VALUE"""),"5082494_1284485")</f>
        <v>5082494_1284485</v>
      </c>
      <c r="B14" s="43" t="str">
        <f>IFERROR(__xludf.DUMMYFUNCTION("""COMPUTED_VALUE"""),"rumeysa kazdal")</f>
        <v>rumeysa kazdal</v>
      </c>
      <c r="C14" s="43" t="str">
        <f>IFERROR(__xludf.DUMMYFUNCTION("""COMPUTED_VALUE"""),"approved")</f>
        <v>approved</v>
      </c>
      <c r="D14" s="43" t="str">
        <f>IFERROR(__xludf.DUMMYFUNCTION("""COMPUTED_VALUE"""),"No")</f>
        <v>No</v>
      </c>
      <c r="E14" s="43" t="str">
        <f>IFERROR(__xludf.DUMMYFUNCTION("""COMPUTED_VALUE"""),"p_f9f450f5dbaff8f6274f124b53a06d0b41ede6b0@inbound.aiesec.org")</f>
        <v>p_f9f450f5dbaff8f6274f124b53a06d0b41ede6b0@inbound.aiesec.org</v>
      </c>
      <c r="F14" s="43">
        <f>IFERROR(__xludf.DUMMYFUNCTION("""COMPUTED_VALUE"""),5.313382596E9)</f>
        <v>5313382596</v>
      </c>
      <c r="G14" s="43" t="str">
        <f>IFERROR(__xludf.DUMMYFUNCTION("""COMPUTED_VALUE"""),"Turkey")</f>
        <v>Turkey</v>
      </c>
      <c r="H14" s="43" t="str">
        <f>IFERROR(__xludf.DUMMYFUNCTION("""COMPUTED_VALUE"""),"KONYA")</f>
        <v>KONYA</v>
      </c>
      <c r="I14" s="43" t="str">
        <f>IFERROR(__xludf.DUMMYFUNCTION("""COMPUTED_VALUE"""),"India")</f>
        <v>India</v>
      </c>
      <c r="J14" s="43" t="str">
        <f>IFERROR(__xludf.DUMMYFUNCTION("""COMPUTED_VALUE"""),"Dehradun")</f>
        <v>Dehradun</v>
      </c>
      <c r="K14" s="44" t="str">
        <f>IFERROR(__xludf.DUMMYFUNCTION("""COMPUTED_VALUE"""),"https://expa.aiesec.org/opportunities/1284485")</f>
        <v>https://expa.aiesec.org/opportunities/1284485</v>
      </c>
      <c r="L14" s="43" t="str">
        <f>IFERROR(__xludf.DUMMYFUNCTION("""COMPUTED_VALUE"""),"GV")</f>
        <v>GV</v>
      </c>
      <c r="M14" s="43" t="str">
        <f>IFERROR(__xludf.DUMMYFUNCTION("""COMPUTED_VALUE"""),"short")</f>
        <v>short</v>
      </c>
      <c r="N14" s="45">
        <f>IFERROR(__xludf.DUMMYFUNCTION("""COMPUTED_VALUE"""),44756.0)</f>
        <v>44756</v>
      </c>
      <c r="O14" s="45">
        <f>IFERROR(__xludf.DUMMYFUNCTION("""COMPUTED_VALUE"""),44910.0)</f>
        <v>44910</v>
      </c>
      <c r="P14" s="45">
        <f>IFERROR(__xludf.DUMMYFUNCTION("""COMPUTED_VALUE"""),44952.0)</f>
        <v>44952</v>
      </c>
      <c r="Q14" s="45"/>
      <c r="R14" s="45"/>
      <c r="S14" s="43"/>
      <c r="T14" s="43"/>
      <c r="U14" s="43" t="str">
        <f>IFERROR(__xludf.DUMMYFUNCTION("""COMPUTED_VALUE"""),"Global Classroom")</f>
        <v>Global Classroom</v>
      </c>
      <c r="V14" s="43" t="str">
        <f>IFERROR(__xludf.DUMMYFUNCTION("""COMPUTED_VALUE"""),"KONYA")</f>
        <v>KONYA</v>
      </c>
      <c r="W14" s="43" t="str">
        <f>IFERROR(__xludf.DUMMYFUNCTION("""COMPUTED_VALUE"""),"2022-07-13T22:11:12Z")</f>
        <v>2022-07-13T22:11:12Z</v>
      </c>
      <c r="X14" s="43"/>
      <c r="Y14" s="43"/>
      <c r="Z14" s="43"/>
    </row>
    <row r="15" hidden="1">
      <c r="A15" s="43" t="str">
        <f>IFERROR(__xludf.DUMMYFUNCTION("""COMPUTED_VALUE"""),"3851753_1284485")</f>
        <v>3851753_1284485</v>
      </c>
      <c r="B15" s="43" t="str">
        <f>IFERROR(__xludf.DUMMYFUNCTION("""COMPUTED_VALUE"""),"Elif Tezgel")</f>
        <v>Elif Tezgel</v>
      </c>
      <c r="C15" s="43" t="str">
        <f>IFERROR(__xludf.DUMMYFUNCTION("""COMPUTED_VALUE"""),"approved")</f>
        <v>approved</v>
      </c>
      <c r="D15" s="43" t="str">
        <f>IFERROR(__xludf.DUMMYFUNCTION("""COMPUTED_VALUE"""),"No")</f>
        <v>No</v>
      </c>
      <c r="E15" s="43" t="str">
        <f>IFERROR(__xludf.DUMMYFUNCTION("""COMPUTED_VALUE"""),"p_9abfae5d791ab7545561e091044dbfb2d5eddff1@inbound.aiesec.org")</f>
        <v>p_9abfae5d791ab7545561e091044dbfb2d5eddff1@inbound.aiesec.org</v>
      </c>
      <c r="F15" s="43">
        <f>IFERROR(__xludf.DUMMYFUNCTION("""COMPUTED_VALUE"""),5.346026053E9)</f>
        <v>5346026053</v>
      </c>
      <c r="G15" s="43" t="str">
        <f>IFERROR(__xludf.DUMMYFUNCTION("""COMPUTED_VALUE"""),"Turkey")</f>
        <v>Turkey</v>
      </c>
      <c r="H15" s="43" t="str">
        <f>IFERROR(__xludf.DUMMYFUNCTION("""COMPUTED_VALUE"""),"ISTANBUL ASIA")</f>
        <v>ISTANBUL ASIA</v>
      </c>
      <c r="I15" s="43" t="str">
        <f>IFERROR(__xludf.DUMMYFUNCTION("""COMPUTED_VALUE"""),"India")</f>
        <v>India</v>
      </c>
      <c r="J15" s="43" t="str">
        <f>IFERROR(__xludf.DUMMYFUNCTION("""COMPUTED_VALUE"""),"Dehradun")</f>
        <v>Dehradun</v>
      </c>
      <c r="K15" s="44" t="str">
        <f>IFERROR(__xludf.DUMMYFUNCTION("""COMPUTED_VALUE"""),"https://expa.aiesec.org/opportunities/1284485")</f>
        <v>https://expa.aiesec.org/opportunities/1284485</v>
      </c>
      <c r="L15" s="43" t="str">
        <f>IFERROR(__xludf.DUMMYFUNCTION("""COMPUTED_VALUE"""),"GV")</f>
        <v>GV</v>
      </c>
      <c r="M15" s="43" t="str">
        <f>IFERROR(__xludf.DUMMYFUNCTION("""COMPUTED_VALUE"""),"short")</f>
        <v>short</v>
      </c>
      <c r="N15" s="45">
        <f>IFERROR(__xludf.DUMMYFUNCTION("""COMPUTED_VALUE"""),44756.0)</f>
        <v>44756</v>
      </c>
      <c r="O15" s="45">
        <f>IFERROR(__xludf.DUMMYFUNCTION("""COMPUTED_VALUE"""),44910.0)</f>
        <v>44910</v>
      </c>
      <c r="P15" s="45">
        <f>IFERROR(__xludf.DUMMYFUNCTION("""COMPUTED_VALUE"""),44952.0)</f>
        <v>44952</v>
      </c>
      <c r="Q15" s="45"/>
      <c r="R15" s="45"/>
      <c r="S15" s="43"/>
      <c r="T15" s="43"/>
      <c r="U15" s="43" t="str">
        <f>IFERROR(__xludf.DUMMYFUNCTION("""COMPUTED_VALUE"""),"Global Classroom")</f>
        <v>Global Classroom</v>
      </c>
      <c r="V15" s="43" t="str">
        <f>IFERROR(__xludf.DUMMYFUNCTION("""COMPUTED_VALUE"""),"ISTANBUL ASIA")</f>
        <v>ISTANBUL ASIA</v>
      </c>
      <c r="W15" s="43" t="str">
        <f>IFERROR(__xludf.DUMMYFUNCTION("""COMPUTED_VALUE"""),"2019-09-24T16:27:34Z")</f>
        <v>2019-09-24T16:27:34Z</v>
      </c>
      <c r="X15" s="43"/>
      <c r="Y15" s="43"/>
      <c r="Z15" s="43"/>
    </row>
    <row r="16" hidden="1">
      <c r="A16" s="43" t="str">
        <f>IFERROR(__xludf.DUMMYFUNCTION("""COMPUTED_VALUE"""),"5078362_1281236")</f>
        <v>5078362_1281236</v>
      </c>
      <c r="B16" s="43" t="str">
        <f>IFERROR(__xludf.DUMMYFUNCTION("""COMPUTED_VALUE"""),"gaye baysal")</f>
        <v>gaye baysal</v>
      </c>
      <c r="C16" s="43" t="str">
        <f>IFERROR(__xludf.DUMMYFUNCTION("""COMPUTED_VALUE"""),"approved")</f>
        <v>approved</v>
      </c>
      <c r="D16" s="43" t="str">
        <f>IFERROR(__xludf.DUMMYFUNCTION("""COMPUTED_VALUE"""),"No")</f>
        <v>No</v>
      </c>
      <c r="E16" s="43" t="str">
        <f>IFERROR(__xludf.DUMMYFUNCTION("""COMPUTED_VALUE"""),"p_854a8e8139c7d132f786a8f6114b34b16148a35f@inbound.aiesec.org")</f>
        <v>p_854a8e8139c7d132f786a8f6114b34b16148a35f@inbound.aiesec.org</v>
      </c>
      <c r="F16" s="43">
        <f>IFERROR(__xludf.DUMMYFUNCTION("""COMPUTED_VALUE"""),5.415356296E9)</f>
        <v>5415356296</v>
      </c>
      <c r="G16" s="43" t="str">
        <f>IFERROR(__xludf.DUMMYFUNCTION("""COMPUTED_VALUE"""),"Turkey")</f>
        <v>Turkey</v>
      </c>
      <c r="H16" s="43" t="str">
        <f>IFERROR(__xludf.DUMMYFUNCTION("""COMPUTED_VALUE"""),"KONYA")</f>
        <v>KONYA</v>
      </c>
      <c r="I16" s="43" t="str">
        <f>IFERROR(__xludf.DUMMYFUNCTION("""COMPUTED_VALUE"""),"India")</f>
        <v>India</v>
      </c>
      <c r="J16" s="43" t="str">
        <f>IFERROR(__xludf.DUMMYFUNCTION("""COMPUTED_VALUE"""),"Dehradun")</f>
        <v>Dehradun</v>
      </c>
      <c r="K16" s="44" t="str">
        <f>IFERROR(__xludf.DUMMYFUNCTION("""COMPUTED_VALUE"""),"https://expa.aiesec.org/opportunities/1281236")</f>
        <v>https://expa.aiesec.org/opportunities/1281236</v>
      </c>
      <c r="L16" s="43" t="str">
        <f>IFERROR(__xludf.DUMMYFUNCTION("""COMPUTED_VALUE"""),"GV")</f>
        <v>GV</v>
      </c>
      <c r="M16" s="43" t="str">
        <f>IFERROR(__xludf.DUMMYFUNCTION("""COMPUTED_VALUE"""),"short")</f>
        <v>short</v>
      </c>
      <c r="N16" s="45">
        <f>IFERROR(__xludf.DUMMYFUNCTION("""COMPUTED_VALUE"""),44756.0)</f>
        <v>44756</v>
      </c>
      <c r="O16" s="45">
        <f>IFERROR(__xludf.DUMMYFUNCTION("""COMPUTED_VALUE"""),44941.0)</f>
        <v>44941</v>
      </c>
      <c r="P16" s="45">
        <f>IFERROR(__xludf.DUMMYFUNCTION("""COMPUTED_VALUE"""),44983.0)</f>
        <v>44983</v>
      </c>
      <c r="Q16" s="45"/>
      <c r="R16" s="45"/>
      <c r="S16" s="43"/>
      <c r="T16" s="43"/>
      <c r="U16" s="43" t="str">
        <f>IFERROR(__xludf.DUMMYFUNCTION("""COMPUTED_VALUE"""),"Skill Up!")</f>
        <v>Skill Up!</v>
      </c>
      <c r="V16" s="43" t="str">
        <f>IFERROR(__xludf.DUMMYFUNCTION("""COMPUTED_VALUE"""),"KONYA")</f>
        <v>KONYA</v>
      </c>
      <c r="W16" s="43" t="str">
        <f>IFERROR(__xludf.DUMMYFUNCTION("""COMPUTED_VALUE"""),"2022-06-30T12:53:53Z")</f>
        <v>2022-06-30T12:53:53Z</v>
      </c>
      <c r="X16" s="43"/>
      <c r="Y16" s="43"/>
      <c r="Z16" s="43"/>
    </row>
    <row r="17" hidden="1">
      <c r="A17" s="43" t="str">
        <f>IFERROR(__xludf.DUMMYFUNCTION("""COMPUTED_VALUE"""),"5082394_1287459")</f>
        <v>5082394_1287459</v>
      </c>
      <c r="B17" s="43" t="str">
        <f>IFERROR(__xludf.DUMMYFUNCTION("""COMPUTED_VALUE"""),"Begüm Şentürk")</f>
        <v>Begüm Şentürk</v>
      </c>
      <c r="C17" s="43" t="str">
        <f>IFERROR(__xludf.DUMMYFUNCTION("""COMPUTED_VALUE"""),"finished")</f>
        <v>finished</v>
      </c>
      <c r="D17" s="43" t="str">
        <f>IFERROR(__xludf.DUMMYFUNCTION("""COMPUTED_VALUE"""),"No")</f>
        <v>No</v>
      </c>
      <c r="E17" s="43" t="str">
        <f>IFERROR(__xludf.DUMMYFUNCTION("""COMPUTED_VALUE"""),"p_4b83369b2770185913ff3fcb333ad778cf7cd647@inbound.aiesec.org")</f>
        <v>p_4b83369b2770185913ff3fcb333ad778cf7cd647@inbound.aiesec.org</v>
      </c>
      <c r="F17" s="43">
        <f>IFERROR(__xludf.DUMMYFUNCTION("""COMPUTED_VALUE"""),5.445248809E9)</f>
        <v>5445248809</v>
      </c>
      <c r="G17" s="43" t="str">
        <f>IFERROR(__xludf.DUMMYFUNCTION("""COMPUTED_VALUE"""),"Turkey")</f>
        <v>Turkey</v>
      </c>
      <c r="H17" s="43" t="str">
        <f>IFERROR(__xludf.DUMMYFUNCTION("""COMPUTED_VALUE"""),"ESKISEHIR")</f>
        <v>ESKISEHIR</v>
      </c>
      <c r="I17" s="43" t="str">
        <f>IFERROR(__xludf.DUMMYFUNCTION("""COMPUTED_VALUE"""),"Sri Lanka")</f>
        <v>Sri Lanka</v>
      </c>
      <c r="J17" s="43" t="str">
        <f>IFERROR(__xludf.DUMMYFUNCTION("""COMPUTED_VALUE"""),"SLIIT")</f>
        <v>SLIIT</v>
      </c>
      <c r="K17" s="44" t="str">
        <f>IFERROR(__xludf.DUMMYFUNCTION("""COMPUTED_VALUE"""),"https://expa.aiesec.org/opportunities/1287459")</f>
        <v>https://expa.aiesec.org/opportunities/1287459</v>
      </c>
      <c r="L17" s="43" t="str">
        <f>IFERROR(__xludf.DUMMYFUNCTION("""COMPUTED_VALUE"""),"GV")</f>
        <v>GV</v>
      </c>
      <c r="M17" s="43" t="str">
        <f>IFERROR(__xludf.DUMMYFUNCTION("""COMPUTED_VALUE"""),"short")</f>
        <v>short</v>
      </c>
      <c r="N17" s="45">
        <f>IFERROR(__xludf.DUMMYFUNCTION("""COMPUTED_VALUE"""),44757.0)</f>
        <v>44757</v>
      </c>
      <c r="O17" s="45">
        <f>IFERROR(__xludf.DUMMYFUNCTION("""COMPUTED_VALUE"""),44774.0)</f>
        <v>44774</v>
      </c>
      <c r="P17" s="45">
        <f>IFERROR(__xludf.DUMMYFUNCTION("""COMPUTED_VALUE"""),44816.0)</f>
        <v>44816</v>
      </c>
      <c r="Q17" s="45">
        <f>IFERROR(__xludf.DUMMYFUNCTION("""COMPUTED_VALUE"""),44774.0)</f>
        <v>44774</v>
      </c>
      <c r="R17" s="45">
        <f>IFERROR(__xludf.DUMMYFUNCTION("""COMPUTED_VALUE"""),44816.0)</f>
        <v>44816</v>
      </c>
      <c r="S17" s="43"/>
      <c r="T17" s="43"/>
      <c r="U17" s="43" t="str">
        <f>IFERROR(__xludf.DUMMYFUNCTION("""COMPUTED_VALUE"""),"Aquatica")</f>
        <v>Aquatica</v>
      </c>
      <c r="V17" s="43" t="str">
        <f>IFERROR(__xludf.DUMMYFUNCTION("""COMPUTED_VALUE"""),"ESKISEHIR")</f>
        <v>ESKISEHIR</v>
      </c>
      <c r="W17" s="43" t="str">
        <f>IFERROR(__xludf.DUMMYFUNCTION("""COMPUTED_VALUE"""),"2022-07-13T15:20:14Z")</f>
        <v>2022-07-13T15:20:14Z</v>
      </c>
      <c r="X17" s="43"/>
      <c r="Y17" s="43"/>
      <c r="Z17" s="43"/>
    </row>
    <row r="18" hidden="1">
      <c r="A18" s="43" t="str">
        <f>IFERROR(__xludf.DUMMYFUNCTION("""COMPUTED_VALUE"""),"5083157_1281231")</f>
        <v>5083157_1281231</v>
      </c>
      <c r="B18" s="43" t="str">
        <f>IFERROR(__xludf.DUMMYFUNCTION("""COMPUTED_VALUE"""),"Kürşat Mete Akansel")</f>
        <v>Kürşat Mete Akansel</v>
      </c>
      <c r="C18" s="43" t="str">
        <f>IFERROR(__xludf.DUMMYFUNCTION("""COMPUTED_VALUE"""),"completed")</f>
        <v>completed</v>
      </c>
      <c r="D18" s="43" t="str">
        <f>IFERROR(__xludf.DUMMYFUNCTION("""COMPUTED_VALUE"""),"No")</f>
        <v>No</v>
      </c>
      <c r="E18" s="43" t="str">
        <f>IFERROR(__xludf.DUMMYFUNCTION("""COMPUTED_VALUE"""),"p_8599b0e2e5691446b8913c1ce4051de8db9a3191@inbound.aiesec.org")</f>
        <v>p_8599b0e2e5691446b8913c1ce4051de8db9a3191@inbound.aiesec.org</v>
      </c>
      <c r="F18" s="43">
        <f>IFERROR(__xludf.DUMMYFUNCTION("""COMPUTED_VALUE"""),5.324406773E9)</f>
        <v>5324406773</v>
      </c>
      <c r="G18" s="43" t="str">
        <f>IFERROR(__xludf.DUMMYFUNCTION("""COMPUTED_VALUE"""),"Turkey")</f>
        <v>Turkey</v>
      </c>
      <c r="H18" s="43" t="str">
        <f>IFERROR(__xludf.DUMMYFUNCTION("""COMPUTED_VALUE"""),"ISTANBUL")</f>
        <v>ISTANBUL</v>
      </c>
      <c r="I18" s="43" t="str">
        <f>IFERROR(__xludf.DUMMYFUNCTION("""COMPUTED_VALUE"""),"India")</f>
        <v>India</v>
      </c>
      <c r="J18" s="43" t="str">
        <f>IFERROR(__xludf.DUMMYFUNCTION("""COMPUTED_VALUE"""),"Dehradun")</f>
        <v>Dehradun</v>
      </c>
      <c r="K18" s="44" t="str">
        <f>IFERROR(__xludf.DUMMYFUNCTION("""COMPUTED_VALUE"""),"https://expa.aiesec.org/opportunities/1281231")</f>
        <v>https://expa.aiesec.org/opportunities/1281231</v>
      </c>
      <c r="L18" s="43" t="str">
        <f>IFERROR(__xludf.DUMMYFUNCTION("""COMPUTED_VALUE"""),"GV")</f>
        <v>GV</v>
      </c>
      <c r="M18" s="43" t="str">
        <f>IFERROR(__xludf.DUMMYFUNCTION("""COMPUTED_VALUE"""),"short")</f>
        <v>short</v>
      </c>
      <c r="N18" s="45">
        <f>IFERROR(__xludf.DUMMYFUNCTION("""COMPUTED_VALUE"""),44758.0)</f>
        <v>44758</v>
      </c>
      <c r="O18" s="45">
        <f>IFERROR(__xludf.DUMMYFUNCTION("""COMPUTED_VALUE"""),44788.0)</f>
        <v>44788</v>
      </c>
      <c r="P18" s="45">
        <f>IFERROR(__xludf.DUMMYFUNCTION("""COMPUTED_VALUE"""),44830.0)</f>
        <v>44830</v>
      </c>
      <c r="Q18" s="45">
        <f>IFERROR(__xludf.DUMMYFUNCTION("""COMPUTED_VALUE"""),44787.0)</f>
        <v>44787</v>
      </c>
      <c r="R18" s="45">
        <f>IFERROR(__xludf.DUMMYFUNCTION("""COMPUTED_VALUE"""),44830.0)</f>
        <v>44830</v>
      </c>
      <c r="S18" s="43"/>
      <c r="T18" s="43"/>
      <c r="U18" s="43" t="str">
        <f>IFERROR(__xludf.DUMMYFUNCTION("""COMPUTED_VALUE"""),"Skill Up!")</f>
        <v>Skill Up!</v>
      </c>
      <c r="V18" s="43" t="str">
        <f>IFERROR(__xludf.DUMMYFUNCTION("""COMPUTED_VALUE"""),"ISTANBUL - BEYOGLU")</f>
        <v>ISTANBUL - BEYOGLU</v>
      </c>
      <c r="W18" s="43" t="str">
        <f>IFERROR(__xludf.DUMMYFUNCTION("""COMPUTED_VALUE"""),"2022-07-16T08:18:43Z")</f>
        <v>2022-07-16T08:18:43Z</v>
      </c>
      <c r="X18" s="43"/>
      <c r="Y18" s="43"/>
      <c r="Z18" s="43"/>
    </row>
    <row r="19" hidden="1">
      <c r="A19" s="43" t="str">
        <f>IFERROR(__xludf.DUMMYFUNCTION("""COMPUTED_VALUE"""),"4916939_1281231")</f>
        <v>4916939_1281231</v>
      </c>
      <c r="B19" s="43" t="str">
        <f>IFERROR(__xludf.DUMMYFUNCTION("""COMPUTED_VALUE"""),"Ecem Özselgin")</f>
        <v>Ecem Özselgin</v>
      </c>
      <c r="C19" s="43" t="str">
        <f>IFERROR(__xludf.DUMMYFUNCTION("""COMPUTED_VALUE"""),"completed")</f>
        <v>completed</v>
      </c>
      <c r="D19" s="43" t="str">
        <f>IFERROR(__xludf.DUMMYFUNCTION("""COMPUTED_VALUE"""),"No")</f>
        <v>No</v>
      </c>
      <c r="E19" s="43" t="str">
        <f>IFERROR(__xludf.DUMMYFUNCTION("""COMPUTED_VALUE"""),"p_114dd3953b3ded792ad1c7842516fd83b7adecf0@inbound.aiesec.org")</f>
        <v>p_114dd3953b3ded792ad1c7842516fd83b7adecf0@inbound.aiesec.org</v>
      </c>
      <c r="F19" s="43">
        <f>IFERROR(__xludf.DUMMYFUNCTION("""COMPUTED_VALUE"""),5.396624101E9)</f>
        <v>5396624101</v>
      </c>
      <c r="G19" s="43" t="str">
        <f>IFERROR(__xludf.DUMMYFUNCTION("""COMPUTED_VALUE"""),"Turkey")</f>
        <v>Turkey</v>
      </c>
      <c r="H19" s="43" t="str">
        <f>IFERROR(__xludf.DUMMYFUNCTION("""COMPUTED_VALUE"""),"ISTANBUL")</f>
        <v>ISTANBUL</v>
      </c>
      <c r="I19" s="43" t="str">
        <f>IFERROR(__xludf.DUMMYFUNCTION("""COMPUTED_VALUE"""),"India")</f>
        <v>India</v>
      </c>
      <c r="J19" s="43" t="str">
        <f>IFERROR(__xludf.DUMMYFUNCTION("""COMPUTED_VALUE"""),"Dehradun")</f>
        <v>Dehradun</v>
      </c>
      <c r="K19" s="44" t="str">
        <f>IFERROR(__xludf.DUMMYFUNCTION("""COMPUTED_VALUE"""),"https://expa.aiesec.org/opportunities/1281231")</f>
        <v>https://expa.aiesec.org/opportunities/1281231</v>
      </c>
      <c r="L19" s="43" t="str">
        <f>IFERROR(__xludf.DUMMYFUNCTION("""COMPUTED_VALUE"""),"GV")</f>
        <v>GV</v>
      </c>
      <c r="M19" s="43" t="str">
        <f>IFERROR(__xludf.DUMMYFUNCTION("""COMPUTED_VALUE"""),"short")</f>
        <v>short</v>
      </c>
      <c r="N19" s="45">
        <f>IFERROR(__xludf.DUMMYFUNCTION("""COMPUTED_VALUE"""),44758.0)</f>
        <v>44758</v>
      </c>
      <c r="O19" s="45">
        <f>IFERROR(__xludf.DUMMYFUNCTION("""COMPUTED_VALUE"""),44788.0)</f>
        <v>44788</v>
      </c>
      <c r="P19" s="45">
        <f>IFERROR(__xludf.DUMMYFUNCTION("""COMPUTED_VALUE"""),44830.0)</f>
        <v>44830</v>
      </c>
      <c r="Q19" s="45">
        <f>IFERROR(__xludf.DUMMYFUNCTION("""COMPUTED_VALUE"""),44787.0)</f>
        <v>44787</v>
      </c>
      <c r="R19" s="45">
        <f>IFERROR(__xludf.DUMMYFUNCTION("""COMPUTED_VALUE"""),44830.0)</f>
        <v>44830</v>
      </c>
      <c r="S19" s="43"/>
      <c r="T19" s="43"/>
      <c r="U19" s="43" t="str">
        <f>IFERROR(__xludf.DUMMYFUNCTION("""COMPUTED_VALUE"""),"Skill Up!")</f>
        <v>Skill Up!</v>
      </c>
      <c r="V19" s="43" t="str">
        <f>IFERROR(__xludf.DUMMYFUNCTION("""COMPUTED_VALUE"""),"ISTANBUL - BEYOGLU")</f>
        <v>ISTANBUL - BEYOGLU</v>
      </c>
      <c r="W19" s="43" t="str">
        <f>IFERROR(__xludf.DUMMYFUNCTION("""COMPUTED_VALUE"""),"2022-02-06T19:29:04Z")</f>
        <v>2022-02-06T19:29:04Z</v>
      </c>
      <c r="X19" s="43"/>
      <c r="Y19" s="43"/>
      <c r="Z19" s="43"/>
    </row>
    <row r="20" hidden="1">
      <c r="A20" s="43" t="str">
        <f>IFERROR(__xludf.DUMMYFUNCTION("""COMPUTED_VALUE"""),"1840055_1287852")</f>
        <v>1840055_1287852</v>
      </c>
      <c r="B20" s="43" t="str">
        <f>IFERROR(__xludf.DUMMYFUNCTION("""COMPUTED_VALUE"""),"Sezen Gökmen")</f>
        <v>Sezen Gökmen</v>
      </c>
      <c r="C20" s="43" t="str">
        <f>IFERROR(__xludf.DUMMYFUNCTION("""COMPUTED_VALUE"""),"completed")</f>
        <v>completed</v>
      </c>
      <c r="D20" s="43" t="str">
        <f>IFERROR(__xludf.DUMMYFUNCTION("""COMPUTED_VALUE"""),"No")</f>
        <v>No</v>
      </c>
      <c r="E20" s="43" t="str">
        <f>IFERROR(__xludf.DUMMYFUNCTION("""COMPUTED_VALUE"""),"p_795d755ac7b7df0f17bb810e598a4a2d4d8fa0af@inbound.aiesec.org")</f>
        <v>p_795d755ac7b7df0f17bb810e598a4a2d4d8fa0af@inbound.aiesec.org</v>
      </c>
      <c r="F20" s="43">
        <f>IFERROR(__xludf.DUMMYFUNCTION("""COMPUTED_VALUE"""),5.3440621E9)</f>
        <v>5344062100</v>
      </c>
      <c r="G20" s="43" t="str">
        <f>IFERROR(__xludf.DUMMYFUNCTION("""COMPUTED_VALUE"""),"Turkey")</f>
        <v>Turkey</v>
      </c>
      <c r="H20" s="43" t="str">
        <f>IFERROR(__xludf.DUMMYFUNCTION("""COMPUTED_VALUE"""),"ANKARA")</f>
        <v>ANKARA</v>
      </c>
      <c r="I20" s="43" t="str">
        <f>IFERROR(__xludf.DUMMYFUNCTION("""COMPUTED_VALUE"""),"Italy")</f>
        <v>Italy</v>
      </c>
      <c r="J20" s="43" t="str">
        <f>IFERROR(__xludf.DUMMYFUNCTION("""COMPUTED_VALUE"""),"Bologna")</f>
        <v>Bologna</v>
      </c>
      <c r="K20" s="44" t="str">
        <f>IFERROR(__xludf.DUMMYFUNCTION("""COMPUTED_VALUE"""),"https://expa.aiesec.org/opportunities/1287852")</f>
        <v>https://expa.aiesec.org/opportunities/1287852</v>
      </c>
      <c r="L20" s="43" t="str">
        <f>IFERROR(__xludf.DUMMYFUNCTION("""COMPUTED_VALUE"""),"GV")</f>
        <v>GV</v>
      </c>
      <c r="M20" s="43" t="str">
        <f>IFERROR(__xludf.DUMMYFUNCTION("""COMPUTED_VALUE"""),"short")</f>
        <v>short</v>
      </c>
      <c r="N20" s="45">
        <f>IFERROR(__xludf.DUMMYFUNCTION("""COMPUTED_VALUE"""),44758.0)</f>
        <v>44758</v>
      </c>
      <c r="O20" s="45">
        <f>IFERROR(__xludf.DUMMYFUNCTION("""COMPUTED_VALUE"""),44762.0)</f>
        <v>44762</v>
      </c>
      <c r="P20" s="45">
        <f>IFERROR(__xludf.DUMMYFUNCTION("""COMPUTED_VALUE"""),44804.0)</f>
        <v>44804</v>
      </c>
      <c r="Q20" s="45">
        <f>IFERROR(__xludf.DUMMYFUNCTION("""COMPUTED_VALUE"""),44762.0)</f>
        <v>44762</v>
      </c>
      <c r="R20" s="45">
        <f>IFERROR(__xludf.DUMMYFUNCTION("""COMPUTED_VALUE"""),44804.0)</f>
        <v>44804</v>
      </c>
      <c r="S20" s="43"/>
      <c r="T20" s="43"/>
      <c r="U20" s="43" t="str">
        <f>IFERROR(__xludf.DUMMYFUNCTION("""COMPUTED_VALUE"""),"Global Classroom")</f>
        <v>Global Classroom</v>
      </c>
      <c r="V20" s="43" t="str">
        <f>IFERROR(__xludf.DUMMYFUNCTION("""COMPUTED_VALUE"""),"-")</f>
        <v>-</v>
      </c>
      <c r="W20" s="43" t="str">
        <f>IFERROR(__xludf.DUMMYFUNCTION("""COMPUTED_VALUE"""),"2017-11-01T16:30:59Z")</f>
        <v>2017-11-01T16:30:59Z</v>
      </c>
      <c r="X20" s="43"/>
      <c r="Y20" s="43"/>
      <c r="Z20" s="43"/>
    </row>
    <row r="21" hidden="1">
      <c r="A21" s="43" t="str">
        <f>IFERROR(__xludf.DUMMYFUNCTION("""COMPUTED_VALUE"""),"5080543_1287161")</f>
        <v>5080543_1287161</v>
      </c>
      <c r="B21" s="43" t="str">
        <f>IFERROR(__xludf.DUMMYFUNCTION("""COMPUTED_VALUE"""),"Esra Akçiçek")</f>
        <v>Esra Akçiçek</v>
      </c>
      <c r="C21" s="43" t="str">
        <f>IFERROR(__xludf.DUMMYFUNCTION("""COMPUTED_VALUE"""),"completed")</f>
        <v>completed</v>
      </c>
      <c r="D21" s="43" t="str">
        <f>IFERROR(__xludf.DUMMYFUNCTION("""COMPUTED_VALUE"""),"No")</f>
        <v>No</v>
      </c>
      <c r="E21" s="43" t="str">
        <f>IFERROR(__xludf.DUMMYFUNCTION("""COMPUTED_VALUE"""),"p_2319cdb1123ffc9f6748f39757892632f9062782@inbound.aiesec.org")</f>
        <v>p_2319cdb1123ffc9f6748f39757892632f9062782@inbound.aiesec.org</v>
      </c>
      <c r="F21" s="43">
        <f>IFERROR(__xludf.DUMMYFUNCTION("""COMPUTED_VALUE"""),5.350502466E9)</f>
        <v>5350502466</v>
      </c>
      <c r="G21" s="43" t="str">
        <f>IFERROR(__xludf.DUMMYFUNCTION("""COMPUTED_VALUE"""),"Turkey")</f>
        <v>Turkey</v>
      </c>
      <c r="H21" s="43" t="str">
        <f>IFERROR(__xludf.DUMMYFUNCTION("""COMPUTED_VALUE"""),"ANKARA")</f>
        <v>ANKARA</v>
      </c>
      <c r="I21" s="43" t="str">
        <f>IFERROR(__xludf.DUMMYFUNCTION("""COMPUTED_VALUE"""),"Romania")</f>
        <v>Romania</v>
      </c>
      <c r="J21" s="43" t="str">
        <f>IFERROR(__xludf.DUMMYFUNCTION("""COMPUTED_VALUE"""),"BUCURESTI")</f>
        <v>BUCURESTI</v>
      </c>
      <c r="K21" s="44" t="str">
        <f>IFERROR(__xludf.DUMMYFUNCTION("""COMPUTED_VALUE"""),"https://expa.aiesec.org/opportunities/1287161")</f>
        <v>https://expa.aiesec.org/opportunities/1287161</v>
      </c>
      <c r="L21" s="43" t="str">
        <f>IFERROR(__xludf.DUMMYFUNCTION("""COMPUTED_VALUE"""),"GV")</f>
        <v>GV</v>
      </c>
      <c r="M21" s="43" t="str">
        <f>IFERROR(__xludf.DUMMYFUNCTION("""COMPUTED_VALUE"""),"short")</f>
        <v>short</v>
      </c>
      <c r="N21" s="45">
        <f>IFERROR(__xludf.DUMMYFUNCTION("""COMPUTED_VALUE"""),44758.0)</f>
        <v>44758</v>
      </c>
      <c r="O21" s="45">
        <f>IFERROR(__xludf.DUMMYFUNCTION("""COMPUTED_VALUE"""),44795.0)</f>
        <v>44795</v>
      </c>
      <c r="P21" s="45">
        <f>IFERROR(__xludf.DUMMYFUNCTION("""COMPUTED_VALUE"""),44837.0)</f>
        <v>44837</v>
      </c>
      <c r="Q21" s="45">
        <f>IFERROR(__xludf.DUMMYFUNCTION("""COMPUTED_VALUE"""),44803.0)</f>
        <v>44803</v>
      </c>
      <c r="R21" s="45">
        <f>IFERROR(__xludf.DUMMYFUNCTION("""COMPUTED_VALUE"""),44843.0)</f>
        <v>44843</v>
      </c>
      <c r="S21" s="43"/>
      <c r="T21" s="43"/>
      <c r="U21" s="43" t="str">
        <f>IFERROR(__xludf.DUMMYFUNCTION("""COMPUTED_VALUE"""),"Green Leaders")</f>
        <v>Green Leaders</v>
      </c>
      <c r="V21" s="43" t="str">
        <f>IFERROR(__xludf.DUMMYFUNCTION("""COMPUTED_VALUE"""),"IZMIR")</f>
        <v>IZMIR</v>
      </c>
      <c r="W21" s="43" t="str">
        <f>IFERROR(__xludf.DUMMYFUNCTION("""COMPUTED_VALUE"""),"2022-07-07T09:39:59Z")</f>
        <v>2022-07-07T09:39:59Z</v>
      </c>
      <c r="X21" s="43"/>
      <c r="Y21" s="43"/>
      <c r="Z21" s="43"/>
    </row>
    <row r="22" hidden="1">
      <c r="A22" s="43" t="str">
        <f>IFERROR(__xludf.DUMMYFUNCTION("""COMPUTED_VALUE"""),"4482265_1286911")</f>
        <v>4482265_1286911</v>
      </c>
      <c r="B22" s="43" t="str">
        <f>IFERROR(__xludf.DUMMYFUNCTION("""COMPUTED_VALUE"""),"Alieu Jawo")</f>
        <v>Alieu Jawo</v>
      </c>
      <c r="C22" s="43" t="str">
        <f>IFERROR(__xludf.DUMMYFUNCTION("""COMPUTED_VALUE"""),"completed")</f>
        <v>completed</v>
      </c>
      <c r="D22" s="43" t="str">
        <f>IFERROR(__xludf.DUMMYFUNCTION("""COMPUTED_VALUE"""),"No")</f>
        <v>No</v>
      </c>
      <c r="E22" s="43" t="str">
        <f>IFERROR(__xludf.DUMMYFUNCTION("""COMPUTED_VALUE"""),"p_30963db8ce83b419d81a6ba8ef73a5bf2c0ea726@inbound.aiesec.org")</f>
        <v>p_30963db8ce83b419d81a6ba8ef73a5bf2c0ea726@inbound.aiesec.org</v>
      </c>
      <c r="F22" s="43">
        <f>IFERROR(__xludf.DUMMYFUNCTION("""COMPUTED_VALUE"""),5.454089768E9)</f>
        <v>5454089768</v>
      </c>
      <c r="G22" s="43" t="str">
        <f>IFERROR(__xludf.DUMMYFUNCTION("""COMPUTED_VALUE"""),"Turkey")</f>
        <v>Turkey</v>
      </c>
      <c r="H22" s="43" t="str">
        <f>IFERROR(__xludf.DUMMYFUNCTION("""COMPUTED_VALUE"""),"ISTANBUL WEST")</f>
        <v>ISTANBUL WEST</v>
      </c>
      <c r="I22" s="43" t="str">
        <f>IFERROR(__xludf.DUMMYFUNCTION("""COMPUTED_VALUE"""),"Poland")</f>
        <v>Poland</v>
      </c>
      <c r="J22" s="43" t="str">
        <f>IFERROR(__xludf.DUMMYFUNCTION("""COMPUTED_VALUE"""),"WROCLAW UE")</f>
        <v>WROCLAW UE</v>
      </c>
      <c r="K22" s="44" t="str">
        <f>IFERROR(__xludf.DUMMYFUNCTION("""COMPUTED_VALUE"""),"https://expa.aiesec.org/opportunities/1286911")</f>
        <v>https://expa.aiesec.org/opportunities/1286911</v>
      </c>
      <c r="L22" s="43" t="str">
        <f>IFERROR(__xludf.DUMMYFUNCTION("""COMPUTED_VALUE"""),"GV")</f>
        <v>GV</v>
      </c>
      <c r="M22" s="43" t="str">
        <f>IFERROR(__xludf.DUMMYFUNCTION("""COMPUTED_VALUE"""),"short")</f>
        <v>short</v>
      </c>
      <c r="N22" s="45">
        <f>IFERROR(__xludf.DUMMYFUNCTION("""COMPUTED_VALUE"""),44758.0)</f>
        <v>44758</v>
      </c>
      <c r="O22" s="45">
        <f>IFERROR(__xludf.DUMMYFUNCTION("""COMPUTED_VALUE"""),44781.0)</f>
        <v>44781</v>
      </c>
      <c r="P22" s="45">
        <f>IFERROR(__xludf.DUMMYFUNCTION("""COMPUTED_VALUE"""),44823.0)</f>
        <v>44823</v>
      </c>
      <c r="Q22" s="45">
        <f>IFERROR(__xludf.DUMMYFUNCTION("""COMPUTED_VALUE"""),44801.0)</f>
        <v>44801</v>
      </c>
      <c r="R22" s="45">
        <f>IFERROR(__xludf.DUMMYFUNCTION("""COMPUTED_VALUE"""),44843.0)</f>
        <v>44843</v>
      </c>
      <c r="S22" s="43"/>
      <c r="T22" s="43"/>
      <c r="U22" s="43" t="str">
        <f>IFERROR(__xludf.DUMMYFUNCTION("""COMPUTED_VALUE"""),"Youth 4 Impact")</f>
        <v>Youth 4 Impact</v>
      </c>
      <c r="V22" s="43" t="str">
        <f>IFERROR(__xludf.DUMMYFUNCTION("""COMPUTED_VALUE"""),"ISTANBUL - BAKIRKOY")</f>
        <v>ISTANBUL - BAKIRKOY</v>
      </c>
      <c r="W22" s="43" t="str">
        <f>IFERROR(__xludf.DUMMYFUNCTION("""COMPUTED_VALUE"""),"2020-12-14T13:04:37Z")</f>
        <v>2020-12-14T13:04:37Z</v>
      </c>
      <c r="X22" s="43"/>
      <c r="Y22" s="43"/>
      <c r="Z22" s="43"/>
    </row>
    <row r="23" hidden="1">
      <c r="A23" s="43" t="str">
        <f>IFERROR(__xludf.DUMMYFUNCTION("""COMPUTED_VALUE"""),"5079653_1286378")</f>
        <v>5079653_1286378</v>
      </c>
      <c r="B23" s="43" t="str">
        <f>IFERROR(__xludf.DUMMYFUNCTION("""COMPUTED_VALUE"""),"ibrahim karaosmanoğlu")</f>
        <v>ibrahim karaosmanoğlu</v>
      </c>
      <c r="C23" s="43" t="str">
        <f>IFERROR(__xludf.DUMMYFUNCTION("""COMPUTED_VALUE"""),"completed")</f>
        <v>completed</v>
      </c>
      <c r="D23" s="43" t="str">
        <f>IFERROR(__xludf.DUMMYFUNCTION("""COMPUTED_VALUE"""),"No")</f>
        <v>No</v>
      </c>
      <c r="E23" s="43" t="str">
        <f>IFERROR(__xludf.DUMMYFUNCTION("""COMPUTED_VALUE"""),"p_54c97133dd51dc722c5977f89bb5f5dee57c78f4@inbound.aiesec.org")</f>
        <v>p_54c97133dd51dc722c5977f89bb5f5dee57c78f4@inbound.aiesec.org</v>
      </c>
      <c r="F23" s="43">
        <f>IFERROR(__xludf.DUMMYFUNCTION("""COMPUTED_VALUE"""),5.413153551E9)</f>
        <v>5413153551</v>
      </c>
      <c r="G23" s="43" t="str">
        <f>IFERROR(__xludf.DUMMYFUNCTION("""COMPUTED_VALUE"""),"Turkey")</f>
        <v>Turkey</v>
      </c>
      <c r="H23" s="43" t="str">
        <f>IFERROR(__xludf.DUMMYFUNCTION("""COMPUTED_VALUE"""),"KONYA")</f>
        <v>KONYA</v>
      </c>
      <c r="I23" s="43" t="str">
        <f>IFERROR(__xludf.DUMMYFUNCTION("""COMPUTED_VALUE"""),"Tunisia")</f>
        <v>Tunisia</v>
      </c>
      <c r="J23" s="43" t="str">
        <f>IFERROR(__xludf.DUMMYFUNCTION("""COMPUTED_VALUE"""),"NABEL")</f>
        <v>NABEL</v>
      </c>
      <c r="K23" s="44" t="str">
        <f>IFERROR(__xludf.DUMMYFUNCTION("""COMPUTED_VALUE"""),"https://expa.aiesec.org/opportunities/1286378")</f>
        <v>https://expa.aiesec.org/opportunities/1286378</v>
      </c>
      <c r="L23" s="43" t="str">
        <f>IFERROR(__xludf.DUMMYFUNCTION("""COMPUTED_VALUE"""),"GV")</f>
        <v>GV</v>
      </c>
      <c r="M23" s="43" t="str">
        <f>IFERROR(__xludf.DUMMYFUNCTION("""COMPUTED_VALUE"""),"short")</f>
        <v>short</v>
      </c>
      <c r="N23" s="45">
        <f>IFERROR(__xludf.DUMMYFUNCTION("""COMPUTED_VALUE"""),44760.0)</f>
        <v>44760</v>
      </c>
      <c r="O23" s="45">
        <f>IFERROR(__xludf.DUMMYFUNCTION("""COMPUTED_VALUE"""),44774.0)</f>
        <v>44774</v>
      </c>
      <c r="P23" s="45">
        <f>IFERROR(__xludf.DUMMYFUNCTION("""COMPUTED_VALUE"""),44816.0)</f>
        <v>44816</v>
      </c>
      <c r="Q23" s="45">
        <f>IFERROR(__xludf.DUMMYFUNCTION("""COMPUTED_VALUE"""),44780.0)</f>
        <v>44780</v>
      </c>
      <c r="R23" s="45">
        <f>IFERROR(__xludf.DUMMYFUNCTION("""COMPUTED_VALUE"""),44816.0)</f>
        <v>44816</v>
      </c>
      <c r="S23" s="43"/>
      <c r="T23" s="43"/>
      <c r="U23" s="43" t="str">
        <f>IFERROR(__xludf.DUMMYFUNCTION("""COMPUTED_VALUE"""),"Global Classroom")</f>
        <v>Global Classroom</v>
      </c>
      <c r="V23" s="43" t="str">
        <f>IFERROR(__xludf.DUMMYFUNCTION("""COMPUTED_VALUE"""),"KONYA")</f>
        <v>KONYA</v>
      </c>
      <c r="W23" s="43" t="str">
        <f>IFERROR(__xludf.DUMMYFUNCTION("""COMPUTED_VALUE"""),"2022-07-04T18:03:52Z")</f>
        <v>2022-07-04T18:03:52Z</v>
      </c>
      <c r="X23" s="43"/>
      <c r="Y23" s="43"/>
      <c r="Z23" s="43"/>
    </row>
    <row r="24" hidden="1">
      <c r="A24" s="43" t="str">
        <f>IFERROR(__xludf.DUMMYFUNCTION("""COMPUTED_VALUE"""),"3330350_1288226")</f>
        <v>3330350_1288226</v>
      </c>
      <c r="B24" s="43" t="str">
        <f>IFERROR(__xludf.DUMMYFUNCTION("""COMPUTED_VALUE"""),"Ilayda Özel")</f>
        <v>Ilayda Özel</v>
      </c>
      <c r="C24" s="43" t="str">
        <f>IFERROR(__xludf.DUMMYFUNCTION("""COMPUTED_VALUE"""),"completed")</f>
        <v>completed</v>
      </c>
      <c r="D24" s="43" t="str">
        <f>IFERROR(__xludf.DUMMYFUNCTION("""COMPUTED_VALUE"""),"No")</f>
        <v>No</v>
      </c>
      <c r="E24" s="43" t="str">
        <f>IFERROR(__xludf.DUMMYFUNCTION("""COMPUTED_VALUE"""),"p_c4ec854fa171e28898ca468f0a5875fb60448211@inbound.aiesec.org")</f>
        <v>p_c4ec854fa171e28898ca468f0a5875fb60448211@inbound.aiesec.org</v>
      </c>
      <c r="F24" s="43">
        <f>IFERROR(__xludf.DUMMYFUNCTION("""COMPUTED_VALUE"""),5.074125415E9)</f>
        <v>5074125415</v>
      </c>
      <c r="G24" s="43" t="str">
        <f>IFERROR(__xludf.DUMMYFUNCTION("""COMPUTED_VALUE"""),"Turkey")</f>
        <v>Turkey</v>
      </c>
      <c r="H24" s="43" t="str">
        <f>IFERROR(__xludf.DUMMYFUNCTION("""COMPUTED_VALUE"""),"İZMİR")</f>
        <v>İZMİR</v>
      </c>
      <c r="I24" s="43" t="str">
        <f>IFERROR(__xludf.DUMMYFUNCTION("""COMPUTED_VALUE"""),"Egypt")</f>
        <v>Egypt</v>
      </c>
      <c r="J24" s="43" t="str">
        <f>IFERROR(__xludf.DUMMYFUNCTION("""COMPUTED_VALUE"""),"GUC")</f>
        <v>GUC</v>
      </c>
      <c r="K24" s="44" t="str">
        <f>IFERROR(__xludf.DUMMYFUNCTION("""COMPUTED_VALUE"""),"https://expa.aiesec.org/opportunities/1288226")</f>
        <v>https://expa.aiesec.org/opportunities/1288226</v>
      </c>
      <c r="L24" s="43" t="str">
        <f>IFERROR(__xludf.DUMMYFUNCTION("""COMPUTED_VALUE"""),"GV")</f>
        <v>GV</v>
      </c>
      <c r="M24" s="43" t="str">
        <f>IFERROR(__xludf.DUMMYFUNCTION("""COMPUTED_VALUE"""),"short")</f>
        <v>short</v>
      </c>
      <c r="N24" s="45">
        <f>IFERROR(__xludf.DUMMYFUNCTION("""COMPUTED_VALUE"""),44761.0)</f>
        <v>44761</v>
      </c>
      <c r="O24" s="45">
        <f>IFERROR(__xludf.DUMMYFUNCTION("""COMPUTED_VALUE"""),44762.0)</f>
        <v>44762</v>
      </c>
      <c r="P24" s="45">
        <f>IFERROR(__xludf.DUMMYFUNCTION("""COMPUTED_VALUE"""),44804.0)</f>
        <v>44804</v>
      </c>
      <c r="Q24" s="45">
        <f>IFERROR(__xludf.DUMMYFUNCTION("""COMPUTED_VALUE"""),44761.0)</f>
        <v>44761</v>
      </c>
      <c r="R24" s="45">
        <f>IFERROR(__xludf.DUMMYFUNCTION("""COMPUTED_VALUE"""),44803.0)</f>
        <v>44803</v>
      </c>
      <c r="S24" s="43"/>
      <c r="T24" s="43"/>
      <c r="U24" s="43" t="str">
        <f>IFERROR(__xludf.DUMMYFUNCTION("""COMPUTED_VALUE"""),"Raise Your Voice")</f>
        <v>Raise Your Voice</v>
      </c>
      <c r="V24" s="43" t="str">
        <f>IFERROR(__xludf.DUMMYFUNCTION("""COMPUTED_VALUE"""),"IZMIR")</f>
        <v>IZMIR</v>
      </c>
      <c r="W24" s="43" t="str">
        <f>IFERROR(__xludf.DUMMYFUNCTION("""COMPUTED_VALUE"""),"2019-04-14T19:21:38Z")</f>
        <v>2019-04-14T19:21:38Z</v>
      </c>
      <c r="X24" s="43"/>
      <c r="Y24" s="43"/>
      <c r="Z24" s="43"/>
    </row>
    <row r="25" hidden="1">
      <c r="A25" s="43" t="str">
        <f>IFERROR(__xludf.DUMMYFUNCTION("""COMPUTED_VALUE"""),"4809435_1288226")</f>
        <v>4809435_1288226</v>
      </c>
      <c r="B25" s="43" t="str">
        <f>IFERROR(__xludf.DUMMYFUNCTION("""COMPUTED_VALUE"""),"Göktay İncekara")</f>
        <v>Göktay İncekara</v>
      </c>
      <c r="C25" s="43" t="str">
        <f>IFERROR(__xludf.DUMMYFUNCTION("""COMPUTED_VALUE"""),"completed")</f>
        <v>completed</v>
      </c>
      <c r="D25" s="43" t="str">
        <f>IFERROR(__xludf.DUMMYFUNCTION("""COMPUTED_VALUE"""),"No")</f>
        <v>No</v>
      </c>
      <c r="E25" s="43" t="str">
        <f>IFERROR(__xludf.DUMMYFUNCTION("""COMPUTED_VALUE"""),"p_66efe1f3da6e08bb2c43ec0303c0f8ba0c391512@inbound.aiesec.org")</f>
        <v>p_66efe1f3da6e08bb2c43ec0303c0f8ba0c391512@inbound.aiesec.org</v>
      </c>
      <c r="F25" s="43">
        <f>IFERROR(__xludf.DUMMYFUNCTION("""COMPUTED_VALUE"""),5.345814711E9)</f>
        <v>5345814711</v>
      </c>
      <c r="G25" s="43" t="str">
        <f>IFERROR(__xludf.DUMMYFUNCTION("""COMPUTED_VALUE"""),"Turkey")</f>
        <v>Turkey</v>
      </c>
      <c r="H25" s="43" t="str">
        <f>IFERROR(__xludf.DUMMYFUNCTION("""COMPUTED_VALUE"""),"İZMİR")</f>
        <v>İZMİR</v>
      </c>
      <c r="I25" s="43" t="str">
        <f>IFERROR(__xludf.DUMMYFUNCTION("""COMPUTED_VALUE"""),"Egypt")</f>
        <v>Egypt</v>
      </c>
      <c r="J25" s="43" t="str">
        <f>IFERROR(__xludf.DUMMYFUNCTION("""COMPUTED_VALUE"""),"GUC")</f>
        <v>GUC</v>
      </c>
      <c r="K25" s="44" t="str">
        <f>IFERROR(__xludf.DUMMYFUNCTION("""COMPUTED_VALUE"""),"https://expa.aiesec.org/opportunities/1288226")</f>
        <v>https://expa.aiesec.org/opportunities/1288226</v>
      </c>
      <c r="L25" s="43" t="str">
        <f>IFERROR(__xludf.DUMMYFUNCTION("""COMPUTED_VALUE"""),"GV")</f>
        <v>GV</v>
      </c>
      <c r="M25" s="43" t="str">
        <f>IFERROR(__xludf.DUMMYFUNCTION("""COMPUTED_VALUE"""),"short")</f>
        <v>short</v>
      </c>
      <c r="N25" s="45">
        <f>IFERROR(__xludf.DUMMYFUNCTION("""COMPUTED_VALUE"""),44761.0)</f>
        <v>44761</v>
      </c>
      <c r="O25" s="45">
        <f>IFERROR(__xludf.DUMMYFUNCTION("""COMPUTED_VALUE"""),44762.0)</f>
        <v>44762</v>
      </c>
      <c r="P25" s="45">
        <f>IFERROR(__xludf.DUMMYFUNCTION("""COMPUTED_VALUE"""),44804.0)</f>
        <v>44804</v>
      </c>
      <c r="Q25" s="45">
        <f>IFERROR(__xludf.DUMMYFUNCTION("""COMPUTED_VALUE"""),44761.0)</f>
        <v>44761</v>
      </c>
      <c r="R25" s="45">
        <f>IFERROR(__xludf.DUMMYFUNCTION("""COMPUTED_VALUE"""),44803.0)</f>
        <v>44803</v>
      </c>
      <c r="S25" s="43"/>
      <c r="T25" s="43"/>
      <c r="U25" s="43" t="str">
        <f>IFERROR(__xludf.DUMMYFUNCTION("""COMPUTED_VALUE"""),"Raise Your Voice")</f>
        <v>Raise Your Voice</v>
      </c>
      <c r="V25" s="43" t="str">
        <f>IFERROR(__xludf.DUMMYFUNCTION("""COMPUTED_VALUE"""),"IZMIR")</f>
        <v>IZMIR</v>
      </c>
      <c r="W25" s="43" t="str">
        <f>IFERROR(__xludf.DUMMYFUNCTION("""COMPUTED_VALUE"""),"2021-11-20T19:41:24Z")</f>
        <v>2021-11-20T19:41:24Z</v>
      </c>
      <c r="X25" s="43"/>
      <c r="Y25" s="43"/>
      <c r="Z25" s="43"/>
    </row>
    <row r="26" hidden="1">
      <c r="A26" s="43" t="str">
        <f>IFERROR(__xludf.DUMMYFUNCTION("""COMPUTED_VALUE"""),"5083678_1286716")</f>
        <v>5083678_1286716</v>
      </c>
      <c r="B26" s="43" t="str">
        <f>IFERROR(__xludf.DUMMYFUNCTION("""COMPUTED_VALUE"""),"Ruken Ay")</f>
        <v>Ruken Ay</v>
      </c>
      <c r="C26" s="43" t="str">
        <f>IFERROR(__xludf.DUMMYFUNCTION("""COMPUTED_VALUE"""),"completed")</f>
        <v>completed</v>
      </c>
      <c r="D26" s="43" t="str">
        <f>IFERROR(__xludf.DUMMYFUNCTION("""COMPUTED_VALUE"""),"No")</f>
        <v>No</v>
      </c>
      <c r="E26" s="43" t="str">
        <f>IFERROR(__xludf.DUMMYFUNCTION("""COMPUTED_VALUE"""),"p_28316a04f95fb70b6945e6df09f43b3d60a25e09@inbound.aiesec.org")</f>
        <v>p_28316a04f95fb70b6945e6df09f43b3d60a25e09@inbound.aiesec.org</v>
      </c>
      <c r="F26" s="43">
        <f>IFERROR(__xludf.DUMMYFUNCTION("""COMPUTED_VALUE"""),5.353236249E9)</f>
        <v>5353236249</v>
      </c>
      <c r="G26" s="43" t="str">
        <f>IFERROR(__xludf.DUMMYFUNCTION("""COMPUTED_VALUE"""),"Turkey")</f>
        <v>Turkey</v>
      </c>
      <c r="H26" s="43" t="str">
        <f>IFERROR(__xludf.DUMMYFUNCTION("""COMPUTED_VALUE"""),"ANTALYA")</f>
        <v>ANTALYA</v>
      </c>
      <c r="I26" s="43" t="str">
        <f>IFERROR(__xludf.DUMMYFUNCTION("""COMPUTED_VALUE"""),"Tunisia")</f>
        <v>Tunisia</v>
      </c>
      <c r="J26" s="43" t="str">
        <f>IFERROR(__xludf.DUMMYFUNCTION("""COMPUTED_VALUE"""),"NABEL")</f>
        <v>NABEL</v>
      </c>
      <c r="K26" s="44" t="str">
        <f>IFERROR(__xludf.DUMMYFUNCTION("""COMPUTED_VALUE"""),"https://expa.aiesec.org/opportunities/1286716")</f>
        <v>https://expa.aiesec.org/opportunities/1286716</v>
      </c>
      <c r="L26" s="43" t="str">
        <f>IFERROR(__xludf.DUMMYFUNCTION("""COMPUTED_VALUE"""),"GV")</f>
        <v>GV</v>
      </c>
      <c r="M26" s="43" t="str">
        <f>IFERROR(__xludf.DUMMYFUNCTION("""COMPUTED_VALUE"""),"short")</f>
        <v>short</v>
      </c>
      <c r="N26" s="45">
        <f>IFERROR(__xludf.DUMMYFUNCTION("""COMPUTED_VALUE"""),44761.0)</f>
        <v>44761</v>
      </c>
      <c r="O26" s="45">
        <f>IFERROR(__xludf.DUMMYFUNCTION("""COMPUTED_VALUE"""),44774.0)</f>
        <v>44774</v>
      </c>
      <c r="P26" s="45">
        <f>IFERROR(__xludf.DUMMYFUNCTION("""COMPUTED_VALUE"""),44816.0)</f>
        <v>44816</v>
      </c>
      <c r="Q26" s="45">
        <f>IFERROR(__xludf.DUMMYFUNCTION("""COMPUTED_VALUE"""),44775.0)</f>
        <v>44775</v>
      </c>
      <c r="R26" s="45">
        <f>IFERROR(__xludf.DUMMYFUNCTION("""COMPUTED_VALUE"""),44816.0)</f>
        <v>44816</v>
      </c>
      <c r="S26" s="43"/>
      <c r="T26" s="43"/>
      <c r="U26" s="43" t="str">
        <f>IFERROR(__xludf.DUMMYFUNCTION("""COMPUTED_VALUE"""),"Youth 4 Impact")</f>
        <v>Youth 4 Impact</v>
      </c>
      <c r="V26" s="43" t="str">
        <f>IFERROR(__xludf.DUMMYFUNCTION("""COMPUTED_VALUE"""),"ANTALYA")</f>
        <v>ANTALYA</v>
      </c>
      <c r="W26" s="43" t="str">
        <f>IFERROR(__xludf.DUMMYFUNCTION("""COMPUTED_VALUE"""),"2022-07-18T13:51:47Z")</f>
        <v>2022-07-18T13:51:47Z</v>
      </c>
      <c r="X26" s="43"/>
      <c r="Y26" s="43"/>
      <c r="Z26" s="43"/>
    </row>
    <row r="27" hidden="1">
      <c r="A27" s="43" t="str">
        <f>IFERROR(__xludf.DUMMYFUNCTION("""COMPUTED_VALUE"""),"4991991_1287940")</f>
        <v>4991991_1287940</v>
      </c>
      <c r="B27" s="43" t="str">
        <f>IFERROR(__xludf.DUMMYFUNCTION("""COMPUTED_VALUE"""),"Alkın Kaan Şahin")</f>
        <v>Alkın Kaan Şahin</v>
      </c>
      <c r="C27" s="43" t="str">
        <f>IFERROR(__xludf.DUMMYFUNCTION("""COMPUTED_VALUE"""),"completed")</f>
        <v>completed</v>
      </c>
      <c r="D27" s="43" t="str">
        <f>IFERROR(__xludf.DUMMYFUNCTION("""COMPUTED_VALUE"""),"No")</f>
        <v>No</v>
      </c>
      <c r="E27" s="43" t="str">
        <f>IFERROR(__xludf.DUMMYFUNCTION("""COMPUTED_VALUE"""),"p_094771f3a5bbcb0153069fea94068d535549319f@inbound.aiesec.org")</f>
        <v>p_094771f3a5bbcb0153069fea94068d535549319f@inbound.aiesec.org</v>
      </c>
      <c r="F27" s="43"/>
      <c r="G27" s="43" t="str">
        <f>IFERROR(__xludf.DUMMYFUNCTION("""COMPUTED_VALUE"""),"Turkey")</f>
        <v>Turkey</v>
      </c>
      <c r="H27" s="43" t="str">
        <f>IFERROR(__xludf.DUMMYFUNCTION("""COMPUTED_VALUE"""),"ISTANBUL")</f>
        <v>ISTANBUL</v>
      </c>
      <c r="I27" s="43" t="str">
        <f>IFERROR(__xludf.DUMMYFUNCTION("""COMPUTED_VALUE"""),"Tunisia")</f>
        <v>Tunisia</v>
      </c>
      <c r="J27" s="43" t="str">
        <f>IFERROR(__xludf.DUMMYFUNCTION("""COMPUTED_VALUE"""),"Bizerte")</f>
        <v>Bizerte</v>
      </c>
      <c r="K27" s="44" t="str">
        <f>IFERROR(__xludf.DUMMYFUNCTION("""COMPUTED_VALUE"""),"https://expa.aiesec.org/opportunities/1287940")</f>
        <v>https://expa.aiesec.org/opportunities/1287940</v>
      </c>
      <c r="L27" s="43" t="str">
        <f>IFERROR(__xludf.DUMMYFUNCTION("""COMPUTED_VALUE"""),"GV")</f>
        <v>GV</v>
      </c>
      <c r="M27" s="43" t="str">
        <f>IFERROR(__xludf.DUMMYFUNCTION("""COMPUTED_VALUE"""),"short")</f>
        <v>short</v>
      </c>
      <c r="N27" s="45">
        <f>IFERROR(__xludf.DUMMYFUNCTION("""COMPUTED_VALUE"""),44761.0)</f>
        <v>44761</v>
      </c>
      <c r="O27" s="45">
        <f>IFERROR(__xludf.DUMMYFUNCTION("""COMPUTED_VALUE"""),44765.0)</f>
        <v>44765</v>
      </c>
      <c r="P27" s="45">
        <f>IFERROR(__xludf.DUMMYFUNCTION("""COMPUTED_VALUE"""),44808.0)</f>
        <v>44808</v>
      </c>
      <c r="Q27" s="45">
        <f>IFERROR(__xludf.DUMMYFUNCTION("""COMPUTED_VALUE"""),44766.0)</f>
        <v>44766</v>
      </c>
      <c r="R27" s="45">
        <f>IFERROR(__xludf.DUMMYFUNCTION("""COMPUTED_VALUE"""),44808.0)</f>
        <v>44808</v>
      </c>
      <c r="S27" s="43"/>
      <c r="T27" s="43"/>
      <c r="U27" s="43" t="str">
        <f>IFERROR(__xludf.DUMMYFUNCTION("""COMPUTED_VALUE"""),"Aquatica")</f>
        <v>Aquatica</v>
      </c>
      <c r="V27" s="43" t="str">
        <f>IFERROR(__xludf.DUMMYFUNCTION("""COMPUTED_VALUE"""),"ISTANBUL - BEYOGLU")</f>
        <v>ISTANBUL - BEYOGLU</v>
      </c>
      <c r="W27" s="43" t="str">
        <f>IFERROR(__xludf.DUMMYFUNCTION("""COMPUTED_VALUE"""),"2022-03-18T21:56:48Z")</f>
        <v>2022-03-18T21:56:48Z</v>
      </c>
      <c r="X27" s="43"/>
      <c r="Y27" s="43"/>
      <c r="Z27" s="43"/>
    </row>
    <row r="28" hidden="1">
      <c r="A28" s="43" t="str">
        <f>IFERROR(__xludf.DUMMYFUNCTION("""COMPUTED_VALUE"""),"5079019_1267071")</f>
        <v>5079019_1267071</v>
      </c>
      <c r="B28" s="43" t="str">
        <f>IFERROR(__xludf.DUMMYFUNCTION("""COMPUTED_VALUE"""),"Tuna ÖZDEMİR")</f>
        <v>Tuna ÖZDEMİR</v>
      </c>
      <c r="C28" s="43" t="str">
        <f>IFERROR(__xludf.DUMMYFUNCTION("""COMPUTED_VALUE"""),"finished")</f>
        <v>finished</v>
      </c>
      <c r="D28" s="43" t="str">
        <f>IFERROR(__xludf.DUMMYFUNCTION("""COMPUTED_VALUE"""),"No")</f>
        <v>No</v>
      </c>
      <c r="E28" s="43" t="str">
        <f>IFERROR(__xludf.DUMMYFUNCTION("""COMPUTED_VALUE"""),"p_d6e8d5256e7c8f243141c3f10b1fec8c2d9af731@inbound.aiesec.org")</f>
        <v>p_d6e8d5256e7c8f243141c3f10b1fec8c2d9af731@inbound.aiesec.org</v>
      </c>
      <c r="F28" s="43">
        <f>IFERROR(__xludf.DUMMYFUNCTION("""COMPUTED_VALUE"""),5.312107327E9)</f>
        <v>5312107327</v>
      </c>
      <c r="G28" s="43" t="str">
        <f>IFERROR(__xludf.DUMMYFUNCTION("""COMPUTED_VALUE"""),"Turkey")</f>
        <v>Turkey</v>
      </c>
      <c r="H28" s="43" t="str">
        <f>IFERROR(__xludf.DUMMYFUNCTION("""COMPUTED_VALUE"""),"ISTANBUL ASIA")</f>
        <v>ISTANBUL ASIA</v>
      </c>
      <c r="I28" s="43" t="str">
        <f>IFERROR(__xludf.DUMMYFUNCTION("""COMPUTED_VALUE"""),"Italy")</f>
        <v>Italy</v>
      </c>
      <c r="J28" s="43" t="str">
        <f>IFERROR(__xludf.DUMMYFUNCTION("""COMPUTED_VALUE"""),"Bari")</f>
        <v>Bari</v>
      </c>
      <c r="K28" s="44" t="str">
        <f>IFERROR(__xludf.DUMMYFUNCTION("""COMPUTED_VALUE"""),"https://expa.aiesec.org/opportunities/1267071")</f>
        <v>https://expa.aiesec.org/opportunities/1267071</v>
      </c>
      <c r="L28" s="43" t="str">
        <f>IFERROR(__xludf.DUMMYFUNCTION("""COMPUTED_VALUE"""),"GV")</f>
        <v>GV</v>
      </c>
      <c r="M28" s="43" t="str">
        <f>IFERROR(__xludf.DUMMYFUNCTION("""COMPUTED_VALUE"""),"short")</f>
        <v>short</v>
      </c>
      <c r="N28" s="45">
        <f>IFERROR(__xludf.DUMMYFUNCTION("""COMPUTED_VALUE"""),44762.0)</f>
        <v>44762</v>
      </c>
      <c r="O28" s="45">
        <f>IFERROR(__xludf.DUMMYFUNCTION("""COMPUTED_VALUE"""),44805.0)</f>
        <v>44805</v>
      </c>
      <c r="P28" s="45">
        <f>IFERROR(__xludf.DUMMYFUNCTION("""COMPUTED_VALUE"""),44847.0)</f>
        <v>44847</v>
      </c>
      <c r="Q28" s="45">
        <f>IFERROR(__xludf.DUMMYFUNCTION("""COMPUTED_VALUE"""),44805.0)</f>
        <v>44805</v>
      </c>
      <c r="R28" s="45">
        <f>IFERROR(__xludf.DUMMYFUNCTION("""COMPUTED_VALUE"""),44847.0)</f>
        <v>44847</v>
      </c>
      <c r="S28" s="43"/>
      <c r="T28" s="43"/>
      <c r="U28" s="43" t="str">
        <f>IFERROR(__xludf.DUMMYFUNCTION("""COMPUTED_VALUE"""),"InteGreat in Lecce")</f>
        <v>InteGreat in Lecce</v>
      </c>
      <c r="V28" s="43" t="str">
        <f>IFERROR(__xludf.DUMMYFUNCTION("""COMPUTED_VALUE"""),"ISTANBUL ASIA")</f>
        <v>ISTANBUL ASIA</v>
      </c>
      <c r="W28" s="43" t="str">
        <f>IFERROR(__xludf.DUMMYFUNCTION("""COMPUTED_VALUE"""),"2022-07-02T11:13:16Z")</f>
        <v>2022-07-02T11:13:16Z</v>
      </c>
      <c r="X28" s="43"/>
      <c r="Y28" s="43"/>
      <c r="Z28" s="43"/>
    </row>
    <row r="29" hidden="1">
      <c r="A29" s="43" t="str">
        <f>IFERROR(__xludf.DUMMYFUNCTION("""COMPUTED_VALUE"""),"5084205_1281061")</f>
        <v>5084205_1281061</v>
      </c>
      <c r="B29" s="43" t="str">
        <f>IFERROR(__xludf.DUMMYFUNCTION("""COMPUTED_VALUE"""),"duru boyvat")</f>
        <v>duru boyvat</v>
      </c>
      <c r="C29" s="43" t="str">
        <f>IFERROR(__xludf.DUMMYFUNCTION("""COMPUTED_VALUE"""),"completed")</f>
        <v>completed</v>
      </c>
      <c r="D29" s="43" t="str">
        <f>IFERROR(__xludf.DUMMYFUNCTION("""COMPUTED_VALUE"""),"No")</f>
        <v>No</v>
      </c>
      <c r="E29" s="43" t="str">
        <f>IFERROR(__xludf.DUMMYFUNCTION("""COMPUTED_VALUE"""),"p_d8159f71470a945c0b3a7a8dd741c46643f501f1@inbound.aiesec.org")</f>
        <v>p_d8159f71470a945c0b3a7a8dd741c46643f501f1@inbound.aiesec.org</v>
      </c>
      <c r="F29" s="43">
        <f>IFERROR(__xludf.DUMMYFUNCTION("""COMPUTED_VALUE"""),5.38065105E9)</f>
        <v>5380651050</v>
      </c>
      <c r="G29" s="43" t="str">
        <f>IFERROR(__xludf.DUMMYFUNCTION("""COMPUTED_VALUE"""),"Turkey")</f>
        <v>Turkey</v>
      </c>
      <c r="H29" s="43" t="str">
        <f>IFERROR(__xludf.DUMMYFUNCTION("""COMPUTED_VALUE"""),"ANKARA")</f>
        <v>ANKARA</v>
      </c>
      <c r="I29" s="43" t="str">
        <f>IFERROR(__xludf.DUMMYFUNCTION("""COMPUTED_VALUE"""),"India")</f>
        <v>India</v>
      </c>
      <c r="J29" s="43" t="str">
        <f>IFERROR(__xludf.DUMMYFUNCTION("""COMPUTED_VALUE"""),"Mumbai")</f>
        <v>Mumbai</v>
      </c>
      <c r="K29" s="44" t="str">
        <f>IFERROR(__xludf.DUMMYFUNCTION("""COMPUTED_VALUE"""),"https://expa.aiesec.org/opportunities/1281061")</f>
        <v>https://expa.aiesec.org/opportunities/1281061</v>
      </c>
      <c r="L29" s="43" t="str">
        <f>IFERROR(__xludf.DUMMYFUNCTION("""COMPUTED_VALUE"""),"GV")</f>
        <v>GV</v>
      </c>
      <c r="M29" s="43" t="str">
        <f>IFERROR(__xludf.DUMMYFUNCTION("""COMPUTED_VALUE"""),"short")</f>
        <v>short</v>
      </c>
      <c r="N29" s="45">
        <f>IFERROR(__xludf.DUMMYFUNCTION("""COMPUTED_VALUE"""),44765.0)</f>
        <v>44765</v>
      </c>
      <c r="O29" s="45">
        <f>IFERROR(__xludf.DUMMYFUNCTION("""COMPUTED_VALUE"""),44781.0)</f>
        <v>44781</v>
      </c>
      <c r="P29" s="45">
        <f>IFERROR(__xludf.DUMMYFUNCTION("""COMPUTED_VALUE"""),44823.0)</f>
        <v>44823</v>
      </c>
      <c r="Q29" s="45">
        <f>IFERROR(__xludf.DUMMYFUNCTION("""COMPUTED_VALUE"""),44798.0)</f>
        <v>44798</v>
      </c>
      <c r="R29" s="45">
        <f>IFERROR(__xludf.DUMMYFUNCTION("""COMPUTED_VALUE"""),44788.0)</f>
        <v>44788</v>
      </c>
      <c r="S29" s="43"/>
      <c r="T29" s="43"/>
      <c r="U29" s="43" t="str">
        <f>IFERROR(__xludf.DUMMYFUNCTION("""COMPUTED_VALUE"""),"Youth 4 Impact")</f>
        <v>Youth 4 Impact</v>
      </c>
      <c r="V29" s="43" t="str">
        <f>IFERROR(__xludf.DUMMYFUNCTION("""COMPUTED_VALUE"""),"ANKARA")</f>
        <v>ANKARA</v>
      </c>
      <c r="W29" s="43" t="str">
        <f>IFERROR(__xludf.DUMMYFUNCTION("""COMPUTED_VALUE"""),"2022-07-19T22:07:37Z")</f>
        <v>2022-07-19T22:07:37Z</v>
      </c>
      <c r="X29" s="43"/>
      <c r="Y29" s="43"/>
      <c r="Z29" s="43"/>
    </row>
    <row r="30" hidden="1">
      <c r="A30" s="43" t="str">
        <f>IFERROR(__xludf.DUMMYFUNCTION("""COMPUTED_VALUE"""),"5082096_1287247")</f>
        <v>5082096_1287247</v>
      </c>
      <c r="B30" s="43" t="str">
        <f>IFERROR(__xludf.DUMMYFUNCTION("""COMPUTED_VALUE"""),"Melisa Acımış")</f>
        <v>Melisa Acımış</v>
      </c>
      <c r="C30" s="43" t="str">
        <f>IFERROR(__xludf.DUMMYFUNCTION("""COMPUTED_VALUE"""),"completed")</f>
        <v>completed</v>
      </c>
      <c r="D30" s="43" t="str">
        <f>IFERROR(__xludf.DUMMYFUNCTION("""COMPUTED_VALUE"""),"No")</f>
        <v>No</v>
      </c>
      <c r="E30" s="43" t="str">
        <f>IFERROR(__xludf.DUMMYFUNCTION("""COMPUTED_VALUE"""),"p_6cfd49301b1147a07cd86d4653307721a3e1e297@inbound.aiesec.org")</f>
        <v>p_6cfd49301b1147a07cd86d4653307721a3e1e297@inbound.aiesec.org</v>
      </c>
      <c r="F30" s="43">
        <f>IFERROR(__xludf.DUMMYFUNCTION("""COMPUTED_VALUE"""),5.549030543E9)</f>
        <v>5549030543</v>
      </c>
      <c r="G30" s="43" t="str">
        <f>IFERROR(__xludf.DUMMYFUNCTION("""COMPUTED_VALUE"""),"Turkey")</f>
        <v>Turkey</v>
      </c>
      <c r="H30" s="43" t="str">
        <f>IFERROR(__xludf.DUMMYFUNCTION("""COMPUTED_VALUE"""),"ISTANBUL ASIA")</f>
        <v>ISTANBUL ASIA</v>
      </c>
      <c r="I30" s="43" t="str">
        <f>IFERROR(__xludf.DUMMYFUNCTION("""COMPUTED_VALUE"""),"Poland")</f>
        <v>Poland</v>
      </c>
      <c r="J30" s="43" t="str">
        <f>IFERROR(__xludf.DUMMYFUNCTION("""COMPUTED_VALUE"""),"WROCLAW UE")</f>
        <v>WROCLAW UE</v>
      </c>
      <c r="K30" s="44" t="str">
        <f>IFERROR(__xludf.DUMMYFUNCTION("""COMPUTED_VALUE"""),"https://expa.aiesec.org/opportunities/1287247")</f>
        <v>https://expa.aiesec.org/opportunities/1287247</v>
      </c>
      <c r="L30" s="43" t="str">
        <f>IFERROR(__xludf.DUMMYFUNCTION("""COMPUTED_VALUE"""),"GV")</f>
        <v>GV</v>
      </c>
      <c r="M30" s="43" t="str">
        <f>IFERROR(__xludf.DUMMYFUNCTION("""COMPUTED_VALUE"""),"short")</f>
        <v>short</v>
      </c>
      <c r="N30" s="45">
        <f>IFERROR(__xludf.DUMMYFUNCTION("""COMPUTED_VALUE"""),44767.0)</f>
        <v>44767</v>
      </c>
      <c r="O30" s="45">
        <f>IFERROR(__xludf.DUMMYFUNCTION("""COMPUTED_VALUE"""),44781.0)</f>
        <v>44781</v>
      </c>
      <c r="P30" s="45">
        <f>IFERROR(__xludf.DUMMYFUNCTION("""COMPUTED_VALUE"""),44823.0)</f>
        <v>44823</v>
      </c>
      <c r="Q30" s="45">
        <f>IFERROR(__xludf.DUMMYFUNCTION("""COMPUTED_VALUE"""),44795.0)</f>
        <v>44795</v>
      </c>
      <c r="R30" s="45">
        <f>IFERROR(__xludf.DUMMYFUNCTION("""COMPUTED_VALUE"""),44837.0)</f>
        <v>44837</v>
      </c>
      <c r="S30" s="43"/>
      <c r="T30" s="43"/>
      <c r="U30" s="43" t="str">
        <f>IFERROR(__xludf.DUMMYFUNCTION("""COMPUTED_VALUE"""),"Global Classroom")</f>
        <v>Global Classroom</v>
      </c>
      <c r="V30" s="43" t="str">
        <f>IFERROR(__xludf.DUMMYFUNCTION("""COMPUTED_VALUE"""),"ISTANBUL ASIA")</f>
        <v>ISTANBUL ASIA</v>
      </c>
      <c r="W30" s="43" t="str">
        <f>IFERROR(__xludf.DUMMYFUNCTION("""COMPUTED_VALUE"""),"2022-07-12T18:26:15Z")</f>
        <v>2022-07-12T18:26:15Z</v>
      </c>
      <c r="X30" s="43"/>
      <c r="Y30" s="43"/>
      <c r="Z30" s="43"/>
    </row>
    <row r="31" hidden="1">
      <c r="A31" s="43" t="str">
        <f>IFERROR(__xludf.DUMMYFUNCTION("""COMPUTED_VALUE"""),"4370628_1287536")</f>
        <v>4370628_1287536</v>
      </c>
      <c r="B31" s="43" t="str">
        <f>IFERROR(__xludf.DUMMYFUNCTION("""COMPUTED_VALUE"""),"Berna Sevinç")</f>
        <v>Berna Sevinç</v>
      </c>
      <c r="C31" s="43" t="str">
        <f>IFERROR(__xludf.DUMMYFUNCTION("""COMPUTED_VALUE"""),"completed")</f>
        <v>completed</v>
      </c>
      <c r="D31" s="43" t="str">
        <f>IFERROR(__xludf.DUMMYFUNCTION("""COMPUTED_VALUE"""),"No")</f>
        <v>No</v>
      </c>
      <c r="E31" s="43" t="str">
        <f>IFERROR(__xludf.DUMMYFUNCTION("""COMPUTED_VALUE"""),"p_f10dbfb549d53e89ec52493706dc5c9cbe4cb11f@inbound.aiesec.org")</f>
        <v>p_f10dbfb549d53e89ec52493706dc5c9cbe4cb11f@inbound.aiesec.org</v>
      </c>
      <c r="F31" s="43">
        <f>IFERROR(__xludf.DUMMYFUNCTION("""COMPUTED_VALUE"""),5.337989132E9)</f>
        <v>5337989132</v>
      </c>
      <c r="G31" s="43" t="str">
        <f>IFERROR(__xludf.DUMMYFUNCTION("""COMPUTED_VALUE"""),"Turkey")</f>
        <v>Turkey</v>
      </c>
      <c r="H31" s="43" t="str">
        <f>IFERROR(__xludf.DUMMYFUNCTION("""COMPUTED_VALUE"""),"ISTANBUL ASIA")</f>
        <v>ISTANBUL ASIA</v>
      </c>
      <c r="I31" s="43" t="str">
        <f>IFERROR(__xludf.DUMMYFUNCTION("""COMPUTED_VALUE"""),"Tunisia")</f>
        <v>Tunisia</v>
      </c>
      <c r="J31" s="43" t="str">
        <f>IFERROR(__xludf.DUMMYFUNCTION("""COMPUTED_VALUE"""),"NABEL")</f>
        <v>NABEL</v>
      </c>
      <c r="K31" s="44" t="str">
        <f>IFERROR(__xludf.DUMMYFUNCTION("""COMPUTED_VALUE"""),"https://expa.aiesec.org/opportunities/1287536")</f>
        <v>https://expa.aiesec.org/opportunities/1287536</v>
      </c>
      <c r="L31" s="43" t="str">
        <f>IFERROR(__xludf.DUMMYFUNCTION("""COMPUTED_VALUE"""),"GV")</f>
        <v>GV</v>
      </c>
      <c r="M31" s="43" t="str">
        <f>IFERROR(__xludf.DUMMYFUNCTION("""COMPUTED_VALUE"""),"short")</f>
        <v>short</v>
      </c>
      <c r="N31" s="45">
        <f>IFERROR(__xludf.DUMMYFUNCTION("""COMPUTED_VALUE"""),44768.0)</f>
        <v>44768</v>
      </c>
      <c r="O31" s="45">
        <f>IFERROR(__xludf.DUMMYFUNCTION("""COMPUTED_VALUE"""),44774.0)</f>
        <v>44774</v>
      </c>
      <c r="P31" s="45">
        <f>IFERROR(__xludf.DUMMYFUNCTION("""COMPUTED_VALUE"""),44816.0)</f>
        <v>44816</v>
      </c>
      <c r="Q31" s="45">
        <f>IFERROR(__xludf.DUMMYFUNCTION("""COMPUTED_VALUE"""),44775.0)</f>
        <v>44775</v>
      </c>
      <c r="R31" s="45">
        <f>IFERROR(__xludf.DUMMYFUNCTION("""COMPUTED_VALUE"""),44816.0)</f>
        <v>44816</v>
      </c>
      <c r="S31" s="43"/>
      <c r="T31" s="43"/>
      <c r="U31" s="43" t="str">
        <f>IFERROR(__xludf.DUMMYFUNCTION("""COMPUTED_VALUE"""),"Youth 4 Impact")</f>
        <v>Youth 4 Impact</v>
      </c>
      <c r="V31" s="43" t="str">
        <f>IFERROR(__xludf.DUMMYFUNCTION("""COMPUTED_VALUE"""),"ISTANBUL ASIA")</f>
        <v>ISTANBUL ASIA</v>
      </c>
      <c r="W31" s="43" t="str">
        <f>IFERROR(__xludf.DUMMYFUNCTION("""COMPUTED_VALUE"""),"2020-09-16T20:58:24Z")</f>
        <v>2020-09-16T20:58:24Z</v>
      </c>
      <c r="X31" s="43"/>
      <c r="Y31" s="43"/>
      <c r="Z31" s="43"/>
    </row>
    <row r="32" hidden="1">
      <c r="A32" s="43" t="str">
        <f>IFERROR(__xludf.DUMMYFUNCTION("""COMPUTED_VALUE"""),"5085409_1281061")</f>
        <v>5085409_1281061</v>
      </c>
      <c r="B32" s="43" t="str">
        <f>IFERROR(__xludf.DUMMYFUNCTION("""COMPUTED_VALUE"""),"Aysen Degirmen")</f>
        <v>Aysen Degirmen</v>
      </c>
      <c r="C32" s="43" t="str">
        <f>IFERROR(__xludf.DUMMYFUNCTION("""COMPUTED_VALUE"""),"approved")</f>
        <v>approved</v>
      </c>
      <c r="D32" s="43" t="str">
        <f>IFERROR(__xludf.DUMMYFUNCTION("""COMPUTED_VALUE"""),"No")</f>
        <v>No</v>
      </c>
      <c r="E32" s="43" t="str">
        <f>IFERROR(__xludf.DUMMYFUNCTION("""COMPUTED_VALUE"""),"p_f686f6fa72fbf129e100bb35bebd17fd6ddb58b9@inbound.aiesec.org")</f>
        <v>p_f686f6fa72fbf129e100bb35bebd17fd6ddb58b9@inbound.aiesec.org</v>
      </c>
      <c r="F32" s="43">
        <f>IFERROR(__xludf.DUMMYFUNCTION("""COMPUTED_VALUE"""),5.536307299E9)</f>
        <v>5536307299</v>
      </c>
      <c r="G32" s="43" t="str">
        <f>IFERROR(__xludf.DUMMYFUNCTION("""COMPUTED_VALUE"""),"Turkey")</f>
        <v>Turkey</v>
      </c>
      <c r="H32" s="43" t="str">
        <f>IFERROR(__xludf.DUMMYFUNCTION("""COMPUTED_VALUE"""),"KONYA")</f>
        <v>KONYA</v>
      </c>
      <c r="I32" s="43" t="str">
        <f>IFERROR(__xludf.DUMMYFUNCTION("""COMPUTED_VALUE"""),"India")</f>
        <v>India</v>
      </c>
      <c r="J32" s="43" t="str">
        <f>IFERROR(__xludf.DUMMYFUNCTION("""COMPUTED_VALUE"""),"Mumbai")</f>
        <v>Mumbai</v>
      </c>
      <c r="K32" s="44" t="str">
        <f>IFERROR(__xludf.DUMMYFUNCTION("""COMPUTED_VALUE"""),"https://expa.aiesec.org/opportunities/1281061")</f>
        <v>https://expa.aiesec.org/opportunities/1281061</v>
      </c>
      <c r="L32" s="43" t="str">
        <f>IFERROR(__xludf.DUMMYFUNCTION("""COMPUTED_VALUE"""),"GV")</f>
        <v>GV</v>
      </c>
      <c r="M32" s="43" t="str">
        <f>IFERROR(__xludf.DUMMYFUNCTION("""COMPUTED_VALUE"""),"short")</f>
        <v>short</v>
      </c>
      <c r="N32" s="45">
        <f>IFERROR(__xludf.DUMMYFUNCTION("""COMPUTED_VALUE"""),44768.0)</f>
        <v>44768</v>
      </c>
      <c r="O32" s="45">
        <f>IFERROR(__xludf.DUMMYFUNCTION("""COMPUTED_VALUE"""),44941.0)</f>
        <v>44941</v>
      </c>
      <c r="P32" s="45">
        <f>IFERROR(__xludf.DUMMYFUNCTION("""COMPUTED_VALUE"""),44983.0)</f>
        <v>44983</v>
      </c>
      <c r="Q32" s="45"/>
      <c r="R32" s="45"/>
      <c r="S32" s="43"/>
      <c r="T32" s="43"/>
      <c r="U32" s="43" t="str">
        <f>IFERROR(__xludf.DUMMYFUNCTION("""COMPUTED_VALUE"""),"Youth 4 Impact")</f>
        <v>Youth 4 Impact</v>
      </c>
      <c r="V32" s="43" t="str">
        <f>IFERROR(__xludf.DUMMYFUNCTION("""COMPUTED_VALUE"""),"KONYA")</f>
        <v>KONYA</v>
      </c>
      <c r="W32" s="43" t="str">
        <f>IFERROR(__xludf.DUMMYFUNCTION("""COMPUTED_VALUE"""),"2022-07-24T11:06:22Z")</f>
        <v>2022-07-24T11:06:22Z</v>
      </c>
      <c r="X32" s="43"/>
      <c r="Y32" s="43"/>
      <c r="Z32" s="43"/>
    </row>
    <row r="33" hidden="1">
      <c r="A33" s="43" t="str">
        <f>IFERROR(__xludf.DUMMYFUNCTION("""COMPUTED_VALUE"""),"4991774_1287248")</f>
        <v>4991774_1287248</v>
      </c>
      <c r="B33" s="43" t="str">
        <f>IFERROR(__xludf.DUMMYFUNCTION("""COMPUTED_VALUE"""),"Feyza Deniz Demirel")</f>
        <v>Feyza Deniz Demirel</v>
      </c>
      <c r="C33" s="43" t="str">
        <f>IFERROR(__xludf.DUMMYFUNCTION("""COMPUTED_VALUE"""),"completed")</f>
        <v>completed</v>
      </c>
      <c r="D33" s="43" t="str">
        <f>IFERROR(__xludf.DUMMYFUNCTION("""COMPUTED_VALUE"""),"No")</f>
        <v>No</v>
      </c>
      <c r="E33" s="43" t="str">
        <f>IFERROR(__xludf.DUMMYFUNCTION("""COMPUTED_VALUE"""),"p_d95a3f2c4583fb9fc5bfeb271b1e626f173de4b2@inbound.aiesec.org")</f>
        <v>p_d95a3f2c4583fb9fc5bfeb271b1e626f173de4b2@inbound.aiesec.org</v>
      </c>
      <c r="F33" s="43">
        <f>IFERROR(__xludf.DUMMYFUNCTION("""COMPUTED_VALUE"""),5.412552592E9)</f>
        <v>5412552592</v>
      </c>
      <c r="G33" s="43" t="str">
        <f>IFERROR(__xludf.DUMMYFUNCTION("""COMPUTED_VALUE"""),"Turkey")</f>
        <v>Turkey</v>
      </c>
      <c r="H33" s="43" t="str">
        <f>IFERROR(__xludf.DUMMYFUNCTION("""COMPUTED_VALUE"""),"ISTANBUL")</f>
        <v>ISTANBUL</v>
      </c>
      <c r="I33" s="43" t="str">
        <f>IFERROR(__xludf.DUMMYFUNCTION("""COMPUTED_VALUE"""),"Poland")</f>
        <v>Poland</v>
      </c>
      <c r="J33" s="43" t="str">
        <f>IFERROR(__xludf.DUMMYFUNCTION("""COMPUTED_VALUE"""),"WROCLAW UE")</f>
        <v>WROCLAW UE</v>
      </c>
      <c r="K33" s="44" t="str">
        <f>IFERROR(__xludf.DUMMYFUNCTION("""COMPUTED_VALUE"""),"https://expa.aiesec.org/opportunities/1287248")</f>
        <v>https://expa.aiesec.org/opportunities/1287248</v>
      </c>
      <c r="L33" s="43" t="str">
        <f>IFERROR(__xludf.DUMMYFUNCTION("""COMPUTED_VALUE"""),"GV")</f>
        <v>GV</v>
      </c>
      <c r="M33" s="43" t="str">
        <f>IFERROR(__xludf.DUMMYFUNCTION("""COMPUTED_VALUE"""),"short")</f>
        <v>short</v>
      </c>
      <c r="N33" s="45">
        <f>IFERROR(__xludf.DUMMYFUNCTION("""COMPUTED_VALUE"""),44770.0)</f>
        <v>44770</v>
      </c>
      <c r="O33" s="45">
        <f>IFERROR(__xludf.DUMMYFUNCTION("""COMPUTED_VALUE"""),44774.0)</f>
        <v>44774</v>
      </c>
      <c r="P33" s="45">
        <f>IFERROR(__xludf.DUMMYFUNCTION("""COMPUTED_VALUE"""),44816.0)</f>
        <v>44816</v>
      </c>
      <c r="Q33" s="45">
        <f>IFERROR(__xludf.DUMMYFUNCTION("""COMPUTED_VALUE"""),44775.0)</f>
        <v>44775</v>
      </c>
      <c r="R33" s="45">
        <f>IFERROR(__xludf.DUMMYFUNCTION("""COMPUTED_VALUE"""),44816.0)</f>
        <v>44816</v>
      </c>
      <c r="S33" s="43"/>
      <c r="T33" s="43"/>
      <c r="U33" s="43" t="str">
        <f>IFERROR(__xludf.DUMMYFUNCTION("""COMPUTED_VALUE"""),"Global Classroom")</f>
        <v>Global Classroom</v>
      </c>
      <c r="V33" s="43" t="str">
        <f>IFERROR(__xludf.DUMMYFUNCTION("""COMPUTED_VALUE"""),"ISTANBUL - BEYOGLU")</f>
        <v>ISTANBUL - BEYOGLU</v>
      </c>
      <c r="W33" s="43" t="str">
        <f>IFERROR(__xludf.DUMMYFUNCTION("""COMPUTED_VALUE"""),"2022-03-18T15:40:39Z")</f>
        <v>2022-03-18T15:40:39Z</v>
      </c>
      <c r="X33" s="43"/>
      <c r="Y33" s="43"/>
      <c r="Z33" s="43"/>
    </row>
    <row r="34" hidden="1">
      <c r="A34" s="43" t="str">
        <f>IFERROR(__xludf.DUMMYFUNCTION("""COMPUTED_VALUE"""),"5038939_1280953")</f>
        <v>5038939_1280953</v>
      </c>
      <c r="B34" s="43" t="str">
        <f>IFERROR(__xludf.DUMMYFUNCTION("""COMPUTED_VALUE"""),"Elif Koçak")</f>
        <v>Elif Koçak</v>
      </c>
      <c r="C34" s="43" t="str">
        <f>IFERROR(__xludf.DUMMYFUNCTION("""COMPUTED_VALUE"""),"finished")</f>
        <v>finished</v>
      </c>
      <c r="D34" s="43" t="str">
        <f>IFERROR(__xludf.DUMMYFUNCTION("""COMPUTED_VALUE"""),"No")</f>
        <v>No</v>
      </c>
      <c r="E34" s="43" t="str">
        <f>IFERROR(__xludf.DUMMYFUNCTION("""COMPUTED_VALUE"""),"p_3b8036c4a87e71eef95b4412be13e784d0996179@inbound.aiesec.org")</f>
        <v>p_3b8036c4a87e71eef95b4412be13e784d0996179@inbound.aiesec.org</v>
      </c>
      <c r="F34" s="43">
        <f>IFERROR(__xludf.DUMMYFUNCTION("""COMPUTED_VALUE"""),5.380542406E9)</f>
        <v>5380542406</v>
      </c>
      <c r="G34" s="43" t="str">
        <f>IFERROR(__xludf.DUMMYFUNCTION("""COMPUTED_VALUE"""),"Turkey")</f>
        <v>Turkey</v>
      </c>
      <c r="H34" s="43" t="str">
        <f>IFERROR(__xludf.DUMMYFUNCTION("""COMPUTED_VALUE"""),"ISTANBUL")</f>
        <v>ISTANBUL</v>
      </c>
      <c r="I34" s="43" t="str">
        <f>IFERROR(__xludf.DUMMYFUNCTION("""COMPUTED_VALUE"""),"Sri Lanka")</f>
        <v>Sri Lanka</v>
      </c>
      <c r="J34" s="43" t="str">
        <f>IFERROR(__xludf.DUMMYFUNCTION("""COMPUTED_VALUE"""),"USJ")</f>
        <v>USJ</v>
      </c>
      <c r="K34" s="44" t="str">
        <f>IFERROR(__xludf.DUMMYFUNCTION("""COMPUTED_VALUE"""),"https://expa.aiesec.org/opportunities/1280953")</f>
        <v>https://expa.aiesec.org/opportunities/1280953</v>
      </c>
      <c r="L34" s="43" t="str">
        <f>IFERROR(__xludf.DUMMYFUNCTION("""COMPUTED_VALUE"""),"GV")</f>
        <v>GV</v>
      </c>
      <c r="M34" s="43" t="str">
        <f>IFERROR(__xludf.DUMMYFUNCTION("""COMPUTED_VALUE"""),"short")</f>
        <v>short</v>
      </c>
      <c r="N34" s="45">
        <f>IFERROR(__xludf.DUMMYFUNCTION("""COMPUTED_VALUE"""),44770.0)</f>
        <v>44770</v>
      </c>
      <c r="O34" s="45">
        <f>IFERROR(__xludf.DUMMYFUNCTION("""COMPUTED_VALUE"""),44776.0)</f>
        <v>44776</v>
      </c>
      <c r="P34" s="45">
        <f>IFERROR(__xludf.DUMMYFUNCTION("""COMPUTED_VALUE"""),44818.0)</f>
        <v>44818</v>
      </c>
      <c r="Q34" s="45">
        <f>IFERROR(__xludf.DUMMYFUNCTION("""COMPUTED_VALUE"""),44776.0)</f>
        <v>44776</v>
      </c>
      <c r="R34" s="45">
        <f>IFERROR(__xludf.DUMMYFUNCTION("""COMPUTED_VALUE"""),44816.0)</f>
        <v>44816</v>
      </c>
      <c r="S34" s="43"/>
      <c r="T34" s="43"/>
      <c r="U34" s="43" t="str">
        <f>IFERROR(__xludf.DUMMYFUNCTION("""COMPUTED_VALUE"""),"Heartbeat")</f>
        <v>Heartbeat</v>
      </c>
      <c r="V34" s="43" t="str">
        <f>IFERROR(__xludf.DUMMYFUNCTION("""COMPUTED_VALUE"""),"ISTANBUL - BEYOGLU")</f>
        <v>ISTANBUL - BEYOGLU</v>
      </c>
      <c r="W34" s="43" t="str">
        <f>IFERROR(__xludf.DUMMYFUNCTION("""COMPUTED_VALUE"""),"2022-04-14T11:02:09Z")</f>
        <v>2022-04-14T11:02:09Z</v>
      </c>
      <c r="X34" s="43"/>
      <c r="Y34" s="43"/>
      <c r="Z34" s="43"/>
    </row>
    <row r="35" hidden="1">
      <c r="A35" s="43" t="str">
        <f>IFERROR(__xludf.DUMMYFUNCTION("""COMPUTED_VALUE"""),"3214772_1267071")</f>
        <v>3214772_1267071</v>
      </c>
      <c r="B35" s="43" t="str">
        <f>IFERROR(__xludf.DUMMYFUNCTION("""COMPUTED_VALUE"""),"GökselHaktan Karaaydın")</f>
        <v>GökselHaktan Karaaydın</v>
      </c>
      <c r="C35" s="43" t="str">
        <f>IFERROR(__xludf.DUMMYFUNCTION("""COMPUTED_VALUE"""),"completed")</f>
        <v>completed</v>
      </c>
      <c r="D35" s="43" t="str">
        <f>IFERROR(__xludf.DUMMYFUNCTION("""COMPUTED_VALUE"""),"No")</f>
        <v>No</v>
      </c>
      <c r="E35" s="43" t="str">
        <f>IFERROR(__xludf.DUMMYFUNCTION("""COMPUTED_VALUE"""),"p_b60d2a8ccf82c9a63ebfd68ba63ccda9983c04a1@inbound.aiesec.org")</f>
        <v>p_b60d2a8ccf82c9a63ebfd68ba63ccda9983c04a1@inbound.aiesec.org</v>
      </c>
      <c r="F35" s="43">
        <f>IFERROR(__xludf.DUMMYFUNCTION("""COMPUTED_VALUE"""),5.078107864E9)</f>
        <v>5078107864</v>
      </c>
      <c r="G35" s="43" t="str">
        <f>IFERROR(__xludf.DUMMYFUNCTION("""COMPUTED_VALUE"""),"Turkey")</f>
        <v>Turkey</v>
      </c>
      <c r="H35" s="43" t="str">
        <f>IFERROR(__xludf.DUMMYFUNCTION("""COMPUTED_VALUE"""),"İZMİR")</f>
        <v>İZMİR</v>
      </c>
      <c r="I35" s="43" t="str">
        <f>IFERROR(__xludf.DUMMYFUNCTION("""COMPUTED_VALUE"""),"Italy")</f>
        <v>Italy</v>
      </c>
      <c r="J35" s="43" t="str">
        <f>IFERROR(__xludf.DUMMYFUNCTION("""COMPUTED_VALUE"""),"Bari")</f>
        <v>Bari</v>
      </c>
      <c r="K35" s="44" t="str">
        <f>IFERROR(__xludf.DUMMYFUNCTION("""COMPUTED_VALUE"""),"https://expa.aiesec.org/opportunities/1267071")</f>
        <v>https://expa.aiesec.org/opportunities/1267071</v>
      </c>
      <c r="L35" s="43" t="str">
        <f>IFERROR(__xludf.DUMMYFUNCTION("""COMPUTED_VALUE"""),"GV")</f>
        <v>GV</v>
      </c>
      <c r="M35" s="43" t="str">
        <f>IFERROR(__xludf.DUMMYFUNCTION("""COMPUTED_VALUE"""),"short")</f>
        <v>short</v>
      </c>
      <c r="N35" s="45">
        <f>IFERROR(__xludf.DUMMYFUNCTION("""COMPUTED_VALUE"""),44770.0)</f>
        <v>44770</v>
      </c>
      <c r="O35" s="45">
        <f>IFERROR(__xludf.DUMMYFUNCTION("""COMPUTED_VALUE"""),44805.0)</f>
        <v>44805</v>
      </c>
      <c r="P35" s="45">
        <f>IFERROR(__xludf.DUMMYFUNCTION("""COMPUTED_VALUE"""),44847.0)</f>
        <v>44847</v>
      </c>
      <c r="Q35" s="45">
        <f>IFERROR(__xludf.DUMMYFUNCTION("""COMPUTED_VALUE"""),44806.0)</f>
        <v>44806</v>
      </c>
      <c r="R35" s="45">
        <f>IFERROR(__xludf.DUMMYFUNCTION("""COMPUTED_VALUE"""),44847.0)</f>
        <v>44847</v>
      </c>
      <c r="S35" s="43"/>
      <c r="T35" s="43"/>
      <c r="U35" s="43" t="str">
        <f>IFERROR(__xludf.DUMMYFUNCTION("""COMPUTED_VALUE"""),"InteGreat in Lecce")</f>
        <v>InteGreat in Lecce</v>
      </c>
      <c r="V35" s="43" t="str">
        <f>IFERROR(__xludf.DUMMYFUNCTION("""COMPUTED_VALUE"""),"IZMIR")</f>
        <v>IZMIR</v>
      </c>
      <c r="W35" s="43" t="str">
        <f>IFERROR(__xludf.DUMMYFUNCTION("""COMPUTED_VALUE"""),"2019-03-13T08:18:58Z")</f>
        <v>2019-03-13T08:18:58Z</v>
      </c>
      <c r="X35" s="43"/>
      <c r="Y35" s="43"/>
      <c r="Z35" s="43"/>
    </row>
    <row r="36" hidden="1">
      <c r="A36" s="43" t="str">
        <f>IFERROR(__xludf.DUMMYFUNCTION("""COMPUTED_VALUE"""),"4947617_1287623")</f>
        <v>4947617_1287623</v>
      </c>
      <c r="B36" s="43" t="str">
        <f>IFERROR(__xludf.DUMMYFUNCTION("""COMPUTED_VALUE"""),"Büşra Neziroğlu")</f>
        <v>Büşra Neziroğlu</v>
      </c>
      <c r="C36" s="43" t="str">
        <f>IFERROR(__xludf.DUMMYFUNCTION("""COMPUTED_VALUE"""),"completed")</f>
        <v>completed</v>
      </c>
      <c r="D36" s="43" t="str">
        <f>IFERROR(__xludf.DUMMYFUNCTION("""COMPUTED_VALUE"""),"No")</f>
        <v>No</v>
      </c>
      <c r="E36" s="43" t="str">
        <f>IFERROR(__xludf.DUMMYFUNCTION("""COMPUTED_VALUE"""),"p_49c1158423a9a6235b622aad3ba6b1a25d99634d@inbound.aiesec.org")</f>
        <v>p_49c1158423a9a6235b622aad3ba6b1a25d99634d@inbound.aiesec.org</v>
      </c>
      <c r="F36" s="43">
        <f>IFERROR(__xludf.DUMMYFUNCTION("""COMPUTED_VALUE"""),5.443591839E9)</f>
        <v>5443591839</v>
      </c>
      <c r="G36" s="43" t="str">
        <f>IFERROR(__xludf.DUMMYFUNCTION("""COMPUTED_VALUE"""),"Turkey")</f>
        <v>Turkey</v>
      </c>
      <c r="H36" s="43" t="str">
        <f>IFERROR(__xludf.DUMMYFUNCTION("""COMPUTED_VALUE"""),"ISTANBUL")</f>
        <v>ISTANBUL</v>
      </c>
      <c r="I36" s="43" t="str">
        <f>IFERROR(__xludf.DUMMYFUNCTION("""COMPUTED_VALUE"""),"Egypt")</f>
        <v>Egypt</v>
      </c>
      <c r="J36" s="43" t="str">
        <f>IFERROR(__xludf.DUMMYFUNCTION("""COMPUTED_VALUE"""),"Ain Shams University")</f>
        <v>Ain Shams University</v>
      </c>
      <c r="K36" s="44" t="str">
        <f>IFERROR(__xludf.DUMMYFUNCTION("""COMPUTED_VALUE"""),"https://expa.aiesec.org/opportunities/1287623")</f>
        <v>https://expa.aiesec.org/opportunities/1287623</v>
      </c>
      <c r="L36" s="43" t="str">
        <f>IFERROR(__xludf.DUMMYFUNCTION("""COMPUTED_VALUE"""),"GV")</f>
        <v>GV</v>
      </c>
      <c r="M36" s="43" t="str">
        <f>IFERROR(__xludf.DUMMYFUNCTION("""COMPUTED_VALUE"""),"short")</f>
        <v>short</v>
      </c>
      <c r="N36" s="45">
        <f>IFERROR(__xludf.DUMMYFUNCTION("""COMPUTED_VALUE"""),44772.0)</f>
        <v>44772</v>
      </c>
      <c r="O36" s="45">
        <f>IFERROR(__xludf.DUMMYFUNCTION("""COMPUTED_VALUE"""),44779.0)</f>
        <v>44779</v>
      </c>
      <c r="P36" s="45">
        <f>IFERROR(__xludf.DUMMYFUNCTION("""COMPUTED_VALUE"""),44821.0)</f>
        <v>44821</v>
      </c>
      <c r="Q36" s="45">
        <f>IFERROR(__xludf.DUMMYFUNCTION("""COMPUTED_VALUE"""),44787.0)</f>
        <v>44787</v>
      </c>
      <c r="R36" s="45">
        <f>IFERROR(__xludf.DUMMYFUNCTION("""COMPUTED_VALUE"""),44825.0)</f>
        <v>44825</v>
      </c>
      <c r="S36" s="43"/>
      <c r="T36" s="43"/>
      <c r="U36" s="43" t="str">
        <f>IFERROR(__xludf.DUMMYFUNCTION("""COMPUTED_VALUE"""),"Fingerprint")</f>
        <v>Fingerprint</v>
      </c>
      <c r="V36" s="43" t="str">
        <f>IFERROR(__xludf.DUMMYFUNCTION("""COMPUTED_VALUE"""),"ISTANBUL - BEYOGLU")</f>
        <v>ISTANBUL - BEYOGLU</v>
      </c>
      <c r="W36" s="43" t="str">
        <f>IFERROR(__xludf.DUMMYFUNCTION("""COMPUTED_VALUE"""),"2022-02-24T17:34:58Z")</f>
        <v>2022-02-24T17:34:58Z</v>
      </c>
      <c r="X36" s="43"/>
      <c r="Y36" s="43"/>
      <c r="Z36" s="43"/>
    </row>
    <row r="37" hidden="1">
      <c r="A37" s="43" t="str">
        <f>IFERROR(__xludf.DUMMYFUNCTION("""COMPUTED_VALUE"""),"5084996_1281061")</f>
        <v>5084996_1281061</v>
      </c>
      <c r="B37" s="43" t="str">
        <f>IFERROR(__xludf.DUMMYFUNCTION("""COMPUTED_VALUE"""),"Berat Bozkır")</f>
        <v>Berat Bozkır</v>
      </c>
      <c r="C37" s="43" t="str">
        <f>IFERROR(__xludf.DUMMYFUNCTION("""COMPUTED_VALUE"""),"approved")</f>
        <v>approved</v>
      </c>
      <c r="D37" s="43" t="str">
        <f>IFERROR(__xludf.DUMMYFUNCTION("""COMPUTED_VALUE"""),"No")</f>
        <v>No</v>
      </c>
      <c r="E37" s="43" t="str">
        <f>IFERROR(__xludf.DUMMYFUNCTION("""COMPUTED_VALUE"""),"p_8c3484e008dce12d31de75b3e2713caf6436a411@inbound.aiesec.org")</f>
        <v>p_8c3484e008dce12d31de75b3e2713caf6436a411@inbound.aiesec.org</v>
      </c>
      <c r="F37" s="43">
        <f>IFERROR(__xludf.DUMMYFUNCTION("""COMPUTED_VALUE"""),5.539038688E9)</f>
        <v>5539038688</v>
      </c>
      <c r="G37" s="43" t="str">
        <f>IFERROR(__xludf.DUMMYFUNCTION("""COMPUTED_VALUE"""),"Turkey")</f>
        <v>Turkey</v>
      </c>
      <c r="H37" s="43" t="str">
        <f>IFERROR(__xludf.DUMMYFUNCTION("""COMPUTED_VALUE"""),"KONYA")</f>
        <v>KONYA</v>
      </c>
      <c r="I37" s="43" t="str">
        <f>IFERROR(__xludf.DUMMYFUNCTION("""COMPUTED_VALUE"""),"India")</f>
        <v>India</v>
      </c>
      <c r="J37" s="43" t="str">
        <f>IFERROR(__xludf.DUMMYFUNCTION("""COMPUTED_VALUE"""),"Mumbai")</f>
        <v>Mumbai</v>
      </c>
      <c r="K37" s="44" t="str">
        <f>IFERROR(__xludf.DUMMYFUNCTION("""COMPUTED_VALUE"""),"https://expa.aiesec.org/opportunities/1281061")</f>
        <v>https://expa.aiesec.org/opportunities/1281061</v>
      </c>
      <c r="L37" s="43" t="str">
        <f>IFERROR(__xludf.DUMMYFUNCTION("""COMPUTED_VALUE"""),"GV")</f>
        <v>GV</v>
      </c>
      <c r="M37" s="43" t="str">
        <f>IFERROR(__xludf.DUMMYFUNCTION("""COMPUTED_VALUE"""),"short")</f>
        <v>short</v>
      </c>
      <c r="N37" s="45">
        <f>IFERROR(__xludf.DUMMYFUNCTION("""COMPUTED_VALUE"""),44772.0)</f>
        <v>44772</v>
      </c>
      <c r="O37" s="45">
        <f>IFERROR(__xludf.DUMMYFUNCTION("""COMPUTED_VALUE"""),44941.0)</f>
        <v>44941</v>
      </c>
      <c r="P37" s="45">
        <f>IFERROR(__xludf.DUMMYFUNCTION("""COMPUTED_VALUE"""),44983.0)</f>
        <v>44983</v>
      </c>
      <c r="Q37" s="45"/>
      <c r="R37" s="45"/>
      <c r="S37" s="43"/>
      <c r="T37" s="43"/>
      <c r="U37" s="43" t="str">
        <f>IFERROR(__xludf.DUMMYFUNCTION("""COMPUTED_VALUE"""),"Youth 4 Impact")</f>
        <v>Youth 4 Impact</v>
      </c>
      <c r="V37" s="43" t="str">
        <f>IFERROR(__xludf.DUMMYFUNCTION("""COMPUTED_VALUE"""),"KONYA")</f>
        <v>KONYA</v>
      </c>
      <c r="W37" s="43" t="str">
        <f>IFERROR(__xludf.DUMMYFUNCTION("""COMPUTED_VALUE"""),"2022-07-22T12:13:06Z")</f>
        <v>2022-07-22T12:13:06Z</v>
      </c>
      <c r="X37" s="43"/>
      <c r="Y37" s="43"/>
      <c r="Z37" s="43"/>
    </row>
    <row r="38" hidden="1">
      <c r="A38" s="43" t="str">
        <f>IFERROR(__xludf.DUMMYFUNCTION("""COMPUTED_VALUE"""),"5062179_1282161")</f>
        <v>5062179_1282161</v>
      </c>
      <c r="B38" s="43" t="str">
        <f>IFERROR(__xludf.DUMMYFUNCTION("""COMPUTED_VALUE"""),"Necla Turan")</f>
        <v>Necla Turan</v>
      </c>
      <c r="C38" s="43" t="str">
        <f>IFERROR(__xludf.DUMMYFUNCTION("""COMPUTED_VALUE"""),"realization_broken")</f>
        <v>realization_broken</v>
      </c>
      <c r="D38" s="43" t="str">
        <f>IFERROR(__xludf.DUMMYFUNCTION("""COMPUTED_VALUE"""),"No")</f>
        <v>No</v>
      </c>
      <c r="E38" s="43" t="str">
        <f>IFERROR(__xludf.DUMMYFUNCTION("""COMPUTED_VALUE"""),"p_03a473fc3001ec578bc9c306a9fb7ebff09d8ca5@inbound.aiesec.org")</f>
        <v>p_03a473fc3001ec578bc9c306a9fb7ebff09d8ca5@inbound.aiesec.org</v>
      </c>
      <c r="F38" s="43">
        <f>IFERROR(__xludf.DUMMYFUNCTION("""COMPUTED_VALUE"""),5.076260404E9)</f>
        <v>5076260404</v>
      </c>
      <c r="G38" s="43" t="str">
        <f>IFERROR(__xludf.DUMMYFUNCTION("""COMPUTED_VALUE"""),"Turkey")</f>
        <v>Turkey</v>
      </c>
      <c r="H38" s="43" t="str">
        <f>IFERROR(__xludf.DUMMYFUNCTION("""COMPUTED_VALUE"""),"ISTANBUL ASIA")</f>
        <v>ISTANBUL ASIA</v>
      </c>
      <c r="I38" s="43" t="str">
        <f>IFERROR(__xludf.DUMMYFUNCTION("""COMPUTED_VALUE"""),"India")</f>
        <v>India</v>
      </c>
      <c r="J38" s="43" t="str">
        <f>IFERROR(__xludf.DUMMYFUNCTION("""COMPUTED_VALUE"""),"Delhi University")</f>
        <v>Delhi University</v>
      </c>
      <c r="K38" s="44" t="str">
        <f>IFERROR(__xludf.DUMMYFUNCTION("""COMPUTED_VALUE"""),"https://expa.aiesec.org/opportunities/1282161")</f>
        <v>https://expa.aiesec.org/opportunities/1282161</v>
      </c>
      <c r="L38" s="43" t="str">
        <f>IFERROR(__xludf.DUMMYFUNCTION("""COMPUTED_VALUE"""),"GV")</f>
        <v>GV</v>
      </c>
      <c r="M38" s="43" t="str">
        <f>IFERROR(__xludf.DUMMYFUNCTION("""COMPUTED_VALUE"""),"short")</f>
        <v>short</v>
      </c>
      <c r="N38" s="45">
        <f>IFERROR(__xludf.DUMMYFUNCTION("""COMPUTED_VALUE"""),44772.0)</f>
        <v>44772</v>
      </c>
      <c r="O38" s="45">
        <f>IFERROR(__xludf.DUMMYFUNCTION("""COMPUTED_VALUE"""),44774.0)</f>
        <v>44774</v>
      </c>
      <c r="P38" s="45">
        <f>IFERROR(__xludf.DUMMYFUNCTION("""COMPUTED_VALUE"""),44816.0)</f>
        <v>44816</v>
      </c>
      <c r="Q38" s="45"/>
      <c r="R38" s="45"/>
      <c r="S38" s="43"/>
      <c r="T38" s="43"/>
      <c r="U38" s="43" t="str">
        <f>IFERROR(__xludf.DUMMYFUNCTION("""COMPUTED_VALUE"""),"Green Leaders")</f>
        <v>Green Leaders</v>
      </c>
      <c r="V38" s="43" t="str">
        <f>IFERROR(__xludf.DUMMYFUNCTION("""COMPUTED_VALUE"""),"ISTANBUL ASIA")</f>
        <v>ISTANBUL ASIA</v>
      </c>
      <c r="W38" s="43" t="str">
        <f>IFERROR(__xludf.DUMMYFUNCTION("""COMPUTED_VALUE"""),"2022-05-22T17:11:25Z")</f>
        <v>2022-05-22T17:11:25Z</v>
      </c>
      <c r="X38" s="43"/>
      <c r="Y38" s="43"/>
      <c r="Z38" s="43"/>
    </row>
    <row r="39" hidden="1">
      <c r="A39" s="43" t="str">
        <f>IFERROR(__xludf.DUMMYFUNCTION("""COMPUTED_VALUE"""),"5046464_1287091")</f>
        <v>5046464_1287091</v>
      </c>
      <c r="B39" s="43" t="str">
        <f>IFERROR(__xludf.DUMMYFUNCTION("""COMPUTED_VALUE"""),"Begüm Kağıtçıbaşı")</f>
        <v>Begüm Kağıtçıbaşı</v>
      </c>
      <c r="C39" s="43" t="str">
        <f>IFERROR(__xludf.DUMMYFUNCTION("""COMPUTED_VALUE"""),"completed")</f>
        <v>completed</v>
      </c>
      <c r="D39" s="43" t="str">
        <f>IFERROR(__xludf.DUMMYFUNCTION("""COMPUTED_VALUE"""),"No")</f>
        <v>No</v>
      </c>
      <c r="E39" s="43" t="str">
        <f>IFERROR(__xludf.DUMMYFUNCTION("""COMPUTED_VALUE"""),"p_347f34f4c8a13c00cfc990656fb31ae8a3a3c6e4@inbound.aiesec.org")</f>
        <v>p_347f34f4c8a13c00cfc990656fb31ae8a3a3c6e4@inbound.aiesec.org</v>
      </c>
      <c r="F39" s="43">
        <f>IFERROR(__xludf.DUMMYFUNCTION("""COMPUTED_VALUE"""),5.308424783E9)</f>
        <v>5308424783</v>
      </c>
      <c r="G39" s="43" t="str">
        <f>IFERROR(__xludf.DUMMYFUNCTION("""COMPUTED_VALUE"""),"Turkey")</f>
        <v>Turkey</v>
      </c>
      <c r="H39" s="43" t="str">
        <f>IFERROR(__xludf.DUMMYFUNCTION("""COMPUTED_VALUE"""),"ISTANBUL")</f>
        <v>ISTANBUL</v>
      </c>
      <c r="I39" s="43" t="str">
        <f>IFERROR(__xludf.DUMMYFUNCTION("""COMPUTED_VALUE"""),"Tunisia")</f>
        <v>Tunisia</v>
      </c>
      <c r="J39" s="43" t="str">
        <f>IFERROR(__xludf.DUMMYFUNCTION("""COMPUTED_VALUE"""),"Carthage")</f>
        <v>Carthage</v>
      </c>
      <c r="K39" s="44" t="str">
        <f>IFERROR(__xludf.DUMMYFUNCTION("""COMPUTED_VALUE"""),"https://expa.aiesec.org/opportunities/1287091")</f>
        <v>https://expa.aiesec.org/opportunities/1287091</v>
      </c>
      <c r="L39" s="43" t="str">
        <f>IFERROR(__xludf.DUMMYFUNCTION("""COMPUTED_VALUE"""),"GV")</f>
        <v>GV</v>
      </c>
      <c r="M39" s="43" t="str">
        <f>IFERROR(__xludf.DUMMYFUNCTION("""COMPUTED_VALUE"""),"short")</f>
        <v>short</v>
      </c>
      <c r="N39" s="45">
        <f>IFERROR(__xludf.DUMMYFUNCTION("""COMPUTED_VALUE"""),44773.0)</f>
        <v>44773</v>
      </c>
      <c r="O39" s="45">
        <f>IFERROR(__xludf.DUMMYFUNCTION("""COMPUTED_VALUE"""),44776.0)</f>
        <v>44776</v>
      </c>
      <c r="P39" s="45">
        <f>IFERROR(__xludf.DUMMYFUNCTION("""COMPUTED_VALUE"""),44818.0)</f>
        <v>44818</v>
      </c>
      <c r="Q39" s="45">
        <f>IFERROR(__xludf.DUMMYFUNCTION("""COMPUTED_VALUE"""),44783.0)</f>
        <v>44783</v>
      </c>
      <c r="R39" s="45">
        <f>IFERROR(__xludf.DUMMYFUNCTION("""COMPUTED_VALUE"""),44816.0)</f>
        <v>44816</v>
      </c>
      <c r="S39" s="43"/>
      <c r="T39" s="43"/>
      <c r="U39" s="43" t="str">
        <f>IFERROR(__xludf.DUMMYFUNCTION("""COMPUTED_VALUE"""),"Eco City")</f>
        <v>Eco City</v>
      </c>
      <c r="V39" s="43" t="str">
        <f>IFERROR(__xludf.DUMMYFUNCTION("""COMPUTED_VALUE"""),"ISTANBUL - BEYOGLU")</f>
        <v>ISTANBUL - BEYOGLU</v>
      </c>
      <c r="W39" s="43" t="str">
        <f>IFERROR(__xludf.DUMMYFUNCTION("""COMPUTED_VALUE"""),"2022-04-26T12:54:35Z")</f>
        <v>2022-04-26T12:54:35Z</v>
      </c>
      <c r="X39" s="43"/>
      <c r="Y39" s="43"/>
      <c r="Z39" s="43"/>
    </row>
    <row r="40" hidden="1">
      <c r="A40" s="43" t="str">
        <f>IFERROR(__xludf.DUMMYFUNCTION("""COMPUTED_VALUE"""),"5086788_1286810")</f>
        <v>5086788_1286810</v>
      </c>
      <c r="B40" s="43" t="str">
        <f>IFERROR(__xludf.DUMMYFUNCTION("""COMPUTED_VALUE"""),"Betül Çelik")</f>
        <v>Betül Çelik</v>
      </c>
      <c r="C40" s="43" t="str">
        <f>IFERROR(__xludf.DUMMYFUNCTION("""COMPUTED_VALUE"""),"completed")</f>
        <v>completed</v>
      </c>
      <c r="D40" s="43" t="str">
        <f>IFERROR(__xludf.DUMMYFUNCTION("""COMPUTED_VALUE"""),"No")</f>
        <v>No</v>
      </c>
      <c r="E40" s="43" t="str">
        <f>IFERROR(__xludf.DUMMYFUNCTION("""COMPUTED_VALUE"""),"p_6f430a139f0ef35e9e0e815f0124935fb6c78d23@inbound.aiesec.org")</f>
        <v>p_6f430a139f0ef35e9e0e815f0124935fb6c78d23@inbound.aiesec.org</v>
      </c>
      <c r="F40" s="43"/>
      <c r="G40" s="43" t="str">
        <f>IFERROR(__xludf.DUMMYFUNCTION("""COMPUTED_VALUE"""),"Turkey")</f>
        <v>Turkey</v>
      </c>
      <c r="H40" s="43" t="str">
        <f>IFERROR(__xludf.DUMMYFUNCTION("""COMPUTED_VALUE"""),"ISTANBUL")</f>
        <v>ISTANBUL</v>
      </c>
      <c r="I40" s="43" t="str">
        <f>IFERROR(__xludf.DUMMYFUNCTION("""COMPUTED_VALUE"""),"Egypt")</f>
        <v>Egypt</v>
      </c>
      <c r="J40" s="43" t="str">
        <f>IFERROR(__xludf.DUMMYFUNCTION("""COMPUTED_VALUE"""),"Cairo University")</f>
        <v>Cairo University</v>
      </c>
      <c r="K40" s="44" t="str">
        <f>IFERROR(__xludf.DUMMYFUNCTION("""COMPUTED_VALUE"""),"https://expa.aiesec.org/opportunities/1286810")</f>
        <v>https://expa.aiesec.org/opportunities/1286810</v>
      </c>
      <c r="L40" s="43" t="str">
        <f>IFERROR(__xludf.DUMMYFUNCTION("""COMPUTED_VALUE"""),"GV")</f>
        <v>GV</v>
      </c>
      <c r="M40" s="43" t="str">
        <f>IFERROR(__xludf.DUMMYFUNCTION("""COMPUTED_VALUE"""),"short")</f>
        <v>short</v>
      </c>
      <c r="N40" s="45">
        <f>IFERROR(__xludf.DUMMYFUNCTION("""COMPUTED_VALUE"""),44773.0)</f>
        <v>44773</v>
      </c>
      <c r="O40" s="45">
        <f>IFERROR(__xludf.DUMMYFUNCTION("""COMPUTED_VALUE"""),44787.0)</f>
        <v>44787</v>
      </c>
      <c r="P40" s="45">
        <f>IFERROR(__xludf.DUMMYFUNCTION("""COMPUTED_VALUE"""),44833.0)</f>
        <v>44833</v>
      </c>
      <c r="Q40" s="45">
        <f>IFERROR(__xludf.DUMMYFUNCTION("""COMPUTED_VALUE"""),44788.0)</f>
        <v>44788</v>
      </c>
      <c r="R40" s="45">
        <f>IFERROR(__xludf.DUMMYFUNCTION("""COMPUTED_VALUE"""),44832.0)</f>
        <v>44832</v>
      </c>
      <c r="S40" s="43"/>
      <c r="T40" s="43"/>
      <c r="U40" s="43" t="str">
        <f>IFERROR(__xludf.DUMMYFUNCTION("""COMPUTED_VALUE"""),"Global Classroom")</f>
        <v>Global Classroom</v>
      </c>
      <c r="V40" s="43" t="str">
        <f>IFERROR(__xludf.DUMMYFUNCTION("""COMPUTED_VALUE"""),"ISTANBUL - BEYOGLU")</f>
        <v>ISTANBUL - BEYOGLU</v>
      </c>
      <c r="W40" s="43" t="str">
        <f>IFERROR(__xludf.DUMMYFUNCTION("""COMPUTED_VALUE"""),"2022-07-28T15:32:02Z")</f>
        <v>2022-07-28T15:32:02Z</v>
      </c>
      <c r="X40" s="43"/>
      <c r="Y40" s="43"/>
      <c r="Z40" s="43"/>
    </row>
    <row r="41" hidden="1">
      <c r="A41" s="43" t="str">
        <f>IFERROR(__xludf.DUMMYFUNCTION("""COMPUTED_VALUE"""),"4948846_1287315")</f>
        <v>4948846_1287315</v>
      </c>
      <c r="B41" s="43" t="str">
        <f>IFERROR(__xludf.DUMMYFUNCTION("""COMPUTED_VALUE"""),"Tuğçe Çelik")</f>
        <v>Tuğçe Çelik</v>
      </c>
      <c r="C41" s="43" t="str">
        <f>IFERROR(__xludf.DUMMYFUNCTION("""COMPUTED_VALUE"""),"completed")</f>
        <v>completed</v>
      </c>
      <c r="D41" s="43" t="str">
        <f>IFERROR(__xludf.DUMMYFUNCTION("""COMPUTED_VALUE"""),"No")</f>
        <v>No</v>
      </c>
      <c r="E41" s="43" t="str">
        <f>IFERROR(__xludf.DUMMYFUNCTION("""COMPUTED_VALUE"""),"p_9fd7b8d844a72589ee816a16665b44551d53fd13@inbound.aiesec.org")</f>
        <v>p_9fd7b8d844a72589ee816a16665b44551d53fd13@inbound.aiesec.org</v>
      </c>
      <c r="F41" s="43">
        <f>IFERROR(__xludf.DUMMYFUNCTION("""COMPUTED_VALUE"""),5.458697734E9)</f>
        <v>5458697734</v>
      </c>
      <c r="G41" s="43" t="str">
        <f>IFERROR(__xludf.DUMMYFUNCTION("""COMPUTED_VALUE"""),"Turkey")</f>
        <v>Turkey</v>
      </c>
      <c r="H41" s="43" t="str">
        <f>IFERROR(__xludf.DUMMYFUNCTION("""COMPUTED_VALUE"""),"SAMSUN [Closed]")</f>
        <v>SAMSUN [Closed]</v>
      </c>
      <c r="I41" s="43" t="str">
        <f>IFERROR(__xludf.DUMMYFUNCTION("""COMPUTED_VALUE"""),"Egypt")</f>
        <v>Egypt</v>
      </c>
      <c r="J41" s="43" t="str">
        <f>IFERROR(__xludf.DUMMYFUNCTION("""COMPUTED_VALUE"""),"Ain Shams University")</f>
        <v>Ain Shams University</v>
      </c>
      <c r="K41" s="44" t="str">
        <f>IFERROR(__xludf.DUMMYFUNCTION("""COMPUTED_VALUE"""),"https://expa.aiesec.org/opportunities/1287315")</f>
        <v>https://expa.aiesec.org/opportunities/1287315</v>
      </c>
      <c r="L41" s="43" t="str">
        <f>IFERROR(__xludf.DUMMYFUNCTION("""COMPUTED_VALUE"""),"GV")</f>
        <v>GV</v>
      </c>
      <c r="M41" s="43" t="str">
        <f>IFERROR(__xludf.DUMMYFUNCTION("""COMPUTED_VALUE"""),"short")</f>
        <v>short</v>
      </c>
      <c r="N41" s="45">
        <f>IFERROR(__xludf.DUMMYFUNCTION("""COMPUTED_VALUE"""),44774.0)</f>
        <v>44774</v>
      </c>
      <c r="O41" s="45">
        <f>IFERROR(__xludf.DUMMYFUNCTION("""COMPUTED_VALUE"""),44779.0)</f>
        <v>44779</v>
      </c>
      <c r="P41" s="45">
        <f>IFERROR(__xludf.DUMMYFUNCTION("""COMPUTED_VALUE"""),44821.0)</f>
        <v>44821</v>
      </c>
      <c r="Q41" s="45">
        <f>IFERROR(__xludf.DUMMYFUNCTION("""COMPUTED_VALUE"""),44787.0)</f>
        <v>44787</v>
      </c>
      <c r="R41" s="45">
        <f>IFERROR(__xludf.DUMMYFUNCTION("""COMPUTED_VALUE"""),44794.0)</f>
        <v>44794</v>
      </c>
      <c r="S41" s="43"/>
      <c r="T41" s="43"/>
      <c r="U41" s="43" t="str">
        <f>IFERROR(__xludf.DUMMYFUNCTION("""COMPUTED_VALUE"""),"Global Classroom")</f>
        <v>Global Classroom</v>
      </c>
      <c r="V41" s="43" t="str">
        <f>IFERROR(__xludf.DUMMYFUNCTION("""COMPUTED_VALUE"""),"SAMSUN")</f>
        <v>SAMSUN</v>
      </c>
      <c r="W41" s="43" t="str">
        <f>IFERROR(__xludf.DUMMYFUNCTION("""COMPUTED_VALUE"""),"2022-02-25T09:55:05Z")</f>
        <v>2022-02-25T09:55:05Z</v>
      </c>
      <c r="X41" s="43"/>
      <c r="Y41" s="43"/>
      <c r="Z41" s="43"/>
    </row>
    <row r="42" hidden="1">
      <c r="A42" s="43" t="str">
        <f>IFERROR(__xludf.DUMMYFUNCTION("""COMPUTED_VALUE"""),"4778763_1287316")</f>
        <v>4778763_1287316</v>
      </c>
      <c r="B42" s="43" t="str">
        <f>IFERROR(__xludf.DUMMYFUNCTION("""COMPUTED_VALUE"""),"Kübra Acevit")</f>
        <v>Kübra Acevit</v>
      </c>
      <c r="C42" s="43" t="str">
        <f>IFERROR(__xludf.DUMMYFUNCTION("""COMPUTED_VALUE"""),"completed")</f>
        <v>completed</v>
      </c>
      <c r="D42" s="43" t="str">
        <f>IFERROR(__xludf.DUMMYFUNCTION("""COMPUTED_VALUE"""),"No")</f>
        <v>No</v>
      </c>
      <c r="E42" s="43" t="str">
        <f>IFERROR(__xludf.DUMMYFUNCTION("""COMPUTED_VALUE"""),"p_e7a6517cf0086d5b222e204c756660be620b4618@inbound.aiesec.org")</f>
        <v>p_e7a6517cf0086d5b222e204c756660be620b4618@inbound.aiesec.org</v>
      </c>
      <c r="F42" s="43">
        <f>IFERROR(__xludf.DUMMYFUNCTION("""COMPUTED_VALUE"""),5.316297165E9)</f>
        <v>5316297165</v>
      </c>
      <c r="G42" s="43" t="str">
        <f>IFERROR(__xludf.DUMMYFUNCTION("""COMPUTED_VALUE"""),"Turkey")</f>
        <v>Turkey</v>
      </c>
      <c r="H42" s="43" t="str">
        <f>IFERROR(__xludf.DUMMYFUNCTION("""COMPUTED_VALUE"""),"SAKARYA")</f>
        <v>SAKARYA</v>
      </c>
      <c r="I42" s="43" t="str">
        <f>IFERROR(__xludf.DUMMYFUNCTION("""COMPUTED_VALUE"""),"Egypt")</f>
        <v>Egypt</v>
      </c>
      <c r="J42" s="43" t="str">
        <f>IFERROR(__xludf.DUMMYFUNCTION("""COMPUTED_VALUE"""),"Cairo University")</f>
        <v>Cairo University</v>
      </c>
      <c r="K42" s="44" t="str">
        <f>IFERROR(__xludf.DUMMYFUNCTION("""COMPUTED_VALUE"""),"https://expa.aiesec.org/opportunities/1287316")</f>
        <v>https://expa.aiesec.org/opportunities/1287316</v>
      </c>
      <c r="L42" s="43" t="str">
        <f>IFERROR(__xludf.DUMMYFUNCTION("""COMPUTED_VALUE"""),"GV")</f>
        <v>GV</v>
      </c>
      <c r="M42" s="43" t="str">
        <f>IFERROR(__xludf.DUMMYFUNCTION("""COMPUTED_VALUE"""),"short")</f>
        <v>short</v>
      </c>
      <c r="N42" s="45">
        <f>IFERROR(__xludf.DUMMYFUNCTION("""COMPUTED_VALUE"""),44774.0)</f>
        <v>44774</v>
      </c>
      <c r="O42" s="45">
        <f>IFERROR(__xludf.DUMMYFUNCTION("""COMPUTED_VALUE"""),44835.0)</f>
        <v>44835</v>
      </c>
      <c r="P42" s="45">
        <f>IFERROR(__xludf.DUMMYFUNCTION("""COMPUTED_VALUE"""),44881.0)</f>
        <v>44881</v>
      </c>
      <c r="Q42" s="45">
        <f>IFERROR(__xludf.DUMMYFUNCTION("""COMPUTED_VALUE"""),44835.0)</f>
        <v>44835</v>
      </c>
      <c r="R42" s="45">
        <f>IFERROR(__xludf.DUMMYFUNCTION("""COMPUTED_VALUE"""),44849.0)</f>
        <v>44849</v>
      </c>
      <c r="S42" s="43"/>
      <c r="T42" s="43"/>
      <c r="U42" s="43" t="str">
        <f>IFERROR(__xludf.DUMMYFUNCTION("""COMPUTED_VALUE"""),"On The Map")</f>
        <v>On The Map</v>
      </c>
      <c r="V42" s="43" t="str">
        <f>IFERROR(__xludf.DUMMYFUNCTION("""COMPUTED_VALUE"""),"SAKARYA")</f>
        <v>SAKARYA</v>
      </c>
      <c r="W42" s="43" t="str">
        <f>IFERROR(__xludf.DUMMYFUNCTION("""COMPUTED_VALUE"""),"2021-10-30T19:20:37Z")</f>
        <v>2021-10-30T19:20:37Z</v>
      </c>
      <c r="X42" s="43"/>
      <c r="Y42" s="43"/>
      <c r="Z42" s="43"/>
    </row>
    <row r="43" hidden="1">
      <c r="A43" s="43" t="str">
        <f>IFERROR(__xludf.DUMMYFUNCTION("""COMPUTED_VALUE"""),"4637396_1286113")</f>
        <v>4637396_1286113</v>
      </c>
      <c r="B43" s="43" t="str">
        <f>IFERROR(__xludf.DUMMYFUNCTION("""COMPUTED_VALUE"""),"Mohamed Ali")</f>
        <v>Mohamed Ali</v>
      </c>
      <c r="C43" s="43" t="str">
        <f>IFERROR(__xludf.DUMMYFUNCTION("""COMPUTED_VALUE"""),"approved")</f>
        <v>approved</v>
      </c>
      <c r="D43" s="43" t="str">
        <f>IFERROR(__xludf.DUMMYFUNCTION("""COMPUTED_VALUE"""),"No")</f>
        <v>No</v>
      </c>
      <c r="E43" s="43" t="str">
        <f>IFERROR(__xludf.DUMMYFUNCTION("""COMPUTED_VALUE"""),"p_acc2d035a95b43b0599aa429851883b46546e366@inbound.aiesec.org")</f>
        <v>p_acc2d035a95b43b0599aa429851883b46546e366@inbound.aiesec.org</v>
      </c>
      <c r="F43" s="43">
        <f>IFERROR(__xludf.DUMMYFUNCTION("""COMPUTED_VALUE"""),5.33859324E9)</f>
        <v>5338593240</v>
      </c>
      <c r="G43" s="43" t="str">
        <f>IFERROR(__xludf.DUMMYFUNCTION("""COMPUTED_VALUE"""),"Turkey")</f>
        <v>Turkey</v>
      </c>
      <c r="H43" s="43" t="str">
        <f>IFERROR(__xludf.DUMMYFUNCTION("""COMPUTED_VALUE"""),"EASTERN MEDITERRANEAN")</f>
        <v>EASTERN MEDITERRANEAN</v>
      </c>
      <c r="I43" s="43" t="str">
        <f>IFERROR(__xludf.DUMMYFUNCTION("""COMPUTED_VALUE"""),"India")</f>
        <v>India</v>
      </c>
      <c r="J43" s="43" t="str">
        <f>IFERROR(__xludf.DUMMYFUNCTION("""COMPUTED_VALUE"""),"Dehradun")</f>
        <v>Dehradun</v>
      </c>
      <c r="K43" s="44" t="str">
        <f>IFERROR(__xludf.DUMMYFUNCTION("""COMPUTED_VALUE"""),"https://expa.aiesec.org/opportunities/1286113")</f>
        <v>https://expa.aiesec.org/opportunities/1286113</v>
      </c>
      <c r="L43" s="43" t="str">
        <f>IFERROR(__xludf.DUMMYFUNCTION("""COMPUTED_VALUE"""),"GV")</f>
        <v>GV</v>
      </c>
      <c r="M43" s="43" t="str">
        <f>IFERROR(__xludf.DUMMYFUNCTION("""COMPUTED_VALUE"""),"short")</f>
        <v>short</v>
      </c>
      <c r="N43" s="45">
        <f>IFERROR(__xludf.DUMMYFUNCTION("""COMPUTED_VALUE"""),44775.0)</f>
        <v>44775</v>
      </c>
      <c r="O43" s="45">
        <f>IFERROR(__xludf.DUMMYFUNCTION("""COMPUTED_VALUE"""),44958.0)</f>
        <v>44958</v>
      </c>
      <c r="P43" s="45">
        <f>IFERROR(__xludf.DUMMYFUNCTION("""COMPUTED_VALUE"""),45000.0)</f>
        <v>45000</v>
      </c>
      <c r="Q43" s="45"/>
      <c r="R43" s="45"/>
      <c r="S43" s="43"/>
      <c r="T43" s="43"/>
      <c r="U43" s="43" t="str">
        <f>IFERROR(__xludf.DUMMYFUNCTION("""COMPUTED_VALUE"""),"Skill Up!")</f>
        <v>Skill Up!</v>
      </c>
      <c r="V43" s="43" t="str">
        <f>IFERROR(__xludf.DUMMYFUNCTION("""COMPUTED_VALUE"""),"NORTH CYPRUS")</f>
        <v>NORTH CYPRUS</v>
      </c>
      <c r="W43" s="43" t="str">
        <f>IFERROR(__xludf.DUMMYFUNCTION("""COMPUTED_VALUE"""),"2021-05-05T12:56:45Z")</f>
        <v>2021-05-05T12:56:45Z</v>
      </c>
      <c r="X43" s="43"/>
      <c r="Y43" s="43"/>
      <c r="Z43" s="43"/>
    </row>
    <row r="44" hidden="1">
      <c r="A44" s="43" t="str">
        <f>IFERROR(__xludf.DUMMYFUNCTION("""COMPUTED_VALUE"""),"5085699_1283828")</f>
        <v>5085699_1283828</v>
      </c>
      <c r="B44" s="43" t="str">
        <f>IFERROR(__xludf.DUMMYFUNCTION("""COMPUTED_VALUE"""),"Destina Karpat")</f>
        <v>Destina Karpat</v>
      </c>
      <c r="C44" s="43" t="str">
        <f>IFERROR(__xludf.DUMMYFUNCTION("""COMPUTED_VALUE"""),"finished")</f>
        <v>finished</v>
      </c>
      <c r="D44" s="43" t="str">
        <f>IFERROR(__xludf.DUMMYFUNCTION("""COMPUTED_VALUE"""),"No")</f>
        <v>No</v>
      </c>
      <c r="E44" s="43" t="str">
        <f>IFERROR(__xludf.DUMMYFUNCTION("""COMPUTED_VALUE"""),"p_3892296800514b5ab8ab3a5d485d844946af0cdf@inbound.aiesec.org")</f>
        <v>p_3892296800514b5ab8ab3a5d485d844946af0cdf@inbound.aiesec.org</v>
      </c>
      <c r="F44" s="43"/>
      <c r="G44" s="43" t="str">
        <f>IFERROR(__xludf.DUMMYFUNCTION("""COMPUTED_VALUE"""),"Turkey")</f>
        <v>Turkey</v>
      </c>
      <c r="H44" s="43" t="str">
        <f>IFERROR(__xludf.DUMMYFUNCTION("""COMPUTED_VALUE"""),"İZMİR")</f>
        <v>İZMİR</v>
      </c>
      <c r="I44" s="43" t="str">
        <f>IFERROR(__xludf.DUMMYFUNCTION("""COMPUTED_VALUE"""),"Italy")</f>
        <v>Italy</v>
      </c>
      <c r="J44" s="43" t="str">
        <f>IFERROR(__xludf.DUMMYFUNCTION("""COMPUTED_VALUE"""),"Torino")</f>
        <v>Torino</v>
      </c>
      <c r="K44" s="44" t="str">
        <f>IFERROR(__xludf.DUMMYFUNCTION("""COMPUTED_VALUE"""),"https://expa.aiesec.org/opportunities/1283828")</f>
        <v>https://expa.aiesec.org/opportunities/1283828</v>
      </c>
      <c r="L44" s="43" t="str">
        <f>IFERROR(__xludf.DUMMYFUNCTION("""COMPUTED_VALUE"""),"GV")</f>
        <v>GV</v>
      </c>
      <c r="M44" s="43" t="str">
        <f>IFERROR(__xludf.DUMMYFUNCTION("""COMPUTED_VALUE"""),"short")</f>
        <v>short</v>
      </c>
      <c r="N44" s="45">
        <f>IFERROR(__xludf.DUMMYFUNCTION("""COMPUTED_VALUE"""),44777.0)</f>
        <v>44777</v>
      </c>
      <c r="O44" s="45">
        <f>IFERROR(__xludf.DUMMYFUNCTION("""COMPUTED_VALUE"""),44802.0)</f>
        <v>44802</v>
      </c>
      <c r="P44" s="45">
        <f>IFERROR(__xludf.DUMMYFUNCTION("""COMPUTED_VALUE"""),44844.0)</f>
        <v>44844</v>
      </c>
      <c r="Q44" s="45">
        <f>IFERROR(__xludf.DUMMYFUNCTION("""COMPUTED_VALUE"""),44802.0)</f>
        <v>44802</v>
      </c>
      <c r="R44" s="45">
        <f>IFERROR(__xludf.DUMMYFUNCTION("""COMPUTED_VALUE"""),44844.0)</f>
        <v>44844</v>
      </c>
      <c r="S44" s="43"/>
      <c r="T44" s="43"/>
      <c r="U44" s="43" t="str">
        <f>IFERROR(__xludf.DUMMYFUNCTION("""COMPUTED_VALUE"""),"Green Leaders")</f>
        <v>Green Leaders</v>
      </c>
      <c r="V44" s="43" t="str">
        <f>IFERROR(__xludf.DUMMYFUNCTION("""COMPUTED_VALUE"""),"-")</f>
        <v>-</v>
      </c>
      <c r="W44" s="43" t="str">
        <f>IFERROR(__xludf.DUMMYFUNCTION("""COMPUTED_VALUE"""),"2022-07-25T13:12:08Z")</f>
        <v>2022-07-25T13:12:08Z</v>
      </c>
      <c r="X44" s="43"/>
      <c r="Y44" s="43"/>
      <c r="Z44" s="43"/>
    </row>
    <row r="45" hidden="1">
      <c r="A45" s="43" t="str">
        <f>IFERROR(__xludf.DUMMYFUNCTION("""COMPUTED_VALUE"""),"5085317_1287316")</f>
        <v>5085317_1287316</v>
      </c>
      <c r="B45" s="43" t="str">
        <f>IFERROR(__xludf.DUMMYFUNCTION("""COMPUTED_VALUE"""),"Haticenur Uyanık")</f>
        <v>Haticenur Uyanık</v>
      </c>
      <c r="C45" s="43" t="str">
        <f>IFERROR(__xludf.DUMMYFUNCTION("""COMPUTED_VALUE"""),"completed")</f>
        <v>completed</v>
      </c>
      <c r="D45" s="43" t="str">
        <f>IFERROR(__xludf.DUMMYFUNCTION("""COMPUTED_VALUE"""),"No")</f>
        <v>No</v>
      </c>
      <c r="E45" s="43" t="str">
        <f>IFERROR(__xludf.DUMMYFUNCTION("""COMPUTED_VALUE"""),"p_d597db7cbb7c77bbbca0d73e14b58c1cd9ed9267@inbound.aiesec.org")</f>
        <v>p_d597db7cbb7c77bbbca0d73e14b58c1cd9ed9267@inbound.aiesec.org</v>
      </c>
      <c r="F45" s="43"/>
      <c r="G45" s="43" t="str">
        <f>IFERROR(__xludf.DUMMYFUNCTION("""COMPUTED_VALUE"""),"Turkey")</f>
        <v>Turkey</v>
      </c>
      <c r="H45" s="43" t="str">
        <f>IFERROR(__xludf.DUMMYFUNCTION("""COMPUTED_VALUE"""),"ISTANBUL WEST")</f>
        <v>ISTANBUL WEST</v>
      </c>
      <c r="I45" s="43" t="str">
        <f>IFERROR(__xludf.DUMMYFUNCTION("""COMPUTED_VALUE"""),"Egypt")</f>
        <v>Egypt</v>
      </c>
      <c r="J45" s="43" t="str">
        <f>IFERROR(__xludf.DUMMYFUNCTION("""COMPUTED_VALUE"""),"Cairo University")</f>
        <v>Cairo University</v>
      </c>
      <c r="K45" s="44" t="str">
        <f>IFERROR(__xludf.DUMMYFUNCTION("""COMPUTED_VALUE"""),"https://expa.aiesec.org/opportunities/1287316")</f>
        <v>https://expa.aiesec.org/opportunities/1287316</v>
      </c>
      <c r="L45" s="43" t="str">
        <f>IFERROR(__xludf.DUMMYFUNCTION("""COMPUTED_VALUE"""),"GV")</f>
        <v>GV</v>
      </c>
      <c r="M45" s="43" t="str">
        <f>IFERROR(__xludf.DUMMYFUNCTION("""COMPUTED_VALUE"""),"short")</f>
        <v>short</v>
      </c>
      <c r="N45" s="45">
        <f>IFERROR(__xludf.DUMMYFUNCTION("""COMPUTED_VALUE"""),44778.0)</f>
        <v>44778</v>
      </c>
      <c r="O45" s="45">
        <f>IFERROR(__xludf.DUMMYFUNCTION("""COMPUTED_VALUE"""),44835.0)</f>
        <v>44835</v>
      </c>
      <c r="P45" s="45">
        <f>IFERROR(__xludf.DUMMYFUNCTION("""COMPUTED_VALUE"""),44881.0)</f>
        <v>44881</v>
      </c>
      <c r="Q45" s="45">
        <f>IFERROR(__xludf.DUMMYFUNCTION("""COMPUTED_VALUE"""),44841.0)</f>
        <v>44841</v>
      </c>
      <c r="R45" s="45">
        <f>IFERROR(__xludf.DUMMYFUNCTION("""COMPUTED_VALUE"""),44883.0)</f>
        <v>44883</v>
      </c>
      <c r="S45" s="43"/>
      <c r="T45" s="43"/>
      <c r="U45" s="43" t="str">
        <f>IFERROR(__xludf.DUMMYFUNCTION("""COMPUTED_VALUE"""),"On The Map")</f>
        <v>On The Map</v>
      </c>
      <c r="V45" s="43" t="str">
        <f>IFERROR(__xludf.DUMMYFUNCTION("""COMPUTED_VALUE"""),"-")</f>
        <v>-</v>
      </c>
      <c r="W45" s="43" t="str">
        <f>IFERROR(__xludf.DUMMYFUNCTION("""COMPUTED_VALUE"""),"2022-07-23T18:29:03Z")</f>
        <v>2022-07-23T18:29:03Z</v>
      </c>
      <c r="X45" s="43"/>
      <c r="Y45" s="43"/>
      <c r="Z45" s="43"/>
    </row>
    <row r="46" hidden="1">
      <c r="A46" s="43" t="str">
        <f>IFERROR(__xludf.DUMMYFUNCTION("""COMPUTED_VALUE"""),"4623036_1288283")</f>
        <v>4623036_1288283</v>
      </c>
      <c r="B46" s="43" t="str">
        <f>IFERROR(__xludf.DUMMYFUNCTION("""COMPUTED_VALUE"""),"Muhammet Mert Seçkin")</f>
        <v>Muhammet Mert Seçkin</v>
      </c>
      <c r="C46" s="43" t="str">
        <f>IFERROR(__xludf.DUMMYFUNCTION("""COMPUTED_VALUE"""),"approved")</f>
        <v>approved</v>
      </c>
      <c r="D46" s="43" t="str">
        <f>IFERROR(__xludf.DUMMYFUNCTION("""COMPUTED_VALUE"""),"No")</f>
        <v>No</v>
      </c>
      <c r="E46" s="43" t="str">
        <f>IFERROR(__xludf.DUMMYFUNCTION("""COMPUTED_VALUE"""),"p_0580c1c5aeb89832dca7dc9cbbe16f6ebfd7e4a7@inbound.aiesec.org")</f>
        <v>p_0580c1c5aeb89832dca7dc9cbbe16f6ebfd7e4a7@inbound.aiesec.org</v>
      </c>
      <c r="F46" s="43">
        <f>IFERROR(__xludf.DUMMYFUNCTION("""COMPUTED_VALUE"""),5.052667525E9)</f>
        <v>5052667525</v>
      </c>
      <c r="G46" s="43" t="str">
        <f>IFERROR(__xludf.DUMMYFUNCTION("""COMPUTED_VALUE"""),"Turkey")</f>
        <v>Turkey</v>
      </c>
      <c r="H46" s="43" t="str">
        <f>IFERROR(__xludf.DUMMYFUNCTION("""COMPUTED_VALUE"""),"KONYA")</f>
        <v>KONYA</v>
      </c>
      <c r="I46" s="43" t="str">
        <f>IFERROR(__xludf.DUMMYFUNCTION("""COMPUTED_VALUE"""),"Portugal")</f>
        <v>Portugal</v>
      </c>
      <c r="J46" s="43" t="str">
        <f>IFERROR(__xludf.DUMMYFUNCTION("""COMPUTED_VALUE"""),"UMINHO")</f>
        <v>UMINHO</v>
      </c>
      <c r="K46" s="44" t="str">
        <f>IFERROR(__xludf.DUMMYFUNCTION("""COMPUTED_VALUE"""),"https://expa.aiesec.org/opportunities/1288283")</f>
        <v>https://expa.aiesec.org/opportunities/1288283</v>
      </c>
      <c r="L46" s="43" t="str">
        <f>IFERROR(__xludf.DUMMYFUNCTION("""COMPUTED_VALUE"""),"GV")</f>
        <v>GV</v>
      </c>
      <c r="M46" s="43" t="str">
        <f>IFERROR(__xludf.DUMMYFUNCTION("""COMPUTED_VALUE"""),"short")</f>
        <v>short</v>
      </c>
      <c r="N46" s="45">
        <f>IFERROR(__xludf.DUMMYFUNCTION("""COMPUTED_VALUE"""),44779.0)</f>
        <v>44779</v>
      </c>
      <c r="O46" s="45">
        <f>IFERROR(__xludf.DUMMYFUNCTION("""COMPUTED_VALUE"""),44935.0)</f>
        <v>44935</v>
      </c>
      <c r="P46" s="45">
        <f>IFERROR(__xludf.DUMMYFUNCTION("""COMPUTED_VALUE"""),44977.0)</f>
        <v>44977</v>
      </c>
      <c r="Q46" s="45"/>
      <c r="R46" s="45"/>
      <c r="S46" s="43"/>
      <c r="T46" s="43"/>
      <c r="U46" s="43" t="str">
        <f>IFERROR(__xludf.DUMMYFUNCTION("""COMPUTED_VALUE"""),"Green Leaders")</f>
        <v>Green Leaders</v>
      </c>
      <c r="V46" s="43" t="str">
        <f>IFERROR(__xludf.DUMMYFUNCTION("""COMPUTED_VALUE"""),"KONYA")</f>
        <v>KONYA</v>
      </c>
      <c r="W46" s="43" t="str">
        <f>IFERROR(__xludf.DUMMYFUNCTION("""COMPUTED_VALUE"""),"2021-04-20T12:56:18Z")</f>
        <v>2021-04-20T12:56:18Z</v>
      </c>
      <c r="X46" s="43"/>
      <c r="Y46" s="43"/>
      <c r="Z46" s="43"/>
    </row>
    <row r="47" hidden="1">
      <c r="A47" s="43" t="str">
        <f>IFERROR(__xludf.DUMMYFUNCTION("""COMPUTED_VALUE"""),"5084689_1286585")</f>
        <v>5084689_1286585</v>
      </c>
      <c r="B47" s="43" t="str">
        <f>IFERROR(__xludf.DUMMYFUNCTION("""COMPUTED_VALUE"""),"Yasemen Toğrul")</f>
        <v>Yasemen Toğrul</v>
      </c>
      <c r="C47" s="43" t="str">
        <f>IFERROR(__xludf.DUMMYFUNCTION("""COMPUTED_VALUE"""),"finished")</f>
        <v>finished</v>
      </c>
      <c r="D47" s="43" t="str">
        <f>IFERROR(__xludf.DUMMYFUNCTION("""COMPUTED_VALUE"""),"No")</f>
        <v>No</v>
      </c>
      <c r="E47" s="43" t="str">
        <f>IFERROR(__xludf.DUMMYFUNCTION("""COMPUTED_VALUE"""),"p_41521c0032f14ce010d2277fcd4adefdfeebc4af@inbound.aiesec.org")</f>
        <v>p_41521c0032f14ce010d2277fcd4adefdfeebc4af@inbound.aiesec.org</v>
      </c>
      <c r="F47" s="43"/>
      <c r="G47" s="43" t="str">
        <f>IFERROR(__xludf.DUMMYFUNCTION("""COMPUTED_VALUE"""),"Turkey")</f>
        <v>Turkey</v>
      </c>
      <c r="H47" s="43" t="str">
        <f>IFERROR(__xludf.DUMMYFUNCTION("""COMPUTED_VALUE"""),"BURSA")</f>
        <v>BURSA</v>
      </c>
      <c r="I47" s="43" t="str">
        <f>IFERROR(__xludf.DUMMYFUNCTION("""COMPUTED_VALUE"""),"Sri Lanka")</f>
        <v>Sri Lanka</v>
      </c>
      <c r="J47" s="43" t="str">
        <f>IFERROR(__xludf.DUMMYFUNCTION("""COMPUTED_VALUE"""),"COLOMBO NORTH")</f>
        <v>COLOMBO NORTH</v>
      </c>
      <c r="K47" s="44" t="str">
        <f>IFERROR(__xludf.DUMMYFUNCTION("""COMPUTED_VALUE"""),"https://expa.aiesec.org/opportunities/1286585")</f>
        <v>https://expa.aiesec.org/opportunities/1286585</v>
      </c>
      <c r="L47" s="43" t="str">
        <f>IFERROR(__xludf.DUMMYFUNCTION("""COMPUTED_VALUE"""),"GV")</f>
        <v>GV</v>
      </c>
      <c r="M47" s="43" t="str">
        <f>IFERROR(__xludf.DUMMYFUNCTION("""COMPUTED_VALUE"""),"short")</f>
        <v>short</v>
      </c>
      <c r="N47" s="45">
        <f>IFERROR(__xludf.DUMMYFUNCTION("""COMPUTED_VALUE"""),44782.0)</f>
        <v>44782</v>
      </c>
      <c r="O47" s="45">
        <f>IFERROR(__xludf.DUMMYFUNCTION("""COMPUTED_VALUE"""),44800.0)</f>
        <v>44800</v>
      </c>
      <c r="P47" s="45">
        <f>IFERROR(__xludf.DUMMYFUNCTION("""COMPUTED_VALUE"""),44842.0)</f>
        <v>44842</v>
      </c>
      <c r="Q47" s="45">
        <f>IFERROR(__xludf.DUMMYFUNCTION("""COMPUTED_VALUE"""),44801.0)</f>
        <v>44801</v>
      </c>
      <c r="R47" s="45">
        <f>IFERROR(__xludf.DUMMYFUNCTION("""COMPUTED_VALUE"""),44841.0)</f>
        <v>44841</v>
      </c>
      <c r="S47" s="43"/>
      <c r="T47" s="43"/>
      <c r="U47" s="43" t="str">
        <f>IFERROR(__xludf.DUMMYFUNCTION("""COMPUTED_VALUE"""),"On The Map")</f>
        <v>On The Map</v>
      </c>
      <c r="V47" s="43" t="str">
        <f>IFERROR(__xludf.DUMMYFUNCTION("""COMPUTED_VALUE"""),"-")</f>
        <v>-</v>
      </c>
      <c r="W47" s="43" t="str">
        <f>IFERROR(__xludf.DUMMYFUNCTION("""COMPUTED_VALUE"""),"2022-07-21T14:44:36Z")</f>
        <v>2022-07-21T14:44:36Z</v>
      </c>
      <c r="X47" s="43"/>
      <c r="Y47" s="43"/>
      <c r="Z47" s="43"/>
    </row>
    <row r="48" hidden="1">
      <c r="A48" s="43" t="str">
        <f>IFERROR(__xludf.DUMMYFUNCTION("""COMPUTED_VALUE"""),"5053641_1287712")</f>
        <v>5053641_1287712</v>
      </c>
      <c r="B48" s="43" t="str">
        <f>IFERROR(__xludf.DUMMYFUNCTION("""COMPUTED_VALUE"""),"Haşim Can Demirci")</f>
        <v>Haşim Can Demirci</v>
      </c>
      <c r="C48" s="43" t="str">
        <f>IFERROR(__xludf.DUMMYFUNCTION("""COMPUTED_VALUE"""),"completed")</f>
        <v>completed</v>
      </c>
      <c r="D48" s="43" t="str">
        <f>IFERROR(__xludf.DUMMYFUNCTION("""COMPUTED_VALUE"""),"No")</f>
        <v>No</v>
      </c>
      <c r="E48" s="43" t="str">
        <f>IFERROR(__xludf.DUMMYFUNCTION("""COMPUTED_VALUE"""),"p_43c58279e02eeb95a85b7b560d35f6d66385b270@inbound.aiesec.org")</f>
        <v>p_43c58279e02eeb95a85b7b560d35f6d66385b270@inbound.aiesec.org</v>
      </c>
      <c r="F48" s="43"/>
      <c r="G48" s="43" t="str">
        <f>IFERROR(__xludf.DUMMYFUNCTION("""COMPUTED_VALUE"""),"Turkey")</f>
        <v>Turkey</v>
      </c>
      <c r="H48" s="43" t="str">
        <f>IFERROR(__xludf.DUMMYFUNCTION("""COMPUTED_VALUE"""),"İZMİR")</f>
        <v>İZMİR</v>
      </c>
      <c r="I48" s="43" t="str">
        <f>IFERROR(__xludf.DUMMYFUNCTION("""COMPUTED_VALUE"""),"Czech Republic")</f>
        <v>Czech Republic</v>
      </c>
      <c r="J48" s="43" t="str">
        <f>IFERROR(__xludf.DUMMYFUNCTION("""COMPUTED_VALUE"""),"PILSEN")</f>
        <v>PILSEN</v>
      </c>
      <c r="K48" s="44" t="str">
        <f>IFERROR(__xludf.DUMMYFUNCTION("""COMPUTED_VALUE"""),"https://expa.aiesec.org/opportunities/1287712")</f>
        <v>https://expa.aiesec.org/opportunities/1287712</v>
      </c>
      <c r="L48" s="43" t="str">
        <f>IFERROR(__xludf.DUMMYFUNCTION("""COMPUTED_VALUE"""),"GV")</f>
        <v>GV</v>
      </c>
      <c r="M48" s="43" t="str">
        <f>IFERROR(__xludf.DUMMYFUNCTION("""COMPUTED_VALUE"""),"short")</f>
        <v>short</v>
      </c>
      <c r="N48" s="45">
        <f>IFERROR(__xludf.DUMMYFUNCTION("""COMPUTED_VALUE"""),44789.0)</f>
        <v>44789</v>
      </c>
      <c r="O48" s="45">
        <f>IFERROR(__xludf.DUMMYFUNCTION("""COMPUTED_VALUE"""),44808.0)</f>
        <v>44808</v>
      </c>
      <c r="P48" s="45">
        <f>IFERROR(__xludf.DUMMYFUNCTION("""COMPUTED_VALUE"""),44850.0)</f>
        <v>44850</v>
      </c>
      <c r="Q48" s="45">
        <f>IFERROR(__xludf.DUMMYFUNCTION("""COMPUTED_VALUE"""),44810.0)</f>
        <v>44810</v>
      </c>
      <c r="R48" s="45">
        <f>IFERROR(__xludf.DUMMYFUNCTION("""COMPUTED_VALUE"""),44850.0)</f>
        <v>44850</v>
      </c>
      <c r="S48" s="43"/>
      <c r="T48" s="43"/>
      <c r="U48" s="43" t="str">
        <f>IFERROR(__xludf.DUMMYFUNCTION("""COMPUTED_VALUE"""),"Youth 4 Impact")</f>
        <v>Youth 4 Impact</v>
      </c>
      <c r="V48" s="43" t="str">
        <f>IFERROR(__xludf.DUMMYFUNCTION("""COMPUTED_VALUE"""),"IZMIR")</f>
        <v>IZMIR</v>
      </c>
      <c r="W48" s="43" t="str">
        <f>IFERROR(__xludf.DUMMYFUNCTION("""COMPUTED_VALUE"""),"2022-05-09T13:57:54Z")</f>
        <v>2022-05-09T13:57:54Z</v>
      </c>
      <c r="X48" s="43"/>
      <c r="Y48" s="43"/>
      <c r="Z48" s="43"/>
    </row>
    <row r="49" hidden="1">
      <c r="A49" s="43" t="str">
        <f>IFERROR(__xludf.DUMMYFUNCTION("""COMPUTED_VALUE"""),"5094121_1287824")</f>
        <v>5094121_1287824</v>
      </c>
      <c r="B49" s="43" t="str">
        <f>IFERROR(__xludf.DUMMYFUNCTION("""COMPUTED_VALUE"""),"Ayşen Becer")</f>
        <v>Ayşen Becer</v>
      </c>
      <c r="C49" s="43" t="str">
        <f>IFERROR(__xludf.DUMMYFUNCTION("""COMPUTED_VALUE"""),"completed")</f>
        <v>completed</v>
      </c>
      <c r="D49" s="43" t="str">
        <f>IFERROR(__xludf.DUMMYFUNCTION("""COMPUTED_VALUE"""),"No")</f>
        <v>No</v>
      </c>
      <c r="E49" s="43" t="str">
        <f>IFERROR(__xludf.DUMMYFUNCTION("""COMPUTED_VALUE"""),"p_fb98996ebd481362b33282f598c00b866330ec79@inbound.aiesec.org")</f>
        <v>p_fb98996ebd481362b33282f598c00b866330ec79@inbound.aiesec.org</v>
      </c>
      <c r="F49" s="43">
        <f>IFERROR(__xludf.DUMMYFUNCTION("""COMPUTED_VALUE"""),5.300737688E9)</f>
        <v>5300737688</v>
      </c>
      <c r="G49" s="43" t="str">
        <f>IFERROR(__xludf.DUMMYFUNCTION("""COMPUTED_VALUE"""),"Turkey")</f>
        <v>Turkey</v>
      </c>
      <c r="H49" s="43" t="str">
        <f>IFERROR(__xludf.DUMMYFUNCTION("""COMPUTED_VALUE"""),"KOCAELI")</f>
        <v>KOCAELI</v>
      </c>
      <c r="I49" s="43" t="str">
        <f>IFERROR(__xludf.DUMMYFUNCTION("""COMPUTED_VALUE"""),"Tunisia")</f>
        <v>Tunisia</v>
      </c>
      <c r="J49" s="43" t="str">
        <f>IFERROR(__xludf.DUMMYFUNCTION("""COMPUTED_VALUE"""),"BARDO")</f>
        <v>BARDO</v>
      </c>
      <c r="K49" s="44" t="str">
        <f>IFERROR(__xludf.DUMMYFUNCTION("""COMPUTED_VALUE"""),"https://expa.aiesec.org/opportunities/1287824")</f>
        <v>https://expa.aiesec.org/opportunities/1287824</v>
      </c>
      <c r="L49" s="43" t="str">
        <f>IFERROR(__xludf.DUMMYFUNCTION("""COMPUTED_VALUE"""),"GV")</f>
        <v>GV</v>
      </c>
      <c r="M49" s="43" t="str">
        <f>IFERROR(__xludf.DUMMYFUNCTION("""COMPUTED_VALUE"""),"short")</f>
        <v>short</v>
      </c>
      <c r="N49" s="45">
        <f>IFERROR(__xludf.DUMMYFUNCTION("""COMPUTED_VALUE"""),44790.0)</f>
        <v>44790</v>
      </c>
      <c r="O49" s="45">
        <f>IFERROR(__xludf.DUMMYFUNCTION("""COMPUTED_VALUE"""),44900.0)</f>
        <v>44900</v>
      </c>
      <c r="P49" s="45">
        <f>IFERROR(__xludf.DUMMYFUNCTION("""COMPUTED_VALUE"""),44942.0)</f>
        <v>44942</v>
      </c>
      <c r="Q49" s="45">
        <f>IFERROR(__xludf.DUMMYFUNCTION("""COMPUTED_VALUE"""),44901.0)</f>
        <v>44901</v>
      </c>
      <c r="R49" s="45">
        <f>IFERROR(__xludf.DUMMYFUNCTION("""COMPUTED_VALUE"""),44942.0)</f>
        <v>44942</v>
      </c>
      <c r="S49" s="43"/>
      <c r="T49" s="43"/>
      <c r="U49" s="43" t="str">
        <f>IFERROR(__xludf.DUMMYFUNCTION("""COMPUTED_VALUE"""),"Fingerprint")</f>
        <v>Fingerprint</v>
      </c>
      <c r="V49" s="43" t="str">
        <f>IFERROR(__xludf.DUMMYFUNCTION("""COMPUTED_VALUE"""),"KARABUK")</f>
        <v>KARABUK</v>
      </c>
      <c r="W49" s="43" t="str">
        <f>IFERROR(__xludf.DUMMYFUNCTION("""COMPUTED_VALUE"""),"2022-08-16T20:14:26Z")</f>
        <v>2022-08-16T20:14:26Z</v>
      </c>
      <c r="X49" s="43"/>
      <c r="Y49" s="43"/>
      <c r="Z49" s="43"/>
    </row>
    <row r="50" hidden="1">
      <c r="A50" s="43" t="str">
        <f>IFERROR(__xludf.DUMMYFUNCTION("""COMPUTED_VALUE"""),"3440780_1285138")</f>
        <v>3440780_1285138</v>
      </c>
      <c r="B50" s="43" t="str">
        <f>IFERROR(__xludf.DUMMYFUNCTION("""COMPUTED_VALUE"""),"Gizem Hasgül")</f>
        <v>Gizem Hasgül</v>
      </c>
      <c r="C50" s="43" t="str">
        <f>IFERROR(__xludf.DUMMYFUNCTION("""COMPUTED_VALUE"""),"completed")</f>
        <v>completed</v>
      </c>
      <c r="D50" s="43" t="str">
        <f>IFERROR(__xludf.DUMMYFUNCTION("""COMPUTED_VALUE"""),"No")</f>
        <v>No</v>
      </c>
      <c r="E50" s="43" t="str">
        <f>IFERROR(__xludf.DUMMYFUNCTION("""COMPUTED_VALUE"""),"p_599307ebac5c4293fc83b3d3577765980c631915@inbound.aiesec.org")</f>
        <v>p_599307ebac5c4293fc83b3d3577765980c631915@inbound.aiesec.org</v>
      </c>
      <c r="F50" s="43">
        <f>IFERROR(__xludf.DUMMYFUNCTION("""COMPUTED_VALUE"""),5.322191395E9)</f>
        <v>5322191395</v>
      </c>
      <c r="G50" s="43" t="str">
        <f>IFERROR(__xludf.DUMMYFUNCTION("""COMPUTED_VALUE"""),"Turkey")</f>
        <v>Turkey</v>
      </c>
      <c r="H50" s="43" t="str">
        <f>IFERROR(__xludf.DUMMYFUNCTION("""COMPUTED_VALUE"""),"ISTANBUL ASIA")</f>
        <v>ISTANBUL ASIA</v>
      </c>
      <c r="I50" s="43" t="str">
        <f>IFERROR(__xludf.DUMMYFUNCTION("""COMPUTED_VALUE"""),"Italy")</f>
        <v>Italy</v>
      </c>
      <c r="J50" s="43" t="str">
        <f>IFERROR(__xludf.DUMMYFUNCTION("""COMPUTED_VALUE"""),"Bari")</f>
        <v>Bari</v>
      </c>
      <c r="K50" s="44" t="str">
        <f>IFERROR(__xludf.DUMMYFUNCTION("""COMPUTED_VALUE"""),"https://expa.aiesec.org/opportunities/1285138")</f>
        <v>https://expa.aiesec.org/opportunities/1285138</v>
      </c>
      <c r="L50" s="43" t="str">
        <f>IFERROR(__xludf.DUMMYFUNCTION("""COMPUTED_VALUE"""),"GV")</f>
        <v>GV</v>
      </c>
      <c r="M50" s="43" t="str">
        <f>IFERROR(__xludf.DUMMYFUNCTION("""COMPUTED_VALUE"""),"short")</f>
        <v>short</v>
      </c>
      <c r="N50" s="45">
        <f>IFERROR(__xludf.DUMMYFUNCTION("""COMPUTED_VALUE"""),44791.0)</f>
        <v>44791</v>
      </c>
      <c r="O50" s="45">
        <f>IFERROR(__xludf.DUMMYFUNCTION("""COMPUTED_VALUE"""),44844.0)</f>
        <v>44844</v>
      </c>
      <c r="P50" s="45">
        <f>IFERROR(__xludf.DUMMYFUNCTION("""COMPUTED_VALUE"""),44886.0)</f>
        <v>44886</v>
      </c>
      <c r="Q50" s="45">
        <f>IFERROR(__xludf.DUMMYFUNCTION("""COMPUTED_VALUE"""),44844.0)</f>
        <v>44844</v>
      </c>
      <c r="R50" s="45">
        <f>IFERROR(__xludf.DUMMYFUNCTION("""COMPUTED_VALUE"""),44886.0)</f>
        <v>44886</v>
      </c>
      <c r="S50" s="43"/>
      <c r="T50" s="43"/>
      <c r="U50" s="43" t="str">
        <f>IFERROR(__xludf.DUMMYFUNCTION("""COMPUTED_VALUE"""),"Global Classroom")</f>
        <v>Global Classroom</v>
      </c>
      <c r="V50" s="43" t="str">
        <f>IFERROR(__xludf.DUMMYFUNCTION("""COMPUTED_VALUE"""),"ISTANBUL ASIA")</f>
        <v>ISTANBUL ASIA</v>
      </c>
      <c r="W50" s="43" t="str">
        <f>IFERROR(__xludf.DUMMYFUNCTION("""COMPUTED_VALUE"""),"2019-05-19T10:54:06Z")</f>
        <v>2019-05-19T10:54:06Z</v>
      </c>
      <c r="X50" s="43"/>
      <c r="Y50" s="43"/>
      <c r="Z50" s="43"/>
    </row>
    <row r="51" hidden="1">
      <c r="A51" s="43" t="str">
        <f>IFERROR(__xludf.DUMMYFUNCTION("""COMPUTED_VALUE"""),"5063176_1287712")</f>
        <v>5063176_1287712</v>
      </c>
      <c r="B51" s="43" t="str">
        <f>IFERROR(__xludf.DUMMYFUNCTION("""COMPUTED_VALUE"""),"Elif Divanoğlu")</f>
        <v>Elif Divanoğlu</v>
      </c>
      <c r="C51" s="43" t="str">
        <f>IFERROR(__xludf.DUMMYFUNCTION("""COMPUTED_VALUE"""),"completed")</f>
        <v>completed</v>
      </c>
      <c r="D51" s="43" t="str">
        <f>IFERROR(__xludf.DUMMYFUNCTION("""COMPUTED_VALUE"""),"No")</f>
        <v>No</v>
      </c>
      <c r="E51" s="43" t="str">
        <f>IFERROR(__xludf.DUMMYFUNCTION("""COMPUTED_VALUE"""),"p_7eb3d461c592b11ff1e403760adc41eb99ef9f8b@inbound.aiesec.org")</f>
        <v>p_7eb3d461c592b11ff1e403760adc41eb99ef9f8b@inbound.aiesec.org</v>
      </c>
      <c r="F51" s="43"/>
      <c r="G51" s="43" t="str">
        <f>IFERROR(__xludf.DUMMYFUNCTION("""COMPUTED_VALUE"""),"Turkey")</f>
        <v>Turkey</v>
      </c>
      <c r="H51" s="43" t="str">
        <f>IFERROR(__xludf.DUMMYFUNCTION("""COMPUTED_VALUE"""),"ISTANBUL ASIA")</f>
        <v>ISTANBUL ASIA</v>
      </c>
      <c r="I51" s="43" t="str">
        <f>IFERROR(__xludf.DUMMYFUNCTION("""COMPUTED_VALUE"""),"Czech Republic")</f>
        <v>Czech Republic</v>
      </c>
      <c r="J51" s="43" t="str">
        <f>IFERROR(__xludf.DUMMYFUNCTION("""COMPUTED_VALUE"""),"PILSEN")</f>
        <v>PILSEN</v>
      </c>
      <c r="K51" s="44" t="str">
        <f>IFERROR(__xludf.DUMMYFUNCTION("""COMPUTED_VALUE"""),"https://expa.aiesec.org/opportunities/1287712")</f>
        <v>https://expa.aiesec.org/opportunities/1287712</v>
      </c>
      <c r="L51" s="43" t="str">
        <f>IFERROR(__xludf.DUMMYFUNCTION("""COMPUTED_VALUE"""),"GV")</f>
        <v>GV</v>
      </c>
      <c r="M51" s="43" t="str">
        <f>IFERROR(__xludf.DUMMYFUNCTION("""COMPUTED_VALUE"""),"short")</f>
        <v>short</v>
      </c>
      <c r="N51" s="45">
        <f>IFERROR(__xludf.DUMMYFUNCTION("""COMPUTED_VALUE"""),44796.0)</f>
        <v>44796</v>
      </c>
      <c r="O51" s="45">
        <f>IFERROR(__xludf.DUMMYFUNCTION("""COMPUTED_VALUE"""),44808.0)</f>
        <v>44808</v>
      </c>
      <c r="P51" s="45">
        <f>IFERROR(__xludf.DUMMYFUNCTION("""COMPUTED_VALUE"""),44850.0)</f>
        <v>44850</v>
      </c>
      <c r="Q51" s="45">
        <f>IFERROR(__xludf.DUMMYFUNCTION("""COMPUTED_VALUE"""),44810.0)</f>
        <v>44810</v>
      </c>
      <c r="R51" s="45">
        <f>IFERROR(__xludf.DUMMYFUNCTION("""COMPUTED_VALUE"""),44850.0)</f>
        <v>44850</v>
      </c>
      <c r="S51" s="43"/>
      <c r="T51" s="43"/>
      <c r="U51" s="43" t="str">
        <f>IFERROR(__xludf.DUMMYFUNCTION("""COMPUTED_VALUE"""),"Youth 4 Impact")</f>
        <v>Youth 4 Impact</v>
      </c>
      <c r="V51" s="43" t="str">
        <f>IFERROR(__xludf.DUMMYFUNCTION("""COMPUTED_VALUE"""),"ISTANBUL ASIA")</f>
        <v>ISTANBUL ASIA</v>
      </c>
      <c r="W51" s="43" t="str">
        <f>IFERROR(__xludf.DUMMYFUNCTION("""COMPUTED_VALUE"""),"2022-05-24T14:33:34Z")</f>
        <v>2022-05-24T14:33:34Z</v>
      </c>
      <c r="X51" s="43"/>
      <c r="Y51" s="43"/>
      <c r="Z51" s="43"/>
    </row>
    <row r="52" hidden="1">
      <c r="A52" s="43" t="str">
        <f>IFERROR(__xludf.DUMMYFUNCTION("""COMPUTED_VALUE"""),"5097992_1289076")</f>
        <v>5097992_1289076</v>
      </c>
      <c r="B52" s="43" t="str">
        <f>IFERROR(__xludf.DUMMYFUNCTION("""COMPUTED_VALUE"""),"SARA PASDAR")</f>
        <v>SARA PASDAR</v>
      </c>
      <c r="C52" s="43" t="str">
        <f>IFERROR(__xludf.DUMMYFUNCTION("""COMPUTED_VALUE"""),"approved")</f>
        <v>approved</v>
      </c>
      <c r="D52" s="43" t="str">
        <f>IFERROR(__xludf.DUMMYFUNCTION("""COMPUTED_VALUE"""),"No")</f>
        <v>No</v>
      </c>
      <c r="E52" s="43" t="str">
        <f>IFERROR(__xludf.DUMMYFUNCTION("""COMPUTED_VALUE"""),"p_0e5777fb86e1ae46a9e5c566093f24d8d5f6bc72@inbound.aiesec.org")</f>
        <v>p_0e5777fb86e1ae46a9e5c566093f24d8d5f6bc72@inbound.aiesec.org</v>
      </c>
      <c r="F52" s="43"/>
      <c r="G52" s="43" t="str">
        <f>IFERROR(__xludf.DUMMYFUNCTION("""COMPUTED_VALUE"""),"Turkey")</f>
        <v>Turkey</v>
      </c>
      <c r="H52" s="43" t="str">
        <f>IFERROR(__xludf.DUMMYFUNCTION("""COMPUTED_VALUE"""),"SAKARYA")</f>
        <v>SAKARYA</v>
      </c>
      <c r="I52" s="43" t="str">
        <f>IFERROR(__xludf.DUMMYFUNCTION("""COMPUTED_VALUE"""),"Czech Republic")</f>
        <v>Czech Republic</v>
      </c>
      <c r="J52" s="43" t="str">
        <f>IFERROR(__xludf.DUMMYFUNCTION("""COMPUTED_VALUE"""),"ČZU Praha")</f>
        <v>ČZU Praha</v>
      </c>
      <c r="K52" s="44" t="str">
        <f>IFERROR(__xludf.DUMMYFUNCTION("""COMPUTED_VALUE"""),"https://expa.aiesec.org/opportunities/1289076")</f>
        <v>https://expa.aiesec.org/opportunities/1289076</v>
      </c>
      <c r="L52" s="43" t="str">
        <f>IFERROR(__xludf.DUMMYFUNCTION("""COMPUTED_VALUE"""),"GV")</f>
        <v>GV</v>
      </c>
      <c r="M52" s="43" t="str">
        <f>IFERROR(__xludf.DUMMYFUNCTION("""COMPUTED_VALUE"""),"short")</f>
        <v>short</v>
      </c>
      <c r="N52" s="45">
        <f>IFERROR(__xludf.DUMMYFUNCTION("""COMPUTED_VALUE"""),44799.0)</f>
        <v>44799</v>
      </c>
      <c r="O52" s="45">
        <f>IFERROR(__xludf.DUMMYFUNCTION("""COMPUTED_VALUE"""),44938.0)</f>
        <v>44938</v>
      </c>
      <c r="P52" s="45">
        <f>IFERROR(__xludf.DUMMYFUNCTION("""COMPUTED_VALUE"""),44980.0)</f>
        <v>44980</v>
      </c>
      <c r="Q52" s="45"/>
      <c r="R52" s="45"/>
      <c r="S52" s="43"/>
      <c r="T52" s="43"/>
      <c r="U52" s="43" t="str">
        <f>IFERROR(__xludf.DUMMYFUNCTION("""COMPUTED_VALUE"""),"Youth 4 Impact")</f>
        <v>Youth 4 Impact</v>
      </c>
      <c r="V52" s="43" t="str">
        <f>IFERROR(__xludf.DUMMYFUNCTION("""COMPUTED_VALUE"""),"SAKARYA")</f>
        <v>SAKARYA</v>
      </c>
      <c r="W52" s="43" t="str">
        <f>IFERROR(__xludf.DUMMYFUNCTION("""COMPUTED_VALUE"""),"2022-08-23T12:50:40Z")</f>
        <v>2022-08-23T12:50:40Z</v>
      </c>
      <c r="X52" s="43"/>
      <c r="Y52" s="43"/>
      <c r="Z52" s="43"/>
    </row>
    <row r="53" hidden="1">
      <c r="A53" s="43" t="str">
        <f>IFERROR(__xludf.DUMMYFUNCTION("""COMPUTED_VALUE"""),"5100031_1282247")</f>
        <v>5100031_1282247</v>
      </c>
      <c r="B53" s="43" t="str">
        <f>IFERROR(__xludf.DUMMYFUNCTION("""COMPUTED_VALUE"""),"MUSTAFA SEMİH YILMAZ")</f>
        <v>MUSTAFA SEMİH YILMAZ</v>
      </c>
      <c r="C53" s="43" t="str">
        <f>IFERROR(__xludf.DUMMYFUNCTION("""COMPUTED_VALUE"""),"approved")</f>
        <v>approved</v>
      </c>
      <c r="D53" s="43" t="str">
        <f>IFERROR(__xludf.DUMMYFUNCTION("""COMPUTED_VALUE"""),"No")</f>
        <v>No</v>
      </c>
      <c r="E53" s="43" t="str">
        <f>IFERROR(__xludf.DUMMYFUNCTION("""COMPUTED_VALUE"""),"p_b546e8fc9b7563b7f96c894d4f2cd157127e99ee@inbound.aiesec.org")</f>
        <v>p_b546e8fc9b7563b7f96c894d4f2cd157127e99ee@inbound.aiesec.org</v>
      </c>
      <c r="F53" s="43"/>
      <c r="G53" s="43" t="str">
        <f>IFERROR(__xludf.DUMMYFUNCTION("""COMPUTED_VALUE"""),"Turkey")</f>
        <v>Turkey</v>
      </c>
      <c r="H53" s="43" t="str">
        <f>IFERROR(__xludf.DUMMYFUNCTION("""COMPUTED_VALUE"""),"SAKARYA")</f>
        <v>SAKARYA</v>
      </c>
      <c r="I53" s="43" t="str">
        <f>IFERROR(__xludf.DUMMYFUNCTION("""COMPUTED_VALUE"""),"India")</f>
        <v>India</v>
      </c>
      <c r="J53" s="43" t="str">
        <f>IFERROR(__xludf.DUMMYFUNCTION("""COMPUTED_VALUE"""),"Hyderabad")</f>
        <v>Hyderabad</v>
      </c>
      <c r="K53" s="44" t="str">
        <f>IFERROR(__xludf.DUMMYFUNCTION("""COMPUTED_VALUE"""),"https://expa.aiesec.org/opportunities/1282247")</f>
        <v>https://expa.aiesec.org/opportunities/1282247</v>
      </c>
      <c r="L53" s="43" t="str">
        <f>IFERROR(__xludf.DUMMYFUNCTION("""COMPUTED_VALUE"""),"GV")</f>
        <v>GV</v>
      </c>
      <c r="M53" s="43" t="str">
        <f>IFERROR(__xludf.DUMMYFUNCTION("""COMPUTED_VALUE"""),"short")</f>
        <v>short</v>
      </c>
      <c r="N53" s="45">
        <f>IFERROR(__xludf.DUMMYFUNCTION("""COMPUTED_VALUE"""),44800.0)</f>
        <v>44800</v>
      </c>
      <c r="O53" s="45">
        <f>IFERROR(__xludf.DUMMYFUNCTION("""COMPUTED_VALUE"""),44888.0)</f>
        <v>44888</v>
      </c>
      <c r="P53" s="45">
        <f>IFERROR(__xludf.DUMMYFUNCTION("""COMPUTED_VALUE"""),44930.0)</f>
        <v>44930</v>
      </c>
      <c r="Q53" s="45"/>
      <c r="R53" s="45"/>
      <c r="S53" s="43"/>
      <c r="T53" s="43"/>
      <c r="U53" s="43" t="str">
        <f>IFERROR(__xludf.DUMMYFUNCTION("""COMPUTED_VALUE"""),"Scale Up!")</f>
        <v>Scale Up!</v>
      </c>
      <c r="V53" s="43" t="str">
        <f>IFERROR(__xludf.DUMMYFUNCTION("""COMPUTED_VALUE"""),"-")</f>
        <v>-</v>
      </c>
      <c r="W53" s="43" t="str">
        <f>IFERROR(__xludf.DUMMYFUNCTION("""COMPUTED_VALUE"""),"2022-08-26T12:21:44Z")</f>
        <v>2022-08-26T12:21:44Z</v>
      </c>
      <c r="X53" s="43"/>
      <c r="Y53" s="43"/>
      <c r="Z53" s="43"/>
    </row>
    <row r="54" hidden="1">
      <c r="A54" s="43" t="str">
        <f>IFERROR(__xludf.DUMMYFUNCTION("""COMPUTED_VALUE"""),"5087430_1287509")</f>
        <v>5087430_1287509</v>
      </c>
      <c r="B54" s="43" t="str">
        <f>IFERROR(__xludf.DUMMYFUNCTION("""COMPUTED_VALUE"""),"Alper Bayar")</f>
        <v>Alper Bayar</v>
      </c>
      <c r="C54" s="43" t="str">
        <f>IFERROR(__xludf.DUMMYFUNCTION("""COMPUTED_VALUE"""),"completed")</f>
        <v>completed</v>
      </c>
      <c r="D54" s="43" t="str">
        <f>IFERROR(__xludf.DUMMYFUNCTION("""COMPUTED_VALUE"""),"No")</f>
        <v>No</v>
      </c>
      <c r="E54" s="43" t="str">
        <f>IFERROR(__xludf.DUMMYFUNCTION("""COMPUTED_VALUE"""),"p_2017e46253366259c0f039798401cbf01bfc010f@inbound.aiesec.org")</f>
        <v>p_2017e46253366259c0f039798401cbf01bfc010f@inbound.aiesec.org</v>
      </c>
      <c r="F54" s="43">
        <f>IFERROR(__xludf.DUMMYFUNCTION("""COMPUTED_VALUE"""),5.363347949E9)</f>
        <v>5363347949</v>
      </c>
      <c r="G54" s="43" t="str">
        <f>IFERROR(__xludf.DUMMYFUNCTION("""COMPUTED_VALUE"""),"Turkey")</f>
        <v>Turkey</v>
      </c>
      <c r="H54" s="43" t="str">
        <f>IFERROR(__xludf.DUMMYFUNCTION("""COMPUTED_VALUE"""),"KOCAELI")</f>
        <v>KOCAELI</v>
      </c>
      <c r="I54" s="43" t="str">
        <f>IFERROR(__xludf.DUMMYFUNCTION("""COMPUTED_VALUE"""),"Romania")</f>
        <v>Romania</v>
      </c>
      <c r="J54" s="43" t="str">
        <f>IFERROR(__xludf.DUMMYFUNCTION("""COMPUTED_VALUE"""),"BRASOV")</f>
        <v>BRASOV</v>
      </c>
      <c r="K54" s="44" t="str">
        <f>IFERROR(__xludf.DUMMYFUNCTION("""COMPUTED_VALUE"""),"https://expa.aiesec.org/opportunities/1287509")</f>
        <v>https://expa.aiesec.org/opportunities/1287509</v>
      </c>
      <c r="L54" s="43" t="str">
        <f>IFERROR(__xludf.DUMMYFUNCTION("""COMPUTED_VALUE"""),"GV")</f>
        <v>GV</v>
      </c>
      <c r="M54" s="43" t="str">
        <f>IFERROR(__xludf.DUMMYFUNCTION("""COMPUTED_VALUE"""),"short")</f>
        <v>short</v>
      </c>
      <c r="N54" s="45">
        <f>IFERROR(__xludf.DUMMYFUNCTION("""COMPUTED_VALUE"""),44801.0)</f>
        <v>44801</v>
      </c>
      <c r="O54" s="45">
        <f>IFERROR(__xludf.DUMMYFUNCTION("""COMPUTED_VALUE"""),44935.0)</f>
        <v>44935</v>
      </c>
      <c r="P54" s="45">
        <f>IFERROR(__xludf.DUMMYFUNCTION("""COMPUTED_VALUE"""),44977.0)</f>
        <v>44977</v>
      </c>
      <c r="Q54" s="45">
        <f>IFERROR(__xludf.DUMMYFUNCTION("""COMPUTED_VALUE"""),44945.0)</f>
        <v>44945</v>
      </c>
      <c r="R54" s="45">
        <f>IFERROR(__xludf.DUMMYFUNCTION("""COMPUTED_VALUE"""),44987.0)</f>
        <v>44987</v>
      </c>
      <c r="S54" s="43"/>
      <c r="T54" s="43"/>
      <c r="U54" s="43" t="str">
        <f>IFERROR(__xludf.DUMMYFUNCTION("""COMPUTED_VALUE"""),"Youth 4 Impact")</f>
        <v>Youth 4 Impact</v>
      </c>
      <c r="V54" s="43" t="str">
        <f>IFERROR(__xludf.DUMMYFUNCTION("""COMPUTED_VALUE"""),"ZONGULDAK")</f>
        <v>ZONGULDAK</v>
      </c>
      <c r="W54" s="43" t="str">
        <f>IFERROR(__xludf.DUMMYFUNCTION("""COMPUTED_VALUE"""),"2022-07-30T19:11:16Z")</f>
        <v>2022-07-30T19:11:16Z</v>
      </c>
      <c r="X54" s="43"/>
      <c r="Y54" s="43"/>
      <c r="Z54" s="43"/>
    </row>
    <row r="55" hidden="1">
      <c r="A55" s="43" t="str">
        <f>IFERROR(__xludf.DUMMYFUNCTION("""COMPUTED_VALUE"""),"5035398_1281895")</f>
        <v>5035398_1281895</v>
      </c>
      <c r="B55" s="43" t="str">
        <f>IFERROR(__xludf.DUMMYFUNCTION("""COMPUTED_VALUE"""),"ipek cevizoğlugil")</f>
        <v>ipek cevizoğlugil</v>
      </c>
      <c r="C55" s="43" t="str">
        <f>IFERROR(__xludf.DUMMYFUNCTION("""COMPUTED_VALUE"""),"approval_broken")</f>
        <v>approval_broken</v>
      </c>
      <c r="D55" s="43" t="str">
        <f>IFERROR(__xludf.DUMMYFUNCTION("""COMPUTED_VALUE"""),"No")</f>
        <v>No</v>
      </c>
      <c r="E55" s="43" t="str">
        <f>IFERROR(__xludf.DUMMYFUNCTION("""COMPUTED_VALUE"""),"p_9eae46c8ed810367ef8e304b3a5953543a3ce82d@inbound.aiesec.org")</f>
        <v>p_9eae46c8ed810367ef8e304b3a5953543a3ce82d@inbound.aiesec.org</v>
      </c>
      <c r="F55" s="43">
        <f>IFERROR(__xludf.DUMMYFUNCTION("""COMPUTED_VALUE"""),5.074768191E9)</f>
        <v>5074768191</v>
      </c>
      <c r="G55" s="43" t="str">
        <f>IFERROR(__xludf.DUMMYFUNCTION("""COMPUTED_VALUE"""),"Turkey")</f>
        <v>Turkey</v>
      </c>
      <c r="H55" s="43" t="str">
        <f>IFERROR(__xludf.DUMMYFUNCTION("""COMPUTED_VALUE"""),"ISTANBUL")</f>
        <v>ISTANBUL</v>
      </c>
      <c r="I55" s="43" t="str">
        <f>IFERROR(__xludf.DUMMYFUNCTION("""COMPUTED_VALUE"""),"Sri Lanka")</f>
        <v>Sri Lanka</v>
      </c>
      <c r="J55" s="43" t="str">
        <f>IFERROR(__xludf.DUMMYFUNCTION("""COMPUTED_VALUE"""),"COLOMBO SOUTH")</f>
        <v>COLOMBO SOUTH</v>
      </c>
      <c r="K55" s="44" t="str">
        <f>IFERROR(__xludf.DUMMYFUNCTION("""COMPUTED_VALUE"""),"https://expa.aiesec.org/opportunities/1281895")</f>
        <v>https://expa.aiesec.org/opportunities/1281895</v>
      </c>
      <c r="L55" s="43" t="str">
        <f>IFERROR(__xludf.DUMMYFUNCTION("""COMPUTED_VALUE"""),"GV")</f>
        <v>GV</v>
      </c>
      <c r="M55" s="43" t="str">
        <f>IFERROR(__xludf.DUMMYFUNCTION("""COMPUTED_VALUE"""),"short")</f>
        <v>short</v>
      </c>
      <c r="N55" s="45">
        <f>IFERROR(__xludf.DUMMYFUNCTION("""COMPUTED_VALUE"""),45190.0)</f>
        <v>45190</v>
      </c>
      <c r="O55" s="45">
        <f>IFERROR(__xludf.DUMMYFUNCTION("""COMPUTED_VALUE"""),44949.0)</f>
        <v>44949</v>
      </c>
      <c r="P55" s="45">
        <f>IFERROR(__xludf.DUMMYFUNCTION("""COMPUTED_VALUE"""),44992.0)</f>
        <v>44992</v>
      </c>
      <c r="Q55" s="45"/>
      <c r="R55" s="45"/>
      <c r="S55" s="43"/>
      <c r="T55" s="43"/>
      <c r="U55" s="43" t="str">
        <f>IFERROR(__xludf.DUMMYFUNCTION("""COMPUTED_VALUE"""),"Rooted")</f>
        <v>Rooted</v>
      </c>
      <c r="V55" s="43" t="str">
        <f>IFERROR(__xludf.DUMMYFUNCTION("""COMPUTED_VALUE"""),"ISTANBUL - BEYOGLU")</f>
        <v>ISTANBUL - BEYOGLU</v>
      </c>
      <c r="W55" s="43" t="str">
        <f>IFERROR(__xludf.DUMMYFUNCTION("""COMPUTED_VALUE"""),"2022-04-11T11:26:22Z")</f>
        <v>2022-04-11T11:26:22Z</v>
      </c>
      <c r="X55" s="43"/>
      <c r="Y55" s="43"/>
      <c r="Z55" s="43"/>
    </row>
    <row r="56" hidden="1">
      <c r="A56" s="43" t="str">
        <f>IFERROR(__xludf.DUMMYFUNCTION("""COMPUTED_VALUE"""),"5101707_1289076")</f>
        <v>5101707_1289076</v>
      </c>
      <c r="B56" s="43" t="str">
        <f>IFERROR(__xludf.DUMMYFUNCTION("""COMPUTED_VALUE"""),"Berat Kerim Topcuoglu")</f>
        <v>Berat Kerim Topcuoglu</v>
      </c>
      <c r="C56" s="43" t="str">
        <f>IFERROR(__xludf.DUMMYFUNCTION("""COMPUTED_VALUE"""),"approved")</f>
        <v>approved</v>
      </c>
      <c r="D56" s="43" t="str">
        <f>IFERROR(__xludf.DUMMYFUNCTION("""COMPUTED_VALUE"""),"No")</f>
        <v>No</v>
      </c>
      <c r="E56" s="43" t="str">
        <f>IFERROR(__xludf.DUMMYFUNCTION("""COMPUTED_VALUE"""),"p_dc87488445338fe1a72238e0f1d73addc8dddc4c@inbound.aiesec.org")</f>
        <v>p_dc87488445338fe1a72238e0f1d73addc8dddc4c@inbound.aiesec.org</v>
      </c>
      <c r="F56" s="43">
        <f>IFERROR(__xludf.DUMMYFUNCTION("""COMPUTED_VALUE"""),5.422533165E9)</f>
        <v>5422533165</v>
      </c>
      <c r="G56" s="43" t="str">
        <f>IFERROR(__xludf.DUMMYFUNCTION("""COMPUTED_VALUE"""),"Turkey")</f>
        <v>Turkey</v>
      </c>
      <c r="H56" s="43" t="str">
        <f>IFERROR(__xludf.DUMMYFUNCTION("""COMPUTED_VALUE"""),"SAKARYA")</f>
        <v>SAKARYA</v>
      </c>
      <c r="I56" s="43" t="str">
        <f>IFERROR(__xludf.DUMMYFUNCTION("""COMPUTED_VALUE"""),"Czech Republic")</f>
        <v>Czech Republic</v>
      </c>
      <c r="J56" s="43" t="str">
        <f>IFERROR(__xludf.DUMMYFUNCTION("""COMPUTED_VALUE"""),"ČZU Praha")</f>
        <v>ČZU Praha</v>
      </c>
      <c r="K56" s="44" t="str">
        <f>IFERROR(__xludf.DUMMYFUNCTION("""COMPUTED_VALUE"""),"https://expa.aiesec.org/opportunities/1289076")</f>
        <v>https://expa.aiesec.org/opportunities/1289076</v>
      </c>
      <c r="L56" s="43" t="str">
        <f>IFERROR(__xludf.DUMMYFUNCTION("""COMPUTED_VALUE"""),"GV")</f>
        <v>GV</v>
      </c>
      <c r="M56" s="43" t="str">
        <f>IFERROR(__xludf.DUMMYFUNCTION("""COMPUTED_VALUE"""),"short")</f>
        <v>short</v>
      </c>
      <c r="N56" s="45">
        <f>IFERROR(__xludf.DUMMYFUNCTION("""COMPUTED_VALUE"""),44803.0)</f>
        <v>44803</v>
      </c>
      <c r="O56" s="45">
        <f>IFERROR(__xludf.DUMMYFUNCTION("""COMPUTED_VALUE"""),44938.0)</f>
        <v>44938</v>
      </c>
      <c r="P56" s="45">
        <f>IFERROR(__xludf.DUMMYFUNCTION("""COMPUTED_VALUE"""),44980.0)</f>
        <v>44980</v>
      </c>
      <c r="Q56" s="45"/>
      <c r="R56" s="45"/>
      <c r="S56" s="43"/>
      <c r="T56" s="43"/>
      <c r="U56" s="43" t="str">
        <f>IFERROR(__xludf.DUMMYFUNCTION("""COMPUTED_VALUE"""),"Youth 4 Impact")</f>
        <v>Youth 4 Impact</v>
      </c>
      <c r="V56" s="43" t="str">
        <f>IFERROR(__xludf.DUMMYFUNCTION("""COMPUTED_VALUE"""),"SAKARYA")</f>
        <v>SAKARYA</v>
      </c>
      <c r="W56" s="43" t="str">
        <f>IFERROR(__xludf.DUMMYFUNCTION("""COMPUTED_VALUE"""),"2022-08-29T14:34:09Z")</f>
        <v>2022-08-29T14:34:09Z</v>
      </c>
      <c r="X56" s="43"/>
      <c r="Y56" s="43"/>
      <c r="Z56" s="43"/>
    </row>
    <row r="57" hidden="1">
      <c r="A57" s="43" t="str">
        <f>IFERROR(__xludf.DUMMYFUNCTION("""COMPUTED_VALUE"""),"5103137_1284312")</f>
        <v>5103137_1284312</v>
      </c>
      <c r="B57" s="43" t="str">
        <f>IFERROR(__xludf.DUMMYFUNCTION("""COMPUTED_VALUE"""),"berrak baykan")</f>
        <v>berrak baykan</v>
      </c>
      <c r="C57" s="43" t="str">
        <f>IFERROR(__xludf.DUMMYFUNCTION("""COMPUTED_VALUE"""),"approval_broken")</f>
        <v>approval_broken</v>
      </c>
      <c r="D57" s="43" t="str">
        <f>IFERROR(__xludf.DUMMYFUNCTION("""COMPUTED_VALUE"""),"No")</f>
        <v>No</v>
      </c>
      <c r="E57" s="43" t="str">
        <f>IFERROR(__xludf.DUMMYFUNCTION("""COMPUTED_VALUE"""),"p_66f54432f49d4cb943c5805a52e725979cebbc2f@inbound.aiesec.org")</f>
        <v>p_66f54432f49d4cb943c5805a52e725979cebbc2f@inbound.aiesec.org</v>
      </c>
      <c r="F57" s="43">
        <f>IFERROR(__xludf.DUMMYFUNCTION("""COMPUTED_VALUE"""),5.323929648E9)</f>
        <v>5323929648</v>
      </c>
      <c r="G57" s="43" t="str">
        <f>IFERROR(__xludf.DUMMYFUNCTION("""COMPUTED_VALUE"""),"Turkey")</f>
        <v>Turkey</v>
      </c>
      <c r="H57" s="43" t="str">
        <f>IFERROR(__xludf.DUMMYFUNCTION("""COMPUTED_VALUE"""),"SAKARYA")</f>
        <v>SAKARYA</v>
      </c>
      <c r="I57" s="43" t="str">
        <f>IFERROR(__xludf.DUMMYFUNCTION("""COMPUTED_VALUE"""),"Sri Lanka")</f>
        <v>Sri Lanka</v>
      </c>
      <c r="J57" s="43" t="str">
        <f>IFERROR(__xludf.DUMMYFUNCTION("""COMPUTED_VALUE"""),"SLIIT")</f>
        <v>SLIIT</v>
      </c>
      <c r="K57" s="44" t="str">
        <f>IFERROR(__xludf.DUMMYFUNCTION("""COMPUTED_VALUE"""),"https://expa.aiesec.org/opportunities/1284312")</f>
        <v>https://expa.aiesec.org/opportunities/1284312</v>
      </c>
      <c r="L57" s="43" t="str">
        <f>IFERROR(__xludf.DUMMYFUNCTION("""COMPUTED_VALUE"""),"GV")</f>
        <v>GV</v>
      </c>
      <c r="M57" s="43" t="str">
        <f>IFERROR(__xludf.DUMMYFUNCTION("""COMPUTED_VALUE"""),"short")</f>
        <v>short</v>
      </c>
      <c r="N57" s="45">
        <f>IFERROR(__xludf.DUMMYFUNCTION("""COMPUTED_VALUE"""),45190.0)</f>
        <v>45190</v>
      </c>
      <c r="O57" s="45">
        <f>IFERROR(__xludf.DUMMYFUNCTION("""COMPUTED_VALUE"""),45118.0)</f>
        <v>45118</v>
      </c>
      <c r="P57" s="45">
        <f>IFERROR(__xludf.DUMMYFUNCTION("""COMPUTED_VALUE"""),45160.0)</f>
        <v>45160</v>
      </c>
      <c r="Q57" s="45"/>
      <c r="R57" s="45"/>
      <c r="S57" s="43"/>
      <c r="T57" s="43"/>
      <c r="U57" s="43" t="str">
        <f>IFERROR(__xludf.DUMMYFUNCTION("""COMPUTED_VALUE"""),"On The Map")</f>
        <v>On The Map</v>
      </c>
      <c r="V57" s="43" t="str">
        <f>IFERROR(__xludf.DUMMYFUNCTION("""COMPUTED_VALUE"""),"SAKARYA")</f>
        <v>SAKARYA</v>
      </c>
      <c r="W57" s="43" t="str">
        <f>IFERROR(__xludf.DUMMYFUNCTION("""COMPUTED_VALUE"""),"2022-08-31T16:50:06Z")</f>
        <v>2022-08-31T16:50:06Z</v>
      </c>
      <c r="X57" s="43"/>
      <c r="Y57" s="43"/>
      <c r="Z57" s="43"/>
    </row>
    <row r="58" hidden="1">
      <c r="A58" s="43" t="str">
        <f>IFERROR(__xludf.DUMMYFUNCTION("""COMPUTED_VALUE"""),"5102369_1284312")</f>
        <v>5102369_1284312</v>
      </c>
      <c r="B58" s="43" t="str">
        <f>IFERROR(__xludf.DUMMYFUNCTION("""COMPUTED_VALUE"""),"İrem Karataş")</f>
        <v>İrem Karataş</v>
      </c>
      <c r="C58" s="43" t="str">
        <f>IFERROR(__xludf.DUMMYFUNCTION("""COMPUTED_VALUE"""),"approval_broken")</f>
        <v>approval_broken</v>
      </c>
      <c r="D58" s="43" t="str">
        <f>IFERROR(__xludf.DUMMYFUNCTION("""COMPUTED_VALUE"""),"No")</f>
        <v>No</v>
      </c>
      <c r="E58" s="43" t="str">
        <f>IFERROR(__xludf.DUMMYFUNCTION("""COMPUTED_VALUE"""),"p_9006e63fc8cfe9f46c8d3e4e6893113c6a80d7b7@inbound.aiesec.org")</f>
        <v>p_9006e63fc8cfe9f46c8d3e4e6893113c6a80d7b7@inbound.aiesec.org</v>
      </c>
      <c r="F58" s="43">
        <f>IFERROR(__xludf.DUMMYFUNCTION("""COMPUTED_VALUE"""),5.39502305E9)</f>
        <v>5395023050</v>
      </c>
      <c r="G58" s="43" t="str">
        <f>IFERROR(__xludf.DUMMYFUNCTION("""COMPUTED_VALUE"""),"Turkey")</f>
        <v>Turkey</v>
      </c>
      <c r="H58" s="43" t="str">
        <f>IFERROR(__xludf.DUMMYFUNCTION("""COMPUTED_VALUE"""),"SAKARYA")</f>
        <v>SAKARYA</v>
      </c>
      <c r="I58" s="43" t="str">
        <f>IFERROR(__xludf.DUMMYFUNCTION("""COMPUTED_VALUE"""),"Sri Lanka")</f>
        <v>Sri Lanka</v>
      </c>
      <c r="J58" s="43" t="str">
        <f>IFERROR(__xludf.DUMMYFUNCTION("""COMPUTED_VALUE"""),"SLIIT")</f>
        <v>SLIIT</v>
      </c>
      <c r="K58" s="44" t="str">
        <f>IFERROR(__xludf.DUMMYFUNCTION("""COMPUTED_VALUE"""),"https://expa.aiesec.org/opportunities/1284312")</f>
        <v>https://expa.aiesec.org/opportunities/1284312</v>
      </c>
      <c r="L58" s="43" t="str">
        <f>IFERROR(__xludf.DUMMYFUNCTION("""COMPUTED_VALUE"""),"GV")</f>
        <v>GV</v>
      </c>
      <c r="M58" s="43" t="str">
        <f>IFERROR(__xludf.DUMMYFUNCTION("""COMPUTED_VALUE"""),"short")</f>
        <v>short</v>
      </c>
      <c r="N58" s="45">
        <f>IFERROR(__xludf.DUMMYFUNCTION("""COMPUTED_VALUE"""),45190.0)</f>
        <v>45190</v>
      </c>
      <c r="O58" s="45">
        <f>IFERROR(__xludf.DUMMYFUNCTION("""COMPUTED_VALUE"""),45118.0)</f>
        <v>45118</v>
      </c>
      <c r="P58" s="45">
        <f>IFERROR(__xludf.DUMMYFUNCTION("""COMPUTED_VALUE"""),45160.0)</f>
        <v>45160</v>
      </c>
      <c r="Q58" s="45"/>
      <c r="R58" s="45"/>
      <c r="S58" s="43"/>
      <c r="T58" s="43"/>
      <c r="U58" s="43" t="str">
        <f>IFERROR(__xludf.DUMMYFUNCTION("""COMPUTED_VALUE"""),"On The Map")</f>
        <v>On The Map</v>
      </c>
      <c r="V58" s="43" t="str">
        <f>IFERROR(__xludf.DUMMYFUNCTION("""COMPUTED_VALUE"""),"SAKARYA")</f>
        <v>SAKARYA</v>
      </c>
      <c r="W58" s="43" t="str">
        <f>IFERROR(__xludf.DUMMYFUNCTION("""COMPUTED_VALUE"""),"2022-08-30T14:42:51Z")</f>
        <v>2022-08-30T14:42:51Z</v>
      </c>
      <c r="X58" s="43"/>
      <c r="Y58" s="43"/>
      <c r="Z58" s="43"/>
    </row>
    <row r="59" hidden="1">
      <c r="A59" s="43" t="str">
        <f>IFERROR(__xludf.DUMMYFUNCTION("""COMPUTED_VALUE"""),"3373622_1286443")</f>
        <v>3373622_1286443</v>
      </c>
      <c r="B59" s="43" t="str">
        <f>IFERROR(__xludf.DUMMYFUNCTION("""COMPUTED_VALUE"""),"Melda Korkudan")</f>
        <v>Melda Korkudan</v>
      </c>
      <c r="C59" s="43" t="str">
        <f>IFERROR(__xludf.DUMMYFUNCTION("""COMPUTED_VALUE"""),"finished")</f>
        <v>finished</v>
      </c>
      <c r="D59" s="43" t="str">
        <f>IFERROR(__xludf.DUMMYFUNCTION("""COMPUTED_VALUE"""),"No")</f>
        <v>No</v>
      </c>
      <c r="E59" s="43" t="str">
        <f>IFERROR(__xludf.DUMMYFUNCTION("""COMPUTED_VALUE"""),"p_26b57828e01e190dd05572e738c10dd08922d07f@inbound.aiesec.org")</f>
        <v>p_26b57828e01e190dd05572e738c10dd08922d07f@inbound.aiesec.org</v>
      </c>
      <c r="F59" s="43"/>
      <c r="G59" s="43" t="str">
        <f>IFERROR(__xludf.DUMMYFUNCTION("""COMPUTED_VALUE"""),"Turkey")</f>
        <v>Turkey</v>
      </c>
      <c r="H59" s="43" t="str">
        <f>IFERROR(__xludf.DUMMYFUNCTION("""COMPUTED_VALUE"""),"ISTANBUL")</f>
        <v>ISTANBUL</v>
      </c>
      <c r="I59" s="43" t="str">
        <f>IFERROR(__xludf.DUMMYFUNCTION("""COMPUTED_VALUE"""),"Czech Republic")</f>
        <v>Czech Republic</v>
      </c>
      <c r="J59" s="43" t="str">
        <f>IFERROR(__xludf.DUMMYFUNCTION("""COMPUTED_VALUE"""),"PRAGUE")</f>
        <v>PRAGUE</v>
      </c>
      <c r="K59" s="44" t="str">
        <f>IFERROR(__xludf.DUMMYFUNCTION("""COMPUTED_VALUE"""),"https://expa.aiesec.org/opportunities/1286443")</f>
        <v>https://expa.aiesec.org/opportunities/1286443</v>
      </c>
      <c r="L59" s="43" t="str">
        <f>IFERROR(__xludf.DUMMYFUNCTION("""COMPUTED_VALUE"""),"GV")</f>
        <v>GV</v>
      </c>
      <c r="M59" s="43" t="str">
        <f>IFERROR(__xludf.DUMMYFUNCTION("""COMPUTED_VALUE"""),"short")</f>
        <v>short</v>
      </c>
      <c r="N59" s="45">
        <f>IFERROR(__xludf.DUMMYFUNCTION("""COMPUTED_VALUE"""),44805.0)</f>
        <v>44805</v>
      </c>
      <c r="O59" s="45">
        <f>IFERROR(__xludf.DUMMYFUNCTION("""COMPUTED_VALUE"""),44808.0)</f>
        <v>44808</v>
      </c>
      <c r="P59" s="45">
        <f>IFERROR(__xludf.DUMMYFUNCTION("""COMPUTED_VALUE"""),44850.0)</f>
        <v>44850</v>
      </c>
      <c r="Q59" s="45">
        <f>IFERROR(__xludf.DUMMYFUNCTION("""COMPUTED_VALUE"""),44855.0)</f>
        <v>44855</v>
      </c>
      <c r="R59" s="45">
        <f>IFERROR(__xludf.DUMMYFUNCTION("""COMPUTED_VALUE"""),44895.0)</f>
        <v>44895</v>
      </c>
      <c r="S59" s="43"/>
      <c r="T59" s="43"/>
      <c r="U59" s="43" t="str">
        <f>IFERROR(__xludf.DUMMYFUNCTION("""COMPUTED_VALUE"""),"Youth 4 Impact")</f>
        <v>Youth 4 Impact</v>
      </c>
      <c r="V59" s="43" t="str">
        <f>IFERROR(__xludf.DUMMYFUNCTION("""COMPUTED_VALUE"""),"ISTANBUL - BEYOGLU")</f>
        <v>ISTANBUL - BEYOGLU</v>
      </c>
      <c r="W59" s="43" t="str">
        <f>IFERROR(__xludf.DUMMYFUNCTION("""COMPUTED_VALUE"""),"2019-04-27T16:20:46Z")</f>
        <v>2019-04-27T16:20:46Z</v>
      </c>
      <c r="X59" s="43"/>
      <c r="Y59" s="43"/>
      <c r="Z59" s="43"/>
    </row>
    <row r="60" hidden="1">
      <c r="A60" s="43" t="str">
        <f>IFERROR(__xludf.DUMMYFUNCTION("""COMPUTED_VALUE"""),"5096587_1288531")</f>
        <v>5096587_1288531</v>
      </c>
      <c r="B60" s="43" t="str">
        <f>IFERROR(__xludf.DUMMYFUNCTION("""COMPUTED_VALUE"""),"Ata Arslan")</f>
        <v>Ata Arslan</v>
      </c>
      <c r="C60" s="43" t="str">
        <f>IFERROR(__xludf.DUMMYFUNCTION("""COMPUTED_VALUE"""),"completed")</f>
        <v>completed</v>
      </c>
      <c r="D60" s="43" t="str">
        <f>IFERROR(__xludf.DUMMYFUNCTION("""COMPUTED_VALUE"""),"No")</f>
        <v>No</v>
      </c>
      <c r="E60" s="43" t="str">
        <f>IFERROR(__xludf.DUMMYFUNCTION("""COMPUTED_VALUE"""),"p_9b27b52d9dc4e7096b0fa87b7545af29e3a13c79@inbound.aiesec.org")</f>
        <v>p_9b27b52d9dc4e7096b0fa87b7545af29e3a13c79@inbound.aiesec.org</v>
      </c>
      <c r="F60" s="43"/>
      <c r="G60" s="43" t="str">
        <f>IFERROR(__xludf.DUMMYFUNCTION("""COMPUTED_VALUE"""),"Turkey")</f>
        <v>Turkey</v>
      </c>
      <c r="H60" s="43" t="str">
        <f>IFERROR(__xludf.DUMMYFUNCTION("""COMPUTED_VALUE"""),"ANKARA")</f>
        <v>ANKARA</v>
      </c>
      <c r="I60" s="43" t="str">
        <f>IFERROR(__xludf.DUMMYFUNCTION("""COMPUTED_VALUE"""),"Italy")</f>
        <v>Italy</v>
      </c>
      <c r="J60" s="43" t="str">
        <f>IFERROR(__xludf.DUMMYFUNCTION("""COMPUTED_VALUE"""),"Bologna")</f>
        <v>Bologna</v>
      </c>
      <c r="K60" s="44" t="str">
        <f>IFERROR(__xludf.DUMMYFUNCTION("""COMPUTED_VALUE"""),"https://expa.aiesec.org/opportunities/1288531")</f>
        <v>https://expa.aiesec.org/opportunities/1288531</v>
      </c>
      <c r="L60" s="43" t="str">
        <f>IFERROR(__xludf.DUMMYFUNCTION("""COMPUTED_VALUE"""),"GV")</f>
        <v>GV</v>
      </c>
      <c r="M60" s="43" t="str">
        <f>IFERROR(__xludf.DUMMYFUNCTION("""COMPUTED_VALUE"""),"short")</f>
        <v>short</v>
      </c>
      <c r="N60" s="45">
        <f>IFERROR(__xludf.DUMMYFUNCTION("""COMPUTED_VALUE"""),44806.0)</f>
        <v>44806</v>
      </c>
      <c r="O60" s="45">
        <f>IFERROR(__xludf.DUMMYFUNCTION("""COMPUTED_VALUE"""),44815.0)</f>
        <v>44815</v>
      </c>
      <c r="P60" s="45">
        <f>IFERROR(__xludf.DUMMYFUNCTION("""COMPUTED_VALUE"""),44857.0)</f>
        <v>44857</v>
      </c>
      <c r="Q60" s="45">
        <f>IFERROR(__xludf.DUMMYFUNCTION("""COMPUTED_VALUE"""),44821.0)</f>
        <v>44821</v>
      </c>
      <c r="R60" s="45">
        <f>IFERROR(__xludf.DUMMYFUNCTION("""COMPUTED_VALUE"""),44857.0)</f>
        <v>44857</v>
      </c>
      <c r="S60" s="43"/>
      <c r="T60" s="43"/>
      <c r="U60" s="43" t="str">
        <f>IFERROR(__xludf.DUMMYFUNCTION("""COMPUTED_VALUE"""),"Equify")</f>
        <v>Equify</v>
      </c>
      <c r="V60" s="43" t="str">
        <f>IFERROR(__xludf.DUMMYFUNCTION("""COMPUTED_VALUE"""),"-")</f>
        <v>-</v>
      </c>
      <c r="W60" s="43" t="str">
        <f>IFERROR(__xludf.DUMMYFUNCTION("""COMPUTED_VALUE"""),"2022-08-21T09:21:36Z")</f>
        <v>2022-08-21T09:21:36Z</v>
      </c>
      <c r="X60" s="43"/>
      <c r="Y60" s="43"/>
      <c r="Z60" s="43"/>
    </row>
    <row r="61" hidden="1">
      <c r="A61" s="43" t="str">
        <f>IFERROR(__xludf.DUMMYFUNCTION("""COMPUTED_VALUE"""),"5103790_1289076")</f>
        <v>5103790_1289076</v>
      </c>
      <c r="B61" s="43" t="str">
        <f>IFERROR(__xludf.DUMMYFUNCTION("""COMPUTED_VALUE"""),"Yusuf Kaya")</f>
        <v>Yusuf Kaya</v>
      </c>
      <c r="C61" s="43" t="str">
        <f>IFERROR(__xludf.DUMMYFUNCTION("""COMPUTED_VALUE"""),"approved")</f>
        <v>approved</v>
      </c>
      <c r="D61" s="43" t="str">
        <f>IFERROR(__xludf.DUMMYFUNCTION("""COMPUTED_VALUE"""),"No")</f>
        <v>No</v>
      </c>
      <c r="E61" s="43" t="str">
        <f>IFERROR(__xludf.DUMMYFUNCTION("""COMPUTED_VALUE"""),"p_50507a0cfca572f52293e312da5429a6eb9ceacb@inbound.aiesec.org")</f>
        <v>p_50507a0cfca572f52293e312da5429a6eb9ceacb@inbound.aiesec.org</v>
      </c>
      <c r="F61" s="43">
        <f>IFERROR(__xludf.DUMMYFUNCTION("""COMPUTED_VALUE"""),5.385625551E9)</f>
        <v>5385625551</v>
      </c>
      <c r="G61" s="43" t="str">
        <f>IFERROR(__xludf.DUMMYFUNCTION("""COMPUTED_VALUE"""),"Turkey")</f>
        <v>Turkey</v>
      </c>
      <c r="H61" s="43" t="str">
        <f>IFERROR(__xludf.DUMMYFUNCTION("""COMPUTED_VALUE"""),"KOCAELI")</f>
        <v>KOCAELI</v>
      </c>
      <c r="I61" s="43" t="str">
        <f>IFERROR(__xludf.DUMMYFUNCTION("""COMPUTED_VALUE"""),"Czech Republic")</f>
        <v>Czech Republic</v>
      </c>
      <c r="J61" s="43" t="str">
        <f>IFERROR(__xludf.DUMMYFUNCTION("""COMPUTED_VALUE"""),"ČZU Praha")</f>
        <v>ČZU Praha</v>
      </c>
      <c r="K61" s="44" t="str">
        <f>IFERROR(__xludf.DUMMYFUNCTION("""COMPUTED_VALUE"""),"https://expa.aiesec.org/opportunities/1289076")</f>
        <v>https://expa.aiesec.org/opportunities/1289076</v>
      </c>
      <c r="L61" s="43" t="str">
        <f>IFERROR(__xludf.DUMMYFUNCTION("""COMPUTED_VALUE"""),"GV")</f>
        <v>GV</v>
      </c>
      <c r="M61" s="43" t="str">
        <f>IFERROR(__xludf.DUMMYFUNCTION("""COMPUTED_VALUE"""),"short")</f>
        <v>short</v>
      </c>
      <c r="N61" s="45">
        <f>IFERROR(__xludf.DUMMYFUNCTION("""COMPUTED_VALUE"""),44812.0)</f>
        <v>44812</v>
      </c>
      <c r="O61" s="45">
        <f>IFERROR(__xludf.DUMMYFUNCTION("""COMPUTED_VALUE"""),44938.0)</f>
        <v>44938</v>
      </c>
      <c r="P61" s="45">
        <f>IFERROR(__xludf.DUMMYFUNCTION("""COMPUTED_VALUE"""),44980.0)</f>
        <v>44980</v>
      </c>
      <c r="Q61" s="45"/>
      <c r="R61" s="45"/>
      <c r="S61" s="43"/>
      <c r="T61" s="43"/>
      <c r="U61" s="43" t="str">
        <f>IFERROR(__xludf.DUMMYFUNCTION("""COMPUTED_VALUE"""),"Youth 4 Impact")</f>
        <v>Youth 4 Impact</v>
      </c>
      <c r="V61" s="43" t="str">
        <f>IFERROR(__xludf.DUMMYFUNCTION("""COMPUTED_VALUE"""),"ISTANBUL ASIA")</f>
        <v>ISTANBUL ASIA</v>
      </c>
      <c r="W61" s="43" t="str">
        <f>IFERROR(__xludf.DUMMYFUNCTION("""COMPUTED_VALUE"""),"2022-09-01T19:35:32Z")</f>
        <v>2022-09-01T19:35:32Z</v>
      </c>
      <c r="X61" s="43"/>
      <c r="Y61" s="43"/>
      <c r="Z61" s="43"/>
    </row>
    <row r="62" hidden="1">
      <c r="A62" s="43" t="str">
        <f>IFERROR(__xludf.DUMMYFUNCTION("""COMPUTED_VALUE"""),"5101850_1289076")</f>
        <v>5101850_1289076</v>
      </c>
      <c r="B62" s="43" t="str">
        <f>IFERROR(__xludf.DUMMYFUNCTION("""COMPUTED_VALUE"""),"Nazlı Doğa Korkmaz")</f>
        <v>Nazlı Doğa Korkmaz</v>
      </c>
      <c r="C62" s="43" t="str">
        <f>IFERROR(__xludf.DUMMYFUNCTION("""COMPUTED_VALUE"""),"approval_broken")</f>
        <v>approval_broken</v>
      </c>
      <c r="D62" s="43" t="str">
        <f>IFERROR(__xludf.DUMMYFUNCTION("""COMPUTED_VALUE"""),"No")</f>
        <v>No</v>
      </c>
      <c r="E62" s="43" t="str">
        <f>IFERROR(__xludf.DUMMYFUNCTION("""COMPUTED_VALUE"""),"p_25cb0533c5e414694e7532b1badcb1a4d9be47d3@inbound.aiesec.org")</f>
        <v>p_25cb0533c5e414694e7532b1badcb1a4d9be47d3@inbound.aiesec.org</v>
      </c>
      <c r="F62" s="43">
        <f>IFERROR(__xludf.DUMMYFUNCTION("""COMPUTED_VALUE"""),5.345226699E9)</f>
        <v>5345226699</v>
      </c>
      <c r="G62" s="43" t="str">
        <f>IFERROR(__xludf.DUMMYFUNCTION("""COMPUTED_VALUE"""),"Turkey")</f>
        <v>Turkey</v>
      </c>
      <c r="H62" s="43" t="str">
        <f>IFERROR(__xludf.DUMMYFUNCTION("""COMPUTED_VALUE"""),"ISTANBUL ASIA")</f>
        <v>ISTANBUL ASIA</v>
      </c>
      <c r="I62" s="43" t="str">
        <f>IFERROR(__xludf.DUMMYFUNCTION("""COMPUTED_VALUE"""),"Czech Republic")</f>
        <v>Czech Republic</v>
      </c>
      <c r="J62" s="43" t="str">
        <f>IFERROR(__xludf.DUMMYFUNCTION("""COMPUTED_VALUE"""),"ČZU Praha")</f>
        <v>ČZU Praha</v>
      </c>
      <c r="K62" s="44" t="str">
        <f>IFERROR(__xludf.DUMMYFUNCTION("""COMPUTED_VALUE"""),"https://expa.aiesec.org/opportunities/1289076")</f>
        <v>https://expa.aiesec.org/opportunities/1289076</v>
      </c>
      <c r="L62" s="43" t="str">
        <f>IFERROR(__xludf.DUMMYFUNCTION("""COMPUTED_VALUE"""),"GV")</f>
        <v>GV</v>
      </c>
      <c r="M62" s="43" t="str">
        <f>IFERROR(__xludf.DUMMYFUNCTION("""COMPUTED_VALUE"""),"short")</f>
        <v>short</v>
      </c>
      <c r="N62" s="45">
        <f>IFERROR(__xludf.DUMMYFUNCTION("""COMPUTED_VALUE"""),45168.0)</f>
        <v>45168</v>
      </c>
      <c r="O62" s="45">
        <f>IFERROR(__xludf.DUMMYFUNCTION("""COMPUTED_VALUE"""),44938.0)</f>
        <v>44938</v>
      </c>
      <c r="P62" s="45">
        <f>IFERROR(__xludf.DUMMYFUNCTION("""COMPUTED_VALUE"""),44980.0)</f>
        <v>44980</v>
      </c>
      <c r="Q62" s="45"/>
      <c r="R62" s="45"/>
      <c r="S62" s="43"/>
      <c r="T62" s="43"/>
      <c r="U62" s="43" t="str">
        <f>IFERROR(__xludf.DUMMYFUNCTION("""COMPUTED_VALUE"""),"Youth 4 Impact")</f>
        <v>Youth 4 Impact</v>
      </c>
      <c r="V62" s="43" t="str">
        <f>IFERROR(__xludf.DUMMYFUNCTION("""COMPUTED_VALUE"""),"ISTANBUL ASIA")</f>
        <v>ISTANBUL ASIA</v>
      </c>
      <c r="W62" s="43" t="str">
        <f>IFERROR(__xludf.DUMMYFUNCTION("""COMPUTED_VALUE"""),"2022-08-29T17:55:58Z")</f>
        <v>2022-08-29T17:55:58Z</v>
      </c>
      <c r="X62" s="43"/>
      <c r="Y62" s="43"/>
      <c r="Z62" s="43"/>
    </row>
    <row r="63" hidden="1">
      <c r="A63" s="43" t="str">
        <f>IFERROR(__xludf.DUMMYFUNCTION("""COMPUTED_VALUE"""),"5105594_1284489")</f>
        <v>5105594_1284489</v>
      </c>
      <c r="B63" s="43" t="str">
        <f>IFERROR(__xludf.DUMMYFUNCTION("""COMPUTED_VALUE"""),"Zeynep Yağmur Somsa")</f>
        <v>Zeynep Yağmur Somsa</v>
      </c>
      <c r="C63" s="43" t="str">
        <f>IFERROR(__xludf.DUMMYFUNCTION("""COMPUTED_VALUE"""),"completed")</f>
        <v>completed</v>
      </c>
      <c r="D63" s="43" t="str">
        <f>IFERROR(__xludf.DUMMYFUNCTION("""COMPUTED_VALUE"""),"No")</f>
        <v>No</v>
      </c>
      <c r="E63" s="43" t="str">
        <f>IFERROR(__xludf.DUMMYFUNCTION("""COMPUTED_VALUE"""),"p_b2a0024cfdeffe9174a53e3e2150f7bb1eacac2c@inbound.aiesec.org")</f>
        <v>p_b2a0024cfdeffe9174a53e3e2150f7bb1eacac2c@inbound.aiesec.org</v>
      </c>
      <c r="F63" s="43">
        <f>IFERROR(__xludf.DUMMYFUNCTION("""COMPUTED_VALUE"""),5.452161005E9)</f>
        <v>5452161005</v>
      </c>
      <c r="G63" s="43" t="str">
        <f>IFERROR(__xludf.DUMMYFUNCTION("""COMPUTED_VALUE"""),"Turkey")</f>
        <v>Turkey</v>
      </c>
      <c r="H63" s="43" t="str">
        <f>IFERROR(__xludf.DUMMYFUNCTION("""COMPUTED_VALUE"""),"KUTAHYA")</f>
        <v>KUTAHYA</v>
      </c>
      <c r="I63" s="43" t="str">
        <f>IFERROR(__xludf.DUMMYFUNCTION("""COMPUTED_VALUE"""),"India")</f>
        <v>India</v>
      </c>
      <c r="J63" s="43" t="str">
        <f>IFERROR(__xludf.DUMMYFUNCTION("""COMPUTED_VALUE"""),"Dehradun")</f>
        <v>Dehradun</v>
      </c>
      <c r="K63" s="44" t="str">
        <f>IFERROR(__xludf.DUMMYFUNCTION("""COMPUTED_VALUE"""),"https://expa.aiesec.org/opportunities/1284489")</f>
        <v>https://expa.aiesec.org/opportunities/1284489</v>
      </c>
      <c r="L63" s="43" t="str">
        <f>IFERROR(__xludf.DUMMYFUNCTION("""COMPUTED_VALUE"""),"GV")</f>
        <v>GV</v>
      </c>
      <c r="M63" s="43" t="str">
        <f>IFERROR(__xludf.DUMMYFUNCTION("""COMPUTED_VALUE"""),"short")</f>
        <v>short</v>
      </c>
      <c r="N63" s="45">
        <f>IFERROR(__xludf.DUMMYFUNCTION("""COMPUTED_VALUE"""),44813.0)</f>
        <v>44813</v>
      </c>
      <c r="O63" s="45">
        <f>IFERROR(__xludf.DUMMYFUNCTION("""COMPUTED_VALUE"""),44896.0)</f>
        <v>44896</v>
      </c>
      <c r="P63" s="45">
        <f>IFERROR(__xludf.DUMMYFUNCTION("""COMPUTED_VALUE"""),44938.0)</f>
        <v>44938</v>
      </c>
      <c r="Q63" s="45">
        <f>IFERROR(__xludf.DUMMYFUNCTION("""COMPUTED_VALUE"""),44904.0)</f>
        <v>44904</v>
      </c>
      <c r="R63" s="45">
        <f>IFERROR(__xludf.DUMMYFUNCTION("""COMPUTED_VALUE"""),44946.0)</f>
        <v>44946</v>
      </c>
      <c r="S63" s="43"/>
      <c r="T63" s="43"/>
      <c r="U63" s="43" t="str">
        <f>IFERROR(__xludf.DUMMYFUNCTION("""COMPUTED_VALUE"""),"Rooted")</f>
        <v>Rooted</v>
      </c>
      <c r="V63" s="43" t="str">
        <f>IFERROR(__xludf.DUMMYFUNCTION("""COMPUTED_VALUE"""),"KUTAHYA")</f>
        <v>KUTAHYA</v>
      </c>
      <c r="W63" s="43" t="str">
        <f>IFERROR(__xludf.DUMMYFUNCTION("""COMPUTED_VALUE"""),"2022-09-04T18:21:15Z")</f>
        <v>2022-09-04T18:21:15Z</v>
      </c>
      <c r="X63" s="43"/>
      <c r="Y63" s="43"/>
      <c r="Z63" s="43"/>
    </row>
    <row r="64" hidden="1">
      <c r="A64" s="43" t="str">
        <f>IFERROR(__xludf.DUMMYFUNCTION("""COMPUTED_VALUE"""),"5013993_1282161")</f>
        <v>5013993_1282161</v>
      </c>
      <c r="B64" s="43" t="str">
        <f>IFERROR(__xludf.DUMMYFUNCTION("""COMPUTED_VALUE"""),"Aydanur Yıldız")</f>
        <v>Aydanur Yıldız</v>
      </c>
      <c r="C64" s="43" t="str">
        <f>IFERROR(__xludf.DUMMYFUNCTION("""COMPUTED_VALUE"""),"completed")</f>
        <v>completed</v>
      </c>
      <c r="D64" s="43" t="str">
        <f>IFERROR(__xludf.DUMMYFUNCTION("""COMPUTED_VALUE"""),"No")</f>
        <v>No</v>
      </c>
      <c r="E64" s="43" t="str">
        <f>IFERROR(__xludf.DUMMYFUNCTION("""COMPUTED_VALUE"""),"p_e2d11441c057fe273028811f2ea0787679e1a3d7@inbound.aiesec.org")</f>
        <v>p_e2d11441c057fe273028811f2ea0787679e1a3d7@inbound.aiesec.org</v>
      </c>
      <c r="F64" s="43">
        <f>IFERROR(__xludf.DUMMYFUNCTION("""COMPUTED_VALUE"""),5.335696169E9)</f>
        <v>5335696169</v>
      </c>
      <c r="G64" s="43" t="str">
        <f>IFERROR(__xludf.DUMMYFUNCTION("""COMPUTED_VALUE"""),"Turkey")</f>
        <v>Turkey</v>
      </c>
      <c r="H64" s="43" t="str">
        <f>IFERROR(__xludf.DUMMYFUNCTION("""COMPUTED_VALUE"""),"ISTANBUL ASIA")</f>
        <v>ISTANBUL ASIA</v>
      </c>
      <c r="I64" s="43" t="str">
        <f>IFERROR(__xludf.DUMMYFUNCTION("""COMPUTED_VALUE"""),"India")</f>
        <v>India</v>
      </c>
      <c r="J64" s="43" t="str">
        <f>IFERROR(__xludf.DUMMYFUNCTION("""COMPUTED_VALUE"""),"Delhi University")</f>
        <v>Delhi University</v>
      </c>
      <c r="K64" s="44" t="str">
        <f>IFERROR(__xludf.DUMMYFUNCTION("""COMPUTED_VALUE"""),"https://expa.aiesec.org/opportunities/1282161")</f>
        <v>https://expa.aiesec.org/opportunities/1282161</v>
      </c>
      <c r="L64" s="43" t="str">
        <f>IFERROR(__xludf.DUMMYFUNCTION("""COMPUTED_VALUE"""),"GV")</f>
        <v>GV</v>
      </c>
      <c r="M64" s="43" t="str">
        <f>IFERROR(__xludf.DUMMYFUNCTION("""COMPUTED_VALUE"""),"short")</f>
        <v>short</v>
      </c>
      <c r="N64" s="45">
        <f>IFERROR(__xludf.DUMMYFUNCTION("""COMPUTED_VALUE"""),44815.0)</f>
        <v>44815</v>
      </c>
      <c r="O64" s="45">
        <f>IFERROR(__xludf.DUMMYFUNCTION("""COMPUTED_VALUE"""),44835.0)</f>
        <v>44835</v>
      </c>
      <c r="P64" s="45">
        <f>IFERROR(__xludf.DUMMYFUNCTION("""COMPUTED_VALUE"""),44877.0)</f>
        <v>44877</v>
      </c>
      <c r="Q64" s="45">
        <f>IFERROR(__xludf.DUMMYFUNCTION("""COMPUTED_VALUE"""),44815.0)</f>
        <v>44815</v>
      </c>
      <c r="R64" s="45">
        <f>IFERROR(__xludf.DUMMYFUNCTION("""COMPUTED_VALUE"""),44852.0)</f>
        <v>44852</v>
      </c>
      <c r="S64" s="43"/>
      <c r="T64" s="43"/>
      <c r="U64" s="43" t="str">
        <f>IFERROR(__xludf.DUMMYFUNCTION("""COMPUTED_VALUE"""),"Green Leaders")</f>
        <v>Green Leaders</v>
      </c>
      <c r="V64" s="43" t="str">
        <f>IFERROR(__xludf.DUMMYFUNCTION("""COMPUTED_VALUE"""),"ISTANBUL ASIA")</f>
        <v>ISTANBUL ASIA</v>
      </c>
      <c r="W64" s="43" t="str">
        <f>IFERROR(__xludf.DUMMYFUNCTION("""COMPUTED_VALUE"""),"2022-03-29T17:43:02Z")</f>
        <v>2022-03-29T17:43:02Z</v>
      </c>
      <c r="X64" s="43"/>
      <c r="Y64" s="43"/>
      <c r="Z64" s="43"/>
    </row>
    <row r="65" hidden="1">
      <c r="A65" s="43" t="str">
        <f>IFERROR(__xludf.DUMMYFUNCTION("""COMPUTED_VALUE"""),"5107208_1287247")</f>
        <v>5107208_1287247</v>
      </c>
      <c r="B65" s="43" t="str">
        <f>IFERROR(__xludf.DUMMYFUNCTION("""COMPUTED_VALUE"""),"Rabia Aslihan Dalbay")</f>
        <v>Rabia Aslihan Dalbay</v>
      </c>
      <c r="C65" s="43" t="str">
        <f>IFERROR(__xludf.DUMMYFUNCTION("""COMPUTED_VALUE"""),"completed")</f>
        <v>completed</v>
      </c>
      <c r="D65" s="43" t="str">
        <f>IFERROR(__xludf.DUMMYFUNCTION("""COMPUTED_VALUE"""),"No")</f>
        <v>No</v>
      </c>
      <c r="E65" s="43" t="str">
        <f>IFERROR(__xludf.DUMMYFUNCTION("""COMPUTED_VALUE"""),"p_990cede54025d87ecb76311a5be9ff004b93c81b@inbound.aiesec.org")</f>
        <v>p_990cede54025d87ecb76311a5be9ff004b93c81b@inbound.aiesec.org</v>
      </c>
      <c r="F65" s="43">
        <f>IFERROR(__xludf.DUMMYFUNCTION("""COMPUTED_VALUE"""),5.374865822E9)</f>
        <v>5374865822</v>
      </c>
      <c r="G65" s="43" t="str">
        <f>IFERROR(__xludf.DUMMYFUNCTION("""COMPUTED_VALUE"""),"Turkey")</f>
        <v>Turkey</v>
      </c>
      <c r="H65" s="43" t="str">
        <f>IFERROR(__xludf.DUMMYFUNCTION("""COMPUTED_VALUE"""),"KONYA")</f>
        <v>KONYA</v>
      </c>
      <c r="I65" s="43" t="str">
        <f>IFERROR(__xludf.DUMMYFUNCTION("""COMPUTED_VALUE"""),"Poland")</f>
        <v>Poland</v>
      </c>
      <c r="J65" s="43" t="str">
        <f>IFERROR(__xludf.DUMMYFUNCTION("""COMPUTED_VALUE"""),"WROCLAW UE")</f>
        <v>WROCLAW UE</v>
      </c>
      <c r="K65" s="44" t="str">
        <f>IFERROR(__xludf.DUMMYFUNCTION("""COMPUTED_VALUE"""),"https://expa.aiesec.org/opportunities/1287247")</f>
        <v>https://expa.aiesec.org/opportunities/1287247</v>
      </c>
      <c r="L65" s="43" t="str">
        <f>IFERROR(__xludf.DUMMYFUNCTION("""COMPUTED_VALUE"""),"GV")</f>
        <v>GV</v>
      </c>
      <c r="M65" s="43" t="str">
        <f>IFERROR(__xludf.DUMMYFUNCTION("""COMPUTED_VALUE"""),"short")</f>
        <v>short</v>
      </c>
      <c r="N65" s="45">
        <f>IFERROR(__xludf.DUMMYFUNCTION("""COMPUTED_VALUE"""),44816.0)</f>
        <v>44816</v>
      </c>
      <c r="O65" s="45">
        <f>IFERROR(__xludf.DUMMYFUNCTION("""COMPUTED_VALUE"""),44826.0)</f>
        <v>44826</v>
      </c>
      <c r="P65" s="45">
        <f>IFERROR(__xludf.DUMMYFUNCTION("""COMPUTED_VALUE"""),44868.0)</f>
        <v>44868</v>
      </c>
      <c r="Q65" s="45">
        <f>IFERROR(__xludf.DUMMYFUNCTION("""COMPUTED_VALUE"""),44823.0)</f>
        <v>44823</v>
      </c>
      <c r="R65" s="45">
        <f>IFERROR(__xludf.DUMMYFUNCTION("""COMPUTED_VALUE"""),44865.0)</f>
        <v>44865</v>
      </c>
      <c r="S65" s="43"/>
      <c r="T65" s="43"/>
      <c r="U65" s="43" t="str">
        <f>IFERROR(__xludf.DUMMYFUNCTION("""COMPUTED_VALUE"""),"Global Classroom")</f>
        <v>Global Classroom</v>
      </c>
      <c r="V65" s="43" t="str">
        <f>IFERROR(__xludf.DUMMYFUNCTION("""COMPUTED_VALUE"""),"KONYA")</f>
        <v>KONYA</v>
      </c>
      <c r="W65" s="43" t="str">
        <f>IFERROR(__xludf.DUMMYFUNCTION("""COMPUTED_VALUE"""),"2022-09-07T19:39:47Z")</f>
        <v>2022-09-07T19:39:47Z</v>
      </c>
      <c r="X65" s="43"/>
      <c r="Y65" s="43"/>
      <c r="Z65" s="43"/>
    </row>
    <row r="66" hidden="1">
      <c r="A66" s="43" t="str">
        <f>IFERROR(__xludf.DUMMYFUNCTION("""COMPUTED_VALUE"""),"5107924_1287722")</f>
        <v>5107924_1287722</v>
      </c>
      <c r="B66" s="43" t="str">
        <f>IFERROR(__xludf.DUMMYFUNCTION("""COMPUTED_VALUE"""),"seda özmen")</f>
        <v>seda özmen</v>
      </c>
      <c r="C66" s="43" t="str">
        <f>IFERROR(__xludf.DUMMYFUNCTION("""COMPUTED_VALUE"""),"completed")</f>
        <v>completed</v>
      </c>
      <c r="D66" s="43" t="str">
        <f>IFERROR(__xludf.DUMMYFUNCTION("""COMPUTED_VALUE"""),"No")</f>
        <v>No</v>
      </c>
      <c r="E66" s="43" t="str">
        <f>IFERROR(__xludf.DUMMYFUNCTION("""COMPUTED_VALUE"""),"p_79064e242cb981d2b607ed5da6b1f2501e59bb6d@inbound.aiesec.org")</f>
        <v>p_79064e242cb981d2b607ed5da6b1f2501e59bb6d@inbound.aiesec.org</v>
      </c>
      <c r="F66" s="43">
        <f>IFERROR(__xludf.DUMMYFUNCTION("""COMPUTED_VALUE"""),5.454818592E9)</f>
        <v>5454818592</v>
      </c>
      <c r="G66" s="43" t="str">
        <f>IFERROR(__xludf.DUMMYFUNCTION("""COMPUTED_VALUE"""),"Turkey")</f>
        <v>Turkey</v>
      </c>
      <c r="H66" s="43" t="str">
        <f>IFERROR(__xludf.DUMMYFUNCTION("""COMPUTED_VALUE"""),"ANTALYA")</f>
        <v>ANTALYA</v>
      </c>
      <c r="I66" s="43" t="str">
        <f>IFERROR(__xludf.DUMMYFUNCTION("""COMPUTED_VALUE"""),"Romania")</f>
        <v>Romania</v>
      </c>
      <c r="J66" s="43" t="str">
        <f>IFERROR(__xludf.DUMMYFUNCTION("""COMPUTED_VALUE"""),"BRASOV")</f>
        <v>BRASOV</v>
      </c>
      <c r="K66" s="44" t="str">
        <f>IFERROR(__xludf.DUMMYFUNCTION("""COMPUTED_VALUE"""),"https://expa.aiesec.org/opportunities/1287722")</f>
        <v>https://expa.aiesec.org/opportunities/1287722</v>
      </c>
      <c r="L66" s="43" t="str">
        <f>IFERROR(__xludf.DUMMYFUNCTION("""COMPUTED_VALUE"""),"GV")</f>
        <v>GV</v>
      </c>
      <c r="M66" s="43" t="str">
        <f>IFERROR(__xludf.DUMMYFUNCTION("""COMPUTED_VALUE"""),"short")</f>
        <v>short</v>
      </c>
      <c r="N66" s="45">
        <f>IFERROR(__xludf.DUMMYFUNCTION("""COMPUTED_VALUE"""),44816.0)</f>
        <v>44816</v>
      </c>
      <c r="O66" s="45">
        <f>IFERROR(__xludf.DUMMYFUNCTION("""COMPUTED_VALUE"""),44935.0)</f>
        <v>44935</v>
      </c>
      <c r="P66" s="45">
        <f>IFERROR(__xludf.DUMMYFUNCTION("""COMPUTED_VALUE"""),44977.0)</f>
        <v>44977</v>
      </c>
      <c r="Q66" s="45">
        <f>IFERROR(__xludf.DUMMYFUNCTION("""COMPUTED_VALUE"""),44934.0)</f>
        <v>44934</v>
      </c>
      <c r="R66" s="45">
        <f>IFERROR(__xludf.DUMMYFUNCTION("""COMPUTED_VALUE"""),44977.0)</f>
        <v>44977</v>
      </c>
      <c r="S66" s="43"/>
      <c r="T66" s="43"/>
      <c r="U66" s="43" t="str">
        <f>IFERROR(__xludf.DUMMYFUNCTION("""COMPUTED_VALUE"""),"Eat 4 Change")</f>
        <v>Eat 4 Change</v>
      </c>
      <c r="V66" s="43" t="str">
        <f>IFERROR(__xludf.DUMMYFUNCTION("""COMPUTED_VALUE"""),"BARTIN")</f>
        <v>BARTIN</v>
      </c>
      <c r="W66" s="43" t="str">
        <f>IFERROR(__xludf.DUMMYFUNCTION("""COMPUTED_VALUE"""),"2022-09-08T15:09:58Z")</f>
        <v>2022-09-08T15:09:58Z</v>
      </c>
      <c r="X66" s="43"/>
      <c r="Y66" s="43"/>
      <c r="Z66" s="43"/>
    </row>
    <row r="67" hidden="1">
      <c r="A67" s="43" t="str">
        <f>IFERROR(__xludf.DUMMYFUNCTION("""COMPUTED_VALUE"""),"5109376_1282747")</f>
        <v>5109376_1282747</v>
      </c>
      <c r="B67" s="43" t="str">
        <f>IFERROR(__xludf.DUMMYFUNCTION("""COMPUTED_VALUE"""),"Taha Tuncay")</f>
        <v>Taha Tuncay</v>
      </c>
      <c r="C67" s="43" t="str">
        <f>IFERROR(__xludf.DUMMYFUNCTION("""COMPUTED_VALUE"""),"realization_broken")</f>
        <v>realization_broken</v>
      </c>
      <c r="D67" s="43" t="str">
        <f>IFERROR(__xludf.DUMMYFUNCTION("""COMPUTED_VALUE"""),"No")</f>
        <v>No</v>
      </c>
      <c r="E67" s="43" t="str">
        <f>IFERROR(__xludf.DUMMYFUNCTION("""COMPUTED_VALUE"""),"p_2b1be3451c96a7ed6025a811160be53a95d3fa05@inbound.aiesec.org")</f>
        <v>p_2b1be3451c96a7ed6025a811160be53a95d3fa05@inbound.aiesec.org</v>
      </c>
      <c r="F67" s="43">
        <f>IFERROR(__xludf.DUMMYFUNCTION("""COMPUTED_VALUE"""),5.059420842E9)</f>
        <v>5059420842</v>
      </c>
      <c r="G67" s="43" t="str">
        <f>IFERROR(__xludf.DUMMYFUNCTION("""COMPUTED_VALUE"""),"Turkey")</f>
        <v>Turkey</v>
      </c>
      <c r="H67" s="43" t="str">
        <f>IFERROR(__xludf.DUMMYFUNCTION("""COMPUTED_VALUE"""),"ANKARA")</f>
        <v>ANKARA</v>
      </c>
      <c r="I67" s="43" t="str">
        <f>IFERROR(__xludf.DUMMYFUNCTION("""COMPUTED_VALUE"""),"India")</f>
        <v>India</v>
      </c>
      <c r="J67" s="43" t="str">
        <f>IFERROR(__xludf.DUMMYFUNCTION("""COMPUTED_VALUE"""),"Mumbai")</f>
        <v>Mumbai</v>
      </c>
      <c r="K67" s="44" t="str">
        <f>IFERROR(__xludf.DUMMYFUNCTION("""COMPUTED_VALUE"""),"https://expa.aiesec.org/opportunities/1282747")</f>
        <v>https://expa.aiesec.org/opportunities/1282747</v>
      </c>
      <c r="L67" s="43" t="str">
        <f>IFERROR(__xludf.DUMMYFUNCTION("""COMPUTED_VALUE"""),"GV")</f>
        <v>GV</v>
      </c>
      <c r="M67" s="43" t="str">
        <f>IFERROR(__xludf.DUMMYFUNCTION("""COMPUTED_VALUE"""),"short")</f>
        <v>short</v>
      </c>
      <c r="N67" s="45">
        <f>IFERROR(__xludf.DUMMYFUNCTION("""COMPUTED_VALUE"""),44818.0)</f>
        <v>44818</v>
      </c>
      <c r="O67" s="45">
        <f>IFERROR(__xludf.DUMMYFUNCTION("""COMPUTED_VALUE"""),45108.0)</f>
        <v>45108</v>
      </c>
      <c r="P67" s="45">
        <f>IFERROR(__xludf.DUMMYFUNCTION("""COMPUTED_VALUE"""),45150.0)</f>
        <v>45150</v>
      </c>
      <c r="Q67" s="45"/>
      <c r="R67" s="45"/>
      <c r="S67" s="43"/>
      <c r="T67" s="43"/>
      <c r="U67" s="43" t="str">
        <f>IFERROR(__xludf.DUMMYFUNCTION("""COMPUTED_VALUE"""),"Global Classroom")</f>
        <v>Global Classroom</v>
      </c>
      <c r="V67" s="43" t="str">
        <f>IFERROR(__xludf.DUMMYFUNCTION("""COMPUTED_VALUE"""),"ANKARA")</f>
        <v>ANKARA</v>
      </c>
      <c r="W67" s="43" t="str">
        <f>IFERROR(__xludf.DUMMYFUNCTION("""COMPUTED_VALUE"""),"2022-09-10T12:40:26Z")</f>
        <v>2022-09-10T12:40:26Z</v>
      </c>
      <c r="X67" s="43"/>
      <c r="Y67" s="43"/>
      <c r="Z67" s="43"/>
    </row>
    <row r="68" hidden="1">
      <c r="A68" s="43" t="str">
        <f>IFERROR(__xludf.DUMMYFUNCTION("""COMPUTED_VALUE"""),"5108805_1288414")</f>
        <v>5108805_1288414</v>
      </c>
      <c r="B68" s="43" t="str">
        <f>IFERROR(__xludf.DUMMYFUNCTION("""COMPUTED_VALUE"""),"Sude Gökalp")</f>
        <v>Sude Gökalp</v>
      </c>
      <c r="C68" s="43" t="str">
        <f>IFERROR(__xludf.DUMMYFUNCTION("""COMPUTED_VALUE"""),"completed")</f>
        <v>completed</v>
      </c>
      <c r="D68" s="43" t="str">
        <f>IFERROR(__xludf.DUMMYFUNCTION("""COMPUTED_VALUE"""),"No")</f>
        <v>No</v>
      </c>
      <c r="E68" s="43" t="str">
        <f>IFERROR(__xludf.DUMMYFUNCTION("""COMPUTED_VALUE"""),"p_7f34619e12b935ba68372809a863037c060604e6@inbound.aiesec.org")</f>
        <v>p_7f34619e12b935ba68372809a863037c060604e6@inbound.aiesec.org</v>
      </c>
      <c r="F68" s="43">
        <f>IFERROR(__xludf.DUMMYFUNCTION("""COMPUTED_VALUE"""),5.51430774E9)</f>
        <v>5514307740</v>
      </c>
      <c r="G68" s="43" t="str">
        <f>IFERROR(__xludf.DUMMYFUNCTION("""COMPUTED_VALUE"""),"Turkey")</f>
        <v>Turkey</v>
      </c>
      <c r="H68" s="43" t="str">
        <f>IFERROR(__xludf.DUMMYFUNCTION("""COMPUTED_VALUE"""),"ISPARTA")</f>
        <v>ISPARTA</v>
      </c>
      <c r="I68" s="43" t="str">
        <f>IFERROR(__xludf.DUMMYFUNCTION("""COMPUTED_VALUE"""),"India")</f>
        <v>India</v>
      </c>
      <c r="J68" s="43" t="str">
        <f>IFERROR(__xludf.DUMMYFUNCTION("""COMPUTED_VALUE"""),"JAIPUR ")</f>
        <v>JAIPUR </v>
      </c>
      <c r="K68" s="44" t="str">
        <f>IFERROR(__xludf.DUMMYFUNCTION("""COMPUTED_VALUE"""),"https://expa.aiesec.org/opportunities/1288414")</f>
        <v>https://expa.aiesec.org/opportunities/1288414</v>
      </c>
      <c r="L68" s="43" t="str">
        <f>IFERROR(__xludf.DUMMYFUNCTION("""COMPUTED_VALUE"""),"GV")</f>
        <v>GV</v>
      </c>
      <c r="M68" s="43" t="str">
        <f>IFERROR(__xludf.DUMMYFUNCTION("""COMPUTED_VALUE"""),"short")</f>
        <v>short</v>
      </c>
      <c r="N68" s="45">
        <f>IFERROR(__xludf.DUMMYFUNCTION("""COMPUTED_VALUE"""),44818.0)</f>
        <v>44818</v>
      </c>
      <c r="O68" s="45">
        <f>IFERROR(__xludf.DUMMYFUNCTION("""COMPUTED_VALUE"""),45109.0)</f>
        <v>45109</v>
      </c>
      <c r="P68" s="45">
        <f>IFERROR(__xludf.DUMMYFUNCTION("""COMPUTED_VALUE"""),45151.0)</f>
        <v>45151</v>
      </c>
      <c r="Q68" s="45">
        <f>IFERROR(__xludf.DUMMYFUNCTION("""COMPUTED_VALUE"""),45112.0)</f>
        <v>45112</v>
      </c>
      <c r="R68" s="45">
        <f>IFERROR(__xludf.DUMMYFUNCTION("""COMPUTED_VALUE"""),45152.0)</f>
        <v>45152</v>
      </c>
      <c r="S68" s="43"/>
      <c r="T68" s="43"/>
      <c r="U68" s="43" t="str">
        <f>IFERROR(__xludf.DUMMYFUNCTION("""COMPUTED_VALUE"""),"Skill Up!")</f>
        <v>Skill Up!</v>
      </c>
      <c r="V68" s="43" t="str">
        <f>IFERROR(__xludf.DUMMYFUNCTION("""COMPUTED_VALUE"""),"ISPARTA")</f>
        <v>ISPARTA</v>
      </c>
      <c r="W68" s="43" t="str">
        <f>IFERROR(__xludf.DUMMYFUNCTION("""COMPUTED_VALUE"""),"2022-09-09T15:33:35Z")</f>
        <v>2022-09-09T15:33:35Z</v>
      </c>
      <c r="X68" s="43"/>
      <c r="Y68" s="43"/>
      <c r="Z68" s="43"/>
    </row>
    <row r="69" hidden="1">
      <c r="A69" s="43" t="str">
        <f>IFERROR(__xludf.DUMMYFUNCTION("""COMPUTED_VALUE"""),"5086147_1284312")</f>
        <v>5086147_1284312</v>
      </c>
      <c r="B69" s="43" t="str">
        <f>IFERROR(__xludf.DUMMYFUNCTION("""COMPUTED_VALUE"""),"Yağmur Güngör")</f>
        <v>Yağmur Güngör</v>
      </c>
      <c r="C69" s="43" t="str">
        <f>IFERROR(__xludf.DUMMYFUNCTION("""COMPUTED_VALUE"""),"approval_broken")</f>
        <v>approval_broken</v>
      </c>
      <c r="D69" s="43" t="str">
        <f>IFERROR(__xludf.DUMMYFUNCTION("""COMPUTED_VALUE"""),"No")</f>
        <v>No</v>
      </c>
      <c r="E69" s="43" t="str">
        <f>IFERROR(__xludf.DUMMYFUNCTION("""COMPUTED_VALUE"""),"p_b8e4ed4b00c4504fec005e34714431eccc9d42c4@inbound.aiesec.org")</f>
        <v>p_b8e4ed4b00c4504fec005e34714431eccc9d42c4@inbound.aiesec.org</v>
      </c>
      <c r="F69" s="43">
        <f>IFERROR(__xludf.DUMMYFUNCTION("""COMPUTED_VALUE"""),5.439332426E9)</f>
        <v>5439332426</v>
      </c>
      <c r="G69" s="43" t="str">
        <f>IFERROR(__xludf.DUMMYFUNCTION("""COMPUTED_VALUE"""),"Turkey")</f>
        <v>Turkey</v>
      </c>
      <c r="H69" s="43" t="str">
        <f>IFERROR(__xludf.DUMMYFUNCTION("""COMPUTED_VALUE"""),"ISTANBUL WEST")</f>
        <v>ISTANBUL WEST</v>
      </c>
      <c r="I69" s="43" t="str">
        <f>IFERROR(__xludf.DUMMYFUNCTION("""COMPUTED_VALUE"""),"Sri Lanka")</f>
        <v>Sri Lanka</v>
      </c>
      <c r="J69" s="43" t="str">
        <f>IFERROR(__xludf.DUMMYFUNCTION("""COMPUTED_VALUE"""),"SLIIT")</f>
        <v>SLIIT</v>
      </c>
      <c r="K69" s="44" t="str">
        <f>IFERROR(__xludf.DUMMYFUNCTION("""COMPUTED_VALUE"""),"https://expa.aiesec.org/opportunities/1284312")</f>
        <v>https://expa.aiesec.org/opportunities/1284312</v>
      </c>
      <c r="L69" s="43" t="str">
        <f>IFERROR(__xludf.DUMMYFUNCTION("""COMPUTED_VALUE"""),"GV")</f>
        <v>GV</v>
      </c>
      <c r="M69" s="43" t="str">
        <f>IFERROR(__xludf.DUMMYFUNCTION("""COMPUTED_VALUE"""),"short")</f>
        <v>short</v>
      </c>
      <c r="N69" s="45">
        <f>IFERROR(__xludf.DUMMYFUNCTION("""COMPUTED_VALUE"""),45190.0)</f>
        <v>45190</v>
      </c>
      <c r="O69" s="45">
        <f>IFERROR(__xludf.DUMMYFUNCTION("""COMPUTED_VALUE"""),45118.0)</f>
        <v>45118</v>
      </c>
      <c r="P69" s="45">
        <f>IFERROR(__xludf.DUMMYFUNCTION("""COMPUTED_VALUE"""),45160.0)</f>
        <v>45160</v>
      </c>
      <c r="Q69" s="45"/>
      <c r="R69" s="45"/>
      <c r="S69" s="43"/>
      <c r="T69" s="43"/>
      <c r="U69" s="43" t="str">
        <f>IFERROR(__xludf.DUMMYFUNCTION("""COMPUTED_VALUE"""),"On The Map")</f>
        <v>On The Map</v>
      </c>
      <c r="V69" s="43" t="str">
        <f>IFERROR(__xludf.DUMMYFUNCTION("""COMPUTED_VALUE"""),"ISTANBUL - BAKIRKOY")</f>
        <v>ISTANBUL - BAKIRKOY</v>
      </c>
      <c r="W69" s="43" t="str">
        <f>IFERROR(__xludf.DUMMYFUNCTION("""COMPUTED_VALUE"""),"2022-07-26T19:22:24Z")</f>
        <v>2022-07-26T19:22:24Z</v>
      </c>
      <c r="X69" s="43"/>
      <c r="Y69" s="43"/>
      <c r="Z69" s="43"/>
    </row>
    <row r="70" hidden="1">
      <c r="A70" s="43" t="str">
        <f>IFERROR(__xludf.DUMMYFUNCTION("""COMPUTED_VALUE"""),"5104878_1288745")</f>
        <v>5104878_1288745</v>
      </c>
      <c r="B70" s="43" t="str">
        <f>IFERROR(__xludf.DUMMYFUNCTION("""COMPUTED_VALUE"""),"EBRAR BOZKURT")</f>
        <v>EBRAR BOZKURT</v>
      </c>
      <c r="C70" s="43" t="str">
        <f>IFERROR(__xludf.DUMMYFUNCTION("""COMPUTED_VALUE"""),"approved")</f>
        <v>approved</v>
      </c>
      <c r="D70" s="43" t="str">
        <f>IFERROR(__xludf.DUMMYFUNCTION("""COMPUTED_VALUE"""),"No")</f>
        <v>No</v>
      </c>
      <c r="E70" s="43" t="str">
        <f>IFERROR(__xludf.DUMMYFUNCTION("""COMPUTED_VALUE"""),"p_2354d869ae435c55ac1f43bdb25a0a4bf3efedaa@inbound.aiesec.org")</f>
        <v>p_2354d869ae435c55ac1f43bdb25a0a4bf3efedaa@inbound.aiesec.org</v>
      </c>
      <c r="F70" s="43">
        <f>IFERROR(__xludf.DUMMYFUNCTION("""COMPUTED_VALUE"""),5.46534369E9)</f>
        <v>5465343690</v>
      </c>
      <c r="G70" s="43" t="str">
        <f>IFERROR(__xludf.DUMMYFUNCTION("""COMPUTED_VALUE"""),"Turkey")</f>
        <v>Turkey</v>
      </c>
      <c r="H70" s="43" t="str">
        <f>IFERROR(__xludf.DUMMYFUNCTION("""COMPUTED_VALUE"""),"ISTANBUL WEST")</f>
        <v>ISTANBUL WEST</v>
      </c>
      <c r="I70" s="43" t="str">
        <f>IFERROR(__xludf.DUMMYFUNCTION("""COMPUTED_VALUE"""),"Egypt")</f>
        <v>Egypt</v>
      </c>
      <c r="J70" s="43" t="str">
        <f>IFERROR(__xludf.DUMMYFUNCTION("""COMPUTED_VALUE"""),"6th October University")</f>
        <v>6th October University</v>
      </c>
      <c r="K70" s="44" t="str">
        <f>IFERROR(__xludf.DUMMYFUNCTION("""COMPUTED_VALUE"""),"https://expa.aiesec.org/opportunities/1288745")</f>
        <v>https://expa.aiesec.org/opportunities/1288745</v>
      </c>
      <c r="L70" s="43" t="str">
        <f>IFERROR(__xludf.DUMMYFUNCTION("""COMPUTED_VALUE"""),"GV")</f>
        <v>GV</v>
      </c>
      <c r="M70" s="43" t="str">
        <f>IFERROR(__xludf.DUMMYFUNCTION("""COMPUTED_VALUE"""),"short")</f>
        <v>short</v>
      </c>
      <c r="N70" s="45">
        <f>IFERROR(__xludf.DUMMYFUNCTION("""COMPUTED_VALUE"""),44819.0)</f>
        <v>44819</v>
      </c>
      <c r="O70" s="45">
        <f>IFERROR(__xludf.DUMMYFUNCTION("""COMPUTED_VALUE"""),44919.0)</f>
        <v>44919</v>
      </c>
      <c r="P70" s="45">
        <f>IFERROR(__xludf.DUMMYFUNCTION("""COMPUTED_VALUE"""),44961.0)</f>
        <v>44961</v>
      </c>
      <c r="Q70" s="45"/>
      <c r="R70" s="45"/>
      <c r="S70" s="43"/>
      <c r="T70" s="43"/>
      <c r="U70" s="43" t="str">
        <f>IFERROR(__xludf.DUMMYFUNCTION("""COMPUTED_VALUE"""),"Fingerprint")</f>
        <v>Fingerprint</v>
      </c>
      <c r="V70" s="43" t="str">
        <f>IFERROR(__xludf.DUMMYFUNCTION("""COMPUTED_VALUE"""),"ISTANBUL - BEYOGLU")</f>
        <v>ISTANBUL - BEYOGLU</v>
      </c>
      <c r="W70" s="43" t="str">
        <f>IFERROR(__xludf.DUMMYFUNCTION("""COMPUTED_VALUE"""),"2022-09-03T14:35:27Z")</f>
        <v>2022-09-03T14:35:27Z</v>
      </c>
      <c r="X70" s="43"/>
      <c r="Y70" s="43"/>
      <c r="Z70" s="43"/>
    </row>
    <row r="71" hidden="1">
      <c r="A71" s="43" t="str">
        <f>IFERROR(__xludf.DUMMYFUNCTION("""COMPUTED_VALUE"""),"5114158_1288798")</f>
        <v>5114158_1288798</v>
      </c>
      <c r="B71" s="43" t="str">
        <f>IFERROR(__xludf.DUMMYFUNCTION("""COMPUTED_VALUE"""),"Sudenaz Akın")</f>
        <v>Sudenaz Akın</v>
      </c>
      <c r="C71" s="43" t="str">
        <f>IFERROR(__xludf.DUMMYFUNCTION("""COMPUTED_VALUE"""),"completed")</f>
        <v>completed</v>
      </c>
      <c r="D71" s="43" t="str">
        <f>IFERROR(__xludf.DUMMYFUNCTION("""COMPUTED_VALUE"""),"No")</f>
        <v>No</v>
      </c>
      <c r="E71" s="43" t="str">
        <f>IFERROR(__xludf.DUMMYFUNCTION("""COMPUTED_VALUE"""),"p_db9c7f629a058cde1e5654ec8baba316857d0699@inbound.aiesec.org")</f>
        <v>p_db9c7f629a058cde1e5654ec8baba316857d0699@inbound.aiesec.org</v>
      </c>
      <c r="F71" s="43">
        <f>IFERROR(__xludf.DUMMYFUNCTION("""COMPUTED_VALUE"""),5.462437959E9)</f>
        <v>5462437959</v>
      </c>
      <c r="G71" s="43" t="str">
        <f>IFERROR(__xludf.DUMMYFUNCTION("""COMPUTED_VALUE"""),"Turkey")</f>
        <v>Turkey</v>
      </c>
      <c r="H71" s="43" t="str">
        <f>IFERROR(__xludf.DUMMYFUNCTION("""COMPUTED_VALUE"""),"ISTANBUL")</f>
        <v>ISTANBUL</v>
      </c>
      <c r="I71" s="43" t="str">
        <f>IFERROR(__xludf.DUMMYFUNCTION("""COMPUTED_VALUE"""),"Sri Lanka")</f>
        <v>Sri Lanka</v>
      </c>
      <c r="J71" s="43" t="str">
        <f>IFERROR(__xludf.DUMMYFUNCTION("""COMPUTED_VALUE"""),"COLOMBO SOUTH")</f>
        <v>COLOMBO SOUTH</v>
      </c>
      <c r="K71" s="44" t="str">
        <f>IFERROR(__xludf.DUMMYFUNCTION("""COMPUTED_VALUE"""),"https://expa.aiesec.org/opportunities/1288798")</f>
        <v>https://expa.aiesec.org/opportunities/1288798</v>
      </c>
      <c r="L71" s="43" t="str">
        <f>IFERROR(__xludf.DUMMYFUNCTION("""COMPUTED_VALUE"""),"GV")</f>
        <v>GV</v>
      </c>
      <c r="M71" s="43" t="str">
        <f>IFERROR(__xludf.DUMMYFUNCTION("""COMPUTED_VALUE"""),"short")</f>
        <v>short</v>
      </c>
      <c r="N71" s="45">
        <f>IFERROR(__xludf.DUMMYFUNCTION("""COMPUTED_VALUE"""),44823.0)</f>
        <v>44823</v>
      </c>
      <c r="O71" s="45">
        <f>IFERROR(__xludf.DUMMYFUNCTION("""COMPUTED_VALUE"""),45138.0)</f>
        <v>45138</v>
      </c>
      <c r="P71" s="45">
        <f>IFERROR(__xludf.DUMMYFUNCTION("""COMPUTED_VALUE"""),45180.0)</f>
        <v>45180</v>
      </c>
      <c r="Q71" s="45">
        <f>IFERROR(__xludf.DUMMYFUNCTION("""COMPUTED_VALUE"""),45138.0)</f>
        <v>45138</v>
      </c>
      <c r="R71" s="45">
        <f>IFERROR(__xludf.DUMMYFUNCTION("""COMPUTED_VALUE"""),45180.0)</f>
        <v>45180</v>
      </c>
      <c r="S71" s="43"/>
      <c r="T71" s="43"/>
      <c r="U71" s="43" t="str">
        <f>IFERROR(__xludf.DUMMYFUNCTION("""COMPUTED_VALUE"""),"Heartbeat")</f>
        <v>Heartbeat</v>
      </c>
      <c r="V71" s="43" t="str">
        <f>IFERROR(__xludf.DUMMYFUNCTION("""COMPUTED_VALUE"""),"ISTANBUL - BEYOGLU")</f>
        <v>ISTANBUL - BEYOGLU</v>
      </c>
      <c r="W71" s="43" t="str">
        <f>IFERROR(__xludf.DUMMYFUNCTION("""COMPUTED_VALUE"""),"2022-09-17T11:30:33Z")</f>
        <v>2022-09-17T11:30:33Z</v>
      </c>
      <c r="X71" s="43"/>
      <c r="Y71" s="43"/>
      <c r="Z71" s="43"/>
    </row>
    <row r="72" hidden="1">
      <c r="A72" s="43" t="str">
        <f>IFERROR(__xludf.DUMMYFUNCTION("""COMPUTED_VALUE"""),"4468911_1282150")</f>
        <v>4468911_1282150</v>
      </c>
      <c r="B72" s="43" t="str">
        <f>IFERROR(__xludf.DUMMYFUNCTION("""COMPUTED_VALUE"""),"TURAN TAŞ")</f>
        <v>TURAN TAŞ</v>
      </c>
      <c r="C72" s="43" t="str">
        <f>IFERROR(__xludf.DUMMYFUNCTION("""COMPUTED_VALUE"""),"approval_broken")</f>
        <v>approval_broken</v>
      </c>
      <c r="D72" s="43" t="str">
        <f>IFERROR(__xludf.DUMMYFUNCTION("""COMPUTED_VALUE"""),"No")</f>
        <v>No</v>
      </c>
      <c r="E72" s="43" t="str">
        <f>IFERROR(__xludf.DUMMYFUNCTION("""COMPUTED_VALUE"""),"p_b809fe7671c1ee629654285513de9b8bd8d47845@inbound.aiesec.org")</f>
        <v>p_b809fe7671c1ee629654285513de9b8bd8d47845@inbound.aiesec.org</v>
      </c>
      <c r="F72" s="43">
        <f>IFERROR(__xludf.DUMMYFUNCTION("""COMPUTED_VALUE"""),9.05072576151E11)</f>
        <v>905072576151</v>
      </c>
      <c r="G72" s="43" t="str">
        <f>IFERROR(__xludf.DUMMYFUNCTION("""COMPUTED_VALUE"""),"Turkey")</f>
        <v>Turkey</v>
      </c>
      <c r="H72" s="43" t="str">
        <f>IFERROR(__xludf.DUMMYFUNCTION("""COMPUTED_VALUE"""),"İZMİR")</f>
        <v>İZMİR</v>
      </c>
      <c r="I72" s="43" t="str">
        <f>IFERROR(__xludf.DUMMYFUNCTION("""COMPUTED_VALUE"""),"Sri Lanka")</f>
        <v>Sri Lanka</v>
      </c>
      <c r="J72" s="43" t="str">
        <f>IFERROR(__xludf.DUMMYFUNCTION("""COMPUTED_VALUE"""),"USJ")</f>
        <v>USJ</v>
      </c>
      <c r="K72" s="44" t="str">
        <f>IFERROR(__xludf.DUMMYFUNCTION("""COMPUTED_VALUE"""),"https://expa.aiesec.org/opportunities/1282150")</f>
        <v>https://expa.aiesec.org/opportunities/1282150</v>
      </c>
      <c r="L72" s="43" t="str">
        <f>IFERROR(__xludf.DUMMYFUNCTION("""COMPUTED_VALUE"""),"GV")</f>
        <v>GV</v>
      </c>
      <c r="M72" s="43" t="str">
        <f>IFERROR(__xludf.DUMMYFUNCTION("""COMPUTED_VALUE"""),"short")</f>
        <v>short</v>
      </c>
      <c r="N72" s="45">
        <f>IFERROR(__xludf.DUMMYFUNCTION("""COMPUTED_VALUE"""),45190.0)</f>
        <v>45190</v>
      </c>
      <c r="O72" s="45">
        <f>IFERROR(__xludf.DUMMYFUNCTION("""COMPUTED_VALUE"""),44896.0)</f>
        <v>44896</v>
      </c>
      <c r="P72" s="45">
        <f>IFERROR(__xludf.DUMMYFUNCTION("""COMPUTED_VALUE"""),44938.0)</f>
        <v>44938</v>
      </c>
      <c r="Q72" s="45"/>
      <c r="R72" s="45"/>
      <c r="S72" s="43"/>
      <c r="T72" s="43"/>
      <c r="U72" s="43" t="str">
        <f>IFERROR(__xludf.DUMMYFUNCTION("""COMPUTED_VALUE"""),"Global Classroom")</f>
        <v>Global Classroom</v>
      </c>
      <c r="V72" s="43" t="str">
        <f>IFERROR(__xludf.DUMMYFUNCTION("""COMPUTED_VALUE"""),"IZMIR")</f>
        <v>IZMIR</v>
      </c>
      <c r="W72" s="43" t="str">
        <f>IFERROR(__xludf.DUMMYFUNCTION("""COMPUTED_VALUE"""),"2020-12-06T17:07:16Z")</f>
        <v>2020-12-06T17:07:16Z</v>
      </c>
      <c r="X72" s="43"/>
      <c r="Y72" s="43"/>
      <c r="Z72" s="43"/>
    </row>
    <row r="73" hidden="1">
      <c r="A73" s="43" t="str">
        <f>IFERROR(__xludf.DUMMYFUNCTION("""COMPUTED_VALUE"""),"2975422_1289281")</f>
        <v>2975422_1289281</v>
      </c>
      <c r="B73" s="43" t="str">
        <f>IFERROR(__xludf.DUMMYFUNCTION("""COMPUTED_VALUE"""),"Dilçem Deniz")</f>
        <v>Dilçem Deniz</v>
      </c>
      <c r="C73" s="43" t="str">
        <f>IFERROR(__xludf.DUMMYFUNCTION("""COMPUTED_VALUE"""),"completed")</f>
        <v>completed</v>
      </c>
      <c r="D73" s="43" t="str">
        <f>IFERROR(__xludf.DUMMYFUNCTION("""COMPUTED_VALUE"""),"No")</f>
        <v>No</v>
      </c>
      <c r="E73" s="43" t="str">
        <f>IFERROR(__xludf.DUMMYFUNCTION("""COMPUTED_VALUE"""),"p_021d50d3c8749748da34627d5e6be2c2013f4a2b@inbound.aiesec.org")</f>
        <v>p_021d50d3c8749748da34627d5e6be2c2013f4a2b@inbound.aiesec.org</v>
      </c>
      <c r="F73" s="43">
        <f>IFERROR(__xludf.DUMMYFUNCTION("""COMPUTED_VALUE"""),5.340837436E9)</f>
        <v>5340837436</v>
      </c>
      <c r="G73" s="43" t="str">
        <f>IFERROR(__xludf.DUMMYFUNCTION("""COMPUTED_VALUE"""),"Turkey")</f>
        <v>Turkey</v>
      </c>
      <c r="H73" s="43" t="str">
        <f>IFERROR(__xludf.DUMMYFUNCTION("""COMPUTED_VALUE"""),"İZMİR")</f>
        <v>İZMİR</v>
      </c>
      <c r="I73" s="43" t="str">
        <f>IFERROR(__xludf.DUMMYFUNCTION("""COMPUTED_VALUE"""),"Romania")</f>
        <v>Romania</v>
      </c>
      <c r="J73" s="43" t="str">
        <f>IFERROR(__xludf.DUMMYFUNCTION("""COMPUTED_VALUE"""),"PITESTI")</f>
        <v>PITESTI</v>
      </c>
      <c r="K73" s="44" t="str">
        <f>IFERROR(__xludf.DUMMYFUNCTION("""COMPUTED_VALUE"""),"https://expa.aiesec.org/opportunities/1289281")</f>
        <v>https://expa.aiesec.org/opportunities/1289281</v>
      </c>
      <c r="L73" s="43" t="str">
        <f>IFERROR(__xludf.DUMMYFUNCTION("""COMPUTED_VALUE"""),"GV")</f>
        <v>GV</v>
      </c>
      <c r="M73" s="43" t="str">
        <f>IFERROR(__xludf.DUMMYFUNCTION("""COMPUTED_VALUE"""),"short")</f>
        <v>short</v>
      </c>
      <c r="N73" s="45">
        <f>IFERROR(__xludf.DUMMYFUNCTION("""COMPUTED_VALUE"""),44827.0)</f>
        <v>44827</v>
      </c>
      <c r="O73" s="45">
        <f>IFERROR(__xludf.DUMMYFUNCTION("""COMPUTED_VALUE"""),45108.0)</f>
        <v>45108</v>
      </c>
      <c r="P73" s="45">
        <f>IFERROR(__xludf.DUMMYFUNCTION("""COMPUTED_VALUE"""),45156.0)</f>
        <v>45156</v>
      </c>
      <c r="Q73" s="45">
        <f>IFERROR(__xludf.DUMMYFUNCTION("""COMPUTED_VALUE"""),45116.0)</f>
        <v>45116</v>
      </c>
      <c r="R73" s="45">
        <f>IFERROR(__xludf.DUMMYFUNCTION("""COMPUTED_VALUE"""),45164.0)</f>
        <v>45164</v>
      </c>
      <c r="S73" s="43"/>
      <c r="T73" s="43"/>
      <c r="U73" s="43" t="str">
        <f>IFERROR(__xludf.DUMMYFUNCTION("""COMPUTED_VALUE"""),"Global Classroom")</f>
        <v>Global Classroom</v>
      </c>
      <c r="V73" s="43" t="str">
        <f>IFERROR(__xludf.DUMMYFUNCTION("""COMPUTED_VALUE"""),"IZMIR")</f>
        <v>IZMIR</v>
      </c>
      <c r="W73" s="43" t="str">
        <f>IFERROR(__xludf.DUMMYFUNCTION("""COMPUTED_VALUE"""),"2018-12-12T11:03:01Z")</f>
        <v>2018-12-12T11:03:01Z</v>
      </c>
      <c r="X73" s="43"/>
      <c r="Y73" s="43"/>
      <c r="Z73" s="43"/>
    </row>
    <row r="74" hidden="1">
      <c r="A74" s="43" t="str">
        <f>IFERROR(__xludf.DUMMYFUNCTION("""COMPUTED_VALUE"""),"5115823_1287477")</f>
        <v>5115823_1287477</v>
      </c>
      <c r="B74" s="43" t="str">
        <f>IFERROR(__xludf.DUMMYFUNCTION("""COMPUTED_VALUE"""),"Başak Özgür")</f>
        <v>Başak Özgür</v>
      </c>
      <c r="C74" s="43" t="str">
        <f>IFERROR(__xludf.DUMMYFUNCTION("""COMPUTED_VALUE"""),"completed")</f>
        <v>completed</v>
      </c>
      <c r="D74" s="43" t="str">
        <f>IFERROR(__xludf.DUMMYFUNCTION("""COMPUTED_VALUE"""),"No")</f>
        <v>No</v>
      </c>
      <c r="E74" s="43" t="str">
        <f>IFERROR(__xludf.DUMMYFUNCTION("""COMPUTED_VALUE"""),"p_158277e886d841071e942451220af878c8cf4cf8@inbound.aiesec.org")</f>
        <v>p_158277e886d841071e942451220af878c8cf4cf8@inbound.aiesec.org</v>
      </c>
      <c r="F74" s="43">
        <f>IFERROR(__xludf.DUMMYFUNCTION("""COMPUTED_VALUE"""),5.535012508E9)</f>
        <v>5535012508</v>
      </c>
      <c r="G74" s="43" t="str">
        <f>IFERROR(__xludf.DUMMYFUNCTION("""COMPUTED_VALUE"""),"Turkey")</f>
        <v>Turkey</v>
      </c>
      <c r="H74" s="43" t="str">
        <f>IFERROR(__xludf.DUMMYFUNCTION("""COMPUTED_VALUE"""),"BURSA")</f>
        <v>BURSA</v>
      </c>
      <c r="I74" s="43" t="str">
        <f>IFERROR(__xludf.DUMMYFUNCTION("""COMPUTED_VALUE"""),"India")</f>
        <v>India</v>
      </c>
      <c r="J74" s="43" t="str">
        <f>IFERROR(__xludf.DUMMYFUNCTION("""COMPUTED_VALUE"""),"JAIPUR ")</f>
        <v>JAIPUR </v>
      </c>
      <c r="K74" s="44" t="str">
        <f>IFERROR(__xludf.DUMMYFUNCTION("""COMPUTED_VALUE"""),"https://expa.aiesec.org/opportunities/1287477")</f>
        <v>https://expa.aiesec.org/opportunities/1287477</v>
      </c>
      <c r="L74" s="43" t="str">
        <f>IFERROR(__xludf.DUMMYFUNCTION("""COMPUTED_VALUE"""),"GV")</f>
        <v>GV</v>
      </c>
      <c r="M74" s="43" t="str">
        <f>IFERROR(__xludf.DUMMYFUNCTION("""COMPUTED_VALUE"""),"short")</f>
        <v>short</v>
      </c>
      <c r="N74" s="45">
        <f>IFERROR(__xludf.DUMMYFUNCTION("""COMPUTED_VALUE"""),44830.0)</f>
        <v>44830</v>
      </c>
      <c r="O74" s="45">
        <f>IFERROR(__xludf.DUMMYFUNCTION("""COMPUTED_VALUE"""),45115.0)</f>
        <v>45115</v>
      </c>
      <c r="P74" s="45">
        <f>IFERROR(__xludf.DUMMYFUNCTION("""COMPUTED_VALUE"""),45157.0)</f>
        <v>45157</v>
      </c>
      <c r="Q74" s="45">
        <f>IFERROR(__xludf.DUMMYFUNCTION("""COMPUTED_VALUE"""),45125.0)</f>
        <v>45125</v>
      </c>
      <c r="R74" s="45">
        <f>IFERROR(__xludf.DUMMYFUNCTION("""COMPUTED_VALUE"""),45165.0)</f>
        <v>45165</v>
      </c>
      <c r="S74" s="43"/>
      <c r="T74" s="43"/>
      <c r="U74" s="43" t="str">
        <f>IFERROR(__xludf.DUMMYFUNCTION("""COMPUTED_VALUE"""),"Skill Up!")</f>
        <v>Skill Up!</v>
      </c>
      <c r="V74" s="43" t="str">
        <f>IFERROR(__xludf.DUMMYFUNCTION("""COMPUTED_VALUE"""),"BURSA")</f>
        <v>BURSA</v>
      </c>
      <c r="W74" s="43" t="str">
        <f>IFERROR(__xludf.DUMMYFUNCTION("""COMPUTED_VALUE"""),"2022-09-19T19:34:22Z")</f>
        <v>2022-09-19T19:34:22Z</v>
      </c>
      <c r="X74" s="43"/>
      <c r="Y74" s="43"/>
      <c r="Z74" s="43"/>
    </row>
    <row r="75" hidden="1">
      <c r="A75" s="43" t="str">
        <f>IFERROR(__xludf.DUMMYFUNCTION("""COMPUTED_VALUE"""),"5120543_1289367")</f>
        <v>5120543_1289367</v>
      </c>
      <c r="B75" s="43" t="str">
        <f>IFERROR(__xludf.DUMMYFUNCTION("""COMPUTED_VALUE"""),"tuba bakal")</f>
        <v>tuba bakal</v>
      </c>
      <c r="C75" s="43" t="str">
        <f>IFERROR(__xludf.DUMMYFUNCTION("""COMPUTED_VALUE"""),"completed")</f>
        <v>completed</v>
      </c>
      <c r="D75" s="43" t="str">
        <f>IFERROR(__xludf.DUMMYFUNCTION("""COMPUTED_VALUE"""),"No")</f>
        <v>No</v>
      </c>
      <c r="E75" s="43" t="str">
        <f>IFERROR(__xludf.DUMMYFUNCTION("""COMPUTED_VALUE"""),"p_1c97d96764018f57a5e0885920c5c781b227010c@inbound.aiesec.org")</f>
        <v>p_1c97d96764018f57a5e0885920c5c781b227010c@inbound.aiesec.org</v>
      </c>
      <c r="F75" s="43">
        <f>IFERROR(__xludf.DUMMYFUNCTION("""COMPUTED_VALUE"""),5.057054401E9)</f>
        <v>5057054401</v>
      </c>
      <c r="G75" s="43" t="str">
        <f>IFERROR(__xludf.DUMMYFUNCTION("""COMPUTED_VALUE"""),"Turkey")</f>
        <v>Turkey</v>
      </c>
      <c r="H75" s="43" t="str">
        <f>IFERROR(__xludf.DUMMYFUNCTION("""COMPUTED_VALUE"""),"KOCAELI")</f>
        <v>KOCAELI</v>
      </c>
      <c r="I75" s="43" t="str">
        <f>IFERROR(__xludf.DUMMYFUNCTION("""COMPUTED_VALUE"""),"Romania")</f>
        <v>Romania</v>
      </c>
      <c r="J75" s="43" t="str">
        <f>IFERROR(__xludf.DUMMYFUNCTION("""COMPUTED_VALUE"""),"BUCURESTI")</f>
        <v>BUCURESTI</v>
      </c>
      <c r="K75" s="44" t="str">
        <f>IFERROR(__xludf.DUMMYFUNCTION("""COMPUTED_VALUE"""),"https://expa.aiesec.org/opportunities/1289367")</f>
        <v>https://expa.aiesec.org/opportunities/1289367</v>
      </c>
      <c r="L75" s="43" t="str">
        <f>IFERROR(__xludf.DUMMYFUNCTION("""COMPUTED_VALUE"""),"GV")</f>
        <v>GV</v>
      </c>
      <c r="M75" s="43" t="str">
        <f>IFERROR(__xludf.DUMMYFUNCTION("""COMPUTED_VALUE"""),"short")</f>
        <v>short</v>
      </c>
      <c r="N75" s="45">
        <f>IFERROR(__xludf.DUMMYFUNCTION("""COMPUTED_VALUE"""),44832.0)</f>
        <v>44832</v>
      </c>
      <c r="O75" s="45">
        <f>IFERROR(__xludf.DUMMYFUNCTION("""COMPUTED_VALUE"""),44949.0)</f>
        <v>44949</v>
      </c>
      <c r="P75" s="45">
        <f>IFERROR(__xludf.DUMMYFUNCTION("""COMPUTED_VALUE"""),44991.0)</f>
        <v>44991</v>
      </c>
      <c r="Q75" s="45">
        <f>IFERROR(__xludf.DUMMYFUNCTION("""COMPUTED_VALUE"""),44949.0)</f>
        <v>44949</v>
      </c>
      <c r="R75" s="45">
        <f>IFERROR(__xludf.DUMMYFUNCTION("""COMPUTED_VALUE"""),44991.0)</f>
        <v>44991</v>
      </c>
      <c r="S75" s="43"/>
      <c r="T75" s="43"/>
      <c r="U75" s="43" t="str">
        <f>IFERROR(__xludf.DUMMYFUNCTION("""COMPUTED_VALUE"""),"Green Leaders")</f>
        <v>Green Leaders</v>
      </c>
      <c r="V75" s="43" t="str">
        <f>IFERROR(__xludf.DUMMYFUNCTION("""COMPUTED_VALUE"""),"ISTANBUL ASIA")</f>
        <v>ISTANBUL ASIA</v>
      </c>
      <c r="W75" s="43" t="str">
        <f>IFERROR(__xludf.DUMMYFUNCTION("""COMPUTED_VALUE"""),"2022-09-27T14:36:20Z")</f>
        <v>2022-09-27T14:36:20Z</v>
      </c>
      <c r="X75" s="43"/>
      <c r="Y75" s="43"/>
      <c r="Z75" s="43"/>
    </row>
    <row r="76" hidden="1">
      <c r="A76" s="43" t="str">
        <f>IFERROR(__xludf.DUMMYFUNCTION("""COMPUTED_VALUE"""),"4970486_1289752")</f>
        <v>4970486_1289752</v>
      </c>
      <c r="B76" s="43" t="str">
        <f>IFERROR(__xludf.DUMMYFUNCTION("""COMPUTED_VALUE"""),"Bora Taşçı")</f>
        <v>Bora Taşçı</v>
      </c>
      <c r="C76" s="43" t="str">
        <f>IFERROR(__xludf.DUMMYFUNCTION("""COMPUTED_VALUE"""),"approved")</f>
        <v>approved</v>
      </c>
      <c r="D76" s="43" t="str">
        <f>IFERROR(__xludf.DUMMYFUNCTION("""COMPUTED_VALUE"""),"No")</f>
        <v>No</v>
      </c>
      <c r="E76" s="43" t="str">
        <f>IFERROR(__xludf.DUMMYFUNCTION("""COMPUTED_VALUE"""),"p_4723a9afd9b62314ec9005010bbe8b8da42b0d80@inbound.aiesec.org")</f>
        <v>p_4723a9afd9b62314ec9005010bbe8b8da42b0d80@inbound.aiesec.org</v>
      </c>
      <c r="F76" s="43">
        <f>IFERROR(__xludf.DUMMYFUNCTION("""COMPUTED_VALUE"""),5.053885117E9)</f>
        <v>5053885117</v>
      </c>
      <c r="G76" s="43" t="str">
        <f>IFERROR(__xludf.DUMMYFUNCTION("""COMPUTED_VALUE"""),"Turkey")</f>
        <v>Turkey</v>
      </c>
      <c r="H76" s="43" t="str">
        <f>IFERROR(__xludf.DUMMYFUNCTION("""COMPUTED_VALUE"""),"KUTAHYA")</f>
        <v>KUTAHYA</v>
      </c>
      <c r="I76" s="43" t="str">
        <f>IFERROR(__xludf.DUMMYFUNCTION("""COMPUTED_VALUE"""),"Italy")</f>
        <v>Italy</v>
      </c>
      <c r="J76" s="43" t="str">
        <f>IFERROR(__xludf.DUMMYFUNCTION("""COMPUTED_VALUE"""),"Venezia")</f>
        <v>Venezia</v>
      </c>
      <c r="K76" s="44" t="str">
        <f>IFERROR(__xludf.DUMMYFUNCTION("""COMPUTED_VALUE"""),"https://expa.aiesec.org/opportunities/1289752")</f>
        <v>https://expa.aiesec.org/opportunities/1289752</v>
      </c>
      <c r="L76" s="43" t="str">
        <f>IFERROR(__xludf.DUMMYFUNCTION("""COMPUTED_VALUE"""),"GV")</f>
        <v>GV</v>
      </c>
      <c r="M76" s="43" t="str">
        <f>IFERROR(__xludf.DUMMYFUNCTION("""COMPUTED_VALUE"""),"short")</f>
        <v>short</v>
      </c>
      <c r="N76" s="45">
        <f>IFERROR(__xludf.DUMMYFUNCTION("""COMPUTED_VALUE"""),44832.0)</f>
        <v>44832</v>
      </c>
      <c r="O76" s="45">
        <f>IFERROR(__xludf.DUMMYFUNCTION("""COMPUTED_VALUE"""),44935.0)</f>
        <v>44935</v>
      </c>
      <c r="P76" s="45">
        <f>IFERROR(__xludf.DUMMYFUNCTION("""COMPUTED_VALUE"""),44977.0)</f>
        <v>44977</v>
      </c>
      <c r="Q76" s="45"/>
      <c r="R76" s="45"/>
      <c r="S76" s="43"/>
      <c r="T76" s="43"/>
      <c r="U76" s="43" t="str">
        <f>IFERROR(__xludf.DUMMYFUNCTION("""COMPUTED_VALUE"""),"Youth 4 Impact")</f>
        <v>Youth 4 Impact</v>
      </c>
      <c r="V76" s="43" t="str">
        <f>IFERROR(__xludf.DUMMYFUNCTION("""COMPUTED_VALUE"""),"KUTAHYA")</f>
        <v>KUTAHYA</v>
      </c>
      <c r="W76" s="43" t="str">
        <f>IFERROR(__xludf.DUMMYFUNCTION("""COMPUTED_VALUE"""),"2022-03-08T08:31:35Z")</f>
        <v>2022-03-08T08:31:35Z</v>
      </c>
      <c r="X76" s="43"/>
      <c r="Y76" s="43"/>
      <c r="Z76" s="43"/>
    </row>
    <row r="77" hidden="1">
      <c r="A77" s="43" t="str">
        <f>IFERROR(__xludf.DUMMYFUNCTION("""COMPUTED_VALUE"""),"5072791_1287990")</f>
        <v>5072791_1287990</v>
      </c>
      <c r="B77" s="43" t="str">
        <f>IFERROR(__xludf.DUMMYFUNCTION("""COMPUTED_VALUE"""),"Melike KISMET")</f>
        <v>Melike KISMET</v>
      </c>
      <c r="C77" s="43" t="str">
        <f>IFERROR(__xludf.DUMMYFUNCTION("""COMPUTED_VALUE"""),"approved")</f>
        <v>approved</v>
      </c>
      <c r="D77" s="43" t="str">
        <f>IFERROR(__xludf.DUMMYFUNCTION("""COMPUTED_VALUE"""),"No")</f>
        <v>No</v>
      </c>
      <c r="E77" s="43" t="str">
        <f>IFERROR(__xludf.DUMMYFUNCTION("""COMPUTED_VALUE"""),"p_fb50cf48f5a29a6931aa0de60c5449267a64fefa@inbound.aiesec.org")</f>
        <v>p_fb50cf48f5a29a6931aa0de60c5449267a64fefa@inbound.aiesec.org</v>
      </c>
      <c r="F77" s="43">
        <f>IFERROR(__xludf.DUMMYFUNCTION("""COMPUTED_VALUE"""),5.315409716E9)</f>
        <v>5315409716</v>
      </c>
      <c r="G77" s="43" t="str">
        <f>IFERROR(__xludf.DUMMYFUNCTION("""COMPUTED_VALUE"""),"Turkey")</f>
        <v>Turkey</v>
      </c>
      <c r="H77" s="43" t="str">
        <f>IFERROR(__xludf.DUMMYFUNCTION("""COMPUTED_VALUE"""),"KOCAELI")</f>
        <v>KOCAELI</v>
      </c>
      <c r="I77" s="43" t="str">
        <f>IFERROR(__xludf.DUMMYFUNCTION("""COMPUTED_VALUE"""),"India")</f>
        <v>India</v>
      </c>
      <c r="J77" s="43" t="str">
        <f>IFERROR(__xludf.DUMMYFUNCTION("""COMPUTED_VALUE"""),"JAIPUR ")</f>
        <v>JAIPUR </v>
      </c>
      <c r="K77" s="44" t="str">
        <f>IFERROR(__xludf.DUMMYFUNCTION("""COMPUTED_VALUE"""),"https://expa.aiesec.org/opportunities/1287990")</f>
        <v>https://expa.aiesec.org/opportunities/1287990</v>
      </c>
      <c r="L77" s="43" t="str">
        <f>IFERROR(__xludf.DUMMYFUNCTION("""COMPUTED_VALUE"""),"GV")</f>
        <v>GV</v>
      </c>
      <c r="M77" s="43" t="str">
        <f>IFERROR(__xludf.DUMMYFUNCTION("""COMPUTED_VALUE"""),"short")</f>
        <v>short</v>
      </c>
      <c r="N77" s="45">
        <f>IFERROR(__xludf.DUMMYFUNCTION("""COMPUTED_VALUE"""),44833.0)</f>
        <v>44833</v>
      </c>
      <c r="O77" s="45">
        <f>IFERROR(__xludf.DUMMYFUNCTION("""COMPUTED_VALUE"""),45114.0)</f>
        <v>45114</v>
      </c>
      <c r="P77" s="45">
        <f>IFERROR(__xludf.DUMMYFUNCTION("""COMPUTED_VALUE"""),45156.0)</f>
        <v>45156</v>
      </c>
      <c r="Q77" s="45"/>
      <c r="R77" s="45"/>
      <c r="S77" s="43"/>
      <c r="T77" s="43"/>
      <c r="U77" s="43" t="str">
        <f>IFERROR(__xludf.DUMMYFUNCTION("""COMPUTED_VALUE"""),"Skill Up!")</f>
        <v>Skill Up!</v>
      </c>
      <c r="V77" s="43" t="str">
        <f>IFERROR(__xludf.DUMMYFUNCTION("""COMPUTED_VALUE"""),"KOCAELI")</f>
        <v>KOCAELI</v>
      </c>
      <c r="W77" s="43" t="str">
        <f>IFERROR(__xludf.DUMMYFUNCTION("""COMPUTED_VALUE"""),"2022-06-15T10:31:51Z")</f>
        <v>2022-06-15T10:31:51Z</v>
      </c>
      <c r="X77" s="43"/>
      <c r="Y77" s="43"/>
      <c r="Z77" s="43"/>
    </row>
    <row r="78" hidden="1">
      <c r="A78" s="43" t="str">
        <f>IFERROR(__xludf.DUMMYFUNCTION("""COMPUTED_VALUE"""),"3929422_1288840")</f>
        <v>3929422_1288840</v>
      </c>
      <c r="B78" s="43" t="str">
        <f>IFERROR(__xludf.DUMMYFUNCTION("""COMPUTED_VALUE"""),"Kondwani Banda")</f>
        <v>Kondwani Banda</v>
      </c>
      <c r="C78" s="43" t="str">
        <f>IFERROR(__xludf.DUMMYFUNCTION("""COMPUTED_VALUE"""),"approved")</f>
        <v>approved</v>
      </c>
      <c r="D78" s="43" t="str">
        <f>IFERROR(__xludf.DUMMYFUNCTION("""COMPUTED_VALUE"""),"No")</f>
        <v>No</v>
      </c>
      <c r="E78" s="43" t="str">
        <f>IFERROR(__xludf.DUMMYFUNCTION("""COMPUTED_VALUE"""),"p_21bdde1103db4b879cc7a404dfafafb5be55f9a4@inbound.aiesec.org")</f>
        <v>p_21bdde1103db4b879cc7a404dfafafb5be55f9a4@inbound.aiesec.org</v>
      </c>
      <c r="F78" s="43">
        <f>IFERROR(__xludf.DUMMYFUNCTION("""COMPUTED_VALUE"""),5.367214718E9)</f>
        <v>5367214718</v>
      </c>
      <c r="G78" s="43" t="str">
        <f>IFERROR(__xludf.DUMMYFUNCTION("""COMPUTED_VALUE"""),"Turkey")</f>
        <v>Turkey</v>
      </c>
      <c r="H78" s="43" t="str">
        <f>IFERROR(__xludf.DUMMYFUNCTION("""COMPUTED_VALUE"""),"ANKARA")</f>
        <v>ANKARA</v>
      </c>
      <c r="I78" s="43" t="str">
        <f>IFERROR(__xludf.DUMMYFUNCTION("""COMPUTED_VALUE"""),"Georgia")</f>
        <v>Georgia</v>
      </c>
      <c r="J78" s="43" t="str">
        <f>IFERROR(__xludf.DUMMYFUNCTION("""COMPUTED_VALUE"""),"The University of Georgia")</f>
        <v>The University of Georgia</v>
      </c>
      <c r="K78" s="44" t="str">
        <f>IFERROR(__xludf.DUMMYFUNCTION("""COMPUTED_VALUE"""),"https://expa.aiesec.org/opportunities/1288840")</f>
        <v>https://expa.aiesec.org/opportunities/1288840</v>
      </c>
      <c r="L78" s="43" t="str">
        <f>IFERROR(__xludf.DUMMYFUNCTION("""COMPUTED_VALUE"""),"GV")</f>
        <v>GV</v>
      </c>
      <c r="M78" s="43" t="str">
        <f>IFERROR(__xludf.DUMMYFUNCTION("""COMPUTED_VALUE"""),"short")</f>
        <v>short</v>
      </c>
      <c r="N78" s="45">
        <f>IFERROR(__xludf.DUMMYFUNCTION("""COMPUTED_VALUE"""),44833.0)</f>
        <v>44833</v>
      </c>
      <c r="O78" s="45">
        <f>IFERROR(__xludf.DUMMYFUNCTION("""COMPUTED_VALUE"""),44903.0)</f>
        <v>44903</v>
      </c>
      <c r="P78" s="45">
        <f>IFERROR(__xludf.DUMMYFUNCTION("""COMPUTED_VALUE"""),44945.0)</f>
        <v>44945</v>
      </c>
      <c r="Q78" s="45"/>
      <c r="R78" s="45"/>
      <c r="S78" s="43"/>
      <c r="T78" s="43"/>
      <c r="U78" s="43" t="str">
        <f>IFERROR(__xludf.DUMMYFUNCTION("""COMPUTED_VALUE"""),"Global Classroom")</f>
        <v>Global Classroom</v>
      </c>
      <c r="V78" s="43" t="str">
        <f>IFERROR(__xludf.DUMMYFUNCTION("""COMPUTED_VALUE"""),"ANKARA")</f>
        <v>ANKARA</v>
      </c>
      <c r="W78" s="43" t="str">
        <f>IFERROR(__xludf.DUMMYFUNCTION("""COMPUTED_VALUE"""),"2019-10-27T14:50:35Z")</f>
        <v>2019-10-27T14:50:35Z</v>
      </c>
      <c r="X78" s="43"/>
      <c r="Y78" s="43"/>
      <c r="Z78" s="43"/>
    </row>
    <row r="79" hidden="1">
      <c r="A79" s="43" t="str">
        <f>IFERROR(__xludf.DUMMYFUNCTION("""COMPUTED_VALUE"""),"5108541_1289281")</f>
        <v>5108541_1289281</v>
      </c>
      <c r="B79" s="43" t="str">
        <f>IFERROR(__xludf.DUMMYFUNCTION("""COMPUTED_VALUE"""),"feride sena erbil")</f>
        <v>feride sena erbil</v>
      </c>
      <c r="C79" s="43" t="str">
        <f>IFERROR(__xludf.DUMMYFUNCTION("""COMPUTED_VALUE"""),"approved")</f>
        <v>approved</v>
      </c>
      <c r="D79" s="43" t="str">
        <f>IFERROR(__xludf.DUMMYFUNCTION("""COMPUTED_VALUE"""),"No")</f>
        <v>No</v>
      </c>
      <c r="E79" s="43" t="str">
        <f>IFERROR(__xludf.DUMMYFUNCTION("""COMPUTED_VALUE"""),"p_e5f9d9300a13de6d0b24745ff9e9508d932be8fe@inbound.aiesec.org")</f>
        <v>p_e5f9d9300a13de6d0b24745ff9e9508d932be8fe@inbound.aiesec.org</v>
      </c>
      <c r="F79" s="43">
        <f>IFERROR(__xludf.DUMMYFUNCTION("""COMPUTED_VALUE"""),5.079948777E9)</f>
        <v>5079948777</v>
      </c>
      <c r="G79" s="43" t="str">
        <f>IFERROR(__xludf.DUMMYFUNCTION("""COMPUTED_VALUE"""),"Turkey")</f>
        <v>Turkey</v>
      </c>
      <c r="H79" s="43" t="str">
        <f>IFERROR(__xludf.DUMMYFUNCTION("""COMPUTED_VALUE"""),"ADANA")</f>
        <v>ADANA</v>
      </c>
      <c r="I79" s="43" t="str">
        <f>IFERROR(__xludf.DUMMYFUNCTION("""COMPUTED_VALUE"""),"Romania")</f>
        <v>Romania</v>
      </c>
      <c r="J79" s="43" t="str">
        <f>IFERROR(__xludf.DUMMYFUNCTION("""COMPUTED_VALUE"""),"PITESTI")</f>
        <v>PITESTI</v>
      </c>
      <c r="K79" s="44" t="str">
        <f>IFERROR(__xludf.DUMMYFUNCTION("""COMPUTED_VALUE"""),"https://expa.aiesec.org/opportunities/1289281")</f>
        <v>https://expa.aiesec.org/opportunities/1289281</v>
      </c>
      <c r="L79" s="43" t="str">
        <f>IFERROR(__xludf.DUMMYFUNCTION("""COMPUTED_VALUE"""),"GV")</f>
        <v>GV</v>
      </c>
      <c r="M79" s="43" t="str">
        <f>IFERROR(__xludf.DUMMYFUNCTION("""COMPUTED_VALUE"""),"short")</f>
        <v>short</v>
      </c>
      <c r="N79" s="45">
        <f>IFERROR(__xludf.DUMMYFUNCTION("""COMPUTED_VALUE"""),44833.0)</f>
        <v>44833</v>
      </c>
      <c r="O79" s="45">
        <f>IFERROR(__xludf.DUMMYFUNCTION("""COMPUTED_VALUE"""),45108.0)</f>
        <v>45108</v>
      </c>
      <c r="P79" s="45">
        <f>IFERROR(__xludf.DUMMYFUNCTION("""COMPUTED_VALUE"""),45156.0)</f>
        <v>45156</v>
      </c>
      <c r="Q79" s="45"/>
      <c r="R79" s="45"/>
      <c r="S79" s="43"/>
      <c r="T79" s="43"/>
      <c r="U79" s="43" t="str">
        <f>IFERROR(__xludf.DUMMYFUNCTION("""COMPUTED_VALUE"""),"Global Classroom")</f>
        <v>Global Classroom</v>
      </c>
      <c r="V79" s="43" t="str">
        <f>IFERROR(__xludf.DUMMYFUNCTION("""COMPUTED_VALUE"""),"ADANA")</f>
        <v>ADANA</v>
      </c>
      <c r="W79" s="43" t="str">
        <f>IFERROR(__xludf.DUMMYFUNCTION("""COMPUTED_VALUE"""),"2022-09-09T11:08:38Z")</f>
        <v>2022-09-09T11:08:38Z</v>
      </c>
      <c r="X79" s="43"/>
      <c r="Y79" s="43"/>
      <c r="Z79" s="43"/>
    </row>
    <row r="80" hidden="1">
      <c r="A80" s="43" t="str">
        <f>IFERROR(__xludf.DUMMYFUNCTION("""COMPUTED_VALUE"""),"5117309_1287243")</f>
        <v>5117309_1287243</v>
      </c>
      <c r="B80" s="43" t="str">
        <f>IFERROR(__xludf.DUMMYFUNCTION("""COMPUTED_VALUE"""),"Sena Dikilitas")</f>
        <v>Sena Dikilitas</v>
      </c>
      <c r="C80" s="43" t="str">
        <f>IFERROR(__xludf.DUMMYFUNCTION("""COMPUTED_VALUE"""),"approved")</f>
        <v>approved</v>
      </c>
      <c r="D80" s="43" t="str">
        <f>IFERROR(__xludf.DUMMYFUNCTION("""COMPUTED_VALUE"""),"No")</f>
        <v>No</v>
      </c>
      <c r="E80" s="43" t="str">
        <f>IFERROR(__xludf.DUMMYFUNCTION("""COMPUTED_VALUE"""),"p_b94b5c48fa9d5535d5377a2b260c213879996da3@inbound.aiesec.org")</f>
        <v>p_b94b5c48fa9d5535d5377a2b260c213879996da3@inbound.aiesec.org</v>
      </c>
      <c r="F80" s="43">
        <f>IFERROR(__xludf.DUMMYFUNCTION("""COMPUTED_VALUE"""),5.369488488E9)</f>
        <v>5369488488</v>
      </c>
      <c r="G80" s="43" t="str">
        <f>IFERROR(__xludf.DUMMYFUNCTION("""COMPUTED_VALUE"""),"Turkey")</f>
        <v>Turkey</v>
      </c>
      <c r="H80" s="43" t="str">
        <f>IFERROR(__xludf.DUMMYFUNCTION("""COMPUTED_VALUE"""),"ANKARA")</f>
        <v>ANKARA</v>
      </c>
      <c r="I80" s="43" t="str">
        <f>IFERROR(__xludf.DUMMYFUNCTION("""COMPUTED_VALUE"""),"India")</f>
        <v>India</v>
      </c>
      <c r="J80" s="43" t="str">
        <f>IFERROR(__xludf.DUMMYFUNCTION("""COMPUTED_VALUE"""),"Ahmedabad")</f>
        <v>Ahmedabad</v>
      </c>
      <c r="K80" s="44" t="str">
        <f>IFERROR(__xludf.DUMMYFUNCTION("""COMPUTED_VALUE"""),"https://expa.aiesec.org/opportunities/1287243")</f>
        <v>https://expa.aiesec.org/opportunities/1287243</v>
      </c>
      <c r="L80" s="43" t="str">
        <f>IFERROR(__xludf.DUMMYFUNCTION("""COMPUTED_VALUE"""),"GV")</f>
        <v>GV</v>
      </c>
      <c r="M80" s="43" t="str">
        <f>IFERROR(__xludf.DUMMYFUNCTION("""COMPUTED_VALUE"""),"short")</f>
        <v>short</v>
      </c>
      <c r="N80" s="45">
        <f>IFERROR(__xludf.DUMMYFUNCTION("""COMPUTED_VALUE"""),44834.0)</f>
        <v>44834</v>
      </c>
      <c r="O80" s="45">
        <f>IFERROR(__xludf.DUMMYFUNCTION("""COMPUTED_VALUE"""),44942.0)</f>
        <v>44942</v>
      </c>
      <c r="P80" s="45">
        <f>IFERROR(__xludf.DUMMYFUNCTION("""COMPUTED_VALUE"""),44986.0)</f>
        <v>44986</v>
      </c>
      <c r="Q80" s="45"/>
      <c r="R80" s="45"/>
      <c r="S80" s="43"/>
      <c r="T80" s="43"/>
      <c r="U80" s="43" t="str">
        <f>IFERROR(__xludf.DUMMYFUNCTION("""COMPUTED_VALUE"""),"Raise Your Voice")</f>
        <v>Raise Your Voice</v>
      </c>
      <c r="V80" s="43" t="str">
        <f>IFERROR(__xludf.DUMMYFUNCTION("""COMPUTED_VALUE"""),"ANKARA")</f>
        <v>ANKARA</v>
      </c>
      <c r="W80" s="43" t="str">
        <f>IFERROR(__xludf.DUMMYFUNCTION("""COMPUTED_VALUE"""),"2022-09-22T02:27:00Z")</f>
        <v>2022-09-22T02:27:00Z</v>
      </c>
      <c r="X80" s="43"/>
      <c r="Y80" s="43"/>
      <c r="Z80" s="43"/>
    </row>
    <row r="81" hidden="1">
      <c r="A81" s="43" t="str">
        <f>IFERROR(__xludf.DUMMYFUNCTION("""COMPUTED_VALUE"""),"5093655_1287243")</f>
        <v>5093655_1287243</v>
      </c>
      <c r="B81" s="43" t="str">
        <f>IFERROR(__xludf.DUMMYFUNCTION("""COMPUTED_VALUE"""),"Dilara Demirel")</f>
        <v>Dilara Demirel</v>
      </c>
      <c r="C81" s="43" t="str">
        <f>IFERROR(__xludf.DUMMYFUNCTION("""COMPUTED_VALUE"""),"approved")</f>
        <v>approved</v>
      </c>
      <c r="D81" s="43" t="str">
        <f>IFERROR(__xludf.DUMMYFUNCTION("""COMPUTED_VALUE"""),"No")</f>
        <v>No</v>
      </c>
      <c r="E81" s="43" t="str">
        <f>IFERROR(__xludf.DUMMYFUNCTION("""COMPUTED_VALUE"""),"p_23ad0058f7d6fa5a48d348ed3470e3aac75b1460@inbound.aiesec.org")</f>
        <v>p_23ad0058f7d6fa5a48d348ed3470e3aac75b1460@inbound.aiesec.org</v>
      </c>
      <c r="F81" s="43">
        <f>IFERROR(__xludf.DUMMYFUNCTION("""COMPUTED_VALUE"""),5.456727185E9)</f>
        <v>5456727185</v>
      </c>
      <c r="G81" s="43" t="str">
        <f>IFERROR(__xludf.DUMMYFUNCTION("""COMPUTED_VALUE"""),"Turkey")</f>
        <v>Turkey</v>
      </c>
      <c r="H81" s="43" t="str">
        <f>IFERROR(__xludf.DUMMYFUNCTION("""COMPUTED_VALUE"""),"ANKARA")</f>
        <v>ANKARA</v>
      </c>
      <c r="I81" s="43" t="str">
        <f>IFERROR(__xludf.DUMMYFUNCTION("""COMPUTED_VALUE"""),"India")</f>
        <v>India</v>
      </c>
      <c r="J81" s="43" t="str">
        <f>IFERROR(__xludf.DUMMYFUNCTION("""COMPUTED_VALUE"""),"Ahmedabad")</f>
        <v>Ahmedabad</v>
      </c>
      <c r="K81" s="44" t="str">
        <f>IFERROR(__xludf.DUMMYFUNCTION("""COMPUTED_VALUE"""),"https://expa.aiesec.org/opportunities/1287243")</f>
        <v>https://expa.aiesec.org/opportunities/1287243</v>
      </c>
      <c r="L81" s="43" t="str">
        <f>IFERROR(__xludf.DUMMYFUNCTION("""COMPUTED_VALUE"""),"GV")</f>
        <v>GV</v>
      </c>
      <c r="M81" s="43" t="str">
        <f>IFERROR(__xludf.DUMMYFUNCTION("""COMPUTED_VALUE"""),"short")</f>
        <v>short</v>
      </c>
      <c r="N81" s="45">
        <f>IFERROR(__xludf.DUMMYFUNCTION("""COMPUTED_VALUE"""),44834.0)</f>
        <v>44834</v>
      </c>
      <c r="O81" s="45">
        <f>IFERROR(__xludf.DUMMYFUNCTION("""COMPUTED_VALUE"""),44942.0)</f>
        <v>44942</v>
      </c>
      <c r="P81" s="45">
        <f>IFERROR(__xludf.DUMMYFUNCTION("""COMPUTED_VALUE"""),44986.0)</f>
        <v>44986</v>
      </c>
      <c r="Q81" s="45"/>
      <c r="R81" s="45"/>
      <c r="S81" s="43"/>
      <c r="T81" s="43"/>
      <c r="U81" s="43" t="str">
        <f>IFERROR(__xludf.DUMMYFUNCTION("""COMPUTED_VALUE"""),"Raise Your Voice")</f>
        <v>Raise Your Voice</v>
      </c>
      <c r="V81" s="43" t="str">
        <f>IFERROR(__xludf.DUMMYFUNCTION("""COMPUTED_VALUE"""),"ANKARA")</f>
        <v>ANKARA</v>
      </c>
      <c r="W81" s="43" t="str">
        <f>IFERROR(__xludf.DUMMYFUNCTION("""COMPUTED_VALUE"""),"2022-08-15T17:49:52Z")</f>
        <v>2022-08-15T17:49:52Z</v>
      </c>
      <c r="X81" s="43"/>
      <c r="Y81" s="43"/>
      <c r="Z81" s="43"/>
    </row>
    <row r="82" hidden="1">
      <c r="A82" s="43" t="str">
        <f>IFERROR(__xludf.DUMMYFUNCTION("""COMPUTED_VALUE"""),"5100558_1289206")</f>
        <v>5100558_1289206</v>
      </c>
      <c r="B82" s="43" t="str">
        <f>IFERROR(__xludf.DUMMYFUNCTION("""COMPUTED_VALUE"""),"Gizem Arslantaş")</f>
        <v>Gizem Arslantaş</v>
      </c>
      <c r="C82" s="43" t="str">
        <f>IFERROR(__xludf.DUMMYFUNCTION("""COMPUTED_VALUE"""),"completed")</f>
        <v>completed</v>
      </c>
      <c r="D82" s="43" t="str">
        <f>IFERROR(__xludf.DUMMYFUNCTION("""COMPUTED_VALUE"""),"No")</f>
        <v>No</v>
      </c>
      <c r="E82" s="43" t="str">
        <f>IFERROR(__xludf.DUMMYFUNCTION("""COMPUTED_VALUE"""),"p_bd00c1a7303bf80c0e0199c55ee18635c9ec561d@inbound.aiesec.org")</f>
        <v>p_bd00c1a7303bf80c0e0199c55ee18635c9ec561d@inbound.aiesec.org</v>
      </c>
      <c r="F82" s="43">
        <f>IFERROR(__xludf.DUMMYFUNCTION("""COMPUTED_VALUE"""),5.385015525E9)</f>
        <v>5385015525</v>
      </c>
      <c r="G82" s="43" t="str">
        <f>IFERROR(__xludf.DUMMYFUNCTION("""COMPUTED_VALUE"""),"Turkey")</f>
        <v>Turkey</v>
      </c>
      <c r="H82" s="43" t="str">
        <f>IFERROR(__xludf.DUMMYFUNCTION("""COMPUTED_VALUE"""),"İZMİR")</f>
        <v>İZMİR</v>
      </c>
      <c r="I82" s="43" t="str">
        <f>IFERROR(__xludf.DUMMYFUNCTION("""COMPUTED_VALUE"""),"Croatia")</f>
        <v>Croatia</v>
      </c>
      <c r="J82" s="43" t="str">
        <f>IFERROR(__xludf.DUMMYFUNCTION("""COMPUTED_VALUE"""),"ZAGREB")</f>
        <v>ZAGREB</v>
      </c>
      <c r="K82" s="44" t="str">
        <f>IFERROR(__xludf.DUMMYFUNCTION("""COMPUTED_VALUE"""),"https://expa.aiesec.org/opportunities/1289206")</f>
        <v>https://expa.aiesec.org/opportunities/1289206</v>
      </c>
      <c r="L82" s="43" t="str">
        <f>IFERROR(__xludf.DUMMYFUNCTION("""COMPUTED_VALUE"""),"GV")</f>
        <v>GV</v>
      </c>
      <c r="M82" s="43" t="str">
        <f>IFERROR(__xludf.DUMMYFUNCTION("""COMPUTED_VALUE"""),"short")</f>
        <v>short</v>
      </c>
      <c r="N82" s="45">
        <f>IFERROR(__xludf.DUMMYFUNCTION("""COMPUTED_VALUE"""),44834.0)</f>
        <v>44834</v>
      </c>
      <c r="O82" s="45">
        <f>IFERROR(__xludf.DUMMYFUNCTION("""COMPUTED_VALUE"""),44866.0)</f>
        <v>44866</v>
      </c>
      <c r="P82" s="45">
        <f>IFERROR(__xludf.DUMMYFUNCTION("""COMPUTED_VALUE"""),44908.0)</f>
        <v>44908</v>
      </c>
      <c r="Q82" s="45">
        <f>IFERROR(__xludf.DUMMYFUNCTION("""COMPUTED_VALUE"""),44876.0)</f>
        <v>44876</v>
      </c>
      <c r="R82" s="45">
        <f>IFERROR(__xludf.DUMMYFUNCTION("""COMPUTED_VALUE"""),44910.0)</f>
        <v>44910</v>
      </c>
      <c r="S82" s="43"/>
      <c r="T82" s="43"/>
      <c r="U82" s="43" t="str">
        <f>IFERROR(__xludf.DUMMYFUNCTION("""COMPUTED_VALUE"""),"Global Classroom")</f>
        <v>Global Classroom</v>
      </c>
      <c r="V82" s="43" t="str">
        <f>IFERROR(__xludf.DUMMYFUNCTION("""COMPUTED_VALUE"""),"IZMIR")</f>
        <v>IZMIR</v>
      </c>
      <c r="W82" s="43" t="str">
        <f>IFERROR(__xludf.DUMMYFUNCTION("""COMPUTED_VALUE"""),"2022-08-27T09:40:25Z")</f>
        <v>2022-08-27T09:40:25Z</v>
      </c>
      <c r="X82" s="43"/>
      <c r="Y82" s="43"/>
      <c r="Z82" s="43"/>
    </row>
    <row r="83" hidden="1">
      <c r="A83" s="43" t="str">
        <f>IFERROR(__xludf.DUMMYFUNCTION("""COMPUTED_VALUE"""),"5122118_1289564")</f>
        <v>5122118_1289564</v>
      </c>
      <c r="B83" s="43" t="str">
        <f>IFERROR(__xludf.DUMMYFUNCTION("""COMPUTED_VALUE"""),"Songül Aydın")</f>
        <v>Songül Aydın</v>
      </c>
      <c r="C83" s="43" t="str">
        <f>IFERROR(__xludf.DUMMYFUNCTION("""COMPUTED_VALUE"""),"realization_broken")</f>
        <v>realization_broken</v>
      </c>
      <c r="D83" s="43" t="str">
        <f>IFERROR(__xludf.DUMMYFUNCTION("""COMPUTED_VALUE"""),"No")</f>
        <v>No</v>
      </c>
      <c r="E83" s="43" t="str">
        <f>IFERROR(__xludf.DUMMYFUNCTION("""COMPUTED_VALUE"""),"p_8a3e161ff8a6f9a281dc6e26f73bc29aa8eaf2d7@inbound.aiesec.org")</f>
        <v>p_8a3e161ff8a6f9a281dc6e26f73bc29aa8eaf2d7@inbound.aiesec.org</v>
      </c>
      <c r="F83" s="43">
        <f>IFERROR(__xludf.DUMMYFUNCTION("""COMPUTED_VALUE"""),5.548343892E9)</f>
        <v>5548343892</v>
      </c>
      <c r="G83" s="43" t="str">
        <f>IFERROR(__xludf.DUMMYFUNCTION("""COMPUTED_VALUE"""),"Turkey")</f>
        <v>Turkey</v>
      </c>
      <c r="H83" s="43" t="str">
        <f>IFERROR(__xludf.DUMMYFUNCTION("""COMPUTED_VALUE"""),"İZMİR")</f>
        <v>İZMİR</v>
      </c>
      <c r="I83" s="43" t="str">
        <f>IFERROR(__xludf.DUMMYFUNCTION("""COMPUTED_VALUE"""),"Egypt")</f>
        <v>Egypt</v>
      </c>
      <c r="J83" s="43" t="str">
        <f>IFERROR(__xludf.DUMMYFUNCTION("""COMPUTED_VALUE"""),"Ain Shams University")</f>
        <v>Ain Shams University</v>
      </c>
      <c r="K83" s="44" t="str">
        <f>IFERROR(__xludf.DUMMYFUNCTION("""COMPUTED_VALUE"""),"https://expa.aiesec.org/opportunities/1289564")</f>
        <v>https://expa.aiesec.org/opportunities/1289564</v>
      </c>
      <c r="L83" s="43" t="str">
        <f>IFERROR(__xludf.DUMMYFUNCTION("""COMPUTED_VALUE"""),"GV")</f>
        <v>GV</v>
      </c>
      <c r="M83" s="43" t="str">
        <f>IFERROR(__xludf.DUMMYFUNCTION("""COMPUTED_VALUE"""),"short")</f>
        <v>short</v>
      </c>
      <c r="N83" s="45">
        <f>IFERROR(__xludf.DUMMYFUNCTION("""COMPUTED_VALUE"""),44840.0)</f>
        <v>44840</v>
      </c>
      <c r="O83" s="45">
        <f>IFERROR(__xludf.DUMMYFUNCTION("""COMPUTED_VALUE"""),44927.0)</f>
        <v>44927</v>
      </c>
      <c r="P83" s="45">
        <f>IFERROR(__xludf.DUMMYFUNCTION("""COMPUTED_VALUE"""),44969.0)</f>
        <v>44969</v>
      </c>
      <c r="Q83" s="45"/>
      <c r="R83" s="45"/>
      <c r="S83" s="43"/>
      <c r="T83" s="43"/>
      <c r="U83" s="43" t="str">
        <f>IFERROR(__xludf.DUMMYFUNCTION("""COMPUTED_VALUE"""),"On The Map")</f>
        <v>On The Map</v>
      </c>
      <c r="V83" s="43" t="str">
        <f>IFERROR(__xludf.DUMMYFUNCTION("""COMPUTED_VALUE"""),"IZMIR")</f>
        <v>IZMIR</v>
      </c>
      <c r="W83" s="43" t="str">
        <f>IFERROR(__xludf.DUMMYFUNCTION("""COMPUTED_VALUE"""),"2022-09-29T13:11:25Z")</f>
        <v>2022-09-29T13:11:25Z</v>
      </c>
      <c r="X83" s="43"/>
      <c r="Y83" s="43"/>
      <c r="Z83" s="43"/>
    </row>
    <row r="84" hidden="1">
      <c r="A84" s="43" t="str">
        <f>IFERROR(__xludf.DUMMYFUNCTION("""COMPUTED_VALUE"""),"5122135_1289564")</f>
        <v>5122135_1289564</v>
      </c>
      <c r="B84" s="43" t="str">
        <f>IFERROR(__xludf.DUMMYFUNCTION("""COMPUTED_VALUE"""),"emre çokyaşar")</f>
        <v>emre çokyaşar</v>
      </c>
      <c r="C84" s="43" t="str">
        <f>IFERROR(__xludf.DUMMYFUNCTION("""COMPUTED_VALUE"""),"realization_broken")</f>
        <v>realization_broken</v>
      </c>
      <c r="D84" s="43" t="str">
        <f>IFERROR(__xludf.DUMMYFUNCTION("""COMPUTED_VALUE"""),"No")</f>
        <v>No</v>
      </c>
      <c r="E84" s="43" t="str">
        <f>IFERROR(__xludf.DUMMYFUNCTION("""COMPUTED_VALUE"""),"p_47add66cb04425eb89603f53a96f24ff790a055b@inbound.aiesec.org")</f>
        <v>p_47add66cb04425eb89603f53a96f24ff790a055b@inbound.aiesec.org</v>
      </c>
      <c r="F84" s="43">
        <f>IFERROR(__xludf.DUMMYFUNCTION("""COMPUTED_VALUE"""),5.076134231E9)</f>
        <v>5076134231</v>
      </c>
      <c r="G84" s="43" t="str">
        <f>IFERROR(__xludf.DUMMYFUNCTION("""COMPUTED_VALUE"""),"Turkey")</f>
        <v>Turkey</v>
      </c>
      <c r="H84" s="43" t="str">
        <f>IFERROR(__xludf.DUMMYFUNCTION("""COMPUTED_VALUE"""),"İZMİR")</f>
        <v>İZMİR</v>
      </c>
      <c r="I84" s="43" t="str">
        <f>IFERROR(__xludf.DUMMYFUNCTION("""COMPUTED_VALUE"""),"Egypt")</f>
        <v>Egypt</v>
      </c>
      <c r="J84" s="43" t="str">
        <f>IFERROR(__xludf.DUMMYFUNCTION("""COMPUTED_VALUE"""),"Ain Shams University")</f>
        <v>Ain Shams University</v>
      </c>
      <c r="K84" s="44" t="str">
        <f>IFERROR(__xludf.DUMMYFUNCTION("""COMPUTED_VALUE"""),"https://expa.aiesec.org/opportunities/1289564")</f>
        <v>https://expa.aiesec.org/opportunities/1289564</v>
      </c>
      <c r="L84" s="43" t="str">
        <f>IFERROR(__xludf.DUMMYFUNCTION("""COMPUTED_VALUE"""),"GV")</f>
        <v>GV</v>
      </c>
      <c r="M84" s="43" t="str">
        <f>IFERROR(__xludf.DUMMYFUNCTION("""COMPUTED_VALUE"""),"short")</f>
        <v>short</v>
      </c>
      <c r="N84" s="45">
        <f>IFERROR(__xludf.DUMMYFUNCTION("""COMPUTED_VALUE"""),44840.0)</f>
        <v>44840</v>
      </c>
      <c r="O84" s="45">
        <f>IFERROR(__xludf.DUMMYFUNCTION("""COMPUTED_VALUE"""),44927.0)</f>
        <v>44927</v>
      </c>
      <c r="P84" s="45">
        <f>IFERROR(__xludf.DUMMYFUNCTION("""COMPUTED_VALUE"""),44969.0)</f>
        <v>44969</v>
      </c>
      <c r="Q84" s="45"/>
      <c r="R84" s="45"/>
      <c r="S84" s="43"/>
      <c r="T84" s="43"/>
      <c r="U84" s="43" t="str">
        <f>IFERROR(__xludf.DUMMYFUNCTION("""COMPUTED_VALUE"""),"On The Map")</f>
        <v>On The Map</v>
      </c>
      <c r="V84" s="43" t="str">
        <f>IFERROR(__xludf.DUMMYFUNCTION("""COMPUTED_VALUE"""),"MANISA")</f>
        <v>MANISA</v>
      </c>
      <c r="W84" s="43" t="str">
        <f>IFERROR(__xludf.DUMMYFUNCTION("""COMPUTED_VALUE"""),"2022-09-29T13:43:08Z")</f>
        <v>2022-09-29T13:43:08Z</v>
      </c>
      <c r="X84" s="43"/>
      <c r="Y84" s="43"/>
      <c r="Z84" s="43"/>
    </row>
    <row r="85" hidden="1">
      <c r="A85" s="43" t="str">
        <f>IFERROR(__xludf.DUMMYFUNCTION("""COMPUTED_VALUE"""),"5127063_1288419")</f>
        <v>5127063_1288419</v>
      </c>
      <c r="B85" s="43" t="str">
        <f>IFERROR(__xludf.DUMMYFUNCTION("""COMPUTED_VALUE"""),"gizem yalçın")</f>
        <v>gizem yalçın</v>
      </c>
      <c r="C85" s="43" t="str">
        <f>IFERROR(__xludf.DUMMYFUNCTION("""COMPUTED_VALUE"""),"approved")</f>
        <v>approved</v>
      </c>
      <c r="D85" s="43" t="str">
        <f>IFERROR(__xludf.DUMMYFUNCTION("""COMPUTED_VALUE"""),"No")</f>
        <v>No</v>
      </c>
      <c r="E85" s="43" t="str">
        <f>IFERROR(__xludf.DUMMYFUNCTION("""COMPUTED_VALUE"""),"p_d6fcb22a1fdd5f0bdd565ce5d7f0d258f33b6d16@inbound.aiesec.org")</f>
        <v>p_d6fcb22a1fdd5f0bdd565ce5d7f0d258f33b6d16@inbound.aiesec.org</v>
      </c>
      <c r="F85" s="43">
        <f>IFERROR(__xludf.DUMMYFUNCTION("""COMPUTED_VALUE"""),5.456020827E9)</f>
        <v>5456020827</v>
      </c>
      <c r="G85" s="43" t="str">
        <f>IFERROR(__xludf.DUMMYFUNCTION("""COMPUTED_VALUE"""),"Turkey")</f>
        <v>Turkey</v>
      </c>
      <c r="H85" s="43" t="str">
        <f>IFERROR(__xludf.DUMMYFUNCTION("""COMPUTED_VALUE"""),"KOCAELI")</f>
        <v>KOCAELI</v>
      </c>
      <c r="I85" s="43" t="str">
        <f>IFERROR(__xludf.DUMMYFUNCTION("""COMPUTED_VALUE"""),"India")</f>
        <v>India</v>
      </c>
      <c r="J85" s="43" t="str">
        <f>IFERROR(__xludf.DUMMYFUNCTION("""COMPUTED_VALUE"""),"JAIPUR ")</f>
        <v>JAIPUR </v>
      </c>
      <c r="K85" s="44" t="str">
        <f>IFERROR(__xludf.DUMMYFUNCTION("""COMPUTED_VALUE"""),"https://expa.aiesec.org/opportunities/1288419")</f>
        <v>https://expa.aiesec.org/opportunities/1288419</v>
      </c>
      <c r="L85" s="43" t="str">
        <f>IFERROR(__xludf.DUMMYFUNCTION("""COMPUTED_VALUE"""),"GV")</f>
        <v>GV</v>
      </c>
      <c r="M85" s="43" t="str">
        <f>IFERROR(__xludf.DUMMYFUNCTION("""COMPUTED_VALUE"""),"short")</f>
        <v>short</v>
      </c>
      <c r="N85" s="45">
        <f>IFERROR(__xludf.DUMMYFUNCTION("""COMPUTED_VALUE"""),44841.0)</f>
        <v>44841</v>
      </c>
      <c r="O85" s="45">
        <f>IFERROR(__xludf.DUMMYFUNCTION("""COMPUTED_VALUE"""),45108.0)</f>
        <v>45108</v>
      </c>
      <c r="P85" s="45">
        <f>IFERROR(__xludf.DUMMYFUNCTION("""COMPUTED_VALUE"""),45150.0)</f>
        <v>45150</v>
      </c>
      <c r="Q85" s="45"/>
      <c r="R85" s="45"/>
      <c r="S85" s="43"/>
      <c r="T85" s="43"/>
      <c r="U85" s="43" t="str">
        <f>IFERROR(__xludf.DUMMYFUNCTION("""COMPUTED_VALUE"""),"On The Map")</f>
        <v>On The Map</v>
      </c>
      <c r="V85" s="43" t="str">
        <f>IFERROR(__xludf.DUMMYFUNCTION("""COMPUTED_VALUE"""),"BURSA")</f>
        <v>BURSA</v>
      </c>
      <c r="W85" s="43" t="str">
        <f>IFERROR(__xludf.DUMMYFUNCTION("""COMPUTED_VALUE"""),"2022-10-07T11:21:47Z")</f>
        <v>2022-10-07T11:21:47Z</v>
      </c>
      <c r="X85" s="43"/>
      <c r="Y85" s="43"/>
      <c r="Z85" s="43"/>
    </row>
    <row r="86" hidden="1">
      <c r="A86" s="43" t="str">
        <f>IFERROR(__xludf.DUMMYFUNCTION("""COMPUTED_VALUE"""),"5125678_1288770")</f>
        <v>5125678_1288770</v>
      </c>
      <c r="B86" s="43" t="str">
        <f>IFERROR(__xludf.DUMMYFUNCTION("""COMPUTED_VALUE"""),"Ömer Penes")</f>
        <v>Ömer Penes</v>
      </c>
      <c r="C86" s="43" t="str">
        <f>IFERROR(__xludf.DUMMYFUNCTION("""COMPUTED_VALUE"""),"completed")</f>
        <v>completed</v>
      </c>
      <c r="D86" s="43" t="str">
        <f>IFERROR(__xludf.DUMMYFUNCTION("""COMPUTED_VALUE"""),"No")</f>
        <v>No</v>
      </c>
      <c r="E86" s="43" t="str">
        <f>IFERROR(__xludf.DUMMYFUNCTION("""COMPUTED_VALUE"""),"p_b30306729722d1c61deaf568c7e7bf9a2c23733d@inbound.aiesec.org")</f>
        <v>p_b30306729722d1c61deaf568c7e7bf9a2c23733d@inbound.aiesec.org</v>
      </c>
      <c r="F86" s="43">
        <f>IFERROR(__xludf.DUMMYFUNCTION("""COMPUTED_VALUE"""),5.378761034E9)</f>
        <v>5378761034</v>
      </c>
      <c r="G86" s="43" t="str">
        <f>IFERROR(__xludf.DUMMYFUNCTION("""COMPUTED_VALUE"""),"Turkey")</f>
        <v>Turkey</v>
      </c>
      <c r="H86" s="43" t="str">
        <f>IFERROR(__xludf.DUMMYFUNCTION("""COMPUTED_VALUE"""),"KOCAELI")</f>
        <v>KOCAELI</v>
      </c>
      <c r="I86" s="43" t="str">
        <f>IFERROR(__xludf.DUMMYFUNCTION("""COMPUTED_VALUE"""),"Portugal")</f>
        <v>Portugal</v>
      </c>
      <c r="J86" s="43" t="str">
        <f>IFERROR(__xludf.DUMMYFUNCTION("""COMPUTED_VALUE"""),"UMINHO")</f>
        <v>UMINHO</v>
      </c>
      <c r="K86" s="44" t="str">
        <f>IFERROR(__xludf.DUMMYFUNCTION("""COMPUTED_VALUE"""),"https://expa.aiesec.org/opportunities/1288770")</f>
        <v>https://expa.aiesec.org/opportunities/1288770</v>
      </c>
      <c r="L86" s="43" t="str">
        <f>IFERROR(__xludf.DUMMYFUNCTION("""COMPUTED_VALUE"""),"GV")</f>
        <v>GV</v>
      </c>
      <c r="M86" s="43" t="str">
        <f>IFERROR(__xludf.DUMMYFUNCTION("""COMPUTED_VALUE"""),"short")</f>
        <v>short</v>
      </c>
      <c r="N86" s="45">
        <f>IFERROR(__xludf.DUMMYFUNCTION("""COMPUTED_VALUE"""),44841.0)</f>
        <v>44841</v>
      </c>
      <c r="O86" s="45">
        <f>IFERROR(__xludf.DUMMYFUNCTION("""COMPUTED_VALUE"""),44935.0)</f>
        <v>44935</v>
      </c>
      <c r="P86" s="45">
        <f>IFERROR(__xludf.DUMMYFUNCTION("""COMPUTED_VALUE"""),44977.0)</f>
        <v>44977</v>
      </c>
      <c r="Q86" s="45">
        <f>IFERROR(__xludf.DUMMYFUNCTION("""COMPUTED_VALUE"""),44937.0)</f>
        <v>44937</v>
      </c>
      <c r="R86" s="45">
        <f>IFERROR(__xludf.DUMMYFUNCTION("""COMPUTED_VALUE"""),44977.0)</f>
        <v>44977</v>
      </c>
      <c r="S86" s="43"/>
      <c r="T86" s="43"/>
      <c r="U86" s="43" t="str">
        <f>IFERROR(__xludf.DUMMYFUNCTION("""COMPUTED_VALUE"""),"Equify")</f>
        <v>Equify</v>
      </c>
      <c r="V86" s="43" t="str">
        <f>IFERROR(__xludf.DUMMYFUNCTION("""COMPUTED_VALUE"""),"KOCAELI")</f>
        <v>KOCAELI</v>
      </c>
      <c r="W86" s="43" t="str">
        <f>IFERROR(__xludf.DUMMYFUNCTION("""COMPUTED_VALUE"""),"2022-10-05T13:15:49Z")</f>
        <v>2022-10-05T13:15:49Z</v>
      </c>
      <c r="X86" s="43"/>
      <c r="Y86" s="43"/>
      <c r="Z86" s="43"/>
    </row>
    <row r="87" hidden="1">
      <c r="A87" s="43" t="str">
        <f>IFERROR(__xludf.DUMMYFUNCTION("""COMPUTED_VALUE"""),"5122342_1289711")</f>
        <v>5122342_1289711</v>
      </c>
      <c r="B87" s="43" t="str">
        <f>IFERROR(__xludf.DUMMYFUNCTION("""COMPUTED_VALUE"""),"Gülnur Yılmaz")</f>
        <v>Gülnur Yılmaz</v>
      </c>
      <c r="C87" s="43" t="str">
        <f>IFERROR(__xludf.DUMMYFUNCTION("""COMPUTED_VALUE"""),"completed")</f>
        <v>completed</v>
      </c>
      <c r="D87" s="43" t="str">
        <f>IFERROR(__xludf.DUMMYFUNCTION("""COMPUTED_VALUE"""),"No")</f>
        <v>No</v>
      </c>
      <c r="E87" s="43" t="str">
        <f>IFERROR(__xludf.DUMMYFUNCTION("""COMPUTED_VALUE"""),"p_54e01eb0c9857350529bf925ab5bae8101ccc9c1@inbound.aiesec.org")</f>
        <v>p_54e01eb0c9857350529bf925ab5bae8101ccc9c1@inbound.aiesec.org</v>
      </c>
      <c r="F87" s="43">
        <f>IFERROR(__xludf.DUMMYFUNCTION("""COMPUTED_VALUE"""),5.437953091E9)</f>
        <v>5437953091</v>
      </c>
      <c r="G87" s="43" t="str">
        <f>IFERROR(__xludf.DUMMYFUNCTION("""COMPUTED_VALUE"""),"Turkey")</f>
        <v>Turkey</v>
      </c>
      <c r="H87" s="43" t="str">
        <f>IFERROR(__xludf.DUMMYFUNCTION("""COMPUTED_VALUE"""),"ISTANBUL ASIA")</f>
        <v>ISTANBUL ASIA</v>
      </c>
      <c r="I87" s="43" t="str">
        <f>IFERROR(__xludf.DUMMYFUNCTION("""COMPUTED_VALUE"""),"Romania")</f>
        <v>Romania</v>
      </c>
      <c r="J87" s="43" t="str">
        <f>IFERROR(__xludf.DUMMYFUNCTION("""COMPUTED_VALUE"""),"BUCURESTI")</f>
        <v>BUCURESTI</v>
      </c>
      <c r="K87" s="44" t="str">
        <f>IFERROR(__xludf.DUMMYFUNCTION("""COMPUTED_VALUE"""),"https://expa.aiesec.org/opportunities/1289711")</f>
        <v>https://expa.aiesec.org/opportunities/1289711</v>
      </c>
      <c r="L87" s="43" t="str">
        <f>IFERROR(__xludf.DUMMYFUNCTION("""COMPUTED_VALUE"""),"GV")</f>
        <v>GV</v>
      </c>
      <c r="M87" s="43" t="str">
        <f>IFERROR(__xludf.DUMMYFUNCTION("""COMPUTED_VALUE"""),"short")</f>
        <v>short</v>
      </c>
      <c r="N87" s="45">
        <f>IFERROR(__xludf.DUMMYFUNCTION("""COMPUTED_VALUE"""),44841.0)</f>
        <v>44841</v>
      </c>
      <c r="O87" s="45">
        <f>IFERROR(__xludf.DUMMYFUNCTION("""COMPUTED_VALUE"""),45096.0)</f>
        <v>45096</v>
      </c>
      <c r="P87" s="45">
        <f>IFERROR(__xludf.DUMMYFUNCTION("""COMPUTED_VALUE"""),45138.0)</f>
        <v>45138</v>
      </c>
      <c r="Q87" s="45">
        <f>IFERROR(__xludf.DUMMYFUNCTION("""COMPUTED_VALUE"""),45096.0)</f>
        <v>45096</v>
      </c>
      <c r="R87" s="45">
        <f>IFERROR(__xludf.DUMMYFUNCTION("""COMPUTED_VALUE"""),45138.0)</f>
        <v>45138</v>
      </c>
      <c r="S87" s="43"/>
      <c r="T87" s="43"/>
      <c r="U87" s="43" t="str">
        <f>IFERROR(__xludf.DUMMYFUNCTION("""COMPUTED_VALUE"""),"Fingerprint")</f>
        <v>Fingerprint</v>
      </c>
      <c r="V87" s="43" t="str">
        <f>IFERROR(__xludf.DUMMYFUNCTION("""COMPUTED_VALUE"""),"ISTANBUL ASIA")</f>
        <v>ISTANBUL ASIA</v>
      </c>
      <c r="W87" s="43" t="str">
        <f>IFERROR(__xludf.DUMMYFUNCTION("""COMPUTED_VALUE"""),"2022-09-29T17:10:40Z")</f>
        <v>2022-09-29T17:10:40Z</v>
      </c>
      <c r="X87" s="43"/>
      <c r="Y87" s="43"/>
      <c r="Z87" s="43"/>
    </row>
    <row r="88" hidden="1">
      <c r="A88" s="43" t="str">
        <f>IFERROR(__xludf.DUMMYFUNCTION("""COMPUTED_VALUE"""),"5127253_1288411")</f>
        <v>5127253_1288411</v>
      </c>
      <c r="B88" s="43" t="str">
        <f>IFERROR(__xludf.DUMMYFUNCTION("""COMPUTED_VALUE"""),"Faruk Yapıcı")</f>
        <v>Faruk Yapıcı</v>
      </c>
      <c r="C88" s="43" t="str">
        <f>IFERROR(__xludf.DUMMYFUNCTION("""COMPUTED_VALUE"""),"completed")</f>
        <v>completed</v>
      </c>
      <c r="D88" s="43" t="str">
        <f>IFERROR(__xludf.DUMMYFUNCTION("""COMPUTED_VALUE"""),"No")</f>
        <v>No</v>
      </c>
      <c r="E88" s="43" t="str">
        <f>IFERROR(__xludf.DUMMYFUNCTION("""COMPUTED_VALUE"""),"p_a5791ac6373135b7628462efcce735f729d27f85@inbound.aiesec.org")</f>
        <v>p_a5791ac6373135b7628462efcce735f729d27f85@inbound.aiesec.org</v>
      </c>
      <c r="F88" s="43">
        <f>IFERROR(__xludf.DUMMYFUNCTION("""COMPUTED_VALUE"""),5.362913458E9)</f>
        <v>5362913458</v>
      </c>
      <c r="G88" s="43" t="str">
        <f>IFERROR(__xludf.DUMMYFUNCTION("""COMPUTED_VALUE"""),"Turkey")</f>
        <v>Turkey</v>
      </c>
      <c r="H88" s="43" t="str">
        <f>IFERROR(__xludf.DUMMYFUNCTION("""COMPUTED_VALUE"""),"KOCAELI")</f>
        <v>KOCAELI</v>
      </c>
      <c r="I88" s="43" t="str">
        <f>IFERROR(__xludf.DUMMYFUNCTION("""COMPUTED_VALUE"""),"India")</f>
        <v>India</v>
      </c>
      <c r="J88" s="43" t="str">
        <f>IFERROR(__xludf.DUMMYFUNCTION("""COMPUTED_VALUE"""),"JAIPUR ")</f>
        <v>JAIPUR </v>
      </c>
      <c r="K88" s="44" t="str">
        <f>IFERROR(__xludf.DUMMYFUNCTION("""COMPUTED_VALUE"""),"https://expa.aiesec.org/opportunities/1288411")</f>
        <v>https://expa.aiesec.org/opportunities/1288411</v>
      </c>
      <c r="L88" s="43" t="str">
        <f>IFERROR(__xludf.DUMMYFUNCTION("""COMPUTED_VALUE"""),"GV")</f>
        <v>GV</v>
      </c>
      <c r="M88" s="43" t="str">
        <f>IFERROR(__xludf.DUMMYFUNCTION("""COMPUTED_VALUE"""),"short")</f>
        <v>short</v>
      </c>
      <c r="N88" s="45">
        <f>IFERROR(__xludf.DUMMYFUNCTION("""COMPUTED_VALUE"""),44842.0)</f>
        <v>44842</v>
      </c>
      <c r="O88" s="45">
        <f>IFERROR(__xludf.DUMMYFUNCTION("""COMPUTED_VALUE"""),44960.0)</f>
        <v>44960</v>
      </c>
      <c r="P88" s="45">
        <f>IFERROR(__xludf.DUMMYFUNCTION("""COMPUTED_VALUE"""),45002.0)</f>
        <v>45002</v>
      </c>
      <c r="Q88" s="45">
        <f>IFERROR(__xludf.DUMMYFUNCTION("""COMPUTED_VALUE"""),44960.0)</f>
        <v>44960</v>
      </c>
      <c r="R88" s="45">
        <f>IFERROR(__xludf.DUMMYFUNCTION("""COMPUTED_VALUE"""),45002.0)</f>
        <v>45002</v>
      </c>
      <c r="S88" s="43"/>
      <c r="T88" s="43"/>
      <c r="U88" s="43" t="str">
        <f>IFERROR(__xludf.DUMMYFUNCTION("""COMPUTED_VALUE"""),"Skill Up!")</f>
        <v>Skill Up!</v>
      </c>
      <c r="V88" s="43" t="str">
        <f>IFERROR(__xludf.DUMMYFUNCTION("""COMPUTED_VALUE"""),"KOCAELI")</f>
        <v>KOCAELI</v>
      </c>
      <c r="W88" s="43" t="str">
        <f>IFERROR(__xludf.DUMMYFUNCTION("""COMPUTED_VALUE"""),"2022-10-07T16:32:53Z")</f>
        <v>2022-10-07T16:32:53Z</v>
      </c>
      <c r="X88" s="43"/>
      <c r="Y88" s="43"/>
      <c r="Z88" s="43"/>
    </row>
    <row r="89" hidden="1">
      <c r="A89" s="43" t="str">
        <f>IFERROR(__xludf.DUMMYFUNCTION("""COMPUTED_VALUE"""),"5123483_1289950")</f>
        <v>5123483_1289950</v>
      </c>
      <c r="B89" s="43" t="str">
        <f>IFERROR(__xludf.DUMMYFUNCTION("""COMPUTED_VALUE"""),"Zehra Betül Gülsever")</f>
        <v>Zehra Betül Gülsever</v>
      </c>
      <c r="C89" s="43" t="str">
        <f>IFERROR(__xludf.DUMMYFUNCTION("""COMPUTED_VALUE"""),"completed")</f>
        <v>completed</v>
      </c>
      <c r="D89" s="43" t="str">
        <f>IFERROR(__xludf.DUMMYFUNCTION("""COMPUTED_VALUE"""),"No")</f>
        <v>No</v>
      </c>
      <c r="E89" s="43" t="str">
        <f>IFERROR(__xludf.DUMMYFUNCTION("""COMPUTED_VALUE"""),"p_8fb6203dfa2e321161fb664ec8b68c8aed72006a@inbound.aiesec.org")</f>
        <v>p_8fb6203dfa2e321161fb664ec8b68c8aed72006a@inbound.aiesec.org</v>
      </c>
      <c r="F89" s="43">
        <f>IFERROR(__xludf.DUMMYFUNCTION("""COMPUTED_VALUE"""),5.419042863E9)</f>
        <v>5419042863</v>
      </c>
      <c r="G89" s="43" t="str">
        <f>IFERROR(__xludf.DUMMYFUNCTION("""COMPUTED_VALUE"""),"Turkey")</f>
        <v>Turkey</v>
      </c>
      <c r="H89" s="43" t="str">
        <f>IFERROR(__xludf.DUMMYFUNCTION("""COMPUTED_VALUE"""),"KOCAELI")</f>
        <v>KOCAELI</v>
      </c>
      <c r="I89" s="43" t="str">
        <f>IFERROR(__xludf.DUMMYFUNCTION("""COMPUTED_VALUE"""),"Romania")</f>
        <v>Romania</v>
      </c>
      <c r="J89" s="43" t="str">
        <f>IFERROR(__xludf.DUMMYFUNCTION("""COMPUTED_VALUE"""),"Cluj-Napoca")</f>
        <v>Cluj-Napoca</v>
      </c>
      <c r="K89" s="44" t="str">
        <f>IFERROR(__xludf.DUMMYFUNCTION("""COMPUTED_VALUE"""),"https://expa.aiesec.org/opportunities/1289950")</f>
        <v>https://expa.aiesec.org/opportunities/1289950</v>
      </c>
      <c r="L89" s="43" t="str">
        <f>IFERROR(__xludf.DUMMYFUNCTION("""COMPUTED_VALUE"""),"GV")</f>
        <v>GV</v>
      </c>
      <c r="M89" s="43" t="str">
        <f>IFERROR(__xludf.DUMMYFUNCTION("""COMPUTED_VALUE"""),"short")</f>
        <v>short</v>
      </c>
      <c r="N89" s="45">
        <f>IFERROR(__xludf.DUMMYFUNCTION("""COMPUTED_VALUE"""),44842.0)</f>
        <v>44842</v>
      </c>
      <c r="O89" s="45">
        <f>IFERROR(__xludf.DUMMYFUNCTION("""COMPUTED_VALUE"""),44949.0)</f>
        <v>44949</v>
      </c>
      <c r="P89" s="45">
        <f>IFERROR(__xludf.DUMMYFUNCTION("""COMPUTED_VALUE"""),44991.0)</f>
        <v>44991</v>
      </c>
      <c r="Q89" s="45">
        <f>IFERROR(__xludf.DUMMYFUNCTION("""COMPUTED_VALUE"""),44954.0)</f>
        <v>44954</v>
      </c>
      <c r="R89" s="45">
        <f>IFERROR(__xludf.DUMMYFUNCTION("""COMPUTED_VALUE"""),44994.0)</f>
        <v>44994</v>
      </c>
      <c r="S89" s="43"/>
      <c r="T89" s="43"/>
      <c r="U89" s="43" t="str">
        <f>IFERROR(__xludf.DUMMYFUNCTION("""COMPUTED_VALUE"""),"Equify")</f>
        <v>Equify</v>
      </c>
      <c r="V89" s="43" t="str">
        <f>IFERROR(__xludf.DUMMYFUNCTION("""COMPUTED_VALUE"""),"KOCAELI")</f>
        <v>KOCAELI</v>
      </c>
      <c r="W89" s="43" t="str">
        <f>IFERROR(__xludf.DUMMYFUNCTION("""COMPUTED_VALUE"""),"2022-10-01T16:10:58Z")</f>
        <v>2022-10-01T16:10:58Z</v>
      </c>
      <c r="X89" s="43"/>
      <c r="Y89" s="43"/>
      <c r="Z89" s="43"/>
    </row>
    <row r="90" hidden="1">
      <c r="A90" s="43" t="str">
        <f>IFERROR(__xludf.DUMMYFUNCTION("""COMPUTED_VALUE"""),"5121172_1289487")</f>
        <v>5121172_1289487</v>
      </c>
      <c r="B90" s="43" t="str">
        <f>IFERROR(__xludf.DUMMYFUNCTION("""COMPUTED_VALUE"""),"Meryem Lüleci")</f>
        <v>Meryem Lüleci</v>
      </c>
      <c r="C90" s="43" t="str">
        <f>IFERROR(__xludf.DUMMYFUNCTION("""COMPUTED_VALUE"""),"completed")</f>
        <v>completed</v>
      </c>
      <c r="D90" s="43" t="str">
        <f>IFERROR(__xludf.DUMMYFUNCTION("""COMPUTED_VALUE"""),"No")</f>
        <v>No</v>
      </c>
      <c r="E90" s="43" t="str">
        <f>IFERROR(__xludf.DUMMYFUNCTION("""COMPUTED_VALUE"""),"p_093f11d9460ab7857298282caf6762e554232041@inbound.aiesec.org")</f>
        <v>p_093f11d9460ab7857298282caf6762e554232041@inbound.aiesec.org</v>
      </c>
      <c r="F90" s="43">
        <f>IFERROR(__xludf.DUMMYFUNCTION("""COMPUTED_VALUE"""),5.324017722E9)</f>
        <v>5324017722</v>
      </c>
      <c r="G90" s="43" t="str">
        <f>IFERROR(__xludf.DUMMYFUNCTION("""COMPUTED_VALUE"""),"Turkey")</f>
        <v>Turkey</v>
      </c>
      <c r="H90" s="43" t="str">
        <f>IFERROR(__xludf.DUMMYFUNCTION("""COMPUTED_VALUE"""),"ISTANBUL")</f>
        <v>ISTANBUL</v>
      </c>
      <c r="I90" s="43" t="str">
        <f>IFERROR(__xludf.DUMMYFUNCTION("""COMPUTED_VALUE"""),"Egypt")</f>
        <v>Egypt</v>
      </c>
      <c r="J90" s="43" t="str">
        <f>IFERROR(__xludf.DUMMYFUNCTION("""COMPUTED_VALUE"""),"GUC")</f>
        <v>GUC</v>
      </c>
      <c r="K90" s="44" t="str">
        <f>IFERROR(__xludf.DUMMYFUNCTION("""COMPUTED_VALUE"""),"https://expa.aiesec.org/opportunities/1289487")</f>
        <v>https://expa.aiesec.org/opportunities/1289487</v>
      </c>
      <c r="L90" s="43" t="str">
        <f>IFERROR(__xludf.DUMMYFUNCTION("""COMPUTED_VALUE"""),"GV")</f>
        <v>GV</v>
      </c>
      <c r="M90" s="43" t="str">
        <f>IFERROR(__xludf.DUMMYFUNCTION("""COMPUTED_VALUE"""),"short")</f>
        <v>short</v>
      </c>
      <c r="N90" s="45">
        <f>IFERROR(__xludf.DUMMYFUNCTION("""COMPUTED_VALUE"""),44845.0)</f>
        <v>44845</v>
      </c>
      <c r="O90" s="45">
        <f>IFERROR(__xludf.DUMMYFUNCTION("""COMPUTED_VALUE"""),44938.0)</f>
        <v>44938</v>
      </c>
      <c r="P90" s="45">
        <f>IFERROR(__xludf.DUMMYFUNCTION("""COMPUTED_VALUE"""),44980.0)</f>
        <v>44980</v>
      </c>
      <c r="Q90" s="45">
        <f>IFERROR(__xludf.DUMMYFUNCTION("""COMPUTED_VALUE"""),44942.0)</f>
        <v>44942</v>
      </c>
      <c r="R90" s="45">
        <f>IFERROR(__xludf.DUMMYFUNCTION("""COMPUTED_VALUE"""),44983.0)</f>
        <v>44983</v>
      </c>
      <c r="S90" s="43"/>
      <c r="T90" s="43"/>
      <c r="U90" s="43" t="str">
        <f>IFERROR(__xludf.DUMMYFUNCTION("""COMPUTED_VALUE"""),"On The Map")</f>
        <v>On The Map</v>
      </c>
      <c r="V90" s="43" t="str">
        <f>IFERROR(__xludf.DUMMYFUNCTION("""COMPUTED_VALUE"""),"ISTANBUL - BEYOGLU")</f>
        <v>ISTANBUL - BEYOGLU</v>
      </c>
      <c r="W90" s="43" t="str">
        <f>IFERROR(__xludf.DUMMYFUNCTION("""COMPUTED_VALUE"""),"2022-09-28T10:43:13Z")</f>
        <v>2022-09-28T10:43:13Z</v>
      </c>
      <c r="X90" s="43"/>
      <c r="Y90" s="43"/>
      <c r="Z90" s="43"/>
    </row>
    <row r="91" hidden="1">
      <c r="A91" s="43" t="str">
        <f>IFERROR(__xludf.DUMMYFUNCTION("""COMPUTED_VALUE"""),"4234180_1287459")</f>
        <v>4234180_1287459</v>
      </c>
      <c r="B91" s="43" t="str">
        <f>IFERROR(__xludf.DUMMYFUNCTION("""COMPUTED_VALUE"""),"Betül Kafnur")</f>
        <v>Betül Kafnur</v>
      </c>
      <c r="C91" s="43" t="str">
        <f>IFERROR(__xludf.DUMMYFUNCTION("""COMPUTED_VALUE"""),"completed")</f>
        <v>completed</v>
      </c>
      <c r="D91" s="43" t="str">
        <f>IFERROR(__xludf.DUMMYFUNCTION("""COMPUTED_VALUE"""),"No")</f>
        <v>No</v>
      </c>
      <c r="E91" s="43" t="str">
        <f>IFERROR(__xludf.DUMMYFUNCTION("""COMPUTED_VALUE"""),"p_40a2e10b5f7821f5603a21526605a6244f97103d@inbound.aiesec.org")</f>
        <v>p_40a2e10b5f7821f5603a21526605a6244f97103d@inbound.aiesec.org</v>
      </c>
      <c r="F91" s="43">
        <f>IFERROR(__xludf.DUMMYFUNCTION("""COMPUTED_VALUE"""),5.445834357E9)</f>
        <v>5445834357</v>
      </c>
      <c r="G91" s="43" t="str">
        <f>IFERROR(__xludf.DUMMYFUNCTION("""COMPUTED_VALUE"""),"Turkey")</f>
        <v>Turkey</v>
      </c>
      <c r="H91" s="43" t="str">
        <f>IFERROR(__xludf.DUMMYFUNCTION("""COMPUTED_VALUE"""),"KOCAELI")</f>
        <v>KOCAELI</v>
      </c>
      <c r="I91" s="43" t="str">
        <f>IFERROR(__xludf.DUMMYFUNCTION("""COMPUTED_VALUE"""),"Sri Lanka")</f>
        <v>Sri Lanka</v>
      </c>
      <c r="J91" s="43" t="str">
        <f>IFERROR(__xludf.DUMMYFUNCTION("""COMPUTED_VALUE"""),"SLIIT")</f>
        <v>SLIIT</v>
      </c>
      <c r="K91" s="44" t="str">
        <f>IFERROR(__xludf.DUMMYFUNCTION("""COMPUTED_VALUE"""),"https://expa.aiesec.org/opportunities/1287459")</f>
        <v>https://expa.aiesec.org/opportunities/1287459</v>
      </c>
      <c r="L91" s="43" t="str">
        <f>IFERROR(__xludf.DUMMYFUNCTION("""COMPUTED_VALUE"""),"GV")</f>
        <v>GV</v>
      </c>
      <c r="M91" s="43" t="str">
        <f>IFERROR(__xludf.DUMMYFUNCTION("""COMPUTED_VALUE"""),"short")</f>
        <v>short</v>
      </c>
      <c r="N91" s="45">
        <f>IFERROR(__xludf.DUMMYFUNCTION("""COMPUTED_VALUE"""),44846.0)</f>
        <v>44846</v>
      </c>
      <c r="O91" s="45">
        <f>IFERROR(__xludf.DUMMYFUNCTION("""COMPUTED_VALUE"""),44866.0)</f>
        <v>44866</v>
      </c>
      <c r="P91" s="45">
        <f>IFERROR(__xludf.DUMMYFUNCTION("""COMPUTED_VALUE"""),44908.0)</f>
        <v>44908</v>
      </c>
      <c r="Q91" s="45">
        <f>IFERROR(__xludf.DUMMYFUNCTION("""COMPUTED_VALUE"""),44866.0)</f>
        <v>44866</v>
      </c>
      <c r="R91" s="45">
        <f>IFERROR(__xludf.DUMMYFUNCTION("""COMPUTED_VALUE"""),44908.0)</f>
        <v>44908</v>
      </c>
      <c r="S91" s="43"/>
      <c r="T91" s="43"/>
      <c r="U91" s="43" t="str">
        <f>IFERROR(__xludf.DUMMYFUNCTION("""COMPUTED_VALUE"""),"Aquatica")</f>
        <v>Aquatica</v>
      </c>
      <c r="V91" s="43" t="str">
        <f>IFERROR(__xludf.DUMMYFUNCTION("""COMPUTED_VALUE"""),"KOCAELI")</f>
        <v>KOCAELI</v>
      </c>
      <c r="W91" s="43" t="str">
        <f>IFERROR(__xludf.DUMMYFUNCTION("""COMPUTED_VALUE"""),"2020-03-04T16:20:12Z")</f>
        <v>2020-03-04T16:20:12Z</v>
      </c>
      <c r="X91" s="43"/>
      <c r="Y91" s="43"/>
      <c r="Z91" s="43"/>
    </row>
    <row r="92" hidden="1">
      <c r="A92" s="43" t="str">
        <f>IFERROR(__xludf.DUMMYFUNCTION("""COMPUTED_VALUE"""),"5127563_1290026")</f>
        <v>5127563_1290026</v>
      </c>
      <c r="B92" s="43" t="str">
        <f>IFERROR(__xludf.DUMMYFUNCTION("""COMPUTED_VALUE"""),"Cem Özer")</f>
        <v>Cem Özer</v>
      </c>
      <c r="C92" s="43" t="str">
        <f>IFERROR(__xludf.DUMMYFUNCTION("""COMPUTED_VALUE"""),"completed")</f>
        <v>completed</v>
      </c>
      <c r="D92" s="43" t="str">
        <f>IFERROR(__xludf.DUMMYFUNCTION("""COMPUTED_VALUE"""),"No")</f>
        <v>No</v>
      </c>
      <c r="E92" s="43" t="str">
        <f>IFERROR(__xludf.DUMMYFUNCTION("""COMPUTED_VALUE"""),"p_fe491c5042d8f5c3442bcb2385be00605234e13d@inbound.aiesec.org")</f>
        <v>p_fe491c5042d8f5c3442bcb2385be00605234e13d@inbound.aiesec.org</v>
      </c>
      <c r="F92" s="43"/>
      <c r="G92" s="43" t="str">
        <f>IFERROR(__xludf.DUMMYFUNCTION("""COMPUTED_VALUE"""),"Turkey")</f>
        <v>Turkey</v>
      </c>
      <c r="H92" s="43" t="str">
        <f>IFERROR(__xludf.DUMMYFUNCTION("""COMPUTED_VALUE"""),"KOCAELI")</f>
        <v>KOCAELI</v>
      </c>
      <c r="I92" s="43" t="str">
        <f>IFERROR(__xludf.DUMMYFUNCTION("""COMPUTED_VALUE"""),"Romania")</f>
        <v>Romania</v>
      </c>
      <c r="J92" s="43" t="str">
        <f>IFERROR(__xludf.DUMMYFUNCTION("""COMPUTED_VALUE"""),"Cluj-Napoca")</f>
        <v>Cluj-Napoca</v>
      </c>
      <c r="K92" s="44" t="str">
        <f>IFERROR(__xludf.DUMMYFUNCTION("""COMPUTED_VALUE"""),"https://expa.aiesec.org/opportunities/1290026")</f>
        <v>https://expa.aiesec.org/opportunities/1290026</v>
      </c>
      <c r="L92" s="43" t="str">
        <f>IFERROR(__xludf.DUMMYFUNCTION("""COMPUTED_VALUE"""),"GV")</f>
        <v>GV</v>
      </c>
      <c r="M92" s="43" t="str">
        <f>IFERROR(__xludf.DUMMYFUNCTION("""COMPUTED_VALUE"""),"short")</f>
        <v>short</v>
      </c>
      <c r="N92" s="45">
        <f>IFERROR(__xludf.DUMMYFUNCTION("""COMPUTED_VALUE"""),44846.0)</f>
        <v>44846</v>
      </c>
      <c r="O92" s="45">
        <f>IFERROR(__xludf.DUMMYFUNCTION("""COMPUTED_VALUE"""),44949.0)</f>
        <v>44949</v>
      </c>
      <c r="P92" s="45">
        <f>IFERROR(__xludf.DUMMYFUNCTION("""COMPUTED_VALUE"""),44991.0)</f>
        <v>44991</v>
      </c>
      <c r="Q92" s="45">
        <f>IFERROR(__xludf.DUMMYFUNCTION("""COMPUTED_VALUE"""),44949.0)</f>
        <v>44949</v>
      </c>
      <c r="R92" s="45">
        <f>IFERROR(__xludf.DUMMYFUNCTION("""COMPUTED_VALUE"""),44991.0)</f>
        <v>44991</v>
      </c>
      <c r="S92" s="43"/>
      <c r="T92" s="43"/>
      <c r="U92" s="43" t="str">
        <f>IFERROR(__xludf.DUMMYFUNCTION("""COMPUTED_VALUE"""),"Eat 4 Change")</f>
        <v>Eat 4 Change</v>
      </c>
      <c r="V92" s="43" t="str">
        <f>IFERROR(__xludf.DUMMYFUNCTION("""COMPUTED_VALUE"""),"-")</f>
        <v>-</v>
      </c>
      <c r="W92" s="43" t="str">
        <f>IFERROR(__xludf.DUMMYFUNCTION("""COMPUTED_VALUE"""),"2022-10-08T10:41:33Z")</f>
        <v>2022-10-08T10:41:33Z</v>
      </c>
      <c r="X92" s="43"/>
      <c r="Y92" s="43"/>
      <c r="Z92" s="43"/>
    </row>
    <row r="93" hidden="1">
      <c r="A93" s="43" t="str">
        <f>IFERROR(__xludf.DUMMYFUNCTION("""COMPUTED_VALUE"""),"5028983_1288843")</f>
        <v>5028983_1288843</v>
      </c>
      <c r="B93" s="43" t="str">
        <f>IFERROR(__xludf.DUMMYFUNCTION("""COMPUTED_VALUE"""),"Yiğit Gezen")</f>
        <v>Yiğit Gezen</v>
      </c>
      <c r="C93" s="43" t="str">
        <f>IFERROR(__xludf.DUMMYFUNCTION("""COMPUTED_VALUE"""),"finished")</f>
        <v>finished</v>
      </c>
      <c r="D93" s="43" t="str">
        <f>IFERROR(__xludf.DUMMYFUNCTION("""COMPUTED_VALUE"""),"No")</f>
        <v>No</v>
      </c>
      <c r="E93" s="43" t="str">
        <f>IFERROR(__xludf.DUMMYFUNCTION("""COMPUTED_VALUE"""),"p_5135102bd10173fb9ecc4bd7b60266db7760788d@inbound.aiesec.org")</f>
        <v>p_5135102bd10173fb9ecc4bd7b60266db7760788d@inbound.aiesec.org</v>
      </c>
      <c r="F93" s="43">
        <f>IFERROR(__xludf.DUMMYFUNCTION("""COMPUTED_VALUE"""),5.312118282E9)</f>
        <v>5312118282</v>
      </c>
      <c r="G93" s="43" t="str">
        <f>IFERROR(__xludf.DUMMYFUNCTION("""COMPUTED_VALUE"""),"Turkey")</f>
        <v>Turkey</v>
      </c>
      <c r="H93" s="43" t="str">
        <f>IFERROR(__xludf.DUMMYFUNCTION("""COMPUTED_VALUE"""),"ESKISEHIR")</f>
        <v>ESKISEHIR</v>
      </c>
      <c r="I93" s="43" t="str">
        <f>IFERROR(__xludf.DUMMYFUNCTION("""COMPUTED_VALUE"""),"Sri Lanka")</f>
        <v>Sri Lanka</v>
      </c>
      <c r="J93" s="43" t="str">
        <f>IFERROR(__xludf.DUMMYFUNCTION("""COMPUTED_VALUE"""),"COLOMBO NORTH")</f>
        <v>COLOMBO NORTH</v>
      </c>
      <c r="K93" s="44" t="str">
        <f>IFERROR(__xludf.DUMMYFUNCTION("""COMPUTED_VALUE"""),"https://expa.aiesec.org/opportunities/1288843")</f>
        <v>https://expa.aiesec.org/opportunities/1288843</v>
      </c>
      <c r="L93" s="43" t="str">
        <f>IFERROR(__xludf.DUMMYFUNCTION("""COMPUTED_VALUE"""),"GV")</f>
        <v>GV</v>
      </c>
      <c r="M93" s="43" t="str">
        <f>IFERROR(__xludf.DUMMYFUNCTION("""COMPUTED_VALUE"""),"short")</f>
        <v>short</v>
      </c>
      <c r="N93" s="45">
        <f>IFERROR(__xludf.DUMMYFUNCTION("""COMPUTED_VALUE"""),44846.0)</f>
        <v>44846</v>
      </c>
      <c r="O93" s="45">
        <f>IFERROR(__xludf.DUMMYFUNCTION("""COMPUTED_VALUE"""),45122.0)</f>
        <v>45122</v>
      </c>
      <c r="P93" s="45">
        <f>IFERROR(__xludf.DUMMYFUNCTION("""COMPUTED_VALUE"""),45164.0)</f>
        <v>45164</v>
      </c>
      <c r="Q93" s="45">
        <f>IFERROR(__xludf.DUMMYFUNCTION("""COMPUTED_VALUE"""),45128.0)</f>
        <v>45128</v>
      </c>
      <c r="R93" s="45">
        <f>IFERROR(__xludf.DUMMYFUNCTION("""COMPUTED_VALUE"""),45168.0)</f>
        <v>45168</v>
      </c>
      <c r="S93" s="43"/>
      <c r="T93" s="43"/>
      <c r="U93" s="43" t="str">
        <f>IFERROR(__xludf.DUMMYFUNCTION("""COMPUTED_VALUE"""),"Green Leaders")</f>
        <v>Green Leaders</v>
      </c>
      <c r="V93" s="43" t="str">
        <f>IFERROR(__xludf.DUMMYFUNCTION("""COMPUTED_VALUE"""),"ESKISEHIR")</f>
        <v>ESKISEHIR</v>
      </c>
      <c r="W93" s="43" t="str">
        <f>IFERROR(__xludf.DUMMYFUNCTION("""COMPUTED_VALUE"""),"2022-04-07T12:46:17Z")</f>
        <v>2022-04-07T12:46:17Z</v>
      </c>
      <c r="X93" s="43"/>
      <c r="Y93" s="43"/>
      <c r="Z93" s="43"/>
    </row>
    <row r="94" hidden="1">
      <c r="A94" s="43" t="str">
        <f>IFERROR(__xludf.DUMMYFUNCTION("""COMPUTED_VALUE"""),"5129957_1289896")</f>
        <v>5129957_1289896</v>
      </c>
      <c r="B94" s="43" t="str">
        <f>IFERROR(__xludf.DUMMYFUNCTION("""COMPUTED_VALUE"""),"Şevval Kocaoğlu")</f>
        <v>Şevval Kocaoğlu</v>
      </c>
      <c r="C94" s="43" t="str">
        <f>IFERROR(__xludf.DUMMYFUNCTION("""COMPUTED_VALUE"""),"completed")</f>
        <v>completed</v>
      </c>
      <c r="D94" s="43" t="str">
        <f>IFERROR(__xludf.DUMMYFUNCTION("""COMPUTED_VALUE"""),"No")</f>
        <v>No</v>
      </c>
      <c r="E94" s="43" t="str">
        <f>IFERROR(__xludf.DUMMYFUNCTION("""COMPUTED_VALUE"""),"p_0946e5e8ccedfac0a8fac4a99d98e347ec39e930@inbound.aiesec.org")</f>
        <v>p_0946e5e8ccedfac0a8fac4a99d98e347ec39e930@inbound.aiesec.org</v>
      </c>
      <c r="F94" s="43">
        <f>IFERROR(__xludf.DUMMYFUNCTION("""COMPUTED_VALUE"""),5.444847707E9)</f>
        <v>5444847707</v>
      </c>
      <c r="G94" s="43" t="str">
        <f>IFERROR(__xludf.DUMMYFUNCTION("""COMPUTED_VALUE"""),"Turkey")</f>
        <v>Turkey</v>
      </c>
      <c r="H94" s="43" t="str">
        <f>IFERROR(__xludf.DUMMYFUNCTION("""COMPUTED_VALUE"""),"ANTALYA")</f>
        <v>ANTALYA</v>
      </c>
      <c r="I94" s="43" t="str">
        <f>IFERROR(__xludf.DUMMYFUNCTION("""COMPUTED_VALUE"""),"Egypt")</f>
        <v>Egypt</v>
      </c>
      <c r="J94" s="43" t="str">
        <f>IFERROR(__xludf.DUMMYFUNCTION("""COMPUTED_VALUE"""),"Ain Shams University")</f>
        <v>Ain Shams University</v>
      </c>
      <c r="K94" s="44" t="str">
        <f>IFERROR(__xludf.DUMMYFUNCTION("""COMPUTED_VALUE"""),"https://expa.aiesec.org/opportunities/1289896")</f>
        <v>https://expa.aiesec.org/opportunities/1289896</v>
      </c>
      <c r="L94" s="43" t="str">
        <f>IFERROR(__xludf.DUMMYFUNCTION("""COMPUTED_VALUE"""),"GV")</f>
        <v>GV</v>
      </c>
      <c r="M94" s="43" t="str">
        <f>IFERROR(__xludf.DUMMYFUNCTION("""COMPUTED_VALUE"""),"short")</f>
        <v>short</v>
      </c>
      <c r="N94" s="45">
        <f>IFERROR(__xludf.DUMMYFUNCTION("""COMPUTED_VALUE"""),44847.0)</f>
        <v>44847</v>
      </c>
      <c r="O94" s="45">
        <f>IFERROR(__xludf.DUMMYFUNCTION("""COMPUTED_VALUE"""),44958.0)</f>
        <v>44958</v>
      </c>
      <c r="P94" s="45">
        <f>IFERROR(__xludf.DUMMYFUNCTION("""COMPUTED_VALUE"""),45000.0)</f>
        <v>45000</v>
      </c>
      <c r="Q94" s="45">
        <f>IFERROR(__xludf.DUMMYFUNCTION("""COMPUTED_VALUE"""),44957.0)</f>
        <v>44957</v>
      </c>
      <c r="R94" s="45">
        <f>IFERROR(__xludf.DUMMYFUNCTION("""COMPUTED_VALUE"""),45000.0)</f>
        <v>45000</v>
      </c>
      <c r="S94" s="43"/>
      <c r="T94" s="43"/>
      <c r="U94" s="43" t="str">
        <f>IFERROR(__xludf.DUMMYFUNCTION("""COMPUTED_VALUE"""),"Rooted")</f>
        <v>Rooted</v>
      </c>
      <c r="V94" s="43" t="str">
        <f>IFERROR(__xludf.DUMMYFUNCTION("""COMPUTED_VALUE"""),"ANTALYA")</f>
        <v>ANTALYA</v>
      </c>
      <c r="W94" s="43" t="str">
        <f>IFERROR(__xludf.DUMMYFUNCTION("""COMPUTED_VALUE"""),"2022-10-11T12:53:10Z")</f>
        <v>2022-10-11T12:53:10Z</v>
      </c>
      <c r="X94" s="43"/>
      <c r="Y94" s="43"/>
      <c r="Z94" s="43"/>
    </row>
    <row r="95" hidden="1">
      <c r="A95" s="43" t="str">
        <f>IFERROR(__xludf.DUMMYFUNCTION("""COMPUTED_VALUE"""),"5129460_1288441")</f>
        <v>5129460_1288441</v>
      </c>
      <c r="B95" s="43" t="str">
        <f>IFERROR(__xludf.DUMMYFUNCTION("""COMPUTED_VALUE"""),"Yusuf Öztürk")</f>
        <v>Yusuf Öztürk</v>
      </c>
      <c r="C95" s="43" t="str">
        <f>IFERROR(__xludf.DUMMYFUNCTION("""COMPUTED_VALUE"""),"completed")</f>
        <v>completed</v>
      </c>
      <c r="D95" s="43" t="str">
        <f>IFERROR(__xludf.DUMMYFUNCTION("""COMPUTED_VALUE"""),"No")</f>
        <v>No</v>
      </c>
      <c r="E95" s="43" t="str">
        <f>IFERROR(__xludf.DUMMYFUNCTION("""COMPUTED_VALUE"""),"p_e23ee261d7a693054cc61e65acc867a23d5dfe8c@inbound.aiesec.org")</f>
        <v>p_e23ee261d7a693054cc61e65acc867a23d5dfe8c@inbound.aiesec.org</v>
      </c>
      <c r="F95" s="43"/>
      <c r="G95" s="43" t="str">
        <f>IFERROR(__xludf.DUMMYFUNCTION("""COMPUTED_VALUE"""),"Turkey")</f>
        <v>Turkey</v>
      </c>
      <c r="H95" s="43" t="str">
        <f>IFERROR(__xludf.DUMMYFUNCTION("""COMPUTED_VALUE"""),"ANTALYA")</f>
        <v>ANTALYA</v>
      </c>
      <c r="I95" s="43" t="str">
        <f>IFERROR(__xludf.DUMMYFUNCTION("""COMPUTED_VALUE"""),"India")</f>
        <v>India</v>
      </c>
      <c r="J95" s="43" t="str">
        <f>IFERROR(__xludf.DUMMYFUNCTION("""COMPUTED_VALUE"""),"JAIPUR ")</f>
        <v>JAIPUR </v>
      </c>
      <c r="K95" s="44" t="str">
        <f>IFERROR(__xludf.DUMMYFUNCTION("""COMPUTED_VALUE"""),"https://expa.aiesec.org/opportunities/1288441")</f>
        <v>https://expa.aiesec.org/opportunities/1288441</v>
      </c>
      <c r="L95" s="43" t="str">
        <f>IFERROR(__xludf.DUMMYFUNCTION("""COMPUTED_VALUE"""),"GV")</f>
        <v>GV</v>
      </c>
      <c r="M95" s="43" t="str">
        <f>IFERROR(__xludf.DUMMYFUNCTION("""COMPUTED_VALUE"""),"short")</f>
        <v>short</v>
      </c>
      <c r="N95" s="45">
        <f>IFERROR(__xludf.DUMMYFUNCTION("""COMPUTED_VALUE"""),44847.0)</f>
        <v>44847</v>
      </c>
      <c r="O95" s="45">
        <f>IFERROR(__xludf.DUMMYFUNCTION("""COMPUTED_VALUE"""),44975.0)</f>
        <v>44975</v>
      </c>
      <c r="P95" s="45">
        <f>IFERROR(__xludf.DUMMYFUNCTION("""COMPUTED_VALUE"""),45017.0)</f>
        <v>45017</v>
      </c>
      <c r="Q95" s="45">
        <f>IFERROR(__xludf.DUMMYFUNCTION("""COMPUTED_VALUE"""),44974.0)</f>
        <v>44974</v>
      </c>
      <c r="R95" s="45">
        <f>IFERROR(__xludf.DUMMYFUNCTION("""COMPUTED_VALUE"""),45017.0)</f>
        <v>45017</v>
      </c>
      <c r="S95" s="43"/>
      <c r="T95" s="43"/>
      <c r="U95" s="43" t="str">
        <f>IFERROR(__xludf.DUMMYFUNCTION("""COMPUTED_VALUE"""),"Youth 4 Impact")</f>
        <v>Youth 4 Impact</v>
      </c>
      <c r="V95" s="43" t="str">
        <f>IFERROR(__xludf.DUMMYFUNCTION("""COMPUTED_VALUE"""),"-")</f>
        <v>-</v>
      </c>
      <c r="W95" s="43" t="str">
        <f>IFERROR(__xludf.DUMMYFUNCTION("""COMPUTED_VALUE"""),"2022-10-10T22:23:56Z")</f>
        <v>2022-10-10T22:23:56Z</v>
      </c>
      <c r="X95" s="43"/>
      <c r="Y95" s="43"/>
      <c r="Z95" s="43"/>
    </row>
    <row r="96" hidden="1">
      <c r="A96" s="43" t="str">
        <f>IFERROR(__xludf.DUMMYFUNCTION("""COMPUTED_VALUE"""),"5123766_1290026")</f>
        <v>5123766_1290026</v>
      </c>
      <c r="B96" s="43" t="str">
        <f>IFERROR(__xludf.DUMMYFUNCTION("""COMPUTED_VALUE"""),"Batuhan Türkoğlu")</f>
        <v>Batuhan Türkoğlu</v>
      </c>
      <c r="C96" s="43" t="str">
        <f>IFERROR(__xludf.DUMMYFUNCTION("""COMPUTED_VALUE"""),"completed")</f>
        <v>completed</v>
      </c>
      <c r="D96" s="43" t="str">
        <f>IFERROR(__xludf.DUMMYFUNCTION("""COMPUTED_VALUE"""),"No")</f>
        <v>No</v>
      </c>
      <c r="E96" s="43" t="str">
        <f>IFERROR(__xludf.DUMMYFUNCTION("""COMPUTED_VALUE"""),"p_9c81ff93af97397a8b75f0fe87d57ae11af5b657@inbound.aiesec.org")</f>
        <v>p_9c81ff93af97397a8b75f0fe87d57ae11af5b657@inbound.aiesec.org</v>
      </c>
      <c r="F96" s="43">
        <f>IFERROR(__xludf.DUMMYFUNCTION("""COMPUTED_VALUE"""),5.334189667E9)</f>
        <v>5334189667</v>
      </c>
      <c r="G96" s="43" t="str">
        <f>IFERROR(__xludf.DUMMYFUNCTION("""COMPUTED_VALUE"""),"Turkey")</f>
        <v>Turkey</v>
      </c>
      <c r="H96" s="43" t="str">
        <f>IFERROR(__xludf.DUMMYFUNCTION("""COMPUTED_VALUE"""),"ISTANBUL WEST")</f>
        <v>ISTANBUL WEST</v>
      </c>
      <c r="I96" s="43" t="str">
        <f>IFERROR(__xludf.DUMMYFUNCTION("""COMPUTED_VALUE"""),"Romania")</f>
        <v>Romania</v>
      </c>
      <c r="J96" s="43" t="str">
        <f>IFERROR(__xludf.DUMMYFUNCTION("""COMPUTED_VALUE"""),"Cluj-Napoca")</f>
        <v>Cluj-Napoca</v>
      </c>
      <c r="K96" s="44" t="str">
        <f>IFERROR(__xludf.DUMMYFUNCTION("""COMPUTED_VALUE"""),"https://expa.aiesec.org/opportunities/1290026")</f>
        <v>https://expa.aiesec.org/opportunities/1290026</v>
      </c>
      <c r="L96" s="43" t="str">
        <f>IFERROR(__xludf.DUMMYFUNCTION("""COMPUTED_VALUE"""),"GV")</f>
        <v>GV</v>
      </c>
      <c r="M96" s="43" t="str">
        <f>IFERROR(__xludf.DUMMYFUNCTION("""COMPUTED_VALUE"""),"short")</f>
        <v>short</v>
      </c>
      <c r="N96" s="45">
        <f>IFERROR(__xludf.DUMMYFUNCTION("""COMPUTED_VALUE"""),44847.0)</f>
        <v>44847</v>
      </c>
      <c r="O96" s="45">
        <f>IFERROR(__xludf.DUMMYFUNCTION("""COMPUTED_VALUE"""),44949.0)</f>
        <v>44949</v>
      </c>
      <c r="P96" s="45">
        <f>IFERROR(__xludf.DUMMYFUNCTION("""COMPUTED_VALUE"""),44991.0)</f>
        <v>44991</v>
      </c>
      <c r="Q96" s="45">
        <f>IFERROR(__xludf.DUMMYFUNCTION("""COMPUTED_VALUE"""),44956.0)</f>
        <v>44956</v>
      </c>
      <c r="R96" s="45">
        <f>IFERROR(__xludf.DUMMYFUNCTION("""COMPUTED_VALUE"""),44999.0)</f>
        <v>44999</v>
      </c>
      <c r="S96" s="43"/>
      <c r="T96" s="43"/>
      <c r="U96" s="43" t="str">
        <f>IFERROR(__xludf.DUMMYFUNCTION("""COMPUTED_VALUE"""),"Eat 4 Change")</f>
        <v>Eat 4 Change</v>
      </c>
      <c r="V96" s="43" t="str">
        <f>IFERROR(__xludf.DUMMYFUNCTION("""COMPUTED_VALUE"""),"ISTANBUL - BAKIRKOY")</f>
        <v>ISTANBUL - BAKIRKOY</v>
      </c>
      <c r="W96" s="43" t="str">
        <f>IFERROR(__xludf.DUMMYFUNCTION("""COMPUTED_VALUE"""),"2022-10-02T09:22:03Z")</f>
        <v>2022-10-02T09:22:03Z</v>
      </c>
      <c r="X96" s="43"/>
      <c r="Y96" s="43"/>
      <c r="Z96" s="43"/>
    </row>
    <row r="97" hidden="1">
      <c r="A97" s="43" t="str">
        <f>IFERROR(__xludf.DUMMYFUNCTION("""COMPUTED_VALUE"""),"5101712_1289850")</f>
        <v>5101712_1289850</v>
      </c>
      <c r="B97" s="43" t="str">
        <f>IFERROR(__xludf.DUMMYFUNCTION("""COMPUTED_VALUE"""),"Selin Asikiraz")</f>
        <v>Selin Asikiraz</v>
      </c>
      <c r="C97" s="43" t="str">
        <f>IFERROR(__xludf.DUMMYFUNCTION("""COMPUTED_VALUE"""),"approved")</f>
        <v>approved</v>
      </c>
      <c r="D97" s="43" t="str">
        <f>IFERROR(__xludf.DUMMYFUNCTION("""COMPUTED_VALUE"""),"No")</f>
        <v>No</v>
      </c>
      <c r="E97" s="43" t="str">
        <f>IFERROR(__xludf.DUMMYFUNCTION("""COMPUTED_VALUE"""),"p_cb23cb0ad67d38bda03f96f60d83915bc59da1c0@inbound.aiesec.org")</f>
        <v>p_cb23cb0ad67d38bda03f96f60d83915bc59da1c0@inbound.aiesec.org</v>
      </c>
      <c r="F97" s="43"/>
      <c r="G97" s="43" t="str">
        <f>IFERROR(__xludf.DUMMYFUNCTION("""COMPUTED_VALUE"""),"Turkey")</f>
        <v>Turkey</v>
      </c>
      <c r="H97" s="43" t="str">
        <f>IFERROR(__xludf.DUMMYFUNCTION("""COMPUTED_VALUE"""),"ISTANBUL")</f>
        <v>ISTANBUL</v>
      </c>
      <c r="I97" s="43" t="str">
        <f>IFERROR(__xludf.DUMMYFUNCTION("""COMPUTED_VALUE"""),"India")</f>
        <v>India</v>
      </c>
      <c r="J97" s="43" t="str">
        <f>IFERROR(__xludf.DUMMYFUNCTION("""COMPUTED_VALUE"""),"Mumbai")</f>
        <v>Mumbai</v>
      </c>
      <c r="K97" s="44" t="str">
        <f>IFERROR(__xludf.DUMMYFUNCTION("""COMPUTED_VALUE"""),"https://expa.aiesec.org/opportunities/1289850")</f>
        <v>https://expa.aiesec.org/opportunities/1289850</v>
      </c>
      <c r="L97" s="43" t="str">
        <f>IFERROR(__xludf.DUMMYFUNCTION("""COMPUTED_VALUE"""),"GV")</f>
        <v>GV</v>
      </c>
      <c r="M97" s="43" t="str">
        <f>IFERROR(__xludf.DUMMYFUNCTION("""COMPUTED_VALUE"""),"short")</f>
        <v>short</v>
      </c>
      <c r="N97" s="45">
        <f>IFERROR(__xludf.DUMMYFUNCTION("""COMPUTED_VALUE"""),44848.0)</f>
        <v>44848</v>
      </c>
      <c r="O97" s="45">
        <f>IFERROR(__xludf.DUMMYFUNCTION("""COMPUTED_VALUE"""),45108.0)</f>
        <v>45108</v>
      </c>
      <c r="P97" s="45">
        <f>IFERROR(__xludf.DUMMYFUNCTION("""COMPUTED_VALUE"""),45150.0)</f>
        <v>45150</v>
      </c>
      <c r="Q97" s="45"/>
      <c r="R97" s="45"/>
      <c r="S97" s="43"/>
      <c r="T97" s="43"/>
      <c r="U97" s="43" t="str">
        <f>IFERROR(__xludf.DUMMYFUNCTION("""COMPUTED_VALUE"""),"Global Classroom")</f>
        <v>Global Classroom</v>
      </c>
      <c r="V97" s="43" t="str">
        <f>IFERROR(__xludf.DUMMYFUNCTION("""COMPUTED_VALUE"""),"-")</f>
        <v>-</v>
      </c>
      <c r="W97" s="43" t="str">
        <f>IFERROR(__xludf.DUMMYFUNCTION("""COMPUTED_VALUE"""),"2022-08-29T14:36:28Z")</f>
        <v>2022-08-29T14:36:28Z</v>
      </c>
      <c r="X97" s="43"/>
      <c r="Y97" s="43"/>
      <c r="Z97" s="43"/>
    </row>
    <row r="98" hidden="1">
      <c r="A98" s="43" t="str">
        <f>IFERROR(__xludf.DUMMYFUNCTION("""COMPUTED_VALUE"""),"5130145_1290024")</f>
        <v>5130145_1290024</v>
      </c>
      <c r="B98" s="43" t="str">
        <f>IFERROR(__xludf.DUMMYFUNCTION("""COMPUTED_VALUE"""),"erva gedik")</f>
        <v>erva gedik</v>
      </c>
      <c r="C98" s="43" t="str">
        <f>IFERROR(__xludf.DUMMYFUNCTION("""COMPUTED_VALUE"""),"finished")</f>
        <v>finished</v>
      </c>
      <c r="D98" s="43" t="str">
        <f>IFERROR(__xludf.DUMMYFUNCTION("""COMPUTED_VALUE"""),"No")</f>
        <v>No</v>
      </c>
      <c r="E98" s="43" t="str">
        <f>IFERROR(__xludf.DUMMYFUNCTION("""COMPUTED_VALUE"""),"p_8df8e10cfc6903fde888c153f1d741eb41cf18b9@inbound.aiesec.org")</f>
        <v>p_8df8e10cfc6903fde888c153f1d741eb41cf18b9@inbound.aiesec.org</v>
      </c>
      <c r="F98" s="43">
        <f>IFERROR(__xludf.DUMMYFUNCTION("""COMPUTED_VALUE"""),5.061635795E9)</f>
        <v>5061635795</v>
      </c>
      <c r="G98" s="43" t="str">
        <f>IFERROR(__xludf.DUMMYFUNCTION("""COMPUTED_VALUE"""),"Turkey")</f>
        <v>Turkey</v>
      </c>
      <c r="H98" s="43" t="str">
        <f>IFERROR(__xludf.DUMMYFUNCTION("""COMPUTED_VALUE"""),"BURSA")</f>
        <v>BURSA</v>
      </c>
      <c r="I98" s="43" t="str">
        <f>IFERROR(__xludf.DUMMYFUNCTION("""COMPUTED_VALUE"""),"Egypt")</f>
        <v>Egypt</v>
      </c>
      <c r="J98" s="43" t="str">
        <f>IFERROR(__xludf.DUMMYFUNCTION("""COMPUTED_VALUE"""),"Ain Shams University")</f>
        <v>Ain Shams University</v>
      </c>
      <c r="K98" s="44" t="str">
        <f>IFERROR(__xludf.DUMMYFUNCTION("""COMPUTED_VALUE"""),"https://expa.aiesec.org/opportunities/1290024")</f>
        <v>https://expa.aiesec.org/opportunities/1290024</v>
      </c>
      <c r="L98" s="43" t="str">
        <f>IFERROR(__xludf.DUMMYFUNCTION("""COMPUTED_VALUE"""),"GV")</f>
        <v>GV</v>
      </c>
      <c r="M98" s="43" t="str">
        <f>IFERROR(__xludf.DUMMYFUNCTION("""COMPUTED_VALUE"""),"short")</f>
        <v>short</v>
      </c>
      <c r="N98" s="45">
        <f>IFERROR(__xludf.DUMMYFUNCTION("""COMPUTED_VALUE"""),44848.0)</f>
        <v>44848</v>
      </c>
      <c r="O98" s="45">
        <f>IFERROR(__xludf.DUMMYFUNCTION("""COMPUTED_VALUE"""),45108.0)</f>
        <v>45108</v>
      </c>
      <c r="P98" s="45">
        <f>IFERROR(__xludf.DUMMYFUNCTION("""COMPUTED_VALUE"""),45150.0)</f>
        <v>45150</v>
      </c>
      <c r="Q98" s="45">
        <f>IFERROR(__xludf.DUMMYFUNCTION("""COMPUTED_VALUE"""),45107.0)</f>
        <v>45107</v>
      </c>
      <c r="R98" s="45">
        <f>IFERROR(__xludf.DUMMYFUNCTION("""COMPUTED_VALUE"""),45154.0)</f>
        <v>45154</v>
      </c>
      <c r="S98" s="43"/>
      <c r="T98" s="43"/>
      <c r="U98" s="43" t="str">
        <f>IFERROR(__xludf.DUMMYFUNCTION("""COMPUTED_VALUE"""),"On The Map")</f>
        <v>On The Map</v>
      </c>
      <c r="V98" s="43" t="str">
        <f>IFERROR(__xludf.DUMMYFUNCTION("""COMPUTED_VALUE"""),"BURSA")</f>
        <v>BURSA</v>
      </c>
      <c r="W98" s="43" t="str">
        <f>IFERROR(__xludf.DUMMYFUNCTION("""COMPUTED_VALUE"""),"2022-10-11T15:29:35Z")</f>
        <v>2022-10-11T15:29:35Z</v>
      </c>
      <c r="X98" s="43"/>
      <c r="Y98" s="43"/>
      <c r="Z98" s="43"/>
    </row>
    <row r="99" hidden="1">
      <c r="A99" s="43" t="str">
        <f>IFERROR(__xludf.DUMMYFUNCTION("""COMPUTED_VALUE"""),"5129943_1287244")</f>
        <v>5129943_1287244</v>
      </c>
      <c r="B99" s="43" t="str">
        <f>IFERROR(__xludf.DUMMYFUNCTION("""COMPUTED_VALUE"""),"Fatih Akça")</f>
        <v>Fatih Akça</v>
      </c>
      <c r="C99" s="43" t="str">
        <f>IFERROR(__xludf.DUMMYFUNCTION("""COMPUTED_VALUE"""),"approved")</f>
        <v>approved</v>
      </c>
      <c r="D99" s="43" t="str">
        <f>IFERROR(__xludf.DUMMYFUNCTION("""COMPUTED_VALUE"""),"No")</f>
        <v>No</v>
      </c>
      <c r="E99" s="43" t="str">
        <f>IFERROR(__xludf.DUMMYFUNCTION("""COMPUTED_VALUE"""),"p_d322bdd6bc7160393f0b80614e4145b9480515bf@inbound.aiesec.org")</f>
        <v>p_d322bdd6bc7160393f0b80614e4145b9480515bf@inbound.aiesec.org</v>
      </c>
      <c r="F99" s="43"/>
      <c r="G99" s="43" t="str">
        <f>IFERROR(__xludf.DUMMYFUNCTION("""COMPUTED_VALUE"""),"Turkey")</f>
        <v>Turkey</v>
      </c>
      <c r="H99" s="43" t="str">
        <f>IFERROR(__xludf.DUMMYFUNCTION("""COMPUTED_VALUE"""),"KUTAHYA")</f>
        <v>KUTAHYA</v>
      </c>
      <c r="I99" s="43" t="str">
        <f>IFERROR(__xludf.DUMMYFUNCTION("""COMPUTED_VALUE"""),"India")</f>
        <v>India</v>
      </c>
      <c r="J99" s="43" t="str">
        <f>IFERROR(__xludf.DUMMYFUNCTION("""COMPUTED_VALUE"""),"Ahmedabad")</f>
        <v>Ahmedabad</v>
      </c>
      <c r="K99" s="44" t="str">
        <f>IFERROR(__xludf.DUMMYFUNCTION("""COMPUTED_VALUE"""),"https://expa.aiesec.org/opportunities/1287244")</f>
        <v>https://expa.aiesec.org/opportunities/1287244</v>
      </c>
      <c r="L99" s="43" t="str">
        <f>IFERROR(__xludf.DUMMYFUNCTION("""COMPUTED_VALUE"""),"GV")</f>
        <v>GV</v>
      </c>
      <c r="M99" s="43" t="str">
        <f>IFERROR(__xludf.DUMMYFUNCTION("""COMPUTED_VALUE"""),"short")</f>
        <v>short</v>
      </c>
      <c r="N99" s="45">
        <f>IFERROR(__xludf.DUMMYFUNCTION("""COMPUTED_VALUE"""),44849.0)</f>
        <v>44849</v>
      </c>
      <c r="O99" s="45">
        <f>IFERROR(__xludf.DUMMYFUNCTION("""COMPUTED_VALUE"""),45170.0)</f>
        <v>45170</v>
      </c>
      <c r="P99" s="45">
        <f>IFERROR(__xludf.DUMMYFUNCTION("""COMPUTED_VALUE"""),45214.0)</f>
        <v>45214</v>
      </c>
      <c r="Q99" s="45"/>
      <c r="R99" s="45"/>
      <c r="S99" s="43"/>
      <c r="T99" s="43"/>
      <c r="U99" s="43" t="str">
        <f>IFERROR(__xludf.DUMMYFUNCTION("""COMPUTED_VALUE"""),"Fingerprint")</f>
        <v>Fingerprint</v>
      </c>
      <c r="V99" s="43" t="str">
        <f>IFERROR(__xludf.DUMMYFUNCTION("""COMPUTED_VALUE"""),"KUTAHYA")</f>
        <v>KUTAHYA</v>
      </c>
      <c r="W99" s="43" t="str">
        <f>IFERROR(__xludf.DUMMYFUNCTION("""COMPUTED_VALUE"""),"2022-10-11T12:45:38Z")</f>
        <v>2022-10-11T12:45:38Z</v>
      </c>
      <c r="X99" s="43"/>
      <c r="Y99" s="43"/>
      <c r="Z99" s="43"/>
    </row>
    <row r="100" hidden="1">
      <c r="A100" s="43" t="str">
        <f>IFERROR(__xludf.DUMMYFUNCTION("""COMPUTED_VALUE"""),"5129407_1287244")</f>
        <v>5129407_1287244</v>
      </c>
      <c r="B100" s="43" t="str">
        <f>IFERROR(__xludf.DUMMYFUNCTION("""COMPUTED_VALUE"""),"Enes Aydın")</f>
        <v>Enes Aydın</v>
      </c>
      <c r="C100" s="43" t="str">
        <f>IFERROR(__xludf.DUMMYFUNCTION("""COMPUTED_VALUE"""),"approved")</f>
        <v>approved</v>
      </c>
      <c r="D100" s="43" t="str">
        <f>IFERROR(__xludf.DUMMYFUNCTION("""COMPUTED_VALUE"""),"No")</f>
        <v>No</v>
      </c>
      <c r="E100" s="43" t="str">
        <f>IFERROR(__xludf.DUMMYFUNCTION("""COMPUTED_VALUE"""),"p_7c6712cc115f5576305da7096d5cab4393b7dfde@inbound.aiesec.org")</f>
        <v>p_7c6712cc115f5576305da7096d5cab4393b7dfde@inbound.aiesec.org</v>
      </c>
      <c r="F100" s="43"/>
      <c r="G100" s="43" t="str">
        <f>IFERROR(__xludf.DUMMYFUNCTION("""COMPUTED_VALUE"""),"Turkey")</f>
        <v>Turkey</v>
      </c>
      <c r="H100" s="43" t="str">
        <f>IFERROR(__xludf.DUMMYFUNCTION("""COMPUTED_VALUE"""),"KUTAHYA")</f>
        <v>KUTAHYA</v>
      </c>
      <c r="I100" s="43" t="str">
        <f>IFERROR(__xludf.DUMMYFUNCTION("""COMPUTED_VALUE"""),"India")</f>
        <v>India</v>
      </c>
      <c r="J100" s="43" t="str">
        <f>IFERROR(__xludf.DUMMYFUNCTION("""COMPUTED_VALUE"""),"Ahmedabad")</f>
        <v>Ahmedabad</v>
      </c>
      <c r="K100" s="44" t="str">
        <f>IFERROR(__xludf.DUMMYFUNCTION("""COMPUTED_VALUE"""),"https://expa.aiesec.org/opportunities/1287244")</f>
        <v>https://expa.aiesec.org/opportunities/1287244</v>
      </c>
      <c r="L100" s="43" t="str">
        <f>IFERROR(__xludf.DUMMYFUNCTION("""COMPUTED_VALUE"""),"GV")</f>
        <v>GV</v>
      </c>
      <c r="M100" s="43" t="str">
        <f>IFERROR(__xludf.DUMMYFUNCTION("""COMPUTED_VALUE"""),"short")</f>
        <v>short</v>
      </c>
      <c r="N100" s="45">
        <f>IFERROR(__xludf.DUMMYFUNCTION("""COMPUTED_VALUE"""),44851.0)</f>
        <v>44851</v>
      </c>
      <c r="O100" s="45">
        <f>IFERROR(__xludf.DUMMYFUNCTION("""COMPUTED_VALUE"""),45170.0)</f>
        <v>45170</v>
      </c>
      <c r="P100" s="45">
        <f>IFERROR(__xludf.DUMMYFUNCTION("""COMPUTED_VALUE"""),45214.0)</f>
        <v>45214</v>
      </c>
      <c r="Q100" s="45"/>
      <c r="R100" s="45"/>
      <c r="S100" s="43"/>
      <c r="T100" s="43"/>
      <c r="U100" s="43" t="str">
        <f>IFERROR(__xludf.DUMMYFUNCTION("""COMPUTED_VALUE"""),"Fingerprint")</f>
        <v>Fingerprint</v>
      </c>
      <c r="V100" s="43" t="str">
        <f>IFERROR(__xludf.DUMMYFUNCTION("""COMPUTED_VALUE"""),"KUTAHYA")</f>
        <v>KUTAHYA</v>
      </c>
      <c r="W100" s="43" t="str">
        <f>IFERROR(__xludf.DUMMYFUNCTION("""COMPUTED_VALUE"""),"2022-10-10T20:01:34Z")</f>
        <v>2022-10-10T20:01:34Z</v>
      </c>
      <c r="X100" s="43"/>
      <c r="Y100" s="43"/>
      <c r="Z100" s="43"/>
    </row>
    <row r="101" hidden="1">
      <c r="A101" s="43" t="str">
        <f>IFERROR(__xludf.DUMMYFUNCTION("""COMPUTED_VALUE"""),"5132304_1289487")</f>
        <v>5132304_1289487</v>
      </c>
      <c r="B101" s="43" t="str">
        <f>IFERROR(__xludf.DUMMYFUNCTION("""COMPUTED_VALUE"""),"Asım Tan")</f>
        <v>Asım Tan</v>
      </c>
      <c r="C101" s="43" t="str">
        <f>IFERROR(__xludf.DUMMYFUNCTION("""COMPUTED_VALUE"""),"completed")</f>
        <v>completed</v>
      </c>
      <c r="D101" s="43" t="str">
        <f>IFERROR(__xludf.DUMMYFUNCTION("""COMPUTED_VALUE"""),"No")</f>
        <v>No</v>
      </c>
      <c r="E101" s="43" t="str">
        <f>IFERROR(__xludf.DUMMYFUNCTION("""COMPUTED_VALUE"""),"p_e6900397a0db1fab7ac5d01b4eb1c049725912ae@inbound.aiesec.org")</f>
        <v>p_e6900397a0db1fab7ac5d01b4eb1c049725912ae@inbound.aiesec.org</v>
      </c>
      <c r="F101" s="43">
        <f>IFERROR(__xludf.DUMMYFUNCTION("""COMPUTED_VALUE"""),5.374304374E9)</f>
        <v>5374304374</v>
      </c>
      <c r="G101" s="43" t="str">
        <f>IFERROR(__xludf.DUMMYFUNCTION("""COMPUTED_VALUE"""),"Turkey")</f>
        <v>Turkey</v>
      </c>
      <c r="H101" s="43" t="str">
        <f>IFERROR(__xludf.DUMMYFUNCTION("""COMPUTED_VALUE"""),"ISTANBUL")</f>
        <v>ISTANBUL</v>
      </c>
      <c r="I101" s="43" t="str">
        <f>IFERROR(__xludf.DUMMYFUNCTION("""COMPUTED_VALUE"""),"Egypt")</f>
        <v>Egypt</v>
      </c>
      <c r="J101" s="43" t="str">
        <f>IFERROR(__xludf.DUMMYFUNCTION("""COMPUTED_VALUE"""),"GUC")</f>
        <v>GUC</v>
      </c>
      <c r="K101" s="44" t="str">
        <f>IFERROR(__xludf.DUMMYFUNCTION("""COMPUTED_VALUE"""),"https://expa.aiesec.org/opportunities/1289487")</f>
        <v>https://expa.aiesec.org/opportunities/1289487</v>
      </c>
      <c r="L101" s="43" t="str">
        <f>IFERROR(__xludf.DUMMYFUNCTION("""COMPUTED_VALUE"""),"GV")</f>
        <v>GV</v>
      </c>
      <c r="M101" s="43" t="str">
        <f>IFERROR(__xludf.DUMMYFUNCTION("""COMPUTED_VALUE"""),"short")</f>
        <v>short</v>
      </c>
      <c r="N101" s="45">
        <f>IFERROR(__xludf.DUMMYFUNCTION("""COMPUTED_VALUE"""),44851.0)</f>
        <v>44851</v>
      </c>
      <c r="O101" s="45">
        <f>IFERROR(__xludf.DUMMYFUNCTION("""COMPUTED_VALUE"""),44938.0)</f>
        <v>44938</v>
      </c>
      <c r="P101" s="45">
        <f>IFERROR(__xludf.DUMMYFUNCTION("""COMPUTED_VALUE"""),44980.0)</f>
        <v>44980</v>
      </c>
      <c r="Q101" s="45">
        <f>IFERROR(__xludf.DUMMYFUNCTION("""COMPUTED_VALUE"""),44942.0)</f>
        <v>44942</v>
      </c>
      <c r="R101" s="45">
        <f>IFERROR(__xludf.DUMMYFUNCTION("""COMPUTED_VALUE"""),44985.0)</f>
        <v>44985</v>
      </c>
      <c r="S101" s="43"/>
      <c r="T101" s="43"/>
      <c r="U101" s="43" t="str">
        <f>IFERROR(__xludf.DUMMYFUNCTION("""COMPUTED_VALUE"""),"On The Map")</f>
        <v>On The Map</v>
      </c>
      <c r="V101" s="43" t="str">
        <f>IFERROR(__xludf.DUMMYFUNCTION("""COMPUTED_VALUE"""),"ISTANBUL - BEYOGLU")</f>
        <v>ISTANBUL - BEYOGLU</v>
      </c>
      <c r="W101" s="43" t="str">
        <f>IFERROR(__xludf.DUMMYFUNCTION("""COMPUTED_VALUE"""),"2022-10-13T14:07:05Z")</f>
        <v>2022-10-13T14:07:05Z</v>
      </c>
      <c r="X101" s="43"/>
      <c r="Y101" s="43"/>
      <c r="Z101" s="43"/>
    </row>
    <row r="102" hidden="1">
      <c r="A102" s="43" t="str">
        <f>IFERROR(__xludf.DUMMYFUNCTION("""COMPUTED_VALUE"""),"5132308_1289487")</f>
        <v>5132308_1289487</v>
      </c>
      <c r="B102" s="43" t="str">
        <f>IFERROR(__xludf.DUMMYFUNCTION("""COMPUTED_VALUE"""),"İrem Keçeli")</f>
        <v>İrem Keçeli</v>
      </c>
      <c r="C102" s="43" t="str">
        <f>IFERROR(__xludf.DUMMYFUNCTION("""COMPUTED_VALUE"""),"completed")</f>
        <v>completed</v>
      </c>
      <c r="D102" s="43" t="str">
        <f>IFERROR(__xludf.DUMMYFUNCTION("""COMPUTED_VALUE"""),"No")</f>
        <v>No</v>
      </c>
      <c r="E102" s="43" t="str">
        <f>IFERROR(__xludf.DUMMYFUNCTION("""COMPUTED_VALUE"""),"p_03ec53647c631b0279b6de757dc8624743609073@inbound.aiesec.org")</f>
        <v>p_03ec53647c631b0279b6de757dc8624743609073@inbound.aiesec.org</v>
      </c>
      <c r="F102" s="43">
        <f>IFERROR(__xludf.DUMMYFUNCTION("""COMPUTED_VALUE"""),5.382704736E9)</f>
        <v>5382704736</v>
      </c>
      <c r="G102" s="43" t="str">
        <f>IFERROR(__xludf.DUMMYFUNCTION("""COMPUTED_VALUE"""),"Turkey")</f>
        <v>Turkey</v>
      </c>
      <c r="H102" s="43" t="str">
        <f>IFERROR(__xludf.DUMMYFUNCTION("""COMPUTED_VALUE"""),"ISTANBUL")</f>
        <v>ISTANBUL</v>
      </c>
      <c r="I102" s="43" t="str">
        <f>IFERROR(__xludf.DUMMYFUNCTION("""COMPUTED_VALUE"""),"Egypt")</f>
        <v>Egypt</v>
      </c>
      <c r="J102" s="43" t="str">
        <f>IFERROR(__xludf.DUMMYFUNCTION("""COMPUTED_VALUE"""),"GUC")</f>
        <v>GUC</v>
      </c>
      <c r="K102" s="44" t="str">
        <f>IFERROR(__xludf.DUMMYFUNCTION("""COMPUTED_VALUE"""),"https://expa.aiesec.org/opportunities/1289487")</f>
        <v>https://expa.aiesec.org/opportunities/1289487</v>
      </c>
      <c r="L102" s="43" t="str">
        <f>IFERROR(__xludf.DUMMYFUNCTION("""COMPUTED_VALUE"""),"GV")</f>
        <v>GV</v>
      </c>
      <c r="M102" s="43" t="str">
        <f>IFERROR(__xludf.DUMMYFUNCTION("""COMPUTED_VALUE"""),"short")</f>
        <v>short</v>
      </c>
      <c r="N102" s="45">
        <f>IFERROR(__xludf.DUMMYFUNCTION("""COMPUTED_VALUE"""),44851.0)</f>
        <v>44851</v>
      </c>
      <c r="O102" s="45">
        <f>IFERROR(__xludf.DUMMYFUNCTION("""COMPUTED_VALUE"""),44938.0)</f>
        <v>44938</v>
      </c>
      <c r="P102" s="45">
        <f>IFERROR(__xludf.DUMMYFUNCTION("""COMPUTED_VALUE"""),44980.0)</f>
        <v>44980</v>
      </c>
      <c r="Q102" s="45">
        <f>IFERROR(__xludf.DUMMYFUNCTION("""COMPUTED_VALUE"""),44942.0)</f>
        <v>44942</v>
      </c>
      <c r="R102" s="45">
        <f>IFERROR(__xludf.DUMMYFUNCTION("""COMPUTED_VALUE"""),44984.0)</f>
        <v>44984</v>
      </c>
      <c r="S102" s="43"/>
      <c r="T102" s="43"/>
      <c r="U102" s="43" t="str">
        <f>IFERROR(__xludf.DUMMYFUNCTION("""COMPUTED_VALUE"""),"On The Map")</f>
        <v>On The Map</v>
      </c>
      <c r="V102" s="43" t="str">
        <f>IFERROR(__xludf.DUMMYFUNCTION("""COMPUTED_VALUE"""),"ISTANBUL - BEYOGLU")</f>
        <v>ISTANBUL - BEYOGLU</v>
      </c>
      <c r="W102" s="43" t="str">
        <f>IFERROR(__xludf.DUMMYFUNCTION("""COMPUTED_VALUE"""),"2022-10-13T14:08:48Z")</f>
        <v>2022-10-13T14:08:48Z</v>
      </c>
      <c r="X102" s="43"/>
      <c r="Y102" s="43"/>
      <c r="Z102" s="43"/>
    </row>
    <row r="103" hidden="1">
      <c r="A103" s="43" t="str">
        <f>IFERROR(__xludf.DUMMYFUNCTION("""COMPUTED_VALUE"""),"5134902_1289772")</f>
        <v>5134902_1289772</v>
      </c>
      <c r="B103" s="43" t="str">
        <f>IFERROR(__xludf.DUMMYFUNCTION("""COMPUTED_VALUE"""),"Semayi Yıldız")</f>
        <v>Semayi Yıldız</v>
      </c>
      <c r="C103" s="43" t="str">
        <f>IFERROR(__xludf.DUMMYFUNCTION("""COMPUTED_VALUE"""),"completed")</f>
        <v>completed</v>
      </c>
      <c r="D103" s="43" t="str">
        <f>IFERROR(__xludf.DUMMYFUNCTION("""COMPUTED_VALUE"""),"No")</f>
        <v>No</v>
      </c>
      <c r="E103" s="43" t="str">
        <f>IFERROR(__xludf.DUMMYFUNCTION("""COMPUTED_VALUE"""),"p_80016c043d28a391d4d40d34d45a1424e3635b0d@inbound.aiesec.org")</f>
        <v>p_80016c043d28a391d4d40d34d45a1424e3635b0d@inbound.aiesec.org</v>
      </c>
      <c r="F103" s="43">
        <f>IFERROR(__xludf.DUMMYFUNCTION("""COMPUTED_VALUE"""),5.468053079E9)</f>
        <v>5468053079</v>
      </c>
      <c r="G103" s="43" t="str">
        <f>IFERROR(__xludf.DUMMYFUNCTION("""COMPUTED_VALUE"""),"Turkey")</f>
        <v>Turkey</v>
      </c>
      <c r="H103" s="43" t="str">
        <f>IFERROR(__xludf.DUMMYFUNCTION("""COMPUTED_VALUE"""),"KUTAHYA")</f>
        <v>KUTAHYA</v>
      </c>
      <c r="I103" s="43" t="str">
        <f>IFERROR(__xludf.DUMMYFUNCTION("""COMPUTED_VALUE"""),"Egypt")</f>
        <v>Egypt</v>
      </c>
      <c r="J103" s="43" t="str">
        <f>IFERROR(__xludf.DUMMYFUNCTION("""COMPUTED_VALUE"""),"GUC")</f>
        <v>GUC</v>
      </c>
      <c r="K103" s="44" t="str">
        <f>IFERROR(__xludf.DUMMYFUNCTION("""COMPUTED_VALUE"""),"https://expa.aiesec.org/opportunities/1289772")</f>
        <v>https://expa.aiesec.org/opportunities/1289772</v>
      </c>
      <c r="L103" s="43" t="str">
        <f>IFERROR(__xludf.DUMMYFUNCTION("""COMPUTED_VALUE"""),"GV")</f>
        <v>GV</v>
      </c>
      <c r="M103" s="43" t="str">
        <f>IFERROR(__xludf.DUMMYFUNCTION("""COMPUTED_VALUE"""),"short")</f>
        <v>short</v>
      </c>
      <c r="N103" s="45">
        <f>IFERROR(__xludf.DUMMYFUNCTION("""COMPUTED_VALUE"""),44852.0)</f>
        <v>44852</v>
      </c>
      <c r="O103" s="45">
        <f>IFERROR(__xludf.DUMMYFUNCTION("""COMPUTED_VALUE"""),45148.0)</f>
        <v>45148</v>
      </c>
      <c r="P103" s="45">
        <f>IFERROR(__xludf.DUMMYFUNCTION("""COMPUTED_VALUE"""),45190.0)</f>
        <v>45190</v>
      </c>
      <c r="Q103" s="45">
        <f>IFERROR(__xludf.DUMMYFUNCTION("""COMPUTED_VALUE"""),45149.0)</f>
        <v>45149</v>
      </c>
      <c r="R103" s="45">
        <f>IFERROR(__xludf.DUMMYFUNCTION("""COMPUTED_VALUE"""),45190.0)</f>
        <v>45190</v>
      </c>
      <c r="S103" s="43"/>
      <c r="T103" s="43"/>
      <c r="U103" s="43" t="str">
        <f>IFERROR(__xludf.DUMMYFUNCTION("""COMPUTED_VALUE"""),"Raise Your Voice")</f>
        <v>Raise Your Voice</v>
      </c>
      <c r="V103" s="43" t="str">
        <f>IFERROR(__xludf.DUMMYFUNCTION("""COMPUTED_VALUE"""),"KUTAHYA")</f>
        <v>KUTAHYA</v>
      </c>
      <c r="W103" s="43" t="str">
        <f>IFERROR(__xludf.DUMMYFUNCTION("""COMPUTED_VALUE"""),"2022-10-17T13:15:41Z")</f>
        <v>2022-10-17T13:15:41Z</v>
      </c>
      <c r="X103" s="43"/>
      <c r="Y103" s="43"/>
      <c r="Z103" s="43"/>
    </row>
    <row r="104" hidden="1">
      <c r="A104" s="43" t="str">
        <f>IFERROR(__xludf.DUMMYFUNCTION("""COMPUTED_VALUE"""),"5129993_1289372")</f>
        <v>5129993_1289372</v>
      </c>
      <c r="B104" s="43" t="str">
        <f>IFERROR(__xludf.DUMMYFUNCTION("""COMPUTED_VALUE"""),"Melisa Plan")</f>
        <v>Melisa Plan</v>
      </c>
      <c r="C104" s="43" t="str">
        <f>IFERROR(__xludf.DUMMYFUNCTION("""COMPUTED_VALUE"""),"completed")</f>
        <v>completed</v>
      </c>
      <c r="D104" s="43" t="str">
        <f>IFERROR(__xludf.DUMMYFUNCTION("""COMPUTED_VALUE"""),"No")</f>
        <v>No</v>
      </c>
      <c r="E104" s="43" t="str">
        <f>IFERROR(__xludf.DUMMYFUNCTION("""COMPUTED_VALUE"""),"p_aa7049275f0b4887a4ae90880fde9f4aadf9cbc0@inbound.aiesec.org")</f>
        <v>p_aa7049275f0b4887a4ae90880fde9f4aadf9cbc0@inbound.aiesec.org</v>
      </c>
      <c r="F104" s="43">
        <f>IFERROR(__xludf.DUMMYFUNCTION("""COMPUTED_VALUE"""),5.377370149E9)</f>
        <v>5377370149</v>
      </c>
      <c r="G104" s="43" t="str">
        <f>IFERROR(__xludf.DUMMYFUNCTION("""COMPUTED_VALUE"""),"Turkey")</f>
        <v>Turkey</v>
      </c>
      <c r="H104" s="43" t="str">
        <f>IFERROR(__xludf.DUMMYFUNCTION("""COMPUTED_VALUE"""),"ANKARA")</f>
        <v>ANKARA</v>
      </c>
      <c r="I104" s="43" t="str">
        <f>IFERROR(__xludf.DUMMYFUNCTION("""COMPUTED_VALUE"""),"Egypt")</f>
        <v>Egypt</v>
      </c>
      <c r="J104" s="43" t="str">
        <f>IFERROR(__xludf.DUMMYFUNCTION("""COMPUTED_VALUE"""),"Ain Shams University")</f>
        <v>Ain Shams University</v>
      </c>
      <c r="K104" s="44" t="str">
        <f>IFERROR(__xludf.DUMMYFUNCTION("""COMPUTED_VALUE"""),"https://expa.aiesec.org/opportunities/1289372")</f>
        <v>https://expa.aiesec.org/opportunities/1289372</v>
      </c>
      <c r="L104" s="43" t="str">
        <f>IFERROR(__xludf.DUMMYFUNCTION("""COMPUTED_VALUE"""),"GV")</f>
        <v>GV</v>
      </c>
      <c r="M104" s="43" t="str">
        <f>IFERROR(__xludf.DUMMYFUNCTION("""COMPUTED_VALUE"""),"short")</f>
        <v>short</v>
      </c>
      <c r="N104" s="45">
        <f>IFERROR(__xludf.DUMMYFUNCTION("""COMPUTED_VALUE"""),44852.0)</f>
        <v>44852</v>
      </c>
      <c r="O104" s="45">
        <f>IFERROR(__xludf.DUMMYFUNCTION("""COMPUTED_VALUE"""),44958.0)</f>
        <v>44958</v>
      </c>
      <c r="P104" s="45">
        <f>IFERROR(__xludf.DUMMYFUNCTION("""COMPUTED_VALUE"""),45000.0)</f>
        <v>45000</v>
      </c>
      <c r="Q104" s="45">
        <f>IFERROR(__xludf.DUMMYFUNCTION("""COMPUTED_VALUE"""),44957.0)</f>
        <v>44957</v>
      </c>
      <c r="R104" s="45">
        <f>IFERROR(__xludf.DUMMYFUNCTION("""COMPUTED_VALUE"""),45000.0)</f>
        <v>45000</v>
      </c>
      <c r="S104" s="43"/>
      <c r="T104" s="43"/>
      <c r="U104" s="43" t="str">
        <f>IFERROR(__xludf.DUMMYFUNCTION("""COMPUTED_VALUE"""),"Rooted")</f>
        <v>Rooted</v>
      </c>
      <c r="V104" s="43" t="str">
        <f>IFERROR(__xludf.DUMMYFUNCTION("""COMPUTED_VALUE"""),"ANKARA")</f>
        <v>ANKARA</v>
      </c>
      <c r="W104" s="43" t="str">
        <f>IFERROR(__xludf.DUMMYFUNCTION("""COMPUTED_VALUE"""),"2022-10-11T13:17:27Z")</f>
        <v>2022-10-11T13:17:27Z</v>
      </c>
      <c r="X104" s="43"/>
      <c r="Y104" s="43"/>
      <c r="Z104" s="43"/>
    </row>
    <row r="105" hidden="1">
      <c r="A105" s="43" t="str">
        <f>IFERROR(__xludf.DUMMYFUNCTION("""COMPUTED_VALUE"""),"5132818_1290024")</f>
        <v>5132818_1290024</v>
      </c>
      <c r="B105" s="43" t="str">
        <f>IFERROR(__xludf.DUMMYFUNCTION("""COMPUTED_VALUE"""),"Melisa Gölemen")</f>
        <v>Melisa Gölemen</v>
      </c>
      <c r="C105" s="43" t="str">
        <f>IFERROR(__xludf.DUMMYFUNCTION("""COMPUTED_VALUE"""),"completed")</f>
        <v>completed</v>
      </c>
      <c r="D105" s="43" t="str">
        <f>IFERROR(__xludf.DUMMYFUNCTION("""COMPUTED_VALUE"""),"No")</f>
        <v>No</v>
      </c>
      <c r="E105" s="43" t="str">
        <f>IFERROR(__xludf.DUMMYFUNCTION("""COMPUTED_VALUE"""),"p_79a5599832b92ba307d9c8976eeb67851c180c4a@inbound.aiesec.org")</f>
        <v>p_79a5599832b92ba307d9c8976eeb67851c180c4a@inbound.aiesec.org</v>
      </c>
      <c r="F105" s="43">
        <f>IFERROR(__xludf.DUMMYFUNCTION("""COMPUTED_VALUE"""),5.323937396E9)</f>
        <v>5323937396</v>
      </c>
      <c r="G105" s="43" t="str">
        <f>IFERROR(__xludf.DUMMYFUNCTION("""COMPUTED_VALUE"""),"Turkey")</f>
        <v>Turkey</v>
      </c>
      <c r="H105" s="43" t="str">
        <f>IFERROR(__xludf.DUMMYFUNCTION("""COMPUTED_VALUE"""),"ISTANBUL")</f>
        <v>ISTANBUL</v>
      </c>
      <c r="I105" s="43" t="str">
        <f>IFERROR(__xludf.DUMMYFUNCTION("""COMPUTED_VALUE"""),"Egypt")</f>
        <v>Egypt</v>
      </c>
      <c r="J105" s="43" t="str">
        <f>IFERROR(__xludf.DUMMYFUNCTION("""COMPUTED_VALUE"""),"Ain Shams University")</f>
        <v>Ain Shams University</v>
      </c>
      <c r="K105" s="44" t="str">
        <f>IFERROR(__xludf.DUMMYFUNCTION("""COMPUTED_VALUE"""),"https://expa.aiesec.org/opportunities/1290024")</f>
        <v>https://expa.aiesec.org/opportunities/1290024</v>
      </c>
      <c r="L105" s="43" t="str">
        <f>IFERROR(__xludf.DUMMYFUNCTION("""COMPUTED_VALUE"""),"GV")</f>
        <v>GV</v>
      </c>
      <c r="M105" s="43" t="str">
        <f>IFERROR(__xludf.DUMMYFUNCTION("""COMPUTED_VALUE"""),"short")</f>
        <v>short</v>
      </c>
      <c r="N105" s="45">
        <f>IFERROR(__xludf.DUMMYFUNCTION("""COMPUTED_VALUE"""),44852.0)</f>
        <v>44852</v>
      </c>
      <c r="O105" s="45">
        <f>IFERROR(__xludf.DUMMYFUNCTION("""COMPUTED_VALUE"""),45108.0)</f>
        <v>45108</v>
      </c>
      <c r="P105" s="45">
        <f>IFERROR(__xludf.DUMMYFUNCTION("""COMPUTED_VALUE"""),45150.0)</f>
        <v>45150</v>
      </c>
      <c r="Q105" s="45">
        <f>IFERROR(__xludf.DUMMYFUNCTION("""COMPUTED_VALUE"""),45107.0)</f>
        <v>45107</v>
      </c>
      <c r="R105" s="45">
        <f>IFERROR(__xludf.DUMMYFUNCTION("""COMPUTED_VALUE"""),45154.0)</f>
        <v>45154</v>
      </c>
      <c r="S105" s="43"/>
      <c r="T105" s="43"/>
      <c r="U105" s="43" t="str">
        <f>IFERROR(__xludf.DUMMYFUNCTION("""COMPUTED_VALUE"""),"On The Map")</f>
        <v>On The Map</v>
      </c>
      <c r="V105" s="43" t="str">
        <f>IFERROR(__xludf.DUMMYFUNCTION("""COMPUTED_VALUE"""),"ISTANBUL - BEYOGLU")</f>
        <v>ISTANBUL - BEYOGLU</v>
      </c>
      <c r="W105" s="43" t="str">
        <f>IFERROR(__xludf.DUMMYFUNCTION("""COMPUTED_VALUE"""),"2022-10-14T11:01:08Z")</f>
        <v>2022-10-14T11:01:08Z</v>
      </c>
      <c r="X105" s="43"/>
      <c r="Y105" s="43"/>
      <c r="Z105" s="43"/>
    </row>
    <row r="106" hidden="1">
      <c r="A106" s="43" t="str">
        <f>IFERROR(__xludf.DUMMYFUNCTION("""COMPUTED_VALUE"""),"5134956_1289772")</f>
        <v>5134956_1289772</v>
      </c>
      <c r="B106" s="43" t="str">
        <f>IFERROR(__xludf.DUMMYFUNCTION("""COMPUTED_VALUE"""),"mehmet can öztürk")</f>
        <v>mehmet can öztürk</v>
      </c>
      <c r="C106" s="43" t="str">
        <f>IFERROR(__xludf.DUMMYFUNCTION("""COMPUTED_VALUE"""),"completed")</f>
        <v>completed</v>
      </c>
      <c r="D106" s="43" t="str">
        <f>IFERROR(__xludf.DUMMYFUNCTION("""COMPUTED_VALUE"""),"No")</f>
        <v>No</v>
      </c>
      <c r="E106" s="43" t="str">
        <f>IFERROR(__xludf.DUMMYFUNCTION("""COMPUTED_VALUE"""),"p_188bafecc74c8a7f31ea61d017b1877a9e3c973b@inbound.aiesec.org")</f>
        <v>p_188bafecc74c8a7f31ea61d017b1877a9e3c973b@inbound.aiesec.org</v>
      </c>
      <c r="F106" s="43">
        <f>IFERROR(__xludf.DUMMYFUNCTION("""COMPUTED_VALUE"""),5.342127618E9)</f>
        <v>5342127618</v>
      </c>
      <c r="G106" s="43" t="str">
        <f>IFERROR(__xludf.DUMMYFUNCTION("""COMPUTED_VALUE"""),"Turkey")</f>
        <v>Turkey</v>
      </c>
      <c r="H106" s="43" t="str">
        <f>IFERROR(__xludf.DUMMYFUNCTION("""COMPUTED_VALUE"""),"ISTANBUL")</f>
        <v>ISTANBUL</v>
      </c>
      <c r="I106" s="43" t="str">
        <f>IFERROR(__xludf.DUMMYFUNCTION("""COMPUTED_VALUE"""),"Egypt")</f>
        <v>Egypt</v>
      </c>
      <c r="J106" s="43" t="str">
        <f>IFERROR(__xludf.DUMMYFUNCTION("""COMPUTED_VALUE"""),"GUC")</f>
        <v>GUC</v>
      </c>
      <c r="K106" s="44" t="str">
        <f>IFERROR(__xludf.DUMMYFUNCTION("""COMPUTED_VALUE"""),"https://expa.aiesec.org/opportunities/1289772")</f>
        <v>https://expa.aiesec.org/opportunities/1289772</v>
      </c>
      <c r="L106" s="43" t="str">
        <f>IFERROR(__xludf.DUMMYFUNCTION("""COMPUTED_VALUE"""),"GV")</f>
        <v>GV</v>
      </c>
      <c r="M106" s="43" t="str">
        <f>IFERROR(__xludf.DUMMYFUNCTION("""COMPUTED_VALUE"""),"short")</f>
        <v>short</v>
      </c>
      <c r="N106" s="45">
        <f>IFERROR(__xludf.DUMMYFUNCTION("""COMPUTED_VALUE"""),44853.0)</f>
        <v>44853</v>
      </c>
      <c r="O106" s="45">
        <f>IFERROR(__xludf.DUMMYFUNCTION("""COMPUTED_VALUE"""),45148.0)</f>
        <v>45148</v>
      </c>
      <c r="P106" s="45">
        <f>IFERROR(__xludf.DUMMYFUNCTION("""COMPUTED_VALUE"""),45190.0)</f>
        <v>45190</v>
      </c>
      <c r="Q106" s="45">
        <f>IFERROR(__xludf.DUMMYFUNCTION("""COMPUTED_VALUE"""),45149.0)</f>
        <v>45149</v>
      </c>
      <c r="R106" s="45">
        <f>IFERROR(__xludf.DUMMYFUNCTION("""COMPUTED_VALUE"""),45190.0)</f>
        <v>45190</v>
      </c>
      <c r="S106" s="43"/>
      <c r="T106" s="43"/>
      <c r="U106" s="43" t="str">
        <f>IFERROR(__xludf.DUMMYFUNCTION("""COMPUTED_VALUE"""),"Raise Your Voice")</f>
        <v>Raise Your Voice</v>
      </c>
      <c r="V106" s="43" t="str">
        <f>IFERROR(__xludf.DUMMYFUNCTION("""COMPUTED_VALUE"""),"ISTANBUL - BEYOGLU")</f>
        <v>ISTANBUL - BEYOGLU</v>
      </c>
      <c r="W106" s="43" t="str">
        <f>IFERROR(__xludf.DUMMYFUNCTION("""COMPUTED_VALUE"""),"2022-10-17T14:20:49Z")</f>
        <v>2022-10-17T14:20:49Z</v>
      </c>
      <c r="X106" s="43"/>
      <c r="Y106" s="43"/>
      <c r="Z106" s="43"/>
    </row>
    <row r="107" hidden="1">
      <c r="A107" s="43" t="str">
        <f>IFERROR(__xludf.DUMMYFUNCTION("""COMPUTED_VALUE"""),"5132793_1288798")</f>
        <v>5132793_1288798</v>
      </c>
      <c r="B107" s="43" t="str">
        <f>IFERROR(__xludf.DUMMYFUNCTION("""COMPUTED_VALUE"""),"Bengisu Üstüntaş")</f>
        <v>Bengisu Üstüntaş</v>
      </c>
      <c r="C107" s="43" t="str">
        <f>IFERROR(__xludf.DUMMYFUNCTION("""COMPUTED_VALUE"""),"completed")</f>
        <v>completed</v>
      </c>
      <c r="D107" s="43" t="str">
        <f>IFERROR(__xludf.DUMMYFUNCTION("""COMPUTED_VALUE"""),"No")</f>
        <v>No</v>
      </c>
      <c r="E107" s="43" t="str">
        <f>IFERROR(__xludf.DUMMYFUNCTION("""COMPUTED_VALUE"""),"p_453014be971a8f94a9b66f721bdfe375413b6f9f@inbound.aiesec.org")</f>
        <v>p_453014be971a8f94a9b66f721bdfe375413b6f9f@inbound.aiesec.org</v>
      </c>
      <c r="F107" s="43">
        <f>IFERROR(__xludf.DUMMYFUNCTION("""COMPUTED_VALUE"""),5.301633922E9)</f>
        <v>5301633922</v>
      </c>
      <c r="G107" s="43" t="str">
        <f>IFERROR(__xludf.DUMMYFUNCTION("""COMPUTED_VALUE"""),"Turkey")</f>
        <v>Turkey</v>
      </c>
      <c r="H107" s="43" t="str">
        <f>IFERROR(__xludf.DUMMYFUNCTION("""COMPUTED_VALUE"""),"ISTANBUL")</f>
        <v>ISTANBUL</v>
      </c>
      <c r="I107" s="43" t="str">
        <f>IFERROR(__xludf.DUMMYFUNCTION("""COMPUTED_VALUE"""),"Sri Lanka")</f>
        <v>Sri Lanka</v>
      </c>
      <c r="J107" s="43" t="str">
        <f>IFERROR(__xludf.DUMMYFUNCTION("""COMPUTED_VALUE"""),"COLOMBO SOUTH")</f>
        <v>COLOMBO SOUTH</v>
      </c>
      <c r="K107" s="44" t="str">
        <f>IFERROR(__xludf.DUMMYFUNCTION("""COMPUTED_VALUE"""),"https://expa.aiesec.org/opportunities/1288798")</f>
        <v>https://expa.aiesec.org/opportunities/1288798</v>
      </c>
      <c r="L107" s="43" t="str">
        <f>IFERROR(__xludf.DUMMYFUNCTION("""COMPUTED_VALUE"""),"GV")</f>
        <v>GV</v>
      </c>
      <c r="M107" s="43" t="str">
        <f>IFERROR(__xludf.DUMMYFUNCTION("""COMPUTED_VALUE"""),"short")</f>
        <v>short</v>
      </c>
      <c r="N107" s="45">
        <f>IFERROR(__xludf.DUMMYFUNCTION("""COMPUTED_VALUE"""),44853.0)</f>
        <v>44853</v>
      </c>
      <c r="O107" s="45">
        <f>IFERROR(__xludf.DUMMYFUNCTION("""COMPUTED_VALUE"""),45138.0)</f>
        <v>45138</v>
      </c>
      <c r="P107" s="45">
        <f>IFERROR(__xludf.DUMMYFUNCTION("""COMPUTED_VALUE"""),45180.0)</f>
        <v>45180</v>
      </c>
      <c r="Q107" s="45">
        <f>IFERROR(__xludf.DUMMYFUNCTION("""COMPUTED_VALUE"""),45138.0)</f>
        <v>45138</v>
      </c>
      <c r="R107" s="45">
        <f>IFERROR(__xludf.DUMMYFUNCTION("""COMPUTED_VALUE"""),45180.0)</f>
        <v>45180</v>
      </c>
      <c r="S107" s="43"/>
      <c r="T107" s="43"/>
      <c r="U107" s="43" t="str">
        <f>IFERROR(__xludf.DUMMYFUNCTION("""COMPUTED_VALUE"""),"Heartbeat")</f>
        <v>Heartbeat</v>
      </c>
      <c r="V107" s="43" t="str">
        <f>IFERROR(__xludf.DUMMYFUNCTION("""COMPUTED_VALUE"""),"ISTANBUL - BEYOGLU")</f>
        <v>ISTANBUL - BEYOGLU</v>
      </c>
      <c r="W107" s="43" t="str">
        <f>IFERROR(__xludf.DUMMYFUNCTION("""COMPUTED_VALUE"""),"2022-10-14T10:19:09Z")</f>
        <v>2022-10-14T10:19:09Z</v>
      </c>
      <c r="X107" s="43"/>
      <c r="Y107" s="43"/>
      <c r="Z107" s="43"/>
    </row>
    <row r="108" hidden="1">
      <c r="A108" s="43" t="str">
        <f>IFERROR(__xludf.DUMMYFUNCTION("""COMPUTED_VALUE"""),"5132459_1289954")</f>
        <v>5132459_1289954</v>
      </c>
      <c r="B108" s="43" t="str">
        <f>IFERROR(__xludf.DUMMYFUNCTION("""COMPUTED_VALUE"""),"Özgür Özkaya")</f>
        <v>Özgür Özkaya</v>
      </c>
      <c r="C108" s="43" t="str">
        <f>IFERROR(__xludf.DUMMYFUNCTION("""COMPUTED_VALUE"""),"completed")</f>
        <v>completed</v>
      </c>
      <c r="D108" s="43" t="str">
        <f>IFERROR(__xludf.DUMMYFUNCTION("""COMPUTED_VALUE"""),"No")</f>
        <v>No</v>
      </c>
      <c r="E108" s="43" t="str">
        <f>IFERROR(__xludf.DUMMYFUNCTION("""COMPUTED_VALUE"""),"p_b2646dd9d8dd5c412f39d9e5ed7f9e08f5d3a403@inbound.aiesec.org")</f>
        <v>p_b2646dd9d8dd5c412f39d9e5ed7f9e08f5d3a403@inbound.aiesec.org</v>
      </c>
      <c r="F108" s="43"/>
      <c r="G108" s="43" t="str">
        <f>IFERROR(__xludf.DUMMYFUNCTION("""COMPUTED_VALUE"""),"Turkey")</f>
        <v>Turkey</v>
      </c>
      <c r="H108" s="43" t="str">
        <f>IFERROR(__xludf.DUMMYFUNCTION("""COMPUTED_VALUE"""),"BURSA")</f>
        <v>BURSA</v>
      </c>
      <c r="I108" s="43" t="str">
        <f>IFERROR(__xludf.DUMMYFUNCTION("""COMPUTED_VALUE"""),"Egypt")</f>
        <v>Egypt</v>
      </c>
      <c r="J108" s="43" t="str">
        <f>IFERROR(__xludf.DUMMYFUNCTION("""COMPUTED_VALUE"""),"AUC")</f>
        <v>AUC</v>
      </c>
      <c r="K108" s="44" t="str">
        <f>IFERROR(__xludf.DUMMYFUNCTION("""COMPUTED_VALUE"""),"https://expa.aiesec.org/opportunities/1289954")</f>
        <v>https://expa.aiesec.org/opportunities/1289954</v>
      </c>
      <c r="L108" s="43" t="str">
        <f>IFERROR(__xludf.DUMMYFUNCTION("""COMPUTED_VALUE"""),"GV")</f>
        <v>GV</v>
      </c>
      <c r="M108" s="43" t="str">
        <f>IFERROR(__xludf.DUMMYFUNCTION("""COMPUTED_VALUE"""),"short")</f>
        <v>short</v>
      </c>
      <c r="N108" s="45">
        <f>IFERROR(__xludf.DUMMYFUNCTION("""COMPUTED_VALUE"""),44854.0)</f>
        <v>44854</v>
      </c>
      <c r="O108" s="45">
        <f>IFERROR(__xludf.DUMMYFUNCTION("""COMPUTED_VALUE"""),45108.0)</f>
        <v>45108</v>
      </c>
      <c r="P108" s="45">
        <f>IFERROR(__xludf.DUMMYFUNCTION("""COMPUTED_VALUE"""),45150.0)</f>
        <v>45150</v>
      </c>
      <c r="Q108" s="45">
        <f>IFERROR(__xludf.DUMMYFUNCTION("""COMPUTED_VALUE"""),45109.0)</f>
        <v>45109</v>
      </c>
      <c r="R108" s="45">
        <f>IFERROR(__xludf.DUMMYFUNCTION("""COMPUTED_VALUE"""),45150.0)</f>
        <v>45150</v>
      </c>
      <c r="S108" s="43"/>
      <c r="T108" s="43"/>
      <c r="U108" s="43" t="str">
        <f>IFERROR(__xludf.DUMMYFUNCTION("""COMPUTED_VALUE"""),"On The Map")</f>
        <v>On The Map</v>
      </c>
      <c r="V108" s="43" t="str">
        <f>IFERROR(__xludf.DUMMYFUNCTION("""COMPUTED_VALUE"""),"BURSA")</f>
        <v>BURSA</v>
      </c>
      <c r="W108" s="43" t="str">
        <f>IFERROR(__xludf.DUMMYFUNCTION("""COMPUTED_VALUE"""),"2022-10-13T17:52:20Z")</f>
        <v>2022-10-13T17:52:20Z</v>
      </c>
      <c r="X108" s="43"/>
      <c r="Y108" s="43"/>
      <c r="Z108" s="43"/>
    </row>
    <row r="109" hidden="1">
      <c r="A109" s="43" t="str">
        <f>IFERROR(__xludf.DUMMYFUNCTION("""COMPUTED_VALUE"""),"5116308_1289752")</f>
        <v>5116308_1289752</v>
      </c>
      <c r="B109" s="43" t="str">
        <f>IFERROR(__xludf.DUMMYFUNCTION("""COMPUTED_VALUE"""),"Asya Tamer")</f>
        <v>Asya Tamer</v>
      </c>
      <c r="C109" s="43" t="str">
        <f>IFERROR(__xludf.DUMMYFUNCTION("""COMPUTED_VALUE"""),"completed")</f>
        <v>completed</v>
      </c>
      <c r="D109" s="43" t="str">
        <f>IFERROR(__xludf.DUMMYFUNCTION("""COMPUTED_VALUE"""),"No")</f>
        <v>No</v>
      </c>
      <c r="E109" s="43" t="str">
        <f>IFERROR(__xludf.DUMMYFUNCTION("""COMPUTED_VALUE"""),"p_cd3c4f8506f443c337b2fcbd6101989836ba269b@inbound.aiesec.org")</f>
        <v>p_cd3c4f8506f443c337b2fcbd6101989836ba269b@inbound.aiesec.org</v>
      </c>
      <c r="F109" s="43"/>
      <c r="G109" s="43" t="str">
        <f>IFERROR(__xludf.DUMMYFUNCTION("""COMPUTED_VALUE"""),"Turkey")</f>
        <v>Turkey</v>
      </c>
      <c r="H109" s="43" t="str">
        <f>IFERROR(__xludf.DUMMYFUNCTION("""COMPUTED_VALUE"""),"ISTANBUL WEST")</f>
        <v>ISTANBUL WEST</v>
      </c>
      <c r="I109" s="43" t="str">
        <f>IFERROR(__xludf.DUMMYFUNCTION("""COMPUTED_VALUE"""),"Italy")</f>
        <v>Italy</v>
      </c>
      <c r="J109" s="43" t="str">
        <f>IFERROR(__xludf.DUMMYFUNCTION("""COMPUTED_VALUE"""),"Venezia")</f>
        <v>Venezia</v>
      </c>
      <c r="K109" s="44" t="str">
        <f>IFERROR(__xludf.DUMMYFUNCTION("""COMPUTED_VALUE"""),"https://expa.aiesec.org/opportunities/1289752")</f>
        <v>https://expa.aiesec.org/opportunities/1289752</v>
      </c>
      <c r="L109" s="43" t="str">
        <f>IFERROR(__xludf.DUMMYFUNCTION("""COMPUTED_VALUE"""),"GV")</f>
        <v>GV</v>
      </c>
      <c r="M109" s="43" t="str">
        <f>IFERROR(__xludf.DUMMYFUNCTION("""COMPUTED_VALUE"""),"short")</f>
        <v>short</v>
      </c>
      <c r="N109" s="45">
        <f>IFERROR(__xludf.DUMMYFUNCTION("""COMPUTED_VALUE"""),44854.0)</f>
        <v>44854</v>
      </c>
      <c r="O109" s="45">
        <f>IFERROR(__xludf.DUMMYFUNCTION("""COMPUTED_VALUE"""),44886.0)</f>
        <v>44886</v>
      </c>
      <c r="P109" s="45">
        <f>IFERROR(__xludf.DUMMYFUNCTION("""COMPUTED_VALUE"""),44928.0)</f>
        <v>44928</v>
      </c>
      <c r="Q109" s="45">
        <f>IFERROR(__xludf.DUMMYFUNCTION("""COMPUTED_VALUE"""),44886.0)</f>
        <v>44886</v>
      </c>
      <c r="R109" s="45">
        <f>IFERROR(__xludf.DUMMYFUNCTION("""COMPUTED_VALUE"""),44928.0)</f>
        <v>44928</v>
      </c>
      <c r="S109" s="43"/>
      <c r="T109" s="43"/>
      <c r="U109" s="43" t="str">
        <f>IFERROR(__xludf.DUMMYFUNCTION("""COMPUTED_VALUE"""),"Youth 4 Impact")</f>
        <v>Youth 4 Impact</v>
      </c>
      <c r="V109" s="43" t="str">
        <f>IFERROR(__xludf.DUMMYFUNCTION("""COMPUTED_VALUE"""),"-")</f>
        <v>-</v>
      </c>
      <c r="W109" s="43" t="str">
        <f>IFERROR(__xludf.DUMMYFUNCTION("""COMPUTED_VALUE"""),"2022-09-20T14:42:04Z")</f>
        <v>2022-09-20T14:42:04Z</v>
      </c>
      <c r="X109" s="43"/>
      <c r="Y109" s="43"/>
      <c r="Z109" s="43"/>
    </row>
    <row r="110" hidden="1">
      <c r="A110" s="43" t="str">
        <f>IFERROR(__xludf.DUMMYFUNCTION("""COMPUTED_VALUE"""),"5132898_1289954")</f>
        <v>5132898_1289954</v>
      </c>
      <c r="B110" s="43" t="str">
        <f>IFERROR(__xludf.DUMMYFUNCTION("""COMPUTED_VALUE"""),"İrem Sever")</f>
        <v>İrem Sever</v>
      </c>
      <c r="C110" s="43" t="str">
        <f>IFERROR(__xludf.DUMMYFUNCTION("""COMPUTED_VALUE"""),"approval_broken")</f>
        <v>approval_broken</v>
      </c>
      <c r="D110" s="43" t="str">
        <f>IFERROR(__xludf.DUMMYFUNCTION("""COMPUTED_VALUE"""),"No")</f>
        <v>No</v>
      </c>
      <c r="E110" s="43" t="str">
        <f>IFERROR(__xludf.DUMMYFUNCTION("""COMPUTED_VALUE"""),"p_3348e5feaf7aca2825b7ced37cc88b94a2706c8a@inbound.aiesec.org")</f>
        <v>p_3348e5feaf7aca2825b7ced37cc88b94a2706c8a@inbound.aiesec.org</v>
      </c>
      <c r="F110" s="43">
        <f>IFERROR(__xludf.DUMMYFUNCTION("""COMPUTED_VALUE"""),5.356719215E9)</f>
        <v>5356719215</v>
      </c>
      <c r="G110" s="43" t="str">
        <f>IFERROR(__xludf.DUMMYFUNCTION("""COMPUTED_VALUE"""),"Turkey")</f>
        <v>Turkey</v>
      </c>
      <c r="H110" s="43" t="str">
        <f>IFERROR(__xludf.DUMMYFUNCTION("""COMPUTED_VALUE"""),"ISTANBUL ASIA")</f>
        <v>ISTANBUL ASIA</v>
      </c>
      <c r="I110" s="43" t="str">
        <f>IFERROR(__xludf.DUMMYFUNCTION("""COMPUTED_VALUE"""),"Egypt")</f>
        <v>Egypt</v>
      </c>
      <c r="J110" s="43" t="str">
        <f>IFERROR(__xludf.DUMMYFUNCTION("""COMPUTED_VALUE"""),"AUC")</f>
        <v>AUC</v>
      </c>
      <c r="K110" s="44" t="str">
        <f>IFERROR(__xludf.DUMMYFUNCTION("""COMPUTED_VALUE"""),"https://expa.aiesec.org/opportunities/1289954")</f>
        <v>https://expa.aiesec.org/opportunities/1289954</v>
      </c>
      <c r="L110" s="43" t="str">
        <f>IFERROR(__xludf.DUMMYFUNCTION("""COMPUTED_VALUE"""),"GV")</f>
        <v>GV</v>
      </c>
      <c r="M110" s="43" t="str">
        <f>IFERROR(__xludf.DUMMYFUNCTION("""COMPUTED_VALUE"""),"short")</f>
        <v>short</v>
      </c>
      <c r="N110" s="45">
        <f>IFERROR(__xludf.DUMMYFUNCTION("""COMPUTED_VALUE"""),45140.0)</f>
        <v>45140</v>
      </c>
      <c r="O110" s="45">
        <f>IFERROR(__xludf.DUMMYFUNCTION("""COMPUTED_VALUE"""),45108.0)</f>
        <v>45108</v>
      </c>
      <c r="P110" s="45">
        <f>IFERROR(__xludf.DUMMYFUNCTION("""COMPUTED_VALUE"""),45150.0)</f>
        <v>45150</v>
      </c>
      <c r="Q110" s="45"/>
      <c r="R110" s="45"/>
      <c r="S110" s="43"/>
      <c r="T110" s="43"/>
      <c r="U110" s="43" t="str">
        <f>IFERROR(__xludf.DUMMYFUNCTION("""COMPUTED_VALUE"""),"On The Map")</f>
        <v>On The Map</v>
      </c>
      <c r="V110" s="43" t="str">
        <f>IFERROR(__xludf.DUMMYFUNCTION("""COMPUTED_VALUE"""),"ISTANBUL ASIA")</f>
        <v>ISTANBUL ASIA</v>
      </c>
      <c r="W110" s="43" t="str">
        <f>IFERROR(__xludf.DUMMYFUNCTION("""COMPUTED_VALUE"""),"2022-10-14T14:01:59Z")</f>
        <v>2022-10-14T14:01:59Z</v>
      </c>
      <c r="X110" s="43"/>
      <c r="Y110" s="43"/>
      <c r="Z110" s="43"/>
    </row>
    <row r="111" hidden="1">
      <c r="A111" s="43" t="str">
        <f>IFERROR(__xludf.DUMMYFUNCTION("""COMPUTED_VALUE"""),"5127825_1290026")</f>
        <v>5127825_1290026</v>
      </c>
      <c r="B111" s="43" t="str">
        <f>IFERROR(__xludf.DUMMYFUNCTION("""COMPUTED_VALUE"""),"Gülsu Gökceoğlu")</f>
        <v>Gülsu Gökceoğlu</v>
      </c>
      <c r="C111" s="43" t="str">
        <f>IFERROR(__xludf.DUMMYFUNCTION("""COMPUTED_VALUE"""),"completed")</f>
        <v>completed</v>
      </c>
      <c r="D111" s="43" t="str">
        <f>IFERROR(__xludf.DUMMYFUNCTION("""COMPUTED_VALUE"""),"No")</f>
        <v>No</v>
      </c>
      <c r="E111" s="43" t="str">
        <f>IFERROR(__xludf.DUMMYFUNCTION("""COMPUTED_VALUE"""),"p_6dddcd96dd7a754244310fef47160b53020af262@inbound.aiesec.org")</f>
        <v>p_6dddcd96dd7a754244310fef47160b53020af262@inbound.aiesec.org</v>
      </c>
      <c r="F111" s="43"/>
      <c r="G111" s="43" t="str">
        <f>IFERROR(__xludf.DUMMYFUNCTION("""COMPUTED_VALUE"""),"Turkey")</f>
        <v>Turkey</v>
      </c>
      <c r="H111" s="43" t="str">
        <f>IFERROR(__xludf.DUMMYFUNCTION("""COMPUTED_VALUE"""),"KOCAELI")</f>
        <v>KOCAELI</v>
      </c>
      <c r="I111" s="43" t="str">
        <f>IFERROR(__xludf.DUMMYFUNCTION("""COMPUTED_VALUE"""),"Romania")</f>
        <v>Romania</v>
      </c>
      <c r="J111" s="43" t="str">
        <f>IFERROR(__xludf.DUMMYFUNCTION("""COMPUTED_VALUE"""),"Cluj-Napoca")</f>
        <v>Cluj-Napoca</v>
      </c>
      <c r="K111" s="44" t="str">
        <f>IFERROR(__xludf.DUMMYFUNCTION("""COMPUTED_VALUE"""),"https://expa.aiesec.org/opportunities/1290026")</f>
        <v>https://expa.aiesec.org/opportunities/1290026</v>
      </c>
      <c r="L111" s="43" t="str">
        <f>IFERROR(__xludf.DUMMYFUNCTION("""COMPUTED_VALUE"""),"GV")</f>
        <v>GV</v>
      </c>
      <c r="M111" s="43" t="str">
        <f>IFERROR(__xludf.DUMMYFUNCTION("""COMPUTED_VALUE"""),"short")</f>
        <v>short</v>
      </c>
      <c r="N111" s="45">
        <f>IFERROR(__xludf.DUMMYFUNCTION("""COMPUTED_VALUE"""),44854.0)</f>
        <v>44854</v>
      </c>
      <c r="O111" s="45">
        <f>IFERROR(__xludf.DUMMYFUNCTION("""COMPUTED_VALUE"""),44949.0)</f>
        <v>44949</v>
      </c>
      <c r="P111" s="45">
        <f>IFERROR(__xludf.DUMMYFUNCTION("""COMPUTED_VALUE"""),44991.0)</f>
        <v>44991</v>
      </c>
      <c r="Q111" s="45">
        <f>IFERROR(__xludf.DUMMYFUNCTION("""COMPUTED_VALUE"""),44949.0)</f>
        <v>44949</v>
      </c>
      <c r="R111" s="45">
        <f>IFERROR(__xludf.DUMMYFUNCTION("""COMPUTED_VALUE"""),44991.0)</f>
        <v>44991</v>
      </c>
      <c r="S111" s="43"/>
      <c r="T111" s="43"/>
      <c r="U111" s="43" t="str">
        <f>IFERROR(__xludf.DUMMYFUNCTION("""COMPUTED_VALUE"""),"Eat 4 Change")</f>
        <v>Eat 4 Change</v>
      </c>
      <c r="V111" s="43" t="str">
        <f>IFERROR(__xludf.DUMMYFUNCTION("""COMPUTED_VALUE"""),"-")</f>
        <v>-</v>
      </c>
      <c r="W111" s="43" t="str">
        <f>IFERROR(__xludf.DUMMYFUNCTION("""COMPUTED_VALUE"""),"2022-10-08T21:00:31Z")</f>
        <v>2022-10-08T21:00:31Z</v>
      </c>
      <c r="X111" s="43"/>
      <c r="Y111" s="43"/>
      <c r="Z111" s="43"/>
    </row>
    <row r="112" hidden="1">
      <c r="A112" s="43" t="str">
        <f>IFERROR(__xludf.DUMMYFUNCTION("""COMPUTED_VALUE"""),"5135171_1289985")</f>
        <v>5135171_1289985</v>
      </c>
      <c r="B112" s="43" t="str">
        <f>IFERROR(__xludf.DUMMYFUNCTION("""COMPUTED_VALUE"""),"İlgi Ertürk")</f>
        <v>İlgi Ertürk</v>
      </c>
      <c r="C112" s="43" t="str">
        <f>IFERROR(__xludf.DUMMYFUNCTION("""COMPUTED_VALUE"""),"completed")</f>
        <v>completed</v>
      </c>
      <c r="D112" s="43" t="str">
        <f>IFERROR(__xludf.DUMMYFUNCTION("""COMPUTED_VALUE"""),"No")</f>
        <v>No</v>
      </c>
      <c r="E112" s="43" t="str">
        <f>IFERROR(__xludf.DUMMYFUNCTION("""COMPUTED_VALUE"""),"p_cab83d13ec67854c22be6f130085d4348e9b8ba2@inbound.aiesec.org")</f>
        <v>p_cab83d13ec67854c22be6f130085d4348e9b8ba2@inbound.aiesec.org</v>
      </c>
      <c r="F112" s="43">
        <f>IFERROR(__xludf.DUMMYFUNCTION("""COMPUTED_VALUE"""),5.34677028E9)</f>
        <v>5346770280</v>
      </c>
      <c r="G112" s="43" t="str">
        <f>IFERROR(__xludf.DUMMYFUNCTION("""COMPUTED_VALUE"""),"Turkey")</f>
        <v>Turkey</v>
      </c>
      <c r="H112" s="43" t="str">
        <f>IFERROR(__xludf.DUMMYFUNCTION("""COMPUTED_VALUE"""),"ANKARA")</f>
        <v>ANKARA</v>
      </c>
      <c r="I112" s="43" t="str">
        <f>IFERROR(__xludf.DUMMYFUNCTION("""COMPUTED_VALUE"""),"India")</f>
        <v>India</v>
      </c>
      <c r="J112" s="43" t="str">
        <f>IFERROR(__xludf.DUMMYFUNCTION("""COMPUTED_VALUE"""),"Mumbai")</f>
        <v>Mumbai</v>
      </c>
      <c r="K112" s="44" t="str">
        <f>IFERROR(__xludf.DUMMYFUNCTION("""COMPUTED_VALUE"""),"https://expa.aiesec.org/opportunities/1289985")</f>
        <v>https://expa.aiesec.org/opportunities/1289985</v>
      </c>
      <c r="L112" s="43" t="str">
        <f>IFERROR(__xludf.DUMMYFUNCTION("""COMPUTED_VALUE"""),"GV")</f>
        <v>GV</v>
      </c>
      <c r="M112" s="43" t="str">
        <f>IFERROR(__xludf.DUMMYFUNCTION("""COMPUTED_VALUE"""),"short")</f>
        <v>short</v>
      </c>
      <c r="N112" s="45">
        <f>IFERROR(__xludf.DUMMYFUNCTION("""COMPUTED_VALUE"""),44856.0)</f>
        <v>44856</v>
      </c>
      <c r="O112" s="45">
        <f>IFERROR(__xludf.DUMMYFUNCTION("""COMPUTED_VALUE"""),45108.0)</f>
        <v>45108</v>
      </c>
      <c r="P112" s="45">
        <f>IFERROR(__xludf.DUMMYFUNCTION("""COMPUTED_VALUE"""),45150.0)</f>
        <v>45150</v>
      </c>
      <c r="Q112" s="45">
        <f>IFERROR(__xludf.DUMMYFUNCTION("""COMPUTED_VALUE"""),45110.0)</f>
        <v>45110</v>
      </c>
      <c r="R112" s="45">
        <f>IFERROR(__xludf.DUMMYFUNCTION("""COMPUTED_VALUE"""),45150.0)</f>
        <v>45150</v>
      </c>
      <c r="S112" s="43"/>
      <c r="T112" s="43"/>
      <c r="U112" s="43" t="str">
        <f>IFERROR(__xludf.DUMMYFUNCTION("""COMPUTED_VALUE"""),"Raise Your Voice")</f>
        <v>Raise Your Voice</v>
      </c>
      <c r="V112" s="43" t="str">
        <f>IFERROR(__xludf.DUMMYFUNCTION("""COMPUTED_VALUE"""),"ANKARA")</f>
        <v>ANKARA</v>
      </c>
      <c r="W112" s="43" t="str">
        <f>IFERROR(__xludf.DUMMYFUNCTION("""COMPUTED_VALUE"""),"2022-10-17T18:52:28Z")</f>
        <v>2022-10-17T18:52:28Z</v>
      </c>
      <c r="X112" s="43"/>
      <c r="Y112" s="43"/>
      <c r="Z112" s="43"/>
    </row>
    <row r="113" hidden="1">
      <c r="A113" s="43" t="str">
        <f>IFERROR(__xludf.DUMMYFUNCTION("""COMPUTED_VALUE"""),"5133115_1290243")</f>
        <v>5133115_1290243</v>
      </c>
      <c r="B113" s="43" t="str">
        <f>IFERROR(__xludf.DUMMYFUNCTION("""COMPUTED_VALUE"""),"Seçil Karaorman")</f>
        <v>Seçil Karaorman</v>
      </c>
      <c r="C113" s="43" t="str">
        <f>IFERROR(__xludf.DUMMYFUNCTION("""COMPUTED_VALUE"""),"completed")</f>
        <v>completed</v>
      </c>
      <c r="D113" s="43" t="str">
        <f>IFERROR(__xludf.DUMMYFUNCTION("""COMPUTED_VALUE"""),"No")</f>
        <v>No</v>
      </c>
      <c r="E113" s="43" t="str">
        <f>IFERROR(__xludf.DUMMYFUNCTION("""COMPUTED_VALUE"""),"p_a178018863efbea0e236af9b7f33436529486db5@inbound.aiesec.org")</f>
        <v>p_a178018863efbea0e236af9b7f33436529486db5@inbound.aiesec.org</v>
      </c>
      <c r="F113" s="43">
        <f>IFERROR(__xludf.DUMMYFUNCTION("""COMPUTED_VALUE"""),5.535142507E9)</f>
        <v>5535142507</v>
      </c>
      <c r="G113" s="43" t="str">
        <f>IFERROR(__xludf.DUMMYFUNCTION("""COMPUTED_VALUE"""),"Turkey")</f>
        <v>Turkey</v>
      </c>
      <c r="H113" s="43" t="str">
        <f>IFERROR(__xludf.DUMMYFUNCTION("""COMPUTED_VALUE"""),"İZMİR")</f>
        <v>İZMİR</v>
      </c>
      <c r="I113" s="43" t="str">
        <f>IFERROR(__xludf.DUMMYFUNCTION("""COMPUTED_VALUE"""),"Egypt")</f>
        <v>Egypt</v>
      </c>
      <c r="J113" s="43" t="str">
        <f>IFERROR(__xludf.DUMMYFUNCTION("""COMPUTED_VALUE"""),"GUC")</f>
        <v>GUC</v>
      </c>
      <c r="K113" s="44" t="str">
        <f>IFERROR(__xludf.DUMMYFUNCTION("""COMPUTED_VALUE"""),"https://expa.aiesec.org/opportunities/1290243")</f>
        <v>https://expa.aiesec.org/opportunities/1290243</v>
      </c>
      <c r="L113" s="43" t="str">
        <f>IFERROR(__xludf.DUMMYFUNCTION("""COMPUTED_VALUE"""),"GV")</f>
        <v>GV</v>
      </c>
      <c r="M113" s="43" t="str">
        <f>IFERROR(__xludf.DUMMYFUNCTION("""COMPUTED_VALUE"""),"short")</f>
        <v>short</v>
      </c>
      <c r="N113" s="45">
        <f>IFERROR(__xludf.DUMMYFUNCTION("""COMPUTED_VALUE"""),44857.0)</f>
        <v>44857</v>
      </c>
      <c r="O113" s="45">
        <f>IFERROR(__xludf.DUMMYFUNCTION("""COMPUTED_VALUE"""),45122.0)</f>
        <v>45122</v>
      </c>
      <c r="P113" s="45">
        <f>IFERROR(__xludf.DUMMYFUNCTION("""COMPUTED_VALUE"""),45164.0)</f>
        <v>45164</v>
      </c>
      <c r="Q113" s="45">
        <f>IFERROR(__xludf.DUMMYFUNCTION("""COMPUTED_VALUE"""),45122.0)</f>
        <v>45122</v>
      </c>
      <c r="R113" s="45">
        <f>IFERROR(__xludf.DUMMYFUNCTION("""COMPUTED_VALUE"""),45164.0)</f>
        <v>45164</v>
      </c>
      <c r="S113" s="43"/>
      <c r="T113" s="43"/>
      <c r="U113" s="43" t="str">
        <f>IFERROR(__xludf.DUMMYFUNCTION("""COMPUTED_VALUE"""),"On The Map")</f>
        <v>On The Map</v>
      </c>
      <c r="V113" s="43" t="str">
        <f>IFERROR(__xludf.DUMMYFUNCTION("""COMPUTED_VALUE"""),"IZMIR")</f>
        <v>IZMIR</v>
      </c>
      <c r="W113" s="43" t="str">
        <f>IFERROR(__xludf.DUMMYFUNCTION("""COMPUTED_VALUE"""),"2022-10-14T21:25:41Z")</f>
        <v>2022-10-14T21:25:41Z</v>
      </c>
      <c r="X113" s="43"/>
      <c r="Y113" s="43"/>
      <c r="Z113" s="43"/>
    </row>
    <row r="114" hidden="1">
      <c r="A114" s="43" t="str">
        <f>IFERROR(__xludf.DUMMYFUNCTION("""COMPUTED_VALUE"""),"5131459_1288441")</f>
        <v>5131459_1288441</v>
      </c>
      <c r="B114" s="43" t="str">
        <f>IFERROR(__xludf.DUMMYFUNCTION("""COMPUTED_VALUE"""),"Zeynep Erbayraktar")</f>
        <v>Zeynep Erbayraktar</v>
      </c>
      <c r="C114" s="43" t="str">
        <f>IFERROR(__xludf.DUMMYFUNCTION("""COMPUTED_VALUE"""),"completed")</f>
        <v>completed</v>
      </c>
      <c r="D114" s="43" t="str">
        <f>IFERROR(__xludf.DUMMYFUNCTION("""COMPUTED_VALUE"""),"No")</f>
        <v>No</v>
      </c>
      <c r="E114" s="43" t="str">
        <f>IFERROR(__xludf.DUMMYFUNCTION("""COMPUTED_VALUE"""),"p_da199f0b613d8826165ddb9f08676e67a53630f9@inbound.aiesec.org")</f>
        <v>p_da199f0b613d8826165ddb9f08676e67a53630f9@inbound.aiesec.org</v>
      </c>
      <c r="F114" s="43">
        <f>IFERROR(__xludf.DUMMYFUNCTION("""COMPUTED_VALUE"""),5.389595556E9)</f>
        <v>5389595556</v>
      </c>
      <c r="G114" s="43" t="str">
        <f>IFERROR(__xludf.DUMMYFUNCTION("""COMPUTED_VALUE"""),"Turkey")</f>
        <v>Turkey</v>
      </c>
      <c r="H114" s="43" t="str">
        <f>IFERROR(__xludf.DUMMYFUNCTION("""COMPUTED_VALUE"""),"ISTANBUL")</f>
        <v>ISTANBUL</v>
      </c>
      <c r="I114" s="43" t="str">
        <f>IFERROR(__xludf.DUMMYFUNCTION("""COMPUTED_VALUE"""),"India")</f>
        <v>India</v>
      </c>
      <c r="J114" s="43" t="str">
        <f>IFERROR(__xludf.DUMMYFUNCTION("""COMPUTED_VALUE"""),"JAIPUR ")</f>
        <v>JAIPUR </v>
      </c>
      <c r="K114" s="44" t="str">
        <f>IFERROR(__xludf.DUMMYFUNCTION("""COMPUTED_VALUE"""),"https://expa.aiesec.org/opportunities/1288441")</f>
        <v>https://expa.aiesec.org/opportunities/1288441</v>
      </c>
      <c r="L114" s="43" t="str">
        <f>IFERROR(__xludf.DUMMYFUNCTION("""COMPUTED_VALUE"""),"GV")</f>
        <v>GV</v>
      </c>
      <c r="M114" s="43" t="str">
        <f>IFERROR(__xludf.DUMMYFUNCTION("""COMPUTED_VALUE"""),"short")</f>
        <v>short</v>
      </c>
      <c r="N114" s="45">
        <f>IFERROR(__xludf.DUMMYFUNCTION("""COMPUTED_VALUE"""),44858.0)</f>
        <v>44858</v>
      </c>
      <c r="O114" s="45">
        <f>IFERROR(__xludf.DUMMYFUNCTION("""COMPUTED_VALUE"""),44947.0)</f>
        <v>44947</v>
      </c>
      <c r="P114" s="45">
        <f>IFERROR(__xludf.DUMMYFUNCTION("""COMPUTED_VALUE"""),44989.0)</f>
        <v>44989</v>
      </c>
      <c r="Q114" s="45">
        <f>IFERROR(__xludf.DUMMYFUNCTION("""COMPUTED_VALUE"""),44946.0)</f>
        <v>44946</v>
      </c>
      <c r="R114" s="45">
        <f>IFERROR(__xludf.DUMMYFUNCTION("""COMPUTED_VALUE"""),44989.0)</f>
        <v>44989</v>
      </c>
      <c r="S114" s="43"/>
      <c r="T114" s="43"/>
      <c r="U114" s="43" t="str">
        <f>IFERROR(__xludf.DUMMYFUNCTION("""COMPUTED_VALUE"""),"Youth 4 Impact")</f>
        <v>Youth 4 Impact</v>
      </c>
      <c r="V114" s="43" t="str">
        <f>IFERROR(__xludf.DUMMYFUNCTION("""COMPUTED_VALUE"""),"ISTANBUL - BEYOGLU")</f>
        <v>ISTANBUL - BEYOGLU</v>
      </c>
      <c r="W114" s="43" t="str">
        <f>IFERROR(__xludf.DUMMYFUNCTION("""COMPUTED_VALUE"""),"2022-10-12T20:33:56Z")</f>
        <v>2022-10-12T20:33:56Z</v>
      </c>
      <c r="X114" s="43"/>
      <c r="Y114" s="43"/>
      <c r="Z114" s="43"/>
    </row>
    <row r="115" hidden="1">
      <c r="A115" s="43" t="str">
        <f>IFERROR(__xludf.DUMMYFUNCTION("""COMPUTED_VALUE"""),"5134020_1288798")</f>
        <v>5134020_1288798</v>
      </c>
      <c r="B115" s="43" t="str">
        <f>IFERROR(__xludf.DUMMYFUNCTION("""COMPUTED_VALUE"""),"Ekrem Kavsara")</f>
        <v>Ekrem Kavsara</v>
      </c>
      <c r="C115" s="43" t="str">
        <f>IFERROR(__xludf.DUMMYFUNCTION("""COMPUTED_VALUE"""),"completed")</f>
        <v>completed</v>
      </c>
      <c r="D115" s="43" t="str">
        <f>IFERROR(__xludf.DUMMYFUNCTION("""COMPUTED_VALUE"""),"No")</f>
        <v>No</v>
      </c>
      <c r="E115" s="43" t="str">
        <f>IFERROR(__xludf.DUMMYFUNCTION("""COMPUTED_VALUE"""),"p_b58c1389b90ed3ec67ce9c92c33a08cbd1cd3873@inbound.aiesec.org")</f>
        <v>p_b58c1389b90ed3ec67ce9c92c33a08cbd1cd3873@inbound.aiesec.org</v>
      </c>
      <c r="F115" s="43">
        <f>IFERROR(__xludf.DUMMYFUNCTION("""COMPUTED_VALUE"""),5.525325373E9)</f>
        <v>5525325373</v>
      </c>
      <c r="G115" s="43" t="str">
        <f>IFERROR(__xludf.DUMMYFUNCTION("""COMPUTED_VALUE"""),"Turkey")</f>
        <v>Turkey</v>
      </c>
      <c r="H115" s="43" t="str">
        <f>IFERROR(__xludf.DUMMYFUNCTION("""COMPUTED_VALUE"""),"ISTANBUL")</f>
        <v>ISTANBUL</v>
      </c>
      <c r="I115" s="43" t="str">
        <f>IFERROR(__xludf.DUMMYFUNCTION("""COMPUTED_VALUE"""),"Sri Lanka")</f>
        <v>Sri Lanka</v>
      </c>
      <c r="J115" s="43" t="str">
        <f>IFERROR(__xludf.DUMMYFUNCTION("""COMPUTED_VALUE"""),"COLOMBO SOUTH")</f>
        <v>COLOMBO SOUTH</v>
      </c>
      <c r="K115" s="44" t="str">
        <f>IFERROR(__xludf.DUMMYFUNCTION("""COMPUTED_VALUE"""),"https://expa.aiesec.org/opportunities/1288798")</f>
        <v>https://expa.aiesec.org/opportunities/1288798</v>
      </c>
      <c r="L115" s="43" t="str">
        <f>IFERROR(__xludf.DUMMYFUNCTION("""COMPUTED_VALUE"""),"GV")</f>
        <v>GV</v>
      </c>
      <c r="M115" s="43" t="str">
        <f>IFERROR(__xludf.DUMMYFUNCTION("""COMPUTED_VALUE"""),"short")</f>
        <v>short</v>
      </c>
      <c r="N115" s="45">
        <f>IFERROR(__xludf.DUMMYFUNCTION("""COMPUTED_VALUE"""),44859.0)</f>
        <v>44859</v>
      </c>
      <c r="O115" s="45">
        <f>IFERROR(__xludf.DUMMYFUNCTION("""COMPUTED_VALUE"""),45138.0)</f>
        <v>45138</v>
      </c>
      <c r="P115" s="45">
        <f>IFERROR(__xludf.DUMMYFUNCTION("""COMPUTED_VALUE"""),45180.0)</f>
        <v>45180</v>
      </c>
      <c r="Q115" s="45">
        <f>IFERROR(__xludf.DUMMYFUNCTION("""COMPUTED_VALUE"""),45138.0)</f>
        <v>45138</v>
      </c>
      <c r="R115" s="45">
        <f>IFERROR(__xludf.DUMMYFUNCTION("""COMPUTED_VALUE"""),45180.0)</f>
        <v>45180</v>
      </c>
      <c r="S115" s="43"/>
      <c r="T115" s="43"/>
      <c r="U115" s="43" t="str">
        <f>IFERROR(__xludf.DUMMYFUNCTION("""COMPUTED_VALUE"""),"Heartbeat")</f>
        <v>Heartbeat</v>
      </c>
      <c r="V115" s="43" t="str">
        <f>IFERROR(__xludf.DUMMYFUNCTION("""COMPUTED_VALUE"""),"ISTANBUL - BEYOGLU")</f>
        <v>ISTANBUL - BEYOGLU</v>
      </c>
      <c r="W115" s="43" t="str">
        <f>IFERROR(__xludf.DUMMYFUNCTION("""COMPUTED_VALUE"""),"2022-10-16T14:32:02Z")</f>
        <v>2022-10-16T14:32:02Z</v>
      </c>
      <c r="X115" s="43"/>
      <c r="Y115" s="43"/>
      <c r="Z115" s="43"/>
    </row>
    <row r="116" hidden="1">
      <c r="A116" s="43" t="str">
        <f>IFERROR(__xludf.DUMMYFUNCTION("""COMPUTED_VALUE"""),"5137135_1287990")</f>
        <v>5137135_1287990</v>
      </c>
      <c r="B116" s="43" t="str">
        <f>IFERROR(__xludf.DUMMYFUNCTION("""COMPUTED_VALUE"""),"Toygun Çakır")</f>
        <v>Toygun Çakır</v>
      </c>
      <c r="C116" s="43" t="str">
        <f>IFERROR(__xludf.DUMMYFUNCTION("""COMPUTED_VALUE"""),"approved")</f>
        <v>approved</v>
      </c>
      <c r="D116" s="43" t="str">
        <f>IFERROR(__xludf.DUMMYFUNCTION("""COMPUTED_VALUE"""),"No")</f>
        <v>No</v>
      </c>
      <c r="E116" s="43" t="str">
        <f>IFERROR(__xludf.DUMMYFUNCTION("""COMPUTED_VALUE"""),"p_b73a8ca3ae358c0a73f70ae210fb357d278c1511@inbound.aiesec.org")</f>
        <v>p_b73a8ca3ae358c0a73f70ae210fb357d278c1511@inbound.aiesec.org</v>
      </c>
      <c r="F116" s="43">
        <f>IFERROR(__xludf.DUMMYFUNCTION("""COMPUTED_VALUE"""),5.456824156E9)</f>
        <v>5456824156</v>
      </c>
      <c r="G116" s="43" t="str">
        <f>IFERROR(__xludf.DUMMYFUNCTION("""COMPUTED_VALUE"""),"Turkey")</f>
        <v>Turkey</v>
      </c>
      <c r="H116" s="43" t="str">
        <f>IFERROR(__xludf.DUMMYFUNCTION("""COMPUTED_VALUE"""),"KOCAELI")</f>
        <v>KOCAELI</v>
      </c>
      <c r="I116" s="43" t="str">
        <f>IFERROR(__xludf.DUMMYFUNCTION("""COMPUTED_VALUE"""),"India")</f>
        <v>India</v>
      </c>
      <c r="J116" s="43" t="str">
        <f>IFERROR(__xludf.DUMMYFUNCTION("""COMPUTED_VALUE"""),"JAIPUR ")</f>
        <v>JAIPUR </v>
      </c>
      <c r="K116" s="44" t="str">
        <f>IFERROR(__xludf.DUMMYFUNCTION("""COMPUTED_VALUE"""),"https://expa.aiesec.org/opportunities/1287990")</f>
        <v>https://expa.aiesec.org/opportunities/1287990</v>
      </c>
      <c r="L116" s="43" t="str">
        <f>IFERROR(__xludf.DUMMYFUNCTION("""COMPUTED_VALUE"""),"GV")</f>
        <v>GV</v>
      </c>
      <c r="M116" s="43" t="str">
        <f>IFERROR(__xludf.DUMMYFUNCTION("""COMPUTED_VALUE"""),"short")</f>
        <v>short</v>
      </c>
      <c r="N116" s="45">
        <f>IFERROR(__xludf.DUMMYFUNCTION("""COMPUTED_VALUE"""),44861.0)</f>
        <v>44861</v>
      </c>
      <c r="O116" s="45">
        <f>IFERROR(__xludf.DUMMYFUNCTION("""COMPUTED_VALUE"""),45114.0)</f>
        <v>45114</v>
      </c>
      <c r="P116" s="45">
        <f>IFERROR(__xludf.DUMMYFUNCTION("""COMPUTED_VALUE"""),45156.0)</f>
        <v>45156</v>
      </c>
      <c r="Q116" s="45"/>
      <c r="R116" s="45"/>
      <c r="S116" s="43"/>
      <c r="T116" s="43"/>
      <c r="U116" s="43" t="str">
        <f>IFERROR(__xludf.DUMMYFUNCTION("""COMPUTED_VALUE"""),"Skill Up!")</f>
        <v>Skill Up!</v>
      </c>
      <c r="V116" s="43" t="str">
        <f>IFERROR(__xludf.DUMMYFUNCTION("""COMPUTED_VALUE"""),"KOCAELI")</f>
        <v>KOCAELI</v>
      </c>
      <c r="W116" s="43" t="str">
        <f>IFERROR(__xludf.DUMMYFUNCTION("""COMPUTED_VALUE"""),"2022-10-19T20:47:59Z")</f>
        <v>2022-10-19T20:47:59Z</v>
      </c>
      <c r="X116" s="43"/>
      <c r="Y116" s="43"/>
      <c r="Z116" s="43"/>
    </row>
    <row r="117" hidden="1">
      <c r="A117" s="43" t="str">
        <f>IFERROR(__xludf.DUMMYFUNCTION("""COMPUTED_VALUE"""),"5114287_1284487")</f>
        <v>5114287_1284487</v>
      </c>
      <c r="B117" s="43" t="str">
        <f>IFERROR(__xludf.DUMMYFUNCTION("""COMPUTED_VALUE"""),"Tuana Aydınlı")</f>
        <v>Tuana Aydınlı</v>
      </c>
      <c r="C117" s="43" t="str">
        <f>IFERROR(__xludf.DUMMYFUNCTION("""COMPUTED_VALUE"""),"approved")</f>
        <v>approved</v>
      </c>
      <c r="D117" s="43" t="str">
        <f>IFERROR(__xludf.DUMMYFUNCTION("""COMPUTED_VALUE"""),"No")</f>
        <v>No</v>
      </c>
      <c r="E117" s="43" t="str">
        <f>IFERROR(__xludf.DUMMYFUNCTION("""COMPUTED_VALUE"""),"p_693cf319fcace90e696ddc0454260d3ffc4ea0e8@inbound.aiesec.org")</f>
        <v>p_693cf319fcace90e696ddc0454260d3ffc4ea0e8@inbound.aiesec.org</v>
      </c>
      <c r="F117" s="43">
        <f>IFERROR(__xludf.DUMMYFUNCTION("""COMPUTED_VALUE"""),5.439638708E9)</f>
        <v>5439638708</v>
      </c>
      <c r="G117" s="43" t="str">
        <f>IFERROR(__xludf.DUMMYFUNCTION("""COMPUTED_VALUE"""),"Turkey")</f>
        <v>Turkey</v>
      </c>
      <c r="H117" s="43" t="str">
        <f>IFERROR(__xludf.DUMMYFUNCTION("""COMPUTED_VALUE"""),"ESKISEHIR")</f>
        <v>ESKISEHIR</v>
      </c>
      <c r="I117" s="43" t="str">
        <f>IFERROR(__xludf.DUMMYFUNCTION("""COMPUTED_VALUE"""),"India")</f>
        <v>India</v>
      </c>
      <c r="J117" s="43" t="str">
        <f>IFERROR(__xludf.DUMMYFUNCTION("""COMPUTED_VALUE"""),"Dehradun")</f>
        <v>Dehradun</v>
      </c>
      <c r="K117" s="44" t="str">
        <f>IFERROR(__xludf.DUMMYFUNCTION("""COMPUTED_VALUE"""),"https://expa.aiesec.org/opportunities/1284487")</f>
        <v>https://expa.aiesec.org/opportunities/1284487</v>
      </c>
      <c r="L117" s="43" t="str">
        <f>IFERROR(__xludf.DUMMYFUNCTION("""COMPUTED_VALUE"""),"GV")</f>
        <v>GV</v>
      </c>
      <c r="M117" s="43" t="str">
        <f>IFERROR(__xludf.DUMMYFUNCTION("""COMPUTED_VALUE"""),"short")</f>
        <v>short</v>
      </c>
      <c r="N117" s="45">
        <f>IFERROR(__xludf.DUMMYFUNCTION("""COMPUTED_VALUE"""),44861.0)</f>
        <v>44861</v>
      </c>
      <c r="O117" s="45">
        <f>IFERROR(__xludf.DUMMYFUNCTION("""COMPUTED_VALUE"""),45122.0)</f>
        <v>45122</v>
      </c>
      <c r="P117" s="45">
        <f>IFERROR(__xludf.DUMMYFUNCTION("""COMPUTED_VALUE"""),45164.0)</f>
        <v>45164</v>
      </c>
      <c r="Q117" s="45"/>
      <c r="R117" s="45"/>
      <c r="S117" s="43"/>
      <c r="T117" s="43"/>
      <c r="U117" s="43" t="str">
        <f>IFERROR(__xludf.DUMMYFUNCTION("""COMPUTED_VALUE"""),"Global Classroom")</f>
        <v>Global Classroom</v>
      </c>
      <c r="V117" s="43" t="str">
        <f>IFERROR(__xludf.DUMMYFUNCTION("""COMPUTED_VALUE"""),"ESKISEHIR")</f>
        <v>ESKISEHIR</v>
      </c>
      <c r="W117" s="43" t="str">
        <f>IFERROR(__xludf.DUMMYFUNCTION("""COMPUTED_VALUE"""),"2022-09-17T15:27:34Z")</f>
        <v>2022-09-17T15:27:34Z</v>
      </c>
      <c r="X117" s="43"/>
      <c r="Y117" s="43"/>
      <c r="Z117" s="43"/>
    </row>
    <row r="118" hidden="1">
      <c r="A118" s="43" t="str">
        <f>IFERROR(__xludf.DUMMYFUNCTION("""COMPUTED_VALUE"""),"5132863_1288412")</f>
        <v>5132863_1288412</v>
      </c>
      <c r="B118" s="43" t="str">
        <f>IFERROR(__xludf.DUMMYFUNCTION("""COMPUTED_VALUE"""),"Elif İldemir")</f>
        <v>Elif İldemir</v>
      </c>
      <c r="C118" s="43" t="str">
        <f>IFERROR(__xludf.DUMMYFUNCTION("""COMPUTED_VALUE"""),"completed")</f>
        <v>completed</v>
      </c>
      <c r="D118" s="43" t="str">
        <f>IFERROR(__xludf.DUMMYFUNCTION("""COMPUTED_VALUE"""),"No")</f>
        <v>No</v>
      </c>
      <c r="E118" s="43" t="str">
        <f>IFERROR(__xludf.DUMMYFUNCTION("""COMPUTED_VALUE"""),"p_7599659a150f52c024b83359bb0e471e2903decf@inbound.aiesec.org")</f>
        <v>p_7599659a150f52c024b83359bb0e471e2903decf@inbound.aiesec.org</v>
      </c>
      <c r="F118" s="43">
        <f>IFERROR(__xludf.DUMMYFUNCTION("""COMPUTED_VALUE"""),5.340742004E9)</f>
        <v>5340742004</v>
      </c>
      <c r="G118" s="43" t="str">
        <f>IFERROR(__xludf.DUMMYFUNCTION("""COMPUTED_VALUE"""),"Turkey")</f>
        <v>Turkey</v>
      </c>
      <c r="H118" s="43" t="str">
        <f>IFERROR(__xludf.DUMMYFUNCTION("""COMPUTED_VALUE"""),"BURSA")</f>
        <v>BURSA</v>
      </c>
      <c r="I118" s="43" t="str">
        <f>IFERROR(__xludf.DUMMYFUNCTION("""COMPUTED_VALUE"""),"India")</f>
        <v>India</v>
      </c>
      <c r="J118" s="43" t="str">
        <f>IFERROR(__xludf.DUMMYFUNCTION("""COMPUTED_VALUE"""),"JAIPUR ")</f>
        <v>JAIPUR </v>
      </c>
      <c r="K118" s="44" t="str">
        <f>IFERROR(__xludf.DUMMYFUNCTION("""COMPUTED_VALUE"""),"https://expa.aiesec.org/opportunities/1288412")</f>
        <v>https://expa.aiesec.org/opportunities/1288412</v>
      </c>
      <c r="L118" s="43" t="str">
        <f>IFERROR(__xludf.DUMMYFUNCTION("""COMPUTED_VALUE"""),"GV")</f>
        <v>GV</v>
      </c>
      <c r="M118" s="43" t="str">
        <f>IFERROR(__xludf.DUMMYFUNCTION("""COMPUTED_VALUE"""),"short")</f>
        <v>short</v>
      </c>
      <c r="N118" s="45">
        <f>IFERROR(__xludf.DUMMYFUNCTION("""COMPUTED_VALUE"""),44863.0)</f>
        <v>44863</v>
      </c>
      <c r="O118" s="45">
        <f>IFERROR(__xludf.DUMMYFUNCTION("""COMPUTED_VALUE"""),45086.0)</f>
        <v>45086</v>
      </c>
      <c r="P118" s="45">
        <f>IFERROR(__xludf.DUMMYFUNCTION("""COMPUTED_VALUE"""),45128.0)</f>
        <v>45128</v>
      </c>
      <c r="Q118" s="45">
        <f>IFERROR(__xludf.DUMMYFUNCTION("""COMPUTED_VALUE"""),45087.0)</f>
        <v>45087</v>
      </c>
      <c r="R118" s="45">
        <f>IFERROR(__xludf.DUMMYFUNCTION("""COMPUTED_VALUE"""),45128.0)</f>
        <v>45128</v>
      </c>
      <c r="S118" s="43"/>
      <c r="T118" s="43"/>
      <c r="U118" s="43" t="str">
        <f>IFERROR(__xludf.DUMMYFUNCTION("""COMPUTED_VALUE"""),"Skill Up!")</f>
        <v>Skill Up!</v>
      </c>
      <c r="V118" s="43" t="str">
        <f>IFERROR(__xludf.DUMMYFUNCTION("""COMPUTED_VALUE"""),"BURSA")</f>
        <v>BURSA</v>
      </c>
      <c r="W118" s="43" t="str">
        <f>IFERROR(__xludf.DUMMYFUNCTION("""COMPUTED_VALUE"""),"2022-10-14T12:42:30Z")</f>
        <v>2022-10-14T12:42:30Z</v>
      </c>
      <c r="X118" s="43"/>
      <c r="Y118" s="43"/>
      <c r="Z118" s="43"/>
    </row>
    <row r="119" hidden="1">
      <c r="A119" s="43" t="str">
        <f>IFERROR(__xludf.DUMMYFUNCTION("""COMPUTED_VALUE"""),"5139519_1290362")</f>
        <v>5139519_1290362</v>
      </c>
      <c r="B119" s="43" t="str">
        <f>IFERROR(__xludf.DUMMYFUNCTION("""COMPUTED_VALUE"""),"Adem Selçuk Karaağaç")</f>
        <v>Adem Selçuk Karaağaç</v>
      </c>
      <c r="C119" s="43" t="str">
        <f>IFERROR(__xludf.DUMMYFUNCTION("""COMPUTED_VALUE"""),"finished")</f>
        <v>finished</v>
      </c>
      <c r="D119" s="43" t="str">
        <f>IFERROR(__xludf.DUMMYFUNCTION("""COMPUTED_VALUE"""),"No")</f>
        <v>No</v>
      </c>
      <c r="E119" s="43" t="str">
        <f>IFERROR(__xludf.DUMMYFUNCTION("""COMPUTED_VALUE"""),"p_ff474cdc5c0c365902a1b55ee97e0b96ae5174a2@inbound.aiesec.org")</f>
        <v>p_ff474cdc5c0c365902a1b55ee97e0b96ae5174a2@inbound.aiesec.org</v>
      </c>
      <c r="F119" s="43">
        <f>IFERROR(__xludf.DUMMYFUNCTION("""COMPUTED_VALUE"""),5.071005054E9)</f>
        <v>5071005054</v>
      </c>
      <c r="G119" s="43" t="str">
        <f>IFERROR(__xludf.DUMMYFUNCTION("""COMPUTED_VALUE"""),"Turkey")</f>
        <v>Turkey</v>
      </c>
      <c r="H119" s="43" t="str">
        <f>IFERROR(__xludf.DUMMYFUNCTION("""COMPUTED_VALUE"""),"KONYA")</f>
        <v>KONYA</v>
      </c>
      <c r="I119" s="43" t="str">
        <f>IFERROR(__xludf.DUMMYFUNCTION("""COMPUTED_VALUE"""),"Romania")</f>
        <v>Romania</v>
      </c>
      <c r="J119" s="43" t="str">
        <f>IFERROR(__xludf.DUMMYFUNCTION("""COMPUTED_VALUE"""),"SIBIU")</f>
        <v>SIBIU</v>
      </c>
      <c r="K119" s="44" t="str">
        <f>IFERROR(__xludf.DUMMYFUNCTION("""COMPUTED_VALUE"""),"https://expa.aiesec.org/opportunities/1290362")</f>
        <v>https://expa.aiesec.org/opportunities/1290362</v>
      </c>
      <c r="L119" s="43" t="str">
        <f>IFERROR(__xludf.DUMMYFUNCTION("""COMPUTED_VALUE"""),"GV")</f>
        <v>GV</v>
      </c>
      <c r="M119" s="43" t="str">
        <f>IFERROR(__xludf.DUMMYFUNCTION("""COMPUTED_VALUE"""),"short")</f>
        <v>short</v>
      </c>
      <c r="N119" s="45">
        <f>IFERROR(__xludf.DUMMYFUNCTION("""COMPUTED_VALUE"""),44865.0)</f>
        <v>44865</v>
      </c>
      <c r="O119" s="45">
        <f>IFERROR(__xludf.DUMMYFUNCTION("""COMPUTED_VALUE"""),44935.0)</f>
        <v>44935</v>
      </c>
      <c r="P119" s="45">
        <f>IFERROR(__xludf.DUMMYFUNCTION("""COMPUTED_VALUE"""),44977.0)</f>
        <v>44977</v>
      </c>
      <c r="Q119" s="45">
        <f>IFERROR(__xludf.DUMMYFUNCTION("""COMPUTED_VALUE"""),44936.0)</f>
        <v>44936</v>
      </c>
      <c r="R119" s="45">
        <f>IFERROR(__xludf.DUMMYFUNCTION("""COMPUTED_VALUE"""),44977.0)</f>
        <v>44977</v>
      </c>
      <c r="S119" s="43"/>
      <c r="T119" s="43"/>
      <c r="U119" s="43" t="str">
        <f>IFERROR(__xludf.DUMMYFUNCTION("""COMPUTED_VALUE"""),"Eat 4 Change")</f>
        <v>Eat 4 Change</v>
      </c>
      <c r="V119" s="43" t="str">
        <f>IFERROR(__xludf.DUMMYFUNCTION("""COMPUTED_VALUE"""),"ANKARA")</f>
        <v>ANKARA</v>
      </c>
      <c r="W119" s="43" t="str">
        <f>IFERROR(__xludf.DUMMYFUNCTION("""COMPUTED_VALUE"""),"2022-10-24T13:27:10Z")</f>
        <v>2022-10-24T13:27:10Z</v>
      </c>
      <c r="X119" s="43"/>
      <c r="Y119" s="43"/>
      <c r="Z119" s="43"/>
    </row>
    <row r="120" hidden="1">
      <c r="A120" s="43" t="str">
        <f>IFERROR(__xludf.DUMMYFUNCTION("""COMPUTED_VALUE"""),"5136778_1287894")</f>
        <v>5136778_1287894</v>
      </c>
      <c r="B120" s="43" t="str">
        <f>IFERROR(__xludf.DUMMYFUNCTION("""COMPUTED_VALUE"""),"Ecesu Pamuklu")</f>
        <v>Ecesu Pamuklu</v>
      </c>
      <c r="C120" s="43" t="str">
        <f>IFERROR(__xludf.DUMMYFUNCTION("""COMPUTED_VALUE"""),"finished")</f>
        <v>finished</v>
      </c>
      <c r="D120" s="43" t="str">
        <f>IFERROR(__xludf.DUMMYFUNCTION("""COMPUTED_VALUE"""),"No")</f>
        <v>No</v>
      </c>
      <c r="E120" s="43" t="str">
        <f>IFERROR(__xludf.DUMMYFUNCTION("""COMPUTED_VALUE"""),"p_ff026a40c42e730b12a9ed2afc1451de10f1e061@inbound.aiesec.org")</f>
        <v>p_ff026a40c42e730b12a9ed2afc1451de10f1e061@inbound.aiesec.org</v>
      </c>
      <c r="F120" s="43"/>
      <c r="G120" s="43" t="str">
        <f>IFERROR(__xludf.DUMMYFUNCTION("""COMPUTED_VALUE"""),"Turkey")</f>
        <v>Turkey</v>
      </c>
      <c r="H120" s="43" t="str">
        <f>IFERROR(__xludf.DUMMYFUNCTION("""COMPUTED_VALUE"""),"ESKISEHIR")</f>
        <v>ESKISEHIR</v>
      </c>
      <c r="I120" s="43" t="str">
        <f>IFERROR(__xludf.DUMMYFUNCTION("""COMPUTED_VALUE"""),"Spain")</f>
        <v>Spain</v>
      </c>
      <c r="J120" s="43" t="str">
        <f>IFERROR(__xludf.DUMMYFUNCTION("""COMPUTED_VALUE"""),"Pompeu Fabra Barcelona")</f>
        <v>Pompeu Fabra Barcelona</v>
      </c>
      <c r="K120" s="44" t="str">
        <f>IFERROR(__xludf.DUMMYFUNCTION("""COMPUTED_VALUE"""),"https://expa.aiesec.org/opportunities/1287894")</f>
        <v>https://expa.aiesec.org/opportunities/1287894</v>
      </c>
      <c r="L120" s="43" t="str">
        <f>IFERROR(__xludf.DUMMYFUNCTION("""COMPUTED_VALUE"""),"GV")</f>
        <v>GV</v>
      </c>
      <c r="M120" s="43" t="str">
        <f>IFERROR(__xludf.DUMMYFUNCTION("""COMPUTED_VALUE"""),"short")</f>
        <v>short</v>
      </c>
      <c r="N120" s="45">
        <f>IFERROR(__xludf.DUMMYFUNCTION("""COMPUTED_VALUE"""),44865.0)</f>
        <v>44865</v>
      </c>
      <c r="O120" s="45">
        <f>IFERROR(__xludf.DUMMYFUNCTION("""COMPUTED_VALUE"""),44963.0)</f>
        <v>44963</v>
      </c>
      <c r="P120" s="45">
        <f>IFERROR(__xludf.DUMMYFUNCTION("""COMPUTED_VALUE"""),45005.0)</f>
        <v>45005</v>
      </c>
      <c r="Q120" s="45">
        <f>IFERROR(__xludf.DUMMYFUNCTION("""COMPUTED_VALUE"""),44964.0)</f>
        <v>44964</v>
      </c>
      <c r="R120" s="45">
        <f>IFERROR(__xludf.DUMMYFUNCTION("""COMPUTED_VALUE"""),45005.0)</f>
        <v>45005</v>
      </c>
      <c r="S120" s="43"/>
      <c r="T120" s="43"/>
      <c r="U120" s="43" t="str">
        <f>IFERROR(__xludf.DUMMYFUNCTION("""COMPUTED_VALUE"""),"Youth 4 Impact")</f>
        <v>Youth 4 Impact</v>
      </c>
      <c r="V120" s="43" t="str">
        <f>IFERROR(__xludf.DUMMYFUNCTION("""COMPUTED_VALUE"""),"-")</f>
        <v>-</v>
      </c>
      <c r="W120" s="43" t="str">
        <f>IFERROR(__xludf.DUMMYFUNCTION("""COMPUTED_VALUE"""),"2022-10-19T13:37:30Z")</f>
        <v>2022-10-19T13:37:30Z</v>
      </c>
      <c r="X120" s="43"/>
      <c r="Y120" s="43"/>
      <c r="Z120" s="43"/>
    </row>
    <row r="121" hidden="1">
      <c r="A121" s="43" t="str">
        <f>IFERROR(__xludf.DUMMYFUNCTION("""COMPUTED_VALUE"""),"5144110_1288419")</f>
        <v>5144110_1288419</v>
      </c>
      <c r="B121" s="43" t="str">
        <f>IFERROR(__xludf.DUMMYFUNCTION("""COMPUTED_VALUE"""),"Elif Başaran")</f>
        <v>Elif Başaran</v>
      </c>
      <c r="C121" s="43" t="str">
        <f>IFERROR(__xludf.DUMMYFUNCTION("""COMPUTED_VALUE"""),"approved")</f>
        <v>approved</v>
      </c>
      <c r="D121" s="43" t="str">
        <f>IFERROR(__xludf.DUMMYFUNCTION("""COMPUTED_VALUE"""),"No")</f>
        <v>No</v>
      </c>
      <c r="E121" s="43" t="str">
        <f>IFERROR(__xludf.DUMMYFUNCTION("""COMPUTED_VALUE"""),"p_cd0f47a7bcb5a1927293f9a1496d09cb2c94d3a0@inbound.aiesec.org")</f>
        <v>p_cd0f47a7bcb5a1927293f9a1496d09cb2c94d3a0@inbound.aiesec.org</v>
      </c>
      <c r="F121" s="43">
        <f>IFERROR(__xludf.DUMMYFUNCTION("""COMPUTED_VALUE"""),5.344236945E9)</f>
        <v>5344236945</v>
      </c>
      <c r="G121" s="43" t="str">
        <f>IFERROR(__xludf.DUMMYFUNCTION("""COMPUTED_VALUE"""),"Turkey")</f>
        <v>Turkey</v>
      </c>
      <c r="H121" s="43" t="str">
        <f>IFERROR(__xludf.DUMMYFUNCTION("""COMPUTED_VALUE"""),"KOCAELI")</f>
        <v>KOCAELI</v>
      </c>
      <c r="I121" s="43" t="str">
        <f>IFERROR(__xludf.DUMMYFUNCTION("""COMPUTED_VALUE"""),"India")</f>
        <v>India</v>
      </c>
      <c r="J121" s="43" t="str">
        <f>IFERROR(__xludf.DUMMYFUNCTION("""COMPUTED_VALUE"""),"JAIPUR ")</f>
        <v>JAIPUR </v>
      </c>
      <c r="K121" s="44" t="str">
        <f>IFERROR(__xludf.DUMMYFUNCTION("""COMPUTED_VALUE"""),"https://expa.aiesec.org/opportunities/1288419")</f>
        <v>https://expa.aiesec.org/opportunities/1288419</v>
      </c>
      <c r="L121" s="43" t="str">
        <f>IFERROR(__xludf.DUMMYFUNCTION("""COMPUTED_VALUE"""),"GV")</f>
        <v>GV</v>
      </c>
      <c r="M121" s="43" t="str">
        <f>IFERROR(__xludf.DUMMYFUNCTION("""COMPUTED_VALUE"""),"short")</f>
        <v>short</v>
      </c>
      <c r="N121" s="45">
        <f>IFERROR(__xludf.DUMMYFUNCTION("""COMPUTED_VALUE"""),44866.0)</f>
        <v>44866</v>
      </c>
      <c r="O121" s="45">
        <f>IFERROR(__xludf.DUMMYFUNCTION("""COMPUTED_VALUE"""),45171.0)</f>
        <v>45171</v>
      </c>
      <c r="P121" s="45">
        <f>IFERROR(__xludf.DUMMYFUNCTION("""COMPUTED_VALUE"""),45213.0)</f>
        <v>45213</v>
      </c>
      <c r="Q121" s="45"/>
      <c r="R121" s="45"/>
      <c r="S121" s="43"/>
      <c r="T121" s="43"/>
      <c r="U121" s="43" t="str">
        <f>IFERROR(__xludf.DUMMYFUNCTION("""COMPUTED_VALUE"""),"On The Map")</f>
        <v>On The Map</v>
      </c>
      <c r="V121" s="43" t="str">
        <f>IFERROR(__xludf.DUMMYFUNCTION("""COMPUTED_VALUE"""),"BALIKESIR")</f>
        <v>BALIKESIR</v>
      </c>
      <c r="W121" s="43" t="str">
        <f>IFERROR(__xludf.DUMMYFUNCTION("""COMPUTED_VALUE"""),"2022-10-31T21:56:22Z")</f>
        <v>2022-10-31T21:56:22Z</v>
      </c>
      <c r="X121" s="43"/>
      <c r="Y121" s="43"/>
      <c r="Z121" s="43"/>
    </row>
    <row r="122" hidden="1">
      <c r="A122" s="43" t="str">
        <f>IFERROR(__xludf.DUMMYFUNCTION("""COMPUTED_VALUE"""),"5144111_1288419")</f>
        <v>5144111_1288419</v>
      </c>
      <c r="B122" s="43" t="str">
        <f>IFERROR(__xludf.DUMMYFUNCTION("""COMPUTED_VALUE"""),"Saliha Feyzioğlu")</f>
        <v>Saliha Feyzioğlu</v>
      </c>
      <c r="C122" s="43" t="str">
        <f>IFERROR(__xludf.DUMMYFUNCTION("""COMPUTED_VALUE"""),"approval_broken")</f>
        <v>approval_broken</v>
      </c>
      <c r="D122" s="43" t="str">
        <f>IFERROR(__xludf.DUMMYFUNCTION("""COMPUTED_VALUE"""),"No")</f>
        <v>No</v>
      </c>
      <c r="E122" s="43" t="str">
        <f>IFERROR(__xludf.DUMMYFUNCTION("""COMPUTED_VALUE"""),"p_24e725d54234b47fb04ba968116eb838e4317788@inbound.aiesec.org")</f>
        <v>p_24e725d54234b47fb04ba968116eb838e4317788@inbound.aiesec.org</v>
      </c>
      <c r="F122" s="43">
        <f>IFERROR(__xludf.DUMMYFUNCTION("""COMPUTED_VALUE"""),5.374587104E9)</f>
        <v>5374587104</v>
      </c>
      <c r="G122" s="43" t="str">
        <f>IFERROR(__xludf.DUMMYFUNCTION("""COMPUTED_VALUE"""),"Turkey")</f>
        <v>Turkey</v>
      </c>
      <c r="H122" s="43" t="str">
        <f>IFERROR(__xludf.DUMMYFUNCTION("""COMPUTED_VALUE"""),"KOCAELI")</f>
        <v>KOCAELI</v>
      </c>
      <c r="I122" s="43" t="str">
        <f>IFERROR(__xludf.DUMMYFUNCTION("""COMPUTED_VALUE"""),"India")</f>
        <v>India</v>
      </c>
      <c r="J122" s="43" t="str">
        <f>IFERROR(__xludf.DUMMYFUNCTION("""COMPUTED_VALUE"""),"JAIPUR ")</f>
        <v>JAIPUR </v>
      </c>
      <c r="K122" s="44" t="str">
        <f>IFERROR(__xludf.DUMMYFUNCTION("""COMPUTED_VALUE"""),"https://expa.aiesec.org/opportunities/1288419")</f>
        <v>https://expa.aiesec.org/opportunities/1288419</v>
      </c>
      <c r="L122" s="43" t="str">
        <f>IFERROR(__xludf.DUMMYFUNCTION("""COMPUTED_VALUE"""),"GV")</f>
        <v>GV</v>
      </c>
      <c r="M122" s="43" t="str">
        <f>IFERROR(__xludf.DUMMYFUNCTION("""COMPUTED_VALUE"""),"short")</f>
        <v>short</v>
      </c>
      <c r="N122" s="45">
        <f>IFERROR(__xludf.DUMMYFUNCTION("""COMPUTED_VALUE"""),45138.0)</f>
        <v>45138</v>
      </c>
      <c r="O122" s="45">
        <f>IFERROR(__xludf.DUMMYFUNCTION("""COMPUTED_VALUE"""),45171.0)</f>
        <v>45171</v>
      </c>
      <c r="P122" s="45">
        <f>IFERROR(__xludf.DUMMYFUNCTION("""COMPUTED_VALUE"""),45213.0)</f>
        <v>45213</v>
      </c>
      <c r="Q122" s="45"/>
      <c r="R122" s="45"/>
      <c r="S122" s="43"/>
      <c r="T122" s="43"/>
      <c r="U122" s="43" t="str">
        <f>IFERROR(__xludf.DUMMYFUNCTION("""COMPUTED_VALUE"""),"On The Map")</f>
        <v>On The Map</v>
      </c>
      <c r="V122" s="43" t="str">
        <f>IFERROR(__xludf.DUMMYFUNCTION("""COMPUTED_VALUE"""),"ISTANBUL ASIA")</f>
        <v>ISTANBUL ASIA</v>
      </c>
      <c r="W122" s="43" t="str">
        <f>IFERROR(__xludf.DUMMYFUNCTION("""COMPUTED_VALUE"""),"2022-10-31T21:56:51Z")</f>
        <v>2022-10-31T21:56:51Z</v>
      </c>
      <c r="X122" s="43"/>
      <c r="Y122" s="43"/>
      <c r="Z122" s="43"/>
    </row>
    <row r="123" hidden="1">
      <c r="A123" s="43" t="str">
        <f>IFERROR(__xludf.DUMMYFUNCTION("""COMPUTED_VALUE"""),"5144085_1288419")</f>
        <v>5144085_1288419</v>
      </c>
      <c r="B123" s="43" t="str">
        <f>IFERROR(__xludf.DUMMYFUNCTION("""COMPUTED_VALUE"""),"ülfet imam")</f>
        <v>ülfet imam</v>
      </c>
      <c r="C123" s="43" t="str">
        <f>IFERROR(__xludf.DUMMYFUNCTION("""COMPUTED_VALUE"""),"approved")</f>
        <v>approved</v>
      </c>
      <c r="D123" s="43" t="str">
        <f>IFERROR(__xludf.DUMMYFUNCTION("""COMPUTED_VALUE"""),"No")</f>
        <v>No</v>
      </c>
      <c r="E123" s="43" t="str">
        <f>IFERROR(__xludf.DUMMYFUNCTION("""COMPUTED_VALUE"""),"p_91f87febeeba5fdb8b3fa84004f0db219ee7d9fa@inbound.aiesec.org")</f>
        <v>p_91f87febeeba5fdb8b3fa84004f0db219ee7d9fa@inbound.aiesec.org</v>
      </c>
      <c r="F123" s="43">
        <f>IFERROR(__xludf.DUMMYFUNCTION("""COMPUTED_VALUE"""),5.522383665E9)</f>
        <v>5522383665</v>
      </c>
      <c r="G123" s="43" t="str">
        <f>IFERROR(__xludf.DUMMYFUNCTION("""COMPUTED_VALUE"""),"Turkey")</f>
        <v>Turkey</v>
      </c>
      <c r="H123" s="43" t="str">
        <f>IFERROR(__xludf.DUMMYFUNCTION("""COMPUTED_VALUE"""),"KOCAELI")</f>
        <v>KOCAELI</v>
      </c>
      <c r="I123" s="43" t="str">
        <f>IFERROR(__xludf.DUMMYFUNCTION("""COMPUTED_VALUE"""),"India")</f>
        <v>India</v>
      </c>
      <c r="J123" s="43" t="str">
        <f>IFERROR(__xludf.DUMMYFUNCTION("""COMPUTED_VALUE"""),"JAIPUR ")</f>
        <v>JAIPUR </v>
      </c>
      <c r="K123" s="44" t="str">
        <f>IFERROR(__xludf.DUMMYFUNCTION("""COMPUTED_VALUE"""),"https://expa.aiesec.org/opportunities/1288419")</f>
        <v>https://expa.aiesec.org/opportunities/1288419</v>
      </c>
      <c r="L123" s="43" t="str">
        <f>IFERROR(__xludf.DUMMYFUNCTION("""COMPUTED_VALUE"""),"GV")</f>
        <v>GV</v>
      </c>
      <c r="M123" s="43" t="str">
        <f>IFERROR(__xludf.DUMMYFUNCTION("""COMPUTED_VALUE"""),"short")</f>
        <v>short</v>
      </c>
      <c r="N123" s="45">
        <f>IFERROR(__xludf.DUMMYFUNCTION("""COMPUTED_VALUE"""),44866.0)</f>
        <v>44866</v>
      </c>
      <c r="O123" s="45">
        <f>IFERROR(__xludf.DUMMYFUNCTION("""COMPUTED_VALUE"""),45171.0)</f>
        <v>45171</v>
      </c>
      <c r="P123" s="45">
        <f>IFERROR(__xludf.DUMMYFUNCTION("""COMPUTED_VALUE"""),45213.0)</f>
        <v>45213</v>
      </c>
      <c r="Q123" s="45"/>
      <c r="R123" s="45"/>
      <c r="S123" s="43"/>
      <c r="T123" s="43"/>
      <c r="U123" s="43" t="str">
        <f>IFERROR(__xludf.DUMMYFUNCTION("""COMPUTED_VALUE"""),"On The Map")</f>
        <v>On The Map</v>
      </c>
      <c r="V123" s="43" t="str">
        <f>IFERROR(__xludf.DUMMYFUNCTION("""COMPUTED_VALUE"""),"MANISA")</f>
        <v>MANISA</v>
      </c>
      <c r="W123" s="43" t="str">
        <f>IFERROR(__xludf.DUMMYFUNCTION("""COMPUTED_VALUE"""),"2022-10-31T21:34:32Z")</f>
        <v>2022-10-31T21:34:32Z</v>
      </c>
      <c r="X123" s="43"/>
      <c r="Y123" s="43"/>
      <c r="Z123" s="43"/>
    </row>
    <row r="124" hidden="1">
      <c r="A124" s="43" t="str">
        <f>IFERROR(__xludf.DUMMYFUNCTION("""COMPUTED_VALUE"""),"5138015_1281235")</f>
        <v>5138015_1281235</v>
      </c>
      <c r="B124" s="43" t="str">
        <f>IFERROR(__xludf.DUMMYFUNCTION("""COMPUTED_VALUE"""),"betül kundakcı")</f>
        <v>betül kundakcı</v>
      </c>
      <c r="C124" s="43" t="str">
        <f>IFERROR(__xludf.DUMMYFUNCTION("""COMPUTED_VALUE"""),"completed")</f>
        <v>completed</v>
      </c>
      <c r="D124" s="43" t="str">
        <f>IFERROR(__xludf.DUMMYFUNCTION("""COMPUTED_VALUE"""),"No")</f>
        <v>No</v>
      </c>
      <c r="E124" s="43" t="str">
        <f>IFERROR(__xludf.DUMMYFUNCTION("""COMPUTED_VALUE"""),"p_2c160165ea6c3abf5a4b41c56b38d5a80d6761bb@inbound.aiesec.org")</f>
        <v>p_2c160165ea6c3abf5a4b41c56b38d5a80d6761bb@inbound.aiesec.org</v>
      </c>
      <c r="F124" s="43">
        <f>IFERROR(__xludf.DUMMYFUNCTION("""COMPUTED_VALUE"""),5.537870711E9)</f>
        <v>5537870711</v>
      </c>
      <c r="G124" s="43" t="str">
        <f>IFERROR(__xludf.DUMMYFUNCTION("""COMPUTED_VALUE"""),"Turkey")</f>
        <v>Turkey</v>
      </c>
      <c r="H124" s="43" t="str">
        <f>IFERROR(__xludf.DUMMYFUNCTION("""COMPUTED_VALUE"""),"ISTANBUL ASIA")</f>
        <v>ISTANBUL ASIA</v>
      </c>
      <c r="I124" s="43" t="str">
        <f>IFERROR(__xludf.DUMMYFUNCTION("""COMPUTED_VALUE"""),"India")</f>
        <v>India</v>
      </c>
      <c r="J124" s="43" t="str">
        <f>IFERROR(__xludf.DUMMYFUNCTION("""COMPUTED_VALUE"""),"Dehradun")</f>
        <v>Dehradun</v>
      </c>
      <c r="K124" s="44" t="str">
        <f>IFERROR(__xludf.DUMMYFUNCTION("""COMPUTED_VALUE"""),"https://expa.aiesec.org/opportunities/1281235")</f>
        <v>https://expa.aiesec.org/opportunities/1281235</v>
      </c>
      <c r="L124" s="43" t="str">
        <f>IFERROR(__xludf.DUMMYFUNCTION("""COMPUTED_VALUE"""),"GV")</f>
        <v>GV</v>
      </c>
      <c r="M124" s="43" t="str">
        <f>IFERROR(__xludf.DUMMYFUNCTION("""COMPUTED_VALUE"""),"short")</f>
        <v>short</v>
      </c>
      <c r="N124" s="45">
        <f>IFERROR(__xludf.DUMMYFUNCTION("""COMPUTED_VALUE"""),44866.0)</f>
        <v>44866</v>
      </c>
      <c r="O124" s="45">
        <f>IFERROR(__xludf.DUMMYFUNCTION("""COMPUTED_VALUE"""),45108.0)</f>
        <v>45108</v>
      </c>
      <c r="P124" s="45">
        <f>IFERROR(__xludf.DUMMYFUNCTION("""COMPUTED_VALUE"""),45150.0)</f>
        <v>45150</v>
      </c>
      <c r="Q124" s="45">
        <f>IFERROR(__xludf.DUMMYFUNCTION("""COMPUTED_VALUE"""),45125.0)</f>
        <v>45125</v>
      </c>
      <c r="R124" s="45">
        <f>IFERROR(__xludf.DUMMYFUNCTION("""COMPUTED_VALUE"""),45167.0)</f>
        <v>45167</v>
      </c>
      <c r="S124" s="43"/>
      <c r="T124" s="43"/>
      <c r="U124" s="43" t="str">
        <f>IFERROR(__xludf.DUMMYFUNCTION("""COMPUTED_VALUE"""),"Skill Up!")</f>
        <v>Skill Up!</v>
      </c>
      <c r="V124" s="43" t="str">
        <f>IFERROR(__xludf.DUMMYFUNCTION("""COMPUTED_VALUE"""),"ISTANBUL ASIA")</f>
        <v>ISTANBUL ASIA</v>
      </c>
      <c r="W124" s="43" t="str">
        <f>IFERROR(__xludf.DUMMYFUNCTION("""COMPUTED_VALUE"""),"2022-10-21T11:16:12Z")</f>
        <v>2022-10-21T11:16:12Z</v>
      </c>
      <c r="X124" s="43"/>
      <c r="Y124" s="43"/>
      <c r="Z124" s="43"/>
    </row>
    <row r="125" hidden="1">
      <c r="A125" s="43" t="str">
        <f>IFERROR(__xludf.DUMMYFUNCTION("""COMPUTED_VALUE"""),"5145461_1290207")</f>
        <v>5145461_1290207</v>
      </c>
      <c r="B125" s="43" t="str">
        <f>IFERROR(__xludf.DUMMYFUNCTION("""COMPUTED_VALUE"""),"Şevval atakoğlu")</f>
        <v>Şevval atakoğlu</v>
      </c>
      <c r="C125" s="43" t="str">
        <f>IFERROR(__xludf.DUMMYFUNCTION("""COMPUTED_VALUE"""),"completed")</f>
        <v>completed</v>
      </c>
      <c r="D125" s="43" t="str">
        <f>IFERROR(__xludf.DUMMYFUNCTION("""COMPUTED_VALUE"""),"No")</f>
        <v>No</v>
      </c>
      <c r="E125" s="43" t="str">
        <f>IFERROR(__xludf.DUMMYFUNCTION("""COMPUTED_VALUE"""),"p_e8074a5342d0a8b8f706d5ae7ef787abcb865b9f@inbound.aiesec.org")</f>
        <v>p_e8074a5342d0a8b8f706d5ae7ef787abcb865b9f@inbound.aiesec.org</v>
      </c>
      <c r="F125" s="43">
        <f>IFERROR(__xludf.DUMMYFUNCTION("""COMPUTED_VALUE"""),5.524528184E9)</f>
        <v>5524528184</v>
      </c>
      <c r="G125" s="43" t="str">
        <f>IFERROR(__xludf.DUMMYFUNCTION("""COMPUTED_VALUE"""),"Turkey")</f>
        <v>Turkey</v>
      </c>
      <c r="H125" s="43" t="str">
        <f>IFERROR(__xludf.DUMMYFUNCTION("""COMPUTED_VALUE"""),"KOCAELI")</f>
        <v>KOCAELI</v>
      </c>
      <c r="I125" s="43" t="str">
        <f>IFERROR(__xludf.DUMMYFUNCTION("""COMPUTED_VALUE"""),"Romania")</f>
        <v>Romania</v>
      </c>
      <c r="J125" s="43" t="str">
        <f>IFERROR(__xludf.DUMMYFUNCTION("""COMPUTED_VALUE"""),"BUCURESTI")</f>
        <v>BUCURESTI</v>
      </c>
      <c r="K125" s="44" t="str">
        <f>IFERROR(__xludf.DUMMYFUNCTION("""COMPUTED_VALUE"""),"https://expa.aiesec.org/opportunities/1290207")</f>
        <v>https://expa.aiesec.org/opportunities/1290207</v>
      </c>
      <c r="L125" s="43" t="str">
        <f>IFERROR(__xludf.DUMMYFUNCTION("""COMPUTED_VALUE"""),"GV")</f>
        <v>GV</v>
      </c>
      <c r="M125" s="43" t="str">
        <f>IFERROR(__xludf.DUMMYFUNCTION("""COMPUTED_VALUE"""),"short")</f>
        <v>short</v>
      </c>
      <c r="N125" s="45">
        <f>IFERROR(__xludf.DUMMYFUNCTION("""COMPUTED_VALUE"""),44867.0)</f>
        <v>44867</v>
      </c>
      <c r="O125" s="45">
        <f>IFERROR(__xludf.DUMMYFUNCTION("""COMPUTED_VALUE"""),44949.0)</f>
        <v>44949</v>
      </c>
      <c r="P125" s="45">
        <f>IFERROR(__xludf.DUMMYFUNCTION("""COMPUTED_VALUE"""),44991.0)</f>
        <v>44991</v>
      </c>
      <c r="Q125" s="45">
        <f>IFERROR(__xludf.DUMMYFUNCTION("""COMPUTED_VALUE"""),44949.0)</f>
        <v>44949</v>
      </c>
      <c r="R125" s="45">
        <f>IFERROR(__xludf.DUMMYFUNCTION("""COMPUTED_VALUE"""),44991.0)</f>
        <v>44991</v>
      </c>
      <c r="S125" s="43"/>
      <c r="T125" s="43"/>
      <c r="U125" s="43" t="str">
        <f>IFERROR(__xludf.DUMMYFUNCTION("""COMPUTED_VALUE"""),"Skill Up!")</f>
        <v>Skill Up!</v>
      </c>
      <c r="V125" s="43" t="str">
        <f>IFERROR(__xludf.DUMMYFUNCTION("""COMPUTED_VALUE"""),"KOCAELI")</f>
        <v>KOCAELI</v>
      </c>
      <c r="W125" s="43" t="str">
        <f>IFERROR(__xludf.DUMMYFUNCTION("""COMPUTED_VALUE"""),"2022-11-02T20:53:57Z")</f>
        <v>2022-11-02T20:53:57Z</v>
      </c>
      <c r="X125" s="43"/>
      <c r="Y125" s="43"/>
      <c r="Z125" s="43"/>
    </row>
    <row r="126" hidden="1">
      <c r="A126" s="43" t="str">
        <f>IFERROR(__xludf.DUMMYFUNCTION("""COMPUTED_VALUE"""),"5144595_1290252")</f>
        <v>5144595_1290252</v>
      </c>
      <c r="B126" s="43" t="str">
        <f>IFERROR(__xludf.DUMMYFUNCTION("""COMPUTED_VALUE"""),"Polen Ayşe Gündüz")</f>
        <v>Polen Ayşe Gündüz</v>
      </c>
      <c r="C126" s="43" t="str">
        <f>IFERROR(__xludf.DUMMYFUNCTION("""COMPUTED_VALUE"""),"approval_broken")</f>
        <v>approval_broken</v>
      </c>
      <c r="D126" s="43" t="str">
        <f>IFERROR(__xludf.DUMMYFUNCTION("""COMPUTED_VALUE"""),"No")</f>
        <v>No</v>
      </c>
      <c r="E126" s="43" t="str">
        <f>IFERROR(__xludf.DUMMYFUNCTION("""COMPUTED_VALUE"""),"p_53a8ce115c85eb86217bbd13cb99712bff574887@inbound.aiesec.org")</f>
        <v>p_53a8ce115c85eb86217bbd13cb99712bff574887@inbound.aiesec.org</v>
      </c>
      <c r="F126" s="43">
        <f>IFERROR(__xludf.DUMMYFUNCTION("""COMPUTED_VALUE"""),5.549687591E9)</f>
        <v>5549687591</v>
      </c>
      <c r="G126" s="43" t="str">
        <f>IFERROR(__xludf.DUMMYFUNCTION("""COMPUTED_VALUE"""),"Turkey")</f>
        <v>Turkey</v>
      </c>
      <c r="H126" s="43" t="str">
        <f>IFERROR(__xludf.DUMMYFUNCTION("""COMPUTED_VALUE"""),"ESKISEHIR")</f>
        <v>ESKISEHIR</v>
      </c>
      <c r="I126" s="43" t="str">
        <f>IFERROR(__xludf.DUMMYFUNCTION("""COMPUTED_VALUE"""),"Croatia")</f>
        <v>Croatia</v>
      </c>
      <c r="J126" s="43" t="str">
        <f>IFERROR(__xludf.DUMMYFUNCTION("""COMPUTED_VALUE"""),"OSIJEK")</f>
        <v>OSIJEK</v>
      </c>
      <c r="K126" s="44" t="str">
        <f>IFERROR(__xludf.DUMMYFUNCTION("""COMPUTED_VALUE"""),"https://expa.aiesec.org/opportunities/1290252")</f>
        <v>https://expa.aiesec.org/opportunities/1290252</v>
      </c>
      <c r="L126" s="43" t="str">
        <f>IFERROR(__xludf.DUMMYFUNCTION("""COMPUTED_VALUE"""),"GV")</f>
        <v>GV</v>
      </c>
      <c r="M126" s="43" t="str">
        <f>IFERROR(__xludf.DUMMYFUNCTION("""COMPUTED_VALUE"""),"short")</f>
        <v>short</v>
      </c>
      <c r="N126" s="45">
        <f>IFERROR(__xludf.DUMMYFUNCTION("""COMPUTED_VALUE"""),45168.0)</f>
        <v>45168</v>
      </c>
      <c r="O126" s="45">
        <f>IFERROR(__xludf.DUMMYFUNCTION("""COMPUTED_VALUE"""),44935.0)</f>
        <v>44935</v>
      </c>
      <c r="P126" s="45">
        <f>IFERROR(__xludf.DUMMYFUNCTION("""COMPUTED_VALUE"""),44983.0)</f>
        <v>44983</v>
      </c>
      <c r="Q126" s="45"/>
      <c r="R126" s="45"/>
      <c r="S126" s="43"/>
      <c r="T126" s="43"/>
      <c r="U126" s="43" t="str">
        <f>IFERROR(__xludf.DUMMYFUNCTION("""COMPUTED_VALUE"""),"Global Classroom")</f>
        <v>Global Classroom</v>
      </c>
      <c r="V126" s="43" t="str">
        <f>IFERROR(__xludf.DUMMYFUNCTION("""COMPUTED_VALUE"""),"ESKISEHIR")</f>
        <v>ESKISEHIR</v>
      </c>
      <c r="W126" s="43" t="str">
        <f>IFERROR(__xludf.DUMMYFUNCTION("""COMPUTED_VALUE"""),"2022-11-01T18:05:10Z")</f>
        <v>2022-11-01T18:05:10Z</v>
      </c>
      <c r="X126" s="43"/>
      <c r="Y126" s="43"/>
      <c r="Z126" s="43"/>
    </row>
    <row r="127" hidden="1">
      <c r="A127" s="43" t="str">
        <f>IFERROR(__xludf.DUMMYFUNCTION("""COMPUTED_VALUE"""),"5039457_1290519")</f>
        <v>5039457_1290519</v>
      </c>
      <c r="B127" s="43" t="str">
        <f>IFERROR(__xludf.DUMMYFUNCTION("""COMPUTED_VALUE"""),"Enes Çağlar (Student)")</f>
        <v>Enes Çağlar (Student)</v>
      </c>
      <c r="C127" s="43" t="str">
        <f>IFERROR(__xludf.DUMMYFUNCTION("""COMPUTED_VALUE"""),"completed")</f>
        <v>completed</v>
      </c>
      <c r="D127" s="43" t="str">
        <f>IFERROR(__xludf.DUMMYFUNCTION("""COMPUTED_VALUE"""),"No")</f>
        <v>No</v>
      </c>
      <c r="E127" s="43" t="str">
        <f>IFERROR(__xludf.DUMMYFUNCTION("""COMPUTED_VALUE"""),"p_dc1143a43d73cebb98d42f0624c729c01831b32e@inbound.aiesec.org")</f>
        <v>p_dc1143a43d73cebb98d42f0624c729c01831b32e@inbound.aiesec.org</v>
      </c>
      <c r="F127" s="43"/>
      <c r="G127" s="43" t="str">
        <f>IFERROR(__xludf.DUMMYFUNCTION("""COMPUTED_VALUE"""),"Turkey")</f>
        <v>Turkey</v>
      </c>
      <c r="H127" s="43" t="str">
        <f>IFERROR(__xludf.DUMMYFUNCTION("""COMPUTED_VALUE"""),"ISTANBUL ASIA")</f>
        <v>ISTANBUL ASIA</v>
      </c>
      <c r="I127" s="43" t="str">
        <f>IFERROR(__xludf.DUMMYFUNCTION("""COMPUTED_VALUE"""),"Romania")</f>
        <v>Romania</v>
      </c>
      <c r="J127" s="43" t="str">
        <f>IFERROR(__xludf.DUMMYFUNCTION("""COMPUTED_VALUE"""),"BUCURESTI")</f>
        <v>BUCURESTI</v>
      </c>
      <c r="K127" s="44" t="str">
        <f>IFERROR(__xludf.DUMMYFUNCTION("""COMPUTED_VALUE"""),"https://expa.aiesec.org/opportunities/1290519")</f>
        <v>https://expa.aiesec.org/opportunities/1290519</v>
      </c>
      <c r="L127" s="43" t="str">
        <f>IFERROR(__xludf.DUMMYFUNCTION("""COMPUTED_VALUE"""),"GV")</f>
        <v>GV</v>
      </c>
      <c r="M127" s="43" t="str">
        <f>IFERROR(__xludf.DUMMYFUNCTION("""COMPUTED_VALUE"""),"short")</f>
        <v>short</v>
      </c>
      <c r="N127" s="45">
        <f>IFERROR(__xludf.DUMMYFUNCTION("""COMPUTED_VALUE"""),44867.0)</f>
        <v>44867</v>
      </c>
      <c r="O127" s="45">
        <f>IFERROR(__xludf.DUMMYFUNCTION("""COMPUTED_VALUE"""),45096.0)</f>
        <v>45096</v>
      </c>
      <c r="P127" s="45">
        <f>IFERROR(__xludf.DUMMYFUNCTION("""COMPUTED_VALUE"""),45138.0)</f>
        <v>45138</v>
      </c>
      <c r="Q127" s="45">
        <f>IFERROR(__xludf.DUMMYFUNCTION("""COMPUTED_VALUE"""),45096.0)</f>
        <v>45096</v>
      </c>
      <c r="R127" s="45">
        <f>IFERROR(__xludf.DUMMYFUNCTION("""COMPUTED_VALUE"""),45138.0)</f>
        <v>45138</v>
      </c>
      <c r="S127" s="43"/>
      <c r="T127" s="43"/>
      <c r="U127" s="43" t="str">
        <f>IFERROR(__xludf.DUMMYFUNCTION("""COMPUTED_VALUE"""),"Explorer")</f>
        <v>Explorer</v>
      </c>
      <c r="V127" s="43" t="str">
        <f>IFERROR(__xludf.DUMMYFUNCTION("""COMPUTED_VALUE"""),"-")</f>
        <v>-</v>
      </c>
      <c r="W127" s="43" t="str">
        <f>IFERROR(__xludf.DUMMYFUNCTION("""COMPUTED_VALUE"""),"2022-04-15T11:28:14Z")</f>
        <v>2022-04-15T11:28:14Z</v>
      </c>
      <c r="X127" s="43"/>
      <c r="Y127" s="43"/>
      <c r="Z127" s="43"/>
    </row>
    <row r="128" hidden="1">
      <c r="A128" s="43" t="str">
        <f>IFERROR(__xludf.DUMMYFUNCTION("""COMPUTED_VALUE"""),"5139578_1289855")</f>
        <v>5139578_1289855</v>
      </c>
      <c r="B128" s="43" t="str">
        <f>IFERROR(__xludf.DUMMYFUNCTION("""COMPUTED_VALUE"""),"deleted 5139578")</f>
        <v>deleted 5139578</v>
      </c>
      <c r="C128" s="43" t="str">
        <f>IFERROR(__xludf.DUMMYFUNCTION("""COMPUTED_VALUE"""),"approved")</f>
        <v>approved</v>
      </c>
      <c r="D128" s="43" t="str">
        <f>IFERROR(__xludf.DUMMYFUNCTION("""COMPUTED_VALUE"""),"No")</f>
        <v>No</v>
      </c>
      <c r="E128" s="43" t="str">
        <f>IFERROR(__xludf.DUMMYFUNCTION("""COMPUTED_VALUE"""),"p_c135ceaf04bd4fa15f68078824d3af0ab992b43a@inbound.aiesec.org")</f>
        <v>p_c135ceaf04bd4fa15f68078824d3af0ab992b43a@inbound.aiesec.org</v>
      </c>
      <c r="F128" s="43"/>
      <c r="G128" s="43" t="str">
        <f>IFERROR(__xludf.DUMMYFUNCTION("""COMPUTED_VALUE"""),"Turkey")</f>
        <v>Turkey</v>
      </c>
      <c r="H128" s="43" t="str">
        <f>IFERROR(__xludf.DUMMYFUNCTION("""COMPUTED_VALUE"""),"ANKARA")</f>
        <v>ANKARA</v>
      </c>
      <c r="I128" s="43" t="str">
        <f>IFERROR(__xludf.DUMMYFUNCTION("""COMPUTED_VALUE"""),"India")</f>
        <v>India</v>
      </c>
      <c r="J128" s="43" t="str">
        <f>IFERROR(__xludf.DUMMYFUNCTION("""COMPUTED_VALUE"""),"Mumbai")</f>
        <v>Mumbai</v>
      </c>
      <c r="K128" s="44" t="str">
        <f>IFERROR(__xludf.DUMMYFUNCTION("""COMPUTED_VALUE"""),"https://expa.aiesec.org/opportunities/1289855")</f>
        <v>https://expa.aiesec.org/opportunities/1289855</v>
      </c>
      <c r="L128" s="43" t="str">
        <f>IFERROR(__xludf.DUMMYFUNCTION("""COMPUTED_VALUE"""),"GV")</f>
        <v>GV</v>
      </c>
      <c r="M128" s="43" t="str">
        <f>IFERROR(__xludf.DUMMYFUNCTION("""COMPUTED_VALUE"""),"short")</f>
        <v>short</v>
      </c>
      <c r="N128" s="45">
        <f>IFERROR(__xludf.DUMMYFUNCTION("""COMPUTED_VALUE"""),44867.0)</f>
        <v>44867</v>
      </c>
      <c r="O128" s="45">
        <f>IFERROR(__xludf.DUMMYFUNCTION("""COMPUTED_VALUE"""),45127.0)</f>
        <v>45127</v>
      </c>
      <c r="P128" s="45">
        <f>IFERROR(__xludf.DUMMYFUNCTION("""COMPUTED_VALUE"""),45169.0)</f>
        <v>45169</v>
      </c>
      <c r="Q128" s="45"/>
      <c r="R128" s="45"/>
      <c r="S128" s="43"/>
      <c r="T128" s="43"/>
      <c r="U128" s="43" t="str">
        <f>IFERROR(__xludf.DUMMYFUNCTION("""COMPUTED_VALUE"""),"Scale Up!")</f>
        <v>Scale Up!</v>
      </c>
      <c r="V128" s="43" t="str">
        <f>IFERROR(__xludf.DUMMYFUNCTION("""COMPUTED_VALUE"""),"ANKARA")</f>
        <v>ANKARA</v>
      </c>
      <c r="W128" s="43" t="str">
        <f>IFERROR(__xludf.DUMMYFUNCTION("""COMPUTED_VALUE"""),"2022-10-24T14:50:10Z")</f>
        <v>2022-10-24T14:50:10Z</v>
      </c>
      <c r="X128" s="43"/>
      <c r="Y128" s="43"/>
      <c r="Z128" s="43"/>
    </row>
    <row r="129" hidden="1">
      <c r="A129" s="43" t="str">
        <f>IFERROR(__xludf.DUMMYFUNCTION("""COMPUTED_VALUE"""),"5102382_1290259")</f>
        <v>5102382_1290259</v>
      </c>
      <c r="B129" s="43" t="str">
        <f>IFERROR(__xludf.DUMMYFUNCTION("""COMPUTED_VALUE"""),"mehmet ali özel")</f>
        <v>mehmet ali özel</v>
      </c>
      <c r="C129" s="43" t="str">
        <f>IFERROR(__xludf.DUMMYFUNCTION("""COMPUTED_VALUE"""),"approved")</f>
        <v>approved</v>
      </c>
      <c r="D129" s="43" t="str">
        <f>IFERROR(__xludf.DUMMYFUNCTION("""COMPUTED_VALUE"""),"No")</f>
        <v>No</v>
      </c>
      <c r="E129" s="43" t="str">
        <f>IFERROR(__xludf.DUMMYFUNCTION("""COMPUTED_VALUE"""),"p_12f95f72c5ef4bcbd96cd8bf7542cd8059a42179@inbound.aiesec.org")</f>
        <v>p_12f95f72c5ef4bcbd96cd8bf7542cd8059a42179@inbound.aiesec.org</v>
      </c>
      <c r="F129" s="43">
        <f>IFERROR(__xludf.DUMMYFUNCTION("""COMPUTED_VALUE"""),5.059794547E9)</f>
        <v>5059794547</v>
      </c>
      <c r="G129" s="43" t="str">
        <f>IFERROR(__xludf.DUMMYFUNCTION("""COMPUTED_VALUE"""),"Turkey")</f>
        <v>Turkey</v>
      </c>
      <c r="H129" s="43" t="str">
        <f>IFERROR(__xludf.DUMMYFUNCTION("""COMPUTED_VALUE"""),"ADANA")</f>
        <v>ADANA</v>
      </c>
      <c r="I129" s="43" t="str">
        <f>IFERROR(__xludf.DUMMYFUNCTION("""COMPUTED_VALUE"""),"Croatia")</f>
        <v>Croatia</v>
      </c>
      <c r="J129" s="43" t="str">
        <f>IFERROR(__xludf.DUMMYFUNCTION("""COMPUTED_VALUE"""),"OSIJEK")</f>
        <v>OSIJEK</v>
      </c>
      <c r="K129" s="44" t="str">
        <f>IFERROR(__xludf.DUMMYFUNCTION("""COMPUTED_VALUE"""),"https://expa.aiesec.org/opportunities/1290259")</f>
        <v>https://expa.aiesec.org/opportunities/1290259</v>
      </c>
      <c r="L129" s="43" t="str">
        <f>IFERROR(__xludf.DUMMYFUNCTION("""COMPUTED_VALUE"""),"GV")</f>
        <v>GV</v>
      </c>
      <c r="M129" s="43" t="str">
        <f>IFERROR(__xludf.DUMMYFUNCTION("""COMPUTED_VALUE"""),"short")</f>
        <v>short</v>
      </c>
      <c r="N129" s="45">
        <f>IFERROR(__xludf.DUMMYFUNCTION("""COMPUTED_VALUE"""),44868.0)</f>
        <v>44868</v>
      </c>
      <c r="O129" s="45">
        <f>IFERROR(__xludf.DUMMYFUNCTION("""COMPUTED_VALUE"""),44935.0)</f>
        <v>44935</v>
      </c>
      <c r="P129" s="45">
        <f>IFERROR(__xludf.DUMMYFUNCTION("""COMPUTED_VALUE"""),44983.0)</f>
        <v>44983</v>
      </c>
      <c r="Q129" s="45"/>
      <c r="R129" s="45"/>
      <c r="S129" s="43"/>
      <c r="T129" s="43"/>
      <c r="U129" s="43" t="str">
        <f>IFERROR(__xludf.DUMMYFUNCTION("""COMPUTED_VALUE"""),"On The Map")</f>
        <v>On The Map</v>
      </c>
      <c r="V129" s="43" t="str">
        <f>IFERROR(__xludf.DUMMYFUNCTION("""COMPUTED_VALUE"""),"HATAY")</f>
        <v>HATAY</v>
      </c>
      <c r="W129" s="43" t="str">
        <f>IFERROR(__xludf.DUMMYFUNCTION("""COMPUTED_VALUE"""),"2022-08-30T15:00:05Z")</f>
        <v>2022-08-30T15:00:05Z</v>
      </c>
      <c r="X129" s="43"/>
      <c r="Y129" s="43"/>
      <c r="Z129" s="43"/>
    </row>
    <row r="130" hidden="1">
      <c r="A130" s="43" t="str">
        <f>IFERROR(__xludf.DUMMYFUNCTION("""COMPUTED_VALUE"""),"5145258_1288798")</f>
        <v>5145258_1288798</v>
      </c>
      <c r="B130" s="43" t="str">
        <f>IFERROR(__xludf.DUMMYFUNCTION("""COMPUTED_VALUE"""),"Selin Çetin")</f>
        <v>Selin Çetin</v>
      </c>
      <c r="C130" s="43" t="str">
        <f>IFERROR(__xludf.DUMMYFUNCTION("""COMPUTED_VALUE"""),"completed")</f>
        <v>completed</v>
      </c>
      <c r="D130" s="43" t="str">
        <f>IFERROR(__xludf.DUMMYFUNCTION("""COMPUTED_VALUE"""),"No")</f>
        <v>No</v>
      </c>
      <c r="E130" s="43" t="str">
        <f>IFERROR(__xludf.DUMMYFUNCTION("""COMPUTED_VALUE"""),"p_3e250fc7caa7738c0e7b94d80d071ba3245b4ca7@inbound.aiesec.org")</f>
        <v>p_3e250fc7caa7738c0e7b94d80d071ba3245b4ca7@inbound.aiesec.org</v>
      </c>
      <c r="F130" s="43">
        <f>IFERROR(__xludf.DUMMYFUNCTION("""COMPUTED_VALUE"""),5.514392977E9)</f>
        <v>5514392977</v>
      </c>
      <c r="G130" s="43" t="str">
        <f>IFERROR(__xludf.DUMMYFUNCTION("""COMPUTED_VALUE"""),"Turkey")</f>
        <v>Turkey</v>
      </c>
      <c r="H130" s="43" t="str">
        <f>IFERROR(__xludf.DUMMYFUNCTION("""COMPUTED_VALUE"""),"BURSA")</f>
        <v>BURSA</v>
      </c>
      <c r="I130" s="43" t="str">
        <f>IFERROR(__xludf.DUMMYFUNCTION("""COMPUTED_VALUE"""),"Sri Lanka")</f>
        <v>Sri Lanka</v>
      </c>
      <c r="J130" s="43" t="str">
        <f>IFERROR(__xludf.DUMMYFUNCTION("""COMPUTED_VALUE"""),"COLOMBO SOUTH")</f>
        <v>COLOMBO SOUTH</v>
      </c>
      <c r="K130" s="44" t="str">
        <f>IFERROR(__xludf.DUMMYFUNCTION("""COMPUTED_VALUE"""),"https://expa.aiesec.org/opportunities/1288798")</f>
        <v>https://expa.aiesec.org/opportunities/1288798</v>
      </c>
      <c r="L130" s="43" t="str">
        <f>IFERROR(__xludf.DUMMYFUNCTION("""COMPUTED_VALUE"""),"GV")</f>
        <v>GV</v>
      </c>
      <c r="M130" s="43" t="str">
        <f>IFERROR(__xludf.DUMMYFUNCTION("""COMPUTED_VALUE"""),"short")</f>
        <v>short</v>
      </c>
      <c r="N130" s="45">
        <f>IFERROR(__xludf.DUMMYFUNCTION("""COMPUTED_VALUE"""),44869.0)</f>
        <v>44869</v>
      </c>
      <c r="O130" s="45">
        <f>IFERROR(__xludf.DUMMYFUNCTION("""COMPUTED_VALUE"""),45089.0)</f>
        <v>45089</v>
      </c>
      <c r="P130" s="45">
        <f>IFERROR(__xludf.DUMMYFUNCTION("""COMPUTED_VALUE"""),45131.0)</f>
        <v>45131</v>
      </c>
      <c r="Q130" s="45">
        <f>IFERROR(__xludf.DUMMYFUNCTION("""COMPUTED_VALUE"""),45089.0)</f>
        <v>45089</v>
      </c>
      <c r="R130" s="45">
        <f>IFERROR(__xludf.DUMMYFUNCTION("""COMPUTED_VALUE"""),45131.0)</f>
        <v>45131</v>
      </c>
      <c r="S130" s="43"/>
      <c r="T130" s="43"/>
      <c r="U130" s="43" t="str">
        <f>IFERROR(__xludf.DUMMYFUNCTION("""COMPUTED_VALUE"""),"Heartbeat")</f>
        <v>Heartbeat</v>
      </c>
      <c r="V130" s="43" t="str">
        <f>IFERROR(__xludf.DUMMYFUNCTION("""COMPUTED_VALUE"""),"BURSA")</f>
        <v>BURSA</v>
      </c>
      <c r="W130" s="43" t="str">
        <f>IFERROR(__xludf.DUMMYFUNCTION("""COMPUTED_VALUE"""),"2022-11-02T17:04:50Z")</f>
        <v>2022-11-02T17:04:50Z</v>
      </c>
      <c r="X130" s="43"/>
      <c r="Y130" s="43"/>
      <c r="Z130" s="43"/>
    </row>
    <row r="131" hidden="1">
      <c r="A131" s="43" t="str">
        <f>IFERROR(__xludf.DUMMYFUNCTION("""COMPUTED_VALUE"""),"5146255_1288330")</f>
        <v>5146255_1288330</v>
      </c>
      <c r="B131" s="43" t="str">
        <f>IFERROR(__xludf.DUMMYFUNCTION("""COMPUTED_VALUE"""),"Mehmet Emir Çalışoğlu")</f>
        <v>Mehmet Emir Çalışoğlu</v>
      </c>
      <c r="C131" s="43" t="str">
        <f>IFERROR(__xludf.DUMMYFUNCTION("""COMPUTED_VALUE"""),"completed")</f>
        <v>completed</v>
      </c>
      <c r="D131" s="43" t="str">
        <f>IFERROR(__xludf.DUMMYFUNCTION("""COMPUTED_VALUE"""),"No")</f>
        <v>No</v>
      </c>
      <c r="E131" s="43" t="str">
        <f>IFERROR(__xludf.DUMMYFUNCTION("""COMPUTED_VALUE"""),"p_64ad551025fc08b1d32fb828f1c4d9c396500465@inbound.aiesec.org")</f>
        <v>p_64ad551025fc08b1d32fb828f1c4d9c396500465@inbound.aiesec.org</v>
      </c>
      <c r="F131" s="43">
        <f>IFERROR(__xludf.DUMMYFUNCTION("""COMPUTED_VALUE"""),5.365924194E9)</f>
        <v>5365924194</v>
      </c>
      <c r="G131" s="43" t="str">
        <f>IFERROR(__xludf.DUMMYFUNCTION("""COMPUTED_VALUE"""),"Turkey")</f>
        <v>Turkey</v>
      </c>
      <c r="H131" s="43" t="str">
        <f>IFERROR(__xludf.DUMMYFUNCTION("""COMPUTED_VALUE"""),"BURSA")</f>
        <v>BURSA</v>
      </c>
      <c r="I131" s="43" t="str">
        <f>IFERROR(__xludf.DUMMYFUNCTION("""COMPUTED_VALUE"""),"Sri Lanka")</f>
        <v>Sri Lanka</v>
      </c>
      <c r="J131" s="43" t="str">
        <f>IFERROR(__xludf.DUMMYFUNCTION("""COMPUTED_VALUE"""),"COLOMBO NORTH")</f>
        <v>COLOMBO NORTH</v>
      </c>
      <c r="K131" s="44" t="str">
        <f>IFERROR(__xludf.DUMMYFUNCTION("""COMPUTED_VALUE"""),"https://expa.aiesec.org/opportunities/1288330")</f>
        <v>https://expa.aiesec.org/opportunities/1288330</v>
      </c>
      <c r="L131" s="43" t="str">
        <f>IFERROR(__xludf.DUMMYFUNCTION("""COMPUTED_VALUE"""),"GV")</f>
        <v>GV</v>
      </c>
      <c r="M131" s="43" t="str">
        <f>IFERROR(__xludf.DUMMYFUNCTION("""COMPUTED_VALUE"""),"short")</f>
        <v>short</v>
      </c>
      <c r="N131" s="45">
        <f>IFERROR(__xludf.DUMMYFUNCTION("""COMPUTED_VALUE"""),44870.0)</f>
        <v>44870</v>
      </c>
      <c r="O131" s="45">
        <f>IFERROR(__xludf.DUMMYFUNCTION("""COMPUTED_VALUE"""),45115.0)</f>
        <v>45115</v>
      </c>
      <c r="P131" s="45">
        <f>IFERROR(__xludf.DUMMYFUNCTION("""COMPUTED_VALUE"""),45157.0)</f>
        <v>45157</v>
      </c>
      <c r="Q131" s="45">
        <f>IFERROR(__xludf.DUMMYFUNCTION("""COMPUTED_VALUE"""),45115.0)</f>
        <v>45115</v>
      </c>
      <c r="R131" s="45">
        <f>IFERROR(__xludf.DUMMYFUNCTION("""COMPUTED_VALUE"""),45157.0)</f>
        <v>45157</v>
      </c>
      <c r="S131" s="43"/>
      <c r="T131" s="43"/>
      <c r="U131" s="43" t="str">
        <f>IFERROR(__xludf.DUMMYFUNCTION("""COMPUTED_VALUE"""),"Aquatica")</f>
        <v>Aquatica</v>
      </c>
      <c r="V131" s="43" t="str">
        <f>IFERROR(__xludf.DUMMYFUNCTION("""COMPUTED_VALUE"""),"BURSA")</f>
        <v>BURSA</v>
      </c>
      <c r="W131" s="43" t="str">
        <f>IFERROR(__xludf.DUMMYFUNCTION("""COMPUTED_VALUE"""),"2022-11-03T21:02:13Z")</f>
        <v>2022-11-03T21:02:13Z</v>
      </c>
      <c r="X131" s="43"/>
      <c r="Y131" s="43"/>
      <c r="Z131" s="43"/>
    </row>
    <row r="132" hidden="1">
      <c r="A132" s="43" t="str">
        <f>IFERROR(__xludf.DUMMYFUNCTION("""COMPUTED_VALUE"""),"5137068_1287113")</f>
        <v>5137068_1287113</v>
      </c>
      <c r="B132" s="43" t="str">
        <f>IFERROR(__xludf.DUMMYFUNCTION("""COMPUTED_VALUE"""),"Rabiye Ali Osman")</f>
        <v>Rabiye Ali Osman</v>
      </c>
      <c r="C132" s="43" t="str">
        <f>IFERROR(__xludf.DUMMYFUNCTION("""COMPUTED_VALUE"""),"completed")</f>
        <v>completed</v>
      </c>
      <c r="D132" s="43" t="str">
        <f>IFERROR(__xludf.DUMMYFUNCTION("""COMPUTED_VALUE"""),"No")</f>
        <v>No</v>
      </c>
      <c r="E132" s="43" t="str">
        <f>IFERROR(__xludf.DUMMYFUNCTION("""COMPUTED_VALUE"""),"p_30eb093a2d6d41111624064a95d2ddfc6870b073@inbound.aiesec.org")</f>
        <v>p_30eb093a2d6d41111624064a95d2ddfc6870b073@inbound.aiesec.org</v>
      </c>
      <c r="F132" s="43">
        <f>IFERROR(__xludf.DUMMYFUNCTION("""COMPUTED_VALUE"""),5.312347936E9)</f>
        <v>5312347936</v>
      </c>
      <c r="G132" s="43" t="str">
        <f>IFERROR(__xludf.DUMMYFUNCTION("""COMPUTED_VALUE"""),"Turkey")</f>
        <v>Turkey</v>
      </c>
      <c r="H132" s="43" t="str">
        <f>IFERROR(__xludf.DUMMYFUNCTION("""COMPUTED_VALUE"""),"KUTAHYA")</f>
        <v>KUTAHYA</v>
      </c>
      <c r="I132" s="43" t="str">
        <f>IFERROR(__xludf.DUMMYFUNCTION("""COMPUTED_VALUE"""),"Poland")</f>
        <v>Poland</v>
      </c>
      <c r="J132" s="43" t="str">
        <f>IFERROR(__xludf.DUMMYFUNCTION("""COMPUTED_VALUE"""),"WARSZAWA SGH")</f>
        <v>WARSZAWA SGH</v>
      </c>
      <c r="K132" s="44" t="str">
        <f>IFERROR(__xludf.DUMMYFUNCTION("""COMPUTED_VALUE"""),"https://expa.aiesec.org/opportunities/1287113")</f>
        <v>https://expa.aiesec.org/opportunities/1287113</v>
      </c>
      <c r="L132" s="43" t="str">
        <f>IFERROR(__xludf.DUMMYFUNCTION("""COMPUTED_VALUE"""),"GV")</f>
        <v>GV</v>
      </c>
      <c r="M132" s="43" t="str">
        <f>IFERROR(__xludf.DUMMYFUNCTION("""COMPUTED_VALUE"""),"short")</f>
        <v>short</v>
      </c>
      <c r="N132" s="45">
        <f>IFERROR(__xludf.DUMMYFUNCTION("""COMPUTED_VALUE"""),44870.0)</f>
        <v>44870</v>
      </c>
      <c r="O132" s="45">
        <f>IFERROR(__xludf.DUMMYFUNCTION("""COMPUTED_VALUE"""),44941.0)</f>
        <v>44941</v>
      </c>
      <c r="P132" s="45">
        <f>IFERROR(__xludf.DUMMYFUNCTION("""COMPUTED_VALUE"""),44983.0)</f>
        <v>44983</v>
      </c>
      <c r="Q132" s="45">
        <f>IFERROR(__xludf.DUMMYFUNCTION("""COMPUTED_VALUE"""),44942.0)</f>
        <v>44942</v>
      </c>
      <c r="R132" s="45">
        <f>IFERROR(__xludf.DUMMYFUNCTION("""COMPUTED_VALUE"""),44983.0)</f>
        <v>44983</v>
      </c>
      <c r="S132" s="43"/>
      <c r="T132" s="43"/>
      <c r="U132" s="43" t="str">
        <f>IFERROR(__xludf.DUMMYFUNCTION("""COMPUTED_VALUE"""),"Global Classroom")</f>
        <v>Global Classroom</v>
      </c>
      <c r="V132" s="43" t="str">
        <f>IFERROR(__xludf.DUMMYFUNCTION("""COMPUTED_VALUE"""),"KUTAHYA")</f>
        <v>KUTAHYA</v>
      </c>
      <c r="W132" s="43" t="str">
        <f>IFERROR(__xludf.DUMMYFUNCTION("""COMPUTED_VALUE"""),"2022-10-19T18:34:36Z")</f>
        <v>2022-10-19T18:34:36Z</v>
      </c>
      <c r="X132" s="43"/>
      <c r="Y132" s="43"/>
      <c r="Z132" s="43"/>
    </row>
    <row r="133" hidden="1">
      <c r="A133" s="43" t="str">
        <f>IFERROR(__xludf.DUMMYFUNCTION("""COMPUTED_VALUE"""),"5139260_1287244")</f>
        <v>5139260_1287244</v>
      </c>
      <c r="B133" s="43" t="str">
        <f>IFERROR(__xludf.DUMMYFUNCTION("""COMPUTED_VALUE"""),"Melis Karslıgil")</f>
        <v>Melis Karslıgil</v>
      </c>
      <c r="C133" s="43" t="str">
        <f>IFERROR(__xludf.DUMMYFUNCTION("""COMPUTED_VALUE"""),"approved")</f>
        <v>approved</v>
      </c>
      <c r="D133" s="43" t="str">
        <f>IFERROR(__xludf.DUMMYFUNCTION("""COMPUTED_VALUE"""),"No")</f>
        <v>No</v>
      </c>
      <c r="E133" s="43" t="str">
        <f>IFERROR(__xludf.DUMMYFUNCTION("""COMPUTED_VALUE"""),"p_5fab9a4a351f6f1f70afd6f12e7bba99ef10168f@inbound.aiesec.org")</f>
        <v>p_5fab9a4a351f6f1f70afd6f12e7bba99ef10168f@inbound.aiesec.org</v>
      </c>
      <c r="F133" s="43">
        <f>IFERROR(__xludf.DUMMYFUNCTION("""COMPUTED_VALUE"""),5.330328104E9)</f>
        <v>5330328104</v>
      </c>
      <c r="G133" s="43" t="str">
        <f>IFERROR(__xludf.DUMMYFUNCTION("""COMPUTED_VALUE"""),"Turkey")</f>
        <v>Turkey</v>
      </c>
      <c r="H133" s="43" t="str">
        <f>IFERROR(__xludf.DUMMYFUNCTION("""COMPUTED_VALUE"""),"ANKARA")</f>
        <v>ANKARA</v>
      </c>
      <c r="I133" s="43" t="str">
        <f>IFERROR(__xludf.DUMMYFUNCTION("""COMPUTED_VALUE"""),"India")</f>
        <v>India</v>
      </c>
      <c r="J133" s="43" t="str">
        <f>IFERROR(__xludf.DUMMYFUNCTION("""COMPUTED_VALUE"""),"Ahmedabad")</f>
        <v>Ahmedabad</v>
      </c>
      <c r="K133" s="44" t="str">
        <f>IFERROR(__xludf.DUMMYFUNCTION("""COMPUTED_VALUE"""),"https://expa.aiesec.org/opportunities/1287244")</f>
        <v>https://expa.aiesec.org/opportunities/1287244</v>
      </c>
      <c r="L133" s="43" t="str">
        <f>IFERROR(__xludf.DUMMYFUNCTION("""COMPUTED_VALUE"""),"GV")</f>
        <v>GV</v>
      </c>
      <c r="M133" s="43" t="str">
        <f>IFERROR(__xludf.DUMMYFUNCTION("""COMPUTED_VALUE"""),"short")</f>
        <v>short</v>
      </c>
      <c r="N133" s="45">
        <f>IFERROR(__xludf.DUMMYFUNCTION("""COMPUTED_VALUE"""),44871.0)</f>
        <v>44871</v>
      </c>
      <c r="O133" s="45">
        <f>IFERROR(__xludf.DUMMYFUNCTION("""COMPUTED_VALUE"""),45078.0)</f>
        <v>45078</v>
      </c>
      <c r="P133" s="45">
        <f>IFERROR(__xludf.DUMMYFUNCTION("""COMPUTED_VALUE"""),45120.0)</f>
        <v>45120</v>
      </c>
      <c r="Q133" s="45"/>
      <c r="R133" s="45"/>
      <c r="S133" s="43"/>
      <c r="T133" s="43"/>
      <c r="U133" s="43" t="str">
        <f>IFERROR(__xludf.DUMMYFUNCTION("""COMPUTED_VALUE"""),"Fingerprint")</f>
        <v>Fingerprint</v>
      </c>
      <c r="V133" s="43" t="str">
        <f>IFERROR(__xludf.DUMMYFUNCTION("""COMPUTED_VALUE"""),"ANKARA")</f>
        <v>ANKARA</v>
      </c>
      <c r="W133" s="43" t="str">
        <f>IFERROR(__xludf.DUMMYFUNCTION("""COMPUTED_VALUE"""),"2022-10-24T07:37:39Z")</f>
        <v>2022-10-24T07:37:39Z</v>
      </c>
      <c r="X133" s="43"/>
      <c r="Y133" s="43"/>
      <c r="Z133" s="43"/>
    </row>
    <row r="134" hidden="1">
      <c r="A134" s="43" t="str">
        <f>IFERROR(__xludf.DUMMYFUNCTION("""COMPUTED_VALUE"""),"5147593_1288419")</f>
        <v>5147593_1288419</v>
      </c>
      <c r="B134" s="43" t="str">
        <f>IFERROR(__xludf.DUMMYFUNCTION("""COMPUTED_VALUE"""),"Tolga Şen")</f>
        <v>Tolga Şen</v>
      </c>
      <c r="C134" s="43" t="str">
        <f>IFERROR(__xludf.DUMMYFUNCTION("""COMPUTED_VALUE"""),"completed")</f>
        <v>completed</v>
      </c>
      <c r="D134" s="43" t="str">
        <f>IFERROR(__xludf.DUMMYFUNCTION("""COMPUTED_VALUE"""),"No")</f>
        <v>No</v>
      </c>
      <c r="E134" s="43" t="str">
        <f>IFERROR(__xludf.DUMMYFUNCTION("""COMPUTED_VALUE"""),"p_008a58767963be681fb5b20167aaec562b112bd4@inbound.aiesec.org")</f>
        <v>p_008a58767963be681fb5b20167aaec562b112bd4@inbound.aiesec.org</v>
      </c>
      <c r="F134" s="43">
        <f>IFERROR(__xludf.DUMMYFUNCTION("""COMPUTED_VALUE"""),5.459040736E9)</f>
        <v>5459040736</v>
      </c>
      <c r="G134" s="43" t="str">
        <f>IFERROR(__xludf.DUMMYFUNCTION("""COMPUTED_VALUE"""),"Turkey")</f>
        <v>Turkey</v>
      </c>
      <c r="H134" s="43" t="str">
        <f>IFERROR(__xludf.DUMMYFUNCTION("""COMPUTED_VALUE"""),"KOCAELI")</f>
        <v>KOCAELI</v>
      </c>
      <c r="I134" s="43" t="str">
        <f>IFERROR(__xludf.DUMMYFUNCTION("""COMPUTED_VALUE"""),"India")</f>
        <v>India</v>
      </c>
      <c r="J134" s="43" t="str">
        <f>IFERROR(__xludf.DUMMYFUNCTION("""COMPUTED_VALUE"""),"JAIPUR ")</f>
        <v>JAIPUR </v>
      </c>
      <c r="K134" s="44" t="str">
        <f>IFERROR(__xludf.DUMMYFUNCTION("""COMPUTED_VALUE"""),"https://expa.aiesec.org/opportunities/1288419")</f>
        <v>https://expa.aiesec.org/opportunities/1288419</v>
      </c>
      <c r="L134" s="43" t="str">
        <f>IFERROR(__xludf.DUMMYFUNCTION("""COMPUTED_VALUE"""),"GV")</f>
        <v>GV</v>
      </c>
      <c r="M134" s="43" t="str">
        <f>IFERROR(__xludf.DUMMYFUNCTION("""COMPUTED_VALUE"""),"short")</f>
        <v>short</v>
      </c>
      <c r="N134" s="45">
        <f>IFERROR(__xludf.DUMMYFUNCTION("""COMPUTED_VALUE"""),44872.0)</f>
        <v>44872</v>
      </c>
      <c r="O134" s="45">
        <f>IFERROR(__xludf.DUMMYFUNCTION("""COMPUTED_VALUE"""),44961.0)</f>
        <v>44961</v>
      </c>
      <c r="P134" s="45">
        <f>IFERROR(__xludf.DUMMYFUNCTION("""COMPUTED_VALUE"""),45003.0)</f>
        <v>45003</v>
      </c>
      <c r="Q134" s="45">
        <f>IFERROR(__xludf.DUMMYFUNCTION("""COMPUTED_VALUE"""),44960.0)</f>
        <v>44960</v>
      </c>
      <c r="R134" s="45">
        <f>IFERROR(__xludf.DUMMYFUNCTION("""COMPUTED_VALUE"""),45003.0)</f>
        <v>45003</v>
      </c>
      <c r="S134" s="43"/>
      <c r="T134" s="43"/>
      <c r="U134" s="43" t="str">
        <f>IFERROR(__xludf.DUMMYFUNCTION("""COMPUTED_VALUE"""),"On The Map")</f>
        <v>On The Map</v>
      </c>
      <c r="V134" s="43" t="str">
        <f>IFERROR(__xludf.DUMMYFUNCTION("""COMPUTED_VALUE"""),"MUGLA")</f>
        <v>MUGLA</v>
      </c>
      <c r="W134" s="43" t="str">
        <f>IFERROR(__xludf.DUMMYFUNCTION("""COMPUTED_VALUE"""),"2022-11-06T10:52:57Z")</f>
        <v>2022-11-06T10:52:57Z</v>
      </c>
      <c r="X134" s="43"/>
      <c r="Y134" s="43"/>
      <c r="Z134" s="43"/>
    </row>
    <row r="135" hidden="1">
      <c r="A135" s="43" t="str">
        <f>IFERROR(__xludf.DUMMYFUNCTION("""COMPUTED_VALUE"""),"5073942_1290418")</f>
        <v>5073942_1290418</v>
      </c>
      <c r="B135" s="43" t="str">
        <f>IFERROR(__xludf.DUMMYFUNCTION("""COMPUTED_VALUE"""),"Ceyda Yelkenci")</f>
        <v>Ceyda Yelkenci</v>
      </c>
      <c r="C135" s="43" t="str">
        <f>IFERROR(__xludf.DUMMYFUNCTION("""COMPUTED_VALUE"""),"finished")</f>
        <v>finished</v>
      </c>
      <c r="D135" s="43" t="str">
        <f>IFERROR(__xludf.DUMMYFUNCTION("""COMPUTED_VALUE"""),"No")</f>
        <v>No</v>
      </c>
      <c r="E135" s="43" t="str">
        <f>IFERROR(__xludf.DUMMYFUNCTION("""COMPUTED_VALUE"""),"p_608871caf94bb68197bf5006f80735aaedbe4cda@inbound.aiesec.org")</f>
        <v>p_608871caf94bb68197bf5006f80735aaedbe4cda@inbound.aiesec.org</v>
      </c>
      <c r="F135" s="43"/>
      <c r="G135" s="43" t="str">
        <f>IFERROR(__xludf.DUMMYFUNCTION("""COMPUTED_VALUE"""),"Turkey")</f>
        <v>Turkey</v>
      </c>
      <c r="H135" s="43" t="str">
        <f>IFERROR(__xludf.DUMMYFUNCTION("""COMPUTED_VALUE"""),"ISTANBUL")</f>
        <v>ISTANBUL</v>
      </c>
      <c r="I135" s="43" t="str">
        <f>IFERROR(__xludf.DUMMYFUNCTION("""COMPUTED_VALUE"""),"Romania")</f>
        <v>Romania</v>
      </c>
      <c r="J135" s="43" t="str">
        <f>IFERROR(__xludf.DUMMYFUNCTION("""COMPUTED_VALUE"""),"BRASOV")</f>
        <v>BRASOV</v>
      </c>
      <c r="K135" s="44" t="str">
        <f>IFERROR(__xludf.DUMMYFUNCTION("""COMPUTED_VALUE"""),"https://expa.aiesec.org/opportunities/1290418")</f>
        <v>https://expa.aiesec.org/opportunities/1290418</v>
      </c>
      <c r="L135" s="43" t="str">
        <f>IFERROR(__xludf.DUMMYFUNCTION("""COMPUTED_VALUE"""),"GV")</f>
        <v>GV</v>
      </c>
      <c r="M135" s="43" t="str">
        <f>IFERROR(__xludf.DUMMYFUNCTION("""COMPUTED_VALUE"""),"short")</f>
        <v>short</v>
      </c>
      <c r="N135" s="45">
        <f>IFERROR(__xludf.DUMMYFUNCTION("""COMPUTED_VALUE"""),44872.0)</f>
        <v>44872</v>
      </c>
      <c r="O135" s="45">
        <f>IFERROR(__xludf.DUMMYFUNCTION("""COMPUTED_VALUE"""),44970.0)</f>
        <v>44970</v>
      </c>
      <c r="P135" s="45">
        <f>IFERROR(__xludf.DUMMYFUNCTION("""COMPUTED_VALUE"""),45012.0)</f>
        <v>45012</v>
      </c>
      <c r="Q135" s="45">
        <f>IFERROR(__xludf.DUMMYFUNCTION("""COMPUTED_VALUE"""),44969.0)</f>
        <v>44969</v>
      </c>
      <c r="R135" s="45">
        <f>IFERROR(__xludf.DUMMYFUNCTION("""COMPUTED_VALUE"""),45012.0)</f>
        <v>45012</v>
      </c>
      <c r="S135" s="43"/>
      <c r="T135" s="43"/>
      <c r="U135" s="43" t="str">
        <f>IFERROR(__xludf.DUMMYFUNCTION("""COMPUTED_VALUE"""),"Eat 4 Change")</f>
        <v>Eat 4 Change</v>
      </c>
      <c r="V135" s="43" t="str">
        <f>IFERROR(__xludf.DUMMYFUNCTION("""COMPUTED_VALUE"""),"-")</f>
        <v>-</v>
      </c>
      <c r="W135" s="43" t="str">
        <f>IFERROR(__xludf.DUMMYFUNCTION("""COMPUTED_VALUE"""),"2022-06-17T21:19:16Z")</f>
        <v>2022-06-17T21:19:16Z</v>
      </c>
      <c r="X135" s="43"/>
      <c r="Y135" s="43"/>
      <c r="Z135" s="43"/>
    </row>
    <row r="136" hidden="1">
      <c r="A136" s="43" t="str">
        <f>IFERROR(__xludf.DUMMYFUNCTION("""COMPUTED_VALUE"""),"5085317_1289533")</f>
        <v>5085317_1289533</v>
      </c>
      <c r="B136" s="43" t="str">
        <f>IFERROR(__xludf.DUMMYFUNCTION("""COMPUTED_VALUE"""),"Haticenur Uyanık")</f>
        <v>Haticenur Uyanık</v>
      </c>
      <c r="C136" s="43" t="str">
        <f>IFERROR(__xludf.DUMMYFUNCTION("""COMPUTED_VALUE"""),"completed")</f>
        <v>completed</v>
      </c>
      <c r="D136" s="43" t="str">
        <f>IFERROR(__xludf.DUMMYFUNCTION("""COMPUTED_VALUE"""),"No")</f>
        <v>No</v>
      </c>
      <c r="E136" s="43" t="str">
        <f>IFERROR(__xludf.DUMMYFUNCTION("""COMPUTED_VALUE"""),"p_d597db7cbb7c77bbbca0d73e14b58c1cd9ed9267@inbound.aiesec.org")</f>
        <v>p_d597db7cbb7c77bbbca0d73e14b58c1cd9ed9267@inbound.aiesec.org</v>
      </c>
      <c r="F136" s="43"/>
      <c r="G136" s="43" t="str">
        <f>IFERROR(__xludf.DUMMYFUNCTION("""COMPUTED_VALUE"""),"Turkey")</f>
        <v>Turkey</v>
      </c>
      <c r="H136" s="43" t="str">
        <f>IFERROR(__xludf.DUMMYFUNCTION("""COMPUTED_VALUE"""),"ISTANBUL WEST")</f>
        <v>ISTANBUL WEST</v>
      </c>
      <c r="I136" s="43" t="str">
        <f>IFERROR(__xludf.DUMMYFUNCTION("""COMPUTED_VALUE"""),"Egypt")</f>
        <v>Egypt</v>
      </c>
      <c r="J136" s="43" t="str">
        <f>IFERROR(__xludf.DUMMYFUNCTION("""COMPUTED_VALUE"""),"Mansoura")</f>
        <v>Mansoura</v>
      </c>
      <c r="K136" s="44" t="str">
        <f>IFERROR(__xludf.DUMMYFUNCTION("""COMPUTED_VALUE"""),"https://expa.aiesec.org/opportunities/1289533")</f>
        <v>https://expa.aiesec.org/opportunities/1289533</v>
      </c>
      <c r="L136" s="43" t="str">
        <f>IFERROR(__xludf.DUMMYFUNCTION("""COMPUTED_VALUE"""),"GV")</f>
        <v>GV</v>
      </c>
      <c r="M136" s="43" t="str">
        <f>IFERROR(__xludf.DUMMYFUNCTION("""COMPUTED_VALUE"""),"short")</f>
        <v>short</v>
      </c>
      <c r="N136" s="45">
        <f>IFERROR(__xludf.DUMMYFUNCTION("""COMPUTED_VALUE"""),44874.0)</f>
        <v>44874</v>
      </c>
      <c r="O136" s="45">
        <f>IFERROR(__xludf.DUMMYFUNCTION("""COMPUTED_VALUE"""),44885.0)</f>
        <v>44885</v>
      </c>
      <c r="P136" s="45">
        <f>IFERROR(__xludf.DUMMYFUNCTION("""COMPUTED_VALUE"""),44927.0)</f>
        <v>44927</v>
      </c>
      <c r="Q136" s="45">
        <f>IFERROR(__xludf.DUMMYFUNCTION("""COMPUTED_VALUE"""),44885.0)</f>
        <v>44885</v>
      </c>
      <c r="R136" s="45">
        <f>IFERROR(__xludf.DUMMYFUNCTION("""COMPUTED_VALUE"""),44927.0)</f>
        <v>44927</v>
      </c>
      <c r="S136" s="43"/>
      <c r="T136" s="43"/>
      <c r="U136" s="43" t="str">
        <f>IFERROR(__xludf.DUMMYFUNCTION("""COMPUTED_VALUE"""),"Global Classroom")</f>
        <v>Global Classroom</v>
      </c>
      <c r="V136" s="43" t="str">
        <f>IFERROR(__xludf.DUMMYFUNCTION("""COMPUTED_VALUE"""),"-")</f>
        <v>-</v>
      </c>
      <c r="W136" s="43" t="str">
        <f>IFERROR(__xludf.DUMMYFUNCTION("""COMPUTED_VALUE"""),"2022-07-23T18:29:03Z")</f>
        <v>2022-07-23T18:29:03Z</v>
      </c>
      <c r="X136" s="43"/>
      <c r="Y136" s="43"/>
      <c r="Z136" s="43"/>
    </row>
    <row r="137" hidden="1">
      <c r="A137" s="43" t="str">
        <f>IFERROR(__xludf.DUMMYFUNCTION("""COMPUTED_VALUE"""),"4559951_1282194")</f>
        <v>4559951_1282194</v>
      </c>
      <c r="B137" s="43" t="str">
        <f>IFERROR(__xludf.DUMMYFUNCTION("""COMPUTED_VALUE"""),"Mustafa Mert Atagün")</f>
        <v>Mustafa Mert Atagün</v>
      </c>
      <c r="C137" s="43" t="str">
        <f>IFERROR(__xludf.DUMMYFUNCTION("""COMPUTED_VALUE"""),"completed")</f>
        <v>completed</v>
      </c>
      <c r="D137" s="43" t="str">
        <f>IFERROR(__xludf.DUMMYFUNCTION("""COMPUTED_VALUE"""),"No")</f>
        <v>No</v>
      </c>
      <c r="E137" s="43" t="str">
        <f>IFERROR(__xludf.DUMMYFUNCTION("""COMPUTED_VALUE"""),"p_90022794ad9aa6249c149f5e8d5c4dd6ca9dc85e@inbound.aiesec.org")</f>
        <v>p_90022794ad9aa6249c149f5e8d5c4dd6ca9dc85e@inbound.aiesec.org</v>
      </c>
      <c r="F137" s="43">
        <f>IFERROR(__xludf.DUMMYFUNCTION("""COMPUTED_VALUE"""),5.372133836E9)</f>
        <v>5372133836</v>
      </c>
      <c r="G137" s="43" t="str">
        <f>IFERROR(__xludf.DUMMYFUNCTION("""COMPUTED_VALUE"""),"Turkey")</f>
        <v>Turkey</v>
      </c>
      <c r="H137" s="43" t="str">
        <f>IFERROR(__xludf.DUMMYFUNCTION("""COMPUTED_VALUE"""),"BURSA")</f>
        <v>BURSA</v>
      </c>
      <c r="I137" s="43" t="str">
        <f>IFERROR(__xludf.DUMMYFUNCTION("""COMPUTED_VALUE"""),"Greece")</f>
        <v>Greece</v>
      </c>
      <c r="J137" s="43" t="str">
        <f>IFERROR(__xludf.DUMMYFUNCTION("""COMPUTED_VALUE"""),"UoM THESSALONIKI")</f>
        <v>UoM THESSALONIKI</v>
      </c>
      <c r="K137" s="44" t="str">
        <f>IFERROR(__xludf.DUMMYFUNCTION("""COMPUTED_VALUE"""),"https://expa.aiesec.org/opportunities/1282194")</f>
        <v>https://expa.aiesec.org/opportunities/1282194</v>
      </c>
      <c r="L137" s="43" t="str">
        <f>IFERROR(__xludf.DUMMYFUNCTION("""COMPUTED_VALUE"""),"GV")</f>
        <v>GV</v>
      </c>
      <c r="M137" s="43" t="str">
        <f>IFERROR(__xludf.DUMMYFUNCTION("""COMPUTED_VALUE"""),"short")</f>
        <v>short</v>
      </c>
      <c r="N137" s="45">
        <f>IFERROR(__xludf.DUMMYFUNCTION("""COMPUTED_VALUE"""),44875.0)</f>
        <v>44875</v>
      </c>
      <c r="O137" s="45">
        <f>IFERROR(__xludf.DUMMYFUNCTION("""COMPUTED_VALUE"""),44889.0)</f>
        <v>44889</v>
      </c>
      <c r="P137" s="45">
        <f>IFERROR(__xludf.DUMMYFUNCTION("""COMPUTED_VALUE"""),44931.0)</f>
        <v>44931</v>
      </c>
      <c r="Q137" s="45">
        <f>IFERROR(__xludf.DUMMYFUNCTION("""COMPUTED_VALUE"""),44879.0)</f>
        <v>44879</v>
      </c>
      <c r="R137" s="45">
        <f>IFERROR(__xludf.DUMMYFUNCTION("""COMPUTED_VALUE"""),44921.0)</f>
        <v>44921</v>
      </c>
      <c r="S137" s="43"/>
      <c r="T137" s="43"/>
      <c r="U137" s="43" t="str">
        <f>IFERROR(__xludf.DUMMYFUNCTION("""COMPUTED_VALUE"""),"Global Classroom")</f>
        <v>Global Classroom</v>
      </c>
      <c r="V137" s="43" t="str">
        <f>IFERROR(__xludf.DUMMYFUNCTION("""COMPUTED_VALUE"""),"BURSA")</f>
        <v>BURSA</v>
      </c>
      <c r="W137" s="43" t="str">
        <f>IFERROR(__xludf.DUMMYFUNCTION("""COMPUTED_VALUE"""),"2021-02-26T11:21:34Z")</f>
        <v>2021-02-26T11:21:34Z</v>
      </c>
      <c r="X137" s="43"/>
      <c r="Y137" s="43"/>
      <c r="Z137" s="43"/>
    </row>
    <row r="138" hidden="1">
      <c r="A138" s="43" t="str">
        <f>IFERROR(__xludf.DUMMYFUNCTION("""COMPUTED_VALUE"""),"5150417_1290024")</f>
        <v>5150417_1290024</v>
      </c>
      <c r="B138" s="43" t="str">
        <f>IFERROR(__xludf.DUMMYFUNCTION("""COMPUTED_VALUE"""),"ataberk gül")</f>
        <v>ataberk gül</v>
      </c>
      <c r="C138" s="43" t="str">
        <f>IFERROR(__xludf.DUMMYFUNCTION("""COMPUTED_VALUE"""),"approved")</f>
        <v>approved</v>
      </c>
      <c r="D138" s="43" t="str">
        <f>IFERROR(__xludf.DUMMYFUNCTION("""COMPUTED_VALUE"""),"No")</f>
        <v>No</v>
      </c>
      <c r="E138" s="43" t="str">
        <f>IFERROR(__xludf.DUMMYFUNCTION("""COMPUTED_VALUE"""),"p_622c6f542988d7ae234c56bf74d1a3f2645c5cd0@inbound.aiesec.org")</f>
        <v>p_622c6f542988d7ae234c56bf74d1a3f2645c5cd0@inbound.aiesec.org</v>
      </c>
      <c r="F138" s="43">
        <f>IFERROR(__xludf.DUMMYFUNCTION("""COMPUTED_VALUE"""),5.305445916E9)</f>
        <v>5305445916</v>
      </c>
      <c r="G138" s="43" t="str">
        <f>IFERROR(__xludf.DUMMYFUNCTION("""COMPUTED_VALUE"""),"Turkey")</f>
        <v>Turkey</v>
      </c>
      <c r="H138" s="43" t="str">
        <f>IFERROR(__xludf.DUMMYFUNCTION("""COMPUTED_VALUE"""),"KOCAELI")</f>
        <v>KOCAELI</v>
      </c>
      <c r="I138" s="43" t="str">
        <f>IFERROR(__xludf.DUMMYFUNCTION("""COMPUTED_VALUE"""),"Egypt")</f>
        <v>Egypt</v>
      </c>
      <c r="J138" s="43" t="str">
        <f>IFERROR(__xludf.DUMMYFUNCTION("""COMPUTED_VALUE"""),"Ain Shams University")</f>
        <v>Ain Shams University</v>
      </c>
      <c r="K138" s="44" t="str">
        <f>IFERROR(__xludf.DUMMYFUNCTION("""COMPUTED_VALUE"""),"https://expa.aiesec.org/opportunities/1290024")</f>
        <v>https://expa.aiesec.org/opportunities/1290024</v>
      </c>
      <c r="L138" s="43" t="str">
        <f>IFERROR(__xludf.DUMMYFUNCTION("""COMPUTED_VALUE"""),"GV")</f>
        <v>GV</v>
      </c>
      <c r="M138" s="43" t="str">
        <f>IFERROR(__xludf.DUMMYFUNCTION("""COMPUTED_VALUE"""),"short")</f>
        <v>short</v>
      </c>
      <c r="N138" s="45">
        <f>IFERROR(__xludf.DUMMYFUNCTION("""COMPUTED_VALUE"""),44875.0)</f>
        <v>44875</v>
      </c>
      <c r="O138" s="45">
        <f>IFERROR(__xludf.DUMMYFUNCTION("""COMPUTED_VALUE"""),45108.0)</f>
        <v>45108</v>
      </c>
      <c r="P138" s="45">
        <f>IFERROR(__xludf.DUMMYFUNCTION("""COMPUTED_VALUE"""),45150.0)</f>
        <v>45150</v>
      </c>
      <c r="Q138" s="45"/>
      <c r="R138" s="45"/>
      <c r="S138" s="43"/>
      <c r="T138" s="43"/>
      <c r="U138" s="43" t="str">
        <f>IFERROR(__xludf.DUMMYFUNCTION("""COMPUTED_VALUE"""),"On The Map")</f>
        <v>On The Map</v>
      </c>
      <c r="V138" s="43" t="str">
        <f>IFERROR(__xludf.DUMMYFUNCTION("""COMPUTED_VALUE"""),"KOCAELI")</f>
        <v>KOCAELI</v>
      </c>
      <c r="W138" s="43" t="str">
        <f>IFERROR(__xludf.DUMMYFUNCTION("""COMPUTED_VALUE"""),"2022-11-09T19:29:59Z")</f>
        <v>2022-11-09T19:29:59Z</v>
      </c>
      <c r="X138" s="43"/>
      <c r="Y138" s="43"/>
      <c r="Z138" s="43"/>
    </row>
    <row r="139" hidden="1">
      <c r="A139" s="43" t="str">
        <f>IFERROR(__xludf.DUMMYFUNCTION("""COMPUTED_VALUE"""),"5150354_1290024")</f>
        <v>5150354_1290024</v>
      </c>
      <c r="B139" s="43" t="str">
        <f>IFERROR(__xludf.DUMMYFUNCTION("""COMPUTED_VALUE"""),"Yusuf Kanbur")</f>
        <v>Yusuf Kanbur</v>
      </c>
      <c r="C139" s="43" t="str">
        <f>IFERROR(__xludf.DUMMYFUNCTION("""COMPUTED_VALUE"""),"approved")</f>
        <v>approved</v>
      </c>
      <c r="D139" s="43" t="str">
        <f>IFERROR(__xludf.DUMMYFUNCTION("""COMPUTED_VALUE"""),"No")</f>
        <v>No</v>
      </c>
      <c r="E139" s="43" t="str">
        <f>IFERROR(__xludf.DUMMYFUNCTION("""COMPUTED_VALUE"""),"p_3e4c698efa665ff4587005840b9fd93364d163ce@inbound.aiesec.org")</f>
        <v>p_3e4c698efa665ff4587005840b9fd93364d163ce@inbound.aiesec.org</v>
      </c>
      <c r="F139" s="43">
        <f>IFERROR(__xludf.DUMMYFUNCTION("""COMPUTED_VALUE"""),5.439603453E9)</f>
        <v>5439603453</v>
      </c>
      <c r="G139" s="43" t="str">
        <f>IFERROR(__xludf.DUMMYFUNCTION("""COMPUTED_VALUE"""),"Turkey")</f>
        <v>Turkey</v>
      </c>
      <c r="H139" s="43" t="str">
        <f>IFERROR(__xludf.DUMMYFUNCTION("""COMPUTED_VALUE"""),"KOCAELI")</f>
        <v>KOCAELI</v>
      </c>
      <c r="I139" s="43" t="str">
        <f>IFERROR(__xludf.DUMMYFUNCTION("""COMPUTED_VALUE"""),"Egypt")</f>
        <v>Egypt</v>
      </c>
      <c r="J139" s="43" t="str">
        <f>IFERROR(__xludf.DUMMYFUNCTION("""COMPUTED_VALUE"""),"Ain Shams University")</f>
        <v>Ain Shams University</v>
      </c>
      <c r="K139" s="44" t="str">
        <f>IFERROR(__xludf.DUMMYFUNCTION("""COMPUTED_VALUE"""),"https://expa.aiesec.org/opportunities/1290024")</f>
        <v>https://expa.aiesec.org/opportunities/1290024</v>
      </c>
      <c r="L139" s="43" t="str">
        <f>IFERROR(__xludf.DUMMYFUNCTION("""COMPUTED_VALUE"""),"GV")</f>
        <v>GV</v>
      </c>
      <c r="M139" s="43" t="str">
        <f>IFERROR(__xludf.DUMMYFUNCTION("""COMPUTED_VALUE"""),"short")</f>
        <v>short</v>
      </c>
      <c r="N139" s="45">
        <f>IFERROR(__xludf.DUMMYFUNCTION("""COMPUTED_VALUE"""),44875.0)</f>
        <v>44875</v>
      </c>
      <c r="O139" s="45">
        <f>IFERROR(__xludf.DUMMYFUNCTION("""COMPUTED_VALUE"""),45108.0)</f>
        <v>45108</v>
      </c>
      <c r="P139" s="45">
        <f>IFERROR(__xludf.DUMMYFUNCTION("""COMPUTED_VALUE"""),45150.0)</f>
        <v>45150</v>
      </c>
      <c r="Q139" s="45"/>
      <c r="R139" s="45"/>
      <c r="S139" s="43"/>
      <c r="T139" s="43"/>
      <c r="U139" s="43" t="str">
        <f>IFERROR(__xludf.DUMMYFUNCTION("""COMPUTED_VALUE"""),"On The Map")</f>
        <v>On The Map</v>
      </c>
      <c r="V139" s="43" t="str">
        <f>IFERROR(__xludf.DUMMYFUNCTION("""COMPUTED_VALUE"""),"KOCAELI")</f>
        <v>KOCAELI</v>
      </c>
      <c r="W139" s="43" t="str">
        <f>IFERROR(__xludf.DUMMYFUNCTION("""COMPUTED_VALUE"""),"2022-11-09T17:39:46Z")</f>
        <v>2022-11-09T17:39:46Z</v>
      </c>
      <c r="X139" s="43"/>
      <c r="Y139" s="43"/>
      <c r="Z139" s="43"/>
    </row>
    <row r="140" hidden="1">
      <c r="A140" s="43" t="str">
        <f>IFERROR(__xludf.DUMMYFUNCTION("""COMPUTED_VALUE"""),"4030751_1289256")</f>
        <v>4030751_1289256</v>
      </c>
      <c r="B140" s="43" t="str">
        <f>IFERROR(__xludf.DUMMYFUNCTION("""COMPUTED_VALUE"""),"Mert Timur Tekin")</f>
        <v>Mert Timur Tekin</v>
      </c>
      <c r="C140" s="43" t="str">
        <f>IFERROR(__xludf.DUMMYFUNCTION("""COMPUTED_VALUE"""),"completed")</f>
        <v>completed</v>
      </c>
      <c r="D140" s="43" t="str">
        <f>IFERROR(__xludf.DUMMYFUNCTION("""COMPUTED_VALUE"""),"No")</f>
        <v>No</v>
      </c>
      <c r="E140" s="43" t="str">
        <f>IFERROR(__xludf.DUMMYFUNCTION("""COMPUTED_VALUE"""),"p_303e0f98ea1d5bdf727a12cc7c29c99494634bbf@inbound.aiesec.org")</f>
        <v>p_303e0f98ea1d5bdf727a12cc7c29c99494634bbf@inbound.aiesec.org</v>
      </c>
      <c r="F140" s="43">
        <f>IFERROR(__xludf.DUMMYFUNCTION("""COMPUTED_VALUE"""),5.423700387E9)</f>
        <v>5423700387</v>
      </c>
      <c r="G140" s="43" t="str">
        <f>IFERROR(__xludf.DUMMYFUNCTION("""COMPUTED_VALUE"""),"Turkey")</f>
        <v>Turkey</v>
      </c>
      <c r="H140" s="43" t="str">
        <f>IFERROR(__xludf.DUMMYFUNCTION("""COMPUTED_VALUE"""),"İZMİR")</f>
        <v>İZMİR</v>
      </c>
      <c r="I140" s="43" t="str">
        <f>IFERROR(__xludf.DUMMYFUNCTION("""COMPUTED_VALUE"""),"Egypt")</f>
        <v>Egypt</v>
      </c>
      <c r="J140" s="43" t="str">
        <f>IFERROR(__xludf.DUMMYFUNCTION("""COMPUTED_VALUE"""),"Mansoura")</f>
        <v>Mansoura</v>
      </c>
      <c r="K140" s="44" t="str">
        <f>IFERROR(__xludf.DUMMYFUNCTION("""COMPUTED_VALUE"""),"https://expa.aiesec.org/opportunities/1289256")</f>
        <v>https://expa.aiesec.org/opportunities/1289256</v>
      </c>
      <c r="L140" s="43" t="str">
        <f>IFERROR(__xludf.DUMMYFUNCTION("""COMPUTED_VALUE"""),"GV")</f>
        <v>GV</v>
      </c>
      <c r="M140" s="43" t="str">
        <f>IFERROR(__xludf.DUMMYFUNCTION("""COMPUTED_VALUE"""),"short")</f>
        <v>short</v>
      </c>
      <c r="N140" s="45">
        <f>IFERROR(__xludf.DUMMYFUNCTION("""COMPUTED_VALUE"""),44875.0)</f>
        <v>44875</v>
      </c>
      <c r="O140" s="45">
        <f>IFERROR(__xludf.DUMMYFUNCTION("""COMPUTED_VALUE"""),44958.0)</f>
        <v>44958</v>
      </c>
      <c r="P140" s="45">
        <f>IFERROR(__xludf.DUMMYFUNCTION("""COMPUTED_VALUE"""),45000.0)</f>
        <v>45000</v>
      </c>
      <c r="Q140" s="45">
        <f>IFERROR(__xludf.DUMMYFUNCTION("""COMPUTED_VALUE"""),44958.0)</f>
        <v>44958</v>
      </c>
      <c r="R140" s="45">
        <f>IFERROR(__xludf.DUMMYFUNCTION("""COMPUTED_VALUE"""),45000.0)</f>
        <v>45000</v>
      </c>
      <c r="S140" s="43"/>
      <c r="T140" s="43"/>
      <c r="U140" s="43" t="str">
        <f>IFERROR(__xludf.DUMMYFUNCTION("""COMPUTED_VALUE"""),"Skill Up!")</f>
        <v>Skill Up!</v>
      </c>
      <c r="V140" s="43" t="str">
        <f>IFERROR(__xludf.DUMMYFUNCTION("""COMPUTED_VALUE"""),"IZMIR")</f>
        <v>IZMIR</v>
      </c>
      <c r="W140" s="43" t="str">
        <f>IFERROR(__xludf.DUMMYFUNCTION("""COMPUTED_VALUE"""),"2019-11-22T19:04:40Z")</f>
        <v>2019-11-22T19:04:40Z</v>
      </c>
      <c r="X140" s="43"/>
      <c r="Y140" s="43"/>
      <c r="Z140" s="43"/>
    </row>
    <row r="141" hidden="1">
      <c r="A141" s="43" t="str">
        <f>IFERROR(__xludf.DUMMYFUNCTION("""COMPUTED_VALUE"""),"5146569_1290625")</f>
        <v>5146569_1290625</v>
      </c>
      <c r="B141" s="43" t="str">
        <f>IFERROR(__xludf.DUMMYFUNCTION("""COMPUTED_VALUE"""),"Özberk Güneş")</f>
        <v>Özberk Güneş</v>
      </c>
      <c r="C141" s="43" t="str">
        <f>IFERROR(__xludf.DUMMYFUNCTION("""COMPUTED_VALUE"""),"completed")</f>
        <v>completed</v>
      </c>
      <c r="D141" s="43" t="str">
        <f>IFERROR(__xludf.DUMMYFUNCTION("""COMPUTED_VALUE"""),"No")</f>
        <v>No</v>
      </c>
      <c r="E141" s="43" t="str">
        <f>IFERROR(__xludf.DUMMYFUNCTION("""COMPUTED_VALUE"""),"p_bb4631cc84b0c2a4ce2fd26176974daa18770ef4@inbound.aiesec.org")</f>
        <v>p_bb4631cc84b0c2a4ce2fd26176974daa18770ef4@inbound.aiesec.org</v>
      </c>
      <c r="F141" s="43"/>
      <c r="G141" s="43" t="str">
        <f>IFERROR(__xludf.DUMMYFUNCTION("""COMPUTED_VALUE"""),"Turkey")</f>
        <v>Turkey</v>
      </c>
      <c r="H141" s="43" t="str">
        <f>IFERROR(__xludf.DUMMYFUNCTION("""COMPUTED_VALUE"""),"KOCAELI")</f>
        <v>KOCAELI</v>
      </c>
      <c r="I141" s="43" t="str">
        <f>IFERROR(__xludf.DUMMYFUNCTION("""COMPUTED_VALUE"""),"Italy")</f>
        <v>Italy</v>
      </c>
      <c r="J141" s="43" t="str">
        <f>IFERROR(__xludf.DUMMYFUNCTION("""COMPUTED_VALUE"""),"Bari")</f>
        <v>Bari</v>
      </c>
      <c r="K141" s="44" t="str">
        <f>IFERROR(__xludf.DUMMYFUNCTION("""COMPUTED_VALUE"""),"https://expa.aiesec.org/opportunities/1290625")</f>
        <v>https://expa.aiesec.org/opportunities/1290625</v>
      </c>
      <c r="L141" s="43" t="str">
        <f>IFERROR(__xludf.DUMMYFUNCTION("""COMPUTED_VALUE"""),"GV")</f>
        <v>GV</v>
      </c>
      <c r="M141" s="43" t="str">
        <f>IFERROR(__xludf.DUMMYFUNCTION("""COMPUTED_VALUE"""),"short")</f>
        <v>short</v>
      </c>
      <c r="N141" s="45">
        <f>IFERROR(__xludf.DUMMYFUNCTION("""COMPUTED_VALUE"""),44875.0)</f>
        <v>44875</v>
      </c>
      <c r="O141" s="45">
        <f>IFERROR(__xludf.DUMMYFUNCTION("""COMPUTED_VALUE"""),44944.0)</f>
        <v>44944</v>
      </c>
      <c r="P141" s="45">
        <f>IFERROR(__xludf.DUMMYFUNCTION("""COMPUTED_VALUE"""),44986.0)</f>
        <v>44986</v>
      </c>
      <c r="Q141" s="45">
        <f>IFERROR(__xludf.DUMMYFUNCTION("""COMPUTED_VALUE"""),44943.0)</f>
        <v>44943</v>
      </c>
      <c r="R141" s="45">
        <f>IFERROR(__xludf.DUMMYFUNCTION("""COMPUTED_VALUE"""),44986.0)</f>
        <v>44986</v>
      </c>
      <c r="S141" s="43"/>
      <c r="T141" s="43"/>
      <c r="U141" s="43" t="str">
        <f>IFERROR(__xludf.DUMMYFUNCTION("""COMPUTED_VALUE"""),"Global Classroom")</f>
        <v>Global Classroom</v>
      </c>
      <c r="V141" s="43" t="str">
        <f>IFERROR(__xludf.DUMMYFUNCTION("""COMPUTED_VALUE"""),"-")</f>
        <v>-</v>
      </c>
      <c r="W141" s="43" t="str">
        <f>IFERROR(__xludf.DUMMYFUNCTION("""COMPUTED_VALUE"""),"2022-11-04T13:54:56Z")</f>
        <v>2022-11-04T13:54:56Z</v>
      </c>
      <c r="X141" s="43"/>
      <c r="Y141" s="43"/>
      <c r="Z141" s="43"/>
    </row>
    <row r="142" hidden="1">
      <c r="A142" s="43" t="str">
        <f>IFERROR(__xludf.DUMMYFUNCTION("""COMPUTED_VALUE"""),"4950776_1287509")</f>
        <v>4950776_1287509</v>
      </c>
      <c r="B142" s="43" t="str">
        <f>IFERROR(__xludf.DUMMYFUNCTION("""COMPUTED_VALUE"""),"lara önat")</f>
        <v>lara önat</v>
      </c>
      <c r="C142" s="43" t="str">
        <f>IFERROR(__xludf.DUMMYFUNCTION("""COMPUTED_VALUE"""),"finished")</f>
        <v>finished</v>
      </c>
      <c r="D142" s="43" t="str">
        <f>IFERROR(__xludf.DUMMYFUNCTION("""COMPUTED_VALUE"""),"No")</f>
        <v>No</v>
      </c>
      <c r="E142" s="43" t="str">
        <f>IFERROR(__xludf.DUMMYFUNCTION("""COMPUTED_VALUE"""),"p_bf75e1f0875e79792e7231b4a5498f0201669cb0@inbound.aiesec.org")</f>
        <v>p_bf75e1f0875e79792e7231b4a5498f0201669cb0@inbound.aiesec.org</v>
      </c>
      <c r="F142" s="43">
        <f>IFERROR(__xludf.DUMMYFUNCTION("""COMPUTED_VALUE"""),5.303421222E9)</f>
        <v>5303421222</v>
      </c>
      <c r="G142" s="43" t="str">
        <f>IFERROR(__xludf.DUMMYFUNCTION("""COMPUTED_VALUE"""),"Turkey")</f>
        <v>Turkey</v>
      </c>
      <c r="H142" s="43" t="str">
        <f>IFERROR(__xludf.DUMMYFUNCTION("""COMPUTED_VALUE"""),"ISTANBUL")</f>
        <v>ISTANBUL</v>
      </c>
      <c r="I142" s="43" t="str">
        <f>IFERROR(__xludf.DUMMYFUNCTION("""COMPUTED_VALUE"""),"Romania")</f>
        <v>Romania</v>
      </c>
      <c r="J142" s="43" t="str">
        <f>IFERROR(__xludf.DUMMYFUNCTION("""COMPUTED_VALUE"""),"BRASOV")</f>
        <v>BRASOV</v>
      </c>
      <c r="K142" s="44" t="str">
        <f>IFERROR(__xludf.DUMMYFUNCTION("""COMPUTED_VALUE"""),"https://expa.aiesec.org/opportunities/1287509")</f>
        <v>https://expa.aiesec.org/opportunities/1287509</v>
      </c>
      <c r="L142" s="43" t="str">
        <f>IFERROR(__xludf.DUMMYFUNCTION("""COMPUTED_VALUE"""),"GV")</f>
        <v>GV</v>
      </c>
      <c r="M142" s="43" t="str">
        <f>IFERROR(__xludf.DUMMYFUNCTION("""COMPUTED_VALUE"""),"short")</f>
        <v>short</v>
      </c>
      <c r="N142" s="45">
        <f>IFERROR(__xludf.DUMMYFUNCTION("""COMPUTED_VALUE"""),44875.0)</f>
        <v>44875</v>
      </c>
      <c r="O142" s="45">
        <f>IFERROR(__xludf.DUMMYFUNCTION("""COMPUTED_VALUE"""),44935.0)</f>
        <v>44935</v>
      </c>
      <c r="P142" s="45">
        <f>IFERROR(__xludf.DUMMYFUNCTION("""COMPUTED_VALUE"""),44977.0)</f>
        <v>44977</v>
      </c>
      <c r="Q142" s="45">
        <f>IFERROR(__xludf.DUMMYFUNCTION("""COMPUTED_VALUE"""),44937.0)</f>
        <v>44937</v>
      </c>
      <c r="R142" s="45">
        <f>IFERROR(__xludf.DUMMYFUNCTION("""COMPUTED_VALUE"""),44977.0)</f>
        <v>44977</v>
      </c>
      <c r="S142" s="43"/>
      <c r="T142" s="43"/>
      <c r="U142" s="43" t="str">
        <f>IFERROR(__xludf.DUMMYFUNCTION("""COMPUTED_VALUE"""),"Youth 4 Impact")</f>
        <v>Youth 4 Impact</v>
      </c>
      <c r="V142" s="43" t="str">
        <f>IFERROR(__xludf.DUMMYFUNCTION("""COMPUTED_VALUE"""),"ISTANBUL - BEYOGLU")</f>
        <v>ISTANBUL - BEYOGLU</v>
      </c>
      <c r="W142" s="43" t="str">
        <f>IFERROR(__xludf.DUMMYFUNCTION("""COMPUTED_VALUE"""),"2022-02-26T11:05:27Z")</f>
        <v>2022-02-26T11:05:27Z</v>
      </c>
      <c r="X142" s="43"/>
      <c r="Y142" s="43"/>
      <c r="Z142" s="43"/>
    </row>
    <row r="143" hidden="1">
      <c r="A143" s="43" t="str">
        <f>IFERROR(__xludf.DUMMYFUNCTION("""COMPUTED_VALUE"""),"5150204_1289852")</f>
        <v>5150204_1289852</v>
      </c>
      <c r="B143" s="43" t="str">
        <f>IFERROR(__xludf.DUMMYFUNCTION("""COMPUTED_VALUE"""),"Furkan Buğra KARCI")</f>
        <v>Furkan Buğra KARCI</v>
      </c>
      <c r="C143" s="43" t="str">
        <f>IFERROR(__xludf.DUMMYFUNCTION("""COMPUTED_VALUE"""),"approved")</f>
        <v>approved</v>
      </c>
      <c r="D143" s="43" t="str">
        <f>IFERROR(__xludf.DUMMYFUNCTION("""COMPUTED_VALUE"""),"No")</f>
        <v>No</v>
      </c>
      <c r="E143" s="43" t="str">
        <f>IFERROR(__xludf.DUMMYFUNCTION("""COMPUTED_VALUE"""),"p_19d97b4174286f7c9a3234dabbfd6be9d08da693@inbound.aiesec.org")</f>
        <v>p_19d97b4174286f7c9a3234dabbfd6be9d08da693@inbound.aiesec.org</v>
      </c>
      <c r="F143" s="43">
        <f>IFERROR(__xludf.DUMMYFUNCTION("""COMPUTED_VALUE"""),5.531609839E9)</f>
        <v>5531609839</v>
      </c>
      <c r="G143" s="43" t="str">
        <f>IFERROR(__xludf.DUMMYFUNCTION("""COMPUTED_VALUE"""),"Turkey")</f>
        <v>Turkey</v>
      </c>
      <c r="H143" s="43" t="str">
        <f>IFERROR(__xludf.DUMMYFUNCTION("""COMPUTED_VALUE"""),"İZMİR")</f>
        <v>İZMİR</v>
      </c>
      <c r="I143" s="43" t="str">
        <f>IFERROR(__xludf.DUMMYFUNCTION("""COMPUTED_VALUE"""),"India")</f>
        <v>India</v>
      </c>
      <c r="J143" s="43" t="str">
        <f>IFERROR(__xludf.DUMMYFUNCTION("""COMPUTED_VALUE"""),"Mumbai")</f>
        <v>Mumbai</v>
      </c>
      <c r="K143" s="44" t="str">
        <f>IFERROR(__xludf.DUMMYFUNCTION("""COMPUTED_VALUE"""),"https://expa.aiesec.org/opportunities/1289852")</f>
        <v>https://expa.aiesec.org/opportunities/1289852</v>
      </c>
      <c r="L143" s="43" t="str">
        <f>IFERROR(__xludf.DUMMYFUNCTION("""COMPUTED_VALUE"""),"GV")</f>
        <v>GV</v>
      </c>
      <c r="M143" s="43" t="str">
        <f>IFERROR(__xludf.DUMMYFUNCTION("""COMPUTED_VALUE"""),"short")</f>
        <v>short</v>
      </c>
      <c r="N143" s="45">
        <f>IFERROR(__xludf.DUMMYFUNCTION("""COMPUTED_VALUE"""),44876.0)</f>
        <v>44876</v>
      </c>
      <c r="O143" s="45">
        <f>IFERROR(__xludf.DUMMYFUNCTION("""COMPUTED_VALUE"""),45108.0)</f>
        <v>45108</v>
      </c>
      <c r="P143" s="45">
        <f>IFERROR(__xludf.DUMMYFUNCTION("""COMPUTED_VALUE"""),45150.0)</f>
        <v>45150</v>
      </c>
      <c r="Q143" s="45"/>
      <c r="R143" s="45"/>
      <c r="S143" s="43"/>
      <c r="T143" s="43"/>
      <c r="U143" s="43" t="str">
        <f>IFERROR(__xludf.DUMMYFUNCTION("""COMPUTED_VALUE"""),"Explorer")</f>
        <v>Explorer</v>
      </c>
      <c r="V143" s="43" t="str">
        <f>IFERROR(__xludf.DUMMYFUNCTION("""COMPUTED_VALUE"""),"MANISA")</f>
        <v>MANISA</v>
      </c>
      <c r="W143" s="43" t="str">
        <f>IFERROR(__xludf.DUMMYFUNCTION("""COMPUTED_VALUE"""),"2022-11-09T13:17:06Z")</f>
        <v>2022-11-09T13:17:06Z</v>
      </c>
      <c r="X143" s="43"/>
      <c r="Y143" s="43"/>
      <c r="Z143" s="43"/>
    </row>
    <row r="144" hidden="1">
      <c r="A144" s="43" t="str">
        <f>IFERROR(__xludf.DUMMYFUNCTION("""COMPUTED_VALUE"""),"5146566_1287459")</f>
        <v>5146566_1287459</v>
      </c>
      <c r="B144" s="43" t="str">
        <f>IFERROR(__xludf.DUMMYFUNCTION("""COMPUTED_VALUE"""),"Mehmet Ateş Yanar")</f>
        <v>Mehmet Ateş Yanar</v>
      </c>
      <c r="C144" s="43" t="str">
        <f>IFERROR(__xludf.DUMMYFUNCTION("""COMPUTED_VALUE"""),"approved")</f>
        <v>approved</v>
      </c>
      <c r="D144" s="43" t="str">
        <f>IFERROR(__xludf.DUMMYFUNCTION("""COMPUTED_VALUE"""),"No")</f>
        <v>No</v>
      </c>
      <c r="E144" s="43" t="str">
        <f>IFERROR(__xludf.DUMMYFUNCTION("""COMPUTED_VALUE"""),"p_8d73ea7454299d6ec08024e05f2345061a331e75@inbound.aiesec.org")</f>
        <v>p_8d73ea7454299d6ec08024e05f2345061a331e75@inbound.aiesec.org</v>
      </c>
      <c r="F144" s="43">
        <f>IFERROR(__xludf.DUMMYFUNCTION("""COMPUTED_VALUE"""),5.435827901E9)</f>
        <v>5435827901</v>
      </c>
      <c r="G144" s="43" t="str">
        <f>IFERROR(__xludf.DUMMYFUNCTION("""COMPUTED_VALUE"""),"Turkey")</f>
        <v>Turkey</v>
      </c>
      <c r="H144" s="43" t="str">
        <f>IFERROR(__xludf.DUMMYFUNCTION("""COMPUTED_VALUE"""),"ISTANBUL")</f>
        <v>ISTANBUL</v>
      </c>
      <c r="I144" s="43" t="str">
        <f>IFERROR(__xludf.DUMMYFUNCTION("""COMPUTED_VALUE"""),"Sri Lanka")</f>
        <v>Sri Lanka</v>
      </c>
      <c r="J144" s="43" t="str">
        <f>IFERROR(__xludf.DUMMYFUNCTION("""COMPUTED_VALUE"""),"SLIIT")</f>
        <v>SLIIT</v>
      </c>
      <c r="K144" s="44" t="str">
        <f>IFERROR(__xludf.DUMMYFUNCTION("""COMPUTED_VALUE"""),"https://expa.aiesec.org/opportunities/1287459")</f>
        <v>https://expa.aiesec.org/opportunities/1287459</v>
      </c>
      <c r="L144" s="43" t="str">
        <f>IFERROR(__xludf.DUMMYFUNCTION("""COMPUTED_VALUE"""),"GV")</f>
        <v>GV</v>
      </c>
      <c r="M144" s="43" t="str">
        <f>IFERROR(__xludf.DUMMYFUNCTION("""COMPUTED_VALUE"""),"short")</f>
        <v>short</v>
      </c>
      <c r="N144" s="45">
        <f>IFERROR(__xludf.DUMMYFUNCTION("""COMPUTED_VALUE"""),44876.0)</f>
        <v>44876</v>
      </c>
      <c r="O144" s="45">
        <f>IFERROR(__xludf.DUMMYFUNCTION("""COMPUTED_VALUE"""),45139.0)</f>
        <v>45139</v>
      </c>
      <c r="P144" s="45">
        <f>IFERROR(__xludf.DUMMYFUNCTION("""COMPUTED_VALUE"""),45181.0)</f>
        <v>45181</v>
      </c>
      <c r="Q144" s="45"/>
      <c r="R144" s="45"/>
      <c r="S144" s="43"/>
      <c r="T144" s="43"/>
      <c r="U144" s="43" t="str">
        <f>IFERROR(__xludf.DUMMYFUNCTION("""COMPUTED_VALUE"""),"Aquatica")</f>
        <v>Aquatica</v>
      </c>
      <c r="V144" s="43" t="str">
        <f>IFERROR(__xludf.DUMMYFUNCTION("""COMPUTED_VALUE"""),"ISTANBUL - BEYOGLU")</f>
        <v>ISTANBUL - BEYOGLU</v>
      </c>
      <c r="W144" s="43" t="str">
        <f>IFERROR(__xludf.DUMMYFUNCTION("""COMPUTED_VALUE"""),"2022-11-04T13:51:18Z")</f>
        <v>2022-11-04T13:51:18Z</v>
      </c>
      <c r="X144" s="43"/>
      <c r="Y144" s="43"/>
      <c r="Z144" s="43"/>
    </row>
    <row r="145" hidden="1">
      <c r="A145" s="43" t="str">
        <f>IFERROR(__xludf.DUMMYFUNCTION("""COMPUTED_VALUE"""),"5145409_1290210")</f>
        <v>5145409_1290210</v>
      </c>
      <c r="B145" s="43" t="str">
        <f>IFERROR(__xludf.DUMMYFUNCTION("""COMPUTED_VALUE"""),"Selin Baş")</f>
        <v>Selin Baş</v>
      </c>
      <c r="C145" s="43" t="str">
        <f>IFERROR(__xludf.DUMMYFUNCTION("""COMPUTED_VALUE"""),"finished")</f>
        <v>finished</v>
      </c>
      <c r="D145" s="43" t="str">
        <f>IFERROR(__xludf.DUMMYFUNCTION("""COMPUTED_VALUE"""),"No")</f>
        <v>No</v>
      </c>
      <c r="E145" s="43" t="str">
        <f>IFERROR(__xludf.DUMMYFUNCTION("""COMPUTED_VALUE"""),"p_ddfd903c09dc8ab204db6dcb526f6657c943a1d8@inbound.aiesec.org")</f>
        <v>p_ddfd903c09dc8ab204db6dcb526f6657c943a1d8@inbound.aiesec.org</v>
      </c>
      <c r="F145" s="43"/>
      <c r="G145" s="43" t="str">
        <f>IFERROR(__xludf.DUMMYFUNCTION("""COMPUTED_VALUE"""),"Turkey")</f>
        <v>Turkey</v>
      </c>
      <c r="H145" s="43" t="str">
        <f>IFERROR(__xludf.DUMMYFUNCTION("""COMPUTED_VALUE"""),"ANKARA")</f>
        <v>ANKARA</v>
      </c>
      <c r="I145" s="43" t="str">
        <f>IFERROR(__xludf.DUMMYFUNCTION("""COMPUTED_VALUE"""),"Romania")</f>
        <v>Romania</v>
      </c>
      <c r="J145" s="43" t="str">
        <f>IFERROR(__xludf.DUMMYFUNCTION("""COMPUTED_VALUE"""),"Cluj-Napoca")</f>
        <v>Cluj-Napoca</v>
      </c>
      <c r="K145" s="44" t="str">
        <f>IFERROR(__xludf.DUMMYFUNCTION("""COMPUTED_VALUE"""),"https://expa.aiesec.org/opportunities/1290210")</f>
        <v>https://expa.aiesec.org/opportunities/1290210</v>
      </c>
      <c r="L145" s="43" t="str">
        <f>IFERROR(__xludf.DUMMYFUNCTION("""COMPUTED_VALUE"""),"GV")</f>
        <v>GV</v>
      </c>
      <c r="M145" s="43" t="str">
        <f>IFERROR(__xludf.DUMMYFUNCTION("""COMPUTED_VALUE"""),"short")</f>
        <v>short</v>
      </c>
      <c r="N145" s="45">
        <f>IFERROR(__xludf.DUMMYFUNCTION("""COMPUTED_VALUE"""),44876.0)</f>
        <v>44876</v>
      </c>
      <c r="O145" s="45">
        <f>IFERROR(__xludf.DUMMYFUNCTION("""COMPUTED_VALUE"""),44949.0)</f>
        <v>44949</v>
      </c>
      <c r="P145" s="45">
        <f>IFERROR(__xludf.DUMMYFUNCTION("""COMPUTED_VALUE"""),44991.0)</f>
        <v>44991</v>
      </c>
      <c r="Q145" s="45">
        <f>IFERROR(__xludf.DUMMYFUNCTION("""COMPUTED_VALUE"""),44956.0)</f>
        <v>44956</v>
      </c>
      <c r="R145" s="45">
        <f>IFERROR(__xludf.DUMMYFUNCTION("""COMPUTED_VALUE"""),44999.0)</f>
        <v>44999</v>
      </c>
      <c r="S145" s="43"/>
      <c r="T145" s="43"/>
      <c r="U145" s="43" t="str">
        <f>IFERROR(__xludf.DUMMYFUNCTION("""COMPUTED_VALUE"""),"Eat 4 Change")</f>
        <v>Eat 4 Change</v>
      </c>
      <c r="V145" s="43" t="str">
        <f>IFERROR(__xludf.DUMMYFUNCTION("""COMPUTED_VALUE"""),"-")</f>
        <v>-</v>
      </c>
      <c r="W145" s="43" t="str">
        <f>IFERROR(__xludf.DUMMYFUNCTION("""COMPUTED_VALUE"""),"2022-11-02T19:40:58Z")</f>
        <v>2022-11-02T19:40:58Z</v>
      </c>
      <c r="X145" s="43"/>
      <c r="Y145" s="43"/>
      <c r="Z145" s="43"/>
    </row>
    <row r="146" hidden="1">
      <c r="A146" s="43" t="str">
        <f>IFERROR(__xludf.DUMMYFUNCTION("""COMPUTED_VALUE"""),"2572316_1290210")</f>
        <v>2572316_1290210</v>
      </c>
      <c r="B146" s="43" t="str">
        <f>IFERROR(__xludf.DUMMYFUNCTION("""COMPUTED_VALUE"""),"Batuhan Köse")</f>
        <v>Batuhan Köse</v>
      </c>
      <c r="C146" s="43" t="str">
        <f>IFERROR(__xludf.DUMMYFUNCTION("""COMPUTED_VALUE"""),"finished")</f>
        <v>finished</v>
      </c>
      <c r="D146" s="43" t="str">
        <f>IFERROR(__xludf.DUMMYFUNCTION("""COMPUTED_VALUE"""),"No")</f>
        <v>No</v>
      </c>
      <c r="E146" s="43" t="str">
        <f>IFERROR(__xludf.DUMMYFUNCTION("""COMPUTED_VALUE"""),"p_0b2085499d19b632cc5d29561af161e69af007f6@inbound.aiesec.org")</f>
        <v>p_0b2085499d19b632cc5d29561af161e69af007f6@inbound.aiesec.org</v>
      </c>
      <c r="F146" s="43">
        <f>IFERROR(__xludf.DUMMYFUNCTION("""COMPUTED_VALUE"""),5.308616071E9)</f>
        <v>5308616071</v>
      </c>
      <c r="G146" s="43" t="str">
        <f>IFERROR(__xludf.DUMMYFUNCTION("""COMPUTED_VALUE"""),"Turkey")</f>
        <v>Turkey</v>
      </c>
      <c r="H146" s="43" t="str">
        <f>IFERROR(__xludf.DUMMYFUNCTION("""COMPUTED_VALUE"""),"ANKARA")</f>
        <v>ANKARA</v>
      </c>
      <c r="I146" s="43" t="str">
        <f>IFERROR(__xludf.DUMMYFUNCTION("""COMPUTED_VALUE"""),"Romania")</f>
        <v>Romania</v>
      </c>
      <c r="J146" s="43" t="str">
        <f>IFERROR(__xludf.DUMMYFUNCTION("""COMPUTED_VALUE"""),"Cluj-Napoca")</f>
        <v>Cluj-Napoca</v>
      </c>
      <c r="K146" s="44" t="str">
        <f>IFERROR(__xludf.DUMMYFUNCTION("""COMPUTED_VALUE"""),"https://expa.aiesec.org/opportunities/1290210")</f>
        <v>https://expa.aiesec.org/opportunities/1290210</v>
      </c>
      <c r="L146" s="43" t="str">
        <f>IFERROR(__xludf.DUMMYFUNCTION("""COMPUTED_VALUE"""),"GV")</f>
        <v>GV</v>
      </c>
      <c r="M146" s="43" t="str">
        <f>IFERROR(__xludf.DUMMYFUNCTION("""COMPUTED_VALUE"""),"short")</f>
        <v>short</v>
      </c>
      <c r="N146" s="45">
        <f>IFERROR(__xludf.DUMMYFUNCTION("""COMPUTED_VALUE"""),44876.0)</f>
        <v>44876</v>
      </c>
      <c r="O146" s="45">
        <f>IFERROR(__xludf.DUMMYFUNCTION("""COMPUTED_VALUE"""),44949.0)</f>
        <v>44949</v>
      </c>
      <c r="P146" s="45">
        <f>IFERROR(__xludf.DUMMYFUNCTION("""COMPUTED_VALUE"""),44991.0)</f>
        <v>44991</v>
      </c>
      <c r="Q146" s="45">
        <f>IFERROR(__xludf.DUMMYFUNCTION("""COMPUTED_VALUE"""),44956.0)</f>
        <v>44956</v>
      </c>
      <c r="R146" s="45">
        <f>IFERROR(__xludf.DUMMYFUNCTION("""COMPUTED_VALUE"""),44999.0)</f>
        <v>44999</v>
      </c>
      <c r="S146" s="43"/>
      <c r="T146" s="43"/>
      <c r="U146" s="43" t="str">
        <f>IFERROR(__xludf.DUMMYFUNCTION("""COMPUTED_VALUE"""),"Eat 4 Change")</f>
        <v>Eat 4 Change</v>
      </c>
      <c r="V146" s="43" t="str">
        <f>IFERROR(__xludf.DUMMYFUNCTION("""COMPUTED_VALUE"""),"ANKARA")</f>
        <v>ANKARA</v>
      </c>
      <c r="W146" s="43" t="str">
        <f>IFERROR(__xludf.DUMMYFUNCTION("""COMPUTED_VALUE"""),"2018-09-22T07:01:29Z")</f>
        <v>2018-09-22T07:01:29Z</v>
      </c>
      <c r="X146" s="43"/>
      <c r="Y146" s="43"/>
      <c r="Z146" s="43"/>
    </row>
    <row r="147" hidden="1">
      <c r="A147" s="43" t="str">
        <f>IFERROR(__xludf.DUMMYFUNCTION("""COMPUTED_VALUE"""),"5106517_1289673")</f>
        <v>5106517_1289673</v>
      </c>
      <c r="B147" s="43" t="str">
        <f>IFERROR(__xludf.DUMMYFUNCTION("""COMPUTED_VALUE"""),"Bukle Topaloğlu")</f>
        <v>Bukle Topaloğlu</v>
      </c>
      <c r="C147" s="43" t="str">
        <f>IFERROR(__xludf.DUMMYFUNCTION("""COMPUTED_VALUE"""),"completed")</f>
        <v>completed</v>
      </c>
      <c r="D147" s="43" t="str">
        <f>IFERROR(__xludf.DUMMYFUNCTION("""COMPUTED_VALUE"""),"No")</f>
        <v>No</v>
      </c>
      <c r="E147" s="43" t="str">
        <f>IFERROR(__xludf.DUMMYFUNCTION("""COMPUTED_VALUE"""),"p_c590226734012e02b7dd616c3732bebca7c6e49f@inbound.aiesec.org")</f>
        <v>p_c590226734012e02b7dd616c3732bebca7c6e49f@inbound.aiesec.org</v>
      </c>
      <c r="F147" s="43"/>
      <c r="G147" s="43" t="str">
        <f>IFERROR(__xludf.DUMMYFUNCTION("""COMPUTED_VALUE"""),"Turkey")</f>
        <v>Turkey</v>
      </c>
      <c r="H147" s="43" t="str">
        <f>IFERROR(__xludf.DUMMYFUNCTION("""COMPUTED_VALUE"""),"ANKARA")</f>
        <v>ANKARA</v>
      </c>
      <c r="I147" s="43" t="str">
        <f>IFERROR(__xludf.DUMMYFUNCTION("""COMPUTED_VALUE"""),"Egypt")</f>
        <v>Egypt</v>
      </c>
      <c r="J147" s="43" t="str">
        <f>IFERROR(__xludf.DUMMYFUNCTION("""COMPUTED_VALUE"""),"GUC")</f>
        <v>GUC</v>
      </c>
      <c r="K147" s="44" t="str">
        <f>IFERROR(__xludf.DUMMYFUNCTION("""COMPUTED_VALUE"""),"https://expa.aiesec.org/opportunities/1289673")</f>
        <v>https://expa.aiesec.org/opportunities/1289673</v>
      </c>
      <c r="L147" s="43" t="str">
        <f>IFERROR(__xludf.DUMMYFUNCTION("""COMPUTED_VALUE"""),"GV")</f>
        <v>GV</v>
      </c>
      <c r="M147" s="43" t="str">
        <f>IFERROR(__xludf.DUMMYFUNCTION("""COMPUTED_VALUE"""),"short")</f>
        <v>short</v>
      </c>
      <c r="N147" s="45">
        <f>IFERROR(__xludf.DUMMYFUNCTION("""COMPUTED_VALUE"""),44877.0)</f>
        <v>44877</v>
      </c>
      <c r="O147" s="45">
        <f>IFERROR(__xludf.DUMMYFUNCTION("""COMPUTED_VALUE"""),45122.0)</f>
        <v>45122</v>
      </c>
      <c r="P147" s="45">
        <f>IFERROR(__xludf.DUMMYFUNCTION("""COMPUTED_VALUE"""),45164.0)</f>
        <v>45164</v>
      </c>
      <c r="Q147" s="45">
        <f>IFERROR(__xludf.DUMMYFUNCTION("""COMPUTED_VALUE"""),45122.0)</f>
        <v>45122</v>
      </c>
      <c r="R147" s="45">
        <f>IFERROR(__xludf.DUMMYFUNCTION("""COMPUTED_VALUE"""),45164.0)</f>
        <v>45164</v>
      </c>
      <c r="S147" s="43"/>
      <c r="T147" s="43"/>
      <c r="U147" s="43" t="str">
        <f>IFERROR(__xludf.DUMMYFUNCTION("""COMPUTED_VALUE"""),"Raise Your Voice")</f>
        <v>Raise Your Voice</v>
      </c>
      <c r="V147" s="43" t="str">
        <f>IFERROR(__xludf.DUMMYFUNCTION("""COMPUTED_VALUE"""),"-")</f>
        <v>-</v>
      </c>
      <c r="W147" s="43" t="str">
        <f>IFERROR(__xludf.DUMMYFUNCTION("""COMPUTED_VALUE"""),"2022-09-06T08:00:44Z")</f>
        <v>2022-09-06T08:00:44Z</v>
      </c>
      <c r="X147" s="43"/>
      <c r="Y147" s="43"/>
      <c r="Z147" s="43"/>
    </row>
    <row r="148" hidden="1">
      <c r="A148" s="43" t="str">
        <f>IFERROR(__xludf.DUMMYFUNCTION("""COMPUTED_VALUE"""),"4762141_1290444")</f>
        <v>4762141_1290444</v>
      </c>
      <c r="B148" s="43" t="str">
        <f>IFERROR(__xludf.DUMMYFUNCTION("""COMPUTED_VALUE"""),"Nilsu Sevinçli")</f>
        <v>Nilsu Sevinçli</v>
      </c>
      <c r="C148" s="43" t="str">
        <f>IFERROR(__xludf.DUMMYFUNCTION("""COMPUTED_VALUE"""),"completed")</f>
        <v>completed</v>
      </c>
      <c r="D148" s="43" t="str">
        <f>IFERROR(__xludf.DUMMYFUNCTION("""COMPUTED_VALUE"""),"No")</f>
        <v>No</v>
      </c>
      <c r="E148" s="43" t="str">
        <f>IFERROR(__xludf.DUMMYFUNCTION("""COMPUTED_VALUE"""),"p_6f7c1f4ddf326f633fd3bbff464f2bea66a1acc8@inbound.aiesec.org")</f>
        <v>p_6f7c1f4ddf326f633fd3bbff464f2bea66a1acc8@inbound.aiesec.org</v>
      </c>
      <c r="F148" s="43"/>
      <c r="G148" s="43" t="str">
        <f>IFERROR(__xludf.DUMMYFUNCTION("""COMPUTED_VALUE"""),"Turkey")</f>
        <v>Turkey</v>
      </c>
      <c r="H148" s="43" t="str">
        <f>IFERROR(__xludf.DUMMYFUNCTION("""COMPUTED_VALUE"""),"KOCAELI")</f>
        <v>KOCAELI</v>
      </c>
      <c r="I148" s="43" t="str">
        <f>IFERROR(__xludf.DUMMYFUNCTION("""COMPUTED_VALUE"""),"Romania")</f>
        <v>Romania</v>
      </c>
      <c r="J148" s="43" t="str">
        <f>IFERROR(__xludf.DUMMYFUNCTION("""COMPUTED_VALUE"""),"BUCURESTI")</f>
        <v>BUCURESTI</v>
      </c>
      <c r="K148" s="44" t="str">
        <f>IFERROR(__xludf.DUMMYFUNCTION("""COMPUTED_VALUE"""),"https://expa.aiesec.org/opportunities/1290444")</f>
        <v>https://expa.aiesec.org/opportunities/1290444</v>
      </c>
      <c r="L148" s="43" t="str">
        <f>IFERROR(__xludf.DUMMYFUNCTION("""COMPUTED_VALUE"""),"GV")</f>
        <v>GV</v>
      </c>
      <c r="M148" s="43" t="str">
        <f>IFERROR(__xludf.DUMMYFUNCTION("""COMPUTED_VALUE"""),"short")</f>
        <v>short</v>
      </c>
      <c r="N148" s="45">
        <f>IFERROR(__xludf.DUMMYFUNCTION("""COMPUTED_VALUE"""),44878.0)</f>
        <v>44878</v>
      </c>
      <c r="O148" s="45">
        <f>IFERROR(__xludf.DUMMYFUNCTION("""COMPUTED_VALUE"""),44949.0)</f>
        <v>44949</v>
      </c>
      <c r="P148" s="45">
        <f>IFERROR(__xludf.DUMMYFUNCTION("""COMPUTED_VALUE"""),44991.0)</f>
        <v>44991</v>
      </c>
      <c r="Q148" s="45">
        <f>IFERROR(__xludf.DUMMYFUNCTION("""COMPUTED_VALUE"""),44949.0)</f>
        <v>44949</v>
      </c>
      <c r="R148" s="45">
        <f>IFERROR(__xludf.DUMMYFUNCTION("""COMPUTED_VALUE"""),44991.0)</f>
        <v>44991</v>
      </c>
      <c r="S148" s="43"/>
      <c r="T148" s="43"/>
      <c r="U148" s="43" t="str">
        <f>IFERROR(__xludf.DUMMYFUNCTION("""COMPUTED_VALUE"""),"Youth 4 Impact")</f>
        <v>Youth 4 Impact</v>
      </c>
      <c r="V148" s="43" t="str">
        <f>IFERROR(__xludf.DUMMYFUNCTION("""COMPUTED_VALUE"""),"-")</f>
        <v>-</v>
      </c>
      <c r="W148" s="43" t="str">
        <f>IFERROR(__xludf.DUMMYFUNCTION("""COMPUTED_VALUE"""),"2021-10-10T23:28:57Z")</f>
        <v>2021-10-10T23:28:57Z</v>
      </c>
      <c r="X148" s="43"/>
      <c r="Y148" s="43"/>
      <c r="Z148" s="43"/>
    </row>
    <row r="149" hidden="1">
      <c r="A149" s="43" t="str">
        <f>IFERROR(__xludf.DUMMYFUNCTION("""COMPUTED_VALUE"""),"5150908_1289564")</f>
        <v>5150908_1289564</v>
      </c>
      <c r="B149" s="43" t="str">
        <f>IFERROR(__xludf.DUMMYFUNCTION("""COMPUTED_VALUE"""),"nazlı yaprak gümüş")</f>
        <v>nazlı yaprak gümüş</v>
      </c>
      <c r="C149" s="43" t="str">
        <f>IFERROR(__xludf.DUMMYFUNCTION("""COMPUTED_VALUE"""),"completed")</f>
        <v>completed</v>
      </c>
      <c r="D149" s="43" t="str">
        <f>IFERROR(__xludf.DUMMYFUNCTION("""COMPUTED_VALUE"""),"No")</f>
        <v>No</v>
      </c>
      <c r="E149" s="43" t="str">
        <f>IFERROR(__xludf.DUMMYFUNCTION("""COMPUTED_VALUE"""),"p_3440bcfe7c3bffa24104d3c886195dd40cafe75a@inbound.aiesec.org")</f>
        <v>p_3440bcfe7c3bffa24104d3c886195dd40cafe75a@inbound.aiesec.org</v>
      </c>
      <c r="F149" s="43">
        <f>IFERROR(__xludf.DUMMYFUNCTION("""COMPUTED_VALUE"""),5.34429167E8)</f>
        <v>534429167</v>
      </c>
      <c r="G149" s="43" t="str">
        <f>IFERROR(__xludf.DUMMYFUNCTION("""COMPUTED_VALUE"""),"Turkey")</f>
        <v>Turkey</v>
      </c>
      <c r="H149" s="43" t="str">
        <f>IFERROR(__xludf.DUMMYFUNCTION("""COMPUTED_VALUE"""),"ADANA")</f>
        <v>ADANA</v>
      </c>
      <c r="I149" s="43" t="str">
        <f>IFERROR(__xludf.DUMMYFUNCTION("""COMPUTED_VALUE"""),"Egypt")</f>
        <v>Egypt</v>
      </c>
      <c r="J149" s="43" t="str">
        <f>IFERROR(__xludf.DUMMYFUNCTION("""COMPUTED_VALUE"""),"Ain Shams University")</f>
        <v>Ain Shams University</v>
      </c>
      <c r="K149" s="44" t="str">
        <f>IFERROR(__xludf.DUMMYFUNCTION("""COMPUTED_VALUE"""),"https://expa.aiesec.org/opportunities/1289564")</f>
        <v>https://expa.aiesec.org/opportunities/1289564</v>
      </c>
      <c r="L149" s="43" t="str">
        <f>IFERROR(__xludf.DUMMYFUNCTION("""COMPUTED_VALUE"""),"GV")</f>
        <v>GV</v>
      </c>
      <c r="M149" s="43" t="str">
        <f>IFERROR(__xludf.DUMMYFUNCTION("""COMPUTED_VALUE"""),"short")</f>
        <v>short</v>
      </c>
      <c r="N149" s="45">
        <f>IFERROR(__xludf.DUMMYFUNCTION("""COMPUTED_VALUE"""),44878.0)</f>
        <v>44878</v>
      </c>
      <c r="O149" s="45">
        <f>IFERROR(__xludf.DUMMYFUNCTION("""COMPUTED_VALUE"""),44958.0)</f>
        <v>44958</v>
      </c>
      <c r="P149" s="45">
        <f>IFERROR(__xludf.DUMMYFUNCTION("""COMPUTED_VALUE"""),45000.0)</f>
        <v>45000</v>
      </c>
      <c r="Q149" s="45">
        <f>IFERROR(__xludf.DUMMYFUNCTION("""COMPUTED_VALUE"""),44961.0)</f>
        <v>44961</v>
      </c>
      <c r="R149" s="45">
        <f>IFERROR(__xludf.DUMMYFUNCTION("""COMPUTED_VALUE"""),45002.0)</f>
        <v>45002</v>
      </c>
      <c r="S149" s="43"/>
      <c r="T149" s="43"/>
      <c r="U149" s="43" t="str">
        <f>IFERROR(__xludf.DUMMYFUNCTION("""COMPUTED_VALUE"""),"On The Map")</f>
        <v>On The Map</v>
      </c>
      <c r="V149" s="43" t="str">
        <f>IFERROR(__xludf.DUMMYFUNCTION("""COMPUTED_VALUE"""),"ADANA")</f>
        <v>ADANA</v>
      </c>
      <c r="W149" s="43" t="str">
        <f>IFERROR(__xludf.DUMMYFUNCTION("""COMPUTED_VALUE"""),"2022-11-10T14:28:12Z")</f>
        <v>2022-11-10T14:28:12Z</v>
      </c>
      <c r="X149" s="43"/>
      <c r="Y149" s="43"/>
      <c r="Z149" s="43"/>
    </row>
    <row r="150" hidden="1">
      <c r="A150" s="43" t="str">
        <f>IFERROR(__xludf.DUMMYFUNCTION("""COMPUTED_VALUE"""),"5152471_1290677")</f>
        <v>5152471_1290677</v>
      </c>
      <c r="B150" s="43" t="str">
        <f>IFERROR(__xludf.DUMMYFUNCTION("""COMPUTED_VALUE"""),"Zeynep Tüzemen")</f>
        <v>Zeynep Tüzemen</v>
      </c>
      <c r="C150" s="43" t="str">
        <f>IFERROR(__xludf.DUMMYFUNCTION("""COMPUTED_VALUE"""),"completed")</f>
        <v>completed</v>
      </c>
      <c r="D150" s="43" t="str">
        <f>IFERROR(__xludf.DUMMYFUNCTION("""COMPUTED_VALUE"""),"No")</f>
        <v>No</v>
      </c>
      <c r="E150" s="43" t="str">
        <f>IFERROR(__xludf.DUMMYFUNCTION("""COMPUTED_VALUE"""),"p_c17c2d88b6f68a47536ee647cdf832ec40d4d5c0@inbound.aiesec.org")</f>
        <v>p_c17c2d88b6f68a47536ee647cdf832ec40d4d5c0@inbound.aiesec.org</v>
      </c>
      <c r="F150" s="43">
        <f>IFERROR(__xludf.DUMMYFUNCTION("""COMPUTED_VALUE"""),5.374750025E9)</f>
        <v>5374750025</v>
      </c>
      <c r="G150" s="43" t="str">
        <f>IFERROR(__xludf.DUMMYFUNCTION("""COMPUTED_VALUE"""),"Turkey")</f>
        <v>Turkey</v>
      </c>
      <c r="H150" s="43" t="str">
        <f>IFERROR(__xludf.DUMMYFUNCTION("""COMPUTED_VALUE"""),"ANKARA")</f>
        <v>ANKARA</v>
      </c>
      <c r="I150" s="43" t="str">
        <f>IFERROR(__xludf.DUMMYFUNCTION("""COMPUTED_VALUE"""),"Tunisia")</f>
        <v>Tunisia</v>
      </c>
      <c r="J150" s="43" t="str">
        <f>IFERROR(__xludf.DUMMYFUNCTION("""COMPUTED_VALUE"""),"HADRUMET")</f>
        <v>HADRUMET</v>
      </c>
      <c r="K150" s="44" t="str">
        <f>IFERROR(__xludf.DUMMYFUNCTION("""COMPUTED_VALUE"""),"https://expa.aiesec.org/opportunities/1290677")</f>
        <v>https://expa.aiesec.org/opportunities/1290677</v>
      </c>
      <c r="L150" s="43" t="str">
        <f>IFERROR(__xludf.DUMMYFUNCTION("""COMPUTED_VALUE"""),"GV")</f>
        <v>GV</v>
      </c>
      <c r="M150" s="43" t="str">
        <f>IFERROR(__xludf.DUMMYFUNCTION("""COMPUTED_VALUE"""),"short")</f>
        <v>short</v>
      </c>
      <c r="N150" s="45">
        <f>IFERROR(__xludf.DUMMYFUNCTION("""COMPUTED_VALUE"""),44879.0)</f>
        <v>44879</v>
      </c>
      <c r="O150" s="45">
        <f>IFERROR(__xludf.DUMMYFUNCTION("""COMPUTED_VALUE"""),45110.0)</f>
        <v>45110</v>
      </c>
      <c r="P150" s="45">
        <f>IFERROR(__xludf.DUMMYFUNCTION("""COMPUTED_VALUE"""),45152.0)</f>
        <v>45152</v>
      </c>
      <c r="Q150" s="45">
        <f>IFERROR(__xludf.DUMMYFUNCTION("""COMPUTED_VALUE"""),45110.0)</f>
        <v>45110</v>
      </c>
      <c r="R150" s="45">
        <f>IFERROR(__xludf.DUMMYFUNCTION("""COMPUTED_VALUE"""),45152.0)</f>
        <v>45152</v>
      </c>
      <c r="S150" s="43"/>
      <c r="T150" s="43"/>
      <c r="U150" s="43" t="str">
        <f>IFERROR(__xludf.DUMMYFUNCTION("""COMPUTED_VALUE"""),"Global Classroom")</f>
        <v>Global Classroom</v>
      </c>
      <c r="V150" s="43" t="str">
        <f>IFERROR(__xludf.DUMMYFUNCTION("""COMPUTED_VALUE"""),"ANKARA")</f>
        <v>ANKARA</v>
      </c>
      <c r="W150" s="43" t="str">
        <f>IFERROR(__xludf.DUMMYFUNCTION("""COMPUTED_VALUE"""),"2022-11-14T10:51:09Z")</f>
        <v>2022-11-14T10:51:09Z</v>
      </c>
      <c r="X150" s="43"/>
      <c r="Y150" s="43"/>
      <c r="Z150" s="43"/>
    </row>
    <row r="151" hidden="1">
      <c r="A151" s="43" t="str">
        <f>IFERROR(__xludf.DUMMYFUNCTION("""COMPUTED_VALUE"""),"5148075_1288937")</f>
        <v>5148075_1288937</v>
      </c>
      <c r="B151" s="43" t="str">
        <f>IFERROR(__xludf.DUMMYFUNCTION("""COMPUTED_VALUE"""),"Pelin Çetinkaya")</f>
        <v>Pelin Çetinkaya</v>
      </c>
      <c r="C151" s="43" t="str">
        <f>IFERROR(__xludf.DUMMYFUNCTION("""COMPUTED_VALUE"""),"realization_broken")</f>
        <v>realization_broken</v>
      </c>
      <c r="D151" s="43" t="str">
        <f>IFERROR(__xludf.DUMMYFUNCTION("""COMPUTED_VALUE"""),"No")</f>
        <v>No</v>
      </c>
      <c r="E151" s="43" t="str">
        <f>IFERROR(__xludf.DUMMYFUNCTION("""COMPUTED_VALUE"""),"p_4dc87421a5a9ac3aaec783e29d2c62d7b37ba316@inbound.aiesec.org")</f>
        <v>p_4dc87421a5a9ac3aaec783e29d2c62d7b37ba316@inbound.aiesec.org</v>
      </c>
      <c r="F151" s="43"/>
      <c r="G151" s="43" t="str">
        <f>IFERROR(__xludf.DUMMYFUNCTION("""COMPUTED_VALUE"""),"Turkey")</f>
        <v>Turkey</v>
      </c>
      <c r="H151" s="43" t="str">
        <f>IFERROR(__xludf.DUMMYFUNCTION("""COMPUTED_VALUE"""),"BURSA")</f>
        <v>BURSA</v>
      </c>
      <c r="I151" s="43" t="str">
        <f>IFERROR(__xludf.DUMMYFUNCTION("""COMPUTED_VALUE"""),"Egypt")</f>
        <v>Egypt</v>
      </c>
      <c r="J151" s="43" t="str">
        <f>IFERROR(__xludf.DUMMYFUNCTION("""COMPUTED_VALUE"""),"Mansoura")</f>
        <v>Mansoura</v>
      </c>
      <c r="K151" s="44" t="str">
        <f>IFERROR(__xludf.DUMMYFUNCTION("""COMPUTED_VALUE"""),"https://expa.aiesec.org/opportunities/1288937")</f>
        <v>https://expa.aiesec.org/opportunities/1288937</v>
      </c>
      <c r="L151" s="43" t="str">
        <f>IFERROR(__xludf.DUMMYFUNCTION("""COMPUTED_VALUE"""),"GV")</f>
        <v>GV</v>
      </c>
      <c r="M151" s="43" t="str">
        <f>IFERROR(__xludf.DUMMYFUNCTION("""COMPUTED_VALUE"""),"short")</f>
        <v>short</v>
      </c>
      <c r="N151" s="45">
        <f>IFERROR(__xludf.DUMMYFUNCTION("""COMPUTED_VALUE"""),44879.0)</f>
        <v>44879</v>
      </c>
      <c r="O151" s="45">
        <f>IFERROR(__xludf.DUMMYFUNCTION("""COMPUTED_VALUE"""),45097.0)</f>
        <v>45097</v>
      </c>
      <c r="P151" s="45">
        <f>IFERROR(__xludf.DUMMYFUNCTION("""COMPUTED_VALUE"""),45139.0)</f>
        <v>45139</v>
      </c>
      <c r="Q151" s="45"/>
      <c r="R151" s="45"/>
      <c r="S151" s="43"/>
      <c r="T151" s="43"/>
      <c r="U151" s="43" t="str">
        <f>IFERROR(__xludf.DUMMYFUNCTION("""COMPUTED_VALUE"""),"Rooted")</f>
        <v>Rooted</v>
      </c>
      <c r="V151" s="43" t="str">
        <f>IFERROR(__xludf.DUMMYFUNCTION("""COMPUTED_VALUE"""),"BURSA")</f>
        <v>BURSA</v>
      </c>
      <c r="W151" s="43" t="str">
        <f>IFERROR(__xludf.DUMMYFUNCTION("""COMPUTED_VALUE"""),"2022-11-06T21:53:29Z")</f>
        <v>2022-11-06T21:53:29Z</v>
      </c>
      <c r="X151" s="43"/>
      <c r="Y151" s="43"/>
      <c r="Z151" s="43"/>
    </row>
    <row r="152" hidden="1">
      <c r="A152" s="43" t="str">
        <f>IFERROR(__xludf.DUMMYFUNCTION("""COMPUTED_VALUE"""),"5151098_1290742")</f>
        <v>5151098_1290742</v>
      </c>
      <c r="B152" s="43" t="str">
        <f>IFERROR(__xludf.DUMMYFUNCTION("""COMPUTED_VALUE"""),"Deniz Karaytuğ")</f>
        <v>Deniz Karaytuğ</v>
      </c>
      <c r="C152" s="43" t="str">
        <f>IFERROR(__xludf.DUMMYFUNCTION("""COMPUTED_VALUE"""),"completed")</f>
        <v>completed</v>
      </c>
      <c r="D152" s="43" t="str">
        <f>IFERROR(__xludf.DUMMYFUNCTION("""COMPUTED_VALUE"""),"No")</f>
        <v>No</v>
      </c>
      <c r="E152" s="43" t="str">
        <f>IFERROR(__xludf.DUMMYFUNCTION("""COMPUTED_VALUE"""),"p_aa6ca4d6a37bac18906b3456bab6b092c9835062@inbound.aiesec.org")</f>
        <v>p_aa6ca4d6a37bac18906b3456bab6b092c9835062@inbound.aiesec.org</v>
      </c>
      <c r="F152" s="43"/>
      <c r="G152" s="43" t="str">
        <f>IFERROR(__xludf.DUMMYFUNCTION("""COMPUTED_VALUE"""),"Turkey")</f>
        <v>Turkey</v>
      </c>
      <c r="H152" s="43" t="str">
        <f>IFERROR(__xludf.DUMMYFUNCTION("""COMPUTED_VALUE"""),"KOCAELI")</f>
        <v>KOCAELI</v>
      </c>
      <c r="I152" s="43" t="str">
        <f>IFERROR(__xludf.DUMMYFUNCTION("""COMPUTED_VALUE"""),"Romania")</f>
        <v>Romania</v>
      </c>
      <c r="J152" s="43" t="str">
        <f>IFERROR(__xludf.DUMMYFUNCTION("""COMPUTED_VALUE"""),"BUCURESTI")</f>
        <v>BUCURESTI</v>
      </c>
      <c r="K152" s="44" t="str">
        <f>IFERROR(__xludf.DUMMYFUNCTION("""COMPUTED_VALUE"""),"https://expa.aiesec.org/opportunities/1290742")</f>
        <v>https://expa.aiesec.org/opportunities/1290742</v>
      </c>
      <c r="L152" s="43" t="str">
        <f>IFERROR(__xludf.DUMMYFUNCTION("""COMPUTED_VALUE"""),"GV")</f>
        <v>GV</v>
      </c>
      <c r="M152" s="43" t="str">
        <f>IFERROR(__xludf.DUMMYFUNCTION("""COMPUTED_VALUE"""),"short")</f>
        <v>short</v>
      </c>
      <c r="N152" s="45">
        <f>IFERROR(__xludf.DUMMYFUNCTION("""COMPUTED_VALUE"""),44879.0)</f>
        <v>44879</v>
      </c>
      <c r="O152" s="45">
        <f>IFERROR(__xludf.DUMMYFUNCTION("""COMPUTED_VALUE"""),45096.0)</f>
        <v>45096</v>
      </c>
      <c r="P152" s="45">
        <f>IFERROR(__xludf.DUMMYFUNCTION("""COMPUTED_VALUE"""),45138.0)</f>
        <v>45138</v>
      </c>
      <c r="Q152" s="45">
        <f>IFERROR(__xludf.DUMMYFUNCTION("""COMPUTED_VALUE"""),45096.0)</f>
        <v>45096</v>
      </c>
      <c r="R152" s="45">
        <f>IFERROR(__xludf.DUMMYFUNCTION("""COMPUTED_VALUE"""),45138.0)</f>
        <v>45138</v>
      </c>
      <c r="S152" s="43"/>
      <c r="T152" s="43"/>
      <c r="U152" s="43" t="str">
        <f>IFERROR(__xludf.DUMMYFUNCTION("""COMPUTED_VALUE"""),"Global Classroom")</f>
        <v>Global Classroom</v>
      </c>
      <c r="V152" s="43" t="str">
        <f>IFERROR(__xludf.DUMMYFUNCTION("""COMPUTED_VALUE"""),"-")</f>
        <v>-</v>
      </c>
      <c r="W152" s="43" t="str">
        <f>IFERROR(__xludf.DUMMYFUNCTION("""COMPUTED_VALUE"""),"2022-11-10T21:07:35Z")</f>
        <v>2022-11-10T21:07:35Z</v>
      </c>
      <c r="X152" s="43"/>
      <c r="Y152" s="43"/>
      <c r="Z152" s="43"/>
    </row>
    <row r="153" hidden="1">
      <c r="A153" s="43" t="str">
        <f>IFERROR(__xludf.DUMMYFUNCTION("""COMPUTED_VALUE"""),"5150329_1285865")</f>
        <v>5150329_1285865</v>
      </c>
      <c r="B153" s="43" t="str">
        <f>IFERROR(__xludf.DUMMYFUNCTION("""COMPUTED_VALUE"""),"Helin Çetinkaya")</f>
        <v>Helin Çetinkaya</v>
      </c>
      <c r="C153" s="43" t="str">
        <f>IFERROR(__xludf.DUMMYFUNCTION("""COMPUTED_VALUE"""),"realization_broken")</f>
        <v>realization_broken</v>
      </c>
      <c r="D153" s="43" t="str">
        <f>IFERROR(__xludf.DUMMYFUNCTION("""COMPUTED_VALUE"""),"No")</f>
        <v>No</v>
      </c>
      <c r="E153" s="43" t="str">
        <f>IFERROR(__xludf.DUMMYFUNCTION("""COMPUTED_VALUE"""),"p_66848a77846b87e4c59008c6e314c1d06affc355@inbound.aiesec.org")</f>
        <v>p_66848a77846b87e4c59008c6e314c1d06affc355@inbound.aiesec.org</v>
      </c>
      <c r="F153" s="43">
        <f>IFERROR(__xludf.DUMMYFUNCTION("""COMPUTED_VALUE"""),5.396556084E9)</f>
        <v>5396556084</v>
      </c>
      <c r="G153" s="43" t="str">
        <f>IFERROR(__xludf.DUMMYFUNCTION("""COMPUTED_VALUE"""),"Turkey")</f>
        <v>Turkey</v>
      </c>
      <c r="H153" s="43" t="str">
        <f>IFERROR(__xludf.DUMMYFUNCTION("""COMPUTED_VALUE"""),"BURSA")</f>
        <v>BURSA</v>
      </c>
      <c r="I153" s="43" t="str">
        <f>IFERROR(__xludf.DUMMYFUNCTION("""COMPUTED_VALUE"""),"Egypt")</f>
        <v>Egypt</v>
      </c>
      <c r="J153" s="43" t="str">
        <f>IFERROR(__xludf.DUMMYFUNCTION("""COMPUTED_VALUE"""),"Mansoura")</f>
        <v>Mansoura</v>
      </c>
      <c r="K153" s="44" t="str">
        <f>IFERROR(__xludf.DUMMYFUNCTION("""COMPUTED_VALUE"""),"https://expa.aiesec.org/opportunities/1285865")</f>
        <v>https://expa.aiesec.org/opportunities/1285865</v>
      </c>
      <c r="L153" s="43" t="str">
        <f>IFERROR(__xludf.DUMMYFUNCTION("""COMPUTED_VALUE"""),"GV")</f>
        <v>GV</v>
      </c>
      <c r="M153" s="43" t="str">
        <f>IFERROR(__xludf.DUMMYFUNCTION("""COMPUTED_VALUE"""),"short")</f>
        <v>short</v>
      </c>
      <c r="N153" s="45">
        <f>IFERROR(__xludf.DUMMYFUNCTION("""COMPUTED_VALUE"""),44879.0)</f>
        <v>44879</v>
      </c>
      <c r="O153" s="45">
        <f>IFERROR(__xludf.DUMMYFUNCTION("""COMPUTED_VALUE"""),45097.0)</f>
        <v>45097</v>
      </c>
      <c r="P153" s="45">
        <f>IFERROR(__xludf.DUMMYFUNCTION("""COMPUTED_VALUE"""),45139.0)</f>
        <v>45139</v>
      </c>
      <c r="Q153" s="45"/>
      <c r="R153" s="45"/>
      <c r="S153" s="43"/>
      <c r="T153" s="43"/>
      <c r="U153" s="43" t="str">
        <f>IFERROR(__xludf.DUMMYFUNCTION("""COMPUTED_VALUE"""),"Rooted")</f>
        <v>Rooted</v>
      </c>
      <c r="V153" s="43" t="str">
        <f>IFERROR(__xludf.DUMMYFUNCTION("""COMPUTED_VALUE"""),"BURSA")</f>
        <v>BURSA</v>
      </c>
      <c r="W153" s="43" t="str">
        <f>IFERROR(__xludf.DUMMYFUNCTION("""COMPUTED_VALUE"""),"2022-11-09T16:52:44Z")</f>
        <v>2022-11-09T16:52:44Z</v>
      </c>
      <c r="X153" s="43"/>
      <c r="Y153" s="43"/>
      <c r="Z153" s="43"/>
    </row>
    <row r="154" hidden="1">
      <c r="A154" s="43" t="str">
        <f>IFERROR(__xludf.DUMMYFUNCTION("""COMPUTED_VALUE"""),"5153509_1288419")</f>
        <v>5153509_1288419</v>
      </c>
      <c r="B154" s="43" t="str">
        <f>IFERROR(__xludf.DUMMYFUNCTION("""COMPUTED_VALUE"""),"Elif Uzun")</f>
        <v>Elif Uzun</v>
      </c>
      <c r="C154" s="43" t="str">
        <f>IFERROR(__xludf.DUMMYFUNCTION("""COMPUTED_VALUE"""),"realization_broken")</f>
        <v>realization_broken</v>
      </c>
      <c r="D154" s="43" t="str">
        <f>IFERROR(__xludf.DUMMYFUNCTION("""COMPUTED_VALUE"""),"No")</f>
        <v>No</v>
      </c>
      <c r="E154" s="43" t="str">
        <f>IFERROR(__xludf.DUMMYFUNCTION("""COMPUTED_VALUE"""),"p_ad8ca6ea13ae37025c4d2b1ca03d9ba5e7b97e04@inbound.aiesec.org")</f>
        <v>p_ad8ca6ea13ae37025c4d2b1ca03d9ba5e7b97e04@inbound.aiesec.org</v>
      </c>
      <c r="F154" s="43">
        <f>IFERROR(__xludf.DUMMYFUNCTION("""COMPUTED_VALUE"""),5.316567984E9)</f>
        <v>5316567984</v>
      </c>
      <c r="G154" s="43" t="str">
        <f>IFERROR(__xludf.DUMMYFUNCTION("""COMPUTED_VALUE"""),"Turkey")</f>
        <v>Turkey</v>
      </c>
      <c r="H154" s="43" t="str">
        <f>IFERROR(__xludf.DUMMYFUNCTION("""COMPUTED_VALUE"""),"KOCAELI")</f>
        <v>KOCAELI</v>
      </c>
      <c r="I154" s="43" t="str">
        <f>IFERROR(__xludf.DUMMYFUNCTION("""COMPUTED_VALUE"""),"India")</f>
        <v>India</v>
      </c>
      <c r="J154" s="43" t="str">
        <f>IFERROR(__xludf.DUMMYFUNCTION("""COMPUTED_VALUE"""),"JAIPUR ")</f>
        <v>JAIPUR </v>
      </c>
      <c r="K154" s="44" t="str">
        <f>IFERROR(__xludf.DUMMYFUNCTION("""COMPUTED_VALUE"""),"https://expa.aiesec.org/opportunities/1288419")</f>
        <v>https://expa.aiesec.org/opportunities/1288419</v>
      </c>
      <c r="L154" s="43" t="str">
        <f>IFERROR(__xludf.DUMMYFUNCTION("""COMPUTED_VALUE"""),"GV")</f>
        <v>GV</v>
      </c>
      <c r="M154" s="43" t="str">
        <f>IFERROR(__xludf.DUMMYFUNCTION("""COMPUTED_VALUE"""),"short")</f>
        <v>short</v>
      </c>
      <c r="N154" s="45">
        <f>IFERROR(__xludf.DUMMYFUNCTION("""COMPUTED_VALUE"""),44881.0)</f>
        <v>44881</v>
      </c>
      <c r="O154" s="45">
        <f>IFERROR(__xludf.DUMMYFUNCTION("""COMPUTED_VALUE"""),44961.0)</f>
        <v>44961</v>
      </c>
      <c r="P154" s="45">
        <f>IFERROR(__xludf.DUMMYFUNCTION("""COMPUTED_VALUE"""),45003.0)</f>
        <v>45003</v>
      </c>
      <c r="Q154" s="45"/>
      <c r="R154" s="45"/>
      <c r="S154" s="43"/>
      <c r="T154" s="43"/>
      <c r="U154" s="43" t="str">
        <f>IFERROR(__xludf.DUMMYFUNCTION("""COMPUTED_VALUE"""),"On The Map")</f>
        <v>On The Map</v>
      </c>
      <c r="V154" s="43" t="str">
        <f>IFERROR(__xludf.DUMMYFUNCTION("""COMPUTED_VALUE"""),"KOCAELI")</f>
        <v>KOCAELI</v>
      </c>
      <c r="W154" s="43" t="str">
        <f>IFERROR(__xludf.DUMMYFUNCTION("""COMPUTED_VALUE"""),"2022-11-15T16:30:09Z")</f>
        <v>2022-11-15T16:30:09Z</v>
      </c>
      <c r="X154" s="43"/>
      <c r="Y154" s="43"/>
      <c r="Z154" s="43"/>
    </row>
    <row r="155" hidden="1">
      <c r="A155" s="43" t="str">
        <f>IFERROR(__xludf.DUMMYFUNCTION("""COMPUTED_VALUE"""),"5153463_1288419")</f>
        <v>5153463_1288419</v>
      </c>
      <c r="B155" s="43" t="str">
        <f>IFERROR(__xludf.DUMMYFUNCTION("""COMPUTED_VALUE"""),"Betül Sancak")</f>
        <v>Betül Sancak</v>
      </c>
      <c r="C155" s="43" t="str">
        <f>IFERROR(__xludf.DUMMYFUNCTION("""COMPUTED_VALUE"""),"completed")</f>
        <v>completed</v>
      </c>
      <c r="D155" s="43" t="str">
        <f>IFERROR(__xludf.DUMMYFUNCTION("""COMPUTED_VALUE"""),"No")</f>
        <v>No</v>
      </c>
      <c r="E155" s="43" t="str">
        <f>IFERROR(__xludf.DUMMYFUNCTION("""COMPUTED_VALUE"""),"p_3b089c05103758b0571d2da2e22fc0b8154a1d7a@inbound.aiesec.org")</f>
        <v>p_3b089c05103758b0571d2da2e22fc0b8154a1d7a@inbound.aiesec.org</v>
      </c>
      <c r="F155" s="43">
        <f>IFERROR(__xludf.DUMMYFUNCTION("""COMPUTED_VALUE"""),5.396409652E9)</f>
        <v>5396409652</v>
      </c>
      <c r="G155" s="43" t="str">
        <f>IFERROR(__xludf.DUMMYFUNCTION("""COMPUTED_VALUE"""),"Turkey")</f>
        <v>Turkey</v>
      </c>
      <c r="H155" s="43" t="str">
        <f>IFERROR(__xludf.DUMMYFUNCTION("""COMPUTED_VALUE"""),"KOCAELI")</f>
        <v>KOCAELI</v>
      </c>
      <c r="I155" s="43" t="str">
        <f>IFERROR(__xludf.DUMMYFUNCTION("""COMPUTED_VALUE"""),"India")</f>
        <v>India</v>
      </c>
      <c r="J155" s="43" t="str">
        <f>IFERROR(__xludf.DUMMYFUNCTION("""COMPUTED_VALUE"""),"JAIPUR ")</f>
        <v>JAIPUR </v>
      </c>
      <c r="K155" s="44" t="str">
        <f>IFERROR(__xludf.DUMMYFUNCTION("""COMPUTED_VALUE"""),"https://expa.aiesec.org/opportunities/1288419")</f>
        <v>https://expa.aiesec.org/opportunities/1288419</v>
      </c>
      <c r="L155" s="43" t="str">
        <f>IFERROR(__xludf.DUMMYFUNCTION("""COMPUTED_VALUE"""),"GV")</f>
        <v>GV</v>
      </c>
      <c r="M155" s="43" t="str">
        <f>IFERROR(__xludf.DUMMYFUNCTION("""COMPUTED_VALUE"""),"short")</f>
        <v>short</v>
      </c>
      <c r="N155" s="45">
        <f>IFERROR(__xludf.DUMMYFUNCTION("""COMPUTED_VALUE"""),44881.0)</f>
        <v>44881</v>
      </c>
      <c r="O155" s="45">
        <f>IFERROR(__xludf.DUMMYFUNCTION("""COMPUTED_VALUE"""),44961.0)</f>
        <v>44961</v>
      </c>
      <c r="P155" s="45">
        <f>IFERROR(__xludf.DUMMYFUNCTION("""COMPUTED_VALUE"""),45003.0)</f>
        <v>45003</v>
      </c>
      <c r="Q155" s="45">
        <f>IFERROR(__xludf.DUMMYFUNCTION("""COMPUTED_VALUE"""),44960.0)</f>
        <v>44960</v>
      </c>
      <c r="R155" s="45">
        <f>IFERROR(__xludf.DUMMYFUNCTION("""COMPUTED_VALUE"""),45003.0)</f>
        <v>45003</v>
      </c>
      <c r="S155" s="43"/>
      <c r="T155" s="43"/>
      <c r="U155" s="43" t="str">
        <f>IFERROR(__xludf.DUMMYFUNCTION("""COMPUTED_VALUE"""),"On The Map")</f>
        <v>On The Map</v>
      </c>
      <c r="V155" s="43" t="str">
        <f>IFERROR(__xludf.DUMMYFUNCTION("""COMPUTED_VALUE"""),"KOCAELI")</f>
        <v>KOCAELI</v>
      </c>
      <c r="W155" s="43" t="str">
        <f>IFERROR(__xludf.DUMMYFUNCTION("""COMPUTED_VALUE"""),"2022-11-15T15:40:30Z")</f>
        <v>2022-11-15T15:40:30Z</v>
      </c>
      <c r="X155" s="43"/>
      <c r="Y155" s="43"/>
      <c r="Z155" s="43"/>
    </row>
    <row r="156" hidden="1">
      <c r="A156" s="43" t="str">
        <f>IFERROR(__xludf.DUMMYFUNCTION("""COMPUTED_VALUE"""),"5153143_1290418")</f>
        <v>5153143_1290418</v>
      </c>
      <c r="B156" s="43" t="str">
        <f>IFERROR(__xludf.DUMMYFUNCTION("""COMPUTED_VALUE"""),"Naimatulllah Samadi")</f>
        <v>Naimatulllah Samadi</v>
      </c>
      <c r="C156" s="43" t="str">
        <f>IFERROR(__xludf.DUMMYFUNCTION("""COMPUTED_VALUE"""),"approved")</f>
        <v>approved</v>
      </c>
      <c r="D156" s="43" t="str">
        <f>IFERROR(__xludf.DUMMYFUNCTION("""COMPUTED_VALUE"""),"No")</f>
        <v>No</v>
      </c>
      <c r="E156" s="43" t="str">
        <f>IFERROR(__xludf.DUMMYFUNCTION("""COMPUTED_VALUE"""),"p_a5aba6635fe1e6b3ae4ecc5754a304a879fbdd50@inbound.aiesec.org")</f>
        <v>p_a5aba6635fe1e6b3ae4ecc5754a304a879fbdd50@inbound.aiesec.org</v>
      </c>
      <c r="F156" s="43"/>
      <c r="G156" s="43" t="str">
        <f>IFERROR(__xludf.DUMMYFUNCTION("""COMPUTED_VALUE"""),"Turkey")</f>
        <v>Turkey</v>
      </c>
      <c r="H156" s="43" t="str">
        <f>IFERROR(__xludf.DUMMYFUNCTION("""COMPUTED_VALUE"""),"SAKARYA")</f>
        <v>SAKARYA</v>
      </c>
      <c r="I156" s="43" t="str">
        <f>IFERROR(__xludf.DUMMYFUNCTION("""COMPUTED_VALUE"""),"Romania")</f>
        <v>Romania</v>
      </c>
      <c r="J156" s="43" t="str">
        <f>IFERROR(__xludf.DUMMYFUNCTION("""COMPUTED_VALUE"""),"BRASOV")</f>
        <v>BRASOV</v>
      </c>
      <c r="K156" s="44" t="str">
        <f>IFERROR(__xludf.DUMMYFUNCTION("""COMPUTED_VALUE"""),"https://expa.aiesec.org/opportunities/1290418")</f>
        <v>https://expa.aiesec.org/opportunities/1290418</v>
      </c>
      <c r="L156" s="43" t="str">
        <f>IFERROR(__xludf.DUMMYFUNCTION("""COMPUTED_VALUE"""),"GV")</f>
        <v>GV</v>
      </c>
      <c r="M156" s="43" t="str">
        <f>IFERROR(__xludf.DUMMYFUNCTION("""COMPUTED_VALUE"""),"short")</f>
        <v>short</v>
      </c>
      <c r="N156" s="45">
        <f>IFERROR(__xludf.DUMMYFUNCTION("""COMPUTED_VALUE"""),44881.0)</f>
        <v>44881</v>
      </c>
      <c r="O156" s="45">
        <f>IFERROR(__xludf.DUMMYFUNCTION("""COMPUTED_VALUE"""),44970.0)</f>
        <v>44970</v>
      </c>
      <c r="P156" s="45">
        <f>IFERROR(__xludf.DUMMYFUNCTION("""COMPUTED_VALUE"""),45012.0)</f>
        <v>45012</v>
      </c>
      <c r="Q156" s="45"/>
      <c r="R156" s="45"/>
      <c r="S156" s="43"/>
      <c r="T156" s="43"/>
      <c r="U156" s="43" t="str">
        <f>IFERROR(__xludf.DUMMYFUNCTION("""COMPUTED_VALUE"""),"Eat 4 Change")</f>
        <v>Eat 4 Change</v>
      </c>
      <c r="V156" s="43" t="str">
        <f>IFERROR(__xludf.DUMMYFUNCTION("""COMPUTED_VALUE"""),"SAKARYA")</f>
        <v>SAKARYA</v>
      </c>
      <c r="W156" s="43" t="str">
        <f>IFERROR(__xludf.DUMMYFUNCTION("""COMPUTED_VALUE"""),"2022-11-15T07:07:43Z")</f>
        <v>2022-11-15T07:07:43Z</v>
      </c>
      <c r="X156" s="43"/>
      <c r="Y156" s="43"/>
      <c r="Z156" s="43"/>
    </row>
    <row r="157" hidden="1">
      <c r="A157" s="43" t="str">
        <f>IFERROR(__xludf.DUMMYFUNCTION("""COMPUTED_VALUE"""),"5146979_1287309")</f>
        <v>5146979_1287309</v>
      </c>
      <c r="B157" s="43" t="str">
        <f>IFERROR(__xludf.DUMMYFUNCTION("""COMPUTED_VALUE"""),"Duygu Şaşmaz")</f>
        <v>Duygu Şaşmaz</v>
      </c>
      <c r="C157" s="43" t="str">
        <f>IFERROR(__xludf.DUMMYFUNCTION("""COMPUTED_VALUE"""),"approved")</f>
        <v>approved</v>
      </c>
      <c r="D157" s="43" t="str">
        <f>IFERROR(__xludf.DUMMYFUNCTION("""COMPUTED_VALUE"""),"No")</f>
        <v>No</v>
      </c>
      <c r="E157" s="43" t="str">
        <f>IFERROR(__xludf.DUMMYFUNCTION("""COMPUTED_VALUE"""),"p_a5958479cafa57eb85964d2632d8b869bfcadb01@inbound.aiesec.org")</f>
        <v>p_a5958479cafa57eb85964d2632d8b869bfcadb01@inbound.aiesec.org</v>
      </c>
      <c r="F157" s="43">
        <f>IFERROR(__xludf.DUMMYFUNCTION("""COMPUTED_VALUE"""),5.078792272E9)</f>
        <v>5078792272</v>
      </c>
      <c r="G157" s="43" t="str">
        <f>IFERROR(__xludf.DUMMYFUNCTION("""COMPUTED_VALUE"""),"Turkey")</f>
        <v>Turkey</v>
      </c>
      <c r="H157" s="43" t="str">
        <f>IFERROR(__xludf.DUMMYFUNCTION("""COMPUTED_VALUE"""),"GAZIANTEP")</f>
        <v>GAZIANTEP</v>
      </c>
      <c r="I157" s="43" t="str">
        <f>IFERROR(__xludf.DUMMYFUNCTION("""COMPUTED_VALUE"""),"Tunisia")</f>
        <v>Tunisia</v>
      </c>
      <c r="J157" s="43" t="str">
        <f>IFERROR(__xludf.DUMMYFUNCTION("""COMPUTED_VALUE"""),"Tacapes")</f>
        <v>Tacapes</v>
      </c>
      <c r="K157" s="44" t="str">
        <f>IFERROR(__xludf.DUMMYFUNCTION("""COMPUTED_VALUE"""),"https://expa.aiesec.org/opportunities/1287309")</f>
        <v>https://expa.aiesec.org/opportunities/1287309</v>
      </c>
      <c r="L157" s="43" t="str">
        <f>IFERROR(__xludf.DUMMYFUNCTION("""COMPUTED_VALUE"""),"GV")</f>
        <v>GV</v>
      </c>
      <c r="M157" s="43" t="str">
        <f>IFERROR(__xludf.DUMMYFUNCTION("""COMPUTED_VALUE"""),"short")</f>
        <v>short</v>
      </c>
      <c r="N157" s="45">
        <f>IFERROR(__xludf.DUMMYFUNCTION("""COMPUTED_VALUE"""),44882.0)</f>
        <v>44882</v>
      </c>
      <c r="O157" s="45">
        <f>IFERROR(__xludf.DUMMYFUNCTION("""COMPUTED_VALUE"""),45086.0)</f>
        <v>45086</v>
      </c>
      <c r="P157" s="45">
        <f>IFERROR(__xludf.DUMMYFUNCTION("""COMPUTED_VALUE"""),45128.0)</f>
        <v>45128</v>
      </c>
      <c r="Q157" s="45"/>
      <c r="R157" s="45"/>
      <c r="S157" s="43"/>
      <c r="T157" s="43"/>
      <c r="U157" s="43" t="str">
        <f>IFERROR(__xludf.DUMMYFUNCTION("""COMPUTED_VALUE"""),"Green Leaders")</f>
        <v>Green Leaders</v>
      </c>
      <c r="V157" s="43" t="str">
        <f>IFERROR(__xludf.DUMMYFUNCTION("""COMPUTED_VALUE"""),"GAZIANTEP")</f>
        <v>GAZIANTEP</v>
      </c>
      <c r="W157" s="43" t="str">
        <f>IFERROR(__xludf.DUMMYFUNCTION("""COMPUTED_VALUE"""),"2022-11-05T09:39:53Z")</f>
        <v>2022-11-05T09:39:53Z</v>
      </c>
      <c r="X157" s="43"/>
      <c r="Y157" s="43"/>
      <c r="Z157" s="43"/>
    </row>
    <row r="158" hidden="1">
      <c r="A158" s="43" t="str">
        <f>IFERROR(__xludf.DUMMYFUNCTION("""COMPUTED_VALUE"""),"4967100_1290961")</f>
        <v>4967100_1290961</v>
      </c>
      <c r="B158" s="43" t="str">
        <f>IFERROR(__xludf.DUMMYFUNCTION("""COMPUTED_VALUE"""),"Elif Yaş")</f>
        <v>Elif Yaş</v>
      </c>
      <c r="C158" s="43" t="str">
        <f>IFERROR(__xludf.DUMMYFUNCTION("""COMPUTED_VALUE"""),"completed")</f>
        <v>completed</v>
      </c>
      <c r="D158" s="43" t="str">
        <f>IFERROR(__xludf.DUMMYFUNCTION("""COMPUTED_VALUE"""),"No")</f>
        <v>No</v>
      </c>
      <c r="E158" s="43" t="str">
        <f>IFERROR(__xludf.DUMMYFUNCTION("""COMPUTED_VALUE"""),"p_294533fc554251b27f2588c245658a6bb4464850@inbound.aiesec.org")</f>
        <v>p_294533fc554251b27f2588c245658a6bb4464850@inbound.aiesec.org</v>
      </c>
      <c r="F158" s="43">
        <f>IFERROR(__xludf.DUMMYFUNCTION("""COMPUTED_VALUE"""),5.359811829E9)</f>
        <v>5359811829</v>
      </c>
      <c r="G158" s="43" t="str">
        <f>IFERROR(__xludf.DUMMYFUNCTION("""COMPUTED_VALUE"""),"Turkey")</f>
        <v>Turkey</v>
      </c>
      <c r="H158" s="43" t="str">
        <f>IFERROR(__xludf.DUMMYFUNCTION("""COMPUTED_VALUE"""),"KONYA")</f>
        <v>KONYA</v>
      </c>
      <c r="I158" s="43" t="str">
        <f>IFERROR(__xludf.DUMMYFUNCTION("""COMPUTED_VALUE"""),"Tunisia")</f>
        <v>Tunisia</v>
      </c>
      <c r="J158" s="43" t="str">
        <f>IFERROR(__xludf.DUMMYFUNCTION("""COMPUTED_VALUE"""),"NABEL")</f>
        <v>NABEL</v>
      </c>
      <c r="K158" s="44" t="str">
        <f>IFERROR(__xludf.DUMMYFUNCTION("""COMPUTED_VALUE"""),"https://expa.aiesec.org/opportunities/1290961")</f>
        <v>https://expa.aiesec.org/opportunities/1290961</v>
      </c>
      <c r="L158" s="43" t="str">
        <f>IFERROR(__xludf.DUMMYFUNCTION("""COMPUTED_VALUE"""),"GV")</f>
        <v>GV</v>
      </c>
      <c r="M158" s="43" t="str">
        <f>IFERROR(__xludf.DUMMYFUNCTION("""COMPUTED_VALUE"""),"short")</f>
        <v>short</v>
      </c>
      <c r="N158" s="45">
        <f>IFERROR(__xludf.DUMMYFUNCTION("""COMPUTED_VALUE"""),44883.0)</f>
        <v>44883</v>
      </c>
      <c r="O158" s="45">
        <f>IFERROR(__xludf.DUMMYFUNCTION("""COMPUTED_VALUE"""),44954.0)</f>
        <v>44954</v>
      </c>
      <c r="P158" s="45">
        <f>IFERROR(__xludf.DUMMYFUNCTION("""COMPUTED_VALUE"""),44996.0)</f>
        <v>44996</v>
      </c>
      <c r="Q158" s="45">
        <f>IFERROR(__xludf.DUMMYFUNCTION("""COMPUTED_VALUE"""),44958.0)</f>
        <v>44958</v>
      </c>
      <c r="R158" s="45">
        <f>IFERROR(__xludf.DUMMYFUNCTION("""COMPUTED_VALUE"""),45000.0)</f>
        <v>45000</v>
      </c>
      <c r="S158" s="43"/>
      <c r="T158" s="43"/>
      <c r="U158" s="43" t="str">
        <f>IFERROR(__xludf.DUMMYFUNCTION("""COMPUTED_VALUE"""),"Green Leaders")</f>
        <v>Green Leaders</v>
      </c>
      <c r="V158" s="43" t="str">
        <f>IFERROR(__xludf.DUMMYFUNCTION("""COMPUTED_VALUE"""),"KONYA")</f>
        <v>KONYA</v>
      </c>
      <c r="W158" s="43" t="str">
        <f>IFERROR(__xludf.DUMMYFUNCTION("""COMPUTED_VALUE"""),"2022-03-06T19:47:30Z")</f>
        <v>2022-03-06T19:47:30Z</v>
      </c>
      <c r="X158" s="43"/>
      <c r="Y158" s="43"/>
      <c r="Z158" s="43"/>
    </row>
    <row r="159" hidden="1">
      <c r="A159" s="43" t="str">
        <f>IFERROR(__xludf.DUMMYFUNCTION("""COMPUTED_VALUE"""),"3079462_1290820")</f>
        <v>3079462_1290820</v>
      </c>
      <c r="B159" s="43" t="str">
        <f>IFERROR(__xludf.DUMMYFUNCTION("""COMPUTED_VALUE"""),"tuğba kaya")</f>
        <v>tuğba kaya</v>
      </c>
      <c r="C159" s="43" t="str">
        <f>IFERROR(__xludf.DUMMYFUNCTION("""COMPUTED_VALUE"""),"completed")</f>
        <v>completed</v>
      </c>
      <c r="D159" s="43" t="str">
        <f>IFERROR(__xludf.DUMMYFUNCTION("""COMPUTED_VALUE"""),"No")</f>
        <v>No</v>
      </c>
      <c r="E159" s="43" t="str">
        <f>IFERROR(__xludf.DUMMYFUNCTION("""COMPUTED_VALUE"""),"p_d433cf3dc5653d8fb4341111f7e59e4ed0c6414e@inbound.aiesec.org")</f>
        <v>p_d433cf3dc5653d8fb4341111f7e59e4ed0c6414e@inbound.aiesec.org</v>
      </c>
      <c r="F159" s="43">
        <f>IFERROR(__xludf.DUMMYFUNCTION("""COMPUTED_VALUE"""),5.3646184E9)</f>
        <v>5364618400</v>
      </c>
      <c r="G159" s="43" t="str">
        <f>IFERROR(__xludf.DUMMYFUNCTION("""COMPUTED_VALUE"""),"Turkey")</f>
        <v>Turkey</v>
      </c>
      <c r="H159" s="43" t="str">
        <f>IFERROR(__xludf.DUMMYFUNCTION("""COMPUTED_VALUE"""),"KOCAELI")</f>
        <v>KOCAELI</v>
      </c>
      <c r="I159" s="43" t="str">
        <f>IFERROR(__xludf.DUMMYFUNCTION("""COMPUTED_VALUE"""),"Romania")</f>
        <v>Romania</v>
      </c>
      <c r="J159" s="43" t="str">
        <f>IFERROR(__xludf.DUMMYFUNCTION("""COMPUTED_VALUE"""),"IASI")</f>
        <v>IASI</v>
      </c>
      <c r="K159" s="44" t="str">
        <f>IFERROR(__xludf.DUMMYFUNCTION("""COMPUTED_VALUE"""),"https://expa.aiesec.org/opportunities/1290820")</f>
        <v>https://expa.aiesec.org/opportunities/1290820</v>
      </c>
      <c r="L159" s="43" t="str">
        <f>IFERROR(__xludf.DUMMYFUNCTION("""COMPUTED_VALUE"""),"GV")</f>
        <v>GV</v>
      </c>
      <c r="M159" s="43" t="str">
        <f>IFERROR(__xludf.DUMMYFUNCTION("""COMPUTED_VALUE"""),"short")</f>
        <v>short</v>
      </c>
      <c r="N159" s="45">
        <f>IFERROR(__xludf.DUMMYFUNCTION("""COMPUTED_VALUE"""),44883.0)</f>
        <v>44883</v>
      </c>
      <c r="O159" s="45">
        <f>IFERROR(__xludf.DUMMYFUNCTION("""COMPUTED_VALUE"""),45096.0)</f>
        <v>45096</v>
      </c>
      <c r="P159" s="45">
        <f>IFERROR(__xludf.DUMMYFUNCTION("""COMPUTED_VALUE"""),45138.0)</f>
        <v>45138</v>
      </c>
      <c r="Q159" s="45">
        <f>IFERROR(__xludf.DUMMYFUNCTION("""COMPUTED_VALUE"""),45103.0)</f>
        <v>45103</v>
      </c>
      <c r="R159" s="45">
        <f>IFERROR(__xludf.DUMMYFUNCTION("""COMPUTED_VALUE"""),45145.0)</f>
        <v>45145</v>
      </c>
      <c r="S159" s="43"/>
      <c r="T159" s="43"/>
      <c r="U159" s="43" t="str">
        <f>IFERROR(__xludf.DUMMYFUNCTION("""COMPUTED_VALUE"""),"Global Classroom")</f>
        <v>Global Classroom</v>
      </c>
      <c r="V159" s="43" t="str">
        <f>IFERROR(__xludf.DUMMYFUNCTION("""COMPUTED_VALUE"""),"KOCAELI")</f>
        <v>KOCAELI</v>
      </c>
      <c r="W159" s="43" t="str">
        <f>IFERROR(__xludf.DUMMYFUNCTION("""COMPUTED_VALUE"""),"2019-02-14T15:14:46Z")</f>
        <v>2019-02-14T15:14:46Z</v>
      </c>
      <c r="X159" s="43"/>
      <c r="Y159" s="43"/>
      <c r="Z159" s="43"/>
    </row>
    <row r="160" hidden="1">
      <c r="A160" s="43" t="str">
        <f>IFERROR(__xludf.DUMMYFUNCTION("""COMPUTED_VALUE"""),"5143627_1290820")</f>
        <v>5143627_1290820</v>
      </c>
      <c r="B160" s="43" t="str">
        <f>IFERROR(__xludf.DUMMYFUNCTION("""COMPUTED_VALUE"""),"sena ayan")</f>
        <v>sena ayan</v>
      </c>
      <c r="C160" s="43" t="str">
        <f>IFERROR(__xludf.DUMMYFUNCTION("""COMPUTED_VALUE"""),"completed")</f>
        <v>completed</v>
      </c>
      <c r="D160" s="43" t="str">
        <f>IFERROR(__xludf.DUMMYFUNCTION("""COMPUTED_VALUE"""),"No")</f>
        <v>No</v>
      </c>
      <c r="E160" s="43" t="str">
        <f>IFERROR(__xludf.DUMMYFUNCTION("""COMPUTED_VALUE"""),"p_1129ec2a91f46a54d215cd65e229505d9eb63cd2@inbound.aiesec.org")</f>
        <v>p_1129ec2a91f46a54d215cd65e229505d9eb63cd2@inbound.aiesec.org</v>
      </c>
      <c r="F160" s="43">
        <f>IFERROR(__xludf.DUMMYFUNCTION("""COMPUTED_VALUE"""),5.378742693E9)</f>
        <v>5378742693</v>
      </c>
      <c r="G160" s="43" t="str">
        <f>IFERROR(__xludf.DUMMYFUNCTION("""COMPUTED_VALUE"""),"Turkey")</f>
        <v>Turkey</v>
      </c>
      <c r="H160" s="43" t="str">
        <f>IFERROR(__xludf.DUMMYFUNCTION("""COMPUTED_VALUE"""),"KOCAELI")</f>
        <v>KOCAELI</v>
      </c>
      <c r="I160" s="43" t="str">
        <f>IFERROR(__xludf.DUMMYFUNCTION("""COMPUTED_VALUE"""),"Romania")</f>
        <v>Romania</v>
      </c>
      <c r="J160" s="43" t="str">
        <f>IFERROR(__xludf.DUMMYFUNCTION("""COMPUTED_VALUE"""),"IASI")</f>
        <v>IASI</v>
      </c>
      <c r="K160" s="44" t="str">
        <f>IFERROR(__xludf.DUMMYFUNCTION("""COMPUTED_VALUE"""),"https://expa.aiesec.org/opportunities/1290820")</f>
        <v>https://expa.aiesec.org/opportunities/1290820</v>
      </c>
      <c r="L160" s="43" t="str">
        <f>IFERROR(__xludf.DUMMYFUNCTION("""COMPUTED_VALUE"""),"GV")</f>
        <v>GV</v>
      </c>
      <c r="M160" s="43" t="str">
        <f>IFERROR(__xludf.DUMMYFUNCTION("""COMPUTED_VALUE"""),"short")</f>
        <v>short</v>
      </c>
      <c r="N160" s="45">
        <f>IFERROR(__xludf.DUMMYFUNCTION("""COMPUTED_VALUE"""),44883.0)</f>
        <v>44883</v>
      </c>
      <c r="O160" s="45">
        <f>IFERROR(__xludf.DUMMYFUNCTION("""COMPUTED_VALUE"""),45096.0)</f>
        <v>45096</v>
      </c>
      <c r="P160" s="45">
        <f>IFERROR(__xludf.DUMMYFUNCTION("""COMPUTED_VALUE"""),45138.0)</f>
        <v>45138</v>
      </c>
      <c r="Q160" s="45">
        <f>IFERROR(__xludf.DUMMYFUNCTION("""COMPUTED_VALUE"""),45103.0)</f>
        <v>45103</v>
      </c>
      <c r="R160" s="45">
        <f>IFERROR(__xludf.DUMMYFUNCTION("""COMPUTED_VALUE"""),45145.0)</f>
        <v>45145</v>
      </c>
      <c r="S160" s="43"/>
      <c r="T160" s="43"/>
      <c r="U160" s="43" t="str">
        <f>IFERROR(__xludf.DUMMYFUNCTION("""COMPUTED_VALUE"""),"Global Classroom")</f>
        <v>Global Classroom</v>
      </c>
      <c r="V160" s="43" t="str">
        <f>IFERROR(__xludf.DUMMYFUNCTION("""COMPUTED_VALUE"""),"ISTANBUL ASIA")</f>
        <v>ISTANBUL ASIA</v>
      </c>
      <c r="W160" s="43" t="str">
        <f>IFERROR(__xludf.DUMMYFUNCTION("""COMPUTED_VALUE"""),"2022-10-31T10:35:04Z")</f>
        <v>2022-10-31T10:35:04Z</v>
      </c>
      <c r="X160" s="43"/>
      <c r="Y160" s="43"/>
      <c r="Z160" s="43"/>
    </row>
    <row r="161" hidden="1">
      <c r="A161" s="43" t="str">
        <f>IFERROR(__xludf.DUMMYFUNCTION("""COMPUTED_VALUE"""),"5150774_1290798")</f>
        <v>5150774_1290798</v>
      </c>
      <c r="B161" s="43" t="str">
        <f>IFERROR(__xludf.DUMMYFUNCTION("""COMPUTED_VALUE"""),"Kağan Çakıroğlu")</f>
        <v>Kağan Çakıroğlu</v>
      </c>
      <c r="C161" s="43" t="str">
        <f>IFERROR(__xludf.DUMMYFUNCTION("""COMPUTED_VALUE"""),"completed")</f>
        <v>completed</v>
      </c>
      <c r="D161" s="43" t="str">
        <f>IFERROR(__xludf.DUMMYFUNCTION("""COMPUTED_VALUE"""),"No")</f>
        <v>No</v>
      </c>
      <c r="E161" s="43" t="str">
        <f>IFERROR(__xludf.DUMMYFUNCTION("""COMPUTED_VALUE"""),"p_edf74629a5353f8e2595a6c0cbc9a71781c30049@inbound.aiesec.org")</f>
        <v>p_edf74629a5353f8e2595a6c0cbc9a71781c30049@inbound.aiesec.org</v>
      </c>
      <c r="F161" s="43"/>
      <c r="G161" s="43" t="str">
        <f>IFERROR(__xludf.DUMMYFUNCTION("""COMPUTED_VALUE"""),"Turkey")</f>
        <v>Turkey</v>
      </c>
      <c r="H161" s="43" t="str">
        <f>IFERROR(__xludf.DUMMYFUNCTION("""COMPUTED_VALUE"""),"KOCAELI")</f>
        <v>KOCAELI</v>
      </c>
      <c r="I161" s="43" t="str">
        <f>IFERROR(__xludf.DUMMYFUNCTION("""COMPUTED_VALUE"""),"Serbia")</f>
        <v>Serbia</v>
      </c>
      <c r="J161" s="43" t="str">
        <f>IFERROR(__xludf.DUMMYFUNCTION("""COMPUTED_VALUE"""),"Singidunum")</f>
        <v>Singidunum</v>
      </c>
      <c r="K161" s="44" t="str">
        <f>IFERROR(__xludf.DUMMYFUNCTION("""COMPUTED_VALUE"""),"https://expa.aiesec.org/opportunities/1290798")</f>
        <v>https://expa.aiesec.org/opportunities/1290798</v>
      </c>
      <c r="L161" s="43" t="str">
        <f>IFERROR(__xludf.DUMMYFUNCTION("""COMPUTED_VALUE"""),"GV")</f>
        <v>GV</v>
      </c>
      <c r="M161" s="43" t="str">
        <f>IFERROR(__xludf.DUMMYFUNCTION("""COMPUTED_VALUE"""),"short")</f>
        <v>short</v>
      </c>
      <c r="N161" s="45">
        <f>IFERROR(__xludf.DUMMYFUNCTION("""COMPUTED_VALUE"""),44883.0)</f>
        <v>44883</v>
      </c>
      <c r="O161" s="45">
        <f>IFERROR(__xludf.DUMMYFUNCTION("""COMPUTED_VALUE"""),44942.0)</f>
        <v>44942</v>
      </c>
      <c r="P161" s="45">
        <f>IFERROR(__xludf.DUMMYFUNCTION("""COMPUTED_VALUE"""),44984.0)</f>
        <v>44984</v>
      </c>
      <c r="Q161" s="45">
        <f>IFERROR(__xludf.DUMMYFUNCTION("""COMPUTED_VALUE"""),44947.0)</f>
        <v>44947</v>
      </c>
      <c r="R161" s="45">
        <f>IFERROR(__xludf.DUMMYFUNCTION("""COMPUTED_VALUE"""),44989.0)</f>
        <v>44989</v>
      </c>
      <c r="S161" s="43"/>
      <c r="T161" s="43"/>
      <c r="U161" s="43" t="str">
        <f>IFERROR(__xludf.DUMMYFUNCTION("""COMPUTED_VALUE"""),"Youth 4 Impact")</f>
        <v>Youth 4 Impact</v>
      </c>
      <c r="V161" s="43" t="str">
        <f>IFERROR(__xludf.DUMMYFUNCTION("""COMPUTED_VALUE"""),"-")</f>
        <v>-</v>
      </c>
      <c r="W161" s="43" t="str">
        <f>IFERROR(__xludf.DUMMYFUNCTION("""COMPUTED_VALUE"""),"2022-11-10T11:25:36Z")</f>
        <v>2022-11-10T11:25:36Z</v>
      </c>
      <c r="X161" s="43"/>
      <c r="Y161" s="43"/>
      <c r="Z161" s="43"/>
    </row>
    <row r="162" hidden="1">
      <c r="A162" s="43" t="str">
        <f>IFERROR(__xludf.DUMMYFUNCTION("""COMPUTED_VALUE"""),"5148250_1283338")</f>
        <v>5148250_1283338</v>
      </c>
      <c r="B162" s="43" t="str">
        <f>IFERROR(__xludf.DUMMYFUNCTION("""COMPUTED_VALUE"""),"selda özdemir")</f>
        <v>selda özdemir</v>
      </c>
      <c r="C162" s="43" t="str">
        <f>IFERROR(__xludf.DUMMYFUNCTION("""COMPUTED_VALUE"""),"completed")</f>
        <v>completed</v>
      </c>
      <c r="D162" s="43" t="str">
        <f>IFERROR(__xludf.DUMMYFUNCTION("""COMPUTED_VALUE"""),"No")</f>
        <v>No</v>
      </c>
      <c r="E162" s="43" t="str">
        <f>IFERROR(__xludf.DUMMYFUNCTION("""COMPUTED_VALUE"""),"p_dad6ee9a79b608e19d4dc27d795dad2677d76262@inbound.aiesec.org")</f>
        <v>p_dad6ee9a79b608e19d4dc27d795dad2677d76262@inbound.aiesec.org</v>
      </c>
      <c r="F162" s="43">
        <f>IFERROR(__xludf.DUMMYFUNCTION("""COMPUTED_VALUE"""),5.421312176E9)</f>
        <v>5421312176</v>
      </c>
      <c r="G162" s="43" t="str">
        <f>IFERROR(__xludf.DUMMYFUNCTION("""COMPUTED_VALUE"""),"Turkey")</f>
        <v>Turkey</v>
      </c>
      <c r="H162" s="43" t="str">
        <f>IFERROR(__xludf.DUMMYFUNCTION("""COMPUTED_VALUE"""),"ISPARTA")</f>
        <v>ISPARTA</v>
      </c>
      <c r="I162" s="43" t="str">
        <f>IFERROR(__xludf.DUMMYFUNCTION("""COMPUTED_VALUE"""),"India")</f>
        <v>India</v>
      </c>
      <c r="J162" s="43" t="str">
        <f>IFERROR(__xludf.DUMMYFUNCTION("""COMPUTED_VALUE"""),"Jodhpur")</f>
        <v>Jodhpur</v>
      </c>
      <c r="K162" s="44" t="str">
        <f>IFERROR(__xludf.DUMMYFUNCTION("""COMPUTED_VALUE"""),"https://expa.aiesec.org/opportunities/1283338")</f>
        <v>https://expa.aiesec.org/opportunities/1283338</v>
      </c>
      <c r="L162" s="43" t="str">
        <f>IFERROR(__xludf.DUMMYFUNCTION("""COMPUTED_VALUE"""),"GV")</f>
        <v>GV</v>
      </c>
      <c r="M162" s="43" t="str">
        <f>IFERROR(__xludf.DUMMYFUNCTION("""COMPUTED_VALUE"""),"short")</f>
        <v>short</v>
      </c>
      <c r="N162" s="45">
        <f>IFERROR(__xludf.DUMMYFUNCTION("""COMPUTED_VALUE"""),44883.0)</f>
        <v>44883</v>
      </c>
      <c r="O162" s="45">
        <f>IFERROR(__xludf.DUMMYFUNCTION("""COMPUTED_VALUE"""),44941.0)</f>
        <v>44941</v>
      </c>
      <c r="P162" s="45">
        <f>IFERROR(__xludf.DUMMYFUNCTION("""COMPUTED_VALUE"""),44983.0)</f>
        <v>44983</v>
      </c>
      <c r="Q162" s="45">
        <f>IFERROR(__xludf.DUMMYFUNCTION("""COMPUTED_VALUE"""),44941.0)</f>
        <v>44941</v>
      </c>
      <c r="R162" s="45">
        <f>IFERROR(__xludf.DUMMYFUNCTION("""COMPUTED_VALUE"""),44983.0)</f>
        <v>44983</v>
      </c>
      <c r="S162" s="43"/>
      <c r="T162" s="43"/>
      <c r="U162" s="43" t="str">
        <f>IFERROR(__xludf.DUMMYFUNCTION("""COMPUTED_VALUE"""),"Global Classroom")</f>
        <v>Global Classroom</v>
      </c>
      <c r="V162" s="43" t="str">
        <f>IFERROR(__xludf.DUMMYFUNCTION("""COMPUTED_VALUE"""),"ISPARTA")</f>
        <v>ISPARTA</v>
      </c>
      <c r="W162" s="43" t="str">
        <f>IFERROR(__xludf.DUMMYFUNCTION("""COMPUTED_VALUE"""),"2022-11-07T09:47:58Z")</f>
        <v>2022-11-07T09:47:58Z</v>
      </c>
      <c r="X162" s="43"/>
      <c r="Y162" s="43"/>
      <c r="Z162" s="43"/>
    </row>
    <row r="163" hidden="1">
      <c r="A163" s="43" t="str">
        <f>IFERROR(__xludf.DUMMYFUNCTION("""COMPUTED_VALUE"""),"5155932_1290961")</f>
        <v>5155932_1290961</v>
      </c>
      <c r="B163" s="43" t="str">
        <f>IFERROR(__xludf.DUMMYFUNCTION("""COMPUTED_VALUE"""),"Selin Özkurt")</f>
        <v>Selin Özkurt</v>
      </c>
      <c r="C163" s="43" t="str">
        <f>IFERROR(__xludf.DUMMYFUNCTION("""COMPUTED_VALUE"""),"completed")</f>
        <v>completed</v>
      </c>
      <c r="D163" s="43" t="str">
        <f>IFERROR(__xludf.DUMMYFUNCTION("""COMPUTED_VALUE"""),"No")</f>
        <v>No</v>
      </c>
      <c r="E163" s="43" t="str">
        <f>IFERROR(__xludf.DUMMYFUNCTION("""COMPUTED_VALUE"""),"p_026c786f1aa1acc7a14f7a2f558874edaea4f717@inbound.aiesec.org")</f>
        <v>p_026c786f1aa1acc7a14f7a2f558874edaea4f717@inbound.aiesec.org</v>
      </c>
      <c r="F163" s="43">
        <f>IFERROR(__xludf.DUMMYFUNCTION("""COMPUTED_VALUE"""),5.434277234E9)</f>
        <v>5434277234</v>
      </c>
      <c r="G163" s="43" t="str">
        <f>IFERROR(__xludf.DUMMYFUNCTION("""COMPUTED_VALUE"""),"Turkey")</f>
        <v>Turkey</v>
      </c>
      <c r="H163" s="43" t="str">
        <f>IFERROR(__xludf.DUMMYFUNCTION("""COMPUTED_VALUE"""),"KONYA")</f>
        <v>KONYA</v>
      </c>
      <c r="I163" s="43" t="str">
        <f>IFERROR(__xludf.DUMMYFUNCTION("""COMPUTED_VALUE"""),"Tunisia")</f>
        <v>Tunisia</v>
      </c>
      <c r="J163" s="43" t="str">
        <f>IFERROR(__xludf.DUMMYFUNCTION("""COMPUTED_VALUE"""),"NABEL")</f>
        <v>NABEL</v>
      </c>
      <c r="K163" s="44" t="str">
        <f>IFERROR(__xludf.DUMMYFUNCTION("""COMPUTED_VALUE"""),"https://expa.aiesec.org/opportunities/1290961")</f>
        <v>https://expa.aiesec.org/opportunities/1290961</v>
      </c>
      <c r="L163" s="43" t="str">
        <f>IFERROR(__xludf.DUMMYFUNCTION("""COMPUTED_VALUE"""),"GV")</f>
        <v>GV</v>
      </c>
      <c r="M163" s="43" t="str">
        <f>IFERROR(__xludf.DUMMYFUNCTION("""COMPUTED_VALUE"""),"short")</f>
        <v>short</v>
      </c>
      <c r="N163" s="45">
        <f>IFERROR(__xludf.DUMMYFUNCTION("""COMPUTED_VALUE"""),44884.0)</f>
        <v>44884</v>
      </c>
      <c r="O163" s="45">
        <f>IFERROR(__xludf.DUMMYFUNCTION("""COMPUTED_VALUE"""),44954.0)</f>
        <v>44954</v>
      </c>
      <c r="P163" s="45">
        <f>IFERROR(__xludf.DUMMYFUNCTION("""COMPUTED_VALUE"""),44996.0)</f>
        <v>44996</v>
      </c>
      <c r="Q163" s="45">
        <f>IFERROR(__xludf.DUMMYFUNCTION("""COMPUTED_VALUE"""),44958.0)</f>
        <v>44958</v>
      </c>
      <c r="R163" s="45">
        <f>IFERROR(__xludf.DUMMYFUNCTION("""COMPUTED_VALUE"""),45000.0)</f>
        <v>45000</v>
      </c>
      <c r="S163" s="43"/>
      <c r="T163" s="43"/>
      <c r="U163" s="43" t="str">
        <f>IFERROR(__xludf.DUMMYFUNCTION("""COMPUTED_VALUE"""),"Green Leaders")</f>
        <v>Green Leaders</v>
      </c>
      <c r="V163" s="43" t="str">
        <f>IFERROR(__xludf.DUMMYFUNCTION("""COMPUTED_VALUE"""),"NEVSEHIR")</f>
        <v>NEVSEHIR</v>
      </c>
      <c r="W163" s="43" t="str">
        <f>IFERROR(__xludf.DUMMYFUNCTION("""COMPUTED_VALUE"""),"2022-11-19T20:53:13Z")</f>
        <v>2022-11-19T20:53:13Z</v>
      </c>
      <c r="X163" s="43"/>
      <c r="Y163" s="43"/>
      <c r="Z163" s="43"/>
    </row>
    <row r="164" hidden="1">
      <c r="A164" s="43" t="str">
        <f>IFERROR(__xludf.DUMMYFUNCTION("""COMPUTED_VALUE"""),"4967072_1290961")</f>
        <v>4967072_1290961</v>
      </c>
      <c r="B164" s="43" t="str">
        <f>IFERROR(__xludf.DUMMYFUNCTION("""COMPUTED_VALUE"""),"KIYMET SAĞLAM")</f>
        <v>KIYMET SAĞLAM</v>
      </c>
      <c r="C164" s="43" t="str">
        <f>IFERROR(__xludf.DUMMYFUNCTION("""COMPUTED_VALUE"""),"completed")</f>
        <v>completed</v>
      </c>
      <c r="D164" s="43" t="str">
        <f>IFERROR(__xludf.DUMMYFUNCTION("""COMPUTED_VALUE"""),"No")</f>
        <v>No</v>
      </c>
      <c r="E164" s="43" t="str">
        <f>IFERROR(__xludf.DUMMYFUNCTION("""COMPUTED_VALUE"""),"p_2859e3760b350b9ceefa0eb84d2ad46271282768@inbound.aiesec.org")</f>
        <v>p_2859e3760b350b9ceefa0eb84d2ad46271282768@inbound.aiesec.org</v>
      </c>
      <c r="F164" s="43">
        <f>IFERROR(__xludf.DUMMYFUNCTION("""COMPUTED_VALUE"""),5.539558206E9)</f>
        <v>5539558206</v>
      </c>
      <c r="G164" s="43" t="str">
        <f>IFERROR(__xludf.DUMMYFUNCTION("""COMPUTED_VALUE"""),"Turkey")</f>
        <v>Turkey</v>
      </c>
      <c r="H164" s="43" t="str">
        <f>IFERROR(__xludf.DUMMYFUNCTION("""COMPUTED_VALUE"""),"KONYA")</f>
        <v>KONYA</v>
      </c>
      <c r="I164" s="43" t="str">
        <f>IFERROR(__xludf.DUMMYFUNCTION("""COMPUTED_VALUE"""),"Tunisia")</f>
        <v>Tunisia</v>
      </c>
      <c r="J164" s="43" t="str">
        <f>IFERROR(__xludf.DUMMYFUNCTION("""COMPUTED_VALUE"""),"NABEL")</f>
        <v>NABEL</v>
      </c>
      <c r="K164" s="44" t="str">
        <f>IFERROR(__xludf.DUMMYFUNCTION("""COMPUTED_VALUE"""),"https://expa.aiesec.org/opportunities/1290961")</f>
        <v>https://expa.aiesec.org/opportunities/1290961</v>
      </c>
      <c r="L164" s="43" t="str">
        <f>IFERROR(__xludf.DUMMYFUNCTION("""COMPUTED_VALUE"""),"GV")</f>
        <v>GV</v>
      </c>
      <c r="M164" s="43" t="str">
        <f>IFERROR(__xludf.DUMMYFUNCTION("""COMPUTED_VALUE"""),"short")</f>
        <v>short</v>
      </c>
      <c r="N164" s="45">
        <f>IFERROR(__xludf.DUMMYFUNCTION("""COMPUTED_VALUE"""),44884.0)</f>
        <v>44884</v>
      </c>
      <c r="O164" s="45">
        <f>IFERROR(__xludf.DUMMYFUNCTION("""COMPUTED_VALUE"""),44954.0)</f>
        <v>44954</v>
      </c>
      <c r="P164" s="45">
        <f>IFERROR(__xludf.DUMMYFUNCTION("""COMPUTED_VALUE"""),44996.0)</f>
        <v>44996</v>
      </c>
      <c r="Q164" s="45">
        <f>IFERROR(__xludf.DUMMYFUNCTION("""COMPUTED_VALUE"""),44958.0)</f>
        <v>44958</v>
      </c>
      <c r="R164" s="45">
        <f>IFERROR(__xludf.DUMMYFUNCTION("""COMPUTED_VALUE"""),45000.0)</f>
        <v>45000</v>
      </c>
      <c r="S164" s="43"/>
      <c r="T164" s="43"/>
      <c r="U164" s="43" t="str">
        <f>IFERROR(__xludf.DUMMYFUNCTION("""COMPUTED_VALUE"""),"Green Leaders")</f>
        <v>Green Leaders</v>
      </c>
      <c r="V164" s="43" t="str">
        <f>IFERROR(__xludf.DUMMYFUNCTION("""COMPUTED_VALUE"""),"KONYA")</f>
        <v>KONYA</v>
      </c>
      <c r="W164" s="43" t="str">
        <f>IFERROR(__xludf.DUMMYFUNCTION("""COMPUTED_VALUE"""),"2022-03-06T19:29:15Z")</f>
        <v>2022-03-06T19:29:15Z</v>
      </c>
      <c r="X164" s="43"/>
      <c r="Y164" s="43"/>
      <c r="Z164" s="43"/>
    </row>
    <row r="165" hidden="1">
      <c r="A165" s="43" t="str">
        <f>IFERROR(__xludf.DUMMYFUNCTION("""COMPUTED_VALUE"""),"5144505_1290690")</f>
        <v>5144505_1290690</v>
      </c>
      <c r="B165" s="43" t="str">
        <f>IFERROR(__xludf.DUMMYFUNCTION("""COMPUTED_VALUE"""),"Elif inci Develioğlu")</f>
        <v>Elif inci Develioğlu</v>
      </c>
      <c r="C165" s="43" t="str">
        <f>IFERROR(__xludf.DUMMYFUNCTION("""COMPUTED_VALUE"""),"approved")</f>
        <v>approved</v>
      </c>
      <c r="D165" s="43" t="str">
        <f>IFERROR(__xludf.DUMMYFUNCTION("""COMPUTED_VALUE"""),"No")</f>
        <v>No</v>
      </c>
      <c r="E165" s="43" t="str">
        <f>IFERROR(__xludf.DUMMYFUNCTION("""COMPUTED_VALUE"""),"p_44bc1a46f9004960408e2704ca62cd32428f232c@inbound.aiesec.org")</f>
        <v>p_44bc1a46f9004960408e2704ca62cd32428f232c@inbound.aiesec.org</v>
      </c>
      <c r="F165" s="43"/>
      <c r="G165" s="43" t="str">
        <f>IFERROR(__xludf.DUMMYFUNCTION("""COMPUTED_VALUE"""),"Turkey")</f>
        <v>Turkey</v>
      </c>
      <c r="H165" s="43" t="str">
        <f>IFERROR(__xludf.DUMMYFUNCTION("""COMPUTED_VALUE"""),"ISTANBUL WEST")</f>
        <v>ISTANBUL WEST</v>
      </c>
      <c r="I165" s="43" t="str">
        <f>IFERROR(__xludf.DUMMYFUNCTION("""COMPUTED_VALUE"""),"Egypt")</f>
        <v>Egypt</v>
      </c>
      <c r="J165" s="43" t="str">
        <f>IFERROR(__xludf.DUMMYFUNCTION("""COMPUTED_VALUE"""),"Helwan")</f>
        <v>Helwan</v>
      </c>
      <c r="K165" s="44" t="str">
        <f>IFERROR(__xludf.DUMMYFUNCTION("""COMPUTED_VALUE"""),"https://expa.aiesec.org/opportunities/1290690")</f>
        <v>https://expa.aiesec.org/opportunities/1290690</v>
      </c>
      <c r="L165" s="43" t="str">
        <f>IFERROR(__xludf.DUMMYFUNCTION("""COMPUTED_VALUE"""),"GV")</f>
        <v>GV</v>
      </c>
      <c r="M165" s="43" t="str">
        <f>IFERROR(__xludf.DUMMYFUNCTION("""COMPUTED_VALUE"""),"short")</f>
        <v>short</v>
      </c>
      <c r="N165" s="45">
        <f>IFERROR(__xludf.DUMMYFUNCTION("""COMPUTED_VALUE"""),44884.0)</f>
        <v>44884</v>
      </c>
      <c r="O165" s="45">
        <f>IFERROR(__xludf.DUMMYFUNCTION("""COMPUTED_VALUE"""),45078.0)</f>
        <v>45078</v>
      </c>
      <c r="P165" s="45">
        <f>IFERROR(__xludf.DUMMYFUNCTION("""COMPUTED_VALUE"""),45120.0)</f>
        <v>45120</v>
      </c>
      <c r="Q165" s="45"/>
      <c r="R165" s="45"/>
      <c r="S165" s="43"/>
      <c r="T165" s="43"/>
      <c r="U165" s="43" t="str">
        <f>IFERROR(__xludf.DUMMYFUNCTION("""COMPUTED_VALUE"""),"Heartbeat")</f>
        <v>Heartbeat</v>
      </c>
      <c r="V165" s="43" t="str">
        <f>IFERROR(__xludf.DUMMYFUNCTION("""COMPUTED_VALUE"""),"ISTANBUL ASIA")</f>
        <v>ISTANBUL ASIA</v>
      </c>
      <c r="W165" s="43" t="str">
        <f>IFERROR(__xludf.DUMMYFUNCTION("""COMPUTED_VALUE"""),"2022-11-01T16:07:33Z")</f>
        <v>2022-11-01T16:07:33Z</v>
      </c>
      <c r="X165" s="43"/>
      <c r="Y165" s="43"/>
      <c r="Z165" s="43"/>
    </row>
    <row r="166" hidden="1">
      <c r="A166" s="43" t="str">
        <f>IFERROR(__xludf.DUMMYFUNCTION("""COMPUTED_VALUE"""),"5155390_1290243")</f>
        <v>5155390_1290243</v>
      </c>
      <c r="B166" s="43" t="str">
        <f>IFERROR(__xludf.DUMMYFUNCTION("""COMPUTED_VALUE"""),"Melih Yasin BOZKURT")</f>
        <v>Melih Yasin BOZKURT</v>
      </c>
      <c r="C166" s="43" t="str">
        <f>IFERROR(__xludf.DUMMYFUNCTION("""COMPUTED_VALUE"""),"completed")</f>
        <v>completed</v>
      </c>
      <c r="D166" s="43" t="str">
        <f>IFERROR(__xludf.DUMMYFUNCTION("""COMPUTED_VALUE"""),"No")</f>
        <v>No</v>
      </c>
      <c r="E166" s="43" t="str">
        <f>IFERROR(__xludf.DUMMYFUNCTION("""COMPUTED_VALUE"""),"p_dc8cc277cb12c8929c439e863619bf9ceb71c02c@inbound.aiesec.org")</f>
        <v>p_dc8cc277cb12c8929c439e863619bf9ceb71c02c@inbound.aiesec.org</v>
      </c>
      <c r="F166" s="43">
        <f>IFERROR(__xludf.DUMMYFUNCTION("""COMPUTED_VALUE"""),5.514582807E9)</f>
        <v>5514582807</v>
      </c>
      <c r="G166" s="43" t="str">
        <f>IFERROR(__xludf.DUMMYFUNCTION("""COMPUTED_VALUE"""),"Turkey")</f>
        <v>Turkey</v>
      </c>
      <c r="H166" s="43" t="str">
        <f>IFERROR(__xludf.DUMMYFUNCTION("""COMPUTED_VALUE"""),"KONYA")</f>
        <v>KONYA</v>
      </c>
      <c r="I166" s="43" t="str">
        <f>IFERROR(__xludf.DUMMYFUNCTION("""COMPUTED_VALUE"""),"Egypt")</f>
        <v>Egypt</v>
      </c>
      <c r="J166" s="43" t="str">
        <f>IFERROR(__xludf.DUMMYFUNCTION("""COMPUTED_VALUE"""),"GUC")</f>
        <v>GUC</v>
      </c>
      <c r="K166" s="44" t="str">
        <f>IFERROR(__xludf.DUMMYFUNCTION("""COMPUTED_VALUE"""),"https://expa.aiesec.org/opportunities/1290243")</f>
        <v>https://expa.aiesec.org/opportunities/1290243</v>
      </c>
      <c r="L166" s="43" t="str">
        <f>IFERROR(__xludf.DUMMYFUNCTION("""COMPUTED_VALUE"""),"GV")</f>
        <v>GV</v>
      </c>
      <c r="M166" s="43" t="str">
        <f>IFERROR(__xludf.DUMMYFUNCTION("""COMPUTED_VALUE"""),"short")</f>
        <v>short</v>
      </c>
      <c r="N166" s="45">
        <f>IFERROR(__xludf.DUMMYFUNCTION("""COMPUTED_VALUE"""),44885.0)</f>
        <v>44885</v>
      </c>
      <c r="O166" s="45">
        <f>IFERROR(__xludf.DUMMYFUNCTION("""COMPUTED_VALUE"""),45122.0)</f>
        <v>45122</v>
      </c>
      <c r="P166" s="45">
        <f>IFERROR(__xludf.DUMMYFUNCTION("""COMPUTED_VALUE"""),45164.0)</f>
        <v>45164</v>
      </c>
      <c r="Q166" s="45">
        <f>IFERROR(__xludf.DUMMYFUNCTION("""COMPUTED_VALUE"""),45122.0)</f>
        <v>45122</v>
      </c>
      <c r="R166" s="45">
        <f>IFERROR(__xludf.DUMMYFUNCTION("""COMPUTED_VALUE"""),45164.0)</f>
        <v>45164</v>
      </c>
      <c r="S166" s="43"/>
      <c r="T166" s="43"/>
      <c r="U166" s="43" t="str">
        <f>IFERROR(__xludf.DUMMYFUNCTION("""COMPUTED_VALUE"""),"On The Map")</f>
        <v>On The Map</v>
      </c>
      <c r="V166" s="43" t="str">
        <f>IFERROR(__xludf.DUMMYFUNCTION("""COMPUTED_VALUE"""),"KONYA")</f>
        <v>KONYA</v>
      </c>
      <c r="W166" s="43" t="str">
        <f>IFERROR(__xludf.DUMMYFUNCTION("""COMPUTED_VALUE"""),"2022-11-18T16:42:08Z")</f>
        <v>2022-11-18T16:42:08Z</v>
      </c>
      <c r="X166" s="43"/>
      <c r="Y166" s="43"/>
      <c r="Z166" s="43"/>
    </row>
    <row r="167" hidden="1">
      <c r="A167" s="43" t="str">
        <f>IFERROR(__xludf.DUMMYFUNCTION("""COMPUTED_VALUE"""),"5152188_1290026")</f>
        <v>5152188_1290026</v>
      </c>
      <c r="B167" s="43" t="str">
        <f>IFERROR(__xludf.DUMMYFUNCTION("""COMPUTED_VALUE"""),"Bartu Önder")</f>
        <v>Bartu Önder</v>
      </c>
      <c r="C167" s="43" t="str">
        <f>IFERROR(__xludf.DUMMYFUNCTION("""COMPUTED_VALUE"""),"completed")</f>
        <v>completed</v>
      </c>
      <c r="D167" s="43" t="str">
        <f>IFERROR(__xludf.DUMMYFUNCTION("""COMPUTED_VALUE"""),"No")</f>
        <v>No</v>
      </c>
      <c r="E167" s="43" t="str">
        <f>IFERROR(__xludf.DUMMYFUNCTION("""COMPUTED_VALUE"""),"p_3e3df5da2d8c4e301832356c8a78c0760fbe458b@inbound.aiesec.org")</f>
        <v>p_3e3df5da2d8c4e301832356c8a78c0760fbe458b@inbound.aiesec.org</v>
      </c>
      <c r="F167" s="43"/>
      <c r="G167" s="43" t="str">
        <f>IFERROR(__xludf.DUMMYFUNCTION("""COMPUTED_VALUE"""),"Turkey")</f>
        <v>Turkey</v>
      </c>
      <c r="H167" s="43" t="str">
        <f>IFERROR(__xludf.DUMMYFUNCTION("""COMPUTED_VALUE"""),"ANTALYA")</f>
        <v>ANTALYA</v>
      </c>
      <c r="I167" s="43" t="str">
        <f>IFERROR(__xludf.DUMMYFUNCTION("""COMPUTED_VALUE"""),"Romania")</f>
        <v>Romania</v>
      </c>
      <c r="J167" s="43" t="str">
        <f>IFERROR(__xludf.DUMMYFUNCTION("""COMPUTED_VALUE"""),"Cluj-Napoca")</f>
        <v>Cluj-Napoca</v>
      </c>
      <c r="K167" s="44" t="str">
        <f>IFERROR(__xludf.DUMMYFUNCTION("""COMPUTED_VALUE"""),"https://expa.aiesec.org/opportunities/1290026")</f>
        <v>https://expa.aiesec.org/opportunities/1290026</v>
      </c>
      <c r="L167" s="43" t="str">
        <f>IFERROR(__xludf.DUMMYFUNCTION("""COMPUTED_VALUE"""),"GV")</f>
        <v>GV</v>
      </c>
      <c r="M167" s="43" t="str">
        <f>IFERROR(__xludf.DUMMYFUNCTION("""COMPUTED_VALUE"""),"short")</f>
        <v>short</v>
      </c>
      <c r="N167" s="45">
        <f>IFERROR(__xludf.DUMMYFUNCTION("""COMPUTED_VALUE"""),44885.0)</f>
        <v>44885</v>
      </c>
      <c r="O167" s="45">
        <f>IFERROR(__xludf.DUMMYFUNCTION("""COMPUTED_VALUE"""),44949.0)</f>
        <v>44949</v>
      </c>
      <c r="P167" s="45">
        <f>IFERROR(__xludf.DUMMYFUNCTION("""COMPUTED_VALUE"""),44991.0)</f>
        <v>44991</v>
      </c>
      <c r="Q167" s="45">
        <f>IFERROR(__xludf.DUMMYFUNCTION("""COMPUTED_VALUE"""),44949.0)</f>
        <v>44949</v>
      </c>
      <c r="R167" s="45">
        <f>IFERROR(__xludf.DUMMYFUNCTION("""COMPUTED_VALUE"""),44991.0)</f>
        <v>44991</v>
      </c>
      <c r="S167" s="43"/>
      <c r="T167" s="43"/>
      <c r="U167" s="43" t="str">
        <f>IFERROR(__xludf.DUMMYFUNCTION("""COMPUTED_VALUE"""),"Eat 4 Change")</f>
        <v>Eat 4 Change</v>
      </c>
      <c r="V167" s="43" t="str">
        <f>IFERROR(__xludf.DUMMYFUNCTION("""COMPUTED_VALUE"""),"-")</f>
        <v>-</v>
      </c>
      <c r="W167" s="43" t="str">
        <f>IFERROR(__xludf.DUMMYFUNCTION("""COMPUTED_VALUE"""),"2022-11-13T18:03:00Z")</f>
        <v>2022-11-13T18:03:00Z</v>
      </c>
      <c r="X167" s="43"/>
      <c r="Y167" s="43"/>
      <c r="Z167" s="43"/>
    </row>
    <row r="168" hidden="1">
      <c r="A168" s="43" t="str">
        <f>IFERROR(__xludf.DUMMYFUNCTION("""COMPUTED_VALUE"""),"5121388_1290039")</f>
        <v>5121388_1290039</v>
      </c>
      <c r="B168" s="43" t="str">
        <f>IFERROR(__xludf.DUMMYFUNCTION("""COMPUTED_VALUE"""),"Sudenaz Taçar")</f>
        <v>Sudenaz Taçar</v>
      </c>
      <c r="C168" s="43" t="str">
        <f>IFERROR(__xludf.DUMMYFUNCTION("""COMPUTED_VALUE"""),"completed")</f>
        <v>completed</v>
      </c>
      <c r="D168" s="43" t="str">
        <f>IFERROR(__xludf.DUMMYFUNCTION("""COMPUTED_VALUE"""),"No")</f>
        <v>No</v>
      </c>
      <c r="E168" s="43" t="str">
        <f>IFERROR(__xludf.DUMMYFUNCTION("""COMPUTED_VALUE"""),"p_39509d98e170debee09abe1897a27f612245136c@inbound.aiesec.org")</f>
        <v>p_39509d98e170debee09abe1897a27f612245136c@inbound.aiesec.org</v>
      </c>
      <c r="F168" s="43">
        <f>IFERROR(__xludf.DUMMYFUNCTION("""COMPUTED_VALUE"""),5.309583354E9)</f>
        <v>5309583354</v>
      </c>
      <c r="G168" s="43" t="str">
        <f>IFERROR(__xludf.DUMMYFUNCTION("""COMPUTED_VALUE"""),"Turkey")</f>
        <v>Turkey</v>
      </c>
      <c r="H168" s="43" t="str">
        <f>IFERROR(__xludf.DUMMYFUNCTION("""COMPUTED_VALUE"""),"ISTANBUL")</f>
        <v>ISTANBUL</v>
      </c>
      <c r="I168" s="43" t="str">
        <f>IFERROR(__xludf.DUMMYFUNCTION("""COMPUTED_VALUE"""),"South Korea")</f>
        <v>South Korea</v>
      </c>
      <c r="J168" s="43" t="str">
        <f>IFERROR(__xludf.DUMMYFUNCTION("""COMPUTED_VALUE"""),"KU")</f>
        <v>KU</v>
      </c>
      <c r="K168" s="44" t="str">
        <f>IFERROR(__xludf.DUMMYFUNCTION("""COMPUTED_VALUE"""),"https://expa.aiesec.org/opportunities/1290039")</f>
        <v>https://expa.aiesec.org/opportunities/1290039</v>
      </c>
      <c r="L168" s="43" t="str">
        <f>IFERROR(__xludf.DUMMYFUNCTION("""COMPUTED_VALUE"""),"GV")</f>
        <v>GV</v>
      </c>
      <c r="M168" s="43" t="str">
        <f>IFERROR(__xludf.DUMMYFUNCTION("""COMPUTED_VALUE"""),"short")</f>
        <v>short</v>
      </c>
      <c r="N168" s="45">
        <f>IFERROR(__xludf.DUMMYFUNCTION("""COMPUTED_VALUE"""),44885.0)</f>
        <v>44885</v>
      </c>
      <c r="O168" s="45">
        <f>IFERROR(__xludf.DUMMYFUNCTION("""COMPUTED_VALUE"""),44928.0)</f>
        <v>44928</v>
      </c>
      <c r="P168" s="45">
        <f>IFERROR(__xludf.DUMMYFUNCTION("""COMPUTED_VALUE"""),44970.0)</f>
        <v>44970</v>
      </c>
      <c r="Q168" s="45"/>
      <c r="R168" s="45">
        <f>IFERROR(__xludf.DUMMYFUNCTION("""COMPUTED_VALUE"""),44970.0)</f>
        <v>44970</v>
      </c>
      <c r="S168" s="43"/>
      <c r="T168" s="43"/>
      <c r="U168" s="43" t="str">
        <f>IFERROR(__xludf.DUMMYFUNCTION("""COMPUTED_VALUE"""),"Global Classroom")</f>
        <v>Global Classroom</v>
      </c>
      <c r="V168" s="43" t="str">
        <f>IFERROR(__xludf.DUMMYFUNCTION("""COMPUTED_VALUE"""),"ISTANBUL ASIA")</f>
        <v>ISTANBUL ASIA</v>
      </c>
      <c r="W168" s="43" t="str">
        <f>IFERROR(__xludf.DUMMYFUNCTION("""COMPUTED_VALUE"""),"2022-09-28T14:25:32Z")</f>
        <v>2022-09-28T14:25:32Z</v>
      </c>
      <c r="X168" s="43"/>
      <c r="Y168" s="43"/>
      <c r="Z168" s="43"/>
    </row>
    <row r="169" hidden="1">
      <c r="A169" s="43" t="str">
        <f>IFERROR(__xludf.DUMMYFUNCTION("""COMPUTED_VALUE"""),"4981782_1290024")</f>
        <v>4981782_1290024</v>
      </c>
      <c r="B169" s="43" t="str">
        <f>IFERROR(__xludf.DUMMYFUNCTION("""COMPUTED_VALUE"""),"Ayşenur Sertoğlu")</f>
        <v>Ayşenur Sertoğlu</v>
      </c>
      <c r="C169" s="43" t="str">
        <f>IFERROR(__xludf.DUMMYFUNCTION("""COMPUTED_VALUE"""),"approved")</f>
        <v>approved</v>
      </c>
      <c r="D169" s="43" t="str">
        <f>IFERROR(__xludf.DUMMYFUNCTION("""COMPUTED_VALUE"""),"No")</f>
        <v>No</v>
      </c>
      <c r="E169" s="43" t="str">
        <f>IFERROR(__xludf.DUMMYFUNCTION("""COMPUTED_VALUE"""),"p_76330fbd734fe6f72669c6c7f3c4e9a70386b522@inbound.aiesec.org")</f>
        <v>p_76330fbd734fe6f72669c6c7f3c4e9a70386b522@inbound.aiesec.org</v>
      </c>
      <c r="F169" s="43">
        <f>IFERROR(__xludf.DUMMYFUNCTION("""COMPUTED_VALUE"""),5.443628501E9)</f>
        <v>5443628501</v>
      </c>
      <c r="G169" s="43" t="str">
        <f>IFERROR(__xludf.DUMMYFUNCTION("""COMPUTED_VALUE"""),"Turkey")</f>
        <v>Turkey</v>
      </c>
      <c r="H169" s="43" t="str">
        <f>IFERROR(__xludf.DUMMYFUNCTION("""COMPUTED_VALUE"""),"ISTANBUL")</f>
        <v>ISTANBUL</v>
      </c>
      <c r="I169" s="43" t="str">
        <f>IFERROR(__xludf.DUMMYFUNCTION("""COMPUTED_VALUE"""),"Egypt")</f>
        <v>Egypt</v>
      </c>
      <c r="J169" s="43" t="str">
        <f>IFERROR(__xludf.DUMMYFUNCTION("""COMPUTED_VALUE"""),"Ain Shams University")</f>
        <v>Ain Shams University</v>
      </c>
      <c r="K169" s="44" t="str">
        <f>IFERROR(__xludf.DUMMYFUNCTION("""COMPUTED_VALUE"""),"https://expa.aiesec.org/opportunities/1290024")</f>
        <v>https://expa.aiesec.org/opportunities/1290024</v>
      </c>
      <c r="L169" s="43" t="str">
        <f>IFERROR(__xludf.DUMMYFUNCTION("""COMPUTED_VALUE"""),"GV")</f>
        <v>GV</v>
      </c>
      <c r="M169" s="43" t="str">
        <f>IFERROR(__xludf.DUMMYFUNCTION("""COMPUTED_VALUE"""),"short")</f>
        <v>short</v>
      </c>
      <c r="N169" s="45">
        <f>IFERROR(__xludf.DUMMYFUNCTION("""COMPUTED_VALUE"""),44886.0)</f>
        <v>44886</v>
      </c>
      <c r="O169" s="45">
        <f>IFERROR(__xludf.DUMMYFUNCTION("""COMPUTED_VALUE"""),45108.0)</f>
        <v>45108</v>
      </c>
      <c r="P169" s="45">
        <f>IFERROR(__xludf.DUMMYFUNCTION("""COMPUTED_VALUE"""),45150.0)</f>
        <v>45150</v>
      </c>
      <c r="Q169" s="45"/>
      <c r="R169" s="45"/>
      <c r="S169" s="43"/>
      <c r="T169" s="43"/>
      <c r="U169" s="43" t="str">
        <f>IFERROR(__xludf.DUMMYFUNCTION("""COMPUTED_VALUE"""),"On The Map")</f>
        <v>On The Map</v>
      </c>
      <c r="V169" s="43" t="str">
        <f>IFERROR(__xludf.DUMMYFUNCTION("""COMPUTED_VALUE"""),"ISTANBUL - BEYOGLU")</f>
        <v>ISTANBUL - BEYOGLU</v>
      </c>
      <c r="W169" s="43" t="str">
        <f>IFERROR(__xludf.DUMMYFUNCTION("""COMPUTED_VALUE"""),"2022-03-13T13:21:06Z")</f>
        <v>2022-03-13T13:21:06Z</v>
      </c>
      <c r="X169" s="43"/>
      <c r="Y169" s="43"/>
      <c r="Z169" s="43"/>
    </row>
    <row r="170" hidden="1">
      <c r="A170" s="43" t="str">
        <f>IFERROR(__xludf.DUMMYFUNCTION("""COMPUTED_VALUE"""),"5155704_1290210")</f>
        <v>5155704_1290210</v>
      </c>
      <c r="B170" s="43" t="str">
        <f>IFERROR(__xludf.DUMMYFUNCTION("""COMPUTED_VALUE"""),"Yağmur Ata")</f>
        <v>Yağmur Ata</v>
      </c>
      <c r="C170" s="43" t="str">
        <f>IFERROR(__xludf.DUMMYFUNCTION("""COMPUTED_VALUE"""),"completed")</f>
        <v>completed</v>
      </c>
      <c r="D170" s="43" t="str">
        <f>IFERROR(__xludf.DUMMYFUNCTION("""COMPUTED_VALUE"""),"No")</f>
        <v>No</v>
      </c>
      <c r="E170" s="43" t="str">
        <f>IFERROR(__xludf.DUMMYFUNCTION("""COMPUTED_VALUE"""),"p_a5601f15b56c30fe8d179f9e581394b704f63dec@inbound.aiesec.org")</f>
        <v>p_a5601f15b56c30fe8d179f9e581394b704f63dec@inbound.aiesec.org</v>
      </c>
      <c r="F170" s="43">
        <f>IFERROR(__xludf.DUMMYFUNCTION("""COMPUTED_VALUE"""),5.510273878E9)</f>
        <v>5510273878</v>
      </c>
      <c r="G170" s="43" t="str">
        <f>IFERROR(__xludf.DUMMYFUNCTION("""COMPUTED_VALUE"""),"Turkey")</f>
        <v>Turkey</v>
      </c>
      <c r="H170" s="43" t="str">
        <f>IFERROR(__xludf.DUMMYFUNCTION("""COMPUTED_VALUE"""),"ANTALYA")</f>
        <v>ANTALYA</v>
      </c>
      <c r="I170" s="43" t="str">
        <f>IFERROR(__xludf.DUMMYFUNCTION("""COMPUTED_VALUE"""),"Romania")</f>
        <v>Romania</v>
      </c>
      <c r="J170" s="43" t="str">
        <f>IFERROR(__xludf.DUMMYFUNCTION("""COMPUTED_VALUE"""),"Cluj-Napoca")</f>
        <v>Cluj-Napoca</v>
      </c>
      <c r="K170" s="44" t="str">
        <f>IFERROR(__xludf.DUMMYFUNCTION("""COMPUTED_VALUE"""),"https://expa.aiesec.org/opportunities/1290210")</f>
        <v>https://expa.aiesec.org/opportunities/1290210</v>
      </c>
      <c r="L170" s="43" t="str">
        <f>IFERROR(__xludf.DUMMYFUNCTION("""COMPUTED_VALUE"""),"GV")</f>
        <v>GV</v>
      </c>
      <c r="M170" s="43" t="str">
        <f>IFERROR(__xludf.DUMMYFUNCTION("""COMPUTED_VALUE"""),"short")</f>
        <v>short</v>
      </c>
      <c r="N170" s="45">
        <f>IFERROR(__xludf.DUMMYFUNCTION("""COMPUTED_VALUE"""),44887.0)</f>
        <v>44887</v>
      </c>
      <c r="O170" s="45">
        <f>IFERROR(__xludf.DUMMYFUNCTION("""COMPUTED_VALUE"""),44949.0)</f>
        <v>44949</v>
      </c>
      <c r="P170" s="45">
        <f>IFERROR(__xludf.DUMMYFUNCTION("""COMPUTED_VALUE"""),44991.0)</f>
        <v>44991</v>
      </c>
      <c r="Q170" s="45">
        <f>IFERROR(__xludf.DUMMYFUNCTION("""COMPUTED_VALUE"""),44954.0)</f>
        <v>44954</v>
      </c>
      <c r="R170" s="45">
        <f>IFERROR(__xludf.DUMMYFUNCTION("""COMPUTED_VALUE"""),44994.0)</f>
        <v>44994</v>
      </c>
      <c r="S170" s="43"/>
      <c r="T170" s="43"/>
      <c r="U170" s="43" t="str">
        <f>IFERROR(__xludf.DUMMYFUNCTION("""COMPUTED_VALUE"""),"Eat 4 Change")</f>
        <v>Eat 4 Change</v>
      </c>
      <c r="V170" s="43" t="str">
        <f>IFERROR(__xludf.DUMMYFUNCTION("""COMPUTED_VALUE"""),"ANTALYA")</f>
        <v>ANTALYA</v>
      </c>
      <c r="W170" s="43" t="str">
        <f>IFERROR(__xludf.DUMMYFUNCTION("""COMPUTED_VALUE"""),"2022-11-19T11:46:08Z")</f>
        <v>2022-11-19T11:46:08Z</v>
      </c>
      <c r="X170" s="43"/>
      <c r="Y170" s="43"/>
      <c r="Z170" s="43"/>
    </row>
    <row r="171" hidden="1">
      <c r="A171" s="43" t="str">
        <f>IFERROR(__xludf.DUMMYFUNCTION("""COMPUTED_VALUE"""),"5134365_1286442")</f>
        <v>5134365_1286442</v>
      </c>
      <c r="B171" s="43" t="str">
        <f>IFERROR(__xludf.DUMMYFUNCTION("""COMPUTED_VALUE"""),"Mustafa Görkem Kavak")</f>
        <v>Mustafa Görkem Kavak</v>
      </c>
      <c r="C171" s="43" t="str">
        <f>IFERROR(__xludf.DUMMYFUNCTION("""COMPUTED_VALUE"""),"approved")</f>
        <v>approved</v>
      </c>
      <c r="D171" s="43" t="str">
        <f>IFERROR(__xludf.DUMMYFUNCTION("""COMPUTED_VALUE"""),"No")</f>
        <v>No</v>
      </c>
      <c r="E171" s="43" t="str">
        <f>IFERROR(__xludf.DUMMYFUNCTION("""COMPUTED_VALUE"""),"p_f8706b9a81549d4bd6f4bb1e343bd72bfa1bea82@inbound.aiesec.org")</f>
        <v>p_f8706b9a81549d4bd6f4bb1e343bd72bfa1bea82@inbound.aiesec.org</v>
      </c>
      <c r="F171" s="43">
        <f>IFERROR(__xludf.DUMMYFUNCTION("""COMPUTED_VALUE"""),5.013171682E9)</f>
        <v>5013171682</v>
      </c>
      <c r="G171" s="43" t="str">
        <f>IFERROR(__xludf.DUMMYFUNCTION("""COMPUTED_VALUE"""),"Turkey")</f>
        <v>Turkey</v>
      </c>
      <c r="H171" s="43" t="str">
        <f>IFERROR(__xludf.DUMMYFUNCTION("""COMPUTED_VALUE"""),"ADANA")</f>
        <v>ADANA</v>
      </c>
      <c r="I171" s="43" t="str">
        <f>IFERROR(__xludf.DUMMYFUNCTION("""COMPUTED_VALUE"""),"Czech Republic")</f>
        <v>Czech Republic</v>
      </c>
      <c r="J171" s="43" t="str">
        <f>IFERROR(__xludf.DUMMYFUNCTION("""COMPUTED_VALUE"""),"PRAGUE")</f>
        <v>PRAGUE</v>
      </c>
      <c r="K171" s="44" t="str">
        <f>IFERROR(__xludf.DUMMYFUNCTION("""COMPUTED_VALUE"""),"https://expa.aiesec.org/opportunities/1286442")</f>
        <v>https://expa.aiesec.org/opportunities/1286442</v>
      </c>
      <c r="L171" s="43" t="str">
        <f>IFERROR(__xludf.DUMMYFUNCTION("""COMPUTED_VALUE"""),"GV")</f>
        <v>GV</v>
      </c>
      <c r="M171" s="43" t="str">
        <f>IFERROR(__xludf.DUMMYFUNCTION("""COMPUTED_VALUE"""),"short")</f>
        <v>short</v>
      </c>
      <c r="N171" s="45">
        <f>IFERROR(__xludf.DUMMYFUNCTION("""COMPUTED_VALUE"""),44887.0)</f>
        <v>44887</v>
      </c>
      <c r="O171" s="45">
        <f>IFERROR(__xludf.DUMMYFUNCTION("""COMPUTED_VALUE"""),44942.0)</f>
        <v>44942</v>
      </c>
      <c r="P171" s="45">
        <f>IFERROR(__xludf.DUMMYFUNCTION("""COMPUTED_VALUE"""),44984.0)</f>
        <v>44984</v>
      </c>
      <c r="Q171" s="45"/>
      <c r="R171" s="45"/>
      <c r="S171" s="43"/>
      <c r="T171" s="43"/>
      <c r="U171" s="43" t="str">
        <f>IFERROR(__xludf.DUMMYFUNCTION("""COMPUTED_VALUE"""),"Youth 4 Impact")</f>
        <v>Youth 4 Impact</v>
      </c>
      <c r="V171" s="43" t="str">
        <f>IFERROR(__xludf.DUMMYFUNCTION("""COMPUTED_VALUE"""),"ADANA")</f>
        <v>ADANA</v>
      </c>
      <c r="W171" s="43" t="str">
        <f>IFERROR(__xludf.DUMMYFUNCTION("""COMPUTED_VALUE"""),"2022-10-17T09:17:14Z")</f>
        <v>2022-10-17T09:17:14Z</v>
      </c>
      <c r="X171" s="43"/>
      <c r="Y171" s="43"/>
      <c r="Z171" s="43"/>
    </row>
    <row r="172" hidden="1">
      <c r="A172" s="43" t="str">
        <f>IFERROR(__xludf.DUMMYFUNCTION("""COMPUTED_VALUE"""),"5129612_1290278")</f>
        <v>5129612_1290278</v>
      </c>
      <c r="B172" s="43" t="str">
        <f>IFERROR(__xludf.DUMMYFUNCTION("""COMPUTED_VALUE"""),"Habibe Gozde Aykac")</f>
        <v>Habibe Gozde Aykac</v>
      </c>
      <c r="C172" s="43" t="str">
        <f>IFERROR(__xludf.DUMMYFUNCTION("""COMPUTED_VALUE"""),"completed")</f>
        <v>completed</v>
      </c>
      <c r="D172" s="43" t="str">
        <f>IFERROR(__xludf.DUMMYFUNCTION("""COMPUTED_VALUE"""),"No")</f>
        <v>No</v>
      </c>
      <c r="E172" s="43" t="str">
        <f>IFERROR(__xludf.DUMMYFUNCTION("""COMPUTED_VALUE"""),"p_6c4dc3f7bcfb46a3d0f1dbca7b7538f77435db8a@inbound.aiesec.org")</f>
        <v>p_6c4dc3f7bcfb46a3d0f1dbca7b7538f77435db8a@inbound.aiesec.org</v>
      </c>
      <c r="F172" s="43"/>
      <c r="G172" s="43" t="str">
        <f>IFERROR(__xludf.DUMMYFUNCTION("""COMPUTED_VALUE"""),"Turkey")</f>
        <v>Turkey</v>
      </c>
      <c r="H172" s="43" t="str">
        <f>IFERROR(__xludf.DUMMYFUNCTION("""COMPUTED_VALUE"""),"İZMİR")</f>
        <v>İZMİR</v>
      </c>
      <c r="I172" s="43" t="str">
        <f>IFERROR(__xludf.DUMMYFUNCTION("""COMPUTED_VALUE"""),"Spain")</f>
        <v>Spain</v>
      </c>
      <c r="J172" s="43" t="str">
        <f>IFERROR(__xludf.DUMMYFUNCTION("""COMPUTED_VALUE"""),"Pompeu Fabra Barcelona")</f>
        <v>Pompeu Fabra Barcelona</v>
      </c>
      <c r="K172" s="44" t="str">
        <f>IFERROR(__xludf.DUMMYFUNCTION("""COMPUTED_VALUE"""),"https://expa.aiesec.org/opportunities/1290278")</f>
        <v>https://expa.aiesec.org/opportunities/1290278</v>
      </c>
      <c r="L172" s="43" t="str">
        <f>IFERROR(__xludf.DUMMYFUNCTION("""COMPUTED_VALUE"""),"GV")</f>
        <v>GV</v>
      </c>
      <c r="M172" s="43" t="str">
        <f>IFERROR(__xludf.DUMMYFUNCTION("""COMPUTED_VALUE"""),"short")</f>
        <v>short</v>
      </c>
      <c r="N172" s="45">
        <f>IFERROR(__xludf.DUMMYFUNCTION("""COMPUTED_VALUE"""),44887.0)</f>
        <v>44887</v>
      </c>
      <c r="O172" s="45">
        <f>IFERROR(__xludf.DUMMYFUNCTION("""COMPUTED_VALUE"""),44963.0)</f>
        <v>44963</v>
      </c>
      <c r="P172" s="45">
        <f>IFERROR(__xludf.DUMMYFUNCTION("""COMPUTED_VALUE"""),45005.0)</f>
        <v>45005</v>
      </c>
      <c r="Q172" s="45">
        <f>IFERROR(__xludf.DUMMYFUNCTION("""COMPUTED_VALUE"""),44964.0)</f>
        <v>44964</v>
      </c>
      <c r="R172" s="45">
        <f>IFERROR(__xludf.DUMMYFUNCTION("""COMPUTED_VALUE"""),45005.0)</f>
        <v>45005</v>
      </c>
      <c r="S172" s="43"/>
      <c r="T172" s="43"/>
      <c r="U172" s="43" t="str">
        <f>IFERROR(__xludf.DUMMYFUNCTION("""COMPUTED_VALUE"""),"Eat 4 Change")</f>
        <v>Eat 4 Change</v>
      </c>
      <c r="V172" s="43" t="str">
        <f>IFERROR(__xludf.DUMMYFUNCTION("""COMPUTED_VALUE"""),"-")</f>
        <v>-</v>
      </c>
      <c r="W172" s="43" t="str">
        <f>IFERROR(__xludf.DUMMYFUNCTION("""COMPUTED_VALUE"""),"2022-10-11T07:36:35Z")</f>
        <v>2022-10-11T07:36:35Z</v>
      </c>
      <c r="X172" s="43"/>
      <c r="Y172" s="43"/>
      <c r="Z172" s="43"/>
    </row>
    <row r="173" hidden="1">
      <c r="A173" s="43" t="str">
        <f>IFERROR(__xludf.DUMMYFUNCTION("""COMPUTED_VALUE"""),"4817121_1290362")</f>
        <v>4817121_1290362</v>
      </c>
      <c r="B173" s="43" t="str">
        <f>IFERROR(__xludf.DUMMYFUNCTION("""COMPUTED_VALUE"""),"Gül Akçay")</f>
        <v>Gül Akçay</v>
      </c>
      <c r="C173" s="43" t="str">
        <f>IFERROR(__xludf.DUMMYFUNCTION("""COMPUTED_VALUE"""),"completed")</f>
        <v>completed</v>
      </c>
      <c r="D173" s="43" t="str">
        <f>IFERROR(__xludf.DUMMYFUNCTION("""COMPUTED_VALUE"""),"No")</f>
        <v>No</v>
      </c>
      <c r="E173" s="43" t="str">
        <f>IFERROR(__xludf.DUMMYFUNCTION("""COMPUTED_VALUE"""),"p_0e2745dab3edf37caf173e2a1407825f8ab771ec@inbound.aiesec.org")</f>
        <v>p_0e2745dab3edf37caf173e2a1407825f8ab771ec@inbound.aiesec.org</v>
      </c>
      <c r="F173" s="43">
        <f>IFERROR(__xludf.DUMMYFUNCTION("""COMPUTED_VALUE"""),5.37262428E9)</f>
        <v>5372624280</v>
      </c>
      <c r="G173" s="43" t="str">
        <f>IFERROR(__xludf.DUMMYFUNCTION("""COMPUTED_VALUE"""),"Turkey")</f>
        <v>Turkey</v>
      </c>
      <c r="H173" s="43" t="str">
        <f>IFERROR(__xludf.DUMMYFUNCTION("""COMPUTED_VALUE"""),"ISPARTA")</f>
        <v>ISPARTA</v>
      </c>
      <c r="I173" s="43" t="str">
        <f>IFERROR(__xludf.DUMMYFUNCTION("""COMPUTED_VALUE"""),"Romania")</f>
        <v>Romania</v>
      </c>
      <c r="J173" s="43" t="str">
        <f>IFERROR(__xludf.DUMMYFUNCTION("""COMPUTED_VALUE"""),"SIBIU")</f>
        <v>SIBIU</v>
      </c>
      <c r="K173" s="44" t="str">
        <f>IFERROR(__xludf.DUMMYFUNCTION("""COMPUTED_VALUE"""),"https://expa.aiesec.org/opportunities/1290362")</f>
        <v>https://expa.aiesec.org/opportunities/1290362</v>
      </c>
      <c r="L173" s="43" t="str">
        <f>IFERROR(__xludf.DUMMYFUNCTION("""COMPUTED_VALUE"""),"GV")</f>
        <v>GV</v>
      </c>
      <c r="M173" s="43" t="str">
        <f>IFERROR(__xludf.DUMMYFUNCTION("""COMPUTED_VALUE"""),"short")</f>
        <v>short</v>
      </c>
      <c r="N173" s="45">
        <f>IFERROR(__xludf.DUMMYFUNCTION("""COMPUTED_VALUE"""),44888.0)</f>
        <v>44888</v>
      </c>
      <c r="O173" s="45">
        <f>IFERROR(__xludf.DUMMYFUNCTION("""COMPUTED_VALUE"""),44935.0)</f>
        <v>44935</v>
      </c>
      <c r="P173" s="45">
        <f>IFERROR(__xludf.DUMMYFUNCTION("""COMPUTED_VALUE"""),44977.0)</f>
        <v>44977</v>
      </c>
      <c r="Q173" s="45">
        <f>IFERROR(__xludf.DUMMYFUNCTION("""COMPUTED_VALUE"""),44936.0)</f>
        <v>44936</v>
      </c>
      <c r="R173" s="45">
        <f>IFERROR(__xludf.DUMMYFUNCTION("""COMPUTED_VALUE"""),44977.0)</f>
        <v>44977</v>
      </c>
      <c r="S173" s="43"/>
      <c r="T173" s="43"/>
      <c r="U173" s="43" t="str">
        <f>IFERROR(__xludf.DUMMYFUNCTION("""COMPUTED_VALUE"""),"Eat 4 Change")</f>
        <v>Eat 4 Change</v>
      </c>
      <c r="V173" s="43" t="str">
        <f>IFERROR(__xludf.DUMMYFUNCTION("""COMPUTED_VALUE"""),"ISPARTA")</f>
        <v>ISPARTA</v>
      </c>
      <c r="W173" s="43" t="str">
        <f>IFERROR(__xludf.DUMMYFUNCTION("""COMPUTED_VALUE"""),"2021-11-25T20:31:27Z")</f>
        <v>2021-11-25T20:31:27Z</v>
      </c>
      <c r="X173" s="43"/>
      <c r="Y173" s="43"/>
      <c r="Z173" s="43"/>
    </row>
    <row r="174" hidden="1">
      <c r="A174" s="43" t="str">
        <f>IFERROR(__xludf.DUMMYFUNCTION("""COMPUTED_VALUE"""),"5118712_1290024")</f>
        <v>5118712_1290024</v>
      </c>
      <c r="B174" s="43" t="str">
        <f>IFERROR(__xludf.DUMMYFUNCTION("""COMPUTED_VALUE"""),"Birgül Kaba")</f>
        <v>Birgül Kaba</v>
      </c>
      <c r="C174" s="43" t="str">
        <f>IFERROR(__xludf.DUMMYFUNCTION("""COMPUTED_VALUE"""),"approved")</f>
        <v>approved</v>
      </c>
      <c r="D174" s="43" t="str">
        <f>IFERROR(__xludf.DUMMYFUNCTION("""COMPUTED_VALUE"""),"No")</f>
        <v>No</v>
      </c>
      <c r="E174" s="43" t="str">
        <f>IFERROR(__xludf.DUMMYFUNCTION("""COMPUTED_VALUE"""),"p_6a47d8f705f2326bbe70f6ef5fd480e270d8f25f@inbound.aiesec.org")</f>
        <v>p_6a47d8f705f2326bbe70f6ef5fd480e270d8f25f@inbound.aiesec.org</v>
      </c>
      <c r="F174" s="43"/>
      <c r="G174" s="43" t="str">
        <f>IFERROR(__xludf.DUMMYFUNCTION("""COMPUTED_VALUE"""),"Turkey")</f>
        <v>Turkey</v>
      </c>
      <c r="H174" s="43" t="str">
        <f>IFERROR(__xludf.DUMMYFUNCTION("""COMPUTED_VALUE"""),"KOCAELI")</f>
        <v>KOCAELI</v>
      </c>
      <c r="I174" s="43" t="str">
        <f>IFERROR(__xludf.DUMMYFUNCTION("""COMPUTED_VALUE"""),"Egypt")</f>
        <v>Egypt</v>
      </c>
      <c r="J174" s="43" t="str">
        <f>IFERROR(__xludf.DUMMYFUNCTION("""COMPUTED_VALUE"""),"Ain Shams University")</f>
        <v>Ain Shams University</v>
      </c>
      <c r="K174" s="44" t="str">
        <f>IFERROR(__xludf.DUMMYFUNCTION("""COMPUTED_VALUE"""),"https://expa.aiesec.org/opportunities/1290024")</f>
        <v>https://expa.aiesec.org/opportunities/1290024</v>
      </c>
      <c r="L174" s="43" t="str">
        <f>IFERROR(__xludf.DUMMYFUNCTION("""COMPUTED_VALUE"""),"GV")</f>
        <v>GV</v>
      </c>
      <c r="M174" s="43" t="str">
        <f>IFERROR(__xludf.DUMMYFUNCTION("""COMPUTED_VALUE"""),"short")</f>
        <v>short</v>
      </c>
      <c r="N174" s="45">
        <f>IFERROR(__xludf.DUMMYFUNCTION("""COMPUTED_VALUE"""),44889.0)</f>
        <v>44889</v>
      </c>
      <c r="O174" s="45">
        <f>IFERROR(__xludf.DUMMYFUNCTION("""COMPUTED_VALUE"""),45108.0)</f>
        <v>45108</v>
      </c>
      <c r="P174" s="45">
        <f>IFERROR(__xludf.DUMMYFUNCTION("""COMPUTED_VALUE"""),45150.0)</f>
        <v>45150</v>
      </c>
      <c r="Q174" s="45"/>
      <c r="R174" s="45"/>
      <c r="S174" s="43"/>
      <c r="T174" s="43"/>
      <c r="U174" s="43" t="str">
        <f>IFERROR(__xludf.DUMMYFUNCTION("""COMPUTED_VALUE"""),"On The Map")</f>
        <v>On The Map</v>
      </c>
      <c r="V174" s="43" t="str">
        <f>IFERROR(__xludf.DUMMYFUNCTION("""COMPUTED_VALUE"""),"-")</f>
        <v>-</v>
      </c>
      <c r="W174" s="43" t="str">
        <f>IFERROR(__xludf.DUMMYFUNCTION("""COMPUTED_VALUE"""),"2022-09-24T12:08:24Z")</f>
        <v>2022-09-24T12:08:24Z</v>
      </c>
      <c r="X174" s="43"/>
      <c r="Y174" s="43"/>
      <c r="Z174" s="43"/>
    </row>
    <row r="175" hidden="1">
      <c r="A175" s="43" t="str">
        <f>IFERROR(__xludf.DUMMYFUNCTION("""COMPUTED_VALUE"""),"5158417_1288412")</f>
        <v>5158417_1288412</v>
      </c>
      <c r="B175" s="43" t="str">
        <f>IFERROR(__xludf.DUMMYFUNCTION("""COMPUTED_VALUE"""),"Nazmiye Demirbaş")</f>
        <v>Nazmiye Demirbaş</v>
      </c>
      <c r="C175" s="43" t="str">
        <f>IFERROR(__xludf.DUMMYFUNCTION("""COMPUTED_VALUE"""),"approved")</f>
        <v>approved</v>
      </c>
      <c r="D175" s="43" t="str">
        <f>IFERROR(__xludf.DUMMYFUNCTION("""COMPUTED_VALUE"""),"No")</f>
        <v>No</v>
      </c>
      <c r="E175" s="43" t="str">
        <f>IFERROR(__xludf.DUMMYFUNCTION("""COMPUTED_VALUE"""),"p_6f24d861eb06daf900c398d94057c054f1333d99@inbound.aiesec.org")</f>
        <v>p_6f24d861eb06daf900c398d94057c054f1333d99@inbound.aiesec.org</v>
      </c>
      <c r="F175" s="43"/>
      <c r="G175" s="43" t="str">
        <f>IFERROR(__xludf.DUMMYFUNCTION("""COMPUTED_VALUE"""),"Turkey")</f>
        <v>Turkey</v>
      </c>
      <c r="H175" s="43" t="str">
        <f>IFERROR(__xludf.DUMMYFUNCTION("""COMPUTED_VALUE"""),"KOCAELI")</f>
        <v>KOCAELI</v>
      </c>
      <c r="I175" s="43" t="str">
        <f>IFERROR(__xludf.DUMMYFUNCTION("""COMPUTED_VALUE"""),"India")</f>
        <v>India</v>
      </c>
      <c r="J175" s="43" t="str">
        <f>IFERROR(__xludf.DUMMYFUNCTION("""COMPUTED_VALUE"""),"JAIPUR ")</f>
        <v>JAIPUR </v>
      </c>
      <c r="K175" s="44" t="str">
        <f>IFERROR(__xludf.DUMMYFUNCTION("""COMPUTED_VALUE"""),"https://expa.aiesec.org/opportunities/1288412")</f>
        <v>https://expa.aiesec.org/opportunities/1288412</v>
      </c>
      <c r="L175" s="43" t="str">
        <f>IFERROR(__xludf.DUMMYFUNCTION("""COMPUTED_VALUE"""),"GV")</f>
        <v>GV</v>
      </c>
      <c r="M175" s="43" t="str">
        <f>IFERROR(__xludf.DUMMYFUNCTION("""COMPUTED_VALUE"""),"short")</f>
        <v>short</v>
      </c>
      <c r="N175" s="45">
        <f>IFERROR(__xludf.DUMMYFUNCTION("""COMPUTED_VALUE"""),44890.0)</f>
        <v>44890</v>
      </c>
      <c r="O175" s="45">
        <f>IFERROR(__xludf.DUMMYFUNCTION("""COMPUTED_VALUE"""),45115.0)</f>
        <v>45115</v>
      </c>
      <c r="P175" s="45">
        <f>IFERROR(__xludf.DUMMYFUNCTION("""COMPUTED_VALUE"""),45157.0)</f>
        <v>45157</v>
      </c>
      <c r="Q175" s="45"/>
      <c r="R175" s="45"/>
      <c r="S175" s="43"/>
      <c r="T175" s="43"/>
      <c r="U175" s="43" t="str">
        <f>IFERROR(__xludf.DUMMYFUNCTION("""COMPUTED_VALUE"""),"Skill Up!")</f>
        <v>Skill Up!</v>
      </c>
      <c r="V175" s="43" t="str">
        <f>IFERROR(__xludf.DUMMYFUNCTION("""COMPUTED_VALUE"""),"-")</f>
        <v>-</v>
      </c>
      <c r="W175" s="43" t="str">
        <f>IFERROR(__xludf.DUMMYFUNCTION("""COMPUTED_VALUE"""),"2022-11-24T16:39:04Z")</f>
        <v>2022-11-24T16:39:04Z</v>
      </c>
      <c r="X175" s="43"/>
      <c r="Y175" s="43"/>
      <c r="Z175" s="43"/>
    </row>
    <row r="176" hidden="1">
      <c r="A176" s="43" t="str">
        <f>IFERROR(__xludf.DUMMYFUNCTION("""COMPUTED_VALUE"""),"5087590_1288609")</f>
        <v>5087590_1288609</v>
      </c>
      <c r="B176" s="43" t="str">
        <f>IFERROR(__xludf.DUMMYFUNCTION("""COMPUTED_VALUE"""),"Eren Esmer")</f>
        <v>Eren Esmer</v>
      </c>
      <c r="C176" s="43" t="str">
        <f>IFERROR(__xludf.DUMMYFUNCTION("""COMPUTED_VALUE"""),"approved")</f>
        <v>approved</v>
      </c>
      <c r="D176" s="43" t="str">
        <f>IFERROR(__xludf.DUMMYFUNCTION("""COMPUTED_VALUE"""),"No")</f>
        <v>No</v>
      </c>
      <c r="E176" s="43" t="str">
        <f>IFERROR(__xludf.DUMMYFUNCTION("""COMPUTED_VALUE"""),"p_076273b53e5106dd6395970974ef3949558212a9@inbound.aiesec.org")</f>
        <v>p_076273b53e5106dd6395970974ef3949558212a9@inbound.aiesec.org</v>
      </c>
      <c r="F176" s="43"/>
      <c r="G176" s="43" t="str">
        <f>IFERROR(__xludf.DUMMYFUNCTION("""COMPUTED_VALUE"""),"Turkey")</f>
        <v>Turkey</v>
      </c>
      <c r="H176" s="43" t="str">
        <f>IFERROR(__xludf.DUMMYFUNCTION("""COMPUTED_VALUE"""),"ISTANBUL WEST")</f>
        <v>ISTANBUL WEST</v>
      </c>
      <c r="I176" s="43" t="str">
        <f>IFERROR(__xludf.DUMMYFUNCTION("""COMPUTED_VALUE"""),"Egypt")</f>
        <v>Egypt</v>
      </c>
      <c r="J176" s="43" t="str">
        <f>IFERROR(__xludf.DUMMYFUNCTION("""COMPUTED_VALUE"""),"Tanta")</f>
        <v>Tanta</v>
      </c>
      <c r="K176" s="44" t="str">
        <f>IFERROR(__xludf.DUMMYFUNCTION("""COMPUTED_VALUE"""),"https://expa.aiesec.org/opportunities/1288609")</f>
        <v>https://expa.aiesec.org/opportunities/1288609</v>
      </c>
      <c r="L176" s="43" t="str">
        <f>IFERROR(__xludf.DUMMYFUNCTION("""COMPUTED_VALUE"""),"GV")</f>
        <v>GV</v>
      </c>
      <c r="M176" s="43" t="str">
        <f>IFERROR(__xludf.DUMMYFUNCTION("""COMPUTED_VALUE"""),"short")</f>
        <v>short</v>
      </c>
      <c r="N176" s="45">
        <f>IFERROR(__xludf.DUMMYFUNCTION("""COMPUTED_VALUE"""),44891.0)</f>
        <v>44891</v>
      </c>
      <c r="O176" s="45">
        <f>IFERROR(__xludf.DUMMYFUNCTION("""COMPUTED_VALUE"""),45108.0)</f>
        <v>45108</v>
      </c>
      <c r="P176" s="45">
        <f>IFERROR(__xludf.DUMMYFUNCTION("""COMPUTED_VALUE"""),45150.0)</f>
        <v>45150</v>
      </c>
      <c r="Q176" s="45"/>
      <c r="R176" s="45"/>
      <c r="S176" s="43"/>
      <c r="T176" s="43"/>
      <c r="U176" s="43" t="str">
        <f>IFERROR(__xludf.DUMMYFUNCTION("""COMPUTED_VALUE"""),"On The Map")</f>
        <v>On The Map</v>
      </c>
      <c r="V176" s="43" t="str">
        <f>IFERROR(__xludf.DUMMYFUNCTION("""COMPUTED_VALUE"""),"-")</f>
        <v>-</v>
      </c>
      <c r="W176" s="43" t="str">
        <f>IFERROR(__xludf.DUMMYFUNCTION("""COMPUTED_VALUE"""),"2022-07-31T15:40:41Z")</f>
        <v>2022-07-31T15:40:41Z</v>
      </c>
      <c r="X176" s="43"/>
      <c r="Y176" s="43"/>
      <c r="Z176" s="43"/>
    </row>
    <row r="177" hidden="1">
      <c r="A177" s="43" t="str">
        <f>IFERROR(__xludf.DUMMYFUNCTION("""COMPUTED_VALUE"""),"5158300_1287987")</f>
        <v>5158300_1287987</v>
      </c>
      <c r="B177" s="43" t="str">
        <f>IFERROR(__xludf.DUMMYFUNCTION("""COMPUTED_VALUE"""),"Ezgi şahin")</f>
        <v>Ezgi şahin</v>
      </c>
      <c r="C177" s="43" t="str">
        <f>IFERROR(__xludf.DUMMYFUNCTION("""COMPUTED_VALUE"""),"completed")</f>
        <v>completed</v>
      </c>
      <c r="D177" s="43" t="str">
        <f>IFERROR(__xludf.DUMMYFUNCTION("""COMPUTED_VALUE"""),"No")</f>
        <v>No</v>
      </c>
      <c r="E177" s="43" t="str">
        <f>IFERROR(__xludf.DUMMYFUNCTION("""COMPUTED_VALUE"""),"p_0cdcfd47a00b6c2ec24300b337307cce8679caba@inbound.aiesec.org")</f>
        <v>p_0cdcfd47a00b6c2ec24300b337307cce8679caba@inbound.aiesec.org</v>
      </c>
      <c r="F177" s="43">
        <f>IFERROR(__xludf.DUMMYFUNCTION("""COMPUTED_VALUE"""),5.446170547E9)</f>
        <v>5446170547</v>
      </c>
      <c r="G177" s="43" t="str">
        <f>IFERROR(__xludf.DUMMYFUNCTION("""COMPUTED_VALUE"""),"Turkey")</f>
        <v>Turkey</v>
      </c>
      <c r="H177" s="43" t="str">
        <f>IFERROR(__xludf.DUMMYFUNCTION("""COMPUTED_VALUE"""),"KOCAELI")</f>
        <v>KOCAELI</v>
      </c>
      <c r="I177" s="43" t="str">
        <f>IFERROR(__xludf.DUMMYFUNCTION("""COMPUTED_VALUE"""),"India")</f>
        <v>India</v>
      </c>
      <c r="J177" s="43" t="str">
        <f>IFERROR(__xludf.DUMMYFUNCTION("""COMPUTED_VALUE"""),"JAIPUR ")</f>
        <v>JAIPUR </v>
      </c>
      <c r="K177" s="44" t="str">
        <f>IFERROR(__xludf.DUMMYFUNCTION("""COMPUTED_VALUE"""),"https://expa.aiesec.org/opportunities/1287987")</f>
        <v>https://expa.aiesec.org/opportunities/1287987</v>
      </c>
      <c r="L177" s="43" t="str">
        <f>IFERROR(__xludf.DUMMYFUNCTION("""COMPUTED_VALUE"""),"GV")</f>
        <v>GV</v>
      </c>
      <c r="M177" s="43" t="str">
        <f>IFERROR(__xludf.DUMMYFUNCTION("""COMPUTED_VALUE"""),"short")</f>
        <v>short</v>
      </c>
      <c r="N177" s="45">
        <f>IFERROR(__xludf.DUMMYFUNCTION("""COMPUTED_VALUE"""),44891.0)</f>
        <v>44891</v>
      </c>
      <c r="O177" s="45">
        <f>IFERROR(__xludf.DUMMYFUNCTION("""COMPUTED_VALUE"""),45086.0)</f>
        <v>45086</v>
      </c>
      <c r="P177" s="45">
        <f>IFERROR(__xludf.DUMMYFUNCTION("""COMPUTED_VALUE"""),45128.0)</f>
        <v>45128</v>
      </c>
      <c r="Q177" s="45">
        <f>IFERROR(__xludf.DUMMYFUNCTION("""COMPUTED_VALUE"""),45085.0)</f>
        <v>45085</v>
      </c>
      <c r="R177" s="45">
        <f>IFERROR(__xludf.DUMMYFUNCTION("""COMPUTED_VALUE"""),45128.0)</f>
        <v>45128</v>
      </c>
      <c r="S177" s="43"/>
      <c r="T177" s="43"/>
      <c r="U177" s="43" t="str">
        <f>IFERROR(__xludf.DUMMYFUNCTION("""COMPUTED_VALUE"""),"On The Map")</f>
        <v>On The Map</v>
      </c>
      <c r="V177" s="43" t="str">
        <f>IFERROR(__xludf.DUMMYFUNCTION("""COMPUTED_VALUE"""),"KOCAELI")</f>
        <v>KOCAELI</v>
      </c>
      <c r="W177" s="43" t="str">
        <f>IFERROR(__xludf.DUMMYFUNCTION("""COMPUTED_VALUE"""),"2022-11-24T12:47:27Z")</f>
        <v>2022-11-24T12:47:27Z</v>
      </c>
      <c r="X177" s="43"/>
      <c r="Y177" s="43"/>
      <c r="Z177" s="43"/>
    </row>
    <row r="178" hidden="1">
      <c r="A178" s="43" t="str">
        <f>IFERROR(__xludf.DUMMYFUNCTION("""COMPUTED_VALUE"""),"5157307_1290210")</f>
        <v>5157307_1290210</v>
      </c>
      <c r="B178" s="43" t="str">
        <f>IFERROR(__xludf.DUMMYFUNCTION("""COMPUTED_VALUE"""),"Giousouf Arif")</f>
        <v>Giousouf Arif</v>
      </c>
      <c r="C178" s="43" t="str">
        <f>IFERROR(__xludf.DUMMYFUNCTION("""COMPUTED_VALUE"""),"finished")</f>
        <v>finished</v>
      </c>
      <c r="D178" s="43" t="str">
        <f>IFERROR(__xludf.DUMMYFUNCTION("""COMPUTED_VALUE"""),"No")</f>
        <v>No</v>
      </c>
      <c r="E178" s="43" t="str">
        <f>IFERROR(__xludf.DUMMYFUNCTION("""COMPUTED_VALUE"""),"p_155b52db53ec3cf9dc0432ac0245b39097bf9cf8@inbound.aiesec.org")</f>
        <v>p_155b52db53ec3cf9dc0432ac0245b39097bf9cf8@inbound.aiesec.org</v>
      </c>
      <c r="F178" s="43">
        <f>IFERROR(__xludf.DUMMYFUNCTION("""COMPUTED_VALUE"""),5.346807882E9)</f>
        <v>5346807882</v>
      </c>
      <c r="G178" s="43" t="str">
        <f>IFERROR(__xludf.DUMMYFUNCTION("""COMPUTED_VALUE"""),"Turkey")</f>
        <v>Turkey</v>
      </c>
      <c r="H178" s="43" t="str">
        <f>IFERROR(__xludf.DUMMYFUNCTION("""COMPUTED_VALUE"""),"ANKARA")</f>
        <v>ANKARA</v>
      </c>
      <c r="I178" s="43" t="str">
        <f>IFERROR(__xludf.DUMMYFUNCTION("""COMPUTED_VALUE"""),"Romania")</f>
        <v>Romania</v>
      </c>
      <c r="J178" s="43" t="str">
        <f>IFERROR(__xludf.DUMMYFUNCTION("""COMPUTED_VALUE"""),"Cluj-Napoca")</f>
        <v>Cluj-Napoca</v>
      </c>
      <c r="K178" s="44" t="str">
        <f>IFERROR(__xludf.DUMMYFUNCTION("""COMPUTED_VALUE"""),"https://expa.aiesec.org/opportunities/1290210")</f>
        <v>https://expa.aiesec.org/opportunities/1290210</v>
      </c>
      <c r="L178" s="43" t="str">
        <f>IFERROR(__xludf.DUMMYFUNCTION("""COMPUTED_VALUE"""),"GV")</f>
        <v>GV</v>
      </c>
      <c r="M178" s="43" t="str">
        <f>IFERROR(__xludf.DUMMYFUNCTION("""COMPUTED_VALUE"""),"short")</f>
        <v>short</v>
      </c>
      <c r="N178" s="45">
        <f>IFERROR(__xludf.DUMMYFUNCTION("""COMPUTED_VALUE"""),44891.0)</f>
        <v>44891</v>
      </c>
      <c r="O178" s="45">
        <f>IFERROR(__xludf.DUMMYFUNCTION("""COMPUTED_VALUE"""),44949.0)</f>
        <v>44949</v>
      </c>
      <c r="P178" s="45">
        <f>IFERROR(__xludf.DUMMYFUNCTION("""COMPUTED_VALUE"""),44991.0)</f>
        <v>44991</v>
      </c>
      <c r="Q178" s="45">
        <f>IFERROR(__xludf.DUMMYFUNCTION("""COMPUTED_VALUE"""),44949.0)</f>
        <v>44949</v>
      </c>
      <c r="R178" s="45">
        <f>IFERROR(__xludf.DUMMYFUNCTION("""COMPUTED_VALUE"""),44991.0)</f>
        <v>44991</v>
      </c>
      <c r="S178" s="43"/>
      <c r="T178" s="43"/>
      <c r="U178" s="43" t="str">
        <f>IFERROR(__xludf.DUMMYFUNCTION("""COMPUTED_VALUE"""),"Eat 4 Change")</f>
        <v>Eat 4 Change</v>
      </c>
      <c r="V178" s="43" t="str">
        <f>IFERROR(__xludf.DUMMYFUNCTION("""COMPUTED_VALUE"""),"ANKARA")</f>
        <v>ANKARA</v>
      </c>
      <c r="W178" s="43" t="str">
        <f>IFERROR(__xludf.DUMMYFUNCTION("""COMPUTED_VALUE"""),"2022-11-22T15:57:48Z")</f>
        <v>2022-11-22T15:57:48Z</v>
      </c>
      <c r="X178" s="43"/>
      <c r="Y178" s="43"/>
      <c r="Z178" s="43"/>
    </row>
    <row r="179" hidden="1">
      <c r="A179" s="43" t="str">
        <f>IFERROR(__xludf.DUMMYFUNCTION("""COMPUTED_VALUE"""),"4381156_1284485")</f>
        <v>4381156_1284485</v>
      </c>
      <c r="B179" s="43" t="str">
        <f>IFERROR(__xludf.DUMMYFUNCTION("""COMPUTED_VALUE"""),"Muhammed Almaz")</f>
        <v>Muhammed Almaz</v>
      </c>
      <c r="C179" s="43" t="str">
        <f>IFERROR(__xludf.DUMMYFUNCTION("""COMPUTED_VALUE"""),"approved")</f>
        <v>approved</v>
      </c>
      <c r="D179" s="43" t="str">
        <f>IFERROR(__xludf.DUMMYFUNCTION("""COMPUTED_VALUE"""),"No")</f>
        <v>No</v>
      </c>
      <c r="E179" s="43" t="str">
        <f>IFERROR(__xludf.DUMMYFUNCTION("""COMPUTED_VALUE"""),"p_d21c730205b890b168b350a7cac73948cd7277fa@inbound.aiesec.org")</f>
        <v>p_d21c730205b890b168b350a7cac73948cd7277fa@inbound.aiesec.org</v>
      </c>
      <c r="F179" s="43">
        <f>IFERROR(__xludf.DUMMYFUNCTION("""COMPUTED_VALUE"""),5.453382441E9)</f>
        <v>5453382441</v>
      </c>
      <c r="G179" s="43" t="str">
        <f>IFERROR(__xludf.DUMMYFUNCTION("""COMPUTED_VALUE"""),"Turkey")</f>
        <v>Turkey</v>
      </c>
      <c r="H179" s="43" t="str">
        <f>IFERROR(__xludf.DUMMYFUNCTION("""COMPUTED_VALUE"""),"SAKARYA")</f>
        <v>SAKARYA</v>
      </c>
      <c r="I179" s="43" t="str">
        <f>IFERROR(__xludf.DUMMYFUNCTION("""COMPUTED_VALUE"""),"India")</f>
        <v>India</v>
      </c>
      <c r="J179" s="43" t="str">
        <f>IFERROR(__xludf.DUMMYFUNCTION("""COMPUTED_VALUE"""),"Dehradun")</f>
        <v>Dehradun</v>
      </c>
      <c r="K179" s="44" t="str">
        <f>IFERROR(__xludf.DUMMYFUNCTION("""COMPUTED_VALUE"""),"https://expa.aiesec.org/opportunities/1284485")</f>
        <v>https://expa.aiesec.org/opportunities/1284485</v>
      </c>
      <c r="L179" s="43" t="str">
        <f>IFERROR(__xludf.DUMMYFUNCTION("""COMPUTED_VALUE"""),"GV")</f>
        <v>GV</v>
      </c>
      <c r="M179" s="43" t="str">
        <f>IFERROR(__xludf.DUMMYFUNCTION("""COMPUTED_VALUE"""),"short")</f>
        <v>short</v>
      </c>
      <c r="N179" s="45">
        <f>IFERROR(__xludf.DUMMYFUNCTION("""COMPUTED_VALUE"""),44892.0)</f>
        <v>44892</v>
      </c>
      <c r="O179" s="45">
        <f>IFERROR(__xludf.DUMMYFUNCTION("""COMPUTED_VALUE"""),45122.0)</f>
        <v>45122</v>
      </c>
      <c r="P179" s="45">
        <f>IFERROR(__xludf.DUMMYFUNCTION("""COMPUTED_VALUE"""),45164.0)</f>
        <v>45164</v>
      </c>
      <c r="Q179" s="45"/>
      <c r="R179" s="45"/>
      <c r="S179" s="43"/>
      <c r="T179" s="43"/>
      <c r="U179" s="43" t="str">
        <f>IFERROR(__xludf.DUMMYFUNCTION("""COMPUTED_VALUE"""),"Global Classroom")</f>
        <v>Global Classroom</v>
      </c>
      <c r="V179" s="43" t="str">
        <f>IFERROR(__xludf.DUMMYFUNCTION("""COMPUTED_VALUE"""),"ADIYAMAN")</f>
        <v>ADIYAMAN</v>
      </c>
      <c r="W179" s="43" t="str">
        <f>IFERROR(__xludf.DUMMYFUNCTION("""COMPUTED_VALUE"""),"2020-09-28T17:35:49Z")</f>
        <v>2020-09-28T17:35:49Z</v>
      </c>
      <c r="X179" s="43"/>
      <c r="Y179" s="43"/>
      <c r="Z179" s="43"/>
    </row>
    <row r="180" hidden="1">
      <c r="A180" s="43" t="str">
        <f>IFERROR(__xludf.DUMMYFUNCTION("""COMPUTED_VALUE"""),"5157422_1290216")</f>
        <v>5157422_1290216</v>
      </c>
      <c r="B180" s="43" t="str">
        <f>IFERROR(__xludf.DUMMYFUNCTION("""COMPUTED_VALUE"""),"sude özkan")</f>
        <v>sude özkan</v>
      </c>
      <c r="C180" s="43" t="str">
        <f>IFERROR(__xludf.DUMMYFUNCTION("""COMPUTED_VALUE"""),"completed")</f>
        <v>completed</v>
      </c>
      <c r="D180" s="43" t="str">
        <f>IFERROR(__xludf.DUMMYFUNCTION("""COMPUTED_VALUE"""),"No")</f>
        <v>No</v>
      </c>
      <c r="E180" s="43" t="str">
        <f>IFERROR(__xludf.DUMMYFUNCTION("""COMPUTED_VALUE"""),"p_ad627e80f94ff57ea49fa0406032fbc0bc9c1130@inbound.aiesec.org")</f>
        <v>p_ad627e80f94ff57ea49fa0406032fbc0bc9c1130@inbound.aiesec.org</v>
      </c>
      <c r="F180" s="43">
        <f>IFERROR(__xludf.DUMMYFUNCTION("""COMPUTED_VALUE"""),5.558809634E9)</f>
        <v>5558809634</v>
      </c>
      <c r="G180" s="43" t="str">
        <f>IFERROR(__xludf.DUMMYFUNCTION("""COMPUTED_VALUE"""),"Turkey")</f>
        <v>Turkey</v>
      </c>
      <c r="H180" s="43" t="str">
        <f>IFERROR(__xludf.DUMMYFUNCTION("""COMPUTED_VALUE"""),"KOCAELI")</f>
        <v>KOCAELI</v>
      </c>
      <c r="I180" s="43" t="str">
        <f>IFERROR(__xludf.DUMMYFUNCTION("""COMPUTED_VALUE"""),"Romania")</f>
        <v>Romania</v>
      </c>
      <c r="J180" s="43" t="str">
        <f>IFERROR(__xludf.DUMMYFUNCTION("""COMPUTED_VALUE"""),"BUCURESTI")</f>
        <v>BUCURESTI</v>
      </c>
      <c r="K180" s="44" t="str">
        <f>IFERROR(__xludf.DUMMYFUNCTION("""COMPUTED_VALUE"""),"https://expa.aiesec.org/opportunities/1290216")</f>
        <v>https://expa.aiesec.org/opportunities/1290216</v>
      </c>
      <c r="L180" s="43" t="str">
        <f>IFERROR(__xludf.DUMMYFUNCTION("""COMPUTED_VALUE"""),"GV")</f>
        <v>GV</v>
      </c>
      <c r="M180" s="43" t="str">
        <f>IFERROR(__xludf.DUMMYFUNCTION("""COMPUTED_VALUE"""),"short")</f>
        <v>short</v>
      </c>
      <c r="N180" s="45">
        <f>IFERROR(__xludf.DUMMYFUNCTION("""COMPUTED_VALUE"""),44893.0)</f>
        <v>44893</v>
      </c>
      <c r="O180" s="45">
        <f>IFERROR(__xludf.DUMMYFUNCTION("""COMPUTED_VALUE"""),44949.0)</f>
        <v>44949</v>
      </c>
      <c r="P180" s="45">
        <f>IFERROR(__xludf.DUMMYFUNCTION("""COMPUTED_VALUE"""),44991.0)</f>
        <v>44991</v>
      </c>
      <c r="Q180" s="45">
        <f>IFERROR(__xludf.DUMMYFUNCTION("""COMPUTED_VALUE"""),44949.0)</f>
        <v>44949</v>
      </c>
      <c r="R180" s="45">
        <f>IFERROR(__xludf.DUMMYFUNCTION("""COMPUTED_VALUE"""),44991.0)</f>
        <v>44991</v>
      </c>
      <c r="S180" s="43"/>
      <c r="T180" s="43"/>
      <c r="U180" s="43" t="str">
        <f>IFERROR(__xludf.DUMMYFUNCTION("""COMPUTED_VALUE"""),"Fingerprint")</f>
        <v>Fingerprint</v>
      </c>
      <c r="V180" s="43" t="str">
        <f>IFERROR(__xludf.DUMMYFUNCTION("""COMPUTED_VALUE"""),"KOCAELI")</f>
        <v>KOCAELI</v>
      </c>
      <c r="W180" s="43" t="str">
        <f>IFERROR(__xludf.DUMMYFUNCTION("""COMPUTED_VALUE"""),"2022-11-22T19:10:55Z")</f>
        <v>2022-11-22T19:10:55Z</v>
      </c>
      <c r="X180" s="43"/>
      <c r="Y180" s="43"/>
      <c r="Z180" s="43"/>
    </row>
    <row r="181" hidden="1">
      <c r="A181" s="43" t="str">
        <f>IFERROR(__xludf.DUMMYFUNCTION("""COMPUTED_VALUE"""),"5156108_1288609")</f>
        <v>5156108_1288609</v>
      </c>
      <c r="B181" s="43" t="str">
        <f>IFERROR(__xludf.DUMMYFUNCTION("""COMPUTED_VALUE"""),"Melek Aydemir")</f>
        <v>Melek Aydemir</v>
      </c>
      <c r="C181" s="43" t="str">
        <f>IFERROR(__xludf.DUMMYFUNCTION("""COMPUTED_VALUE"""),"approved")</f>
        <v>approved</v>
      </c>
      <c r="D181" s="43" t="str">
        <f>IFERROR(__xludf.DUMMYFUNCTION("""COMPUTED_VALUE"""),"No")</f>
        <v>No</v>
      </c>
      <c r="E181" s="43" t="str">
        <f>IFERROR(__xludf.DUMMYFUNCTION("""COMPUTED_VALUE"""),"p_33daf0efce53274bf4a2c842c7309aed4bde8e98@inbound.aiesec.org")</f>
        <v>p_33daf0efce53274bf4a2c842c7309aed4bde8e98@inbound.aiesec.org</v>
      </c>
      <c r="F181" s="43">
        <f>IFERROR(__xludf.DUMMYFUNCTION("""COMPUTED_VALUE"""),5.398940376E9)</f>
        <v>5398940376</v>
      </c>
      <c r="G181" s="43" t="str">
        <f>IFERROR(__xludf.DUMMYFUNCTION("""COMPUTED_VALUE"""),"Turkey")</f>
        <v>Turkey</v>
      </c>
      <c r="H181" s="43" t="str">
        <f>IFERROR(__xludf.DUMMYFUNCTION("""COMPUTED_VALUE"""),"ISPARTA")</f>
        <v>ISPARTA</v>
      </c>
      <c r="I181" s="43" t="str">
        <f>IFERROR(__xludf.DUMMYFUNCTION("""COMPUTED_VALUE"""),"Egypt")</f>
        <v>Egypt</v>
      </c>
      <c r="J181" s="43" t="str">
        <f>IFERROR(__xludf.DUMMYFUNCTION("""COMPUTED_VALUE"""),"Tanta")</f>
        <v>Tanta</v>
      </c>
      <c r="K181" s="44" t="str">
        <f>IFERROR(__xludf.DUMMYFUNCTION("""COMPUTED_VALUE"""),"https://expa.aiesec.org/opportunities/1288609")</f>
        <v>https://expa.aiesec.org/opportunities/1288609</v>
      </c>
      <c r="L181" s="43" t="str">
        <f>IFERROR(__xludf.DUMMYFUNCTION("""COMPUTED_VALUE"""),"GV")</f>
        <v>GV</v>
      </c>
      <c r="M181" s="43" t="str">
        <f>IFERROR(__xludf.DUMMYFUNCTION("""COMPUTED_VALUE"""),"short")</f>
        <v>short</v>
      </c>
      <c r="N181" s="45">
        <f>IFERROR(__xludf.DUMMYFUNCTION("""COMPUTED_VALUE"""),44893.0)</f>
        <v>44893</v>
      </c>
      <c r="O181" s="45">
        <f>IFERROR(__xludf.DUMMYFUNCTION("""COMPUTED_VALUE"""),45108.0)</f>
        <v>45108</v>
      </c>
      <c r="P181" s="45">
        <f>IFERROR(__xludf.DUMMYFUNCTION("""COMPUTED_VALUE"""),45150.0)</f>
        <v>45150</v>
      </c>
      <c r="Q181" s="45"/>
      <c r="R181" s="45"/>
      <c r="S181" s="43"/>
      <c r="T181" s="43"/>
      <c r="U181" s="43" t="str">
        <f>IFERROR(__xludf.DUMMYFUNCTION("""COMPUTED_VALUE"""),"On The Map")</f>
        <v>On The Map</v>
      </c>
      <c r="V181" s="43" t="str">
        <f>IFERROR(__xludf.DUMMYFUNCTION("""COMPUTED_VALUE"""),"ISPARTA")</f>
        <v>ISPARTA</v>
      </c>
      <c r="W181" s="43" t="str">
        <f>IFERROR(__xludf.DUMMYFUNCTION("""COMPUTED_VALUE"""),"2022-11-20T12:15:11Z")</f>
        <v>2022-11-20T12:15:11Z</v>
      </c>
      <c r="X181" s="43"/>
      <c r="Y181" s="43"/>
      <c r="Z181" s="43"/>
    </row>
    <row r="182" hidden="1">
      <c r="A182" s="43" t="str">
        <f>IFERROR(__xludf.DUMMYFUNCTION("""COMPUTED_VALUE"""),"5155757_1288843")</f>
        <v>5155757_1288843</v>
      </c>
      <c r="B182" s="43" t="str">
        <f>IFERROR(__xludf.DUMMYFUNCTION("""COMPUTED_VALUE"""),"Hazim Ali")</f>
        <v>Hazim Ali</v>
      </c>
      <c r="C182" s="43" t="str">
        <f>IFERROR(__xludf.DUMMYFUNCTION("""COMPUTED_VALUE"""),"approved")</f>
        <v>approved</v>
      </c>
      <c r="D182" s="43" t="str">
        <f>IFERROR(__xludf.DUMMYFUNCTION("""COMPUTED_VALUE"""),"No")</f>
        <v>No</v>
      </c>
      <c r="E182" s="43" t="str">
        <f>IFERROR(__xludf.DUMMYFUNCTION("""COMPUTED_VALUE"""),"p_3a0ccb44b74b1e610b3218323cc45ca89cff1000@inbound.aiesec.org")</f>
        <v>p_3a0ccb44b74b1e610b3218323cc45ca89cff1000@inbound.aiesec.org</v>
      </c>
      <c r="F182" s="43"/>
      <c r="G182" s="43" t="str">
        <f>IFERROR(__xludf.DUMMYFUNCTION("""COMPUTED_VALUE"""),"Turkey")</f>
        <v>Turkey</v>
      </c>
      <c r="H182" s="43" t="str">
        <f>IFERROR(__xludf.DUMMYFUNCTION("""COMPUTED_VALUE"""),"EASTERN MEDITERRANEAN")</f>
        <v>EASTERN MEDITERRANEAN</v>
      </c>
      <c r="I182" s="43" t="str">
        <f>IFERROR(__xludf.DUMMYFUNCTION("""COMPUTED_VALUE"""),"Sri Lanka")</f>
        <v>Sri Lanka</v>
      </c>
      <c r="J182" s="43" t="str">
        <f>IFERROR(__xludf.DUMMYFUNCTION("""COMPUTED_VALUE"""),"COLOMBO NORTH")</f>
        <v>COLOMBO NORTH</v>
      </c>
      <c r="K182" s="44" t="str">
        <f>IFERROR(__xludf.DUMMYFUNCTION("""COMPUTED_VALUE"""),"https://expa.aiesec.org/opportunities/1288843")</f>
        <v>https://expa.aiesec.org/opportunities/1288843</v>
      </c>
      <c r="L182" s="43" t="str">
        <f>IFERROR(__xludf.DUMMYFUNCTION("""COMPUTED_VALUE"""),"GV")</f>
        <v>GV</v>
      </c>
      <c r="M182" s="43" t="str">
        <f>IFERROR(__xludf.DUMMYFUNCTION("""COMPUTED_VALUE"""),"short")</f>
        <v>short</v>
      </c>
      <c r="N182" s="45">
        <f>IFERROR(__xludf.DUMMYFUNCTION("""COMPUTED_VALUE"""),44893.0)</f>
        <v>44893</v>
      </c>
      <c r="O182" s="45">
        <f>IFERROR(__xludf.DUMMYFUNCTION("""COMPUTED_VALUE"""),45122.0)</f>
        <v>45122</v>
      </c>
      <c r="P182" s="45">
        <f>IFERROR(__xludf.DUMMYFUNCTION("""COMPUTED_VALUE"""),45164.0)</f>
        <v>45164</v>
      </c>
      <c r="Q182" s="45"/>
      <c r="R182" s="45"/>
      <c r="S182" s="43"/>
      <c r="T182" s="43"/>
      <c r="U182" s="43" t="str">
        <f>IFERROR(__xludf.DUMMYFUNCTION("""COMPUTED_VALUE"""),"Green Leaders")</f>
        <v>Green Leaders</v>
      </c>
      <c r="V182" s="43" t="str">
        <f>IFERROR(__xludf.DUMMYFUNCTION("""COMPUTED_VALUE"""),"NORTH CYPRUS")</f>
        <v>NORTH CYPRUS</v>
      </c>
      <c r="W182" s="43" t="str">
        <f>IFERROR(__xludf.DUMMYFUNCTION("""COMPUTED_VALUE"""),"2022-11-19T13:06:26Z")</f>
        <v>2022-11-19T13:06:26Z</v>
      </c>
      <c r="X182" s="43"/>
      <c r="Y182" s="43"/>
      <c r="Z182" s="43"/>
    </row>
    <row r="183" hidden="1">
      <c r="A183" s="43" t="str">
        <f>IFERROR(__xludf.DUMMYFUNCTION("""COMPUTED_VALUE"""),"4224262_1290159")</f>
        <v>4224262_1290159</v>
      </c>
      <c r="B183" s="43" t="str">
        <f>IFERROR(__xludf.DUMMYFUNCTION("""COMPUTED_VALUE"""),"Ali Ozan Kama")</f>
        <v>Ali Ozan Kama</v>
      </c>
      <c r="C183" s="43" t="str">
        <f>IFERROR(__xludf.DUMMYFUNCTION("""COMPUTED_VALUE"""),"completed")</f>
        <v>completed</v>
      </c>
      <c r="D183" s="43" t="str">
        <f>IFERROR(__xludf.DUMMYFUNCTION("""COMPUTED_VALUE"""),"No")</f>
        <v>No</v>
      </c>
      <c r="E183" s="43" t="str">
        <f>IFERROR(__xludf.DUMMYFUNCTION("""COMPUTED_VALUE"""),"p_2393641ceb32481e2457b434a4f3de4dfa54825f@inbound.aiesec.org")</f>
        <v>p_2393641ceb32481e2457b434a4f3de4dfa54825f@inbound.aiesec.org</v>
      </c>
      <c r="F183" s="43">
        <f>IFERROR(__xludf.DUMMYFUNCTION("""COMPUTED_VALUE"""),5.419730209E9)</f>
        <v>5419730209</v>
      </c>
      <c r="G183" s="43" t="str">
        <f>IFERROR(__xludf.DUMMYFUNCTION("""COMPUTED_VALUE"""),"Turkey")</f>
        <v>Turkey</v>
      </c>
      <c r="H183" s="43" t="str">
        <f>IFERROR(__xludf.DUMMYFUNCTION("""COMPUTED_VALUE"""),"ANTALYA")</f>
        <v>ANTALYA</v>
      </c>
      <c r="I183" s="43" t="str">
        <f>IFERROR(__xludf.DUMMYFUNCTION("""COMPUTED_VALUE"""),"Serbia")</f>
        <v>Serbia</v>
      </c>
      <c r="J183" s="43" t="str">
        <f>IFERROR(__xludf.DUMMYFUNCTION("""COMPUTED_VALUE"""),"Metropolitan")</f>
        <v>Metropolitan</v>
      </c>
      <c r="K183" s="44" t="str">
        <f>IFERROR(__xludf.DUMMYFUNCTION("""COMPUTED_VALUE"""),"https://expa.aiesec.org/opportunities/1290159")</f>
        <v>https://expa.aiesec.org/opportunities/1290159</v>
      </c>
      <c r="L183" s="43" t="str">
        <f>IFERROR(__xludf.DUMMYFUNCTION("""COMPUTED_VALUE"""),"GV")</f>
        <v>GV</v>
      </c>
      <c r="M183" s="43" t="str">
        <f>IFERROR(__xludf.DUMMYFUNCTION("""COMPUTED_VALUE"""),"short")</f>
        <v>short</v>
      </c>
      <c r="N183" s="45">
        <f>IFERROR(__xludf.DUMMYFUNCTION("""COMPUTED_VALUE"""),44893.0)</f>
        <v>44893</v>
      </c>
      <c r="O183" s="45">
        <f>IFERROR(__xludf.DUMMYFUNCTION("""COMPUTED_VALUE"""),44942.0)</f>
        <v>44942</v>
      </c>
      <c r="P183" s="45">
        <f>IFERROR(__xludf.DUMMYFUNCTION("""COMPUTED_VALUE"""),44984.0)</f>
        <v>44984</v>
      </c>
      <c r="Q183" s="45">
        <f>IFERROR(__xludf.DUMMYFUNCTION("""COMPUTED_VALUE"""),44943.0)</f>
        <v>44943</v>
      </c>
      <c r="R183" s="45">
        <f>IFERROR(__xludf.DUMMYFUNCTION("""COMPUTED_VALUE"""),44984.0)</f>
        <v>44984</v>
      </c>
      <c r="S183" s="43"/>
      <c r="T183" s="43"/>
      <c r="U183" s="43" t="str">
        <f>IFERROR(__xludf.DUMMYFUNCTION("""COMPUTED_VALUE"""),"Skill Up!")</f>
        <v>Skill Up!</v>
      </c>
      <c r="V183" s="43" t="str">
        <f>IFERROR(__xludf.DUMMYFUNCTION("""COMPUTED_VALUE"""),"ANTALYA")</f>
        <v>ANTALYA</v>
      </c>
      <c r="W183" s="43" t="str">
        <f>IFERROR(__xludf.DUMMYFUNCTION("""COMPUTED_VALUE"""),"2020-02-29T12:50:03Z")</f>
        <v>2020-02-29T12:50:03Z</v>
      </c>
      <c r="X183" s="43"/>
      <c r="Y183" s="43"/>
      <c r="Z183" s="43"/>
    </row>
    <row r="184" hidden="1">
      <c r="A184" s="43" t="str">
        <f>IFERROR(__xludf.DUMMYFUNCTION("""COMPUTED_VALUE"""),"2905715_1287722")</f>
        <v>2905715_1287722</v>
      </c>
      <c r="B184" s="43" t="str">
        <f>IFERROR(__xludf.DUMMYFUNCTION("""COMPUTED_VALUE"""),"yasemin soysal")</f>
        <v>yasemin soysal</v>
      </c>
      <c r="C184" s="43" t="str">
        <f>IFERROR(__xludf.DUMMYFUNCTION("""COMPUTED_VALUE"""),"completed")</f>
        <v>completed</v>
      </c>
      <c r="D184" s="43" t="str">
        <f>IFERROR(__xludf.DUMMYFUNCTION("""COMPUTED_VALUE"""),"No")</f>
        <v>No</v>
      </c>
      <c r="E184" s="43" t="str">
        <f>IFERROR(__xludf.DUMMYFUNCTION("""COMPUTED_VALUE"""),"p_8f411c13aae0995d0f0aa1a162df48a60bc26a7c@inbound.aiesec.org")</f>
        <v>p_8f411c13aae0995d0f0aa1a162df48a60bc26a7c@inbound.aiesec.org</v>
      </c>
      <c r="F184" s="43">
        <f>IFERROR(__xludf.DUMMYFUNCTION("""COMPUTED_VALUE"""),5.523540873E9)</f>
        <v>5523540873</v>
      </c>
      <c r="G184" s="43" t="str">
        <f>IFERROR(__xludf.DUMMYFUNCTION("""COMPUTED_VALUE"""),"Turkey")</f>
        <v>Turkey</v>
      </c>
      <c r="H184" s="43" t="str">
        <f>IFERROR(__xludf.DUMMYFUNCTION("""COMPUTED_VALUE"""),"ISTANBUL")</f>
        <v>ISTANBUL</v>
      </c>
      <c r="I184" s="43" t="str">
        <f>IFERROR(__xludf.DUMMYFUNCTION("""COMPUTED_VALUE"""),"Romania")</f>
        <v>Romania</v>
      </c>
      <c r="J184" s="43" t="str">
        <f>IFERROR(__xludf.DUMMYFUNCTION("""COMPUTED_VALUE"""),"BRASOV")</f>
        <v>BRASOV</v>
      </c>
      <c r="K184" s="44" t="str">
        <f>IFERROR(__xludf.DUMMYFUNCTION("""COMPUTED_VALUE"""),"https://expa.aiesec.org/opportunities/1287722")</f>
        <v>https://expa.aiesec.org/opportunities/1287722</v>
      </c>
      <c r="L184" s="43" t="str">
        <f>IFERROR(__xludf.DUMMYFUNCTION("""COMPUTED_VALUE"""),"GV")</f>
        <v>GV</v>
      </c>
      <c r="M184" s="43" t="str">
        <f>IFERROR(__xludf.DUMMYFUNCTION("""COMPUTED_VALUE"""),"short")</f>
        <v>short</v>
      </c>
      <c r="N184" s="45">
        <f>IFERROR(__xludf.DUMMYFUNCTION("""COMPUTED_VALUE"""),44893.0)</f>
        <v>44893</v>
      </c>
      <c r="O184" s="45">
        <f>IFERROR(__xludf.DUMMYFUNCTION("""COMPUTED_VALUE"""),44935.0)</f>
        <v>44935</v>
      </c>
      <c r="P184" s="45">
        <f>IFERROR(__xludf.DUMMYFUNCTION("""COMPUTED_VALUE"""),44977.0)</f>
        <v>44977</v>
      </c>
      <c r="Q184" s="45">
        <f>IFERROR(__xludf.DUMMYFUNCTION("""COMPUTED_VALUE"""),44936.0)</f>
        <v>44936</v>
      </c>
      <c r="R184" s="45">
        <f>IFERROR(__xludf.DUMMYFUNCTION("""COMPUTED_VALUE"""),44977.0)</f>
        <v>44977</v>
      </c>
      <c r="S184" s="43"/>
      <c r="T184" s="43"/>
      <c r="U184" s="43" t="str">
        <f>IFERROR(__xludf.DUMMYFUNCTION("""COMPUTED_VALUE"""),"Eat 4 Change")</f>
        <v>Eat 4 Change</v>
      </c>
      <c r="V184" s="43" t="str">
        <f>IFERROR(__xludf.DUMMYFUNCTION("""COMPUTED_VALUE"""),"ISTANBUL - BEYOGLU")</f>
        <v>ISTANBUL - BEYOGLU</v>
      </c>
      <c r="W184" s="43" t="str">
        <f>IFERROR(__xludf.DUMMYFUNCTION("""COMPUTED_VALUE"""),"2018-11-27T10:07:49Z")</f>
        <v>2018-11-27T10:07:49Z</v>
      </c>
      <c r="X184" s="43"/>
      <c r="Y184" s="43"/>
      <c r="Z184" s="43"/>
    </row>
    <row r="185" hidden="1">
      <c r="A185" s="43" t="str">
        <f>IFERROR(__xludf.DUMMYFUNCTION("""COMPUTED_VALUE"""),"5086316_1287894")</f>
        <v>5086316_1287894</v>
      </c>
      <c r="B185" s="43" t="str">
        <f>IFERROR(__xludf.DUMMYFUNCTION("""COMPUTED_VALUE"""),"Ozan Semih Doğan")</f>
        <v>Ozan Semih Doğan</v>
      </c>
      <c r="C185" s="43" t="str">
        <f>IFERROR(__xludf.DUMMYFUNCTION("""COMPUTED_VALUE"""),"approved")</f>
        <v>approved</v>
      </c>
      <c r="D185" s="43" t="str">
        <f>IFERROR(__xludf.DUMMYFUNCTION("""COMPUTED_VALUE"""),"No")</f>
        <v>No</v>
      </c>
      <c r="E185" s="43" t="str">
        <f>IFERROR(__xludf.DUMMYFUNCTION("""COMPUTED_VALUE"""),"p_3187dc630442836b978009af966624bdf41ae7bb@inbound.aiesec.org")</f>
        <v>p_3187dc630442836b978009af966624bdf41ae7bb@inbound.aiesec.org</v>
      </c>
      <c r="F185" s="43"/>
      <c r="G185" s="43" t="str">
        <f>IFERROR(__xludf.DUMMYFUNCTION("""COMPUTED_VALUE"""),"Turkey")</f>
        <v>Turkey</v>
      </c>
      <c r="H185" s="43" t="str">
        <f>IFERROR(__xludf.DUMMYFUNCTION("""COMPUTED_VALUE"""),"ISTANBUL")</f>
        <v>ISTANBUL</v>
      </c>
      <c r="I185" s="43" t="str">
        <f>IFERROR(__xludf.DUMMYFUNCTION("""COMPUTED_VALUE"""),"Spain")</f>
        <v>Spain</v>
      </c>
      <c r="J185" s="43" t="str">
        <f>IFERROR(__xludf.DUMMYFUNCTION("""COMPUTED_VALUE"""),"Pompeu Fabra Barcelona")</f>
        <v>Pompeu Fabra Barcelona</v>
      </c>
      <c r="K185" s="44" t="str">
        <f>IFERROR(__xludf.DUMMYFUNCTION("""COMPUTED_VALUE"""),"https://expa.aiesec.org/opportunities/1287894")</f>
        <v>https://expa.aiesec.org/opportunities/1287894</v>
      </c>
      <c r="L185" s="43" t="str">
        <f>IFERROR(__xludf.DUMMYFUNCTION("""COMPUTED_VALUE"""),"GV")</f>
        <v>GV</v>
      </c>
      <c r="M185" s="43" t="str">
        <f>IFERROR(__xludf.DUMMYFUNCTION("""COMPUTED_VALUE"""),"short")</f>
        <v>short</v>
      </c>
      <c r="N185" s="45">
        <f>IFERROR(__xludf.DUMMYFUNCTION("""COMPUTED_VALUE"""),44893.0)</f>
        <v>44893</v>
      </c>
      <c r="O185" s="45">
        <f>IFERROR(__xludf.DUMMYFUNCTION("""COMPUTED_VALUE"""),44963.0)</f>
        <v>44963</v>
      </c>
      <c r="P185" s="45">
        <f>IFERROR(__xludf.DUMMYFUNCTION("""COMPUTED_VALUE"""),45005.0)</f>
        <v>45005</v>
      </c>
      <c r="Q185" s="45"/>
      <c r="R185" s="45"/>
      <c r="S185" s="43"/>
      <c r="T185" s="43"/>
      <c r="U185" s="43" t="str">
        <f>IFERROR(__xludf.DUMMYFUNCTION("""COMPUTED_VALUE"""),"Youth 4 Impact")</f>
        <v>Youth 4 Impact</v>
      </c>
      <c r="V185" s="43" t="str">
        <f>IFERROR(__xludf.DUMMYFUNCTION("""COMPUTED_VALUE"""),"-")</f>
        <v>-</v>
      </c>
      <c r="W185" s="43" t="str">
        <f>IFERROR(__xludf.DUMMYFUNCTION("""COMPUTED_VALUE"""),"2022-07-27T10:05:03Z")</f>
        <v>2022-07-27T10:05:03Z</v>
      </c>
      <c r="X185" s="43"/>
      <c r="Y185" s="43"/>
      <c r="Z185" s="43"/>
    </row>
    <row r="186" hidden="1">
      <c r="A186" s="43" t="str">
        <f>IFERROR(__xludf.DUMMYFUNCTION("""COMPUTED_VALUE"""),"5160098_1288609")</f>
        <v>5160098_1288609</v>
      </c>
      <c r="B186" s="43" t="str">
        <f>IFERROR(__xludf.DUMMYFUNCTION("""COMPUTED_VALUE"""),"ALIREZA KASHANINIA")</f>
        <v>ALIREZA KASHANINIA</v>
      </c>
      <c r="C186" s="43" t="str">
        <f>IFERROR(__xludf.DUMMYFUNCTION("""COMPUTED_VALUE"""),"approved")</f>
        <v>approved</v>
      </c>
      <c r="D186" s="43" t="str">
        <f>IFERROR(__xludf.DUMMYFUNCTION("""COMPUTED_VALUE"""),"No")</f>
        <v>No</v>
      </c>
      <c r="E186" s="43" t="str">
        <f>IFERROR(__xludf.DUMMYFUNCTION("""COMPUTED_VALUE"""),"p_5eb9bcd65f96510f290e647afb05c8a50ac4a730@inbound.aiesec.org")</f>
        <v>p_5eb9bcd65f96510f290e647afb05c8a50ac4a730@inbound.aiesec.org</v>
      </c>
      <c r="F186" s="43"/>
      <c r="G186" s="43" t="str">
        <f>IFERROR(__xludf.DUMMYFUNCTION("""COMPUTED_VALUE"""),"Turkey")</f>
        <v>Turkey</v>
      </c>
      <c r="H186" s="43" t="str">
        <f>IFERROR(__xludf.DUMMYFUNCTION("""COMPUTED_VALUE"""),"ISTANBUL WEST")</f>
        <v>ISTANBUL WEST</v>
      </c>
      <c r="I186" s="43" t="str">
        <f>IFERROR(__xludf.DUMMYFUNCTION("""COMPUTED_VALUE"""),"Egypt")</f>
        <v>Egypt</v>
      </c>
      <c r="J186" s="43" t="str">
        <f>IFERROR(__xludf.DUMMYFUNCTION("""COMPUTED_VALUE"""),"Tanta")</f>
        <v>Tanta</v>
      </c>
      <c r="K186" s="44" t="str">
        <f>IFERROR(__xludf.DUMMYFUNCTION("""COMPUTED_VALUE"""),"https://expa.aiesec.org/opportunities/1288609")</f>
        <v>https://expa.aiesec.org/opportunities/1288609</v>
      </c>
      <c r="L186" s="43" t="str">
        <f>IFERROR(__xludf.DUMMYFUNCTION("""COMPUTED_VALUE"""),"GV")</f>
        <v>GV</v>
      </c>
      <c r="M186" s="43" t="str">
        <f>IFERROR(__xludf.DUMMYFUNCTION("""COMPUTED_VALUE"""),"short")</f>
        <v>short</v>
      </c>
      <c r="N186" s="45">
        <f>IFERROR(__xludf.DUMMYFUNCTION("""COMPUTED_VALUE"""),44894.0)</f>
        <v>44894</v>
      </c>
      <c r="O186" s="45">
        <f>IFERROR(__xludf.DUMMYFUNCTION("""COMPUTED_VALUE"""),45108.0)</f>
        <v>45108</v>
      </c>
      <c r="P186" s="45">
        <f>IFERROR(__xludf.DUMMYFUNCTION("""COMPUTED_VALUE"""),45150.0)</f>
        <v>45150</v>
      </c>
      <c r="Q186" s="45"/>
      <c r="R186" s="45"/>
      <c r="S186" s="43"/>
      <c r="T186" s="43"/>
      <c r="U186" s="43" t="str">
        <f>IFERROR(__xludf.DUMMYFUNCTION("""COMPUTED_VALUE"""),"On The Map")</f>
        <v>On The Map</v>
      </c>
      <c r="V186" s="43" t="str">
        <f>IFERROR(__xludf.DUMMYFUNCTION("""COMPUTED_VALUE"""),"ISTANBUL - BAKIRKOY")</f>
        <v>ISTANBUL - BAKIRKOY</v>
      </c>
      <c r="W186" s="43" t="str">
        <f>IFERROR(__xludf.DUMMYFUNCTION("""COMPUTED_VALUE"""),"2022-11-28T20:16:46Z")</f>
        <v>2022-11-28T20:16:46Z</v>
      </c>
      <c r="X186" s="43"/>
      <c r="Y186" s="43"/>
      <c r="Z186" s="43"/>
    </row>
    <row r="187" hidden="1">
      <c r="A187" s="43" t="str">
        <f>IFERROR(__xludf.DUMMYFUNCTION("""COMPUTED_VALUE"""),"5158763_1290024")</f>
        <v>5158763_1290024</v>
      </c>
      <c r="B187" s="43" t="str">
        <f>IFERROR(__xludf.DUMMYFUNCTION("""COMPUTED_VALUE"""),"Hümeyra Çetin")</f>
        <v>Hümeyra Çetin</v>
      </c>
      <c r="C187" s="43" t="str">
        <f>IFERROR(__xludf.DUMMYFUNCTION("""COMPUTED_VALUE"""),"approved")</f>
        <v>approved</v>
      </c>
      <c r="D187" s="43" t="str">
        <f>IFERROR(__xludf.DUMMYFUNCTION("""COMPUTED_VALUE"""),"No")</f>
        <v>No</v>
      </c>
      <c r="E187" s="43" t="str">
        <f>IFERROR(__xludf.DUMMYFUNCTION("""COMPUTED_VALUE"""),"p_9bfab27d0950a9b3e64734f80d771d50a872c35e@inbound.aiesec.org")</f>
        <v>p_9bfab27d0950a9b3e64734f80d771d50a872c35e@inbound.aiesec.org</v>
      </c>
      <c r="F187" s="43">
        <f>IFERROR(__xludf.DUMMYFUNCTION("""COMPUTED_VALUE"""),5.413931854E9)</f>
        <v>5413931854</v>
      </c>
      <c r="G187" s="43" t="str">
        <f>IFERROR(__xludf.DUMMYFUNCTION("""COMPUTED_VALUE"""),"Turkey")</f>
        <v>Turkey</v>
      </c>
      <c r="H187" s="43" t="str">
        <f>IFERROR(__xludf.DUMMYFUNCTION("""COMPUTED_VALUE"""),"İZMİR")</f>
        <v>İZMİR</v>
      </c>
      <c r="I187" s="43" t="str">
        <f>IFERROR(__xludf.DUMMYFUNCTION("""COMPUTED_VALUE"""),"Egypt")</f>
        <v>Egypt</v>
      </c>
      <c r="J187" s="43" t="str">
        <f>IFERROR(__xludf.DUMMYFUNCTION("""COMPUTED_VALUE"""),"Ain Shams University")</f>
        <v>Ain Shams University</v>
      </c>
      <c r="K187" s="44" t="str">
        <f>IFERROR(__xludf.DUMMYFUNCTION("""COMPUTED_VALUE"""),"https://expa.aiesec.org/opportunities/1290024")</f>
        <v>https://expa.aiesec.org/opportunities/1290024</v>
      </c>
      <c r="L187" s="43" t="str">
        <f>IFERROR(__xludf.DUMMYFUNCTION("""COMPUTED_VALUE"""),"GV")</f>
        <v>GV</v>
      </c>
      <c r="M187" s="43" t="str">
        <f>IFERROR(__xludf.DUMMYFUNCTION("""COMPUTED_VALUE"""),"short")</f>
        <v>short</v>
      </c>
      <c r="N187" s="45">
        <f>IFERROR(__xludf.DUMMYFUNCTION("""COMPUTED_VALUE"""),44894.0)</f>
        <v>44894</v>
      </c>
      <c r="O187" s="45">
        <f>IFERROR(__xludf.DUMMYFUNCTION("""COMPUTED_VALUE"""),45108.0)</f>
        <v>45108</v>
      </c>
      <c r="P187" s="45">
        <f>IFERROR(__xludf.DUMMYFUNCTION("""COMPUTED_VALUE"""),45150.0)</f>
        <v>45150</v>
      </c>
      <c r="Q187" s="45"/>
      <c r="R187" s="45"/>
      <c r="S187" s="43"/>
      <c r="T187" s="43"/>
      <c r="U187" s="43" t="str">
        <f>IFERROR(__xludf.DUMMYFUNCTION("""COMPUTED_VALUE"""),"On The Map")</f>
        <v>On The Map</v>
      </c>
      <c r="V187" s="43" t="str">
        <f>IFERROR(__xludf.DUMMYFUNCTION("""COMPUTED_VALUE"""),"IZMIR")</f>
        <v>IZMIR</v>
      </c>
      <c r="W187" s="43" t="str">
        <f>IFERROR(__xludf.DUMMYFUNCTION("""COMPUTED_VALUE"""),"2022-11-25T12:28:21Z")</f>
        <v>2022-11-25T12:28:21Z</v>
      </c>
      <c r="X187" s="43"/>
      <c r="Y187" s="43"/>
      <c r="Z187" s="43"/>
    </row>
    <row r="188" hidden="1">
      <c r="A188" s="43" t="str">
        <f>IFERROR(__xludf.DUMMYFUNCTION("""COMPUTED_VALUE"""),"5158764_1290024")</f>
        <v>5158764_1290024</v>
      </c>
      <c r="B188" s="43" t="str">
        <f>IFERROR(__xludf.DUMMYFUNCTION("""COMPUTED_VALUE"""),"Büşra Nur Özdemir")</f>
        <v>Büşra Nur Özdemir</v>
      </c>
      <c r="C188" s="43" t="str">
        <f>IFERROR(__xludf.DUMMYFUNCTION("""COMPUTED_VALUE"""),"approved")</f>
        <v>approved</v>
      </c>
      <c r="D188" s="43" t="str">
        <f>IFERROR(__xludf.DUMMYFUNCTION("""COMPUTED_VALUE"""),"No")</f>
        <v>No</v>
      </c>
      <c r="E188" s="43" t="str">
        <f>IFERROR(__xludf.DUMMYFUNCTION("""COMPUTED_VALUE"""),"p_387e91422a8a0fe3704b1587f5124abe4d78f975@inbound.aiesec.org")</f>
        <v>p_387e91422a8a0fe3704b1587f5124abe4d78f975@inbound.aiesec.org</v>
      </c>
      <c r="F188" s="43">
        <f>IFERROR(__xludf.DUMMYFUNCTION("""COMPUTED_VALUE"""),5.413834807E9)</f>
        <v>5413834807</v>
      </c>
      <c r="G188" s="43" t="str">
        <f>IFERROR(__xludf.DUMMYFUNCTION("""COMPUTED_VALUE"""),"Turkey")</f>
        <v>Turkey</v>
      </c>
      <c r="H188" s="43" t="str">
        <f>IFERROR(__xludf.DUMMYFUNCTION("""COMPUTED_VALUE"""),"İZMİR")</f>
        <v>İZMİR</v>
      </c>
      <c r="I188" s="43" t="str">
        <f>IFERROR(__xludf.DUMMYFUNCTION("""COMPUTED_VALUE"""),"Egypt")</f>
        <v>Egypt</v>
      </c>
      <c r="J188" s="43" t="str">
        <f>IFERROR(__xludf.DUMMYFUNCTION("""COMPUTED_VALUE"""),"Ain Shams University")</f>
        <v>Ain Shams University</v>
      </c>
      <c r="K188" s="44" t="str">
        <f>IFERROR(__xludf.DUMMYFUNCTION("""COMPUTED_VALUE"""),"https://expa.aiesec.org/opportunities/1290024")</f>
        <v>https://expa.aiesec.org/opportunities/1290024</v>
      </c>
      <c r="L188" s="43" t="str">
        <f>IFERROR(__xludf.DUMMYFUNCTION("""COMPUTED_VALUE"""),"GV")</f>
        <v>GV</v>
      </c>
      <c r="M188" s="43" t="str">
        <f>IFERROR(__xludf.DUMMYFUNCTION("""COMPUTED_VALUE"""),"short")</f>
        <v>short</v>
      </c>
      <c r="N188" s="45">
        <f>IFERROR(__xludf.DUMMYFUNCTION("""COMPUTED_VALUE"""),44894.0)</f>
        <v>44894</v>
      </c>
      <c r="O188" s="45">
        <f>IFERROR(__xludf.DUMMYFUNCTION("""COMPUTED_VALUE"""),45108.0)</f>
        <v>45108</v>
      </c>
      <c r="P188" s="45">
        <f>IFERROR(__xludf.DUMMYFUNCTION("""COMPUTED_VALUE"""),45150.0)</f>
        <v>45150</v>
      </c>
      <c r="Q188" s="45"/>
      <c r="R188" s="45"/>
      <c r="S188" s="43"/>
      <c r="T188" s="43"/>
      <c r="U188" s="43" t="str">
        <f>IFERROR(__xludf.DUMMYFUNCTION("""COMPUTED_VALUE"""),"On The Map")</f>
        <v>On The Map</v>
      </c>
      <c r="V188" s="43" t="str">
        <f>IFERROR(__xludf.DUMMYFUNCTION("""COMPUTED_VALUE"""),"IZMIR")</f>
        <v>IZMIR</v>
      </c>
      <c r="W188" s="43" t="str">
        <f>IFERROR(__xludf.DUMMYFUNCTION("""COMPUTED_VALUE"""),"2022-11-25T12:28:21Z")</f>
        <v>2022-11-25T12:28:21Z</v>
      </c>
      <c r="X188" s="43"/>
      <c r="Y188" s="43"/>
      <c r="Z188" s="43"/>
    </row>
    <row r="189" hidden="1">
      <c r="A189" s="43" t="str">
        <f>IFERROR(__xludf.DUMMYFUNCTION("""COMPUTED_VALUE"""),"4470560_1285413")</f>
        <v>4470560_1285413</v>
      </c>
      <c r="B189" s="43" t="str">
        <f>IFERROR(__xludf.DUMMYFUNCTION("""COMPUTED_VALUE"""),"Zeynep Demir")</f>
        <v>Zeynep Demir</v>
      </c>
      <c r="C189" s="43" t="str">
        <f>IFERROR(__xludf.DUMMYFUNCTION("""COMPUTED_VALUE"""),"completed")</f>
        <v>completed</v>
      </c>
      <c r="D189" s="43" t="str">
        <f>IFERROR(__xludf.DUMMYFUNCTION("""COMPUTED_VALUE"""),"No")</f>
        <v>No</v>
      </c>
      <c r="E189" s="43" t="str">
        <f>IFERROR(__xludf.DUMMYFUNCTION("""COMPUTED_VALUE"""),"p_cfc0ea4899267f025df3e3411c92978eb8acfc4c@inbound.aiesec.org")</f>
        <v>p_cfc0ea4899267f025df3e3411c92978eb8acfc4c@inbound.aiesec.org</v>
      </c>
      <c r="F189" s="43">
        <f>IFERROR(__xludf.DUMMYFUNCTION("""COMPUTED_VALUE"""),5.322358398E9)</f>
        <v>5322358398</v>
      </c>
      <c r="G189" s="43" t="str">
        <f>IFERROR(__xludf.DUMMYFUNCTION("""COMPUTED_VALUE"""),"Turkey")</f>
        <v>Turkey</v>
      </c>
      <c r="H189" s="43" t="str">
        <f>IFERROR(__xludf.DUMMYFUNCTION("""COMPUTED_VALUE"""),"ADANA")</f>
        <v>ADANA</v>
      </c>
      <c r="I189" s="43" t="str">
        <f>IFERROR(__xludf.DUMMYFUNCTION("""COMPUTED_VALUE"""),"Greece")</f>
        <v>Greece</v>
      </c>
      <c r="J189" s="43" t="str">
        <f>IFERROR(__xludf.DUMMYFUNCTION("""COMPUTED_VALUE"""),"UoM THESSALONIKI")</f>
        <v>UoM THESSALONIKI</v>
      </c>
      <c r="K189" s="44" t="str">
        <f>IFERROR(__xludf.DUMMYFUNCTION("""COMPUTED_VALUE"""),"https://expa.aiesec.org/opportunities/1285413")</f>
        <v>https://expa.aiesec.org/opportunities/1285413</v>
      </c>
      <c r="L189" s="43" t="str">
        <f>IFERROR(__xludf.DUMMYFUNCTION("""COMPUTED_VALUE"""),"GV")</f>
        <v>GV</v>
      </c>
      <c r="M189" s="43" t="str">
        <f>IFERROR(__xludf.DUMMYFUNCTION("""COMPUTED_VALUE"""),"short")</f>
        <v>short</v>
      </c>
      <c r="N189" s="45">
        <f>IFERROR(__xludf.DUMMYFUNCTION("""COMPUTED_VALUE"""),44894.0)</f>
        <v>44894</v>
      </c>
      <c r="O189" s="45">
        <f>IFERROR(__xludf.DUMMYFUNCTION("""COMPUTED_VALUE"""),44986.0)</f>
        <v>44986</v>
      </c>
      <c r="P189" s="45">
        <f>IFERROR(__xludf.DUMMYFUNCTION("""COMPUTED_VALUE"""),45028.0)</f>
        <v>45028</v>
      </c>
      <c r="Q189" s="45">
        <f>IFERROR(__xludf.DUMMYFUNCTION("""COMPUTED_VALUE"""),44987.0)</f>
        <v>44987</v>
      </c>
      <c r="R189" s="45">
        <f>IFERROR(__xludf.DUMMYFUNCTION("""COMPUTED_VALUE"""),45028.0)</f>
        <v>45028</v>
      </c>
      <c r="S189" s="43"/>
      <c r="T189" s="43"/>
      <c r="U189" s="43" t="str">
        <f>IFERROR(__xludf.DUMMYFUNCTION("""COMPUTED_VALUE"""),"Rooted")</f>
        <v>Rooted</v>
      </c>
      <c r="V189" s="43" t="str">
        <f>IFERROR(__xludf.DUMMYFUNCTION("""COMPUTED_VALUE"""),"ADANA")</f>
        <v>ADANA</v>
      </c>
      <c r="W189" s="43" t="str">
        <f>IFERROR(__xludf.DUMMYFUNCTION("""COMPUTED_VALUE"""),"2020-12-07T15:29:32Z")</f>
        <v>2020-12-07T15:29:32Z</v>
      </c>
      <c r="X189" s="43"/>
      <c r="Y189" s="43"/>
      <c r="Z189" s="43"/>
    </row>
    <row r="190" hidden="1">
      <c r="A190" s="43" t="str">
        <f>IFERROR(__xludf.DUMMYFUNCTION("""COMPUTED_VALUE"""),"5161146_1290352")</f>
        <v>5161146_1290352</v>
      </c>
      <c r="B190" s="43" t="str">
        <f>IFERROR(__xludf.DUMMYFUNCTION("""COMPUTED_VALUE"""),"Şıvga Sıla Çalışkan")</f>
        <v>Şıvga Sıla Çalışkan</v>
      </c>
      <c r="C190" s="43" t="str">
        <f>IFERROR(__xludf.DUMMYFUNCTION("""COMPUTED_VALUE"""),"completed")</f>
        <v>completed</v>
      </c>
      <c r="D190" s="43" t="str">
        <f>IFERROR(__xludf.DUMMYFUNCTION("""COMPUTED_VALUE"""),"No")</f>
        <v>No</v>
      </c>
      <c r="E190" s="43" t="str">
        <f>IFERROR(__xludf.DUMMYFUNCTION("""COMPUTED_VALUE"""),"p_4e47b43947a78d7d42f68402a7d5eaef4e14ebf8@inbound.aiesec.org")</f>
        <v>p_4e47b43947a78d7d42f68402a7d5eaef4e14ebf8@inbound.aiesec.org</v>
      </c>
      <c r="F190" s="43">
        <f>IFERROR(__xludf.DUMMYFUNCTION("""COMPUTED_VALUE"""),5.467376905E9)</f>
        <v>5467376905</v>
      </c>
      <c r="G190" s="43" t="str">
        <f>IFERROR(__xludf.DUMMYFUNCTION("""COMPUTED_VALUE"""),"Turkey")</f>
        <v>Turkey</v>
      </c>
      <c r="H190" s="43" t="str">
        <f>IFERROR(__xludf.DUMMYFUNCTION("""COMPUTED_VALUE"""),"ISTANBUL WEST")</f>
        <v>ISTANBUL WEST</v>
      </c>
      <c r="I190" s="43" t="str">
        <f>IFERROR(__xludf.DUMMYFUNCTION("""COMPUTED_VALUE"""),"Egypt")</f>
        <v>Egypt</v>
      </c>
      <c r="J190" s="43" t="str">
        <f>IFERROR(__xludf.DUMMYFUNCTION("""COMPUTED_VALUE"""),"Mansoura")</f>
        <v>Mansoura</v>
      </c>
      <c r="K190" s="44" t="str">
        <f>IFERROR(__xludf.DUMMYFUNCTION("""COMPUTED_VALUE"""),"https://expa.aiesec.org/opportunities/1290352")</f>
        <v>https://expa.aiesec.org/opportunities/1290352</v>
      </c>
      <c r="L190" s="43" t="str">
        <f>IFERROR(__xludf.DUMMYFUNCTION("""COMPUTED_VALUE"""),"GV")</f>
        <v>GV</v>
      </c>
      <c r="M190" s="43" t="str">
        <f>IFERROR(__xludf.DUMMYFUNCTION("""COMPUTED_VALUE"""),"short")</f>
        <v>short</v>
      </c>
      <c r="N190" s="45">
        <f>IFERROR(__xludf.DUMMYFUNCTION("""COMPUTED_VALUE"""),44895.0)</f>
        <v>44895</v>
      </c>
      <c r="O190" s="45">
        <f>IFERROR(__xludf.DUMMYFUNCTION("""COMPUTED_VALUE"""),45108.0)</f>
        <v>45108</v>
      </c>
      <c r="P190" s="45">
        <f>IFERROR(__xludf.DUMMYFUNCTION("""COMPUTED_VALUE"""),45150.0)</f>
        <v>45150</v>
      </c>
      <c r="Q190" s="45">
        <f>IFERROR(__xludf.DUMMYFUNCTION("""COMPUTED_VALUE"""),45118.0)</f>
        <v>45118</v>
      </c>
      <c r="R190" s="45">
        <f>IFERROR(__xludf.DUMMYFUNCTION("""COMPUTED_VALUE"""),45160.0)</f>
        <v>45160</v>
      </c>
      <c r="S190" s="43"/>
      <c r="T190" s="43"/>
      <c r="U190" s="43" t="str">
        <f>IFERROR(__xludf.DUMMYFUNCTION("""COMPUTED_VALUE"""),"Heartbeat")</f>
        <v>Heartbeat</v>
      </c>
      <c r="V190" s="43" t="str">
        <f>IFERROR(__xludf.DUMMYFUNCTION("""COMPUTED_VALUE"""),"ISTANBUL - BAKIRKOY")</f>
        <v>ISTANBUL - BAKIRKOY</v>
      </c>
      <c r="W190" s="43" t="str">
        <f>IFERROR(__xludf.DUMMYFUNCTION("""COMPUTED_VALUE"""),"2022-11-30T20:28:06Z")</f>
        <v>2022-11-30T20:28:06Z</v>
      </c>
      <c r="X190" s="43"/>
      <c r="Y190" s="43"/>
      <c r="Z190" s="43"/>
    </row>
    <row r="191" hidden="1">
      <c r="A191" s="43" t="str">
        <f>IFERROR(__xludf.DUMMYFUNCTION("""COMPUTED_VALUE"""),"5158427_1290374")</f>
        <v>5158427_1290374</v>
      </c>
      <c r="B191" s="43" t="str">
        <f>IFERROR(__xludf.DUMMYFUNCTION("""COMPUTED_VALUE"""),"Ali Can Kocadokur")</f>
        <v>Ali Can Kocadokur</v>
      </c>
      <c r="C191" s="43" t="str">
        <f>IFERROR(__xludf.DUMMYFUNCTION("""COMPUTED_VALUE"""),"completed")</f>
        <v>completed</v>
      </c>
      <c r="D191" s="43" t="str">
        <f>IFERROR(__xludf.DUMMYFUNCTION("""COMPUTED_VALUE"""),"No")</f>
        <v>No</v>
      </c>
      <c r="E191" s="43" t="str">
        <f>IFERROR(__xludf.DUMMYFUNCTION("""COMPUTED_VALUE"""),"p_56bffa51f54398f25840bbcc77444e6839968803@inbound.aiesec.org")</f>
        <v>p_56bffa51f54398f25840bbcc77444e6839968803@inbound.aiesec.org</v>
      </c>
      <c r="F191" s="43">
        <f>IFERROR(__xludf.DUMMYFUNCTION("""COMPUTED_VALUE"""),5.535759159E9)</f>
        <v>5535759159</v>
      </c>
      <c r="G191" s="43" t="str">
        <f>IFERROR(__xludf.DUMMYFUNCTION("""COMPUTED_VALUE"""),"Turkey")</f>
        <v>Turkey</v>
      </c>
      <c r="H191" s="43" t="str">
        <f>IFERROR(__xludf.DUMMYFUNCTION("""COMPUTED_VALUE"""),"KOCAELI")</f>
        <v>KOCAELI</v>
      </c>
      <c r="I191" s="43" t="str">
        <f>IFERROR(__xludf.DUMMYFUNCTION("""COMPUTED_VALUE"""),"Romania")</f>
        <v>Romania</v>
      </c>
      <c r="J191" s="43" t="str">
        <f>IFERROR(__xludf.DUMMYFUNCTION("""COMPUTED_VALUE"""),"BUCURESTI")</f>
        <v>BUCURESTI</v>
      </c>
      <c r="K191" s="44" t="str">
        <f>IFERROR(__xludf.DUMMYFUNCTION("""COMPUTED_VALUE"""),"https://expa.aiesec.org/opportunities/1290374")</f>
        <v>https://expa.aiesec.org/opportunities/1290374</v>
      </c>
      <c r="L191" s="43" t="str">
        <f>IFERROR(__xludf.DUMMYFUNCTION("""COMPUTED_VALUE"""),"GV")</f>
        <v>GV</v>
      </c>
      <c r="M191" s="43" t="str">
        <f>IFERROR(__xludf.DUMMYFUNCTION("""COMPUTED_VALUE"""),"short")</f>
        <v>short</v>
      </c>
      <c r="N191" s="45">
        <f>IFERROR(__xludf.DUMMYFUNCTION("""COMPUTED_VALUE"""),44895.0)</f>
        <v>44895</v>
      </c>
      <c r="O191" s="45">
        <f>IFERROR(__xludf.DUMMYFUNCTION("""COMPUTED_VALUE"""),44949.0)</f>
        <v>44949</v>
      </c>
      <c r="P191" s="45">
        <f>IFERROR(__xludf.DUMMYFUNCTION("""COMPUTED_VALUE"""),44991.0)</f>
        <v>44991</v>
      </c>
      <c r="Q191" s="45">
        <f>IFERROR(__xludf.DUMMYFUNCTION("""COMPUTED_VALUE"""),44949.0)</f>
        <v>44949</v>
      </c>
      <c r="R191" s="45">
        <f>IFERROR(__xludf.DUMMYFUNCTION("""COMPUTED_VALUE"""),44991.0)</f>
        <v>44991</v>
      </c>
      <c r="S191" s="43"/>
      <c r="T191" s="43"/>
      <c r="U191" s="43" t="str">
        <f>IFERROR(__xludf.DUMMYFUNCTION("""COMPUTED_VALUE"""),"Global Classroom")</f>
        <v>Global Classroom</v>
      </c>
      <c r="V191" s="43" t="str">
        <f>IFERROR(__xludf.DUMMYFUNCTION("""COMPUTED_VALUE"""),"KOCAELI")</f>
        <v>KOCAELI</v>
      </c>
      <c r="W191" s="43" t="str">
        <f>IFERROR(__xludf.DUMMYFUNCTION("""COMPUTED_VALUE"""),"2022-11-24T16:47:42Z")</f>
        <v>2022-11-24T16:47:42Z</v>
      </c>
      <c r="X191" s="43"/>
      <c r="Y191" s="43"/>
      <c r="Z191" s="43"/>
    </row>
    <row r="192" hidden="1">
      <c r="A192" s="43" t="str">
        <f>IFERROR(__xludf.DUMMYFUNCTION("""COMPUTED_VALUE"""),"5160826_1288609")</f>
        <v>5160826_1288609</v>
      </c>
      <c r="B192" s="43" t="str">
        <f>IFERROR(__xludf.DUMMYFUNCTION("""COMPUTED_VALUE"""),"Fatima Şeyh")</f>
        <v>Fatima Şeyh</v>
      </c>
      <c r="C192" s="43" t="str">
        <f>IFERROR(__xludf.DUMMYFUNCTION("""COMPUTED_VALUE"""),"approved")</f>
        <v>approved</v>
      </c>
      <c r="D192" s="43" t="str">
        <f>IFERROR(__xludf.DUMMYFUNCTION("""COMPUTED_VALUE"""),"No")</f>
        <v>No</v>
      </c>
      <c r="E192" s="43" t="str">
        <f>IFERROR(__xludf.DUMMYFUNCTION("""COMPUTED_VALUE"""),"p_5b6eb54a0557953aab4e9b032ce88145be0b185d@inbound.aiesec.org")</f>
        <v>p_5b6eb54a0557953aab4e9b032ce88145be0b185d@inbound.aiesec.org</v>
      </c>
      <c r="F192" s="43"/>
      <c r="G192" s="43" t="str">
        <f>IFERROR(__xludf.DUMMYFUNCTION("""COMPUTED_VALUE"""),"Turkey")</f>
        <v>Turkey</v>
      </c>
      <c r="H192" s="43" t="str">
        <f>IFERROR(__xludf.DUMMYFUNCTION("""COMPUTED_VALUE"""),"ISTANBUL WEST")</f>
        <v>ISTANBUL WEST</v>
      </c>
      <c r="I192" s="43" t="str">
        <f>IFERROR(__xludf.DUMMYFUNCTION("""COMPUTED_VALUE"""),"Egypt")</f>
        <v>Egypt</v>
      </c>
      <c r="J192" s="43" t="str">
        <f>IFERROR(__xludf.DUMMYFUNCTION("""COMPUTED_VALUE"""),"Tanta")</f>
        <v>Tanta</v>
      </c>
      <c r="K192" s="44" t="str">
        <f>IFERROR(__xludf.DUMMYFUNCTION("""COMPUTED_VALUE"""),"https://expa.aiesec.org/opportunities/1288609")</f>
        <v>https://expa.aiesec.org/opportunities/1288609</v>
      </c>
      <c r="L192" s="43" t="str">
        <f>IFERROR(__xludf.DUMMYFUNCTION("""COMPUTED_VALUE"""),"GV")</f>
        <v>GV</v>
      </c>
      <c r="M192" s="43" t="str">
        <f>IFERROR(__xludf.DUMMYFUNCTION("""COMPUTED_VALUE"""),"short")</f>
        <v>short</v>
      </c>
      <c r="N192" s="45">
        <f>IFERROR(__xludf.DUMMYFUNCTION("""COMPUTED_VALUE"""),44895.0)</f>
        <v>44895</v>
      </c>
      <c r="O192" s="45">
        <f>IFERROR(__xludf.DUMMYFUNCTION("""COMPUTED_VALUE"""),45108.0)</f>
        <v>45108</v>
      </c>
      <c r="P192" s="45">
        <f>IFERROR(__xludf.DUMMYFUNCTION("""COMPUTED_VALUE"""),45150.0)</f>
        <v>45150</v>
      </c>
      <c r="Q192" s="45"/>
      <c r="R192" s="45"/>
      <c r="S192" s="43"/>
      <c r="T192" s="43"/>
      <c r="U192" s="43" t="str">
        <f>IFERROR(__xludf.DUMMYFUNCTION("""COMPUTED_VALUE"""),"On The Map")</f>
        <v>On The Map</v>
      </c>
      <c r="V192" s="43" t="str">
        <f>IFERROR(__xludf.DUMMYFUNCTION("""COMPUTED_VALUE"""),"ISTANBUL - BAKIRKOY")</f>
        <v>ISTANBUL - BAKIRKOY</v>
      </c>
      <c r="W192" s="43" t="str">
        <f>IFERROR(__xludf.DUMMYFUNCTION("""COMPUTED_VALUE"""),"2022-11-30T09:18:26Z")</f>
        <v>2022-11-30T09:18:26Z</v>
      </c>
      <c r="X192" s="43"/>
      <c r="Y192" s="43"/>
      <c r="Z192" s="43"/>
    </row>
    <row r="193" hidden="1">
      <c r="A193" s="43" t="str">
        <f>IFERROR(__xludf.DUMMYFUNCTION("""COMPUTED_VALUE"""),"5160558_1290036")</f>
        <v>5160558_1290036</v>
      </c>
      <c r="B193" s="43" t="str">
        <f>IFERROR(__xludf.DUMMYFUNCTION("""COMPUTED_VALUE"""),"Emine Aydın")</f>
        <v>Emine Aydın</v>
      </c>
      <c r="C193" s="43" t="str">
        <f>IFERROR(__xludf.DUMMYFUNCTION("""COMPUTED_VALUE"""),"completed")</f>
        <v>completed</v>
      </c>
      <c r="D193" s="43" t="str">
        <f>IFERROR(__xludf.DUMMYFUNCTION("""COMPUTED_VALUE"""),"No")</f>
        <v>No</v>
      </c>
      <c r="E193" s="43" t="str">
        <f>IFERROR(__xludf.DUMMYFUNCTION("""COMPUTED_VALUE"""),"p_48968b3fd1fb529cf45dc78d10a97c2e39e5a349@inbound.aiesec.org")</f>
        <v>p_48968b3fd1fb529cf45dc78d10a97c2e39e5a349@inbound.aiesec.org</v>
      </c>
      <c r="F193" s="43">
        <f>IFERROR(__xludf.DUMMYFUNCTION("""COMPUTED_VALUE"""),5.070528911E9)</f>
        <v>5070528911</v>
      </c>
      <c r="G193" s="43" t="str">
        <f>IFERROR(__xludf.DUMMYFUNCTION("""COMPUTED_VALUE"""),"Turkey")</f>
        <v>Turkey</v>
      </c>
      <c r="H193" s="43" t="str">
        <f>IFERROR(__xludf.DUMMYFUNCTION("""COMPUTED_VALUE"""),"ISPARTA")</f>
        <v>ISPARTA</v>
      </c>
      <c r="I193" s="43" t="str">
        <f>IFERROR(__xludf.DUMMYFUNCTION("""COMPUTED_VALUE"""),"Romania")</f>
        <v>Romania</v>
      </c>
      <c r="J193" s="43" t="str">
        <f>IFERROR(__xludf.DUMMYFUNCTION("""COMPUTED_VALUE"""),"BUCURESTI")</f>
        <v>BUCURESTI</v>
      </c>
      <c r="K193" s="44" t="str">
        <f>IFERROR(__xludf.DUMMYFUNCTION("""COMPUTED_VALUE"""),"https://expa.aiesec.org/opportunities/1290036")</f>
        <v>https://expa.aiesec.org/opportunities/1290036</v>
      </c>
      <c r="L193" s="43" t="str">
        <f>IFERROR(__xludf.DUMMYFUNCTION("""COMPUTED_VALUE"""),"GV")</f>
        <v>GV</v>
      </c>
      <c r="M193" s="43" t="str">
        <f>IFERROR(__xludf.DUMMYFUNCTION("""COMPUTED_VALUE"""),"short")</f>
        <v>short</v>
      </c>
      <c r="N193" s="45">
        <f>IFERROR(__xludf.DUMMYFUNCTION("""COMPUTED_VALUE"""),44895.0)</f>
        <v>44895</v>
      </c>
      <c r="O193" s="45">
        <f>IFERROR(__xludf.DUMMYFUNCTION("""COMPUTED_VALUE"""),44935.0)</f>
        <v>44935</v>
      </c>
      <c r="P193" s="45">
        <f>IFERROR(__xludf.DUMMYFUNCTION("""COMPUTED_VALUE"""),44977.0)</f>
        <v>44977</v>
      </c>
      <c r="Q193" s="45">
        <f>IFERROR(__xludf.DUMMYFUNCTION("""COMPUTED_VALUE"""),44937.0)</f>
        <v>44937</v>
      </c>
      <c r="R193" s="45">
        <f>IFERROR(__xludf.DUMMYFUNCTION("""COMPUTED_VALUE"""),44977.0)</f>
        <v>44977</v>
      </c>
      <c r="S193" s="43"/>
      <c r="T193" s="43"/>
      <c r="U193" s="43" t="str">
        <f>IFERROR(__xludf.DUMMYFUNCTION("""COMPUTED_VALUE"""),"Youth 4 Impact")</f>
        <v>Youth 4 Impact</v>
      </c>
      <c r="V193" s="43" t="str">
        <f>IFERROR(__xludf.DUMMYFUNCTION("""COMPUTED_VALUE"""),"ISPARTA")</f>
        <v>ISPARTA</v>
      </c>
      <c r="W193" s="43" t="str">
        <f>IFERROR(__xludf.DUMMYFUNCTION("""COMPUTED_VALUE"""),"2022-11-29T17:36:59Z")</f>
        <v>2022-11-29T17:36:59Z</v>
      </c>
      <c r="X193" s="43"/>
      <c r="Y193" s="43"/>
      <c r="Z193" s="43"/>
    </row>
    <row r="194" hidden="1">
      <c r="A194" s="43" t="str">
        <f>IFERROR(__xludf.DUMMYFUNCTION("""COMPUTED_VALUE"""),"5153186_1287477")</f>
        <v>5153186_1287477</v>
      </c>
      <c r="B194" s="43" t="str">
        <f>IFERROR(__xludf.DUMMYFUNCTION("""COMPUTED_VALUE"""),"Melike İşbilen")</f>
        <v>Melike İşbilen</v>
      </c>
      <c r="C194" s="43" t="str">
        <f>IFERROR(__xludf.DUMMYFUNCTION("""COMPUTED_VALUE"""),"approved")</f>
        <v>approved</v>
      </c>
      <c r="D194" s="43" t="str">
        <f>IFERROR(__xludf.DUMMYFUNCTION("""COMPUTED_VALUE"""),"No")</f>
        <v>No</v>
      </c>
      <c r="E194" s="43" t="str">
        <f>IFERROR(__xludf.DUMMYFUNCTION("""COMPUTED_VALUE"""),"p_83a8dcf19d73db42653a516b58687ee84019bfd9@inbound.aiesec.org")</f>
        <v>p_83a8dcf19d73db42653a516b58687ee84019bfd9@inbound.aiesec.org</v>
      </c>
      <c r="F194" s="43">
        <f>IFERROR(__xludf.DUMMYFUNCTION("""COMPUTED_VALUE"""),5.469765042E9)</f>
        <v>5469765042</v>
      </c>
      <c r="G194" s="43" t="str">
        <f>IFERROR(__xludf.DUMMYFUNCTION("""COMPUTED_VALUE"""),"Turkey")</f>
        <v>Turkey</v>
      </c>
      <c r="H194" s="43" t="str">
        <f>IFERROR(__xludf.DUMMYFUNCTION("""COMPUTED_VALUE"""),"KOCAELI")</f>
        <v>KOCAELI</v>
      </c>
      <c r="I194" s="43" t="str">
        <f>IFERROR(__xludf.DUMMYFUNCTION("""COMPUTED_VALUE"""),"India")</f>
        <v>India</v>
      </c>
      <c r="J194" s="43" t="str">
        <f>IFERROR(__xludf.DUMMYFUNCTION("""COMPUTED_VALUE"""),"JAIPUR ")</f>
        <v>JAIPUR </v>
      </c>
      <c r="K194" s="44" t="str">
        <f>IFERROR(__xludf.DUMMYFUNCTION("""COMPUTED_VALUE"""),"https://expa.aiesec.org/opportunities/1287477")</f>
        <v>https://expa.aiesec.org/opportunities/1287477</v>
      </c>
      <c r="L194" s="43" t="str">
        <f>IFERROR(__xludf.DUMMYFUNCTION("""COMPUTED_VALUE"""),"GV")</f>
        <v>GV</v>
      </c>
      <c r="M194" s="43" t="str">
        <f>IFERROR(__xludf.DUMMYFUNCTION("""COMPUTED_VALUE"""),"short")</f>
        <v>short</v>
      </c>
      <c r="N194" s="45">
        <f>IFERROR(__xludf.DUMMYFUNCTION("""COMPUTED_VALUE"""),44895.0)</f>
        <v>44895</v>
      </c>
      <c r="O194" s="45">
        <f>IFERROR(__xludf.DUMMYFUNCTION("""COMPUTED_VALUE"""),45115.0)</f>
        <v>45115</v>
      </c>
      <c r="P194" s="45">
        <f>IFERROR(__xludf.DUMMYFUNCTION("""COMPUTED_VALUE"""),45157.0)</f>
        <v>45157</v>
      </c>
      <c r="Q194" s="45"/>
      <c r="R194" s="45"/>
      <c r="S194" s="43"/>
      <c r="T194" s="43"/>
      <c r="U194" s="43" t="str">
        <f>IFERROR(__xludf.DUMMYFUNCTION("""COMPUTED_VALUE"""),"Skill Up!")</f>
        <v>Skill Up!</v>
      </c>
      <c r="V194" s="43" t="str">
        <f>IFERROR(__xludf.DUMMYFUNCTION("""COMPUTED_VALUE"""),"KOCAELI")</f>
        <v>KOCAELI</v>
      </c>
      <c r="W194" s="43" t="str">
        <f>IFERROR(__xludf.DUMMYFUNCTION("""COMPUTED_VALUE"""),"2022-11-15T09:05:17Z")</f>
        <v>2022-11-15T09:05:17Z</v>
      </c>
      <c r="X194" s="43"/>
      <c r="Y194" s="43"/>
      <c r="Z194" s="43"/>
    </row>
    <row r="195" hidden="1">
      <c r="A195" s="43" t="str">
        <f>IFERROR(__xludf.DUMMYFUNCTION("""COMPUTED_VALUE"""),"5160306_1288419")</f>
        <v>5160306_1288419</v>
      </c>
      <c r="B195" s="43" t="str">
        <f>IFERROR(__xludf.DUMMYFUNCTION("""COMPUTED_VALUE"""),"Sena Kırdök")</f>
        <v>Sena Kırdök</v>
      </c>
      <c r="C195" s="43" t="str">
        <f>IFERROR(__xludf.DUMMYFUNCTION("""COMPUTED_VALUE"""),"completed")</f>
        <v>completed</v>
      </c>
      <c r="D195" s="43" t="str">
        <f>IFERROR(__xludf.DUMMYFUNCTION("""COMPUTED_VALUE"""),"No")</f>
        <v>No</v>
      </c>
      <c r="E195" s="43" t="str">
        <f>IFERROR(__xludf.DUMMYFUNCTION("""COMPUTED_VALUE"""),"p_6df5dd762057a03c178816ac9b3d56c4bd5e17fd@inbound.aiesec.org")</f>
        <v>p_6df5dd762057a03c178816ac9b3d56c4bd5e17fd@inbound.aiesec.org</v>
      </c>
      <c r="F195" s="43">
        <f>IFERROR(__xludf.DUMMYFUNCTION("""COMPUTED_VALUE"""),5.442800612E9)</f>
        <v>5442800612</v>
      </c>
      <c r="G195" s="43" t="str">
        <f>IFERROR(__xludf.DUMMYFUNCTION("""COMPUTED_VALUE"""),"Turkey")</f>
        <v>Turkey</v>
      </c>
      <c r="H195" s="43" t="str">
        <f>IFERROR(__xludf.DUMMYFUNCTION("""COMPUTED_VALUE"""),"KOCAELI")</f>
        <v>KOCAELI</v>
      </c>
      <c r="I195" s="43" t="str">
        <f>IFERROR(__xludf.DUMMYFUNCTION("""COMPUTED_VALUE"""),"India")</f>
        <v>India</v>
      </c>
      <c r="J195" s="43" t="str">
        <f>IFERROR(__xludf.DUMMYFUNCTION("""COMPUTED_VALUE"""),"JAIPUR ")</f>
        <v>JAIPUR </v>
      </c>
      <c r="K195" s="44" t="str">
        <f>IFERROR(__xludf.DUMMYFUNCTION("""COMPUTED_VALUE"""),"https://expa.aiesec.org/opportunities/1288419")</f>
        <v>https://expa.aiesec.org/opportunities/1288419</v>
      </c>
      <c r="L195" s="43" t="str">
        <f>IFERROR(__xludf.DUMMYFUNCTION("""COMPUTED_VALUE"""),"GV")</f>
        <v>GV</v>
      </c>
      <c r="M195" s="43" t="str">
        <f>IFERROR(__xludf.DUMMYFUNCTION("""COMPUTED_VALUE"""),"short")</f>
        <v>short</v>
      </c>
      <c r="N195" s="45">
        <f>IFERROR(__xludf.DUMMYFUNCTION("""COMPUTED_VALUE"""),44895.0)</f>
        <v>44895</v>
      </c>
      <c r="O195" s="45">
        <f>IFERROR(__xludf.DUMMYFUNCTION("""COMPUTED_VALUE"""),45108.0)</f>
        <v>45108</v>
      </c>
      <c r="P195" s="45">
        <f>IFERROR(__xludf.DUMMYFUNCTION("""COMPUTED_VALUE"""),45150.0)</f>
        <v>45150</v>
      </c>
      <c r="Q195" s="45">
        <f>IFERROR(__xludf.DUMMYFUNCTION("""COMPUTED_VALUE"""),45108.0)</f>
        <v>45108</v>
      </c>
      <c r="R195" s="45">
        <f>IFERROR(__xludf.DUMMYFUNCTION("""COMPUTED_VALUE"""),45150.0)</f>
        <v>45150</v>
      </c>
      <c r="S195" s="43"/>
      <c r="T195" s="43"/>
      <c r="U195" s="43" t="str">
        <f>IFERROR(__xludf.DUMMYFUNCTION("""COMPUTED_VALUE"""),"On The Map")</f>
        <v>On The Map</v>
      </c>
      <c r="V195" s="43" t="str">
        <f>IFERROR(__xludf.DUMMYFUNCTION("""COMPUTED_VALUE"""),"KOCAELI")</f>
        <v>KOCAELI</v>
      </c>
      <c r="W195" s="43" t="str">
        <f>IFERROR(__xludf.DUMMYFUNCTION("""COMPUTED_VALUE"""),"2022-11-29T11:16:53Z")</f>
        <v>2022-11-29T11:16:53Z</v>
      </c>
      <c r="X195" s="43"/>
      <c r="Y195" s="43"/>
      <c r="Z195" s="43"/>
    </row>
    <row r="196" hidden="1">
      <c r="A196" s="43" t="str">
        <f>IFERROR(__xludf.DUMMYFUNCTION("""COMPUTED_VALUE"""),"5160289_1288419")</f>
        <v>5160289_1288419</v>
      </c>
      <c r="B196" s="43" t="str">
        <f>IFERROR(__xludf.DUMMYFUNCTION("""COMPUTED_VALUE"""),"Gülfidan Eker")</f>
        <v>Gülfidan Eker</v>
      </c>
      <c r="C196" s="43" t="str">
        <f>IFERROR(__xludf.DUMMYFUNCTION("""COMPUTED_VALUE"""),"completed")</f>
        <v>completed</v>
      </c>
      <c r="D196" s="43" t="str">
        <f>IFERROR(__xludf.DUMMYFUNCTION("""COMPUTED_VALUE"""),"No")</f>
        <v>No</v>
      </c>
      <c r="E196" s="43" t="str">
        <f>IFERROR(__xludf.DUMMYFUNCTION("""COMPUTED_VALUE"""),"p_efb55f93e112ba9fe93d2232b88a749b2b672a7f@inbound.aiesec.org")</f>
        <v>p_efb55f93e112ba9fe93d2232b88a749b2b672a7f@inbound.aiesec.org</v>
      </c>
      <c r="F196" s="43">
        <f>IFERROR(__xludf.DUMMYFUNCTION("""COMPUTED_VALUE"""),5.452860551E9)</f>
        <v>5452860551</v>
      </c>
      <c r="G196" s="43" t="str">
        <f>IFERROR(__xludf.DUMMYFUNCTION("""COMPUTED_VALUE"""),"Turkey")</f>
        <v>Turkey</v>
      </c>
      <c r="H196" s="43" t="str">
        <f>IFERROR(__xludf.DUMMYFUNCTION("""COMPUTED_VALUE"""),"KOCAELI")</f>
        <v>KOCAELI</v>
      </c>
      <c r="I196" s="43" t="str">
        <f>IFERROR(__xludf.DUMMYFUNCTION("""COMPUTED_VALUE"""),"India")</f>
        <v>India</v>
      </c>
      <c r="J196" s="43" t="str">
        <f>IFERROR(__xludf.DUMMYFUNCTION("""COMPUTED_VALUE"""),"JAIPUR ")</f>
        <v>JAIPUR </v>
      </c>
      <c r="K196" s="44" t="str">
        <f>IFERROR(__xludf.DUMMYFUNCTION("""COMPUTED_VALUE"""),"https://expa.aiesec.org/opportunities/1288419")</f>
        <v>https://expa.aiesec.org/opportunities/1288419</v>
      </c>
      <c r="L196" s="43" t="str">
        <f>IFERROR(__xludf.DUMMYFUNCTION("""COMPUTED_VALUE"""),"GV")</f>
        <v>GV</v>
      </c>
      <c r="M196" s="43" t="str">
        <f>IFERROR(__xludf.DUMMYFUNCTION("""COMPUTED_VALUE"""),"short")</f>
        <v>short</v>
      </c>
      <c r="N196" s="45">
        <f>IFERROR(__xludf.DUMMYFUNCTION("""COMPUTED_VALUE"""),44895.0)</f>
        <v>44895</v>
      </c>
      <c r="O196" s="45">
        <f>IFERROR(__xludf.DUMMYFUNCTION("""COMPUTED_VALUE"""),45108.0)</f>
        <v>45108</v>
      </c>
      <c r="P196" s="45">
        <f>IFERROR(__xludf.DUMMYFUNCTION("""COMPUTED_VALUE"""),45150.0)</f>
        <v>45150</v>
      </c>
      <c r="Q196" s="45">
        <f>IFERROR(__xludf.DUMMYFUNCTION("""COMPUTED_VALUE"""),45108.0)</f>
        <v>45108</v>
      </c>
      <c r="R196" s="45">
        <f>IFERROR(__xludf.DUMMYFUNCTION("""COMPUTED_VALUE"""),45150.0)</f>
        <v>45150</v>
      </c>
      <c r="S196" s="43"/>
      <c r="T196" s="43"/>
      <c r="U196" s="43" t="str">
        <f>IFERROR(__xludf.DUMMYFUNCTION("""COMPUTED_VALUE"""),"On The Map")</f>
        <v>On The Map</v>
      </c>
      <c r="V196" s="43" t="str">
        <f>IFERROR(__xludf.DUMMYFUNCTION("""COMPUTED_VALUE"""),"KOCAELI")</f>
        <v>KOCAELI</v>
      </c>
      <c r="W196" s="43" t="str">
        <f>IFERROR(__xludf.DUMMYFUNCTION("""COMPUTED_VALUE"""),"2022-11-29T10:28:34Z")</f>
        <v>2022-11-29T10:28:34Z</v>
      </c>
      <c r="X196" s="43"/>
      <c r="Y196" s="43"/>
      <c r="Z196" s="43"/>
    </row>
    <row r="197" hidden="1">
      <c r="A197" s="43" t="str">
        <f>IFERROR(__xludf.DUMMYFUNCTION("""COMPUTED_VALUE"""),"5159093_1286442")</f>
        <v>5159093_1286442</v>
      </c>
      <c r="B197" s="43" t="str">
        <f>IFERROR(__xludf.DUMMYFUNCTION("""COMPUTED_VALUE"""),"Hilal Sümbüllü")</f>
        <v>Hilal Sümbüllü</v>
      </c>
      <c r="C197" s="43" t="str">
        <f>IFERROR(__xludf.DUMMYFUNCTION("""COMPUTED_VALUE"""),"approved")</f>
        <v>approved</v>
      </c>
      <c r="D197" s="43" t="str">
        <f>IFERROR(__xludf.DUMMYFUNCTION("""COMPUTED_VALUE"""),"No")</f>
        <v>No</v>
      </c>
      <c r="E197" s="43" t="str">
        <f>IFERROR(__xludf.DUMMYFUNCTION("""COMPUTED_VALUE"""),"p_86b1ada083170a8bd8a8aa94356f87a9acb2c28f@inbound.aiesec.org")</f>
        <v>p_86b1ada083170a8bd8a8aa94356f87a9acb2c28f@inbound.aiesec.org</v>
      </c>
      <c r="F197" s="43">
        <f>IFERROR(__xludf.DUMMYFUNCTION("""COMPUTED_VALUE"""),5.432508358E9)</f>
        <v>5432508358</v>
      </c>
      <c r="G197" s="43" t="str">
        <f>IFERROR(__xludf.DUMMYFUNCTION("""COMPUTED_VALUE"""),"Turkey")</f>
        <v>Turkey</v>
      </c>
      <c r="H197" s="43" t="str">
        <f>IFERROR(__xludf.DUMMYFUNCTION("""COMPUTED_VALUE"""),"ADANA")</f>
        <v>ADANA</v>
      </c>
      <c r="I197" s="43" t="str">
        <f>IFERROR(__xludf.DUMMYFUNCTION("""COMPUTED_VALUE"""),"Czech Republic")</f>
        <v>Czech Republic</v>
      </c>
      <c r="J197" s="43" t="str">
        <f>IFERROR(__xludf.DUMMYFUNCTION("""COMPUTED_VALUE"""),"PRAGUE")</f>
        <v>PRAGUE</v>
      </c>
      <c r="K197" s="44" t="str">
        <f>IFERROR(__xludf.DUMMYFUNCTION("""COMPUTED_VALUE"""),"https://expa.aiesec.org/opportunities/1286442")</f>
        <v>https://expa.aiesec.org/opportunities/1286442</v>
      </c>
      <c r="L197" s="43" t="str">
        <f>IFERROR(__xludf.DUMMYFUNCTION("""COMPUTED_VALUE"""),"GV")</f>
        <v>GV</v>
      </c>
      <c r="M197" s="43" t="str">
        <f>IFERROR(__xludf.DUMMYFUNCTION("""COMPUTED_VALUE"""),"short")</f>
        <v>short</v>
      </c>
      <c r="N197" s="45">
        <f>IFERROR(__xludf.DUMMYFUNCTION("""COMPUTED_VALUE"""),44895.0)</f>
        <v>44895</v>
      </c>
      <c r="O197" s="45">
        <f>IFERROR(__xludf.DUMMYFUNCTION("""COMPUTED_VALUE"""),45053.0)</f>
        <v>45053</v>
      </c>
      <c r="P197" s="45">
        <f>IFERROR(__xludf.DUMMYFUNCTION("""COMPUTED_VALUE"""),45095.0)</f>
        <v>45095</v>
      </c>
      <c r="Q197" s="45"/>
      <c r="R197" s="45"/>
      <c r="S197" s="43"/>
      <c r="T197" s="43"/>
      <c r="U197" s="43" t="str">
        <f>IFERROR(__xludf.DUMMYFUNCTION("""COMPUTED_VALUE"""),"Youth 4 Impact")</f>
        <v>Youth 4 Impact</v>
      </c>
      <c r="V197" s="43" t="str">
        <f>IFERROR(__xludf.DUMMYFUNCTION("""COMPUTED_VALUE"""),"ADANA")</f>
        <v>ADANA</v>
      </c>
      <c r="W197" s="43" t="str">
        <f>IFERROR(__xludf.DUMMYFUNCTION("""COMPUTED_VALUE"""),"2022-11-26T11:41:53Z")</f>
        <v>2022-11-26T11:41:53Z</v>
      </c>
      <c r="X197" s="43"/>
      <c r="Y197" s="43"/>
      <c r="Z197" s="43"/>
    </row>
    <row r="198" hidden="1">
      <c r="A198" s="43" t="str">
        <f>IFERROR(__xludf.DUMMYFUNCTION("""COMPUTED_VALUE"""),"5146116_1290024")</f>
        <v>5146116_1290024</v>
      </c>
      <c r="B198" s="43" t="str">
        <f>IFERROR(__xludf.DUMMYFUNCTION("""COMPUTED_VALUE"""),"Eren Bayraktar")</f>
        <v>Eren Bayraktar</v>
      </c>
      <c r="C198" s="43" t="str">
        <f>IFERROR(__xludf.DUMMYFUNCTION("""COMPUTED_VALUE"""),"completed")</f>
        <v>completed</v>
      </c>
      <c r="D198" s="43" t="str">
        <f>IFERROR(__xludf.DUMMYFUNCTION("""COMPUTED_VALUE"""),"No")</f>
        <v>No</v>
      </c>
      <c r="E198" s="43" t="str">
        <f>IFERROR(__xludf.DUMMYFUNCTION("""COMPUTED_VALUE"""),"p_cfe75265ec0b516c90fb409437c6c04d4a5d1916@inbound.aiesec.org")</f>
        <v>p_cfe75265ec0b516c90fb409437c6c04d4a5d1916@inbound.aiesec.org</v>
      </c>
      <c r="F198" s="43">
        <f>IFERROR(__xludf.DUMMYFUNCTION("""COMPUTED_VALUE"""),5.350286235E9)</f>
        <v>5350286235</v>
      </c>
      <c r="G198" s="43" t="str">
        <f>IFERROR(__xludf.DUMMYFUNCTION("""COMPUTED_VALUE"""),"Turkey")</f>
        <v>Turkey</v>
      </c>
      <c r="H198" s="43" t="str">
        <f>IFERROR(__xludf.DUMMYFUNCTION("""COMPUTED_VALUE"""),"İZMİR")</f>
        <v>İZMİR</v>
      </c>
      <c r="I198" s="43" t="str">
        <f>IFERROR(__xludf.DUMMYFUNCTION("""COMPUTED_VALUE"""),"Egypt")</f>
        <v>Egypt</v>
      </c>
      <c r="J198" s="43" t="str">
        <f>IFERROR(__xludf.DUMMYFUNCTION("""COMPUTED_VALUE"""),"Ain Shams University")</f>
        <v>Ain Shams University</v>
      </c>
      <c r="K198" s="44" t="str">
        <f>IFERROR(__xludf.DUMMYFUNCTION("""COMPUTED_VALUE"""),"https://expa.aiesec.org/opportunities/1290024")</f>
        <v>https://expa.aiesec.org/opportunities/1290024</v>
      </c>
      <c r="L198" s="43" t="str">
        <f>IFERROR(__xludf.DUMMYFUNCTION("""COMPUTED_VALUE"""),"GV")</f>
        <v>GV</v>
      </c>
      <c r="M198" s="43" t="str">
        <f>IFERROR(__xludf.DUMMYFUNCTION("""COMPUTED_VALUE"""),"short")</f>
        <v>short</v>
      </c>
      <c r="N198" s="45">
        <f>IFERROR(__xludf.DUMMYFUNCTION("""COMPUTED_VALUE"""),44895.0)</f>
        <v>44895</v>
      </c>
      <c r="O198" s="45">
        <f>IFERROR(__xludf.DUMMYFUNCTION("""COMPUTED_VALUE"""),45108.0)</f>
        <v>45108</v>
      </c>
      <c r="P198" s="45">
        <f>IFERROR(__xludf.DUMMYFUNCTION("""COMPUTED_VALUE"""),45150.0)</f>
        <v>45150</v>
      </c>
      <c r="Q198" s="45">
        <f>IFERROR(__xludf.DUMMYFUNCTION("""COMPUTED_VALUE"""),45107.0)</f>
        <v>45107</v>
      </c>
      <c r="R198" s="45">
        <f>IFERROR(__xludf.DUMMYFUNCTION("""COMPUTED_VALUE"""),45151.0)</f>
        <v>45151</v>
      </c>
      <c r="S198" s="43"/>
      <c r="T198" s="43"/>
      <c r="U198" s="43" t="str">
        <f>IFERROR(__xludf.DUMMYFUNCTION("""COMPUTED_VALUE"""),"On The Map")</f>
        <v>On The Map</v>
      </c>
      <c r="V198" s="43" t="str">
        <f>IFERROR(__xludf.DUMMYFUNCTION("""COMPUTED_VALUE"""),"IZMIR")</f>
        <v>IZMIR</v>
      </c>
      <c r="W198" s="43" t="str">
        <f>IFERROR(__xludf.DUMMYFUNCTION("""COMPUTED_VALUE"""),"2022-11-03T17:31:34Z")</f>
        <v>2022-11-03T17:31:34Z</v>
      </c>
      <c r="X198" s="43"/>
      <c r="Y198" s="43"/>
      <c r="Z198" s="43"/>
    </row>
    <row r="199" hidden="1">
      <c r="A199" s="43" t="str">
        <f>IFERROR(__xludf.DUMMYFUNCTION("""COMPUTED_VALUE"""),"5155511_1290024")</f>
        <v>5155511_1290024</v>
      </c>
      <c r="B199" s="43" t="str">
        <f>IFERROR(__xludf.DUMMYFUNCTION("""COMPUTED_VALUE"""),"süleyman Tekin")</f>
        <v>süleyman Tekin</v>
      </c>
      <c r="C199" s="43" t="str">
        <f>IFERROR(__xludf.DUMMYFUNCTION("""COMPUTED_VALUE"""),"approved")</f>
        <v>approved</v>
      </c>
      <c r="D199" s="43" t="str">
        <f>IFERROR(__xludf.DUMMYFUNCTION("""COMPUTED_VALUE"""),"No")</f>
        <v>No</v>
      </c>
      <c r="E199" s="43" t="str">
        <f>IFERROR(__xludf.DUMMYFUNCTION("""COMPUTED_VALUE"""),"p_08bc65250130c2597fe9329e84afb99b001e7d1f@inbound.aiesec.org")</f>
        <v>p_08bc65250130c2597fe9329e84afb99b001e7d1f@inbound.aiesec.org</v>
      </c>
      <c r="F199" s="43"/>
      <c r="G199" s="43" t="str">
        <f>IFERROR(__xludf.DUMMYFUNCTION("""COMPUTED_VALUE"""),"Turkey")</f>
        <v>Turkey</v>
      </c>
      <c r="H199" s="43" t="str">
        <f>IFERROR(__xludf.DUMMYFUNCTION("""COMPUTED_VALUE"""),"ISTANBUL")</f>
        <v>ISTANBUL</v>
      </c>
      <c r="I199" s="43" t="str">
        <f>IFERROR(__xludf.DUMMYFUNCTION("""COMPUTED_VALUE"""),"Egypt")</f>
        <v>Egypt</v>
      </c>
      <c r="J199" s="43" t="str">
        <f>IFERROR(__xludf.DUMMYFUNCTION("""COMPUTED_VALUE"""),"Ain Shams University")</f>
        <v>Ain Shams University</v>
      </c>
      <c r="K199" s="44" t="str">
        <f>IFERROR(__xludf.DUMMYFUNCTION("""COMPUTED_VALUE"""),"https://expa.aiesec.org/opportunities/1290024")</f>
        <v>https://expa.aiesec.org/opportunities/1290024</v>
      </c>
      <c r="L199" s="43" t="str">
        <f>IFERROR(__xludf.DUMMYFUNCTION("""COMPUTED_VALUE"""),"GV")</f>
        <v>GV</v>
      </c>
      <c r="M199" s="43" t="str">
        <f>IFERROR(__xludf.DUMMYFUNCTION("""COMPUTED_VALUE"""),"short")</f>
        <v>short</v>
      </c>
      <c r="N199" s="45">
        <f>IFERROR(__xludf.DUMMYFUNCTION("""COMPUTED_VALUE"""),44895.0)</f>
        <v>44895</v>
      </c>
      <c r="O199" s="45">
        <f>IFERROR(__xludf.DUMMYFUNCTION("""COMPUTED_VALUE"""),45108.0)</f>
        <v>45108</v>
      </c>
      <c r="P199" s="45">
        <f>IFERROR(__xludf.DUMMYFUNCTION("""COMPUTED_VALUE"""),45150.0)</f>
        <v>45150</v>
      </c>
      <c r="Q199" s="45"/>
      <c r="R199" s="45"/>
      <c r="S199" s="43"/>
      <c r="T199" s="43"/>
      <c r="U199" s="43" t="str">
        <f>IFERROR(__xludf.DUMMYFUNCTION("""COMPUTED_VALUE"""),"On The Map")</f>
        <v>On The Map</v>
      </c>
      <c r="V199" s="43" t="str">
        <f>IFERROR(__xludf.DUMMYFUNCTION("""COMPUTED_VALUE"""),"-")</f>
        <v>-</v>
      </c>
      <c r="W199" s="43" t="str">
        <f>IFERROR(__xludf.DUMMYFUNCTION("""COMPUTED_VALUE"""),"2022-11-18T20:59:12Z")</f>
        <v>2022-11-18T20:59:12Z</v>
      </c>
      <c r="X199" s="43"/>
      <c r="Y199" s="43"/>
      <c r="Z199" s="43"/>
    </row>
    <row r="200" hidden="1">
      <c r="A200" s="43" t="str">
        <f>IFERROR(__xludf.DUMMYFUNCTION("""COMPUTED_VALUE"""),"5155398_1287459")</f>
        <v>5155398_1287459</v>
      </c>
      <c r="B200" s="43" t="str">
        <f>IFERROR(__xludf.DUMMYFUNCTION("""COMPUTED_VALUE"""),"Berra Candaş")</f>
        <v>Berra Candaş</v>
      </c>
      <c r="C200" s="43" t="str">
        <f>IFERROR(__xludf.DUMMYFUNCTION("""COMPUTED_VALUE"""),"approval_broken")</f>
        <v>approval_broken</v>
      </c>
      <c r="D200" s="43" t="str">
        <f>IFERROR(__xludf.DUMMYFUNCTION("""COMPUTED_VALUE"""),"No")</f>
        <v>No</v>
      </c>
      <c r="E200" s="43" t="str">
        <f>IFERROR(__xludf.DUMMYFUNCTION("""COMPUTED_VALUE"""),"p_f8e7ab1bda01a18906bef20389d753f5bef0e76b@inbound.aiesec.org")</f>
        <v>p_f8e7ab1bda01a18906bef20389d753f5bef0e76b@inbound.aiesec.org</v>
      </c>
      <c r="F200" s="43">
        <f>IFERROR(__xludf.DUMMYFUNCTION("""COMPUTED_VALUE"""),5.42779046E9)</f>
        <v>5427790460</v>
      </c>
      <c r="G200" s="43" t="str">
        <f>IFERROR(__xludf.DUMMYFUNCTION("""COMPUTED_VALUE"""),"Turkey")</f>
        <v>Turkey</v>
      </c>
      <c r="H200" s="43" t="str">
        <f>IFERROR(__xludf.DUMMYFUNCTION("""COMPUTED_VALUE"""),"ISTANBUL ASIA")</f>
        <v>ISTANBUL ASIA</v>
      </c>
      <c r="I200" s="43" t="str">
        <f>IFERROR(__xludf.DUMMYFUNCTION("""COMPUTED_VALUE"""),"Sri Lanka")</f>
        <v>Sri Lanka</v>
      </c>
      <c r="J200" s="43" t="str">
        <f>IFERROR(__xludf.DUMMYFUNCTION("""COMPUTED_VALUE"""),"SLIIT")</f>
        <v>SLIIT</v>
      </c>
      <c r="K200" s="44" t="str">
        <f>IFERROR(__xludf.DUMMYFUNCTION("""COMPUTED_VALUE"""),"https://expa.aiesec.org/opportunities/1287459")</f>
        <v>https://expa.aiesec.org/opportunities/1287459</v>
      </c>
      <c r="L200" s="43" t="str">
        <f>IFERROR(__xludf.DUMMYFUNCTION("""COMPUTED_VALUE"""),"GV")</f>
        <v>GV</v>
      </c>
      <c r="M200" s="43" t="str">
        <f>IFERROR(__xludf.DUMMYFUNCTION("""COMPUTED_VALUE"""),"short")</f>
        <v>short</v>
      </c>
      <c r="N200" s="45">
        <f>IFERROR(__xludf.DUMMYFUNCTION("""COMPUTED_VALUE"""),45168.0)</f>
        <v>45168</v>
      </c>
      <c r="O200" s="45">
        <f>IFERROR(__xludf.DUMMYFUNCTION("""COMPUTED_VALUE"""),45139.0)</f>
        <v>45139</v>
      </c>
      <c r="P200" s="45">
        <f>IFERROR(__xludf.DUMMYFUNCTION("""COMPUTED_VALUE"""),45181.0)</f>
        <v>45181</v>
      </c>
      <c r="Q200" s="45"/>
      <c r="R200" s="45"/>
      <c r="S200" s="43"/>
      <c r="T200" s="43"/>
      <c r="U200" s="43" t="str">
        <f>IFERROR(__xludf.DUMMYFUNCTION("""COMPUTED_VALUE"""),"Aquatica")</f>
        <v>Aquatica</v>
      </c>
      <c r="V200" s="43" t="str">
        <f>IFERROR(__xludf.DUMMYFUNCTION("""COMPUTED_VALUE"""),"ISTANBUL ASIA")</f>
        <v>ISTANBUL ASIA</v>
      </c>
      <c r="W200" s="43" t="str">
        <f>IFERROR(__xludf.DUMMYFUNCTION("""COMPUTED_VALUE"""),"2022-11-18T16:51:21Z")</f>
        <v>2022-11-18T16:51:21Z</v>
      </c>
      <c r="X200" s="43"/>
      <c r="Y200" s="43"/>
      <c r="Z200" s="43"/>
    </row>
    <row r="201" hidden="1">
      <c r="A201" s="43" t="str">
        <f>IFERROR(__xludf.DUMMYFUNCTION("""COMPUTED_VALUE"""),"4744228_1290275")</f>
        <v>4744228_1290275</v>
      </c>
      <c r="B201" s="43" t="str">
        <f>IFERROR(__xludf.DUMMYFUNCTION("""COMPUTED_VALUE"""),"Melike Aydın")</f>
        <v>Melike Aydın</v>
      </c>
      <c r="C201" s="43" t="str">
        <f>IFERROR(__xludf.DUMMYFUNCTION("""COMPUTED_VALUE"""),"completed")</f>
        <v>completed</v>
      </c>
      <c r="D201" s="43" t="str">
        <f>IFERROR(__xludf.DUMMYFUNCTION("""COMPUTED_VALUE"""),"No")</f>
        <v>No</v>
      </c>
      <c r="E201" s="43" t="str">
        <f>IFERROR(__xludf.DUMMYFUNCTION("""COMPUTED_VALUE"""),"p_e6b5b8a9d7a1224b9f6279621589a1844670e94e@inbound.aiesec.org")</f>
        <v>p_e6b5b8a9d7a1224b9f6279621589a1844670e94e@inbound.aiesec.org</v>
      </c>
      <c r="F201" s="43">
        <f>IFERROR(__xludf.DUMMYFUNCTION("""COMPUTED_VALUE"""),5.396678156E9)</f>
        <v>5396678156</v>
      </c>
      <c r="G201" s="43" t="str">
        <f>IFERROR(__xludf.DUMMYFUNCTION("""COMPUTED_VALUE"""),"Turkey")</f>
        <v>Turkey</v>
      </c>
      <c r="H201" s="43" t="str">
        <f>IFERROR(__xludf.DUMMYFUNCTION("""COMPUTED_VALUE"""),"İZMİR")</f>
        <v>İZMİR</v>
      </c>
      <c r="I201" s="43" t="str">
        <f>IFERROR(__xludf.DUMMYFUNCTION("""COMPUTED_VALUE"""),"Greece")</f>
        <v>Greece</v>
      </c>
      <c r="J201" s="43" t="str">
        <f>IFERROR(__xludf.DUMMYFUNCTION("""COMPUTED_VALUE"""),"ATHENS")</f>
        <v>ATHENS</v>
      </c>
      <c r="K201" s="44" t="str">
        <f>IFERROR(__xludf.DUMMYFUNCTION("""COMPUTED_VALUE"""),"https://expa.aiesec.org/opportunities/1290275")</f>
        <v>https://expa.aiesec.org/opportunities/1290275</v>
      </c>
      <c r="L201" s="43" t="str">
        <f>IFERROR(__xludf.DUMMYFUNCTION("""COMPUTED_VALUE"""),"GV")</f>
        <v>GV</v>
      </c>
      <c r="M201" s="43" t="str">
        <f>IFERROR(__xludf.DUMMYFUNCTION("""COMPUTED_VALUE"""),"short")</f>
        <v>short</v>
      </c>
      <c r="N201" s="45">
        <f>IFERROR(__xludf.DUMMYFUNCTION("""COMPUTED_VALUE"""),44896.0)</f>
        <v>44896</v>
      </c>
      <c r="O201" s="45">
        <f>IFERROR(__xludf.DUMMYFUNCTION("""COMPUTED_VALUE"""),44949.0)</f>
        <v>44949</v>
      </c>
      <c r="P201" s="45">
        <f>IFERROR(__xludf.DUMMYFUNCTION("""COMPUTED_VALUE"""),44991.0)</f>
        <v>44991</v>
      </c>
      <c r="Q201" s="45">
        <f>IFERROR(__xludf.DUMMYFUNCTION("""COMPUTED_VALUE"""),44950.0)</f>
        <v>44950</v>
      </c>
      <c r="R201" s="45">
        <f>IFERROR(__xludf.DUMMYFUNCTION("""COMPUTED_VALUE"""),44991.0)</f>
        <v>44991</v>
      </c>
      <c r="S201" s="43"/>
      <c r="T201" s="43"/>
      <c r="U201" s="43" t="str">
        <f>IFERROR(__xludf.DUMMYFUNCTION("""COMPUTED_VALUE"""),"Scale Up!")</f>
        <v>Scale Up!</v>
      </c>
      <c r="V201" s="43" t="str">
        <f>IFERROR(__xludf.DUMMYFUNCTION("""COMPUTED_VALUE"""),"ESKISEHIR")</f>
        <v>ESKISEHIR</v>
      </c>
      <c r="W201" s="43" t="str">
        <f>IFERROR(__xludf.DUMMYFUNCTION("""COMPUTED_VALUE"""),"2021-09-21T10:10:02Z")</f>
        <v>2021-09-21T10:10:02Z</v>
      </c>
      <c r="X201" s="43"/>
      <c r="Y201" s="43"/>
      <c r="Z201" s="43"/>
    </row>
    <row r="202" hidden="1">
      <c r="A202" s="43" t="str">
        <f>IFERROR(__xludf.DUMMYFUNCTION("""COMPUTED_VALUE"""),"5137597_1285306")</f>
        <v>5137597_1285306</v>
      </c>
      <c r="B202" s="43" t="str">
        <f>IFERROR(__xludf.DUMMYFUNCTION("""COMPUTED_VALUE"""),"VAHID SHALQINI")</f>
        <v>VAHID SHALQINI</v>
      </c>
      <c r="C202" s="43" t="str">
        <f>IFERROR(__xludf.DUMMYFUNCTION("""COMPUTED_VALUE"""),"completed")</f>
        <v>completed</v>
      </c>
      <c r="D202" s="43" t="str">
        <f>IFERROR(__xludf.DUMMYFUNCTION("""COMPUTED_VALUE"""),"No")</f>
        <v>No</v>
      </c>
      <c r="E202" s="43" t="str">
        <f>IFERROR(__xludf.DUMMYFUNCTION("""COMPUTED_VALUE"""),"p_d91bf2f76dd8abb5b6e9e638e69fb86b714dec1e@inbound.aiesec.org")</f>
        <v>p_d91bf2f76dd8abb5b6e9e638e69fb86b714dec1e@inbound.aiesec.org</v>
      </c>
      <c r="F202" s="43">
        <f>IFERROR(__xludf.DUMMYFUNCTION("""COMPUTED_VALUE"""),5.343416354E9)</f>
        <v>5343416354</v>
      </c>
      <c r="G202" s="43" t="str">
        <f>IFERROR(__xludf.DUMMYFUNCTION("""COMPUTED_VALUE"""),"Turkey")</f>
        <v>Turkey</v>
      </c>
      <c r="H202" s="43" t="str">
        <f>IFERROR(__xludf.DUMMYFUNCTION("""COMPUTED_VALUE"""),"KOCAELI")</f>
        <v>KOCAELI</v>
      </c>
      <c r="I202" s="43" t="str">
        <f>IFERROR(__xludf.DUMMYFUNCTION("""COMPUTED_VALUE"""),"Poland")</f>
        <v>Poland</v>
      </c>
      <c r="J202" s="43" t="str">
        <f>IFERROR(__xludf.DUMMYFUNCTION("""COMPUTED_VALUE"""),"WARSZAWA SGH")</f>
        <v>WARSZAWA SGH</v>
      </c>
      <c r="K202" s="44" t="str">
        <f>IFERROR(__xludf.DUMMYFUNCTION("""COMPUTED_VALUE"""),"https://expa.aiesec.org/opportunities/1285306")</f>
        <v>https://expa.aiesec.org/opportunities/1285306</v>
      </c>
      <c r="L202" s="43" t="str">
        <f>IFERROR(__xludf.DUMMYFUNCTION("""COMPUTED_VALUE"""),"GV")</f>
        <v>GV</v>
      </c>
      <c r="M202" s="43" t="str">
        <f>IFERROR(__xludf.DUMMYFUNCTION("""COMPUTED_VALUE"""),"short")</f>
        <v>short</v>
      </c>
      <c r="N202" s="45">
        <f>IFERROR(__xludf.DUMMYFUNCTION("""COMPUTED_VALUE"""),44897.0)</f>
        <v>44897</v>
      </c>
      <c r="O202" s="45">
        <f>IFERROR(__xludf.DUMMYFUNCTION("""COMPUTED_VALUE"""),44941.0)</f>
        <v>44941</v>
      </c>
      <c r="P202" s="45">
        <f>IFERROR(__xludf.DUMMYFUNCTION("""COMPUTED_VALUE"""),44983.0)</f>
        <v>44983</v>
      </c>
      <c r="Q202" s="45">
        <f>IFERROR(__xludf.DUMMYFUNCTION("""COMPUTED_VALUE"""),44957.0)</f>
        <v>44957</v>
      </c>
      <c r="R202" s="45">
        <f>IFERROR(__xludf.DUMMYFUNCTION("""COMPUTED_VALUE"""),44998.0)</f>
        <v>44998</v>
      </c>
      <c r="S202" s="43"/>
      <c r="T202" s="43"/>
      <c r="U202" s="43" t="str">
        <f>IFERROR(__xludf.DUMMYFUNCTION("""COMPUTED_VALUE"""),"Global Classroom")</f>
        <v>Global Classroom</v>
      </c>
      <c r="V202" s="43" t="str">
        <f>IFERROR(__xludf.DUMMYFUNCTION("""COMPUTED_VALUE"""),"KOCAELI")</f>
        <v>KOCAELI</v>
      </c>
      <c r="W202" s="43" t="str">
        <f>IFERROR(__xludf.DUMMYFUNCTION("""COMPUTED_VALUE"""),"2022-10-20T17:09:57Z")</f>
        <v>2022-10-20T17:09:57Z</v>
      </c>
      <c r="X202" s="43"/>
      <c r="Y202" s="43"/>
      <c r="Z202" s="43"/>
    </row>
    <row r="203" hidden="1">
      <c r="A203" s="43" t="str">
        <f>IFERROR(__xludf.DUMMYFUNCTION("""COMPUTED_VALUE"""),"5144072_1285306")</f>
        <v>5144072_1285306</v>
      </c>
      <c r="B203" s="43" t="str">
        <f>IFERROR(__xludf.DUMMYFUNCTION("""COMPUTED_VALUE"""),"Omer Faruk Karakas")</f>
        <v>Omer Faruk Karakas</v>
      </c>
      <c r="C203" s="43" t="str">
        <f>IFERROR(__xludf.DUMMYFUNCTION("""COMPUTED_VALUE"""),"completed")</f>
        <v>completed</v>
      </c>
      <c r="D203" s="43" t="str">
        <f>IFERROR(__xludf.DUMMYFUNCTION("""COMPUTED_VALUE"""),"No")</f>
        <v>No</v>
      </c>
      <c r="E203" s="43" t="str">
        <f>IFERROR(__xludf.DUMMYFUNCTION("""COMPUTED_VALUE"""),"p_fbca7fb605d4f4c39ca5e2cf3d56dd18dbbd5ba0@inbound.aiesec.org")</f>
        <v>p_fbca7fb605d4f4c39ca5e2cf3d56dd18dbbd5ba0@inbound.aiesec.org</v>
      </c>
      <c r="F203" s="43">
        <f>IFERROR(__xludf.DUMMYFUNCTION("""COMPUTED_VALUE"""),5.532898276E9)</f>
        <v>5532898276</v>
      </c>
      <c r="G203" s="43" t="str">
        <f>IFERROR(__xludf.DUMMYFUNCTION("""COMPUTED_VALUE"""),"Turkey")</f>
        <v>Turkey</v>
      </c>
      <c r="H203" s="43" t="str">
        <f>IFERROR(__xludf.DUMMYFUNCTION("""COMPUTED_VALUE"""),"KOCAELI")</f>
        <v>KOCAELI</v>
      </c>
      <c r="I203" s="43" t="str">
        <f>IFERROR(__xludf.DUMMYFUNCTION("""COMPUTED_VALUE"""),"Poland")</f>
        <v>Poland</v>
      </c>
      <c r="J203" s="43" t="str">
        <f>IFERROR(__xludf.DUMMYFUNCTION("""COMPUTED_VALUE"""),"WARSZAWA SGH")</f>
        <v>WARSZAWA SGH</v>
      </c>
      <c r="K203" s="44" t="str">
        <f>IFERROR(__xludf.DUMMYFUNCTION("""COMPUTED_VALUE"""),"https://expa.aiesec.org/opportunities/1285306")</f>
        <v>https://expa.aiesec.org/opportunities/1285306</v>
      </c>
      <c r="L203" s="43" t="str">
        <f>IFERROR(__xludf.DUMMYFUNCTION("""COMPUTED_VALUE"""),"GV")</f>
        <v>GV</v>
      </c>
      <c r="M203" s="43" t="str">
        <f>IFERROR(__xludf.DUMMYFUNCTION("""COMPUTED_VALUE"""),"short")</f>
        <v>short</v>
      </c>
      <c r="N203" s="45">
        <f>IFERROR(__xludf.DUMMYFUNCTION("""COMPUTED_VALUE"""),44897.0)</f>
        <v>44897</v>
      </c>
      <c r="O203" s="45">
        <f>IFERROR(__xludf.DUMMYFUNCTION("""COMPUTED_VALUE"""),44941.0)</f>
        <v>44941</v>
      </c>
      <c r="P203" s="45">
        <f>IFERROR(__xludf.DUMMYFUNCTION("""COMPUTED_VALUE"""),44983.0)</f>
        <v>44983</v>
      </c>
      <c r="Q203" s="45">
        <f>IFERROR(__xludf.DUMMYFUNCTION("""COMPUTED_VALUE"""),44957.0)</f>
        <v>44957</v>
      </c>
      <c r="R203" s="45">
        <f>IFERROR(__xludf.DUMMYFUNCTION("""COMPUTED_VALUE"""),44998.0)</f>
        <v>44998</v>
      </c>
      <c r="S203" s="43"/>
      <c r="T203" s="43"/>
      <c r="U203" s="43" t="str">
        <f>IFERROR(__xludf.DUMMYFUNCTION("""COMPUTED_VALUE"""),"Global Classroom")</f>
        <v>Global Classroom</v>
      </c>
      <c r="V203" s="43" t="str">
        <f>IFERROR(__xludf.DUMMYFUNCTION("""COMPUTED_VALUE"""),"KOCAELI")</f>
        <v>KOCAELI</v>
      </c>
      <c r="W203" s="43" t="str">
        <f>IFERROR(__xludf.DUMMYFUNCTION("""COMPUTED_VALUE"""),"2022-10-31T21:12:29Z")</f>
        <v>2022-10-31T21:12:29Z</v>
      </c>
      <c r="X203" s="43"/>
      <c r="Y203" s="43"/>
      <c r="Z203" s="43"/>
    </row>
    <row r="204" hidden="1">
      <c r="A204" s="43" t="str">
        <f>IFERROR(__xludf.DUMMYFUNCTION("""COMPUTED_VALUE"""),"5088489_1290949")</f>
        <v>5088489_1290949</v>
      </c>
      <c r="B204" s="43" t="str">
        <f>IFERROR(__xludf.DUMMYFUNCTION("""COMPUTED_VALUE"""),"Dilara Dörtköşe")</f>
        <v>Dilara Dörtköşe</v>
      </c>
      <c r="C204" s="43" t="str">
        <f>IFERROR(__xludf.DUMMYFUNCTION("""COMPUTED_VALUE"""),"completed")</f>
        <v>completed</v>
      </c>
      <c r="D204" s="43" t="str">
        <f>IFERROR(__xludf.DUMMYFUNCTION("""COMPUTED_VALUE"""),"No")</f>
        <v>No</v>
      </c>
      <c r="E204" s="43" t="str">
        <f>IFERROR(__xludf.DUMMYFUNCTION("""COMPUTED_VALUE"""),"p_66488e486944720d5e1cfbdcf5a325437fd62aba@inbound.aiesec.org")</f>
        <v>p_66488e486944720d5e1cfbdcf5a325437fd62aba@inbound.aiesec.org</v>
      </c>
      <c r="F204" s="43">
        <f>IFERROR(__xludf.DUMMYFUNCTION("""COMPUTED_VALUE"""),5.423296801E9)</f>
        <v>5423296801</v>
      </c>
      <c r="G204" s="43" t="str">
        <f>IFERROR(__xludf.DUMMYFUNCTION("""COMPUTED_VALUE"""),"Turkey")</f>
        <v>Turkey</v>
      </c>
      <c r="H204" s="43" t="str">
        <f>IFERROR(__xludf.DUMMYFUNCTION("""COMPUTED_VALUE"""),"ISTANBUL ASIA")</f>
        <v>ISTANBUL ASIA</v>
      </c>
      <c r="I204" s="43" t="str">
        <f>IFERROR(__xludf.DUMMYFUNCTION("""COMPUTED_VALUE"""),"Romania")</f>
        <v>Romania</v>
      </c>
      <c r="J204" s="43" t="str">
        <f>IFERROR(__xludf.DUMMYFUNCTION("""COMPUTED_VALUE"""),"BUCURESTI")</f>
        <v>BUCURESTI</v>
      </c>
      <c r="K204" s="44" t="str">
        <f>IFERROR(__xludf.DUMMYFUNCTION("""COMPUTED_VALUE"""),"https://expa.aiesec.org/opportunities/1290949")</f>
        <v>https://expa.aiesec.org/opportunities/1290949</v>
      </c>
      <c r="L204" s="43" t="str">
        <f>IFERROR(__xludf.DUMMYFUNCTION("""COMPUTED_VALUE"""),"GV")</f>
        <v>GV</v>
      </c>
      <c r="M204" s="43" t="str">
        <f>IFERROR(__xludf.DUMMYFUNCTION("""COMPUTED_VALUE"""),"short")</f>
        <v>short</v>
      </c>
      <c r="N204" s="45">
        <f>IFERROR(__xludf.DUMMYFUNCTION("""COMPUTED_VALUE"""),44897.0)</f>
        <v>44897</v>
      </c>
      <c r="O204" s="45">
        <f>IFERROR(__xludf.DUMMYFUNCTION("""COMPUTED_VALUE"""),45124.0)</f>
        <v>45124</v>
      </c>
      <c r="P204" s="45">
        <f>IFERROR(__xludf.DUMMYFUNCTION("""COMPUTED_VALUE"""),45166.0)</f>
        <v>45166</v>
      </c>
      <c r="Q204" s="45">
        <f>IFERROR(__xludf.DUMMYFUNCTION("""COMPUTED_VALUE"""),45125.0)</f>
        <v>45125</v>
      </c>
      <c r="R204" s="45">
        <f>IFERROR(__xludf.DUMMYFUNCTION("""COMPUTED_VALUE"""),45166.0)</f>
        <v>45166</v>
      </c>
      <c r="S204" s="43"/>
      <c r="T204" s="43"/>
      <c r="U204" s="43" t="str">
        <f>IFERROR(__xludf.DUMMYFUNCTION("""COMPUTED_VALUE"""),"Fingerprint")</f>
        <v>Fingerprint</v>
      </c>
      <c r="V204" s="43" t="str">
        <f>IFERROR(__xludf.DUMMYFUNCTION("""COMPUTED_VALUE"""),"ISTANBUL - BEYOGLU")</f>
        <v>ISTANBUL - BEYOGLU</v>
      </c>
      <c r="W204" s="43" t="str">
        <f>IFERROR(__xludf.DUMMYFUNCTION("""COMPUTED_VALUE"""),"2022-08-02T23:22:10Z")</f>
        <v>2022-08-02T23:22:10Z</v>
      </c>
      <c r="X204" s="43"/>
      <c r="Y204" s="43"/>
      <c r="Z204" s="43"/>
    </row>
    <row r="205" hidden="1">
      <c r="A205" s="43" t="str">
        <f>IFERROR(__xludf.DUMMYFUNCTION("""COMPUTED_VALUE"""),"5159877_1281901")</f>
        <v>5159877_1281901</v>
      </c>
      <c r="B205" s="43" t="str">
        <f>IFERROR(__xludf.DUMMYFUNCTION("""COMPUTED_VALUE"""),"Zeki Kaan Paksoy")</f>
        <v>Zeki Kaan Paksoy</v>
      </c>
      <c r="C205" s="43" t="str">
        <f>IFERROR(__xludf.DUMMYFUNCTION("""COMPUTED_VALUE"""),"approved")</f>
        <v>approved</v>
      </c>
      <c r="D205" s="43" t="str">
        <f>IFERROR(__xludf.DUMMYFUNCTION("""COMPUTED_VALUE"""),"No")</f>
        <v>No</v>
      </c>
      <c r="E205" s="43" t="str">
        <f>IFERROR(__xludf.DUMMYFUNCTION("""COMPUTED_VALUE"""),"p_077e2f89d5e5aad57cc098321a6281d8c4b9ae17@inbound.aiesec.org")</f>
        <v>p_077e2f89d5e5aad57cc098321a6281d8c4b9ae17@inbound.aiesec.org</v>
      </c>
      <c r="F205" s="43">
        <f>IFERROR(__xludf.DUMMYFUNCTION("""COMPUTED_VALUE"""),5.309366651E9)</f>
        <v>5309366651</v>
      </c>
      <c r="G205" s="43" t="str">
        <f>IFERROR(__xludf.DUMMYFUNCTION("""COMPUTED_VALUE"""),"Turkey")</f>
        <v>Turkey</v>
      </c>
      <c r="H205" s="43" t="str">
        <f>IFERROR(__xludf.DUMMYFUNCTION("""COMPUTED_VALUE"""),"ISTANBUL ASIA")</f>
        <v>ISTANBUL ASIA</v>
      </c>
      <c r="I205" s="43" t="str">
        <f>IFERROR(__xludf.DUMMYFUNCTION("""COMPUTED_VALUE"""),"Sri Lanka")</f>
        <v>Sri Lanka</v>
      </c>
      <c r="J205" s="43" t="str">
        <f>IFERROR(__xludf.DUMMYFUNCTION("""COMPUTED_VALUE"""),"COLOMBO SOUTH")</f>
        <v>COLOMBO SOUTH</v>
      </c>
      <c r="K205" s="44" t="str">
        <f>IFERROR(__xludf.DUMMYFUNCTION("""COMPUTED_VALUE"""),"https://expa.aiesec.org/opportunities/1281901")</f>
        <v>https://expa.aiesec.org/opportunities/1281901</v>
      </c>
      <c r="L205" s="43" t="str">
        <f>IFERROR(__xludf.DUMMYFUNCTION("""COMPUTED_VALUE"""),"GV")</f>
        <v>GV</v>
      </c>
      <c r="M205" s="43" t="str">
        <f>IFERROR(__xludf.DUMMYFUNCTION("""COMPUTED_VALUE"""),"short")</f>
        <v>short</v>
      </c>
      <c r="N205" s="45">
        <f>IFERROR(__xludf.DUMMYFUNCTION("""COMPUTED_VALUE"""),44897.0)</f>
        <v>44897</v>
      </c>
      <c r="O205" s="45">
        <f>IFERROR(__xludf.DUMMYFUNCTION("""COMPUTED_VALUE"""),45089.0)</f>
        <v>45089</v>
      </c>
      <c r="P205" s="45">
        <f>IFERROR(__xludf.DUMMYFUNCTION("""COMPUTED_VALUE"""),45131.0)</f>
        <v>45131</v>
      </c>
      <c r="Q205" s="45"/>
      <c r="R205" s="45"/>
      <c r="S205" s="43"/>
      <c r="T205" s="43"/>
      <c r="U205" s="43" t="str">
        <f>IFERROR(__xludf.DUMMYFUNCTION("""COMPUTED_VALUE"""),"Aquatica")</f>
        <v>Aquatica</v>
      </c>
      <c r="V205" s="43" t="str">
        <f>IFERROR(__xludf.DUMMYFUNCTION("""COMPUTED_VALUE"""),"ISTANBUL ASIA")</f>
        <v>ISTANBUL ASIA</v>
      </c>
      <c r="W205" s="43" t="str">
        <f>IFERROR(__xludf.DUMMYFUNCTION("""COMPUTED_VALUE"""),"2022-11-28T13:30:53Z")</f>
        <v>2022-11-28T13:30:53Z</v>
      </c>
      <c r="X205" s="43"/>
      <c r="Y205" s="43"/>
      <c r="Z205" s="43"/>
    </row>
    <row r="206" hidden="1">
      <c r="A206" s="43" t="str">
        <f>IFERROR(__xludf.DUMMYFUNCTION("""COMPUTED_VALUE"""),"5159094_1290201")</f>
        <v>5159094_1290201</v>
      </c>
      <c r="B206" s="43" t="str">
        <f>IFERROR(__xludf.DUMMYFUNCTION("""COMPUTED_VALUE"""),"Müge Uzun")</f>
        <v>Müge Uzun</v>
      </c>
      <c r="C206" s="43" t="str">
        <f>IFERROR(__xludf.DUMMYFUNCTION("""COMPUTED_VALUE"""),"finished")</f>
        <v>finished</v>
      </c>
      <c r="D206" s="43" t="str">
        <f>IFERROR(__xludf.DUMMYFUNCTION("""COMPUTED_VALUE"""),"No")</f>
        <v>No</v>
      </c>
      <c r="E206" s="43" t="str">
        <f>IFERROR(__xludf.DUMMYFUNCTION("""COMPUTED_VALUE"""),"p_4249eeffee37f6dec71f0ed32ed1707f7c42072f@inbound.aiesec.org")</f>
        <v>p_4249eeffee37f6dec71f0ed32ed1707f7c42072f@inbound.aiesec.org</v>
      </c>
      <c r="F206" s="43">
        <f>IFERROR(__xludf.DUMMYFUNCTION("""COMPUTED_VALUE"""),5.422267997E9)</f>
        <v>5422267997</v>
      </c>
      <c r="G206" s="43" t="str">
        <f>IFERROR(__xludf.DUMMYFUNCTION("""COMPUTED_VALUE"""),"Turkey")</f>
        <v>Turkey</v>
      </c>
      <c r="H206" s="43" t="str">
        <f>IFERROR(__xludf.DUMMYFUNCTION("""COMPUTED_VALUE"""),"ANKARA")</f>
        <v>ANKARA</v>
      </c>
      <c r="I206" s="43" t="str">
        <f>IFERROR(__xludf.DUMMYFUNCTION("""COMPUTED_VALUE"""),"Romania")</f>
        <v>Romania</v>
      </c>
      <c r="J206" s="43" t="str">
        <f>IFERROR(__xludf.DUMMYFUNCTION("""COMPUTED_VALUE"""),"BUCURESTI")</f>
        <v>BUCURESTI</v>
      </c>
      <c r="K206" s="44" t="str">
        <f>IFERROR(__xludf.DUMMYFUNCTION("""COMPUTED_VALUE"""),"https://expa.aiesec.org/opportunities/1290201")</f>
        <v>https://expa.aiesec.org/opportunities/1290201</v>
      </c>
      <c r="L206" s="43" t="str">
        <f>IFERROR(__xludf.DUMMYFUNCTION("""COMPUTED_VALUE"""),"GV")</f>
        <v>GV</v>
      </c>
      <c r="M206" s="43" t="str">
        <f>IFERROR(__xludf.DUMMYFUNCTION("""COMPUTED_VALUE"""),"short")</f>
        <v>short</v>
      </c>
      <c r="N206" s="45">
        <f>IFERROR(__xludf.DUMMYFUNCTION("""COMPUTED_VALUE"""),44897.0)</f>
        <v>44897</v>
      </c>
      <c r="O206" s="45">
        <f>IFERROR(__xludf.DUMMYFUNCTION("""COMPUTED_VALUE"""),44935.0)</f>
        <v>44935</v>
      </c>
      <c r="P206" s="45">
        <f>IFERROR(__xludf.DUMMYFUNCTION("""COMPUTED_VALUE"""),44977.0)</f>
        <v>44977</v>
      </c>
      <c r="Q206" s="45">
        <f>IFERROR(__xludf.DUMMYFUNCTION("""COMPUTED_VALUE"""),44937.0)</f>
        <v>44937</v>
      </c>
      <c r="R206" s="45">
        <f>IFERROR(__xludf.DUMMYFUNCTION("""COMPUTED_VALUE"""),44977.0)</f>
        <v>44977</v>
      </c>
      <c r="S206" s="43"/>
      <c r="T206" s="43"/>
      <c r="U206" s="43" t="str">
        <f>IFERROR(__xludf.DUMMYFUNCTION("""COMPUTED_VALUE"""),"Fingerprint")</f>
        <v>Fingerprint</v>
      </c>
      <c r="V206" s="43" t="str">
        <f>IFERROR(__xludf.DUMMYFUNCTION("""COMPUTED_VALUE"""),"ANKARA")</f>
        <v>ANKARA</v>
      </c>
      <c r="W206" s="43" t="str">
        <f>IFERROR(__xludf.DUMMYFUNCTION("""COMPUTED_VALUE"""),"2022-11-26T11:43:38Z")</f>
        <v>2022-11-26T11:43:38Z</v>
      </c>
      <c r="X206" s="43"/>
      <c r="Y206" s="43"/>
      <c r="Z206" s="43"/>
    </row>
    <row r="207" hidden="1">
      <c r="A207" s="43" t="str">
        <f>IFERROR(__xludf.DUMMYFUNCTION("""COMPUTED_VALUE"""),"5161520_1289617")</f>
        <v>5161520_1289617</v>
      </c>
      <c r="B207" s="43" t="str">
        <f>IFERROR(__xludf.DUMMYFUNCTION("""COMPUTED_VALUE"""),"seda eşen")</f>
        <v>seda eşen</v>
      </c>
      <c r="C207" s="43" t="str">
        <f>IFERROR(__xludf.DUMMYFUNCTION("""COMPUTED_VALUE"""),"approved")</f>
        <v>approved</v>
      </c>
      <c r="D207" s="43" t="str">
        <f>IFERROR(__xludf.DUMMYFUNCTION("""COMPUTED_VALUE"""),"No")</f>
        <v>No</v>
      </c>
      <c r="E207" s="43" t="str">
        <f>IFERROR(__xludf.DUMMYFUNCTION("""COMPUTED_VALUE"""),"p_d9188c9d8d35ed3e6c25a21bb92035484a9a068d@inbound.aiesec.org")</f>
        <v>p_d9188c9d8d35ed3e6c25a21bb92035484a9a068d@inbound.aiesec.org</v>
      </c>
      <c r="F207" s="43">
        <f>IFERROR(__xludf.DUMMYFUNCTION("""COMPUTED_VALUE"""),5.435303473E9)</f>
        <v>5435303473</v>
      </c>
      <c r="G207" s="43" t="str">
        <f>IFERROR(__xludf.DUMMYFUNCTION("""COMPUTED_VALUE"""),"Turkey")</f>
        <v>Turkey</v>
      </c>
      <c r="H207" s="43" t="str">
        <f>IFERROR(__xludf.DUMMYFUNCTION("""COMPUTED_VALUE"""),"ANKARA")</f>
        <v>ANKARA</v>
      </c>
      <c r="I207" s="43" t="str">
        <f>IFERROR(__xludf.DUMMYFUNCTION("""COMPUTED_VALUE"""),"Egypt")</f>
        <v>Egypt</v>
      </c>
      <c r="J207" s="43" t="str">
        <f>IFERROR(__xludf.DUMMYFUNCTION("""COMPUTED_VALUE"""),"Helwan")</f>
        <v>Helwan</v>
      </c>
      <c r="K207" s="44" t="str">
        <f>IFERROR(__xludf.DUMMYFUNCTION("""COMPUTED_VALUE"""),"https://expa.aiesec.org/opportunities/1289617")</f>
        <v>https://expa.aiesec.org/opportunities/1289617</v>
      </c>
      <c r="L207" s="43" t="str">
        <f>IFERROR(__xludf.DUMMYFUNCTION("""COMPUTED_VALUE"""),"GV")</f>
        <v>GV</v>
      </c>
      <c r="M207" s="43" t="str">
        <f>IFERROR(__xludf.DUMMYFUNCTION("""COMPUTED_VALUE"""),"short")</f>
        <v>short</v>
      </c>
      <c r="N207" s="45">
        <f>IFERROR(__xludf.DUMMYFUNCTION("""COMPUTED_VALUE"""),44898.0)</f>
        <v>44898</v>
      </c>
      <c r="O207" s="45">
        <f>IFERROR(__xludf.DUMMYFUNCTION("""COMPUTED_VALUE"""),45100.0)</f>
        <v>45100</v>
      </c>
      <c r="P207" s="45">
        <f>IFERROR(__xludf.DUMMYFUNCTION("""COMPUTED_VALUE"""),45142.0)</f>
        <v>45142</v>
      </c>
      <c r="Q207" s="45"/>
      <c r="R207" s="45"/>
      <c r="S207" s="43"/>
      <c r="T207" s="43"/>
      <c r="U207" s="43" t="str">
        <f>IFERROR(__xludf.DUMMYFUNCTION("""COMPUTED_VALUE"""),"Fingerprint")</f>
        <v>Fingerprint</v>
      </c>
      <c r="V207" s="43" t="str">
        <f>IFERROR(__xludf.DUMMYFUNCTION("""COMPUTED_VALUE"""),"ANKARA")</f>
        <v>ANKARA</v>
      </c>
      <c r="W207" s="43" t="str">
        <f>IFERROR(__xludf.DUMMYFUNCTION("""COMPUTED_VALUE"""),"2022-12-01T16:40:07Z")</f>
        <v>2022-12-01T16:40:07Z</v>
      </c>
      <c r="X207" s="43"/>
      <c r="Y207" s="43"/>
      <c r="Z207" s="43"/>
    </row>
    <row r="208" hidden="1">
      <c r="A208" s="43" t="str">
        <f>IFERROR(__xludf.DUMMYFUNCTION("""COMPUTED_VALUE"""),"4048277_1290210")</f>
        <v>4048277_1290210</v>
      </c>
      <c r="B208" s="43" t="str">
        <f>IFERROR(__xludf.DUMMYFUNCTION("""COMPUTED_VALUE"""),"Sümer Kamber")</f>
        <v>Sümer Kamber</v>
      </c>
      <c r="C208" s="43" t="str">
        <f>IFERROR(__xludf.DUMMYFUNCTION("""COMPUTED_VALUE"""),"completed")</f>
        <v>completed</v>
      </c>
      <c r="D208" s="43" t="str">
        <f>IFERROR(__xludf.DUMMYFUNCTION("""COMPUTED_VALUE"""),"No")</f>
        <v>No</v>
      </c>
      <c r="E208" s="43" t="str">
        <f>IFERROR(__xludf.DUMMYFUNCTION("""COMPUTED_VALUE"""),"p_082c9aa08ca330edd6e47f0d65c6a1c74228d55d@inbound.aiesec.org")</f>
        <v>p_082c9aa08ca330edd6e47f0d65c6a1c74228d55d@inbound.aiesec.org</v>
      </c>
      <c r="F208" s="43">
        <f>IFERROR(__xludf.DUMMYFUNCTION("""COMPUTED_VALUE"""),5.316603014E9)</f>
        <v>5316603014</v>
      </c>
      <c r="G208" s="43" t="str">
        <f>IFERROR(__xludf.DUMMYFUNCTION("""COMPUTED_VALUE"""),"Turkey")</f>
        <v>Turkey</v>
      </c>
      <c r="H208" s="43" t="str">
        <f>IFERROR(__xludf.DUMMYFUNCTION("""COMPUTED_VALUE"""),"KOCAELI")</f>
        <v>KOCAELI</v>
      </c>
      <c r="I208" s="43" t="str">
        <f>IFERROR(__xludf.DUMMYFUNCTION("""COMPUTED_VALUE"""),"Romania")</f>
        <v>Romania</v>
      </c>
      <c r="J208" s="43" t="str">
        <f>IFERROR(__xludf.DUMMYFUNCTION("""COMPUTED_VALUE"""),"Cluj-Napoca")</f>
        <v>Cluj-Napoca</v>
      </c>
      <c r="K208" s="44" t="str">
        <f>IFERROR(__xludf.DUMMYFUNCTION("""COMPUTED_VALUE"""),"https://expa.aiesec.org/opportunities/1290210")</f>
        <v>https://expa.aiesec.org/opportunities/1290210</v>
      </c>
      <c r="L208" s="43" t="str">
        <f>IFERROR(__xludf.DUMMYFUNCTION("""COMPUTED_VALUE"""),"GV")</f>
        <v>GV</v>
      </c>
      <c r="M208" s="43" t="str">
        <f>IFERROR(__xludf.DUMMYFUNCTION("""COMPUTED_VALUE"""),"short")</f>
        <v>short</v>
      </c>
      <c r="N208" s="45">
        <f>IFERROR(__xludf.DUMMYFUNCTION("""COMPUTED_VALUE"""),44898.0)</f>
        <v>44898</v>
      </c>
      <c r="O208" s="45">
        <f>IFERROR(__xludf.DUMMYFUNCTION("""COMPUTED_VALUE"""),44949.0)</f>
        <v>44949</v>
      </c>
      <c r="P208" s="45">
        <f>IFERROR(__xludf.DUMMYFUNCTION("""COMPUTED_VALUE"""),44991.0)</f>
        <v>44991</v>
      </c>
      <c r="Q208" s="45">
        <f>IFERROR(__xludf.DUMMYFUNCTION("""COMPUTED_VALUE"""),44954.0)</f>
        <v>44954</v>
      </c>
      <c r="R208" s="45">
        <f>IFERROR(__xludf.DUMMYFUNCTION("""COMPUTED_VALUE"""),44994.0)</f>
        <v>44994</v>
      </c>
      <c r="S208" s="43"/>
      <c r="T208" s="43"/>
      <c r="U208" s="43" t="str">
        <f>IFERROR(__xludf.DUMMYFUNCTION("""COMPUTED_VALUE"""),"Eat 4 Change")</f>
        <v>Eat 4 Change</v>
      </c>
      <c r="V208" s="43" t="str">
        <f>IFERROR(__xludf.DUMMYFUNCTION("""COMPUTED_VALUE"""),"KOCAELI")</f>
        <v>KOCAELI</v>
      </c>
      <c r="W208" s="43" t="str">
        <f>IFERROR(__xludf.DUMMYFUNCTION("""COMPUTED_VALUE"""),"2019-11-26T15:18:25Z")</f>
        <v>2019-11-26T15:18:25Z</v>
      </c>
      <c r="X208" s="43"/>
      <c r="Y208" s="43"/>
      <c r="Z208" s="43"/>
    </row>
    <row r="209" hidden="1">
      <c r="A209" s="43" t="str">
        <f>IFERROR(__xludf.DUMMYFUNCTION("""COMPUTED_VALUE"""),"5157351_1284485")</f>
        <v>5157351_1284485</v>
      </c>
      <c r="B209" s="43" t="str">
        <f>IFERROR(__xludf.DUMMYFUNCTION("""COMPUTED_VALUE"""),"elif tezgel")</f>
        <v>elif tezgel</v>
      </c>
      <c r="C209" s="43" t="str">
        <f>IFERROR(__xludf.DUMMYFUNCTION("""COMPUTED_VALUE"""),"approved")</f>
        <v>approved</v>
      </c>
      <c r="D209" s="43" t="str">
        <f>IFERROR(__xludf.DUMMYFUNCTION("""COMPUTED_VALUE"""),"No")</f>
        <v>No</v>
      </c>
      <c r="E209" s="43" t="str">
        <f>IFERROR(__xludf.DUMMYFUNCTION("""COMPUTED_VALUE"""),"p_0a16d24e284f6472f3e5407e0a33238856f4f6fd@inbound.aiesec.org")</f>
        <v>p_0a16d24e284f6472f3e5407e0a33238856f4f6fd@inbound.aiesec.org</v>
      </c>
      <c r="F209" s="43">
        <f>IFERROR(__xludf.DUMMYFUNCTION("""COMPUTED_VALUE"""),5.346026053E9)</f>
        <v>5346026053</v>
      </c>
      <c r="G209" s="43" t="str">
        <f>IFERROR(__xludf.DUMMYFUNCTION("""COMPUTED_VALUE"""),"Turkey")</f>
        <v>Turkey</v>
      </c>
      <c r="H209" s="43" t="str">
        <f>IFERROR(__xludf.DUMMYFUNCTION("""COMPUTED_VALUE"""),"KONYA")</f>
        <v>KONYA</v>
      </c>
      <c r="I209" s="43" t="str">
        <f>IFERROR(__xludf.DUMMYFUNCTION("""COMPUTED_VALUE"""),"India")</f>
        <v>India</v>
      </c>
      <c r="J209" s="43" t="str">
        <f>IFERROR(__xludf.DUMMYFUNCTION("""COMPUTED_VALUE"""),"Dehradun")</f>
        <v>Dehradun</v>
      </c>
      <c r="K209" s="44" t="str">
        <f>IFERROR(__xludf.DUMMYFUNCTION("""COMPUTED_VALUE"""),"https://expa.aiesec.org/opportunities/1284485")</f>
        <v>https://expa.aiesec.org/opportunities/1284485</v>
      </c>
      <c r="L209" s="43" t="str">
        <f>IFERROR(__xludf.DUMMYFUNCTION("""COMPUTED_VALUE"""),"GV")</f>
        <v>GV</v>
      </c>
      <c r="M209" s="43" t="str">
        <f>IFERROR(__xludf.DUMMYFUNCTION("""COMPUTED_VALUE"""),"short")</f>
        <v>short</v>
      </c>
      <c r="N209" s="45">
        <f>IFERROR(__xludf.DUMMYFUNCTION("""COMPUTED_VALUE"""),44899.0)</f>
        <v>44899</v>
      </c>
      <c r="O209" s="45">
        <f>IFERROR(__xludf.DUMMYFUNCTION("""COMPUTED_VALUE"""),44962.0)</f>
        <v>44962</v>
      </c>
      <c r="P209" s="45">
        <f>IFERROR(__xludf.DUMMYFUNCTION("""COMPUTED_VALUE"""),45004.0)</f>
        <v>45004</v>
      </c>
      <c r="Q209" s="45"/>
      <c r="R209" s="45"/>
      <c r="S209" s="43"/>
      <c r="T209" s="43"/>
      <c r="U209" s="43" t="str">
        <f>IFERROR(__xludf.DUMMYFUNCTION("""COMPUTED_VALUE"""),"Global Classroom")</f>
        <v>Global Classroom</v>
      </c>
      <c r="V209" s="43" t="str">
        <f>IFERROR(__xludf.DUMMYFUNCTION("""COMPUTED_VALUE"""),"KONYA")</f>
        <v>KONYA</v>
      </c>
      <c r="W209" s="43" t="str">
        <f>IFERROR(__xludf.DUMMYFUNCTION("""COMPUTED_VALUE"""),"2022-11-22T17:03:03Z")</f>
        <v>2022-11-22T17:03:03Z</v>
      </c>
      <c r="X209" s="43"/>
      <c r="Y209" s="43"/>
      <c r="Z209" s="43"/>
    </row>
    <row r="210" hidden="1">
      <c r="A210" s="43" t="str">
        <f>IFERROR(__xludf.DUMMYFUNCTION("""COMPUTED_VALUE"""),"5145849_1290649")</f>
        <v>5145849_1290649</v>
      </c>
      <c r="B210" s="43" t="str">
        <f>IFERROR(__xludf.DUMMYFUNCTION("""COMPUTED_VALUE"""),"Serdar Akyüz")</f>
        <v>Serdar Akyüz</v>
      </c>
      <c r="C210" s="43" t="str">
        <f>IFERROR(__xludf.DUMMYFUNCTION("""COMPUTED_VALUE"""),"approved")</f>
        <v>approved</v>
      </c>
      <c r="D210" s="43" t="str">
        <f>IFERROR(__xludf.DUMMYFUNCTION("""COMPUTED_VALUE"""),"No")</f>
        <v>No</v>
      </c>
      <c r="E210" s="43" t="str">
        <f>IFERROR(__xludf.DUMMYFUNCTION("""COMPUTED_VALUE"""),"p_4273fcbc4e43477d0365592ff0d548a56f2e856d@inbound.aiesec.org")</f>
        <v>p_4273fcbc4e43477d0365592ff0d548a56f2e856d@inbound.aiesec.org</v>
      </c>
      <c r="F210" s="43">
        <f>IFERROR(__xludf.DUMMYFUNCTION("""COMPUTED_VALUE"""),5.322426176E9)</f>
        <v>5322426176</v>
      </c>
      <c r="G210" s="43" t="str">
        <f>IFERROR(__xludf.DUMMYFUNCTION("""COMPUTED_VALUE"""),"Turkey")</f>
        <v>Turkey</v>
      </c>
      <c r="H210" s="43" t="str">
        <f>IFERROR(__xludf.DUMMYFUNCTION("""COMPUTED_VALUE"""),"ISTANBUL WEST")</f>
        <v>ISTANBUL WEST</v>
      </c>
      <c r="I210" s="43" t="str">
        <f>IFERROR(__xludf.DUMMYFUNCTION("""COMPUTED_VALUE"""),"Tunisia")</f>
        <v>Tunisia</v>
      </c>
      <c r="J210" s="43" t="str">
        <f>IFERROR(__xludf.DUMMYFUNCTION("""COMPUTED_VALUE"""),"MEDINA")</f>
        <v>MEDINA</v>
      </c>
      <c r="K210" s="44" t="str">
        <f>IFERROR(__xludf.DUMMYFUNCTION("""COMPUTED_VALUE"""),"https://expa.aiesec.org/opportunities/1290649")</f>
        <v>https://expa.aiesec.org/opportunities/1290649</v>
      </c>
      <c r="L210" s="43" t="str">
        <f>IFERROR(__xludf.DUMMYFUNCTION("""COMPUTED_VALUE"""),"GV")</f>
        <v>GV</v>
      </c>
      <c r="M210" s="43" t="str">
        <f>IFERROR(__xludf.DUMMYFUNCTION("""COMPUTED_VALUE"""),"short")</f>
        <v>short</v>
      </c>
      <c r="N210" s="45">
        <f>IFERROR(__xludf.DUMMYFUNCTION("""COMPUTED_VALUE"""),44900.0)</f>
        <v>44900</v>
      </c>
      <c r="O210" s="45">
        <f>IFERROR(__xludf.DUMMYFUNCTION("""COMPUTED_VALUE"""),44915.0)</f>
        <v>44915</v>
      </c>
      <c r="P210" s="45">
        <f>IFERROR(__xludf.DUMMYFUNCTION("""COMPUTED_VALUE"""),44957.0)</f>
        <v>44957</v>
      </c>
      <c r="Q210" s="45"/>
      <c r="R210" s="45"/>
      <c r="S210" s="43"/>
      <c r="T210" s="43"/>
      <c r="U210" s="43" t="str">
        <f>IFERROR(__xludf.DUMMYFUNCTION("""COMPUTED_VALUE"""),"On The Map")</f>
        <v>On The Map</v>
      </c>
      <c r="V210" s="43" t="str">
        <f>IFERROR(__xludf.DUMMYFUNCTION("""COMPUTED_VALUE"""),"ISTANBUL - BAKIRKOY")</f>
        <v>ISTANBUL - BAKIRKOY</v>
      </c>
      <c r="W210" s="43" t="str">
        <f>IFERROR(__xludf.DUMMYFUNCTION("""COMPUTED_VALUE"""),"2022-11-03T12:33:56Z")</f>
        <v>2022-11-03T12:33:56Z</v>
      </c>
      <c r="X210" s="43"/>
      <c r="Y210" s="43"/>
      <c r="Z210" s="43"/>
    </row>
    <row r="211" hidden="1">
      <c r="A211" s="43" t="str">
        <f>IFERROR(__xludf.DUMMYFUNCTION("""COMPUTED_VALUE"""),"5148540_1289698")</f>
        <v>5148540_1289698</v>
      </c>
      <c r="B211" s="43" t="str">
        <f>IFERROR(__xludf.DUMMYFUNCTION("""COMPUTED_VALUE"""),"ABDURRAHMAN SELIM CELIKBILEK")</f>
        <v>ABDURRAHMAN SELIM CELIKBILEK</v>
      </c>
      <c r="C211" s="43" t="str">
        <f>IFERROR(__xludf.DUMMYFUNCTION("""COMPUTED_VALUE"""),"completed")</f>
        <v>completed</v>
      </c>
      <c r="D211" s="43" t="str">
        <f>IFERROR(__xludf.DUMMYFUNCTION("""COMPUTED_VALUE"""),"No")</f>
        <v>No</v>
      </c>
      <c r="E211" s="43" t="str">
        <f>IFERROR(__xludf.DUMMYFUNCTION("""COMPUTED_VALUE"""),"p_57318285e3ccd9e7ad0ee27984829bd96916062c@inbound.aiesec.org")</f>
        <v>p_57318285e3ccd9e7ad0ee27984829bd96916062c@inbound.aiesec.org</v>
      </c>
      <c r="F211" s="43"/>
      <c r="G211" s="43" t="str">
        <f>IFERROR(__xludf.DUMMYFUNCTION("""COMPUTED_VALUE"""),"Turkey")</f>
        <v>Turkey</v>
      </c>
      <c r="H211" s="43" t="str">
        <f>IFERROR(__xludf.DUMMYFUNCTION("""COMPUTED_VALUE"""),"ISTANBUL")</f>
        <v>ISTANBUL</v>
      </c>
      <c r="I211" s="43" t="str">
        <f>IFERROR(__xludf.DUMMYFUNCTION("""COMPUTED_VALUE"""),"Egypt")</f>
        <v>Egypt</v>
      </c>
      <c r="J211" s="43" t="str">
        <f>IFERROR(__xludf.DUMMYFUNCTION("""COMPUTED_VALUE"""),"GUC")</f>
        <v>GUC</v>
      </c>
      <c r="K211" s="44" t="str">
        <f>IFERROR(__xludf.DUMMYFUNCTION("""COMPUTED_VALUE"""),"https://expa.aiesec.org/opportunities/1289698")</f>
        <v>https://expa.aiesec.org/opportunities/1289698</v>
      </c>
      <c r="L211" s="43" t="str">
        <f>IFERROR(__xludf.DUMMYFUNCTION("""COMPUTED_VALUE"""),"GV")</f>
        <v>GV</v>
      </c>
      <c r="M211" s="43" t="str">
        <f>IFERROR(__xludf.DUMMYFUNCTION("""COMPUTED_VALUE"""),"short")</f>
        <v>short</v>
      </c>
      <c r="N211" s="45">
        <f>IFERROR(__xludf.DUMMYFUNCTION("""COMPUTED_VALUE"""),44901.0)</f>
        <v>44901</v>
      </c>
      <c r="O211" s="45">
        <f>IFERROR(__xludf.DUMMYFUNCTION("""COMPUTED_VALUE"""),45123.0)</f>
        <v>45123</v>
      </c>
      <c r="P211" s="45">
        <f>IFERROR(__xludf.DUMMYFUNCTION("""COMPUTED_VALUE"""),45165.0)</f>
        <v>45165</v>
      </c>
      <c r="Q211" s="45"/>
      <c r="R211" s="45">
        <f>IFERROR(__xludf.DUMMYFUNCTION("""COMPUTED_VALUE"""),45158.0)</f>
        <v>45158</v>
      </c>
      <c r="S211" s="43"/>
      <c r="T211" s="43"/>
      <c r="U211" s="43" t="str">
        <f>IFERROR(__xludf.DUMMYFUNCTION("""COMPUTED_VALUE"""),"Scale Up!")</f>
        <v>Scale Up!</v>
      </c>
      <c r="V211" s="43" t="str">
        <f>IFERROR(__xludf.DUMMYFUNCTION("""COMPUTED_VALUE"""),"-")</f>
        <v>-</v>
      </c>
      <c r="W211" s="43" t="str">
        <f>IFERROR(__xludf.DUMMYFUNCTION("""COMPUTED_VALUE"""),"2022-11-07T12:37:46Z")</f>
        <v>2022-11-07T12:37:46Z</v>
      </c>
      <c r="X211" s="43"/>
      <c r="Y211" s="43"/>
      <c r="Z211" s="43"/>
    </row>
    <row r="212" hidden="1">
      <c r="A212" s="43" t="str">
        <f>IFERROR(__xludf.DUMMYFUNCTION("""COMPUTED_VALUE"""),"4829765_1287315")</f>
        <v>4829765_1287315</v>
      </c>
      <c r="B212" s="43" t="str">
        <f>IFERROR(__xludf.DUMMYFUNCTION("""COMPUTED_VALUE"""),"Serife Aybay")</f>
        <v>Serife Aybay</v>
      </c>
      <c r="C212" s="43" t="str">
        <f>IFERROR(__xludf.DUMMYFUNCTION("""COMPUTED_VALUE"""),"completed")</f>
        <v>completed</v>
      </c>
      <c r="D212" s="43" t="str">
        <f>IFERROR(__xludf.DUMMYFUNCTION("""COMPUTED_VALUE"""),"No")</f>
        <v>No</v>
      </c>
      <c r="E212" s="43" t="str">
        <f>IFERROR(__xludf.DUMMYFUNCTION("""COMPUTED_VALUE"""),"p_98a2de4ddb786b0454da9840cfb615685497ec7e@inbound.aiesec.org")</f>
        <v>p_98a2de4ddb786b0454da9840cfb615685497ec7e@inbound.aiesec.org</v>
      </c>
      <c r="F212" s="43">
        <f>IFERROR(__xludf.DUMMYFUNCTION("""COMPUTED_VALUE"""),5.388448161E9)</f>
        <v>5388448161</v>
      </c>
      <c r="G212" s="43" t="str">
        <f>IFERROR(__xludf.DUMMYFUNCTION("""COMPUTED_VALUE"""),"Turkey")</f>
        <v>Turkey</v>
      </c>
      <c r="H212" s="43" t="str">
        <f>IFERROR(__xludf.DUMMYFUNCTION("""COMPUTED_VALUE"""),"ISTANBUL")</f>
        <v>ISTANBUL</v>
      </c>
      <c r="I212" s="43" t="str">
        <f>IFERROR(__xludf.DUMMYFUNCTION("""COMPUTED_VALUE"""),"Egypt")</f>
        <v>Egypt</v>
      </c>
      <c r="J212" s="43" t="str">
        <f>IFERROR(__xludf.DUMMYFUNCTION("""COMPUTED_VALUE"""),"Ain Shams University")</f>
        <v>Ain Shams University</v>
      </c>
      <c r="K212" s="44" t="str">
        <f>IFERROR(__xludf.DUMMYFUNCTION("""COMPUTED_VALUE"""),"https://expa.aiesec.org/opportunities/1287315")</f>
        <v>https://expa.aiesec.org/opportunities/1287315</v>
      </c>
      <c r="L212" s="43" t="str">
        <f>IFERROR(__xludf.DUMMYFUNCTION("""COMPUTED_VALUE"""),"GV")</f>
        <v>GV</v>
      </c>
      <c r="M212" s="43" t="str">
        <f>IFERROR(__xludf.DUMMYFUNCTION("""COMPUTED_VALUE"""),"short")</f>
        <v>short</v>
      </c>
      <c r="N212" s="45">
        <f>IFERROR(__xludf.DUMMYFUNCTION("""COMPUTED_VALUE"""),44901.0)</f>
        <v>44901</v>
      </c>
      <c r="O212" s="45">
        <f>IFERROR(__xludf.DUMMYFUNCTION("""COMPUTED_VALUE"""),45122.0)</f>
        <v>45122</v>
      </c>
      <c r="P212" s="45">
        <f>IFERROR(__xludf.DUMMYFUNCTION("""COMPUTED_VALUE"""),45164.0)</f>
        <v>45164</v>
      </c>
      <c r="Q212" s="45">
        <f>IFERROR(__xludf.DUMMYFUNCTION("""COMPUTED_VALUE"""),45123.0)</f>
        <v>45123</v>
      </c>
      <c r="R212" s="45">
        <f>IFERROR(__xludf.DUMMYFUNCTION("""COMPUTED_VALUE"""),45167.0)</f>
        <v>45167</v>
      </c>
      <c r="S212" s="43"/>
      <c r="T212" s="43"/>
      <c r="U212" s="43" t="str">
        <f>IFERROR(__xludf.DUMMYFUNCTION("""COMPUTED_VALUE"""),"Global Classroom")</f>
        <v>Global Classroom</v>
      </c>
      <c r="V212" s="43" t="str">
        <f>IFERROR(__xludf.DUMMYFUNCTION("""COMPUTED_VALUE"""),"ISTANBUL - BEYOGLU")</f>
        <v>ISTANBUL - BEYOGLU</v>
      </c>
      <c r="W212" s="43" t="str">
        <f>IFERROR(__xludf.DUMMYFUNCTION("""COMPUTED_VALUE"""),"2021-12-04T19:32:51Z")</f>
        <v>2021-12-04T19:32:51Z</v>
      </c>
      <c r="X212" s="43"/>
      <c r="Y212" s="43"/>
      <c r="Z212" s="43"/>
    </row>
    <row r="213" hidden="1">
      <c r="A213" s="43" t="str">
        <f>IFERROR(__xludf.DUMMYFUNCTION("""COMPUTED_VALUE"""),"3927273_1291038")</f>
        <v>3927273_1291038</v>
      </c>
      <c r="B213" s="43" t="str">
        <f>IFERROR(__xludf.DUMMYFUNCTION("""COMPUTED_VALUE"""),"Polen ayşe Gündüz")</f>
        <v>Polen ayşe Gündüz</v>
      </c>
      <c r="C213" s="43" t="str">
        <f>IFERROR(__xludf.DUMMYFUNCTION("""COMPUTED_VALUE"""),"completed")</f>
        <v>completed</v>
      </c>
      <c r="D213" s="43" t="str">
        <f>IFERROR(__xludf.DUMMYFUNCTION("""COMPUTED_VALUE"""),"No")</f>
        <v>No</v>
      </c>
      <c r="E213" s="43" t="str">
        <f>IFERROR(__xludf.DUMMYFUNCTION("""COMPUTED_VALUE"""),"p_7a334941ef76acc721961cdf299eaacc0aae20e6@inbound.aiesec.org")</f>
        <v>p_7a334941ef76acc721961cdf299eaacc0aae20e6@inbound.aiesec.org</v>
      </c>
      <c r="F213" s="43">
        <f>IFERROR(__xludf.DUMMYFUNCTION("""COMPUTED_VALUE"""),5.462271406E9)</f>
        <v>5462271406</v>
      </c>
      <c r="G213" s="43" t="str">
        <f>IFERROR(__xludf.DUMMYFUNCTION("""COMPUTED_VALUE"""),"Turkey")</f>
        <v>Turkey</v>
      </c>
      <c r="H213" s="43" t="str">
        <f>IFERROR(__xludf.DUMMYFUNCTION("""COMPUTED_VALUE"""),"ESKISEHIR")</f>
        <v>ESKISEHIR</v>
      </c>
      <c r="I213" s="43" t="str">
        <f>IFERROR(__xludf.DUMMYFUNCTION("""COMPUTED_VALUE"""),"Serbia")</f>
        <v>Serbia</v>
      </c>
      <c r="J213" s="43" t="str">
        <f>IFERROR(__xludf.DUMMYFUNCTION("""COMPUTED_VALUE"""),"KRAGUJEVAC")</f>
        <v>KRAGUJEVAC</v>
      </c>
      <c r="K213" s="44" t="str">
        <f>IFERROR(__xludf.DUMMYFUNCTION("""COMPUTED_VALUE"""),"https://expa.aiesec.org/opportunities/1291038")</f>
        <v>https://expa.aiesec.org/opportunities/1291038</v>
      </c>
      <c r="L213" s="43" t="str">
        <f>IFERROR(__xludf.DUMMYFUNCTION("""COMPUTED_VALUE"""),"GV")</f>
        <v>GV</v>
      </c>
      <c r="M213" s="43" t="str">
        <f>IFERROR(__xludf.DUMMYFUNCTION("""COMPUTED_VALUE"""),"short")</f>
        <v>short</v>
      </c>
      <c r="N213" s="45">
        <f>IFERROR(__xludf.DUMMYFUNCTION("""COMPUTED_VALUE"""),44901.0)</f>
        <v>44901</v>
      </c>
      <c r="O213" s="45">
        <f>IFERROR(__xludf.DUMMYFUNCTION("""COMPUTED_VALUE"""),44941.0)</f>
        <v>44941</v>
      </c>
      <c r="P213" s="45">
        <f>IFERROR(__xludf.DUMMYFUNCTION("""COMPUTED_VALUE"""),44983.0)</f>
        <v>44983</v>
      </c>
      <c r="Q213" s="45">
        <f>IFERROR(__xludf.DUMMYFUNCTION("""COMPUTED_VALUE"""),44943.0)</f>
        <v>44943</v>
      </c>
      <c r="R213" s="45">
        <f>IFERROR(__xludf.DUMMYFUNCTION("""COMPUTED_VALUE"""),44983.0)</f>
        <v>44983</v>
      </c>
      <c r="S213" s="43"/>
      <c r="T213" s="43"/>
      <c r="U213" s="43" t="str">
        <f>IFERROR(__xludf.DUMMYFUNCTION("""COMPUTED_VALUE"""),"Global Classroom")</f>
        <v>Global Classroom</v>
      </c>
      <c r="V213" s="43" t="str">
        <f>IFERROR(__xludf.DUMMYFUNCTION("""COMPUTED_VALUE"""),"ESKISEHIR")</f>
        <v>ESKISEHIR</v>
      </c>
      <c r="W213" s="43" t="str">
        <f>IFERROR(__xludf.DUMMYFUNCTION("""COMPUTED_VALUE"""),"2019-10-26T12:01:55Z")</f>
        <v>2019-10-26T12:01:55Z</v>
      </c>
      <c r="X213" s="43"/>
      <c r="Y213" s="43"/>
      <c r="Z213" s="43"/>
    </row>
    <row r="214" hidden="1">
      <c r="A214" s="43" t="str">
        <f>IFERROR(__xludf.DUMMYFUNCTION("""COMPUTED_VALUE"""),"5140396_1291039")</f>
        <v>5140396_1291039</v>
      </c>
      <c r="B214" s="43" t="str">
        <f>IFERROR(__xludf.DUMMYFUNCTION("""COMPUTED_VALUE"""),"Zafer Can Ölmez")</f>
        <v>Zafer Can Ölmez</v>
      </c>
      <c r="C214" s="43" t="str">
        <f>IFERROR(__xludf.DUMMYFUNCTION("""COMPUTED_VALUE"""),"completed")</f>
        <v>completed</v>
      </c>
      <c r="D214" s="43" t="str">
        <f>IFERROR(__xludf.DUMMYFUNCTION("""COMPUTED_VALUE"""),"No")</f>
        <v>No</v>
      </c>
      <c r="E214" s="43" t="str">
        <f>IFERROR(__xludf.DUMMYFUNCTION("""COMPUTED_VALUE"""),"p_1a0d8e4c8f9cec2b9ef4724039b9f9c228373d6a@inbound.aiesec.org")</f>
        <v>p_1a0d8e4c8f9cec2b9ef4724039b9f9c228373d6a@inbound.aiesec.org</v>
      </c>
      <c r="F214" s="43">
        <f>IFERROR(__xludf.DUMMYFUNCTION("""COMPUTED_VALUE"""),5.061331545E9)</f>
        <v>5061331545</v>
      </c>
      <c r="G214" s="43" t="str">
        <f>IFERROR(__xludf.DUMMYFUNCTION("""COMPUTED_VALUE"""),"Turkey")</f>
        <v>Turkey</v>
      </c>
      <c r="H214" s="43" t="str">
        <f>IFERROR(__xludf.DUMMYFUNCTION("""COMPUTED_VALUE"""),"ESKISEHIR")</f>
        <v>ESKISEHIR</v>
      </c>
      <c r="I214" s="43" t="str">
        <f>IFERROR(__xludf.DUMMYFUNCTION("""COMPUTED_VALUE"""),"Serbia")</f>
        <v>Serbia</v>
      </c>
      <c r="J214" s="43" t="str">
        <f>IFERROR(__xludf.DUMMYFUNCTION("""COMPUTED_VALUE"""),"KRAGUJEVAC")</f>
        <v>KRAGUJEVAC</v>
      </c>
      <c r="K214" s="44" t="str">
        <f>IFERROR(__xludf.DUMMYFUNCTION("""COMPUTED_VALUE"""),"https://expa.aiesec.org/opportunities/1291039")</f>
        <v>https://expa.aiesec.org/opportunities/1291039</v>
      </c>
      <c r="L214" s="43" t="str">
        <f>IFERROR(__xludf.DUMMYFUNCTION("""COMPUTED_VALUE"""),"GV")</f>
        <v>GV</v>
      </c>
      <c r="M214" s="43" t="str">
        <f>IFERROR(__xludf.DUMMYFUNCTION("""COMPUTED_VALUE"""),"short")</f>
        <v>short</v>
      </c>
      <c r="N214" s="45">
        <f>IFERROR(__xludf.DUMMYFUNCTION("""COMPUTED_VALUE"""),44901.0)</f>
        <v>44901</v>
      </c>
      <c r="O214" s="45">
        <f>IFERROR(__xludf.DUMMYFUNCTION("""COMPUTED_VALUE"""),44941.0)</f>
        <v>44941</v>
      </c>
      <c r="P214" s="45">
        <f>IFERROR(__xludf.DUMMYFUNCTION("""COMPUTED_VALUE"""),44983.0)</f>
        <v>44983</v>
      </c>
      <c r="Q214" s="45">
        <f>IFERROR(__xludf.DUMMYFUNCTION("""COMPUTED_VALUE"""),44943.0)</f>
        <v>44943</v>
      </c>
      <c r="R214" s="45">
        <f>IFERROR(__xludf.DUMMYFUNCTION("""COMPUTED_VALUE"""),44983.0)</f>
        <v>44983</v>
      </c>
      <c r="S214" s="43"/>
      <c r="T214" s="43"/>
      <c r="U214" s="43" t="str">
        <f>IFERROR(__xludf.DUMMYFUNCTION("""COMPUTED_VALUE"""),"Youth 4 Impact")</f>
        <v>Youth 4 Impact</v>
      </c>
      <c r="V214" s="43" t="str">
        <f>IFERROR(__xludf.DUMMYFUNCTION("""COMPUTED_VALUE"""),"ESKISEHIR")</f>
        <v>ESKISEHIR</v>
      </c>
      <c r="W214" s="43" t="str">
        <f>IFERROR(__xludf.DUMMYFUNCTION("""COMPUTED_VALUE"""),"2022-10-25T18:40:10Z")</f>
        <v>2022-10-25T18:40:10Z</v>
      </c>
      <c r="X214" s="43"/>
      <c r="Y214" s="43"/>
      <c r="Z214" s="43"/>
    </row>
    <row r="215" hidden="1">
      <c r="A215" s="43" t="str">
        <f>IFERROR(__xludf.DUMMYFUNCTION("""COMPUTED_VALUE"""),"5160921_1284485")</f>
        <v>5160921_1284485</v>
      </c>
      <c r="B215" s="43" t="str">
        <f>IFERROR(__xludf.DUMMYFUNCTION("""COMPUTED_VALUE"""),"rumeysa kazdal")</f>
        <v>rumeysa kazdal</v>
      </c>
      <c r="C215" s="43" t="str">
        <f>IFERROR(__xludf.DUMMYFUNCTION("""COMPUTED_VALUE"""),"approved")</f>
        <v>approved</v>
      </c>
      <c r="D215" s="43" t="str">
        <f>IFERROR(__xludf.DUMMYFUNCTION("""COMPUTED_VALUE"""),"No")</f>
        <v>No</v>
      </c>
      <c r="E215" s="43" t="str">
        <f>IFERROR(__xludf.DUMMYFUNCTION("""COMPUTED_VALUE"""),"p_36488157a9e711cdc8d19caa2f92a66a672d61eb@inbound.aiesec.org")</f>
        <v>p_36488157a9e711cdc8d19caa2f92a66a672d61eb@inbound.aiesec.org</v>
      </c>
      <c r="F215" s="43">
        <f>IFERROR(__xludf.DUMMYFUNCTION("""COMPUTED_VALUE"""),5.313382596E9)</f>
        <v>5313382596</v>
      </c>
      <c r="G215" s="43" t="str">
        <f>IFERROR(__xludf.DUMMYFUNCTION("""COMPUTED_VALUE"""),"Turkey")</f>
        <v>Turkey</v>
      </c>
      <c r="H215" s="43" t="str">
        <f>IFERROR(__xludf.DUMMYFUNCTION("""COMPUTED_VALUE"""),"KONYA")</f>
        <v>KONYA</v>
      </c>
      <c r="I215" s="43" t="str">
        <f>IFERROR(__xludf.DUMMYFUNCTION("""COMPUTED_VALUE"""),"India")</f>
        <v>India</v>
      </c>
      <c r="J215" s="43" t="str">
        <f>IFERROR(__xludf.DUMMYFUNCTION("""COMPUTED_VALUE"""),"Dehradun")</f>
        <v>Dehradun</v>
      </c>
      <c r="K215" s="44" t="str">
        <f>IFERROR(__xludf.DUMMYFUNCTION("""COMPUTED_VALUE"""),"https://expa.aiesec.org/opportunities/1284485")</f>
        <v>https://expa.aiesec.org/opportunities/1284485</v>
      </c>
      <c r="L215" s="43" t="str">
        <f>IFERROR(__xludf.DUMMYFUNCTION("""COMPUTED_VALUE"""),"GV")</f>
        <v>GV</v>
      </c>
      <c r="M215" s="43" t="str">
        <f>IFERROR(__xludf.DUMMYFUNCTION("""COMPUTED_VALUE"""),"short")</f>
        <v>short</v>
      </c>
      <c r="N215" s="45">
        <f>IFERROR(__xludf.DUMMYFUNCTION("""COMPUTED_VALUE"""),44901.0)</f>
        <v>44901</v>
      </c>
      <c r="O215" s="45">
        <f>IFERROR(__xludf.DUMMYFUNCTION("""COMPUTED_VALUE"""),44962.0)</f>
        <v>44962</v>
      </c>
      <c r="P215" s="45">
        <f>IFERROR(__xludf.DUMMYFUNCTION("""COMPUTED_VALUE"""),45004.0)</f>
        <v>45004</v>
      </c>
      <c r="Q215" s="45"/>
      <c r="R215" s="45"/>
      <c r="S215" s="43"/>
      <c r="T215" s="43"/>
      <c r="U215" s="43" t="str">
        <f>IFERROR(__xludf.DUMMYFUNCTION("""COMPUTED_VALUE"""),"Global Classroom")</f>
        <v>Global Classroom</v>
      </c>
      <c r="V215" s="43" t="str">
        <f>IFERROR(__xludf.DUMMYFUNCTION("""COMPUTED_VALUE"""),"ISTANBUL - BEYOGLU")</f>
        <v>ISTANBUL - BEYOGLU</v>
      </c>
      <c r="W215" s="43" t="str">
        <f>IFERROR(__xludf.DUMMYFUNCTION("""COMPUTED_VALUE"""),"2022-11-30T12:06:08Z")</f>
        <v>2022-11-30T12:06:08Z</v>
      </c>
      <c r="X215" s="43"/>
      <c r="Y215" s="43"/>
      <c r="Z215" s="43"/>
    </row>
    <row r="216" hidden="1">
      <c r="A216" s="43" t="str">
        <f>IFERROR(__xludf.DUMMYFUNCTION("""COMPUTED_VALUE"""),"5155451_1290196")</f>
        <v>5155451_1290196</v>
      </c>
      <c r="B216" s="43" t="str">
        <f>IFERROR(__xludf.DUMMYFUNCTION("""COMPUTED_VALUE"""),"Defne Yalçın")</f>
        <v>Defne Yalçın</v>
      </c>
      <c r="C216" s="43" t="str">
        <f>IFERROR(__xludf.DUMMYFUNCTION("""COMPUTED_VALUE"""),"completed")</f>
        <v>completed</v>
      </c>
      <c r="D216" s="43" t="str">
        <f>IFERROR(__xludf.DUMMYFUNCTION("""COMPUTED_VALUE"""),"No")</f>
        <v>No</v>
      </c>
      <c r="E216" s="43" t="str">
        <f>IFERROR(__xludf.DUMMYFUNCTION("""COMPUTED_VALUE"""),"p_f5b26a1fcc11d58b22a5fdd0ea99d6e0fb4ac8b0@inbound.aiesec.org")</f>
        <v>p_f5b26a1fcc11d58b22a5fdd0ea99d6e0fb4ac8b0@inbound.aiesec.org</v>
      </c>
      <c r="F216" s="43">
        <f>IFERROR(__xludf.DUMMYFUNCTION("""COMPUTED_VALUE"""),5.531174636E9)</f>
        <v>5531174636</v>
      </c>
      <c r="G216" s="43" t="str">
        <f>IFERROR(__xludf.DUMMYFUNCTION("""COMPUTED_VALUE"""),"Turkey")</f>
        <v>Turkey</v>
      </c>
      <c r="H216" s="43" t="str">
        <f>IFERROR(__xludf.DUMMYFUNCTION("""COMPUTED_VALUE"""),"ISTANBUL ASIA")</f>
        <v>ISTANBUL ASIA</v>
      </c>
      <c r="I216" s="43" t="str">
        <f>IFERROR(__xludf.DUMMYFUNCTION("""COMPUTED_VALUE"""),"Egypt")</f>
        <v>Egypt</v>
      </c>
      <c r="J216" s="43" t="str">
        <f>IFERROR(__xludf.DUMMYFUNCTION("""COMPUTED_VALUE"""),"Helwan")</f>
        <v>Helwan</v>
      </c>
      <c r="K216" s="44" t="str">
        <f>IFERROR(__xludf.DUMMYFUNCTION("""COMPUTED_VALUE"""),"https://expa.aiesec.org/opportunities/1290196")</f>
        <v>https://expa.aiesec.org/opportunities/1290196</v>
      </c>
      <c r="L216" s="43" t="str">
        <f>IFERROR(__xludf.DUMMYFUNCTION("""COMPUTED_VALUE"""),"GV")</f>
        <v>GV</v>
      </c>
      <c r="M216" s="43" t="str">
        <f>IFERROR(__xludf.DUMMYFUNCTION("""COMPUTED_VALUE"""),"short")</f>
        <v>short</v>
      </c>
      <c r="N216" s="45">
        <f>IFERROR(__xludf.DUMMYFUNCTION("""COMPUTED_VALUE"""),44901.0)</f>
        <v>44901</v>
      </c>
      <c r="O216" s="45">
        <f>IFERROR(__xludf.DUMMYFUNCTION("""COMPUTED_VALUE"""),45099.0)</f>
        <v>45099</v>
      </c>
      <c r="P216" s="45">
        <f>IFERROR(__xludf.DUMMYFUNCTION("""COMPUTED_VALUE"""),45141.0)</f>
        <v>45141</v>
      </c>
      <c r="Q216" s="45">
        <f>IFERROR(__xludf.DUMMYFUNCTION("""COMPUTED_VALUE"""),45099.0)</f>
        <v>45099</v>
      </c>
      <c r="R216" s="45">
        <f>IFERROR(__xludf.DUMMYFUNCTION("""COMPUTED_VALUE"""),45141.0)</f>
        <v>45141</v>
      </c>
      <c r="S216" s="43"/>
      <c r="T216" s="43"/>
      <c r="U216" s="43" t="str">
        <f>IFERROR(__xludf.DUMMYFUNCTION("""COMPUTED_VALUE"""),"Explorer")</f>
        <v>Explorer</v>
      </c>
      <c r="V216" s="43" t="str">
        <f>IFERROR(__xludf.DUMMYFUNCTION("""COMPUTED_VALUE"""),"ISTANBUL ASIA")</f>
        <v>ISTANBUL ASIA</v>
      </c>
      <c r="W216" s="43" t="str">
        <f>IFERROR(__xludf.DUMMYFUNCTION("""COMPUTED_VALUE"""),"2022-11-18T18:11:33Z")</f>
        <v>2022-11-18T18:11:33Z</v>
      </c>
      <c r="X216" s="43"/>
      <c r="Y216" s="43"/>
      <c r="Z216" s="43"/>
    </row>
    <row r="217" hidden="1">
      <c r="A217" s="43" t="str">
        <f>IFERROR(__xludf.DUMMYFUNCTION("""COMPUTED_VALUE"""),"5162216_1290845")</f>
        <v>5162216_1290845</v>
      </c>
      <c r="B217" s="43" t="str">
        <f>IFERROR(__xludf.DUMMYFUNCTION("""COMPUTED_VALUE"""),"Nisan Çapraz")</f>
        <v>Nisan Çapraz</v>
      </c>
      <c r="C217" s="43" t="str">
        <f>IFERROR(__xludf.DUMMYFUNCTION("""COMPUTED_VALUE"""),"completed")</f>
        <v>completed</v>
      </c>
      <c r="D217" s="43" t="str">
        <f>IFERROR(__xludf.DUMMYFUNCTION("""COMPUTED_VALUE"""),"No")</f>
        <v>No</v>
      </c>
      <c r="E217" s="43" t="str">
        <f>IFERROR(__xludf.DUMMYFUNCTION("""COMPUTED_VALUE"""),"p_d71987343b286cd9ceb895c4a5d043fe27e33cb8@inbound.aiesec.org")</f>
        <v>p_d71987343b286cd9ceb895c4a5d043fe27e33cb8@inbound.aiesec.org</v>
      </c>
      <c r="F217" s="43">
        <f>IFERROR(__xludf.DUMMYFUNCTION("""COMPUTED_VALUE"""),5.399158125E9)</f>
        <v>5399158125</v>
      </c>
      <c r="G217" s="43" t="str">
        <f>IFERROR(__xludf.DUMMYFUNCTION("""COMPUTED_VALUE"""),"Turkey")</f>
        <v>Turkey</v>
      </c>
      <c r="H217" s="43" t="str">
        <f>IFERROR(__xludf.DUMMYFUNCTION("""COMPUTED_VALUE"""),"ISTANBUL")</f>
        <v>ISTANBUL</v>
      </c>
      <c r="I217" s="43" t="str">
        <f>IFERROR(__xludf.DUMMYFUNCTION("""COMPUTED_VALUE"""),"Serbia")</f>
        <v>Serbia</v>
      </c>
      <c r="J217" s="43" t="str">
        <f>IFERROR(__xludf.DUMMYFUNCTION("""COMPUTED_VALUE"""),"NIS")</f>
        <v>NIS</v>
      </c>
      <c r="K217" s="44" t="str">
        <f>IFERROR(__xludf.DUMMYFUNCTION("""COMPUTED_VALUE"""),"https://expa.aiesec.org/opportunities/1290845")</f>
        <v>https://expa.aiesec.org/opportunities/1290845</v>
      </c>
      <c r="L217" s="43" t="str">
        <f>IFERROR(__xludf.DUMMYFUNCTION("""COMPUTED_VALUE"""),"GV")</f>
        <v>GV</v>
      </c>
      <c r="M217" s="43" t="str">
        <f>IFERROR(__xludf.DUMMYFUNCTION("""COMPUTED_VALUE"""),"short")</f>
        <v>short</v>
      </c>
      <c r="N217" s="45">
        <f>IFERROR(__xludf.DUMMYFUNCTION("""COMPUTED_VALUE"""),44904.0)</f>
        <v>44904</v>
      </c>
      <c r="O217" s="45">
        <f>IFERROR(__xludf.DUMMYFUNCTION("""COMPUTED_VALUE"""),44941.0)</f>
        <v>44941</v>
      </c>
      <c r="P217" s="45">
        <f>IFERROR(__xludf.DUMMYFUNCTION("""COMPUTED_VALUE"""),44983.0)</f>
        <v>44983</v>
      </c>
      <c r="Q217" s="45">
        <f>IFERROR(__xludf.DUMMYFUNCTION("""COMPUTED_VALUE"""),44943.0)</f>
        <v>44943</v>
      </c>
      <c r="R217" s="45">
        <f>IFERROR(__xludf.DUMMYFUNCTION("""COMPUTED_VALUE"""),44983.0)</f>
        <v>44983</v>
      </c>
      <c r="S217" s="43"/>
      <c r="T217" s="43"/>
      <c r="U217" s="43" t="str">
        <f>IFERROR(__xludf.DUMMYFUNCTION("""COMPUTED_VALUE"""),"Youth 4 Impact")</f>
        <v>Youth 4 Impact</v>
      </c>
      <c r="V217" s="43" t="str">
        <f>IFERROR(__xludf.DUMMYFUNCTION("""COMPUTED_VALUE"""),"ISTANBUL - BEYOGLU")</f>
        <v>ISTANBUL - BEYOGLU</v>
      </c>
      <c r="W217" s="43" t="str">
        <f>IFERROR(__xludf.DUMMYFUNCTION("""COMPUTED_VALUE"""),"2022-12-03T13:52:29Z")</f>
        <v>2022-12-03T13:52:29Z</v>
      </c>
      <c r="X217" s="43"/>
      <c r="Y217" s="43"/>
      <c r="Z217" s="43"/>
    </row>
    <row r="218" hidden="1">
      <c r="A218" s="43" t="str">
        <f>IFERROR(__xludf.DUMMYFUNCTION("""COMPUTED_VALUE"""),"5163434_1281235")</f>
        <v>5163434_1281235</v>
      </c>
      <c r="B218" s="43" t="str">
        <f>IFERROR(__xludf.DUMMYFUNCTION("""COMPUTED_VALUE"""),"Şevval ilkem Kendigelen")</f>
        <v>Şevval ilkem Kendigelen</v>
      </c>
      <c r="C218" s="43" t="str">
        <f>IFERROR(__xludf.DUMMYFUNCTION("""COMPUTED_VALUE"""),"completed")</f>
        <v>completed</v>
      </c>
      <c r="D218" s="43" t="str">
        <f>IFERROR(__xludf.DUMMYFUNCTION("""COMPUTED_VALUE"""),"No")</f>
        <v>No</v>
      </c>
      <c r="E218" s="43" t="str">
        <f>IFERROR(__xludf.DUMMYFUNCTION("""COMPUTED_VALUE"""),"p_36a4260efb6f79bdeb5afd8c2ea87f7d52696bfd@inbound.aiesec.org")</f>
        <v>p_36a4260efb6f79bdeb5afd8c2ea87f7d52696bfd@inbound.aiesec.org</v>
      </c>
      <c r="F218" s="43">
        <f>IFERROR(__xludf.DUMMYFUNCTION("""COMPUTED_VALUE"""),5.532190243E9)</f>
        <v>5532190243</v>
      </c>
      <c r="G218" s="43" t="str">
        <f>IFERROR(__xludf.DUMMYFUNCTION("""COMPUTED_VALUE"""),"Turkey")</f>
        <v>Turkey</v>
      </c>
      <c r="H218" s="43" t="str">
        <f>IFERROR(__xludf.DUMMYFUNCTION("""COMPUTED_VALUE"""),"ISTANBUL")</f>
        <v>ISTANBUL</v>
      </c>
      <c r="I218" s="43" t="str">
        <f>IFERROR(__xludf.DUMMYFUNCTION("""COMPUTED_VALUE"""),"India")</f>
        <v>India</v>
      </c>
      <c r="J218" s="43" t="str">
        <f>IFERROR(__xludf.DUMMYFUNCTION("""COMPUTED_VALUE"""),"Dehradun")</f>
        <v>Dehradun</v>
      </c>
      <c r="K218" s="44" t="str">
        <f>IFERROR(__xludf.DUMMYFUNCTION("""COMPUTED_VALUE"""),"https://expa.aiesec.org/opportunities/1281235")</f>
        <v>https://expa.aiesec.org/opportunities/1281235</v>
      </c>
      <c r="L218" s="43" t="str">
        <f>IFERROR(__xludf.DUMMYFUNCTION("""COMPUTED_VALUE"""),"GV")</f>
        <v>GV</v>
      </c>
      <c r="M218" s="43" t="str">
        <f>IFERROR(__xludf.DUMMYFUNCTION("""COMPUTED_VALUE"""),"short")</f>
        <v>short</v>
      </c>
      <c r="N218" s="45">
        <f>IFERROR(__xludf.DUMMYFUNCTION("""COMPUTED_VALUE"""),44905.0)</f>
        <v>44905</v>
      </c>
      <c r="O218" s="45">
        <f>IFERROR(__xludf.DUMMYFUNCTION("""COMPUTED_VALUE"""),45122.0)</f>
        <v>45122</v>
      </c>
      <c r="P218" s="45">
        <f>IFERROR(__xludf.DUMMYFUNCTION("""COMPUTED_VALUE"""),45164.0)</f>
        <v>45164</v>
      </c>
      <c r="Q218" s="45">
        <f>IFERROR(__xludf.DUMMYFUNCTION("""COMPUTED_VALUE"""),45121.0)</f>
        <v>45121</v>
      </c>
      <c r="R218" s="45">
        <f>IFERROR(__xludf.DUMMYFUNCTION("""COMPUTED_VALUE"""),45164.0)</f>
        <v>45164</v>
      </c>
      <c r="S218" s="43"/>
      <c r="T218" s="43"/>
      <c r="U218" s="43" t="str">
        <f>IFERROR(__xludf.DUMMYFUNCTION("""COMPUTED_VALUE"""),"Skill Up!")</f>
        <v>Skill Up!</v>
      </c>
      <c r="V218" s="43" t="str">
        <f>IFERROR(__xludf.DUMMYFUNCTION("""COMPUTED_VALUE"""),"ISTANBUL - BEYOGLU")</f>
        <v>ISTANBUL - BEYOGLU</v>
      </c>
      <c r="W218" s="43" t="str">
        <f>IFERROR(__xludf.DUMMYFUNCTION("""COMPUTED_VALUE"""),"2022-12-06T18:14:40Z")</f>
        <v>2022-12-06T18:14:40Z</v>
      </c>
      <c r="X218" s="43"/>
      <c r="Y218" s="43"/>
      <c r="Z218" s="43"/>
    </row>
    <row r="219" hidden="1">
      <c r="A219" s="43" t="str">
        <f>IFERROR(__xludf.DUMMYFUNCTION("""COMPUTED_VALUE"""),"5159473_1290985")</f>
        <v>5159473_1290985</v>
      </c>
      <c r="B219" s="43" t="str">
        <f>IFERROR(__xludf.DUMMYFUNCTION("""COMPUTED_VALUE"""),"Erdem Deyirmenci")</f>
        <v>Erdem Deyirmenci</v>
      </c>
      <c r="C219" s="43" t="str">
        <f>IFERROR(__xludf.DUMMYFUNCTION("""COMPUTED_VALUE"""),"completed")</f>
        <v>completed</v>
      </c>
      <c r="D219" s="43" t="str">
        <f>IFERROR(__xludf.DUMMYFUNCTION("""COMPUTED_VALUE"""),"No")</f>
        <v>No</v>
      </c>
      <c r="E219" s="43" t="str">
        <f>IFERROR(__xludf.DUMMYFUNCTION("""COMPUTED_VALUE"""),"p_9d29f5c7583fbda64b56e6bfdbfd4d0746cc38ac@inbound.aiesec.org")</f>
        <v>p_9d29f5c7583fbda64b56e6bfdbfd4d0746cc38ac@inbound.aiesec.org</v>
      </c>
      <c r="F219" s="43">
        <f>IFERROR(__xludf.DUMMYFUNCTION("""COMPUTED_VALUE"""),5.071500108E9)</f>
        <v>5071500108</v>
      </c>
      <c r="G219" s="43" t="str">
        <f>IFERROR(__xludf.DUMMYFUNCTION("""COMPUTED_VALUE"""),"Turkey")</f>
        <v>Turkey</v>
      </c>
      <c r="H219" s="43" t="str">
        <f>IFERROR(__xludf.DUMMYFUNCTION("""COMPUTED_VALUE"""),"İZMİR")</f>
        <v>İZMİR</v>
      </c>
      <c r="I219" s="43" t="str">
        <f>IFERROR(__xludf.DUMMYFUNCTION("""COMPUTED_VALUE"""),"Romania")</f>
        <v>Romania</v>
      </c>
      <c r="J219" s="43" t="str">
        <f>IFERROR(__xludf.DUMMYFUNCTION("""COMPUTED_VALUE"""),"PITESTI")</f>
        <v>PITESTI</v>
      </c>
      <c r="K219" s="44" t="str">
        <f>IFERROR(__xludf.DUMMYFUNCTION("""COMPUTED_VALUE"""),"https://expa.aiesec.org/opportunities/1290985")</f>
        <v>https://expa.aiesec.org/opportunities/1290985</v>
      </c>
      <c r="L219" s="43" t="str">
        <f>IFERROR(__xludf.DUMMYFUNCTION("""COMPUTED_VALUE"""),"GV")</f>
        <v>GV</v>
      </c>
      <c r="M219" s="43" t="str">
        <f>IFERROR(__xludf.DUMMYFUNCTION("""COMPUTED_VALUE"""),"short")</f>
        <v>short</v>
      </c>
      <c r="N219" s="45">
        <f>IFERROR(__xludf.DUMMYFUNCTION("""COMPUTED_VALUE"""),44905.0)</f>
        <v>44905</v>
      </c>
      <c r="O219" s="45">
        <f>IFERROR(__xludf.DUMMYFUNCTION("""COMPUTED_VALUE"""),45089.0)</f>
        <v>45089</v>
      </c>
      <c r="P219" s="45">
        <f>IFERROR(__xludf.DUMMYFUNCTION("""COMPUTED_VALUE"""),45131.0)</f>
        <v>45131</v>
      </c>
      <c r="Q219" s="45">
        <f>IFERROR(__xludf.DUMMYFUNCTION("""COMPUTED_VALUE"""),45089.0)</f>
        <v>45089</v>
      </c>
      <c r="R219" s="45">
        <f>IFERROR(__xludf.DUMMYFUNCTION("""COMPUTED_VALUE"""),45131.0)</f>
        <v>45131</v>
      </c>
      <c r="S219" s="43"/>
      <c r="T219" s="43"/>
      <c r="U219" s="43" t="str">
        <f>IFERROR(__xludf.DUMMYFUNCTION("""COMPUTED_VALUE"""),"Global Classroom")</f>
        <v>Global Classroom</v>
      </c>
      <c r="V219" s="43" t="str">
        <f>IFERROR(__xludf.DUMMYFUNCTION("""COMPUTED_VALUE"""),"AYDIN")</f>
        <v>AYDIN</v>
      </c>
      <c r="W219" s="43" t="str">
        <f>IFERROR(__xludf.DUMMYFUNCTION("""COMPUTED_VALUE"""),"2022-11-27T13:49:31Z")</f>
        <v>2022-11-27T13:49:31Z</v>
      </c>
      <c r="X219" s="43"/>
      <c r="Y219" s="43"/>
      <c r="Z219" s="43"/>
    </row>
    <row r="220" hidden="1">
      <c r="A220" s="43" t="str">
        <f>IFERROR(__xludf.DUMMYFUNCTION("""COMPUTED_VALUE"""),"4954882_1290189")</f>
        <v>4954882_1290189</v>
      </c>
      <c r="B220" s="43" t="str">
        <f>IFERROR(__xludf.DUMMYFUNCTION("""COMPUTED_VALUE"""),"Destan Şara Aras")</f>
        <v>Destan Şara Aras</v>
      </c>
      <c r="C220" s="43" t="str">
        <f>IFERROR(__xludf.DUMMYFUNCTION("""COMPUTED_VALUE"""),"completed")</f>
        <v>completed</v>
      </c>
      <c r="D220" s="43" t="str">
        <f>IFERROR(__xludf.DUMMYFUNCTION("""COMPUTED_VALUE"""),"No")</f>
        <v>No</v>
      </c>
      <c r="E220" s="43" t="str">
        <f>IFERROR(__xludf.DUMMYFUNCTION("""COMPUTED_VALUE"""),"p_2925d229c485cfffa80b5067890ab446dcf3148d@inbound.aiesec.org")</f>
        <v>p_2925d229c485cfffa80b5067890ab446dcf3148d@inbound.aiesec.org</v>
      </c>
      <c r="F220" s="43">
        <f>IFERROR(__xludf.DUMMYFUNCTION("""COMPUTED_VALUE"""),5.051561401E9)</f>
        <v>5051561401</v>
      </c>
      <c r="G220" s="43" t="str">
        <f>IFERROR(__xludf.DUMMYFUNCTION("""COMPUTED_VALUE"""),"Turkey")</f>
        <v>Turkey</v>
      </c>
      <c r="H220" s="43" t="str">
        <f>IFERROR(__xludf.DUMMYFUNCTION("""COMPUTED_VALUE"""),"ISTANBUL")</f>
        <v>ISTANBUL</v>
      </c>
      <c r="I220" s="43" t="str">
        <f>IFERROR(__xludf.DUMMYFUNCTION("""COMPUTED_VALUE"""),"Romania")</f>
        <v>Romania</v>
      </c>
      <c r="J220" s="43" t="str">
        <f>IFERROR(__xludf.DUMMYFUNCTION("""COMPUTED_VALUE"""),"BUCURESTI")</f>
        <v>BUCURESTI</v>
      </c>
      <c r="K220" s="44" t="str">
        <f>IFERROR(__xludf.DUMMYFUNCTION("""COMPUTED_VALUE"""),"https://expa.aiesec.org/opportunities/1290189")</f>
        <v>https://expa.aiesec.org/opportunities/1290189</v>
      </c>
      <c r="L220" s="43" t="str">
        <f>IFERROR(__xludf.DUMMYFUNCTION("""COMPUTED_VALUE"""),"GV")</f>
        <v>GV</v>
      </c>
      <c r="M220" s="43" t="str">
        <f>IFERROR(__xludf.DUMMYFUNCTION("""COMPUTED_VALUE"""),"short")</f>
        <v>short</v>
      </c>
      <c r="N220" s="45">
        <f>IFERROR(__xludf.DUMMYFUNCTION("""COMPUTED_VALUE"""),44907.0)</f>
        <v>44907</v>
      </c>
      <c r="O220" s="45">
        <f>IFERROR(__xludf.DUMMYFUNCTION("""COMPUTED_VALUE"""),45096.0)</f>
        <v>45096</v>
      </c>
      <c r="P220" s="45">
        <f>IFERROR(__xludf.DUMMYFUNCTION("""COMPUTED_VALUE"""),45138.0)</f>
        <v>45138</v>
      </c>
      <c r="Q220" s="45">
        <f>IFERROR(__xludf.DUMMYFUNCTION("""COMPUTED_VALUE"""),45096.0)</f>
        <v>45096</v>
      </c>
      <c r="R220" s="45">
        <f>IFERROR(__xludf.DUMMYFUNCTION("""COMPUTED_VALUE"""),45138.0)</f>
        <v>45138</v>
      </c>
      <c r="S220" s="43"/>
      <c r="T220" s="43"/>
      <c r="U220" s="43" t="str">
        <f>IFERROR(__xludf.DUMMYFUNCTION("""COMPUTED_VALUE"""),"Equify")</f>
        <v>Equify</v>
      </c>
      <c r="V220" s="43" t="str">
        <f>IFERROR(__xludf.DUMMYFUNCTION("""COMPUTED_VALUE"""),"ISTANBUL - BEYOGLU")</f>
        <v>ISTANBUL - BEYOGLU</v>
      </c>
      <c r="W220" s="43" t="str">
        <f>IFERROR(__xludf.DUMMYFUNCTION("""COMPUTED_VALUE"""),"2022-02-28T18:14:53Z")</f>
        <v>2022-02-28T18:14:53Z</v>
      </c>
      <c r="X220" s="43"/>
      <c r="Y220" s="43"/>
      <c r="Z220" s="43"/>
    </row>
    <row r="221" hidden="1">
      <c r="A221" s="43" t="str">
        <f>IFERROR(__xludf.DUMMYFUNCTION("""COMPUTED_VALUE"""),"5159186_1290189")</f>
        <v>5159186_1290189</v>
      </c>
      <c r="B221" s="43" t="str">
        <f>IFERROR(__xludf.DUMMYFUNCTION("""COMPUTED_VALUE"""),"Fatma Bağatur")</f>
        <v>Fatma Bağatur</v>
      </c>
      <c r="C221" s="43" t="str">
        <f>IFERROR(__xludf.DUMMYFUNCTION("""COMPUTED_VALUE"""),"completed")</f>
        <v>completed</v>
      </c>
      <c r="D221" s="43" t="str">
        <f>IFERROR(__xludf.DUMMYFUNCTION("""COMPUTED_VALUE"""),"No")</f>
        <v>No</v>
      </c>
      <c r="E221" s="43" t="str">
        <f>IFERROR(__xludf.DUMMYFUNCTION("""COMPUTED_VALUE"""),"p_e63869a03078f4598c36af0ff42af25b891cadb3@inbound.aiesec.org")</f>
        <v>p_e63869a03078f4598c36af0ff42af25b891cadb3@inbound.aiesec.org</v>
      </c>
      <c r="F221" s="43">
        <f>IFERROR(__xludf.DUMMYFUNCTION("""COMPUTED_VALUE"""),5.313392997E9)</f>
        <v>5313392997</v>
      </c>
      <c r="G221" s="43" t="str">
        <f>IFERROR(__xludf.DUMMYFUNCTION("""COMPUTED_VALUE"""),"Turkey")</f>
        <v>Turkey</v>
      </c>
      <c r="H221" s="43" t="str">
        <f>IFERROR(__xludf.DUMMYFUNCTION("""COMPUTED_VALUE"""),"ANKARA")</f>
        <v>ANKARA</v>
      </c>
      <c r="I221" s="43" t="str">
        <f>IFERROR(__xludf.DUMMYFUNCTION("""COMPUTED_VALUE"""),"Romania")</f>
        <v>Romania</v>
      </c>
      <c r="J221" s="43" t="str">
        <f>IFERROR(__xludf.DUMMYFUNCTION("""COMPUTED_VALUE"""),"BUCURESTI")</f>
        <v>BUCURESTI</v>
      </c>
      <c r="K221" s="44" t="str">
        <f>IFERROR(__xludf.DUMMYFUNCTION("""COMPUTED_VALUE"""),"https://expa.aiesec.org/opportunities/1290189")</f>
        <v>https://expa.aiesec.org/opportunities/1290189</v>
      </c>
      <c r="L221" s="43" t="str">
        <f>IFERROR(__xludf.DUMMYFUNCTION("""COMPUTED_VALUE"""),"GV")</f>
        <v>GV</v>
      </c>
      <c r="M221" s="43" t="str">
        <f>IFERROR(__xludf.DUMMYFUNCTION("""COMPUTED_VALUE"""),"short")</f>
        <v>short</v>
      </c>
      <c r="N221" s="45">
        <f>IFERROR(__xludf.DUMMYFUNCTION("""COMPUTED_VALUE"""),44907.0)</f>
        <v>44907</v>
      </c>
      <c r="O221" s="45">
        <f>IFERROR(__xludf.DUMMYFUNCTION("""COMPUTED_VALUE"""),45096.0)</f>
        <v>45096</v>
      </c>
      <c r="P221" s="45">
        <f>IFERROR(__xludf.DUMMYFUNCTION("""COMPUTED_VALUE"""),45138.0)</f>
        <v>45138</v>
      </c>
      <c r="Q221" s="45">
        <f>IFERROR(__xludf.DUMMYFUNCTION("""COMPUTED_VALUE"""),45096.0)</f>
        <v>45096</v>
      </c>
      <c r="R221" s="45">
        <f>IFERROR(__xludf.DUMMYFUNCTION("""COMPUTED_VALUE"""),45138.0)</f>
        <v>45138</v>
      </c>
      <c r="S221" s="43"/>
      <c r="T221" s="43"/>
      <c r="U221" s="43" t="str">
        <f>IFERROR(__xludf.DUMMYFUNCTION("""COMPUTED_VALUE"""),"Equify")</f>
        <v>Equify</v>
      </c>
      <c r="V221" s="43" t="str">
        <f>IFERROR(__xludf.DUMMYFUNCTION("""COMPUTED_VALUE"""),"ANKARA")</f>
        <v>ANKARA</v>
      </c>
      <c r="W221" s="43" t="str">
        <f>IFERROR(__xludf.DUMMYFUNCTION("""COMPUTED_VALUE"""),"2022-11-26T15:41:49Z")</f>
        <v>2022-11-26T15:41:49Z</v>
      </c>
      <c r="X221" s="43"/>
      <c r="Y221" s="43"/>
      <c r="Z221" s="43"/>
    </row>
    <row r="222" hidden="1">
      <c r="A222" s="43" t="str">
        <f>IFERROR(__xludf.DUMMYFUNCTION("""COMPUTED_VALUE"""),"5164523_1291250")</f>
        <v>5164523_1291250</v>
      </c>
      <c r="B222" s="43" t="str">
        <f>IFERROR(__xludf.DUMMYFUNCTION("""COMPUTED_VALUE"""),"Mehmet Cihangir Yırgal")</f>
        <v>Mehmet Cihangir Yırgal</v>
      </c>
      <c r="C222" s="43" t="str">
        <f>IFERROR(__xludf.DUMMYFUNCTION("""COMPUTED_VALUE"""),"approved")</f>
        <v>approved</v>
      </c>
      <c r="D222" s="43" t="str">
        <f>IFERROR(__xludf.DUMMYFUNCTION("""COMPUTED_VALUE"""),"No")</f>
        <v>No</v>
      </c>
      <c r="E222" s="43" t="str">
        <f>IFERROR(__xludf.DUMMYFUNCTION("""COMPUTED_VALUE"""),"p_da7d511588c73f76648c8a6949655f260cf542da@inbound.aiesec.org")</f>
        <v>p_da7d511588c73f76648c8a6949655f260cf542da@inbound.aiesec.org</v>
      </c>
      <c r="F222" s="43">
        <f>IFERROR(__xludf.DUMMYFUNCTION("""COMPUTED_VALUE"""),5.431836289E9)</f>
        <v>5431836289</v>
      </c>
      <c r="G222" s="43" t="str">
        <f>IFERROR(__xludf.DUMMYFUNCTION("""COMPUTED_VALUE"""),"Turkey")</f>
        <v>Turkey</v>
      </c>
      <c r="H222" s="43" t="str">
        <f>IFERROR(__xludf.DUMMYFUNCTION("""COMPUTED_VALUE"""),"ANKARA")</f>
        <v>ANKARA</v>
      </c>
      <c r="I222" s="43" t="str">
        <f>IFERROR(__xludf.DUMMYFUNCTION("""COMPUTED_VALUE"""),"India")</f>
        <v>India</v>
      </c>
      <c r="J222" s="43" t="str">
        <f>IFERROR(__xludf.DUMMYFUNCTION("""COMPUTED_VALUE"""),"Mumbai")</f>
        <v>Mumbai</v>
      </c>
      <c r="K222" s="44" t="str">
        <f>IFERROR(__xludf.DUMMYFUNCTION("""COMPUTED_VALUE"""),"https://expa.aiesec.org/opportunities/1291250")</f>
        <v>https://expa.aiesec.org/opportunities/1291250</v>
      </c>
      <c r="L222" s="43" t="str">
        <f>IFERROR(__xludf.DUMMYFUNCTION("""COMPUTED_VALUE"""),"GV")</f>
        <v>GV</v>
      </c>
      <c r="M222" s="43" t="str">
        <f>IFERROR(__xludf.DUMMYFUNCTION("""COMPUTED_VALUE"""),"short")</f>
        <v>short</v>
      </c>
      <c r="N222" s="45">
        <f>IFERROR(__xludf.DUMMYFUNCTION("""COMPUTED_VALUE"""),44907.0)</f>
        <v>44907</v>
      </c>
      <c r="O222" s="45">
        <f>IFERROR(__xludf.DUMMYFUNCTION("""COMPUTED_VALUE"""),45109.0)</f>
        <v>45109</v>
      </c>
      <c r="P222" s="45">
        <f>IFERROR(__xludf.DUMMYFUNCTION("""COMPUTED_VALUE"""),45151.0)</f>
        <v>45151</v>
      </c>
      <c r="Q222" s="45"/>
      <c r="R222" s="45"/>
      <c r="S222" s="43"/>
      <c r="T222" s="43"/>
      <c r="U222" s="43" t="str">
        <f>IFERROR(__xludf.DUMMYFUNCTION("""COMPUTED_VALUE"""),"Skill Up!")</f>
        <v>Skill Up!</v>
      </c>
      <c r="V222" s="43" t="str">
        <f>IFERROR(__xludf.DUMMYFUNCTION("""COMPUTED_VALUE"""),"ANKARA")</f>
        <v>ANKARA</v>
      </c>
      <c r="W222" s="43" t="str">
        <f>IFERROR(__xludf.DUMMYFUNCTION("""COMPUTED_VALUE"""),"2022-12-09T10:55:19Z")</f>
        <v>2022-12-09T10:55:19Z</v>
      </c>
      <c r="X222" s="43"/>
      <c r="Y222" s="43"/>
      <c r="Z222" s="43"/>
    </row>
    <row r="223" hidden="1">
      <c r="A223" s="43" t="str">
        <f>IFERROR(__xludf.DUMMYFUNCTION("""COMPUTED_VALUE"""),"5165573_1291230")</f>
        <v>5165573_1291230</v>
      </c>
      <c r="B223" s="43" t="str">
        <f>IFERROR(__xludf.DUMMYFUNCTION("""COMPUTED_VALUE"""),"Hakkı Can Demir")</f>
        <v>Hakkı Can Demir</v>
      </c>
      <c r="C223" s="43" t="str">
        <f>IFERROR(__xludf.DUMMYFUNCTION("""COMPUTED_VALUE"""),"completed")</f>
        <v>completed</v>
      </c>
      <c r="D223" s="43" t="str">
        <f>IFERROR(__xludf.DUMMYFUNCTION("""COMPUTED_VALUE"""),"No")</f>
        <v>No</v>
      </c>
      <c r="E223" s="43" t="str">
        <f>IFERROR(__xludf.DUMMYFUNCTION("""COMPUTED_VALUE"""),"p_d939c431969e06184eab5436d059b093851a4d10@inbound.aiesec.org")</f>
        <v>p_d939c431969e06184eab5436d059b093851a4d10@inbound.aiesec.org</v>
      </c>
      <c r="F223" s="43">
        <f>IFERROR(__xludf.DUMMYFUNCTION("""COMPUTED_VALUE"""),5.447267248E9)</f>
        <v>5447267248</v>
      </c>
      <c r="G223" s="43" t="str">
        <f>IFERROR(__xludf.DUMMYFUNCTION("""COMPUTED_VALUE"""),"Turkey")</f>
        <v>Turkey</v>
      </c>
      <c r="H223" s="43" t="str">
        <f>IFERROR(__xludf.DUMMYFUNCTION("""COMPUTED_VALUE"""),"ISTANBUL WEST")</f>
        <v>ISTANBUL WEST</v>
      </c>
      <c r="I223" s="43" t="str">
        <f>IFERROR(__xludf.DUMMYFUNCTION("""COMPUTED_VALUE"""),"Romania")</f>
        <v>Romania</v>
      </c>
      <c r="J223" s="43" t="str">
        <f>IFERROR(__xludf.DUMMYFUNCTION("""COMPUTED_VALUE"""),"BUCURESTI")</f>
        <v>BUCURESTI</v>
      </c>
      <c r="K223" s="44" t="str">
        <f>IFERROR(__xludf.DUMMYFUNCTION("""COMPUTED_VALUE"""),"https://expa.aiesec.org/opportunities/1291230")</f>
        <v>https://expa.aiesec.org/opportunities/1291230</v>
      </c>
      <c r="L223" s="43" t="str">
        <f>IFERROR(__xludf.DUMMYFUNCTION("""COMPUTED_VALUE"""),"GV")</f>
        <v>GV</v>
      </c>
      <c r="M223" s="43" t="str">
        <f>IFERROR(__xludf.DUMMYFUNCTION("""COMPUTED_VALUE"""),"short")</f>
        <v>short</v>
      </c>
      <c r="N223" s="45">
        <f>IFERROR(__xludf.DUMMYFUNCTION("""COMPUTED_VALUE"""),44908.0)</f>
        <v>44908</v>
      </c>
      <c r="O223" s="45">
        <f>IFERROR(__xludf.DUMMYFUNCTION("""COMPUTED_VALUE"""),45124.0)</f>
        <v>45124</v>
      </c>
      <c r="P223" s="45">
        <f>IFERROR(__xludf.DUMMYFUNCTION("""COMPUTED_VALUE"""),45166.0)</f>
        <v>45166</v>
      </c>
      <c r="Q223" s="45">
        <f>IFERROR(__xludf.DUMMYFUNCTION("""COMPUTED_VALUE"""),45124.0)</f>
        <v>45124</v>
      </c>
      <c r="R223" s="45">
        <f>IFERROR(__xludf.DUMMYFUNCTION("""COMPUTED_VALUE"""),45166.0)</f>
        <v>45166</v>
      </c>
      <c r="S223" s="43"/>
      <c r="T223" s="43"/>
      <c r="U223" s="43" t="str">
        <f>IFERROR(__xludf.DUMMYFUNCTION("""COMPUTED_VALUE"""),"Global Classroom")</f>
        <v>Global Classroom</v>
      </c>
      <c r="V223" s="43" t="str">
        <f>IFERROR(__xludf.DUMMYFUNCTION("""COMPUTED_VALUE"""),"ISTANBUL - BAKIRKOY")</f>
        <v>ISTANBUL - BAKIRKOY</v>
      </c>
      <c r="W223" s="43" t="str">
        <f>IFERROR(__xludf.DUMMYFUNCTION("""COMPUTED_VALUE"""),"2022-12-13T07:47:28Z")</f>
        <v>2022-12-13T07:47:28Z</v>
      </c>
      <c r="X223" s="43"/>
      <c r="Y223" s="43"/>
      <c r="Z223" s="43"/>
    </row>
    <row r="224" hidden="1">
      <c r="A224" s="43" t="str">
        <f>IFERROR(__xludf.DUMMYFUNCTION("""COMPUTED_VALUE"""),"5159716_1290186")</f>
        <v>5159716_1290186</v>
      </c>
      <c r="B224" s="43" t="str">
        <f>IFERROR(__xludf.DUMMYFUNCTION("""COMPUTED_VALUE"""),"Gamze Soysal")</f>
        <v>Gamze Soysal</v>
      </c>
      <c r="C224" s="43" t="str">
        <f>IFERROR(__xludf.DUMMYFUNCTION("""COMPUTED_VALUE"""),"completed")</f>
        <v>completed</v>
      </c>
      <c r="D224" s="43" t="str">
        <f>IFERROR(__xludf.DUMMYFUNCTION("""COMPUTED_VALUE"""),"No")</f>
        <v>No</v>
      </c>
      <c r="E224" s="43" t="str">
        <f>IFERROR(__xludf.DUMMYFUNCTION("""COMPUTED_VALUE"""),"p_9a10991d8add0d3183fbbbe3af2d5cf6e34210d8@inbound.aiesec.org")</f>
        <v>p_9a10991d8add0d3183fbbbe3af2d5cf6e34210d8@inbound.aiesec.org</v>
      </c>
      <c r="F224" s="43"/>
      <c r="G224" s="43" t="str">
        <f>IFERROR(__xludf.DUMMYFUNCTION("""COMPUTED_VALUE"""),"Turkey")</f>
        <v>Turkey</v>
      </c>
      <c r="H224" s="43" t="str">
        <f>IFERROR(__xludf.DUMMYFUNCTION("""COMPUTED_VALUE"""),"ANKARA")</f>
        <v>ANKARA</v>
      </c>
      <c r="I224" s="43" t="str">
        <f>IFERROR(__xludf.DUMMYFUNCTION("""COMPUTED_VALUE"""),"Romania")</f>
        <v>Romania</v>
      </c>
      <c r="J224" s="43" t="str">
        <f>IFERROR(__xludf.DUMMYFUNCTION("""COMPUTED_VALUE"""),"BUCURESTI")</f>
        <v>BUCURESTI</v>
      </c>
      <c r="K224" s="44" t="str">
        <f>IFERROR(__xludf.DUMMYFUNCTION("""COMPUTED_VALUE"""),"https://expa.aiesec.org/opportunities/1290186")</f>
        <v>https://expa.aiesec.org/opportunities/1290186</v>
      </c>
      <c r="L224" s="43" t="str">
        <f>IFERROR(__xludf.DUMMYFUNCTION("""COMPUTED_VALUE"""),"GV")</f>
        <v>GV</v>
      </c>
      <c r="M224" s="43" t="str">
        <f>IFERROR(__xludf.DUMMYFUNCTION("""COMPUTED_VALUE"""),"short")</f>
        <v>short</v>
      </c>
      <c r="N224" s="45">
        <f>IFERROR(__xludf.DUMMYFUNCTION("""COMPUTED_VALUE"""),44908.0)</f>
        <v>44908</v>
      </c>
      <c r="O224" s="45">
        <f>IFERROR(__xludf.DUMMYFUNCTION("""COMPUTED_VALUE"""),45096.0)</f>
        <v>45096</v>
      </c>
      <c r="P224" s="45">
        <f>IFERROR(__xludf.DUMMYFUNCTION("""COMPUTED_VALUE"""),45138.0)</f>
        <v>45138</v>
      </c>
      <c r="Q224" s="45">
        <f>IFERROR(__xludf.DUMMYFUNCTION("""COMPUTED_VALUE"""),45100.0)</f>
        <v>45100</v>
      </c>
      <c r="R224" s="45">
        <f>IFERROR(__xludf.DUMMYFUNCTION("""COMPUTED_VALUE"""),45140.0)</f>
        <v>45140</v>
      </c>
      <c r="S224" s="43"/>
      <c r="T224" s="43"/>
      <c r="U224" s="43" t="str">
        <f>IFERROR(__xludf.DUMMYFUNCTION("""COMPUTED_VALUE"""),"Skill Up!")</f>
        <v>Skill Up!</v>
      </c>
      <c r="V224" s="43" t="str">
        <f>IFERROR(__xludf.DUMMYFUNCTION("""COMPUTED_VALUE"""),"-")</f>
        <v>-</v>
      </c>
      <c r="W224" s="43" t="str">
        <f>IFERROR(__xludf.DUMMYFUNCTION("""COMPUTED_VALUE"""),"2022-11-28T06:55:58Z")</f>
        <v>2022-11-28T06:55:58Z</v>
      </c>
      <c r="X224" s="43"/>
      <c r="Y224" s="43"/>
      <c r="Z224" s="43"/>
    </row>
    <row r="225" hidden="1">
      <c r="A225" s="43" t="str">
        <f>IFERROR(__xludf.DUMMYFUNCTION("""COMPUTED_VALUE"""),"5157742_1290186")</f>
        <v>5157742_1290186</v>
      </c>
      <c r="B225" s="43" t="str">
        <f>IFERROR(__xludf.DUMMYFUNCTION("""COMPUTED_VALUE"""),"Nisa Nur Turunç")</f>
        <v>Nisa Nur Turunç</v>
      </c>
      <c r="C225" s="43" t="str">
        <f>IFERROR(__xludf.DUMMYFUNCTION("""COMPUTED_VALUE"""),"completed")</f>
        <v>completed</v>
      </c>
      <c r="D225" s="43" t="str">
        <f>IFERROR(__xludf.DUMMYFUNCTION("""COMPUTED_VALUE"""),"No")</f>
        <v>No</v>
      </c>
      <c r="E225" s="43" t="str">
        <f>IFERROR(__xludf.DUMMYFUNCTION("""COMPUTED_VALUE"""),"p_91130bda20118031aa2dcefb2abead8fa6e9f9d8@inbound.aiesec.org")</f>
        <v>p_91130bda20118031aa2dcefb2abead8fa6e9f9d8@inbound.aiesec.org</v>
      </c>
      <c r="F225" s="43">
        <f>IFERROR(__xludf.DUMMYFUNCTION("""COMPUTED_VALUE"""),5.079880039E9)</f>
        <v>5079880039</v>
      </c>
      <c r="G225" s="43" t="str">
        <f>IFERROR(__xludf.DUMMYFUNCTION("""COMPUTED_VALUE"""),"Turkey")</f>
        <v>Turkey</v>
      </c>
      <c r="H225" s="43" t="str">
        <f>IFERROR(__xludf.DUMMYFUNCTION("""COMPUTED_VALUE"""),"KOCAELI")</f>
        <v>KOCAELI</v>
      </c>
      <c r="I225" s="43" t="str">
        <f>IFERROR(__xludf.DUMMYFUNCTION("""COMPUTED_VALUE"""),"Romania")</f>
        <v>Romania</v>
      </c>
      <c r="J225" s="43" t="str">
        <f>IFERROR(__xludf.DUMMYFUNCTION("""COMPUTED_VALUE"""),"BUCURESTI")</f>
        <v>BUCURESTI</v>
      </c>
      <c r="K225" s="44" t="str">
        <f>IFERROR(__xludf.DUMMYFUNCTION("""COMPUTED_VALUE"""),"https://expa.aiesec.org/opportunities/1290186")</f>
        <v>https://expa.aiesec.org/opportunities/1290186</v>
      </c>
      <c r="L225" s="43" t="str">
        <f>IFERROR(__xludf.DUMMYFUNCTION("""COMPUTED_VALUE"""),"GV")</f>
        <v>GV</v>
      </c>
      <c r="M225" s="43" t="str">
        <f>IFERROR(__xludf.DUMMYFUNCTION("""COMPUTED_VALUE"""),"short")</f>
        <v>short</v>
      </c>
      <c r="N225" s="45">
        <f>IFERROR(__xludf.DUMMYFUNCTION("""COMPUTED_VALUE"""),44908.0)</f>
        <v>44908</v>
      </c>
      <c r="O225" s="45">
        <f>IFERROR(__xludf.DUMMYFUNCTION("""COMPUTED_VALUE"""),45096.0)</f>
        <v>45096</v>
      </c>
      <c r="P225" s="45">
        <f>IFERROR(__xludf.DUMMYFUNCTION("""COMPUTED_VALUE"""),45138.0)</f>
        <v>45138</v>
      </c>
      <c r="Q225" s="45">
        <f>IFERROR(__xludf.DUMMYFUNCTION("""COMPUTED_VALUE"""),45095.0)</f>
        <v>45095</v>
      </c>
      <c r="R225" s="45">
        <f>IFERROR(__xludf.DUMMYFUNCTION("""COMPUTED_VALUE"""),45138.0)</f>
        <v>45138</v>
      </c>
      <c r="S225" s="43"/>
      <c r="T225" s="43"/>
      <c r="U225" s="43" t="str">
        <f>IFERROR(__xludf.DUMMYFUNCTION("""COMPUTED_VALUE"""),"Skill Up!")</f>
        <v>Skill Up!</v>
      </c>
      <c r="V225" s="43" t="str">
        <f>IFERROR(__xludf.DUMMYFUNCTION("""COMPUTED_VALUE"""),"KOCAELI")</f>
        <v>KOCAELI</v>
      </c>
      <c r="W225" s="43" t="str">
        <f>IFERROR(__xludf.DUMMYFUNCTION("""COMPUTED_VALUE"""),"2022-11-23T12:45:03Z")</f>
        <v>2022-11-23T12:45:03Z</v>
      </c>
      <c r="X225" s="43"/>
      <c r="Y225" s="43"/>
      <c r="Z225" s="43"/>
    </row>
    <row r="226" hidden="1">
      <c r="A226" s="43" t="str">
        <f>IFERROR(__xludf.DUMMYFUNCTION("""COMPUTED_VALUE"""),"4341168_1291200")</f>
        <v>4341168_1291200</v>
      </c>
      <c r="B226" s="43" t="str">
        <f>IFERROR(__xludf.DUMMYFUNCTION("""COMPUTED_VALUE"""),"Melike Meryem GÖ")</f>
        <v>Melike Meryem GÖ</v>
      </c>
      <c r="C226" s="43" t="str">
        <f>IFERROR(__xludf.DUMMYFUNCTION("""COMPUTED_VALUE"""),"approved")</f>
        <v>approved</v>
      </c>
      <c r="D226" s="43" t="str">
        <f>IFERROR(__xludf.DUMMYFUNCTION("""COMPUTED_VALUE"""),"No")</f>
        <v>No</v>
      </c>
      <c r="E226" s="43" t="str">
        <f>IFERROR(__xludf.DUMMYFUNCTION("""COMPUTED_VALUE"""),"p_292cb12504753f861174b5788f3032587a605fb6@inbound.aiesec.org")</f>
        <v>p_292cb12504753f861174b5788f3032587a605fb6@inbound.aiesec.org</v>
      </c>
      <c r="F226" s="43">
        <f>IFERROR(__xludf.DUMMYFUNCTION("""COMPUTED_VALUE"""),5.458242554E9)</f>
        <v>5458242554</v>
      </c>
      <c r="G226" s="43" t="str">
        <f>IFERROR(__xludf.DUMMYFUNCTION("""COMPUTED_VALUE"""),"Turkey")</f>
        <v>Turkey</v>
      </c>
      <c r="H226" s="43" t="str">
        <f>IFERROR(__xludf.DUMMYFUNCTION("""COMPUTED_VALUE"""),"ISTANBUL")</f>
        <v>ISTANBUL</v>
      </c>
      <c r="I226" s="43" t="str">
        <f>IFERROR(__xludf.DUMMYFUNCTION("""COMPUTED_VALUE"""),"Egypt")</f>
        <v>Egypt</v>
      </c>
      <c r="J226" s="43" t="str">
        <f>IFERROR(__xludf.DUMMYFUNCTION("""COMPUTED_VALUE"""),"GUC")</f>
        <v>GUC</v>
      </c>
      <c r="K226" s="44" t="str">
        <f>IFERROR(__xludf.DUMMYFUNCTION("""COMPUTED_VALUE"""),"https://expa.aiesec.org/opportunities/1291200")</f>
        <v>https://expa.aiesec.org/opportunities/1291200</v>
      </c>
      <c r="L226" s="43" t="str">
        <f>IFERROR(__xludf.DUMMYFUNCTION("""COMPUTED_VALUE"""),"GV")</f>
        <v>GV</v>
      </c>
      <c r="M226" s="43" t="str">
        <f>IFERROR(__xludf.DUMMYFUNCTION("""COMPUTED_VALUE"""),"short")</f>
        <v>short</v>
      </c>
      <c r="N226" s="45">
        <f>IFERROR(__xludf.DUMMYFUNCTION("""COMPUTED_VALUE"""),44909.0)</f>
        <v>44909</v>
      </c>
      <c r="O226" s="45">
        <f>IFERROR(__xludf.DUMMYFUNCTION("""COMPUTED_VALUE"""),45108.0)</f>
        <v>45108</v>
      </c>
      <c r="P226" s="45">
        <f>IFERROR(__xludf.DUMMYFUNCTION("""COMPUTED_VALUE"""),45153.0)</f>
        <v>45153</v>
      </c>
      <c r="Q226" s="45"/>
      <c r="R226" s="45"/>
      <c r="S226" s="43"/>
      <c r="T226" s="43"/>
      <c r="U226" s="43" t="str">
        <f>IFERROR(__xludf.DUMMYFUNCTION("""COMPUTED_VALUE"""),"Raise Your Voice")</f>
        <v>Raise Your Voice</v>
      </c>
      <c r="V226" s="43" t="str">
        <f>IFERROR(__xludf.DUMMYFUNCTION("""COMPUTED_VALUE"""),"ISTANBUL - BEYOGLU")</f>
        <v>ISTANBUL - BEYOGLU</v>
      </c>
      <c r="W226" s="43" t="str">
        <f>IFERROR(__xludf.DUMMYFUNCTION("""COMPUTED_VALUE"""),"2020-08-10T20:44:06Z")</f>
        <v>2020-08-10T20:44:06Z</v>
      </c>
      <c r="X226" s="43"/>
      <c r="Y226" s="43"/>
      <c r="Z226" s="43"/>
    </row>
    <row r="227" hidden="1">
      <c r="A227" s="43" t="str">
        <f>IFERROR(__xludf.DUMMYFUNCTION("""COMPUTED_VALUE"""),"3947334_1291200")</f>
        <v>3947334_1291200</v>
      </c>
      <c r="B227" s="43" t="str">
        <f>IFERROR(__xludf.DUMMYFUNCTION("""COMPUTED_VALUE"""),"ece pirli")</f>
        <v>ece pirli</v>
      </c>
      <c r="C227" s="43" t="str">
        <f>IFERROR(__xludf.DUMMYFUNCTION("""COMPUTED_VALUE"""),"approved")</f>
        <v>approved</v>
      </c>
      <c r="D227" s="43" t="str">
        <f>IFERROR(__xludf.DUMMYFUNCTION("""COMPUTED_VALUE"""),"No")</f>
        <v>No</v>
      </c>
      <c r="E227" s="43" t="str">
        <f>IFERROR(__xludf.DUMMYFUNCTION("""COMPUTED_VALUE"""),"p_0b7dd0cc2a204e6e37ff0d50af277e71ba99f289@inbound.aiesec.org")</f>
        <v>p_0b7dd0cc2a204e6e37ff0d50af277e71ba99f289@inbound.aiesec.org</v>
      </c>
      <c r="F227" s="43">
        <f>IFERROR(__xludf.DUMMYFUNCTION("""COMPUTED_VALUE"""),5.36997245E9)</f>
        <v>5369972450</v>
      </c>
      <c r="G227" s="43" t="str">
        <f>IFERROR(__xludf.DUMMYFUNCTION("""COMPUTED_VALUE"""),"Turkey")</f>
        <v>Turkey</v>
      </c>
      <c r="H227" s="43" t="str">
        <f>IFERROR(__xludf.DUMMYFUNCTION("""COMPUTED_VALUE"""),"ISTANBUL")</f>
        <v>ISTANBUL</v>
      </c>
      <c r="I227" s="43" t="str">
        <f>IFERROR(__xludf.DUMMYFUNCTION("""COMPUTED_VALUE"""),"Egypt")</f>
        <v>Egypt</v>
      </c>
      <c r="J227" s="43" t="str">
        <f>IFERROR(__xludf.DUMMYFUNCTION("""COMPUTED_VALUE"""),"GUC")</f>
        <v>GUC</v>
      </c>
      <c r="K227" s="44" t="str">
        <f>IFERROR(__xludf.DUMMYFUNCTION("""COMPUTED_VALUE"""),"https://expa.aiesec.org/opportunities/1291200")</f>
        <v>https://expa.aiesec.org/opportunities/1291200</v>
      </c>
      <c r="L227" s="43" t="str">
        <f>IFERROR(__xludf.DUMMYFUNCTION("""COMPUTED_VALUE"""),"GV")</f>
        <v>GV</v>
      </c>
      <c r="M227" s="43" t="str">
        <f>IFERROR(__xludf.DUMMYFUNCTION("""COMPUTED_VALUE"""),"short")</f>
        <v>short</v>
      </c>
      <c r="N227" s="45">
        <f>IFERROR(__xludf.DUMMYFUNCTION("""COMPUTED_VALUE"""),44909.0)</f>
        <v>44909</v>
      </c>
      <c r="O227" s="45">
        <f>IFERROR(__xludf.DUMMYFUNCTION("""COMPUTED_VALUE"""),45108.0)</f>
        <v>45108</v>
      </c>
      <c r="P227" s="45">
        <f>IFERROR(__xludf.DUMMYFUNCTION("""COMPUTED_VALUE"""),45153.0)</f>
        <v>45153</v>
      </c>
      <c r="Q227" s="45"/>
      <c r="R227" s="45"/>
      <c r="S227" s="43"/>
      <c r="T227" s="43"/>
      <c r="U227" s="43" t="str">
        <f>IFERROR(__xludf.DUMMYFUNCTION("""COMPUTED_VALUE"""),"Raise Your Voice")</f>
        <v>Raise Your Voice</v>
      </c>
      <c r="V227" s="43" t="str">
        <f>IFERROR(__xludf.DUMMYFUNCTION("""COMPUTED_VALUE"""),"ISTANBUL - BEYOGLU")</f>
        <v>ISTANBUL - BEYOGLU</v>
      </c>
      <c r="W227" s="43" t="str">
        <f>IFERROR(__xludf.DUMMYFUNCTION("""COMPUTED_VALUE"""),"2019-11-03T15:02:18Z")</f>
        <v>2019-11-03T15:02:18Z</v>
      </c>
      <c r="X227" s="43"/>
      <c r="Y227" s="43"/>
      <c r="Z227" s="43"/>
    </row>
    <row r="228" hidden="1">
      <c r="A228" s="43" t="str">
        <f>IFERROR(__xludf.DUMMYFUNCTION("""COMPUTED_VALUE"""),"5105860_1291029")</f>
        <v>5105860_1291029</v>
      </c>
      <c r="B228" s="43" t="str">
        <f>IFERROR(__xludf.DUMMYFUNCTION("""COMPUTED_VALUE"""),"Ezgi Engindeniz")</f>
        <v>Ezgi Engindeniz</v>
      </c>
      <c r="C228" s="43" t="str">
        <f>IFERROR(__xludf.DUMMYFUNCTION("""COMPUTED_VALUE"""),"approved")</f>
        <v>approved</v>
      </c>
      <c r="D228" s="43" t="str">
        <f>IFERROR(__xludf.DUMMYFUNCTION("""COMPUTED_VALUE"""),"No")</f>
        <v>No</v>
      </c>
      <c r="E228" s="43" t="str">
        <f>IFERROR(__xludf.DUMMYFUNCTION("""COMPUTED_VALUE"""),"p_faa1a18df9a70bff31f278f85d0d0543722bdaad@inbound.aiesec.org")</f>
        <v>p_faa1a18df9a70bff31f278f85d0d0543722bdaad@inbound.aiesec.org</v>
      </c>
      <c r="F228" s="43">
        <f>IFERROR(__xludf.DUMMYFUNCTION("""COMPUTED_VALUE"""),5.425672996E9)</f>
        <v>5425672996</v>
      </c>
      <c r="G228" s="43" t="str">
        <f>IFERROR(__xludf.DUMMYFUNCTION("""COMPUTED_VALUE"""),"Turkey")</f>
        <v>Turkey</v>
      </c>
      <c r="H228" s="43" t="str">
        <f>IFERROR(__xludf.DUMMYFUNCTION("""COMPUTED_VALUE"""),"ISTANBUL")</f>
        <v>ISTANBUL</v>
      </c>
      <c r="I228" s="43" t="str">
        <f>IFERROR(__xludf.DUMMYFUNCTION("""COMPUTED_VALUE"""),"Brazil")</f>
        <v>Brazil</v>
      </c>
      <c r="J228" s="43" t="str">
        <f>IFERROR(__xludf.DUMMYFUNCTION("""COMPUTED_VALUE"""),"FLORIANÓPOLIS")</f>
        <v>FLORIANÓPOLIS</v>
      </c>
      <c r="K228" s="44" t="str">
        <f>IFERROR(__xludf.DUMMYFUNCTION("""COMPUTED_VALUE"""),"https://expa.aiesec.org/opportunities/1291029")</f>
        <v>https://expa.aiesec.org/opportunities/1291029</v>
      </c>
      <c r="L228" s="43" t="str">
        <f>IFERROR(__xludf.DUMMYFUNCTION("""COMPUTED_VALUE"""),"GV")</f>
        <v>GV</v>
      </c>
      <c r="M228" s="43" t="str">
        <f>IFERROR(__xludf.DUMMYFUNCTION("""COMPUTED_VALUE"""),"short")</f>
        <v>short</v>
      </c>
      <c r="N228" s="45">
        <f>IFERROR(__xludf.DUMMYFUNCTION("""COMPUTED_VALUE"""),44910.0)</f>
        <v>44910</v>
      </c>
      <c r="O228" s="45">
        <f>IFERROR(__xludf.DUMMYFUNCTION("""COMPUTED_VALUE"""),45124.0)</f>
        <v>45124</v>
      </c>
      <c r="P228" s="45">
        <f>IFERROR(__xludf.DUMMYFUNCTION("""COMPUTED_VALUE"""),45166.0)</f>
        <v>45166</v>
      </c>
      <c r="Q228" s="45"/>
      <c r="R228" s="45"/>
      <c r="S228" s="43"/>
      <c r="T228" s="43"/>
      <c r="U228" s="43" t="str">
        <f>IFERROR(__xludf.DUMMYFUNCTION("""COMPUTED_VALUE"""),"Eco City")</f>
        <v>Eco City</v>
      </c>
      <c r="V228" s="43" t="str">
        <f>IFERROR(__xludf.DUMMYFUNCTION("""COMPUTED_VALUE"""),"ISTANBUL ASIA")</f>
        <v>ISTANBUL ASIA</v>
      </c>
      <c r="W228" s="43" t="str">
        <f>IFERROR(__xludf.DUMMYFUNCTION("""COMPUTED_VALUE"""),"2022-09-05T10:45:53Z")</f>
        <v>2022-09-05T10:45:53Z</v>
      </c>
      <c r="X228" s="43"/>
      <c r="Y228" s="43"/>
      <c r="Z228" s="43"/>
    </row>
    <row r="229" hidden="1">
      <c r="A229" s="43" t="str">
        <f>IFERROR(__xludf.DUMMYFUNCTION("""COMPUTED_VALUE"""),"5164232_1290196")</f>
        <v>5164232_1290196</v>
      </c>
      <c r="B229" s="43" t="str">
        <f>IFERROR(__xludf.DUMMYFUNCTION("""COMPUTED_VALUE"""),"Şeyda Betül Türkyılmaz")</f>
        <v>Şeyda Betül Türkyılmaz</v>
      </c>
      <c r="C229" s="43" t="str">
        <f>IFERROR(__xludf.DUMMYFUNCTION("""COMPUTED_VALUE"""),"completed")</f>
        <v>completed</v>
      </c>
      <c r="D229" s="43" t="str">
        <f>IFERROR(__xludf.DUMMYFUNCTION("""COMPUTED_VALUE"""),"No")</f>
        <v>No</v>
      </c>
      <c r="E229" s="43" t="str">
        <f>IFERROR(__xludf.DUMMYFUNCTION("""COMPUTED_VALUE"""),"p_76327d41b566286f9fdf5d27fd9ad844d613ead6@inbound.aiesec.org")</f>
        <v>p_76327d41b566286f9fdf5d27fd9ad844d613ead6@inbound.aiesec.org</v>
      </c>
      <c r="F229" s="43">
        <f>IFERROR(__xludf.DUMMYFUNCTION("""COMPUTED_VALUE"""),5.347231122E9)</f>
        <v>5347231122</v>
      </c>
      <c r="G229" s="43" t="str">
        <f>IFERROR(__xludf.DUMMYFUNCTION("""COMPUTED_VALUE"""),"Turkey")</f>
        <v>Turkey</v>
      </c>
      <c r="H229" s="43" t="str">
        <f>IFERROR(__xludf.DUMMYFUNCTION("""COMPUTED_VALUE"""),"ANKARA")</f>
        <v>ANKARA</v>
      </c>
      <c r="I229" s="43" t="str">
        <f>IFERROR(__xludf.DUMMYFUNCTION("""COMPUTED_VALUE"""),"Egypt")</f>
        <v>Egypt</v>
      </c>
      <c r="J229" s="43" t="str">
        <f>IFERROR(__xludf.DUMMYFUNCTION("""COMPUTED_VALUE"""),"Helwan")</f>
        <v>Helwan</v>
      </c>
      <c r="K229" s="44" t="str">
        <f>IFERROR(__xludf.DUMMYFUNCTION("""COMPUTED_VALUE"""),"https://expa.aiesec.org/opportunities/1290196")</f>
        <v>https://expa.aiesec.org/opportunities/1290196</v>
      </c>
      <c r="L229" s="43" t="str">
        <f>IFERROR(__xludf.DUMMYFUNCTION("""COMPUTED_VALUE"""),"GV")</f>
        <v>GV</v>
      </c>
      <c r="M229" s="43" t="str">
        <f>IFERROR(__xludf.DUMMYFUNCTION("""COMPUTED_VALUE"""),"short")</f>
        <v>short</v>
      </c>
      <c r="N229" s="45">
        <f>IFERROR(__xludf.DUMMYFUNCTION("""COMPUTED_VALUE"""),44911.0)</f>
        <v>44911</v>
      </c>
      <c r="O229" s="45">
        <f>IFERROR(__xludf.DUMMYFUNCTION("""COMPUTED_VALUE"""),45099.0)</f>
        <v>45099</v>
      </c>
      <c r="P229" s="45">
        <f>IFERROR(__xludf.DUMMYFUNCTION("""COMPUTED_VALUE"""),45141.0)</f>
        <v>45141</v>
      </c>
      <c r="Q229" s="45">
        <f>IFERROR(__xludf.DUMMYFUNCTION("""COMPUTED_VALUE"""),45099.0)</f>
        <v>45099</v>
      </c>
      <c r="R229" s="45">
        <f>IFERROR(__xludf.DUMMYFUNCTION("""COMPUTED_VALUE"""),45141.0)</f>
        <v>45141</v>
      </c>
      <c r="S229" s="43"/>
      <c r="T229" s="43"/>
      <c r="U229" s="43" t="str">
        <f>IFERROR(__xludf.DUMMYFUNCTION("""COMPUTED_VALUE"""),"Explorer")</f>
        <v>Explorer</v>
      </c>
      <c r="V229" s="43" t="str">
        <f>IFERROR(__xludf.DUMMYFUNCTION("""COMPUTED_VALUE"""),"TRABZON")</f>
        <v>TRABZON</v>
      </c>
      <c r="W229" s="43" t="str">
        <f>IFERROR(__xludf.DUMMYFUNCTION("""COMPUTED_VALUE"""),"2022-12-08T11:39:53Z")</f>
        <v>2022-12-08T11:39:53Z</v>
      </c>
      <c r="X229" s="43"/>
      <c r="Y229" s="43"/>
      <c r="Z229" s="43"/>
    </row>
    <row r="230" hidden="1">
      <c r="A230" s="43" t="str">
        <f>IFERROR(__xludf.DUMMYFUNCTION("""COMPUTED_VALUE"""),"5165147_1290656")</f>
        <v>5165147_1290656</v>
      </c>
      <c r="B230" s="43" t="str">
        <f>IFERROR(__xludf.DUMMYFUNCTION("""COMPUTED_VALUE"""),"Sena Türkoğlu")</f>
        <v>Sena Türkoğlu</v>
      </c>
      <c r="C230" s="43" t="str">
        <f>IFERROR(__xludf.DUMMYFUNCTION("""COMPUTED_VALUE"""),"completed")</f>
        <v>completed</v>
      </c>
      <c r="D230" s="43" t="str">
        <f>IFERROR(__xludf.DUMMYFUNCTION("""COMPUTED_VALUE"""),"No")</f>
        <v>No</v>
      </c>
      <c r="E230" s="43" t="str">
        <f>IFERROR(__xludf.DUMMYFUNCTION("""COMPUTED_VALUE"""),"p_712f1159bc591c8fee688d40068cc11957e8fc52@inbound.aiesec.org")</f>
        <v>p_712f1159bc591c8fee688d40068cc11957e8fc52@inbound.aiesec.org</v>
      </c>
      <c r="F230" s="43">
        <f>IFERROR(__xludf.DUMMYFUNCTION("""COMPUTED_VALUE"""),5.458964714E9)</f>
        <v>5458964714</v>
      </c>
      <c r="G230" s="43" t="str">
        <f>IFERROR(__xludf.DUMMYFUNCTION("""COMPUTED_VALUE"""),"Turkey")</f>
        <v>Turkey</v>
      </c>
      <c r="H230" s="43" t="str">
        <f>IFERROR(__xludf.DUMMYFUNCTION("""COMPUTED_VALUE"""),"ISTANBUL")</f>
        <v>ISTANBUL</v>
      </c>
      <c r="I230" s="43" t="str">
        <f>IFERROR(__xludf.DUMMYFUNCTION("""COMPUTED_VALUE"""),"Tunisia")</f>
        <v>Tunisia</v>
      </c>
      <c r="J230" s="43" t="str">
        <f>IFERROR(__xludf.DUMMYFUNCTION("""COMPUTED_VALUE"""),"Tacapes")</f>
        <v>Tacapes</v>
      </c>
      <c r="K230" s="44" t="str">
        <f>IFERROR(__xludf.DUMMYFUNCTION("""COMPUTED_VALUE"""),"https://expa.aiesec.org/opportunities/1290656")</f>
        <v>https://expa.aiesec.org/opportunities/1290656</v>
      </c>
      <c r="L230" s="43" t="str">
        <f>IFERROR(__xludf.DUMMYFUNCTION("""COMPUTED_VALUE"""),"GV")</f>
        <v>GV</v>
      </c>
      <c r="M230" s="43" t="str">
        <f>IFERROR(__xludf.DUMMYFUNCTION("""COMPUTED_VALUE"""),"short")</f>
        <v>short</v>
      </c>
      <c r="N230" s="45">
        <f>IFERROR(__xludf.DUMMYFUNCTION("""COMPUTED_VALUE"""),44912.0)</f>
        <v>44912</v>
      </c>
      <c r="O230" s="45">
        <f>IFERROR(__xludf.DUMMYFUNCTION("""COMPUTED_VALUE"""),44956.0)</f>
        <v>44956</v>
      </c>
      <c r="P230" s="45">
        <f>IFERROR(__xludf.DUMMYFUNCTION("""COMPUTED_VALUE"""),44998.0)</f>
        <v>44998</v>
      </c>
      <c r="Q230" s="45">
        <f>IFERROR(__xludf.DUMMYFUNCTION("""COMPUTED_VALUE"""),44959.0)</f>
        <v>44959</v>
      </c>
      <c r="R230" s="45">
        <f>IFERROR(__xludf.DUMMYFUNCTION("""COMPUTED_VALUE"""),44999.0)</f>
        <v>44999</v>
      </c>
      <c r="S230" s="43"/>
      <c r="T230" s="43"/>
      <c r="U230" s="43" t="str">
        <f>IFERROR(__xludf.DUMMYFUNCTION("""COMPUTED_VALUE"""),"Fingerprint")</f>
        <v>Fingerprint</v>
      </c>
      <c r="V230" s="43" t="str">
        <f>IFERROR(__xludf.DUMMYFUNCTION("""COMPUTED_VALUE"""),"ISTANBUL - BEYOGLU")</f>
        <v>ISTANBUL - BEYOGLU</v>
      </c>
      <c r="W230" s="43" t="str">
        <f>IFERROR(__xludf.DUMMYFUNCTION("""COMPUTED_VALUE"""),"2022-12-11T19:39:16Z")</f>
        <v>2022-12-11T19:39:16Z</v>
      </c>
      <c r="X230" s="43"/>
      <c r="Y230" s="43"/>
      <c r="Z230" s="43"/>
    </row>
    <row r="231" hidden="1">
      <c r="A231" s="43" t="str">
        <f>IFERROR(__xludf.DUMMYFUNCTION("""COMPUTED_VALUE"""),"5164660_1290186")</f>
        <v>5164660_1290186</v>
      </c>
      <c r="B231" s="43" t="str">
        <f>IFERROR(__xludf.DUMMYFUNCTION("""COMPUTED_VALUE"""),"Yaren Uygun")</f>
        <v>Yaren Uygun</v>
      </c>
      <c r="C231" s="43" t="str">
        <f>IFERROR(__xludf.DUMMYFUNCTION("""COMPUTED_VALUE"""),"completed")</f>
        <v>completed</v>
      </c>
      <c r="D231" s="43" t="str">
        <f>IFERROR(__xludf.DUMMYFUNCTION("""COMPUTED_VALUE"""),"No")</f>
        <v>No</v>
      </c>
      <c r="E231" s="43" t="str">
        <f>IFERROR(__xludf.DUMMYFUNCTION("""COMPUTED_VALUE"""),"p_5948dc1c1cb242896cbcf5cf71e604deae191563@inbound.aiesec.org")</f>
        <v>p_5948dc1c1cb242896cbcf5cf71e604deae191563@inbound.aiesec.org</v>
      </c>
      <c r="F231" s="43"/>
      <c r="G231" s="43" t="str">
        <f>IFERROR(__xludf.DUMMYFUNCTION("""COMPUTED_VALUE"""),"Turkey")</f>
        <v>Turkey</v>
      </c>
      <c r="H231" s="43" t="str">
        <f>IFERROR(__xludf.DUMMYFUNCTION("""COMPUTED_VALUE"""),"ISTANBUL ASIA")</f>
        <v>ISTANBUL ASIA</v>
      </c>
      <c r="I231" s="43" t="str">
        <f>IFERROR(__xludf.DUMMYFUNCTION("""COMPUTED_VALUE"""),"Romania")</f>
        <v>Romania</v>
      </c>
      <c r="J231" s="43" t="str">
        <f>IFERROR(__xludf.DUMMYFUNCTION("""COMPUTED_VALUE"""),"BUCURESTI")</f>
        <v>BUCURESTI</v>
      </c>
      <c r="K231" s="44" t="str">
        <f>IFERROR(__xludf.DUMMYFUNCTION("""COMPUTED_VALUE"""),"https://expa.aiesec.org/opportunities/1290186")</f>
        <v>https://expa.aiesec.org/opportunities/1290186</v>
      </c>
      <c r="L231" s="43" t="str">
        <f>IFERROR(__xludf.DUMMYFUNCTION("""COMPUTED_VALUE"""),"GV")</f>
        <v>GV</v>
      </c>
      <c r="M231" s="43" t="str">
        <f>IFERROR(__xludf.DUMMYFUNCTION("""COMPUTED_VALUE"""),"short")</f>
        <v>short</v>
      </c>
      <c r="N231" s="45">
        <f>IFERROR(__xludf.DUMMYFUNCTION("""COMPUTED_VALUE"""),44915.0)</f>
        <v>44915</v>
      </c>
      <c r="O231" s="45">
        <f>IFERROR(__xludf.DUMMYFUNCTION("""COMPUTED_VALUE"""),45096.0)</f>
        <v>45096</v>
      </c>
      <c r="P231" s="45">
        <f>IFERROR(__xludf.DUMMYFUNCTION("""COMPUTED_VALUE"""),45138.0)</f>
        <v>45138</v>
      </c>
      <c r="Q231" s="45">
        <f>IFERROR(__xludf.DUMMYFUNCTION("""COMPUTED_VALUE"""),45095.0)</f>
        <v>45095</v>
      </c>
      <c r="R231" s="45">
        <f>IFERROR(__xludf.DUMMYFUNCTION("""COMPUTED_VALUE"""),45138.0)</f>
        <v>45138</v>
      </c>
      <c r="S231" s="43"/>
      <c r="T231" s="43"/>
      <c r="U231" s="43" t="str">
        <f>IFERROR(__xludf.DUMMYFUNCTION("""COMPUTED_VALUE"""),"Skill Up!")</f>
        <v>Skill Up!</v>
      </c>
      <c r="V231" s="43" t="str">
        <f>IFERROR(__xludf.DUMMYFUNCTION("""COMPUTED_VALUE"""),"-")</f>
        <v>-</v>
      </c>
      <c r="W231" s="43" t="str">
        <f>IFERROR(__xludf.DUMMYFUNCTION("""COMPUTED_VALUE"""),"2022-12-09T19:22:49Z")</f>
        <v>2022-12-09T19:22:49Z</v>
      </c>
      <c r="X231" s="43"/>
      <c r="Y231" s="43"/>
      <c r="Z231" s="43"/>
    </row>
    <row r="232" hidden="1">
      <c r="A232" s="43" t="str">
        <f>IFERROR(__xludf.DUMMYFUNCTION("""COMPUTED_VALUE"""),"5162579_1289851")</f>
        <v>5162579_1289851</v>
      </c>
      <c r="B232" s="43" t="str">
        <f>IFERROR(__xludf.DUMMYFUNCTION("""COMPUTED_VALUE"""),"ırmak taşdan")</f>
        <v>ırmak taşdan</v>
      </c>
      <c r="C232" s="43" t="str">
        <f>IFERROR(__xludf.DUMMYFUNCTION("""COMPUTED_VALUE"""),"approved")</f>
        <v>approved</v>
      </c>
      <c r="D232" s="43" t="str">
        <f>IFERROR(__xludf.DUMMYFUNCTION("""COMPUTED_VALUE"""),"No")</f>
        <v>No</v>
      </c>
      <c r="E232" s="43" t="str">
        <f>IFERROR(__xludf.DUMMYFUNCTION("""COMPUTED_VALUE"""),"p_3435c595527310f6886d95c8bff71bbf8be698b2@inbound.aiesec.org")</f>
        <v>p_3435c595527310f6886d95c8bff71bbf8be698b2@inbound.aiesec.org</v>
      </c>
      <c r="F232" s="43">
        <f>IFERROR(__xludf.DUMMYFUNCTION("""COMPUTED_VALUE"""),5.349621005E9)</f>
        <v>5349621005</v>
      </c>
      <c r="G232" s="43" t="str">
        <f>IFERROR(__xludf.DUMMYFUNCTION("""COMPUTED_VALUE"""),"Turkey")</f>
        <v>Turkey</v>
      </c>
      <c r="H232" s="43" t="str">
        <f>IFERROR(__xludf.DUMMYFUNCTION("""COMPUTED_VALUE"""),"ISTANBUL ASIA")</f>
        <v>ISTANBUL ASIA</v>
      </c>
      <c r="I232" s="43" t="str">
        <f>IFERROR(__xludf.DUMMYFUNCTION("""COMPUTED_VALUE"""),"India")</f>
        <v>India</v>
      </c>
      <c r="J232" s="43" t="str">
        <f>IFERROR(__xludf.DUMMYFUNCTION("""COMPUTED_VALUE"""),"Mumbai")</f>
        <v>Mumbai</v>
      </c>
      <c r="K232" s="44" t="str">
        <f>IFERROR(__xludf.DUMMYFUNCTION("""COMPUTED_VALUE"""),"https://expa.aiesec.org/opportunities/1289851")</f>
        <v>https://expa.aiesec.org/opportunities/1289851</v>
      </c>
      <c r="L232" s="43" t="str">
        <f>IFERROR(__xludf.DUMMYFUNCTION("""COMPUTED_VALUE"""),"GV")</f>
        <v>GV</v>
      </c>
      <c r="M232" s="43" t="str">
        <f>IFERROR(__xludf.DUMMYFUNCTION("""COMPUTED_VALUE"""),"short")</f>
        <v>short</v>
      </c>
      <c r="N232" s="45">
        <f>IFERROR(__xludf.DUMMYFUNCTION("""COMPUTED_VALUE"""),44915.0)</f>
        <v>44915</v>
      </c>
      <c r="O232" s="45">
        <f>IFERROR(__xludf.DUMMYFUNCTION("""COMPUTED_VALUE"""),45139.0)</f>
        <v>45139</v>
      </c>
      <c r="P232" s="45">
        <f>IFERROR(__xludf.DUMMYFUNCTION("""COMPUTED_VALUE"""),45181.0)</f>
        <v>45181</v>
      </c>
      <c r="Q232" s="45"/>
      <c r="R232" s="45"/>
      <c r="S232" s="43"/>
      <c r="T232" s="43"/>
      <c r="U232" s="43" t="str">
        <f>IFERROR(__xludf.DUMMYFUNCTION("""COMPUTED_VALUE"""),"Fingerprint")</f>
        <v>Fingerprint</v>
      </c>
      <c r="V232" s="43" t="str">
        <f>IFERROR(__xludf.DUMMYFUNCTION("""COMPUTED_VALUE"""),"ISTANBUL ASIA")</f>
        <v>ISTANBUL ASIA</v>
      </c>
      <c r="W232" s="43" t="str">
        <f>IFERROR(__xludf.DUMMYFUNCTION("""COMPUTED_VALUE"""),"2022-12-04T16:27:33Z")</f>
        <v>2022-12-04T16:27:33Z</v>
      </c>
      <c r="X232" s="43"/>
      <c r="Y232" s="43"/>
      <c r="Z232" s="43"/>
    </row>
    <row r="233" hidden="1">
      <c r="A233" s="43" t="str">
        <f>IFERROR(__xludf.DUMMYFUNCTION("""COMPUTED_VALUE"""),"5165774_1282256")</f>
        <v>5165774_1282256</v>
      </c>
      <c r="B233" s="43" t="str">
        <f>IFERROR(__xludf.DUMMYFUNCTION("""COMPUTED_VALUE"""),"Ece Gizem Yıldız")</f>
        <v>Ece Gizem Yıldız</v>
      </c>
      <c r="C233" s="43" t="str">
        <f>IFERROR(__xludf.DUMMYFUNCTION("""COMPUTED_VALUE"""),"completed")</f>
        <v>completed</v>
      </c>
      <c r="D233" s="43" t="str">
        <f>IFERROR(__xludf.DUMMYFUNCTION("""COMPUTED_VALUE"""),"No")</f>
        <v>No</v>
      </c>
      <c r="E233" s="43" t="str">
        <f>IFERROR(__xludf.DUMMYFUNCTION("""COMPUTED_VALUE"""),"p_a1f54b171f215edb0cc522d612f9d42aea28dc05@inbound.aiesec.org")</f>
        <v>p_a1f54b171f215edb0cc522d612f9d42aea28dc05@inbound.aiesec.org</v>
      </c>
      <c r="F233" s="43">
        <f>IFERROR(__xludf.DUMMYFUNCTION("""COMPUTED_VALUE"""),5.346501607E9)</f>
        <v>5346501607</v>
      </c>
      <c r="G233" s="43" t="str">
        <f>IFERROR(__xludf.DUMMYFUNCTION("""COMPUTED_VALUE"""),"Turkey")</f>
        <v>Turkey</v>
      </c>
      <c r="H233" s="43" t="str">
        <f>IFERROR(__xludf.DUMMYFUNCTION("""COMPUTED_VALUE"""),"ISTANBUL ASIA")</f>
        <v>ISTANBUL ASIA</v>
      </c>
      <c r="I233" s="43" t="str">
        <f>IFERROR(__xludf.DUMMYFUNCTION("""COMPUTED_VALUE"""),"India")</f>
        <v>India</v>
      </c>
      <c r="J233" s="43" t="str">
        <f>IFERROR(__xludf.DUMMYFUNCTION("""COMPUTED_VALUE"""),"Pune")</f>
        <v>Pune</v>
      </c>
      <c r="K233" s="44" t="str">
        <f>IFERROR(__xludf.DUMMYFUNCTION("""COMPUTED_VALUE"""),"https://expa.aiesec.org/opportunities/1282256")</f>
        <v>https://expa.aiesec.org/opportunities/1282256</v>
      </c>
      <c r="L233" s="43" t="str">
        <f>IFERROR(__xludf.DUMMYFUNCTION("""COMPUTED_VALUE"""),"GV")</f>
        <v>GV</v>
      </c>
      <c r="M233" s="43" t="str">
        <f>IFERROR(__xludf.DUMMYFUNCTION("""COMPUTED_VALUE"""),"short")</f>
        <v>short</v>
      </c>
      <c r="N233" s="45">
        <f>IFERROR(__xludf.DUMMYFUNCTION("""COMPUTED_VALUE"""),44916.0)</f>
        <v>44916</v>
      </c>
      <c r="O233" s="45">
        <f>IFERROR(__xludf.DUMMYFUNCTION("""COMPUTED_VALUE"""),45139.0)</f>
        <v>45139</v>
      </c>
      <c r="P233" s="45">
        <f>IFERROR(__xludf.DUMMYFUNCTION("""COMPUTED_VALUE"""),45181.0)</f>
        <v>45181</v>
      </c>
      <c r="Q233" s="45">
        <f>IFERROR(__xludf.DUMMYFUNCTION("""COMPUTED_VALUE"""),45139.0)</f>
        <v>45139</v>
      </c>
      <c r="R233" s="45">
        <f>IFERROR(__xludf.DUMMYFUNCTION("""COMPUTED_VALUE"""),45181.0)</f>
        <v>45181</v>
      </c>
      <c r="S233" s="43"/>
      <c r="T233" s="43"/>
      <c r="U233" s="43" t="str">
        <f>IFERROR(__xludf.DUMMYFUNCTION("""COMPUTED_VALUE"""),"Heartbeat")</f>
        <v>Heartbeat</v>
      </c>
      <c r="V233" s="43" t="str">
        <f>IFERROR(__xludf.DUMMYFUNCTION("""COMPUTED_VALUE"""),"ISTANBUL ASIA")</f>
        <v>ISTANBUL ASIA</v>
      </c>
      <c r="W233" s="43" t="str">
        <f>IFERROR(__xludf.DUMMYFUNCTION("""COMPUTED_VALUE"""),"2022-12-13T16:42:14Z")</f>
        <v>2022-12-13T16:42:14Z</v>
      </c>
      <c r="X233" s="43"/>
      <c r="Y233" s="43"/>
      <c r="Z233" s="43"/>
    </row>
    <row r="234" hidden="1">
      <c r="A234" s="43" t="str">
        <f>IFERROR(__xludf.DUMMYFUNCTION("""COMPUTED_VALUE"""),"5164741_1288420")</f>
        <v>5164741_1288420</v>
      </c>
      <c r="B234" s="43" t="str">
        <f>IFERROR(__xludf.DUMMYFUNCTION("""COMPUTED_VALUE"""),"Dilara Kuruşcu")</f>
        <v>Dilara Kuruşcu</v>
      </c>
      <c r="C234" s="43" t="str">
        <f>IFERROR(__xludf.DUMMYFUNCTION("""COMPUTED_VALUE"""),"completed")</f>
        <v>completed</v>
      </c>
      <c r="D234" s="43" t="str">
        <f>IFERROR(__xludf.DUMMYFUNCTION("""COMPUTED_VALUE"""),"No")</f>
        <v>No</v>
      </c>
      <c r="E234" s="43" t="str">
        <f>IFERROR(__xludf.DUMMYFUNCTION("""COMPUTED_VALUE"""),"p_67264935e1b0b29936d778549c1b032aaa85a8be@inbound.aiesec.org")</f>
        <v>p_67264935e1b0b29936d778549c1b032aaa85a8be@inbound.aiesec.org</v>
      </c>
      <c r="F234" s="43">
        <f>IFERROR(__xludf.DUMMYFUNCTION("""COMPUTED_VALUE"""),5.426807711E9)</f>
        <v>5426807711</v>
      </c>
      <c r="G234" s="43" t="str">
        <f>IFERROR(__xludf.DUMMYFUNCTION("""COMPUTED_VALUE"""),"Turkey")</f>
        <v>Turkey</v>
      </c>
      <c r="H234" s="43" t="str">
        <f>IFERROR(__xludf.DUMMYFUNCTION("""COMPUTED_VALUE"""),"ANTALYA")</f>
        <v>ANTALYA</v>
      </c>
      <c r="I234" s="43" t="str">
        <f>IFERROR(__xludf.DUMMYFUNCTION("""COMPUTED_VALUE"""),"India")</f>
        <v>India</v>
      </c>
      <c r="J234" s="43" t="str">
        <f>IFERROR(__xludf.DUMMYFUNCTION("""COMPUTED_VALUE"""),"JAIPUR ")</f>
        <v>JAIPUR </v>
      </c>
      <c r="K234" s="44" t="str">
        <f>IFERROR(__xludf.DUMMYFUNCTION("""COMPUTED_VALUE"""),"https://expa.aiesec.org/opportunities/1288420")</f>
        <v>https://expa.aiesec.org/opportunities/1288420</v>
      </c>
      <c r="L234" s="43" t="str">
        <f>IFERROR(__xludf.DUMMYFUNCTION("""COMPUTED_VALUE"""),"GV")</f>
        <v>GV</v>
      </c>
      <c r="M234" s="43" t="str">
        <f>IFERROR(__xludf.DUMMYFUNCTION("""COMPUTED_VALUE"""),"short")</f>
        <v>short</v>
      </c>
      <c r="N234" s="45">
        <f>IFERROR(__xludf.DUMMYFUNCTION("""COMPUTED_VALUE"""),44916.0)</f>
        <v>44916</v>
      </c>
      <c r="O234" s="45">
        <f>IFERROR(__xludf.DUMMYFUNCTION("""COMPUTED_VALUE"""),44961.0)</f>
        <v>44961</v>
      </c>
      <c r="P234" s="45">
        <f>IFERROR(__xludf.DUMMYFUNCTION("""COMPUTED_VALUE"""),45003.0)</f>
        <v>45003</v>
      </c>
      <c r="Q234" s="45">
        <f>IFERROR(__xludf.DUMMYFUNCTION("""COMPUTED_VALUE"""),44964.0)</f>
        <v>44964</v>
      </c>
      <c r="R234" s="45">
        <f>IFERROR(__xludf.DUMMYFUNCTION("""COMPUTED_VALUE"""),45006.0)</f>
        <v>45006</v>
      </c>
      <c r="S234" s="43"/>
      <c r="T234" s="43"/>
      <c r="U234" s="43" t="str">
        <f>IFERROR(__xludf.DUMMYFUNCTION("""COMPUTED_VALUE"""),"Heartbeat")</f>
        <v>Heartbeat</v>
      </c>
      <c r="V234" s="43" t="str">
        <f>IFERROR(__xludf.DUMMYFUNCTION("""COMPUTED_VALUE"""),"ANTALYA")</f>
        <v>ANTALYA</v>
      </c>
      <c r="W234" s="43" t="str">
        <f>IFERROR(__xludf.DUMMYFUNCTION("""COMPUTED_VALUE"""),"2022-12-10T06:26:52Z")</f>
        <v>2022-12-10T06:26:52Z</v>
      </c>
      <c r="X234" s="43"/>
      <c r="Y234" s="43"/>
      <c r="Z234" s="43"/>
    </row>
    <row r="235" hidden="1">
      <c r="A235" s="43" t="str">
        <f>IFERROR(__xludf.DUMMYFUNCTION("""COMPUTED_VALUE"""),"5164520_1291419")</f>
        <v>5164520_1291419</v>
      </c>
      <c r="B235" s="43" t="str">
        <f>IFERROR(__xludf.DUMMYFUNCTION("""COMPUTED_VALUE"""),"Buket Nur Erkol")</f>
        <v>Buket Nur Erkol</v>
      </c>
      <c r="C235" s="43" t="str">
        <f>IFERROR(__xludf.DUMMYFUNCTION("""COMPUTED_VALUE"""),"completed")</f>
        <v>completed</v>
      </c>
      <c r="D235" s="43" t="str">
        <f>IFERROR(__xludf.DUMMYFUNCTION("""COMPUTED_VALUE"""),"No")</f>
        <v>No</v>
      </c>
      <c r="E235" s="43" t="str">
        <f>IFERROR(__xludf.DUMMYFUNCTION("""COMPUTED_VALUE"""),"p_528ece74fbf9576009a8562ed0d6081132bc51f0@inbound.aiesec.org")</f>
        <v>p_528ece74fbf9576009a8562ed0d6081132bc51f0@inbound.aiesec.org</v>
      </c>
      <c r="F235" s="43">
        <f>IFERROR(__xludf.DUMMYFUNCTION("""COMPUTED_VALUE"""),5.306463999E9)</f>
        <v>5306463999</v>
      </c>
      <c r="G235" s="43" t="str">
        <f>IFERROR(__xludf.DUMMYFUNCTION("""COMPUTED_VALUE"""),"Turkey")</f>
        <v>Turkey</v>
      </c>
      <c r="H235" s="43" t="str">
        <f>IFERROR(__xludf.DUMMYFUNCTION("""COMPUTED_VALUE"""),"ANKARA")</f>
        <v>ANKARA</v>
      </c>
      <c r="I235" s="43" t="str">
        <f>IFERROR(__xludf.DUMMYFUNCTION("""COMPUTED_VALUE"""),"Romania")</f>
        <v>Romania</v>
      </c>
      <c r="J235" s="43" t="str">
        <f>IFERROR(__xludf.DUMMYFUNCTION("""COMPUTED_VALUE"""),"BUCURESTI")</f>
        <v>BUCURESTI</v>
      </c>
      <c r="K235" s="44" t="str">
        <f>IFERROR(__xludf.DUMMYFUNCTION("""COMPUTED_VALUE"""),"https://expa.aiesec.org/opportunities/1291419")</f>
        <v>https://expa.aiesec.org/opportunities/1291419</v>
      </c>
      <c r="L235" s="43" t="str">
        <f>IFERROR(__xludf.DUMMYFUNCTION("""COMPUTED_VALUE"""),"GV")</f>
        <v>GV</v>
      </c>
      <c r="M235" s="43" t="str">
        <f>IFERROR(__xludf.DUMMYFUNCTION("""COMPUTED_VALUE"""),"short")</f>
        <v>short</v>
      </c>
      <c r="N235" s="45">
        <f>IFERROR(__xludf.DUMMYFUNCTION("""COMPUTED_VALUE"""),44918.0)</f>
        <v>44918</v>
      </c>
      <c r="O235" s="45">
        <f>IFERROR(__xludf.DUMMYFUNCTION("""COMPUTED_VALUE"""),45124.0)</f>
        <v>45124</v>
      </c>
      <c r="P235" s="45">
        <f>IFERROR(__xludf.DUMMYFUNCTION("""COMPUTED_VALUE"""),45166.0)</f>
        <v>45166</v>
      </c>
      <c r="Q235" s="45">
        <f>IFERROR(__xludf.DUMMYFUNCTION("""COMPUTED_VALUE"""),45124.0)</f>
        <v>45124</v>
      </c>
      <c r="R235" s="45">
        <f>IFERROR(__xludf.DUMMYFUNCTION("""COMPUTED_VALUE"""),45166.0)</f>
        <v>45166</v>
      </c>
      <c r="S235" s="43"/>
      <c r="T235" s="43"/>
      <c r="U235" s="43" t="str">
        <f>IFERROR(__xludf.DUMMYFUNCTION("""COMPUTED_VALUE"""),"Global Classroom")</f>
        <v>Global Classroom</v>
      </c>
      <c r="V235" s="43" t="str">
        <f>IFERROR(__xludf.DUMMYFUNCTION("""COMPUTED_VALUE"""),"ANKARA")</f>
        <v>ANKARA</v>
      </c>
      <c r="W235" s="43" t="str">
        <f>IFERROR(__xludf.DUMMYFUNCTION("""COMPUTED_VALUE"""),"2022-12-09T10:44:47Z")</f>
        <v>2022-12-09T10:44:47Z</v>
      </c>
      <c r="X235" s="43"/>
      <c r="Y235" s="43"/>
      <c r="Z235" s="43"/>
    </row>
    <row r="236" hidden="1">
      <c r="A236" s="43" t="str">
        <f>IFERROR(__xludf.DUMMYFUNCTION("""COMPUTED_VALUE"""),"5112554_1286379")</f>
        <v>5112554_1286379</v>
      </c>
      <c r="B236" s="43" t="str">
        <f>IFERROR(__xludf.DUMMYFUNCTION("""COMPUTED_VALUE"""),"enes faruk ertan")</f>
        <v>enes faruk ertan</v>
      </c>
      <c r="C236" s="43" t="str">
        <f>IFERROR(__xludf.DUMMYFUNCTION("""COMPUTED_VALUE"""),"completed")</f>
        <v>completed</v>
      </c>
      <c r="D236" s="43" t="str">
        <f>IFERROR(__xludf.DUMMYFUNCTION("""COMPUTED_VALUE"""),"No")</f>
        <v>No</v>
      </c>
      <c r="E236" s="43" t="str">
        <f>IFERROR(__xludf.DUMMYFUNCTION("""COMPUTED_VALUE"""),"p_e81cd7bce612af8ce92b0d37ea0ce61f0f3d48de@inbound.aiesec.org")</f>
        <v>p_e81cd7bce612af8ce92b0d37ea0ce61f0f3d48de@inbound.aiesec.org</v>
      </c>
      <c r="F236" s="43">
        <f>IFERROR(__xludf.DUMMYFUNCTION("""COMPUTED_VALUE"""),5.533196043E9)</f>
        <v>5533196043</v>
      </c>
      <c r="G236" s="43" t="str">
        <f>IFERROR(__xludf.DUMMYFUNCTION("""COMPUTED_VALUE"""),"Turkey")</f>
        <v>Turkey</v>
      </c>
      <c r="H236" s="43" t="str">
        <f>IFERROR(__xludf.DUMMYFUNCTION("""COMPUTED_VALUE"""),"ANKARA")</f>
        <v>ANKARA</v>
      </c>
      <c r="I236" s="43" t="str">
        <f>IFERROR(__xludf.DUMMYFUNCTION("""COMPUTED_VALUE"""),"Tunisia")</f>
        <v>Tunisia</v>
      </c>
      <c r="J236" s="43" t="str">
        <f>IFERROR(__xludf.DUMMYFUNCTION("""COMPUTED_VALUE"""),"NABEL")</f>
        <v>NABEL</v>
      </c>
      <c r="K236" s="44" t="str">
        <f>IFERROR(__xludf.DUMMYFUNCTION("""COMPUTED_VALUE"""),"https://expa.aiesec.org/opportunities/1286379")</f>
        <v>https://expa.aiesec.org/opportunities/1286379</v>
      </c>
      <c r="L236" s="43" t="str">
        <f>IFERROR(__xludf.DUMMYFUNCTION("""COMPUTED_VALUE"""),"GV")</f>
        <v>GV</v>
      </c>
      <c r="M236" s="43" t="str">
        <f>IFERROR(__xludf.DUMMYFUNCTION("""COMPUTED_VALUE"""),"short")</f>
        <v>short</v>
      </c>
      <c r="N236" s="45">
        <f>IFERROR(__xludf.DUMMYFUNCTION("""COMPUTED_VALUE"""),44918.0)</f>
        <v>44918</v>
      </c>
      <c r="O236" s="45">
        <f>IFERROR(__xludf.DUMMYFUNCTION("""COMPUTED_VALUE"""),45127.0)</f>
        <v>45127</v>
      </c>
      <c r="P236" s="45">
        <f>IFERROR(__xludf.DUMMYFUNCTION("""COMPUTED_VALUE"""),45169.0)</f>
        <v>45169</v>
      </c>
      <c r="Q236" s="45">
        <f>IFERROR(__xludf.DUMMYFUNCTION("""COMPUTED_VALUE"""),45128.0)</f>
        <v>45128</v>
      </c>
      <c r="R236" s="45">
        <f>IFERROR(__xludf.DUMMYFUNCTION("""COMPUTED_VALUE"""),45169.0)</f>
        <v>45169</v>
      </c>
      <c r="S236" s="43"/>
      <c r="T236" s="43"/>
      <c r="U236" s="43" t="str">
        <f>IFERROR(__xludf.DUMMYFUNCTION("""COMPUTED_VALUE"""),"Green Leaders")</f>
        <v>Green Leaders</v>
      </c>
      <c r="V236" s="43" t="str">
        <f>IFERROR(__xludf.DUMMYFUNCTION("""COMPUTED_VALUE"""),"ANKARA")</f>
        <v>ANKARA</v>
      </c>
      <c r="W236" s="43" t="str">
        <f>IFERROR(__xludf.DUMMYFUNCTION("""COMPUTED_VALUE"""),"2022-09-14T18:38:00Z")</f>
        <v>2022-09-14T18:38:00Z</v>
      </c>
      <c r="X236" s="43"/>
      <c r="Y236" s="43"/>
      <c r="Z236" s="43"/>
    </row>
    <row r="237" hidden="1">
      <c r="A237" s="43" t="str">
        <f>IFERROR(__xludf.DUMMYFUNCTION("""COMPUTED_VALUE"""),"4829134_1286379")</f>
        <v>4829134_1286379</v>
      </c>
      <c r="B237" s="43" t="str">
        <f>IFERROR(__xludf.DUMMYFUNCTION("""COMPUTED_VALUE"""),"Faik Doğruyol")</f>
        <v>Faik Doğruyol</v>
      </c>
      <c r="C237" s="43" t="str">
        <f>IFERROR(__xludf.DUMMYFUNCTION("""COMPUTED_VALUE"""),"finished")</f>
        <v>finished</v>
      </c>
      <c r="D237" s="43" t="str">
        <f>IFERROR(__xludf.DUMMYFUNCTION("""COMPUTED_VALUE"""),"No")</f>
        <v>No</v>
      </c>
      <c r="E237" s="43" t="str">
        <f>IFERROR(__xludf.DUMMYFUNCTION("""COMPUTED_VALUE"""),"p_b4d4e1b0c181935d30a603d03b195e7a1efecd55@inbound.aiesec.org")</f>
        <v>p_b4d4e1b0c181935d30a603d03b195e7a1efecd55@inbound.aiesec.org</v>
      </c>
      <c r="F237" s="43">
        <f>IFERROR(__xludf.DUMMYFUNCTION("""COMPUTED_VALUE"""),5.533317948E9)</f>
        <v>5533317948</v>
      </c>
      <c r="G237" s="43" t="str">
        <f>IFERROR(__xludf.DUMMYFUNCTION("""COMPUTED_VALUE"""),"Turkey")</f>
        <v>Turkey</v>
      </c>
      <c r="H237" s="43" t="str">
        <f>IFERROR(__xludf.DUMMYFUNCTION("""COMPUTED_VALUE"""),"ANKARA")</f>
        <v>ANKARA</v>
      </c>
      <c r="I237" s="43" t="str">
        <f>IFERROR(__xludf.DUMMYFUNCTION("""COMPUTED_VALUE"""),"Tunisia")</f>
        <v>Tunisia</v>
      </c>
      <c r="J237" s="43" t="str">
        <f>IFERROR(__xludf.DUMMYFUNCTION("""COMPUTED_VALUE"""),"NABEL")</f>
        <v>NABEL</v>
      </c>
      <c r="K237" s="44" t="str">
        <f>IFERROR(__xludf.DUMMYFUNCTION("""COMPUTED_VALUE"""),"https://expa.aiesec.org/opportunities/1286379")</f>
        <v>https://expa.aiesec.org/opportunities/1286379</v>
      </c>
      <c r="L237" s="43" t="str">
        <f>IFERROR(__xludf.DUMMYFUNCTION("""COMPUTED_VALUE"""),"GV")</f>
        <v>GV</v>
      </c>
      <c r="M237" s="43" t="str">
        <f>IFERROR(__xludf.DUMMYFUNCTION("""COMPUTED_VALUE"""),"short")</f>
        <v>short</v>
      </c>
      <c r="N237" s="45">
        <f>IFERROR(__xludf.DUMMYFUNCTION("""COMPUTED_VALUE"""),44918.0)</f>
        <v>44918</v>
      </c>
      <c r="O237" s="45">
        <f>IFERROR(__xludf.DUMMYFUNCTION("""COMPUTED_VALUE"""),45127.0)</f>
        <v>45127</v>
      </c>
      <c r="P237" s="45">
        <f>IFERROR(__xludf.DUMMYFUNCTION("""COMPUTED_VALUE"""),45169.0)</f>
        <v>45169</v>
      </c>
      <c r="Q237" s="45">
        <f>IFERROR(__xludf.DUMMYFUNCTION("""COMPUTED_VALUE"""),45128.0)</f>
        <v>45128</v>
      </c>
      <c r="R237" s="45">
        <f>IFERROR(__xludf.DUMMYFUNCTION("""COMPUTED_VALUE"""),45169.0)</f>
        <v>45169</v>
      </c>
      <c r="S237" s="43"/>
      <c r="T237" s="43"/>
      <c r="U237" s="43" t="str">
        <f>IFERROR(__xludf.DUMMYFUNCTION("""COMPUTED_VALUE"""),"Green Leaders")</f>
        <v>Green Leaders</v>
      </c>
      <c r="V237" s="43" t="str">
        <f>IFERROR(__xludf.DUMMYFUNCTION("""COMPUTED_VALUE"""),"ANKARA")</f>
        <v>ANKARA</v>
      </c>
      <c r="W237" s="43" t="str">
        <f>IFERROR(__xludf.DUMMYFUNCTION("""COMPUTED_VALUE"""),"2021-12-03T14:54:34Z")</f>
        <v>2021-12-03T14:54:34Z</v>
      </c>
      <c r="X237" s="43"/>
      <c r="Y237" s="43"/>
      <c r="Z237" s="43"/>
    </row>
    <row r="238" hidden="1">
      <c r="A238" s="43" t="str">
        <f>IFERROR(__xludf.DUMMYFUNCTION("""COMPUTED_VALUE"""),"5162975_1291020")</f>
        <v>5162975_1291020</v>
      </c>
      <c r="B238" s="43" t="str">
        <f>IFERROR(__xludf.DUMMYFUNCTION("""COMPUTED_VALUE"""),"Ezgi Yılmaz")</f>
        <v>Ezgi Yılmaz</v>
      </c>
      <c r="C238" s="43" t="str">
        <f>IFERROR(__xludf.DUMMYFUNCTION("""COMPUTED_VALUE"""),"approved")</f>
        <v>approved</v>
      </c>
      <c r="D238" s="43" t="str">
        <f>IFERROR(__xludf.DUMMYFUNCTION("""COMPUTED_VALUE"""),"No")</f>
        <v>No</v>
      </c>
      <c r="E238" s="43" t="str">
        <f>IFERROR(__xludf.DUMMYFUNCTION("""COMPUTED_VALUE"""),"p_d3ce0ac48cd488f6ae605841ecd9477208d38eee@inbound.aiesec.org")</f>
        <v>p_d3ce0ac48cd488f6ae605841ecd9477208d38eee@inbound.aiesec.org</v>
      </c>
      <c r="F238" s="43"/>
      <c r="G238" s="43" t="str">
        <f>IFERROR(__xludf.DUMMYFUNCTION("""COMPUTED_VALUE"""),"Turkey")</f>
        <v>Turkey</v>
      </c>
      <c r="H238" s="43" t="str">
        <f>IFERROR(__xludf.DUMMYFUNCTION("""COMPUTED_VALUE"""),"ANKARA")</f>
        <v>ANKARA</v>
      </c>
      <c r="I238" s="43" t="str">
        <f>IFERROR(__xludf.DUMMYFUNCTION("""COMPUTED_VALUE"""),"Romania")</f>
        <v>Romania</v>
      </c>
      <c r="J238" s="43" t="str">
        <f>IFERROR(__xludf.DUMMYFUNCTION("""COMPUTED_VALUE"""),"BUCURESTI")</f>
        <v>BUCURESTI</v>
      </c>
      <c r="K238" s="44" t="str">
        <f>IFERROR(__xludf.DUMMYFUNCTION("""COMPUTED_VALUE"""),"https://expa.aiesec.org/opportunities/1291020")</f>
        <v>https://expa.aiesec.org/opportunities/1291020</v>
      </c>
      <c r="L238" s="43" t="str">
        <f>IFERROR(__xludf.DUMMYFUNCTION("""COMPUTED_VALUE"""),"GV")</f>
        <v>GV</v>
      </c>
      <c r="M238" s="43" t="str">
        <f>IFERROR(__xludf.DUMMYFUNCTION("""COMPUTED_VALUE"""),"short")</f>
        <v>short</v>
      </c>
      <c r="N238" s="45">
        <f>IFERROR(__xludf.DUMMYFUNCTION("""COMPUTED_VALUE"""),44918.0)</f>
        <v>44918</v>
      </c>
      <c r="O238" s="45">
        <f>IFERROR(__xludf.DUMMYFUNCTION("""COMPUTED_VALUE"""),45096.0)</f>
        <v>45096</v>
      </c>
      <c r="P238" s="45">
        <f>IFERROR(__xludf.DUMMYFUNCTION("""COMPUTED_VALUE"""),45138.0)</f>
        <v>45138</v>
      </c>
      <c r="Q238" s="45"/>
      <c r="R238" s="45"/>
      <c r="S238" s="43"/>
      <c r="T238" s="43"/>
      <c r="U238" s="43" t="str">
        <f>IFERROR(__xludf.DUMMYFUNCTION("""COMPUTED_VALUE"""),"Global Classroom")</f>
        <v>Global Classroom</v>
      </c>
      <c r="V238" s="43" t="str">
        <f>IFERROR(__xludf.DUMMYFUNCTION("""COMPUTED_VALUE"""),"-")</f>
        <v>-</v>
      </c>
      <c r="W238" s="43" t="str">
        <f>IFERROR(__xludf.DUMMYFUNCTION("""COMPUTED_VALUE"""),"2022-12-05T17:37:19Z")</f>
        <v>2022-12-05T17:37:19Z</v>
      </c>
      <c r="X238" s="43"/>
      <c r="Y238" s="43"/>
      <c r="Z238" s="43"/>
    </row>
    <row r="239" hidden="1">
      <c r="A239" s="43" t="str">
        <f>IFERROR(__xludf.DUMMYFUNCTION("""COMPUTED_VALUE"""),"4920640_1290985")</f>
        <v>4920640_1290985</v>
      </c>
      <c r="B239" s="43" t="str">
        <f>IFERROR(__xludf.DUMMYFUNCTION("""COMPUTED_VALUE"""),"Hüseyin Öncü")</f>
        <v>Hüseyin Öncü</v>
      </c>
      <c r="C239" s="43" t="str">
        <f>IFERROR(__xludf.DUMMYFUNCTION("""COMPUTED_VALUE"""),"completed")</f>
        <v>completed</v>
      </c>
      <c r="D239" s="43" t="str">
        <f>IFERROR(__xludf.DUMMYFUNCTION("""COMPUTED_VALUE"""),"No")</f>
        <v>No</v>
      </c>
      <c r="E239" s="43" t="str">
        <f>IFERROR(__xludf.DUMMYFUNCTION("""COMPUTED_VALUE"""),"p_97847adc3a0dc9b6dcea191002a57716df957580@inbound.aiesec.org")</f>
        <v>p_97847adc3a0dc9b6dcea191002a57716df957580@inbound.aiesec.org</v>
      </c>
      <c r="F239" s="43"/>
      <c r="G239" s="43" t="str">
        <f>IFERROR(__xludf.DUMMYFUNCTION("""COMPUTED_VALUE"""),"Turkey")</f>
        <v>Turkey</v>
      </c>
      <c r="H239" s="43" t="str">
        <f>IFERROR(__xludf.DUMMYFUNCTION("""COMPUTED_VALUE"""),"ISTANBUL")</f>
        <v>ISTANBUL</v>
      </c>
      <c r="I239" s="43" t="str">
        <f>IFERROR(__xludf.DUMMYFUNCTION("""COMPUTED_VALUE"""),"Romania")</f>
        <v>Romania</v>
      </c>
      <c r="J239" s="43" t="str">
        <f>IFERROR(__xludf.DUMMYFUNCTION("""COMPUTED_VALUE"""),"PITESTI")</f>
        <v>PITESTI</v>
      </c>
      <c r="K239" s="44" t="str">
        <f>IFERROR(__xludf.DUMMYFUNCTION("""COMPUTED_VALUE"""),"https://expa.aiesec.org/opportunities/1290985")</f>
        <v>https://expa.aiesec.org/opportunities/1290985</v>
      </c>
      <c r="L239" s="43" t="str">
        <f>IFERROR(__xludf.DUMMYFUNCTION("""COMPUTED_VALUE"""),"GV")</f>
        <v>GV</v>
      </c>
      <c r="M239" s="43" t="str">
        <f>IFERROR(__xludf.DUMMYFUNCTION("""COMPUTED_VALUE"""),"short")</f>
        <v>short</v>
      </c>
      <c r="N239" s="45">
        <f>IFERROR(__xludf.DUMMYFUNCTION("""COMPUTED_VALUE"""),44921.0)</f>
        <v>44921</v>
      </c>
      <c r="O239" s="45">
        <f>IFERROR(__xludf.DUMMYFUNCTION("""COMPUTED_VALUE"""),45089.0)</f>
        <v>45089</v>
      </c>
      <c r="P239" s="45">
        <f>IFERROR(__xludf.DUMMYFUNCTION("""COMPUTED_VALUE"""),45131.0)</f>
        <v>45131</v>
      </c>
      <c r="Q239" s="45">
        <f>IFERROR(__xludf.DUMMYFUNCTION("""COMPUTED_VALUE"""),45089.0)</f>
        <v>45089</v>
      </c>
      <c r="R239" s="45">
        <f>IFERROR(__xludf.DUMMYFUNCTION("""COMPUTED_VALUE"""),45131.0)</f>
        <v>45131</v>
      </c>
      <c r="S239" s="43"/>
      <c r="T239" s="43"/>
      <c r="U239" s="43" t="str">
        <f>IFERROR(__xludf.DUMMYFUNCTION("""COMPUTED_VALUE"""),"Global Classroom")</f>
        <v>Global Classroom</v>
      </c>
      <c r="V239" s="43" t="str">
        <f>IFERROR(__xludf.DUMMYFUNCTION("""COMPUTED_VALUE"""),"ISTANBUL - BEYOGLU")</f>
        <v>ISTANBUL - BEYOGLU</v>
      </c>
      <c r="W239" s="43" t="str">
        <f>IFERROR(__xludf.DUMMYFUNCTION("""COMPUTED_VALUE"""),"2022-02-08T15:38:02Z")</f>
        <v>2022-02-08T15:38:02Z</v>
      </c>
      <c r="X239" s="43"/>
      <c r="Y239" s="43"/>
      <c r="Z239" s="43"/>
    </row>
    <row r="240" hidden="1">
      <c r="A240" s="43" t="str">
        <f>IFERROR(__xludf.DUMMYFUNCTION("""COMPUTED_VALUE"""),"5164801_1288441")</f>
        <v>5164801_1288441</v>
      </c>
      <c r="B240" s="43" t="str">
        <f>IFERROR(__xludf.DUMMYFUNCTION("""COMPUTED_VALUE"""),"Ayş İlknur Kılınç")</f>
        <v>Ayş İlknur Kılınç</v>
      </c>
      <c r="C240" s="43" t="str">
        <f>IFERROR(__xludf.DUMMYFUNCTION("""COMPUTED_VALUE"""),"completed")</f>
        <v>completed</v>
      </c>
      <c r="D240" s="43" t="str">
        <f>IFERROR(__xludf.DUMMYFUNCTION("""COMPUTED_VALUE"""),"No")</f>
        <v>No</v>
      </c>
      <c r="E240" s="43" t="str">
        <f>IFERROR(__xludf.DUMMYFUNCTION("""COMPUTED_VALUE"""),"p_65f12d545d58e59b1d00cb965e8fa1cf192a1ca3@inbound.aiesec.org")</f>
        <v>p_65f12d545d58e59b1d00cb965e8fa1cf192a1ca3@inbound.aiesec.org</v>
      </c>
      <c r="F240" s="43">
        <f>IFERROR(__xludf.DUMMYFUNCTION("""COMPUTED_VALUE"""),5.457220437E9)</f>
        <v>5457220437</v>
      </c>
      <c r="G240" s="43" t="str">
        <f>IFERROR(__xludf.DUMMYFUNCTION("""COMPUTED_VALUE"""),"Turkey")</f>
        <v>Turkey</v>
      </c>
      <c r="H240" s="43" t="str">
        <f>IFERROR(__xludf.DUMMYFUNCTION("""COMPUTED_VALUE"""),"BURSA")</f>
        <v>BURSA</v>
      </c>
      <c r="I240" s="43" t="str">
        <f>IFERROR(__xludf.DUMMYFUNCTION("""COMPUTED_VALUE"""),"India")</f>
        <v>India</v>
      </c>
      <c r="J240" s="43" t="str">
        <f>IFERROR(__xludf.DUMMYFUNCTION("""COMPUTED_VALUE"""),"JAIPUR ")</f>
        <v>JAIPUR </v>
      </c>
      <c r="K240" s="44" t="str">
        <f>IFERROR(__xludf.DUMMYFUNCTION("""COMPUTED_VALUE"""),"https://expa.aiesec.org/opportunities/1288441")</f>
        <v>https://expa.aiesec.org/opportunities/1288441</v>
      </c>
      <c r="L240" s="43" t="str">
        <f>IFERROR(__xludf.DUMMYFUNCTION("""COMPUTED_VALUE"""),"GV")</f>
        <v>GV</v>
      </c>
      <c r="M240" s="43" t="str">
        <f>IFERROR(__xludf.DUMMYFUNCTION("""COMPUTED_VALUE"""),"short")</f>
        <v>short</v>
      </c>
      <c r="N240" s="45">
        <f>IFERROR(__xludf.DUMMYFUNCTION("""COMPUTED_VALUE"""),44922.0)</f>
        <v>44922</v>
      </c>
      <c r="O240" s="45">
        <f>IFERROR(__xludf.DUMMYFUNCTION("""COMPUTED_VALUE"""),45108.0)</f>
        <v>45108</v>
      </c>
      <c r="P240" s="45">
        <f>IFERROR(__xludf.DUMMYFUNCTION("""COMPUTED_VALUE"""),45150.0)</f>
        <v>45150</v>
      </c>
      <c r="Q240" s="45">
        <f>IFERROR(__xludf.DUMMYFUNCTION("""COMPUTED_VALUE"""),45108.0)</f>
        <v>45108</v>
      </c>
      <c r="R240" s="45">
        <f>IFERROR(__xludf.DUMMYFUNCTION("""COMPUTED_VALUE"""),45150.0)</f>
        <v>45150</v>
      </c>
      <c r="S240" s="43"/>
      <c r="T240" s="43"/>
      <c r="U240" s="43" t="str">
        <f>IFERROR(__xludf.DUMMYFUNCTION("""COMPUTED_VALUE"""),"Youth 4 Impact")</f>
        <v>Youth 4 Impact</v>
      </c>
      <c r="V240" s="43" t="str">
        <f>IFERROR(__xludf.DUMMYFUNCTION("""COMPUTED_VALUE"""),"BURSA")</f>
        <v>BURSA</v>
      </c>
      <c r="W240" s="43" t="str">
        <f>IFERROR(__xludf.DUMMYFUNCTION("""COMPUTED_VALUE"""),"2022-12-10T12:10:51Z")</f>
        <v>2022-12-10T12:10:51Z</v>
      </c>
      <c r="X240" s="43"/>
      <c r="Y240" s="43"/>
      <c r="Z240" s="43"/>
    </row>
    <row r="241" hidden="1">
      <c r="A241" s="43" t="str">
        <f>IFERROR(__xludf.DUMMYFUNCTION("""COMPUTED_VALUE"""),"3440780_1287916")</f>
        <v>3440780_1287916</v>
      </c>
      <c r="B241" s="43" t="str">
        <f>IFERROR(__xludf.DUMMYFUNCTION("""COMPUTED_VALUE"""),"Gizem Hasgül")</f>
        <v>Gizem Hasgül</v>
      </c>
      <c r="C241" s="43" t="str">
        <f>IFERROR(__xludf.DUMMYFUNCTION("""COMPUTED_VALUE"""),"completed")</f>
        <v>completed</v>
      </c>
      <c r="D241" s="43" t="str">
        <f>IFERROR(__xludf.DUMMYFUNCTION("""COMPUTED_VALUE"""),"No")</f>
        <v>No</v>
      </c>
      <c r="E241" s="43" t="str">
        <f>IFERROR(__xludf.DUMMYFUNCTION("""COMPUTED_VALUE"""),"p_599307ebac5c4293fc83b3d3577765980c631915@inbound.aiesec.org")</f>
        <v>p_599307ebac5c4293fc83b3d3577765980c631915@inbound.aiesec.org</v>
      </c>
      <c r="F241" s="43">
        <f>IFERROR(__xludf.DUMMYFUNCTION("""COMPUTED_VALUE"""),5.322191395E9)</f>
        <v>5322191395</v>
      </c>
      <c r="G241" s="43" t="str">
        <f>IFERROR(__xludf.DUMMYFUNCTION("""COMPUTED_VALUE"""),"Turkey")</f>
        <v>Turkey</v>
      </c>
      <c r="H241" s="43" t="str">
        <f>IFERROR(__xludf.DUMMYFUNCTION("""COMPUTED_VALUE"""),"ISTANBUL ASIA")</f>
        <v>ISTANBUL ASIA</v>
      </c>
      <c r="I241" s="43" t="str">
        <f>IFERROR(__xludf.DUMMYFUNCTION("""COMPUTED_VALUE"""),"Denmark")</f>
        <v>Denmark</v>
      </c>
      <c r="J241" s="43" t="str">
        <f>IFERROR(__xludf.DUMMYFUNCTION("""COMPUTED_VALUE"""),"Aalborg")</f>
        <v>Aalborg</v>
      </c>
      <c r="K241" s="44" t="str">
        <f>IFERROR(__xludf.DUMMYFUNCTION("""COMPUTED_VALUE"""),"https://expa.aiesec.org/opportunities/1287916")</f>
        <v>https://expa.aiesec.org/opportunities/1287916</v>
      </c>
      <c r="L241" s="43" t="str">
        <f>IFERROR(__xludf.DUMMYFUNCTION("""COMPUTED_VALUE"""),"GV")</f>
        <v>GV</v>
      </c>
      <c r="M241" s="43" t="str">
        <f>IFERROR(__xludf.DUMMYFUNCTION("""COMPUTED_VALUE"""),"short")</f>
        <v>short</v>
      </c>
      <c r="N241" s="45">
        <f>IFERROR(__xludf.DUMMYFUNCTION("""COMPUTED_VALUE"""),44922.0)</f>
        <v>44922</v>
      </c>
      <c r="O241" s="45">
        <f>IFERROR(__xludf.DUMMYFUNCTION("""COMPUTED_VALUE"""),44977.0)</f>
        <v>44977</v>
      </c>
      <c r="P241" s="45">
        <f>IFERROR(__xludf.DUMMYFUNCTION("""COMPUTED_VALUE"""),45019.0)</f>
        <v>45019</v>
      </c>
      <c r="Q241" s="45">
        <f>IFERROR(__xludf.DUMMYFUNCTION("""COMPUTED_VALUE"""),44979.0)</f>
        <v>44979</v>
      </c>
      <c r="R241" s="45">
        <f>IFERROR(__xludf.DUMMYFUNCTION("""COMPUTED_VALUE"""),45019.0)</f>
        <v>45019</v>
      </c>
      <c r="S241" s="43"/>
      <c r="T241" s="43"/>
      <c r="U241" s="43" t="str">
        <f>IFERROR(__xludf.DUMMYFUNCTION("""COMPUTED_VALUE"""),"Global Classroom")</f>
        <v>Global Classroom</v>
      </c>
      <c r="V241" s="43" t="str">
        <f>IFERROR(__xludf.DUMMYFUNCTION("""COMPUTED_VALUE"""),"ISTANBUL ASIA")</f>
        <v>ISTANBUL ASIA</v>
      </c>
      <c r="W241" s="43" t="str">
        <f>IFERROR(__xludf.DUMMYFUNCTION("""COMPUTED_VALUE"""),"2019-05-19T10:54:06Z")</f>
        <v>2019-05-19T10:54:06Z</v>
      </c>
      <c r="X241" s="43"/>
      <c r="Y241" s="43"/>
      <c r="Z241" s="43"/>
    </row>
    <row r="242">
      <c r="A242" s="43" t="str">
        <f>IFERROR(__xludf.DUMMYFUNCTION("""COMPUTED_VALUE"""),"5159506_1291360")</f>
        <v>5159506_1291360</v>
      </c>
      <c r="B242" s="43" t="str">
        <f>IFERROR(__xludf.DUMMYFUNCTION("""COMPUTED_VALUE"""),"ahsen koçoğlu")</f>
        <v>ahsen koçoğlu</v>
      </c>
      <c r="C242" s="43" t="str">
        <f>IFERROR(__xludf.DUMMYFUNCTION("""COMPUTED_VALUE"""),"completed")</f>
        <v>completed</v>
      </c>
      <c r="D242" s="43" t="str">
        <f>IFERROR(__xludf.DUMMYFUNCTION("""COMPUTED_VALUE"""),"No")</f>
        <v>No</v>
      </c>
      <c r="E242" s="43" t="str">
        <f>IFERROR(__xludf.DUMMYFUNCTION("""COMPUTED_VALUE"""),"p_29f2dfeb95e4574fb5d19a6f30be16dfd5f28662@inbound.aiesec.org")</f>
        <v>p_29f2dfeb95e4574fb5d19a6f30be16dfd5f28662@inbound.aiesec.org</v>
      </c>
      <c r="F242" s="43">
        <f>IFERROR(__xludf.DUMMYFUNCTION("""COMPUTED_VALUE"""),5.45567755E9)</f>
        <v>5455677550</v>
      </c>
      <c r="G242" s="43" t="str">
        <f>IFERROR(__xludf.DUMMYFUNCTION("""COMPUTED_VALUE"""),"Turkey")</f>
        <v>Turkey</v>
      </c>
      <c r="H242" s="43" t="str">
        <f>IFERROR(__xludf.DUMMYFUNCTION("""COMPUTED_VALUE"""),"ISTANBUL")</f>
        <v>ISTANBUL</v>
      </c>
      <c r="I242" s="43" t="str">
        <f>IFERROR(__xludf.DUMMYFUNCTION("""COMPUTED_VALUE"""),"Serbia")</f>
        <v>Serbia</v>
      </c>
      <c r="J242" s="43" t="str">
        <f>IFERROR(__xludf.DUMMYFUNCTION("""COMPUTED_VALUE"""),"Singidunum")</f>
        <v>Singidunum</v>
      </c>
      <c r="K242" s="44" t="str">
        <f>IFERROR(__xludf.DUMMYFUNCTION("""COMPUTED_VALUE"""),"https://expa.aiesec.org/opportunities/1291360")</f>
        <v>https://expa.aiesec.org/opportunities/1291360</v>
      </c>
      <c r="L242" s="43" t="str">
        <f>IFERROR(__xludf.DUMMYFUNCTION("""COMPUTED_VALUE"""),"GV")</f>
        <v>GV</v>
      </c>
      <c r="M242" s="43" t="str">
        <f>IFERROR(__xludf.DUMMYFUNCTION("""COMPUTED_VALUE"""),"short")</f>
        <v>short</v>
      </c>
      <c r="N242" s="45">
        <f>IFERROR(__xludf.DUMMYFUNCTION("""COMPUTED_VALUE"""),44924.0)</f>
        <v>44924</v>
      </c>
      <c r="O242" s="45">
        <f>IFERROR(__xludf.DUMMYFUNCTION("""COMPUTED_VALUE"""),44942.0)</f>
        <v>44942</v>
      </c>
      <c r="P242" s="45">
        <f>IFERROR(__xludf.DUMMYFUNCTION("""COMPUTED_VALUE"""),44984.0)</f>
        <v>44984</v>
      </c>
      <c r="Q242" s="45">
        <f>IFERROR(__xludf.DUMMYFUNCTION("""COMPUTED_VALUE"""),44947.0)</f>
        <v>44947</v>
      </c>
      <c r="R242" s="45">
        <f>IFERROR(__xludf.DUMMYFUNCTION("""COMPUTED_VALUE"""),44989.0)</f>
        <v>44989</v>
      </c>
      <c r="S242" s="43"/>
      <c r="T242" s="43"/>
      <c r="U242" s="43" t="str">
        <f>IFERROR(__xludf.DUMMYFUNCTION("""COMPUTED_VALUE"""),"Youth 4 Impact")</f>
        <v>Youth 4 Impact</v>
      </c>
      <c r="V242" s="43" t="str">
        <f>IFERROR(__xludf.DUMMYFUNCTION("""COMPUTED_VALUE"""),"KAYSERI")</f>
        <v>KAYSERI</v>
      </c>
      <c r="W242" s="43" t="str">
        <f>IFERROR(__xludf.DUMMYFUNCTION("""COMPUTED_VALUE"""),"2022-11-27T15:49:34Z")</f>
        <v>2022-11-27T15:49:34Z</v>
      </c>
      <c r="X242" s="43"/>
      <c r="Y242" s="43"/>
      <c r="Z242" s="43"/>
    </row>
    <row r="243" hidden="1">
      <c r="A243" s="43" t="str">
        <f>IFERROR(__xludf.DUMMYFUNCTION("""COMPUTED_VALUE"""),"3919476_1291039")</f>
        <v>3919476_1291039</v>
      </c>
      <c r="B243" s="43" t="str">
        <f>IFERROR(__xludf.DUMMYFUNCTION("""COMPUTED_VALUE"""),"Ceren Altunbay")</f>
        <v>Ceren Altunbay</v>
      </c>
      <c r="C243" s="43" t="str">
        <f>IFERROR(__xludf.DUMMYFUNCTION("""COMPUTED_VALUE"""),"completed")</f>
        <v>completed</v>
      </c>
      <c r="D243" s="43" t="str">
        <f>IFERROR(__xludf.DUMMYFUNCTION("""COMPUTED_VALUE"""),"No")</f>
        <v>No</v>
      </c>
      <c r="E243" s="43" t="str">
        <f>IFERROR(__xludf.DUMMYFUNCTION("""COMPUTED_VALUE"""),"p_115aa212404f7494cab43cd5c5b4adbc676139bd@inbound.aiesec.org")</f>
        <v>p_115aa212404f7494cab43cd5c5b4adbc676139bd@inbound.aiesec.org</v>
      </c>
      <c r="F243" s="43"/>
      <c r="G243" s="43" t="str">
        <f>IFERROR(__xludf.DUMMYFUNCTION("""COMPUTED_VALUE"""),"Turkey")</f>
        <v>Turkey</v>
      </c>
      <c r="H243" s="43" t="str">
        <f>IFERROR(__xludf.DUMMYFUNCTION("""COMPUTED_VALUE"""),"ISTANBUL")</f>
        <v>ISTANBUL</v>
      </c>
      <c r="I243" s="43" t="str">
        <f>IFERROR(__xludf.DUMMYFUNCTION("""COMPUTED_VALUE"""),"Serbia")</f>
        <v>Serbia</v>
      </c>
      <c r="J243" s="43" t="str">
        <f>IFERROR(__xludf.DUMMYFUNCTION("""COMPUTED_VALUE"""),"KRAGUJEVAC")</f>
        <v>KRAGUJEVAC</v>
      </c>
      <c r="K243" s="44" t="str">
        <f>IFERROR(__xludf.DUMMYFUNCTION("""COMPUTED_VALUE"""),"https://expa.aiesec.org/opportunities/1291039")</f>
        <v>https://expa.aiesec.org/opportunities/1291039</v>
      </c>
      <c r="L243" s="43" t="str">
        <f>IFERROR(__xludf.DUMMYFUNCTION("""COMPUTED_VALUE"""),"GV")</f>
        <v>GV</v>
      </c>
      <c r="M243" s="43" t="str">
        <f>IFERROR(__xludf.DUMMYFUNCTION("""COMPUTED_VALUE"""),"short")</f>
        <v>short</v>
      </c>
      <c r="N243" s="45">
        <f>IFERROR(__xludf.DUMMYFUNCTION("""COMPUTED_VALUE"""),44925.0)</f>
        <v>44925</v>
      </c>
      <c r="O243" s="45">
        <f>IFERROR(__xludf.DUMMYFUNCTION("""COMPUTED_VALUE"""),44941.0)</f>
        <v>44941</v>
      </c>
      <c r="P243" s="45">
        <f>IFERROR(__xludf.DUMMYFUNCTION("""COMPUTED_VALUE"""),44983.0)</f>
        <v>44983</v>
      </c>
      <c r="Q243" s="45">
        <f>IFERROR(__xludf.DUMMYFUNCTION("""COMPUTED_VALUE"""),44943.0)</f>
        <v>44943</v>
      </c>
      <c r="R243" s="45">
        <f>IFERROR(__xludf.DUMMYFUNCTION("""COMPUTED_VALUE"""),44983.0)</f>
        <v>44983</v>
      </c>
      <c r="S243" s="43"/>
      <c r="T243" s="43"/>
      <c r="U243" s="43" t="str">
        <f>IFERROR(__xludf.DUMMYFUNCTION("""COMPUTED_VALUE"""),"Youth 4 Impact")</f>
        <v>Youth 4 Impact</v>
      </c>
      <c r="V243" s="43" t="str">
        <f>IFERROR(__xludf.DUMMYFUNCTION("""COMPUTED_VALUE"""),"-")</f>
        <v>-</v>
      </c>
      <c r="W243" s="43" t="str">
        <f>IFERROR(__xludf.DUMMYFUNCTION("""COMPUTED_VALUE"""),"2019-10-23T18:50:04Z")</f>
        <v>2019-10-23T18:50:04Z</v>
      </c>
      <c r="X243" s="43"/>
      <c r="Y243" s="43"/>
      <c r="Z243" s="43"/>
    </row>
    <row r="244" hidden="1">
      <c r="A244" s="43" t="str">
        <f>IFERROR(__xludf.DUMMYFUNCTION("""COMPUTED_VALUE"""),"4818304_1291045")</f>
        <v>4818304_1291045</v>
      </c>
      <c r="B244" s="43" t="str">
        <f>IFERROR(__xludf.DUMMYFUNCTION("""COMPUTED_VALUE"""),"Furkan Alkış")</f>
        <v>Furkan Alkış</v>
      </c>
      <c r="C244" s="43" t="str">
        <f>IFERROR(__xludf.DUMMYFUNCTION("""COMPUTED_VALUE"""),"completed")</f>
        <v>completed</v>
      </c>
      <c r="D244" s="43" t="str">
        <f>IFERROR(__xludf.DUMMYFUNCTION("""COMPUTED_VALUE"""),"No")</f>
        <v>No</v>
      </c>
      <c r="E244" s="43" t="str">
        <f>IFERROR(__xludf.DUMMYFUNCTION("""COMPUTED_VALUE"""),"p_066c075201eb011df36569fd745b94bbec4f9a13@inbound.aiesec.org")</f>
        <v>p_066c075201eb011df36569fd745b94bbec4f9a13@inbound.aiesec.org</v>
      </c>
      <c r="F244" s="43">
        <f>IFERROR(__xludf.DUMMYFUNCTION("""COMPUTED_VALUE"""),5.056925059E9)</f>
        <v>5056925059</v>
      </c>
      <c r="G244" s="43" t="str">
        <f>IFERROR(__xludf.DUMMYFUNCTION("""COMPUTED_VALUE"""),"Turkey")</f>
        <v>Turkey</v>
      </c>
      <c r="H244" s="43" t="str">
        <f>IFERROR(__xludf.DUMMYFUNCTION("""COMPUTED_VALUE"""),"İZMİR")</f>
        <v>İZMİR</v>
      </c>
      <c r="I244" s="43" t="str">
        <f>IFERROR(__xludf.DUMMYFUNCTION("""COMPUTED_VALUE"""),"Serbia")</f>
        <v>Serbia</v>
      </c>
      <c r="J244" s="43" t="str">
        <f>IFERROR(__xludf.DUMMYFUNCTION("""COMPUTED_VALUE"""),"BELGRADE FON")</f>
        <v>BELGRADE FON</v>
      </c>
      <c r="K244" s="44" t="str">
        <f>IFERROR(__xludf.DUMMYFUNCTION("""COMPUTED_VALUE"""),"https://expa.aiesec.org/opportunities/1291045")</f>
        <v>https://expa.aiesec.org/opportunities/1291045</v>
      </c>
      <c r="L244" s="43" t="str">
        <f>IFERROR(__xludf.DUMMYFUNCTION("""COMPUTED_VALUE"""),"GV")</f>
        <v>GV</v>
      </c>
      <c r="M244" s="43" t="str">
        <f>IFERROR(__xludf.DUMMYFUNCTION("""COMPUTED_VALUE"""),"short")</f>
        <v>short</v>
      </c>
      <c r="N244" s="45">
        <f>IFERROR(__xludf.DUMMYFUNCTION("""COMPUTED_VALUE"""),44925.0)</f>
        <v>44925</v>
      </c>
      <c r="O244" s="45">
        <f>IFERROR(__xludf.DUMMYFUNCTION("""COMPUTED_VALUE"""),44942.0)</f>
        <v>44942</v>
      </c>
      <c r="P244" s="45">
        <f>IFERROR(__xludf.DUMMYFUNCTION("""COMPUTED_VALUE"""),44984.0)</f>
        <v>44984</v>
      </c>
      <c r="Q244" s="45">
        <f>IFERROR(__xludf.DUMMYFUNCTION("""COMPUTED_VALUE"""),44945.0)</f>
        <v>44945</v>
      </c>
      <c r="R244" s="45">
        <f>IFERROR(__xludf.DUMMYFUNCTION("""COMPUTED_VALUE"""),44987.0)</f>
        <v>44987</v>
      </c>
      <c r="S244" s="43"/>
      <c r="T244" s="43"/>
      <c r="U244" s="43" t="str">
        <f>IFERROR(__xludf.DUMMYFUNCTION("""COMPUTED_VALUE"""),"Skill Up!")</f>
        <v>Skill Up!</v>
      </c>
      <c r="V244" s="43" t="str">
        <f>IFERROR(__xludf.DUMMYFUNCTION("""COMPUTED_VALUE"""),"IZMIR")</f>
        <v>IZMIR</v>
      </c>
      <c r="W244" s="43" t="str">
        <f>IFERROR(__xludf.DUMMYFUNCTION("""COMPUTED_VALUE"""),"2021-11-26T14:48:48Z")</f>
        <v>2021-11-26T14:48:48Z</v>
      </c>
      <c r="X244" s="43"/>
      <c r="Y244" s="43"/>
      <c r="Z244" s="43"/>
    </row>
    <row r="245" hidden="1">
      <c r="A245" s="43" t="str">
        <f>IFERROR(__xludf.DUMMYFUNCTION("""COMPUTED_VALUE"""),"5172370_1284312")</f>
        <v>5172370_1284312</v>
      </c>
      <c r="B245" s="43" t="str">
        <f>IFERROR(__xludf.DUMMYFUNCTION("""COMPUTED_VALUE"""),"ipek cevizoğlugil")</f>
        <v>ipek cevizoğlugil</v>
      </c>
      <c r="C245" s="43" t="str">
        <f>IFERROR(__xludf.DUMMYFUNCTION("""COMPUTED_VALUE"""),"completed")</f>
        <v>completed</v>
      </c>
      <c r="D245" s="43" t="str">
        <f>IFERROR(__xludf.DUMMYFUNCTION("""COMPUTED_VALUE"""),"No")</f>
        <v>No</v>
      </c>
      <c r="E245" s="43" t="str">
        <f>IFERROR(__xludf.DUMMYFUNCTION("""COMPUTED_VALUE"""),"p_b0c95ba5d82700b278b5b0445f9390097ede9cf2@inbound.aiesec.org")</f>
        <v>p_b0c95ba5d82700b278b5b0445f9390097ede9cf2@inbound.aiesec.org</v>
      </c>
      <c r="F245" s="43">
        <f>IFERROR(__xludf.DUMMYFUNCTION("""COMPUTED_VALUE"""),5.074768191E9)</f>
        <v>5074768191</v>
      </c>
      <c r="G245" s="43" t="str">
        <f>IFERROR(__xludf.DUMMYFUNCTION("""COMPUTED_VALUE"""),"Turkey")</f>
        <v>Turkey</v>
      </c>
      <c r="H245" s="43" t="str">
        <f>IFERROR(__xludf.DUMMYFUNCTION("""COMPUTED_VALUE"""),"ISTANBUL")</f>
        <v>ISTANBUL</v>
      </c>
      <c r="I245" s="43" t="str">
        <f>IFERROR(__xludf.DUMMYFUNCTION("""COMPUTED_VALUE"""),"Sri Lanka")</f>
        <v>Sri Lanka</v>
      </c>
      <c r="J245" s="43" t="str">
        <f>IFERROR(__xludf.DUMMYFUNCTION("""COMPUTED_VALUE"""),"SLIIT")</f>
        <v>SLIIT</v>
      </c>
      <c r="K245" s="44" t="str">
        <f>IFERROR(__xludf.DUMMYFUNCTION("""COMPUTED_VALUE"""),"https://expa.aiesec.org/opportunities/1284312")</f>
        <v>https://expa.aiesec.org/opportunities/1284312</v>
      </c>
      <c r="L245" s="43" t="str">
        <f>IFERROR(__xludf.DUMMYFUNCTION("""COMPUTED_VALUE"""),"GV")</f>
        <v>GV</v>
      </c>
      <c r="M245" s="43" t="str">
        <f>IFERROR(__xludf.DUMMYFUNCTION("""COMPUTED_VALUE"""),"short")</f>
        <v>short</v>
      </c>
      <c r="N245" s="45">
        <f>IFERROR(__xludf.DUMMYFUNCTION("""COMPUTED_VALUE"""),44928.0)</f>
        <v>44928</v>
      </c>
      <c r="O245" s="45">
        <f>IFERROR(__xludf.DUMMYFUNCTION("""COMPUTED_VALUE"""),44941.0)</f>
        <v>44941</v>
      </c>
      <c r="P245" s="45">
        <f>IFERROR(__xludf.DUMMYFUNCTION("""COMPUTED_VALUE"""),44983.0)</f>
        <v>44983</v>
      </c>
      <c r="Q245" s="45">
        <f>IFERROR(__xludf.DUMMYFUNCTION("""COMPUTED_VALUE"""),44942.0)</f>
        <v>44942</v>
      </c>
      <c r="R245" s="45">
        <f>IFERROR(__xludf.DUMMYFUNCTION("""COMPUTED_VALUE"""),44983.0)</f>
        <v>44983</v>
      </c>
      <c r="S245" s="43"/>
      <c r="T245" s="43"/>
      <c r="U245" s="43" t="str">
        <f>IFERROR(__xludf.DUMMYFUNCTION("""COMPUTED_VALUE"""),"On The Map")</f>
        <v>On The Map</v>
      </c>
      <c r="V245" s="43" t="str">
        <f>IFERROR(__xludf.DUMMYFUNCTION("""COMPUTED_VALUE"""),"ISTANBUL - BEYOGLU")</f>
        <v>ISTANBUL - BEYOGLU</v>
      </c>
      <c r="W245" s="43" t="str">
        <f>IFERROR(__xludf.DUMMYFUNCTION("""COMPUTED_VALUE"""),"2023-01-02T11:41:23Z")</f>
        <v>2023-01-02T11:41:23Z</v>
      </c>
      <c r="X245" s="43"/>
      <c r="Y245" s="43"/>
      <c r="Z245" s="43"/>
    </row>
    <row r="246" hidden="1">
      <c r="A246" s="43" t="str">
        <f>IFERROR(__xludf.DUMMYFUNCTION("""COMPUTED_VALUE"""),"5170291_1290806")</f>
        <v>5170291_1290806</v>
      </c>
      <c r="B246" s="43" t="str">
        <f>IFERROR(__xludf.DUMMYFUNCTION("""COMPUTED_VALUE"""),"Hümeyra Özdemir")</f>
        <v>Hümeyra Özdemir</v>
      </c>
      <c r="C246" s="43" t="str">
        <f>IFERROR(__xludf.DUMMYFUNCTION("""COMPUTED_VALUE"""),"completed")</f>
        <v>completed</v>
      </c>
      <c r="D246" s="43" t="str">
        <f>IFERROR(__xludf.DUMMYFUNCTION("""COMPUTED_VALUE"""),"No")</f>
        <v>No</v>
      </c>
      <c r="E246" s="43" t="str">
        <f>IFERROR(__xludf.DUMMYFUNCTION("""COMPUTED_VALUE"""),"p_4b1a213c79b2fb9bee54546fe7af189babffa9c6@inbound.aiesec.org")</f>
        <v>p_4b1a213c79b2fb9bee54546fe7af189babffa9c6@inbound.aiesec.org</v>
      </c>
      <c r="F246" s="43">
        <f>IFERROR(__xludf.DUMMYFUNCTION("""COMPUTED_VALUE"""),5.438455882E9)</f>
        <v>5438455882</v>
      </c>
      <c r="G246" s="43" t="str">
        <f>IFERROR(__xludf.DUMMYFUNCTION("""COMPUTED_VALUE"""),"Turkey")</f>
        <v>Turkey</v>
      </c>
      <c r="H246" s="43" t="str">
        <f>IFERROR(__xludf.DUMMYFUNCTION("""COMPUTED_VALUE"""),"BURSA")</f>
        <v>BURSA</v>
      </c>
      <c r="I246" s="43" t="str">
        <f>IFERROR(__xludf.DUMMYFUNCTION("""COMPUTED_VALUE"""),"Sri Lanka")</f>
        <v>Sri Lanka</v>
      </c>
      <c r="J246" s="43" t="str">
        <f>IFERROR(__xludf.DUMMYFUNCTION("""COMPUTED_VALUE"""),"KANDY")</f>
        <v>KANDY</v>
      </c>
      <c r="K246" s="44" t="str">
        <f>IFERROR(__xludf.DUMMYFUNCTION("""COMPUTED_VALUE"""),"https://expa.aiesec.org/opportunities/1290806")</f>
        <v>https://expa.aiesec.org/opportunities/1290806</v>
      </c>
      <c r="L246" s="43" t="str">
        <f>IFERROR(__xludf.DUMMYFUNCTION("""COMPUTED_VALUE"""),"GV")</f>
        <v>GV</v>
      </c>
      <c r="M246" s="43" t="str">
        <f>IFERROR(__xludf.DUMMYFUNCTION("""COMPUTED_VALUE"""),"short")</f>
        <v>short</v>
      </c>
      <c r="N246" s="45">
        <f>IFERROR(__xludf.DUMMYFUNCTION("""COMPUTED_VALUE"""),44928.0)</f>
        <v>44928</v>
      </c>
      <c r="O246" s="45">
        <f>IFERROR(__xludf.DUMMYFUNCTION("""COMPUTED_VALUE"""),45159.0)</f>
        <v>45159</v>
      </c>
      <c r="P246" s="45">
        <f>IFERROR(__xludf.DUMMYFUNCTION("""COMPUTED_VALUE"""),45201.0)</f>
        <v>45201</v>
      </c>
      <c r="Q246" s="45">
        <f>IFERROR(__xludf.DUMMYFUNCTION("""COMPUTED_VALUE"""),45179.0)</f>
        <v>45179</v>
      </c>
      <c r="R246" s="45">
        <f>IFERROR(__xludf.DUMMYFUNCTION("""COMPUTED_VALUE"""),45219.0)</f>
        <v>45219</v>
      </c>
      <c r="S246" s="43"/>
      <c r="T246" s="43"/>
      <c r="U246" s="43" t="str">
        <f>IFERROR(__xludf.DUMMYFUNCTION("""COMPUTED_VALUE"""),"Happy Bus")</f>
        <v>Happy Bus</v>
      </c>
      <c r="V246" s="43" t="str">
        <f>IFERROR(__xludf.DUMMYFUNCTION("""COMPUTED_VALUE"""),"BALIKESIR")</f>
        <v>BALIKESIR</v>
      </c>
      <c r="W246" s="43" t="str">
        <f>IFERROR(__xludf.DUMMYFUNCTION("""COMPUTED_VALUE"""),"2022-12-26T10:04:48Z")</f>
        <v>2022-12-26T10:04:48Z</v>
      </c>
      <c r="X246" s="43"/>
      <c r="Y246" s="43"/>
      <c r="Z246" s="43"/>
    </row>
    <row r="247" hidden="1">
      <c r="A247" s="43" t="str">
        <f>IFERROR(__xludf.DUMMYFUNCTION("""COMPUTED_VALUE"""),"5171724_1284312")</f>
        <v>5171724_1284312</v>
      </c>
      <c r="B247" s="43" t="str">
        <f>IFERROR(__xludf.DUMMYFUNCTION("""COMPUTED_VALUE"""),"İbrahim Baran Yanık")</f>
        <v>İbrahim Baran Yanık</v>
      </c>
      <c r="C247" s="43" t="str">
        <f>IFERROR(__xludf.DUMMYFUNCTION("""COMPUTED_VALUE"""),"approved")</f>
        <v>approved</v>
      </c>
      <c r="D247" s="43" t="str">
        <f>IFERROR(__xludf.DUMMYFUNCTION("""COMPUTED_VALUE"""),"No")</f>
        <v>No</v>
      </c>
      <c r="E247" s="43" t="str">
        <f>IFERROR(__xludf.DUMMYFUNCTION("""COMPUTED_VALUE"""),"p_e861b858725a2e15b0ad1d228438bf01790dd17e@inbound.aiesec.org")</f>
        <v>p_e861b858725a2e15b0ad1d228438bf01790dd17e@inbound.aiesec.org</v>
      </c>
      <c r="F247" s="43">
        <f>IFERROR(__xludf.DUMMYFUNCTION("""COMPUTED_VALUE"""),5.392350279E9)</f>
        <v>5392350279</v>
      </c>
      <c r="G247" s="43" t="str">
        <f>IFERROR(__xludf.DUMMYFUNCTION("""COMPUTED_VALUE"""),"Turkey")</f>
        <v>Turkey</v>
      </c>
      <c r="H247" s="43" t="str">
        <f>IFERROR(__xludf.DUMMYFUNCTION("""COMPUTED_VALUE"""),"SAKARYA")</f>
        <v>SAKARYA</v>
      </c>
      <c r="I247" s="43" t="str">
        <f>IFERROR(__xludf.DUMMYFUNCTION("""COMPUTED_VALUE"""),"Sri Lanka")</f>
        <v>Sri Lanka</v>
      </c>
      <c r="J247" s="43" t="str">
        <f>IFERROR(__xludf.DUMMYFUNCTION("""COMPUTED_VALUE"""),"SLIIT")</f>
        <v>SLIIT</v>
      </c>
      <c r="K247" s="44" t="str">
        <f>IFERROR(__xludf.DUMMYFUNCTION("""COMPUTED_VALUE"""),"https://expa.aiesec.org/opportunities/1284312")</f>
        <v>https://expa.aiesec.org/opportunities/1284312</v>
      </c>
      <c r="L247" s="43" t="str">
        <f>IFERROR(__xludf.DUMMYFUNCTION("""COMPUTED_VALUE"""),"GV")</f>
        <v>GV</v>
      </c>
      <c r="M247" s="43" t="str">
        <f>IFERROR(__xludf.DUMMYFUNCTION("""COMPUTED_VALUE"""),"short")</f>
        <v>short</v>
      </c>
      <c r="N247" s="45">
        <f>IFERROR(__xludf.DUMMYFUNCTION("""COMPUTED_VALUE"""),44929.0)</f>
        <v>44929</v>
      </c>
      <c r="O247" s="45">
        <f>IFERROR(__xludf.DUMMYFUNCTION("""COMPUTED_VALUE"""),45119.0)</f>
        <v>45119</v>
      </c>
      <c r="P247" s="45">
        <f>IFERROR(__xludf.DUMMYFUNCTION("""COMPUTED_VALUE"""),45161.0)</f>
        <v>45161</v>
      </c>
      <c r="Q247" s="45"/>
      <c r="R247" s="45"/>
      <c r="S247" s="43"/>
      <c r="T247" s="43"/>
      <c r="U247" s="43" t="str">
        <f>IFERROR(__xludf.DUMMYFUNCTION("""COMPUTED_VALUE"""),"On The Map")</f>
        <v>On The Map</v>
      </c>
      <c r="V247" s="43" t="str">
        <f>IFERROR(__xludf.DUMMYFUNCTION("""COMPUTED_VALUE"""),"SAKARYA")</f>
        <v>SAKARYA</v>
      </c>
      <c r="W247" s="43" t="str">
        <f>IFERROR(__xludf.DUMMYFUNCTION("""COMPUTED_VALUE"""),"2022-12-30T21:31:47Z")</f>
        <v>2022-12-30T21:31:47Z</v>
      </c>
      <c r="X247" s="43"/>
      <c r="Y247" s="43"/>
      <c r="Z247" s="43"/>
    </row>
    <row r="248" hidden="1">
      <c r="A248" s="43" t="str">
        <f>IFERROR(__xludf.DUMMYFUNCTION("""COMPUTED_VALUE"""),"5165009_1291669")</f>
        <v>5165009_1291669</v>
      </c>
      <c r="B248" s="43" t="str">
        <f>IFERROR(__xludf.DUMMYFUNCTION("""COMPUTED_VALUE"""),"Kadir Bostanoglu")</f>
        <v>Kadir Bostanoglu</v>
      </c>
      <c r="C248" s="43" t="str">
        <f>IFERROR(__xludf.DUMMYFUNCTION("""COMPUTED_VALUE"""),"completed")</f>
        <v>completed</v>
      </c>
      <c r="D248" s="43" t="str">
        <f>IFERROR(__xludf.DUMMYFUNCTION("""COMPUTED_VALUE"""),"No")</f>
        <v>No</v>
      </c>
      <c r="E248" s="43" t="str">
        <f>IFERROR(__xludf.DUMMYFUNCTION("""COMPUTED_VALUE"""),"p_cb21c80868ee6812b669454e205dbb08b79bd371@inbound.aiesec.org")</f>
        <v>p_cb21c80868ee6812b669454e205dbb08b79bd371@inbound.aiesec.org</v>
      </c>
      <c r="F248" s="43"/>
      <c r="G248" s="43" t="str">
        <f>IFERROR(__xludf.DUMMYFUNCTION("""COMPUTED_VALUE"""),"Turkey")</f>
        <v>Turkey</v>
      </c>
      <c r="H248" s="43" t="str">
        <f>IFERROR(__xludf.DUMMYFUNCTION("""COMPUTED_VALUE"""),"KOCAELI")</f>
        <v>KOCAELI</v>
      </c>
      <c r="I248" s="43" t="str">
        <f>IFERROR(__xludf.DUMMYFUNCTION("""COMPUTED_VALUE"""),"Romania")</f>
        <v>Romania</v>
      </c>
      <c r="J248" s="43" t="str">
        <f>IFERROR(__xludf.DUMMYFUNCTION("""COMPUTED_VALUE"""),"BUCURESTI")</f>
        <v>BUCURESTI</v>
      </c>
      <c r="K248" s="44" t="str">
        <f>IFERROR(__xludf.DUMMYFUNCTION("""COMPUTED_VALUE"""),"https://expa.aiesec.org/opportunities/1291669")</f>
        <v>https://expa.aiesec.org/opportunities/1291669</v>
      </c>
      <c r="L248" s="43" t="str">
        <f>IFERROR(__xludf.DUMMYFUNCTION("""COMPUTED_VALUE"""),"GV")</f>
        <v>GV</v>
      </c>
      <c r="M248" s="43" t="str">
        <f>IFERROR(__xludf.DUMMYFUNCTION("""COMPUTED_VALUE"""),"short")</f>
        <v>short</v>
      </c>
      <c r="N248" s="45">
        <f>IFERROR(__xludf.DUMMYFUNCTION("""COMPUTED_VALUE"""),44932.0)</f>
        <v>44932</v>
      </c>
      <c r="O248" s="45">
        <f>IFERROR(__xludf.DUMMYFUNCTION("""COMPUTED_VALUE"""),45096.0)</f>
        <v>45096</v>
      </c>
      <c r="P248" s="45">
        <f>IFERROR(__xludf.DUMMYFUNCTION("""COMPUTED_VALUE"""),45138.0)</f>
        <v>45138</v>
      </c>
      <c r="Q248" s="45">
        <f>IFERROR(__xludf.DUMMYFUNCTION("""COMPUTED_VALUE"""),45102.0)</f>
        <v>45102</v>
      </c>
      <c r="R248" s="45">
        <f>IFERROR(__xludf.DUMMYFUNCTION("""COMPUTED_VALUE"""),45142.0)</f>
        <v>45142</v>
      </c>
      <c r="S248" s="43"/>
      <c r="T248" s="43"/>
      <c r="U248" s="43" t="str">
        <f>IFERROR(__xludf.DUMMYFUNCTION("""COMPUTED_VALUE"""),"Global Classroom")</f>
        <v>Global Classroom</v>
      </c>
      <c r="V248" s="43" t="str">
        <f>IFERROR(__xludf.DUMMYFUNCTION("""COMPUTED_VALUE"""),"-")</f>
        <v>-</v>
      </c>
      <c r="W248" s="43" t="str">
        <f>IFERROR(__xludf.DUMMYFUNCTION("""COMPUTED_VALUE"""),"2022-12-11T13:50:50Z")</f>
        <v>2022-12-11T13:50:50Z</v>
      </c>
      <c r="X248" s="43"/>
      <c r="Y248" s="43"/>
      <c r="Z248" s="43"/>
    </row>
    <row r="249" hidden="1">
      <c r="A249" s="43" t="str">
        <f>IFERROR(__xludf.DUMMYFUNCTION("""COMPUTED_VALUE"""),"5174125_1291039")</f>
        <v>5174125_1291039</v>
      </c>
      <c r="B249" s="43" t="str">
        <f>IFERROR(__xludf.DUMMYFUNCTION("""COMPUTED_VALUE"""),"Muhammed Selman TIRNAKSIZ")</f>
        <v>Muhammed Selman TIRNAKSIZ</v>
      </c>
      <c r="C249" s="43" t="str">
        <f>IFERROR(__xludf.DUMMYFUNCTION("""COMPUTED_VALUE"""),"completed")</f>
        <v>completed</v>
      </c>
      <c r="D249" s="43" t="str">
        <f>IFERROR(__xludf.DUMMYFUNCTION("""COMPUTED_VALUE"""),"No")</f>
        <v>No</v>
      </c>
      <c r="E249" s="43" t="str">
        <f>IFERROR(__xludf.DUMMYFUNCTION("""COMPUTED_VALUE"""),"p_70f9069511898a70e99a2635e41bb73426e25e88@inbound.aiesec.org")</f>
        <v>p_70f9069511898a70e99a2635e41bb73426e25e88@inbound.aiesec.org</v>
      </c>
      <c r="F249" s="43">
        <f>IFERROR(__xludf.DUMMYFUNCTION("""COMPUTED_VALUE"""),5.535385433E9)</f>
        <v>5535385433</v>
      </c>
      <c r="G249" s="43" t="str">
        <f>IFERROR(__xludf.DUMMYFUNCTION("""COMPUTED_VALUE"""),"Turkey")</f>
        <v>Turkey</v>
      </c>
      <c r="H249" s="43" t="str">
        <f>IFERROR(__xludf.DUMMYFUNCTION("""COMPUTED_VALUE"""),"ISTANBUL")</f>
        <v>ISTANBUL</v>
      </c>
      <c r="I249" s="43" t="str">
        <f>IFERROR(__xludf.DUMMYFUNCTION("""COMPUTED_VALUE"""),"Serbia")</f>
        <v>Serbia</v>
      </c>
      <c r="J249" s="43" t="str">
        <f>IFERROR(__xludf.DUMMYFUNCTION("""COMPUTED_VALUE"""),"KRAGUJEVAC")</f>
        <v>KRAGUJEVAC</v>
      </c>
      <c r="K249" s="44" t="str">
        <f>IFERROR(__xludf.DUMMYFUNCTION("""COMPUTED_VALUE"""),"https://expa.aiesec.org/opportunities/1291039")</f>
        <v>https://expa.aiesec.org/opportunities/1291039</v>
      </c>
      <c r="L249" s="43" t="str">
        <f>IFERROR(__xludf.DUMMYFUNCTION("""COMPUTED_VALUE"""),"GV")</f>
        <v>GV</v>
      </c>
      <c r="M249" s="43" t="str">
        <f>IFERROR(__xludf.DUMMYFUNCTION("""COMPUTED_VALUE"""),"short")</f>
        <v>short</v>
      </c>
      <c r="N249" s="45">
        <f>IFERROR(__xludf.DUMMYFUNCTION("""COMPUTED_VALUE"""),44933.0)</f>
        <v>44933</v>
      </c>
      <c r="O249" s="45">
        <f>IFERROR(__xludf.DUMMYFUNCTION("""COMPUTED_VALUE"""),44941.0)</f>
        <v>44941</v>
      </c>
      <c r="P249" s="45">
        <f>IFERROR(__xludf.DUMMYFUNCTION("""COMPUTED_VALUE"""),44983.0)</f>
        <v>44983</v>
      </c>
      <c r="Q249" s="45">
        <f>IFERROR(__xludf.DUMMYFUNCTION("""COMPUTED_VALUE"""),44943.0)</f>
        <v>44943</v>
      </c>
      <c r="R249" s="45">
        <f>IFERROR(__xludf.DUMMYFUNCTION("""COMPUTED_VALUE"""),44983.0)</f>
        <v>44983</v>
      </c>
      <c r="S249" s="43"/>
      <c r="T249" s="43"/>
      <c r="U249" s="43" t="str">
        <f>IFERROR(__xludf.DUMMYFUNCTION("""COMPUTED_VALUE"""),"Youth 4 Impact")</f>
        <v>Youth 4 Impact</v>
      </c>
      <c r="V249" s="43" t="str">
        <f>IFERROR(__xludf.DUMMYFUNCTION("""COMPUTED_VALUE"""),"ISTANBUL - BEYOGLU")</f>
        <v>ISTANBUL - BEYOGLU</v>
      </c>
      <c r="W249" s="43" t="str">
        <f>IFERROR(__xludf.DUMMYFUNCTION("""COMPUTED_VALUE"""),"2023-01-07T17:04:18Z")</f>
        <v>2023-01-07T17:04:18Z</v>
      </c>
      <c r="X249" s="43"/>
      <c r="Y249" s="43"/>
      <c r="Z249" s="43"/>
    </row>
    <row r="250" hidden="1">
      <c r="A250" s="43" t="str">
        <f>IFERROR(__xludf.DUMMYFUNCTION("""COMPUTED_VALUE"""),"5173986_1287486")</f>
        <v>5173986_1287486</v>
      </c>
      <c r="B250" s="43" t="str">
        <f>IFERROR(__xludf.DUMMYFUNCTION("""COMPUTED_VALUE"""),"Özgür Zengin")</f>
        <v>Özgür Zengin</v>
      </c>
      <c r="C250" s="43" t="str">
        <f>IFERROR(__xludf.DUMMYFUNCTION("""COMPUTED_VALUE"""),"completed")</f>
        <v>completed</v>
      </c>
      <c r="D250" s="43" t="str">
        <f>IFERROR(__xludf.DUMMYFUNCTION("""COMPUTED_VALUE"""),"No")</f>
        <v>No</v>
      </c>
      <c r="E250" s="43" t="str">
        <f>IFERROR(__xludf.DUMMYFUNCTION("""COMPUTED_VALUE"""),"p_29ed76c7b6717b1c23210fa15192ec7b5583120a@inbound.aiesec.org")</f>
        <v>p_29ed76c7b6717b1c23210fa15192ec7b5583120a@inbound.aiesec.org</v>
      </c>
      <c r="F250" s="43"/>
      <c r="G250" s="43" t="str">
        <f>IFERROR(__xludf.DUMMYFUNCTION("""COMPUTED_VALUE"""),"Turkey")</f>
        <v>Turkey</v>
      </c>
      <c r="H250" s="43" t="str">
        <f>IFERROR(__xludf.DUMMYFUNCTION("""COMPUTED_VALUE"""),"ISTANBUL")</f>
        <v>ISTANBUL</v>
      </c>
      <c r="I250" s="43" t="str">
        <f>IFERROR(__xludf.DUMMYFUNCTION("""COMPUTED_VALUE"""),"Egypt")</f>
        <v>Egypt</v>
      </c>
      <c r="J250" s="43" t="str">
        <f>IFERROR(__xludf.DUMMYFUNCTION("""COMPUTED_VALUE"""),"Menofia")</f>
        <v>Menofia</v>
      </c>
      <c r="K250" s="44" t="str">
        <f>IFERROR(__xludf.DUMMYFUNCTION("""COMPUTED_VALUE"""),"https://expa.aiesec.org/opportunities/1287486")</f>
        <v>https://expa.aiesec.org/opportunities/1287486</v>
      </c>
      <c r="L250" s="43" t="str">
        <f>IFERROR(__xludf.DUMMYFUNCTION("""COMPUTED_VALUE"""),"GV")</f>
        <v>GV</v>
      </c>
      <c r="M250" s="43" t="str">
        <f>IFERROR(__xludf.DUMMYFUNCTION("""COMPUTED_VALUE"""),"short")</f>
        <v>short</v>
      </c>
      <c r="N250" s="45">
        <f>IFERROR(__xludf.DUMMYFUNCTION("""COMPUTED_VALUE"""),44933.0)</f>
        <v>44933</v>
      </c>
      <c r="O250" s="45">
        <f>IFERROR(__xludf.DUMMYFUNCTION("""COMPUTED_VALUE"""),45092.0)</f>
        <v>45092</v>
      </c>
      <c r="P250" s="45">
        <f>IFERROR(__xludf.DUMMYFUNCTION("""COMPUTED_VALUE"""),45134.0)</f>
        <v>45134</v>
      </c>
      <c r="Q250" s="45">
        <f>IFERROR(__xludf.DUMMYFUNCTION("""COMPUTED_VALUE"""),45097.0)</f>
        <v>45097</v>
      </c>
      <c r="R250" s="45">
        <f>IFERROR(__xludf.DUMMYFUNCTION("""COMPUTED_VALUE"""),45139.0)</f>
        <v>45139</v>
      </c>
      <c r="S250" s="43"/>
      <c r="T250" s="43"/>
      <c r="U250" s="43" t="str">
        <f>IFERROR(__xludf.DUMMYFUNCTION("""COMPUTED_VALUE"""),"Global Classroom")</f>
        <v>Global Classroom</v>
      </c>
      <c r="V250" s="43" t="str">
        <f>IFERROR(__xludf.DUMMYFUNCTION("""COMPUTED_VALUE"""),"-")</f>
        <v>-</v>
      </c>
      <c r="W250" s="43" t="str">
        <f>IFERROR(__xludf.DUMMYFUNCTION("""COMPUTED_VALUE"""),"2023-01-07T09:44:05Z")</f>
        <v>2023-01-07T09:44:05Z</v>
      </c>
      <c r="X250" s="43"/>
      <c r="Y250" s="43"/>
      <c r="Z250" s="43"/>
    </row>
    <row r="251" hidden="1">
      <c r="A251" s="43" t="str">
        <f>IFERROR(__xludf.DUMMYFUNCTION("""COMPUTED_VALUE"""),"5101712_1287486")</f>
        <v>5101712_1287486</v>
      </c>
      <c r="B251" s="43" t="str">
        <f>IFERROR(__xludf.DUMMYFUNCTION("""COMPUTED_VALUE"""),"Selin Asikiraz")</f>
        <v>Selin Asikiraz</v>
      </c>
      <c r="C251" s="43" t="str">
        <f>IFERROR(__xludf.DUMMYFUNCTION("""COMPUTED_VALUE"""),"completed")</f>
        <v>completed</v>
      </c>
      <c r="D251" s="43" t="str">
        <f>IFERROR(__xludf.DUMMYFUNCTION("""COMPUTED_VALUE"""),"No")</f>
        <v>No</v>
      </c>
      <c r="E251" s="43" t="str">
        <f>IFERROR(__xludf.DUMMYFUNCTION("""COMPUTED_VALUE"""),"p_cb23cb0ad67d38bda03f96f60d83915bc59da1c0@inbound.aiesec.org")</f>
        <v>p_cb23cb0ad67d38bda03f96f60d83915bc59da1c0@inbound.aiesec.org</v>
      </c>
      <c r="F251" s="43"/>
      <c r="G251" s="43" t="str">
        <f>IFERROR(__xludf.DUMMYFUNCTION("""COMPUTED_VALUE"""),"Turkey")</f>
        <v>Turkey</v>
      </c>
      <c r="H251" s="43" t="str">
        <f>IFERROR(__xludf.DUMMYFUNCTION("""COMPUTED_VALUE"""),"ISTANBUL")</f>
        <v>ISTANBUL</v>
      </c>
      <c r="I251" s="43" t="str">
        <f>IFERROR(__xludf.DUMMYFUNCTION("""COMPUTED_VALUE"""),"Egypt")</f>
        <v>Egypt</v>
      </c>
      <c r="J251" s="43" t="str">
        <f>IFERROR(__xludf.DUMMYFUNCTION("""COMPUTED_VALUE"""),"Menofia")</f>
        <v>Menofia</v>
      </c>
      <c r="K251" s="44" t="str">
        <f>IFERROR(__xludf.DUMMYFUNCTION("""COMPUTED_VALUE"""),"https://expa.aiesec.org/opportunities/1287486")</f>
        <v>https://expa.aiesec.org/opportunities/1287486</v>
      </c>
      <c r="L251" s="43" t="str">
        <f>IFERROR(__xludf.DUMMYFUNCTION("""COMPUTED_VALUE"""),"GV")</f>
        <v>GV</v>
      </c>
      <c r="M251" s="43" t="str">
        <f>IFERROR(__xludf.DUMMYFUNCTION("""COMPUTED_VALUE"""),"short")</f>
        <v>short</v>
      </c>
      <c r="N251" s="45">
        <f>IFERROR(__xludf.DUMMYFUNCTION("""COMPUTED_VALUE"""),44933.0)</f>
        <v>44933</v>
      </c>
      <c r="O251" s="45">
        <f>IFERROR(__xludf.DUMMYFUNCTION("""COMPUTED_VALUE"""),45092.0)</f>
        <v>45092</v>
      </c>
      <c r="P251" s="45">
        <f>IFERROR(__xludf.DUMMYFUNCTION("""COMPUTED_VALUE"""),45134.0)</f>
        <v>45134</v>
      </c>
      <c r="Q251" s="45">
        <f>IFERROR(__xludf.DUMMYFUNCTION("""COMPUTED_VALUE"""),45093.0)</f>
        <v>45093</v>
      </c>
      <c r="R251" s="45">
        <f>IFERROR(__xludf.DUMMYFUNCTION("""COMPUTED_VALUE"""),45134.0)</f>
        <v>45134</v>
      </c>
      <c r="S251" s="43"/>
      <c r="T251" s="43"/>
      <c r="U251" s="43" t="str">
        <f>IFERROR(__xludf.DUMMYFUNCTION("""COMPUTED_VALUE"""),"Global Classroom")</f>
        <v>Global Classroom</v>
      </c>
      <c r="V251" s="43" t="str">
        <f>IFERROR(__xludf.DUMMYFUNCTION("""COMPUTED_VALUE"""),"-")</f>
        <v>-</v>
      </c>
      <c r="W251" s="43" t="str">
        <f>IFERROR(__xludf.DUMMYFUNCTION("""COMPUTED_VALUE"""),"2022-08-29T14:36:28Z")</f>
        <v>2022-08-29T14:36:28Z</v>
      </c>
      <c r="X251" s="43"/>
      <c r="Y251" s="43"/>
      <c r="Z251" s="43"/>
    </row>
    <row r="252" hidden="1">
      <c r="A252" s="43" t="str">
        <f>IFERROR(__xludf.DUMMYFUNCTION("""COMPUTED_VALUE"""),"4919070_1291378")</f>
        <v>4919070_1291378</v>
      </c>
      <c r="B252" s="43" t="str">
        <f>IFERROR(__xludf.DUMMYFUNCTION("""COMPUTED_VALUE"""),"Burak levent Sancar")</f>
        <v>Burak levent Sancar</v>
      </c>
      <c r="C252" s="43" t="str">
        <f>IFERROR(__xludf.DUMMYFUNCTION("""COMPUTED_VALUE"""),"finished")</f>
        <v>finished</v>
      </c>
      <c r="D252" s="43" t="str">
        <f>IFERROR(__xludf.DUMMYFUNCTION("""COMPUTED_VALUE"""),"No")</f>
        <v>No</v>
      </c>
      <c r="E252" s="43" t="str">
        <f>IFERROR(__xludf.DUMMYFUNCTION("""COMPUTED_VALUE"""),"p_edc4fed10d75d3bcef3435774d1edff5c71fb99e@inbound.aiesec.org")</f>
        <v>p_edc4fed10d75d3bcef3435774d1edff5c71fb99e@inbound.aiesec.org</v>
      </c>
      <c r="F252" s="43">
        <f>IFERROR(__xludf.DUMMYFUNCTION("""COMPUTED_VALUE"""),5.428029442E9)</f>
        <v>5428029442</v>
      </c>
      <c r="G252" s="43" t="str">
        <f>IFERROR(__xludf.DUMMYFUNCTION("""COMPUTED_VALUE"""),"Turkey")</f>
        <v>Turkey</v>
      </c>
      <c r="H252" s="43" t="str">
        <f>IFERROR(__xludf.DUMMYFUNCTION("""COMPUTED_VALUE"""),"ANKARA")</f>
        <v>ANKARA</v>
      </c>
      <c r="I252" s="43" t="str">
        <f>IFERROR(__xludf.DUMMYFUNCTION("""COMPUTED_VALUE"""),"Romania")</f>
        <v>Romania</v>
      </c>
      <c r="J252" s="43" t="str">
        <f>IFERROR(__xludf.DUMMYFUNCTION("""COMPUTED_VALUE"""),"BUCURESTI")</f>
        <v>BUCURESTI</v>
      </c>
      <c r="K252" s="44" t="str">
        <f>IFERROR(__xludf.DUMMYFUNCTION("""COMPUTED_VALUE"""),"https://expa.aiesec.org/opportunities/1291378")</f>
        <v>https://expa.aiesec.org/opportunities/1291378</v>
      </c>
      <c r="L252" s="43" t="str">
        <f>IFERROR(__xludf.DUMMYFUNCTION("""COMPUTED_VALUE"""),"GV")</f>
        <v>GV</v>
      </c>
      <c r="M252" s="43" t="str">
        <f>IFERROR(__xludf.DUMMYFUNCTION("""COMPUTED_VALUE"""),"short")</f>
        <v>short</v>
      </c>
      <c r="N252" s="45">
        <f>IFERROR(__xludf.DUMMYFUNCTION("""COMPUTED_VALUE"""),44933.0)</f>
        <v>44933</v>
      </c>
      <c r="O252" s="45">
        <f>IFERROR(__xludf.DUMMYFUNCTION("""COMPUTED_VALUE"""),45096.0)</f>
        <v>45096</v>
      </c>
      <c r="P252" s="45">
        <f>IFERROR(__xludf.DUMMYFUNCTION("""COMPUTED_VALUE"""),45138.0)</f>
        <v>45138</v>
      </c>
      <c r="Q252" s="45">
        <f>IFERROR(__xludf.DUMMYFUNCTION("""COMPUTED_VALUE"""),45103.0)</f>
        <v>45103</v>
      </c>
      <c r="R252" s="45">
        <f>IFERROR(__xludf.DUMMYFUNCTION("""COMPUTED_VALUE"""),45143.0)</f>
        <v>45143</v>
      </c>
      <c r="S252" s="43"/>
      <c r="T252" s="43"/>
      <c r="U252" s="43" t="str">
        <f>IFERROR(__xludf.DUMMYFUNCTION("""COMPUTED_VALUE"""),"Scale Up!")</f>
        <v>Scale Up!</v>
      </c>
      <c r="V252" s="43" t="str">
        <f>IFERROR(__xludf.DUMMYFUNCTION("""COMPUTED_VALUE"""),"ANKARA")</f>
        <v>ANKARA</v>
      </c>
      <c r="W252" s="43" t="str">
        <f>IFERROR(__xludf.DUMMYFUNCTION("""COMPUTED_VALUE"""),"2022-02-07T15:49:41Z")</f>
        <v>2022-02-07T15:49:41Z</v>
      </c>
      <c r="X252" s="43"/>
      <c r="Y252" s="43"/>
      <c r="Z252" s="43"/>
    </row>
    <row r="253" hidden="1">
      <c r="A253" s="43" t="str">
        <f>IFERROR(__xludf.DUMMYFUNCTION("""COMPUTED_VALUE"""),"5172715_1290120")</f>
        <v>5172715_1290120</v>
      </c>
      <c r="B253" s="43" t="str">
        <f>IFERROR(__xludf.DUMMYFUNCTION("""COMPUTED_VALUE"""),"Şeyma Köksal")</f>
        <v>Şeyma Köksal</v>
      </c>
      <c r="C253" s="43" t="str">
        <f>IFERROR(__xludf.DUMMYFUNCTION("""COMPUTED_VALUE"""),"realization_broken")</f>
        <v>realization_broken</v>
      </c>
      <c r="D253" s="43" t="str">
        <f>IFERROR(__xludf.DUMMYFUNCTION("""COMPUTED_VALUE"""),"No")</f>
        <v>No</v>
      </c>
      <c r="E253" s="43" t="str">
        <f>IFERROR(__xludf.DUMMYFUNCTION("""COMPUTED_VALUE"""),"p_bc690a4b299810c222e9c2be10231af747830776@inbound.aiesec.org")</f>
        <v>p_bc690a4b299810c222e9c2be10231af747830776@inbound.aiesec.org</v>
      </c>
      <c r="F253" s="43">
        <f>IFERROR(__xludf.DUMMYFUNCTION("""COMPUTED_VALUE"""),5.533403235E9)</f>
        <v>5533403235</v>
      </c>
      <c r="G253" s="43" t="str">
        <f>IFERROR(__xludf.DUMMYFUNCTION("""COMPUTED_VALUE"""),"Turkey")</f>
        <v>Turkey</v>
      </c>
      <c r="H253" s="43" t="str">
        <f>IFERROR(__xludf.DUMMYFUNCTION("""COMPUTED_VALUE"""),"ANKARA")</f>
        <v>ANKARA</v>
      </c>
      <c r="I253" s="43" t="str">
        <f>IFERROR(__xludf.DUMMYFUNCTION("""COMPUTED_VALUE"""),"Poland")</f>
        <v>Poland</v>
      </c>
      <c r="J253" s="43" t="str">
        <f>IFERROR(__xludf.DUMMYFUNCTION("""COMPUTED_VALUE"""),"WARSZAWA SGH")</f>
        <v>WARSZAWA SGH</v>
      </c>
      <c r="K253" s="44" t="str">
        <f>IFERROR(__xludf.DUMMYFUNCTION("""COMPUTED_VALUE"""),"https://expa.aiesec.org/opportunities/1290120")</f>
        <v>https://expa.aiesec.org/opportunities/1290120</v>
      </c>
      <c r="L253" s="43" t="str">
        <f>IFERROR(__xludf.DUMMYFUNCTION("""COMPUTED_VALUE"""),"GV")</f>
        <v>GV</v>
      </c>
      <c r="M253" s="43" t="str">
        <f>IFERROR(__xludf.DUMMYFUNCTION("""COMPUTED_VALUE"""),"short")</f>
        <v>short</v>
      </c>
      <c r="N253" s="45">
        <f>IFERROR(__xludf.DUMMYFUNCTION("""COMPUTED_VALUE"""),44933.0)</f>
        <v>44933</v>
      </c>
      <c r="O253" s="45">
        <f>IFERROR(__xludf.DUMMYFUNCTION("""COMPUTED_VALUE"""),44948.0)</f>
        <v>44948</v>
      </c>
      <c r="P253" s="45">
        <f>IFERROR(__xludf.DUMMYFUNCTION("""COMPUTED_VALUE"""),44990.0)</f>
        <v>44990</v>
      </c>
      <c r="Q253" s="45"/>
      <c r="R253" s="45"/>
      <c r="S253" s="43"/>
      <c r="T253" s="43"/>
      <c r="U253" s="43" t="str">
        <f>IFERROR(__xludf.DUMMYFUNCTION("""COMPUTED_VALUE"""),"Global Classroom")</f>
        <v>Global Classroom</v>
      </c>
      <c r="V253" s="43" t="str">
        <f>IFERROR(__xludf.DUMMYFUNCTION("""COMPUTED_VALUE"""),"ANKARA")</f>
        <v>ANKARA</v>
      </c>
      <c r="W253" s="43" t="str">
        <f>IFERROR(__xludf.DUMMYFUNCTION("""COMPUTED_VALUE"""),"2023-01-03T13:23:00Z")</f>
        <v>2023-01-03T13:23:00Z</v>
      </c>
      <c r="X253" s="43"/>
      <c r="Y253" s="43"/>
      <c r="Z253" s="43"/>
    </row>
    <row r="254" hidden="1">
      <c r="A254" s="43" t="str">
        <f>IFERROR(__xludf.DUMMYFUNCTION("""COMPUTED_VALUE"""),"5112608_1290722")</f>
        <v>5112608_1290722</v>
      </c>
      <c r="B254" s="43" t="str">
        <f>IFERROR(__xludf.DUMMYFUNCTION("""COMPUTED_VALUE"""),"Ezo Kar")</f>
        <v>Ezo Kar</v>
      </c>
      <c r="C254" s="43" t="str">
        <f>IFERROR(__xludf.DUMMYFUNCTION("""COMPUTED_VALUE"""),"completed")</f>
        <v>completed</v>
      </c>
      <c r="D254" s="43" t="str">
        <f>IFERROR(__xludf.DUMMYFUNCTION("""COMPUTED_VALUE"""),"No")</f>
        <v>No</v>
      </c>
      <c r="E254" s="43" t="str">
        <f>IFERROR(__xludf.DUMMYFUNCTION("""COMPUTED_VALUE"""),"p_99cbb30afd04561705794864041e7f584371c5a3@inbound.aiesec.org")</f>
        <v>p_99cbb30afd04561705794864041e7f584371c5a3@inbound.aiesec.org</v>
      </c>
      <c r="F254" s="43"/>
      <c r="G254" s="43" t="str">
        <f>IFERROR(__xludf.DUMMYFUNCTION("""COMPUTED_VALUE"""),"Turkey")</f>
        <v>Turkey</v>
      </c>
      <c r="H254" s="43" t="str">
        <f>IFERROR(__xludf.DUMMYFUNCTION("""COMPUTED_VALUE"""),"KOCAELI")</f>
        <v>KOCAELI</v>
      </c>
      <c r="I254" s="43" t="str">
        <f>IFERROR(__xludf.DUMMYFUNCTION("""COMPUTED_VALUE"""),"Serbia")</f>
        <v>Serbia</v>
      </c>
      <c r="J254" s="43" t="str">
        <f>IFERROR(__xludf.DUMMYFUNCTION("""COMPUTED_VALUE"""),"Metropolitan")</f>
        <v>Metropolitan</v>
      </c>
      <c r="K254" s="44" t="str">
        <f>IFERROR(__xludf.DUMMYFUNCTION("""COMPUTED_VALUE"""),"https://expa.aiesec.org/opportunities/1290722")</f>
        <v>https://expa.aiesec.org/opportunities/1290722</v>
      </c>
      <c r="L254" s="43" t="str">
        <f>IFERROR(__xludf.DUMMYFUNCTION("""COMPUTED_VALUE"""),"GV")</f>
        <v>GV</v>
      </c>
      <c r="M254" s="43" t="str">
        <f>IFERROR(__xludf.DUMMYFUNCTION("""COMPUTED_VALUE"""),"short")</f>
        <v>short</v>
      </c>
      <c r="N254" s="45">
        <f>IFERROR(__xludf.DUMMYFUNCTION("""COMPUTED_VALUE"""),44934.0)</f>
        <v>44934</v>
      </c>
      <c r="O254" s="45">
        <f>IFERROR(__xludf.DUMMYFUNCTION("""COMPUTED_VALUE"""),44942.0)</f>
        <v>44942</v>
      </c>
      <c r="P254" s="45">
        <f>IFERROR(__xludf.DUMMYFUNCTION("""COMPUTED_VALUE"""),44984.0)</f>
        <v>44984</v>
      </c>
      <c r="Q254" s="45">
        <f>IFERROR(__xludf.DUMMYFUNCTION("""COMPUTED_VALUE"""),44943.0)</f>
        <v>44943</v>
      </c>
      <c r="R254" s="45">
        <f>IFERROR(__xludf.DUMMYFUNCTION("""COMPUTED_VALUE"""),44984.0)</f>
        <v>44984</v>
      </c>
      <c r="S254" s="43"/>
      <c r="T254" s="43"/>
      <c r="U254" s="43" t="str">
        <f>IFERROR(__xludf.DUMMYFUNCTION("""COMPUTED_VALUE"""),"Global Classroom")</f>
        <v>Global Classroom</v>
      </c>
      <c r="V254" s="43" t="str">
        <f>IFERROR(__xludf.DUMMYFUNCTION("""COMPUTED_VALUE"""),"-")</f>
        <v>-</v>
      </c>
      <c r="W254" s="43" t="str">
        <f>IFERROR(__xludf.DUMMYFUNCTION("""COMPUTED_VALUE"""),"2022-09-14T20:52:51Z")</f>
        <v>2022-09-14T20:52:51Z</v>
      </c>
      <c r="X254" s="43"/>
      <c r="Y254" s="43"/>
      <c r="Z254" s="43"/>
    </row>
    <row r="255" hidden="1">
      <c r="A255" s="43" t="str">
        <f>IFERROR(__xludf.DUMMYFUNCTION("""COMPUTED_VALUE"""),"5174304_1290692")</f>
        <v>5174304_1290692</v>
      </c>
      <c r="B255" s="43" t="str">
        <f>IFERROR(__xludf.DUMMYFUNCTION("""COMPUTED_VALUE"""),"Duygu Karahan")</f>
        <v>Duygu Karahan</v>
      </c>
      <c r="C255" s="43" t="str">
        <f>IFERROR(__xludf.DUMMYFUNCTION("""COMPUTED_VALUE"""),"completed")</f>
        <v>completed</v>
      </c>
      <c r="D255" s="43" t="str">
        <f>IFERROR(__xludf.DUMMYFUNCTION("""COMPUTED_VALUE"""),"No")</f>
        <v>No</v>
      </c>
      <c r="E255" s="43" t="str">
        <f>IFERROR(__xludf.DUMMYFUNCTION("""COMPUTED_VALUE"""),"p_a3ca26e787ccb1d4316586aa2c9bbe7872b5a5be@inbound.aiesec.org")</f>
        <v>p_a3ca26e787ccb1d4316586aa2c9bbe7872b5a5be@inbound.aiesec.org</v>
      </c>
      <c r="F255" s="43"/>
      <c r="G255" s="43" t="str">
        <f>IFERROR(__xludf.DUMMYFUNCTION("""COMPUTED_VALUE"""),"Turkey")</f>
        <v>Turkey</v>
      </c>
      <c r="H255" s="43" t="str">
        <f>IFERROR(__xludf.DUMMYFUNCTION("""COMPUTED_VALUE"""),"ISTANBUL")</f>
        <v>ISTANBUL</v>
      </c>
      <c r="I255" s="43" t="str">
        <f>IFERROR(__xludf.DUMMYFUNCTION("""COMPUTED_VALUE"""),"Egypt")</f>
        <v>Egypt</v>
      </c>
      <c r="J255" s="43" t="str">
        <f>IFERROR(__xludf.DUMMYFUNCTION("""COMPUTED_VALUE"""),"6th October University")</f>
        <v>6th October University</v>
      </c>
      <c r="K255" s="44" t="str">
        <f>IFERROR(__xludf.DUMMYFUNCTION("""COMPUTED_VALUE"""),"https://expa.aiesec.org/opportunities/1290692")</f>
        <v>https://expa.aiesec.org/opportunities/1290692</v>
      </c>
      <c r="L255" s="43" t="str">
        <f>IFERROR(__xludf.DUMMYFUNCTION("""COMPUTED_VALUE"""),"GV")</f>
        <v>GV</v>
      </c>
      <c r="M255" s="43" t="str">
        <f>IFERROR(__xludf.DUMMYFUNCTION("""COMPUTED_VALUE"""),"short")</f>
        <v>short</v>
      </c>
      <c r="N255" s="45">
        <f>IFERROR(__xludf.DUMMYFUNCTION("""COMPUTED_VALUE"""),44935.0)</f>
        <v>44935</v>
      </c>
      <c r="O255" s="45">
        <f>IFERROR(__xludf.DUMMYFUNCTION("""COMPUTED_VALUE"""),45163.0)</f>
        <v>45163</v>
      </c>
      <c r="P255" s="45">
        <f>IFERROR(__xludf.DUMMYFUNCTION("""COMPUTED_VALUE"""),45205.0)</f>
        <v>45205</v>
      </c>
      <c r="Q255" s="45">
        <f>IFERROR(__xludf.DUMMYFUNCTION("""COMPUTED_VALUE"""),45157.0)</f>
        <v>45157</v>
      </c>
      <c r="R255" s="45">
        <f>IFERROR(__xludf.DUMMYFUNCTION("""COMPUTED_VALUE"""),45205.0)</f>
        <v>45205</v>
      </c>
      <c r="S255" s="43"/>
      <c r="T255" s="43"/>
      <c r="U255" s="43" t="str">
        <f>IFERROR(__xludf.DUMMYFUNCTION("""COMPUTED_VALUE"""),"Fingerprint")</f>
        <v>Fingerprint</v>
      </c>
      <c r="V255" s="43" t="str">
        <f>IFERROR(__xludf.DUMMYFUNCTION("""COMPUTED_VALUE"""),"-")</f>
        <v>-</v>
      </c>
      <c r="W255" s="43" t="str">
        <f>IFERROR(__xludf.DUMMYFUNCTION("""COMPUTED_VALUE"""),"2023-01-08T13:04:57Z")</f>
        <v>2023-01-08T13:04:57Z</v>
      </c>
      <c r="X255" s="43"/>
      <c r="Y255" s="43"/>
      <c r="Z255" s="43"/>
    </row>
    <row r="256" hidden="1">
      <c r="A256" s="43" t="str">
        <f>IFERROR(__xludf.DUMMYFUNCTION("""COMPUTED_VALUE"""),"5173772_1291631")</f>
        <v>5173772_1291631</v>
      </c>
      <c r="B256" s="43" t="str">
        <f>IFERROR(__xludf.DUMMYFUNCTION("""COMPUTED_VALUE"""),"Ayşe Karateke")</f>
        <v>Ayşe Karateke</v>
      </c>
      <c r="C256" s="43" t="str">
        <f>IFERROR(__xludf.DUMMYFUNCTION("""COMPUTED_VALUE"""),"completed")</f>
        <v>completed</v>
      </c>
      <c r="D256" s="43" t="str">
        <f>IFERROR(__xludf.DUMMYFUNCTION("""COMPUTED_VALUE"""),"No")</f>
        <v>No</v>
      </c>
      <c r="E256" s="43" t="str">
        <f>IFERROR(__xludf.DUMMYFUNCTION("""COMPUTED_VALUE"""),"p_70bbdb5e911632db5c052cba10487a67f40ab1fe@inbound.aiesec.org")</f>
        <v>p_70bbdb5e911632db5c052cba10487a67f40ab1fe@inbound.aiesec.org</v>
      </c>
      <c r="F256" s="43">
        <f>IFERROR(__xludf.DUMMYFUNCTION("""COMPUTED_VALUE"""),5.35787823E9)</f>
        <v>5357878230</v>
      </c>
      <c r="G256" s="43" t="str">
        <f>IFERROR(__xludf.DUMMYFUNCTION("""COMPUTED_VALUE"""),"Turkey")</f>
        <v>Turkey</v>
      </c>
      <c r="H256" s="43" t="str">
        <f>IFERROR(__xludf.DUMMYFUNCTION("""COMPUTED_VALUE"""),"ISTANBUL")</f>
        <v>ISTANBUL</v>
      </c>
      <c r="I256" s="43" t="str">
        <f>IFERROR(__xludf.DUMMYFUNCTION("""COMPUTED_VALUE"""),"Romania")</f>
        <v>Romania</v>
      </c>
      <c r="J256" s="43" t="str">
        <f>IFERROR(__xludf.DUMMYFUNCTION("""COMPUTED_VALUE"""),"BUCURESTI")</f>
        <v>BUCURESTI</v>
      </c>
      <c r="K256" s="44" t="str">
        <f>IFERROR(__xludf.DUMMYFUNCTION("""COMPUTED_VALUE"""),"https://expa.aiesec.org/opportunities/1291631")</f>
        <v>https://expa.aiesec.org/opportunities/1291631</v>
      </c>
      <c r="L256" s="43" t="str">
        <f>IFERROR(__xludf.DUMMYFUNCTION("""COMPUTED_VALUE"""),"GV")</f>
        <v>GV</v>
      </c>
      <c r="M256" s="43" t="str">
        <f>IFERROR(__xludf.DUMMYFUNCTION("""COMPUTED_VALUE"""),"short")</f>
        <v>short</v>
      </c>
      <c r="N256" s="45">
        <f>IFERROR(__xludf.DUMMYFUNCTION("""COMPUTED_VALUE"""),44935.0)</f>
        <v>44935</v>
      </c>
      <c r="O256" s="45">
        <f>IFERROR(__xludf.DUMMYFUNCTION("""COMPUTED_VALUE"""),45096.0)</f>
        <v>45096</v>
      </c>
      <c r="P256" s="45">
        <f>IFERROR(__xludf.DUMMYFUNCTION("""COMPUTED_VALUE"""),45138.0)</f>
        <v>45138</v>
      </c>
      <c r="Q256" s="45">
        <f>IFERROR(__xludf.DUMMYFUNCTION("""COMPUTED_VALUE"""),45096.0)</f>
        <v>45096</v>
      </c>
      <c r="R256" s="45">
        <f>IFERROR(__xludf.DUMMYFUNCTION("""COMPUTED_VALUE"""),45138.0)</f>
        <v>45138</v>
      </c>
      <c r="S256" s="43"/>
      <c r="T256" s="43"/>
      <c r="U256" s="43" t="str">
        <f>IFERROR(__xludf.DUMMYFUNCTION("""COMPUTED_VALUE"""),"Green Leaders")</f>
        <v>Green Leaders</v>
      </c>
      <c r="V256" s="43" t="str">
        <f>IFERROR(__xludf.DUMMYFUNCTION("""COMPUTED_VALUE"""),"ISTANBUL - BEYOGLU")</f>
        <v>ISTANBUL - BEYOGLU</v>
      </c>
      <c r="W256" s="43" t="str">
        <f>IFERROR(__xludf.DUMMYFUNCTION("""COMPUTED_VALUE"""),"2023-01-06T15:41:25Z")</f>
        <v>2023-01-06T15:41:25Z</v>
      </c>
      <c r="X256" s="43"/>
      <c r="Y256" s="43"/>
      <c r="Z256" s="43"/>
    </row>
    <row r="257" hidden="1">
      <c r="A257" s="43" t="str">
        <f>IFERROR(__xludf.DUMMYFUNCTION("""COMPUTED_VALUE"""),"4686677_1291553")</f>
        <v>4686677_1291553</v>
      </c>
      <c r="B257" s="43" t="str">
        <f>IFERROR(__xludf.DUMMYFUNCTION("""COMPUTED_VALUE"""),"Aylin Çağlayan")</f>
        <v>Aylin Çağlayan</v>
      </c>
      <c r="C257" s="43" t="str">
        <f>IFERROR(__xludf.DUMMYFUNCTION("""COMPUTED_VALUE"""),"approved")</f>
        <v>approved</v>
      </c>
      <c r="D257" s="43" t="str">
        <f>IFERROR(__xludf.DUMMYFUNCTION("""COMPUTED_VALUE"""),"No")</f>
        <v>No</v>
      </c>
      <c r="E257" s="43" t="str">
        <f>IFERROR(__xludf.DUMMYFUNCTION("""COMPUTED_VALUE"""),"p_bf42a827ea9c840a4c6d2e7bd8c5406abf7c9f09@inbound.aiesec.org")</f>
        <v>p_bf42a827ea9c840a4c6d2e7bd8c5406abf7c9f09@inbound.aiesec.org</v>
      </c>
      <c r="F257" s="43"/>
      <c r="G257" s="43" t="str">
        <f>IFERROR(__xludf.DUMMYFUNCTION("""COMPUTED_VALUE"""),"Turkey")</f>
        <v>Turkey</v>
      </c>
      <c r="H257" s="43" t="str">
        <f>IFERROR(__xludf.DUMMYFUNCTION("""COMPUTED_VALUE"""),"ISTANBUL")</f>
        <v>ISTANBUL</v>
      </c>
      <c r="I257" s="43" t="str">
        <f>IFERROR(__xludf.DUMMYFUNCTION("""COMPUTED_VALUE"""),"Romania")</f>
        <v>Romania</v>
      </c>
      <c r="J257" s="43" t="str">
        <f>IFERROR(__xludf.DUMMYFUNCTION("""COMPUTED_VALUE"""),"BUCURESTI")</f>
        <v>BUCURESTI</v>
      </c>
      <c r="K257" s="44" t="str">
        <f>IFERROR(__xludf.DUMMYFUNCTION("""COMPUTED_VALUE"""),"https://expa.aiesec.org/opportunities/1291553")</f>
        <v>https://expa.aiesec.org/opportunities/1291553</v>
      </c>
      <c r="L257" s="43" t="str">
        <f>IFERROR(__xludf.DUMMYFUNCTION("""COMPUTED_VALUE"""),"GV")</f>
        <v>GV</v>
      </c>
      <c r="M257" s="43" t="str">
        <f>IFERROR(__xludf.DUMMYFUNCTION("""COMPUTED_VALUE"""),"short")</f>
        <v>short</v>
      </c>
      <c r="N257" s="45">
        <f>IFERROR(__xludf.DUMMYFUNCTION("""COMPUTED_VALUE"""),44935.0)</f>
        <v>44935</v>
      </c>
      <c r="O257" s="45">
        <f>IFERROR(__xludf.DUMMYFUNCTION("""COMPUTED_VALUE"""),45096.0)</f>
        <v>45096</v>
      </c>
      <c r="P257" s="45">
        <f>IFERROR(__xludf.DUMMYFUNCTION("""COMPUTED_VALUE"""),45138.0)</f>
        <v>45138</v>
      </c>
      <c r="Q257" s="45"/>
      <c r="R257" s="45"/>
      <c r="S257" s="43"/>
      <c r="T257" s="43"/>
      <c r="U257" s="43" t="str">
        <f>IFERROR(__xludf.DUMMYFUNCTION("""COMPUTED_VALUE"""),"Green Leaders")</f>
        <v>Green Leaders</v>
      </c>
      <c r="V257" s="43" t="str">
        <f>IFERROR(__xludf.DUMMYFUNCTION("""COMPUTED_VALUE"""),"YALOVA")</f>
        <v>YALOVA</v>
      </c>
      <c r="W257" s="43" t="str">
        <f>IFERROR(__xludf.DUMMYFUNCTION("""COMPUTED_VALUE"""),"2021-07-12T14:20:19Z")</f>
        <v>2021-07-12T14:20:19Z</v>
      </c>
      <c r="X257" s="43"/>
      <c r="Y257" s="43"/>
      <c r="Z257" s="43"/>
    </row>
    <row r="258" hidden="1">
      <c r="A258" s="43" t="str">
        <f>IFERROR(__xludf.DUMMYFUNCTION("""COMPUTED_VALUE"""),"5121463_1291045")</f>
        <v>5121463_1291045</v>
      </c>
      <c r="B258" s="43" t="str">
        <f>IFERROR(__xludf.DUMMYFUNCTION("""COMPUTED_VALUE"""),"Süleyman Mesut Çiçek")</f>
        <v>Süleyman Mesut Çiçek</v>
      </c>
      <c r="C258" s="43" t="str">
        <f>IFERROR(__xludf.DUMMYFUNCTION("""COMPUTED_VALUE"""),"completed")</f>
        <v>completed</v>
      </c>
      <c r="D258" s="43" t="str">
        <f>IFERROR(__xludf.DUMMYFUNCTION("""COMPUTED_VALUE"""),"No")</f>
        <v>No</v>
      </c>
      <c r="E258" s="43" t="str">
        <f>IFERROR(__xludf.DUMMYFUNCTION("""COMPUTED_VALUE"""),"p_a66614c9913490928b37795427c7fc1967d922b4@inbound.aiesec.org")</f>
        <v>p_a66614c9913490928b37795427c7fc1967d922b4@inbound.aiesec.org</v>
      </c>
      <c r="F258" s="43">
        <f>IFERROR(__xludf.DUMMYFUNCTION("""COMPUTED_VALUE"""),5.428194931E9)</f>
        <v>5428194931</v>
      </c>
      <c r="G258" s="43" t="str">
        <f>IFERROR(__xludf.DUMMYFUNCTION("""COMPUTED_VALUE"""),"Turkey")</f>
        <v>Turkey</v>
      </c>
      <c r="H258" s="43" t="str">
        <f>IFERROR(__xludf.DUMMYFUNCTION("""COMPUTED_VALUE"""),"ISTANBUL")</f>
        <v>ISTANBUL</v>
      </c>
      <c r="I258" s="43" t="str">
        <f>IFERROR(__xludf.DUMMYFUNCTION("""COMPUTED_VALUE"""),"Serbia")</f>
        <v>Serbia</v>
      </c>
      <c r="J258" s="43" t="str">
        <f>IFERROR(__xludf.DUMMYFUNCTION("""COMPUTED_VALUE"""),"BELGRADE FON")</f>
        <v>BELGRADE FON</v>
      </c>
      <c r="K258" s="44" t="str">
        <f>IFERROR(__xludf.DUMMYFUNCTION("""COMPUTED_VALUE"""),"https://expa.aiesec.org/opportunities/1291045")</f>
        <v>https://expa.aiesec.org/opportunities/1291045</v>
      </c>
      <c r="L258" s="43" t="str">
        <f>IFERROR(__xludf.DUMMYFUNCTION("""COMPUTED_VALUE"""),"GV")</f>
        <v>GV</v>
      </c>
      <c r="M258" s="43" t="str">
        <f>IFERROR(__xludf.DUMMYFUNCTION("""COMPUTED_VALUE"""),"short")</f>
        <v>short</v>
      </c>
      <c r="N258" s="45">
        <f>IFERROR(__xludf.DUMMYFUNCTION("""COMPUTED_VALUE"""),44935.0)</f>
        <v>44935</v>
      </c>
      <c r="O258" s="45">
        <f>IFERROR(__xludf.DUMMYFUNCTION("""COMPUTED_VALUE"""),44942.0)</f>
        <v>44942</v>
      </c>
      <c r="P258" s="45">
        <f>IFERROR(__xludf.DUMMYFUNCTION("""COMPUTED_VALUE"""),44984.0)</f>
        <v>44984</v>
      </c>
      <c r="Q258" s="45">
        <f>IFERROR(__xludf.DUMMYFUNCTION("""COMPUTED_VALUE"""),44945.0)</f>
        <v>44945</v>
      </c>
      <c r="R258" s="45">
        <f>IFERROR(__xludf.DUMMYFUNCTION("""COMPUTED_VALUE"""),44987.0)</f>
        <v>44987</v>
      </c>
      <c r="S258" s="43"/>
      <c r="T258" s="43"/>
      <c r="U258" s="43" t="str">
        <f>IFERROR(__xludf.DUMMYFUNCTION("""COMPUTED_VALUE"""),"Skill Up!")</f>
        <v>Skill Up!</v>
      </c>
      <c r="V258" s="43" t="str">
        <f>IFERROR(__xludf.DUMMYFUNCTION("""COMPUTED_VALUE"""),"ISTANBUL - BEYOGLU")</f>
        <v>ISTANBUL - BEYOGLU</v>
      </c>
      <c r="W258" s="43" t="str">
        <f>IFERROR(__xludf.DUMMYFUNCTION("""COMPUTED_VALUE"""),"2022-09-28T15:39:18Z")</f>
        <v>2022-09-28T15:39:18Z</v>
      </c>
      <c r="X258" s="43"/>
      <c r="Y258" s="43"/>
      <c r="Z258" s="43"/>
    </row>
    <row r="259" hidden="1">
      <c r="A259" s="43" t="str">
        <f>IFERROR(__xludf.DUMMYFUNCTION("""COMPUTED_VALUE"""),"5170149_1291045")</f>
        <v>5170149_1291045</v>
      </c>
      <c r="B259" s="43" t="str">
        <f>IFERROR(__xludf.DUMMYFUNCTION("""COMPUTED_VALUE"""),"Ahmet Batuhan ŞEN")</f>
        <v>Ahmet Batuhan ŞEN</v>
      </c>
      <c r="C259" s="43" t="str">
        <f>IFERROR(__xludf.DUMMYFUNCTION("""COMPUTED_VALUE"""),"completed")</f>
        <v>completed</v>
      </c>
      <c r="D259" s="43" t="str">
        <f>IFERROR(__xludf.DUMMYFUNCTION("""COMPUTED_VALUE"""),"No")</f>
        <v>No</v>
      </c>
      <c r="E259" s="43" t="str">
        <f>IFERROR(__xludf.DUMMYFUNCTION("""COMPUTED_VALUE"""),"p_4a4f85a58fb1deaaf9b745efc95ce3a501b32172@inbound.aiesec.org")</f>
        <v>p_4a4f85a58fb1deaaf9b745efc95ce3a501b32172@inbound.aiesec.org</v>
      </c>
      <c r="F259" s="43">
        <f>IFERROR(__xludf.DUMMYFUNCTION("""COMPUTED_VALUE"""),5.30147482E9)</f>
        <v>5301474820</v>
      </c>
      <c r="G259" s="43" t="str">
        <f>IFERROR(__xludf.DUMMYFUNCTION("""COMPUTED_VALUE"""),"Turkey")</f>
        <v>Turkey</v>
      </c>
      <c r="H259" s="43" t="str">
        <f>IFERROR(__xludf.DUMMYFUNCTION("""COMPUTED_VALUE"""),"ISTANBUL")</f>
        <v>ISTANBUL</v>
      </c>
      <c r="I259" s="43" t="str">
        <f>IFERROR(__xludf.DUMMYFUNCTION("""COMPUTED_VALUE"""),"Serbia")</f>
        <v>Serbia</v>
      </c>
      <c r="J259" s="43" t="str">
        <f>IFERROR(__xludf.DUMMYFUNCTION("""COMPUTED_VALUE"""),"BELGRADE FON")</f>
        <v>BELGRADE FON</v>
      </c>
      <c r="K259" s="44" t="str">
        <f>IFERROR(__xludf.DUMMYFUNCTION("""COMPUTED_VALUE"""),"https://expa.aiesec.org/opportunities/1291045")</f>
        <v>https://expa.aiesec.org/opportunities/1291045</v>
      </c>
      <c r="L259" s="43" t="str">
        <f>IFERROR(__xludf.DUMMYFUNCTION("""COMPUTED_VALUE"""),"GV")</f>
        <v>GV</v>
      </c>
      <c r="M259" s="43" t="str">
        <f>IFERROR(__xludf.DUMMYFUNCTION("""COMPUTED_VALUE"""),"short")</f>
        <v>short</v>
      </c>
      <c r="N259" s="45">
        <f>IFERROR(__xludf.DUMMYFUNCTION("""COMPUTED_VALUE"""),44935.0)</f>
        <v>44935</v>
      </c>
      <c r="O259" s="45">
        <f>IFERROR(__xludf.DUMMYFUNCTION("""COMPUTED_VALUE"""),44942.0)</f>
        <v>44942</v>
      </c>
      <c r="P259" s="45">
        <f>IFERROR(__xludf.DUMMYFUNCTION("""COMPUTED_VALUE"""),44984.0)</f>
        <v>44984</v>
      </c>
      <c r="Q259" s="45">
        <f>IFERROR(__xludf.DUMMYFUNCTION("""COMPUTED_VALUE"""),44945.0)</f>
        <v>44945</v>
      </c>
      <c r="R259" s="45">
        <f>IFERROR(__xludf.DUMMYFUNCTION("""COMPUTED_VALUE"""),44987.0)</f>
        <v>44987</v>
      </c>
      <c r="S259" s="43"/>
      <c r="T259" s="43"/>
      <c r="U259" s="43" t="str">
        <f>IFERROR(__xludf.DUMMYFUNCTION("""COMPUTED_VALUE"""),"Skill Up!")</f>
        <v>Skill Up!</v>
      </c>
      <c r="V259" s="43" t="str">
        <f>IFERROR(__xludf.DUMMYFUNCTION("""COMPUTED_VALUE"""),"ISTANBUL - BEYOGLU")</f>
        <v>ISTANBUL - BEYOGLU</v>
      </c>
      <c r="W259" s="43" t="str">
        <f>IFERROR(__xludf.DUMMYFUNCTION("""COMPUTED_VALUE"""),"2022-12-25T16:20:01Z")</f>
        <v>2022-12-25T16:20:01Z</v>
      </c>
      <c r="X259" s="43"/>
      <c r="Y259" s="43"/>
      <c r="Z259" s="43"/>
    </row>
    <row r="260" hidden="1">
      <c r="A260" s="43" t="str">
        <f>IFERROR(__xludf.DUMMYFUNCTION("""COMPUTED_VALUE"""),"5175145_1290806")</f>
        <v>5175145_1290806</v>
      </c>
      <c r="B260" s="43" t="str">
        <f>IFERROR(__xludf.DUMMYFUNCTION("""COMPUTED_VALUE"""),"Canberk Başduran")</f>
        <v>Canberk Başduran</v>
      </c>
      <c r="C260" s="43" t="str">
        <f>IFERROR(__xludf.DUMMYFUNCTION("""COMPUTED_VALUE"""),"approved")</f>
        <v>approved</v>
      </c>
      <c r="D260" s="43" t="str">
        <f>IFERROR(__xludf.DUMMYFUNCTION("""COMPUTED_VALUE"""),"No")</f>
        <v>No</v>
      </c>
      <c r="E260" s="43" t="str">
        <f>IFERROR(__xludf.DUMMYFUNCTION("""COMPUTED_VALUE"""),"p_f444b8640f009a882732dc8e0e75bc79cc7f26bd@inbound.aiesec.org")</f>
        <v>p_f444b8640f009a882732dc8e0e75bc79cc7f26bd@inbound.aiesec.org</v>
      </c>
      <c r="F260" s="43">
        <f>IFERROR(__xludf.DUMMYFUNCTION("""COMPUTED_VALUE"""),5.438107759E9)</f>
        <v>5438107759</v>
      </c>
      <c r="G260" s="43" t="str">
        <f>IFERROR(__xludf.DUMMYFUNCTION("""COMPUTED_VALUE"""),"Turkey")</f>
        <v>Turkey</v>
      </c>
      <c r="H260" s="43" t="str">
        <f>IFERROR(__xludf.DUMMYFUNCTION("""COMPUTED_VALUE"""),"ISTANBUL")</f>
        <v>ISTANBUL</v>
      </c>
      <c r="I260" s="43" t="str">
        <f>IFERROR(__xludf.DUMMYFUNCTION("""COMPUTED_VALUE"""),"Sri Lanka")</f>
        <v>Sri Lanka</v>
      </c>
      <c r="J260" s="43" t="str">
        <f>IFERROR(__xludf.DUMMYFUNCTION("""COMPUTED_VALUE"""),"KANDY")</f>
        <v>KANDY</v>
      </c>
      <c r="K260" s="44" t="str">
        <f>IFERROR(__xludf.DUMMYFUNCTION("""COMPUTED_VALUE"""),"https://expa.aiesec.org/opportunities/1290806")</f>
        <v>https://expa.aiesec.org/opportunities/1290806</v>
      </c>
      <c r="L260" s="43" t="str">
        <f>IFERROR(__xludf.DUMMYFUNCTION("""COMPUTED_VALUE"""),"GV")</f>
        <v>GV</v>
      </c>
      <c r="M260" s="43" t="str">
        <f>IFERROR(__xludf.DUMMYFUNCTION("""COMPUTED_VALUE"""),"short")</f>
        <v>short</v>
      </c>
      <c r="N260" s="45">
        <f>IFERROR(__xludf.DUMMYFUNCTION("""COMPUTED_VALUE"""),44937.0)</f>
        <v>44937</v>
      </c>
      <c r="O260" s="45">
        <f>IFERROR(__xludf.DUMMYFUNCTION("""COMPUTED_VALUE"""),45110.0)</f>
        <v>45110</v>
      </c>
      <c r="P260" s="45">
        <f>IFERROR(__xludf.DUMMYFUNCTION("""COMPUTED_VALUE"""),45152.0)</f>
        <v>45152</v>
      </c>
      <c r="Q260" s="45"/>
      <c r="R260" s="45"/>
      <c r="S260" s="43"/>
      <c r="T260" s="43"/>
      <c r="U260" s="43" t="str">
        <f>IFERROR(__xludf.DUMMYFUNCTION("""COMPUTED_VALUE"""),"Happy Bus")</f>
        <v>Happy Bus</v>
      </c>
      <c r="V260" s="43" t="str">
        <f>IFERROR(__xludf.DUMMYFUNCTION("""COMPUTED_VALUE"""),"ISTANBUL - BEYOGLU")</f>
        <v>ISTANBUL - BEYOGLU</v>
      </c>
      <c r="W260" s="43" t="str">
        <f>IFERROR(__xludf.DUMMYFUNCTION("""COMPUTED_VALUE"""),"2023-01-10T17:08:16Z")</f>
        <v>2023-01-10T17:08:16Z</v>
      </c>
      <c r="X260" s="43"/>
      <c r="Y260" s="43"/>
      <c r="Z260" s="43"/>
    </row>
    <row r="261" hidden="1">
      <c r="A261" s="43" t="str">
        <f>IFERROR(__xludf.DUMMYFUNCTION("""COMPUTED_VALUE"""),"5173744_1291692")</f>
        <v>5173744_1291692</v>
      </c>
      <c r="B261" s="43" t="str">
        <f>IFERROR(__xludf.DUMMYFUNCTION("""COMPUTED_VALUE"""),"Mertcan UZUNER")</f>
        <v>Mertcan UZUNER</v>
      </c>
      <c r="C261" s="43" t="str">
        <f>IFERROR(__xludf.DUMMYFUNCTION("""COMPUTED_VALUE"""),"completed")</f>
        <v>completed</v>
      </c>
      <c r="D261" s="43" t="str">
        <f>IFERROR(__xludf.DUMMYFUNCTION("""COMPUTED_VALUE"""),"No")</f>
        <v>No</v>
      </c>
      <c r="E261" s="43" t="str">
        <f>IFERROR(__xludf.DUMMYFUNCTION("""COMPUTED_VALUE"""),"p_3e46274e0672c71e240ca4399c4a91b9dcbc42ee@inbound.aiesec.org")</f>
        <v>p_3e46274e0672c71e240ca4399c4a91b9dcbc42ee@inbound.aiesec.org</v>
      </c>
      <c r="F261" s="43"/>
      <c r="G261" s="43" t="str">
        <f>IFERROR(__xludf.DUMMYFUNCTION("""COMPUTED_VALUE"""),"Turkey")</f>
        <v>Turkey</v>
      </c>
      <c r="H261" s="43" t="str">
        <f>IFERROR(__xludf.DUMMYFUNCTION("""COMPUTED_VALUE"""),"KOCAELI")</f>
        <v>KOCAELI</v>
      </c>
      <c r="I261" s="43" t="str">
        <f>IFERROR(__xludf.DUMMYFUNCTION("""COMPUTED_VALUE"""),"Mexico")</f>
        <v>Mexico</v>
      </c>
      <c r="J261" s="43" t="str">
        <f>IFERROR(__xludf.DUMMYFUNCTION("""COMPUTED_VALUE"""),"Toluca")</f>
        <v>Toluca</v>
      </c>
      <c r="K261" s="44" t="str">
        <f>IFERROR(__xludf.DUMMYFUNCTION("""COMPUTED_VALUE"""),"https://expa.aiesec.org/opportunities/1291692")</f>
        <v>https://expa.aiesec.org/opportunities/1291692</v>
      </c>
      <c r="L261" s="43" t="str">
        <f>IFERROR(__xludf.DUMMYFUNCTION("""COMPUTED_VALUE"""),"GV")</f>
        <v>GV</v>
      </c>
      <c r="M261" s="43" t="str">
        <f>IFERROR(__xludf.DUMMYFUNCTION("""COMPUTED_VALUE"""),"short")</f>
        <v>short</v>
      </c>
      <c r="N261" s="45">
        <f>IFERROR(__xludf.DUMMYFUNCTION("""COMPUTED_VALUE"""),44937.0)</f>
        <v>44937</v>
      </c>
      <c r="O261" s="45">
        <f>IFERROR(__xludf.DUMMYFUNCTION("""COMPUTED_VALUE"""),44954.0)</f>
        <v>44954</v>
      </c>
      <c r="P261" s="45">
        <f>IFERROR(__xludf.DUMMYFUNCTION("""COMPUTED_VALUE"""),44996.0)</f>
        <v>44996</v>
      </c>
      <c r="Q261" s="45">
        <f>IFERROR(__xludf.DUMMYFUNCTION("""COMPUTED_VALUE"""),44954.0)</f>
        <v>44954</v>
      </c>
      <c r="R261" s="45">
        <f>IFERROR(__xludf.DUMMYFUNCTION("""COMPUTED_VALUE"""),44996.0)</f>
        <v>44996</v>
      </c>
      <c r="S261" s="43"/>
      <c r="T261" s="43"/>
      <c r="U261" s="43" t="str">
        <f>IFERROR(__xludf.DUMMYFUNCTION("""COMPUTED_VALUE"""),"Global Classroom")</f>
        <v>Global Classroom</v>
      </c>
      <c r="V261" s="43" t="str">
        <f>IFERROR(__xludf.DUMMYFUNCTION("""COMPUTED_VALUE"""),"-")</f>
        <v>-</v>
      </c>
      <c r="W261" s="43" t="str">
        <f>IFERROR(__xludf.DUMMYFUNCTION("""COMPUTED_VALUE"""),"2023-01-06T14:43:42Z")</f>
        <v>2023-01-06T14:43:42Z</v>
      </c>
      <c r="X261" s="43"/>
      <c r="Y261" s="43"/>
      <c r="Z261" s="43"/>
    </row>
    <row r="262" hidden="1">
      <c r="A262" s="43" t="str">
        <f>IFERROR(__xludf.DUMMYFUNCTION("""COMPUTED_VALUE"""),"5173715_1290243")</f>
        <v>5173715_1290243</v>
      </c>
      <c r="B262" s="43" t="str">
        <f>IFERROR(__xludf.DUMMYFUNCTION("""COMPUTED_VALUE"""),"Betül Kelel")</f>
        <v>Betül Kelel</v>
      </c>
      <c r="C262" s="43" t="str">
        <f>IFERROR(__xludf.DUMMYFUNCTION("""COMPUTED_VALUE"""),"approved")</f>
        <v>approved</v>
      </c>
      <c r="D262" s="43" t="str">
        <f>IFERROR(__xludf.DUMMYFUNCTION("""COMPUTED_VALUE"""),"No")</f>
        <v>No</v>
      </c>
      <c r="E262" s="43" t="str">
        <f>IFERROR(__xludf.DUMMYFUNCTION("""COMPUTED_VALUE"""),"p_395d6684d5aa8a8c93bc939ee02f95faf5fe5930@inbound.aiesec.org")</f>
        <v>p_395d6684d5aa8a8c93bc939ee02f95faf5fe5930@inbound.aiesec.org</v>
      </c>
      <c r="F262" s="43"/>
      <c r="G262" s="43" t="str">
        <f>IFERROR(__xludf.DUMMYFUNCTION("""COMPUTED_VALUE"""),"Turkey")</f>
        <v>Turkey</v>
      </c>
      <c r="H262" s="43" t="str">
        <f>IFERROR(__xludf.DUMMYFUNCTION("""COMPUTED_VALUE"""),"ISTANBUL")</f>
        <v>ISTANBUL</v>
      </c>
      <c r="I262" s="43" t="str">
        <f>IFERROR(__xludf.DUMMYFUNCTION("""COMPUTED_VALUE"""),"Egypt")</f>
        <v>Egypt</v>
      </c>
      <c r="J262" s="43" t="str">
        <f>IFERROR(__xludf.DUMMYFUNCTION("""COMPUTED_VALUE"""),"GUC")</f>
        <v>GUC</v>
      </c>
      <c r="K262" s="44" t="str">
        <f>IFERROR(__xludf.DUMMYFUNCTION("""COMPUTED_VALUE"""),"https://expa.aiesec.org/opportunities/1290243")</f>
        <v>https://expa.aiesec.org/opportunities/1290243</v>
      </c>
      <c r="L262" s="43" t="str">
        <f>IFERROR(__xludf.DUMMYFUNCTION("""COMPUTED_VALUE"""),"GV")</f>
        <v>GV</v>
      </c>
      <c r="M262" s="43" t="str">
        <f>IFERROR(__xludf.DUMMYFUNCTION("""COMPUTED_VALUE"""),"short")</f>
        <v>short</v>
      </c>
      <c r="N262" s="45">
        <f>IFERROR(__xludf.DUMMYFUNCTION("""COMPUTED_VALUE"""),44937.0)</f>
        <v>44937</v>
      </c>
      <c r="O262" s="45">
        <f>IFERROR(__xludf.DUMMYFUNCTION("""COMPUTED_VALUE"""),45139.0)</f>
        <v>45139</v>
      </c>
      <c r="P262" s="45">
        <f>IFERROR(__xludf.DUMMYFUNCTION("""COMPUTED_VALUE"""),45181.0)</f>
        <v>45181</v>
      </c>
      <c r="Q262" s="45"/>
      <c r="R262" s="45"/>
      <c r="S262" s="43"/>
      <c r="T262" s="43"/>
      <c r="U262" s="43" t="str">
        <f>IFERROR(__xludf.DUMMYFUNCTION("""COMPUTED_VALUE"""),"On The Map")</f>
        <v>On The Map</v>
      </c>
      <c r="V262" s="43" t="str">
        <f>IFERROR(__xludf.DUMMYFUNCTION("""COMPUTED_VALUE"""),"-")</f>
        <v>-</v>
      </c>
      <c r="W262" s="43" t="str">
        <f>IFERROR(__xludf.DUMMYFUNCTION("""COMPUTED_VALUE"""),"2023-01-06T13:28:30Z")</f>
        <v>2023-01-06T13:28:30Z</v>
      </c>
      <c r="X262" s="43"/>
      <c r="Y262" s="43"/>
      <c r="Z262" s="43"/>
    </row>
    <row r="263" hidden="1">
      <c r="A263" s="43" t="str">
        <f>IFERROR(__xludf.DUMMYFUNCTION("""COMPUTED_VALUE"""),"4788814_1291264")</f>
        <v>4788814_1291264</v>
      </c>
      <c r="B263" s="43" t="str">
        <f>IFERROR(__xludf.DUMMYFUNCTION("""COMPUTED_VALUE"""),"Pınar Yalınkılıç")</f>
        <v>Pınar Yalınkılıç</v>
      </c>
      <c r="C263" s="43" t="str">
        <f>IFERROR(__xludf.DUMMYFUNCTION("""COMPUTED_VALUE"""),"completed")</f>
        <v>completed</v>
      </c>
      <c r="D263" s="43" t="str">
        <f>IFERROR(__xludf.DUMMYFUNCTION("""COMPUTED_VALUE"""),"No")</f>
        <v>No</v>
      </c>
      <c r="E263" s="43" t="str">
        <f>IFERROR(__xludf.DUMMYFUNCTION("""COMPUTED_VALUE"""),"p_2401376e50f00e59da6b999d34cc578c001ca024@inbound.aiesec.org")</f>
        <v>p_2401376e50f00e59da6b999d34cc578c001ca024@inbound.aiesec.org</v>
      </c>
      <c r="F263" s="43">
        <f>IFERROR(__xludf.DUMMYFUNCTION("""COMPUTED_VALUE"""),5.07779149E9)</f>
        <v>5077791490</v>
      </c>
      <c r="G263" s="43" t="str">
        <f>IFERROR(__xludf.DUMMYFUNCTION("""COMPUTED_VALUE"""),"Turkey")</f>
        <v>Turkey</v>
      </c>
      <c r="H263" s="43" t="str">
        <f>IFERROR(__xludf.DUMMYFUNCTION("""COMPUTED_VALUE"""),"ISTANBUL")</f>
        <v>ISTANBUL</v>
      </c>
      <c r="I263" s="43" t="str">
        <f>IFERROR(__xludf.DUMMYFUNCTION("""COMPUTED_VALUE"""),"Spain")</f>
        <v>Spain</v>
      </c>
      <c r="J263" s="43" t="str">
        <f>IFERROR(__xludf.DUMMYFUNCTION("""COMPUTED_VALUE"""),"Pompeu Fabra Barcelona")</f>
        <v>Pompeu Fabra Barcelona</v>
      </c>
      <c r="K263" s="44" t="str">
        <f>IFERROR(__xludf.DUMMYFUNCTION("""COMPUTED_VALUE"""),"https://expa.aiesec.org/opportunities/1291264")</f>
        <v>https://expa.aiesec.org/opportunities/1291264</v>
      </c>
      <c r="L263" s="43" t="str">
        <f>IFERROR(__xludf.DUMMYFUNCTION("""COMPUTED_VALUE"""),"GV")</f>
        <v>GV</v>
      </c>
      <c r="M263" s="43" t="str">
        <f>IFERROR(__xludf.DUMMYFUNCTION("""COMPUTED_VALUE"""),"short")</f>
        <v>short</v>
      </c>
      <c r="N263" s="45">
        <f>IFERROR(__xludf.DUMMYFUNCTION("""COMPUTED_VALUE"""),44937.0)</f>
        <v>44937</v>
      </c>
      <c r="O263" s="45">
        <f>IFERROR(__xludf.DUMMYFUNCTION("""COMPUTED_VALUE"""),44963.0)</f>
        <v>44963</v>
      </c>
      <c r="P263" s="45">
        <f>IFERROR(__xludf.DUMMYFUNCTION("""COMPUTED_VALUE"""),45005.0)</f>
        <v>45005</v>
      </c>
      <c r="Q263" s="45">
        <f>IFERROR(__xludf.DUMMYFUNCTION("""COMPUTED_VALUE"""),44970.0)</f>
        <v>44970</v>
      </c>
      <c r="R263" s="45">
        <f>IFERROR(__xludf.DUMMYFUNCTION("""COMPUTED_VALUE"""),45011.0)</f>
        <v>45011</v>
      </c>
      <c r="S263" s="43"/>
      <c r="T263" s="43"/>
      <c r="U263" s="43" t="str">
        <f>IFERROR(__xludf.DUMMYFUNCTION("""COMPUTED_VALUE"""),"Youth 4 Impact")</f>
        <v>Youth 4 Impact</v>
      </c>
      <c r="V263" s="43" t="str">
        <f>IFERROR(__xludf.DUMMYFUNCTION("""COMPUTED_VALUE"""),"ISTANBUL - BEYOGLU")</f>
        <v>ISTANBUL - BEYOGLU</v>
      </c>
      <c r="W263" s="43" t="str">
        <f>IFERROR(__xludf.DUMMYFUNCTION("""COMPUTED_VALUE"""),"2021-11-06T09:57:33Z")</f>
        <v>2021-11-06T09:57:33Z</v>
      </c>
      <c r="X263" s="43"/>
      <c r="Y263" s="43"/>
      <c r="Z263" s="43"/>
    </row>
    <row r="264" hidden="1">
      <c r="A264" s="43" t="str">
        <f>IFERROR(__xludf.DUMMYFUNCTION("""COMPUTED_VALUE"""),"5172309_1289370")</f>
        <v>5172309_1289370</v>
      </c>
      <c r="B264" s="43" t="str">
        <f>IFERROR(__xludf.DUMMYFUNCTION("""COMPUTED_VALUE"""),"Nil Akıntürk")</f>
        <v>Nil Akıntürk</v>
      </c>
      <c r="C264" s="43" t="str">
        <f>IFERROR(__xludf.DUMMYFUNCTION("""COMPUTED_VALUE"""),"completed")</f>
        <v>completed</v>
      </c>
      <c r="D264" s="43" t="str">
        <f>IFERROR(__xludf.DUMMYFUNCTION("""COMPUTED_VALUE"""),"No")</f>
        <v>No</v>
      </c>
      <c r="E264" s="43" t="str">
        <f>IFERROR(__xludf.DUMMYFUNCTION("""COMPUTED_VALUE"""),"p_f923e68683c25e0936925f647b4da8e718a37325@inbound.aiesec.org")</f>
        <v>p_f923e68683c25e0936925f647b4da8e718a37325@inbound.aiesec.org</v>
      </c>
      <c r="F264" s="43">
        <f>IFERROR(__xludf.DUMMYFUNCTION("""COMPUTED_VALUE"""),5.073211361E9)</f>
        <v>5073211361</v>
      </c>
      <c r="G264" s="43" t="str">
        <f>IFERROR(__xludf.DUMMYFUNCTION("""COMPUTED_VALUE"""),"Turkey")</f>
        <v>Turkey</v>
      </c>
      <c r="H264" s="43" t="str">
        <f>IFERROR(__xludf.DUMMYFUNCTION("""COMPUTED_VALUE"""),"ISTANBUL ASIA")</f>
        <v>ISTANBUL ASIA</v>
      </c>
      <c r="I264" s="43" t="str">
        <f>IFERROR(__xludf.DUMMYFUNCTION("""COMPUTED_VALUE"""),"Egypt")</f>
        <v>Egypt</v>
      </c>
      <c r="J264" s="43" t="str">
        <f>IFERROR(__xludf.DUMMYFUNCTION("""COMPUTED_VALUE"""),"Ain Shams University")</f>
        <v>Ain Shams University</v>
      </c>
      <c r="K264" s="44" t="str">
        <f>IFERROR(__xludf.DUMMYFUNCTION("""COMPUTED_VALUE"""),"https://expa.aiesec.org/opportunities/1289370")</f>
        <v>https://expa.aiesec.org/opportunities/1289370</v>
      </c>
      <c r="L264" s="43" t="str">
        <f>IFERROR(__xludf.DUMMYFUNCTION("""COMPUTED_VALUE"""),"GV")</f>
        <v>GV</v>
      </c>
      <c r="M264" s="43" t="str">
        <f>IFERROR(__xludf.DUMMYFUNCTION("""COMPUTED_VALUE"""),"short")</f>
        <v>short</v>
      </c>
      <c r="N264" s="45">
        <f>IFERROR(__xludf.DUMMYFUNCTION("""COMPUTED_VALUE"""),44938.0)</f>
        <v>44938</v>
      </c>
      <c r="O264" s="45">
        <f>IFERROR(__xludf.DUMMYFUNCTION("""COMPUTED_VALUE"""),45108.0)</f>
        <v>45108</v>
      </c>
      <c r="P264" s="45">
        <f>IFERROR(__xludf.DUMMYFUNCTION("""COMPUTED_VALUE"""),45150.0)</f>
        <v>45150</v>
      </c>
      <c r="Q264" s="45">
        <f>IFERROR(__xludf.DUMMYFUNCTION("""COMPUTED_VALUE"""),45145.0)</f>
        <v>45145</v>
      </c>
      <c r="R264" s="45">
        <f>IFERROR(__xludf.DUMMYFUNCTION("""COMPUTED_VALUE"""),45190.0)</f>
        <v>45190</v>
      </c>
      <c r="S264" s="43"/>
      <c r="T264" s="43"/>
      <c r="U264" s="43" t="str">
        <f>IFERROR(__xludf.DUMMYFUNCTION("""COMPUTED_VALUE"""),"Fingerprint")</f>
        <v>Fingerprint</v>
      </c>
      <c r="V264" s="43" t="str">
        <f>IFERROR(__xludf.DUMMYFUNCTION("""COMPUTED_VALUE"""),"ISTANBUL ASIA")</f>
        <v>ISTANBUL ASIA</v>
      </c>
      <c r="W264" s="43" t="str">
        <f>IFERROR(__xludf.DUMMYFUNCTION("""COMPUTED_VALUE"""),"2023-01-02T06:15:21Z")</f>
        <v>2023-01-02T06:15:21Z</v>
      </c>
      <c r="X264" s="43"/>
      <c r="Y264" s="43"/>
      <c r="Z264" s="43"/>
    </row>
    <row r="265" hidden="1">
      <c r="A265" s="43" t="str">
        <f>IFERROR(__xludf.DUMMYFUNCTION("""COMPUTED_VALUE"""),"5174165_1287990")</f>
        <v>5174165_1287990</v>
      </c>
      <c r="B265" s="43" t="str">
        <f>IFERROR(__xludf.DUMMYFUNCTION("""COMPUTED_VALUE"""),"Elif Görgen")</f>
        <v>Elif Görgen</v>
      </c>
      <c r="C265" s="43" t="str">
        <f>IFERROR(__xludf.DUMMYFUNCTION("""COMPUTED_VALUE"""),"approved")</f>
        <v>approved</v>
      </c>
      <c r="D265" s="43" t="str">
        <f>IFERROR(__xludf.DUMMYFUNCTION("""COMPUTED_VALUE"""),"No")</f>
        <v>No</v>
      </c>
      <c r="E265" s="43" t="str">
        <f>IFERROR(__xludf.DUMMYFUNCTION("""COMPUTED_VALUE"""),"p_ea92169dcd63f1ba8a64b2d97e968d17c67ba2f9@inbound.aiesec.org")</f>
        <v>p_ea92169dcd63f1ba8a64b2d97e968d17c67ba2f9@inbound.aiesec.org</v>
      </c>
      <c r="F265" s="43">
        <f>IFERROR(__xludf.DUMMYFUNCTION("""COMPUTED_VALUE"""),5.359455234E9)</f>
        <v>5359455234</v>
      </c>
      <c r="G265" s="43" t="str">
        <f>IFERROR(__xludf.DUMMYFUNCTION("""COMPUTED_VALUE"""),"Turkey")</f>
        <v>Turkey</v>
      </c>
      <c r="H265" s="43" t="str">
        <f>IFERROR(__xludf.DUMMYFUNCTION("""COMPUTED_VALUE"""),"KOCAELI")</f>
        <v>KOCAELI</v>
      </c>
      <c r="I265" s="43" t="str">
        <f>IFERROR(__xludf.DUMMYFUNCTION("""COMPUTED_VALUE"""),"India")</f>
        <v>India</v>
      </c>
      <c r="J265" s="43" t="str">
        <f>IFERROR(__xludf.DUMMYFUNCTION("""COMPUTED_VALUE"""),"JAIPUR ")</f>
        <v>JAIPUR </v>
      </c>
      <c r="K265" s="44" t="str">
        <f>IFERROR(__xludf.DUMMYFUNCTION("""COMPUTED_VALUE"""),"https://expa.aiesec.org/opportunities/1287990")</f>
        <v>https://expa.aiesec.org/opportunities/1287990</v>
      </c>
      <c r="L265" s="43" t="str">
        <f>IFERROR(__xludf.DUMMYFUNCTION("""COMPUTED_VALUE"""),"GV")</f>
        <v>GV</v>
      </c>
      <c r="M265" s="43" t="str">
        <f>IFERROR(__xludf.DUMMYFUNCTION("""COMPUTED_VALUE"""),"short")</f>
        <v>short</v>
      </c>
      <c r="N265" s="45">
        <f>IFERROR(__xludf.DUMMYFUNCTION("""COMPUTED_VALUE"""),44939.0)</f>
        <v>44939</v>
      </c>
      <c r="O265" s="45">
        <f>IFERROR(__xludf.DUMMYFUNCTION("""COMPUTED_VALUE"""),45114.0)</f>
        <v>45114</v>
      </c>
      <c r="P265" s="45">
        <f>IFERROR(__xludf.DUMMYFUNCTION("""COMPUTED_VALUE"""),45156.0)</f>
        <v>45156</v>
      </c>
      <c r="Q265" s="45"/>
      <c r="R265" s="45"/>
      <c r="S265" s="43"/>
      <c r="T265" s="43"/>
      <c r="U265" s="43" t="str">
        <f>IFERROR(__xludf.DUMMYFUNCTION("""COMPUTED_VALUE"""),"Skill Up!")</f>
        <v>Skill Up!</v>
      </c>
      <c r="V265" s="43" t="str">
        <f>IFERROR(__xludf.DUMMYFUNCTION("""COMPUTED_VALUE"""),"KOCAELI")</f>
        <v>KOCAELI</v>
      </c>
      <c r="W265" s="43" t="str">
        <f>IFERROR(__xludf.DUMMYFUNCTION("""COMPUTED_VALUE"""),"2023-01-07T20:17:09Z")</f>
        <v>2023-01-07T20:17:09Z</v>
      </c>
      <c r="X265" s="43"/>
      <c r="Y265" s="43"/>
      <c r="Z265" s="43"/>
    </row>
    <row r="266" hidden="1">
      <c r="A266" s="43" t="str">
        <f>IFERROR(__xludf.DUMMYFUNCTION("""COMPUTED_VALUE"""),"2899747_1288330")</f>
        <v>2899747_1288330</v>
      </c>
      <c r="B266" s="43" t="str">
        <f>IFERROR(__xludf.DUMMYFUNCTION("""COMPUTED_VALUE"""),"Gülsu Çağıran")</f>
        <v>Gülsu Çağıran</v>
      </c>
      <c r="C266" s="43" t="str">
        <f>IFERROR(__xludf.DUMMYFUNCTION("""COMPUTED_VALUE"""),"approved")</f>
        <v>approved</v>
      </c>
      <c r="D266" s="43" t="str">
        <f>IFERROR(__xludf.DUMMYFUNCTION("""COMPUTED_VALUE"""),"No")</f>
        <v>No</v>
      </c>
      <c r="E266" s="43" t="str">
        <f>IFERROR(__xludf.DUMMYFUNCTION("""COMPUTED_VALUE"""),"p_59724d172bf5cb5e149f99ba893f924e7540c971@inbound.aiesec.org")</f>
        <v>p_59724d172bf5cb5e149f99ba893f924e7540c971@inbound.aiesec.org</v>
      </c>
      <c r="F266" s="43">
        <f>IFERROR(__xludf.DUMMYFUNCTION("""COMPUTED_VALUE"""),5.073517826E9)</f>
        <v>5073517826</v>
      </c>
      <c r="G266" s="43" t="str">
        <f>IFERROR(__xludf.DUMMYFUNCTION("""COMPUTED_VALUE"""),"Turkey")</f>
        <v>Turkey</v>
      </c>
      <c r="H266" s="43" t="str">
        <f>IFERROR(__xludf.DUMMYFUNCTION("""COMPUTED_VALUE"""),"ISTANBUL ASIA")</f>
        <v>ISTANBUL ASIA</v>
      </c>
      <c r="I266" s="43" t="str">
        <f>IFERROR(__xludf.DUMMYFUNCTION("""COMPUTED_VALUE"""),"Sri Lanka")</f>
        <v>Sri Lanka</v>
      </c>
      <c r="J266" s="43" t="str">
        <f>IFERROR(__xludf.DUMMYFUNCTION("""COMPUTED_VALUE"""),"COLOMBO NORTH")</f>
        <v>COLOMBO NORTH</v>
      </c>
      <c r="K266" s="44" t="str">
        <f>IFERROR(__xludf.DUMMYFUNCTION("""COMPUTED_VALUE"""),"https://expa.aiesec.org/opportunities/1288330")</f>
        <v>https://expa.aiesec.org/opportunities/1288330</v>
      </c>
      <c r="L266" s="43" t="str">
        <f>IFERROR(__xludf.DUMMYFUNCTION("""COMPUTED_VALUE"""),"GV")</f>
        <v>GV</v>
      </c>
      <c r="M266" s="43" t="str">
        <f>IFERROR(__xludf.DUMMYFUNCTION("""COMPUTED_VALUE"""),"short")</f>
        <v>short</v>
      </c>
      <c r="N266" s="45">
        <f>IFERROR(__xludf.DUMMYFUNCTION("""COMPUTED_VALUE"""),44939.0)</f>
        <v>44939</v>
      </c>
      <c r="O266" s="45">
        <f>IFERROR(__xludf.DUMMYFUNCTION("""COMPUTED_VALUE"""),45115.0)</f>
        <v>45115</v>
      </c>
      <c r="P266" s="45">
        <f>IFERROR(__xludf.DUMMYFUNCTION("""COMPUTED_VALUE"""),45157.0)</f>
        <v>45157</v>
      </c>
      <c r="Q266" s="45"/>
      <c r="R266" s="45"/>
      <c r="S266" s="43"/>
      <c r="T266" s="43"/>
      <c r="U266" s="43" t="str">
        <f>IFERROR(__xludf.DUMMYFUNCTION("""COMPUTED_VALUE"""),"Aquatica")</f>
        <v>Aquatica</v>
      </c>
      <c r="V266" s="43" t="str">
        <f>IFERROR(__xludf.DUMMYFUNCTION("""COMPUTED_VALUE"""),"ISTANBUL ASIA")</f>
        <v>ISTANBUL ASIA</v>
      </c>
      <c r="W266" s="43" t="str">
        <f>IFERROR(__xludf.DUMMYFUNCTION("""COMPUTED_VALUE"""),"2018-11-23T22:17:19Z")</f>
        <v>2018-11-23T22:17:19Z</v>
      </c>
      <c r="X266" s="43"/>
      <c r="Y266" s="43"/>
      <c r="Z266" s="43"/>
    </row>
    <row r="267" hidden="1">
      <c r="A267" s="43" t="str">
        <f>IFERROR(__xludf.DUMMYFUNCTION("""COMPUTED_VALUE"""),"5174568_1286442")</f>
        <v>5174568_1286442</v>
      </c>
      <c r="B267" s="43" t="str">
        <f>IFERROR(__xludf.DUMMYFUNCTION("""COMPUTED_VALUE"""),"Mevlüthan Çiftçi")</f>
        <v>Mevlüthan Çiftçi</v>
      </c>
      <c r="C267" s="43" t="str">
        <f>IFERROR(__xludf.DUMMYFUNCTION("""COMPUTED_VALUE"""),"approved")</f>
        <v>approved</v>
      </c>
      <c r="D267" s="43" t="str">
        <f>IFERROR(__xludf.DUMMYFUNCTION("""COMPUTED_VALUE"""),"No")</f>
        <v>No</v>
      </c>
      <c r="E267" s="43" t="str">
        <f>IFERROR(__xludf.DUMMYFUNCTION("""COMPUTED_VALUE"""),"p_16fad21f2876de9c287ec53df56df7bfbfd960cb@inbound.aiesec.org")</f>
        <v>p_16fad21f2876de9c287ec53df56df7bfbfd960cb@inbound.aiesec.org</v>
      </c>
      <c r="F267" s="43">
        <f>IFERROR(__xludf.DUMMYFUNCTION("""COMPUTED_VALUE"""),5.078551745E9)</f>
        <v>5078551745</v>
      </c>
      <c r="G267" s="43" t="str">
        <f>IFERROR(__xludf.DUMMYFUNCTION("""COMPUTED_VALUE"""),"Turkey")</f>
        <v>Turkey</v>
      </c>
      <c r="H267" s="43" t="str">
        <f>IFERROR(__xludf.DUMMYFUNCTION("""COMPUTED_VALUE"""),"ISTANBUL WEST")</f>
        <v>ISTANBUL WEST</v>
      </c>
      <c r="I267" s="43" t="str">
        <f>IFERROR(__xludf.DUMMYFUNCTION("""COMPUTED_VALUE"""),"Czech Republic")</f>
        <v>Czech Republic</v>
      </c>
      <c r="J267" s="43" t="str">
        <f>IFERROR(__xludf.DUMMYFUNCTION("""COMPUTED_VALUE"""),"PRAGUE")</f>
        <v>PRAGUE</v>
      </c>
      <c r="K267" s="44" t="str">
        <f>IFERROR(__xludf.DUMMYFUNCTION("""COMPUTED_VALUE"""),"https://expa.aiesec.org/opportunities/1286442")</f>
        <v>https://expa.aiesec.org/opportunities/1286442</v>
      </c>
      <c r="L267" s="43" t="str">
        <f>IFERROR(__xludf.DUMMYFUNCTION("""COMPUTED_VALUE"""),"GV")</f>
        <v>GV</v>
      </c>
      <c r="M267" s="43" t="str">
        <f>IFERROR(__xludf.DUMMYFUNCTION("""COMPUTED_VALUE"""),"short")</f>
        <v>short</v>
      </c>
      <c r="N267" s="45">
        <f>IFERROR(__xludf.DUMMYFUNCTION("""COMPUTED_VALUE"""),44940.0)</f>
        <v>44940</v>
      </c>
      <c r="O267" s="45">
        <f>IFERROR(__xludf.DUMMYFUNCTION("""COMPUTED_VALUE"""),45053.0)</f>
        <v>45053</v>
      </c>
      <c r="P267" s="45">
        <f>IFERROR(__xludf.DUMMYFUNCTION("""COMPUTED_VALUE"""),45095.0)</f>
        <v>45095</v>
      </c>
      <c r="Q267" s="45"/>
      <c r="R267" s="45"/>
      <c r="S267" s="43"/>
      <c r="T267" s="43"/>
      <c r="U267" s="43" t="str">
        <f>IFERROR(__xludf.DUMMYFUNCTION("""COMPUTED_VALUE"""),"Youth 4 Impact")</f>
        <v>Youth 4 Impact</v>
      </c>
      <c r="V267" s="43" t="str">
        <f>IFERROR(__xludf.DUMMYFUNCTION("""COMPUTED_VALUE"""),"ISTANBUL - BAKIRKOY")</f>
        <v>ISTANBUL - BAKIRKOY</v>
      </c>
      <c r="W267" s="43" t="str">
        <f>IFERROR(__xludf.DUMMYFUNCTION("""COMPUTED_VALUE"""),"2023-01-09T08:28:53Z")</f>
        <v>2023-01-09T08:28:53Z</v>
      </c>
      <c r="X267" s="43"/>
      <c r="Y267" s="43"/>
      <c r="Z267" s="43"/>
    </row>
    <row r="268" hidden="1">
      <c r="A268" s="43" t="str">
        <f>IFERROR(__xludf.DUMMYFUNCTION("""COMPUTED_VALUE"""),"5175418_1290277")</f>
        <v>5175418_1290277</v>
      </c>
      <c r="B268" s="43" t="str">
        <f>IFERROR(__xludf.DUMMYFUNCTION("""COMPUTED_VALUE"""),"Talha Ömer Kaptı")</f>
        <v>Talha Ömer Kaptı</v>
      </c>
      <c r="C268" s="43" t="str">
        <f>IFERROR(__xludf.DUMMYFUNCTION("""COMPUTED_VALUE"""),"completed")</f>
        <v>completed</v>
      </c>
      <c r="D268" s="43" t="str">
        <f>IFERROR(__xludf.DUMMYFUNCTION("""COMPUTED_VALUE"""),"No")</f>
        <v>No</v>
      </c>
      <c r="E268" s="43" t="str">
        <f>IFERROR(__xludf.DUMMYFUNCTION("""COMPUTED_VALUE"""),"p_0b6f7c5b2486f321647d5977386046552fc4b2f9@inbound.aiesec.org")</f>
        <v>p_0b6f7c5b2486f321647d5977386046552fc4b2f9@inbound.aiesec.org</v>
      </c>
      <c r="F268" s="43">
        <f>IFERROR(__xludf.DUMMYFUNCTION("""COMPUTED_VALUE"""),5.465071811E9)</f>
        <v>5465071811</v>
      </c>
      <c r="G268" s="43" t="str">
        <f>IFERROR(__xludf.DUMMYFUNCTION("""COMPUTED_VALUE"""),"Turkey")</f>
        <v>Turkey</v>
      </c>
      <c r="H268" s="43" t="str">
        <f>IFERROR(__xludf.DUMMYFUNCTION("""COMPUTED_VALUE"""),"ISTANBUL ASIA")</f>
        <v>ISTANBUL ASIA</v>
      </c>
      <c r="I268" s="43" t="str">
        <f>IFERROR(__xludf.DUMMYFUNCTION("""COMPUTED_VALUE"""),"Egypt")</f>
        <v>Egypt</v>
      </c>
      <c r="J268" s="43" t="str">
        <f>IFERROR(__xludf.DUMMYFUNCTION("""COMPUTED_VALUE"""),"Mansoura")</f>
        <v>Mansoura</v>
      </c>
      <c r="K268" s="44" t="str">
        <f>IFERROR(__xludf.DUMMYFUNCTION("""COMPUTED_VALUE"""),"https://expa.aiesec.org/opportunities/1290277")</f>
        <v>https://expa.aiesec.org/opportunities/1290277</v>
      </c>
      <c r="L268" s="43" t="str">
        <f>IFERROR(__xludf.DUMMYFUNCTION("""COMPUTED_VALUE"""),"GV")</f>
        <v>GV</v>
      </c>
      <c r="M268" s="43" t="str">
        <f>IFERROR(__xludf.DUMMYFUNCTION("""COMPUTED_VALUE"""),"short")</f>
        <v>short</v>
      </c>
      <c r="N268" s="45">
        <f>IFERROR(__xludf.DUMMYFUNCTION("""COMPUTED_VALUE"""),44942.0)</f>
        <v>44942</v>
      </c>
      <c r="O268" s="45">
        <f>IFERROR(__xludf.DUMMYFUNCTION("""COMPUTED_VALUE"""),45108.0)</f>
        <v>45108</v>
      </c>
      <c r="P268" s="45">
        <f>IFERROR(__xludf.DUMMYFUNCTION("""COMPUTED_VALUE"""),45150.0)</f>
        <v>45150</v>
      </c>
      <c r="Q268" s="45">
        <f>IFERROR(__xludf.DUMMYFUNCTION("""COMPUTED_VALUE"""),45118.0)</f>
        <v>45118</v>
      </c>
      <c r="R268" s="45">
        <f>IFERROR(__xludf.DUMMYFUNCTION("""COMPUTED_VALUE"""),45160.0)</f>
        <v>45160</v>
      </c>
      <c r="S268" s="43"/>
      <c r="T268" s="43"/>
      <c r="U268" s="43" t="str">
        <f>IFERROR(__xludf.DUMMYFUNCTION("""COMPUTED_VALUE"""),"On The Map")</f>
        <v>On The Map</v>
      </c>
      <c r="V268" s="43" t="str">
        <f>IFERROR(__xludf.DUMMYFUNCTION("""COMPUTED_VALUE"""),"ISTANBUL ASIA")</f>
        <v>ISTANBUL ASIA</v>
      </c>
      <c r="W268" s="43" t="str">
        <f>IFERROR(__xludf.DUMMYFUNCTION("""COMPUTED_VALUE"""),"2023-01-11T11:11:04Z")</f>
        <v>2023-01-11T11:11:04Z</v>
      </c>
      <c r="X268" s="43"/>
      <c r="Y268" s="43"/>
      <c r="Z268" s="43"/>
    </row>
    <row r="269" hidden="1">
      <c r="A269" s="43" t="str">
        <f>IFERROR(__xludf.DUMMYFUNCTION("""COMPUTED_VALUE"""),"5174317_1291271")</f>
        <v>5174317_1291271</v>
      </c>
      <c r="B269" s="43" t="str">
        <f>IFERROR(__xludf.DUMMYFUNCTION("""COMPUTED_VALUE"""),"Sude Dicle Elcan")</f>
        <v>Sude Dicle Elcan</v>
      </c>
      <c r="C269" s="43" t="str">
        <f>IFERROR(__xludf.DUMMYFUNCTION("""COMPUTED_VALUE"""),"completed")</f>
        <v>completed</v>
      </c>
      <c r="D269" s="43" t="str">
        <f>IFERROR(__xludf.DUMMYFUNCTION("""COMPUTED_VALUE"""),"No")</f>
        <v>No</v>
      </c>
      <c r="E269" s="43" t="str">
        <f>IFERROR(__xludf.DUMMYFUNCTION("""COMPUTED_VALUE"""),"p_a0cf8f089fd8ca46790a266e2e8f4e58537f9691@inbound.aiesec.org")</f>
        <v>p_a0cf8f089fd8ca46790a266e2e8f4e58537f9691@inbound.aiesec.org</v>
      </c>
      <c r="F269" s="43">
        <f>IFERROR(__xludf.DUMMYFUNCTION("""COMPUTED_VALUE"""),5.301376195E9)</f>
        <v>5301376195</v>
      </c>
      <c r="G269" s="43" t="str">
        <f>IFERROR(__xludf.DUMMYFUNCTION("""COMPUTED_VALUE"""),"Turkey")</f>
        <v>Turkey</v>
      </c>
      <c r="H269" s="43" t="str">
        <f>IFERROR(__xludf.DUMMYFUNCTION("""COMPUTED_VALUE"""),"ISTANBUL")</f>
        <v>ISTANBUL</v>
      </c>
      <c r="I269" s="43" t="str">
        <f>IFERROR(__xludf.DUMMYFUNCTION("""COMPUTED_VALUE"""),"Brazil")</f>
        <v>Brazil</v>
      </c>
      <c r="J269" s="43" t="str">
        <f>IFERROR(__xludf.DUMMYFUNCTION("""COMPUTED_VALUE"""),"FLORIANÓPOLIS")</f>
        <v>FLORIANÓPOLIS</v>
      </c>
      <c r="K269" s="44" t="str">
        <f>IFERROR(__xludf.DUMMYFUNCTION("""COMPUTED_VALUE"""),"https://expa.aiesec.org/opportunities/1291271")</f>
        <v>https://expa.aiesec.org/opportunities/1291271</v>
      </c>
      <c r="L269" s="43" t="str">
        <f>IFERROR(__xludf.DUMMYFUNCTION("""COMPUTED_VALUE"""),"GV")</f>
        <v>GV</v>
      </c>
      <c r="M269" s="43" t="str">
        <f>IFERROR(__xludf.DUMMYFUNCTION("""COMPUTED_VALUE"""),"short")</f>
        <v>short</v>
      </c>
      <c r="N269" s="45">
        <f>IFERROR(__xludf.DUMMYFUNCTION("""COMPUTED_VALUE"""),44943.0)</f>
        <v>44943</v>
      </c>
      <c r="O269" s="45">
        <f>IFERROR(__xludf.DUMMYFUNCTION("""COMPUTED_VALUE"""),45124.0)</f>
        <v>45124</v>
      </c>
      <c r="P269" s="45">
        <f>IFERROR(__xludf.DUMMYFUNCTION("""COMPUTED_VALUE"""),45166.0)</f>
        <v>45166</v>
      </c>
      <c r="Q269" s="45">
        <f>IFERROR(__xludf.DUMMYFUNCTION("""COMPUTED_VALUE"""),45126.0)</f>
        <v>45126</v>
      </c>
      <c r="R269" s="45">
        <f>IFERROR(__xludf.DUMMYFUNCTION("""COMPUTED_VALUE"""),45146.0)</f>
        <v>45146</v>
      </c>
      <c r="S269" s="43"/>
      <c r="T269" s="43"/>
      <c r="U269" s="43" t="str">
        <f>IFERROR(__xludf.DUMMYFUNCTION("""COMPUTED_VALUE"""),"Eco City")</f>
        <v>Eco City</v>
      </c>
      <c r="V269" s="43" t="str">
        <f>IFERROR(__xludf.DUMMYFUNCTION("""COMPUTED_VALUE"""),"ISTANBUL - BEYOGLU")</f>
        <v>ISTANBUL - BEYOGLU</v>
      </c>
      <c r="W269" s="43" t="str">
        <f>IFERROR(__xludf.DUMMYFUNCTION("""COMPUTED_VALUE"""),"2023-01-08T13:55:28Z")</f>
        <v>2023-01-08T13:55:28Z</v>
      </c>
      <c r="X269" s="43"/>
      <c r="Y269" s="43"/>
      <c r="Z269" s="43"/>
    </row>
    <row r="270" hidden="1">
      <c r="A270" s="43" t="str">
        <f>IFERROR(__xludf.DUMMYFUNCTION("""COMPUTED_VALUE"""),"5059964_1281231")</f>
        <v>5059964_1281231</v>
      </c>
      <c r="B270" s="43" t="str">
        <f>IFERROR(__xludf.DUMMYFUNCTION("""COMPUTED_VALUE"""),"Levent Sarıoğlu")</f>
        <v>Levent Sarıoğlu</v>
      </c>
      <c r="C270" s="43" t="str">
        <f>IFERROR(__xludf.DUMMYFUNCTION("""COMPUTED_VALUE"""),"completed")</f>
        <v>completed</v>
      </c>
      <c r="D270" s="43" t="str">
        <f>IFERROR(__xludf.DUMMYFUNCTION("""COMPUTED_VALUE"""),"No")</f>
        <v>No</v>
      </c>
      <c r="E270" s="43" t="str">
        <f>IFERROR(__xludf.DUMMYFUNCTION("""COMPUTED_VALUE"""),"p_95b4a51f5c8248311629e88a70c9332b5804257e@inbound.aiesec.org")</f>
        <v>p_95b4a51f5c8248311629e88a70c9332b5804257e@inbound.aiesec.org</v>
      </c>
      <c r="F270" s="43"/>
      <c r="G270" s="43" t="str">
        <f>IFERROR(__xludf.DUMMYFUNCTION("""COMPUTED_VALUE"""),"Turkey")</f>
        <v>Turkey</v>
      </c>
      <c r="H270" s="43" t="str">
        <f>IFERROR(__xludf.DUMMYFUNCTION("""COMPUTED_VALUE"""),"ISTANBUL")</f>
        <v>ISTANBUL</v>
      </c>
      <c r="I270" s="43" t="str">
        <f>IFERROR(__xludf.DUMMYFUNCTION("""COMPUTED_VALUE"""),"India")</f>
        <v>India</v>
      </c>
      <c r="J270" s="43" t="str">
        <f>IFERROR(__xludf.DUMMYFUNCTION("""COMPUTED_VALUE"""),"Dehradun")</f>
        <v>Dehradun</v>
      </c>
      <c r="K270" s="44" t="str">
        <f>IFERROR(__xludf.DUMMYFUNCTION("""COMPUTED_VALUE"""),"https://expa.aiesec.org/opportunities/1281231")</f>
        <v>https://expa.aiesec.org/opportunities/1281231</v>
      </c>
      <c r="L270" s="43" t="str">
        <f>IFERROR(__xludf.DUMMYFUNCTION("""COMPUTED_VALUE"""),"GV")</f>
        <v>GV</v>
      </c>
      <c r="M270" s="43" t="str">
        <f>IFERROR(__xludf.DUMMYFUNCTION("""COMPUTED_VALUE"""),"short")</f>
        <v>short</v>
      </c>
      <c r="N270" s="45">
        <f>IFERROR(__xludf.DUMMYFUNCTION("""COMPUTED_VALUE"""),44943.0)</f>
        <v>44943</v>
      </c>
      <c r="O270" s="45">
        <f>IFERROR(__xludf.DUMMYFUNCTION("""COMPUTED_VALUE"""),45122.0)</f>
        <v>45122</v>
      </c>
      <c r="P270" s="45">
        <f>IFERROR(__xludf.DUMMYFUNCTION("""COMPUTED_VALUE"""),45164.0)</f>
        <v>45164</v>
      </c>
      <c r="Q270" s="45">
        <f>IFERROR(__xludf.DUMMYFUNCTION("""COMPUTED_VALUE"""),45127.0)</f>
        <v>45127</v>
      </c>
      <c r="R270" s="45">
        <f>IFERROR(__xludf.DUMMYFUNCTION("""COMPUTED_VALUE"""),45167.0)</f>
        <v>45167</v>
      </c>
      <c r="S270" s="43"/>
      <c r="T270" s="43"/>
      <c r="U270" s="43" t="str">
        <f>IFERROR(__xludf.DUMMYFUNCTION("""COMPUTED_VALUE"""),"Skill Up!")</f>
        <v>Skill Up!</v>
      </c>
      <c r="V270" s="43" t="str">
        <f>IFERROR(__xludf.DUMMYFUNCTION("""COMPUTED_VALUE"""),"-")</f>
        <v>-</v>
      </c>
      <c r="W270" s="43" t="str">
        <f>IFERROR(__xludf.DUMMYFUNCTION("""COMPUTED_VALUE"""),"2022-05-19T09:08:04Z")</f>
        <v>2022-05-19T09:08:04Z</v>
      </c>
      <c r="X270" s="43"/>
      <c r="Y270" s="43"/>
      <c r="Z270" s="43"/>
    </row>
    <row r="271" hidden="1">
      <c r="A271" s="43" t="str">
        <f>IFERROR(__xludf.DUMMYFUNCTION("""COMPUTED_VALUE"""),"5159442_1290260")</f>
        <v>5159442_1290260</v>
      </c>
      <c r="B271" s="43" t="str">
        <f>IFERROR(__xludf.DUMMYFUNCTION("""COMPUTED_VALUE"""),"Rabia Özay")</f>
        <v>Rabia Özay</v>
      </c>
      <c r="C271" s="43" t="str">
        <f>IFERROR(__xludf.DUMMYFUNCTION("""COMPUTED_VALUE"""),"approval_broken")</f>
        <v>approval_broken</v>
      </c>
      <c r="D271" s="43" t="str">
        <f>IFERROR(__xludf.DUMMYFUNCTION("""COMPUTED_VALUE"""),"No")</f>
        <v>No</v>
      </c>
      <c r="E271" s="43" t="str">
        <f>IFERROR(__xludf.DUMMYFUNCTION("""COMPUTED_VALUE"""),"p_5bf505e94bf690af85a43ed052e3c17021a4ae55@inbound.aiesec.org")</f>
        <v>p_5bf505e94bf690af85a43ed052e3c17021a4ae55@inbound.aiesec.org</v>
      </c>
      <c r="F271" s="43">
        <f>IFERROR(__xludf.DUMMYFUNCTION("""COMPUTED_VALUE"""),5.079070083E9)</f>
        <v>5079070083</v>
      </c>
      <c r="G271" s="43" t="str">
        <f>IFERROR(__xludf.DUMMYFUNCTION("""COMPUTED_VALUE"""),"Turkey")</f>
        <v>Turkey</v>
      </c>
      <c r="H271" s="43" t="str">
        <f>IFERROR(__xludf.DUMMYFUNCTION("""COMPUTED_VALUE"""),"ANKARA")</f>
        <v>ANKARA</v>
      </c>
      <c r="I271" s="43" t="str">
        <f>IFERROR(__xludf.DUMMYFUNCTION("""COMPUTED_VALUE"""),"Egypt")</f>
        <v>Egypt</v>
      </c>
      <c r="J271" s="43" t="str">
        <f>IFERROR(__xludf.DUMMYFUNCTION("""COMPUTED_VALUE"""),"Menofia")</f>
        <v>Menofia</v>
      </c>
      <c r="K271" s="44" t="str">
        <f>IFERROR(__xludf.DUMMYFUNCTION("""COMPUTED_VALUE"""),"https://expa.aiesec.org/opportunities/1290260")</f>
        <v>https://expa.aiesec.org/opportunities/1290260</v>
      </c>
      <c r="L271" s="43" t="str">
        <f>IFERROR(__xludf.DUMMYFUNCTION("""COMPUTED_VALUE"""),"GV")</f>
        <v>GV</v>
      </c>
      <c r="M271" s="43" t="str">
        <f>IFERROR(__xludf.DUMMYFUNCTION("""COMPUTED_VALUE"""),"short")</f>
        <v>short</v>
      </c>
      <c r="N271" s="45">
        <f>IFERROR(__xludf.DUMMYFUNCTION("""COMPUTED_VALUE"""),45175.0)</f>
        <v>45175</v>
      </c>
      <c r="O271" s="45">
        <f>IFERROR(__xludf.DUMMYFUNCTION("""COMPUTED_VALUE"""),45084.0)</f>
        <v>45084</v>
      </c>
      <c r="P271" s="45">
        <f>IFERROR(__xludf.DUMMYFUNCTION("""COMPUTED_VALUE"""),45126.0)</f>
        <v>45126</v>
      </c>
      <c r="Q271" s="45"/>
      <c r="R271" s="45"/>
      <c r="S271" s="43"/>
      <c r="T271" s="43"/>
      <c r="U271" s="43" t="str">
        <f>IFERROR(__xludf.DUMMYFUNCTION("""COMPUTED_VALUE"""),"Heartbeat")</f>
        <v>Heartbeat</v>
      </c>
      <c r="V271" s="43" t="str">
        <f>IFERROR(__xludf.DUMMYFUNCTION("""COMPUTED_VALUE"""),"ANKARA")</f>
        <v>ANKARA</v>
      </c>
      <c r="W271" s="43" t="str">
        <f>IFERROR(__xludf.DUMMYFUNCTION("""COMPUTED_VALUE"""),"2022-11-27T12:42:59Z")</f>
        <v>2022-11-27T12:42:59Z</v>
      </c>
      <c r="X271" s="43"/>
      <c r="Y271" s="43"/>
      <c r="Z271" s="43"/>
    </row>
    <row r="272" hidden="1">
      <c r="A272" s="43" t="str">
        <f>IFERROR(__xludf.DUMMYFUNCTION("""COMPUTED_VALUE"""),"5175100_1288330")</f>
        <v>5175100_1288330</v>
      </c>
      <c r="B272" s="43" t="str">
        <f>IFERROR(__xludf.DUMMYFUNCTION("""COMPUTED_VALUE"""),"Selen Akeller")</f>
        <v>Selen Akeller</v>
      </c>
      <c r="C272" s="43" t="str">
        <f>IFERROR(__xludf.DUMMYFUNCTION("""COMPUTED_VALUE"""),"completed")</f>
        <v>completed</v>
      </c>
      <c r="D272" s="43" t="str">
        <f>IFERROR(__xludf.DUMMYFUNCTION("""COMPUTED_VALUE"""),"No")</f>
        <v>No</v>
      </c>
      <c r="E272" s="43" t="str">
        <f>IFERROR(__xludf.DUMMYFUNCTION("""COMPUTED_VALUE"""),"p_8ce3d342206406ffd206211bf1efe56da85fdf89@inbound.aiesec.org")</f>
        <v>p_8ce3d342206406ffd206211bf1efe56da85fdf89@inbound.aiesec.org</v>
      </c>
      <c r="F272" s="43">
        <f>IFERROR(__xludf.DUMMYFUNCTION("""COMPUTED_VALUE"""),5.531815715E9)</f>
        <v>5531815715</v>
      </c>
      <c r="G272" s="43" t="str">
        <f>IFERROR(__xludf.DUMMYFUNCTION("""COMPUTED_VALUE"""),"Turkey")</f>
        <v>Turkey</v>
      </c>
      <c r="H272" s="43" t="str">
        <f>IFERROR(__xludf.DUMMYFUNCTION("""COMPUTED_VALUE"""),"ISTANBUL ASIA")</f>
        <v>ISTANBUL ASIA</v>
      </c>
      <c r="I272" s="43" t="str">
        <f>IFERROR(__xludf.DUMMYFUNCTION("""COMPUTED_VALUE"""),"Sri Lanka")</f>
        <v>Sri Lanka</v>
      </c>
      <c r="J272" s="43" t="str">
        <f>IFERROR(__xludf.DUMMYFUNCTION("""COMPUTED_VALUE"""),"COLOMBO NORTH")</f>
        <v>COLOMBO NORTH</v>
      </c>
      <c r="K272" s="44" t="str">
        <f>IFERROR(__xludf.DUMMYFUNCTION("""COMPUTED_VALUE"""),"https://expa.aiesec.org/opportunities/1288330")</f>
        <v>https://expa.aiesec.org/opportunities/1288330</v>
      </c>
      <c r="L272" s="43" t="str">
        <f>IFERROR(__xludf.DUMMYFUNCTION("""COMPUTED_VALUE"""),"GV")</f>
        <v>GV</v>
      </c>
      <c r="M272" s="43" t="str">
        <f>IFERROR(__xludf.DUMMYFUNCTION("""COMPUTED_VALUE"""),"short")</f>
        <v>short</v>
      </c>
      <c r="N272" s="45">
        <f>IFERROR(__xludf.DUMMYFUNCTION("""COMPUTED_VALUE"""),44944.0)</f>
        <v>44944</v>
      </c>
      <c r="O272" s="45">
        <f>IFERROR(__xludf.DUMMYFUNCTION("""COMPUTED_VALUE"""),45115.0)</f>
        <v>45115</v>
      </c>
      <c r="P272" s="45">
        <f>IFERROR(__xludf.DUMMYFUNCTION("""COMPUTED_VALUE"""),45157.0)</f>
        <v>45157</v>
      </c>
      <c r="Q272" s="45">
        <f>IFERROR(__xludf.DUMMYFUNCTION("""COMPUTED_VALUE"""),45115.0)</f>
        <v>45115</v>
      </c>
      <c r="R272" s="45">
        <f>IFERROR(__xludf.DUMMYFUNCTION("""COMPUTED_VALUE"""),45157.0)</f>
        <v>45157</v>
      </c>
      <c r="S272" s="43"/>
      <c r="T272" s="43"/>
      <c r="U272" s="43" t="str">
        <f>IFERROR(__xludf.DUMMYFUNCTION("""COMPUTED_VALUE"""),"Aquatica")</f>
        <v>Aquatica</v>
      </c>
      <c r="V272" s="43" t="str">
        <f>IFERROR(__xludf.DUMMYFUNCTION("""COMPUTED_VALUE"""),"ISTANBUL ASIA")</f>
        <v>ISTANBUL ASIA</v>
      </c>
      <c r="W272" s="43" t="str">
        <f>IFERROR(__xludf.DUMMYFUNCTION("""COMPUTED_VALUE"""),"2023-01-10T15:24:46Z")</f>
        <v>2023-01-10T15:24:46Z</v>
      </c>
      <c r="X272" s="43"/>
      <c r="Y272" s="43"/>
      <c r="Z272" s="43"/>
    </row>
    <row r="273" hidden="1">
      <c r="A273" s="43" t="str">
        <f>IFERROR(__xludf.DUMMYFUNCTION("""COMPUTED_VALUE"""),"5173353_1291045")</f>
        <v>5173353_1291045</v>
      </c>
      <c r="B273" s="43" t="str">
        <f>IFERROR(__xludf.DUMMYFUNCTION("""COMPUTED_VALUE"""),"Ali eren Kilisli")</f>
        <v>Ali eren Kilisli</v>
      </c>
      <c r="C273" s="43" t="str">
        <f>IFERROR(__xludf.DUMMYFUNCTION("""COMPUTED_VALUE"""),"completed")</f>
        <v>completed</v>
      </c>
      <c r="D273" s="43" t="str">
        <f>IFERROR(__xludf.DUMMYFUNCTION("""COMPUTED_VALUE"""),"No")</f>
        <v>No</v>
      </c>
      <c r="E273" s="43" t="str">
        <f>IFERROR(__xludf.DUMMYFUNCTION("""COMPUTED_VALUE"""),"p_cb10dd44508f13a916bfd76e5898f8969ee9de78@inbound.aiesec.org")</f>
        <v>p_cb10dd44508f13a916bfd76e5898f8969ee9de78@inbound.aiesec.org</v>
      </c>
      <c r="F273" s="43">
        <f>IFERROR(__xludf.DUMMYFUNCTION("""COMPUTED_VALUE"""),5.368787494E9)</f>
        <v>5368787494</v>
      </c>
      <c r="G273" s="43" t="str">
        <f>IFERROR(__xludf.DUMMYFUNCTION("""COMPUTED_VALUE"""),"Turkey")</f>
        <v>Turkey</v>
      </c>
      <c r="H273" s="43" t="str">
        <f>IFERROR(__xludf.DUMMYFUNCTION("""COMPUTED_VALUE"""),"İZMİR")</f>
        <v>İZMİR</v>
      </c>
      <c r="I273" s="43" t="str">
        <f>IFERROR(__xludf.DUMMYFUNCTION("""COMPUTED_VALUE"""),"Serbia")</f>
        <v>Serbia</v>
      </c>
      <c r="J273" s="43" t="str">
        <f>IFERROR(__xludf.DUMMYFUNCTION("""COMPUTED_VALUE"""),"BELGRADE FON")</f>
        <v>BELGRADE FON</v>
      </c>
      <c r="K273" s="44" t="str">
        <f>IFERROR(__xludf.DUMMYFUNCTION("""COMPUTED_VALUE"""),"https://expa.aiesec.org/opportunities/1291045")</f>
        <v>https://expa.aiesec.org/opportunities/1291045</v>
      </c>
      <c r="L273" s="43" t="str">
        <f>IFERROR(__xludf.DUMMYFUNCTION("""COMPUTED_VALUE"""),"GV")</f>
        <v>GV</v>
      </c>
      <c r="M273" s="43" t="str">
        <f>IFERROR(__xludf.DUMMYFUNCTION("""COMPUTED_VALUE"""),"short")</f>
        <v>short</v>
      </c>
      <c r="N273" s="45">
        <f>IFERROR(__xludf.DUMMYFUNCTION("""COMPUTED_VALUE"""),44946.0)</f>
        <v>44946</v>
      </c>
      <c r="O273" s="45">
        <f>IFERROR(__xludf.DUMMYFUNCTION("""COMPUTED_VALUE"""),44942.0)</f>
        <v>44942</v>
      </c>
      <c r="P273" s="45">
        <f>IFERROR(__xludf.DUMMYFUNCTION("""COMPUTED_VALUE"""),44984.0)</f>
        <v>44984</v>
      </c>
      <c r="Q273" s="45">
        <f>IFERROR(__xludf.DUMMYFUNCTION("""COMPUTED_VALUE"""),44948.0)</f>
        <v>44948</v>
      </c>
      <c r="R273" s="45">
        <f>IFERROR(__xludf.DUMMYFUNCTION("""COMPUTED_VALUE"""),44989.0)</f>
        <v>44989</v>
      </c>
      <c r="S273" s="43"/>
      <c r="T273" s="43"/>
      <c r="U273" s="43" t="str">
        <f>IFERROR(__xludf.DUMMYFUNCTION("""COMPUTED_VALUE"""),"Skill Up!")</f>
        <v>Skill Up!</v>
      </c>
      <c r="V273" s="43" t="str">
        <f>IFERROR(__xludf.DUMMYFUNCTION("""COMPUTED_VALUE"""),"AYDIN")</f>
        <v>AYDIN</v>
      </c>
      <c r="W273" s="43" t="str">
        <f>IFERROR(__xludf.DUMMYFUNCTION("""COMPUTED_VALUE"""),"2023-01-05T14:07:28Z")</f>
        <v>2023-01-05T14:07:28Z</v>
      </c>
      <c r="X273" s="43"/>
      <c r="Y273" s="43"/>
      <c r="Z273" s="43"/>
    </row>
    <row r="274" hidden="1">
      <c r="A274" s="43" t="str">
        <f>IFERROR(__xludf.DUMMYFUNCTION("""COMPUTED_VALUE"""),"4696003_1289076")</f>
        <v>4696003_1289076</v>
      </c>
      <c r="B274" s="43" t="str">
        <f>IFERROR(__xludf.DUMMYFUNCTION("""COMPUTED_VALUE"""),"Niyazi Topbaş")</f>
        <v>Niyazi Topbaş</v>
      </c>
      <c r="C274" s="43" t="str">
        <f>IFERROR(__xludf.DUMMYFUNCTION("""COMPUTED_VALUE"""),"completed")</f>
        <v>completed</v>
      </c>
      <c r="D274" s="43" t="str">
        <f>IFERROR(__xludf.DUMMYFUNCTION("""COMPUTED_VALUE"""),"No")</f>
        <v>No</v>
      </c>
      <c r="E274" s="43" t="str">
        <f>IFERROR(__xludf.DUMMYFUNCTION("""COMPUTED_VALUE"""),"p_c4499ef04ce707644f3604a02ddedd07fb927c79@inbound.aiesec.org")</f>
        <v>p_c4499ef04ce707644f3604a02ddedd07fb927c79@inbound.aiesec.org</v>
      </c>
      <c r="F274" s="43">
        <f>IFERROR(__xludf.DUMMYFUNCTION("""COMPUTED_VALUE"""),5.396481198E9)</f>
        <v>5396481198</v>
      </c>
      <c r="G274" s="43" t="str">
        <f>IFERROR(__xludf.DUMMYFUNCTION("""COMPUTED_VALUE"""),"Turkey")</f>
        <v>Turkey</v>
      </c>
      <c r="H274" s="43" t="str">
        <f>IFERROR(__xludf.DUMMYFUNCTION("""COMPUTED_VALUE"""),"ISTANBUL")</f>
        <v>ISTANBUL</v>
      </c>
      <c r="I274" s="43" t="str">
        <f>IFERROR(__xludf.DUMMYFUNCTION("""COMPUTED_VALUE"""),"Czech Republic")</f>
        <v>Czech Republic</v>
      </c>
      <c r="J274" s="43" t="str">
        <f>IFERROR(__xludf.DUMMYFUNCTION("""COMPUTED_VALUE"""),"ČZU Praha")</f>
        <v>ČZU Praha</v>
      </c>
      <c r="K274" s="44" t="str">
        <f>IFERROR(__xludf.DUMMYFUNCTION("""COMPUTED_VALUE"""),"https://expa.aiesec.org/opportunities/1289076")</f>
        <v>https://expa.aiesec.org/opportunities/1289076</v>
      </c>
      <c r="L274" s="43" t="str">
        <f>IFERROR(__xludf.DUMMYFUNCTION("""COMPUTED_VALUE"""),"GV")</f>
        <v>GV</v>
      </c>
      <c r="M274" s="43" t="str">
        <f>IFERROR(__xludf.DUMMYFUNCTION("""COMPUTED_VALUE"""),"short")</f>
        <v>short</v>
      </c>
      <c r="N274" s="45">
        <f>IFERROR(__xludf.DUMMYFUNCTION("""COMPUTED_VALUE"""),44947.0)</f>
        <v>44947</v>
      </c>
      <c r="O274" s="45">
        <f>IFERROR(__xludf.DUMMYFUNCTION("""COMPUTED_VALUE"""),44938.0)</f>
        <v>44938</v>
      </c>
      <c r="P274" s="45">
        <f>IFERROR(__xludf.DUMMYFUNCTION("""COMPUTED_VALUE"""),44980.0)</f>
        <v>44980</v>
      </c>
      <c r="Q274" s="45">
        <f>IFERROR(__xludf.DUMMYFUNCTION("""COMPUTED_VALUE"""),44948.0)</f>
        <v>44948</v>
      </c>
      <c r="R274" s="45">
        <f>IFERROR(__xludf.DUMMYFUNCTION("""COMPUTED_VALUE"""),44990.0)</f>
        <v>44990</v>
      </c>
      <c r="S274" s="43"/>
      <c r="T274" s="43"/>
      <c r="U274" s="43" t="str">
        <f>IFERROR(__xludf.DUMMYFUNCTION("""COMPUTED_VALUE"""),"Youth 4 Impact")</f>
        <v>Youth 4 Impact</v>
      </c>
      <c r="V274" s="43" t="str">
        <f>IFERROR(__xludf.DUMMYFUNCTION("""COMPUTED_VALUE"""),"ISTANBUL - BEYOGLU")</f>
        <v>ISTANBUL - BEYOGLU</v>
      </c>
      <c r="W274" s="43" t="str">
        <f>IFERROR(__xludf.DUMMYFUNCTION("""COMPUTED_VALUE"""),"2021-07-23T23:58:50Z")</f>
        <v>2021-07-23T23:58:50Z</v>
      </c>
      <c r="X274" s="43"/>
      <c r="Y274" s="43"/>
      <c r="Z274" s="43"/>
    </row>
    <row r="275" hidden="1">
      <c r="A275" s="43" t="str">
        <f>IFERROR(__xludf.DUMMYFUNCTION("""COMPUTED_VALUE"""),"5177246_1289554")</f>
        <v>5177246_1289554</v>
      </c>
      <c r="B275" s="43" t="str">
        <f>IFERROR(__xludf.DUMMYFUNCTION("""COMPUTED_VALUE"""),"furkan akman")</f>
        <v>furkan akman</v>
      </c>
      <c r="C275" s="43" t="str">
        <f>IFERROR(__xludf.DUMMYFUNCTION("""COMPUTED_VALUE"""),"approved")</f>
        <v>approved</v>
      </c>
      <c r="D275" s="43" t="str">
        <f>IFERROR(__xludf.DUMMYFUNCTION("""COMPUTED_VALUE"""),"No")</f>
        <v>No</v>
      </c>
      <c r="E275" s="43" t="str">
        <f>IFERROR(__xludf.DUMMYFUNCTION("""COMPUTED_VALUE"""),"p_30d3716d8a4d39e24f3847dcedf78e943f05958e@inbound.aiesec.org")</f>
        <v>p_30d3716d8a4d39e24f3847dcedf78e943f05958e@inbound.aiesec.org</v>
      </c>
      <c r="F275" s="43"/>
      <c r="G275" s="43" t="str">
        <f>IFERROR(__xludf.DUMMYFUNCTION("""COMPUTED_VALUE"""),"Turkey")</f>
        <v>Turkey</v>
      </c>
      <c r="H275" s="43" t="str">
        <f>IFERROR(__xludf.DUMMYFUNCTION("""COMPUTED_VALUE"""),"ANTALYA")</f>
        <v>ANTALYA</v>
      </c>
      <c r="I275" s="43" t="str">
        <f>IFERROR(__xludf.DUMMYFUNCTION("""COMPUTED_VALUE"""),"Egypt")</f>
        <v>Egypt</v>
      </c>
      <c r="J275" s="43" t="str">
        <f>IFERROR(__xludf.DUMMYFUNCTION("""COMPUTED_VALUE"""),"MIU")</f>
        <v>MIU</v>
      </c>
      <c r="K275" s="44" t="str">
        <f>IFERROR(__xludf.DUMMYFUNCTION("""COMPUTED_VALUE"""),"https://expa.aiesec.org/opportunities/1289554")</f>
        <v>https://expa.aiesec.org/opportunities/1289554</v>
      </c>
      <c r="L275" s="43" t="str">
        <f>IFERROR(__xludf.DUMMYFUNCTION("""COMPUTED_VALUE"""),"GV")</f>
        <v>GV</v>
      </c>
      <c r="M275" s="43" t="str">
        <f>IFERROR(__xludf.DUMMYFUNCTION("""COMPUTED_VALUE"""),"short")</f>
        <v>short</v>
      </c>
      <c r="N275" s="45">
        <f>IFERROR(__xludf.DUMMYFUNCTION("""COMPUTED_VALUE"""),44948.0)</f>
        <v>44948</v>
      </c>
      <c r="O275" s="45">
        <f>IFERROR(__xludf.DUMMYFUNCTION("""COMPUTED_VALUE"""),45186.0)</f>
        <v>45186</v>
      </c>
      <c r="P275" s="45">
        <f>IFERROR(__xludf.DUMMYFUNCTION("""COMPUTED_VALUE"""),45230.0)</f>
        <v>45230</v>
      </c>
      <c r="Q275" s="45"/>
      <c r="R275" s="45"/>
      <c r="S275" s="43"/>
      <c r="T275" s="43"/>
      <c r="U275" s="43" t="str">
        <f>IFERROR(__xludf.DUMMYFUNCTION("""COMPUTED_VALUE"""),"On The Map")</f>
        <v>On The Map</v>
      </c>
      <c r="V275" s="43" t="str">
        <f>IFERROR(__xludf.DUMMYFUNCTION("""COMPUTED_VALUE"""),"ANTALYA")</f>
        <v>ANTALYA</v>
      </c>
      <c r="W275" s="43" t="str">
        <f>IFERROR(__xludf.DUMMYFUNCTION("""COMPUTED_VALUE"""),"2023-01-16T19:41:49Z")</f>
        <v>2023-01-16T19:41:49Z</v>
      </c>
      <c r="X275" s="43"/>
      <c r="Y275" s="43"/>
      <c r="Z275" s="43"/>
    </row>
    <row r="276" hidden="1">
      <c r="A276" s="43" t="str">
        <f>IFERROR(__xludf.DUMMYFUNCTION("""COMPUTED_VALUE"""),"5177207_1289554")</f>
        <v>5177207_1289554</v>
      </c>
      <c r="B276" s="43" t="str">
        <f>IFERROR(__xludf.DUMMYFUNCTION("""COMPUTED_VALUE"""),"Ecem Şahin")</f>
        <v>Ecem Şahin</v>
      </c>
      <c r="C276" s="43" t="str">
        <f>IFERROR(__xludf.DUMMYFUNCTION("""COMPUTED_VALUE"""),"approved")</f>
        <v>approved</v>
      </c>
      <c r="D276" s="43" t="str">
        <f>IFERROR(__xludf.DUMMYFUNCTION("""COMPUTED_VALUE"""),"No")</f>
        <v>No</v>
      </c>
      <c r="E276" s="43" t="str">
        <f>IFERROR(__xludf.DUMMYFUNCTION("""COMPUTED_VALUE"""),"p_29ed76918880a4dac0e1a59c21ce312dab46f48d@inbound.aiesec.org")</f>
        <v>p_29ed76918880a4dac0e1a59c21ce312dab46f48d@inbound.aiesec.org</v>
      </c>
      <c r="F276" s="43">
        <f>IFERROR(__xludf.DUMMYFUNCTION("""COMPUTED_VALUE"""),5.074721707E9)</f>
        <v>5074721707</v>
      </c>
      <c r="G276" s="43" t="str">
        <f>IFERROR(__xludf.DUMMYFUNCTION("""COMPUTED_VALUE"""),"Turkey")</f>
        <v>Turkey</v>
      </c>
      <c r="H276" s="43" t="str">
        <f>IFERROR(__xludf.DUMMYFUNCTION("""COMPUTED_VALUE"""),"ANTALYA")</f>
        <v>ANTALYA</v>
      </c>
      <c r="I276" s="43" t="str">
        <f>IFERROR(__xludf.DUMMYFUNCTION("""COMPUTED_VALUE"""),"Egypt")</f>
        <v>Egypt</v>
      </c>
      <c r="J276" s="43" t="str">
        <f>IFERROR(__xludf.DUMMYFUNCTION("""COMPUTED_VALUE"""),"MIU")</f>
        <v>MIU</v>
      </c>
      <c r="K276" s="44" t="str">
        <f>IFERROR(__xludf.DUMMYFUNCTION("""COMPUTED_VALUE"""),"https://expa.aiesec.org/opportunities/1289554")</f>
        <v>https://expa.aiesec.org/opportunities/1289554</v>
      </c>
      <c r="L276" s="43" t="str">
        <f>IFERROR(__xludf.DUMMYFUNCTION("""COMPUTED_VALUE"""),"GV")</f>
        <v>GV</v>
      </c>
      <c r="M276" s="43" t="str">
        <f>IFERROR(__xludf.DUMMYFUNCTION("""COMPUTED_VALUE"""),"short")</f>
        <v>short</v>
      </c>
      <c r="N276" s="45">
        <f>IFERROR(__xludf.DUMMYFUNCTION("""COMPUTED_VALUE"""),44948.0)</f>
        <v>44948</v>
      </c>
      <c r="O276" s="45">
        <f>IFERROR(__xludf.DUMMYFUNCTION("""COMPUTED_VALUE"""),45186.0)</f>
        <v>45186</v>
      </c>
      <c r="P276" s="45">
        <f>IFERROR(__xludf.DUMMYFUNCTION("""COMPUTED_VALUE"""),45230.0)</f>
        <v>45230</v>
      </c>
      <c r="Q276" s="45"/>
      <c r="R276" s="45"/>
      <c r="S276" s="43"/>
      <c r="T276" s="43"/>
      <c r="U276" s="43" t="str">
        <f>IFERROR(__xludf.DUMMYFUNCTION("""COMPUTED_VALUE"""),"On The Map")</f>
        <v>On The Map</v>
      </c>
      <c r="V276" s="43" t="str">
        <f>IFERROR(__xludf.DUMMYFUNCTION("""COMPUTED_VALUE"""),"ANTALYA")</f>
        <v>ANTALYA</v>
      </c>
      <c r="W276" s="43" t="str">
        <f>IFERROR(__xludf.DUMMYFUNCTION("""COMPUTED_VALUE"""),"2023-01-16T18:26:34Z")</f>
        <v>2023-01-16T18:26:34Z</v>
      </c>
      <c r="X276" s="43"/>
      <c r="Y276" s="43"/>
      <c r="Z276" s="43"/>
    </row>
    <row r="277" hidden="1">
      <c r="A277" s="43" t="str">
        <f>IFERROR(__xludf.DUMMYFUNCTION("""COMPUTED_VALUE"""),"5173420_1290277")</f>
        <v>5173420_1290277</v>
      </c>
      <c r="B277" s="43" t="str">
        <f>IFERROR(__xludf.DUMMYFUNCTION("""COMPUTED_VALUE"""),"abdullah turhan")</f>
        <v>abdullah turhan</v>
      </c>
      <c r="C277" s="43" t="str">
        <f>IFERROR(__xludf.DUMMYFUNCTION("""COMPUTED_VALUE"""),"approved")</f>
        <v>approved</v>
      </c>
      <c r="D277" s="43" t="str">
        <f>IFERROR(__xludf.DUMMYFUNCTION("""COMPUTED_VALUE"""),"No")</f>
        <v>No</v>
      </c>
      <c r="E277" s="43" t="str">
        <f>IFERROR(__xludf.DUMMYFUNCTION("""COMPUTED_VALUE"""),"p_581eda9baefcfe2c528f79bd78947d5922cb14f9@inbound.aiesec.org")</f>
        <v>p_581eda9baefcfe2c528f79bd78947d5922cb14f9@inbound.aiesec.org</v>
      </c>
      <c r="F277" s="43">
        <f>IFERROR(__xludf.DUMMYFUNCTION("""COMPUTED_VALUE"""),5.3752081E9)</f>
        <v>5375208100</v>
      </c>
      <c r="G277" s="43" t="str">
        <f>IFERROR(__xludf.DUMMYFUNCTION("""COMPUTED_VALUE"""),"Turkey")</f>
        <v>Turkey</v>
      </c>
      <c r="H277" s="43" t="str">
        <f>IFERROR(__xludf.DUMMYFUNCTION("""COMPUTED_VALUE"""),"SAKARYA")</f>
        <v>SAKARYA</v>
      </c>
      <c r="I277" s="43" t="str">
        <f>IFERROR(__xludf.DUMMYFUNCTION("""COMPUTED_VALUE"""),"Egypt")</f>
        <v>Egypt</v>
      </c>
      <c r="J277" s="43" t="str">
        <f>IFERROR(__xludf.DUMMYFUNCTION("""COMPUTED_VALUE"""),"Mansoura")</f>
        <v>Mansoura</v>
      </c>
      <c r="K277" s="44" t="str">
        <f>IFERROR(__xludf.DUMMYFUNCTION("""COMPUTED_VALUE"""),"https://expa.aiesec.org/opportunities/1290277")</f>
        <v>https://expa.aiesec.org/opportunities/1290277</v>
      </c>
      <c r="L277" s="43" t="str">
        <f>IFERROR(__xludf.DUMMYFUNCTION("""COMPUTED_VALUE"""),"GV")</f>
        <v>GV</v>
      </c>
      <c r="M277" s="43" t="str">
        <f>IFERROR(__xludf.DUMMYFUNCTION("""COMPUTED_VALUE"""),"short")</f>
        <v>short</v>
      </c>
      <c r="N277" s="45">
        <f>IFERROR(__xludf.DUMMYFUNCTION("""COMPUTED_VALUE"""),44948.0)</f>
        <v>44948</v>
      </c>
      <c r="O277" s="45">
        <f>IFERROR(__xludf.DUMMYFUNCTION("""COMPUTED_VALUE"""),45108.0)</f>
        <v>45108</v>
      </c>
      <c r="P277" s="45">
        <f>IFERROR(__xludf.DUMMYFUNCTION("""COMPUTED_VALUE"""),45150.0)</f>
        <v>45150</v>
      </c>
      <c r="Q277" s="45"/>
      <c r="R277" s="45"/>
      <c r="S277" s="43"/>
      <c r="T277" s="43"/>
      <c r="U277" s="43" t="str">
        <f>IFERROR(__xludf.DUMMYFUNCTION("""COMPUTED_VALUE"""),"On The Map")</f>
        <v>On The Map</v>
      </c>
      <c r="V277" s="43" t="str">
        <f>IFERROR(__xludf.DUMMYFUNCTION("""COMPUTED_VALUE"""),"DUZCE")</f>
        <v>DUZCE</v>
      </c>
      <c r="W277" s="43" t="str">
        <f>IFERROR(__xludf.DUMMYFUNCTION("""COMPUTED_VALUE"""),"2023-01-05T17:28:59Z")</f>
        <v>2023-01-05T17:28:59Z</v>
      </c>
      <c r="X277" s="43"/>
      <c r="Y277" s="43"/>
      <c r="Z277" s="43"/>
    </row>
    <row r="278" hidden="1">
      <c r="A278" s="43" t="str">
        <f>IFERROR(__xludf.DUMMYFUNCTION("""COMPUTED_VALUE"""),"5165259_1291449")</f>
        <v>5165259_1291449</v>
      </c>
      <c r="B278" s="43" t="str">
        <f>IFERROR(__xludf.DUMMYFUNCTION("""COMPUTED_VALUE"""),"Cyindi Noviani")</f>
        <v>Cyindi Noviani</v>
      </c>
      <c r="C278" s="43" t="str">
        <f>IFERROR(__xludf.DUMMYFUNCTION("""COMPUTED_VALUE"""),"completed")</f>
        <v>completed</v>
      </c>
      <c r="D278" s="43" t="str">
        <f>IFERROR(__xludf.DUMMYFUNCTION("""COMPUTED_VALUE"""),"No")</f>
        <v>No</v>
      </c>
      <c r="E278" s="43" t="str">
        <f>IFERROR(__xludf.DUMMYFUNCTION("""COMPUTED_VALUE"""),"p_0455f8877d68512678a460c8c16575209bb6fd0d@inbound.aiesec.org")</f>
        <v>p_0455f8877d68512678a460c8c16575209bb6fd0d@inbound.aiesec.org</v>
      </c>
      <c r="F278" s="43">
        <f>IFERROR(__xludf.DUMMYFUNCTION("""COMPUTED_VALUE"""),5.526205433E9)</f>
        <v>5526205433</v>
      </c>
      <c r="G278" s="43" t="str">
        <f>IFERROR(__xludf.DUMMYFUNCTION("""COMPUTED_VALUE"""),"Turkey")</f>
        <v>Turkey</v>
      </c>
      <c r="H278" s="43" t="str">
        <f>IFERROR(__xludf.DUMMYFUNCTION("""COMPUTED_VALUE"""),"DENIZLI")</f>
        <v>DENIZLI</v>
      </c>
      <c r="I278" s="43" t="str">
        <f>IFERROR(__xludf.DUMMYFUNCTION("""COMPUTED_VALUE"""),"Romania")</f>
        <v>Romania</v>
      </c>
      <c r="J278" s="43" t="str">
        <f>IFERROR(__xludf.DUMMYFUNCTION("""COMPUTED_VALUE"""),"IASI")</f>
        <v>IASI</v>
      </c>
      <c r="K278" s="44" t="str">
        <f>IFERROR(__xludf.DUMMYFUNCTION("""COMPUTED_VALUE"""),"https://expa.aiesec.org/opportunities/1291449")</f>
        <v>https://expa.aiesec.org/opportunities/1291449</v>
      </c>
      <c r="L278" s="43" t="str">
        <f>IFERROR(__xludf.DUMMYFUNCTION("""COMPUTED_VALUE"""),"GV")</f>
        <v>GV</v>
      </c>
      <c r="M278" s="43" t="str">
        <f>IFERROR(__xludf.DUMMYFUNCTION("""COMPUTED_VALUE"""),"short")</f>
        <v>short</v>
      </c>
      <c r="N278" s="45">
        <f>IFERROR(__xludf.DUMMYFUNCTION("""COMPUTED_VALUE"""),44952.0)</f>
        <v>44952</v>
      </c>
      <c r="O278" s="45">
        <f>IFERROR(__xludf.DUMMYFUNCTION("""COMPUTED_VALUE"""),45103.0)</f>
        <v>45103</v>
      </c>
      <c r="P278" s="45">
        <f>IFERROR(__xludf.DUMMYFUNCTION("""COMPUTED_VALUE"""),45145.0)</f>
        <v>45145</v>
      </c>
      <c r="Q278" s="45">
        <f>IFERROR(__xludf.DUMMYFUNCTION("""COMPUTED_VALUE"""),45103.0)</f>
        <v>45103</v>
      </c>
      <c r="R278" s="45">
        <f>IFERROR(__xludf.DUMMYFUNCTION("""COMPUTED_VALUE"""),45145.0)</f>
        <v>45145</v>
      </c>
      <c r="S278" s="43"/>
      <c r="T278" s="43"/>
      <c r="U278" s="43" t="str">
        <f>IFERROR(__xludf.DUMMYFUNCTION("""COMPUTED_VALUE"""),"Global Classroom")</f>
        <v>Global Classroom</v>
      </c>
      <c r="V278" s="43" t="str">
        <f>IFERROR(__xludf.DUMMYFUNCTION("""COMPUTED_VALUE"""),"DENIZLI")</f>
        <v>DENIZLI</v>
      </c>
      <c r="W278" s="43" t="str">
        <f>IFERROR(__xludf.DUMMYFUNCTION("""COMPUTED_VALUE"""),"2022-12-12T08:58:51Z")</f>
        <v>2022-12-12T08:58:51Z</v>
      </c>
      <c r="X278" s="43"/>
      <c r="Y278" s="43"/>
      <c r="Z278" s="43"/>
    </row>
    <row r="279" hidden="1">
      <c r="A279" s="43" t="str">
        <f>IFERROR(__xludf.DUMMYFUNCTION("""COMPUTED_VALUE"""),"5183266_1284312")</f>
        <v>5183266_1284312</v>
      </c>
      <c r="B279" s="43" t="str">
        <f>IFERROR(__xludf.DUMMYFUNCTION("""COMPUTED_VALUE"""),"Duygu Bozoğlu")</f>
        <v>Duygu Bozoğlu</v>
      </c>
      <c r="C279" s="43" t="str">
        <f>IFERROR(__xludf.DUMMYFUNCTION("""COMPUTED_VALUE"""),"approved")</f>
        <v>approved</v>
      </c>
      <c r="D279" s="43" t="str">
        <f>IFERROR(__xludf.DUMMYFUNCTION("""COMPUTED_VALUE"""),"No")</f>
        <v>No</v>
      </c>
      <c r="E279" s="43" t="str">
        <f>IFERROR(__xludf.DUMMYFUNCTION("""COMPUTED_VALUE"""),"p_5e30d5528b03d5eb1d5ffad94bcd68a90bee2541@inbound.aiesec.org")</f>
        <v>p_5e30d5528b03d5eb1d5ffad94bcd68a90bee2541@inbound.aiesec.org</v>
      </c>
      <c r="F279" s="43">
        <f>IFERROR(__xludf.DUMMYFUNCTION("""COMPUTED_VALUE"""),5.447129742E9)</f>
        <v>5447129742</v>
      </c>
      <c r="G279" s="43" t="str">
        <f>IFERROR(__xludf.DUMMYFUNCTION("""COMPUTED_VALUE"""),"Turkey")</f>
        <v>Turkey</v>
      </c>
      <c r="H279" s="43" t="str">
        <f>IFERROR(__xludf.DUMMYFUNCTION("""COMPUTED_VALUE"""),"ISTANBUL WEST")</f>
        <v>ISTANBUL WEST</v>
      </c>
      <c r="I279" s="43" t="str">
        <f>IFERROR(__xludf.DUMMYFUNCTION("""COMPUTED_VALUE"""),"Sri Lanka")</f>
        <v>Sri Lanka</v>
      </c>
      <c r="J279" s="43" t="str">
        <f>IFERROR(__xludf.DUMMYFUNCTION("""COMPUTED_VALUE"""),"SLIIT")</f>
        <v>SLIIT</v>
      </c>
      <c r="K279" s="44" t="str">
        <f>IFERROR(__xludf.DUMMYFUNCTION("""COMPUTED_VALUE"""),"https://expa.aiesec.org/opportunities/1284312")</f>
        <v>https://expa.aiesec.org/opportunities/1284312</v>
      </c>
      <c r="L279" s="43" t="str">
        <f>IFERROR(__xludf.DUMMYFUNCTION("""COMPUTED_VALUE"""),"GV")</f>
        <v>GV</v>
      </c>
      <c r="M279" s="43" t="str">
        <f>IFERROR(__xludf.DUMMYFUNCTION("""COMPUTED_VALUE"""),"short")</f>
        <v>short</v>
      </c>
      <c r="N279" s="45">
        <f>IFERROR(__xludf.DUMMYFUNCTION("""COMPUTED_VALUE"""),44958.0)</f>
        <v>44958</v>
      </c>
      <c r="O279" s="45">
        <f>IFERROR(__xludf.DUMMYFUNCTION("""COMPUTED_VALUE"""),45119.0)</f>
        <v>45119</v>
      </c>
      <c r="P279" s="45">
        <f>IFERROR(__xludf.DUMMYFUNCTION("""COMPUTED_VALUE"""),45161.0)</f>
        <v>45161</v>
      </c>
      <c r="Q279" s="45"/>
      <c r="R279" s="45"/>
      <c r="S279" s="43"/>
      <c r="T279" s="43"/>
      <c r="U279" s="43" t="str">
        <f>IFERROR(__xludf.DUMMYFUNCTION("""COMPUTED_VALUE"""),"On The Map")</f>
        <v>On The Map</v>
      </c>
      <c r="V279" s="43" t="str">
        <f>IFERROR(__xludf.DUMMYFUNCTION("""COMPUTED_VALUE"""),"ISTANBUL - BAKIRKOY")</f>
        <v>ISTANBUL - BAKIRKOY</v>
      </c>
      <c r="W279" s="43" t="str">
        <f>IFERROR(__xludf.DUMMYFUNCTION("""COMPUTED_VALUE"""),"2023-02-01T07:54:02Z")</f>
        <v>2023-02-01T07:54:02Z</v>
      </c>
      <c r="X279" s="43"/>
      <c r="Y279" s="43"/>
      <c r="Z279" s="43"/>
    </row>
    <row r="280" hidden="1">
      <c r="A280" s="43" t="str">
        <f>IFERROR(__xludf.DUMMYFUNCTION("""COMPUTED_VALUE"""),"5175383_1290706")</f>
        <v>5175383_1290706</v>
      </c>
      <c r="B280" s="43" t="str">
        <f>IFERROR(__xludf.DUMMYFUNCTION("""COMPUTED_VALUE"""),"Eylül Sıla Soyata")</f>
        <v>Eylül Sıla Soyata</v>
      </c>
      <c r="C280" s="43" t="str">
        <f>IFERROR(__xludf.DUMMYFUNCTION("""COMPUTED_VALUE"""),"completed")</f>
        <v>completed</v>
      </c>
      <c r="D280" s="43" t="str">
        <f>IFERROR(__xludf.DUMMYFUNCTION("""COMPUTED_VALUE"""),"No")</f>
        <v>No</v>
      </c>
      <c r="E280" s="43" t="str">
        <f>IFERROR(__xludf.DUMMYFUNCTION("""COMPUTED_VALUE"""),"p_b523a48dab22a9bc3dda3824d8a4babf5c4c7485@inbound.aiesec.org")</f>
        <v>p_b523a48dab22a9bc3dda3824d8a4babf5c4c7485@inbound.aiesec.org</v>
      </c>
      <c r="F280" s="43">
        <f>IFERROR(__xludf.DUMMYFUNCTION("""COMPUTED_VALUE"""),5.382807923E9)</f>
        <v>5382807923</v>
      </c>
      <c r="G280" s="43" t="str">
        <f>IFERROR(__xludf.DUMMYFUNCTION("""COMPUTED_VALUE"""),"Turkey")</f>
        <v>Turkey</v>
      </c>
      <c r="H280" s="43" t="str">
        <f>IFERROR(__xludf.DUMMYFUNCTION("""COMPUTED_VALUE"""),"ISTANBUL")</f>
        <v>ISTANBUL</v>
      </c>
      <c r="I280" s="43" t="str">
        <f>IFERROR(__xludf.DUMMYFUNCTION("""COMPUTED_VALUE"""),"Egypt")</f>
        <v>Egypt</v>
      </c>
      <c r="J280" s="43" t="str">
        <f>IFERROR(__xludf.DUMMYFUNCTION("""COMPUTED_VALUE"""),"Ain Shams University")</f>
        <v>Ain Shams University</v>
      </c>
      <c r="K280" s="44" t="str">
        <f>IFERROR(__xludf.DUMMYFUNCTION("""COMPUTED_VALUE"""),"https://expa.aiesec.org/opportunities/1290706")</f>
        <v>https://expa.aiesec.org/opportunities/1290706</v>
      </c>
      <c r="L280" s="43" t="str">
        <f>IFERROR(__xludf.DUMMYFUNCTION("""COMPUTED_VALUE"""),"GV")</f>
        <v>GV</v>
      </c>
      <c r="M280" s="43" t="str">
        <f>IFERROR(__xludf.DUMMYFUNCTION("""COMPUTED_VALUE"""),"short")</f>
        <v>short</v>
      </c>
      <c r="N280" s="45">
        <f>IFERROR(__xludf.DUMMYFUNCTION("""COMPUTED_VALUE"""),44958.0)</f>
        <v>44958</v>
      </c>
      <c r="O280" s="45">
        <f>IFERROR(__xludf.DUMMYFUNCTION("""COMPUTED_VALUE"""),45108.0)</f>
        <v>45108</v>
      </c>
      <c r="P280" s="45">
        <f>IFERROR(__xludf.DUMMYFUNCTION("""COMPUTED_VALUE"""),45150.0)</f>
        <v>45150</v>
      </c>
      <c r="Q280" s="45">
        <f>IFERROR(__xludf.DUMMYFUNCTION("""COMPUTED_VALUE"""),45107.0)</f>
        <v>45107</v>
      </c>
      <c r="R280" s="45">
        <f>IFERROR(__xludf.DUMMYFUNCTION("""COMPUTED_VALUE"""),45150.0)</f>
        <v>45150</v>
      </c>
      <c r="S280" s="43"/>
      <c r="T280" s="43"/>
      <c r="U280" s="43" t="str">
        <f>IFERROR(__xludf.DUMMYFUNCTION("""COMPUTED_VALUE"""),"Fingerprint")</f>
        <v>Fingerprint</v>
      </c>
      <c r="V280" s="43" t="str">
        <f>IFERROR(__xludf.DUMMYFUNCTION("""COMPUTED_VALUE"""),"ISTANBUL - BEYOGLU")</f>
        <v>ISTANBUL - BEYOGLU</v>
      </c>
      <c r="W280" s="43" t="str">
        <f>IFERROR(__xludf.DUMMYFUNCTION("""COMPUTED_VALUE"""),"2023-01-11T09:12:04Z")</f>
        <v>2023-01-11T09:12:04Z</v>
      </c>
      <c r="X280" s="43"/>
      <c r="Y280" s="43"/>
      <c r="Z280" s="43"/>
    </row>
    <row r="281" hidden="1">
      <c r="A281" s="43" t="str">
        <f>IFERROR(__xludf.DUMMYFUNCTION("""COMPUTED_VALUE"""),"5179202_1291623")</f>
        <v>5179202_1291623</v>
      </c>
      <c r="B281" s="43" t="str">
        <f>IFERROR(__xludf.DUMMYFUNCTION("""COMPUTED_VALUE"""),"Beyza Bayın")</f>
        <v>Beyza Bayın</v>
      </c>
      <c r="C281" s="43" t="str">
        <f>IFERROR(__xludf.DUMMYFUNCTION("""COMPUTED_VALUE"""),"completed")</f>
        <v>completed</v>
      </c>
      <c r="D281" s="43" t="str">
        <f>IFERROR(__xludf.DUMMYFUNCTION("""COMPUTED_VALUE"""),"No")</f>
        <v>No</v>
      </c>
      <c r="E281" s="43" t="str">
        <f>IFERROR(__xludf.DUMMYFUNCTION("""COMPUTED_VALUE"""),"p_25e477f26277e34678625cc100666a44f1f8e460@inbound.aiesec.org")</f>
        <v>p_25e477f26277e34678625cc100666a44f1f8e460@inbound.aiesec.org</v>
      </c>
      <c r="F281" s="43"/>
      <c r="G281" s="43" t="str">
        <f>IFERROR(__xludf.DUMMYFUNCTION("""COMPUTED_VALUE"""),"Turkey")</f>
        <v>Turkey</v>
      </c>
      <c r="H281" s="43" t="str">
        <f>IFERROR(__xludf.DUMMYFUNCTION("""COMPUTED_VALUE"""),"ISTANBUL")</f>
        <v>ISTANBUL</v>
      </c>
      <c r="I281" s="43" t="str">
        <f>IFERROR(__xludf.DUMMYFUNCTION("""COMPUTED_VALUE"""),"Romania")</f>
        <v>Romania</v>
      </c>
      <c r="J281" s="43" t="str">
        <f>IFERROR(__xludf.DUMMYFUNCTION("""COMPUTED_VALUE"""),"IASI")</f>
        <v>IASI</v>
      </c>
      <c r="K281" s="44" t="str">
        <f>IFERROR(__xludf.DUMMYFUNCTION("""COMPUTED_VALUE"""),"https://expa.aiesec.org/opportunities/1291623")</f>
        <v>https://expa.aiesec.org/opportunities/1291623</v>
      </c>
      <c r="L281" s="43" t="str">
        <f>IFERROR(__xludf.DUMMYFUNCTION("""COMPUTED_VALUE"""),"GV")</f>
        <v>GV</v>
      </c>
      <c r="M281" s="43" t="str">
        <f>IFERROR(__xludf.DUMMYFUNCTION("""COMPUTED_VALUE"""),"short")</f>
        <v>short</v>
      </c>
      <c r="N281" s="45">
        <f>IFERROR(__xludf.DUMMYFUNCTION("""COMPUTED_VALUE"""),44958.0)</f>
        <v>44958</v>
      </c>
      <c r="O281" s="45">
        <f>IFERROR(__xludf.DUMMYFUNCTION("""COMPUTED_VALUE"""),45103.0)</f>
        <v>45103</v>
      </c>
      <c r="P281" s="45">
        <f>IFERROR(__xludf.DUMMYFUNCTION("""COMPUTED_VALUE"""),45145.0)</f>
        <v>45145</v>
      </c>
      <c r="Q281" s="45">
        <f>IFERROR(__xludf.DUMMYFUNCTION("""COMPUTED_VALUE"""),45103.0)</f>
        <v>45103</v>
      </c>
      <c r="R281" s="45">
        <f>IFERROR(__xludf.DUMMYFUNCTION("""COMPUTED_VALUE"""),45145.0)</f>
        <v>45145</v>
      </c>
      <c r="S281" s="43"/>
      <c r="T281" s="43"/>
      <c r="U281" s="43" t="str">
        <f>IFERROR(__xludf.DUMMYFUNCTION("""COMPUTED_VALUE"""),"Global Classroom")</f>
        <v>Global Classroom</v>
      </c>
      <c r="V281" s="43" t="str">
        <f>IFERROR(__xludf.DUMMYFUNCTION("""COMPUTED_VALUE"""),"ISTANBUL - BEYOGLU")</f>
        <v>ISTANBUL - BEYOGLU</v>
      </c>
      <c r="W281" s="43" t="str">
        <f>IFERROR(__xludf.DUMMYFUNCTION("""COMPUTED_VALUE"""),"2023-01-21T20:02:34Z")</f>
        <v>2023-01-21T20:02:34Z</v>
      </c>
      <c r="X281" s="43"/>
      <c r="Y281" s="43"/>
      <c r="Z281" s="43"/>
    </row>
    <row r="282" hidden="1">
      <c r="A282" s="43" t="str">
        <f>IFERROR(__xludf.DUMMYFUNCTION("""COMPUTED_VALUE"""),"5181176_1290024")</f>
        <v>5181176_1290024</v>
      </c>
      <c r="B282" s="43" t="str">
        <f>IFERROR(__xludf.DUMMYFUNCTION("""COMPUTED_VALUE"""),"Fatma Zehra Yılmaz")</f>
        <v>Fatma Zehra Yılmaz</v>
      </c>
      <c r="C282" s="43" t="str">
        <f>IFERROR(__xludf.DUMMYFUNCTION("""COMPUTED_VALUE"""),"completed")</f>
        <v>completed</v>
      </c>
      <c r="D282" s="43" t="str">
        <f>IFERROR(__xludf.DUMMYFUNCTION("""COMPUTED_VALUE"""),"No")</f>
        <v>No</v>
      </c>
      <c r="E282" s="43" t="str">
        <f>IFERROR(__xludf.DUMMYFUNCTION("""COMPUTED_VALUE"""),"p_2e31cbf0b203b303f474f8cdaa122712dd71f549@inbound.aiesec.org")</f>
        <v>p_2e31cbf0b203b303f474f8cdaa122712dd71f549@inbound.aiesec.org</v>
      </c>
      <c r="F282" s="43">
        <f>IFERROR(__xludf.DUMMYFUNCTION("""COMPUTED_VALUE"""),5.534599393E9)</f>
        <v>5534599393</v>
      </c>
      <c r="G282" s="43" t="str">
        <f>IFERROR(__xludf.DUMMYFUNCTION("""COMPUTED_VALUE"""),"Turkey")</f>
        <v>Turkey</v>
      </c>
      <c r="H282" s="43" t="str">
        <f>IFERROR(__xludf.DUMMYFUNCTION("""COMPUTED_VALUE"""),"ISTANBUL")</f>
        <v>ISTANBUL</v>
      </c>
      <c r="I282" s="43" t="str">
        <f>IFERROR(__xludf.DUMMYFUNCTION("""COMPUTED_VALUE"""),"Egypt")</f>
        <v>Egypt</v>
      </c>
      <c r="J282" s="43" t="str">
        <f>IFERROR(__xludf.DUMMYFUNCTION("""COMPUTED_VALUE"""),"Ain Shams University")</f>
        <v>Ain Shams University</v>
      </c>
      <c r="K282" s="44" t="str">
        <f>IFERROR(__xludf.DUMMYFUNCTION("""COMPUTED_VALUE"""),"https://expa.aiesec.org/opportunities/1290024")</f>
        <v>https://expa.aiesec.org/opportunities/1290024</v>
      </c>
      <c r="L282" s="43" t="str">
        <f>IFERROR(__xludf.DUMMYFUNCTION("""COMPUTED_VALUE"""),"GV")</f>
        <v>GV</v>
      </c>
      <c r="M282" s="43" t="str">
        <f>IFERROR(__xludf.DUMMYFUNCTION("""COMPUTED_VALUE"""),"short")</f>
        <v>short</v>
      </c>
      <c r="N282" s="45">
        <f>IFERROR(__xludf.DUMMYFUNCTION("""COMPUTED_VALUE"""),44958.0)</f>
        <v>44958</v>
      </c>
      <c r="O282" s="45">
        <f>IFERROR(__xludf.DUMMYFUNCTION("""COMPUTED_VALUE"""),45108.0)</f>
        <v>45108</v>
      </c>
      <c r="P282" s="45">
        <f>IFERROR(__xludf.DUMMYFUNCTION("""COMPUTED_VALUE"""),45150.0)</f>
        <v>45150</v>
      </c>
      <c r="Q282" s="45">
        <f>IFERROR(__xludf.DUMMYFUNCTION("""COMPUTED_VALUE"""),45116.0)</f>
        <v>45116</v>
      </c>
      <c r="R282" s="45">
        <f>IFERROR(__xludf.DUMMYFUNCTION("""COMPUTED_VALUE"""),45158.0)</f>
        <v>45158</v>
      </c>
      <c r="S282" s="43"/>
      <c r="T282" s="43"/>
      <c r="U282" s="43" t="str">
        <f>IFERROR(__xludf.DUMMYFUNCTION("""COMPUTED_VALUE"""),"On The Map")</f>
        <v>On The Map</v>
      </c>
      <c r="V282" s="43" t="str">
        <f>IFERROR(__xludf.DUMMYFUNCTION("""COMPUTED_VALUE"""),"ISTANBUL - BEYOGLU")</f>
        <v>ISTANBUL - BEYOGLU</v>
      </c>
      <c r="W282" s="43" t="str">
        <f>IFERROR(__xludf.DUMMYFUNCTION("""COMPUTED_VALUE"""),"2023-01-27T09:25:03Z")</f>
        <v>2023-01-27T09:25:03Z</v>
      </c>
      <c r="X282" s="43"/>
      <c r="Y282" s="43"/>
      <c r="Z282" s="43"/>
    </row>
    <row r="283" hidden="1">
      <c r="A283" s="43" t="str">
        <f>IFERROR(__xludf.DUMMYFUNCTION("""COMPUTED_VALUE"""),"5180925_1291623")</f>
        <v>5180925_1291623</v>
      </c>
      <c r="B283" s="43" t="str">
        <f>IFERROR(__xludf.DUMMYFUNCTION("""COMPUTED_VALUE"""),"Melisa Zorlu")</f>
        <v>Melisa Zorlu</v>
      </c>
      <c r="C283" s="43" t="str">
        <f>IFERROR(__xludf.DUMMYFUNCTION("""COMPUTED_VALUE"""),"approved")</f>
        <v>approved</v>
      </c>
      <c r="D283" s="43" t="str">
        <f>IFERROR(__xludf.DUMMYFUNCTION("""COMPUTED_VALUE"""),"No")</f>
        <v>No</v>
      </c>
      <c r="E283" s="43" t="str">
        <f>IFERROR(__xludf.DUMMYFUNCTION("""COMPUTED_VALUE"""),"p_bff41b4a6ae32e261d344c4406710affb96baca4@inbound.aiesec.org")</f>
        <v>p_bff41b4a6ae32e261d344c4406710affb96baca4@inbound.aiesec.org</v>
      </c>
      <c r="F283" s="43"/>
      <c r="G283" s="43" t="str">
        <f>IFERROR(__xludf.DUMMYFUNCTION("""COMPUTED_VALUE"""),"Turkey")</f>
        <v>Turkey</v>
      </c>
      <c r="H283" s="43" t="str">
        <f>IFERROR(__xludf.DUMMYFUNCTION("""COMPUTED_VALUE"""),"ISTANBUL")</f>
        <v>ISTANBUL</v>
      </c>
      <c r="I283" s="43" t="str">
        <f>IFERROR(__xludf.DUMMYFUNCTION("""COMPUTED_VALUE"""),"Romania")</f>
        <v>Romania</v>
      </c>
      <c r="J283" s="43" t="str">
        <f>IFERROR(__xludf.DUMMYFUNCTION("""COMPUTED_VALUE"""),"IASI")</f>
        <v>IASI</v>
      </c>
      <c r="K283" s="44" t="str">
        <f>IFERROR(__xludf.DUMMYFUNCTION("""COMPUTED_VALUE"""),"https://expa.aiesec.org/opportunities/1291623")</f>
        <v>https://expa.aiesec.org/opportunities/1291623</v>
      </c>
      <c r="L283" s="43" t="str">
        <f>IFERROR(__xludf.DUMMYFUNCTION("""COMPUTED_VALUE"""),"GV")</f>
        <v>GV</v>
      </c>
      <c r="M283" s="43" t="str">
        <f>IFERROR(__xludf.DUMMYFUNCTION("""COMPUTED_VALUE"""),"short")</f>
        <v>short</v>
      </c>
      <c r="N283" s="45">
        <f>IFERROR(__xludf.DUMMYFUNCTION("""COMPUTED_VALUE"""),44958.0)</f>
        <v>44958</v>
      </c>
      <c r="O283" s="45">
        <f>IFERROR(__xludf.DUMMYFUNCTION("""COMPUTED_VALUE"""),45103.0)</f>
        <v>45103</v>
      </c>
      <c r="P283" s="45">
        <f>IFERROR(__xludf.DUMMYFUNCTION("""COMPUTED_VALUE"""),45145.0)</f>
        <v>45145</v>
      </c>
      <c r="Q283" s="45"/>
      <c r="R283" s="45"/>
      <c r="S283" s="43"/>
      <c r="T283" s="43"/>
      <c r="U283" s="43" t="str">
        <f>IFERROR(__xludf.DUMMYFUNCTION("""COMPUTED_VALUE"""),"Global Classroom")</f>
        <v>Global Classroom</v>
      </c>
      <c r="V283" s="43" t="str">
        <f>IFERROR(__xludf.DUMMYFUNCTION("""COMPUTED_VALUE"""),"-")</f>
        <v>-</v>
      </c>
      <c r="W283" s="43" t="str">
        <f>IFERROR(__xludf.DUMMYFUNCTION("""COMPUTED_VALUE"""),"2023-01-26T17:15:53Z")</f>
        <v>2023-01-26T17:15:53Z</v>
      </c>
      <c r="X283" s="43"/>
      <c r="Y283" s="43"/>
      <c r="Z283" s="43"/>
    </row>
    <row r="284" hidden="1">
      <c r="A284" s="43" t="str">
        <f>IFERROR(__xludf.DUMMYFUNCTION("""COMPUTED_VALUE"""),"5032319_1291233")</f>
        <v>5032319_1291233</v>
      </c>
      <c r="B284" s="43" t="str">
        <f>IFERROR(__xludf.DUMMYFUNCTION("""COMPUTED_VALUE"""),"zehra uruç")</f>
        <v>zehra uruç</v>
      </c>
      <c r="C284" s="43" t="str">
        <f>IFERROR(__xludf.DUMMYFUNCTION("""COMPUTED_VALUE"""),"realization_broken")</f>
        <v>realization_broken</v>
      </c>
      <c r="D284" s="43" t="str">
        <f>IFERROR(__xludf.DUMMYFUNCTION("""COMPUTED_VALUE"""),"No")</f>
        <v>No</v>
      </c>
      <c r="E284" s="43" t="str">
        <f>IFERROR(__xludf.DUMMYFUNCTION("""COMPUTED_VALUE"""),"p_63362956fdb3bef10e7f35c71964c8344adb712b@inbound.aiesec.org")</f>
        <v>p_63362956fdb3bef10e7f35c71964c8344adb712b@inbound.aiesec.org</v>
      </c>
      <c r="F284" s="43">
        <f>IFERROR(__xludf.DUMMYFUNCTION("""COMPUTED_VALUE"""),5.551822073E9)</f>
        <v>5551822073</v>
      </c>
      <c r="G284" s="43" t="str">
        <f>IFERROR(__xludf.DUMMYFUNCTION("""COMPUTED_VALUE"""),"Turkey")</f>
        <v>Turkey</v>
      </c>
      <c r="H284" s="43" t="str">
        <f>IFERROR(__xludf.DUMMYFUNCTION("""COMPUTED_VALUE"""),"ANKARA")</f>
        <v>ANKARA</v>
      </c>
      <c r="I284" s="43" t="str">
        <f>IFERROR(__xludf.DUMMYFUNCTION("""COMPUTED_VALUE"""),"Egypt")</f>
        <v>Egypt</v>
      </c>
      <c r="J284" s="43" t="str">
        <f>IFERROR(__xludf.DUMMYFUNCTION("""COMPUTED_VALUE"""),"Helwan")</f>
        <v>Helwan</v>
      </c>
      <c r="K284" s="44" t="str">
        <f>IFERROR(__xludf.DUMMYFUNCTION("""COMPUTED_VALUE"""),"https://expa.aiesec.org/opportunities/1291233")</f>
        <v>https://expa.aiesec.org/opportunities/1291233</v>
      </c>
      <c r="L284" s="43" t="str">
        <f>IFERROR(__xludf.DUMMYFUNCTION("""COMPUTED_VALUE"""),"GV")</f>
        <v>GV</v>
      </c>
      <c r="M284" s="43" t="str">
        <f>IFERROR(__xludf.DUMMYFUNCTION("""COMPUTED_VALUE"""),"short")</f>
        <v>short</v>
      </c>
      <c r="N284" s="45">
        <f>IFERROR(__xludf.DUMMYFUNCTION("""COMPUTED_VALUE"""),44958.0)</f>
        <v>44958</v>
      </c>
      <c r="O284" s="45">
        <f>IFERROR(__xludf.DUMMYFUNCTION("""COMPUTED_VALUE"""),45130.0)</f>
        <v>45130</v>
      </c>
      <c r="P284" s="45">
        <f>IFERROR(__xludf.DUMMYFUNCTION("""COMPUTED_VALUE"""),45172.0)</f>
        <v>45172</v>
      </c>
      <c r="Q284" s="45"/>
      <c r="R284" s="45"/>
      <c r="S284" s="43"/>
      <c r="T284" s="43"/>
      <c r="U284" s="43" t="str">
        <f>IFERROR(__xludf.DUMMYFUNCTION("""COMPUTED_VALUE"""),"On The Map")</f>
        <v>On The Map</v>
      </c>
      <c r="V284" s="43" t="str">
        <f>IFERROR(__xludf.DUMMYFUNCTION("""COMPUTED_VALUE"""),"ANKARA")</f>
        <v>ANKARA</v>
      </c>
      <c r="W284" s="43" t="str">
        <f>IFERROR(__xludf.DUMMYFUNCTION("""COMPUTED_VALUE"""),"2022-04-09T12:53:33Z")</f>
        <v>2022-04-09T12:53:33Z</v>
      </c>
      <c r="X284" s="43"/>
      <c r="Y284" s="43"/>
      <c r="Z284" s="43"/>
    </row>
    <row r="285" hidden="1">
      <c r="A285" s="43" t="str">
        <f>IFERROR(__xludf.DUMMYFUNCTION("""COMPUTED_VALUE"""),"5177876_1288843")</f>
        <v>5177876_1288843</v>
      </c>
      <c r="B285" s="43" t="str">
        <f>IFERROR(__xludf.DUMMYFUNCTION("""COMPUTED_VALUE"""),"Zeynep Özbakış")</f>
        <v>Zeynep Özbakış</v>
      </c>
      <c r="C285" s="43" t="str">
        <f>IFERROR(__xludf.DUMMYFUNCTION("""COMPUTED_VALUE"""),"completed")</f>
        <v>completed</v>
      </c>
      <c r="D285" s="43" t="str">
        <f>IFERROR(__xludf.DUMMYFUNCTION("""COMPUTED_VALUE"""),"No")</f>
        <v>No</v>
      </c>
      <c r="E285" s="43" t="str">
        <f>IFERROR(__xludf.DUMMYFUNCTION("""COMPUTED_VALUE"""),"p_7a2467aa83574d7219223d0f7640fa21d7e4a19b@inbound.aiesec.org")</f>
        <v>p_7a2467aa83574d7219223d0f7640fa21d7e4a19b@inbound.aiesec.org</v>
      </c>
      <c r="F285" s="43"/>
      <c r="G285" s="43" t="str">
        <f>IFERROR(__xludf.DUMMYFUNCTION("""COMPUTED_VALUE"""),"Turkey")</f>
        <v>Turkey</v>
      </c>
      <c r="H285" s="43" t="str">
        <f>IFERROR(__xludf.DUMMYFUNCTION("""COMPUTED_VALUE"""),"ISTANBUL ASIA")</f>
        <v>ISTANBUL ASIA</v>
      </c>
      <c r="I285" s="43" t="str">
        <f>IFERROR(__xludf.DUMMYFUNCTION("""COMPUTED_VALUE"""),"Sri Lanka")</f>
        <v>Sri Lanka</v>
      </c>
      <c r="J285" s="43" t="str">
        <f>IFERROR(__xludf.DUMMYFUNCTION("""COMPUTED_VALUE"""),"COLOMBO NORTH")</f>
        <v>COLOMBO NORTH</v>
      </c>
      <c r="K285" s="44" t="str">
        <f>IFERROR(__xludf.DUMMYFUNCTION("""COMPUTED_VALUE"""),"https://expa.aiesec.org/opportunities/1288843")</f>
        <v>https://expa.aiesec.org/opportunities/1288843</v>
      </c>
      <c r="L285" s="43" t="str">
        <f>IFERROR(__xludf.DUMMYFUNCTION("""COMPUTED_VALUE"""),"GV")</f>
        <v>GV</v>
      </c>
      <c r="M285" s="43" t="str">
        <f>IFERROR(__xludf.DUMMYFUNCTION("""COMPUTED_VALUE"""),"short")</f>
        <v>short</v>
      </c>
      <c r="N285" s="45">
        <f>IFERROR(__xludf.DUMMYFUNCTION("""COMPUTED_VALUE"""),44958.0)</f>
        <v>44958</v>
      </c>
      <c r="O285" s="45">
        <f>IFERROR(__xludf.DUMMYFUNCTION("""COMPUTED_VALUE"""),45122.0)</f>
        <v>45122</v>
      </c>
      <c r="P285" s="45">
        <f>IFERROR(__xludf.DUMMYFUNCTION("""COMPUTED_VALUE"""),45164.0)</f>
        <v>45164</v>
      </c>
      <c r="Q285" s="45">
        <f>IFERROR(__xludf.DUMMYFUNCTION("""COMPUTED_VALUE"""),45120.0)</f>
        <v>45120</v>
      </c>
      <c r="R285" s="45">
        <f>IFERROR(__xludf.DUMMYFUNCTION("""COMPUTED_VALUE"""),45164.0)</f>
        <v>45164</v>
      </c>
      <c r="S285" s="43"/>
      <c r="T285" s="43"/>
      <c r="U285" s="43" t="str">
        <f>IFERROR(__xludf.DUMMYFUNCTION("""COMPUTED_VALUE"""),"Green Leaders")</f>
        <v>Green Leaders</v>
      </c>
      <c r="V285" s="43" t="str">
        <f>IFERROR(__xludf.DUMMYFUNCTION("""COMPUTED_VALUE"""),"-")</f>
        <v>-</v>
      </c>
      <c r="W285" s="43" t="str">
        <f>IFERROR(__xludf.DUMMYFUNCTION("""COMPUTED_VALUE"""),"2023-01-18T11:11:16Z")</f>
        <v>2023-01-18T11:11:16Z</v>
      </c>
      <c r="X285" s="43"/>
      <c r="Y285" s="43"/>
      <c r="Z285" s="43"/>
    </row>
    <row r="286" hidden="1">
      <c r="A286" s="43" t="str">
        <f>IFERROR(__xludf.DUMMYFUNCTION("""COMPUTED_VALUE"""),"5176835_1287304")</f>
        <v>5176835_1287304</v>
      </c>
      <c r="B286" s="43" t="str">
        <f>IFERROR(__xludf.DUMMYFUNCTION("""COMPUTED_VALUE"""),"Kaan Berk Dönmez")</f>
        <v>Kaan Berk Dönmez</v>
      </c>
      <c r="C286" s="43" t="str">
        <f>IFERROR(__xludf.DUMMYFUNCTION("""COMPUTED_VALUE"""),"approved")</f>
        <v>approved</v>
      </c>
      <c r="D286" s="43" t="str">
        <f>IFERROR(__xludf.DUMMYFUNCTION("""COMPUTED_VALUE"""),"No")</f>
        <v>No</v>
      </c>
      <c r="E286" s="43" t="str">
        <f>IFERROR(__xludf.DUMMYFUNCTION("""COMPUTED_VALUE"""),"p_04f7b3e0b77592bcd136cff56bd7580843c3b9b8@inbound.aiesec.org")</f>
        <v>p_04f7b3e0b77592bcd136cff56bd7580843c3b9b8@inbound.aiesec.org</v>
      </c>
      <c r="F286" s="43"/>
      <c r="G286" s="43" t="str">
        <f>IFERROR(__xludf.DUMMYFUNCTION("""COMPUTED_VALUE"""),"Turkey")</f>
        <v>Turkey</v>
      </c>
      <c r="H286" s="43" t="str">
        <f>IFERROR(__xludf.DUMMYFUNCTION("""COMPUTED_VALUE"""),"ISTANBUL")</f>
        <v>ISTANBUL</v>
      </c>
      <c r="I286" s="43" t="str">
        <f>IFERROR(__xludf.DUMMYFUNCTION("""COMPUTED_VALUE"""),"Egypt")</f>
        <v>Egypt</v>
      </c>
      <c r="J286" s="43" t="str">
        <f>IFERROR(__xludf.DUMMYFUNCTION("""COMPUTED_VALUE"""),"Ain Shams University")</f>
        <v>Ain Shams University</v>
      </c>
      <c r="K286" s="44" t="str">
        <f>IFERROR(__xludf.DUMMYFUNCTION("""COMPUTED_VALUE"""),"https://expa.aiesec.org/opportunities/1287304")</f>
        <v>https://expa.aiesec.org/opportunities/1287304</v>
      </c>
      <c r="L286" s="43" t="str">
        <f>IFERROR(__xludf.DUMMYFUNCTION("""COMPUTED_VALUE"""),"GV")</f>
        <v>GV</v>
      </c>
      <c r="M286" s="43" t="str">
        <f>IFERROR(__xludf.DUMMYFUNCTION("""COMPUTED_VALUE"""),"short")</f>
        <v>short</v>
      </c>
      <c r="N286" s="45">
        <f>IFERROR(__xludf.DUMMYFUNCTION("""COMPUTED_VALUE"""),44958.0)</f>
        <v>44958</v>
      </c>
      <c r="O286" s="45">
        <f>IFERROR(__xludf.DUMMYFUNCTION("""COMPUTED_VALUE"""),45108.0)</f>
        <v>45108</v>
      </c>
      <c r="P286" s="45">
        <f>IFERROR(__xludf.DUMMYFUNCTION("""COMPUTED_VALUE"""),45150.0)</f>
        <v>45150</v>
      </c>
      <c r="Q286" s="45"/>
      <c r="R286" s="45"/>
      <c r="S286" s="43"/>
      <c r="T286" s="43"/>
      <c r="U286" s="43" t="str">
        <f>IFERROR(__xludf.DUMMYFUNCTION("""COMPUTED_VALUE"""),"Scale Up!")</f>
        <v>Scale Up!</v>
      </c>
      <c r="V286" s="43" t="str">
        <f>IFERROR(__xludf.DUMMYFUNCTION("""COMPUTED_VALUE"""),"-")</f>
        <v>-</v>
      </c>
      <c r="W286" s="43" t="str">
        <f>IFERROR(__xludf.DUMMYFUNCTION("""COMPUTED_VALUE"""),"2023-01-15T18:08:42Z")</f>
        <v>2023-01-15T18:08:42Z</v>
      </c>
      <c r="X286" s="43"/>
      <c r="Y286" s="43"/>
      <c r="Z286" s="43"/>
    </row>
    <row r="287" hidden="1">
      <c r="A287" s="43" t="str">
        <f>IFERROR(__xludf.DUMMYFUNCTION("""COMPUTED_VALUE"""),"5177685_1291551")</f>
        <v>5177685_1291551</v>
      </c>
      <c r="B287" s="43" t="str">
        <f>IFERROR(__xludf.DUMMYFUNCTION("""COMPUTED_VALUE"""),"elif kanık")</f>
        <v>elif kanık</v>
      </c>
      <c r="C287" s="43" t="str">
        <f>IFERROR(__xludf.DUMMYFUNCTION("""COMPUTED_VALUE"""),"completed")</f>
        <v>completed</v>
      </c>
      <c r="D287" s="43" t="str">
        <f>IFERROR(__xludf.DUMMYFUNCTION("""COMPUTED_VALUE"""),"No")</f>
        <v>No</v>
      </c>
      <c r="E287" s="43" t="str">
        <f>IFERROR(__xludf.DUMMYFUNCTION("""COMPUTED_VALUE"""),"p_7045b3ea39df1a6af61b0bcc4a2abb8ed8b7b083@inbound.aiesec.org")</f>
        <v>p_7045b3ea39df1a6af61b0bcc4a2abb8ed8b7b083@inbound.aiesec.org</v>
      </c>
      <c r="F287" s="43">
        <f>IFERROR(__xludf.DUMMYFUNCTION("""COMPUTED_VALUE"""),5.012551535E9)</f>
        <v>5012551535</v>
      </c>
      <c r="G287" s="43" t="str">
        <f>IFERROR(__xludf.DUMMYFUNCTION("""COMPUTED_VALUE"""),"Turkey")</f>
        <v>Turkey</v>
      </c>
      <c r="H287" s="43" t="str">
        <f>IFERROR(__xludf.DUMMYFUNCTION("""COMPUTED_VALUE"""),"ISTANBUL")</f>
        <v>ISTANBUL</v>
      </c>
      <c r="I287" s="43" t="str">
        <f>IFERROR(__xludf.DUMMYFUNCTION("""COMPUTED_VALUE"""),"Italy")</f>
        <v>Italy</v>
      </c>
      <c r="J287" s="43" t="str">
        <f>IFERROR(__xludf.DUMMYFUNCTION("""COMPUTED_VALUE"""),"Bologna")</f>
        <v>Bologna</v>
      </c>
      <c r="K287" s="44" t="str">
        <f>IFERROR(__xludf.DUMMYFUNCTION("""COMPUTED_VALUE"""),"https://expa.aiesec.org/opportunities/1291551")</f>
        <v>https://expa.aiesec.org/opportunities/1291551</v>
      </c>
      <c r="L287" s="43" t="str">
        <f>IFERROR(__xludf.DUMMYFUNCTION("""COMPUTED_VALUE"""),"GV")</f>
        <v>GV</v>
      </c>
      <c r="M287" s="43" t="str">
        <f>IFERROR(__xludf.DUMMYFUNCTION("""COMPUTED_VALUE"""),"short")</f>
        <v>short</v>
      </c>
      <c r="N287" s="45">
        <f>IFERROR(__xludf.DUMMYFUNCTION("""COMPUTED_VALUE"""),44958.0)</f>
        <v>44958</v>
      </c>
      <c r="O287" s="45">
        <f>IFERROR(__xludf.DUMMYFUNCTION("""COMPUTED_VALUE"""),45032.0)</f>
        <v>45032</v>
      </c>
      <c r="P287" s="45">
        <f>IFERROR(__xludf.DUMMYFUNCTION("""COMPUTED_VALUE"""),45074.0)</f>
        <v>45074</v>
      </c>
      <c r="Q287" s="45">
        <f>IFERROR(__xludf.DUMMYFUNCTION("""COMPUTED_VALUE"""),45032.0)</f>
        <v>45032</v>
      </c>
      <c r="R287" s="45">
        <f>IFERROR(__xludf.DUMMYFUNCTION("""COMPUTED_VALUE"""),45074.0)</f>
        <v>45074</v>
      </c>
      <c r="S287" s="43"/>
      <c r="T287" s="43"/>
      <c r="U287" s="43" t="str">
        <f>IFERROR(__xludf.DUMMYFUNCTION("""COMPUTED_VALUE"""),"Youth 4 Impact")</f>
        <v>Youth 4 Impact</v>
      </c>
      <c r="V287" s="43" t="str">
        <f>IFERROR(__xludf.DUMMYFUNCTION("""COMPUTED_VALUE"""),"ISTANBUL - BEYOGLU")</f>
        <v>ISTANBUL - BEYOGLU</v>
      </c>
      <c r="W287" s="43" t="str">
        <f>IFERROR(__xludf.DUMMYFUNCTION("""COMPUTED_VALUE"""),"2023-01-17T20:37:49Z")</f>
        <v>2023-01-17T20:37:49Z</v>
      </c>
      <c r="X287" s="43"/>
      <c r="Y287" s="43"/>
      <c r="Z287" s="43"/>
    </row>
    <row r="288" hidden="1">
      <c r="A288" s="43" t="str">
        <f>IFERROR(__xludf.DUMMYFUNCTION("""COMPUTED_VALUE"""),"5176811_1290394")</f>
        <v>5176811_1290394</v>
      </c>
      <c r="B288" s="43" t="str">
        <f>IFERROR(__xludf.DUMMYFUNCTION("""COMPUTED_VALUE"""),"Duru Demir")</f>
        <v>Duru Demir</v>
      </c>
      <c r="C288" s="43" t="str">
        <f>IFERROR(__xludf.DUMMYFUNCTION("""COMPUTED_VALUE"""),"completed")</f>
        <v>completed</v>
      </c>
      <c r="D288" s="43" t="str">
        <f>IFERROR(__xludf.DUMMYFUNCTION("""COMPUTED_VALUE"""),"No")</f>
        <v>No</v>
      </c>
      <c r="E288" s="43" t="str">
        <f>IFERROR(__xludf.DUMMYFUNCTION("""COMPUTED_VALUE"""),"p_ae149b5d310fe7b741c1b8aca74500702ff6ba5d@inbound.aiesec.org")</f>
        <v>p_ae149b5d310fe7b741c1b8aca74500702ff6ba5d@inbound.aiesec.org</v>
      </c>
      <c r="F288" s="43">
        <f>IFERROR(__xludf.DUMMYFUNCTION("""COMPUTED_VALUE"""),5.445696279E9)</f>
        <v>5445696279</v>
      </c>
      <c r="G288" s="43" t="str">
        <f>IFERROR(__xludf.DUMMYFUNCTION("""COMPUTED_VALUE"""),"Turkey")</f>
        <v>Turkey</v>
      </c>
      <c r="H288" s="43" t="str">
        <f>IFERROR(__xludf.DUMMYFUNCTION("""COMPUTED_VALUE"""),"ISTANBUL WEST")</f>
        <v>ISTANBUL WEST</v>
      </c>
      <c r="I288" s="43" t="str">
        <f>IFERROR(__xludf.DUMMYFUNCTION("""COMPUTED_VALUE"""),"Egypt")</f>
        <v>Egypt</v>
      </c>
      <c r="J288" s="43" t="str">
        <f>IFERROR(__xludf.DUMMYFUNCTION("""COMPUTED_VALUE"""),"Ain Shams University")</f>
        <v>Ain Shams University</v>
      </c>
      <c r="K288" s="44" t="str">
        <f>IFERROR(__xludf.DUMMYFUNCTION("""COMPUTED_VALUE"""),"https://expa.aiesec.org/opportunities/1290394")</f>
        <v>https://expa.aiesec.org/opportunities/1290394</v>
      </c>
      <c r="L288" s="43" t="str">
        <f>IFERROR(__xludf.DUMMYFUNCTION("""COMPUTED_VALUE"""),"GV")</f>
        <v>GV</v>
      </c>
      <c r="M288" s="43" t="str">
        <f>IFERROR(__xludf.DUMMYFUNCTION("""COMPUTED_VALUE"""),"short")</f>
        <v>short</v>
      </c>
      <c r="N288" s="45">
        <f>IFERROR(__xludf.DUMMYFUNCTION("""COMPUTED_VALUE"""),44958.0)</f>
        <v>44958</v>
      </c>
      <c r="O288" s="45">
        <f>IFERROR(__xludf.DUMMYFUNCTION("""COMPUTED_VALUE"""),45122.0)</f>
        <v>45122</v>
      </c>
      <c r="P288" s="45">
        <f>IFERROR(__xludf.DUMMYFUNCTION("""COMPUTED_VALUE"""),45164.0)</f>
        <v>45164</v>
      </c>
      <c r="Q288" s="45">
        <f>IFERROR(__xludf.DUMMYFUNCTION("""COMPUTED_VALUE"""),45122.0)</f>
        <v>45122</v>
      </c>
      <c r="R288" s="45">
        <f>IFERROR(__xludf.DUMMYFUNCTION("""COMPUTED_VALUE"""),45164.0)</f>
        <v>45164</v>
      </c>
      <c r="S288" s="43"/>
      <c r="T288" s="43"/>
      <c r="U288" s="43" t="str">
        <f>IFERROR(__xludf.DUMMYFUNCTION("""COMPUTED_VALUE"""),"Global Classroom")</f>
        <v>Global Classroom</v>
      </c>
      <c r="V288" s="43" t="str">
        <f>IFERROR(__xludf.DUMMYFUNCTION("""COMPUTED_VALUE"""),"ISTANBUL - BAKIRKOY")</f>
        <v>ISTANBUL - BAKIRKOY</v>
      </c>
      <c r="W288" s="43" t="str">
        <f>IFERROR(__xludf.DUMMYFUNCTION("""COMPUTED_VALUE"""),"2023-01-15T16:11:37Z")</f>
        <v>2023-01-15T16:11:37Z</v>
      </c>
      <c r="X288" s="43"/>
      <c r="Y288" s="43"/>
      <c r="Z288" s="43"/>
    </row>
    <row r="289" hidden="1">
      <c r="A289" s="43" t="str">
        <f>IFERROR(__xludf.DUMMYFUNCTION("""COMPUTED_VALUE"""),"5175643_1290190")</f>
        <v>5175643_1290190</v>
      </c>
      <c r="B289" s="43" t="str">
        <f>IFERROR(__xludf.DUMMYFUNCTION("""COMPUTED_VALUE"""),"İrem Pamukçu")</f>
        <v>İrem Pamukçu</v>
      </c>
      <c r="C289" s="43" t="str">
        <f>IFERROR(__xludf.DUMMYFUNCTION("""COMPUTED_VALUE"""),"approved")</f>
        <v>approved</v>
      </c>
      <c r="D289" s="43" t="str">
        <f>IFERROR(__xludf.DUMMYFUNCTION("""COMPUTED_VALUE"""),"No")</f>
        <v>No</v>
      </c>
      <c r="E289" s="43" t="str">
        <f>IFERROR(__xludf.DUMMYFUNCTION("""COMPUTED_VALUE"""),"p_b159da53ebb38461eb8c30cac8663b96b59976ba@inbound.aiesec.org")</f>
        <v>p_b159da53ebb38461eb8c30cac8663b96b59976ba@inbound.aiesec.org</v>
      </c>
      <c r="F289" s="43">
        <f>IFERROR(__xludf.DUMMYFUNCTION("""COMPUTED_VALUE"""),5.388968503E9)</f>
        <v>5388968503</v>
      </c>
      <c r="G289" s="43" t="str">
        <f>IFERROR(__xludf.DUMMYFUNCTION("""COMPUTED_VALUE"""),"Turkey")</f>
        <v>Turkey</v>
      </c>
      <c r="H289" s="43" t="str">
        <f>IFERROR(__xludf.DUMMYFUNCTION("""COMPUTED_VALUE"""),"ISTANBUL ASIA")</f>
        <v>ISTANBUL ASIA</v>
      </c>
      <c r="I289" s="43" t="str">
        <f>IFERROR(__xludf.DUMMYFUNCTION("""COMPUTED_VALUE"""),"Romania")</f>
        <v>Romania</v>
      </c>
      <c r="J289" s="43" t="str">
        <f>IFERROR(__xludf.DUMMYFUNCTION("""COMPUTED_VALUE"""),"BUCURESTI")</f>
        <v>BUCURESTI</v>
      </c>
      <c r="K289" s="44" t="str">
        <f>IFERROR(__xludf.DUMMYFUNCTION("""COMPUTED_VALUE"""),"https://expa.aiesec.org/opportunities/1290190")</f>
        <v>https://expa.aiesec.org/opportunities/1290190</v>
      </c>
      <c r="L289" s="43" t="str">
        <f>IFERROR(__xludf.DUMMYFUNCTION("""COMPUTED_VALUE"""),"GV")</f>
        <v>GV</v>
      </c>
      <c r="M289" s="43" t="str">
        <f>IFERROR(__xludf.DUMMYFUNCTION("""COMPUTED_VALUE"""),"short")</f>
        <v>short</v>
      </c>
      <c r="N289" s="45">
        <f>IFERROR(__xludf.DUMMYFUNCTION("""COMPUTED_VALUE"""),44958.0)</f>
        <v>44958</v>
      </c>
      <c r="O289" s="45">
        <f>IFERROR(__xludf.DUMMYFUNCTION("""COMPUTED_VALUE"""),45096.0)</f>
        <v>45096</v>
      </c>
      <c r="P289" s="45">
        <f>IFERROR(__xludf.DUMMYFUNCTION("""COMPUTED_VALUE"""),45138.0)</f>
        <v>45138</v>
      </c>
      <c r="Q289" s="45"/>
      <c r="R289" s="45"/>
      <c r="S289" s="43"/>
      <c r="T289" s="43"/>
      <c r="U289" s="43" t="str">
        <f>IFERROR(__xludf.DUMMYFUNCTION("""COMPUTED_VALUE"""),"Fingerprint")</f>
        <v>Fingerprint</v>
      </c>
      <c r="V289" s="43" t="str">
        <f>IFERROR(__xludf.DUMMYFUNCTION("""COMPUTED_VALUE"""),"ISTANBUL ASIA")</f>
        <v>ISTANBUL ASIA</v>
      </c>
      <c r="W289" s="43" t="str">
        <f>IFERROR(__xludf.DUMMYFUNCTION("""COMPUTED_VALUE"""),"2023-01-11T20:42:34Z")</f>
        <v>2023-01-11T20:42:34Z</v>
      </c>
      <c r="X289" s="43"/>
      <c r="Y289" s="43"/>
      <c r="Z289" s="43"/>
    </row>
    <row r="290" hidden="1">
      <c r="A290" s="43" t="str">
        <f>IFERROR(__xludf.DUMMYFUNCTION("""COMPUTED_VALUE"""),"5174443_1291378")</f>
        <v>5174443_1291378</v>
      </c>
      <c r="B290" s="43" t="str">
        <f>IFERROR(__xludf.DUMMYFUNCTION("""COMPUTED_VALUE"""),"Yiğit Özer")</f>
        <v>Yiğit Özer</v>
      </c>
      <c r="C290" s="43" t="str">
        <f>IFERROR(__xludf.DUMMYFUNCTION("""COMPUTED_VALUE"""),"approved")</f>
        <v>approved</v>
      </c>
      <c r="D290" s="43" t="str">
        <f>IFERROR(__xludf.DUMMYFUNCTION("""COMPUTED_VALUE"""),"No")</f>
        <v>No</v>
      </c>
      <c r="E290" s="43" t="str">
        <f>IFERROR(__xludf.DUMMYFUNCTION("""COMPUTED_VALUE"""),"p_151eea55ef342b6f53d9c7a58c6a8063a15eda61@inbound.aiesec.org")</f>
        <v>p_151eea55ef342b6f53d9c7a58c6a8063a15eda61@inbound.aiesec.org</v>
      </c>
      <c r="F290" s="43">
        <f>IFERROR(__xludf.DUMMYFUNCTION("""COMPUTED_VALUE"""),5.35300158E9)</f>
        <v>5353001580</v>
      </c>
      <c r="G290" s="43" t="str">
        <f>IFERROR(__xludf.DUMMYFUNCTION("""COMPUTED_VALUE"""),"Turkey")</f>
        <v>Turkey</v>
      </c>
      <c r="H290" s="43" t="str">
        <f>IFERROR(__xludf.DUMMYFUNCTION("""COMPUTED_VALUE"""),"ISTANBUL")</f>
        <v>ISTANBUL</v>
      </c>
      <c r="I290" s="43" t="str">
        <f>IFERROR(__xludf.DUMMYFUNCTION("""COMPUTED_VALUE"""),"Romania")</f>
        <v>Romania</v>
      </c>
      <c r="J290" s="43" t="str">
        <f>IFERROR(__xludf.DUMMYFUNCTION("""COMPUTED_VALUE"""),"BUCURESTI")</f>
        <v>BUCURESTI</v>
      </c>
      <c r="K290" s="44" t="str">
        <f>IFERROR(__xludf.DUMMYFUNCTION("""COMPUTED_VALUE"""),"https://expa.aiesec.org/opportunities/1291378")</f>
        <v>https://expa.aiesec.org/opportunities/1291378</v>
      </c>
      <c r="L290" s="43" t="str">
        <f>IFERROR(__xludf.DUMMYFUNCTION("""COMPUTED_VALUE"""),"GV")</f>
        <v>GV</v>
      </c>
      <c r="M290" s="43" t="str">
        <f>IFERROR(__xludf.DUMMYFUNCTION("""COMPUTED_VALUE"""),"short")</f>
        <v>short</v>
      </c>
      <c r="N290" s="45">
        <f>IFERROR(__xludf.DUMMYFUNCTION("""COMPUTED_VALUE"""),44958.0)</f>
        <v>44958</v>
      </c>
      <c r="O290" s="45">
        <f>IFERROR(__xludf.DUMMYFUNCTION("""COMPUTED_VALUE"""),45096.0)</f>
        <v>45096</v>
      </c>
      <c r="P290" s="45">
        <f>IFERROR(__xludf.DUMMYFUNCTION("""COMPUTED_VALUE"""),45138.0)</f>
        <v>45138</v>
      </c>
      <c r="Q290" s="45"/>
      <c r="R290" s="45"/>
      <c r="S290" s="43"/>
      <c r="T290" s="43"/>
      <c r="U290" s="43" t="str">
        <f>IFERROR(__xludf.DUMMYFUNCTION("""COMPUTED_VALUE"""),"Scale Up!")</f>
        <v>Scale Up!</v>
      </c>
      <c r="V290" s="43" t="str">
        <f>IFERROR(__xludf.DUMMYFUNCTION("""COMPUTED_VALUE"""),"ISTANBUL ASIA")</f>
        <v>ISTANBUL ASIA</v>
      </c>
      <c r="W290" s="43" t="str">
        <f>IFERROR(__xludf.DUMMYFUNCTION("""COMPUTED_VALUE"""),"2023-01-08T19:40:51Z")</f>
        <v>2023-01-08T19:40:51Z</v>
      </c>
      <c r="X290" s="43"/>
      <c r="Y290" s="43"/>
      <c r="Z290" s="43"/>
    </row>
    <row r="291" hidden="1">
      <c r="A291" s="43" t="str">
        <f>IFERROR(__xludf.DUMMYFUNCTION("""COMPUTED_VALUE"""),"5171938_1286585")</f>
        <v>5171938_1286585</v>
      </c>
      <c r="B291" s="43" t="str">
        <f>IFERROR(__xludf.DUMMYFUNCTION("""COMPUTED_VALUE"""),"mehpare sözen")</f>
        <v>mehpare sözen</v>
      </c>
      <c r="C291" s="43" t="str">
        <f>IFERROR(__xludf.DUMMYFUNCTION("""COMPUTED_VALUE"""),"completed")</f>
        <v>completed</v>
      </c>
      <c r="D291" s="43" t="str">
        <f>IFERROR(__xludf.DUMMYFUNCTION("""COMPUTED_VALUE"""),"No")</f>
        <v>No</v>
      </c>
      <c r="E291" s="43" t="str">
        <f>IFERROR(__xludf.DUMMYFUNCTION("""COMPUTED_VALUE"""),"p_2a420ff4b6faa7ea63b89c9225644a25c5049756@inbound.aiesec.org")</f>
        <v>p_2a420ff4b6faa7ea63b89c9225644a25c5049756@inbound.aiesec.org</v>
      </c>
      <c r="F291" s="43">
        <f>IFERROR(__xludf.DUMMYFUNCTION("""COMPUTED_VALUE"""),5.413065298E9)</f>
        <v>5413065298</v>
      </c>
      <c r="G291" s="43" t="str">
        <f>IFERROR(__xludf.DUMMYFUNCTION("""COMPUTED_VALUE"""),"Turkey")</f>
        <v>Turkey</v>
      </c>
      <c r="H291" s="43" t="str">
        <f>IFERROR(__xludf.DUMMYFUNCTION("""COMPUTED_VALUE"""),"ANTALYA")</f>
        <v>ANTALYA</v>
      </c>
      <c r="I291" s="43" t="str">
        <f>IFERROR(__xludf.DUMMYFUNCTION("""COMPUTED_VALUE"""),"Sri Lanka")</f>
        <v>Sri Lanka</v>
      </c>
      <c r="J291" s="43" t="str">
        <f>IFERROR(__xludf.DUMMYFUNCTION("""COMPUTED_VALUE"""),"COLOMBO NORTH")</f>
        <v>COLOMBO NORTH</v>
      </c>
      <c r="K291" s="44" t="str">
        <f>IFERROR(__xludf.DUMMYFUNCTION("""COMPUTED_VALUE"""),"https://expa.aiesec.org/opportunities/1286585")</f>
        <v>https://expa.aiesec.org/opportunities/1286585</v>
      </c>
      <c r="L291" s="43" t="str">
        <f>IFERROR(__xludf.DUMMYFUNCTION("""COMPUTED_VALUE"""),"GV")</f>
        <v>GV</v>
      </c>
      <c r="M291" s="43" t="str">
        <f>IFERROR(__xludf.DUMMYFUNCTION("""COMPUTED_VALUE"""),"short")</f>
        <v>short</v>
      </c>
      <c r="N291" s="45">
        <f>IFERROR(__xludf.DUMMYFUNCTION("""COMPUTED_VALUE"""),44958.0)</f>
        <v>44958</v>
      </c>
      <c r="O291" s="45">
        <f>IFERROR(__xludf.DUMMYFUNCTION("""COMPUTED_VALUE"""),44975.0)</f>
        <v>44975</v>
      </c>
      <c r="P291" s="45">
        <f>IFERROR(__xludf.DUMMYFUNCTION("""COMPUTED_VALUE"""),45017.0)</f>
        <v>45017</v>
      </c>
      <c r="Q291" s="45">
        <f>IFERROR(__xludf.DUMMYFUNCTION("""COMPUTED_VALUE"""),44977.0)</f>
        <v>44977</v>
      </c>
      <c r="R291" s="45">
        <f>IFERROR(__xludf.DUMMYFUNCTION("""COMPUTED_VALUE"""),45017.0)</f>
        <v>45017</v>
      </c>
      <c r="S291" s="43"/>
      <c r="T291" s="43"/>
      <c r="U291" s="43" t="str">
        <f>IFERROR(__xludf.DUMMYFUNCTION("""COMPUTED_VALUE"""),"On The Map")</f>
        <v>On The Map</v>
      </c>
      <c r="V291" s="43" t="str">
        <f>IFERROR(__xludf.DUMMYFUNCTION("""COMPUTED_VALUE"""),"ANTALYA")</f>
        <v>ANTALYA</v>
      </c>
      <c r="W291" s="43" t="str">
        <f>IFERROR(__xludf.DUMMYFUNCTION("""COMPUTED_VALUE"""),"2022-12-31T12:04:59Z")</f>
        <v>2022-12-31T12:04:59Z</v>
      </c>
      <c r="X291" s="43"/>
      <c r="Y291" s="43"/>
      <c r="Z291" s="43"/>
    </row>
    <row r="292" hidden="1">
      <c r="A292" s="43" t="str">
        <f>IFERROR(__xludf.DUMMYFUNCTION("""COMPUTED_VALUE"""),"5183624_1291622")</f>
        <v>5183624_1291622</v>
      </c>
      <c r="B292" s="43" t="str">
        <f>IFERROR(__xludf.DUMMYFUNCTION("""COMPUTED_VALUE"""),"Helin Kahraman")</f>
        <v>Helin Kahraman</v>
      </c>
      <c r="C292" s="43" t="str">
        <f>IFERROR(__xludf.DUMMYFUNCTION("""COMPUTED_VALUE"""),"completed")</f>
        <v>completed</v>
      </c>
      <c r="D292" s="43" t="str">
        <f>IFERROR(__xludf.DUMMYFUNCTION("""COMPUTED_VALUE"""),"No")</f>
        <v>No</v>
      </c>
      <c r="E292" s="43" t="str">
        <f>IFERROR(__xludf.DUMMYFUNCTION("""COMPUTED_VALUE"""),"p_aaf4986cebc22e5ed31c845263236758062db26e@inbound.aiesec.org")</f>
        <v>p_aaf4986cebc22e5ed31c845263236758062db26e@inbound.aiesec.org</v>
      </c>
      <c r="F292" s="43"/>
      <c r="G292" s="43" t="str">
        <f>IFERROR(__xludf.DUMMYFUNCTION("""COMPUTED_VALUE"""),"Turkey")</f>
        <v>Turkey</v>
      </c>
      <c r="H292" s="43" t="str">
        <f>IFERROR(__xludf.DUMMYFUNCTION("""COMPUTED_VALUE"""),"KOCAELI")</f>
        <v>KOCAELI</v>
      </c>
      <c r="I292" s="43" t="str">
        <f>IFERROR(__xludf.DUMMYFUNCTION("""COMPUTED_VALUE"""),"Romania")</f>
        <v>Romania</v>
      </c>
      <c r="J292" s="43" t="str">
        <f>IFERROR(__xludf.DUMMYFUNCTION("""COMPUTED_VALUE"""),"IASI")</f>
        <v>IASI</v>
      </c>
      <c r="K292" s="44" t="str">
        <f>IFERROR(__xludf.DUMMYFUNCTION("""COMPUTED_VALUE"""),"https://expa.aiesec.org/opportunities/1291622")</f>
        <v>https://expa.aiesec.org/opportunities/1291622</v>
      </c>
      <c r="L292" s="43" t="str">
        <f>IFERROR(__xludf.DUMMYFUNCTION("""COMPUTED_VALUE"""),"GV")</f>
        <v>GV</v>
      </c>
      <c r="M292" s="43" t="str">
        <f>IFERROR(__xludf.DUMMYFUNCTION("""COMPUTED_VALUE"""),"short")</f>
        <v>short</v>
      </c>
      <c r="N292" s="45">
        <f>IFERROR(__xludf.DUMMYFUNCTION("""COMPUTED_VALUE"""),44960.0)</f>
        <v>44960</v>
      </c>
      <c r="O292" s="45">
        <f>IFERROR(__xludf.DUMMYFUNCTION("""COMPUTED_VALUE"""),45102.0)</f>
        <v>45102</v>
      </c>
      <c r="P292" s="45">
        <f>IFERROR(__xludf.DUMMYFUNCTION("""COMPUTED_VALUE"""),45144.0)</f>
        <v>45144</v>
      </c>
      <c r="Q292" s="45">
        <f>IFERROR(__xludf.DUMMYFUNCTION("""COMPUTED_VALUE"""),45103.0)</f>
        <v>45103</v>
      </c>
      <c r="R292" s="45">
        <f>IFERROR(__xludf.DUMMYFUNCTION("""COMPUTED_VALUE"""),45145.0)</f>
        <v>45145</v>
      </c>
      <c r="S292" s="43"/>
      <c r="T292" s="43"/>
      <c r="U292" s="43" t="str">
        <f>IFERROR(__xludf.DUMMYFUNCTION("""COMPUTED_VALUE"""),"Global Classroom")</f>
        <v>Global Classroom</v>
      </c>
      <c r="V292" s="43" t="str">
        <f>IFERROR(__xludf.DUMMYFUNCTION("""COMPUTED_VALUE"""),"-")</f>
        <v>-</v>
      </c>
      <c r="W292" s="43" t="str">
        <f>IFERROR(__xludf.DUMMYFUNCTION("""COMPUTED_VALUE"""),"2023-02-01T19:28:56Z")</f>
        <v>2023-02-01T19:28:56Z</v>
      </c>
      <c r="X292" s="43"/>
      <c r="Y292" s="43"/>
      <c r="Z292" s="43"/>
    </row>
    <row r="293" hidden="1">
      <c r="A293" s="43" t="str">
        <f>IFERROR(__xludf.DUMMYFUNCTION("""COMPUTED_VALUE"""),"5177824_1289899")</f>
        <v>5177824_1289899</v>
      </c>
      <c r="B293" s="43" t="str">
        <f>IFERROR(__xludf.DUMMYFUNCTION("""COMPUTED_VALUE"""),"mariye kosdik")</f>
        <v>mariye kosdik</v>
      </c>
      <c r="C293" s="43" t="str">
        <f>IFERROR(__xludf.DUMMYFUNCTION("""COMPUTED_VALUE"""),"approved")</f>
        <v>approved</v>
      </c>
      <c r="D293" s="43" t="str">
        <f>IFERROR(__xludf.DUMMYFUNCTION("""COMPUTED_VALUE"""),"No")</f>
        <v>No</v>
      </c>
      <c r="E293" s="43" t="str">
        <f>IFERROR(__xludf.DUMMYFUNCTION("""COMPUTED_VALUE"""),"p_a547ef96d0cd83268134574e896b7d123f1d4905@inbound.aiesec.org")</f>
        <v>p_a547ef96d0cd83268134574e896b7d123f1d4905@inbound.aiesec.org</v>
      </c>
      <c r="F293" s="43">
        <f>IFERROR(__xludf.DUMMYFUNCTION("""COMPUTED_VALUE"""),5.454621891E9)</f>
        <v>5454621891</v>
      </c>
      <c r="G293" s="43" t="str">
        <f>IFERROR(__xludf.DUMMYFUNCTION("""COMPUTED_VALUE"""),"Turkey")</f>
        <v>Turkey</v>
      </c>
      <c r="H293" s="43" t="str">
        <f>IFERROR(__xludf.DUMMYFUNCTION("""COMPUTED_VALUE"""),"ISTANBUL WEST")</f>
        <v>ISTANBUL WEST</v>
      </c>
      <c r="I293" s="43" t="str">
        <f>IFERROR(__xludf.DUMMYFUNCTION("""COMPUTED_VALUE"""),"Egypt")</f>
        <v>Egypt</v>
      </c>
      <c r="J293" s="43" t="str">
        <f>IFERROR(__xludf.DUMMYFUNCTION("""COMPUTED_VALUE"""),"MIU")</f>
        <v>MIU</v>
      </c>
      <c r="K293" s="44" t="str">
        <f>IFERROR(__xludf.DUMMYFUNCTION("""COMPUTED_VALUE"""),"https://expa.aiesec.org/opportunities/1289899")</f>
        <v>https://expa.aiesec.org/opportunities/1289899</v>
      </c>
      <c r="L293" s="43" t="str">
        <f>IFERROR(__xludf.DUMMYFUNCTION("""COMPUTED_VALUE"""),"GV")</f>
        <v>GV</v>
      </c>
      <c r="M293" s="43" t="str">
        <f>IFERROR(__xludf.DUMMYFUNCTION("""COMPUTED_VALUE"""),"short")</f>
        <v>short</v>
      </c>
      <c r="N293" s="45">
        <f>IFERROR(__xludf.DUMMYFUNCTION("""COMPUTED_VALUE"""),44960.0)</f>
        <v>44960</v>
      </c>
      <c r="O293" s="45">
        <f>IFERROR(__xludf.DUMMYFUNCTION("""COMPUTED_VALUE"""),45108.0)</f>
        <v>45108</v>
      </c>
      <c r="P293" s="45">
        <f>IFERROR(__xludf.DUMMYFUNCTION("""COMPUTED_VALUE"""),45152.0)</f>
        <v>45152</v>
      </c>
      <c r="Q293" s="45"/>
      <c r="R293" s="45"/>
      <c r="S293" s="43"/>
      <c r="T293" s="43"/>
      <c r="U293" s="43" t="str">
        <f>IFERROR(__xludf.DUMMYFUNCTION("""COMPUTED_VALUE"""),"Scale Up!")</f>
        <v>Scale Up!</v>
      </c>
      <c r="V293" s="43" t="str">
        <f>IFERROR(__xludf.DUMMYFUNCTION("""COMPUTED_VALUE"""),"ISTANBUL - BAKIRKOY")</f>
        <v>ISTANBUL - BAKIRKOY</v>
      </c>
      <c r="W293" s="43" t="str">
        <f>IFERROR(__xludf.DUMMYFUNCTION("""COMPUTED_VALUE"""),"2023-01-18T08:17:41Z")</f>
        <v>2023-01-18T08:17:41Z</v>
      </c>
      <c r="X293" s="43"/>
      <c r="Y293" s="43"/>
      <c r="Z293" s="43"/>
    </row>
    <row r="294" hidden="1">
      <c r="A294" s="43" t="str">
        <f>IFERROR(__xludf.DUMMYFUNCTION("""COMPUTED_VALUE"""),"4916318_1291852")</f>
        <v>4916318_1291852</v>
      </c>
      <c r="B294" s="43" t="str">
        <f>IFERROR(__xludf.DUMMYFUNCTION("""COMPUTED_VALUE"""),"Aybüke Öykü özgen")</f>
        <v>Aybüke Öykü özgen</v>
      </c>
      <c r="C294" s="43" t="str">
        <f>IFERROR(__xludf.DUMMYFUNCTION("""COMPUTED_VALUE"""),"completed")</f>
        <v>completed</v>
      </c>
      <c r="D294" s="43" t="str">
        <f>IFERROR(__xludf.DUMMYFUNCTION("""COMPUTED_VALUE"""),"No")</f>
        <v>No</v>
      </c>
      <c r="E294" s="43" t="str">
        <f>IFERROR(__xludf.DUMMYFUNCTION("""COMPUTED_VALUE"""),"p_6f22c35511098db9b6c0b7560795eebc0e724763@inbound.aiesec.org")</f>
        <v>p_6f22c35511098db9b6c0b7560795eebc0e724763@inbound.aiesec.org</v>
      </c>
      <c r="F294" s="43">
        <f>IFERROR(__xludf.DUMMYFUNCTION("""COMPUTED_VALUE"""),5.348491143E9)</f>
        <v>5348491143</v>
      </c>
      <c r="G294" s="43" t="str">
        <f>IFERROR(__xludf.DUMMYFUNCTION("""COMPUTED_VALUE"""),"Turkey")</f>
        <v>Turkey</v>
      </c>
      <c r="H294" s="43" t="str">
        <f>IFERROR(__xludf.DUMMYFUNCTION("""COMPUTED_VALUE"""),"ISTANBUL ASIA")</f>
        <v>ISTANBUL ASIA</v>
      </c>
      <c r="I294" s="43" t="str">
        <f>IFERROR(__xludf.DUMMYFUNCTION("""COMPUTED_VALUE"""),"Romania")</f>
        <v>Romania</v>
      </c>
      <c r="J294" s="43" t="str">
        <f>IFERROR(__xludf.DUMMYFUNCTION("""COMPUTED_VALUE"""),"BUCURESTI")</f>
        <v>BUCURESTI</v>
      </c>
      <c r="K294" s="44" t="str">
        <f>IFERROR(__xludf.DUMMYFUNCTION("""COMPUTED_VALUE"""),"https://expa.aiesec.org/opportunities/1291852")</f>
        <v>https://expa.aiesec.org/opportunities/1291852</v>
      </c>
      <c r="L294" s="43" t="str">
        <f>IFERROR(__xludf.DUMMYFUNCTION("""COMPUTED_VALUE"""),"GV")</f>
        <v>GV</v>
      </c>
      <c r="M294" s="43" t="str">
        <f>IFERROR(__xludf.DUMMYFUNCTION("""COMPUTED_VALUE"""),"short")</f>
        <v>short</v>
      </c>
      <c r="N294" s="45">
        <f>IFERROR(__xludf.DUMMYFUNCTION("""COMPUTED_VALUE"""),44960.0)</f>
        <v>44960</v>
      </c>
      <c r="O294" s="45">
        <f>IFERROR(__xludf.DUMMYFUNCTION("""COMPUTED_VALUE"""),45096.0)</f>
        <v>45096</v>
      </c>
      <c r="P294" s="45">
        <f>IFERROR(__xludf.DUMMYFUNCTION("""COMPUTED_VALUE"""),45138.0)</f>
        <v>45138</v>
      </c>
      <c r="Q294" s="45">
        <f>IFERROR(__xludf.DUMMYFUNCTION("""COMPUTED_VALUE"""),45095.0)</f>
        <v>45095</v>
      </c>
      <c r="R294" s="45">
        <f>IFERROR(__xludf.DUMMYFUNCTION("""COMPUTED_VALUE"""),45138.0)</f>
        <v>45138</v>
      </c>
      <c r="S294" s="43"/>
      <c r="T294" s="43"/>
      <c r="U294" s="43" t="str">
        <f>IFERROR(__xludf.DUMMYFUNCTION("""COMPUTED_VALUE"""),"Fingerprint")</f>
        <v>Fingerprint</v>
      </c>
      <c r="V294" s="43" t="str">
        <f>IFERROR(__xludf.DUMMYFUNCTION("""COMPUTED_VALUE"""),"ISTANBUL - BEYOGLU")</f>
        <v>ISTANBUL - BEYOGLU</v>
      </c>
      <c r="W294" s="43" t="str">
        <f>IFERROR(__xludf.DUMMYFUNCTION("""COMPUTED_VALUE"""),"2022-02-05T11:26:13Z")</f>
        <v>2022-02-05T11:26:13Z</v>
      </c>
      <c r="X294" s="43"/>
      <c r="Y294" s="43"/>
      <c r="Z294" s="43"/>
    </row>
    <row r="295" hidden="1">
      <c r="A295" s="43" t="str">
        <f>IFERROR(__xludf.DUMMYFUNCTION("""COMPUTED_VALUE"""),"5170971_1287459")</f>
        <v>5170971_1287459</v>
      </c>
      <c r="B295" s="43" t="str">
        <f>IFERROR(__xludf.DUMMYFUNCTION("""COMPUTED_VALUE"""),"Ezgi Atar")</f>
        <v>Ezgi Atar</v>
      </c>
      <c r="C295" s="43" t="str">
        <f>IFERROR(__xludf.DUMMYFUNCTION("""COMPUTED_VALUE"""),"approved")</f>
        <v>approved</v>
      </c>
      <c r="D295" s="43" t="str">
        <f>IFERROR(__xludf.DUMMYFUNCTION("""COMPUTED_VALUE"""),"No")</f>
        <v>No</v>
      </c>
      <c r="E295" s="43" t="str">
        <f>IFERROR(__xludf.DUMMYFUNCTION("""COMPUTED_VALUE"""),"p_217dfe4f00645d057d5c295d28a931a3e4b1d589@inbound.aiesec.org")</f>
        <v>p_217dfe4f00645d057d5c295d28a931a3e4b1d589@inbound.aiesec.org</v>
      </c>
      <c r="F295" s="43"/>
      <c r="G295" s="43" t="str">
        <f>IFERROR(__xludf.DUMMYFUNCTION("""COMPUTED_VALUE"""),"Turkey")</f>
        <v>Turkey</v>
      </c>
      <c r="H295" s="43" t="str">
        <f>IFERROR(__xludf.DUMMYFUNCTION("""COMPUTED_VALUE"""),"BURSA")</f>
        <v>BURSA</v>
      </c>
      <c r="I295" s="43" t="str">
        <f>IFERROR(__xludf.DUMMYFUNCTION("""COMPUTED_VALUE"""),"Sri Lanka")</f>
        <v>Sri Lanka</v>
      </c>
      <c r="J295" s="43" t="str">
        <f>IFERROR(__xludf.DUMMYFUNCTION("""COMPUTED_VALUE"""),"SLIIT")</f>
        <v>SLIIT</v>
      </c>
      <c r="K295" s="44" t="str">
        <f>IFERROR(__xludf.DUMMYFUNCTION("""COMPUTED_VALUE"""),"https://expa.aiesec.org/opportunities/1287459")</f>
        <v>https://expa.aiesec.org/opportunities/1287459</v>
      </c>
      <c r="L295" s="43" t="str">
        <f>IFERROR(__xludf.DUMMYFUNCTION("""COMPUTED_VALUE"""),"GV")</f>
        <v>GV</v>
      </c>
      <c r="M295" s="43" t="str">
        <f>IFERROR(__xludf.DUMMYFUNCTION("""COMPUTED_VALUE"""),"short")</f>
        <v>short</v>
      </c>
      <c r="N295" s="45">
        <f>IFERROR(__xludf.DUMMYFUNCTION("""COMPUTED_VALUE"""),44960.0)</f>
        <v>44960</v>
      </c>
      <c r="O295" s="45">
        <f>IFERROR(__xludf.DUMMYFUNCTION("""COMPUTED_VALUE"""),45118.0)</f>
        <v>45118</v>
      </c>
      <c r="P295" s="45">
        <f>IFERROR(__xludf.DUMMYFUNCTION("""COMPUTED_VALUE"""),45160.0)</f>
        <v>45160</v>
      </c>
      <c r="Q295" s="45"/>
      <c r="R295" s="45"/>
      <c r="S295" s="43"/>
      <c r="T295" s="43"/>
      <c r="U295" s="43" t="str">
        <f>IFERROR(__xludf.DUMMYFUNCTION("""COMPUTED_VALUE"""),"Aquatica")</f>
        <v>Aquatica</v>
      </c>
      <c r="V295" s="43" t="str">
        <f>IFERROR(__xludf.DUMMYFUNCTION("""COMPUTED_VALUE"""),"BALIKESIR")</f>
        <v>BALIKESIR</v>
      </c>
      <c r="W295" s="43" t="str">
        <f>IFERROR(__xludf.DUMMYFUNCTION("""COMPUTED_VALUE"""),"2022-12-28T10:24:44Z")</f>
        <v>2022-12-28T10:24:44Z</v>
      </c>
      <c r="X295" s="43"/>
      <c r="Y295" s="43"/>
      <c r="Z295" s="43"/>
    </row>
    <row r="296" hidden="1">
      <c r="A296" s="43" t="str">
        <f>IFERROR(__xludf.DUMMYFUNCTION("""COMPUTED_VALUE"""),"5185207_1289215")</f>
        <v>5185207_1289215</v>
      </c>
      <c r="B296" s="43" t="str">
        <f>IFERROR(__xludf.DUMMYFUNCTION("""COMPUTED_VALUE"""),"Samet Tetik")</f>
        <v>Samet Tetik</v>
      </c>
      <c r="C296" s="43" t="str">
        <f>IFERROR(__xludf.DUMMYFUNCTION("""COMPUTED_VALUE"""),"completed")</f>
        <v>completed</v>
      </c>
      <c r="D296" s="43" t="str">
        <f>IFERROR(__xludf.DUMMYFUNCTION("""COMPUTED_VALUE"""),"No")</f>
        <v>No</v>
      </c>
      <c r="E296" s="43" t="str">
        <f>IFERROR(__xludf.DUMMYFUNCTION("""COMPUTED_VALUE"""),"p_036bdeed4250a3cbab8f71117152d881c392340c@inbound.aiesec.org")</f>
        <v>p_036bdeed4250a3cbab8f71117152d881c392340c@inbound.aiesec.org</v>
      </c>
      <c r="F296" s="43">
        <f>IFERROR(__xludf.DUMMYFUNCTION("""COMPUTED_VALUE"""),5.531123029E9)</f>
        <v>5531123029</v>
      </c>
      <c r="G296" s="43" t="str">
        <f>IFERROR(__xludf.DUMMYFUNCTION("""COMPUTED_VALUE"""),"Turkey")</f>
        <v>Turkey</v>
      </c>
      <c r="H296" s="43" t="str">
        <f>IFERROR(__xludf.DUMMYFUNCTION("""COMPUTED_VALUE"""),"KUTAHYA")</f>
        <v>KUTAHYA</v>
      </c>
      <c r="I296" s="43" t="str">
        <f>IFERROR(__xludf.DUMMYFUNCTION("""COMPUTED_VALUE"""),"Egypt")</f>
        <v>Egypt</v>
      </c>
      <c r="J296" s="43" t="str">
        <f>IFERROR(__xludf.DUMMYFUNCTION("""COMPUTED_VALUE"""),"GUC")</f>
        <v>GUC</v>
      </c>
      <c r="K296" s="44" t="str">
        <f>IFERROR(__xludf.DUMMYFUNCTION("""COMPUTED_VALUE"""),"https://expa.aiesec.org/opportunities/1289215")</f>
        <v>https://expa.aiesec.org/opportunities/1289215</v>
      </c>
      <c r="L296" s="43" t="str">
        <f>IFERROR(__xludf.DUMMYFUNCTION("""COMPUTED_VALUE"""),"GV")</f>
        <v>GV</v>
      </c>
      <c r="M296" s="43" t="str">
        <f>IFERROR(__xludf.DUMMYFUNCTION("""COMPUTED_VALUE"""),"short")</f>
        <v>short</v>
      </c>
      <c r="N296" s="45">
        <f>IFERROR(__xludf.DUMMYFUNCTION("""COMPUTED_VALUE"""),44961.0)</f>
        <v>44961</v>
      </c>
      <c r="O296" s="45">
        <f>IFERROR(__xludf.DUMMYFUNCTION("""COMPUTED_VALUE"""),45104.0)</f>
        <v>45104</v>
      </c>
      <c r="P296" s="45">
        <f>IFERROR(__xludf.DUMMYFUNCTION("""COMPUTED_VALUE"""),45146.0)</f>
        <v>45146</v>
      </c>
      <c r="Q296" s="45">
        <f>IFERROR(__xludf.DUMMYFUNCTION("""COMPUTED_VALUE"""),45106.0)</f>
        <v>45106</v>
      </c>
      <c r="R296" s="45">
        <f>IFERROR(__xludf.DUMMYFUNCTION("""COMPUTED_VALUE"""),45146.0)</f>
        <v>45146</v>
      </c>
      <c r="S296" s="43"/>
      <c r="T296" s="43"/>
      <c r="U296" s="43" t="str">
        <f>IFERROR(__xludf.DUMMYFUNCTION("""COMPUTED_VALUE"""),"Raise Your Voice")</f>
        <v>Raise Your Voice</v>
      </c>
      <c r="V296" s="43" t="str">
        <f>IFERROR(__xludf.DUMMYFUNCTION("""COMPUTED_VALUE"""),"KUTAHYA")</f>
        <v>KUTAHYA</v>
      </c>
      <c r="W296" s="43" t="str">
        <f>IFERROR(__xludf.DUMMYFUNCTION("""COMPUTED_VALUE"""),"2023-02-03T23:38:41Z")</f>
        <v>2023-02-03T23:38:41Z</v>
      </c>
      <c r="X296" s="43"/>
      <c r="Y296" s="43"/>
      <c r="Z296" s="43"/>
    </row>
    <row r="297" hidden="1">
      <c r="A297" s="43" t="str">
        <f>IFERROR(__xludf.DUMMYFUNCTION("""COMPUTED_VALUE"""),"5072122_1291819")</f>
        <v>5072122_1291819</v>
      </c>
      <c r="B297" s="43" t="str">
        <f>IFERROR(__xludf.DUMMYFUNCTION("""COMPUTED_VALUE"""),"Aysen Degirmen")</f>
        <v>Aysen Degirmen</v>
      </c>
      <c r="C297" s="43" t="str">
        <f>IFERROR(__xludf.DUMMYFUNCTION("""COMPUTED_VALUE"""),"approved")</f>
        <v>approved</v>
      </c>
      <c r="D297" s="43" t="str">
        <f>IFERROR(__xludf.DUMMYFUNCTION("""COMPUTED_VALUE"""),"No")</f>
        <v>No</v>
      </c>
      <c r="E297" s="43" t="str">
        <f>IFERROR(__xludf.DUMMYFUNCTION("""COMPUTED_VALUE"""),"p_c0d732535a69fea28556d83c110e6e3e9d84d560@inbound.aiesec.org")</f>
        <v>p_c0d732535a69fea28556d83c110e6e3e9d84d560@inbound.aiesec.org</v>
      </c>
      <c r="F297" s="43">
        <f>IFERROR(__xludf.DUMMYFUNCTION("""COMPUTED_VALUE"""),5.536307299E9)</f>
        <v>5536307299</v>
      </c>
      <c r="G297" s="43" t="str">
        <f>IFERROR(__xludf.DUMMYFUNCTION("""COMPUTED_VALUE"""),"Turkey")</f>
        <v>Turkey</v>
      </c>
      <c r="H297" s="43" t="str">
        <f>IFERROR(__xludf.DUMMYFUNCTION("""COMPUTED_VALUE"""),"KONYA")</f>
        <v>KONYA</v>
      </c>
      <c r="I297" s="43" t="str">
        <f>IFERROR(__xludf.DUMMYFUNCTION("""COMPUTED_VALUE"""),"India")</f>
        <v>India</v>
      </c>
      <c r="J297" s="43" t="str">
        <f>IFERROR(__xludf.DUMMYFUNCTION("""COMPUTED_VALUE"""),"Mumbai")</f>
        <v>Mumbai</v>
      </c>
      <c r="K297" s="44" t="str">
        <f>IFERROR(__xludf.DUMMYFUNCTION("""COMPUTED_VALUE"""),"https://expa.aiesec.org/opportunities/1291819")</f>
        <v>https://expa.aiesec.org/opportunities/1291819</v>
      </c>
      <c r="L297" s="43" t="str">
        <f>IFERROR(__xludf.DUMMYFUNCTION("""COMPUTED_VALUE"""),"GV")</f>
        <v>GV</v>
      </c>
      <c r="M297" s="43" t="str">
        <f>IFERROR(__xludf.DUMMYFUNCTION("""COMPUTED_VALUE"""),"short")</f>
        <v>short</v>
      </c>
      <c r="N297" s="45">
        <f>IFERROR(__xludf.DUMMYFUNCTION("""COMPUTED_VALUE"""),44961.0)</f>
        <v>44961</v>
      </c>
      <c r="O297" s="45">
        <f>IFERROR(__xludf.DUMMYFUNCTION("""COMPUTED_VALUE"""),44986.0)</f>
        <v>44986</v>
      </c>
      <c r="P297" s="45">
        <f>IFERROR(__xludf.DUMMYFUNCTION("""COMPUTED_VALUE"""),45030.0)</f>
        <v>45030</v>
      </c>
      <c r="Q297" s="45"/>
      <c r="R297" s="45"/>
      <c r="S297" s="43"/>
      <c r="T297" s="43"/>
      <c r="U297" s="43" t="str">
        <f>IFERROR(__xludf.DUMMYFUNCTION("""COMPUTED_VALUE"""),"Youth 4 Impact")</f>
        <v>Youth 4 Impact</v>
      </c>
      <c r="V297" s="43" t="str">
        <f>IFERROR(__xludf.DUMMYFUNCTION("""COMPUTED_VALUE"""),"KONYA")</f>
        <v>KONYA</v>
      </c>
      <c r="W297" s="43" t="str">
        <f>IFERROR(__xludf.DUMMYFUNCTION("""COMPUTED_VALUE"""),"2022-06-13T19:38:07Z")</f>
        <v>2022-06-13T19:38:07Z</v>
      </c>
      <c r="X297" s="43"/>
      <c r="Y297" s="43"/>
      <c r="Z297" s="43"/>
    </row>
    <row r="298" hidden="1">
      <c r="A298" s="43" t="str">
        <f>IFERROR(__xludf.DUMMYFUNCTION("""COMPUTED_VALUE"""),"5180326_1290134")</f>
        <v>5180326_1290134</v>
      </c>
      <c r="B298" s="43" t="str">
        <f>IFERROR(__xludf.DUMMYFUNCTION("""COMPUTED_VALUE"""),"Ayşe Efdal Erdem")</f>
        <v>Ayşe Efdal Erdem</v>
      </c>
      <c r="C298" s="43" t="str">
        <f>IFERROR(__xludf.DUMMYFUNCTION("""COMPUTED_VALUE"""),"finished")</f>
        <v>finished</v>
      </c>
      <c r="D298" s="43" t="str">
        <f>IFERROR(__xludf.DUMMYFUNCTION("""COMPUTED_VALUE"""),"No")</f>
        <v>No</v>
      </c>
      <c r="E298" s="43" t="str">
        <f>IFERROR(__xludf.DUMMYFUNCTION("""COMPUTED_VALUE"""),"p_1bf74215b74f6c50a59a8c26741448909ae803cf@inbound.aiesec.org")</f>
        <v>p_1bf74215b74f6c50a59a8c26741448909ae803cf@inbound.aiesec.org</v>
      </c>
      <c r="F298" s="43"/>
      <c r="G298" s="43" t="str">
        <f>IFERROR(__xludf.DUMMYFUNCTION("""COMPUTED_VALUE"""),"Turkey")</f>
        <v>Turkey</v>
      </c>
      <c r="H298" s="43" t="str">
        <f>IFERROR(__xludf.DUMMYFUNCTION("""COMPUTED_VALUE"""),"ISTANBUL ASIA")</f>
        <v>ISTANBUL ASIA</v>
      </c>
      <c r="I298" s="43" t="str">
        <f>IFERROR(__xludf.DUMMYFUNCTION("""COMPUTED_VALUE"""),"India")</f>
        <v>India</v>
      </c>
      <c r="J298" s="43" t="str">
        <f>IFERROR(__xludf.DUMMYFUNCTION("""COMPUTED_VALUE"""),"Dehradun")</f>
        <v>Dehradun</v>
      </c>
      <c r="K298" s="44" t="str">
        <f>IFERROR(__xludf.DUMMYFUNCTION("""COMPUTED_VALUE"""),"https://expa.aiesec.org/opportunities/1290134")</f>
        <v>https://expa.aiesec.org/opportunities/1290134</v>
      </c>
      <c r="L298" s="43" t="str">
        <f>IFERROR(__xludf.DUMMYFUNCTION("""COMPUTED_VALUE"""),"GV")</f>
        <v>GV</v>
      </c>
      <c r="M298" s="43" t="str">
        <f>IFERROR(__xludf.DUMMYFUNCTION("""COMPUTED_VALUE"""),"short")</f>
        <v>short</v>
      </c>
      <c r="N298" s="45">
        <f>IFERROR(__xludf.DUMMYFUNCTION("""COMPUTED_VALUE"""),44961.0)</f>
        <v>44961</v>
      </c>
      <c r="O298" s="45">
        <f>IFERROR(__xludf.DUMMYFUNCTION("""COMPUTED_VALUE"""),45122.0)</f>
        <v>45122</v>
      </c>
      <c r="P298" s="45">
        <f>IFERROR(__xludf.DUMMYFUNCTION("""COMPUTED_VALUE"""),45164.0)</f>
        <v>45164</v>
      </c>
      <c r="Q298" s="45">
        <f>IFERROR(__xludf.DUMMYFUNCTION("""COMPUTED_VALUE"""),45121.0)</f>
        <v>45121</v>
      </c>
      <c r="R298" s="45">
        <f>IFERROR(__xludf.DUMMYFUNCTION("""COMPUTED_VALUE"""),45164.0)</f>
        <v>45164</v>
      </c>
      <c r="S298" s="43"/>
      <c r="T298" s="43"/>
      <c r="U298" s="43" t="str">
        <f>IFERROR(__xludf.DUMMYFUNCTION("""COMPUTED_VALUE"""),"On The Map")</f>
        <v>On The Map</v>
      </c>
      <c r="V298" s="43" t="str">
        <f>IFERROR(__xludf.DUMMYFUNCTION("""COMPUTED_VALUE"""),"ISTANBUL ASIA")</f>
        <v>ISTANBUL ASIA</v>
      </c>
      <c r="W298" s="43" t="str">
        <f>IFERROR(__xludf.DUMMYFUNCTION("""COMPUTED_VALUE"""),"2023-01-25T08:28:37Z")</f>
        <v>2023-01-25T08:28:37Z</v>
      </c>
      <c r="X298" s="43"/>
      <c r="Y298" s="43"/>
      <c r="Z298" s="43"/>
    </row>
    <row r="299" hidden="1">
      <c r="A299" s="43" t="str">
        <f>IFERROR(__xludf.DUMMYFUNCTION("""COMPUTED_VALUE"""),"4896488_1292070")</f>
        <v>4896488_1292070</v>
      </c>
      <c r="B299" s="43" t="str">
        <f>IFERROR(__xludf.DUMMYFUNCTION("""COMPUTED_VALUE"""),"ilayda fidan")</f>
        <v>ilayda fidan</v>
      </c>
      <c r="C299" s="43" t="str">
        <f>IFERROR(__xludf.DUMMYFUNCTION("""COMPUTED_VALUE"""),"completed")</f>
        <v>completed</v>
      </c>
      <c r="D299" s="43" t="str">
        <f>IFERROR(__xludf.DUMMYFUNCTION("""COMPUTED_VALUE"""),"No")</f>
        <v>No</v>
      </c>
      <c r="E299" s="43" t="str">
        <f>IFERROR(__xludf.DUMMYFUNCTION("""COMPUTED_VALUE"""),"p_7fa9209455bc3f4d6ca1352216f6f08d945d8fab@inbound.aiesec.org")</f>
        <v>p_7fa9209455bc3f4d6ca1352216f6f08d945d8fab@inbound.aiesec.org</v>
      </c>
      <c r="F299" s="43">
        <f>IFERROR(__xludf.DUMMYFUNCTION("""COMPUTED_VALUE"""),5.394652475E9)</f>
        <v>5394652475</v>
      </c>
      <c r="G299" s="43" t="str">
        <f>IFERROR(__xludf.DUMMYFUNCTION("""COMPUTED_VALUE"""),"Turkey")</f>
        <v>Turkey</v>
      </c>
      <c r="H299" s="43" t="str">
        <f>IFERROR(__xludf.DUMMYFUNCTION("""COMPUTED_VALUE"""),"ISTANBUL ASIA")</f>
        <v>ISTANBUL ASIA</v>
      </c>
      <c r="I299" s="43" t="str">
        <f>IFERROR(__xludf.DUMMYFUNCTION("""COMPUTED_VALUE"""),"Romania")</f>
        <v>Romania</v>
      </c>
      <c r="J299" s="43" t="str">
        <f>IFERROR(__xludf.DUMMYFUNCTION("""COMPUTED_VALUE"""),"BUCURESTI")</f>
        <v>BUCURESTI</v>
      </c>
      <c r="K299" s="44" t="str">
        <f>IFERROR(__xludf.DUMMYFUNCTION("""COMPUTED_VALUE"""),"https://expa.aiesec.org/opportunities/1292070")</f>
        <v>https://expa.aiesec.org/opportunities/1292070</v>
      </c>
      <c r="L299" s="43" t="str">
        <f>IFERROR(__xludf.DUMMYFUNCTION("""COMPUTED_VALUE"""),"GV")</f>
        <v>GV</v>
      </c>
      <c r="M299" s="43" t="str">
        <f>IFERROR(__xludf.DUMMYFUNCTION("""COMPUTED_VALUE"""),"short")</f>
        <v>short</v>
      </c>
      <c r="N299" s="45">
        <f>IFERROR(__xludf.DUMMYFUNCTION("""COMPUTED_VALUE"""),44961.0)</f>
        <v>44961</v>
      </c>
      <c r="O299" s="45">
        <f>IFERROR(__xludf.DUMMYFUNCTION("""COMPUTED_VALUE"""),45096.0)</f>
        <v>45096</v>
      </c>
      <c r="P299" s="45">
        <f>IFERROR(__xludf.DUMMYFUNCTION("""COMPUTED_VALUE"""),45138.0)</f>
        <v>45138</v>
      </c>
      <c r="Q299" s="45">
        <f>IFERROR(__xludf.DUMMYFUNCTION("""COMPUTED_VALUE"""),45095.0)</f>
        <v>45095</v>
      </c>
      <c r="R299" s="45">
        <f>IFERROR(__xludf.DUMMYFUNCTION("""COMPUTED_VALUE"""),45138.0)</f>
        <v>45138</v>
      </c>
      <c r="S299" s="43"/>
      <c r="T299" s="43"/>
      <c r="U299" s="43" t="str">
        <f>IFERROR(__xludf.DUMMYFUNCTION("""COMPUTED_VALUE"""),"Youth 4 Impact")</f>
        <v>Youth 4 Impact</v>
      </c>
      <c r="V299" s="43" t="str">
        <f>IFERROR(__xludf.DUMMYFUNCTION("""COMPUTED_VALUE"""),"ISTANBUL ASIA")</f>
        <v>ISTANBUL ASIA</v>
      </c>
      <c r="W299" s="43" t="str">
        <f>IFERROR(__xludf.DUMMYFUNCTION("""COMPUTED_VALUE"""),"2022-01-24T16:33:15Z")</f>
        <v>2022-01-24T16:33:15Z</v>
      </c>
      <c r="X299" s="43"/>
      <c r="Y299" s="43"/>
      <c r="Z299" s="43"/>
    </row>
    <row r="300" hidden="1">
      <c r="A300" s="43" t="str">
        <f>IFERROR(__xludf.DUMMYFUNCTION("""COMPUTED_VALUE"""),"5179444_1291623")</f>
        <v>5179444_1291623</v>
      </c>
      <c r="B300" s="43" t="str">
        <f>IFERROR(__xludf.DUMMYFUNCTION("""COMPUTED_VALUE"""),"Ipek Iftar")</f>
        <v>Ipek Iftar</v>
      </c>
      <c r="C300" s="43" t="str">
        <f>IFERROR(__xludf.DUMMYFUNCTION("""COMPUTED_VALUE"""),"completed")</f>
        <v>completed</v>
      </c>
      <c r="D300" s="43" t="str">
        <f>IFERROR(__xludf.DUMMYFUNCTION("""COMPUTED_VALUE"""),"No")</f>
        <v>No</v>
      </c>
      <c r="E300" s="43" t="str">
        <f>IFERROR(__xludf.DUMMYFUNCTION("""COMPUTED_VALUE"""),"p_52672eb7b8c66ef90eacc1c0513b2f82030228b5@inbound.aiesec.org")</f>
        <v>p_52672eb7b8c66ef90eacc1c0513b2f82030228b5@inbound.aiesec.org</v>
      </c>
      <c r="F300" s="43">
        <f>IFERROR(__xludf.DUMMYFUNCTION("""COMPUTED_VALUE"""),5.336736836E9)</f>
        <v>5336736836</v>
      </c>
      <c r="G300" s="43" t="str">
        <f>IFERROR(__xludf.DUMMYFUNCTION("""COMPUTED_VALUE"""),"Turkey")</f>
        <v>Turkey</v>
      </c>
      <c r="H300" s="43" t="str">
        <f>IFERROR(__xludf.DUMMYFUNCTION("""COMPUTED_VALUE"""),"ISTANBUL")</f>
        <v>ISTANBUL</v>
      </c>
      <c r="I300" s="43" t="str">
        <f>IFERROR(__xludf.DUMMYFUNCTION("""COMPUTED_VALUE"""),"Romania")</f>
        <v>Romania</v>
      </c>
      <c r="J300" s="43" t="str">
        <f>IFERROR(__xludf.DUMMYFUNCTION("""COMPUTED_VALUE"""),"IASI")</f>
        <v>IASI</v>
      </c>
      <c r="K300" s="44" t="str">
        <f>IFERROR(__xludf.DUMMYFUNCTION("""COMPUTED_VALUE"""),"https://expa.aiesec.org/opportunities/1291623")</f>
        <v>https://expa.aiesec.org/opportunities/1291623</v>
      </c>
      <c r="L300" s="43" t="str">
        <f>IFERROR(__xludf.DUMMYFUNCTION("""COMPUTED_VALUE"""),"GV")</f>
        <v>GV</v>
      </c>
      <c r="M300" s="43" t="str">
        <f>IFERROR(__xludf.DUMMYFUNCTION("""COMPUTED_VALUE"""),"short")</f>
        <v>short</v>
      </c>
      <c r="N300" s="45">
        <f>IFERROR(__xludf.DUMMYFUNCTION("""COMPUTED_VALUE"""),44961.0)</f>
        <v>44961</v>
      </c>
      <c r="O300" s="45">
        <f>IFERROR(__xludf.DUMMYFUNCTION("""COMPUTED_VALUE"""),45103.0)</f>
        <v>45103</v>
      </c>
      <c r="P300" s="45">
        <f>IFERROR(__xludf.DUMMYFUNCTION("""COMPUTED_VALUE"""),45145.0)</f>
        <v>45145</v>
      </c>
      <c r="Q300" s="45">
        <f>IFERROR(__xludf.DUMMYFUNCTION("""COMPUTED_VALUE"""),45103.0)</f>
        <v>45103</v>
      </c>
      <c r="R300" s="45">
        <f>IFERROR(__xludf.DUMMYFUNCTION("""COMPUTED_VALUE"""),45145.0)</f>
        <v>45145</v>
      </c>
      <c r="S300" s="43"/>
      <c r="T300" s="43"/>
      <c r="U300" s="43" t="str">
        <f>IFERROR(__xludf.DUMMYFUNCTION("""COMPUTED_VALUE"""),"Global Classroom")</f>
        <v>Global Classroom</v>
      </c>
      <c r="V300" s="43" t="str">
        <f>IFERROR(__xludf.DUMMYFUNCTION("""COMPUTED_VALUE"""),"ISTANBUL - BEYOGLU")</f>
        <v>ISTANBUL - BEYOGLU</v>
      </c>
      <c r="W300" s="43" t="str">
        <f>IFERROR(__xludf.DUMMYFUNCTION("""COMPUTED_VALUE"""),"2023-01-22T17:59:58Z")</f>
        <v>2023-01-22T17:59:58Z</v>
      </c>
      <c r="X300" s="43"/>
      <c r="Y300" s="43"/>
      <c r="Z300" s="43"/>
    </row>
    <row r="301" hidden="1">
      <c r="A301" s="43" t="str">
        <f>IFERROR(__xludf.DUMMYFUNCTION("""COMPUTED_VALUE"""),"4399796_1281901")</f>
        <v>4399796_1281901</v>
      </c>
      <c r="B301" s="43" t="str">
        <f>IFERROR(__xludf.DUMMYFUNCTION("""COMPUTED_VALUE"""),"Önder Güz")</f>
        <v>Önder Güz</v>
      </c>
      <c r="C301" s="43" t="str">
        <f>IFERROR(__xludf.DUMMYFUNCTION("""COMPUTED_VALUE"""),"approved")</f>
        <v>approved</v>
      </c>
      <c r="D301" s="43" t="str">
        <f>IFERROR(__xludf.DUMMYFUNCTION("""COMPUTED_VALUE"""),"No")</f>
        <v>No</v>
      </c>
      <c r="E301" s="43" t="str">
        <f>IFERROR(__xludf.DUMMYFUNCTION("""COMPUTED_VALUE"""),"p_d4a6aeaf35971d9beaf786fd0d42d1ea5330a9fb@inbound.aiesec.org")</f>
        <v>p_d4a6aeaf35971d9beaf786fd0d42d1ea5330a9fb@inbound.aiesec.org</v>
      </c>
      <c r="F301" s="43">
        <f>IFERROR(__xludf.DUMMYFUNCTION("""COMPUTED_VALUE"""),5.548928403E9)</f>
        <v>5548928403</v>
      </c>
      <c r="G301" s="43" t="str">
        <f>IFERROR(__xludf.DUMMYFUNCTION("""COMPUTED_VALUE"""),"Turkey")</f>
        <v>Turkey</v>
      </c>
      <c r="H301" s="43" t="str">
        <f>IFERROR(__xludf.DUMMYFUNCTION("""COMPUTED_VALUE"""),"ANKARA")</f>
        <v>ANKARA</v>
      </c>
      <c r="I301" s="43" t="str">
        <f>IFERROR(__xludf.DUMMYFUNCTION("""COMPUTED_VALUE"""),"Sri Lanka")</f>
        <v>Sri Lanka</v>
      </c>
      <c r="J301" s="43" t="str">
        <f>IFERROR(__xludf.DUMMYFUNCTION("""COMPUTED_VALUE"""),"COLOMBO SOUTH")</f>
        <v>COLOMBO SOUTH</v>
      </c>
      <c r="K301" s="44" t="str">
        <f>IFERROR(__xludf.DUMMYFUNCTION("""COMPUTED_VALUE"""),"https://expa.aiesec.org/opportunities/1281901")</f>
        <v>https://expa.aiesec.org/opportunities/1281901</v>
      </c>
      <c r="L301" s="43" t="str">
        <f>IFERROR(__xludf.DUMMYFUNCTION("""COMPUTED_VALUE"""),"GV")</f>
        <v>GV</v>
      </c>
      <c r="M301" s="43" t="str">
        <f>IFERROR(__xludf.DUMMYFUNCTION("""COMPUTED_VALUE"""),"short")</f>
        <v>short</v>
      </c>
      <c r="N301" s="45">
        <f>IFERROR(__xludf.DUMMYFUNCTION("""COMPUTED_VALUE"""),44962.0)</f>
        <v>44962</v>
      </c>
      <c r="O301" s="45">
        <f>IFERROR(__xludf.DUMMYFUNCTION("""COMPUTED_VALUE"""),45089.0)</f>
        <v>45089</v>
      </c>
      <c r="P301" s="45">
        <f>IFERROR(__xludf.DUMMYFUNCTION("""COMPUTED_VALUE"""),45131.0)</f>
        <v>45131</v>
      </c>
      <c r="Q301" s="45"/>
      <c r="R301" s="45"/>
      <c r="S301" s="43"/>
      <c r="T301" s="43"/>
      <c r="U301" s="43" t="str">
        <f>IFERROR(__xludf.DUMMYFUNCTION("""COMPUTED_VALUE"""),"Aquatica")</f>
        <v>Aquatica</v>
      </c>
      <c r="V301" s="43" t="str">
        <f>IFERROR(__xludf.DUMMYFUNCTION("""COMPUTED_VALUE"""),"ANKARA")</f>
        <v>ANKARA</v>
      </c>
      <c r="W301" s="43" t="str">
        <f>IFERROR(__xludf.DUMMYFUNCTION("""COMPUTED_VALUE"""),"2020-10-18T16:58:08Z")</f>
        <v>2020-10-18T16:58:08Z</v>
      </c>
      <c r="X301" s="43"/>
      <c r="Y301" s="43"/>
      <c r="Z301" s="43"/>
    </row>
    <row r="302" hidden="1">
      <c r="A302" s="43" t="str">
        <f>IFERROR(__xludf.DUMMYFUNCTION("""COMPUTED_VALUE"""),"5179090_1291372")</f>
        <v>5179090_1291372</v>
      </c>
      <c r="B302" s="43" t="str">
        <f>IFERROR(__xludf.DUMMYFUNCTION("""COMPUTED_VALUE"""),"Hazar Yazgan Hacıahmetoğlu")</f>
        <v>Hazar Yazgan Hacıahmetoğlu</v>
      </c>
      <c r="C302" s="43" t="str">
        <f>IFERROR(__xludf.DUMMYFUNCTION("""COMPUTED_VALUE"""),"approved")</f>
        <v>approved</v>
      </c>
      <c r="D302" s="43" t="str">
        <f>IFERROR(__xludf.DUMMYFUNCTION("""COMPUTED_VALUE"""),"No")</f>
        <v>No</v>
      </c>
      <c r="E302" s="43" t="str">
        <f>IFERROR(__xludf.DUMMYFUNCTION("""COMPUTED_VALUE"""),"p_8a374a0e134cfb22c5152e2bde7f09fbe77ed7cd@inbound.aiesec.org")</f>
        <v>p_8a374a0e134cfb22c5152e2bde7f09fbe77ed7cd@inbound.aiesec.org</v>
      </c>
      <c r="F302" s="43">
        <f>IFERROR(__xludf.DUMMYFUNCTION("""COMPUTED_VALUE"""),5.385477061E9)</f>
        <v>5385477061</v>
      </c>
      <c r="G302" s="43" t="str">
        <f>IFERROR(__xludf.DUMMYFUNCTION("""COMPUTED_VALUE"""),"Turkey")</f>
        <v>Turkey</v>
      </c>
      <c r="H302" s="43" t="str">
        <f>IFERROR(__xludf.DUMMYFUNCTION("""COMPUTED_VALUE"""),"ISTANBUL")</f>
        <v>ISTANBUL</v>
      </c>
      <c r="I302" s="43" t="str">
        <f>IFERROR(__xludf.DUMMYFUNCTION("""COMPUTED_VALUE"""),"Brazil")</f>
        <v>Brazil</v>
      </c>
      <c r="J302" s="43" t="str">
        <f>IFERROR(__xludf.DUMMYFUNCTION("""COMPUTED_VALUE"""),"FLORIANÓPOLIS")</f>
        <v>FLORIANÓPOLIS</v>
      </c>
      <c r="K302" s="44" t="str">
        <f>IFERROR(__xludf.DUMMYFUNCTION("""COMPUTED_VALUE"""),"https://expa.aiesec.org/opportunities/1291372")</f>
        <v>https://expa.aiesec.org/opportunities/1291372</v>
      </c>
      <c r="L302" s="43" t="str">
        <f>IFERROR(__xludf.DUMMYFUNCTION("""COMPUTED_VALUE"""),"GV")</f>
        <v>GV</v>
      </c>
      <c r="M302" s="43" t="str">
        <f>IFERROR(__xludf.DUMMYFUNCTION("""COMPUTED_VALUE"""),"short")</f>
        <v>short</v>
      </c>
      <c r="N302" s="45">
        <f>IFERROR(__xludf.DUMMYFUNCTION("""COMPUTED_VALUE"""),44963.0)</f>
        <v>44963</v>
      </c>
      <c r="O302" s="45">
        <f>IFERROR(__xludf.DUMMYFUNCTION("""COMPUTED_VALUE"""),45131.0)</f>
        <v>45131</v>
      </c>
      <c r="P302" s="45">
        <f>IFERROR(__xludf.DUMMYFUNCTION("""COMPUTED_VALUE"""),45173.0)</f>
        <v>45173</v>
      </c>
      <c r="Q302" s="45"/>
      <c r="R302" s="45"/>
      <c r="S302" s="43"/>
      <c r="T302" s="43"/>
      <c r="U302" s="43" t="str">
        <f>IFERROR(__xludf.DUMMYFUNCTION("""COMPUTED_VALUE"""),"Youth 4 Impact")</f>
        <v>Youth 4 Impact</v>
      </c>
      <c r="V302" s="43" t="str">
        <f>IFERROR(__xludf.DUMMYFUNCTION("""COMPUTED_VALUE"""),"ISTANBUL - BEYOGLU")</f>
        <v>ISTANBUL - BEYOGLU</v>
      </c>
      <c r="W302" s="43" t="str">
        <f>IFERROR(__xludf.DUMMYFUNCTION("""COMPUTED_VALUE"""),"2023-01-21T14:22:33Z")</f>
        <v>2023-01-21T14:22:33Z</v>
      </c>
      <c r="X302" s="43"/>
      <c r="Y302" s="43"/>
      <c r="Z302" s="43"/>
    </row>
    <row r="303" hidden="1">
      <c r="A303" s="43" t="str">
        <f>IFERROR(__xludf.DUMMYFUNCTION("""COMPUTED_VALUE"""),"5170548_1290678")</f>
        <v>5170548_1290678</v>
      </c>
      <c r="B303" s="43" t="str">
        <f>IFERROR(__xludf.DUMMYFUNCTION("""COMPUTED_VALUE"""),"Derin Yaylalıoğlu")</f>
        <v>Derin Yaylalıoğlu</v>
      </c>
      <c r="C303" s="43" t="str">
        <f>IFERROR(__xludf.DUMMYFUNCTION("""COMPUTED_VALUE"""),"completed")</f>
        <v>completed</v>
      </c>
      <c r="D303" s="43" t="str">
        <f>IFERROR(__xludf.DUMMYFUNCTION("""COMPUTED_VALUE"""),"No")</f>
        <v>No</v>
      </c>
      <c r="E303" s="43" t="str">
        <f>IFERROR(__xludf.DUMMYFUNCTION("""COMPUTED_VALUE"""),"p_bf83e2e1a515eb1ddebd2172c3f01a89817403c8@inbound.aiesec.org")</f>
        <v>p_bf83e2e1a515eb1ddebd2172c3f01a89817403c8@inbound.aiesec.org</v>
      </c>
      <c r="F303" s="43">
        <f>IFERROR(__xludf.DUMMYFUNCTION("""COMPUTED_VALUE"""),5.464500967E9)</f>
        <v>5464500967</v>
      </c>
      <c r="G303" s="43" t="str">
        <f>IFERROR(__xludf.DUMMYFUNCTION("""COMPUTED_VALUE"""),"Turkey")</f>
        <v>Turkey</v>
      </c>
      <c r="H303" s="43" t="str">
        <f>IFERROR(__xludf.DUMMYFUNCTION("""COMPUTED_VALUE"""),"ANKARA")</f>
        <v>ANKARA</v>
      </c>
      <c r="I303" s="43" t="str">
        <f>IFERROR(__xludf.DUMMYFUNCTION("""COMPUTED_VALUE"""),"Tunisia")</f>
        <v>Tunisia</v>
      </c>
      <c r="J303" s="43" t="str">
        <f>IFERROR(__xludf.DUMMYFUNCTION("""COMPUTED_VALUE"""),"HADRUMET")</f>
        <v>HADRUMET</v>
      </c>
      <c r="K303" s="44" t="str">
        <f>IFERROR(__xludf.DUMMYFUNCTION("""COMPUTED_VALUE"""),"https://expa.aiesec.org/opportunities/1290678")</f>
        <v>https://expa.aiesec.org/opportunities/1290678</v>
      </c>
      <c r="L303" s="43" t="str">
        <f>IFERROR(__xludf.DUMMYFUNCTION("""COMPUTED_VALUE"""),"GV")</f>
        <v>GV</v>
      </c>
      <c r="M303" s="43" t="str">
        <f>IFERROR(__xludf.DUMMYFUNCTION("""COMPUTED_VALUE"""),"short")</f>
        <v>short</v>
      </c>
      <c r="N303" s="45">
        <f>IFERROR(__xludf.DUMMYFUNCTION("""COMPUTED_VALUE"""),44963.0)</f>
        <v>44963</v>
      </c>
      <c r="O303" s="45">
        <f>IFERROR(__xludf.DUMMYFUNCTION("""COMPUTED_VALUE"""),45110.0)</f>
        <v>45110</v>
      </c>
      <c r="P303" s="45">
        <f>IFERROR(__xludf.DUMMYFUNCTION("""COMPUTED_VALUE"""),45152.0)</f>
        <v>45152</v>
      </c>
      <c r="Q303" s="45">
        <f>IFERROR(__xludf.DUMMYFUNCTION("""COMPUTED_VALUE"""),45110.0)</f>
        <v>45110</v>
      </c>
      <c r="R303" s="45">
        <f>IFERROR(__xludf.DUMMYFUNCTION("""COMPUTED_VALUE"""),45152.0)</f>
        <v>45152</v>
      </c>
      <c r="S303" s="43"/>
      <c r="T303" s="43"/>
      <c r="U303" s="43" t="str">
        <f>IFERROR(__xludf.DUMMYFUNCTION("""COMPUTED_VALUE"""),"Fingerprint")</f>
        <v>Fingerprint</v>
      </c>
      <c r="V303" s="43" t="str">
        <f>IFERROR(__xludf.DUMMYFUNCTION("""COMPUTED_VALUE"""),"ANKARA")</f>
        <v>ANKARA</v>
      </c>
      <c r="W303" s="43" t="str">
        <f>IFERROR(__xludf.DUMMYFUNCTION("""COMPUTED_VALUE"""),"2022-12-27T05:16:21Z")</f>
        <v>2022-12-27T05:16:21Z</v>
      </c>
      <c r="X303" s="43"/>
      <c r="Y303" s="43"/>
      <c r="Z303" s="43"/>
    </row>
    <row r="304" hidden="1">
      <c r="A304" s="43" t="str">
        <f>IFERROR(__xludf.DUMMYFUNCTION("""COMPUTED_VALUE"""),"5176078_1290799")</f>
        <v>5176078_1290799</v>
      </c>
      <c r="B304" s="43" t="str">
        <f>IFERROR(__xludf.DUMMYFUNCTION("""COMPUTED_VALUE"""),"Başak Kazan")</f>
        <v>Başak Kazan</v>
      </c>
      <c r="C304" s="43" t="str">
        <f>IFERROR(__xludf.DUMMYFUNCTION("""COMPUTED_VALUE"""),"approved")</f>
        <v>approved</v>
      </c>
      <c r="D304" s="43" t="str">
        <f>IFERROR(__xludf.DUMMYFUNCTION("""COMPUTED_VALUE"""),"No")</f>
        <v>No</v>
      </c>
      <c r="E304" s="43" t="str">
        <f>IFERROR(__xludf.DUMMYFUNCTION("""COMPUTED_VALUE"""),"p_ef193f2cfcb6a8a67212249e5331eefb28577019@inbound.aiesec.org")</f>
        <v>p_ef193f2cfcb6a8a67212249e5331eefb28577019@inbound.aiesec.org</v>
      </c>
      <c r="F304" s="43">
        <f>IFERROR(__xludf.DUMMYFUNCTION("""COMPUTED_VALUE"""),5.360559139E9)</f>
        <v>5360559139</v>
      </c>
      <c r="G304" s="43" t="str">
        <f>IFERROR(__xludf.DUMMYFUNCTION("""COMPUTED_VALUE"""),"Turkey")</f>
        <v>Turkey</v>
      </c>
      <c r="H304" s="43" t="str">
        <f>IFERROR(__xludf.DUMMYFUNCTION("""COMPUTED_VALUE"""),"KOCAELI")</f>
        <v>KOCAELI</v>
      </c>
      <c r="I304" s="43" t="str">
        <f>IFERROR(__xludf.DUMMYFUNCTION("""COMPUTED_VALUE"""),"Romania")</f>
        <v>Romania</v>
      </c>
      <c r="J304" s="43" t="str">
        <f>IFERROR(__xludf.DUMMYFUNCTION("""COMPUTED_VALUE"""),"BUCURESTI")</f>
        <v>BUCURESTI</v>
      </c>
      <c r="K304" s="44" t="str">
        <f>IFERROR(__xludf.DUMMYFUNCTION("""COMPUTED_VALUE"""),"https://expa.aiesec.org/opportunities/1290799")</f>
        <v>https://expa.aiesec.org/opportunities/1290799</v>
      </c>
      <c r="L304" s="43" t="str">
        <f>IFERROR(__xludf.DUMMYFUNCTION("""COMPUTED_VALUE"""),"GV")</f>
        <v>GV</v>
      </c>
      <c r="M304" s="43" t="str">
        <f>IFERROR(__xludf.DUMMYFUNCTION("""COMPUTED_VALUE"""),"short")</f>
        <v>short</v>
      </c>
      <c r="N304" s="45">
        <f>IFERROR(__xludf.DUMMYFUNCTION("""COMPUTED_VALUE"""),44965.0)</f>
        <v>44965</v>
      </c>
      <c r="O304" s="45">
        <f>IFERROR(__xludf.DUMMYFUNCTION("""COMPUTED_VALUE"""),45131.0)</f>
        <v>45131</v>
      </c>
      <c r="P304" s="45">
        <f>IFERROR(__xludf.DUMMYFUNCTION("""COMPUTED_VALUE"""),45173.0)</f>
        <v>45173</v>
      </c>
      <c r="Q304" s="45"/>
      <c r="R304" s="45"/>
      <c r="S304" s="43"/>
      <c r="T304" s="43"/>
      <c r="U304" s="43" t="str">
        <f>IFERROR(__xludf.DUMMYFUNCTION("""COMPUTED_VALUE"""),"Fingerprint")</f>
        <v>Fingerprint</v>
      </c>
      <c r="V304" s="43" t="str">
        <f>IFERROR(__xludf.DUMMYFUNCTION("""COMPUTED_VALUE"""),"KOCAELI")</f>
        <v>KOCAELI</v>
      </c>
      <c r="W304" s="43" t="str">
        <f>IFERROR(__xludf.DUMMYFUNCTION("""COMPUTED_VALUE"""),"2023-01-12T22:03:28Z")</f>
        <v>2023-01-12T22:03:28Z</v>
      </c>
      <c r="X304" s="43"/>
      <c r="Y304" s="43"/>
      <c r="Z304" s="43"/>
    </row>
    <row r="305" hidden="1">
      <c r="A305" s="43" t="str">
        <f>IFERROR(__xludf.DUMMYFUNCTION("""COMPUTED_VALUE"""),"5183626_1291049")</f>
        <v>5183626_1291049</v>
      </c>
      <c r="B305" s="43" t="str">
        <f>IFERROR(__xludf.DUMMYFUNCTION("""COMPUTED_VALUE"""),"Elif Toklucu")</f>
        <v>Elif Toklucu</v>
      </c>
      <c r="C305" s="43" t="str">
        <f>IFERROR(__xludf.DUMMYFUNCTION("""COMPUTED_VALUE"""),"completed")</f>
        <v>completed</v>
      </c>
      <c r="D305" s="43" t="str">
        <f>IFERROR(__xludf.DUMMYFUNCTION("""COMPUTED_VALUE"""),"No")</f>
        <v>No</v>
      </c>
      <c r="E305" s="43" t="str">
        <f>IFERROR(__xludf.DUMMYFUNCTION("""COMPUTED_VALUE"""),"p_2e39816736cb4e55469f649dd3574a4c6e5e4f43@inbound.aiesec.org")</f>
        <v>p_2e39816736cb4e55469f649dd3574a4c6e5e4f43@inbound.aiesec.org</v>
      </c>
      <c r="F305" s="43">
        <f>IFERROR(__xludf.DUMMYFUNCTION("""COMPUTED_VALUE"""),5.061280039E9)</f>
        <v>5061280039</v>
      </c>
      <c r="G305" s="43" t="str">
        <f>IFERROR(__xludf.DUMMYFUNCTION("""COMPUTED_VALUE"""),"Turkey")</f>
        <v>Turkey</v>
      </c>
      <c r="H305" s="43" t="str">
        <f>IFERROR(__xludf.DUMMYFUNCTION("""COMPUTED_VALUE"""),"ISTANBUL")</f>
        <v>ISTANBUL</v>
      </c>
      <c r="I305" s="43" t="str">
        <f>IFERROR(__xludf.DUMMYFUNCTION("""COMPUTED_VALUE"""),"Egypt")</f>
        <v>Egypt</v>
      </c>
      <c r="J305" s="43" t="str">
        <f>IFERROR(__xludf.DUMMYFUNCTION("""COMPUTED_VALUE"""),"GUC")</f>
        <v>GUC</v>
      </c>
      <c r="K305" s="44" t="str">
        <f>IFERROR(__xludf.DUMMYFUNCTION("""COMPUTED_VALUE"""),"https://expa.aiesec.org/opportunities/1291049")</f>
        <v>https://expa.aiesec.org/opportunities/1291049</v>
      </c>
      <c r="L305" s="43" t="str">
        <f>IFERROR(__xludf.DUMMYFUNCTION("""COMPUTED_VALUE"""),"GV")</f>
        <v>GV</v>
      </c>
      <c r="M305" s="43" t="str">
        <f>IFERROR(__xludf.DUMMYFUNCTION("""COMPUTED_VALUE"""),"short")</f>
        <v>short</v>
      </c>
      <c r="N305" s="45">
        <f>IFERROR(__xludf.DUMMYFUNCTION("""COMPUTED_VALUE"""),44965.0)</f>
        <v>44965</v>
      </c>
      <c r="O305" s="45">
        <f>IFERROR(__xludf.DUMMYFUNCTION("""COMPUTED_VALUE"""),45123.0)</f>
        <v>45123</v>
      </c>
      <c r="P305" s="45">
        <f>IFERROR(__xludf.DUMMYFUNCTION("""COMPUTED_VALUE"""),45165.0)</f>
        <v>45165</v>
      </c>
      <c r="Q305" s="45">
        <f>IFERROR(__xludf.DUMMYFUNCTION("""COMPUTED_VALUE"""),45125.0)</f>
        <v>45125</v>
      </c>
      <c r="R305" s="45">
        <f>IFERROR(__xludf.DUMMYFUNCTION("""COMPUTED_VALUE"""),45166.0)</f>
        <v>45166</v>
      </c>
      <c r="S305" s="43"/>
      <c r="T305" s="43"/>
      <c r="U305" s="43" t="str">
        <f>IFERROR(__xludf.DUMMYFUNCTION("""COMPUTED_VALUE"""),"Global Classroom")</f>
        <v>Global Classroom</v>
      </c>
      <c r="V305" s="43" t="str">
        <f>IFERROR(__xludf.DUMMYFUNCTION("""COMPUTED_VALUE"""),"ISTANBUL - BEYOGLU")</f>
        <v>ISTANBUL - BEYOGLU</v>
      </c>
      <c r="W305" s="43" t="str">
        <f>IFERROR(__xludf.DUMMYFUNCTION("""COMPUTED_VALUE"""),"2023-02-01T19:35:50Z")</f>
        <v>2023-02-01T19:35:50Z</v>
      </c>
      <c r="X305" s="43"/>
      <c r="Y305" s="43"/>
      <c r="Z305" s="43"/>
    </row>
    <row r="306" hidden="1">
      <c r="A306" s="43" t="str">
        <f>IFERROR(__xludf.DUMMYFUNCTION("""COMPUTED_VALUE"""),"5186171_1284312")</f>
        <v>5186171_1284312</v>
      </c>
      <c r="B306" s="43" t="str">
        <f>IFERROR(__xludf.DUMMYFUNCTION("""COMPUTED_VALUE"""),"Hatice Kübra Yıldız")</f>
        <v>Hatice Kübra Yıldız</v>
      </c>
      <c r="C306" s="43" t="str">
        <f>IFERROR(__xludf.DUMMYFUNCTION("""COMPUTED_VALUE"""),"completed")</f>
        <v>completed</v>
      </c>
      <c r="D306" s="43" t="str">
        <f>IFERROR(__xludf.DUMMYFUNCTION("""COMPUTED_VALUE"""),"No")</f>
        <v>No</v>
      </c>
      <c r="E306" s="43" t="str">
        <f>IFERROR(__xludf.DUMMYFUNCTION("""COMPUTED_VALUE"""),"p_342e113233bc3b3f27a0de9856101caa0021eac3@inbound.aiesec.org")</f>
        <v>p_342e113233bc3b3f27a0de9856101caa0021eac3@inbound.aiesec.org</v>
      </c>
      <c r="F306" s="43">
        <f>IFERROR(__xludf.DUMMYFUNCTION("""COMPUTED_VALUE"""),5.433266929E9)</f>
        <v>5433266929</v>
      </c>
      <c r="G306" s="43" t="str">
        <f>IFERROR(__xludf.DUMMYFUNCTION("""COMPUTED_VALUE"""),"Turkey")</f>
        <v>Turkey</v>
      </c>
      <c r="H306" s="43" t="str">
        <f>IFERROR(__xludf.DUMMYFUNCTION("""COMPUTED_VALUE"""),"KOCAELI")</f>
        <v>KOCAELI</v>
      </c>
      <c r="I306" s="43" t="str">
        <f>IFERROR(__xludf.DUMMYFUNCTION("""COMPUTED_VALUE"""),"Sri Lanka")</f>
        <v>Sri Lanka</v>
      </c>
      <c r="J306" s="43" t="str">
        <f>IFERROR(__xludf.DUMMYFUNCTION("""COMPUTED_VALUE"""),"SLIIT")</f>
        <v>SLIIT</v>
      </c>
      <c r="K306" s="44" t="str">
        <f>IFERROR(__xludf.DUMMYFUNCTION("""COMPUTED_VALUE"""),"https://expa.aiesec.org/opportunities/1284312")</f>
        <v>https://expa.aiesec.org/opportunities/1284312</v>
      </c>
      <c r="L306" s="43" t="str">
        <f>IFERROR(__xludf.DUMMYFUNCTION("""COMPUTED_VALUE"""),"GV")</f>
        <v>GV</v>
      </c>
      <c r="M306" s="43" t="str">
        <f>IFERROR(__xludf.DUMMYFUNCTION("""COMPUTED_VALUE"""),"short")</f>
        <v>short</v>
      </c>
      <c r="N306" s="45">
        <f>IFERROR(__xludf.DUMMYFUNCTION("""COMPUTED_VALUE"""),44966.0)</f>
        <v>44966</v>
      </c>
      <c r="O306" s="45">
        <f>IFERROR(__xludf.DUMMYFUNCTION("""COMPUTED_VALUE"""),45139.0)</f>
        <v>45139</v>
      </c>
      <c r="P306" s="45">
        <f>IFERROR(__xludf.DUMMYFUNCTION("""COMPUTED_VALUE"""),45181.0)</f>
        <v>45181</v>
      </c>
      <c r="Q306" s="45">
        <f>IFERROR(__xludf.DUMMYFUNCTION("""COMPUTED_VALUE"""),45140.0)</f>
        <v>45140</v>
      </c>
      <c r="R306" s="45">
        <f>IFERROR(__xludf.DUMMYFUNCTION("""COMPUTED_VALUE"""),45181.0)</f>
        <v>45181</v>
      </c>
      <c r="S306" s="43"/>
      <c r="T306" s="43"/>
      <c r="U306" s="43" t="str">
        <f>IFERROR(__xludf.DUMMYFUNCTION("""COMPUTED_VALUE"""),"On The Map")</f>
        <v>On The Map</v>
      </c>
      <c r="V306" s="43" t="str">
        <f>IFERROR(__xludf.DUMMYFUNCTION("""COMPUTED_VALUE"""),"KARABUK")</f>
        <v>KARABUK</v>
      </c>
      <c r="W306" s="43" t="str">
        <f>IFERROR(__xludf.DUMMYFUNCTION("""COMPUTED_VALUE"""),"2023-02-06T08:16:32Z")</f>
        <v>2023-02-06T08:16:32Z</v>
      </c>
      <c r="X306" s="43"/>
      <c r="Y306" s="43"/>
      <c r="Z306" s="43"/>
    </row>
    <row r="307" hidden="1">
      <c r="A307" s="43" t="str">
        <f>IFERROR(__xludf.DUMMYFUNCTION("""COMPUTED_VALUE"""),"5186024_1284312")</f>
        <v>5186024_1284312</v>
      </c>
      <c r="B307" s="43" t="str">
        <f>IFERROR(__xludf.DUMMYFUNCTION("""COMPUTED_VALUE"""),"Ayşe Aleyna Toprak")</f>
        <v>Ayşe Aleyna Toprak</v>
      </c>
      <c r="C307" s="43" t="str">
        <f>IFERROR(__xludf.DUMMYFUNCTION("""COMPUTED_VALUE"""),"completed")</f>
        <v>completed</v>
      </c>
      <c r="D307" s="43" t="str">
        <f>IFERROR(__xludf.DUMMYFUNCTION("""COMPUTED_VALUE"""),"No")</f>
        <v>No</v>
      </c>
      <c r="E307" s="43" t="str">
        <f>IFERROR(__xludf.DUMMYFUNCTION("""COMPUTED_VALUE"""),"p_1e3f865c9870a48066d71d0d0754ca838f312b5f@inbound.aiesec.org")</f>
        <v>p_1e3f865c9870a48066d71d0d0754ca838f312b5f@inbound.aiesec.org</v>
      </c>
      <c r="F307" s="43">
        <f>IFERROR(__xludf.DUMMYFUNCTION("""COMPUTED_VALUE"""),5.360156011E9)</f>
        <v>5360156011</v>
      </c>
      <c r="G307" s="43" t="str">
        <f>IFERROR(__xludf.DUMMYFUNCTION("""COMPUTED_VALUE"""),"Turkey")</f>
        <v>Turkey</v>
      </c>
      <c r="H307" s="43" t="str">
        <f>IFERROR(__xludf.DUMMYFUNCTION("""COMPUTED_VALUE"""),"KOCAELI")</f>
        <v>KOCAELI</v>
      </c>
      <c r="I307" s="43" t="str">
        <f>IFERROR(__xludf.DUMMYFUNCTION("""COMPUTED_VALUE"""),"Sri Lanka")</f>
        <v>Sri Lanka</v>
      </c>
      <c r="J307" s="43" t="str">
        <f>IFERROR(__xludf.DUMMYFUNCTION("""COMPUTED_VALUE"""),"SLIIT")</f>
        <v>SLIIT</v>
      </c>
      <c r="K307" s="44" t="str">
        <f>IFERROR(__xludf.DUMMYFUNCTION("""COMPUTED_VALUE"""),"https://expa.aiesec.org/opportunities/1284312")</f>
        <v>https://expa.aiesec.org/opportunities/1284312</v>
      </c>
      <c r="L307" s="43" t="str">
        <f>IFERROR(__xludf.DUMMYFUNCTION("""COMPUTED_VALUE"""),"GV")</f>
        <v>GV</v>
      </c>
      <c r="M307" s="43" t="str">
        <f>IFERROR(__xludf.DUMMYFUNCTION("""COMPUTED_VALUE"""),"short")</f>
        <v>short</v>
      </c>
      <c r="N307" s="45">
        <f>IFERROR(__xludf.DUMMYFUNCTION("""COMPUTED_VALUE"""),44966.0)</f>
        <v>44966</v>
      </c>
      <c r="O307" s="45">
        <f>IFERROR(__xludf.DUMMYFUNCTION("""COMPUTED_VALUE"""),45139.0)</f>
        <v>45139</v>
      </c>
      <c r="P307" s="45">
        <f>IFERROR(__xludf.DUMMYFUNCTION("""COMPUTED_VALUE"""),45181.0)</f>
        <v>45181</v>
      </c>
      <c r="Q307" s="45">
        <f>IFERROR(__xludf.DUMMYFUNCTION("""COMPUTED_VALUE"""),45140.0)</f>
        <v>45140</v>
      </c>
      <c r="R307" s="45">
        <f>IFERROR(__xludf.DUMMYFUNCTION("""COMPUTED_VALUE"""),45181.0)</f>
        <v>45181</v>
      </c>
      <c r="S307" s="43"/>
      <c r="T307" s="43"/>
      <c r="U307" s="43" t="str">
        <f>IFERROR(__xludf.DUMMYFUNCTION("""COMPUTED_VALUE"""),"On The Map")</f>
        <v>On The Map</v>
      </c>
      <c r="V307" s="43" t="str">
        <f>IFERROR(__xludf.DUMMYFUNCTION("""COMPUTED_VALUE"""),"KOCAELI")</f>
        <v>KOCAELI</v>
      </c>
      <c r="W307" s="43" t="str">
        <f>IFERROR(__xludf.DUMMYFUNCTION("""COMPUTED_VALUE"""),"2023-02-05T19:23:39Z")</f>
        <v>2023-02-05T19:23:39Z</v>
      </c>
      <c r="X307" s="43"/>
      <c r="Y307" s="43"/>
      <c r="Z307" s="43"/>
    </row>
    <row r="308" hidden="1">
      <c r="A308" s="43" t="str">
        <f>IFERROR(__xludf.DUMMYFUNCTION("""COMPUTED_VALUE"""),"5186025_1284312")</f>
        <v>5186025_1284312</v>
      </c>
      <c r="B308" s="43" t="str">
        <f>IFERROR(__xludf.DUMMYFUNCTION("""COMPUTED_VALUE"""),"Hacer Gül AKPUNAR")</f>
        <v>Hacer Gül AKPUNAR</v>
      </c>
      <c r="C308" s="43" t="str">
        <f>IFERROR(__xludf.DUMMYFUNCTION("""COMPUTED_VALUE"""),"completed")</f>
        <v>completed</v>
      </c>
      <c r="D308" s="43" t="str">
        <f>IFERROR(__xludf.DUMMYFUNCTION("""COMPUTED_VALUE"""),"No")</f>
        <v>No</v>
      </c>
      <c r="E308" s="43" t="str">
        <f>IFERROR(__xludf.DUMMYFUNCTION("""COMPUTED_VALUE"""),"p_e1e0664b2e867a103990b87ef817f7db54d66288@inbound.aiesec.org")</f>
        <v>p_e1e0664b2e867a103990b87ef817f7db54d66288@inbound.aiesec.org</v>
      </c>
      <c r="F308" s="43"/>
      <c r="G308" s="43" t="str">
        <f>IFERROR(__xludf.DUMMYFUNCTION("""COMPUTED_VALUE"""),"Turkey")</f>
        <v>Turkey</v>
      </c>
      <c r="H308" s="43" t="str">
        <f>IFERROR(__xludf.DUMMYFUNCTION("""COMPUTED_VALUE"""),"KOCAELI")</f>
        <v>KOCAELI</v>
      </c>
      <c r="I308" s="43" t="str">
        <f>IFERROR(__xludf.DUMMYFUNCTION("""COMPUTED_VALUE"""),"Sri Lanka")</f>
        <v>Sri Lanka</v>
      </c>
      <c r="J308" s="43" t="str">
        <f>IFERROR(__xludf.DUMMYFUNCTION("""COMPUTED_VALUE"""),"SLIIT")</f>
        <v>SLIIT</v>
      </c>
      <c r="K308" s="44" t="str">
        <f>IFERROR(__xludf.DUMMYFUNCTION("""COMPUTED_VALUE"""),"https://expa.aiesec.org/opportunities/1284312")</f>
        <v>https://expa.aiesec.org/opportunities/1284312</v>
      </c>
      <c r="L308" s="43" t="str">
        <f>IFERROR(__xludf.DUMMYFUNCTION("""COMPUTED_VALUE"""),"GV")</f>
        <v>GV</v>
      </c>
      <c r="M308" s="43" t="str">
        <f>IFERROR(__xludf.DUMMYFUNCTION("""COMPUTED_VALUE"""),"short")</f>
        <v>short</v>
      </c>
      <c r="N308" s="45">
        <f>IFERROR(__xludf.DUMMYFUNCTION("""COMPUTED_VALUE"""),44966.0)</f>
        <v>44966</v>
      </c>
      <c r="O308" s="45">
        <f>IFERROR(__xludf.DUMMYFUNCTION("""COMPUTED_VALUE"""),45139.0)</f>
        <v>45139</v>
      </c>
      <c r="P308" s="45">
        <f>IFERROR(__xludf.DUMMYFUNCTION("""COMPUTED_VALUE"""),45181.0)</f>
        <v>45181</v>
      </c>
      <c r="Q308" s="45">
        <f>IFERROR(__xludf.DUMMYFUNCTION("""COMPUTED_VALUE"""),45140.0)</f>
        <v>45140</v>
      </c>
      <c r="R308" s="45">
        <f>IFERROR(__xludf.DUMMYFUNCTION("""COMPUTED_VALUE"""),45181.0)</f>
        <v>45181</v>
      </c>
      <c r="S308" s="43"/>
      <c r="T308" s="43"/>
      <c r="U308" s="43" t="str">
        <f>IFERROR(__xludf.DUMMYFUNCTION("""COMPUTED_VALUE"""),"On The Map")</f>
        <v>On The Map</v>
      </c>
      <c r="V308" s="43" t="str">
        <f>IFERROR(__xludf.DUMMYFUNCTION("""COMPUTED_VALUE"""),"KOCAELI")</f>
        <v>KOCAELI</v>
      </c>
      <c r="W308" s="43" t="str">
        <f>IFERROR(__xludf.DUMMYFUNCTION("""COMPUTED_VALUE"""),"2023-02-05T19:27:17Z")</f>
        <v>2023-02-05T19:27:17Z</v>
      </c>
      <c r="X308" s="43"/>
      <c r="Y308" s="43"/>
      <c r="Z308" s="43"/>
    </row>
    <row r="309" hidden="1">
      <c r="A309" s="43" t="str">
        <f>IFERROR(__xludf.DUMMYFUNCTION("""COMPUTED_VALUE"""),"5188655_1281236")</f>
        <v>5188655_1281236</v>
      </c>
      <c r="B309" s="43" t="str">
        <f>IFERROR(__xludf.DUMMYFUNCTION("""COMPUTED_VALUE"""),"Furkan İbrahimağaoğlu")</f>
        <v>Furkan İbrahimağaoğlu</v>
      </c>
      <c r="C309" s="43" t="str">
        <f>IFERROR(__xludf.DUMMYFUNCTION("""COMPUTED_VALUE"""),"completed")</f>
        <v>completed</v>
      </c>
      <c r="D309" s="43" t="str">
        <f>IFERROR(__xludf.DUMMYFUNCTION("""COMPUTED_VALUE"""),"No")</f>
        <v>No</v>
      </c>
      <c r="E309" s="43" t="str">
        <f>IFERROR(__xludf.DUMMYFUNCTION("""COMPUTED_VALUE"""),"p_143bccb4dbce36055b620974367757b8a9cfc2ec@inbound.aiesec.org")</f>
        <v>p_143bccb4dbce36055b620974367757b8a9cfc2ec@inbound.aiesec.org</v>
      </c>
      <c r="F309" s="43">
        <f>IFERROR(__xludf.DUMMYFUNCTION("""COMPUTED_VALUE"""),5.423123461E9)</f>
        <v>5423123461</v>
      </c>
      <c r="G309" s="43" t="str">
        <f>IFERROR(__xludf.DUMMYFUNCTION("""COMPUTED_VALUE"""),"Turkey")</f>
        <v>Turkey</v>
      </c>
      <c r="H309" s="43" t="str">
        <f>IFERROR(__xludf.DUMMYFUNCTION("""COMPUTED_VALUE"""),"KOCAELI")</f>
        <v>KOCAELI</v>
      </c>
      <c r="I309" s="43" t="str">
        <f>IFERROR(__xludf.DUMMYFUNCTION("""COMPUTED_VALUE"""),"India")</f>
        <v>India</v>
      </c>
      <c r="J309" s="43" t="str">
        <f>IFERROR(__xludf.DUMMYFUNCTION("""COMPUTED_VALUE"""),"Dehradun")</f>
        <v>Dehradun</v>
      </c>
      <c r="K309" s="44" t="str">
        <f>IFERROR(__xludf.DUMMYFUNCTION("""COMPUTED_VALUE"""),"https://expa.aiesec.org/opportunities/1281236")</f>
        <v>https://expa.aiesec.org/opportunities/1281236</v>
      </c>
      <c r="L309" s="43" t="str">
        <f>IFERROR(__xludf.DUMMYFUNCTION("""COMPUTED_VALUE"""),"GV")</f>
        <v>GV</v>
      </c>
      <c r="M309" s="43" t="str">
        <f>IFERROR(__xludf.DUMMYFUNCTION("""COMPUTED_VALUE"""),"short")</f>
        <v>short</v>
      </c>
      <c r="N309" s="45">
        <f>IFERROR(__xludf.DUMMYFUNCTION("""COMPUTED_VALUE"""),44967.0)</f>
        <v>44967</v>
      </c>
      <c r="O309" s="45">
        <f>IFERROR(__xludf.DUMMYFUNCTION("""COMPUTED_VALUE"""),45122.0)</f>
        <v>45122</v>
      </c>
      <c r="P309" s="45">
        <f>IFERROR(__xludf.DUMMYFUNCTION("""COMPUTED_VALUE"""),45164.0)</f>
        <v>45164</v>
      </c>
      <c r="Q309" s="45">
        <f>IFERROR(__xludf.DUMMYFUNCTION("""COMPUTED_VALUE"""),45122.0)</f>
        <v>45122</v>
      </c>
      <c r="R309" s="45">
        <f>IFERROR(__xludf.DUMMYFUNCTION("""COMPUTED_VALUE"""),45164.0)</f>
        <v>45164</v>
      </c>
      <c r="S309" s="43"/>
      <c r="T309" s="43"/>
      <c r="U309" s="43" t="str">
        <f>IFERROR(__xludf.DUMMYFUNCTION("""COMPUTED_VALUE"""),"Skill Up!")</f>
        <v>Skill Up!</v>
      </c>
      <c r="V309" s="43" t="str">
        <f>IFERROR(__xludf.DUMMYFUNCTION("""COMPUTED_VALUE"""),"KOCAELI")</f>
        <v>KOCAELI</v>
      </c>
      <c r="W309" s="43" t="str">
        <f>IFERROR(__xludf.DUMMYFUNCTION("""COMPUTED_VALUE"""),"2023-02-10T12:31:03Z")</f>
        <v>2023-02-10T12:31:03Z</v>
      </c>
      <c r="X309" s="43"/>
      <c r="Y309" s="43"/>
      <c r="Z309" s="43"/>
    </row>
    <row r="310" hidden="1">
      <c r="A310" s="43" t="str">
        <f>IFERROR(__xludf.DUMMYFUNCTION("""COMPUTED_VALUE"""),"5173579_1289528")</f>
        <v>5173579_1289528</v>
      </c>
      <c r="B310" s="43" t="str">
        <f>IFERROR(__xludf.DUMMYFUNCTION("""COMPUTED_VALUE"""),"Gizem Nur Orman")</f>
        <v>Gizem Nur Orman</v>
      </c>
      <c r="C310" s="43" t="str">
        <f>IFERROR(__xludf.DUMMYFUNCTION("""COMPUTED_VALUE"""),"completed")</f>
        <v>completed</v>
      </c>
      <c r="D310" s="43" t="str">
        <f>IFERROR(__xludf.DUMMYFUNCTION("""COMPUTED_VALUE"""),"No")</f>
        <v>No</v>
      </c>
      <c r="E310" s="43" t="str">
        <f>IFERROR(__xludf.DUMMYFUNCTION("""COMPUTED_VALUE"""),"p_c4cb057febf859054c23bc998f6e650784b9c5e5@inbound.aiesec.org")</f>
        <v>p_c4cb057febf859054c23bc998f6e650784b9c5e5@inbound.aiesec.org</v>
      </c>
      <c r="F310" s="43">
        <f>IFERROR(__xludf.DUMMYFUNCTION("""COMPUTED_VALUE"""),5.061485918E9)</f>
        <v>5061485918</v>
      </c>
      <c r="G310" s="43" t="str">
        <f>IFERROR(__xludf.DUMMYFUNCTION("""COMPUTED_VALUE"""),"Turkey")</f>
        <v>Turkey</v>
      </c>
      <c r="H310" s="43" t="str">
        <f>IFERROR(__xludf.DUMMYFUNCTION("""COMPUTED_VALUE"""),"KOCAELI")</f>
        <v>KOCAELI</v>
      </c>
      <c r="I310" s="43" t="str">
        <f>IFERROR(__xludf.DUMMYFUNCTION("""COMPUTED_VALUE"""),"Egypt")</f>
        <v>Egypt</v>
      </c>
      <c r="J310" s="43" t="str">
        <f>IFERROR(__xludf.DUMMYFUNCTION("""COMPUTED_VALUE"""),"GUC")</f>
        <v>GUC</v>
      </c>
      <c r="K310" s="44" t="str">
        <f>IFERROR(__xludf.DUMMYFUNCTION("""COMPUTED_VALUE"""),"https://expa.aiesec.org/opportunities/1289528")</f>
        <v>https://expa.aiesec.org/opportunities/1289528</v>
      </c>
      <c r="L310" s="43" t="str">
        <f>IFERROR(__xludf.DUMMYFUNCTION("""COMPUTED_VALUE"""),"GV")</f>
        <v>GV</v>
      </c>
      <c r="M310" s="43" t="str">
        <f>IFERROR(__xludf.DUMMYFUNCTION("""COMPUTED_VALUE"""),"short")</f>
        <v>short</v>
      </c>
      <c r="N310" s="45">
        <f>IFERROR(__xludf.DUMMYFUNCTION("""COMPUTED_VALUE"""),44969.0)</f>
        <v>44969</v>
      </c>
      <c r="O310" s="45">
        <f>IFERROR(__xludf.DUMMYFUNCTION("""COMPUTED_VALUE"""),45123.0)</f>
        <v>45123</v>
      </c>
      <c r="P310" s="45">
        <f>IFERROR(__xludf.DUMMYFUNCTION("""COMPUTED_VALUE"""),45165.0)</f>
        <v>45165</v>
      </c>
      <c r="Q310" s="45">
        <f>IFERROR(__xludf.DUMMYFUNCTION("""COMPUTED_VALUE"""),45122.0)</f>
        <v>45122</v>
      </c>
      <c r="R310" s="45">
        <f>IFERROR(__xludf.DUMMYFUNCTION("""COMPUTED_VALUE"""),45165.0)</f>
        <v>45165</v>
      </c>
      <c r="S310" s="43"/>
      <c r="T310" s="43"/>
      <c r="U310" s="43" t="str">
        <f>IFERROR(__xludf.DUMMYFUNCTION("""COMPUTED_VALUE"""),"Scale Up!")</f>
        <v>Scale Up!</v>
      </c>
      <c r="V310" s="43" t="str">
        <f>IFERROR(__xludf.DUMMYFUNCTION("""COMPUTED_VALUE"""),"KOCAELI")</f>
        <v>KOCAELI</v>
      </c>
      <c r="W310" s="43" t="str">
        <f>IFERROR(__xludf.DUMMYFUNCTION("""COMPUTED_VALUE"""),"2023-01-06T03:54:30Z")</f>
        <v>2023-01-06T03:54:30Z</v>
      </c>
      <c r="X310" s="43"/>
      <c r="Y310" s="43"/>
      <c r="Z310" s="43"/>
    </row>
    <row r="311" hidden="1">
      <c r="A311" s="43" t="str">
        <f>IFERROR(__xludf.DUMMYFUNCTION("""COMPUTED_VALUE"""),"5185070_1291167")</f>
        <v>5185070_1291167</v>
      </c>
      <c r="B311" s="43" t="str">
        <f>IFERROR(__xludf.DUMMYFUNCTION("""COMPUTED_VALUE"""),"Betül Aladağ")</f>
        <v>Betül Aladağ</v>
      </c>
      <c r="C311" s="43" t="str">
        <f>IFERROR(__xludf.DUMMYFUNCTION("""COMPUTED_VALUE"""),"completed")</f>
        <v>completed</v>
      </c>
      <c r="D311" s="43" t="str">
        <f>IFERROR(__xludf.DUMMYFUNCTION("""COMPUTED_VALUE"""),"No")</f>
        <v>No</v>
      </c>
      <c r="E311" s="43" t="str">
        <f>IFERROR(__xludf.DUMMYFUNCTION("""COMPUTED_VALUE"""),"p_3b343c6fabd15b4f723f54f212674ad34f733fe7@inbound.aiesec.org")</f>
        <v>p_3b343c6fabd15b4f723f54f212674ad34f733fe7@inbound.aiesec.org</v>
      </c>
      <c r="F311" s="43">
        <f>IFERROR(__xludf.DUMMYFUNCTION("""COMPUTED_VALUE"""),5.309559348E9)</f>
        <v>5309559348</v>
      </c>
      <c r="G311" s="43" t="str">
        <f>IFERROR(__xludf.DUMMYFUNCTION("""COMPUTED_VALUE"""),"Turkey")</f>
        <v>Turkey</v>
      </c>
      <c r="H311" s="43" t="str">
        <f>IFERROR(__xludf.DUMMYFUNCTION("""COMPUTED_VALUE"""),"ADANA")</f>
        <v>ADANA</v>
      </c>
      <c r="I311" s="43" t="str">
        <f>IFERROR(__xludf.DUMMYFUNCTION("""COMPUTED_VALUE"""),"Egypt")</f>
        <v>Egypt</v>
      </c>
      <c r="J311" s="43" t="str">
        <f>IFERROR(__xludf.DUMMYFUNCTION("""COMPUTED_VALUE"""),"GUC")</f>
        <v>GUC</v>
      </c>
      <c r="K311" s="44" t="str">
        <f>IFERROR(__xludf.DUMMYFUNCTION("""COMPUTED_VALUE"""),"https://expa.aiesec.org/opportunities/1291167")</f>
        <v>https://expa.aiesec.org/opportunities/1291167</v>
      </c>
      <c r="L311" s="43" t="str">
        <f>IFERROR(__xludf.DUMMYFUNCTION("""COMPUTED_VALUE"""),"GV")</f>
        <v>GV</v>
      </c>
      <c r="M311" s="43" t="str">
        <f>IFERROR(__xludf.DUMMYFUNCTION("""COMPUTED_VALUE"""),"short")</f>
        <v>short</v>
      </c>
      <c r="N311" s="45">
        <f>IFERROR(__xludf.DUMMYFUNCTION("""COMPUTED_VALUE"""),44970.0)</f>
        <v>44970</v>
      </c>
      <c r="O311" s="45">
        <f>IFERROR(__xludf.DUMMYFUNCTION("""COMPUTED_VALUE"""),45122.0)</f>
        <v>45122</v>
      </c>
      <c r="P311" s="45">
        <f>IFERROR(__xludf.DUMMYFUNCTION("""COMPUTED_VALUE"""),45164.0)</f>
        <v>45164</v>
      </c>
      <c r="Q311" s="45">
        <f>IFERROR(__xludf.DUMMYFUNCTION("""COMPUTED_VALUE"""),45122.0)</f>
        <v>45122</v>
      </c>
      <c r="R311" s="45">
        <f>IFERROR(__xludf.DUMMYFUNCTION("""COMPUTED_VALUE"""),45164.0)</f>
        <v>45164</v>
      </c>
      <c r="S311" s="43"/>
      <c r="T311" s="43"/>
      <c r="U311" s="43" t="str">
        <f>IFERROR(__xludf.DUMMYFUNCTION("""COMPUTED_VALUE"""),"Green Leaders")</f>
        <v>Green Leaders</v>
      </c>
      <c r="V311" s="43" t="str">
        <f>IFERROR(__xludf.DUMMYFUNCTION("""COMPUTED_VALUE"""),"ISTANBUL ASIA")</f>
        <v>ISTANBUL ASIA</v>
      </c>
      <c r="W311" s="43" t="str">
        <f>IFERROR(__xludf.DUMMYFUNCTION("""COMPUTED_VALUE"""),"2023-02-03T17:40:31Z")</f>
        <v>2023-02-03T17:40:31Z</v>
      </c>
      <c r="X311" s="43"/>
      <c r="Y311" s="43"/>
      <c r="Z311" s="43"/>
    </row>
    <row r="312" hidden="1">
      <c r="A312" s="43" t="str">
        <f>IFERROR(__xludf.DUMMYFUNCTION("""COMPUTED_VALUE"""),"3852028_1292343")</f>
        <v>3852028_1292343</v>
      </c>
      <c r="B312" s="43" t="str">
        <f>IFERROR(__xludf.DUMMYFUNCTION("""COMPUTED_VALUE"""),"doga barbaros")</f>
        <v>doga barbaros</v>
      </c>
      <c r="C312" s="43" t="str">
        <f>IFERROR(__xludf.DUMMYFUNCTION("""COMPUTED_VALUE"""),"completed")</f>
        <v>completed</v>
      </c>
      <c r="D312" s="43" t="str">
        <f>IFERROR(__xludf.DUMMYFUNCTION("""COMPUTED_VALUE"""),"No")</f>
        <v>No</v>
      </c>
      <c r="E312" s="43" t="str">
        <f>IFERROR(__xludf.DUMMYFUNCTION("""COMPUTED_VALUE"""),"p_1861145b363ffd7b7e63179daf000e394eef55e5@inbound.aiesec.org")</f>
        <v>p_1861145b363ffd7b7e63179daf000e394eef55e5@inbound.aiesec.org</v>
      </c>
      <c r="F312" s="43">
        <f>IFERROR(__xludf.DUMMYFUNCTION("""COMPUTED_VALUE"""),5.41329952E9)</f>
        <v>5413299520</v>
      </c>
      <c r="G312" s="43" t="str">
        <f>IFERROR(__xludf.DUMMYFUNCTION("""COMPUTED_VALUE"""),"Turkey")</f>
        <v>Turkey</v>
      </c>
      <c r="H312" s="43" t="str">
        <f>IFERROR(__xludf.DUMMYFUNCTION("""COMPUTED_VALUE"""),"İZMİR")</f>
        <v>İZMİR</v>
      </c>
      <c r="I312" s="43" t="str">
        <f>IFERROR(__xludf.DUMMYFUNCTION("""COMPUTED_VALUE"""),"Romania")</f>
        <v>Romania</v>
      </c>
      <c r="J312" s="43" t="str">
        <f>IFERROR(__xludf.DUMMYFUNCTION("""COMPUTED_VALUE"""),"BUCURESTI")</f>
        <v>BUCURESTI</v>
      </c>
      <c r="K312" s="44" t="str">
        <f>IFERROR(__xludf.DUMMYFUNCTION("""COMPUTED_VALUE"""),"https://expa.aiesec.org/opportunities/1292343")</f>
        <v>https://expa.aiesec.org/opportunities/1292343</v>
      </c>
      <c r="L312" s="43" t="str">
        <f>IFERROR(__xludf.DUMMYFUNCTION("""COMPUTED_VALUE"""),"GV")</f>
        <v>GV</v>
      </c>
      <c r="M312" s="43" t="str">
        <f>IFERROR(__xludf.DUMMYFUNCTION("""COMPUTED_VALUE"""),"short")</f>
        <v>short</v>
      </c>
      <c r="N312" s="45">
        <f>IFERROR(__xludf.DUMMYFUNCTION("""COMPUTED_VALUE"""),44971.0)</f>
        <v>44971</v>
      </c>
      <c r="O312" s="45">
        <f>IFERROR(__xludf.DUMMYFUNCTION("""COMPUTED_VALUE"""),45124.0)</f>
        <v>45124</v>
      </c>
      <c r="P312" s="45">
        <f>IFERROR(__xludf.DUMMYFUNCTION("""COMPUTED_VALUE"""),45166.0)</f>
        <v>45166</v>
      </c>
      <c r="Q312" s="45">
        <f>IFERROR(__xludf.DUMMYFUNCTION("""COMPUTED_VALUE"""),45124.0)</f>
        <v>45124</v>
      </c>
      <c r="R312" s="45">
        <f>IFERROR(__xludf.DUMMYFUNCTION("""COMPUTED_VALUE"""),45166.0)</f>
        <v>45166</v>
      </c>
      <c r="S312" s="43"/>
      <c r="T312" s="43"/>
      <c r="U312" s="43" t="str">
        <f>IFERROR(__xludf.DUMMYFUNCTION("""COMPUTED_VALUE"""),"Green Leaders")</f>
        <v>Green Leaders</v>
      </c>
      <c r="V312" s="43" t="str">
        <f>IFERROR(__xludf.DUMMYFUNCTION("""COMPUTED_VALUE"""),"IZMIR")</f>
        <v>IZMIR</v>
      </c>
      <c r="W312" s="43" t="str">
        <f>IFERROR(__xludf.DUMMYFUNCTION("""COMPUTED_VALUE"""),"2019-09-24T18:14:26Z")</f>
        <v>2019-09-24T18:14:26Z</v>
      </c>
      <c r="X312" s="43"/>
      <c r="Y312" s="43"/>
      <c r="Z312" s="43"/>
    </row>
    <row r="313" hidden="1">
      <c r="A313" s="43" t="str">
        <f>IFERROR(__xludf.DUMMYFUNCTION("""COMPUTED_VALUE"""),"5185874_1291551")</f>
        <v>5185874_1291551</v>
      </c>
      <c r="B313" s="43" t="str">
        <f>IFERROR(__xludf.DUMMYFUNCTION("""COMPUTED_VALUE"""),"Ayberk Köklü")</f>
        <v>Ayberk Köklü</v>
      </c>
      <c r="C313" s="43" t="str">
        <f>IFERROR(__xludf.DUMMYFUNCTION("""COMPUTED_VALUE"""),"completed")</f>
        <v>completed</v>
      </c>
      <c r="D313" s="43" t="str">
        <f>IFERROR(__xludf.DUMMYFUNCTION("""COMPUTED_VALUE"""),"No")</f>
        <v>No</v>
      </c>
      <c r="E313" s="43" t="str">
        <f>IFERROR(__xludf.DUMMYFUNCTION("""COMPUTED_VALUE"""),"p_cb875c279a83c1770796b9c1c79c33dcaf0bcb55@inbound.aiesec.org")</f>
        <v>p_cb875c279a83c1770796b9c1c79c33dcaf0bcb55@inbound.aiesec.org</v>
      </c>
      <c r="F313" s="43">
        <f>IFERROR(__xludf.DUMMYFUNCTION("""COMPUTED_VALUE"""),5.469475031E9)</f>
        <v>5469475031</v>
      </c>
      <c r="G313" s="43" t="str">
        <f>IFERROR(__xludf.DUMMYFUNCTION("""COMPUTED_VALUE"""),"Turkey")</f>
        <v>Turkey</v>
      </c>
      <c r="H313" s="43" t="str">
        <f>IFERROR(__xludf.DUMMYFUNCTION("""COMPUTED_VALUE"""),"ISTANBUL")</f>
        <v>ISTANBUL</v>
      </c>
      <c r="I313" s="43" t="str">
        <f>IFERROR(__xludf.DUMMYFUNCTION("""COMPUTED_VALUE"""),"Italy")</f>
        <v>Italy</v>
      </c>
      <c r="J313" s="43" t="str">
        <f>IFERROR(__xludf.DUMMYFUNCTION("""COMPUTED_VALUE"""),"Bologna")</f>
        <v>Bologna</v>
      </c>
      <c r="K313" s="44" t="str">
        <f>IFERROR(__xludf.DUMMYFUNCTION("""COMPUTED_VALUE"""),"https://expa.aiesec.org/opportunities/1291551")</f>
        <v>https://expa.aiesec.org/opportunities/1291551</v>
      </c>
      <c r="L313" s="43" t="str">
        <f>IFERROR(__xludf.DUMMYFUNCTION("""COMPUTED_VALUE"""),"GV")</f>
        <v>GV</v>
      </c>
      <c r="M313" s="43" t="str">
        <f>IFERROR(__xludf.DUMMYFUNCTION("""COMPUTED_VALUE"""),"short")</f>
        <v>short</v>
      </c>
      <c r="N313" s="45">
        <f>IFERROR(__xludf.DUMMYFUNCTION("""COMPUTED_VALUE"""),44971.0)</f>
        <v>44971</v>
      </c>
      <c r="O313" s="45">
        <f>IFERROR(__xludf.DUMMYFUNCTION("""COMPUTED_VALUE"""),45032.0)</f>
        <v>45032</v>
      </c>
      <c r="P313" s="45">
        <f>IFERROR(__xludf.DUMMYFUNCTION("""COMPUTED_VALUE"""),45074.0)</f>
        <v>45074</v>
      </c>
      <c r="Q313" s="45">
        <f>IFERROR(__xludf.DUMMYFUNCTION("""COMPUTED_VALUE"""),45032.0)</f>
        <v>45032</v>
      </c>
      <c r="R313" s="45">
        <f>IFERROR(__xludf.DUMMYFUNCTION("""COMPUTED_VALUE"""),45074.0)</f>
        <v>45074</v>
      </c>
      <c r="S313" s="43"/>
      <c r="T313" s="43"/>
      <c r="U313" s="43" t="str">
        <f>IFERROR(__xludf.DUMMYFUNCTION("""COMPUTED_VALUE"""),"Youth 4 Impact")</f>
        <v>Youth 4 Impact</v>
      </c>
      <c r="V313" s="43" t="str">
        <f>IFERROR(__xludf.DUMMYFUNCTION("""COMPUTED_VALUE"""),"ISTANBUL - BEYOGLU")</f>
        <v>ISTANBUL - BEYOGLU</v>
      </c>
      <c r="W313" s="43" t="str">
        <f>IFERROR(__xludf.DUMMYFUNCTION("""COMPUTED_VALUE"""),"2023-02-05T14:13:06Z")</f>
        <v>2023-02-05T14:13:06Z</v>
      </c>
      <c r="X313" s="43"/>
      <c r="Y313" s="43"/>
      <c r="Z313" s="43"/>
    </row>
    <row r="314" hidden="1">
      <c r="A314" s="43" t="str">
        <f>IFERROR(__xludf.DUMMYFUNCTION("""COMPUTED_VALUE"""),"5077944_1290642")</f>
        <v>5077944_1290642</v>
      </c>
      <c r="B314" s="43" t="str">
        <f>IFERROR(__xludf.DUMMYFUNCTION("""COMPUTED_VALUE"""),"Simay Şen")</f>
        <v>Simay Şen</v>
      </c>
      <c r="C314" s="43" t="str">
        <f>IFERROR(__xludf.DUMMYFUNCTION("""COMPUTED_VALUE"""),"completed")</f>
        <v>completed</v>
      </c>
      <c r="D314" s="43" t="str">
        <f>IFERROR(__xludf.DUMMYFUNCTION("""COMPUTED_VALUE"""),"No")</f>
        <v>No</v>
      </c>
      <c r="E314" s="43" t="str">
        <f>IFERROR(__xludf.DUMMYFUNCTION("""COMPUTED_VALUE"""),"p_c10170447d5e0aa2974547af74eafdb4bd7f1846@inbound.aiesec.org")</f>
        <v>p_c10170447d5e0aa2974547af74eafdb4bd7f1846@inbound.aiesec.org</v>
      </c>
      <c r="F314" s="43">
        <f>IFERROR(__xludf.DUMMYFUNCTION("""COMPUTED_VALUE"""),5.300996824E9)</f>
        <v>5300996824</v>
      </c>
      <c r="G314" s="43" t="str">
        <f>IFERROR(__xludf.DUMMYFUNCTION("""COMPUTED_VALUE"""),"Turkey")</f>
        <v>Turkey</v>
      </c>
      <c r="H314" s="43" t="str">
        <f>IFERROR(__xludf.DUMMYFUNCTION("""COMPUTED_VALUE"""),"ISTANBUL")</f>
        <v>ISTANBUL</v>
      </c>
      <c r="I314" s="43" t="str">
        <f>IFERROR(__xludf.DUMMYFUNCTION("""COMPUTED_VALUE"""),"Romania")</f>
        <v>Romania</v>
      </c>
      <c r="J314" s="43" t="str">
        <f>IFERROR(__xludf.DUMMYFUNCTION("""COMPUTED_VALUE"""),"BUCURESTI")</f>
        <v>BUCURESTI</v>
      </c>
      <c r="K314" s="44" t="str">
        <f>IFERROR(__xludf.DUMMYFUNCTION("""COMPUTED_VALUE"""),"https://expa.aiesec.org/opportunities/1290642")</f>
        <v>https://expa.aiesec.org/opportunities/1290642</v>
      </c>
      <c r="L314" s="43" t="str">
        <f>IFERROR(__xludf.DUMMYFUNCTION("""COMPUTED_VALUE"""),"GV")</f>
        <v>GV</v>
      </c>
      <c r="M314" s="43" t="str">
        <f>IFERROR(__xludf.DUMMYFUNCTION("""COMPUTED_VALUE"""),"short")</f>
        <v>short</v>
      </c>
      <c r="N314" s="45">
        <f>IFERROR(__xludf.DUMMYFUNCTION("""COMPUTED_VALUE"""),44972.0)</f>
        <v>44972</v>
      </c>
      <c r="O314" s="45">
        <f>IFERROR(__xludf.DUMMYFUNCTION("""COMPUTED_VALUE"""),45124.0)</f>
        <v>45124</v>
      </c>
      <c r="P314" s="45">
        <f>IFERROR(__xludf.DUMMYFUNCTION("""COMPUTED_VALUE"""),45166.0)</f>
        <v>45166</v>
      </c>
      <c r="Q314" s="45">
        <f>IFERROR(__xludf.DUMMYFUNCTION("""COMPUTED_VALUE"""),45124.0)</f>
        <v>45124</v>
      </c>
      <c r="R314" s="45">
        <f>IFERROR(__xludf.DUMMYFUNCTION("""COMPUTED_VALUE"""),45166.0)</f>
        <v>45166</v>
      </c>
      <c r="S314" s="43"/>
      <c r="T314" s="43"/>
      <c r="U314" s="43" t="str">
        <f>IFERROR(__xludf.DUMMYFUNCTION("""COMPUTED_VALUE"""),"Explorer")</f>
        <v>Explorer</v>
      </c>
      <c r="V314" s="43" t="str">
        <f>IFERROR(__xludf.DUMMYFUNCTION("""COMPUTED_VALUE"""),"ISTANBUL - BEYOGLU")</f>
        <v>ISTANBUL - BEYOGLU</v>
      </c>
      <c r="W314" s="43" t="str">
        <f>IFERROR(__xludf.DUMMYFUNCTION("""COMPUTED_VALUE"""),"2022-06-29T12:12:37Z")</f>
        <v>2022-06-29T12:12:37Z</v>
      </c>
      <c r="X314" s="43"/>
      <c r="Y314" s="43"/>
      <c r="Z314" s="43"/>
    </row>
    <row r="315" hidden="1">
      <c r="A315" s="43" t="str">
        <f>IFERROR(__xludf.DUMMYFUNCTION("""COMPUTED_VALUE"""),"5185963_1291263")</f>
        <v>5185963_1291263</v>
      </c>
      <c r="B315" s="43" t="str">
        <f>IFERROR(__xludf.DUMMYFUNCTION("""COMPUTED_VALUE"""),"Zehra Öztürk")</f>
        <v>Zehra Öztürk</v>
      </c>
      <c r="C315" s="43" t="str">
        <f>IFERROR(__xludf.DUMMYFUNCTION("""COMPUTED_VALUE"""),"completed")</f>
        <v>completed</v>
      </c>
      <c r="D315" s="43" t="str">
        <f>IFERROR(__xludf.DUMMYFUNCTION("""COMPUTED_VALUE"""),"No")</f>
        <v>No</v>
      </c>
      <c r="E315" s="43" t="str">
        <f>IFERROR(__xludf.DUMMYFUNCTION("""COMPUTED_VALUE"""),"p_abdfcc3b5f9471ef9a58a1aa931c1eaf4b79edc5@inbound.aiesec.org")</f>
        <v>p_abdfcc3b5f9471ef9a58a1aa931c1eaf4b79edc5@inbound.aiesec.org</v>
      </c>
      <c r="F315" s="43"/>
      <c r="G315" s="43" t="str">
        <f>IFERROR(__xludf.DUMMYFUNCTION("""COMPUTED_VALUE"""),"Turkey")</f>
        <v>Turkey</v>
      </c>
      <c r="H315" s="43" t="str">
        <f>IFERROR(__xludf.DUMMYFUNCTION("""COMPUTED_VALUE"""),"ISTANBUL")</f>
        <v>ISTANBUL</v>
      </c>
      <c r="I315" s="43" t="str">
        <f>IFERROR(__xludf.DUMMYFUNCTION("""COMPUTED_VALUE"""),"Greece")</f>
        <v>Greece</v>
      </c>
      <c r="J315" s="43" t="str">
        <f>IFERROR(__xludf.DUMMYFUNCTION("""COMPUTED_VALUE"""),"UoM THESSALONIKI")</f>
        <v>UoM THESSALONIKI</v>
      </c>
      <c r="K315" s="44" t="str">
        <f>IFERROR(__xludf.DUMMYFUNCTION("""COMPUTED_VALUE"""),"https://expa.aiesec.org/opportunities/1291263")</f>
        <v>https://expa.aiesec.org/opportunities/1291263</v>
      </c>
      <c r="L315" s="43" t="str">
        <f>IFERROR(__xludf.DUMMYFUNCTION("""COMPUTED_VALUE"""),"GV")</f>
        <v>GV</v>
      </c>
      <c r="M315" s="43" t="str">
        <f>IFERROR(__xludf.DUMMYFUNCTION("""COMPUTED_VALUE"""),"short")</f>
        <v>short</v>
      </c>
      <c r="N315" s="45">
        <f>IFERROR(__xludf.DUMMYFUNCTION("""COMPUTED_VALUE"""),44972.0)</f>
        <v>44972</v>
      </c>
      <c r="O315" s="45">
        <f>IFERROR(__xludf.DUMMYFUNCTION("""COMPUTED_VALUE"""),45061.0)</f>
        <v>45061</v>
      </c>
      <c r="P315" s="45">
        <f>IFERROR(__xludf.DUMMYFUNCTION("""COMPUTED_VALUE"""),45103.0)</f>
        <v>45103</v>
      </c>
      <c r="Q315" s="45">
        <f>IFERROR(__xludf.DUMMYFUNCTION("""COMPUTED_VALUE"""),45061.0)</f>
        <v>45061</v>
      </c>
      <c r="R315" s="45">
        <f>IFERROR(__xludf.DUMMYFUNCTION("""COMPUTED_VALUE"""),45103.0)</f>
        <v>45103</v>
      </c>
      <c r="S315" s="43"/>
      <c r="T315" s="43"/>
      <c r="U315" s="43" t="str">
        <f>IFERROR(__xludf.DUMMYFUNCTION("""COMPUTED_VALUE"""),"Global Classroom")</f>
        <v>Global Classroom</v>
      </c>
      <c r="V315" s="43" t="str">
        <f>IFERROR(__xludf.DUMMYFUNCTION("""COMPUTED_VALUE"""),"-")</f>
        <v>-</v>
      </c>
      <c r="W315" s="43" t="str">
        <f>IFERROR(__xludf.DUMMYFUNCTION("""COMPUTED_VALUE"""),"2023-02-05T16:42:14Z")</f>
        <v>2023-02-05T16:42:14Z</v>
      </c>
      <c r="X315" s="43"/>
      <c r="Y315" s="43"/>
      <c r="Z315" s="43"/>
    </row>
    <row r="316" hidden="1">
      <c r="A316" s="43" t="str">
        <f>IFERROR(__xludf.DUMMYFUNCTION("""COMPUTED_VALUE"""),"5176807_1290323")</f>
        <v>5176807_1290323</v>
      </c>
      <c r="B316" s="43" t="str">
        <f>IFERROR(__xludf.DUMMYFUNCTION("""COMPUTED_VALUE"""),"ADEL GECE DEMIR")</f>
        <v>ADEL GECE DEMIR</v>
      </c>
      <c r="C316" s="43" t="str">
        <f>IFERROR(__xludf.DUMMYFUNCTION("""COMPUTED_VALUE"""),"approved")</f>
        <v>approved</v>
      </c>
      <c r="D316" s="43" t="str">
        <f>IFERROR(__xludf.DUMMYFUNCTION("""COMPUTED_VALUE"""),"No")</f>
        <v>No</v>
      </c>
      <c r="E316" s="43" t="str">
        <f>IFERROR(__xludf.DUMMYFUNCTION("""COMPUTED_VALUE"""),"p_c8a8ec303c40fb6ad54d9dfb63a655e1a2a8f43a@inbound.aiesec.org")</f>
        <v>p_c8a8ec303c40fb6ad54d9dfb63a655e1a2a8f43a@inbound.aiesec.org</v>
      </c>
      <c r="F316" s="43"/>
      <c r="G316" s="43" t="str">
        <f>IFERROR(__xludf.DUMMYFUNCTION("""COMPUTED_VALUE"""),"Turkey")</f>
        <v>Turkey</v>
      </c>
      <c r="H316" s="43" t="str">
        <f>IFERROR(__xludf.DUMMYFUNCTION("""COMPUTED_VALUE"""),"ISTANBUL")</f>
        <v>ISTANBUL</v>
      </c>
      <c r="I316" s="43" t="str">
        <f>IFERROR(__xludf.DUMMYFUNCTION("""COMPUTED_VALUE"""),"Egypt")</f>
        <v>Egypt</v>
      </c>
      <c r="J316" s="43" t="str">
        <f>IFERROR(__xludf.DUMMYFUNCTION("""COMPUTED_VALUE"""),"Ain Shams University")</f>
        <v>Ain Shams University</v>
      </c>
      <c r="K316" s="44" t="str">
        <f>IFERROR(__xludf.DUMMYFUNCTION("""COMPUTED_VALUE"""),"https://expa.aiesec.org/opportunities/1290323")</f>
        <v>https://expa.aiesec.org/opportunities/1290323</v>
      </c>
      <c r="L316" s="43" t="str">
        <f>IFERROR(__xludf.DUMMYFUNCTION("""COMPUTED_VALUE"""),"GV")</f>
        <v>GV</v>
      </c>
      <c r="M316" s="43" t="str">
        <f>IFERROR(__xludf.DUMMYFUNCTION("""COMPUTED_VALUE"""),"short")</f>
        <v>short</v>
      </c>
      <c r="N316" s="45">
        <f>IFERROR(__xludf.DUMMYFUNCTION("""COMPUTED_VALUE"""),44972.0)</f>
        <v>44972</v>
      </c>
      <c r="O316" s="45">
        <f>IFERROR(__xludf.DUMMYFUNCTION("""COMPUTED_VALUE"""),45108.0)</f>
        <v>45108</v>
      </c>
      <c r="P316" s="45">
        <f>IFERROR(__xludf.DUMMYFUNCTION("""COMPUTED_VALUE"""),45153.0)</f>
        <v>45153</v>
      </c>
      <c r="Q316" s="45"/>
      <c r="R316" s="45"/>
      <c r="S316" s="43"/>
      <c r="T316" s="43"/>
      <c r="U316" s="43" t="str">
        <f>IFERROR(__xludf.DUMMYFUNCTION("""COMPUTED_VALUE"""),"Raise Your Voice")</f>
        <v>Raise Your Voice</v>
      </c>
      <c r="V316" s="43" t="str">
        <f>IFERROR(__xludf.DUMMYFUNCTION("""COMPUTED_VALUE"""),"-")</f>
        <v>-</v>
      </c>
      <c r="W316" s="43" t="str">
        <f>IFERROR(__xludf.DUMMYFUNCTION("""COMPUTED_VALUE"""),"2023-01-15T16:04:09Z")</f>
        <v>2023-01-15T16:04:09Z</v>
      </c>
      <c r="X316" s="43"/>
      <c r="Y316" s="43"/>
      <c r="Z316" s="43"/>
    </row>
    <row r="317" hidden="1">
      <c r="A317" s="43" t="str">
        <f>IFERROR(__xludf.DUMMYFUNCTION("""COMPUTED_VALUE"""),"5191232_1292399")</f>
        <v>5191232_1292399</v>
      </c>
      <c r="B317" s="43" t="str">
        <f>IFERROR(__xludf.DUMMYFUNCTION("""COMPUTED_VALUE"""),"Zehra Avcı")</f>
        <v>Zehra Avcı</v>
      </c>
      <c r="C317" s="43" t="str">
        <f>IFERROR(__xludf.DUMMYFUNCTION("""COMPUTED_VALUE"""),"completed")</f>
        <v>completed</v>
      </c>
      <c r="D317" s="43" t="str">
        <f>IFERROR(__xludf.DUMMYFUNCTION("""COMPUTED_VALUE"""),"No")</f>
        <v>No</v>
      </c>
      <c r="E317" s="43" t="str">
        <f>IFERROR(__xludf.DUMMYFUNCTION("""COMPUTED_VALUE"""),"p_4b8db0497cebd7dc7d8b75467938bf043d24b649@inbound.aiesec.org")</f>
        <v>p_4b8db0497cebd7dc7d8b75467938bf043d24b649@inbound.aiesec.org</v>
      </c>
      <c r="F317" s="43">
        <f>IFERROR(__xludf.DUMMYFUNCTION("""COMPUTED_VALUE"""),5.510785809E9)</f>
        <v>5510785809</v>
      </c>
      <c r="G317" s="43" t="str">
        <f>IFERROR(__xludf.DUMMYFUNCTION("""COMPUTED_VALUE"""),"Turkey")</f>
        <v>Turkey</v>
      </c>
      <c r="H317" s="43" t="str">
        <f>IFERROR(__xludf.DUMMYFUNCTION("""COMPUTED_VALUE"""),"SAKARYA")</f>
        <v>SAKARYA</v>
      </c>
      <c r="I317" s="43" t="str">
        <f>IFERROR(__xludf.DUMMYFUNCTION("""COMPUTED_VALUE"""),"Tunisia")</f>
        <v>Tunisia</v>
      </c>
      <c r="J317" s="43" t="str">
        <f>IFERROR(__xludf.DUMMYFUNCTION("""COMPUTED_VALUE"""),"UNIVERSITY")</f>
        <v>UNIVERSITY</v>
      </c>
      <c r="K317" s="44" t="str">
        <f>IFERROR(__xludf.DUMMYFUNCTION("""COMPUTED_VALUE"""),"https://expa.aiesec.org/opportunities/1292399")</f>
        <v>https://expa.aiesec.org/opportunities/1292399</v>
      </c>
      <c r="L317" s="43" t="str">
        <f>IFERROR(__xludf.DUMMYFUNCTION("""COMPUTED_VALUE"""),"GV")</f>
        <v>GV</v>
      </c>
      <c r="M317" s="43" t="str">
        <f>IFERROR(__xludf.DUMMYFUNCTION("""COMPUTED_VALUE"""),"short")</f>
        <v>short</v>
      </c>
      <c r="N317" s="45">
        <f>IFERROR(__xludf.DUMMYFUNCTION("""COMPUTED_VALUE"""),44973.0)</f>
        <v>44973</v>
      </c>
      <c r="O317" s="45">
        <f>IFERROR(__xludf.DUMMYFUNCTION("""COMPUTED_VALUE"""),45097.0)</f>
        <v>45097</v>
      </c>
      <c r="P317" s="45">
        <f>IFERROR(__xludf.DUMMYFUNCTION("""COMPUTED_VALUE"""),45142.0)</f>
        <v>45142</v>
      </c>
      <c r="Q317" s="45">
        <f>IFERROR(__xludf.DUMMYFUNCTION("""COMPUTED_VALUE"""),45099.0)</f>
        <v>45099</v>
      </c>
      <c r="R317" s="45">
        <f>IFERROR(__xludf.DUMMYFUNCTION("""COMPUTED_VALUE"""),45142.0)</f>
        <v>45142</v>
      </c>
      <c r="S317" s="43"/>
      <c r="T317" s="43"/>
      <c r="U317" s="43" t="str">
        <f>IFERROR(__xludf.DUMMYFUNCTION("""COMPUTED_VALUE"""),"Global Classroom")</f>
        <v>Global Classroom</v>
      </c>
      <c r="V317" s="43" t="str">
        <f>IFERROR(__xludf.DUMMYFUNCTION("""COMPUTED_VALUE"""),"SAKARYA")</f>
        <v>SAKARYA</v>
      </c>
      <c r="W317" s="43" t="str">
        <f>IFERROR(__xludf.DUMMYFUNCTION("""COMPUTED_VALUE"""),"2023-02-15T10:40:56Z")</f>
        <v>2023-02-15T10:40:56Z</v>
      </c>
      <c r="X317" s="43"/>
      <c r="Y317" s="43"/>
      <c r="Z317" s="43"/>
    </row>
    <row r="318" hidden="1">
      <c r="A318" s="43" t="str">
        <f>IFERROR(__xludf.DUMMYFUNCTION("""COMPUTED_VALUE"""),"5184385_1289257")</f>
        <v>5184385_1289257</v>
      </c>
      <c r="B318" s="43" t="str">
        <f>IFERROR(__xludf.DUMMYFUNCTION("""COMPUTED_VALUE"""),"fatmagul kolcu")</f>
        <v>fatmagul kolcu</v>
      </c>
      <c r="C318" s="43" t="str">
        <f>IFERROR(__xludf.DUMMYFUNCTION("""COMPUTED_VALUE"""),"completed")</f>
        <v>completed</v>
      </c>
      <c r="D318" s="43" t="str">
        <f>IFERROR(__xludf.DUMMYFUNCTION("""COMPUTED_VALUE"""),"No")</f>
        <v>No</v>
      </c>
      <c r="E318" s="43" t="str">
        <f>IFERROR(__xludf.DUMMYFUNCTION("""COMPUTED_VALUE"""),"p_2ae31354b93b10ab3f64fed3d510822f9ab3ad37@inbound.aiesec.org")</f>
        <v>p_2ae31354b93b10ab3f64fed3d510822f9ab3ad37@inbound.aiesec.org</v>
      </c>
      <c r="F318" s="43"/>
      <c r="G318" s="43" t="str">
        <f>IFERROR(__xludf.DUMMYFUNCTION("""COMPUTED_VALUE"""),"Turkey")</f>
        <v>Turkey</v>
      </c>
      <c r="H318" s="43" t="str">
        <f>IFERROR(__xludf.DUMMYFUNCTION("""COMPUTED_VALUE"""),"ANKARA")</f>
        <v>ANKARA</v>
      </c>
      <c r="I318" s="43" t="str">
        <f>IFERROR(__xludf.DUMMYFUNCTION("""COMPUTED_VALUE"""),"Egypt")</f>
        <v>Egypt</v>
      </c>
      <c r="J318" s="43" t="str">
        <f>IFERROR(__xludf.DUMMYFUNCTION("""COMPUTED_VALUE"""),"Mansoura")</f>
        <v>Mansoura</v>
      </c>
      <c r="K318" s="44" t="str">
        <f>IFERROR(__xludf.DUMMYFUNCTION("""COMPUTED_VALUE"""),"https://expa.aiesec.org/opportunities/1289257")</f>
        <v>https://expa.aiesec.org/opportunities/1289257</v>
      </c>
      <c r="L318" s="43" t="str">
        <f>IFERROR(__xludf.DUMMYFUNCTION("""COMPUTED_VALUE"""),"GV")</f>
        <v>GV</v>
      </c>
      <c r="M318" s="43" t="str">
        <f>IFERROR(__xludf.DUMMYFUNCTION("""COMPUTED_VALUE"""),"short")</f>
        <v>short</v>
      </c>
      <c r="N318" s="45">
        <f>IFERROR(__xludf.DUMMYFUNCTION("""COMPUTED_VALUE"""),44973.0)</f>
        <v>44973</v>
      </c>
      <c r="O318" s="45">
        <f>IFERROR(__xludf.DUMMYFUNCTION("""COMPUTED_VALUE"""),45127.0)</f>
        <v>45127</v>
      </c>
      <c r="P318" s="45">
        <f>IFERROR(__xludf.DUMMYFUNCTION("""COMPUTED_VALUE"""),45169.0)</f>
        <v>45169</v>
      </c>
      <c r="Q318" s="45">
        <f>IFERROR(__xludf.DUMMYFUNCTION("""COMPUTED_VALUE"""),45131.0)</f>
        <v>45131</v>
      </c>
      <c r="R318" s="45">
        <f>IFERROR(__xludf.DUMMYFUNCTION("""COMPUTED_VALUE"""),45173.0)</f>
        <v>45173</v>
      </c>
      <c r="S318" s="43"/>
      <c r="T318" s="43"/>
      <c r="U318" s="43" t="str">
        <f>IFERROR(__xludf.DUMMYFUNCTION("""COMPUTED_VALUE"""),"Global Classroom")</f>
        <v>Global Classroom</v>
      </c>
      <c r="V318" s="43" t="str">
        <f>IFERROR(__xludf.DUMMYFUNCTION("""COMPUTED_VALUE"""),"-")</f>
        <v>-</v>
      </c>
      <c r="W318" s="43" t="str">
        <f>IFERROR(__xludf.DUMMYFUNCTION("""COMPUTED_VALUE"""),"2023-02-02T18:34:05Z")</f>
        <v>2023-02-02T18:34:05Z</v>
      </c>
      <c r="X318" s="43"/>
      <c r="Y318" s="43"/>
      <c r="Z318" s="43"/>
    </row>
    <row r="319" hidden="1">
      <c r="A319" s="43" t="str">
        <f>IFERROR(__xludf.DUMMYFUNCTION("""COMPUTED_VALUE"""),"5192807_1288609")</f>
        <v>5192807_1288609</v>
      </c>
      <c r="B319" s="43" t="str">
        <f>IFERROR(__xludf.DUMMYFUNCTION("""COMPUTED_VALUE"""),"Begüm Ece Elçekin")</f>
        <v>Begüm Ece Elçekin</v>
      </c>
      <c r="C319" s="43" t="str">
        <f>IFERROR(__xludf.DUMMYFUNCTION("""COMPUTED_VALUE"""),"approved")</f>
        <v>approved</v>
      </c>
      <c r="D319" s="43" t="str">
        <f>IFERROR(__xludf.DUMMYFUNCTION("""COMPUTED_VALUE"""),"No")</f>
        <v>No</v>
      </c>
      <c r="E319" s="43" t="str">
        <f>IFERROR(__xludf.DUMMYFUNCTION("""COMPUTED_VALUE"""),"p_c10256d61dcd125fee0718967a5d3988445a64bf@inbound.aiesec.org")</f>
        <v>p_c10256d61dcd125fee0718967a5d3988445a64bf@inbound.aiesec.org</v>
      </c>
      <c r="F319" s="43"/>
      <c r="G319" s="43" t="str">
        <f>IFERROR(__xludf.DUMMYFUNCTION("""COMPUTED_VALUE"""),"Turkey")</f>
        <v>Turkey</v>
      </c>
      <c r="H319" s="43" t="str">
        <f>IFERROR(__xludf.DUMMYFUNCTION("""COMPUTED_VALUE"""),"ISTANBUL WEST")</f>
        <v>ISTANBUL WEST</v>
      </c>
      <c r="I319" s="43" t="str">
        <f>IFERROR(__xludf.DUMMYFUNCTION("""COMPUTED_VALUE"""),"Egypt")</f>
        <v>Egypt</v>
      </c>
      <c r="J319" s="43" t="str">
        <f>IFERROR(__xludf.DUMMYFUNCTION("""COMPUTED_VALUE"""),"Tanta")</f>
        <v>Tanta</v>
      </c>
      <c r="K319" s="44" t="str">
        <f>IFERROR(__xludf.DUMMYFUNCTION("""COMPUTED_VALUE"""),"https://expa.aiesec.org/opportunities/1288609")</f>
        <v>https://expa.aiesec.org/opportunities/1288609</v>
      </c>
      <c r="L319" s="43" t="str">
        <f>IFERROR(__xludf.DUMMYFUNCTION("""COMPUTED_VALUE"""),"GV")</f>
        <v>GV</v>
      </c>
      <c r="M319" s="43" t="str">
        <f>IFERROR(__xludf.DUMMYFUNCTION("""COMPUTED_VALUE"""),"short")</f>
        <v>short</v>
      </c>
      <c r="N319" s="45">
        <f>IFERROR(__xludf.DUMMYFUNCTION("""COMPUTED_VALUE"""),44974.0)</f>
        <v>44974</v>
      </c>
      <c r="O319" s="45">
        <f>IFERROR(__xludf.DUMMYFUNCTION("""COMPUTED_VALUE"""),45108.0)</f>
        <v>45108</v>
      </c>
      <c r="P319" s="45">
        <f>IFERROR(__xludf.DUMMYFUNCTION("""COMPUTED_VALUE"""),45150.0)</f>
        <v>45150</v>
      </c>
      <c r="Q319" s="45"/>
      <c r="R319" s="45"/>
      <c r="S319" s="43"/>
      <c r="T319" s="43"/>
      <c r="U319" s="43" t="str">
        <f>IFERROR(__xludf.DUMMYFUNCTION("""COMPUTED_VALUE"""),"On The Map")</f>
        <v>On The Map</v>
      </c>
      <c r="V319" s="43" t="str">
        <f>IFERROR(__xludf.DUMMYFUNCTION("""COMPUTED_VALUE"""),"ISTANBUL - BAKIRKOY")</f>
        <v>ISTANBUL - BAKIRKOY</v>
      </c>
      <c r="W319" s="43" t="str">
        <f>IFERROR(__xludf.DUMMYFUNCTION("""COMPUTED_VALUE"""),"2023-02-17T10:19:30Z")</f>
        <v>2023-02-17T10:19:30Z</v>
      </c>
      <c r="X319" s="43"/>
      <c r="Y319" s="43"/>
      <c r="Z319" s="43"/>
    </row>
    <row r="320" hidden="1">
      <c r="A320" s="43" t="str">
        <f>IFERROR(__xludf.DUMMYFUNCTION("""COMPUTED_VALUE"""),"5065478_1286585")</f>
        <v>5065478_1286585</v>
      </c>
      <c r="B320" s="43" t="str">
        <f>IFERROR(__xludf.DUMMYFUNCTION("""COMPUTED_VALUE"""),"Aslı Filizkıran")</f>
        <v>Aslı Filizkıran</v>
      </c>
      <c r="C320" s="43" t="str">
        <f>IFERROR(__xludf.DUMMYFUNCTION("""COMPUTED_VALUE"""),"approved")</f>
        <v>approved</v>
      </c>
      <c r="D320" s="43" t="str">
        <f>IFERROR(__xludf.DUMMYFUNCTION("""COMPUTED_VALUE"""),"No")</f>
        <v>No</v>
      </c>
      <c r="E320" s="43" t="str">
        <f>IFERROR(__xludf.DUMMYFUNCTION("""COMPUTED_VALUE"""),"p_c989d84f89a75df8ceec430d59d4921c4c5d2586@inbound.aiesec.org")</f>
        <v>p_c989d84f89a75df8ceec430d59d4921c4c5d2586@inbound.aiesec.org</v>
      </c>
      <c r="F320" s="43">
        <f>IFERROR(__xludf.DUMMYFUNCTION("""COMPUTED_VALUE"""),5.392608571E9)</f>
        <v>5392608571</v>
      </c>
      <c r="G320" s="43" t="str">
        <f>IFERROR(__xludf.DUMMYFUNCTION("""COMPUTED_VALUE"""),"Turkey")</f>
        <v>Turkey</v>
      </c>
      <c r="H320" s="43" t="str">
        <f>IFERROR(__xludf.DUMMYFUNCTION("""COMPUTED_VALUE"""),"ISTANBUL WEST")</f>
        <v>ISTANBUL WEST</v>
      </c>
      <c r="I320" s="43" t="str">
        <f>IFERROR(__xludf.DUMMYFUNCTION("""COMPUTED_VALUE"""),"Sri Lanka")</f>
        <v>Sri Lanka</v>
      </c>
      <c r="J320" s="43" t="str">
        <f>IFERROR(__xludf.DUMMYFUNCTION("""COMPUTED_VALUE"""),"COLOMBO NORTH")</f>
        <v>COLOMBO NORTH</v>
      </c>
      <c r="K320" s="44" t="str">
        <f>IFERROR(__xludf.DUMMYFUNCTION("""COMPUTED_VALUE"""),"https://expa.aiesec.org/opportunities/1286585")</f>
        <v>https://expa.aiesec.org/opportunities/1286585</v>
      </c>
      <c r="L320" s="43" t="str">
        <f>IFERROR(__xludf.DUMMYFUNCTION("""COMPUTED_VALUE"""),"GV")</f>
        <v>GV</v>
      </c>
      <c r="M320" s="43" t="str">
        <f>IFERROR(__xludf.DUMMYFUNCTION("""COMPUTED_VALUE"""),"short")</f>
        <v>short</v>
      </c>
      <c r="N320" s="45">
        <f>IFERROR(__xludf.DUMMYFUNCTION("""COMPUTED_VALUE"""),44974.0)</f>
        <v>44974</v>
      </c>
      <c r="O320" s="45">
        <f>IFERROR(__xludf.DUMMYFUNCTION("""COMPUTED_VALUE"""),45297.0)</f>
        <v>45297</v>
      </c>
      <c r="P320" s="45">
        <f>IFERROR(__xludf.DUMMYFUNCTION("""COMPUTED_VALUE"""),45339.0)</f>
        <v>45339</v>
      </c>
      <c r="Q320" s="45"/>
      <c r="R320" s="45"/>
      <c r="S320" s="43"/>
      <c r="T320" s="43"/>
      <c r="U320" s="43" t="str">
        <f>IFERROR(__xludf.DUMMYFUNCTION("""COMPUTED_VALUE"""),"On The Map")</f>
        <v>On The Map</v>
      </c>
      <c r="V320" s="43" t="str">
        <f>IFERROR(__xludf.DUMMYFUNCTION("""COMPUTED_VALUE"""),"ISTANBUL - BAKIRKOY")</f>
        <v>ISTANBUL - BAKIRKOY</v>
      </c>
      <c r="W320" s="43" t="str">
        <f>IFERROR(__xludf.DUMMYFUNCTION("""COMPUTED_VALUE"""),"2022-05-28T21:44:12Z")</f>
        <v>2022-05-28T21:44:12Z</v>
      </c>
      <c r="X320" s="43"/>
      <c r="Y320" s="43"/>
      <c r="Z320" s="43"/>
    </row>
    <row r="321" hidden="1">
      <c r="A321" s="43" t="str">
        <f>IFERROR(__xludf.DUMMYFUNCTION("""COMPUTED_VALUE"""),"5192091_1287243")</f>
        <v>5192091_1287243</v>
      </c>
      <c r="B321" s="43" t="str">
        <f>IFERROR(__xludf.DUMMYFUNCTION("""COMPUTED_VALUE"""),"Bengisu Susar")</f>
        <v>Bengisu Susar</v>
      </c>
      <c r="C321" s="43" t="str">
        <f>IFERROR(__xludf.DUMMYFUNCTION("""COMPUTED_VALUE"""),"approved")</f>
        <v>approved</v>
      </c>
      <c r="D321" s="43" t="str">
        <f>IFERROR(__xludf.DUMMYFUNCTION("""COMPUTED_VALUE"""),"No")</f>
        <v>No</v>
      </c>
      <c r="E321" s="43" t="str">
        <f>IFERROR(__xludf.DUMMYFUNCTION("""COMPUTED_VALUE"""),"p_ada220926ca41feb322042bd279a9d4d10fa51ab@inbound.aiesec.org")</f>
        <v>p_ada220926ca41feb322042bd279a9d4d10fa51ab@inbound.aiesec.org</v>
      </c>
      <c r="F321" s="43"/>
      <c r="G321" s="43" t="str">
        <f>IFERROR(__xludf.DUMMYFUNCTION("""COMPUTED_VALUE"""),"Turkey")</f>
        <v>Turkey</v>
      </c>
      <c r="H321" s="43" t="str">
        <f>IFERROR(__xludf.DUMMYFUNCTION("""COMPUTED_VALUE"""),"DENIZLI")</f>
        <v>DENIZLI</v>
      </c>
      <c r="I321" s="43" t="str">
        <f>IFERROR(__xludf.DUMMYFUNCTION("""COMPUTED_VALUE"""),"India")</f>
        <v>India</v>
      </c>
      <c r="J321" s="43" t="str">
        <f>IFERROR(__xludf.DUMMYFUNCTION("""COMPUTED_VALUE"""),"Ahmedabad")</f>
        <v>Ahmedabad</v>
      </c>
      <c r="K321" s="44" t="str">
        <f>IFERROR(__xludf.DUMMYFUNCTION("""COMPUTED_VALUE"""),"https://expa.aiesec.org/opportunities/1287243")</f>
        <v>https://expa.aiesec.org/opportunities/1287243</v>
      </c>
      <c r="L321" s="43" t="str">
        <f>IFERROR(__xludf.DUMMYFUNCTION("""COMPUTED_VALUE"""),"GV")</f>
        <v>GV</v>
      </c>
      <c r="M321" s="43" t="str">
        <f>IFERROR(__xludf.DUMMYFUNCTION("""COMPUTED_VALUE"""),"short")</f>
        <v>short</v>
      </c>
      <c r="N321" s="45">
        <f>IFERROR(__xludf.DUMMYFUNCTION("""COMPUTED_VALUE"""),44975.0)</f>
        <v>44975</v>
      </c>
      <c r="O321" s="45">
        <f>IFERROR(__xludf.DUMMYFUNCTION("""COMPUTED_VALUE"""),45122.0)</f>
        <v>45122</v>
      </c>
      <c r="P321" s="45">
        <f>IFERROR(__xludf.DUMMYFUNCTION("""COMPUTED_VALUE"""),45167.0)</f>
        <v>45167</v>
      </c>
      <c r="Q321" s="45"/>
      <c r="R321" s="45"/>
      <c r="S321" s="43"/>
      <c r="T321" s="43"/>
      <c r="U321" s="43" t="str">
        <f>IFERROR(__xludf.DUMMYFUNCTION("""COMPUTED_VALUE"""),"Raise Your Voice")</f>
        <v>Raise Your Voice</v>
      </c>
      <c r="V321" s="43" t="str">
        <f>IFERROR(__xludf.DUMMYFUNCTION("""COMPUTED_VALUE"""),"DENIZLI")</f>
        <v>DENIZLI</v>
      </c>
      <c r="W321" s="43" t="str">
        <f>IFERROR(__xludf.DUMMYFUNCTION("""COMPUTED_VALUE"""),"2023-02-16T12:30:27Z")</f>
        <v>2023-02-16T12:30:27Z</v>
      </c>
      <c r="X321" s="43"/>
      <c r="Y321" s="43"/>
      <c r="Z321" s="43"/>
    </row>
    <row r="322" hidden="1">
      <c r="A322" s="43" t="str">
        <f>IFERROR(__xludf.DUMMYFUNCTION("""COMPUTED_VALUE"""),"5189397_1291605")</f>
        <v>5189397_1291605</v>
      </c>
      <c r="B322" s="43" t="str">
        <f>IFERROR(__xludf.DUMMYFUNCTION("""COMPUTED_VALUE"""),"deleted 5189397")</f>
        <v>deleted 5189397</v>
      </c>
      <c r="C322" s="43" t="str">
        <f>IFERROR(__xludf.DUMMYFUNCTION("""COMPUTED_VALUE"""),"finished")</f>
        <v>finished</v>
      </c>
      <c r="D322" s="43" t="str">
        <f>IFERROR(__xludf.DUMMYFUNCTION("""COMPUTED_VALUE"""),"No")</f>
        <v>No</v>
      </c>
      <c r="E322" s="43" t="str">
        <f>IFERROR(__xludf.DUMMYFUNCTION("""COMPUTED_VALUE"""),"p_3077c571d6182c07382bf23810113405dad0f2e9@inbound.aiesec.org")</f>
        <v>p_3077c571d6182c07382bf23810113405dad0f2e9@inbound.aiesec.org</v>
      </c>
      <c r="F322" s="43"/>
      <c r="G322" s="43" t="str">
        <f>IFERROR(__xludf.DUMMYFUNCTION("""COMPUTED_VALUE"""),"Turkey")</f>
        <v>Turkey</v>
      </c>
      <c r="H322" s="43" t="str">
        <f>IFERROR(__xludf.DUMMYFUNCTION("""COMPUTED_VALUE"""),"KONYA")</f>
        <v>KONYA</v>
      </c>
      <c r="I322" s="43" t="str">
        <f>IFERROR(__xludf.DUMMYFUNCTION("""COMPUTED_VALUE"""),"Finland")</f>
        <v>Finland</v>
      </c>
      <c r="J322" s="43" t="str">
        <f>IFERROR(__xludf.DUMMYFUNCTION("""COMPUTED_VALUE"""),"Oulu")</f>
        <v>Oulu</v>
      </c>
      <c r="K322" s="44" t="str">
        <f>IFERROR(__xludf.DUMMYFUNCTION("""COMPUTED_VALUE"""),"https://expa.aiesec.org/opportunities/1291605")</f>
        <v>https://expa.aiesec.org/opportunities/1291605</v>
      </c>
      <c r="L322" s="43" t="str">
        <f>IFERROR(__xludf.DUMMYFUNCTION("""COMPUTED_VALUE"""),"GV")</f>
        <v>GV</v>
      </c>
      <c r="M322" s="43" t="str">
        <f>IFERROR(__xludf.DUMMYFUNCTION("""COMPUTED_VALUE"""),"short")</f>
        <v>short</v>
      </c>
      <c r="N322" s="45">
        <f>IFERROR(__xludf.DUMMYFUNCTION("""COMPUTED_VALUE"""),44976.0)</f>
        <v>44976</v>
      </c>
      <c r="O322" s="45">
        <f>IFERROR(__xludf.DUMMYFUNCTION("""COMPUTED_VALUE"""),45000.0)</f>
        <v>45000</v>
      </c>
      <c r="P322" s="45">
        <f>IFERROR(__xludf.DUMMYFUNCTION("""COMPUTED_VALUE"""),45042.0)</f>
        <v>45042</v>
      </c>
      <c r="Q322" s="45">
        <f>IFERROR(__xludf.DUMMYFUNCTION("""COMPUTED_VALUE"""),45007.0)</f>
        <v>45007</v>
      </c>
      <c r="R322" s="45">
        <f>IFERROR(__xludf.DUMMYFUNCTION("""COMPUTED_VALUE"""),45048.0)</f>
        <v>45048</v>
      </c>
      <c r="S322" s="43"/>
      <c r="T322" s="43"/>
      <c r="U322" s="43" t="str">
        <f>IFERROR(__xludf.DUMMYFUNCTION("""COMPUTED_VALUE"""),"Eco City")</f>
        <v>Eco City</v>
      </c>
      <c r="V322" s="43" t="str">
        <f>IFERROR(__xludf.DUMMYFUNCTION("""COMPUTED_VALUE"""),"-")</f>
        <v>-</v>
      </c>
      <c r="W322" s="43" t="str">
        <f>IFERROR(__xludf.DUMMYFUNCTION("""COMPUTED_VALUE"""),"2023-02-11T22:23:18Z")</f>
        <v>2023-02-11T22:23:18Z</v>
      </c>
      <c r="X322" s="43"/>
      <c r="Y322" s="43"/>
      <c r="Z322" s="43"/>
    </row>
    <row r="323" hidden="1">
      <c r="A323" s="43" t="str">
        <f>IFERROR(__xludf.DUMMYFUNCTION("""COMPUTED_VALUE"""),"5182435_1288843")</f>
        <v>5182435_1288843</v>
      </c>
      <c r="B323" s="43" t="str">
        <f>IFERROR(__xludf.DUMMYFUNCTION("""COMPUTED_VALUE"""),"Beril Uray")</f>
        <v>Beril Uray</v>
      </c>
      <c r="C323" s="43" t="str">
        <f>IFERROR(__xludf.DUMMYFUNCTION("""COMPUTED_VALUE"""),"completed")</f>
        <v>completed</v>
      </c>
      <c r="D323" s="43" t="str">
        <f>IFERROR(__xludf.DUMMYFUNCTION("""COMPUTED_VALUE"""),"No")</f>
        <v>No</v>
      </c>
      <c r="E323" s="43" t="str">
        <f>IFERROR(__xludf.DUMMYFUNCTION("""COMPUTED_VALUE"""),"p_2a343832702d2723b1d5619bf2e0d8eef9483972@inbound.aiesec.org")</f>
        <v>p_2a343832702d2723b1d5619bf2e0d8eef9483972@inbound.aiesec.org</v>
      </c>
      <c r="F323" s="43">
        <f>IFERROR(__xludf.DUMMYFUNCTION("""COMPUTED_VALUE"""),5.434150789E9)</f>
        <v>5434150789</v>
      </c>
      <c r="G323" s="43" t="str">
        <f>IFERROR(__xludf.DUMMYFUNCTION("""COMPUTED_VALUE"""),"Turkey")</f>
        <v>Turkey</v>
      </c>
      <c r="H323" s="43" t="str">
        <f>IFERROR(__xludf.DUMMYFUNCTION("""COMPUTED_VALUE"""),"ISTANBUL")</f>
        <v>ISTANBUL</v>
      </c>
      <c r="I323" s="43" t="str">
        <f>IFERROR(__xludf.DUMMYFUNCTION("""COMPUTED_VALUE"""),"Sri Lanka")</f>
        <v>Sri Lanka</v>
      </c>
      <c r="J323" s="43" t="str">
        <f>IFERROR(__xludf.DUMMYFUNCTION("""COMPUTED_VALUE"""),"COLOMBO NORTH")</f>
        <v>COLOMBO NORTH</v>
      </c>
      <c r="K323" s="44" t="str">
        <f>IFERROR(__xludf.DUMMYFUNCTION("""COMPUTED_VALUE"""),"https://expa.aiesec.org/opportunities/1288843")</f>
        <v>https://expa.aiesec.org/opportunities/1288843</v>
      </c>
      <c r="L323" s="43" t="str">
        <f>IFERROR(__xludf.DUMMYFUNCTION("""COMPUTED_VALUE"""),"GV")</f>
        <v>GV</v>
      </c>
      <c r="M323" s="43" t="str">
        <f>IFERROR(__xludf.DUMMYFUNCTION("""COMPUTED_VALUE"""),"short")</f>
        <v>short</v>
      </c>
      <c r="N323" s="45">
        <f>IFERROR(__xludf.DUMMYFUNCTION("""COMPUTED_VALUE"""),44977.0)</f>
        <v>44977</v>
      </c>
      <c r="O323" s="45">
        <f>IFERROR(__xludf.DUMMYFUNCTION("""COMPUTED_VALUE"""),45115.0)</f>
        <v>45115</v>
      </c>
      <c r="P323" s="45">
        <f>IFERROR(__xludf.DUMMYFUNCTION("""COMPUTED_VALUE"""),45157.0)</f>
        <v>45157</v>
      </c>
      <c r="Q323" s="45">
        <f>IFERROR(__xludf.DUMMYFUNCTION("""COMPUTED_VALUE"""),45120.0)</f>
        <v>45120</v>
      </c>
      <c r="R323" s="45">
        <f>IFERROR(__xludf.DUMMYFUNCTION("""COMPUTED_VALUE"""),45160.0)</f>
        <v>45160</v>
      </c>
      <c r="S323" s="43"/>
      <c r="T323" s="43"/>
      <c r="U323" s="43" t="str">
        <f>IFERROR(__xludf.DUMMYFUNCTION("""COMPUTED_VALUE"""),"Green Leaders")</f>
        <v>Green Leaders</v>
      </c>
      <c r="V323" s="43" t="str">
        <f>IFERROR(__xludf.DUMMYFUNCTION("""COMPUTED_VALUE"""),"ISTANBUL - BEYOGLU")</f>
        <v>ISTANBUL - BEYOGLU</v>
      </c>
      <c r="W323" s="43" t="str">
        <f>IFERROR(__xludf.DUMMYFUNCTION("""COMPUTED_VALUE"""),"2023-01-30T19:59:28Z")</f>
        <v>2023-01-30T19:59:28Z</v>
      </c>
      <c r="X323" s="43"/>
      <c r="Y323" s="43"/>
      <c r="Z323" s="43"/>
    </row>
    <row r="324" hidden="1">
      <c r="A324" s="43" t="str">
        <f>IFERROR(__xludf.DUMMYFUNCTION("""COMPUTED_VALUE"""),"5195910_1291819")</f>
        <v>5195910_1291819</v>
      </c>
      <c r="B324" s="43" t="str">
        <f>IFERROR(__xludf.DUMMYFUNCTION("""COMPUTED_VALUE"""),"Berat Bozkır")</f>
        <v>Berat Bozkır</v>
      </c>
      <c r="C324" s="43" t="str">
        <f>IFERROR(__xludf.DUMMYFUNCTION("""COMPUTED_VALUE"""),"approved")</f>
        <v>approved</v>
      </c>
      <c r="D324" s="43" t="str">
        <f>IFERROR(__xludf.DUMMYFUNCTION("""COMPUTED_VALUE"""),"No")</f>
        <v>No</v>
      </c>
      <c r="E324" s="43" t="str">
        <f>IFERROR(__xludf.DUMMYFUNCTION("""COMPUTED_VALUE"""),"p_5d420ce3e13b3c93b551fe561b1031e0bedce6eb@inbound.aiesec.org")</f>
        <v>p_5d420ce3e13b3c93b551fe561b1031e0bedce6eb@inbound.aiesec.org</v>
      </c>
      <c r="F324" s="43">
        <f>IFERROR(__xludf.DUMMYFUNCTION("""COMPUTED_VALUE"""),5.052667525E9)</f>
        <v>5052667525</v>
      </c>
      <c r="G324" s="43" t="str">
        <f>IFERROR(__xludf.DUMMYFUNCTION("""COMPUTED_VALUE"""),"Turkey")</f>
        <v>Turkey</v>
      </c>
      <c r="H324" s="43" t="str">
        <f>IFERROR(__xludf.DUMMYFUNCTION("""COMPUTED_VALUE"""),"KONYA")</f>
        <v>KONYA</v>
      </c>
      <c r="I324" s="43" t="str">
        <f>IFERROR(__xludf.DUMMYFUNCTION("""COMPUTED_VALUE"""),"India")</f>
        <v>India</v>
      </c>
      <c r="J324" s="43" t="str">
        <f>IFERROR(__xludf.DUMMYFUNCTION("""COMPUTED_VALUE"""),"Mumbai")</f>
        <v>Mumbai</v>
      </c>
      <c r="K324" s="44" t="str">
        <f>IFERROR(__xludf.DUMMYFUNCTION("""COMPUTED_VALUE"""),"https://expa.aiesec.org/opportunities/1291819")</f>
        <v>https://expa.aiesec.org/opportunities/1291819</v>
      </c>
      <c r="L324" s="43" t="str">
        <f>IFERROR(__xludf.DUMMYFUNCTION("""COMPUTED_VALUE"""),"GV")</f>
        <v>GV</v>
      </c>
      <c r="M324" s="43" t="str">
        <f>IFERROR(__xludf.DUMMYFUNCTION("""COMPUTED_VALUE"""),"short")</f>
        <v>short</v>
      </c>
      <c r="N324" s="45">
        <f>IFERROR(__xludf.DUMMYFUNCTION("""COMPUTED_VALUE"""),44978.0)</f>
        <v>44978</v>
      </c>
      <c r="O324" s="45">
        <f>IFERROR(__xludf.DUMMYFUNCTION("""COMPUTED_VALUE"""),44992.0)</f>
        <v>44992</v>
      </c>
      <c r="P324" s="45">
        <f>IFERROR(__xludf.DUMMYFUNCTION("""COMPUTED_VALUE"""),45034.0)</f>
        <v>45034</v>
      </c>
      <c r="Q324" s="45"/>
      <c r="R324" s="45"/>
      <c r="S324" s="43"/>
      <c r="T324" s="43"/>
      <c r="U324" s="43" t="str">
        <f>IFERROR(__xludf.DUMMYFUNCTION("""COMPUTED_VALUE"""),"Youth 4 Impact")</f>
        <v>Youth 4 Impact</v>
      </c>
      <c r="V324" s="43" t="str">
        <f>IFERROR(__xludf.DUMMYFUNCTION("""COMPUTED_VALUE"""),"KONYA")</f>
        <v>KONYA</v>
      </c>
      <c r="W324" s="43" t="str">
        <f>IFERROR(__xludf.DUMMYFUNCTION("""COMPUTED_VALUE"""),"2023-02-21T13:01:47Z")</f>
        <v>2023-02-21T13:01:47Z</v>
      </c>
      <c r="X324" s="43"/>
      <c r="Y324" s="43"/>
      <c r="Z324" s="43"/>
    </row>
    <row r="325" hidden="1">
      <c r="A325" s="43" t="str">
        <f>IFERROR(__xludf.DUMMYFUNCTION("""COMPUTED_VALUE"""),"5194045_1290134")</f>
        <v>5194045_1290134</v>
      </c>
      <c r="B325" s="43" t="str">
        <f>IFERROR(__xludf.DUMMYFUNCTION("""COMPUTED_VALUE"""),"Sakine Davulcu")</f>
        <v>Sakine Davulcu</v>
      </c>
      <c r="C325" s="43" t="str">
        <f>IFERROR(__xludf.DUMMYFUNCTION("""COMPUTED_VALUE"""),"realization_broken")</f>
        <v>realization_broken</v>
      </c>
      <c r="D325" s="43" t="str">
        <f>IFERROR(__xludf.DUMMYFUNCTION("""COMPUTED_VALUE"""),"No")</f>
        <v>No</v>
      </c>
      <c r="E325" s="43" t="str">
        <f>IFERROR(__xludf.DUMMYFUNCTION("""COMPUTED_VALUE"""),"p_8be9283afd2c0eb1271fb4239c5ad241f50a0d50@inbound.aiesec.org")</f>
        <v>p_8be9283afd2c0eb1271fb4239c5ad241f50a0d50@inbound.aiesec.org</v>
      </c>
      <c r="F325" s="43">
        <f>IFERROR(__xludf.DUMMYFUNCTION("""COMPUTED_VALUE"""),5.370116406E9)</f>
        <v>5370116406</v>
      </c>
      <c r="G325" s="43" t="str">
        <f>IFERROR(__xludf.DUMMYFUNCTION("""COMPUTED_VALUE"""),"Turkey")</f>
        <v>Turkey</v>
      </c>
      <c r="H325" s="43" t="str">
        <f>IFERROR(__xludf.DUMMYFUNCTION("""COMPUTED_VALUE"""),"ANKARA")</f>
        <v>ANKARA</v>
      </c>
      <c r="I325" s="43" t="str">
        <f>IFERROR(__xludf.DUMMYFUNCTION("""COMPUTED_VALUE"""),"India")</f>
        <v>India</v>
      </c>
      <c r="J325" s="43" t="str">
        <f>IFERROR(__xludf.DUMMYFUNCTION("""COMPUTED_VALUE"""),"Dehradun")</f>
        <v>Dehradun</v>
      </c>
      <c r="K325" s="44" t="str">
        <f>IFERROR(__xludf.DUMMYFUNCTION("""COMPUTED_VALUE"""),"https://expa.aiesec.org/opportunities/1290134")</f>
        <v>https://expa.aiesec.org/opportunities/1290134</v>
      </c>
      <c r="L325" s="43" t="str">
        <f>IFERROR(__xludf.DUMMYFUNCTION("""COMPUTED_VALUE"""),"GV")</f>
        <v>GV</v>
      </c>
      <c r="M325" s="43" t="str">
        <f>IFERROR(__xludf.DUMMYFUNCTION("""COMPUTED_VALUE"""),"short")</f>
        <v>short</v>
      </c>
      <c r="N325" s="45">
        <f>IFERROR(__xludf.DUMMYFUNCTION("""COMPUTED_VALUE"""),44978.0)</f>
        <v>44978</v>
      </c>
      <c r="O325" s="45">
        <f>IFERROR(__xludf.DUMMYFUNCTION("""COMPUTED_VALUE"""),45122.0)</f>
        <v>45122</v>
      </c>
      <c r="P325" s="45">
        <f>IFERROR(__xludf.DUMMYFUNCTION("""COMPUTED_VALUE"""),45164.0)</f>
        <v>45164</v>
      </c>
      <c r="Q325" s="45"/>
      <c r="R325" s="45"/>
      <c r="S325" s="43"/>
      <c r="T325" s="43"/>
      <c r="U325" s="43" t="str">
        <f>IFERROR(__xludf.DUMMYFUNCTION("""COMPUTED_VALUE"""),"On The Map")</f>
        <v>On The Map</v>
      </c>
      <c r="V325" s="43" t="str">
        <f>IFERROR(__xludf.DUMMYFUNCTION("""COMPUTED_VALUE"""),"ANKARA")</f>
        <v>ANKARA</v>
      </c>
      <c r="W325" s="43" t="str">
        <f>IFERROR(__xludf.DUMMYFUNCTION("""COMPUTED_VALUE"""),"2023-02-18T15:40:53Z")</f>
        <v>2023-02-18T15:40:53Z</v>
      </c>
      <c r="X325" s="43"/>
      <c r="Y325" s="43"/>
      <c r="Z325" s="43"/>
    </row>
    <row r="326" hidden="1">
      <c r="A326" s="43" t="str">
        <f>IFERROR(__xludf.DUMMYFUNCTION("""COMPUTED_VALUE"""),"5184328_1292342")</f>
        <v>5184328_1292342</v>
      </c>
      <c r="B326" s="43" t="str">
        <f>IFERROR(__xludf.DUMMYFUNCTION("""COMPUTED_VALUE"""),"Ezgi Beydilli")</f>
        <v>Ezgi Beydilli</v>
      </c>
      <c r="C326" s="43" t="str">
        <f>IFERROR(__xludf.DUMMYFUNCTION("""COMPUTED_VALUE"""),"approved")</f>
        <v>approved</v>
      </c>
      <c r="D326" s="43" t="str">
        <f>IFERROR(__xludf.DUMMYFUNCTION("""COMPUTED_VALUE"""),"No")</f>
        <v>No</v>
      </c>
      <c r="E326" s="43" t="str">
        <f>IFERROR(__xludf.DUMMYFUNCTION("""COMPUTED_VALUE"""),"p_12aeeca495903564a4153dc7e2a5f7cb4d8ff548@inbound.aiesec.org")</f>
        <v>p_12aeeca495903564a4153dc7e2a5f7cb4d8ff548@inbound.aiesec.org</v>
      </c>
      <c r="F326" s="43">
        <f>IFERROR(__xludf.DUMMYFUNCTION("""COMPUTED_VALUE"""),5.435019541E9)</f>
        <v>5435019541</v>
      </c>
      <c r="G326" s="43" t="str">
        <f>IFERROR(__xludf.DUMMYFUNCTION("""COMPUTED_VALUE"""),"Turkey")</f>
        <v>Turkey</v>
      </c>
      <c r="H326" s="43" t="str">
        <f>IFERROR(__xludf.DUMMYFUNCTION("""COMPUTED_VALUE"""),"ANKARA")</f>
        <v>ANKARA</v>
      </c>
      <c r="I326" s="43" t="str">
        <f>IFERROR(__xludf.DUMMYFUNCTION("""COMPUTED_VALUE"""),"Romania")</f>
        <v>Romania</v>
      </c>
      <c r="J326" s="43" t="str">
        <f>IFERROR(__xludf.DUMMYFUNCTION("""COMPUTED_VALUE"""),"BUCURESTI")</f>
        <v>BUCURESTI</v>
      </c>
      <c r="K326" s="44" t="str">
        <f>IFERROR(__xludf.DUMMYFUNCTION("""COMPUTED_VALUE"""),"https://expa.aiesec.org/opportunities/1292342")</f>
        <v>https://expa.aiesec.org/opportunities/1292342</v>
      </c>
      <c r="L326" s="43" t="str">
        <f>IFERROR(__xludf.DUMMYFUNCTION("""COMPUTED_VALUE"""),"GV")</f>
        <v>GV</v>
      </c>
      <c r="M326" s="43" t="str">
        <f>IFERROR(__xludf.DUMMYFUNCTION("""COMPUTED_VALUE"""),"short")</f>
        <v>short</v>
      </c>
      <c r="N326" s="45">
        <f>IFERROR(__xludf.DUMMYFUNCTION("""COMPUTED_VALUE"""),44978.0)</f>
        <v>44978</v>
      </c>
      <c r="O326" s="45">
        <f>IFERROR(__xludf.DUMMYFUNCTION("""COMPUTED_VALUE"""),45124.0)</f>
        <v>45124</v>
      </c>
      <c r="P326" s="45">
        <f>IFERROR(__xludf.DUMMYFUNCTION("""COMPUTED_VALUE"""),45166.0)</f>
        <v>45166</v>
      </c>
      <c r="Q326" s="45"/>
      <c r="R326" s="45"/>
      <c r="S326" s="43"/>
      <c r="T326" s="43"/>
      <c r="U326" s="43" t="str">
        <f>IFERROR(__xludf.DUMMYFUNCTION("""COMPUTED_VALUE"""),"Global Classroom")</f>
        <v>Global Classroom</v>
      </c>
      <c r="V326" s="43" t="str">
        <f>IFERROR(__xludf.DUMMYFUNCTION("""COMPUTED_VALUE"""),"ANKARA")</f>
        <v>ANKARA</v>
      </c>
      <c r="W326" s="43" t="str">
        <f>IFERROR(__xludf.DUMMYFUNCTION("""COMPUTED_VALUE"""),"2023-02-02T17:09:38Z")</f>
        <v>2023-02-02T17:09:38Z</v>
      </c>
      <c r="X326" s="43"/>
      <c r="Y326" s="43"/>
      <c r="Z326" s="43"/>
    </row>
    <row r="327" hidden="1">
      <c r="A327" s="43" t="str">
        <f>IFERROR(__xludf.DUMMYFUNCTION("""COMPUTED_VALUE"""),"5196638_1291819")</f>
        <v>5196638_1291819</v>
      </c>
      <c r="B327" s="43" t="str">
        <f>IFERROR(__xludf.DUMMYFUNCTION("""COMPUTED_VALUE"""),"gaye baysal")</f>
        <v>gaye baysal</v>
      </c>
      <c r="C327" s="43" t="str">
        <f>IFERROR(__xludf.DUMMYFUNCTION("""COMPUTED_VALUE"""),"approved")</f>
        <v>approved</v>
      </c>
      <c r="D327" s="43" t="str">
        <f>IFERROR(__xludf.DUMMYFUNCTION("""COMPUTED_VALUE"""),"No")</f>
        <v>No</v>
      </c>
      <c r="E327" s="43" t="str">
        <f>IFERROR(__xludf.DUMMYFUNCTION("""COMPUTED_VALUE"""),"p_fdf93596b9ff1b0645ef1e042ddf7e104b8b28c0@inbound.aiesec.org")</f>
        <v>p_fdf93596b9ff1b0645ef1e042ddf7e104b8b28c0@inbound.aiesec.org</v>
      </c>
      <c r="F327" s="43">
        <f>IFERROR(__xludf.DUMMYFUNCTION("""COMPUTED_VALUE"""),5.052667525E9)</f>
        <v>5052667525</v>
      </c>
      <c r="G327" s="43" t="str">
        <f>IFERROR(__xludf.DUMMYFUNCTION("""COMPUTED_VALUE"""),"Turkey")</f>
        <v>Turkey</v>
      </c>
      <c r="H327" s="43" t="str">
        <f>IFERROR(__xludf.DUMMYFUNCTION("""COMPUTED_VALUE"""),"KONYA")</f>
        <v>KONYA</v>
      </c>
      <c r="I327" s="43" t="str">
        <f>IFERROR(__xludf.DUMMYFUNCTION("""COMPUTED_VALUE"""),"India")</f>
        <v>India</v>
      </c>
      <c r="J327" s="43" t="str">
        <f>IFERROR(__xludf.DUMMYFUNCTION("""COMPUTED_VALUE"""),"Mumbai")</f>
        <v>Mumbai</v>
      </c>
      <c r="K327" s="44" t="str">
        <f>IFERROR(__xludf.DUMMYFUNCTION("""COMPUTED_VALUE"""),"https://expa.aiesec.org/opportunities/1291819")</f>
        <v>https://expa.aiesec.org/opportunities/1291819</v>
      </c>
      <c r="L327" s="43" t="str">
        <f>IFERROR(__xludf.DUMMYFUNCTION("""COMPUTED_VALUE"""),"GV")</f>
        <v>GV</v>
      </c>
      <c r="M327" s="43" t="str">
        <f>IFERROR(__xludf.DUMMYFUNCTION("""COMPUTED_VALUE"""),"short")</f>
        <v>short</v>
      </c>
      <c r="N327" s="45">
        <f>IFERROR(__xludf.DUMMYFUNCTION("""COMPUTED_VALUE"""),44979.0)</f>
        <v>44979</v>
      </c>
      <c r="O327" s="45">
        <f>IFERROR(__xludf.DUMMYFUNCTION("""COMPUTED_VALUE"""),45261.0)</f>
        <v>45261</v>
      </c>
      <c r="P327" s="45">
        <f>IFERROR(__xludf.DUMMYFUNCTION("""COMPUTED_VALUE"""),45303.0)</f>
        <v>45303</v>
      </c>
      <c r="Q327" s="45"/>
      <c r="R327" s="45"/>
      <c r="S327" s="43"/>
      <c r="T327" s="43"/>
      <c r="U327" s="43" t="str">
        <f>IFERROR(__xludf.DUMMYFUNCTION("""COMPUTED_VALUE"""),"Youth 4 Impact")</f>
        <v>Youth 4 Impact</v>
      </c>
      <c r="V327" s="43" t="str">
        <f>IFERROR(__xludf.DUMMYFUNCTION("""COMPUTED_VALUE"""),"KONYA")</f>
        <v>KONYA</v>
      </c>
      <c r="W327" s="43" t="str">
        <f>IFERROR(__xludf.DUMMYFUNCTION("""COMPUTED_VALUE"""),"2023-02-22T13:09:01Z")</f>
        <v>2023-02-22T13:09:01Z</v>
      </c>
      <c r="X327" s="43"/>
      <c r="Y327" s="43"/>
      <c r="Z327" s="43"/>
    </row>
    <row r="328" hidden="1">
      <c r="A328" s="43" t="str">
        <f>IFERROR(__xludf.DUMMYFUNCTION("""COMPUTED_VALUE"""),"5196628_1291819")</f>
        <v>5196628_1291819</v>
      </c>
      <c r="B328" s="43" t="str">
        <f>IFERROR(__xludf.DUMMYFUNCTION("""COMPUTED_VALUE"""),"Rümeysa Kazdal")</f>
        <v>Rümeysa Kazdal</v>
      </c>
      <c r="C328" s="43" t="str">
        <f>IFERROR(__xludf.DUMMYFUNCTION("""COMPUTED_VALUE"""),"approved")</f>
        <v>approved</v>
      </c>
      <c r="D328" s="43" t="str">
        <f>IFERROR(__xludf.DUMMYFUNCTION("""COMPUTED_VALUE"""),"No")</f>
        <v>No</v>
      </c>
      <c r="E328" s="43" t="str">
        <f>IFERROR(__xludf.DUMMYFUNCTION("""COMPUTED_VALUE"""),"p_92921bc86735999b8a32324072a1cbbcb2b282a0@inbound.aiesec.org")</f>
        <v>p_92921bc86735999b8a32324072a1cbbcb2b282a0@inbound.aiesec.org</v>
      </c>
      <c r="F328" s="43">
        <f>IFERROR(__xludf.DUMMYFUNCTION("""COMPUTED_VALUE"""),5.052667525E9)</f>
        <v>5052667525</v>
      </c>
      <c r="G328" s="43" t="str">
        <f>IFERROR(__xludf.DUMMYFUNCTION("""COMPUTED_VALUE"""),"Turkey")</f>
        <v>Turkey</v>
      </c>
      <c r="H328" s="43" t="str">
        <f>IFERROR(__xludf.DUMMYFUNCTION("""COMPUTED_VALUE"""),"KONYA")</f>
        <v>KONYA</v>
      </c>
      <c r="I328" s="43" t="str">
        <f>IFERROR(__xludf.DUMMYFUNCTION("""COMPUTED_VALUE"""),"India")</f>
        <v>India</v>
      </c>
      <c r="J328" s="43" t="str">
        <f>IFERROR(__xludf.DUMMYFUNCTION("""COMPUTED_VALUE"""),"Mumbai")</f>
        <v>Mumbai</v>
      </c>
      <c r="K328" s="44" t="str">
        <f>IFERROR(__xludf.DUMMYFUNCTION("""COMPUTED_VALUE"""),"https://expa.aiesec.org/opportunities/1291819")</f>
        <v>https://expa.aiesec.org/opportunities/1291819</v>
      </c>
      <c r="L328" s="43" t="str">
        <f>IFERROR(__xludf.DUMMYFUNCTION("""COMPUTED_VALUE"""),"GV")</f>
        <v>GV</v>
      </c>
      <c r="M328" s="43" t="str">
        <f>IFERROR(__xludf.DUMMYFUNCTION("""COMPUTED_VALUE"""),"short")</f>
        <v>short</v>
      </c>
      <c r="N328" s="45">
        <f>IFERROR(__xludf.DUMMYFUNCTION("""COMPUTED_VALUE"""),44979.0)</f>
        <v>44979</v>
      </c>
      <c r="O328" s="45">
        <f>IFERROR(__xludf.DUMMYFUNCTION("""COMPUTED_VALUE"""),45261.0)</f>
        <v>45261</v>
      </c>
      <c r="P328" s="45">
        <f>IFERROR(__xludf.DUMMYFUNCTION("""COMPUTED_VALUE"""),45303.0)</f>
        <v>45303</v>
      </c>
      <c r="Q328" s="45"/>
      <c r="R328" s="45"/>
      <c r="S328" s="43"/>
      <c r="T328" s="43"/>
      <c r="U328" s="43" t="str">
        <f>IFERROR(__xludf.DUMMYFUNCTION("""COMPUTED_VALUE"""),"Youth 4 Impact")</f>
        <v>Youth 4 Impact</v>
      </c>
      <c r="V328" s="43" t="str">
        <f>IFERROR(__xludf.DUMMYFUNCTION("""COMPUTED_VALUE"""),"KONYA")</f>
        <v>KONYA</v>
      </c>
      <c r="W328" s="43" t="str">
        <f>IFERROR(__xludf.DUMMYFUNCTION("""COMPUTED_VALUE"""),"2023-02-22T12:49:07Z")</f>
        <v>2023-02-22T12:49:07Z</v>
      </c>
      <c r="X328" s="43"/>
      <c r="Y328" s="43"/>
      <c r="Z328" s="43"/>
    </row>
    <row r="329" hidden="1">
      <c r="A329" s="43" t="str">
        <f>IFERROR(__xludf.DUMMYFUNCTION("""COMPUTED_VALUE"""),"5072323_1289985")</f>
        <v>5072323_1289985</v>
      </c>
      <c r="B329" s="43" t="str">
        <f>IFERROR(__xludf.DUMMYFUNCTION("""COMPUTED_VALUE"""),"ELİF TEZGEL")</f>
        <v>ELİF TEZGEL</v>
      </c>
      <c r="C329" s="43" t="str">
        <f>IFERROR(__xludf.DUMMYFUNCTION("""COMPUTED_VALUE"""),"approved")</f>
        <v>approved</v>
      </c>
      <c r="D329" s="43" t="str">
        <f>IFERROR(__xludf.DUMMYFUNCTION("""COMPUTED_VALUE"""),"No")</f>
        <v>No</v>
      </c>
      <c r="E329" s="43" t="str">
        <f>IFERROR(__xludf.DUMMYFUNCTION("""COMPUTED_VALUE"""),"p_25deac57555de63670cf00e838e91e3d925f75fe@inbound.aiesec.org")</f>
        <v>p_25deac57555de63670cf00e838e91e3d925f75fe@inbound.aiesec.org</v>
      </c>
      <c r="F329" s="43"/>
      <c r="G329" s="43" t="str">
        <f>IFERROR(__xludf.DUMMYFUNCTION("""COMPUTED_VALUE"""),"Turkey")</f>
        <v>Turkey</v>
      </c>
      <c r="H329" s="43" t="str">
        <f>IFERROR(__xludf.DUMMYFUNCTION("""COMPUTED_VALUE"""),"KONYA")</f>
        <v>KONYA</v>
      </c>
      <c r="I329" s="43" t="str">
        <f>IFERROR(__xludf.DUMMYFUNCTION("""COMPUTED_VALUE"""),"India")</f>
        <v>India</v>
      </c>
      <c r="J329" s="43" t="str">
        <f>IFERROR(__xludf.DUMMYFUNCTION("""COMPUTED_VALUE"""),"Mumbai")</f>
        <v>Mumbai</v>
      </c>
      <c r="K329" s="44" t="str">
        <f>IFERROR(__xludf.DUMMYFUNCTION("""COMPUTED_VALUE"""),"https://expa.aiesec.org/opportunities/1289985")</f>
        <v>https://expa.aiesec.org/opportunities/1289985</v>
      </c>
      <c r="L329" s="43" t="str">
        <f>IFERROR(__xludf.DUMMYFUNCTION("""COMPUTED_VALUE"""),"GV")</f>
        <v>GV</v>
      </c>
      <c r="M329" s="43" t="str">
        <f>IFERROR(__xludf.DUMMYFUNCTION("""COMPUTED_VALUE"""),"short")</f>
        <v>short</v>
      </c>
      <c r="N329" s="45">
        <f>IFERROR(__xludf.DUMMYFUNCTION("""COMPUTED_VALUE"""),44979.0)</f>
        <v>44979</v>
      </c>
      <c r="O329" s="45">
        <f>IFERROR(__xludf.DUMMYFUNCTION("""COMPUTED_VALUE"""),45139.0)</f>
        <v>45139</v>
      </c>
      <c r="P329" s="45">
        <f>IFERROR(__xludf.DUMMYFUNCTION("""COMPUTED_VALUE"""),45181.0)</f>
        <v>45181</v>
      </c>
      <c r="Q329" s="45"/>
      <c r="R329" s="45"/>
      <c r="S329" s="43"/>
      <c r="T329" s="43"/>
      <c r="U329" s="43" t="str">
        <f>IFERROR(__xludf.DUMMYFUNCTION("""COMPUTED_VALUE"""),"Raise Your Voice")</f>
        <v>Raise Your Voice</v>
      </c>
      <c r="V329" s="43" t="str">
        <f>IFERROR(__xludf.DUMMYFUNCTION("""COMPUTED_VALUE"""),"-")</f>
        <v>-</v>
      </c>
      <c r="W329" s="43" t="str">
        <f>IFERROR(__xludf.DUMMYFUNCTION("""COMPUTED_VALUE"""),"2022-06-14T11:27:11Z")</f>
        <v>2022-06-14T11:27:11Z</v>
      </c>
      <c r="X329" s="43"/>
      <c r="Y329" s="43"/>
      <c r="Z329" s="43"/>
    </row>
    <row r="330" hidden="1">
      <c r="A330" s="43" t="str">
        <f>IFERROR(__xludf.DUMMYFUNCTION("""COMPUTED_VALUE"""),"4623036_1289985")</f>
        <v>4623036_1289985</v>
      </c>
      <c r="B330" s="43" t="str">
        <f>IFERROR(__xludf.DUMMYFUNCTION("""COMPUTED_VALUE"""),"Muhammet Mert Seçkin")</f>
        <v>Muhammet Mert Seçkin</v>
      </c>
      <c r="C330" s="43" t="str">
        <f>IFERROR(__xludf.DUMMYFUNCTION("""COMPUTED_VALUE"""),"approved")</f>
        <v>approved</v>
      </c>
      <c r="D330" s="43" t="str">
        <f>IFERROR(__xludf.DUMMYFUNCTION("""COMPUTED_VALUE"""),"No")</f>
        <v>No</v>
      </c>
      <c r="E330" s="43" t="str">
        <f>IFERROR(__xludf.DUMMYFUNCTION("""COMPUTED_VALUE"""),"p_0580c1c5aeb89832dca7dc9cbbe16f6ebfd7e4a7@inbound.aiesec.org")</f>
        <v>p_0580c1c5aeb89832dca7dc9cbbe16f6ebfd7e4a7@inbound.aiesec.org</v>
      </c>
      <c r="F330" s="43">
        <f>IFERROR(__xludf.DUMMYFUNCTION("""COMPUTED_VALUE"""),5.052667525E9)</f>
        <v>5052667525</v>
      </c>
      <c r="G330" s="43" t="str">
        <f>IFERROR(__xludf.DUMMYFUNCTION("""COMPUTED_VALUE"""),"Turkey")</f>
        <v>Turkey</v>
      </c>
      <c r="H330" s="43" t="str">
        <f>IFERROR(__xludf.DUMMYFUNCTION("""COMPUTED_VALUE"""),"KONYA")</f>
        <v>KONYA</v>
      </c>
      <c r="I330" s="43" t="str">
        <f>IFERROR(__xludf.DUMMYFUNCTION("""COMPUTED_VALUE"""),"India")</f>
        <v>India</v>
      </c>
      <c r="J330" s="43" t="str">
        <f>IFERROR(__xludf.DUMMYFUNCTION("""COMPUTED_VALUE"""),"Mumbai")</f>
        <v>Mumbai</v>
      </c>
      <c r="K330" s="44" t="str">
        <f>IFERROR(__xludf.DUMMYFUNCTION("""COMPUTED_VALUE"""),"https://expa.aiesec.org/opportunities/1289985")</f>
        <v>https://expa.aiesec.org/opportunities/1289985</v>
      </c>
      <c r="L330" s="43" t="str">
        <f>IFERROR(__xludf.DUMMYFUNCTION("""COMPUTED_VALUE"""),"GV")</f>
        <v>GV</v>
      </c>
      <c r="M330" s="43" t="str">
        <f>IFERROR(__xludf.DUMMYFUNCTION("""COMPUTED_VALUE"""),"short")</f>
        <v>short</v>
      </c>
      <c r="N330" s="45">
        <f>IFERROR(__xludf.DUMMYFUNCTION("""COMPUTED_VALUE"""),44979.0)</f>
        <v>44979</v>
      </c>
      <c r="O330" s="45">
        <f>IFERROR(__xludf.DUMMYFUNCTION("""COMPUTED_VALUE"""),45170.0)</f>
        <v>45170</v>
      </c>
      <c r="P330" s="45">
        <f>IFERROR(__xludf.DUMMYFUNCTION("""COMPUTED_VALUE"""),45212.0)</f>
        <v>45212</v>
      </c>
      <c r="Q330" s="45"/>
      <c r="R330" s="45"/>
      <c r="S330" s="43"/>
      <c r="T330" s="43"/>
      <c r="U330" s="43" t="str">
        <f>IFERROR(__xludf.DUMMYFUNCTION("""COMPUTED_VALUE"""),"Raise Your Voice")</f>
        <v>Raise Your Voice</v>
      </c>
      <c r="V330" s="43" t="str">
        <f>IFERROR(__xludf.DUMMYFUNCTION("""COMPUTED_VALUE"""),"KONYA")</f>
        <v>KONYA</v>
      </c>
      <c r="W330" s="43" t="str">
        <f>IFERROR(__xludf.DUMMYFUNCTION("""COMPUTED_VALUE"""),"2021-04-20T12:56:18Z")</f>
        <v>2021-04-20T12:56:18Z</v>
      </c>
      <c r="X330" s="43"/>
      <c r="Y330" s="43"/>
      <c r="Z330" s="43"/>
    </row>
    <row r="331" hidden="1">
      <c r="A331" s="43" t="str">
        <f>IFERROR(__xludf.DUMMYFUNCTION("""COMPUTED_VALUE"""),"5168047_1289215")</f>
        <v>5168047_1289215</v>
      </c>
      <c r="B331" s="43" t="str">
        <f>IFERROR(__xludf.DUMMYFUNCTION("""COMPUTED_VALUE"""),"Bahadir Unsal")</f>
        <v>Bahadir Unsal</v>
      </c>
      <c r="C331" s="43" t="str">
        <f>IFERROR(__xludf.DUMMYFUNCTION("""COMPUTED_VALUE"""),"finished")</f>
        <v>finished</v>
      </c>
      <c r="D331" s="43" t="str">
        <f>IFERROR(__xludf.DUMMYFUNCTION("""COMPUTED_VALUE"""),"No")</f>
        <v>No</v>
      </c>
      <c r="E331" s="43" t="str">
        <f>IFERROR(__xludf.DUMMYFUNCTION("""COMPUTED_VALUE"""),"p_f23f455e89581289da0d05605dcab4b4d1dcaec6@inbound.aiesec.org")</f>
        <v>p_f23f455e89581289da0d05605dcab4b4d1dcaec6@inbound.aiesec.org</v>
      </c>
      <c r="F331" s="43">
        <f>IFERROR(__xludf.DUMMYFUNCTION("""COMPUTED_VALUE"""),5.399322567E9)</f>
        <v>5399322567</v>
      </c>
      <c r="G331" s="43" t="str">
        <f>IFERROR(__xludf.DUMMYFUNCTION("""COMPUTED_VALUE"""),"Turkey")</f>
        <v>Turkey</v>
      </c>
      <c r="H331" s="43" t="str">
        <f>IFERROR(__xludf.DUMMYFUNCTION("""COMPUTED_VALUE"""),"SAKARYA")</f>
        <v>SAKARYA</v>
      </c>
      <c r="I331" s="43" t="str">
        <f>IFERROR(__xludf.DUMMYFUNCTION("""COMPUTED_VALUE"""),"Egypt")</f>
        <v>Egypt</v>
      </c>
      <c r="J331" s="43" t="str">
        <f>IFERROR(__xludf.DUMMYFUNCTION("""COMPUTED_VALUE"""),"GUC")</f>
        <v>GUC</v>
      </c>
      <c r="K331" s="44" t="str">
        <f>IFERROR(__xludf.DUMMYFUNCTION("""COMPUTED_VALUE"""),"https://expa.aiesec.org/opportunities/1289215")</f>
        <v>https://expa.aiesec.org/opportunities/1289215</v>
      </c>
      <c r="L331" s="43" t="str">
        <f>IFERROR(__xludf.DUMMYFUNCTION("""COMPUTED_VALUE"""),"GV")</f>
        <v>GV</v>
      </c>
      <c r="M331" s="43" t="str">
        <f>IFERROR(__xludf.DUMMYFUNCTION("""COMPUTED_VALUE"""),"short")</f>
        <v>short</v>
      </c>
      <c r="N331" s="45">
        <f>IFERROR(__xludf.DUMMYFUNCTION("""COMPUTED_VALUE"""),44979.0)</f>
        <v>44979</v>
      </c>
      <c r="O331" s="45">
        <f>IFERROR(__xludf.DUMMYFUNCTION("""COMPUTED_VALUE"""),45108.0)</f>
        <v>45108</v>
      </c>
      <c r="P331" s="45">
        <f>IFERROR(__xludf.DUMMYFUNCTION("""COMPUTED_VALUE"""),45150.0)</f>
        <v>45150</v>
      </c>
      <c r="Q331" s="45">
        <f>IFERROR(__xludf.DUMMYFUNCTION("""COMPUTED_VALUE"""),45106.0)</f>
        <v>45106</v>
      </c>
      <c r="R331" s="45">
        <f>IFERROR(__xludf.DUMMYFUNCTION("""COMPUTED_VALUE"""),45150.0)</f>
        <v>45150</v>
      </c>
      <c r="S331" s="43"/>
      <c r="T331" s="43"/>
      <c r="U331" s="43" t="str">
        <f>IFERROR(__xludf.DUMMYFUNCTION("""COMPUTED_VALUE"""),"Raise Your Voice")</f>
        <v>Raise Your Voice</v>
      </c>
      <c r="V331" s="43" t="str">
        <f>IFERROR(__xludf.DUMMYFUNCTION("""COMPUTED_VALUE"""),"DUZCE")</f>
        <v>DUZCE</v>
      </c>
      <c r="W331" s="43" t="str">
        <f>IFERROR(__xludf.DUMMYFUNCTION("""COMPUTED_VALUE"""),"2022-12-19T20:49:10Z")</f>
        <v>2022-12-19T20:49:10Z</v>
      </c>
      <c r="X331" s="43"/>
      <c r="Y331" s="43"/>
      <c r="Z331" s="43"/>
    </row>
    <row r="332" hidden="1">
      <c r="A332" s="43" t="str">
        <f>IFERROR(__xludf.DUMMYFUNCTION("""COMPUTED_VALUE"""),"4971024_1285085")</f>
        <v>4971024_1285085</v>
      </c>
      <c r="B332" s="43" t="str">
        <f>IFERROR(__xludf.DUMMYFUNCTION("""COMPUTED_VALUE"""),"Ece Şükriye Gürsoy")</f>
        <v>Ece Şükriye Gürsoy</v>
      </c>
      <c r="C332" s="43" t="str">
        <f>IFERROR(__xludf.DUMMYFUNCTION("""COMPUTED_VALUE"""),"approved")</f>
        <v>approved</v>
      </c>
      <c r="D332" s="43" t="str">
        <f>IFERROR(__xludf.DUMMYFUNCTION("""COMPUTED_VALUE"""),"No")</f>
        <v>No</v>
      </c>
      <c r="E332" s="43" t="str">
        <f>IFERROR(__xludf.DUMMYFUNCTION("""COMPUTED_VALUE"""),"p_2a9f07fd3874cffc1629f23cd6d94f848884fe71@inbound.aiesec.org")</f>
        <v>p_2a9f07fd3874cffc1629f23cd6d94f848884fe71@inbound.aiesec.org</v>
      </c>
      <c r="F332" s="43">
        <f>IFERROR(__xludf.DUMMYFUNCTION("""COMPUTED_VALUE"""),5.326299003E9)</f>
        <v>5326299003</v>
      </c>
      <c r="G332" s="43" t="str">
        <f>IFERROR(__xludf.DUMMYFUNCTION("""COMPUTED_VALUE"""),"Turkey")</f>
        <v>Turkey</v>
      </c>
      <c r="H332" s="43" t="str">
        <f>IFERROR(__xludf.DUMMYFUNCTION("""COMPUTED_VALUE"""),"ISTANBUL WEST")</f>
        <v>ISTANBUL WEST</v>
      </c>
      <c r="I332" s="43" t="str">
        <f>IFERROR(__xludf.DUMMYFUNCTION("""COMPUTED_VALUE"""),"Sri Lanka")</f>
        <v>Sri Lanka</v>
      </c>
      <c r="J332" s="43" t="str">
        <f>IFERROR(__xludf.DUMMYFUNCTION("""COMPUTED_VALUE"""),"KANDY")</f>
        <v>KANDY</v>
      </c>
      <c r="K332" s="44" t="str">
        <f>IFERROR(__xludf.DUMMYFUNCTION("""COMPUTED_VALUE"""),"https://expa.aiesec.org/opportunities/1285085")</f>
        <v>https://expa.aiesec.org/opportunities/1285085</v>
      </c>
      <c r="L332" s="43" t="str">
        <f>IFERROR(__xludf.DUMMYFUNCTION("""COMPUTED_VALUE"""),"GV")</f>
        <v>GV</v>
      </c>
      <c r="M332" s="43" t="str">
        <f>IFERROR(__xludf.DUMMYFUNCTION("""COMPUTED_VALUE"""),"short")</f>
        <v>short</v>
      </c>
      <c r="N332" s="45">
        <f>IFERROR(__xludf.DUMMYFUNCTION("""COMPUTED_VALUE"""),44979.0)</f>
        <v>44979</v>
      </c>
      <c r="O332" s="45">
        <f>IFERROR(__xludf.DUMMYFUNCTION("""COMPUTED_VALUE"""),45341.0)</f>
        <v>45341</v>
      </c>
      <c r="P332" s="45">
        <f>IFERROR(__xludf.DUMMYFUNCTION("""COMPUTED_VALUE"""),45383.0)</f>
        <v>45383</v>
      </c>
      <c r="Q332" s="45"/>
      <c r="R332" s="45"/>
      <c r="S332" s="43"/>
      <c r="T332" s="43"/>
      <c r="U332" s="43" t="str">
        <f>IFERROR(__xludf.DUMMYFUNCTION("""COMPUTED_VALUE"""),"Aquatica")</f>
        <v>Aquatica</v>
      </c>
      <c r="V332" s="43" t="str">
        <f>IFERROR(__xludf.DUMMYFUNCTION("""COMPUTED_VALUE"""),"EDIRNE")</f>
        <v>EDIRNE</v>
      </c>
      <c r="W332" s="43" t="str">
        <f>IFERROR(__xludf.DUMMYFUNCTION("""COMPUTED_VALUE"""),"2022-03-08T10:51:51Z")</f>
        <v>2022-03-08T10:51:51Z</v>
      </c>
      <c r="X332" s="43"/>
      <c r="Y332" s="43"/>
      <c r="Z332" s="43"/>
    </row>
    <row r="333" hidden="1">
      <c r="A333" s="43" t="str">
        <f>IFERROR(__xludf.DUMMYFUNCTION("""COMPUTED_VALUE"""),"5193606_1289709")</f>
        <v>5193606_1289709</v>
      </c>
      <c r="B333" s="43" t="str">
        <f>IFERROR(__xludf.DUMMYFUNCTION("""COMPUTED_VALUE"""),"Duru Hayat Kılınçkaya")</f>
        <v>Duru Hayat Kılınçkaya</v>
      </c>
      <c r="C333" s="43" t="str">
        <f>IFERROR(__xludf.DUMMYFUNCTION("""COMPUTED_VALUE"""),"completed")</f>
        <v>completed</v>
      </c>
      <c r="D333" s="43" t="str">
        <f>IFERROR(__xludf.DUMMYFUNCTION("""COMPUTED_VALUE"""),"No")</f>
        <v>No</v>
      </c>
      <c r="E333" s="43" t="str">
        <f>IFERROR(__xludf.DUMMYFUNCTION("""COMPUTED_VALUE"""),"p_06b659afc5f9e221c7aed187a458887c403ba71a@inbound.aiesec.org")</f>
        <v>p_06b659afc5f9e221c7aed187a458887c403ba71a@inbound.aiesec.org</v>
      </c>
      <c r="F333" s="43">
        <f>IFERROR(__xludf.DUMMYFUNCTION("""COMPUTED_VALUE"""),5.360545894E9)</f>
        <v>5360545894</v>
      </c>
      <c r="G333" s="43" t="str">
        <f>IFERROR(__xludf.DUMMYFUNCTION("""COMPUTED_VALUE"""),"Turkey")</f>
        <v>Turkey</v>
      </c>
      <c r="H333" s="43" t="str">
        <f>IFERROR(__xludf.DUMMYFUNCTION("""COMPUTED_VALUE"""),"ANKARA")</f>
        <v>ANKARA</v>
      </c>
      <c r="I333" s="43" t="str">
        <f>IFERROR(__xludf.DUMMYFUNCTION("""COMPUTED_VALUE"""),"Sri Lanka")</f>
        <v>Sri Lanka</v>
      </c>
      <c r="J333" s="43" t="str">
        <f>IFERROR(__xludf.DUMMYFUNCTION("""COMPUTED_VALUE"""),"COLOMBO CENTRAL")</f>
        <v>COLOMBO CENTRAL</v>
      </c>
      <c r="K333" s="44" t="str">
        <f>IFERROR(__xludf.DUMMYFUNCTION("""COMPUTED_VALUE"""),"https://expa.aiesec.org/opportunities/1289709")</f>
        <v>https://expa.aiesec.org/opportunities/1289709</v>
      </c>
      <c r="L333" s="43" t="str">
        <f>IFERROR(__xludf.DUMMYFUNCTION("""COMPUTED_VALUE"""),"GV")</f>
        <v>GV</v>
      </c>
      <c r="M333" s="43" t="str">
        <f>IFERROR(__xludf.DUMMYFUNCTION("""COMPUTED_VALUE"""),"short")</f>
        <v>short</v>
      </c>
      <c r="N333" s="45">
        <f>IFERROR(__xludf.DUMMYFUNCTION("""COMPUTED_VALUE"""),44979.0)</f>
        <v>44979</v>
      </c>
      <c r="O333" s="45">
        <f>IFERROR(__xludf.DUMMYFUNCTION("""COMPUTED_VALUE"""),45124.0)</f>
        <v>45124</v>
      </c>
      <c r="P333" s="45">
        <f>IFERROR(__xludf.DUMMYFUNCTION("""COMPUTED_VALUE"""),45166.0)</f>
        <v>45166</v>
      </c>
      <c r="Q333" s="45">
        <f>IFERROR(__xludf.DUMMYFUNCTION("""COMPUTED_VALUE"""),45123.0)</f>
        <v>45123</v>
      </c>
      <c r="R333" s="45">
        <f>IFERROR(__xludf.DUMMYFUNCTION("""COMPUTED_VALUE"""),45166.0)</f>
        <v>45166</v>
      </c>
      <c r="S333" s="43"/>
      <c r="T333" s="43"/>
      <c r="U333" s="43" t="str">
        <f>IFERROR(__xludf.DUMMYFUNCTION("""COMPUTED_VALUE"""),"Equify")</f>
        <v>Equify</v>
      </c>
      <c r="V333" s="43" t="str">
        <f>IFERROR(__xludf.DUMMYFUNCTION("""COMPUTED_VALUE"""),"ANKARA")</f>
        <v>ANKARA</v>
      </c>
      <c r="W333" s="43" t="str">
        <f>IFERROR(__xludf.DUMMYFUNCTION("""COMPUTED_VALUE"""),"2023-02-18T07:53:21Z")</f>
        <v>2023-02-18T07:53:21Z</v>
      </c>
      <c r="X333" s="43"/>
      <c r="Y333" s="43"/>
      <c r="Z333" s="43"/>
    </row>
    <row r="334" hidden="1">
      <c r="A334" s="43" t="str">
        <f>IFERROR(__xludf.DUMMYFUNCTION("""COMPUTED_VALUE"""),"5182731_1289985")</f>
        <v>5182731_1289985</v>
      </c>
      <c r="B334" s="43" t="str">
        <f>IFERROR(__xludf.DUMMYFUNCTION("""COMPUTED_VALUE"""),"Neslihan Uslu")</f>
        <v>Neslihan Uslu</v>
      </c>
      <c r="C334" s="43" t="str">
        <f>IFERROR(__xludf.DUMMYFUNCTION("""COMPUTED_VALUE"""),"approved")</f>
        <v>approved</v>
      </c>
      <c r="D334" s="43" t="str">
        <f>IFERROR(__xludf.DUMMYFUNCTION("""COMPUTED_VALUE"""),"No")</f>
        <v>No</v>
      </c>
      <c r="E334" s="43" t="str">
        <f>IFERROR(__xludf.DUMMYFUNCTION("""COMPUTED_VALUE"""),"p_4539c0f46f2c763576f9e3dedc6267c1bc11445a@inbound.aiesec.org")</f>
        <v>p_4539c0f46f2c763576f9e3dedc6267c1bc11445a@inbound.aiesec.org</v>
      </c>
      <c r="F334" s="43"/>
      <c r="G334" s="43" t="str">
        <f>IFERROR(__xludf.DUMMYFUNCTION("""COMPUTED_VALUE"""),"Turkey")</f>
        <v>Turkey</v>
      </c>
      <c r="H334" s="43" t="str">
        <f>IFERROR(__xludf.DUMMYFUNCTION("""COMPUTED_VALUE"""),"ISTANBUL ASIA")</f>
        <v>ISTANBUL ASIA</v>
      </c>
      <c r="I334" s="43" t="str">
        <f>IFERROR(__xludf.DUMMYFUNCTION("""COMPUTED_VALUE"""),"India")</f>
        <v>India</v>
      </c>
      <c r="J334" s="43" t="str">
        <f>IFERROR(__xludf.DUMMYFUNCTION("""COMPUTED_VALUE"""),"Mumbai")</f>
        <v>Mumbai</v>
      </c>
      <c r="K334" s="44" t="str">
        <f>IFERROR(__xludf.DUMMYFUNCTION("""COMPUTED_VALUE"""),"https://expa.aiesec.org/opportunities/1289985")</f>
        <v>https://expa.aiesec.org/opportunities/1289985</v>
      </c>
      <c r="L334" s="43" t="str">
        <f>IFERROR(__xludf.DUMMYFUNCTION("""COMPUTED_VALUE"""),"GV")</f>
        <v>GV</v>
      </c>
      <c r="M334" s="43" t="str">
        <f>IFERROR(__xludf.DUMMYFUNCTION("""COMPUTED_VALUE"""),"short")</f>
        <v>short</v>
      </c>
      <c r="N334" s="45">
        <f>IFERROR(__xludf.DUMMYFUNCTION("""COMPUTED_VALUE"""),44979.0)</f>
        <v>44979</v>
      </c>
      <c r="O334" s="45">
        <f>IFERROR(__xludf.DUMMYFUNCTION("""COMPUTED_VALUE"""),45108.0)</f>
        <v>45108</v>
      </c>
      <c r="P334" s="45">
        <f>IFERROR(__xludf.DUMMYFUNCTION("""COMPUTED_VALUE"""),45150.0)</f>
        <v>45150</v>
      </c>
      <c r="Q334" s="45"/>
      <c r="R334" s="45"/>
      <c r="S334" s="43"/>
      <c r="T334" s="43"/>
      <c r="U334" s="43" t="str">
        <f>IFERROR(__xludf.DUMMYFUNCTION("""COMPUTED_VALUE"""),"Raise Your Voice")</f>
        <v>Raise Your Voice</v>
      </c>
      <c r="V334" s="43" t="str">
        <f>IFERROR(__xludf.DUMMYFUNCTION("""COMPUTED_VALUE"""),"-")</f>
        <v>-</v>
      </c>
      <c r="W334" s="43" t="str">
        <f>IFERROR(__xludf.DUMMYFUNCTION("""COMPUTED_VALUE"""),"2023-01-31T10:59:45Z")</f>
        <v>2023-01-31T10:59:45Z</v>
      </c>
      <c r="X334" s="43"/>
      <c r="Y334" s="43"/>
      <c r="Z334" s="43"/>
    </row>
    <row r="335" hidden="1">
      <c r="A335" s="43" t="str">
        <f>IFERROR(__xludf.DUMMYFUNCTION("""COMPUTED_VALUE"""),"2971302_1292528")</f>
        <v>2971302_1292528</v>
      </c>
      <c r="B335" s="43" t="str">
        <f>IFERROR(__xludf.DUMMYFUNCTION("""COMPUTED_VALUE"""),"ceren meltem")</f>
        <v>ceren meltem</v>
      </c>
      <c r="C335" s="43" t="str">
        <f>IFERROR(__xludf.DUMMYFUNCTION("""COMPUTED_VALUE"""),"completed")</f>
        <v>completed</v>
      </c>
      <c r="D335" s="43" t="str">
        <f>IFERROR(__xludf.DUMMYFUNCTION("""COMPUTED_VALUE"""),"No")</f>
        <v>No</v>
      </c>
      <c r="E335" s="43" t="str">
        <f>IFERROR(__xludf.DUMMYFUNCTION("""COMPUTED_VALUE"""),"p_e3f7ec7f12885e989c66c6dcd7e7f8e8993e17bb@inbound.aiesec.org")</f>
        <v>p_e3f7ec7f12885e989c66c6dcd7e7f8e8993e17bb@inbound.aiesec.org</v>
      </c>
      <c r="F335" s="43">
        <f>IFERROR(__xludf.DUMMYFUNCTION("""COMPUTED_VALUE"""),5.336486627E9)</f>
        <v>5336486627</v>
      </c>
      <c r="G335" s="43" t="str">
        <f>IFERROR(__xludf.DUMMYFUNCTION("""COMPUTED_VALUE"""),"Turkey")</f>
        <v>Turkey</v>
      </c>
      <c r="H335" s="43" t="str">
        <f>IFERROR(__xludf.DUMMYFUNCTION("""COMPUTED_VALUE"""),"ANTALYA")</f>
        <v>ANTALYA</v>
      </c>
      <c r="I335" s="43" t="str">
        <f>IFERROR(__xludf.DUMMYFUNCTION("""COMPUTED_VALUE"""),"Egypt")</f>
        <v>Egypt</v>
      </c>
      <c r="J335" s="43" t="str">
        <f>IFERROR(__xludf.DUMMYFUNCTION("""COMPUTED_VALUE"""),"MIU")</f>
        <v>MIU</v>
      </c>
      <c r="K335" s="44" t="str">
        <f>IFERROR(__xludf.DUMMYFUNCTION("""COMPUTED_VALUE"""),"https://expa.aiesec.org/opportunities/1292528")</f>
        <v>https://expa.aiesec.org/opportunities/1292528</v>
      </c>
      <c r="L335" s="43" t="str">
        <f>IFERROR(__xludf.DUMMYFUNCTION("""COMPUTED_VALUE"""),"GV")</f>
        <v>GV</v>
      </c>
      <c r="M335" s="43" t="str">
        <f>IFERROR(__xludf.DUMMYFUNCTION("""COMPUTED_VALUE"""),"short")</f>
        <v>short</v>
      </c>
      <c r="N335" s="45">
        <f>IFERROR(__xludf.DUMMYFUNCTION("""COMPUTED_VALUE"""),44981.0)</f>
        <v>44981</v>
      </c>
      <c r="O335" s="45">
        <f>IFERROR(__xludf.DUMMYFUNCTION("""COMPUTED_VALUE"""),45117.0)</f>
        <v>45117</v>
      </c>
      <c r="P335" s="45">
        <f>IFERROR(__xludf.DUMMYFUNCTION("""COMPUTED_VALUE"""),45161.0)</f>
        <v>45161</v>
      </c>
      <c r="Q335" s="45">
        <f>IFERROR(__xludf.DUMMYFUNCTION("""COMPUTED_VALUE"""),45123.0)</f>
        <v>45123</v>
      </c>
      <c r="R335" s="45">
        <f>IFERROR(__xludf.DUMMYFUNCTION("""COMPUTED_VALUE"""),45167.0)</f>
        <v>45167</v>
      </c>
      <c r="S335" s="43"/>
      <c r="T335" s="43"/>
      <c r="U335" s="43" t="str">
        <f>IFERROR(__xludf.DUMMYFUNCTION("""COMPUTED_VALUE"""),"On The Map")</f>
        <v>On The Map</v>
      </c>
      <c r="V335" s="43" t="str">
        <f>IFERROR(__xludf.DUMMYFUNCTION("""COMPUTED_VALUE"""),"ANTALYA")</f>
        <v>ANTALYA</v>
      </c>
      <c r="W335" s="43" t="str">
        <f>IFERROR(__xludf.DUMMYFUNCTION("""COMPUTED_VALUE"""),"2018-12-11T21:44:18Z")</f>
        <v>2018-12-11T21:44:18Z</v>
      </c>
      <c r="X335" s="43"/>
      <c r="Y335" s="43"/>
      <c r="Z335" s="43"/>
    </row>
    <row r="336" hidden="1">
      <c r="A336" s="43" t="str">
        <f>IFERROR(__xludf.DUMMYFUNCTION("""COMPUTED_VALUE"""),"5179986_1287987")</f>
        <v>5179986_1287987</v>
      </c>
      <c r="B336" s="43" t="str">
        <f>IFERROR(__xludf.DUMMYFUNCTION("""COMPUTED_VALUE"""),"Şebnem Turan")</f>
        <v>Şebnem Turan</v>
      </c>
      <c r="C336" s="43" t="str">
        <f>IFERROR(__xludf.DUMMYFUNCTION("""COMPUTED_VALUE"""),"completed")</f>
        <v>completed</v>
      </c>
      <c r="D336" s="43" t="str">
        <f>IFERROR(__xludf.DUMMYFUNCTION("""COMPUTED_VALUE"""),"No")</f>
        <v>No</v>
      </c>
      <c r="E336" s="43" t="str">
        <f>IFERROR(__xludf.DUMMYFUNCTION("""COMPUTED_VALUE"""),"p_d5aa9e0de30dac901dcf5ffe64eaca839ce03adc@inbound.aiesec.org")</f>
        <v>p_d5aa9e0de30dac901dcf5ffe64eaca839ce03adc@inbound.aiesec.org</v>
      </c>
      <c r="F336" s="43">
        <f>IFERROR(__xludf.DUMMYFUNCTION("""COMPUTED_VALUE"""),5.459025174E9)</f>
        <v>5459025174</v>
      </c>
      <c r="G336" s="43" t="str">
        <f>IFERROR(__xludf.DUMMYFUNCTION("""COMPUTED_VALUE"""),"Turkey")</f>
        <v>Turkey</v>
      </c>
      <c r="H336" s="43" t="str">
        <f>IFERROR(__xludf.DUMMYFUNCTION("""COMPUTED_VALUE"""),"İZMİR")</f>
        <v>İZMİR</v>
      </c>
      <c r="I336" s="43" t="str">
        <f>IFERROR(__xludf.DUMMYFUNCTION("""COMPUTED_VALUE"""),"India")</f>
        <v>India</v>
      </c>
      <c r="J336" s="43" t="str">
        <f>IFERROR(__xludf.DUMMYFUNCTION("""COMPUTED_VALUE"""),"JAIPUR ")</f>
        <v>JAIPUR </v>
      </c>
      <c r="K336" s="44" t="str">
        <f>IFERROR(__xludf.DUMMYFUNCTION("""COMPUTED_VALUE"""),"https://expa.aiesec.org/opportunities/1287987")</f>
        <v>https://expa.aiesec.org/opportunities/1287987</v>
      </c>
      <c r="L336" s="43" t="str">
        <f>IFERROR(__xludf.DUMMYFUNCTION("""COMPUTED_VALUE"""),"GV")</f>
        <v>GV</v>
      </c>
      <c r="M336" s="43" t="str">
        <f>IFERROR(__xludf.DUMMYFUNCTION("""COMPUTED_VALUE"""),"short")</f>
        <v>short</v>
      </c>
      <c r="N336" s="45">
        <f>IFERROR(__xludf.DUMMYFUNCTION("""COMPUTED_VALUE"""),44981.0)</f>
        <v>44981</v>
      </c>
      <c r="O336" s="45">
        <f>IFERROR(__xludf.DUMMYFUNCTION("""COMPUTED_VALUE"""),45171.0)</f>
        <v>45171</v>
      </c>
      <c r="P336" s="45">
        <f>IFERROR(__xludf.DUMMYFUNCTION("""COMPUTED_VALUE"""),45213.0)</f>
        <v>45213</v>
      </c>
      <c r="Q336" s="45">
        <f>IFERROR(__xludf.DUMMYFUNCTION("""COMPUTED_VALUE"""),45172.0)</f>
        <v>45172</v>
      </c>
      <c r="R336" s="45">
        <f>IFERROR(__xludf.DUMMYFUNCTION("""COMPUTED_VALUE"""),45213.0)</f>
        <v>45213</v>
      </c>
      <c r="S336" s="43"/>
      <c r="T336" s="43"/>
      <c r="U336" s="43" t="str">
        <f>IFERROR(__xludf.DUMMYFUNCTION("""COMPUTED_VALUE"""),"On The Map")</f>
        <v>On The Map</v>
      </c>
      <c r="V336" s="43" t="str">
        <f>IFERROR(__xludf.DUMMYFUNCTION("""COMPUTED_VALUE"""),"MANISA")</f>
        <v>MANISA</v>
      </c>
      <c r="W336" s="43" t="str">
        <f>IFERROR(__xludf.DUMMYFUNCTION("""COMPUTED_VALUE"""),"2023-01-24T11:34:21Z")</f>
        <v>2023-01-24T11:34:21Z</v>
      </c>
      <c r="X336" s="43"/>
      <c r="Y336" s="43"/>
      <c r="Z336" s="43"/>
    </row>
    <row r="337" hidden="1">
      <c r="A337" s="43" t="str">
        <f>IFERROR(__xludf.DUMMYFUNCTION("""COMPUTED_VALUE"""),"5196695_1281901")</f>
        <v>5196695_1281901</v>
      </c>
      <c r="B337" s="43" t="str">
        <f>IFERROR(__xludf.DUMMYFUNCTION("""COMPUTED_VALUE"""),"hilal melek pehlivanoğlu")</f>
        <v>hilal melek pehlivanoğlu</v>
      </c>
      <c r="C337" s="43" t="str">
        <f>IFERROR(__xludf.DUMMYFUNCTION("""COMPUTED_VALUE"""),"approved")</f>
        <v>approved</v>
      </c>
      <c r="D337" s="43" t="str">
        <f>IFERROR(__xludf.DUMMYFUNCTION("""COMPUTED_VALUE"""),"No")</f>
        <v>No</v>
      </c>
      <c r="E337" s="43" t="str">
        <f>IFERROR(__xludf.DUMMYFUNCTION("""COMPUTED_VALUE"""),"p_b4b59231d05fac8a98453c3536c1aba0f03964d5@inbound.aiesec.org")</f>
        <v>p_b4b59231d05fac8a98453c3536c1aba0f03964d5@inbound.aiesec.org</v>
      </c>
      <c r="F337" s="43">
        <f>IFERROR(__xludf.DUMMYFUNCTION("""COMPUTED_VALUE"""),5.438825245E9)</f>
        <v>5438825245</v>
      </c>
      <c r="G337" s="43" t="str">
        <f>IFERROR(__xludf.DUMMYFUNCTION("""COMPUTED_VALUE"""),"Turkey")</f>
        <v>Turkey</v>
      </c>
      <c r="H337" s="43" t="str">
        <f>IFERROR(__xludf.DUMMYFUNCTION("""COMPUTED_VALUE"""),"ISTANBUL")</f>
        <v>ISTANBUL</v>
      </c>
      <c r="I337" s="43" t="str">
        <f>IFERROR(__xludf.DUMMYFUNCTION("""COMPUTED_VALUE"""),"Sri Lanka")</f>
        <v>Sri Lanka</v>
      </c>
      <c r="J337" s="43" t="str">
        <f>IFERROR(__xludf.DUMMYFUNCTION("""COMPUTED_VALUE"""),"COLOMBO SOUTH")</f>
        <v>COLOMBO SOUTH</v>
      </c>
      <c r="K337" s="44" t="str">
        <f>IFERROR(__xludf.DUMMYFUNCTION("""COMPUTED_VALUE"""),"https://expa.aiesec.org/opportunities/1281901")</f>
        <v>https://expa.aiesec.org/opportunities/1281901</v>
      </c>
      <c r="L337" s="43" t="str">
        <f>IFERROR(__xludf.DUMMYFUNCTION("""COMPUTED_VALUE"""),"GV")</f>
        <v>GV</v>
      </c>
      <c r="M337" s="43" t="str">
        <f>IFERROR(__xludf.DUMMYFUNCTION("""COMPUTED_VALUE"""),"short")</f>
        <v>short</v>
      </c>
      <c r="N337" s="45">
        <f>IFERROR(__xludf.DUMMYFUNCTION("""COMPUTED_VALUE"""),44984.0)</f>
        <v>44984</v>
      </c>
      <c r="O337" s="45">
        <f>IFERROR(__xludf.DUMMYFUNCTION("""COMPUTED_VALUE"""),45089.0)</f>
        <v>45089</v>
      </c>
      <c r="P337" s="45">
        <f>IFERROR(__xludf.DUMMYFUNCTION("""COMPUTED_VALUE"""),45131.0)</f>
        <v>45131</v>
      </c>
      <c r="Q337" s="45"/>
      <c r="R337" s="45"/>
      <c r="S337" s="43"/>
      <c r="T337" s="43"/>
      <c r="U337" s="43" t="str">
        <f>IFERROR(__xludf.DUMMYFUNCTION("""COMPUTED_VALUE"""),"Aquatica")</f>
        <v>Aquatica</v>
      </c>
      <c r="V337" s="43" t="str">
        <f>IFERROR(__xludf.DUMMYFUNCTION("""COMPUTED_VALUE"""),"ISTANBUL - BEYOGLU")</f>
        <v>ISTANBUL - BEYOGLU</v>
      </c>
      <c r="W337" s="43" t="str">
        <f>IFERROR(__xludf.DUMMYFUNCTION("""COMPUTED_VALUE"""),"2023-02-22T14:06:14Z")</f>
        <v>2023-02-22T14:06:14Z</v>
      </c>
      <c r="X337" s="43"/>
      <c r="Y337" s="43"/>
      <c r="Z337" s="43"/>
    </row>
    <row r="338" hidden="1">
      <c r="A338" s="43" t="str">
        <f>IFERROR(__xludf.DUMMYFUNCTION("""COMPUTED_VALUE"""),"5190081_1289246")</f>
        <v>5190081_1289246</v>
      </c>
      <c r="B338" s="43" t="str">
        <f>IFERROR(__xludf.DUMMYFUNCTION("""COMPUTED_VALUE"""),"Galad Ahmed Elmi")</f>
        <v>Galad Ahmed Elmi</v>
      </c>
      <c r="C338" s="43" t="str">
        <f>IFERROR(__xludf.DUMMYFUNCTION("""COMPUTED_VALUE"""),"approved")</f>
        <v>approved</v>
      </c>
      <c r="D338" s="43" t="str">
        <f>IFERROR(__xludf.DUMMYFUNCTION("""COMPUTED_VALUE"""),"No")</f>
        <v>No</v>
      </c>
      <c r="E338" s="43" t="str">
        <f>IFERROR(__xludf.DUMMYFUNCTION("""COMPUTED_VALUE"""),"p_ff8974300e00b943712791045b8d89a76eea1f97@inbound.aiesec.org")</f>
        <v>p_ff8974300e00b943712791045b8d89a76eea1f97@inbound.aiesec.org</v>
      </c>
      <c r="F338" s="43">
        <f>IFERROR(__xludf.DUMMYFUNCTION("""COMPUTED_VALUE"""),5.527434086E9)</f>
        <v>5527434086</v>
      </c>
      <c r="G338" s="43" t="str">
        <f>IFERROR(__xludf.DUMMYFUNCTION("""COMPUTED_VALUE"""),"Turkey")</f>
        <v>Turkey</v>
      </c>
      <c r="H338" s="43" t="str">
        <f>IFERROR(__xludf.DUMMYFUNCTION("""COMPUTED_VALUE"""),"ISTANBUL")</f>
        <v>ISTANBUL</v>
      </c>
      <c r="I338" s="43" t="str">
        <f>IFERROR(__xludf.DUMMYFUNCTION("""COMPUTED_VALUE"""),"Brazil")</f>
        <v>Brazil</v>
      </c>
      <c r="J338" s="43" t="str">
        <f>IFERROR(__xludf.DUMMYFUNCTION("""COMPUTED_VALUE"""),"FORTALEZA")</f>
        <v>FORTALEZA</v>
      </c>
      <c r="K338" s="44" t="str">
        <f>IFERROR(__xludf.DUMMYFUNCTION("""COMPUTED_VALUE"""),"https://expa.aiesec.org/opportunities/1289246")</f>
        <v>https://expa.aiesec.org/opportunities/1289246</v>
      </c>
      <c r="L338" s="43" t="str">
        <f>IFERROR(__xludf.DUMMYFUNCTION("""COMPUTED_VALUE"""),"GV")</f>
        <v>GV</v>
      </c>
      <c r="M338" s="43" t="str">
        <f>IFERROR(__xludf.DUMMYFUNCTION("""COMPUTED_VALUE"""),"short")</f>
        <v>short</v>
      </c>
      <c r="N338" s="45">
        <f>IFERROR(__xludf.DUMMYFUNCTION("""COMPUTED_VALUE"""),44984.0)</f>
        <v>44984</v>
      </c>
      <c r="O338" s="45">
        <f>IFERROR(__xludf.DUMMYFUNCTION("""COMPUTED_VALUE"""),45120.0)</f>
        <v>45120</v>
      </c>
      <c r="P338" s="45">
        <f>IFERROR(__xludf.DUMMYFUNCTION("""COMPUTED_VALUE"""),45162.0)</f>
        <v>45162</v>
      </c>
      <c r="Q338" s="45"/>
      <c r="R338" s="45"/>
      <c r="S338" s="43"/>
      <c r="T338" s="43"/>
      <c r="U338" s="43" t="str">
        <f>IFERROR(__xludf.DUMMYFUNCTION("""COMPUTED_VALUE"""),"Global Classroom")</f>
        <v>Global Classroom</v>
      </c>
      <c r="V338" s="43" t="str">
        <f>IFERROR(__xludf.DUMMYFUNCTION("""COMPUTED_VALUE"""),"ISTANBUL - BEYOGLU")</f>
        <v>ISTANBUL - BEYOGLU</v>
      </c>
      <c r="W338" s="43" t="str">
        <f>IFERROR(__xludf.DUMMYFUNCTION("""COMPUTED_VALUE"""),"2023-02-13T13:58:51Z")</f>
        <v>2023-02-13T13:58:51Z</v>
      </c>
      <c r="X338" s="43"/>
      <c r="Y338" s="43"/>
      <c r="Z338" s="43"/>
    </row>
    <row r="339" hidden="1">
      <c r="A339" s="43" t="str">
        <f>IFERROR(__xludf.DUMMYFUNCTION("""COMPUTED_VALUE"""),"5185696_1292549")</f>
        <v>5185696_1292549</v>
      </c>
      <c r="B339" s="43" t="str">
        <f>IFERROR(__xludf.DUMMYFUNCTION("""COMPUTED_VALUE"""),"Ozan Barışer")</f>
        <v>Ozan Barışer</v>
      </c>
      <c r="C339" s="43" t="str">
        <f>IFERROR(__xludf.DUMMYFUNCTION("""COMPUTED_VALUE"""),"approved")</f>
        <v>approved</v>
      </c>
      <c r="D339" s="43" t="str">
        <f>IFERROR(__xludf.DUMMYFUNCTION("""COMPUTED_VALUE"""),"No")</f>
        <v>No</v>
      </c>
      <c r="E339" s="43" t="str">
        <f>IFERROR(__xludf.DUMMYFUNCTION("""COMPUTED_VALUE"""),"p_5c3106eb2b174e4a477534ced5e268c4a9d0abba@inbound.aiesec.org")</f>
        <v>p_5c3106eb2b174e4a477534ced5e268c4a9d0abba@inbound.aiesec.org</v>
      </c>
      <c r="F339" s="43"/>
      <c r="G339" s="43" t="str">
        <f>IFERROR(__xludf.DUMMYFUNCTION("""COMPUTED_VALUE"""),"Turkey")</f>
        <v>Turkey</v>
      </c>
      <c r="H339" s="43" t="str">
        <f>IFERROR(__xludf.DUMMYFUNCTION("""COMPUTED_VALUE"""),"SAKARYA")</f>
        <v>SAKARYA</v>
      </c>
      <c r="I339" s="43" t="str">
        <f>IFERROR(__xludf.DUMMYFUNCTION("""COMPUTED_VALUE"""),"Tunisia")</f>
        <v>Tunisia</v>
      </c>
      <c r="J339" s="43" t="str">
        <f>IFERROR(__xludf.DUMMYFUNCTION("""COMPUTED_VALUE"""),"UNIVERSITY")</f>
        <v>UNIVERSITY</v>
      </c>
      <c r="K339" s="44" t="str">
        <f>IFERROR(__xludf.DUMMYFUNCTION("""COMPUTED_VALUE"""),"https://expa.aiesec.org/opportunities/1292549")</f>
        <v>https://expa.aiesec.org/opportunities/1292549</v>
      </c>
      <c r="L339" s="43" t="str">
        <f>IFERROR(__xludf.DUMMYFUNCTION("""COMPUTED_VALUE"""),"GV")</f>
        <v>GV</v>
      </c>
      <c r="M339" s="43" t="str">
        <f>IFERROR(__xludf.DUMMYFUNCTION("""COMPUTED_VALUE"""),"short")</f>
        <v>short</v>
      </c>
      <c r="N339" s="45">
        <f>IFERROR(__xludf.DUMMYFUNCTION("""COMPUTED_VALUE"""),44985.0)</f>
        <v>44985</v>
      </c>
      <c r="O339" s="45">
        <f>IFERROR(__xludf.DUMMYFUNCTION("""COMPUTED_VALUE"""),45120.0)</f>
        <v>45120</v>
      </c>
      <c r="P339" s="45">
        <f>IFERROR(__xludf.DUMMYFUNCTION("""COMPUTED_VALUE"""),45164.0)</f>
        <v>45164</v>
      </c>
      <c r="Q339" s="45"/>
      <c r="R339" s="45"/>
      <c r="S339" s="43"/>
      <c r="T339" s="43"/>
      <c r="U339" s="43" t="str">
        <f>IFERROR(__xludf.DUMMYFUNCTION("""COMPUTED_VALUE"""),"On The Map")</f>
        <v>On The Map</v>
      </c>
      <c r="V339" s="43" t="str">
        <f>IFERROR(__xludf.DUMMYFUNCTION("""COMPUTED_VALUE"""),"-")</f>
        <v>-</v>
      </c>
      <c r="W339" s="43" t="str">
        <f>IFERROR(__xludf.DUMMYFUNCTION("""COMPUTED_VALUE"""),"2023-02-04T23:52:11Z")</f>
        <v>2023-02-04T23:52:11Z</v>
      </c>
      <c r="X339" s="43"/>
      <c r="Y339" s="43"/>
      <c r="Z339" s="43"/>
    </row>
    <row r="340" hidden="1">
      <c r="A340" s="43" t="str">
        <f>IFERROR(__xludf.DUMMYFUNCTION("""COMPUTED_VALUE"""),"5199634_1292728")</f>
        <v>5199634_1292728</v>
      </c>
      <c r="B340" s="43" t="str">
        <f>IFERROR(__xludf.DUMMYFUNCTION("""COMPUTED_VALUE"""),"Elif Ataoğuz")</f>
        <v>Elif Ataoğuz</v>
      </c>
      <c r="C340" s="43" t="str">
        <f>IFERROR(__xludf.DUMMYFUNCTION("""COMPUTED_VALUE"""),"approved")</f>
        <v>approved</v>
      </c>
      <c r="D340" s="43" t="str">
        <f>IFERROR(__xludf.DUMMYFUNCTION("""COMPUTED_VALUE"""),"No")</f>
        <v>No</v>
      </c>
      <c r="E340" s="43" t="str">
        <f>IFERROR(__xludf.DUMMYFUNCTION("""COMPUTED_VALUE"""),"p_728f65b82b2ffd2ec4085e5d6f8ba57474e14e1d@inbound.aiesec.org")</f>
        <v>p_728f65b82b2ffd2ec4085e5d6f8ba57474e14e1d@inbound.aiesec.org</v>
      </c>
      <c r="F340" s="43"/>
      <c r="G340" s="43" t="str">
        <f>IFERROR(__xludf.DUMMYFUNCTION("""COMPUTED_VALUE"""),"Turkey")</f>
        <v>Turkey</v>
      </c>
      <c r="H340" s="43" t="str">
        <f>IFERROR(__xludf.DUMMYFUNCTION("""COMPUTED_VALUE"""),"ANKARA")</f>
        <v>ANKARA</v>
      </c>
      <c r="I340" s="43" t="str">
        <f>IFERROR(__xludf.DUMMYFUNCTION("""COMPUTED_VALUE"""),"Tunisia")</f>
        <v>Tunisia</v>
      </c>
      <c r="J340" s="43" t="str">
        <f>IFERROR(__xludf.DUMMYFUNCTION("""COMPUTED_VALUE"""),"NABEL")</f>
        <v>NABEL</v>
      </c>
      <c r="K340" s="44" t="str">
        <f>IFERROR(__xludf.DUMMYFUNCTION("""COMPUTED_VALUE"""),"https://expa.aiesec.org/opportunities/1292728")</f>
        <v>https://expa.aiesec.org/opportunities/1292728</v>
      </c>
      <c r="L340" s="43" t="str">
        <f>IFERROR(__xludf.DUMMYFUNCTION("""COMPUTED_VALUE"""),"GV")</f>
        <v>GV</v>
      </c>
      <c r="M340" s="43" t="str">
        <f>IFERROR(__xludf.DUMMYFUNCTION("""COMPUTED_VALUE"""),"short")</f>
        <v>short</v>
      </c>
      <c r="N340" s="45">
        <f>IFERROR(__xludf.DUMMYFUNCTION("""COMPUTED_VALUE"""),44985.0)</f>
        <v>44985</v>
      </c>
      <c r="O340" s="45">
        <f>IFERROR(__xludf.DUMMYFUNCTION("""COMPUTED_VALUE"""),45139.0)</f>
        <v>45139</v>
      </c>
      <c r="P340" s="45">
        <f>IFERROR(__xludf.DUMMYFUNCTION("""COMPUTED_VALUE"""),45181.0)</f>
        <v>45181</v>
      </c>
      <c r="Q340" s="45"/>
      <c r="R340" s="45"/>
      <c r="S340" s="43"/>
      <c r="T340" s="43"/>
      <c r="U340" s="43" t="str">
        <f>IFERROR(__xludf.DUMMYFUNCTION("""COMPUTED_VALUE"""),"Global Classroom")</f>
        <v>Global Classroom</v>
      </c>
      <c r="V340" s="43" t="str">
        <f>IFERROR(__xludf.DUMMYFUNCTION("""COMPUTED_VALUE"""),"-")</f>
        <v>-</v>
      </c>
      <c r="W340" s="43" t="str">
        <f>IFERROR(__xludf.DUMMYFUNCTION("""COMPUTED_VALUE"""),"2023-02-26T14:18:36Z")</f>
        <v>2023-02-26T14:18:36Z</v>
      </c>
      <c r="X340" s="43"/>
      <c r="Y340" s="43"/>
      <c r="Z340" s="43"/>
    </row>
    <row r="341" hidden="1">
      <c r="A341" s="43" t="str">
        <f>IFERROR(__xludf.DUMMYFUNCTION("""COMPUTED_VALUE"""),"5198572_1284312")</f>
        <v>5198572_1284312</v>
      </c>
      <c r="B341" s="43" t="str">
        <f>IFERROR(__xludf.DUMMYFUNCTION("""COMPUTED_VALUE"""),"Ayşe Duygu İlimdaroğlu")</f>
        <v>Ayşe Duygu İlimdaroğlu</v>
      </c>
      <c r="C341" s="43" t="str">
        <f>IFERROR(__xludf.DUMMYFUNCTION("""COMPUTED_VALUE"""),"approved")</f>
        <v>approved</v>
      </c>
      <c r="D341" s="43" t="str">
        <f>IFERROR(__xludf.DUMMYFUNCTION("""COMPUTED_VALUE"""),"No")</f>
        <v>No</v>
      </c>
      <c r="E341" s="43" t="str">
        <f>IFERROR(__xludf.DUMMYFUNCTION("""COMPUTED_VALUE"""),"p_97cb63a080d6fa00dbc7798dc2aa413887e434bd@inbound.aiesec.org")</f>
        <v>p_97cb63a080d6fa00dbc7798dc2aa413887e434bd@inbound.aiesec.org</v>
      </c>
      <c r="F341" s="43">
        <f>IFERROR(__xludf.DUMMYFUNCTION("""COMPUTED_VALUE"""),5.325503668E9)</f>
        <v>5325503668</v>
      </c>
      <c r="G341" s="43" t="str">
        <f>IFERROR(__xludf.DUMMYFUNCTION("""COMPUTED_VALUE"""),"Turkey")</f>
        <v>Turkey</v>
      </c>
      <c r="H341" s="43" t="str">
        <f>IFERROR(__xludf.DUMMYFUNCTION("""COMPUTED_VALUE"""),"ISTANBUL WEST")</f>
        <v>ISTANBUL WEST</v>
      </c>
      <c r="I341" s="43" t="str">
        <f>IFERROR(__xludf.DUMMYFUNCTION("""COMPUTED_VALUE"""),"Sri Lanka")</f>
        <v>Sri Lanka</v>
      </c>
      <c r="J341" s="43" t="str">
        <f>IFERROR(__xludf.DUMMYFUNCTION("""COMPUTED_VALUE"""),"SLIIT")</f>
        <v>SLIIT</v>
      </c>
      <c r="K341" s="44" t="str">
        <f>IFERROR(__xludf.DUMMYFUNCTION("""COMPUTED_VALUE"""),"https://expa.aiesec.org/opportunities/1284312")</f>
        <v>https://expa.aiesec.org/opportunities/1284312</v>
      </c>
      <c r="L341" s="43" t="str">
        <f>IFERROR(__xludf.DUMMYFUNCTION("""COMPUTED_VALUE"""),"GV")</f>
        <v>GV</v>
      </c>
      <c r="M341" s="43" t="str">
        <f>IFERROR(__xludf.DUMMYFUNCTION("""COMPUTED_VALUE"""),"short")</f>
        <v>short</v>
      </c>
      <c r="N341" s="45">
        <f>IFERROR(__xludf.DUMMYFUNCTION("""COMPUTED_VALUE"""),44985.0)</f>
        <v>44985</v>
      </c>
      <c r="O341" s="45">
        <f>IFERROR(__xludf.DUMMYFUNCTION("""COMPUTED_VALUE"""),45119.0)</f>
        <v>45119</v>
      </c>
      <c r="P341" s="45">
        <f>IFERROR(__xludf.DUMMYFUNCTION("""COMPUTED_VALUE"""),45161.0)</f>
        <v>45161</v>
      </c>
      <c r="Q341" s="45"/>
      <c r="R341" s="45"/>
      <c r="S341" s="43"/>
      <c r="T341" s="43"/>
      <c r="U341" s="43" t="str">
        <f>IFERROR(__xludf.DUMMYFUNCTION("""COMPUTED_VALUE"""),"On The Map")</f>
        <v>On The Map</v>
      </c>
      <c r="V341" s="43" t="str">
        <f>IFERROR(__xludf.DUMMYFUNCTION("""COMPUTED_VALUE"""),"ISTANBUL - BAKIRKOY")</f>
        <v>ISTANBUL - BAKIRKOY</v>
      </c>
      <c r="W341" s="43" t="str">
        <f>IFERROR(__xludf.DUMMYFUNCTION("""COMPUTED_VALUE"""),"2023-02-24T17:41:13Z")</f>
        <v>2023-02-24T17:41:13Z</v>
      </c>
      <c r="X341" s="43"/>
      <c r="Y341" s="43"/>
      <c r="Z341" s="43"/>
    </row>
    <row r="342" hidden="1">
      <c r="A342" s="43" t="str">
        <f>IFERROR(__xludf.DUMMYFUNCTION("""COMPUTED_VALUE"""),"5197726_1289617")</f>
        <v>5197726_1289617</v>
      </c>
      <c r="B342" s="43" t="str">
        <f>IFERROR(__xludf.DUMMYFUNCTION("""COMPUTED_VALUE"""),"seda eşen")</f>
        <v>seda eşen</v>
      </c>
      <c r="C342" s="43" t="str">
        <f>IFERROR(__xludf.DUMMYFUNCTION("""COMPUTED_VALUE"""),"completed")</f>
        <v>completed</v>
      </c>
      <c r="D342" s="43" t="str">
        <f>IFERROR(__xludf.DUMMYFUNCTION("""COMPUTED_VALUE"""),"No")</f>
        <v>No</v>
      </c>
      <c r="E342" s="43" t="str">
        <f>IFERROR(__xludf.DUMMYFUNCTION("""COMPUTED_VALUE"""),"p_0335d771105092d34b7bccd285e6944b519832a8@inbound.aiesec.org")</f>
        <v>p_0335d771105092d34b7bccd285e6944b519832a8@inbound.aiesec.org</v>
      </c>
      <c r="F342" s="43">
        <f>IFERROR(__xludf.DUMMYFUNCTION("""COMPUTED_VALUE"""),5.435303473E9)</f>
        <v>5435303473</v>
      </c>
      <c r="G342" s="43" t="str">
        <f>IFERROR(__xludf.DUMMYFUNCTION("""COMPUTED_VALUE"""),"Turkey")</f>
        <v>Turkey</v>
      </c>
      <c r="H342" s="43" t="str">
        <f>IFERROR(__xludf.DUMMYFUNCTION("""COMPUTED_VALUE"""),"ANKARA")</f>
        <v>ANKARA</v>
      </c>
      <c r="I342" s="43" t="str">
        <f>IFERROR(__xludf.DUMMYFUNCTION("""COMPUTED_VALUE"""),"Egypt")</f>
        <v>Egypt</v>
      </c>
      <c r="J342" s="43" t="str">
        <f>IFERROR(__xludf.DUMMYFUNCTION("""COMPUTED_VALUE"""),"Helwan")</f>
        <v>Helwan</v>
      </c>
      <c r="K342" s="44" t="str">
        <f>IFERROR(__xludf.DUMMYFUNCTION("""COMPUTED_VALUE"""),"https://expa.aiesec.org/opportunities/1289617")</f>
        <v>https://expa.aiesec.org/opportunities/1289617</v>
      </c>
      <c r="L342" s="43" t="str">
        <f>IFERROR(__xludf.DUMMYFUNCTION("""COMPUTED_VALUE"""),"GV")</f>
        <v>GV</v>
      </c>
      <c r="M342" s="43" t="str">
        <f>IFERROR(__xludf.DUMMYFUNCTION("""COMPUTED_VALUE"""),"short")</f>
        <v>short</v>
      </c>
      <c r="N342" s="45">
        <f>IFERROR(__xludf.DUMMYFUNCTION("""COMPUTED_VALUE"""),44985.0)</f>
        <v>44985</v>
      </c>
      <c r="O342" s="45">
        <f>IFERROR(__xludf.DUMMYFUNCTION("""COMPUTED_VALUE"""),45123.0)</f>
        <v>45123</v>
      </c>
      <c r="P342" s="45">
        <f>IFERROR(__xludf.DUMMYFUNCTION("""COMPUTED_VALUE"""),45165.0)</f>
        <v>45165</v>
      </c>
      <c r="Q342" s="45">
        <f>IFERROR(__xludf.DUMMYFUNCTION("""COMPUTED_VALUE"""),45123.0)</f>
        <v>45123</v>
      </c>
      <c r="R342" s="45">
        <f>IFERROR(__xludf.DUMMYFUNCTION("""COMPUTED_VALUE"""),45165.0)</f>
        <v>45165</v>
      </c>
      <c r="S342" s="43"/>
      <c r="T342" s="43"/>
      <c r="U342" s="43" t="str">
        <f>IFERROR(__xludf.DUMMYFUNCTION("""COMPUTED_VALUE"""),"Fingerprint")</f>
        <v>Fingerprint</v>
      </c>
      <c r="V342" s="43" t="str">
        <f>IFERROR(__xludf.DUMMYFUNCTION("""COMPUTED_VALUE"""),"ANKARA")</f>
        <v>ANKARA</v>
      </c>
      <c r="W342" s="43" t="str">
        <f>IFERROR(__xludf.DUMMYFUNCTION("""COMPUTED_VALUE"""),"2023-02-23T17:37:26Z")</f>
        <v>2023-02-23T17:37:26Z</v>
      </c>
      <c r="X342" s="43"/>
      <c r="Y342" s="43"/>
      <c r="Z342" s="43"/>
    </row>
    <row r="343" hidden="1">
      <c r="A343" s="43" t="str">
        <f>IFERROR(__xludf.DUMMYFUNCTION("""COMPUTED_VALUE"""),"5181682_1290024")</f>
        <v>5181682_1290024</v>
      </c>
      <c r="B343" s="43" t="str">
        <f>IFERROR(__xludf.DUMMYFUNCTION("""COMPUTED_VALUE"""),"Betül Deniz Efe")</f>
        <v>Betül Deniz Efe</v>
      </c>
      <c r="C343" s="43" t="str">
        <f>IFERROR(__xludf.DUMMYFUNCTION("""COMPUTED_VALUE"""),"completed")</f>
        <v>completed</v>
      </c>
      <c r="D343" s="43" t="str">
        <f>IFERROR(__xludf.DUMMYFUNCTION("""COMPUTED_VALUE"""),"No")</f>
        <v>No</v>
      </c>
      <c r="E343" s="43" t="str">
        <f>IFERROR(__xludf.DUMMYFUNCTION("""COMPUTED_VALUE"""),"p_b7e2641f5d78c8d4a8c8622374000204c22880f5@inbound.aiesec.org")</f>
        <v>p_b7e2641f5d78c8d4a8c8622374000204c22880f5@inbound.aiesec.org</v>
      </c>
      <c r="F343" s="43">
        <f>IFERROR(__xludf.DUMMYFUNCTION("""COMPUTED_VALUE"""),5.309283505E9)</f>
        <v>5309283505</v>
      </c>
      <c r="G343" s="43" t="str">
        <f>IFERROR(__xludf.DUMMYFUNCTION("""COMPUTED_VALUE"""),"Turkey")</f>
        <v>Turkey</v>
      </c>
      <c r="H343" s="43" t="str">
        <f>IFERROR(__xludf.DUMMYFUNCTION("""COMPUTED_VALUE"""),"KUTAHYA")</f>
        <v>KUTAHYA</v>
      </c>
      <c r="I343" s="43" t="str">
        <f>IFERROR(__xludf.DUMMYFUNCTION("""COMPUTED_VALUE"""),"Egypt")</f>
        <v>Egypt</v>
      </c>
      <c r="J343" s="43" t="str">
        <f>IFERROR(__xludf.DUMMYFUNCTION("""COMPUTED_VALUE"""),"Ain Shams University")</f>
        <v>Ain Shams University</v>
      </c>
      <c r="K343" s="44" t="str">
        <f>IFERROR(__xludf.DUMMYFUNCTION("""COMPUTED_VALUE"""),"https://expa.aiesec.org/opportunities/1290024")</f>
        <v>https://expa.aiesec.org/opportunities/1290024</v>
      </c>
      <c r="L343" s="43" t="str">
        <f>IFERROR(__xludf.DUMMYFUNCTION("""COMPUTED_VALUE"""),"GV")</f>
        <v>GV</v>
      </c>
      <c r="M343" s="43" t="str">
        <f>IFERROR(__xludf.DUMMYFUNCTION("""COMPUTED_VALUE"""),"short")</f>
        <v>short</v>
      </c>
      <c r="N343" s="45">
        <f>IFERROR(__xludf.DUMMYFUNCTION("""COMPUTED_VALUE"""),44985.0)</f>
        <v>44985</v>
      </c>
      <c r="O343" s="45">
        <f>IFERROR(__xludf.DUMMYFUNCTION("""COMPUTED_VALUE"""),45108.0)</f>
        <v>45108</v>
      </c>
      <c r="P343" s="45">
        <f>IFERROR(__xludf.DUMMYFUNCTION("""COMPUTED_VALUE"""),45150.0)</f>
        <v>45150</v>
      </c>
      <c r="Q343" s="45">
        <f>IFERROR(__xludf.DUMMYFUNCTION("""COMPUTED_VALUE"""),45116.0)</f>
        <v>45116</v>
      </c>
      <c r="R343" s="45">
        <f>IFERROR(__xludf.DUMMYFUNCTION("""COMPUTED_VALUE"""),45158.0)</f>
        <v>45158</v>
      </c>
      <c r="S343" s="43"/>
      <c r="T343" s="43"/>
      <c r="U343" s="43" t="str">
        <f>IFERROR(__xludf.DUMMYFUNCTION("""COMPUTED_VALUE"""),"On The Map")</f>
        <v>On The Map</v>
      </c>
      <c r="V343" s="43" t="str">
        <f>IFERROR(__xludf.DUMMYFUNCTION("""COMPUTED_VALUE"""),"KUTAHYA")</f>
        <v>KUTAHYA</v>
      </c>
      <c r="W343" s="43" t="str">
        <f>IFERROR(__xludf.DUMMYFUNCTION("""COMPUTED_VALUE"""),"2023-01-28T15:51:48Z")</f>
        <v>2023-01-28T15:51:48Z</v>
      </c>
      <c r="X343" s="43"/>
      <c r="Y343" s="43"/>
      <c r="Z343" s="43"/>
    </row>
    <row r="344" hidden="1">
      <c r="A344" s="43" t="str">
        <f>IFERROR(__xludf.DUMMYFUNCTION("""COMPUTED_VALUE"""),"5147206_1292728")</f>
        <v>5147206_1292728</v>
      </c>
      <c r="B344" s="43" t="str">
        <f>IFERROR(__xludf.DUMMYFUNCTION("""COMPUTED_VALUE"""),"Duygu Kaya")</f>
        <v>Duygu Kaya</v>
      </c>
      <c r="C344" s="43" t="str">
        <f>IFERROR(__xludf.DUMMYFUNCTION("""COMPUTED_VALUE"""),"completed")</f>
        <v>completed</v>
      </c>
      <c r="D344" s="43" t="str">
        <f>IFERROR(__xludf.DUMMYFUNCTION("""COMPUTED_VALUE"""),"No")</f>
        <v>No</v>
      </c>
      <c r="E344" s="43" t="str">
        <f>IFERROR(__xludf.DUMMYFUNCTION("""COMPUTED_VALUE"""),"p_7839ba99e5e8285d773c69b8459752993d707833@inbound.aiesec.org")</f>
        <v>p_7839ba99e5e8285d773c69b8459752993d707833@inbound.aiesec.org</v>
      </c>
      <c r="F344" s="43"/>
      <c r="G344" s="43" t="str">
        <f>IFERROR(__xludf.DUMMYFUNCTION("""COMPUTED_VALUE"""),"Turkey")</f>
        <v>Turkey</v>
      </c>
      <c r="H344" s="43" t="str">
        <f>IFERROR(__xludf.DUMMYFUNCTION("""COMPUTED_VALUE"""),"İZMİR")</f>
        <v>İZMİR</v>
      </c>
      <c r="I344" s="43" t="str">
        <f>IFERROR(__xludf.DUMMYFUNCTION("""COMPUTED_VALUE"""),"Tunisia")</f>
        <v>Tunisia</v>
      </c>
      <c r="J344" s="43" t="str">
        <f>IFERROR(__xludf.DUMMYFUNCTION("""COMPUTED_VALUE"""),"NABEL")</f>
        <v>NABEL</v>
      </c>
      <c r="K344" s="44" t="str">
        <f>IFERROR(__xludf.DUMMYFUNCTION("""COMPUTED_VALUE"""),"https://expa.aiesec.org/opportunities/1292728")</f>
        <v>https://expa.aiesec.org/opportunities/1292728</v>
      </c>
      <c r="L344" s="43" t="str">
        <f>IFERROR(__xludf.DUMMYFUNCTION("""COMPUTED_VALUE"""),"GV")</f>
        <v>GV</v>
      </c>
      <c r="M344" s="43" t="str">
        <f>IFERROR(__xludf.DUMMYFUNCTION("""COMPUTED_VALUE"""),"short")</f>
        <v>short</v>
      </c>
      <c r="N344" s="45">
        <f>IFERROR(__xludf.DUMMYFUNCTION("""COMPUTED_VALUE"""),44986.0)</f>
        <v>44986</v>
      </c>
      <c r="O344" s="45">
        <f>IFERROR(__xludf.DUMMYFUNCTION("""COMPUTED_VALUE"""),45139.0)</f>
        <v>45139</v>
      </c>
      <c r="P344" s="45">
        <f>IFERROR(__xludf.DUMMYFUNCTION("""COMPUTED_VALUE"""),45181.0)</f>
        <v>45181</v>
      </c>
      <c r="Q344" s="45">
        <f>IFERROR(__xludf.DUMMYFUNCTION("""COMPUTED_VALUE"""),45138.0)</f>
        <v>45138</v>
      </c>
      <c r="R344" s="45">
        <f>IFERROR(__xludf.DUMMYFUNCTION("""COMPUTED_VALUE"""),45181.0)</f>
        <v>45181</v>
      </c>
      <c r="S344" s="43"/>
      <c r="T344" s="43"/>
      <c r="U344" s="43" t="str">
        <f>IFERROR(__xludf.DUMMYFUNCTION("""COMPUTED_VALUE"""),"Global Classroom")</f>
        <v>Global Classroom</v>
      </c>
      <c r="V344" s="43" t="str">
        <f>IFERROR(__xludf.DUMMYFUNCTION("""COMPUTED_VALUE"""),"-")</f>
        <v>-</v>
      </c>
      <c r="W344" s="43" t="str">
        <f>IFERROR(__xludf.DUMMYFUNCTION("""COMPUTED_VALUE"""),"2022-11-05T15:42:51Z")</f>
        <v>2022-11-05T15:42:51Z</v>
      </c>
      <c r="X344" s="43"/>
      <c r="Y344" s="43"/>
      <c r="Z344" s="43"/>
    </row>
    <row r="345" hidden="1">
      <c r="A345" s="43" t="str">
        <f>IFERROR(__xludf.DUMMYFUNCTION("""COMPUTED_VALUE"""),"5193221_1292719")</f>
        <v>5193221_1292719</v>
      </c>
      <c r="B345" s="43" t="str">
        <f>IFERROR(__xludf.DUMMYFUNCTION("""COMPUTED_VALUE"""),"zeynep sapancı")</f>
        <v>zeynep sapancı</v>
      </c>
      <c r="C345" s="43" t="str">
        <f>IFERROR(__xludf.DUMMYFUNCTION("""COMPUTED_VALUE"""),"completed")</f>
        <v>completed</v>
      </c>
      <c r="D345" s="43" t="str">
        <f>IFERROR(__xludf.DUMMYFUNCTION("""COMPUTED_VALUE"""),"No")</f>
        <v>No</v>
      </c>
      <c r="E345" s="43" t="str">
        <f>IFERROR(__xludf.DUMMYFUNCTION("""COMPUTED_VALUE"""),"p_0c586fddcf8aeac7687a1094f1788eeb061fb50f@inbound.aiesec.org")</f>
        <v>p_0c586fddcf8aeac7687a1094f1788eeb061fb50f@inbound.aiesec.org</v>
      </c>
      <c r="F345" s="43"/>
      <c r="G345" s="43" t="str">
        <f>IFERROR(__xludf.DUMMYFUNCTION("""COMPUTED_VALUE"""),"Turkey")</f>
        <v>Turkey</v>
      </c>
      <c r="H345" s="43" t="str">
        <f>IFERROR(__xludf.DUMMYFUNCTION("""COMPUTED_VALUE"""),"ISTANBUL")</f>
        <v>ISTANBUL</v>
      </c>
      <c r="I345" s="43" t="str">
        <f>IFERROR(__xludf.DUMMYFUNCTION("""COMPUTED_VALUE"""),"Italy")</f>
        <v>Italy</v>
      </c>
      <c r="J345" s="43" t="str">
        <f>IFERROR(__xludf.DUMMYFUNCTION("""COMPUTED_VALUE"""),"Venezia")</f>
        <v>Venezia</v>
      </c>
      <c r="K345" s="44" t="str">
        <f>IFERROR(__xludf.DUMMYFUNCTION("""COMPUTED_VALUE"""),"https://expa.aiesec.org/opportunities/1292719")</f>
        <v>https://expa.aiesec.org/opportunities/1292719</v>
      </c>
      <c r="L345" s="43" t="str">
        <f>IFERROR(__xludf.DUMMYFUNCTION("""COMPUTED_VALUE"""),"GV")</f>
        <v>GV</v>
      </c>
      <c r="M345" s="43" t="str">
        <f>IFERROR(__xludf.DUMMYFUNCTION("""COMPUTED_VALUE"""),"short")</f>
        <v>short</v>
      </c>
      <c r="N345" s="45">
        <f>IFERROR(__xludf.DUMMYFUNCTION("""COMPUTED_VALUE"""),44986.0)</f>
        <v>44986</v>
      </c>
      <c r="O345" s="45">
        <f>IFERROR(__xludf.DUMMYFUNCTION("""COMPUTED_VALUE"""),45089.0)</f>
        <v>45089</v>
      </c>
      <c r="P345" s="45">
        <f>IFERROR(__xludf.DUMMYFUNCTION("""COMPUTED_VALUE"""),45131.0)</f>
        <v>45131</v>
      </c>
      <c r="Q345" s="45">
        <f>IFERROR(__xludf.DUMMYFUNCTION("""COMPUTED_VALUE"""),45089.0)</f>
        <v>45089</v>
      </c>
      <c r="R345" s="45">
        <f>IFERROR(__xludf.DUMMYFUNCTION("""COMPUTED_VALUE"""),45131.0)</f>
        <v>45131</v>
      </c>
      <c r="S345" s="43"/>
      <c r="T345" s="43"/>
      <c r="U345" s="43" t="str">
        <f>IFERROR(__xludf.DUMMYFUNCTION("""COMPUTED_VALUE"""),"Green Leaders")</f>
        <v>Green Leaders</v>
      </c>
      <c r="V345" s="43" t="str">
        <f>IFERROR(__xludf.DUMMYFUNCTION("""COMPUTED_VALUE"""),"-")</f>
        <v>-</v>
      </c>
      <c r="W345" s="43" t="str">
        <f>IFERROR(__xludf.DUMMYFUNCTION("""COMPUTED_VALUE"""),"2023-02-17T17:34:09Z")</f>
        <v>2023-02-17T17:34:09Z</v>
      </c>
      <c r="X345" s="43"/>
      <c r="Y345" s="43"/>
      <c r="Z345" s="43"/>
    </row>
    <row r="346" hidden="1">
      <c r="A346" s="43" t="str">
        <f>IFERROR(__xludf.DUMMYFUNCTION("""COMPUTED_VALUE"""),"5199696_1290282")</f>
        <v>5199696_1290282</v>
      </c>
      <c r="B346" s="43" t="str">
        <f>IFERROR(__xludf.DUMMYFUNCTION("""COMPUTED_VALUE"""),"Düşlem Menteş")</f>
        <v>Düşlem Menteş</v>
      </c>
      <c r="C346" s="43" t="str">
        <f>IFERROR(__xludf.DUMMYFUNCTION("""COMPUTED_VALUE"""),"approved")</f>
        <v>approved</v>
      </c>
      <c r="D346" s="43" t="str">
        <f>IFERROR(__xludf.DUMMYFUNCTION("""COMPUTED_VALUE"""),"No")</f>
        <v>No</v>
      </c>
      <c r="E346" s="43" t="str">
        <f>IFERROR(__xludf.DUMMYFUNCTION("""COMPUTED_VALUE"""),"p_41feaa599a8ad82b3441374903ef1136ed44fd61@inbound.aiesec.org")</f>
        <v>p_41feaa599a8ad82b3441374903ef1136ed44fd61@inbound.aiesec.org</v>
      </c>
      <c r="F346" s="43">
        <f>IFERROR(__xludf.DUMMYFUNCTION("""COMPUTED_VALUE"""),5.422921005E9)</f>
        <v>5422921005</v>
      </c>
      <c r="G346" s="43" t="str">
        <f>IFERROR(__xludf.DUMMYFUNCTION("""COMPUTED_VALUE"""),"Turkey")</f>
        <v>Turkey</v>
      </c>
      <c r="H346" s="43" t="str">
        <f>IFERROR(__xludf.DUMMYFUNCTION("""COMPUTED_VALUE"""),"KOCAELI")</f>
        <v>KOCAELI</v>
      </c>
      <c r="I346" s="43" t="str">
        <f>IFERROR(__xludf.DUMMYFUNCTION("""COMPUTED_VALUE"""),"Egypt")</f>
        <v>Egypt</v>
      </c>
      <c r="J346" s="43" t="str">
        <f>IFERROR(__xludf.DUMMYFUNCTION("""COMPUTED_VALUE"""),"GUC")</f>
        <v>GUC</v>
      </c>
      <c r="K346" s="44" t="str">
        <f>IFERROR(__xludf.DUMMYFUNCTION("""COMPUTED_VALUE"""),"https://expa.aiesec.org/opportunities/1290282")</f>
        <v>https://expa.aiesec.org/opportunities/1290282</v>
      </c>
      <c r="L346" s="43" t="str">
        <f>IFERROR(__xludf.DUMMYFUNCTION("""COMPUTED_VALUE"""),"GV")</f>
        <v>GV</v>
      </c>
      <c r="M346" s="43" t="str">
        <f>IFERROR(__xludf.DUMMYFUNCTION("""COMPUTED_VALUE"""),"short")</f>
        <v>short</v>
      </c>
      <c r="N346" s="45">
        <f>IFERROR(__xludf.DUMMYFUNCTION("""COMPUTED_VALUE"""),44986.0)</f>
        <v>44986</v>
      </c>
      <c r="O346" s="45">
        <f>IFERROR(__xludf.DUMMYFUNCTION("""COMPUTED_VALUE"""),45122.0)</f>
        <v>45122</v>
      </c>
      <c r="P346" s="45">
        <f>IFERROR(__xludf.DUMMYFUNCTION("""COMPUTED_VALUE"""),45164.0)</f>
        <v>45164</v>
      </c>
      <c r="Q346" s="45"/>
      <c r="R346" s="45"/>
      <c r="S346" s="43"/>
      <c r="T346" s="43"/>
      <c r="U346" s="43" t="str">
        <f>IFERROR(__xludf.DUMMYFUNCTION("""COMPUTED_VALUE"""),"On The Map")</f>
        <v>On The Map</v>
      </c>
      <c r="V346" s="43" t="str">
        <f>IFERROR(__xludf.DUMMYFUNCTION("""COMPUTED_VALUE"""),"KARABUK")</f>
        <v>KARABUK</v>
      </c>
      <c r="W346" s="43" t="str">
        <f>IFERROR(__xludf.DUMMYFUNCTION("""COMPUTED_VALUE"""),"2023-02-26T16:00:42Z")</f>
        <v>2023-02-26T16:00:42Z</v>
      </c>
      <c r="X346" s="43"/>
      <c r="Y346" s="43"/>
      <c r="Z346" s="43"/>
    </row>
    <row r="347" hidden="1">
      <c r="A347" s="43" t="str">
        <f>IFERROR(__xludf.DUMMYFUNCTION("""COMPUTED_VALUE"""),"5180398_1292501")</f>
        <v>5180398_1292501</v>
      </c>
      <c r="B347" s="43" t="str">
        <f>IFERROR(__xludf.DUMMYFUNCTION("""COMPUTED_VALUE"""),"Nursena Yıldız")</f>
        <v>Nursena Yıldız</v>
      </c>
      <c r="C347" s="43" t="str">
        <f>IFERROR(__xludf.DUMMYFUNCTION("""COMPUTED_VALUE"""),"approved")</f>
        <v>approved</v>
      </c>
      <c r="D347" s="43" t="str">
        <f>IFERROR(__xludf.DUMMYFUNCTION("""COMPUTED_VALUE"""),"No")</f>
        <v>No</v>
      </c>
      <c r="E347" s="43" t="str">
        <f>IFERROR(__xludf.DUMMYFUNCTION("""COMPUTED_VALUE"""),"p_71b8e489fcb3105c83d6966b708aa25ee0e9f685@inbound.aiesec.org")</f>
        <v>p_71b8e489fcb3105c83d6966b708aa25ee0e9f685@inbound.aiesec.org</v>
      </c>
      <c r="F347" s="43">
        <f>IFERROR(__xludf.DUMMYFUNCTION("""COMPUTED_VALUE"""),5.392140529E9)</f>
        <v>5392140529</v>
      </c>
      <c r="G347" s="43" t="str">
        <f>IFERROR(__xludf.DUMMYFUNCTION("""COMPUTED_VALUE"""),"Turkey")</f>
        <v>Turkey</v>
      </c>
      <c r="H347" s="43" t="str">
        <f>IFERROR(__xludf.DUMMYFUNCTION("""COMPUTED_VALUE"""),"DENIZLI")</f>
        <v>DENIZLI</v>
      </c>
      <c r="I347" s="43" t="str">
        <f>IFERROR(__xludf.DUMMYFUNCTION("""COMPUTED_VALUE"""),"Egypt")</f>
        <v>Egypt</v>
      </c>
      <c r="J347" s="43" t="str">
        <f>IFERROR(__xludf.DUMMYFUNCTION("""COMPUTED_VALUE"""),"AAST In CAIRO")</f>
        <v>AAST In CAIRO</v>
      </c>
      <c r="K347" s="44" t="str">
        <f>IFERROR(__xludf.DUMMYFUNCTION("""COMPUTED_VALUE"""),"https://expa.aiesec.org/opportunities/1292501")</f>
        <v>https://expa.aiesec.org/opportunities/1292501</v>
      </c>
      <c r="L347" s="43" t="str">
        <f>IFERROR(__xludf.DUMMYFUNCTION("""COMPUTED_VALUE"""),"GV")</f>
        <v>GV</v>
      </c>
      <c r="M347" s="43" t="str">
        <f>IFERROR(__xludf.DUMMYFUNCTION("""COMPUTED_VALUE"""),"short")</f>
        <v>short</v>
      </c>
      <c r="N347" s="45">
        <f>IFERROR(__xludf.DUMMYFUNCTION("""COMPUTED_VALUE"""),44986.0)</f>
        <v>44986</v>
      </c>
      <c r="O347" s="45">
        <f>IFERROR(__xludf.DUMMYFUNCTION("""COMPUTED_VALUE"""),45122.0)</f>
        <v>45122</v>
      </c>
      <c r="P347" s="45">
        <f>IFERROR(__xludf.DUMMYFUNCTION("""COMPUTED_VALUE"""),45164.0)</f>
        <v>45164</v>
      </c>
      <c r="Q347" s="45"/>
      <c r="R347" s="45"/>
      <c r="S347" s="43"/>
      <c r="T347" s="43"/>
      <c r="U347" s="43" t="str">
        <f>IFERROR(__xludf.DUMMYFUNCTION("""COMPUTED_VALUE"""),"Skill Up!")</f>
        <v>Skill Up!</v>
      </c>
      <c r="V347" s="43" t="str">
        <f>IFERROR(__xludf.DUMMYFUNCTION("""COMPUTED_VALUE"""),"DENIZLI")</f>
        <v>DENIZLI</v>
      </c>
      <c r="W347" s="43" t="str">
        <f>IFERROR(__xludf.DUMMYFUNCTION("""COMPUTED_VALUE"""),"2023-01-25T13:02:51Z")</f>
        <v>2023-01-25T13:02:51Z</v>
      </c>
      <c r="X347" s="43"/>
      <c r="Y347" s="43"/>
      <c r="Z347" s="43"/>
    </row>
    <row r="348" hidden="1">
      <c r="A348" s="43" t="str">
        <f>IFERROR(__xludf.DUMMYFUNCTION("""COMPUTED_VALUE"""),"5179360_1292501")</f>
        <v>5179360_1292501</v>
      </c>
      <c r="B348" s="43" t="str">
        <f>IFERROR(__xludf.DUMMYFUNCTION("""COMPUTED_VALUE"""),"Elanur Ekim")</f>
        <v>Elanur Ekim</v>
      </c>
      <c r="C348" s="43" t="str">
        <f>IFERROR(__xludf.DUMMYFUNCTION("""COMPUTED_VALUE"""),"approved")</f>
        <v>approved</v>
      </c>
      <c r="D348" s="43" t="str">
        <f>IFERROR(__xludf.DUMMYFUNCTION("""COMPUTED_VALUE"""),"No")</f>
        <v>No</v>
      </c>
      <c r="E348" s="43" t="str">
        <f>IFERROR(__xludf.DUMMYFUNCTION("""COMPUTED_VALUE"""),"p_a9a4a4db6593428cc94539c5ac02f588184f5aa3@inbound.aiesec.org")</f>
        <v>p_a9a4a4db6593428cc94539c5ac02f588184f5aa3@inbound.aiesec.org</v>
      </c>
      <c r="F348" s="43">
        <f>IFERROR(__xludf.DUMMYFUNCTION("""COMPUTED_VALUE"""),5.060644041E9)</f>
        <v>5060644041</v>
      </c>
      <c r="G348" s="43" t="str">
        <f>IFERROR(__xludf.DUMMYFUNCTION("""COMPUTED_VALUE"""),"Turkey")</f>
        <v>Turkey</v>
      </c>
      <c r="H348" s="43" t="str">
        <f>IFERROR(__xludf.DUMMYFUNCTION("""COMPUTED_VALUE"""),"DENIZLI")</f>
        <v>DENIZLI</v>
      </c>
      <c r="I348" s="43" t="str">
        <f>IFERROR(__xludf.DUMMYFUNCTION("""COMPUTED_VALUE"""),"Egypt")</f>
        <v>Egypt</v>
      </c>
      <c r="J348" s="43" t="str">
        <f>IFERROR(__xludf.DUMMYFUNCTION("""COMPUTED_VALUE"""),"AAST In CAIRO")</f>
        <v>AAST In CAIRO</v>
      </c>
      <c r="K348" s="44" t="str">
        <f>IFERROR(__xludf.DUMMYFUNCTION("""COMPUTED_VALUE"""),"https://expa.aiesec.org/opportunities/1292501")</f>
        <v>https://expa.aiesec.org/opportunities/1292501</v>
      </c>
      <c r="L348" s="43" t="str">
        <f>IFERROR(__xludf.DUMMYFUNCTION("""COMPUTED_VALUE"""),"GV")</f>
        <v>GV</v>
      </c>
      <c r="M348" s="43" t="str">
        <f>IFERROR(__xludf.DUMMYFUNCTION("""COMPUTED_VALUE"""),"short")</f>
        <v>short</v>
      </c>
      <c r="N348" s="45">
        <f>IFERROR(__xludf.DUMMYFUNCTION("""COMPUTED_VALUE"""),44986.0)</f>
        <v>44986</v>
      </c>
      <c r="O348" s="45">
        <f>IFERROR(__xludf.DUMMYFUNCTION("""COMPUTED_VALUE"""),45122.0)</f>
        <v>45122</v>
      </c>
      <c r="P348" s="45">
        <f>IFERROR(__xludf.DUMMYFUNCTION("""COMPUTED_VALUE"""),45164.0)</f>
        <v>45164</v>
      </c>
      <c r="Q348" s="45"/>
      <c r="R348" s="45"/>
      <c r="S348" s="43"/>
      <c r="T348" s="43"/>
      <c r="U348" s="43" t="str">
        <f>IFERROR(__xludf.DUMMYFUNCTION("""COMPUTED_VALUE"""),"Skill Up!")</f>
        <v>Skill Up!</v>
      </c>
      <c r="V348" s="43" t="str">
        <f>IFERROR(__xludf.DUMMYFUNCTION("""COMPUTED_VALUE"""),"DENIZLI")</f>
        <v>DENIZLI</v>
      </c>
      <c r="W348" s="43" t="str">
        <f>IFERROR(__xludf.DUMMYFUNCTION("""COMPUTED_VALUE"""),"2023-01-22T13:53:16Z")</f>
        <v>2023-01-22T13:53:16Z</v>
      </c>
      <c r="X348" s="43"/>
      <c r="Y348" s="43"/>
      <c r="Z348" s="43"/>
    </row>
    <row r="349" hidden="1">
      <c r="A349" s="43" t="str">
        <f>IFERROR(__xludf.DUMMYFUNCTION("""COMPUTED_VALUE"""),"5139260_1281344")</f>
        <v>5139260_1281344</v>
      </c>
      <c r="B349" s="43" t="str">
        <f>IFERROR(__xludf.DUMMYFUNCTION("""COMPUTED_VALUE"""),"Melis Karslıgil")</f>
        <v>Melis Karslıgil</v>
      </c>
      <c r="C349" s="43" t="str">
        <f>IFERROR(__xludf.DUMMYFUNCTION("""COMPUTED_VALUE"""),"completed")</f>
        <v>completed</v>
      </c>
      <c r="D349" s="43" t="str">
        <f>IFERROR(__xludf.DUMMYFUNCTION("""COMPUTED_VALUE"""),"No")</f>
        <v>No</v>
      </c>
      <c r="E349" s="43" t="str">
        <f>IFERROR(__xludf.DUMMYFUNCTION("""COMPUTED_VALUE"""),"p_5fab9a4a351f6f1f70afd6f12e7bba99ef10168f@inbound.aiesec.org")</f>
        <v>p_5fab9a4a351f6f1f70afd6f12e7bba99ef10168f@inbound.aiesec.org</v>
      </c>
      <c r="F349" s="43">
        <f>IFERROR(__xludf.DUMMYFUNCTION("""COMPUTED_VALUE"""),5.330328104E9)</f>
        <v>5330328104</v>
      </c>
      <c r="G349" s="43" t="str">
        <f>IFERROR(__xludf.DUMMYFUNCTION("""COMPUTED_VALUE"""),"Turkey")</f>
        <v>Turkey</v>
      </c>
      <c r="H349" s="43" t="str">
        <f>IFERROR(__xludf.DUMMYFUNCTION("""COMPUTED_VALUE"""),"ANKARA")</f>
        <v>ANKARA</v>
      </c>
      <c r="I349" s="43" t="str">
        <f>IFERROR(__xludf.DUMMYFUNCTION("""COMPUTED_VALUE"""),"Sri Lanka")</f>
        <v>Sri Lanka</v>
      </c>
      <c r="J349" s="43" t="str">
        <f>IFERROR(__xludf.DUMMYFUNCTION("""COMPUTED_VALUE"""),"USJ")</f>
        <v>USJ</v>
      </c>
      <c r="K349" s="44" t="str">
        <f>IFERROR(__xludf.DUMMYFUNCTION("""COMPUTED_VALUE"""),"https://expa.aiesec.org/opportunities/1281344")</f>
        <v>https://expa.aiesec.org/opportunities/1281344</v>
      </c>
      <c r="L349" s="43" t="str">
        <f>IFERROR(__xludf.DUMMYFUNCTION("""COMPUTED_VALUE"""),"GV")</f>
        <v>GV</v>
      </c>
      <c r="M349" s="43" t="str">
        <f>IFERROR(__xludf.DUMMYFUNCTION("""COMPUTED_VALUE"""),"short")</f>
        <v>short</v>
      </c>
      <c r="N349" s="45">
        <f>IFERROR(__xludf.DUMMYFUNCTION("""COMPUTED_VALUE"""),44986.0)</f>
        <v>44986</v>
      </c>
      <c r="O349" s="45">
        <f>IFERROR(__xludf.DUMMYFUNCTION("""COMPUTED_VALUE"""),45103.0)</f>
        <v>45103</v>
      </c>
      <c r="P349" s="45">
        <f>IFERROR(__xludf.DUMMYFUNCTION("""COMPUTED_VALUE"""),45145.0)</f>
        <v>45145</v>
      </c>
      <c r="Q349" s="45">
        <f>IFERROR(__xludf.DUMMYFUNCTION("""COMPUTED_VALUE"""),45105.0)</f>
        <v>45105</v>
      </c>
      <c r="R349" s="45">
        <f>IFERROR(__xludf.DUMMYFUNCTION("""COMPUTED_VALUE"""),45145.0)</f>
        <v>45145</v>
      </c>
      <c r="S349" s="43"/>
      <c r="T349" s="43"/>
      <c r="U349" s="43" t="str">
        <f>IFERROR(__xludf.DUMMYFUNCTION("""COMPUTED_VALUE"""),"On The Map")</f>
        <v>On The Map</v>
      </c>
      <c r="V349" s="43" t="str">
        <f>IFERROR(__xludf.DUMMYFUNCTION("""COMPUTED_VALUE"""),"ANKARA")</f>
        <v>ANKARA</v>
      </c>
      <c r="W349" s="43" t="str">
        <f>IFERROR(__xludf.DUMMYFUNCTION("""COMPUTED_VALUE"""),"2022-10-24T07:37:39Z")</f>
        <v>2022-10-24T07:37:39Z</v>
      </c>
      <c r="X349" s="43"/>
      <c r="Y349" s="43"/>
      <c r="Z349" s="43"/>
    </row>
    <row r="350" hidden="1">
      <c r="A350" s="43" t="str">
        <f>IFERROR(__xludf.DUMMYFUNCTION("""COMPUTED_VALUE"""),"4775934_1284541")</f>
        <v>4775934_1284541</v>
      </c>
      <c r="B350" s="43" t="str">
        <f>IFERROR(__xludf.DUMMYFUNCTION("""COMPUTED_VALUE"""),"İrem Nazlı")</f>
        <v>İrem Nazlı</v>
      </c>
      <c r="C350" s="43" t="str">
        <f>IFERROR(__xludf.DUMMYFUNCTION("""COMPUTED_VALUE"""),"approved")</f>
        <v>approved</v>
      </c>
      <c r="D350" s="43" t="str">
        <f>IFERROR(__xludf.DUMMYFUNCTION("""COMPUTED_VALUE"""),"No")</f>
        <v>No</v>
      </c>
      <c r="E350" s="43" t="str">
        <f>IFERROR(__xludf.DUMMYFUNCTION("""COMPUTED_VALUE"""),"p_121482106da975ad9f894908cb06b708058ce864@inbound.aiesec.org")</f>
        <v>p_121482106da975ad9f894908cb06b708058ce864@inbound.aiesec.org</v>
      </c>
      <c r="F350" s="43">
        <f>IFERROR(__xludf.DUMMYFUNCTION("""COMPUTED_VALUE"""),5.398646437E9)</f>
        <v>5398646437</v>
      </c>
      <c r="G350" s="43" t="str">
        <f>IFERROR(__xludf.DUMMYFUNCTION("""COMPUTED_VALUE"""),"Turkey")</f>
        <v>Turkey</v>
      </c>
      <c r="H350" s="43" t="str">
        <f>IFERROR(__xludf.DUMMYFUNCTION("""COMPUTED_VALUE"""),"ISTANBUL WEST")</f>
        <v>ISTANBUL WEST</v>
      </c>
      <c r="I350" s="43" t="str">
        <f>IFERROR(__xludf.DUMMYFUNCTION("""COMPUTED_VALUE"""),"India")</f>
        <v>India</v>
      </c>
      <c r="J350" s="43" t="str">
        <f>IFERROR(__xludf.DUMMYFUNCTION("""COMPUTED_VALUE"""),"JAIPUR ")</f>
        <v>JAIPUR </v>
      </c>
      <c r="K350" s="44" t="str">
        <f>IFERROR(__xludf.DUMMYFUNCTION("""COMPUTED_VALUE"""),"https://expa.aiesec.org/opportunities/1284541")</f>
        <v>https://expa.aiesec.org/opportunities/1284541</v>
      </c>
      <c r="L350" s="43" t="str">
        <f>IFERROR(__xludf.DUMMYFUNCTION("""COMPUTED_VALUE"""),"GV")</f>
        <v>GV</v>
      </c>
      <c r="M350" s="43" t="str">
        <f>IFERROR(__xludf.DUMMYFUNCTION("""COMPUTED_VALUE"""),"short")</f>
        <v>short</v>
      </c>
      <c r="N350" s="45">
        <f>IFERROR(__xludf.DUMMYFUNCTION("""COMPUTED_VALUE"""),44986.0)</f>
        <v>44986</v>
      </c>
      <c r="O350" s="45">
        <f>IFERROR(__xludf.DUMMYFUNCTION("""COMPUTED_VALUE"""),45276.0)</f>
        <v>45276</v>
      </c>
      <c r="P350" s="45">
        <f>IFERROR(__xludf.DUMMYFUNCTION("""COMPUTED_VALUE"""),45318.0)</f>
        <v>45318</v>
      </c>
      <c r="Q350" s="45"/>
      <c r="R350" s="45"/>
      <c r="S350" s="43"/>
      <c r="T350" s="43"/>
      <c r="U350" s="43" t="str">
        <f>IFERROR(__xludf.DUMMYFUNCTION("""COMPUTED_VALUE"""),"Global Classroom")</f>
        <v>Global Classroom</v>
      </c>
      <c r="V350" s="43" t="str">
        <f>IFERROR(__xludf.DUMMYFUNCTION("""COMPUTED_VALUE"""),"ISTANBUL - BAKIRKOY")</f>
        <v>ISTANBUL - BAKIRKOY</v>
      </c>
      <c r="W350" s="43" t="str">
        <f>IFERROR(__xludf.DUMMYFUNCTION("""COMPUTED_VALUE"""),"2021-10-27T15:43:37Z")</f>
        <v>2021-10-27T15:43:37Z</v>
      </c>
      <c r="X350" s="43"/>
      <c r="Y350" s="43"/>
      <c r="Z350" s="43"/>
    </row>
    <row r="351" hidden="1">
      <c r="A351" s="43" t="str">
        <f>IFERROR(__xludf.DUMMYFUNCTION("""COMPUTED_VALUE"""),"5170333_1292818")</f>
        <v>5170333_1292818</v>
      </c>
      <c r="B351" s="43" t="str">
        <f>IFERROR(__xludf.DUMMYFUNCTION("""COMPUTED_VALUE"""),"Zeynep Sıla Akın")</f>
        <v>Zeynep Sıla Akın</v>
      </c>
      <c r="C351" s="43" t="str">
        <f>IFERROR(__xludf.DUMMYFUNCTION("""COMPUTED_VALUE"""),"finished")</f>
        <v>finished</v>
      </c>
      <c r="D351" s="43" t="str">
        <f>IFERROR(__xludf.DUMMYFUNCTION("""COMPUTED_VALUE"""),"No")</f>
        <v>No</v>
      </c>
      <c r="E351" s="43" t="str">
        <f>IFERROR(__xludf.DUMMYFUNCTION("""COMPUTED_VALUE"""),"p_c53ecc1fd79e4c1c9be95433383ca5ae6f4f36db@inbound.aiesec.org")</f>
        <v>p_c53ecc1fd79e4c1c9be95433383ca5ae6f4f36db@inbound.aiesec.org</v>
      </c>
      <c r="F351" s="43"/>
      <c r="G351" s="43" t="str">
        <f>IFERROR(__xludf.DUMMYFUNCTION("""COMPUTED_VALUE"""),"Turkey")</f>
        <v>Turkey</v>
      </c>
      <c r="H351" s="43" t="str">
        <f>IFERROR(__xludf.DUMMYFUNCTION("""COMPUTED_VALUE"""),"ANKARA")</f>
        <v>ANKARA</v>
      </c>
      <c r="I351" s="43" t="str">
        <f>IFERROR(__xludf.DUMMYFUNCTION("""COMPUTED_VALUE"""),"Tunisia")</f>
        <v>Tunisia</v>
      </c>
      <c r="J351" s="43" t="str">
        <f>IFERROR(__xludf.DUMMYFUNCTION("""COMPUTED_VALUE"""),"NABEL")</f>
        <v>NABEL</v>
      </c>
      <c r="K351" s="44" t="str">
        <f>IFERROR(__xludf.DUMMYFUNCTION("""COMPUTED_VALUE"""),"https://expa.aiesec.org/opportunities/1292818")</f>
        <v>https://expa.aiesec.org/opportunities/1292818</v>
      </c>
      <c r="L351" s="43" t="str">
        <f>IFERROR(__xludf.DUMMYFUNCTION("""COMPUTED_VALUE"""),"GV")</f>
        <v>GV</v>
      </c>
      <c r="M351" s="43" t="str">
        <f>IFERROR(__xludf.DUMMYFUNCTION("""COMPUTED_VALUE"""),"short")</f>
        <v>short</v>
      </c>
      <c r="N351" s="45">
        <f>IFERROR(__xludf.DUMMYFUNCTION("""COMPUTED_VALUE"""),44987.0)</f>
        <v>44987</v>
      </c>
      <c r="O351" s="45">
        <f>IFERROR(__xludf.DUMMYFUNCTION("""COMPUTED_VALUE"""),45108.0)</f>
        <v>45108</v>
      </c>
      <c r="P351" s="45">
        <f>IFERROR(__xludf.DUMMYFUNCTION("""COMPUTED_VALUE"""),45150.0)</f>
        <v>45150</v>
      </c>
      <c r="Q351" s="45">
        <f>IFERROR(__xludf.DUMMYFUNCTION("""COMPUTED_VALUE"""),45108.0)</f>
        <v>45108</v>
      </c>
      <c r="R351" s="45">
        <f>IFERROR(__xludf.DUMMYFUNCTION("""COMPUTED_VALUE"""),45150.0)</f>
        <v>45150</v>
      </c>
      <c r="S351" s="43"/>
      <c r="T351" s="43"/>
      <c r="U351" s="43" t="str">
        <f>IFERROR(__xludf.DUMMYFUNCTION("""COMPUTED_VALUE"""),"Rooted")</f>
        <v>Rooted</v>
      </c>
      <c r="V351" s="43" t="str">
        <f>IFERROR(__xludf.DUMMYFUNCTION("""COMPUTED_VALUE"""),"-")</f>
        <v>-</v>
      </c>
      <c r="W351" s="43" t="str">
        <f>IFERROR(__xludf.DUMMYFUNCTION("""COMPUTED_VALUE"""),"2022-12-26T12:59:41Z")</f>
        <v>2022-12-26T12:59:41Z</v>
      </c>
      <c r="X351" s="43"/>
      <c r="Y351" s="43"/>
      <c r="Z351" s="43"/>
    </row>
    <row r="352" hidden="1">
      <c r="A352" s="43" t="str">
        <f>IFERROR(__xludf.DUMMYFUNCTION("""COMPUTED_VALUE"""),"5202973_1281231")</f>
        <v>5202973_1281231</v>
      </c>
      <c r="B352" s="43" t="str">
        <f>IFERROR(__xludf.DUMMYFUNCTION("""COMPUTED_VALUE"""),"Ekrem Sert")</f>
        <v>Ekrem Sert</v>
      </c>
      <c r="C352" s="43" t="str">
        <f>IFERROR(__xludf.DUMMYFUNCTION("""COMPUTED_VALUE"""),"approved")</f>
        <v>approved</v>
      </c>
      <c r="D352" s="43" t="str">
        <f>IFERROR(__xludf.DUMMYFUNCTION("""COMPUTED_VALUE"""),"No")</f>
        <v>No</v>
      </c>
      <c r="E352" s="43" t="str">
        <f>IFERROR(__xludf.DUMMYFUNCTION("""COMPUTED_VALUE"""),"p_2bb099836270afe4722ceac239f68ab9908029a1@inbound.aiesec.org")</f>
        <v>p_2bb099836270afe4722ceac239f68ab9908029a1@inbound.aiesec.org</v>
      </c>
      <c r="F352" s="43"/>
      <c r="G352" s="43" t="str">
        <f>IFERROR(__xludf.DUMMYFUNCTION("""COMPUTED_VALUE"""),"Turkey")</f>
        <v>Turkey</v>
      </c>
      <c r="H352" s="43" t="str">
        <f>IFERROR(__xludf.DUMMYFUNCTION("""COMPUTED_VALUE"""),"SAKARYA")</f>
        <v>SAKARYA</v>
      </c>
      <c r="I352" s="43" t="str">
        <f>IFERROR(__xludf.DUMMYFUNCTION("""COMPUTED_VALUE"""),"India")</f>
        <v>India</v>
      </c>
      <c r="J352" s="43" t="str">
        <f>IFERROR(__xludf.DUMMYFUNCTION("""COMPUTED_VALUE"""),"Dehradun")</f>
        <v>Dehradun</v>
      </c>
      <c r="K352" s="44" t="str">
        <f>IFERROR(__xludf.DUMMYFUNCTION("""COMPUTED_VALUE"""),"https://expa.aiesec.org/opportunities/1281231")</f>
        <v>https://expa.aiesec.org/opportunities/1281231</v>
      </c>
      <c r="L352" s="43" t="str">
        <f>IFERROR(__xludf.DUMMYFUNCTION("""COMPUTED_VALUE"""),"GV")</f>
        <v>GV</v>
      </c>
      <c r="M352" s="43" t="str">
        <f>IFERROR(__xludf.DUMMYFUNCTION("""COMPUTED_VALUE"""),"short")</f>
        <v>short</v>
      </c>
      <c r="N352" s="45">
        <f>IFERROR(__xludf.DUMMYFUNCTION("""COMPUTED_VALUE"""),44988.0)</f>
        <v>44988</v>
      </c>
      <c r="O352" s="45">
        <f>IFERROR(__xludf.DUMMYFUNCTION("""COMPUTED_VALUE"""),45122.0)</f>
        <v>45122</v>
      </c>
      <c r="P352" s="45">
        <f>IFERROR(__xludf.DUMMYFUNCTION("""COMPUTED_VALUE"""),45164.0)</f>
        <v>45164</v>
      </c>
      <c r="Q352" s="45"/>
      <c r="R352" s="45"/>
      <c r="S352" s="43"/>
      <c r="T352" s="43"/>
      <c r="U352" s="43" t="str">
        <f>IFERROR(__xludf.DUMMYFUNCTION("""COMPUTED_VALUE"""),"Skill Up!")</f>
        <v>Skill Up!</v>
      </c>
      <c r="V352" s="43" t="str">
        <f>IFERROR(__xludf.DUMMYFUNCTION("""COMPUTED_VALUE"""),"-")</f>
        <v>-</v>
      </c>
      <c r="W352" s="43" t="str">
        <f>IFERROR(__xludf.DUMMYFUNCTION("""COMPUTED_VALUE"""),"2023-03-01T20:42:51Z")</f>
        <v>2023-03-01T20:42:51Z</v>
      </c>
      <c r="X352" s="43"/>
      <c r="Y352" s="43"/>
      <c r="Z352" s="43"/>
    </row>
    <row r="353" hidden="1">
      <c r="A353" s="43" t="str">
        <f>IFERROR(__xludf.DUMMYFUNCTION("""COMPUTED_VALUE"""),"5193494_1290642")</f>
        <v>5193494_1290642</v>
      </c>
      <c r="B353" s="43" t="str">
        <f>IFERROR(__xludf.DUMMYFUNCTION("""COMPUTED_VALUE"""),"Fatih Türken KIRTAY")</f>
        <v>Fatih Türken KIRTAY</v>
      </c>
      <c r="C353" s="43" t="str">
        <f>IFERROR(__xludf.DUMMYFUNCTION("""COMPUTED_VALUE"""),"completed")</f>
        <v>completed</v>
      </c>
      <c r="D353" s="43" t="str">
        <f>IFERROR(__xludf.DUMMYFUNCTION("""COMPUTED_VALUE"""),"No")</f>
        <v>No</v>
      </c>
      <c r="E353" s="43" t="str">
        <f>IFERROR(__xludf.DUMMYFUNCTION("""COMPUTED_VALUE"""),"p_898fe0672ebfc85da8d1b0cd4f7a425f705e36a1@inbound.aiesec.org")</f>
        <v>p_898fe0672ebfc85da8d1b0cd4f7a425f705e36a1@inbound.aiesec.org</v>
      </c>
      <c r="F353" s="43">
        <f>IFERROR(__xludf.DUMMYFUNCTION("""COMPUTED_VALUE"""),5.536567043E9)</f>
        <v>5536567043</v>
      </c>
      <c r="G353" s="43" t="str">
        <f>IFERROR(__xludf.DUMMYFUNCTION("""COMPUTED_VALUE"""),"Turkey")</f>
        <v>Turkey</v>
      </c>
      <c r="H353" s="43" t="str">
        <f>IFERROR(__xludf.DUMMYFUNCTION("""COMPUTED_VALUE"""),"DENIZLI")</f>
        <v>DENIZLI</v>
      </c>
      <c r="I353" s="43" t="str">
        <f>IFERROR(__xludf.DUMMYFUNCTION("""COMPUTED_VALUE"""),"Romania")</f>
        <v>Romania</v>
      </c>
      <c r="J353" s="43" t="str">
        <f>IFERROR(__xludf.DUMMYFUNCTION("""COMPUTED_VALUE"""),"BUCURESTI")</f>
        <v>BUCURESTI</v>
      </c>
      <c r="K353" s="44" t="str">
        <f>IFERROR(__xludf.DUMMYFUNCTION("""COMPUTED_VALUE"""),"https://expa.aiesec.org/opportunities/1290642")</f>
        <v>https://expa.aiesec.org/opportunities/1290642</v>
      </c>
      <c r="L353" s="43" t="str">
        <f>IFERROR(__xludf.DUMMYFUNCTION("""COMPUTED_VALUE"""),"GV")</f>
        <v>GV</v>
      </c>
      <c r="M353" s="43" t="str">
        <f>IFERROR(__xludf.DUMMYFUNCTION("""COMPUTED_VALUE"""),"short")</f>
        <v>short</v>
      </c>
      <c r="N353" s="45">
        <f>IFERROR(__xludf.DUMMYFUNCTION("""COMPUTED_VALUE"""),44988.0)</f>
        <v>44988</v>
      </c>
      <c r="O353" s="45">
        <f>IFERROR(__xludf.DUMMYFUNCTION("""COMPUTED_VALUE"""),45124.0)</f>
        <v>45124</v>
      </c>
      <c r="P353" s="45">
        <f>IFERROR(__xludf.DUMMYFUNCTION("""COMPUTED_VALUE"""),45166.0)</f>
        <v>45166</v>
      </c>
      <c r="Q353" s="45">
        <f>IFERROR(__xludf.DUMMYFUNCTION("""COMPUTED_VALUE"""),45124.0)</f>
        <v>45124</v>
      </c>
      <c r="R353" s="45">
        <f>IFERROR(__xludf.DUMMYFUNCTION("""COMPUTED_VALUE"""),45166.0)</f>
        <v>45166</v>
      </c>
      <c r="S353" s="43"/>
      <c r="T353" s="43"/>
      <c r="U353" s="43" t="str">
        <f>IFERROR(__xludf.DUMMYFUNCTION("""COMPUTED_VALUE"""),"Explorer")</f>
        <v>Explorer</v>
      </c>
      <c r="V353" s="43" t="str">
        <f>IFERROR(__xludf.DUMMYFUNCTION("""COMPUTED_VALUE"""),"MUGLA")</f>
        <v>MUGLA</v>
      </c>
      <c r="W353" s="43" t="str">
        <f>IFERROR(__xludf.DUMMYFUNCTION("""COMPUTED_VALUE"""),"2023-02-18T01:48:27Z")</f>
        <v>2023-02-18T01:48:27Z</v>
      </c>
      <c r="X353" s="43"/>
      <c r="Y353" s="43"/>
      <c r="Z353" s="43"/>
    </row>
    <row r="354" hidden="1">
      <c r="A354" s="43" t="str">
        <f>IFERROR(__xludf.DUMMYFUNCTION("""COMPUTED_VALUE"""),"5180183_1287985")</f>
        <v>5180183_1287985</v>
      </c>
      <c r="B354" s="43" t="str">
        <f>IFERROR(__xludf.DUMMYFUNCTION("""COMPUTED_VALUE"""),"Hamza Alhalabi")</f>
        <v>Hamza Alhalabi</v>
      </c>
      <c r="C354" s="43" t="str">
        <f>IFERROR(__xludf.DUMMYFUNCTION("""COMPUTED_VALUE"""),"completed")</f>
        <v>completed</v>
      </c>
      <c r="D354" s="43" t="str">
        <f>IFERROR(__xludf.DUMMYFUNCTION("""COMPUTED_VALUE"""),"No")</f>
        <v>No</v>
      </c>
      <c r="E354" s="43" t="str">
        <f>IFERROR(__xludf.DUMMYFUNCTION("""COMPUTED_VALUE"""),"p_692212464c10fd7a68b65fffdaac97c12e00aefb@inbound.aiesec.org")</f>
        <v>p_692212464c10fd7a68b65fffdaac97c12e00aefb@inbound.aiesec.org</v>
      </c>
      <c r="F354" s="43">
        <f>IFERROR(__xludf.DUMMYFUNCTION("""COMPUTED_VALUE"""),5.34660053E9)</f>
        <v>5346600530</v>
      </c>
      <c r="G354" s="43" t="str">
        <f>IFERROR(__xludf.DUMMYFUNCTION("""COMPUTED_VALUE"""),"Turkey")</f>
        <v>Turkey</v>
      </c>
      <c r="H354" s="43" t="str">
        <f>IFERROR(__xludf.DUMMYFUNCTION("""COMPUTED_VALUE"""),"KOCAELI")</f>
        <v>KOCAELI</v>
      </c>
      <c r="I354" s="43" t="str">
        <f>IFERROR(__xludf.DUMMYFUNCTION("""COMPUTED_VALUE"""),"India")</f>
        <v>India</v>
      </c>
      <c r="J354" s="43" t="str">
        <f>IFERROR(__xludf.DUMMYFUNCTION("""COMPUTED_VALUE"""),"JAIPUR ")</f>
        <v>JAIPUR </v>
      </c>
      <c r="K354" s="44" t="str">
        <f>IFERROR(__xludf.DUMMYFUNCTION("""COMPUTED_VALUE"""),"https://expa.aiesec.org/opportunities/1287985")</f>
        <v>https://expa.aiesec.org/opportunities/1287985</v>
      </c>
      <c r="L354" s="43" t="str">
        <f>IFERROR(__xludf.DUMMYFUNCTION("""COMPUTED_VALUE"""),"GV")</f>
        <v>GV</v>
      </c>
      <c r="M354" s="43" t="str">
        <f>IFERROR(__xludf.DUMMYFUNCTION("""COMPUTED_VALUE"""),"short")</f>
        <v>short</v>
      </c>
      <c r="N354" s="45">
        <f>IFERROR(__xludf.DUMMYFUNCTION("""COMPUTED_VALUE"""),44988.0)</f>
        <v>44988</v>
      </c>
      <c r="O354" s="45">
        <f>IFERROR(__xludf.DUMMYFUNCTION("""COMPUTED_VALUE"""),45117.0)</f>
        <v>45117</v>
      </c>
      <c r="P354" s="45">
        <f>IFERROR(__xludf.DUMMYFUNCTION("""COMPUTED_VALUE"""),45159.0)</f>
        <v>45159</v>
      </c>
      <c r="Q354" s="45">
        <f>IFERROR(__xludf.DUMMYFUNCTION("""COMPUTED_VALUE"""),45118.0)</f>
        <v>45118</v>
      </c>
      <c r="R354" s="45">
        <f>IFERROR(__xludf.DUMMYFUNCTION("""COMPUTED_VALUE"""),45159.0)</f>
        <v>45159</v>
      </c>
      <c r="S354" s="43"/>
      <c r="T354" s="43"/>
      <c r="U354" s="43" t="str">
        <f>IFERROR(__xludf.DUMMYFUNCTION("""COMPUTED_VALUE"""),"Heartbeat")</f>
        <v>Heartbeat</v>
      </c>
      <c r="V354" s="43" t="str">
        <f>IFERROR(__xludf.DUMMYFUNCTION("""COMPUTED_VALUE"""),"KOCAELI")</f>
        <v>KOCAELI</v>
      </c>
      <c r="W354" s="43" t="str">
        <f>IFERROR(__xludf.DUMMYFUNCTION("""COMPUTED_VALUE"""),"2023-01-24T20:19:20Z")</f>
        <v>2023-01-24T20:19:20Z</v>
      </c>
      <c r="X354" s="43"/>
      <c r="Y354" s="43"/>
      <c r="Z354" s="43"/>
    </row>
    <row r="355" hidden="1">
      <c r="A355" s="43" t="str">
        <f>IFERROR(__xludf.DUMMYFUNCTION("""COMPUTED_VALUE"""),"5178617_1287616")</f>
        <v>5178617_1287616</v>
      </c>
      <c r="B355" s="43" t="str">
        <f>IFERROR(__xludf.DUMMYFUNCTION("""COMPUTED_VALUE"""),"kerem martı")</f>
        <v>kerem martı</v>
      </c>
      <c r="C355" s="43" t="str">
        <f>IFERROR(__xludf.DUMMYFUNCTION("""COMPUTED_VALUE"""),"completed")</f>
        <v>completed</v>
      </c>
      <c r="D355" s="43" t="str">
        <f>IFERROR(__xludf.DUMMYFUNCTION("""COMPUTED_VALUE"""),"No")</f>
        <v>No</v>
      </c>
      <c r="E355" s="43" t="str">
        <f>IFERROR(__xludf.DUMMYFUNCTION("""COMPUTED_VALUE"""),"p_a28a9372accec857a404a0c96f6556aeeea9b5f6@inbound.aiesec.org")</f>
        <v>p_a28a9372accec857a404a0c96f6556aeeea9b5f6@inbound.aiesec.org</v>
      </c>
      <c r="F355" s="43">
        <f>IFERROR(__xludf.DUMMYFUNCTION("""COMPUTED_VALUE"""),5.332621228E9)</f>
        <v>5332621228</v>
      </c>
      <c r="G355" s="43" t="str">
        <f>IFERROR(__xludf.DUMMYFUNCTION("""COMPUTED_VALUE"""),"Turkey")</f>
        <v>Turkey</v>
      </c>
      <c r="H355" s="43" t="str">
        <f>IFERROR(__xludf.DUMMYFUNCTION("""COMPUTED_VALUE"""),"ISTANBUL WEST")</f>
        <v>ISTANBUL WEST</v>
      </c>
      <c r="I355" s="43" t="str">
        <f>IFERROR(__xludf.DUMMYFUNCTION("""COMPUTED_VALUE"""),"India")</f>
        <v>India</v>
      </c>
      <c r="J355" s="43" t="str">
        <f>IFERROR(__xludf.DUMMYFUNCTION("""COMPUTED_VALUE"""),"JAIPUR ")</f>
        <v>JAIPUR </v>
      </c>
      <c r="K355" s="44" t="str">
        <f>IFERROR(__xludf.DUMMYFUNCTION("""COMPUTED_VALUE"""),"https://expa.aiesec.org/opportunities/1287616")</f>
        <v>https://expa.aiesec.org/opportunities/1287616</v>
      </c>
      <c r="L355" s="43" t="str">
        <f>IFERROR(__xludf.DUMMYFUNCTION("""COMPUTED_VALUE"""),"GV")</f>
        <v>GV</v>
      </c>
      <c r="M355" s="43" t="str">
        <f>IFERROR(__xludf.DUMMYFUNCTION("""COMPUTED_VALUE"""),"short")</f>
        <v>short</v>
      </c>
      <c r="N355" s="45">
        <f>IFERROR(__xludf.DUMMYFUNCTION("""COMPUTED_VALUE"""),44988.0)</f>
        <v>44988</v>
      </c>
      <c r="O355" s="45">
        <f>IFERROR(__xludf.DUMMYFUNCTION("""COMPUTED_VALUE"""),45115.0)</f>
        <v>45115</v>
      </c>
      <c r="P355" s="45">
        <f>IFERROR(__xludf.DUMMYFUNCTION("""COMPUTED_VALUE"""),45157.0)</f>
        <v>45157</v>
      </c>
      <c r="Q355" s="45">
        <f>IFERROR(__xludf.DUMMYFUNCTION("""COMPUTED_VALUE"""),45143.0)</f>
        <v>45143</v>
      </c>
      <c r="R355" s="45">
        <f>IFERROR(__xludf.DUMMYFUNCTION("""COMPUTED_VALUE"""),45184.0)</f>
        <v>45184</v>
      </c>
      <c r="S355" s="43"/>
      <c r="T355" s="43"/>
      <c r="U355" s="43" t="str">
        <f>IFERROR(__xludf.DUMMYFUNCTION("""COMPUTED_VALUE"""),"Skill Up!")</f>
        <v>Skill Up!</v>
      </c>
      <c r="V355" s="43" t="str">
        <f>IFERROR(__xludf.DUMMYFUNCTION("""COMPUTED_VALUE"""),"ISTANBUL - BAKIRKOY")</f>
        <v>ISTANBUL - BAKIRKOY</v>
      </c>
      <c r="W355" s="43" t="str">
        <f>IFERROR(__xludf.DUMMYFUNCTION("""COMPUTED_VALUE"""),"2023-01-20T08:54:11Z")</f>
        <v>2023-01-20T08:54:11Z</v>
      </c>
      <c r="X355" s="43"/>
      <c r="Y355" s="43"/>
      <c r="Z355" s="43"/>
    </row>
    <row r="356" hidden="1">
      <c r="A356" s="43" t="str">
        <f>IFERROR(__xludf.DUMMYFUNCTION("""COMPUTED_VALUE"""),"5178614_1287616")</f>
        <v>5178614_1287616</v>
      </c>
      <c r="B356" s="43" t="str">
        <f>IFERROR(__xludf.DUMMYFUNCTION("""COMPUTED_VALUE"""),"Keziban Beyza Önder")</f>
        <v>Keziban Beyza Önder</v>
      </c>
      <c r="C356" s="43" t="str">
        <f>IFERROR(__xludf.DUMMYFUNCTION("""COMPUTED_VALUE"""),"completed")</f>
        <v>completed</v>
      </c>
      <c r="D356" s="43" t="str">
        <f>IFERROR(__xludf.DUMMYFUNCTION("""COMPUTED_VALUE"""),"No")</f>
        <v>No</v>
      </c>
      <c r="E356" s="43" t="str">
        <f>IFERROR(__xludf.DUMMYFUNCTION("""COMPUTED_VALUE"""),"p_0a448da082b6c1f381c401e19ef9f06e237cbc45@inbound.aiesec.org")</f>
        <v>p_0a448da082b6c1f381c401e19ef9f06e237cbc45@inbound.aiesec.org</v>
      </c>
      <c r="F356" s="43">
        <f>IFERROR(__xludf.DUMMYFUNCTION("""COMPUTED_VALUE"""),5.39818116E9)</f>
        <v>5398181160</v>
      </c>
      <c r="G356" s="43" t="str">
        <f>IFERROR(__xludf.DUMMYFUNCTION("""COMPUTED_VALUE"""),"Turkey")</f>
        <v>Turkey</v>
      </c>
      <c r="H356" s="43" t="str">
        <f>IFERROR(__xludf.DUMMYFUNCTION("""COMPUTED_VALUE"""),"ISTANBUL WEST")</f>
        <v>ISTANBUL WEST</v>
      </c>
      <c r="I356" s="43" t="str">
        <f>IFERROR(__xludf.DUMMYFUNCTION("""COMPUTED_VALUE"""),"India")</f>
        <v>India</v>
      </c>
      <c r="J356" s="43" t="str">
        <f>IFERROR(__xludf.DUMMYFUNCTION("""COMPUTED_VALUE"""),"JAIPUR ")</f>
        <v>JAIPUR </v>
      </c>
      <c r="K356" s="44" t="str">
        <f>IFERROR(__xludf.DUMMYFUNCTION("""COMPUTED_VALUE"""),"https://expa.aiesec.org/opportunities/1287616")</f>
        <v>https://expa.aiesec.org/opportunities/1287616</v>
      </c>
      <c r="L356" s="43" t="str">
        <f>IFERROR(__xludf.DUMMYFUNCTION("""COMPUTED_VALUE"""),"GV")</f>
        <v>GV</v>
      </c>
      <c r="M356" s="43" t="str">
        <f>IFERROR(__xludf.DUMMYFUNCTION("""COMPUTED_VALUE"""),"short")</f>
        <v>short</v>
      </c>
      <c r="N356" s="45">
        <f>IFERROR(__xludf.DUMMYFUNCTION("""COMPUTED_VALUE"""),44988.0)</f>
        <v>44988</v>
      </c>
      <c r="O356" s="45">
        <f>IFERROR(__xludf.DUMMYFUNCTION("""COMPUTED_VALUE"""),45115.0)</f>
        <v>45115</v>
      </c>
      <c r="P356" s="45">
        <f>IFERROR(__xludf.DUMMYFUNCTION("""COMPUTED_VALUE"""),45157.0)</f>
        <v>45157</v>
      </c>
      <c r="Q356" s="45">
        <f>IFERROR(__xludf.DUMMYFUNCTION("""COMPUTED_VALUE"""),45143.0)</f>
        <v>45143</v>
      </c>
      <c r="R356" s="45">
        <f>IFERROR(__xludf.DUMMYFUNCTION("""COMPUTED_VALUE"""),45184.0)</f>
        <v>45184</v>
      </c>
      <c r="S356" s="43"/>
      <c r="T356" s="43"/>
      <c r="U356" s="43" t="str">
        <f>IFERROR(__xludf.DUMMYFUNCTION("""COMPUTED_VALUE"""),"Skill Up!")</f>
        <v>Skill Up!</v>
      </c>
      <c r="V356" s="43" t="str">
        <f>IFERROR(__xludf.DUMMYFUNCTION("""COMPUTED_VALUE"""),"ISTANBUL - BAKIRKOY")</f>
        <v>ISTANBUL - BAKIRKOY</v>
      </c>
      <c r="W356" s="43" t="str">
        <f>IFERROR(__xludf.DUMMYFUNCTION("""COMPUTED_VALUE"""),"2023-01-20T08:44:06Z")</f>
        <v>2023-01-20T08:44:06Z</v>
      </c>
      <c r="X356" s="43"/>
      <c r="Y356" s="43"/>
      <c r="Z356" s="43"/>
    </row>
    <row r="357" hidden="1">
      <c r="A357" s="43" t="str">
        <f>IFERROR(__xludf.DUMMYFUNCTION("""COMPUTED_VALUE"""),"5174568_1284541")</f>
        <v>5174568_1284541</v>
      </c>
      <c r="B357" s="43" t="str">
        <f>IFERROR(__xludf.DUMMYFUNCTION("""COMPUTED_VALUE"""),"Mevlüthan Çiftçi")</f>
        <v>Mevlüthan Çiftçi</v>
      </c>
      <c r="C357" s="43" t="str">
        <f>IFERROR(__xludf.DUMMYFUNCTION("""COMPUTED_VALUE"""),"approved")</f>
        <v>approved</v>
      </c>
      <c r="D357" s="43" t="str">
        <f>IFERROR(__xludf.DUMMYFUNCTION("""COMPUTED_VALUE"""),"No")</f>
        <v>No</v>
      </c>
      <c r="E357" s="43" t="str">
        <f>IFERROR(__xludf.DUMMYFUNCTION("""COMPUTED_VALUE"""),"p_16fad21f2876de9c287ec53df56df7bfbfd960cb@inbound.aiesec.org")</f>
        <v>p_16fad21f2876de9c287ec53df56df7bfbfd960cb@inbound.aiesec.org</v>
      </c>
      <c r="F357" s="43">
        <f>IFERROR(__xludf.DUMMYFUNCTION("""COMPUTED_VALUE"""),5.078551745E9)</f>
        <v>5078551745</v>
      </c>
      <c r="G357" s="43" t="str">
        <f>IFERROR(__xludf.DUMMYFUNCTION("""COMPUTED_VALUE"""),"Turkey")</f>
        <v>Turkey</v>
      </c>
      <c r="H357" s="43" t="str">
        <f>IFERROR(__xludf.DUMMYFUNCTION("""COMPUTED_VALUE"""),"ISTANBUL WEST")</f>
        <v>ISTANBUL WEST</v>
      </c>
      <c r="I357" s="43" t="str">
        <f>IFERROR(__xludf.DUMMYFUNCTION("""COMPUTED_VALUE"""),"India")</f>
        <v>India</v>
      </c>
      <c r="J357" s="43" t="str">
        <f>IFERROR(__xludf.DUMMYFUNCTION("""COMPUTED_VALUE"""),"JAIPUR ")</f>
        <v>JAIPUR </v>
      </c>
      <c r="K357" s="44" t="str">
        <f>IFERROR(__xludf.DUMMYFUNCTION("""COMPUTED_VALUE"""),"https://expa.aiesec.org/opportunities/1284541")</f>
        <v>https://expa.aiesec.org/opportunities/1284541</v>
      </c>
      <c r="L357" s="43" t="str">
        <f>IFERROR(__xludf.DUMMYFUNCTION("""COMPUTED_VALUE"""),"GV")</f>
        <v>GV</v>
      </c>
      <c r="M357" s="43" t="str">
        <f>IFERROR(__xludf.DUMMYFUNCTION("""COMPUTED_VALUE"""),"short")</f>
        <v>short</v>
      </c>
      <c r="N357" s="45">
        <f>IFERROR(__xludf.DUMMYFUNCTION("""COMPUTED_VALUE"""),44988.0)</f>
        <v>44988</v>
      </c>
      <c r="O357" s="45">
        <f>IFERROR(__xludf.DUMMYFUNCTION("""COMPUTED_VALUE"""),45206.0)</f>
        <v>45206</v>
      </c>
      <c r="P357" s="45">
        <f>IFERROR(__xludf.DUMMYFUNCTION("""COMPUTED_VALUE"""),45248.0)</f>
        <v>45248</v>
      </c>
      <c r="Q357" s="45"/>
      <c r="R357" s="45"/>
      <c r="S357" s="43"/>
      <c r="T357" s="43"/>
      <c r="U357" s="43" t="str">
        <f>IFERROR(__xludf.DUMMYFUNCTION("""COMPUTED_VALUE"""),"Global Classroom")</f>
        <v>Global Classroom</v>
      </c>
      <c r="V357" s="43" t="str">
        <f>IFERROR(__xludf.DUMMYFUNCTION("""COMPUTED_VALUE"""),"ISTANBUL - BAKIRKOY")</f>
        <v>ISTANBUL - BAKIRKOY</v>
      </c>
      <c r="W357" s="43" t="str">
        <f>IFERROR(__xludf.DUMMYFUNCTION("""COMPUTED_VALUE"""),"2023-01-09T08:28:53Z")</f>
        <v>2023-01-09T08:28:53Z</v>
      </c>
      <c r="X357" s="43"/>
      <c r="Y357" s="43"/>
      <c r="Z357" s="43"/>
    </row>
    <row r="358" hidden="1">
      <c r="A358" s="43" t="str">
        <f>IFERROR(__xludf.DUMMYFUNCTION("""COMPUTED_VALUE"""),"5174058_1291005")</f>
        <v>5174058_1291005</v>
      </c>
      <c r="B358" s="43" t="str">
        <f>IFERROR(__xludf.DUMMYFUNCTION("""COMPUTED_VALUE"""),"Eda Cenk")</f>
        <v>Eda Cenk</v>
      </c>
      <c r="C358" s="43" t="str">
        <f>IFERROR(__xludf.DUMMYFUNCTION("""COMPUTED_VALUE"""),"completed")</f>
        <v>completed</v>
      </c>
      <c r="D358" s="43" t="str">
        <f>IFERROR(__xludf.DUMMYFUNCTION("""COMPUTED_VALUE"""),"No")</f>
        <v>No</v>
      </c>
      <c r="E358" s="43" t="str">
        <f>IFERROR(__xludf.DUMMYFUNCTION("""COMPUTED_VALUE"""),"p_0c9b3184f1385044808f673d1f0a12b998d2aa08@inbound.aiesec.org")</f>
        <v>p_0c9b3184f1385044808f673d1f0a12b998d2aa08@inbound.aiesec.org</v>
      </c>
      <c r="F358" s="43">
        <f>IFERROR(__xludf.DUMMYFUNCTION("""COMPUTED_VALUE"""),5.417634124E9)</f>
        <v>5417634124</v>
      </c>
      <c r="G358" s="43" t="str">
        <f>IFERROR(__xludf.DUMMYFUNCTION("""COMPUTED_VALUE"""),"Turkey")</f>
        <v>Turkey</v>
      </c>
      <c r="H358" s="43" t="str">
        <f>IFERROR(__xludf.DUMMYFUNCTION("""COMPUTED_VALUE"""),"KONYA")</f>
        <v>KONYA</v>
      </c>
      <c r="I358" s="43" t="str">
        <f>IFERROR(__xludf.DUMMYFUNCTION("""COMPUTED_VALUE"""),"Brazil")</f>
        <v>Brazil</v>
      </c>
      <c r="J358" s="43" t="str">
        <f>IFERROR(__xludf.DUMMYFUNCTION("""COMPUTED_VALUE"""),"USP")</f>
        <v>USP</v>
      </c>
      <c r="K358" s="44" t="str">
        <f>IFERROR(__xludf.DUMMYFUNCTION("""COMPUTED_VALUE"""),"https://expa.aiesec.org/opportunities/1291005")</f>
        <v>https://expa.aiesec.org/opportunities/1291005</v>
      </c>
      <c r="L358" s="43" t="str">
        <f>IFERROR(__xludf.DUMMYFUNCTION("""COMPUTED_VALUE"""),"GV")</f>
        <v>GV</v>
      </c>
      <c r="M358" s="43" t="str">
        <f>IFERROR(__xludf.DUMMYFUNCTION("""COMPUTED_VALUE"""),"short")</f>
        <v>short</v>
      </c>
      <c r="N358" s="45">
        <f>IFERROR(__xludf.DUMMYFUNCTION("""COMPUTED_VALUE"""),44989.0)</f>
        <v>44989</v>
      </c>
      <c r="O358" s="45">
        <f>IFERROR(__xludf.DUMMYFUNCTION("""COMPUTED_VALUE"""),45002.0)</f>
        <v>45002</v>
      </c>
      <c r="P358" s="45">
        <f>IFERROR(__xludf.DUMMYFUNCTION("""COMPUTED_VALUE"""),45044.0)</f>
        <v>45044</v>
      </c>
      <c r="Q358" s="45">
        <f>IFERROR(__xludf.DUMMYFUNCTION("""COMPUTED_VALUE"""),45002.0)</f>
        <v>45002</v>
      </c>
      <c r="R358" s="45">
        <f>IFERROR(__xludf.DUMMYFUNCTION("""COMPUTED_VALUE"""),45044.0)</f>
        <v>45044</v>
      </c>
      <c r="S358" s="43"/>
      <c r="T358" s="43"/>
      <c r="U358" s="43" t="str">
        <f>IFERROR(__xludf.DUMMYFUNCTION("""COMPUTED_VALUE"""),"Green Leaders")</f>
        <v>Green Leaders</v>
      </c>
      <c r="V358" s="43" t="str">
        <f>IFERROR(__xludf.DUMMYFUNCTION("""COMPUTED_VALUE"""),"KARAMAN")</f>
        <v>KARAMAN</v>
      </c>
      <c r="W358" s="43" t="str">
        <f>IFERROR(__xludf.DUMMYFUNCTION("""COMPUTED_VALUE"""),"2023-01-07T13:55:55Z")</f>
        <v>2023-01-07T13:55:55Z</v>
      </c>
      <c r="X358" s="43"/>
      <c r="Y358" s="43"/>
      <c r="Z358" s="43"/>
    </row>
    <row r="359" hidden="1">
      <c r="A359" s="43" t="str">
        <f>IFERROR(__xludf.DUMMYFUNCTION("""COMPUTED_VALUE"""),"5190863_1286339")</f>
        <v>5190863_1286339</v>
      </c>
      <c r="B359" s="43" t="str">
        <f>IFERROR(__xludf.DUMMYFUNCTION("""COMPUTED_VALUE"""),"Eugene Kim")</f>
        <v>Eugene Kim</v>
      </c>
      <c r="C359" s="43" t="str">
        <f>IFERROR(__xludf.DUMMYFUNCTION("""COMPUTED_VALUE"""),"finished")</f>
        <v>finished</v>
      </c>
      <c r="D359" s="43" t="str">
        <f>IFERROR(__xludf.DUMMYFUNCTION("""COMPUTED_VALUE"""),"No")</f>
        <v>No</v>
      </c>
      <c r="E359" s="43" t="str">
        <f>IFERROR(__xludf.DUMMYFUNCTION("""COMPUTED_VALUE"""),"p_ab562e43b90367b26b588e4235950591ecd7fd69@inbound.aiesec.org")</f>
        <v>p_ab562e43b90367b26b588e4235950591ecd7fd69@inbound.aiesec.org</v>
      </c>
      <c r="F359" s="43">
        <f>IFERROR(__xludf.DUMMYFUNCTION("""COMPUTED_VALUE"""),1.3122359206E10)</f>
        <v>13122359206</v>
      </c>
      <c r="G359" s="43" t="str">
        <f>IFERROR(__xludf.DUMMYFUNCTION("""COMPUTED_VALUE"""),"Turkey")</f>
        <v>Turkey</v>
      </c>
      <c r="H359" s="43" t="str">
        <f>IFERROR(__xludf.DUMMYFUNCTION("""COMPUTED_VALUE"""),"EASTERN MEDITERRANEAN")</f>
        <v>EASTERN MEDITERRANEAN</v>
      </c>
      <c r="I359" s="43" t="str">
        <f>IFERROR(__xludf.DUMMYFUNCTION("""COMPUTED_VALUE"""),"Sri Lanka")</f>
        <v>Sri Lanka</v>
      </c>
      <c r="J359" s="43" t="str">
        <f>IFERROR(__xludf.DUMMYFUNCTION("""COMPUTED_VALUE"""),"RUHUNA")</f>
        <v>RUHUNA</v>
      </c>
      <c r="K359" s="44" t="str">
        <f>IFERROR(__xludf.DUMMYFUNCTION("""COMPUTED_VALUE"""),"https://expa.aiesec.org/opportunities/1286339")</f>
        <v>https://expa.aiesec.org/opportunities/1286339</v>
      </c>
      <c r="L359" s="43" t="str">
        <f>IFERROR(__xludf.DUMMYFUNCTION("""COMPUTED_VALUE"""),"GV")</f>
        <v>GV</v>
      </c>
      <c r="M359" s="43" t="str">
        <f>IFERROR(__xludf.DUMMYFUNCTION("""COMPUTED_VALUE"""),"short")</f>
        <v>short</v>
      </c>
      <c r="N359" s="45">
        <f>IFERROR(__xludf.DUMMYFUNCTION("""COMPUTED_VALUE"""),44989.0)</f>
        <v>44989</v>
      </c>
      <c r="O359" s="45">
        <f>IFERROR(__xludf.DUMMYFUNCTION("""COMPUTED_VALUE"""),45110.0)</f>
        <v>45110</v>
      </c>
      <c r="P359" s="45">
        <f>IFERROR(__xludf.DUMMYFUNCTION("""COMPUTED_VALUE"""),45152.0)</f>
        <v>45152</v>
      </c>
      <c r="Q359" s="45">
        <f>IFERROR(__xludf.DUMMYFUNCTION("""COMPUTED_VALUE"""),45110.0)</f>
        <v>45110</v>
      </c>
      <c r="R359" s="45">
        <f>IFERROR(__xludf.DUMMYFUNCTION("""COMPUTED_VALUE"""),45152.0)</f>
        <v>45152</v>
      </c>
      <c r="S359" s="43"/>
      <c r="T359" s="43"/>
      <c r="U359" s="43" t="str">
        <f>IFERROR(__xludf.DUMMYFUNCTION("""COMPUTED_VALUE"""),"Global Classroom")</f>
        <v>Global Classroom</v>
      </c>
      <c r="V359" s="43" t="str">
        <f>IFERROR(__xludf.DUMMYFUNCTION("""COMPUTED_VALUE"""),"NORTH CYPRUS")</f>
        <v>NORTH CYPRUS</v>
      </c>
      <c r="W359" s="43" t="str">
        <f>IFERROR(__xludf.DUMMYFUNCTION("""COMPUTED_VALUE"""),"2023-02-14T19:34:40Z")</f>
        <v>2023-02-14T19:34:40Z</v>
      </c>
      <c r="X359" s="43"/>
      <c r="Y359" s="43"/>
      <c r="Z359" s="43"/>
    </row>
    <row r="360" hidden="1">
      <c r="A360" s="43" t="str">
        <f>IFERROR(__xludf.DUMMYFUNCTION("""COMPUTED_VALUE"""),"5175618_1291393")</f>
        <v>5175618_1291393</v>
      </c>
      <c r="B360" s="43" t="str">
        <f>IFERROR(__xludf.DUMMYFUNCTION("""COMPUTED_VALUE"""),"Ilgın acar")</f>
        <v>Ilgın acar</v>
      </c>
      <c r="C360" s="43" t="str">
        <f>IFERROR(__xludf.DUMMYFUNCTION("""COMPUTED_VALUE"""),"completed")</f>
        <v>completed</v>
      </c>
      <c r="D360" s="43" t="str">
        <f>IFERROR(__xludf.DUMMYFUNCTION("""COMPUTED_VALUE"""),"No")</f>
        <v>No</v>
      </c>
      <c r="E360" s="43" t="str">
        <f>IFERROR(__xludf.DUMMYFUNCTION("""COMPUTED_VALUE"""),"p_a8f20b71cca5eb43efc591c8206a85e6b99b32fa@inbound.aiesec.org")</f>
        <v>p_a8f20b71cca5eb43efc591c8206a85e6b99b32fa@inbound.aiesec.org</v>
      </c>
      <c r="F360" s="43"/>
      <c r="G360" s="43" t="str">
        <f>IFERROR(__xludf.DUMMYFUNCTION("""COMPUTED_VALUE"""),"Turkey")</f>
        <v>Turkey</v>
      </c>
      <c r="H360" s="43" t="str">
        <f>IFERROR(__xludf.DUMMYFUNCTION("""COMPUTED_VALUE"""),"ISTANBUL WEST")</f>
        <v>ISTANBUL WEST</v>
      </c>
      <c r="I360" s="43" t="str">
        <f>IFERROR(__xludf.DUMMYFUNCTION("""COMPUTED_VALUE"""),"Tunisia")</f>
        <v>Tunisia</v>
      </c>
      <c r="J360" s="43" t="str">
        <f>IFERROR(__xludf.DUMMYFUNCTION("""COMPUTED_VALUE"""),"Bizerte")</f>
        <v>Bizerte</v>
      </c>
      <c r="K360" s="44" t="str">
        <f>IFERROR(__xludf.DUMMYFUNCTION("""COMPUTED_VALUE"""),"https://expa.aiesec.org/opportunities/1291393")</f>
        <v>https://expa.aiesec.org/opportunities/1291393</v>
      </c>
      <c r="L360" s="43" t="str">
        <f>IFERROR(__xludf.DUMMYFUNCTION("""COMPUTED_VALUE"""),"GV")</f>
        <v>GV</v>
      </c>
      <c r="M360" s="43" t="str">
        <f>IFERROR(__xludf.DUMMYFUNCTION("""COMPUTED_VALUE"""),"short")</f>
        <v>short</v>
      </c>
      <c r="N360" s="45">
        <f>IFERROR(__xludf.DUMMYFUNCTION("""COMPUTED_VALUE"""),44991.0)</f>
        <v>44991</v>
      </c>
      <c r="O360" s="45">
        <f>IFERROR(__xludf.DUMMYFUNCTION("""COMPUTED_VALUE"""),45108.0)</f>
        <v>45108</v>
      </c>
      <c r="P360" s="45">
        <f>IFERROR(__xludf.DUMMYFUNCTION("""COMPUTED_VALUE"""),45150.0)</f>
        <v>45150</v>
      </c>
      <c r="Q360" s="45">
        <f>IFERROR(__xludf.DUMMYFUNCTION("""COMPUTED_VALUE"""),45108.0)</f>
        <v>45108</v>
      </c>
      <c r="R360" s="45">
        <f>IFERROR(__xludf.DUMMYFUNCTION("""COMPUTED_VALUE"""),45150.0)</f>
        <v>45150</v>
      </c>
      <c r="S360" s="43"/>
      <c r="T360" s="43"/>
      <c r="U360" s="43" t="str">
        <f>IFERROR(__xludf.DUMMYFUNCTION("""COMPUTED_VALUE"""),"Aquatica")</f>
        <v>Aquatica</v>
      </c>
      <c r="V360" s="43" t="str">
        <f>IFERROR(__xludf.DUMMYFUNCTION("""COMPUTED_VALUE"""),"-")</f>
        <v>-</v>
      </c>
      <c r="W360" s="43" t="str">
        <f>IFERROR(__xludf.DUMMYFUNCTION("""COMPUTED_VALUE"""),"2023-01-11T19:38:09Z")</f>
        <v>2023-01-11T19:38:09Z</v>
      </c>
      <c r="X360" s="43"/>
      <c r="Y360" s="43"/>
      <c r="Z360" s="43"/>
    </row>
    <row r="361" hidden="1">
      <c r="A361" s="43" t="str">
        <f>IFERROR(__xludf.DUMMYFUNCTION("""COMPUTED_VALUE"""),"5185941_1292706")</f>
        <v>5185941_1292706</v>
      </c>
      <c r="B361" s="43" t="str">
        <f>IFERROR(__xludf.DUMMYFUNCTION("""COMPUTED_VALUE"""),"Buse Yavuz")</f>
        <v>Buse Yavuz</v>
      </c>
      <c r="C361" s="43" t="str">
        <f>IFERROR(__xludf.DUMMYFUNCTION("""COMPUTED_VALUE"""),"completed")</f>
        <v>completed</v>
      </c>
      <c r="D361" s="43" t="str">
        <f>IFERROR(__xludf.DUMMYFUNCTION("""COMPUTED_VALUE"""),"No")</f>
        <v>No</v>
      </c>
      <c r="E361" s="43" t="str">
        <f>IFERROR(__xludf.DUMMYFUNCTION("""COMPUTED_VALUE"""),"p_cc2186f4c03ff65b0aa4b25e86dab02001d19af5@inbound.aiesec.org")</f>
        <v>p_cc2186f4c03ff65b0aa4b25e86dab02001d19af5@inbound.aiesec.org</v>
      </c>
      <c r="F361" s="43">
        <f>IFERROR(__xludf.DUMMYFUNCTION("""COMPUTED_VALUE"""),5.445378334E9)</f>
        <v>5445378334</v>
      </c>
      <c r="G361" s="43" t="str">
        <f>IFERROR(__xludf.DUMMYFUNCTION("""COMPUTED_VALUE"""),"Turkey")</f>
        <v>Turkey</v>
      </c>
      <c r="H361" s="43" t="str">
        <f>IFERROR(__xludf.DUMMYFUNCTION("""COMPUTED_VALUE"""),"ISTANBUL")</f>
        <v>ISTANBUL</v>
      </c>
      <c r="I361" s="43" t="str">
        <f>IFERROR(__xludf.DUMMYFUNCTION("""COMPUTED_VALUE"""),"Romania")</f>
        <v>Romania</v>
      </c>
      <c r="J361" s="43" t="str">
        <f>IFERROR(__xludf.DUMMYFUNCTION("""COMPUTED_VALUE"""),"SIBIU")</f>
        <v>SIBIU</v>
      </c>
      <c r="K361" s="44" t="str">
        <f>IFERROR(__xludf.DUMMYFUNCTION("""COMPUTED_VALUE"""),"https://expa.aiesec.org/opportunities/1292706")</f>
        <v>https://expa.aiesec.org/opportunities/1292706</v>
      </c>
      <c r="L361" s="43" t="str">
        <f>IFERROR(__xludf.DUMMYFUNCTION("""COMPUTED_VALUE"""),"GV")</f>
        <v>GV</v>
      </c>
      <c r="M361" s="43" t="str">
        <f>IFERROR(__xludf.DUMMYFUNCTION("""COMPUTED_VALUE"""),"short")</f>
        <v>short</v>
      </c>
      <c r="N361" s="45">
        <f>IFERROR(__xludf.DUMMYFUNCTION("""COMPUTED_VALUE"""),44991.0)</f>
        <v>44991</v>
      </c>
      <c r="O361" s="45">
        <f>IFERROR(__xludf.DUMMYFUNCTION("""COMPUTED_VALUE"""),45131.0)</f>
        <v>45131</v>
      </c>
      <c r="P361" s="45">
        <f>IFERROR(__xludf.DUMMYFUNCTION("""COMPUTED_VALUE"""),45173.0)</f>
        <v>45173</v>
      </c>
      <c r="Q361" s="45">
        <f>IFERROR(__xludf.DUMMYFUNCTION("""COMPUTED_VALUE"""),45132.0)</f>
        <v>45132</v>
      </c>
      <c r="R361" s="45">
        <f>IFERROR(__xludf.DUMMYFUNCTION("""COMPUTED_VALUE"""),45173.0)</f>
        <v>45173</v>
      </c>
      <c r="S361" s="43"/>
      <c r="T361" s="43"/>
      <c r="U361" s="43" t="str">
        <f>IFERROR(__xludf.DUMMYFUNCTION("""COMPUTED_VALUE"""),"Youth 4 Impact")</f>
        <v>Youth 4 Impact</v>
      </c>
      <c r="V361" s="43" t="str">
        <f>IFERROR(__xludf.DUMMYFUNCTION("""COMPUTED_VALUE"""),"ISTANBUL - BEYOGLU")</f>
        <v>ISTANBUL - BEYOGLU</v>
      </c>
      <c r="W361" s="43" t="str">
        <f>IFERROR(__xludf.DUMMYFUNCTION("""COMPUTED_VALUE"""),"2023-02-05T15:58:35Z")</f>
        <v>2023-02-05T15:58:35Z</v>
      </c>
      <c r="X361" s="43"/>
      <c r="Y361" s="43"/>
      <c r="Z361" s="43"/>
    </row>
    <row r="362" hidden="1">
      <c r="A362" s="43" t="str">
        <f>IFERROR(__xludf.DUMMYFUNCTION("""COMPUTED_VALUE"""),"5170794_1292409")</f>
        <v>5170794_1292409</v>
      </c>
      <c r="B362" s="43" t="str">
        <f>IFERROR(__xludf.DUMMYFUNCTION("""COMPUTED_VALUE"""),"Begüm Simsek")</f>
        <v>Begüm Simsek</v>
      </c>
      <c r="C362" s="43" t="str">
        <f>IFERROR(__xludf.DUMMYFUNCTION("""COMPUTED_VALUE"""),"completed")</f>
        <v>completed</v>
      </c>
      <c r="D362" s="43" t="str">
        <f>IFERROR(__xludf.DUMMYFUNCTION("""COMPUTED_VALUE"""),"No")</f>
        <v>No</v>
      </c>
      <c r="E362" s="43" t="str">
        <f>IFERROR(__xludf.DUMMYFUNCTION("""COMPUTED_VALUE"""),"p_be2c340106d2215450774af479cbe6db6f6aa6cb@inbound.aiesec.org")</f>
        <v>p_be2c340106d2215450774af479cbe6db6f6aa6cb@inbound.aiesec.org</v>
      </c>
      <c r="F362" s="43"/>
      <c r="G362" s="43" t="str">
        <f>IFERROR(__xludf.DUMMYFUNCTION("""COMPUTED_VALUE"""),"Turkey")</f>
        <v>Turkey</v>
      </c>
      <c r="H362" s="43" t="str">
        <f>IFERROR(__xludf.DUMMYFUNCTION("""COMPUTED_VALUE"""),"ANKARA")</f>
        <v>ANKARA</v>
      </c>
      <c r="I362" s="43" t="str">
        <f>IFERROR(__xludf.DUMMYFUNCTION("""COMPUTED_VALUE"""),"Romania")</f>
        <v>Romania</v>
      </c>
      <c r="J362" s="43" t="str">
        <f>IFERROR(__xludf.DUMMYFUNCTION("""COMPUTED_VALUE"""),"GALATI")</f>
        <v>GALATI</v>
      </c>
      <c r="K362" s="44" t="str">
        <f>IFERROR(__xludf.DUMMYFUNCTION("""COMPUTED_VALUE"""),"https://expa.aiesec.org/opportunities/1292409")</f>
        <v>https://expa.aiesec.org/opportunities/1292409</v>
      </c>
      <c r="L362" s="43" t="str">
        <f>IFERROR(__xludf.DUMMYFUNCTION("""COMPUTED_VALUE"""),"GV")</f>
        <v>GV</v>
      </c>
      <c r="M362" s="43" t="str">
        <f>IFERROR(__xludf.DUMMYFUNCTION("""COMPUTED_VALUE"""),"short")</f>
        <v>short</v>
      </c>
      <c r="N362" s="45">
        <f>IFERROR(__xludf.DUMMYFUNCTION("""COMPUTED_VALUE"""),44991.0)</f>
        <v>44991</v>
      </c>
      <c r="O362" s="45">
        <f>IFERROR(__xludf.DUMMYFUNCTION("""COMPUTED_VALUE"""),45096.0)</f>
        <v>45096</v>
      </c>
      <c r="P362" s="45">
        <f>IFERROR(__xludf.DUMMYFUNCTION("""COMPUTED_VALUE"""),45138.0)</f>
        <v>45138</v>
      </c>
      <c r="Q362" s="45">
        <f>IFERROR(__xludf.DUMMYFUNCTION("""COMPUTED_VALUE"""),45097.0)</f>
        <v>45097</v>
      </c>
      <c r="R362" s="45">
        <f>IFERROR(__xludf.DUMMYFUNCTION("""COMPUTED_VALUE"""),45138.0)</f>
        <v>45138</v>
      </c>
      <c r="S362" s="43"/>
      <c r="T362" s="43"/>
      <c r="U362" s="43" t="str">
        <f>IFERROR(__xludf.DUMMYFUNCTION("""COMPUTED_VALUE"""),"Eat 4 Change")</f>
        <v>Eat 4 Change</v>
      </c>
      <c r="V362" s="43" t="str">
        <f>IFERROR(__xludf.DUMMYFUNCTION("""COMPUTED_VALUE"""),"-")</f>
        <v>-</v>
      </c>
      <c r="W362" s="43" t="str">
        <f>IFERROR(__xludf.DUMMYFUNCTION("""COMPUTED_VALUE"""),"2022-12-27T18:42:11Z")</f>
        <v>2022-12-27T18:42:11Z</v>
      </c>
      <c r="X362" s="43"/>
      <c r="Y362" s="43"/>
      <c r="Z362" s="43"/>
    </row>
    <row r="363" hidden="1">
      <c r="A363" s="43" t="str">
        <f>IFERROR(__xludf.DUMMYFUNCTION("""COMPUTED_VALUE"""),"5201179_1291235")</f>
        <v>5201179_1291235</v>
      </c>
      <c r="B363" s="43" t="str">
        <f>IFERROR(__xludf.DUMMYFUNCTION("""COMPUTED_VALUE"""),"Elif Duru Durnabaş")</f>
        <v>Elif Duru Durnabaş</v>
      </c>
      <c r="C363" s="43" t="str">
        <f>IFERROR(__xludf.DUMMYFUNCTION("""COMPUTED_VALUE"""),"completed")</f>
        <v>completed</v>
      </c>
      <c r="D363" s="43" t="str">
        <f>IFERROR(__xludf.DUMMYFUNCTION("""COMPUTED_VALUE"""),"No")</f>
        <v>No</v>
      </c>
      <c r="E363" s="43" t="str">
        <f>IFERROR(__xludf.DUMMYFUNCTION("""COMPUTED_VALUE"""),"p_7c85564233335b7d821ea7d64dd5389580163d27@inbound.aiesec.org")</f>
        <v>p_7c85564233335b7d821ea7d64dd5389580163d27@inbound.aiesec.org</v>
      </c>
      <c r="F363" s="43">
        <f>IFERROR(__xludf.DUMMYFUNCTION("""COMPUTED_VALUE"""),5.347174466E9)</f>
        <v>5347174466</v>
      </c>
      <c r="G363" s="43" t="str">
        <f>IFERROR(__xludf.DUMMYFUNCTION("""COMPUTED_VALUE"""),"Turkey")</f>
        <v>Turkey</v>
      </c>
      <c r="H363" s="43" t="str">
        <f>IFERROR(__xludf.DUMMYFUNCTION("""COMPUTED_VALUE"""),"İZMİR")</f>
        <v>İZMİR</v>
      </c>
      <c r="I363" s="43" t="str">
        <f>IFERROR(__xludf.DUMMYFUNCTION("""COMPUTED_VALUE"""),"Romania")</f>
        <v>Romania</v>
      </c>
      <c r="J363" s="43" t="str">
        <f>IFERROR(__xludf.DUMMYFUNCTION("""COMPUTED_VALUE"""),"BUCURESTI")</f>
        <v>BUCURESTI</v>
      </c>
      <c r="K363" s="44" t="str">
        <f>IFERROR(__xludf.DUMMYFUNCTION("""COMPUTED_VALUE"""),"https://expa.aiesec.org/opportunities/1291235")</f>
        <v>https://expa.aiesec.org/opportunities/1291235</v>
      </c>
      <c r="L363" s="43" t="str">
        <f>IFERROR(__xludf.DUMMYFUNCTION("""COMPUTED_VALUE"""),"GV")</f>
        <v>GV</v>
      </c>
      <c r="M363" s="43" t="str">
        <f>IFERROR(__xludf.DUMMYFUNCTION("""COMPUTED_VALUE"""),"short")</f>
        <v>short</v>
      </c>
      <c r="N363" s="45">
        <f>IFERROR(__xludf.DUMMYFUNCTION("""COMPUTED_VALUE"""),44991.0)</f>
        <v>44991</v>
      </c>
      <c r="O363" s="45">
        <f>IFERROR(__xludf.DUMMYFUNCTION("""COMPUTED_VALUE"""),45124.0)</f>
        <v>45124</v>
      </c>
      <c r="P363" s="45">
        <f>IFERROR(__xludf.DUMMYFUNCTION("""COMPUTED_VALUE"""),45166.0)</f>
        <v>45166</v>
      </c>
      <c r="Q363" s="45">
        <f>IFERROR(__xludf.DUMMYFUNCTION("""COMPUTED_VALUE"""),45124.0)</f>
        <v>45124</v>
      </c>
      <c r="R363" s="45">
        <f>IFERROR(__xludf.DUMMYFUNCTION("""COMPUTED_VALUE"""),45166.0)</f>
        <v>45166</v>
      </c>
      <c r="S363" s="43"/>
      <c r="T363" s="43"/>
      <c r="U363" s="43" t="str">
        <f>IFERROR(__xludf.DUMMYFUNCTION("""COMPUTED_VALUE"""),"Skill Up!")</f>
        <v>Skill Up!</v>
      </c>
      <c r="V363" s="43" t="str">
        <f>IFERROR(__xludf.DUMMYFUNCTION("""COMPUTED_VALUE"""),"IZMIR")</f>
        <v>IZMIR</v>
      </c>
      <c r="W363" s="43" t="str">
        <f>IFERROR(__xludf.DUMMYFUNCTION("""COMPUTED_VALUE"""),"2023-02-28T12:42:23Z")</f>
        <v>2023-02-28T12:42:23Z</v>
      </c>
      <c r="X363" s="43"/>
      <c r="Y363" s="43"/>
      <c r="Z363" s="43"/>
    </row>
    <row r="364" hidden="1">
      <c r="A364" s="43" t="str">
        <f>IFERROR(__xludf.DUMMYFUNCTION("""COMPUTED_VALUE"""),"3583316_1286339")</f>
        <v>3583316_1286339</v>
      </c>
      <c r="B364" s="43" t="str">
        <f>IFERROR(__xludf.DUMMYFUNCTION("""COMPUTED_VALUE"""),"ASLI PEKDEMIR")</f>
        <v>ASLI PEKDEMIR</v>
      </c>
      <c r="C364" s="43" t="str">
        <f>IFERROR(__xludf.DUMMYFUNCTION("""COMPUTED_VALUE"""),"approved")</f>
        <v>approved</v>
      </c>
      <c r="D364" s="43" t="str">
        <f>IFERROR(__xludf.DUMMYFUNCTION("""COMPUTED_VALUE"""),"No")</f>
        <v>No</v>
      </c>
      <c r="E364" s="43" t="str">
        <f>IFERROR(__xludf.DUMMYFUNCTION("""COMPUTED_VALUE"""),"p_5e74139d77b0f2bae0a8b1d023b7af93bd9a8700@inbound.aiesec.org")</f>
        <v>p_5e74139d77b0f2bae0a8b1d023b7af93bd9a8700@inbound.aiesec.org</v>
      </c>
      <c r="F364" s="43">
        <f>IFERROR(__xludf.DUMMYFUNCTION("""COMPUTED_VALUE"""),5.425561434E9)</f>
        <v>5425561434</v>
      </c>
      <c r="G364" s="43" t="str">
        <f>IFERROR(__xludf.DUMMYFUNCTION("""COMPUTED_VALUE"""),"Turkey")</f>
        <v>Turkey</v>
      </c>
      <c r="H364" s="43" t="str">
        <f>IFERROR(__xludf.DUMMYFUNCTION("""COMPUTED_VALUE"""),"ISTANBUL")</f>
        <v>ISTANBUL</v>
      </c>
      <c r="I364" s="43" t="str">
        <f>IFERROR(__xludf.DUMMYFUNCTION("""COMPUTED_VALUE"""),"Sri Lanka")</f>
        <v>Sri Lanka</v>
      </c>
      <c r="J364" s="43" t="str">
        <f>IFERROR(__xludf.DUMMYFUNCTION("""COMPUTED_VALUE"""),"Ruhuna")</f>
        <v>Ruhuna</v>
      </c>
      <c r="K364" s="44" t="str">
        <f>IFERROR(__xludf.DUMMYFUNCTION("""COMPUTED_VALUE"""),"https://expa.aiesec.org/opportunities/1286339")</f>
        <v>https://expa.aiesec.org/opportunities/1286339</v>
      </c>
      <c r="L364" s="43" t="str">
        <f>IFERROR(__xludf.DUMMYFUNCTION("""COMPUTED_VALUE"""),"GV")</f>
        <v>GV</v>
      </c>
      <c r="M364" s="43" t="str">
        <f>IFERROR(__xludf.DUMMYFUNCTION("""COMPUTED_VALUE"""),"short")</f>
        <v>short</v>
      </c>
      <c r="N364" s="45">
        <f>IFERROR(__xludf.DUMMYFUNCTION("""COMPUTED_VALUE"""),44991.0)</f>
        <v>44991</v>
      </c>
      <c r="O364" s="45">
        <f>IFERROR(__xludf.DUMMYFUNCTION("""COMPUTED_VALUE"""),45110.0)</f>
        <v>45110</v>
      </c>
      <c r="P364" s="45">
        <f>IFERROR(__xludf.DUMMYFUNCTION("""COMPUTED_VALUE"""),45152.0)</f>
        <v>45152</v>
      </c>
      <c r="Q364" s="45"/>
      <c r="R364" s="45"/>
      <c r="S364" s="43"/>
      <c r="T364" s="43"/>
      <c r="U364" s="43" t="str">
        <f>IFERROR(__xludf.DUMMYFUNCTION("""COMPUTED_VALUE"""),"Global Classroom")</f>
        <v>Global Classroom</v>
      </c>
      <c r="V364" s="43" t="str">
        <f>IFERROR(__xludf.DUMMYFUNCTION("""COMPUTED_VALUE"""),"ISTANBUL ASIA")</f>
        <v>ISTANBUL ASIA</v>
      </c>
      <c r="W364" s="43" t="str">
        <f>IFERROR(__xludf.DUMMYFUNCTION("""COMPUTED_VALUE"""),"2019-06-28T20:01:35Z")</f>
        <v>2019-06-28T20:01:35Z</v>
      </c>
      <c r="X364" s="43"/>
      <c r="Y364" s="43"/>
      <c r="Z364" s="43"/>
    </row>
    <row r="365" hidden="1">
      <c r="A365" s="43" t="str">
        <f>IFERROR(__xludf.DUMMYFUNCTION("""COMPUTED_VALUE"""),"4234994_1292549")</f>
        <v>4234994_1292549</v>
      </c>
      <c r="B365" s="43" t="str">
        <f>IFERROR(__xludf.DUMMYFUNCTION("""COMPUTED_VALUE"""),"Esra KIZILELMA")</f>
        <v>Esra KIZILELMA</v>
      </c>
      <c r="C365" s="43" t="str">
        <f>IFERROR(__xludf.DUMMYFUNCTION("""COMPUTED_VALUE"""),"completed")</f>
        <v>completed</v>
      </c>
      <c r="D365" s="43" t="str">
        <f>IFERROR(__xludf.DUMMYFUNCTION("""COMPUTED_VALUE"""),"No")</f>
        <v>No</v>
      </c>
      <c r="E365" s="43" t="str">
        <f>IFERROR(__xludf.DUMMYFUNCTION("""COMPUTED_VALUE"""),"p_323d7b3b7b9b1184221328441fdc266ee6304c8c@inbound.aiesec.org")</f>
        <v>p_323d7b3b7b9b1184221328441fdc266ee6304c8c@inbound.aiesec.org</v>
      </c>
      <c r="F365" s="43">
        <f>IFERROR(__xludf.DUMMYFUNCTION("""COMPUTED_VALUE"""),5.511115787E9)</f>
        <v>5511115787</v>
      </c>
      <c r="G365" s="43" t="str">
        <f>IFERROR(__xludf.DUMMYFUNCTION("""COMPUTED_VALUE"""),"Turkey")</f>
        <v>Turkey</v>
      </c>
      <c r="H365" s="43" t="str">
        <f>IFERROR(__xludf.DUMMYFUNCTION("""COMPUTED_VALUE"""),"SAKARYA")</f>
        <v>SAKARYA</v>
      </c>
      <c r="I365" s="43" t="str">
        <f>IFERROR(__xludf.DUMMYFUNCTION("""COMPUTED_VALUE"""),"Tunisia")</f>
        <v>Tunisia</v>
      </c>
      <c r="J365" s="43" t="str">
        <f>IFERROR(__xludf.DUMMYFUNCTION("""COMPUTED_VALUE"""),"UNIVERSITY")</f>
        <v>UNIVERSITY</v>
      </c>
      <c r="K365" s="44" t="str">
        <f>IFERROR(__xludf.DUMMYFUNCTION("""COMPUTED_VALUE"""),"https://expa.aiesec.org/opportunities/1292549")</f>
        <v>https://expa.aiesec.org/opportunities/1292549</v>
      </c>
      <c r="L365" s="43" t="str">
        <f>IFERROR(__xludf.DUMMYFUNCTION("""COMPUTED_VALUE"""),"GV")</f>
        <v>GV</v>
      </c>
      <c r="M365" s="43" t="str">
        <f>IFERROR(__xludf.DUMMYFUNCTION("""COMPUTED_VALUE"""),"short")</f>
        <v>short</v>
      </c>
      <c r="N365" s="45">
        <f>IFERROR(__xludf.DUMMYFUNCTION("""COMPUTED_VALUE"""),44992.0)</f>
        <v>44992</v>
      </c>
      <c r="O365" s="45">
        <f>IFERROR(__xludf.DUMMYFUNCTION("""COMPUTED_VALUE"""),45120.0)</f>
        <v>45120</v>
      </c>
      <c r="P365" s="45">
        <f>IFERROR(__xludf.DUMMYFUNCTION("""COMPUTED_VALUE"""),45164.0)</f>
        <v>45164</v>
      </c>
      <c r="Q365" s="45">
        <f>IFERROR(__xludf.DUMMYFUNCTION("""COMPUTED_VALUE"""),45120.0)</f>
        <v>45120</v>
      </c>
      <c r="R365" s="45">
        <f>IFERROR(__xludf.DUMMYFUNCTION("""COMPUTED_VALUE"""),45164.0)</f>
        <v>45164</v>
      </c>
      <c r="S365" s="43"/>
      <c r="T365" s="43"/>
      <c r="U365" s="43" t="str">
        <f>IFERROR(__xludf.DUMMYFUNCTION("""COMPUTED_VALUE"""),"On The Map")</f>
        <v>On The Map</v>
      </c>
      <c r="V365" s="43" t="str">
        <f>IFERROR(__xludf.DUMMYFUNCTION("""COMPUTED_VALUE"""),"SAKARYA")</f>
        <v>SAKARYA</v>
      </c>
      <c r="W365" s="43" t="str">
        <f>IFERROR(__xludf.DUMMYFUNCTION("""COMPUTED_VALUE"""),"2020-03-04T20:07:47Z")</f>
        <v>2020-03-04T20:07:47Z</v>
      </c>
      <c r="X365" s="43"/>
      <c r="Y365" s="43"/>
      <c r="Z365" s="43"/>
    </row>
    <row r="366" hidden="1">
      <c r="A366" s="43" t="str">
        <f>IFERROR(__xludf.DUMMYFUNCTION("""COMPUTED_VALUE"""),"5206253_1288609")</f>
        <v>5206253_1288609</v>
      </c>
      <c r="B366" s="43" t="str">
        <f>IFERROR(__xludf.DUMMYFUNCTION("""COMPUTED_VALUE"""),"İpek Ecehan Tongur")</f>
        <v>İpek Ecehan Tongur</v>
      </c>
      <c r="C366" s="43" t="str">
        <f>IFERROR(__xludf.DUMMYFUNCTION("""COMPUTED_VALUE"""),"completed")</f>
        <v>completed</v>
      </c>
      <c r="D366" s="43" t="str">
        <f>IFERROR(__xludf.DUMMYFUNCTION("""COMPUTED_VALUE"""),"No")</f>
        <v>No</v>
      </c>
      <c r="E366" s="43" t="str">
        <f>IFERROR(__xludf.DUMMYFUNCTION("""COMPUTED_VALUE"""),"p_c14f2df374f1a3ccf085f6a7a6da6a43e2c281ec@inbound.aiesec.org")</f>
        <v>p_c14f2df374f1a3ccf085f6a7a6da6a43e2c281ec@inbound.aiesec.org</v>
      </c>
      <c r="F366" s="43">
        <f>IFERROR(__xludf.DUMMYFUNCTION("""COMPUTED_VALUE"""),5.422075002E9)</f>
        <v>5422075002</v>
      </c>
      <c r="G366" s="43" t="str">
        <f>IFERROR(__xludf.DUMMYFUNCTION("""COMPUTED_VALUE"""),"Turkey")</f>
        <v>Turkey</v>
      </c>
      <c r="H366" s="43" t="str">
        <f>IFERROR(__xludf.DUMMYFUNCTION("""COMPUTED_VALUE"""),"ISTANBUL WEST")</f>
        <v>ISTANBUL WEST</v>
      </c>
      <c r="I366" s="43" t="str">
        <f>IFERROR(__xludf.DUMMYFUNCTION("""COMPUTED_VALUE"""),"Egypt")</f>
        <v>Egypt</v>
      </c>
      <c r="J366" s="43" t="str">
        <f>IFERROR(__xludf.DUMMYFUNCTION("""COMPUTED_VALUE"""),"Tanta")</f>
        <v>Tanta</v>
      </c>
      <c r="K366" s="44" t="str">
        <f>IFERROR(__xludf.DUMMYFUNCTION("""COMPUTED_VALUE"""),"https://expa.aiesec.org/opportunities/1288609")</f>
        <v>https://expa.aiesec.org/opportunities/1288609</v>
      </c>
      <c r="L366" s="43" t="str">
        <f>IFERROR(__xludf.DUMMYFUNCTION("""COMPUTED_VALUE"""),"GV")</f>
        <v>GV</v>
      </c>
      <c r="M366" s="43" t="str">
        <f>IFERROR(__xludf.DUMMYFUNCTION("""COMPUTED_VALUE"""),"short")</f>
        <v>short</v>
      </c>
      <c r="N366" s="45">
        <f>IFERROR(__xludf.DUMMYFUNCTION("""COMPUTED_VALUE"""),44992.0)</f>
        <v>44992</v>
      </c>
      <c r="O366" s="45">
        <f>IFERROR(__xludf.DUMMYFUNCTION("""COMPUTED_VALUE"""),45108.0)</f>
        <v>45108</v>
      </c>
      <c r="P366" s="45">
        <f>IFERROR(__xludf.DUMMYFUNCTION("""COMPUTED_VALUE"""),45150.0)</f>
        <v>45150</v>
      </c>
      <c r="Q366" s="45">
        <f>IFERROR(__xludf.DUMMYFUNCTION("""COMPUTED_VALUE"""),45109.0)</f>
        <v>45109</v>
      </c>
      <c r="R366" s="45">
        <f>IFERROR(__xludf.DUMMYFUNCTION("""COMPUTED_VALUE"""),45150.0)</f>
        <v>45150</v>
      </c>
      <c r="S366" s="43"/>
      <c r="T366" s="43"/>
      <c r="U366" s="43" t="str">
        <f>IFERROR(__xludf.DUMMYFUNCTION("""COMPUTED_VALUE"""),"On The Map")</f>
        <v>On The Map</v>
      </c>
      <c r="V366" s="43" t="str">
        <f>IFERROR(__xludf.DUMMYFUNCTION("""COMPUTED_VALUE"""),"ISTANBUL - BAKIRKOY")</f>
        <v>ISTANBUL - BAKIRKOY</v>
      </c>
      <c r="W366" s="43" t="str">
        <f>IFERROR(__xludf.DUMMYFUNCTION("""COMPUTED_VALUE"""),"2023-03-05T12:18:09Z")</f>
        <v>2023-03-05T12:18:09Z</v>
      </c>
      <c r="X366" s="43"/>
      <c r="Y366" s="43"/>
      <c r="Z366" s="43"/>
    </row>
    <row r="367" hidden="1">
      <c r="A367" s="43" t="str">
        <f>IFERROR(__xludf.DUMMYFUNCTION("""COMPUTED_VALUE"""),"5183912_1282593")</f>
        <v>5183912_1282593</v>
      </c>
      <c r="B367" s="43" t="str">
        <f>IFERROR(__xludf.DUMMYFUNCTION("""COMPUTED_VALUE"""),"Tanju Mutlu")</f>
        <v>Tanju Mutlu</v>
      </c>
      <c r="C367" s="43" t="str">
        <f>IFERROR(__xludf.DUMMYFUNCTION("""COMPUTED_VALUE"""),"completed")</f>
        <v>completed</v>
      </c>
      <c r="D367" s="43" t="str">
        <f>IFERROR(__xludf.DUMMYFUNCTION("""COMPUTED_VALUE"""),"No")</f>
        <v>No</v>
      </c>
      <c r="E367" s="43" t="str">
        <f>IFERROR(__xludf.DUMMYFUNCTION("""COMPUTED_VALUE"""),"p_4c677d8469afdd2a51feea0c0de35d0ad600b045@inbound.aiesec.org")</f>
        <v>p_4c677d8469afdd2a51feea0c0de35d0ad600b045@inbound.aiesec.org</v>
      </c>
      <c r="F367" s="43"/>
      <c r="G367" s="43" t="str">
        <f>IFERROR(__xludf.DUMMYFUNCTION("""COMPUTED_VALUE"""),"Turkey")</f>
        <v>Turkey</v>
      </c>
      <c r="H367" s="43" t="str">
        <f>IFERROR(__xludf.DUMMYFUNCTION("""COMPUTED_VALUE"""),"ISTANBUL ASIA")</f>
        <v>ISTANBUL ASIA</v>
      </c>
      <c r="I367" s="43" t="str">
        <f>IFERROR(__xludf.DUMMYFUNCTION("""COMPUTED_VALUE"""),"Tanzania")</f>
        <v>Tanzania</v>
      </c>
      <c r="J367" s="43" t="str">
        <f>IFERROR(__xludf.DUMMYFUNCTION("""COMPUTED_VALUE"""),"KILIMANJARO")</f>
        <v>KILIMANJARO</v>
      </c>
      <c r="K367" s="44" t="str">
        <f>IFERROR(__xludf.DUMMYFUNCTION("""COMPUTED_VALUE"""),"https://expa.aiesec.org/opportunities/1282593")</f>
        <v>https://expa.aiesec.org/opportunities/1282593</v>
      </c>
      <c r="L367" s="43" t="str">
        <f>IFERROR(__xludf.DUMMYFUNCTION("""COMPUTED_VALUE"""),"GV")</f>
        <v>GV</v>
      </c>
      <c r="M367" s="43" t="str">
        <f>IFERROR(__xludf.DUMMYFUNCTION("""COMPUTED_VALUE"""),"short")</f>
        <v>short</v>
      </c>
      <c r="N367" s="45">
        <f>IFERROR(__xludf.DUMMYFUNCTION("""COMPUTED_VALUE"""),44992.0)</f>
        <v>44992</v>
      </c>
      <c r="O367" s="45">
        <f>IFERROR(__xludf.DUMMYFUNCTION("""COMPUTED_VALUE"""),45152.0)</f>
        <v>45152</v>
      </c>
      <c r="P367" s="45">
        <f>IFERROR(__xludf.DUMMYFUNCTION("""COMPUTED_VALUE"""),45194.0)</f>
        <v>45194</v>
      </c>
      <c r="Q367" s="45">
        <f>IFERROR(__xludf.DUMMYFUNCTION("""COMPUTED_VALUE"""),45150.0)</f>
        <v>45150</v>
      </c>
      <c r="R367" s="45">
        <f>IFERROR(__xludf.DUMMYFUNCTION("""COMPUTED_VALUE"""),45194.0)</f>
        <v>45194</v>
      </c>
      <c r="S367" s="43"/>
      <c r="T367" s="43"/>
      <c r="U367" s="43" t="str">
        <f>IFERROR(__xludf.DUMMYFUNCTION("""COMPUTED_VALUE"""),"Global Classroom")</f>
        <v>Global Classroom</v>
      </c>
      <c r="V367" s="43" t="str">
        <f>IFERROR(__xludf.DUMMYFUNCTION("""COMPUTED_VALUE"""),"-")</f>
        <v>-</v>
      </c>
      <c r="W367" s="43" t="str">
        <f>IFERROR(__xludf.DUMMYFUNCTION("""COMPUTED_VALUE"""),"2023-02-02T08:03:36Z")</f>
        <v>2023-02-02T08:03:36Z</v>
      </c>
      <c r="X367" s="43"/>
      <c r="Y367" s="43"/>
      <c r="Z367" s="43"/>
    </row>
    <row r="368" hidden="1">
      <c r="A368" s="43" t="str">
        <f>IFERROR(__xludf.DUMMYFUNCTION("""COMPUTED_VALUE"""),"5182749_1290394")</f>
        <v>5182749_1290394</v>
      </c>
      <c r="B368" s="43" t="str">
        <f>IFERROR(__xludf.DUMMYFUNCTION("""COMPUTED_VALUE"""),"Esma Rabia Çuhacı")</f>
        <v>Esma Rabia Çuhacı</v>
      </c>
      <c r="C368" s="43" t="str">
        <f>IFERROR(__xludf.DUMMYFUNCTION("""COMPUTED_VALUE"""),"completed")</f>
        <v>completed</v>
      </c>
      <c r="D368" s="43" t="str">
        <f>IFERROR(__xludf.DUMMYFUNCTION("""COMPUTED_VALUE"""),"No")</f>
        <v>No</v>
      </c>
      <c r="E368" s="43" t="str">
        <f>IFERROR(__xludf.DUMMYFUNCTION("""COMPUTED_VALUE"""),"p_0bdc1ce34df5499c9654764193c8483b22d50d76@inbound.aiesec.org")</f>
        <v>p_0bdc1ce34df5499c9654764193c8483b22d50d76@inbound.aiesec.org</v>
      </c>
      <c r="F368" s="43"/>
      <c r="G368" s="43" t="str">
        <f>IFERROR(__xludf.DUMMYFUNCTION("""COMPUTED_VALUE"""),"Turkey")</f>
        <v>Turkey</v>
      </c>
      <c r="H368" s="43" t="str">
        <f>IFERROR(__xludf.DUMMYFUNCTION("""COMPUTED_VALUE"""),"ISTANBUL WEST")</f>
        <v>ISTANBUL WEST</v>
      </c>
      <c r="I368" s="43" t="str">
        <f>IFERROR(__xludf.DUMMYFUNCTION("""COMPUTED_VALUE"""),"Egypt")</f>
        <v>Egypt</v>
      </c>
      <c r="J368" s="43" t="str">
        <f>IFERROR(__xludf.DUMMYFUNCTION("""COMPUTED_VALUE"""),"Ain Shams University")</f>
        <v>Ain Shams University</v>
      </c>
      <c r="K368" s="44" t="str">
        <f>IFERROR(__xludf.DUMMYFUNCTION("""COMPUTED_VALUE"""),"https://expa.aiesec.org/opportunities/1290394")</f>
        <v>https://expa.aiesec.org/opportunities/1290394</v>
      </c>
      <c r="L368" s="43" t="str">
        <f>IFERROR(__xludf.DUMMYFUNCTION("""COMPUTED_VALUE"""),"GV")</f>
        <v>GV</v>
      </c>
      <c r="M368" s="43" t="str">
        <f>IFERROR(__xludf.DUMMYFUNCTION("""COMPUTED_VALUE"""),"short")</f>
        <v>short</v>
      </c>
      <c r="N368" s="45">
        <f>IFERROR(__xludf.DUMMYFUNCTION("""COMPUTED_VALUE"""),44992.0)</f>
        <v>44992</v>
      </c>
      <c r="O368" s="45">
        <f>IFERROR(__xludf.DUMMYFUNCTION("""COMPUTED_VALUE"""),45122.0)</f>
        <v>45122</v>
      </c>
      <c r="P368" s="45">
        <f>IFERROR(__xludf.DUMMYFUNCTION("""COMPUTED_VALUE"""),45164.0)</f>
        <v>45164</v>
      </c>
      <c r="Q368" s="45">
        <f>IFERROR(__xludf.DUMMYFUNCTION("""COMPUTED_VALUE"""),45121.0)</f>
        <v>45121</v>
      </c>
      <c r="R368" s="45">
        <f>IFERROR(__xludf.DUMMYFUNCTION("""COMPUTED_VALUE"""),45165.0)</f>
        <v>45165</v>
      </c>
      <c r="S368" s="43"/>
      <c r="T368" s="43"/>
      <c r="U368" s="43" t="str">
        <f>IFERROR(__xludf.DUMMYFUNCTION("""COMPUTED_VALUE"""),"Global Classroom")</f>
        <v>Global Classroom</v>
      </c>
      <c r="V368" s="43" t="str">
        <f>IFERROR(__xludf.DUMMYFUNCTION("""COMPUTED_VALUE"""),"-")</f>
        <v>-</v>
      </c>
      <c r="W368" s="43" t="str">
        <f>IFERROR(__xludf.DUMMYFUNCTION("""COMPUTED_VALUE"""),"2023-01-31T12:03:35Z")</f>
        <v>2023-01-31T12:03:35Z</v>
      </c>
      <c r="X368" s="43"/>
      <c r="Y368" s="43"/>
      <c r="Z368" s="43"/>
    </row>
    <row r="369" hidden="1">
      <c r="A369" s="43" t="str">
        <f>IFERROR(__xludf.DUMMYFUNCTION("""COMPUTED_VALUE"""),"5194794_1292549")</f>
        <v>5194794_1292549</v>
      </c>
      <c r="B369" s="43" t="str">
        <f>IFERROR(__xludf.DUMMYFUNCTION("""COMPUTED_VALUE"""),"Beyza Serim")</f>
        <v>Beyza Serim</v>
      </c>
      <c r="C369" s="43" t="str">
        <f>IFERROR(__xludf.DUMMYFUNCTION("""COMPUTED_VALUE"""),"completed")</f>
        <v>completed</v>
      </c>
      <c r="D369" s="43" t="str">
        <f>IFERROR(__xludf.DUMMYFUNCTION("""COMPUTED_VALUE"""),"No")</f>
        <v>No</v>
      </c>
      <c r="E369" s="43" t="str">
        <f>IFERROR(__xludf.DUMMYFUNCTION("""COMPUTED_VALUE"""),"p_9c6d4f38f6e963ef924af0dfffe7053258d84953@inbound.aiesec.org")</f>
        <v>p_9c6d4f38f6e963ef924af0dfffe7053258d84953@inbound.aiesec.org</v>
      </c>
      <c r="F369" s="43">
        <f>IFERROR(__xludf.DUMMYFUNCTION("""COMPUTED_VALUE"""),5.302270805E9)</f>
        <v>5302270805</v>
      </c>
      <c r="G369" s="43" t="str">
        <f>IFERROR(__xludf.DUMMYFUNCTION("""COMPUTED_VALUE"""),"Turkey")</f>
        <v>Turkey</v>
      </c>
      <c r="H369" s="43" t="str">
        <f>IFERROR(__xludf.DUMMYFUNCTION("""COMPUTED_VALUE"""),"ISTANBUL")</f>
        <v>ISTANBUL</v>
      </c>
      <c r="I369" s="43" t="str">
        <f>IFERROR(__xludf.DUMMYFUNCTION("""COMPUTED_VALUE"""),"Tunisia")</f>
        <v>Tunisia</v>
      </c>
      <c r="J369" s="43" t="str">
        <f>IFERROR(__xludf.DUMMYFUNCTION("""COMPUTED_VALUE"""),"UNIVERSITY")</f>
        <v>UNIVERSITY</v>
      </c>
      <c r="K369" s="44" t="str">
        <f>IFERROR(__xludf.DUMMYFUNCTION("""COMPUTED_VALUE"""),"https://expa.aiesec.org/opportunities/1292549")</f>
        <v>https://expa.aiesec.org/opportunities/1292549</v>
      </c>
      <c r="L369" s="43" t="str">
        <f>IFERROR(__xludf.DUMMYFUNCTION("""COMPUTED_VALUE"""),"GV")</f>
        <v>GV</v>
      </c>
      <c r="M369" s="43" t="str">
        <f>IFERROR(__xludf.DUMMYFUNCTION("""COMPUTED_VALUE"""),"short")</f>
        <v>short</v>
      </c>
      <c r="N369" s="45">
        <f>IFERROR(__xludf.DUMMYFUNCTION("""COMPUTED_VALUE"""),44993.0)</f>
        <v>44993</v>
      </c>
      <c r="O369" s="45">
        <f>IFERROR(__xludf.DUMMYFUNCTION("""COMPUTED_VALUE"""),45120.0)</f>
        <v>45120</v>
      </c>
      <c r="P369" s="45">
        <f>IFERROR(__xludf.DUMMYFUNCTION("""COMPUTED_VALUE"""),45164.0)</f>
        <v>45164</v>
      </c>
      <c r="Q369" s="45">
        <f>IFERROR(__xludf.DUMMYFUNCTION("""COMPUTED_VALUE"""),45120.0)</f>
        <v>45120</v>
      </c>
      <c r="R369" s="45">
        <f>IFERROR(__xludf.DUMMYFUNCTION("""COMPUTED_VALUE"""),45164.0)</f>
        <v>45164</v>
      </c>
      <c r="S369" s="43"/>
      <c r="T369" s="43"/>
      <c r="U369" s="43" t="str">
        <f>IFERROR(__xludf.DUMMYFUNCTION("""COMPUTED_VALUE"""),"On The Map")</f>
        <v>On The Map</v>
      </c>
      <c r="V369" s="43" t="str">
        <f>IFERROR(__xludf.DUMMYFUNCTION("""COMPUTED_VALUE"""),"ISTANBUL - BEYOGLU")</f>
        <v>ISTANBUL - BEYOGLU</v>
      </c>
      <c r="W369" s="43" t="str">
        <f>IFERROR(__xludf.DUMMYFUNCTION("""COMPUTED_VALUE"""),"2023-02-19T21:07:20Z")</f>
        <v>2023-02-19T21:07:20Z</v>
      </c>
      <c r="X369" s="43"/>
      <c r="Y369" s="43"/>
      <c r="Z369" s="43"/>
    </row>
    <row r="370" hidden="1">
      <c r="A370" s="43" t="str">
        <f>IFERROR(__xludf.DUMMYFUNCTION("""COMPUTED_VALUE"""),"5207690_1291369")</f>
        <v>5207690_1291369</v>
      </c>
      <c r="B370" s="43" t="str">
        <f>IFERROR(__xludf.DUMMYFUNCTION("""COMPUTED_VALUE"""),"SELİN DEMİRKÖPRÜ")</f>
        <v>SELİN DEMİRKÖPRÜ</v>
      </c>
      <c r="C370" s="43" t="str">
        <f>IFERROR(__xludf.DUMMYFUNCTION("""COMPUTED_VALUE"""),"approved")</f>
        <v>approved</v>
      </c>
      <c r="D370" s="43" t="str">
        <f>IFERROR(__xludf.DUMMYFUNCTION("""COMPUTED_VALUE"""),"No")</f>
        <v>No</v>
      </c>
      <c r="E370" s="43" t="str">
        <f>IFERROR(__xludf.DUMMYFUNCTION("""COMPUTED_VALUE"""),"p_3073af8a438630a21e19171e870e5159746bfcea@inbound.aiesec.org")</f>
        <v>p_3073af8a438630a21e19171e870e5159746bfcea@inbound.aiesec.org</v>
      </c>
      <c r="F370" s="43">
        <f>IFERROR(__xludf.DUMMYFUNCTION("""COMPUTED_VALUE"""),5.516507822E9)</f>
        <v>5516507822</v>
      </c>
      <c r="G370" s="43" t="str">
        <f>IFERROR(__xludf.DUMMYFUNCTION("""COMPUTED_VALUE"""),"Turkey")</f>
        <v>Turkey</v>
      </c>
      <c r="H370" s="43" t="str">
        <f>IFERROR(__xludf.DUMMYFUNCTION("""COMPUTED_VALUE"""),"ISTANBUL")</f>
        <v>ISTANBUL</v>
      </c>
      <c r="I370" s="43" t="str">
        <f>IFERROR(__xludf.DUMMYFUNCTION("""COMPUTED_VALUE"""),"Egypt")</f>
        <v>Egypt</v>
      </c>
      <c r="J370" s="43" t="str">
        <f>IFERROR(__xludf.DUMMYFUNCTION("""COMPUTED_VALUE"""),"GUC")</f>
        <v>GUC</v>
      </c>
      <c r="K370" s="44" t="str">
        <f>IFERROR(__xludf.DUMMYFUNCTION("""COMPUTED_VALUE"""),"https://expa.aiesec.org/opportunities/1291369")</f>
        <v>https://expa.aiesec.org/opportunities/1291369</v>
      </c>
      <c r="L370" s="43" t="str">
        <f>IFERROR(__xludf.DUMMYFUNCTION("""COMPUTED_VALUE"""),"GV")</f>
        <v>GV</v>
      </c>
      <c r="M370" s="43" t="str">
        <f>IFERROR(__xludf.DUMMYFUNCTION("""COMPUTED_VALUE"""),"short")</f>
        <v>short</v>
      </c>
      <c r="N370" s="45">
        <f>IFERROR(__xludf.DUMMYFUNCTION("""COMPUTED_VALUE"""),44993.0)</f>
        <v>44993</v>
      </c>
      <c r="O370" s="45">
        <f>IFERROR(__xludf.DUMMYFUNCTION("""COMPUTED_VALUE"""),45153.0)</f>
        <v>45153</v>
      </c>
      <c r="P370" s="45">
        <f>IFERROR(__xludf.DUMMYFUNCTION("""COMPUTED_VALUE"""),45195.0)</f>
        <v>45195</v>
      </c>
      <c r="Q370" s="45"/>
      <c r="R370" s="45"/>
      <c r="S370" s="43"/>
      <c r="T370" s="43"/>
      <c r="U370" s="43" t="str">
        <f>IFERROR(__xludf.DUMMYFUNCTION("""COMPUTED_VALUE"""),"Green Leaders")</f>
        <v>Green Leaders</v>
      </c>
      <c r="V370" s="43" t="str">
        <f>IFERROR(__xludf.DUMMYFUNCTION("""COMPUTED_VALUE"""),"ISTANBUL - BEYOGLU")</f>
        <v>ISTANBUL - BEYOGLU</v>
      </c>
      <c r="W370" s="43" t="str">
        <f>IFERROR(__xludf.DUMMYFUNCTION("""COMPUTED_VALUE"""),"2023-03-06T17:21:57Z")</f>
        <v>2023-03-06T17:21:57Z</v>
      </c>
      <c r="X370" s="43"/>
      <c r="Y370" s="43"/>
      <c r="Z370" s="43"/>
    </row>
    <row r="371" hidden="1">
      <c r="A371" s="43" t="str">
        <f>IFERROR(__xludf.DUMMYFUNCTION("""COMPUTED_VALUE"""),"5207508_1288843")</f>
        <v>5207508_1288843</v>
      </c>
      <c r="B371" s="43" t="str">
        <f>IFERROR(__xludf.DUMMYFUNCTION("""COMPUTED_VALUE"""),"Ozan Toytoğlu")</f>
        <v>Ozan Toytoğlu</v>
      </c>
      <c r="C371" s="43" t="str">
        <f>IFERROR(__xludf.DUMMYFUNCTION("""COMPUTED_VALUE"""),"completed")</f>
        <v>completed</v>
      </c>
      <c r="D371" s="43" t="str">
        <f>IFERROR(__xludf.DUMMYFUNCTION("""COMPUTED_VALUE"""),"No")</f>
        <v>No</v>
      </c>
      <c r="E371" s="43" t="str">
        <f>IFERROR(__xludf.DUMMYFUNCTION("""COMPUTED_VALUE"""),"p_885f790ecafdebc95564220a5b56e10ed2a6dfa8@inbound.aiesec.org")</f>
        <v>p_885f790ecafdebc95564220a5b56e10ed2a6dfa8@inbound.aiesec.org</v>
      </c>
      <c r="F371" s="43">
        <f>IFERROR(__xludf.DUMMYFUNCTION("""COMPUTED_VALUE"""),5.310838342E9)</f>
        <v>5310838342</v>
      </c>
      <c r="G371" s="43" t="str">
        <f>IFERROR(__xludf.DUMMYFUNCTION("""COMPUTED_VALUE"""),"Turkey")</f>
        <v>Turkey</v>
      </c>
      <c r="H371" s="43" t="str">
        <f>IFERROR(__xludf.DUMMYFUNCTION("""COMPUTED_VALUE"""),"ISTANBUL WEST")</f>
        <v>ISTANBUL WEST</v>
      </c>
      <c r="I371" s="43" t="str">
        <f>IFERROR(__xludf.DUMMYFUNCTION("""COMPUTED_VALUE"""),"Sri Lanka")</f>
        <v>Sri Lanka</v>
      </c>
      <c r="J371" s="43" t="str">
        <f>IFERROR(__xludf.DUMMYFUNCTION("""COMPUTED_VALUE"""),"COLOMBO NORTH")</f>
        <v>COLOMBO NORTH</v>
      </c>
      <c r="K371" s="44" t="str">
        <f>IFERROR(__xludf.DUMMYFUNCTION("""COMPUTED_VALUE"""),"https://expa.aiesec.org/opportunities/1288843")</f>
        <v>https://expa.aiesec.org/opportunities/1288843</v>
      </c>
      <c r="L371" s="43" t="str">
        <f>IFERROR(__xludf.DUMMYFUNCTION("""COMPUTED_VALUE"""),"GV")</f>
        <v>GV</v>
      </c>
      <c r="M371" s="43" t="str">
        <f>IFERROR(__xludf.DUMMYFUNCTION("""COMPUTED_VALUE"""),"short")</f>
        <v>short</v>
      </c>
      <c r="N371" s="45">
        <f>IFERROR(__xludf.DUMMYFUNCTION("""COMPUTED_VALUE"""),44993.0)</f>
        <v>44993</v>
      </c>
      <c r="O371" s="45">
        <f>IFERROR(__xludf.DUMMYFUNCTION("""COMPUTED_VALUE"""),45115.0)</f>
        <v>45115</v>
      </c>
      <c r="P371" s="45">
        <f>IFERROR(__xludf.DUMMYFUNCTION("""COMPUTED_VALUE"""),45157.0)</f>
        <v>45157</v>
      </c>
      <c r="Q371" s="45">
        <f>IFERROR(__xludf.DUMMYFUNCTION("""COMPUTED_VALUE"""),45115.0)</f>
        <v>45115</v>
      </c>
      <c r="R371" s="45">
        <f>IFERROR(__xludf.DUMMYFUNCTION("""COMPUTED_VALUE"""),45157.0)</f>
        <v>45157</v>
      </c>
      <c r="S371" s="43"/>
      <c r="T371" s="43"/>
      <c r="U371" s="43" t="str">
        <f>IFERROR(__xludf.DUMMYFUNCTION("""COMPUTED_VALUE"""),"Green Leaders")</f>
        <v>Green Leaders</v>
      </c>
      <c r="V371" s="43" t="str">
        <f>IFERROR(__xludf.DUMMYFUNCTION("""COMPUTED_VALUE"""),"ISTANBUL - BAKIRKOY")</f>
        <v>ISTANBUL - BAKIRKOY</v>
      </c>
      <c r="W371" s="43" t="str">
        <f>IFERROR(__xludf.DUMMYFUNCTION("""COMPUTED_VALUE"""),"2023-03-06T14:12:36Z")</f>
        <v>2023-03-06T14:12:36Z</v>
      </c>
      <c r="X371" s="43"/>
      <c r="Y371" s="43"/>
      <c r="Z371" s="43"/>
    </row>
    <row r="372" hidden="1">
      <c r="A372" s="43" t="str">
        <f>IFERROR(__xludf.DUMMYFUNCTION("""COMPUTED_VALUE"""),"5205882_1284312")</f>
        <v>5205882_1284312</v>
      </c>
      <c r="B372" s="43" t="str">
        <f>IFERROR(__xludf.DUMMYFUNCTION("""COMPUTED_VALUE"""),"Rabia Yeşilyurt")</f>
        <v>Rabia Yeşilyurt</v>
      </c>
      <c r="C372" s="43" t="str">
        <f>IFERROR(__xludf.DUMMYFUNCTION("""COMPUTED_VALUE"""),"completed")</f>
        <v>completed</v>
      </c>
      <c r="D372" s="43" t="str">
        <f>IFERROR(__xludf.DUMMYFUNCTION("""COMPUTED_VALUE"""),"No")</f>
        <v>No</v>
      </c>
      <c r="E372" s="43" t="str">
        <f>IFERROR(__xludf.DUMMYFUNCTION("""COMPUTED_VALUE"""),"p_49e3bd010b6837a4f1e3d433818d3336b845a0e2@inbound.aiesec.org")</f>
        <v>p_49e3bd010b6837a4f1e3d433818d3336b845a0e2@inbound.aiesec.org</v>
      </c>
      <c r="F372" s="43">
        <f>IFERROR(__xludf.DUMMYFUNCTION("""COMPUTED_VALUE"""),5.439407894E9)</f>
        <v>5439407894</v>
      </c>
      <c r="G372" s="43" t="str">
        <f>IFERROR(__xludf.DUMMYFUNCTION("""COMPUTED_VALUE"""),"Turkey")</f>
        <v>Turkey</v>
      </c>
      <c r="H372" s="43" t="str">
        <f>IFERROR(__xludf.DUMMYFUNCTION("""COMPUTED_VALUE"""),"KOCAELI")</f>
        <v>KOCAELI</v>
      </c>
      <c r="I372" s="43" t="str">
        <f>IFERROR(__xludf.DUMMYFUNCTION("""COMPUTED_VALUE"""),"Sri Lanka")</f>
        <v>Sri Lanka</v>
      </c>
      <c r="J372" s="43" t="str">
        <f>IFERROR(__xludf.DUMMYFUNCTION("""COMPUTED_VALUE"""),"SLIIT")</f>
        <v>SLIIT</v>
      </c>
      <c r="K372" s="44" t="str">
        <f>IFERROR(__xludf.DUMMYFUNCTION("""COMPUTED_VALUE"""),"https://expa.aiesec.org/opportunities/1284312")</f>
        <v>https://expa.aiesec.org/opportunities/1284312</v>
      </c>
      <c r="L372" s="43" t="str">
        <f>IFERROR(__xludf.DUMMYFUNCTION("""COMPUTED_VALUE"""),"GV")</f>
        <v>GV</v>
      </c>
      <c r="M372" s="43" t="str">
        <f>IFERROR(__xludf.DUMMYFUNCTION("""COMPUTED_VALUE"""),"short")</f>
        <v>short</v>
      </c>
      <c r="N372" s="45">
        <f>IFERROR(__xludf.DUMMYFUNCTION("""COMPUTED_VALUE"""),44993.0)</f>
        <v>44993</v>
      </c>
      <c r="O372" s="45">
        <f>IFERROR(__xludf.DUMMYFUNCTION("""COMPUTED_VALUE"""),45139.0)</f>
        <v>45139</v>
      </c>
      <c r="P372" s="45">
        <f>IFERROR(__xludf.DUMMYFUNCTION("""COMPUTED_VALUE"""),45181.0)</f>
        <v>45181</v>
      </c>
      <c r="Q372" s="45">
        <f>IFERROR(__xludf.DUMMYFUNCTION("""COMPUTED_VALUE"""),45140.0)</f>
        <v>45140</v>
      </c>
      <c r="R372" s="45">
        <f>IFERROR(__xludf.DUMMYFUNCTION("""COMPUTED_VALUE"""),45181.0)</f>
        <v>45181</v>
      </c>
      <c r="S372" s="43"/>
      <c r="T372" s="43"/>
      <c r="U372" s="43" t="str">
        <f>IFERROR(__xludf.DUMMYFUNCTION("""COMPUTED_VALUE"""),"On The Map")</f>
        <v>On The Map</v>
      </c>
      <c r="V372" s="43" t="str">
        <f>IFERROR(__xludf.DUMMYFUNCTION("""COMPUTED_VALUE"""),"KARABUK")</f>
        <v>KARABUK</v>
      </c>
      <c r="W372" s="43" t="str">
        <f>IFERROR(__xludf.DUMMYFUNCTION("""COMPUTED_VALUE"""),"2023-03-04T20:06:01Z")</f>
        <v>2023-03-04T20:06:01Z</v>
      </c>
      <c r="X372" s="43"/>
      <c r="Y372" s="43"/>
      <c r="Z372" s="43"/>
    </row>
    <row r="373" hidden="1">
      <c r="A373" s="43" t="str">
        <f>IFERROR(__xludf.DUMMYFUNCTION("""COMPUTED_VALUE"""),"5211352_1284312")</f>
        <v>5211352_1284312</v>
      </c>
      <c r="B373" s="43" t="str">
        <f>IFERROR(__xludf.DUMMYFUNCTION("""COMPUTED_VALUE"""),"Vedat Kahrıman")</f>
        <v>Vedat Kahrıman</v>
      </c>
      <c r="C373" s="43" t="str">
        <f>IFERROR(__xludf.DUMMYFUNCTION("""COMPUTED_VALUE"""),"approved")</f>
        <v>approved</v>
      </c>
      <c r="D373" s="43" t="str">
        <f>IFERROR(__xludf.DUMMYFUNCTION("""COMPUTED_VALUE"""),"No")</f>
        <v>No</v>
      </c>
      <c r="E373" s="43" t="str">
        <f>IFERROR(__xludf.DUMMYFUNCTION("""COMPUTED_VALUE"""),"p_368940c968ac667a52ca682735821772aa477b81@inbound.aiesec.org")</f>
        <v>p_368940c968ac667a52ca682735821772aa477b81@inbound.aiesec.org</v>
      </c>
      <c r="F373" s="43">
        <f>IFERROR(__xludf.DUMMYFUNCTION("""COMPUTED_VALUE"""),5.312688502E9)</f>
        <v>5312688502</v>
      </c>
      <c r="G373" s="43" t="str">
        <f>IFERROR(__xludf.DUMMYFUNCTION("""COMPUTED_VALUE"""),"Turkey")</f>
        <v>Turkey</v>
      </c>
      <c r="H373" s="43" t="str">
        <f>IFERROR(__xludf.DUMMYFUNCTION("""COMPUTED_VALUE"""),"SAKARYA")</f>
        <v>SAKARYA</v>
      </c>
      <c r="I373" s="43" t="str">
        <f>IFERROR(__xludf.DUMMYFUNCTION("""COMPUTED_VALUE"""),"Sri Lanka")</f>
        <v>Sri Lanka</v>
      </c>
      <c r="J373" s="43" t="str">
        <f>IFERROR(__xludf.DUMMYFUNCTION("""COMPUTED_VALUE"""),"SLIIT")</f>
        <v>SLIIT</v>
      </c>
      <c r="K373" s="44" t="str">
        <f>IFERROR(__xludf.DUMMYFUNCTION("""COMPUTED_VALUE"""),"https://expa.aiesec.org/opportunities/1284312")</f>
        <v>https://expa.aiesec.org/opportunities/1284312</v>
      </c>
      <c r="L373" s="43" t="str">
        <f>IFERROR(__xludf.DUMMYFUNCTION("""COMPUTED_VALUE"""),"GV")</f>
        <v>GV</v>
      </c>
      <c r="M373" s="43" t="str">
        <f>IFERROR(__xludf.DUMMYFUNCTION("""COMPUTED_VALUE"""),"short")</f>
        <v>short</v>
      </c>
      <c r="N373" s="45">
        <f>IFERROR(__xludf.DUMMYFUNCTION("""COMPUTED_VALUE"""),44994.0)</f>
        <v>44994</v>
      </c>
      <c r="O373" s="45">
        <f>IFERROR(__xludf.DUMMYFUNCTION("""COMPUTED_VALUE"""),45121.0)</f>
        <v>45121</v>
      </c>
      <c r="P373" s="45">
        <f>IFERROR(__xludf.DUMMYFUNCTION("""COMPUTED_VALUE"""),45163.0)</f>
        <v>45163</v>
      </c>
      <c r="Q373" s="45"/>
      <c r="R373" s="45"/>
      <c r="S373" s="43"/>
      <c r="T373" s="43"/>
      <c r="U373" s="43" t="str">
        <f>IFERROR(__xludf.DUMMYFUNCTION("""COMPUTED_VALUE"""),"On The Map")</f>
        <v>On The Map</v>
      </c>
      <c r="V373" s="43" t="str">
        <f>IFERROR(__xludf.DUMMYFUNCTION("""COMPUTED_VALUE"""),"DUZCE")</f>
        <v>DUZCE</v>
      </c>
      <c r="W373" s="43" t="str">
        <f>IFERROR(__xludf.DUMMYFUNCTION("""COMPUTED_VALUE"""),"2023-03-09T18:28:06Z")</f>
        <v>2023-03-09T18:28:06Z</v>
      </c>
      <c r="X373" s="43"/>
      <c r="Y373" s="43"/>
      <c r="Z373" s="43"/>
    </row>
    <row r="374" hidden="1">
      <c r="A374" s="43" t="str">
        <f>IFERROR(__xludf.DUMMYFUNCTION("""COMPUTED_VALUE"""),"5210274_1290282")</f>
        <v>5210274_1290282</v>
      </c>
      <c r="B374" s="43" t="str">
        <f>IFERROR(__xludf.DUMMYFUNCTION("""COMPUTED_VALUE"""),"Eren Helvaci")</f>
        <v>Eren Helvaci</v>
      </c>
      <c r="C374" s="43" t="str">
        <f>IFERROR(__xludf.DUMMYFUNCTION("""COMPUTED_VALUE"""),"completed")</f>
        <v>completed</v>
      </c>
      <c r="D374" s="43" t="str">
        <f>IFERROR(__xludf.DUMMYFUNCTION("""COMPUTED_VALUE"""),"No")</f>
        <v>No</v>
      </c>
      <c r="E374" s="43" t="str">
        <f>IFERROR(__xludf.DUMMYFUNCTION("""COMPUTED_VALUE"""),"p_ebe531e6e2b646d5a965eac773552697828f49d7@inbound.aiesec.org")</f>
        <v>p_ebe531e6e2b646d5a965eac773552697828f49d7@inbound.aiesec.org</v>
      </c>
      <c r="F374" s="43">
        <f>IFERROR(__xludf.DUMMYFUNCTION("""COMPUTED_VALUE"""),5.061672661E9)</f>
        <v>5061672661</v>
      </c>
      <c r="G374" s="43" t="str">
        <f>IFERROR(__xludf.DUMMYFUNCTION("""COMPUTED_VALUE"""),"Turkey")</f>
        <v>Turkey</v>
      </c>
      <c r="H374" s="43" t="str">
        <f>IFERROR(__xludf.DUMMYFUNCTION("""COMPUTED_VALUE"""),"ISTANBUL")</f>
        <v>ISTANBUL</v>
      </c>
      <c r="I374" s="43" t="str">
        <f>IFERROR(__xludf.DUMMYFUNCTION("""COMPUTED_VALUE"""),"Egypt")</f>
        <v>Egypt</v>
      </c>
      <c r="J374" s="43" t="str">
        <f>IFERROR(__xludf.DUMMYFUNCTION("""COMPUTED_VALUE"""),"GUC")</f>
        <v>GUC</v>
      </c>
      <c r="K374" s="44" t="str">
        <f>IFERROR(__xludf.DUMMYFUNCTION("""COMPUTED_VALUE"""),"https://expa.aiesec.org/opportunities/1290282")</f>
        <v>https://expa.aiesec.org/opportunities/1290282</v>
      </c>
      <c r="L374" s="43" t="str">
        <f>IFERROR(__xludf.DUMMYFUNCTION("""COMPUTED_VALUE"""),"GV")</f>
        <v>GV</v>
      </c>
      <c r="M374" s="43" t="str">
        <f>IFERROR(__xludf.DUMMYFUNCTION("""COMPUTED_VALUE"""),"short")</f>
        <v>short</v>
      </c>
      <c r="N374" s="45">
        <f>IFERROR(__xludf.DUMMYFUNCTION("""COMPUTED_VALUE"""),44994.0)</f>
        <v>44994</v>
      </c>
      <c r="O374" s="45">
        <f>IFERROR(__xludf.DUMMYFUNCTION("""COMPUTED_VALUE"""),45122.0)</f>
        <v>45122</v>
      </c>
      <c r="P374" s="45">
        <f>IFERROR(__xludf.DUMMYFUNCTION("""COMPUTED_VALUE"""),45164.0)</f>
        <v>45164</v>
      </c>
      <c r="Q374" s="45">
        <f>IFERROR(__xludf.DUMMYFUNCTION("""COMPUTED_VALUE"""),45119.0)</f>
        <v>45119</v>
      </c>
      <c r="R374" s="45">
        <f>IFERROR(__xludf.DUMMYFUNCTION("""COMPUTED_VALUE"""),45164.0)</f>
        <v>45164</v>
      </c>
      <c r="S374" s="43"/>
      <c r="T374" s="43"/>
      <c r="U374" s="43" t="str">
        <f>IFERROR(__xludf.DUMMYFUNCTION("""COMPUTED_VALUE"""),"On The Map")</f>
        <v>On The Map</v>
      </c>
      <c r="V374" s="43" t="str">
        <f>IFERROR(__xludf.DUMMYFUNCTION("""COMPUTED_VALUE"""),"ISTANBUL - BEYOGLU")</f>
        <v>ISTANBUL - BEYOGLU</v>
      </c>
      <c r="W374" s="43" t="str">
        <f>IFERROR(__xludf.DUMMYFUNCTION("""COMPUTED_VALUE"""),"2023-03-08T19:34:09Z")</f>
        <v>2023-03-08T19:34:09Z</v>
      </c>
      <c r="X374" s="43"/>
      <c r="Y374" s="43"/>
      <c r="Z374" s="43"/>
    </row>
    <row r="375" hidden="1">
      <c r="A375" s="43" t="str">
        <f>IFERROR(__xludf.DUMMYFUNCTION("""COMPUTED_VALUE"""),"5210273_1290282")</f>
        <v>5210273_1290282</v>
      </c>
      <c r="B375" s="43" t="str">
        <f>IFERROR(__xludf.DUMMYFUNCTION("""COMPUTED_VALUE"""),"Kagan Buyukdereli")</f>
        <v>Kagan Buyukdereli</v>
      </c>
      <c r="C375" s="43" t="str">
        <f>IFERROR(__xludf.DUMMYFUNCTION("""COMPUTED_VALUE"""),"completed")</f>
        <v>completed</v>
      </c>
      <c r="D375" s="43" t="str">
        <f>IFERROR(__xludf.DUMMYFUNCTION("""COMPUTED_VALUE"""),"No")</f>
        <v>No</v>
      </c>
      <c r="E375" s="43" t="str">
        <f>IFERROR(__xludf.DUMMYFUNCTION("""COMPUTED_VALUE"""),"p_d1305479c3a45a36df69b306e058cd4a55470560@inbound.aiesec.org")</f>
        <v>p_d1305479c3a45a36df69b306e058cd4a55470560@inbound.aiesec.org</v>
      </c>
      <c r="F375" s="43">
        <f>IFERROR(__xludf.DUMMYFUNCTION("""COMPUTED_VALUE"""),5.38853884E9)</f>
        <v>5388538840</v>
      </c>
      <c r="G375" s="43" t="str">
        <f>IFERROR(__xludf.DUMMYFUNCTION("""COMPUTED_VALUE"""),"Turkey")</f>
        <v>Turkey</v>
      </c>
      <c r="H375" s="43" t="str">
        <f>IFERROR(__xludf.DUMMYFUNCTION("""COMPUTED_VALUE"""),"ISTANBUL")</f>
        <v>ISTANBUL</v>
      </c>
      <c r="I375" s="43" t="str">
        <f>IFERROR(__xludf.DUMMYFUNCTION("""COMPUTED_VALUE"""),"Egypt")</f>
        <v>Egypt</v>
      </c>
      <c r="J375" s="43" t="str">
        <f>IFERROR(__xludf.DUMMYFUNCTION("""COMPUTED_VALUE"""),"GUC")</f>
        <v>GUC</v>
      </c>
      <c r="K375" s="44" t="str">
        <f>IFERROR(__xludf.DUMMYFUNCTION("""COMPUTED_VALUE"""),"https://expa.aiesec.org/opportunities/1290282")</f>
        <v>https://expa.aiesec.org/opportunities/1290282</v>
      </c>
      <c r="L375" s="43" t="str">
        <f>IFERROR(__xludf.DUMMYFUNCTION("""COMPUTED_VALUE"""),"GV")</f>
        <v>GV</v>
      </c>
      <c r="M375" s="43" t="str">
        <f>IFERROR(__xludf.DUMMYFUNCTION("""COMPUTED_VALUE"""),"short")</f>
        <v>short</v>
      </c>
      <c r="N375" s="45">
        <f>IFERROR(__xludf.DUMMYFUNCTION("""COMPUTED_VALUE"""),44994.0)</f>
        <v>44994</v>
      </c>
      <c r="O375" s="45">
        <f>IFERROR(__xludf.DUMMYFUNCTION("""COMPUTED_VALUE"""),45122.0)</f>
        <v>45122</v>
      </c>
      <c r="P375" s="45">
        <f>IFERROR(__xludf.DUMMYFUNCTION("""COMPUTED_VALUE"""),45164.0)</f>
        <v>45164</v>
      </c>
      <c r="Q375" s="45">
        <f>IFERROR(__xludf.DUMMYFUNCTION("""COMPUTED_VALUE"""),45119.0)</f>
        <v>45119</v>
      </c>
      <c r="R375" s="45">
        <f>IFERROR(__xludf.DUMMYFUNCTION("""COMPUTED_VALUE"""),45164.0)</f>
        <v>45164</v>
      </c>
      <c r="S375" s="43"/>
      <c r="T375" s="43"/>
      <c r="U375" s="43" t="str">
        <f>IFERROR(__xludf.DUMMYFUNCTION("""COMPUTED_VALUE"""),"On The Map")</f>
        <v>On The Map</v>
      </c>
      <c r="V375" s="43" t="str">
        <f>IFERROR(__xludf.DUMMYFUNCTION("""COMPUTED_VALUE"""),"ISTANBUL - BEYOGLU")</f>
        <v>ISTANBUL - BEYOGLU</v>
      </c>
      <c r="W375" s="43" t="str">
        <f>IFERROR(__xludf.DUMMYFUNCTION("""COMPUTED_VALUE"""),"2023-03-08T19:34:05Z")</f>
        <v>2023-03-08T19:34:05Z</v>
      </c>
      <c r="X375" s="43"/>
      <c r="Y375" s="43"/>
      <c r="Z375" s="43"/>
    </row>
    <row r="376" hidden="1">
      <c r="A376" s="43" t="str">
        <f>IFERROR(__xludf.DUMMYFUNCTION("""COMPUTED_VALUE"""),"5209070_1292844")</f>
        <v>5209070_1292844</v>
      </c>
      <c r="B376" s="43" t="str">
        <f>IFERROR(__xludf.DUMMYFUNCTION("""COMPUTED_VALUE"""),"Halime Çelik")</f>
        <v>Halime Çelik</v>
      </c>
      <c r="C376" s="43" t="str">
        <f>IFERROR(__xludf.DUMMYFUNCTION("""COMPUTED_VALUE"""),"completed")</f>
        <v>completed</v>
      </c>
      <c r="D376" s="43" t="str">
        <f>IFERROR(__xludf.DUMMYFUNCTION("""COMPUTED_VALUE"""),"No")</f>
        <v>No</v>
      </c>
      <c r="E376" s="43" t="str">
        <f>IFERROR(__xludf.DUMMYFUNCTION("""COMPUTED_VALUE"""),"p_284a242d4387b39162ebe520ef0be89bb28c87ed@inbound.aiesec.org")</f>
        <v>p_284a242d4387b39162ebe520ef0be89bb28c87ed@inbound.aiesec.org</v>
      </c>
      <c r="F376" s="43"/>
      <c r="G376" s="43" t="str">
        <f>IFERROR(__xludf.DUMMYFUNCTION("""COMPUTED_VALUE"""),"Turkey")</f>
        <v>Turkey</v>
      </c>
      <c r="H376" s="43" t="str">
        <f>IFERROR(__xludf.DUMMYFUNCTION("""COMPUTED_VALUE"""),"KONYA")</f>
        <v>KONYA</v>
      </c>
      <c r="I376" s="43" t="str">
        <f>IFERROR(__xludf.DUMMYFUNCTION("""COMPUTED_VALUE"""),"Egypt")</f>
        <v>Egypt</v>
      </c>
      <c r="J376" s="43" t="str">
        <f>IFERROR(__xludf.DUMMYFUNCTION("""COMPUTED_VALUE"""),"Zagazig")</f>
        <v>Zagazig</v>
      </c>
      <c r="K376" s="44" t="str">
        <f>IFERROR(__xludf.DUMMYFUNCTION("""COMPUTED_VALUE"""),"https://expa.aiesec.org/opportunities/1292844")</f>
        <v>https://expa.aiesec.org/opportunities/1292844</v>
      </c>
      <c r="L376" s="43" t="str">
        <f>IFERROR(__xludf.DUMMYFUNCTION("""COMPUTED_VALUE"""),"GV")</f>
        <v>GV</v>
      </c>
      <c r="M376" s="43" t="str">
        <f>IFERROR(__xludf.DUMMYFUNCTION("""COMPUTED_VALUE"""),"short")</f>
        <v>short</v>
      </c>
      <c r="N376" s="45">
        <f>IFERROR(__xludf.DUMMYFUNCTION("""COMPUTED_VALUE"""),44994.0)</f>
        <v>44994</v>
      </c>
      <c r="O376" s="45">
        <f>IFERROR(__xludf.DUMMYFUNCTION("""COMPUTED_VALUE"""),45139.0)</f>
        <v>45139</v>
      </c>
      <c r="P376" s="45">
        <f>IFERROR(__xludf.DUMMYFUNCTION("""COMPUTED_VALUE"""),45181.0)</f>
        <v>45181</v>
      </c>
      <c r="Q376" s="45">
        <f>IFERROR(__xludf.DUMMYFUNCTION("""COMPUTED_VALUE"""),45139.0)</f>
        <v>45139</v>
      </c>
      <c r="R376" s="45">
        <f>IFERROR(__xludf.DUMMYFUNCTION("""COMPUTED_VALUE"""),45181.0)</f>
        <v>45181</v>
      </c>
      <c r="S376" s="43"/>
      <c r="T376" s="43"/>
      <c r="U376" s="43" t="str">
        <f>IFERROR(__xludf.DUMMYFUNCTION("""COMPUTED_VALUE"""),"On The Map")</f>
        <v>On The Map</v>
      </c>
      <c r="V376" s="43" t="str">
        <f>IFERROR(__xludf.DUMMYFUNCTION("""COMPUTED_VALUE"""),"KONYA")</f>
        <v>KONYA</v>
      </c>
      <c r="W376" s="43" t="str">
        <f>IFERROR(__xludf.DUMMYFUNCTION("""COMPUTED_VALUE"""),"2023-03-07T19:36:43Z")</f>
        <v>2023-03-07T19:36:43Z</v>
      </c>
      <c r="X376" s="43"/>
      <c r="Y376" s="43"/>
      <c r="Z376" s="43"/>
    </row>
    <row r="377" hidden="1">
      <c r="A377" s="43" t="str">
        <f>IFERROR(__xludf.DUMMYFUNCTION("""COMPUTED_VALUE"""),"5208795_1288843")</f>
        <v>5208795_1288843</v>
      </c>
      <c r="B377" s="43" t="str">
        <f>IFERROR(__xludf.DUMMYFUNCTION("""COMPUTED_VALUE"""),"Arda Çırpanlı")</f>
        <v>Arda Çırpanlı</v>
      </c>
      <c r="C377" s="43" t="str">
        <f>IFERROR(__xludf.DUMMYFUNCTION("""COMPUTED_VALUE"""),"approved")</f>
        <v>approved</v>
      </c>
      <c r="D377" s="43" t="str">
        <f>IFERROR(__xludf.DUMMYFUNCTION("""COMPUTED_VALUE"""),"No")</f>
        <v>No</v>
      </c>
      <c r="E377" s="43" t="str">
        <f>IFERROR(__xludf.DUMMYFUNCTION("""COMPUTED_VALUE"""),"p_a507f2b1bb4102c4070bf118759747a405baaead@inbound.aiesec.org")</f>
        <v>p_a507f2b1bb4102c4070bf118759747a405baaead@inbound.aiesec.org</v>
      </c>
      <c r="F377" s="43">
        <f>IFERROR(__xludf.DUMMYFUNCTION("""COMPUTED_VALUE"""),5.35323605E9)</f>
        <v>5353236050</v>
      </c>
      <c r="G377" s="43" t="str">
        <f>IFERROR(__xludf.DUMMYFUNCTION("""COMPUTED_VALUE"""),"Turkey")</f>
        <v>Turkey</v>
      </c>
      <c r="H377" s="43" t="str">
        <f>IFERROR(__xludf.DUMMYFUNCTION("""COMPUTED_VALUE"""),"ISTANBUL WEST")</f>
        <v>ISTANBUL WEST</v>
      </c>
      <c r="I377" s="43" t="str">
        <f>IFERROR(__xludf.DUMMYFUNCTION("""COMPUTED_VALUE"""),"Sri Lanka")</f>
        <v>Sri Lanka</v>
      </c>
      <c r="J377" s="43" t="str">
        <f>IFERROR(__xludf.DUMMYFUNCTION("""COMPUTED_VALUE"""),"COLOMBO NORTH")</f>
        <v>COLOMBO NORTH</v>
      </c>
      <c r="K377" s="44" t="str">
        <f>IFERROR(__xludf.DUMMYFUNCTION("""COMPUTED_VALUE"""),"https://expa.aiesec.org/opportunities/1288843")</f>
        <v>https://expa.aiesec.org/opportunities/1288843</v>
      </c>
      <c r="L377" s="43" t="str">
        <f>IFERROR(__xludf.DUMMYFUNCTION("""COMPUTED_VALUE"""),"GV")</f>
        <v>GV</v>
      </c>
      <c r="M377" s="43" t="str">
        <f>IFERROR(__xludf.DUMMYFUNCTION("""COMPUTED_VALUE"""),"short")</f>
        <v>short</v>
      </c>
      <c r="N377" s="45">
        <f>IFERROR(__xludf.DUMMYFUNCTION("""COMPUTED_VALUE"""),44994.0)</f>
        <v>44994</v>
      </c>
      <c r="O377" s="45">
        <f>IFERROR(__xludf.DUMMYFUNCTION("""COMPUTED_VALUE"""),45185.0)</f>
        <v>45185</v>
      </c>
      <c r="P377" s="45">
        <f>IFERROR(__xludf.DUMMYFUNCTION("""COMPUTED_VALUE"""),45227.0)</f>
        <v>45227</v>
      </c>
      <c r="Q377" s="45"/>
      <c r="R377" s="45"/>
      <c r="S377" s="43"/>
      <c r="T377" s="43"/>
      <c r="U377" s="43" t="str">
        <f>IFERROR(__xludf.DUMMYFUNCTION("""COMPUTED_VALUE"""),"Green Leaders")</f>
        <v>Green Leaders</v>
      </c>
      <c r="V377" s="43" t="str">
        <f>IFERROR(__xludf.DUMMYFUNCTION("""COMPUTED_VALUE"""),"ISTANBUL - BAKIRKOY")</f>
        <v>ISTANBUL - BAKIRKOY</v>
      </c>
      <c r="W377" s="43" t="str">
        <f>IFERROR(__xludf.DUMMYFUNCTION("""COMPUTED_VALUE"""),"2023-03-07T15:19:09Z")</f>
        <v>2023-03-07T15:19:09Z</v>
      </c>
      <c r="X377" s="43"/>
      <c r="Y377" s="43"/>
      <c r="Z377" s="43"/>
    </row>
    <row r="378" hidden="1">
      <c r="A378" s="43" t="str">
        <f>IFERROR(__xludf.DUMMYFUNCTION("""COMPUTED_VALUE"""),"5208509_1284312")</f>
        <v>5208509_1284312</v>
      </c>
      <c r="B378" s="43" t="str">
        <f>IFERROR(__xludf.DUMMYFUNCTION("""COMPUTED_VALUE"""),"İkra Yağmur Koç")</f>
        <v>İkra Yağmur Koç</v>
      </c>
      <c r="C378" s="43" t="str">
        <f>IFERROR(__xludf.DUMMYFUNCTION("""COMPUTED_VALUE"""),"approved")</f>
        <v>approved</v>
      </c>
      <c r="D378" s="43" t="str">
        <f>IFERROR(__xludf.DUMMYFUNCTION("""COMPUTED_VALUE"""),"No")</f>
        <v>No</v>
      </c>
      <c r="E378" s="43" t="str">
        <f>IFERROR(__xludf.DUMMYFUNCTION("""COMPUTED_VALUE"""),"p_937d7b509fc7ec441262b1ef344c5ce76806a21c@inbound.aiesec.org")</f>
        <v>p_937d7b509fc7ec441262b1ef344c5ce76806a21c@inbound.aiesec.org</v>
      </c>
      <c r="F378" s="43"/>
      <c r="G378" s="43" t="str">
        <f>IFERROR(__xludf.DUMMYFUNCTION("""COMPUTED_VALUE"""),"Turkey")</f>
        <v>Turkey</v>
      </c>
      <c r="H378" s="43" t="str">
        <f>IFERROR(__xludf.DUMMYFUNCTION("""COMPUTED_VALUE"""),"ISTANBUL WEST")</f>
        <v>ISTANBUL WEST</v>
      </c>
      <c r="I378" s="43" t="str">
        <f>IFERROR(__xludf.DUMMYFUNCTION("""COMPUTED_VALUE"""),"Sri Lanka")</f>
        <v>Sri Lanka</v>
      </c>
      <c r="J378" s="43" t="str">
        <f>IFERROR(__xludf.DUMMYFUNCTION("""COMPUTED_VALUE"""),"SLIIT")</f>
        <v>SLIIT</v>
      </c>
      <c r="K378" s="44" t="str">
        <f>IFERROR(__xludf.DUMMYFUNCTION("""COMPUTED_VALUE"""),"https://expa.aiesec.org/opportunities/1284312")</f>
        <v>https://expa.aiesec.org/opportunities/1284312</v>
      </c>
      <c r="L378" s="43" t="str">
        <f>IFERROR(__xludf.DUMMYFUNCTION("""COMPUTED_VALUE"""),"GV")</f>
        <v>GV</v>
      </c>
      <c r="M378" s="43" t="str">
        <f>IFERROR(__xludf.DUMMYFUNCTION("""COMPUTED_VALUE"""),"short")</f>
        <v>short</v>
      </c>
      <c r="N378" s="45">
        <f>IFERROR(__xludf.DUMMYFUNCTION("""COMPUTED_VALUE"""),44994.0)</f>
        <v>44994</v>
      </c>
      <c r="O378" s="45">
        <f>IFERROR(__xludf.DUMMYFUNCTION("""COMPUTED_VALUE"""),45170.0)</f>
        <v>45170</v>
      </c>
      <c r="P378" s="45">
        <f>IFERROR(__xludf.DUMMYFUNCTION("""COMPUTED_VALUE"""),45212.0)</f>
        <v>45212</v>
      </c>
      <c r="Q378" s="45"/>
      <c r="R378" s="45"/>
      <c r="S378" s="43"/>
      <c r="T378" s="43"/>
      <c r="U378" s="43" t="str">
        <f>IFERROR(__xludf.DUMMYFUNCTION("""COMPUTED_VALUE"""),"On The Map")</f>
        <v>On The Map</v>
      </c>
      <c r="V378" s="43" t="str">
        <f>IFERROR(__xludf.DUMMYFUNCTION("""COMPUTED_VALUE"""),"-")</f>
        <v>-</v>
      </c>
      <c r="W378" s="43" t="str">
        <f>IFERROR(__xludf.DUMMYFUNCTION("""COMPUTED_VALUE"""),"2023-03-07T11:31:49Z")</f>
        <v>2023-03-07T11:31:49Z</v>
      </c>
      <c r="X378" s="43"/>
      <c r="Y378" s="43"/>
      <c r="Z378" s="43"/>
    </row>
    <row r="379" hidden="1">
      <c r="A379" s="43" t="str">
        <f>IFERROR(__xludf.DUMMYFUNCTION("""COMPUTED_VALUE"""),"4762899_1292571")</f>
        <v>4762899_1292571</v>
      </c>
      <c r="B379" s="43" t="str">
        <f>IFERROR(__xludf.DUMMYFUNCTION("""COMPUTED_VALUE"""),"Ceyda Gülcan")</f>
        <v>Ceyda Gülcan</v>
      </c>
      <c r="C379" s="43" t="str">
        <f>IFERROR(__xludf.DUMMYFUNCTION("""COMPUTED_VALUE"""),"completed")</f>
        <v>completed</v>
      </c>
      <c r="D379" s="43" t="str">
        <f>IFERROR(__xludf.DUMMYFUNCTION("""COMPUTED_VALUE"""),"No")</f>
        <v>No</v>
      </c>
      <c r="E379" s="43" t="str">
        <f>IFERROR(__xludf.DUMMYFUNCTION("""COMPUTED_VALUE"""),"p_c7e11ce19cd775ef1162e70e510aca72322c7df5@inbound.aiesec.org")</f>
        <v>p_c7e11ce19cd775ef1162e70e510aca72322c7df5@inbound.aiesec.org</v>
      </c>
      <c r="F379" s="43">
        <f>IFERROR(__xludf.DUMMYFUNCTION("""COMPUTED_VALUE"""),5.304750912E9)</f>
        <v>5304750912</v>
      </c>
      <c r="G379" s="43" t="str">
        <f>IFERROR(__xludf.DUMMYFUNCTION("""COMPUTED_VALUE"""),"Turkey")</f>
        <v>Turkey</v>
      </c>
      <c r="H379" s="43" t="str">
        <f>IFERROR(__xludf.DUMMYFUNCTION("""COMPUTED_VALUE"""),"ISTANBUL ASIA")</f>
        <v>ISTANBUL ASIA</v>
      </c>
      <c r="I379" s="43" t="str">
        <f>IFERROR(__xludf.DUMMYFUNCTION("""COMPUTED_VALUE"""),"Lithuania")</f>
        <v>Lithuania</v>
      </c>
      <c r="J379" s="43" t="str">
        <f>IFERROR(__xludf.DUMMYFUNCTION("""COMPUTED_VALUE"""),"VILNIUS")</f>
        <v>VILNIUS</v>
      </c>
      <c r="K379" s="44" t="str">
        <f>IFERROR(__xludf.DUMMYFUNCTION("""COMPUTED_VALUE"""),"https://expa.aiesec.org/opportunities/1292571")</f>
        <v>https://expa.aiesec.org/opportunities/1292571</v>
      </c>
      <c r="L379" s="43" t="str">
        <f>IFERROR(__xludf.DUMMYFUNCTION("""COMPUTED_VALUE"""),"GV")</f>
        <v>GV</v>
      </c>
      <c r="M379" s="43" t="str">
        <f>IFERROR(__xludf.DUMMYFUNCTION("""COMPUTED_VALUE"""),"short")</f>
        <v>short</v>
      </c>
      <c r="N379" s="45">
        <f>IFERROR(__xludf.DUMMYFUNCTION("""COMPUTED_VALUE"""),44994.0)</f>
        <v>44994</v>
      </c>
      <c r="O379" s="45">
        <f>IFERROR(__xludf.DUMMYFUNCTION("""COMPUTED_VALUE"""),45122.0)</f>
        <v>45122</v>
      </c>
      <c r="P379" s="45">
        <f>IFERROR(__xludf.DUMMYFUNCTION("""COMPUTED_VALUE"""),45164.0)</f>
        <v>45164</v>
      </c>
      <c r="Q379" s="45">
        <f>IFERROR(__xludf.DUMMYFUNCTION("""COMPUTED_VALUE"""),45123.0)</f>
        <v>45123</v>
      </c>
      <c r="R379" s="45">
        <f>IFERROR(__xludf.DUMMYFUNCTION("""COMPUTED_VALUE"""),45164.0)</f>
        <v>45164</v>
      </c>
      <c r="S379" s="43"/>
      <c r="T379" s="43"/>
      <c r="U379" s="43" t="str">
        <f>IFERROR(__xludf.DUMMYFUNCTION("""COMPUTED_VALUE"""),"Explorer")</f>
        <v>Explorer</v>
      </c>
      <c r="V379" s="43" t="str">
        <f>IFERROR(__xludf.DUMMYFUNCTION("""COMPUTED_VALUE"""),"ISTANBUL ASIA")</f>
        <v>ISTANBUL ASIA</v>
      </c>
      <c r="W379" s="43" t="str">
        <f>IFERROR(__xludf.DUMMYFUNCTION("""COMPUTED_VALUE"""),"2021-10-11T20:46:12Z")</f>
        <v>2021-10-11T20:46:12Z</v>
      </c>
      <c r="X379" s="43"/>
      <c r="Y379" s="43"/>
      <c r="Z379" s="43"/>
    </row>
    <row r="380" hidden="1">
      <c r="A380" s="43" t="str">
        <f>IFERROR(__xludf.DUMMYFUNCTION("""COMPUTED_VALUE"""),"5204056_1292706")</f>
        <v>5204056_1292706</v>
      </c>
      <c r="B380" s="43" t="str">
        <f>IFERROR(__xludf.DUMMYFUNCTION("""COMPUTED_VALUE"""),"Dilan Yeşilkaya")</f>
        <v>Dilan Yeşilkaya</v>
      </c>
      <c r="C380" s="43" t="str">
        <f>IFERROR(__xludf.DUMMYFUNCTION("""COMPUTED_VALUE"""),"finished")</f>
        <v>finished</v>
      </c>
      <c r="D380" s="43" t="str">
        <f>IFERROR(__xludf.DUMMYFUNCTION("""COMPUTED_VALUE"""),"No")</f>
        <v>No</v>
      </c>
      <c r="E380" s="43" t="str">
        <f>IFERROR(__xludf.DUMMYFUNCTION("""COMPUTED_VALUE"""),"p_3fd42686c45123b652c5a19e794000dabe32e4f3@inbound.aiesec.org")</f>
        <v>p_3fd42686c45123b652c5a19e794000dabe32e4f3@inbound.aiesec.org</v>
      </c>
      <c r="F380" s="43">
        <f>IFERROR(__xludf.DUMMYFUNCTION("""COMPUTED_VALUE"""),5.419101734E9)</f>
        <v>5419101734</v>
      </c>
      <c r="G380" s="43" t="str">
        <f>IFERROR(__xludf.DUMMYFUNCTION("""COMPUTED_VALUE"""),"Turkey")</f>
        <v>Turkey</v>
      </c>
      <c r="H380" s="43" t="str">
        <f>IFERROR(__xludf.DUMMYFUNCTION("""COMPUTED_VALUE"""),"DENIZLI")</f>
        <v>DENIZLI</v>
      </c>
      <c r="I380" s="43" t="str">
        <f>IFERROR(__xludf.DUMMYFUNCTION("""COMPUTED_VALUE"""),"Romania")</f>
        <v>Romania</v>
      </c>
      <c r="J380" s="43" t="str">
        <f>IFERROR(__xludf.DUMMYFUNCTION("""COMPUTED_VALUE"""),"SIBIU")</f>
        <v>SIBIU</v>
      </c>
      <c r="K380" s="44" t="str">
        <f>IFERROR(__xludf.DUMMYFUNCTION("""COMPUTED_VALUE"""),"https://expa.aiesec.org/opportunities/1292706")</f>
        <v>https://expa.aiesec.org/opportunities/1292706</v>
      </c>
      <c r="L380" s="43" t="str">
        <f>IFERROR(__xludf.DUMMYFUNCTION("""COMPUTED_VALUE"""),"GV")</f>
        <v>GV</v>
      </c>
      <c r="M380" s="43" t="str">
        <f>IFERROR(__xludf.DUMMYFUNCTION("""COMPUTED_VALUE"""),"short")</f>
        <v>short</v>
      </c>
      <c r="N380" s="45">
        <f>IFERROR(__xludf.DUMMYFUNCTION("""COMPUTED_VALUE"""),44994.0)</f>
        <v>44994</v>
      </c>
      <c r="O380" s="45">
        <f>IFERROR(__xludf.DUMMYFUNCTION("""COMPUTED_VALUE"""),45131.0)</f>
        <v>45131</v>
      </c>
      <c r="P380" s="45">
        <f>IFERROR(__xludf.DUMMYFUNCTION("""COMPUTED_VALUE"""),45173.0)</f>
        <v>45173</v>
      </c>
      <c r="Q380" s="45">
        <f>IFERROR(__xludf.DUMMYFUNCTION("""COMPUTED_VALUE"""),45132.0)</f>
        <v>45132</v>
      </c>
      <c r="R380" s="45">
        <f>IFERROR(__xludf.DUMMYFUNCTION("""COMPUTED_VALUE"""),45173.0)</f>
        <v>45173</v>
      </c>
      <c r="S380" s="43"/>
      <c r="T380" s="43"/>
      <c r="U380" s="43" t="str">
        <f>IFERROR(__xludf.DUMMYFUNCTION("""COMPUTED_VALUE"""),"Youth 4 Impact")</f>
        <v>Youth 4 Impact</v>
      </c>
      <c r="V380" s="43" t="str">
        <f>IFERROR(__xludf.DUMMYFUNCTION("""COMPUTED_VALUE"""),"DENIZLI")</f>
        <v>DENIZLI</v>
      </c>
      <c r="W380" s="43" t="str">
        <f>IFERROR(__xludf.DUMMYFUNCTION("""COMPUTED_VALUE"""),"2023-03-02T20:34:08Z")</f>
        <v>2023-03-02T20:34:08Z</v>
      </c>
      <c r="X380" s="43"/>
      <c r="Y380" s="43"/>
      <c r="Z380" s="43"/>
    </row>
    <row r="381" hidden="1">
      <c r="A381" s="43" t="str">
        <f>IFERROR(__xludf.DUMMYFUNCTION("""COMPUTED_VALUE"""),"5209407_1281900")</f>
        <v>5209407_1281900</v>
      </c>
      <c r="B381" s="43" t="str">
        <f>IFERROR(__xludf.DUMMYFUNCTION("""COMPUTED_VALUE"""),"Devran Demir")</f>
        <v>Devran Demir</v>
      </c>
      <c r="C381" s="43" t="str">
        <f>IFERROR(__xludf.DUMMYFUNCTION("""COMPUTED_VALUE"""),"completed")</f>
        <v>completed</v>
      </c>
      <c r="D381" s="43" t="str">
        <f>IFERROR(__xludf.DUMMYFUNCTION("""COMPUTED_VALUE"""),"No")</f>
        <v>No</v>
      </c>
      <c r="E381" s="43" t="str">
        <f>IFERROR(__xludf.DUMMYFUNCTION("""COMPUTED_VALUE"""),"p_0f3f19e3d6a02b5d65d9616112ff6aabe3f80297@inbound.aiesec.org")</f>
        <v>p_0f3f19e3d6a02b5d65d9616112ff6aabe3f80297@inbound.aiesec.org</v>
      </c>
      <c r="F381" s="43">
        <f>IFERROR(__xludf.DUMMYFUNCTION("""COMPUTED_VALUE"""),5.412378355E9)</f>
        <v>5412378355</v>
      </c>
      <c r="G381" s="43" t="str">
        <f>IFERROR(__xludf.DUMMYFUNCTION("""COMPUTED_VALUE"""),"Turkey")</f>
        <v>Turkey</v>
      </c>
      <c r="H381" s="43" t="str">
        <f>IFERROR(__xludf.DUMMYFUNCTION("""COMPUTED_VALUE"""),"İZMİR")</f>
        <v>İZMİR</v>
      </c>
      <c r="I381" s="43" t="str">
        <f>IFERROR(__xludf.DUMMYFUNCTION("""COMPUTED_VALUE"""),"Sri Lanka")</f>
        <v>Sri Lanka</v>
      </c>
      <c r="J381" s="43" t="str">
        <f>IFERROR(__xludf.DUMMYFUNCTION("""COMPUTED_VALUE"""),"COLOMBO SOUTH")</f>
        <v>COLOMBO SOUTH</v>
      </c>
      <c r="K381" s="44" t="str">
        <f>IFERROR(__xludf.DUMMYFUNCTION("""COMPUTED_VALUE"""),"https://expa.aiesec.org/opportunities/1281900")</f>
        <v>https://expa.aiesec.org/opportunities/1281900</v>
      </c>
      <c r="L381" s="43" t="str">
        <f>IFERROR(__xludf.DUMMYFUNCTION("""COMPUTED_VALUE"""),"GV")</f>
        <v>GV</v>
      </c>
      <c r="M381" s="43" t="str">
        <f>IFERROR(__xludf.DUMMYFUNCTION("""COMPUTED_VALUE"""),"short")</f>
        <v>short</v>
      </c>
      <c r="N381" s="45">
        <f>IFERROR(__xludf.DUMMYFUNCTION("""COMPUTED_VALUE"""),44995.0)</f>
        <v>44995</v>
      </c>
      <c r="O381" s="45">
        <f>IFERROR(__xludf.DUMMYFUNCTION("""COMPUTED_VALUE"""),45138.0)</f>
        <v>45138</v>
      </c>
      <c r="P381" s="45">
        <f>IFERROR(__xludf.DUMMYFUNCTION("""COMPUTED_VALUE"""),45180.0)</f>
        <v>45180</v>
      </c>
      <c r="Q381" s="45">
        <f>IFERROR(__xludf.DUMMYFUNCTION("""COMPUTED_VALUE"""),45138.0)</f>
        <v>45138</v>
      </c>
      <c r="R381" s="45">
        <f>IFERROR(__xludf.DUMMYFUNCTION("""COMPUTED_VALUE"""),45180.0)</f>
        <v>45180</v>
      </c>
      <c r="S381" s="43"/>
      <c r="T381" s="43"/>
      <c r="U381" s="43" t="str">
        <f>IFERROR(__xludf.DUMMYFUNCTION("""COMPUTED_VALUE"""),"On The Map")</f>
        <v>On The Map</v>
      </c>
      <c r="V381" s="43" t="str">
        <f>IFERROR(__xludf.DUMMYFUNCTION("""COMPUTED_VALUE"""),"IZMIR")</f>
        <v>IZMIR</v>
      </c>
      <c r="W381" s="43" t="str">
        <f>IFERROR(__xludf.DUMMYFUNCTION("""COMPUTED_VALUE"""),"2023-03-08T10:11:49Z")</f>
        <v>2023-03-08T10:11:49Z</v>
      </c>
      <c r="X381" s="43"/>
      <c r="Y381" s="43"/>
      <c r="Z381" s="43"/>
    </row>
    <row r="382" hidden="1">
      <c r="A382" s="43" t="str">
        <f>IFERROR(__xludf.DUMMYFUNCTION("""COMPUTED_VALUE"""),"5210334_1292844")</f>
        <v>5210334_1292844</v>
      </c>
      <c r="B382" s="43" t="str">
        <f>IFERROR(__xludf.DUMMYFUNCTION("""COMPUTED_VALUE"""),"Esma sarıdal")</f>
        <v>Esma sarıdal</v>
      </c>
      <c r="C382" s="43" t="str">
        <f>IFERROR(__xludf.DUMMYFUNCTION("""COMPUTED_VALUE"""),"completed")</f>
        <v>completed</v>
      </c>
      <c r="D382" s="43" t="str">
        <f>IFERROR(__xludf.DUMMYFUNCTION("""COMPUTED_VALUE"""),"No")</f>
        <v>No</v>
      </c>
      <c r="E382" s="43" t="str">
        <f>IFERROR(__xludf.DUMMYFUNCTION("""COMPUTED_VALUE"""),"p_1f1ded92e2ea045d5e1ad7a4efe01860beb68857@inbound.aiesec.org")</f>
        <v>p_1f1ded92e2ea045d5e1ad7a4efe01860beb68857@inbound.aiesec.org</v>
      </c>
      <c r="F382" s="43"/>
      <c r="G382" s="43" t="str">
        <f>IFERROR(__xludf.DUMMYFUNCTION("""COMPUTED_VALUE"""),"Turkey")</f>
        <v>Turkey</v>
      </c>
      <c r="H382" s="43" t="str">
        <f>IFERROR(__xludf.DUMMYFUNCTION("""COMPUTED_VALUE"""),"KONYA")</f>
        <v>KONYA</v>
      </c>
      <c r="I382" s="43" t="str">
        <f>IFERROR(__xludf.DUMMYFUNCTION("""COMPUTED_VALUE"""),"Egypt")</f>
        <v>Egypt</v>
      </c>
      <c r="J382" s="43" t="str">
        <f>IFERROR(__xludf.DUMMYFUNCTION("""COMPUTED_VALUE"""),"Zagazig")</f>
        <v>Zagazig</v>
      </c>
      <c r="K382" s="44" t="str">
        <f>IFERROR(__xludf.DUMMYFUNCTION("""COMPUTED_VALUE"""),"https://expa.aiesec.org/opportunities/1292844")</f>
        <v>https://expa.aiesec.org/opportunities/1292844</v>
      </c>
      <c r="L382" s="43" t="str">
        <f>IFERROR(__xludf.DUMMYFUNCTION("""COMPUTED_VALUE"""),"GV")</f>
        <v>GV</v>
      </c>
      <c r="M382" s="43" t="str">
        <f>IFERROR(__xludf.DUMMYFUNCTION("""COMPUTED_VALUE"""),"short")</f>
        <v>short</v>
      </c>
      <c r="N382" s="45">
        <f>IFERROR(__xludf.DUMMYFUNCTION("""COMPUTED_VALUE"""),44995.0)</f>
        <v>44995</v>
      </c>
      <c r="O382" s="45">
        <f>IFERROR(__xludf.DUMMYFUNCTION("""COMPUTED_VALUE"""),45139.0)</f>
        <v>45139</v>
      </c>
      <c r="P382" s="45">
        <f>IFERROR(__xludf.DUMMYFUNCTION("""COMPUTED_VALUE"""),45181.0)</f>
        <v>45181</v>
      </c>
      <c r="Q382" s="45">
        <f>IFERROR(__xludf.DUMMYFUNCTION("""COMPUTED_VALUE"""),45139.0)</f>
        <v>45139</v>
      </c>
      <c r="R382" s="45">
        <f>IFERROR(__xludf.DUMMYFUNCTION("""COMPUTED_VALUE"""),45181.0)</f>
        <v>45181</v>
      </c>
      <c r="S382" s="43"/>
      <c r="T382" s="43"/>
      <c r="U382" s="43" t="str">
        <f>IFERROR(__xludf.DUMMYFUNCTION("""COMPUTED_VALUE"""),"On The Map")</f>
        <v>On The Map</v>
      </c>
      <c r="V382" s="43" t="str">
        <f>IFERROR(__xludf.DUMMYFUNCTION("""COMPUTED_VALUE"""),"KONYA")</f>
        <v>KONYA</v>
      </c>
      <c r="W382" s="43" t="str">
        <f>IFERROR(__xludf.DUMMYFUNCTION("""COMPUTED_VALUE"""),"2023-03-08T20:35:42Z")</f>
        <v>2023-03-08T20:35:42Z</v>
      </c>
      <c r="X382" s="43"/>
      <c r="Y382" s="43"/>
      <c r="Z382" s="43"/>
    </row>
    <row r="383" hidden="1">
      <c r="A383" s="43" t="str">
        <f>IFERROR(__xludf.DUMMYFUNCTION("""COMPUTED_VALUE"""),"4580350_1291167")</f>
        <v>4580350_1291167</v>
      </c>
      <c r="B383" s="43" t="str">
        <f>IFERROR(__xludf.DUMMYFUNCTION("""COMPUTED_VALUE"""),"Yasemin Buran")</f>
        <v>Yasemin Buran</v>
      </c>
      <c r="C383" s="43" t="str">
        <f>IFERROR(__xludf.DUMMYFUNCTION("""COMPUTED_VALUE"""),"completed")</f>
        <v>completed</v>
      </c>
      <c r="D383" s="43" t="str">
        <f>IFERROR(__xludf.DUMMYFUNCTION("""COMPUTED_VALUE"""),"No")</f>
        <v>No</v>
      </c>
      <c r="E383" s="43" t="str">
        <f>IFERROR(__xludf.DUMMYFUNCTION("""COMPUTED_VALUE"""),"p_7159375f0661f7486f585ebcd2754f410f83e32d@inbound.aiesec.org")</f>
        <v>p_7159375f0661f7486f585ebcd2754f410f83e32d@inbound.aiesec.org</v>
      </c>
      <c r="F383" s="43">
        <f>IFERROR(__xludf.DUMMYFUNCTION("""COMPUTED_VALUE"""),5.438241917E9)</f>
        <v>5438241917</v>
      </c>
      <c r="G383" s="43" t="str">
        <f>IFERROR(__xludf.DUMMYFUNCTION("""COMPUTED_VALUE"""),"Turkey")</f>
        <v>Turkey</v>
      </c>
      <c r="H383" s="43" t="str">
        <f>IFERROR(__xludf.DUMMYFUNCTION("""COMPUTED_VALUE"""),"ISTANBUL")</f>
        <v>ISTANBUL</v>
      </c>
      <c r="I383" s="43" t="str">
        <f>IFERROR(__xludf.DUMMYFUNCTION("""COMPUTED_VALUE"""),"Egypt")</f>
        <v>Egypt</v>
      </c>
      <c r="J383" s="43" t="str">
        <f>IFERROR(__xludf.DUMMYFUNCTION("""COMPUTED_VALUE"""),"GUC")</f>
        <v>GUC</v>
      </c>
      <c r="K383" s="44" t="str">
        <f>IFERROR(__xludf.DUMMYFUNCTION("""COMPUTED_VALUE"""),"https://expa.aiesec.org/opportunities/1291167")</f>
        <v>https://expa.aiesec.org/opportunities/1291167</v>
      </c>
      <c r="L383" s="43" t="str">
        <f>IFERROR(__xludf.DUMMYFUNCTION("""COMPUTED_VALUE"""),"GV")</f>
        <v>GV</v>
      </c>
      <c r="M383" s="43" t="str">
        <f>IFERROR(__xludf.DUMMYFUNCTION("""COMPUTED_VALUE"""),"short")</f>
        <v>short</v>
      </c>
      <c r="N383" s="45">
        <f>IFERROR(__xludf.DUMMYFUNCTION("""COMPUTED_VALUE"""),44995.0)</f>
        <v>44995</v>
      </c>
      <c r="O383" s="45">
        <f>IFERROR(__xludf.DUMMYFUNCTION("""COMPUTED_VALUE"""),45108.0)</f>
        <v>45108</v>
      </c>
      <c r="P383" s="45">
        <f>IFERROR(__xludf.DUMMYFUNCTION("""COMPUTED_VALUE"""),45150.0)</f>
        <v>45150</v>
      </c>
      <c r="Q383" s="45">
        <f>IFERROR(__xludf.DUMMYFUNCTION("""COMPUTED_VALUE"""),45107.0)</f>
        <v>45107</v>
      </c>
      <c r="R383" s="45">
        <f>IFERROR(__xludf.DUMMYFUNCTION("""COMPUTED_VALUE"""),45150.0)</f>
        <v>45150</v>
      </c>
      <c r="S383" s="43"/>
      <c r="T383" s="43"/>
      <c r="U383" s="43" t="str">
        <f>IFERROR(__xludf.DUMMYFUNCTION("""COMPUTED_VALUE"""),"Green Leaders")</f>
        <v>Green Leaders</v>
      </c>
      <c r="V383" s="43" t="str">
        <f>IFERROR(__xludf.DUMMYFUNCTION("""COMPUTED_VALUE"""),"ISTANBUL - BEYOGLU")</f>
        <v>ISTANBUL - BEYOGLU</v>
      </c>
      <c r="W383" s="43" t="str">
        <f>IFERROR(__xludf.DUMMYFUNCTION("""COMPUTED_VALUE"""),"2021-03-16T09:52:37Z")</f>
        <v>2021-03-16T09:52:37Z</v>
      </c>
      <c r="X383" s="43"/>
      <c r="Y383" s="43"/>
      <c r="Z383" s="43"/>
    </row>
    <row r="384" hidden="1">
      <c r="A384" s="43" t="str">
        <f>IFERROR(__xludf.DUMMYFUNCTION("""COMPUTED_VALUE"""),"5206766_1291751")</f>
        <v>5206766_1291751</v>
      </c>
      <c r="B384" s="43" t="str">
        <f>IFERROR(__xludf.DUMMYFUNCTION("""COMPUTED_VALUE"""),"Karçem Gündoğdu")</f>
        <v>Karçem Gündoğdu</v>
      </c>
      <c r="C384" s="43" t="str">
        <f>IFERROR(__xludf.DUMMYFUNCTION("""COMPUTED_VALUE"""),"approved")</f>
        <v>approved</v>
      </c>
      <c r="D384" s="43" t="str">
        <f>IFERROR(__xludf.DUMMYFUNCTION("""COMPUTED_VALUE"""),"No")</f>
        <v>No</v>
      </c>
      <c r="E384" s="43" t="str">
        <f>IFERROR(__xludf.DUMMYFUNCTION("""COMPUTED_VALUE"""),"p_fede3708f17ea1137b6b04ad9ee7cde88b0b7247@inbound.aiesec.org")</f>
        <v>p_fede3708f17ea1137b6b04ad9ee7cde88b0b7247@inbound.aiesec.org</v>
      </c>
      <c r="F384" s="43">
        <f>IFERROR(__xludf.DUMMYFUNCTION("""COMPUTED_VALUE"""),5.078923573E9)</f>
        <v>5078923573</v>
      </c>
      <c r="G384" s="43" t="str">
        <f>IFERROR(__xludf.DUMMYFUNCTION("""COMPUTED_VALUE"""),"Turkey")</f>
        <v>Turkey</v>
      </c>
      <c r="H384" s="43" t="str">
        <f>IFERROR(__xludf.DUMMYFUNCTION("""COMPUTED_VALUE"""),"ANKARA")</f>
        <v>ANKARA</v>
      </c>
      <c r="I384" s="43" t="str">
        <f>IFERROR(__xludf.DUMMYFUNCTION("""COMPUTED_VALUE"""),"Sri Lanka")</f>
        <v>Sri Lanka</v>
      </c>
      <c r="J384" s="43" t="str">
        <f>IFERROR(__xludf.DUMMYFUNCTION("""COMPUTED_VALUE"""),"KANDY")</f>
        <v>KANDY</v>
      </c>
      <c r="K384" s="44" t="str">
        <f>IFERROR(__xludf.DUMMYFUNCTION("""COMPUTED_VALUE"""),"https://expa.aiesec.org/opportunities/1291751")</f>
        <v>https://expa.aiesec.org/opportunities/1291751</v>
      </c>
      <c r="L384" s="43" t="str">
        <f>IFERROR(__xludf.DUMMYFUNCTION("""COMPUTED_VALUE"""),"GV")</f>
        <v>GV</v>
      </c>
      <c r="M384" s="43" t="str">
        <f>IFERROR(__xludf.DUMMYFUNCTION("""COMPUTED_VALUE"""),"short")</f>
        <v>short</v>
      </c>
      <c r="N384" s="45">
        <f>IFERROR(__xludf.DUMMYFUNCTION("""COMPUTED_VALUE"""),44995.0)</f>
        <v>44995</v>
      </c>
      <c r="O384" s="45">
        <f>IFERROR(__xludf.DUMMYFUNCTION("""COMPUTED_VALUE"""),45117.0)</f>
        <v>45117</v>
      </c>
      <c r="P384" s="45">
        <f>IFERROR(__xludf.DUMMYFUNCTION("""COMPUTED_VALUE"""),45159.0)</f>
        <v>45159</v>
      </c>
      <c r="Q384" s="45"/>
      <c r="R384" s="45"/>
      <c r="S384" s="43"/>
      <c r="T384" s="43"/>
      <c r="U384" s="43" t="str">
        <f>IFERROR(__xludf.DUMMYFUNCTION("""COMPUTED_VALUE"""),"Rooted")</f>
        <v>Rooted</v>
      </c>
      <c r="V384" s="43" t="str">
        <f>IFERROR(__xludf.DUMMYFUNCTION("""COMPUTED_VALUE"""),"ANKARA")</f>
        <v>ANKARA</v>
      </c>
      <c r="W384" s="43" t="str">
        <f>IFERROR(__xludf.DUMMYFUNCTION("""COMPUTED_VALUE"""),"2023-03-05T18:25:57Z")</f>
        <v>2023-03-05T18:25:57Z</v>
      </c>
      <c r="X384" s="43"/>
      <c r="Y384" s="43"/>
      <c r="Z384" s="43"/>
    </row>
    <row r="385" hidden="1">
      <c r="A385" s="43" t="str">
        <f>IFERROR(__xludf.DUMMYFUNCTION("""COMPUTED_VALUE"""),"5205265_1290806")</f>
        <v>5205265_1290806</v>
      </c>
      <c r="B385" s="43" t="str">
        <f>IFERROR(__xludf.DUMMYFUNCTION("""COMPUTED_VALUE"""),"Gazal Aydoğdu")</f>
        <v>Gazal Aydoğdu</v>
      </c>
      <c r="C385" s="43" t="str">
        <f>IFERROR(__xludf.DUMMYFUNCTION("""COMPUTED_VALUE"""),"completed")</f>
        <v>completed</v>
      </c>
      <c r="D385" s="43" t="str">
        <f>IFERROR(__xludf.DUMMYFUNCTION("""COMPUTED_VALUE"""),"No")</f>
        <v>No</v>
      </c>
      <c r="E385" s="43" t="str">
        <f>IFERROR(__xludf.DUMMYFUNCTION("""COMPUTED_VALUE"""),"p_a250ccc195d657a23d06b8c87f821f489b2a7133@inbound.aiesec.org")</f>
        <v>p_a250ccc195d657a23d06b8c87f821f489b2a7133@inbound.aiesec.org</v>
      </c>
      <c r="F385" s="43">
        <f>IFERROR(__xludf.DUMMYFUNCTION("""COMPUTED_VALUE"""),5.43970019E9)</f>
        <v>5439700190</v>
      </c>
      <c r="G385" s="43" t="str">
        <f>IFERROR(__xludf.DUMMYFUNCTION("""COMPUTED_VALUE"""),"Turkey")</f>
        <v>Turkey</v>
      </c>
      <c r="H385" s="43" t="str">
        <f>IFERROR(__xludf.DUMMYFUNCTION("""COMPUTED_VALUE"""),"ANTALYA")</f>
        <v>ANTALYA</v>
      </c>
      <c r="I385" s="43" t="str">
        <f>IFERROR(__xludf.DUMMYFUNCTION("""COMPUTED_VALUE"""),"Sri Lanka")</f>
        <v>Sri Lanka</v>
      </c>
      <c r="J385" s="43" t="str">
        <f>IFERROR(__xludf.DUMMYFUNCTION("""COMPUTED_VALUE"""),"KANDY")</f>
        <v>KANDY</v>
      </c>
      <c r="K385" s="44" t="str">
        <f>IFERROR(__xludf.DUMMYFUNCTION("""COMPUTED_VALUE"""),"https://expa.aiesec.org/opportunities/1290806")</f>
        <v>https://expa.aiesec.org/opportunities/1290806</v>
      </c>
      <c r="L385" s="43" t="str">
        <f>IFERROR(__xludf.DUMMYFUNCTION("""COMPUTED_VALUE"""),"GV")</f>
        <v>GV</v>
      </c>
      <c r="M385" s="43" t="str">
        <f>IFERROR(__xludf.DUMMYFUNCTION("""COMPUTED_VALUE"""),"short")</f>
        <v>short</v>
      </c>
      <c r="N385" s="45">
        <f>IFERROR(__xludf.DUMMYFUNCTION("""COMPUTED_VALUE"""),44995.0)</f>
        <v>44995</v>
      </c>
      <c r="O385" s="45">
        <f>IFERROR(__xludf.DUMMYFUNCTION("""COMPUTED_VALUE"""),45159.0)</f>
        <v>45159</v>
      </c>
      <c r="P385" s="45">
        <f>IFERROR(__xludf.DUMMYFUNCTION("""COMPUTED_VALUE"""),45201.0)</f>
        <v>45201</v>
      </c>
      <c r="Q385" s="45">
        <f>IFERROR(__xludf.DUMMYFUNCTION("""COMPUTED_VALUE"""),45159.0)</f>
        <v>45159</v>
      </c>
      <c r="R385" s="45">
        <f>IFERROR(__xludf.DUMMYFUNCTION("""COMPUTED_VALUE"""),45201.0)</f>
        <v>45201</v>
      </c>
      <c r="S385" s="43"/>
      <c r="T385" s="43"/>
      <c r="U385" s="43" t="str">
        <f>IFERROR(__xludf.DUMMYFUNCTION("""COMPUTED_VALUE"""),"Happy Bus")</f>
        <v>Happy Bus</v>
      </c>
      <c r="V385" s="43" t="str">
        <f>IFERROR(__xludf.DUMMYFUNCTION("""COMPUTED_VALUE"""),"ANTALYA")</f>
        <v>ANTALYA</v>
      </c>
      <c r="W385" s="43" t="str">
        <f>IFERROR(__xludf.DUMMYFUNCTION("""COMPUTED_VALUE"""),"2023-03-04T12:09:40Z")</f>
        <v>2023-03-04T12:09:40Z</v>
      </c>
      <c r="X385" s="43"/>
      <c r="Y385" s="43"/>
      <c r="Z385" s="43"/>
    </row>
    <row r="386" hidden="1">
      <c r="A386" s="43" t="str">
        <f>IFERROR(__xludf.DUMMYFUNCTION("""COMPUTED_VALUE"""),"5207556_1291824")</f>
        <v>5207556_1291824</v>
      </c>
      <c r="B386" s="43" t="str">
        <f>IFERROR(__xludf.DUMMYFUNCTION("""COMPUTED_VALUE"""),"Yağmur Temur")</f>
        <v>Yağmur Temur</v>
      </c>
      <c r="C386" s="43" t="str">
        <f>IFERROR(__xludf.DUMMYFUNCTION("""COMPUTED_VALUE"""),"completed")</f>
        <v>completed</v>
      </c>
      <c r="D386" s="43" t="str">
        <f>IFERROR(__xludf.DUMMYFUNCTION("""COMPUTED_VALUE"""),"No")</f>
        <v>No</v>
      </c>
      <c r="E386" s="43" t="str">
        <f>IFERROR(__xludf.DUMMYFUNCTION("""COMPUTED_VALUE"""),"p_accf71780eca1079742e08c88d48334c6b87144a@inbound.aiesec.org")</f>
        <v>p_accf71780eca1079742e08c88d48334c6b87144a@inbound.aiesec.org</v>
      </c>
      <c r="F386" s="43">
        <f>IFERROR(__xludf.DUMMYFUNCTION("""COMPUTED_VALUE"""),5.077217835E9)</f>
        <v>5077217835</v>
      </c>
      <c r="G386" s="43" t="str">
        <f>IFERROR(__xludf.DUMMYFUNCTION("""COMPUTED_VALUE"""),"Turkey")</f>
        <v>Turkey</v>
      </c>
      <c r="H386" s="43" t="str">
        <f>IFERROR(__xludf.DUMMYFUNCTION("""COMPUTED_VALUE"""),"İZMİR")</f>
        <v>İZMİR</v>
      </c>
      <c r="I386" s="43" t="str">
        <f>IFERROR(__xludf.DUMMYFUNCTION("""COMPUTED_VALUE"""),"Romania")</f>
        <v>Romania</v>
      </c>
      <c r="J386" s="43" t="str">
        <f>IFERROR(__xludf.DUMMYFUNCTION("""COMPUTED_VALUE"""),"BUCURESTI")</f>
        <v>BUCURESTI</v>
      </c>
      <c r="K386" s="44" t="str">
        <f>IFERROR(__xludf.DUMMYFUNCTION("""COMPUTED_VALUE"""),"https://expa.aiesec.org/opportunities/1291824")</f>
        <v>https://expa.aiesec.org/opportunities/1291824</v>
      </c>
      <c r="L386" s="43" t="str">
        <f>IFERROR(__xludf.DUMMYFUNCTION("""COMPUTED_VALUE"""),"GV")</f>
        <v>GV</v>
      </c>
      <c r="M386" s="43" t="str">
        <f>IFERROR(__xludf.DUMMYFUNCTION("""COMPUTED_VALUE"""),"short")</f>
        <v>short</v>
      </c>
      <c r="N386" s="45">
        <f>IFERROR(__xludf.DUMMYFUNCTION("""COMPUTED_VALUE"""),44996.0)</f>
        <v>44996</v>
      </c>
      <c r="O386" s="45">
        <f>IFERROR(__xludf.DUMMYFUNCTION("""COMPUTED_VALUE"""),45096.0)</f>
        <v>45096</v>
      </c>
      <c r="P386" s="45">
        <f>IFERROR(__xludf.DUMMYFUNCTION("""COMPUTED_VALUE"""),45138.0)</f>
        <v>45138</v>
      </c>
      <c r="Q386" s="45">
        <f>IFERROR(__xludf.DUMMYFUNCTION("""COMPUTED_VALUE"""),45096.0)</f>
        <v>45096</v>
      </c>
      <c r="R386" s="45">
        <f>IFERROR(__xludf.DUMMYFUNCTION("""COMPUTED_VALUE"""),45138.0)</f>
        <v>45138</v>
      </c>
      <c r="S386" s="43"/>
      <c r="T386" s="43"/>
      <c r="U386" s="43" t="str">
        <f>IFERROR(__xludf.DUMMYFUNCTION("""COMPUTED_VALUE"""),"Skill Up!")</f>
        <v>Skill Up!</v>
      </c>
      <c r="V386" s="43" t="str">
        <f>IFERROR(__xludf.DUMMYFUNCTION("""COMPUTED_VALUE"""),"MANISA")</f>
        <v>MANISA</v>
      </c>
      <c r="W386" s="43" t="str">
        <f>IFERROR(__xludf.DUMMYFUNCTION("""COMPUTED_VALUE"""),"2023-03-06T15:05:40Z")</f>
        <v>2023-03-06T15:05:40Z</v>
      </c>
      <c r="X386" s="43"/>
      <c r="Y386" s="43"/>
      <c r="Z386" s="43"/>
    </row>
    <row r="387" hidden="1">
      <c r="A387" s="43" t="str">
        <f>IFERROR(__xludf.DUMMYFUNCTION("""COMPUTED_VALUE"""),"5208477_1286585")</f>
        <v>5208477_1286585</v>
      </c>
      <c r="B387" s="43" t="str">
        <f>IFERROR(__xludf.DUMMYFUNCTION("""COMPUTED_VALUE"""),"sinem asırlı")</f>
        <v>sinem asırlı</v>
      </c>
      <c r="C387" s="43" t="str">
        <f>IFERROR(__xludf.DUMMYFUNCTION("""COMPUTED_VALUE"""),"approved")</f>
        <v>approved</v>
      </c>
      <c r="D387" s="43" t="str">
        <f>IFERROR(__xludf.DUMMYFUNCTION("""COMPUTED_VALUE"""),"No")</f>
        <v>No</v>
      </c>
      <c r="E387" s="43" t="str">
        <f>IFERROR(__xludf.DUMMYFUNCTION("""COMPUTED_VALUE"""),"p_03fd91305870d33ea5d5d900ca1f376ab0b2ac26@inbound.aiesec.org")</f>
        <v>p_03fd91305870d33ea5d5d900ca1f376ab0b2ac26@inbound.aiesec.org</v>
      </c>
      <c r="F387" s="43">
        <f>IFERROR(__xludf.DUMMYFUNCTION("""COMPUTED_VALUE"""),5.061155409E9)</f>
        <v>5061155409</v>
      </c>
      <c r="G387" s="43" t="str">
        <f>IFERROR(__xludf.DUMMYFUNCTION("""COMPUTED_VALUE"""),"Turkey")</f>
        <v>Turkey</v>
      </c>
      <c r="H387" s="43" t="str">
        <f>IFERROR(__xludf.DUMMYFUNCTION("""COMPUTED_VALUE"""),"ANTALYA")</f>
        <v>ANTALYA</v>
      </c>
      <c r="I387" s="43" t="str">
        <f>IFERROR(__xludf.DUMMYFUNCTION("""COMPUTED_VALUE"""),"Sri Lanka")</f>
        <v>Sri Lanka</v>
      </c>
      <c r="J387" s="43" t="str">
        <f>IFERROR(__xludf.DUMMYFUNCTION("""COMPUTED_VALUE"""),"COLOMBO NORTH")</f>
        <v>COLOMBO NORTH</v>
      </c>
      <c r="K387" s="44" t="str">
        <f>IFERROR(__xludf.DUMMYFUNCTION("""COMPUTED_VALUE"""),"https://expa.aiesec.org/opportunities/1286585")</f>
        <v>https://expa.aiesec.org/opportunities/1286585</v>
      </c>
      <c r="L387" s="43" t="str">
        <f>IFERROR(__xludf.DUMMYFUNCTION("""COMPUTED_VALUE"""),"GV")</f>
        <v>GV</v>
      </c>
      <c r="M387" s="43" t="str">
        <f>IFERROR(__xludf.DUMMYFUNCTION("""COMPUTED_VALUE"""),"short")</f>
        <v>short</v>
      </c>
      <c r="N387" s="45">
        <f>IFERROR(__xludf.DUMMYFUNCTION("""COMPUTED_VALUE"""),44996.0)</f>
        <v>44996</v>
      </c>
      <c r="O387" s="45">
        <f>IFERROR(__xludf.DUMMYFUNCTION("""COMPUTED_VALUE"""),45152.0)</f>
        <v>45152</v>
      </c>
      <c r="P387" s="45">
        <f>IFERROR(__xludf.DUMMYFUNCTION("""COMPUTED_VALUE"""),45194.0)</f>
        <v>45194</v>
      </c>
      <c r="Q387" s="45"/>
      <c r="R387" s="45"/>
      <c r="S387" s="43"/>
      <c r="T387" s="43"/>
      <c r="U387" s="43" t="str">
        <f>IFERROR(__xludf.DUMMYFUNCTION("""COMPUTED_VALUE"""),"On The Map")</f>
        <v>On The Map</v>
      </c>
      <c r="V387" s="43" t="str">
        <f>IFERROR(__xludf.DUMMYFUNCTION("""COMPUTED_VALUE"""),"ANTALYA")</f>
        <v>ANTALYA</v>
      </c>
      <c r="W387" s="43" t="str">
        <f>IFERROR(__xludf.DUMMYFUNCTION("""COMPUTED_VALUE"""),"2023-03-07T10:58:48Z")</f>
        <v>2023-03-07T10:58:48Z</v>
      </c>
      <c r="X387" s="43"/>
      <c r="Y387" s="43"/>
      <c r="Z387" s="43"/>
    </row>
    <row r="388" hidden="1">
      <c r="A388" s="43" t="str">
        <f>IFERROR(__xludf.DUMMYFUNCTION("""COMPUTED_VALUE"""),"5151861_1289695")</f>
        <v>5151861_1289695</v>
      </c>
      <c r="B388" s="43" t="str">
        <f>IFERROR(__xludf.DUMMYFUNCTION("""COMPUTED_VALUE"""),"Süreyya Hajjar")</f>
        <v>Süreyya Hajjar</v>
      </c>
      <c r="C388" s="43" t="str">
        <f>IFERROR(__xludf.DUMMYFUNCTION("""COMPUTED_VALUE"""),"finished")</f>
        <v>finished</v>
      </c>
      <c r="D388" s="43" t="str">
        <f>IFERROR(__xludf.DUMMYFUNCTION("""COMPUTED_VALUE"""),"No")</f>
        <v>No</v>
      </c>
      <c r="E388" s="43" t="str">
        <f>IFERROR(__xludf.DUMMYFUNCTION("""COMPUTED_VALUE"""),"p_8e42c9e06c3fdf5992eecc0ccf2f236b03884c95@inbound.aiesec.org")</f>
        <v>p_8e42c9e06c3fdf5992eecc0ccf2f236b03884c95@inbound.aiesec.org</v>
      </c>
      <c r="F388" s="43">
        <f>IFERROR(__xludf.DUMMYFUNCTION("""COMPUTED_VALUE"""),5.319415098E9)</f>
        <v>5319415098</v>
      </c>
      <c r="G388" s="43" t="str">
        <f>IFERROR(__xludf.DUMMYFUNCTION("""COMPUTED_VALUE"""),"Turkey")</f>
        <v>Turkey</v>
      </c>
      <c r="H388" s="43" t="str">
        <f>IFERROR(__xludf.DUMMYFUNCTION("""COMPUTED_VALUE"""),"İZMİR")</f>
        <v>İZMİR</v>
      </c>
      <c r="I388" s="43" t="str">
        <f>IFERROR(__xludf.DUMMYFUNCTION("""COMPUTED_VALUE"""),"Sri Lanka")</f>
        <v>Sri Lanka</v>
      </c>
      <c r="J388" s="43" t="str">
        <f>IFERROR(__xludf.DUMMYFUNCTION("""COMPUTED_VALUE"""),"COLOMBO CENTRAL")</f>
        <v>COLOMBO CENTRAL</v>
      </c>
      <c r="K388" s="44" t="str">
        <f>IFERROR(__xludf.DUMMYFUNCTION("""COMPUTED_VALUE"""),"https://expa.aiesec.org/opportunities/1289695")</f>
        <v>https://expa.aiesec.org/opportunities/1289695</v>
      </c>
      <c r="L388" s="43" t="str">
        <f>IFERROR(__xludf.DUMMYFUNCTION("""COMPUTED_VALUE"""),"GV")</f>
        <v>GV</v>
      </c>
      <c r="M388" s="43" t="str">
        <f>IFERROR(__xludf.DUMMYFUNCTION("""COMPUTED_VALUE"""),"short")</f>
        <v>short</v>
      </c>
      <c r="N388" s="45">
        <f>IFERROR(__xludf.DUMMYFUNCTION("""COMPUTED_VALUE"""),44997.0)</f>
        <v>44997</v>
      </c>
      <c r="O388" s="45">
        <f>IFERROR(__xludf.DUMMYFUNCTION("""COMPUTED_VALUE"""),45019.0)</f>
        <v>45019</v>
      </c>
      <c r="P388" s="45">
        <f>IFERROR(__xludf.DUMMYFUNCTION("""COMPUTED_VALUE"""),45061.0)</f>
        <v>45061</v>
      </c>
      <c r="Q388" s="45">
        <f>IFERROR(__xludf.DUMMYFUNCTION("""COMPUTED_VALUE"""),45017.0)</f>
        <v>45017</v>
      </c>
      <c r="R388" s="45">
        <f>IFERROR(__xludf.DUMMYFUNCTION("""COMPUTED_VALUE"""),45061.0)</f>
        <v>45061</v>
      </c>
      <c r="S388" s="43"/>
      <c r="T388" s="43"/>
      <c r="U388" s="43" t="str">
        <f>IFERROR(__xludf.DUMMYFUNCTION("""COMPUTED_VALUE"""),"Heartbeat")</f>
        <v>Heartbeat</v>
      </c>
      <c r="V388" s="43" t="str">
        <f>IFERROR(__xludf.DUMMYFUNCTION("""COMPUTED_VALUE"""),"IZMIR")</f>
        <v>IZMIR</v>
      </c>
      <c r="W388" s="43" t="str">
        <f>IFERROR(__xludf.DUMMYFUNCTION("""COMPUTED_VALUE"""),"2022-11-12T19:04:40Z")</f>
        <v>2022-11-12T19:04:40Z</v>
      </c>
      <c r="X388" s="43"/>
      <c r="Y388" s="43"/>
      <c r="Z388" s="43"/>
    </row>
    <row r="389" hidden="1">
      <c r="A389" s="43" t="str">
        <f>IFERROR(__xludf.DUMMYFUNCTION("""COMPUTED_VALUE"""),"5207510_1292549")</f>
        <v>5207510_1292549</v>
      </c>
      <c r="B389" s="43" t="str">
        <f>IFERROR(__xludf.DUMMYFUNCTION("""COMPUTED_VALUE"""),"Musa Ogren")</f>
        <v>Musa Ogren</v>
      </c>
      <c r="C389" s="43" t="str">
        <f>IFERROR(__xludf.DUMMYFUNCTION("""COMPUTED_VALUE"""),"completed")</f>
        <v>completed</v>
      </c>
      <c r="D389" s="43" t="str">
        <f>IFERROR(__xludf.DUMMYFUNCTION("""COMPUTED_VALUE"""),"No")</f>
        <v>No</v>
      </c>
      <c r="E389" s="43" t="str">
        <f>IFERROR(__xludf.DUMMYFUNCTION("""COMPUTED_VALUE"""),"p_42df85826703d00937d0329feeb157f5e1e5fce4@inbound.aiesec.org")</f>
        <v>p_42df85826703d00937d0329feeb157f5e1e5fce4@inbound.aiesec.org</v>
      </c>
      <c r="F389" s="43"/>
      <c r="G389" s="43" t="str">
        <f>IFERROR(__xludf.DUMMYFUNCTION("""COMPUTED_VALUE"""),"Turkey")</f>
        <v>Turkey</v>
      </c>
      <c r="H389" s="43" t="str">
        <f>IFERROR(__xludf.DUMMYFUNCTION("""COMPUTED_VALUE"""),"İZMİR")</f>
        <v>İZMİR</v>
      </c>
      <c r="I389" s="43" t="str">
        <f>IFERROR(__xludf.DUMMYFUNCTION("""COMPUTED_VALUE"""),"Tunisia")</f>
        <v>Tunisia</v>
      </c>
      <c r="J389" s="43" t="str">
        <f>IFERROR(__xludf.DUMMYFUNCTION("""COMPUTED_VALUE"""),"UNIVERSITY")</f>
        <v>UNIVERSITY</v>
      </c>
      <c r="K389" s="44" t="str">
        <f>IFERROR(__xludf.DUMMYFUNCTION("""COMPUTED_VALUE"""),"https://expa.aiesec.org/opportunities/1292549")</f>
        <v>https://expa.aiesec.org/opportunities/1292549</v>
      </c>
      <c r="L389" s="43" t="str">
        <f>IFERROR(__xludf.DUMMYFUNCTION("""COMPUTED_VALUE"""),"GV")</f>
        <v>GV</v>
      </c>
      <c r="M389" s="43" t="str">
        <f>IFERROR(__xludf.DUMMYFUNCTION("""COMPUTED_VALUE"""),"short")</f>
        <v>short</v>
      </c>
      <c r="N389" s="45">
        <f>IFERROR(__xludf.DUMMYFUNCTION("""COMPUTED_VALUE"""),44997.0)</f>
        <v>44997</v>
      </c>
      <c r="O389" s="45">
        <f>IFERROR(__xludf.DUMMYFUNCTION("""COMPUTED_VALUE"""),45120.0)</f>
        <v>45120</v>
      </c>
      <c r="P389" s="45">
        <f>IFERROR(__xludf.DUMMYFUNCTION("""COMPUTED_VALUE"""),45164.0)</f>
        <v>45164</v>
      </c>
      <c r="Q389" s="45">
        <f>IFERROR(__xludf.DUMMYFUNCTION("""COMPUTED_VALUE"""),45120.0)</f>
        <v>45120</v>
      </c>
      <c r="R389" s="45">
        <f>IFERROR(__xludf.DUMMYFUNCTION("""COMPUTED_VALUE"""),45164.0)</f>
        <v>45164</v>
      </c>
      <c r="S389" s="43"/>
      <c r="T389" s="43"/>
      <c r="U389" s="43" t="str">
        <f>IFERROR(__xludf.DUMMYFUNCTION("""COMPUTED_VALUE"""),"On The Map")</f>
        <v>On The Map</v>
      </c>
      <c r="V389" s="43" t="str">
        <f>IFERROR(__xludf.DUMMYFUNCTION("""COMPUTED_VALUE"""),"-")</f>
        <v>-</v>
      </c>
      <c r="W389" s="43" t="str">
        <f>IFERROR(__xludf.DUMMYFUNCTION("""COMPUTED_VALUE"""),"2023-03-06T14:13:07Z")</f>
        <v>2023-03-06T14:13:07Z</v>
      </c>
      <c r="X389" s="43"/>
      <c r="Y389" s="43"/>
      <c r="Z389" s="43"/>
    </row>
    <row r="390" hidden="1">
      <c r="A390" s="43" t="str">
        <f>IFERROR(__xludf.DUMMYFUNCTION("""COMPUTED_VALUE"""),"5213562_1293021")</f>
        <v>5213562_1293021</v>
      </c>
      <c r="B390" s="43" t="str">
        <f>IFERROR(__xludf.DUMMYFUNCTION("""COMPUTED_VALUE"""),"HİKMET İNCEARIK")</f>
        <v>HİKMET İNCEARIK</v>
      </c>
      <c r="C390" s="43" t="str">
        <f>IFERROR(__xludf.DUMMYFUNCTION("""COMPUTED_VALUE"""),"approved")</f>
        <v>approved</v>
      </c>
      <c r="D390" s="43" t="str">
        <f>IFERROR(__xludf.DUMMYFUNCTION("""COMPUTED_VALUE"""),"No")</f>
        <v>No</v>
      </c>
      <c r="E390" s="43" t="str">
        <f>IFERROR(__xludf.DUMMYFUNCTION("""COMPUTED_VALUE"""),"p_87d30114d3896a2af5527d5c5642e23a4dbce81e@inbound.aiesec.org")</f>
        <v>p_87d30114d3896a2af5527d5c5642e23a4dbce81e@inbound.aiesec.org</v>
      </c>
      <c r="F390" s="43">
        <f>IFERROR(__xludf.DUMMYFUNCTION("""COMPUTED_VALUE"""),5.317836428E9)</f>
        <v>5317836428</v>
      </c>
      <c r="G390" s="43" t="str">
        <f>IFERROR(__xludf.DUMMYFUNCTION("""COMPUTED_VALUE"""),"Turkey")</f>
        <v>Turkey</v>
      </c>
      <c r="H390" s="43" t="str">
        <f>IFERROR(__xludf.DUMMYFUNCTION("""COMPUTED_VALUE"""),"GAZIANTEP")</f>
        <v>GAZIANTEP</v>
      </c>
      <c r="I390" s="43" t="str">
        <f>IFERROR(__xludf.DUMMYFUNCTION("""COMPUTED_VALUE"""),"India")</f>
        <v>India</v>
      </c>
      <c r="J390" s="43" t="str">
        <f>IFERROR(__xludf.DUMMYFUNCTION("""COMPUTED_VALUE"""),"JAIPUR ")</f>
        <v>JAIPUR </v>
      </c>
      <c r="K390" s="44" t="str">
        <f>IFERROR(__xludf.DUMMYFUNCTION("""COMPUTED_VALUE"""),"https://expa.aiesec.org/opportunities/1293021")</f>
        <v>https://expa.aiesec.org/opportunities/1293021</v>
      </c>
      <c r="L390" s="43" t="str">
        <f>IFERROR(__xludf.DUMMYFUNCTION("""COMPUTED_VALUE"""),"GV")</f>
        <v>GV</v>
      </c>
      <c r="M390" s="43" t="str">
        <f>IFERROR(__xludf.DUMMYFUNCTION("""COMPUTED_VALUE"""),"short")</f>
        <v>short</v>
      </c>
      <c r="N390" s="45">
        <f>IFERROR(__xludf.DUMMYFUNCTION("""COMPUTED_VALUE"""),44998.0)</f>
        <v>44998</v>
      </c>
      <c r="O390" s="45">
        <f>IFERROR(__xludf.DUMMYFUNCTION("""COMPUTED_VALUE"""),45154.0)</f>
        <v>45154</v>
      </c>
      <c r="P390" s="45">
        <f>IFERROR(__xludf.DUMMYFUNCTION("""COMPUTED_VALUE"""),45196.0)</f>
        <v>45196</v>
      </c>
      <c r="Q390" s="45"/>
      <c r="R390" s="45"/>
      <c r="S390" s="43"/>
      <c r="T390" s="43"/>
      <c r="U390" s="43" t="str">
        <f>IFERROR(__xludf.DUMMYFUNCTION("""COMPUTED_VALUE"""),"Raise Your Voice")</f>
        <v>Raise Your Voice</v>
      </c>
      <c r="V390" s="43" t="str">
        <f>IFERROR(__xludf.DUMMYFUNCTION("""COMPUTED_VALUE"""),"GAZIANTEP")</f>
        <v>GAZIANTEP</v>
      </c>
      <c r="W390" s="43" t="str">
        <f>IFERROR(__xludf.DUMMYFUNCTION("""COMPUTED_VALUE"""),"2023-03-12T09:24:12Z")</f>
        <v>2023-03-12T09:24:12Z</v>
      </c>
      <c r="X390" s="43"/>
      <c r="Y390" s="43"/>
      <c r="Z390" s="43"/>
    </row>
    <row r="391" hidden="1">
      <c r="A391" s="43" t="str">
        <f>IFERROR(__xludf.DUMMYFUNCTION("""COMPUTED_VALUE"""),"5210171_1293298")</f>
        <v>5210171_1293298</v>
      </c>
      <c r="B391" s="43" t="str">
        <f>IFERROR(__xludf.DUMMYFUNCTION("""COMPUTED_VALUE"""),"Türkan Berfin Duva")</f>
        <v>Türkan Berfin Duva</v>
      </c>
      <c r="C391" s="43" t="str">
        <f>IFERROR(__xludf.DUMMYFUNCTION("""COMPUTED_VALUE"""),"completed")</f>
        <v>completed</v>
      </c>
      <c r="D391" s="43" t="str">
        <f>IFERROR(__xludf.DUMMYFUNCTION("""COMPUTED_VALUE"""),"No")</f>
        <v>No</v>
      </c>
      <c r="E391" s="43" t="str">
        <f>IFERROR(__xludf.DUMMYFUNCTION("""COMPUTED_VALUE"""),"p_3e3bbbca2a901d30d804982c3a041996e9a64f19@inbound.aiesec.org")</f>
        <v>p_3e3bbbca2a901d30d804982c3a041996e9a64f19@inbound.aiesec.org</v>
      </c>
      <c r="F391" s="43">
        <f>IFERROR(__xludf.DUMMYFUNCTION("""COMPUTED_VALUE"""),5.452457494E9)</f>
        <v>5452457494</v>
      </c>
      <c r="G391" s="43" t="str">
        <f>IFERROR(__xludf.DUMMYFUNCTION("""COMPUTED_VALUE"""),"Turkey")</f>
        <v>Turkey</v>
      </c>
      <c r="H391" s="43" t="str">
        <f>IFERROR(__xludf.DUMMYFUNCTION("""COMPUTED_VALUE"""),"KOCAELI")</f>
        <v>KOCAELI</v>
      </c>
      <c r="I391" s="43" t="str">
        <f>IFERROR(__xludf.DUMMYFUNCTION("""COMPUTED_VALUE"""),"Romania")</f>
        <v>Romania</v>
      </c>
      <c r="J391" s="43" t="str">
        <f>IFERROR(__xludf.DUMMYFUNCTION("""COMPUTED_VALUE"""),"SIBIU")</f>
        <v>SIBIU</v>
      </c>
      <c r="K391" s="44" t="str">
        <f>IFERROR(__xludf.DUMMYFUNCTION("""COMPUTED_VALUE"""),"https://expa.aiesec.org/opportunities/1293298")</f>
        <v>https://expa.aiesec.org/opportunities/1293298</v>
      </c>
      <c r="L391" s="43" t="str">
        <f>IFERROR(__xludf.DUMMYFUNCTION("""COMPUTED_VALUE"""),"GV")</f>
        <v>GV</v>
      </c>
      <c r="M391" s="43" t="str">
        <f>IFERROR(__xludf.DUMMYFUNCTION("""COMPUTED_VALUE"""),"short")</f>
        <v>short</v>
      </c>
      <c r="N391" s="45">
        <f>IFERROR(__xludf.DUMMYFUNCTION("""COMPUTED_VALUE"""),44999.0)</f>
        <v>44999</v>
      </c>
      <c r="O391" s="45">
        <f>IFERROR(__xludf.DUMMYFUNCTION("""COMPUTED_VALUE"""),45103.0)</f>
        <v>45103</v>
      </c>
      <c r="P391" s="45">
        <f>IFERROR(__xludf.DUMMYFUNCTION("""COMPUTED_VALUE"""),45145.0)</f>
        <v>45145</v>
      </c>
      <c r="Q391" s="45">
        <f>IFERROR(__xludf.DUMMYFUNCTION("""COMPUTED_VALUE"""),45103.0)</f>
        <v>45103</v>
      </c>
      <c r="R391" s="45">
        <f>IFERROR(__xludf.DUMMYFUNCTION("""COMPUTED_VALUE"""),45145.0)</f>
        <v>45145</v>
      </c>
      <c r="S391" s="43"/>
      <c r="T391" s="43"/>
      <c r="U391" s="43" t="str">
        <f>IFERROR(__xludf.DUMMYFUNCTION("""COMPUTED_VALUE"""),"Youth 4 Impact")</f>
        <v>Youth 4 Impact</v>
      </c>
      <c r="V391" s="43" t="str">
        <f>IFERROR(__xludf.DUMMYFUNCTION("""COMPUTED_VALUE"""),"KOCAELI")</f>
        <v>KOCAELI</v>
      </c>
      <c r="W391" s="43" t="str">
        <f>IFERROR(__xludf.DUMMYFUNCTION("""COMPUTED_VALUE"""),"2023-03-08T18:04:11Z")</f>
        <v>2023-03-08T18:04:11Z</v>
      </c>
      <c r="X391" s="43"/>
      <c r="Y391" s="43"/>
      <c r="Z391" s="43"/>
    </row>
    <row r="392" hidden="1">
      <c r="A392" s="43" t="str">
        <f>IFERROR(__xludf.DUMMYFUNCTION("""COMPUTED_VALUE"""),"5214185_1293125")</f>
        <v>5214185_1293125</v>
      </c>
      <c r="B392" s="43" t="str">
        <f>IFERROR(__xludf.DUMMYFUNCTION("""COMPUTED_VALUE"""),"yasemin karış")</f>
        <v>yasemin karış</v>
      </c>
      <c r="C392" s="43" t="str">
        <f>IFERROR(__xludf.DUMMYFUNCTION("""COMPUTED_VALUE"""),"completed")</f>
        <v>completed</v>
      </c>
      <c r="D392" s="43" t="str">
        <f>IFERROR(__xludf.DUMMYFUNCTION("""COMPUTED_VALUE"""),"No")</f>
        <v>No</v>
      </c>
      <c r="E392" s="43" t="str">
        <f>IFERROR(__xludf.DUMMYFUNCTION("""COMPUTED_VALUE"""),"p_201859d4788bc36214d9fddb3cb071464bfcee27@inbound.aiesec.org")</f>
        <v>p_201859d4788bc36214d9fddb3cb071464bfcee27@inbound.aiesec.org</v>
      </c>
      <c r="F392" s="43"/>
      <c r="G392" s="43" t="str">
        <f>IFERROR(__xludf.DUMMYFUNCTION("""COMPUTED_VALUE"""),"Turkey")</f>
        <v>Turkey</v>
      </c>
      <c r="H392" s="43" t="str">
        <f>IFERROR(__xludf.DUMMYFUNCTION("""COMPUTED_VALUE"""),"KOCAELI")</f>
        <v>KOCAELI</v>
      </c>
      <c r="I392" s="43" t="str">
        <f>IFERROR(__xludf.DUMMYFUNCTION("""COMPUTED_VALUE"""),"Romania")</f>
        <v>Romania</v>
      </c>
      <c r="J392" s="43" t="str">
        <f>IFERROR(__xludf.DUMMYFUNCTION("""COMPUTED_VALUE"""),"BRASOV")</f>
        <v>BRASOV</v>
      </c>
      <c r="K392" s="44" t="str">
        <f>IFERROR(__xludf.DUMMYFUNCTION("""COMPUTED_VALUE"""),"https://expa.aiesec.org/opportunities/1293125")</f>
        <v>https://expa.aiesec.org/opportunities/1293125</v>
      </c>
      <c r="L392" s="43" t="str">
        <f>IFERROR(__xludf.DUMMYFUNCTION("""COMPUTED_VALUE"""),"GV")</f>
        <v>GV</v>
      </c>
      <c r="M392" s="43" t="str">
        <f>IFERROR(__xludf.DUMMYFUNCTION("""COMPUTED_VALUE"""),"short")</f>
        <v>short</v>
      </c>
      <c r="N392" s="45">
        <f>IFERROR(__xludf.DUMMYFUNCTION("""COMPUTED_VALUE"""),44999.0)</f>
        <v>44999</v>
      </c>
      <c r="O392" s="45">
        <f>IFERROR(__xludf.DUMMYFUNCTION("""COMPUTED_VALUE"""),45103.0)</f>
        <v>45103</v>
      </c>
      <c r="P392" s="45">
        <f>IFERROR(__xludf.DUMMYFUNCTION("""COMPUTED_VALUE"""),45145.0)</f>
        <v>45145</v>
      </c>
      <c r="Q392" s="45">
        <f>IFERROR(__xludf.DUMMYFUNCTION("""COMPUTED_VALUE"""),45103.0)</f>
        <v>45103</v>
      </c>
      <c r="R392" s="45">
        <f>IFERROR(__xludf.DUMMYFUNCTION("""COMPUTED_VALUE"""),45145.0)</f>
        <v>45145</v>
      </c>
      <c r="S392" s="43"/>
      <c r="T392" s="43"/>
      <c r="U392" s="43" t="str">
        <f>IFERROR(__xludf.DUMMYFUNCTION("""COMPUTED_VALUE"""),"Fingerprint")</f>
        <v>Fingerprint</v>
      </c>
      <c r="V392" s="43" t="str">
        <f>IFERROR(__xludf.DUMMYFUNCTION("""COMPUTED_VALUE"""),"-")</f>
        <v>-</v>
      </c>
      <c r="W392" s="43" t="str">
        <f>IFERROR(__xludf.DUMMYFUNCTION("""COMPUTED_VALUE"""),"2023-03-12T23:24:14Z")</f>
        <v>2023-03-12T23:24:14Z</v>
      </c>
      <c r="X392" s="43"/>
      <c r="Y392" s="43"/>
      <c r="Z392" s="43"/>
    </row>
    <row r="393" hidden="1">
      <c r="A393" s="43" t="str">
        <f>IFERROR(__xludf.DUMMYFUNCTION("""COMPUTED_VALUE"""),"4593073_1292829")</f>
        <v>4593073_1292829</v>
      </c>
      <c r="B393" s="43" t="str">
        <f>IFERROR(__xludf.DUMMYFUNCTION("""COMPUTED_VALUE"""),"Sara Pak")</f>
        <v>Sara Pak</v>
      </c>
      <c r="C393" s="43" t="str">
        <f>IFERROR(__xludf.DUMMYFUNCTION("""COMPUTED_VALUE"""),"approved")</f>
        <v>approved</v>
      </c>
      <c r="D393" s="43" t="str">
        <f>IFERROR(__xludf.DUMMYFUNCTION("""COMPUTED_VALUE"""),"No")</f>
        <v>No</v>
      </c>
      <c r="E393" s="43" t="str">
        <f>IFERROR(__xludf.DUMMYFUNCTION("""COMPUTED_VALUE"""),"p_9ba65f01dd77324be5b2236792e575bb0be680bb@inbound.aiesec.org")</f>
        <v>p_9ba65f01dd77324be5b2236792e575bb0be680bb@inbound.aiesec.org</v>
      </c>
      <c r="F393" s="43">
        <f>IFERROR(__xludf.DUMMYFUNCTION("""COMPUTED_VALUE"""),5.542664573E9)</f>
        <v>5542664573</v>
      </c>
      <c r="G393" s="43" t="str">
        <f>IFERROR(__xludf.DUMMYFUNCTION("""COMPUTED_VALUE"""),"Turkey")</f>
        <v>Turkey</v>
      </c>
      <c r="H393" s="43" t="str">
        <f>IFERROR(__xludf.DUMMYFUNCTION("""COMPUTED_VALUE"""),"SAKARYA")</f>
        <v>SAKARYA</v>
      </c>
      <c r="I393" s="43" t="str">
        <f>IFERROR(__xludf.DUMMYFUNCTION("""COMPUTED_VALUE"""),"Poland")</f>
        <v>Poland</v>
      </c>
      <c r="J393" s="43" t="str">
        <f>IFERROR(__xludf.DUMMYFUNCTION("""COMPUTED_VALUE"""),"LODZ")</f>
        <v>LODZ</v>
      </c>
      <c r="K393" s="44" t="str">
        <f>IFERROR(__xludf.DUMMYFUNCTION("""COMPUTED_VALUE"""),"https://expa.aiesec.org/opportunities/1292829")</f>
        <v>https://expa.aiesec.org/opportunities/1292829</v>
      </c>
      <c r="L393" s="43" t="str">
        <f>IFERROR(__xludf.DUMMYFUNCTION("""COMPUTED_VALUE"""),"GV")</f>
        <v>GV</v>
      </c>
      <c r="M393" s="43" t="str">
        <f>IFERROR(__xludf.DUMMYFUNCTION("""COMPUTED_VALUE"""),"short")</f>
        <v>short</v>
      </c>
      <c r="N393" s="45">
        <f>IFERROR(__xludf.DUMMYFUNCTION("""COMPUTED_VALUE"""),44999.0)</f>
        <v>44999</v>
      </c>
      <c r="O393" s="45">
        <f>IFERROR(__xludf.DUMMYFUNCTION("""COMPUTED_VALUE"""),45109.0)</f>
        <v>45109</v>
      </c>
      <c r="P393" s="45">
        <f>IFERROR(__xludf.DUMMYFUNCTION("""COMPUTED_VALUE"""),45164.0)</f>
        <v>45164</v>
      </c>
      <c r="Q393" s="45"/>
      <c r="R393" s="45"/>
      <c r="S393" s="43"/>
      <c r="T393" s="43"/>
      <c r="U393" s="43" t="str">
        <f>IFERROR(__xludf.DUMMYFUNCTION("""COMPUTED_VALUE"""),"Happy Bus")</f>
        <v>Happy Bus</v>
      </c>
      <c r="V393" s="43" t="str">
        <f>IFERROR(__xludf.DUMMYFUNCTION("""COMPUTED_VALUE"""),"SAKARYA")</f>
        <v>SAKARYA</v>
      </c>
      <c r="W393" s="43" t="str">
        <f>IFERROR(__xludf.DUMMYFUNCTION("""COMPUTED_VALUE"""),"2021-03-25T12:33:49Z")</f>
        <v>2021-03-25T12:33:49Z</v>
      </c>
      <c r="X393" s="43"/>
      <c r="Y393" s="43"/>
      <c r="Z393" s="43"/>
    </row>
    <row r="394" hidden="1">
      <c r="A394" s="43" t="str">
        <f>IFERROR(__xludf.DUMMYFUNCTION("""COMPUTED_VALUE"""),"5208915_1292976")</f>
        <v>5208915_1292976</v>
      </c>
      <c r="B394" s="43" t="str">
        <f>IFERROR(__xludf.DUMMYFUNCTION("""COMPUTED_VALUE"""),"Sude Guler")</f>
        <v>Sude Guler</v>
      </c>
      <c r="C394" s="43" t="str">
        <f>IFERROR(__xludf.DUMMYFUNCTION("""COMPUTED_VALUE"""),"approved")</f>
        <v>approved</v>
      </c>
      <c r="D394" s="43" t="str">
        <f>IFERROR(__xludf.DUMMYFUNCTION("""COMPUTED_VALUE"""),"No")</f>
        <v>No</v>
      </c>
      <c r="E394" s="43" t="str">
        <f>IFERROR(__xludf.DUMMYFUNCTION("""COMPUTED_VALUE"""),"p_994e4514917ae918f0680c71c0c218c3c4bc396a@inbound.aiesec.org")</f>
        <v>p_994e4514917ae918f0680c71c0c218c3c4bc396a@inbound.aiesec.org</v>
      </c>
      <c r="F394" s="43">
        <f>IFERROR(__xludf.DUMMYFUNCTION("""COMPUTED_VALUE"""),5.376849756E9)</f>
        <v>5376849756</v>
      </c>
      <c r="G394" s="43" t="str">
        <f>IFERROR(__xludf.DUMMYFUNCTION("""COMPUTED_VALUE"""),"Turkey")</f>
        <v>Turkey</v>
      </c>
      <c r="H394" s="43" t="str">
        <f>IFERROR(__xludf.DUMMYFUNCTION("""COMPUTED_VALUE"""),"İZMİR")</f>
        <v>İZMİR</v>
      </c>
      <c r="I394" s="43" t="str">
        <f>IFERROR(__xludf.DUMMYFUNCTION("""COMPUTED_VALUE"""),"Romania")</f>
        <v>Romania</v>
      </c>
      <c r="J394" s="43" t="str">
        <f>IFERROR(__xludf.DUMMYFUNCTION("""COMPUTED_VALUE"""),"SIBIU")</f>
        <v>SIBIU</v>
      </c>
      <c r="K394" s="44" t="str">
        <f>IFERROR(__xludf.DUMMYFUNCTION("""COMPUTED_VALUE"""),"https://expa.aiesec.org/opportunities/1292976")</f>
        <v>https://expa.aiesec.org/opportunities/1292976</v>
      </c>
      <c r="L394" s="43" t="str">
        <f>IFERROR(__xludf.DUMMYFUNCTION("""COMPUTED_VALUE"""),"GV")</f>
        <v>GV</v>
      </c>
      <c r="M394" s="43" t="str">
        <f>IFERROR(__xludf.DUMMYFUNCTION("""COMPUTED_VALUE"""),"short")</f>
        <v>short</v>
      </c>
      <c r="N394" s="45">
        <f>IFERROR(__xludf.DUMMYFUNCTION("""COMPUTED_VALUE"""),44999.0)</f>
        <v>44999</v>
      </c>
      <c r="O394" s="45">
        <f>IFERROR(__xludf.DUMMYFUNCTION("""COMPUTED_VALUE"""),45103.0)</f>
        <v>45103</v>
      </c>
      <c r="P394" s="45">
        <f>IFERROR(__xludf.DUMMYFUNCTION("""COMPUTED_VALUE"""),45145.0)</f>
        <v>45145</v>
      </c>
      <c r="Q394" s="45"/>
      <c r="R394" s="45"/>
      <c r="S394" s="43"/>
      <c r="T394" s="43"/>
      <c r="U394" s="43" t="str">
        <f>IFERROR(__xludf.DUMMYFUNCTION("""COMPUTED_VALUE"""),"Youth 4 Impact")</f>
        <v>Youth 4 Impact</v>
      </c>
      <c r="V394" s="43" t="str">
        <f>IFERROR(__xludf.DUMMYFUNCTION("""COMPUTED_VALUE"""),"ISTANBUL ASIA")</f>
        <v>ISTANBUL ASIA</v>
      </c>
      <c r="W394" s="43" t="str">
        <f>IFERROR(__xludf.DUMMYFUNCTION("""COMPUTED_VALUE"""),"2023-03-07T17:03:24Z")</f>
        <v>2023-03-07T17:03:24Z</v>
      </c>
      <c r="X394" s="43"/>
      <c r="Y394" s="43"/>
      <c r="Z394" s="43"/>
    </row>
    <row r="395" hidden="1">
      <c r="A395" s="43" t="str">
        <f>IFERROR(__xludf.DUMMYFUNCTION("""COMPUTED_VALUE"""),"5203224_1292976")</f>
        <v>5203224_1292976</v>
      </c>
      <c r="B395" s="43" t="str">
        <f>IFERROR(__xludf.DUMMYFUNCTION("""COMPUTED_VALUE"""),"Ümmü Pelin Kelleci")</f>
        <v>Ümmü Pelin Kelleci</v>
      </c>
      <c r="C395" s="43" t="str">
        <f>IFERROR(__xludf.DUMMYFUNCTION("""COMPUTED_VALUE"""),"completed")</f>
        <v>completed</v>
      </c>
      <c r="D395" s="43" t="str">
        <f>IFERROR(__xludf.DUMMYFUNCTION("""COMPUTED_VALUE"""),"No")</f>
        <v>No</v>
      </c>
      <c r="E395" s="43" t="str">
        <f>IFERROR(__xludf.DUMMYFUNCTION("""COMPUTED_VALUE"""),"p_25703270f44012e9afedd3425d94247ce5aed786@inbound.aiesec.org")</f>
        <v>p_25703270f44012e9afedd3425d94247ce5aed786@inbound.aiesec.org</v>
      </c>
      <c r="F395" s="43"/>
      <c r="G395" s="43" t="str">
        <f>IFERROR(__xludf.DUMMYFUNCTION("""COMPUTED_VALUE"""),"Turkey")</f>
        <v>Turkey</v>
      </c>
      <c r="H395" s="43" t="str">
        <f>IFERROR(__xludf.DUMMYFUNCTION("""COMPUTED_VALUE"""),"DENIZLI")</f>
        <v>DENIZLI</v>
      </c>
      <c r="I395" s="43" t="str">
        <f>IFERROR(__xludf.DUMMYFUNCTION("""COMPUTED_VALUE"""),"Romania")</f>
        <v>Romania</v>
      </c>
      <c r="J395" s="43" t="str">
        <f>IFERROR(__xludf.DUMMYFUNCTION("""COMPUTED_VALUE"""),"SIBIU")</f>
        <v>SIBIU</v>
      </c>
      <c r="K395" s="44" t="str">
        <f>IFERROR(__xludf.DUMMYFUNCTION("""COMPUTED_VALUE"""),"https://expa.aiesec.org/opportunities/1292976")</f>
        <v>https://expa.aiesec.org/opportunities/1292976</v>
      </c>
      <c r="L395" s="43" t="str">
        <f>IFERROR(__xludf.DUMMYFUNCTION("""COMPUTED_VALUE"""),"GV")</f>
        <v>GV</v>
      </c>
      <c r="M395" s="43" t="str">
        <f>IFERROR(__xludf.DUMMYFUNCTION("""COMPUTED_VALUE"""),"short")</f>
        <v>short</v>
      </c>
      <c r="N395" s="45">
        <f>IFERROR(__xludf.DUMMYFUNCTION("""COMPUTED_VALUE"""),44999.0)</f>
        <v>44999</v>
      </c>
      <c r="O395" s="45">
        <f>IFERROR(__xludf.DUMMYFUNCTION("""COMPUTED_VALUE"""),45103.0)</f>
        <v>45103</v>
      </c>
      <c r="P395" s="45">
        <f>IFERROR(__xludf.DUMMYFUNCTION("""COMPUTED_VALUE"""),45145.0)</f>
        <v>45145</v>
      </c>
      <c r="Q395" s="45">
        <f>IFERROR(__xludf.DUMMYFUNCTION("""COMPUTED_VALUE"""),45104.0)</f>
        <v>45104</v>
      </c>
      <c r="R395" s="45">
        <f>IFERROR(__xludf.DUMMYFUNCTION("""COMPUTED_VALUE"""),45145.0)</f>
        <v>45145</v>
      </c>
      <c r="S395" s="43"/>
      <c r="T395" s="43"/>
      <c r="U395" s="43" t="str">
        <f>IFERROR(__xludf.DUMMYFUNCTION("""COMPUTED_VALUE"""),"Youth 4 Impact")</f>
        <v>Youth 4 Impact</v>
      </c>
      <c r="V395" s="43" t="str">
        <f>IFERROR(__xludf.DUMMYFUNCTION("""COMPUTED_VALUE"""),"-")</f>
        <v>-</v>
      </c>
      <c r="W395" s="43" t="str">
        <f>IFERROR(__xludf.DUMMYFUNCTION("""COMPUTED_VALUE"""),"2023-03-02T08:37:53Z")</f>
        <v>2023-03-02T08:37:53Z</v>
      </c>
      <c r="X395" s="43"/>
      <c r="Y395" s="43"/>
      <c r="Z395" s="43"/>
    </row>
    <row r="396" hidden="1">
      <c r="A396" s="43" t="str">
        <f>IFERROR(__xludf.DUMMYFUNCTION("""COMPUTED_VALUE"""),"5212391_1292824")</f>
        <v>5212391_1292824</v>
      </c>
      <c r="B396" s="43" t="str">
        <f>IFERROR(__xludf.DUMMYFUNCTION("""COMPUTED_VALUE"""),"Bahadır Çınar")</f>
        <v>Bahadır Çınar</v>
      </c>
      <c r="C396" s="43" t="str">
        <f>IFERROR(__xludf.DUMMYFUNCTION("""COMPUTED_VALUE"""),"completed")</f>
        <v>completed</v>
      </c>
      <c r="D396" s="43" t="str">
        <f>IFERROR(__xludf.DUMMYFUNCTION("""COMPUTED_VALUE"""),"No")</f>
        <v>No</v>
      </c>
      <c r="E396" s="43" t="str">
        <f>IFERROR(__xludf.DUMMYFUNCTION("""COMPUTED_VALUE"""),"p_d72cd36c59fc28afb0381f4da52ee7927cf2e45f@inbound.aiesec.org")</f>
        <v>p_d72cd36c59fc28afb0381f4da52ee7927cf2e45f@inbound.aiesec.org</v>
      </c>
      <c r="F396" s="43">
        <f>IFERROR(__xludf.DUMMYFUNCTION("""COMPUTED_VALUE"""),5.059823979E9)</f>
        <v>5059823979</v>
      </c>
      <c r="G396" s="43" t="str">
        <f>IFERROR(__xludf.DUMMYFUNCTION("""COMPUTED_VALUE"""),"Turkey")</f>
        <v>Turkey</v>
      </c>
      <c r="H396" s="43" t="str">
        <f>IFERROR(__xludf.DUMMYFUNCTION("""COMPUTED_VALUE"""),"ISTANBUL WEST")</f>
        <v>ISTANBUL WEST</v>
      </c>
      <c r="I396" s="43" t="str">
        <f>IFERROR(__xludf.DUMMYFUNCTION("""COMPUTED_VALUE"""),"Serbia")</f>
        <v>Serbia</v>
      </c>
      <c r="J396" s="43" t="str">
        <f>IFERROR(__xludf.DUMMYFUNCTION("""COMPUTED_VALUE"""),"Singidunum")</f>
        <v>Singidunum</v>
      </c>
      <c r="K396" s="44" t="str">
        <f>IFERROR(__xludf.DUMMYFUNCTION("""COMPUTED_VALUE"""),"https://expa.aiesec.org/opportunities/1292824")</f>
        <v>https://expa.aiesec.org/opportunities/1292824</v>
      </c>
      <c r="L396" s="43" t="str">
        <f>IFERROR(__xludf.DUMMYFUNCTION("""COMPUTED_VALUE"""),"GV")</f>
        <v>GV</v>
      </c>
      <c r="M396" s="43" t="str">
        <f>IFERROR(__xludf.DUMMYFUNCTION("""COMPUTED_VALUE"""),"short")</f>
        <v>short</v>
      </c>
      <c r="N396" s="45">
        <f>IFERROR(__xludf.DUMMYFUNCTION("""COMPUTED_VALUE"""),45000.0)</f>
        <v>45000</v>
      </c>
      <c r="O396" s="45">
        <f>IFERROR(__xludf.DUMMYFUNCTION("""COMPUTED_VALUE"""),45108.0)</f>
        <v>45108</v>
      </c>
      <c r="P396" s="45">
        <f>IFERROR(__xludf.DUMMYFUNCTION("""COMPUTED_VALUE"""),45150.0)</f>
        <v>45150</v>
      </c>
      <c r="Q396" s="45">
        <f>IFERROR(__xludf.DUMMYFUNCTION("""COMPUTED_VALUE"""),45110.0)</f>
        <v>45110</v>
      </c>
      <c r="R396" s="45">
        <f>IFERROR(__xludf.DUMMYFUNCTION("""COMPUTED_VALUE"""),45152.0)</f>
        <v>45152</v>
      </c>
      <c r="S396" s="43"/>
      <c r="T396" s="43"/>
      <c r="U396" s="43" t="str">
        <f>IFERROR(__xludf.DUMMYFUNCTION("""COMPUTED_VALUE"""),"Global Classroom")</f>
        <v>Global Classroom</v>
      </c>
      <c r="V396" s="43" t="str">
        <f>IFERROR(__xludf.DUMMYFUNCTION("""COMPUTED_VALUE"""),"ISTANBUL - BAKIRKOY")</f>
        <v>ISTANBUL - BAKIRKOY</v>
      </c>
      <c r="W396" s="43" t="str">
        <f>IFERROR(__xludf.DUMMYFUNCTION("""COMPUTED_VALUE"""),"2023-03-10T17:38:57Z")</f>
        <v>2023-03-10T17:38:57Z</v>
      </c>
      <c r="X396" s="43"/>
      <c r="Y396" s="43"/>
      <c r="Z396" s="43"/>
    </row>
    <row r="397" hidden="1">
      <c r="A397" s="43" t="str">
        <f>IFERROR(__xludf.DUMMYFUNCTION("""COMPUTED_VALUE"""),"5212430_1289895")</f>
        <v>5212430_1289895</v>
      </c>
      <c r="B397" s="43" t="str">
        <f>IFERROR(__xludf.DUMMYFUNCTION("""COMPUTED_VALUE"""),"Seher Damla Uludağ")</f>
        <v>Seher Damla Uludağ</v>
      </c>
      <c r="C397" s="43" t="str">
        <f>IFERROR(__xludf.DUMMYFUNCTION("""COMPUTED_VALUE"""),"completed")</f>
        <v>completed</v>
      </c>
      <c r="D397" s="43" t="str">
        <f>IFERROR(__xludf.DUMMYFUNCTION("""COMPUTED_VALUE"""),"No")</f>
        <v>No</v>
      </c>
      <c r="E397" s="43" t="str">
        <f>IFERROR(__xludf.DUMMYFUNCTION("""COMPUTED_VALUE"""),"p_64f504a0a78a196cb8f178dade8883f876b40469@inbound.aiesec.org")</f>
        <v>p_64f504a0a78a196cb8f178dade8883f876b40469@inbound.aiesec.org</v>
      </c>
      <c r="F397" s="43">
        <f>IFERROR(__xludf.DUMMYFUNCTION("""COMPUTED_VALUE"""),5.414905107E9)</f>
        <v>5414905107</v>
      </c>
      <c r="G397" s="43" t="str">
        <f>IFERROR(__xludf.DUMMYFUNCTION("""COMPUTED_VALUE"""),"Turkey")</f>
        <v>Turkey</v>
      </c>
      <c r="H397" s="43" t="str">
        <f>IFERROR(__xludf.DUMMYFUNCTION("""COMPUTED_VALUE"""),"İZMİR")</f>
        <v>İZMİR</v>
      </c>
      <c r="I397" s="43" t="str">
        <f>IFERROR(__xludf.DUMMYFUNCTION("""COMPUTED_VALUE"""),"Egypt")</f>
        <v>Egypt</v>
      </c>
      <c r="J397" s="43" t="str">
        <f>IFERROR(__xludf.DUMMYFUNCTION("""COMPUTED_VALUE"""),"Ain Shams University")</f>
        <v>Ain Shams University</v>
      </c>
      <c r="K397" s="44" t="str">
        <f>IFERROR(__xludf.DUMMYFUNCTION("""COMPUTED_VALUE"""),"https://expa.aiesec.org/opportunities/1289895")</f>
        <v>https://expa.aiesec.org/opportunities/1289895</v>
      </c>
      <c r="L397" s="43" t="str">
        <f>IFERROR(__xludf.DUMMYFUNCTION("""COMPUTED_VALUE"""),"GV")</f>
        <v>GV</v>
      </c>
      <c r="M397" s="43" t="str">
        <f>IFERROR(__xludf.DUMMYFUNCTION("""COMPUTED_VALUE"""),"short")</f>
        <v>short</v>
      </c>
      <c r="N397" s="45">
        <f>IFERROR(__xludf.DUMMYFUNCTION("""COMPUTED_VALUE"""),45000.0)</f>
        <v>45000</v>
      </c>
      <c r="O397" s="45">
        <f>IFERROR(__xludf.DUMMYFUNCTION("""COMPUTED_VALUE"""),45122.0)</f>
        <v>45122</v>
      </c>
      <c r="P397" s="45">
        <f>IFERROR(__xludf.DUMMYFUNCTION("""COMPUTED_VALUE"""),45164.0)</f>
        <v>45164</v>
      </c>
      <c r="Q397" s="45"/>
      <c r="R397" s="45">
        <f>IFERROR(__xludf.DUMMYFUNCTION("""COMPUTED_VALUE"""),45164.0)</f>
        <v>45164</v>
      </c>
      <c r="S397" s="43"/>
      <c r="T397" s="43"/>
      <c r="U397" s="43" t="str">
        <f>IFERROR(__xludf.DUMMYFUNCTION("""COMPUTED_VALUE"""),"Heartbeat")</f>
        <v>Heartbeat</v>
      </c>
      <c r="V397" s="43" t="str">
        <f>IFERROR(__xludf.DUMMYFUNCTION("""COMPUTED_VALUE"""),"IZMIR")</f>
        <v>IZMIR</v>
      </c>
      <c r="W397" s="43" t="str">
        <f>IFERROR(__xludf.DUMMYFUNCTION("""COMPUTED_VALUE"""),"2023-03-10T18:27:28Z")</f>
        <v>2023-03-10T18:27:28Z</v>
      </c>
      <c r="X397" s="43"/>
      <c r="Y397" s="43"/>
      <c r="Z397" s="43"/>
    </row>
    <row r="398" hidden="1">
      <c r="A398" s="43" t="str">
        <f>IFERROR(__xludf.DUMMYFUNCTION("""COMPUTED_VALUE"""),"4936271_1292835")</f>
        <v>4936271_1292835</v>
      </c>
      <c r="B398" s="43" t="str">
        <f>IFERROR(__xludf.DUMMYFUNCTION("""COMPUTED_VALUE"""),"Beril Ünsal")</f>
        <v>Beril Ünsal</v>
      </c>
      <c r="C398" s="43" t="str">
        <f>IFERROR(__xludf.DUMMYFUNCTION("""COMPUTED_VALUE"""),"completed")</f>
        <v>completed</v>
      </c>
      <c r="D398" s="43" t="str">
        <f>IFERROR(__xludf.DUMMYFUNCTION("""COMPUTED_VALUE"""),"No")</f>
        <v>No</v>
      </c>
      <c r="E398" s="43" t="str">
        <f>IFERROR(__xludf.DUMMYFUNCTION("""COMPUTED_VALUE"""),"p_7d12790c656f975b7813f388aeaa4a06c02c50d0@inbound.aiesec.org")</f>
        <v>p_7d12790c656f975b7813f388aeaa4a06c02c50d0@inbound.aiesec.org</v>
      </c>
      <c r="F398" s="43">
        <f>IFERROR(__xludf.DUMMYFUNCTION("""COMPUTED_VALUE"""),5.380433619E9)</f>
        <v>5380433619</v>
      </c>
      <c r="G398" s="43" t="str">
        <f>IFERROR(__xludf.DUMMYFUNCTION("""COMPUTED_VALUE"""),"Turkey")</f>
        <v>Turkey</v>
      </c>
      <c r="H398" s="43" t="str">
        <f>IFERROR(__xludf.DUMMYFUNCTION("""COMPUTED_VALUE"""),"ANKARA")</f>
        <v>ANKARA</v>
      </c>
      <c r="I398" s="43" t="str">
        <f>IFERROR(__xludf.DUMMYFUNCTION("""COMPUTED_VALUE"""),"South Korea")</f>
        <v>South Korea</v>
      </c>
      <c r="J398" s="43" t="str">
        <f>IFERROR(__xludf.DUMMYFUNCTION("""COMPUTED_VALUE"""),"YSU")</f>
        <v>YSU</v>
      </c>
      <c r="K398" s="44" t="str">
        <f>IFERROR(__xludf.DUMMYFUNCTION("""COMPUTED_VALUE"""),"https://expa.aiesec.org/opportunities/1292835")</f>
        <v>https://expa.aiesec.org/opportunities/1292835</v>
      </c>
      <c r="L398" s="43" t="str">
        <f>IFERROR(__xludf.DUMMYFUNCTION("""COMPUTED_VALUE"""),"GV")</f>
        <v>GV</v>
      </c>
      <c r="M398" s="43" t="str">
        <f>IFERROR(__xludf.DUMMYFUNCTION("""COMPUTED_VALUE"""),"short")</f>
        <v>short</v>
      </c>
      <c r="N398" s="45">
        <f>IFERROR(__xludf.DUMMYFUNCTION("""COMPUTED_VALUE"""),45000.0)</f>
        <v>45000</v>
      </c>
      <c r="O398" s="45">
        <f>IFERROR(__xludf.DUMMYFUNCTION("""COMPUTED_VALUE"""),45119.0)</f>
        <v>45119</v>
      </c>
      <c r="P398" s="45">
        <f>IFERROR(__xludf.DUMMYFUNCTION("""COMPUTED_VALUE"""),45161.0)</f>
        <v>45161</v>
      </c>
      <c r="Q398" s="45">
        <f>IFERROR(__xludf.DUMMYFUNCTION("""COMPUTED_VALUE"""),45117.0)</f>
        <v>45117</v>
      </c>
      <c r="R398" s="45">
        <f>IFERROR(__xludf.DUMMYFUNCTION("""COMPUTED_VALUE"""),45161.0)</f>
        <v>45161</v>
      </c>
      <c r="S398" s="43"/>
      <c r="T398" s="43"/>
      <c r="U398" s="43" t="str">
        <f>IFERROR(__xludf.DUMMYFUNCTION("""COMPUTED_VALUE"""),"Global Classroom")</f>
        <v>Global Classroom</v>
      </c>
      <c r="V398" s="43" t="str">
        <f>IFERROR(__xludf.DUMMYFUNCTION("""COMPUTED_VALUE"""),"ANKARA")</f>
        <v>ANKARA</v>
      </c>
      <c r="W398" s="43" t="str">
        <f>IFERROR(__xludf.DUMMYFUNCTION("""COMPUTED_VALUE"""),"2022-02-18T11:13:55Z")</f>
        <v>2022-02-18T11:13:55Z</v>
      </c>
      <c r="X398" s="43"/>
      <c r="Y398" s="43"/>
      <c r="Z398" s="43"/>
    </row>
    <row r="399" hidden="1">
      <c r="A399" s="43" t="str">
        <f>IFERROR(__xludf.DUMMYFUNCTION("""COMPUTED_VALUE"""),"5218470_1281235")</f>
        <v>5218470_1281235</v>
      </c>
      <c r="B399" s="43" t="str">
        <f>IFERROR(__xludf.DUMMYFUNCTION("""COMPUTED_VALUE"""),"Ezgi Alıç")</f>
        <v>Ezgi Alıç</v>
      </c>
      <c r="C399" s="43" t="str">
        <f>IFERROR(__xludf.DUMMYFUNCTION("""COMPUTED_VALUE"""),"approved")</f>
        <v>approved</v>
      </c>
      <c r="D399" s="43" t="str">
        <f>IFERROR(__xludf.DUMMYFUNCTION("""COMPUTED_VALUE"""),"No")</f>
        <v>No</v>
      </c>
      <c r="E399" s="43" t="str">
        <f>IFERROR(__xludf.DUMMYFUNCTION("""COMPUTED_VALUE"""),"p_2e9eaed2b4a771daefc071bd7dba0ce3591af629@inbound.aiesec.org")</f>
        <v>p_2e9eaed2b4a771daefc071bd7dba0ce3591af629@inbound.aiesec.org</v>
      </c>
      <c r="F399" s="43">
        <f>IFERROR(__xludf.DUMMYFUNCTION("""COMPUTED_VALUE"""),5.333855817E9)</f>
        <v>5333855817</v>
      </c>
      <c r="G399" s="43" t="str">
        <f>IFERROR(__xludf.DUMMYFUNCTION("""COMPUTED_VALUE"""),"Turkey")</f>
        <v>Turkey</v>
      </c>
      <c r="H399" s="43" t="str">
        <f>IFERROR(__xludf.DUMMYFUNCTION("""COMPUTED_VALUE"""),"ISTANBUL")</f>
        <v>ISTANBUL</v>
      </c>
      <c r="I399" s="43" t="str">
        <f>IFERROR(__xludf.DUMMYFUNCTION("""COMPUTED_VALUE"""),"India")</f>
        <v>India</v>
      </c>
      <c r="J399" s="43" t="str">
        <f>IFERROR(__xludf.DUMMYFUNCTION("""COMPUTED_VALUE"""),"Dehradun")</f>
        <v>Dehradun</v>
      </c>
      <c r="K399" s="44" t="str">
        <f>IFERROR(__xludf.DUMMYFUNCTION("""COMPUTED_VALUE"""),"https://expa.aiesec.org/opportunities/1281235")</f>
        <v>https://expa.aiesec.org/opportunities/1281235</v>
      </c>
      <c r="L399" s="43" t="str">
        <f>IFERROR(__xludf.DUMMYFUNCTION("""COMPUTED_VALUE"""),"GV")</f>
        <v>GV</v>
      </c>
      <c r="M399" s="43" t="str">
        <f>IFERROR(__xludf.DUMMYFUNCTION("""COMPUTED_VALUE"""),"short")</f>
        <v>short</v>
      </c>
      <c r="N399" s="45">
        <f>IFERROR(__xludf.DUMMYFUNCTION("""COMPUTED_VALUE"""),45001.0)</f>
        <v>45001</v>
      </c>
      <c r="O399" s="45">
        <f>IFERROR(__xludf.DUMMYFUNCTION("""COMPUTED_VALUE"""),45122.0)</f>
        <v>45122</v>
      </c>
      <c r="P399" s="45">
        <f>IFERROR(__xludf.DUMMYFUNCTION("""COMPUTED_VALUE"""),45164.0)</f>
        <v>45164</v>
      </c>
      <c r="Q399" s="45"/>
      <c r="R399" s="45"/>
      <c r="S399" s="43"/>
      <c r="T399" s="43"/>
      <c r="U399" s="43" t="str">
        <f>IFERROR(__xludf.DUMMYFUNCTION("""COMPUTED_VALUE"""),"Skill Up!")</f>
        <v>Skill Up!</v>
      </c>
      <c r="V399" s="43" t="str">
        <f>IFERROR(__xludf.DUMMYFUNCTION("""COMPUTED_VALUE"""),"ISTANBUL - BEYOGLU")</f>
        <v>ISTANBUL - BEYOGLU</v>
      </c>
      <c r="W399" s="43" t="str">
        <f>IFERROR(__xludf.DUMMYFUNCTION("""COMPUTED_VALUE"""),"2023-03-16T13:20:06Z")</f>
        <v>2023-03-16T13:20:06Z</v>
      </c>
      <c r="X399" s="43"/>
      <c r="Y399" s="43"/>
      <c r="Z399" s="43"/>
    </row>
    <row r="400" hidden="1">
      <c r="A400" s="43" t="str">
        <f>IFERROR(__xludf.DUMMYFUNCTION("""COMPUTED_VALUE"""),"5209335_1289763")</f>
        <v>5209335_1289763</v>
      </c>
      <c r="B400" s="43" t="str">
        <f>IFERROR(__xludf.DUMMYFUNCTION("""COMPUTED_VALUE"""),"Semanur Hut")</f>
        <v>Semanur Hut</v>
      </c>
      <c r="C400" s="43" t="str">
        <f>IFERROR(__xludf.DUMMYFUNCTION("""COMPUTED_VALUE"""),"completed")</f>
        <v>completed</v>
      </c>
      <c r="D400" s="43" t="str">
        <f>IFERROR(__xludf.DUMMYFUNCTION("""COMPUTED_VALUE"""),"No")</f>
        <v>No</v>
      </c>
      <c r="E400" s="43" t="str">
        <f>IFERROR(__xludf.DUMMYFUNCTION("""COMPUTED_VALUE"""),"p_e2b63f0b27cc3acff9bfd70904eac6b733b90a61@inbound.aiesec.org")</f>
        <v>p_e2b63f0b27cc3acff9bfd70904eac6b733b90a61@inbound.aiesec.org</v>
      </c>
      <c r="F400" s="43"/>
      <c r="G400" s="43" t="str">
        <f>IFERROR(__xludf.DUMMYFUNCTION("""COMPUTED_VALUE"""),"Turkey")</f>
        <v>Turkey</v>
      </c>
      <c r="H400" s="43" t="str">
        <f>IFERROR(__xludf.DUMMYFUNCTION("""COMPUTED_VALUE"""),"ANTALYA")</f>
        <v>ANTALYA</v>
      </c>
      <c r="I400" s="43" t="str">
        <f>IFERROR(__xludf.DUMMYFUNCTION("""COMPUTED_VALUE"""),"Egypt")</f>
        <v>Egypt</v>
      </c>
      <c r="J400" s="43" t="str">
        <f>IFERROR(__xludf.DUMMYFUNCTION("""COMPUTED_VALUE"""),"MIU")</f>
        <v>MIU</v>
      </c>
      <c r="K400" s="44" t="str">
        <f>IFERROR(__xludf.DUMMYFUNCTION("""COMPUTED_VALUE"""),"https://expa.aiesec.org/opportunities/1289763")</f>
        <v>https://expa.aiesec.org/opportunities/1289763</v>
      </c>
      <c r="L400" s="43" t="str">
        <f>IFERROR(__xludf.DUMMYFUNCTION("""COMPUTED_VALUE"""),"GV")</f>
        <v>GV</v>
      </c>
      <c r="M400" s="43" t="str">
        <f>IFERROR(__xludf.DUMMYFUNCTION("""COMPUTED_VALUE"""),"short")</f>
        <v>short</v>
      </c>
      <c r="N400" s="45">
        <f>IFERROR(__xludf.DUMMYFUNCTION("""COMPUTED_VALUE"""),45001.0)</f>
        <v>45001</v>
      </c>
      <c r="O400" s="45">
        <f>IFERROR(__xludf.DUMMYFUNCTION("""COMPUTED_VALUE"""),45109.0)</f>
        <v>45109</v>
      </c>
      <c r="P400" s="45">
        <f>IFERROR(__xludf.DUMMYFUNCTION("""COMPUTED_VALUE"""),45153.0)</f>
        <v>45153</v>
      </c>
      <c r="Q400" s="45">
        <f>IFERROR(__xludf.DUMMYFUNCTION("""COMPUTED_VALUE"""),45113.0)</f>
        <v>45113</v>
      </c>
      <c r="R400" s="45">
        <f>IFERROR(__xludf.DUMMYFUNCTION("""COMPUTED_VALUE"""),45157.0)</f>
        <v>45157</v>
      </c>
      <c r="S400" s="43"/>
      <c r="T400" s="43"/>
      <c r="U400" s="43" t="str">
        <f>IFERROR(__xludf.DUMMYFUNCTION("""COMPUTED_VALUE"""),"Scale Up!")</f>
        <v>Scale Up!</v>
      </c>
      <c r="V400" s="43" t="str">
        <f>IFERROR(__xludf.DUMMYFUNCTION("""COMPUTED_VALUE"""),"-")</f>
        <v>-</v>
      </c>
      <c r="W400" s="43" t="str">
        <f>IFERROR(__xludf.DUMMYFUNCTION("""COMPUTED_VALUE"""),"2023-03-08T08:45:19Z")</f>
        <v>2023-03-08T08:45:19Z</v>
      </c>
      <c r="X400" s="43"/>
      <c r="Y400" s="43"/>
      <c r="Z400" s="43"/>
    </row>
    <row r="401" hidden="1">
      <c r="A401" s="43" t="str">
        <f>IFERROR(__xludf.DUMMYFUNCTION("""COMPUTED_VALUE"""),"5197091_1292379")</f>
        <v>5197091_1292379</v>
      </c>
      <c r="B401" s="43" t="str">
        <f>IFERROR(__xludf.DUMMYFUNCTION("""COMPUTED_VALUE"""),"Bilge Özer")</f>
        <v>Bilge Özer</v>
      </c>
      <c r="C401" s="43" t="str">
        <f>IFERROR(__xludf.DUMMYFUNCTION("""COMPUTED_VALUE"""),"completed")</f>
        <v>completed</v>
      </c>
      <c r="D401" s="43" t="str">
        <f>IFERROR(__xludf.DUMMYFUNCTION("""COMPUTED_VALUE"""),"No")</f>
        <v>No</v>
      </c>
      <c r="E401" s="43" t="str">
        <f>IFERROR(__xludf.DUMMYFUNCTION("""COMPUTED_VALUE"""),"p_18bd09984a3a4563a8390f08bddab7283f1d0bcb@inbound.aiesec.org")</f>
        <v>p_18bd09984a3a4563a8390f08bddab7283f1d0bcb@inbound.aiesec.org</v>
      </c>
      <c r="F401" s="43">
        <f>IFERROR(__xludf.DUMMYFUNCTION("""COMPUTED_VALUE"""),5.36211944E9)</f>
        <v>5362119440</v>
      </c>
      <c r="G401" s="43" t="str">
        <f>IFERROR(__xludf.DUMMYFUNCTION("""COMPUTED_VALUE"""),"Turkey")</f>
        <v>Turkey</v>
      </c>
      <c r="H401" s="43" t="str">
        <f>IFERROR(__xludf.DUMMYFUNCTION("""COMPUTED_VALUE"""),"ISTANBUL ASIA")</f>
        <v>ISTANBUL ASIA</v>
      </c>
      <c r="I401" s="43" t="str">
        <f>IFERROR(__xludf.DUMMYFUNCTION("""COMPUTED_VALUE"""),"Romania")</f>
        <v>Romania</v>
      </c>
      <c r="J401" s="43" t="str">
        <f>IFERROR(__xludf.DUMMYFUNCTION("""COMPUTED_VALUE"""),"GALATI")</f>
        <v>GALATI</v>
      </c>
      <c r="K401" s="44" t="str">
        <f>IFERROR(__xludf.DUMMYFUNCTION("""COMPUTED_VALUE"""),"https://expa.aiesec.org/opportunities/1292379")</f>
        <v>https://expa.aiesec.org/opportunities/1292379</v>
      </c>
      <c r="L401" s="43" t="str">
        <f>IFERROR(__xludf.DUMMYFUNCTION("""COMPUTED_VALUE"""),"GV")</f>
        <v>GV</v>
      </c>
      <c r="M401" s="43" t="str">
        <f>IFERROR(__xludf.DUMMYFUNCTION("""COMPUTED_VALUE"""),"short")</f>
        <v>short</v>
      </c>
      <c r="N401" s="45">
        <f>IFERROR(__xludf.DUMMYFUNCTION("""COMPUTED_VALUE"""),45001.0)</f>
        <v>45001</v>
      </c>
      <c r="O401" s="45">
        <f>IFERROR(__xludf.DUMMYFUNCTION("""COMPUTED_VALUE"""),45096.0)</f>
        <v>45096</v>
      </c>
      <c r="P401" s="45">
        <f>IFERROR(__xludf.DUMMYFUNCTION("""COMPUTED_VALUE"""),45138.0)</f>
        <v>45138</v>
      </c>
      <c r="Q401" s="45">
        <f>IFERROR(__xludf.DUMMYFUNCTION("""COMPUTED_VALUE"""),45097.0)</f>
        <v>45097</v>
      </c>
      <c r="R401" s="45">
        <f>IFERROR(__xludf.DUMMYFUNCTION("""COMPUTED_VALUE"""),45138.0)</f>
        <v>45138</v>
      </c>
      <c r="S401" s="43"/>
      <c r="T401" s="43"/>
      <c r="U401" s="43" t="str">
        <f>IFERROR(__xludf.DUMMYFUNCTION("""COMPUTED_VALUE"""),"Green Leaders")</f>
        <v>Green Leaders</v>
      </c>
      <c r="V401" s="43" t="str">
        <f>IFERROR(__xludf.DUMMYFUNCTION("""COMPUTED_VALUE"""),"ISTANBUL ASIA")</f>
        <v>ISTANBUL ASIA</v>
      </c>
      <c r="W401" s="43" t="str">
        <f>IFERROR(__xludf.DUMMYFUNCTION("""COMPUTED_VALUE"""),"2023-02-22T21:05:44Z")</f>
        <v>2023-02-22T21:05:44Z</v>
      </c>
      <c r="X401" s="43"/>
      <c r="Y401" s="43"/>
      <c r="Z401" s="43"/>
    </row>
    <row r="402" hidden="1">
      <c r="A402" s="43" t="str">
        <f>IFERROR(__xludf.DUMMYFUNCTION("""COMPUTED_VALUE"""),"5206765_1292756")</f>
        <v>5206765_1292756</v>
      </c>
      <c r="B402" s="43" t="str">
        <f>IFERROR(__xludf.DUMMYFUNCTION("""COMPUTED_VALUE"""),"Dilara Kutay")</f>
        <v>Dilara Kutay</v>
      </c>
      <c r="C402" s="43" t="str">
        <f>IFERROR(__xludf.DUMMYFUNCTION("""COMPUTED_VALUE"""),"completed")</f>
        <v>completed</v>
      </c>
      <c r="D402" s="43" t="str">
        <f>IFERROR(__xludf.DUMMYFUNCTION("""COMPUTED_VALUE"""),"No")</f>
        <v>No</v>
      </c>
      <c r="E402" s="43" t="str">
        <f>IFERROR(__xludf.DUMMYFUNCTION("""COMPUTED_VALUE"""),"p_d7ed6794716abb94ac9f94d4d8c54ce15ad4bdbe@inbound.aiesec.org")</f>
        <v>p_d7ed6794716abb94ac9f94d4d8c54ce15ad4bdbe@inbound.aiesec.org</v>
      </c>
      <c r="F402" s="43"/>
      <c r="G402" s="43" t="str">
        <f>IFERROR(__xludf.DUMMYFUNCTION("""COMPUTED_VALUE"""),"Turkey")</f>
        <v>Turkey</v>
      </c>
      <c r="H402" s="43" t="str">
        <f>IFERROR(__xludf.DUMMYFUNCTION("""COMPUTED_VALUE"""),"ANKARA")</f>
        <v>ANKARA</v>
      </c>
      <c r="I402" s="43" t="str">
        <f>IFERROR(__xludf.DUMMYFUNCTION("""COMPUTED_VALUE"""),"Austria")</f>
        <v>Austria</v>
      </c>
      <c r="J402" s="43" t="str">
        <f>IFERROR(__xludf.DUMMYFUNCTION("""COMPUTED_VALUE"""),"VIENNA UV")</f>
        <v>VIENNA UV</v>
      </c>
      <c r="K402" s="44" t="str">
        <f>IFERROR(__xludf.DUMMYFUNCTION("""COMPUTED_VALUE"""),"https://expa.aiesec.org/opportunities/1292756")</f>
        <v>https://expa.aiesec.org/opportunities/1292756</v>
      </c>
      <c r="L402" s="43" t="str">
        <f>IFERROR(__xludf.DUMMYFUNCTION("""COMPUTED_VALUE"""),"GV")</f>
        <v>GV</v>
      </c>
      <c r="M402" s="43" t="str">
        <f>IFERROR(__xludf.DUMMYFUNCTION("""COMPUTED_VALUE"""),"short")</f>
        <v>short</v>
      </c>
      <c r="N402" s="45">
        <f>IFERROR(__xludf.DUMMYFUNCTION("""COMPUTED_VALUE"""),45001.0)</f>
        <v>45001</v>
      </c>
      <c r="O402" s="45">
        <f>IFERROR(__xludf.DUMMYFUNCTION("""COMPUTED_VALUE"""),45123.0)</f>
        <v>45123</v>
      </c>
      <c r="P402" s="45">
        <f>IFERROR(__xludf.DUMMYFUNCTION("""COMPUTED_VALUE"""),45165.0)</f>
        <v>45165</v>
      </c>
      <c r="Q402" s="45"/>
      <c r="R402" s="45">
        <f>IFERROR(__xludf.DUMMYFUNCTION("""COMPUTED_VALUE"""),45165.0)</f>
        <v>45165</v>
      </c>
      <c r="S402" s="43"/>
      <c r="T402" s="43"/>
      <c r="U402" s="43" t="str">
        <f>IFERROR(__xludf.DUMMYFUNCTION("""COMPUTED_VALUE"""),"Explorer")</f>
        <v>Explorer</v>
      </c>
      <c r="V402" s="43" t="str">
        <f>IFERROR(__xludf.DUMMYFUNCTION("""COMPUTED_VALUE"""),"-")</f>
        <v>-</v>
      </c>
      <c r="W402" s="43" t="str">
        <f>IFERROR(__xludf.DUMMYFUNCTION("""COMPUTED_VALUE"""),"2023-03-05T18:25:03Z")</f>
        <v>2023-03-05T18:25:03Z</v>
      </c>
      <c r="X402" s="43"/>
      <c r="Y402" s="43"/>
      <c r="Z402" s="43"/>
    </row>
    <row r="403" hidden="1">
      <c r="A403" s="43" t="str">
        <f>IFERROR(__xludf.DUMMYFUNCTION("""COMPUTED_VALUE"""),"5217398_1291168")</f>
        <v>5217398_1291168</v>
      </c>
      <c r="B403" s="43" t="str">
        <f>IFERROR(__xludf.DUMMYFUNCTION("""COMPUTED_VALUE"""),"Ufuk Açıkgöz")</f>
        <v>Ufuk Açıkgöz</v>
      </c>
      <c r="C403" s="43" t="str">
        <f>IFERROR(__xludf.DUMMYFUNCTION("""COMPUTED_VALUE"""),"completed")</f>
        <v>completed</v>
      </c>
      <c r="D403" s="43" t="str">
        <f>IFERROR(__xludf.DUMMYFUNCTION("""COMPUTED_VALUE"""),"No")</f>
        <v>No</v>
      </c>
      <c r="E403" s="43" t="str">
        <f>IFERROR(__xludf.DUMMYFUNCTION("""COMPUTED_VALUE"""),"p_06f3096a6433d4b730d0108f7e93140337b2a00f@inbound.aiesec.org")</f>
        <v>p_06f3096a6433d4b730d0108f7e93140337b2a00f@inbound.aiesec.org</v>
      </c>
      <c r="F403" s="43">
        <f>IFERROR(__xludf.DUMMYFUNCTION("""COMPUTED_VALUE"""),5.366236968E9)</f>
        <v>5366236968</v>
      </c>
      <c r="G403" s="43" t="str">
        <f>IFERROR(__xludf.DUMMYFUNCTION("""COMPUTED_VALUE"""),"Turkey")</f>
        <v>Turkey</v>
      </c>
      <c r="H403" s="43" t="str">
        <f>IFERROR(__xludf.DUMMYFUNCTION("""COMPUTED_VALUE"""),"ISTANBUL")</f>
        <v>ISTANBUL</v>
      </c>
      <c r="I403" s="43" t="str">
        <f>IFERROR(__xludf.DUMMYFUNCTION("""COMPUTED_VALUE"""),"Egypt")</f>
        <v>Egypt</v>
      </c>
      <c r="J403" s="43" t="str">
        <f>IFERROR(__xludf.DUMMYFUNCTION("""COMPUTED_VALUE"""),"GUC")</f>
        <v>GUC</v>
      </c>
      <c r="K403" s="44" t="str">
        <f>IFERROR(__xludf.DUMMYFUNCTION("""COMPUTED_VALUE"""),"https://expa.aiesec.org/opportunities/1291168")</f>
        <v>https://expa.aiesec.org/opportunities/1291168</v>
      </c>
      <c r="L403" s="43" t="str">
        <f>IFERROR(__xludf.DUMMYFUNCTION("""COMPUTED_VALUE"""),"GV")</f>
        <v>GV</v>
      </c>
      <c r="M403" s="43" t="str">
        <f>IFERROR(__xludf.DUMMYFUNCTION("""COMPUTED_VALUE"""),"short")</f>
        <v>short</v>
      </c>
      <c r="N403" s="45">
        <f>IFERROR(__xludf.DUMMYFUNCTION("""COMPUTED_VALUE"""),45002.0)</f>
        <v>45002</v>
      </c>
      <c r="O403" s="45">
        <f>IFERROR(__xludf.DUMMYFUNCTION("""COMPUTED_VALUE"""),45153.0)</f>
        <v>45153</v>
      </c>
      <c r="P403" s="45">
        <f>IFERROR(__xludf.DUMMYFUNCTION("""COMPUTED_VALUE"""),45195.0)</f>
        <v>45195</v>
      </c>
      <c r="Q403" s="45">
        <f>IFERROR(__xludf.DUMMYFUNCTION("""COMPUTED_VALUE"""),45154.0)</f>
        <v>45154</v>
      </c>
      <c r="R403" s="45">
        <f>IFERROR(__xludf.DUMMYFUNCTION("""COMPUTED_VALUE"""),45195.0)</f>
        <v>45195</v>
      </c>
      <c r="S403" s="43"/>
      <c r="T403" s="43"/>
      <c r="U403" s="43" t="str">
        <f>IFERROR(__xludf.DUMMYFUNCTION("""COMPUTED_VALUE"""),"Green Leaders")</f>
        <v>Green Leaders</v>
      </c>
      <c r="V403" s="43" t="str">
        <f>IFERROR(__xludf.DUMMYFUNCTION("""COMPUTED_VALUE"""),"ISTANBUL - BEYOGLU")</f>
        <v>ISTANBUL - BEYOGLU</v>
      </c>
      <c r="W403" s="43" t="str">
        <f>IFERROR(__xludf.DUMMYFUNCTION("""COMPUTED_VALUE"""),"2023-03-15T13:40:30Z")</f>
        <v>2023-03-15T13:40:30Z</v>
      </c>
      <c r="X403" s="43"/>
      <c r="Y403" s="43"/>
      <c r="Z403" s="43"/>
    </row>
    <row r="404" hidden="1">
      <c r="A404" s="43" t="str">
        <f>IFERROR(__xludf.DUMMYFUNCTION("""COMPUTED_VALUE"""),"5216293_1293298")</f>
        <v>5216293_1293298</v>
      </c>
      <c r="B404" s="43" t="str">
        <f>IFERROR(__xludf.DUMMYFUNCTION("""COMPUTED_VALUE"""),"Esma Gül")</f>
        <v>Esma Gül</v>
      </c>
      <c r="C404" s="43" t="str">
        <f>IFERROR(__xludf.DUMMYFUNCTION("""COMPUTED_VALUE"""),"completed")</f>
        <v>completed</v>
      </c>
      <c r="D404" s="43" t="str">
        <f>IFERROR(__xludf.DUMMYFUNCTION("""COMPUTED_VALUE"""),"No")</f>
        <v>No</v>
      </c>
      <c r="E404" s="43" t="str">
        <f>IFERROR(__xludf.DUMMYFUNCTION("""COMPUTED_VALUE"""),"p_5eb6a47659ad6a1d5caeed50e338fc3b6b4eeb30@inbound.aiesec.org")</f>
        <v>p_5eb6a47659ad6a1d5caeed50e338fc3b6b4eeb30@inbound.aiesec.org</v>
      </c>
      <c r="F404" s="43"/>
      <c r="G404" s="43" t="str">
        <f>IFERROR(__xludf.DUMMYFUNCTION("""COMPUTED_VALUE"""),"Turkey")</f>
        <v>Turkey</v>
      </c>
      <c r="H404" s="43" t="str">
        <f>IFERROR(__xludf.DUMMYFUNCTION("""COMPUTED_VALUE"""),"ISTANBUL")</f>
        <v>ISTANBUL</v>
      </c>
      <c r="I404" s="43" t="str">
        <f>IFERROR(__xludf.DUMMYFUNCTION("""COMPUTED_VALUE"""),"Romania")</f>
        <v>Romania</v>
      </c>
      <c r="J404" s="43" t="str">
        <f>IFERROR(__xludf.DUMMYFUNCTION("""COMPUTED_VALUE"""),"SIBIU")</f>
        <v>SIBIU</v>
      </c>
      <c r="K404" s="44" t="str">
        <f>IFERROR(__xludf.DUMMYFUNCTION("""COMPUTED_VALUE"""),"https://expa.aiesec.org/opportunities/1293298")</f>
        <v>https://expa.aiesec.org/opportunities/1293298</v>
      </c>
      <c r="L404" s="43" t="str">
        <f>IFERROR(__xludf.DUMMYFUNCTION("""COMPUTED_VALUE"""),"GV")</f>
        <v>GV</v>
      </c>
      <c r="M404" s="43" t="str">
        <f>IFERROR(__xludf.DUMMYFUNCTION("""COMPUTED_VALUE"""),"short")</f>
        <v>short</v>
      </c>
      <c r="N404" s="45">
        <f>IFERROR(__xludf.DUMMYFUNCTION("""COMPUTED_VALUE"""),45002.0)</f>
        <v>45002</v>
      </c>
      <c r="O404" s="45">
        <f>IFERROR(__xludf.DUMMYFUNCTION("""COMPUTED_VALUE"""),45103.0)</f>
        <v>45103</v>
      </c>
      <c r="P404" s="45">
        <f>IFERROR(__xludf.DUMMYFUNCTION("""COMPUTED_VALUE"""),45145.0)</f>
        <v>45145</v>
      </c>
      <c r="Q404" s="45">
        <f>IFERROR(__xludf.DUMMYFUNCTION("""COMPUTED_VALUE"""),45103.0)</f>
        <v>45103</v>
      </c>
      <c r="R404" s="45">
        <f>IFERROR(__xludf.DUMMYFUNCTION("""COMPUTED_VALUE"""),45145.0)</f>
        <v>45145</v>
      </c>
      <c r="S404" s="43"/>
      <c r="T404" s="43"/>
      <c r="U404" s="43" t="str">
        <f>IFERROR(__xludf.DUMMYFUNCTION("""COMPUTED_VALUE"""),"Youth 4 Impact")</f>
        <v>Youth 4 Impact</v>
      </c>
      <c r="V404" s="43" t="str">
        <f>IFERROR(__xludf.DUMMYFUNCTION("""COMPUTED_VALUE"""),"-")</f>
        <v>-</v>
      </c>
      <c r="W404" s="43" t="str">
        <f>IFERROR(__xludf.DUMMYFUNCTION("""COMPUTED_VALUE"""),"2023-03-14T17:42:42Z")</f>
        <v>2023-03-14T17:42:42Z</v>
      </c>
      <c r="X404" s="43"/>
      <c r="Y404" s="43"/>
      <c r="Z404" s="43"/>
    </row>
    <row r="405" hidden="1">
      <c r="A405" s="43" t="str">
        <f>IFERROR(__xludf.DUMMYFUNCTION("""COMPUTED_VALUE"""),"5211841_1292829")</f>
        <v>5211841_1292829</v>
      </c>
      <c r="B405" s="43" t="str">
        <f>IFERROR(__xludf.DUMMYFUNCTION("""COMPUTED_VALUE"""),"Nurefşan Şahin")</f>
        <v>Nurefşan Şahin</v>
      </c>
      <c r="C405" s="43" t="str">
        <f>IFERROR(__xludf.DUMMYFUNCTION("""COMPUTED_VALUE"""),"finished")</f>
        <v>finished</v>
      </c>
      <c r="D405" s="43" t="str">
        <f>IFERROR(__xludf.DUMMYFUNCTION("""COMPUTED_VALUE"""),"No")</f>
        <v>No</v>
      </c>
      <c r="E405" s="43" t="str">
        <f>IFERROR(__xludf.DUMMYFUNCTION("""COMPUTED_VALUE"""),"p_25488e563e3ca5da19b88032c8bb330581234b6a@inbound.aiesec.org")</f>
        <v>p_25488e563e3ca5da19b88032c8bb330581234b6a@inbound.aiesec.org</v>
      </c>
      <c r="F405" s="43">
        <f>IFERROR(__xludf.DUMMYFUNCTION("""COMPUTED_VALUE"""),5.050277697E9)</f>
        <v>5050277697</v>
      </c>
      <c r="G405" s="43" t="str">
        <f>IFERROR(__xludf.DUMMYFUNCTION("""COMPUTED_VALUE"""),"Turkey")</f>
        <v>Turkey</v>
      </c>
      <c r="H405" s="43" t="str">
        <f>IFERROR(__xludf.DUMMYFUNCTION("""COMPUTED_VALUE"""),"SAKARYA")</f>
        <v>SAKARYA</v>
      </c>
      <c r="I405" s="43" t="str">
        <f>IFERROR(__xludf.DUMMYFUNCTION("""COMPUTED_VALUE"""),"Poland")</f>
        <v>Poland</v>
      </c>
      <c r="J405" s="43" t="str">
        <f>IFERROR(__xludf.DUMMYFUNCTION("""COMPUTED_VALUE"""),"LODZ")</f>
        <v>LODZ</v>
      </c>
      <c r="K405" s="44" t="str">
        <f>IFERROR(__xludf.DUMMYFUNCTION("""COMPUTED_VALUE"""),"https://expa.aiesec.org/opportunities/1292829")</f>
        <v>https://expa.aiesec.org/opportunities/1292829</v>
      </c>
      <c r="L405" s="43" t="str">
        <f>IFERROR(__xludf.DUMMYFUNCTION("""COMPUTED_VALUE"""),"GV")</f>
        <v>GV</v>
      </c>
      <c r="M405" s="43" t="str">
        <f>IFERROR(__xludf.DUMMYFUNCTION("""COMPUTED_VALUE"""),"short")</f>
        <v>short</v>
      </c>
      <c r="N405" s="45">
        <f>IFERROR(__xludf.DUMMYFUNCTION("""COMPUTED_VALUE"""),45002.0)</f>
        <v>45002</v>
      </c>
      <c r="O405" s="45">
        <f>IFERROR(__xludf.DUMMYFUNCTION("""COMPUTED_VALUE"""),45109.0)</f>
        <v>45109</v>
      </c>
      <c r="P405" s="45">
        <f>IFERROR(__xludf.DUMMYFUNCTION("""COMPUTED_VALUE"""),45164.0)</f>
        <v>45164</v>
      </c>
      <c r="Q405" s="45">
        <f>IFERROR(__xludf.DUMMYFUNCTION("""COMPUTED_VALUE"""),45109.0)</f>
        <v>45109</v>
      </c>
      <c r="R405" s="45">
        <f>IFERROR(__xludf.DUMMYFUNCTION("""COMPUTED_VALUE"""),45164.0)</f>
        <v>45164</v>
      </c>
      <c r="S405" s="43"/>
      <c r="T405" s="43"/>
      <c r="U405" s="43" t="str">
        <f>IFERROR(__xludf.DUMMYFUNCTION("""COMPUTED_VALUE"""),"Happy Bus")</f>
        <v>Happy Bus</v>
      </c>
      <c r="V405" s="43" t="str">
        <f>IFERROR(__xludf.DUMMYFUNCTION("""COMPUTED_VALUE"""),"SAKARYA")</f>
        <v>SAKARYA</v>
      </c>
      <c r="W405" s="43" t="str">
        <f>IFERROR(__xludf.DUMMYFUNCTION("""COMPUTED_VALUE"""),"2023-03-10T09:55:06Z")</f>
        <v>2023-03-10T09:55:06Z</v>
      </c>
      <c r="X405" s="43"/>
      <c r="Y405" s="43"/>
      <c r="Z405" s="43"/>
    </row>
    <row r="406" hidden="1">
      <c r="A406" s="43" t="str">
        <f>IFERROR(__xludf.DUMMYFUNCTION("""COMPUTED_VALUE"""),"5213313_1288129")</f>
        <v>5213313_1288129</v>
      </c>
      <c r="B406" s="43" t="str">
        <f>IFERROR(__xludf.DUMMYFUNCTION("""COMPUTED_VALUE"""),"Beyza Uçar")</f>
        <v>Beyza Uçar</v>
      </c>
      <c r="C406" s="43" t="str">
        <f>IFERROR(__xludf.DUMMYFUNCTION("""COMPUTED_VALUE"""),"completed")</f>
        <v>completed</v>
      </c>
      <c r="D406" s="43" t="str">
        <f>IFERROR(__xludf.DUMMYFUNCTION("""COMPUTED_VALUE"""),"No")</f>
        <v>No</v>
      </c>
      <c r="E406" s="43" t="str">
        <f>IFERROR(__xludf.DUMMYFUNCTION("""COMPUTED_VALUE"""),"p_871e04c6b2f9cb39b5171ae8f21442dcd88244f9@inbound.aiesec.org")</f>
        <v>p_871e04c6b2f9cb39b5171ae8f21442dcd88244f9@inbound.aiesec.org</v>
      </c>
      <c r="F406" s="43"/>
      <c r="G406" s="43" t="str">
        <f>IFERROR(__xludf.DUMMYFUNCTION("""COMPUTED_VALUE"""),"Turkey")</f>
        <v>Turkey</v>
      </c>
      <c r="H406" s="43" t="str">
        <f>IFERROR(__xludf.DUMMYFUNCTION("""COMPUTED_VALUE"""),"ISTANBUL WEST")</f>
        <v>ISTANBUL WEST</v>
      </c>
      <c r="I406" s="43" t="str">
        <f>IFERROR(__xludf.DUMMYFUNCTION("""COMPUTED_VALUE"""),"Egypt")</f>
        <v>Egypt</v>
      </c>
      <c r="J406" s="43" t="str">
        <f>IFERROR(__xludf.DUMMYFUNCTION("""COMPUTED_VALUE"""),"Ain Shams University")</f>
        <v>Ain Shams University</v>
      </c>
      <c r="K406" s="44" t="str">
        <f>IFERROR(__xludf.DUMMYFUNCTION("""COMPUTED_VALUE"""),"https://expa.aiesec.org/opportunities/1288129")</f>
        <v>https://expa.aiesec.org/opportunities/1288129</v>
      </c>
      <c r="L406" s="43" t="str">
        <f>IFERROR(__xludf.DUMMYFUNCTION("""COMPUTED_VALUE"""),"GV")</f>
        <v>GV</v>
      </c>
      <c r="M406" s="43" t="str">
        <f>IFERROR(__xludf.DUMMYFUNCTION("""COMPUTED_VALUE"""),"short")</f>
        <v>short</v>
      </c>
      <c r="N406" s="45">
        <f>IFERROR(__xludf.DUMMYFUNCTION("""COMPUTED_VALUE"""),45002.0)</f>
        <v>45002</v>
      </c>
      <c r="O406" s="45">
        <f>IFERROR(__xludf.DUMMYFUNCTION("""COMPUTED_VALUE"""),45108.0)</f>
        <v>45108</v>
      </c>
      <c r="P406" s="45">
        <f>IFERROR(__xludf.DUMMYFUNCTION("""COMPUTED_VALUE"""),45150.0)</f>
        <v>45150</v>
      </c>
      <c r="Q406" s="45">
        <f>IFERROR(__xludf.DUMMYFUNCTION("""COMPUTED_VALUE"""),45108.0)</f>
        <v>45108</v>
      </c>
      <c r="R406" s="45">
        <f>IFERROR(__xludf.DUMMYFUNCTION("""COMPUTED_VALUE"""),45152.0)</f>
        <v>45152</v>
      </c>
      <c r="S406" s="43"/>
      <c r="T406" s="43"/>
      <c r="U406" s="43" t="str">
        <f>IFERROR(__xludf.DUMMYFUNCTION("""COMPUTED_VALUE"""),"Global Classroom")</f>
        <v>Global Classroom</v>
      </c>
      <c r="V406" s="43" t="str">
        <f>IFERROR(__xludf.DUMMYFUNCTION("""COMPUTED_VALUE"""),"-")</f>
        <v>-</v>
      </c>
      <c r="W406" s="43" t="str">
        <f>IFERROR(__xludf.DUMMYFUNCTION("""COMPUTED_VALUE"""),"2023-03-11T18:20:51Z")</f>
        <v>2023-03-11T18:20:51Z</v>
      </c>
      <c r="X406" s="43"/>
      <c r="Y406" s="43"/>
      <c r="Z406" s="43"/>
    </row>
    <row r="407" hidden="1">
      <c r="A407" s="43" t="str">
        <f>IFERROR(__xludf.DUMMYFUNCTION("""COMPUTED_VALUE"""),"5210639_1292829")</f>
        <v>5210639_1292829</v>
      </c>
      <c r="B407" s="43" t="str">
        <f>IFERROR(__xludf.DUMMYFUNCTION("""COMPUTED_VALUE"""),"Gülcan Yavuz")</f>
        <v>Gülcan Yavuz</v>
      </c>
      <c r="C407" s="43" t="str">
        <f>IFERROR(__xludf.DUMMYFUNCTION("""COMPUTED_VALUE"""),"completed")</f>
        <v>completed</v>
      </c>
      <c r="D407" s="43" t="str">
        <f>IFERROR(__xludf.DUMMYFUNCTION("""COMPUTED_VALUE"""),"No")</f>
        <v>No</v>
      </c>
      <c r="E407" s="43" t="str">
        <f>IFERROR(__xludf.DUMMYFUNCTION("""COMPUTED_VALUE"""),"p_4a8e611e1f78ec20ea9022ab40ea3a6318d59339@inbound.aiesec.org")</f>
        <v>p_4a8e611e1f78ec20ea9022ab40ea3a6318d59339@inbound.aiesec.org</v>
      </c>
      <c r="F407" s="43"/>
      <c r="G407" s="43" t="str">
        <f>IFERROR(__xludf.DUMMYFUNCTION("""COMPUTED_VALUE"""),"Turkey")</f>
        <v>Turkey</v>
      </c>
      <c r="H407" s="43" t="str">
        <f>IFERROR(__xludf.DUMMYFUNCTION("""COMPUTED_VALUE"""),"KOCAELI")</f>
        <v>KOCAELI</v>
      </c>
      <c r="I407" s="43" t="str">
        <f>IFERROR(__xludf.DUMMYFUNCTION("""COMPUTED_VALUE"""),"Poland")</f>
        <v>Poland</v>
      </c>
      <c r="J407" s="43" t="str">
        <f>IFERROR(__xludf.DUMMYFUNCTION("""COMPUTED_VALUE"""),"LODZ")</f>
        <v>LODZ</v>
      </c>
      <c r="K407" s="44" t="str">
        <f>IFERROR(__xludf.DUMMYFUNCTION("""COMPUTED_VALUE"""),"https://expa.aiesec.org/opportunities/1292829")</f>
        <v>https://expa.aiesec.org/opportunities/1292829</v>
      </c>
      <c r="L407" s="43" t="str">
        <f>IFERROR(__xludf.DUMMYFUNCTION("""COMPUTED_VALUE"""),"GV")</f>
        <v>GV</v>
      </c>
      <c r="M407" s="43" t="str">
        <f>IFERROR(__xludf.DUMMYFUNCTION("""COMPUTED_VALUE"""),"short")</f>
        <v>short</v>
      </c>
      <c r="N407" s="45">
        <f>IFERROR(__xludf.DUMMYFUNCTION("""COMPUTED_VALUE"""),45002.0)</f>
        <v>45002</v>
      </c>
      <c r="O407" s="45">
        <f>IFERROR(__xludf.DUMMYFUNCTION("""COMPUTED_VALUE"""),45109.0)</f>
        <v>45109</v>
      </c>
      <c r="P407" s="45">
        <f>IFERROR(__xludf.DUMMYFUNCTION("""COMPUTED_VALUE"""),45164.0)</f>
        <v>45164</v>
      </c>
      <c r="Q407" s="45">
        <f>IFERROR(__xludf.DUMMYFUNCTION("""COMPUTED_VALUE"""),45109.0)</f>
        <v>45109</v>
      </c>
      <c r="R407" s="45">
        <f>IFERROR(__xludf.DUMMYFUNCTION("""COMPUTED_VALUE"""),45164.0)</f>
        <v>45164</v>
      </c>
      <c r="S407" s="43"/>
      <c r="T407" s="43"/>
      <c r="U407" s="43" t="str">
        <f>IFERROR(__xludf.DUMMYFUNCTION("""COMPUTED_VALUE"""),"Happy Bus")</f>
        <v>Happy Bus</v>
      </c>
      <c r="V407" s="43" t="str">
        <f>IFERROR(__xludf.DUMMYFUNCTION("""COMPUTED_VALUE"""),"-")</f>
        <v>-</v>
      </c>
      <c r="W407" s="43" t="str">
        <f>IFERROR(__xludf.DUMMYFUNCTION("""COMPUTED_VALUE"""),"2023-03-09T08:34:45Z")</f>
        <v>2023-03-09T08:34:45Z</v>
      </c>
      <c r="X407" s="43"/>
      <c r="Y407" s="43"/>
      <c r="Z407" s="43"/>
    </row>
    <row r="408" hidden="1">
      <c r="A408" s="43" t="str">
        <f>IFERROR(__xludf.DUMMYFUNCTION("""COMPUTED_VALUE"""),"5178569_1293412")</f>
        <v>5178569_1293412</v>
      </c>
      <c r="B408" s="43" t="str">
        <f>IFERROR(__xludf.DUMMYFUNCTION("""COMPUTED_VALUE"""),"Elif Dağdelen")</f>
        <v>Elif Dağdelen</v>
      </c>
      <c r="C408" s="43" t="str">
        <f>IFERROR(__xludf.DUMMYFUNCTION("""COMPUTED_VALUE"""),"completed")</f>
        <v>completed</v>
      </c>
      <c r="D408" s="43" t="str">
        <f>IFERROR(__xludf.DUMMYFUNCTION("""COMPUTED_VALUE"""),"No")</f>
        <v>No</v>
      </c>
      <c r="E408" s="43" t="str">
        <f>IFERROR(__xludf.DUMMYFUNCTION("""COMPUTED_VALUE"""),"p_91194f557508d350a58f361e45aca7de7d77c786@inbound.aiesec.org")</f>
        <v>p_91194f557508d350a58f361e45aca7de7d77c786@inbound.aiesec.org</v>
      </c>
      <c r="F408" s="43">
        <f>IFERROR(__xludf.DUMMYFUNCTION("""COMPUTED_VALUE"""),5.312551196E9)</f>
        <v>5312551196</v>
      </c>
      <c r="G408" s="43" t="str">
        <f>IFERROR(__xludf.DUMMYFUNCTION("""COMPUTED_VALUE"""),"Turkey")</f>
        <v>Turkey</v>
      </c>
      <c r="H408" s="43" t="str">
        <f>IFERROR(__xludf.DUMMYFUNCTION("""COMPUTED_VALUE"""),"ESKISEHIR")</f>
        <v>ESKISEHIR</v>
      </c>
      <c r="I408" s="43" t="str">
        <f>IFERROR(__xludf.DUMMYFUNCTION("""COMPUTED_VALUE"""),"Egypt")</f>
        <v>Egypt</v>
      </c>
      <c r="J408" s="43" t="str">
        <f>IFERROR(__xludf.DUMMYFUNCTION("""COMPUTED_VALUE"""),"Tanta")</f>
        <v>Tanta</v>
      </c>
      <c r="K408" s="44" t="str">
        <f>IFERROR(__xludf.DUMMYFUNCTION("""COMPUTED_VALUE"""),"https://expa.aiesec.org/opportunities/1293412")</f>
        <v>https://expa.aiesec.org/opportunities/1293412</v>
      </c>
      <c r="L408" s="43" t="str">
        <f>IFERROR(__xludf.DUMMYFUNCTION("""COMPUTED_VALUE"""),"GV")</f>
        <v>GV</v>
      </c>
      <c r="M408" s="43" t="str">
        <f>IFERROR(__xludf.DUMMYFUNCTION("""COMPUTED_VALUE"""),"short")</f>
        <v>short</v>
      </c>
      <c r="N408" s="45">
        <f>IFERROR(__xludf.DUMMYFUNCTION("""COMPUTED_VALUE"""),45003.0)</f>
        <v>45003</v>
      </c>
      <c r="O408" s="45">
        <f>IFERROR(__xludf.DUMMYFUNCTION("""COMPUTED_VALUE"""),45108.0)</f>
        <v>45108</v>
      </c>
      <c r="P408" s="45">
        <f>IFERROR(__xludf.DUMMYFUNCTION("""COMPUTED_VALUE"""),45150.0)</f>
        <v>45150</v>
      </c>
      <c r="Q408" s="45">
        <f>IFERROR(__xludf.DUMMYFUNCTION("""COMPUTED_VALUE"""),45109.0)</f>
        <v>45109</v>
      </c>
      <c r="R408" s="45">
        <f>IFERROR(__xludf.DUMMYFUNCTION("""COMPUTED_VALUE"""),45150.0)</f>
        <v>45150</v>
      </c>
      <c r="S408" s="43"/>
      <c r="T408" s="43"/>
      <c r="U408" s="43" t="str">
        <f>IFERROR(__xludf.DUMMYFUNCTION("""COMPUTED_VALUE"""),"Global Classroom")</f>
        <v>Global Classroom</v>
      </c>
      <c r="V408" s="43" t="str">
        <f>IFERROR(__xludf.DUMMYFUNCTION("""COMPUTED_VALUE"""),"ESKISEHIR")</f>
        <v>ESKISEHIR</v>
      </c>
      <c r="W408" s="43" t="str">
        <f>IFERROR(__xludf.DUMMYFUNCTION("""COMPUTED_VALUE"""),"2023-01-20T02:23:39Z")</f>
        <v>2023-01-20T02:23:39Z</v>
      </c>
      <c r="X408" s="43"/>
      <c r="Y408" s="43"/>
      <c r="Z408" s="43"/>
    </row>
    <row r="409" hidden="1">
      <c r="A409" s="43" t="str">
        <f>IFERROR(__xludf.DUMMYFUNCTION("""COMPUTED_VALUE"""),"5043840_1293312")</f>
        <v>5043840_1293312</v>
      </c>
      <c r="B409" s="43" t="str">
        <f>IFERROR(__xludf.DUMMYFUNCTION("""COMPUTED_VALUE"""),"İdil Yenigün")</f>
        <v>İdil Yenigün</v>
      </c>
      <c r="C409" s="43" t="str">
        <f>IFERROR(__xludf.DUMMYFUNCTION("""COMPUTED_VALUE"""),"completed")</f>
        <v>completed</v>
      </c>
      <c r="D409" s="43" t="str">
        <f>IFERROR(__xludf.DUMMYFUNCTION("""COMPUTED_VALUE"""),"No")</f>
        <v>No</v>
      </c>
      <c r="E409" s="43" t="str">
        <f>IFERROR(__xludf.DUMMYFUNCTION("""COMPUTED_VALUE"""),"p_7e44e267b5b00a0269eac4880cebc8a81d0aab64@inbound.aiesec.org")</f>
        <v>p_7e44e267b5b00a0269eac4880cebc8a81d0aab64@inbound.aiesec.org</v>
      </c>
      <c r="F409" s="43">
        <f>IFERROR(__xludf.DUMMYFUNCTION("""COMPUTED_VALUE"""),5.379250024E9)</f>
        <v>5379250024</v>
      </c>
      <c r="G409" s="43" t="str">
        <f>IFERROR(__xludf.DUMMYFUNCTION("""COMPUTED_VALUE"""),"Turkey")</f>
        <v>Turkey</v>
      </c>
      <c r="H409" s="43" t="str">
        <f>IFERROR(__xludf.DUMMYFUNCTION("""COMPUTED_VALUE"""),"ISTANBUL")</f>
        <v>ISTANBUL</v>
      </c>
      <c r="I409" s="43" t="str">
        <f>IFERROR(__xludf.DUMMYFUNCTION("""COMPUTED_VALUE"""),"Romania")</f>
        <v>Romania</v>
      </c>
      <c r="J409" s="43" t="str">
        <f>IFERROR(__xludf.DUMMYFUNCTION("""COMPUTED_VALUE"""),"SIBIU")</f>
        <v>SIBIU</v>
      </c>
      <c r="K409" s="44" t="str">
        <f>IFERROR(__xludf.DUMMYFUNCTION("""COMPUTED_VALUE"""),"https://expa.aiesec.org/opportunities/1293312")</f>
        <v>https://expa.aiesec.org/opportunities/1293312</v>
      </c>
      <c r="L409" s="43" t="str">
        <f>IFERROR(__xludf.DUMMYFUNCTION("""COMPUTED_VALUE"""),"GV")</f>
        <v>GV</v>
      </c>
      <c r="M409" s="43" t="str">
        <f>IFERROR(__xludf.DUMMYFUNCTION("""COMPUTED_VALUE"""),"short")</f>
        <v>short</v>
      </c>
      <c r="N409" s="45">
        <f>IFERROR(__xludf.DUMMYFUNCTION("""COMPUTED_VALUE"""),45003.0)</f>
        <v>45003</v>
      </c>
      <c r="O409" s="45">
        <f>IFERROR(__xludf.DUMMYFUNCTION("""COMPUTED_VALUE"""),45103.0)</f>
        <v>45103</v>
      </c>
      <c r="P409" s="45">
        <f>IFERROR(__xludf.DUMMYFUNCTION("""COMPUTED_VALUE"""),45145.0)</f>
        <v>45145</v>
      </c>
      <c r="Q409" s="45">
        <f>IFERROR(__xludf.DUMMYFUNCTION("""COMPUTED_VALUE"""),45103.0)</f>
        <v>45103</v>
      </c>
      <c r="R409" s="45">
        <f>IFERROR(__xludf.DUMMYFUNCTION("""COMPUTED_VALUE"""),45145.0)</f>
        <v>45145</v>
      </c>
      <c r="S409" s="43"/>
      <c r="T409" s="43"/>
      <c r="U409" s="43" t="str">
        <f>IFERROR(__xludf.DUMMYFUNCTION("""COMPUTED_VALUE"""),"Youth 4 Impact")</f>
        <v>Youth 4 Impact</v>
      </c>
      <c r="V409" s="43" t="str">
        <f>IFERROR(__xludf.DUMMYFUNCTION("""COMPUTED_VALUE"""),"ISTANBUL ASIA")</f>
        <v>ISTANBUL ASIA</v>
      </c>
      <c r="W409" s="43" t="str">
        <f>IFERROR(__xludf.DUMMYFUNCTION("""COMPUTED_VALUE"""),"2022-04-22T11:47:27Z")</f>
        <v>2022-04-22T11:47:27Z</v>
      </c>
      <c r="X409" s="43"/>
      <c r="Y409" s="43"/>
      <c r="Z409" s="43"/>
    </row>
    <row r="410" hidden="1">
      <c r="A410" s="43" t="str">
        <f>IFERROR(__xludf.DUMMYFUNCTION("""COMPUTED_VALUE"""),"5211886_1293131")</f>
        <v>5211886_1293131</v>
      </c>
      <c r="B410" s="43" t="str">
        <f>IFERROR(__xludf.DUMMYFUNCTION("""COMPUTED_VALUE"""),"ece özümen")</f>
        <v>ece özümen</v>
      </c>
      <c r="C410" s="43" t="str">
        <f>IFERROR(__xludf.DUMMYFUNCTION("""COMPUTED_VALUE"""),"approved")</f>
        <v>approved</v>
      </c>
      <c r="D410" s="43" t="str">
        <f>IFERROR(__xludf.DUMMYFUNCTION("""COMPUTED_VALUE"""),"No")</f>
        <v>No</v>
      </c>
      <c r="E410" s="43" t="str">
        <f>IFERROR(__xludf.DUMMYFUNCTION("""COMPUTED_VALUE"""),"p_fcd7c1d70de6da92b45ebc0a6d6e73b1473b134e@inbound.aiesec.org")</f>
        <v>p_fcd7c1d70de6da92b45ebc0a6d6e73b1473b134e@inbound.aiesec.org</v>
      </c>
      <c r="F410" s="43">
        <f>IFERROR(__xludf.DUMMYFUNCTION("""COMPUTED_VALUE"""),5.458918704E9)</f>
        <v>5458918704</v>
      </c>
      <c r="G410" s="43" t="str">
        <f>IFERROR(__xludf.DUMMYFUNCTION("""COMPUTED_VALUE"""),"Turkey")</f>
        <v>Turkey</v>
      </c>
      <c r="H410" s="43" t="str">
        <f>IFERROR(__xludf.DUMMYFUNCTION("""COMPUTED_VALUE"""),"ANKARA")</f>
        <v>ANKARA</v>
      </c>
      <c r="I410" s="43" t="str">
        <f>IFERROR(__xludf.DUMMYFUNCTION("""COMPUTED_VALUE"""),"Romania")</f>
        <v>Romania</v>
      </c>
      <c r="J410" s="43" t="str">
        <f>IFERROR(__xludf.DUMMYFUNCTION("""COMPUTED_VALUE"""),"Cluj-Napoca")</f>
        <v>Cluj-Napoca</v>
      </c>
      <c r="K410" s="44" t="str">
        <f>IFERROR(__xludf.DUMMYFUNCTION("""COMPUTED_VALUE"""),"https://expa.aiesec.org/opportunities/1293131")</f>
        <v>https://expa.aiesec.org/opportunities/1293131</v>
      </c>
      <c r="L410" s="43" t="str">
        <f>IFERROR(__xludf.DUMMYFUNCTION("""COMPUTED_VALUE"""),"GV")</f>
        <v>GV</v>
      </c>
      <c r="M410" s="43" t="str">
        <f>IFERROR(__xludf.DUMMYFUNCTION("""COMPUTED_VALUE"""),"short")</f>
        <v>short</v>
      </c>
      <c r="N410" s="45">
        <f>IFERROR(__xludf.DUMMYFUNCTION("""COMPUTED_VALUE"""),45003.0)</f>
        <v>45003</v>
      </c>
      <c r="O410" s="45">
        <f>IFERROR(__xludf.DUMMYFUNCTION("""COMPUTED_VALUE"""),45102.0)</f>
        <v>45102</v>
      </c>
      <c r="P410" s="45">
        <f>IFERROR(__xludf.DUMMYFUNCTION("""COMPUTED_VALUE"""),45144.0)</f>
        <v>45144</v>
      </c>
      <c r="Q410" s="45"/>
      <c r="R410" s="45"/>
      <c r="S410" s="43"/>
      <c r="T410" s="43"/>
      <c r="U410" s="43" t="str">
        <f>IFERROR(__xludf.DUMMYFUNCTION("""COMPUTED_VALUE"""),"Fingerprint")</f>
        <v>Fingerprint</v>
      </c>
      <c r="V410" s="43" t="str">
        <f>IFERROR(__xludf.DUMMYFUNCTION("""COMPUTED_VALUE"""),"ANKARA")</f>
        <v>ANKARA</v>
      </c>
      <c r="W410" s="43" t="str">
        <f>IFERROR(__xludf.DUMMYFUNCTION("""COMPUTED_VALUE"""),"2023-03-10T11:00:49Z")</f>
        <v>2023-03-10T11:00:49Z</v>
      </c>
      <c r="X410" s="43"/>
      <c r="Y410" s="43"/>
      <c r="Z410" s="43"/>
    </row>
    <row r="411" hidden="1">
      <c r="A411" s="43" t="str">
        <f>IFERROR(__xludf.DUMMYFUNCTION("""COMPUTED_VALUE"""),"5218938_1288843")</f>
        <v>5218938_1288843</v>
      </c>
      <c r="B411" s="43" t="str">
        <f>IFERROR(__xludf.DUMMYFUNCTION("""COMPUTED_VALUE"""),"Gökçe Rana Berberoğlu")</f>
        <v>Gökçe Rana Berberoğlu</v>
      </c>
      <c r="C411" s="43" t="str">
        <f>IFERROR(__xludf.DUMMYFUNCTION("""COMPUTED_VALUE"""),"completed")</f>
        <v>completed</v>
      </c>
      <c r="D411" s="43" t="str">
        <f>IFERROR(__xludf.DUMMYFUNCTION("""COMPUTED_VALUE"""),"No")</f>
        <v>No</v>
      </c>
      <c r="E411" s="43" t="str">
        <f>IFERROR(__xludf.DUMMYFUNCTION("""COMPUTED_VALUE"""),"p_2f15770af562f265774f7d8d533eafd7a7d96d9c@inbound.aiesec.org")</f>
        <v>p_2f15770af562f265774f7d8d533eafd7a7d96d9c@inbound.aiesec.org</v>
      </c>
      <c r="F411" s="43">
        <f>IFERROR(__xludf.DUMMYFUNCTION("""COMPUTED_VALUE"""),5.394846049E9)</f>
        <v>5394846049</v>
      </c>
      <c r="G411" s="43" t="str">
        <f>IFERROR(__xludf.DUMMYFUNCTION("""COMPUTED_VALUE"""),"Turkey")</f>
        <v>Turkey</v>
      </c>
      <c r="H411" s="43" t="str">
        <f>IFERROR(__xludf.DUMMYFUNCTION("""COMPUTED_VALUE"""),"ISTANBUL")</f>
        <v>ISTANBUL</v>
      </c>
      <c r="I411" s="43" t="str">
        <f>IFERROR(__xludf.DUMMYFUNCTION("""COMPUTED_VALUE"""),"Sri Lanka")</f>
        <v>Sri Lanka</v>
      </c>
      <c r="J411" s="43" t="str">
        <f>IFERROR(__xludf.DUMMYFUNCTION("""COMPUTED_VALUE"""),"COLOMBO NORTH")</f>
        <v>COLOMBO NORTH</v>
      </c>
      <c r="K411" s="44" t="str">
        <f>IFERROR(__xludf.DUMMYFUNCTION("""COMPUTED_VALUE"""),"https://expa.aiesec.org/opportunities/1288843")</f>
        <v>https://expa.aiesec.org/opportunities/1288843</v>
      </c>
      <c r="L411" s="43" t="str">
        <f>IFERROR(__xludf.DUMMYFUNCTION("""COMPUTED_VALUE"""),"GV")</f>
        <v>GV</v>
      </c>
      <c r="M411" s="43" t="str">
        <f>IFERROR(__xludf.DUMMYFUNCTION("""COMPUTED_VALUE"""),"short")</f>
        <v>short</v>
      </c>
      <c r="N411" s="45">
        <f>IFERROR(__xludf.DUMMYFUNCTION("""COMPUTED_VALUE"""),45004.0)</f>
        <v>45004</v>
      </c>
      <c r="O411" s="45">
        <f>IFERROR(__xludf.DUMMYFUNCTION("""COMPUTED_VALUE"""),45122.0)</f>
        <v>45122</v>
      </c>
      <c r="P411" s="45">
        <f>IFERROR(__xludf.DUMMYFUNCTION("""COMPUTED_VALUE"""),45164.0)</f>
        <v>45164</v>
      </c>
      <c r="Q411" s="45">
        <f>IFERROR(__xludf.DUMMYFUNCTION("""COMPUTED_VALUE"""),45128.0)</f>
        <v>45128</v>
      </c>
      <c r="R411" s="45">
        <f>IFERROR(__xludf.DUMMYFUNCTION("""COMPUTED_VALUE"""),45168.0)</f>
        <v>45168</v>
      </c>
      <c r="S411" s="43"/>
      <c r="T411" s="43"/>
      <c r="U411" s="43" t="str">
        <f>IFERROR(__xludf.DUMMYFUNCTION("""COMPUTED_VALUE"""),"Green Leaders")</f>
        <v>Green Leaders</v>
      </c>
      <c r="V411" s="43" t="str">
        <f>IFERROR(__xludf.DUMMYFUNCTION("""COMPUTED_VALUE"""),"ISTANBUL - BEYOGLU")</f>
        <v>ISTANBUL - BEYOGLU</v>
      </c>
      <c r="W411" s="43" t="str">
        <f>IFERROR(__xludf.DUMMYFUNCTION("""COMPUTED_VALUE"""),"2023-03-16T21:22:59Z")</f>
        <v>2023-03-16T21:22:59Z</v>
      </c>
      <c r="X411" s="43"/>
      <c r="Y411" s="43"/>
      <c r="Z411" s="43"/>
    </row>
    <row r="412" hidden="1">
      <c r="A412" s="43" t="str">
        <f>IFERROR(__xludf.DUMMYFUNCTION("""COMPUTED_VALUE"""),"5138386_1292571")</f>
        <v>5138386_1292571</v>
      </c>
      <c r="B412" s="43" t="str">
        <f>IFERROR(__xludf.DUMMYFUNCTION("""COMPUTED_VALUE"""),"Zehra Ceren Oğuzmert")</f>
        <v>Zehra Ceren Oğuzmert</v>
      </c>
      <c r="C412" s="43" t="str">
        <f>IFERROR(__xludf.DUMMYFUNCTION("""COMPUTED_VALUE"""),"completed")</f>
        <v>completed</v>
      </c>
      <c r="D412" s="43" t="str">
        <f>IFERROR(__xludf.DUMMYFUNCTION("""COMPUTED_VALUE"""),"No")</f>
        <v>No</v>
      </c>
      <c r="E412" s="43" t="str">
        <f>IFERROR(__xludf.DUMMYFUNCTION("""COMPUTED_VALUE"""),"p_7b45e21eb30c81f21aded4fdc6f5947f24495908@inbound.aiesec.org")</f>
        <v>p_7b45e21eb30c81f21aded4fdc6f5947f24495908@inbound.aiesec.org</v>
      </c>
      <c r="F412" s="43"/>
      <c r="G412" s="43" t="str">
        <f>IFERROR(__xludf.DUMMYFUNCTION("""COMPUTED_VALUE"""),"Turkey")</f>
        <v>Turkey</v>
      </c>
      <c r="H412" s="43" t="str">
        <f>IFERROR(__xludf.DUMMYFUNCTION("""COMPUTED_VALUE"""),"ANKARA")</f>
        <v>ANKARA</v>
      </c>
      <c r="I412" s="43" t="str">
        <f>IFERROR(__xludf.DUMMYFUNCTION("""COMPUTED_VALUE"""),"Lithuania")</f>
        <v>Lithuania</v>
      </c>
      <c r="J412" s="43" t="str">
        <f>IFERROR(__xludf.DUMMYFUNCTION("""COMPUTED_VALUE"""),"VILNIUS")</f>
        <v>VILNIUS</v>
      </c>
      <c r="K412" s="44" t="str">
        <f>IFERROR(__xludf.DUMMYFUNCTION("""COMPUTED_VALUE"""),"https://expa.aiesec.org/opportunities/1292571")</f>
        <v>https://expa.aiesec.org/opportunities/1292571</v>
      </c>
      <c r="L412" s="43" t="str">
        <f>IFERROR(__xludf.DUMMYFUNCTION("""COMPUTED_VALUE"""),"GV")</f>
        <v>GV</v>
      </c>
      <c r="M412" s="43" t="str">
        <f>IFERROR(__xludf.DUMMYFUNCTION("""COMPUTED_VALUE"""),"short")</f>
        <v>short</v>
      </c>
      <c r="N412" s="45">
        <f>IFERROR(__xludf.DUMMYFUNCTION("""COMPUTED_VALUE"""),45004.0)</f>
        <v>45004</v>
      </c>
      <c r="O412" s="45">
        <f>IFERROR(__xludf.DUMMYFUNCTION("""COMPUTED_VALUE"""),45101.0)</f>
        <v>45101</v>
      </c>
      <c r="P412" s="45">
        <f>IFERROR(__xludf.DUMMYFUNCTION("""COMPUTED_VALUE"""),45143.0)</f>
        <v>45143</v>
      </c>
      <c r="Q412" s="45">
        <f>IFERROR(__xludf.DUMMYFUNCTION("""COMPUTED_VALUE"""),45103.0)</f>
        <v>45103</v>
      </c>
      <c r="R412" s="45">
        <f>IFERROR(__xludf.DUMMYFUNCTION("""COMPUTED_VALUE"""),45143.0)</f>
        <v>45143</v>
      </c>
      <c r="S412" s="43"/>
      <c r="T412" s="43"/>
      <c r="U412" s="43" t="str">
        <f>IFERROR(__xludf.DUMMYFUNCTION("""COMPUTED_VALUE"""),"Explorer")</f>
        <v>Explorer</v>
      </c>
      <c r="V412" s="43" t="str">
        <f>IFERROR(__xludf.DUMMYFUNCTION("""COMPUTED_VALUE"""),"ANKARA")</f>
        <v>ANKARA</v>
      </c>
      <c r="W412" s="43" t="str">
        <f>IFERROR(__xludf.DUMMYFUNCTION("""COMPUTED_VALUE"""),"2022-10-22T09:28:18Z")</f>
        <v>2022-10-22T09:28:18Z</v>
      </c>
      <c r="X412" s="43"/>
      <c r="Y412" s="43"/>
      <c r="Z412" s="43"/>
    </row>
    <row r="413" hidden="1">
      <c r="A413" s="43" t="str">
        <f>IFERROR(__xludf.DUMMYFUNCTION("""COMPUTED_VALUE"""),"5208882_1286585")</f>
        <v>5208882_1286585</v>
      </c>
      <c r="B413" s="43" t="str">
        <f>IFERROR(__xludf.DUMMYFUNCTION("""COMPUTED_VALUE"""),"Fatma Betül Kaya")</f>
        <v>Fatma Betül Kaya</v>
      </c>
      <c r="C413" s="43" t="str">
        <f>IFERROR(__xludf.DUMMYFUNCTION("""COMPUTED_VALUE"""),"approved")</f>
        <v>approved</v>
      </c>
      <c r="D413" s="43" t="str">
        <f>IFERROR(__xludf.DUMMYFUNCTION("""COMPUTED_VALUE"""),"No")</f>
        <v>No</v>
      </c>
      <c r="E413" s="43" t="str">
        <f>IFERROR(__xludf.DUMMYFUNCTION("""COMPUTED_VALUE"""),"p_6823bea039532085bdb8e3135f7d01e272146585@inbound.aiesec.org")</f>
        <v>p_6823bea039532085bdb8e3135f7d01e272146585@inbound.aiesec.org</v>
      </c>
      <c r="F413" s="43"/>
      <c r="G413" s="43" t="str">
        <f>IFERROR(__xludf.DUMMYFUNCTION("""COMPUTED_VALUE"""),"Turkey")</f>
        <v>Turkey</v>
      </c>
      <c r="H413" s="43" t="str">
        <f>IFERROR(__xludf.DUMMYFUNCTION("""COMPUTED_VALUE"""),"ANTALYA")</f>
        <v>ANTALYA</v>
      </c>
      <c r="I413" s="43" t="str">
        <f>IFERROR(__xludf.DUMMYFUNCTION("""COMPUTED_VALUE"""),"Sri Lanka")</f>
        <v>Sri Lanka</v>
      </c>
      <c r="J413" s="43" t="str">
        <f>IFERROR(__xludf.DUMMYFUNCTION("""COMPUTED_VALUE"""),"COLOMBO NORTH")</f>
        <v>COLOMBO NORTH</v>
      </c>
      <c r="K413" s="44" t="str">
        <f>IFERROR(__xludf.DUMMYFUNCTION("""COMPUTED_VALUE"""),"https://expa.aiesec.org/opportunities/1286585")</f>
        <v>https://expa.aiesec.org/opportunities/1286585</v>
      </c>
      <c r="L413" s="43" t="str">
        <f>IFERROR(__xludf.DUMMYFUNCTION("""COMPUTED_VALUE"""),"GV")</f>
        <v>GV</v>
      </c>
      <c r="M413" s="43" t="str">
        <f>IFERROR(__xludf.DUMMYFUNCTION("""COMPUTED_VALUE"""),"short")</f>
        <v>short</v>
      </c>
      <c r="N413" s="45">
        <f>IFERROR(__xludf.DUMMYFUNCTION("""COMPUTED_VALUE"""),45005.0)</f>
        <v>45005</v>
      </c>
      <c r="O413" s="45">
        <f>IFERROR(__xludf.DUMMYFUNCTION("""COMPUTED_VALUE"""),45479.0)</f>
        <v>45479</v>
      </c>
      <c r="P413" s="45">
        <f>IFERROR(__xludf.DUMMYFUNCTION("""COMPUTED_VALUE"""),45521.0)</f>
        <v>45521</v>
      </c>
      <c r="Q413" s="45"/>
      <c r="R413" s="45"/>
      <c r="S413" s="43"/>
      <c r="T413" s="43"/>
      <c r="U413" s="43" t="str">
        <f>IFERROR(__xludf.DUMMYFUNCTION("""COMPUTED_VALUE"""),"On The Map")</f>
        <v>On The Map</v>
      </c>
      <c r="V413" s="43" t="str">
        <f>IFERROR(__xludf.DUMMYFUNCTION("""COMPUTED_VALUE"""),"-")</f>
        <v>-</v>
      </c>
      <c r="W413" s="43" t="str">
        <f>IFERROR(__xludf.DUMMYFUNCTION("""COMPUTED_VALUE"""),"2023-03-07T16:38:25Z")</f>
        <v>2023-03-07T16:38:25Z</v>
      </c>
      <c r="X413" s="43"/>
      <c r="Y413" s="43"/>
      <c r="Z413" s="43"/>
    </row>
    <row r="414" hidden="1">
      <c r="A414" s="43" t="str">
        <f>IFERROR(__xludf.DUMMYFUNCTION("""COMPUTED_VALUE"""),"5218853_1293464")</f>
        <v>5218853_1293464</v>
      </c>
      <c r="B414" s="43" t="str">
        <f>IFERROR(__xludf.DUMMYFUNCTION("""COMPUTED_VALUE"""),"Sueda Kocaman")</f>
        <v>Sueda Kocaman</v>
      </c>
      <c r="C414" s="43" t="str">
        <f>IFERROR(__xludf.DUMMYFUNCTION("""COMPUTED_VALUE"""),"completed")</f>
        <v>completed</v>
      </c>
      <c r="D414" s="43" t="str">
        <f>IFERROR(__xludf.DUMMYFUNCTION("""COMPUTED_VALUE"""),"No")</f>
        <v>No</v>
      </c>
      <c r="E414" s="43" t="str">
        <f>IFERROR(__xludf.DUMMYFUNCTION("""COMPUTED_VALUE"""),"p_90ab74bbf52f5833cd819005d5d562131e27eb8e@inbound.aiesec.org")</f>
        <v>p_90ab74bbf52f5833cd819005d5d562131e27eb8e@inbound.aiesec.org</v>
      </c>
      <c r="F414" s="43">
        <f>IFERROR(__xludf.DUMMYFUNCTION("""COMPUTED_VALUE"""),5.412476303E9)</f>
        <v>5412476303</v>
      </c>
      <c r="G414" s="43" t="str">
        <f>IFERROR(__xludf.DUMMYFUNCTION("""COMPUTED_VALUE"""),"Turkey")</f>
        <v>Turkey</v>
      </c>
      <c r="H414" s="43" t="str">
        <f>IFERROR(__xludf.DUMMYFUNCTION("""COMPUTED_VALUE"""),"ISTANBUL")</f>
        <v>ISTANBUL</v>
      </c>
      <c r="I414" s="43" t="str">
        <f>IFERROR(__xludf.DUMMYFUNCTION("""COMPUTED_VALUE"""),"Romania")</f>
        <v>Romania</v>
      </c>
      <c r="J414" s="43" t="str">
        <f>IFERROR(__xludf.DUMMYFUNCTION("""COMPUTED_VALUE"""),"BUCURESTI")</f>
        <v>BUCURESTI</v>
      </c>
      <c r="K414" s="44" t="str">
        <f>IFERROR(__xludf.DUMMYFUNCTION("""COMPUTED_VALUE"""),"https://expa.aiesec.org/opportunities/1293464")</f>
        <v>https://expa.aiesec.org/opportunities/1293464</v>
      </c>
      <c r="L414" s="43" t="str">
        <f>IFERROR(__xludf.DUMMYFUNCTION("""COMPUTED_VALUE"""),"GV")</f>
        <v>GV</v>
      </c>
      <c r="M414" s="43" t="str">
        <f>IFERROR(__xludf.DUMMYFUNCTION("""COMPUTED_VALUE"""),"short")</f>
        <v>short</v>
      </c>
      <c r="N414" s="45">
        <f>IFERROR(__xludf.DUMMYFUNCTION("""COMPUTED_VALUE"""),45006.0)</f>
        <v>45006</v>
      </c>
      <c r="O414" s="45">
        <f>IFERROR(__xludf.DUMMYFUNCTION("""COMPUTED_VALUE"""),45096.0)</f>
        <v>45096</v>
      </c>
      <c r="P414" s="45">
        <f>IFERROR(__xludf.DUMMYFUNCTION("""COMPUTED_VALUE"""),45138.0)</f>
        <v>45138</v>
      </c>
      <c r="Q414" s="45">
        <f>IFERROR(__xludf.DUMMYFUNCTION("""COMPUTED_VALUE"""),45095.0)</f>
        <v>45095</v>
      </c>
      <c r="R414" s="45">
        <f>IFERROR(__xludf.DUMMYFUNCTION("""COMPUTED_VALUE"""),45138.0)</f>
        <v>45138</v>
      </c>
      <c r="S414" s="43"/>
      <c r="T414" s="43"/>
      <c r="U414" s="43" t="str">
        <f>IFERROR(__xludf.DUMMYFUNCTION("""COMPUTED_VALUE"""),"Fingerprint")</f>
        <v>Fingerprint</v>
      </c>
      <c r="V414" s="43" t="str">
        <f>IFERROR(__xludf.DUMMYFUNCTION("""COMPUTED_VALUE"""),"ISTANBUL - BEYOGLU")</f>
        <v>ISTANBUL - BEYOGLU</v>
      </c>
      <c r="W414" s="43" t="str">
        <f>IFERROR(__xludf.DUMMYFUNCTION("""COMPUTED_VALUE"""),"2023-03-16T19:48:57Z")</f>
        <v>2023-03-16T19:48:57Z</v>
      </c>
      <c r="X414" s="43"/>
      <c r="Y414" s="43"/>
      <c r="Z414" s="43"/>
    </row>
    <row r="415" hidden="1">
      <c r="A415" s="43" t="str">
        <f>IFERROR(__xludf.DUMMYFUNCTION("""COMPUTED_VALUE"""),"5221453_1290282")</f>
        <v>5221453_1290282</v>
      </c>
      <c r="B415" s="43" t="str">
        <f>IFERROR(__xludf.DUMMYFUNCTION("""COMPUTED_VALUE"""),"MEHMET VEYSEL TANRIKUT")</f>
        <v>MEHMET VEYSEL TANRIKUT</v>
      </c>
      <c r="C415" s="43" t="str">
        <f>IFERROR(__xludf.DUMMYFUNCTION("""COMPUTED_VALUE"""),"approved")</f>
        <v>approved</v>
      </c>
      <c r="D415" s="43" t="str">
        <f>IFERROR(__xludf.DUMMYFUNCTION("""COMPUTED_VALUE"""),"No")</f>
        <v>No</v>
      </c>
      <c r="E415" s="43" t="str">
        <f>IFERROR(__xludf.DUMMYFUNCTION("""COMPUTED_VALUE"""),"p_bd183694efd89fd299d2cd79de35b05161a3a7e6@inbound.aiesec.org")</f>
        <v>p_bd183694efd89fd299d2cd79de35b05161a3a7e6@inbound.aiesec.org</v>
      </c>
      <c r="F415" s="43"/>
      <c r="G415" s="43" t="str">
        <f>IFERROR(__xludf.DUMMYFUNCTION("""COMPUTED_VALUE"""),"Turkey")</f>
        <v>Turkey</v>
      </c>
      <c r="H415" s="43" t="str">
        <f>IFERROR(__xludf.DUMMYFUNCTION("""COMPUTED_VALUE"""),"ISTANBUL")</f>
        <v>ISTANBUL</v>
      </c>
      <c r="I415" s="43" t="str">
        <f>IFERROR(__xludf.DUMMYFUNCTION("""COMPUTED_VALUE"""),"Egypt")</f>
        <v>Egypt</v>
      </c>
      <c r="J415" s="43" t="str">
        <f>IFERROR(__xludf.DUMMYFUNCTION("""COMPUTED_VALUE"""),"GUC")</f>
        <v>GUC</v>
      </c>
      <c r="K415" s="44" t="str">
        <f>IFERROR(__xludf.DUMMYFUNCTION("""COMPUTED_VALUE"""),"https://expa.aiesec.org/opportunities/1290282")</f>
        <v>https://expa.aiesec.org/opportunities/1290282</v>
      </c>
      <c r="L415" s="43" t="str">
        <f>IFERROR(__xludf.DUMMYFUNCTION("""COMPUTED_VALUE"""),"GV")</f>
        <v>GV</v>
      </c>
      <c r="M415" s="43" t="str">
        <f>IFERROR(__xludf.DUMMYFUNCTION("""COMPUTED_VALUE"""),"short")</f>
        <v>short</v>
      </c>
      <c r="N415" s="45">
        <f>IFERROR(__xludf.DUMMYFUNCTION("""COMPUTED_VALUE"""),45006.0)</f>
        <v>45006</v>
      </c>
      <c r="O415" s="45">
        <f>IFERROR(__xludf.DUMMYFUNCTION("""COMPUTED_VALUE"""),45122.0)</f>
        <v>45122</v>
      </c>
      <c r="P415" s="45">
        <f>IFERROR(__xludf.DUMMYFUNCTION("""COMPUTED_VALUE"""),45164.0)</f>
        <v>45164</v>
      </c>
      <c r="Q415" s="45"/>
      <c r="R415" s="45"/>
      <c r="S415" s="43"/>
      <c r="T415" s="43"/>
      <c r="U415" s="43" t="str">
        <f>IFERROR(__xludf.DUMMYFUNCTION("""COMPUTED_VALUE"""),"On The Map")</f>
        <v>On The Map</v>
      </c>
      <c r="V415" s="43" t="str">
        <f>IFERROR(__xludf.DUMMYFUNCTION("""COMPUTED_VALUE"""),"-")</f>
        <v>-</v>
      </c>
      <c r="W415" s="43" t="str">
        <f>IFERROR(__xludf.DUMMYFUNCTION("""COMPUTED_VALUE"""),"2023-03-20T09:26:28Z")</f>
        <v>2023-03-20T09:26:28Z</v>
      </c>
      <c r="X415" s="43"/>
      <c r="Y415" s="43"/>
      <c r="Z415" s="43"/>
    </row>
    <row r="416" hidden="1">
      <c r="A416" s="43" t="str">
        <f>IFERROR(__xludf.DUMMYFUNCTION("""COMPUTED_VALUE"""),"5016356_1290024")</f>
        <v>5016356_1290024</v>
      </c>
      <c r="B416" s="43" t="str">
        <f>IFERROR(__xludf.DUMMYFUNCTION("""COMPUTED_VALUE"""),"Melisa Tuncer")</f>
        <v>Melisa Tuncer</v>
      </c>
      <c r="C416" s="43" t="str">
        <f>IFERROR(__xludf.DUMMYFUNCTION("""COMPUTED_VALUE"""),"approved")</f>
        <v>approved</v>
      </c>
      <c r="D416" s="43" t="str">
        <f>IFERROR(__xludf.DUMMYFUNCTION("""COMPUTED_VALUE"""),"No")</f>
        <v>No</v>
      </c>
      <c r="E416" s="43" t="str">
        <f>IFERROR(__xludf.DUMMYFUNCTION("""COMPUTED_VALUE"""),"p_a95a77128a552a7a0edc22b10ec43c46fc39a87f@inbound.aiesec.org")</f>
        <v>p_a95a77128a552a7a0edc22b10ec43c46fc39a87f@inbound.aiesec.org</v>
      </c>
      <c r="F416" s="43">
        <f>IFERROR(__xludf.DUMMYFUNCTION("""COMPUTED_VALUE"""),5.3504829E9)</f>
        <v>5350482900</v>
      </c>
      <c r="G416" s="43" t="str">
        <f>IFERROR(__xludf.DUMMYFUNCTION("""COMPUTED_VALUE"""),"Turkey")</f>
        <v>Turkey</v>
      </c>
      <c r="H416" s="43" t="str">
        <f>IFERROR(__xludf.DUMMYFUNCTION("""COMPUTED_VALUE"""),"İZMİR")</f>
        <v>İZMİR</v>
      </c>
      <c r="I416" s="43" t="str">
        <f>IFERROR(__xludf.DUMMYFUNCTION("""COMPUTED_VALUE"""),"Egypt")</f>
        <v>Egypt</v>
      </c>
      <c r="J416" s="43" t="str">
        <f>IFERROR(__xludf.DUMMYFUNCTION("""COMPUTED_VALUE"""),"Ain Shams University")</f>
        <v>Ain Shams University</v>
      </c>
      <c r="K416" s="44" t="str">
        <f>IFERROR(__xludf.DUMMYFUNCTION("""COMPUTED_VALUE"""),"https://expa.aiesec.org/opportunities/1290024")</f>
        <v>https://expa.aiesec.org/opportunities/1290024</v>
      </c>
      <c r="L416" s="43" t="str">
        <f>IFERROR(__xludf.DUMMYFUNCTION("""COMPUTED_VALUE"""),"GV")</f>
        <v>GV</v>
      </c>
      <c r="M416" s="43" t="str">
        <f>IFERROR(__xludf.DUMMYFUNCTION("""COMPUTED_VALUE"""),"short")</f>
        <v>short</v>
      </c>
      <c r="N416" s="45">
        <f>IFERROR(__xludf.DUMMYFUNCTION("""COMPUTED_VALUE"""),45006.0)</f>
        <v>45006</v>
      </c>
      <c r="O416" s="45">
        <f>IFERROR(__xludf.DUMMYFUNCTION("""COMPUTED_VALUE"""),45139.0)</f>
        <v>45139</v>
      </c>
      <c r="P416" s="45">
        <f>IFERROR(__xludf.DUMMYFUNCTION("""COMPUTED_VALUE"""),45181.0)</f>
        <v>45181</v>
      </c>
      <c r="Q416" s="45"/>
      <c r="R416" s="45"/>
      <c r="S416" s="43"/>
      <c r="T416" s="43"/>
      <c r="U416" s="43" t="str">
        <f>IFERROR(__xludf.DUMMYFUNCTION("""COMPUTED_VALUE"""),"On The Map")</f>
        <v>On The Map</v>
      </c>
      <c r="V416" s="43" t="str">
        <f>IFERROR(__xludf.DUMMYFUNCTION("""COMPUTED_VALUE"""),"IZMIR")</f>
        <v>IZMIR</v>
      </c>
      <c r="W416" s="43" t="str">
        <f>IFERROR(__xludf.DUMMYFUNCTION("""COMPUTED_VALUE"""),"2022-03-30T20:45:33Z")</f>
        <v>2022-03-30T20:45:33Z</v>
      </c>
      <c r="X416" s="43"/>
      <c r="Y416" s="43"/>
      <c r="Z416" s="43"/>
    </row>
    <row r="417" hidden="1">
      <c r="A417" s="43" t="str">
        <f>IFERROR(__xludf.DUMMYFUNCTION("""COMPUTED_VALUE"""),"4218816_1292571")</f>
        <v>4218816_1292571</v>
      </c>
      <c r="B417" s="43" t="str">
        <f>IFERROR(__xludf.DUMMYFUNCTION("""COMPUTED_VALUE"""),"Erkin Sancarbaba")</f>
        <v>Erkin Sancarbaba</v>
      </c>
      <c r="C417" s="43" t="str">
        <f>IFERROR(__xludf.DUMMYFUNCTION("""COMPUTED_VALUE"""),"approved")</f>
        <v>approved</v>
      </c>
      <c r="D417" s="43" t="str">
        <f>IFERROR(__xludf.DUMMYFUNCTION("""COMPUTED_VALUE"""),"No")</f>
        <v>No</v>
      </c>
      <c r="E417" s="43" t="str">
        <f>IFERROR(__xludf.DUMMYFUNCTION("""COMPUTED_VALUE"""),"p_6da259a2c7e3c6d91ab5d4980d1da56c8bd6c85e@inbound.aiesec.org")</f>
        <v>p_6da259a2c7e3c6d91ab5d4980d1da56c8bd6c85e@inbound.aiesec.org</v>
      </c>
      <c r="F417" s="43">
        <f>IFERROR(__xludf.DUMMYFUNCTION("""COMPUTED_VALUE"""),5.330856457E9)</f>
        <v>5330856457</v>
      </c>
      <c r="G417" s="43" t="str">
        <f>IFERROR(__xludf.DUMMYFUNCTION("""COMPUTED_VALUE"""),"Turkey")</f>
        <v>Turkey</v>
      </c>
      <c r="H417" s="43" t="str">
        <f>IFERROR(__xludf.DUMMYFUNCTION("""COMPUTED_VALUE"""),"ANKARA")</f>
        <v>ANKARA</v>
      </c>
      <c r="I417" s="43" t="str">
        <f>IFERROR(__xludf.DUMMYFUNCTION("""COMPUTED_VALUE"""),"Lithuania")</f>
        <v>Lithuania</v>
      </c>
      <c r="J417" s="43" t="str">
        <f>IFERROR(__xludf.DUMMYFUNCTION("""COMPUTED_VALUE"""),"VILNIUS")</f>
        <v>VILNIUS</v>
      </c>
      <c r="K417" s="44" t="str">
        <f>IFERROR(__xludf.DUMMYFUNCTION("""COMPUTED_VALUE"""),"https://expa.aiesec.org/opportunities/1292571")</f>
        <v>https://expa.aiesec.org/opportunities/1292571</v>
      </c>
      <c r="L417" s="43" t="str">
        <f>IFERROR(__xludf.DUMMYFUNCTION("""COMPUTED_VALUE"""),"GV")</f>
        <v>GV</v>
      </c>
      <c r="M417" s="43" t="str">
        <f>IFERROR(__xludf.DUMMYFUNCTION("""COMPUTED_VALUE"""),"short")</f>
        <v>short</v>
      </c>
      <c r="N417" s="45">
        <f>IFERROR(__xludf.DUMMYFUNCTION("""COMPUTED_VALUE"""),45006.0)</f>
        <v>45006</v>
      </c>
      <c r="O417" s="45">
        <f>IFERROR(__xludf.DUMMYFUNCTION("""COMPUTED_VALUE"""),45115.0)</f>
        <v>45115</v>
      </c>
      <c r="P417" s="45">
        <f>IFERROR(__xludf.DUMMYFUNCTION("""COMPUTED_VALUE"""),45157.0)</f>
        <v>45157</v>
      </c>
      <c r="Q417" s="45"/>
      <c r="R417" s="45"/>
      <c r="S417" s="43"/>
      <c r="T417" s="43"/>
      <c r="U417" s="43" t="str">
        <f>IFERROR(__xludf.DUMMYFUNCTION("""COMPUTED_VALUE"""),"Explorer")</f>
        <v>Explorer</v>
      </c>
      <c r="V417" s="43" t="str">
        <f>IFERROR(__xludf.DUMMYFUNCTION("""COMPUTED_VALUE"""),"ANKARA")</f>
        <v>ANKARA</v>
      </c>
      <c r="W417" s="43" t="str">
        <f>IFERROR(__xludf.DUMMYFUNCTION("""COMPUTED_VALUE"""),"2020-02-27T07:47:50Z")</f>
        <v>2020-02-27T07:47:50Z</v>
      </c>
      <c r="X417" s="43"/>
      <c r="Y417" s="43"/>
      <c r="Z417" s="43"/>
    </row>
    <row r="418" hidden="1">
      <c r="A418" s="43" t="str">
        <f>IFERROR(__xludf.DUMMYFUNCTION("""COMPUTED_VALUE"""),"5213812_1293125")</f>
        <v>5213812_1293125</v>
      </c>
      <c r="B418" s="43" t="str">
        <f>IFERROR(__xludf.DUMMYFUNCTION("""COMPUTED_VALUE"""),"İrem Nuroğlu")</f>
        <v>İrem Nuroğlu</v>
      </c>
      <c r="C418" s="43" t="str">
        <f>IFERROR(__xludf.DUMMYFUNCTION("""COMPUTED_VALUE"""),"completed")</f>
        <v>completed</v>
      </c>
      <c r="D418" s="43" t="str">
        <f>IFERROR(__xludf.DUMMYFUNCTION("""COMPUTED_VALUE"""),"No")</f>
        <v>No</v>
      </c>
      <c r="E418" s="43" t="str">
        <f>IFERROR(__xludf.DUMMYFUNCTION("""COMPUTED_VALUE"""),"p_1ccece0a2000d0b65f40f3cd7f3387005d14c7a8@inbound.aiesec.org")</f>
        <v>p_1ccece0a2000d0b65f40f3cd7f3387005d14c7a8@inbound.aiesec.org</v>
      </c>
      <c r="F418" s="43"/>
      <c r="G418" s="43" t="str">
        <f>IFERROR(__xludf.DUMMYFUNCTION("""COMPUTED_VALUE"""),"Turkey")</f>
        <v>Turkey</v>
      </c>
      <c r="H418" s="43" t="str">
        <f>IFERROR(__xludf.DUMMYFUNCTION("""COMPUTED_VALUE"""),"ISTANBUL")</f>
        <v>ISTANBUL</v>
      </c>
      <c r="I418" s="43" t="str">
        <f>IFERROR(__xludf.DUMMYFUNCTION("""COMPUTED_VALUE"""),"Romania")</f>
        <v>Romania</v>
      </c>
      <c r="J418" s="43" t="str">
        <f>IFERROR(__xludf.DUMMYFUNCTION("""COMPUTED_VALUE"""),"BRASOV")</f>
        <v>BRASOV</v>
      </c>
      <c r="K418" s="44" t="str">
        <f>IFERROR(__xludf.DUMMYFUNCTION("""COMPUTED_VALUE"""),"https://expa.aiesec.org/opportunities/1293125")</f>
        <v>https://expa.aiesec.org/opportunities/1293125</v>
      </c>
      <c r="L418" s="43" t="str">
        <f>IFERROR(__xludf.DUMMYFUNCTION("""COMPUTED_VALUE"""),"GV")</f>
        <v>GV</v>
      </c>
      <c r="M418" s="43" t="str">
        <f>IFERROR(__xludf.DUMMYFUNCTION("""COMPUTED_VALUE"""),"short")</f>
        <v>short</v>
      </c>
      <c r="N418" s="45">
        <f>IFERROR(__xludf.DUMMYFUNCTION("""COMPUTED_VALUE"""),45006.0)</f>
        <v>45006</v>
      </c>
      <c r="O418" s="45">
        <f>IFERROR(__xludf.DUMMYFUNCTION("""COMPUTED_VALUE"""),45103.0)</f>
        <v>45103</v>
      </c>
      <c r="P418" s="45">
        <f>IFERROR(__xludf.DUMMYFUNCTION("""COMPUTED_VALUE"""),45145.0)</f>
        <v>45145</v>
      </c>
      <c r="Q418" s="45">
        <f>IFERROR(__xludf.DUMMYFUNCTION("""COMPUTED_VALUE"""),45103.0)</f>
        <v>45103</v>
      </c>
      <c r="R418" s="45">
        <f>IFERROR(__xludf.DUMMYFUNCTION("""COMPUTED_VALUE"""),45145.0)</f>
        <v>45145</v>
      </c>
      <c r="S418" s="43"/>
      <c r="T418" s="43"/>
      <c r="U418" s="43" t="str">
        <f>IFERROR(__xludf.DUMMYFUNCTION("""COMPUTED_VALUE"""),"Fingerprint")</f>
        <v>Fingerprint</v>
      </c>
      <c r="V418" s="43" t="str">
        <f>IFERROR(__xludf.DUMMYFUNCTION("""COMPUTED_VALUE"""),"-")</f>
        <v>-</v>
      </c>
      <c r="W418" s="43" t="str">
        <f>IFERROR(__xludf.DUMMYFUNCTION("""COMPUTED_VALUE"""),"2023-03-12T13:38:10Z")</f>
        <v>2023-03-12T13:38:10Z</v>
      </c>
      <c r="X418" s="43"/>
      <c r="Y418" s="43"/>
      <c r="Z418" s="43"/>
    </row>
    <row r="419" hidden="1">
      <c r="A419" s="43" t="str">
        <f>IFERROR(__xludf.DUMMYFUNCTION("""COMPUTED_VALUE"""),"5223083_1292188")</f>
        <v>5223083_1292188</v>
      </c>
      <c r="B419" s="43" t="str">
        <f>IFERROR(__xludf.DUMMYFUNCTION("""COMPUTED_VALUE"""),"Süleyman Koray Can")</f>
        <v>Süleyman Koray Can</v>
      </c>
      <c r="C419" s="43" t="str">
        <f>IFERROR(__xludf.DUMMYFUNCTION("""COMPUTED_VALUE"""),"completed")</f>
        <v>completed</v>
      </c>
      <c r="D419" s="43" t="str">
        <f>IFERROR(__xludf.DUMMYFUNCTION("""COMPUTED_VALUE"""),"No")</f>
        <v>No</v>
      </c>
      <c r="E419" s="43" t="str">
        <f>IFERROR(__xludf.DUMMYFUNCTION("""COMPUTED_VALUE"""),"p_e8f57d19a213ffed25dee872c58edef20d2e93ed@inbound.aiesec.org")</f>
        <v>p_e8f57d19a213ffed25dee872c58edef20d2e93ed@inbound.aiesec.org</v>
      </c>
      <c r="F419" s="43">
        <f>IFERROR(__xludf.DUMMYFUNCTION("""COMPUTED_VALUE"""),5.454192049E9)</f>
        <v>5454192049</v>
      </c>
      <c r="G419" s="43" t="str">
        <f>IFERROR(__xludf.DUMMYFUNCTION("""COMPUTED_VALUE"""),"Turkey")</f>
        <v>Turkey</v>
      </c>
      <c r="H419" s="43" t="str">
        <f>IFERROR(__xludf.DUMMYFUNCTION("""COMPUTED_VALUE"""),"KUTAHYA")</f>
        <v>KUTAHYA</v>
      </c>
      <c r="I419" s="43" t="str">
        <f>IFERROR(__xludf.DUMMYFUNCTION("""COMPUTED_VALUE"""),"Egypt")</f>
        <v>Egypt</v>
      </c>
      <c r="J419" s="43" t="str">
        <f>IFERROR(__xludf.DUMMYFUNCTION("""COMPUTED_VALUE"""),"Helwan")</f>
        <v>Helwan</v>
      </c>
      <c r="K419" s="44" t="str">
        <f>IFERROR(__xludf.DUMMYFUNCTION("""COMPUTED_VALUE"""),"https://expa.aiesec.org/opportunities/1292188")</f>
        <v>https://expa.aiesec.org/opportunities/1292188</v>
      </c>
      <c r="L419" s="43" t="str">
        <f>IFERROR(__xludf.DUMMYFUNCTION("""COMPUTED_VALUE"""),"GV")</f>
        <v>GV</v>
      </c>
      <c r="M419" s="43" t="str">
        <f>IFERROR(__xludf.DUMMYFUNCTION("""COMPUTED_VALUE"""),"short")</f>
        <v>short</v>
      </c>
      <c r="N419" s="45">
        <f>IFERROR(__xludf.DUMMYFUNCTION("""COMPUTED_VALUE"""),45007.0)</f>
        <v>45007</v>
      </c>
      <c r="O419" s="45">
        <f>IFERROR(__xludf.DUMMYFUNCTION("""COMPUTED_VALUE"""),45108.0)</f>
        <v>45108</v>
      </c>
      <c r="P419" s="45">
        <f>IFERROR(__xludf.DUMMYFUNCTION("""COMPUTED_VALUE"""),45150.0)</f>
        <v>45150</v>
      </c>
      <c r="Q419" s="45">
        <f>IFERROR(__xludf.DUMMYFUNCTION("""COMPUTED_VALUE"""),45107.0)</f>
        <v>45107</v>
      </c>
      <c r="R419" s="45">
        <f>IFERROR(__xludf.DUMMYFUNCTION("""COMPUTED_VALUE"""),45150.0)</f>
        <v>45150</v>
      </c>
      <c r="S419" s="43"/>
      <c r="T419" s="43"/>
      <c r="U419" s="43" t="str">
        <f>IFERROR(__xludf.DUMMYFUNCTION("""COMPUTED_VALUE"""),"On The Map")</f>
        <v>On The Map</v>
      </c>
      <c r="V419" s="43" t="str">
        <f>IFERROR(__xludf.DUMMYFUNCTION("""COMPUTED_VALUE"""),"KUTAHYA")</f>
        <v>KUTAHYA</v>
      </c>
      <c r="W419" s="43" t="str">
        <f>IFERROR(__xludf.DUMMYFUNCTION("""COMPUTED_VALUE"""),"2023-03-21T18:53:40Z")</f>
        <v>2023-03-21T18:53:40Z</v>
      </c>
      <c r="X419" s="43"/>
      <c r="Y419" s="43"/>
      <c r="Z419" s="43"/>
    </row>
    <row r="420" hidden="1">
      <c r="A420" s="43" t="str">
        <f>IFERROR(__xludf.DUMMYFUNCTION("""COMPUTED_VALUE"""),"5218417_1286039")</f>
        <v>5218417_1286039</v>
      </c>
      <c r="B420" s="43" t="str">
        <f>IFERROR(__xludf.DUMMYFUNCTION("""COMPUTED_VALUE"""),"Esra Eren")</f>
        <v>Esra Eren</v>
      </c>
      <c r="C420" s="43" t="str">
        <f>IFERROR(__xludf.DUMMYFUNCTION("""COMPUTED_VALUE"""),"completed")</f>
        <v>completed</v>
      </c>
      <c r="D420" s="43" t="str">
        <f>IFERROR(__xludf.DUMMYFUNCTION("""COMPUTED_VALUE"""),"No")</f>
        <v>No</v>
      </c>
      <c r="E420" s="43" t="str">
        <f>IFERROR(__xludf.DUMMYFUNCTION("""COMPUTED_VALUE"""),"p_edc517b81967ee7444bf0b17250113b560f7fef8@inbound.aiesec.org")</f>
        <v>p_edc517b81967ee7444bf0b17250113b560f7fef8@inbound.aiesec.org</v>
      </c>
      <c r="F420" s="43"/>
      <c r="G420" s="43" t="str">
        <f>IFERROR(__xludf.DUMMYFUNCTION("""COMPUTED_VALUE"""),"Turkey")</f>
        <v>Turkey</v>
      </c>
      <c r="H420" s="43" t="str">
        <f>IFERROR(__xludf.DUMMYFUNCTION("""COMPUTED_VALUE"""),"KONYA")</f>
        <v>KONYA</v>
      </c>
      <c r="I420" s="43" t="str">
        <f>IFERROR(__xludf.DUMMYFUNCTION("""COMPUTED_VALUE"""),"Egypt")</f>
        <v>Egypt</v>
      </c>
      <c r="J420" s="43" t="str">
        <f>IFERROR(__xludf.DUMMYFUNCTION("""COMPUTED_VALUE"""),"Zagazig")</f>
        <v>Zagazig</v>
      </c>
      <c r="K420" s="44" t="str">
        <f>IFERROR(__xludf.DUMMYFUNCTION("""COMPUTED_VALUE"""),"https://expa.aiesec.org/opportunities/1286039")</f>
        <v>https://expa.aiesec.org/opportunities/1286039</v>
      </c>
      <c r="L420" s="43" t="str">
        <f>IFERROR(__xludf.DUMMYFUNCTION("""COMPUTED_VALUE"""),"GV")</f>
        <v>GV</v>
      </c>
      <c r="M420" s="43" t="str">
        <f>IFERROR(__xludf.DUMMYFUNCTION("""COMPUTED_VALUE"""),"short")</f>
        <v>short</v>
      </c>
      <c r="N420" s="45">
        <f>IFERROR(__xludf.DUMMYFUNCTION("""COMPUTED_VALUE"""),45007.0)</f>
        <v>45007</v>
      </c>
      <c r="O420" s="45">
        <f>IFERROR(__xludf.DUMMYFUNCTION("""COMPUTED_VALUE"""),45139.0)</f>
        <v>45139</v>
      </c>
      <c r="P420" s="45">
        <f>IFERROR(__xludf.DUMMYFUNCTION("""COMPUTED_VALUE"""),45181.0)</f>
        <v>45181</v>
      </c>
      <c r="Q420" s="45">
        <f>IFERROR(__xludf.DUMMYFUNCTION("""COMPUTED_VALUE"""),45139.0)</f>
        <v>45139</v>
      </c>
      <c r="R420" s="45">
        <f>IFERROR(__xludf.DUMMYFUNCTION("""COMPUTED_VALUE"""),45181.0)</f>
        <v>45181</v>
      </c>
      <c r="S420" s="43"/>
      <c r="T420" s="43"/>
      <c r="U420" s="43" t="str">
        <f>IFERROR(__xludf.DUMMYFUNCTION("""COMPUTED_VALUE"""),"Heartbeat")</f>
        <v>Heartbeat</v>
      </c>
      <c r="V420" s="43" t="str">
        <f>IFERROR(__xludf.DUMMYFUNCTION("""COMPUTED_VALUE"""),"KONYA")</f>
        <v>KONYA</v>
      </c>
      <c r="W420" s="43" t="str">
        <f>IFERROR(__xludf.DUMMYFUNCTION("""COMPUTED_VALUE"""),"2023-03-16T12:27:04Z")</f>
        <v>2023-03-16T12:27:04Z</v>
      </c>
      <c r="X420" s="43"/>
      <c r="Y420" s="43"/>
      <c r="Z420" s="43"/>
    </row>
    <row r="421" hidden="1">
      <c r="A421" s="43" t="str">
        <f>IFERROR(__xludf.DUMMYFUNCTION("""COMPUTED_VALUE"""),"5224886_1287316")</f>
        <v>5224886_1287316</v>
      </c>
      <c r="B421" s="43" t="str">
        <f>IFERROR(__xludf.DUMMYFUNCTION("""COMPUTED_VALUE"""),"Mehmet Alp Özbey")</f>
        <v>Mehmet Alp Özbey</v>
      </c>
      <c r="C421" s="43" t="str">
        <f>IFERROR(__xludf.DUMMYFUNCTION("""COMPUTED_VALUE"""),"completed")</f>
        <v>completed</v>
      </c>
      <c r="D421" s="43" t="str">
        <f>IFERROR(__xludf.DUMMYFUNCTION("""COMPUTED_VALUE"""),"No")</f>
        <v>No</v>
      </c>
      <c r="E421" s="43" t="str">
        <f>IFERROR(__xludf.DUMMYFUNCTION("""COMPUTED_VALUE"""),"p_58422f9f3a7e4f6ef15337ea1794a816e6455d5b@inbound.aiesec.org")</f>
        <v>p_58422f9f3a7e4f6ef15337ea1794a816e6455d5b@inbound.aiesec.org</v>
      </c>
      <c r="F421" s="43">
        <f>IFERROR(__xludf.DUMMYFUNCTION("""COMPUTED_VALUE"""),5.455029641E9)</f>
        <v>5455029641</v>
      </c>
      <c r="G421" s="43" t="str">
        <f>IFERROR(__xludf.DUMMYFUNCTION("""COMPUTED_VALUE"""),"Turkey")</f>
        <v>Turkey</v>
      </c>
      <c r="H421" s="43" t="str">
        <f>IFERROR(__xludf.DUMMYFUNCTION("""COMPUTED_VALUE"""),"TRABZON")</f>
        <v>TRABZON</v>
      </c>
      <c r="I421" s="43" t="str">
        <f>IFERROR(__xludf.DUMMYFUNCTION("""COMPUTED_VALUE"""),"Egypt")</f>
        <v>Egypt</v>
      </c>
      <c r="J421" s="43" t="str">
        <f>IFERROR(__xludf.DUMMYFUNCTION("""COMPUTED_VALUE"""),"Cairo University")</f>
        <v>Cairo University</v>
      </c>
      <c r="K421" s="44" t="str">
        <f>IFERROR(__xludf.DUMMYFUNCTION("""COMPUTED_VALUE"""),"https://expa.aiesec.org/opportunities/1287316")</f>
        <v>https://expa.aiesec.org/opportunities/1287316</v>
      </c>
      <c r="L421" s="43" t="str">
        <f>IFERROR(__xludf.DUMMYFUNCTION("""COMPUTED_VALUE"""),"GV")</f>
        <v>GV</v>
      </c>
      <c r="M421" s="43" t="str">
        <f>IFERROR(__xludf.DUMMYFUNCTION("""COMPUTED_VALUE"""),"short")</f>
        <v>short</v>
      </c>
      <c r="N421" s="45">
        <f>IFERROR(__xludf.DUMMYFUNCTION("""COMPUTED_VALUE"""),45008.0)</f>
        <v>45008</v>
      </c>
      <c r="O421" s="45">
        <f>IFERROR(__xludf.DUMMYFUNCTION("""COMPUTED_VALUE"""),45108.0)</f>
        <v>45108</v>
      </c>
      <c r="P421" s="45">
        <f>IFERROR(__xludf.DUMMYFUNCTION("""COMPUTED_VALUE"""),45153.0)</f>
        <v>45153</v>
      </c>
      <c r="Q421" s="45">
        <f>IFERROR(__xludf.DUMMYFUNCTION("""COMPUTED_VALUE"""),45111.0)</f>
        <v>45111</v>
      </c>
      <c r="R421" s="45">
        <f>IFERROR(__xludf.DUMMYFUNCTION("""COMPUTED_VALUE"""),45156.0)</f>
        <v>45156</v>
      </c>
      <c r="S421" s="43"/>
      <c r="T421" s="43"/>
      <c r="U421" s="43" t="str">
        <f>IFERROR(__xludf.DUMMYFUNCTION("""COMPUTED_VALUE"""),"On The Map")</f>
        <v>On The Map</v>
      </c>
      <c r="V421" s="43" t="str">
        <f>IFERROR(__xludf.DUMMYFUNCTION("""COMPUTED_VALUE"""),"TRABZON")</f>
        <v>TRABZON</v>
      </c>
      <c r="W421" s="43" t="str">
        <f>IFERROR(__xludf.DUMMYFUNCTION("""COMPUTED_VALUE"""),"2023-03-23T13:20:25Z")</f>
        <v>2023-03-23T13:20:25Z</v>
      </c>
      <c r="X421" s="43"/>
      <c r="Y421" s="43"/>
      <c r="Z421" s="43"/>
    </row>
    <row r="422" hidden="1">
      <c r="A422" s="43" t="str">
        <f>IFERROR(__xludf.DUMMYFUNCTION("""COMPUTED_VALUE"""),"5224357_1290282")</f>
        <v>5224357_1290282</v>
      </c>
      <c r="B422" s="43" t="str">
        <f>IFERROR(__xludf.DUMMYFUNCTION("""COMPUTED_VALUE"""),"Güçhan Erden")</f>
        <v>Güçhan Erden</v>
      </c>
      <c r="C422" s="43" t="str">
        <f>IFERROR(__xludf.DUMMYFUNCTION("""COMPUTED_VALUE"""),"completed")</f>
        <v>completed</v>
      </c>
      <c r="D422" s="43" t="str">
        <f>IFERROR(__xludf.DUMMYFUNCTION("""COMPUTED_VALUE"""),"No")</f>
        <v>No</v>
      </c>
      <c r="E422" s="43" t="str">
        <f>IFERROR(__xludf.DUMMYFUNCTION("""COMPUTED_VALUE"""),"p_887a6177534d7a40eb6b945e9079701fc9f1867f@inbound.aiesec.org")</f>
        <v>p_887a6177534d7a40eb6b945e9079701fc9f1867f@inbound.aiesec.org</v>
      </c>
      <c r="F422" s="43"/>
      <c r="G422" s="43" t="str">
        <f>IFERROR(__xludf.DUMMYFUNCTION("""COMPUTED_VALUE"""),"Turkey")</f>
        <v>Turkey</v>
      </c>
      <c r="H422" s="43" t="str">
        <f>IFERROR(__xludf.DUMMYFUNCTION("""COMPUTED_VALUE"""),"KOCAELI")</f>
        <v>KOCAELI</v>
      </c>
      <c r="I422" s="43" t="str">
        <f>IFERROR(__xludf.DUMMYFUNCTION("""COMPUTED_VALUE"""),"Egypt")</f>
        <v>Egypt</v>
      </c>
      <c r="J422" s="43" t="str">
        <f>IFERROR(__xludf.DUMMYFUNCTION("""COMPUTED_VALUE"""),"GUC")</f>
        <v>GUC</v>
      </c>
      <c r="K422" s="44" t="str">
        <f>IFERROR(__xludf.DUMMYFUNCTION("""COMPUTED_VALUE"""),"https://expa.aiesec.org/opportunities/1290282")</f>
        <v>https://expa.aiesec.org/opportunities/1290282</v>
      </c>
      <c r="L422" s="43" t="str">
        <f>IFERROR(__xludf.DUMMYFUNCTION("""COMPUTED_VALUE"""),"GV")</f>
        <v>GV</v>
      </c>
      <c r="M422" s="43" t="str">
        <f>IFERROR(__xludf.DUMMYFUNCTION("""COMPUTED_VALUE"""),"short")</f>
        <v>short</v>
      </c>
      <c r="N422" s="45">
        <f>IFERROR(__xludf.DUMMYFUNCTION("""COMPUTED_VALUE"""),45008.0)</f>
        <v>45008</v>
      </c>
      <c r="O422" s="45">
        <f>IFERROR(__xludf.DUMMYFUNCTION("""COMPUTED_VALUE"""),45122.0)</f>
        <v>45122</v>
      </c>
      <c r="P422" s="45">
        <f>IFERROR(__xludf.DUMMYFUNCTION("""COMPUTED_VALUE"""),45164.0)</f>
        <v>45164</v>
      </c>
      <c r="Q422" s="45">
        <f>IFERROR(__xludf.DUMMYFUNCTION("""COMPUTED_VALUE"""),45122.0)</f>
        <v>45122</v>
      </c>
      <c r="R422" s="45">
        <f>IFERROR(__xludf.DUMMYFUNCTION("""COMPUTED_VALUE"""),45164.0)</f>
        <v>45164</v>
      </c>
      <c r="S422" s="43"/>
      <c r="T422" s="43"/>
      <c r="U422" s="43" t="str">
        <f>IFERROR(__xludf.DUMMYFUNCTION("""COMPUTED_VALUE"""),"On The Map")</f>
        <v>On The Map</v>
      </c>
      <c r="V422" s="43" t="str">
        <f>IFERROR(__xludf.DUMMYFUNCTION("""COMPUTED_VALUE"""),"-")</f>
        <v>-</v>
      </c>
      <c r="W422" s="43" t="str">
        <f>IFERROR(__xludf.DUMMYFUNCTION("""COMPUTED_VALUE"""),"2023-03-22T20:29:35Z")</f>
        <v>2023-03-22T20:29:35Z</v>
      </c>
      <c r="X422" s="43"/>
      <c r="Y422" s="43"/>
      <c r="Z422" s="43"/>
    </row>
    <row r="423" hidden="1">
      <c r="A423" s="43" t="str">
        <f>IFERROR(__xludf.DUMMYFUNCTION("""COMPUTED_VALUE"""),"5223898_1293423")</f>
        <v>5223898_1293423</v>
      </c>
      <c r="B423" s="43" t="str">
        <f>IFERROR(__xludf.DUMMYFUNCTION("""COMPUTED_VALUE"""),"Zeynep Sıla Karaosman")</f>
        <v>Zeynep Sıla Karaosman</v>
      </c>
      <c r="C423" s="43" t="str">
        <f>IFERROR(__xludf.DUMMYFUNCTION("""COMPUTED_VALUE"""),"completed")</f>
        <v>completed</v>
      </c>
      <c r="D423" s="43" t="str">
        <f>IFERROR(__xludf.DUMMYFUNCTION("""COMPUTED_VALUE"""),"No")</f>
        <v>No</v>
      </c>
      <c r="E423" s="43" t="str">
        <f>IFERROR(__xludf.DUMMYFUNCTION("""COMPUTED_VALUE"""),"p_ba54e00eddd9a6c6325111f870b93ca42a903bc0@inbound.aiesec.org")</f>
        <v>p_ba54e00eddd9a6c6325111f870b93ca42a903bc0@inbound.aiesec.org</v>
      </c>
      <c r="F423" s="43"/>
      <c r="G423" s="43" t="str">
        <f>IFERROR(__xludf.DUMMYFUNCTION("""COMPUTED_VALUE"""),"Turkey")</f>
        <v>Turkey</v>
      </c>
      <c r="H423" s="43" t="str">
        <f>IFERROR(__xludf.DUMMYFUNCTION("""COMPUTED_VALUE"""),"ANTALYA")</f>
        <v>ANTALYA</v>
      </c>
      <c r="I423" s="43" t="str">
        <f>IFERROR(__xludf.DUMMYFUNCTION("""COMPUTED_VALUE"""),"Romania")</f>
        <v>Romania</v>
      </c>
      <c r="J423" s="43" t="str">
        <f>IFERROR(__xludf.DUMMYFUNCTION("""COMPUTED_VALUE"""),"BRASOV")</f>
        <v>BRASOV</v>
      </c>
      <c r="K423" s="44" t="str">
        <f>IFERROR(__xludf.DUMMYFUNCTION("""COMPUTED_VALUE"""),"https://expa.aiesec.org/opportunities/1293423")</f>
        <v>https://expa.aiesec.org/opportunities/1293423</v>
      </c>
      <c r="L423" s="43" t="str">
        <f>IFERROR(__xludf.DUMMYFUNCTION("""COMPUTED_VALUE"""),"GV")</f>
        <v>GV</v>
      </c>
      <c r="M423" s="43" t="str">
        <f>IFERROR(__xludf.DUMMYFUNCTION("""COMPUTED_VALUE"""),"short")</f>
        <v>short</v>
      </c>
      <c r="N423" s="45">
        <f>IFERROR(__xludf.DUMMYFUNCTION("""COMPUTED_VALUE"""),45008.0)</f>
        <v>45008</v>
      </c>
      <c r="O423" s="45">
        <f>IFERROR(__xludf.DUMMYFUNCTION("""COMPUTED_VALUE"""),45103.0)</f>
        <v>45103</v>
      </c>
      <c r="P423" s="45">
        <f>IFERROR(__xludf.DUMMYFUNCTION("""COMPUTED_VALUE"""),45145.0)</f>
        <v>45145</v>
      </c>
      <c r="Q423" s="45">
        <f>IFERROR(__xludf.DUMMYFUNCTION("""COMPUTED_VALUE"""),45103.0)</f>
        <v>45103</v>
      </c>
      <c r="R423" s="45">
        <f>IFERROR(__xludf.DUMMYFUNCTION("""COMPUTED_VALUE"""),45145.0)</f>
        <v>45145</v>
      </c>
      <c r="S423" s="43"/>
      <c r="T423" s="43"/>
      <c r="U423" s="43" t="str">
        <f>IFERROR(__xludf.DUMMYFUNCTION("""COMPUTED_VALUE"""),"Global Classroom")</f>
        <v>Global Classroom</v>
      </c>
      <c r="V423" s="43" t="str">
        <f>IFERROR(__xludf.DUMMYFUNCTION("""COMPUTED_VALUE"""),"-")</f>
        <v>-</v>
      </c>
      <c r="W423" s="43" t="str">
        <f>IFERROR(__xludf.DUMMYFUNCTION("""COMPUTED_VALUE"""),"2023-03-22T13:12:18Z")</f>
        <v>2023-03-22T13:12:18Z</v>
      </c>
      <c r="X423" s="43"/>
      <c r="Y423" s="43"/>
      <c r="Z423" s="43"/>
    </row>
    <row r="424" hidden="1">
      <c r="A424" s="43" t="str">
        <f>IFERROR(__xludf.DUMMYFUNCTION("""COMPUTED_VALUE"""),"5223158_1281235")</f>
        <v>5223158_1281235</v>
      </c>
      <c r="B424" s="43" t="str">
        <f>IFERROR(__xludf.DUMMYFUNCTION("""COMPUTED_VALUE"""),"Dilruba Berber")</f>
        <v>Dilruba Berber</v>
      </c>
      <c r="C424" s="43" t="str">
        <f>IFERROR(__xludf.DUMMYFUNCTION("""COMPUTED_VALUE"""),"completed")</f>
        <v>completed</v>
      </c>
      <c r="D424" s="43" t="str">
        <f>IFERROR(__xludf.DUMMYFUNCTION("""COMPUTED_VALUE"""),"No")</f>
        <v>No</v>
      </c>
      <c r="E424" s="43" t="str">
        <f>IFERROR(__xludf.DUMMYFUNCTION("""COMPUTED_VALUE"""),"p_8b9704f53e0922d7fa7fd523336133541c75bd27@inbound.aiesec.org")</f>
        <v>p_8b9704f53e0922d7fa7fd523336133541c75bd27@inbound.aiesec.org</v>
      </c>
      <c r="F424" s="43">
        <f>IFERROR(__xludf.DUMMYFUNCTION("""COMPUTED_VALUE"""),5.380448749E9)</f>
        <v>5380448749</v>
      </c>
      <c r="G424" s="43" t="str">
        <f>IFERROR(__xludf.DUMMYFUNCTION("""COMPUTED_VALUE"""),"Turkey")</f>
        <v>Turkey</v>
      </c>
      <c r="H424" s="43" t="str">
        <f>IFERROR(__xludf.DUMMYFUNCTION("""COMPUTED_VALUE"""),"ISTANBUL")</f>
        <v>ISTANBUL</v>
      </c>
      <c r="I424" s="43" t="str">
        <f>IFERROR(__xludf.DUMMYFUNCTION("""COMPUTED_VALUE"""),"India")</f>
        <v>India</v>
      </c>
      <c r="J424" s="43" t="str">
        <f>IFERROR(__xludf.DUMMYFUNCTION("""COMPUTED_VALUE"""),"Dehradun")</f>
        <v>Dehradun</v>
      </c>
      <c r="K424" s="44" t="str">
        <f>IFERROR(__xludf.DUMMYFUNCTION("""COMPUTED_VALUE"""),"https://expa.aiesec.org/opportunities/1281235")</f>
        <v>https://expa.aiesec.org/opportunities/1281235</v>
      </c>
      <c r="L424" s="43" t="str">
        <f>IFERROR(__xludf.DUMMYFUNCTION("""COMPUTED_VALUE"""),"GV")</f>
        <v>GV</v>
      </c>
      <c r="M424" s="43" t="str">
        <f>IFERROR(__xludf.DUMMYFUNCTION("""COMPUTED_VALUE"""),"short")</f>
        <v>short</v>
      </c>
      <c r="N424" s="45">
        <f>IFERROR(__xludf.DUMMYFUNCTION("""COMPUTED_VALUE"""),45008.0)</f>
        <v>45008</v>
      </c>
      <c r="O424" s="45">
        <f>IFERROR(__xludf.DUMMYFUNCTION("""COMPUTED_VALUE"""),45122.0)</f>
        <v>45122</v>
      </c>
      <c r="P424" s="45">
        <f>IFERROR(__xludf.DUMMYFUNCTION("""COMPUTED_VALUE"""),45164.0)</f>
        <v>45164</v>
      </c>
      <c r="Q424" s="45">
        <f>IFERROR(__xludf.DUMMYFUNCTION("""COMPUTED_VALUE"""),45123.0)</f>
        <v>45123</v>
      </c>
      <c r="R424" s="45">
        <f>IFERROR(__xludf.DUMMYFUNCTION("""COMPUTED_VALUE"""),45164.0)</f>
        <v>45164</v>
      </c>
      <c r="S424" s="43"/>
      <c r="T424" s="43"/>
      <c r="U424" s="43" t="str">
        <f>IFERROR(__xludf.DUMMYFUNCTION("""COMPUTED_VALUE"""),"Skill Up!")</f>
        <v>Skill Up!</v>
      </c>
      <c r="V424" s="43" t="str">
        <f>IFERROR(__xludf.DUMMYFUNCTION("""COMPUTED_VALUE"""),"ISTANBUL - BEYOGLU")</f>
        <v>ISTANBUL - BEYOGLU</v>
      </c>
      <c r="W424" s="43" t="str">
        <f>IFERROR(__xludf.DUMMYFUNCTION("""COMPUTED_VALUE"""),"2023-03-21T20:59:14Z")</f>
        <v>2023-03-21T20:59:14Z</v>
      </c>
      <c r="X424" s="43"/>
      <c r="Y424" s="43"/>
      <c r="Z424" s="43"/>
    </row>
    <row r="425" hidden="1">
      <c r="A425" s="43" t="str">
        <f>IFERROR(__xludf.DUMMYFUNCTION("""COMPUTED_VALUE"""),"5221814_1293125")</f>
        <v>5221814_1293125</v>
      </c>
      <c r="B425" s="43" t="str">
        <f>IFERROR(__xludf.DUMMYFUNCTION("""COMPUTED_VALUE"""),"Nil Oğuz")</f>
        <v>Nil Oğuz</v>
      </c>
      <c r="C425" s="43" t="str">
        <f>IFERROR(__xludf.DUMMYFUNCTION("""COMPUTED_VALUE"""),"completed")</f>
        <v>completed</v>
      </c>
      <c r="D425" s="43" t="str">
        <f>IFERROR(__xludf.DUMMYFUNCTION("""COMPUTED_VALUE"""),"No")</f>
        <v>No</v>
      </c>
      <c r="E425" s="43" t="str">
        <f>IFERROR(__xludf.DUMMYFUNCTION("""COMPUTED_VALUE"""),"p_e5e836022494c2c0954d1390fa94d5e548cbef49@inbound.aiesec.org")</f>
        <v>p_e5e836022494c2c0954d1390fa94d5e548cbef49@inbound.aiesec.org</v>
      </c>
      <c r="F425" s="43"/>
      <c r="G425" s="43" t="str">
        <f>IFERROR(__xludf.DUMMYFUNCTION("""COMPUTED_VALUE"""),"Turkey")</f>
        <v>Turkey</v>
      </c>
      <c r="H425" s="43" t="str">
        <f>IFERROR(__xludf.DUMMYFUNCTION("""COMPUTED_VALUE"""),"ANTALYA")</f>
        <v>ANTALYA</v>
      </c>
      <c r="I425" s="43" t="str">
        <f>IFERROR(__xludf.DUMMYFUNCTION("""COMPUTED_VALUE"""),"Romania")</f>
        <v>Romania</v>
      </c>
      <c r="J425" s="43" t="str">
        <f>IFERROR(__xludf.DUMMYFUNCTION("""COMPUTED_VALUE"""),"BRASOV")</f>
        <v>BRASOV</v>
      </c>
      <c r="K425" s="44" t="str">
        <f>IFERROR(__xludf.DUMMYFUNCTION("""COMPUTED_VALUE"""),"https://expa.aiesec.org/opportunities/1293125")</f>
        <v>https://expa.aiesec.org/opportunities/1293125</v>
      </c>
      <c r="L425" s="43" t="str">
        <f>IFERROR(__xludf.DUMMYFUNCTION("""COMPUTED_VALUE"""),"GV")</f>
        <v>GV</v>
      </c>
      <c r="M425" s="43" t="str">
        <f>IFERROR(__xludf.DUMMYFUNCTION("""COMPUTED_VALUE"""),"short")</f>
        <v>short</v>
      </c>
      <c r="N425" s="45">
        <f>IFERROR(__xludf.DUMMYFUNCTION("""COMPUTED_VALUE"""),45008.0)</f>
        <v>45008</v>
      </c>
      <c r="O425" s="45">
        <f>IFERROR(__xludf.DUMMYFUNCTION("""COMPUTED_VALUE"""),45103.0)</f>
        <v>45103</v>
      </c>
      <c r="P425" s="45">
        <f>IFERROR(__xludf.DUMMYFUNCTION("""COMPUTED_VALUE"""),45145.0)</f>
        <v>45145</v>
      </c>
      <c r="Q425" s="45">
        <f>IFERROR(__xludf.DUMMYFUNCTION("""COMPUTED_VALUE"""),45103.0)</f>
        <v>45103</v>
      </c>
      <c r="R425" s="45">
        <f>IFERROR(__xludf.DUMMYFUNCTION("""COMPUTED_VALUE"""),45145.0)</f>
        <v>45145</v>
      </c>
      <c r="S425" s="43"/>
      <c r="T425" s="43"/>
      <c r="U425" s="43" t="str">
        <f>IFERROR(__xludf.DUMMYFUNCTION("""COMPUTED_VALUE"""),"Fingerprint")</f>
        <v>Fingerprint</v>
      </c>
      <c r="V425" s="43" t="str">
        <f>IFERROR(__xludf.DUMMYFUNCTION("""COMPUTED_VALUE"""),"-")</f>
        <v>-</v>
      </c>
      <c r="W425" s="43" t="str">
        <f>IFERROR(__xludf.DUMMYFUNCTION("""COMPUTED_VALUE"""),"2023-03-20T15:25:09Z")</f>
        <v>2023-03-20T15:25:09Z</v>
      </c>
      <c r="X425" s="43"/>
      <c r="Y425" s="43"/>
      <c r="Z425" s="43"/>
    </row>
    <row r="426" hidden="1">
      <c r="A426" s="43" t="str">
        <f>IFERROR(__xludf.DUMMYFUNCTION("""COMPUTED_VALUE"""),"5225896_1288414")</f>
        <v>5225896_1288414</v>
      </c>
      <c r="B426" s="43" t="str">
        <f>IFERROR(__xludf.DUMMYFUNCTION("""COMPUTED_VALUE"""),"Buse Çoban")</f>
        <v>Buse Çoban</v>
      </c>
      <c r="C426" s="43" t="str">
        <f>IFERROR(__xludf.DUMMYFUNCTION("""COMPUTED_VALUE"""),"completed")</f>
        <v>completed</v>
      </c>
      <c r="D426" s="43" t="str">
        <f>IFERROR(__xludf.DUMMYFUNCTION("""COMPUTED_VALUE"""),"No")</f>
        <v>No</v>
      </c>
      <c r="E426" s="43" t="str">
        <f>IFERROR(__xludf.DUMMYFUNCTION("""COMPUTED_VALUE"""),"p_7502e73f7d634b2c0a9841a549edf359abd797d7@inbound.aiesec.org")</f>
        <v>p_7502e73f7d634b2c0a9841a549edf359abd797d7@inbound.aiesec.org</v>
      </c>
      <c r="F426" s="43">
        <f>IFERROR(__xludf.DUMMYFUNCTION("""COMPUTED_VALUE"""),5.496782001E9)</f>
        <v>5496782001</v>
      </c>
      <c r="G426" s="43" t="str">
        <f>IFERROR(__xludf.DUMMYFUNCTION("""COMPUTED_VALUE"""),"Turkey")</f>
        <v>Turkey</v>
      </c>
      <c r="H426" s="43" t="str">
        <f>IFERROR(__xludf.DUMMYFUNCTION("""COMPUTED_VALUE"""),"ANTALYA")</f>
        <v>ANTALYA</v>
      </c>
      <c r="I426" s="43" t="str">
        <f>IFERROR(__xludf.DUMMYFUNCTION("""COMPUTED_VALUE"""),"India")</f>
        <v>India</v>
      </c>
      <c r="J426" s="43" t="str">
        <f>IFERROR(__xludf.DUMMYFUNCTION("""COMPUTED_VALUE"""),"JAIPUR ")</f>
        <v>JAIPUR </v>
      </c>
      <c r="K426" s="44" t="str">
        <f>IFERROR(__xludf.DUMMYFUNCTION("""COMPUTED_VALUE"""),"https://expa.aiesec.org/opportunities/1288414")</f>
        <v>https://expa.aiesec.org/opportunities/1288414</v>
      </c>
      <c r="L426" s="43" t="str">
        <f>IFERROR(__xludf.DUMMYFUNCTION("""COMPUTED_VALUE"""),"GV")</f>
        <v>GV</v>
      </c>
      <c r="M426" s="43" t="str">
        <f>IFERROR(__xludf.DUMMYFUNCTION("""COMPUTED_VALUE"""),"short")</f>
        <v>short</v>
      </c>
      <c r="N426" s="45">
        <f>IFERROR(__xludf.DUMMYFUNCTION("""COMPUTED_VALUE"""),45009.0)</f>
        <v>45009</v>
      </c>
      <c r="O426" s="45">
        <f>IFERROR(__xludf.DUMMYFUNCTION("""COMPUTED_VALUE"""),45115.0)</f>
        <v>45115</v>
      </c>
      <c r="P426" s="45">
        <f>IFERROR(__xludf.DUMMYFUNCTION("""COMPUTED_VALUE"""),45157.0)</f>
        <v>45157</v>
      </c>
      <c r="Q426" s="45">
        <f>IFERROR(__xludf.DUMMYFUNCTION("""COMPUTED_VALUE"""),45122.0)</f>
        <v>45122</v>
      </c>
      <c r="R426" s="45">
        <f>IFERROR(__xludf.DUMMYFUNCTION("""COMPUTED_VALUE"""),45162.0)</f>
        <v>45162</v>
      </c>
      <c r="S426" s="43"/>
      <c r="T426" s="43"/>
      <c r="U426" s="43" t="str">
        <f>IFERROR(__xludf.DUMMYFUNCTION("""COMPUTED_VALUE"""),"Skill Up!")</f>
        <v>Skill Up!</v>
      </c>
      <c r="V426" s="43" t="str">
        <f>IFERROR(__xludf.DUMMYFUNCTION("""COMPUTED_VALUE"""),"ANTALYA")</f>
        <v>ANTALYA</v>
      </c>
      <c r="W426" s="43" t="str">
        <f>IFERROR(__xludf.DUMMYFUNCTION("""COMPUTED_VALUE"""),"2023-03-24T14:05:04Z")</f>
        <v>2023-03-24T14:05:04Z</v>
      </c>
      <c r="X426" s="43"/>
      <c r="Y426" s="43"/>
      <c r="Z426" s="43"/>
    </row>
    <row r="427" hidden="1">
      <c r="A427" s="43" t="str">
        <f>IFERROR(__xludf.DUMMYFUNCTION("""COMPUTED_VALUE"""),"5225593_1290282")</f>
        <v>5225593_1290282</v>
      </c>
      <c r="B427" s="43" t="str">
        <f>IFERROR(__xludf.DUMMYFUNCTION("""COMPUTED_VALUE"""),"Ayşenur Sertoğlu")</f>
        <v>Ayşenur Sertoğlu</v>
      </c>
      <c r="C427" s="43" t="str">
        <f>IFERROR(__xludf.DUMMYFUNCTION("""COMPUTED_VALUE"""),"completed")</f>
        <v>completed</v>
      </c>
      <c r="D427" s="43" t="str">
        <f>IFERROR(__xludf.DUMMYFUNCTION("""COMPUTED_VALUE"""),"No")</f>
        <v>No</v>
      </c>
      <c r="E427" s="43" t="str">
        <f>IFERROR(__xludf.DUMMYFUNCTION("""COMPUTED_VALUE"""),"p_d3d56767195705c3427677a8127c115225ba48b3@inbound.aiesec.org")</f>
        <v>p_d3d56767195705c3427677a8127c115225ba48b3@inbound.aiesec.org</v>
      </c>
      <c r="F427" s="43">
        <f>IFERROR(__xludf.DUMMYFUNCTION("""COMPUTED_VALUE"""),5.443628501E9)</f>
        <v>5443628501</v>
      </c>
      <c r="G427" s="43" t="str">
        <f>IFERROR(__xludf.DUMMYFUNCTION("""COMPUTED_VALUE"""),"Turkey")</f>
        <v>Turkey</v>
      </c>
      <c r="H427" s="43" t="str">
        <f>IFERROR(__xludf.DUMMYFUNCTION("""COMPUTED_VALUE"""),"ISTANBUL")</f>
        <v>ISTANBUL</v>
      </c>
      <c r="I427" s="43" t="str">
        <f>IFERROR(__xludf.DUMMYFUNCTION("""COMPUTED_VALUE"""),"Egypt")</f>
        <v>Egypt</v>
      </c>
      <c r="J427" s="43" t="str">
        <f>IFERROR(__xludf.DUMMYFUNCTION("""COMPUTED_VALUE"""),"GUC")</f>
        <v>GUC</v>
      </c>
      <c r="K427" s="44" t="str">
        <f>IFERROR(__xludf.DUMMYFUNCTION("""COMPUTED_VALUE"""),"https://expa.aiesec.org/opportunities/1290282")</f>
        <v>https://expa.aiesec.org/opportunities/1290282</v>
      </c>
      <c r="L427" s="43" t="str">
        <f>IFERROR(__xludf.DUMMYFUNCTION("""COMPUTED_VALUE"""),"GV")</f>
        <v>GV</v>
      </c>
      <c r="M427" s="43" t="str">
        <f>IFERROR(__xludf.DUMMYFUNCTION("""COMPUTED_VALUE"""),"short")</f>
        <v>short</v>
      </c>
      <c r="N427" s="45">
        <f>IFERROR(__xludf.DUMMYFUNCTION("""COMPUTED_VALUE"""),45009.0)</f>
        <v>45009</v>
      </c>
      <c r="O427" s="45">
        <f>IFERROR(__xludf.DUMMYFUNCTION("""COMPUTED_VALUE"""),45122.0)</f>
        <v>45122</v>
      </c>
      <c r="P427" s="45">
        <f>IFERROR(__xludf.DUMMYFUNCTION("""COMPUTED_VALUE"""),45164.0)</f>
        <v>45164</v>
      </c>
      <c r="Q427" s="45">
        <f>IFERROR(__xludf.DUMMYFUNCTION("""COMPUTED_VALUE"""),45123.0)</f>
        <v>45123</v>
      </c>
      <c r="R427" s="45">
        <f>IFERROR(__xludf.DUMMYFUNCTION("""COMPUTED_VALUE"""),45164.0)</f>
        <v>45164</v>
      </c>
      <c r="S427" s="43"/>
      <c r="T427" s="43"/>
      <c r="U427" s="43" t="str">
        <f>IFERROR(__xludf.DUMMYFUNCTION("""COMPUTED_VALUE"""),"On The Map")</f>
        <v>On The Map</v>
      </c>
      <c r="V427" s="43" t="str">
        <f>IFERROR(__xludf.DUMMYFUNCTION("""COMPUTED_VALUE"""),"ISTANBUL - BEYOGLU")</f>
        <v>ISTANBUL - BEYOGLU</v>
      </c>
      <c r="W427" s="43" t="str">
        <f>IFERROR(__xludf.DUMMYFUNCTION("""COMPUTED_VALUE"""),"2023-03-24T11:10:46Z")</f>
        <v>2023-03-24T11:10:46Z</v>
      </c>
      <c r="X427" s="43"/>
      <c r="Y427" s="43"/>
      <c r="Z427" s="43"/>
    </row>
    <row r="428" hidden="1">
      <c r="A428" s="43" t="str">
        <f>IFERROR(__xludf.DUMMYFUNCTION("""COMPUTED_VALUE"""),"5222905_1291067")</f>
        <v>5222905_1291067</v>
      </c>
      <c r="B428" s="43" t="str">
        <f>IFERROR(__xludf.DUMMYFUNCTION("""COMPUTED_VALUE"""),"Ilgım Kutlu")</f>
        <v>Ilgım Kutlu</v>
      </c>
      <c r="C428" s="43" t="str">
        <f>IFERROR(__xludf.DUMMYFUNCTION("""COMPUTED_VALUE"""),"completed")</f>
        <v>completed</v>
      </c>
      <c r="D428" s="43" t="str">
        <f>IFERROR(__xludf.DUMMYFUNCTION("""COMPUTED_VALUE"""),"No")</f>
        <v>No</v>
      </c>
      <c r="E428" s="43" t="str">
        <f>IFERROR(__xludf.DUMMYFUNCTION("""COMPUTED_VALUE"""),"p_ba710d51d0bb31174364673c6bd563b67340e6ba@inbound.aiesec.org")</f>
        <v>p_ba710d51d0bb31174364673c6bd563b67340e6ba@inbound.aiesec.org</v>
      </c>
      <c r="F428" s="43">
        <f>IFERROR(__xludf.DUMMYFUNCTION("""COMPUTED_VALUE"""),5.461012026E9)</f>
        <v>5461012026</v>
      </c>
      <c r="G428" s="43" t="str">
        <f>IFERROR(__xludf.DUMMYFUNCTION("""COMPUTED_VALUE"""),"Turkey")</f>
        <v>Turkey</v>
      </c>
      <c r="H428" s="43" t="str">
        <f>IFERROR(__xludf.DUMMYFUNCTION("""COMPUTED_VALUE"""),"ISTANBUL")</f>
        <v>ISTANBUL</v>
      </c>
      <c r="I428" s="43" t="str">
        <f>IFERROR(__xludf.DUMMYFUNCTION("""COMPUTED_VALUE"""),"Egypt")</f>
        <v>Egypt</v>
      </c>
      <c r="J428" s="43" t="str">
        <f>IFERROR(__xludf.DUMMYFUNCTION("""COMPUTED_VALUE"""),"GUC")</f>
        <v>GUC</v>
      </c>
      <c r="K428" s="44" t="str">
        <f>IFERROR(__xludf.DUMMYFUNCTION("""COMPUTED_VALUE"""),"https://expa.aiesec.org/opportunities/1291067")</f>
        <v>https://expa.aiesec.org/opportunities/1291067</v>
      </c>
      <c r="L428" s="43" t="str">
        <f>IFERROR(__xludf.DUMMYFUNCTION("""COMPUTED_VALUE"""),"GV")</f>
        <v>GV</v>
      </c>
      <c r="M428" s="43" t="str">
        <f>IFERROR(__xludf.DUMMYFUNCTION("""COMPUTED_VALUE"""),"short")</f>
        <v>short</v>
      </c>
      <c r="N428" s="45">
        <f>IFERROR(__xludf.DUMMYFUNCTION("""COMPUTED_VALUE"""),45009.0)</f>
        <v>45009</v>
      </c>
      <c r="O428" s="45">
        <f>IFERROR(__xludf.DUMMYFUNCTION("""COMPUTED_VALUE"""),45122.0)</f>
        <v>45122</v>
      </c>
      <c r="P428" s="45">
        <f>IFERROR(__xludf.DUMMYFUNCTION("""COMPUTED_VALUE"""),45164.0)</f>
        <v>45164</v>
      </c>
      <c r="Q428" s="45">
        <f>IFERROR(__xludf.DUMMYFUNCTION("""COMPUTED_VALUE"""),45122.0)</f>
        <v>45122</v>
      </c>
      <c r="R428" s="45">
        <f>IFERROR(__xludf.DUMMYFUNCTION("""COMPUTED_VALUE"""),45164.0)</f>
        <v>45164</v>
      </c>
      <c r="S428" s="43"/>
      <c r="T428" s="43"/>
      <c r="U428" s="43" t="str">
        <f>IFERROR(__xludf.DUMMYFUNCTION("""COMPUTED_VALUE"""),"Global Classroom")</f>
        <v>Global Classroom</v>
      </c>
      <c r="V428" s="43" t="str">
        <f>IFERROR(__xludf.DUMMYFUNCTION("""COMPUTED_VALUE"""),"ISTANBUL - BEYOGLU")</f>
        <v>ISTANBUL - BEYOGLU</v>
      </c>
      <c r="W428" s="43" t="str">
        <f>IFERROR(__xludf.DUMMYFUNCTION("""COMPUTED_VALUE"""),"2023-03-21T15:40:38Z")</f>
        <v>2023-03-21T15:40:38Z</v>
      </c>
      <c r="X428" s="43"/>
      <c r="Y428" s="43"/>
      <c r="Z428" s="43"/>
    </row>
    <row r="429" hidden="1">
      <c r="A429" s="43" t="str">
        <f>IFERROR(__xludf.DUMMYFUNCTION("""COMPUTED_VALUE"""),"5218505_1293112")</f>
        <v>5218505_1293112</v>
      </c>
      <c r="B429" s="43" t="str">
        <f>IFERROR(__xludf.DUMMYFUNCTION("""COMPUTED_VALUE"""),"DUYGU KAYA")</f>
        <v>DUYGU KAYA</v>
      </c>
      <c r="C429" s="43" t="str">
        <f>IFERROR(__xludf.DUMMYFUNCTION("""COMPUTED_VALUE"""),"completed")</f>
        <v>completed</v>
      </c>
      <c r="D429" s="43" t="str">
        <f>IFERROR(__xludf.DUMMYFUNCTION("""COMPUTED_VALUE"""),"No")</f>
        <v>No</v>
      </c>
      <c r="E429" s="43" t="str">
        <f>IFERROR(__xludf.DUMMYFUNCTION("""COMPUTED_VALUE"""),"p_b8da58146b93330e46968dca09b87e033910c643@inbound.aiesec.org")</f>
        <v>p_b8da58146b93330e46968dca09b87e033910c643@inbound.aiesec.org</v>
      </c>
      <c r="F429" s="43"/>
      <c r="G429" s="43" t="str">
        <f>IFERROR(__xludf.DUMMYFUNCTION("""COMPUTED_VALUE"""),"Turkey")</f>
        <v>Turkey</v>
      </c>
      <c r="H429" s="43" t="str">
        <f>IFERROR(__xludf.DUMMYFUNCTION("""COMPUTED_VALUE"""),"ISTANBUL")</f>
        <v>ISTANBUL</v>
      </c>
      <c r="I429" s="43" t="str">
        <f>IFERROR(__xludf.DUMMYFUNCTION("""COMPUTED_VALUE"""),"India")</f>
        <v>India</v>
      </c>
      <c r="J429" s="43" t="str">
        <f>IFERROR(__xludf.DUMMYFUNCTION("""COMPUTED_VALUE"""),"JAIPUR ")</f>
        <v>JAIPUR </v>
      </c>
      <c r="K429" s="44" t="str">
        <f>IFERROR(__xludf.DUMMYFUNCTION("""COMPUTED_VALUE"""),"https://expa.aiesec.org/opportunities/1293112")</f>
        <v>https://expa.aiesec.org/opportunities/1293112</v>
      </c>
      <c r="L429" s="43" t="str">
        <f>IFERROR(__xludf.DUMMYFUNCTION("""COMPUTED_VALUE"""),"GV")</f>
        <v>GV</v>
      </c>
      <c r="M429" s="43" t="str">
        <f>IFERROR(__xludf.DUMMYFUNCTION("""COMPUTED_VALUE"""),"short")</f>
        <v>short</v>
      </c>
      <c r="N429" s="45">
        <f>IFERROR(__xludf.DUMMYFUNCTION("""COMPUTED_VALUE"""),45009.0)</f>
        <v>45009</v>
      </c>
      <c r="O429" s="45">
        <f>IFERROR(__xludf.DUMMYFUNCTION("""COMPUTED_VALUE"""),45109.0)</f>
        <v>45109</v>
      </c>
      <c r="P429" s="45">
        <f>IFERROR(__xludf.DUMMYFUNCTION("""COMPUTED_VALUE"""),45151.0)</f>
        <v>45151</v>
      </c>
      <c r="Q429" s="45">
        <f>IFERROR(__xludf.DUMMYFUNCTION("""COMPUTED_VALUE"""),45115.0)</f>
        <v>45115</v>
      </c>
      <c r="R429" s="45">
        <f>IFERROR(__xludf.DUMMYFUNCTION("""COMPUTED_VALUE"""),45155.0)</f>
        <v>45155</v>
      </c>
      <c r="S429" s="43"/>
      <c r="T429" s="43"/>
      <c r="U429" s="43" t="str">
        <f>IFERROR(__xludf.DUMMYFUNCTION("""COMPUTED_VALUE"""),"Explorer")</f>
        <v>Explorer</v>
      </c>
      <c r="V429" s="43" t="str">
        <f>IFERROR(__xludf.DUMMYFUNCTION("""COMPUTED_VALUE"""),"ISTANBUL - BEYOGLU")</f>
        <v>ISTANBUL - BEYOGLU</v>
      </c>
      <c r="W429" s="43" t="str">
        <f>IFERROR(__xludf.DUMMYFUNCTION("""COMPUTED_VALUE"""),"2023-03-16T13:48:12Z")</f>
        <v>2023-03-16T13:48:12Z</v>
      </c>
      <c r="X429" s="43"/>
      <c r="Y429" s="43"/>
      <c r="Z429" s="43"/>
    </row>
    <row r="430" hidden="1">
      <c r="A430" s="43" t="str">
        <f>IFERROR(__xludf.DUMMYFUNCTION("""COMPUTED_VALUE"""),"5081291_1289936")</f>
        <v>5081291_1289936</v>
      </c>
      <c r="B430" s="43" t="str">
        <f>IFERROR(__xludf.DUMMYFUNCTION("""COMPUTED_VALUE"""),"Oğuz Kaan İşleyen")</f>
        <v>Oğuz Kaan İşleyen</v>
      </c>
      <c r="C430" s="43" t="str">
        <f>IFERROR(__xludf.DUMMYFUNCTION("""COMPUTED_VALUE"""),"completed")</f>
        <v>completed</v>
      </c>
      <c r="D430" s="43" t="str">
        <f>IFERROR(__xludf.DUMMYFUNCTION("""COMPUTED_VALUE"""),"No")</f>
        <v>No</v>
      </c>
      <c r="E430" s="43" t="str">
        <f>IFERROR(__xludf.DUMMYFUNCTION("""COMPUTED_VALUE"""),"p_dbe48bc72a70cdc863bbf743f3b8a998ad6da37f@inbound.aiesec.org")</f>
        <v>p_dbe48bc72a70cdc863bbf743f3b8a998ad6da37f@inbound.aiesec.org</v>
      </c>
      <c r="F430" s="43"/>
      <c r="G430" s="43" t="str">
        <f>IFERROR(__xludf.DUMMYFUNCTION("""COMPUTED_VALUE"""),"Turkey")</f>
        <v>Turkey</v>
      </c>
      <c r="H430" s="43" t="str">
        <f>IFERROR(__xludf.DUMMYFUNCTION("""COMPUTED_VALUE"""),"ISTANBUL")</f>
        <v>ISTANBUL</v>
      </c>
      <c r="I430" s="43" t="str">
        <f>IFERROR(__xludf.DUMMYFUNCTION("""COMPUTED_VALUE"""),"India")</f>
        <v>India</v>
      </c>
      <c r="J430" s="43" t="str">
        <f>IFERROR(__xludf.DUMMYFUNCTION("""COMPUTED_VALUE"""),"Dehradun")</f>
        <v>Dehradun</v>
      </c>
      <c r="K430" s="44" t="str">
        <f>IFERROR(__xludf.DUMMYFUNCTION("""COMPUTED_VALUE"""),"https://expa.aiesec.org/opportunities/1289936")</f>
        <v>https://expa.aiesec.org/opportunities/1289936</v>
      </c>
      <c r="L430" s="43" t="str">
        <f>IFERROR(__xludf.DUMMYFUNCTION("""COMPUTED_VALUE"""),"GV")</f>
        <v>GV</v>
      </c>
      <c r="M430" s="43" t="str">
        <f>IFERROR(__xludf.DUMMYFUNCTION("""COMPUTED_VALUE"""),"short")</f>
        <v>short</v>
      </c>
      <c r="N430" s="45">
        <f>IFERROR(__xludf.DUMMYFUNCTION("""COMPUTED_VALUE"""),45009.0)</f>
        <v>45009</v>
      </c>
      <c r="O430" s="45">
        <f>IFERROR(__xludf.DUMMYFUNCTION("""COMPUTED_VALUE"""),45122.0)</f>
        <v>45122</v>
      </c>
      <c r="P430" s="45">
        <f>IFERROR(__xludf.DUMMYFUNCTION("""COMPUTED_VALUE"""),45164.0)</f>
        <v>45164</v>
      </c>
      <c r="Q430" s="45">
        <f>IFERROR(__xludf.DUMMYFUNCTION("""COMPUTED_VALUE"""),45121.0)</f>
        <v>45121</v>
      </c>
      <c r="R430" s="45">
        <f>IFERROR(__xludf.DUMMYFUNCTION("""COMPUTED_VALUE"""),45164.0)</f>
        <v>45164</v>
      </c>
      <c r="S430" s="43"/>
      <c r="T430" s="43"/>
      <c r="U430" s="43" t="str">
        <f>IFERROR(__xludf.DUMMYFUNCTION("""COMPUTED_VALUE"""),"Global Classroom")</f>
        <v>Global Classroom</v>
      </c>
      <c r="V430" s="43" t="str">
        <f>IFERROR(__xludf.DUMMYFUNCTION("""COMPUTED_VALUE"""),"-")</f>
        <v>-</v>
      </c>
      <c r="W430" s="43" t="str">
        <f>IFERROR(__xludf.DUMMYFUNCTION("""COMPUTED_VALUE"""),"2022-07-10T01:14:37Z")</f>
        <v>2022-07-10T01:14:37Z</v>
      </c>
      <c r="X430" s="43"/>
      <c r="Y430" s="43"/>
      <c r="Z430" s="43"/>
    </row>
    <row r="431" hidden="1">
      <c r="A431" s="43" t="str">
        <f>IFERROR(__xludf.DUMMYFUNCTION("""COMPUTED_VALUE"""),"5221821_1290024")</f>
        <v>5221821_1290024</v>
      </c>
      <c r="B431" s="43" t="str">
        <f>IFERROR(__xludf.DUMMYFUNCTION("""COMPUTED_VALUE"""),"Çağrı Çınar")</f>
        <v>Çağrı Çınar</v>
      </c>
      <c r="C431" s="43" t="str">
        <f>IFERROR(__xludf.DUMMYFUNCTION("""COMPUTED_VALUE"""),"completed")</f>
        <v>completed</v>
      </c>
      <c r="D431" s="43" t="str">
        <f>IFERROR(__xludf.DUMMYFUNCTION("""COMPUTED_VALUE"""),"No")</f>
        <v>No</v>
      </c>
      <c r="E431" s="43" t="str">
        <f>IFERROR(__xludf.DUMMYFUNCTION("""COMPUTED_VALUE"""),"p_6aaddf7bebd13d607e17d675ac44475b90045e2e@inbound.aiesec.org")</f>
        <v>p_6aaddf7bebd13d607e17d675ac44475b90045e2e@inbound.aiesec.org</v>
      </c>
      <c r="F431" s="43"/>
      <c r="G431" s="43" t="str">
        <f>IFERROR(__xludf.DUMMYFUNCTION("""COMPUTED_VALUE"""),"Turkey")</f>
        <v>Turkey</v>
      </c>
      <c r="H431" s="43" t="str">
        <f>IFERROR(__xludf.DUMMYFUNCTION("""COMPUTED_VALUE"""),"ESKISEHIR")</f>
        <v>ESKISEHIR</v>
      </c>
      <c r="I431" s="43" t="str">
        <f>IFERROR(__xludf.DUMMYFUNCTION("""COMPUTED_VALUE"""),"Egypt")</f>
        <v>Egypt</v>
      </c>
      <c r="J431" s="43" t="str">
        <f>IFERROR(__xludf.DUMMYFUNCTION("""COMPUTED_VALUE"""),"Ain Shams University")</f>
        <v>Ain Shams University</v>
      </c>
      <c r="K431" s="44" t="str">
        <f>IFERROR(__xludf.DUMMYFUNCTION("""COMPUTED_VALUE"""),"https://expa.aiesec.org/opportunities/1290024")</f>
        <v>https://expa.aiesec.org/opportunities/1290024</v>
      </c>
      <c r="L431" s="43" t="str">
        <f>IFERROR(__xludf.DUMMYFUNCTION("""COMPUTED_VALUE"""),"GV")</f>
        <v>GV</v>
      </c>
      <c r="M431" s="43" t="str">
        <f>IFERROR(__xludf.DUMMYFUNCTION("""COMPUTED_VALUE"""),"short")</f>
        <v>short</v>
      </c>
      <c r="N431" s="45">
        <f>IFERROR(__xludf.DUMMYFUNCTION("""COMPUTED_VALUE"""),45009.0)</f>
        <v>45009</v>
      </c>
      <c r="O431" s="45">
        <f>IFERROR(__xludf.DUMMYFUNCTION("""COMPUTED_VALUE"""),45108.0)</f>
        <v>45108</v>
      </c>
      <c r="P431" s="45">
        <f>IFERROR(__xludf.DUMMYFUNCTION("""COMPUTED_VALUE"""),45150.0)</f>
        <v>45150</v>
      </c>
      <c r="Q431" s="45">
        <f>IFERROR(__xludf.DUMMYFUNCTION("""COMPUTED_VALUE"""),45108.0)</f>
        <v>45108</v>
      </c>
      <c r="R431" s="45">
        <f>IFERROR(__xludf.DUMMYFUNCTION("""COMPUTED_VALUE"""),45153.0)</f>
        <v>45153</v>
      </c>
      <c r="S431" s="43"/>
      <c r="T431" s="43"/>
      <c r="U431" s="43" t="str">
        <f>IFERROR(__xludf.DUMMYFUNCTION("""COMPUTED_VALUE"""),"On The Map")</f>
        <v>On The Map</v>
      </c>
      <c r="V431" s="43" t="str">
        <f>IFERROR(__xludf.DUMMYFUNCTION("""COMPUTED_VALUE"""),"BILECIK")</f>
        <v>BILECIK</v>
      </c>
      <c r="W431" s="43" t="str">
        <f>IFERROR(__xludf.DUMMYFUNCTION("""COMPUTED_VALUE"""),"2023-03-20T15:40:49Z")</f>
        <v>2023-03-20T15:40:49Z</v>
      </c>
      <c r="X431" s="43"/>
      <c r="Y431" s="43"/>
      <c r="Z431" s="43"/>
    </row>
    <row r="432" hidden="1">
      <c r="A432" s="43" t="str">
        <f>IFERROR(__xludf.DUMMYFUNCTION("""COMPUTED_VALUE"""),"4202139_1293203")</f>
        <v>4202139_1293203</v>
      </c>
      <c r="B432" s="43" t="str">
        <f>IFERROR(__xludf.DUMMYFUNCTION("""COMPUTED_VALUE"""),"Şükran Eylül İleri")</f>
        <v>Şükran Eylül İleri</v>
      </c>
      <c r="C432" s="43" t="str">
        <f>IFERROR(__xludf.DUMMYFUNCTION("""COMPUTED_VALUE"""),"completed")</f>
        <v>completed</v>
      </c>
      <c r="D432" s="43" t="str">
        <f>IFERROR(__xludf.DUMMYFUNCTION("""COMPUTED_VALUE"""),"No")</f>
        <v>No</v>
      </c>
      <c r="E432" s="43" t="str">
        <f>IFERROR(__xludf.DUMMYFUNCTION("""COMPUTED_VALUE"""),"p_ae7a9cda5719a262626cbe2f083944df08a2efda@inbound.aiesec.org")</f>
        <v>p_ae7a9cda5719a262626cbe2f083944df08a2efda@inbound.aiesec.org</v>
      </c>
      <c r="F432" s="43">
        <f>IFERROR(__xludf.DUMMYFUNCTION("""COMPUTED_VALUE"""),5.439629982E9)</f>
        <v>5439629982</v>
      </c>
      <c r="G432" s="43" t="str">
        <f>IFERROR(__xludf.DUMMYFUNCTION("""COMPUTED_VALUE"""),"Turkey")</f>
        <v>Turkey</v>
      </c>
      <c r="H432" s="43" t="str">
        <f>IFERROR(__xludf.DUMMYFUNCTION("""COMPUTED_VALUE"""),"ANKARA")</f>
        <v>ANKARA</v>
      </c>
      <c r="I432" s="43" t="str">
        <f>IFERROR(__xludf.DUMMYFUNCTION("""COMPUTED_VALUE"""),"Romania")</f>
        <v>Romania</v>
      </c>
      <c r="J432" s="43" t="str">
        <f>IFERROR(__xludf.DUMMYFUNCTION("""COMPUTED_VALUE"""),"BUCURESTI")</f>
        <v>BUCURESTI</v>
      </c>
      <c r="K432" s="44" t="str">
        <f>IFERROR(__xludf.DUMMYFUNCTION("""COMPUTED_VALUE"""),"https://expa.aiesec.org/opportunities/1293203")</f>
        <v>https://expa.aiesec.org/opportunities/1293203</v>
      </c>
      <c r="L432" s="43" t="str">
        <f>IFERROR(__xludf.DUMMYFUNCTION("""COMPUTED_VALUE"""),"GV")</f>
        <v>GV</v>
      </c>
      <c r="M432" s="43" t="str">
        <f>IFERROR(__xludf.DUMMYFUNCTION("""COMPUTED_VALUE"""),"short")</f>
        <v>short</v>
      </c>
      <c r="N432" s="45">
        <f>IFERROR(__xludf.DUMMYFUNCTION("""COMPUTED_VALUE"""),45009.0)</f>
        <v>45009</v>
      </c>
      <c r="O432" s="45">
        <f>IFERROR(__xludf.DUMMYFUNCTION("""COMPUTED_VALUE"""),45096.0)</f>
        <v>45096</v>
      </c>
      <c r="P432" s="45">
        <f>IFERROR(__xludf.DUMMYFUNCTION("""COMPUTED_VALUE"""),45138.0)</f>
        <v>45138</v>
      </c>
      <c r="Q432" s="45">
        <f>IFERROR(__xludf.DUMMYFUNCTION("""COMPUTED_VALUE"""),45096.0)</f>
        <v>45096</v>
      </c>
      <c r="R432" s="45">
        <f>IFERROR(__xludf.DUMMYFUNCTION("""COMPUTED_VALUE"""),45138.0)</f>
        <v>45138</v>
      </c>
      <c r="S432" s="43"/>
      <c r="T432" s="43"/>
      <c r="U432" s="43" t="str">
        <f>IFERROR(__xludf.DUMMYFUNCTION("""COMPUTED_VALUE"""),"Rooted")</f>
        <v>Rooted</v>
      </c>
      <c r="V432" s="43" t="str">
        <f>IFERROR(__xludf.DUMMYFUNCTION("""COMPUTED_VALUE"""),"ANKARA")</f>
        <v>ANKARA</v>
      </c>
      <c r="W432" s="43" t="str">
        <f>IFERROR(__xludf.DUMMYFUNCTION("""COMPUTED_VALUE"""),"2020-02-20T16:40:22Z")</f>
        <v>2020-02-20T16:40:22Z</v>
      </c>
      <c r="X432" s="43"/>
      <c r="Y432" s="43"/>
      <c r="Z432" s="43"/>
    </row>
    <row r="433" hidden="1">
      <c r="A433" s="43" t="str">
        <f>IFERROR(__xludf.DUMMYFUNCTION("""COMPUTED_VALUE"""),"5195479_1292847")</f>
        <v>5195479_1292847</v>
      </c>
      <c r="B433" s="43" t="str">
        <f>IFERROR(__xludf.DUMMYFUNCTION("""COMPUTED_VALUE"""),"Sıla Bagalalı")</f>
        <v>Sıla Bagalalı</v>
      </c>
      <c r="C433" s="43" t="str">
        <f>IFERROR(__xludf.DUMMYFUNCTION("""COMPUTED_VALUE"""),"completed")</f>
        <v>completed</v>
      </c>
      <c r="D433" s="43" t="str">
        <f>IFERROR(__xludf.DUMMYFUNCTION("""COMPUTED_VALUE"""),"No")</f>
        <v>No</v>
      </c>
      <c r="E433" s="43" t="str">
        <f>IFERROR(__xludf.DUMMYFUNCTION("""COMPUTED_VALUE"""),"p_254872e0210ccc59925d356775d7958b252f6155@inbound.aiesec.org")</f>
        <v>p_254872e0210ccc59925d356775d7958b252f6155@inbound.aiesec.org</v>
      </c>
      <c r="F433" s="43">
        <f>IFERROR(__xludf.DUMMYFUNCTION("""COMPUTED_VALUE"""),5.373013939E9)</f>
        <v>5373013939</v>
      </c>
      <c r="G433" s="43" t="str">
        <f>IFERROR(__xludf.DUMMYFUNCTION("""COMPUTED_VALUE"""),"Turkey")</f>
        <v>Turkey</v>
      </c>
      <c r="H433" s="43" t="str">
        <f>IFERROR(__xludf.DUMMYFUNCTION("""COMPUTED_VALUE"""),"İZMİR")</f>
        <v>İZMİR</v>
      </c>
      <c r="I433" s="43" t="str">
        <f>IFERROR(__xludf.DUMMYFUNCTION("""COMPUTED_VALUE"""),"Italy")</f>
        <v>Italy</v>
      </c>
      <c r="J433" s="43" t="str">
        <f>IFERROR(__xludf.DUMMYFUNCTION("""COMPUTED_VALUE"""),"Bologna")</f>
        <v>Bologna</v>
      </c>
      <c r="K433" s="44" t="str">
        <f>IFERROR(__xludf.DUMMYFUNCTION("""COMPUTED_VALUE"""),"https://expa.aiesec.org/opportunities/1292847")</f>
        <v>https://expa.aiesec.org/opportunities/1292847</v>
      </c>
      <c r="L433" s="43" t="str">
        <f>IFERROR(__xludf.DUMMYFUNCTION("""COMPUTED_VALUE"""),"GV")</f>
        <v>GV</v>
      </c>
      <c r="M433" s="43" t="str">
        <f>IFERROR(__xludf.DUMMYFUNCTION("""COMPUTED_VALUE"""),"short")</f>
        <v>short</v>
      </c>
      <c r="N433" s="45">
        <f>IFERROR(__xludf.DUMMYFUNCTION("""COMPUTED_VALUE"""),45010.0)</f>
        <v>45010</v>
      </c>
      <c r="O433" s="45">
        <f>IFERROR(__xludf.DUMMYFUNCTION("""COMPUTED_VALUE"""),45028.0)</f>
        <v>45028</v>
      </c>
      <c r="P433" s="45">
        <f>IFERROR(__xludf.DUMMYFUNCTION("""COMPUTED_VALUE"""),45070.0)</f>
        <v>45070</v>
      </c>
      <c r="Q433" s="45">
        <f>IFERROR(__xludf.DUMMYFUNCTION("""COMPUTED_VALUE"""),45028.0)</f>
        <v>45028</v>
      </c>
      <c r="R433" s="45">
        <f>IFERROR(__xludf.DUMMYFUNCTION("""COMPUTED_VALUE"""),45070.0)</f>
        <v>45070</v>
      </c>
      <c r="S433" s="43"/>
      <c r="T433" s="43"/>
      <c r="U433" s="43" t="str">
        <f>IFERROR(__xludf.DUMMYFUNCTION("""COMPUTED_VALUE"""),"Raise Your Voice")</f>
        <v>Raise Your Voice</v>
      </c>
      <c r="V433" s="43" t="str">
        <f>IFERROR(__xludf.DUMMYFUNCTION("""COMPUTED_VALUE"""),"MANISA")</f>
        <v>MANISA</v>
      </c>
      <c r="W433" s="43" t="str">
        <f>IFERROR(__xludf.DUMMYFUNCTION("""COMPUTED_VALUE"""),"2023-02-20T19:52:41Z")</f>
        <v>2023-02-20T19:52:41Z</v>
      </c>
      <c r="X433" s="43"/>
      <c r="Y433" s="43"/>
      <c r="Z433" s="43"/>
    </row>
    <row r="434" hidden="1">
      <c r="A434" s="43" t="str">
        <f>IFERROR(__xludf.DUMMYFUNCTION("""COMPUTED_VALUE"""),"5215634_1290282")</f>
        <v>5215634_1290282</v>
      </c>
      <c r="B434" s="43" t="str">
        <f>IFERROR(__xludf.DUMMYFUNCTION("""COMPUTED_VALUE"""),"ilayda Tosun")</f>
        <v>ilayda Tosun</v>
      </c>
      <c r="C434" s="43" t="str">
        <f>IFERROR(__xludf.DUMMYFUNCTION("""COMPUTED_VALUE"""),"completed")</f>
        <v>completed</v>
      </c>
      <c r="D434" s="43" t="str">
        <f>IFERROR(__xludf.DUMMYFUNCTION("""COMPUTED_VALUE"""),"No")</f>
        <v>No</v>
      </c>
      <c r="E434" s="43" t="str">
        <f>IFERROR(__xludf.DUMMYFUNCTION("""COMPUTED_VALUE"""),"p_b09bdbade1ada982620c74ecdd1174b53fa3a6b0@inbound.aiesec.org")</f>
        <v>p_b09bdbade1ada982620c74ecdd1174b53fa3a6b0@inbound.aiesec.org</v>
      </c>
      <c r="F434" s="43">
        <f>IFERROR(__xludf.DUMMYFUNCTION("""COMPUTED_VALUE"""),5.058687086E9)</f>
        <v>5058687086</v>
      </c>
      <c r="G434" s="43" t="str">
        <f>IFERROR(__xludf.DUMMYFUNCTION("""COMPUTED_VALUE"""),"Turkey")</f>
        <v>Turkey</v>
      </c>
      <c r="H434" s="43" t="str">
        <f>IFERROR(__xludf.DUMMYFUNCTION("""COMPUTED_VALUE"""),"ISTANBUL")</f>
        <v>ISTANBUL</v>
      </c>
      <c r="I434" s="43" t="str">
        <f>IFERROR(__xludf.DUMMYFUNCTION("""COMPUTED_VALUE"""),"Egypt")</f>
        <v>Egypt</v>
      </c>
      <c r="J434" s="43" t="str">
        <f>IFERROR(__xludf.DUMMYFUNCTION("""COMPUTED_VALUE"""),"GUC")</f>
        <v>GUC</v>
      </c>
      <c r="K434" s="44" t="str">
        <f>IFERROR(__xludf.DUMMYFUNCTION("""COMPUTED_VALUE"""),"https://expa.aiesec.org/opportunities/1290282")</f>
        <v>https://expa.aiesec.org/opportunities/1290282</v>
      </c>
      <c r="L434" s="43" t="str">
        <f>IFERROR(__xludf.DUMMYFUNCTION("""COMPUTED_VALUE"""),"GV")</f>
        <v>GV</v>
      </c>
      <c r="M434" s="43" t="str">
        <f>IFERROR(__xludf.DUMMYFUNCTION("""COMPUTED_VALUE"""),"short")</f>
        <v>short</v>
      </c>
      <c r="N434" s="45">
        <f>IFERROR(__xludf.DUMMYFUNCTION("""COMPUTED_VALUE"""),45012.0)</f>
        <v>45012</v>
      </c>
      <c r="O434" s="45">
        <f>IFERROR(__xludf.DUMMYFUNCTION("""COMPUTED_VALUE"""),45122.0)</f>
        <v>45122</v>
      </c>
      <c r="P434" s="45">
        <f>IFERROR(__xludf.DUMMYFUNCTION("""COMPUTED_VALUE"""),45164.0)</f>
        <v>45164</v>
      </c>
      <c r="Q434" s="45">
        <f>IFERROR(__xludf.DUMMYFUNCTION("""COMPUTED_VALUE"""),45123.0)</f>
        <v>45123</v>
      </c>
      <c r="R434" s="45">
        <f>IFERROR(__xludf.DUMMYFUNCTION("""COMPUTED_VALUE"""),45164.0)</f>
        <v>45164</v>
      </c>
      <c r="S434" s="43"/>
      <c r="T434" s="43"/>
      <c r="U434" s="43" t="str">
        <f>IFERROR(__xludf.DUMMYFUNCTION("""COMPUTED_VALUE"""),"On The Map")</f>
        <v>On The Map</v>
      </c>
      <c r="V434" s="43" t="str">
        <f>IFERROR(__xludf.DUMMYFUNCTION("""COMPUTED_VALUE"""),"ISTANBUL - BEYOGLU")</f>
        <v>ISTANBUL - BEYOGLU</v>
      </c>
      <c r="W434" s="43" t="str">
        <f>IFERROR(__xludf.DUMMYFUNCTION("""COMPUTED_VALUE"""),"2023-03-14T11:28:36Z")</f>
        <v>2023-03-14T11:28:36Z</v>
      </c>
      <c r="X434" s="43"/>
      <c r="Y434" s="43"/>
      <c r="Z434" s="43"/>
    </row>
    <row r="435" hidden="1">
      <c r="A435" s="43" t="str">
        <f>IFERROR(__xludf.DUMMYFUNCTION("""COMPUTED_VALUE"""),"5220437_1290282")</f>
        <v>5220437_1290282</v>
      </c>
      <c r="B435" s="43" t="str">
        <f>IFERROR(__xludf.DUMMYFUNCTION("""COMPUTED_VALUE"""),"Sude Naz Yıldırım")</f>
        <v>Sude Naz Yıldırım</v>
      </c>
      <c r="C435" s="43" t="str">
        <f>IFERROR(__xludf.DUMMYFUNCTION("""COMPUTED_VALUE"""),"completed")</f>
        <v>completed</v>
      </c>
      <c r="D435" s="43" t="str">
        <f>IFERROR(__xludf.DUMMYFUNCTION("""COMPUTED_VALUE"""),"No")</f>
        <v>No</v>
      </c>
      <c r="E435" s="43" t="str">
        <f>IFERROR(__xludf.DUMMYFUNCTION("""COMPUTED_VALUE"""),"p_d5553af96a6aeffe97b4e3c599979a5c81dfb095@inbound.aiesec.org")</f>
        <v>p_d5553af96a6aeffe97b4e3c599979a5c81dfb095@inbound.aiesec.org</v>
      </c>
      <c r="F435" s="43">
        <f>IFERROR(__xludf.DUMMYFUNCTION("""COMPUTED_VALUE"""),5.434779859E9)</f>
        <v>5434779859</v>
      </c>
      <c r="G435" s="43" t="str">
        <f>IFERROR(__xludf.DUMMYFUNCTION("""COMPUTED_VALUE"""),"Turkey")</f>
        <v>Turkey</v>
      </c>
      <c r="H435" s="43" t="str">
        <f>IFERROR(__xludf.DUMMYFUNCTION("""COMPUTED_VALUE"""),"ISTANBUL")</f>
        <v>ISTANBUL</v>
      </c>
      <c r="I435" s="43" t="str">
        <f>IFERROR(__xludf.DUMMYFUNCTION("""COMPUTED_VALUE"""),"Egypt")</f>
        <v>Egypt</v>
      </c>
      <c r="J435" s="43" t="str">
        <f>IFERROR(__xludf.DUMMYFUNCTION("""COMPUTED_VALUE"""),"GUC")</f>
        <v>GUC</v>
      </c>
      <c r="K435" s="44" t="str">
        <f>IFERROR(__xludf.DUMMYFUNCTION("""COMPUTED_VALUE"""),"https://expa.aiesec.org/opportunities/1290282")</f>
        <v>https://expa.aiesec.org/opportunities/1290282</v>
      </c>
      <c r="L435" s="43" t="str">
        <f>IFERROR(__xludf.DUMMYFUNCTION("""COMPUTED_VALUE"""),"GV")</f>
        <v>GV</v>
      </c>
      <c r="M435" s="43" t="str">
        <f>IFERROR(__xludf.DUMMYFUNCTION("""COMPUTED_VALUE"""),"short")</f>
        <v>short</v>
      </c>
      <c r="N435" s="45">
        <f>IFERROR(__xludf.DUMMYFUNCTION("""COMPUTED_VALUE"""),45012.0)</f>
        <v>45012</v>
      </c>
      <c r="O435" s="45">
        <f>IFERROR(__xludf.DUMMYFUNCTION("""COMPUTED_VALUE"""),45122.0)</f>
        <v>45122</v>
      </c>
      <c r="P435" s="45">
        <f>IFERROR(__xludf.DUMMYFUNCTION("""COMPUTED_VALUE"""),45164.0)</f>
        <v>45164</v>
      </c>
      <c r="Q435" s="45">
        <f>IFERROR(__xludf.DUMMYFUNCTION("""COMPUTED_VALUE"""),45123.0)</f>
        <v>45123</v>
      </c>
      <c r="R435" s="45">
        <f>IFERROR(__xludf.DUMMYFUNCTION("""COMPUTED_VALUE"""),45164.0)</f>
        <v>45164</v>
      </c>
      <c r="S435" s="43"/>
      <c r="T435" s="43"/>
      <c r="U435" s="43" t="str">
        <f>IFERROR(__xludf.DUMMYFUNCTION("""COMPUTED_VALUE"""),"On The Map")</f>
        <v>On The Map</v>
      </c>
      <c r="V435" s="43" t="str">
        <f>IFERROR(__xludf.DUMMYFUNCTION("""COMPUTED_VALUE"""),"ISTANBUL - BEYOGLU")</f>
        <v>ISTANBUL - BEYOGLU</v>
      </c>
      <c r="W435" s="43" t="str">
        <f>IFERROR(__xludf.DUMMYFUNCTION("""COMPUTED_VALUE"""),"2023-03-18T15:48:50Z")</f>
        <v>2023-03-18T15:48:50Z</v>
      </c>
      <c r="X435" s="43"/>
      <c r="Y435" s="43"/>
      <c r="Z435" s="43"/>
    </row>
    <row r="436" hidden="1">
      <c r="A436" s="43" t="str">
        <f>IFERROR(__xludf.DUMMYFUNCTION("""COMPUTED_VALUE"""),"4431073_1286585")</f>
        <v>4431073_1286585</v>
      </c>
      <c r="B436" s="43" t="str">
        <f>IFERROR(__xludf.DUMMYFUNCTION("""COMPUTED_VALUE"""),"Ahmet Koçak")</f>
        <v>Ahmet Koçak</v>
      </c>
      <c r="C436" s="43" t="str">
        <f>IFERROR(__xludf.DUMMYFUNCTION("""COMPUTED_VALUE"""),"approved")</f>
        <v>approved</v>
      </c>
      <c r="D436" s="43" t="str">
        <f>IFERROR(__xludf.DUMMYFUNCTION("""COMPUTED_VALUE"""),"No")</f>
        <v>No</v>
      </c>
      <c r="E436" s="43" t="str">
        <f>IFERROR(__xludf.DUMMYFUNCTION("""COMPUTED_VALUE"""),"p_d99b9bd0e5cf5404d92091f72acf1b59b3487a83@inbound.aiesec.org")</f>
        <v>p_d99b9bd0e5cf5404d92091f72acf1b59b3487a83@inbound.aiesec.org</v>
      </c>
      <c r="F436" s="43">
        <f>IFERROR(__xludf.DUMMYFUNCTION("""COMPUTED_VALUE"""),5.455513406E9)</f>
        <v>5455513406</v>
      </c>
      <c r="G436" s="43" t="str">
        <f>IFERROR(__xludf.DUMMYFUNCTION("""COMPUTED_VALUE"""),"Turkey")</f>
        <v>Turkey</v>
      </c>
      <c r="H436" s="43" t="str">
        <f>IFERROR(__xludf.DUMMYFUNCTION("""COMPUTED_VALUE"""),"ISTANBUL")</f>
        <v>ISTANBUL</v>
      </c>
      <c r="I436" s="43" t="str">
        <f>IFERROR(__xludf.DUMMYFUNCTION("""COMPUTED_VALUE"""),"Sri Lanka")</f>
        <v>Sri Lanka</v>
      </c>
      <c r="J436" s="43" t="str">
        <f>IFERROR(__xludf.DUMMYFUNCTION("""COMPUTED_VALUE"""),"COLOMBO NORTH")</f>
        <v>COLOMBO NORTH</v>
      </c>
      <c r="K436" s="44" t="str">
        <f>IFERROR(__xludf.DUMMYFUNCTION("""COMPUTED_VALUE"""),"https://expa.aiesec.org/opportunities/1286585")</f>
        <v>https://expa.aiesec.org/opportunities/1286585</v>
      </c>
      <c r="L436" s="43" t="str">
        <f>IFERROR(__xludf.DUMMYFUNCTION("""COMPUTED_VALUE"""),"GV")</f>
        <v>GV</v>
      </c>
      <c r="M436" s="43" t="str">
        <f>IFERROR(__xludf.DUMMYFUNCTION("""COMPUTED_VALUE"""),"short")</f>
        <v>short</v>
      </c>
      <c r="N436" s="45">
        <f>IFERROR(__xludf.DUMMYFUNCTION("""COMPUTED_VALUE"""),45012.0)</f>
        <v>45012</v>
      </c>
      <c r="O436" s="45">
        <f>IFERROR(__xludf.DUMMYFUNCTION("""COMPUTED_VALUE"""),45192.0)</f>
        <v>45192</v>
      </c>
      <c r="P436" s="45">
        <f>IFERROR(__xludf.DUMMYFUNCTION("""COMPUTED_VALUE"""),45234.0)</f>
        <v>45234</v>
      </c>
      <c r="Q436" s="45"/>
      <c r="R436" s="45"/>
      <c r="S436" s="43"/>
      <c r="T436" s="43"/>
      <c r="U436" s="43" t="str">
        <f>IFERROR(__xludf.DUMMYFUNCTION("""COMPUTED_VALUE"""),"On The Map")</f>
        <v>On The Map</v>
      </c>
      <c r="V436" s="43" t="str">
        <f>IFERROR(__xludf.DUMMYFUNCTION("""COMPUTED_VALUE"""),"ISTANBUL - BEYOGLU")</f>
        <v>ISTANBUL - BEYOGLU</v>
      </c>
      <c r="W436" s="43" t="str">
        <f>IFERROR(__xludf.DUMMYFUNCTION("""COMPUTED_VALUE"""),"2020-11-20T22:03:36Z")</f>
        <v>2020-11-20T22:03:36Z</v>
      </c>
      <c r="X436" s="43"/>
      <c r="Y436" s="43"/>
      <c r="Z436" s="43"/>
    </row>
    <row r="437" hidden="1">
      <c r="A437" s="43" t="str">
        <f>IFERROR(__xludf.DUMMYFUNCTION("""COMPUTED_VALUE"""),"5224861_1288414")</f>
        <v>5224861_1288414</v>
      </c>
      <c r="B437" s="43" t="str">
        <f>IFERROR(__xludf.DUMMYFUNCTION("""COMPUTED_VALUE"""),"Zeynep Uğurlu")</f>
        <v>Zeynep Uğurlu</v>
      </c>
      <c r="C437" s="43" t="str">
        <f>IFERROR(__xludf.DUMMYFUNCTION("""COMPUTED_VALUE"""),"completed")</f>
        <v>completed</v>
      </c>
      <c r="D437" s="43" t="str">
        <f>IFERROR(__xludf.DUMMYFUNCTION("""COMPUTED_VALUE"""),"No")</f>
        <v>No</v>
      </c>
      <c r="E437" s="43" t="str">
        <f>IFERROR(__xludf.DUMMYFUNCTION("""COMPUTED_VALUE"""),"p_75ee80b744cb505d49be8a3a33f5a87a25bd4624@inbound.aiesec.org")</f>
        <v>p_75ee80b744cb505d49be8a3a33f5a87a25bd4624@inbound.aiesec.org</v>
      </c>
      <c r="F437" s="43"/>
      <c r="G437" s="43" t="str">
        <f>IFERROR(__xludf.DUMMYFUNCTION("""COMPUTED_VALUE"""),"Turkey")</f>
        <v>Turkey</v>
      </c>
      <c r="H437" s="43" t="str">
        <f>IFERROR(__xludf.DUMMYFUNCTION("""COMPUTED_VALUE"""),"KOCAELI")</f>
        <v>KOCAELI</v>
      </c>
      <c r="I437" s="43" t="str">
        <f>IFERROR(__xludf.DUMMYFUNCTION("""COMPUTED_VALUE"""),"India")</f>
        <v>India</v>
      </c>
      <c r="J437" s="43" t="str">
        <f>IFERROR(__xludf.DUMMYFUNCTION("""COMPUTED_VALUE"""),"JAIPUR ")</f>
        <v>JAIPUR </v>
      </c>
      <c r="K437" s="44" t="str">
        <f>IFERROR(__xludf.DUMMYFUNCTION("""COMPUTED_VALUE"""),"https://expa.aiesec.org/opportunities/1288414")</f>
        <v>https://expa.aiesec.org/opportunities/1288414</v>
      </c>
      <c r="L437" s="43" t="str">
        <f>IFERROR(__xludf.DUMMYFUNCTION("""COMPUTED_VALUE"""),"GV")</f>
        <v>GV</v>
      </c>
      <c r="M437" s="43" t="str">
        <f>IFERROR(__xludf.DUMMYFUNCTION("""COMPUTED_VALUE"""),"short")</f>
        <v>short</v>
      </c>
      <c r="N437" s="45">
        <f>IFERROR(__xludf.DUMMYFUNCTION("""COMPUTED_VALUE"""),45012.0)</f>
        <v>45012</v>
      </c>
      <c r="O437" s="45">
        <f>IFERROR(__xludf.DUMMYFUNCTION("""COMPUTED_VALUE"""),45143.0)</f>
        <v>45143</v>
      </c>
      <c r="P437" s="45">
        <f>IFERROR(__xludf.DUMMYFUNCTION("""COMPUTED_VALUE"""),45185.0)</f>
        <v>45185</v>
      </c>
      <c r="Q437" s="45">
        <f>IFERROR(__xludf.DUMMYFUNCTION("""COMPUTED_VALUE"""),45143.0)</f>
        <v>45143</v>
      </c>
      <c r="R437" s="45">
        <f>IFERROR(__xludf.DUMMYFUNCTION("""COMPUTED_VALUE"""),45185.0)</f>
        <v>45185</v>
      </c>
      <c r="S437" s="43"/>
      <c r="T437" s="43"/>
      <c r="U437" s="43" t="str">
        <f>IFERROR(__xludf.DUMMYFUNCTION("""COMPUTED_VALUE"""),"Skill Up!")</f>
        <v>Skill Up!</v>
      </c>
      <c r="V437" s="43" t="str">
        <f>IFERROR(__xludf.DUMMYFUNCTION("""COMPUTED_VALUE"""),"-")</f>
        <v>-</v>
      </c>
      <c r="W437" s="43" t="str">
        <f>IFERROR(__xludf.DUMMYFUNCTION("""COMPUTED_VALUE"""),"2023-03-23T12:46:44Z")</f>
        <v>2023-03-23T12:46:44Z</v>
      </c>
      <c r="X437" s="43"/>
      <c r="Y437" s="43"/>
      <c r="Z437" s="43"/>
    </row>
    <row r="438" hidden="1">
      <c r="A438" s="43" t="str">
        <f>IFERROR(__xludf.DUMMYFUNCTION("""COMPUTED_VALUE"""),"5112608_1293333")</f>
        <v>5112608_1293333</v>
      </c>
      <c r="B438" s="43" t="str">
        <f>IFERROR(__xludf.DUMMYFUNCTION("""COMPUTED_VALUE"""),"Ezo Kar")</f>
        <v>Ezo Kar</v>
      </c>
      <c r="C438" s="43" t="str">
        <f>IFERROR(__xludf.DUMMYFUNCTION("""COMPUTED_VALUE"""),"completed")</f>
        <v>completed</v>
      </c>
      <c r="D438" s="43" t="str">
        <f>IFERROR(__xludf.DUMMYFUNCTION("""COMPUTED_VALUE"""),"No")</f>
        <v>No</v>
      </c>
      <c r="E438" s="43" t="str">
        <f>IFERROR(__xludf.DUMMYFUNCTION("""COMPUTED_VALUE"""),"p_99cbb30afd04561705794864041e7f584371c5a3@inbound.aiesec.org")</f>
        <v>p_99cbb30afd04561705794864041e7f584371c5a3@inbound.aiesec.org</v>
      </c>
      <c r="F438" s="43"/>
      <c r="G438" s="43" t="str">
        <f>IFERROR(__xludf.DUMMYFUNCTION("""COMPUTED_VALUE"""),"Turkey")</f>
        <v>Turkey</v>
      </c>
      <c r="H438" s="43" t="str">
        <f>IFERROR(__xludf.DUMMYFUNCTION("""COMPUTED_VALUE"""),"KOCAELI")</f>
        <v>KOCAELI</v>
      </c>
      <c r="I438" s="43" t="str">
        <f>IFERROR(__xludf.DUMMYFUNCTION("""COMPUTED_VALUE"""),"Poland")</f>
        <v>Poland</v>
      </c>
      <c r="J438" s="43" t="str">
        <f>IFERROR(__xludf.DUMMYFUNCTION("""COMPUTED_VALUE"""),"WARSZAWA SGH")</f>
        <v>WARSZAWA SGH</v>
      </c>
      <c r="K438" s="44" t="str">
        <f>IFERROR(__xludf.DUMMYFUNCTION("""COMPUTED_VALUE"""),"https://expa.aiesec.org/opportunities/1293333")</f>
        <v>https://expa.aiesec.org/opportunities/1293333</v>
      </c>
      <c r="L438" s="43" t="str">
        <f>IFERROR(__xludf.DUMMYFUNCTION("""COMPUTED_VALUE"""),"GV")</f>
        <v>GV</v>
      </c>
      <c r="M438" s="43" t="str">
        <f>IFERROR(__xludf.DUMMYFUNCTION("""COMPUTED_VALUE"""),"short")</f>
        <v>short</v>
      </c>
      <c r="N438" s="45">
        <f>IFERROR(__xludf.DUMMYFUNCTION("""COMPUTED_VALUE"""),45012.0)</f>
        <v>45012</v>
      </c>
      <c r="O438" s="45">
        <f>IFERROR(__xludf.DUMMYFUNCTION("""COMPUTED_VALUE"""),45123.0)</f>
        <v>45123</v>
      </c>
      <c r="P438" s="45">
        <f>IFERROR(__xludf.DUMMYFUNCTION("""COMPUTED_VALUE"""),45165.0)</f>
        <v>45165</v>
      </c>
      <c r="Q438" s="45">
        <f>IFERROR(__xludf.DUMMYFUNCTION("""COMPUTED_VALUE"""),45123.0)</f>
        <v>45123</v>
      </c>
      <c r="R438" s="45">
        <f>IFERROR(__xludf.DUMMYFUNCTION("""COMPUTED_VALUE"""),45165.0)</f>
        <v>45165</v>
      </c>
      <c r="S438" s="43"/>
      <c r="T438" s="43"/>
      <c r="U438" s="43" t="str">
        <f>IFERROR(__xludf.DUMMYFUNCTION("""COMPUTED_VALUE"""),"Global Classroom")</f>
        <v>Global Classroom</v>
      </c>
      <c r="V438" s="43" t="str">
        <f>IFERROR(__xludf.DUMMYFUNCTION("""COMPUTED_VALUE"""),"-")</f>
        <v>-</v>
      </c>
      <c r="W438" s="43" t="str">
        <f>IFERROR(__xludf.DUMMYFUNCTION("""COMPUTED_VALUE"""),"2022-09-14T20:52:51Z")</f>
        <v>2022-09-14T20:52:51Z</v>
      </c>
      <c r="X438" s="43"/>
      <c r="Y438" s="43"/>
      <c r="Z438" s="43"/>
    </row>
    <row r="439" hidden="1">
      <c r="A439" s="43" t="str">
        <f>IFERROR(__xludf.DUMMYFUNCTION("""COMPUTED_VALUE"""),"5178855_1293586")</f>
        <v>5178855_1293586</v>
      </c>
      <c r="B439" s="43" t="str">
        <f>IFERROR(__xludf.DUMMYFUNCTION("""COMPUTED_VALUE"""),"Ayşegül Ecer")</f>
        <v>Ayşegül Ecer</v>
      </c>
      <c r="C439" s="43" t="str">
        <f>IFERROR(__xludf.DUMMYFUNCTION("""COMPUTED_VALUE"""),"approved")</f>
        <v>approved</v>
      </c>
      <c r="D439" s="43" t="str">
        <f>IFERROR(__xludf.DUMMYFUNCTION("""COMPUTED_VALUE"""),"No")</f>
        <v>No</v>
      </c>
      <c r="E439" s="43" t="str">
        <f>IFERROR(__xludf.DUMMYFUNCTION("""COMPUTED_VALUE"""),"p_0b95870163de77a9499b8e843350eddfb84ecc87@inbound.aiesec.org")</f>
        <v>p_0b95870163de77a9499b8e843350eddfb84ecc87@inbound.aiesec.org</v>
      </c>
      <c r="F439" s="43">
        <f>IFERROR(__xludf.DUMMYFUNCTION("""COMPUTED_VALUE"""),5.469731535E9)</f>
        <v>5469731535</v>
      </c>
      <c r="G439" s="43" t="str">
        <f>IFERROR(__xludf.DUMMYFUNCTION("""COMPUTED_VALUE"""),"Turkey")</f>
        <v>Turkey</v>
      </c>
      <c r="H439" s="43" t="str">
        <f>IFERROR(__xludf.DUMMYFUNCTION("""COMPUTED_VALUE"""),"DENIZLI")</f>
        <v>DENIZLI</v>
      </c>
      <c r="I439" s="43" t="str">
        <f>IFERROR(__xludf.DUMMYFUNCTION("""COMPUTED_VALUE"""),"Egypt")</f>
        <v>Egypt</v>
      </c>
      <c r="J439" s="43" t="str">
        <f>IFERROR(__xludf.DUMMYFUNCTION("""COMPUTED_VALUE"""),"MUST")</f>
        <v>MUST</v>
      </c>
      <c r="K439" s="44" t="str">
        <f>IFERROR(__xludf.DUMMYFUNCTION("""COMPUTED_VALUE"""),"https://expa.aiesec.org/opportunities/1293586")</f>
        <v>https://expa.aiesec.org/opportunities/1293586</v>
      </c>
      <c r="L439" s="43" t="str">
        <f>IFERROR(__xludf.DUMMYFUNCTION("""COMPUTED_VALUE"""),"GV")</f>
        <v>GV</v>
      </c>
      <c r="M439" s="43" t="str">
        <f>IFERROR(__xludf.DUMMYFUNCTION("""COMPUTED_VALUE"""),"short")</f>
        <v>short</v>
      </c>
      <c r="N439" s="45">
        <f>IFERROR(__xludf.DUMMYFUNCTION("""COMPUTED_VALUE"""),45013.0)</f>
        <v>45013</v>
      </c>
      <c r="O439" s="45">
        <f>IFERROR(__xludf.DUMMYFUNCTION("""COMPUTED_VALUE"""),45123.0)</f>
        <v>45123</v>
      </c>
      <c r="P439" s="45">
        <f>IFERROR(__xludf.DUMMYFUNCTION("""COMPUTED_VALUE"""),45167.0)</f>
        <v>45167</v>
      </c>
      <c r="Q439" s="45"/>
      <c r="R439" s="45"/>
      <c r="S439" s="43"/>
      <c r="T439" s="43"/>
      <c r="U439" s="43" t="str">
        <f>IFERROR(__xludf.DUMMYFUNCTION("""COMPUTED_VALUE"""),"Rooted")</f>
        <v>Rooted</v>
      </c>
      <c r="V439" s="43" t="str">
        <f>IFERROR(__xludf.DUMMYFUNCTION("""COMPUTED_VALUE"""),"MUGLA")</f>
        <v>MUGLA</v>
      </c>
      <c r="W439" s="43" t="str">
        <f>IFERROR(__xludf.DUMMYFUNCTION("""COMPUTED_VALUE"""),"2023-01-20T18:27:05Z")</f>
        <v>2023-01-20T18:27:05Z</v>
      </c>
      <c r="X439" s="43"/>
      <c r="Y439" s="43"/>
      <c r="Z439" s="43"/>
    </row>
    <row r="440" hidden="1">
      <c r="A440" s="43" t="str">
        <f>IFERROR(__xludf.DUMMYFUNCTION("""COMPUTED_VALUE"""),"5228305_1293548")</f>
        <v>5228305_1293548</v>
      </c>
      <c r="B440" s="43" t="str">
        <f>IFERROR(__xludf.DUMMYFUNCTION("""COMPUTED_VALUE"""),"Hilal Kuleyin")</f>
        <v>Hilal Kuleyin</v>
      </c>
      <c r="C440" s="43" t="str">
        <f>IFERROR(__xludf.DUMMYFUNCTION("""COMPUTED_VALUE"""),"completed")</f>
        <v>completed</v>
      </c>
      <c r="D440" s="43" t="str">
        <f>IFERROR(__xludf.DUMMYFUNCTION("""COMPUTED_VALUE"""),"No")</f>
        <v>No</v>
      </c>
      <c r="E440" s="43" t="str">
        <f>IFERROR(__xludf.DUMMYFUNCTION("""COMPUTED_VALUE"""),"p_7a09044cd01eab65de6df210e284aaecae30fa98@inbound.aiesec.org")</f>
        <v>p_7a09044cd01eab65de6df210e284aaecae30fa98@inbound.aiesec.org</v>
      </c>
      <c r="F440" s="43">
        <f>IFERROR(__xludf.DUMMYFUNCTION("""COMPUTED_VALUE"""),5.330885862E9)</f>
        <v>5330885862</v>
      </c>
      <c r="G440" s="43" t="str">
        <f>IFERROR(__xludf.DUMMYFUNCTION("""COMPUTED_VALUE"""),"Turkey")</f>
        <v>Turkey</v>
      </c>
      <c r="H440" s="43" t="str">
        <f>IFERROR(__xludf.DUMMYFUNCTION("""COMPUTED_VALUE"""),"KOCAELI")</f>
        <v>KOCAELI</v>
      </c>
      <c r="I440" s="43" t="str">
        <f>IFERROR(__xludf.DUMMYFUNCTION("""COMPUTED_VALUE"""),"Italy")</f>
        <v>Italy</v>
      </c>
      <c r="J440" s="43" t="str">
        <f>IFERROR(__xludf.DUMMYFUNCTION("""COMPUTED_VALUE"""),"Pavia")</f>
        <v>Pavia</v>
      </c>
      <c r="K440" s="44" t="str">
        <f>IFERROR(__xludf.DUMMYFUNCTION("""COMPUTED_VALUE"""),"https://expa.aiesec.org/opportunities/1293548")</f>
        <v>https://expa.aiesec.org/opportunities/1293548</v>
      </c>
      <c r="L440" s="43" t="str">
        <f>IFERROR(__xludf.DUMMYFUNCTION("""COMPUTED_VALUE"""),"GV")</f>
        <v>GV</v>
      </c>
      <c r="M440" s="43" t="str">
        <f>IFERROR(__xludf.DUMMYFUNCTION("""COMPUTED_VALUE"""),"short")</f>
        <v>short</v>
      </c>
      <c r="N440" s="45">
        <f>IFERROR(__xludf.DUMMYFUNCTION("""COMPUTED_VALUE"""),45013.0)</f>
        <v>45013</v>
      </c>
      <c r="O440" s="45">
        <f>IFERROR(__xludf.DUMMYFUNCTION("""COMPUTED_VALUE"""),45139.0)</f>
        <v>45139</v>
      </c>
      <c r="P440" s="45">
        <f>IFERROR(__xludf.DUMMYFUNCTION("""COMPUTED_VALUE"""),45181.0)</f>
        <v>45181</v>
      </c>
      <c r="Q440" s="45">
        <f>IFERROR(__xludf.DUMMYFUNCTION("""COMPUTED_VALUE"""),45140.0)</f>
        <v>45140</v>
      </c>
      <c r="R440" s="45">
        <f>IFERROR(__xludf.DUMMYFUNCTION("""COMPUTED_VALUE"""),45181.0)</f>
        <v>45181</v>
      </c>
      <c r="S440" s="43"/>
      <c r="T440" s="43"/>
      <c r="U440" s="43" t="str">
        <f>IFERROR(__xludf.DUMMYFUNCTION("""COMPUTED_VALUE"""),"Equify")</f>
        <v>Equify</v>
      </c>
      <c r="V440" s="43" t="str">
        <f>IFERROR(__xludf.DUMMYFUNCTION("""COMPUTED_VALUE"""),"KOCAELI")</f>
        <v>KOCAELI</v>
      </c>
      <c r="W440" s="43" t="str">
        <f>IFERROR(__xludf.DUMMYFUNCTION("""COMPUTED_VALUE"""),"2023-03-27T16:33:15Z")</f>
        <v>2023-03-27T16:33:15Z</v>
      </c>
      <c r="X440" s="43"/>
      <c r="Y440" s="43"/>
      <c r="Z440" s="43"/>
    </row>
    <row r="441" hidden="1">
      <c r="A441" s="43" t="str">
        <f>IFERROR(__xludf.DUMMYFUNCTION("""COMPUTED_VALUE"""),"5172455_1293138")</f>
        <v>5172455_1293138</v>
      </c>
      <c r="B441" s="43" t="str">
        <f>IFERROR(__xludf.DUMMYFUNCTION("""COMPUTED_VALUE"""),"Aydın Kerem Arslan")</f>
        <v>Aydın Kerem Arslan</v>
      </c>
      <c r="C441" s="43" t="str">
        <f>IFERROR(__xludf.DUMMYFUNCTION("""COMPUTED_VALUE"""),"completed")</f>
        <v>completed</v>
      </c>
      <c r="D441" s="43" t="str">
        <f>IFERROR(__xludf.DUMMYFUNCTION("""COMPUTED_VALUE"""),"No")</f>
        <v>No</v>
      </c>
      <c r="E441" s="43" t="str">
        <f>IFERROR(__xludf.DUMMYFUNCTION("""COMPUTED_VALUE"""),"p_7ec4e5d694a79faefcd5834b3749314a7271de24@inbound.aiesec.org")</f>
        <v>p_7ec4e5d694a79faefcd5834b3749314a7271de24@inbound.aiesec.org</v>
      </c>
      <c r="F441" s="43"/>
      <c r="G441" s="43" t="str">
        <f>IFERROR(__xludf.DUMMYFUNCTION("""COMPUTED_VALUE"""),"Turkey")</f>
        <v>Turkey</v>
      </c>
      <c r="H441" s="43" t="str">
        <f>IFERROR(__xludf.DUMMYFUNCTION("""COMPUTED_VALUE"""),"ISTANBUL ASIA")</f>
        <v>ISTANBUL ASIA</v>
      </c>
      <c r="I441" s="43" t="str">
        <f>IFERROR(__xludf.DUMMYFUNCTION("""COMPUTED_VALUE"""),"Croatia")</f>
        <v>Croatia</v>
      </c>
      <c r="J441" s="43" t="str">
        <f>IFERROR(__xludf.DUMMYFUNCTION("""COMPUTED_VALUE"""),"ZAGREB")</f>
        <v>ZAGREB</v>
      </c>
      <c r="K441" s="44" t="str">
        <f>IFERROR(__xludf.DUMMYFUNCTION("""COMPUTED_VALUE"""),"https://expa.aiesec.org/opportunities/1293138")</f>
        <v>https://expa.aiesec.org/opportunities/1293138</v>
      </c>
      <c r="L441" s="43" t="str">
        <f>IFERROR(__xludf.DUMMYFUNCTION("""COMPUTED_VALUE"""),"GV")</f>
        <v>GV</v>
      </c>
      <c r="M441" s="43" t="str">
        <f>IFERROR(__xludf.DUMMYFUNCTION("""COMPUTED_VALUE"""),"short")</f>
        <v>short</v>
      </c>
      <c r="N441" s="45">
        <f>IFERROR(__xludf.DUMMYFUNCTION("""COMPUTED_VALUE"""),45013.0)</f>
        <v>45013</v>
      </c>
      <c r="O441" s="45">
        <f>IFERROR(__xludf.DUMMYFUNCTION("""COMPUTED_VALUE"""),45082.0)</f>
        <v>45082</v>
      </c>
      <c r="P441" s="45">
        <f>IFERROR(__xludf.DUMMYFUNCTION("""COMPUTED_VALUE"""),45124.0)</f>
        <v>45124</v>
      </c>
      <c r="Q441" s="45"/>
      <c r="R441" s="45">
        <f>IFERROR(__xludf.DUMMYFUNCTION("""COMPUTED_VALUE"""),45124.0)</f>
        <v>45124</v>
      </c>
      <c r="S441" s="43"/>
      <c r="T441" s="43"/>
      <c r="U441" s="43" t="str">
        <f>IFERROR(__xludf.DUMMYFUNCTION("""COMPUTED_VALUE"""),"Global Classroom")</f>
        <v>Global Classroom</v>
      </c>
      <c r="V441" s="43" t="str">
        <f>IFERROR(__xludf.DUMMYFUNCTION("""COMPUTED_VALUE"""),"-")</f>
        <v>-</v>
      </c>
      <c r="W441" s="43" t="str">
        <f>IFERROR(__xludf.DUMMYFUNCTION("""COMPUTED_VALUE"""),"2023-01-02T15:29:39Z")</f>
        <v>2023-01-02T15:29:39Z</v>
      </c>
      <c r="X441" s="43"/>
      <c r="Y441" s="43"/>
      <c r="Z441" s="43"/>
    </row>
    <row r="442" hidden="1">
      <c r="A442" s="43" t="str">
        <f>IFERROR(__xludf.DUMMYFUNCTION("""COMPUTED_VALUE"""),"5230024_1293125")</f>
        <v>5230024_1293125</v>
      </c>
      <c r="B442" s="43" t="str">
        <f>IFERROR(__xludf.DUMMYFUNCTION("""COMPUTED_VALUE"""),"Özge Ecem Güler")</f>
        <v>Özge Ecem Güler</v>
      </c>
      <c r="C442" s="43" t="str">
        <f>IFERROR(__xludf.DUMMYFUNCTION("""COMPUTED_VALUE"""),"completed")</f>
        <v>completed</v>
      </c>
      <c r="D442" s="43" t="str">
        <f>IFERROR(__xludf.DUMMYFUNCTION("""COMPUTED_VALUE"""),"No")</f>
        <v>No</v>
      </c>
      <c r="E442" s="43" t="str">
        <f>IFERROR(__xludf.DUMMYFUNCTION("""COMPUTED_VALUE"""),"p_27e171bbf87eeb038605d5b55d01b9f1f0b44721@inbound.aiesec.org")</f>
        <v>p_27e171bbf87eeb038605d5b55d01b9f1f0b44721@inbound.aiesec.org</v>
      </c>
      <c r="F442" s="43">
        <f>IFERROR(__xludf.DUMMYFUNCTION("""COMPUTED_VALUE"""),5.340312111E9)</f>
        <v>5340312111</v>
      </c>
      <c r="G442" s="43" t="str">
        <f>IFERROR(__xludf.DUMMYFUNCTION("""COMPUTED_VALUE"""),"Turkey")</f>
        <v>Turkey</v>
      </c>
      <c r="H442" s="43" t="str">
        <f>IFERROR(__xludf.DUMMYFUNCTION("""COMPUTED_VALUE"""),"ANTALYA")</f>
        <v>ANTALYA</v>
      </c>
      <c r="I442" s="43" t="str">
        <f>IFERROR(__xludf.DUMMYFUNCTION("""COMPUTED_VALUE"""),"Romania")</f>
        <v>Romania</v>
      </c>
      <c r="J442" s="43" t="str">
        <f>IFERROR(__xludf.DUMMYFUNCTION("""COMPUTED_VALUE"""),"BRASOV")</f>
        <v>BRASOV</v>
      </c>
      <c r="K442" s="44" t="str">
        <f>IFERROR(__xludf.DUMMYFUNCTION("""COMPUTED_VALUE"""),"https://expa.aiesec.org/opportunities/1293125")</f>
        <v>https://expa.aiesec.org/opportunities/1293125</v>
      </c>
      <c r="L442" s="43" t="str">
        <f>IFERROR(__xludf.DUMMYFUNCTION("""COMPUTED_VALUE"""),"GV")</f>
        <v>GV</v>
      </c>
      <c r="M442" s="43" t="str">
        <f>IFERROR(__xludf.DUMMYFUNCTION("""COMPUTED_VALUE"""),"short")</f>
        <v>short</v>
      </c>
      <c r="N442" s="45">
        <f>IFERROR(__xludf.DUMMYFUNCTION("""COMPUTED_VALUE"""),45014.0)</f>
        <v>45014</v>
      </c>
      <c r="O442" s="45">
        <f>IFERROR(__xludf.DUMMYFUNCTION("""COMPUTED_VALUE"""),45103.0)</f>
        <v>45103</v>
      </c>
      <c r="P442" s="45">
        <f>IFERROR(__xludf.DUMMYFUNCTION("""COMPUTED_VALUE"""),45145.0)</f>
        <v>45145</v>
      </c>
      <c r="Q442" s="45">
        <f>IFERROR(__xludf.DUMMYFUNCTION("""COMPUTED_VALUE"""),45103.0)</f>
        <v>45103</v>
      </c>
      <c r="R442" s="45">
        <f>IFERROR(__xludf.DUMMYFUNCTION("""COMPUTED_VALUE"""),45145.0)</f>
        <v>45145</v>
      </c>
      <c r="S442" s="43"/>
      <c r="T442" s="43"/>
      <c r="U442" s="43" t="str">
        <f>IFERROR(__xludf.DUMMYFUNCTION("""COMPUTED_VALUE"""),"Fingerprint")</f>
        <v>Fingerprint</v>
      </c>
      <c r="V442" s="43" t="str">
        <f>IFERROR(__xludf.DUMMYFUNCTION("""COMPUTED_VALUE"""),"ANTALYA")</f>
        <v>ANTALYA</v>
      </c>
      <c r="W442" s="43" t="str">
        <f>IFERROR(__xludf.DUMMYFUNCTION("""COMPUTED_VALUE"""),"2023-03-29T13:06:47Z")</f>
        <v>2023-03-29T13:06:47Z</v>
      </c>
      <c r="X442" s="43"/>
      <c r="Y442" s="43"/>
      <c r="Z442" s="43"/>
    </row>
    <row r="443" hidden="1">
      <c r="A443" s="43" t="str">
        <f>IFERROR(__xludf.DUMMYFUNCTION("""COMPUTED_VALUE"""),"5200071_1293203")</f>
        <v>5200071_1293203</v>
      </c>
      <c r="B443" s="43" t="str">
        <f>IFERROR(__xludf.DUMMYFUNCTION("""COMPUTED_VALUE"""),"ufuk boran sarı")</f>
        <v>ufuk boran sarı</v>
      </c>
      <c r="C443" s="43" t="str">
        <f>IFERROR(__xludf.DUMMYFUNCTION("""COMPUTED_VALUE"""),"completed")</f>
        <v>completed</v>
      </c>
      <c r="D443" s="43" t="str">
        <f>IFERROR(__xludf.DUMMYFUNCTION("""COMPUTED_VALUE"""),"No")</f>
        <v>No</v>
      </c>
      <c r="E443" s="43" t="str">
        <f>IFERROR(__xludf.DUMMYFUNCTION("""COMPUTED_VALUE"""),"p_0918a78032d2e945c2b73f7c434fbae9af2e6c47@inbound.aiesec.org")</f>
        <v>p_0918a78032d2e945c2b73f7c434fbae9af2e6c47@inbound.aiesec.org</v>
      </c>
      <c r="F443" s="43">
        <f>IFERROR(__xludf.DUMMYFUNCTION("""COMPUTED_VALUE"""),5.362123713E9)</f>
        <v>5362123713</v>
      </c>
      <c r="G443" s="43" t="str">
        <f>IFERROR(__xludf.DUMMYFUNCTION("""COMPUTED_VALUE"""),"Turkey")</f>
        <v>Turkey</v>
      </c>
      <c r="H443" s="43" t="str">
        <f>IFERROR(__xludf.DUMMYFUNCTION("""COMPUTED_VALUE"""),"ANKARA")</f>
        <v>ANKARA</v>
      </c>
      <c r="I443" s="43" t="str">
        <f>IFERROR(__xludf.DUMMYFUNCTION("""COMPUTED_VALUE"""),"Romania")</f>
        <v>Romania</v>
      </c>
      <c r="J443" s="43" t="str">
        <f>IFERROR(__xludf.DUMMYFUNCTION("""COMPUTED_VALUE"""),"BUCURESTI")</f>
        <v>BUCURESTI</v>
      </c>
      <c r="K443" s="44" t="str">
        <f>IFERROR(__xludf.DUMMYFUNCTION("""COMPUTED_VALUE"""),"https://expa.aiesec.org/opportunities/1293203")</f>
        <v>https://expa.aiesec.org/opportunities/1293203</v>
      </c>
      <c r="L443" s="43" t="str">
        <f>IFERROR(__xludf.DUMMYFUNCTION("""COMPUTED_VALUE"""),"GV")</f>
        <v>GV</v>
      </c>
      <c r="M443" s="43" t="str">
        <f>IFERROR(__xludf.DUMMYFUNCTION("""COMPUTED_VALUE"""),"short")</f>
        <v>short</v>
      </c>
      <c r="N443" s="45">
        <f>IFERROR(__xludf.DUMMYFUNCTION("""COMPUTED_VALUE"""),45014.0)</f>
        <v>45014</v>
      </c>
      <c r="O443" s="45">
        <f>IFERROR(__xludf.DUMMYFUNCTION("""COMPUTED_VALUE"""),45096.0)</f>
        <v>45096</v>
      </c>
      <c r="P443" s="45">
        <f>IFERROR(__xludf.DUMMYFUNCTION("""COMPUTED_VALUE"""),45138.0)</f>
        <v>45138</v>
      </c>
      <c r="Q443" s="45">
        <f>IFERROR(__xludf.DUMMYFUNCTION("""COMPUTED_VALUE"""),45096.0)</f>
        <v>45096</v>
      </c>
      <c r="R443" s="45">
        <f>IFERROR(__xludf.DUMMYFUNCTION("""COMPUTED_VALUE"""),45138.0)</f>
        <v>45138</v>
      </c>
      <c r="S443" s="43"/>
      <c r="T443" s="43"/>
      <c r="U443" s="43" t="str">
        <f>IFERROR(__xludf.DUMMYFUNCTION("""COMPUTED_VALUE"""),"Rooted")</f>
        <v>Rooted</v>
      </c>
      <c r="V443" s="43" t="str">
        <f>IFERROR(__xludf.DUMMYFUNCTION("""COMPUTED_VALUE"""),"ANKARA")</f>
        <v>ANKARA</v>
      </c>
      <c r="W443" s="43" t="str">
        <f>IFERROR(__xludf.DUMMYFUNCTION("""COMPUTED_VALUE"""),"2023-02-27T10:08:32Z")</f>
        <v>2023-02-27T10:08:32Z</v>
      </c>
      <c r="X443" s="43"/>
      <c r="Y443" s="43"/>
      <c r="Z443" s="43"/>
    </row>
    <row r="444" hidden="1">
      <c r="A444" s="43" t="str">
        <f>IFERROR(__xludf.DUMMYFUNCTION("""COMPUTED_VALUE"""),"5231232_1293759")</f>
        <v>5231232_1293759</v>
      </c>
      <c r="B444" s="43" t="str">
        <f>IFERROR(__xludf.DUMMYFUNCTION("""COMPUTED_VALUE"""),"Eylül Çakır")</f>
        <v>Eylül Çakır</v>
      </c>
      <c r="C444" s="43" t="str">
        <f>IFERROR(__xludf.DUMMYFUNCTION("""COMPUTED_VALUE"""),"completed")</f>
        <v>completed</v>
      </c>
      <c r="D444" s="43" t="str">
        <f>IFERROR(__xludf.DUMMYFUNCTION("""COMPUTED_VALUE"""),"No")</f>
        <v>No</v>
      </c>
      <c r="E444" s="43" t="str">
        <f>IFERROR(__xludf.DUMMYFUNCTION("""COMPUTED_VALUE"""),"p_ab7b9a2d40c3fa4c3304cdc6ce19fbc35e8fb70e@inbound.aiesec.org")</f>
        <v>p_ab7b9a2d40c3fa4c3304cdc6ce19fbc35e8fb70e@inbound.aiesec.org</v>
      </c>
      <c r="F444" s="43">
        <f>IFERROR(__xludf.DUMMYFUNCTION("""COMPUTED_VALUE"""),5.075133448E9)</f>
        <v>5075133448</v>
      </c>
      <c r="G444" s="43" t="str">
        <f>IFERROR(__xludf.DUMMYFUNCTION("""COMPUTED_VALUE"""),"Turkey")</f>
        <v>Turkey</v>
      </c>
      <c r="H444" s="43" t="str">
        <f>IFERROR(__xludf.DUMMYFUNCTION("""COMPUTED_VALUE"""),"ANTALYA")</f>
        <v>ANTALYA</v>
      </c>
      <c r="I444" s="43" t="str">
        <f>IFERROR(__xludf.DUMMYFUNCTION("""COMPUTED_VALUE"""),"Romania")</f>
        <v>Romania</v>
      </c>
      <c r="J444" s="43" t="str">
        <f>IFERROR(__xludf.DUMMYFUNCTION("""COMPUTED_VALUE"""),"Cluj-Napoca")</f>
        <v>Cluj-Napoca</v>
      </c>
      <c r="K444" s="44" t="str">
        <f>IFERROR(__xludf.DUMMYFUNCTION("""COMPUTED_VALUE"""),"https://expa.aiesec.org/opportunities/1293759")</f>
        <v>https://expa.aiesec.org/opportunities/1293759</v>
      </c>
      <c r="L444" s="43" t="str">
        <f>IFERROR(__xludf.DUMMYFUNCTION("""COMPUTED_VALUE"""),"GV")</f>
        <v>GV</v>
      </c>
      <c r="M444" s="43" t="str">
        <f>IFERROR(__xludf.DUMMYFUNCTION("""COMPUTED_VALUE"""),"short")</f>
        <v>short</v>
      </c>
      <c r="N444" s="45">
        <f>IFERROR(__xludf.DUMMYFUNCTION("""COMPUTED_VALUE"""),45015.0)</f>
        <v>45015</v>
      </c>
      <c r="O444" s="45">
        <f>IFERROR(__xludf.DUMMYFUNCTION("""COMPUTED_VALUE"""),45117.0)</f>
        <v>45117</v>
      </c>
      <c r="P444" s="45">
        <f>IFERROR(__xludf.DUMMYFUNCTION("""COMPUTED_VALUE"""),45159.0)</f>
        <v>45159</v>
      </c>
      <c r="Q444" s="45">
        <f>IFERROR(__xludf.DUMMYFUNCTION("""COMPUTED_VALUE"""),45118.0)</f>
        <v>45118</v>
      </c>
      <c r="R444" s="45">
        <f>IFERROR(__xludf.DUMMYFUNCTION("""COMPUTED_VALUE"""),45159.0)</f>
        <v>45159</v>
      </c>
      <c r="S444" s="43"/>
      <c r="T444" s="43"/>
      <c r="U444" s="43" t="str">
        <f>IFERROR(__xludf.DUMMYFUNCTION("""COMPUTED_VALUE"""),"Fingerprint")</f>
        <v>Fingerprint</v>
      </c>
      <c r="V444" s="43" t="str">
        <f>IFERROR(__xludf.DUMMYFUNCTION("""COMPUTED_VALUE"""),"ANTALYA")</f>
        <v>ANTALYA</v>
      </c>
      <c r="W444" s="43" t="str">
        <f>IFERROR(__xludf.DUMMYFUNCTION("""COMPUTED_VALUE"""),"2023-03-30T16:52:32Z")</f>
        <v>2023-03-30T16:52:32Z</v>
      </c>
      <c r="X444" s="43"/>
      <c r="Y444" s="43"/>
      <c r="Z444" s="43"/>
    </row>
    <row r="445" hidden="1">
      <c r="A445" s="43" t="str">
        <f>IFERROR(__xludf.DUMMYFUNCTION("""COMPUTED_VALUE"""),"5229868_1291391")</f>
        <v>5229868_1291391</v>
      </c>
      <c r="B445" s="43" t="str">
        <f>IFERROR(__xludf.DUMMYFUNCTION("""COMPUTED_VALUE"""),"Funda Sezin Altıntaş")</f>
        <v>Funda Sezin Altıntaş</v>
      </c>
      <c r="C445" s="43" t="str">
        <f>IFERROR(__xludf.DUMMYFUNCTION("""COMPUTED_VALUE"""),"completed")</f>
        <v>completed</v>
      </c>
      <c r="D445" s="43" t="str">
        <f>IFERROR(__xludf.DUMMYFUNCTION("""COMPUTED_VALUE"""),"No")</f>
        <v>No</v>
      </c>
      <c r="E445" s="43" t="str">
        <f>IFERROR(__xludf.DUMMYFUNCTION("""COMPUTED_VALUE"""),"p_d8854c5f19baf8601204f36d955f340b6713b676@inbound.aiesec.org")</f>
        <v>p_d8854c5f19baf8601204f36d955f340b6713b676@inbound.aiesec.org</v>
      </c>
      <c r="F445" s="43">
        <f>IFERROR(__xludf.DUMMYFUNCTION("""COMPUTED_VALUE"""),5.071452698E9)</f>
        <v>5071452698</v>
      </c>
      <c r="G445" s="43" t="str">
        <f>IFERROR(__xludf.DUMMYFUNCTION("""COMPUTED_VALUE"""),"Turkey")</f>
        <v>Turkey</v>
      </c>
      <c r="H445" s="43" t="str">
        <f>IFERROR(__xludf.DUMMYFUNCTION("""COMPUTED_VALUE"""),"ISTANBUL")</f>
        <v>ISTANBUL</v>
      </c>
      <c r="I445" s="43" t="str">
        <f>IFERROR(__xludf.DUMMYFUNCTION("""COMPUTED_VALUE"""),"Tunisia")</f>
        <v>Tunisia</v>
      </c>
      <c r="J445" s="43" t="str">
        <f>IFERROR(__xludf.DUMMYFUNCTION("""COMPUTED_VALUE"""),"Bizerte")</f>
        <v>Bizerte</v>
      </c>
      <c r="K445" s="44" t="str">
        <f>IFERROR(__xludf.DUMMYFUNCTION("""COMPUTED_VALUE"""),"https://expa.aiesec.org/opportunities/1291391")</f>
        <v>https://expa.aiesec.org/opportunities/1291391</v>
      </c>
      <c r="L445" s="43" t="str">
        <f>IFERROR(__xludf.DUMMYFUNCTION("""COMPUTED_VALUE"""),"GV")</f>
        <v>GV</v>
      </c>
      <c r="M445" s="43" t="str">
        <f>IFERROR(__xludf.DUMMYFUNCTION("""COMPUTED_VALUE"""),"short")</f>
        <v>short</v>
      </c>
      <c r="N445" s="45">
        <f>IFERROR(__xludf.DUMMYFUNCTION("""COMPUTED_VALUE"""),45015.0)</f>
        <v>45015</v>
      </c>
      <c r="O445" s="45">
        <f>IFERROR(__xludf.DUMMYFUNCTION("""COMPUTED_VALUE"""),45108.0)</f>
        <v>45108</v>
      </c>
      <c r="P445" s="45">
        <f>IFERROR(__xludf.DUMMYFUNCTION("""COMPUTED_VALUE"""),45150.0)</f>
        <v>45150</v>
      </c>
      <c r="Q445" s="45">
        <f>IFERROR(__xludf.DUMMYFUNCTION("""COMPUTED_VALUE"""),45108.0)</f>
        <v>45108</v>
      </c>
      <c r="R445" s="45">
        <f>IFERROR(__xludf.DUMMYFUNCTION("""COMPUTED_VALUE"""),45150.0)</f>
        <v>45150</v>
      </c>
      <c r="S445" s="43"/>
      <c r="T445" s="43"/>
      <c r="U445" s="43" t="str">
        <f>IFERROR(__xludf.DUMMYFUNCTION("""COMPUTED_VALUE"""),"Green Leaders")</f>
        <v>Green Leaders</v>
      </c>
      <c r="V445" s="43" t="str">
        <f>IFERROR(__xludf.DUMMYFUNCTION("""COMPUTED_VALUE"""),"ISTANBUL - BEYOGLU")</f>
        <v>ISTANBUL - BEYOGLU</v>
      </c>
      <c r="W445" s="43" t="str">
        <f>IFERROR(__xludf.DUMMYFUNCTION("""COMPUTED_VALUE"""),"2023-03-29T09:46:29Z")</f>
        <v>2023-03-29T09:46:29Z</v>
      </c>
      <c r="X445" s="43"/>
      <c r="Y445" s="43"/>
      <c r="Z445" s="43"/>
    </row>
    <row r="446" hidden="1">
      <c r="A446" s="43" t="str">
        <f>IFERROR(__xludf.DUMMYFUNCTION("""COMPUTED_VALUE"""),"5224961_1293335")</f>
        <v>5224961_1293335</v>
      </c>
      <c r="B446" s="43" t="str">
        <f>IFERROR(__xludf.DUMMYFUNCTION("""COMPUTED_VALUE"""),"adem padir")</f>
        <v>adem padir</v>
      </c>
      <c r="C446" s="43" t="str">
        <f>IFERROR(__xludf.DUMMYFUNCTION("""COMPUTED_VALUE"""),"approved")</f>
        <v>approved</v>
      </c>
      <c r="D446" s="43" t="str">
        <f>IFERROR(__xludf.DUMMYFUNCTION("""COMPUTED_VALUE"""),"No")</f>
        <v>No</v>
      </c>
      <c r="E446" s="43" t="str">
        <f>IFERROR(__xludf.DUMMYFUNCTION("""COMPUTED_VALUE"""),"p_fae128e163c7b263135c10e15c2a17ba3dca6832@inbound.aiesec.org")</f>
        <v>p_fae128e163c7b263135c10e15c2a17ba3dca6832@inbound.aiesec.org</v>
      </c>
      <c r="F446" s="43">
        <f>IFERROR(__xludf.DUMMYFUNCTION("""COMPUTED_VALUE"""),5.510176188E9)</f>
        <v>5510176188</v>
      </c>
      <c r="G446" s="43" t="str">
        <f>IFERROR(__xludf.DUMMYFUNCTION("""COMPUTED_VALUE"""),"Turkey")</f>
        <v>Turkey</v>
      </c>
      <c r="H446" s="43" t="str">
        <f>IFERROR(__xludf.DUMMYFUNCTION("""COMPUTED_VALUE"""),"İZMİR")</f>
        <v>İZMİR</v>
      </c>
      <c r="I446" s="43" t="str">
        <f>IFERROR(__xludf.DUMMYFUNCTION("""COMPUTED_VALUE"""),"Sri Lanka")</f>
        <v>Sri Lanka</v>
      </c>
      <c r="J446" s="43" t="str">
        <f>IFERROR(__xludf.DUMMYFUNCTION("""COMPUTED_VALUE"""),"COLOMBO CENTRAL")</f>
        <v>COLOMBO CENTRAL</v>
      </c>
      <c r="K446" s="44" t="str">
        <f>IFERROR(__xludf.DUMMYFUNCTION("""COMPUTED_VALUE"""),"https://expa.aiesec.org/opportunities/1293335")</f>
        <v>https://expa.aiesec.org/opportunities/1293335</v>
      </c>
      <c r="L446" s="43" t="str">
        <f>IFERROR(__xludf.DUMMYFUNCTION("""COMPUTED_VALUE"""),"GV")</f>
        <v>GV</v>
      </c>
      <c r="M446" s="43" t="str">
        <f>IFERROR(__xludf.DUMMYFUNCTION("""COMPUTED_VALUE"""),"short")</f>
        <v>short</v>
      </c>
      <c r="N446" s="45">
        <f>IFERROR(__xludf.DUMMYFUNCTION("""COMPUTED_VALUE"""),45015.0)</f>
        <v>45015</v>
      </c>
      <c r="O446" s="45">
        <f>IFERROR(__xludf.DUMMYFUNCTION("""COMPUTED_VALUE"""),45208.0)</f>
        <v>45208</v>
      </c>
      <c r="P446" s="45">
        <f>IFERROR(__xludf.DUMMYFUNCTION("""COMPUTED_VALUE"""),45250.0)</f>
        <v>45250</v>
      </c>
      <c r="Q446" s="45"/>
      <c r="R446" s="45"/>
      <c r="S446" s="43"/>
      <c r="T446" s="43"/>
      <c r="U446" s="43" t="str">
        <f>IFERROR(__xludf.DUMMYFUNCTION("""COMPUTED_VALUE"""),"Green Leaders")</f>
        <v>Green Leaders</v>
      </c>
      <c r="V446" s="43" t="str">
        <f>IFERROR(__xludf.DUMMYFUNCTION("""COMPUTED_VALUE"""),"AYDIN")</f>
        <v>AYDIN</v>
      </c>
      <c r="W446" s="43" t="str">
        <f>IFERROR(__xludf.DUMMYFUNCTION("""COMPUTED_VALUE"""),"2023-03-23T14:21:21Z")</f>
        <v>2023-03-23T14:21:21Z</v>
      </c>
      <c r="X446" s="43"/>
      <c r="Y446" s="43"/>
      <c r="Z446" s="43"/>
    </row>
    <row r="447" hidden="1">
      <c r="A447" s="43" t="str">
        <f>IFERROR(__xludf.DUMMYFUNCTION("""COMPUTED_VALUE"""),"5223394_1286585")</f>
        <v>5223394_1286585</v>
      </c>
      <c r="B447" s="43" t="str">
        <f>IFERROR(__xludf.DUMMYFUNCTION("""COMPUTED_VALUE"""),"Eysa Şeyma Çakır")</f>
        <v>Eysa Şeyma Çakır</v>
      </c>
      <c r="C447" s="43" t="str">
        <f>IFERROR(__xludf.DUMMYFUNCTION("""COMPUTED_VALUE"""),"approved")</f>
        <v>approved</v>
      </c>
      <c r="D447" s="43" t="str">
        <f>IFERROR(__xludf.DUMMYFUNCTION("""COMPUTED_VALUE"""),"No")</f>
        <v>No</v>
      </c>
      <c r="E447" s="43" t="str">
        <f>IFERROR(__xludf.DUMMYFUNCTION("""COMPUTED_VALUE"""),"p_35fe045ca1ebf3b5baee7d7da7cc8b62c174f233@inbound.aiesec.org")</f>
        <v>p_35fe045ca1ebf3b5baee7d7da7cc8b62c174f233@inbound.aiesec.org</v>
      </c>
      <c r="F447" s="43">
        <f>IFERROR(__xludf.DUMMYFUNCTION("""COMPUTED_VALUE"""),5.414468847E9)</f>
        <v>5414468847</v>
      </c>
      <c r="G447" s="43" t="str">
        <f>IFERROR(__xludf.DUMMYFUNCTION("""COMPUTED_VALUE"""),"Turkey")</f>
        <v>Turkey</v>
      </c>
      <c r="H447" s="43" t="str">
        <f>IFERROR(__xludf.DUMMYFUNCTION("""COMPUTED_VALUE"""),"TRABZON")</f>
        <v>TRABZON</v>
      </c>
      <c r="I447" s="43" t="str">
        <f>IFERROR(__xludf.DUMMYFUNCTION("""COMPUTED_VALUE"""),"Sri Lanka")</f>
        <v>Sri Lanka</v>
      </c>
      <c r="J447" s="43" t="str">
        <f>IFERROR(__xludf.DUMMYFUNCTION("""COMPUTED_VALUE"""),"COLOMBO NORTH")</f>
        <v>COLOMBO NORTH</v>
      </c>
      <c r="K447" s="44" t="str">
        <f>IFERROR(__xludf.DUMMYFUNCTION("""COMPUTED_VALUE"""),"https://expa.aiesec.org/opportunities/1286585")</f>
        <v>https://expa.aiesec.org/opportunities/1286585</v>
      </c>
      <c r="L447" s="43" t="str">
        <f>IFERROR(__xludf.DUMMYFUNCTION("""COMPUTED_VALUE"""),"GV")</f>
        <v>GV</v>
      </c>
      <c r="M447" s="43" t="str">
        <f>IFERROR(__xludf.DUMMYFUNCTION("""COMPUTED_VALUE"""),"short")</f>
        <v>short</v>
      </c>
      <c r="N447" s="45">
        <f>IFERROR(__xludf.DUMMYFUNCTION("""COMPUTED_VALUE"""),45015.0)</f>
        <v>45015</v>
      </c>
      <c r="O447" s="45">
        <f>IFERROR(__xludf.DUMMYFUNCTION("""COMPUTED_VALUE"""),45116.0)</f>
        <v>45116</v>
      </c>
      <c r="P447" s="45">
        <f>IFERROR(__xludf.DUMMYFUNCTION("""COMPUTED_VALUE"""),45158.0)</f>
        <v>45158</v>
      </c>
      <c r="Q447" s="45"/>
      <c r="R447" s="45"/>
      <c r="S447" s="43"/>
      <c r="T447" s="43"/>
      <c r="U447" s="43" t="str">
        <f>IFERROR(__xludf.DUMMYFUNCTION("""COMPUTED_VALUE"""),"On The Map")</f>
        <v>On The Map</v>
      </c>
      <c r="V447" s="43" t="str">
        <f>IFERROR(__xludf.DUMMYFUNCTION("""COMPUTED_VALUE"""),"TRABZON")</f>
        <v>TRABZON</v>
      </c>
      <c r="W447" s="43" t="str">
        <f>IFERROR(__xludf.DUMMYFUNCTION("""COMPUTED_VALUE"""),"2023-03-22T08:48:23Z")</f>
        <v>2023-03-22T08:48:23Z</v>
      </c>
      <c r="X447" s="43"/>
      <c r="Y447" s="43"/>
      <c r="Z447" s="43"/>
    </row>
    <row r="448" hidden="1">
      <c r="A448" s="43" t="str">
        <f>IFERROR(__xludf.DUMMYFUNCTION("""COMPUTED_VALUE"""),"5224636_1293742")</f>
        <v>5224636_1293742</v>
      </c>
      <c r="B448" s="43" t="str">
        <f>IFERROR(__xludf.DUMMYFUNCTION("""COMPUTED_VALUE"""),"Aslan Çakırdoğan")</f>
        <v>Aslan Çakırdoğan</v>
      </c>
      <c r="C448" s="43" t="str">
        <f>IFERROR(__xludf.DUMMYFUNCTION("""COMPUTED_VALUE"""),"completed")</f>
        <v>completed</v>
      </c>
      <c r="D448" s="43" t="str">
        <f>IFERROR(__xludf.DUMMYFUNCTION("""COMPUTED_VALUE"""),"No")</f>
        <v>No</v>
      </c>
      <c r="E448" s="43" t="str">
        <f>IFERROR(__xludf.DUMMYFUNCTION("""COMPUTED_VALUE"""),"p_2c9534d8fe824ccd46e3eecc34437ed8db45d77e@inbound.aiesec.org")</f>
        <v>p_2c9534d8fe824ccd46e3eecc34437ed8db45d77e@inbound.aiesec.org</v>
      </c>
      <c r="F448" s="43"/>
      <c r="G448" s="43" t="str">
        <f>IFERROR(__xludf.DUMMYFUNCTION("""COMPUTED_VALUE"""),"Turkey")</f>
        <v>Turkey</v>
      </c>
      <c r="H448" s="43" t="str">
        <f>IFERROR(__xludf.DUMMYFUNCTION("""COMPUTED_VALUE"""),"ISTANBUL ASIA")</f>
        <v>ISTANBUL ASIA</v>
      </c>
      <c r="I448" s="43" t="str">
        <f>IFERROR(__xludf.DUMMYFUNCTION("""COMPUTED_VALUE"""),"Tunisia")</f>
        <v>Tunisia</v>
      </c>
      <c r="J448" s="43" t="str">
        <f>IFERROR(__xludf.DUMMYFUNCTION("""COMPUTED_VALUE"""),"RUSPINA")</f>
        <v>RUSPINA</v>
      </c>
      <c r="K448" s="44" t="str">
        <f>IFERROR(__xludf.DUMMYFUNCTION("""COMPUTED_VALUE"""),"https://expa.aiesec.org/opportunities/1293742")</f>
        <v>https://expa.aiesec.org/opportunities/1293742</v>
      </c>
      <c r="L448" s="43" t="str">
        <f>IFERROR(__xludf.DUMMYFUNCTION("""COMPUTED_VALUE"""),"GV")</f>
        <v>GV</v>
      </c>
      <c r="M448" s="43" t="str">
        <f>IFERROR(__xludf.DUMMYFUNCTION("""COMPUTED_VALUE"""),"short")</f>
        <v>short</v>
      </c>
      <c r="N448" s="45">
        <f>IFERROR(__xludf.DUMMYFUNCTION("""COMPUTED_VALUE"""),45016.0)</f>
        <v>45016</v>
      </c>
      <c r="O448" s="45">
        <f>IFERROR(__xludf.DUMMYFUNCTION("""COMPUTED_VALUE"""),45110.0)</f>
        <v>45110</v>
      </c>
      <c r="P448" s="45">
        <f>IFERROR(__xludf.DUMMYFUNCTION("""COMPUTED_VALUE"""),45152.0)</f>
        <v>45152</v>
      </c>
      <c r="Q448" s="45">
        <f>IFERROR(__xludf.DUMMYFUNCTION("""COMPUTED_VALUE"""),45110.0)</f>
        <v>45110</v>
      </c>
      <c r="R448" s="45">
        <f>IFERROR(__xludf.DUMMYFUNCTION("""COMPUTED_VALUE"""),45152.0)</f>
        <v>45152</v>
      </c>
      <c r="S448" s="43"/>
      <c r="T448" s="43"/>
      <c r="U448" s="43" t="str">
        <f>IFERROR(__xludf.DUMMYFUNCTION("""COMPUTED_VALUE"""),"Skill Up!")</f>
        <v>Skill Up!</v>
      </c>
      <c r="V448" s="43" t="str">
        <f>IFERROR(__xludf.DUMMYFUNCTION("""COMPUTED_VALUE"""),"-")</f>
        <v>-</v>
      </c>
      <c r="W448" s="43" t="str">
        <f>IFERROR(__xludf.DUMMYFUNCTION("""COMPUTED_VALUE"""),"2023-03-23T09:14:48Z")</f>
        <v>2023-03-23T09:14:48Z</v>
      </c>
      <c r="X448" s="43"/>
      <c r="Y448" s="43"/>
      <c r="Z448" s="43"/>
    </row>
    <row r="449" hidden="1">
      <c r="A449" s="43" t="str">
        <f>IFERROR(__xludf.DUMMYFUNCTION("""COMPUTED_VALUE"""),"5215008_1293200")</f>
        <v>5215008_1293200</v>
      </c>
      <c r="B449" s="43" t="str">
        <f>IFERROR(__xludf.DUMMYFUNCTION("""COMPUTED_VALUE"""),"deniz lochte")</f>
        <v>deniz lochte</v>
      </c>
      <c r="C449" s="43" t="str">
        <f>IFERROR(__xludf.DUMMYFUNCTION("""COMPUTED_VALUE"""),"finished")</f>
        <v>finished</v>
      </c>
      <c r="D449" s="43" t="str">
        <f>IFERROR(__xludf.DUMMYFUNCTION("""COMPUTED_VALUE"""),"No")</f>
        <v>No</v>
      </c>
      <c r="E449" s="43" t="str">
        <f>IFERROR(__xludf.DUMMYFUNCTION("""COMPUTED_VALUE"""),"p_7fd4338f1b934edacf1bbb189ec938c288ce8db8@inbound.aiesec.org")</f>
        <v>p_7fd4338f1b934edacf1bbb189ec938c288ce8db8@inbound.aiesec.org</v>
      </c>
      <c r="F449" s="43"/>
      <c r="G449" s="43" t="str">
        <f>IFERROR(__xludf.DUMMYFUNCTION("""COMPUTED_VALUE"""),"Turkey")</f>
        <v>Turkey</v>
      </c>
      <c r="H449" s="43" t="str">
        <f>IFERROR(__xludf.DUMMYFUNCTION("""COMPUTED_VALUE"""),"İZMİR")</f>
        <v>İZMİR</v>
      </c>
      <c r="I449" s="43" t="str">
        <f>IFERROR(__xludf.DUMMYFUNCTION("""COMPUTED_VALUE"""),"Tunisia")</f>
        <v>Tunisia</v>
      </c>
      <c r="J449" s="43" t="str">
        <f>IFERROR(__xludf.DUMMYFUNCTION("""COMPUTED_VALUE"""),"RUSPINA")</f>
        <v>RUSPINA</v>
      </c>
      <c r="K449" s="44" t="str">
        <f>IFERROR(__xludf.DUMMYFUNCTION("""COMPUTED_VALUE"""),"https://expa.aiesec.org/opportunities/1293200")</f>
        <v>https://expa.aiesec.org/opportunities/1293200</v>
      </c>
      <c r="L449" s="43" t="str">
        <f>IFERROR(__xludf.DUMMYFUNCTION("""COMPUTED_VALUE"""),"GV")</f>
        <v>GV</v>
      </c>
      <c r="M449" s="43" t="str">
        <f>IFERROR(__xludf.DUMMYFUNCTION("""COMPUTED_VALUE"""),"short")</f>
        <v>short</v>
      </c>
      <c r="N449" s="45">
        <f>IFERROR(__xludf.DUMMYFUNCTION("""COMPUTED_VALUE"""),45016.0)</f>
        <v>45016</v>
      </c>
      <c r="O449" s="45">
        <f>IFERROR(__xludf.DUMMYFUNCTION("""COMPUTED_VALUE"""),45139.0)</f>
        <v>45139</v>
      </c>
      <c r="P449" s="45">
        <f>IFERROR(__xludf.DUMMYFUNCTION("""COMPUTED_VALUE"""),45184.0)</f>
        <v>45184</v>
      </c>
      <c r="Q449" s="45">
        <f>IFERROR(__xludf.DUMMYFUNCTION("""COMPUTED_VALUE"""),45138.0)</f>
        <v>45138</v>
      </c>
      <c r="R449" s="45">
        <f>IFERROR(__xludf.DUMMYFUNCTION("""COMPUTED_VALUE"""),45190.0)</f>
        <v>45190</v>
      </c>
      <c r="S449" s="43"/>
      <c r="T449" s="43"/>
      <c r="U449" s="43" t="str">
        <f>IFERROR(__xludf.DUMMYFUNCTION("""COMPUTED_VALUE"""),"Aquatica")</f>
        <v>Aquatica</v>
      </c>
      <c r="V449" s="43" t="str">
        <f>IFERROR(__xludf.DUMMYFUNCTION("""COMPUTED_VALUE"""),"-")</f>
        <v>-</v>
      </c>
      <c r="W449" s="43" t="str">
        <f>IFERROR(__xludf.DUMMYFUNCTION("""COMPUTED_VALUE"""),"2023-03-13T18:49:10Z")</f>
        <v>2023-03-13T18:49:10Z</v>
      </c>
      <c r="X449" s="43"/>
      <c r="Y449" s="43"/>
      <c r="Z449" s="43"/>
    </row>
    <row r="450" hidden="1">
      <c r="A450" s="43" t="str">
        <f>IFERROR(__xludf.DUMMYFUNCTION("""COMPUTED_VALUE"""),"5221977_1292384")</f>
        <v>5221977_1292384</v>
      </c>
      <c r="B450" s="43" t="str">
        <f>IFERROR(__xludf.DUMMYFUNCTION("""COMPUTED_VALUE"""),"Ceylin Padır")</f>
        <v>Ceylin Padır</v>
      </c>
      <c r="C450" s="43" t="str">
        <f>IFERROR(__xludf.DUMMYFUNCTION("""COMPUTED_VALUE"""),"approved")</f>
        <v>approved</v>
      </c>
      <c r="D450" s="43" t="str">
        <f>IFERROR(__xludf.DUMMYFUNCTION("""COMPUTED_VALUE"""),"No")</f>
        <v>No</v>
      </c>
      <c r="E450" s="43" t="str">
        <f>IFERROR(__xludf.DUMMYFUNCTION("""COMPUTED_VALUE"""),"p_3563dc63f15cf8511194f1e0467f44a0c74537cf@inbound.aiesec.org")</f>
        <v>p_3563dc63f15cf8511194f1e0467f44a0c74537cf@inbound.aiesec.org</v>
      </c>
      <c r="F450" s="43">
        <f>IFERROR(__xludf.DUMMYFUNCTION("""COMPUTED_VALUE"""),5.384612141E9)</f>
        <v>5384612141</v>
      </c>
      <c r="G450" s="43" t="str">
        <f>IFERROR(__xludf.DUMMYFUNCTION("""COMPUTED_VALUE"""),"Turkey")</f>
        <v>Turkey</v>
      </c>
      <c r="H450" s="43" t="str">
        <f>IFERROR(__xludf.DUMMYFUNCTION("""COMPUTED_VALUE"""),"İZMİR")</f>
        <v>İZMİR</v>
      </c>
      <c r="I450" s="43" t="str">
        <f>IFERROR(__xludf.DUMMYFUNCTION("""COMPUTED_VALUE"""),"Sri Lanka")</f>
        <v>Sri Lanka</v>
      </c>
      <c r="J450" s="43" t="str">
        <f>IFERROR(__xludf.DUMMYFUNCTION("""COMPUTED_VALUE"""),"COLOMBO CENTRAL")</f>
        <v>COLOMBO CENTRAL</v>
      </c>
      <c r="K450" s="44" t="str">
        <f>IFERROR(__xludf.DUMMYFUNCTION("""COMPUTED_VALUE"""),"https://expa.aiesec.org/opportunities/1292384")</f>
        <v>https://expa.aiesec.org/opportunities/1292384</v>
      </c>
      <c r="L450" s="43" t="str">
        <f>IFERROR(__xludf.DUMMYFUNCTION("""COMPUTED_VALUE"""),"GV")</f>
        <v>GV</v>
      </c>
      <c r="M450" s="43" t="str">
        <f>IFERROR(__xludf.DUMMYFUNCTION("""COMPUTED_VALUE"""),"short")</f>
        <v>short</v>
      </c>
      <c r="N450" s="45">
        <f>IFERROR(__xludf.DUMMYFUNCTION("""COMPUTED_VALUE"""),45016.0)</f>
        <v>45016</v>
      </c>
      <c r="O450" s="45">
        <f>IFERROR(__xludf.DUMMYFUNCTION("""COMPUTED_VALUE"""),45208.0)</f>
        <v>45208</v>
      </c>
      <c r="P450" s="45">
        <f>IFERROR(__xludf.DUMMYFUNCTION("""COMPUTED_VALUE"""),45250.0)</f>
        <v>45250</v>
      </c>
      <c r="Q450" s="45"/>
      <c r="R450" s="45"/>
      <c r="S450" s="43"/>
      <c r="T450" s="43"/>
      <c r="U450" s="43" t="str">
        <f>IFERROR(__xludf.DUMMYFUNCTION("""COMPUTED_VALUE"""),"Happy Bus")</f>
        <v>Happy Bus</v>
      </c>
      <c r="V450" s="43" t="str">
        <f>IFERROR(__xludf.DUMMYFUNCTION("""COMPUTED_VALUE"""),"IZMIR")</f>
        <v>IZMIR</v>
      </c>
      <c r="W450" s="43" t="str">
        <f>IFERROR(__xludf.DUMMYFUNCTION("""COMPUTED_VALUE"""),"2023-03-20T18:12:30Z")</f>
        <v>2023-03-20T18:12:30Z</v>
      </c>
      <c r="X450" s="43"/>
      <c r="Y450" s="43"/>
      <c r="Z450" s="43"/>
    </row>
    <row r="451" hidden="1">
      <c r="A451" s="43" t="str">
        <f>IFERROR(__xludf.DUMMYFUNCTION("""COMPUTED_VALUE"""),"5226063_1281901")</f>
        <v>5226063_1281901</v>
      </c>
      <c r="B451" s="43" t="str">
        <f>IFERROR(__xludf.DUMMYFUNCTION("""COMPUTED_VALUE"""),"Kaan Buyukdemirci")</f>
        <v>Kaan Buyukdemirci</v>
      </c>
      <c r="C451" s="43" t="str">
        <f>IFERROR(__xludf.DUMMYFUNCTION("""COMPUTED_VALUE"""),"completed")</f>
        <v>completed</v>
      </c>
      <c r="D451" s="43" t="str">
        <f>IFERROR(__xludf.DUMMYFUNCTION("""COMPUTED_VALUE"""),"No")</f>
        <v>No</v>
      </c>
      <c r="E451" s="43" t="str">
        <f>IFERROR(__xludf.DUMMYFUNCTION("""COMPUTED_VALUE"""),"p_e0c76ea3be48a68b09ff54e44621064d5ed3e341@inbound.aiesec.org")</f>
        <v>p_e0c76ea3be48a68b09ff54e44621064d5ed3e341@inbound.aiesec.org</v>
      </c>
      <c r="F451" s="43">
        <f>IFERROR(__xludf.DUMMYFUNCTION("""COMPUTED_VALUE"""),5.396831864E9)</f>
        <v>5396831864</v>
      </c>
      <c r="G451" s="43" t="str">
        <f>IFERROR(__xludf.DUMMYFUNCTION("""COMPUTED_VALUE"""),"Turkey")</f>
        <v>Turkey</v>
      </c>
      <c r="H451" s="43" t="str">
        <f>IFERROR(__xludf.DUMMYFUNCTION("""COMPUTED_VALUE"""),"ANKARA")</f>
        <v>ANKARA</v>
      </c>
      <c r="I451" s="43" t="str">
        <f>IFERROR(__xludf.DUMMYFUNCTION("""COMPUTED_VALUE"""),"Sri Lanka")</f>
        <v>Sri Lanka</v>
      </c>
      <c r="J451" s="43" t="str">
        <f>IFERROR(__xludf.DUMMYFUNCTION("""COMPUTED_VALUE"""),"COLOMBO SOUTH")</f>
        <v>COLOMBO SOUTH</v>
      </c>
      <c r="K451" s="44" t="str">
        <f>IFERROR(__xludf.DUMMYFUNCTION("""COMPUTED_VALUE"""),"https://expa.aiesec.org/opportunities/1281901")</f>
        <v>https://expa.aiesec.org/opportunities/1281901</v>
      </c>
      <c r="L451" s="43" t="str">
        <f>IFERROR(__xludf.DUMMYFUNCTION("""COMPUTED_VALUE"""),"GV")</f>
        <v>GV</v>
      </c>
      <c r="M451" s="43" t="str">
        <f>IFERROR(__xludf.DUMMYFUNCTION("""COMPUTED_VALUE"""),"short")</f>
        <v>short</v>
      </c>
      <c r="N451" s="45">
        <f>IFERROR(__xludf.DUMMYFUNCTION("""COMPUTED_VALUE"""),45016.0)</f>
        <v>45016</v>
      </c>
      <c r="O451" s="45">
        <f>IFERROR(__xludf.DUMMYFUNCTION("""COMPUTED_VALUE"""),45138.0)</f>
        <v>45138</v>
      </c>
      <c r="P451" s="45">
        <f>IFERROR(__xludf.DUMMYFUNCTION("""COMPUTED_VALUE"""),45180.0)</f>
        <v>45180</v>
      </c>
      <c r="Q451" s="45">
        <f>IFERROR(__xludf.DUMMYFUNCTION("""COMPUTED_VALUE"""),45138.0)</f>
        <v>45138</v>
      </c>
      <c r="R451" s="45">
        <f>IFERROR(__xludf.DUMMYFUNCTION("""COMPUTED_VALUE"""),45180.0)</f>
        <v>45180</v>
      </c>
      <c r="S451" s="43"/>
      <c r="T451" s="43"/>
      <c r="U451" s="43" t="str">
        <f>IFERROR(__xludf.DUMMYFUNCTION("""COMPUTED_VALUE"""),"Aquatica")</f>
        <v>Aquatica</v>
      </c>
      <c r="V451" s="43" t="str">
        <f>IFERROR(__xludf.DUMMYFUNCTION("""COMPUTED_VALUE"""),"ANKARA")</f>
        <v>ANKARA</v>
      </c>
      <c r="W451" s="43" t="str">
        <f>IFERROR(__xludf.DUMMYFUNCTION("""COMPUTED_VALUE"""),"2023-03-24T16:56:11Z")</f>
        <v>2023-03-24T16:56:11Z</v>
      </c>
      <c r="X451" s="43"/>
      <c r="Y451" s="43"/>
      <c r="Z451" s="43"/>
    </row>
    <row r="452" hidden="1">
      <c r="A452" s="43" t="str">
        <f>IFERROR(__xludf.DUMMYFUNCTION("""COMPUTED_VALUE"""),"5224414_1290053")</f>
        <v>5224414_1290053</v>
      </c>
      <c r="B452" s="43" t="str">
        <f>IFERROR(__xludf.DUMMYFUNCTION("""COMPUTED_VALUE"""),"Emine Salman")</f>
        <v>Emine Salman</v>
      </c>
      <c r="C452" s="43" t="str">
        <f>IFERROR(__xludf.DUMMYFUNCTION("""COMPUTED_VALUE"""),"realization_broken")</f>
        <v>realization_broken</v>
      </c>
      <c r="D452" s="43" t="str">
        <f>IFERROR(__xludf.DUMMYFUNCTION("""COMPUTED_VALUE"""),"No")</f>
        <v>No</v>
      </c>
      <c r="E452" s="43" t="str">
        <f>IFERROR(__xludf.DUMMYFUNCTION("""COMPUTED_VALUE"""),"p_b56442c5a783dfbaa18ee2eb6793269ecffd5667@inbound.aiesec.org")</f>
        <v>p_b56442c5a783dfbaa18ee2eb6793269ecffd5667@inbound.aiesec.org</v>
      </c>
      <c r="F452" s="43">
        <f>IFERROR(__xludf.DUMMYFUNCTION("""COMPUTED_VALUE"""),5.462786904E9)</f>
        <v>5462786904</v>
      </c>
      <c r="G452" s="43" t="str">
        <f>IFERROR(__xludf.DUMMYFUNCTION("""COMPUTED_VALUE"""),"Turkey")</f>
        <v>Turkey</v>
      </c>
      <c r="H452" s="43" t="str">
        <f>IFERROR(__xludf.DUMMYFUNCTION("""COMPUTED_VALUE"""),"ISTANBUL WEST")</f>
        <v>ISTANBUL WEST</v>
      </c>
      <c r="I452" s="43" t="str">
        <f>IFERROR(__xludf.DUMMYFUNCTION("""COMPUTED_VALUE"""),"Egypt")</f>
        <v>Egypt</v>
      </c>
      <c r="J452" s="43" t="str">
        <f>IFERROR(__xludf.DUMMYFUNCTION("""COMPUTED_VALUE"""),"Damietta")</f>
        <v>Damietta</v>
      </c>
      <c r="K452" s="44" t="str">
        <f>IFERROR(__xludf.DUMMYFUNCTION("""COMPUTED_VALUE"""),"https://expa.aiesec.org/opportunities/1290053")</f>
        <v>https://expa.aiesec.org/opportunities/1290053</v>
      </c>
      <c r="L452" s="43" t="str">
        <f>IFERROR(__xludf.DUMMYFUNCTION("""COMPUTED_VALUE"""),"GV")</f>
        <v>GV</v>
      </c>
      <c r="M452" s="43" t="str">
        <f>IFERROR(__xludf.DUMMYFUNCTION("""COMPUTED_VALUE"""),"short")</f>
        <v>short</v>
      </c>
      <c r="N452" s="45">
        <f>IFERROR(__xludf.DUMMYFUNCTION("""COMPUTED_VALUE"""),45016.0)</f>
        <v>45016</v>
      </c>
      <c r="O452" s="45">
        <f>IFERROR(__xludf.DUMMYFUNCTION("""COMPUTED_VALUE"""),45108.0)</f>
        <v>45108</v>
      </c>
      <c r="P452" s="45">
        <f>IFERROR(__xludf.DUMMYFUNCTION("""COMPUTED_VALUE"""),45150.0)</f>
        <v>45150</v>
      </c>
      <c r="Q452" s="45"/>
      <c r="R452" s="45"/>
      <c r="S452" s="43"/>
      <c r="T452" s="43"/>
      <c r="U452" s="43" t="str">
        <f>IFERROR(__xludf.DUMMYFUNCTION("""COMPUTED_VALUE"""),"On The Map")</f>
        <v>On The Map</v>
      </c>
      <c r="V452" s="43" t="str">
        <f>IFERROR(__xludf.DUMMYFUNCTION("""COMPUTED_VALUE"""),"ISTANBUL - BAKIRKOY")</f>
        <v>ISTANBUL - BAKIRKOY</v>
      </c>
      <c r="W452" s="43" t="str">
        <f>IFERROR(__xludf.DUMMYFUNCTION("""COMPUTED_VALUE"""),"2023-03-22T22:07:31Z")</f>
        <v>2023-03-22T22:07:31Z</v>
      </c>
      <c r="X452" s="43"/>
      <c r="Y452" s="43"/>
      <c r="Z452" s="43"/>
    </row>
    <row r="453" hidden="1">
      <c r="A453" s="43" t="str">
        <f>IFERROR(__xludf.DUMMYFUNCTION("""COMPUTED_VALUE"""),"5222718_1290260")</f>
        <v>5222718_1290260</v>
      </c>
      <c r="B453" s="43" t="str">
        <f>IFERROR(__xludf.DUMMYFUNCTION("""COMPUTED_VALUE"""),"Lale Işık")</f>
        <v>Lale Işık</v>
      </c>
      <c r="C453" s="43" t="str">
        <f>IFERROR(__xludf.DUMMYFUNCTION("""COMPUTED_VALUE"""),"approved")</f>
        <v>approved</v>
      </c>
      <c r="D453" s="43" t="str">
        <f>IFERROR(__xludf.DUMMYFUNCTION("""COMPUTED_VALUE"""),"No")</f>
        <v>No</v>
      </c>
      <c r="E453" s="43" t="str">
        <f>IFERROR(__xludf.DUMMYFUNCTION("""COMPUTED_VALUE"""),"p_6116f7019351edc60b79ec17c66ba5c3bc2ed3c1@inbound.aiesec.org")</f>
        <v>p_6116f7019351edc60b79ec17c66ba5c3bc2ed3c1@inbound.aiesec.org</v>
      </c>
      <c r="F453" s="43">
        <f>IFERROR(__xludf.DUMMYFUNCTION("""COMPUTED_VALUE"""),5.530534333E9)</f>
        <v>5530534333</v>
      </c>
      <c r="G453" s="43" t="str">
        <f>IFERROR(__xludf.DUMMYFUNCTION("""COMPUTED_VALUE"""),"Turkey")</f>
        <v>Turkey</v>
      </c>
      <c r="H453" s="43" t="str">
        <f>IFERROR(__xludf.DUMMYFUNCTION("""COMPUTED_VALUE"""),"ISTANBUL WEST")</f>
        <v>ISTANBUL WEST</v>
      </c>
      <c r="I453" s="43" t="str">
        <f>IFERROR(__xludf.DUMMYFUNCTION("""COMPUTED_VALUE"""),"Egypt")</f>
        <v>Egypt</v>
      </c>
      <c r="J453" s="43" t="str">
        <f>IFERROR(__xludf.DUMMYFUNCTION("""COMPUTED_VALUE"""),"Menofia")</f>
        <v>Menofia</v>
      </c>
      <c r="K453" s="44" t="str">
        <f>IFERROR(__xludf.DUMMYFUNCTION("""COMPUTED_VALUE"""),"https://expa.aiesec.org/opportunities/1290260")</f>
        <v>https://expa.aiesec.org/opportunities/1290260</v>
      </c>
      <c r="L453" s="43" t="str">
        <f>IFERROR(__xludf.DUMMYFUNCTION("""COMPUTED_VALUE"""),"GV")</f>
        <v>GV</v>
      </c>
      <c r="M453" s="43" t="str">
        <f>IFERROR(__xludf.DUMMYFUNCTION("""COMPUTED_VALUE"""),"short")</f>
        <v>short</v>
      </c>
      <c r="N453" s="45">
        <f>IFERROR(__xludf.DUMMYFUNCTION("""COMPUTED_VALUE"""),45016.0)</f>
        <v>45016</v>
      </c>
      <c r="O453" s="45">
        <f>IFERROR(__xludf.DUMMYFUNCTION("""COMPUTED_VALUE"""),45122.0)</f>
        <v>45122</v>
      </c>
      <c r="P453" s="45">
        <f>IFERROR(__xludf.DUMMYFUNCTION("""COMPUTED_VALUE"""),45164.0)</f>
        <v>45164</v>
      </c>
      <c r="Q453" s="45"/>
      <c r="R453" s="45"/>
      <c r="S453" s="43"/>
      <c r="T453" s="43"/>
      <c r="U453" s="43" t="str">
        <f>IFERROR(__xludf.DUMMYFUNCTION("""COMPUTED_VALUE"""),"Heartbeat")</f>
        <v>Heartbeat</v>
      </c>
      <c r="V453" s="43" t="str">
        <f>IFERROR(__xludf.DUMMYFUNCTION("""COMPUTED_VALUE"""),"ISTANBUL - BAKIRKOY")</f>
        <v>ISTANBUL - BAKIRKOY</v>
      </c>
      <c r="W453" s="43" t="str">
        <f>IFERROR(__xludf.DUMMYFUNCTION("""COMPUTED_VALUE"""),"2023-03-21T13:44:28Z")</f>
        <v>2023-03-21T13:44:28Z</v>
      </c>
      <c r="X453" s="43"/>
      <c r="Y453" s="43"/>
      <c r="Z453" s="43"/>
    </row>
    <row r="454" hidden="1">
      <c r="A454" s="43" t="str">
        <f>IFERROR(__xludf.DUMMYFUNCTION("""COMPUTED_VALUE"""),"5232964_1291819")</f>
        <v>5232964_1291819</v>
      </c>
      <c r="B454" s="43" t="str">
        <f>IFERROR(__xludf.DUMMYFUNCTION("""COMPUTED_VALUE"""),"Ali Balcan")</f>
        <v>Ali Balcan</v>
      </c>
      <c r="C454" s="43" t="str">
        <f>IFERROR(__xludf.DUMMYFUNCTION("""COMPUTED_VALUE"""),"approved")</f>
        <v>approved</v>
      </c>
      <c r="D454" s="43" t="str">
        <f>IFERROR(__xludf.DUMMYFUNCTION("""COMPUTED_VALUE"""),"No")</f>
        <v>No</v>
      </c>
      <c r="E454" s="43" t="str">
        <f>IFERROR(__xludf.DUMMYFUNCTION("""COMPUTED_VALUE"""),"p_c15bb86c4038fe5a0ed460aceffba8c727d5f729@inbound.aiesec.org")</f>
        <v>p_c15bb86c4038fe5a0ed460aceffba8c727d5f729@inbound.aiesec.org</v>
      </c>
      <c r="F454" s="43">
        <f>IFERROR(__xludf.DUMMYFUNCTION("""COMPUTED_VALUE"""),5.052667525E9)</f>
        <v>5052667525</v>
      </c>
      <c r="G454" s="43" t="str">
        <f>IFERROR(__xludf.DUMMYFUNCTION("""COMPUTED_VALUE"""),"Turkey")</f>
        <v>Turkey</v>
      </c>
      <c r="H454" s="43" t="str">
        <f>IFERROR(__xludf.DUMMYFUNCTION("""COMPUTED_VALUE"""),"KONYA")</f>
        <v>KONYA</v>
      </c>
      <c r="I454" s="43" t="str">
        <f>IFERROR(__xludf.DUMMYFUNCTION("""COMPUTED_VALUE"""),"India")</f>
        <v>India</v>
      </c>
      <c r="J454" s="43" t="str">
        <f>IFERROR(__xludf.DUMMYFUNCTION("""COMPUTED_VALUE"""),"Mumbai")</f>
        <v>Mumbai</v>
      </c>
      <c r="K454" s="44" t="str">
        <f>IFERROR(__xludf.DUMMYFUNCTION("""COMPUTED_VALUE"""),"https://expa.aiesec.org/opportunities/1291819")</f>
        <v>https://expa.aiesec.org/opportunities/1291819</v>
      </c>
      <c r="L454" s="43" t="str">
        <f>IFERROR(__xludf.DUMMYFUNCTION("""COMPUTED_VALUE"""),"GV")</f>
        <v>GV</v>
      </c>
      <c r="M454" s="43" t="str">
        <f>IFERROR(__xludf.DUMMYFUNCTION("""COMPUTED_VALUE"""),"short")</f>
        <v>short</v>
      </c>
      <c r="N454" s="45">
        <f>IFERROR(__xludf.DUMMYFUNCTION("""COMPUTED_VALUE"""),45017.0)</f>
        <v>45017</v>
      </c>
      <c r="O454" s="45">
        <f>IFERROR(__xludf.DUMMYFUNCTION("""COMPUTED_VALUE"""),45261.0)</f>
        <v>45261</v>
      </c>
      <c r="P454" s="45">
        <f>IFERROR(__xludf.DUMMYFUNCTION("""COMPUTED_VALUE"""),45303.0)</f>
        <v>45303</v>
      </c>
      <c r="Q454" s="45"/>
      <c r="R454" s="45"/>
      <c r="S454" s="43"/>
      <c r="T454" s="43"/>
      <c r="U454" s="43" t="str">
        <f>IFERROR(__xludf.DUMMYFUNCTION("""COMPUTED_VALUE"""),"Youth 4 Impact")</f>
        <v>Youth 4 Impact</v>
      </c>
      <c r="V454" s="43" t="str">
        <f>IFERROR(__xludf.DUMMYFUNCTION("""COMPUTED_VALUE"""),"KONYA")</f>
        <v>KONYA</v>
      </c>
      <c r="W454" s="43" t="str">
        <f>IFERROR(__xludf.DUMMYFUNCTION("""COMPUTED_VALUE"""),"2023-04-01T21:07:45Z")</f>
        <v>2023-04-01T21:07:45Z</v>
      </c>
      <c r="X454" s="43"/>
      <c r="Y454" s="43"/>
      <c r="Z454" s="43"/>
    </row>
    <row r="455" hidden="1">
      <c r="A455" s="43" t="str">
        <f>IFERROR(__xludf.DUMMYFUNCTION("""COMPUTED_VALUE"""),"5232922_1290282")</f>
        <v>5232922_1290282</v>
      </c>
      <c r="B455" s="43" t="str">
        <f>IFERROR(__xludf.DUMMYFUNCTION("""COMPUTED_VALUE"""),"Betül Kelel")</f>
        <v>Betül Kelel</v>
      </c>
      <c r="C455" s="43" t="str">
        <f>IFERROR(__xludf.DUMMYFUNCTION("""COMPUTED_VALUE"""),"completed")</f>
        <v>completed</v>
      </c>
      <c r="D455" s="43" t="str">
        <f>IFERROR(__xludf.DUMMYFUNCTION("""COMPUTED_VALUE"""),"No")</f>
        <v>No</v>
      </c>
      <c r="E455" s="43" t="str">
        <f>IFERROR(__xludf.DUMMYFUNCTION("""COMPUTED_VALUE"""),"p_1cf7ebfda6f5cd4febc0f8152753edb7a9a9b0fe@inbound.aiesec.org")</f>
        <v>p_1cf7ebfda6f5cd4febc0f8152753edb7a9a9b0fe@inbound.aiesec.org</v>
      </c>
      <c r="F455" s="43">
        <f>IFERROR(__xludf.DUMMYFUNCTION("""COMPUTED_VALUE"""),5.548650418E9)</f>
        <v>5548650418</v>
      </c>
      <c r="G455" s="43" t="str">
        <f>IFERROR(__xludf.DUMMYFUNCTION("""COMPUTED_VALUE"""),"Turkey")</f>
        <v>Turkey</v>
      </c>
      <c r="H455" s="43" t="str">
        <f>IFERROR(__xludf.DUMMYFUNCTION("""COMPUTED_VALUE"""),"ISTANBUL")</f>
        <v>ISTANBUL</v>
      </c>
      <c r="I455" s="43" t="str">
        <f>IFERROR(__xludf.DUMMYFUNCTION("""COMPUTED_VALUE"""),"Egypt")</f>
        <v>Egypt</v>
      </c>
      <c r="J455" s="43" t="str">
        <f>IFERROR(__xludf.DUMMYFUNCTION("""COMPUTED_VALUE"""),"GUC")</f>
        <v>GUC</v>
      </c>
      <c r="K455" s="44" t="str">
        <f>IFERROR(__xludf.DUMMYFUNCTION("""COMPUTED_VALUE"""),"https://expa.aiesec.org/opportunities/1290282")</f>
        <v>https://expa.aiesec.org/opportunities/1290282</v>
      </c>
      <c r="L455" s="43" t="str">
        <f>IFERROR(__xludf.DUMMYFUNCTION("""COMPUTED_VALUE"""),"GV")</f>
        <v>GV</v>
      </c>
      <c r="M455" s="43" t="str">
        <f>IFERROR(__xludf.DUMMYFUNCTION("""COMPUTED_VALUE"""),"short")</f>
        <v>short</v>
      </c>
      <c r="N455" s="45">
        <f>IFERROR(__xludf.DUMMYFUNCTION("""COMPUTED_VALUE"""),45017.0)</f>
        <v>45017</v>
      </c>
      <c r="O455" s="45">
        <f>IFERROR(__xludf.DUMMYFUNCTION("""COMPUTED_VALUE"""),45122.0)</f>
        <v>45122</v>
      </c>
      <c r="P455" s="45">
        <f>IFERROR(__xludf.DUMMYFUNCTION("""COMPUTED_VALUE"""),45164.0)</f>
        <v>45164</v>
      </c>
      <c r="Q455" s="45">
        <f>IFERROR(__xludf.DUMMYFUNCTION("""COMPUTED_VALUE"""),45125.0)</f>
        <v>45125</v>
      </c>
      <c r="R455" s="45">
        <f>IFERROR(__xludf.DUMMYFUNCTION("""COMPUTED_VALUE"""),45167.0)</f>
        <v>45167</v>
      </c>
      <c r="S455" s="43"/>
      <c r="T455" s="43"/>
      <c r="U455" s="43" t="str">
        <f>IFERROR(__xludf.DUMMYFUNCTION("""COMPUTED_VALUE"""),"On The Map")</f>
        <v>On The Map</v>
      </c>
      <c r="V455" s="43" t="str">
        <f>IFERROR(__xludf.DUMMYFUNCTION("""COMPUTED_VALUE"""),"ISTANBUL - BEYOGLU")</f>
        <v>ISTANBUL - BEYOGLU</v>
      </c>
      <c r="W455" s="43" t="str">
        <f>IFERROR(__xludf.DUMMYFUNCTION("""COMPUTED_VALUE"""),"2023-04-01T18:50:53Z")</f>
        <v>2023-04-01T18:50:53Z</v>
      </c>
      <c r="X455" s="43"/>
      <c r="Y455" s="43"/>
      <c r="Z455" s="43"/>
    </row>
    <row r="456" hidden="1">
      <c r="A456" s="43" t="str">
        <f>IFERROR(__xludf.DUMMYFUNCTION("""COMPUTED_VALUE"""),"5232900_1291819")</f>
        <v>5232900_1291819</v>
      </c>
      <c r="B456" s="43" t="str">
        <f>IFERROR(__xludf.DUMMYFUNCTION("""COMPUTED_VALUE"""),"Birgül Güngör")</f>
        <v>Birgül Güngör</v>
      </c>
      <c r="C456" s="43" t="str">
        <f>IFERROR(__xludf.DUMMYFUNCTION("""COMPUTED_VALUE"""),"approved")</f>
        <v>approved</v>
      </c>
      <c r="D456" s="43" t="str">
        <f>IFERROR(__xludf.DUMMYFUNCTION("""COMPUTED_VALUE"""),"No")</f>
        <v>No</v>
      </c>
      <c r="E456" s="43" t="str">
        <f>IFERROR(__xludf.DUMMYFUNCTION("""COMPUTED_VALUE"""),"p_e89e97e5a7b88aafe7755810702beef62a394dbb@inbound.aiesec.org")</f>
        <v>p_e89e97e5a7b88aafe7755810702beef62a394dbb@inbound.aiesec.org</v>
      </c>
      <c r="F456" s="43">
        <f>IFERROR(__xludf.DUMMYFUNCTION("""COMPUTED_VALUE"""),5.052667525E9)</f>
        <v>5052667525</v>
      </c>
      <c r="G456" s="43" t="str">
        <f>IFERROR(__xludf.DUMMYFUNCTION("""COMPUTED_VALUE"""),"Turkey")</f>
        <v>Turkey</v>
      </c>
      <c r="H456" s="43" t="str">
        <f>IFERROR(__xludf.DUMMYFUNCTION("""COMPUTED_VALUE"""),"KONYA")</f>
        <v>KONYA</v>
      </c>
      <c r="I456" s="43" t="str">
        <f>IFERROR(__xludf.DUMMYFUNCTION("""COMPUTED_VALUE"""),"India")</f>
        <v>India</v>
      </c>
      <c r="J456" s="43" t="str">
        <f>IFERROR(__xludf.DUMMYFUNCTION("""COMPUTED_VALUE"""),"Mumbai")</f>
        <v>Mumbai</v>
      </c>
      <c r="K456" s="44" t="str">
        <f>IFERROR(__xludf.DUMMYFUNCTION("""COMPUTED_VALUE"""),"https://expa.aiesec.org/opportunities/1291819")</f>
        <v>https://expa.aiesec.org/opportunities/1291819</v>
      </c>
      <c r="L456" s="43" t="str">
        <f>IFERROR(__xludf.DUMMYFUNCTION("""COMPUTED_VALUE"""),"GV")</f>
        <v>GV</v>
      </c>
      <c r="M456" s="43" t="str">
        <f>IFERROR(__xludf.DUMMYFUNCTION("""COMPUTED_VALUE"""),"short")</f>
        <v>short</v>
      </c>
      <c r="N456" s="45">
        <f>IFERROR(__xludf.DUMMYFUNCTION("""COMPUTED_VALUE"""),45017.0)</f>
        <v>45017</v>
      </c>
      <c r="O456" s="45">
        <f>IFERROR(__xludf.DUMMYFUNCTION("""COMPUTED_VALUE"""),45261.0)</f>
        <v>45261</v>
      </c>
      <c r="P456" s="45">
        <f>IFERROR(__xludf.DUMMYFUNCTION("""COMPUTED_VALUE"""),45303.0)</f>
        <v>45303</v>
      </c>
      <c r="Q456" s="45"/>
      <c r="R456" s="45"/>
      <c r="S456" s="43"/>
      <c r="T456" s="43"/>
      <c r="U456" s="43" t="str">
        <f>IFERROR(__xludf.DUMMYFUNCTION("""COMPUTED_VALUE"""),"Youth 4 Impact")</f>
        <v>Youth 4 Impact</v>
      </c>
      <c r="V456" s="43" t="str">
        <f>IFERROR(__xludf.DUMMYFUNCTION("""COMPUTED_VALUE"""),"KONYA")</f>
        <v>KONYA</v>
      </c>
      <c r="W456" s="43" t="str">
        <f>IFERROR(__xludf.DUMMYFUNCTION("""COMPUTED_VALUE"""),"2023-04-01T17:54:32Z")</f>
        <v>2023-04-01T17:54:32Z</v>
      </c>
      <c r="X456" s="43"/>
      <c r="Y456" s="43"/>
      <c r="Z456" s="43"/>
    </row>
    <row r="457" hidden="1">
      <c r="A457" s="43" t="str">
        <f>IFERROR(__xludf.DUMMYFUNCTION("""COMPUTED_VALUE"""),"5228430_1292571")</f>
        <v>5228430_1292571</v>
      </c>
      <c r="B457" s="43" t="str">
        <f>IFERROR(__xludf.DUMMYFUNCTION("""COMPUTED_VALUE"""),"Nehir Küçük")</f>
        <v>Nehir Küçük</v>
      </c>
      <c r="C457" s="43" t="str">
        <f>IFERROR(__xludf.DUMMYFUNCTION("""COMPUTED_VALUE"""),"completed")</f>
        <v>completed</v>
      </c>
      <c r="D457" s="43" t="str">
        <f>IFERROR(__xludf.DUMMYFUNCTION("""COMPUTED_VALUE"""),"No")</f>
        <v>No</v>
      </c>
      <c r="E457" s="43" t="str">
        <f>IFERROR(__xludf.DUMMYFUNCTION("""COMPUTED_VALUE"""),"p_3a78d93f9b138b3761ea50a0e11f318fdc556900@inbound.aiesec.org")</f>
        <v>p_3a78d93f9b138b3761ea50a0e11f318fdc556900@inbound.aiesec.org</v>
      </c>
      <c r="F457" s="43">
        <f>IFERROR(__xludf.DUMMYFUNCTION("""COMPUTED_VALUE"""),5.522260262E9)</f>
        <v>5522260262</v>
      </c>
      <c r="G457" s="43" t="str">
        <f>IFERROR(__xludf.DUMMYFUNCTION("""COMPUTED_VALUE"""),"Turkey")</f>
        <v>Turkey</v>
      </c>
      <c r="H457" s="43" t="str">
        <f>IFERROR(__xludf.DUMMYFUNCTION("""COMPUTED_VALUE"""),"ANKARA")</f>
        <v>ANKARA</v>
      </c>
      <c r="I457" s="43" t="str">
        <f>IFERROR(__xludf.DUMMYFUNCTION("""COMPUTED_VALUE"""),"Lithuania")</f>
        <v>Lithuania</v>
      </c>
      <c r="J457" s="43" t="str">
        <f>IFERROR(__xludf.DUMMYFUNCTION("""COMPUTED_VALUE"""),"VILNIUS")</f>
        <v>VILNIUS</v>
      </c>
      <c r="K457" s="44" t="str">
        <f>IFERROR(__xludf.DUMMYFUNCTION("""COMPUTED_VALUE"""),"https://expa.aiesec.org/opportunities/1292571")</f>
        <v>https://expa.aiesec.org/opportunities/1292571</v>
      </c>
      <c r="L457" s="43" t="str">
        <f>IFERROR(__xludf.DUMMYFUNCTION("""COMPUTED_VALUE"""),"GV")</f>
        <v>GV</v>
      </c>
      <c r="M457" s="43" t="str">
        <f>IFERROR(__xludf.DUMMYFUNCTION("""COMPUTED_VALUE"""),"short")</f>
        <v>short</v>
      </c>
      <c r="N457" s="45">
        <f>IFERROR(__xludf.DUMMYFUNCTION("""COMPUTED_VALUE"""),45017.0)</f>
        <v>45017</v>
      </c>
      <c r="O457" s="45">
        <f>IFERROR(__xludf.DUMMYFUNCTION("""COMPUTED_VALUE"""),45122.0)</f>
        <v>45122</v>
      </c>
      <c r="P457" s="45">
        <f>IFERROR(__xludf.DUMMYFUNCTION("""COMPUTED_VALUE"""),45164.0)</f>
        <v>45164</v>
      </c>
      <c r="Q457" s="45">
        <f>IFERROR(__xludf.DUMMYFUNCTION("""COMPUTED_VALUE"""),45123.0)</f>
        <v>45123</v>
      </c>
      <c r="R457" s="45">
        <f>IFERROR(__xludf.DUMMYFUNCTION("""COMPUTED_VALUE"""),45164.0)</f>
        <v>45164</v>
      </c>
      <c r="S457" s="43"/>
      <c r="T457" s="43"/>
      <c r="U457" s="43" t="str">
        <f>IFERROR(__xludf.DUMMYFUNCTION("""COMPUTED_VALUE"""),"Explorer")</f>
        <v>Explorer</v>
      </c>
      <c r="V457" s="43" t="str">
        <f>IFERROR(__xludf.DUMMYFUNCTION("""COMPUTED_VALUE"""),"ANKARA")</f>
        <v>ANKARA</v>
      </c>
      <c r="W457" s="43" t="str">
        <f>IFERROR(__xludf.DUMMYFUNCTION("""COMPUTED_VALUE"""),"2023-03-27T19:10:36Z")</f>
        <v>2023-03-27T19:10:36Z</v>
      </c>
      <c r="X457" s="43"/>
      <c r="Y457" s="43"/>
      <c r="Z457" s="43"/>
    </row>
    <row r="458" hidden="1">
      <c r="A458" s="43" t="str">
        <f>IFERROR(__xludf.DUMMYFUNCTION("""COMPUTED_VALUE"""),"5051445_1289829")</f>
        <v>5051445_1289829</v>
      </c>
      <c r="B458" s="43" t="str">
        <f>IFERROR(__xludf.DUMMYFUNCTION("""COMPUTED_VALUE"""),"Furkan Duran")</f>
        <v>Furkan Duran</v>
      </c>
      <c r="C458" s="43" t="str">
        <f>IFERROR(__xludf.DUMMYFUNCTION("""COMPUTED_VALUE"""),"completed")</f>
        <v>completed</v>
      </c>
      <c r="D458" s="43" t="str">
        <f>IFERROR(__xludf.DUMMYFUNCTION("""COMPUTED_VALUE"""),"No")</f>
        <v>No</v>
      </c>
      <c r="E458" s="43" t="str">
        <f>IFERROR(__xludf.DUMMYFUNCTION("""COMPUTED_VALUE"""),"p_29e6e035f191a540e8a1b53924c34af0fc9a6def@inbound.aiesec.org")</f>
        <v>p_29e6e035f191a540e8a1b53924c34af0fc9a6def@inbound.aiesec.org</v>
      </c>
      <c r="F458" s="43">
        <f>IFERROR(__xludf.DUMMYFUNCTION("""COMPUTED_VALUE"""),5.53261629E9)</f>
        <v>5532616290</v>
      </c>
      <c r="G458" s="43" t="str">
        <f>IFERROR(__xludf.DUMMYFUNCTION("""COMPUTED_VALUE"""),"Turkey")</f>
        <v>Turkey</v>
      </c>
      <c r="H458" s="43" t="str">
        <f>IFERROR(__xludf.DUMMYFUNCTION("""COMPUTED_VALUE"""),"ISTANBUL")</f>
        <v>ISTANBUL</v>
      </c>
      <c r="I458" s="43" t="str">
        <f>IFERROR(__xludf.DUMMYFUNCTION("""COMPUTED_VALUE"""),"Egypt")</f>
        <v>Egypt</v>
      </c>
      <c r="J458" s="43" t="str">
        <f>IFERROR(__xludf.DUMMYFUNCTION("""COMPUTED_VALUE"""),"GUC")</f>
        <v>GUC</v>
      </c>
      <c r="K458" s="44" t="str">
        <f>IFERROR(__xludf.DUMMYFUNCTION("""COMPUTED_VALUE"""),"https://expa.aiesec.org/opportunities/1289829")</f>
        <v>https://expa.aiesec.org/opportunities/1289829</v>
      </c>
      <c r="L458" s="43" t="str">
        <f>IFERROR(__xludf.DUMMYFUNCTION("""COMPUTED_VALUE"""),"GV")</f>
        <v>GV</v>
      </c>
      <c r="M458" s="43" t="str">
        <f>IFERROR(__xludf.DUMMYFUNCTION("""COMPUTED_VALUE"""),"short")</f>
        <v>short</v>
      </c>
      <c r="N458" s="45">
        <f>IFERROR(__xludf.DUMMYFUNCTION("""COMPUTED_VALUE"""),45017.0)</f>
        <v>45017</v>
      </c>
      <c r="O458" s="45">
        <f>IFERROR(__xludf.DUMMYFUNCTION("""COMPUTED_VALUE"""),45153.0)</f>
        <v>45153</v>
      </c>
      <c r="P458" s="45">
        <f>IFERROR(__xludf.DUMMYFUNCTION("""COMPUTED_VALUE"""),45195.0)</f>
        <v>45195</v>
      </c>
      <c r="Q458" s="45">
        <f>IFERROR(__xludf.DUMMYFUNCTION("""COMPUTED_VALUE"""),45154.0)</f>
        <v>45154</v>
      </c>
      <c r="R458" s="45">
        <f>IFERROR(__xludf.DUMMYFUNCTION("""COMPUTED_VALUE"""),45195.0)</f>
        <v>45195</v>
      </c>
      <c r="S458" s="43"/>
      <c r="T458" s="43"/>
      <c r="U458" s="43" t="str">
        <f>IFERROR(__xludf.DUMMYFUNCTION("""COMPUTED_VALUE"""),"Green Leaders")</f>
        <v>Green Leaders</v>
      </c>
      <c r="V458" s="43" t="str">
        <f>IFERROR(__xludf.DUMMYFUNCTION("""COMPUTED_VALUE"""),"ISTANBUL ASIA")</f>
        <v>ISTANBUL ASIA</v>
      </c>
      <c r="W458" s="43" t="str">
        <f>IFERROR(__xludf.DUMMYFUNCTION("""COMPUTED_VALUE"""),"2022-05-05T10:27:29Z")</f>
        <v>2022-05-05T10:27:29Z</v>
      </c>
      <c r="X458" s="43"/>
      <c r="Y458" s="43"/>
      <c r="Z458" s="43"/>
    </row>
    <row r="459" hidden="1">
      <c r="A459" s="43" t="str">
        <f>IFERROR(__xludf.DUMMYFUNCTION("""COMPUTED_VALUE"""),"5227089_1293611")</f>
        <v>5227089_1293611</v>
      </c>
      <c r="B459" s="43" t="str">
        <f>IFERROR(__xludf.DUMMYFUNCTION("""COMPUTED_VALUE"""),"Merve kocak")</f>
        <v>Merve kocak</v>
      </c>
      <c r="C459" s="43" t="str">
        <f>IFERROR(__xludf.DUMMYFUNCTION("""COMPUTED_VALUE"""),"completed")</f>
        <v>completed</v>
      </c>
      <c r="D459" s="43" t="str">
        <f>IFERROR(__xludf.DUMMYFUNCTION("""COMPUTED_VALUE"""),"No")</f>
        <v>No</v>
      </c>
      <c r="E459" s="43" t="str">
        <f>IFERROR(__xludf.DUMMYFUNCTION("""COMPUTED_VALUE"""),"p_f590bed72722d74c551388830eae7bde8d3cb088@inbound.aiesec.org")</f>
        <v>p_f590bed72722d74c551388830eae7bde8d3cb088@inbound.aiesec.org</v>
      </c>
      <c r="F459" s="43"/>
      <c r="G459" s="43" t="str">
        <f>IFERROR(__xludf.DUMMYFUNCTION("""COMPUTED_VALUE"""),"Turkey")</f>
        <v>Turkey</v>
      </c>
      <c r="H459" s="43" t="str">
        <f>IFERROR(__xludf.DUMMYFUNCTION("""COMPUTED_VALUE"""),"KOCAELI")</f>
        <v>KOCAELI</v>
      </c>
      <c r="I459" s="43" t="str">
        <f>IFERROR(__xludf.DUMMYFUNCTION("""COMPUTED_VALUE"""),"Egypt")</f>
        <v>Egypt</v>
      </c>
      <c r="J459" s="43" t="str">
        <f>IFERROR(__xludf.DUMMYFUNCTION("""COMPUTED_VALUE"""),"Helwan")</f>
        <v>Helwan</v>
      </c>
      <c r="K459" s="44" t="str">
        <f>IFERROR(__xludf.DUMMYFUNCTION("""COMPUTED_VALUE"""),"https://expa.aiesec.org/opportunities/1293611")</f>
        <v>https://expa.aiesec.org/opportunities/1293611</v>
      </c>
      <c r="L459" s="43" t="str">
        <f>IFERROR(__xludf.DUMMYFUNCTION("""COMPUTED_VALUE"""),"GV")</f>
        <v>GV</v>
      </c>
      <c r="M459" s="43" t="str">
        <f>IFERROR(__xludf.DUMMYFUNCTION("""COMPUTED_VALUE"""),"short")</f>
        <v>short</v>
      </c>
      <c r="N459" s="45">
        <f>IFERROR(__xludf.DUMMYFUNCTION("""COMPUTED_VALUE"""),45017.0)</f>
        <v>45017</v>
      </c>
      <c r="O459" s="45">
        <f>IFERROR(__xludf.DUMMYFUNCTION("""COMPUTED_VALUE"""),45109.0)</f>
        <v>45109</v>
      </c>
      <c r="P459" s="45">
        <f>IFERROR(__xludf.DUMMYFUNCTION("""COMPUTED_VALUE"""),45151.0)</f>
        <v>45151</v>
      </c>
      <c r="Q459" s="45">
        <f>IFERROR(__xludf.DUMMYFUNCTION("""COMPUTED_VALUE"""),45107.0)</f>
        <v>45107</v>
      </c>
      <c r="R459" s="45">
        <f>IFERROR(__xludf.DUMMYFUNCTION("""COMPUTED_VALUE"""),45151.0)</f>
        <v>45151</v>
      </c>
      <c r="S459" s="43"/>
      <c r="T459" s="43"/>
      <c r="U459" s="43" t="str">
        <f>IFERROR(__xludf.DUMMYFUNCTION("""COMPUTED_VALUE"""),"Fingerprint")</f>
        <v>Fingerprint</v>
      </c>
      <c r="V459" s="43" t="str">
        <f>IFERROR(__xludf.DUMMYFUNCTION("""COMPUTED_VALUE"""),"-")</f>
        <v>-</v>
      </c>
      <c r="W459" s="43" t="str">
        <f>IFERROR(__xludf.DUMMYFUNCTION("""COMPUTED_VALUE"""),"2023-03-25T21:30:42Z")</f>
        <v>2023-03-25T21:30:42Z</v>
      </c>
      <c r="X459" s="43"/>
      <c r="Y459" s="43"/>
      <c r="Z459" s="43"/>
    </row>
    <row r="460" hidden="1">
      <c r="A460" s="43" t="str">
        <f>IFERROR(__xludf.DUMMYFUNCTION("""COMPUTED_VALUE"""),"5226105_1292571")</f>
        <v>5226105_1292571</v>
      </c>
      <c r="B460" s="43" t="str">
        <f>IFERROR(__xludf.DUMMYFUNCTION("""COMPUTED_VALUE"""),"İlayda Güldağ")</f>
        <v>İlayda Güldağ</v>
      </c>
      <c r="C460" s="43" t="str">
        <f>IFERROR(__xludf.DUMMYFUNCTION("""COMPUTED_VALUE"""),"completed")</f>
        <v>completed</v>
      </c>
      <c r="D460" s="43" t="str">
        <f>IFERROR(__xludf.DUMMYFUNCTION("""COMPUTED_VALUE"""),"No")</f>
        <v>No</v>
      </c>
      <c r="E460" s="43" t="str">
        <f>IFERROR(__xludf.DUMMYFUNCTION("""COMPUTED_VALUE"""),"p_1d9035b3b357dfbe603aa523a9ca9388675893f6@inbound.aiesec.org")</f>
        <v>p_1d9035b3b357dfbe603aa523a9ca9388675893f6@inbound.aiesec.org</v>
      </c>
      <c r="F460" s="43">
        <f>IFERROR(__xludf.DUMMYFUNCTION("""COMPUTED_VALUE"""),5.301150328E9)</f>
        <v>5301150328</v>
      </c>
      <c r="G460" s="43" t="str">
        <f>IFERROR(__xludf.DUMMYFUNCTION("""COMPUTED_VALUE"""),"Turkey")</f>
        <v>Turkey</v>
      </c>
      <c r="H460" s="43" t="str">
        <f>IFERROR(__xludf.DUMMYFUNCTION("""COMPUTED_VALUE"""),"ISTANBUL")</f>
        <v>ISTANBUL</v>
      </c>
      <c r="I460" s="43" t="str">
        <f>IFERROR(__xludf.DUMMYFUNCTION("""COMPUTED_VALUE"""),"Lithuania")</f>
        <v>Lithuania</v>
      </c>
      <c r="J460" s="43" t="str">
        <f>IFERROR(__xludf.DUMMYFUNCTION("""COMPUTED_VALUE"""),"VILNIUS")</f>
        <v>VILNIUS</v>
      </c>
      <c r="K460" s="44" t="str">
        <f>IFERROR(__xludf.DUMMYFUNCTION("""COMPUTED_VALUE"""),"https://expa.aiesec.org/opportunities/1292571")</f>
        <v>https://expa.aiesec.org/opportunities/1292571</v>
      </c>
      <c r="L460" s="43" t="str">
        <f>IFERROR(__xludf.DUMMYFUNCTION("""COMPUTED_VALUE"""),"GV")</f>
        <v>GV</v>
      </c>
      <c r="M460" s="43" t="str">
        <f>IFERROR(__xludf.DUMMYFUNCTION("""COMPUTED_VALUE"""),"short")</f>
        <v>short</v>
      </c>
      <c r="N460" s="45">
        <f>IFERROR(__xludf.DUMMYFUNCTION("""COMPUTED_VALUE"""),45017.0)</f>
        <v>45017</v>
      </c>
      <c r="O460" s="45">
        <f>IFERROR(__xludf.DUMMYFUNCTION("""COMPUTED_VALUE"""),45122.0)</f>
        <v>45122</v>
      </c>
      <c r="P460" s="45">
        <f>IFERROR(__xludf.DUMMYFUNCTION("""COMPUTED_VALUE"""),45164.0)</f>
        <v>45164</v>
      </c>
      <c r="Q460" s="45">
        <f>IFERROR(__xludf.DUMMYFUNCTION("""COMPUTED_VALUE"""),45123.0)</f>
        <v>45123</v>
      </c>
      <c r="R460" s="45">
        <f>IFERROR(__xludf.DUMMYFUNCTION("""COMPUTED_VALUE"""),45164.0)</f>
        <v>45164</v>
      </c>
      <c r="S460" s="43"/>
      <c r="T460" s="43"/>
      <c r="U460" s="43" t="str">
        <f>IFERROR(__xludf.DUMMYFUNCTION("""COMPUTED_VALUE"""),"Explorer")</f>
        <v>Explorer</v>
      </c>
      <c r="V460" s="43" t="str">
        <f>IFERROR(__xludf.DUMMYFUNCTION("""COMPUTED_VALUE"""),"ISTANBUL - BEYOGLU")</f>
        <v>ISTANBUL - BEYOGLU</v>
      </c>
      <c r="W460" s="43" t="str">
        <f>IFERROR(__xludf.DUMMYFUNCTION("""COMPUTED_VALUE"""),"2023-03-24T18:24:09Z")</f>
        <v>2023-03-24T18:24:09Z</v>
      </c>
      <c r="X460" s="43"/>
      <c r="Y460" s="43"/>
      <c r="Z460" s="43"/>
    </row>
    <row r="461" hidden="1">
      <c r="A461" s="43" t="str">
        <f>IFERROR(__xludf.DUMMYFUNCTION("""COMPUTED_VALUE"""),"5214254_1292571")</f>
        <v>5214254_1292571</v>
      </c>
      <c r="B461" s="43" t="str">
        <f>IFERROR(__xludf.DUMMYFUNCTION("""COMPUTED_VALUE"""),"Muhanmode Abulimiti")</f>
        <v>Muhanmode Abulimiti</v>
      </c>
      <c r="C461" s="43" t="str">
        <f>IFERROR(__xludf.DUMMYFUNCTION("""COMPUTED_VALUE"""),"completed")</f>
        <v>completed</v>
      </c>
      <c r="D461" s="43" t="str">
        <f>IFERROR(__xludf.DUMMYFUNCTION("""COMPUTED_VALUE"""),"No")</f>
        <v>No</v>
      </c>
      <c r="E461" s="43" t="str">
        <f>IFERROR(__xludf.DUMMYFUNCTION("""COMPUTED_VALUE"""),"p_3c0121a26aafef2446ace01dcd99c23b876481cc@inbound.aiesec.org")</f>
        <v>p_3c0121a26aafef2446ace01dcd99c23b876481cc@inbound.aiesec.org</v>
      </c>
      <c r="F461" s="43"/>
      <c r="G461" s="43" t="str">
        <f>IFERROR(__xludf.DUMMYFUNCTION("""COMPUTED_VALUE"""),"Turkey")</f>
        <v>Turkey</v>
      </c>
      <c r="H461" s="43" t="str">
        <f>IFERROR(__xludf.DUMMYFUNCTION("""COMPUTED_VALUE"""),"ISTANBUL WEST")</f>
        <v>ISTANBUL WEST</v>
      </c>
      <c r="I461" s="43" t="str">
        <f>IFERROR(__xludf.DUMMYFUNCTION("""COMPUTED_VALUE"""),"Lithuania")</f>
        <v>Lithuania</v>
      </c>
      <c r="J461" s="43" t="str">
        <f>IFERROR(__xludf.DUMMYFUNCTION("""COMPUTED_VALUE"""),"VILNIUS")</f>
        <v>VILNIUS</v>
      </c>
      <c r="K461" s="44" t="str">
        <f>IFERROR(__xludf.DUMMYFUNCTION("""COMPUTED_VALUE"""),"https://expa.aiesec.org/opportunities/1292571")</f>
        <v>https://expa.aiesec.org/opportunities/1292571</v>
      </c>
      <c r="L461" s="43" t="str">
        <f>IFERROR(__xludf.DUMMYFUNCTION("""COMPUTED_VALUE"""),"GV")</f>
        <v>GV</v>
      </c>
      <c r="M461" s="43" t="str">
        <f>IFERROR(__xludf.DUMMYFUNCTION("""COMPUTED_VALUE"""),"short")</f>
        <v>short</v>
      </c>
      <c r="N461" s="45">
        <f>IFERROR(__xludf.DUMMYFUNCTION("""COMPUTED_VALUE"""),45017.0)</f>
        <v>45017</v>
      </c>
      <c r="O461" s="45">
        <f>IFERROR(__xludf.DUMMYFUNCTION("""COMPUTED_VALUE"""),45122.0)</f>
        <v>45122</v>
      </c>
      <c r="P461" s="45">
        <f>IFERROR(__xludf.DUMMYFUNCTION("""COMPUTED_VALUE"""),45164.0)</f>
        <v>45164</v>
      </c>
      <c r="Q461" s="45">
        <f>IFERROR(__xludf.DUMMYFUNCTION("""COMPUTED_VALUE"""),45153.0)</f>
        <v>45153</v>
      </c>
      <c r="R461" s="45">
        <f>IFERROR(__xludf.DUMMYFUNCTION("""COMPUTED_VALUE"""),45195.0)</f>
        <v>45195</v>
      </c>
      <c r="S461" s="43"/>
      <c r="T461" s="43"/>
      <c r="U461" s="43" t="str">
        <f>IFERROR(__xludf.DUMMYFUNCTION("""COMPUTED_VALUE"""),"Explorer")</f>
        <v>Explorer</v>
      </c>
      <c r="V461" s="43" t="str">
        <f>IFERROR(__xludf.DUMMYFUNCTION("""COMPUTED_VALUE"""),"-")</f>
        <v>-</v>
      </c>
      <c r="W461" s="43" t="str">
        <f>IFERROR(__xludf.DUMMYFUNCTION("""COMPUTED_VALUE"""),"2023-03-13T05:19:14Z")</f>
        <v>2023-03-13T05:19:14Z</v>
      </c>
      <c r="X461" s="43"/>
      <c r="Y461" s="43"/>
      <c r="Z461" s="43"/>
    </row>
    <row r="462" hidden="1">
      <c r="A462" s="43" t="str">
        <f>IFERROR(__xludf.DUMMYFUNCTION("""COMPUTED_VALUE"""),"5220136_1293245")</f>
        <v>5220136_1293245</v>
      </c>
      <c r="B462" s="43" t="str">
        <f>IFERROR(__xludf.DUMMYFUNCTION("""COMPUTED_VALUE"""),"Ertuğrul Emir Kuyumcu")</f>
        <v>Ertuğrul Emir Kuyumcu</v>
      </c>
      <c r="C462" s="43" t="str">
        <f>IFERROR(__xludf.DUMMYFUNCTION("""COMPUTED_VALUE"""),"completed")</f>
        <v>completed</v>
      </c>
      <c r="D462" s="43" t="str">
        <f>IFERROR(__xludf.DUMMYFUNCTION("""COMPUTED_VALUE"""),"No")</f>
        <v>No</v>
      </c>
      <c r="E462" s="43" t="str">
        <f>IFERROR(__xludf.DUMMYFUNCTION("""COMPUTED_VALUE"""),"p_cd97522c2b5a6573b87c11e01c1516de3552decd@inbound.aiesec.org")</f>
        <v>p_cd97522c2b5a6573b87c11e01c1516de3552decd@inbound.aiesec.org</v>
      </c>
      <c r="F462" s="43">
        <f>IFERROR(__xludf.DUMMYFUNCTION("""COMPUTED_VALUE"""),5.5200236E9)</f>
        <v>5520023600</v>
      </c>
      <c r="G462" s="43" t="str">
        <f>IFERROR(__xludf.DUMMYFUNCTION("""COMPUTED_VALUE"""),"Turkey")</f>
        <v>Turkey</v>
      </c>
      <c r="H462" s="43" t="str">
        <f>IFERROR(__xludf.DUMMYFUNCTION("""COMPUTED_VALUE"""),"ISTANBUL WEST")</f>
        <v>ISTANBUL WEST</v>
      </c>
      <c r="I462" s="43" t="str">
        <f>IFERROR(__xludf.DUMMYFUNCTION("""COMPUTED_VALUE"""),"Germany")</f>
        <v>Germany</v>
      </c>
      <c r="J462" s="43" t="str">
        <f>IFERROR(__xludf.DUMMYFUNCTION("""COMPUTED_VALUE"""),"LUENEBURG")</f>
        <v>LUENEBURG</v>
      </c>
      <c r="K462" s="44" t="str">
        <f>IFERROR(__xludf.DUMMYFUNCTION("""COMPUTED_VALUE"""),"https://expa.aiesec.org/opportunities/1293245")</f>
        <v>https://expa.aiesec.org/opportunities/1293245</v>
      </c>
      <c r="L462" s="43" t="str">
        <f>IFERROR(__xludf.DUMMYFUNCTION("""COMPUTED_VALUE"""),"GV")</f>
        <v>GV</v>
      </c>
      <c r="M462" s="43" t="str">
        <f>IFERROR(__xludf.DUMMYFUNCTION("""COMPUTED_VALUE"""),"short")</f>
        <v>short</v>
      </c>
      <c r="N462" s="45">
        <f>IFERROR(__xludf.DUMMYFUNCTION("""COMPUTED_VALUE"""),45017.0)</f>
        <v>45017</v>
      </c>
      <c r="O462" s="45">
        <f>IFERROR(__xludf.DUMMYFUNCTION("""COMPUTED_VALUE"""),45122.0)</f>
        <v>45122</v>
      </c>
      <c r="P462" s="45">
        <f>IFERROR(__xludf.DUMMYFUNCTION("""COMPUTED_VALUE"""),45164.0)</f>
        <v>45164</v>
      </c>
      <c r="Q462" s="45">
        <f>IFERROR(__xludf.DUMMYFUNCTION("""COMPUTED_VALUE"""),45122.0)</f>
        <v>45122</v>
      </c>
      <c r="R462" s="45">
        <f>IFERROR(__xludf.DUMMYFUNCTION("""COMPUTED_VALUE"""),45164.0)</f>
        <v>45164</v>
      </c>
      <c r="S462" s="43"/>
      <c r="T462" s="43"/>
      <c r="U462" s="43" t="str">
        <f>IFERROR(__xludf.DUMMYFUNCTION("""COMPUTED_VALUE"""),"Eco City")</f>
        <v>Eco City</v>
      </c>
      <c r="V462" s="43" t="str">
        <f>IFERROR(__xludf.DUMMYFUNCTION("""COMPUTED_VALUE"""),"ISTANBUL - BAKIRKOY")</f>
        <v>ISTANBUL - BAKIRKOY</v>
      </c>
      <c r="W462" s="43" t="str">
        <f>IFERROR(__xludf.DUMMYFUNCTION("""COMPUTED_VALUE"""),"2023-03-18T11:59:26Z")</f>
        <v>2023-03-18T11:59:26Z</v>
      </c>
      <c r="X462" s="43"/>
      <c r="Y462" s="43"/>
      <c r="Z462" s="43"/>
    </row>
    <row r="463" hidden="1">
      <c r="A463" s="43" t="str">
        <f>IFERROR(__xludf.DUMMYFUNCTION("""COMPUTED_VALUE"""),"5219109_1293245")</f>
        <v>5219109_1293245</v>
      </c>
      <c r="B463" s="43" t="str">
        <f>IFERROR(__xludf.DUMMYFUNCTION("""COMPUTED_VALUE"""),"Helen Yagan")</f>
        <v>Helen Yagan</v>
      </c>
      <c r="C463" s="43" t="str">
        <f>IFERROR(__xludf.DUMMYFUNCTION("""COMPUTED_VALUE"""),"completed")</f>
        <v>completed</v>
      </c>
      <c r="D463" s="43" t="str">
        <f>IFERROR(__xludf.DUMMYFUNCTION("""COMPUTED_VALUE"""),"No")</f>
        <v>No</v>
      </c>
      <c r="E463" s="43" t="str">
        <f>IFERROR(__xludf.DUMMYFUNCTION("""COMPUTED_VALUE"""),"p_9ed18484195d1bfaa003c81536505e7ece25afe6@inbound.aiesec.org")</f>
        <v>p_9ed18484195d1bfaa003c81536505e7ece25afe6@inbound.aiesec.org</v>
      </c>
      <c r="F463" s="43">
        <f>IFERROR(__xludf.DUMMYFUNCTION("""COMPUTED_VALUE"""),5.523010517E9)</f>
        <v>5523010517</v>
      </c>
      <c r="G463" s="43" t="str">
        <f>IFERROR(__xludf.DUMMYFUNCTION("""COMPUTED_VALUE"""),"Turkey")</f>
        <v>Turkey</v>
      </c>
      <c r="H463" s="43" t="str">
        <f>IFERROR(__xludf.DUMMYFUNCTION("""COMPUTED_VALUE"""),"ISTANBUL WEST")</f>
        <v>ISTANBUL WEST</v>
      </c>
      <c r="I463" s="43" t="str">
        <f>IFERROR(__xludf.DUMMYFUNCTION("""COMPUTED_VALUE"""),"Germany")</f>
        <v>Germany</v>
      </c>
      <c r="J463" s="43" t="str">
        <f>IFERROR(__xludf.DUMMYFUNCTION("""COMPUTED_VALUE"""),"LUENEBURG")</f>
        <v>LUENEBURG</v>
      </c>
      <c r="K463" s="44" t="str">
        <f>IFERROR(__xludf.DUMMYFUNCTION("""COMPUTED_VALUE"""),"https://expa.aiesec.org/opportunities/1293245")</f>
        <v>https://expa.aiesec.org/opportunities/1293245</v>
      </c>
      <c r="L463" s="43" t="str">
        <f>IFERROR(__xludf.DUMMYFUNCTION("""COMPUTED_VALUE"""),"GV")</f>
        <v>GV</v>
      </c>
      <c r="M463" s="43" t="str">
        <f>IFERROR(__xludf.DUMMYFUNCTION("""COMPUTED_VALUE"""),"short")</f>
        <v>short</v>
      </c>
      <c r="N463" s="45">
        <f>IFERROR(__xludf.DUMMYFUNCTION("""COMPUTED_VALUE"""),45017.0)</f>
        <v>45017</v>
      </c>
      <c r="O463" s="45">
        <f>IFERROR(__xludf.DUMMYFUNCTION("""COMPUTED_VALUE"""),45122.0)</f>
        <v>45122</v>
      </c>
      <c r="P463" s="45">
        <f>IFERROR(__xludf.DUMMYFUNCTION("""COMPUTED_VALUE"""),45164.0)</f>
        <v>45164</v>
      </c>
      <c r="Q463" s="45">
        <f>IFERROR(__xludf.DUMMYFUNCTION("""COMPUTED_VALUE"""),45152.0)</f>
        <v>45152</v>
      </c>
      <c r="R463" s="45">
        <f>IFERROR(__xludf.DUMMYFUNCTION("""COMPUTED_VALUE"""),45165.0)</f>
        <v>45165</v>
      </c>
      <c r="S463" s="43"/>
      <c r="T463" s="43"/>
      <c r="U463" s="43" t="str">
        <f>IFERROR(__xludf.DUMMYFUNCTION("""COMPUTED_VALUE"""),"Eco City")</f>
        <v>Eco City</v>
      </c>
      <c r="V463" s="43" t="str">
        <f>IFERROR(__xludf.DUMMYFUNCTION("""COMPUTED_VALUE"""),"ISTANBUL - BAKIRKOY")</f>
        <v>ISTANBUL - BAKIRKOY</v>
      </c>
      <c r="W463" s="43" t="str">
        <f>IFERROR(__xludf.DUMMYFUNCTION("""COMPUTED_VALUE"""),"2023-03-17T06:51:55Z")</f>
        <v>2023-03-17T06:51:55Z</v>
      </c>
      <c r="X463" s="43"/>
      <c r="Y463" s="43"/>
      <c r="Z463" s="43"/>
    </row>
    <row r="464" hidden="1">
      <c r="A464" s="43" t="str">
        <f>IFERROR(__xludf.DUMMYFUNCTION("""COMPUTED_VALUE"""),"5232094_1293835")</f>
        <v>5232094_1293835</v>
      </c>
      <c r="B464" s="43" t="str">
        <f>IFERROR(__xludf.DUMMYFUNCTION("""COMPUTED_VALUE"""),"yasemin yılmaz")</f>
        <v>yasemin yılmaz</v>
      </c>
      <c r="C464" s="43" t="str">
        <f>IFERROR(__xludf.DUMMYFUNCTION("""COMPUTED_VALUE"""),"completed")</f>
        <v>completed</v>
      </c>
      <c r="D464" s="43" t="str">
        <f>IFERROR(__xludf.DUMMYFUNCTION("""COMPUTED_VALUE"""),"No")</f>
        <v>No</v>
      </c>
      <c r="E464" s="43" t="str">
        <f>IFERROR(__xludf.DUMMYFUNCTION("""COMPUTED_VALUE"""),"p_3615151cf773ac763d357fa3fdab26573fe0b498@inbound.aiesec.org")</f>
        <v>p_3615151cf773ac763d357fa3fdab26573fe0b498@inbound.aiesec.org</v>
      </c>
      <c r="F464" s="43"/>
      <c r="G464" s="43" t="str">
        <f>IFERROR(__xludf.DUMMYFUNCTION("""COMPUTED_VALUE"""),"Turkey")</f>
        <v>Turkey</v>
      </c>
      <c r="H464" s="43" t="str">
        <f>IFERROR(__xludf.DUMMYFUNCTION("""COMPUTED_VALUE"""),"KOCAELI")</f>
        <v>KOCAELI</v>
      </c>
      <c r="I464" s="43" t="str">
        <f>IFERROR(__xludf.DUMMYFUNCTION("""COMPUTED_VALUE"""),"Romania")</f>
        <v>Romania</v>
      </c>
      <c r="J464" s="43" t="str">
        <f>IFERROR(__xludf.DUMMYFUNCTION("""COMPUTED_VALUE"""),"Cluj-Napoca")</f>
        <v>Cluj-Napoca</v>
      </c>
      <c r="K464" s="44" t="str">
        <f>IFERROR(__xludf.DUMMYFUNCTION("""COMPUTED_VALUE"""),"https://expa.aiesec.org/opportunities/1293835")</f>
        <v>https://expa.aiesec.org/opportunities/1293835</v>
      </c>
      <c r="L464" s="43" t="str">
        <f>IFERROR(__xludf.DUMMYFUNCTION("""COMPUTED_VALUE"""),"GV")</f>
        <v>GV</v>
      </c>
      <c r="M464" s="43" t="str">
        <f>IFERROR(__xludf.DUMMYFUNCTION("""COMPUTED_VALUE"""),"short")</f>
        <v>short</v>
      </c>
      <c r="N464" s="45">
        <f>IFERROR(__xludf.DUMMYFUNCTION("""COMPUTED_VALUE"""),45018.0)</f>
        <v>45018</v>
      </c>
      <c r="O464" s="45">
        <f>IFERROR(__xludf.DUMMYFUNCTION("""COMPUTED_VALUE"""),45117.0)</f>
        <v>45117</v>
      </c>
      <c r="P464" s="45">
        <f>IFERROR(__xludf.DUMMYFUNCTION("""COMPUTED_VALUE"""),45159.0)</f>
        <v>45159</v>
      </c>
      <c r="Q464" s="45">
        <f>IFERROR(__xludf.DUMMYFUNCTION("""COMPUTED_VALUE"""),45118.0)</f>
        <v>45118</v>
      </c>
      <c r="R464" s="45">
        <f>IFERROR(__xludf.DUMMYFUNCTION("""COMPUTED_VALUE"""),45159.0)</f>
        <v>45159</v>
      </c>
      <c r="S464" s="43"/>
      <c r="T464" s="43"/>
      <c r="U464" s="43" t="str">
        <f>IFERROR(__xludf.DUMMYFUNCTION("""COMPUTED_VALUE"""),"Eat 4 Change")</f>
        <v>Eat 4 Change</v>
      </c>
      <c r="V464" s="43" t="str">
        <f>IFERROR(__xludf.DUMMYFUNCTION("""COMPUTED_VALUE"""),"-")</f>
        <v>-</v>
      </c>
      <c r="W464" s="43" t="str">
        <f>IFERROR(__xludf.DUMMYFUNCTION("""COMPUTED_VALUE"""),"2023-03-31T14:17:52Z")</f>
        <v>2023-03-31T14:17:52Z</v>
      </c>
      <c r="X464" s="43"/>
      <c r="Y464" s="43"/>
      <c r="Z464" s="43"/>
    </row>
    <row r="465" hidden="1">
      <c r="A465" s="43" t="str">
        <f>IFERROR(__xludf.DUMMYFUNCTION("""COMPUTED_VALUE"""),"5217680_1292944")</f>
        <v>5217680_1292944</v>
      </c>
      <c r="B465" s="43" t="str">
        <f>IFERROR(__xludf.DUMMYFUNCTION("""COMPUTED_VALUE"""),"Ceylan Ondogan")</f>
        <v>Ceylan Ondogan</v>
      </c>
      <c r="C465" s="43" t="str">
        <f>IFERROR(__xludf.DUMMYFUNCTION("""COMPUTED_VALUE"""),"completed")</f>
        <v>completed</v>
      </c>
      <c r="D465" s="43" t="str">
        <f>IFERROR(__xludf.DUMMYFUNCTION("""COMPUTED_VALUE"""),"No")</f>
        <v>No</v>
      </c>
      <c r="E465" s="43" t="str">
        <f>IFERROR(__xludf.DUMMYFUNCTION("""COMPUTED_VALUE"""),"p_5593fe9461f180ec6e2e2700cea95b7a2f3f94bc@inbound.aiesec.org")</f>
        <v>p_5593fe9461f180ec6e2e2700cea95b7a2f3f94bc@inbound.aiesec.org</v>
      </c>
      <c r="F465" s="43"/>
      <c r="G465" s="43" t="str">
        <f>IFERROR(__xludf.DUMMYFUNCTION("""COMPUTED_VALUE"""),"Turkey")</f>
        <v>Turkey</v>
      </c>
      <c r="H465" s="43" t="str">
        <f>IFERROR(__xludf.DUMMYFUNCTION("""COMPUTED_VALUE"""),"İZMİR")</f>
        <v>İZMİR</v>
      </c>
      <c r="I465" s="43" t="str">
        <f>IFERROR(__xludf.DUMMYFUNCTION("""COMPUTED_VALUE"""),"India")</f>
        <v>India</v>
      </c>
      <c r="J465" s="43" t="str">
        <f>IFERROR(__xludf.DUMMYFUNCTION("""COMPUTED_VALUE"""),"JAIPUR ")</f>
        <v>JAIPUR </v>
      </c>
      <c r="K465" s="44" t="str">
        <f>IFERROR(__xludf.DUMMYFUNCTION("""COMPUTED_VALUE"""),"https://expa.aiesec.org/opportunities/1292944")</f>
        <v>https://expa.aiesec.org/opportunities/1292944</v>
      </c>
      <c r="L465" s="43" t="str">
        <f>IFERROR(__xludf.DUMMYFUNCTION("""COMPUTED_VALUE"""),"GV")</f>
        <v>GV</v>
      </c>
      <c r="M465" s="43" t="str">
        <f>IFERROR(__xludf.DUMMYFUNCTION("""COMPUTED_VALUE"""),"short")</f>
        <v>short</v>
      </c>
      <c r="N465" s="45">
        <f>IFERROR(__xludf.DUMMYFUNCTION("""COMPUTED_VALUE"""),45019.0)</f>
        <v>45019</v>
      </c>
      <c r="O465" s="45">
        <f>IFERROR(__xludf.DUMMYFUNCTION("""COMPUTED_VALUE"""),45123.0)</f>
        <v>45123</v>
      </c>
      <c r="P465" s="45">
        <f>IFERROR(__xludf.DUMMYFUNCTION("""COMPUTED_VALUE"""),45165.0)</f>
        <v>45165</v>
      </c>
      <c r="Q465" s="45">
        <f>IFERROR(__xludf.DUMMYFUNCTION("""COMPUTED_VALUE"""),45123.0)</f>
        <v>45123</v>
      </c>
      <c r="R465" s="45">
        <f>IFERROR(__xludf.DUMMYFUNCTION("""COMPUTED_VALUE"""),45165.0)</f>
        <v>45165</v>
      </c>
      <c r="S465" s="43"/>
      <c r="T465" s="43"/>
      <c r="U465" s="43" t="str">
        <f>IFERROR(__xludf.DUMMYFUNCTION("""COMPUTED_VALUE"""),"Skill Up!")</f>
        <v>Skill Up!</v>
      </c>
      <c r="V465" s="43" t="str">
        <f>IFERROR(__xludf.DUMMYFUNCTION("""COMPUTED_VALUE"""),"-")</f>
        <v>-</v>
      </c>
      <c r="W465" s="43" t="str">
        <f>IFERROR(__xludf.DUMMYFUNCTION("""COMPUTED_VALUE"""),"2023-03-15T17:10:50Z")</f>
        <v>2023-03-15T17:10:50Z</v>
      </c>
      <c r="X465" s="43"/>
      <c r="Y465" s="43"/>
      <c r="Z465" s="43"/>
    </row>
    <row r="466" hidden="1">
      <c r="A466" s="43" t="str">
        <f>IFERROR(__xludf.DUMMYFUNCTION("""COMPUTED_VALUE"""),"5234994_1294000")</f>
        <v>5234994_1294000</v>
      </c>
      <c r="B466" s="43" t="str">
        <f>IFERROR(__xludf.DUMMYFUNCTION("""COMPUTED_VALUE"""),"ipek kamçı")</f>
        <v>ipek kamçı</v>
      </c>
      <c r="C466" s="43" t="str">
        <f>IFERROR(__xludf.DUMMYFUNCTION("""COMPUTED_VALUE"""),"completed")</f>
        <v>completed</v>
      </c>
      <c r="D466" s="43" t="str">
        <f>IFERROR(__xludf.DUMMYFUNCTION("""COMPUTED_VALUE"""),"No")</f>
        <v>No</v>
      </c>
      <c r="E466" s="43" t="str">
        <f>IFERROR(__xludf.DUMMYFUNCTION("""COMPUTED_VALUE"""),"p_261252ead8e977af84a914f8f8b87a7dcfd0bde1@inbound.aiesec.org")</f>
        <v>p_261252ead8e977af84a914f8f8b87a7dcfd0bde1@inbound.aiesec.org</v>
      </c>
      <c r="F466" s="43">
        <f>IFERROR(__xludf.DUMMYFUNCTION("""COMPUTED_VALUE"""),5.416261723E9)</f>
        <v>5416261723</v>
      </c>
      <c r="G466" s="43" t="str">
        <f>IFERROR(__xludf.DUMMYFUNCTION("""COMPUTED_VALUE"""),"Turkey")</f>
        <v>Turkey</v>
      </c>
      <c r="H466" s="43" t="str">
        <f>IFERROR(__xludf.DUMMYFUNCTION("""COMPUTED_VALUE"""),"ISTANBUL")</f>
        <v>ISTANBUL</v>
      </c>
      <c r="I466" s="43" t="str">
        <f>IFERROR(__xludf.DUMMYFUNCTION("""COMPUTED_VALUE"""),"Tunisia")</f>
        <v>Tunisia</v>
      </c>
      <c r="J466" s="43" t="str">
        <f>IFERROR(__xludf.DUMMYFUNCTION("""COMPUTED_VALUE"""),"SFAX")</f>
        <v>SFAX</v>
      </c>
      <c r="K466" s="44" t="str">
        <f>IFERROR(__xludf.DUMMYFUNCTION("""COMPUTED_VALUE"""),"https://expa.aiesec.org/opportunities/1294000")</f>
        <v>https://expa.aiesec.org/opportunities/1294000</v>
      </c>
      <c r="L466" s="43" t="str">
        <f>IFERROR(__xludf.DUMMYFUNCTION("""COMPUTED_VALUE"""),"GV")</f>
        <v>GV</v>
      </c>
      <c r="M466" s="43" t="str">
        <f>IFERROR(__xludf.DUMMYFUNCTION("""COMPUTED_VALUE"""),"short")</f>
        <v>short</v>
      </c>
      <c r="N466" s="45">
        <f>IFERROR(__xludf.DUMMYFUNCTION("""COMPUTED_VALUE"""),45020.0)</f>
        <v>45020</v>
      </c>
      <c r="O466" s="45">
        <f>IFERROR(__xludf.DUMMYFUNCTION("""COMPUTED_VALUE"""),45131.0)</f>
        <v>45131</v>
      </c>
      <c r="P466" s="45">
        <f>IFERROR(__xludf.DUMMYFUNCTION("""COMPUTED_VALUE"""),45173.0)</f>
        <v>45173</v>
      </c>
      <c r="Q466" s="45">
        <f>IFERROR(__xludf.DUMMYFUNCTION("""COMPUTED_VALUE"""),45132.0)</f>
        <v>45132</v>
      </c>
      <c r="R466" s="45">
        <f>IFERROR(__xludf.DUMMYFUNCTION("""COMPUTED_VALUE"""),45173.0)</f>
        <v>45173</v>
      </c>
      <c r="S466" s="43"/>
      <c r="T466" s="43"/>
      <c r="U466" s="43" t="str">
        <f>IFERROR(__xludf.DUMMYFUNCTION("""COMPUTED_VALUE"""),"Global Classroom")</f>
        <v>Global Classroom</v>
      </c>
      <c r="V466" s="43" t="str">
        <f>IFERROR(__xludf.DUMMYFUNCTION("""COMPUTED_VALUE"""),"ISTANBUL - BEYOGLU")</f>
        <v>ISTANBUL - BEYOGLU</v>
      </c>
      <c r="W466" s="43" t="str">
        <f>IFERROR(__xludf.DUMMYFUNCTION("""COMPUTED_VALUE"""),"2023-04-04T19:24:27Z")</f>
        <v>2023-04-04T19:24:27Z</v>
      </c>
      <c r="X466" s="43"/>
      <c r="Y466" s="43"/>
      <c r="Z466" s="43"/>
    </row>
    <row r="467" hidden="1">
      <c r="A467" s="43" t="str">
        <f>IFERROR(__xludf.DUMMYFUNCTION("""COMPUTED_VALUE"""),"5234045_1293200")</f>
        <v>5234045_1293200</v>
      </c>
      <c r="B467" s="43" t="str">
        <f>IFERROR(__xludf.DUMMYFUNCTION("""COMPUTED_VALUE"""),"Aleyna Olgun")</f>
        <v>Aleyna Olgun</v>
      </c>
      <c r="C467" s="43" t="str">
        <f>IFERROR(__xludf.DUMMYFUNCTION("""COMPUTED_VALUE"""),"completed")</f>
        <v>completed</v>
      </c>
      <c r="D467" s="43" t="str">
        <f>IFERROR(__xludf.DUMMYFUNCTION("""COMPUTED_VALUE"""),"No")</f>
        <v>No</v>
      </c>
      <c r="E467" s="43" t="str">
        <f>IFERROR(__xludf.DUMMYFUNCTION("""COMPUTED_VALUE"""),"p_3cf86a82815c128dde73ed033d3b8ef8545acb2e@inbound.aiesec.org")</f>
        <v>p_3cf86a82815c128dde73ed033d3b8ef8545acb2e@inbound.aiesec.org</v>
      </c>
      <c r="F467" s="43"/>
      <c r="G467" s="43" t="str">
        <f>IFERROR(__xludf.DUMMYFUNCTION("""COMPUTED_VALUE"""),"Turkey")</f>
        <v>Turkey</v>
      </c>
      <c r="H467" s="43" t="str">
        <f>IFERROR(__xludf.DUMMYFUNCTION("""COMPUTED_VALUE"""),"ISTANBUL WEST")</f>
        <v>ISTANBUL WEST</v>
      </c>
      <c r="I467" s="43" t="str">
        <f>IFERROR(__xludf.DUMMYFUNCTION("""COMPUTED_VALUE"""),"Tunisia")</f>
        <v>Tunisia</v>
      </c>
      <c r="J467" s="43" t="str">
        <f>IFERROR(__xludf.DUMMYFUNCTION("""COMPUTED_VALUE"""),"RUSPINA")</f>
        <v>RUSPINA</v>
      </c>
      <c r="K467" s="44" t="str">
        <f>IFERROR(__xludf.DUMMYFUNCTION("""COMPUTED_VALUE"""),"https://expa.aiesec.org/opportunities/1293200")</f>
        <v>https://expa.aiesec.org/opportunities/1293200</v>
      </c>
      <c r="L467" s="43" t="str">
        <f>IFERROR(__xludf.DUMMYFUNCTION("""COMPUTED_VALUE"""),"GV")</f>
        <v>GV</v>
      </c>
      <c r="M467" s="43" t="str">
        <f>IFERROR(__xludf.DUMMYFUNCTION("""COMPUTED_VALUE"""),"short")</f>
        <v>short</v>
      </c>
      <c r="N467" s="45">
        <f>IFERROR(__xludf.DUMMYFUNCTION("""COMPUTED_VALUE"""),45020.0)</f>
        <v>45020</v>
      </c>
      <c r="O467" s="45">
        <f>IFERROR(__xludf.DUMMYFUNCTION("""COMPUTED_VALUE"""),45092.0)</f>
        <v>45092</v>
      </c>
      <c r="P467" s="45">
        <f>IFERROR(__xludf.DUMMYFUNCTION("""COMPUTED_VALUE"""),45134.0)</f>
        <v>45134</v>
      </c>
      <c r="Q467" s="45">
        <f>IFERROR(__xludf.DUMMYFUNCTION("""COMPUTED_VALUE"""),45097.0)</f>
        <v>45097</v>
      </c>
      <c r="R467" s="45">
        <f>IFERROR(__xludf.DUMMYFUNCTION("""COMPUTED_VALUE"""),45138.0)</f>
        <v>45138</v>
      </c>
      <c r="S467" s="43"/>
      <c r="T467" s="43"/>
      <c r="U467" s="43" t="str">
        <f>IFERROR(__xludf.DUMMYFUNCTION("""COMPUTED_VALUE"""),"Aquatica")</f>
        <v>Aquatica</v>
      </c>
      <c r="V467" s="43" t="str">
        <f>IFERROR(__xludf.DUMMYFUNCTION("""COMPUTED_VALUE"""),"ISTANBUL - BAKIRKOY")</f>
        <v>ISTANBUL - BAKIRKOY</v>
      </c>
      <c r="W467" s="43" t="str">
        <f>IFERROR(__xludf.DUMMYFUNCTION("""COMPUTED_VALUE"""),"2023-04-03T14:05:18Z")</f>
        <v>2023-04-03T14:05:18Z</v>
      </c>
      <c r="X467" s="43"/>
      <c r="Y467" s="43"/>
      <c r="Z467" s="43"/>
    </row>
    <row r="468" hidden="1">
      <c r="A468" s="43" t="str">
        <f>IFERROR(__xludf.DUMMYFUNCTION("""COMPUTED_VALUE"""),"5058513_1293462")</f>
        <v>5058513_1293462</v>
      </c>
      <c r="B468" s="43" t="str">
        <f>IFERROR(__xludf.DUMMYFUNCTION("""COMPUTED_VALUE"""),"poyraz güler")</f>
        <v>poyraz güler</v>
      </c>
      <c r="C468" s="43" t="str">
        <f>IFERROR(__xludf.DUMMYFUNCTION("""COMPUTED_VALUE"""),"completed")</f>
        <v>completed</v>
      </c>
      <c r="D468" s="43" t="str">
        <f>IFERROR(__xludf.DUMMYFUNCTION("""COMPUTED_VALUE"""),"No")</f>
        <v>No</v>
      </c>
      <c r="E468" s="43" t="str">
        <f>IFERROR(__xludf.DUMMYFUNCTION("""COMPUTED_VALUE"""),"p_1b762cb4f943040436e3534084caa26ca36cfb57@inbound.aiesec.org")</f>
        <v>p_1b762cb4f943040436e3534084caa26ca36cfb57@inbound.aiesec.org</v>
      </c>
      <c r="F468" s="43"/>
      <c r="G468" s="43" t="str">
        <f>IFERROR(__xludf.DUMMYFUNCTION("""COMPUTED_VALUE"""),"Turkey")</f>
        <v>Turkey</v>
      </c>
      <c r="H468" s="43" t="str">
        <f>IFERROR(__xludf.DUMMYFUNCTION("""COMPUTED_VALUE"""),"ISTANBUL ASIA")</f>
        <v>ISTANBUL ASIA</v>
      </c>
      <c r="I468" s="43" t="str">
        <f>IFERROR(__xludf.DUMMYFUNCTION("""COMPUTED_VALUE"""),"Serbia")</f>
        <v>Serbia</v>
      </c>
      <c r="J468" s="43" t="str">
        <f>IFERROR(__xludf.DUMMYFUNCTION("""COMPUTED_VALUE"""),"NIS")</f>
        <v>NIS</v>
      </c>
      <c r="K468" s="44" t="str">
        <f>IFERROR(__xludf.DUMMYFUNCTION("""COMPUTED_VALUE"""),"https://expa.aiesec.org/opportunities/1293462")</f>
        <v>https://expa.aiesec.org/opportunities/1293462</v>
      </c>
      <c r="L468" s="43" t="str">
        <f>IFERROR(__xludf.DUMMYFUNCTION("""COMPUTED_VALUE"""),"GV")</f>
        <v>GV</v>
      </c>
      <c r="M468" s="43" t="str">
        <f>IFERROR(__xludf.DUMMYFUNCTION("""COMPUTED_VALUE"""),"short")</f>
        <v>short</v>
      </c>
      <c r="N468" s="45">
        <f>IFERROR(__xludf.DUMMYFUNCTION("""COMPUTED_VALUE"""),45020.0)</f>
        <v>45020</v>
      </c>
      <c r="O468" s="45">
        <f>IFERROR(__xludf.DUMMYFUNCTION("""COMPUTED_VALUE"""),45089.0)</f>
        <v>45089</v>
      </c>
      <c r="P468" s="45">
        <f>IFERROR(__xludf.DUMMYFUNCTION("""COMPUTED_VALUE"""),45131.0)</f>
        <v>45131</v>
      </c>
      <c r="Q468" s="45">
        <f>IFERROR(__xludf.DUMMYFUNCTION("""COMPUTED_VALUE"""),45089.0)</f>
        <v>45089</v>
      </c>
      <c r="R468" s="45">
        <f>IFERROR(__xludf.DUMMYFUNCTION("""COMPUTED_VALUE"""),45131.0)</f>
        <v>45131</v>
      </c>
      <c r="S468" s="43"/>
      <c r="T468" s="43"/>
      <c r="U468" s="43" t="str">
        <f>IFERROR(__xludf.DUMMYFUNCTION("""COMPUTED_VALUE"""),"Skill Up!")</f>
        <v>Skill Up!</v>
      </c>
      <c r="V468" s="43" t="str">
        <f>IFERROR(__xludf.DUMMYFUNCTION("""COMPUTED_VALUE"""),"-")</f>
        <v>-</v>
      </c>
      <c r="W468" s="43" t="str">
        <f>IFERROR(__xludf.DUMMYFUNCTION("""COMPUTED_VALUE"""),"2022-05-17T09:59:02Z")</f>
        <v>2022-05-17T09:59:02Z</v>
      </c>
      <c r="X468" s="43"/>
      <c r="Y468" s="43"/>
      <c r="Z468" s="43"/>
    </row>
    <row r="469" hidden="1">
      <c r="A469" s="43" t="str">
        <f>IFERROR(__xludf.DUMMYFUNCTION("""COMPUTED_VALUE"""),"5235054_1294000")</f>
        <v>5235054_1294000</v>
      </c>
      <c r="B469" s="43" t="str">
        <f>IFERROR(__xludf.DUMMYFUNCTION("""COMPUTED_VALUE"""),"Ahmet Öztürk")</f>
        <v>Ahmet Öztürk</v>
      </c>
      <c r="C469" s="43" t="str">
        <f>IFERROR(__xludf.DUMMYFUNCTION("""COMPUTED_VALUE"""),"completed")</f>
        <v>completed</v>
      </c>
      <c r="D469" s="43" t="str">
        <f>IFERROR(__xludf.DUMMYFUNCTION("""COMPUTED_VALUE"""),"No")</f>
        <v>No</v>
      </c>
      <c r="E469" s="43" t="str">
        <f>IFERROR(__xludf.DUMMYFUNCTION("""COMPUTED_VALUE"""),"p_1ceed921e5fa0f3e82e40e483ac686f1e83b444f@inbound.aiesec.org")</f>
        <v>p_1ceed921e5fa0f3e82e40e483ac686f1e83b444f@inbound.aiesec.org</v>
      </c>
      <c r="F469" s="43"/>
      <c r="G469" s="43" t="str">
        <f>IFERROR(__xludf.DUMMYFUNCTION("""COMPUTED_VALUE"""),"Turkey")</f>
        <v>Turkey</v>
      </c>
      <c r="H469" s="43" t="str">
        <f>IFERROR(__xludf.DUMMYFUNCTION("""COMPUTED_VALUE"""),"ISTANBUL")</f>
        <v>ISTANBUL</v>
      </c>
      <c r="I469" s="43" t="str">
        <f>IFERROR(__xludf.DUMMYFUNCTION("""COMPUTED_VALUE"""),"Tunisia")</f>
        <v>Tunisia</v>
      </c>
      <c r="J469" s="43" t="str">
        <f>IFERROR(__xludf.DUMMYFUNCTION("""COMPUTED_VALUE"""),"SFAX")</f>
        <v>SFAX</v>
      </c>
      <c r="K469" s="44" t="str">
        <f>IFERROR(__xludf.DUMMYFUNCTION("""COMPUTED_VALUE"""),"https://expa.aiesec.org/opportunities/1294000")</f>
        <v>https://expa.aiesec.org/opportunities/1294000</v>
      </c>
      <c r="L469" s="43" t="str">
        <f>IFERROR(__xludf.DUMMYFUNCTION("""COMPUTED_VALUE"""),"GV")</f>
        <v>GV</v>
      </c>
      <c r="M469" s="43" t="str">
        <f>IFERROR(__xludf.DUMMYFUNCTION("""COMPUTED_VALUE"""),"short")</f>
        <v>short</v>
      </c>
      <c r="N469" s="45">
        <f>IFERROR(__xludf.DUMMYFUNCTION("""COMPUTED_VALUE"""),45021.0)</f>
        <v>45021</v>
      </c>
      <c r="O469" s="45">
        <f>IFERROR(__xludf.DUMMYFUNCTION("""COMPUTED_VALUE"""),45131.0)</f>
        <v>45131</v>
      </c>
      <c r="P469" s="45">
        <f>IFERROR(__xludf.DUMMYFUNCTION("""COMPUTED_VALUE"""),45173.0)</f>
        <v>45173</v>
      </c>
      <c r="Q469" s="45">
        <f>IFERROR(__xludf.DUMMYFUNCTION("""COMPUTED_VALUE"""),45132.0)</f>
        <v>45132</v>
      </c>
      <c r="R469" s="45">
        <f>IFERROR(__xludf.DUMMYFUNCTION("""COMPUTED_VALUE"""),45173.0)</f>
        <v>45173</v>
      </c>
      <c r="S469" s="43"/>
      <c r="T469" s="43"/>
      <c r="U469" s="43" t="str">
        <f>IFERROR(__xludf.DUMMYFUNCTION("""COMPUTED_VALUE"""),"Global Classroom")</f>
        <v>Global Classroom</v>
      </c>
      <c r="V469" s="43" t="str">
        <f>IFERROR(__xludf.DUMMYFUNCTION("""COMPUTED_VALUE"""),"ISTANBUL - BEYOGLU")</f>
        <v>ISTANBUL - BEYOGLU</v>
      </c>
      <c r="W469" s="43" t="str">
        <f>IFERROR(__xludf.DUMMYFUNCTION("""COMPUTED_VALUE"""),"2023-04-04T21:16:37Z")</f>
        <v>2023-04-04T21:16:37Z</v>
      </c>
      <c r="X469" s="43"/>
      <c r="Y469" s="43"/>
      <c r="Z469" s="43"/>
    </row>
    <row r="470" hidden="1">
      <c r="A470" s="43" t="str">
        <f>IFERROR(__xludf.DUMMYFUNCTION("""COMPUTED_VALUE"""),"5064570_1290282")</f>
        <v>5064570_1290282</v>
      </c>
      <c r="B470" s="43" t="str">
        <f>IFERROR(__xludf.DUMMYFUNCTION("""COMPUTED_VALUE"""),"İlke Sözdinler")</f>
        <v>İlke Sözdinler</v>
      </c>
      <c r="C470" s="43" t="str">
        <f>IFERROR(__xludf.DUMMYFUNCTION("""COMPUTED_VALUE"""),"completed")</f>
        <v>completed</v>
      </c>
      <c r="D470" s="43" t="str">
        <f>IFERROR(__xludf.DUMMYFUNCTION("""COMPUTED_VALUE"""),"No")</f>
        <v>No</v>
      </c>
      <c r="E470" s="43" t="str">
        <f>IFERROR(__xludf.DUMMYFUNCTION("""COMPUTED_VALUE"""),"p_d78ef5c3d81686c80b43b825626cbb32e76f19a9@inbound.aiesec.org")</f>
        <v>p_d78ef5c3d81686c80b43b825626cbb32e76f19a9@inbound.aiesec.org</v>
      </c>
      <c r="F470" s="43"/>
      <c r="G470" s="43" t="str">
        <f>IFERROR(__xludf.DUMMYFUNCTION("""COMPUTED_VALUE"""),"Turkey")</f>
        <v>Turkey</v>
      </c>
      <c r="H470" s="43" t="str">
        <f>IFERROR(__xludf.DUMMYFUNCTION("""COMPUTED_VALUE"""),"ISTANBUL WEST")</f>
        <v>ISTANBUL WEST</v>
      </c>
      <c r="I470" s="43" t="str">
        <f>IFERROR(__xludf.DUMMYFUNCTION("""COMPUTED_VALUE"""),"Egypt")</f>
        <v>Egypt</v>
      </c>
      <c r="J470" s="43" t="str">
        <f>IFERROR(__xludf.DUMMYFUNCTION("""COMPUTED_VALUE"""),"GUC")</f>
        <v>GUC</v>
      </c>
      <c r="K470" s="44" t="str">
        <f>IFERROR(__xludf.DUMMYFUNCTION("""COMPUTED_VALUE"""),"https://expa.aiesec.org/opportunities/1290282")</f>
        <v>https://expa.aiesec.org/opportunities/1290282</v>
      </c>
      <c r="L470" s="43" t="str">
        <f>IFERROR(__xludf.DUMMYFUNCTION("""COMPUTED_VALUE"""),"GV")</f>
        <v>GV</v>
      </c>
      <c r="M470" s="43" t="str">
        <f>IFERROR(__xludf.DUMMYFUNCTION("""COMPUTED_VALUE"""),"short")</f>
        <v>short</v>
      </c>
      <c r="N470" s="45">
        <f>IFERROR(__xludf.DUMMYFUNCTION("""COMPUTED_VALUE"""),45021.0)</f>
        <v>45021</v>
      </c>
      <c r="O470" s="45">
        <f>IFERROR(__xludf.DUMMYFUNCTION("""COMPUTED_VALUE"""),45122.0)</f>
        <v>45122</v>
      </c>
      <c r="P470" s="45">
        <f>IFERROR(__xludf.DUMMYFUNCTION("""COMPUTED_VALUE"""),45164.0)</f>
        <v>45164</v>
      </c>
      <c r="Q470" s="45">
        <f>IFERROR(__xludf.DUMMYFUNCTION("""COMPUTED_VALUE"""),45123.0)</f>
        <v>45123</v>
      </c>
      <c r="R470" s="45">
        <f>IFERROR(__xludf.DUMMYFUNCTION("""COMPUTED_VALUE"""),45165.0)</f>
        <v>45165</v>
      </c>
      <c r="S470" s="43"/>
      <c r="T470" s="43"/>
      <c r="U470" s="43" t="str">
        <f>IFERROR(__xludf.DUMMYFUNCTION("""COMPUTED_VALUE"""),"On The Map")</f>
        <v>On The Map</v>
      </c>
      <c r="V470" s="43" t="str">
        <f>IFERROR(__xludf.DUMMYFUNCTION("""COMPUTED_VALUE"""),"-")</f>
        <v>-</v>
      </c>
      <c r="W470" s="43" t="str">
        <f>IFERROR(__xludf.DUMMYFUNCTION("""COMPUTED_VALUE"""),"2022-05-27T09:04:27Z")</f>
        <v>2022-05-27T09:04:27Z</v>
      </c>
      <c r="X470" s="43"/>
      <c r="Y470" s="43"/>
      <c r="Z470" s="43"/>
    </row>
    <row r="471" hidden="1">
      <c r="A471" s="43" t="str">
        <f>IFERROR(__xludf.DUMMYFUNCTION("""COMPUTED_VALUE"""),"5228365_1285905")</f>
        <v>5228365_1285905</v>
      </c>
      <c r="B471" s="43" t="str">
        <f>IFERROR(__xludf.DUMMYFUNCTION("""COMPUTED_VALUE"""),"Mehmet Kazanasmaz")</f>
        <v>Mehmet Kazanasmaz</v>
      </c>
      <c r="C471" s="43" t="str">
        <f>IFERROR(__xludf.DUMMYFUNCTION("""COMPUTED_VALUE"""),"completed")</f>
        <v>completed</v>
      </c>
      <c r="D471" s="43" t="str">
        <f>IFERROR(__xludf.DUMMYFUNCTION("""COMPUTED_VALUE"""),"No")</f>
        <v>No</v>
      </c>
      <c r="E471" s="43" t="str">
        <f>IFERROR(__xludf.DUMMYFUNCTION("""COMPUTED_VALUE"""),"p_204bf1efccde43053d5ce9a7e192c33eb7e859e9@inbound.aiesec.org")</f>
        <v>p_204bf1efccde43053d5ce9a7e192c33eb7e859e9@inbound.aiesec.org</v>
      </c>
      <c r="F471" s="43"/>
      <c r="G471" s="43" t="str">
        <f>IFERROR(__xludf.DUMMYFUNCTION("""COMPUTED_VALUE"""),"Turkey")</f>
        <v>Turkey</v>
      </c>
      <c r="H471" s="43" t="str">
        <f>IFERROR(__xludf.DUMMYFUNCTION("""COMPUTED_VALUE"""),"ADANA")</f>
        <v>ADANA</v>
      </c>
      <c r="I471" s="43" t="str">
        <f>IFERROR(__xludf.DUMMYFUNCTION("""COMPUTED_VALUE"""),"Egypt")</f>
        <v>Egypt</v>
      </c>
      <c r="J471" s="43" t="str">
        <f>IFERROR(__xludf.DUMMYFUNCTION("""COMPUTED_VALUE"""),"AAST In CAIRO")</f>
        <v>AAST In CAIRO</v>
      </c>
      <c r="K471" s="44" t="str">
        <f>IFERROR(__xludf.DUMMYFUNCTION("""COMPUTED_VALUE"""),"https://expa.aiesec.org/opportunities/1285905")</f>
        <v>https://expa.aiesec.org/opportunities/1285905</v>
      </c>
      <c r="L471" s="43" t="str">
        <f>IFERROR(__xludf.DUMMYFUNCTION("""COMPUTED_VALUE"""),"GV")</f>
        <v>GV</v>
      </c>
      <c r="M471" s="43" t="str">
        <f>IFERROR(__xludf.DUMMYFUNCTION("""COMPUTED_VALUE"""),"short")</f>
        <v>short</v>
      </c>
      <c r="N471" s="45">
        <f>IFERROR(__xludf.DUMMYFUNCTION("""COMPUTED_VALUE"""),45021.0)</f>
        <v>45021</v>
      </c>
      <c r="O471" s="45">
        <f>IFERROR(__xludf.DUMMYFUNCTION("""COMPUTED_VALUE"""),45122.0)</f>
        <v>45122</v>
      </c>
      <c r="P471" s="45">
        <f>IFERROR(__xludf.DUMMYFUNCTION("""COMPUTED_VALUE"""),45164.0)</f>
        <v>45164</v>
      </c>
      <c r="Q471" s="45">
        <f>IFERROR(__xludf.DUMMYFUNCTION("""COMPUTED_VALUE"""),45119.0)</f>
        <v>45119</v>
      </c>
      <c r="R471" s="45">
        <f>IFERROR(__xludf.DUMMYFUNCTION("""COMPUTED_VALUE"""),45157.0)</f>
        <v>45157</v>
      </c>
      <c r="S471" s="43"/>
      <c r="T471" s="43"/>
      <c r="U471" s="43" t="str">
        <f>IFERROR(__xludf.DUMMYFUNCTION("""COMPUTED_VALUE"""),"Equify")</f>
        <v>Equify</v>
      </c>
      <c r="V471" s="43" t="str">
        <f>IFERROR(__xludf.DUMMYFUNCTION("""COMPUTED_VALUE"""),"SANLIURFA")</f>
        <v>SANLIURFA</v>
      </c>
      <c r="W471" s="43" t="str">
        <f>IFERROR(__xludf.DUMMYFUNCTION("""COMPUTED_VALUE"""),"2023-03-27T17:40:52Z")</f>
        <v>2023-03-27T17:40:52Z</v>
      </c>
      <c r="X471" s="43"/>
      <c r="Y471" s="43"/>
      <c r="Z471" s="43"/>
    </row>
    <row r="472" hidden="1">
      <c r="A472" s="43" t="str">
        <f>IFERROR(__xludf.DUMMYFUNCTION("""COMPUTED_VALUE"""),"4670569_1285905")</f>
        <v>4670569_1285905</v>
      </c>
      <c r="B472" s="43" t="str">
        <f>IFERROR(__xludf.DUMMYFUNCTION("""COMPUTED_VALUE"""),"Aybala Karaca")</f>
        <v>Aybala Karaca</v>
      </c>
      <c r="C472" s="43" t="str">
        <f>IFERROR(__xludf.DUMMYFUNCTION("""COMPUTED_VALUE"""),"completed")</f>
        <v>completed</v>
      </c>
      <c r="D472" s="43" t="str">
        <f>IFERROR(__xludf.DUMMYFUNCTION("""COMPUTED_VALUE"""),"No")</f>
        <v>No</v>
      </c>
      <c r="E472" s="43" t="str">
        <f>IFERROR(__xludf.DUMMYFUNCTION("""COMPUTED_VALUE"""),"p_1d1d373d72e721fabb1ba189429345bcdfde5e3a@inbound.aiesec.org")</f>
        <v>p_1d1d373d72e721fabb1ba189429345bcdfde5e3a@inbound.aiesec.org</v>
      </c>
      <c r="F472" s="43">
        <f>IFERROR(__xludf.DUMMYFUNCTION("""COMPUTED_VALUE"""),5.541142632E9)</f>
        <v>5541142632</v>
      </c>
      <c r="G472" s="43" t="str">
        <f>IFERROR(__xludf.DUMMYFUNCTION("""COMPUTED_VALUE"""),"Turkey")</f>
        <v>Turkey</v>
      </c>
      <c r="H472" s="43" t="str">
        <f>IFERROR(__xludf.DUMMYFUNCTION("""COMPUTED_VALUE"""),"ADANA")</f>
        <v>ADANA</v>
      </c>
      <c r="I472" s="43" t="str">
        <f>IFERROR(__xludf.DUMMYFUNCTION("""COMPUTED_VALUE"""),"Egypt")</f>
        <v>Egypt</v>
      </c>
      <c r="J472" s="43" t="str">
        <f>IFERROR(__xludf.DUMMYFUNCTION("""COMPUTED_VALUE"""),"AAST In CAIRO")</f>
        <v>AAST In CAIRO</v>
      </c>
      <c r="K472" s="44" t="str">
        <f>IFERROR(__xludf.DUMMYFUNCTION("""COMPUTED_VALUE"""),"https://expa.aiesec.org/opportunities/1285905")</f>
        <v>https://expa.aiesec.org/opportunities/1285905</v>
      </c>
      <c r="L472" s="43" t="str">
        <f>IFERROR(__xludf.DUMMYFUNCTION("""COMPUTED_VALUE"""),"GV")</f>
        <v>GV</v>
      </c>
      <c r="M472" s="43" t="str">
        <f>IFERROR(__xludf.DUMMYFUNCTION("""COMPUTED_VALUE"""),"short")</f>
        <v>short</v>
      </c>
      <c r="N472" s="45">
        <f>IFERROR(__xludf.DUMMYFUNCTION("""COMPUTED_VALUE"""),45021.0)</f>
        <v>45021</v>
      </c>
      <c r="O472" s="45">
        <f>IFERROR(__xludf.DUMMYFUNCTION("""COMPUTED_VALUE"""),45122.0)</f>
        <v>45122</v>
      </c>
      <c r="P472" s="45">
        <f>IFERROR(__xludf.DUMMYFUNCTION("""COMPUTED_VALUE"""),45164.0)</f>
        <v>45164</v>
      </c>
      <c r="Q472" s="45">
        <f>IFERROR(__xludf.DUMMYFUNCTION("""COMPUTED_VALUE"""),45119.0)</f>
        <v>45119</v>
      </c>
      <c r="R472" s="45">
        <f>IFERROR(__xludf.DUMMYFUNCTION("""COMPUTED_VALUE"""),45157.0)</f>
        <v>45157</v>
      </c>
      <c r="S472" s="43"/>
      <c r="T472" s="43"/>
      <c r="U472" s="43" t="str">
        <f>IFERROR(__xludf.DUMMYFUNCTION("""COMPUTED_VALUE"""),"Equify")</f>
        <v>Equify</v>
      </c>
      <c r="V472" s="43" t="str">
        <f>IFERROR(__xludf.DUMMYFUNCTION("""COMPUTED_VALUE"""),"ADANA")</f>
        <v>ADANA</v>
      </c>
      <c r="W472" s="43" t="str">
        <f>IFERROR(__xludf.DUMMYFUNCTION("""COMPUTED_VALUE"""),"2021-06-18T10:59:18Z")</f>
        <v>2021-06-18T10:59:18Z</v>
      </c>
      <c r="X472" s="43"/>
      <c r="Y472" s="43"/>
      <c r="Z472" s="43"/>
    </row>
    <row r="473" hidden="1">
      <c r="A473" s="43" t="str">
        <f>IFERROR(__xludf.DUMMYFUNCTION("""COMPUTED_VALUE"""),"5232011_1288798")</f>
        <v>5232011_1288798</v>
      </c>
      <c r="B473" s="43" t="str">
        <f>IFERROR(__xludf.DUMMYFUNCTION("""COMPUTED_VALUE"""),"Busra Nesliturk")</f>
        <v>Busra Nesliturk</v>
      </c>
      <c r="C473" s="43" t="str">
        <f>IFERROR(__xludf.DUMMYFUNCTION("""COMPUTED_VALUE"""),"approved")</f>
        <v>approved</v>
      </c>
      <c r="D473" s="43" t="str">
        <f>IFERROR(__xludf.DUMMYFUNCTION("""COMPUTED_VALUE"""),"No")</f>
        <v>No</v>
      </c>
      <c r="E473" s="43" t="str">
        <f>IFERROR(__xludf.DUMMYFUNCTION("""COMPUTED_VALUE"""),"p_2bb40f6a95c5566e773181e7825c4d38ac03425a@inbound.aiesec.org")</f>
        <v>p_2bb40f6a95c5566e773181e7825c4d38ac03425a@inbound.aiesec.org</v>
      </c>
      <c r="F473" s="43"/>
      <c r="G473" s="43" t="str">
        <f>IFERROR(__xludf.DUMMYFUNCTION("""COMPUTED_VALUE"""),"Turkey")</f>
        <v>Turkey</v>
      </c>
      <c r="H473" s="43" t="str">
        <f>IFERROR(__xludf.DUMMYFUNCTION("""COMPUTED_VALUE"""),"ISTANBUL")</f>
        <v>ISTANBUL</v>
      </c>
      <c r="I473" s="43" t="str">
        <f>IFERROR(__xludf.DUMMYFUNCTION("""COMPUTED_VALUE"""),"Sri Lanka")</f>
        <v>Sri Lanka</v>
      </c>
      <c r="J473" s="43" t="str">
        <f>IFERROR(__xludf.DUMMYFUNCTION("""COMPUTED_VALUE"""),"COLOMBO SOUTH")</f>
        <v>COLOMBO SOUTH</v>
      </c>
      <c r="K473" s="44" t="str">
        <f>IFERROR(__xludf.DUMMYFUNCTION("""COMPUTED_VALUE"""),"https://expa.aiesec.org/opportunities/1288798")</f>
        <v>https://expa.aiesec.org/opportunities/1288798</v>
      </c>
      <c r="L473" s="43" t="str">
        <f>IFERROR(__xludf.DUMMYFUNCTION("""COMPUTED_VALUE"""),"GV")</f>
        <v>GV</v>
      </c>
      <c r="M473" s="43" t="str">
        <f>IFERROR(__xludf.DUMMYFUNCTION("""COMPUTED_VALUE"""),"short")</f>
        <v>short</v>
      </c>
      <c r="N473" s="45">
        <f>IFERROR(__xludf.DUMMYFUNCTION("""COMPUTED_VALUE"""),45021.0)</f>
        <v>45021</v>
      </c>
      <c r="O473" s="45">
        <f>IFERROR(__xludf.DUMMYFUNCTION("""COMPUTED_VALUE"""),45187.0)</f>
        <v>45187</v>
      </c>
      <c r="P473" s="45">
        <f>IFERROR(__xludf.DUMMYFUNCTION("""COMPUTED_VALUE"""),45229.0)</f>
        <v>45229</v>
      </c>
      <c r="Q473" s="45"/>
      <c r="R473" s="45"/>
      <c r="S473" s="43"/>
      <c r="T473" s="43"/>
      <c r="U473" s="43" t="str">
        <f>IFERROR(__xludf.DUMMYFUNCTION("""COMPUTED_VALUE"""),"Heartbeat")</f>
        <v>Heartbeat</v>
      </c>
      <c r="V473" s="43" t="str">
        <f>IFERROR(__xludf.DUMMYFUNCTION("""COMPUTED_VALUE"""),"-")</f>
        <v>-</v>
      </c>
      <c r="W473" s="43" t="str">
        <f>IFERROR(__xludf.DUMMYFUNCTION("""COMPUTED_VALUE"""),"2023-03-31T12:39:04Z")</f>
        <v>2023-03-31T12:39:04Z</v>
      </c>
      <c r="X473" s="43"/>
      <c r="Y473" s="43"/>
      <c r="Z473" s="43"/>
    </row>
    <row r="474" hidden="1">
      <c r="A474" s="43" t="str">
        <f>IFERROR(__xludf.DUMMYFUNCTION("""COMPUTED_VALUE"""),"5235873_1294034")</f>
        <v>5235873_1294034</v>
      </c>
      <c r="B474" s="43" t="str">
        <f>IFERROR(__xludf.DUMMYFUNCTION("""COMPUTED_VALUE"""),"irem Karabulut")</f>
        <v>irem Karabulut</v>
      </c>
      <c r="C474" s="43" t="str">
        <f>IFERROR(__xludf.DUMMYFUNCTION("""COMPUTED_VALUE"""),"completed")</f>
        <v>completed</v>
      </c>
      <c r="D474" s="43" t="str">
        <f>IFERROR(__xludf.DUMMYFUNCTION("""COMPUTED_VALUE"""),"No")</f>
        <v>No</v>
      </c>
      <c r="E474" s="43" t="str">
        <f>IFERROR(__xludf.DUMMYFUNCTION("""COMPUTED_VALUE"""),"p_bbbfd52dcbc2b05576d11a8dbb9bb06aaf141066@inbound.aiesec.org")</f>
        <v>p_bbbfd52dcbc2b05576d11a8dbb9bb06aaf141066@inbound.aiesec.org</v>
      </c>
      <c r="F474" s="43"/>
      <c r="G474" s="43" t="str">
        <f>IFERROR(__xludf.DUMMYFUNCTION("""COMPUTED_VALUE"""),"Turkey")</f>
        <v>Turkey</v>
      </c>
      <c r="H474" s="43" t="str">
        <f>IFERROR(__xludf.DUMMYFUNCTION("""COMPUTED_VALUE"""),"İZMİR")</f>
        <v>İZMİR</v>
      </c>
      <c r="I474" s="43" t="str">
        <f>IFERROR(__xludf.DUMMYFUNCTION("""COMPUTED_VALUE"""),"Tunisia")</f>
        <v>Tunisia</v>
      </c>
      <c r="J474" s="43" t="str">
        <f>IFERROR(__xludf.DUMMYFUNCTION("""COMPUTED_VALUE"""),"SFAX")</f>
        <v>SFAX</v>
      </c>
      <c r="K474" s="44" t="str">
        <f>IFERROR(__xludf.DUMMYFUNCTION("""COMPUTED_VALUE"""),"https://expa.aiesec.org/opportunities/1294034")</f>
        <v>https://expa.aiesec.org/opportunities/1294034</v>
      </c>
      <c r="L474" s="43" t="str">
        <f>IFERROR(__xludf.DUMMYFUNCTION("""COMPUTED_VALUE"""),"GV")</f>
        <v>GV</v>
      </c>
      <c r="M474" s="43" t="str">
        <f>IFERROR(__xludf.DUMMYFUNCTION("""COMPUTED_VALUE"""),"short")</f>
        <v>short</v>
      </c>
      <c r="N474" s="45">
        <f>IFERROR(__xludf.DUMMYFUNCTION("""COMPUTED_VALUE"""),45022.0)</f>
        <v>45022</v>
      </c>
      <c r="O474" s="45">
        <f>IFERROR(__xludf.DUMMYFUNCTION("""COMPUTED_VALUE"""),45131.0)</f>
        <v>45131</v>
      </c>
      <c r="P474" s="45">
        <f>IFERROR(__xludf.DUMMYFUNCTION("""COMPUTED_VALUE"""),45173.0)</f>
        <v>45173</v>
      </c>
      <c r="Q474" s="45">
        <f>IFERROR(__xludf.DUMMYFUNCTION("""COMPUTED_VALUE"""),45132.0)</f>
        <v>45132</v>
      </c>
      <c r="R474" s="45">
        <f>IFERROR(__xludf.DUMMYFUNCTION("""COMPUTED_VALUE"""),45173.0)</f>
        <v>45173</v>
      </c>
      <c r="S474" s="43"/>
      <c r="T474" s="43"/>
      <c r="U474" s="43" t="str">
        <f>IFERROR(__xludf.DUMMYFUNCTION("""COMPUTED_VALUE"""),"Global Classroom")</f>
        <v>Global Classroom</v>
      </c>
      <c r="V474" s="43" t="str">
        <f>IFERROR(__xludf.DUMMYFUNCTION("""COMPUTED_VALUE"""),"-")</f>
        <v>-</v>
      </c>
      <c r="W474" s="43" t="str">
        <f>IFERROR(__xludf.DUMMYFUNCTION("""COMPUTED_VALUE"""),"2023-04-05T20:18:59Z")</f>
        <v>2023-04-05T20:18:59Z</v>
      </c>
      <c r="X474" s="43"/>
      <c r="Y474" s="43"/>
      <c r="Z474" s="43"/>
    </row>
    <row r="475" hidden="1">
      <c r="A475" s="43" t="str">
        <f>IFERROR(__xludf.DUMMYFUNCTION("""COMPUTED_VALUE"""),"5235716_1294000")</f>
        <v>5235716_1294000</v>
      </c>
      <c r="B475" s="43" t="str">
        <f>IFERROR(__xludf.DUMMYFUNCTION("""COMPUTED_VALUE"""),"Beyzanur Bolat")</f>
        <v>Beyzanur Bolat</v>
      </c>
      <c r="C475" s="43" t="str">
        <f>IFERROR(__xludf.DUMMYFUNCTION("""COMPUTED_VALUE"""),"completed")</f>
        <v>completed</v>
      </c>
      <c r="D475" s="43" t="str">
        <f>IFERROR(__xludf.DUMMYFUNCTION("""COMPUTED_VALUE"""),"No")</f>
        <v>No</v>
      </c>
      <c r="E475" s="43" t="str">
        <f>IFERROR(__xludf.DUMMYFUNCTION("""COMPUTED_VALUE"""),"p_270c339d3443f35761e8da752a007d377723882e@inbound.aiesec.org")</f>
        <v>p_270c339d3443f35761e8da752a007d377723882e@inbound.aiesec.org</v>
      </c>
      <c r="F475" s="43">
        <f>IFERROR(__xludf.DUMMYFUNCTION("""COMPUTED_VALUE"""),5.417314371E9)</f>
        <v>5417314371</v>
      </c>
      <c r="G475" s="43" t="str">
        <f>IFERROR(__xludf.DUMMYFUNCTION("""COMPUTED_VALUE"""),"Turkey")</f>
        <v>Turkey</v>
      </c>
      <c r="H475" s="43" t="str">
        <f>IFERROR(__xludf.DUMMYFUNCTION("""COMPUTED_VALUE"""),"ISTANBUL")</f>
        <v>ISTANBUL</v>
      </c>
      <c r="I475" s="43" t="str">
        <f>IFERROR(__xludf.DUMMYFUNCTION("""COMPUTED_VALUE"""),"Tunisia")</f>
        <v>Tunisia</v>
      </c>
      <c r="J475" s="43" t="str">
        <f>IFERROR(__xludf.DUMMYFUNCTION("""COMPUTED_VALUE"""),"SFAX")</f>
        <v>SFAX</v>
      </c>
      <c r="K475" s="44" t="str">
        <f>IFERROR(__xludf.DUMMYFUNCTION("""COMPUTED_VALUE"""),"https://expa.aiesec.org/opportunities/1294000")</f>
        <v>https://expa.aiesec.org/opportunities/1294000</v>
      </c>
      <c r="L475" s="43" t="str">
        <f>IFERROR(__xludf.DUMMYFUNCTION("""COMPUTED_VALUE"""),"GV")</f>
        <v>GV</v>
      </c>
      <c r="M475" s="43" t="str">
        <f>IFERROR(__xludf.DUMMYFUNCTION("""COMPUTED_VALUE"""),"short")</f>
        <v>short</v>
      </c>
      <c r="N475" s="45">
        <f>IFERROR(__xludf.DUMMYFUNCTION("""COMPUTED_VALUE"""),45022.0)</f>
        <v>45022</v>
      </c>
      <c r="O475" s="45">
        <f>IFERROR(__xludf.DUMMYFUNCTION("""COMPUTED_VALUE"""),45131.0)</f>
        <v>45131</v>
      </c>
      <c r="P475" s="45">
        <f>IFERROR(__xludf.DUMMYFUNCTION("""COMPUTED_VALUE"""),45173.0)</f>
        <v>45173</v>
      </c>
      <c r="Q475" s="45">
        <f>IFERROR(__xludf.DUMMYFUNCTION("""COMPUTED_VALUE"""),45132.0)</f>
        <v>45132</v>
      </c>
      <c r="R475" s="45">
        <f>IFERROR(__xludf.DUMMYFUNCTION("""COMPUTED_VALUE"""),45173.0)</f>
        <v>45173</v>
      </c>
      <c r="S475" s="43"/>
      <c r="T475" s="43"/>
      <c r="U475" s="43" t="str">
        <f>IFERROR(__xludf.DUMMYFUNCTION("""COMPUTED_VALUE"""),"Global Classroom")</f>
        <v>Global Classroom</v>
      </c>
      <c r="V475" s="43" t="str">
        <f>IFERROR(__xludf.DUMMYFUNCTION("""COMPUTED_VALUE"""),"ISTANBUL - BEYOGLU")</f>
        <v>ISTANBUL - BEYOGLU</v>
      </c>
      <c r="W475" s="43" t="str">
        <f>IFERROR(__xludf.DUMMYFUNCTION("""COMPUTED_VALUE"""),"2023-04-05T16:00:38Z")</f>
        <v>2023-04-05T16:00:38Z</v>
      </c>
      <c r="X475" s="43"/>
      <c r="Y475" s="43"/>
      <c r="Z475" s="43"/>
    </row>
    <row r="476" hidden="1">
      <c r="A476" s="43" t="str">
        <f>IFERROR(__xludf.DUMMYFUNCTION("""COMPUTED_VALUE"""),"3702599_1290891")</f>
        <v>3702599_1290891</v>
      </c>
      <c r="B476" s="43" t="str">
        <f>IFERROR(__xludf.DUMMYFUNCTION("""COMPUTED_VALUE"""),"İrem İnan")</f>
        <v>İrem İnan</v>
      </c>
      <c r="C476" s="43" t="str">
        <f>IFERROR(__xludf.DUMMYFUNCTION("""COMPUTED_VALUE"""),"completed")</f>
        <v>completed</v>
      </c>
      <c r="D476" s="43" t="str">
        <f>IFERROR(__xludf.DUMMYFUNCTION("""COMPUTED_VALUE"""),"No")</f>
        <v>No</v>
      </c>
      <c r="E476" s="43" t="str">
        <f>IFERROR(__xludf.DUMMYFUNCTION("""COMPUTED_VALUE"""),"p_d1c5d5e2b7f8ee4f5d9986bcbdc36475cf022009@inbound.aiesec.org")</f>
        <v>p_d1c5d5e2b7f8ee4f5d9986bcbdc36475cf022009@inbound.aiesec.org</v>
      </c>
      <c r="F476" s="43">
        <f>IFERROR(__xludf.DUMMYFUNCTION("""COMPUTED_VALUE"""),5.434311954E9)</f>
        <v>5434311954</v>
      </c>
      <c r="G476" s="43" t="str">
        <f>IFERROR(__xludf.DUMMYFUNCTION("""COMPUTED_VALUE"""),"Turkey")</f>
        <v>Turkey</v>
      </c>
      <c r="H476" s="43" t="str">
        <f>IFERROR(__xludf.DUMMYFUNCTION("""COMPUTED_VALUE"""),"ISTANBUL ASIA")</f>
        <v>ISTANBUL ASIA</v>
      </c>
      <c r="I476" s="43" t="str">
        <f>IFERROR(__xludf.DUMMYFUNCTION("""COMPUTED_VALUE"""),"Spain")</f>
        <v>Spain</v>
      </c>
      <c r="J476" s="43" t="str">
        <f>IFERROR(__xludf.DUMMYFUNCTION("""COMPUTED_VALUE"""),"Pompeu Fabra Barcelona")</f>
        <v>Pompeu Fabra Barcelona</v>
      </c>
      <c r="K476" s="44" t="str">
        <f>IFERROR(__xludf.DUMMYFUNCTION("""COMPUTED_VALUE"""),"https://expa.aiesec.org/opportunities/1290891")</f>
        <v>https://expa.aiesec.org/opportunities/1290891</v>
      </c>
      <c r="L476" s="43" t="str">
        <f>IFERROR(__xludf.DUMMYFUNCTION("""COMPUTED_VALUE"""),"GV")</f>
        <v>GV</v>
      </c>
      <c r="M476" s="43" t="str">
        <f>IFERROR(__xludf.DUMMYFUNCTION("""COMPUTED_VALUE"""),"short")</f>
        <v>short</v>
      </c>
      <c r="N476" s="45">
        <f>IFERROR(__xludf.DUMMYFUNCTION("""COMPUTED_VALUE"""),45022.0)</f>
        <v>45022</v>
      </c>
      <c r="O476" s="45">
        <f>IFERROR(__xludf.DUMMYFUNCTION("""COMPUTED_VALUE"""),45033.0)</f>
        <v>45033</v>
      </c>
      <c r="P476" s="45">
        <f>IFERROR(__xludf.DUMMYFUNCTION("""COMPUTED_VALUE"""),45075.0)</f>
        <v>45075</v>
      </c>
      <c r="Q476" s="45">
        <f>IFERROR(__xludf.DUMMYFUNCTION("""COMPUTED_VALUE"""),45034.0)</f>
        <v>45034</v>
      </c>
      <c r="R476" s="45">
        <f>IFERROR(__xludf.DUMMYFUNCTION("""COMPUTED_VALUE"""),45075.0)</f>
        <v>45075</v>
      </c>
      <c r="S476" s="43"/>
      <c r="T476" s="43"/>
      <c r="U476" s="43" t="str">
        <f>IFERROR(__xludf.DUMMYFUNCTION("""COMPUTED_VALUE"""),"Youth 4 Impact")</f>
        <v>Youth 4 Impact</v>
      </c>
      <c r="V476" s="43" t="str">
        <f>IFERROR(__xludf.DUMMYFUNCTION("""COMPUTED_VALUE"""),"ISTANBUL ASIA")</f>
        <v>ISTANBUL ASIA</v>
      </c>
      <c r="W476" s="43" t="str">
        <f>IFERROR(__xludf.DUMMYFUNCTION("""COMPUTED_VALUE"""),"2019-07-24T15:13:31Z")</f>
        <v>2019-07-24T15:13:31Z</v>
      </c>
      <c r="X476" s="43"/>
      <c r="Y476" s="43"/>
      <c r="Z476" s="43"/>
    </row>
    <row r="477" hidden="1">
      <c r="A477" s="43" t="str">
        <f>IFERROR(__xludf.DUMMYFUNCTION("""COMPUTED_VALUE"""),"5237011_1293463")</f>
        <v>5237011_1293463</v>
      </c>
      <c r="B477" s="43" t="str">
        <f>IFERROR(__xludf.DUMMYFUNCTION("""COMPUTED_VALUE"""),"Mehmet Eren Bağcı")</f>
        <v>Mehmet Eren Bağcı</v>
      </c>
      <c r="C477" s="43" t="str">
        <f>IFERROR(__xludf.DUMMYFUNCTION("""COMPUTED_VALUE"""),"approved")</f>
        <v>approved</v>
      </c>
      <c r="D477" s="43" t="str">
        <f>IFERROR(__xludf.DUMMYFUNCTION("""COMPUTED_VALUE"""),"No")</f>
        <v>No</v>
      </c>
      <c r="E477" s="43" t="str">
        <f>IFERROR(__xludf.DUMMYFUNCTION("""COMPUTED_VALUE"""),"p_947c19d2a70a3da414f22ccdb84a140d4cd1771f@inbound.aiesec.org")</f>
        <v>p_947c19d2a70a3da414f22ccdb84a140d4cd1771f@inbound.aiesec.org</v>
      </c>
      <c r="F477" s="43">
        <f>IFERROR(__xludf.DUMMYFUNCTION("""COMPUTED_VALUE"""),5.532505026E9)</f>
        <v>5532505026</v>
      </c>
      <c r="G477" s="43" t="str">
        <f>IFERROR(__xludf.DUMMYFUNCTION("""COMPUTED_VALUE"""),"Turkey")</f>
        <v>Turkey</v>
      </c>
      <c r="H477" s="43" t="str">
        <f>IFERROR(__xludf.DUMMYFUNCTION("""COMPUTED_VALUE"""),"KONYA")</f>
        <v>KONYA</v>
      </c>
      <c r="I477" s="43" t="str">
        <f>IFERROR(__xludf.DUMMYFUNCTION("""COMPUTED_VALUE"""),"Egypt")</f>
        <v>Egypt</v>
      </c>
      <c r="J477" s="43" t="str">
        <f>IFERROR(__xludf.DUMMYFUNCTION("""COMPUTED_VALUE"""),"Tanta")</f>
        <v>Tanta</v>
      </c>
      <c r="K477" s="44" t="str">
        <f>IFERROR(__xludf.DUMMYFUNCTION("""COMPUTED_VALUE"""),"https://expa.aiesec.org/opportunities/1293463")</f>
        <v>https://expa.aiesec.org/opportunities/1293463</v>
      </c>
      <c r="L477" s="43" t="str">
        <f>IFERROR(__xludf.DUMMYFUNCTION("""COMPUTED_VALUE"""),"GV")</f>
        <v>GV</v>
      </c>
      <c r="M477" s="43" t="str">
        <f>IFERROR(__xludf.DUMMYFUNCTION("""COMPUTED_VALUE"""),"short")</f>
        <v>short</v>
      </c>
      <c r="N477" s="45">
        <f>IFERROR(__xludf.DUMMYFUNCTION("""COMPUTED_VALUE"""),45023.0)</f>
        <v>45023</v>
      </c>
      <c r="O477" s="45">
        <f>IFERROR(__xludf.DUMMYFUNCTION("""COMPUTED_VALUE"""),45108.0)</f>
        <v>45108</v>
      </c>
      <c r="P477" s="45">
        <f>IFERROR(__xludf.DUMMYFUNCTION("""COMPUTED_VALUE"""),45150.0)</f>
        <v>45150</v>
      </c>
      <c r="Q477" s="45"/>
      <c r="R477" s="45"/>
      <c r="S477" s="43"/>
      <c r="T477" s="43"/>
      <c r="U477" s="43" t="str">
        <f>IFERROR(__xludf.DUMMYFUNCTION("""COMPUTED_VALUE"""),"Green Leaders")</f>
        <v>Green Leaders</v>
      </c>
      <c r="V477" s="43" t="str">
        <f>IFERROR(__xludf.DUMMYFUNCTION("""COMPUTED_VALUE"""),"KONYA")</f>
        <v>KONYA</v>
      </c>
      <c r="W477" s="43" t="str">
        <f>IFERROR(__xludf.DUMMYFUNCTION("""COMPUTED_VALUE"""),"2023-04-07T11:07:27Z")</f>
        <v>2023-04-07T11:07:27Z</v>
      </c>
      <c r="X477" s="43"/>
      <c r="Y477" s="43"/>
      <c r="Z477" s="43"/>
    </row>
    <row r="478" hidden="1">
      <c r="A478" s="43" t="str">
        <f>IFERROR(__xludf.DUMMYFUNCTION("""COMPUTED_VALUE"""),"5237003_1286039")</f>
        <v>5237003_1286039</v>
      </c>
      <c r="B478" s="43" t="str">
        <f>IFERROR(__xludf.DUMMYFUNCTION("""COMPUTED_VALUE"""),"Esra Güzel")</f>
        <v>Esra Güzel</v>
      </c>
      <c r="C478" s="43" t="str">
        <f>IFERROR(__xludf.DUMMYFUNCTION("""COMPUTED_VALUE"""),"completed")</f>
        <v>completed</v>
      </c>
      <c r="D478" s="43" t="str">
        <f>IFERROR(__xludf.DUMMYFUNCTION("""COMPUTED_VALUE"""),"No")</f>
        <v>No</v>
      </c>
      <c r="E478" s="43" t="str">
        <f>IFERROR(__xludf.DUMMYFUNCTION("""COMPUTED_VALUE"""),"p_0d931c54fed3b135fb10af8833d3e2d0108514c2@inbound.aiesec.org")</f>
        <v>p_0d931c54fed3b135fb10af8833d3e2d0108514c2@inbound.aiesec.org</v>
      </c>
      <c r="F478" s="43">
        <f>IFERROR(__xludf.DUMMYFUNCTION("""COMPUTED_VALUE"""),5.525501807E9)</f>
        <v>5525501807</v>
      </c>
      <c r="G478" s="43" t="str">
        <f>IFERROR(__xludf.DUMMYFUNCTION("""COMPUTED_VALUE"""),"Turkey")</f>
        <v>Turkey</v>
      </c>
      <c r="H478" s="43" t="str">
        <f>IFERROR(__xludf.DUMMYFUNCTION("""COMPUTED_VALUE"""),"KONYA")</f>
        <v>KONYA</v>
      </c>
      <c r="I478" s="43" t="str">
        <f>IFERROR(__xludf.DUMMYFUNCTION("""COMPUTED_VALUE"""),"Egypt")</f>
        <v>Egypt</v>
      </c>
      <c r="J478" s="43" t="str">
        <f>IFERROR(__xludf.DUMMYFUNCTION("""COMPUTED_VALUE"""),"Zagazig")</f>
        <v>Zagazig</v>
      </c>
      <c r="K478" s="44" t="str">
        <f>IFERROR(__xludf.DUMMYFUNCTION("""COMPUTED_VALUE"""),"https://expa.aiesec.org/opportunities/1286039")</f>
        <v>https://expa.aiesec.org/opportunities/1286039</v>
      </c>
      <c r="L478" s="43" t="str">
        <f>IFERROR(__xludf.DUMMYFUNCTION("""COMPUTED_VALUE"""),"GV")</f>
        <v>GV</v>
      </c>
      <c r="M478" s="43" t="str">
        <f>IFERROR(__xludf.DUMMYFUNCTION("""COMPUTED_VALUE"""),"short")</f>
        <v>short</v>
      </c>
      <c r="N478" s="45">
        <f>IFERROR(__xludf.DUMMYFUNCTION("""COMPUTED_VALUE"""),45023.0)</f>
        <v>45023</v>
      </c>
      <c r="O478" s="45">
        <f>IFERROR(__xludf.DUMMYFUNCTION("""COMPUTED_VALUE"""),45139.0)</f>
        <v>45139</v>
      </c>
      <c r="P478" s="45">
        <f>IFERROR(__xludf.DUMMYFUNCTION("""COMPUTED_VALUE"""),45181.0)</f>
        <v>45181</v>
      </c>
      <c r="Q478" s="45">
        <f>IFERROR(__xludf.DUMMYFUNCTION("""COMPUTED_VALUE"""),45139.0)</f>
        <v>45139</v>
      </c>
      <c r="R478" s="45">
        <f>IFERROR(__xludf.DUMMYFUNCTION("""COMPUTED_VALUE"""),45181.0)</f>
        <v>45181</v>
      </c>
      <c r="S478" s="43"/>
      <c r="T478" s="43"/>
      <c r="U478" s="43" t="str">
        <f>IFERROR(__xludf.DUMMYFUNCTION("""COMPUTED_VALUE"""),"Heartbeat")</f>
        <v>Heartbeat</v>
      </c>
      <c r="V478" s="43" t="str">
        <f>IFERROR(__xludf.DUMMYFUNCTION("""COMPUTED_VALUE"""),"KONYA")</f>
        <v>KONYA</v>
      </c>
      <c r="W478" s="43" t="str">
        <f>IFERROR(__xludf.DUMMYFUNCTION("""COMPUTED_VALUE"""),"2023-04-07T11:04:03Z")</f>
        <v>2023-04-07T11:04:03Z</v>
      </c>
      <c r="X478" s="43"/>
      <c r="Y478" s="43"/>
      <c r="Z478" s="43"/>
    </row>
    <row r="479" hidden="1">
      <c r="A479" s="43" t="str">
        <f>IFERROR(__xludf.DUMMYFUNCTION("""COMPUTED_VALUE"""),"5236989_1286039")</f>
        <v>5236989_1286039</v>
      </c>
      <c r="B479" s="43" t="str">
        <f>IFERROR(__xludf.DUMMYFUNCTION("""COMPUTED_VALUE"""),"Rabia Erdoğan")</f>
        <v>Rabia Erdoğan</v>
      </c>
      <c r="C479" s="43" t="str">
        <f>IFERROR(__xludf.DUMMYFUNCTION("""COMPUTED_VALUE"""),"completed")</f>
        <v>completed</v>
      </c>
      <c r="D479" s="43" t="str">
        <f>IFERROR(__xludf.DUMMYFUNCTION("""COMPUTED_VALUE"""),"No")</f>
        <v>No</v>
      </c>
      <c r="E479" s="43" t="str">
        <f>IFERROR(__xludf.DUMMYFUNCTION("""COMPUTED_VALUE"""),"p_d0921754834f9ed6130651ce29b7fae904e135ea@inbound.aiesec.org")</f>
        <v>p_d0921754834f9ed6130651ce29b7fae904e135ea@inbound.aiesec.org</v>
      </c>
      <c r="F479" s="43"/>
      <c r="G479" s="43" t="str">
        <f>IFERROR(__xludf.DUMMYFUNCTION("""COMPUTED_VALUE"""),"Turkey")</f>
        <v>Turkey</v>
      </c>
      <c r="H479" s="43" t="str">
        <f>IFERROR(__xludf.DUMMYFUNCTION("""COMPUTED_VALUE"""),"KONYA")</f>
        <v>KONYA</v>
      </c>
      <c r="I479" s="43" t="str">
        <f>IFERROR(__xludf.DUMMYFUNCTION("""COMPUTED_VALUE"""),"Egypt")</f>
        <v>Egypt</v>
      </c>
      <c r="J479" s="43" t="str">
        <f>IFERROR(__xludf.DUMMYFUNCTION("""COMPUTED_VALUE"""),"Zagazig")</f>
        <v>Zagazig</v>
      </c>
      <c r="K479" s="44" t="str">
        <f>IFERROR(__xludf.DUMMYFUNCTION("""COMPUTED_VALUE"""),"https://expa.aiesec.org/opportunities/1286039")</f>
        <v>https://expa.aiesec.org/opportunities/1286039</v>
      </c>
      <c r="L479" s="43" t="str">
        <f>IFERROR(__xludf.DUMMYFUNCTION("""COMPUTED_VALUE"""),"GV")</f>
        <v>GV</v>
      </c>
      <c r="M479" s="43" t="str">
        <f>IFERROR(__xludf.DUMMYFUNCTION("""COMPUTED_VALUE"""),"short")</f>
        <v>short</v>
      </c>
      <c r="N479" s="45">
        <f>IFERROR(__xludf.DUMMYFUNCTION("""COMPUTED_VALUE"""),45023.0)</f>
        <v>45023</v>
      </c>
      <c r="O479" s="45">
        <f>IFERROR(__xludf.DUMMYFUNCTION("""COMPUTED_VALUE"""),45139.0)</f>
        <v>45139</v>
      </c>
      <c r="P479" s="45">
        <f>IFERROR(__xludf.DUMMYFUNCTION("""COMPUTED_VALUE"""),45181.0)</f>
        <v>45181</v>
      </c>
      <c r="Q479" s="45">
        <f>IFERROR(__xludf.DUMMYFUNCTION("""COMPUTED_VALUE"""),45139.0)</f>
        <v>45139</v>
      </c>
      <c r="R479" s="45">
        <f>IFERROR(__xludf.DUMMYFUNCTION("""COMPUTED_VALUE"""),45181.0)</f>
        <v>45181</v>
      </c>
      <c r="S479" s="43"/>
      <c r="T479" s="43"/>
      <c r="U479" s="43" t="str">
        <f>IFERROR(__xludf.DUMMYFUNCTION("""COMPUTED_VALUE"""),"Heartbeat")</f>
        <v>Heartbeat</v>
      </c>
      <c r="V479" s="43" t="str">
        <f>IFERROR(__xludf.DUMMYFUNCTION("""COMPUTED_VALUE"""),"KONYA")</f>
        <v>KONYA</v>
      </c>
      <c r="W479" s="43" t="str">
        <f>IFERROR(__xludf.DUMMYFUNCTION("""COMPUTED_VALUE"""),"2023-04-07T10:33:35Z")</f>
        <v>2023-04-07T10:33:35Z</v>
      </c>
      <c r="X479" s="43"/>
      <c r="Y479" s="43"/>
      <c r="Z479" s="43"/>
    </row>
    <row r="480" hidden="1">
      <c r="A480" s="43" t="str">
        <f>IFERROR(__xludf.DUMMYFUNCTION("""COMPUTED_VALUE"""),"5236522_1293951")</f>
        <v>5236522_1293951</v>
      </c>
      <c r="B480" s="43" t="str">
        <f>IFERROR(__xludf.DUMMYFUNCTION("""COMPUTED_VALUE"""),"Elif Sevda Nur DUMRU")</f>
        <v>Elif Sevda Nur DUMRU</v>
      </c>
      <c r="C480" s="43" t="str">
        <f>IFERROR(__xludf.DUMMYFUNCTION("""COMPUTED_VALUE"""),"finished")</f>
        <v>finished</v>
      </c>
      <c r="D480" s="43" t="str">
        <f>IFERROR(__xludf.DUMMYFUNCTION("""COMPUTED_VALUE"""),"No")</f>
        <v>No</v>
      </c>
      <c r="E480" s="43" t="str">
        <f>IFERROR(__xludf.DUMMYFUNCTION("""COMPUTED_VALUE"""),"p_c3e09c14194e82c0076e70e1cc34e4f40e97a5b3@inbound.aiesec.org")</f>
        <v>p_c3e09c14194e82c0076e70e1cc34e4f40e97a5b3@inbound.aiesec.org</v>
      </c>
      <c r="F480" s="43">
        <f>IFERROR(__xludf.DUMMYFUNCTION("""COMPUTED_VALUE"""),5.51183687E9)</f>
        <v>5511836870</v>
      </c>
      <c r="G480" s="43" t="str">
        <f>IFERROR(__xludf.DUMMYFUNCTION("""COMPUTED_VALUE"""),"Turkey")</f>
        <v>Turkey</v>
      </c>
      <c r="H480" s="43" t="str">
        <f>IFERROR(__xludf.DUMMYFUNCTION("""COMPUTED_VALUE"""),"ISTANBUL")</f>
        <v>ISTANBUL</v>
      </c>
      <c r="I480" s="43" t="str">
        <f>IFERROR(__xludf.DUMMYFUNCTION("""COMPUTED_VALUE"""),"Egypt")</f>
        <v>Egypt</v>
      </c>
      <c r="J480" s="43" t="str">
        <f>IFERROR(__xludf.DUMMYFUNCTION("""COMPUTED_VALUE"""),"GUC")</f>
        <v>GUC</v>
      </c>
      <c r="K480" s="44" t="str">
        <f>IFERROR(__xludf.DUMMYFUNCTION("""COMPUTED_VALUE"""),"https://expa.aiesec.org/opportunities/1293951")</f>
        <v>https://expa.aiesec.org/opportunities/1293951</v>
      </c>
      <c r="L480" s="43" t="str">
        <f>IFERROR(__xludf.DUMMYFUNCTION("""COMPUTED_VALUE"""),"GV")</f>
        <v>GV</v>
      </c>
      <c r="M480" s="43" t="str">
        <f>IFERROR(__xludf.DUMMYFUNCTION("""COMPUTED_VALUE"""),"short")</f>
        <v>short</v>
      </c>
      <c r="N480" s="45">
        <f>IFERROR(__xludf.DUMMYFUNCTION("""COMPUTED_VALUE"""),45023.0)</f>
        <v>45023</v>
      </c>
      <c r="O480" s="45">
        <f>IFERROR(__xludf.DUMMYFUNCTION("""COMPUTED_VALUE"""),45108.0)</f>
        <v>45108</v>
      </c>
      <c r="P480" s="45">
        <f>IFERROR(__xludf.DUMMYFUNCTION("""COMPUTED_VALUE"""),45150.0)</f>
        <v>45150</v>
      </c>
      <c r="Q480" s="45">
        <f>IFERROR(__xludf.DUMMYFUNCTION("""COMPUTED_VALUE"""),45107.0)</f>
        <v>45107</v>
      </c>
      <c r="R480" s="45">
        <f>IFERROR(__xludf.DUMMYFUNCTION("""COMPUTED_VALUE"""),45150.0)</f>
        <v>45150</v>
      </c>
      <c r="S480" s="43"/>
      <c r="T480" s="43"/>
      <c r="U480" s="43" t="str">
        <f>IFERROR(__xludf.DUMMYFUNCTION("""COMPUTED_VALUE"""),"Green Leaders")</f>
        <v>Green Leaders</v>
      </c>
      <c r="V480" s="43" t="str">
        <f>IFERROR(__xludf.DUMMYFUNCTION("""COMPUTED_VALUE"""),"ISTANBUL - BEYOGLU")</f>
        <v>ISTANBUL - BEYOGLU</v>
      </c>
      <c r="W480" s="43" t="str">
        <f>IFERROR(__xludf.DUMMYFUNCTION("""COMPUTED_VALUE"""),"2023-04-06T17:47:24Z")</f>
        <v>2023-04-06T17:47:24Z</v>
      </c>
      <c r="X480" s="43"/>
      <c r="Y480" s="43"/>
      <c r="Z480" s="43"/>
    </row>
    <row r="481" hidden="1">
      <c r="A481" s="43" t="str">
        <f>IFERROR(__xludf.DUMMYFUNCTION("""COMPUTED_VALUE"""),"5236508_1286039")</f>
        <v>5236508_1286039</v>
      </c>
      <c r="B481" s="43" t="str">
        <f>IFERROR(__xludf.DUMMYFUNCTION("""COMPUTED_VALUE"""),"Leyla Orak")</f>
        <v>Leyla Orak</v>
      </c>
      <c r="C481" s="43" t="str">
        <f>IFERROR(__xludf.DUMMYFUNCTION("""COMPUTED_VALUE"""),"approved")</f>
        <v>approved</v>
      </c>
      <c r="D481" s="43" t="str">
        <f>IFERROR(__xludf.DUMMYFUNCTION("""COMPUTED_VALUE"""),"No")</f>
        <v>No</v>
      </c>
      <c r="E481" s="43" t="str">
        <f>IFERROR(__xludf.DUMMYFUNCTION("""COMPUTED_VALUE"""),"p_5bcb3e4bb0d868f9f5bfa684acb641dfb5ac13e0@inbound.aiesec.org")</f>
        <v>p_5bcb3e4bb0d868f9f5bfa684acb641dfb5ac13e0@inbound.aiesec.org</v>
      </c>
      <c r="F481" s="43"/>
      <c r="G481" s="43" t="str">
        <f>IFERROR(__xludf.DUMMYFUNCTION("""COMPUTED_VALUE"""),"Turkey")</f>
        <v>Turkey</v>
      </c>
      <c r="H481" s="43" t="str">
        <f>IFERROR(__xludf.DUMMYFUNCTION("""COMPUTED_VALUE"""),"KONYA")</f>
        <v>KONYA</v>
      </c>
      <c r="I481" s="43" t="str">
        <f>IFERROR(__xludf.DUMMYFUNCTION("""COMPUTED_VALUE"""),"Egypt")</f>
        <v>Egypt</v>
      </c>
      <c r="J481" s="43" t="str">
        <f>IFERROR(__xludf.DUMMYFUNCTION("""COMPUTED_VALUE"""),"Zagazig")</f>
        <v>Zagazig</v>
      </c>
      <c r="K481" s="44" t="str">
        <f>IFERROR(__xludf.DUMMYFUNCTION("""COMPUTED_VALUE"""),"https://expa.aiesec.org/opportunities/1286039")</f>
        <v>https://expa.aiesec.org/opportunities/1286039</v>
      </c>
      <c r="L481" s="43" t="str">
        <f>IFERROR(__xludf.DUMMYFUNCTION("""COMPUTED_VALUE"""),"GV")</f>
        <v>GV</v>
      </c>
      <c r="M481" s="43" t="str">
        <f>IFERROR(__xludf.DUMMYFUNCTION("""COMPUTED_VALUE"""),"short")</f>
        <v>short</v>
      </c>
      <c r="N481" s="45">
        <f>IFERROR(__xludf.DUMMYFUNCTION("""COMPUTED_VALUE"""),45023.0)</f>
        <v>45023</v>
      </c>
      <c r="O481" s="45">
        <f>IFERROR(__xludf.DUMMYFUNCTION("""COMPUTED_VALUE"""),45139.0)</f>
        <v>45139</v>
      </c>
      <c r="P481" s="45">
        <f>IFERROR(__xludf.DUMMYFUNCTION("""COMPUTED_VALUE"""),45181.0)</f>
        <v>45181</v>
      </c>
      <c r="Q481" s="45"/>
      <c r="R481" s="45"/>
      <c r="S481" s="43"/>
      <c r="T481" s="43"/>
      <c r="U481" s="43" t="str">
        <f>IFERROR(__xludf.DUMMYFUNCTION("""COMPUTED_VALUE"""),"Heartbeat")</f>
        <v>Heartbeat</v>
      </c>
      <c r="V481" s="43" t="str">
        <f>IFERROR(__xludf.DUMMYFUNCTION("""COMPUTED_VALUE"""),"KONYA")</f>
        <v>KONYA</v>
      </c>
      <c r="W481" s="43" t="str">
        <f>IFERROR(__xludf.DUMMYFUNCTION("""COMPUTED_VALUE"""),"2023-04-06T17:28:27Z")</f>
        <v>2023-04-06T17:28:27Z</v>
      </c>
      <c r="X481" s="43"/>
      <c r="Y481" s="43"/>
      <c r="Z481" s="43"/>
    </row>
    <row r="482" hidden="1">
      <c r="A482" s="43" t="str">
        <f>IFERROR(__xludf.DUMMYFUNCTION("""COMPUTED_VALUE"""),"5236472_1290282")</f>
        <v>5236472_1290282</v>
      </c>
      <c r="B482" s="43" t="str">
        <f>IFERROR(__xludf.DUMMYFUNCTION("""COMPUTED_VALUE"""),"Yağmur Beyaztaş")</f>
        <v>Yağmur Beyaztaş</v>
      </c>
      <c r="C482" s="43" t="str">
        <f>IFERROR(__xludf.DUMMYFUNCTION("""COMPUTED_VALUE"""),"completed")</f>
        <v>completed</v>
      </c>
      <c r="D482" s="43" t="str">
        <f>IFERROR(__xludf.DUMMYFUNCTION("""COMPUTED_VALUE"""),"No")</f>
        <v>No</v>
      </c>
      <c r="E482" s="43" t="str">
        <f>IFERROR(__xludf.DUMMYFUNCTION("""COMPUTED_VALUE"""),"p_6d0424afddf347ef670f4ed948d073b999291d6b@inbound.aiesec.org")</f>
        <v>p_6d0424afddf347ef670f4ed948d073b999291d6b@inbound.aiesec.org</v>
      </c>
      <c r="F482" s="43">
        <f>IFERROR(__xludf.DUMMYFUNCTION("""COMPUTED_VALUE"""),5.378228401E9)</f>
        <v>5378228401</v>
      </c>
      <c r="G482" s="43" t="str">
        <f>IFERROR(__xludf.DUMMYFUNCTION("""COMPUTED_VALUE"""),"Turkey")</f>
        <v>Turkey</v>
      </c>
      <c r="H482" s="43" t="str">
        <f>IFERROR(__xludf.DUMMYFUNCTION("""COMPUTED_VALUE"""),"ISTANBUL")</f>
        <v>ISTANBUL</v>
      </c>
      <c r="I482" s="43" t="str">
        <f>IFERROR(__xludf.DUMMYFUNCTION("""COMPUTED_VALUE"""),"Egypt")</f>
        <v>Egypt</v>
      </c>
      <c r="J482" s="43" t="str">
        <f>IFERROR(__xludf.DUMMYFUNCTION("""COMPUTED_VALUE"""),"GUC")</f>
        <v>GUC</v>
      </c>
      <c r="K482" s="44" t="str">
        <f>IFERROR(__xludf.DUMMYFUNCTION("""COMPUTED_VALUE"""),"https://expa.aiesec.org/opportunities/1290282")</f>
        <v>https://expa.aiesec.org/opportunities/1290282</v>
      </c>
      <c r="L482" s="43" t="str">
        <f>IFERROR(__xludf.DUMMYFUNCTION("""COMPUTED_VALUE"""),"GV")</f>
        <v>GV</v>
      </c>
      <c r="M482" s="43" t="str">
        <f>IFERROR(__xludf.DUMMYFUNCTION("""COMPUTED_VALUE"""),"short")</f>
        <v>short</v>
      </c>
      <c r="N482" s="45">
        <f>IFERROR(__xludf.DUMMYFUNCTION("""COMPUTED_VALUE"""),45023.0)</f>
        <v>45023</v>
      </c>
      <c r="O482" s="45">
        <f>IFERROR(__xludf.DUMMYFUNCTION("""COMPUTED_VALUE"""),45122.0)</f>
        <v>45122</v>
      </c>
      <c r="P482" s="45">
        <f>IFERROR(__xludf.DUMMYFUNCTION("""COMPUTED_VALUE"""),45164.0)</f>
        <v>45164</v>
      </c>
      <c r="Q482" s="45">
        <f>IFERROR(__xludf.DUMMYFUNCTION("""COMPUTED_VALUE"""),45122.0)</f>
        <v>45122</v>
      </c>
      <c r="R482" s="45">
        <f>IFERROR(__xludf.DUMMYFUNCTION("""COMPUTED_VALUE"""),45164.0)</f>
        <v>45164</v>
      </c>
      <c r="S482" s="43"/>
      <c r="T482" s="43"/>
      <c r="U482" s="43" t="str">
        <f>IFERROR(__xludf.DUMMYFUNCTION("""COMPUTED_VALUE"""),"On The Map")</f>
        <v>On The Map</v>
      </c>
      <c r="V482" s="43" t="str">
        <f>IFERROR(__xludf.DUMMYFUNCTION("""COMPUTED_VALUE"""),"ISTANBUL - BEYOGLU")</f>
        <v>ISTANBUL - BEYOGLU</v>
      </c>
      <c r="W482" s="43" t="str">
        <f>IFERROR(__xludf.DUMMYFUNCTION("""COMPUTED_VALUE"""),"2023-04-06T16:37:07Z")</f>
        <v>2023-04-06T16:37:07Z</v>
      </c>
      <c r="X482" s="43"/>
      <c r="Y482" s="43"/>
      <c r="Z482" s="43"/>
    </row>
    <row r="483" hidden="1">
      <c r="A483" s="43" t="str">
        <f>IFERROR(__xludf.DUMMYFUNCTION("""COMPUTED_VALUE"""),"5220116_1290282")</f>
        <v>5220116_1290282</v>
      </c>
      <c r="B483" s="43" t="str">
        <f>IFERROR(__xludf.DUMMYFUNCTION("""COMPUTED_VALUE"""),"Zeynep Menek")</f>
        <v>Zeynep Menek</v>
      </c>
      <c r="C483" s="43" t="str">
        <f>IFERROR(__xludf.DUMMYFUNCTION("""COMPUTED_VALUE"""),"completed")</f>
        <v>completed</v>
      </c>
      <c r="D483" s="43" t="str">
        <f>IFERROR(__xludf.DUMMYFUNCTION("""COMPUTED_VALUE"""),"No")</f>
        <v>No</v>
      </c>
      <c r="E483" s="43" t="str">
        <f>IFERROR(__xludf.DUMMYFUNCTION("""COMPUTED_VALUE"""),"p_419592fac8bc90b4dfaddea02027550e9d4fea00@inbound.aiesec.org")</f>
        <v>p_419592fac8bc90b4dfaddea02027550e9d4fea00@inbound.aiesec.org</v>
      </c>
      <c r="F483" s="43">
        <f>IFERROR(__xludf.DUMMYFUNCTION("""COMPUTED_VALUE"""),5.061618735E9)</f>
        <v>5061618735</v>
      </c>
      <c r="G483" s="43" t="str">
        <f>IFERROR(__xludf.DUMMYFUNCTION("""COMPUTED_VALUE"""),"Turkey")</f>
        <v>Turkey</v>
      </c>
      <c r="H483" s="43" t="str">
        <f>IFERROR(__xludf.DUMMYFUNCTION("""COMPUTED_VALUE"""),"ISTANBUL")</f>
        <v>ISTANBUL</v>
      </c>
      <c r="I483" s="43" t="str">
        <f>IFERROR(__xludf.DUMMYFUNCTION("""COMPUTED_VALUE"""),"Egypt")</f>
        <v>Egypt</v>
      </c>
      <c r="J483" s="43" t="str">
        <f>IFERROR(__xludf.DUMMYFUNCTION("""COMPUTED_VALUE"""),"GUC")</f>
        <v>GUC</v>
      </c>
      <c r="K483" s="44" t="str">
        <f>IFERROR(__xludf.DUMMYFUNCTION("""COMPUTED_VALUE"""),"https://expa.aiesec.org/opportunities/1290282")</f>
        <v>https://expa.aiesec.org/opportunities/1290282</v>
      </c>
      <c r="L483" s="43" t="str">
        <f>IFERROR(__xludf.DUMMYFUNCTION("""COMPUTED_VALUE"""),"GV")</f>
        <v>GV</v>
      </c>
      <c r="M483" s="43" t="str">
        <f>IFERROR(__xludf.DUMMYFUNCTION("""COMPUTED_VALUE"""),"short")</f>
        <v>short</v>
      </c>
      <c r="N483" s="45">
        <f>IFERROR(__xludf.DUMMYFUNCTION("""COMPUTED_VALUE"""),45023.0)</f>
        <v>45023</v>
      </c>
      <c r="O483" s="45">
        <f>IFERROR(__xludf.DUMMYFUNCTION("""COMPUTED_VALUE"""),45122.0)</f>
        <v>45122</v>
      </c>
      <c r="P483" s="45">
        <f>IFERROR(__xludf.DUMMYFUNCTION("""COMPUTED_VALUE"""),45164.0)</f>
        <v>45164</v>
      </c>
      <c r="Q483" s="45">
        <f>IFERROR(__xludf.DUMMYFUNCTION("""COMPUTED_VALUE"""),45122.0)</f>
        <v>45122</v>
      </c>
      <c r="R483" s="45">
        <f>IFERROR(__xludf.DUMMYFUNCTION("""COMPUTED_VALUE"""),45164.0)</f>
        <v>45164</v>
      </c>
      <c r="S483" s="43"/>
      <c r="T483" s="43"/>
      <c r="U483" s="43" t="str">
        <f>IFERROR(__xludf.DUMMYFUNCTION("""COMPUTED_VALUE"""),"On The Map")</f>
        <v>On The Map</v>
      </c>
      <c r="V483" s="43" t="str">
        <f>IFERROR(__xludf.DUMMYFUNCTION("""COMPUTED_VALUE"""),"ISTANBUL - BEYOGLU")</f>
        <v>ISTANBUL - BEYOGLU</v>
      </c>
      <c r="W483" s="43" t="str">
        <f>IFERROR(__xludf.DUMMYFUNCTION("""COMPUTED_VALUE"""),"2023-03-18T11:43:01Z")</f>
        <v>2023-03-18T11:43:01Z</v>
      </c>
      <c r="X483" s="43"/>
      <c r="Y483" s="43"/>
      <c r="Z483" s="43"/>
    </row>
    <row r="484" hidden="1">
      <c r="A484" s="43" t="str">
        <f>IFERROR(__xludf.DUMMYFUNCTION("""COMPUTED_VALUE"""),"5234299_1293691")</f>
        <v>5234299_1293691</v>
      </c>
      <c r="B484" s="43" t="str">
        <f>IFERROR(__xludf.DUMMYFUNCTION("""COMPUTED_VALUE"""),"Saliha Altundağ")</f>
        <v>Saliha Altundağ</v>
      </c>
      <c r="C484" s="43" t="str">
        <f>IFERROR(__xludf.DUMMYFUNCTION("""COMPUTED_VALUE"""),"completed")</f>
        <v>completed</v>
      </c>
      <c r="D484" s="43" t="str">
        <f>IFERROR(__xludf.DUMMYFUNCTION("""COMPUTED_VALUE"""),"No")</f>
        <v>No</v>
      </c>
      <c r="E484" s="43" t="str">
        <f>IFERROR(__xludf.DUMMYFUNCTION("""COMPUTED_VALUE"""),"p_cb2a05b7b93aebbb9c6405075a1d1750bcc12c38@inbound.aiesec.org")</f>
        <v>p_cb2a05b7b93aebbb9c6405075a1d1750bcc12c38@inbound.aiesec.org</v>
      </c>
      <c r="F484" s="43"/>
      <c r="G484" s="43" t="str">
        <f>IFERROR(__xludf.DUMMYFUNCTION("""COMPUTED_VALUE"""),"Turkey")</f>
        <v>Turkey</v>
      </c>
      <c r="H484" s="43" t="str">
        <f>IFERROR(__xludf.DUMMYFUNCTION("""COMPUTED_VALUE"""),"ISTANBUL ASIA")</f>
        <v>ISTANBUL ASIA</v>
      </c>
      <c r="I484" s="43" t="str">
        <f>IFERROR(__xludf.DUMMYFUNCTION("""COMPUTED_VALUE"""),"Egypt")</f>
        <v>Egypt</v>
      </c>
      <c r="J484" s="43" t="str">
        <f>IFERROR(__xludf.DUMMYFUNCTION("""COMPUTED_VALUE"""),"Helwan")</f>
        <v>Helwan</v>
      </c>
      <c r="K484" s="44" t="str">
        <f>IFERROR(__xludf.DUMMYFUNCTION("""COMPUTED_VALUE"""),"https://expa.aiesec.org/opportunities/1293691")</f>
        <v>https://expa.aiesec.org/opportunities/1293691</v>
      </c>
      <c r="L484" s="43" t="str">
        <f>IFERROR(__xludf.DUMMYFUNCTION("""COMPUTED_VALUE"""),"GV")</f>
        <v>GV</v>
      </c>
      <c r="M484" s="43" t="str">
        <f>IFERROR(__xludf.DUMMYFUNCTION("""COMPUTED_VALUE"""),"short")</f>
        <v>short</v>
      </c>
      <c r="N484" s="45">
        <f>IFERROR(__xludf.DUMMYFUNCTION("""COMPUTED_VALUE"""),45023.0)</f>
        <v>45023</v>
      </c>
      <c r="O484" s="45">
        <f>IFERROR(__xludf.DUMMYFUNCTION("""COMPUTED_VALUE"""),45109.0)</f>
        <v>45109</v>
      </c>
      <c r="P484" s="45">
        <f>IFERROR(__xludf.DUMMYFUNCTION("""COMPUTED_VALUE"""),45151.0)</f>
        <v>45151</v>
      </c>
      <c r="Q484" s="45">
        <f>IFERROR(__xludf.DUMMYFUNCTION("""COMPUTED_VALUE"""),45107.0)</f>
        <v>45107</v>
      </c>
      <c r="R484" s="45">
        <f>IFERROR(__xludf.DUMMYFUNCTION("""COMPUTED_VALUE"""),45151.0)</f>
        <v>45151</v>
      </c>
      <c r="S484" s="43"/>
      <c r="T484" s="43"/>
      <c r="U484" s="43" t="str">
        <f>IFERROR(__xludf.DUMMYFUNCTION("""COMPUTED_VALUE"""),"Global Classroom")</f>
        <v>Global Classroom</v>
      </c>
      <c r="V484" s="43" t="str">
        <f>IFERROR(__xludf.DUMMYFUNCTION("""COMPUTED_VALUE"""),"ANTALYA")</f>
        <v>ANTALYA</v>
      </c>
      <c r="W484" s="43" t="str">
        <f>IFERROR(__xludf.DUMMYFUNCTION("""COMPUTED_VALUE"""),"2023-04-03T20:28:36Z")</f>
        <v>2023-04-03T20:28:36Z</v>
      </c>
      <c r="X484" s="43"/>
      <c r="Y484" s="43"/>
      <c r="Z484" s="43"/>
    </row>
    <row r="485" hidden="1">
      <c r="A485" s="43" t="str">
        <f>IFERROR(__xludf.DUMMYFUNCTION("""COMPUTED_VALUE"""),"5230477_1292667")</f>
        <v>5230477_1292667</v>
      </c>
      <c r="B485" s="43" t="str">
        <f>IFERROR(__xludf.DUMMYFUNCTION("""COMPUTED_VALUE"""),"Ipek Savcı")</f>
        <v>Ipek Savcı</v>
      </c>
      <c r="C485" s="43" t="str">
        <f>IFERROR(__xludf.DUMMYFUNCTION("""COMPUTED_VALUE"""),"completed")</f>
        <v>completed</v>
      </c>
      <c r="D485" s="43" t="str">
        <f>IFERROR(__xludf.DUMMYFUNCTION("""COMPUTED_VALUE"""),"No")</f>
        <v>No</v>
      </c>
      <c r="E485" s="43" t="str">
        <f>IFERROR(__xludf.DUMMYFUNCTION("""COMPUTED_VALUE"""),"p_8577ea5ab6d711c39ad38c357fc114dd66896dac@inbound.aiesec.org")</f>
        <v>p_8577ea5ab6d711c39ad38c357fc114dd66896dac@inbound.aiesec.org</v>
      </c>
      <c r="F485" s="43"/>
      <c r="G485" s="43" t="str">
        <f>IFERROR(__xludf.DUMMYFUNCTION("""COMPUTED_VALUE"""),"Turkey")</f>
        <v>Turkey</v>
      </c>
      <c r="H485" s="43" t="str">
        <f>IFERROR(__xludf.DUMMYFUNCTION("""COMPUTED_VALUE"""),"İZMİR")</f>
        <v>İZMİR</v>
      </c>
      <c r="I485" s="43" t="str">
        <f>IFERROR(__xludf.DUMMYFUNCTION("""COMPUTED_VALUE"""),"Romania")</f>
        <v>Romania</v>
      </c>
      <c r="J485" s="43" t="str">
        <f>IFERROR(__xludf.DUMMYFUNCTION("""COMPUTED_VALUE"""),"BUCURESTI")</f>
        <v>BUCURESTI</v>
      </c>
      <c r="K485" s="44" t="str">
        <f>IFERROR(__xludf.DUMMYFUNCTION("""COMPUTED_VALUE"""),"https://expa.aiesec.org/opportunities/1292667")</f>
        <v>https://expa.aiesec.org/opportunities/1292667</v>
      </c>
      <c r="L485" s="43" t="str">
        <f>IFERROR(__xludf.DUMMYFUNCTION("""COMPUTED_VALUE"""),"GV")</f>
        <v>GV</v>
      </c>
      <c r="M485" s="43" t="str">
        <f>IFERROR(__xludf.DUMMYFUNCTION("""COMPUTED_VALUE"""),"short")</f>
        <v>short</v>
      </c>
      <c r="N485" s="45">
        <f>IFERROR(__xludf.DUMMYFUNCTION("""COMPUTED_VALUE"""),45023.0)</f>
        <v>45023</v>
      </c>
      <c r="O485" s="45">
        <f>IFERROR(__xludf.DUMMYFUNCTION("""COMPUTED_VALUE"""),45096.0)</f>
        <v>45096</v>
      </c>
      <c r="P485" s="45">
        <f>IFERROR(__xludf.DUMMYFUNCTION("""COMPUTED_VALUE"""),45138.0)</f>
        <v>45138</v>
      </c>
      <c r="Q485" s="45">
        <f>IFERROR(__xludf.DUMMYFUNCTION("""COMPUTED_VALUE"""),45095.0)</f>
        <v>45095</v>
      </c>
      <c r="R485" s="45">
        <f>IFERROR(__xludf.DUMMYFUNCTION("""COMPUTED_VALUE"""),45138.0)</f>
        <v>45138</v>
      </c>
      <c r="S485" s="43"/>
      <c r="T485" s="43"/>
      <c r="U485" s="43" t="str">
        <f>IFERROR(__xludf.DUMMYFUNCTION("""COMPUTED_VALUE"""),"Green Leaders")</f>
        <v>Green Leaders</v>
      </c>
      <c r="V485" s="43" t="str">
        <f>IFERROR(__xludf.DUMMYFUNCTION("""COMPUTED_VALUE"""),"-")</f>
        <v>-</v>
      </c>
      <c r="W485" s="43" t="str">
        <f>IFERROR(__xludf.DUMMYFUNCTION("""COMPUTED_VALUE"""),"2023-03-29T20:17:30Z")</f>
        <v>2023-03-29T20:17:30Z</v>
      </c>
      <c r="X485" s="43"/>
      <c r="Y485" s="43"/>
      <c r="Z485" s="43"/>
    </row>
    <row r="486" hidden="1">
      <c r="A486" s="43" t="str">
        <f>IFERROR(__xludf.DUMMYFUNCTION("""COMPUTED_VALUE"""),"5223103_1293467")</f>
        <v>5223103_1293467</v>
      </c>
      <c r="B486" s="43" t="str">
        <f>IFERROR(__xludf.DUMMYFUNCTION("""COMPUTED_VALUE"""),"Zeynep Nil Erkoç")</f>
        <v>Zeynep Nil Erkoç</v>
      </c>
      <c r="C486" s="43" t="str">
        <f>IFERROR(__xludf.DUMMYFUNCTION("""COMPUTED_VALUE"""),"completed")</f>
        <v>completed</v>
      </c>
      <c r="D486" s="43" t="str">
        <f>IFERROR(__xludf.DUMMYFUNCTION("""COMPUTED_VALUE"""),"No")</f>
        <v>No</v>
      </c>
      <c r="E486" s="43" t="str">
        <f>IFERROR(__xludf.DUMMYFUNCTION("""COMPUTED_VALUE"""),"p_8bb09e6104d3ea8778d14e36e57ba6a60674d345@inbound.aiesec.org")</f>
        <v>p_8bb09e6104d3ea8778d14e36e57ba6a60674d345@inbound.aiesec.org</v>
      </c>
      <c r="F486" s="43">
        <f>IFERROR(__xludf.DUMMYFUNCTION("""COMPUTED_VALUE"""),5.461023292E9)</f>
        <v>5461023292</v>
      </c>
      <c r="G486" s="43" t="str">
        <f>IFERROR(__xludf.DUMMYFUNCTION("""COMPUTED_VALUE"""),"Turkey")</f>
        <v>Turkey</v>
      </c>
      <c r="H486" s="43" t="str">
        <f>IFERROR(__xludf.DUMMYFUNCTION("""COMPUTED_VALUE"""),"ISTANBUL ASIA")</f>
        <v>ISTANBUL ASIA</v>
      </c>
      <c r="I486" s="43" t="str">
        <f>IFERROR(__xludf.DUMMYFUNCTION("""COMPUTED_VALUE"""),"Romania")</f>
        <v>Romania</v>
      </c>
      <c r="J486" s="43" t="str">
        <f>IFERROR(__xludf.DUMMYFUNCTION("""COMPUTED_VALUE"""),"BUCURESTI")</f>
        <v>BUCURESTI</v>
      </c>
      <c r="K486" s="44" t="str">
        <f>IFERROR(__xludf.DUMMYFUNCTION("""COMPUTED_VALUE"""),"https://expa.aiesec.org/opportunities/1293467")</f>
        <v>https://expa.aiesec.org/opportunities/1293467</v>
      </c>
      <c r="L486" s="43" t="str">
        <f>IFERROR(__xludf.DUMMYFUNCTION("""COMPUTED_VALUE"""),"GV")</f>
        <v>GV</v>
      </c>
      <c r="M486" s="43" t="str">
        <f>IFERROR(__xludf.DUMMYFUNCTION("""COMPUTED_VALUE"""),"short")</f>
        <v>short</v>
      </c>
      <c r="N486" s="45">
        <f>IFERROR(__xludf.DUMMYFUNCTION("""COMPUTED_VALUE"""),45023.0)</f>
        <v>45023</v>
      </c>
      <c r="O486" s="45">
        <f>IFERROR(__xludf.DUMMYFUNCTION("""COMPUTED_VALUE"""),45124.0)</f>
        <v>45124</v>
      </c>
      <c r="P486" s="45">
        <f>IFERROR(__xludf.DUMMYFUNCTION("""COMPUTED_VALUE"""),45166.0)</f>
        <v>45166</v>
      </c>
      <c r="Q486" s="45">
        <f>IFERROR(__xludf.DUMMYFUNCTION("""COMPUTED_VALUE"""),45124.0)</f>
        <v>45124</v>
      </c>
      <c r="R486" s="45">
        <f>IFERROR(__xludf.DUMMYFUNCTION("""COMPUTED_VALUE"""),45166.0)</f>
        <v>45166</v>
      </c>
      <c r="S486" s="43"/>
      <c r="T486" s="43"/>
      <c r="U486" s="43" t="str">
        <f>IFERROR(__xludf.DUMMYFUNCTION("""COMPUTED_VALUE"""),"Green Leaders")</f>
        <v>Green Leaders</v>
      </c>
      <c r="V486" s="43" t="str">
        <f>IFERROR(__xludf.DUMMYFUNCTION("""COMPUTED_VALUE"""),"KOCAELI")</f>
        <v>KOCAELI</v>
      </c>
      <c r="W486" s="43" t="str">
        <f>IFERROR(__xludf.DUMMYFUNCTION("""COMPUTED_VALUE"""),"2023-03-21T19:26:26Z")</f>
        <v>2023-03-21T19:26:26Z</v>
      </c>
      <c r="X486" s="43"/>
      <c r="Y486" s="43"/>
      <c r="Z486" s="43"/>
    </row>
    <row r="487" hidden="1">
      <c r="A487" s="43" t="str">
        <f>IFERROR(__xludf.DUMMYFUNCTION("""COMPUTED_VALUE"""),"5182379_1293468")</f>
        <v>5182379_1293468</v>
      </c>
      <c r="B487" s="43" t="str">
        <f>IFERROR(__xludf.DUMMYFUNCTION("""COMPUTED_VALUE"""),"Öykü Kılıç")</f>
        <v>Öykü Kılıç</v>
      </c>
      <c r="C487" s="43" t="str">
        <f>IFERROR(__xludf.DUMMYFUNCTION("""COMPUTED_VALUE"""),"completed")</f>
        <v>completed</v>
      </c>
      <c r="D487" s="43" t="str">
        <f>IFERROR(__xludf.DUMMYFUNCTION("""COMPUTED_VALUE"""),"No")</f>
        <v>No</v>
      </c>
      <c r="E487" s="43" t="str">
        <f>IFERROR(__xludf.DUMMYFUNCTION("""COMPUTED_VALUE"""),"p_2588925e25c08288210b83d79a799c687b055851@inbound.aiesec.org")</f>
        <v>p_2588925e25c08288210b83d79a799c687b055851@inbound.aiesec.org</v>
      </c>
      <c r="F487" s="43"/>
      <c r="G487" s="43" t="str">
        <f>IFERROR(__xludf.DUMMYFUNCTION("""COMPUTED_VALUE"""),"Turkey")</f>
        <v>Turkey</v>
      </c>
      <c r="H487" s="43" t="str">
        <f>IFERROR(__xludf.DUMMYFUNCTION("""COMPUTED_VALUE"""),"ANKARA")</f>
        <v>ANKARA</v>
      </c>
      <c r="I487" s="43" t="str">
        <f>IFERROR(__xludf.DUMMYFUNCTION("""COMPUTED_VALUE"""),"Romania")</f>
        <v>Romania</v>
      </c>
      <c r="J487" s="43" t="str">
        <f>IFERROR(__xludf.DUMMYFUNCTION("""COMPUTED_VALUE"""),"BUCURESTI")</f>
        <v>BUCURESTI</v>
      </c>
      <c r="K487" s="44" t="str">
        <f>IFERROR(__xludf.DUMMYFUNCTION("""COMPUTED_VALUE"""),"https://expa.aiesec.org/opportunities/1293468")</f>
        <v>https://expa.aiesec.org/opportunities/1293468</v>
      </c>
      <c r="L487" s="43" t="str">
        <f>IFERROR(__xludf.DUMMYFUNCTION("""COMPUTED_VALUE"""),"GV")</f>
        <v>GV</v>
      </c>
      <c r="M487" s="43" t="str">
        <f>IFERROR(__xludf.DUMMYFUNCTION("""COMPUTED_VALUE"""),"short")</f>
        <v>short</v>
      </c>
      <c r="N487" s="45">
        <f>IFERROR(__xludf.DUMMYFUNCTION("""COMPUTED_VALUE"""),45023.0)</f>
        <v>45023</v>
      </c>
      <c r="O487" s="45">
        <f>IFERROR(__xludf.DUMMYFUNCTION("""COMPUTED_VALUE"""),45096.0)</f>
        <v>45096</v>
      </c>
      <c r="P487" s="45">
        <f>IFERROR(__xludf.DUMMYFUNCTION("""COMPUTED_VALUE"""),45138.0)</f>
        <v>45138</v>
      </c>
      <c r="Q487" s="45">
        <f>IFERROR(__xludf.DUMMYFUNCTION("""COMPUTED_VALUE"""),45096.0)</f>
        <v>45096</v>
      </c>
      <c r="R487" s="45">
        <f>IFERROR(__xludf.DUMMYFUNCTION("""COMPUTED_VALUE"""),45138.0)</f>
        <v>45138</v>
      </c>
      <c r="S487" s="43"/>
      <c r="T487" s="43"/>
      <c r="U487" s="43" t="str">
        <f>IFERROR(__xludf.DUMMYFUNCTION("""COMPUTED_VALUE"""),"Global Classroom")</f>
        <v>Global Classroom</v>
      </c>
      <c r="V487" s="43" t="str">
        <f>IFERROR(__xludf.DUMMYFUNCTION("""COMPUTED_VALUE"""),"-")</f>
        <v>-</v>
      </c>
      <c r="W487" s="43" t="str">
        <f>IFERROR(__xludf.DUMMYFUNCTION("""COMPUTED_VALUE"""),"2023-01-30T18:34:04Z")</f>
        <v>2023-01-30T18:34:04Z</v>
      </c>
      <c r="X487" s="43"/>
      <c r="Y487" s="43"/>
      <c r="Z487" s="43"/>
    </row>
    <row r="488" hidden="1">
      <c r="A488" s="43" t="str">
        <f>IFERROR(__xludf.DUMMYFUNCTION("""COMPUTED_VALUE"""),"5235087_1293625")</f>
        <v>5235087_1293625</v>
      </c>
      <c r="B488" s="43" t="str">
        <f>IFERROR(__xludf.DUMMYFUNCTION("""COMPUTED_VALUE"""),"Muhammed Yiğit Koçak")</f>
        <v>Muhammed Yiğit Koçak</v>
      </c>
      <c r="C488" s="43" t="str">
        <f>IFERROR(__xludf.DUMMYFUNCTION("""COMPUTED_VALUE"""),"completed")</f>
        <v>completed</v>
      </c>
      <c r="D488" s="43" t="str">
        <f>IFERROR(__xludf.DUMMYFUNCTION("""COMPUTED_VALUE"""),"No")</f>
        <v>No</v>
      </c>
      <c r="E488" s="43" t="str">
        <f>IFERROR(__xludf.DUMMYFUNCTION("""COMPUTED_VALUE"""),"p_f29b040f232103e27e0527324f25d34ccefcb995@inbound.aiesec.org")</f>
        <v>p_f29b040f232103e27e0527324f25d34ccefcb995@inbound.aiesec.org</v>
      </c>
      <c r="F488" s="43">
        <f>IFERROR(__xludf.DUMMYFUNCTION("""COMPUTED_VALUE"""),5.373076363E9)</f>
        <v>5373076363</v>
      </c>
      <c r="G488" s="43" t="str">
        <f>IFERROR(__xludf.DUMMYFUNCTION("""COMPUTED_VALUE"""),"Turkey")</f>
        <v>Turkey</v>
      </c>
      <c r="H488" s="43" t="str">
        <f>IFERROR(__xludf.DUMMYFUNCTION("""COMPUTED_VALUE"""),"GAZIANTEP")</f>
        <v>GAZIANTEP</v>
      </c>
      <c r="I488" s="43" t="str">
        <f>IFERROR(__xludf.DUMMYFUNCTION("""COMPUTED_VALUE"""),"Romania")</f>
        <v>Romania</v>
      </c>
      <c r="J488" s="43" t="str">
        <f>IFERROR(__xludf.DUMMYFUNCTION("""COMPUTED_VALUE"""),"SIBIU")</f>
        <v>SIBIU</v>
      </c>
      <c r="K488" s="44" t="str">
        <f>IFERROR(__xludf.DUMMYFUNCTION("""COMPUTED_VALUE"""),"https://expa.aiesec.org/opportunities/1293625")</f>
        <v>https://expa.aiesec.org/opportunities/1293625</v>
      </c>
      <c r="L488" s="43" t="str">
        <f>IFERROR(__xludf.DUMMYFUNCTION("""COMPUTED_VALUE"""),"GV")</f>
        <v>GV</v>
      </c>
      <c r="M488" s="43" t="str">
        <f>IFERROR(__xludf.DUMMYFUNCTION("""COMPUTED_VALUE"""),"short")</f>
        <v>short</v>
      </c>
      <c r="N488" s="45">
        <f>IFERROR(__xludf.DUMMYFUNCTION("""COMPUTED_VALUE"""),45024.0)</f>
        <v>45024</v>
      </c>
      <c r="O488" s="45">
        <f>IFERROR(__xludf.DUMMYFUNCTION("""COMPUTED_VALUE"""),45047.0)</f>
        <v>45047</v>
      </c>
      <c r="P488" s="45">
        <f>IFERROR(__xludf.DUMMYFUNCTION("""COMPUTED_VALUE"""),45089.0)</f>
        <v>45089</v>
      </c>
      <c r="Q488" s="45">
        <f>IFERROR(__xludf.DUMMYFUNCTION("""COMPUTED_VALUE"""),45047.0)</f>
        <v>45047</v>
      </c>
      <c r="R488" s="45">
        <f>IFERROR(__xludf.DUMMYFUNCTION("""COMPUTED_VALUE"""),45089.0)</f>
        <v>45089</v>
      </c>
      <c r="S488" s="43"/>
      <c r="T488" s="43"/>
      <c r="U488" s="43" t="str">
        <f>IFERROR(__xludf.DUMMYFUNCTION("""COMPUTED_VALUE"""),"Eat 4 Change")</f>
        <v>Eat 4 Change</v>
      </c>
      <c r="V488" s="43" t="str">
        <f>IFERROR(__xludf.DUMMYFUNCTION("""COMPUTED_VALUE"""),"GAZIANTEP")</f>
        <v>GAZIANTEP</v>
      </c>
      <c r="W488" s="43" t="str">
        <f>IFERROR(__xludf.DUMMYFUNCTION("""COMPUTED_VALUE"""),"2023-04-04T22:12:39Z")</f>
        <v>2023-04-04T22:12:39Z</v>
      </c>
      <c r="X488" s="43"/>
      <c r="Y488" s="43"/>
      <c r="Z488" s="43"/>
    </row>
    <row r="489" hidden="1">
      <c r="A489" s="43" t="str">
        <f>IFERROR(__xludf.DUMMYFUNCTION("""COMPUTED_VALUE"""),"5174045_1289297")</f>
        <v>5174045_1289297</v>
      </c>
      <c r="B489" s="43" t="str">
        <f>IFERROR(__xludf.DUMMYFUNCTION("""COMPUTED_VALUE"""),"İdil Eylül Durmaz")</f>
        <v>İdil Eylül Durmaz</v>
      </c>
      <c r="C489" s="43" t="str">
        <f>IFERROR(__xludf.DUMMYFUNCTION("""COMPUTED_VALUE"""),"completed")</f>
        <v>completed</v>
      </c>
      <c r="D489" s="43" t="str">
        <f>IFERROR(__xludf.DUMMYFUNCTION("""COMPUTED_VALUE"""),"No")</f>
        <v>No</v>
      </c>
      <c r="E489" s="43" t="str">
        <f>IFERROR(__xludf.DUMMYFUNCTION("""COMPUTED_VALUE"""),"p_e89d80b1988d5b2d4c2c3d93fa380ca14de77b03@inbound.aiesec.org")</f>
        <v>p_e89d80b1988d5b2d4c2c3d93fa380ca14de77b03@inbound.aiesec.org</v>
      </c>
      <c r="F489" s="43"/>
      <c r="G489" s="43" t="str">
        <f>IFERROR(__xludf.DUMMYFUNCTION("""COMPUTED_VALUE"""),"Turkey")</f>
        <v>Turkey</v>
      </c>
      <c r="H489" s="43" t="str">
        <f>IFERROR(__xludf.DUMMYFUNCTION("""COMPUTED_VALUE"""),"ISTANBUL")</f>
        <v>ISTANBUL</v>
      </c>
      <c r="I489" s="43" t="str">
        <f>IFERROR(__xludf.DUMMYFUNCTION("""COMPUTED_VALUE"""),"Azerbaijan")</f>
        <v>Azerbaijan</v>
      </c>
      <c r="J489" s="43" t="str">
        <f>IFERROR(__xludf.DUMMYFUNCTION("""COMPUTED_VALUE"""),"Baku Synergy")</f>
        <v>Baku Synergy</v>
      </c>
      <c r="K489" s="44" t="str">
        <f>IFERROR(__xludf.DUMMYFUNCTION("""COMPUTED_VALUE"""),"https://expa.aiesec.org/opportunities/1289297")</f>
        <v>https://expa.aiesec.org/opportunities/1289297</v>
      </c>
      <c r="L489" s="43" t="str">
        <f>IFERROR(__xludf.DUMMYFUNCTION("""COMPUTED_VALUE"""),"GV")</f>
        <v>GV</v>
      </c>
      <c r="M489" s="43" t="str">
        <f>IFERROR(__xludf.DUMMYFUNCTION("""COMPUTED_VALUE"""),"short")</f>
        <v>short</v>
      </c>
      <c r="N489" s="45">
        <f>IFERROR(__xludf.DUMMYFUNCTION("""COMPUTED_VALUE"""),45024.0)</f>
        <v>45024</v>
      </c>
      <c r="O489" s="45">
        <f>IFERROR(__xludf.DUMMYFUNCTION("""COMPUTED_VALUE"""),45110.0)</f>
        <v>45110</v>
      </c>
      <c r="P489" s="45">
        <f>IFERROR(__xludf.DUMMYFUNCTION("""COMPUTED_VALUE"""),45152.0)</f>
        <v>45152</v>
      </c>
      <c r="Q489" s="45">
        <f>IFERROR(__xludf.DUMMYFUNCTION("""COMPUTED_VALUE"""),45110.0)</f>
        <v>45110</v>
      </c>
      <c r="R489" s="45">
        <f>IFERROR(__xludf.DUMMYFUNCTION("""COMPUTED_VALUE"""),45152.0)</f>
        <v>45152</v>
      </c>
      <c r="S489" s="43"/>
      <c r="T489" s="43"/>
      <c r="U489" s="43" t="str">
        <f>IFERROR(__xludf.DUMMYFUNCTION("""COMPUTED_VALUE"""),"Youth 4 Impact")</f>
        <v>Youth 4 Impact</v>
      </c>
      <c r="V489" s="43" t="str">
        <f>IFERROR(__xludf.DUMMYFUNCTION("""COMPUTED_VALUE"""),"-")</f>
        <v>-</v>
      </c>
      <c r="W489" s="43" t="str">
        <f>IFERROR(__xludf.DUMMYFUNCTION("""COMPUTED_VALUE"""),"2023-01-07T13:31:22Z")</f>
        <v>2023-01-07T13:31:22Z</v>
      </c>
      <c r="X489" s="43"/>
      <c r="Y489" s="43"/>
      <c r="Z489" s="43"/>
    </row>
    <row r="490" hidden="1">
      <c r="A490" s="43" t="str">
        <f>IFERROR(__xludf.DUMMYFUNCTION("""COMPUTED_VALUE"""),"5237615_1290282")</f>
        <v>5237615_1290282</v>
      </c>
      <c r="B490" s="43" t="str">
        <f>IFERROR(__xludf.DUMMYFUNCTION("""COMPUTED_VALUE"""),"Arda Sevinç")</f>
        <v>Arda Sevinç</v>
      </c>
      <c r="C490" s="43" t="str">
        <f>IFERROR(__xludf.DUMMYFUNCTION("""COMPUTED_VALUE"""),"completed")</f>
        <v>completed</v>
      </c>
      <c r="D490" s="43" t="str">
        <f>IFERROR(__xludf.DUMMYFUNCTION("""COMPUTED_VALUE"""),"No")</f>
        <v>No</v>
      </c>
      <c r="E490" s="43" t="str">
        <f>IFERROR(__xludf.DUMMYFUNCTION("""COMPUTED_VALUE"""),"p_6749cb1d77aa1a018d56cc536358bb75aa36122b@inbound.aiesec.org")</f>
        <v>p_6749cb1d77aa1a018d56cc536358bb75aa36122b@inbound.aiesec.org</v>
      </c>
      <c r="F490" s="43">
        <f>IFERROR(__xludf.DUMMYFUNCTION("""COMPUTED_VALUE"""),5.443434741E9)</f>
        <v>5443434741</v>
      </c>
      <c r="G490" s="43" t="str">
        <f>IFERROR(__xludf.DUMMYFUNCTION("""COMPUTED_VALUE"""),"Turkey")</f>
        <v>Turkey</v>
      </c>
      <c r="H490" s="43" t="str">
        <f>IFERROR(__xludf.DUMMYFUNCTION("""COMPUTED_VALUE"""),"ISTANBUL ASIA")</f>
        <v>ISTANBUL ASIA</v>
      </c>
      <c r="I490" s="43" t="str">
        <f>IFERROR(__xludf.DUMMYFUNCTION("""COMPUTED_VALUE"""),"Egypt")</f>
        <v>Egypt</v>
      </c>
      <c r="J490" s="43" t="str">
        <f>IFERROR(__xludf.DUMMYFUNCTION("""COMPUTED_VALUE"""),"GUC")</f>
        <v>GUC</v>
      </c>
      <c r="K490" s="44" t="str">
        <f>IFERROR(__xludf.DUMMYFUNCTION("""COMPUTED_VALUE"""),"https://expa.aiesec.org/opportunities/1290282")</f>
        <v>https://expa.aiesec.org/opportunities/1290282</v>
      </c>
      <c r="L490" s="43" t="str">
        <f>IFERROR(__xludf.DUMMYFUNCTION("""COMPUTED_VALUE"""),"GV")</f>
        <v>GV</v>
      </c>
      <c r="M490" s="43" t="str">
        <f>IFERROR(__xludf.DUMMYFUNCTION("""COMPUTED_VALUE"""),"short")</f>
        <v>short</v>
      </c>
      <c r="N490" s="45">
        <f>IFERROR(__xludf.DUMMYFUNCTION("""COMPUTED_VALUE"""),45025.0)</f>
        <v>45025</v>
      </c>
      <c r="O490" s="45">
        <f>IFERROR(__xludf.DUMMYFUNCTION("""COMPUTED_VALUE"""),45122.0)</f>
        <v>45122</v>
      </c>
      <c r="P490" s="45">
        <f>IFERROR(__xludf.DUMMYFUNCTION("""COMPUTED_VALUE"""),45164.0)</f>
        <v>45164</v>
      </c>
      <c r="Q490" s="45">
        <f>IFERROR(__xludf.DUMMYFUNCTION("""COMPUTED_VALUE"""),45125.0)</f>
        <v>45125</v>
      </c>
      <c r="R490" s="45">
        <f>IFERROR(__xludf.DUMMYFUNCTION("""COMPUTED_VALUE"""),45166.0)</f>
        <v>45166</v>
      </c>
      <c r="S490" s="43"/>
      <c r="T490" s="43"/>
      <c r="U490" s="43" t="str">
        <f>IFERROR(__xludf.DUMMYFUNCTION("""COMPUTED_VALUE"""),"On The Map")</f>
        <v>On The Map</v>
      </c>
      <c r="V490" s="43" t="str">
        <f>IFERROR(__xludf.DUMMYFUNCTION("""COMPUTED_VALUE"""),"KOCAELI")</f>
        <v>KOCAELI</v>
      </c>
      <c r="W490" s="43" t="str">
        <f>IFERROR(__xludf.DUMMYFUNCTION("""COMPUTED_VALUE"""),"2023-04-08T14:06:45Z")</f>
        <v>2023-04-08T14:06:45Z</v>
      </c>
      <c r="X490" s="43"/>
      <c r="Y490" s="43"/>
      <c r="Z490" s="43"/>
    </row>
    <row r="491" hidden="1">
      <c r="A491" s="43" t="str">
        <f>IFERROR(__xludf.DUMMYFUNCTION("""COMPUTED_VALUE"""),"5236515_1288609")</f>
        <v>5236515_1288609</v>
      </c>
      <c r="B491" s="43" t="str">
        <f>IFERROR(__xludf.DUMMYFUNCTION("""COMPUTED_VALUE"""),"Cansu Şahin")</f>
        <v>Cansu Şahin</v>
      </c>
      <c r="C491" s="43" t="str">
        <f>IFERROR(__xludf.DUMMYFUNCTION("""COMPUTED_VALUE"""),"completed")</f>
        <v>completed</v>
      </c>
      <c r="D491" s="43" t="str">
        <f>IFERROR(__xludf.DUMMYFUNCTION("""COMPUTED_VALUE"""),"No")</f>
        <v>No</v>
      </c>
      <c r="E491" s="43" t="str">
        <f>IFERROR(__xludf.DUMMYFUNCTION("""COMPUTED_VALUE"""),"p_f20aa6e6935b4311f4e189ed126b33fe53cf2e87@inbound.aiesec.org")</f>
        <v>p_f20aa6e6935b4311f4e189ed126b33fe53cf2e87@inbound.aiesec.org</v>
      </c>
      <c r="F491" s="43">
        <f>IFERROR(__xludf.DUMMYFUNCTION("""COMPUTED_VALUE"""),5.321583084E9)</f>
        <v>5321583084</v>
      </c>
      <c r="G491" s="43" t="str">
        <f>IFERROR(__xludf.DUMMYFUNCTION("""COMPUTED_VALUE"""),"Turkey")</f>
        <v>Turkey</v>
      </c>
      <c r="H491" s="43" t="str">
        <f>IFERROR(__xludf.DUMMYFUNCTION("""COMPUTED_VALUE"""),"ISTANBUL ASIA")</f>
        <v>ISTANBUL ASIA</v>
      </c>
      <c r="I491" s="43" t="str">
        <f>IFERROR(__xludf.DUMMYFUNCTION("""COMPUTED_VALUE"""),"Egypt")</f>
        <v>Egypt</v>
      </c>
      <c r="J491" s="43" t="str">
        <f>IFERROR(__xludf.DUMMYFUNCTION("""COMPUTED_VALUE"""),"Tanta")</f>
        <v>Tanta</v>
      </c>
      <c r="K491" s="44" t="str">
        <f>IFERROR(__xludf.DUMMYFUNCTION("""COMPUTED_VALUE"""),"https://expa.aiesec.org/opportunities/1288609")</f>
        <v>https://expa.aiesec.org/opportunities/1288609</v>
      </c>
      <c r="L491" s="43" t="str">
        <f>IFERROR(__xludf.DUMMYFUNCTION("""COMPUTED_VALUE"""),"GV")</f>
        <v>GV</v>
      </c>
      <c r="M491" s="43" t="str">
        <f>IFERROR(__xludf.DUMMYFUNCTION("""COMPUTED_VALUE"""),"short")</f>
        <v>short</v>
      </c>
      <c r="N491" s="45">
        <f>IFERROR(__xludf.DUMMYFUNCTION("""COMPUTED_VALUE"""),45025.0)</f>
        <v>45025</v>
      </c>
      <c r="O491" s="45">
        <f>IFERROR(__xludf.DUMMYFUNCTION("""COMPUTED_VALUE"""),45108.0)</f>
        <v>45108</v>
      </c>
      <c r="P491" s="45">
        <f>IFERROR(__xludf.DUMMYFUNCTION("""COMPUTED_VALUE"""),45150.0)</f>
        <v>45150</v>
      </c>
      <c r="Q491" s="45">
        <f>IFERROR(__xludf.DUMMYFUNCTION("""COMPUTED_VALUE"""),45109.0)</f>
        <v>45109</v>
      </c>
      <c r="R491" s="45">
        <f>IFERROR(__xludf.DUMMYFUNCTION("""COMPUTED_VALUE"""),45150.0)</f>
        <v>45150</v>
      </c>
      <c r="S491" s="43"/>
      <c r="T491" s="43"/>
      <c r="U491" s="43" t="str">
        <f>IFERROR(__xludf.DUMMYFUNCTION("""COMPUTED_VALUE"""),"On The Map")</f>
        <v>On The Map</v>
      </c>
      <c r="V491" s="43" t="str">
        <f>IFERROR(__xludf.DUMMYFUNCTION("""COMPUTED_VALUE"""),"ISTANBUL ASIA")</f>
        <v>ISTANBUL ASIA</v>
      </c>
      <c r="W491" s="43" t="str">
        <f>IFERROR(__xludf.DUMMYFUNCTION("""COMPUTED_VALUE"""),"2023-04-06T17:38:21Z")</f>
        <v>2023-04-06T17:38:21Z</v>
      </c>
      <c r="X491" s="43"/>
      <c r="Y491" s="43"/>
      <c r="Z491" s="43"/>
    </row>
    <row r="492" hidden="1">
      <c r="A492" s="43" t="str">
        <f>IFERROR(__xludf.DUMMYFUNCTION("""COMPUTED_VALUE"""),"5236375_1293172")</f>
        <v>5236375_1293172</v>
      </c>
      <c r="B492" s="43" t="str">
        <f>IFERROR(__xludf.DUMMYFUNCTION("""COMPUTED_VALUE"""),"Natasha Mussa")</f>
        <v>Natasha Mussa</v>
      </c>
      <c r="C492" s="43" t="str">
        <f>IFERROR(__xludf.DUMMYFUNCTION("""COMPUTED_VALUE"""),"completed")</f>
        <v>completed</v>
      </c>
      <c r="D492" s="43" t="str">
        <f>IFERROR(__xludf.DUMMYFUNCTION("""COMPUTED_VALUE"""),"No")</f>
        <v>No</v>
      </c>
      <c r="E492" s="43" t="str">
        <f>IFERROR(__xludf.DUMMYFUNCTION("""COMPUTED_VALUE"""),"p_692568502333b5b100d38d23e6583ef6d20ae700@inbound.aiesec.org")</f>
        <v>p_692568502333b5b100d38d23e6583ef6d20ae700@inbound.aiesec.org</v>
      </c>
      <c r="F492" s="43">
        <f>IFERROR(__xludf.DUMMYFUNCTION("""COMPUTED_VALUE"""),5.366762397E9)</f>
        <v>5366762397</v>
      </c>
      <c r="G492" s="43" t="str">
        <f>IFERROR(__xludf.DUMMYFUNCTION("""COMPUTED_VALUE"""),"Turkey")</f>
        <v>Turkey</v>
      </c>
      <c r="H492" s="43" t="str">
        <f>IFERROR(__xludf.DUMMYFUNCTION("""COMPUTED_VALUE"""),"GAZIANTEP")</f>
        <v>GAZIANTEP</v>
      </c>
      <c r="I492" s="43" t="str">
        <f>IFERROR(__xludf.DUMMYFUNCTION("""COMPUTED_VALUE"""),"Poland")</f>
        <v>Poland</v>
      </c>
      <c r="J492" s="43" t="str">
        <f>IFERROR(__xludf.DUMMYFUNCTION("""COMPUTED_VALUE"""),"KATOWICE UE")</f>
        <v>KATOWICE UE</v>
      </c>
      <c r="K492" s="44" t="str">
        <f>IFERROR(__xludf.DUMMYFUNCTION("""COMPUTED_VALUE"""),"https://expa.aiesec.org/opportunities/1293172")</f>
        <v>https://expa.aiesec.org/opportunities/1293172</v>
      </c>
      <c r="L492" s="43" t="str">
        <f>IFERROR(__xludf.DUMMYFUNCTION("""COMPUTED_VALUE"""),"GV")</f>
        <v>GV</v>
      </c>
      <c r="M492" s="43" t="str">
        <f>IFERROR(__xludf.DUMMYFUNCTION("""COMPUTED_VALUE"""),"short")</f>
        <v>short</v>
      </c>
      <c r="N492" s="45">
        <f>IFERROR(__xludf.DUMMYFUNCTION("""COMPUTED_VALUE"""),45025.0)</f>
        <v>45025</v>
      </c>
      <c r="O492" s="45">
        <f>IFERROR(__xludf.DUMMYFUNCTION("""COMPUTED_VALUE"""),45054.0)</f>
        <v>45054</v>
      </c>
      <c r="P492" s="45">
        <f>IFERROR(__xludf.DUMMYFUNCTION("""COMPUTED_VALUE"""),45096.0)</f>
        <v>45096</v>
      </c>
      <c r="Q492" s="45">
        <f>IFERROR(__xludf.DUMMYFUNCTION("""COMPUTED_VALUE"""),45063.0)</f>
        <v>45063</v>
      </c>
      <c r="R492" s="45">
        <f>IFERROR(__xludf.DUMMYFUNCTION("""COMPUTED_VALUE"""),45103.0)</f>
        <v>45103</v>
      </c>
      <c r="S492" s="43"/>
      <c r="T492" s="43"/>
      <c r="U492" s="43" t="str">
        <f>IFERROR(__xludf.DUMMYFUNCTION("""COMPUTED_VALUE"""),"Heartbeat")</f>
        <v>Heartbeat</v>
      </c>
      <c r="V492" s="43" t="str">
        <f>IFERROR(__xludf.DUMMYFUNCTION("""COMPUTED_VALUE"""),"GAZIANTEP")</f>
        <v>GAZIANTEP</v>
      </c>
      <c r="W492" s="43" t="str">
        <f>IFERROR(__xludf.DUMMYFUNCTION("""COMPUTED_VALUE"""),"2023-04-06T13:41:34Z")</f>
        <v>2023-04-06T13:41:34Z</v>
      </c>
      <c r="X492" s="43"/>
      <c r="Y492" s="43"/>
      <c r="Z492" s="43"/>
    </row>
    <row r="493" hidden="1">
      <c r="A493" s="43" t="str">
        <f>IFERROR(__xludf.DUMMYFUNCTION("""COMPUTED_VALUE"""),"4804075_1292871")</f>
        <v>4804075_1292871</v>
      </c>
      <c r="B493" s="43" t="str">
        <f>IFERROR(__xludf.DUMMYFUNCTION("""COMPUTED_VALUE"""),"AHMET ÖMER YÜCE")</f>
        <v>AHMET ÖMER YÜCE</v>
      </c>
      <c r="C493" s="43" t="str">
        <f>IFERROR(__xludf.DUMMYFUNCTION("""COMPUTED_VALUE"""),"finished")</f>
        <v>finished</v>
      </c>
      <c r="D493" s="43" t="str">
        <f>IFERROR(__xludf.DUMMYFUNCTION("""COMPUTED_VALUE"""),"No")</f>
        <v>No</v>
      </c>
      <c r="E493" s="43" t="str">
        <f>IFERROR(__xludf.DUMMYFUNCTION("""COMPUTED_VALUE"""),"p_80f01c9af3579699557a8b0ef6111624e52086c4@inbound.aiesec.org")</f>
        <v>p_80f01c9af3579699557a8b0ef6111624e52086c4@inbound.aiesec.org</v>
      </c>
      <c r="F493" s="43">
        <f>IFERROR(__xludf.DUMMYFUNCTION("""COMPUTED_VALUE"""),5.354070345E9)</f>
        <v>5354070345</v>
      </c>
      <c r="G493" s="43" t="str">
        <f>IFERROR(__xludf.DUMMYFUNCTION("""COMPUTED_VALUE"""),"Turkey")</f>
        <v>Turkey</v>
      </c>
      <c r="H493" s="43" t="str">
        <f>IFERROR(__xludf.DUMMYFUNCTION("""COMPUTED_VALUE"""),"DENIZLI")</f>
        <v>DENIZLI</v>
      </c>
      <c r="I493" s="43" t="str">
        <f>IFERROR(__xludf.DUMMYFUNCTION("""COMPUTED_VALUE"""),"South Korea")</f>
        <v>South Korea</v>
      </c>
      <c r="J493" s="43" t="str">
        <f>IFERROR(__xludf.DUMMYFUNCTION("""COMPUTED_VALUE"""),"SGU")</f>
        <v>SGU</v>
      </c>
      <c r="K493" s="44" t="str">
        <f>IFERROR(__xludf.DUMMYFUNCTION("""COMPUTED_VALUE"""),"https://expa.aiesec.org/opportunities/1292871")</f>
        <v>https://expa.aiesec.org/opportunities/1292871</v>
      </c>
      <c r="L493" s="43" t="str">
        <f>IFERROR(__xludf.DUMMYFUNCTION("""COMPUTED_VALUE"""),"GV")</f>
        <v>GV</v>
      </c>
      <c r="M493" s="43" t="str">
        <f>IFERROR(__xludf.DUMMYFUNCTION("""COMPUTED_VALUE"""),"short")</f>
        <v>short</v>
      </c>
      <c r="N493" s="45">
        <f>IFERROR(__xludf.DUMMYFUNCTION("""COMPUTED_VALUE"""),45025.0)</f>
        <v>45025</v>
      </c>
      <c r="O493" s="45">
        <f>IFERROR(__xludf.DUMMYFUNCTION("""COMPUTED_VALUE"""),45124.0)</f>
        <v>45124</v>
      </c>
      <c r="P493" s="45">
        <f>IFERROR(__xludf.DUMMYFUNCTION("""COMPUTED_VALUE"""),45166.0)</f>
        <v>45166</v>
      </c>
      <c r="Q493" s="45">
        <f>IFERROR(__xludf.DUMMYFUNCTION("""COMPUTED_VALUE"""),45152.0)</f>
        <v>45152</v>
      </c>
      <c r="R493" s="45">
        <f>IFERROR(__xludf.DUMMYFUNCTION("""COMPUTED_VALUE"""),45166.0)</f>
        <v>45166</v>
      </c>
      <c r="S493" s="43"/>
      <c r="T493" s="43"/>
      <c r="U493" s="43" t="str">
        <f>IFERROR(__xludf.DUMMYFUNCTION("""COMPUTED_VALUE"""),"Global Classroom")</f>
        <v>Global Classroom</v>
      </c>
      <c r="V493" s="43" t="str">
        <f>IFERROR(__xludf.DUMMYFUNCTION("""COMPUTED_VALUE"""),"KOCAELI")</f>
        <v>KOCAELI</v>
      </c>
      <c r="W493" s="43" t="str">
        <f>IFERROR(__xludf.DUMMYFUNCTION("""COMPUTED_VALUE"""),"2021-11-15T15:31:19Z")</f>
        <v>2021-11-15T15:31:19Z</v>
      </c>
      <c r="X493" s="43"/>
      <c r="Y493" s="43"/>
      <c r="Z493" s="43"/>
    </row>
    <row r="494" hidden="1">
      <c r="A494" s="43" t="str">
        <f>IFERROR(__xludf.DUMMYFUNCTION("""COMPUTED_VALUE"""),"5137508_1288412")</f>
        <v>5137508_1288412</v>
      </c>
      <c r="B494" s="43" t="str">
        <f>IFERROR(__xludf.DUMMYFUNCTION("""COMPUTED_VALUE"""),"Hasan Utku Put")</f>
        <v>Hasan Utku Put</v>
      </c>
      <c r="C494" s="43" t="str">
        <f>IFERROR(__xludf.DUMMYFUNCTION("""COMPUTED_VALUE"""),"completed")</f>
        <v>completed</v>
      </c>
      <c r="D494" s="43" t="str">
        <f>IFERROR(__xludf.DUMMYFUNCTION("""COMPUTED_VALUE"""),"No")</f>
        <v>No</v>
      </c>
      <c r="E494" s="43" t="str">
        <f>IFERROR(__xludf.DUMMYFUNCTION("""COMPUTED_VALUE"""),"p_5c860a2219fe99d1a8516f600291f7ddea0db3fe@inbound.aiesec.org")</f>
        <v>p_5c860a2219fe99d1a8516f600291f7ddea0db3fe@inbound.aiesec.org</v>
      </c>
      <c r="F494" s="43"/>
      <c r="G494" s="43" t="str">
        <f>IFERROR(__xludf.DUMMYFUNCTION("""COMPUTED_VALUE"""),"Turkey")</f>
        <v>Turkey</v>
      </c>
      <c r="H494" s="43" t="str">
        <f>IFERROR(__xludf.DUMMYFUNCTION("""COMPUTED_VALUE"""),"KOCAELI")</f>
        <v>KOCAELI</v>
      </c>
      <c r="I494" s="43" t="str">
        <f>IFERROR(__xludf.DUMMYFUNCTION("""COMPUTED_VALUE"""),"India")</f>
        <v>India</v>
      </c>
      <c r="J494" s="43" t="str">
        <f>IFERROR(__xludf.DUMMYFUNCTION("""COMPUTED_VALUE"""),"JAIPUR ")</f>
        <v>JAIPUR </v>
      </c>
      <c r="K494" s="44" t="str">
        <f>IFERROR(__xludf.DUMMYFUNCTION("""COMPUTED_VALUE"""),"https://expa.aiesec.org/opportunities/1288412")</f>
        <v>https://expa.aiesec.org/opportunities/1288412</v>
      </c>
      <c r="L494" s="43" t="str">
        <f>IFERROR(__xludf.DUMMYFUNCTION("""COMPUTED_VALUE"""),"GV")</f>
        <v>GV</v>
      </c>
      <c r="M494" s="43" t="str">
        <f>IFERROR(__xludf.DUMMYFUNCTION("""COMPUTED_VALUE"""),"short")</f>
        <v>short</v>
      </c>
      <c r="N494" s="45">
        <f>IFERROR(__xludf.DUMMYFUNCTION("""COMPUTED_VALUE"""),45026.0)</f>
        <v>45026</v>
      </c>
      <c r="O494" s="45">
        <f>IFERROR(__xludf.DUMMYFUNCTION("""COMPUTED_VALUE"""),45086.0)</f>
        <v>45086</v>
      </c>
      <c r="P494" s="45">
        <f>IFERROR(__xludf.DUMMYFUNCTION("""COMPUTED_VALUE"""),45128.0)</f>
        <v>45128</v>
      </c>
      <c r="Q494" s="45">
        <f>IFERROR(__xludf.DUMMYFUNCTION("""COMPUTED_VALUE"""),45085.0)</f>
        <v>45085</v>
      </c>
      <c r="R494" s="45">
        <f>IFERROR(__xludf.DUMMYFUNCTION("""COMPUTED_VALUE"""),45128.0)</f>
        <v>45128</v>
      </c>
      <c r="S494" s="43"/>
      <c r="T494" s="43"/>
      <c r="U494" s="43" t="str">
        <f>IFERROR(__xludf.DUMMYFUNCTION("""COMPUTED_VALUE"""),"Skill Up!")</f>
        <v>Skill Up!</v>
      </c>
      <c r="V494" s="43" t="str">
        <f>IFERROR(__xludf.DUMMYFUNCTION("""COMPUTED_VALUE"""),"-")</f>
        <v>-</v>
      </c>
      <c r="W494" s="43" t="str">
        <f>IFERROR(__xludf.DUMMYFUNCTION("""COMPUTED_VALUE"""),"2022-10-20T14:37:45Z")</f>
        <v>2022-10-20T14:37:45Z</v>
      </c>
      <c r="X494" s="43"/>
      <c r="Y494" s="43"/>
      <c r="Z494" s="43"/>
    </row>
    <row r="495" hidden="1">
      <c r="A495" s="43" t="str">
        <f>IFERROR(__xludf.DUMMYFUNCTION("""COMPUTED_VALUE"""),"5178395_1292910")</f>
        <v>5178395_1292910</v>
      </c>
      <c r="B495" s="43" t="str">
        <f>IFERROR(__xludf.DUMMYFUNCTION("""COMPUTED_VALUE"""),"Merve Naz Çağatay")</f>
        <v>Merve Naz Çağatay</v>
      </c>
      <c r="C495" s="43" t="str">
        <f>IFERROR(__xludf.DUMMYFUNCTION("""COMPUTED_VALUE"""),"completed")</f>
        <v>completed</v>
      </c>
      <c r="D495" s="43" t="str">
        <f>IFERROR(__xludf.DUMMYFUNCTION("""COMPUTED_VALUE"""),"No")</f>
        <v>No</v>
      </c>
      <c r="E495" s="43" t="str">
        <f>IFERROR(__xludf.DUMMYFUNCTION("""COMPUTED_VALUE"""),"p_7a6e8c6b893d22a503890a98d89ceabe49c4a988@inbound.aiesec.org")</f>
        <v>p_7a6e8c6b893d22a503890a98d89ceabe49c4a988@inbound.aiesec.org</v>
      </c>
      <c r="F495" s="43">
        <f>IFERROR(__xludf.DUMMYFUNCTION("""COMPUTED_VALUE"""),5.050180037E9)</f>
        <v>5050180037</v>
      </c>
      <c r="G495" s="43" t="str">
        <f>IFERROR(__xludf.DUMMYFUNCTION("""COMPUTED_VALUE"""),"Turkey")</f>
        <v>Turkey</v>
      </c>
      <c r="H495" s="43" t="str">
        <f>IFERROR(__xludf.DUMMYFUNCTION("""COMPUTED_VALUE"""),"ANKARA")</f>
        <v>ANKARA</v>
      </c>
      <c r="I495" s="43" t="str">
        <f>IFERROR(__xludf.DUMMYFUNCTION("""COMPUTED_VALUE"""),"South Korea")</f>
        <v>South Korea</v>
      </c>
      <c r="J495" s="43" t="str">
        <f>IFERROR(__xludf.DUMMYFUNCTION("""COMPUTED_VALUE"""),"HUFS(Hankuk University of Foreign Studies)")</f>
        <v>HUFS(Hankuk University of Foreign Studies)</v>
      </c>
      <c r="K495" s="44" t="str">
        <f>IFERROR(__xludf.DUMMYFUNCTION("""COMPUTED_VALUE"""),"https://expa.aiesec.org/opportunities/1292910")</f>
        <v>https://expa.aiesec.org/opportunities/1292910</v>
      </c>
      <c r="L495" s="43" t="str">
        <f>IFERROR(__xludf.DUMMYFUNCTION("""COMPUTED_VALUE"""),"GV")</f>
        <v>GV</v>
      </c>
      <c r="M495" s="43" t="str">
        <f>IFERROR(__xludf.DUMMYFUNCTION("""COMPUTED_VALUE"""),"short")</f>
        <v>short</v>
      </c>
      <c r="N495" s="45">
        <f>IFERROR(__xludf.DUMMYFUNCTION("""COMPUTED_VALUE"""),45026.0)</f>
        <v>45026</v>
      </c>
      <c r="O495" s="45">
        <f>IFERROR(__xludf.DUMMYFUNCTION("""COMPUTED_VALUE"""),45110.0)</f>
        <v>45110</v>
      </c>
      <c r="P495" s="45">
        <f>IFERROR(__xludf.DUMMYFUNCTION("""COMPUTED_VALUE"""),45152.0)</f>
        <v>45152</v>
      </c>
      <c r="Q495" s="45">
        <f>IFERROR(__xludf.DUMMYFUNCTION("""COMPUTED_VALUE"""),45152.0)</f>
        <v>45152</v>
      </c>
      <c r="R495" s="45">
        <f>IFERROR(__xludf.DUMMYFUNCTION("""COMPUTED_VALUE"""),45153.0)</f>
        <v>45153</v>
      </c>
      <c r="S495" s="43"/>
      <c r="T495" s="43"/>
      <c r="U495" s="43" t="str">
        <f>IFERROR(__xludf.DUMMYFUNCTION("""COMPUTED_VALUE"""),"Global Classroom")</f>
        <v>Global Classroom</v>
      </c>
      <c r="V495" s="43" t="str">
        <f>IFERROR(__xludf.DUMMYFUNCTION("""COMPUTED_VALUE"""),"ANKARA")</f>
        <v>ANKARA</v>
      </c>
      <c r="W495" s="43" t="str">
        <f>IFERROR(__xludf.DUMMYFUNCTION("""COMPUTED_VALUE"""),"2023-01-19T15:31:53Z")</f>
        <v>2023-01-19T15:31:53Z</v>
      </c>
      <c r="X495" s="43"/>
      <c r="Y495" s="43"/>
      <c r="Z495" s="43"/>
    </row>
    <row r="496" hidden="1">
      <c r="A496" s="43" t="str">
        <f>IFERROR(__xludf.DUMMYFUNCTION("""COMPUTED_VALUE"""),"5239550_1288609")</f>
        <v>5239550_1288609</v>
      </c>
      <c r="B496" s="43" t="str">
        <f>IFERROR(__xludf.DUMMYFUNCTION("""COMPUTED_VALUE"""),"adnan yiğit ahıshalı")</f>
        <v>adnan yiğit ahıshalı</v>
      </c>
      <c r="C496" s="43" t="str">
        <f>IFERROR(__xludf.DUMMYFUNCTION("""COMPUTED_VALUE"""),"completed")</f>
        <v>completed</v>
      </c>
      <c r="D496" s="43" t="str">
        <f>IFERROR(__xludf.DUMMYFUNCTION("""COMPUTED_VALUE"""),"No")</f>
        <v>No</v>
      </c>
      <c r="E496" s="43" t="str">
        <f>IFERROR(__xludf.DUMMYFUNCTION("""COMPUTED_VALUE"""),"p_1777caf6918b7a12dcaed328160884f74c735755@inbound.aiesec.org")</f>
        <v>p_1777caf6918b7a12dcaed328160884f74c735755@inbound.aiesec.org</v>
      </c>
      <c r="F496" s="43">
        <f>IFERROR(__xludf.DUMMYFUNCTION("""COMPUTED_VALUE"""),5.325933469E9)</f>
        <v>5325933469</v>
      </c>
      <c r="G496" s="43" t="str">
        <f>IFERROR(__xludf.DUMMYFUNCTION("""COMPUTED_VALUE"""),"Turkey")</f>
        <v>Turkey</v>
      </c>
      <c r="H496" s="43" t="str">
        <f>IFERROR(__xludf.DUMMYFUNCTION("""COMPUTED_VALUE"""),"GAZIANTEP")</f>
        <v>GAZIANTEP</v>
      </c>
      <c r="I496" s="43" t="str">
        <f>IFERROR(__xludf.DUMMYFUNCTION("""COMPUTED_VALUE"""),"Egypt")</f>
        <v>Egypt</v>
      </c>
      <c r="J496" s="43" t="str">
        <f>IFERROR(__xludf.DUMMYFUNCTION("""COMPUTED_VALUE"""),"Tanta")</f>
        <v>Tanta</v>
      </c>
      <c r="K496" s="44" t="str">
        <f>IFERROR(__xludf.DUMMYFUNCTION("""COMPUTED_VALUE"""),"https://expa.aiesec.org/opportunities/1288609")</f>
        <v>https://expa.aiesec.org/opportunities/1288609</v>
      </c>
      <c r="L496" s="43" t="str">
        <f>IFERROR(__xludf.DUMMYFUNCTION("""COMPUTED_VALUE"""),"GV")</f>
        <v>GV</v>
      </c>
      <c r="M496" s="43" t="str">
        <f>IFERROR(__xludf.DUMMYFUNCTION("""COMPUTED_VALUE"""),"short")</f>
        <v>short</v>
      </c>
      <c r="N496" s="45">
        <f>IFERROR(__xludf.DUMMYFUNCTION("""COMPUTED_VALUE"""),45027.0)</f>
        <v>45027</v>
      </c>
      <c r="O496" s="45">
        <f>IFERROR(__xludf.DUMMYFUNCTION("""COMPUTED_VALUE"""),45078.0)</f>
        <v>45078</v>
      </c>
      <c r="P496" s="45">
        <f>IFERROR(__xludf.DUMMYFUNCTION("""COMPUTED_VALUE"""),45120.0)</f>
        <v>45120</v>
      </c>
      <c r="Q496" s="45">
        <f>IFERROR(__xludf.DUMMYFUNCTION("""COMPUTED_VALUE"""),45109.0)</f>
        <v>45109</v>
      </c>
      <c r="R496" s="45">
        <f>IFERROR(__xludf.DUMMYFUNCTION("""COMPUTED_VALUE"""),45150.0)</f>
        <v>45150</v>
      </c>
      <c r="S496" s="43"/>
      <c r="T496" s="43"/>
      <c r="U496" s="43" t="str">
        <f>IFERROR(__xludf.DUMMYFUNCTION("""COMPUTED_VALUE"""),"On The Map")</f>
        <v>On The Map</v>
      </c>
      <c r="V496" s="43" t="str">
        <f>IFERROR(__xludf.DUMMYFUNCTION("""COMPUTED_VALUE"""),"GAZIANTEP")</f>
        <v>GAZIANTEP</v>
      </c>
      <c r="W496" s="43" t="str">
        <f>IFERROR(__xludf.DUMMYFUNCTION("""COMPUTED_VALUE"""),"2023-04-11T13:17:34Z")</f>
        <v>2023-04-11T13:17:34Z</v>
      </c>
      <c r="X496" s="43"/>
      <c r="Y496" s="43"/>
      <c r="Z496" s="43"/>
    </row>
    <row r="497" hidden="1">
      <c r="A497" s="43" t="str">
        <f>IFERROR(__xludf.DUMMYFUNCTION("""COMPUTED_VALUE"""),"4769413_1288411")</f>
        <v>4769413_1288411</v>
      </c>
      <c r="B497" s="43" t="str">
        <f>IFERROR(__xludf.DUMMYFUNCTION("""COMPUTED_VALUE"""),"Kemal Tekoğlan")</f>
        <v>Kemal Tekoğlan</v>
      </c>
      <c r="C497" s="43" t="str">
        <f>IFERROR(__xludf.DUMMYFUNCTION("""COMPUTED_VALUE"""),"finished")</f>
        <v>finished</v>
      </c>
      <c r="D497" s="43" t="str">
        <f>IFERROR(__xludf.DUMMYFUNCTION("""COMPUTED_VALUE"""),"No")</f>
        <v>No</v>
      </c>
      <c r="E497" s="43" t="str">
        <f>IFERROR(__xludf.DUMMYFUNCTION("""COMPUTED_VALUE"""),"p_1f22e125d2027c5276b759108a872f0f129e671c@inbound.aiesec.org")</f>
        <v>p_1f22e125d2027c5276b759108a872f0f129e671c@inbound.aiesec.org</v>
      </c>
      <c r="F497" s="43">
        <f>IFERROR(__xludf.DUMMYFUNCTION("""COMPUTED_VALUE"""),5.313367694E9)</f>
        <v>5313367694</v>
      </c>
      <c r="G497" s="43" t="str">
        <f>IFERROR(__xludf.DUMMYFUNCTION("""COMPUTED_VALUE"""),"Turkey")</f>
        <v>Turkey</v>
      </c>
      <c r="H497" s="43" t="str">
        <f>IFERROR(__xludf.DUMMYFUNCTION("""COMPUTED_VALUE"""),"KOCAELI")</f>
        <v>KOCAELI</v>
      </c>
      <c r="I497" s="43" t="str">
        <f>IFERROR(__xludf.DUMMYFUNCTION("""COMPUTED_VALUE"""),"India")</f>
        <v>India</v>
      </c>
      <c r="J497" s="43" t="str">
        <f>IFERROR(__xludf.DUMMYFUNCTION("""COMPUTED_VALUE"""),"JAIPUR ")</f>
        <v>JAIPUR </v>
      </c>
      <c r="K497" s="44" t="str">
        <f>IFERROR(__xludf.DUMMYFUNCTION("""COMPUTED_VALUE"""),"https://expa.aiesec.org/opportunities/1288411")</f>
        <v>https://expa.aiesec.org/opportunities/1288411</v>
      </c>
      <c r="L497" s="43" t="str">
        <f>IFERROR(__xludf.DUMMYFUNCTION("""COMPUTED_VALUE"""),"GV")</f>
        <v>GV</v>
      </c>
      <c r="M497" s="43" t="str">
        <f>IFERROR(__xludf.DUMMYFUNCTION("""COMPUTED_VALUE"""),"short")</f>
        <v>short</v>
      </c>
      <c r="N497" s="45">
        <f>IFERROR(__xludf.DUMMYFUNCTION("""COMPUTED_VALUE"""),45027.0)</f>
        <v>45027</v>
      </c>
      <c r="O497" s="45">
        <f>IFERROR(__xludf.DUMMYFUNCTION("""COMPUTED_VALUE"""),45109.0)</f>
        <v>45109</v>
      </c>
      <c r="P497" s="45">
        <f>IFERROR(__xludf.DUMMYFUNCTION("""COMPUTED_VALUE"""),45151.0)</f>
        <v>45151</v>
      </c>
      <c r="Q497" s="45">
        <f>IFERROR(__xludf.DUMMYFUNCTION("""COMPUTED_VALUE"""),45115.0)</f>
        <v>45115</v>
      </c>
      <c r="R497" s="45">
        <f>IFERROR(__xludf.DUMMYFUNCTION("""COMPUTED_VALUE"""),45156.0)</f>
        <v>45156</v>
      </c>
      <c r="S497" s="43"/>
      <c r="T497" s="43"/>
      <c r="U497" s="43" t="str">
        <f>IFERROR(__xludf.DUMMYFUNCTION("""COMPUTED_VALUE"""),"Skill Up!")</f>
        <v>Skill Up!</v>
      </c>
      <c r="V497" s="43" t="str">
        <f>IFERROR(__xludf.DUMMYFUNCTION("""COMPUTED_VALUE"""),"KOCAELI")</f>
        <v>KOCAELI</v>
      </c>
      <c r="W497" s="43" t="str">
        <f>IFERROR(__xludf.DUMMYFUNCTION("""COMPUTED_VALUE"""),"2021-10-21T11:15:06Z")</f>
        <v>2021-10-21T11:15:06Z</v>
      </c>
      <c r="X497" s="43"/>
      <c r="Y497" s="43"/>
      <c r="Z497" s="43"/>
    </row>
    <row r="498" hidden="1">
      <c r="A498" s="43" t="str">
        <f>IFERROR(__xludf.DUMMYFUNCTION("""COMPUTED_VALUE"""),"5233012_1293019")</f>
        <v>5233012_1293019</v>
      </c>
      <c r="B498" s="43" t="str">
        <f>IFERROR(__xludf.DUMMYFUNCTION("""COMPUTED_VALUE"""),"Zeynep Yaren Sarıgeçili")</f>
        <v>Zeynep Yaren Sarıgeçili</v>
      </c>
      <c r="C498" s="43" t="str">
        <f>IFERROR(__xludf.DUMMYFUNCTION("""COMPUTED_VALUE"""),"approved")</f>
        <v>approved</v>
      </c>
      <c r="D498" s="43" t="str">
        <f>IFERROR(__xludf.DUMMYFUNCTION("""COMPUTED_VALUE"""),"No")</f>
        <v>No</v>
      </c>
      <c r="E498" s="43" t="str">
        <f>IFERROR(__xludf.DUMMYFUNCTION("""COMPUTED_VALUE"""),"p_3d64ef33f86f69a88aa9f274c097774ca4933b96@inbound.aiesec.org")</f>
        <v>p_3d64ef33f86f69a88aa9f274c097774ca4933b96@inbound.aiesec.org</v>
      </c>
      <c r="F498" s="43"/>
      <c r="G498" s="43" t="str">
        <f>IFERROR(__xludf.DUMMYFUNCTION("""COMPUTED_VALUE"""),"Turkey")</f>
        <v>Turkey</v>
      </c>
      <c r="H498" s="43" t="str">
        <f>IFERROR(__xludf.DUMMYFUNCTION("""COMPUTED_VALUE"""),"ISTANBUL")</f>
        <v>ISTANBUL</v>
      </c>
      <c r="I498" s="43" t="str">
        <f>IFERROR(__xludf.DUMMYFUNCTION("""COMPUTED_VALUE"""),"India")</f>
        <v>India</v>
      </c>
      <c r="J498" s="43" t="str">
        <f>IFERROR(__xludf.DUMMYFUNCTION("""COMPUTED_VALUE"""),"Mumbai")</f>
        <v>Mumbai</v>
      </c>
      <c r="K498" s="44" t="str">
        <f>IFERROR(__xludf.DUMMYFUNCTION("""COMPUTED_VALUE"""),"https://expa.aiesec.org/opportunities/1293019")</f>
        <v>https://expa.aiesec.org/opportunities/1293019</v>
      </c>
      <c r="L498" s="43" t="str">
        <f>IFERROR(__xludf.DUMMYFUNCTION("""COMPUTED_VALUE"""),"GV")</f>
        <v>GV</v>
      </c>
      <c r="M498" s="43" t="str">
        <f>IFERROR(__xludf.DUMMYFUNCTION("""COMPUTED_VALUE"""),"short")</f>
        <v>short</v>
      </c>
      <c r="N498" s="45">
        <f>IFERROR(__xludf.DUMMYFUNCTION("""COMPUTED_VALUE"""),45027.0)</f>
        <v>45027</v>
      </c>
      <c r="O498" s="45">
        <f>IFERROR(__xludf.DUMMYFUNCTION("""COMPUTED_VALUE"""),45158.0)</f>
        <v>45158</v>
      </c>
      <c r="P498" s="45">
        <f>IFERROR(__xludf.DUMMYFUNCTION("""COMPUTED_VALUE"""),45204.0)</f>
        <v>45204</v>
      </c>
      <c r="Q498" s="45"/>
      <c r="R498" s="45"/>
      <c r="S498" s="43"/>
      <c r="T498" s="43"/>
      <c r="U498" s="43" t="str">
        <f>IFERROR(__xludf.DUMMYFUNCTION("""COMPUTED_VALUE"""),"Scale Up!")</f>
        <v>Scale Up!</v>
      </c>
      <c r="V498" s="43" t="str">
        <f>IFERROR(__xludf.DUMMYFUNCTION("""COMPUTED_VALUE"""),"-")</f>
        <v>-</v>
      </c>
      <c r="W498" s="43" t="str">
        <f>IFERROR(__xludf.DUMMYFUNCTION("""COMPUTED_VALUE"""),"2023-04-01T23:48:44Z")</f>
        <v>2023-04-01T23:48:44Z</v>
      </c>
      <c r="X498" s="43"/>
      <c r="Y498" s="43"/>
      <c r="Z498" s="43"/>
    </row>
    <row r="499" hidden="1">
      <c r="A499" s="43" t="str">
        <f>IFERROR(__xludf.DUMMYFUNCTION("""COMPUTED_VALUE"""),"4778763_1284312")</f>
        <v>4778763_1284312</v>
      </c>
      <c r="B499" s="43" t="str">
        <f>IFERROR(__xludf.DUMMYFUNCTION("""COMPUTED_VALUE"""),"Kübra Acevit")</f>
        <v>Kübra Acevit</v>
      </c>
      <c r="C499" s="43" t="str">
        <f>IFERROR(__xludf.DUMMYFUNCTION("""COMPUTED_VALUE"""),"approved")</f>
        <v>approved</v>
      </c>
      <c r="D499" s="43" t="str">
        <f>IFERROR(__xludf.DUMMYFUNCTION("""COMPUTED_VALUE"""),"No")</f>
        <v>No</v>
      </c>
      <c r="E499" s="43" t="str">
        <f>IFERROR(__xludf.DUMMYFUNCTION("""COMPUTED_VALUE"""),"p_e7a6517cf0086d5b222e204c756660be620b4618@inbound.aiesec.org")</f>
        <v>p_e7a6517cf0086d5b222e204c756660be620b4618@inbound.aiesec.org</v>
      </c>
      <c r="F499" s="43">
        <f>IFERROR(__xludf.DUMMYFUNCTION("""COMPUTED_VALUE"""),5.316297165E9)</f>
        <v>5316297165</v>
      </c>
      <c r="G499" s="43" t="str">
        <f>IFERROR(__xludf.DUMMYFUNCTION("""COMPUTED_VALUE"""),"Turkey")</f>
        <v>Turkey</v>
      </c>
      <c r="H499" s="43" t="str">
        <f>IFERROR(__xludf.DUMMYFUNCTION("""COMPUTED_VALUE"""),"SAKARYA")</f>
        <v>SAKARYA</v>
      </c>
      <c r="I499" s="43" t="str">
        <f>IFERROR(__xludf.DUMMYFUNCTION("""COMPUTED_VALUE"""),"Sri Lanka")</f>
        <v>Sri Lanka</v>
      </c>
      <c r="J499" s="43" t="str">
        <f>IFERROR(__xludf.DUMMYFUNCTION("""COMPUTED_VALUE"""),"SLIIT")</f>
        <v>SLIIT</v>
      </c>
      <c r="K499" s="44" t="str">
        <f>IFERROR(__xludf.DUMMYFUNCTION("""COMPUTED_VALUE"""),"https://expa.aiesec.org/opportunities/1284312")</f>
        <v>https://expa.aiesec.org/opportunities/1284312</v>
      </c>
      <c r="L499" s="43" t="str">
        <f>IFERROR(__xludf.DUMMYFUNCTION("""COMPUTED_VALUE"""),"GV")</f>
        <v>GV</v>
      </c>
      <c r="M499" s="43" t="str">
        <f>IFERROR(__xludf.DUMMYFUNCTION("""COMPUTED_VALUE"""),"short")</f>
        <v>short</v>
      </c>
      <c r="N499" s="45">
        <f>IFERROR(__xludf.DUMMYFUNCTION("""COMPUTED_VALUE"""),45028.0)</f>
        <v>45028</v>
      </c>
      <c r="O499" s="45">
        <f>IFERROR(__xludf.DUMMYFUNCTION("""COMPUTED_VALUE"""),45139.0)</f>
        <v>45139</v>
      </c>
      <c r="P499" s="45">
        <f>IFERROR(__xludf.DUMMYFUNCTION("""COMPUTED_VALUE"""),45181.0)</f>
        <v>45181</v>
      </c>
      <c r="Q499" s="45"/>
      <c r="R499" s="45"/>
      <c r="S499" s="43"/>
      <c r="T499" s="43"/>
      <c r="U499" s="43" t="str">
        <f>IFERROR(__xludf.DUMMYFUNCTION("""COMPUTED_VALUE"""),"On The Map")</f>
        <v>On The Map</v>
      </c>
      <c r="V499" s="43" t="str">
        <f>IFERROR(__xludf.DUMMYFUNCTION("""COMPUTED_VALUE"""),"SAKARYA")</f>
        <v>SAKARYA</v>
      </c>
      <c r="W499" s="43" t="str">
        <f>IFERROR(__xludf.DUMMYFUNCTION("""COMPUTED_VALUE"""),"2021-10-30T19:20:37Z")</f>
        <v>2021-10-30T19:20:37Z</v>
      </c>
      <c r="X499" s="43"/>
      <c r="Y499" s="43"/>
      <c r="Z499" s="43"/>
    </row>
    <row r="500" hidden="1">
      <c r="A500" s="43" t="str">
        <f>IFERROR(__xludf.DUMMYFUNCTION("""COMPUTED_VALUE"""),"5237487_1293463")</f>
        <v>5237487_1293463</v>
      </c>
      <c r="B500" s="43" t="str">
        <f>IFERROR(__xludf.DUMMYFUNCTION("""COMPUTED_VALUE"""),"Dilara Çavuş")</f>
        <v>Dilara Çavuş</v>
      </c>
      <c r="C500" s="43" t="str">
        <f>IFERROR(__xludf.DUMMYFUNCTION("""COMPUTED_VALUE"""),"realization_broken")</f>
        <v>realization_broken</v>
      </c>
      <c r="D500" s="43" t="str">
        <f>IFERROR(__xludf.DUMMYFUNCTION("""COMPUTED_VALUE"""),"No")</f>
        <v>No</v>
      </c>
      <c r="E500" s="43" t="str">
        <f>IFERROR(__xludf.DUMMYFUNCTION("""COMPUTED_VALUE"""),"p_bf64403be5372b5d9eb700bcec8f3e561359f81f@inbound.aiesec.org")</f>
        <v>p_bf64403be5372b5d9eb700bcec8f3e561359f81f@inbound.aiesec.org</v>
      </c>
      <c r="F500" s="43"/>
      <c r="G500" s="43" t="str">
        <f>IFERROR(__xludf.DUMMYFUNCTION("""COMPUTED_VALUE"""),"Turkey")</f>
        <v>Turkey</v>
      </c>
      <c r="H500" s="43" t="str">
        <f>IFERROR(__xludf.DUMMYFUNCTION("""COMPUTED_VALUE"""),"ISTANBUL WEST")</f>
        <v>ISTANBUL WEST</v>
      </c>
      <c r="I500" s="43" t="str">
        <f>IFERROR(__xludf.DUMMYFUNCTION("""COMPUTED_VALUE"""),"Egypt")</f>
        <v>Egypt</v>
      </c>
      <c r="J500" s="43" t="str">
        <f>IFERROR(__xludf.DUMMYFUNCTION("""COMPUTED_VALUE"""),"Tanta")</f>
        <v>Tanta</v>
      </c>
      <c r="K500" s="44" t="str">
        <f>IFERROR(__xludf.DUMMYFUNCTION("""COMPUTED_VALUE"""),"https://expa.aiesec.org/opportunities/1293463")</f>
        <v>https://expa.aiesec.org/opportunities/1293463</v>
      </c>
      <c r="L500" s="43" t="str">
        <f>IFERROR(__xludf.DUMMYFUNCTION("""COMPUTED_VALUE"""),"GV")</f>
        <v>GV</v>
      </c>
      <c r="M500" s="43" t="str">
        <f>IFERROR(__xludf.DUMMYFUNCTION("""COMPUTED_VALUE"""),"short")</f>
        <v>short</v>
      </c>
      <c r="N500" s="45">
        <f>IFERROR(__xludf.DUMMYFUNCTION("""COMPUTED_VALUE"""),45028.0)</f>
        <v>45028</v>
      </c>
      <c r="O500" s="45">
        <f>IFERROR(__xludf.DUMMYFUNCTION("""COMPUTED_VALUE"""),45122.0)</f>
        <v>45122</v>
      </c>
      <c r="P500" s="45">
        <f>IFERROR(__xludf.DUMMYFUNCTION("""COMPUTED_VALUE"""),45164.0)</f>
        <v>45164</v>
      </c>
      <c r="Q500" s="45"/>
      <c r="R500" s="45"/>
      <c r="S500" s="43"/>
      <c r="T500" s="43"/>
      <c r="U500" s="43" t="str">
        <f>IFERROR(__xludf.DUMMYFUNCTION("""COMPUTED_VALUE"""),"Green Leaders")</f>
        <v>Green Leaders</v>
      </c>
      <c r="V500" s="43" t="str">
        <f>IFERROR(__xludf.DUMMYFUNCTION("""COMPUTED_VALUE"""),"-")</f>
        <v>-</v>
      </c>
      <c r="W500" s="43" t="str">
        <f>IFERROR(__xludf.DUMMYFUNCTION("""COMPUTED_VALUE"""),"2023-04-08T10:00:51Z")</f>
        <v>2023-04-08T10:00:51Z</v>
      </c>
      <c r="X500" s="43"/>
      <c r="Y500" s="43"/>
      <c r="Z500" s="43"/>
    </row>
    <row r="501" hidden="1">
      <c r="A501" s="43" t="str">
        <f>IFERROR(__xludf.DUMMYFUNCTION("""COMPUTED_VALUE"""),"5237272_1293463")</f>
        <v>5237272_1293463</v>
      </c>
      <c r="B501" s="43" t="str">
        <f>IFERROR(__xludf.DUMMYFUNCTION("""COMPUTED_VALUE"""),"Beyzanur civcik")</f>
        <v>Beyzanur civcik</v>
      </c>
      <c r="C501" s="43" t="str">
        <f>IFERROR(__xludf.DUMMYFUNCTION("""COMPUTED_VALUE"""),"realization_broken")</f>
        <v>realization_broken</v>
      </c>
      <c r="D501" s="43" t="str">
        <f>IFERROR(__xludf.DUMMYFUNCTION("""COMPUTED_VALUE"""),"No")</f>
        <v>No</v>
      </c>
      <c r="E501" s="43" t="str">
        <f>IFERROR(__xludf.DUMMYFUNCTION("""COMPUTED_VALUE"""),"p_280799188d85d91b310790c35ee4315e3318c0a8@inbound.aiesec.org")</f>
        <v>p_280799188d85d91b310790c35ee4315e3318c0a8@inbound.aiesec.org</v>
      </c>
      <c r="F501" s="43">
        <f>IFERROR(__xludf.DUMMYFUNCTION("""COMPUTED_VALUE"""),5.54553887E9)</f>
        <v>5545538870</v>
      </c>
      <c r="G501" s="43" t="str">
        <f>IFERROR(__xludf.DUMMYFUNCTION("""COMPUTED_VALUE"""),"Turkey")</f>
        <v>Turkey</v>
      </c>
      <c r="H501" s="43" t="str">
        <f>IFERROR(__xludf.DUMMYFUNCTION("""COMPUTED_VALUE"""),"ISTANBUL WEST")</f>
        <v>ISTANBUL WEST</v>
      </c>
      <c r="I501" s="43" t="str">
        <f>IFERROR(__xludf.DUMMYFUNCTION("""COMPUTED_VALUE"""),"Egypt")</f>
        <v>Egypt</v>
      </c>
      <c r="J501" s="43" t="str">
        <f>IFERROR(__xludf.DUMMYFUNCTION("""COMPUTED_VALUE"""),"Tanta")</f>
        <v>Tanta</v>
      </c>
      <c r="K501" s="44" t="str">
        <f>IFERROR(__xludf.DUMMYFUNCTION("""COMPUTED_VALUE"""),"https://expa.aiesec.org/opportunities/1293463")</f>
        <v>https://expa.aiesec.org/opportunities/1293463</v>
      </c>
      <c r="L501" s="43" t="str">
        <f>IFERROR(__xludf.DUMMYFUNCTION("""COMPUTED_VALUE"""),"GV")</f>
        <v>GV</v>
      </c>
      <c r="M501" s="43" t="str">
        <f>IFERROR(__xludf.DUMMYFUNCTION("""COMPUTED_VALUE"""),"short")</f>
        <v>short</v>
      </c>
      <c r="N501" s="45">
        <f>IFERROR(__xludf.DUMMYFUNCTION("""COMPUTED_VALUE"""),45028.0)</f>
        <v>45028</v>
      </c>
      <c r="O501" s="45">
        <f>IFERROR(__xludf.DUMMYFUNCTION("""COMPUTED_VALUE"""),45122.0)</f>
        <v>45122</v>
      </c>
      <c r="P501" s="45">
        <f>IFERROR(__xludf.DUMMYFUNCTION("""COMPUTED_VALUE"""),45164.0)</f>
        <v>45164</v>
      </c>
      <c r="Q501" s="45"/>
      <c r="R501" s="45"/>
      <c r="S501" s="43"/>
      <c r="T501" s="43"/>
      <c r="U501" s="43" t="str">
        <f>IFERROR(__xludf.DUMMYFUNCTION("""COMPUTED_VALUE"""),"Green Leaders")</f>
        <v>Green Leaders</v>
      </c>
      <c r="V501" s="43" t="str">
        <f>IFERROR(__xludf.DUMMYFUNCTION("""COMPUTED_VALUE"""),"ISTANBUL - BAKIRKOY")</f>
        <v>ISTANBUL - BAKIRKOY</v>
      </c>
      <c r="W501" s="43" t="str">
        <f>IFERROR(__xludf.DUMMYFUNCTION("""COMPUTED_VALUE"""),"2023-04-07T20:45:30Z")</f>
        <v>2023-04-07T20:45:30Z</v>
      </c>
      <c r="X501" s="43"/>
      <c r="Y501" s="43"/>
      <c r="Z501" s="43"/>
    </row>
    <row r="502" hidden="1">
      <c r="A502" s="43" t="str">
        <f>IFERROR(__xludf.DUMMYFUNCTION("""COMPUTED_VALUE"""),"5237462_1293463")</f>
        <v>5237462_1293463</v>
      </c>
      <c r="B502" s="43" t="str">
        <f>IFERROR(__xludf.DUMMYFUNCTION("""COMPUTED_VALUE"""),"Çetin Tunar")</f>
        <v>Çetin Tunar</v>
      </c>
      <c r="C502" s="43" t="str">
        <f>IFERROR(__xludf.DUMMYFUNCTION("""COMPUTED_VALUE"""),"realization_broken")</f>
        <v>realization_broken</v>
      </c>
      <c r="D502" s="43" t="str">
        <f>IFERROR(__xludf.DUMMYFUNCTION("""COMPUTED_VALUE"""),"No")</f>
        <v>No</v>
      </c>
      <c r="E502" s="43" t="str">
        <f>IFERROR(__xludf.DUMMYFUNCTION("""COMPUTED_VALUE"""),"p_6cbacbbe07c68f5bc301e784d24cb489dc04b7a2@inbound.aiesec.org")</f>
        <v>p_6cbacbbe07c68f5bc301e784d24cb489dc04b7a2@inbound.aiesec.org</v>
      </c>
      <c r="F502" s="43">
        <f>IFERROR(__xludf.DUMMYFUNCTION("""COMPUTED_VALUE"""),5.456542957E9)</f>
        <v>5456542957</v>
      </c>
      <c r="G502" s="43" t="str">
        <f>IFERROR(__xludf.DUMMYFUNCTION("""COMPUTED_VALUE"""),"Turkey")</f>
        <v>Turkey</v>
      </c>
      <c r="H502" s="43" t="str">
        <f>IFERROR(__xludf.DUMMYFUNCTION("""COMPUTED_VALUE"""),"ISTANBUL WEST")</f>
        <v>ISTANBUL WEST</v>
      </c>
      <c r="I502" s="43" t="str">
        <f>IFERROR(__xludf.DUMMYFUNCTION("""COMPUTED_VALUE"""),"Egypt")</f>
        <v>Egypt</v>
      </c>
      <c r="J502" s="43" t="str">
        <f>IFERROR(__xludf.DUMMYFUNCTION("""COMPUTED_VALUE"""),"Tanta")</f>
        <v>Tanta</v>
      </c>
      <c r="K502" s="44" t="str">
        <f>IFERROR(__xludf.DUMMYFUNCTION("""COMPUTED_VALUE"""),"https://expa.aiesec.org/opportunities/1293463")</f>
        <v>https://expa.aiesec.org/opportunities/1293463</v>
      </c>
      <c r="L502" s="43" t="str">
        <f>IFERROR(__xludf.DUMMYFUNCTION("""COMPUTED_VALUE"""),"GV")</f>
        <v>GV</v>
      </c>
      <c r="M502" s="43" t="str">
        <f>IFERROR(__xludf.DUMMYFUNCTION("""COMPUTED_VALUE"""),"short")</f>
        <v>short</v>
      </c>
      <c r="N502" s="45">
        <f>IFERROR(__xludf.DUMMYFUNCTION("""COMPUTED_VALUE"""),45028.0)</f>
        <v>45028</v>
      </c>
      <c r="O502" s="45">
        <f>IFERROR(__xludf.DUMMYFUNCTION("""COMPUTED_VALUE"""),45122.0)</f>
        <v>45122</v>
      </c>
      <c r="P502" s="45">
        <f>IFERROR(__xludf.DUMMYFUNCTION("""COMPUTED_VALUE"""),45164.0)</f>
        <v>45164</v>
      </c>
      <c r="Q502" s="45"/>
      <c r="R502" s="45"/>
      <c r="S502" s="43"/>
      <c r="T502" s="43"/>
      <c r="U502" s="43" t="str">
        <f>IFERROR(__xludf.DUMMYFUNCTION("""COMPUTED_VALUE"""),"Green Leaders")</f>
        <v>Green Leaders</v>
      </c>
      <c r="V502" s="43" t="str">
        <f>IFERROR(__xludf.DUMMYFUNCTION("""COMPUTED_VALUE"""),"ISTANBUL - BAKIRKOY")</f>
        <v>ISTANBUL - BAKIRKOY</v>
      </c>
      <c r="W502" s="43" t="str">
        <f>IFERROR(__xludf.DUMMYFUNCTION("""COMPUTED_VALUE"""),"2023-04-08T09:33:07Z")</f>
        <v>2023-04-08T09:33:07Z</v>
      </c>
      <c r="X502" s="43"/>
      <c r="Y502" s="43"/>
      <c r="Z502" s="43"/>
    </row>
    <row r="503" hidden="1">
      <c r="A503" s="43" t="str">
        <f>IFERROR(__xludf.DUMMYFUNCTION("""COMPUTED_VALUE"""),"5234952_1293814")</f>
        <v>5234952_1293814</v>
      </c>
      <c r="B503" s="43" t="str">
        <f>IFERROR(__xludf.DUMMYFUNCTION("""COMPUTED_VALUE"""),"Furkan Özata")</f>
        <v>Furkan Özata</v>
      </c>
      <c r="C503" s="43" t="str">
        <f>IFERROR(__xludf.DUMMYFUNCTION("""COMPUTED_VALUE"""),"approved")</f>
        <v>approved</v>
      </c>
      <c r="D503" s="43" t="str">
        <f>IFERROR(__xludf.DUMMYFUNCTION("""COMPUTED_VALUE"""),"No")</f>
        <v>No</v>
      </c>
      <c r="E503" s="43" t="str">
        <f>IFERROR(__xludf.DUMMYFUNCTION("""COMPUTED_VALUE"""),"p_ed650626ed9e9764717e063f53781534b53c12f7@inbound.aiesec.org")</f>
        <v>p_ed650626ed9e9764717e063f53781534b53c12f7@inbound.aiesec.org</v>
      </c>
      <c r="F503" s="43">
        <f>IFERROR(__xludf.DUMMYFUNCTION("""COMPUTED_VALUE"""),5.35089435E9)</f>
        <v>5350894350</v>
      </c>
      <c r="G503" s="43" t="str">
        <f>IFERROR(__xludf.DUMMYFUNCTION("""COMPUTED_VALUE"""),"Turkey")</f>
        <v>Turkey</v>
      </c>
      <c r="H503" s="43" t="str">
        <f>IFERROR(__xludf.DUMMYFUNCTION("""COMPUTED_VALUE"""),"ANKARA")</f>
        <v>ANKARA</v>
      </c>
      <c r="I503" s="43" t="str">
        <f>IFERROR(__xludf.DUMMYFUNCTION("""COMPUTED_VALUE"""),"Egypt")</f>
        <v>Egypt</v>
      </c>
      <c r="J503" s="43" t="str">
        <f>IFERROR(__xludf.DUMMYFUNCTION("""COMPUTED_VALUE"""),"AAST In CAIRO")</f>
        <v>AAST In CAIRO</v>
      </c>
      <c r="K503" s="44" t="str">
        <f>IFERROR(__xludf.DUMMYFUNCTION("""COMPUTED_VALUE"""),"https://expa.aiesec.org/opportunities/1293814")</f>
        <v>https://expa.aiesec.org/opportunities/1293814</v>
      </c>
      <c r="L503" s="43" t="str">
        <f>IFERROR(__xludf.DUMMYFUNCTION("""COMPUTED_VALUE"""),"GV")</f>
        <v>GV</v>
      </c>
      <c r="M503" s="43" t="str">
        <f>IFERROR(__xludf.DUMMYFUNCTION("""COMPUTED_VALUE"""),"short")</f>
        <v>short</v>
      </c>
      <c r="N503" s="45">
        <f>IFERROR(__xludf.DUMMYFUNCTION("""COMPUTED_VALUE"""),45028.0)</f>
        <v>45028</v>
      </c>
      <c r="O503" s="45">
        <f>IFERROR(__xludf.DUMMYFUNCTION("""COMPUTED_VALUE"""),45120.0)</f>
        <v>45120</v>
      </c>
      <c r="P503" s="45">
        <f>IFERROR(__xludf.DUMMYFUNCTION("""COMPUTED_VALUE"""),45162.0)</f>
        <v>45162</v>
      </c>
      <c r="Q503" s="45"/>
      <c r="R503" s="45"/>
      <c r="S503" s="43"/>
      <c r="T503" s="43"/>
      <c r="U503" s="43" t="str">
        <f>IFERROR(__xludf.DUMMYFUNCTION("""COMPUTED_VALUE"""),"Heartbeat")</f>
        <v>Heartbeat</v>
      </c>
      <c r="V503" s="43" t="str">
        <f>IFERROR(__xludf.DUMMYFUNCTION("""COMPUTED_VALUE"""),"AYDIN")</f>
        <v>AYDIN</v>
      </c>
      <c r="W503" s="43" t="str">
        <f>IFERROR(__xludf.DUMMYFUNCTION("""COMPUTED_VALUE"""),"2023-04-04T18:48:13Z")</f>
        <v>2023-04-04T18:48:13Z</v>
      </c>
      <c r="X503" s="43"/>
      <c r="Y503" s="43"/>
      <c r="Z503" s="43"/>
    </row>
    <row r="504" hidden="1">
      <c r="A504" s="43" t="str">
        <f>IFERROR(__xludf.DUMMYFUNCTION("""COMPUTED_VALUE"""),"5241518_1293200")</f>
        <v>5241518_1293200</v>
      </c>
      <c r="B504" s="43" t="str">
        <f>IFERROR(__xludf.DUMMYFUNCTION("""COMPUTED_VALUE"""),"irem Şener")</f>
        <v>irem Şener</v>
      </c>
      <c r="C504" s="43" t="str">
        <f>IFERROR(__xludf.DUMMYFUNCTION("""COMPUTED_VALUE"""),"completed")</f>
        <v>completed</v>
      </c>
      <c r="D504" s="43" t="str">
        <f>IFERROR(__xludf.DUMMYFUNCTION("""COMPUTED_VALUE"""),"No")</f>
        <v>No</v>
      </c>
      <c r="E504" s="43" t="str">
        <f>IFERROR(__xludf.DUMMYFUNCTION("""COMPUTED_VALUE"""),"p_1aa87da30adb8f4ffaecb28a11a22a4252b4face@inbound.aiesec.org")</f>
        <v>p_1aa87da30adb8f4ffaecb28a11a22a4252b4face@inbound.aiesec.org</v>
      </c>
      <c r="F504" s="43"/>
      <c r="G504" s="43" t="str">
        <f>IFERROR(__xludf.DUMMYFUNCTION("""COMPUTED_VALUE"""),"Turkey")</f>
        <v>Turkey</v>
      </c>
      <c r="H504" s="43" t="str">
        <f>IFERROR(__xludf.DUMMYFUNCTION("""COMPUTED_VALUE"""),"KONYA")</f>
        <v>KONYA</v>
      </c>
      <c r="I504" s="43" t="str">
        <f>IFERROR(__xludf.DUMMYFUNCTION("""COMPUTED_VALUE"""),"Tunisia")</f>
        <v>Tunisia</v>
      </c>
      <c r="J504" s="43" t="str">
        <f>IFERROR(__xludf.DUMMYFUNCTION("""COMPUTED_VALUE"""),"RUSPINA")</f>
        <v>RUSPINA</v>
      </c>
      <c r="K504" s="44" t="str">
        <f>IFERROR(__xludf.DUMMYFUNCTION("""COMPUTED_VALUE"""),"https://expa.aiesec.org/opportunities/1293200")</f>
        <v>https://expa.aiesec.org/opportunities/1293200</v>
      </c>
      <c r="L504" s="43" t="str">
        <f>IFERROR(__xludf.DUMMYFUNCTION("""COMPUTED_VALUE"""),"GV")</f>
        <v>GV</v>
      </c>
      <c r="M504" s="43" t="str">
        <f>IFERROR(__xludf.DUMMYFUNCTION("""COMPUTED_VALUE"""),"short")</f>
        <v>short</v>
      </c>
      <c r="N504" s="45">
        <f>IFERROR(__xludf.DUMMYFUNCTION("""COMPUTED_VALUE"""),45029.0)</f>
        <v>45029</v>
      </c>
      <c r="O504" s="45">
        <f>IFERROR(__xludf.DUMMYFUNCTION("""COMPUTED_VALUE"""),45139.0)</f>
        <v>45139</v>
      </c>
      <c r="P504" s="45">
        <f>IFERROR(__xludf.DUMMYFUNCTION("""COMPUTED_VALUE"""),45184.0)</f>
        <v>45184</v>
      </c>
      <c r="Q504" s="45">
        <f>IFERROR(__xludf.DUMMYFUNCTION("""COMPUTED_VALUE"""),45138.0)</f>
        <v>45138</v>
      </c>
      <c r="R504" s="45">
        <f>IFERROR(__xludf.DUMMYFUNCTION("""COMPUTED_VALUE"""),45184.0)</f>
        <v>45184</v>
      </c>
      <c r="S504" s="43"/>
      <c r="T504" s="43"/>
      <c r="U504" s="43" t="str">
        <f>IFERROR(__xludf.DUMMYFUNCTION("""COMPUTED_VALUE"""),"Aquatica")</f>
        <v>Aquatica</v>
      </c>
      <c r="V504" s="43" t="str">
        <f>IFERROR(__xludf.DUMMYFUNCTION("""COMPUTED_VALUE"""),"KONYA")</f>
        <v>KONYA</v>
      </c>
      <c r="W504" s="43" t="str">
        <f>IFERROR(__xludf.DUMMYFUNCTION("""COMPUTED_VALUE"""),"2023-04-13T19:19:07Z")</f>
        <v>2023-04-13T19:19:07Z</v>
      </c>
      <c r="X504" s="43"/>
      <c r="Y504" s="43"/>
      <c r="Z504" s="43"/>
    </row>
    <row r="505" hidden="1">
      <c r="A505" s="43" t="str">
        <f>IFERROR(__xludf.DUMMYFUNCTION("""COMPUTED_VALUE"""),"5238064_1292774")</f>
        <v>5238064_1292774</v>
      </c>
      <c r="B505" s="43" t="str">
        <f>IFERROR(__xludf.DUMMYFUNCTION("""COMPUTED_VALUE"""),"Yiğit Karalı")</f>
        <v>Yiğit Karalı</v>
      </c>
      <c r="C505" s="43" t="str">
        <f>IFERROR(__xludf.DUMMYFUNCTION("""COMPUTED_VALUE"""),"completed")</f>
        <v>completed</v>
      </c>
      <c r="D505" s="43" t="str">
        <f>IFERROR(__xludf.DUMMYFUNCTION("""COMPUTED_VALUE"""),"No")</f>
        <v>No</v>
      </c>
      <c r="E505" s="43" t="str">
        <f>IFERROR(__xludf.DUMMYFUNCTION("""COMPUTED_VALUE"""),"p_753cef0629d32b4f9c66c81bbafcfc0ac93d5dd4@inbound.aiesec.org")</f>
        <v>p_753cef0629d32b4f9c66c81bbafcfc0ac93d5dd4@inbound.aiesec.org</v>
      </c>
      <c r="F505" s="43">
        <f>IFERROR(__xludf.DUMMYFUNCTION("""COMPUTED_VALUE"""),5.456231126E9)</f>
        <v>5456231126</v>
      </c>
      <c r="G505" s="43" t="str">
        <f>IFERROR(__xludf.DUMMYFUNCTION("""COMPUTED_VALUE"""),"Turkey")</f>
        <v>Turkey</v>
      </c>
      <c r="H505" s="43" t="str">
        <f>IFERROR(__xludf.DUMMYFUNCTION("""COMPUTED_VALUE"""),"EASTERN MEDITERRANEAN")</f>
        <v>EASTERN MEDITERRANEAN</v>
      </c>
      <c r="I505" s="43" t="str">
        <f>IFERROR(__xludf.DUMMYFUNCTION("""COMPUTED_VALUE"""),"Egypt")</f>
        <v>Egypt</v>
      </c>
      <c r="J505" s="43" t="str">
        <f>IFERROR(__xludf.DUMMYFUNCTION("""COMPUTED_VALUE"""),"Damietta")</f>
        <v>Damietta</v>
      </c>
      <c r="K505" s="44" t="str">
        <f>IFERROR(__xludf.DUMMYFUNCTION("""COMPUTED_VALUE"""),"https://expa.aiesec.org/opportunities/1292774")</f>
        <v>https://expa.aiesec.org/opportunities/1292774</v>
      </c>
      <c r="L505" s="43" t="str">
        <f>IFERROR(__xludf.DUMMYFUNCTION("""COMPUTED_VALUE"""),"GV")</f>
        <v>GV</v>
      </c>
      <c r="M505" s="43" t="str">
        <f>IFERROR(__xludf.DUMMYFUNCTION("""COMPUTED_VALUE"""),"short")</f>
        <v>short</v>
      </c>
      <c r="N505" s="45">
        <f>IFERROR(__xludf.DUMMYFUNCTION("""COMPUTED_VALUE"""),45029.0)</f>
        <v>45029</v>
      </c>
      <c r="O505" s="45">
        <f>IFERROR(__xludf.DUMMYFUNCTION("""COMPUTED_VALUE"""),45108.0)</f>
        <v>45108</v>
      </c>
      <c r="P505" s="45">
        <f>IFERROR(__xludf.DUMMYFUNCTION("""COMPUTED_VALUE"""),45150.0)</f>
        <v>45150</v>
      </c>
      <c r="Q505" s="45">
        <f>IFERROR(__xludf.DUMMYFUNCTION("""COMPUTED_VALUE"""),45110.0)</f>
        <v>45110</v>
      </c>
      <c r="R505" s="45">
        <f>IFERROR(__xludf.DUMMYFUNCTION("""COMPUTED_VALUE"""),45152.0)</f>
        <v>45152</v>
      </c>
      <c r="S505" s="43"/>
      <c r="T505" s="43"/>
      <c r="U505" s="43" t="str">
        <f>IFERROR(__xludf.DUMMYFUNCTION("""COMPUTED_VALUE"""),"Global Classroom")</f>
        <v>Global Classroom</v>
      </c>
      <c r="V505" s="43" t="str">
        <f>IFERROR(__xludf.DUMMYFUNCTION("""COMPUTED_VALUE"""),"NORTH CYPRUS")</f>
        <v>NORTH CYPRUS</v>
      </c>
      <c r="W505" s="43" t="str">
        <f>IFERROR(__xludf.DUMMYFUNCTION("""COMPUTED_VALUE"""),"2023-04-09T11:26:58Z")</f>
        <v>2023-04-09T11:26:58Z</v>
      </c>
      <c r="X505" s="43"/>
      <c r="Y505" s="43"/>
      <c r="Z505" s="43"/>
    </row>
    <row r="506" hidden="1">
      <c r="A506" s="43" t="str">
        <f>IFERROR(__xludf.DUMMYFUNCTION("""COMPUTED_VALUE"""),"4800144_1284312")</f>
        <v>4800144_1284312</v>
      </c>
      <c r="B506" s="43" t="str">
        <f>IFERROR(__xludf.DUMMYFUNCTION("""COMPUTED_VALUE"""),"dilara uzun")</f>
        <v>dilara uzun</v>
      </c>
      <c r="C506" s="43" t="str">
        <f>IFERROR(__xludf.DUMMYFUNCTION("""COMPUTED_VALUE"""),"approved")</f>
        <v>approved</v>
      </c>
      <c r="D506" s="43" t="str">
        <f>IFERROR(__xludf.DUMMYFUNCTION("""COMPUTED_VALUE"""),"No")</f>
        <v>No</v>
      </c>
      <c r="E506" s="43" t="str">
        <f>IFERROR(__xludf.DUMMYFUNCTION("""COMPUTED_VALUE"""),"p_048c1f6b4b02c82ad60f4694059183f293683f0c@inbound.aiesec.org")</f>
        <v>p_048c1f6b4b02c82ad60f4694059183f293683f0c@inbound.aiesec.org</v>
      </c>
      <c r="F506" s="43">
        <f>IFERROR(__xludf.DUMMYFUNCTION("""COMPUTED_VALUE"""),5.46572264E9)</f>
        <v>5465722640</v>
      </c>
      <c r="G506" s="43" t="str">
        <f>IFERROR(__xludf.DUMMYFUNCTION("""COMPUTED_VALUE"""),"Turkey")</f>
        <v>Turkey</v>
      </c>
      <c r="H506" s="43" t="str">
        <f>IFERROR(__xludf.DUMMYFUNCTION("""COMPUTED_VALUE"""),"İZMİR")</f>
        <v>İZMİR</v>
      </c>
      <c r="I506" s="43" t="str">
        <f>IFERROR(__xludf.DUMMYFUNCTION("""COMPUTED_VALUE"""),"Sri Lanka")</f>
        <v>Sri Lanka</v>
      </c>
      <c r="J506" s="43" t="str">
        <f>IFERROR(__xludf.DUMMYFUNCTION("""COMPUTED_VALUE"""),"SLIIT")</f>
        <v>SLIIT</v>
      </c>
      <c r="K506" s="44" t="str">
        <f>IFERROR(__xludf.DUMMYFUNCTION("""COMPUTED_VALUE"""),"https://expa.aiesec.org/opportunities/1284312")</f>
        <v>https://expa.aiesec.org/opportunities/1284312</v>
      </c>
      <c r="L506" s="43" t="str">
        <f>IFERROR(__xludf.DUMMYFUNCTION("""COMPUTED_VALUE"""),"GV")</f>
        <v>GV</v>
      </c>
      <c r="M506" s="43" t="str">
        <f>IFERROR(__xludf.DUMMYFUNCTION("""COMPUTED_VALUE"""),"short")</f>
        <v>short</v>
      </c>
      <c r="N506" s="45">
        <f>IFERROR(__xludf.DUMMYFUNCTION("""COMPUTED_VALUE"""),45029.0)</f>
        <v>45029</v>
      </c>
      <c r="O506" s="45">
        <f>IFERROR(__xludf.DUMMYFUNCTION("""COMPUTED_VALUE"""),45200.0)</f>
        <v>45200</v>
      </c>
      <c r="P506" s="45">
        <f>IFERROR(__xludf.DUMMYFUNCTION("""COMPUTED_VALUE"""),45242.0)</f>
        <v>45242</v>
      </c>
      <c r="Q506" s="45"/>
      <c r="R506" s="45"/>
      <c r="S506" s="43"/>
      <c r="T506" s="43"/>
      <c r="U506" s="43" t="str">
        <f>IFERROR(__xludf.DUMMYFUNCTION("""COMPUTED_VALUE"""),"On The Map")</f>
        <v>On The Map</v>
      </c>
      <c r="V506" s="43" t="str">
        <f>IFERROR(__xludf.DUMMYFUNCTION("""COMPUTED_VALUE"""),"IZMIR")</f>
        <v>IZMIR</v>
      </c>
      <c r="W506" s="43" t="str">
        <f>IFERROR(__xludf.DUMMYFUNCTION("""COMPUTED_VALUE"""),"2021-11-12T18:21:40Z")</f>
        <v>2021-11-12T18:21:40Z</v>
      </c>
      <c r="X506" s="43"/>
      <c r="Y506" s="43"/>
      <c r="Z506" s="43"/>
    </row>
    <row r="507" hidden="1">
      <c r="A507" s="43" t="str">
        <f>IFERROR(__xludf.DUMMYFUNCTION("""COMPUTED_VALUE"""),"5085018_1293866")</f>
        <v>5085018_1293866</v>
      </c>
      <c r="B507" s="43" t="str">
        <f>IFERROR(__xludf.DUMMYFUNCTION("""COMPUTED_VALUE"""),"Onur Kemal Parlak")</f>
        <v>Onur Kemal Parlak</v>
      </c>
      <c r="C507" s="43" t="str">
        <f>IFERROR(__xludf.DUMMYFUNCTION("""COMPUTED_VALUE"""),"completed")</f>
        <v>completed</v>
      </c>
      <c r="D507" s="43" t="str">
        <f>IFERROR(__xludf.DUMMYFUNCTION("""COMPUTED_VALUE"""),"No")</f>
        <v>No</v>
      </c>
      <c r="E507" s="43" t="str">
        <f>IFERROR(__xludf.DUMMYFUNCTION("""COMPUTED_VALUE"""),"p_6bc2f5a8fedfc64286edb884375e573cc56d998c@inbound.aiesec.org")</f>
        <v>p_6bc2f5a8fedfc64286edb884375e573cc56d998c@inbound.aiesec.org</v>
      </c>
      <c r="F507" s="43"/>
      <c r="G507" s="43" t="str">
        <f>IFERROR(__xludf.DUMMYFUNCTION("""COMPUTED_VALUE"""),"Turkey")</f>
        <v>Turkey</v>
      </c>
      <c r="H507" s="43" t="str">
        <f>IFERROR(__xludf.DUMMYFUNCTION("""COMPUTED_VALUE"""),"ISTANBUL")</f>
        <v>ISTANBUL</v>
      </c>
      <c r="I507" s="43" t="str">
        <f>IFERROR(__xludf.DUMMYFUNCTION("""COMPUTED_VALUE"""),"Italy")</f>
        <v>Italy</v>
      </c>
      <c r="J507" s="43" t="str">
        <f>IFERROR(__xludf.DUMMYFUNCTION("""COMPUTED_VALUE"""),"Napoli Federico II")</f>
        <v>Napoli Federico II</v>
      </c>
      <c r="K507" s="44" t="str">
        <f>IFERROR(__xludf.DUMMYFUNCTION("""COMPUTED_VALUE"""),"https://expa.aiesec.org/opportunities/1293866")</f>
        <v>https://expa.aiesec.org/opportunities/1293866</v>
      </c>
      <c r="L507" s="43" t="str">
        <f>IFERROR(__xludf.DUMMYFUNCTION("""COMPUTED_VALUE"""),"GV")</f>
        <v>GV</v>
      </c>
      <c r="M507" s="43" t="str">
        <f>IFERROR(__xludf.DUMMYFUNCTION("""COMPUTED_VALUE"""),"short")</f>
        <v>short</v>
      </c>
      <c r="N507" s="45">
        <f>IFERROR(__xludf.DUMMYFUNCTION("""COMPUTED_VALUE"""),45029.0)</f>
        <v>45029</v>
      </c>
      <c r="O507" s="45">
        <f>IFERROR(__xludf.DUMMYFUNCTION("""COMPUTED_VALUE"""),45159.0)</f>
        <v>45159</v>
      </c>
      <c r="P507" s="45">
        <f>IFERROR(__xludf.DUMMYFUNCTION("""COMPUTED_VALUE"""),45201.0)</f>
        <v>45201</v>
      </c>
      <c r="Q507" s="45">
        <f>IFERROR(__xludf.DUMMYFUNCTION("""COMPUTED_VALUE"""),45159.0)</f>
        <v>45159</v>
      </c>
      <c r="R507" s="45">
        <f>IFERROR(__xludf.DUMMYFUNCTION("""COMPUTED_VALUE"""),45201.0)</f>
        <v>45201</v>
      </c>
      <c r="S507" s="43"/>
      <c r="T507" s="43"/>
      <c r="U507" s="43" t="str">
        <f>IFERROR(__xludf.DUMMYFUNCTION("""COMPUTED_VALUE"""),"Youth 4 Impact")</f>
        <v>Youth 4 Impact</v>
      </c>
      <c r="V507" s="43" t="str">
        <f>IFERROR(__xludf.DUMMYFUNCTION("""COMPUTED_VALUE"""),"-")</f>
        <v>-</v>
      </c>
      <c r="W507" s="43" t="str">
        <f>IFERROR(__xludf.DUMMYFUNCTION("""COMPUTED_VALUE"""),"2022-07-22T13:45:38Z")</f>
        <v>2022-07-22T13:45:38Z</v>
      </c>
      <c r="X507" s="43"/>
      <c r="Y507" s="43"/>
      <c r="Z507" s="43"/>
    </row>
    <row r="508" hidden="1">
      <c r="A508" s="43" t="str">
        <f>IFERROR(__xludf.DUMMYFUNCTION("""COMPUTED_VALUE"""),"5233443_1288441")</f>
        <v>5233443_1288441</v>
      </c>
      <c r="B508" s="43" t="str">
        <f>IFERROR(__xludf.DUMMYFUNCTION("""COMPUTED_VALUE"""),"Kardelen Karakaş")</f>
        <v>Kardelen Karakaş</v>
      </c>
      <c r="C508" s="43" t="str">
        <f>IFERROR(__xludf.DUMMYFUNCTION("""COMPUTED_VALUE"""),"approved")</f>
        <v>approved</v>
      </c>
      <c r="D508" s="43" t="str">
        <f>IFERROR(__xludf.DUMMYFUNCTION("""COMPUTED_VALUE"""),"No")</f>
        <v>No</v>
      </c>
      <c r="E508" s="43" t="str">
        <f>IFERROR(__xludf.DUMMYFUNCTION("""COMPUTED_VALUE"""),"p_b150ed9a088bdce2dcfe8cb0cf18c16621966dc4@inbound.aiesec.org")</f>
        <v>p_b150ed9a088bdce2dcfe8cb0cf18c16621966dc4@inbound.aiesec.org</v>
      </c>
      <c r="F508" s="43">
        <f>IFERROR(__xludf.DUMMYFUNCTION("""COMPUTED_VALUE"""),5.532912178E9)</f>
        <v>5532912178</v>
      </c>
      <c r="G508" s="43" t="str">
        <f>IFERROR(__xludf.DUMMYFUNCTION("""COMPUTED_VALUE"""),"Turkey")</f>
        <v>Turkey</v>
      </c>
      <c r="H508" s="43" t="str">
        <f>IFERROR(__xludf.DUMMYFUNCTION("""COMPUTED_VALUE"""),"ANKARA")</f>
        <v>ANKARA</v>
      </c>
      <c r="I508" s="43" t="str">
        <f>IFERROR(__xludf.DUMMYFUNCTION("""COMPUTED_VALUE"""),"India")</f>
        <v>India</v>
      </c>
      <c r="J508" s="43" t="str">
        <f>IFERROR(__xludf.DUMMYFUNCTION("""COMPUTED_VALUE"""),"JAIPUR ")</f>
        <v>JAIPUR </v>
      </c>
      <c r="K508" s="44" t="str">
        <f>IFERROR(__xludf.DUMMYFUNCTION("""COMPUTED_VALUE"""),"https://expa.aiesec.org/opportunities/1288441")</f>
        <v>https://expa.aiesec.org/opportunities/1288441</v>
      </c>
      <c r="L508" s="43" t="str">
        <f>IFERROR(__xludf.DUMMYFUNCTION("""COMPUTED_VALUE"""),"GV")</f>
        <v>GV</v>
      </c>
      <c r="M508" s="43" t="str">
        <f>IFERROR(__xludf.DUMMYFUNCTION("""COMPUTED_VALUE"""),"short")</f>
        <v>short</v>
      </c>
      <c r="N508" s="45">
        <f>IFERROR(__xludf.DUMMYFUNCTION("""COMPUTED_VALUE"""),45029.0)</f>
        <v>45029</v>
      </c>
      <c r="O508" s="45">
        <f>IFERROR(__xludf.DUMMYFUNCTION("""COMPUTED_VALUE"""),45296.0)</f>
        <v>45296</v>
      </c>
      <c r="P508" s="45">
        <f>IFERROR(__xludf.DUMMYFUNCTION("""COMPUTED_VALUE"""),45338.0)</f>
        <v>45338</v>
      </c>
      <c r="Q508" s="45"/>
      <c r="R508" s="45"/>
      <c r="S508" s="43"/>
      <c r="T508" s="43"/>
      <c r="U508" s="43" t="str">
        <f>IFERROR(__xludf.DUMMYFUNCTION("""COMPUTED_VALUE"""),"Youth 4 Impact")</f>
        <v>Youth 4 Impact</v>
      </c>
      <c r="V508" s="43" t="str">
        <f>IFERROR(__xludf.DUMMYFUNCTION("""COMPUTED_VALUE"""),"ANKARA")</f>
        <v>ANKARA</v>
      </c>
      <c r="W508" s="43" t="str">
        <f>IFERROR(__xludf.DUMMYFUNCTION("""COMPUTED_VALUE"""),"2023-04-02T20:25:48Z")</f>
        <v>2023-04-02T20:25:48Z</v>
      </c>
      <c r="X508" s="43"/>
      <c r="Y508" s="43"/>
      <c r="Z508" s="43"/>
    </row>
    <row r="509" hidden="1">
      <c r="A509" s="43" t="str">
        <f>IFERROR(__xludf.DUMMYFUNCTION("""COMPUTED_VALUE"""),"5242280_1294155")</f>
        <v>5242280_1294155</v>
      </c>
      <c r="B509" s="43" t="str">
        <f>IFERROR(__xludf.DUMMYFUNCTION("""COMPUTED_VALUE"""),"Yusuf Özdemir Özdemir")</f>
        <v>Yusuf Özdemir Özdemir</v>
      </c>
      <c r="C509" s="43" t="str">
        <f>IFERROR(__xludf.DUMMYFUNCTION("""COMPUTED_VALUE"""),"completed")</f>
        <v>completed</v>
      </c>
      <c r="D509" s="43" t="str">
        <f>IFERROR(__xludf.DUMMYFUNCTION("""COMPUTED_VALUE"""),"No")</f>
        <v>No</v>
      </c>
      <c r="E509" s="43" t="str">
        <f>IFERROR(__xludf.DUMMYFUNCTION("""COMPUTED_VALUE"""),"p_61f0525107ca8026d8b5475cf6cdbebfe5c5cbbc@inbound.aiesec.org")</f>
        <v>p_61f0525107ca8026d8b5475cf6cdbebfe5c5cbbc@inbound.aiesec.org</v>
      </c>
      <c r="F509" s="43"/>
      <c r="G509" s="43" t="str">
        <f>IFERROR(__xludf.DUMMYFUNCTION("""COMPUTED_VALUE"""),"Turkey")</f>
        <v>Turkey</v>
      </c>
      <c r="H509" s="43" t="str">
        <f>IFERROR(__xludf.DUMMYFUNCTION("""COMPUTED_VALUE"""),"SAKARYA")</f>
        <v>SAKARYA</v>
      </c>
      <c r="I509" s="43" t="str">
        <f>IFERROR(__xludf.DUMMYFUNCTION("""COMPUTED_VALUE"""),"Tunisia")</f>
        <v>Tunisia</v>
      </c>
      <c r="J509" s="43" t="str">
        <f>IFERROR(__xludf.DUMMYFUNCTION("""COMPUTED_VALUE"""),"NABEL")</f>
        <v>NABEL</v>
      </c>
      <c r="K509" s="44" t="str">
        <f>IFERROR(__xludf.DUMMYFUNCTION("""COMPUTED_VALUE"""),"https://expa.aiesec.org/opportunities/1294155")</f>
        <v>https://expa.aiesec.org/opportunities/1294155</v>
      </c>
      <c r="L509" s="43" t="str">
        <f>IFERROR(__xludf.DUMMYFUNCTION("""COMPUTED_VALUE"""),"GV")</f>
        <v>GV</v>
      </c>
      <c r="M509" s="43" t="str">
        <f>IFERROR(__xludf.DUMMYFUNCTION("""COMPUTED_VALUE"""),"short")</f>
        <v>short</v>
      </c>
      <c r="N509" s="45">
        <f>IFERROR(__xludf.DUMMYFUNCTION("""COMPUTED_VALUE"""),45030.0)</f>
        <v>45030</v>
      </c>
      <c r="O509" s="45">
        <f>IFERROR(__xludf.DUMMYFUNCTION("""COMPUTED_VALUE"""),45108.0)</f>
        <v>45108</v>
      </c>
      <c r="P509" s="45">
        <f>IFERROR(__xludf.DUMMYFUNCTION("""COMPUTED_VALUE"""),45150.0)</f>
        <v>45150</v>
      </c>
      <c r="Q509" s="45">
        <f>IFERROR(__xludf.DUMMYFUNCTION("""COMPUTED_VALUE"""),45108.0)</f>
        <v>45108</v>
      </c>
      <c r="R509" s="45">
        <f>IFERROR(__xludf.DUMMYFUNCTION("""COMPUTED_VALUE"""),45150.0)</f>
        <v>45150</v>
      </c>
      <c r="S509" s="43"/>
      <c r="T509" s="43"/>
      <c r="U509" s="43" t="str">
        <f>IFERROR(__xludf.DUMMYFUNCTION("""COMPUTED_VALUE"""),"Global Classroom")</f>
        <v>Global Classroom</v>
      </c>
      <c r="V509" s="43" t="str">
        <f>IFERROR(__xludf.DUMMYFUNCTION("""COMPUTED_VALUE"""),"SAKARYA")</f>
        <v>SAKARYA</v>
      </c>
      <c r="W509" s="43" t="str">
        <f>IFERROR(__xludf.DUMMYFUNCTION("""COMPUTED_VALUE"""),"2023-04-14T20:41:22Z")</f>
        <v>2023-04-14T20:41:22Z</v>
      </c>
      <c r="X509" s="43"/>
      <c r="Y509" s="43"/>
      <c r="Z509" s="43"/>
    </row>
    <row r="510" hidden="1">
      <c r="A510" s="43" t="str">
        <f>IFERROR(__xludf.DUMMYFUNCTION("""COMPUTED_VALUE"""),"5235487_1293944")</f>
        <v>5235487_1293944</v>
      </c>
      <c r="B510" s="43" t="str">
        <f>IFERROR(__xludf.DUMMYFUNCTION("""COMPUTED_VALUE"""),"A.Can Elmalı")</f>
        <v>A.Can Elmalı</v>
      </c>
      <c r="C510" s="43" t="str">
        <f>IFERROR(__xludf.DUMMYFUNCTION("""COMPUTED_VALUE"""),"completed")</f>
        <v>completed</v>
      </c>
      <c r="D510" s="43" t="str">
        <f>IFERROR(__xludf.DUMMYFUNCTION("""COMPUTED_VALUE"""),"No")</f>
        <v>No</v>
      </c>
      <c r="E510" s="43" t="str">
        <f>IFERROR(__xludf.DUMMYFUNCTION("""COMPUTED_VALUE"""),"p_10df979e1fc2ef6643fc2eaba72af51220bffee9@inbound.aiesec.org")</f>
        <v>p_10df979e1fc2ef6643fc2eaba72af51220bffee9@inbound.aiesec.org</v>
      </c>
      <c r="F510" s="43"/>
      <c r="G510" s="43" t="str">
        <f>IFERROR(__xludf.DUMMYFUNCTION("""COMPUTED_VALUE"""),"Turkey")</f>
        <v>Turkey</v>
      </c>
      <c r="H510" s="43" t="str">
        <f>IFERROR(__xludf.DUMMYFUNCTION("""COMPUTED_VALUE"""),"İZMİR")</f>
        <v>İZMİR</v>
      </c>
      <c r="I510" s="43" t="str">
        <f>IFERROR(__xludf.DUMMYFUNCTION("""COMPUTED_VALUE"""),"Egypt")</f>
        <v>Egypt</v>
      </c>
      <c r="J510" s="43" t="str">
        <f>IFERROR(__xludf.DUMMYFUNCTION("""COMPUTED_VALUE"""),"Helwan")</f>
        <v>Helwan</v>
      </c>
      <c r="K510" s="44" t="str">
        <f>IFERROR(__xludf.DUMMYFUNCTION("""COMPUTED_VALUE"""),"https://expa.aiesec.org/opportunities/1293944")</f>
        <v>https://expa.aiesec.org/opportunities/1293944</v>
      </c>
      <c r="L510" s="43" t="str">
        <f>IFERROR(__xludf.DUMMYFUNCTION("""COMPUTED_VALUE"""),"GV")</f>
        <v>GV</v>
      </c>
      <c r="M510" s="43" t="str">
        <f>IFERROR(__xludf.DUMMYFUNCTION("""COMPUTED_VALUE"""),"short")</f>
        <v>short</v>
      </c>
      <c r="N510" s="45">
        <f>IFERROR(__xludf.DUMMYFUNCTION("""COMPUTED_VALUE"""),45030.0)</f>
        <v>45030</v>
      </c>
      <c r="O510" s="45">
        <f>IFERROR(__xludf.DUMMYFUNCTION("""COMPUTED_VALUE"""),45092.0)</f>
        <v>45092</v>
      </c>
      <c r="P510" s="45">
        <f>IFERROR(__xludf.DUMMYFUNCTION("""COMPUTED_VALUE"""),45134.0)</f>
        <v>45134</v>
      </c>
      <c r="Q510" s="45">
        <f>IFERROR(__xludf.DUMMYFUNCTION("""COMPUTED_VALUE"""),45091.0)</f>
        <v>45091</v>
      </c>
      <c r="R510" s="45">
        <f>IFERROR(__xludf.DUMMYFUNCTION("""COMPUTED_VALUE"""),45134.0)</f>
        <v>45134</v>
      </c>
      <c r="S510" s="43"/>
      <c r="T510" s="43"/>
      <c r="U510" s="43" t="str">
        <f>IFERROR(__xludf.DUMMYFUNCTION("""COMPUTED_VALUE"""),"Explorer")</f>
        <v>Explorer</v>
      </c>
      <c r="V510" s="43" t="str">
        <f>IFERROR(__xludf.DUMMYFUNCTION("""COMPUTED_VALUE"""),"-")</f>
        <v>-</v>
      </c>
      <c r="W510" s="43" t="str">
        <f>IFERROR(__xludf.DUMMYFUNCTION("""COMPUTED_VALUE"""),"2023-04-05T11:30:30Z")</f>
        <v>2023-04-05T11:30:30Z</v>
      </c>
      <c r="X510" s="43"/>
      <c r="Y510" s="43"/>
      <c r="Z510" s="43"/>
    </row>
    <row r="511" hidden="1">
      <c r="A511" s="43" t="str">
        <f>IFERROR(__xludf.DUMMYFUNCTION("""COMPUTED_VALUE"""),"5238097_1293636")</f>
        <v>5238097_1293636</v>
      </c>
      <c r="B511" s="43" t="str">
        <f>IFERROR(__xludf.DUMMYFUNCTION("""COMPUTED_VALUE"""),"Zehra Nur Koç")</f>
        <v>Zehra Nur Koç</v>
      </c>
      <c r="C511" s="43" t="str">
        <f>IFERROR(__xludf.DUMMYFUNCTION("""COMPUTED_VALUE"""),"completed")</f>
        <v>completed</v>
      </c>
      <c r="D511" s="43" t="str">
        <f>IFERROR(__xludf.DUMMYFUNCTION("""COMPUTED_VALUE"""),"No")</f>
        <v>No</v>
      </c>
      <c r="E511" s="43" t="str">
        <f>IFERROR(__xludf.DUMMYFUNCTION("""COMPUTED_VALUE"""),"p_9f0c53962779a2d71d0238efcaaa4000bbb76ec1@inbound.aiesec.org")</f>
        <v>p_9f0c53962779a2d71d0238efcaaa4000bbb76ec1@inbound.aiesec.org</v>
      </c>
      <c r="F511" s="43"/>
      <c r="G511" s="43" t="str">
        <f>IFERROR(__xludf.DUMMYFUNCTION("""COMPUTED_VALUE"""),"Turkey")</f>
        <v>Turkey</v>
      </c>
      <c r="H511" s="43" t="str">
        <f>IFERROR(__xludf.DUMMYFUNCTION("""COMPUTED_VALUE"""),"ISTANBUL ASIA")</f>
        <v>ISTANBUL ASIA</v>
      </c>
      <c r="I511" s="43" t="str">
        <f>IFERROR(__xludf.DUMMYFUNCTION("""COMPUTED_VALUE"""),"Egypt")</f>
        <v>Egypt</v>
      </c>
      <c r="J511" s="43" t="str">
        <f>IFERROR(__xludf.DUMMYFUNCTION("""COMPUTED_VALUE"""),"GUC")</f>
        <v>GUC</v>
      </c>
      <c r="K511" s="44" t="str">
        <f>IFERROR(__xludf.DUMMYFUNCTION("""COMPUTED_VALUE"""),"https://expa.aiesec.org/opportunities/1293636")</f>
        <v>https://expa.aiesec.org/opportunities/1293636</v>
      </c>
      <c r="L511" s="43" t="str">
        <f>IFERROR(__xludf.DUMMYFUNCTION("""COMPUTED_VALUE"""),"GV")</f>
        <v>GV</v>
      </c>
      <c r="M511" s="43" t="str">
        <f>IFERROR(__xludf.DUMMYFUNCTION("""COMPUTED_VALUE"""),"short")</f>
        <v>short</v>
      </c>
      <c r="N511" s="45">
        <f>IFERROR(__xludf.DUMMYFUNCTION("""COMPUTED_VALUE"""),45030.0)</f>
        <v>45030</v>
      </c>
      <c r="O511" s="45">
        <f>IFERROR(__xludf.DUMMYFUNCTION("""COMPUTED_VALUE"""),45122.0)</f>
        <v>45122</v>
      </c>
      <c r="P511" s="45">
        <f>IFERROR(__xludf.DUMMYFUNCTION("""COMPUTED_VALUE"""),45164.0)</f>
        <v>45164</v>
      </c>
      <c r="Q511" s="45">
        <f>IFERROR(__xludf.DUMMYFUNCTION("""COMPUTED_VALUE"""),45122.0)</f>
        <v>45122</v>
      </c>
      <c r="R511" s="45">
        <f>IFERROR(__xludf.DUMMYFUNCTION("""COMPUTED_VALUE"""),45164.0)</f>
        <v>45164</v>
      </c>
      <c r="S511" s="43"/>
      <c r="T511" s="43"/>
      <c r="U511" s="43" t="str">
        <f>IFERROR(__xludf.DUMMYFUNCTION("""COMPUTED_VALUE"""),"Fingerprint")</f>
        <v>Fingerprint</v>
      </c>
      <c r="V511" s="43" t="str">
        <f>IFERROR(__xludf.DUMMYFUNCTION("""COMPUTED_VALUE"""),"-")</f>
        <v>-</v>
      </c>
      <c r="W511" s="43" t="str">
        <f>IFERROR(__xludf.DUMMYFUNCTION("""COMPUTED_VALUE"""),"2023-04-09T12:32:58Z")</f>
        <v>2023-04-09T12:32:58Z</v>
      </c>
      <c r="X511" s="43"/>
      <c r="Y511" s="43"/>
      <c r="Z511" s="43"/>
    </row>
    <row r="512" hidden="1">
      <c r="A512" s="43" t="str">
        <f>IFERROR(__xludf.DUMMYFUNCTION("""COMPUTED_VALUE"""),"5242612_1293905")</f>
        <v>5242612_1293905</v>
      </c>
      <c r="B512" s="43" t="str">
        <f>IFERROR(__xludf.DUMMYFUNCTION("""COMPUTED_VALUE"""),"Mehmet Yasir Akosman")</f>
        <v>Mehmet Yasir Akosman</v>
      </c>
      <c r="C512" s="43" t="str">
        <f>IFERROR(__xludf.DUMMYFUNCTION("""COMPUTED_VALUE"""),"completed")</f>
        <v>completed</v>
      </c>
      <c r="D512" s="43" t="str">
        <f>IFERROR(__xludf.DUMMYFUNCTION("""COMPUTED_VALUE"""),"No")</f>
        <v>No</v>
      </c>
      <c r="E512" s="43" t="str">
        <f>IFERROR(__xludf.DUMMYFUNCTION("""COMPUTED_VALUE"""),"p_868c7c316df05feb1df8d80164194f5890552f9e@inbound.aiesec.org")</f>
        <v>p_868c7c316df05feb1df8d80164194f5890552f9e@inbound.aiesec.org</v>
      </c>
      <c r="F512" s="43"/>
      <c r="G512" s="43" t="str">
        <f>IFERROR(__xludf.DUMMYFUNCTION("""COMPUTED_VALUE"""),"Turkey")</f>
        <v>Turkey</v>
      </c>
      <c r="H512" s="43" t="str">
        <f>IFERROR(__xludf.DUMMYFUNCTION("""COMPUTED_VALUE"""),"SAKARYA")</f>
        <v>SAKARYA</v>
      </c>
      <c r="I512" s="43" t="str">
        <f>IFERROR(__xludf.DUMMYFUNCTION("""COMPUTED_VALUE"""),"Tunisia")</f>
        <v>Tunisia</v>
      </c>
      <c r="J512" s="43" t="str">
        <f>IFERROR(__xludf.DUMMYFUNCTION("""COMPUTED_VALUE"""),"BARDO")</f>
        <v>BARDO</v>
      </c>
      <c r="K512" s="44" t="str">
        <f>IFERROR(__xludf.DUMMYFUNCTION("""COMPUTED_VALUE"""),"https://expa.aiesec.org/opportunities/1293905")</f>
        <v>https://expa.aiesec.org/opportunities/1293905</v>
      </c>
      <c r="L512" s="43" t="str">
        <f>IFERROR(__xludf.DUMMYFUNCTION("""COMPUTED_VALUE"""),"GV")</f>
        <v>GV</v>
      </c>
      <c r="M512" s="43" t="str">
        <f>IFERROR(__xludf.DUMMYFUNCTION("""COMPUTED_VALUE"""),"short")</f>
        <v>short</v>
      </c>
      <c r="N512" s="45">
        <f>IFERROR(__xludf.DUMMYFUNCTION("""COMPUTED_VALUE"""),45031.0)</f>
        <v>45031</v>
      </c>
      <c r="O512" s="45">
        <f>IFERROR(__xludf.DUMMYFUNCTION("""COMPUTED_VALUE"""),45139.0)</f>
        <v>45139</v>
      </c>
      <c r="P512" s="45">
        <f>IFERROR(__xludf.DUMMYFUNCTION("""COMPUTED_VALUE"""),45181.0)</f>
        <v>45181</v>
      </c>
      <c r="Q512" s="45">
        <f>IFERROR(__xludf.DUMMYFUNCTION("""COMPUTED_VALUE"""),45137.0)</f>
        <v>45137</v>
      </c>
      <c r="R512" s="45">
        <f>IFERROR(__xludf.DUMMYFUNCTION("""COMPUTED_VALUE"""),45181.0)</f>
        <v>45181</v>
      </c>
      <c r="S512" s="43"/>
      <c r="T512" s="43"/>
      <c r="U512" s="43" t="str">
        <f>IFERROR(__xludf.DUMMYFUNCTION("""COMPUTED_VALUE"""),"Heartbeat")</f>
        <v>Heartbeat</v>
      </c>
      <c r="V512" s="43" t="str">
        <f>IFERROR(__xludf.DUMMYFUNCTION("""COMPUTED_VALUE"""),"SAKARYA")</f>
        <v>SAKARYA</v>
      </c>
      <c r="W512" s="43" t="str">
        <f>IFERROR(__xludf.DUMMYFUNCTION("""COMPUTED_VALUE"""),"2023-04-15T14:00:53Z")</f>
        <v>2023-04-15T14:00:53Z</v>
      </c>
      <c r="X512" s="43"/>
      <c r="Y512" s="43"/>
      <c r="Z512" s="43"/>
    </row>
    <row r="513" hidden="1">
      <c r="A513" s="43" t="str">
        <f>IFERROR(__xludf.DUMMYFUNCTION("""COMPUTED_VALUE"""),"5241961_1292298")</f>
        <v>5241961_1292298</v>
      </c>
      <c r="B513" s="43" t="str">
        <f>IFERROR(__xludf.DUMMYFUNCTION("""COMPUTED_VALUE"""),"Cem Erün")</f>
        <v>Cem Erün</v>
      </c>
      <c r="C513" s="43" t="str">
        <f>IFERROR(__xludf.DUMMYFUNCTION("""COMPUTED_VALUE"""),"approved")</f>
        <v>approved</v>
      </c>
      <c r="D513" s="43" t="str">
        <f>IFERROR(__xludf.DUMMYFUNCTION("""COMPUTED_VALUE"""),"No")</f>
        <v>No</v>
      </c>
      <c r="E513" s="43" t="str">
        <f>IFERROR(__xludf.DUMMYFUNCTION("""COMPUTED_VALUE"""),"p_45f41a2ffb75b18056a7789532b5659b48d3b9c8@inbound.aiesec.org")</f>
        <v>p_45f41a2ffb75b18056a7789532b5659b48d3b9c8@inbound.aiesec.org</v>
      </c>
      <c r="F513" s="43">
        <f>IFERROR(__xludf.DUMMYFUNCTION("""COMPUTED_VALUE"""),5.549641049E9)</f>
        <v>5549641049</v>
      </c>
      <c r="G513" s="43" t="str">
        <f>IFERROR(__xludf.DUMMYFUNCTION("""COMPUTED_VALUE"""),"Turkey")</f>
        <v>Turkey</v>
      </c>
      <c r="H513" s="43" t="str">
        <f>IFERROR(__xludf.DUMMYFUNCTION("""COMPUTED_VALUE"""),"TRABZON")</f>
        <v>TRABZON</v>
      </c>
      <c r="I513" s="43" t="str">
        <f>IFERROR(__xludf.DUMMYFUNCTION("""COMPUTED_VALUE"""),"Egypt")</f>
        <v>Egypt</v>
      </c>
      <c r="J513" s="43" t="str">
        <f>IFERROR(__xludf.DUMMYFUNCTION("""COMPUTED_VALUE"""),"Cairo University")</f>
        <v>Cairo University</v>
      </c>
      <c r="K513" s="44" t="str">
        <f>IFERROR(__xludf.DUMMYFUNCTION("""COMPUTED_VALUE"""),"https://expa.aiesec.org/opportunities/1292298")</f>
        <v>https://expa.aiesec.org/opportunities/1292298</v>
      </c>
      <c r="L513" s="43" t="str">
        <f>IFERROR(__xludf.DUMMYFUNCTION("""COMPUTED_VALUE"""),"GV")</f>
        <v>GV</v>
      </c>
      <c r="M513" s="43" t="str">
        <f>IFERROR(__xludf.DUMMYFUNCTION("""COMPUTED_VALUE"""),"short")</f>
        <v>short</v>
      </c>
      <c r="N513" s="45">
        <f>IFERROR(__xludf.DUMMYFUNCTION("""COMPUTED_VALUE"""),45031.0)</f>
        <v>45031</v>
      </c>
      <c r="O513" s="45">
        <f>IFERROR(__xludf.DUMMYFUNCTION("""COMPUTED_VALUE"""),45153.0)</f>
        <v>45153</v>
      </c>
      <c r="P513" s="45">
        <f>IFERROR(__xludf.DUMMYFUNCTION("""COMPUTED_VALUE"""),45197.0)</f>
        <v>45197</v>
      </c>
      <c r="Q513" s="45"/>
      <c r="R513" s="45"/>
      <c r="S513" s="43"/>
      <c r="T513" s="43"/>
      <c r="U513" s="43" t="str">
        <f>IFERROR(__xludf.DUMMYFUNCTION("""COMPUTED_VALUE"""),"Fingerprint")</f>
        <v>Fingerprint</v>
      </c>
      <c r="V513" s="43" t="str">
        <f>IFERROR(__xludf.DUMMYFUNCTION("""COMPUTED_VALUE"""),"TRABZON")</f>
        <v>TRABZON</v>
      </c>
      <c r="W513" s="43" t="str">
        <f>IFERROR(__xludf.DUMMYFUNCTION("""COMPUTED_VALUE"""),"2023-04-14T11:59:19Z")</f>
        <v>2023-04-14T11:59:19Z</v>
      </c>
      <c r="X513" s="43"/>
      <c r="Y513" s="43"/>
      <c r="Z513" s="43"/>
    </row>
    <row r="514" hidden="1">
      <c r="A514" s="43" t="str">
        <f>IFERROR(__xludf.DUMMYFUNCTION("""COMPUTED_VALUE"""),"5241252_1293968")</f>
        <v>5241252_1293968</v>
      </c>
      <c r="B514" s="43" t="str">
        <f>IFERROR(__xludf.DUMMYFUNCTION("""COMPUTED_VALUE"""),"Fatma Betül Özsütçü")</f>
        <v>Fatma Betül Özsütçü</v>
      </c>
      <c r="C514" s="43" t="str">
        <f>IFERROR(__xludf.DUMMYFUNCTION("""COMPUTED_VALUE"""),"completed")</f>
        <v>completed</v>
      </c>
      <c r="D514" s="43" t="str">
        <f>IFERROR(__xludf.DUMMYFUNCTION("""COMPUTED_VALUE"""),"No")</f>
        <v>No</v>
      </c>
      <c r="E514" s="43" t="str">
        <f>IFERROR(__xludf.DUMMYFUNCTION("""COMPUTED_VALUE"""),"p_2675cfd0bcc610ed791406d92743b8ede5f85094@inbound.aiesec.org")</f>
        <v>p_2675cfd0bcc610ed791406d92743b8ede5f85094@inbound.aiesec.org</v>
      </c>
      <c r="F514" s="43">
        <f>IFERROR(__xludf.DUMMYFUNCTION("""COMPUTED_VALUE"""),5.459322723E9)</f>
        <v>5459322723</v>
      </c>
      <c r="G514" s="43" t="str">
        <f>IFERROR(__xludf.DUMMYFUNCTION("""COMPUTED_VALUE"""),"Turkey")</f>
        <v>Turkey</v>
      </c>
      <c r="H514" s="43" t="str">
        <f>IFERROR(__xludf.DUMMYFUNCTION("""COMPUTED_VALUE"""),"ISTANBUL")</f>
        <v>ISTANBUL</v>
      </c>
      <c r="I514" s="43" t="str">
        <f>IFERROR(__xludf.DUMMYFUNCTION("""COMPUTED_VALUE"""),"Egypt")</f>
        <v>Egypt</v>
      </c>
      <c r="J514" s="43" t="str">
        <f>IFERROR(__xludf.DUMMYFUNCTION("""COMPUTED_VALUE"""),"Ain Shams University")</f>
        <v>Ain Shams University</v>
      </c>
      <c r="K514" s="44" t="str">
        <f>IFERROR(__xludf.DUMMYFUNCTION("""COMPUTED_VALUE"""),"https://expa.aiesec.org/opportunities/1293968")</f>
        <v>https://expa.aiesec.org/opportunities/1293968</v>
      </c>
      <c r="L514" s="43" t="str">
        <f>IFERROR(__xludf.DUMMYFUNCTION("""COMPUTED_VALUE"""),"GV")</f>
        <v>GV</v>
      </c>
      <c r="M514" s="43" t="str">
        <f>IFERROR(__xludf.DUMMYFUNCTION("""COMPUTED_VALUE"""),"short")</f>
        <v>short</v>
      </c>
      <c r="N514" s="45">
        <f>IFERROR(__xludf.DUMMYFUNCTION("""COMPUTED_VALUE"""),45031.0)</f>
        <v>45031</v>
      </c>
      <c r="O514" s="45">
        <f>IFERROR(__xludf.DUMMYFUNCTION("""COMPUTED_VALUE"""),45122.0)</f>
        <v>45122</v>
      </c>
      <c r="P514" s="45">
        <f>IFERROR(__xludf.DUMMYFUNCTION("""COMPUTED_VALUE"""),45164.0)</f>
        <v>45164</v>
      </c>
      <c r="Q514" s="45">
        <f>IFERROR(__xludf.DUMMYFUNCTION("""COMPUTED_VALUE"""),45120.0)</f>
        <v>45120</v>
      </c>
      <c r="R514" s="45">
        <f>IFERROR(__xludf.DUMMYFUNCTION("""COMPUTED_VALUE"""),45164.0)</f>
        <v>45164</v>
      </c>
      <c r="S514" s="43"/>
      <c r="T514" s="43"/>
      <c r="U514" s="43" t="str">
        <f>IFERROR(__xludf.DUMMYFUNCTION("""COMPUTED_VALUE"""),"Rooted")</f>
        <v>Rooted</v>
      </c>
      <c r="V514" s="43" t="str">
        <f>IFERROR(__xludf.DUMMYFUNCTION("""COMPUTED_VALUE"""),"ISTANBUL - BEYOGLU")</f>
        <v>ISTANBUL - BEYOGLU</v>
      </c>
      <c r="W514" s="43" t="str">
        <f>IFERROR(__xludf.DUMMYFUNCTION("""COMPUTED_VALUE"""),"2023-04-13T14:03:40Z")</f>
        <v>2023-04-13T14:03:40Z</v>
      </c>
      <c r="X514" s="43"/>
      <c r="Y514" s="43"/>
      <c r="Z514" s="43"/>
    </row>
    <row r="515" hidden="1">
      <c r="A515" s="43" t="str">
        <f>IFERROR(__xludf.DUMMYFUNCTION("""COMPUTED_VALUE"""),"5237177_1292253")</f>
        <v>5237177_1292253</v>
      </c>
      <c r="B515" s="43" t="str">
        <f>IFERROR(__xludf.DUMMYFUNCTION("""COMPUTED_VALUE"""),"Damla Işık")</f>
        <v>Damla Işık</v>
      </c>
      <c r="C515" s="43" t="str">
        <f>IFERROR(__xludf.DUMMYFUNCTION("""COMPUTED_VALUE"""),"completed")</f>
        <v>completed</v>
      </c>
      <c r="D515" s="43" t="str">
        <f>IFERROR(__xludf.DUMMYFUNCTION("""COMPUTED_VALUE"""),"No")</f>
        <v>No</v>
      </c>
      <c r="E515" s="43" t="str">
        <f>IFERROR(__xludf.DUMMYFUNCTION("""COMPUTED_VALUE"""),"p_bbf0e6bd7b2096b3ad7a893559d6aea4e060fcbb@inbound.aiesec.org")</f>
        <v>p_bbf0e6bd7b2096b3ad7a893559d6aea4e060fcbb@inbound.aiesec.org</v>
      </c>
      <c r="F515" s="43">
        <f>IFERROR(__xludf.DUMMYFUNCTION("""COMPUTED_VALUE"""),5.44233178E9)</f>
        <v>5442331780</v>
      </c>
      <c r="G515" s="43" t="str">
        <f>IFERROR(__xludf.DUMMYFUNCTION("""COMPUTED_VALUE"""),"Turkey")</f>
        <v>Turkey</v>
      </c>
      <c r="H515" s="43" t="str">
        <f>IFERROR(__xludf.DUMMYFUNCTION("""COMPUTED_VALUE"""),"ISTANBUL")</f>
        <v>ISTANBUL</v>
      </c>
      <c r="I515" s="43" t="str">
        <f>IFERROR(__xludf.DUMMYFUNCTION("""COMPUTED_VALUE"""),"Romania")</f>
        <v>Romania</v>
      </c>
      <c r="J515" s="43" t="str">
        <f>IFERROR(__xludf.DUMMYFUNCTION("""COMPUTED_VALUE"""),"BUCURESTI")</f>
        <v>BUCURESTI</v>
      </c>
      <c r="K515" s="44" t="str">
        <f>IFERROR(__xludf.DUMMYFUNCTION("""COMPUTED_VALUE"""),"https://expa.aiesec.org/opportunities/1292253")</f>
        <v>https://expa.aiesec.org/opportunities/1292253</v>
      </c>
      <c r="L515" s="43" t="str">
        <f>IFERROR(__xludf.DUMMYFUNCTION("""COMPUTED_VALUE"""),"GV")</f>
        <v>GV</v>
      </c>
      <c r="M515" s="43" t="str">
        <f>IFERROR(__xludf.DUMMYFUNCTION("""COMPUTED_VALUE"""),"short")</f>
        <v>short</v>
      </c>
      <c r="N515" s="45">
        <f>IFERROR(__xludf.DUMMYFUNCTION("""COMPUTED_VALUE"""),45031.0)</f>
        <v>45031</v>
      </c>
      <c r="O515" s="45">
        <f>IFERROR(__xludf.DUMMYFUNCTION("""COMPUTED_VALUE"""),45096.0)</f>
        <v>45096</v>
      </c>
      <c r="P515" s="45">
        <f>IFERROR(__xludf.DUMMYFUNCTION("""COMPUTED_VALUE"""),45138.0)</f>
        <v>45138</v>
      </c>
      <c r="Q515" s="45">
        <f>IFERROR(__xludf.DUMMYFUNCTION("""COMPUTED_VALUE"""),45095.0)</f>
        <v>45095</v>
      </c>
      <c r="R515" s="45">
        <f>IFERROR(__xludf.DUMMYFUNCTION("""COMPUTED_VALUE"""),45138.0)</f>
        <v>45138</v>
      </c>
      <c r="S515" s="43"/>
      <c r="T515" s="43"/>
      <c r="U515" s="43" t="str">
        <f>IFERROR(__xludf.DUMMYFUNCTION("""COMPUTED_VALUE"""),"Fingerprint")</f>
        <v>Fingerprint</v>
      </c>
      <c r="V515" s="43" t="str">
        <f>IFERROR(__xludf.DUMMYFUNCTION("""COMPUTED_VALUE"""),"ISTANBUL - BEYOGLU")</f>
        <v>ISTANBUL - BEYOGLU</v>
      </c>
      <c r="W515" s="43" t="str">
        <f>IFERROR(__xludf.DUMMYFUNCTION("""COMPUTED_VALUE"""),"2023-04-07T16:24:01Z")</f>
        <v>2023-04-07T16:24:01Z</v>
      </c>
      <c r="X515" s="43"/>
      <c r="Y515" s="43"/>
      <c r="Z515" s="43"/>
    </row>
    <row r="516" hidden="1">
      <c r="A516" s="43" t="str">
        <f>IFERROR(__xludf.DUMMYFUNCTION("""COMPUTED_VALUE"""),"5222003_1293835")</f>
        <v>5222003_1293835</v>
      </c>
      <c r="B516" s="43" t="str">
        <f>IFERROR(__xludf.DUMMYFUNCTION("""COMPUTED_VALUE"""),"Mustafa Başar Ezik")</f>
        <v>Mustafa Başar Ezik</v>
      </c>
      <c r="C516" s="43" t="str">
        <f>IFERROR(__xludf.DUMMYFUNCTION("""COMPUTED_VALUE"""),"completed")</f>
        <v>completed</v>
      </c>
      <c r="D516" s="43" t="str">
        <f>IFERROR(__xludf.DUMMYFUNCTION("""COMPUTED_VALUE"""),"No")</f>
        <v>No</v>
      </c>
      <c r="E516" s="43" t="str">
        <f>IFERROR(__xludf.DUMMYFUNCTION("""COMPUTED_VALUE"""),"p_c7e6d633d3c78c6a980ad55e21a5a5b182c47f08@inbound.aiesec.org")</f>
        <v>p_c7e6d633d3c78c6a980ad55e21a5a5b182c47f08@inbound.aiesec.org</v>
      </c>
      <c r="F516" s="43">
        <f>IFERROR(__xludf.DUMMYFUNCTION("""COMPUTED_VALUE"""),5.05737817E9)</f>
        <v>5057378170</v>
      </c>
      <c r="G516" s="43" t="str">
        <f>IFERROR(__xludf.DUMMYFUNCTION("""COMPUTED_VALUE"""),"Turkey")</f>
        <v>Turkey</v>
      </c>
      <c r="H516" s="43" t="str">
        <f>IFERROR(__xludf.DUMMYFUNCTION("""COMPUTED_VALUE"""),"ISTANBUL")</f>
        <v>ISTANBUL</v>
      </c>
      <c r="I516" s="43" t="str">
        <f>IFERROR(__xludf.DUMMYFUNCTION("""COMPUTED_VALUE"""),"Romania")</f>
        <v>Romania</v>
      </c>
      <c r="J516" s="43" t="str">
        <f>IFERROR(__xludf.DUMMYFUNCTION("""COMPUTED_VALUE"""),"Cluj-Napoca")</f>
        <v>Cluj-Napoca</v>
      </c>
      <c r="K516" s="44" t="str">
        <f>IFERROR(__xludf.DUMMYFUNCTION("""COMPUTED_VALUE"""),"https://expa.aiesec.org/opportunities/1293835")</f>
        <v>https://expa.aiesec.org/opportunities/1293835</v>
      </c>
      <c r="L516" s="43" t="str">
        <f>IFERROR(__xludf.DUMMYFUNCTION("""COMPUTED_VALUE"""),"GV")</f>
        <v>GV</v>
      </c>
      <c r="M516" s="43" t="str">
        <f>IFERROR(__xludf.DUMMYFUNCTION("""COMPUTED_VALUE"""),"short")</f>
        <v>short</v>
      </c>
      <c r="N516" s="45">
        <f>IFERROR(__xludf.DUMMYFUNCTION("""COMPUTED_VALUE"""),45031.0)</f>
        <v>45031</v>
      </c>
      <c r="O516" s="45">
        <f>IFERROR(__xludf.DUMMYFUNCTION("""COMPUTED_VALUE"""),45117.0)</f>
        <v>45117</v>
      </c>
      <c r="P516" s="45">
        <f>IFERROR(__xludf.DUMMYFUNCTION("""COMPUTED_VALUE"""),45159.0)</f>
        <v>45159</v>
      </c>
      <c r="Q516" s="45">
        <f>IFERROR(__xludf.DUMMYFUNCTION("""COMPUTED_VALUE"""),45118.0)</f>
        <v>45118</v>
      </c>
      <c r="R516" s="45">
        <f>IFERROR(__xludf.DUMMYFUNCTION("""COMPUTED_VALUE"""),45159.0)</f>
        <v>45159</v>
      </c>
      <c r="S516" s="43"/>
      <c r="T516" s="43"/>
      <c r="U516" s="43" t="str">
        <f>IFERROR(__xludf.DUMMYFUNCTION("""COMPUTED_VALUE"""),"Eat 4 Change")</f>
        <v>Eat 4 Change</v>
      </c>
      <c r="V516" s="43" t="str">
        <f>IFERROR(__xludf.DUMMYFUNCTION("""COMPUTED_VALUE"""),"ISTANBUL - BEYOGLU")</f>
        <v>ISTANBUL - BEYOGLU</v>
      </c>
      <c r="W516" s="43" t="str">
        <f>IFERROR(__xludf.DUMMYFUNCTION("""COMPUTED_VALUE"""),"2023-03-20T18:47:08Z")</f>
        <v>2023-03-20T18:47:08Z</v>
      </c>
      <c r="X516" s="43"/>
      <c r="Y516" s="43"/>
      <c r="Z516" s="43"/>
    </row>
    <row r="517" hidden="1">
      <c r="A517" s="43" t="str">
        <f>IFERROR(__xludf.DUMMYFUNCTION("""COMPUTED_VALUE"""),"5236640_1293865")</f>
        <v>5236640_1293865</v>
      </c>
      <c r="B517" s="43" t="str">
        <f>IFERROR(__xludf.DUMMYFUNCTION("""COMPUTED_VALUE"""),"Ceren Okut")</f>
        <v>Ceren Okut</v>
      </c>
      <c r="C517" s="43" t="str">
        <f>IFERROR(__xludf.DUMMYFUNCTION("""COMPUTED_VALUE"""),"completed")</f>
        <v>completed</v>
      </c>
      <c r="D517" s="43" t="str">
        <f>IFERROR(__xludf.DUMMYFUNCTION("""COMPUTED_VALUE"""),"No")</f>
        <v>No</v>
      </c>
      <c r="E517" s="43" t="str">
        <f>IFERROR(__xludf.DUMMYFUNCTION("""COMPUTED_VALUE"""),"p_7be45df21e688c23ae82ea603c85f1b3690247fe@inbound.aiesec.org")</f>
        <v>p_7be45df21e688c23ae82ea603c85f1b3690247fe@inbound.aiesec.org</v>
      </c>
      <c r="F517" s="43">
        <f>IFERROR(__xludf.DUMMYFUNCTION("""COMPUTED_VALUE"""),5.464741002E9)</f>
        <v>5464741002</v>
      </c>
      <c r="G517" s="43" t="str">
        <f>IFERROR(__xludf.DUMMYFUNCTION("""COMPUTED_VALUE"""),"Turkey")</f>
        <v>Turkey</v>
      </c>
      <c r="H517" s="43" t="str">
        <f>IFERROR(__xludf.DUMMYFUNCTION("""COMPUTED_VALUE"""),"ISTANBUL")</f>
        <v>ISTANBUL</v>
      </c>
      <c r="I517" s="43" t="str">
        <f>IFERROR(__xludf.DUMMYFUNCTION("""COMPUTED_VALUE"""),"Italy")</f>
        <v>Italy</v>
      </c>
      <c r="J517" s="43" t="str">
        <f>IFERROR(__xludf.DUMMYFUNCTION("""COMPUTED_VALUE"""),"Napoli Federico II")</f>
        <v>Napoli Federico II</v>
      </c>
      <c r="K517" s="44" t="str">
        <f>IFERROR(__xludf.DUMMYFUNCTION("""COMPUTED_VALUE"""),"https://expa.aiesec.org/opportunities/1293865")</f>
        <v>https://expa.aiesec.org/opportunities/1293865</v>
      </c>
      <c r="L517" s="43" t="str">
        <f>IFERROR(__xludf.DUMMYFUNCTION("""COMPUTED_VALUE"""),"GV")</f>
        <v>GV</v>
      </c>
      <c r="M517" s="43" t="str">
        <f>IFERROR(__xludf.DUMMYFUNCTION("""COMPUTED_VALUE"""),"short")</f>
        <v>short</v>
      </c>
      <c r="N517" s="45">
        <f>IFERROR(__xludf.DUMMYFUNCTION("""COMPUTED_VALUE"""),45031.0)</f>
        <v>45031</v>
      </c>
      <c r="O517" s="45">
        <f>IFERROR(__xludf.DUMMYFUNCTION("""COMPUTED_VALUE"""),45110.0)</f>
        <v>45110</v>
      </c>
      <c r="P517" s="45">
        <f>IFERROR(__xludf.DUMMYFUNCTION("""COMPUTED_VALUE"""),45152.0)</f>
        <v>45152</v>
      </c>
      <c r="Q517" s="45">
        <f>IFERROR(__xludf.DUMMYFUNCTION("""COMPUTED_VALUE"""),45111.0)</f>
        <v>45111</v>
      </c>
      <c r="R517" s="45">
        <f>IFERROR(__xludf.DUMMYFUNCTION("""COMPUTED_VALUE"""),45152.0)</f>
        <v>45152</v>
      </c>
      <c r="S517" s="43"/>
      <c r="T517" s="43"/>
      <c r="U517" s="43" t="str">
        <f>IFERROR(__xludf.DUMMYFUNCTION("""COMPUTED_VALUE"""),"Equify")</f>
        <v>Equify</v>
      </c>
      <c r="V517" s="43" t="str">
        <f>IFERROR(__xludf.DUMMYFUNCTION("""COMPUTED_VALUE"""),"ISTANBUL - BEYOGLU")</f>
        <v>ISTANBUL - BEYOGLU</v>
      </c>
      <c r="W517" s="43" t="str">
        <f>IFERROR(__xludf.DUMMYFUNCTION("""COMPUTED_VALUE"""),"2023-04-06T20:19:42Z")</f>
        <v>2023-04-06T20:19:42Z</v>
      </c>
      <c r="X517" s="43"/>
      <c r="Y517" s="43"/>
      <c r="Z517" s="43"/>
    </row>
    <row r="518" hidden="1">
      <c r="A518" s="43" t="str">
        <f>IFERROR(__xludf.DUMMYFUNCTION("""COMPUTED_VALUE"""),"5234302_1293961")</f>
        <v>5234302_1293961</v>
      </c>
      <c r="B518" s="43" t="str">
        <f>IFERROR(__xludf.DUMMYFUNCTION("""COMPUTED_VALUE"""),"Nisa Turgut")</f>
        <v>Nisa Turgut</v>
      </c>
      <c r="C518" s="43" t="str">
        <f>IFERROR(__xludf.DUMMYFUNCTION("""COMPUTED_VALUE"""),"completed")</f>
        <v>completed</v>
      </c>
      <c r="D518" s="43" t="str">
        <f>IFERROR(__xludf.DUMMYFUNCTION("""COMPUTED_VALUE"""),"No")</f>
        <v>No</v>
      </c>
      <c r="E518" s="43" t="str">
        <f>IFERROR(__xludf.DUMMYFUNCTION("""COMPUTED_VALUE"""),"p_b96cfbda6af57f6d605fc341c26fd8ed768a2901@inbound.aiesec.org")</f>
        <v>p_b96cfbda6af57f6d605fc341c26fd8ed768a2901@inbound.aiesec.org</v>
      </c>
      <c r="F518" s="43">
        <f>IFERROR(__xludf.DUMMYFUNCTION("""COMPUTED_VALUE"""),5.308334355E9)</f>
        <v>5308334355</v>
      </c>
      <c r="G518" s="43" t="str">
        <f>IFERROR(__xludf.DUMMYFUNCTION("""COMPUTED_VALUE"""),"Turkey")</f>
        <v>Turkey</v>
      </c>
      <c r="H518" s="43" t="str">
        <f>IFERROR(__xludf.DUMMYFUNCTION("""COMPUTED_VALUE"""),"ISTANBUL")</f>
        <v>ISTANBUL</v>
      </c>
      <c r="I518" s="43" t="str">
        <f>IFERROR(__xludf.DUMMYFUNCTION("""COMPUTED_VALUE"""),"Serbia")</f>
        <v>Serbia</v>
      </c>
      <c r="J518" s="43" t="str">
        <f>IFERROR(__xludf.DUMMYFUNCTION("""COMPUTED_VALUE"""),"BELGRADE FON")</f>
        <v>BELGRADE FON</v>
      </c>
      <c r="K518" s="44" t="str">
        <f>IFERROR(__xludf.DUMMYFUNCTION("""COMPUTED_VALUE"""),"https://expa.aiesec.org/opportunities/1293961")</f>
        <v>https://expa.aiesec.org/opportunities/1293961</v>
      </c>
      <c r="L518" s="43" t="str">
        <f>IFERROR(__xludf.DUMMYFUNCTION("""COMPUTED_VALUE"""),"GV")</f>
        <v>GV</v>
      </c>
      <c r="M518" s="43" t="str">
        <f>IFERROR(__xludf.DUMMYFUNCTION("""COMPUTED_VALUE"""),"short")</f>
        <v>short</v>
      </c>
      <c r="N518" s="45">
        <f>IFERROR(__xludf.DUMMYFUNCTION("""COMPUTED_VALUE"""),45031.0)</f>
        <v>45031</v>
      </c>
      <c r="O518" s="45">
        <f>IFERROR(__xludf.DUMMYFUNCTION("""COMPUTED_VALUE"""),45117.0)</f>
        <v>45117</v>
      </c>
      <c r="P518" s="45">
        <f>IFERROR(__xludf.DUMMYFUNCTION("""COMPUTED_VALUE"""),45159.0)</f>
        <v>45159</v>
      </c>
      <c r="Q518" s="45">
        <f>IFERROR(__xludf.DUMMYFUNCTION("""COMPUTED_VALUE"""),45119.0)</f>
        <v>45119</v>
      </c>
      <c r="R518" s="45">
        <f>IFERROR(__xludf.DUMMYFUNCTION("""COMPUTED_VALUE"""),45159.0)</f>
        <v>45159</v>
      </c>
      <c r="S518" s="43"/>
      <c r="T518" s="43"/>
      <c r="U518" s="43" t="str">
        <f>IFERROR(__xludf.DUMMYFUNCTION("""COMPUTED_VALUE"""),"Skill Up!")</f>
        <v>Skill Up!</v>
      </c>
      <c r="V518" s="43" t="str">
        <f>IFERROR(__xludf.DUMMYFUNCTION("""COMPUTED_VALUE"""),"ISTANBUL - BEYOGLU")</f>
        <v>ISTANBUL - BEYOGLU</v>
      </c>
      <c r="W518" s="43" t="str">
        <f>IFERROR(__xludf.DUMMYFUNCTION("""COMPUTED_VALUE"""),"2023-04-03T20:34:35Z")</f>
        <v>2023-04-03T20:34:35Z</v>
      </c>
      <c r="X518" s="43"/>
      <c r="Y518" s="43"/>
      <c r="Z518" s="43"/>
    </row>
    <row r="519" hidden="1">
      <c r="A519" s="43" t="str">
        <f>IFERROR(__xludf.DUMMYFUNCTION("""COMPUTED_VALUE"""),"5242955_1292990")</f>
        <v>5242955_1292990</v>
      </c>
      <c r="B519" s="43" t="str">
        <f>IFERROR(__xludf.DUMMYFUNCTION("""COMPUTED_VALUE"""),"Hüseyin Avni Çuvalcı")</f>
        <v>Hüseyin Avni Çuvalcı</v>
      </c>
      <c r="C519" s="43" t="str">
        <f>IFERROR(__xludf.DUMMYFUNCTION("""COMPUTED_VALUE"""),"approved")</f>
        <v>approved</v>
      </c>
      <c r="D519" s="43" t="str">
        <f>IFERROR(__xludf.DUMMYFUNCTION("""COMPUTED_VALUE"""),"No")</f>
        <v>No</v>
      </c>
      <c r="E519" s="43" t="str">
        <f>IFERROR(__xludf.DUMMYFUNCTION("""COMPUTED_VALUE"""),"p_74f27a88fce65c125dfd5bf306161f100dcfc1cb@inbound.aiesec.org")</f>
        <v>p_74f27a88fce65c125dfd5bf306161f100dcfc1cb@inbound.aiesec.org</v>
      </c>
      <c r="F519" s="43">
        <f>IFERROR(__xludf.DUMMYFUNCTION("""COMPUTED_VALUE"""),5.414484461E9)</f>
        <v>5414484461</v>
      </c>
      <c r="G519" s="43" t="str">
        <f>IFERROR(__xludf.DUMMYFUNCTION("""COMPUTED_VALUE"""),"Turkey")</f>
        <v>Turkey</v>
      </c>
      <c r="H519" s="43" t="str">
        <f>IFERROR(__xludf.DUMMYFUNCTION("""COMPUTED_VALUE"""),"ISTANBUL")</f>
        <v>ISTANBUL</v>
      </c>
      <c r="I519" s="43" t="str">
        <f>IFERROR(__xludf.DUMMYFUNCTION("""COMPUTED_VALUE"""),"India")</f>
        <v>India</v>
      </c>
      <c r="J519" s="43" t="str">
        <f>IFERROR(__xludf.DUMMYFUNCTION("""COMPUTED_VALUE"""),"Mumbai")</f>
        <v>Mumbai</v>
      </c>
      <c r="K519" s="44" t="str">
        <f>IFERROR(__xludf.DUMMYFUNCTION("""COMPUTED_VALUE"""),"https://expa.aiesec.org/opportunities/1292990")</f>
        <v>https://expa.aiesec.org/opportunities/1292990</v>
      </c>
      <c r="L519" s="43" t="str">
        <f>IFERROR(__xludf.DUMMYFUNCTION("""COMPUTED_VALUE"""),"GV")</f>
        <v>GV</v>
      </c>
      <c r="M519" s="43" t="str">
        <f>IFERROR(__xludf.DUMMYFUNCTION("""COMPUTED_VALUE"""),"short")</f>
        <v>short</v>
      </c>
      <c r="N519" s="45">
        <f>IFERROR(__xludf.DUMMYFUNCTION("""COMPUTED_VALUE"""),45032.0)</f>
        <v>45032</v>
      </c>
      <c r="O519" s="45">
        <f>IFERROR(__xludf.DUMMYFUNCTION("""COMPUTED_VALUE"""),45139.0)</f>
        <v>45139</v>
      </c>
      <c r="P519" s="45">
        <f>IFERROR(__xludf.DUMMYFUNCTION("""COMPUTED_VALUE"""),45183.0)</f>
        <v>45183</v>
      </c>
      <c r="Q519" s="45"/>
      <c r="R519" s="45"/>
      <c r="S519" s="43"/>
      <c r="T519" s="43"/>
      <c r="U519" s="43" t="str">
        <f>IFERROR(__xludf.DUMMYFUNCTION("""COMPUTED_VALUE"""),"On The Map")</f>
        <v>On The Map</v>
      </c>
      <c r="V519" s="43" t="str">
        <f>IFERROR(__xludf.DUMMYFUNCTION("""COMPUTED_VALUE"""),"ISTANBUL - BEYOGLU")</f>
        <v>ISTANBUL - BEYOGLU</v>
      </c>
      <c r="W519" s="43" t="str">
        <f>IFERROR(__xludf.DUMMYFUNCTION("""COMPUTED_VALUE"""),"2023-04-16T09:34:02Z")</f>
        <v>2023-04-16T09:34:02Z</v>
      </c>
      <c r="X519" s="43"/>
      <c r="Y519" s="43"/>
      <c r="Z519" s="43"/>
    </row>
    <row r="520" hidden="1">
      <c r="A520" s="43" t="str">
        <f>IFERROR(__xludf.DUMMYFUNCTION("""COMPUTED_VALUE"""),"5238986_1293210")</f>
        <v>5238986_1293210</v>
      </c>
      <c r="B520" s="43" t="str">
        <f>IFERROR(__xludf.DUMMYFUNCTION("""COMPUTED_VALUE"""),"Emin Özbek")</f>
        <v>Emin Özbek</v>
      </c>
      <c r="C520" s="43" t="str">
        <f>IFERROR(__xludf.DUMMYFUNCTION("""COMPUTED_VALUE"""),"approved")</f>
        <v>approved</v>
      </c>
      <c r="D520" s="43" t="str">
        <f>IFERROR(__xludf.DUMMYFUNCTION("""COMPUTED_VALUE"""),"No")</f>
        <v>No</v>
      </c>
      <c r="E520" s="43" t="str">
        <f>IFERROR(__xludf.DUMMYFUNCTION("""COMPUTED_VALUE"""),"p_d280701faab3a698f19e2219e7518e66f1085b2a@inbound.aiesec.org")</f>
        <v>p_d280701faab3a698f19e2219e7518e66f1085b2a@inbound.aiesec.org</v>
      </c>
      <c r="F520" s="43"/>
      <c r="G520" s="43" t="str">
        <f>IFERROR(__xludf.DUMMYFUNCTION("""COMPUTED_VALUE"""),"Turkey")</f>
        <v>Turkey</v>
      </c>
      <c r="H520" s="43" t="str">
        <f>IFERROR(__xludf.DUMMYFUNCTION("""COMPUTED_VALUE"""),"ANKARA")</f>
        <v>ANKARA</v>
      </c>
      <c r="I520" s="43" t="str">
        <f>IFERROR(__xludf.DUMMYFUNCTION("""COMPUTED_VALUE"""),"India")</f>
        <v>India</v>
      </c>
      <c r="J520" s="43" t="str">
        <f>IFERROR(__xludf.DUMMYFUNCTION("""COMPUTED_VALUE"""),"Mumbai")</f>
        <v>Mumbai</v>
      </c>
      <c r="K520" s="44" t="str">
        <f>IFERROR(__xludf.DUMMYFUNCTION("""COMPUTED_VALUE"""),"https://expa.aiesec.org/opportunities/1293210")</f>
        <v>https://expa.aiesec.org/opportunities/1293210</v>
      </c>
      <c r="L520" s="43" t="str">
        <f>IFERROR(__xludf.DUMMYFUNCTION("""COMPUTED_VALUE"""),"GV")</f>
        <v>GV</v>
      </c>
      <c r="M520" s="43" t="str">
        <f>IFERROR(__xludf.DUMMYFUNCTION("""COMPUTED_VALUE"""),"short")</f>
        <v>short</v>
      </c>
      <c r="N520" s="45">
        <f>IFERROR(__xludf.DUMMYFUNCTION("""COMPUTED_VALUE"""),45032.0)</f>
        <v>45032</v>
      </c>
      <c r="O520" s="45">
        <f>IFERROR(__xludf.DUMMYFUNCTION("""COMPUTED_VALUE"""),45109.0)</f>
        <v>45109</v>
      </c>
      <c r="P520" s="45">
        <f>IFERROR(__xludf.DUMMYFUNCTION("""COMPUTED_VALUE"""),45151.0)</f>
        <v>45151</v>
      </c>
      <c r="Q520" s="45"/>
      <c r="R520" s="45"/>
      <c r="S520" s="43"/>
      <c r="T520" s="43"/>
      <c r="U520" s="43" t="str">
        <f>IFERROR(__xludf.DUMMYFUNCTION("""COMPUTED_VALUE"""),"Fingerprint")</f>
        <v>Fingerprint</v>
      </c>
      <c r="V520" s="43" t="str">
        <f>IFERROR(__xludf.DUMMYFUNCTION("""COMPUTED_VALUE"""),"-")</f>
        <v>-</v>
      </c>
      <c r="W520" s="43" t="str">
        <f>IFERROR(__xludf.DUMMYFUNCTION("""COMPUTED_VALUE"""),"2023-04-10T16:00:39Z")</f>
        <v>2023-04-10T16:00:39Z</v>
      </c>
      <c r="X520" s="43"/>
      <c r="Y520" s="43"/>
      <c r="Z520" s="43"/>
    </row>
    <row r="521" hidden="1">
      <c r="A521" s="43" t="str">
        <f>IFERROR(__xludf.DUMMYFUNCTION("""COMPUTED_VALUE"""),"5172439_1288609")</f>
        <v>5172439_1288609</v>
      </c>
      <c r="B521" s="43" t="str">
        <f>IFERROR(__xludf.DUMMYFUNCTION("""COMPUTED_VALUE"""),"Nurettin Baysal")</f>
        <v>Nurettin Baysal</v>
      </c>
      <c r="C521" s="43" t="str">
        <f>IFERROR(__xludf.DUMMYFUNCTION("""COMPUTED_VALUE"""),"completed")</f>
        <v>completed</v>
      </c>
      <c r="D521" s="43" t="str">
        <f>IFERROR(__xludf.DUMMYFUNCTION("""COMPUTED_VALUE"""),"No")</f>
        <v>No</v>
      </c>
      <c r="E521" s="43" t="str">
        <f>IFERROR(__xludf.DUMMYFUNCTION("""COMPUTED_VALUE"""),"p_038b66f129932066e58085f7a87b18cd28151396@inbound.aiesec.org")</f>
        <v>p_038b66f129932066e58085f7a87b18cd28151396@inbound.aiesec.org</v>
      </c>
      <c r="F521" s="43"/>
      <c r="G521" s="43" t="str">
        <f>IFERROR(__xludf.DUMMYFUNCTION("""COMPUTED_VALUE"""),"Turkey")</f>
        <v>Turkey</v>
      </c>
      <c r="H521" s="43" t="str">
        <f>IFERROR(__xludf.DUMMYFUNCTION("""COMPUTED_VALUE"""),"GAZIANTEP")</f>
        <v>GAZIANTEP</v>
      </c>
      <c r="I521" s="43" t="str">
        <f>IFERROR(__xludf.DUMMYFUNCTION("""COMPUTED_VALUE"""),"Egypt")</f>
        <v>Egypt</v>
      </c>
      <c r="J521" s="43" t="str">
        <f>IFERROR(__xludf.DUMMYFUNCTION("""COMPUTED_VALUE"""),"Tanta")</f>
        <v>Tanta</v>
      </c>
      <c r="K521" s="44" t="str">
        <f>IFERROR(__xludf.DUMMYFUNCTION("""COMPUTED_VALUE"""),"https://expa.aiesec.org/opportunities/1288609")</f>
        <v>https://expa.aiesec.org/opportunities/1288609</v>
      </c>
      <c r="L521" s="43" t="str">
        <f>IFERROR(__xludf.DUMMYFUNCTION("""COMPUTED_VALUE"""),"GV")</f>
        <v>GV</v>
      </c>
      <c r="M521" s="43" t="str">
        <f>IFERROR(__xludf.DUMMYFUNCTION("""COMPUTED_VALUE"""),"short")</f>
        <v>short</v>
      </c>
      <c r="N521" s="45">
        <f>IFERROR(__xludf.DUMMYFUNCTION("""COMPUTED_VALUE"""),45033.0)</f>
        <v>45033</v>
      </c>
      <c r="O521" s="45">
        <f>IFERROR(__xludf.DUMMYFUNCTION("""COMPUTED_VALUE"""),45139.0)</f>
        <v>45139</v>
      </c>
      <c r="P521" s="45">
        <f>IFERROR(__xludf.DUMMYFUNCTION("""COMPUTED_VALUE"""),45181.0)</f>
        <v>45181</v>
      </c>
      <c r="Q521" s="45">
        <f>IFERROR(__xludf.DUMMYFUNCTION("""COMPUTED_VALUE"""),45140.0)</f>
        <v>45140</v>
      </c>
      <c r="R521" s="45">
        <f>IFERROR(__xludf.DUMMYFUNCTION("""COMPUTED_VALUE"""),45181.0)</f>
        <v>45181</v>
      </c>
      <c r="S521" s="43"/>
      <c r="T521" s="43"/>
      <c r="U521" s="43" t="str">
        <f>IFERROR(__xludf.DUMMYFUNCTION("""COMPUTED_VALUE"""),"On The Map")</f>
        <v>On The Map</v>
      </c>
      <c r="V521" s="43" t="str">
        <f>IFERROR(__xludf.DUMMYFUNCTION("""COMPUTED_VALUE"""),"GAZIANTEP")</f>
        <v>GAZIANTEP</v>
      </c>
      <c r="W521" s="43" t="str">
        <f>IFERROR(__xludf.DUMMYFUNCTION("""COMPUTED_VALUE"""),"2023-01-02T14:59:36Z")</f>
        <v>2023-01-02T14:59:36Z</v>
      </c>
      <c r="X521" s="43"/>
      <c r="Y521" s="43"/>
      <c r="Z521" s="43"/>
    </row>
    <row r="522" hidden="1">
      <c r="A522" s="43" t="str">
        <f>IFERROR(__xludf.DUMMYFUNCTION("""COMPUTED_VALUE"""),"5241181_1292188")</f>
        <v>5241181_1292188</v>
      </c>
      <c r="B522" s="43" t="str">
        <f>IFERROR(__xludf.DUMMYFUNCTION("""COMPUTED_VALUE"""),"Duygu Yıldız")</f>
        <v>Duygu Yıldız</v>
      </c>
      <c r="C522" s="43" t="str">
        <f>IFERROR(__xludf.DUMMYFUNCTION("""COMPUTED_VALUE"""),"completed")</f>
        <v>completed</v>
      </c>
      <c r="D522" s="43" t="str">
        <f>IFERROR(__xludf.DUMMYFUNCTION("""COMPUTED_VALUE"""),"No")</f>
        <v>No</v>
      </c>
      <c r="E522" s="43" t="str">
        <f>IFERROR(__xludf.DUMMYFUNCTION("""COMPUTED_VALUE"""),"p_95daaf301b218823bdb4f4418528c64fcf2b3956@inbound.aiesec.org")</f>
        <v>p_95daaf301b218823bdb4f4418528c64fcf2b3956@inbound.aiesec.org</v>
      </c>
      <c r="F522" s="43">
        <f>IFERROR(__xludf.DUMMYFUNCTION("""COMPUTED_VALUE"""),5.35333203E9)</f>
        <v>5353332030</v>
      </c>
      <c r="G522" s="43" t="str">
        <f>IFERROR(__xludf.DUMMYFUNCTION("""COMPUTED_VALUE"""),"Turkey")</f>
        <v>Turkey</v>
      </c>
      <c r="H522" s="43" t="str">
        <f>IFERROR(__xludf.DUMMYFUNCTION("""COMPUTED_VALUE"""),"ISTANBUL ASIA")</f>
        <v>ISTANBUL ASIA</v>
      </c>
      <c r="I522" s="43" t="str">
        <f>IFERROR(__xludf.DUMMYFUNCTION("""COMPUTED_VALUE"""),"Egypt")</f>
        <v>Egypt</v>
      </c>
      <c r="J522" s="43" t="str">
        <f>IFERROR(__xludf.DUMMYFUNCTION("""COMPUTED_VALUE"""),"Helwan")</f>
        <v>Helwan</v>
      </c>
      <c r="K522" s="44" t="str">
        <f>IFERROR(__xludf.DUMMYFUNCTION("""COMPUTED_VALUE"""),"https://expa.aiesec.org/opportunities/1292188")</f>
        <v>https://expa.aiesec.org/opportunities/1292188</v>
      </c>
      <c r="L522" s="43" t="str">
        <f>IFERROR(__xludf.DUMMYFUNCTION("""COMPUTED_VALUE"""),"GV")</f>
        <v>GV</v>
      </c>
      <c r="M522" s="43" t="str">
        <f>IFERROR(__xludf.DUMMYFUNCTION("""COMPUTED_VALUE"""),"short")</f>
        <v>short</v>
      </c>
      <c r="N522" s="45">
        <f>IFERROR(__xludf.DUMMYFUNCTION("""COMPUTED_VALUE"""),45033.0)</f>
        <v>45033</v>
      </c>
      <c r="O522" s="45">
        <f>IFERROR(__xludf.DUMMYFUNCTION("""COMPUTED_VALUE"""),45108.0)</f>
        <v>45108</v>
      </c>
      <c r="P522" s="45">
        <f>IFERROR(__xludf.DUMMYFUNCTION("""COMPUTED_VALUE"""),45150.0)</f>
        <v>45150</v>
      </c>
      <c r="Q522" s="45">
        <f>IFERROR(__xludf.DUMMYFUNCTION("""COMPUTED_VALUE"""),45107.0)</f>
        <v>45107</v>
      </c>
      <c r="R522" s="45">
        <f>IFERROR(__xludf.DUMMYFUNCTION("""COMPUTED_VALUE"""),45150.0)</f>
        <v>45150</v>
      </c>
      <c r="S522" s="43"/>
      <c r="T522" s="43"/>
      <c r="U522" s="43" t="str">
        <f>IFERROR(__xludf.DUMMYFUNCTION("""COMPUTED_VALUE"""),"On The Map")</f>
        <v>On The Map</v>
      </c>
      <c r="V522" s="43" t="str">
        <f>IFERROR(__xludf.DUMMYFUNCTION("""COMPUTED_VALUE"""),"ISTANBUL ASIA")</f>
        <v>ISTANBUL ASIA</v>
      </c>
      <c r="W522" s="43" t="str">
        <f>IFERROR(__xludf.DUMMYFUNCTION("""COMPUTED_VALUE"""),"2023-04-13T13:21:48Z")</f>
        <v>2023-04-13T13:21:48Z</v>
      </c>
      <c r="X522" s="43"/>
      <c r="Y522" s="43"/>
      <c r="Z522" s="43"/>
    </row>
    <row r="523" hidden="1">
      <c r="A523" s="43" t="str">
        <f>IFERROR(__xludf.DUMMYFUNCTION("""COMPUTED_VALUE"""),"5241962_1293683")</f>
        <v>5241962_1293683</v>
      </c>
      <c r="B523" s="43" t="str">
        <f>IFERROR(__xludf.DUMMYFUNCTION("""COMPUTED_VALUE"""),"Mizgin Beyza Karadağ")</f>
        <v>Mizgin Beyza Karadağ</v>
      </c>
      <c r="C523" s="43" t="str">
        <f>IFERROR(__xludf.DUMMYFUNCTION("""COMPUTED_VALUE"""),"approved")</f>
        <v>approved</v>
      </c>
      <c r="D523" s="43" t="str">
        <f>IFERROR(__xludf.DUMMYFUNCTION("""COMPUTED_VALUE"""),"No")</f>
        <v>No</v>
      </c>
      <c r="E523" s="43" t="str">
        <f>IFERROR(__xludf.DUMMYFUNCTION("""COMPUTED_VALUE"""),"p_4e1fa8fabc27a969acab432af23a2ee4cc7948d4@inbound.aiesec.org")</f>
        <v>p_4e1fa8fabc27a969acab432af23a2ee4cc7948d4@inbound.aiesec.org</v>
      </c>
      <c r="F523" s="43">
        <f>IFERROR(__xludf.DUMMYFUNCTION("""COMPUTED_VALUE"""),5.413964891E9)</f>
        <v>5413964891</v>
      </c>
      <c r="G523" s="43" t="str">
        <f>IFERROR(__xludf.DUMMYFUNCTION("""COMPUTED_VALUE"""),"Turkey")</f>
        <v>Turkey</v>
      </c>
      <c r="H523" s="43" t="str">
        <f>IFERROR(__xludf.DUMMYFUNCTION("""COMPUTED_VALUE"""),"ISTANBUL ASIA")</f>
        <v>ISTANBUL ASIA</v>
      </c>
      <c r="I523" s="43" t="str">
        <f>IFERROR(__xludf.DUMMYFUNCTION("""COMPUTED_VALUE"""),"Sri Lanka")</f>
        <v>Sri Lanka</v>
      </c>
      <c r="J523" s="43" t="str">
        <f>IFERROR(__xludf.DUMMYFUNCTION("""COMPUTED_VALUE"""),"Ruhuna")</f>
        <v>Ruhuna</v>
      </c>
      <c r="K523" s="44" t="str">
        <f>IFERROR(__xludf.DUMMYFUNCTION("""COMPUTED_VALUE"""),"https://expa.aiesec.org/opportunities/1293683")</f>
        <v>https://expa.aiesec.org/opportunities/1293683</v>
      </c>
      <c r="L523" s="43" t="str">
        <f>IFERROR(__xludf.DUMMYFUNCTION("""COMPUTED_VALUE"""),"GV")</f>
        <v>GV</v>
      </c>
      <c r="M523" s="43" t="str">
        <f>IFERROR(__xludf.DUMMYFUNCTION("""COMPUTED_VALUE"""),"short")</f>
        <v>short</v>
      </c>
      <c r="N523" s="45">
        <f>IFERROR(__xludf.DUMMYFUNCTION("""COMPUTED_VALUE"""),45033.0)</f>
        <v>45033</v>
      </c>
      <c r="O523" s="45">
        <f>IFERROR(__xludf.DUMMYFUNCTION("""COMPUTED_VALUE"""),45150.0)</f>
        <v>45150</v>
      </c>
      <c r="P523" s="45">
        <f>IFERROR(__xludf.DUMMYFUNCTION("""COMPUTED_VALUE"""),45192.0)</f>
        <v>45192</v>
      </c>
      <c r="Q523" s="45"/>
      <c r="R523" s="45"/>
      <c r="S523" s="43"/>
      <c r="T523" s="43"/>
      <c r="U523" s="43" t="str">
        <f>IFERROR(__xludf.DUMMYFUNCTION("""COMPUTED_VALUE"""),"Aquatica")</f>
        <v>Aquatica</v>
      </c>
      <c r="V523" s="43" t="str">
        <f>IFERROR(__xludf.DUMMYFUNCTION("""COMPUTED_VALUE"""),"ISTANBUL ASIA")</f>
        <v>ISTANBUL ASIA</v>
      </c>
      <c r="W523" s="43" t="str">
        <f>IFERROR(__xludf.DUMMYFUNCTION("""COMPUTED_VALUE"""),"2023-04-14T12:00:25Z")</f>
        <v>2023-04-14T12:00:25Z</v>
      </c>
      <c r="X523" s="43"/>
      <c r="Y523" s="43"/>
      <c r="Z523" s="43"/>
    </row>
    <row r="524" hidden="1">
      <c r="A524" s="43" t="str">
        <f>IFERROR(__xludf.DUMMYFUNCTION("""COMPUTED_VALUE"""),"5241436_1294193")</f>
        <v>5241436_1294193</v>
      </c>
      <c r="B524" s="43" t="str">
        <f>IFERROR(__xludf.DUMMYFUNCTION("""COMPUTED_VALUE"""),"Sıla Yeleser")</f>
        <v>Sıla Yeleser</v>
      </c>
      <c r="C524" s="43" t="str">
        <f>IFERROR(__xludf.DUMMYFUNCTION("""COMPUTED_VALUE"""),"completed")</f>
        <v>completed</v>
      </c>
      <c r="D524" s="43" t="str">
        <f>IFERROR(__xludf.DUMMYFUNCTION("""COMPUTED_VALUE"""),"No")</f>
        <v>No</v>
      </c>
      <c r="E524" s="43" t="str">
        <f>IFERROR(__xludf.DUMMYFUNCTION("""COMPUTED_VALUE"""),"p_ee203eecb3f3deb988e80195188b4bb79f232597@inbound.aiesec.org")</f>
        <v>p_ee203eecb3f3deb988e80195188b4bb79f232597@inbound.aiesec.org</v>
      </c>
      <c r="F524" s="43">
        <f>IFERROR(__xludf.DUMMYFUNCTION("""COMPUTED_VALUE"""),5.319877052E9)</f>
        <v>5319877052</v>
      </c>
      <c r="G524" s="43" t="str">
        <f>IFERROR(__xludf.DUMMYFUNCTION("""COMPUTED_VALUE"""),"Turkey")</f>
        <v>Turkey</v>
      </c>
      <c r="H524" s="43" t="str">
        <f>IFERROR(__xludf.DUMMYFUNCTION("""COMPUTED_VALUE"""),"KOCAELI")</f>
        <v>KOCAELI</v>
      </c>
      <c r="I524" s="43" t="str">
        <f>IFERROR(__xludf.DUMMYFUNCTION("""COMPUTED_VALUE"""),"Serbia")</f>
        <v>Serbia</v>
      </c>
      <c r="J524" s="43" t="str">
        <f>IFERROR(__xludf.DUMMYFUNCTION("""COMPUTED_VALUE"""),"KRAGUJEVAC")</f>
        <v>KRAGUJEVAC</v>
      </c>
      <c r="K524" s="44" t="str">
        <f>IFERROR(__xludf.DUMMYFUNCTION("""COMPUTED_VALUE"""),"https://expa.aiesec.org/opportunities/1294193")</f>
        <v>https://expa.aiesec.org/opportunities/1294193</v>
      </c>
      <c r="L524" s="43" t="str">
        <f>IFERROR(__xludf.DUMMYFUNCTION("""COMPUTED_VALUE"""),"GV")</f>
        <v>GV</v>
      </c>
      <c r="M524" s="43" t="str">
        <f>IFERROR(__xludf.DUMMYFUNCTION("""COMPUTED_VALUE"""),"short")</f>
        <v>short</v>
      </c>
      <c r="N524" s="45">
        <f>IFERROR(__xludf.DUMMYFUNCTION("""COMPUTED_VALUE"""),45033.0)</f>
        <v>45033</v>
      </c>
      <c r="O524" s="45">
        <f>IFERROR(__xludf.DUMMYFUNCTION("""COMPUTED_VALUE"""),45089.0)</f>
        <v>45089</v>
      </c>
      <c r="P524" s="45">
        <f>IFERROR(__xludf.DUMMYFUNCTION("""COMPUTED_VALUE"""),45131.0)</f>
        <v>45131</v>
      </c>
      <c r="Q524" s="45">
        <f>IFERROR(__xludf.DUMMYFUNCTION("""COMPUTED_VALUE"""),45089.0)</f>
        <v>45089</v>
      </c>
      <c r="R524" s="45">
        <f>IFERROR(__xludf.DUMMYFUNCTION("""COMPUTED_VALUE"""),45131.0)</f>
        <v>45131</v>
      </c>
      <c r="S524" s="43"/>
      <c r="T524" s="43"/>
      <c r="U524" s="43" t="str">
        <f>IFERROR(__xludf.DUMMYFUNCTION("""COMPUTED_VALUE"""),"Youth 4 Impact")</f>
        <v>Youth 4 Impact</v>
      </c>
      <c r="V524" s="43" t="str">
        <f>IFERROR(__xludf.DUMMYFUNCTION("""COMPUTED_VALUE"""),"BURSA")</f>
        <v>BURSA</v>
      </c>
      <c r="W524" s="43" t="str">
        <f>IFERROR(__xludf.DUMMYFUNCTION("""COMPUTED_VALUE"""),"2023-04-13T17:47:47Z")</f>
        <v>2023-04-13T17:47:47Z</v>
      </c>
      <c r="X524" s="43"/>
      <c r="Y524" s="43"/>
      <c r="Z524" s="43"/>
    </row>
    <row r="525" hidden="1">
      <c r="A525" s="43" t="str">
        <f>IFERROR(__xludf.DUMMYFUNCTION("""COMPUTED_VALUE"""),"5241015_1290282")</f>
        <v>5241015_1290282</v>
      </c>
      <c r="B525" s="43" t="str">
        <f>IFERROR(__xludf.DUMMYFUNCTION("""COMPUTED_VALUE"""),"Azad Seki")</f>
        <v>Azad Seki</v>
      </c>
      <c r="C525" s="43" t="str">
        <f>IFERROR(__xludf.DUMMYFUNCTION("""COMPUTED_VALUE"""),"completed")</f>
        <v>completed</v>
      </c>
      <c r="D525" s="43" t="str">
        <f>IFERROR(__xludf.DUMMYFUNCTION("""COMPUTED_VALUE"""),"No")</f>
        <v>No</v>
      </c>
      <c r="E525" s="43" t="str">
        <f>IFERROR(__xludf.DUMMYFUNCTION("""COMPUTED_VALUE"""),"p_b3d200684e197d08ae0b5a66c3252e46b00ebc33@inbound.aiesec.org")</f>
        <v>p_b3d200684e197d08ae0b5a66c3252e46b00ebc33@inbound.aiesec.org</v>
      </c>
      <c r="F525" s="43">
        <f>IFERROR(__xludf.DUMMYFUNCTION("""COMPUTED_VALUE"""),5.422506605E9)</f>
        <v>5422506605</v>
      </c>
      <c r="G525" s="43" t="str">
        <f>IFERROR(__xludf.DUMMYFUNCTION("""COMPUTED_VALUE"""),"Turkey")</f>
        <v>Turkey</v>
      </c>
      <c r="H525" s="43" t="str">
        <f>IFERROR(__xludf.DUMMYFUNCTION("""COMPUTED_VALUE"""),"ISTANBUL")</f>
        <v>ISTANBUL</v>
      </c>
      <c r="I525" s="43" t="str">
        <f>IFERROR(__xludf.DUMMYFUNCTION("""COMPUTED_VALUE"""),"Egypt")</f>
        <v>Egypt</v>
      </c>
      <c r="J525" s="43" t="str">
        <f>IFERROR(__xludf.DUMMYFUNCTION("""COMPUTED_VALUE"""),"GUC")</f>
        <v>GUC</v>
      </c>
      <c r="K525" s="44" t="str">
        <f>IFERROR(__xludf.DUMMYFUNCTION("""COMPUTED_VALUE"""),"https://expa.aiesec.org/opportunities/1290282")</f>
        <v>https://expa.aiesec.org/opportunities/1290282</v>
      </c>
      <c r="L525" s="43" t="str">
        <f>IFERROR(__xludf.DUMMYFUNCTION("""COMPUTED_VALUE"""),"GV")</f>
        <v>GV</v>
      </c>
      <c r="M525" s="43" t="str">
        <f>IFERROR(__xludf.DUMMYFUNCTION("""COMPUTED_VALUE"""),"short")</f>
        <v>short</v>
      </c>
      <c r="N525" s="45">
        <f>IFERROR(__xludf.DUMMYFUNCTION("""COMPUTED_VALUE"""),45033.0)</f>
        <v>45033</v>
      </c>
      <c r="O525" s="45">
        <f>IFERROR(__xludf.DUMMYFUNCTION("""COMPUTED_VALUE"""),45122.0)</f>
        <v>45122</v>
      </c>
      <c r="P525" s="45">
        <f>IFERROR(__xludf.DUMMYFUNCTION("""COMPUTED_VALUE"""),45164.0)</f>
        <v>45164</v>
      </c>
      <c r="Q525" s="45">
        <f>IFERROR(__xludf.DUMMYFUNCTION("""COMPUTED_VALUE"""),45123.0)</f>
        <v>45123</v>
      </c>
      <c r="R525" s="45">
        <f>IFERROR(__xludf.DUMMYFUNCTION("""COMPUTED_VALUE"""),45164.0)</f>
        <v>45164</v>
      </c>
      <c r="S525" s="43"/>
      <c r="T525" s="43"/>
      <c r="U525" s="43" t="str">
        <f>IFERROR(__xludf.DUMMYFUNCTION("""COMPUTED_VALUE"""),"On The Map")</f>
        <v>On The Map</v>
      </c>
      <c r="V525" s="43" t="str">
        <f>IFERROR(__xludf.DUMMYFUNCTION("""COMPUTED_VALUE"""),"ISTANBUL - BEYOGLU")</f>
        <v>ISTANBUL - BEYOGLU</v>
      </c>
      <c r="W525" s="43" t="str">
        <f>IFERROR(__xludf.DUMMYFUNCTION("""COMPUTED_VALUE"""),"2023-04-13T10:17:35Z")</f>
        <v>2023-04-13T10:17:35Z</v>
      </c>
      <c r="X525" s="43"/>
      <c r="Y525" s="43"/>
      <c r="Z525" s="43"/>
    </row>
    <row r="526" hidden="1">
      <c r="A526" s="43" t="str">
        <f>IFERROR(__xludf.DUMMYFUNCTION("""COMPUTED_VALUE"""),"5234286_1293005")</f>
        <v>5234286_1293005</v>
      </c>
      <c r="B526" s="43" t="str">
        <f>IFERROR(__xludf.DUMMYFUNCTION("""COMPUTED_VALUE"""),"Ece Atalay")</f>
        <v>Ece Atalay</v>
      </c>
      <c r="C526" s="43" t="str">
        <f>IFERROR(__xludf.DUMMYFUNCTION("""COMPUTED_VALUE"""),"approved")</f>
        <v>approved</v>
      </c>
      <c r="D526" s="43" t="str">
        <f>IFERROR(__xludf.DUMMYFUNCTION("""COMPUTED_VALUE"""),"No")</f>
        <v>No</v>
      </c>
      <c r="E526" s="43" t="str">
        <f>IFERROR(__xludf.DUMMYFUNCTION("""COMPUTED_VALUE"""),"p_4bb683df574e38fdb734b962646c3876cf32d1a7@inbound.aiesec.org")</f>
        <v>p_4bb683df574e38fdb734b962646c3876cf32d1a7@inbound.aiesec.org</v>
      </c>
      <c r="F526" s="43">
        <f>IFERROR(__xludf.DUMMYFUNCTION("""COMPUTED_VALUE"""),5.419400569E9)</f>
        <v>5419400569</v>
      </c>
      <c r="G526" s="43" t="str">
        <f>IFERROR(__xludf.DUMMYFUNCTION("""COMPUTED_VALUE"""),"Turkey")</f>
        <v>Turkey</v>
      </c>
      <c r="H526" s="43" t="str">
        <f>IFERROR(__xludf.DUMMYFUNCTION("""COMPUTED_VALUE"""),"ISTANBUL ASIA")</f>
        <v>ISTANBUL ASIA</v>
      </c>
      <c r="I526" s="43" t="str">
        <f>IFERROR(__xludf.DUMMYFUNCTION("""COMPUTED_VALUE"""),"Mainland of China")</f>
        <v>Mainland of China</v>
      </c>
      <c r="J526" s="43" t="str">
        <f>IFERROR(__xludf.DUMMYFUNCTION("""COMPUTED_VALUE"""),"Guangzhou")</f>
        <v>Guangzhou</v>
      </c>
      <c r="K526" s="44" t="str">
        <f>IFERROR(__xludf.DUMMYFUNCTION("""COMPUTED_VALUE"""),"https://expa.aiesec.org/opportunities/1293005")</f>
        <v>https://expa.aiesec.org/opportunities/1293005</v>
      </c>
      <c r="L526" s="43" t="str">
        <f>IFERROR(__xludf.DUMMYFUNCTION("""COMPUTED_VALUE"""),"GV")</f>
        <v>GV</v>
      </c>
      <c r="M526" s="43" t="str">
        <f>IFERROR(__xludf.DUMMYFUNCTION("""COMPUTED_VALUE"""),"short")</f>
        <v>short</v>
      </c>
      <c r="N526" s="45">
        <f>IFERROR(__xludf.DUMMYFUNCTION("""COMPUTED_VALUE"""),45033.0)</f>
        <v>45033</v>
      </c>
      <c r="O526" s="45">
        <f>IFERROR(__xludf.DUMMYFUNCTION("""COMPUTED_VALUE"""),45117.0)</f>
        <v>45117</v>
      </c>
      <c r="P526" s="45">
        <f>IFERROR(__xludf.DUMMYFUNCTION("""COMPUTED_VALUE"""),45159.0)</f>
        <v>45159</v>
      </c>
      <c r="Q526" s="45"/>
      <c r="R526" s="45"/>
      <c r="S526" s="43"/>
      <c r="T526" s="43"/>
      <c r="U526" s="43" t="str">
        <f>IFERROR(__xludf.DUMMYFUNCTION("""COMPUTED_VALUE"""),"On The Map")</f>
        <v>On The Map</v>
      </c>
      <c r="V526" s="43" t="str">
        <f>IFERROR(__xludf.DUMMYFUNCTION("""COMPUTED_VALUE"""),"ISTANBUL ASIA")</f>
        <v>ISTANBUL ASIA</v>
      </c>
      <c r="W526" s="43" t="str">
        <f>IFERROR(__xludf.DUMMYFUNCTION("""COMPUTED_VALUE"""),"2023-04-03T20:06:37Z")</f>
        <v>2023-04-03T20:06:37Z</v>
      </c>
      <c r="X526" s="43"/>
      <c r="Y526" s="43"/>
      <c r="Z526" s="43"/>
    </row>
    <row r="527" hidden="1">
      <c r="A527" s="43" t="str">
        <f>IFERROR(__xludf.DUMMYFUNCTION("""COMPUTED_VALUE"""),"5238132_1293699")</f>
        <v>5238132_1293699</v>
      </c>
      <c r="B527" s="43" t="str">
        <f>IFERROR(__xludf.DUMMYFUNCTION("""COMPUTED_VALUE"""),"Furkan Sarı")</f>
        <v>Furkan Sarı</v>
      </c>
      <c r="C527" s="43" t="str">
        <f>IFERROR(__xludf.DUMMYFUNCTION("""COMPUTED_VALUE"""),"completed")</f>
        <v>completed</v>
      </c>
      <c r="D527" s="43" t="str">
        <f>IFERROR(__xludf.DUMMYFUNCTION("""COMPUTED_VALUE"""),"No")</f>
        <v>No</v>
      </c>
      <c r="E527" s="43" t="str">
        <f>IFERROR(__xludf.DUMMYFUNCTION("""COMPUTED_VALUE"""),"p_4555ecf792e13b30898f7f3e8faa2519b4e48174@inbound.aiesec.org")</f>
        <v>p_4555ecf792e13b30898f7f3e8faa2519b4e48174@inbound.aiesec.org</v>
      </c>
      <c r="F527" s="43">
        <f>IFERROR(__xludf.DUMMYFUNCTION("""COMPUTED_VALUE"""),5.533320177E9)</f>
        <v>5533320177</v>
      </c>
      <c r="G527" s="43" t="str">
        <f>IFERROR(__xludf.DUMMYFUNCTION("""COMPUTED_VALUE"""),"Turkey")</f>
        <v>Turkey</v>
      </c>
      <c r="H527" s="43" t="str">
        <f>IFERROR(__xludf.DUMMYFUNCTION("""COMPUTED_VALUE"""),"ISTANBUL")</f>
        <v>ISTANBUL</v>
      </c>
      <c r="I527" s="43" t="str">
        <f>IFERROR(__xludf.DUMMYFUNCTION("""COMPUTED_VALUE"""),"Bosnia and Herzegovina")</f>
        <v>Bosnia and Herzegovina</v>
      </c>
      <c r="J527" s="43" t="str">
        <f>IFERROR(__xludf.DUMMYFUNCTION("""COMPUTED_VALUE"""),"SARAJEVO")</f>
        <v>SARAJEVO</v>
      </c>
      <c r="K527" s="44" t="str">
        <f>IFERROR(__xludf.DUMMYFUNCTION("""COMPUTED_VALUE"""),"https://expa.aiesec.org/opportunities/1293699")</f>
        <v>https://expa.aiesec.org/opportunities/1293699</v>
      </c>
      <c r="L527" s="43" t="str">
        <f>IFERROR(__xludf.DUMMYFUNCTION("""COMPUTED_VALUE"""),"GV")</f>
        <v>GV</v>
      </c>
      <c r="M527" s="43" t="str">
        <f>IFERROR(__xludf.DUMMYFUNCTION("""COMPUTED_VALUE"""),"short")</f>
        <v>short</v>
      </c>
      <c r="N527" s="45">
        <f>IFERROR(__xludf.DUMMYFUNCTION("""COMPUTED_VALUE"""),45033.0)</f>
        <v>45033</v>
      </c>
      <c r="O527" s="45">
        <f>IFERROR(__xludf.DUMMYFUNCTION("""COMPUTED_VALUE"""),45128.0)</f>
        <v>45128</v>
      </c>
      <c r="P527" s="45">
        <f>IFERROR(__xludf.DUMMYFUNCTION("""COMPUTED_VALUE"""),45170.0)</f>
        <v>45170</v>
      </c>
      <c r="Q527" s="45">
        <f>IFERROR(__xludf.DUMMYFUNCTION("""COMPUTED_VALUE"""),45128.0)</f>
        <v>45128</v>
      </c>
      <c r="R527" s="45">
        <f>IFERROR(__xludf.DUMMYFUNCTION("""COMPUTED_VALUE"""),45170.0)</f>
        <v>45170</v>
      </c>
      <c r="S527" s="43"/>
      <c r="T527" s="43"/>
      <c r="U527" s="43" t="str">
        <f>IFERROR(__xludf.DUMMYFUNCTION("""COMPUTED_VALUE"""),"Explorer")</f>
        <v>Explorer</v>
      </c>
      <c r="V527" s="43" t="str">
        <f>IFERROR(__xludf.DUMMYFUNCTION("""COMPUTED_VALUE"""),"ISTANBUL - BEYOGLU")</f>
        <v>ISTANBUL - BEYOGLU</v>
      </c>
      <c r="W527" s="43" t="str">
        <f>IFERROR(__xludf.DUMMYFUNCTION("""COMPUTED_VALUE"""),"2023-04-09T13:24:33Z")</f>
        <v>2023-04-09T13:24:33Z</v>
      </c>
      <c r="X527" s="43"/>
      <c r="Y527" s="43"/>
      <c r="Z527" s="43"/>
    </row>
    <row r="528" hidden="1">
      <c r="A528" s="43" t="str">
        <f>IFERROR(__xludf.DUMMYFUNCTION("""COMPUTED_VALUE"""),"5243394_1293200")</f>
        <v>5243394_1293200</v>
      </c>
      <c r="B528" s="43" t="str">
        <f>IFERROR(__xludf.DUMMYFUNCTION("""COMPUTED_VALUE"""),"Yusuf Emir Altınkaynak")</f>
        <v>Yusuf Emir Altınkaynak</v>
      </c>
      <c r="C528" s="43" t="str">
        <f>IFERROR(__xludf.DUMMYFUNCTION("""COMPUTED_VALUE"""),"completed")</f>
        <v>completed</v>
      </c>
      <c r="D528" s="43" t="str">
        <f>IFERROR(__xludf.DUMMYFUNCTION("""COMPUTED_VALUE"""),"No")</f>
        <v>No</v>
      </c>
      <c r="E528" s="43" t="str">
        <f>IFERROR(__xludf.DUMMYFUNCTION("""COMPUTED_VALUE"""),"p_0c6ce8755a41a54f92292af0c9ff9f73ef66d146@inbound.aiesec.org")</f>
        <v>p_0c6ce8755a41a54f92292af0c9ff9f73ef66d146@inbound.aiesec.org</v>
      </c>
      <c r="F528" s="43"/>
      <c r="G528" s="43" t="str">
        <f>IFERROR(__xludf.DUMMYFUNCTION("""COMPUTED_VALUE"""),"Turkey")</f>
        <v>Turkey</v>
      </c>
      <c r="H528" s="43" t="str">
        <f>IFERROR(__xludf.DUMMYFUNCTION("""COMPUTED_VALUE"""),"ISTANBUL")</f>
        <v>ISTANBUL</v>
      </c>
      <c r="I528" s="43" t="str">
        <f>IFERROR(__xludf.DUMMYFUNCTION("""COMPUTED_VALUE"""),"Tunisia")</f>
        <v>Tunisia</v>
      </c>
      <c r="J528" s="43" t="str">
        <f>IFERROR(__xludf.DUMMYFUNCTION("""COMPUTED_VALUE"""),"RUSPINA")</f>
        <v>RUSPINA</v>
      </c>
      <c r="K528" s="44" t="str">
        <f>IFERROR(__xludf.DUMMYFUNCTION("""COMPUTED_VALUE"""),"https://expa.aiesec.org/opportunities/1293200")</f>
        <v>https://expa.aiesec.org/opportunities/1293200</v>
      </c>
      <c r="L528" s="43" t="str">
        <f>IFERROR(__xludf.DUMMYFUNCTION("""COMPUTED_VALUE"""),"GV")</f>
        <v>GV</v>
      </c>
      <c r="M528" s="43" t="str">
        <f>IFERROR(__xludf.DUMMYFUNCTION("""COMPUTED_VALUE"""),"short")</f>
        <v>short</v>
      </c>
      <c r="N528" s="45">
        <f>IFERROR(__xludf.DUMMYFUNCTION("""COMPUTED_VALUE"""),45034.0)</f>
        <v>45034</v>
      </c>
      <c r="O528" s="45">
        <f>IFERROR(__xludf.DUMMYFUNCTION("""COMPUTED_VALUE"""),45139.0)</f>
        <v>45139</v>
      </c>
      <c r="P528" s="45">
        <f>IFERROR(__xludf.DUMMYFUNCTION("""COMPUTED_VALUE"""),45184.0)</f>
        <v>45184</v>
      </c>
      <c r="Q528" s="45">
        <f>IFERROR(__xludf.DUMMYFUNCTION("""COMPUTED_VALUE"""),45138.0)</f>
        <v>45138</v>
      </c>
      <c r="R528" s="45">
        <f>IFERROR(__xludf.DUMMYFUNCTION("""COMPUTED_VALUE"""),45184.0)</f>
        <v>45184</v>
      </c>
      <c r="S528" s="43"/>
      <c r="T528" s="43"/>
      <c r="U528" s="43" t="str">
        <f>IFERROR(__xludf.DUMMYFUNCTION("""COMPUTED_VALUE"""),"Aquatica")</f>
        <v>Aquatica</v>
      </c>
      <c r="V528" s="43" t="str">
        <f>IFERROR(__xludf.DUMMYFUNCTION("""COMPUTED_VALUE"""),"-")</f>
        <v>-</v>
      </c>
      <c r="W528" s="43" t="str">
        <f>IFERROR(__xludf.DUMMYFUNCTION("""COMPUTED_VALUE"""),"2023-04-16T19:28:16Z")</f>
        <v>2023-04-16T19:28:16Z</v>
      </c>
      <c r="X528" s="43"/>
      <c r="Y528" s="43"/>
      <c r="Z528" s="43"/>
    </row>
    <row r="529" hidden="1">
      <c r="A529" s="43" t="str">
        <f>IFERROR(__xludf.DUMMYFUNCTION("""COMPUTED_VALUE"""),"5242126_1293944")</f>
        <v>5242126_1293944</v>
      </c>
      <c r="B529" s="43" t="str">
        <f>IFERROR(__xludf.DUMMYFUNCTION("""COMPUTED_VALUE"""),"Simge Vançin")</f>
        <v>Simge Vançin</v>
      </c>
      <c r="C529" s="43" t="str">
        <f>IFERROR(__xludf.DUMMYFUNCTION("""COMPUTED_VALUE"""),"completed")</f>
        <v>completed</v>
      </c>
      <c r="D529" s="43" t="str">
        <f>IFERROR(__xludf.DUMMYFUNCTION("""COMPUTED_VALUE"""),"No")</f>
        <v>No</v>
      </c>
      <c r="E529" s="43" t="str">
        <f>IFERROR(__xludf.DUMMYFUNCTION("""COMPUTED_VALUE"""),"p_c7604e7bc487c4685a6e65eba7aaa19e954678d1@inbound.aiesec.org")</f>
        <v>p_c7604e7bc487c4685a6e65eba7aaa19e954678d1@inbound.aiesec.org</v>
      </c>
      <c r="F529" s="43">
        <f>IFERROR(__xludf.DUMMYFUNCTION("""COMPUTED_VALUE"""),5.352726505E9)</f>
        <v>5352726505</v>
      </c>
      <c r="G529" s="43" t="str">
        <f>IFERROR(__xludf.DUMMYFUNCTION("""COMPUTED_VALUE"""),"Turkey")</f>
        <v>Turkey</v>
      </c>
      <c r="H529" s="43" t="str">
        <f>IFERROR(__xludf.DUMMYFUNCTION("""COMPUTED_VALUE"""),"ISTANBUL ASIA")</f>
        <v>ISTANBUL ASIA</v>
      </c>
      <c r="I529" s="43" t="str">
        <f>IFERROR(__xludf.DUMMYFUNCTION("""COMPUTED_VALUE"""),"Egypt")</f>
        <v>Egypt</v>
      </c>
      <c r="J529" s="43" t="str">
        <f>IFERROR(__xludf.DUMMYFUNCTION("""COMPUTED_VALUE"""),"Helwan")</f>
        <v>Helwan</v>
      </c>
      <c r="K529" s="44" t="str">
        <f>IFERROR(__xludf.DUMMYFUNCTION("""COMPUTED_VALUE"""),"https://expa.aiesec.org/opportunities/1293944")</f>
        <v>https://expa.aiesec.org/opportunities/1293944</v>
      </c>
      <c r="L529" s="43" t="str">
        <f>IFERROR(__xludf.DUMMYFUNCTION("""COMPUTED_VALUE"""),"GV")</f>
        <v>GV</v>
      </c>
      <c r="M529" s="43" t="str">
        <f>IFERROR(__xludf.DUMMYFUNCTION("""COMPUTED_VALUE"""),"short")</f>
        <v>short</v>
      </c>
      <c r="N529" s="45">
        <f>IFERROR(__xludf.DUMMYFUNCTION("""COMPUTED_VALUE"""),45034.0)</f>
        <v>45034</v>
      </c>
      <c r="O529" s="45">
        <f>IFERROR(__xludf.DUMMYFUNCTION("""COMPUTED_VALUE"""),45092.0)</f>
        <v>45092</v>
      </c>
      <c r="P529" s="45">
        <f>IFERROR(__xludf.DUMMYFUNCTION("""COMPUTED_VALUE"""),45134.0)</f>
        <v>45134</v>
      </c>
      <c r="Q529" s="45">
        <f>IFERROR(__xludf.DUMMYFUNCTION("""COMPUTED_VALUE"""),45091.0)</f>
        <v>45091</v>
      </c>
      <c r="R529" s="45">
        <f>IFERROR(__xludf.DUMMYFUNCTION("""COMPUTED_VALUE"""),45134.0)</f>
        <v>45134</v>
      </c>
      <c r="S529" s="43"/>
      <c r="T529" s="43"/>
      <c r="U529" s="43" t="str">
        <f>IFERROR(__xludf.DUMMYFUNCTION("""COMPUTED_VALUE"""),"Explorer")</f>
        <v>Explorer</v>
      </c>
      <c r="V529" s="43" t="str">
        <f>IFERROR(__xludf.DUMMYFUNCTION("""COMPUTED_VALUE"""),"ISTANBUL ASIA")</f>
        <v>ISTANBUL ASIA</v>
      </c>
      <c r="W529" s="43" t="str">
        <f>IFERROR(__xludf.DUMMYFUNCTION("""COMPUTED_VALUE"""),"2023-04-14T16:25:21Z")</f>
        <v>2023-04-14T16:25:21Z</v>
      </c>
      <c r="X529" s="43"/>
      <c r="Y529" s="43"/>
      <c r="Z529" s="43"/>
    </row>
    <row r="530" hidden="1">
      <c r="A530" s="43" t="str">
        <f>IFERROR(__xludf.DUMMYFUNCTION("""COMPUTED_VALUE"""),"5234817_1294046")</f>
        <v>5234817_1294046</v>
      </c>
      <c r="B530" s="43" t="str">
        <f>IFERROR(__xludf.DUMMYFUNCTION("""COMPUTED_VALUE"""),"Kerem Erdoğan")</f>
        <v>Kerem Erdoğan</v>
      </c>
      <c r="C530" s="43" t="str">
        <f>IFERROR(__xludf.DUMMYFUNCTION("""COMPUTED_VALUE"""),"completed")</f>
        <v>completed</v>
      </c>
      <c r="D530" s="43" t="str">
        <f>IFERROR(__xludf.DUMMYFUNCTION("""COMPUTED_VALUE"""),"No")</f>
        <v>No</v>
      </c>
      <c r="E530" s="43" t="str">
        <f>IFERROR(__xludf.DUMMYFUNCTION("""COMPUTED_VALUE"""),"p_6f93659cdd9dff89bb6ab5a927375f5707c9665c@inbound.aiesec.org")</f>
        <v>p_6f93659cdd9dff89bb6ab5a927375f5707c9665c@inbound.aiesec.org</v>
      </c>
      <c r="F530" s="43">
        <f>IFERROR(__xludf.DUMMYFUNCTION("""COMPUTED_VALUE"""),5.359227041E9)</f>
        <v>5359227041</v>
      </c>
      <c r="G530" s="43" t="str">
        <f>IFERROR(__xludf.DUMMYFUNCTION("""COMPUTED_VALUE"""),"Turkey")</f>
        <v>Turkey</v>
      </c>
      <c r="H530" s="43" t="str">
        <f>IFERROR(__xludf.DUMMYFUNCTION("""COMPUTED_VALUE"""),"ANKARA")</f>
        <v>ANKARA</v>
      </c>
      <c r="I530" s="43" t="str">
        <f>IFERROR(__xludf.DUMMYFUNCTION("""COMPUTED_VALUE"""),"Romania")</f>
        <v>Romania</v>
      </c>
      <c r="J530" s="43" t="str">
        <f>IFERROR(__xludf.DUMMYFUNCTION("""COMPUTED_VALUE"""),"BUCURESTI")</f>
        <v>BUCURESTI</v>
      </c>
      <c r="K530" s="44" t="str">
        <f>IFERROR(__xludf.DUMMYFUNCTION("""COMPUTED_VALUE"""),"https://expa.aiesec.org/opportunities/1294046")</f>
        <v>https://expa.aiesec.org/opportunities/1294046</v>
      </c>
      <c r="L530" s="43" t="str">
        <f>IFERROR(__xludf.DUMMYFUNCTION("""COMPUTED_VALUE"""),"GV")</f>
        <v>GV</v>
      </c>
      <c r="M530" s="43" t="str">
        <f>IFERROR(__xludf.DUMMYFUNCTION("""COMPUTED_VALUE"""),"short")</f>
        <v>short</v>
      </c>
      <c r="N530" s="45">
        <f>IFERROR(__xludf.DUMMYFUNCTION("""COMPUTED_VALUE"""),45034.0)</f>
        <v>45034</v>
      </c>
      <c r="O530" s="45">
        <f>IFERROR(__xludf.DUMMYFUNCTION("""COMPUTED_VALUE"""),45124.0)</f>
        <v>45124</v>
      </c>
      <c r="P530" s="45">
        <f>IFERROR(__xludf.DUMMYFUNCTION("""COMPUTED_VALUE"""),45166.0)</f>
        <v>45166</v>
      </c>
      <c r="Q530" s="45">
        <f>IFERROR(__xludf.DUMMYFUNCTION("""COMPUTED_VALUE"""),45124.0)</f>
        <v>45124</v>
      </c>
      <c r="R530" s="45">
        <f>IFERROR(__xludf.DUMMYFUNCTION("""COMPUTED_VALUE"""),45166.0)</f>
        <v>45166</v>
      </c>
      <c r="S530" s="43"/>
      <c r="T530" s="43"/>
      <c r="U530" s="43" t="str">
        <f>IFERROR(__xludf.DUMMYFUNCTION("""COMPUTED_VALUE"""),"Fingerprint")</f>
        <v>Fingerprint</v>
      </c>
      <c r="V530" s="43" t="str">
        <f>IFERROR(__xludf.DUMMYFUNCTION("""COMPUTED_VALUE"""),"ANKARA")</f>
        <v>ANKARA</v>
      </c>
      <c r="W530" s="43" t="str">
        <f>IFERROR(__xludf.DUMMYFUNCTION("""COMPUTED_VALUE"""),"2023-04-04T14:57:12Z")</f>
        <v>2023-04-04T14:57:12Z</v>
      </c>
      <c r="X530" s="43"/>
      <c r="Y530" s="43"/>
      <c r="Z530" s="43"/>
    </row>
    <row r="531" hidden="1">
      <c r="A531" s="43" t="str">
        <f>IFERROR(__xludf.DUMMYFUNCTION("""COMPUTED_VALUE"""),"5238951_1293866")</f>
        <v>5238951_1293866</v>
      </c>
      <c r="B531" s="43" t="str">
        <f>IFERROR(__xludf.DUMMYFUNCTION("""COMPUTED_VALUE"""),"Kaan Yaman")</f>
        <v>Kaan Yaman</v>
      </c>
      <c r="C531" s="43" t="str">
        <f>IFERROR(__xludf.DUMMYFUNCTION("""COMPUTED_VALUE"""),"approved")</f>
        <v>approved</v>
      </c>
      <c r="D531" s="43" t="str">
        <f>IFERROR(__xludf.DUMMYFUNCTION("""COMPUTED_VALUE"""),"No")</f>
        <v>No</v>
      </c>
      <c r="E531" s="43" t="str">
        <f>IFERROR(__xludf.DUMMYFUNCTION("""COMPUTED_VALUE"""),"p_b7af84d5e00e1c05ec30b90ee3364834c99ef9d0@inbound.aiesec.org")</f>
        <v>p_b7af84d5e00e1c05ec30b90ee3364834c99ef9d0@inbound.aiesec.org</v>
      </c>
      <c r="F531" s="43"/>
      <c r="G531" s="43" t="str">
        <f>IFERROR(__xludf.DUMMYFUNCTION("""COMPUTED_VALUE"""),"Turkey")</f>
        <v>Turkey</v>
      </c>
      <c r="H531" s="43" t="str">
        <f>IFERROR(__xludf.DUMMYFUNCTION("""COMPUTED_VALUE"""),"ISTANBUL")</f>
        <v>ISTANBUL</v>
      </c>
      <c r="I531" s="43" t="str">
        <f>IFERROR(__xludf.DUMMYFUNCTION("""COMPUTED_VALUE"""),"Italy")</f>
        <v>Italy</v>
      </c>
      <c r="J531" s="43" t="str">
        <f>IFERROR(__xludf.DUMMYFUNCTION("""COMPUTED_VALUE"""),"Napoli Federico II")</f>
        <v>Napoli Federico II</v>
      </c>
      <c r="K531" s="44" t="str">
        <f>IFERROR(__xludf.DUMMYFUNCTION("""COMPUTED_VALUE"""),"https://expa.aiesec.org/opportunities/1293866")</f>
        <v>https://expa.aiesec.org/opportunities/1293866</v>
      </c>
      <c r="L531" s="43" t="str">
        <f>IFERROR(__xludf.DUMMYFUNCTION("""COMPUTED_VALUE"""),"GV")</f>
        <v>GV</v>
      </c>
      <c r="M531" s="43" t="str">
        <f>IFERROR(__xludf.DUMMYFUNCTION("""COMPUTED_VALUE"""),"short")</f>
        <v>short</v>
      </c>
      <c r="N531" s="45">
        <f>IFERROR(__xludf.DUMMYFUNCTION("""COMPUTED_VALUE"""),45034.0)</f>
        <v>45034</v>
      </c>
      <c r="O531" s="45">
        <f>IFERROR(__xludf.DUMMYFUNCTION("""COMPUTED_VALUE"""),45159.0)</f>
        <v>45159</v>
      </c>
      <c r="P531" s="45">
        <f>IFERROR(__xludf.DUMMYFUNCTION("""COMPUTED_VALUE"""),45201.0)</f>
        <v>45201</v>
      </c>
      <c r="Q531" s="45"/>
      <c r="R531" s="45"/>
      <c r="S531" s="43"/>
      <c r="T531" s="43"/>
      <c r="U531" s="43" t="str">
        <f>IFERROR(__xludf.DUMMYFUNCTION("""COMPUTED_VALUE"""),"Youth 4 Impact")</f>
        <v>Youth 4 Impact</v>
      </c>
      <c r="V531" s="43" t="str">
        <f>IFERROR(__xludf.DUMMYFUNCTION("""COMPUTED_VALUE"""),"-")</f>
        <v>-</v>
      </c>
      <c r="W531" s="43" t="str">
        <f>IFERROR(__xludf.DUMMYFUNCTION("""COMPUTED_VALUE"""),"2023-04-10T15:11:40Z")</f>
        <v>2023-04-10T15:11:40Z</v>
      </c>
      <c r="X531" s="43"/>
      <c r="Y531" s="43"/>
      <c r="Z531" s="43"/>
    </row>
    <row r="532" hidden="1">
      <c r="A532" s="43" t="str">
        <f>IFERROR(__xludf.DUMMYFUNCTION("""COMPUTED_VALUE"""),"5241020_1290282")</f>
        <v>5241020_1290282</v>
      </c>
      <c r="B532" s="43" t="str">
        <f>IFERROR(__xludf.DUMMYFUNCTION("""COMPUTED_VALUE"""),"Ümmügülsüm Yurdagül")</f>
        <v>Ümmügülsüm Yurdagül</v>
      </c>
      <c r="C532" s="43" t="str">
        <f>IFERROR(__xludf.DUMMYFUNCTION("""COMPUTED_VALUE"""),"completed")</f>
        <v>completed</v>
      </c>
      <c r="D532" s="43" t="str">
        <f>IFERROR(__xludf.DUMMYFUNCTION("""COMPUTED_VALUE"""),"No")</f>
        <v>No</v>
      </c>
      <c r="E532" s="43" t="str">
        <f>IFERROR(__xludf.DUMMYFUNCTION("""COMPUTED_VALUE"""),"p_dad4bee28a536a697e06f7344f7ed3aabc6ba460@inbound.aiesec.org")</f>
        <v>p_dad4bee28a536a697e06f7344f7ed3aabc6ba460@inbound.aiesec.org</v>
      </c>
      <c r="F532" s="43"/>
      <c r="G532" s="43" t="str">
        <f>IFERROR(__xludf.DUMMYFUNCTION("""COMPUTED_VALUE"""),"Turkey")</f>
        <v>Turkey</v>
      </c>
      <c r="H532" s="43" t="str">
        <f>IFERROR(__xludf.DUMMYFUNCTION("""COMPUTED_VALUE"""),"EASTERN MEDITERRANEAN")</f>
        <v>EASTERN MEDITERRANEAN</v>
      </c>
      <c r="I532" s="43" t="str">
        <f>IFERROR(__xludf.DUMMYFUNCTION("""COMPUTED_VALUE"""),"Egypt")</f>
        <v>Egypt</v>
      </c>
      <c r="J532" s="43" t="str">
        <f>IFERROR(__xludf.DUMMYFUNCTION("""COMPUTED_VALUE"""),"GUC")</f>
        <v>GUC</v>
      </c>
      <c r="K532" s="44" t="str">
        <f>IFERROR(__xludf.DUMMYFUNCTION("""COMPUTED_VALUE"""),"https://expa.aiesec.org/opportunities/1290282")</f>
        <v>https://expa.aiesec.org/opportunities/1290282</v>
      </c>
      <c r="L532" s="43" t="str">
        <f>IFERROR(__xludf.DUMMYFUNCTION("""COMPUTED_VALUE"""),"GV")</f>
        <v>GV</v>
      </c>
      <c r="M532" s="43" t="str">
        <f>IFERROR(__xludf.DUMMYFUNCTION("""COMPUTED_VALUE"""),"short")</f>
        <v>short</v>
      </c>
      <c r="N532" s="45">
        <f>IFERROR(__xludf.DUMMYFUNCTION("""COMPUTED_VALUE"""),45035.0)</f>
        <v>45035</v>
      </c>
      <c r="O532" s="45">
        <f>IFERROR(__xludf.DUMMYFUNCTION("""COMPUTED_VALUE"""),45122.0)</f>
        <v>45122</v>
      </c>
      <c r="P532" s="45">
        <f>IFERROR(__xludf.DUMMYFUNCTION("""COMPUTED_VALUE"""),45164.0)</f>
        <v>45164</v>
      </c>
      <c r="Q532" s="45">
        <f>IFERROR(__xludf.DUMMYFUNCTION("""COMPUTED_VALUE"""),45122.0)</f>
        <v>45122</v>
      </c>
      <c r="R532" s="45">
        <f>IFERROR(__xludf.DUMMYFUNCTION("""COMPUTED_VALUE"""),45164.0)</f>
        <v>45164</v>
      </c>
      <c r="S532" s="43"/>
      <c r="T532" s="43"/>
      <c r="U532" s="43" t="str">
        <f>IFERROR(__xludf.DUMMYFUNCTION("""COMPUTED_VALUE"""),"On The Map")</f>
        <v>On The Map</v>
      </c>
      <c r="V532" s="43" t="str">
        <f>IFERROR(__xludf.DUMMYFUNCTION("""COMPUTED_VALUE"""),"ISTANBUL - BAKIRKOY")</f>
        <v>ISTANBUL - BAKIRKOY</v>
      </c>
      <c r="W532" s="43" t="str">
        <f>IFERROR(__xludf.DUMMYFUNCTION("""COMPUTED_VALUE"""),"2023-04-13T10:30:15Z")</f>
        <v>2023-04-13T10:30:15Z</v>
      </c>
      <c r="X532" s="43"/>
      <c r="Y532" s="43"/>
      <c r="Z532" s="43"/>
    </row>
    <row r="533" hidden="1">
      <c r="A533" s="43" t="str">
        <f>IFERROR(__xludf.DUMMYFUNCTION("""COMPUTED_VALUE"""),"5212450_1293200")</f>
        <v>5212450_1293200</v>
      </c>
      <c r="B533" s="43" t="str">
        <f>IFERROR(__xludf.DUMMYFUNCTION("""COMPUTED_VALUE"""),"Hatice Nur Güneş")</f>
        <v>Hatice Nur Güneş</v>
      </c>
      <c r="C533" s="43" t="str">
        <f>IFERROR(__xludf.DUMMYFUNCTION("""COMPUTED_VALUE"""),"completed")</f>
        <v>completed</v>
      </c>
      <c r="D533" s="43" t="str">
        <f>IFERROR(__xludf.DUMMYFUNCTION("""COMPUTED_VALUE"""),"No")</f>
        <v>No</v>
      </c>
      <c r="E533" s="43" t="str">
        <f>IFERROR(__xludf.DUMMYFUNCTION("""COMPUTED_VALUE"""),"p_ae3ae84abb19244d00794db70b1c7c0e8aa19772@inbound.aiesec.org")</f>
        <v>p_ae3ae84abb19244d00794db70b1c7c0e8aa19772@inbound.aiesec.org</v>
      </c>
      <c r="F533" s="43"/>
      <c r="G533" s="43" t="str">
        <f>IFERROR(__xludf.DUMMYFUNCTION("""COMPUTED_VALUE"""),"Turkey")</f>
        <v>Turkey</v>
      </c>
      <c r="H533" s="43" t="str">
        <f>IFERROR(__xludf.DUMMYFUNCTION("""COMPUTED_VALUE"""),"ANKARA")</f>
        <v>ANKARA</v>
      </c>
      <c r="I533" s="43" t="str">
        <f>IFERROR(__xludf.DUMMYFUNCTION("""COMPUTED_VALUE"""),"Tunisia")</f>
        <v>Tunisia</v>
      </c>
      <c r="J533" s="43" t="str">
        <f>IFERROR(__xludf.DUMMYFUNCTION("""COMPUTED_VALUE"""),"RUSPINA")</f>
        <v>RUSPINA</v>
      </c>
      <c r="K533" s="44" t="str">
        <f>IFERROR(__xludf.DUMMYFUNCTION("""COMPUTED_VALUE"""),"https://expa.aiesec.org/opportunities/1293200")</f>
        <v>https://expa.aiesec.org/opportunities/1293200</v>
      </c>
      <c r="L533" s="43" t="str">
        <f>IFERROR(__xludf.DUMMYFUNCTION("""COMPUTED_VALUE"""),"GV")</f>
        <v>GV</v>
      </c>
      <c r="M533" s="43" t="str">
        <f>IFERROR(__xludf.DUMMYFUNCTION("""COMPUTED_VALUE"""),"short")</f>
        <v>short</v>
      </c>
      <c r="N533" s="45">
        <f>IFERROR(__xludf.DUMMYFUNCTION("""COMPUTED_VALUE"""),45035.0)</f>
        <v>45035</v>
      </c>
      <c r="O533" s="45">
        <f>IFERROR(__xludf.DUMMYFUNCTION("""COMPUTED_VALUE"""),45139.0)</f>
        <v>45139</v>
      </c>
      <c r="P533" s="45">
        <f>IFERROR(__xludf.DUMMYFUNCTION("""COMPUTED_VALUE"""),45184.0)</f>
        <v>45184</v>
      </c>
      <c r="Q533" s="45">
        <f>IFERROR(__xludf.DUMMYFUNCTION("""COMPUTED_VALUE"""),45138.0)</f>
        <v>45138</v>
      </c>
      <c r="R533" s="45">
        <f>IFERROR(__xludf.DUMMYFUNCTION("""COMPUTED_VALUE"""),45184.0)</f>
        <v>45184</v>
      </c>
      <c r="S533" s="43"/>
      <c r="T533" s="43"/>
      <c r="U533" s="43" t="str">
        <f>IFERROR(__xludf.DUMMYFUNCTION("""COMPUTED_VALUE"""),"Aquatica")</f>
        <v>Aquatica</v>
      </c>
      <c r="V533" s="43" t="str">
        <f>IFERROR(__xludf.DUMMYFUNCTION("""COMPUTED_VALUE"""),"-")</f>
        <v>-</v>
      </c>
      <c r="W533" s="43" t="str">
        <f>IFERROR(__xludf.DUMMYFUNCTION("""COMPUTED_VALUE"""),"2023-03-10T18:57:07Z")</f>
        <v>2023-03-10T18:57:07Z</v>
      </c>
      <c r="X533" s="43"/>
      <c r="Y533" s="43"/>
      <c r="Z533" s="43"/>
    </row>
    <row r="534" hidden="1">
      <c r="A534" s="43" t="str">
        <f>IFERROR(__xludf.DUMMYFUNCTION("""COMPUTED_VALUE"""),"5109376_1289850")</f>
        <v>5109376_1289850</v>
      </c>
      <c r="B534" s="43" t="str">
        <f>IFERROR(__xludf.DUMMYFUNCTION("""COMPUTED_VALUE"""),"Taha Tuncay")</f>
        <v>Taha Tuncay</v>
      </c>
      <c r="C534" s="43" t="str">
        <f>IFERROR(__xludf.DUMMYFUNCTION("""COMPUTED_VALUE"""),"completed")</f>
        <v>completed</v>
      </c>
      <c r="D534" s="43" t="str">
        <f>IFERROR(__xludf.DUMMYFUNCTION("""COMPUTED_VALUE"""),"No")</f>
        <v>No</v>
      </c>
      <c r="E534" s="43" t="str">
        <f>IFERROR(__xludf.DUMMYFUNCTION("""COMPUTED_VALUE"""),"p_2b1be3451c96a7ed6025a811160be53a95d3fa05@inbound.aiesec.org")</f>
        <v>p_2b1be3451c96a7ed6025a811160be53a95d3fa05@inbound.aiesec.org</v>
      </c>
      <c r="F534" s="43">
        <f>IFERROR(__xludf.DUMMYFUNCTION("""COMPUTED_VALUE"""),5.059420842E9)</f>
        <v>5059420842</v>
      </c>
      <c r="G534" s="43" t="str">
        <f>IFERROR(__xludf.DUMMYFUNCTION("""COMPUTED_VALUE"""),"Turkey")</f>
        <v>Turkey</v>
      </c>
      <c r="H534" s="43" t="str">
        <f>IFERROR(__xludf.DUMMYFUNCTION("""COMPUTED_VALUE"""),"ANKARA")</f>
        <v>ANKARA</v>
      </c>
      <c r="I534" s="43" t="str">
        <f>IFERROR(__xludf.DUMMYFUNCTION("""COMPUTED_VALUE"""),"India")</f>
        <v>India</v>
      </c>
      <c r="J534" s="43" t="str">
        <f>IFERROR(__xludf.DUMMYFUNCTION("""COMPUTED_VALUE"""),"Mumbai")</f>
        <v>Mumbai</v>
      </c>
      <c r="K534" s="44" t="str">
        <f>IFERROR(__xludf.DUMMYFUNCTION("""COMPUTED_VALUE"""),"https://expa.aiesec.org/opportunities/1289850")</f>
        <v>https://expa.aiesec.org/opportunities/1289850</v>
      </c>
      <c r="L534" s="43" t="str">
        <f>IFERROR(__xludf.DUMMYFUNCTION("""COMPUTED_VALUE"""),"GV")</f>
        <v>GV</v>
      </c>
      <c r="M534" s="43" t="str">
        <f>IFERROR(__xludf.DUMMYFUNCTION("""COMPUTED_VALUE"""),"short")</f>
        <v>short</v>
      </c>
      <c r="N534" s="45">
        <f>IFERROR(__xludf.DUMMYFUNCTION("""COMPUTED_VALUE"""),45035.0)</f>
        <v>45035</v>
      </c>
      <c r="O534" s="45">
        <f>IFERROR(__xludf.DUMMYFUNCTION("""COMPUTED_VALUE"""),45139.0)</f>
        <v>45139</v>
      </c>
      <c r="P534" s="45">
        <f>IFERROR(__xludf.DUMMYFUNCTION("""COMPUTED_VALUE"""),45181.0)</f>
        <v>45181</v>
      </c>
      <c r="Q534" s="45">
        <f>IFERROR(__xludf.DUMMYFUNCTION("""COMPUTED_VALUE"""),45144.0)</f>
        <v>45144</v>
      </c>
      <c r="R534" s="45">
        <f>IFERROR(__xludf.DUMMYFUNCTION("""COMPUTED_VALUE"""),45184.0)</f>
        <v>45184</v>
      </c>
      <c r="S534" s="43"/>
      <c r="T534" s="43"/>
      <c r="U534" s="43" t="str">
        <f>IFERROR(__xludf.DUMMYFUNCTION("""COMPUTED_VALUE"""),"Global Classroom")</f>
        <v>Global Classroom</v>
      </c>
      <c r="V534" s="43" t="str">
        <f>IFERROR(__xludf.DUMMYFUNCTION("""COMPUTED_VALUE"""),"ANKARA")</f>
        <v>ANKARA</v>
      </c>
      <c r="W534" s="43" t="str">
        <f>IFERROR(__xludf.DUMMYFUNCTION("""COMPUTED_VALUE"""),"2022-09-10T12:40:26Z")</f>
        <v>2022-09-10T12:40:26Z</v>
      </c>
      <c r="X534" s="43"/>
      <c r="Y534" s="43"/>
      <c r="Z534" s="43"/>
    </row>
    <row r="535" hidden="1">
      <c r="A535" s="43" t="str">
        <f>IFERROR(__xludf.DUMMYFUNCTION("""COMPUTED_VALUE"""),"5235509_1294117")</f>
        <v>5235509_1294117</v>
      </c>
      <c r="B535" s="43" t="str">
        <f>IFERROR(__xludf.DUMMYFUNCTION("""COMPUTED_VALUE"""),"Kerem Şahin")</f>
        <v>Kerem Şahin</v>
      </c>
      <c r="C535" s="43" t="str">
        <f>IFERROR(__xludf.DUMMYFUNCTION("""COMPUTED_VALUE"""),"completed")</f>
        <v>completed</v>
      </c>
      <c r="D535" s="43" t="str">
        <f>IFERROR(__xludf.DUMMYFUNCTION("""COMPUTED_VALUE"""),"No")</f>
        <v>No</v>
      </c>
      <c r="E535" s="43" t="str">
        <f>IFERROR(__xludf.DUMMYFUNCTION("""COMPUTED_VALUE"""),"p_e9c041c2101c49797e3ccb875a3c102d5a0545d3@inbound.aiesec.org")</f>
        <v>p_e9c041c2101c49797e3ccb875a3c102d5a0545d3@inbound.aiesec.org</v>
      </c>
      <c r="F535" s="43">
        <f>IFERROR(__xludf.DUMMYFUNCTION("""COMPUTED_VALUE"""),5.340686916E9)</f>
        <v>5340686916</v>
      </c>
      <c r="G535" s="43" t="str">
        <f>IFERROR(__xludf.DUMMYFUNCTION("""COMPUTED_VALUE"""),"Turkey")</f>
        <v>Turkey</v>
      </c>
      <c r="H535" s="43" t="str">
        <f>IFERROR(__xludf.DUMMYFUNCTION("""COMPUTED_VALUE"""),"ISTANBUL WEST")</f>
        <v>ISTANBUL WEST</v>
      </c>
      <c r="I535" s="43" t="str">
        <f>IFERROR(__xludf.DUMMYFUNCTION("""COMPUTED_VALUE"""),"Tunisia")</f>
        <v>Tunisia</v>
      </c>
      <c r="J535" s="43" t="str">
        <f>IFERROR(__xludf.DUMMYFUNCTION("""COMPUTED_VALUE"""),"HADRUMET")</f>
        <v>HADRUMET</v>
      </c>
      <c r="K535" s="44" t="str">
        <f>IFERROR(__xludf.DUMMYFUNCTION("""COMPUTED_VALUE"""),"https://expa.aiesec.org/opportunities/1294117")</f>
        <v>https://expa.aiesec.org/opportunities/1294117</v>
      </c>
      <c r="L535" s="43" t="str">
        <f>IFERROR(__xludf.DUMMYFUNCTION("""COMPUTED_VALUE"""),"GV")</f>
        <v>GV</v>
      </c>
      <c r="M535" s="43" t="str">
        <f>IFERROR(__xludf.DUMMYFUNCTION("""COMPUTED_VALUE"""),"short")</f>
        <v>short</v>
      </c>
      <c r="N535" s="45">
        <f>IFERROR(__xludf.DUMMYFUNCTION("""COMPUTED_VALUE"""),45036.0)</f>
        <v>45036</v>
      </c>
      <c r="O535" s="45">
        <f>IFERROR(__xludf.DUMMYFUNCTION("""COMPUTED_VALUE"""),45110.0)</f>
        <v>45110</v>
      </c>
      <c r="P535" s="45">
        <f>IFERROR(__xludf.DUMMYFUNCTION("""COMPUTED_VALUE"""),45152.0)</f>
        <v>45152</v>
      </c>
      <c r="Q535" s="45">
        <f>IFERROR(__xludf.DUMMYFUNCTION("""COMPUTED_VALUE"""),45110.0)</f>
        <v>45110</v>
      </c>
      <c r="R535" s="45">
        <f>IFERROR(__xludf.DUMMYFUNCTION("""COMPUTED_VALUE"""),45152.0)</f>
        <v>45152</v>
      </c>
      <c r="S535" s="43"/>
      <c r="T535" s="43"/>
      <c r="U535" s="43" t="str">
        <f>IFERROR(__xludf.DUMMYFUNCTION("""COMPUTED_VALUE"""),"Global Classroom")</f>
        <v>Global Classroom</v>
      </c>
      <c r="V535" s="43" t="str">
        <f>IFERROR(__xludf.DUMMYFUNCTION("""COMPUTED_VALUE"""),"ISTANBUL - BAKIRKOY")</f>
        <v>ISTANBUL - BAKIRKOY</v>
      </c>
      <c r="W535" s="43" t="str">
        <f>IFERROR(__xludf.DUMMYFUNCTION("""COMPUTED_VALUE"""),"2023-04-05T11:52:38Z")</f>
        <v>2023-04-05T11:52:38Z</v>
      </c>
      <c r="X535" s="43"/>
      <c r="Y535" s="43"/>
      <c r="Z535" s="43"/>
    </row>
    <row r="536" hidden="1">
      <c r="A536" s="43" t="str">
        <f>IFERROR(__xludf.DUMMYFUNCTION("""COMPUTED_VALUE"""),"5245653_1288798")</f>
        <v>5245653_1288798</v>
      </c>
      <c r="B536" s="43" t="str">
        <f>IFERROR(__xludf.DUMMYFUNCTION("""COMPUTED_VALUE"""),"Gizem Nur Özsipahi")</f>
        <v>Gizem Nur Özsipahi</v>
      </c>
      <c r="C536" s="43" t="str">
        <f>IFERROR(__xludf.DUMMYFUNCTION("""COMPUTED_VALUE"""),"finished")</f>
        <v>finished</v>
      </c>
      <c r="D536" s="43" t="str">
        <f>IFERROR(__xludf.DUMMYFUNCTION("""COMPUTED_VALUE"""),"No")</f>
        <v>No</v>
      </c>
      <c r="E536" s="43" t="str">
        <f>IFERROR(__xludf.DUMMYFUNCTION("""COMPUTED_VALUE"""),"p_0c174d9a167847661b7a44a673c9aaf92251edfe@inbound.aiesec.org")</f>
        <v>p_0c174d9a167847661b7a44a673c9aaf92251edfe@inbound.aiesec.org</v>
      </c>
      <c r="F536" s="43">
        <f>IFERROR(__xludf.DUMMYFUNCTION("""COMPUTED_VALUE"""),5.31409402E9)</f>
        <v>5314094020</v>
      </c>
      <c r="G536" s="43" t="str">
        <f>IFERROR(__xludf.DUMMYFUNCTION("""COMPUTED_VALUE"""),"Turkey")</f>
        <v>Turkey</v>
      </c>
      <c r="H536" s="43" t="str">
        <f>IFERROR(__xludf.DUMMYFUNCTION("""COMPUTED_VALUE"""),"ISTANBUL ASIA")</f>
        <v>ISTANBUL ASIA</v>
      </c>
      <c r="I536" s="43" t="str">
        <f>IFERROR(__xludf.DUMMYFUNCTION("""COMPUTED_VALUE"""),"Sri Lanka")</f>
        <v>Sri Lanka</v>
      </c>
      <c r="J536" s="43" t="str">
        <f>IFERROR(__xludf.DUMMYFUNCTION("""COMPUTED_VALUE"""),"COLOMBO SOUTH")</f>
        <v>COLOMBO SOUTH</v>
      </c>
      <c r="K536" s="44" t="str">
        <f>IFERROR(__xludf.DUMMYFUNCTION("""COMPUTED_VALUE"""),"https://expa.aiesec.org/opportunities/1288798")</f>
        <v>https://expa.aiesec.org/opportunities/1288798</v>
      </c>
      <c r="L536" s="43" t="str">
        <f>IFERROR(__xludf.DUMMYFUNCTION("""COMPUTED_VALUE"""),"GV")</f>
        <v>GV</v>
      </c>
      <c r="M536" s="43" t="str">
        <f>IFERROR(__xludf.DUMMYFUNCTION("""COMPUTED_VALUE"""),"short")</f>
        <v>short</v>
      </c>
      <c r="N536" s="45">
        <f>IFERROR(__xludf.DUMMYFUNCTION("""COMPUTED_VALUE"""),45036.0)</f>
        <v>45036</v>
      </c>
      <c r="O536" s="45">
        <f>IFERROR(__xludf.DUMMYFUNCTION("""COMPUTED_VALUE"""),45040.0)</f>
        <v>45040</v>
      </c>
      <c r="P536" s="45">
        <f>IFERROR(__xludf.DUMMYFUNCTION("""COMPUTED_VALUE"""),45082.0)</f>
        <v>45082</v>
      </c>
      <c r="Q536" s="45">
        <f>IFERROR(__xludf.DUMMYFUNCTION("""COMPUTED_VALUE"""),45045.0)</f>
        <v>45045</v>
      </c>
      <c r="R536" s="45">
        <f>IFERROR(__xludf.DUMMYFUNCTION("""COMPUTED_VALUE"""),45085.0)</f>
        <v>45085</v>
      </c>
      <c r="S536" s="43"/>
      <c r="T536" s="43"/>
      <c r="U536" s="43" t="str">
        <f>IFERROR(__xludf.DUMMYFUNCTION("""COMPUTED_VALUE"""),"Heartbeat")</f>
        <v>Heartbeat</v>
      </c>
      <c r="V536" s="43" t="str">
        <f>IFERROR(__xludf.DUMMYFUNCTION("""COMPUTED_VALUE"""),"ISTANBUL ASIA")</f>
        <v>ISTANBUL ASIA</v>
      </c>
      <c r="W536" s="43" t="str">
        <f>IFERROR(__xludf.DUMMYFUNCTION("""COMPUTED_VALUE"""),"2023-04-19T20:16:41Z")</f>
        <v>2023-04-19T20:16:41Z</v>
      </c>
      <c r="X536" s="43"/>
      <c r="Y536" s="43"/>
      <c r="Z536" s="43"/>
    </row>
    <row r="537" hidden="1">
      <c r="A537" s="43" t="str">
        <f>IFERROR(__xludf.DUMMYFUNCTION("""COMPUTED_VALUE"""),"5245430_1290282")</f>
        <v>5245430_1290282</v>
      </c>
      <c r="B537" s="43" t="str">
        <f>IFERROR(__xludf.DUMMYFUNCTION("""COMPUTED_VALUE"""),"Galip Kürkçüoğlu")</f>
        <v>Galip Kürkçüoğlu</v>
      </c>
      <c r="C537" s="43" t="str">
        <f>IFERROR(__xludf.DUMMYFUNCTION("""COMPUTED_VALUE"""),"approved")</f>
        <v>approved</v>
      </c>
      <c r="D537" s="43" t="str">
        <f>IFERROR(__xludf.DUMMYFUNCTION("""COMPUTED_VALUE"""),"No")</f>
        <v>No</v>
      </c>
      <c r="E537" s="43" t="str">
        <f>IFERROR(__xludf.DUMMYFUNCTION("""COMPUTED_VALUE"""),"p_34601b5be933b69055c6fe10fa49b85f8f725d38@inbound.aiesec.org")</f>
        <v>p_34601b5be933b69055c6fe10fa49b85f8f725d38@inbound.aiesec.org</v>
      </c>
      <c r="F537" s="43"/>
      <c r="G537" s="43" t="str">
        <f>IFERROR(__xludf.DUMMYFUNCTION("""COMPUTED_VALUE"""),"Turkey")</f>
        <v>Turkey</v>
      </c>
      <c r="H537" s="43" t="str">
        <f>IFERROR(__xludf.DUMMYFUNCTION("""COMPUTED_VALUE"""),"BURSA")</f>
        <v>BURSA</v>
      </c>
      <c r="I537" s="43" t="str">
        <f>IFERROR(__xludf.DUMMYFUNCTION("""COMPUTED_VALUE"""),"Egypt")</f>
        <v>Egypt</v>
      </c>
      <c r="J537" s="43" t="str">
        <f>IFERROR(__xludf.DUMMYFUNCTION("""COMPUTED_VALUE"""),"GUC")</f>
        <v>GUC</v>
      </c>
      <c r="K537" s="44" t="str">
        <f>IFERROR(__xludf.DUMMYFUNCTION("""COMPUTED_VALUE"""),"https://expa.aiesec.org/opportunities/1290282")</f>
        <v>https://expa.aiesec.org/opportunities/1290282</v>
      </c>
      <c r="L537" s="43" t="str">
        <f>IFERROR(__xludf.DUMMYFUNCTION("""COMPUTED_VALUE"""),"GV")</f>
        <v>GV</v>
      </c>
      <c r="M537" s="43" t="str">
        <f>IFERROR(__xludf.DUMMYFUNCTION("""COMPUTED_VALUE"""),"short")</f>
        <v>short</v>
      </c>
      <c r="N537" s="45">
        <f>IFERROR(__xludf.DUMMYFUNCTION("""COMPUTED_VALUE"""),45036.0)</f>
        <v>45036</v>
      </c>
      <c r="O537" s="45">
        <f>IFERROR(__xludf.DUMMYFUNCTION("""COMPUTED_VALUE"""),45122.0)</f>
        <v>45122</v>
      </c>
      <c r="P537" s="45">
        <f>IFERROR(__xludf.DUMMYFUNCTION("""COMPUTED_VALUE"""),45164.0)</f>
        <v>45164</v>
      </c>
      <c r="Q537" s="45"/>
      <c r="R537" s="45"/>
      <c r="S537" s="43"/>
      <c r="T537" s="43"/>
      <c r="U537" s="43" t="str">
        <f>IFERROR(__xludf.DUMMYFUNCTION("""COMPUTED_VALUE"""),"On The Map")</f>
        <v>On The Map</v>
      </c>
      <c r="V537" s="43" t="str">
        <f>IFERROR(__xludf.DUMMYFUNCTION("""COMPUTED_VALUE"""),"-")</f>
        <v>-</v>
      </c>
      <c r="W537" s="43" t="str">
        <f>IFERROR(__xludf.DUMMYFUNCTION("""COMPUTED_VALUE"""),"2023-04-19T14:46:53Z")</f>
        <v>2023-04-19T14:46:53Z</v>
      </c>
      <c r="X537" s="43"/>
      <c r="Y537" s="43"/>
      <c r="Z537" s="43"/>
    </row>
    <row r="538" hidden="1">
      <c r="A538" s="43" t="str">
        <f>IFERROR(__xludf.DUMMYFUNCTION("""COMPUTED_VALUE"""),"4830944_1294426")</f>
        <v>4830944_1294426</v>
      </c>
      <c r="B538" s="43" t="str">
        <f>IFERROR(__xludf.DUMMYFUNCTION("""COMPUTED_VALUE"""),"ASLINUR HACIOSMANOGLU")</f>
        <v>ASLINUR HACIOSMANOGLU</v>
      </c>
      <c r="C538" s="43" t="str">
        <f>IFERROR(__xludf.DUMMYFUNCTION("""COMPUTED_VALUE"""),"completed")</f>
        <v>completed</v>
      </c>
      <c r="D538" s="43" t="str">
        <f>IFERROR(__xludf.DUMMYFUNCTION("""COMPUTED_VALUE"""),"No")</f>
        <v>No</v>
      </c>
      <c r="E538" s="43" t="str">
        <f>IFERROR(__xludf.DUMMYFUNCTION("""COMPUTED_VALUE"""),"p_a5445cc8192172f9a3808ca0010fca3af9f5e47b@inbound.aiesec.org")</f>
        <v>p_a5445cc8192172f9a3808ca0010fca3af9f5e47b@inbound.aiesec.org</v>
      </c>
      <c r="F538" s="43">
        <f>IFERROR(__xludf.DUMMYFUNCTION("""COMPUTED_VALUE"""),5.417966377E9)</f>
        <v>5417966377</v>
      </c>
      <c r="G538" s="43" t="str">
        <f>IFERROR(__xludf.DUMMYFUNCTION("""COMPUTED_VALUE"""),"Turkey")</f>
        <v>Turkey</v>
      </c>
      <c r="H538" s="43" t="str">
        <f>IFERROR(__xludf.DUMMYFUNCTION("""COMPUTED_VALUE"""),"ISTANBUL ASIA")</f>
        <v>ISTANBUL ASIA</v>
      </c>
      <c r="I538" s="43" t="str">
        <f>IFERROR(__xludf.DUMMYFUNCTION("""COMPUTED_VALUE"""),"Egypt")</f>
        <v>Egypt</v>
      </c>
      <c r="J538" s="43" t="str">
        <f>IFERROR(__xludf.DUMMYFUNCTION("""COMPUTED_VALUE"""),"Ain Shams University")</f>
        <v>Ain Shams University</v>
      </c>
      <c r="K538" s="44" t="str">
        <f>IFERROR(__xludf.DUMMYFUNCTION("""COMPUTED_VALUE"""),"https://expa.aiesec.org/opportunities/1294426")</f>
        <v>https://expa.aiesec.org/opportunities/1294426</v>
      </c>
      <c r="L538" s="43" t="str">
        <f>IFERROR(__xludf.DUMMYFUNCTION("""COMPUTED_VALUE"""),"GV")</f>
        <v>GV</v>
      </c>
      <c r="M538" s="43" t="str">
        <f>IFERROR(__xludf.DUMMYFUNCTION("""COMPUTED_VALUE"""),"short")</f>
        <v>short</v>
      </c>
      <c r="N538" s="45">
        <f>IFERROR(__xludf.DUMMYFUNCTION("""COMPUTED_VALUE"""),45036.0)</f>
        <v>45036</v>
      </c>
      <c r="O538" s="45">
        <f>IFERROR(__xludf.DUMMYFUNCTION("""COMPUTED_VALUE"""),45107.0)</f>
        <v>45107</v>
      </c>
      <c r="P538" s="45">
        <f>IFERROR(__xludf.DUMMYFUNCTION("""COMPUTED_VALUE"""),45149.0)</f>
        <v>45149</v>
      </c>
      <c r="Q538" s="45">
        <f>IFERROR(__xludf.DUMMYFUNCTION("""COMPUTED_VALUE"""),45116.0)</f>
        <v>45116</v>
      </c>
      <c r="R538" s="45">
        <f>IFERROR(__xludf.DUMMYFUNCTION("""COMPUTED_VALUE"""),45157.0)</f>
        <v>45157</v>
      </c>
      <c r="S538" s="43"/>
      <c r="T538" s="43"/>
      <c r="U538" s="43" t="str">
        <f>IFERROR(__xludf.DUMMYFUNCTION("""COMPUTED_VALUE"""),"Global Classroom")</f>
        <v>Global Classroom</v>
      </c>
      <c r="V538" s="43" t="str">
        <f>IFERROR(__xludf.DUMMYFUNCTION("""COMPUTED_VALUE"""),"ISTANBUL ASIA")</f>
        <v>ISTANBUL ASIA</v>
      </c>
      <c r="W538" s="43" t="str">
        <f>IFERROR(__xludf.DUMMYFUNCTION("""COMPUTED_VALUE"""),"2021-12-05T14:27:58Z")</f>
        <v>2021-12-05T14:27:58Z</v>
      </c>
      <c r="X538" s="43"/>
      <c r="Y538" s="43"/>
      <c r="Z538" s="43"/>
    </row>
    <row r="539" hidden="1">
      <c r="A539" s="43" t="str">
        <f>IFERROR(__xludf.DUMMYFUNCTION("""COMPUTED_VALUE"""),"5244614_1287602")</f>
        <v>5244614_1287602</v>
      </c>
      <c r="B539" s="43" t="str">
        <f>IFERROR(__xludf.DUMMYFUNCTION("""COMPUTED_VALUE"""),"Türkan Keloğulları")</f>
        <v>Türkan Keloğulları</v>
      </c>
      <c r="C539" s="43" t="str">
        <f>IFERROR(__xludf.DUMMYFUNCTION("""COMPUTED_VALUE"""),"approved")</f>
        <v>approved</v>
      </c>
      <c r="D539" s="43" t="str">
        <f>IFERROR(__xludf.DUMMYFUNCTION("""COMPUTED_VALUE"""),"No")</f>
        <v>No</v>
      </c>
      <c r="E539" s="43" t="str">
        <f>IFERROR(__xludf.DUMMYFUNCTION("""COMPUTED_VALUE"""),"p_2d9e9554321cc7ff6295eb1995e76248bde09a2f@inbound.aiesec.org")</f>
        <v>p_2d9e9554321cc7ff6295eb1995e76248bde09a2f@inbound.aiesec.org</v>
      </c>
      <c r="F539" s="43">
        <f>IFERROR(__xludf.DUMMYFUNCTION("""COMPUTED_VALUE"""),5.435460309E9)</f>
        <v>5435460309</v>
      </c>
      <c r="G539" s="43" t="str">
        <f>IFERROR(__xludf.DUMMYFUNCTION("""COMPUTED_VALUE"""),"Turkey")</f>
        <v>Turkey</v>
      </c>
      <c r="H539" s="43" t="str">
        <f>IFERROR(__xludf.DUMMYFUNCTION("""COMPUTED_VALUE"""),"ISTANBUL")</f>
        <v>ISTANBUL</v>
      </c>
      <c r="I539" s="43" t="str">
        <f>IFERROR(__xludf.DUMMYFUNCTION("""COMPUTED_VALUE"""),"Sri Lanka")</f>
        <v>Sri Lanka</v>
      </c>
      <c r="J539" s="43" t="str">
        <f>IFERROR(__xludf.DUMMYFUNCTION("""COMPUTED_VALUE"""),"COLOMBO NORTH")</f>
        <v>COLOMBO NORTH</v>
      </c>
      <c r="K539" s="44" t="str">
        <f>IFERROR(__xludf.DUMMYFUNCTION("""COMPUTED_VALUE"""),"https://expa.aiesec.org/opportunities/1287602")</f>
        <v>https://expa.aiesec.org/opportunities/1287602</v>
      </c>
      <c r="L539" s="43" t="str">
        <f>IFERROR(__xludf.DUMMYFUNCTION("""COMPUTED_VALUE"""),"GV")</f>
        <v>GV</v>
      </c>
      <c r="M539" s="43" t="str">
        <f>IFERROR(__xludf.DUMMYFUNCTION("""COMPUTED_VALUE"""),"short")</f>
        <v>short</v>
      </c>
      <c r="N539" s="45">
        <f>IFERROR(__xludf.DUMMYFUNCTION("""COMPUTED_VALUE"""),45036.0)</f>
        <v>45036</v>
      </c>
      <c r="O539" s="45">
        <f>IFERROR(__xludf.DUMMYFUNCTION("""COMPUTED_VALUE"""),45151.0)</f>
        <v>45151</v>
      </c>
      <c r="P539" s="45">
        <f>IFERROR(__xludf.DUMMYFUNCTION("""COMPUTED_VALUE"""),45193.0)</f>
        <v>45193</v>
      </c>
      <c r="Q539" s="45"/>
      <c r="R539" s="45"/>
      <c r="S539" s="43"/>
      <c r="T539" s="43"/>
      <c r="U539" s="43" t="str">
        <f>IFERROR(__xludf.DUMMYFUNCTION("""COMPUTED_VALUE"""),"Rooted")</f>
        <v>Rooted</v>
      </c>
      <c r="V539" s="43" t="str">
        <f>IFERROR(__xludf.DUMMYFUNCTION("""COMPUTED_VALUE"""),"ISTANBUL - BEYOGLU")</f>
        <v>ISTANBUL - BEYOGLU</v>
      </c>
      <c r="W539" s="43" t="str">
        <f>IFERROR(__xludf.DUMMYFUNCTION("""COMPUTED_VALUE"""),"2023-04-18T14:09:04Z")</f>
        <v>2023-04-18T14:09:04Z</v>
      </c>
      <c r="X539" s="43"/>
      <c r="Y539" s="43"/>
      <c r="Z539" s="43"/>
    </row>
    <row r="540" hidden="1">
      <c r="A540" s="43" t="str">
        <f>IFERROR(__xludf.DUMMYFUNCTION("""COMPUTED_VALUE"""),"5228072_1294137")</f>
        <v>5228072_1294137</v>
      </c>
      <c r="B540" s="43" t="str">
        <f>IFERROR(__xludf.DUMMYFUNCTION("""COMPUTED_VALUE"""),"Abdullah samet Yazıcı")</f>
        <v>Abdullah samet Yazıcı</v>
      </c>
      <c r="C540" s="43" t="str">
        <f>IFERROR(__xludf.DUMMYFUNCTION("""COMPUTED_VALUE"""),"completed")</f>
        <v>completed</v>
      </c>
      <c r="D540" s="43" t="str">
        <f>IFERROR(__xludf.DUMMYFUNCTION("""COMPUTED_VALUE"""),"No")</f>
        <v>No</v>
      </c>
      <c r="E540" s="43" t="str">
        <f>IFERROR(__xludf.DUMMYFUNCTION("""COMPUTED_VALUE"""),"p_736c3442398f2ae2e2991a68e7b82ea5dc1ac296@inbound.aiesec.org")</f>
        <v>p_736c3442398f2ae2e2991a68e7b82ea5dc1ac296@inbound.aiesec.org</v>
      </c>
      <c r="F540" s="43">
        <f>IFERROR(__xludf.DUMMYFUNCTION("""COMPUTED_VALUE"""),5.303847861E9)</f>
        <v>5303847861</v>
      </c>
      <c r="G540" s="43" t="str">
        <f>IFERROR(__xludf.DUMMYFUNCTION("""COMPUTED_VALUE"""),"Turkey")</f>
        <v>Turkey</v>
      </c>
      <c r="H540" s="43" t="str">
        <f>IFERROR(__xludf.DUMMYFUNCTION("""COMPUTED_VALUE"""),"TRABZON")</f>
        <v>TRABZON</v>
      </c>
      <c r="I540" s="43" t="str">
        <f>IFERROR(__xludf.DUMMYFUNCTION("""COMPUTED_VALUE"""),"Egypt")</f>
        <v>Egypt</v>
      </c>
      <c r="J540" s="43" t="str">
        <f>IFERROR(__xludf.DUMMYFUNCTION("""COMPUTED_VALUE"""),"Cairo University")</f>
        <v>Cairo University</v>
      </c>
      <c r="K540" s="44" t="str">
        <f>IFERROR(__xludf.DUMMYFUNCTION("""COMPUTED_VALUE"""),"https://expa.aiesec.org/opportunities/1294137")</f>
        <v>https://expa.aiesec.org/opportunities/1294137</v>
      </c>
      <c r="L540" s="43" t="str">
        <f>IFERROR(__xludf.DUMMYFUNCTION("""COMPUTED_VALUE"""),"GV")</f>
        <v>GV</v>
      </c>
      <c r="M540" s="43" t="str">
        <f>IFERROR(__xludf.DUMMYFUNCTION("""COMPUTED_VALUE"""),"short")</f>
        <v>short</v>
      </c>
      <c r="N540" s="45">
        <f>IFERROR(__xludf.DUMMYFUNCTION("""COMPUTED_VALUE"""),45036.0)</f>
        <v>45036</v>
      </c>
      <c r="O540" s="45">
        <f>IFERROR(__xludf.DUMMYFUNCTION("""COMPUTED_VALUE"""),45127.0)</f>
        <v>45127</v>
      </c>
      <c r="P540" s="45">
        <f>IFERROR(__xludf.DUMMYFUNCTION("""COMPUTED_VALUE"""),45172.0)</f>
        <v>45172</v>
      </c>
      <c r="Q540" s="45">
        <f>IFERROR(__xludf.DUMMYFUNCTION("""COMPUTED_VALUE"""),45127.0)</f>
        <v>45127</v>
      </c>
      <c r="R540" s="45">
        <f>IFERROR(__xludf.DUMMYFUNCTION("""COMPUTED_VALUE"""),45172.0)</f>
        <v>45172</v>
      </c>
      <c r="S540" s="43"/>
      <c r="T540" s="43"/>
      <c r="U540" s="43" t="str">
        <f>IFERROR(__xludf.DUMMYFUNCTION("""COMPUTED_VALUE"""),"Explorer")</f>
        <v>Explorer</v>
      </c>
      <c r="V540" s="43" t="str">
        <f>IFERROR(__xludf.DUMMYFUNCTION("""COMPUTED_VALUE"""),"TRABZON")</f>
        <v>TRABZON</v>
      </c>
      <c r="W540" s="43" t="str">
        <f>IFERROR(__xludf.DUMMYFUNCTION("""COMPUTED_VALUE"""),"2023-03-27T12:07:02Z")</f>
        <v>2023-03-27T12:07:02Z</v>
      </c>
      <c r="X540" s="43"/>
      <c r="Y540" s="43"/>
      <c r="Z540" s="43"/>
    </row>
    <row r="541" hidden="1">
      <c r="A541" s="43" t="str">
        <f>IFERROR(__xludf.DUMMYFUNCTION("""COMPUTED_VALUE"""),"5246444_1293968")</f>
        <v>5246444_1293968</v>
      </c>
      <c r="B541" s="43" t="str">
        <f>IFERROR(__xludf.DUMMYFUNCTION("""COMPUTED_VALUE"""),"Melisa Eren")</f>
        <v>Melisa Eren</v>
      </c>
      <c r="C541" s="43" t="str">
        <f>IFERROR(__xludf.DUMMYFUNCTION("""COMPUTED_VALUE"""),"approved")</f>
        <v>approved</v>
      </c>
      <c r="D541" s="43" t="str">
        <f>IFERROR(__xludf.DUMMYFUNCTION("""COMPUTED_VALUE"""),"No")</f>
        <v>No</v>
      </c>
      <c r="E541" s="43" t="str">
        <f>IFERROR(__xludf.DUMMYFUNCTION("""COMPUTED_VALUE"""),"p_6fe73ab82fbc20ce33049509568a46a917db7126@inbound.aiesec.org")</f>
        <v>p_6fe73ab82fbc20ce33049509568a46a917db7126@inbound.aiesec.org</v>
      </c>
      <c r="F541" s="43"/>
      <c r="G541" s="43" t="str">
        <f>IFERROR(__xludf.DUMMYFUNCTION("""COMPUTED_VALUE"""),"Turkey")</f>
        <v>Turkey</v>
      </c>
      <c r="H541" s="43" t="str">
        <f>IFERROR(__xludf.DUMMYFUNCTION("""COMPUTED_VALUE"""),"ESKISEHIR")</f>
        <v>ESKISEHIR</v>
      </c>
      <c r="I541" s="43" t="str">
        <f>IFERROR(__xludf.DUMMYFUNCTION("""COMPUTED_VALUE"""),"Egypt")</f>
        <v>Egypt</v>
      </c>
      <c r="J541" s="43" t="str">
        <f>IFERROR(__xludf.DUMMYFUNCTION("""COMPUTED_VALUE"""),"Ain Shams University")</f>
        <v>Ain Shams University</v>
      </c>
      <c r="K541" s="44" t="str">
        <f>IFERROR(__xludf.DUMMYFUNCTION("""COMPUTED_VALUE"""),"https://expa.aiesec.org/opportunities/1293968")</f>
        <v>https://expa.aiesec.org/opportunities/1293968</v>
      </c>
      <c r="L541" s="43" t="str">
        <f>IFERROR(__xludf.DUMMYFUNCTION("""COMPUTED_VALUE"""),"GV")</f>
        <v>GV</v>
      </c>
      <c r="M541" s="43" t="str">
        <f>IFERROR(__xludf.DUMMYFUNCTION("""COMPUTED_VALUE"""),"short")</f>
        <v>short</v>
      </c>
      <c r="N541" s="45">
        <f>IFERROR(__xludf.DUMMYFUNCTION("""COMPUTED_VALUE"""),45037.0)</f>
        <v>45037</v>
      </c>
      <c r="O541" s="45">
        <f>IFERROR(__xludf.DUMMYFUNCTION("""COMPUTED_VALUE"""),45108.0)</f>
        <v>45108</v>
      </c>
      <c r="P541" s="45">
        <f>IFERROR(__xludf.DUMMYFUNCTION("""COMPUTED_VALUE"""),45150.0)</f>
        <v>45150</v>
      </c>
      <c r="Q541" s="45"/>
      <c r="R541" s="45"/>
      <c r="S541" s="43"/>
      <c r="T541" s="43"/>
      <c r="U541" s="43" t="str">
        <f>IFERROR(__xludf.DUMMYFUNCTION("""COMPUTED_VALUE"""),"Rooted")</f>
        <v>Rooted</v>
      </c>
      <c r="V541" s="43" t="str">
        <f>IFERROR(__xludf.DUMMYFUNCTION("""COMPUTED_VALUE"""),"-")</f>
        <v>-</v>
      </c>
      <c r="W541" s="43" t="str">
        <f>IFERROR(__xludf.DUMMYFUNCTION("""COMPUTED_VALUE"""),"2023-04-20T19:51:55Z")</f>
        <v>2023-04-20T19:51:55Z</v>
      </c>
      <c r="X541" s="43"/>
      <c r="Y541" s="43"/>
      <c r="Z541" s="43"/>
    </row>
    <row r="542" hidden="1">
      <c r="A542" s="43" t="str">
        <f>IFERROR(__xludf.DUMMYFUNCTION("""COMPUTED_VALUE"""),"5246447_1294161")</f>
        <v>5246447_1294161</v>
      </c>
      <c r="B542" s="43" t="str">
        <f>IFERROR(__xludf.DUMMYFUNCTION("""COMPUTED_VALUE"""),"Mizgin Teymur")</f>
        <v>Mizgin Teymur</v>
      </c>
      <c r="C542" s="43" t="str">
        <f>IFERROR(__xludf.DUMMYFUNCTION("""COMPUTED_VALUE"""),"approved")</f>
        <v>approved</v>
      </c>
      <c r="D542" s="43" t="str">
        <f>IFERROR(__xludf.DUMMYFUNCTION("""COMPUTED_VALUE"""),"No")</f>
        <v>No</v>
      </c>
      <c r="E542" s="43" t="str">
        <f>IFERROR(__xludf.DUMMYFUNCTION("""COMPUTED_VALUE"""),"p_8dbfb543d4e7e5a418dbb5a35949a6e58de6e596@inbound.aiesec.org")</f>
        <v>p_8dbfb543d4e7e5a418dbb5a35949a6e58de6e596@inbound.aiesec.org</v>
      </c>
      <c r="F542" s="43"/>
      <c r="G542" s="43" t="str">
        <f>IFERROR(__xludf.DUMMYFUNCTION("""COMPUTED_VALUE"""),"Turkey")</f>
        <v>Turkey</v>
      </c>
      <c r="H542" s="43" t="str">
        <f>IFERROR(__xludf.DUMMYFUNCTION("""COMPUTED_VALUE"""),"ESKISEHIR")</f>
        <v>ESKISEHIR</v>
      </c>
      <c r="I542" s="43" t="str">
        <f>IFERROR(__xludf.DUMMYFUNCTION("""COMPUTED_VALUE"""),"Egypt")</f>
        <v>Egypt</v>
      </c>
      <c r="J542" s="43" t="str">
        <f>IFERROR(__xludf.DUMMYFUNCTION("""COMPUTED_VALUE"""),"Ain Shams University")</f>
        <v>Ain Shams University</v>
      </c>
      <c r="K542" s="44" t="str">
        <f>IFERROR(__xludf.DUMMYFUNCTION("""COMPUTED_VALUE"""),"https://expa.aiesec.org/opportunities/1294161")</f>
        <v>https://expa.aiesec.org/opportunities/1294161</v>
      </c>
      <c r="L542" s="43" t="str">
        <f>IFERROR(__xludf.DUMMYFUNCTION("""COMPUTED_VALUE"""),"GV")</f>
        <v>GV</v>
      </c>
      <c r="M542" s="43" t="str">
        <f>IFERROR(__xludf.DUMMYFUNCTION("""COMPUTED_VALUE"""),"short")</f>
        <v>short</v>
      </c>
      <c r="N542" s="45">
        <f>IFERROR(__xludf.DUMMYFUNCTION("""COMPUTED_VALUE"""),45037.0)</f>
        <v>45037</v>
      </c>
      <c r="O542" s="45">
        <f>IFERROR(__xludf.DUMMYFUNCTION("""COMPUTED_VALUE"""),45108.0)</f>
        <v>45108</v>
      </c>
      <c r="P542" s="45">
        <f>IFERROR(__xludf.DUMMYFUNCTION("""COMPUTED_VALUE"""),45150.0)</f>
        <v>45150</v>
      </c>
      <c r="Q542" s="45"/>
      <c r="R542" s="45"/>
      <c r="S542" s="43"/>
      <c r="T542" s="43"/>
      <c r="U542" s="43" t="str">
        <f>IFERROR(__xludf.DUMMYFUNCTION("""COMPUTED_VALUE"""),"Rooted")</f>
        <v>Rooted</v>
      </c>
      <c r="V542" s="43" t="str">
        <f>IFERROR(__xludf.DUMMYFUNCTION("""COMPUTED_VALUE"""),"-")</f>
        <v>-</v>
      </c>
      <c r="W542" s="43" t="str">
        <f>IFERROR(__xludf.DUMMYFUNCTION("""COMPUTED_VALUE"""),"2023-04-20T19:58:35Z")</f>
        <v>2023-04-20T19:58:35Z</v>
      </c>
      <c r="X542" s="43"/>
      <c r="Y542" s="43"/>
      <c r="Z542" s="43"/>
    </row>
    <row r="543" hidden="1">
      <c r="A543" s="43" t="str">
        <f>IFERROR(__xludf.DUMMYFUNCTION("""COMPUTED_VALUE"""),"4022216_1289806")</f>
        <v>4022216_1289806</v>
      </c>
      <c r="B543" s="43" t="str">
        <f>IFERROR(__xludf.DUMMYFUNCTION("""COMPUTED_VALUE"""),"Beyzanur AKTÜRK")</f>
        <v>Beyzanur AKTÜRK</v>
      </c>
      <c r="C543" s="43" t="str">
        <f>IFERROR(__xludf.DUMMYFUNCTION("""COMPUTED_VALUE"""),"approved")</f>
        <v>approved</v>
      </c>
      <c r="D543" s="43" t="str">
        <f>IFERROR(__xludf.DUMMYFUNCTION("""COMPUTED_VALUE"""),"No")</f>
        <v>No</v>
      </c>
      <c r="E543" s="43" t="str">
        <f>IFERROR(__xludf.DUMMYFUNCTION("""COMPUTED_VALUE"""),"p_1c67489bffe06478f6dc56ce26cf4ec7c0a3a5ec@inbound.aiesec.org")</f>
        <v>p_1c67489bffe06478f6dc56ce26cf4ec7c0a3a5ec@inbound.aiesec.org</v>
      </c>
      <c r="F543" s="43">
        <f>IFERROR(__xludf.DUMMYFUNCTION("""COMPUTED_VALUE"""),5.31915992E9)</f>
        <v>5319159920</v>
      </c>
      <c r="G543" s="43" t="str">
        <f>IFERROR(__xludf.DUMMYFUNCTION("""COMPUTED_VALUE"""),"Turkey")</f>
        <v>Turkey</v>
      </c>
      <c r="H543" s="43" t="str">
        <f>IFERROR(__xludf.DUMMYFUNCTION("""COMPUTED_VALUE"""),"ESKISEHIR")</f>
        <v>ESKISEHIR</v>
      </c>
      <c r="I543" s="43" t="str">
        <f>IFERROR(__xludf.DUMMYFUNCTION("""COMPUTED_VALUE"""),"Egypt")</f>
        <v>Egypt</v>
      </c>
      <c r="J543" s="43" t="str">
        <f>IFERROR(__xludf.DUMMYFUNCTION("""COMPUTED_VALUE"""),"Ain Shams University")</f>
        <v>Ain Shams University</v>
      </c>
      <c r="K543" s="44" t="str">
        <f>IFERROR(__xludf.DUMMYFUNCTION("""COMPUTED_VALUE"""),"https://expa.aiesec.org/opportunities/1289806")</f>
        <v>https://expa.aiesec.org/opportunities/1289806</v>
      </c>
      <c r="L543" s="43" t="str">
        <f>IFERROR(__xludf.DUMMYFUNCTION("""COMPUTED_VALUE"""),"GV")</f>
        <v>GV</v>
      </c>
      <c r="M543" s="43" t="str">
        <f>IFERROR(__xludf.DUMMYFUNCTION("""COMPUTED_VALUE"""),"short")</f>
        <v>short</v>
      </c>
      <c r="N543" s="45">
        <f>IFERROR(__xludf.DUMMYFUNCTION("""COMPUTED_VALUE"""),45037.0)</f>
        <v>45037</v>
      </c>
      <c r="O543" s="45">
        <f>IFERROR(__xludf.DUMMYFUNCTION("""COMPUTED_VALUE"""),45108.0)</f>
        <v>45108</v>
      </c>
      <c r="P543" s="45">
        <f>IFERROR(__xludf.DUMMYFUNCTION("""COMPUTED_VALUE"""),45150.0)</f>
        <v>45150</v>
      </c>
      <c r="Q543" s="45"/>
      <c r="R543" s="45"/>
      <c r="S543" s="43"/>
      <c r="T543" s="43"/>
      <c r="U543" s="43" t="str">
        <f>IFERROR(__xludf.DUMMYFUNCTION("""COMPUTED_VALUE"""),"Rooted")</f>
        <v>Rooted</v>
      </c>
      <c r="V543" s="43" t="str">
        <f>IFERROR(__xludf.DUMMYFUNCTION("""COMPUTED_VALUE"""),"ESKISEHIR")</f>
        <v>ESKISEHIR</v>
      </c>
      <c r="W543" s="43" t="str">
        <f>IFERROR(__xludf.DUMMYFUNCTION("""COMPUTED_VALUE"""),"2019-11-21T14:38:06Z")</f>
        <v>2019-11-21T14:38:06Z</v>
      </c>
      <c r="X543" s="43"/>
      <c r="Y543" s="43"/>
      <c r="Z543" s="43"/>
    </row>
    <row r="544" hidden="1">
      <c r="A544" s="43" t="str">
        <f>IFERROR(__xludf.DUMMYFUNCTION("""COMPUTED_VALUE"""),"5246768_1286585")</f>
        <v>5246768_1286585</v>
      </c>
      <c r="B544" s="43" t="str">
        <f>IFERROR(__xludf.DUMMYFUNCTION("""COMPUTED_VALUE"""),"Derviş Barış Demir")</f>
        <v>Derviş Barış Demir</v>
      </c>
      <c r="C544" s="43" t="str">
        <f>IFERROR(__xludf.DUMMYFUNCTION("""COMPUTED_VALUE"""),"finished")</f>
        <v>finished</v>
      </c>
      <c r="D544" s="43" t="str">
        <f>IFERROR(__xludf.DUMMYFUNCTION("""COMPUTED_VALUE"""),"No")</f>
        <v>No</v>
      </c>
      <c r="E544" s="43" t="str">
        <f>IFERROR(__xludf.DUMMYFUNCTION("""COMPUTED_VALUE"""),"p_cb9fc804de3edf07143784d125b8dcd3187ab93f@inbound.aiesec.org")</f>
        <v>p_cb9fc804de3edf07143784d125b8dcd3187ab93f@inbound.aiesec.org</v>
      </c>
      <c r="F544" s="43">
        <f>IFERROR(__xludf.DUMMYFUNCTION("""COMPUTED_VALUE"""),5.302970217E9)</f>
        <v>5302970217</v>
      </c>
      <c r="G544" s="43" t="str">
        <f>IFERROR(__xludf.DUMMYFUNCTION("""COMPUTED_VALUE"""),"Turkey")</f>
        <v>Turkey</v>
      </c>
      <c r="H544" s="43" t="str">
        <f>IFERROR(__xludf.DUMMYFUNCTION("""COMPUTED_VALUE"""),"ANTALYA")</f>
        <v>ANTALYA</v>
      </c>
      <c r="I544" s="43" t="str">
        <f>IFERROR(__xludf.DUMMYFUNCTION("""COMPUTED_VALUE"""),"Sri Lanka")</f>
        <v>Sri Lanka</v>
      </c>
      <c r="J544" s="43" t="str">
        <f>IFERROR(__xludf.DUMMYFUNCTION("""COMPUTED_VALUE"""),"COLOMBO NORTH")</f>
        <v>COLOMBO NORTH</v>
      </c>
      <c r="K544" s="44" t="str">
        <f>IFERROR(__xludf.DUMMYFUNCTION("""COMPUTED_VALUE"""),"https://expa.aiesec.org/opportunities/1286585")</f>
        <v>https://expa.aiesec.org/opportunities/1286585</v>
      </c>
      <c r="L544" s="43" t="str">
        <f>IFERROR(__xludf.DUMMYFUNCTION("""COMPUTED_VALUE"""),"GV")</f>
        <v>GV</v>
      </c>
      <c r="M544" s="43" t="str">
        <f>IFERROR(__xludf.DUMMYFUNCTION("""COMPUTED_VALUE"""),"short")</f>
        <v>short</v>
      </c>
      <c r="N544" s="45">
        <f>IFERROR(__xludf.DUMMYFUNCTION("""COMPUTED_VALUE"""),45038.0)</f>
        <v>45038</v>
      </c>
      <c r="O544" s="45">
        <f>IFERROR(__xludf.DUMMYFUNCTION("""COMPUTED_VALUE"""),45116.0)</f>
        <v>45116</v>
      </c>
      <c r="P544" s="45">
        <f>IFERROR(__xludf.DUMMYFUNCTION("""COMPUTED_VALUE"""),45158.0)</f>
        <v>45158</v>
      </c>
      <c r="Q544" s="45">
        <f>IFERROR(__xludf.DUMMYFUNCTION("""COMPUTED_VALUE"""),45118.0)</f>
        <v>45118</v>
      </c>
      <c r="R544" s="45">
        <f>IFERROR(__xludf.DUMMYFUNCTION("""COMPUTED_VALUE"""),45158.0)</f>
        <v>45158</v>
      </c>
      <c r="S544" s="43"/>
      <c r="T544" s="43"/>
      <c r="U544" s="43" t="str">
        <f>IFERROR(__xludf.DUMMYFUNCTION("""COMPUTED_VALUE"""),"On The Map")</f>
        <v>On The Map</v>
      </c>
      <c r="V544" s="43" t="str">
        <f>IFERROR(__xludf.DUMMYFUNCTION("""COMPUTED_VALUE"""),"ANTALYA")</f>
        <v>ANTALYA</v>
      </c>
      <c r="W544" s="43" t="str">
        <f>IFERROR(__xludf.DUMMYFUNCTION("""COMPUTED_VALUE"""),"2023-04-21T12:56:22Z")</f>
        <v>2023-04-21T12:56:22Z</v>
      </c>
      <c r="X544" s="43"/>
      <c r="Y544" s="43"/>
      <c r="Z544" s="43"/>
    </row>
    <row r="545" hidden="1">
      <c r="A545" s="43" t="str">
        <f>IFERROR(__xludf.DUMMYFUNCTION("""COMPUTED_VALUE"""),"5246358_1293861")</f>
        <v>5246358_1293861</v>
      </c>
      <c r="B545" s="43" t="str">
        <f>IFERROR(__xludf.DUMMYFUNCTION("""COMPUTED_VALUE"""),"Ezgi Tekbaş")</f>
        <v>Ezgi Tekbaş</v>
      </c>
      <c r="C545" s="43" t="str">
        <f>IFERROR(__xludf.DUMMYFUNCTION("""COMPUTED_VALUE"""),"completed")</f>
        <v>completed</v>
      </c>
      <c r="D545" s="43" t="str">
        <f>IFERROR(__xludf.DUMMYFUNCTION("""COMPUTED_VALUE"""),"No")</f>
        <v>No</v>
      </c>
      <c r="E545" s="43" t="str">
        <f>IFERROR(__xludf.DUMMYFUNCTION("""COMPUTED_VALUE"""),"p_f9b99fc17118cde41c9ba755df19dcfc95160023@inbound.aiesec.org")</f>
        <v>p_f9b99fc17118cde41c9ba755df19dcfc95160023@inbound.aiesec.org</v>
      </c>
      <c r="F545" s="43">
        <f>IFERROR(__xludf.DUMMYFUNCTION("""COMPUTED_VALUE"""),5.051207545E9)</f>
        <v>5051207545</v>
      </c>
      <c r="G545" s="43" t="str">
        <f>IFERROR(__xludf.DUMMYFUNCTION("""COMPUTED_VALUE"""),"Turkey")</f>
        <v>Turkey</v>
      </c>
      <c r="H545" s="43" t="str">
        <f>IFERROR(__xludf.DUMMYFUNCTION("""COMPUTED_VALUE"""),"ANTALYA")</f>
        <v>ANTALYA</v>
      </c>
      <c r="I545" s="43" t="str">
        <f>IFERROR(__xludf.DUMMYFUNCTION("""COMPUTED_VALUE"""),"Romania")</f>
        <v>Romania</v>
      </c>
      <c r="J545" s="43" t="str">
        <f>IFERROR(__xludf.DUMMYFUNCTION("""COMPUTED_VALUE"""),"BRASOV")</f>
        <v>BRASOV</v>
      </c>
      <c r="K545" s="44" t="str">
        <f>IFERROR(__xludf.DUMMYFUNCTION("""COMPUTED_VALUE"""),"https://expa.aiesec.org/opportunities/1293861")</f>
        <v>https://expa.aiesec.org/opportunities/1293861</v>
      </c>
      <c r="L545" s="43" t="str">
        <f>IFERROR(__xludf.DUMMYFUNCTION("""COMPUTED_VALUE"""),"GV")</f>
        <v>GV</v>
      </c>
      <c r="M545" s="43" t="str">
        <f>IFERROR(__xludf.DUMMYFUNCTION("""COMPUTED_VALUE"""),"short")</f>
        <v>short</v>
      </c>
      <c r="N545" s="45">
        <f>IFERROR(__xludf.DUMMYFUNCTION("""COMPUTED_VALUE"""),45038.0)</f>
        <v>45038</v>
      </c>
      <c r="O545" s="45">
        <f>IFERROR(__xludf.DUMMYFUNCTION("""COMPUTED_VALUE"""),45103.0)</f>
        <v>45103</v>
      </c>
      <c r="P545" s="45">
        <f>IFERROR(__xludf.DUMMYFUNCTION("""COMPUTED_VALUE"""),45145.0)</f>
        <v>45145</v>
      </c>
      <c r="Q545" s="45">
        <f>IFERROR(__xludf.DUMMYFUNCTION("""COMPUTED_VALUE"""),45103.0)</f>
        <v>45103</v>
      </c>
      <c r="R545" s="45">
        <f>IFERROR(__xludf.DUMMYFUNCTION("""COMPUTED_VALUE"""),45145.0)</f>
        <v>45145</v>
      </c>
      <c r="S545" s="43"/>
      <c r="T545" s="43"/>
      <c r="U545" s="43" t="str">
        <f>IFERROR(__xludf.DUMMYFUNCTION("""COMPUTED_VALUE"""),"Global Classroom")</f>
        <v>Global Classroom</v>
      </c>
      <c r="V545" s="43" t="str">
        <f>IFERROR(__xludf.DUMMYFUNCTION("""COMPUTED_VALUE"""),"ANTALYA")</f>
        <v>ANTALYA</v>
      </c>
      <c r="W545" s="43" t="str">
        <f>IFERROR(__xludf.DUMMYFUNCTION("""COMPUTED_VALUE"""),"2023-04-20T16:16:11Z")</f>
        <v>2023-04-20T16:16:11Z</v>
      </c>
      <c r="X545" s="43"/>
      <c r="Y545" s="43"/>
      <c r="Z545" s="43"/>
    </row>
    <row r="546" hidden="1">
      <c r="A546" s="43" t="str">
        <f>IFERROR(__xludf.DUMMYFUNCTION("""COMPUTED_VALUE"""),"5246263_1293979")</f>
        <v>5246263_1293979</v>
      </c>
      <c r="B546" s="43" t="str">
        <f>IFERROR(__xludf.DUMMYFUNCTION("""COMPUTED_VALUE"""),"Deniz Kafadar")</f>
        <v>Deniz Kafadar</v>
      </c>
      <c r="C546" s="43" t="str">
        <f>IFERROR(__xludf.DUMMYFUNCTION("""COMPUTED_VALUE"""),"completed")</f>
        <v>completed</v>
      </c>
      <c r="D546" s="43" t="str">
        <f>IFERROR(__xludf.DUMMYFUNCTION("""COMPUTED_VALUE"""),"No")</f>
        <v>No</v>
      </c>
      <c r="E546" s="43" t="str">
        <f>IFERROR(__xludf.DUMMYFUNCTION("""COMPUTED_VALUE"""),"p_9f696f05894f359c12e7b3771e1b8bf56aeb905a@inbound.aiesec.org")</f>
        <v>p_9f696f05894f359c12e7b3771e1b8bf56aeb905a@inbound.aiesec.org</v>
      </c>
      <c r="F546" s="43">
        <f>IFERROR(__xludf.DUMMYFUNCTION("""COMPUTED_VALUE"""),5.370498057E9)</f>
        <v>5370498057</v>
      </c>
      <c r="G546" s="43" t="str">
        <f>IFERROR(__xludf.DUMMYFUNCTION("""COMPUTED_VALUE"""),"Turkey")</f>
        <v>Turkey</v>
      </c>
      <c r="H546" s="43" t="str">
        <f>IFERROR(__xludf.DUMMYFUNCTION("""COMPUTED_VALUE"""),"ANTALYA")</f>
        <v>ANTALYA</v>
      </c>
      <c r="I546" s="43" t="str">
        <f>IFERROR(__xludf.DUMMYFUNCTION("""COMPUTED_VALUE"""),"Romania")</f>
        <v>Romania</v>
      </c>
      <c r="J546" s="43" t="str">
        <f>IFERROR(__xludf.DUMMYFUNCTION("""COMPUTED_VALUE"""),"BRASOV")</f>
        <v>BRASOV</v>
      </c>
      <c r="K546" s="44" t="str">
        <f>IFERROR(__xludf.DUMMYFUNCTION("""COMPUTED_VALUE"""),"https://expa.aiesec.org/opportunities/1293979")</f>
        <v>https://expa.aiesec.org/opportunities/1293979</v>
      </c>
      <c r="L546" s="43" t="str">
        <f>IFERROR(__xludf.DUMMYFUNCTION("""COMPUTED_VALUE"""),"GV")</f>
        <v>GV</v>
      </c>
      <c r="M546" s="43" t="str">
        <f>IFERROR(__xludf.DUMMYFUNCTION("""COMPUTED_VALUE"""),"short")</f>
        <v>short</v>
      </c>
      <c r="N546" s="45">
        <f>IFERROR(__xludf.DUMMYFUNCTION("""COMPUTED_VALUE"""),45038.0)</f>
        <v>45038</v>
      </c>
      <c r="O546" s="45">
        <f>IFERROR(__xludf.DUMMYFUNCTION("""COMPUTED_VALUE"""),45110.0)</f>
        <v>45110</v>
      </c>
      <c r="P546" s="45">
        <f>IFERROR(__xludf.DUMMYFUNCTION("""COMPUTED_VALUE"""),45152.0)</f>
        <v>45152</v>
      </c>
      <c r="Q546" s="45">
        <f>IFERROR(__xludf.DUMMYFUNCTION("""COMPUTED_VALUE"""),45110.0)</f>
        <v>45110</v>
      </c>
      <c r="R546" s="45">
        <f>IFERROR(__xludf.DUMMYFUNCTION("""COMPUTED_VALUE"""),45152.0)</f>
        <v>45152</v>
      </c>
      <c r="S546" s="43"/>
      <c r="T546" s="43"/>
      <c r="U546" s="43" t="str">
        <f>IFERROR(__xludf.DUMMYFUNCTION("""COMPUTED_VALUE"""),"Heartbeat")</f>
        <v>Heartbeat</v>
      </c>
      <c r="V546" s="43" t="str">
        <f>IFERROR(__xludf.DUMMYFUNCTION("""COMPUTED_VALUE"""),"ANTALYA")</f>
        <v>ANTALYA</v>
      </c>
      <c r="W546" s="43" t="str">
        <f>IFERROR(__xludf.DUMMYFUNCTION("""COMPUTED_VALUE"""),"2023-04-20T13:50:22Z")</f>
        <v>2023-04-20T13:50:22Z</v>
      </c>
      <c r="X546" s="43"/>
      <c r="Y546" s="43"/>
      <c r="Z546" s="43"/>
    </row>
    <row r="547" hidden="1">
      <c r="A547" s="43" t="str">
        <f>IFERROR(__xludf.DUMMYFUNCTION("""COMPUTED_VALUE"""),"5243858_1294075")</f>
        <v>5243858_1294075</v>
      </c>
      <c r="B547" s="43" t="str">
        <f>IFERROR(__xludf.DUMMYFUNCTION("""COMPUTED_VALUE"""),"Miray Kulaksız")</f>
        <v>Miray Kulaksız</v>
      </c>
      <c r="C547" s="43" t="str">
        <f>IFERROR(__xludf.DUMMYFUNCTION("""COMPUTED_VALUE"""),"completed")</f>
        <v>completed</v>
      </c>
      <c r="D547" s="43" t="str">
        <f>IFERROR(__xludf.DUMMYFUNCTION("""COMPUTED_VALUE"""),"No")</f>
        <v>No</v>
      </c>
      <c r="E547" s="43" t="str">
        <f>IFERROR(__xludf.DUMMYFUNCTION("""COMPUTED_VALUE"""),"p_9d2f5e5acfbae397c9d5e66e57f3d00fc14899bb@inbound.aiesec.org")</f>
        <v>p_9d2f5e5acfbae397c9d5e66e57f3d00fc14899bb@inbound.aiesec.org</v>
      </c>
      <c r="F547" s="43">
        <f>IFERROR(__xludf.DUMMYFUNCTION("""COMPUTED_VALUE"""),5.070509517E9)</f>
        <v>5070509517</v>
      </c>
      <c r="G547" s="43" t="str">
        <f>IFERROR(__xludf.DUMMYFUNCTION("""COMPUTED_VALUE"""),"Turkey")</f>
        <v>Turkey</v>
      </c>
      <c r="H547" s="43" t="str">
        <f>IFERROR(__xludf.DUMMYFUNCTION("""COMPUTED_VALUE"""),"ISTANBUL WEST")</f>
        <v>ISTANBUL WEST</v>
      </c>
      <c r="I547" s="43" t="str">
        <f>IFERROR(__xludf.DUMMYFUNCTION("""COMPUTED_VALUE"""),"Sri Lanka")</f>
        <v>Sri Lanka</v>
      </c>
      <c r="J547" s="43" t="str">
        <f>IFERROR(__xludf.DUMMYFUNCTION("""COMPUTED_VALUE"""),"RUHUNA")</f>
        <v>RUHUNA</v>
      </c>
      <c r="K547" s="44" t="str">
        <f>IFERROR(__xludf.DUMMYFUNCTION("""COMPUTED_VALUE"""),"https://expa.aiesec.org/opportunities/1294075")</f>
        <v>https://expa.aiesec.org/opportunities/1294075</v>
      </c>
      <c r="L547" s="43" t="str">
        <f>IFERROR(__xludf.DUMMYFUNCTION("""COMPUTED_VALUE"""),"GV")</f>
        <v>GV</v>
      </c>
      <c r="M547" s="43" t="str">
        <f>IFERROR(__xludf.DUMMYFUNCTION("""COMPUTED_VALUE"""),"short")</f>
        <v>short</v>
      </c>
      <c r="N547" s="45">
        <f>IFERROR(__xludf.DUMMYFUNCTION("""COMPUTED_VALUE"""),45038.0)</f>
        <v>45038</v>
      </c>
      <c r="O547" s="45">
        <f>IFERROR(__xludf.DUMMYFUNCTION("""COMPUTED_VALUE"""),45082.0)</f>
        <v>45082</v>
      </c>
      <c r="P547" s="45">
        <f>IFERROR(__xludf.DUMMYFUNCTION("""COMPUTED_VALUE"""),45124.0)</f>
        <v>45124</v>
      </c>
      <c r="Q547" s="45">
        <f>IFERROR(__xludf.DUMMYFUNCTION("""COMPUTED_VALUE"""),45085.0)</f>
        <v>45085</v>
      </c>
      <c r="R547" s="45">
        <f>IFERROR(__xludf.DUMMYFUNCTION("""COMPUTED_VALUE"""),45125.0)</f>
        <v>45125</v>
      </c>
      <c r="S547" s="43"/>
      <c r="T547" s="43"/>
      <c r="U547" s="43" t="str">
        <f>IFERROR(__xludf.DUMMYFUNCTION("""COMPUTED_VALUE"""),"On The Map")</f>
        <v>On The Map</v>
      </c>
      <c r="V547" s="43" t="str">
        <f>IFERROR(__xludf.DUMMYFUNCTION("""COMPUTED_VALUE"""),"EDIRNE")</f>
        <v>EDIRNE</v>
      </c>
      <c r="W547" s="43" t="str">
        <f>IFERROR(__xludf.DUMMYFUNCTION("""COMPUTED_VALUE"""),"2023-04-17T15:30:16Z")</f>
        <v>2023-04-17T15:30:16Z</v>
      </c>
      <c r="X547" s="43"/>
      <c r="Y547" s="43"/>
      <c r="Z547" s="43"/>
    </row>
    <row r="548" hidden="1">
      <c r="A548" s="43" t="str">
        <f>IFERROR(__xludf.DUMMYFUNCTION("""COMPUTED_VALUE"""),"5233944_1293284")</f>
        <v>5233944_1293284</v>
      </c>
      <c r="B548" s="43" t="str">
        <f>IFERROR(__xludf.DUMMYFUNCTION("""COMPUTED_VALUE"""),"Elif Gülsüm Karapolat")</f>
        <v>Elif Gülsüm Karapolat</v>
      </c>
      <c r="C548" s="43" t="str">
        <f>IFERROR(__xludf.DUMMYFUNCTION("""COMPUTED_VALUE"""),"approved")</f>
        <v>approved</v>
      </c>
      <c r="D548" s="43" t="str">
        <f>IFERROR(__xludf.DUMMYFUNCTION("""COMPUTED_VALUE"""),"No")</f>
        <v>No</v>
      </c>
      <c r="E548" s="43" t="str">
        <f>IFERROR(__xludf.DUMMYFUNCTION("""COMPUTED_VALUE"""),"p_672556044e01ba0bbfcbed396aea39498ad7608d@inbound.aiesec.org")</f>
        <v>p_672556044e01ba0bbfcbed396aea39498ad7608d@inbound.aiesec.org</v>
      </c>
      <c r="F548" s="43"/>
      <c r="G548" s="43" t="str">
        <f>IFERROR(__xludf.DUMMYFUNCTION("""COMPUTED_VALUE"""),"Turkey")</f>
        <v>Turkey</v>
      </c>
      <c r="H548" s="43" t="str">
        <f>IFERROR(__xludf.DUMMYFUNCTION("""COMPUTED_VALUE"""),"ISTANBUL")</f>
        <v>ISTANBUL</v>
      </c>
      <c r="I548" s="43" t="str">
        <f>IFERROR(__xludf.DUMMYFUNCTION("""COMPUTED_VALUE"""),"Czech Republic")</f>
        <v>Czech Republic</v>
      </c>
      <c r="J548" s="43" t="str">
        <f>IFERROR(__xludf.DUMMYFUNCTION("""COMPUTED_VALUE"""),"PILSEN")</f>
        <v>PILSEN</v>
      </c>
      <c r="K548" s="44" t="str">
        <f>IFERROR(__xludf.DUMMYFUNCTION("""COMPUTED_VALUE"""),"https://expa.aiesec.org/opportunities/1293284")</f>
        <v>https://expa.aiesec.org/opportunities/1293284</v>
      </c>
      <c r="L548" s="43" t="str">
        <f>IFERROR(__xludf.DUMMYFUNCTION("""COMPUTED_VALUE"""),"GV")</f>
        <v>GV</v>
      </c>
      <c r="M548" s="43" t="str">
        <f>IFERROR(__xludf.DUMMYFUNCTION("""COMPUTED_VALUE"""),"short")</f>
        <v>short</v>
      </c>
      <c r="N548" s="45">
        <f>IFERROR(__xludf.DUMMYFUNCTION("""COMPUTED_VALUE"""),45040.0)</f>
        <v>45040</v>
      </c>
      <c r="O548" s="45">
        <f>IFERROR(__xludf.DUMMYFUNCTION("""COMPUTED_VALUE"""),45173.0)</f>
        <v>45173</v>
      </c>
      <c r="P548" s="45">
        <f>IFERROR(__xludf.DUMMYFUNCTION("""COMPUTED_VALUE"""),45215.0)</f>
        <v>45215</v>
      </c>
      <c r="Q548" s="45"/>
      <c r="R548" s="45"/>
      <c r="S548" s="43"/>
      <c r="T548" s="43"/>
      <c r="U548" s="43" t="str">
        <f>IFERROR(__xludf.DUMMYFUNCTION("""COMPUTED_VALUE"""),"Youth 4 Impact")</f>
        <v>Youth 4 Impact</v>
      </c>
      <c r="V548" s="43" t="str">
        <f>IFERROR(__xludf.DUMMYFUNCTION("""COMPUTED_VALUE"""),"-")</f>
        <v>-</v>
      </c>
      <c r="W548" s="43" t="str">
        <f>IFERROR(__xludf.DUMMYFUNCTION("""COMPUTED_VALUE"""),"2023-04-03T11:45:16Z")</f>
        <v>2023-04-03T11:45:16Z</v>
      </c>
      <c r="X548" s="43"/>
      <c r="Y548" s="43"/>
      <c r="Z548" s="43"/>
    </row>
    <row r="549" hidden="1">
      <c r="A549" s="43" t="str">
        <f>IFERROR(__xludf.DUMMYFUNCTION("""COMPUTED_VALUE"""),"5234520_1293623")</f>
        <v>5234520_1293623</v>
      </c>
      <c r="B549" s="43" t="str">
        <f>IFERROR(__xludf.DUMMYFUNCTION("""COMPUTED_VALUE"""),"Damlasu Ateş")</f>
        <v>Damlasu Ateş</v>
      </c>
      <c r="C549" s="43" t="str">
        <f>IFERROR(__xludf.DUMMYFUNCTION("""COMPUTED_VALUE"""),"completed")</f>
        <v>completed</v>
      </c>
      <c r="D549" s="43" t="str">
        <f>IFERROR(__xludf.DUMMYFUNCTION("""COMPUTED_VALUE"""),"No")</f>
        <v>No</v>
      </c>
      <c r="E549" s="43" t="str">
        <f>IFERROR(__xludf.DUMMYFUNCTION("""COMPUTED_VALUE"""),"p_167c69b93b4eb7d6d7c57630f45bd733cdd503d7@inbound.aiesec.org")</f>
        <v>p_167c69b93b4eb7d6d7c57630f45bd733cdd503d7@inbound.aiesec.org</v>
      </c>
      <c r="F549" s="43">
        <f>IFERROR(__xludf.DUMMYFUNCTION("""COMPUTED_VALUE"""),5.513870435E9)</f>
        <v>5513870435</v>
      </c>
      <c r="G549" s="43" t="str">
        <f>IFERROR(__xludf.DUMMYFUNCTION("""COMPUTED_VALUE"""),"Turkey")</f>
        <v>Turkey</v>
      </c>
      <c r="H549" s="43" t="str">
        <f>IFERROR(__xludf.DUMMYFUNCTION("""COMPUTED_VALUE"""),"ANKARA")</f>
        <v>ANKARA</v>
      </c>
      <c r="I549" s="43" t="str">
        <f>IFERROR(__xludf.DUMMYFUNCTION("""COMPUTED_VALUE"""),"Romania")</f>
        <v>Romania</v>
      </c>
      <c r="J549" s="43" t="str">
        <f>IFERROR(__xludf.DUMMYFUNCTION("""COMPUTED_VALUE"""),"Cluj-Napoca")</f>
        <v>Cluj-Napoca</v>
      </c>
      <c r="K549" s="44" t="str">
        <f>IFERROR(__xludf.DUMMYFUNCTION("""COMPUTED_VALUE"""),"https://expa.aiesec.org/opportunities/1293623")</f>
        <v>https://expa.aiesec.org/opportunities/1293623</v>
      </c>
      <c r="L549" s="43" t="str">
        <f>IFERROR(__xludf.DUMMYFUNCTION("""COMPUTED_VALUE"""),"GV")</f>
        <v>GV</v>
      </c>
      <c r="M549" s="43" t="str">
        <f>IFERROR(__xludf.DUMMYFUNCTION("""COMPUTED_VALUE"""),"short")</f>
        <v>short</v>
      </c>
      <c r="N549" s="45">
        <f>IFERROR(__xludf.DUMMYFUNCTION("""COMPUTED_VALUE"""),45040.0)</f>
        <v>45040</v>
      </c>
      <c r="O549" s="45">
        <f>IFERROR(__xludf.DUMMYFUNCTION("""COMPUTED_VALUE"""),45101.0)</f>
        <v>45101</v>
      </c>
      <c r="P549" s="45">
        <f>IFERROR(__xludf.DUMMYFUNCTION("""COMPUTED_VALUE"""),45143.0)</f>
        <v>45143</v>
      </c>
      <c r="Q549" s="45">
        <f>IFERROR(__xludf.DUMMYFUNCTION("""COMPUTED_VALUE"""),45103.0)</f>
        <v>45103</v>
      </c>
      <c r="R549" s="45">
        <f>IFERROR(__xludf.DUMMYFUNCTION("""COMPUTED_VALUE"""),45143.0)</f>
        <v>45143</v>
      </c>
      <c r="S549" s="43"/>
      <c r="T549" s="43"/>
      <c r="U549" s="43" t="str">
        <f>IFERROR(__xludf.DUMMYFUNCTION("""COMPUTED_VALUE"""),"Fingerprint")</f>
        <v>Fingerprint</v>
      </c>
      <c r="V549" s="43" t="str">
        <f>IFERROR(__xludf.DUMMYFUNCTION("""COMPUTED_VALUE"""),"ANKARA")</f>
        <v>ANKARA</v>
      </c>
      <c r="W549" s="43" t="str">
        <f>IFERROR(__xludf.DUMMYFUNCTION("""COMPUTED_VALUE"""),"2023-04-04T08:33:35Z")</f>
        <v>2023-04-04T08:33:35Z</v>
      </c>
      <c r="X549" s="43"/>
      <c r="Y549" s="43"/>
      <c r="Z549" s="43"/>
    </row>
    <row r="550" hidden="1">
      <c r="A550" s="43" t="str">
        <f>IFERROR(__xludf.DUMMYFUNCTION("""COMPUTED_VALUE"""),"5231974_1286442")</f>
        <v>5231974_1286442</v>
      </c>
      <c r="B550" s="43" t="str">
        <f>IFERROR(__xludf.DUMMYFUNCTION("""COMPUTED_VALUE"""),"Ece SANDIKCI")</f>
        <v>Ece SANDIKCI</v>
      </c>
      <c r="C550" s="43" t="str">
        <f>IFERROR(__xludf.DUMMYFUNCTION("""COMPUTED_VALUE"""),"finished")</f>
        <v>finished</v>
      </c>
      <c r="D550" s="43" t="str">
        <f>IFERROR(__xludf.DUMMYFUNCTION("""COMPUTED_VALUE"""),"No")</f>
        <v>No</v>
      </c>
      <c r="E550" s="43" t="str">
        <f>IFERROR(__xludf.DUMMYFUNCTION("""COMPUTED_VALUE"""),"p_8c8551fe7d18ec5a8b5ea4fbf64313f229e44ee9@inbound.aiesec.org")</f>
        <v>p_8c8551fe7d18ec5a8b5ea4fbf64313f229e44ee9@inbound.aiesec.org</v>
      </c>
      <c r="F550" s="43">
        <f>IFERROR(__xludf.DUMMYFUNCTION("""COMPUTED_VALUE"""),5.307854381E9)</f>
        <v>5307854381</v>
      </c>
      <c r="G550" s="43" t="str">
        <f>IFERROR(__xludf.DUMMYFUNCTION("""COMPUTED_VALUE"""),"Turkey")</f>
        <v>Turkey</v>
      </c>
      <c r="H550" s="43" t="str">
        <f>IFERROR(__xludf.DUMMYFUNCTION("""COMPUTED_VALUE"""),"ESKISEHIR")</f>
        <v>ESKISEHIR</v>
      </c>
      <c r="I550" s="43" t="str">
        <f>IFERROR(__xludf.DUMMYFUNCTION("""COMPUTED_VALUE"""),"Czech Republic")</f>
        <v>Czech Republic</v>
      </c>
      <c r="J550" s="43" t="str">
        <f>IFERROR(__xludf.DUMMYFUNCTION("""COMPUTED_VALUE"""),"PRAGUE")</f>
        <v>PRAGUE</v>
      </c>
      <c r="K550" s="44" t="str">
        <f>IFERROR(__xludf.DUMMYFUNCTION("""COMPUTED_VALUE"""),"https://expa.aiesec.org/opportunities/1286442")</f>
        <v>https://expa.aiesec.org/opportunities/1286442</v>
      </c>
      <c r="L550" s="43" t="str">
        <f>IFERROR(__xludf.DUMMYFUNCTION("""COMPUTED_VALUE"""),"GV")</f>
        <v>GV</v>
      </c>
      <c r="M550" s="43" t="str">
        <f>IFERROR(__xludf.DUMMYFUNCTION("""COMPUTED_VALUE"""),"short")</f>
        <v>short</v>
      </c>
      <c r="N550" s="45">
        <f>IFERROR(__xludf.DUMMYFUNCTION("""COMPUTED_VALUE"""),45040.0)</f>
        <v>45040</v>
      </c>
      <c r="O550" s="45">
        <f>IFERROR(__xludf.DUMMYFUNCTION("""COMPUTED_VALUE"""),45053.0)</f>
        <v>45053</v>
      </c>
      <c r="P550" s="45">
        <f>IFERROR(__xludf.DUMMYFUNCTION("""COMPUTED_VALUE"""),45095.0)</f>
        <v>45095</v>
      </c>
      <c r="Q550" s="45">
        <f>IFERROR(__xludf.DUMMYFUNCTION("""COMPUTED_VALUE"""),45060.0)</f>
        <v>45060</v>
      </c>
      <c r="R550" s="45">
        <f>IFERROR(__xludf.DUMMYFUNCTION("""COMPUTED_VALUE"""),45102.0)</f>
        <v>45102</v>
      </c>
      <c r="S550" s="43"/>
      <c r="T550" s="43"/>
      <c r="U550" s="43" t="str">
        <f>IFERROR(__xludf.DUMMYFUNCTION("""COMPUTED_VALUE"""),"Youth 4 Impact")</f>
        <v>Youth 4 Impact</v>
      </c>
      <c r="V550" s="43" t="str">
        <f>IFERROR(__xludf.DUMMYFUNCTION("""COMPUTED_VALUE"""),"ESKISEHIR")</f>
        <v>ESKISEHIR</v>
      </c>
      <c r="W550" s="43" t="str">
        <f>IFERROR(__xludf.DUMMYFUNCTION("""COMPUTED_VALUE"""),"2023-03-31T11:39:27Z")</f>
        <v>2023-03-31T11:39:27Z</v>
      </c>
      <c r="X550" s="43"/>
      <c r="Y550" s="43"/>
      <c r="Z550" s="43"/>
    </row>
    <row r="551" hidden="1">
      <c r="A551" s="43" t="str">
        <f>IFERROR(__xludf.DUMMYFUNCTION("""COMPUTED_VALUE"""),"5156639_1294489")</f>
        <v>5156639_1294489</v>
      </c>
      <c r="B551" s="43" t="str">
        <f>IFERROR(__xludf.DUMMYFUNCTION("""COMPUTED_VALUE"""),"Ayşe irem Alan")</f>
        <v>Ayşe irem Alan</v>
      </c>
      <c r="C551" s="43" t="str">
        <f>IFERROR(__xludf.DUMMYFUNCTION("""COMPUTED_VALUE"""),"completed")</f>
        <v>completed</v>
      </c>
      <c r="D551" s="43" t="str">
        <f>IFERROR(__xludf.DUMMYFUNCTION("""COMPUTED_VALUE"""),"No")</f>
        <v>No</v>
      </c>
      <c r="E551" s="43" t="str">
        <f>IFERROR(__xludf.DUMMYFUNCTION("""COMPUTED_VALUE"""),"p_814e080752b7969c9f93c3a46b0d0222c15dbfa9@inbound.aiesec.org")</f>
        <v>p_814e080752b7969c9f93c3a46b0d0222c15dbfa9@inbound.aiesec.org</v>
      </c>
      <c r="F551" s="43"/>
      <c r="G551" s="43" t="str">
        <f>IFERROR(__xludf.DUMMYFUNCTION("""COMPUTED_VALUE"""),"Turkey")</f>
        <v>Turkey</v>
      </c>
      <c r="H551" s="43" t="str">
        <f>IFERROR(__xludf.DUMMYFUNCTION("""COMPUTED_VALUE"""),"ISTANBUL WEST")</f>
        <v>ISTANBUL WEST</v>
      </c>
      <c r="I551" s="43" t="str">
        <f>IFERROR(__xludf.DUMMYFUNCTION("""COMPUTED_VALUE"""),"Romania")</f>
        <v>Romania</v>
      </c>
      <c r="J551" s="43" t="str">
        <f>IFERROR(__xludf.DUMMYFUNCTION("""COMPUTED_VALUE"""),"Cluj-Napoca")</f>
        <v>Cluj-Napoca</v>
      </c>
      <c r="K551" s="44" t="str">
        <f>IFERROR(__xludf.DUMMYFUNCTION("""COMPUTED_VALUE"""),"https://expa.aiesec.org/opportunities/1294489")</f>
        <v>https://expa.aiesec.org/opportunities/1294489</v>
      </c>
      <c r="L551" s="43" t="str">
        <f>IFERROR(__xludf.DUMMYFUNCTION("""COMPUTED_VALUE"""),"GV")</f>
        <v>GV</v>
      </c>
      <c r="M551" s="43" t="str">
        <f>IFERROR(__xludf.DUMMYFUNCTION("""COMPUTED_VALUE"""),"short")</f>
        <v>short</v>
      </c>
      <c r="N551" s="45">
        <f>IFERROR(__xludf.DUMMYFUNCTION("""COMPUTED_VALUE"""),45041.0)</f>
        <v>45041</v>
      </c>
      <c r="O551" s="45">
        <f>IFERROR(__xludf.DUMMYFUNCTION("""COMPUTED_VALUE"""),45110.0)</f>
        <v>45110</v>
      </c>
      <c r="P551" s="45">
        <f>IFERROR(__xludf.DUMMYFUNCTION("""COMPUTED_VALUE"""),45152.0)</f>
        <v>45152</v>
      </c>
      <c r="Q551" s="45">
        <f>IFERROR(__xludf.DUMMYFUNCTION("""COMPUTED_VALUE"""),45111.0)</f>
        <v>45111</v>
      </c>
      <c r="R551" s="45">
        <f>IFERROR(__xludf.DUMMYFUNCTION("""COMPUTED_VALUE"""),45152.0)</f>
        <v>45152</v>
      </c>
      <c r="S551" s="43"/>
      <c r="T551" s="43"/>
      <c r="U551" s="43" t="str">
        <f>IFERROR(__xludf.DUMMYFUNCTION("""COMPUTED_VALUE"""),"Fingerprint")</f>
        <v>Fingerprint</v>
      </c>
      <c r="V551" s="43" t="str">
        <f>IFERROR(__xludf.DUMMYFUNCTION("""COMPUTED_VALUE"""),"-")</f>
        <v>-</v>
      </c>
      <c r="W551" s="43" t="str">
        <f>IFERROR(__xludf.DUMMYFUNCTION("""COMPUTED_VALUE"""),"2022-11-21T17:22:13Z")</f>
        <v>2022-11-21T17:22:13Z</v>
      </c>
      <c r="X551" s="43"/>
      <c r="Y551" s="43"/>
      <c r="Z551" s="43"/>
    </row>
    <row r="552" hidden="1">
      <c r="A552" s="43" t="str">
        <f>IFERROR(__xludf.DUMMYFUNCTION("""COMPUTED_VALUE"""),"5242721_1294310")</f>
        <v>5242721_1294310</v>
      </c>
      <c r="B552" s="43" t="str">
        <f>IFERROR(__xludf.DUMMYFUNCTION("""COMPUTED_VALUE"""),"Liana Delice")</f>
        <v>Liana Delice</v>
      </c>
      <c r="C552" s="43" t="str">
        <f>IFERROR(__xludf.DUMMYFUNCTION("""COMPUTED_VALUE"""),"completed")</f>
        <v>completed</v>
      </c>
      <c r="D552" s="43" t="str">
        <f>IFERROR(__xludf.DUMMYFUNCTION("""COMPUTED_VALUE"""),"No")</f>
        <v>No</v>
      </c>
      <c r="E552" s="43" t="str">
        <f>IFERROR(__xludf.DUMMYFUNCTION("""COMPUTED_VALUE"""),"p_ebd9cd78ac244fd95fb4ac1e8869573244e51dce@inbound.aiesec.org")</f>
        <v>p_ebd9cd78ac244fd95fb4ac1e8869573244e51dce@inbound.aiesec.org</v>
      </c>
      <c r="F552" s="43">
        <f>IFERROR(__xludf.DUMMYFUNCTION("""COMPUTED_VALUE"""),5.44214221E9)</f>
        <v>5442142210</v>
      </c>
      <c r="G552" s="43" t="str">
        <f>IFERROR(__xludf.DUMMYFUNCTION("""COMPUTED_VALUE"""),"Turkey")</f>
        <v>Turkey</v>
      </c>
      <c r="H552" s="43" t="str">
        <f>IFERROR(__xludf.DUMMYFUNCTION("""COMPUTED_VALUE"""),"ISTANBUL")</f>
        <v>ISTANBUL</v>
      </c>
      <c r="I552" s="43" t="str">
        <f>IFERROR(__xludf.DUMMYFUNCTION("""COMPUTED_VALUE"""),"Italy")</f>
        <v>Italy</v>
      </c>
      <c r="J552" s="43" t="str">
        <f>IFERROR(__xludf.DUMMYFUNCTION("""COMPUTED_VALUE"""),"Torino")</f>
        <v>Torino</v>
      </c>
      <c r="K552" s="44" t="str">
        <f>IFERROR(__xludf.DUMMYFUNCTION("""COMPUTED_VALUE"""),"https://expa.aiesec.org/opportunities/1294310")</f>
        <v>https://expa.aiesec.org/opportunities/1294310</v>
      </c>
      <c r="L552" s="43" t="str">
        <f>IFERROR(__xludf.DUMMYFUNCTION("""COMPUTED_VALUE"""),"GV")</f>
        <v>GV</v>
      </c>
      <c r="M552" s="43" t="str">
        <f>IFERROR(__xludf.DUMMYFUNCTION("""COMPUTED_VALUE"""),"short")</f>
        <v>short</v>
      </c>
      <c r="N552" s="45">
        <f>IFERROR(__xludf.DUMMYFUNCTION("""COMPUTED_VALUE"""),45041.0)</f>
        <v>45041</v>
      </c>
      <c r="O552" s="45">
        <f>IFERROR(__xludf.DUMMYFUNCTION("""COMPUTED_VALUE"""),45089.0)</f>
        <v>45089</v>
      </c>
      <c r="P552" s="45">
        <f>IFERROR(__xludf.DUMMYFUNCTION("""COMPUTED_VALUE"""),45131.0)</f>
        <v>45131</v>
      </c>
      <c r="Q552" s="45">
        <f>IFERROR(__xludf.DUMMYFUNCTION("""COMPUTED_VALUE"""),45088.0)</f>
        <v>45088</v>
      </c>
      <c r="R552" s="45">
        <f>IFERROR(__xludf.DUMMYFUNCTION("""COMPUTED_VALUE"""),45131.0)</f>
        <v>45131</v>
      </c>
      <c r="S552" s="43"/>
      <c r="T552" s="43"/>
      <c r="U552" s="43" t="str">
        <f>IFERROR(__xludf.DUMMYFUNCTION("""COMPUTED_VALUE"""),"Raise Your Voice")</f>
        <v>Raise Your Voice</v>
      </c>
      <c r="V552" s="43" t="str">
        <f>IFERROR(__xludf.DUMMYFUNCTION("""COMPUTED_VALUE"""),"ISTANBUL - BEYOGLU")</f>
        <v>ISTANBUL - BEYOGLU</v>
      </c>
      <c r="W552" s="43" t="str">
        <f>IFERROR(__xludf.DUMMYFUNCTION("""COMPUTED_VALUE"""),"2023-04-15T18:41:44Z")</f>
        <v>2023-04-15T18:41:44Z</v>
      </c>
      <c r="X552" s="43"/>
      <c r="Y552" s="43"/>
      <c r="Z552" s="43"/>
    </row>
    <row r="553" hidden="1">
      <c r="A553" s="43" t="str">
        <f>IFERROR(__xludf.DUMMYFUNCTION("""COMPUTED_VALUE"""),"5232172_1294179")</f>
        <v>5232172_1294179</v>
      </c>
      <c r="B553" s="43" t="str">
        <f>IFERROR(__xludf.DUMMYFUNCTION("""COMPUTED_VALUE"""),"kerem kesti")</f>
        <v>kerem kesti</v>
      </c>
      <c r="C553" s="43" t="str">
        <f>IFERROR(__xludf.DUMMYFUNCTION("""COMPUTED_VALUE"""),"completed")</f>
        <v>completed</v>
      </c>
      <c r="D553" s="43" t="str">
        <f>IFERROR(__xludf.DUMMYFUNCTION("""COMPUTED_VALUE"""),"No")</f>
        <v>No</v>
      </c>
      <c r="E553" s="43" t="str">
        <f>IFERROR(__xludf.DUMMYFUNCTION("""COMPUTED_VALUE"""),"p_1f3283d1c3e0dd19f3f8206d83f4e2a11e9d7dc4@inbound.aiesec.org")</f>
        <v>p_1f3283d1c3e0dd19f3f8206d83f4e2a11e9d7dc4@inbound.aiesec.org</v>
      </c>
      <c r="F553" s="43">
        <f>IFERROR(__xludf.DUMMYFUNCTION("""COMPUTED_VALUE"""),5.350242941E9)</f>
        <v>5350242941</v>
      </c>
      <c r="G553" s="43" t="str">
        <f>IFERROR(__xludf.DUMMYFUNCTION("""COMPUTED_VALUE"""),"Turkey")</f>
        <v>Turkey</v>
      </c>
      <c r="H553" s="43" t="str">
        <f>IFERROR(__xludf.DUMMYFUNCTION("""COMPUTED_VALUE"""),"ISTANBUL")</f>
        <v>ISTANBUL</v>
      </c>
      <c r="I553" s="43" t="str">
        <f>IFERROR(__xludf.DUMMYFUNCTION("""COMPUTED_VALUE"""),"Serbia")</f>
        <v>Serbia</v>
      </c>
      <c r="J553" s="43" t="str">
        <f>IFERROR(__xludf.DUMMYFUNCTION("""COMPUTED_VALUE"""),"BELGRADE FON")</f>
        <v>BELGRADE FON</v>
      </c>
      <c r="K553" s="44" t="str">
        <f>IFERROR(__xludf.DUMMYFUNCTION("""COMPUTED_VALUE"""),"https://expa.aiesec.org/opportunities/1294179")</f>
        <v>https://expa.aiesec.org/opportunities/1294179</v>
      </c>
      <c r="L553" s="43" t="str">
        <f>IFERROR(__xludf.DUMMYFUNCTION("""COMPUTED_VALUE"""),"GV")</f>
        <v>GV</v>
      </c>
      <c r="M553" s="43" t="str">
        <f>IFERROR(__xludf.DUMMYFUNCTION("""COMPUTED_VALUE"""),"short")</f>
        <v>short</v>
      </c>
      <c r="N553" s="45">
        <f>IFERROR(__xludf.DUMMYFUNCTION("""COMPUTED_VALUE"""),45041.0)</f>
        <v>45041</v>
      </c>
      <c r="O553" s="45">
        <f>IFERROR(__xludf.DUMMYFUNCTION("""COMPUTED_VALUE"""),45071.0)</f>
        <v>45071</v>
      </c>
      <c r="P553" s="45">
        <f>IFERROR(__xludf.DUMMYFUNCTION("""COMPUTED_VALUE"""),45113.0)</f>
        <v>45113</v>
      </c>
      <c r="Q553" s="45">
        <f>IFERROR(__xludf.DUMMYFUNCTION("""COMPUTED_VALUE"""),45074.0)</f>
        <v>45074</v>
      </c>
      <c r="R553" s="45">
        <f>IFERROR(__xludf.DUMMYFUNCTION("""COMPUTED_VALUE"""),45114.0)</f>
        <v>45114</v>
      </c>
      <c r="S553" s="43"/>
      <c r="T553" s="43"/>
      <c r="U553" s="43" t="str">
        <f>IFERROR(__xludf.DUMMYFUNCTION("""COMPUTED_VALUE"""),"Youth 4 Impact")</f>
        <v>Youth 4 Impact</v>
      </c>
      <c r="V553" s="43" t="str">
        <f>IFERROR(__xludf.DUMMYFUNCTION("""COMPUTED_VALUE"""),"ISTANBUL - BEYOGLU")</f>
        <v>ISTANBUL - BEYOGLU</v>
      </c>
      <c r="W553" s="43" t="str">
        <f>IFERROR(__xludf.DUMMYFUNCTION("""COMPUTED_VALUE"""),"2023-03-31T16:13:02Z")</f>
        <v>2023-03-31T16:13:02Z</v>
      </c>
      <c r="X553" s="43"/>
      <c r="Y553" s="43"/>
      <c r="Z553" s="43"/>
    </row>
    <row r="554" hidden="1">
      <c r="A554" s="43" t="str">
        <f>IFERROR(__xludf.DUMMYFUNCTION("""COMPUTED_VALUE"""),"5248977_1294522")</f>
        <v>5248977_1294522</v>
      </c>
      <c r="B554" s="43" t="str">
        <f>IFERROR(__xludf.DUMMYFUNCTION("""COMPUTED_VALUE"""),"Simge Küçükköse")</f>
        <v>Simge Küçükköse</v>
      </c>
      <c r="C554" s="43" t="str">
        <f>IFERROR(__xludf.DUMMYFUNCTION("""COMPUTED_VALUE"""),"completed")</f>
        <v>completed</v>
      </c>
      <c r="D554" s="43" t="str">
        <f>IFERROR(__xludf.DUMMYFUNCTION("""COMPUTED_VALUE"""),"No")</f>
        <v>No</v>
      </c>
      <c r="E554" s="43" t="str">
        <f>IFERROR(__xludf.DUMMYFUNCTION("""COMPUTED_VALUE"""),"p_2811a3cc81d3aa595192d28236c0fff5e20afd9a@inbound.aiesec.org")</f>
        <v>p_2811a3cc81d3aa595192d28236c0fff5e20afd9a@inbound.aiesec.org</v>
      </c>
      <c r="F554" s="43">
        <f>IFERROR(__xludf.DUMMYFUNCTION("""COMPUTED_VALUE"""),5.524534492E9)</f>
        <v>5524534492</v>
      </c>
      <c r="G554" s="43" t="str">
        <f>IFERROR(__xludf.DUMMYFUNCTION("""COMPUTED_VALUE"""),"Turkey")</f>
        <v>Turkey</v>
      </c>
      <c r="H554" s="43" t="str">
        <f>IFERROR(__xludf.DUMMYFUNCTION("""COMPUTED_VALUE"""),"ISTANBUL")</f>
        <v>ISTANBUL</v>
      </c>
      <c r="I554" s="43" t="str">
        <f>IFERROR(__xludf.DUMMYFUNCTION("""COMPUTED_VALUE"""),"Egypt")</f>
        <v>Egypt</v>
      </c>
      <c r="J554" s="43" t="str">
        <f>IFERROR(__xludf.DUMMYFUNCTION("""COMPUTED_VALUE"""),"GUC")</f>
        <v>GUC</v>
      </c>
      <c r="K554" s="44" t="str">
        <f>IFERROR(__xludf.DUMMYFUNCTION("""COMPUTED_VALUE"""),"https://expa.aiesec.org/opportunities/1294522")</f>
        <v>https://expa.aiesec.org/opportunities/1294522</v>
      </c>
      <c r="L554" s="43" t="str">
        <f>IFERROR(__xludf.DUMMYFUNCTION("""COMPUTED_VALUE"""),"GV")</f>
        <v>GV</v>
      </c>
      <c r="M554" s="43" t="str">
        <f>IFERROR(__xludf.DUMMYFUNCTION("""COMPUTED_VALUE"""),"short")</f>
        <v>short</v>
      </c>
      <c r="N554" s="45">
        <f>IFERROR(__xludf.DUMMYFUNCTION("""COMPUTED_VALUE"""),45042.0)</f>
        <v>45042</v>
      </c>
      <c r="O554" s="45">
        <f>IFERROR(__xludf.DUMMYFUNCTION("""COMPUTED_VALUE"""),45122.0)</f>
        <v>45122</v>
      </c>
      <c r="P554" s="45">
        <f>IFERROR(__xludf.DUMMYFUNCTION("""COMPUTED_VALUE"""),45164.0)</f>
        <v>45164</v>
      </c>
      <c r="Q554" s="45">
        <f>IFERROR(__xludf.DUMMYFUNCTION("""COMPUTED_VALUE"""),45122.0)</f>
        <v>45122</v>
      </c>
      <c r="R554" s="45">
        <f>IFERROR(__xludf.DUMMYFUNCTION("""COMPUTED_VALUE"""),45164.0)</f>
        <v>45164</v>
      </c>
      <c r="S554" s="43"/>
      <c r="T554" s="43"/>
      <c r="U554" s="43" t="str">
        <f>IFERROR(__xludf.DUMMYFUNCTION("""COMPUTED_VALUE"""),"Global Classroom")</f>
        <v>Global Classroom</v>
      </c>
      <c r="V554" s="43" t="str">
        <f>IFERROR(__xludf.DUMMYFUNCTION("""COMPUTED_VALUE"""),"ISTANBUL - BEYOGLU")</f>
        <v>ISTANBUL - BEYOGLU</v>
      </c>
      <c r="W554" s="43" t="str">
        <f>IFERROR(__xludf.DUMMYFUNCTION("""COMPUTED_VALUE"""),"2023-04-25T11:37:43Z")</f>
        <v>2023-04-25T11:37:43Z</v>
      </c>
      <c r="X554" s="43"/>
      <c r="Y554" s="43"/>
      <c r="Z554" s="43"/>
    </row>
    <row r="555" hidden="1">
      <c r="A555" s="43" t="str">
        <f>IFERROR(__xludf.DUMMYFUNCTION("""COMPUTED_VALUE"""),"5248523_1294193")</f>
        <v>5248523_1294193</v>
      </c>
      <c r="B555" s="43" t="str">
        <f>IFERROR(__xludf.DUMMYFUNCTION("""COMPUTED_VALUE"""),"Osman YILMAZ")</f>
        <v>Osman YILMAZ</v>
      </c>
      <c r="C555" s="43" t="str">
        <f>IFERROR(__xludf.DUMMYFUNCTION("""COMPUTED_VALUE"""),"completed")</f>
        <v>completed</v>
      </c>
      <c r="D555" s="43" t="str">
        <f>IFERROR(__xludf.DUMMYFUNCTION("""COMPUTED_VALUE"""),"No")</f>
        <v>No</v>
      </c>
      <c r="E555" s="43" t="str">
        <f>IFERROR(__xludf.DUMMYFUNCTION("""COMPUTED_VALUE"""),"p_3f897f4af8dccc307ebb5db4559ecb7fca464ebd@inbound.aiesec.org")</f>
        <v>p_3f897f4af8dccc307ebb5db4559ecb7fca464ebd@inbound.aiesec.org</v>
      </c>
      <c r="F555" s="43">
        <f>IFERROR(__xludf.DUMMYFUNCTION("""COMPUTED_VALUE"""),5.45341574E9)</f>
        <v>5453415740</v>
      </c>
      <c r="G555" s="43" t="str">
        <f>IFERROR(__xludf.DUMMYFUNCTION("""COMPUTED_VALUE"""),"Turkey")</f>
        <v>Turkey</v>
      </c>
      <c r="H555" s="43" t="str">
        <f>IFERROR(__xludf.DUMMYFUNCTION("""COMPUTED_VALUE"""),"KUTAHYA")</f>
        <v>KUTAHYA</v>
      </c>
      <c r="I555" s="43" t="str">
        <f>IFERROR(__xludf.DUMMYFUNCTION("""COMPUTED_VALUE"""),"Serbia")</f>
        <v>Serbia</v>
      </c>
      <c r="J555" s="43" t="str">
        <f>IFERROR(__xludf.DUMMYFUNCTION("""COMPUTED_VALUE"""),"KRAGUJEVAC")</f>
        <v>KRAGUJEVAC</v>
      </c>
      <c r="K555" s="44" t="str">
        <f>IFERROR(__xludf.DUMMYFUNCTION("""COMPUTED_VALUE"""),"https://expa.aiesec.org/opportunities/1294193")</f>
        <v>https://expa.aiesec.org/opportunities/1294193</v>
      </c>
      <c r="L555" s="43" t="str">
        <f>IFERROR(__xludf.DUMMYFUNCTION("""COMPUTED_VALUE"""),"GV")</f>
        <v>GV</v>
      </c>
      <c r="M555" s="43" t="str">
        <f>IFERROR(__xludf.DUMMYFUNCTION("""COMPUTED_VALUE"""),"short")</f>
        <v>short</v>
      </c>
      <c r="N555" s="45">
        <f>IFERROR(__xludf.DUMMYFUNCTION("""COMPUTED_VALUE"""),45042.0)</f>
        <v>45042</v>
      </c>
      <c r="O555" s="45">
        <f>IFERROR(__xludf.DUMMYFUNCTION("""COMPUTED_VALUE"""),45089.0)</f>
        <v>45089</v>
      </c>
      <c r="P555" s="45">
        <f>IFERROR(__xludf.DUMMYFUNCTION("""COMPUTED_VALUE"""),45131.0)</f>
        <v>45131</v>
      </c>
      <c r="Q555" s="45">
        <f>IFERROR(__xludf.DUMMYFUNCTION("""COMPUTED_VALUE"""),45098.0)</f>
        <v>45098</v>
      </c>
      <c r="R555" s="45">
        <f>IFERROR(__xludf.DUMMYFUNCTION("""COMPUTED_VALUE"""),45138.0)</f>
        <v>45138</v>
      </c>
      <c r="S555" s="43"/>
      <c r="T555" s="43"/>
      <c r="U555" s="43" t="str">
        <f>IFERROR(__xludf.DUMMYFUNCTION("""COMPUTED_VALUE"""),"Youth 4 Impact")</f>
        <v>Youth 4 Impact</v>
      </c>
      <c r="V555" s="43" t="str">
        <f>IFERROR(__xludf.DUMMYFUNCTION("""COMPUTED_VALUE"""),"KUTAHYA")</f>
        <v>KUTAHYA</v>
      </c>
      <c r="W555" s="43" t="str">
        <f>IFERROR(__xludf.DUMMYFUNCTION("""COMPUTED_VALUE"""),"2023-04-24T18:41:16Z")</f>
        <v>2023-04-24T18:41:16Z</v>
      </c>
      <c r="X555" s="43"/>
      <c r="Y555" s="43"/>
      <c r="Z555" s="43"/>
    </row>
    <row r="556" hidden="1">
      <c r="A556" s="43" t="str">
        <f>IFERROR(__xludf.DUMMYFUNCTION("""COMPUTED_VALUE"""),"4238956_1294458")</f>
        <v>4238956_1294458</v>
      </c>
      <c r="B556" s="43" t="str">
        <f>IFERROR(__xludf.DUMMYFUNCTION("""COMPUTED_VALUE"""),"Alisa Durmaz")</f>
        <v>Alisa Durmaz</v>
      </c>
      <c r="C556" s="43" t="str">
        <f>IFERROR(__xludf.DUMMYFUNCTION("""COMPUTED_VALUE"""),"approved")</f>
        <v>approved</v>
      </c>
      <c r="D556" s="43" t="str">
        <f>IFERROR(__xludf.DUMMYFUNCTION("""COMPUTED_VALUE"""),"No")</f>
        <v>No</v>
      </c>
      <c r="E556" s="43" t="str">
        <f>IFERROR(__xludf.DUMMYFUNCTION("""COMPUTED_VALUE"""),"p_fcad2495c4508b69b23c0d4d3a89f0d9aaa4ba7b@inbound.aiesec.org")</f>
        <v>p_fcad2495c4508b69b23c0d4d3a89f0d9aaa4ba7b@inbound.aiesec.org</v>
      </c>
      <c r="F556" s="43">
        <f>IFERROR(__xludf.DUMMYFUNCTION("""COMPUTED_VALUE"""),5.338489489E9)</f>
        <v>5338489489</v>
      </c>
      <c r="G556" s="43" t="str">
        <f>IFERROR(__xludf.DUMMYFUNCTION("""COMPUTED_VALUE"""),"Turkey")</f>
        <v>Turkey</v>
      </c>
      <c r="H556" s="43" t="str">
        <f>IFERROR(__xludf.DUMMYFUNCTION("""COMPUTED_VALUE"""),"ADANA")</f>
        <v>ADANA</v>
      </c>
      <c r="I556" s="43" t="str">
        <f>IFERROR(__xludf.DUMMYFUNCTION("""COMPUTED_VALUE"""),"Egypt")</f>
        <v>Egypt</v>
      </c>
      <c r="J556" s="43" t="str">
        <f>IFERROR(__xludf.DUMMYFUNCTION("""COMPUTED_VALUE"""),"Ain Shams University")</f>
        <v>Ain Shams University</v>
      </c>
      <c r="K556" s="44" t="str">
        <f>IFERROR(__xludf.DUMMYFUNCTION("""COMPUTED_VALUE"""),"https://expa.aiesec.org/opportunities/1294458")</f>
        <v>https://expa.aiesec.org/opportunities/1294458</v>
      </c>
      <c r="L556" s="43" t="str">
        <f>IFERROR(__xludf.DUMMYFUNCTION("""COMPUTED_VALUE"""),"GV")</f>
        <v>GV</v>
      </c>
      <c r="M556" s="43" t="str">
        <f>IFERROR(__xludf.DUMMYFUNCTION("""COMPUTED_VALUE"""),"short")</f>
        <v>short</v>
      </c>
      <c r="N556" s="45">
        <f>IFERROR(__xludf.DUMMYFUNCTION("""COMPUTED_VALUE"""),45042.0)</f>
        <v>45042</v>
      </c>
      <c r="O556" s="45">
        <f>IFERROR(__xludf.DUMMYFUNCTION("""COMPUTED_VALUE"""),45152.0)</f>
        <v>45152</v>
      </c>
      <c r="P556" s="45">
        <f>IFERROR(__xludf.DUMMYFUNCTION("""COMPUTED_VALUE"""),45194.0)</f>
        <v>45194</v>
      </c>
      <c r="Q556" s="45"/>
      <c r="R556" s="45"/>
      <c r="S556" s="43"/>
      <c r="T556" s="43"/>
      <c r="U556" s="43" t="str">
        <f>IFERROR(__xludf.DUMMYFUNCTION("""COMPUTED_VALUE"""),"Scale Up!")</f>
        <v>Scale Up!</v>
      </c>
      <c r="V556" s="43" t="str">
        <f>IFERROR(__xludf.DUMMYFUNCTION("""COMPUTED_VALUE"""),"NORTH CYPRUS")</f>
        <v>NORTH CYPRUS</v>
      </c>
      <c r="W556" s="43" t="str">
        <f>IFERROR(__xludf.DUMMYFUNCTION("""COMPUTED_VALUE"""),"2020-03-06T11:05:38Z")</f>
        <v>2020-03-06T11:05:38Z</v>
      </c>
      <c r="X556" s="43"/>
      <c r="Y556" s="43"/>
      <c r="Z556" s="43"/>
    </row>
    <row r="557" hidden="1">
      <c r="A557" s="43" t="str">
        <f>IFERROR(__xludf.DUMMYFUNCTION("""COMPUTED_VALUE"""),"5232908_1292571")</f>
        <v>5232908_1292571</v>
      </c>
      <c r="B557" s="43" t="str">
        <f>IFERROR(__xludf.DUMMYFUNCTION("""COMPUTED_VALUE"""),"Büşra Serçeoğlu")</f>
        <v>Büşra Serçeoğlu</v>
      </c>
      <c r="C557" s="43" t="str">
        <f>IFERROR(__xludf.DUMMYFUNCTION("""COMPUTED_VALUE"""),"completed")</f>
        <v>completed</v>
      </c>
      <c r="D557" s="43" t="str">
        <f>IFERROR(__xludf.DUMMYFUNCTION("""COMPUTED_VALUE"""),"No")</f>
        <v>No</v>
      </c>
      <c r="E557" s="43" t="str">
        <f>IFERROR(__xludf.DUMMYFUNCTION("""COMPUTED_VALUE"""),"p_bdf23e5b7d35bbc93384c7d25a797cf3506adbbb@inbound.aiesec.org")</f>
        <v>p_bdf23e5b7d35bbc93384c7d25a797cf3506adbbb@inbound.aiesec.org</v>
      </c>
      <c r="F557" s="43">
        <f>IFERROR(__xludf.DUMMYFUNCTION("""COMPUTED_VALUE"""),5.522427941E9)</f>
        <v>5522427941</v>
      </c>
      <c r="G557" s="43" t="str">
        <f>IFERROR(__xludf.DUMMYFUNCTION("""COMPUTED_VALUE"""),"Turkey")</f>
        <v>Turkey</v>
      </c>
      <c r="H557" s="43" t="str">
        <f>IFERROR(__xludf.DUMMYFUNCTION("""COMPUTED_VALUE"""),"ANKARA")</f>
        <v>ANKARA</v>
      </c>
      <c r="I557" s="43" t="str">
        <f>IFERROR(__xludf.DUMMYFUNCTION("""COMPUTED_VALUE"""),"Lithuania")</f>
        <v>Lithuania</v>
      </c>
      <c r="J557" s="43" t="str">
        <f>IFERROR(__xludf.DUMMYFUNCTION("""COMPUTED_VALUE"""),"VILNIUS")</f>
        <v>VILNIUS</v>
      </c>
      <c r="K557" s="44" t="str">
        <f>IFERROR(__xludf.DUMMYFUNCTION("""COMPUTED_VALUE"""),"https://expa.aiesec.org/opportunities/1292571")</f>
        <v>https://expa.aiesec.org/opportunities/1292571</v>
      </c>
      <c r="L557" s="43" t="str">
        <f>IFERROR(__xludf.DUMMYFUNCTION("""COMPUTED_VALUE"""),"GV")</f>
        <v>GV</v>
      </c>
      <c r="M557" s="43" t="str">
        <f>IFERROR(__xludf.DUMMYFUNCTION("""COMPUTED_VALUE"""),"short")</f>
        <v>short</v>
      </c>
      <c r="N557" s="45">
        <f>IFERROR(__xludf.DUMMYFUNCTION("""COMPUTED_VALUE"""),45042.0)</f>
        <v>45042</v>
      </c>
      <c r="O557" s="45">
        <f>IFERROR(__xludf.DUMMYFUNCTION("""COMPUTED_VALUE"""),45101.0)</f>
        <v>45101</v>
      </c>
      <c r="P557" s="45">
        <f>IFERROR(__xludf.DUMMYFUNCTION("""COMPUTED_VALUE"""),45143.0)</f>
        <v>45143</v>
      </c>
      <c r="Q557" s="45">
        <f>IFERROR(__xludf.DUMMYFUNCTION("""COMPUTED_VALUE"""),45103.0)</f>
        <v>45103</v>
      </c>
      <c r="R557" s="45">
        <f>IFERROR(__xludf.DUMMYFUNCTION("""COMPUTED_VALUE"""),45143.0)</f>
        <v>45143</v>
      </c>
      <c r="S557" s="43"/>
      <c r="T557" s="43"/>
      <c r="U557" s="43" t="str">
        <f>IFERROR(__xludf.DUMMYFUNCTION("""COMPUTED_VALUE"""),"Explorer")</f>
        <v>Explorer</v>
      </c>
      <c r="V557" s="43" t="str">
        <f>IFERROR(__xludf.DUMMYFUNCTION("""COMPUTED_VALUE"""),"KOCAELI")</f>
        <v>KOCAELI</v>
      </c>
      <c r="W557" s="43" t="str">
        <f>IFERROR(__xludf.DUMMYFUNCTION("""COMPUTED_VALUE"""),"2023-04-01T18:33:48Z")</f>
        <v>2023-04-01T18:33:48Z</v>
      </c>
      <c r="X557" s="43"/>
      <c r="Y557" s="43"/>
      <c r="Z557" s="43"/>
    </row>
    <row r="558" hidden="1">
      <c r="A558" s="43" t="str">
        <f>IFERROR(__xludf.DUMMYFUNCTION("""COMPUTED_VALUE"""),"5244352_1290807")</f>
        <v>5244352_1290807</v>
      </c>
      <c r="B558" s="43" t="str">
        <f>IFERROR(__xludf.DUMMYFUNCTION("""COMPUTED_VALUE"""),"sena nur türkan")</f>
        <v>sena nur türkan</v>
      </c>
      <c r="C558" s="43" t="str">
        <f>IFERROR(__xludf.DUMMYFUNCTION("""COMPUTED_VALUE"""),"finished")</f>
        <v>finished</v>
      </c>
      <c r="D558" s="43" t="str">
        <f>IFERROR(__xludf.DUMMYFUNCTION("""COMPUTED_VALUE"""),"No")</f>
        <v>No</v>
      </c>
      <c r="E558" s="43" t="str">
        <f>IFERROR(__xludf.DUMMYFUNCTION("""COMPUTED_VALUE"""),"p_d876bc8078422b16684bf1b0cae00c6f6fb72a38@inbound.aiesec.org")</f>
        <v>p_d876bc8078422b16684bf1b0cae00c6f6fb72a38@inbound.aiesec.org</v>
      </c>
      <c r="F558" s="43">
        <f>IFERROR(__xludf.DUMMYFUNCTION("""COMPUTED_VALUE"""),5.511671064E9)</f>
        <v>5511671064</v>
      </c>
      <c r="G558" s="43" t="str">
        <f>IFERROR(__xludf.DUMMYFUNCTION("""COMPUTED_VALUE"""),"Turkey")</f>
        <v>Turkey</v>
      </c>
      <c r="H558" s="43" t="str">
        <f>IFERROR(__xludf.DUMMYFUNCTION("""COMPUTED_VALUE"""),"ANTALYA")</f>
        <v>ANTALYA</v>
      </c>
      <c r="I558" s="43" t="str">
        <f>IFERROR(__xludf.DUMMYFUNCTION("""COMPUTED_VALUE"""),"Sri Lanka")</f>
        <v>Sri Lanka</v>
      </c>
      <c r="J558" s="43" t="str">
        <f>IFERROR(__xludf.DUMMYFUNCTION("""COMPUTED_VALUE"""),"KANDY")</f>
        <v>KANDY</v>
      </c>
      <c r="K558" s="44" t="str">
        <f>IFERROR(__xludf.DUMMYFUNCTION("""COMPUTED_VALUE"""),"https://expa.aiesec.org/opportunities/1290807")</f>
        <v>https://expa.aiesec.org/opportunities/1290807</v>
      </c>
      <c r="L558" s="43" t="str">
        <f>IFERROR(__xludf.DUMMYFUNCTION("""COMPUTED_VALUE"""),"GV")</f>
        <v>GV</v>
      </c>
      <c r="M558" s="43" t="str">
        <f>IFERROR(__xludf.DUMMYFUNCTION("""COMPUTED_VALUE"""),"short")</f>
        <v>short</v>
      </c>
      <c r="N558" s="45">
        <f>IFERROR(__xludf.DUMMYFUNCTION("""COMPUTED_VALUE"""),45042.0)</f>
        <v>45042</v>
      </c>
      <c r="O558" s="45">
        <f>IFERROR(__xludf.DUMMYFUNCTION("""COMPUTED_VALUE"""),45243.0)</f>
        <v>45243</v>
      </c>
      <c r="P558" s="45">
        <f>IFERROR(__xludf.DUMMYFUNCTION("""COMPUTED_VALUE"""),45285.0)</f>
        <v>45285</v>
      </c>
      <c r="Q558" s="45">
        <f>IFERROR(__xludf.DUMMYFUNCTION("""COMPUTED_VALUE"""),45245.0)</f>
        <v>45245</v>
      </c>
      <c r="R558" s="45">
        <f>IFERROR(__xludf.DUMMYFUNCTION("""COMPUTED_VALUE"""),45285.0)</f>
        <v>45285</v>
      </c>
      <c r="S558" s="43"/>
      <c r="T558" s="43"/>
      <c r="U558" s="43" t="str">
        <f>IFERROR(__xludf.DUMMYFUNCTION("""COMPUTED_VALUE"""),"Skill Up!")</f>
        <v>Skill Up!</v>
      </c>
      <c r="V558" s="43" t="str">
        <f>IFERROR(__xludf.DUMMYFUNCTION("""COMPUTED_VALUE"""),"ANTALYA")</f>
        <v>ANTALYA</v>
      </c>
      <c r="W558" s="43" t="str">
        <f>IFERROR(__xludf.DUMMYFUNCTION("""COMPUTED_VALUE"""),"2023-04-18T08:51:32Z")</f>
        <v>2023-04-18T08:51:32Z</v>
      </c>
      <c r="X558" s="43"/>
      <c r="Y558" s="43"/>
      <c r="Z558" s="43"/>
    </row>
    <row r="559" hidden="1">
      <c r="A559" s="43" t="str">
        <f>IFERROR(__xludf.DUMMYFUNCTION("""COMPUTED_VALUE"""),"5239304_1291885")</f>
        <v>5239304_1291885</v>
      </c>
      <c r="B559" s="43" t="str">
        <f>IFERROR(__xludf.DUMMYFUNCTION("""COMPUTED_VALUE"""),"Emre Keskin")</f>
        <v>Emre Keskin</v>
      </c>
      <c r="C559" s="43" t="str">
        <f>IFERROR(__xludf.DUMMYFUNCTION("""COMPUTED_VALUE"""),"completed")</f>
        <v>completed</v>
      </c>
      <c r="D559" s="43" t="str">
        <f>IFERROR(__xludf.DUMMYFUNCTION("""COMPUTED_VALUE"""),"No")</f>
        <v>No</v>
      </c>
      <c r="E559" s="43" t="str">
        <f>IFERROR(__xludf.DUMMYFUNCTION("""COMPUTED_VALUE"""),"p_d93fd009d4abd132e91d1a56fae2a7ff12cdf5a1@inbound.aiesec.org")</f>
        <v>p_d93fd009d4abd132e91d1a56fae2a7ff12cdf5a1@inbound.aiesec.org</v>
      </c>
      <c r="F559" s="43"/>
      <c r="G559" s="43" t="str">
        <f>IFERROR(__xludf.DUMMYFUNCTION("""COMPUTED_VALUE"""),"Turkey")</f>
        <v>Turkey</v>
      </c>
      <c r="H559" s="43" t="str">
        <f>IFERROR(__xludf.DUMMYFUNCTION("""COMPUTED_VALUE"""),"ANKARA")</f>
        <v>ANKARA</v>
      </c>
      <c r="I559" s="43" t="str">
        <f>IFERROR(__xludf.DUMMYFUNCTION("""COMPUTED_VALUE"""),"Romania")</f>
        <v>Romania</v>
      </c>
      <c r="J559" s="43" t="str">
        <f>IFERROR(__xludf.DUMMYFUNCTION("""COMPUTED_VALUE"""),"BRASOV")</f>
        <v>BRASOV</v>
      </c>
      <c r="K559" s="44" t="str">
        <f>IFERROR(__xludf.DUMMYFUNCTION("""COMPUTED_VALUE"""),"https://expa.aiesec.org/opportunities/1291885")</f>
        <v>https://expa.aiesec.org/opportunities/1291885</v>
      </c>
      <c r="L559" s="43" t="str">
        <f>IFERROR(__xludf.DUMMYFUNCTION("""COMPUTED_VALUE"""),"GV")</f>
        <v>GV</v>
      </c>
      <c r="M559" s="43" t="str">
        <f>IFERROR(__xludf.DUMMYFUNCTION("""COMPUTED_VALUE"""),"short")</f>
        <v>short</v>
      </c>
      <c r="N559" s="45">
        <f>IFERROR(__xludf.DUMMYFUNCTION("""COMPUTED_VALUE"""),45042.0)</f>
        <v>45042</v>
      </c>
      <c r="O559" s="45">
        <f>IFERROR(__xludf.DUMMYFUNCTION("""COMPUTED_VALUE"""),45047.0)</f>
        <v>45047</v>
      </c>
      <c r="P559" s="45">
        <f>IFERROR(__xludf.DUMMYFUNCTION("""COMPUTED_VALUE"""),45089.0)</f>
        <v>45089</v>
      </c>
      <c r="Q559" s="45">
        <f>IFERROR(__xludf.DUMMYFUNCTION("""COMPUTED_VALUE"""),45053.0)</f>
        <v>45053</v>
      </c>
      <c r="R559" s="45">
        <f>IFERROR(__xludf.DUMMYFUNCTION("""COMPUTED_VALUE"""),45095.0)</f>
        <v>45095</v>
      </c>
      <c r="S559" s="43"/>
      <c r="T559" s="43"/>
      <c r="U559" s="43" t="str">
        <f>IFERROR(__xludf.DUMMYFUNCTION("""COMPUTED_VALUE"""),"Youth 4 Impact")</f>
        <v>Youth 4 Impact</v>
      </c>
      <c r="V559" s="43" t="str">
        <f>IFERROR(__xludf.DUMMYFUNCTION("""COMPUTED_VALUE"""),"-")</f>
        <v>-</v>
      </c>
      <c r="W559" s="43" t="str">
        <f>IFERROR(__xludf.DUMMYFUNCTION("""COMPUTED_VALUE"""),"2023-04-11T08:21:55Z")</f>
        <v>2023-04-11T08:21:55Z</v>
      </c>
      <c r="X559" s="43"/>
      <c r="Y559" s="43"/>
      <c r="Z559" s="43"/>
    </row>
    <row r="560" hidden="1">
      <c r="A560" s="43" t="str">
        <f>IFERROR(__xludf.DUMMYFUNCTION("""COMPUTED_VALUE"""),"5246419_1284922")</f>
        <v>5246419_1284922</v>
      </c>
      <c r="B560" s="43" t="str">
        <f>IFERROR(__xludf.DUMMYFUNCTION("""COMPUTED_VALUE"""),"Merve Nur Erol")</f>
        <v>Merve Nur Erol</v>
      </c>
      <c r="C560" s="43" t="str">
        <f>IFERROR(__xludf.DUMMYFUNCTION("""COMPUTED_VALUE"""),"approved")</f>
        <v>approved</v>
      </c>
      <c r="D560" s="43" t="str">
        <f>IFERROR(__xludf.DUMMYFUNCTION("""COMPUTED_VALUE"""),"No")</f>
        <v>No</v>
      </c>
      <c r="E560" s="43" t="str">
        <f>IFERROR(__xludf.DUMMYFUNCTION("""COMPUTED_VALUE"""),"p_1e29562b61cb919dd6b171171e937a052b6f2cd4@inbound.aiesec.org")</f>
        <v>p_1e29562b61cb919dd6b171171e937a052b6f2cd4@inbound.aiesec.org</v>
      </c>
      <c r="F560" s="43"/>
      <c r="G560" s="43" t="str">
        <f>IFERROR(__xludf.DUMMYFUNCTION("""COMPUTED_VALUE"""),"Turkey")</f>
        <v>Turkey</v>
      </c>
      <c r="H560" s="43" t="str">
        <f>IFERROR(__xludf.DUMMYFUNCTION("""COMPUTED_VALUE"""),"ANKARA")</f>
        <v>ANKARA</v>
      </c>
      <c r="I560" s="43" t="str">
        <f>IFERROR(__xludf.DUMMYFUNCTION("""COMPUTED_VALUE"""),"Sri Lanka")</f>
        <v>Sri Lanka</v>
      </c>
      <c r="J560" s="43" t="str">
        <f>IFERROR(__xludf.DUMMYFUNCTION("""COMPUTED_VALUE"""),"COLOMBO CENTRAL")</f>
        <v>COLOMBO CENTRAL</v>
      </c>
      <c r="K560" s="44" t="str">
        <f>IFERROR(__xludf.DUMMYFUNCTION("""COMPUTED_VALUE"""),"https://expa.aiesec.org/opportunities/1284922")</f>
        <v>https://expa.aiesec.org/opportunities/1284922</v>
      </c>
      <c r="L560" s="43" t="str">
        <f>IFERROR(__xludf.DUMMYFUNCTION("""COMPUTED_VALUE"""),"GV")</f>
        <v>GV</v>
      </c>
      <c r="M560" s="43" t="str">
        <f>IFERROR(__xludf.DUMMYFUNCTION("""COMPUTED_VALUE"""),"short")</f>
        <v>short</v>
      </c>
      <c r="N560" s="45">
        <f>IFERROR(__xludf.DUMMYFUNCTION("""COMPUTED_VALUE"""),45043.0)</f>
        <v>45043</v>
      </c>
      <c r="O560" s="45">
        <f>IFERROR(__xludf.DUMMYFUNCTION("""COMPUTED_VALUE"""),45124.0)</f>
        <v>45124</v>
      </c>
      <c r="P560" s="45">
        <f>IFERROR(__xludf.DUMMYFUNCTION("""COMPUTED_VALUE"""),45166.0)</f>
        <v>45166</v>
      </c>
      <c r="Q560" s="45"/>
      <c r="R560" s="45"/>
      <c r="S560" s="43"/>
      <c r="T560" s="43"/>
      <c r="U560" s="43" t="str">
        <f>IFERROR(__xludf.DUMMYFUNCTION("""COMPUTED_VALUE"""),"Aquatica")</f>
        <v>Aquatica</v>
      </c>
      <c r="V560" s="43" t="str">
        <f>IFERROR(__xludf.DUMMYFUNCTION("""COMPUTED_VALUE"""),"-")</f>
        <v>-</v>
      </c>
      <c r="W560" s="43" t="str">
        <f>IFERROR(__xludf.DUMMYFUNCTION("""COMPUTED_VALUE"""),"2023-04-20T18:22:39Z")</f>
        <v>2023-04-20T18:22:39Z</v>
      </c>
      <c r="X560" s="43"/>
      <c r="Y560" s="43"/>
      <c r="Z560" s="43"/>
    </row>
    <row r="561" hidden="1">
      <c r="A561" s="43" t="str">
        <f>IFERROR(__xludf.DUMMYFUNCTION("""COMPUTED_VALUE"""),"5211283_1293645")</f>
        <v>5211283_1293645</v>
      </c>
      <c r="B561" s="43" t="str">
        <f>IFERROR(__xludf.DUMMYFUNCTION("""COMPUTED_VALUE"""),"Gözde Köksal")</f>
        <v>Gözde Köksal</v>
      </c>
      <c r="C561" s="43" t="str">
        <f>IFERROR(__xludf.DUMMYFUNCTION("""COMPUTED_VALUE"""),"completed")</f>
        <v>completed</v>
      </c>
      <c r="D561" s="43" t="str">
        <f>IFERROR(__xludf.DUMMYFUNCTION("""COMPUTED_VALUE"""),"No")</f>
        <v>No</v>
      </c>
      <c r="E561" s="43" t="str">
        <f>IFERROR(__xludf.DUMMYFUNCTION("""COMPUTED_VALUE"""),"p_85f4457cddfa2a9477bfe402846793a010f46ea0@inbound.aiesec.org")</f>
        <v>p_85f4457cddfa2a9477bfe402846793a010f46ea0@inbound.aiesec.org</v>
      </c>
      <c r="F561" s="43">
        <f>IFERROR(__xludf.DUMMYFUNCTION("""COMPUTED_VALUE"""),5.439434109E9)</f>
        <v>5439434109</v>
      </c>
      <c r="G561" s="43" t="str">
        <f>IFERROR(__xludf.DUMMYFUNCTION("""COMPUTED_VALUE"""),"Turkey")</f>
        <v>Turkey</v>
      </c>
      <c r="H561" s="43" t="str">
        <f>IFERROR(__xludf.DUMMYFUNCTION("""COMPUTED_VALUE"""),"ANKARA")</f>
        <v>ANKARA</v>
      </c>
      <c r="I561" s="43" t="str">
        <f>IFERROR(__xludf.DUMMYFUNCTION("""COMPUTED_VALUE"""),"Tunisia")</f>
        <v>Tunisia</v>
      </c>
      <c r="J561" s="43" t="str">
        <f>IFERROR(__xludf.DUMMYFUNCTION("""COMPUTED_VALUE"""),"HADRUMET")</f>
        <v>HADRUMET</v>
      </c>
      <c r="K561" s="44" t="str">
        <f>IFERROR(__xludf.DUMMYFUNCTION("""COMPUTED_VALUE"""),"https://expa.aiesec.org/opportunities/1293645")</f>
        <v>https://expa.aiesec.org/opportunities/1293645</v>
      </c>
      <c r="L561" s="43" t="str">
        <f>IFERROR(__xludf.DUMMYFUNCTION("""COMPUTED_VALUE"""),"GV")</f>
        <v>GV</v>
      </c>
      <c r="M561" s="43" t="str">
        <f>IFERROR(__xludf.DUMMYFUNCTION("""COMPUTED_VALUE"""),"short")</f>
        <v>short</v>
      </c>
      <c r="N561" s="45">
        <f>IFERROR(__xludf.DUMMYFUNCTION("""COMPUTED_VALUE"""),45043.0)</f>
        <v>45043</v>
      </c>
      <c r="O561" s="45">
        <f>IFERROR(__xludf.DUMMYFUNCTION("""COMPUTED_VALUE"""),45110.0)</f>
        <v>45110</v>
      </c>
      <c r="P561" s="45">
        <f>IFERROR(__xludf.DUMMYFUNCTION("""COMPUTED_VALUE"""),45152.0)</f>
        <v>45152</v>
      </c>
      <c r="Q561" s="45">
        <f>IFERROR(__xludf.DUMMYFUNCTION("""COMPUTED_VALUE"""),45110.0)</f>
        <v>45110</v>
      </c>
      <c r="R561" s="45">
        <f>IFERROR(__xludf.DUMMYFUNCTION("""COMPUTED_VALUE"""),45152.0)</f>
        <v>45152</v>
      </c>
      <c r="S561" s="43"/>
      <c r="T561" s="43"/>
      <c r="U561" s="43" t="str">
        <f>IFERROR(__xludf.DUMMYFUNCTION("""COMPUTED_VALUE"""),"Green Leaders")</f>
        <v>Green Leaders</v>
      </c>
      <c r="V561" s="43" t="str">
        <f>IFERROR(__xludf.DUMMYFUNCTION("""COMPUTED_VALUE"""),"ANKARA")</f>
        <v>ANKARA</v>
      </c>
      <c r="W561" s="43" t="str">
        <f>IFERROR(__xludf.DUMMYFUNCTION("""COMPUTED_VALUE"""),"2023-03-09T17:11:07Z")</f>
        <v>2023-03-09T17:11:07Z</v>
      </c>
      <c r="X561" s="43"/>
      <c r="Y561" s="43"/>
      <c r="Z561" s="43"/>
    </row>
    <row r="562" hidden="1">
      <c r="A562" s="43" t="str">
        <f>IFERROR(__xludf.DUMMYFUNCTION("""COMPUTED_VALUE"""),"4317985_1293918")</f>
        <v>4317985_1293918</v>
      </c>
      <c r="B562" s="43" t="str">
        <f>IFERROR(__xludf.DUMMYFUNCTION("""COMPUTED_VALUE"""),"Mehmet Can Tengiroglu")</f>
        <v>Mehmet Can Tengiroglu</v>
      </c>
      <c r="C562" s="43" t="str">
        <f>IFERROR(__xludf.DUMMYFUNCTION("""COMPUTED_VALUE"""),"finished")</f>
        <v>finished</v>
      </c>
      <c r="D562" s="43" t="str">
        <f>IFERROR(__xludf.DUMMYFUNCTION("""COMPUTED_VALUE"""),"No")</f>
        <v>No</v>
      </c>
      <c r="E562" s="43" t="str">
        <f>IFERROR(__xludf.DUMMYFUNCTION("""COMPUTED_VALUE"""),"p_5f715097c1326604c64c550aa695ede5477ec407@inbound.aiesec.org")</f>
        <v>p_5f715097c1326604c64c550aa695ede5477ec407@inbound.aiesec.org</v>
      </c>
      <c r="F562" s="43">
        <f>IFERROR(__xludf.DUMMYFUNCTION("""COMPUTED_VALUE"""),5.330910311E9)</f>
        <v>5330910311</v>
      </c>
      <c r="G562" s="43" t="str">
        <f>IFERROR(__xludf.DUMMYFUNCTION("""COMPUTED_VALUE"""),"Turkey")</f>
        <v>Turkey</v>
      </c>
      <c r="H562" s="43" t="str">
        <f>IFERROR(__xludf.DUMMYFUNCTION("""COMPUTED_VALUE"""),"ISTANBUL")</f>
        <v>ISTANBUL</v>
      </c>
      <c r="I562" s="43" t="str">
        <f>IFERROR(__xludf.DUMMYFUNCTION("""COMPUTED_VALUE"""),"Slovakia")</f>
        <v>Slovakia</v>
      </c>
      <c r="J562" s="43" t="str">
        <f>IFERROR(__xludf.DUMMYFUNCTION("""COMPUTED_VALUE"""),"Comenius University")</f>
        <v>Comenius University</v>
      </c>
      <c r="K562" s="44" t="str">
        <f>IFERROR(__xludf.DUMMYFUNCTION("""COMPUTED_VALUE"""),"https://expa.aiesec.org/opportunities/1293918")</f>
        <v>https://expa.aiesec.org/opportunities/1293918</v>
      </c>
      <c r="L562" s="43" t="str">
        <f>IFERROR(__xludf.DUMMYFUNCTION("""COMPUTED_VALUE"""),"GV")</f>
        <v>GV</v>
      </c>
      <c r="M562" s="43" t="str">
        <f>IFERROR(__xludf.DUMMYFUNCTION("""COMPUTED_VALUE"""),"short")</f>
        <v>short</v>
      </c>
      <c r="N562" s="45">
        <f>IFERROR(__xludf.DUMMYFUNCTION("""COMPUTED_VALUE"""),45043.0)</f>
        <v>45043</v>
      </c>
      <c r="O562" s="45">
        <f>IFERROR(__xludf.DUMMYFUNCTION("""COMPUTED_VALUE"""),45061.0)</f>
        <v>45061</v>
      </c>
      <c r="P562" s="45">
        <f>IFERROR(__xludf.DUMMYFUNCTION("""COMPUTED_VALUE"""),45103.0)</f>
        <v>45103</v>
      </c>
      <c r="Q562" s="45">
        <f>IFERROR(__xludf.DUMMYFUNCTION("""COMPUTED_VALUE"""),45061.0)</f>
        <v>45061</v>
      </c>
      <c r="R562" s="45">
        <f>IFERROR(__xludf.DUMMYFUNCTION("""COMPUTED_VALUE"""),45103.0)</f>
        <v>45103</v>
      </c>
      <c r="S562" s="43"/>
      <c r="T562" s="43"/>
      <c r="U562" s="43" t="str">
        <f>IFERROR(__xludf.DUMMYFUNCTION("""COMPUTED_VALUE"""),"Youth 4 Impact")</f>
        <v>Youth 4 Impact</v>
      </c>
      <c r="V562" s="43" t="str">
        <f>IFERROR(__xludf.DUMMYFUNCTION("""COMPUTED_VALUE"""),"ISTANBUL - BEYOGLU")</f>
        <v>ISTANBUL - BEYOGLU</v>
      </c>
      <c r="W562" s="43" t="str">
        <f>IFERROR(__xludf.DUMMYFUNCTION("""COMPUTED_VALUE"""),"2020-06-26T13:09:07Z")</f>
        <v>2020-06-26T13:09:07Z</v>
      </c>
      <c r="X562" s="43"/>
      <c r="Y562" s="43"/>
      <c r="Z562" s="43"/>
    </row>
    <row r="563" hidden="1">
      <c r="A563" s="43" t="str">
        <f>IFERROR(__xludf.DUMMYFUNCTION("""COMPUTED_VALUE"""),"5234271_1293980")</f>
        <v>5234271_1293980</v>
      </c>
      <c r="B563" s="43" t="str">
        <f>IFERROR(__xludf.DUMMYFUNCTION("""COMPUTED_VALUE"""),"Hilal Cemile Dolu")</f>
        <v>Hilal Cemile Dolu</v>
      </c>
      <c r="C563" s="43" t="str">
        <f>IFERROR(__xludf.DUMMYFUNCTION("""COMPUTED_VALUE"""),"completed")</f>
        <v>completed</v>
      </c>
      <c r="D563" s="43" t="str">
        <f>IFERROR(__xludf.DUMMYFUNCTION("""COMPUTED_VALUE"""),"No")</f>
        <v>No</v>
      </c>
      <c r="E563" s="43" t="str">
        <f>IFERROR(__xludf.DUMMYFUNCTION("""COMPUTED_VALUE"""),"p_c96b64459cbf323720ae3c1a08fc04931d2fd999@inbound.aiesec.org")</f>
        <v>p_c96b64459cbf323720ae3c1a08fc04931d2fd999@inbound.aiesec.org</v>
      </c>
      <c r="F563" s="43">
        <f>IFERROR(__xludf.DUMMYFUNCTION("""COMPUTED_VALUE"""),5.54869924E9)</f>
        <v>5548699240</v>
      </c>
      <c r="G563" s="43" t="str">
        <f>IFERROR(__xludf.DUMMYFUNCTION("""COMPUTED_VALUE"""),"Turkey")</f>
        <v>Turkey</v>
      </c>
      <c r="H563" s="43" t="str">
        <f>IFERROR(__xludf.DUMMYFUNCTION("""COMPUTED_VALUE"""),"BURSA")</f>
        <v>BURSA</v>
      </c>
      <c r="I563" s="43" t="str">
        <f>IFERROR(__xludf.DUMMYFUNCTION("""COMPUTED_VALUE"""),"Slovakia")</f>
        <v>Slovakia</v>
      </c>
      <c r="J563" s="43" t="str">
        <f>IFERROR(__xludf.DUMMYFUNCTION("""COMPUTED_VALUE"""),"Bratislava")</f>
        <v>Bratislava</v>
      </c>
      <c r="K563" s="44" t="str">
        <f>IFERROR(__xludf.DUMMYFUNCTION("""COMPUTED_VALUE"""),"https://expa.aiesec.org/opportunities/1293980")</f>
        <v>https://expa.aiesec.org/opportunities/1293980</v>
      </c>
      <c r="L563" s="43" t="str">
        <f>IFERROR(__xludf.DUMMYFUNCTION("""COMPUTED_VALUE"""),"GV")</f>
        <v>GV</v>
      </c>
      <c r="M563" s="43" t="str">
        <f>IFERROR(__xludf.DUMMYFUNCTION("""COMPUTED_VALUE"""),"short")</f>
        <v>short</v>
      </c>
      <c r="N563" s="45">
        <f>IFERROR(__xludf.DUMMYFUNCTION("""COMPUTED_VALUE"""),45043.0)</f>
        <v>45043</v>
      </c>
      <c r="O563" s="45">
        <f>IFERROR(__xludf.DUMMYFUNCTION("""COMPUTED_VALUE"""),45096.0)</f>
        <v>45096</v>
      </c>
      <c r="P563" s="45">
        <f>IFERROR(__xludf.DUMMYFUNCTION("""COMPUTED_VALUE"""),45138.0)</f>
        <v>45138</v>
      </c>
      <c r="Q563" s="45">
        <f>IFERROR(__xludf.DUMMYFUNCTION("""COMPUTED_VALUE"""),45098.0)</f>
        <v>45098</v>
      </c>
      <c r="R563" s="45">
        <f>IFERROR(__xludf.DUMMYFUNCTION("""COMPUTED_VALUE"""),45138.0)</f>
        <v>45138</v>
      </c>
      <c r="S563" s="43"/>
      <c r="T563" s="43"/>
      <c r="U563" s="43" t="str">
        <f>IFERROR(__xludf.DUMMYFUNCTION("""COMPUTED_VALUE"""),"Happy Bus")</f>
        <v>Happy Bus</v>
      </c>
      <c r="V563" s="43" t="str">
        <f>IFERROR(__xludf.DUMMYFUNCTION("""COMPUTED_VALUE"""),"ISTANBUL - BEYOGLU")</f>
        <v>ISTANBUL - BEYOGLU</v>
      </c>
      <c r="W563" s="43" t="str">
        <f>IFERROR(__xludf.DUMMYFUNCTION("""COMPUTED_VALUE"""),"2023-04-03T19:38:14Z")</f>
        <v>2023-04-03T19:38:14Z</v>
      </c>
      <c r="X563" s="43"/>
      <c r="Y563" s="43"/>
      <c r="Z563" s="43"/>
    </row>
    <row r="564" hidden="1">
      <c r="A564" s="43" t="str">
        <f>IFERROR(__xludf.DUMMYFUNCTION("""COMPUTED_VALUE"""),"5161220_1279870")</f>
        <v>5161220_1279870</v>
      </c>
      <c r="B564" s="43" t="str">
        <f>IFERROR(__xludf.DUMMYFUNCTION("""COMPUTED_VALUE"""),"Dogukan Gezer")</f>
        <v>Dogukan Gezer</v>
      </c>
      <c r="C564" s="43" t="str">
        <f>IFERROR(__xludf.DUMMYFUNCTION("""COMPUTED_VALUE"""),"approved")</f>
        <v>approved</v>
      </c>
      <c r="D564" s="43" t="str">
        <f>IFERROR(__xludf.DUMMYFUNCTION("""COMPUTED_VALUE"""),"No")</f>
        <v>No</v>
      </c>
      <c r="E564" s="43" t="str">
        <f>IFERROR(__xludf.DUMMYFUNCTION("""COMPUTED_VALUE"""),"p_01ad6e02ed874861aa420aaaf878319e0bcafc09@inbound.aiesec.org")</f>
        <v>p_01ad6e02ed874861aa420aaaf878319e0bcafc09@inbound.aiesec.org</v>
      </c>
      <c r="F564" s="43">
        <f>IFERROR(__xludf.DUMMYFUNCTION("""COMPUTED_VALUE"""),5.369907948E9)</f>
        <v>5369907948</v>
      </c>
      <c r="G564" s="43" t="str">
        <f>IFERROR(__xludf.DUMMYFUNCTION("""COMPUTED_VALUE"""),"Turkey")</f>
        <v>Turkey</v>
      </c>
      <c r="H564" s="43" t="str">
        <f>IFERROR(__xludf.DUMMYFUNCTION("""COMPUTED_VALUE"""),"İZMİR")</f>
        <v>İZMİR</v>
      </c>
      <c r="I564" s="43" t="str">
        <f>IFERROR(__xludf.DUMMYFUNCTION("""COMPUTED_VALUE"""),"Brazil")</f>
        <v>Brazil</v>
      </c>
      <c r="J564" s="43" t="str">
        <f>IFERROR(__xludf.DUMMYFUNCTION("""COMPUTED_VALUE"""),"FORTALEZA")</f>
        <v>FORTALEZA</v>
      </c>
      <c r="K564" s="44" t="str">
        <f>IFERROR(__xludf.DUMMYFUNCTION("""COMPUTED_VALUE"""),"https://expa.aiesec.org/opportunities/1279870")</f>
        <v>https://expa.aiesec.org/opportunities/1279870</v>
      </c>
      <c r="L564" s="43" t="str">
        <f>IFERROR(__xludf.DUMMYFUNCTION("""COMPUTED_VALUE"""),"GV")</f>
        <v>GV</v>
      </c>
      <c r="M564" s="43" t="str">
        <f>IFERROR(__xludf.DUMMYFUNCTION("""COMPUTED_VALUE"""),"short")</f>
        <v>short</v>
      </c>
      <c r="N564" s="45">
        <f>IFERROR(__xludf.DUMMYFUNCTION("""COMPUTED_VALUE"""),45044.0)</f>
        <v>45044</v>
      </c>
      <c r="O564" s="45">
        <f>IFERROR(__xludf.DUMMYFUNCTION("""COMPUTED_VALUE"""),45208.0)</f>
        <v>45208</v>
      </c>
      <c r="P564" s="45">
        <f>IFERROR(__xludf.DUMMYFUNCTION("""COMPUTED_VALUE"""),45250.0)</f>
        <v>45250</v>
      </c>
      <c r="Q564" s="45"/>
      <c r="R564" s="45"/>
      <c r="S564" s="43"/>
      <c r="T564" s="43"/>
      <c r="U564" s="43" t="str">
        <f>IFERROR(__xludf.DUMMYFUNCTION("""COMPUTED_VALUE"""),"Global Classroom")</f>
        <v>Global Classroom</v>
      </c>
      <c r="V564" s="43" t="str">
        <f>IFERROR(__xludf.DUMMYFUNCTION("""COMPUTED_VALUE"""),"ISTANBUL - BEYOGLU")</f>
        <v>ISTANBUL - BEYOGLU</v>
      </c>
      <c r="W564" s="43" t="str">
        <f>IFERROR(__xludf.DUMMYFUNCTION("""COMPUTED_VALUE"""),"2022-12-01T00:53:07Z")</f>
        <v>2022-12-01T00:53:07Z</v>
      </c>
      <c r="X564" s="43"/>
      <c r="Y564" s="43"/>
      <c r="Z564" s="43"/>
    </row>
    <row r="565" hidden="1">
      <c r="A565" s="43" t="str">
        <f>IFERROR(__xludf.DUMMYFUNCTION("""COMPUTED_VALUE"""),"5171724_1290393")</f>
        <v>5171724_1290393</v>
      </c>
      <c r="B565" s="43" t="str">
        <f>IFERROR(__xludf.DUMMYFUNCTION("""COMPUTED_VALUE"""),"İbrahim Baran Yanık")</f>
        <v>İbrahim Baran Yanık</v>
      </c>
      <c r="C565" s="43" t="str">
        <f>IFERROR(__xludf.DUMMYFUNCTION("""COMPUTED_VALUE"""),"realization_broken")</f>
        <v>realization_broken</v>
      </c>
      <c r="D565" s="43" t="str">
        <f>IFERROR(__xludf.DUMMYFUNCTION("""COMPUTED_VALUE"""),"No")</f>
        <v>No</v>
      </c>
      <c r="E565" s="43" t="str">
        <f>IFERROR(__xludf.DUMMYFUNCTION("""COMPUTED_VALUE"""),"p_e861b858725a2e15b0ad1d228438bf01790dd17e@inbound.aiesec.org")</f>
        <v>p_e861b858725a2e15b0ad1d228438bf01790dd17e@inbound.aiesec.org</v>
      </c>
      <c r="F565" s="43">
        <f>IFERROR(__xludf.DUMMYFUNCTION("""COMPUTED_VALUE"""),5.392350279E9)</f>
        <v>5392350279</v>
      </c>
      <c r="G565" s="43" t="str">
        <f>IFERROR(__xludf.DUMMYFUNCTION("""COMPUTED_VALUE"""),"Turkey")</f>
        <v>Turkey</v>
      </c>
      <c r="H565" s="43" t="str">
        <f>IFERROR(__xludf.DUMMYFUNCTION("""COMPUTED_VALUE"""),"SAKARYA")</f>
        <v>SAKARYA</v>
      </c>
      <c r="I565" s="43" t="str">
        <f>IFERROR(__xludf.DUMMYFUNCTION("""COMPUTED_VALUE"""),"Egypt")</f>
        <v>Egypt</v>
      </c>
      <c r="J565" s="43" t="str">
        <f>IFERROR(__xludf.DUMMYFUNCTION("""COMPUTED_VALUE"""),"AUC")</f>
        <v>AUC</v>
      </c>
      <c r="K565" s="44" t="str">
        <f>IFERROR(__xludf.DUMMYFUNCTION("""COMPUTED_VALUE"""),"https://expa.aiesec.org/opportunities/1290393")</f>
        <v>https://expa.aiesec.org/opportunities/1290393</v>
      </c>
      <c r="L565" s="43" t="str">
        <f>IFERROR(__xludf.DUMMYFUNCTION("""COMPUTED_VALUE"""),"GV")</f>
        <v>GV</v>
      </c>
      <c r="M565" s="43" t="str">
        <f>IFERROR(__xludf.DUMMYFUNCTION("""COMPUTED_VALUE"""),"short")</f>
        <v>short</v>
      </c>
      <c r="N565" s="45">
        <f>IFERROR(__xludf.DUMMYFUNCTION("""COMPUTED_VALUE"""),45044.0)</f>
        <v>45044</v>
      </c>
      <c r="O565" s="45">
        <f>IFERROR(__xludf.DUMMYFUNCTION("""COMPUTED_VALUE"""),45108.0)</f>
        <v>45108</v>
      </c>
      <c r="P565" s="45">
        <f>IFERROR(__xludf.DUMMYFUNCTION("""COMPUTED_VALUE"""),45150.0)</f>
        <v>45150</v>
      </c>
      <c r="Q565" s="45"/>
      <c r="R565" s="45"/>
      <c r="S565" s="43"/>
      <c r="T565" s="43"/>
      <c r="U565" s="43" t="str">
        <f>IFERROR(__xludf.DUMMYFUNCTION("""COMPUTED_VALUE"""),"Global Classroom")</f>
        <v>Global Classroom</v>
      </c>
      <c r="V565" s="43" t="str">
        <f>IFERROR(__xludf.DUMMYFUNCTION("""COMPUTED_VALUE"""),"SAKARYA")</f>
        <v>SAKARYA</v>
      </c>
      <c r="W565" s="43" t="str">
        <f>IFERROR(__xludf.DUMMYFUNCTION("""COMPUTED_VALUE"""),"2022-12-30T21:31:47Z")</f>
        <v>2022-12-30T21:31:47Z</v>
      </c>
      <c r="X565" s="43"/>
      <c r="Y565" s="43"/>
      <c r="Z565" s="43"/>
    </row>
    <row r="566" hidden="1">
      <c r="A566" s="43" t="str">
        <f>IFERROR(__xludf.DUMMYFUNCTION("""COMPUTED_VALUE"""),"5250813_1290806")</f>
        <v>5250813_1290806</v>
      </c>
      <c r="B566" s="43" t="str">
        <f>IFERROR(__xludf.DUMMYFUNCTION("""COMPUTED_VALUE"""),"ilayda tun")</f>
        <v>ilayda tun</v>
      </c>
      <c r="C566" s="43" t="str">
        <f>IFERROR(__xludf.DUMMYFUNCTION("""COMPUTED_VALUE"""),"realization_broken")</f>
        <v>realization_broken</v>
      </c>
      <c r="D566" s="43" t="str">
        <f>IFERROR(__xludf.DUMMYFUNCTION("""COMPUTED_VALUE"""),"No")</f>
        <v>No</v>
      </c>
      <c r="E566" s="43" t="str">
        <f>IFERROR(__xludf.DUMMYFUNCTION("""COMPUTED_VALUE"""),"p_5135a41cdf4d0c7da5031fe103c9b6290d666828@inbound.aiesec.org")</f>
        <v>p_5135a41cdf4d0c7da5031fe103c9b6290d666828@inbound.aiesec.org</v>
      </c>
      <c r="F566" s="43">
        <f>IFERROR(__xludf.DUMMYFUNCTION("""COMPUTED_VALUE"""),5.456836483E9)</f>
        <v>5456836483</v>
      </c>
      <c r="G566" s="43" t="str">
        <f>IFERROR(__xludf.DUMMYFUNCTION("""COMPUTED_VALUE"""),"Turkey")</f>
        <v>Turkey</v>
      </c>
      <c r="H566" s="43" t="str">
        <f>IFERROR(__xludf.DUMMYFUNCTION("""COMPUTED_VALUE"""),"ANKARA")</f>
        <v>ANKARA</v>
      </c>
      <c r="I566" s="43" t="str">
        <f>IFERROR(__xludf.DUMMYFUNCTION("""COMPUTED_VALUE"""),"Sri Lanka")</f>
        <v>Sri Lanka</v>
      </c>
      <c r="J566" s="43" t="str">
        <f>IFERROR(__xludf.DUMMYFUNCTION("""COMPUTED_VALUE"""),"KANDY")</f>
        <v>KANDY</v>
      </c>
      <c r="K566" s="44" t="str">
        <f>IFERROR(__xludf.DUMMYFUNCTION("""COMPUTED_VALUE"""),"https://expa.aiesec.org/opportunities/1290806")</f>
        <v>https://expa.aiesec.org/opportunities/1290806</v>
      </c>
      <c r="L566" s="43" t="str">
        <f>IFERROR(__xludf.DUMMYFUNCTION("""COMPUTED_VALUE"""),"GV")</f>
        <v>GV</v>
      </c>
      <c r="M566" s="43" t="str">
        <f>IFERROR(__xludf.DUMMYFUNCTION("""COMPUTED_VALUE"""),"short")</f>
        <v>short</v>
      </c>
      <c r="N566" s="45">
        <f>IFERROR(__xludf.DUMMYFUNCTION("""COMPUTED_VALUE"""),45044.0)</f>
        <v>45044</v>
      </c>
      <c r="O566" s="45">
        <f>IFERROR(__xludf.DUMMYFUNCTION("""COMPUTED_VALUE"""),45110.0)</f>
        <v>45110</v>
      </c>
      <c r="P566" s="45">
        <f>IFERROR(__xludf.DUMMYFUNCTION("""COMPUTED_VALUE"""),45152.0)</f>
        <v>45152</v>
      </c>
      <c r="Q566" s="45"/>
      <c r="R566" s="45"/>
      <c r="S566" s="43"/>
      <c r="T566" s="43"/>
      <c r="U566" s="43" t="str">
        <f>IFERROR(__xludf.DUMMYFUNCTION("""COMPUTED_VALUE"""),"Happy Bus")</f>
        <v>Happy Bus</v>
      </c>
      <c r="V566" s="43" t="str">
        <f>IFERROR(__xludf.DUMMYFUNCTION("""COMPUTED_VALUE"""),"ANKARA")</f>
        <v>ANKARA</v>
      </c>
      <c r="W566" s="43" t="str">
        <f>IFERROR(__xludf.DUMMYFUNCTION("""COMPUTED_VALUE"""),"2023-04-27T14:24:29Z")</f>
        <v>2023-04-27T14:24:29Z</v>
      </c>
      <c r="X566" s="43"/>
      <c r="Y566" s="43"/>
      <c r="Z566" s="43"/>
    </row>
    <row r="567" hidden="1">
      <c r="A567" s="43" t="str">
        <f>IFERROR(__xludf.DUMMYFUNCTION("""COMPUTED_VALUE"""),"5244683_1289850")</f>
        <v>5244683_1289850</v>
      </c>
      <c r="B567" s="43" t="str">
        <f>IFERROR(__xludf.DUMMYFUNCTION("""COMPUTED_VALUE"""),"Sevim Kuru")</f>
        <v>Sevim Kuru</v>
      </c>
      <c r="C567" s="43" t="str">
        <f>IFERROR(__xludf.DUMMYFUNCTION("""COMPUTED_VALUE"""),"approved")</f>
        <v>approved</v>
      </c>
      <c r="D567" s="43" t="str">
        <f>IFERROR(__xludf.DUMMYFUNCTION("""COMPUTED_VALUE"""),"No")</f>
        <v>No</v>
      </c>
      <c r="E567" s="43" t="str">
        <f>IFERROR(__xludf.DUMMYFUNCTION("""COMPUTED_VALUE"""),"p_2cfe6aeb7a19d5bda89dd7ab18078faac5f8183b@inbound.aiesec.org")</f>
        <v>p_2cfe6aeb7a19d5bda89dd7ab18078faac5f8183b@inbound.aiesec.org</v>
      </c>
      <c r="F567" s="43"/>
      <c r="G567" s="43" t="str">
        <f>IFERROR(__xludf.DUMMYFUNCTION("""COMPUTED_VALUE"""),"Turkey")</f>
        <v>Turkey</v>
      </c>
      <c r="H567" s="43" t="str">
        <f>IFERROR(__xludf.DUMMYFUNCTION("""COMPUTED_VALUE"""),"ANKARA")</f>
        <v>ANKARA</v>
      </c>
      <c r="I567" s="43" t="str">
        <f>IFERROR(__xludf.DUMMYFUNCTION("""COMPUTED_VALUE"""),"India")</f>
        <v>India</v>
      </c>
      <c r="J567" s="43" t="str">
        <f>IFERROR(__xludf.DUMMYFUNCTION("""COMPUTED_VALUE"""),"Mumbai")</f>
        <v>Mumbai</v>
      </c>
      <c r="K567" s="44" t="str">
        <f>IFERROR(__xludf.DUMMYFUNCTION("""COMPUTED_VALUE"""),"https://expa.aiesec.org/opportunities/1289850")</f>
        <v>https://expa.aiesec.org/opportunities/1289850</v>
      </c>
      <c r="L567" s="43" t="str">
        <f>IFERROR(__xludf.DUMMYFUNCTION("""COMPUTED_VALUE"""),"GV")</f>
        <v>GV</v>
      </c>
      <c r="M567" s="43" t="str">
        <f>IFERROR(__xludf.DUMMYFUNCTION("""COMPUTED_VALUE"""),"short")</f>
        <v>short</v>
      </c>
      <c r="N567" s="45">
        <f>IFERROR(__xludf.DUMMYFUNCTION("""COMPUTED_VALUE"""),45044.0)</f>
        <v>45044</v>
      </c>
      <c r="O567" s="45">
        <f>IFERROR(__xludf.DUMMYFUNCTION("""COMPUTED_VALUE"""),45108.0)</f>
        <v>45108</v>
      </c>
      <c r="P567" s="45">
        <f>IFERROR(__xludf.DUMMYFUNCTION("""COMPUTED_VALUE"""),45150.0)</f>
        <v>45150</v>
      </c>
      <c r="Q567" s="45"/>
      <c r="R567" s="45"/>
      <c r="S567" s="43"/>
      <c r="T567" s="43"/>
      <c r="U567" s="43" t="str">
        <f>IFERROR(__xludf.DUMMYFUNCTION("""COMPUTED_VALUE"""),"Global Classroom")</f>
        <v>Global Classroom</v>
      </c>
      <c r="V567" s="43" t="str">
        <f>IFERROR(__xludf.DUMMYFUNCTION("""COMPUTED_VALUE"""),"-")</f>
        <v>-</v>
      </c>
      <c r="W567" s="43" t="str">
        <f>IFERROR(__xludf.DUMMYFUNCTION("""COMPUTED_VALUE"""),"2023-04-18T15:53:14Z")</f>
        <v>2023-04-18T15:53:14Z</v>
      </c>
      <c r="X567" s="43"/>
      <c r="Y567" s="43"/>
      <c r="Z567" s="43"/>
    </row>
    <row r="568" hidden="1">
      <c r="A568" s="43" t="str">
        <f>IFERROR(__xludf.DUMMYFUNCTION("""COMPUTED_VALUE"""),"5253200_1293463")</f>
        <v>5253200_1293463</v>
      </c>
      <c r="B568" s="43" t="str">
        <f>IFERROR(__xludf.DUMMYFUNCTION("""COMPUTED_VALUE"""),"YAREN DERİN")</f>
        <v>YAREN DERİN</v>
      </c>
      <c r="C568" s="43" t="str">
        <f>IFERROR(__xludf.DUMMYFUNCTION("""COMPUTED_VALUE"""),"completed")</f>
        <v>completed</v>
      </c>
      <c r="D568" s="43" t="str">
        <f>IFERROR(__xludf.DUMMYFUNCTION("""COMPUTED_VALUE"""),"No")</f>
        <v>No</v>
      </c>
      <c r="E568" s="43" t="str">
        <f>IFERROR(__xludf.DUMMYFUNCTION("""COMPUTED_VALUE"""),"p_d4558f9eac6506e87eec4d16f7bb7b6642b9f9c1@inbound.aiesec.org")</f>
        <v>p_d4558f9eac6506e87eec4d16f7bb7b6642b9f9c1@inbound.aiesec.org</v>
      </c>
      <c r="F568" s="43">
        <f>IFERROR(__xludf.DUMMYFUNCTION("""COMPUTED_VALUE"""),5.512811076E9)</f>
        <v>5512811076</v>
      </c>
      <c r="G568" s="43" t="str">
        <f>IFERROR(__xludf.DUMMYFUNCTION("""COMPUTED_VALUE"""),"Turkey")</f>
        <v>Turkey</v>
      </c>
      <c r="H568" s="43" t="str">
        <f>IFERROR(__xludf.DUMMYFUNCTION("""COMPUTED_VALUE"""),"ISTANBUL WEST")</f>
        <v>ISTANBUL WEST</v>
      </c>
      <c r="I568" s="43" t="str">
        <f>IFERROR(__xludf.DUMMYFUNCTION("""COMPUTED_VALUE"""),"Egypt")</f>
        <v>Egypt</v>
      </c>
      <c r="J568" s="43" t="str">
        <f>IFERROR(__xludf.DUMMYFUNCTION("""COMPUTED_VALUE"""),"Tanta")</f>
        <v>Tanta</v>
      </c>
      <c r="K568" s="44" t="str">
        <f>IFERROR(__xludf.DUMMYFUNCTION("""COMPUTED_VALUE"""),"https://expa.aiesec.org/opportunities/1293463")</f>
        <v>https://expa.aiesec.org/opportunities/1293463</v>
      </c>
      <c r="L568" s="43" t="str">
        <f>IFERROR(__xludf.DUMMYFUNCTION("""COMPUTED_VALUE"""),"GV")</f>
        <v>GV</v>
      </c>
      <c r="M568" s="43" t="str">
        <f>IFERROR(__xludf.DUMMYFUNCTION("""COMPUTED_VALUE"""),"short")</f>
        <v>short</v>
      </c>
      <c r="N568" s="45">
        <f>IFERROR(__xludf.DUMMYFUNCTION("""COMPUTED_VALUE"""),45046.0)</f>
        <v>45046</v>
      </c>
      <c r="O568" s="45">
        <f>IFERROR(__xludf.DUMMYFUNCTION("""COMPUTED_VALUE"""),45108.0)</f>
        <v>45108</v>
      </c>
      <c r="P568" s="45">
        <f>IFERROR(__xludf.DUMMYFUNCTION("""COMPUTED_VALUE"""),45150.0)</f>
        <v>45150</v>
      </c>
      <c r="Q568" s="45">
        <f>IFERROR(__xludf.DUMMYFUNCTION("""COMPUTED_VALUE"""),45121.0)</f>
        <v>45121</v>
      </c>
      <c r="R568" s="45">
        <f>IFERROR(__xludf.DUMMYFUNCTION("""COMPUTED_VALUE"""),45163.0)</f>
        <v>45163</v>
      </c>
      <c r="S568" s="43"/>
      <c r="T568" s="43"/>
      <c r="U568" s="43" t="str">
        <f>IFERROR(__xludf.DUMMYFUNCTION("""COMPUTED_VALUE"""),"Green Leaders")</f>
        <v>Green Leaders</v>
      </c>
      <c r="V568" s="43" t="str">
        <f>IFERROR(__xludf.DUMMYFUNCTION("""COMPUTED_VALUE"""),"ISTANBUL - BAKIRKOY")</f>
        <v>ISTANBUL - BAKIRKOY</v>
      </c>
      <c r="W568" s="43" t="str">
        <f>IFERROR(__xludf.DUMMYFUNCTION("""COMPUTED_VALUE"""),"2023-04-30T16:10:55Z")</f>
        <v>2023-04-30T16:10:55Z</v>
      </c>
      <c r="X568" s="43"/>
      <c r="Y568" s="43"/>
      <c r="Z568" s="43"/>
    </row>
    <row r="569" hidden="1">
      <c r="A569" s="43" t="str">
        <f>IFERROR(__xludf.DUMMYFUNCTION("""COMPUTED_VALUE"""),"5253012_1294505")</f>
        <v>5253012_1294505</v>
      </c>
      <c r="B569" s="43" t="str">
        <f>IFERROR(__xludf.DUMMYFUNCTION("""COMPUTED_VALUE"""),"İsmail ege Tokalaç")</f>
        <v>İsmail ege Tokalaç</v>
      </c>
      <c r="C569" s="43" t="str">
        <f>IFERROR(__xludf.DUMMYFUNCTION("""COMPUTED_VALUE"""),"completed")</f>
        <v>completed</v>
      </c>
      <c r="D569" s="43" t="str">
        <f>IFERROR(__xludf.DUMMYFUNCTION("""COMPUTED_VALUE"""),"No")</f>
        <v>No</v>
      </c>
      <c r="E569" s="43" t="str">
        <f>IFERROR(__xludf.DUMMYFUNCTION("""COMPUTED_VALUE"""),"p_7f897f543d82ed4fcd4b01c0022581b407bf092e@inbound.aiesec.org")</f>
        <v>p_7f897f543d82ed4fcd4b01c0022581b407bf092e@inbound.aiesec.org</v>
      </c>
      <c r="F569" s="43">
        <f>IFERROR(__xludf.DUMMYFUNCTION("""COMPUTED_VALUE"""),5.374145269E9)</f>
        <v>5374145269</v>
      </c>
      <c r="G569" s="43" t="str">
        <f>IFERROR(__xludf.DUMMYFUNCTION("""COMPUTED_VALUE"""),"Turkey")</f>
        <v>Turkey</v>
      </c>
      <c r="H569" s="43" t="str">
        <f>IFERROR(__xludf.DUMMYFUNCTION("""COMPUTED_VALUE"""),"ANTALYA")</f>
        <v>ANTALYA</v>
      </c>
      <c r="I569" s="43" t="str">
        <f>IFERROR(__xludf.DUMMYFUNCTION("""COMPUTED_VALUE"""),"Romania")</f>
        <v>Romania</v>
      </c>
      <c r="J569" s="43" t="str">
        <f>IFERROR(__xludf.DUMMYFUNCTION("""COMPUTED_VALUE"""),"Cluj-Napoca")</f>
        <v>Cluj-Napoca</v>
      </c>
      <c r="K569" s="44" t="str">
        <f>IFERROR(__xludf.DUMMYFUNCTION("""COMPUTED_VALUE"""),"https://expa.aiesec.org/opportunities/1294505")</f>
        <v>https://expa.aiesec.org/opportunities/1294505</v>
      </c>
      <c r="L569" s="43" t="str">
        <f>IFERROR(__xludf.DUMMYFUNCTION("""COMPUTED_VALUE"""),"GV")</f>
        <v>GV</v>
      </c>
      <c r="M569" s="43" t="str">
        <f>IFERROR(__xludf.DUMMYFUNCTION("""COMPUTED_VALUE"""),"short")</f>
        <v>short</v>
      </c>
      <c r="N569" s="45">
        <f>IFERROR(__xludf.DUMMYFUNCTION("""COMPUTED_VALUE"""),45046.0)</f>
        <v>45046</v>
      </c>
      <c r="O569" s="45">
        <f>IFERROR(__xludf.DUMMYFUNCTION("""COMPUTED_VALUE"""),45103.0)</f>
        <v>45103</v>
      </c>
      <c r="P569" s="45">
        <f>IFERROR(__xludf.DUMMYFUNCTION("""COMPUTED_VALUE"""),45145.0)</f>
        <v>45145</v>
      </c>
      <c r="Q569" s="45">
        <f>IFERROR(__xludf.DUMMYFUNCTION("""COMPUTED_VALUE"""),45103.0)</f>
        <v>45103</v>
      </c>
      <c r="R569" s="45">
        <f>IFERROR(__xludf.DUMMYFUNCTION("""COMPUTED_VALUE"""),45145.0)</f>
        <v>45145</v>
      </c>
      <c r="S569" s="43"/>
      <c r="T569" s="43"/>
      <c r="U569" s="43" t="str">
        <f>IFERROR(__xludf.DUMMYFUNCTION("""COMPUTED_VALUE"""),"Fingerprint")</f>
        <v>Fingerprint</v>
      </c>
      <c r="V569" s="43" t="str">
        <f>IFERROR(__xludf.DUMMYFUNCTION("""COMPUTED_VALUE"""),"ANTALYA")</f>
        <v>ANTALYA</v>
      </c>
      <c r="W569" s="43" t="str">
        <f>IFERROR(__xludf.DUMMYFUNCTION("""COMPUTED_VALUE"""),"2023-04-30T10:40:12Z")</f>
        <v>2023-04-30T10:40:12Z</v>
      </c>
      <c r="X569" s="43"/>
      <c r="Y569" s="43"/>
      <c r="Z569" s="43"/>
    </row>
    <row r="570" hidden="1">
      <c r="A570" s="43" t="str">
        <f>IFERROR(__xludf.DUMMYFUNCTION("""COMPUTED_VALUE"""),"5253016_1294505")</f>
        <v>5253016_1294505</v>
      </c>
      <c r="B570" s="43" t="str">
        <f>IFERROR(__xludf.DUMMYFUNCTION("""COMPUTED_VALUE"""),"Arda AKAY")</f>
        <v>Arda AKAY</v>
      </c>
      <c r="C570" s="43" t="str">
        <f>IFERROR(__xludf.DUMMYFUNCTION("""COMPUTED_VALUE"""),"completed")</f>
        <v>completed</v>
      </c>
      <c r="D570" s="43" t="str">
        <f>IFERROR(__xludf.DUMMYFUNCTION("""COMPUTED_VALUE"""),"No")</f>
        <v>No</v>
      </c>
      <c r="E570" s="43" t="str">
        <f>IFERROR(__xludf.DUMMYFUNCTION("""COMPUTED_VALUE"""),"p_281f5a835f915e12f3511894d7fb990ea40dac1f@inbound.aiesec.org")</f>
        <v>p_281f5a835f915e12f3511894d7fb990ea40dac1f@inbound.aiesec.org</v>
      </c>
      <c r="F570" s="43"/>
      <c r="G570" s="43" t="str">
        <f>IFERROR(__xludf.DUMMYFUNCTION("""COMPUTED_VALUE"""),"Turkey")</f>
        <v>Turkey</v>
      </c>
      <c r="H570" s="43" t="str">
        <f>IFERROR(__xludf.DUMMYFUNCTION("""COMPUTED_VALUE"""),"ANTALYA")</f>
        <v>ANTALYA</v>
      </c>
      <c r="I570" s="43" t="str">
        <f>IFERROR(__xludf.DUMMYFUNCTION("""COMPUTED_VALUE"""),"Romania")</f>
        <v>Romania</v>
      </c>
      <c r="J570" s="43" t="str">
        <f>IFERROR(__xludf.DUMMYFUNCTION("""COMPUTED_VALUE"""),"Cluj-Napoca")</f>
        <v>Cluj-Napoca</v>
      </c>
      <c r="K570" s="44" t="str">
        <f>IFERROR(__xludf.DUMMYFUNCTION("""COMPUTED_VALUE"""),"https://expa.aiesec.org/opportunities/1294505")</f>
        <v>https://expa.aiesec.org/opportunities/1294505</v>
      </c>
      <c r="L570" s="43" t="str">
        <f>IFERROR(__xludf.DUMMYFUNCTION("""COMPUTED_VALUE"""),"GV")</f>
        <v>GV</v>
      </c>
      <c r="M570" s="43" t="str">
        <f>IFERROR(__xludf.DUMMYFUNCTION("""COMPUTED_VALUE"""),"short")</f>
        <v>short</v>
      </c>
      <c r="N570" s="45">
        <f>IFERROR(__xludf.DUMMYFUNCTION("""COMPUTED_VALUE"""),45046.0)</f>
        <v>45046</v>
      </c>
      <c r="O570" s="45">
        <f>IFERROR(__xludf.DUMMYFUNCTION("""COMPUTED_VALUE"""),45103.0)</f>
        <v>45103</v>
      </c>
      <c r="P570" s="45">
        <f>IFERROR(__xludf.DUMMYFUNCTION("""COMPUTED_VALUE"""),45145.0)</f>
        <v>45145</v>
      </c>
      <c r="Q570" s="45">
        <f>IFERROR(__xludf.DUMMYFUNCTION("""COMPUTED_VALUE"""),45103.0)</f>
        <v>45103</v>
      </c>
      <c r="R570" s="45">
        <f>IFERROR(__xludf.DUMMYFUNCTION("""COMPUTED_VALUE"""),45145.0)</f>
        <v>45145</v>
      </c>
      <c r="S570" s="43"/>
      <c r="T570" s="43"/>
      <c r="U570" s="43" t="str">
        <f>IFERROR(__xludf.DUMMYFUNCTION("""COMPUTED_VALUE"""),"Fingerprint")</f>
        <v>Fingerprint</v>
      </c>
      <c r="V570" s="43" t="str">
        <f>IFERROR(__xludf.DUMMYFUNCTION("""COMPUTED_VALUE"""),"ANTALYA")</f>
        <v>ANTALYA</v>
      </c>
      <c r="W570" s="43" t="str">
        <f>IFERROR(__xludf.DUMMYFUNCTION("""COMPUTED_VALUE"""),"2023-04-30T10:41:36Z")</f>
        <v>2023-04-30T10:41:36Z</v>
      </c>
      <c r="X570" s="43"/>
      <c r="Y570" s="43"/>
      <c r="Z570" s="43"/>
    </row>
    <row r="571" hidden="1">
      <c r="A571" s="43" t="str">
        <f>IFERROR(__xludf.DUMMYFUNCTION("""COMPUTED_VALUE"""),"4125603_1294063")</f>
        <v>4125603_1294063</v>
      </c>
      <c r="B571" s="43" t="str">
        <f>IFERROR(__xludf.DUMMYFUNCTION("""COMPUTED_VALUE"""),"AHMET GÖKDOĞAN")</f>
        <v>AHMET GÖKDOĞAN</v>
      </c>
      <c r="C571" s="43" t="str">
        <f>IFERROR(__xludf.DUMMYFUNCTION("""COMPUTED_VALUE"""),"approved")</f>
        <v>approved</v>
      </c>
      <c r="D571" s="43" t="str">
        <f>IFERROR(__xludf.DUMMYFUNCTION("""COMPUTED_VALUE"""),"No")</f>
        <v>No</v>
      </c>
      <c r="E571" s="43" t="str">
        <f>IFERROR(__xludf.DUMMYFUNCTION("""COMPUTED_VALUE"""),"p_502565e528682f5c9eed19d99ccd112c2d8a0ac2@inbound.aiesec.org")</f>
        <v>p_502565e528682f5c9eed19d99ccd112c2d8a0ac2@inbound.aiesec.org</v>
      </c>
      <c r="F571" s="43">
        <f>IFERROR(__xludf.DUMMYFUNCTION("""COMPUTED_VALUE"""),5.415426326E9)</f>
        <v>5415426326</v>
      </c>
      <c r="G571" s="43" t="str">
        <f>IFERROR(__xludf.DUMMYFUNCTION("""COMPUTED_VALUE"""),"Turkey")</f>
        <v>Turkey</v>
      </c>
      <c r="H571" s="43" t="str">
        <f>IFERROR(__xludf.DUMMYFUNCTION("""COMPUTED_VALUE"""),"GAZIANTEP")</f>
        <v>GAZIANTEP</v>
      </c>
      <c r="I571" s="43" t="str">
        <f>IFERROR(__xludf.DUMMYFUNCTION("""COMPUTED_VALUE"""),"Egypt")</f>
        <v>Egypt</v>
      </c>
      <c r="J571" s="43" t="str">
        <f>IFERROR(__xludf.DUMMYFUNCTION("""COMPUTED_VALUE"""),"Ain Shams University")</f>
        <v>Ain Shams University</v>
      </c>
      <c r="K571" s="44" t="str">
        <f>IFERROR(__xludf.DUMMYFUNCTION("""COMPUTED_VALUE"""),"https://expa.aiesec.org/opportunities/1294063")</f>
        <v>https://expa.aiesec.org/opportunities/1294063</v>
      </c>
      <c r="L571" s="43" t="str">
        <f>IFERROR(__xludf.DUMMYFUNCTION("""COMPUTED_VALUE"""),"GV")</f>
        <v>GV</v>
      </c>
      <c r="M571" s="43" t="str">
        <f>IFERROR(__xludf.DUMMYFUNCTION("""COMPUTED_VALUE"""),"short")</f>
        <v>short</v>
      </c>
      <c r="N571" s="45">
        <f>IFERROR(__xludf.DUMMYFUNCTION("""COMPUTED_VALUE"""),45046.0)</f>
        <v>45046</v>
      </c>
      <c r="O571" s="45">
        <f>IFERROR(__xludf.DUMMYFUNCTION("""COMPUTED_VALUE"""),45139.0)</f>
        <v>45139</v>
      </c>
      <c r="P571" s="45">
        <f>IFERROR(__xludf.DUMMYFUNCTION("""COMPUTED_VALUE"""),45181.0)</f>
        <v>45181</v>
      </c>
      <c r="Q571" s="45"/>
      <c r="R571" s="45"/>
      <c r="S571" s="43"/>
      <c r="T571" s="43"/>
      <c r="U571" s="43" t="str">
        <f>IFERROR(__xludf.DUMMYFUNCTION("""COMPUTED_VALUE"""),"On The Map")</f>
        <v>On The Map</v>
      </c>
      <c r="V571" s="43" t="str">
        <f>IFERROR(__xludf.DUMMYFUNCTION("""COMPUTED_VALUE"""),"GAZIANTEP")</f>
        <v>GAZIANTEP</v>
      </c>
      <c r="W571" s="43" t="str">
        <f>IFERROR(__xludf.DUMMYFUNCTION("""COMPUTED_VALUE"""),"2020-01-06T13:32:42Z")</f>
        <v>2020-01-06T13:32:42Z</v>
      </c>
      <c r="X571" s="43"/>
      <c r="Y571" s="43"/>
      <c r="Z571" s="43"/>
    </row>
    <row r="572" hidden="1">
      <c r="A572" s="43" t="str">
        <f>IFERROR(__xludf.DUMMYFUNCTION("""COMPUTED_VALUE"""),"5251820_1293979")</f>
        <v>5251820_1293979</v>
      </c>
      <c r="B572" s="43" t="str">
        <f>IFERROR(__xludf.DUMMYFUNCTION("""COMPUTED_VALUE"""),"Sevi Yağmur Adar")</f>
        <v>Sevi Yağmur Adar</v>
      </c>
      <c r="C572" s="43" t="str">
        <f>IFERROR(__xludf.DUMMYFUNCTION("""COMPUTED_VALUE"""),"completed")</f>
        <v>completed</v>
      </c>
      <c r="D572" s="43" t="str">
        <f>IFERROR(__xludf.DUMMYFUNCTION("""COMPUTED_VALUE"""),"No")</f>
        <v>No</v>
      </c>
      <c r="E572" s="43" t="str">
        <f>IFERROR(__xludf.DUMMYFUNCTION("""COMPUTED_VALUE"""),"p_5a684cc8b8cc039ca2cc9d788b0957f32c294e8d@inbound.aiesec.org")</f>
        <v>p_5a684cc8b8cc039ca2cc9d788b0957f32c294e8d@inbound.aiesec.org</v>
      </c>
      <c r="F572" s="43">
        <f>IFERROR(__xludf.DUMMYFUNCTION("""COMPUTED_VALUE"""),5.433746959E9)</f>
        <v>5433746959</v>
      </c>
      <c r="G572" s="43" t="str">
        <f>IFERROR(__xludf.DUMMYFUNCTION("""COMPUTED_VALUE"""),"Turkey")</f>
        <v>Turkey</v>
      </c>
      <c r="H572" s="43" t="str">
        <f>IFERROR(__xludf.DUMMYFUNCTION("""COMPUTED_VALUE"""),"ANTALYA")</f>
        <v>ANTALYA</v>
      </c>
      <c r="I572" s="43" t="str">
        <f>IFERROR(__xludf.DUMMYFUNCTION("""COMPUTED_VALUE"""),"Romania")</f>
        <v>Romania</v>
      </c>
      <c r="J572" s="43" t="str">
        <f>IFERROR(__xludf.DUMMYFUNCTION("""COMPUTED_VALUE"""),"BRASOV")</f>
        <v>BRASOV</v>
      </c>
      <c r="K572" s="44" t="str">
        <f>IFERROR(__xludf.DUMMYFUNCTION("""COMPUTED_VALUE"""),"https://expa.aiesec.org/opportunities/1293979")</f>
        <v>https://expa.aiesec.org/opportunities/1293979</v>
      </c>
      <c r="L572" s="43" t="str">
        <f>IFERROR(__xludf.DUMMYFUNCTION("""COMPUTED_VALUE"""),"GV")</f>
        <v>GV</v>
      </c>
      <c r="M572" s="43" t="str">
        <f>IFERROR(__xludf.DUMMYFUNCTION("""COMPUTED_VALUE"""),"short")</f>
        <v>short</v>
      </c>
      <c r="N572" s="45">
        <f>IFERROR(__xludf.DUMMYFUNCTION("""COMPUTED_VALUE"""),45046.0)</f>
        <v>45046</v>
      </c>
      <c r="O572" s="45">
        <f>IFERROR(__xludf.DUMMYFUNCTION("""COMPUTED_VALUE"""),45110.0)</f>
        <v>45110</v>
      </c>
      <c r="P572" s="45">
        <f>IFERROR(__xludf.DUMMYFUNCTION("""COMPUTED_VALUE"""),45152.0)</f>
        <v>45152</v>
      </c>
      <c r="Q572" s="45">
        <f>IFERROR(__xludf.DUMMYFUNCTION("""COMPUTED_VALUE"""),45110.0)</f>
        <v>45110</v>
      </c>
      <c r="R572" s="45">
        <f>IFERROR(__xludf.DUMMYFUNCTION("""COMPUTED_VALUE"""),45152.0)</f>
        <v>45152</v>
      </c>
      <c r="S572" s="43"/>
      <c r="T572" s="43"/>
      <c r="U572" s="43" t="str">
        <f>IFERROR(__xludf.DUMMYFUNCTION("""COMPUTED_VALUE"""),"Heartbeat")</f>
        <v>Heartbeat</v>
      </c>
      <c r="V572" s="43" t="str">
        <f>IFERROR(__xludf.DUMMYFUNCTION("""COMPUTED_VALUE"""),"ANTALYA")</f>
        <v>ANTALYA</v>
      </c>
      <c r="W572" s="43" t="str">
        <f>IFERROR(__xludf.DUMMYFUNCTION("""COMPUTED_VALUE"""),"2023-04-28T13:42:40Z")</f>
        <v>2023-04-28T13:42:40Z</v>
      </c>
      <c r="X572" s="43"/>
      <c r="Y572" s="43"/>
      <c r="Z572" s="43"/>
    </row>
    <row r="573" hidden="1">
      <c r="A573" s="43" t="str">
        <f>IFERROR(__xludf.DUMMYFUNCTION("""COMPUTED_VALUE"""),"5241869_1293552")</f>
        <v>5241869_1293552</v>
      </c>
      <c r="B573" s="43" t="str">
        <f>IFERROR(__xludf.DUMMYFUNCTION("""COMPUTED_VALUE"""),"Berkay Demirarslan")</f>
        <v>Berkay Demirarslan</v>
      </c>
      <c r="C573" s="43" t="str">
        <f>IFERROR(__xludf.DUMMYFUNCTION("""COMPUTED_VALUE"""),"completed")</f>
        <v>completed</v>
      </c>
      <c r="D573" s="43" t="str">
        <f>IFERROR(__xludf.DUMMYFUNCTION("""COMPUTED_VALUE"""),"No")</f>
        <v>No</v>
      </c>
      <c r="E573" s="43" t="str">
        <f>IFERROR(__xludf.DUMMYFUNCTION("""COMPUTED_VALUE"""),"p_3e4fdac97103a76d4cc041a9f2c3d1c7746e10f1@inbound.aiesec.org")</f>
        <v>p_3e4fdac97103a76d4cc041a9f2c3d1c7746e10f1@inbound.aiesec.org</v>
      </c>
      <c r="F573" s="43">
        <f>IFERROR(__xludf.DUMMYFUNCTION("""COMPUTED_VALUE"""),5.346797734E9)</f>
        <v>5346797734</v>
      </c>
      <c r="G573" s="43" t="str">
        <f>IFERROR(__xludf.DUMMYFUNCTION("""COMPUTED_VALUE"""),"Turkey")</f>
        <v>Turkey</v>
      </c>
      <c r="H573" s="43" t="str">
        <f>IFERROR(__xludf.DUMMYFUNCTION("""COMPUTED_VALUE"""),"ISTANBUL WEST")</f>
        <v>ISTANBUL WEST</v>
      </c>
      <c r="I573" s="43" t="str">
        <f>IFERROR(__xludf.DUMMYFUNCTION("""COMPUTED_VALUE"""),"Romania")</f>
        <v>Romania</v>
      </c>
      <c r="J573" s="43" t="str">
        <f>IFERROR(__xludf.DUMMYFUNCTION("""COMPUTED_VALUE"""),"BUCURESTI")</f>
        <v>BUCURESTI</v>
      </c>
      <c r="K573" s="44" t="str">
        <f>IFERROR(__xludf.DUMMYFUNCTION("""COMPUTED_VALUE"""),"https://expa.aiesec.org/opportunities/1293552")</f>
        <v>https://expa.aiesec.org/opportunities/1293552</v>
      </c>
      <c r="L573" s="43" t="str">
        <f>IFERROR(__xludf.DUMMYFUNCTION("""COMPUTED_VALUE"""),"GV")</f>
        <v>GV</v>
      </c>
      <c r="M573" s="43" t="str">
        <f>IFERROR(__xludf.DUMMYFUNCTION("""COMPUTED_VALUE"""),"short")</f>
        <v>short</v>
      </c>
      <c r="N573" s="45">
        <f>IFERROR(__xludf.DUMMYFUNCTION("""COMPUTED_VALUE"""),45046.0)</f>
        <v>45046</v>
      </c>
      <c r="O573" s="45">
        <f>IFERROR(__xludf.DUMMYFUNCTION("""COMPUTED_VALUE"""),45124.0)</f>
        <v>45124</v>
      </c>
      <c r="P573" s="45">
        <f>IFERROR(__xludf.DUMMYFUNCTION("""COMPUTED_VALUE"""),45166.0)</f>
        <v>45166</v>
      </c>
      <c r="Q573" s="45">
        <f>IFERROR(__xludf.DUMMYFUNCTION("""COMPUTED_VALUE"""),45124.0)</f>
        <v>45124</v>
      </c>
      <c r="R573" s="45">
        <f>IFERROR(__xludf.DUMMYFUNCTION("""COMPUTED_VALUE"""),45166.0)</f>
        <v>45166</v>
      </c>
      <c r="S573" s="43"/>
      <c r="T573" s="43"/>
      <c r="U573" s="43" t="str">
        <f>IFERROR(__xludf.DUMMYFUNCTION("""COMPUTED_VALUE"""),"Green Leaders")</f>
        <v>Green Leaders</v>
      </c>
      <c r="V573" s="43" t="str">
        <f>IFERROR(__xludf.DUMMYFUNCTION("""COMPUTED_VALUE"""),"ISTANBUL - BAKIRKOY")</f>
        <v>ISTANBUL - BAKIRKOY</v>
      </c>
      <c r="W573" s="43" t="str">
        <f>IFERROR(__xludf.DUMMYFUNCTION("""COMPUTED_VALUE"""),"2023-04-14T09:20:28Z")</f>
        <v>2023-04-14T09:20:28Z</v>
      </c>
      <c r="X573" s="43"/>
      <c r="Y573" s="43"/>
      <c r="Z573" s="43"/>
    </row>
    <row r="574" hidden="1">
      <c r="A574" s="43" t="str">
        <f>IFERROR(__xludf.DUMMYFUNCTION("""COMPUTED_VALUE"""),"5246922_1294202")</f>
        <v>5246922_1294202</v>
      </c>
      <c r="B574" s="43" t="str">
        <f>IFERROR(__xludf.DUMMYFUNCTION("""COMPUTED_VALUE"""),"simay ataç")</f>
        <v>simay ataç</v>
      </c>
      <c r="C574" s="43" t="str">
        <f>IFERROR(__xludf.DUMMYFUNCTION("""COMPUTED_VALUE"""),"completed")</f>
        <v>completed</v>
      </c>
      <c r="D574" s="43" t="str">
        <f>IFERROR(__xludf.DUMMYFUNCTION("""COMPUTED_VALUE"""),"No")</f>
        <v>No</v>
      </c>
      <c r="E574" s="43" t="str">
        <f>IFERROR(__xludf.DUMMYFUNCTION("""COMPUTED_VALUE"""),"p_eba9878b5d3fdedf718eebb24adaaab7c2ecc452@inbound.aiesec.org")</f>
        <v>p_eba9878b5d3fdedf718eebb24adaaab7c2ecc452@inbound.aiesec.org</v>
      </c>
      <c r="F574" s="43">
        <f>IFERROR(__xludf.DUMMYFUNCTION("""COMPUTED_VALUE"""),5.536702091E9)</f>
        <v>5536702091</v>
      </c>
      <c r="G574" s="43" t="str">
        <f>IFERROR(__xludf.DUMMYFUNCTION("""COMPUTED_VALUE"""),"Turkey")</f>
        <v>Turkey</v>
      </c>
      <c r="H574" s="43" t="str">
        <f>IFERROR(__xludf.DUMMYFUNCTION("""COMPUTED_VALUE"""),"ISTANBUL WEST")</f>
        <v>ISTANBUL WEST</v>
      </c>
      <c r="I574" s="43" t="str">
        <f>IFERROR(__xludf.DUMMYFUNCTION("""COMPUTED_VALUE"""),"Romania")</f>
        <v>Romania</v>
      </c>
      <c r="J574" s="43" t="str">
        <f>IFERROR(__xludf.DUMMYFUNCTION("""COMPUTED_VALUE"""),"Craiova")</f>
        <v>Craiova</v>
      </c>
      <c r="K574" s="44" t="str">
        <f>IFERROR(__xludf.DUMMYFUNCTION("""COMPUTED_VALUE"""),"https://expa.aiesec.org/opportunities/1294202")</f>
        <v>https://expa.aiesec.org/opportunities/1294202</v>
      </c>
      <c r="L574" s="43" t="str">
        <f>IFERROR(__xludf.DUMMYFUNCTION("""COMPUTED_VALUE"""),"GV")</f>
        <v>GV</v>
      </c>
      <c r="M574" s="43" t="str">
        <f>IFERROR(__xludf.DUMMYFUNCTION("""COMPUTED_VALUE"""),"short")</f>
        <v>short</v>
      </c>
      <c r="N574" s="45">
        <f>IFERROR(__xludf.DUMMYFUNCTION("""COMPUTED_VALUE"""),45046.0)</f>
        <v>45046</v>
      </c>
      <c r="O574" s="45">
        <f>IFERROR(__xludf.DUMMYFUNCTION("""COMPUTED_VALUE"""),45103.0)</f>
        <v>45103</v>
      </c>
      <c r="P574" s="45">
        <f>IFERROR(__xludf.DUMMYFUNCTION("""COMPUTED_VALUE"""),45145.0)</f>
        <v>45145</v>
      </c>
      <c r="Q574" s="45">
        <f>IFERROR(__xludf.DUMMYFUNCTION("""COMPUTED_VALUE"""),45103.0)</f>
        <v>45103</v>
      </c>
      <c r="R574" s="45">
        <f>IFERROR(__xludf.DUMMYFUNCTION("""COMPUTED_VALUE"""),45145.0)</f>
        <v>45145</v>
      </c>
      <c r="S574" s="43"/>
      <c r="T574" s="43"/>
      <c r="U574" s="43" t="str">
        <f>IFERROR(__xludf.DUMMYFUNCTION("""COMPUTED_VALUE"""),"Global Classroom")</f>
        <v>Global Classroom</v>
      </c>
      <c r="V574" s="43" t="str">
        <f>IFERROR(__xludf.DUMMYFUNCTION("""COMPUTED_VALUE"""),"ISTANBUL - BAKIRKOY")</f>
        <v>ISTANBUL - BAKIRKOY</v>
      </c>
      <c r="W574" s="43" t="str">
        <f>IFERROR(__xludf.DUMMYFUNCTION("""COMPUTED_VALUE"""),"2023-04-21T16:42:57Z")</f>
        <v>2023-04-21T16:42:57Z</v>
      </c>
      <c r="X574" s="43"/>
      <c r="Y574" s="43"/>
      <c r="Z574" s="43"/>
    </row>
    <row r="575" hidden="1">
      <c r="A575" s="43" t="str">
        <f>IFERROR(__xludf.DUMMYFUNCTION("""COMPUTED_VALUE"""),"5253901_1293463")</f>
        <v>5253901_1293463</v>
      </c>
      <c r="B575" s="43" t="str">
        <f>IFERROR(__xludf.DUMMYFUNCTION("""COMPUTED_VALUE"""),"Mücahit Çakır")</f>
        <v>Mücahit Çakır</v>
      </c>
      <c r="C575" s="43" t="str">
        <f>IFERROR(__xludf.DUMMYFUNCTION("""COMPUTED_VALUE"""),"finished")</f>
        <v>finished</v>
      </c>
      <c r="D575" s="43" t="str">
        <f>IFERROR(__xludf.DUMMYFUNCTION("""COMPUTED_VALUE"""),"No")</f>
        <v>No</v>
      </c>
      <c r="E575" s="43" t="str">
        <f>IFERROR(__xludf.DUMMYFUNCTION("""COMPUTED_VALUE"""),"p_6c2745029cb2662931f14120987d21502e06e96e@inbound.aiesec.org")</f>
        <v>p_6c2745029cb2662931f14120987d21502e06e96e@inbound.aiesec.org</v>
      </c>
      <c r="F575" s="43"/>
      <c r="G575" s="43" t="str">
        <f>IFERROR(__xludf.DUMMYFUNCTION("""COMPUTED_VALUE"""),"Turkey")</f>
        <v>Turkey</v>
      </c>
      <c r="H575" s="43" t="str">
        <f>IFERROR(__xludf.DUMMYFUNCTION("""COMPUTED_VALUE"""),"KONYA")</f>
        <v>KONYA</v>
      </c>
      <c r="I575" s="43" t="str">
        <f>IFERROR(__xludf.DUMMYFUNCTION("""COMPUTED_VALUE"""),"Egypt")</f>
        <v>Egypt</v>
      </c>
      <c r="J575" s="43" t="str">
        <f>IFERROR(__xludf.DUMMYFUNCTION("""COMPUTED_VALUE"""),"Tanta")</f>
        <v>Tanta</v>
      </c>
      <c r="K575" s="44" t="str">
        <f>IFERROR(__xludf.DUMMYFUNCTION("""COMPUTED_VALUE"""),"https://expa.aiesec.org/opportunities/1293463")</f>
        <v>https://expa.aiesec.org/opportunities/1293463</v>
      </c>
      <c r="L575" s="43" t="str">
        <f>IFERROR(__xludf.DUMMYFUNCTION("""COMPUTED_VALUE"""),"GV")</f>
        <v>GV</v>
      </c>
      <c r="M575" s="43" t="str">
        <f>IFERROR(__xludf.DUMMYFUNCTION("""COMPUTED_VALUE"""),"short")</f>
        <v>short</v>
      </c>
      <c r="N575" s="45">
        <f>IFERROR(__xludf.DUMMYFUNCTION("""COMPUTED_VALUE"""),45047.0)</f>
        <v>45047</v>
      </c>
      <c r="O575" s="45">
        <f>IFERROR(__xludf.DUMMYFUNCTION("""COMPUTED_VALUE"""),45139.0)</f>
        <v>45139</v>
      </c>
      <c r="P575" s="45">
        <f>IFERROR(__xludf.DUMMYFUNCTION("""COMPUTED_VALUE"""),45181.0)</f>
        <v>45181</v>
      </c>
      <c r="Q575" s="45">
        <f>IFERROR(__xludf.DUMMYFUNCTION("""COMPUTED_VALUE"""),45140.0)</f>
        <v>45140</v>
      </c>
      <c r="R575" s="45">
        <f>IFERROR(__xludf.DUMMYFUNCTION("""COMPUTED_VALUE"""),45181.0)</f>
        <v>45181</v>
      </c>
      <c r="S575" s="43"/>
      <c r="T575" s="43"/>
      <c r="U575" s="43" t="str">
        <f>IFERROR(__xludf.DUMMYFUNCTION("""COMPUTED_VALUE"""),"Green Leaders")</f>
        <v>Green Leaders</v>
      </c>
      <c r="V575" s="43" t="str">
        <f>IFERROR(__xludf.DUMMYFUNCTION("""COMPUTED_VALUE"""),"KONYA")</f>
        <v>KONYA</v>
      </c>
      <c r="W575" s="43" t="str">
        <f>IFERROR(__xludf.DUMMYFUNCTION("""COMPUTED_VALUE"""),"2023-05-01T19:58:41Z")</f>
        <v>2023-05-01T19:58:41Z</v>
      </c>
      <c r="X575" s="43"/>
      <c r="Y575" s="43"/>
      <c r="Z575" s="43"/>
    </row>
    <row r="576" hidden="1">
      <c r="A576" s="43" t="str">
        <f>IFERROR(__xludf.DUMMYFUNCTION("""COMPUTED_VALUE"""),"5253891_1293463")</f>
        <v>5253891_1293463</v>
      </c>
      <c r="B576" s="43" t="str">
        <f>IFERROR(__xludf.DUMMYFUNCTION("""COMPUTED_VALUE"""),"Fathi hassan Mohamed")</f>
        <v>Fathi hassan Mohamed</v>
      </c>
      <c r="C576" s="43" t="str">
        <f>IFERROR(__xludf.DUMMYFUNCTION("""COMPUTED_VALUE"""),"approved")</f>
        <v>approved</v>
      </c>
      <c r="D576" s="43" t="str">
        <f>IFERROR(__xludf.DUMMYFUNCTION("""COMPUTED_VALUE"""),"No")</f>
        <v>No</v>
      </c>
      <c r="E576" s="43" t="str">
        <f>IFERROR(__xludf.DUMMYFUNCTION("""COMPUTED_VALUE"""),"p_d843a8c40e1e9f6e8cdd4d9f7884a0c56c1532cf@inbound.aiesec.org")</f>
        <v>p_d843a8c40e1e9f6e8cdd4d9f7884a0c56c1532cf@inbound.aiesec.org</v>
      </c>
      <c r="F576" s="43">
        <f>IFERROR(__xludf.DUMMYFUNCTION("""COMPUTED_VALUE"""),5.050479081E9)</f>
        <v>5050479081</v>
      </c>
      <c r="G576" s="43" t="str">
        <f>IFERROR(__xludf.DUMMYFUNCTION("""COMPUTED_VALUE"""),"Turkey")</f>
        <v>Turkey</v>
      </c>
      <c r="H576" s="43" t="str">
        <f>IFERROR(__xludf.DUMMYFUNCTION("""COMPUTED_VALUE"""),"KONYA")</f>
        <v>KONYA</v>
      </c>
      <c r="I576" s="43" t="str">
        <f>IFERROR(__xludf.DUMMYFUNCTION("""COMPUTED_VALUE"""),"Egypt")</f>
        <v>Egypt</v>
      </c>
      <c r="J576" s="43" t="str">
        <f>IFERROR(__xludf.DUMMYFUNCTION("""COMPUTED_VALUE"""),"Tanta")</f>
        <v>Tanta</v>
      </c>
      <c r="K576" s="44" t="str">
        <f>IFERROR(__xludf.DUMMYFUNCTION("""COMPUTED_VALUE"""),"https://expa.aiesec.org/opportunities/1293463")</f>
        <v>https://expa.aiesec.org/opportunities/1293463</v>
      </c>
      <c r="L576" s="43" t="str">
        <f>IFERROR(__xludf.DUMMYFUNCTION("""COMPUTED_VALUE"""),"GV")</f>
        <v>GV</v>
      </c>
      <c r="M576" s="43" t="str">
        <f>IFERROR(__xludf.DUMMYFUNCTION("""COMPUTED_VALUE"""),"short")</f>
        <v>short</v>
      </c>
      <c r="N576" s="45">
        <f>IFERROR(__xludf.DUMMYFUNCTION("""COMPUTED_VALUE"""),45047.0)</f>
        <v>45047</v>
      </c>
      <c r="O576" s="45">
        <f>IFERROR(__xludf.DUMMYFUNCTION("""COMPUTED_VALUE"""),45139.0)</f>
        <v>45139</v>
      </c>
      <c r="P576" s="45">
        <f>IFERROR(__xludf.DUMMYFUNCTION("""COMPUTED_VALUE"""),45181.0)</f>
        <v>45181</v>
      </c>
      <c r="Q576" s="45"/>
      <c r="R576" s="45"/>
      <c r="S576" s="43"/>
      <c r="T576" s="43"/>
      <c r="U576" s="43" t="str">
        <f>IFERROR(__xludf.DUMMYFUNCTION("""COMPUTED_VALUE"""),"Green Leaders")</f>
        <v>Green Leaders</v>
      </c>
      <c r="V576" s="43" t="str">
        <f>IFERROR(__xludf.DUMMYFUNCTION("""COMPUTED_VALUE"""),"KONYA")</f>
        <v>KONYA</v>
      </c>
      <c r="W576" s="43" t="str">
        <f>IFERROR(__xludf.DUMMYFUNCTION("""COMPUTED_VALUE"""),"2023-05-01T19:37:39Z")</f>
        <v>2023-05-01T19:37:39Z</v>
      </c>
      <c r="X576" s="43"/>
      <c r="Y576" s="43"/>
      <c r="Z576" s="43"/>
    </row>
    <row r="577" hidden="1">
      <c r="A577" s="43" t="str">
        <f>IFERROR(__xludf.DUMMYFUNCTION("""COMPUTED_VALUE"""),"5172368_1294444")</f>
        <v>5172368_1294444</v>
      </c>
      <c r="B577" s="43" t="str">
        <f>IFERROR(__xludf.DUMMYFUNCTION("""COMPUTED_VALUE"""),"Ulaş Gündüz")</f>
        <v>Ulaş Gündüz</v>
      </c>
      <c r="C577" s="43" t="str">
        <f>IFERROR(__xludf.DUMMYFUNCTION("""COMPUTED_VALUE"""),"approved")</f>
        <v>approved</v>
      </c>
      <c r="D577" s="43" t="str">
        <f>IFERROR(__xludf.DUMMYFUNCTION("""COMPUTED_VALUE"""),"No")</f>
        <v>No</v>
      </c>
      <c r="E577" s="43" t="str">
        <f>IFERROR(__xludf.DUMMYFUNCTION("""COMPUTED_VALUE"""),"p_18e0a80a25ee24a802bf56e034979b2eb58ec981@inbound.aiesec.org")</f>
        <v>p_18e0a80a25ee24a802bf56e034979b2eb58ec981@inbound.aiesec.org</v>
      </c>
      <c r="F577" s="43">
        <f>IFERROR(__xludf.DUMMYFUNCTION("""COMPUTED_VALUE"""),5.434820185E9)</f>
        <v>5434820185</v>
      </c>
      <c r="G577" s="43" t="str">
        <f>IFERROR(__xludf.DUMMYFUNCTION("""COMPUTED_VALUE"""),"Turkey")</f>
        <v>Turkey</v>
      </c>
      <c r="H577" s="43" t="str">
        <f>IFERROR(__xludf.DUMMYFUNCTION("""COMPUTED_VALUE"""),"GAZIANTEP")</f>
        <v>GAZIANTEP</v>
      </c>
      <c r="I577" s="43" t="str">
        <f>IFERROR(__xludf.DUMMYFUNCTION("""COMPUTED_VALUE"""),"Serbia")</f>
        <v>Serbia</v>
      </c>
      <c r="J577" s="43" t="str">
        <f>IFERROR(__xludf.DUMMYFUNCTION("""COMPUTED_VALUE"""),"Subotica")</f>
        <v>Subotica</v>
      </c>
      <c r="K577" s="44" t="str">
        <f>IFERROR(__xludf.DUMMYFUNCTION("""COMPUTED_VALUE"""),"https://expa.aiesec.org/opportunities/1294444")</f>
        <v>https://expa.aiesec.org/opportunities/1294444</v>
      </c>
      <c r="L577" s="43" t="str">
        <f>IFERROR(__xludf.DUMMYFUNCTION("""COMPUTED_VALUE"""),"GV")</f>
        <v>GV</v>
      </c>
      <c r="M577" s="43" t="str">
        <f>IFERROR(__xludf.DUMMYFUNCTION("""COMPUTED_VALUE"""),"short")</f>
        <v>short</v>
      </c>
      <c r="N577" s="45">
        <f>IFERROR(__xludf.DUMMYFUNCTION("""COMPUTED_VALUE"""),45047.0)</f>
        <v>45047</v>
      </c>
      <c r="O577" s="45">
        <f>IFERROR(__xludf.DUMMYFUNCTION("""COMPUTED_VALUE"""),45096.0)</f>
        <v>45096</v>
      </c>
      <c r="P577" s="45">
        <f>IFERROR(__xludf.DUMMYFUNCTION("""COMPUTED_VALUE"""),45138.0)</f>
        <v>45138</v>
      </c>
      <c r="Q577" s="45"/>
      <c r="R577" s="45"/>
      <c r="S577" s="43"/>
      <c r="T577" s="43"/>
      <c r="U577" s="43" t="str">
        <f>IFERROR(__xludf.DUMMYFUNCTION("""COMPUTED_VALUE"""),"Youth 4 Impact")</f>
        <v>Youth 4 Impact</v>
      </c>
      <c r="V577" s="43" t="str">
        <f>IFERROR(__xludf.DUMMYFUNCTION("""COMPUTED_VALUE"""),"GAZIANTEP")</f>
        <v>GAZIANTEP</v>
      </c>
      <c r="W577" s="43" t="str">
        <f>IFERROR(__xludf.DUMMYFUNCTION("""COMPUTED_VALUE"""),"2023-01-02T11:35:57Z")</f>
        <v>2023-01-02T11:35:57Z</v>
      </c>
      <c r="X577" s="43"/>
      <c r="Y577" s="43"/>
      <c r="Z577" s="43"/>
    </row>
    <row r="578" hidden="1">
      <c r="A578" s="43" t="str">
        <f>IFERROR(__xludf.DUMMYFUNCTION("""COMPUTED_VALUE"""),"5253595_1292990")</f>
        <v>5253595_1292990</v>
      </c>
      <c r="B578" s="43" t="str">
        <f>IFERROR(__xludf.DUMMYFUNCTION("""COMPUTED_VALUE"""),"Münire Kutlum")</f>
        <v>Münire Kutlum</v>
      </c>
      <c r="C578" s="43" t="str">
        <f>IFERROR(__xludf.DUMMYFUNCTION("""COMPUTED_VALUE"""),"approved")</f>
        <v>approved</v>
      </c>
      <c r="D578" s="43" t="str">
        <f>IFERROR(__xludf.DUMMYFUNCTION("""COMPUTED_VALUE"""),"No")</f>
        <v>No</v>
      </c>
      <c r="E578" s="43" t="str">
        <f>IFERROR(__xludf.DUMMYFUNCTION("""COMPUTED_VALUE"""),"p_a944ecedc6c5bf1926690f01c81318b25f27532d@inbound.aiesec.org")</f>
        <v>p_a944ecedc6c5bf1926690f01c81318b25f27532d@inbound.aiesec.org</v>
      </c>
      <c r="F578" s="43"/>
      <c r="G578" s="43" t="str">
        <f>IFERROR(__xludf.DUMMYFUNCTION("""COMPUTED_VALUE"""),"Turkey")</f>
        <v>Turkey</v>
      </c>
      <c r="H578" s="43" t="str">
        <f>IFERROR(__xludf.DUMMYFUNCTION("""COMPUTED_VALUE"""),"KONYA")</f>
        <v>KONYA</v>
      </c>
      <c r="I578" s="43" t="str">
        <f>IFERROR(__xludf.DUMMYFUNCTION("""COMPUTED_VALUE"""),"India")</f>
        <v>India</v>
      </c>
      <c r="J578" s="43" t="str">
        <f>IFERROR(__xludf.DUMMYFUNCTION("""COMPUTED_VALUE"""),"Mumbai")</f>
        <v>Mumbai</v>
      </c>
      <c r="K578" s="44" t="str">
        <f>IFERROR(__xludf.DUMMYFUNCTION("""COMPUTED_VALUE"""),"https://expa.aiesec.org/opportunities/1292990")</f>
        <v>https://expa.aiesec.org/opportunities/1292990</v>
      </c>
      <c r="L578" s="43" t="str">
        <f>IFERROR(__xludf.DUMMYFUNCTION("""COMPUTED_VALUE"""),"GV")</f>
        <v>GV</v>
      </c>
      <c r="M578" s="43" t="str">
        <f>IFERROR(__xludf.DUMMYFUNCTION("""COMPUTED_VALUE"""),"short")</f>
        <v>short</v>
      </c>
      <c r="N578" s="45">
        <f>IFERROR(__xludf.DUMMYFUNCTION("""COMPUTED_VALUE"""),45047.0)</f>
        <v>45047</v>
      </c>
      <c r="O578" s="45">
        <f>IFERROR(__xludf.DUMMYFUNCTION("""COMPUTED_VALUE"""),45261.0)</f>
        <v>45261</v>
      </c>
      <c r="P578" s="45">
        <f>IFERROR(__xludf.DUMMYFUNCTION("""COMPUTED_VALUE"""),45303.0)</f>
        <v>45303</v>
      </c>
      <c r="Q578" s="45"/>
      <c r="R578" s="45"/>
      <c r="S578" s="43"/>
      <c r="T578" s="43"/>
      <c r="U578" s="43" t="str">
        <f>IFERROR(__xludf.DUMMYFUNCTION("""COMPUTED_VALUE"""),"On The Map")</f>
        <v>On The Map</v>
      </c>
      <c r="V578" s="43" t="str">
        <f>IFERROR(__xludf.DUMMYFUNCTION("""COMPUTED_VALUE"""),"KONYA")</f>
        <v>KONYA</v>
      </c>
      <c r="W578" s="43" t="str">
        <f>IFERROR(__xludf.DUMMYFUNCTION("""COMPUTED_VALUE"""),"2023-05-01T10:47:56Z")</f>
        <v>2023-05-01T10:47:56Z</v>
      </c>
      <c r="X578" s="43"/>
      <c r="Y578" s="43"/>
      <c r="Z578" s="43"/>
    </row>
    <row r="579" hidden="1">
      <c r="A579" s="43" t="str">
        <f>IFERROR(__xludf.DUMMYFUNCTION("""COMPUTED_VALUE"""),"5253152_1290024")</f>
        <v>5253152_1290024</v>
      </c>
      <c r="B579" s="43" t="str">
        <f>IFERROR(__xludf.DUMMYFUNCTION("""COMPUTED_VALUE"""),"Hakan Güner")</f>
        <v>Hakan Güner</v>
      </c>
      <c r="C579" s="43" t="str">
        <f>IFERROR(__xludf.DUMMYFUNCTION("""COMPUTED_VALUE"""),"approved")</f>
        <v>approved</v>
      </c>
      <c r="D579" s="43" t="str">
        <f>IFERROR(__xludf.DUMMYFUNCTION("""COMPUTED_VALUE"""),"No")</f>
        <v>No</v>
      </c>
      <c r="E579" s="43" t="str">
        <f>IFERROR(__xludf.DUMMYFUNCTION("""COMPUTED_VALUE"""),"p_324be67163fc5c48e3d7c243608af77fc3165627@inbound.aiesec.org")</f>
        <v>p_324be67163fc5c48e3d7c243608af77fc3165627@inbound.aiesec.org</v>
      </c>
      <c r="F579" s="43"/>
      <c r="G579" s="43" t="str">
        <f>IFERROR(__xludf.DUMMYFUNCTION("""COMPUTED_VALUE"""),"Turkey")</f>
        <v>Turkey</v>
      </c>
      <c r="H579" s="43" t="str">
        <f>IFERROR(__xludf.DUMMYFUNCTION("""COMPUTED_VALUE"""),"ISTANBUL")</f>
        <v>ISTANBUL</v>
      </c>
      <c r="I579" s="43" t="str">
        <f>IFERROR(__xludf.DUMMYFUNCTION("""COMPUTED_VALUE"""),"Egypt")</f>
        <v>Egypt</v>
      </c>
      <c r="J579" s="43" t="str">
        <f>IFERROR(__xludf.DUMMYFUNCTION("""COMPUTED_VALUE"""),"Ain Shams University")</f>
        <v>Ain Shams University</v>
      </c>
      <c r="K579" s="44" t="str">
        <f>IFERROR(__xludf.DUMMYFUNCTION("""COMPUTED_VALUE"""),"https://expa.aiesec.org/opportunities/1290024")</f>
        <v>https://expa.aiesec.org/opportunities/1290024</v>
      </c>
      <c r="L579" s="43" t="str">
        <f>IFERROR(__xludf.DUMMYFUNCTION("""COMPUTED_VALUE"""),"GV")</f>
        <v>GV</v>
      </c>
      <c r="M579" s="43" t="str">
        <f>IFERROR(__xludf.DUMMYFUNCTION("""COMPUTED_VALUE"""),"short")</f>
        <v>short</v>
      </c>
      <c r="N579" s="45">
        <f>IFERROR(__xludf.DUMMYFUNCTION("""COMPUTED_VALUE"""),45047.0)</f>
        <v>45047</v>
      </c>
      <c r="O579" s="45">
        <f>IFERROR(__xludf.DUMMYFUNCTION("""COMPUTED_VALUE"""),45170.0)</f>
        <v>45170</v>
      </c>
      <c r="P579" s="45">
        <f>IFERROR(__xludf.DUMMYFUNCTION("""COMPUTED_VALUE"""),45212.0)</f>
        <v>45212</v>
      </c>
      <c r="Q579" s="45"/>
      <c r="R579" s="45"/>
      <c r="S579" s="43"/>
      <c r="T579" s="43"/>
      <c r="U579" s="43" t="str">
        <f>IFERROR(__xludf.DUMMYFUNCTION("""COMPUTED_VALUE"""),"On The Map")</f>
        <v>On The Map</v>
      </c>
      <c r="V579" s="43" t="str">
        <f>IFERROR(__xludf.DUMMYFUNCTION("""COMPUTED_VALUE"""),"-")</f>
        <v>-</v>
      </c>
      <c r="W579" s="43" t="str">
        <f>IFERROR(__xludf.DUMMYFUNCTION("""COMPUTED_VALUE"""),"2023-04-30T14:24:06Z")</f>
        <v>2023-04-30T14:24:06Z</v>
      </c>
      <c r="X579" s="43"/>
      <c r="Y579" s="43"/>
      <c r="Z579" s="43"/>
    </row>
    <row r="580" hidden="1">
      <c r="A580" s="43" t="str">
        <f>IFERROR(__xludf.DUMMYFUNCTION("""COMPUTED_VALUE"""),"4838191_1291869")</f>
        <v>4838191_1291869</v>
      </c>
      <c r="B580" s="43" t="str">
        <f>IFERROR(__xludf.DUMMYFUNCTION("""COMPUTED_VALUE"""),"Selinay Berna Başıhoş")</f>
        <v>Selinay Berna Başıhoş</v>
      </c>
      <c r="C580" s="43" t="str">
        <f>IFERROR(__xludf.DUMMYFUNCTION("""COMPUTED_VALUE"""),"completed")</f>
        <v>completed</v>
      </c>
      <c r="D580" s="43" t="str">
        <f>IFERROR(__xludf.DUMMYFUNCTION("""COMPUTED_VALUE"""),"No")</f>
        <v>No</v>
      </c>
      <c r="E580" s="43" t="str">
        <f>IFERROR(__xludf.DUMMYFUNCTION("""COMPUTED_VALUE"""),"p_fcf45f96f276ee3386be6d2a877641c3c4db5fb4@inbound.aiesec.org")</f>
        <v>p_fcf45f96f276ee3386be6d2a877641c3c4db5fb4@inbound.aiesec.org</v>
      </c>
      <c r="F580" s="43"/>
      <c r="G580" s="43" t="str">
        <f>IFERROR(__xludf.DUMMYFUNCTION("""COMPUTED_VALUE"""),"Turkey")</f>
        <v>Turkey</v>
      </c>
      <c r="H580" s="43" t="str">
        <f>IFERROR(__xludf.DUMMYFUNCTION("""COMPUTED_VALUE"""),"İZMİR")</f>
        <v>İZMİR</v>
      </c>
      <c r="I580" s="43" t="str">
        <f>IFERROR(__xludf.DUMMYFUNCTION("""COMPUTED_VALUE"""),"Egypt")</f>
        <v>Egypt</v>
      </c>
      <c r="J580" s="43" t="str">
        <f>IFERROR(__xludf.DUMMYFUNCTION("""COMPUTED_VALUE"""),"Tanta")</f>
        <v>Tanta</v>
      </c>
      <c r="K580" s="44" t="str">
        <f>IFERROR(__xludf.DUMMYFUNCTION("""COMPUTED_VALUE"""),"https://expa.aiesec.org/opportunities/1291869")</f>
        <v>https://expa.aiesec.org/opportunities/1291869</v>
      </c>
      <c r="L580" s="43" t="str">
        <f>IFERROR(__xludf.DUMMYFUNCTION("""COMPUTED_VALUE"""),"GV")</f>
        <v>GV</v>
      </c>
      <c r="M580" s="43" t="str">
        <f>IFERROR(__xludf.DUMMYFUNCTION("""COMPUTED_VALUE"""),"short")</f>
        <v>short</v>
      </c>
      <c r="N580" s="45">
        <f>IFERROR(__xludf.DUMMYFUNCTION("""COMPUTED_VALUE"""),45047.0)</f>
        <v>45047</v>
      </c>
      <c r="O580" s="45">
        <f>IFERROR(__xludf.DUMMYFUNCTION("""COMPUTED_VALUE"""),45108.0)</f>
        <v>45108</v>
      </c>
      <c r="P580" s="45">
        <f>IFERROR(__xludf.DUMMYFUNCTION("""COMPUTED_VALUE"""),45150.0)</f>
        <v>45150</v>
      </c>
      <c r="Q580" s="45">
        <f>IFERROR(__xludf.DUMMYFUNCTION("""COMPUTED_VALUE"""),45114.0)</f>
        <v>45114</v>
      </c>
      <c r="R580" s="45">
        <f>IFERROR(__xludf.DUMMYFUNCTION("""COMPUTED_VALUE"""),45156.0)</f>
        <v>45156</v>
      </c>
      <c r="S580" s="43"/>
      <c r="T580" s="43"/>
      <c r="U580" s="43" t="str">
        <f>IFERROR(__xludf.DUMMYFUNCTION("""COMPUTED_VALUE"""),"Global Classroom")</f>
        <v>Global Classroom</v>
      </c>
      <c r="V580" s="43" t="str">
        <f>IFERROR(__xludf.DUMMYFUNCTION("""COMPUTED_VALUE"""),"-")</f>
        <v>-</v>
      </c>
      <c r="W580" s="43" t="str">
        <f>IFERROR(__xludf.DUMMYFUNCTION("""COMPUTED_VALUE"""),"2021-12-10T14:03:38Z")</f>
        <v>2021-12-10T14:03:38Z</v>
      </c>
      <c r="X580" s="43"/>
      <c r="Y580" s="43"/>
      <c r="Z580" s="43"/>
    </row>
    <row r="581" hidden="1">
      <c r="A581" s="43" t="str">
        <f>IFERROR(__xludf.DUMMYFUNCTION("""COMPUTED_VALUE"""),"5252146_1286658")</f>
        <v>5252146_1286658</v>
      </c>
      <c r="B581" s="43" t="str">
        <f>IFERROR(__xludf.DUMMYFUNCTION("""COMPUTED_VALUE"""),"Nurana Gurbanli")</f>
        <v>Nurana Gurbanli</v>
      </c>
      <c r="C581" s="43" t="str">
        <f>IFERROR(__xludf.DUMMYFUNCTION("""COMPUTED_VALUE"""),"approved")</f>
        <v>approved</v>
      </c>
      <c r="D581" s="43" t="str">
        <f>IFERROR(__xludf.DUMMYFUNCTION("""COMPUTED_VALUE"""),"No")</f>
        <v>No</v>
      </c>
      <c r="E581" s="43" t="str">
        <f>IFERROR(__xludf.DUMMYFUNCTION("""COMPUTED_VALUE"""),"p_090dd6a65ad6d695571a50390ddf0a45daa8f19e@inbound.aiesec.org")</f>
        <v>p_090dd6a65ad6d695571a50390ddf0a45daa8f19e@inbound.aiesec.org</v>
      </c>
      <c r="F581" s="43">
        <f>IFERROR(__xludf.DUMMYFUNCTION("""COMPUTED_VALUE"""),5.347187163E9)</f>
        <v>5347187163</v>
      </c>
      <c r="G581" s="43" t="str">
        <f>IFERROR(__xludf.DUMMYFUNCTION("""COMPUTED_VALUE"""),"Turkey")</f>
        <v>Turkey</v>
      </c>
      <c r="H581" s="43" t="str">
        <f>IFERROR(__xludf.DUMMYFUNCTION("""COMPUTED_VALUE"""),"ISTANBUL")</f>
        <v>ISTANBUL</v>
      </c>
      <c r="I581" s="43" t="str">
        <f>IFERROR(__xludf.DUMMYFUNCTION("""COMPUTED_VALUE"""),"Egypt")</f>
        <v>Egypt</v>
      </c>
      <c r="J581" s="43" t="str">
        <f>IFERROR(__xludf.DUMMYFUNCTION("""COMPUTED_VALUE"""),"Cairo University")</f>
        <v>Cairo University</v>
      </c>
      <c r="K581" s="44" t="str">
        <f>IFERROR(__xludf.DUMMYFUNCTION("""COMPUTED_VALUE"""),"https://expa.aiesec.org/opportunities/1286658")</f>
        <v>https://expa.aiesec.org/opportunities/1286658</v>
      </c>
      <c r="L581" s="43" t="str">
        <f>IFERROR(__xludf.DUMMYFUNCTION("""COMPUTED_VALUE"""),"GV")</f>
        <v>GV</v>
      </c>
      <c r="M581" s="43" t="str">
        <f>IFERROR(__xludf.DUMMYFUNCTION("""COMPUTED_VALUE"""),"short")</f>
        <v>short</v>
      </c>
      <c r="N581" s="45">
        <f>IFERROR(__xludf.DUMMYFUNCTION("""COMPUTED_VALUE"""),45047.0)</f>
        <v>45047</v>
      </c>
      <c r="O581" s="45">
        <f>IFERROR(__xludf.DUMMYFUNCTION("""COMPUTED_VALUE"""),45159.0)</f>
        <v>45159</v>
      </c>
      <c r="P581" s="45">
        <f>IFERROR(__xludf.DUMMYFUNCTION("""COMPUTED_VALUE"""),45204.0)</f>
        <v>45204</v>
      </c>
      <c r="Q581" s="45"/>
      <c r="R581" s="45"/>
      <c r="S581" s="43"/>
      <c r="T581" s="43"/>
      <c r="U581" s="43" t="str">
        <f>IFERROR(__xludf.DUMMYFUNCTION("""COMPUTED_VALUE"""),"Global Classroom")</f>
        <v>Global Classroom</v>
      </c>
      <c r="V581" s="43" t="str">
        <f>IFERROR(__xludf.DUMMYFUNCTION("""COMPUTED_VALUE"""),"ISTANBUL - BEYOGLU")</f>
        <v>ISTANBUL - BEYOGLU</v>
      </c>
      <c r="W581" s="43" t="str">
        <f>IFERROR(__xludf.DUMMYFUNCTION("""COMPUTED_VALUE"""),"2023-04-28T21:20:31Z")</f>
        <v>2023-04-28T21:20:31Z</v>
      </c>
      <c r="X581" s="43"/>
      <c r="Y581" s="43"/>
      <c r="Z581" s="43"/>
    </row>
    <row r="582" hidden="1">
      <c r="A582" s="43" t="str">
        <f>IFERROR(__xludf.DUMMYFUNCTION("""COMPUTED_VALUE"""),"5244376_1289976")</f>
        <v>5244376_1289976</v>
      </c>
      <c r="B582" s="43" t="str">
        <f>IFERROR(__xludf.DUMMYFUNCTION("""COMPUTED_VALUE"""),"Aysu Duru Atlamaz")</f>
        <v>Aysu Duru Atlamaz</v>
      </c>
      <c r="C582" s="43" t="str">
        <f>IFERROR(__xludf.DUMMYFUNCTION("""COMPUTED_VALUE"""),"completed")</f>
        <v>completed</v>
      </c>
      <c r="D582" s="43" t="str">
        <f>IFERROR(__xludf.DUMMYFUNCTION("""COMPUTED_VALUE"""),"No")</f>
        <v>No</v>
      </c>
      <c r="E582" s="43" t="str">
        <f>IFERROR(__xludf.DUMMYFUNCTION("""COMPUTED_VALUE"""),"p_e6e8d791107a81fed0fd68221ff08024a79632c6@inbound.aiesec.org")</f>
        <v>p_e6e8d791107a81fed0fd68221ff08024a79632c6@inbound.aiesec.org</v>
      </c>
      <c r="F582" s="43">
        <f>IFERROR(__xludf.DUMMYFUNCTION("""COMPUTED_VALUE"""),5.465852129E9)</f>
        <v>5465852129</v>
      </c>
      <c r="G582" s="43" t="str">
        <f>IFERROR(__xludf.DUMMYFUNCTION("""COMPUTED_VALUE"""),"Turkey")</f>
        <v>Turkey</v>
      </c>
      <c r="H582" s="43" t="str">
        <f>IFERROR(__xludf.DUMMYFUNCTION("""COMPUTED_VALUE"""),"ANKARA")</f>
        <v>ANKARA</v>
      </c>
      <c r="I582" s="43" t="str">
        <f>IFERROR(__xludf.DUMMYFUNCTION("""COMPUTED_VALUE"""),"India")</f>
        <v>India</v>
      </c>
      <c r="J582" s="43" t="str">
        <f>IFERROR(__xludf.DUMMYFUNCTION("""COMPUTED_VALUE"""),"Mumbai")</f>
        <v>Mumbai</v>
      </c>
      <c r="K582" s="44" t="str">
        <f>IFERROR(__xludf.DUMMYFUNCTION("""COMPUTED_VALUE"""),"https://expa.aiesec.org/opportunities/1289976")</f>
        <v>https://expa.aiesec.org/opportunities/1289976</v>
      </c>
      <c r="L582" s="43" t="str">
        <f>IFERROR(__xludf.DUMMYFUNCTION("""COMPUTED_VALUE"""),"GV")</f>
        <v>GV</v>
      </c>
      <c r="M582" s="43" t="str">
        <f>IFERROR(__xludf.DUMMYFUNCTION("""COMPUTED_VALUE"""),"short")</f>
        <v>short</v>
      </c>
      <c r="N582" s="45">
        <f>IFERROR(__xludf.DUMMYFUNCTION("""COMPUTED_VALUE"""),45047.0)</f>
        <v>45047</v>
      </c>
      <c r="O582" s="45">
        <f>IFERROR(__xludf.DUMMYFUNCTION("""COMPUTED_VALUE"""),45108.0)</f>
        <v>45108</v>
      </c>
      <c r="P582" s="45">
        <f>IFERROR(__xludf.DUMMYFUNCTION("""COMPUTED_VALUE"""),45152.0)</f>
        <v>45152</v>
      </c>
      <c r="Q582" s="45">
        <f>IFERROR(__xludf.DUMMYFUNCTION("""COMPUTED_VALUE"""),45110.0)</f>
        <v>45110</v>
      </c>
      <c r="R582" s="45">
        <f>IFERROR(__xludf.DUMMYFUNCTION("""COMPUTED_VALUE"""),45152.0)</f>
        <v>45152</v>
      </c>
      <c r="S582" s="43"/>
      <c r="T582" s="43"/>
      <c r="U582" s="43" t="str">
        <f>IFERROR(__xludf.DUMMYFUNCTION("""COMPUTED_VALUE"""),"Rooted")</f>
        <v>Rooted</v>
      </c>
      <c r="V582" s="43" t="str">
        <f>IFERROR(__xludf.DUMMYFUNCTION("""COMPUTED_VALUE"""),"ANKARA")</f>
        <v>ANKARA</v>
      </c>
      <c r="W582" s="43" t="str">
        <f>IFERROR(__xludf.DUMMYFUNCTION("""COMPUTED_VALUE"""),"2023-04-18T09:21:12Z")</f>
        <v>2023-04-18T09:21:12Z</v>
      </c>
      <c r="X582" s="43"/>
      <c r="Y582" s="43"/>
      <c r="Z582" s="43"/>
    </row>
    <row r="583" hidden="1">
      <c r="A583" s="43" t="str">
        <f>IFERROR(__xludf.DUMMYFUNCTION("""COMPUTED_VALUE"""),"5248587_1293801")</f>
        <v>5248587_1293801</v>
      </c>
      <c r="B583" s="43" t="str">
        <f>IFERROR(__xludf.DUMMYFUNCTION("""COMPUTED_VALUE"""),"Doğa Deniz")</f>
        <v>Doğa Deniz</v>
      </c>
      <c r="C583" s="43" t="str">
        <f>IFERROR(__xludf.DUMMYFUNCTION("""COMPUTED_VALUE"""),"completed")</f>
        <v>completed</v>
      </c>
      <c r="D583" s="43" t="str">
        <f>IFERROR(__xludf.DUMMYFUNCTION("""COMPUTED_VALUE"""),"No")</f>
        <v>No</v>
      </c>
      <c r="E583" s="43" t="str">
        <f>IFERROR(__xludf.DUMMYFUNCTION("""COMPUTED_VALUE"""),"p_d86af0ad8bae17e078db929b2a3141679f2ad199@inbound.aiesec.org")</f>
        <v>p_d86af0ad8bae17e078db929b2a3141679f2ad199@inbound.aiesec.org</v>
      </c>
      <c r="F583" s="43">
        <f>IFERROR(__xludf.DUMMYFUNCTION("""COMPUTED_VALUE"""),5.308620326E9)</f>
        <v>5308620326</v>
      </c>
      <c r="G583" s="43" t="str">
        <f>IFERROR(__xludf.DUMMYFUNCTION("""COMPUTED_VALUE"""),"Turkey")</f>
        <v>Turkey</v>
      </c>
      <c r="H583" s="43" t="str">
        <f>IFERROR(__xludf.DUMMYFUNCTION("""COMPUTED_VALUE"""),"ISTANBUL")</f>
        <v>ISTANBUL</v>
      </c>
      <c r="I583" s="43" t="str">
        <f>IFERROR(__xludf.DUMMYFUNCTION("""COMPUTED_VALUE"""),"Tunisia")</f>
        <v>Tunisia</v>
      </c>
      <c r="J583" s="43" t="str">
        <f>IFERROR(__xludf.DUMMYFUNCTION("""COMPUTED_VALUE"""),"Tacapes")</f>
        <v>Tacapes</v>
      </c>
      <c r="K583" s="44" t="str">
        <f>IFERROR(__xludf.DUMMYFUNCTION("""COMPUTED_VALUE"""),"https://expa.aiesec.org/opportunities/1293801")</f>
        <v>https://expa.aiesec.org/opportunities/1293801</v>
      </c>
      <c r="L583" s="43" t="str">
        <f>IFERROR(__xludf.DUMMYFUNCTION("""COMPUTED_VALUE"""),"GV")</f>
        <v>GV</v>
      </c>
      <c r="M583" s="43" t="str">
        <f>IFERROR(__xludf.DUMMYFUNCTION("""COMPUTED_VALUE"""),"short")</f>
        <v>short</v>
      </c>
      <c r="N583" s="45">
        <f>IFERROR(__xludf.DUMMYFUNCTION("""COMPUTED_VALUE"""),45047.0)</f>
        <v>45047</v>
      </c>
      <c r="O583" s="45">
        <f>IFERROR(__xludf.DUMMYFUNCTION("""COMPUTED_VALUE"""),45122.0)</f>
        <v>45122</v>
      </c>
      <c r="P583" s="45">
        <f>IFERROR(__xludf.DUMMYFUNCTION("""COMPUTED_VALUE"""),45164.0)</f>
        <v>45164</v>
      </c>
      <c r="Q583" s="45">
        <f>IFERROR(__xludf.DUMMYFUNCTION("""COMPUTED_VALUE"""),45127.0)</f>
        <v>45127</v>
      </c>
      <c r="R583" s="45">
        <f>IFERROR(__xludf.DUMMYFUNCTION("""COMPUTED_VALUE"""),45169.0)</f>
        <v>45169</v>
      </c>
      <c r="S583" s="43"/>
      <c r="T583" s="43"/>
      <c r="U583" s="43" t="str">
        <f>IFERROR(__xludf.DUMMYFUNCTION("""COMPUTED_VALUE"""),"Global Classroom")</f>
        <v>Global Classroom</v>
      </c>
      <c r="V583" s="43" t="str">
        <f>IFERROR(__xludf.DUMMYFUNCTION("""COMPUTED_VALUE"""),"ISTANBUL - BEYOGLU")</f>
        <v>ISTANBUL - BEYOGLU</v>
      </c>
      <c r="W583" s="43" t="str">
        <f>IFERROR(__xludf.DUMMYFUNCTION("""COMPUTED_VALUE"""),"2023-04-24T20:44:25Z")</f>
        <v>2023-04-24T20:44:25Z</v>
      </c>
      <c r="X583" s="43"/>
      <c r="Y583" s="43"/>
      <c r="Z583" s="43"/>
    </row>
    <row r="584" hidden="1">
      <c r="A584" s="43" t="str">
        <f>IFERROR(__xludf.DUMMYFUNCTION("""COMPUTED_VALUE"""),"5218381_1288129")</f>
        <v>5218381_1288129</v>
      </c>
      <c r="B584" s="43" t="str">
        <f>IFERROR(__xludf.DUMMYFUNCTION("""COMPUTED_VALUE"""),"Saliha YAZAR")</f>
        <v>Saliha YAZAR</v>
      </c>
      <c r="C584" s="43" t="str">
        <f>IFERROR(__xludf.DUMMYFUNCTION("""COMPUTED_VALUE"""),"completed")</f>
        <v>completed</v>
      </c>
      <c r="D584" s="43" t="str">
        <f>IFERROR(__xludf.DUMMYFUNCTION("""COMPUTED_VALUE"""),"No")</f>
        <v>No</v>
      </c>
      <c r="E584" s="43" t="str">
        <f>IFERROR(__xludf.DUMMYFUNCTION("""COMPUTED_VALUE"""),"p_e4d99387e4ed1e67f6354d640f4bfd8eb1ac4515@inbound.aiesec.org")</f>
        <v>p_e4d99387e4ed1e67f6354d640f4bfd8eb1ac4515@inbound.aiesec.org</v>
      </c>
      <c r="F584" s="43"/>
      <c r="G584" s="43" t="str">
        <f>IFERROR(__xludf.DUMMYFUNCTION("""COMPUTED_VALUE"""),"Turkey")</f>
        <v>Turkey</v>
      </c>
      <c r="H584" s="43" t="str">
        <f>IFERROR(__xludf.DUMMYFUNCTION("""COMPUTED_VALUE"""),"ISTANBUL")</f>
        <v>ISTANBUL</v>
      </c>
      <c r="I584" s="43" t="str">
        <f>IFERROR(__xludf.DUMMYFUNCTION("""COMPUTED_VALUE"""),"Egypt")</f>
        <v>Egypt</v>
      </c>
      <c r="J584" s="43" t="str">
        <f>IFERROR(__xludf.DUMMYFUNCTION("""COMPUTED_VALUE"""),"Ain Shams University")</f>
        <v>Ain Shams University</v>
      </c>
      <c r="K584" s="44" t="str">
        <f>IFERROR(__xludf.DUMMYFUNCTION("""COMPUTED_VALUE"""),"https://expa.aiesec.org/opportunities/1288129")</f>
        <v>https://expa.aiesec.org/opportunities/1288129</v>
      </c>
      <c r="L584" s="43" t="str">
        <f>IFERROR(__xludf.DUMMYFUNCTION("""COMPUTED_VALUE"""),"GV")</f>
        <v>GV</v>
      </c>
      <c r="M584" s="43" t="str">
        <f>IFERROR(__xludf.DUMMYFUNCTION("""COMPUTED_VALUE"""),"short")</f>
        <v>short</v>
      </c>
      <c r="N584" s="45">
        <f>IFERROR(__xludf.DUMMYFUNCTION("""COMPUTED_VALUE"""),45047.0)</f>
        <v>45047</v>
      </c>
      <c r="O584" s="45">
        <f>IFERROR(__xludf.DUMMYFUNCTION("""COMPUTED_VALUE"""),45108.0)</f>
        <v>45108</v>
      </c>
      <c r="P584" s="45">
        <f>IFERROR(__xludf.DUMMYFUNCTION("""COMPUTED_VALUE"""),45150.0)</f>
        <v>45150</v>
      </c>
      <c r="Q584" s="45">
        <f>IFERROR(__xludf.DUMMYFUNCTION("""COMPUTED_VALUE"""),45107.0)</f>
        <v>45107</v>
      </c>
      <c r="R584" s="45">
        <f>IFERROR(__xludf.DUMMYFUNCTION("""COMPUTED_VALUE"""),45151.0)</f>
        <v>45151</v>
      </c>
      <c r="S584" s="43"/>
      <c r="T584" s="43"/>
      <c r="U584" s="43" t="str">
        <f>IFERROR(__xludf.DUMMYFUNCTION("""COMPUTED_VALUE"""),"Global Classroom")</f>
        <v>Global Classroom</v>
      </c>
      <c r="V584" s="43" t="str">
        <f>IFERROR(__xludf.DUMMYFUNCTION("""COMPUTED_VALUE"""),"-")</f>
        <v>-</v>
      </c>
      <c r="W584" s="43" t="str">
        <f>IFERROR(__xludf.DUMMYFUNCTION("""COMPUTED_VALUE"""),"2023-03-16T12:00:42Z")</f>
        <v>2023-03-16T12:00:42Z</v>
      </c>
      <c r="X584" s="43"/>
      <c r="Y584" s="43"/>
      <c r="Z584" s="43"/>
    </row>
    <row r="585" hidden="1">
      <c r="A585" s="43" t="str">
        <f>IFERROR(__xludf.DUMMYFUNCTION("""COMPUTED_VALUE"""),"5244778_1288413")</f>
        <v>5244778_1288413</v>
      </c>
      <c r="B585" s="43" t="str">
        <f>IFERROR(__xludf.DUMMYFUNCTION("""COMPUTED_VALUE"""),"Semra Aydın")</f>
        <v>Semra Aydın</v>
      </c>
      <c r="C585" s="43" t="str">
        <f>IFERROR(__xludf.DUMMYFUNCTION("""COMPUTED_VALUE"""),"approved")</f>
        <v>approved</v>
      </c>
      <c r="D585" s="43" t="str">
        <f>IFERROR(__xludf.DUMMYFUNCTION("""COMPUTED_VALUE"""),"No")</f>
        <v>No</v>
      </c>
      <c r="E585" s="43" t="str">
        <f>IFERROR(__xludf.DUMMYFUNCTION("""COMPUTED_VALUE"""),"p_832aa82472573d8afbc215b2ad5447ebb4ebfd84@inbound.aiesec.org")</f>
        <v>p_832aa82472573d8afbc215b2ad5447ebb4ebfd84@inbound.aiesec.org</v>
      </c>
      <c r="F585" s="43"/>
      <c r="G585" s="43" t="str">
        <f>IFERROR(__xludf.DUMMYFUNCTION("""COMPUTED_VALUE"""),"Turkey")</f>
        <v>Turkey</v>
      </c>
      <c r="H585" s="43" t="str">
        <f>IFERROR(__xludf.DUMMYFUNCTION("""COMPUTED_VALUE"""),"KOCAELI")</f>
        <v>KOCAELI</v>
      </c>
      <c r="I585" s="43" t="str">
        <f>IFERROR(__xludf.DUMMYFUNCTION("""COMPUTED_VALUE"""),"India")</f>
        <v>India</v>
      </c>
      <c r="J585" s="43" t="str">
        <f>IFERROR(__xludf.DUMMYFUNCTION("""COMPUTED_VALUE"""),"JAIPUR ")</f>
        <v>JAIPUR </v>
      </c>
      <c r="K585" s="44" t="str">
        <f>IFERROR(__xludf.DUMMYFUNCTION("""COMPUTED_VALUE"""),"https://expa.aiesec.org/opportunities/1288413")</f>
        <v>https://expa.aiesec.org/opportunities/1288413</v>
      </c>
      <c r="L585" s="43" t="str">
        <f>IFERROR(__xludf.DUMMYFUNCTION("""COMPUTED_VALUE"""),"GV")</f>
        <v>GV</v>
      </c>
      <c r="M585" s="43" t="str">
        <f>IFERROR(__xludf.DUMMYFUNCTION("""COMPUTED_VALUE"""),"short")</f>
        <v>short</v>
      </c>
      <c r="N585" s="45">
        <f>IFERROR(__xludf.DUMMYFUNCTION("""COMPUTED_VALUE"""),45047.0)</f>
        <v>45047</v>
      </c>
      <c r="O585" s="45">
        <f>IFERROR(__xludf.DUMMYFUNCTION("""COMPUTED_VALUE"""),45115.0)</f>
        <v>45115</v>
      </c>
      <c r="P585" s="45">
        <f>IFERROR(__xludf.DUMMYFUNCTION("""COMPUTED_VALUE"""),45157.0)</f>
        <v>45157</v>
      </c>
      <c r="Q585" s="45"/>
      <c r="R585" s="45"/>
      <c r="S585" s="43"/>
      <c r="T585" s="43"/>
      <c r="U585" s="43" t="str">
        <f>IFERROR(__xludf.DUMMYFUNCTION("""COMPUTED_VALUE"""),"Skill Up!")</f>
        <v>Skill Up!</v>
      </c>
      <c r="V585" s="43" t="str">
        <f>IFERROR(__xludf.DUMMYFUNCTION("""COMPUTED_VALUE"""),"-")</f>
        <v>-</v>
      </c>
      <c r="W585" s="43" t="str">
        <f>IFERROR(__xludf.DUMMYFUNCTION("""COMPUTED_VALUE"""),"2023-04-18T19:17:28Z")</f>
        <v>2023-04-18T19:17:28Z</v>
      </c>
      <c r="X585" s="43"/>
      <c r="Y585" s="43"/>
      <c r="Z585" s="43"/>
    </row>
    <row r="586" hidden="1">
      <c r="A586" s="43" t="str">
        <f>IFERROR(__xludf.DUMMYFUNCTION("""COMPUTED_VALUE"""),"5253789_1289848")</f>
        <v>5253789_1289848</v>
      </c>
      <c r="B586" s="43" t="str">
        <f>IFERROR(__xludf.DUMMYFUNCTION("""COMPUTED_VALUE"""),"Doğukan Kaya")</f>
        <v>Doğukan Kaya</v>
      </c>
      <c r="C586" s="43" t="str">
        <f>IFERROR(__xludf.DUMMYFUNCTION("""COMPUTED_VALUE"""),"completed")</f>
        <v>completed</v>
      </c>
      <c r="D586" s="43" t="str">
        <f>IFERROR(__xludf.DUMMYFUNCTION("""COMPUTED_VALUE"""),"No")</f>
        <v>No</v>
      </c>
      <c r="E586" s="43" t="str">
        <f>IFERROR(__xludf.DUMMYFUNCTION("""COMPUTED_VALUE"""),"p_5b3cf87252b8dd4ecf3397a617a04cba5af025b5@inbound.aiesec.org")</f>
        <v>p_5b3cf87252b8dd4ecf3397a617a04cba5af025b5@inbound.aiesec.org</v>
      </c>
      <c r="F586" s="43">
        <f>IFERROR(__xludf.DUMMYFUNCTION("""COMPUTED_VALUE"""),5.054185121E9)</f>
        <v>5054185121</v>
      </c>
      <c r="G586" s="43" t="str">
        <f>IFERROR(__xludf.DUMMYFUNCTION("""COMPUTED_VALUE"""),"Turkey")</f>
        <v>Turkey</v>
      </c>
      <c r="H586" s="43" t="str">
        <f>IFERROR(__xludf.DUMMYFUNCTION("""COMPUTED_VALUE"""),"ISTANBUL ASIA")</f>
        <v>ISTANBUL ASIA</v>
      </c>
      <c r="I586" s="43" t="str">
        <f>IFERROR(__xludf.DUMMYFUNCTION("""COMPUTED_VALUE"""),"India")</f>
        <v>India</v>
      </c>
      <c r="J586" s="43" t="str">
        <f>IFERROR(__xludf.DUMMYFUNCTION("""COMPUTED_VALUE"""),"Mumbai")</f>
        <v>Mumbai</v>
      </c>
      <c r="K586" s="44" t="str">
        <f>IFERROR(__xludf.DUMMYFUNCTION("""COMPUTED_VALUE"""),"https://expa.aiesec.org/opportunities/1289848")</f>
        <v>https://expa.aiesec.org/opportunities/1289848</v>
      </c>
      <c r="L586" s="43" t="str">
        <f>IFERROR(__xludf.DUMMYFUNCTION("""COMPUTED_VALUE"""),"GV")</f>
        <v>GV</v>
      </c>
      <c r="M586" s="43" t="str">
        <f>IFERROR(__xludf.DUMMYFUNCTION("""COMPUTED_VALUE"""),"short")</f>
        <v>short</v>
      </c>
      <c r="N586" s="45">
        <f>IFERROR(__xludf.DUMMYFUNCTION("""COMPUTED_VALUE"""),45048.0)</f>
        <v>45048</v>
      </c>
      <c r="O586" s="45">
        <f>IFERROR(__xludf.DUMMYFUNCTION("""COMPUTED_VALUE"""),45170.0)</f>
        <v>45170</v>
      </c>
      <c r="P586" s="45">
        <f>IFERROR(__xludf.DUMMYFUNCTION("""COMPUTED_VALUE"""),45212.0)</f>
        <v>45212</v>
      </c>
      <c r="Q586" s="45">
        <f>IFERROR(__xludf.DUMMYFUNCTION("""COMPUTED_VALUE"""),45173.0)</f>
        <v>45173</v>
      </c>
      <c r="R586" s="45">
        <f>IFERROR(__xludf.DUMMYFUNCTION("""COMPUTED_VALUE"""),45213.0)</f>
        <v>45213</v>
      </c>
      <c r="S586" s="43"/>
      <c r="T586" s="43"/>
      <c r="U586" s="43" t="str">
        <f>IFERROR(__xludf.DUMMYFUNCTION("""COMPUTED_VALUE"""),"Skill Up!")</f>
        <v>Skill Up!</v>
      </c>
      <c r="V586" s="43" t="str">
        <f>IFERROR(__xludf.DUMMYFUNCTION("""COMPUTED_VALUE"""),"ISTANBUL ASIA")</f>
        <v>ISTANBUL ASIA</v>
      </c>
      <c r="W586" s="43" t="str">
        <f>IFERROR(__xludf.DUMMYFUNCTION("""COMPUTED_VALUE"""),"2023-05-01T15:59:18Z")</f>
        <v>2023-05-01T15:59:18Z</v>
      </c>
      <c r="X586" s="43"/>
      <c r="Y586" s="43"/>
      <c r="Z586" s="43"/>
    </row>
    <row r="587" hidden="1">
      <c r="A587" s="43" t="str">
        <f>IFERROR(__xludf.DUMMYFUNCTION("""COMPUTED_VALUE"""),"5228374_1294202")</f>
        <v>5228374_1294202</v>
      </c>
      <c r="B587" s="43" t="str">
        <f>IFERROR(__xludf.DUMMYFUNCTION("""COMPUTED_VALUE"""),"Sude Kırbıyık")</f>
        <v>Sude Kırbıyık</v>
      </c>
      <c r="C587" s="43" t="str">
        <f>IFERROR(__xludf.DUMMYFUNCTION("""COMPUTED_VALUE"""),"completed")</f>
        <v>completed</v>
      </c>
      <c r="D587" s="43" t="str">
        <f>IFERROR(__xludf.DUMMYFUNCTION("""COMPUTED_VALUE"""),"No")</f>
        <v>No</v>
      </c>
      <c r="E587" s="43" t="str">
        <f>IFERROR(__xludf.DUMMYFUNCTION("""COMPUTED_VALUE"""),"p_ed299198fd14d52474fdf8b11e58f060d7ab48d9@inbound.aiesec.org")</f>
        <v>p_ed299198fd14d52474fdf8b11e58f060d7ab48d9@inbound.aiesec.org</v>
      </c>
      <c r="F587" s="43">
        <f>IFERROR(__xludf.DUMMYFUNCTION("""COMPUTED_VALUE"""),5.070443707E9)</f>
        <v>5070443707</v>
      </c>
      <c r="G587" s="43" t="str">
        <f>IFERROR(__xludf.DUMMYFUNCTION("""COMPUTED_VALUE"""),"Turkey")</f>
        <v>Turkey</v>
      </c>
      <c r="H587" s="43" t="str">
        <f>IFERROR(__xludf.DUMMYFUNCTION("""COMPUTED_VALUE"""),"ISTANBUL")</f>
        <v>ISTANBUL</v>
      </c>
      <c r="I587" s="43" t="str">
        <f>IFERROR(__xludf.DUMMYFUNCTION("""COMPUTED_VALUE"""),"Romania")</f>
        <v>Romania</v>
      </c>
      <c r="J587" s="43" t="str">
        <f>IFERROR(__xludf.DUMMYFUNCTION("""COMPUTED_VALUE"""),"Craiova")</f>
        <v>Craiova</v>
      </c>
      <c r="K587" s="44" t="str">
        <f>IFERROR(__xludf.DUMMYFUNCTION("""COMPUTED_VALUE"""),"https://expa.aiesec.org/opportunities/1294202")</f>
        <v>https://expa.aiesec.org/opportunities/1294202</v>
      </c>
      <c r="L587" s="43" t="str">
        <f>IFERROR(__xludf.DUMMYFUNCTION("""COMPUTED_VALUE"""),"GV")</f>
        <v>GV</v>
      </c>
      <c r="M587" s="43" t="str">
        <f>IFERROR(__xludf.DUMMYFUNCTION("""COMPUTED_VALUE"""),"short")</f>
        <v>short</v>
      </c>
      <c r="N587" s="45">
        <f>IFERROR(__xludf.DUMMYFUNCTION("""COMPUTED_VALUE"""),45048.0)</f>
        <v>45048</v>
      </c>
      <c r="O587" s="45">
        <f>IFERROR(__xludf.DUMMYFUNCTION("""COMPUTED_VALUE"""),45103.0)</f>
        <v>45103</v>
      </c>
      <c r="P587" s="45">
        <f>IFERROR(__xludf.DUMMYFUNCTION("""COMPUTED_VALUE"""),45145.0)</f>
        <v>45145</v>
      </c>
      <c r="Q587" s="45">
        <f>IFERROR(__xludf.DUMMYFUNCTION("""COMPUTED_VALUE"""),45111.0)</f>
        <v>45111</v>
      </c>
      <c r="R587" s="45">
        <f>IFERROR(__xludf.DUMMYFUNCTION("""COMPUTED_VALUE"""),45152.0)</f>
        <v>45152</v>
      </c>
      <c r="S587" s="43"/>
      <c r="T587" s="43"/>
      <c r="U587" s="43" t="str">
        <f>IFERROR(__xludf.DUMMYFUNCTION("""COMPUTED_VALUE"""),"Global Classroom")</f>
        <v>Global Classroom</v>
      </c>
      <c r="V587" s="43" t="str">
        <f>IFERROR(__xludf.DUMMYFUNCTION("""COMPUTED_VALUE"""),"ISTANBUL - BEYOGLU")</f>
        <v>ISTANBUL - BEYOGLU</v>
      </c>
      <c r="W587" s="43" t="str">
        <f>IFERROR(__xludf.DUMMYFUNCTION("""COMPUTED_VALUE"""),"2023-03-27T17:56:54Z")</f>
        <v>2023-03-27T17:56:54Z</v>
      </c>
      <c r="X587" s="43"/>
      <c r="Y587" s="43"/>
      <c r="Z587" s="43"/>
    </row>
    <row r="588" hidden="1">
      <c r="A588" s="43" t="str">
        <f>IFERROR(__xludf.DUMMYFUNCTION("""COMPUTED_VALUE"""),"5253521_1293112")</f>
        <v>5253521_1293112</v>
      </c>
      <c r="B588" s="43" t="str">
        <f>IFERROR(__xludf.DUMMYFUNCTION("""COMPUTED_VALUE"""),"Emine Dam")</f>
        <v>Emine Dam</v>
      </c>
      <c r="C588" s="43" t="str">
        <f>IFERROR(__xludf.DUMMYFUNCTION("""COMPUTED_VALUE"""),"completed")</f>
        <v>completed</v>
      </c>
      <c r="D588" s="43" t="str">
        <f>IFERROR(__xludf.DUMMYFUNCTION("""COMPUTED_VALUE"""),"No")</f>
        <v>No</v>
      </c>
      <c r="E588" s="43" t="str">
        <f>IFERROR(__xludf.DUMMYFUNCTION("""COMPUTED_VALUE"""),"p_c7b844cdc2298015454ef126ee1f7bb95426c79a@inbound.aiesec.org")</f>
        <v>p_c7b844cdc2298015454ef126ee1f7bb95426c79a@inbound.aiesec.org</v>
      </c>
      <c r="F588" s="43">
        <f>IFERROR(__xludf.DUMMYFUNCTION("""COMPUTED_VALUE"""),5.366947784E9)</f>
        <v>5366947784</v>
      </c>
      <c r="G588" s="43" t="str">
        <f>IFERROR(__xludf.DUMMYFUNCTION("""COMPUTED_VALUE"""),"Turkey")</f>
        <v>Turkey</v>
      </c>
      <c r="H588" s="43" t="str">
        <f>IFERROR(__xludf.DUMMYFUNCTION("""COMPUTED_VALUE"""),"ISTANBUL")</f>
        <v>ISTANBUL</v>
      </c>
      <c r="I588" s="43" t="str">
        <f>IFERROR(__xludf.DUMMYFUNCTION("""COMPUTED_VALUE"""),"India")</f>
        <v>India</v>
      </c>
      <c r="J588" s="43" t="str">
        <f>IFERROR(__xludf.DUMMYFUNCTION("""COMPUTED_VALUE"""),"JAIPUR ")</f>
        <v>JAIPUR </v>
      </c>
      <c r="K588" s="44" t="str">
        <f>IFERROR(__xludf.DUMMYFUNCTION("""COMPUTED_VALUE"""),"https://expa.aiesec.org/opportunities/1293112")</f>
        <v>https://expa.aiesec.org/opportunities/1293112</v>
      </c>
      <c r="L588" s="43" t="str">
        <f>IFERROR(__xludf.DUMMYFUNCTION("""COMPUTED_VALUE"""),"GV")</f>
        <v>GV</v>
      </c>
      <c r="M588" s="43" t="str">
        <f>IFERROR(__xludf.DUMMYFUNCTION("""COMPUTED_VALUE"""),"short")</f>
        <v>short</v>
      </c>
      <c r="N588" s="45">
        <f>IFERROR(__xludf.DUMMYFUNCTION("""COMPUTED_VALUE"""),45048.0)</f>
        <v>45048</v>
      </c>
      <c r="O588" s="45">
        <f>IFERROR(__xludf.DUMMYFUNCTION("""COMPUTED_VALUE"""),45154.0)</f>
        <v>45154</v>
      </c>
      <c r="P588" s="45">
        <f>IFERROR(__xludf.DUMMYFUNCTION("""COMPUTED_VALUE"""),45196.0)</f>
        <v>45196</v>
      </c>
      <c r="Q588" s="45">
        <f>IFERROR(__xludf.DUMMYFUNCTION("""COMPUTED_VALUE"""),45153.0)</f>
        <v>45153</v>
      </c>
      <c r="R588" s="45">
        <f>IFERROR(__xludf.DUMMYFUNCTION("""COMPUTED_VALUE"""),45196.0)</f>
        <v>45196</v>
      </c>
      <c r="S588" s="43"/>
      <c r="T588" s="43"/>
      <c r="U588" s="43" t="str">
        <f>IFERROR(__xludf.DUMMYFUNCTION("""COMPUTED_VALUE"""),"Explorer")</f>
        <v>Explorer</v>
      </c>
      <c r="V588" s="43" t="str">
        <f>IFERROR(__xludf.DUMMYFUNCTION("""COMPUTED_VALUE"""),"ISTANBUL - BEYOGLU")</f>
        <v>ISTANBUL - BEYOGLU</v>
      </c>
      <c r="W588" s="43" t="str">
        <f>IFERROR(__xludf.DUMMYFUNCTION("""COMPUTED_VALUE"""),"2023-05-01T08:24:23Z")</f>
        <v>2023-05-01T08:24:23Z</v>
      </c>
      <c r="X588" s="43"/>
      <c r="Y588" s="43"/>
      <c r="Z588" s="43"/>
    </row>
    <row r="589" hidden="1">
      <c r="A589" s="43" t="str">
        <f>IFERROR(__xludf.DUMMYFUNCTION("""COMPUTED_VALUE"""),"5253297_1293477")</f>
        <v>5253297_1293477</v>
      </c>
      <c r="B589" s="43" t="str">
        <f>IFERROR(__xludf.DUMMYFUNCTION("""COMPUTED_VALUE"""),"Halil Emin Sezer")</f>
        <v>Halil Emin Sezer</v>
      </c>
      <c r="C589" s="43" t="str">
        <f>IFERROR(__xludf.DUMMYFUNCTION("""COMPUTED_VALUE"""),"approved")</f>
        <v>approved</v>
      </c>
      <c r="D589" s="43" t="str">
        <f>IFERROR(__xludf.DUMMYFUNCTION("""COMPUTED_VALUE"""),"No")</f>
        <v>No</v>
      </c>
      <c r="E589" s="43" t="str">
        <f>IFERROR(__xludf.DUMMYFUNCTION("""COMPUTED_VALUE"""),"p_d4fde0d93ab97c4c37d7b188c7b95d0156818e3c@inbound.aiesec.org")</f>
        <v>p_d4fde0d93ab97c4c37d7b188c7b95d0156818e3c@inbound.aiesec.org</v>
      </c>
      <c r="F589" s="43">
        <f>IFERROR(__xludf.DUMMYFUNCTION("""COMPUTED_VALUE"""),5.347703654E9)</f>
        <v>5347703654</v>
      </c>
      <c r="G589" s="43" t="str">
        <f>IFERROR(__xludf.DUMMYFUNCTION("""COMPUTED_VALUE"""),"Turkey")</f>
        <v>Turkey</v>
      </c>
      <c r="H589" s="43" t="str">
        <f>IFERROR(__xludf.DUMMYFUNCTION("""COMPUTED_VALUE"""),"ADANA")</f>
        <v>ADANA</v>
      </c>
      <c r="I589" s="43" t="str">
        <f>IFERROR(__xludf.DUMMYFUNCTION("""COMPUTED_VALUE"""),"Egypt")</f>
        <v>Egypt</v>
      </c>
      <c r="J589" s="43" t="str">
        <f>IFERROR(__xludf.DUMMYFUNCTION("""COMPUTED_VALUE"""),"GUC")</f>
        <v>GUC</v>
      </c>
      <c r="K589" s="44" t="str">
        <f>IFERROR(__xludf.DUMMYFUNCTION("""COMPUTED_VALUE"""),"https://expa.aiesec.org/opportunities/1293477")</f>
        <v>https://expa.aiesec.org/opportunities/1293477</v>
      </c>
      <c r="L589" s="43" t="str">
        <f>IFERROR(__xludf.DUMMYFUNCTION("""COMPUTED_VALUE"""),"GV")</f>
        <v>GV</v>
      </c>
      <c r="M589" s="43" t="str">
        <f>IFERROR(__xludf.DUMMYFUNCTION("""COMPUTED_VALUE"""),"short")</f>
        <v>short</v>
      </c>
      <c r="N589" s="45">
        <f>IFERROR(__xludf.DUMMYFUNCTION("""COMPUTED_VALUE"""),45048.0)</f>
        <v>45048</v>
      </c>
      <c r="O589" s="45">
        <f>IFERROR(__xludf.DUMMYFUNCTION("""COMPUTED_VALUE"""),45139.0)</f>
        <v>45139</v>
      </c>
      <c r="P589" s="45">
        <f>IFERROR(__xludf.DUMMYFUNCTION("""COMPUTED_VALUE"""),45181.0)</f>
        <v>45181</v>
      </c>
      <c r="Q589" s="45"/>
      <c r="R589" s="45"/>
      <c r="S589" s="43"/>
      <c r="T589" s="43"/>
      <c r="U589" s="43" t="str">
        <f>IFERROR(__xludf.DUMMYFUNCTION("""COMPUTED_VALUE"""),"Raise Your Voice")</f>
        <v>Raise Your Voice</v>
      </c>
      <c r="V589" s="43" t="str">
        <f>IFERROR(__xludf.DUMMYFUNCTION("""COMPUTED_VALUE"""),"ADANA")</f>
        <v>ADANA</v>
      </c>
      <c r="W589" s="43" t="str">
        <f>IFERROR(__xludf.DUMMYFUNCTION("""COMPUTED_VALUE"""),"2023-04-30T19:07:10Z")</f>
        <v>2023-04-30T19:07:10Z</v>
      </c>
      <c r="X589" s="43"/>
      <c r="Y589" s="43"/>
      <c r="Z589" s="43"/>
    </row>
    <row r="590" hidden="1">
      <c r="A590" s="43" t="str">
        <f>IFERROR(__xludf.DUMMYFUNCTION("""COMPUTED_VALUE"""),"5252747_1293216")</f>
        <v>5252747_1293216</v>
      </c>
      <c r="B590" s="43" t="str">
        <f>IFERROR(__xludf.DUMMYFUNCTION("""COMPUTED_VALUE"""),"Çağla Ordu")</f>
        <v>Çağla Ordu</v>
      </c>
      <c r="C590" s="43" t="str">
        <f>IFERROR(__xludf.DUMMYFUNCTION("""COMPUTED_VALUE"""),"completed")</f>
        <v>completed</v>
      </c>
      <c r="D590" s="43" t="str">
        <f>IFERROR(__xludf.DUMMYFUNCTION("""COMPUTED_VALUE"""),"No")</f>
        <v>No</v>
      </c>
      <c r="E590" s="43" t="str">
        <f>IFERROR(__xludf.DUMMYFUNCTION("""COMPUTED_VALUE"""),"p_977b7eb4833950fd99f81e61fae2795a9002a3d3@inbound.aiesec.org")</f>
        <v>p_977b7eb4833950fd99f81e61fae2795a9002a3d3@inbound.aiesec.org</v>
      </c>
      <c r="F590" s="43">
        <f>IFERROR(__xludf.DUMMYFUNCTION("""COMPUTED_VALUE"""),5.422387558E9)</f>
        <v>5422387558</v>
      </c>
      <c r="G590" s="43" t="str">
        <f>IFERROR(__xludf.DUMMYFUNCTION("""COMPUTED_VALUE"""),"Turkey")</f>
        <v>Turkey</v>
      </c>
      <c r="H590" s="43" t="str">
        <f>IFERROR(__xludf.DUMMYFUNCTION("""COMPUTED_VALUE"""),"ISTANBUL")</f>
        <v>ISTANBUL</v>
      </c>
      <c r="I590" s="43" t="str">
        <f>IFERROR(__xludf.DUMMYFUNCTION("""COMPUTED_VALUE"""),"Egypt")</f>
        <v>Egypt</v>
      </c>
      <c r="J590" s="43" t="str">
        <f>IFERROR(__xludf.DUMMYFUNCTION("""COMPUTED_VALUE"""),"Tanta")</f>
        <v>Tanta</v>
      </c>
      <c r="K590" s="44" t="str">
        <f>IFERROR(__xludf.DUMMYFUNCTION("""COMPUTED_VALUE"""),"https://expa.aiesec.org/opportunities/1293216")</f>
        <v>https://expa.aiesec.org/opportunities/1293216</v>
      </c>
      <c r="L590" s="43" t="str">
        <f>IFERROR(__xludf.DUMMYFUNCTION("""COMPUTED_VALUE"""),"GV")</f>
        <v>GV</v>
      </c>
      <c r="M590" s="43" t="str">
        <f>IFERROR(__xludf.DUMMYFUNCTION("""COMPUTED_VALUE"""),"short")</f>
        <v>short</v>
      </c>
      <c r="N590" s="45">
        <f>IFERROR(__xludf.DUMMYFUNCTION("""COMPUTED_VALUE"""),45048.0)</f>
        <v>45048</v>
      </c>
      <c r="O590" s="45">
        <f>IFERROR(__xludf.DUMMYFUNCTION("""COMPUTED_VALUE"""),45108.0)</f>
        <v>45108</v>
      </c>
      <c r="P590" s="45">
        <f>IFERROR(__xludf.DUMMYFUNCTION("""COMPUTED_VALUE"""),45150.0)</f>
        <v>45150</v>
      </c>
      <c r="Q590" s="45">
        <f>IFERROR(__xludf.DUMMYFUNCTION("""COMPUTED_VALUE"""),45109.0)</f>
        <v>45109</v>
      </c>
      <c r="R590" s="45">
        <f>IFERROR(__xludf.DUMMYFUNCTION("""COMPUTED_VALUE"""),45150.0)</f>
        <v>45150</v>
      </c>
      <c r="S590" s="43"/>
      <c r="T590" s="43"/>
      <c r="U590" s="43" t="str">
        <f>IFERROR(__xludf.DUMMYFUNCTION("""COMPUTED_VALUE"""),"Global Classroom")</f>
        <v>Global Classroom</v>
      </c>
      <c r="V590" s="43" t="str">
        <f>IFERROR(__xludf.DUMMYFUNCTION("""COMPUTED_VALUE"""),"ISTANBUL - BEYOGLU")</f>
        <v>ISTANBUL - BEYOGLU</v>
      </c>
      <c r="W590" s="43" t="str">
        <f>IFERROR(__xludf.DUMMYFUNCTION("""COMPUTED_VALUE"""),"2023-04-29T22:36:21Z")</f>
        <v>2023-04-29T22:36:21Z</v>
      </c>
      <c r="X590" s="43"/>
      <c r="Y590" s="43"/>
      <c r="Z590" s="43"/>
    </row>
    <row r="591" hidden="1">
      <c r="A591" s="43" t="str">
        <f>IFERROR(__xludf.DUMMYFUNCTION("""COMPUTED_VALUE"""),"5240489_1294063")</f>
        <v>5240489_1294063</v>
      </c>
      <c r="B591" s="43" t="str">
        <f>IFERROR(__xludf.DUMMYFUNCTION("""COMPUTED_VALUE"""),"Onur Şentürk")</f>
        <v>Onur Şentürk</v>
      </c>
      <c r="C591" s="43" t="str">
        <f>IFERROR(__xludf.DUMMYFUNCTION("""COMPUTED_VALUE"""),"completed")</f>
        <v>completed</v>
      </c>
      <c r="D591" s="43" t="str">
        <f>IFERROR(__xludf.DUMMYFUNCTION("""COMPUTED_VALUE"""),"No")</f>
        <v>No</v>
      </c>
      <c r="E591" s="43" t="str">
        <f>IFERROR(__xludf.DUMMYFUNCTION("""COMPUTED_VALUE"""),"p_524643d20bdd4f3538c4e11fc41a9823ef199f8b@inbound.aiesec.org")</f>
        <v>p_524643d20bdd4f3538c4e11fc41a9823ef199f8b@inbound.aiesec.org</v>
      </c>
      <c r="F591" s="43">
        <f>IFERROR(__xludf.DUMMYFUNCTION("""COMPUTED_VALUE"""),5.061209635E9)</f>
        <v>5061209635</v>
      </c>
      <c r="G591" s="43" t="str">
        <f>IFERROR(__xludf.DUMMYFUNCTION("""COMPUTED_VALUE"""),"Turkey")</f>
        <v>Turkey</v>
      </c>
      <c r="H591" s="43" t="str">
        <f>IFERROR(__xludf.DUMMYFUNCTION("""COMPUTED_VALUE"""),"İZMİR")</f>
        <v>İZMİR</v>
      </c>
      <c r="I591" s="43" t="str">
        <f>IFERROR(__xludf.DUMMYFUNCTION("""COMPUTED_VALUE"""),"Egypt")</f>
        <v>Egypt</v>
      </c>
      <c r="J591" s="43" t="str">
        <f>IFERROR(__xludf.DUMMYFUNCTION("""COMPUTED_VALUE"""),"Ain Shams University")</f>
        <v>Ain Shams University</v>
      </c>
      <c r="K591" s="44" t="str">
        <f>IFERROR(__xludf.DUMMYFUNCTION("""COMPUTED_VALUE"""),"https://expa.aiesec.org/opportunities/1294063")</f>
        <v>https://expa.aiesec.org/opportunities/1294063</v>
      </c>
      <c r="L591" s="43" t="str">
        <f>IFERROR(__xludf.DUMMYFUNCTION("""COMPUTED_VALUE"""),"GV")</f>
        <v>GV</v>
      </c>
      <c r="M591" s="43" t="str">
        <f>IFERROR(__xludf.DUMMYFUNCTION("""COMPUTED_VALUE"""),"short")</f>
        <v>short</v>
      </c>
      <c r="N591" s="45">
        <f>IFERROR(__xludf.DUMMYFUNCTION("""COMPUTED_VALUE"""),45048.0)</f>
        <v>45048</v>
      </c>
      <c r="O591" s="45">
        <f>IFERROR(__xludf.DUMMYFUNCTION("""COMPUTED_VALUE"""),45108.0)</f>
        <v>45108</v>
      </c>
      <c r="P591" s="45">
        <f>IFERROR(__xludf.DUMMYFUNCTION("""COMPUTED_VALUE"""),45150.0)</f>
        <v>45150</v>
      </c>
      <c r="Q591" s="45">
        <f>IFERROR(__xludf.DUMMYFUNCTION("""COMPUTED_VALUE"""),45107.0)</f>
        <v>45107</v>
      </c>
      <c r="R591" s="45">
        <f>IFERROR(__xludf.DUMMYFUNCTION("""COMPUTED_VALUE"""),45151.0)</f>
        <v>45151</v>
      </c>
      <c r="S591" s="43"/>
      <c r="T591" s="43"/>
      <c r="U591" s="43" t="str">
        <f>IFERROR(__xludf.DUMMYFUNCTION("""COMPUTED_VALUE"""),"On The Map")</f>
        <v>On The Map</v>
      </c>
      <c r="V591" s="43" t="str">
        <f>IFERROR(__xludf.DUMMYFUNCTION("""COMPUTED_VALUE"""),"IZMIR")</f>
        <v>IZMIR</v>
      </c>
      <c r="W591" s="43" t="str">
        <f>IFERROR(__xludf.DUMMYFUNCTION("""COMPUTED_VALUE"""),"2023-04-12T14:54:40Z")</f>
        <v>2023-04-12T14:54:40Z</v>
      </c>
      <c r="X591" s="43"/>
      <c r="Y591" s="43"/>
      <c r="Z591" s="43"/>
    </row>
    <row r="592" hidden="1">
      <c r="A592" s="43" t="str">
        <f>IFERROR(__xludf.DUMMYFUNCTION("""COMPUTED_VALUE"""),"5239649_1289807")</f>
        <v>5239649_1289807</v>
      </c>
      <c r="B592" s="43" t="str">
        <f>IFERROR(__xludf.DUMMYFUNCTION("""COMPUTED_VALUE"""),"Ennur Özer")</f>
        <v>Ennur Özer</v>
      </c>
      <c r="C592" s="43" t="str">
        <f>IFERROR(__xludf.DUMMYFUNCTION("""COMPUTED_VALUE"""),"approved")</f>
        <v>approved</v>
      </c>
      <c r="D592" s="43" t="str">
        <f>IFERROR(__xludf.DUMMYFUNCTION("""COMPUTED_VALUE"""),"No")</f>
        <v>No</v>
      </c>
      <c r="E592" s="43" t="str">
        <f>IFERROR(__xludf.DUMMYFUNCTION("""COMPUTED_VALUE"""),"p_b30811a7b6988b3441d35568c660ad8734b6fa9e@inbound.aiesec.org")</f>
        <v>p_b30811a7b6988b3441d35568c660ad8734b6fa9e@inbound.aiesec.org</v>
      </c>
      <c r="F592" s="43"/>
      <c r="G592" s="43" t="str">
        <f>IFERROR(__xludf.DUMMYFUNCTION("""COMPUTED_VALUE"""),"Turkey")</f>
        <v>Turkey</v>
      </c>
      <c r="H592" s="43" t="str">
        <f>IFERROR(__xludf.DUMMYFUNCTION("""COMPUTED_VALUE"""),"ESKISEHIR")</f>
        <v>ESKISEHIR</v>
      </c>
      <c r="I592" s="43" t="str">
        <f>IFERROR(__xludf.DUMMYFUNCTION("""COMPUTED_VALUE"""),"Egypt")</f>
        <v>Egypt</v>
      </c>
      <c r="J592" s="43" t="str">
        <f>IFERROR(__xludf.DUMMYFUNCTION("""COMPUTED_VALUE"""),"Ain Shams University")</f>
        <v>Ain Shams University</v>
      </c>
      <c r="K592" s="44" t="str">
        <f>IFERROR(__xludf.DUMMYFUNCTION("""COMPUTED_VALUE"""),"https://expa.aiesec.org/opportunities/1289807")</f>
        <v>https://expa.aiesec.org/opportunities/1289807</v>
      </c>
      <c r="L592" s="43" t="str">
        <f>IFERROR(__xludf.DUMMYFUNCTION("""COMPUTED_VALUE"""),"GV")</f>
        <v>GV</v>
      </c>
      <c r="M592" s="43" t="str">
        <f>IFERROR(__xludf.DUMMYFUNCTION("""COMPUTED_VALUE"""),"short")</f>
        <v>short</v>
      </c>
      <c r="N592" s="45">
        <f>IFERROR(__xludf.DUMMYFUNCTION("""COMPUTED_VALUE"""),45048.0)</f>
        <v>45048</v>
      </c>
      <c r="O592" s="45">
        <f>IFERROR(__xludf.DUMMYFUNCTION("""COMPUTED_VALUE"""),45108.0)</f>
        <v>45108</v>
      </c>
      <c r="P592" s="45">
        <f>IFERROR(__xludf.DUMMYFUNCTION("""COMPUTED_VALUE"""),45153.0)</f>
        <v>45153</v>
      </c>
      <c r="Q592" s="45"/>
      <c r="R592" s="45"/>
      <c r="S592" s="43"/>
      <c r="T592" s="43"/>
      <c r="U592" s="43" t="str">
        <f>IFERROR(__xludf.DUMMYFUNCTION("""COMPUTED_VALUE"""),"Rooted")</f>
        <v>Rooted</v>
      </c>
      <c r="V592" s="43" t="str">
        <f>IFERROR(__xludf.DUMMYFUNCTION("""COMPUTED_VALUE"""),"-")</f>
        <v>-</v>
      </c>
      <c r="W592" s="43" t="str">
        <f>IFERROR(__xludf.DUMMYFUNCTION("""COMPUTED_VALUE"""),"2023-04-11T15:24:51Z")</f>
        <v>2023-04-11T15:24:51Z</v>
      </c>
      <c r="X592" s="43"/>
      <c r="Y592" s="43"/>
      <c r="Z592" s="43"/>
    </row>
    <row r="593" hidden="1">
      <c r="A593" s="43" t="str">
        <f>IFERROR(__xludf.DUMMYFUNCTION("""COMPUTED_VALUE"""),"5251161_1293983")</f>
        <v>5251161_1293983</v>
      </c>
      <c r="B593" s="43" t="str">
        <f>IFERROR(__xludf.DUMMYFUNCTION("""COMPUTED_VALUE"""),"Sinan Özcan")</f>
        <v>Sinan Özcan</v>
      </c>
      <c r="C593" s="43" t="str">
        <f>IFERROR(__xludf.DUMMYFUNCTION("""COMPUTED_VALUE"""),"completed")</f>
        <v>completed</v>
      </c>
      <c r="D593" s="43" t="str">
        <f>IFERROR(__xludf.DUMMYFUNCTION("""COMPUTED_VALUE"""),"No")</f>
        <v>No</v>
      </c>
      <c r="E593" s="43" t="str">
        <f>IFERROR(__xludf.DUMMYFUNCTION("""COMPUTED_VALUE"""),"p_d6551fc90fdba721a1a4f4601e4ca8eafa74271c@inbound.aiesec.org")</f>
        <v>p_d6551fc90fdba721a1a4f4601e4ca8eafa74271c@inbound.aiesec.org</v>
      </c>
      <c r="F593" s="43"/>
      <c r="G593" s="43" t="str">
        <f>IFERROR(__xludf.DUMMYFUNCTION("""COMPUTED_VALUE"""),"Turkey")</f>
        <v>Turkey</v>
      </c>
      <c r="H593" s="43" t="str">
        <f>IFERROR(__xludf.DUMMYFUNCTION("""COMPUTED_VALUE"""),"KOCAELI")</f>
        <v>KOCAELI</v>
      </c>
      <c r="I593" s="43" t="str">
        <f>IFERROR(__xludf.DUMMYFUNCTION("""COMPUTED_VALUE"""),"Tunisia")</f>
        <v>Tunisia</v>
      </c>
      <c r="J593" s="43" t="str">
        <f>IFERROR(__xludf.DUMMYFUNCTION("""COMPUTED_VALUE"""),"BARDO")</f>
        <v>BARDO</v>
      </c>
      <c r="K593" s="44" t="str">
        <f>IFERROR(__xludf.DUMMYFUNCTION("""COMPUTED_VALUE"""),"https://expa.aiesec.org/opportunities/1293983")</f>
        <v>https://expa.aiesec.org/opportunities/1293983</v>
      </c>
      <c r="L593" s="43" t="str">
        <f>IFERROR(__xludf.DUMMYFUNCTION("""COMPUTED_VALUE"""),"GV")</f>
        <v>GV</v>
      </c>
      <c r="M593" s="43" t="str">
        <f>IFERROR(__xludf.DUMMYFUNCTION("""COMPUTED_VALUE"""),"short")</f>
        <v>short</v>
      </c>
      <c r="N593" s="45">
        <f>IFERROR(__xludf.DUMMYFUNCTION("""COMPUTED_VALUE"""),45048.0)</f>
        <v>45048</v>
      </c>
      <c r="O593" s="45">
        <f>IFERROR(__xludf.DUMMYFUNCTION("""COMPUTED_VALUE"""),45117.0)</f>
        <v>45117</v>
      </c>
      <c r="P593" s="45">
        <f>IFERROR(__xludf.DUMMYFUNCTION("""COMPUTED_VALUE"""),45159.0)</f>
        <v>45159</v>
      </c>
      <c r="Q593" s="45">
        <f>IFERROR(__xludf.DUMMYFUNCTION("""COMPUTED_VALUE"""),45117.0)</f>
        <v>45117</v>
      </c>
      <c r="R593" s="45">
        <f>IFERROR(__xludf.DUMMYFUNCTION("""COMPUTED_VALUE"""),45159.0)</f>
        <v>45159</v>
      </c>
      <c r="S593" s="43"/>
      <c r="T593" s="43"/>
      <c r="U593" s="43" t="str">
        <f>IFERROR(__xludf.DUMMYFUNCTION("""COMPUTED_VALUE"""),"Skill Up!")</f>
        <v>Skill Up!</v>
      </c>
      <c r="V593" s="43" t="str">
        <f>IFERROR(__xludf.DUMMYFUNCTION("""COMPUTED_VALUE"""),"-")</f>
        <v>-</v>
      </c>
      <c r="W593" s="43" t="str">
        <f>IFERROR(__xludf.DUMMYFUNCTION("""COMPUTED_VALUE"""),"2023-04-27T19:19:40Z")</f>
        <v>2023-04-27T19:19:40Z</v>
      </c>
      <c r="X593" s="43"/>
      <c r="Y593" s="43"/>
      <c r="Z593" s="43"/>
    </row>
    <row r="594" hidden="1">
      <c r="A594" s="43" t="str">
        <f>IFERROR(__xludf.DUMMYFUNCTION("""COMPUTED_VALUE"""),"5247003_1294062")</f>
        <v>5247003_1294062</v>
      </c>
      <c r="B594" s="43" t="str">
        <f>IFERROR(__xludf.DUMMYFUNCTION("""COMPUTED_VALUE"""),"arca köklü")</f>
        <v>arca köklü</v>
      </c>
      <c r="C594" s="43" t="str">
        <f>IFERROR(__xludf.DUMMYFUNCTION("""COMPUTED_VALUE"""),"completed")</f>
        <v>completed</v>
      </c>
      <c r="D594" s="43" t="str">
        <f>IFERROR(__xludf.DUMMYFUNCTION("""COMPUTED_VALUE"""),"No")</f>
        <v>No</v>
      </c>
      <c r="E594" s="43" t="str">
        <f>IFERROR(__xludf.DUMMYFUNCTION("""COMPUTED_VALUE"""),"p_051ba415dbd3e381c78c8b9806f38887691f57ad@inbound.aiesec.org")</f>
        <v>p_051ba415dbd3e381c78c8b9806f38887691f57ad@inbound.aiesec.org</v>
      </c>
      <c r="F594" s="43">
        <f>IFERROR(__xludf.DUMMYFUNCTION("""COMPUTED_VALUE"""),5.32340028E9)</f>
        <v>5323400280</v>
      </c>
      <c r="G594" s="43" t="str">
        <f>IFERROR(__xludf.DUMMYFUNCTION("""COMPUTED_VALUE"""),"Turkey")</f>
        <v>Turkey</v>
      </c>
      <c r="H594" s="43" t="str">
        <f>IFERROR(__xludf.DUMMYFUNCTION("""COMPUTED_VALUE"""),"ISTANBUL WEST")</f>
        <v>ISTANBUL WEST</v>
      </c>
      <c r="I594" s="43" t="str">
        <f>IFERROR(__xludf.DUMMYFUNCTION("""COMPUTED_VALUE"""),"Tunisia")</f>
        <v>Tunisia</v>
      </c>
      <c r="J594" s="43" t="str">
        <f>IFERROR(__xludf.DUMMYFUNCTION("""COMPUTED_VALUE"""),"THYNA")</f>
        <v>THYNA</v>
      </c>
      <c r="K594" s="44" t="str">
        <f>IFERROR(__xludf.DUMMYFUNCTION("""COMPUTED_VALUE"""),"https://expa.aiesec.org/opportunities/1294062")</f>
        <v>https://expa.aiesec.org/opportunities/1294062</v>
      </c>
      <c r="L594" s="43" t="str">
        <f>IFERROR(__xludf.DUMMYFUNCTION("""COMPUTED_VALUE"""),"GV")</f>
        <v>GV</v>
      </c>
      <c r="M594" s="43" t="str">
        <f>IFERROR(__xludf.DUMMYFUNCTION("""COMPUTED_VALUE"""),"short")</f>
        <v>short</v>
      </c>
      <c r="N594" s="45">
        <f>IFERROR(__xludf.DUMMYFUNCTION("""COMPUTED_VALUE"""),45048.0)</f>
        <v>45048</v>
      </c>
      <c r="O594" s="45">
        <f>IFERROR(__xludf.DUMMYFUNCTION("""COMPUTED_VALUE"""),45131.0)</f>
        <v>45131</v>
      </c>
      <c r="P594" s="45">
        <f>IFERROR(__xludf.DUMMYFUNCTION("""COMPUTED_VALUE"""),45173.0)</f>
        <v>45173</v>
      </c>
      <c r="Q594" s="45">
        <f>IFERROR(__xludf.DUMMYFUNCTION("""COMPUTED_VALUE"""),45131.0)</f>
        <v>45131</v>
      </c>
      <c r="R594" s="45">
        <f>IFERROR(__xludf.DUMMYFUNCTION("""COMPUTED_VALUE"""),45173.0)</f>
        <v>45173</v>
      </c>
      <c r="S594" s="43"/>
      <c r="T594" s="43"/>
      <c r="U594" s="43" t="str">
        <f>IFERROR(__xludf.DUMMYFUNCTION("""COMPUTED_VALUE"""),"Aquatica")</f>
        <v>Aquatica</v>
      </c>
      <c r="V594" s="43" t="str">
        <f>IFERROR(__xludf.DUMMYFUNCTION("""COMPUTED_VALUE"""),"ISTANBUL - BAKIRKOY")</f>
        <v>ISTANBUL - BAKIRKOY</v>
      </c>
      <c r="W594" s="43" t="str">
        <f>IFERROR(__xludf.DUMMYFUNCTION("""COMPUTED_VALUE"""),"2023-04-21T19:46:25Z")</f>
        <v>2023-04-21T19:46:25Z</v>
      </c>
      <c r="X594" s="43"/>
      <c r="Y594" s="43"/>
      <c r="Z594" s="43"/>
    </row>
    <row r="595" hidden="1">
      <c r="A595" s="43" t="str">
        <f>IFERROR(__xludf.DUMMYFUNCTION("""COMPUTED_VALUE"""),"5238942_1294062")</f>
        <v>5238942_1294062</v>
      </c>
      <c r="B595" s="43" t="str">
        <f>IFERROR(__xludf.DUMMYFUNCTION("""COMPUTED_VALUE"""),"Mukaddes Çiftçi")</f>
        <v>Mukaddes Çiftçi</v>
      </c>
      <c r="C595" s="43" t="str">
        <f>IFERROR(__xludf.DUMMYFUNCTION("""COMPUTED_VALUE"""),"completed")</f>
        <v>completed</v>
      </c>
      <c r="D595" s="43" t="str">
        <f>IFERROR(__xludf.DUMMYFUNCTION("""COMPUTED_VALUE"""),"No")</f>
        <v>No</v>
      </c>
      <c r="E595" s="43" t="str">
        <f>IFERROR(__xludf.DUMMYFUNCTION("""COMPUTED_VALUE"""),"p_e4362701e2271703b84d066e5aed93387a86ce06@inbound.aiesec.org")</f>
        <v>p_e4362701e2271703b84d066e5aed93387a86ce06@inbound.aiesec.org</v>
      </c>
      <c r="F595" s="43"/>
      <c r="G595" s="43" t="str">
        <f>IFERROR(__xludf.DUMMYFUNCTION("""COMPUTED_VALUE"""),"Turkey")</f>
        <v>Turkey</v>
      </c>
      <c r="H595" s="43" t="str">
        <f>IFERROR(__xludf.DUMMYFUNCTION("""COMPUTED_VALUE"""),"ISTANBUL")</f>
        <v>ISTANBUL</v>
      </c>
      <c r="I595" s="43" t="str">
        <f>IFERROR(__xludf.DUMMYFUNCTION("""COMPUTED_VALUE"""),"Tunisia")</f>
        <v>Tunisia</v>
      </c>
      <c r="J595" s="43" t="str">
        <f>IFERROR(__xludf.DUMMYFUNCTION("""COMPUTED_VALUE"""),"THYNA")</f>
        <v>THYNA</v>
      </c>
      <c r="K595" s="44" t="str">
        <f>IFERROR(__xludf.DUMMYFUNCTION("""COMPUTED_VALUE"""),"https://expa.aiesec.org/opportunities/1294062")</f>
        <v>https://expa.aiesec.org/opportunities/1294062</v>
      </c>
      <c r="L595" s="43" t="str">
        <f>IFERROR(__xludf.DUMMYFUNCTION("""COMPUTED_VALUE"""),"GV")</f>
        <v>GV</v>
      </c>
      <c r="M595" s="43" t="str">
        <f>IFERROR(__xludf.DUMMYFUNCTION("""COMPUTED_VALUE"""),"short")</f>
        <v>short</v>
      </c>
      <c r="N595" s="45">
        <f>IFERROR(__xludf.DUMMYFUNCTION("""COMPUTED_VALUE"""),45048.0)</f>
        <v>45048</v>
      </c>
      <c r="O595" s="45">
        <f>IFERROR(__xludf.DUMMYFUNCTION("""COMPUTED_VALUE"""),45131.0)</f>
        <v>45131</v>
      </c>
      <c r="P595" s="45">
        <f>IFERROR(__xludf.DUMMYFUNCTION("""COMPUTED_VALUE"""),45173.0)</f>
        <v>45173</v>
      </c>
      <c r="Q595" s="45">
        <f>IFERROR(__xludf.DUMMYFUNCTION("""COMPUTED_VALUE"""),45131.0)</f>
        <v>45131</v>
      </c>
      <c r="R595" s="45">
        <f>IFERROR(__xludf.DUMMYFUNCTION("""COMPUTED_VALUE"""),45173.0)</f>
        <v>45173</v>
      </c>
      <c r="S595" s="43"/>
      <c r="T595" s="43"/>
      <c r="U595" s="43" t="str">
        <f>IFERROR(__xludf.DUMMYFUNCTION("""COMPUTED_VALUE"""),"Aquatica")</f>
        <v>Aquatica</v>
      </c>
      <c r="V595" s="43" t="str">
        <f>IFERROR(__xludf.DUMMYFUNCTION("""COMPUTED_VALUE"""),"ISTANBUL - BEYOGLU")</f>
        <v>ISTANBUL - BEYOGLU</v>
      </c>
      <c r="W595" s="43" t="str">
        <f>IFERROR(__xludf.DUMMYFUNCTION("""COMPUTED_VALUE"""),"2023-04-10T15:00:13Z")</f>
        <v>2023-04-10T15:00:13Z</v>
      </c>
      <c r="X595" s="43"/>
      <c r="Y595" s="43"/>
      <c r="Z595" s="43"/>
    </row>
    <row r="596" hidden="1">
      <c r="A596" s="43" t="str">
        <f>IFERROR(__xludf.DUMMYFUNCTION("""COMPUTED_VALUE"""),"5248305_1294005")</f>
        <v>5248305_1294005</v>
      </c>
      <c r="B596" s="43" t="str">
        <f>IFERROR(__xludf.DUMMYFUNCTION("""COMPUTED_VALUE"""),"İlke Gençay")</f>
        <v>İlke Gençay</v>
      </c>
      <c r="C596" s="43" t="str">
        <f>IFERROR(__xludf.DUMMYFUNCTION("""COMPUTED_VALUE"""),"completed")</f>
        <v>completed</v>
      </c>
      <c r="D596" s="43" t="str">
        <f>IFERROR(__xludf.DUMMYFUNCTION("""COMPUTED_VALUE"""),"No")</f>
        <v>No</v>
      </c>
      <c r="E596" s="43" t="str">
        <f>IFERROR(__xludf.DUMMYFUNCTION("""COMPUTED_VALUE"""),"p_6eb9774066b5e9106409da478f10f8f85b7d4103@inbound.aiesec.org")</f>
        <v>p_6eb9774066b5e9106409da478f10f8f85b7d4103@inbound.aiesec.org</v>
      </c>
      <c r="F596" s="43">
        <f>IFERROR(__xludf.DUMMYFUNCTION("""COMPUTED_VALUE"""),5.434088485E9)</f>
        <v>5434088485</v>
      </c>
      <c r="G596" s="43" t="str">
        <f>IFERROR(__xludf.DUMMYFUNCTION("""COMPUTED_VALUE"""),"Turkey")</f>
        <v>Turkey</v>
      </c>
      <c r="H596" s="43" t="str">
        <f>IFERROR(__xludf.DUMMYFUNCTION("""COMPUTED_VALUE"""),"ISTANBUL")</f>
        <v>ISTANBUL</v>
      </c>
      <c r="I596" s="43" t="str">
        <f>IFERROR(__xludf.DUMMYFUNCTION("""COMPUTED_VALUE"""),"Romania")</f>
        <v>Romania</v>
      </c>
      <c r="J596" s="43" t="str">
        <f>IFERROR(__xludf.DUMMYFUNCTION("""COMPUTED_VALUE"""),"BUCURESTI")</f>
        <v>BUCURESTI</v>
      </c>
      <c r="K596" s="44" t="str">
        <f>IFERROR(__xludf.DUMMYFUNCTION("""COMPUTED_VALUE"""),"https://expa.aiesec.org/opportunities/1294005")</f>
        <v>https://expa.aiesec.org/opportunities/1294005</v>
      </c>
      <c r="L596" s="43" t="str">
        <f>IFERROR(__xludf.DUMMYFUNCTION("""COMPUTED_VALUE"""),"GV")</f>
        <v>GV</v>
      </c>
      <c r="M596" s="43" t="str">
        <f>IFERROR(__xludf.DUMMYFUNCTION("""COMPUTED_VALUE"""),"short")</f>
        <v>short</v>
      </c>
      <c r="N596" s="45">
        <f>IFERROR(__xludf.DUMMYFUNCTION("""COMPUTED_VALUE"""),45048.0)</f>
        <v>45048</v>
      </c>
      <c r="O596" s="45">
        <f>IFERROR(__xludf.DUMMYFUNCTION("""COMPUTED_VALUE"""),45124.0)</f>
        <v>45124</v>
      </c>
      <c r="P596" s="45">
        <f>IFERROR(__xludf.DUMMYFUNCTION("""COMPUTED_VALUE"""),45166.0)</f>
        <v>45166</v>
      </c>
      <c r="Q596" s="45">
        <f>IFERROR(__xludf.DUMMYFUNCTION("""COMPUTED_VALUE"""),45124.0)</f>
        <v>45124</v>
      </c>
      <c r="R596" s="45">
        <f>IFERROR(__xludf.DUMMYFUNCTION("""COMPUTED_VALUE"""),45166.0)</f>
        <v>45166</v>
      </c>
      <c r="S596" s="43"/>
      <c r="T596" s="43"/>
      <c r="U596" s="43" t="str">
        <f>IFERROR(__xludf.DUMMYFUNCTION("""COMPUTED_VALUE"""),"Rooted")</f>
        <v>Rooted</v>
      </c>
      <c r="V596" s="43" t="str">
        <f>IFERROR(__xludf.DUMMYFUNCTION("""COMPUTED_VALUE"""),"ISTANBUL - BEYOGLU")</f>
        <v>ISTANBUL - BEYOGLU</v>
      </c>
      <c r="W596" s="43" t="str">
        <f>IFERROR(__xludf.DUMMYFUNCTION("""COMPUTED_VALUE"""),"2023-04-24T12:54:13Z")</f>
        <v>2023-04-24T12:54:13Z</v>
      </c>
      <c r="X596" s="43"/>
      <c r="Y596" s="43"/>
      <c r="Z596" s="43"/>
    </row>
    <row r="597" hidden="1">
      <c r="A597" s="43" t="str">
        <f>IFERROR(__xludf.DUMMYFUNCTION("""COMPUTED_VALUE"""),"5247418_1290282")</f>
        <v>5247418_1290282</v>
      </c>
      <c r="B597" s="43" t="str">
        <f>IFERROR(__xludf.DUMMYFUNCTION("""COMPUTED_VALUE"""),"Ali Cem Serindağ")</f>
        <v>Ali Cem Serindağ</v>
      </c>
      <c r="C597" s="43" t="str">
        <f>IFERROR(__xludf.DUMMYFUNCTION("""COMPUTED_VALUE"""),"completed")</f>
        <v>completed</v>
      </c>
      <c r="D597" s="43" t="str">
        <f>IFERROR(__xludf.DUMMYFUNCTION("""COMPUTED_VALUE"""),"No")</f>
        <v>No</v>
      </c>
      <c r="E597" s="43" t="str">
        <f>IFERROR(__xludf.DUMMYFUNCTION("""COMPUTED_VALUE"""),"p_5bcbddde3160abfb9e89dc1a2b9cbaa9e5e25289@inbound.aiesec.org")</f>
        <v>p_5bcbddde3160abfb9e89dc1a2b9cbaa9e5e25289@inbound.aiesec.org</v>
      </c>
      <c r="F597" s="43">
        <f>IFERROR(__xludf.DUMMYFUNCTION("""COMPUTED_VALUE"""),5.346874337E9)</f>
        <v>5346874337</v>
      </c>
      <c r="G597" s="43" t="str">
        <f>IFERROR(__xludf.DUMMYFUNCTION("""COMPUTED_VALUE"""),"Turkey")</f>
        <v>Turkey</v>
      </c>
      <c r="H597" s="43" t="str">
        <f>IFERROR(__xludf.DUMMYFUNCTION("""COMPUTED_VALUE"""),"ISTANBUL ASIA")</f>
        <v>ISTANBUL ASIA</v>
      </c>
      <c r="I597" s="43" t="str">
        <f>IFERROR(__xludf.DUMMYFUNCTION("""COMPUTED_VALUE"""),"Egypt")</f>
        <v>Egypt</v>
      </c>
      <c r="J597" s="43" t="str">
        <f>IFERROR(__xludf.DUMMYFUNCTION("""COMPUTED_VALUE"""),"GUC")</f>
        <v>GUC</v>
      </c>
      <c r="K597" s="44" t="str">
        <f>IFERROR(__xludf.DUMMYFUNCTION("""COMPUTED_VALUE"""),"https://expa.aiesec.org/opportunities/1290282")</f>
        <v>https://expa.aiesec.org/opportunities/1290282</v>
      </c>
      <c r="L597" s="43" t="str">
        <f>IFERROR(__xludf.DUMMYFUNCTION("""COMPUTED_VALUE"""),"GV")</f>
        <v>GV</v>
      </c>
      <c r="M597" s="43" t="str">
        <f>IFERROR(__xludf.DUMMYFUNCTION("""COMPUTED_VALUE"""),"short")</f>
        <v>short</v>
      </c>
      <c r="N597" s="45">
        <f>IFERROR(__xludf.DUMMYFUNCTION("""COMPUTED_VALUE"""),45048.0)</f>
        <v>45048</v>
      </c>
      <c r="O597" s="45">
        <f>IFERROR(__xludf.DUMMYFUNCTION("""COMPUTED_VALUE"""),45122.0)</f>
        <v>45122</v>
      </c>
      <c r="P597" s="45">
        <f>IFERROR(__xludf.DUMMYFUNCTION("""COMPUTED_VALUE"""),45164.0)</f>
        <v>45164</v>
      </c>
      <c r="Q597" s="45">
        <f>IFERROR(__xludf.DUMMYFUNCTION("""COMPUTED_VALUE"""),45125.0)</f>
        <v>45125</v>
      </c>
      <c r="R597" s="45">
        <f>IFERROR(__xludf.DUMMYFUNCTION("""COMPUTED_VALUE"""),45166.0)</f>
        <v>45166</v>
      </c>
      <c r="S597" s="43"/>
      <c r="T597" s="43"/>
      <c r="U597" s="43" t="str">
        <f>IFERROR(__xludf.DUMMYFUNCTION("""COMPUTED_VALUE"""),"On The Map")</f>
        <v>On The Map</v>
      </c>
      <c r="V597" s="43" t="str">
        <f>IFERROR(__xludf.DUMMYFUNCTION("""COMPUTED_VALUE"""),"ISTANBUL ASIA")</f>
        <v>ISTANBUL ASIA</v>
      </c>
      <c r="W597" s="43" t="str">
        <f>IFERROR(__xludf.DUMMYFUNCTION("""COMPUTED_VALUE"""),"2023-04-22T18:20:51Z")</f>
        <v>2023-04-22T18:20:51Z</v>
      </c>
      <c r="X597" s="43"/>
      <c r="Y597" s="43"/>
      <c r="Z597" s="43"/>
    </row>
    <row r="598" hidden="1">
      <c r="A598" s="43" t="str">
        <f>IFERROR(__xludf.DUMMYFUNCTION("""COMPUTED_VALUE"""),"5229078_1293284")</f>
        <v>5229078_1293284</v>
      </c>
      <c r="B598" s="43" t="str">
        <f>IFERROR(__xludf.DUMMYFUNCTION("""COMPUTED_VALUE"""),"Nefise Nur Yıldız")</f>
        <v>Nefise Nur Yıldız</v>
      </c>
      <c r="C598" s="43" t="str">
        <f>IFERROR(__xludf.DUMMYFUNCTION("""COMPUTED_VALUE"""),"approved")</f>
        <v>approved</v>
      </c>
      <c r="D598" s="43" t="str">
        <f>IFERROR(__xludf.DUMMYFUNCTION("""COMPUTED_VALUE"""),"No")</f>
        <v>No</v>
      </c>
      <c r="E598" s="43" t="str">
        <f>IFERROR(__xludf.DUMMYFUNCTION("""COMPUTED_VALUE"""),"p_da1aeb987b995024f83cdfe903c185ccd107775d@inbound.aiesec.org")</f>
        <v>p_da1aeb987b995024f83cdfe903c185ccd107775d@inbound.aiesec.org</v>
      </c>
      <c r="F598" s="43">
        <f>IFERROR(__xludf.DUMMYFUNCTION("""COMPUTED_VALUE"""),5.515515264E9)</f>
        <v>5515515264</v>
      </c>
      <c r="G598" s="43" t="str">
        <f>IFERROR(__xludf.DUMMYFUNCTION("""COMPUTED_VALUE"""),"Turkey")</f>
        <v>Turkey</v>
      </c>
      <c r="H598" s="43" t="str">
        <f>IFERROR(__xludf.DUMMYFUNCTION("""COMPUTED_VALUE"""),"ISTANBUL")</f>
        <v>ISTANBUL</v>
      </c>
      <c r="I598" s="43" t="str">
        <f>IFERROR(__xludf.DUMMYFUNCTION("""COMPUTED_VALUE"""),"Czech Republic")</f>
        <v>Czech Republic</v>
      </c>
      <c r="J598" s="43" t="str">
        <f>IFERROR(__xludf.DUMMYFUNCTION("""COMPUTED_VALUE"""),"PILSEN")</f>
        <v>PILSEN</v>
      </c>
      <c r="K598" s="44" t="str">
        <f>IFERROR(__xludf.DUMMYFUNCTION("""COMPUTED_VALUE"""),"https://expa.aiesec.org/opportunities/1293284")</f>
        <v>https://expa.aiesec.org/opportunities/1293284</v>
      </c>
      <c r="L598" s="43" t="str">
        <f>IFERROR(__xludf.DUMMYFUNCTION("""COMPUTED_VALUE"""),"GV")</f>
        <v>GV</v>
      </c>
      <c r="M598" s="43" t="str">
        <f>IFERROR(__xludf.DUMMYFUNCTION("""COMPUTED_VALUE"""),"short")</f>
        <v>short</v>
      </c>
      <c r="N598" s="45">
        <f>IFERROR(__xludf.DUMMYFUNCTION("""COMPUTED_VALUE"""),45048.0)</f>
        <v>45048</v>
      </c>
      <c r="O598" s="45">
        <f>IFERROR(__xludf.DUMMYFUNCTION("""COMPUTED_VALUE"""),45173.0)</f>
        <v>45173</v>
      </c>
      <c r="P598" s="45">
        <f>IFERROR(__xludf.DUMMYFUNCTION("""COMPUTED_VALUE"""),45215.0)</f>
        <v>45215</v>
      </c>
      <c r="Q598" s="45"/>
      <c r="R598" s="45"/>
      <c r="S598" s="43"/>
      <c r="T598" s="43"/>
      <c r="U598" s="43" t="str">
        <f>IFERROR(__xludf.DUMMYFUNCTION("""COMPUTED_VALUE"""),"Youth 4 Impact")</f>
        <v>Youth 4 Impact</v>
      </c>
      <c r="V598" s="43" t="str">
        <f>IFERROR(__xludf.DUMMYFUNCTION("""COMPUTED_VALUE"""),"ISTANBUL - BEYOGLU")</f>
        <v>ISTANBUL - BEYOGLU</v>
      </c>
      <c r="W598" s="43" t="str">
        <f>IFERROR(__xludf.DUMMYFUNCTION("""COMPUTED_VALUE"""),"2023-03-28T14:13:24Z")</f>
        <v>2023-03-28T14:13:24Z</v>
      </c>
      <c r="X598" s="43"/>
      <c r="Y598" s="43"/>
      <c r="Z598" s="43"/>
    </row>
    <row r="599" hidden="1">
      <c r="A599" s="43" t="str">
        <f>IFERROR(__xludf.DUMMYFUNCTION("""COMPUTED_VALUE"""),"5241469_1294285")</f>
        <v>5241469_1294285</v>
      </c>
      <c r="B599" s="43" t="str">
        <f>IFERROR(__xludf.DUMMYFUNCTION("""COMPUTED_VALUE"""),"Dicle Çoban")</f>
        <v>Dicle Çoban</v>
      </c>
      <c r="C599" s="43" t="str">
        <f>IFERROR(__xludf.DUMMYFUNCTION("""COMPUTED_VALUE"""),"completed")</f>
        <v>completed</v>
      </c>
      <c r="D599" s="43" t="str">
        <f>IFERROR(__xludf.DUMMYFUNCTION("""COMPUTED_VALUE"""),"No")</f>
        <v>No</v>
      </c>
      <c r="E599" s="43" t="str">
        <f>IFERROR(__xludf.DUMMYFUNCTION("""COMPUTED_VALUE"""),"p_94a260c30e1fb2f192dc003a774fba1f75364e1e@inbound.aiesec.org")</f>
        <v>p_94a260c30e1fb2f192dc003a774fba1f75364e1e@inbound.aiesec.org</v>
      </c>
      <c r="F599" s="43"/>
      <c r="G599" s="43" t="str">
        <f>IFERROR(__xludf.DUMMYFUNCTION("""COMPUTED_VALUE"""),"Turkey")</f>
        <v>Turkey</v>
      </c>
      <c r="H599" s="43" t="str">
        <f>IFERROR(__xludf.DUMMYFUNCTION("""COMPUTED_VALUE"""),"KOCAELI")</f>
        <v>KOCAELI</v>
      </c>
      <c r="I599" s="43" t="str">
        <f>IFERROR(__xludf.DUMMYFUNCTION("""COMPUTED_VALUE"""),"Romania")</f>
        <v>Romania</v>
      </c>
      <c r="J599" s="43" t="str">
        <f>IFERROR(__xludf.DUMMYFUNCTION("""COMPUTED_VALUE"""),"BUCURESTI")</f>
        <v>BUCURESTI</v>
      </c>
      <c r="K599" s="44" t="str">
        <f>IFERROR(__xludf.DUMMYFUNCTION("""COMPUTED_VALUE"""),"https://expa.aiesec.org/opportunities/1294285")</f>
        <v>https://expa.aiesec.org/opportunities/1294285</v>
      </c>
      <c r="L599" s="43" t="str">
        <f>IFERROR(__xludf.DUMMYFUNCTION("""COMPUTED_VALUE"""),"GV")</f>
        <v>GV</v>
      </c>
      <c r="M599" s="43" t="str">
        <f>IFERROR(__xludf.DUMMYFUNCTION("""COMPUTED_VALUE"""),"short")</f>
        <v>short</v>
      </c>
      <c r="N599" s="45">
        <f>IFERROR(__xludf.DUMMYFUNCTION("""COMPUTED_VALUE"""),45048.0)</f>
        <v>45048</v>
      </c>
      <c r="O599" s="45">
        <f>IFERROR(__xludf.DUMMYFUNCTION("""COMPUTED_VALUE"""),45131.0)</f>
        <v>45131</v>
      </c>
      <c r="P599" s="45">
        <f>IFERROR(__xludf.DUMMYFUNCTION("""COMPUTED_VALUE"""),45173.0)</f>
        <v>45173</v>
      </c>
      <c r="Q599" s="45">
        <f>IFERROR(__xludf.DUMMYFUNCTION("""COMPUTED_VALUE"""),45131.0)</f>
        <v>45131</v>
      </c>
      <c r="R599" s="45">
        <f>IFERROR(__xludf.DUMMYFUNCTION("""COMPUTED_VALUE"""),45173.0)</f>
        <v>45173</v>
      </c>
      <c r="S599" s="43"/>
      <c r="T599" s="43"/>
      <c r="U599" s="43" t="str">
        <f>IFERROR(__xludf.DUMMYFUNCTION("""COMPUTED_VALUE"""),"Youth 4 Impact")</f>
        <v>Youth 4 Impact</v>
      </c>
      <c r="V599" s="43" t="str">
        <f>IFERROR(__xludf.DUMMYFUNCTION("""COMPUTED_VALUE"""),"-")</f>
        <v>-</v>
      </c>
      <c r="W599" s="43" t="str">
        <f>IFERROR(__xludf.DUMMYFUNCTION("""COMPUTED_VALUE"""),"2023-04-13T18:31:52Z")</f>
        <v>2023-04-13T18:31:52Z</v>
      </c>
      <c r="X599" s="43"/>
      <c r="Y599" s="43"/>
      <c r="Z599" s="43"/>
    </row>
    <row r="600" hidden="1">
      <c r="A600" s="43" t="str">
        <f>IFERROR(__xludf.DUMMYFUNCTION("""COMPUTED_VALUE"""),"5176834_1294128")</f>
        <v>5176834_1294128</v>
      </c>
      <c r="B600" s="43" t="str">
        <f>IFERROR(__xludf.DUMMYFUNCTION("""COMPUTED_VALUE"""),"Başak Şekersöz")</f>
        <v>Başak Şekersöz</v>
      </c>
      <c r="C600" s="43" t="str">
        <f>IFERROR(__xludf.DUMMYFUNCTION("""COMPUTED_VALUE"""),"completed")</f>
        <v>completed</v>
      </c>
      <c r="D600" s="43" t="str">
        <f>IFERROR(__xludf.DUMMYFUNCTION("""COMPUTED_VALUE"""),"No")</f>
        <v>No</v>
      </c>
      <c r="E600" s="43" t="str">
        <f>IFERROR(__xludf.DUMMYFUNCTION("""COMPUTED_VALUE"""),"p_e3f8f908c172c14cce9f4e62e105bd526390a02c@inbound.aiesec.org")</f>
        <v>p_e3f8f908c172c14cce9f4e62e105bd526390a02c@inbound.aiesec.org</v>
      </c>
      <c r="F600" s="43"/>
      <c r="G600" s="43" t="str">
        <f>IFERROR(__xludf.DUMMYFUNCTION("""COMPUTED_VALUE"""),"Turkey")</f>
        <v>Turkey</v>
      </c>
      <c r="H600" s="43" t="str">
        <f>IFERROR(__xludf.DUMMYFUNCTION("""COMPUTED_VALUE"""),"ISTANBUL WEST")</f>
        <v>ISTANBUL WEST</v>
      </c>
      <c r="I600" s="43" t="str">
        <f>IFERROR(__xludf.DUMMYFUNCTION("""COMPUTED_VALUE"""),"Serbia")</f>
        <v>Serbia</v>
      </c>
      <c r="J600" s="43" t="str">
        <f>IFERROR(__xludf.DUMMYFUNCTION("""COMPUTED_VALUE"""),"NIS")</f>
        <v>NIS</v>
      </c>
      <c r="K600" s="44" t="str">
        <f>IFERROR(__xludf.DUMMYFUNCTION("""COMPUTED_VALUE"""),"https://expa.aiesec.org/opportunities/1294128")</f>
        <v>https://expa.aiesec.org/opportunities/1294128</v>
      </c>
      <c r="L600" s="43" t="str">
        <f>IFERROR(__xludf.DUMMYFUNCTION("""COMPUTED_VALUE"""),"GV")</f>
        <v>GV</v>
      </c>
      <c r="M600" s="43" t="str">
        <f>IFERROR(__xludf.DUMMYFUNCTION("""COMPUTED_VALUE"""),"short")</f>
        <v>short</v>
      </c>
      <c r="N600" s="45">
        <f>IFERROR(__xludf.DUMMYFUNCTION("""COMPUTED_VALUE"""),45048.0)</f>
        <v>45048</v>
      </c>
      <c r="O600" s="45">
        <f>IFERROR(__xludf.DUMMYFUNCTION("""COMPUTED_VALUE"""),45096.0)</f>
        <v>45096</v>
      </c>
      <c r="P600" s="45">
        <f>IFERROR(__xludf.DUMMYFUNCTION("""COMPUTED_VALUE"""),45138.0)</f>
        <v>45138</v>
      </c>
      <c r="Q600" s="45">
        <f>IFERROR(__xludf.DUMMYFUNCTION("""COMPUTED_VALUE"""),45097.0)</f>
        <v>45097</v>
      </c>
      <c r="R600" s="45">
        <f>IFERROR(__xludf.DUMMYFUNCTION("""COMPUTED_VALUE"""),45138.0)</f>
        <v>45138</v>
      </c>
      <c r="S600" s="43"/>
      <c r="T600" s="43"/>
      <c r="U600" s="43" t="str">
        <f>IFERROR(__xludf.DUMMYFUNCTION("""COMPUTED_VALUE"""),"Global Classroom")</f>
        <v>Global Classroom</v>
      </c>
      <c r="V600" s="43" t="str">
        <f>IFERROR(__xludf.DUMMYFUNCTION("""COMPUTED_VALUE"""),"-")</f>
        <v>-</v>
      </c>
      <c r="W600" s="43" t="str">
        <f>IFERROR(__xludf.DUMMYFUNCTION("""COMPUTED_VALUE"""),"2023-01-15T18:06:55Z")</f>
        <v>2023-01-15T18:06:55Z</v>
      </c>
      <c r="X600" s="43"/>
      <c r="Y600" s="43"/>
      <c r="Z600" s="43"/>
    </row>
    <row r="601" hidden="1">
      <c r="A601" s="43" t="str">
        <f>IFERROR(__xludf.DUMMYFUNCTION("""COMPUTED_VALUE"""),"5205174_1293863")</f>
        <v>5205174_1293863</v>
      </c>
      <c r="B601" s="43" t="str">
        <f>IFERROR(__xludf.DUMMYFUNCTION("""COMPUTED_VALUE"""),"Ece Arslan")</f>
        <v>Ece Arslan</v>
      </c>
      <c r="C601" s="43" t="str">
        <f>IFERROR(__xludf.DUMMYFUNCTION("""COMPUTED_VALUE"""),"completed")</f>
        <v>completed</v>
      </c>
      <c r="D601" s="43" t="str">
        <f>IFERROR(__xludf.DUMMYFUNCTION("""COMPUTED_VALUE"""),"No")</f>
        <v>No</v>
      </c>
      <c r="E601" s="43" t="str">
        <f>IFERROR(__xludf.DUMMYFUNCTION("""COMPUTED_VALUE"""),"p_2ac2a11f325d0fe73055f28f966e83861eeb7a8f@inbound.aiesec.org")</f>
        <v>p_2ac2a11f325d0fe73055f28f966e83861eeb7a8f@inbound.aiesec.org</v>
      </c>
      <c r="F601" s="43"/>
      <c r="G601" s="43" t="str">
        <f>IFERROR(__xludf.DUMMYFUNCTION("""COMPUTED_VALUE"""),"Turkey")</f>
        <v>Turkey</v>
      </c>
      <c r="H601" s="43" t="str">
        <f>IFERROR(__xludf.DUMMYFUNCTION("""COMPUTED_VALUE"""),"ISTANBUL")</f>
        <v>ISTANBUL</v>
      </c>
      <c r="I601" s="43" t="str">
        <f>IFERROR(__xludf.DUMMYFUNCTION("""COMPUTED_VALUE"""),"Italy")</f>
        <v>Italy</v>
      </c>
      <c r="J601" s="43" t="str">
        <f>IFERROR(__xludf.DUMMYFUNCTION("""COMPUTED_VALUE"""),"Napoli Federico II")</f>
        <v>Napoli Federico II</v>
      </c>
      <c r="K601" s="44" t="str">
        <f>IFERROR(__xludf.DUMMYFUNCTION("""COMPUTED_VALUE"""),"https://expa.aiesec.org/opportunities/1293863")</f>
        <v>https://expa.aiesec.org/opportunities/1293863</v>
      </c>
      <c r="L601" s="43" t="str">
        <f>IFERROR(__xludf.DUMMYFUNCTION("""COMPUTED_VALUE"""),"GV")</f>
        <v>GV</v>
      </c>
      <c r="M601" s="43" t="str">
        <f>IFERROR(__xludf.DUMMYFUNCTION("""COMPUTED_VALUE"""),"short")</f>
        <v>short</v>
      </c>
      <c r="N601" s="45">
        <f>IFERROR(__xludf.DUMMYFUNCTION("""COMPUTED_VALUE"""),45048.0)</f>
        <v>45048</v>
      </c>
      <c r="O601" s="45">
        <f>IFERROR(__xludf.DUMMYFUNCTION("""COMPUTED_VALUE"""),45089.0)</f>
        <v>45089</v>
      </c>
      <c r="P601" s="45">
        <f>IFERROR(__xludf.DUMMYFUNCTION("""COMPUTED_VALUE"""),45131.0)</f>
        <v>45131</v>
      </c>
      <c r="Q601" s="45">
        <f>IFERROR(__xludf.DUMMYFUNCTION("""COMPUTED_VALUE"""),45090.0)</f>
        <v>45090</v>
      </c>
      <c r="R601" s="45">
        <f>IFERROR(__xludf.DUMMYFUNCTION("""COMPUTED_VALUE"""),45131.0)</f>
        <v>45131</v>
      </c>
      <c r="S601" s="43"/>
      <c r="T601" s="43"/>
      <c r="U601" s="43" t="str">
        <f>IFERROR(__xludf.DUMMYFUNCTION("""COMPUTED_VALUE"""),"Green Leaders")</f>
        <v>Green Leaders</v>
      </c>
      <c r="V601" s="43" t="str">
        <f>IFERROR(__xludf.DUMMYFUNCTION("""COMPUTED_VALUE"""),"-")</f>
        <v>-</v>
      </c>
      <c r="W601" s="43" t="str">
        <f>IFERROR(__xludf.DUMMYFUNCTION("""COMPUTED_VALUE"""),"2023-03-04T09:35:04Z")</f>
        <v>2023-03-04T09:35:04Z</v>
      </c>
      <c r="X601" s="43"/>
      <c r="Y601" s="43"/>
      <c r="Z601" s="43"/>
    </row>
    <row r="602" hidden="1">
      <c r="A602" s="43" t="str">
        <f>IFERROR(__xludf.DUMMYFUNCTION("""COMPUTED_VALUE"""),"5239459_1293460")</f>
        <v>5239459_1293460</v>
      </c>
      <c r="B602" s="43" t="str">
        <f>IFERROR(__xludf.DUMMYFUNCTION("""COMPUTED_VALUE"""),"Aysel Kacak")</f>
        <v>Aysel Kacak</v>
      </c>
      <c r="C602" s="43" t="str">
        <f>IFERROR(__xludf.DUMMYFUNCTION("""COMPUTED_VALUE"""),"completed")</f>
        <v>completed</v>
      </c>
      <c r="D602" s="43" t="str">
        <f>IFERROR(__xludf.DUMMYFUNCTION("""COMPUTED_VALUE"""),"No")</f>
        <v>No</v>
      </c>
      <c r="E602" s="43" t="str">
        <f>IFERROR(__xludf.DUMMYFUNCTION("""COMPUTED_VALUE"""),"p_86d0a355e92d9e5729798345cffa8629c5705073@inbound.aiesec.org")</f>
        <v>p_86d0a355e92d9e5729798345cffa8629c5705073@inbound.aiesec.org</v>
      </c>
      <c r="F602" s="43">
        <f>IFERROR(__xludf.DUMMYFUNCTION("""COMPUTED_VALUE"""),5.367126264E9)</f>
        <v>5367126264</v>
      </c>
      <c r="G602" s="43" t="str">
        <f>IFERROR(__xludf.DUMMYFUNCTION("""COMPUTED_VALUE"""),"Turkey")</f>
        <v>Turkey</v>
      </c>
      <c r="H602" s="43" t="str">
        <f>IFERROR(__xludf.DUMMYFUNCTION("""COMPUTED_VALUE"""),"BURSA")</f>
        <v>BURSA</v>
      </c>
      <c r="I602" s="43" t="str">
        <f>IFERROR(__xludf.DUMMYFUNCTION("""COMPUTED_VALUE"""),"Romania")</f>
        <v>Romania</v>
      </c>
      <c r="J602" s="43" t="str">
        <f>IFERROR(__xludf.DUMMYFUNCTION("""COMPUTED_VALUE"""),"BUCURESTI")</f>
        <v>BUCURESTI</v>
      </c>
      <c r="K602" s="44" t="str">
        <f>IFERROR(__xludf.DUMMYFUNCTION("""COMPUTED_VALUE"""),"https://expa.aiesec.org/opportunities/1293460")</f>
        <v>https://expa.aiesec.org/opportunities/1293460</v>
      </c>
      <c r="L602" s="43" t="str">
        <f>IFERROR(__xludf.DUMMYFUNCTION("""COMPUTED_VALUE"""),"GV")</f>
        <v>GV</v>
      </c>
      <c r="M602" s="43" t="str">
        <f>IFERROR(__xludf.DUMMYFUNCTION("""COMPUTED_VALUE"""),"short")</f>
        <v>short</v>
      </c>
      <c r="N602" s="45">
        <f>IFERROR(__xludf.DUMMYFUNCTION("""COMPUTED_VALUE"""),45048.0)</f>
        <v>45048</v>
      </c>
      <c r="O602" s="45">
        <f>IFERROR(__xludf.DUMMYFUNCTION("""COMPUTED_VALUE"""),45096.0)</f>
        <v>45096</v>
      </c>
      <c r="P602" s="45">
        <f>IFERROR(__xludf.DUMMYFUNCTION("""COMPUTED_VALUE"""),45138.0)</f>
        <v>45138</v>
      </c>
      <c r="Q602" s="45">
        <f>IFERROR(__xludf.DUMMYFUNCTION("""COMPUTED_VALUE"""),45096.0)</f>
        <v>45096</v>
      </c>
      <c r="R602" s="45">
        <f>IFERROR(__xludf.DUMMYFUNCTION("""COMPUTED_VALUE"""),45138.0)</f>
        <v>45138</v>
      </c>
      <c r="S602" s="43"/>
      <c r="T602" s="43"/>
      <c r="U602" s="43" t="str">
        <f>IFERROR(__xludf.DUMMYFUNCTION("""COMPUTED_VALUE"""),"Youth 4 Impact")</f>
        <v>Youth 4 Impact</v>
      </c>
      <c r="V602" s="43" t="str">
        <f>IFERROR(__xludf.DUMMYFUNCTION("""COMPUTED_VALUE"""),"BURSA")</f>
        <v>BURSA</v>
      </c>
      <c r="W602" s="43" t="str">
        <f>IFERROR(__xludf.DUMMYFUNCTION("""COMPUTED_VALUE"""),"2023-04-11T11:52:15Z")</f>
        <v>2023-04-11T11:52:15Z</v>
      </c>
      <c r="X602" s="43"/>
      <c r="Y602" s="43"/>
      <c r="Z602" s="43"/>
    </row>
    <row r="603" hidden="1">
      <c r="A603" s="43" t="str">
        <f>IFERROR(__xludf.DUMMYFUNCTION("""COMPUTED_VALUE"""),"5218547_1292786")</f>
        <v>5218547_1292786</v>
      </c>
      <c r="B603" s="43" t="str">
        <f>IFERROR(__xludf.DUMMYFUNCTION("""COMPUTED_VALUE"""),"Dersu Deniz Yıldırım")</f>
        <v>Dersu Deniz Yıldırım</v>
      </c>
      <c r="C603" s="43" t="str">
        <f>IFERROR(__xludf.DUMMYFUNCTION("""COMPUTED_VALUE"""),"completed")</f>
        <v>completed</v>
      </c>
      <c r="D603" s="43" t="str">
        <f>IFERROR(__xludf.DUMMYFUNCTION("""COMPUTED_VALUE"""),"No")</f>
        <v>No</v>
      </c>
      <c r="E603" s="43" t="str">
        <f>IFERROR(__xludf.DUMMYFUNCTION("""COMPUTED_VALUE"""),"p_5bc7e1a25d1007af61770df270a648abfc042c87@inbound.aiesec.org")</f>
        <v>p_5bc7e1a25d1007af61770df270a648abfc042c87@inbound.aiesec.org</v>
      </c>
      <c r="F603" s="43">
        <f>IFERROR(__xludf.DUMMYFUNCTION("""COMPUTED_VALUE"""),5.05368235E9)</f>
        <v>5053682350</v>
      </c>
      <c r="G603" s="43" t="str">
        <f>IFERROR(__xludf.DUMMYFUNCTION("""COMPUTED_VALUE"""),"Turkey")</f>
        <v>Turkey</v>
      </c>
      <c r="H603" s="43" t="str">
        <f>IFERROR(__xludf.DUMMYFUNCTION("""COMPUTED_VALUE"""),"ANKARA")</f>
        <v>ANKARA</v>
      </c>
      <c r="I603" s="43" t="str">
        <f>IFERROR(__xludf.DUMMYFUNCTION("""COMPUTED_VALUE"""),"Romania")</f>
        <v>Romania</v>
      </c>
      <c r="J603" s="43" t="str">
        <f>IFERROR(__xludf.DUMMYFUNCTION("""COMPUTED_VALUE"""),"IASI")</f>
        <v>IASI</v>
      </c>
      <c r="K603" s="44" t="str">
        <f>IFERROR(__xludf.DUMMYFUNCTION("""COMPUTED_VALUE"""),"https://expa.aiesec.org/opportunities/1292786")</f>
        <v>https://expa.aiesec.org/opportunities/1292786</v>
      </c>
      <c r="L603" s="43" t="str">
        <f>IFERROR(__xludf.DUMMYFUNCTION("""COMPUTED_VALUE"""),"GV")</f>
        <v>GV</v>
      </c>
      <c r="M603" s="43" t="str">
        <f>IFERROR(__xludf.DUMMYFUNCTION("""COMPUTED_VALUE"""),"short")</f>
        <v>short</v>
      </c>
      <c r="N603" s="45">
        <f>IFERROR(__xludf.DUMMYFUNCTION("""COMPUTED_VALUE"""),45048.0)</f>
        <v>45048</v>
      </c>
      <c r="O603" s="45">
        <f>IFERROR(__xludf.DUMMYFUNCTION("""COMPUTED_VALUE"""),45131.0)</f>
        <v>45131</v>
      </c>
      <c r="P603" s="45">
        <f>IFERROR(__xludf.DUMMYFUNCTION("""COMPUTED_VALUE"""),45173.0)</f>
        <v>45173</v>
      </c>
      <c r="Q603" s="45">
        <f>IFERROR(__xludf.DUMMYFUNCTION("""COMPUTED_VALUE"""),45133.0)</f>
        <v>45133</v>
      </c>
      <c r="R603" s="45">
        <f>IFERROR(__xludf.DUMMYFUNCTION("""COMPUTED_VALUE"""),45173.0)</f>
        <v>45173</v>
      </c>
      <c r="S603" s="43"/>
      <c r="T603" s="43"/>
      <c r="U603" s="43" t="str">
        <f>IFERROR(__xludf.DUMMYFUNCTION("""COMPUTED_VALUE"""),"Global Classroom")</f>
        <v>Global Classroom</v>
      </c>
      <c r="V603" s="43" t="str">
        <f>IFERROR(__xludf.DUMMYFUNCTION("""COMPUTED_VALUE"""),"ANKARA")</f>
        <v>ANKARA</v>
      </c>
      <c r="W603" s="43" t="str">
        <f>IFERROR(__xludf.DUMMYFUNCTION("""COMPUTED_VALUE"""),"2023-03-16T14:28:27Z")</f>
        <v>2023-03-16T14:28:27Z</v>
      </c>
      <c r="X603" s="43"/>
      <c r="Y603" s="43"/>
      <c r="Z603" s="43"/>
    </row>
    <row r="604" hidden="1">
      <c r="A604" s="43" t="str">
        <f>IFERROR(__xludf.DUMMYFUNCTION("""COMPUTED_VALUE"""),"5255310_1294176")</f>
        <v>5255310_1294176</v>
      </c>
      <c r="B604" s="43" t="str">
        <f>IFERROR(__xludf.DUMMYFUNCTION("""COMPUTED_VALUE"""),"Beytullah Sönmez")</f>
        <v>Beytullah Sönmez</v>
      </c>
      <c r="C604" s="43" t="str">
        <f>IFERROR(__xludf.DUMMYFUNCTION("""COMPUTED_VALUE"""),"approved")</f>
        <v>approved</v>
      </c>
      <c r="D604" s="43" t="str">
        <f>IFERROR(__xludf.DUMMYFUNCTION("""COMPUTED_VALUE"""),"No")</f>
        <v>No</v>
      </c>
      <c r="E604" s="43" t="str">
        <f>IFERROR(__xludf.DUMMYFUNCTION("""COMPUTED_VALUE"""),"p_e4d96c8f1a8c226fcb897387d5296591268c9c40@inbound.aiesec.org")</f>
        <v>p_e4d96c8f1a8c226fcb897387d5296591268c9c40@inbound.aiesec.org</v>
      </c>
      <c r="F604" s="43">
        <f>IFERROR(__xludf.DUMMYFUNCTION("""COMPUTED_VALUE"""),5.469538743E9)</f>
        <v>5469538743</v>
      </c>
      <c r="G604" s="43" t="str">
        <f>IFERROR(__xludf.DUMMYFUNCTION("""COMPUTED_VALUE"""),"Turkey")</f>
        <v>Turkey</v>
      </c>
      <c r="H604" s="43" t="str">
        <f>IFERROR(__xludf.DUMMYFUNCTION("""COMPUTED_VALUE"""),"ISTANBUL")</f>
        <v>ISTANBUL</v>
      </c>
      <c r="I604" s="43" t="str">
        <f>IFERROR(__xludf.DUMMYFUNCTION("""COMPUTED_VALUE"""),"Egypt")</f>
        <v>Egypt</v>
      </c>
      <c r="J604" s="43" t="str">
        <f>IFERROR(__xludf.DUMMYFUNCTION("""COMPUTED_VALUE"""),"Ain Shams University")</f>
        <v>Ain Shams University</v>
      </c>
      <c r="K604" s="44" t="str">
        <f>IFERROR(__xludf.DUMMYFUNCTION("""COMPUTED_VALUE"""),"https://expa.aiesec.org/opportunities/1294176")</f>
        <v>https://expa.aiesec.org/opportunities/1294176</v>
      </c>
      <c r="L604" s="43" t="str">
        <f>IFERROR(__xludf.DUMMYFUNCTION("""COMPUTED_VALUE"""),"GV")</f>
        <v>GV</v>
      </c>
      <c r="M604" s="43" t="str">
        <f>IFERROR(__xludf.DUMMYFUNCTION("""COMPUTED_VALUE"""),"short")</f>
        <v>short</v>
      </c>
      <c r="N604" s="45">
        <f>IFERROR(__xludf.DUMMYFUNCTION("""COMPUTED_VALUE"""),45049.0)</f>
        <v>45049</v>
      </c>
      <c r="O604" s="45">
        <f>IFERROR(__xludf.DUMMYFUNCTION("""COMPUTED_VALUE"""),45122.0)</f>
        <v>45122</v>
      </c>
      <c r="P604" s="45">
        <f>IFERROR(__xludf.DUMMYFUNCTION("""COMPUTED_VALUE"""),45164.0)</f>
        <v>45164</v>
      </c>
      <c r="Q604" s="45"/>
      <c r="R604" s="45"/>
      <c r="S604" s="43"/>
      <c r="T604" s="43"/>
      <c r="U604" s="43" t="str">
        <f>IFERROR(__xludf.DUMMYFUNCTION("""COMPUTED_VALUE"""),"Global Classroom")</f>
        <v>Global Classroom</v>
      </c>
      <c r="V604" s="43" t="str">
        <f>IFERROR(__xludf.DUMMYFUNCTION("""COMPUTED_VALUE"""),"ISTANBUL - BEYOGLU")</f>
        <v>ISTANBUL - BEYOGLU</v>
      </c>
      <c r="W604" s="43" t="str">
        <f>IFERROR(__xludf.DUMMYFUNCTION("""COMPUTED_VALUE"""),"2023-05-03T18:13:27Z")</f>
        <v>2023-05-03T18:13:27Z</v>
      </c>
      <c r="X604" s="43"/>
      <c r="Y604" s="43"/>
      <c r="Z604" s="43"/>
    </row>
    <row r="605" hidden="1">
      <c r="A605" s="43" t="str">
        <f>IFERROR(__xludf.DUMMYFUNCTION("""COMPUTED_VALUE"""),"5252402_1294825")</f>
        <v>5252402_1294825</v>
      </c>
      <c r="B605" s="43" t="str">
        <f>IFERROR(__xludf.DUMMYFUNCTION("""COMPUTED_VALUE"""),"Yusuf Ziya Kaplan")</f>
        <v>Yusuf Ziya Kaplan</v>
      </c>
      <c r="C605" s="43" t="str">
        <f>IFERROR(__xludf.DUMMYFUNCTION("""COMPUTED_VALUE"""),"approved")</f>
        <v>approved</v>
      </c>
      <c r="D605" s="43" t="str">
        <f>IFERROR(__xludf.DUMMYFUNCTION("""COMPUTED_VALUE"""),"No")</f>
        <v>No</v>
      </c>
      <c r="E605" s="43" t="str">
        <f>IFERROR(__xludf.DUMMYFUNCTION("""COMPUTED_VALUE"""),"p_d2a097e23bd161250f8838a76a7a8b21b6ee180b@inbound.aiesec.org")</f>
        <v>p_d2a097e23bd161250f8838a76a7a8b21b6ee180b@inbound.aiesec.org</v>
      </c>
      <c r="F605" s="43">
        <f>IFERROR(__xludf.DUMMYFUNCTION("""COMPUTED_VALUE"""),5.376113575E9)</f>
        <v>5376113575</v>
      </c>
      <c r="G605" s="43" t="str">
        <f>IFERROR(__xludf.DUMMYFUNCTION("""COMPUTED_VALUE"""),"Turkey")</f>
        <v>Turkey</v>
      </c>
      <c r="H605" s="43" t="str">
        <f>IFERROR(__xludf.DUMMYFUNCTION("""COMPUTED_VALUE"""),"ADANA")</f>
        <v>ADANA</v>
      </c>
      <c r="I605" s="43" t="str">
        <f>IFERROR(__xludf.DUMMYFUNCTION("""COMPUTED_VALUE"""),"Egypt")</f>
        <v>Egypt</v>
      </c>
      <c r="J605" s="43" t="str">
        <f>IFERROR(__xludf.DUMMYFUNCTION("""COMPUTED_VALUE"""),"GUC")</f>
        <v>GUC</v>
      </c>
      <c r="K605" s="44" t="str">
        <f>IFERROR(__xludf.DUMMYFUNCTION("""COMPUTED_VALUE"""),"https://expa.aiesec.org/opportunities/1294825")</f>
        <v>https://expa.aiesec.org/opportunities/1294825</v>
      </c>
      <c r="L605" s="43" t="str">
        <f>IFERROR(__xludf.DUMMYFUNCTION("""COMPUTED_VALUE"""),"GV")</f>
        <v>GV</v>
      </c>
      <c r="M605" s="43" t="str">
        <f>IFERROR(__xludf.DUMMYFUNCTION("""COMPUTED_VALUE"""),"short")</f>
        <v>short</v>
      </c>
      <c r="N605" s="45">
        <f>IFERROR(__xludf.DUMMYFUNCTION("""COMPUTED_VALUE"""),45049.0)</f>
        <v>45049</v>
      </c>
      <c r="O605" s="45">
        <f>IFERROR(__xludf.DUMMYFUNCTION("""COMPUTED_VALUE"""),45139.0)</f>
        <v>45139</v>
      </c>
      <c r="P605" s="45">
        <f>IFERROR(__xludf.DUMMYFUNCTION("""COMPUTED_VALUE"""),45181.0)</f>
        <v>45181</v>
      </c>
      <c r="Q605" s="45"/>
      <c r="R605" s="45"/>
      <c r="S605" s="43"/>
      <c r="T605" s="43"/>
      <c r="U605" s="43" t="str">
        <f>IFERROR(__xludf.DUMMYFUNCTION("""COMPUTED_VALUE"""),"Scale Up!")</f>
        <v>Scale Up!</v>
      </c>
      <c r="V605" s="43" t="str">
        <f>IFERROR(__xludf.DUMMYFUNCTION("""COMPUTED_VALUE"""),"ADANA")</f>
        <v>ADANA</v>
      </c>
      <c r="W605" s="43" t="str">
        <f>IFERROR(__xludf.DUMMYFUNCTION("""COMPUTED_VALUE"""),"2023-04-29T10:46:50Z")</f>
        <v>2023-04-29T10:46:50Z</v>
      </c>
      <c r="X605" s="43"/>
      <c r="Y605" s="43"/>
      <c r="Z605" s="43"/>
    </row>
    <row r="606" hidden="1">
      <c r="A606" s="43" t="str">
        <f>IFERROR(__xludf.DUMMYFUNCTION("""COMPUTED_VALUE"""),"5244600_1293200")</f>
        <v>5244600_1293200</v>
      </c>
      <c r="B606" s="43" t="str">
        <f>IFERROR(__xludf.DUMMYFUNCTION("""COMPUTED_VALUE"""),"Esin Yüzen")</f>
        <v>Esin Yüzen</v>
      </c>
      <c r="C606" s="43" t="str">
        <f>IFERROR(__xludf.DUMMYFUNCTION("""COMPUTED_VALUE"""),"completed")</f>
        <v>completed</v>
      </c>
      <c r="D606" s="43" t="str">
        <f>IFERROR(__xludf.DUMMYFUNCTION("""COMPUTED_VALUE"""),"No")</f>
        <v>No</v>
      </c>
      <c r="E606" s="43" t="str">
        <f>IFERROR(__xludf.DUMMYFUNCTION("""COMPUTED_VALUE"""),"p_ebea1bc1208eb2647540d38ff119a46d3fae6b21@inbound.aiesec.org")</f>
        <v>p_ebea1bc1208eb2647540d38ff119a46d3fae6b21@inbound.aiesec.org</v>
      </c>
      <c r="F606" s="43"/>
      <c r="G606" s="43" t="str">
        <f>IFERROR(__xludf.DUMMYFUNCTION("""COMPUTED_VALUE"""),"Turkey")</f>
        <v>Turkey</v>
      </c>
      <c r="H606" s="43" t="str">
        <f>IFERROR(__xludf.DUMMYFUNCTION("""COMPUTED_VALUE"""),"ISTANBUL")</f>
        <v>ISTANBUL</v>
      </c>
      <c r="I606" s="43" t="str">
        <f>IFERROR(__xludf.DUMMYFUNCTION("""COMPUTED_VALUE"""),"Tunisia")</f>
        <v>Tunisia</v>
      </c>
      <c r="J606" s="43" t="str">
        <f>IFERROR(__xludf.DUMMYFUNCTION("""COMPUTED_VALUE"""),"RUSPINA")</f>
        <v>RUSPINA</v>
      </c>
      <c r="K606" s="44" t="str">
        <f>IFERROR(__xludf.DUMMYFUNCTION("""COMPUTED_VALUE"""),"https://expa.aiesec.org/opportunities/1293200")</f>
        <v>https://expa.aiesec.org/opportunities/1293200</v>
      </c>
      <c r="L606" s="43" t="str">
        <f>IFERROR(__xludf.DUMMYFUNCTION("""COMPUTED_VALUE"""),"GV")</f>
        <v>GV</v>
      </c>
      <c r="M606" s="43" t="str">
        <f>IFERROR(__xludf.DUMMYFUNCTION("""COMPUTED_VALUE"""),"short")</f>
        <v>short</v>
      </c>
      <c r="N606" s="45">
        <f>IFERROR(__xludf.DUMMYFUNCTION("""COMPUTED_VALUE"""),45049.0)</f>
        <v>45049</v>
      </c>
      <c r="O606" s="45">
        <f>IFERROR(__xludf.DUMMYFUNCTION("""COMPUTED_VALUE"""),45092.0)</f>
        <v>45092</v>
      </c>
      <c r="P606" s="45">
        <f>IFERROR(__xludf.DUMMYFUNCTION("""COMPUTED_VALUE"""),45134.0)</f>
        <v>45134</v>
      </c>
      <c r="Q606" s="45">
        <f>IFERROR(__xludf.DUMMYFUNCTION("""COMPUTED_VALUE"""),45097.0)</f>
        <v>45097</v>
      </c>
      <c r="R606" s="45">
        <f>IFERROR(__xludf.DUMMYFUNCTION("""COMPUTED_VALUE"""),45138.0)</f>
        <v>45138</v>
      </c>
      <c r="S606" s="43"/>
      <c r="T606" s="43"/>
      <c r="U606" s="43" t="str">
        <f>IFERROR(__xludf.DUMMYFUNCTION("""COMPUTED_VALUE"""),"Aquatica")</f>
        <v>Aquatica</v>
      </c>
      <c r="V606" s="43" t="str">
        <f>IFERROR(__xludf.DUMMYFUNCTION("""COMPUTED_VALUE"""),"-")</f>
        <v>-</v>
      </c>
      <c r="W606" s="43" t="str">
        <f>IFERROR(__xludf.DUMMYFUNCTION("""COMPUTED_VALUE"""),"2023-04-18T13:53:07Z")</f>
        <v>2023-04-18T13:53:07Z</v>
      </c>
      <c r="X606" s="43"/>
      <c r="Y606" s="43"/>
      <c r="Z606" s="43"/>
    </row>
    <row r="607" hidden="1">
      <c r="A607" s="43" t="str">
        <f>IFERROR(__xludf.DUMMYFUNCTION("""COMPUTED_VALUE"""),"5239156_1292298")</f>
        <v>5239156_1292298</v>
      </c>
      <c r="B607" s="43" t="str">
        <f>IFERROR(__xludf.DUMMYFUNCTION("""COMPUTED_VALUE"""),"Medine Rümeysa Önel")</f>
        <v>Medine Rümeysa Önel</v>
      </c>
      <c r="C607" s="43" t="str">
        <f>IFERROR(__xludf.DUMMYFUNCTION("""COMPUTED_VALUE"""),"approved")</f>
        <v>approved</v>
      </c>
      <c r="D607" s="43" t="str">
        <f>IFERROR(__xludf.DUMMYFUNCTION("""COMPUTED_VALUE"""),"No")</f>
        <v>No</v>
      </c>
      <c r="E607" s="43" t="str">
        <f>IFERROR(__xludf.DUMMYFUNCTION("""COMPUTED_VALUE"""),"p_0f3bda8486a3a599755fd9057e4e7b2e528bc8d2@inbound.aiesec.org")</f>
        <v>p_0f3bda8486a3a599755fd9057e4e7b2e528bc8d2@inbound.aiesec.org</v>
      </c>
      <c r="F607" s="43"/>
      <c r="G607" s="43" t="str">
        <f>IFERROR(__xludf.DUMMYFUNCTION("""COMPUTED_VALUE"""),"Turkey")</f>
        <v>Turkey</v>
      </c>
      <c r="H607" s="43" t="str">
        <f>IFERROR(__xludf.DUMMYFUNCTION("""COMPUTED_VALUE"""),"TRABZON")</f>
        <v>TRABZON</v>
      </c>
      <c r="I607" s="43" t="str">
        <f>IFERROR(__xludf.DUMMYFUNCTION("""COMPUTED_VALUE"""),"Egypt")</f>
        <v>Egypt</v>
      </c>
      <c r="J607" s="43" t="str">
        <f>IFERROR(__xludf.DUMMYFUNCTION("""COMPUTED_VALUE"""),"Cairo University")</f>
        <v>Cairo University</v>
      </c>
      <c r="K607" s="44" t="str">
        <f>IFERROR(__xludf.DUMMYFUNCTION("""COMPUTED_VALUE"""),"https://expa.aiesec.org/opportunities/1292298")</f>
        <v>https://expa.aiesec.org/opportunities/1292298</v>
      </c>
      <c r="L607" s="43" t="str">
        <f>IFERROR(__xludf.DUMMYFUNCTION("""COMPUTED_VALUE"""),"GV")</f>
        <v>GV</v>
      </c>
      <c r="M607" s="43" t="str">
        <f>IFERROR(__xludf.DUMMYFUNCTION("""COMPUTED_VALUE"""),"short")</f>
        <v>short</v>
      </c>
      <c r="N607" s="45">
        <f>IFERROR(__xludf.DUMMYFUNCTION("""COMPUTED_VALUE"""),45049.0)</f>
        <v>45049</v>
      </c>
      <c r="O607" s="45">
        <f>IFERROR(__xludf.DUMMYFUNCTION("""COMPUTED_VALUE"""),45153.0)</f>
        <v>45153</v>
      </c>
      <c r="P607" s="45">
        <f>IFERROR(__xludf.DUMMYFUNCTION("""COMPUTED_VALUE"""),45197.0)</f>
        <v>45197</v>
      </c>
      <c r="Q607" s="45"/>
      <c r="R607" s="45"/>
      <c r="S607" s="43"/>
      <c r="T607" s="43"/>
      <c r="U607" s="43" t="str">
        <f>IFERROR(__xludf.DUMMYFUNCTION("""COMPUTED_VALUE"""),"Fingerprint")</f>
        <v>Fingerprint</v>
      </c>
      <c r="V607" s="43" t="str">
        <f>IFERROR(__xludf.DUMMYFUNCTION("""COMPUTED_VALUE"""),"-")</f>
        <v>-</v>
      </c>
      <c r="W607" s="43" t="str">
        <f>IFERROR(__xludf.DUMMYFUNCTION("""COMPUTED_VALUE"""),"2023-04-10T22:00:59Z")</f>
        <v>2023-04-10T22:00:59Z</v>
      </c>
      <c r="X607" s="43"/>
      <c r="Y607" s="43"/>
      <c r="Z607" s="43"/>
    </row>
    <row r="608" hidden="1">
      <c r="A608" s="43" t="str">
        <f>IFERROR(__xludf.DUMMYFUNCTION("""COMPUTED_VALUE"""),"5237831_1294063")</f>
        <v>5237831_1294063</v>
      </c>
      <c r="B608" s="43" t="str">
        <f>IFERROR(__xludf.DUMMYFUNCTION("""COMPUTED_VALUE"""),"Emine Irem Cetin")</f>
        <v>Emine Irem Cetin</v>
      </c>
      <c r="C608" s="43" t="str">
        <f>IFERROR(__xludf.DUMMYFUNCTION("""COMPUTED_VALUE"""),"finished")</f>
        <v>finished</v>
      </c>
      <c r="D608" s="43" t="str">
        <f>IFERROR(__xludf.DUMMYFUNCTION("""COMPUTED_VALUE"""),"No")</f>
        <v>No</v>
      </c>
      <c r="E608" s="43" t="str">
        <f>IFERROR(__xludf.DUMMYFUNCTION("""COMPUTED_VALUE"""),"p_f6229e687b7a12cd646d2ac366d90932bd4ff198@inbound.aiesec.org")</f>
        <v>p_f6229e687b7a12cd646d2ac366d90932bd4ff198@inbound.aiesec.org</v>
      </c>
      <c r="F608" s="43">
        <f>IFERROR(__xludf.DUMMYFUNCTION("""COMPUTED_VALUE"""),5.465948784E9)</f>
        <v>5465948784</v>
      </c>
      <c r="G608" s="43" t="str">
        <f>IFERROR(__xludf.DUMMYFUNCTION("""COMPUTED_VALUE"""),"Turkey")</f>
        <v>Turkey</v>
      </c>
      <c r="H608" s="43" t="str">
        <f>IFERROR(__xludf.DUMMYFUNCTION("""COMPUTED_VALUE"""),"ISTANBUL")</f>
        <v>ISTANBUL</v>
      </c>
      <c r="I608" s="43" t="str">
        <f>IFERROR(__xludf.DUMMYFUNCTION("""COMPUTED_VALUE"""),"Egypt")</f>
        <v>Egypt</v>
      </c>
      <c r="J608" s="43" t="str">
        <f>IFERROR(__xludf.DUMMYFUNCTION("""COMPUTED_VALUE"""),"Ain Shams University")</f>
        <v>Ain Shams University</v>
      </c>
      <c r="K608" s="44" t="str">
        <f>IFERROR(__xludf.DUMMYFUNCTION("""COMPUTED_VALUE"""),"https://expa.aiesec.org/opportunities/1294063")</f>
        <v>https://expa.aiesec.org/opportunities/1294063</v>
      </c>
      <c r="L608" s="43" t="str">
        <f>IFERROR(__xludf.DUMMYFUNCTION("""COMPUTED_VALUE"""),"GV")</f>
        <v>GV</v>
      </c>
      <c r="M608" s="43" t="str">
        <f>IFERROR(__xludf.DUMMYFUNCTION("""COMPUTED_VALUE"""),"short")</f>
        <v>short</v>
      </c>
      <c r="N608" s="45">
        <f>IFERROR(__xludf.DUMMYFUNCTION("""COMPUTED_VALUE"""),45049.0)</f>
        <v>45049</v>
      </c>
      <c r="O608" s="45">
        <f>IFERROR(__xludf.DUMMYFUNCTION("""COMPUTED_VALUE"""),45108.0)</f>
        <v>45108</v>
      </c>
      <c r="P608" s="45">
        <f>IFERROR(__xludf.DUMMYFUNCTION("""COMPUTED_VALUE"""),45150.0)</f>
        <v>45150</v>
      </c>
      <c r="Q608" s="45">
        <f>IFERROR(__xludf.DUMMYFUNCTION("""COMPUTED_VALUE"""),45109.0)</f>
        <v>45109</v>
      </c>
      <c r="R608" s="45">
        <f>IFERROR(__xludf.DUMMYFUNCTION("""COMPUTED_VALUE"""),45154.0)</f>
        <v>45154</v>
      </c>
      <c r="S608" s="43"/>
      <c r="T608" s="43"/>
      <c r="U608" s="43" t="str">
        <f>IFERROR(__xludf.DUMMYFUNCTION("""COMPUTED_VALUE"""),"On The Map")</f>
        <v>On The Map</v>
      </c>
      <c r="V608" s="43" t="str">
        <f>IFERROR(__xludf.DUMMYFUNCTION("""COMPUTED_VALUE"""),"ISTANBUL - BEYOGLU")</f>
        <v>ISTANBUL - BEYOGLU</v>
      </c>
      <c r="W608" s="43" t="str">
        <f>IFERROR(__xludf.DUMMYFUNCTION("""COMPUTED_VALUE"""),"2023-04-08T21:26:49Z")</f>
        <v>2023-04-08T21:26:49Z</v>
      </c>
      <c r="X608" s="43"/>
      <c r="Y608" s="43"/>
      <c r="Z608" s="43"/>
    </row>
    <row r="609" hidden="1">
      <c r="A609" s="43" t="str">
        <f>IFERROR(__xludf.DUMMYFUNCTION("""COMPUTED_VALUE"""),"5254464_1286929")</f>
        <v>5254464_1286929</v>
      </c>
      <c r="B609" s="43" t="str">
        <f>IFERROR(__xludf.DUMMYFUNCTION("""COMPUTED_VALUE"""),"Kıymet Nur Çelik")</f>
        <v>Kıymet Nur Çelik</v>
      </c>
      <c r="C609" s="43" t="str">
        <f>IFERROR(__xludf.DUMMYFUNCTION("""COMPUTED_VALUE"""),"approved")</f>
        <v>approved</v>
      </c>
      <c r="D609" s="43" t="str">
        <f>IFERROR(__xludf.DUMMYFUNCTION("""COMPUTED_VALUE"""),"No")</f>
        <v>No</v>
      </c>
      <c r="E609" s="43" t="str">
        <f>IFERROR(__xludf.DUMMYFUNCTION("""COMPUTED_VALUE"""),"p_032e0ea3670d2028be308ba30c89b733faf44c3f@inbound.aiesec.org")</f>
        <v>p_032e0ea3670d2028be308ba30c89b733faf44c3f@inbound.aiesec.org</v>
      </c>
      <c r="F609" s="43"/>
      <c r="G609" s="43" t="str">
        <f>IFERROR(__xludf.DUMMYFUNCTION("""COMPUTED_VALUE"""),"Turkey")</f>
        <v>Turkey</v>
      </c>
      <c r="H609" s="43" t="str">
        <f>IFERROR(__xludf.DUMMYFUNCTION("""COMPUTED_VALUE"""),"KOCAELI")</f>
        <v>KOCAELI</v>
      </c>
      <c r="I609" s="43" t="str">
        <f>IFERROR(__xludf.DUMMYFUNCTION("""COMPUTED_VALUE"""),"Egypt")</f>
        <v>Egypt</v>
      </c>
      <c r="J609" s="43" t="str">
        <f>IFERROR(__xludf.DUMMYFUNCTION("""COMPUTED_VALUE"""),"Ain Shams University")</f>
        <v>Ain Shams University</v>
      </c>
      <c r="K609" s="44" t="str">
        <f>IFERROR(__xludf.DUMMYFUNCTION("""COMPUTED_VALUE"""),"https://expa.aiesec.org/opportunities/1286929")</f>
        <v>https://expa.aiesec.org/opportunities/1286929</v>
      </c>
      <c r="L609" s="43" t="str">
        <f>IFERROR(__xludf.DUMMYFUNCTION("""COMPUTED_VALUE"""),"GV")</f>
        <v>GV</v>
      </c>
      <c r="M609" s="43" t="str">
        <f>IFERROR(__xludf.DUMMYFUNCTION("""COMPUTED_VALUE"""),"short")</f>
        <v>short</v>
      </c>
      <c r="N609" s="45">
        <f>IFERROR(__xludf.DUMMYFUNCTION("""COMPUTED_VALUE"""),45049.0)</f>
        <v>45049</v>
      </c>
      <c r="O609" s="45">
        <f>IFERROR(__xludf.DUMMYFUNCTION("""COMPUTED_VALUE"""),45153.0)</f>
        <v>45153</v>
      </c>
      <c r="P609" s="45">
        <f>IFERROR(__xludf.DUMMYFUNCTION("""COMPUTED_VALUE"""),45195.0)</f>
        <v>45195</v>
      </c>
      <c r="Q609" s="45"/>
      <c r="R609" s="45"/>
      <c r="S609" s="43"/>
      <c r="T609" s="43"/>
      <c r="U609" s="43" t="str">
        <f>IFERROR(__xludf.DUMMYFUNCTION("""COMPUTED_VALUE"""),"Global Classroom")</f>
        <v>Global Classroom</v>
      </c>
      <c r="V609" s="43" t="str">
        <f>IFERROR(__xludf.DUMMYFUNCTION("""COMPUTED_VALUE"""),"-")</f>
        <v>-</v>
      </c>
      <c r="W609" s="43" t="str">
        <f>IFERROR(__xludf.DUMMYFUNCTION("""COMPUTED_VALUE"""),"2023-05-02T17:45:29Z")</f>
        <v>2023-05-02T17:45:29Z</v>
      </c>
      <c r="X609" s="43"/>
      <c r="Y609" s="43"/>
      <c r="Z609" s="43"/>
    </row>
    <row r="610" hidden="1">
      <c r="A610" s="43" t="str">
        <f>IFERROR(__xludf.DUMMYFUNCTION("""COMPUTED_VALUE"""),"5181908_1288609")</f>
        <v>5181908_1288609</v>
      </c>
      <c r="B610" s="43" t="str">
        <f>IFERROR(__xludf.DUMMYFUNCTION("""COMPUTED_VALUE"""),"Kürşat Sezgin")</f>
        <v>Kürşat Sezgin</v>
      </c>
      <c r="C610" s="43" t="str">
        <f>IFERROR(__xludf.DUMMYFUNCTION("""COMPUTED_VALUE"""),"completed")</f>
        <v>completed</v>
      </c>
      <c r="D610" s="43" t="str">
        <f>IFERROR(__xludf.DUMMYFUNCTION("""COMPUTED_VALUE"""),"No")</f>
        <v>No</v>
      </c>
      <c r="E610" s="43" t="str">
        <f>IFERROR(__xludf.DUMMYFUNCTION("""COMPUTED_VALUE"""),"p_3ad2bad8875ff4a56142cc415bca37fa5207a4d6@inbound.aiesec.org")</f>
        <v>p_3ad2bad8875ff4a56142cc415bca37fa5207a4d6@inbound.aiesec.org</v>
      </c>
      <c r="F610" s="43">
        <f>IFERROR(__xludf.DUMMYFUNCTION("""COMPUTED_VALUE"""),5.340153783E9)</f>
        <v>5340153783</v>
      </c>
      <c r="G610" s="43" t="str">
        <f>IFERROR(__xludf.DUMMYFUNCTION("""COMPUTED_VALUE"""),"Turkey")</f>
        <v>Turkey</v>
      </c>
      <c r="H610" s="43" t="str">
        <f>IFERROR(__xludf.DUMMYFUNCTION("""COMPUTED_VALUE"""),"İZMİR")</f>
        <v>İZMİR</v>
      </c>
      <c r="I610" s="43" t="str">
        <f>IFERROR(__xludf.DUMMYFUNCTION("""COMPUTED_VALUE"""),"Egypt")</f>
        <v>Egypt</v>
      </c>
      <c r="J610" s="43" t="str">
        <f>IFERROR(__xludf.DUMMYFUNCTION("""COMPUTED_VALUE"""),"Tanta")</f>
        <v>Tanta</v>
      </c>
      <c r="K610" s="44" t="str">
        <f>IFERROR(__xludf.DUMMYFUNCTION("""COMPUTED_VALUE"""),"https://expa.aiesec.org/opportunities/1288609")</f>
        <v>https://expa.aiesec.org/opportunities/1288609</v>
      </c>
      <c r="L610" s="43" t="str">
        <f>IFERROR(__xludf.DUMMYFUNCTION("""COMPUTED_VALUE"""),"GV")</f>
        <v>GV</v>
      </c>
      <c r="M610" s="43" t="str">
        <f>IFERROR(__xludf.DUMMYFUNCTION("""COMPUTED_VALUE"""),"short")</f>
        <v>short</v>
      </c>
      <c r="N610" s="45">
        <f>IFERROR(__xludf.DUMMYFUNCTION("""COMPUTED_VALUE"""),45049.0)</f>
        <v>45049</v>
      </c>
      <c r="O610" s="45">
        <f>IFERROR(__xludf.DUMMYFUNCTION("""COMPUTED_VALUE"""),45139.0)</f>
        <v>45139</v>
      </c>
      <c r="P610" s="45">
        <f>IFERROR(__xludf.DUMMYFUNCTION("""COMPUTED_VALUE"""),45181.0)</f>
        <v>45181</v>
      </c>
      <c r="Q610" s="45">
        <f>IFERROR(__xludf.DUMMYFUNCTION("""COMPUTED_VALUE"""),45140.0)</f>
        <v>45140</v>
      </c>
      <c r="R610" s="45">
        <f>IFERROR(__xludf.DUMMYFUNCTION("""COMPUTED_VALUE"""),45181.0)</f>
        <v>45181</v>
      </c>
      <c r="S610" s="43"/>
      <c r="T610" s="43"/>
      <c r="U610" s="43" t="str">
        <f>IFERROR(__xludf.DUMMYFUNCTION("""COMPUTED_VALUE"""),"On The Map")</f>
        <v>On The Map</v>
      </c>
      <c r="V610" s="43" t="str">
        <f>IFERROR(__xludf.DUMMYFUNCTION("""COMPUTED_VALUE"""),"IZMIR")</f>
        <v>IZMIR</v>
      </c>
      <c r="W610" s="43" t="str">
        <f>IFERROR(__xludf.DUMMYFUNCTION("""COMPUTED_VALUE"""),"2023-01-29T10:52:41Z")</f>
        <v>2023-01-29T10:52:41Z</v>
      </c>
      <c r="X610" s="43"/>
      <c r="Y610" s="43"/>
      <c r="Z610" s="43"/>
    </row>
    <row r="611" hidden="1">
      <c r="A611" s="43" t="str">
        <f>IFERROR(__xludf.DUMMYFUNCTION("""COMPUTED_VALUE"""),"5248925_1288609")</f>
        <v>5248925_1288609</v>
      </c>
      <c r="B611" s="43" t="str">
        <f>IFERROR(__xludf.DUMMYFUNCTION("""COMPUTED_VALUE"""),"Abdussamed Tekerekoğlu")</f>
        <v>Abdussamed Tekerekoğlu</v>
      </c>
      <c r="C611" s="43" t="str">
        <f>IFERROR(__xludf.DUMMYFUNCTION("""COMPUTED_VALUE"""),"completed")</f>
        <v>completed</v>
      </c>
      <c r="D611" s="43" t="str">
        <f>IFERROR(__xludf.DUMMYFUNCTION("""COMPUTED_VALUE"""),"No")</f>
        <v>No</v>
      </c>
      <c r="E611" s="43" t="str">
        <f>IFERROR(__xludf.DUMMYFUNCTION("""COMPUTED_VALUE"""),"p_83305c5cbdd29090bfafdeecd12af7ca1c613c3b@inbound.aiesec.org")</f>
        <v>p_83305c5cbdd29090bfafdeecd12af7ca1c613c3b@inbound.aiesec.org</v>
      </c>
      <c r="F611" s="43"/>
      <c r="G611" s="43" t="str">
        <f>IFERROR(__xludf.DUMMYFUNCTION("""COMPUTED_VALUE"""),"Turkey")</f>
        <v>Turkey</v>
      </c>
      <c r="H611" s="43" t="str">
        <f>IFERROR(__xludf.DUMMYFUNCTION("""COMPUTED_VALUE"""),"GAZIANTEP")</f>
        <v>GAZIANTEP</v>
      </c>
      <c r="I611" s="43" t="str">
        <f>IFERROR(__xludf.DUMMYFUNCTION("""COMPUTED_VALUE"""),"Egypt")</f>
        <v>Egypt</v>
      </c>
      <c r="J611" s="43" t="str">
        <f>IFERROR(__xludf.DUMMYFUNCTION("""COMPUTED_VALUE"""),"Tanta")</f>
        <v>Tanta</v>
      </c>
      <c r="K611" s="44" t="str">
        <f>IFERROR(__xludf.DUMMYFUNCTION("""COMPUTED_VALUE"""),"https://expa.aiesec.org/opportunities/1288609")</f>
        <v>https://expa.aiesec.org/opportunities/1288609</v>
      </c>
      <c r="L611" s="43" t="str">
        <f>IFERROR(__xludf.DUMMYFUNCTION("""COMPUTED_VALUE"""),"GV")</f>
        <v>GV</v>
      </c>
      <c r="M611" s="43" t="str">
        <f>IFERROR(__xludf.DUMMYFUNCTION("""COMPUTED_VALUE"""),"short")</f>
        <v>short</v>
      </c>
      <c r="N611" s="45">
        <f>IFERROR(__xludf.DUMMYFUNCTION("""COMPUTED_VALUE"""),45049.0)</f>
        <v>45049</v>
      </c>
      <c r="O611" s="45">
        <f>IFERROR(__xludf.DUMMYFUNCTION("""COMPUTED_VALUE"""),45139.0)</f>
        <v>45139</v>
      </c>
      <c r="P611" s="45">
        <f>IFERROR(__xludf.DUMMYFUNCTION("""COMPUTED_VALUE"""),45181.0)</f>
        <v>45181</v>
      </c>
      <c r="Q611" s="45">
        <f>IFERROR(__xludf.DUMMYFUNCTION("""COMPUTED_VALUE"""),45140.0)</f>
        <v>45140</v>
      </c>
      <c r="R611" s="45">
        <f>IFERROR(__xludf.DUMMYFUNCTION("""COMPUTED_VALUE"""),45181.0)</f>
        <v>45181</v>
      </c>
      <c r="S611" s="43"/>
      <c r="T611" s="43"/>
      <c r="U611" s="43" t="str">
        <f>IFERROR(__xludf.DUMMYFUNCTION("""COMPUTED_VALUE"""),"On The Map")</f>
        <v>On The Map</v>
      </c>
      <c r="V611" s="43" t="str">
        <f>IFERROR(__xludf.DUMMYFUNCTION("""COMPUTED_VALUE"""),"-")</f>
        <v>-</v>
      </c>
      <c r="W611" s="43" t="str">
        <f>IFERROR(__xludf.DUMMYFUNCTION("""COMPUTED_VALUE"""),"2023-04-25T09:40:32Z")</f>
        <v>2023-04-25T09:40:32Z</v>
      </c>
      <c r="X611" s="43"/>
      <c r="Y611" s="43"/>
      <c r="Z611" s="43"/>
    </row>
    <row r="612" hidden="1">
      <c r="A612" s="43" t="str">
        <f>IFERROR(__xludf.DUMMYFUNCTION("""COMPUTED_VALUE"""),"5253900_1284312")</f>
        <v>5253900_1284312</v>
      </c>
      <c r="B612" s="43" t="str">
        <f>IFERROR(__xludf.DUMMYFUNCTION("""COMPUTED_VALUE"""),"Boran Doğan")</f>
        <v>Boran Doğan</v>
      </c>
      <c r="C612" s="43" t="str">
        <f>IFERROR(__xludf.DUMMYFUNCTION("""COMPUTED_VALUE"""),"completed")</f>
        <v>completed</v>
      </c>
      <c r="D612" s="43" t="str">
        <f>IFERROR(__xludf.DUMMYFUNCTION("""COMPUTED_VALUE"""),"No")</f>
        <v>No</v>
      </c>
      <c r="E612" s="43" t="str">
        <f>IFERROR(__xludf.DUMMYFUNCTION("""COMPUTED_VALUE"""),"p_35af75cace34546f1c7b7b117d561652a85df18d@inbound.aiesec.org")</f>
        <v>p_35af75cace34546f1c7b7b117d561652a85df18d@inbound.aiesec.org</v>
      </c>
      <c r="F612" s="43"/>
      <c r="G612" s="43" t="str">
        <f>IFERROR(__xludf.DUMMYFUNCTION("""COMPUTED_VALUE"""),"Turkey")</f>
        <v>Turkey</v>
      </c>
      <c r="H612" s="43" t="str">
        <f>IFERROR(__xludf.DUMMYFUNCTION("""COMPUTED_VALUE"""),"KOCAELI")</f>
        <v>KOCAELI</v>
      </c>
      <c r="I612" s="43" t="str">
        <f>IFERROR(__xludf.DUMMYFUNCTION("""COMPUTED_VALUE"""),"Sri Lanka")</f>
        <v>Sri Lanka</v>
      </c>
      <c r="J612" s="43" t="str">
        <f>IFERROR(__xludf.DUMMYFUNCTION("""COMPUTED_VALUE"""),"SLIIT")</f>
        <v>SLIIT</v>
      </c>
      <c r="K612" s="44" t="str">
        <f>IFERROR(__xludf.DUMMYFUNCTION("""COMPUTED_VALUE"""),"https://expa.aiesec.org/opportunities/1284312")</f>
        <v>https://expa.aiesec.org/opportunities/1284312</v>
      </c>
      <c r="L612" s="43" t="str">
        <f>IFERROR(__xludf.DUMMYFUNCTION("""COMPUTED_VALUE"""),"GV")</f>
        <v>GV</v>
      </c>
      <c r="M612" s="43" t="str">
        <f>IFERROR(__xludf.DUMMYFUNCTION("""COMPUTED_VALUE"""),"short")</f>
        <v>short</v>
      </c>
      <c r="N612" s="45">
        <f>IFERROR(__xludf.DUMMYFUNCTION("""COMPUTED_VALUE"""),45049.0)</f>
        <v>45049</v>
      </c>
      <c r="O612" s="45">
        <f>IFERROR(__xludf.DUMMYFUNCTION("""COMPUTED_VALUE"""),45139.0)</f>
        <v>45139</v>
      </c>
      <c r="P612" s="45">
        <f>IFERROR(__xludf.DUMMYFUNCTION("""COMPUTED_VALUE"""),45181.0)</f>
        <v>45181</v>
      </c>
      <c r="Q612" s="45">
        <f>IFERROR(__xludf.DUMMYFUNCTION("""COMPUTED_VALUE"""),45140.0)</f>
        <v>45140</v>
      </c>
      <c r="R612" s="45">
        <f>IFERROR(__xludf.DUMMYFUNCTION("""COMPUTED_VALUE"""),45181.0)</f>
        <v>45181</v>
      </c>
      <c r="S612" s="43"/>
      <c r="T612" s="43"/>
      <c r="U612" s="43" t="str">
        <f>IFERROR(__xludf.DUMMYFUNCTION("""COMPUTED_VALUE"""),"On The Map")</f>
        <v>On The Map</v>
      </c>
      <c r="V612" s="43" t="str">
        <f>IFERROR(__xludf.DUMMYFUNCTION("""COMPUTED_VALUE"""),"-")</f>
        <v>-</v>
      </c>
      <c r="W612" s="43" t="str">
        <f>IFERROR(__xludf.DUMMYFUNCTION("""COMPUTED_VALUE"""),"2023-05-01T19:58:30Z")</f>
        <v>2023-05-01T19:58:30Z</v>
      </c>
      <c r="X612" s="43"/>
      <c r="Y612" s="43"/>
      <c r="Z612" s="43"/>
    </row>
    <row r="613" hidden="1">
      <c r="A613" s="43" t="str">
        <f>IFERROR(__xludf.DUMMYFUNCTION("""COMPUTED_VALUE"""),"5253862_1294364")</f>
        <v>5253862_1294364</v>
      </c>
      <c r="B613" s="43" t="str">
        <f>IFERROR(__xludf.DUMMYFUNCTION("""COMPUTED_VALUE"""),"semanur özel")</f>
        <v>semanur özel</v>
      </c>
      <c r="C613" s="43" t="str">
        <f>IFERROR(__xludf.DUMMYFUNCTION("""COMPUTED_VALUE"""),"completed")</f>
        <v>completed</v>
      </c>
      <c r="D613" s="43" t="str">
        <f>IFERROR(__xludf.DUMMYFUNCTION("""COMPUTED_VALUE"""),"No")</f>
        <v>No</v>
      </c>
      <c r="E613" s="43" t="str">
        <f>IFERROR(__xludf.DUMMYFUNCTION("""COMPUTED_VALUE"""),"p_bf4a1d8b92ed11cd988090455231470f7c038e53@inbound.aiesec.org")</f>
        <v>p_bf4a1d8b92ed11cd988090455231470f7c038e53@inbound.aiesec.org</v>
      </c>
      <c r="F613" s="43">
        <f>IFERROR(__xludf.DUMMYFUNCTION("""COMPUTED_VALUE"""),5.522127751E9)</f>
        <v>5522127751</v>
      </c>
      <c r="G613" s="43" t="str">
        <f>IFERROR(__xludf.DUMMYFUNCTION("""COMPUTED_VALUE"""),"Turkey")</f>
        <v>Turkey</v>
      </c>
      <c r="H613" s="43" t="str">
        <f>IFERROR(__xludf.DUMMYFUNCTION("""COMPUTED_VALUE"""),"KOCAELI")</f>
        <v>KOCAELI</v>
      </c>
      <c r="I613" s="43" t="str">
        <f>IFERROR(__xludf.DUMMYFUNCTION("""COMPUTED_VALUE"""),"Egypt")</f>
        <v>Egypt</v>
      </c>
      <c r="J613" s="43" t="str">
        <f>IFERROR(__xludf.DUMMYFUNCTION("""COMPUTED_VALUE"""),"Cairo University")</f>
        <v>Cairo University</v>
      </c>
      <c r="K613" s="44" t="str">
        <f>IFERROR(__xludf.DUMMYFUNCTION("""COMPUTED_VALUE"""),"https://expa.aiesec.org/opportunities/1294364")</f>
        <v>https://expa.aiesec.org/opportunities/1294364</v>
      </c>
      <c r="L613" s="43" t="str">
        <f>IFERROR(__xludf.DUMMYFUNCTION("""COMPUTED_VALUE"""),"GV")</f>
        <v>GV</v>
      </c>
      <c r="M613" s="43" t="str">
        <f>IFERROR(__xludf.DUMMYFUNCTION("""COMPUTED_VALUE"""),"short")</f>
        <v>short</v>
      </c>
      <c r="N613" s="45">
        <f>IFERROR(__xludf.DUMMYFUNCTION("""COMPUTED_VALUE"""),45049.0)</f>
        <v>45049</v>
      </c>
      <c r="O613" s="45">
        <f>IFERROR(__xludf.DUMMYFUNCTION("""COMPUTED_VALUE"""),45122.0)</f>
        <v>45122</v>
      </c>
      <c r="P613" s="45">
        <f>IFERROR(__xludf.DUMMYFUNCTION("""COMPUTED_VALUE"""),45167.0)</f>
        <v>45167</v>
      </c>
      <c r="Q613" s="45">
        <f>IFERROR(__xludf.DUMMYFUNCTION("""COMPUTED_VALUE"""),45122.0)</f>
        <v>45122</v>
      </c>
      <c r="R613" s="45">
        <f>IFERROR(__xludf.DUMMYFUNCTION("""COMPUTED_VALUE"""),45167.0)</f>
        <v>45167</v>
      </c>
      <c r="S613" s="43"/>
      <c r="T613" s="43"/>
      <c r="U613" s="43" t="str">
        <f>IFERROR(__xludf.DUMMYFUNCTION("""COMPUTED_VALUE"""),"Green Leaders")</f>
        <v>Green Leaders</v>
      </c>
      <c r="V613" s="43" t="str">
        <f>IFERROR(__xludf.DUMMYFUNCTION("""COMPUTED_VALUE"""),"KOCAELI")</f>
        <v>KOCAELI</v>
      </c>
      <c r="W613" s="43" t="str">
        <f>IFERROR(__xludf.DUMMYFUNCTION("""COMPUTED_VALUE"""),"2023-05-01T18:21:06Z")</f>
        <v>2023-05-01T18:21:06Z</v>
      </c>
      <c r="X613" s="43"/>
      <c r="Y613" s="43"/>
      <c r="Z613" s="43"/>
    </row>
    <row r="614" hidden="1">
      <c r="A614" s="43" t="str">
        <f>IFERROR(__xludf.DUMMYFUNCTION("""COMPUTED_VALUE"""),"5243690_1294062")</f>
        <v>5243690_1294062</v>
      </c>
      <c r="B614" s="43" t="str">
        <f>IFERROR(__xludf.DUMMYFUNCTION("""COMPUTED_VALUE"""),"Ayşe Akın")</f>
        <v>Ayşe Akın</v>
      </c>
      <c r="C614" s="43" t="str">
        <f>IFERROR(__xludf.DUMMYFUNCTION("""COMPUTED_VALUE"""),"completed")</f>
        <v>completed</v>
      </c>
      <c r="D614" s="43" t="str">
        <f>IFERROR(__xludf.DUMMYFUNCTION("""COMPUTED_VALUE"""),"No")</f>
        <v>No</v>
      </c>
      <c r="E614" s="43" t="str">
        <f>IFERROR(__xludf.DUMMYFUNCTION("""COMPUTED_VALUE"""),"p_ed61e8db3961fa30d1843630b7497d7d4598b26f@inbound.aiesec.org")</f>
        <v>p_ed61e8db3961fa30d1843630b7497d7d4598b26f@inbound.aiesec.org</v>
      </c>
      <c r="F614" s="43"/>
      <c r="G614" s="43" t="str">
        <f>IFERROR(__xludf.DUMMYFUNCTION("""COMPUTED_VALUE"""),"Turkey")</f>
        <v>Turkey</v>
      </c>
      <c r="H614" s="43" t="str">
        <f>IFERROR(__xludf.DUMMYFUNCTION("""COMPUTED_VALUE"""),"ISTANBUL")</f>
        <v>ISTANBUL</v>
      </c>
      <c r="I614" s="43" t="str">
        <f>IFERROR(__xludf.DUMMYFUNCTION("""COMPUTED_VALUE"""),"Tunisia")</f>
        <v>Tunisia</v>
      </c>
      <c r="J614" s="43" t="str">
        <f>IFERROR(__xludf.DUMMYFUNCTION("""COMPUTED_VALUE"""),"THYNA")</f>
        <v>THYNA</v>
      </c>
      <c r="K614" s="44" t="str">
        <f>IFERROR(__xludf.DUMMYFUNCTION("""COMPUTED_VALUE"""),"https://expa.aiesec.org/opportunities/1294062")</f>
        <v>https://expa.aiesec.org/opportunities/1294062</v>
      </c>
      <c r="L614" s="43" t="str">
        <f>IFERROR(__xludf.DUMMYFUNCTION("""COMPUTED_VALUE"""),"GV")</f>
        <v>GV</v>
      </c>
      <c r="M614" s="43" t="str">
        <f>IFERROR(__xludf.DUMMYFUNCTION("""COMPUTED_VALUE"""),"short")</f>
        <v>short</v>
      </c>
      <c r="N614" s="45">
        <f>IFERROR(__xludf.DUMMYFUNCTION("""COMPUTED_VALUE"""),45049.0)</f>
        <v>45049</v>
      </c>
      <c r="O614" s="45">
        <f>IFERROR(__xludf.DUMMYFUNCTION("""COMPUTED_VALUE"""),45131.0)</f>
        <v>45131</v>
      </c>
      <c r="P614" s="45">
        <f>IFERROR(__xludf.DUMMYFUNCTION("""COMPUTED_VALUE"""),45173.0)</f>
        <v>45173</v>
      </c>
      <c r="Q614" s="45">
        <f>IFERROR(__xludf.DUMMYFUNCTION("""COMPUTED_VALUE"""),45131.0)</f>
        <v>45131</v>
      </c>
      <c r="R614" s="45">
        <f>IFERROR(__xludf.DUMMYFUNCTION("""COMPUTED_VALUE"""),45173.0)</f>
        <v>45173</v>
      </c>
      <c r="S614" s="43"/>
      <c r="T614" s="43"/>
      <c r="U614" s="43" t="str">
        <f>IFERROR(__xludf.DUMMYFUNCTION("""COMPUTED_VALUE"""),"Aquatica")</f>
        <v>Aquatica</v>
      </c>
      <c r="V614" s="43" t="str">
        <f>IFERROR(__xludf.DUMMYFUNCTION("""COMPUTED_VALUE"""),"-")</f>
        <v>-</v>
      </c>
      <c r="W614" s="43" t="str">
        <f>IFERROR(__xludf.DUMMYFUNCTION("""COMPUTED_VALUE"""),"2023-04-17T11:22:40Z")</f>
        <v>2023-04-17T11:22:40Z</v>
      </c>
      <c r="X614" s="43"/>
      <c r="Y614" s="43"/>
      <c r="Z614" s="43"/>
    </row>
    <row r="615">
      <c r="A615" s="43" t="str">
        <f>IFERROR(__xludf.DUMMYFUNCTION("""COMPUTED_VALUE"""),"5191990_1294459")</f>
        <v>5191990_1294459</v>
      </c>
      <c r="B615" s="43" t="str">
        <f>IFERROR(__xludf.DUMMYFUNCTION("""COMPUTED_VALUE"""),"Zeynep Sena Akşehirli")</f>
        <v>Zeynep Sena Akşehirli</v>
      </c>
      <c r="C615" s="43" t="str">
        <f>IFERROR(__xludf.DUMMYFUNCTION("""COMPUTED_VALUE"""),"approved")</f>
        <v>approved</v>
      </c>
      <c r="D615" s="43" t="str">
        <f>IFERROR(__xludf.DUMMYFUNCTION("""COMPUTED_VALUE"""),"No")</f>
        <v>No</v>
      </c>
      <c r="E615" s="43" t="str">
        <f>IFERROR(__xludf.DUMMYFUNCTION("""COMPUTED_VALUE"""),"p_17146e10f8352697aec8c2e64347bfc735455a78@inbound.aiesec.org")</f>
        <v>p_17146e10f8352697aec8c2e64347bfc735455a78@inbound.aiesec.org</v>
      </c>
      <c r="F615" s="43">
        <f>IFERROR(__xludf.DUMMYFUNCTION("""COMPUTED_VALUE"""),5.528228975E9)</f>
        <v>5528228975</v>
      </c>
      <c r="G615" s="43" t="str">
        <f>IFERROR(__xludf.DUMMYFUNCTION("""COMPUTED_VALUE"""),"Turkey")</f>
        <v>Turkey</v>
      </c>
      <c r="H615" s="43" t="str">
        <f>IFERROR(__xludf.DUMMYFUNCTION("""COMPUTED_VALUE"""),"ISTANBUL")</f>
        <v>ISTANBUL</v>
      </c>
      <c r="I615" s="43" t="str">
        <f>IFERROR(__xludf.DUMMYFUNCTION("""COMPUTED_VALUE"""),"Egypt")</f>
        <v>Egypt</v>
      </c>
      <c r="J615" s="43" t="str">
        <f>IFERROR(__xludf.DUMMYFUNCTION("""COMPUTED_VALUE"""),"Cairo University")</f>
        <v>Cairo University</v>
      </c>
      <c r="K615" s="44" t="str">
        <f>IFERROR(__xludf.DUMMYFUNCTION("""COMPUTED_VALUE"""),"https://expa.aiesec.org/opportunities/1294459")</f>
        <v>https://expa.aiesec.org/opportunities/1294459</v>
      </c>
      <c r="L615" s="43" t="str">
        <f>IFERROR(__xludf.DUMMYFUNCTION("""COMPUTED_VALUE"""),"GV")</f>
        <v>GV</v>
      </c>
      <c r="M615" s="43" t="str">
        <f>IFERROR(__xludf.DUMMYFUNCTION("""COMPUTED_VALUE"""),"short")</f>
        <v>short</v>
      </c>
      <c r="N615" s="45">
        <f>IFERROR(__xludf.DUMMYFUNCTION("""COMPUTED_VALUE"""),45049.0)</f>
        <v>45049</v>
      </c>
      <c r="O615" s="45">
        <f>IFERROR(__xludf.DUMMYFUNCTION("""COMPUTED_VALUE"""),45159.0)</f>
        <v>45159</v>
      </c>
      <c r="P615" s="45">
        <f>IFERROR(__xludf.DUMMYFUNCTION("""COMPUTED_VALUE"""),45203.0)</f>
        <v>45203</v>
      </c>
      <c r="Q615" s="45"/>
      <c r="R615" s="45"/>
      <c r="S615" s="43"/>
      <c r="T615" s="43"/>
      <c r="U615" s="43" t="str">
        <f>IFERROR(__xludf.DUMMYFUNCTION("""COMPUTED_VALUE"""),"Global Classroom")</f>
        <v>Global Classroom</v>
      </c>
      <c r="V615" s="43" t="str">
        <f>IFERROR(__xludf.DUMMYFUNCTION("""COMPUTED_VALUE"""),"KAYSERI")</f>
        <v>KAYSERI</v>
      </c>
      <c r="W615" s="43" t="str">
        <f>IFERROR(__xludf.DUMMYFUNCTION("""COMPUTED_VALUE"""),"2023-02-16T10:00:43Z")</f>
        <v>2023-02-16T10:00:43Z</v>
      </c>
      <c r="X615" s="43"/>
      <c r="Y615" s="43"/>
      <c r="Z615" s="43"/>
    </row>
    <row r="616" hidden="1">
      <c r="A616" s="43" t="str">
        <f>IFERROR(__xludf.DUMMYFUNCTION("""COMPUTED_VALUE"""),"5238829_1294062")</f>
        <v>5238829_1294062</v>
      </c>
      <c r="B616" s="43" t="str">
        <f>IFERROR(__xludf.DUMMYFUNCTION("""COMPUTED_VALUE"""),"ceren erhüner")</f>
        <v>ceren erhüner</v>
      </c>
      <c r="C616" s="43" t="str">
        <f>IFERROR(__xludf.DUMMYFUNCTION("""COMPUTED_VALUE"""),"completed")</f>
        <v>completed</v>
      </c>
      <c r="D616" s="43" t="str">
        <f>IFERROR(__xludf.DUMMYFUNCTION("""COMPUTED_VALUE"""),"No")</f>
        <v>No</v>
      </c>
      <c r="E616" s="43" t="str">
        <f>IFERROR(__xludf.DUMMYFUNCTION("""COMPUTED_VALUE"""),"p_cf6631955c692ddd05c25a858f0da49965a10a38@inbound.aiesec.org")</f>
        <v>p_cf6631955c692ddd05c25a858f0da49965a10a38@inbound.aiesec.org</v>
      </c>
      <c r="F616" s="43"/>
      <c r="G616" s="43" t="str">
        <f>IFERROR(__xludf.DUMMYFUNCTION("""COMPUTED_VALUE"""),"Turkey")</f>
        <v>Turkey</v>
      </c>
      <c r="H616" s="43" t="str">
        <f>IFERROR(__xludf.DUMMYFUNCTION("""COMPUTED_VALUE"""),"ISTANBUL")</f>
        <v>ISTANBUL</v>
      </c>
      <c r="I616" s="43" t="str">
        <f>IFERROR(__xludf.DUMMYFUNCTION("""COMPUTED_VALUE"""),"Tunisia")</f>
        <v>Tunisia</v>
      </c>
      <c r="J616" s="43" t="str">
        <f>IFERROR(__xludf.DUMMYFUNCTION("""COMPUTED_VALUE"""),"THYNA")</f>
        <v>THYNA</v>
      </c>
      <c r="K616" s="44" t="str">
        <f>IFERROR(__xludf.DUMMYFUNCTION("""COMPUTED_VALUE"""),"https://expa.aiesec.org/opportunities/1294062")</f>
        <v>https://expa.aiesec.org/opportunities/1294062</v>
      </c>
      <c r="L616" s="43" t="str">
        <f>IFERROR(__xludf.DUMMYFUNCTION("""COMPUTED_VALUE"""),"GV")</f>
        <v>GV</v>
      </c>
      <c r="M616" s="43" t="str">
        <f>IFERROR(__xludf.DUMMYFUNCTION("""COMPUTED_VALUE"""),"short")</f>
        <v>short</v>
      </c>
      <c r="N616" s="45">
        <f>IFERROR(__xludf.DUMMYFUNCTION("""COMPUTED_VALUE"""),45049.0)</f>
        <v>45049</v>
      </c>
      <c r="O616" s="45">
        <f>IFERROR(__xludf.DUMMYFUNCTION("""COMPUTED_VALUE"""),45131.0)</f>
        <v>45131</v>
      </c>
      <c r="P616" s="45">
        <f>IFERROR(__xludf.DUMMYFUNCTION("""COMPUTED_VALUE"""),45173.0)</f>
        <v>45173</v>
      </c>
      <c r="Q616" s="45">
        <f>IFERROR(__xludf.DUMMYFUNCTION("""COMPUTED_VALUE"""),45131.0)</f>
        <v>45131</v>
      </c>
      <c r="R616" s="45">
        <f>IFERROR(__xludf.DUMMYFUNCTION("""COMPUTED_VALUE"""),45173.0)</f>
        <v>45173</v>
      </c>
      <c r="S616" s="43"/>
      <c r="T616" s="43"/>
      <c r="U616" s="43" t="str">
        <f>IFERROR(__xludf.DUMMYFUNCTION("""COMPUTED_VALUE"""),"Aquatica")</f>
        <v>Aquatica</v>
      </c>
      <c r="V616" s="43" t="str">
        <f>IFERROR(__xludf.DUMMYFUNCTION("""COMPUTED_VALUE"""),"-")</f>
        <v>-</v>
      </c>
      <c r="W616" s="43" t="str">
        <f>IFERROR(__xludf.DUMMYFUNCTION("""COMPUTED_VALUE"""),"2023-04-10T12:51:38Z")</f>
        <v>2023-04-10T12:51:38Z</v>
      </c>
      <c r="X616" s="43"/>
      <c r="Y616" s="43"/>
      <c r="Z616" s="43"/>
    </row>
    <row r="617" hidden="1">
      <c r="A617" s="43" t="str">
        <f>IFERROR(__xludf.DUMMYFUNCTION("""COMPUTED_VALUE"""),"4617722_1290858")</f>
        <v>4617722_1290858</v>
      </c>
      <c r="B617" s="43" t="str">
        <f>IFERROR(__xludf.DUMMYFUNCTION("""COMPUTED_VALUE"""),"Nezahat Solmaz")</f>
        <v>Nezahat Solmaz</v>
      </c>
      <c r="C617" s="43" t="str">
        <f>IFERROR(__xludf.DUMMYFUNCTION("""COMPUTED_VALUE"""),"completed")</f>
        <v>completed</v>
      </c>
      <c r="D617" s="43" t="str">
        <f>IFERROR(__xludf.DUMMYFUNCTION("""COMPUTED_VALUE"""),"No")</f>
        <v>No</v>
      </c>
      <c r="E617" s="43" t="str">
        <f>IFERROR(__xludf.DUMMYFUNCTION("""COMPUTED_VALUE"""),"p_e448dcb306cc54a2863d9b8063adad73e08e020a@inbound.aiesec.org")</f>
        <v>p_e448dcb306cc54a2863d9b8063adad73e08e020a@inbound.aiesec.org</v>
      </c>
      <c r="F617" s="43">
        <f>IFERROR(__xludf.DUMMYFUNCTION("""COMPUTED_VALUE"""),5.519705666E9)</f>
        <v>5519705666</v>
      </c>
      <c r="G617" s="43" t="str">
        <f>IFERROR(__xludf.DUMMYFUNCTION("""COMPUTED_VALUE"""),"Turkey")</f>
        <v>Turkey</v>
      </c>
      <c r="H617" s="43" t="str">
        <f>IFERROR(__xludf.DUMMYFUNCTION("""COMPUTED_VALUE"""),"İZMİR")</f>
        <v>İZMİR</v>
      </c>
      <c r="I617" s="43" t="str">
        <f>IFERROR(__xludf.DUMMYFUNCTION("""COMPUTED_VALUE"""),"Egypt")</f>
        <v>Egypt</v>
      </c>
      <c r="J617" s="43" t="str">
        <f>IFERROR(__xludf.DUMMYFUNCTION("""COMPUTED_VALUE"""),"GUC")</f>
        <v>GUC</v>
      </c>
      <c r="K617" s="44" t="str">
        <f>IFERROR(__xludf.DUMMYFUNCTION("""COMPUTED_VALUE"""),"https://expa.aiesec.org/opportunities/1290858")</f>
        <v>https://expa.aiesec.org/opportunities/1290858</v>
      </c>
      <c r="L617" s="43" t="str">
        <f>IFERROR(__xludf.DUMMYFUNCTION("""COMPUTED_VALUE"""),"GV")</f>
        <v>GV</v>
      </c>
      <c r="M617" s="43" t="str">
        <f>IFERROR(__xludf.DUMMYFUNCTION("""COMPUTED_VALUE"""),"short")</f>
        <v>short</v>
      </c>
      <c r="N617" s="45">
        <f>IFERROR(__xludf.DUMMYFUNCTION("""COMPUTED_VALUE"""),45049.0)</f>
        <v>45049</v>
      </c>
      <c r="O617" s="45">
        <f>IFERROR(__xludf.DUMMYFUNCTION("""COMPUTED_VALUE"""),45108.0)</f>
        <v>45108</v>
      </c>
      <c r="P617" s="45">
        <f>IFERROR(__xludf.DUMMYFUNCTION("""COMPUTED_VALUE"""),45150.0)</f>
        <v>45150</v>
      </c>
      <c r="Q617" s="45">
        <f>IFERROR(__xludf.DUMMYFUNCTION("""COMPUTED_VALUE"""),45107.0)</f>
        <v>45107</v>
      </c>
      <c r="R617" s="45">
        <f>IFERROR(__xludf.DUMMYFUNCTION("""COMPUTED_VALUE"""),45150.0)</f>
        <v>45150</v>
      </c>
      <c r="S617" s="43"/>
      <c r="T617" s="43"/>
      <c r="U617" s="43" t="str">
        <f>IFERROR(__xludf.DUMMYFUNCTION("""COMPUTED_VALUE"""),"Heartbeat")</f>
        <v>Heartbeat</v>
      </c>
      <c r="V617" s="43" t="str">
        <f>IFERROR(__xludf.DUMMYFUNCTION("""COMPUTED_VALUE"""),"IZMIR")</f>
        <v>IZMIR</v>
      </c>
      <c r="W617" s="43" t="str">
        <f>IFERROR(__xludf.DUMMYFUNCTION("""COMPUTED_VALUE"""),"2021-04-15T21:29:47Z")</f>
        <v>2021-04-15T21:29:47Z</v>
      </c>
      <c r="X617" s="43"/>
      <c r="Y617" s="43"/>
      <c r="Z617" s="43"/>
    </row>
    <row r="618" hidden="1">
      <c r="A618" s="43" t="str">
        <f>IFERROR(__xludf.DUMMYFUNCTION("""COMPUTED_VALUE"""),"5247976_1294294")</f>
        <v>5247976_1294294</v>
      </c>
      <c r="B618" s="43" t="str">
        <f>IFERROR(__xludf.DUMMYFUNCTION("""COMPUTED_VALUE"""),"Şaheste Bakkal")</f>
        <v>Şaheste Bakkal</v>
      </c>
      <c r="C618" s="43" t="str">
        <f>IFERROR(__xludf.DUMMYFUNCTION("""COMPUTED_VALUE"""),"completed")</f>
        <v>completed</v>
      </c>
      <c r="D618" s="43" t="str">
        <f>IFERROR(__xludf.DUMMYFUNCTION("""COMPUTED_VALUE"""),"No")</f>
        <v>No</v>
      </c>
      <c r="E618" s="43" t="str">
        <f>IFERROR(__xludf.DUMMYFUNCTION("""COMPUTED_VALUE"""),"p_dd954368d1e7051a8f4f823e1497898bd04cbd10@inbound.aiesec.org")</f>
        <v>p_dd954368d1e7051a8f4f823e1497898bd04cbd10@inbound.aiesec.org</v>
      </c>
      <c r="F618" s="43">
        <f>IFERROR(__xludf.DUMMYFUNCTION("""COMPUTED_VALUE"""),5.312330817E9)</f>
        <v>5312330817</v>
      </c>
      <c r="G618" s="43" t="str">
        <f>IFERROR(__xludf.DUMMYFUNCTION("""COMPUTED_VALUE"""),"Turkey")</f>
        <v>Turkey</v>
      </c>
      <c r="H618" s="43" t="str">
        <f>IFERROR(__xludf.DUMMYFUNCTION("""COMPUTED_VALUE"""),"KOCAELI")</f>
        <v>KOCAELI</v>
      </c>
      <c r="I618" s="43" t="str">
        <f>IFERROR(__xludf.DUMMYFUNCTION("""COMPUTED_VALUE"""),"Italy")</f>
        <v>Italy</v>
      </c>
      <c r="J618" s="43" t="str">
        <f>IFERROR(__xludf.DUMMYFUNCTION("""COMPUTED_VALUE"""),"Napoli Federico II")</f>
        <v>Napoli Federico II</v>
      </c>
      <c r="K618" s="44" t="str">
        <f>IFERROR(__xludf.DUMMYFUNCTION("""COMPUTED_VALUE"""),"https://expa.aiesec.org/opportunities/1294294")</f>
        <v>https://expa.aiesec.org/opportunities/1294294</v>
      </c>
      <c r="L618" s="43" t="str">
        <f>IFERROR(__xludf.DUMMYFUNCTION("""COMPUTED_VALUE"""),"GV")</f>
        <v>GV</v>
      </c>
      <c r="M618" s="43" t="str">
        <f>IFERROR(__xludf.DUMMYFUNCTION("""COMPUTED_VALUE"""),"short")</f>
        <v>short</v>
      </c>
      <c r="N618" s="45">
        <f>IFERROR(__xludf.DUMMYFUNCTION("""COMPUTED_VALUE"""),45049.0)</f>
        <v>45049</v>
      </c>
      <c r="O618" s="45">
        <f>IFERROR(__xludf.DUMMYFUNCTION("""COMPUTED_VALUE"""),45093.0)</f>
        <v>45093</v>
      </c>
      <c r="P618" s="45">
        <f>IFERROR(__xludf.DUMMYFUNCTION("""COMPUTED_VALUE"""),45135.0)</f>
        <v>45135</v>
      </c>
      <c r="Q618" s="45">
        <f>IFERROR(__xludf.DUMMYFUNCTION("""COMPUTED_VALUE"""),45093.0)</f>
        <v>45093</v>
      </c>
      <c r="R618" s="45">
        <f>IFERROR(__xludf.DUMMYFUNCTION("""COMPUTED_VALUE"""),45135.0)</f>
        <v>45135</v>
      </c>
      <c r="S618" s="43"/>
      <c r="T618" s="43"/>
      <c r="U618" s="43" t="str">
        <f>IFERROR(__xludf.DUMMYFUNCTION("""COMPUTED_VALUE"""),"Green Leaders")</f>
        <v>Green Leaders</v>
      </c>
      <c r="V618" s="43" t="str">
        <f>IFERROR(__xludf.DUMMYFUNCTION("""COMPUTED_VALUE"""),"KOCAELI")</f>
        <v>KOCAELI</v>
      </c>
      <c r="W618" s="43" t="str">
        <f>IFERROR(__xludf.DUMMYFUNCTION("""COMPUTED_VALUE"""),"2023-04-23T21:39:47Z")</f>
        <v>2023-04-23T21:39:47Z</v>
      </c>
      <c r="X618" s="43"/>
      <c r="Y618" s="43"/>
      <c r="Z618" s="43"/>
    </row>
    <row r="619" hidden="1">
      <c r="A619" s="43" t="str">
        <f>IFERROR(__xludf.DUMMYFUNCTION("""COMPUTED_VALUE"""),"5248640_1292606")</f>
        <v>5248640_1292606</v>
      </c>
      <c r="B619" s="43" t="str">
        <f>IFERROR(__xludf.DUMMYFUNCTION("""COMPUTED_VALUE"""),"şerife kanalmaz")</f>
        <v>şerife kanalmaz</v>
      </c>
      <c r="C619" s="43" t="str">
        <f>IFERROR(__xludf.DUMMYFUNCTION("""COMPUTED_VALUE"""),"completed")</f>
        <v>completed</v>
      </c>
      <c r="D619" s="43" t="str">
        <f>IFERROR(__xludf.DUMMYFUNCTION("""COMPUTED_VALUE"""),"No")</f>
        <v>No</v>
      </c>
      <c r="E619" s="43" t="str">
        <f>IFERROR(__xludf.DUMMYFUNCTION("""COMPUTED_VALUE"""),"p_1e9ecbe8ac33eb803ec49ac977b4789c240ab9b5@inbound.aiesec.org")</f>
        <v>p_1e9ecbe8ac33eb803ec49ac977b4789c240ab9b5@inbound.aiesec.org</v>
      </c>
      <c r="F619" s="43">
        <f>IFERROR(__xludf.DUMMYFUNCTION("""COMPUTED_VALUE"""),5.380687337E9)</f>
        <v>5380687337</v>
      </c>
      <c r="G619" s="43" t="str">
        <f>IFERROR(__xludf.DUMMYFUNCTION("""COMPUTED_VALUE"""),"Turkey")</f>
        <v>Turkey</v>
      </c>
      <c r="H619" s="43" t="str">
        <f>IFERROR(__xludf.DUMMYFUNCTION("""COMPUTED_VALUE"""),"ISTANBUL ASIA")</f>
        <v>ISTANBUL ASIA</v>
      </c>
      <c r="I619" s="43" t="str">
        <f>IFERROR(__xludf.DUMMYFUNCTION("""COMPUTED_VALUE"""),"Egypt")</f>
        <v>Egypt</v>
      </c>
      <c r="J619" s="43" t="str">
        <f>IFERROR(__xludf.DUMMYFUNCTION("""COMPUTED_VALUE"""),"AAST In CAIRO")</f>
        <v>AAST In CAIRO</v>
      </c>
      <c r="K619" s="44" t="str">
        <f>IFERROR(__xludf.DUMMYFUNCTION("""COMPUTED_VALUE"""),"https://expa.aiesec.org/opportunities/1292606")</f>
        <v>https://expa.aiesec.org/opportunities/1292606</v>
      </c>
      <c r="L619" s="43" t="str">
        <f>IFERROR(__xludf.DUMMYFUNCTION("""COMPUTED_VALUE"""),"GV")</f>
        <v>GV</v>
      </c>
      <c r="M619" s="43" t="str">
        <f>IFERROR(__xludf.DUMMYFUNCTION("""COMPUTED_VALUE"""),"short")</f>
        <v>short</v>
      </c>
      <c r="N619" s="45">
        <f>IFERROR(__xludf.DUMMYFUNCTION("""COMPUTED_VALUE"""),45049.0)</f>
        <v>45049</v>
      </c>
      <c r="O619" s="45">
        <f>IFERROR(__xludf.DUMMYFUNCTION("""COMPUTED_VALUE"""),45139.0)</f>
        <v>45139</v>
      </c>
      <c r="P619" s="45">
        <f>IFERROR(__xludf.DUMMYFUNCTION("""COMPUTED_VALUE"""),45181.0)</f>
        <v>45181</v>
      </c>
      <c r="Q619" s="45">
        <f>IFERROR(__xludf.DUMMYFUNCTION("""COMPUTED_VALUE"""),45145.0)</f>
        <v>45145</v>
      </c>
      <c r="R619" s="45">
        <f>IFERROR(__xludf.DUMMYFUNCTION("""COMPUTED_VALUE"""),45181.0)</f>
        <v>45181</v>
      </c>
      <c r="S619" s="43"/>
      <c r="T619" s="43"/>
      <c r="U619" s="43" t="str">
        <f>IFERROR(__xludf.DUMMYFUNCTION("""COMPUTED_VALUE"""),"On The Map")</f>
        <v>On The Map</v>
      </c>
      <c r="V619" s="43" t="str">
        <f>IFERROR(__xludf.DUMMYFUNCTION("""COMPUTED_VALUE"""),"ADANA")</f>
        <v>ADANA</v>
      </c>
      <c r="W619" s="43" t="str">
        <f>IFERROR(__xludf.DUMMYFUNCTION("""COMPUTED_VALUE"""),"2023-04-24T22:16:27Z")</f>
        <v>2023-04-24T22:16:27Z</v>
      </c>
      <c r="X619" s="43"/>
      <c r="Y619" s="43"/>
      <c r="Z619" s="43"/>
    </row>
    <row r="620" hidden="1">
      <c r="A620" s="43" t="str">
        <f>IFERROR(__xludf.DUMMYFUNCTION("""COMPUTED_VALUE"""),"5248511_1289984")</f>
        <v>5248511_1289984</v>
      </c>
      <c r="B620" s="43" t="str">
        <f>IFERROR(__xludf.DUMMYFUNCTION("""COMPUTED_VALUE"""),"Erva Özden")</f>
        <v>Erva Özden</v>
      </c>
      <c r="C620" s="43" t="str">
        <f>IFERROR(__xludf.DUMMYFUNCTION("""COMPUTED_VALUE"""),"completed")</f>
        <v>completed</v>
      </c>
      <c r="D620" s="43" t="str">
        <f>IFERROR(__xludf.DUMMYFUNCTION("""COMPUTED_VALUE"""),"No")</f>
        <v>No</v>
      </c>
      <c r="E620" s="43" t="str">
        <f>IFERROR(__xludf.DUMMYFUNCTION("""COMPUTED_VALUE"""),"p_2d813e52c004d0d77509affe371d78a759650cbd@inbound.aiesec.org")</f>
        <v>p_2d813e52c004d0d77509affe371d78a759650cbd@inbound.aiesec.org</v>
      </c>
      <c r="F620" s="43">
        <f>IFERROR(__xludf.DUMMYFUNCTION("""COMPUTED_VALUE"""),5.458124243E9)</f>
        <v>5458124243</v>
      </c>
      <c r="G620" s="43" t="str">
        <f>IFERROR(__xludf.DUMMYFUNCTION("""COMPUTED_VALUE"""),"Turkey")</f>
        <v>Turkey</v>
      </c>
      <c r="H620" s="43" t="str">
        <f>IFERROR(__xludf.DUMMYFUNCTION("""COMPUTED_VALUE"""),"ANKARA")</f>
        <v>ANKARA</v>
      </c>
      <c r="I620" s="43" t="str">
        <f>IFERROR(__xludf.DUMMYFUNCTION("""COMPUTED_VALUE"""),"India")</f>
        <v>India</v>
      </c>
      <c r="J620" s="43" t="str">
        <f>IFERROR(__xludf.DUMMYFUNCTION("""COMPUTED_VALUE"""),"Mumbai")</f>
        <v>Mumbai</v>
      </c>
      <c r="K620" s="44" t="str">
        <f>IFERROR(__xludf.DUMMYFUNCTION("""COMPUTED_VALUE"""),"https://expa.aiesec.org/opportunities/1289984")</f>
        <v>https://expa.aiesec.org/opportunities/1289984</v>
      </c>
      <c r="L620" s="43" t="str">
        <f>IFERROR(__xludf.DUMMYFUNCTION("""COMPUTED_VALUE"""),"GV")</f>
        <v>GV</v>
      </c>
      <c r="M620" s="43" t="str">
        <f>IFERROR(__xludf.DUMMYFUNCTION("""COMPUTED_VALUE"""),"short")</f>
        <v>short</v>
      </c>
      <c r="N620" s="45">
        <f>IFERROR(__xludf.DUMMYFUNCTION("""COMPUTED_VALUE"""),45049.0)</f>
        <v>45049</v>
      </c>
      <c r="O620" s="45">
        <f>IFERROR(__xludf.DUMMYFUNCTION("""COMPUTED_VALUE"""),45170.0)</f>
        <v>45170</v>
      </c>
      <c r="P620" s="45">
        <f>IFERROR(__xludf.DUMMYFUNCTION("""COMPUTED_VALUE"""),45212.0)</f>
        <v>45212</v>
      </c>
      <c r="Q620" s="45">
        <f>IFERROR(__xludf.DUMMYFUNCTION("""COMPUTED_VALUE"""),45171.0)</f>
        <v>45171</v>
      </c>
      <c r="R620" s="45">
        <f>IFERROR(__xludf.DUMMYFUNCTION("""COMPUTED_VALUE"""),45212.0)</f>
        <v>45212</v>
      </c>
      <c r="S620" s="43"/>
      <c r="T620" s="43"/>
      <c r="U620" s="43" t="str">
        <f>IFERROR(__xludf.DUMMYFUNCTION("""COMPUTED_VALUE"""),"Global Classroom")</f>
        <v>Global Classroom</v>
      </c>
      <c r="V620" s="43" t="str">
        <f>IFERROR(__xludf.DUMMYFUNCTION("""COMPUTED_VALUE"""),"ISTANBUL - BAKIRKOY")</f>
        <v>ISTANBUL - BAKIRKOY</v>
      </c>
      <c r="W620" s="43" t="str">
        <f>IFERROR(__xludf.DUMMYFUNCTION("""COMPUTED_VALUE"""),"2023-04-24T18:16:45Z")</f>
        <v>2023-04-24T18:16:45Z</v>
      </c>
      <c r="X620" s="43"/>
      <c r="Y620" s="43"/>
      <c r="Z620" s="43"/>
    </row>
    <row r="621" hidden="1">
      <c r="A621" s="43" t="str">
        <f>IFERROR(__xludf.DUMMYFUNCTION("""COMPUTED_VALUE"""),"5245936_1286553")</f>
        <v>5245936_1286553</v>
      </c>
      <c r="B621" s="43" t="str">
        <f>IFERROR(__xludf.DUMMYFUNCTION("""COMPUTED_VALUE"""),"Selin Kurt")</f>
        <v>Selin Kurt</v>
      </c>
      <c r="C621" s="43" t="str">
        <f>IFERROR(__xludf.DUMMYFUNCTION("""COMPUTED_VALUE"""),"completed")</f>
        <v>completed</v>
      </c>
      <c r="D621" s="43" t="str">
        <f>IFERROR(__xludf.DUMMYFUNCTION("""COMPUTED_VALUE"""),"No")</f>
        <v>No</v>
      </c>
      <c r="E621" s="43" t="str">
        <f>IFERROR(__xludf.DUMMYFUNCTION("""COMPUTED_VALUE"""),"p_58ce3f6dbb2f1c861cc32fe781893a1e779f5b96@inbound.aiesec.org")</f>
        <v>p_58ce3f6dbb2f1c861cc32fe781893a1e779f5b96@inbound.aiesec.org</v>
      </c>
      <c r="F621" s="43">
        <f>IFERROR(__xludf.DUMMYFUNCTION("""COMPUTED_VALUE"""),5.078882787E9)</f>
        <v>5078882787</v>
      </c>
      <c r="G621" s="43" t="str">
        <f>IFERROR(__xludf.DUMMYFUNCTION("""COMPUTED_VALUE"""),"Turkey")</f>
        <v>Turkey</v>
      </c>
      <c r="H621" s="43" t="str">
        <f>IFERROR(__xludf.DUMMYFUNCTION("""COMPUTED_VALUE"""),"ISTANBUL ASIA")</f>
        <v>ISTANBUL ASIA</v>
      </c>
      <c r="I621" s="43" t="str">
        <f>IFERROR(__xludf.DUMMYFUNCTION("""COMPUTED_VALUE"""),"Sri Lanka")</f>
        <v>Sri Lanka</v>
      </c>
      <c r="J621" s="43" t="str">
        <f>IFERROR(__xludf.DUMMYFUNCTION("""COMPUTED_VALUE"""),"COLOMBO SOUTH")</f>
        <v>COLOMBO SOUTH</v>
      </c>
      <c r="K621" s="44" t="str">
        <f>IFERROR(__xludf.DUMMYFUNCTION("""COMPUTED_VALUE"""),"https://expa.aiesec.org/opportunities/1286553")</f>
        <v>https://expa.aiesec.org/opportunities/1286553</v>
      </c>
      <c r="L621" s="43" t="str">
        <f>IFERROR(__xludf.DUMMYFUNCTION("""COMPUTED_VALUE"""),"GV")</f>
        <v>GV</v>
      </c>
      <c r="M621" s="43" t="str">
        <f>IFERROR(__xludf.DUMMYFUNCTION("""COMPUTED_VALUE"""),"short")</f>
        <v>short</v>
      </c>
      <c r="N621" s="45">
        <f>IFERROR(__xludf.DUMMYFUNCTION("""COMPUTED_VALUE"""),45049.0)</f>
        <v>45049</v>
      </c>
      <c r="O621" s="45">
        <f>IFERROR(__xludf.DUMMYFUNCTION("""COMPUTED_VALUE"""),45102.0)</f>
        <v>45102</v>
      </c>
      <c r="P621" s="45">
        <f>IFERROR(__xludf.DUMMYFUNCTION("""COMPUTED_VALUE"""),45144.0)</f>
        <v>45144</v>
      </c>
      <c r="Q621" s="45">
        <f>IFERROR(__xludf.DUMMYFUNCTION("""COMPUTED_VALUE"""),45108.0)</f>
        <v>45108</v>
      </c>
      <c r="R621" s="45">
        <f>IFERROR(__xludf.DUMMYFUNCTION("""COMPUTED_VALUE"""),45148.0)</f>
        <v>45148</v>
      </c>
      <c r="S621" s="43"/>
      <c r="T621" s="43"/>
      <c r="U621" s="43" t="str">
        <f>IFERROR(__xludf.DUMMYFUNCTION("""COMPUTED_VALUE"""),"Global Classroom")</f>
        <v>Global Classroom</v>
      </c>
      <c r="V621" s="43" t="str">
        <f>IFERROR(__xludf.DUMMYFUNCTION("""COMPUTED_VALUE"""),"ISTANBUL - BEYOGLU")</f>
        <v>ISTANBUL - BEYOGLU</v>
      </c>
      <c r="W621" s="43" t="str">
        <f>IFERROR(__xludf.DUMMYFUNCTION("""COMPUTED_VALUE"""),"2023-04-20T09:04:50Z")</f>
        <v>2023-04-20T09:04:50Z</v>
      </c>
      <c r="X621" s="43"/>
      <c r="Y621" s="43"/>
      <c r="Z621" s="43"/>
    </row>
    <row r="622" hidden="1">
      <c r="A622" s="43" t="str">
        <f>IFERROR(__xludf.DUMMYFUNCTION("""COMPUTED_VALUE"""),"5241777_1293645")</f>
        <v>5241777_1293645</v>
      </c>
      <c r="B622" s="43" t="str">
        <f>IFERROR(__xludf.DUMMYFUNCTION("""COMPUTED_VALUE"""),"Pelin Ekler")</f>
        <v>Pelin Ekler</v>
      </c>
      <c r="C622" s="43" t="str">
        <f>IFERROR(__xludf.DUMMYFUNCTION("""COMPUTED_VALUE"""),"completed")</f>
        <v>completed</v>
      </c>
      <c r="D622" s="43" t="str">
        <f>IFERROR(__xludf.DUMMYFUNCTION("""COMPUTED_VALUE"""),"No")</f>
        <v>No</v>
      </c>
      <c r="E622" s="43" t="str">
        <f>IFERROR(__xludf.DUMMYFUNCTION("""COMPUTED_VALUE"""),"p_751771332649812fc512ef5a7a21b21af8d63a0f@inbound.aiesec.org")</f>
        <v>p_751771332649812fc512ef5a7a21b21af8d63a0f@inbound.aiesec.org</v>
      </c>
      <c r="F622" s="43">
        <f>IFERROR(__xludf.DUMMYFUNCTION("""COMPUTED_VALUE"""),5.330585094E9)</f>
        <v>5330585094</v>
      </c>
      <c r="G622" s="43" t="str">
        <f>IFERROR(__xludf.DUMMYFUNCTION("""COMPUTED_VALUE"""),"Turkey")</f>
        <v>Turkey</v>
      </c>
      <c r="H622" s="43" t="str">
        <f>IFERROR(__xludf.DUMMYFUNCTION("""COMPUTED_VALUE"""),"ANKARA")</f>
        <v>ANKARA</v>
      </c>
      <c r="I622" s="43" t="str">
        <f>IFERROR(__xludf.DUMMYFUNCTION("""COMPUTED_VALUE"""),"Tunisia")</f>
        <v>Tunisia</v>
      </c>
      <c r="J622" s="43" t="str">
        <f>IFERROR(__xludf.DUMMYFUNCTION("""COMPUTED_VALUE"""),"HADRUMET")</f>
        <v>HADRUMET</v>
      </c>
      <c r="K622" s="44" t="str">
        <f>IFERROR(__xludf.DUMMYFUNCTION("""COMPUTED_VALUE"""),"https://expa.aiesec.org/opportunities/1293645")</f>
        <v>https://expa.aiesec.org/opportunities/1293645</v>
      </c>
      <c r="L622" s="43" t="str">
        <f>IFERROR(__xludf.DUMMYFUNCTION("""COMPUTED_VALUE"""),"GV")</f>
        <v>GV</v>
      </c>
      <c r="M622" s="43" t="str">
        <f>IFERROR(__xludf.DUMMYFUNCTION("""COMPUTED_VALUE"""),"short")</f>
        <v>short</v>
      </c>
      <c r="N622" s="45">
        <f>IFERROR(__xludf.DUMMYFUNCTION("""COMPUTED_VALUE"""),45049.0)</f>
        <v>45049</v>
      </c>
      <c r="O622" s="45">
        <f>IFERROR(__xludf.DUMMYFUNCTION("""COMPUTED_VALUE"""),45110.0)</f>
        <v>45110</v>
      </c>
      <c r="P622" s="45">
        <f>IFERROR(__xludf.DUMMYFUNCTION("""COMPUTED_VALUE"""),45152.0)</f>
        <v>45152</v>
      </c>
      <c r="Q622" s="45">
        <f>IFERROR(__xludf.DUMMYFUNCTION("""COMPUTED_VALUE"""),45110.0)</f>
        <v>45110</v>
      </c>
      <c r="R622" s="45">
        <f>IFERROR(__xludf.DUMMYFUNCTION("""COMPUTED_VALUE"""),45152.0)</f>
        <v>45152</v>
      </c>
      <c r="S622" s="43"/>
      <c r="T622" s="43"/>
      <c r="U622" s="43" t="str">
        <f>IFERROR(__xludf.DUMMYFUNCTION("""COMPUTED_VALUE"""),"Green Leaders")</f>
        <v>Green Leaders</v>
      </c>
      <c r="V622" s="43" t="str">
        <f>IFERROR(__xludf.DUMMYFUNCTION("""COMPUTED_VALUE"""),"ANKARA")</f>
        <v>ANKARA</v>
      </c>
      <c r="W622" s="43" t="str">
        <f>IFERROR(__xludf.DUMMYFUNCTION("""COMPUTED_VALUE"""),"2023-04-14T06:55:28Z")</f>
        <v>2023-04-14T06:55:28Z</v>
      </c>
      <c r="X622" s="43"/>
      <c r="Y622" s="43"/>
      <c r="Z622" s="43"/>
    </row>
    <row r="623" hidden="1">
      <c r="A623" s="43" t="str">
        <f>IFERROR(__xludf.DUMMYFUNCTION("""COMPUTED_VALUE"""),"5255704_1291395")</f>
        <v>5255704_1291395</v>
      </c>
      <c r="B623" s="43" t="str">
        <f>IFERROR(__xludf.DUMMYFUNCTION("""COMPUTED_VALUE"""),"Ramazan Şahin")</f>
        <v>Ramazan Şahin</v>
      </c>
      <c r="C623" s="43" t="str">
        <f>IFERROR(__xludf.DUMMYFUNCTION("""COMPUTED_VALUE"""),"approved")</f>
        <v>approved</v>
      </c>
      <c r="D623" s="43" t="str">
        <f>IFERROR(__xludf.DUMMYFUNCTION("""COMPUTED_VALUE"""),"No")</f>
        <v>No</v>
      </c>
      <c r="E623" s="43" t="str">
        <f>IFERROR(__xludf.DUMMYFUNCTION("""COMPUTED_VALUE"""),"p_f0d033fbd70554fc0c7d2721578860136af93c72@inbound.aiesec.org")</f>
        <v>p_f0d033fbd70554fc0c7d2721578860136af93c72@inbound.aiesec.org</v>
      </c>
      <c r="F623" s="43">
        <f>IFERROR(__xludf.DUMMYFUNCTION("""COMPUTED_VALUE"""),5.466632166E9)</f>
        <v>5466632166</v>
      </c>
      <c r="G623" s="43" t="str">
        <f>IFERROR(__xludf.DUMMYFUNCTION("""COMPUTED_VALUE"""),"Turkey")</f>
        <v>Turkey</v>
      </c>
      <c r="H623" s="43" t="str">
        <f>IFERROR(__xludf.DUMMYFUNCTION("""COMPUTED_VALUE"""),"İZMİR")</f>
        <v>İZMİR</v>
      </c>
      <c r="I623" s="43" t="str">
        <f>IFERROR(__xludf.DUMMYFUNCTION("""COMPUTED_VALUE"""),"Egypt")</f>
        <v>Egypt</v>
      </c>
      <c r="J623" s="43" t="str">
        <f>IFERROR(__xludf.DUMMYFUNCTION("""COMPUTED_VALUE"""),"Menofia")</f>
        <v>Menofia</v>
      </c>
      <c r="K623" s="44" t="str">
        <f>IFERROR(__xludf.DUMMYFUNCTION("""COMPUTED_VALUE"""),"https://expa.aiesec.org/opportunities/1291395")</f>
        <v>https://expa.aiesec.org/opportunities/1291395</v>
      </c>
      <c r="L623" s="43" t="str">
        <f>IFERROR(__xludf.DUMMYFUNCTION("""COMPUTED_VALUE"""),"GV")</f>
        <v>GV</v>
      </c>
      <c r="M623" s="43" t="str">
        <f>IFERROR(__xludf.DUMMYFUNCTION("""COMPUTED_VALUE"""),"short")</f>
        <v>short</v>
      </c>
      <c r="N623" s="45">
        <f>IFERROR(__xludf.DUMMYFUNCTION("""COMPUTED_VALUE"""),45050.0)</f>
        <v>45050</v>
      </c>
      <c r="O623" s="45">
        <f>IFERROR(__xludf.DUMMYFUNCTION("""COMPUTED_VALUE"""),45184.0)</f>
        <v>45184</v>
      </c>
      <c r="P623" s="45">
        <f>IFERROR(__xludf.DUMMYFUNCTION("""COMPUTED_VALUE"""),45226.0)</f>
        <v>45226</v>
      </c>
      <c r="Q623" s="45"/>
      <c r="R623" s="45"/>
      <c r="S623" s="43"/>
      <c r="T623" s="43"/>
      <c r="U623" s="43" t="str">
        <f>IFERROR(__xludf.DUMMYFUNCTION("""COMPUTED_VALUE"""),"Global Classroom")</f>
        <v>Global Classroom</v>
      </c>
      <c r="V623" s="43" t="str">
        <f>IFERROR(__xludf.DUMMYFUNCTION("""COMPUTED_VALUE"""),"IZMIR")</f>
        <v>IZMIR</v>
      </c>
      <c r="W623" s="43" t="str">
        <f>IFERROR(__xludf.DUMMYFUNCTION("""COMPUTED_VALUE"""),"2023-05-04T12:12:20Z")</f>
        <v>2023-05-04T12:12:20Z</v>
      </c>
      <c r="X623" s="43"/>
      <c r="Y623" s="43"/>
      <c r="Z623" s="43"/>
    </row>
    <row r="624" hidden="1">
      <c r="A624" s="43" t="str">
        <f>IFERROR(__xludf.DUMMYFUNCTION("""COMPUTED_VALUE"""),"5255430_1290282")</f>
        <v>5255430_1290282</v>
      </c>
      <c r="B624" s="43" t="str">
        <f>IFERROR(__xludf.DUMMYFUNCTION("""COMPUTED_VALUE"""),"özcan ömer özgür")</f>
        <v>özcan ömer özgür</v>
      </c>
      <c r="C624" s="43" t="str">
        <f>IFERROR(__xludf.DUMMYFUNCTION("""COMPUTED_VALUE"""),"completed")</f>
        <v>completed</v>
      </c>
      <c r="D624" s="43" t="str">
        <f>IFERROR(__xludf.DUMMYFUNCTION("""COMPUTED_VALUE"""),"No")</f>
        <v>No</v>
      </c>
      <c r="E624" s="43" t="str">
        <f>IFERROR(__xludf.DUMMYFUNCTION("""COMPUTED_VALUE"""),"p_f01a90f3d4530c67455ba4db51d1391bdebe9304@inbound.aiesec.org")</f>
        <v>p_f01a90f3d4530c67455ba4db51d1391bdebe9304@inbound.aiesec.org</v>
      </c>
      <c r="F624" s="43">
        <f>IFERROR(__xludf.DUMMYFUNCTION("""COMPUTED_VALUE"""),5.465866836E9)</f>
        <v>5465866836</v>
      </c>
      <c r="G624" s="43" t="str">
        <f>IFERROR(__xludf.DUMMYFUNCTION("""COMPUTED_VALUE"""),"Turkey")</f>
        <v>Turkey</v>
      </c>
      <c r="H624" s="43" t="str">
        <f>IFERROR(__xludf.DUMMYFUNCTION("""COMPUTED_VALUE"""),"ESKISEHIR")</f>
        <v>ESKISEHIR</v>
      </c>
      <c r="I624" s="43" t="str">
        <f>IFERROR(__xludf.DUMMYFUNCTION("""COMPUTED_VALUE"""),"Egypt")</f>
        <v>Egypt</v>
      </c>
      <c r="J624" s="43" t="str">
        <f>IFERROR(__xludf.DUMMYFUNCTION("""COMPUTED_VALUE"""),"GUC")</f>
        <v>GUC</v>
      </c>
      <c r="K624" s="44" t="str">
        <f>IFERROR(__xludf.DUMMYFUNCTION("""COMPUTED_VALUE"""),"https://expa.aiesec.org/opportunities/1290282")</f>
        <v>https://expa.aiesec.org/opportunities/1290282</v>
      </c>
      <c r="L624" s="43" t="str">
        <f>IFERROR(__xludf.DUMMYFUNCTION("""COMPUTED_VALUE"""),"GV")</f>
        <v>GV</v>
      </c>
      <c r="M624" s="43" t="str">
        <f>IFERROR(__xludf.DUMMYFUNCTION("""COMPUTED_VALUE"""),"short")</f>
        <v>short</v>
      </c>
      <c r="N624" s="45">
        <f>IFERROR(__xludf.DUMMYFUNCTION("""COMPUTED_VALUE"""),45050.0)</f>
        <v>45050</v>
      </c>
      <c r="O624" s="45">
        <f>IFERROR(__xludf.DUMMYFUNCTION("""COMPUTED_VALUE"""),45122.0)</f>
        <v>45122</v>
      </c>
      <c r="P624" s="45">
        <f>IFERROR(__xludf.DUMMYFUNCTION("""COMPUTED_VALUE"""),45164.0)</f>
        <v>45164</v>
      </c>
      <c r="Q624" s="45">
        <f>IFERROR(__xludf.DUMMYFUNCTION("""COMPUTED_VALUE"""),45122.0)</f>
        <v>45122</v>
      </c>
      <c r="R624" s="45">
        <f>IFERROR(__xludf.DUMMYFUNCTION("""COMPUTED_VALUE"""),45164.0)</f>
        <v>45164</v>
      </c>
      <c r="S624" s="43"/>
      <c r="T624" s="43"/>
      <c r="U624" s="43" t="str">
        <f>IFERROR(__xludf.DUMMYFUNCTION("""COMPUTED_VALUE"""),"On The Map")</f>
        <v>On The Map</v>
      </c>
      <c r="V624" s="43" t="str">
        <f>IFERROR(__xludf.DUMMYFUNCTION("""COMPUTED_VALUE"""),"ESKISEHIR")</f>
        <v>ESKISEHIR</v>
      </c>
      <c r="W624" s="43" t="str">
        <f>IFERROR(__xludf.DUMMYFUNCTION("""COMPUTED_VALUE"""),"2023-05-03T22:12:09Z")</f>
        <v>2023-05-03T22:12:09Z</v>
      </c>
      <c r="X624" s="43"/>
      <c r="Y624" s="43"/>
      <c r="Z624" s="43"/>
    </row>
    <row r="625" hidden="1">
      <c r="A625" s="43" t="str">
        <f>IFERROR(__xludf.DUMMYFUNCTION("""COMPUTED_VALUE"""),"5255015_1293463")</f>
        <v>5255015_1293463</v>
      </c>
      <c r="B625" s="43" t="str">
        <f>IFERROR(__xludf.DUMMYFUNCTION("""COMPUTED_VALUE"""),"Fatma Nur Uzun")</f>
        <v>Fatma Nur Uzun</v>
      </c>
      <c r="C625" s="43" t="str">
        <f>IFERROR(__xludf.DUMMYFUNCTION("""COMPUTED_VALUE"""),"approved")</f>
        <v>approved</v>
      </c>
      <c r="D625" s="43" t="str">
        <f>IFERROR(__xludf.DUMMYFUNCTION("""COMPUTED_VALUE"""),"No")</f>
        <v>No</v>
      </c>
      <c r="E625" s="43" t="str">
        <f>IFERROR(__xludf.DUMMYFUNCTION("""COMPUTED_VALUE"""),"p_7d19e2913fd7a04a5bd20ca15be6a928aa2a5e75@inbound.aiesec.org")</f>
        <v>p_7d19e2913fd7a04a5bd20ca15be6a928aa2a5e75@inbound.aiesec.org</v>
      </c>
      <c r="F625" s="43">
        <f>IFERROR(__xludf.DUMMYFUNCTION("""COMPUTED_VALUE"""),5.053597711E9)</f>
        <v>5053597711</v>
      </c>
      <c r="G625" s="43" t="str">
        <f>IFERROR(__xludf.DUMMYFUNCTION("""COMPUTED_VALUE"""),"Turkey")</f>
        <v>Turkey</v>
      </c>
      <c r="H625" s="43" t="str">
        <f>IFERROR(__xludf.DUMMYFUNCTION("""COMPUTED_VALUE"""),"KONYA")</f>
        <v>KONYA</v>
      </c>
      <c r="I625" s="43" t="str">
        <f>IFERROR(__xludf.DUMMYFUNCTION("""COMPUTED_VALUE"""),"Egypt")</f>
        <v>Egypt</v>
      </c>
      <c r="J625" s="43" t="str">
        <f>IFERROR(__xludf.DUMMYFUNCTION("""COMPUTED_VALUE"""),"Tanta")</f>
        <v>Tanta</v>
      </c>
      <c r="K625" s="44" t="str">
        <f>IFERROR(__xludf.DUMMYFUNCTION("""COMPUTED_VALUE"""),"https://expa.aiesec.org/opportunities/1293463")</f>
        <v>https://expa.aiesec.org/opportunities/1293463</v>
      </c>
      <c r="L625" s="43" t="str">
        <f>IFERROR(__xludf.DUMMYFUNCTION("""COMPUTED_VALUE"""),"GV")</f>
        <v>GV</v>
      </c>
      <c r="M625" s="43" t="str">
        <f>IFERROR(__xludf.DUMMYFUNCTION("""COMPUTED_VALUE"""),"short")</f>
        <v>short</v>
      </c>
      <c r="N625" s="45">
        <f>IFERROR(__xludf.DUMMYFUNCTION("""COMPUTED_VALUE"""),45050.0)</f>
        <v>45050</v>
      </c>
      <c r="O625" s="45">
        <f>IFERROR(__xludf.DUMMYFUNCTION("""COMPUTED_VALUE"""),45139.0)</f>
        <v>45139</v>
      </c>
      <c r="P625" s="45">
        <f>IFERROR(__xludf.DUMMYFUNCTION("""COMPUTED_VALUE"""),45181.0)</f>
        <v>45181</v>
      </c>
      <c r="Q625" s="45"/>
      <c r="R625" s="45"/>
      <c r="S625" s="43"/>
      <c r="T625" s="43"/>
      <c r="U625" s="43" t="str">
        <f>IFERROR(__xludf.DUMMYFUNCTION("""COMPUTED_VALUE"""),"Green Leaders")</f>
        <v>Green Leaders</v>
      </c>
      <c r="V625" s="43" t="str">
        <f>IFERROR(__xludf.DUMMYFUNCTION("""COMPUTED_VALUE"""),"KONYA")</f>
        <v>KONYA</v>
      </c>
      <c r="W625" s="43" t="str">
        <f>IFERROR(__xludf.DUMMYFUNCTION("""COMPUTED_VALUE"""),"2023-05-03T11:42:32Z")</f>
        <v>2023-05-03T11:42:32Z</v>
      </c>
      <c r="X625" s="43"/>
      <c r="Y625" s="43"/>
      <c r="Z625" s="43"/>
    </row>
    <row r="626" hidden="1">
      <c r="A626" s="43" t="str">
        <f>IFERROR(__xludf.DUMMYFUNCTION("""COMPUTED_VALUE"""),"5170154_1290282")</f>
        <v>5170154_1290282</v>
      </c>
      <c r="B626" s="43" t="str">
        <f>IFERROR(__xludf.DUMMYFUNCTION("""COMPUTED_VALUE"""),"melis rüzgar")</f>
        <v>melis rüzgar</v>
      </c>
      <c r="C626" s="43" t="str">
        <f>IFERROR(__xludf.DUMMYFUNCTION("""COMPUTED_VALUE"""),"completed")</f>
        <v>completed</v>
      </c>
      <c r="D626" s="43" t="str">
        <f>IFERROR(__xludf.DUMMYFUNCTION("""COMPUTED_VALUE"""),"No")</f>
        <v>No</v>
      </c>
      <c r="E626" s="43" t="str">
        <f>IFERROR(__xludf.DUMMYFUNCTION("""COMPUTED_VALUE"""),"p_47653cac4c966613ffd5b55f63262ccc1c29dc63@inbound.aiesec.org")</f>
        <v>p_47653cac4c966613ffd5b55f63262ccc1c29dc63@inbound.aiesec.org</v>
      </c>
      <c r="F626" s="43">
        <f>IFERROR(__xludf.DUMMYFUNCTION("""COMPUTED_VALUE"""),5.305942838E9)</f>
        <v>5305942838</v>
      </c>
      <c r="G626" s="43" t="str">
        <f>IFERROR(__xludf.DUMMYFUNCTION("""COMPUTED_VALUE"""),"Turkey")</f>
        <v>Turkey</v>
      </c>
      <c r="H626" s="43" t="str">
        <f>IFERROR(__xludf.DUMMYFUNCTION("""COMPUTED_VALUE"""),"ESKISEHIR")</f>
        <v>ESKISEHIR</v>
      </c>
      <c r="I626" s="43" t="str">
        <f>IFERROR(__xludf.DUMMYFUNCTION("""COMPUTED_VALUE"""),"Egypt")</f>
        <v>Egypt</v>
      </c>
      <c r="J626" s="43" t="str">
        <f>IFERROR(__xludf.DUMMYFUNCTION("""COMPUTED_VALUE"""),"GUC")</f>
        <v>GUC</v>
      </c>
      <c r="K626" s="44" t="str">
        <f>IFERROR(__xludf.DUMMYFUNCTION("""COMPUTED_VALUE"""),"https://expa.aiesec.org/opportunities/1290282")</f>
        <v>https://expa.aiesec.org/opportunities/1290282</v>
      </c>
      <c r="L626" s="43" t="str">
        <f>IFERROR(__xludf.DUMMYFUNCTION("""COMPUTED_VALUE"""),"GV")</f>
        <v>GV</v>
      </c>
      <c r="M626" s="43" t="str">
        <f>IFERROR(__xludf.DUMMYFUNCTION("""COMPUTED_VALUE"""),"short")</f>
        <v>short</v>
      </c>
      <c r="N626" s="45">
        <f>IFERROR(__xludf.DUMMYFUNCTION("""COMPUTED_VALUE"""),45050.0)</f>
        <v>45050</v>
      </c>
      <c r="O626" s="45">
        <f>IFERROR(__xludf.DUMMYFUNCTION("""COMPUTED_VALUE"""),45122.0)</f>
        <v>45122</v>
      </c>
      <c r="P626" s="45">
        <f>IFERROR(__xludf.DUMMYFUNCTION("""COMPUTED_VALUE"""),45164.0)</f>
        <v>45164</v>
      </c>
      <c r="Q626" s="45">
        <f>IFERROR(__xludf.DUMMYFUNCTION("""COMPUTED_VALUE"""),45122.0)</f>
        <v>45122</v>
      </c>
      <c r="R626" s="45">
        <f>IFERROR(__xludf.DUMMYFUNCTION("""COMPUTED_VALUE"""),45164.0)</f>
        <v>45164</v>
      </c>
      <c r="S626" s="43"/>
      <c r="T626" s="43"/>
      <c r="U626" s="43" t="str">
        <f>IFERROR(__xludf.DUMMYFUNCTION("""COMPUTED_VALUE"""),"On The Map")</f>
        <v>On The Map</v>
      </c>
      <c r="V626" s="43" t="str">
        <f>IFERROR(__xludf.DUMMYFUNCTION("""COMPUTED_VALUE"""),"ESKISEHIR")</f>
        <v>ESKISEHIR</v>
      </c>
      <c r="W626" s="43" t="str">
        <f>IFERROR(__xludf.DUMMYFUNCTION("""COMPUTED_VALUE"""),"2022-12-25T16:48:42Z")</f>
        <v>2022-12-25T16:48:42Z</v>
      </c>
      <c r="X626" s="43"/>
      <c r="Y626" s="43"/>
      <c r="Z626" s="43"/>
    </row>
    <row r="627" hidden="1">
      <c r="A627" s="43" t="str">
        <f>IFERROR(__xludf.DUMMYFUNCTION("""COMPUTED_VALUE"""),"5242121_1294357")</f>
        <v>5242121_1294357</v>
      </c>
      <c r="B627" s="43" t="str">
        <f>IFERROR(__xludf.DUMMYFUNCTION("""COMPUTED_VALUE"""),"Arda Ceylan")</f>
        <v>Arda Ceylan</v>
      </c>
      <c r="C627" s="43" t="str">
        <f>IFERROR(__xludf.DUMMYFUNCTION("""COMPUTED_VALUE"""),"completed")</f>
        <v>completed</v>
      </c>
      <c r="D627" s="43" t="str">
        <f>IFERROR(__xludf.DUMMYFUNCTION("""COMPUTED_VALUE"""),"No")</f>
        <v>No</v>
      </c>
      <c r="E627" s="43" t="str">
        <f>IFERROR(__xludf.DUMMYFUNCTION("""COMPUTED_VALUE"""),"p_f358e9a61e87c4f3ca6b0a837c9cc18994cc51a2@inbound.aiesec.org")</f>
        <v>p_f358e9a61e87c4f3ca6b0a837c9cc18994cc51a2@inbound.aiesec.org</v>
      </c>
      <c r="F627" s="43">
        <f>IFERROR(__xludf.DUMMYFUNCTION("""COMPUTED_VALUE"""),5.378648128E9)</f>
        <v>5378648128</v>
      </c>
      <c r="G627" s="43" t="str">
        <f>IFERROR(__xludf.DUMMYFUNCTION("""COMPUTED_VALUE"""),"Turkey")</f>
        <v>Turkey</v>
      </c>
      <c r="H627" s="43" t="str">
        <f>IFERROR(__xludf.DUMMYFUNCTION("""COMPUTED_VALUE"""),"ANKARA")</f>
        <v>ANKARA</v>
      </c>
      <c r="I627" s="43" t="str">
        <f>IFERROR(__xludf.DUMMYFUNCTION("""COMPUTED_VALUE"""),"Azerbaijan")</f>
        <v>Azerbaijan</v>
      </c>
      <c r="J627" s="43" t="str">
        <f>IFERROR(__xludf.DUMMYFUNCTION("""COMPUTED_VALUE"""),"Baku ADA")</f>
        <v>Baku ADA</v>
      </c>
      <c r="K627" s="44" t="str">
        <f>IFERROR(__xludf.DUMMYFUNCTION("""COMPUTED_VALUE"""),"https://expa.aiesec.org/opportunities/1294357")</f>
        <v>https://expa.aiesec.org/opportunities/1294357</v>
      </c>
      <c r="L627" s="43" t="str">
        <f>IFERROR(__xludf.DUMMYFUNCTION("""COMPUTED_VALUE"""),"GV")</f>
        <v>GV</v>
      </c>
      <c r="M627" s="43" t="str">
        <f>IFERROR(__xludf.DUMMYFUNCTION("""COMPUTED_VALUE"""),"short")</f>
        <v>short</v>
      </c>
      <c r="N627" s="45">
        <f>IFERROR(__xludf.DUMMYFUNCTION("""COMPUTED_VALUE"""),45050.0)</f>
        <v>45050</v>
      </c>
      <c r="O627" s="45">
        <f>IFERROR(__xludf.DUMMYFUNCTION("""COMPUTED_VALUE"""),45112.0)</f>
        <v>45112</v>
      </c>
      <c r="P627" s="45">
        <f>IFERROR(__xludf.DUMMYFUNCTION("""COMPUTED_VALUE"""),45154.0)</f>
        <v>45154</v>
      </c>
      <c r="Q627" s="45">
        <f>IFERROR(__xludf.DUMMYFUNCTION("""COMPUTED_VALUE"""),45114.0)</f>
        <v>45114</v>
      </c>
      <c r="R627" s="45">
        <f>IFERROR(__xludf.DUMMYFUNCTION("""COMPUTED_VALUE"""),45154.0)</f>
        <v>45154</v>
      </c>
      <c r="S627" s="43"/>
      <c r="T627" s="43"/>
      <c r="U627" s="43" t="str">
        <f>IFERROR(__xludf.DUMMYFUNCTION("""COMPUTED_VALUE"""),"Youth 4 Impact")</f>
        <v>Youth 4 Impact</v>
      </c>
      <c r="V627" s="43" t="str">
        <f>IFERROR(__xludf.DUMMYFUNCTION("""COMPUTED_VALUE"""),"ANKARA")</f>
        <v>ANKARA</v>
      </c>
      <c r="W627" s="43" t="str">
        <f>IFERROR(__xludf.DUMMYFUNCTION("""COMPUTED_VALUE"""),"2023-04-14T16:13:27Z")</f>
        <v>2023-04-14T16:13:27Z</v>
      </c>
      <c r="X627" s="43"/>
      <c r="Y627" s="43"/>
      <c r="Z627" s="43"/>
    </row>
    <row r="628" hidden="1">
      <c r="A628" s="43" t="str">
        <f>IFERROR(__xludf.DUMMYFUNCTION("""COMPUTED_VALUE"""),"5242148_1294234")</f>
        <v>5242148_1294234</v>
      </c>
      <c r="B628" s="43" t="str">
        <f>IFERROR(__xludf.DUMMYFUNCTION("""COMPUTED_VALUE"""),"Kaan Kulaksız")</f>
        <v>Kaan Kulaksız</v>
      </c>
      <c r="C628" s="43" t="str">
        <f>IFERROR(__xludf.DUMMYFUNCTION("""COMPUTED_VALUE"""),"completed")</f>
        <v>completed</v>
      </c>
      <c r="D628" s="43" t="str">
        <f>IFERROR(__xludf.DUMMYFUNCTION("""COMPUTED_VALUE"""),"No")</f>
        <v>No</v>
      </c>
      <c r="E628" s="43" t="str">
        <f>IFERROR(__xludf.DUMMYFUNCTION("""COMPUTED_VALUE"""),"p_1d290e9007f9baada0f180f9c6b4529dee501041@inbound.aiesec.org")</f>
        <v>p_1d290e9007f9baada0f180f9c6b4529dee501041@inbound.aiesec.org</v>
      </c>
      <c r="F628" s="43">
        <f>IFERROR(__xludf.DUMMYFUNCTION("""COMPUTED_VALUE"""),5.319187856E9)</f>
        <v>5319187856</v>
      </c>
      <c r="G628" s="43" t="str">
        <f>IFERROR(__xludf.DUMMYFUNCTION("""COMPUTED_VALUE"""),"Turkey")</f>
        <v>Turkey</v>
      </c>
      <c r="H628" s="43" t="str">
        <f>IFERROR(__xludf.DUMMYFUNCTION("""COMPUTED_VALUE"""),"ISTANBUL")</f>
        <v>ISTANBUL</v>
      </c>
      <c r="I628" s="43" t="str">
        <f>IFERROR(__xludf.DUMMYFUNCTION("""COMPUTED_VALUE"""),"Azerbaijan")</f>
        <v>Azerbaijan</v>
      </c>
      <c r="J628" s="43" t="str">
        <f>IFERROR(__xludf.DUMMYFUNCTION("""COMPUTED_VALUE"""),"Baku ADA")</f>
        <v>Baku ADA</v>
      </c>
      <c r="K628" s="44" t="str">
        <f>IFERROR(__xludf.DUMMYFUNCTION("""COMPUTED_VALUE"""),"https://expa.aiesec.org/opportunities/1294234")</f>
        <v>https://expa.aiesec.org/opportunities/1294234</v>
      </c>
      <c r="L628" s="43" t="str">
        <f>IFERROR(__xludf.DUMMYFUNCTION("""COMPUTED_VALUE"""),"GV")</f>
        <v>GV</v>
      </c>
      <c r="M628" s="43" t="str">
        <f>IFERROR(__xludf.DUMMYFUNCTION("""COMPUTED_VALUE"""),"short")</f>
        <v>short</v>
      </c>
      <c r="N628" s="45">
        <f>IFERROR(__xludf.DUMMYFUNCTION("""COMPUTED_VALUE"""),45050.0)</f>
        <v>45050</v>
      </c>
      <c r="O628" s="45">
        <f>IFERROR(__xludf.DUMMYFUNCTION("""COMPUTED_VALUE"""),45102.0)</f>
        <v>45102</v>
      </c>
      <c r="P628" s="45">
        <f>IFERROR(__xludf.DUMMYFUNCTION("""COMPUTED_VALUE"""),45144.0)</f>
        <v>45144</v>
      </c>
      <c r="Q628" s="45">
        <f>IFERROR(__xludf.DUMMYFUNCTION("""COMPUTED_VALUE"""),45103.0)</f>
        <v>45103</v>
      </c>
      <c r="R628" s="45">
        <f>IFERROR(__xludf.DUMMYFUNCTION("""COMPUTED_VALUE"""),45144.0)</f>
        <v>45144</v>
      </c>
      <c r="S628" s="43"/>
      <c r="T628" s="43"/>
      <c r="U628" s="43" t="str">
        <f>IFERROR(__xludf.DUMMYFUNCTION("""COMPUTED_VALUE"""),"Youth 4 Impact")</f>
        <v>Youth 4 Impact</v>
      </c>
      <c r="V628" s="43" t="str">
        <f>IFERROR(__xludf.DUMMYFUNCTION("""COMPUTED_VALUE"""),"ISTANBUL - BEYOGLU")</f>
        <v>ISTANBUL - BEYOGLU</v>
      </c>
      <c r="W628" s="43" t="str">
        <f>IFERROR(__xludf.DUMMYFUNCTION("""COMPUTED_VALUE"""),"2023-04-14T16:58:44Z")</f>
        <v>2023-04-14T16:58:44Z</v>
      </c>
      <c r="X628" s="43"/>
      <c r="Y628" s="43"/>
      <c r="Z628" s="43"/>
    </row>
    <row r="629" hidden="1">
      <c r="A629" s="43" t="str">
        <f>IFERROR(__xludf.DUMMYFUNCTION("""COMPUTED_VALUE"""),"5248900_1294522")</f>
        <v>5248900_1294522</v>
      </c>
      <c r="B629" s="43" t="str">
        <f>IFERROR(__xludf.DUMMYFUNCTION("""COMPUTED_VALUE"""),"Utku Taha Tokgöz")</f>
        <v>Utku Taha Tokgöz</v>
      </c>
      <c r="C629" s="43" t="str">
        <f>IFERROR(__xludf.DUMMYFUNCTION("""COMPUTED_VALUE"""),"approved")</f>
        <v>approved</v>
      </c>
      <c r="D629" s="43" t="str">
        <f>IFERROR(__xludf.DUMMYFUNCTION("""COMPUTED_VALUE"""),"No")</f>
        <v>No</v>
      </c>
      <c r="E629" s="43" t="str">
        <f>IFERROR(__xludf.DUMMYFUNCTION("""COMPUTED_VALUE"""),"p_9d44c4fcfea3e89388317f6690b048b8f80c5300@inbound.aiesec.org")</f>
        <v>p_9d44c4fcfea3e89388317f6690b048b8f80c5300@inbound.aiesec.org</v>
      </c>
      <c r="F629" s="43"/>
      <c r="G629" s="43" t="str">
        <f>IFERROR(__xludf.DUMMYFUNCTION("""COMPUTED_VALUE"""),"Turkey")</f>
        <v>Turkey</v>
      </c>
      <c r="H629" s="43" t="str">
        <f>IFERROR(__xludf.DUMMYFUNCTION("""COMPUTED_VALUE"""),"ADANA")</f>
        <v>ADANA</v>
      </c>
      <c r="I629" s="43" t="str">
        <f>IFERROR(__xludf.DUMMYFUNCTION("""COMPUTED_VALUE"""),"Egypt")</f>
        <v>Egypt</v>
      </c>
      <c r="J629" s="43" t="str">
        <f>IFERROR(__xludf.DUMMYFUNCTION("""COMPUTED_VALUE"""),"GUC")</f>
        <v>GUC</v>
      </c>
      <c r="K629" s="44" t="str">
        <f>IFERROR(__xludf.DUMMYFUNCTION("""COMPUTED_VALUE"""),"https://expa.aiesec.org/opportunities/1294522")</f>
        <v>https://expa.aiesec.org/opportunities/1294522</v>
      </c>
      <c r="L629" s="43" t="str">
        <f>IFERROR(__xludf.DUMMYFUNCTION("""COMPUTED_VALUE"""),"GV")</f>
        <v>GV</v>
      </c>
      <c r="M629" s="43" t="str">
        <f>IFERROR(__xludf.DUMMYFUNCTION("""COMPUTED_VALUE"""),"short")</f>
        <v>short</v>
      </c>
      <c r="N629" s="45">
        <f>IFERROR(__xludf.DUMMYFUNCTION("""COMPUTED_VALUE"""),45050.0)</f>
        <v>45050</v>
      </c>
      <c r="O629" s="45">
        <f>IFERROR(__xludf.DUMMYFUNCTION("""COMPUTED_VALUE"""),45139.0)</f>
        <v>45139</v>
      </c>
      <c r="P629" s="45">
        <f>IFERROR(__xludf.DUMMYFUNCTION("""COMPUTED_VALUE"""),45181.0)</f>
        <v>45181</v>
      </c>
      <c r="Q629" s="45"/>
      <c r="R629" s="45"/>
      <c r="S629" s="43"/>
      <c r="T629" s="43"/>
      <c r="U629" s="43" t="str">
        <f>IFERROR(__xludf.DUMMYFUNCTION("""COMPUTED_VALUE"""),"Global Classroom")</f>
        <v>Global Classroom</v>
      </c>
      <c r="V629" s="43" t="str">
        <f>IFERROR(__xludf.DUMMYFUNCTION("""COMPUTED_VALUE"""),"-")</f>
        <v>-</v>
      </c>
      <c r="W629" s="43" t="str">
        <f>IFERROR(__xludf.DUMMYFUNCTION("""COMPUTED_VALUE"""),"2023-04-25T08:45:11Z")</f>
        <v>2023-04-25T08:45:11Z</v>
      </c>
      <c r="X629" s="43"/>
      <c r="Y629" s="43"/>
      <c r="Z629" s="43"/>
    </row>
    <row r="630" hidden="1">
      <c r="A630" s="43" t="str">
        <f>IFERROR(__xludf.DUMMYFUNCTION("""COMPUTED_VALUE"""),"5254299_1294247")</f>
        <v>5254299_1294247</v>
      </c>
      <c r="B630" s="43" t="str">
        <f>IFERROR(__xludf.DUMMYFUNCTION("""COMPUTED_VALUE"""),"Onat Şenel")</f>
        <v>Onat Şenel</v>
      </c>
      <c r="C630" s="43" t="str">
        <f>IFERROR(__xludf.DUMMYFUNCTION("""COMPUTED_VALUE"""),"completed")</f>
        <v>completed</v>
      </c>
      <c r="D630" s="43" t="str">
        <f>IFERROR(__xludf.DUMMYFUNCTION("""COMPUTED_VALUE"""),"No")</f>
        <v>No</v>
      </c>
      <c r="E630" s="43" t="str">
        <f>IFERROR(__xludf.DUMMYFUNCTION("""COMPUTED_VALUE"""),"p_138d5e0e6dde49c197edcfadd65bb62fed88350a@inbound.aiesec.org")</f>
        <v>p_138d5e0e6dde49c197edcfadd65bb62fed88350a@inbound.aiesec.org</v>
      </c>
      <c r="F630" s="43">
        <f>IFERROR(__xludf.DUMMYFUNCTION("""COMPUTED_VALUE"""),5.54588993E9)</f>
        <v>5545889930</v>
      </c>
      <c r="G630" s="43" t="str">
        <f>IFERROR(__xludf.DUMMYFUNCTION("""COMPUTED_VALUE"""),"Turkey")</f>
        <v>Turkey</v>
      </c>
      <c r="H630" s="43" t="str">
        <f>IFERROR(__xludf.DUMMYFUNCTION("""COMPUTED_VALUE"""),"ESKISEHIR")</f>
        <v>ESKISEHIR</v>
      </c>
      <c r="I630" s="43" t="str">
        <f>IFERROR(__xludf.DUMMYFUNCTION("""COMPUTED_VALUE"""),"Romania")</f>
        <v>Romania</v>
      </c>
      <c r="J630" s="43" t="str">
        <f>IFERROR(__xludf.DUMMYFUNCTION("""COMPUTED_VALUE"""),"BUCURESTI")</f>
        <v>BUCURESTI</v>
      </c>
      <c r="K630" s="44" t="str">
        <f>IFERROR(__xludf.DUMMYFUNCTION("""COMPUTED_VALUE"""),"https://expa.aiesec.org/opportunities/1294247")</f>
        <v>https://expa.aiesec.org/opportunities/1294247</v>
      </c>
      <c r="L630" s="43" t="str">
        <f>IFERROR(__xludf.DUMMYFUNCTION("""COMPUTED_VALUE"""),"GV")</f>
        <v>GV</v>
      </c>
      <c r="M630" s="43" t="str">
        <f>IFERROR(__xludf.DUMMYFUNCTION("""COMPUTED_VALUE"""),"short")</f>
        <v>short</v>
      </c>
      <c r="N630" s="45">
        <f>IFERROR(__xludf.DUMMYFUNCTION("""COMPUTED_VALUE"""),45050.0)</f>
        <v>45050</v>
      </c>
      <c r="O630" s="45">
        <f>IFERROR(__xludf.DUMMYFUNCTION("""COMPUTED_VALUE"""),45096.0)</f>
        <v>45096</v>
      </c>
      <c r="P630" s="45">
        <f>IFERROR(__xludf.DUMMYFUNCTION("""COMPUTED_VALUE"""),45138.0)</f>
        <v>45138</v>
      </c>
      <c r="Q630" s="45">
        <f>IFERROR(__xludf.DUMMYFUNCTION("""COMPUTED_VALUE"""),45096.0)</f>
        <v>45096</v>
      </c>
      <c r="R630" s="45">
        <f>IFERROR(__xludf.DUMMYFUNCTION("""COMPUTED_VALUE"""),45138.0)</f>
        <v>45138</v>
      </c>
      <c r="S630" s="43"/>
      <c r="T630" s="43"/>
      <c r="U630" s="43" t="str">
        <f>IFERROR(__xludf.DUMMYFUNCTION("""COMPUTED_VALUE"""),"Global Classroom")</f>
        <v>Global Classroom</v>
      </c>
      <c r="V630" s="43" t="str">
        <f>IFERROR(__xludf.DUMMYFUNCTION("""COMPUTED_VALUE"""),"ESKISEHIR")</f>
        <v>ESKISEHIR</v>
      </c>
      <c r="W630" s="43" t="str">
        <f>IFERROR(__xludf.DUMMYFUNCTION("""COMPUTED_VALUE"""),"2023-05-02T13:37:57Z")</f>
        <v>2023-05-02T13:37:57Z</v>
      </c>
      <c r="X630" s="43"/>
      <c r="Y630" s="43"/>
      <c r="Z630" s="43"/>
    </row>
    <row r="631" hidden="1">
      <c r="A631" s="43" t="str">
        <f>IFERROR(__xludf.DUMMYFUNCTION("""COMPUTED_VALUE"""),"5242306_1288609")</f>
        <v>5242306_1288609</v>
      </c>
      <c r="B631" s="43" t="str">
        <f>IFERROR(__xludf.DUMMYFUNCTION("""COMPUTED_VALUE"""),"Mert Yasavul")</f>
        <v>Mert Yasavul</v>
      </c>
      <c r="C631" s="43" t="str">
        <f>IFERROR(__xludf.DUMMYFUNCTION("""COMPUTED_VALUE"""),"completed")</f>
        <v>completed</v>
      </c>
      <c r="D631" s="43" t="str">
        <f>IFERROR(__xludf.DUMMYFUNCTION("""COMPUTED_VALUE"""),"No")</f>
        <v>No</v>
      </c>
      <c r="E631" s="43" t="str">
        <f>IFERROR(__xludf.DUMMYFUNCTION("""COMPUTED_VALUE"""),"p_4cac3d6099863d4c465594284567e1a4664c38c2@inbound.aiesec.org")</f>
        <v>p_4cac3d6099863d4c465594284567e1a4664c38c2@inbound.aiesec.org</v>
      </c>
      <c r="F631" s="43"/>
      <c r="G631" s="43" t="str">
        <f>IFERROR(__xludf.DUMMYFUNCTION("""COMPUTED_VALUE"""),"Turkey")</f>
        <v>Turkey</v>
      </c>
      <c r="H631" s="43" t="str">
        <f>IFERROR(__xludf.DUMMYFUNCTION("""COMPUTED_VALUE"""),"ISPARTA")</f>
        <v>ISPARTA</v>
      </c>
      <c r="I631" s="43" t="str">
        <f>IFERROR(__xludf.DUMMYFUNCTION("""COMPUTED_VALUE"""),"Egypt")</f>
        <v>Egypt</v>
      </c>
      <c r="J631" s="43" t="str">
        <f>IFERROR(__xludf.DUMMYFUNCTION("""COMPUTED_VALUE"""),"Tanta")</f>
        <v>Tanta</v>
      </c>
      <c r="K631" s="44" t="str">
        <f>IFERROR(__xludf.DUMMYFUNCTION("""COMPUTED_VALUE"""),"https://expa.aiesec.org/opportunities/1288609")</f>
        <v>https://expa.aiesec.org/opportunities/1288609</v>
      </c>
      <c r="L631" s="43" t="str">
        <f>IFERROR(__xludf.DUMMYFUNCTION("""COMPUTED_VALUE"""),"GV")</f>
        <v>GV</v>
      </c>
      <c r="M631" s="43" t="str">
        <f>IFERROR(__xludf.DUMMYFUNCTION("""COMPUTED_VALUE"""),"short")</f>
        <v>short</v>
      </c>
      <c r="N631" s="45">
        <f>IFERROR(__xludf.DUMMYFUNCTION("""COMPUTED_VALUE"""),45050.0)</f>
        <v>45050</v>
      </c>
      <c r="O631" s="45">
        <f>IFERROR(__xludf.DUMMYFUNCTION("""COMPUTED_VALUE"""),45139.0)</f>
        <v>45139</v>
      </c>
      <c r="P631" s="45">
        <f>IFERROR(__xludf.DUMMYFUNCTION("""COMPUTED_VALUE"""),45181.0)</f>
        <v>45181</v>
      </c>
      <c r="Q631" s="45">
        <f>IFERROR(__xludf.DUMMYFUNCTION("""COMPUTED_VALUE"""),45140.0)</f>
        <v>45140</v>
      </c>
      <c r="R631" s="45">
        <f>IFERROR(__xludf.DUMMYFUNCTION("""COMPUTED_VALUE"""),45181.0)</f>
        <v>45181</v>
      </c>
      <c r="S631" s="43"/>
      <c r="T631" s="43"/>
      <c r="U631" s="43" t="str">
        <f>IFERROR(__xludf.DUMMYFUNCTION("""COMPUTED_VALUE"""),"On The Map")</f>
        <v>On The Map</v>
      </c>
      <c r="V631" s="43" t="str">
        <f>IFERROR(__xludf.DUMMYFUNCTION("""COMPUTED_VALUE"""),"-")</f>
        <v>-</v>
      </c>
      <c r="W631" s="43" t="str">
        <f>IFERROR(__xludf.DUMMYFUNCTION("""COMPUTED_VALUE"""),"2023-04-14T21:30:58Z")</f>
        <v>2023-04-14T21:30:58Z</v>
      </c>
      <c r="X631" s="43"/>
      <c r="Y631" s="43"/>
      <c r="Z631" s="43"/>
    </row>
    <row r="632" hidden="1">
      <c r="A632" s="43" t="str">
        <f>IFERROR(__xludf.DUMMYFUNCTION("""COMPUTED_VALUE"""),"5253931_1288609")</f>
        <v>5253931_1288609</v>
      </c>
      <c r="B632" s="43" t="str">
        <f>IFERROR(__xludf.DUMMYFUNCTION("""COMPUTED_VALUE"""),"Eray Tunç")</f>
        <v>Eray Tunç</v>
      </c>
      <c r="C632" s="43" t="str">
        <f>IFERROR(__xludf.DUMMYFUNCTION("""COMPUTED_VALUE"""),"approved")</f>
        <v>approved</v>
      </c>
      <c r="D632" s="43" t="str">
        <f>IFERROR(__xludf.DUMMYFUNCTION("""COMPUTED_VALUE"""),"No")</f>
        <v>No</v>
      </c>
      <c r="E632" s="43" t="str">
        <f>IFERROR(__xludf.DUMMYFUNCTION("""COMPUTED_VALUE"""),"p_789f86b1c447e3bef2d094185baba596eb5f50e7@inbound.aiesec.org")</f>
        <v>p_789f86b1c447e3bef2d094185baba596eb5f50e7@inbound.aiesec.org</v>
      </c>
      <c r="F632" s="43"/>
      <c r="G632" s="43" t="str">
        <f>IFERROR(__xludf.DUMMYFUNCTION("""COMPUTED_VALUE"""),"Turkey")</f>
        <v>Turkey</v>
      </c>
      <c r="H632" s="43" t="str">
        <f>IFERROR(__xludf.DUMMYFUNCTION("""COMPUTED_VALUE"""),"ISTANBUL")</f>
        <v>ISTANBUL</v>
      </c>
      <c r="I632" s="43" t="str">
        <f>IFERROR(__xludf.DUMMYFUNCTION("""COMPUTED_VALUE"""),"Egypt")</f>
        <v>Egypt</v>
      </c>
      <c r="J632" s="43" t="str">
        <f>IFERROR(__xludf.DUMMYFUNCTION("""COMPUTED_VALUE"""),"Tanta")</f>
        <v>Tanta</v>
      </c>
      <c r="K632" s="44" t="str">
        <f>IFERROR(__xludf.DUMMYFUNCTION("""COMPUTED_VALUE"""),"https://expa.aiesec.org/opportunities/1288609")</f>
        <v>https://expa.aiesec.org/opportunities/1288609</v>
      </c>
      <c r="L632" s="43" t="str">
        <f>IFERROR(__xludf.DUMMYFUNCTION("""COMPUTED_VALUE"""),"GV")</f>
        <v>GV</v>
      </c>
      <c r="M632" s="43" t="str">
        <f>IFERROR(__xludf.DUMMYFUNCTION("""COMPUTED_VALUE"""),"short")</f>
        <v>short</v>
      </c>
      <c r="N632" s="45">
        <f>IFERROR(__xludf.DUMMYFUNCTION("""COMPUTED_VALUE"""),45050.0)</f>
        <v>45050</v>
      </c>
      <c r="O632" s="45">
        <f>IFERROR(__xludf.DUMMYFUNCTION("""COMPUTED_VALUE"""),45139.0)</f>
        <v>45139</v>
      </c>
      <c r="P632" s="45">
        <f>IFERROR(__xludf.DUMMYFUNCTION("""COMPUTED_VALUE"""),45181.0)</f>
        <v>45181</v>
      </c>
      <c r="Q632" s="45"/>
      <c r="R632" s="45"/>
      <c r="S632" s="43"/>
      <c r="T632" s="43"/>
      <c r="U632" s="43" t="str">
        <f>IFERROR(__xludf.DUMMYFUNCTION("""COMPUTED_VALUE"""),"On The Map")</f>
        <v>On The Map</v>
      </c>
      <c r="V632" s="43" t="str">
        <f>IFERROR(__xludf.DUMMYFUNCTION("""COMPUTED_VALUE"""),"-")</f>
        <v>-</v>
      </c>
      <c r="W632" s="43" t="str">
        <f>IFERROR(__xludf.DUMMYFUNCTION("""COMPUTED_VALUE"""),"2023-05-01T21:21:01Z")</f>
        <v>2023-05-01T21:21:01Z</v>
      </c>
      <c r="X632" s="43"/>
      <c r="Y632" s="43"/>
      <c r="Z632" s="43"/>
    </row>
    <row r="633" hidden="1">
      <c r="A633" s="43" t="str">
        <f>IFERROR(__xludf.DUMMYFUNCTION("""COMPUTED_VALUE"""),"4720267_1288609")</f>
        <v>4720267_1288609</v>
      </c>
      <c r="B633" s="43" t="str">
        <f>IFERROR(__xludf.DUMMYFUNCTION("""COMPUTED_VALUE"""),"GAYE SILA GÜDER")</f>
        <v>GAYE SILA GÜDER</v>
      </c>
      <c r="C633" s="43" t="str">
        <f>IFERROR(__xludf.DUMMYFUNCTION("""COMPUTED_VALUE"""),"approved")</f>
        <v>approved</v>
      </c>
      <c r="D633" s="43" t="str">
        <f>IFERROR(__xludf.DUMMYFUNCTION("""COMPUTED_VALUE"""),"No")</f>
        <v>No</v>
      </c>
      <c r="E633" s="43" t="str">
        <f>IFERROR(__xludf.DUMMYFUNCTION("""COMPUTED_VALUE"""),"p_88ab8face7b4ce4f38a1c2798de9879debcf95b5@inbound.aiesec.org")</f>
        <v>p_88ab8face7b4ce4f38a1c2798de9879debcf95b5@inbound.aiesec.org</v>
      </c>
      <c r="F633" s="43">
        <f>IFERROR(__xludf.DUMMYFUNCTION("""COMPUTED_VALUE"""),5.43765999E9)</f>
        <v>5437659990</v>
      </c>
      <c r="G633" s="43" t="str">
        <f>IFERROR(__xludf.DUMMYFUNCTION("""COMPUTED_VALUE"""),"Turkey")</f>
        <v>Turkey</v>
      </c>
      <c r="H633" s="43" t="str">
        <f>IFERROR(__xludf.DUMMYFUNCTION("""COMPUTED_VALUE"""),"ESKISEHIR")</f>
        <v>ESKISEHIR</v>
      </c>
      <c r="I633" s="43" t="str">
        <f>IFERROR(__xludf.DUMMYFUNCTION("""COMPUTED_VALUE"""),"Egypt")</f>
        <v>Egypt</v>
      </c>
      <c r="J633" s="43" t="str">
        <f>IFERROR(__xludf.DUMMYFUNCTION("""COMPUTED_VALUE"""),"Tanta")</f>
        <v>Tanta</v>
      </c>
      <c r="K633" s="44" t="str">
        <f>IFERROR(__xludf.DUMMYFUNCTION("""COMPUTED_VALUE"""),"https://expa.aiesec.org/opportunities/1288609")</f>
        <v>https://expa.aiesec.org/opportunities/1288609</v>
      </c>
      <c r="L633" s="43" t="str">
        <f>IFERROR(__xludf.DUMMYFUNCTION("""COMPUTED_VALUE"""),"GV")</f>
        <v>GV</v>
      </c>
      <c r="M633" s="43" t="str">
        <f>IFERROR(__xludf.DUMMYFUNCTION("""COMPUTED_VALUE"""),"short")</f>
        <v>short</v>
      </c>
      <c r="N633" s="45">
        <f>IFERROR(__xludf.DUMMYFUNCTION("""COMPUTED_VALUE"""),45050.0)</f>
        <v>45050</v>
      </c>
      <c r="O633" s="45">
        <f>IFERROR(__xludf.DUMMYFUNCTION("""COMPUTED_VALUE"""),45139.0)</f>
        <v>45139</v>
      </c>
      <c r="P633" s="45">
        <f>IFERROR(__xludf.DUMMYFUNCTION("""COMPUTED_VALUE"""),45181.0)</f>
        <v>45181</v>
      </c>
      <c r="Q633" s="45"/>
      <c r="R633" s="45"/>
      <c r="S633" s="43"/>
      <c r="T633" s="43"/>
      <c r="U633" s="43" t="str">
        <f>IFERROR(__xludf.DUMMYFUNCTION("""COMPUTED_VALUE"""),"On The Map")</f>
        <v>On The Map</v>
      </c>
      <c r="V633" s="43" t="str">
        <f>IFERROR(__xludf.DUMMYFUNCTION("""COMPUTED_VALUE"""),"ESKISEHIR")</f>
        <v>ESKISEHIR</v>
      </c>
      <c r="W633" s="43" t="str">
        <f>IFERROR(__xludf.DUMMYFUNCTION("""COMPUTED_VALUE"""),"2021-08-26T14:21:37Z")</f>
        <v>2021-08-26T14:21:37Z</v>
      </c>
      <c r="X633" s="43"/>
      <c r="Y633" s="43"/>
      <c r="Z633" s="43"/>
    </row>
    <row r="634" hidden="1">
      <c r="A634" s="43" t="str">
        <f>IFERROR(__xludf.DUMMYFUNCTION("""COMPUTED_VALUE"""),"5253242_1290145")</f>
        <v>5253242_1290145</v>
      </c>
      <c r="B634" s="43" t="str">
        <f>IFERROR(__xludf.DUMMYFUNCTION("""COMPUTED_VALUE"""),"Zeynep Demirkaya")</f>
        <v>Zeynep Demirkaya</v>
      </c>
      <c r="C634" s="43" t="str">
        <f>IFERROR(__xludf.DUMMYFUNCTION("""COMPUTED_VALUE"""),"approved")</f>
        <v>approved</v>
      </c>
      <c r="D634" s="43" t="str">
        <f>IFERROR(__xludf.DUMMYFUNCTION("""COMPUTED_VALUE"""),"No")</f>
        <v>No</v>
      </c>
      <c r="E634" s="43" t="str">
        <f>IFERROR(__xludf.DUMMYFUNCTION("""COMPUTED_VALUE"""),"p_77cd62204c57713b099ee92dca1bccd3d7f09e70@inbound.aiesec.org")</f>
        <v>p_77cd62204c57713b099ee92dca1bccd3d7f09e70@inbound.aiesec.org</v>
      </c>
      <c r="F634" s="43"/>
      <c r="G634" s="43" t="str">
        <f>IFERROR(__xludf.DUMMYFUNCTION("""COMPUTED_VALUE"""),"Turkey")</f>
        <v>Turkey</v>
      </c>
      <c r="H634" s="43" t="str">
        <f>IFERROR(__xludf.DUMMYFUNCTION("""COMPUTED_VALUE"""),"ANKARA")</f>
        <v>ANKARA</v>
      </c>
      <c r="I634" s="43" t="str">
        <f>IFERROR(__xludf.DUMMYFUNCTION("""COMPUTED_VALUE"""),"India")</f>
        <v>India</v>
      </c>
      <c r="J634" s="43" t="str">
        <f>IFERROR(__xludf.DUMMYFUNCTION("""COMPUTED_VALUE"""),"Mumbai")</f>
        <v>Mumbai</v>
      </c>
      <c r="K634" s="44" t="str">
        <f>IFERROR(__xludf.DUMMYFUNCTION("""COMPUTED_VALUE"""),"https://expa.aiesec.org/opportunities/1290145")</f>
        <v>https://expa.aiesec.org/opportunities/1290145</v>
      </c>
      <c r="L634" s="43" t="str">
        <f>IFERROR(__xludf.DUMMYFUNCTION("""COMPUTED_VALUE"""),"GV")</f>
        <v>GV</v>
      </c>
      <c r="M634" s="43" t="str">
        <f>IFERROR(__xludf.DUMMYFUNCTION("""COMPUTED_VALUE"""),"short")</f>
        <v>short</v>
      </c>
      <c r="N634" s="45">
        <f>IFERROR(__xludf.DUMMYFUNCTION("""COMPUTED_VALUE"""),45050.0)</f>
        <v>45050</v>
      </c>
      <c r="O634" s="45">
        <f>IFERROR(__xludf.DUMMYFUNCTION("""COMPUTED_VALUE"""),45115.0)</f>
        <v>45115</v>
      </c>
      <c r="P634" s="45">
        <f>IFERROR(__xludf.DUMMYFUNCTION("""COMPUTED_VALUE"""),45157.0)</f>
        <v>45157</v>
      </c>
      <c r="Q634" s="45"/>
      <c r="R634" s="45"/>
      <c r="S634" s="43"/>
      <c r="T634" s="43"/>
      <c r="U634" s="43" t="str">
        <f>IFERROR(__xludf.DUMMYFUNCTION("""COMPUTED_VALUE"""),"Aquatica")</f>
        <v>Aquatica</v>
      </c>
      <c r="V634" s="43" t="str">
        <f>IFERROR(__xludf.DUMMYFUNCTION("""COMPUTED_VALUE"""),"-")</f>
        <v>-</v>
      </c>
      <c r="W634" s="43" t="str">
        <f>IFERROR(__xludf.DUMMYFUNCTION("""COMPUTED_VALUE"""),"2023-04-30T17:25:56Z")</f>
        <v>2023-04-30T17:25:56Z</v>
      </c>
      <c r="X634" s="43"/>
      <c r="Y634" s="43"/>
      <c r="Z634" s="43"/>
    </row>
    <row r="635" hidden="1">
      <c r="A635" s="43" t="str">
        <f>IFERROR(__xludf.DUMMYFUNCTION("""COMPUTED_VALUE"""),"5245243_1292800")</f>
        <v>5245243_1292800</v>
      </c>
      <c r="B635" s="43" t="str">
        <f>IFERROR(__xludf.DUMMYFUNCTION("""COMPUTED_VALUE"""),"Ayşe Sude Yıldırım")</f>
        <v>Ayşe Sude Yıldırım</v>
      </c>
      <c r="C635" s="43" t="str">
        <f>IFERROR(__xludf.DUMMYFUNCTION("""COMPUTED_VALUE"""),"completed")</f>
        <v>completed</v>
      </c>
      <c r="D635" s="43" t="str">
        <f>IFERROR(__xludf.DUMMYFUNCTION("""COMPUTED_VALUE"""),"No")</f>
        <v>No</v>
      </c>
      <c r="E635" s="43" t="str">
        <f>IFERROR(__xludf.DUMMYFUNCTION("""COMPUTED_VALUE"""),"p_2fa641d49b87a83135ed99a4c1d3eb6c30e48a16@inbound.aiesec.org")</f>
        <v>p_2fa641d49b87a83135ed99a4c1d3eb6c30e48a16@inbound.aiesec.org</v>
      </c>
      <c r="F635" s="43">
        <f>IFERROR(__xludf.DUMMYFUNCTION("""COMPUTED_VALUE"""),5.333409782E9)</f>
        <v>5333409782</v>
      </c>
      <c r="G635" s="43" t="str">
        <f>IFERROR(__xludf.DUMMYFUNCTION("""COMPUTED_VALUE"""),"Turkey")</f>
        <v>Turkey</v>
      </c>
      <c r="H635" s="43" t="str">
        <f>IFERROR(__xludf.DUMMYFUNCTION("""COMPUTED_VALUE"""),"ISTANBUL")</f>
        <v>ISTANBUL</v>
      </c>
      <c r="I635" s="43" t="str">
        <f>IFERROR(__xludf.DUMMYFUNCTION("""COMPUTED_VALUE"""),"Tunisia")</f>
        <v>Tunisia</v>
      </c>
      <c r="J635" s="43" t="str">
        <f>IFERROR(__xludf.DUMMYFUNCTION("""COMPUTED_VALUE"""),"UNIVERSITY")</f>
        <v>UNIVERSITY</v>
      </c>
      <c r="K635" s="44" t="str">
        <f>IFERROR(__xludf.DUMMYFUNCTION("""COMPUTED_VALUE"""),"https://expa.aiesec.org/opportunities/1292800")</f>
        <v>https://expa.aiesec.org/opportunities/1292800</v>
      </c>
      <c r="L635" s="43" t="str">
        <f>IFERROR(__xludf.DUMMYFUNCTION("""COMPUTED_VALUE"""),"GV")</f>
        <v>GV</v>
      </c>
      <c r="M635" s="43" t="str">
        <f>IFERROR(__xludf.DUMMYFUNCTION("""COMPUTED_VALUE"""),"short")</f>
        <v>short</v>
      </c>
      <c r="N635" s="45">
        <f>IFERROR(__xludf.DUMMYFUNCTION("""COMPUTED_VALUE"""),45050.0)</f>
        <v>45050</v>
      </c>
      <c r="O635" s="45">
        <f>IFERROR(__xludf.DUMMYFUNCTION("""COMPUTED_VALUE"""),45170.0)</f>
        <v>45170</v>
      </c>
      <c r="P635" s="45">
        <f>IFERROR(__xludf.DUMMYFUNCTION("""COMPUTED_VALUE"""),45212.0)</f>
        <v>45212</v>
      </c>
      <c r="Q635" s="45">
        <f>IFERROR(__xludf.DUMMYFUNCTION("""COMPUTED_VALUE"""),45173.0)</f>
        <v>45173</v>
      </c>
      <c r="R635" s="45">
        <f>IFERROR(__xludf.DUMMYFUNCTION("""COMPUTED_VALUE"""),45213.0)</f>
        <v>45213</v>
      </c>
      <c r="S635" s="43"/>
      <c r="T635" s="43"/>
      <c r="U635" s="43" t="str">
        <f>IFERROR(__xludf.DUMMYFUNCTION("""COMPUTED_VALUE"""),"Global Classroom")</f>
        <v>Global Classroom</v>
      </c>
      <c r="V635" s="43" t="str">
        <f>IFERROR(__xludf.DUMMYFUNCTION("""COMPUTED_VALUE"""),"ISTANBUL - BAKIRKOY")</f>
        <v>ISTANBUL - BAKIRKOY</v>
      </c>
      <c r="W635" s="43" t="str">
        <f>IFERROR(__xludf.DUMMYFUNCTION("""COMPUTED_VALUE"""),"2023-04-19T11:04:47Z")</f>
        <v>2023-04-19T11:04:47Z</v>
      </c>
      <c r="X635" s="43"/>
      <c r="Y635" s="43"/>
      <c r="Z635" s="43"/>
    </row>
    <row r="636" hidden="1">
      <c r="A636" s="43" t="str">
        <f>IFERROR(__xludf.DUMMYFUNCTION("""COMPUTED_VALUE"""),"5252988_1293015")</f>
        <v>5252988_1293015</v>
      </c>
      <c r="B636" s="43" t="str">
        <f>IFERROR(__xludf.DUMMYFUNCTION("""COMPUTED_VALUE"""),"Selis Sagdinc")</f>
        <v>Selis Sagdinc</v>
      </c>
      <c r="C636" s="43" t="str">
        <f>IFERROR(__xludf.DUMMYFUNCTION("""COMPUTED_VALUE"""),"completed")</f>
        <v>completed</v>
      </c>
      <c r="D636" s="43" t="str">
        <f>IFERROR(__xludf.DUMMYFUNCTION("""COMPUTED_VALUE"""),"No")</f>
        <v>No</v>
      </c>
      <c r="E636" s="43" t="str">
        <f>IFERROR(__xludf.DUMMYFUNCTION("""COMPUTED_VALUE"""),"p_17229d4eff1ae6394bb78526ef3861c6f5c17ede@inbound.aiesec.org")</f>
        <v>p_17229d4eff1ae6394bb78526ef3861c6f5c17ede@inbound.aiesec.org</v>
      </c>
      <c r="F636" s="43">
        <f>IFERROR(__xludf.DUMMYFUNCTION("""COMPUTED_VALUE"""),5.338550203E9)</f>
        <v>5338550203</v>
      </c>
      <c r="G636" s="43" t="str">
        <f>IFERROR(__xludf.DUMMYFUNCTION("""COMPUTED_VALUE"""),"Turkey")</f>
        <v>Turkey</v>
      </c>
      <c r="H636" s="43" t="str">
        <f>IFERROR(__xludf.DUMMYFUNCTION("""COMPUTED_VALUE"""),"ANKARA")</f>
        <v>ANKARA</v>
      </c>
      <c r="I636" s="43" t="str">
        <f>IFERROR(__xludf.DUMMYFUNCTION("""COMPUTED_VALUE"""),"India")</f>
        <v>India</v>
      </c>
      <c r="J636" s="43" t="str">
        <f>IFERROR(__xludf.DUMMYFUNCTION("""COMPUTED_VALUE"""),"JAIPUR ")</f>
        <v>JAIPUR </v>
      </c>
      <c r="K636" s="44" t="str">
        <f>IFERROR(__xludf.DUMMYFUNCTION("""COMPUTED_VALUE"""),"https://expa.aiesec.org/opportunities/1293015")</f>
        <v>https://expa.aiesec.org/opportunities/1293015</v>
      </c>
      <c r="L636" s="43" t="str">
        <f>IFERROR(__xludf.DUMMYFUNCTION("""COMPUTED_VALUE"""),"GV")</f>
        <v>GV</v>
      </c>
      <c r="M636" s="43" t="str">
        <f>IFERROR(__xludf.DUMMYFUNCTION("""COMPUTED_VALUE"""),"short")</f>
        <v>short</v>
      </c>
      <c r="N636" s="45">
        <f>IFERROR(__xludf.DUMMYFUNCTION("""COMPUTED_VALUE"""),45050.0)</f>
        <v>45050</v>
      </c>
      <c r="O636" s="45">
        <f>IFERROR(__xludf.DUMMYFUNCTION("""COMPUTED_VALUE"""),45171.0)</f>
        <v>45171</v>
      </c>
      <c r="P636" s="45">
        <f>IFERROR(__xludf.DUMMYFUNCTION("""COMPUTED_VALUE"""),45213.0)</f>
        <v>45213</v>
      </c>
      <c r="Q636" s="45">
        <f>IFERROR(__xludf.DUMMYFUNCTION("""COMPUTED_VALUE"""),45172.0)</f>
        <v>45172</v>
      </c>
      <c r="R636" s="45">
        <f>IFERROR(__xludf.DUMMYFUNCTION("""COMPUTED_VALUE"""),45214.0)</f>
        <v>45214</v>
      </c>
      <c r="S636" s="43"/>
      <c r="T636" s="43"/>
      <c r="U636" s="43" t="str">
        <f>IFERROR(__xludf.DUMMYFUNCTION("""COMPUTED_VALUE"""),"Youth 4 Impact")</f>
        <v>Youth 4 Impact</v>
      </c>
      <c r="V636" s="43" t="str">
        <f>IFERROR(__xludf.DUMMYFUNCTION("""COMPUTED_VALUE"""),"ANKARA")</f>
        <v>ANKARA</v>
      </c>
      <c r="W636" s="43" t="str">
        <f>IFERROR(__xludf.DUMMYFUNCTION("""COMPUTED_VALUE"""),"2023-04-30T09:49:43Z")</f>
        <v>2023-04-30T09:49:43Z</v>
      </c>
      <c r="X636" s="43"/>
      <c r="Y636" s="43"/>
      <c r="Z636" s="43"/>
    </row>
    <row r="637" hidden="1">
      <c r="A637" s="43" t="str">
        <f>IFERROR(__xludf.DUMMYFUNCTION("""COMPUTED_VALUE"""),"5252461_1292571")</f>
        <v>5252461_1292571</v>
      </c>
      <c r="B637" s="43" t="str">
        <f>IFERROR(__xludf.DUMMYFUNCTION("""COMPUTED_VALUE"""),"Ekin Alçı")</f>
        <v>Ekin Alçı</v>
      </c>
      <c r="C637" s="43" t="str">
        <f>IFERROR(__xludf.DUMMYFUNCTION("""COMPUTED_VALUE"""),"completed")</f>
        <v>completed</v>
      </c>
      <c r="D637" s="43" t="str">
        <f>IFERROR(__xludf.DUMMYFUNCTION("""COMPUTED_VALUE"""),"No")</f>
        <v>No</v>
      </c>
      <c r="E637" s="43" t="str">
        <f>IFERROR(__xludf.DUMMYFUNCTION("""COMPUTED_VALUE"""),"p_14b34fd58780e54f33f5199d985c5c625ea3bb32@inbound.aiesec.org")</f>
        <v>p_14b34fd58780e54f33f5199d985c5c625ea3bb32@inbound.aiesec.org</v>
      </c>
      <c r="F637" s="43">
        <f>IFERROR(__xludf.DUMMYFUNCTION("""COMPUTED_VALUE"""),5.331693212E9)</f>
        <v>5331693212</v>
      </c>
      <c r="G637" s="43" t="str">
        <f>IFERROR(__xludf.DUMMYFUNCTION("""COMPUTED_VALUE"""),"Turkey")</f>
        <v>Turkey</v>
      </c>
      <c r="H637" s="43" t="str">
        <f>IFERROR(__xludf.DUMMYFUNCTION("""COMPUTED_VALUE"""),"ANKARA")</f>
        <v>ANKARA</v>
      </c>
      <c r="I637" s="43" t="str">
        <f>IFERROR(__xludf.DUMMYFUNCTION("""COMPUTED_VALUE"""),"Lithuania")</f>
        <v>Lithuania</v>
      </c>
      <c r="J637" s="43" t="str">
        <f>IFERROR(__xludf.DUMMYFUNCTION("""COMPUTED_VALUE"""),"VILNIUS")</f>
        <v>VILNIUS</v>
      </c>
      <c r="K637" s="44" t="str">
        <f>IFERROR(__xludf.DUMMYFUNCTION("""COMPUTED_VALUE"""),"https://expa.aiesec.org/opportunities/1292571")</f>
        <v>https://expa.aiesec.org/opportunities/1292571</v>
      </c>
      <c r="L637" s="43" t="str">
        <f>IFERROR(__xludf.DUMMYFUNCTION("""COMPUTED_VALUE"""),"GV")</f>
        <v>GV</v>
      </c>
      <c r="M637" s="43" t="str">
        <f>IFERROR(__xludf.DUMMYFUNCTION("""COMPUTED_VALUE"""),"short")</f>
        <v>short</v>
      </c>
      <c r="N637" s="45">
        <f>IFERROR(__xludf.DUMMYFUNCTION("""COMPUTED_VALUE"""),45050.0)</f>
        <v>45050</v>
      </c>
      <c r="O637" s="45">
        <f>IFERROR(__xludf.DUMMYFUNCTION("""COMPUTED_VALUE"""),45108.0)</f>
        <v>45108</v>
      </c>
      <c r="P637" s="45">
        <f>IFERROR(__xludf.DUMMYFUNCTION("""COMPUTED_VALUE"""),45150.0)</f>
        <v>45150</v>
      </c>
      <c r="Q637" s="45">
        <f>IFERROR(__xludf.DUMMYFUNCTION("""COMPUTED_VALUE"""),45108.0)</f>
        <v>45108</v>
      </c>
      <c r="R637" s="45">
        <f>IFERROR(__xludf.DUMMYFUNCTION("""COMPUTED_VALUE"""),45150.0)</f>
        <v>45150</v>
      </c>
      <c r="S637" s="43"/>
      <c r="T637" s="43"/>
      <c r="U637" s="43" t="str">
        <f>IFERROR(__xludf.DUMMYFUNCTION("""COMPUTED_VALUE"""),"Explorer")</f>
        <v>Explorer</v>
      </c>
      <c r="V637" s="43" t="str">
        <f>IFERROR(__xludf.DUMMYFUNCTION("""COMPUTED_VALUE"""),"ANKARA")</f>
        <v>ANKARA</v>
      </c>
      <c r="W637" s="43" t="str">
        <f>IFERROR(__xludf.DUMMYFUNCTION("""COMPUTED_VALUE"""),"2023-04-29T13:18:55Z")</f>
        <v>2023-04-29T13:18:55Z</v>
      </c>
      <c r="X637" s="43"/>
      <c r="Y637" s="43"/>
      <c r="Z637" s="43"/>
    </row>
    <row r="638" hidden="1">
      <c r="A638" s="43" t="str">
        <f>IFERROR(__xludf.DUMMYFUNCTION("""COMPUTED_VALUE"""),"5230141_1288609")</f>
        <v>5230141_1288609</v>
      </c>
      <c r="B638" s="43" t="str">
        <f>IFERROR(__xludf.DUMMYFUNCTION("""COMPUTED_VALUE"""),"yağmur çakmakçı")</f>
        <v>yağmur çakmakçı</v>
      </c>
      <c r="C638" s="43" t="str">
        <f>IFERROR(__xludf.DUMMYFUNCTION("""COMPUTED_VALUE"""),"completed")</f>
        <v>completed</v>
      </c>
      <c r="D638" s="43" t="str">
        <f>IFERROR(__xludf.DUMMYFUNCTION("""COMPUTED_VALUE"""),"No")</f>
        <v>No</v>
      </c>
      <c r="E638" s="43" t="str">
        <f>IFERROR(__xludf.DUMMYFUNCTION("""COMPUTED_VALUE"""),"p_c13050ac7ea65c75ec6a4627985634e1b0c70822@inbound.aiesec.org")</f>
        <v>p_c13050ac7ea65c75ec6a4627985634e1b0c70822@inbound.aiesec.org</v>
      </c>
      <c r="F638" s="43">
        <f>IFERROR(__xludf.DUMMYFUNCTION("""COMPUTED_VALUE"""),5.558875002E9)</f>
        <v>5558875002</v>
      </c>
      <c r="G638" s="43" t="str">
        <f>IFERROR(__xludf.DUMMYFUNCTION("""COMPUTED_VALUE"""),"Turkey")</f>
        <v>Turkey</v>
      </c>
      <c r="H638" s="43" t="str">
        <f>IFERROR(__xludf.DUMMYFUNCTION("""COMPUTED_VALUE"""),"ISTANBUL ASIA")</f>
        <v>ISTANBUL ASIA</v>
      </c>
      <c r="I638" s="43" t="str">
        <f>IFERROR(__xludf.DUMMYFUNCTION("""COMPUTED_VALUE"""),"Egypt")</f>
        <v>Egypt</v>
      </c>
      <c r="J638" s="43" t="str">
        <f>IFERROR(__xludf.DUMMYFUNCTION("""COMPUTED_VALUE"""),"Tanta")</f>
        <v>Tanta</v>
      </c>
      <c r="K638" s="44" t="str">
        <f>IFERROR(__xludf.DUMMYFUNCTION("""COMPUTED_VALUE"""),"https://expa.aiesec.org/opportunities/1288609")</f>
        <v>https://expa.aiesec.org/opportunities/1288609</v>
      </c>
      <c r="L638" s="43" t="str">
        <f>IFERROR(__xludf.DUMMYFUNCTION("""COMPUTED_VALUE"""),"GV")</f>
        <v>GV</v>
      </c>
      <c r="M638" s="43" t="str">
        <f>IFERROR(__xludf.DUMMYFUNCTION("""COMPUTED_VALUE"""),"short")</f>
        <v>short</v>
      </c>
      <c r="N638" s="45">
        <f>IFERROR(__xludf.DUMMYFUNCTION("""COMPUTED_VALUE"""),45050.0)</f>
        <v>45050</v>
      </c>
      <c r="O638" s="45">
        <f>IFERROR(__xludf.DUMMYFUNCTION("""COMPUTED_VALUE"""),45139.0)</f>
        <v>45139</v>
      </c>
      <c r="P638" s="45">
        <f>IFERROR(__xludf.DUMMYFUNCTION("""COMPUTED_VALUE"""),45181.0)</f>
        <v>45181</v>
      </c>
      <c r="Q638" s="45">
        <f>IFERROR(__xludf.DUMMYFUNCTION("""COMPUTED_VALUE"""),45140.0)</f>
        <v>45140</v>
      </c>
      <c r="R638" s="45">
        <f>IFERROR(__xludf.DUMMYFUNCTION("""COMPUTED_VALUE"""),45181.0)</f>
        <v>45181</v>
      </c>
      <c r="S638" s="43"/>
      <c r="T638" s="43"/>
      <c r="U638" s="43" t="str">
        <f>IFERROR(__xludf.DUMMYFUNCTION("""COMPUTED_VALUE"""),"On The Map")</f>
        <v>On The Map</v>
      </c>
      <c r="V638" s="43" t="str">
        <f>IFERROR(__xludf.DUMMYFUNCTION("""COMPUTED_VALUE"""),"ISTANBUL ASIA")</f>
        <v>ISTANBUL ASIA</v>
      </c>
      <c r="W638" s="43" t="str">
        <f>IFERROR(__xludf.DUMMYFUNCTION("""COMPUTED_VALUE"""),"2023-03-29T14:32:08Z")</f>
        <v>2023-03-29T14:32:08Z</v>
      </c>
      <c r="X638" s="43"/>
      <c r="Y638" s="43"/>
      <c r="Z638" s="43"/>
    </row>
    <row r="639" hidden="1">
      <c r="A639" s="43" t="str">
        <f>IFERROR(__xludf.DUMMYFUNCTION("""COMPUTED_VALUE"""),"4691974_1294034")</f>
        <v>4691974_1294034</v>
      </c>
      <c r="B639" s="43" t="str">
        <f>IFERROR(__xludf.DUMMYFUNCTION("""COMPUTED_VALUE"""),"Ahsen Karakaya")</f>
        <v>Ahsen Karakaya</v>
      </c>
      <c r="C639" s="43" t="str">
        <f>IFERROR(__xludf.DUMMYFUNCTION("""COMPUTED_VALUE"""),"completed")</f>
        <v>completed</v>
      </c>
      <c r="D639" s="43" t="str">
        <f>IFERROR(__xludf.DUMMYFUNCTION("""COMPUTED_VALUE"""),"No")</f>
        <v>No</v>
      </c>
      <c r="E639" s="43" t="str">
        <f>IFERROR(__xludf.DUMMYFUNCTION("""COMPUTED_VALUE"""),"p_5b1f2da240ab8e9eb13a66148d4ec410b81fd892@inbound.aiesec.org")</f>
        <v>p_5b1f2da240ab8e9eb13a66148d4ec410b81fd892@inbound.aiesec.org</v>
      </c>
      <c r="F639" s="43">
        <f>IFERROR(__xludf.DUMMYFUNCTION("""COMPUTED_VALUE"""),5.077387452E9)</f>
        <v>5077387452</v>
      </c>
      <c r="G639" s="43" t="str">
        <f>IFERROR(__xludf.DUMMYFUNCTION("""COMPUTED_VALUE"""),"Turkey")</f>
        <v>Turkey</v>
      </c>
      <c r="H639" s="43" t="str">
        <f>IFERROR(__xludf.DUMMYFUNCTION("""COMPUTED_VALUE"""),"ISTANBUL")</f>
        <v>ISTANBUL</v>
      </c>
      <c r="I639" s="43" t="str">
        <f>IFERROR(__xludf.DUMMYFUNCTION("""COMPUTED_VALUE"""),"Tunisia")</f>
        <v>Tunisia</v>
      </c>
      <c r="J639" s="43" t="str">
        <f>IFERROR(__xludf.DUMMYFUNCTION("""COMPUTED_VALUE"""),"SFAX")</f>
        <v>SFAX</v>
      </c>
      <c r="K639" s="44" t="str">
        <f>IFERROR(__xludf.DUMMYFUNCTION("""COMPUTED_VALUE"""),"https://expa.aiesec.org/opportunities/1294034")</f>
        <v>https://expa.aiesec.org/opportunities/1294034</v>
      </c>
      <c r="L639" s="43" t="str">
        <f>IFERROR(__xludf.DUMMYFUNCTION("""COMPUTED_VALUE"""),"GV")</f>
        <v>GV</v>
      </c>
      <c r="M639" s="43" t="str">
        <f>IFERROR(__xludf.DUMMYFUNCTION("""COMPUTED_VALUE"""),"short")</f>
        <v>short</v>
      </c>
      <c r="N639" s="45">
        <f>IFERROR(__xludf.DUMMYFUNCTION("""COMPUTED_VALUE"""),45050.0)</f>
        <v>45050</v>
      </c>
      <c r="O639" s="45">
        <f>IFERROR(__xludf.DUMMYFUNCTION("""COMPUTED_VALUE"""),45131.0)</f>
        <v>45131</v>
      </c>
      <c r="P639" s="45">
        <f>IFERROR(__xludf.DUMMYFUNCTION("""COMPUTED_VALUE"""),45173.0)</f>
        <v>45173</v>
      </c>
      <c r="Q639" s="45">
        <f>IFERROR(__xludf.DUMMYFUNCTION("""COMPUTED_VALUE"""),45136.0)</f>
        <v>45136</v>
      </c>
      <c r="R639" s="45">
        <f>IFERROR(__xludf.DUMMYFUNCTION("""COMPUTED_VALUE"""),45176.0)</f>
        <v>45176</v>
      </c>
      <c r="S639" s="43"/>
      <c r="T639" s="43"/>
      <c r="U639" s="43" t="str">
        <f>IFERROR(__xludf.DUMMYFUNCTION("""COMPUTED_VALUE"""),"Global Classroom")</f>
        <v>Global Classroom</v>
      </c>
      <c r="V639" s="43" t="str">
        <f>IFERROR(__xludf.DUMMYFUNCTION("""COMPUTED_VALUE"""),"ISTANBUL - BEYOGLU")</f>
        <v>ISTANBUL - BEYOGLU</v>
      </c>
      <c r="W639" s="43" t="str">
        <f>IFERROR(__xludf.DUMMYFUNCTION("""COMPUTED_VALUE"""),"2021-07-18T06:20:34Z")</f>
        <v>2021-07-18T06:20:34Z</v>
      </c>
      <c r="X639" s="43"/>
      <c r="Y639" s="43"/>
      <c r="Z639" s="43"/>
    </row>
    <row r="640" hidden="1">
      <c r="A640" s="43" t="str">
        <f>IFERROR(__xludf.DUMMYFUNCTION("""COMPUTED_VALUE"""),"5249979_1288411")</f>
        <v>5249979_1288411</v>
      </c>
      <c r="B640" s="43" t="str">
        <f>IFERROR(__xludf.DUMMYFUNCTION("""COMPUTED_VALUE"""),"esma acar")</f>
        <v>esma acar</v>
      </c>
      <c r="C640" s="43" t="str">
        <f>IFERROR(__xludf.DUMMYFUNCTION("""COMPUTED_VALUE"""),"completed")</f>
        <v>completed</v>
      </c>
      <c r="D640" s="43" t="str">
        <f>IFERROR(__xludf.DUMMYFUNCTION("""COMPUTED_VALUE"""),"No")</f>
        <v>No</v>
      </c>
      <c r="E640" s="43" t="str">
        <f>IFERROR(__xludf.DUMMYFUNCTION("""COMPUTED_VALUE"""),"p_588799205c44cba910fe9af349c225ea376563a8@inbound.aiesec.org")</f>
        <v>p_588799205c44cba910fe9af349c225ea376563a8@inbound.aiesec.org</v>
      </c>
      <c r="F640" s="43">
        <f>IFERROR(__xludf.DUMMYFUNCTION("""COMPUTED_VALUE"""),5.301869208E9)</f>
        <v>5301869208</v>
      </c>
      <c r="G640" s="43" t="str">
        <f>IFERROR(__xludf.DUMMYFUNCTION("""COMPUTED_VALUE"""),"Turkey")</f>
        <v>Turkey</v>
      </c>
      <c r="H640" s="43" t="str">
        <f>IFERROR(__xludf.DUMMYFUNCTION("""COMPUTED_VALUE"""),"KOCAELI")</f>
        <v>KOCAELI</v>
      </c>
      <c r="I640" s="43" t="str">
        <f>IFERROR(__xludf.DUMMYFUNCTION("""COMPUTED_VALUE"""),"India")</f>
        <v>India</v>
      </c>
      <c r="J640" s="43" t="str">
        <f>IFERROR(__xludf.DUMMYFUNCTION("""COMPUTED_VALUE"""),"JAIPUR ")</f>
        <v>JAIPUR </v>
      </c>
      <c r="K640" s="44" t="str">
        <f>IFERROR(__xludf.DUMMYFUNCTION("""COMPUTED_VALUE"""),"https://expa.aiesec.org/opportunities/1288411")</f>
        <v>https://expa.aiesec.org/opportunities/1288411</v>
      </c>
      <c r="L640" s="43" t="str">
        <f>IFERROR(__xludf.DUMMYFUNCTION("""COMPUTED_VALUE"""),"GV")</f>
        <v>GV</v>
      </c>
      <c r="M640" s="43" t="str">
        <f>IFERROR(__xludf.DUMMYFUNCTION("""COMPUTED_VALUE"""),"short")</f>
        <v>short</v>
      </c>
      <c r="N640" s="45">
        <f>IFERROR(__xludf.DUMMYFUNCTION("""COMPUTED_VALUE"""),45050.0)</f>
        <v>45050</v>
      </c>
      <c r="O640" s="45">
        <f>IFERROR(__xludf.DUMMYFUNCTION("""COMPUTED_VALUE"""),45157.0)</f>
        <v>45157</v>
      </c>
      <c r="P640" s="45">
        <f>IFERROR(__xludf.DUMMYFUNCTION("""COMPUTED_VALUE"""),45199.0)</f>
        <v>45199</v>
      </c>
      <c r="Q640" s="45">
        <f>IFERROR(__xludf.DUMMYFUNCTION("""COMPUTED_VALUE"""),45158.0)</f>
        <v>45158</v>
      </c>
      <c r="R640" s="45">
        <f>IFERROR(__xludf.DUMMYFUNCTION("""COMPUTED_VALUE"""),45199.0)</f>
        <v>45199</v>
      </c>
      <c r="S640" s="43"/>
      <c r="T640" s="43"/>
      <c r="U640" s="43" t="str">
        <f>IFERROR(__xludf.DUMMYFUNCTION("""COMPUTED_VALUE"""),"Skill Up!")</f>
        <v>Skill Up!</v>
      </c>
      <c r="V640" s="43" t="str">
        <f>IFERROR(__xludf.DUMMYFUNCTION("""COMPUTED_VALUE"""),"KOCAELI")</f>
        <v>KOCAELI</v>
      </c>
      <c r="W640" s="43" t="str">
        <f>IFERROR(__xludf.DUMMYFUNCTION("""COMPUTED_VALUE"""),"2023-04-26T15:27:49Z")</f>
        <v>2023-04-26T15:27:49Z</v>
      </c>
      <c r="X640" s="43"/>
      <c r="Y640" s="43"/>
      <c r="Z640" s="43"/>
    </row>
    <row r="641" hidden="1">
      <c r="A641" s="43" t="str">
        <f>IFERROR(__xludf.DUMMYFUNCTION("""COMPUTED_VALUE"""),"5206766_1285085")</f>
        <v>5206766_1285085</v>
      </c>
      <c r="B641" s="43" t="str">
        <f>IFERROR(__xludf.DUMMYFUNCTION("""COMPUTED_VALUE"""),"Karçem Gündoğdu")</f>
        <v>Karçem Gündoğdu</v>
      </c>
      <c r="C641" s="43" t="str">
        <f>IFERROR(__xludf.DUMMYFUNCTION("""COMPUTED_VALUE"""),"completed")</f>
        <v>completed</v>
      </c>
      <c r="D641" s="43" t="str">
        <f>IFERROR(__xludf.DUMMYFUNCTION("""COMPUTED_VALUE"""),"No")</f>
        <v>No</v>
      </c>
      <c r="E641" s="43" t="str">
        <f>IFERROR(__xludf.DUMMYFUNCTION("""COMPUTED_VALUE"""),"p_fede3708f17ea1137b6b04ad9ee7cde88b0b7247@inbound.aiesec.org")</f>
        <v>p_fede3708f17ea1137b6b04ad9ee7cde88b0b7247@inbound.aiesec.org</v>
      </c>
      <c r="F641" s="43">
        <f>IFERROR(__xludf.DUMMYFUNCTION("""COMPUTED_VALUE"""),5.078923573E9)</f>
        <v>5078923573</v>
      </c>
      <c r="G641" s="43" t="str">
        <f>IFERROR(__xludf.DUMMYFUNCTION("""COMPUTED_VALUE"""),"Turkey")</f>
        <v>Turkey</v>
      </c>
      <c r="H641" s="43" t="str">
        <f>IFERROR(__xludf.DUMMYFUNCTION("""COMPUTED_VALUE"""),"ANKARA")</f>
        <v>ANKARA</v>
      </c>
      <c r="I641" s="43" t="str">
        <f>IFERROR(__xludf.DUMMYFUNCTION("""COMPUTED_VALUE"""),"Sri Lanka")</f>
        <v>Sri Lanka</v>
      </c>
      <c r="J641" s="43" t="str">
        <f>IFERROR(__xludf.DUMMYFUNCTION("""COMPUTED_VALUE"""),"KANDY")</f>
        <v>KANDY</v>
      </c>
      <c r="K641" s="44" t="str">
        <f>IFERROR(__xludf.DUMMYFUNCTION("""COMPUTED_VALUE"""),"https://expa.aiesec.org/opportunities/1285085")</f>
        <v>https://expa.aiesec.org/opportunities/1285085</v>
      </c>
      <c r="L641" s="43" t="str">
        <f>IFERROR(__xludf.DUMMYFUNCTION("""COMPUTED_VALUE"""),"GV")</f>
        <v>GV</v>
      </c>
      <c r="M641" s="43" t="str">
        <f>IFERROR(__xludf.DUMMYFUNCTION("""COMPUTED_VALUE"""),"short")</f>
        <v>short</v>
      </c>
      <c r="N641" s="45">
        <f>IFERROR(__xludf.DUMMYFUNCTION("""COMPUTED_VALUE"""),45050.0)</f>
        <v>45050</v>
      </c>
      <c r="O641" s="45">
        <f>IFERROR(__xludf.DUMMYFUNCTION("""COMPUTED_VALUE"""),45110.0)</f>
        <v>45110</v>
      </c>
      <c r="P641" s="45">
        <f>IFERROR(__xludf.DUMMYFUNCTION("""COMPUTED_VALUE"""),45152.0)</f>
        <v>45152</v>
      </c>
      <c r="Q641" s="45">
        <f>IFERROR(__xludf.DUMMYFUNCTION("""COMPUTED_VALUE"""),45133.0)</f>
        <v>45133</v>
      </c>
      <c r="R641" s="45">
        <f>IFERROR(__xludf.DUMMYFUNCTION("""COMPUTED_VALUE"""),45175.0)</f>
        <v>45175</v>
      </c>
      <c r="S641" s="43"/>
      <c r="T641" s="43"/>
      <c r="U641" s="43" t="str">
        <f>IFERROR(__xludf.DUMMYFUNCTION("""COMPUTED_VALUE"""),"Aquatica")</f>
        <v>Aquatica</v>
      </c>
      <c r="V641" s="43" t="str">
        <f>IFERROR(__xludf.DUMMYFUNCTION("""COMPUTED_VALUE"""),"ANKARA")</f>
        <v>ANKARA</v>
      </c>
      <c r="W641" s="43" t="str">
        <f>IFERROR(__xludf.DUMMYFUNCTION("""COMPUTED_VALUE"""),"2023-03-05T18:25:57Z")</f>
        <v>2023-03-05T18:25:57Z</v>
      </c>
      <c r="X641" s="43"/>
      <c r="Y641" s="43"/>
      <c r="Z641" s="43"/>
    </row>
    <row r="642" hidden="1">
      <c r="A642" s="43" t="str">
        <f>IFERROR(__xludf.DUMMYFUNCTION("""COMPUTED_VALUE"""),"4543085_1293717")</f>
        <v>4543085_1293717</v>
      </c>
      <c r="B642" s="43" t="str">
        <f>IFERROR(__xludf.DUMMYFUNCTION("""COMPUTED_VALUE"""),"Ceyda Yıldız")</f>
        <v>Ceyda Yıldız</v>
      </c>
      <c r="C642" s="43" t="str">
        <f>IFERROR(__xludf.DUMMYFUNCTION("""COMPUTED_VALUE"""),"approved")</f>
        <v>approved</v>
      </c>
      <c r="D642" s="43" t="str">
        <f>IFERROR(__xludf.DUMMYFUNCTION("""COMPUTED_VALUE"""),"No")</f>
        <v>No</v>
      </c>
      <c r="E642" s="43" t="str">
        <f>IFERROR(__xludf.DUMMYFUNCTION("""COMPUTED_VALUE"""),"p_b65430e323a31290486318768a4f1f17ea7acbed@inbound.aiesec.org")</f>
        <v>p_b65430e323a31290486318768a4f1f17ea7acbed@inbound.aiesec.org</v>
      </c>
      <c r="F642" s="43">
        <f>IFERROR(__xludf.DUMMYFUNCTION("""COMPUTED_VALUE"""),5.453364495E9)</f>
        <v>5453364495</v>
      </c>
      <c r="G642" s="43" t="str">
        <f>IFERROR(__xludf.DUMMYFUNCTION("""COMPUTED_VALUE"""),"Turkey")</f>
        <v>Turkey</v>
      </c>
      <c r="H642" s="43" t="str">
        <f>IFERROR(__xludf.DUMMYFUNCTION("""COMPUTED_VALUE"""),"ISTANBUL ASIA")</f>
        <v>ISTANBUL ASIA</v>
      </c>
      <c r="I642" s="43" t="str">
        <f>IFERROR(__xludf.DUMMYFUNCTION("""COMPUTED_VALUE"""),"Egypt")</f>
        <v>Egypt</v>
      </c>
      <c r="J642" s="43" t="str">
        <f>IFERROR(__xludf.DUMMYFUNCTION("""COMPUTED_VALUE"""),"Helwan")</f>
        <v>Helwan</v>
      </c>
      <c r="K642" s="44" t="str">
        <f>IFERROR(__xludf.DUMMYFUNCTION("""COMPUTED_VALUE"""),"https://expa.aiesec.org/opportunities/1293717")</f>
        <v>https://expa.aiesec.org/opportunities/1293717</v>
      </c>
      <c r="L642" s="43" t="str">
        <f>IFERROR(__xludf.DUMMYFUNCTION("""COMPUTED_VALUE"""),"GV")</f>
        <v>GV</v>
      </c>
      <c r="M642" s="43" t="str">
        <f>IFERROR(__xludf.DUMMYFUNCTION("""COMPUTED_VALUE"""),"short")</f>
        <v>short</v>
      </c>
      <c r="N642" s="45">
        <f>IFERROR(__xludf.DUMMYFUNCTION("""COMPUTED_VALUE"""),45050.0)</f>
        <v>45050</v>
      </c>
      <c r="O642" s="45">
        <f>IFERROR(__xludf.DUMMYFUNCTION("""COMPUTED_VALUE"""),45108.0)</f>
        <v>45108</v>
      </c>
      <c r="P642" s="45">
        <f>IFERROR(__xludf.DUMMYFUNCTION("""COMPUTED_VALUE"""),45150.0)</f>
        <v>45150</v>
      </c>
      <c r="Q642" s="45"/>
      <c r="R642" s="45"/>
      <c r="S642" s="43"/>
      <c r="T642" s="43"/>
      <c r="U642" s="43" t="str">
        <f>IFERROR(__xludf.DUMMYFUNCTION("""COMPUTED_VALUE"""),"Heartbeat")</f>
        <v>Heartbeat</v>
      </c>
      <c r="V642" s="43" t="str">
        <f>IFERROR(__xludf.DUMMYFUNCTION("""COMPUTED_VALUE"""),"ISTANBUL ASIA")</f>
        <v>ISTANBUL ASIA</v>
      </c>
      <c r="W642" s="43" t="str">
        <f>IFERROR(__xludf.DUMMYFUNCTION("""COMPUTED_VALUE"""),"2021-02-12T18:17:19Z")</f>
        <v>2021-02-12T18:17:19Z</v>
      </c>
      <c r="X642" s="43"/>
      <c r="Y642" s="43"/>
      <c r="Z642" s="43"/>
    </row>
    <row r="643" hidden="1">
      <c r="A643" s="43" t="str">
        <f>IFERROR(__xludf.DUMMYFUNCTION("""COMPUTED_VALUE"""),"5217513_1293694")</f>
        <v>5217513_1293694</v>
      </c>
      <c r="B643" s="43" t="str">
        <f>IFERROR(__xludf.DUMMYFUNCTION("""COMPUTED_VALUE"""),"meylinaz keleş")</f>
        <v>meylinaz keleş</v>
      </c>
      <c r="C643" s="43" t="str">
        <f>IFERROR(__xludf.DUMMYFUNCTION("""COMPUTED_VALUE"""),"completed")</f>
        <v>completed</v>
      </c>
      <c r="D643" s="43" t="str">
        <f>IFERROR(__xludf.DUMMYFUNCTION("""COMPUTED_VALUE"""),"No")</f>
        <v>No</v>
      </c>
      <c r="E643" s="43" t="str">
        <f>IFERROR(__xludf.DUMMYFUNCTION("""COMPUTED_VALUE"""),"p_35e185e26a90b6ab479a02df5669a0537f17bb3e@inbound.aiesec.org")</f>
        <v>p_35e185e26a90b6ab479a02df5669a0537f17bb3e@inbound.aiesec.org</v>
      </c>
      <c r="F643" s="43">
        <f>IFERROR(__xludf.DUMMYFUNCTION("""COMPUTED_VALUE"""),5.304233161E9)</f>
        <v>5304233161</v>
      </c>
      <c r="G643" s="43" t="str">
        <f>IFERROR(__xludf.DUMMYFUNCTION("""COMPUTED_VALUE"""),"Turkey")</f>
        <v>Turkey</v>
      </c>
      <c r="H643" s="43" t="str">
        <f>IFERROR(__xludf.DUMMYFUNCTION("""COMPUTED_VALUE"""),"EASTERN MEDITERRANEAN")</f>
        <v>EASTERN MEDITERRANEAN</v>
      </c>
      <c r="I643" s="43" t="str">
        <f>IFERROR(__xludf.DUMMYFUNCTION("""COMPUTED_VALUE"""),"Romania")</f>
        <v>Romania</v>
      </c>
      <c r="J643" s="43" t="str">
        <f>IFERROR(__xludf.DUMMYFUNCTION("""COMPUTED_VALUE"""),"BUCURESTI")</f>
        <v>BUCURESTI</v>
      </c>
      <c r="K643" s="44" t="str">
        <f>IFERROR(__xludf.DUMMYFUNCTION("""COMPUTED_VALUE"""),"https://expa.aiesec.org/opportunities/1293694")</f>
        <v>https://expa.aiesec.org/opportunities/1293694</v>
      </c>
      <c r="L643" s="43" t="str">
        <f>IFERROR(__xludf.DUMMYFUNCTION("""COMPUTED_VALUE"""),"GV")</f>
        <v>GV</v>
      </c>
      <c r="M643" s="43" t="str">
        <f>IFERROR(__xludf.DUMMYFUNCTION("""COMPUTED_VALUE"""),"short")</f>
        <v>short</v>
      </c>
      <c r="N643" s="45">
        <f>IFERROR(__xludf.DUMMYFUNCTION("""COMPUTED_VALUE"""),45050.0)</f>
        <v>45050</v>
      </c>
      <c r="O643" s="45">
        <f>IFERROR(__xludf.DUMMYFUNCTION("""COMPUTED_VALUE"""),45110.0)</f>
        <v>45110</v>
      </c>
      <c r="P643" s="45">
        <f>IFERROR(__xludf.DUMMYFUNCTION("""COMPUTED_VALUE"""),45152.0)</f>
        <v>45152</v>
      </c>
      <c r="Q643" s="45">
        <f>IFERROR(__xludf.DUMMYFUNCTION("""COMPUTED_VALUE"""),45110.0)</f>
        <v>45110</v>
      </c>
      <c r="R643" s="45">
        <f>IFERROR(__xludf.DUMMYFUNCTION("""COMPUTED_VALUE"""),45152.0)</f>
        <v>45152</v>
      </c>
      <c r="S643" s="43"/>
      <c r="T643" s="43"/>
      <c r="U643" s="43" t="str">
        <f>IFERROR(__xludf.DUMMYFUNCTION("""COMPUTED_VALUE"""),"Green Leaders")</f>
        <v>Green Leaders</v>
      </c>
      <c r="V643" s="43" t="str">
        <f>IFERROR(__xludf.DUMMYFUNCTION("""COMPUTED_VALUE"""),"NORTH CYPRUS")</f>
        <v>NORTH CYPRUS</v>
      </c>
      <c r="W643" s="43" t="str">
        <f>IFERROR(__xludf.DUMMYFUNCTION("""COMPUTED_VALUE"""),"2023-03-15T14:46:56Z")</f>
        <v>2023-03-15T14:46:56Z</v>
      </c>
      <c r="X643" s="43"/>
      <c r="Y643" s="43"/>
      <c r="Z643" s="43"/>
    </row>
    <row r="644" hidden="1">
      <c r="A644" s="43" t="str">
        <f>IFERROR(__xludf.DUMMYFUNCTION("""COMPUTED_VALUE"""),"5229348_1294453")</f>
        <v>5229348_1294453</v>
      </c>
      <c r="B644" s="43" t="str">
        <f>IFERROR(__xludf.DUMMYFUNCTION("""COMPUTED_VALUE"""),"Atahan Furkan Yıldırım")</f>
        <v>Atahan Furkan Yıldırım</v>
      </c>
      <c r="C644" s="43" t="str">
        <f>IFERROR(__xludf.DUMMYFUNCTION("""COMPUTED_VALUE"""),"completed")</f>
        <v>completed</v>
      </c>
      <c r="D644" s="43" t="str">
        <f>IFERROR(__xludf.DUMMYFUNCTION("""COMPUTED_VALUE"""),"No")</f>
        <v>No</v>
      </c>
      <c r="E644" s="43" t="str">
        <f>IFERROR(__xludf.DUMMYFUNCTION("""COMPUTED_VALUE"""),"p_f7c1168a85fb565ea14df755bd3f94745a440b97@inbound.aiesec.org")</f>
        <v>p_f7c1168a85fb565ea14df755bd3f94745a440b97@inbound.aiesec.org</v>
      </c>
      <c r="F644" s="43">
        <f>IFERROR(__xludf.DUMMYFUNCTION("""COMPUTED_VALUE"""),5.076754011E9)</f>
        <v>5076754011</v>
      </c>
      <c r="G644" s="43" t="str">
        <f>IFERROR(__xludf.DUMMYFUNCTION("""COMPUTED_VALUE"""),"Turkey")</f>
        <v>Turkey</v>
      </c>
      <c r="H644" s="43" t="str">
        <f>IFERROR(__xludf.DUMMYFUNCTION("""COMPUTED_VALUE"""),"İZMİR")</f>
        <v>İZMİR</v>
      </c>
      <c r="I644" s="43" t="str">
        <f>IFERROR(__xludf.DUMMYFUNCTION("""COMPUTED_VALUE"""),"Egypt")</f>
        <v>Egypt</v>
      </c>
      <c r="J644" s="43" t="str">
        <f>IFERROR(__xludf.DUMMYFUNCTION("""COMPUTED_VALUE"""),"AAST In CAIRO")</f>
        <v>AAST In CAIRO</v>
      </c>
      <c r="K644" s="44" t="str">
        <f>IFERROR(__xludf.DUMMYFUNCTION("""COMPUTED_VALUE"""),"https://expa.aiesec.org/opportunities/1294453")</f>
        <v>https://expa.aiesec.org/opportunities/1294453</v>
      </c>
      <c r="L644" s="43" t="str">
        <f>IFERROR(__xludf.DUMMYFUNCTION("""COMPUTED_VALUE"""),"GV")</f>
        <v>GV</v>
      </c>
      <c r="M644" s="43" t="str">
        <f>IFERROR(__xludf.DUMMYFUNCTION("""COMPUTED_VALUE"""),"short")</f>
        <v>short</v>
      </c>
      <c r="N644" s="45">
        <f>IFERROR(__xludf.DUMMYFUNCTION("""COMPUTED_VALUE"""),45051.0)</f>
        <v>45051</v>
      </c>
      <c r="O644" s="45">
        <f>IFERROR(__xludf.DUMMYFUNCTION("""COMPUTED_VALUE"""),45144.0)</f>
        <v>45144</v>
      </c>
      <c r="P644" s="45">
        <f>IFERROR(__xludf.DUMMYFUNCTION("""COMPUTED_VALUE"""),45186.0)</f>
        <v>45186</v>
      </c>
      <c r="Q644" s="45">
        <f>IFERROR(__xludf.DUMMYFUNCTION("""COMPUTED_VALUE"""),45145.0)</f>
        <v>45145</v>
      </c>
      <c r="R644" s="45">
        <f>IFERROR(__xludf.DUMMYFUNCTION("""COMPUTED_VALUE"""),45187.0)</f>
        <v>45187</v>
      </c>
      <c r="S644" s="43"/>
      <c r="T644" s="43"/>
      <c r="U644" s="43" t="str">
        <f>IFERROR(__xludf.DUMMYFUNCTION("""COMPUTED_VALUE"""),"Global Classroom")</f>
        <v>Global Classroom</v>
      </c>
      <c r="V644" s="43" t="str">
        <f>IFERROR(__xludf.DUMMYFUNCTION("""COMPUTED_VALUE"""),"IZMIR")</f>
        <v>IZMIR</v>
      </c>
      <c r="W644" s="43" t="str">
        <f>IFERROR(__xludf.DUMMYFUNCTION("""COMPUTED_VALUE"""),"2023-03-28T18:22:13Z")</f>
        <v>2023-03-28T18:22:13Z</v>
      </c>
      <c r="X644" s="43"/>
      <c r="Y644" s="43"/>
      <c r="Z644" s="43"/>
    </row>
    <row r="645" hidden="1">
      <c r="A645" s="43" t="str">
        <f>IFERROR(__xludf.DUMMYFUNCTION("""COMPUTED_VALUE"""),"5202227_1291996")</f>
        <v>5202227_1291996</v>
      </c>
      <c r="B645" s="43" t="str">
        <f>IFERROR(__xludf.DUMMYFUNCTION("""COMPUTED_VALUE"""),"sude toygun")</f>
        <v>sude toygun</v>
      </c>
      <c r="C645" s="43" t="str">
        <f>IFERROR(__xludf.DUMMYFUNCTION("""COMPUTED_VALUE"""),"completed")</f>
        <v>completed</v>
      </c>
      <c r="D645" s="43" t="str">
        <f>IFERROR(__xludf.DUMMYFUNCTION("""COMPUTED_VALUE"""),"No")</f>
        <v>No</v>
      </c>
      <c r="E645" s="43" t="str">
        <f>IFERROR(__xludf.DUMMYFUNCTION("""COMPUTED_VALUE"""),"p_cd6dc49d019c0117c427e0e596a7ed8ac9822ee3@inbound.aiesec.org")</f>
        <v>p_cd6dc49d019c0117c427e0e596a7ed8ac9822ee3@inbound.aiesec.org</v>
      </c>
      <c r="F645" s="43">
        <f>IFERROR(__xludf.DUMMYFUNCTION("""COMPUTED_VALUE"""),5.465659972E9)</f>
        <v>5465659972</v>
      </c>
      <c r="G645" s="43" t="str">
        <f>IFERROR(__xludf.DUMMYFUNCTION("""COMPUTED_VALUE"""),"Turkey")</f>
        <v>Turkey</v>
      </c>
      <c r="H645" s="43" t="str">
        <f>IFERROR(__xludf.DUMMYFUNCTION("""COMPUTED_VALUE"""),"DENIZLI")</f>
        <v>DENIZLI</v>
      </c>
      <c r="I645" s="43" t="str">
        <f>IFERROR(__xludf.DUMMYFUNCTION("""COMPUTED_VALUE"""),"Egypt")</f>
        <v>Egypt</v>
      </c>
      <c r="J645" s="43" t="str">
        <f>IFERROR(__xludf.DUMMYFUNCTION("""COMPUTED_VALUE"""),"MUST")</f>
        <v>MUST</v>
      </c>
      <c r="K645" s="44" t="str">
        <f>IFERROR(__xludf.DUMMYFUNCTION("""COMPUTED_VALUE"""),"https://expa.aiesec.org/opportunities/1291996")</f>
        <v>https://expa.aiesec.org/opportunities/1291996</v>
      </c>
      <c r="L645" s="43" t="str">
        <f>IFERROR(__xludf.DUMMYFUNCTION("""COMPUTED_VALUE"""),"GV")</f>
        <v>GV</v>
      </c>
      <c r="M645" s="43" t="str">
        <f>IFERROR(__xludf.DUMMYFUNCTION("""COMPUTED_VALUE"""),"short")</f>
        <v>short</v>
      </c>
      <c r="N645" s="45">
        <f>IFERROR(__xludf.DUMMYFUNCTION("""COMPUTED_VALUE"""),45051.0)</f>
        <v>45051</v>
      </c>
      <c r="O645" s="45">
        <f>IFERROR(__xludf.DUMMYFUNCTION("""COMPUTED_VALUE"""),45127.0)</f>
        <v>45127</v>
      </c>
      <c r="P645" s="45">
        <f>IFERROR(__xludf.DUMMYFUNCTION("""COMPUTED_VALUE"""),45169.0)</f>
        <v>45169</v>
      </c>
      <c r="Q645" s="45"/>
      <c r="R645" s="45">
        <f>IFERROR(__xludf.DUMMYFUNCTION("""COMPUTED_VALUE"""),45169.0)</f>
        <v>45169</v>
      </c>
      <c r="S645" s="43"/>
      <c r="T645" s="43"/>
      <c r="U645" s="43" t="str">
        <f>IFERROR(__xludf.DUMMYFUNCTION("""COMPUTED_VALUE"""),"Global Classroom")</f>
        <v>Global Classroom</v>
      </c>
      <c r="V645" s="43" t="str">
        <f>IFERROR(__xludf.DUMMYFUNCTION("""COMPUTED_VALUE"""),"DENIZLI")</f>
        <v>DENIZLI</v>
      </c>
      <c r="W645" s="43" t="str">
        <f>IFERROR(__xludf.DUMMYFUNCTION("""COMPUTED_VALUE"""),"2023-03-01T09:52:58Z")</f>
        <v>2023-03-01T09:52:58Z</v>
      </c>
      <c r="X645" s="43"/>
      <c r="Y645" s="43"/>
      <c r="Z645" s="43"/>
    </row>
    <row r="646" hidden="1">
      <c r="A646" s="43" t="str">
        <f>IFERROR(__xludf.DUMMYFUNCTION("""COMPUTED_VALUE"""),"5249398_1291997")</f>
        <v>5249398_1291997</v>
      </c>
      <c r="B646" s="43" t="str">
        <f>IFERROR(__xludf.DUMMYFUNCTION("""COMPUTED_VALUE"""),"Beliz Akarsu")</f>
        <v>Beliz Akarsu</v>
      </c>
      <c r="C646" s="43" t="str">
        <f>IFERROR(__xludf.DUMMYFUNCTION("""COMPUTED_VALUE"""),"completed")</f>
        <v>completed</v>
      </c>
      <c r="D646" s="43" t="str">
        <f>IFERROR(__xludf.DUMMYFUNCTION("""COMPUTED_VALUE"""),"No")</f>
        <v>No</v>
      </c>
      <c r="E646" s="43" t="str">
        <f>IFERROR(__xludf.DUMMYFUNCTION("""COMPUTED_VALUE"""),"p_5e88d235377a108cd1c4589dc4aaf03190ccd53d@inbound.aiesec.org")</f>
        <v>p_5e88d235377a108cd1c4589dc4aaf03190ccd53d@inbound.aiesec.org</v>
      </c>
      <c r="F646" s="43"/>
      <c r="G646" s="43" t="str">
        <f>IFERROR(__xludf.DUMMYFUNCTION("""COMPUTED_VALUE"""),"Turkey")</f>
        <v>Turkey</v>
      </c>
      <c r="H646" s="43" t="str">
        <f>IFERROR(__xludf.DUMMYFUNCTION("""COMPUTED_VALUE"""),"ISTANBUL")</f>
        <v>ISTANBUL</v>
      </c>
      <c r="I646" s="43" t="str">
        <f>IFERROR(__xludf.DUMMYFUNCTION("""COMPUTED_VALUE"""),"Azerbaijan")</f>
        <v>Azerbaijan</v>
      </c>
      <c r="J646" s="43" t="str">
        <f>IFERROR(__xludf.DUMMYFUNCTION("""COMPUTED_VALUE"""),"Baku ADA")</f>
        <v>Baku ADA</v>
      </c>
      <c r="K646" s="44" t="str">
        <f>IFERROR(__xludf.DUMMYFUNCTION("""COMPUTED_VALUE"""),"https://expa.aiesec.org/opportunities/1291997")</f>
        <v>https://expa.aiesec.org/opportunities/1291997</v>
      </c>
      <c r="L646" s="43" t="str">
        <f>IFERROR(__xludf.DUMMYFUNCTION("""COMPUTED_VALUE"""),"GV")</f>
        <v>GV</v>
      </c>
      <c r="M646" s="43" t="str">
        <f>IFERROR(__xludf.DUMMYFUNCTION("""COMPUTED_VALUE"""),"short")</f>
        <v>short</v>
      </c>
      <c r="N646" s="45">
        <f>IFERROR(__xludf.DUMMYFUNCTION("""COMPUTED_VALUE"""),45051.0)</f>
        <v>45051</v>
      </c>
      <c r="O646" s="45">
        <f>IFERROR(__xludf.DUMMYFUNCTION("""COMPUTED_VALUE"""),45109.0)</f>
        <v>45109</v>
      </c>
      <c r="P646" s="45">
        <f>IFERROR(__xludf.DUMMYFUNCTION("""COMPUTED_VALUE"""),45151.0)</f>
        <v>45151</v>
      </c>
      <c r="Q646" s="45">
        <f>IFERROR(__xludf.DUMMYFUNCTION("""COMPUTED_VALUE"""),45111.0)</f>
        <v>45111</v>
      </c>
      <c r="R646" s="45">
        <f>IFERROR(__xludf.DUMMYFUNCTION("""COMPUTED_VALUE"""),45151.0)</f>
        <v>45151</v>
      </c>
      <c r="S646" s="43"/>
      <c r="T646" s="43"/>
      <c r="U646" s="43" t="str">
        <f>IFERROR(__xludf.DUMMYFUNCTION("""COMPUTED_VALUE"""),"Global Classroom")</f>
        <v>Global Classroom</v>
      </c>
      <c r="V646" s="43" t="str">
        <f>IFERROR(__xludf.DUMMYFUNCTION("""COMPUTED_VALUE"""),"-")</f>
        <v>-</v>
      </c>
      <c r="W646" s="43" t="str">
        <f>IFERROR(__xludf.DUMMYFUNCTION("""COMPUTED_VALUE"""),"2023-04-25T20:09:12Z")</f>
        <v>2023-04-25T20:09:12Z</v>
      </c>
      <c r="X646" s="43"/>
      <c r="Y646" s="43"/>
      <c r="Z646" s="43"/>
    </row>
    <row r="647" hidden="1">
      <c r="A647" s="43" t="str">
        <f>IFERROR(__xludf.DUMMYFUNCTION("""COMPUTED_VALUE"""),"5252056_1289297")</f>
        <v>5252056_1289297</v>
      </c>
      <c r="B647" s="43" t="str">
        <f>IFERROR(__xludf.DUMMYFUNCTION("""COMPUTED_VALUE"""),"Zeynep Tüylü")</f>
        <v>Zeynep Tüylü</v>
      </c>
      <c r="C647" s="43" t="str">
        <f>IFERROR(__xludf.DUMMYFUNCTION("""COMPUTED_VALUE"""),"completed")</f>
        <v>completed</v>
      </c>
      <c r="D647" s="43" t="str">
        <f>IFERROR(__xludf.DUMMYFUNCTION("""COMPUTED_VALUE"""),"No")</f>
        <v>No</v>
      </c>
      <c r="E647" s="43" t="str">
        <f>IFERROR(__xludf.DUMMYFUNCTION("""COMPUTED_VALUE"""),"p_779160fed651d00f9705f49c86f022e3beaf6b30@inbound.aiesec.org")</f>
        <v>p_779160fed651d00f9705f49c86f022e3beaf6b30@inbound.aiesec.org</v>
      </c>
      <c r="F647" s="43">
        <f>IFERROR(__xludf.DUMMYFUNCTION("""COMPUTED_VALUE"""),5.317930098E9)</f>
        <v>5317930098</v>
      </c>
      <c r="G647" s="43" t="str">
        <f>IFERROR(__xludf.DUMMYFUNCTION("""COMPUTED_VALUE"""),"Turkey")</f>
        <v>Turkey</v>
      </c>
      <c r="H647" s="43" t="str">
        <f>IFERROR(__xludf.DUMMYFUNCTION("""COMPUTED_VALUE"""),"ISTANBUL")</f>
        <v>ISTANBUL</v>
      </c>
      <c r="I647" s="43" t="str">
        <f>IFERROR(__xludf.DUMMYFUNCTION("""COMPUTED_VALUE"""),"Azerbaijan")</f>
        <v>Azerbaijan</v>
      </c>
      <c r="J647" s="43" t="str">
        <f>IFERROR(__xludf.DUMMYFUNCTION("""COMPUTED_VALUE"""),"Baku Synergy")</f>
        <v>Baku Synergy</v>
      </c>
      <c r="K647" s="44" t="str">
        <f>IFERROR(__xludf.DUMMYFUNCTION("""COMPUTED_VALUE"""),"https://expa.aiesec.org/opportunities/1289297")</f>
        <v>https://expa.aiesec.org/opportunities/1289297</v>
      </c>
      <c r="L647" s="43" t="str">
        <f>IFERROR(__xludf.DUMMYFUNCTION("""COMPUTED_VALUE"""),"GV")</f>
        <v>GV</v>
      </c>
      <c r="M647" s="43" t="str">
        <f>IFERROR(__xludf.DUMMYFUNCTION("""COMPUTED_VALUE"""),"short")</f>
        <v>short</v>
      </c>
      <c r="N647" s="45">
        <f>IFERROR(__xludf.DUMMYFUNCTION("""COMPUTED_VALUE"""),45051.0)</f>
        <v>45051</v>
      </c>
      <c r="O647" s="45">
        <f>IFERROR(__xludf.DUMMYFUNCTION("""COMPUTED_VALUE"""),45110.0)</f>
        <v>45110</v>
      </c>
      <c r="P647" s="45">
        <f>IFERROR(__xludf.DUMMYFUNCTION("""COMPUTED_VALUE"""),45152.0)</f>
        <v>45152</v>
      </c>
      <c r="Q647" s="45">
        <f>IFERROR(__xludf.DUMMYFUNCTION("""COMPUTED_VALUE"""),45110.0)</f>
        <v>45110</v>
      </c>
      <c r="R647" s="45">
        <f>IFERROR(__xludf.DUMMYFUNCTION("""COMPUTED_VALUE"""),45152.0)</f>
        <v>45152</v>
      </c>
      <c r="S647" s="43"/>
      <c r="T647" s="43"/>
      <c r="U647" s="43" t="str">
        <f>IFERROR(__xludf.DUMMYFUNCTION("""COMPUTED_VALUE"""),"Youth 4 Impact")</f>
        <v>Youth 4 Impact</v>
      </c>
      <c r="V647" s="43" t="str">
        <f>IFERROR(__xludf.DUMMYFUNCTION("""COMPUTED_VALUE"""),"ISTANBUL - BEYOGLU")</f>
        <v>ISTANBUL - BEYOGLU</v>
      </c>
      <c r="W647" s="43" t="str">
        <f>IFERROR(__xludf.DUMMYFUNCTION("""COMPUTED_VALUE"""),"2023-04-28T18:18:18Z")</f>
        <v>2023-04-28T18:18:18Z</v>
      </c>
      <c r="X647" s="43"/>
      <c r="Y647" s="43"/>
      <c r="Z647" s="43"/>
    </row>
    <row r="648" hidden="1">
      <c r="A648" s="43" t="str">
        <f>IFERROR(__xludf.DUMMYFUNCTION("""COMPUTED_VALUE"""),"5255042_1294811")</f>
        <v>5255042_1294811</v>
      </c>
      <c r="B648" s="43" t="str">
        <f>IFERROR(__xludf.DUMMYFUNCTION("""COMPUTED_VALUE"""),"İrem Aydoğdu")</f>
        <v>İrem Aydoğdu</v>
      </c>
      <c r="C648" s="43" t="str">
        <f>IFERROR(__xludf.DUMMYFUNCTION("""COMPUTED_VALUE"""),"approved")</f>
        <v>approved</v>
      </c>
      <c r="D648" s="43" t="str">
        <f>IFERROR(__xludf.DUMMYFUNCTION("""COMPUTED_VALUE"""),"No")</f>
        <v>No</v>
      </c>
      <c r="E648" s="43" t="str">
        <f>IFERROR(__xludf.DUMMYFUNCTION("""COMPUTED_VALUE"""),"p_4a135c061aa494449688361a7d14dae2a6f044d7@inbound.aiesec.org")</f>
        <v>p_4a135c061aa494449688361a7d14dae2a6f044d7@inbound.aiesec.org</v>
      </c>
      <c r="F648" s="43">
        <f>IFERROR(__xludf.DUMMYFUNCTION("""COMPUTED_VALUE"""),5.413204059E9)</f>
        <v>5413204059</v>
      </c>
      <c r="G648" s="43" t="str">
        <f>IFERROR(__xludf.DUMMYFUNCTION("""COMPUTED_VALUE"""),"Turkey")</f>
        <v>Turkey</v>
      </c>
      <c r="H648" s="43" t="str">
        <f>IFERROR(__xludf.DUMMYFUNCTION("""COMPUTED_VALUE"""),"ISTANBUL")</f>
        <v>ISTANBUL</v>
      </c>
      <c r="I648" s="43" t="str">
        <f>IFERROR(__xludf.DUMMYFUNCTION("""COMPUTED_VALUE"""),"Tunisia")</f>
        <v>Tunisia</v>
      </c>
      <c r="J648" s="43" t="str">
        <f>IFERROR(__xludf.DUMMYFUNCTION("""COMPUTED_VALUE"""),"UNIVERSITY")</f>
        <v>UNIVERSITY</v>
      </c>
      <c r="K648" s="44" t="str">
        <f>IFERROR(__xludf.DUMMYFUNCTION("""COMPUTED_VALUE"""),"https://expa.aiesec.org/opportunities/1294811")</f>
        <v>https://expa.aiesec.org/opportunities/1294811</v>
      </c>
      <c r="L648" s="43" t="str">
        <f>IFERROR(__xludf.DUMMYFUNCTION("""COMPUTED_VALUE"""),"GV")</f>
        <v>GV</v>
      </c>
      <c r="M648" s="43" t="str">
        <f>IFERROR(__xludf.DUMMYFUNCTION("""COMPUTED_VALUE"""),"short")</f>
        <v>short</v>
      </c>
      <c r="N648" s="45">
        <f>IFERROR(__xludf.DUMMYFUNCTION("""COMPUTED_VALUE"""),45051.0)</f>
        <v>45051</v>
      </c>
      <c r="O648" s="45">
        <f>IFERROR(__xludf.DUMMYFUNCTION("""COMPUTED_VALUE"""),45170.0)</f>
        <v>45170</v>
      </c>
      <c r="P648" s="45">
        <f>IFERROR(__xludf.DUMMYFUNCTION("""COMPUTED_VALUE"""),45214.0)</f>
        <v>45214</v>
      </c>
      <c r="Q648" s="45"/>
      <c r="R648" s="45"/>
      <c r="S648" s="43"/>
      <c r="T648" s="43"/>
      <c r="U648" s="43" t="str">
        <f>IFERROR(__xludf.DUMMYFUNCTION("""COMPUTED_VALUE"""),"Global Classroom")</f>
        <v>Global Classroom</v>
      </c>
      <c r="V648" s="43" t="str">
        <f>IFERROR(__xludf.DUMMYFUNCTION("""COMPUTED_VALUE"""),"TEKIRDAG")</f>
        <v>TEKIRDAG</v>
      </c>
      <c r="W648" s="43" t="str">
        <f>IFERROR(__xludf.DUMMYFUNCTION("""COMPUTED_VALUE"""),"2023-05-03T12:07:23Z")</f>
        <v>2023-05-03T12:07:23Z</v>
      </c>
      <c r="X648" s="43"/>
      <c r="Y648" s="43"/>
      <c r="Z648" s="43"/>
    </row>
    <row r="649" hidden="1">
      <c r="A649" s="43" t="str">
        <f>IFERROR(__xludf.DUMMYFUNCTION("""COMPUTED_VALUE"""),"5254623_1292188")</f>
        <v>5254623_1292188</v>
      </c>
      <c r="B649" s="43" t="str">
        <f>IFERROR(__xludf.DUMMYFUNCTION("""COMPUTED_VALUE"""),"MİRAY AYKURT")</f>
        <v>MİRAY AYKURT</v>
      </c>
      <c r="C649" s="43" t="str">
        <f>IFERROR(__xludf.DUMMYFUNCTION("""COMPUTED_VALUE"""),"approved")</f>
        <v>approved</v>
      </c>
      <c r="D649" s="43" t="str">
        <f>IFERROR(__xludf.DUMMYFUNCTION("""COMPUTED_VALUE"""),"No")</f>
        <v>No</v>
      </c>
      <c r="E649" s="43" t="str">
        <f>IFERROR(__xludf.DUMMYFUNCTION("""COMPUTED_VALUE"""),"p_752ce5100906b15cb4af62e13e03d5f233cd0ef8@inbound.aiesec.org")</f>
        <v>p_752ce5100906b15cb4af62e13e03d5f233cd0ef8@inbound.aiesec.org</v>
      </c>
      <c r="F649" s="43">
        <f>IFERROR(__xludf.DUMMYFUNCTION("""COMPUTED_VALUE"""),5.334015659E9)</f>
        <v>5334015659</v>
      </c>
      <c r="G649" s="43" t="str">
        <f>IFERROR(__xludf.DUMMYFUNCTION("""COMPUTED_VALUE"""),"Turkey")</f>
        <v>Turkey</v>
      </c>
      <c r="H649" s="43" t="str">
        <f>IFERROR(__xludf.DUMMYFUNCTION("""COMPUTED_VALUE"""),"ISPARTA")</f>
        <v>ISPARTA</v>
      </c>
      <c r="I649" s="43" t="str">
        <f>IFERROR(__xludf.DUMMYFUNCTION("""COMPUTED_VALUE"""),"Egypt")</f>
        <v>Egypt</v>
      </c>
      <c r="J649" s="43" t="str">
        <f>IFERROR(__xludf.DUMMYFUNCTION("""COMPUTED_VALUE"""),"Helwan")</f>
        <v>Helwan</v>
      </c>
      <c r="K649" s="44" t="str">
        <f>IFERROR(__xludf.DUMMYFUNCTION("""COMPUTED_VALUE"""),"https://expa.aiesec.org/opportunities/1292188")</f>
        <v>https://expa.aiesec.org/opportunities/1292188</v>
      </c>
      <c r="L649" s="43" t="str">
        <f>IFERROR(__xludf.DUMMYFUNCTION("""COMPUTED_VALUE"""),"GV")</f>
        <v>GV</v>
      </c>
      <c r="M649" s="43" t="str">
        <f>IFERROR(__xludf.DUMMYFUNCTION("""COMPUTED_VALUE"""),"short")</f>
        <v>short</v>
      </c>
      <c r="N649" s="45">
        <f>IFERROR(__xludf.DUMMYFUNCTION("""COMPUTED_VALUE"""),45051.0)</f>
        <v>45051</v>
      </c>
      <c r="O649" s="45">
        <f>IFERROR(__xludf.DUMMYFUNCTION("""COMPUTED_VALUE"""),45306.0)</f>
        <v>45306</v>
      </c>
      <c r="P649" s="45">
        <f>IFERROR(__xludf.DUMMYFUNCTION("""COMPUTED_VALUE"""),45348.0)</f>
        <v>45348</v>
      </c>
      <c r="Q649" s="45"/>
      <c r="R649" s="45"/>
      <c r="S649" s="43"/>
      <c r="T649" s="43"/>
      <c r="U649" s="43" t="str">
        <f>IFERROR(__xludf.DUMMYFUNCTION("""COMPUTED_VALUE"""),"On The Map")</f>
        <v>On The Map</v>
      </c>
      <c r="V649" s="43" t="str">
        <f>IFERROR(__xludf.DUMMYFUNCTION("""COMPUTED_VALUE"""),"ISPARTA")</f>
        <v>ISPARTA</v>
      </c>
      <c r="W649" s="43" t="str">
        <f>IFERROR(__xludf.DUMMYFUNCTION("""COMPUTED_VALUE"""),"2023-05-02T22:39:14Z")</f>
        <v>2023-05-02T22:39:14Z</v>
      </c>
      <c r="X649" s="43"/>
      <c r="Y649" s="43"/>
      <c r="Z649" s="43"/>
    </row>
    <row r="650" hidden="1">
      <c r="A650" s="43" t="str">
        <f>IFERROR(__xludf.DUMMYFUNCTION("""COMPUTED_VALUE"""),"5254300_1294453")</f>
        <v>5254300_1294453</v>
      </c>
      <c r="B650" s="43" t="str">
        <f>IFERROR(__xludf.DUMMYFUNCTION("""COMPUTED_VALUE"""),"Gulcan Erol")</f>
        <v>Gulcan Erol</v>
      </c>
      <c r="C650" s="43" t="str">
        <f>IFERROR(__xludf.DUMMYFUNCTION("""COMPUTED_VALUE"""),"completed")</f>
        <v>completed</v>
      </c>
      <c r="D650" s="43" t="str">
        <f>IFERROR(__xludf.DUMMYFUNCTION("""COMPUTED_VALUE"""),"No")</f>
        <v>No</v>
      </c>
      <c r="E650" s="43" t="str">
        <f>IFERROR(__xludf.DUMMYFUNCTION("""COMPUTED_VALUE"""),"p_76f5d23a159f47030ea0d5bae5edbba3fc4cd0a3@inbound.aiesec.org")</f>
        <v>p_76f5d23a159f47030ea0d5bae5edbba3fc4cd0a3@inbound.aiesec.org</v>
      </c>
      <c r="F650" s="43"/>
      <c r="G650" s="43" t="str">
        <f>IFERROR(__xludf.DUMMYFUNCTION("""COMPUTED_VALUE"""),"Turkey")</f>
        <v>Turkey</v>
      </c>
      <c r="H650" s="43" t="str">
        <f>IFERROR(__xludf.DUMMYFUNCTION("""COMPUTED_VALUE"""),"İZMİR")</f>
        <v>İZMİR</v>
      </c>
      <c r="I650" s="43" t="str">
        <f>IFERROR(__xludf.DUMMYFUNCTION("""COMPUTED_VALUE"""),"Egypt")</f>
        <v>Egypt</v>
      </c>
      <c r="J650" s="43" t="str">
        <f>IFERROR(__xludf.DUMMYFUNCTION("""COMPUTED_VALUE"""),"AAST In CAIRO")</f>
        <v>AAST In CAIRO</v>
      </c>
      <c r="K650" s="44" t="str">
        <f>IFERROR(__xludf.DUMMYFUNCTION("""COMPUTED_VALUE"""),"https://expa.aiesec.org/opportunities/1294453")</f>
        <v>https://expa.aiesec.org/opportunities/1294453</v>
      </c>
      <c r="L650" s="43" t="str">
        <f>IFERROR(__xludf.DUMMYFUNCTION("""COMPUTED_VALUE"""),"GV")</f>
        <v>GV</v>
      </c>
      <c r="M650" s="43" t="str">
        <f>IFERROR(__xludf.DUMMYFUNCTION("""COMPUTED_VALUE"""),"short")</f>
        <v>short</v>
      </c>
      <c r="N650" s="45">
        <f>IFERROR(__xludf.DUMMYFUNCTION("""COMPUTED_VALUE"""),45051.0)</f>
        <v>45051</v>
      </c>
      <c r="O650" s="45">
        <f>IFERROR(__xludf.DUMMYFUNCTION("""COMPUTED_VALUE"""),45108.0)</f>
        <v>45108</v>
      </c>
      <c r="P650" s="45">
        <f>IFERROR(__xludf.DUMMYFUNCTION("""COMPUTED_VALUE"""),45150.0)</f>
        <v>45150</v>
      </c>
      <c r="Q650" s="45">
        <f>IFERROR(__xludf.DUMMYFUNCTION("""COMPUTED_VALUE"""),45121.0)</f>
        <v>45121</v>
      </c>
      <c r="R650" s="45">
        <f>IFERROR(__xludf.DUMMYFUNCTION("""COMPUTED_VALUE"""),45150.0)</f>
        <v>45150</v>
      </c>
      <c r="S650" s="43"/>
      <c r="T650" s="43"/>
      <c r="U650" s="43" t="str">
        <f>IFERROR(__xludf.DUMMYFUNCTION("""COMPUTED_VALUE"""),"Global Classroom")</f>
        <v>Global Classroom</v>
      </c>
      <c r="V650" s="43" t="str">
        <f>IFERROR(__xludf.DUMMYFUNCTION("""COMPUTED_VALUE"""),"-")</f>
        <v>-</v>
      </c>
      <c r="W650" s="43" t="str">
        <f>IFERROR(__xludf.DUMMYFUNCTION("""COMPUTED_VALUE"""),"2023-05-02T13:38:02Z")</f>
        <v>2023-05-02T13:38:02Z</v>
      </c>
      <c r="X650" s="43"/>
      <c r="Y650" s="43"/>
      <c r="Z650" s="43"/>
    </row>
    <row r="651" hidden="1">
      <c r="A651" s="43" t="str">
        <f>IFERROR(__xludf.DUMMYFUNCTION("""COMPUTED_VALUE"""),"5253898_1284312")</f>
        <v>5253898_1284312</v>
      </c>
      <c r="B651" s="43" t="str">
        <f>IFERROR(__xludf.DUMMYFUNCTION("""COMPUTED_VALUE"""),"Zeki Akbaş")</f>
        <v>Zeki Akbaş</v>
      </c>
      <c r="C651" s="43" t="str">
        <f>IFERROR(__xludf.DUMMYFUNCTION("""COMPUTED_VALUE"""),"completed")</f>
        <v>completed</v>
      </c>
      <c r="D651" s="43" t="str">
        <f>IFERROR(__xludf.DUMMYFUNCTION("""COMPUTED_VALUE"""),"No")</f>
        <v>No</v>
      </c>
      <c r="E651" s="43" t="str">
        <f>IFERROR(__xludf.DUMMYFUNCTION("""COMPUTED_VALUE"""),"p_867380fa503531ec97503247ae5b13ee915a5b1a@inbound.aiesec.org")</f>
        <v>p_867380fa503531ec97503247ae5b13ee915a5b1a@inbound.aiesec.org</v>
      </c>
      <c r="F651" s="43"/>
      <c r="G651" s="43" t="str">
        <f>IFERROR(__xludf.DUMMYFUNCTION("""COMPUTED_VALUE"""),"Turkey")</f>
        <v>Turkey</v>
      </c>
      <c r="H651" s="43" t="str">
        <f>IFERROR(__xludf.DUMMYFUNCTION("""COMPUTED_VALUE"""),"KOCAELI")</f>
        <v>KOCAELI</v>
      </c>
      <c r="I651" s="43" t="str">
        <f>IFERROR(__xludf.DUMMYFUNCTION("""COMPUTED_VALUE"""),"Sri Lanka")</f>
        <v>Sri Lanka</v>
      </c>
      <c r="J651" s="43" t="str">
        <f>IFERROR(__xludf.DUMMYFUNCTION("""COMPUTED_VALUE"""),"SLIIT")</f>
        <v>SLIIT</v>
      </c>
      <c r="K651" s="44" t="str">
        <f>IFERROR(__xludf.DUMMYFUNCTION("""COMPUTED_VALUE"""),"https://expa.aiesec.org/opportunities/1284312")</f>
        <v>https://expa.aiesec.org/opportunities/1284312</v>
      </c>
      <c r="L651" s="43" t="str">
        <f>IFERROR(__xludf.DUMMYFUNCTION("""COMPUTED_VALUE"""),"GV")</f>
        <v>GV</v>
      </c>
      <c r="M651" s="43" t="str">
        <f>IFERROR(__xludf.DUMMYFUNCTION("""COMPUTED_VALUE"""),"short")</f>
        <v>short</v>
      </c>
      <c r="N651" s="45">
        <f>IFERROR(__xludf.DUMMYFUNCTION("""COMPUTED_VALUE"""),45051.0)</f>
        <v>45051</v>
      </c>
      <c r="O651" s="45">
        <f>IFERROR(__xludf.DUMMYFUNCTION("""COMPUTED_VALUE"""),45139.0)</f>
        <v>45139</v>
      </c>
      <c r="P651" s="45">
        <f>IFERROR(__xludf.DUMMYFUNCTION("""COMPUTED_VALUE"""),45181.0)</f>
        <v>45181</v>
      </c>
      <c r="Q651" s="45">
        <f>IFERROR(__xludf.DUMMYFUNCTION("""COMPUTED_VALUE"""),45140.0)</f>
        <v>45140</v>
      </c>
      <c r="R651" s="45">
        <f>IFERROR(__xludf.DUMMYFUNCTION("""COMPUTED_VALUE"""),45181.0)</f>
        <v>45181</v>
      </c>
      <c r="S651" s="43"/>
      <c r="T651" s="43"/>
      <c r="U651" s="43" t="str">
        <f>IFERROR(__xludf.DUMMYFUNCTION("""COMPUTED_VALUE"""),"On The Map")</f>
        <v>On The Map</v>
      </c>
      <c r="V651" s="43" t="str">
        <f>IFERROR(__xludf.DUMMYFUNCTION("""COMPUTED_VALUE"""),"-")</f>
        <v>-</v>
      </c>
      <c r="W651" s="43" t="str">
        <f>IFERROR(__xludf.DUMMYFUNCTION("""COMPUTED_VALUE"""),"2023-05-01T19:57:54Z")</f>
        <v>2023-05-01T19:57:54Z</v>
      </c>
      <c r="X651" s="43"/>
      <c r="Y651" s="43"/>
      <c r="Z651" s="43"/>
    </row>
    <row r="652" hidden="1">
      <c r="A652" s="43" t="str">
        <f>IFERROR(__xludf.DUMMYFUNCTION("""COMPUTED_VALUE"""),"5252550_1290043")</f>
        <v>5252550_1290043</v>
      </c>
      <c r="B652" s="43" t="str">
        <f>IFERROR(__xludf.DUMMYFUNCTION("""COMPUTED_VALUE"""),"Ahmet Yazağaç")</f>
        <v>Ahmet Yazağaç</v>
      </c>
      <c r="C652" s="43" t="str">
        <f>IFERROR(__xludf.DUMMYFUNCTION("""COMPUTED_VALUE"""),"completed")</f>
        <v>completed</v>
      </c>
      <c r="D652" s="43" t="str">
        <f>IFERROR(__xludf.DUMMYFUNCTION("""COMPUTED_VALUE"""),"No")</f>
        <v>No</v>
      </c>
      <c r="E652" s="43" t="str">
        <f>IFERROR(__xludf.DUMMYFUNCTION("""COMPUTED_VALUE"""),"p_b3075853ab518fe4bde61d52250383d0b3e10216@inbound.aiesec.org")</f>
        <v>p_b3075853ab518fe4bde61d52250383d0b3e10216@inbound.aiesec.org</v>
      </c>
      <c r="F652" s="43">
        <f>IFERROR(__xludf.DUMMYFUNCTION("""COMPUTED_VALUE"""),5.418464484E9)</f>
        <v>5418464484</v>
      </c>
      <c r="G652" s="43" t="str">
        <f>IFERROR(__xludf.DUMMYFUNCTION("""COMPUTED_VALUE"""),"Turkey")</f>
        <v>Turkey</v>
      </c>
      <c r="H652" s="43" t="str">
        <f>IFERROR(__xludf.DUMMYFUNCTION("""COMPUTED_VALUE"""),"KUTAHYA")</f>
        <v>KUTAHYA</v>
      </c>
      <c r="I652" s="43" t="str">
        <f>IFERROR(__xludf.DUMMYFUNCTION("""COMPUTED_VALUE"""),"Romania")</f>
        <v>Romania</v>
      </c>
      <c r="J652" s="43" t="str">
        <f>IFERROR(__xludf.DUMMYFUNCTION("""COMPUTED_VALUE"""),"PITESTI")</f>
        <v>PITESTI</v>
      </c>
      <c r="K652" s="44" t="str">
        <f>IFERROR(__xludf.DUMMYFUNCTION("""COMPUTED_VALUE"""),"https://expa.aiesec.org/opportunities/1290043")</f>
        <v>https://expa.aiesec.org/opportunities/1290043</v>
      </c>
      <c r="L652" s="43" t="str">
        <f>IFERROR(__xludf.DUMMYFUNCTION("""COMPUTED_VALUE"""),"GV")</f>
        <v>GV</v>
      </c>
      <c r="M652" s="43" t="str">
        <f>IFERROR(__xludf.DUMMYFUNCTION("""COMPUTED_VALUE"""),"short")</f>
        <v>short</v>
      </c>
      <c r="N652" s="45">
        <f>IFERROR(__xludf.DUMMYFUNCTION("""COMPUTED_VALUE"""),45051.0)</f>
        <v>45051</v>
      </c>
      <c r="O652" s="45">
        <f>IFERROR(__xludf.DUMMYFUNCTION("""COMPUTED_VALUE"""),45075.0)</f>
        <v>45075</v>
      </c>
      <c r="P652" s="45">
        <f>IFERROR(__xludf.DUMMYFUNCTION("""COMPUTED_VALUE"""),45117.0)</f>
        <v>45117</v>
      </c>
      <c r="Q652" s="45">
        <f>IFERROR(__xludf.DUMMYFUNCTION("""COMPUTED_VALUE"""),45078.0)</f>
        <v>45078</v>
      </c>
      <c r="R652" s="45">
        <f>IFERROR(__xludf.DUMMYFUNCTION("""COMPUTED_VALUE"""),45120.0)</f>
        <v>45120</v>
      </c>
      <c r="S652" s="43"/>
      <c r="T652" s="43"/>
      <c r="U652" s="43" t="str">
        <f>IFERROR(__xludf.DUMMYFUNCTION("""COMPUTED_VALUE"""),"Global Classroom")</f>
        <v>Global Classroom</v>
      </c>
      <c r="V652" s="43" t="str">
        <f>IFERROR(__xludf.DUMMYFUNCTION("""COMPUTED_VALUE"""),"KUTAHYA")</f>
        <v>KUTAHYA</v>
      </c>
      <c r="W652" s="43" t="str">
        <f>IFERROR(__xludf.DUMMYFUNCTION("""COMPUTED_VALUE"""),"2023-04-29T15:40:38Z")</f>
        <v>2023-04-29T15:40:38Z</v>
      </c>
      <c r="X652" s="43"/>
      <c r="Y652" s="43"/>
      <c r="Z652" s="43"/>
    </row>
    <row r="653" hidden="1">
      <c r="A653" s="43" t="str">
        <f>IFERROR(__xludf.DUMMYFUNCTION("""COMPUTED_VALUE"""),"5249986_1293463")</f>
        <v>5249986_1293463</v>
      </c>
      <c r="B653" s="43" t="str">
        <f>IFERROR(__xludf.DUMMYFUNCTION("""COMPUTED_VALUE"""),"Zeynep Uzundurukan")</f>
        <v>Zeynep Uzundurukan</v>
      </c>
      <c r="C653" s="43" t="str">
        <f>IFERROR(__xludf.DUMMYFUNCTION("""COMPUTED_VALUE"""),"approved")</f>
        <v>approved</v>
      </c>
      <c r="D653" s="43" t="str">
        <f>IFERROR(__xludf.DUMMYFUNCTION("""COMPUTED_VALUE"""),"No")</f>
        <v>No</v>
      </c>
      <c r="E653" s="43" t="str">
        <f>IFERROR(__xludf.DUMMYFUNCTION("""COMPUTED_VALUE"""),"p_e4e1f632792ec8338348abfc9b3e45ef8f706068@inbound.aiesec.org")</f>
        <v>p_e4e1f632792ec8338348abfc9b3e45ef8f706068@inbound.aiesec.org</v>
      </c>
      <c r="F653" s="43"/>
      <c r="G653" s="43" t="str">
        <f>IFERROR(__xludf.DUMMYFUNCTION("""COMPUTED_VALUE"""),"Turkey")</f>
        <v>Turkey</v>
      </c>
      <c r="H653" s="43" t="str">
        <f>IFERROR(__xludf.DUMMYFUNCTION("""COMPUTED_VALUE"""),"ANKARA")</f>
        <v>ANKARA</v>
      </c>
      <c r="I653" s="43" t="str">
        <f>IFERROR(__xludf.DUMMYFUNCTION("""COMPUTED_VALUE"""),"Egypt")</f>
        <v>Egypt</v>
      </c>
      <c r="J653" s="43" t="str">
        <f>IFERROR(__xludf.DUMMYFUNCTION("""COMPUTED_VALUE"""),"Tanta")</f>
        <v>Tanta</v>
      </c>
      <c r="K653" s="44" t="str">
        <f>IFERROR(__xludf.DUMMYFUNCTION("""COMPUTED_VALUE"""),"https://expa.aiesec.org/opportunities/1293463")</f>
        <v>https://expa.aiesec.org/opportunities/1293463</v>
      </c>
      <c r="L653" s="43" t="str">
        <f>IFERROR(__xludf.DUMMYFUNCTION("""COMPUTED_VALUE"""),"GV")</f>
        <v>GV</v>
      </c>
      <c r="M653" s="43" t="str">
        <f>IFERROR(__xludf.DUMMYFUNCTION("""COMPUTED_VALUE"""),"short")</f>
        <v>short</v>
      </c>
      <c r="N653" s="45">
        <f>IFERROR(__xludf.DUMMYFUNCTION("""COMPUTED_VALUE"""),45051.0)</f>
        <v>45051</v>
      </c>
      <c r="O653" s="45">
        <f>IFERROR(__xludf.DUMMYFUNCTION("""COMPUTED_VALUE"""),45108.0)</f>
        <v>45108</v>
      </c>
      <c r="P653" s="45">
        <f>IFERROR(__xludf.DUMMYFUNCTION("""COMPUTED_VALUE"""),45150.0)</f>
        <v>45150</v>
      </c>
      <c r="Q653" s="45"/>
      <c r="R653" s="45"/>
      <c r="S653" s="43"/>
      <c r="T653" s="43"/>
      <c r="U653" s="43" t="str">
        <f>IFERROR(__xludf.DUMMYFUNCTION("""COMPUTED_VALUE"""),"Green Leaders")</f>
        <v>Green Leaders</v>
      </c>
      <c r="V653" s="43" t="str">
        <f>IFERROR(__xludf.DUMMYFUNCTION("""COMPUTED_VALUE"""),"-")</f>
        <v>-</v>
      </c>
      <c r="W653" s="43" t="str">
        <f>IFERROR(__xludf.DUMMYFUNCTION("""COMPUTED_VALUE"""),"2023-04-26T15:33:59Z")</f>
        <v>2023-04-26T15:33:59Z</v>
      </c>
      <c r="X653" s="43"/>
      <c r="Y653" s="43"/>
      <c r="Z653" s="43"/>
    </row>
    <row r="654" hidden="1">
      <c r="A654" s="43" t="str">
        <f>IFERROR(__xludf.DUMMYFUNCTION("""COMPUTED_VALUE"""),"4702083_1293463")</f>
        <v>4702083_1293463</v>
      </c>
      <c r="B654" s="43" t="str">
        <f>IFERROR(__xludf.DUMMYFUNCTION("""COMPUTED_VALUE"""),"Mustafa Akarsu")</f>
        <v>Mustafa Akarsu</v>
      </c>
      <c r="C654" s="43" t="str">
        <f>IFERROR(__xludf.DUMMYFUNCTION("""COMPUTED_VALUE"""),"approved")</f>
        <v>approved</v>
      </c>
      <c r="D654" s="43" t="str">
        <f>IFERROR(__xludf.DUMMYFUNCTION("""COMPUTED_VALUE"""),"No")</f>
        <v>No</v>
      </c>
      <c r="E654" s="43" t="str">
        <f>IFERROR(__xludf.DUMMYFUNCTION("""COMPUTED_VALUE"""),"p_ddab2dd042accdf96a9a9f2ab1612708525cab9d@inbound.aiesec.org")</f>
        <v>p_ddab2dd042accdf96a9a9f2ab1612708525cab9d@inbound.aiesec.org</v>
      </c>
      <c r="F654" s="43">
        <f>IFERROR(__xludf.DUMMYFUNCTION("""COMPUTED_VALUE"""),5.530040145E9)</f>
        <v>5530040145</v>
      </c>
      <c r="G654" s="43" t="str">
        <f>IFERROR(__xludf.DUMMYFUNCTION("""COMPUTED_VALUE"""),"Turkey")</f>
        <v>Turkey</v>
      </c>
      <c r="H654" s="43" t="str">
        <f>IFERROR(__xludf.DUMMYFUNCTION("""COMPUTED_VALUE"""),"İZMİR")</f>
        <v>İZMİR</v>
      </c>
      <c r="I654" s="43" t="str">
        <f>IFERROR(__xludf.DUMMYFUNCTION("""COMPUTED_VALUE"""),"Egypt")</f>
        <v>Egypt</v>
      </c>
      <c r="J654" s="43" t="str">
        <f>IFERROR(__xludf.DUMMYFUNCTION("""COMPUTED_VALUE"""),"Tanta")</f>
        <v>Tanta</v>
      </c>
      <c r="K654" s="44" t="str">
        <f>IFERROR(__xludf.DUMMYFUNCTION("""COMPUTED_VALUE"""),"https://expa.aiesec.org/opportunities/1293463")</f>
        <v>https://expa.aiesec.org/opportunities/1293463</v>
      </c>
      <c r="L654" s="43" t="str">
        <f>IFERROR(__xludf.DUMMYFUNCTION("""COMPUTED_VALUE"""),"GV")</f>
        <v>GV</v>
      </c>
      <c r="M654" s="43" t="str">
        <f>IFERROR(__xludf.DUMMYFUNCTION("""COMPUTED_VALUE"""),"short")</f>
        <v>short</v>
      </c>
      <c r="N654" s="45">
        <f>IFERROR(__xludf.DUMMYFUNCTION("""COMPUTED_VALUE"""),45051.0)</f>
        <v>45051</v>
      </c>
      <c r="O654" s="45">
        <f>IFERROR(__xludf.DUMMYFUNCTION("""COMPUTED_VALUE"""),45108.0)</f>
        <v>45108</v>
      </c>
      <c r="P654" s="45">
        <f>IFERROR(__xludf.DUMMYFUNCTION("""COMPUTED_VALUE"""),45150.0)</f>
        <v>45150</v>
      </c>
      <c r="Q654" s="45"/>
      <c r="R654" s="45"/>
      <c r="S654" s="43"/>
      <c r="T654" s="43"/>
      <c r="U654" s="43" t="str">
        <f>IFERROR(__xludf.DUMMYFUNCTION("""COMPUTED_VALUE"""),"Green Leaders")</f>
        <v>Green Leaders</v>
      </c>
      <c r="V654" s="43" t="str">
        <f>IFERROR(__xludf.DUMMYFUNCTION("""COMPUTED_VALUE"""),"ISTANBUL - BEYOGLU")</f>
        <v>ISTANBUL - BEYOGLU</v>
      </c>
      <c r="W654" s="43" t="str">
        <f>IFERROR(__xludf.DUMMYFUNCTION("""COMPUTED_VALUE"""),"2021-08-01T15:18:58Z")</f>
        <v>2021-08-01T15:18:58Z</v>
      </c>
      <c r="X654" s="43"/>
      <c r="Y654" s="43"/>
      <c r="Z654" s="43"/>
    </row>
    <row r="655" hidden="1">
      <c r="A655" s="43" t="str">
        <f>IFERROR(__xludf.DUMMYFUNCTION("""COMPUTED_VALUE"""),"5227408_1294310")</f>
        <v>5227408_1294310</v>
      </c>
      <c r="B655" s="43" t="str">
        <f>IFERROR(__xludf.DUMMYFUNCTION("""COMPUTED_VALUE"""),"vildan nur karaoğlan")</f>
        <v>vildan nur karaoğlan</v>
      </c>
      <c r="C655" s="43" t="str">
        <f>IFERROR(__xludf.DUMMYFUNCTION("""COMPUTED_VALUE"""),"completed")</f>
        <v>completed</v>
      </c>
      <c r="D655" s="43" t="str">
        <f>IFERROR(__xludf.DUMMYFUNCTION("""COMPUTED_VALUE"""),"No")</f>
        <v>No</v>
      </c>
      <c r="E655" s="43" t="str">
        <f>IFERROR(__xludf.DUMMYFUNCTION("""COMPUTED_VALUE"""),"p_d161d89670809cc0b134d3345b928c6e63deafe8@inbound.aiesec.org")</f>
        <v>p_d161d89670809cc0b134d3345b928c6e63deafe8@inbound.aiesec.org</v>
      </c>
      <c r="F655" s="43">
        <f>IFERROR(__xludf.DUMMYFUNCTION("""COMPUTED_VALUE"""),5.313832791E9)</f>
        <v>5313832791</v>
      </c>
      <c r="G655" s="43" t="str">
        <f>IFERROR(__xludf.DUMMYFUNCTION("""COMPUTED_VALUE"""),"Turkey")</f>
        <v>Turkey</v>
      </c>
      <c r="H655" s="43" t="str">
        <f>IFERROR(__xludf.DUMMYFUNCTION("""COMPUTED_VALUE"""),"ISTANBUL")</f>
        <v>ISTANBUL</v>
      </c>
      <c r="I655" s="43" t="str">
        <f>IFERROR(__xludf.DUMMYFUNCTION("""COMPUTED_VALUE"""),"Italy")</f>
        <v>Italy</v>
      </c>
      <c r="J655" s="43" t="str">
        <f>IFERROR(__xludf.DUMMYFUNCTION("""COMPUTED_VALUE"""),"Torino")</f>
        <v>Torino</v>
      </c>
      <c r="K655" s="44" t="str">
        <f>IFERROR(__xludf.DUMMYFUNCTION("""COMPUTED_VALUE"""),"https://expa.aiesec.org/opportunities/1294310")</f>
        <v>https://expa.aiesec.org/opportunities/1294310</v>
      </c>
      <c r="L655" s="43" t="str">
        <f>IFERROR(__xludf.DUMMYFUNCTION("""COMPUTED_VALUE"""),"GV")</f>
        <v>GV</v>
      </c>
      <c r="M655" s="43" t="str">
        <f>IFERROR(__xludf.DUMMYFUNCTION("""COMPUTED_VALUE"""),"short")</f>
        <v>short</v>
      </c>
      <c r="N655" s="45">
        <f>IFERROR(__xludf.DUMMYFUNCTION("""COMPUTED_VALUE"""),45051.0)</f>
        <v>45051</v>
      </c>
      <c r="O655" s="45">
        <f>IFERROR(__xludf.DUMMYFUNCTION("""COMPUTED_VALUE"""),45138.0)</f>
        <v>45138</v>
      </c>
      <c r="P655" s="45">
        <f>IFERROR(__xludf.DUMMYFUNCTION("""COMPUTED_VALUE"""),45180.0)</f>
        <v>45180</v>
      </c>
      <c r="Q655" s="45">
        <f>IFERROR(__xludf.DUMMYFUNCTION("""COMPUTED_VALUE"""),45147.0)</f>
        <v>45147</v>
      </c>
      <c r="R655" s="45">
        <f>IFERROR(__xludf.DUMMYFUNCTION("""COMPUTED_VALUE"""),45189.0)</f>
        <v>45189</v>
      </c>
      <c r="S655" s="43"/>
      <c r="T655" s="43"/>
      <c r="U655" s="43" t="str">
        <f>IFERROR(__xludf.DUMMYFUNCTION("""COMPUTED_VALUE"""),"Raise Your Voice")</f>
        <v>Raise Your Voice</v>
      </c>
      <c r="V655" s="43" t="str">
        <f>IFERROR(__xludf.DUMMYFUNCTION("""COMPUTED_VALUE"""),"ISTANBUL ASIA")</f>
        <v>ISTANBUL ASIA</v>
      </c>
      <c r="W655" s="43" t="str">
        <f>IFERROR(__xludf.DUMMYFUNCTION("""COMPUTED_VALUE"""),"2023-03-26T14:30:50Z")</f>
        <v>2023-03-26T14:30:50Z</v>
      </c>
      <c r="X655" s="43"/>
      <c r="Y655" s="43"/>
      <c r="Z655" s="43"/>
    </row>
    <row r="656" hidden="1">
      <c r="A656" s="43" t="str">
        <f>IFERROR(__xludf.DUMMYFUNCTION("""COMPUTED_VALUE"""),"5256879_1287987")</f>
        <v>5256879_1287987</v>
      </c>
      <c r="B656" s="43" t="str">
        <f>IFERROR(__xludf.DUMMYFUNCTION("""COMPUTED_VALUE"""),"Gediz Tok")</f>
        <v>Gediz Tok</v>
      </c>
      <c r="C656" s="43" t="str">
        <f>IFERROR(__xludf.DUMMYFUNCTION("""COMPUTED_VALUE"""),"completed")</f>
        <v>completed</v>
      </c>
      <c r="D656" s="43" t="str">
        <f>IFERROR(__xludf.DUMMYFUNCTION("""COMPUTED_VALUE"""),"No")</f>
        <v>No</v>
      </c>
      <c r="E656" s="43" t="str">
        <f>IFERROR(__xludf.DUMMYFUNCTION("""COMPUTED_VALUE"""),"p_edc49da298ed3ed36469547388cc0fe7dde36acc@inbound.aiesec.org")</f>
        <v>p_edc49da298ed3ed36469547388cc0fe7dde36acc@inbound.aiesec.org</v>
      </c>
      <c r="F656" s="43"/>
      <c r="G656" s="43" t="str">
        <f>IFERROR(__xludf.DUMMYFUNCTION("""COMPUTED_VALUE"""),"Turkey")</f>
        <v>Turkey</v>
      </c>
      <c r="H656" s="43" t="str">
        <f>IFERROR(__xludf.DUMMYFUNCTION("""COMPUTED_VALUE"""),"ISTANBUL")</f>
        <v>ISTANBUL</v>
      </c>
      <c r="I656" s="43" t="str">
        <f>IFERROR(__xludf.DUMMYFUNCTION("""COMPUTED_VALUE"""),"India")</f>
        <v>India</v>
      </c>
      <c r="J656" s="43" t="str">
        <f>IFERROR(__xludf.DUMMYFUNCTION("""COMPUTED_VALUE"""),"JAIPUR ")</f>
        <v>JAIPUR </v>
      </c>
      <c r="K656" s="44" t="str">
        <f>IFERROR(__xludf.DUMMYFUNCTION("""COMPUTED_VALUE"""),"https://expa.aiesec.org/opportunities/1287987")</f>
        <v>https://expa.aiesec.org/opportunities/1287987</v>
      </c>
      <c r="L656" s="43" t="str">
        <f>IFERROR(__xludf.DUMMYFUNCTION("""COMPUTED_VALUE"""),"GV")</f>
        <v>GV</v>
      </c>
      <c r="M656" s="43" t="str">
        <f>IFERROR(__xludf.DUMMYFUNCTION("""COMPUTED_VALUE"""),"short")</f>
        <v>short</v>
      </c>
      <c r="N656" s="45">
        <f>IFERROR(__xludf.DUMMYFUNCTION("""COMPUTED_VALUE"""),45052.0)</f>
        <v>45052</v>
      </c>
      <c r="O656" s="45">
        <f>IFERROR(__xludf.DUMMYFUNCTION("""COMPUTED_VALUE"""),45115.0)</f>
        <v>45115</v>
      </c>
      <c r="P656" s="45">
        <f>IFERROR(__xludf.DUMMYFUNCTION("""COMPUTED_VALUE"""),45157.0)</f>
        <v>45157</v>
      </c>
      <c r="Q656" s="45">
        <f>IFERROR(__xludf.DUMMYFUNCTION("""COMPUTED_VALUE"""),45115.0)</f>
        <v>45115</v>
      </c>
      <c r="R656" s="45">
        <f>IFERROR(__xludf.DUMMYFUNCTION("""COMPUTED_VALUE"""),45157.0)</f>
        <v>45157</v>
      </c>
      <c r="S656" s="43"/>
      <c r="T656" s="43"/>
      <c r="U656" s="43" t="str">
        <f>IFERROR(__xludf.DUMMYFUNCTION("""COMPUTED_VALUE"""),"On The Map")</f>
        <v>On The Map</v>
      </c>
      <c r="V656" s="43" t="str">
        <f>IFERROR(__xludf.DUMMYFUNCTION("""COMPUTED_VALUE"""),"-")</f>
        <v>-</v>
      </c>
      <c r="W656" s="43" t="str">
        <f>IFERROR(__xludf.DUMMYFUNCTION("""COMPUTED_VALUE"""),"2023-05-06T18:17:42Z")</f>
        <v>2023-05-06T18:17:42Z</v>
      </c>
      <c r="X656" s="43"/>
      <c r="Y656" s="43"/>
      <c r="Z656" s="43"/>
    </row>
    <row r="657" hidden="1">
      <c r="A657" s="43" t="str">
        <f>IFERROR(__xludf.DUMMYFUNCTION("""COMPUTED_VALUE"""),"5228161_1294923")</f>
        <v>5228161_1294923</v>
      </c>
      <c r="B657" s="43" t="str">
        <f>IFERROR(__xludf.DUMMYFUNCTION("""COMPUTED_VALUE"""),"Dilay Özçağlayan")</f>
        <v>Dilay Özçağlayan</v>
      </c>
      <c r="C657" s="43" t="str">
        <f>IFERROR(__xludf.DUMMYFUNCTION("""COMPUTED_VALUE"""),"completed")</f>
        <v>completed</v>
      </c>
      <c r="D657" s="43" t="str">
        <f>IFERROR(__xludf.DUMMYFUNCTION("""COMPUTED_VALUE"""),"No")</f>
        <v>No</v>
      </c>
      <c r="E657" s="43" t="str">
        <f>IFERROR(__xludf.DUMMYFUNCTION("""COMPUTED_VALUE"""),"p_8fa462e217c06a9d60eb4fa4be6eda81920f8fb4@inbound.aiesec.org")</f>
        <v>p_8fa462e217c06a9d60eb4fa4be6eda81920f8fb4@inbound.aiesec.org</v>
      </c>
      <c r="F657" s="43">
        <f>IFERROR(__xludf.DUMMYFUNCTION("""COMPUTED_VALUE"""),5.366447943E9)</f>
        <v>5366447943</v>
      </c>
      <c r="G657" s="43" t="str">
        <f>IFERROR(__xludf.DUMMYFUNCTION("""COMPUTED_VALUE"""),"Turkey")</f>
        <v>Turkey</v>
      </c>
      <c r="H657" s="43" t="str">
        <f>IFERROR(__xludf.DUMMYFUNCTION("""COMPUTED_VALUE"""),"ISTANBUL WEST")</f>
        <v>ISTANBUL WEST</v>
      </c>
      <c r="I657" s="43" t="str">
        <f>IFERROR(__xludf.DUMMYFUNCTION("""COMPUTED_VALUE"""),"Romania")</f>
        <v>Romania</v>
      </c>
      <c r="J657" s="43" t="str">
        <f>IFERROR(__xludf.DUMMYFUNCTION("""COMPUTED_VALUE"""),"Cluj-Napoca")</f>
        <v>Cluj-Napoca</v>
      </c>
      <c r="K657" s="44" t="str">
        <f>IFERROR(__xludf.DUMMYFUNCTION("""COMPUTED_VALUE"""),"https://expa.aiesec.org/opportunities/1294923")</f>
        <v>https://expa.aiesec.org/opportunities/1294923</v>
      </c>
      <c r="L657" s="43" t="str">
        <f>IFERROR(__xludf.DUMMYFUNCTION("""COMPUTED_VALUE"""),"GV")</f>
        <v>GV</v>
      </c>
      <c r="M657" s="43" t="str">
        <f>IFERROR(__xludf.DUMMYFUNCTION("""COMPUTED_VALUE"""),"short")</f>
        <v>short</v>
      </c>
      <c r="N657" s="45">
        <f>IFERROR(__xludf.DUMMYFUNCTION("""COMPUTED_VALUE"""),45052.0)</f>
        <v>45052</v>
      </c>
      <c r="O657" s="45">
        <f>IFERROR(__xludf.DUMMYFUNCTION("""COMPUTED_VALUE"""),45103.0)</f>
        <v>45103</v>
      </c>
      <c r="P657" s="45">
        <f>IFERROR(__xludf.DUMMYFUNCTION("""COMPUTED_VALUE"""),45145.0)</f>
        <v>45145</v>
      </c>
      <c r="Q657" s="45">
        <f>IFERROR(__xludf.DUMMYFUNCTION("""COMPUTED_VALUE"""),45103.0)</f>
        <v>45103</v>
      </c>
      <c r="R657" s="45">
        <f>IFERROR(__xludf.DUMMYFUNCTION("""COMPUTED_VALUE"""),45145.0)</f>
        <v>45145</v>
      </c>
      <c r="S657" s="43"/>
      <c r="T657" s="43"/>
      <c r="U657" s="43" t="str">
        <f>IFERROR(__xludf.DUMMYFUNCTION("""COMPUTED_VALUE"""),"Fingerprint")</f>
        <v>Fingerprint</v>
      </c>
      <c r="V657" s="43" t="str">
        <f>IFERROR(__xludf.DUMMYFUNCTION("""COMPUTED_VALUE"""),"ISTANBUL - BAKIRKOY")</f>
        <v>ISTANBUL - BAKIRKOY</v>
      </c>
      <c r="W657" s="43" t="str">
        <f>IFERROR(__xludf.DUMMYFUNCTION("""COMPUTED_VALUE"""),"2023-03-27T13:33:51Z")</f>
        <v>2023-03-27T13:33:51Z</v>
      </c>
      <c r="X657" s="43"/>
      <c r="Y657" s="43"/>
      <c r="Z657" s="43"/>
    </row>
    <row r="658" hidden="1">
      <c r="A658" s="43" t="str">
        <f>IFERROR(__xludf.DUMMYFUNCTION("""COMPUTED_VALUE"""),"5256729_1292298")</f>
        <v>5256729_1292298</v>
      </c>
      <c r="B658" s="43" t="str">
        <f>IFERROR(__xludf.DUMMYFUNCTION("""COMPUTED_VALUE"""),"Songül Kaya")</f>
        <v>Songül Kaya</v>
      </c>
      <c r="C658" s="43" t="str">
        <f>IFERROR(__xludf.DUMMYFUNCTION("""COMPUTED_VALUE"""),"completed")</f>
        <v>completed</v>
      </c>
      <c r="D658" s="43" t="str">
        <f>IFERROR(__xludf.DUMMYFUNCTION("""COMPUTED_VALUE"""),"No")</f>
        <v>No</v>
      </c>
      <c r="E658" s="43" t="str">
        <f>IFERROR(__xludf.DUMMYFUNCTION("""COMPUTED_VALUE"""),"p_1ba601e98842031c12899410b7f5aca64b811f8a@inbound.aiesec.org")</f>
        <v>p_1ba601e98842031c12899410b7f5aca64b811f8a@inbound.aiesec.org</v>
      </c>
      <c r="F658" s="43">
        <f>IFERROR(__xludf.DUMMYFUNCTION("""COMPUTED_VALUE"""),5.413967937E9)</f>
        <v>5413967937</v>
      </c>
      <c r="G658" s="43" t="str">
        <f>IFERROR(__xludf.DUMMYFUNCTION("""COMPUTED_VALUE"""),"Turkey")</f>
        <v>Turkey</v>
      </c>
      <c r="H658" s="43" t="str">
        <f>IFERROR(__xludf.DUMMYFUNCTION("""COMPUTED_VALUE"""),"ISTANBUL")</f>
        <v>ISTANBUL</v>
      </c>
      <c r="I658" s="43" t="str">
        <f>IFERROR(__xludf.DUMMYFUNCTION("""COMPUTED_VALUE"""),"Egypt")</f>
        <v>Egypt</v>
      </c>
      <c r="J658" s="43" t="str">
        <f>IFERROR(__xludf.DUMMYFUNCTION("""COMPUTED_VALUE"""),"Cairo University")</f>
        <v>Cairo University</v>
      </c>
      <c r="K658" s="44" t="str">
        <f>IFERROR(__xludf.DUMMYFUNCTION("""COMPUTED_VALUE"""),"https://expa.aiesec.org/opportunities/1292298")</f>
        <v>https://expa.aiesec.org/opportunities/1292298</v>
      </c>
      <c r="L658" s="43" t="str">
        <f>IFERROR(__xludf.DUMMYFUNCTION("""COMPUTED_VALUE"""),"GV")</f>
        <v>GV</v>
      </c>
      <c r="M658" s="43" t="str">
        <f>IFERROR(__xludf.DUMMYFUNCTION("""COMPUTED_VALUE"""),"short")</f>
        <v>short</v>
      </c>
      <c r="N658" s="45">
        <f>IFERROR(__xludf.DUMMYFUNCTION("""COMPUTED_VALUE"""),45052.0)</f>
        <v>45052</v>
      </c>
      <c r="O658" s="45">
        <f>IFERROR(__xludf.DUMMYFUNCTION("""COMPUTED_VALUE"""),45153.0)</f>
        <v>45153</v>
      </c>
      <c r="P658" s="45">
        <f>IFERROR(__xludf.DUMMYFUNCTION("""COMPUTED_VALUE"""),45197.0)</f>
        <v>45197</v>
      </c>
      <c r="Q658" s="45">
        <f>IFERROR(__xludf.DUMMYFUNCTION("""COMPUTED_VALUE"""),45154.0)</f>
        <v>45154</v>
      </c>
      <c r="R658" s="45">
        <f>IFERROR(__xludf.DUMMYFUNCTION("""COMPUTED_VALUE"""),45199.0)</f>
        <v>45199</v>
      </c>
      <c r="S658" s="43"/>
      <c r="T658" s="43"/>
      <c r="U658" s="43" t="str">
        <f>IFERROR(__xludf.DUMMYFUNCTION("""COMPUTED_VALUE"""),"Fingerprint")</f>
        <v>Fingerprint</v>
      </c>
      <c r="V658" s="43" t="str">
        <f>IFERROR(__xludf.DUMMYFUNCTION("""COMPUTED_VALUE"""),"ISTANBUL - BEYOGLU")</f>
        <v>ISTANBUL - BEYOGLU</v>
      </c>
      <c r="W658" s="43" t="str">
        <f>IFERROR(__xludf.DUMMYFUNCTION("""COMPUTED_VALUE"""),"2023-05-06T11:54:59Z")</f>
        <v>2023-05-06T11:54:59Z</v>
      </c>
      <c r="X658" s="43"/>
      <c r="Y658" s="43"/>
      <c r="Z658" s="43"/>
    </row>
    <row r="659" hidden="1">
      <c r="A659" s="43" t="str">
        <f>IFERROR(__xludf.DUMMYFUNCTION("""COMPUTED_VALUE"""),"5255750_1294102")</f>
        <v>5255750_1294102</v>
      </c>
      <c r="B659" s="43" t="str">
        <f>IFERROR(__xludf.DUMMYFUNCTION("""COMPUTED_VALUE"""),"Başar Örsel")</f>
        <v>Başar Örsel</v>
      </c>
      <c r="C659" s="43" t="str">
        <f>IFERROR(__xludf.DUMMYFUNCTION("""COMPUTED_VALUE"""),"completed")</f>
        <v>completed</v>
      </c>
      <c r="D659" s="43" t="str">
        <f>IFERROR(__xludf.DUMMYFUNCTION("""COMPUTED_VALUE"""),"No")</f>
        <v>No</v>
      </c>
      <c r="E659" s="43" t="str">
        <f>IFERROR(__xludf.DUMMYFUNCTION("""COMPUTED_VALUE"""),"p_16ecef3a9c807ee51117a9a8ab38e206ddbe3781@inbound.aiesec.org")</f>
        <v>p_16ecef3a9c807ee51117a9a8ab38e206ddbe3781@inbound.aiesec.org</v>
      </c>
      <c r="F659" s="43"/>
      <c r="G659" s="43" t="str">
        <f>IFERROR(__xludf.DUMMYFUNCTION("""COMPUTED_VALUE"""),"Turkey")</f>
        <v>Turkey</v>
      </c>
      <c r="H659" s="43" t="str">
        <f>IFERROR(__xludf.DUMMYFUNCTION("""COMPUTED_VALUE"""),"İZMİR")</f>
        <v>İZMİR</v>
      </c>
      <c r="I659" s="43" t="str">
        <f>IFERROR(__xludf.DUMMYFUNCTION("""COMPUTED_VALUE"""),"Tunisia")</f>
        <v>Tunisia</v>
      </c>
      <c r="J659" s="43" t="str">
        <f>IFERROR(__xludf.DUMMYFUNCTION("""COMPUTED_VALUE"""),"SFAX")</f>
        <v>SFAX</v>
      </c>
      <c r="K659" s="44" t="str">
        <f>IFERROR(__xludf.DUMMYFUNCTION("""COMPUTED_VALUE"""),"https://expa.aiesec.org/opportunities/1294102")</f>
        <v>https://expa.aiesec.org/opportunities/1294102</v>
      </c>
      <c r="L659" s="43" t="str">
        <f>IFERROR(__xludf.DUMMYFUNCTION("""COMPUTED_VALUE"""),"GV")</f>
        <v>GV</v>
      </c>
      <c r="M659" s="43" t="str">
        <f>IFERROR(__xludf.DUMMYFUNCTION("""COMPUTED_VALUE"""),"short")</f>
        <v>short</v>
      </c>
      <c r="N659" s="45">
        <f>IFERROR(__xludf.DUMMYFUNCTION("""COMPUTED_VALUE"""),45052.0)</f>
        <v>45052</v>
      </c>
      <c r="O659" s="45">
        <f>IFERROR(__xludf.DUMMYFUNCTION("""COMPUTED_VALUE"""),45113.0)</f>
        <v>45113</v>
      </c>
      <c r="P659" s="45">
        <f>IFERROR(__xludf.DUMMYFUNCTION("""COMPUTED_VALUE"""),45155.0)</f>
        <v>45155</v>
      </c>
      <c r="Q659" s="45">
        <f>IFERROR(__xludf.DUMMYFUNCTION("""COMPUTED_VALUE"""),45113.0)</f>
        <v>45113</v>
      </c>
      <c r="R659" s="45">
        <f>IFERROR(__xludf.DUMMYFUNCTION("""COMPUTED_VALUE"""),45155.0)</f>
        <v>45155</v>
      </c>
      <c r="S659" s="43"/>
      <c r="T659" s="43"/>
      <c r="U659" s="43" t="str">
        <f>IFERROR(__xludf.DUMMYFUNCTION("""COMPUTED_VALUE"""),"Aquatica")</f>
        <v>Aquatica</v>
      </c>
      <c r="V659" s="43" t="str">
        <f>IFERROR(__xludf.DUMMYFUNCTION("""COMPUTED_VALUE"""),"IZMIR")</f>
        <v>IZMIR</v>
      </c>
      <c r="W659" s="43" t="str">
        <f>IFERROR(__xludf.DUMMYFUNCTION("""COMPUTED_VALUE"""),"2023-05-04T13:22:36Z")</f>
        <v>2023-05-04T13:22:36Z</v>
      </c>
      <c r="X659" s="43"/>
      <c r="Y659" s="43"/>
      <c r="Z659" s="43"/>
    </row>
    <row r="660" hidden="1">
      <c r="A660" s="43" t="str">
        <f>IFERROR(__xludf.DUMMYFUNCTION("""COMPUTED_VALUE"""),"5256701_1293026")</f>
        <v>5256701_1293026</v>
      </c>
      <c r="B660" s="43" t="str">
        <f>IFERROR(__xludf.DUMMYFUNCTION("""COMPUTED_VALUE"""),"Hilal Altınok")</f>
        <v>Hilal Altınok</v>
      </c>
      <c r="C660" s="43" t="str">
        <f>IFERROR(__xludf.DUMMYFUNCTION("""COMPUTED_VALUE"""),"completed")</f>
        <v>completed</v>
      </c>
      <c r="D660" s="43" t="str">
        <f>IFERROR(__xludf.DUMMYFUNCTION("""COMPUTED_VALUE"""),"No")</f>
        <v>No</v>
      </c>
      <c r="E660" s="43" t="str">
        <f>IFERROR(__xludf.DUMMYFUNCTION("""COMPUTED_VALUE"""),"p_a20e9aa32da4a73bb685de9cebc852da0c35abc9@inbound.aiesec.org")</f>
        <v>p_a20e9aa32da4a73bb685de9cebc852da0c35abc9@inbound.aiesec.org</v>
      </c>
      <c r="F660" s="43"/>
      <c r="G660" s="43" t="str">
        <f>IFERROR(__xludf.DUMMYFUNCTION("""COMPUTED_VALUE"""),"Turkey")</f>
        <v>Turkey</v>
      </c>
      <c r="H660" s="43" t="str">
        <f>IFERROR(__xludf.DUMMYFUNCTION("""COMPUTED_VALUE"""),"ISTANBUL")</f>
        <v>ISTANBUL</v>
      </c>
      <c r="I660" s="43" t="str">
        <f>IFERROR(__xludf.DUMMYFUNCTION("""COMPUTED_VALUE"""),"Tunisia")</f>
        <v>Tunisia</v>
      </c>
      <c r="J660" s="43" t="str">
        <f>IFERROR(__xludf.DUMMYFUNCTION("""COMPUTED_VALUE"""),"Carthage")</f>
        <v>Carthage</v>
      </c>
      <c r="K660" s="44" t="str">
        <f>IFERROR(__xludf.DUMMYFUNCTION("""COMPUTED_VALUE"""),"https://expa.aiesec.org/opportunities/1293026")</f>
        <v>https://expa.aiesec.org/opportunities/1293026</v>
      </c>
      <c r="L660" s="43" t="str">
        <f>IFERROR(__xludf.DUMMYFUNCTION("""COMPUTED_VALUE"""),"GV")</f>
        <v>GV</v>
      </c>
      <c r="M660" s="43" t="str">
        <f>IFERROR(__xludf.DUMMYFUNCTION("""COMPUTED_VALUE"""),"short")</f>
        <v>short</v>
      </c>
      <c r="N660" s="45">
        <f>IFERROR(__xludf.DUMMYFUNCTION("""COMPUTED_VALUE"""),45052.0)</f>
        <v>45052</v>
      </c>
      <c r="O660" s="45">
        <f>IFERROR(__xludf.DUMMYFUNCTION("""COMPUTED_VALUE"""),45110.0)</f>
        <v>45110</v>
      </c>
      <c r="P660" s="45">
        <f>IFERROR(__xludf.DUMMYFUNCTION("""COMPUTED_VALUE"""),45152.0)</f>
        <v>45152</v>
      </c>
      <c r="Q660" s="45">
        <f>IFERROR(__xludf.DUMMYFUNCTION("""COMPUTED_VALUE"""),45111.0)</f>
        <v>45111</v>
      </c>
      <c r="R660" s="45">
        <f>IFERROR(__xludf.DUMMYFUNCTION("""COMPUTED_VALUE"""),45152.0)</f>
        <v>45152</v>
      </c>
      <c r="S660" s="43"/>
      <c r="T660" s="43"/>
      <c r="U660" s="43" t="str">
        <f>IFERROR(__xludf.DUMMYFUNCTION("""COMPUTED_VALUE"""),"Global Classroom")</f>
        <v>Global Classroom</v>
      </c>
      <c r="V660" s="43" t="str">
        <f>IFERROR(__xludf.DUMMYFUNCTION("""COMPUTED_VALUE"""),"ISTANBUL - BEYOGLU")</f>
        <v>ISTANBUL - BEYOGLU</v>
      </c>
      <c r="W660" s="43" t="str">
        <f>IFERROR(__xludf.DUMMYFUNCTION("""COMPUTED_VALUE"""),"2023-05-06T10:06:49Z")</f>
        <v>2023-05-06T10:06:49Z</v>
      </c>
      <c r="X660" s="43"/>
      <c r="Y660" s="43"/>
      <c r="Z660" s="43"/>
    </row>
    <row r="661" hidden="1">
      <c r="A661" s="43" t="str">
        <f>IFERROR(__xludf.DUMMYFUNCTION("""COMPUTED_VALUE"""),"5256602_1287987")</f>
        <v>5256602_1287987</v>
      </c>
      <c r="B661" s="43" t="str">
        <f>IFERROR(__xludf.DUMMYFUNCTION("""COMPUTED_VALUE"""),"Doğukan Doğan")</f>
        <v>Doğukan Doğan</v>
      </c>
      <c r="C661" s="43" t="str">
        <f>IFERROR(__xludf.DUMMYFUNCTION("""COMPUTED_VALUE"""),"completed")</f>
        <v>completed</v>
      </c>
      <c r="D661" s="43" t="str">
        <f>IFERROR(__xludf.DUMMYFUNCTION("""COMPUTED_VALUE"""),"No")</f>
        <v>No</v>
      </c>
      <c r="E661" s="43" t="str">
        <f>IFERROR(__xludf.DUMMYFUNCTION("""COMPUTED_VALUE"""),"p_c6bb0ade3638e1b091fb35d81503ca386d2debc2@inbound.aiesec.org")</f>
        <v>p_c6bb0ade3638e1b091fb35d81503ca386d2debc2@inbound.aiesec.org</v>
      </c>
      <c r="F661" s="43"/>
      <c r="G661" s="43" t="str">
        <f>IFERROR(__xludf.DUMMYFUNCTION("""COMPUTED_VALUE"""),"Turkey")</f>
        <v>Turkey</v>
      </c>
      <c r="H661" s="43" t="str">
        <f>IFERROR(__xludf.DUMMYFUNCTION("""COMPUTED_VALUE"""),"ISTANBUL")</f>
        <v>ISTANBUL</v>
      </c>
      <c r="I661" s="43" t="str">
        <f>IFERROR(__xludf.DUMMYFUNCTION("""COMPUTED_VALUE"""),"India")</f>
        <v>India</v>
      </c>
      <c r="J661" s="43" t="str">
        <f>IFERROR(__xludf.DUMMYFUNCTION("""COMPUTED_VALUE"""),"JAIPUR ")</f>
        <v>JAIPUR </v>
      </c>
      <c r="K661" s="44" t="str">
        <f>IFERROR(__xludf.DUMMYFUNCTION("""COMPUTED_VALUE"""),"https://expa.aiesec.org/opportunities/1287987")</f>
        <v>https://expa.aiesec.org/opportunities/1287987</v>
      </c>
      <c r="L661" s="43" t="str">
        <f>IFERROR(__xludf.DUMMYFUNCTION("""COMPUTED_VALUE"""),"GV")</f>
        <v>GV</v>
      </c>
      <c r="M661" s="43" t="str">
        <f>IFERROR(__xludf.DUMMYFUNCTION("""COMPUTED_VALUE"""),"short")</f>
        <v>short</v>
      </c>
      <c r="N661" s="45">
        <f>IFERROR(__xludf.DUMMYFUNCTION("""COMPUTED_VALUE"""),45052.0)</f>
        <v>45052</v>
      </c>
      <c r="O661" s="45">
        <f>IFERROR(__xludf.DUMMYFUNCTION("""COMPUTED_VALUE"""),45115.0)</f>
        <v>45115</v>
      </c>
      <c r="P661" s="45">
        <f>IFERROR(__xludf.DUMMYFUNCTION("""COMPUTED_VALUE"""),45157.0)</f>
        <v>45157</v>
      </c>
      <c r="Q661" s="45">
        <f>IFERROR(__xludf.DUMMYFUNCTION("""COMPUTED_VALUE"""),45115.0)</f>
        <v>45115</v>
      </c>
      <c r="R661" s="45">
        <f>IFERROR(__xludf.DUMMYFUNCTION("""COMPUTED_VALUE"""),45157.0)</f>
        <v>45157</v>
      </c>
      <c r="S661" s="43"/>
      <c r="T661" s="43"/>
      <c r="U661" s="43" t="str">
        <f>IFERROR(__xludf.DUMMYFUNCTION("""COMPUTED_VALUE"""),"On The Map")</f>
        <v>On The Map</v>
      </c>
      <c r="V661" s="43" t="str">
        <f>IFERROR(__xludf.DUMMYFUNCTION("""COMPUTED_VALUE"""),"-")</f>
        <v>-</v>
      </c>
      <c r="W661" s="43" t="str">
        <f>IFERROR(__xludf.DUMMYFUNCTION("""COMPUTED_VALUE"""),"2023-05-06T06:05:32Z")</f>
        <v>2023-05-06T06:05:32Z</v>
      </c>
      <c r="X661" s="43"/>
      <c r="Y661" s="43"/>
      <c r="Z661" s="43"/>
    </row>
    <row r="662" hidden="1">
      <c r="A662" s="43" t="str">
        <f>IFERROR(__xludf.DUMMYFUNCTION("""COMPUTED_VALUE"""),"5254556_1294851")</f>
        <v>5254556_1294851</v>
      </c>
      <c r="B662" s="43" t="str">
        <f>IFERROR(__xludf.DUMMYFUNCTION("""COMPUTED_VALUE"""),"Merve Kalın")</f>
        <v>Merve Kalın</v>
      </c>
      <c r="C662" s="43" t="str">
        <f>IFERROR(__xludf.DUMMYFUNCTION("""COMPUTED_VALUE"""),"completed")</f>
        <v>completed</v>
      </c>
      <c r="D662" s="43" t="str">
        <f>IFERROR(__xludf.DUMMYFUNCTION("""COMPUTED_VALUE"""),"No")</f>
        <v>No</v>
      </c>
      <c r="E662" s="43" t="str">
        <f>IFERROR(__xludf.DUMMYFUNCTION("""COMPUTED_VALUE"""),"p_3eb5eb7f5c0c489d343e3510e95eaeb9a28e9608@inbound.aiesec.org")</f>
        <v>p_3eb5eb7f5c0c489d343e3510e95eaeb9a28e9608@inbound.aiesec.org</v>
      </c>
      <c r="F662" s="43"/>
      <c r="G662" s="43" t="str">
        <f>IFERROR(__xludf.DUMMYFUNCTION("""COMPUTED_VALUE"""),"Turkey")</f>
        <v>Turkey</v>
      </c>
      <c r="H662" s="43" t="str">
        <f>IFERROR(__xludf.DUMMYFUNCTION("""COMPUTED_VALUE"""),"ISTANBUL")</f>
        <v>ISTANBUL</v>
      </c>
      <c r="I662" s="43" t="str">
        <f>IFERROR(__xludf.DUMMYFUNCTION("""COMPUTED_VALUE"""),"Egypt")</f>
        <v>Egypt</v>
      </c>
      <c r="J662" s="43" t="str">
        <f>IFERROR(__xludf.DUMMYFUNCTION("""COMPUTED_VALUE"""),"GUC")</f>
        <v>GUC</v>
      </c>
      <c r="K662" s="44" t="str">
        <f>IFERROR(__xludf.DUMMYFUNCTION("""COMPUTED_VALUE"""),"https://expa.aiesec.org/opportunities/1294851")</f>
        <v>https://expa.aiesec.org/opportunities/1294851</v>
      </c>
      <c r="L662" s="43" t="str">
        <f>IFERROR(__xludf.DUMMYFUNCTION("""COMPUTED_VALUE"""),"GV")</f>
        <v>GV</v>
      </c>
      <c r="M662" s="43" t="str">
        <f>IFERROR(__xludf.DUMMYFUNCTION("""COMPUTED_VALUE"""),"short")</f>
        <v>short</v>
      </c>
      <c r="N662" s="45">
        <f>IFERROR(__xludf.DUMMYFUNCTION("""COMPUTED_VALUE"""),45052.0)</f>
        <v>45052</v>
      </c>
      <c r="O662" s="45">
        <f>IFERROR(__xludf.DUMMYFUNCTION("""COMPUTED_VALUE"""),45152.0)</f>
        <v>45152</v>
      </c>
      <c r="P662" s="45">
        <f>IFERROR(__xludf.DUMMYFUNCTION("""COMPUTED_VALUE"""),45194.0)</f>
        <v>45194</v>
      </c>
      <c r="Q662" s="45">
        <f>IFERROR(__xludf.DUMMYFUNCTION("""COMPUTED_VALUE"""),45153.0)</f>
        <v>45153</v>
      </c>
      <c r="R662" s="45">
        <f>IFERROR(__xludf.DUMMYFUNCTION("""COMPUTED_VALUE"""),45194.0)</f>
        <v>45194</v>
      </c>
      <c r="S662" s="43"/>
      <c r="T662" s="43"/>
      <c r="U662" s="43" t="str">
        <f>IFERROR(__xludf.DUMMYFUNCTION("""COMPUTED_VALUE"""),"Fingerprint")</f>
        <v>Fingerprint</v>
      </c>
      <c r="V662" s="43" t="str">
        <f>IFERROR(__xludf.DUMMYFUNCTION("""COMPUTED_VALUE"""),"-")</f>
        <v>-</v>
      </c>
      <c r="W662" s="43" t="str">
        <f>IFERROR(__xludf.DUMMYFUNCTION("""COMPUTED_VALUE"""),"2023-05-02T20:35:43Z")</f>
        <v>2023-05-02T20:35:43Z</v>
      </c>
      <c r="X662" s="43"/>
      <c r="Y662" s="43"/>
      <c r="Z662" s="43"/>
    </row>
    <row r="663" hidden="1">
      <c r="A663" s="43" t="str">
        <f>IFERROR(__xludf.DUMMYFUNCTION("""COMPUTED_VALUE"""),"5248817_1294429")</f>
        <v>5248817_1294429</v>
      </c>
      <c r="B663" s="43" t="str">
        <f>IFERROR(__xludf.DUMMYFUNCTION("""COMPUTED_VALUE"""),"Deniz Ekim Onal")</f>
        <v>Deniz Ekim Onal</v>
      </c>
      <c r="C663" s="43" t="str">
        <f>IFERROR(__xludf.DUMMYFUNCTION("""COMPUTED_VALUE"""),"completed")</f>
        <v>completed</v>
      </c>
      <c r="D663" s="43" t="str">
        <f>IFERROR(__xludf.DUMMYFUNCTION("""COMPUTED_VALUE"""),"No")</f>
        <v>No</v>
      </c>
      <c r="E663" s="43" t="str">
        <f>IFERROR(__xludf.DUMMYFUNCTION("""COMPUTED_VALUE"""),"p_200967a1cd4c6aace487e49256878293252cf726@inbound.aiesec.org")</f>
        <v>p_200967a1cd4c6aace487e49256878293252cf726@inbound.aiesec.org</v>
      </c>
      <c r="F663" s="43">
        <f>IFERROR(__xludf.DUMMYFUNCTION("""COMPUTED_VALUE"""),5.396129666E9)</f>
        <v>5396129666</v>
      </c>
      <c r="G663" s="43" t="str">
        <f>IFERROR(__xludf.DUMMYFUNCTION("""COMPUTED_VALUE"""),"Turkey")</f>
        <v>Turkey</v>
      </c>
      <c r="H663" s="43" t="str">
        <f>IFERROR(__xludf.DUMMYFUNCTION("""COMPUTED_VALUE"""),"ISTANBUL")</f>
        <v>ISTANBUL</v>
      </c>
      <c r="I663" s="43" t="str">
        <f>IFERROR(__xludf.DUMMYFUNCTION("""COMPUTED_VALUE"""),"Serbia")</f>
        <v>Serbia</v>
      </c>
      <c r="J663" s="43" t="str">
        <f>IFERROR(__xludf.DUMMYFUNCTION("""COMPUTED_VALUE"""),"NOVI SAD")</f>
        <v>NOVI SAD</v>
      </c>
      <c r="K663" s="44" t="str">
        <f>IFERROR(__xludf.DUMMYFUNCTION("""COMPUTED_VALUE"""),"https://expa.aiesec.org/opportunities/1294429")</f>
        <v>https://expa.aiesec.org/opportunities/1294429</v>
      </c>
      <c r="L663" s="43" t="str">
        <f>IFERROR(__xludf.DUMMYFUNCTION("""COMPUTED_VALUE"""),"GV")</f>
        <v>GV</v>
      </c>
      <c r="M663" s="43" t="str">
        <f>IFERROR(__xludf.DUMMYFUNCTION("""COMPUTED_VALUE"""),"short")</f>
        <v>short</v>
      </c>
      <c r="N663" s="45">
        <f>IFERROR(__xludf.DUMMYFUNCTION("""COMPUTED_VALUE"""),45052.0)</f>
        <v>45052</v>
      </c>
      <c r="O663" s="45">
        <f>IFERROR(__xludf.DUMMYFUNCTION("""COMPUTED_VALUE"""),45089.0)</f>
        <v>45089</v>
      </c>
      <c r="P663" s="45">
        <f>IFERROR(__xludf.DUMMYFUNCTION("""COMPUTED_VALUE"""),45131.0)</f>
        <v>45131</v>
      </c>
      <c r="Q663" s="45">
        <f>IFERROR(__xludf.DUMMYFUNCTION("""COMPUTED_VALUE"""),45090.0)</f>
        <v>45090</v>
      </c>
      <c r="R663" s="45">
        <f>IFERROR(__xludf.DUMMYFUNCTION("""COMPUTED_VALUE"""),45131.0)</f>
        <v>45131</v>
      </c>
      <c r="S663" s="43"/>
      <c r="T663" s="43"/>
      <c r="U663" s="43" t="str">
        <f>IFERROR(__xludf.DUMMYFUNCTION("""COMPUTED_VALUE"""),"Skill Up!")</f>
        <v>Skill Up!</v>
      </c>
      <c r="V663" s="43" t="str">
        <f>IFERROR(__xludf.DUMMYFUNCTION("""COMPUTED_VALUE"""),"ISTANBUL ASIA")</f>
        <v>ISTANBUL ASIA</v>
      </c>
      <c r="W663" s="43" t="str">
        <f>IFERROR(__xludf.DUMMYFUNCTION("""COMPUTED_VALUE"""),"2023-04-25T06:34:01Z")</f>
        <v>2023-04-25T06:34:01Z</v>
      </c>
      <c r="X663" s="43"/>
      <c r="Y663" s="43"/>
      <c r="Z663" s="43"/>
    </row>
    <row r="664" hidden="1">
      <c r="A664" s="43" t="str">
        <f>IFERROR(__xludf.DUMMYFUNCTION("""COMPUTED_VALUE"""),"5248811_1294429")</f>
        <v>5248811_1294429</v>
      </c>
      <c r="B664" s="43" t="str">
        <f>IFERROR(__xludf.DUMMYFUNCTION("""COMPUTED_VALUE"""),"mehmed dinsever")</f>
        <v>mehmed dinsever</v>
      </c>
      <c r="C664" s="43" t="str">
        <f>IFERROR(__xludf.DUMMYFUNCTION("""COMPUTED_VALUE"""),"completed")</f>
        <v>completed</v>
      </c>
      <c r="D664" s="43" t="str">
        <f>IFERROR(__xludf.DUMMYFUNCTION("""COMPUTED_VALUE"""),"No")</f>
        <v>No</v>
      </c>
      <c r="E664" s="43" t="str">
        <f>IFERROR(__xludf.DUMMYFUNCTION("""COMPUTED_VALUE"""),"p_0fc288ec545c3ed18605bda5aea223abcfa64313@inbound.aiesec.org")</f>
        <v>p_0fc288ec545c3ed18605bda5aea223abcfa64313@inbound.aiesec.org</v>
      </c>
      <c r="F664" s="43">
        <f>IFERROR(__xludf.DUMMYFUNCTION("""COMPUTED_VALUE"""),5.556225065E9)</f>
        <v>5556225065</v>
      </c>
      <c r="G664" s="43" t="str">
        <f>IFERROR(__xludf.DUMMYFUNCTION("""COMPUTED_VALUE"""),"Turkey")</f>
        <v>Turkey</v>
      </c>
      <c r="H664" s="43" t="str">
        <f>IFERROR(__xludf.DUMMYFUNCTION("""COMPUTED_VALUE"""),"ISTANBUL")</f>
        <v>ISTANBUL</v>
      </c>
      <c r="I664" s="43" t="str">
        <f>IFERROR(__xludf.DUMMYFUNCTION("""COMPUTED_VALUE"""),"Serbia")</f>
        <v>Serbia</v>
      </c>
      <c r="J664" s="43" t="str">
        <f>IFERROR(__xludf.DUMMYFUNCTION("""COMPUTED_VALUE"""),"NOVI SAD")</f>
        <v>NOVI SAD</v>
      </c>
      <c r="K664" s="44" t="str">
        <f>IFERROR(__xludf.DUMMYFUNCTION("""COMPUTED_VALUE"""),"https://expa.aiesec.org/opportunities/1294429")</f>
        <v>https://expa.aiesec.org/opportunities/1294429</v>
      </c>
      <c r="L664" s="43" t="str">
        <f>IFERROR(__xludf.DUMMYFUNCTION("""COMPUTED_VALUE"""),"GV")</f>
        <v>GV</v>
      </c>
      <c r="M664" s="43" t="str">
        <f>IFERROR(__xludf.DUMMYFUNCTION("""COMPUTED_VALUE"""),"short")</f>
        <v>short</v>
      </c>
      <c r="N664" s="45">
        <f>IFERROR(__xludf.DUMMYFUNCTION("""COMPUTED_VALUE"""),45052.0)</f>
        <v>45052</v>
      </c>
      <c r="O664" s="45">
        <f>IFERROR(__xludf.DUMMYFUNCTION("""COMPUTED_VALUE"""),45089.0)</f>
        <v>45089</v>
      </c>
      <c r="P664" s="45">
        <f>IFERROR(__xludf.DUMMYFUNCTION("""COMPUTED_VALUE"""),45131.0)</f>
        <v>45131</v>
      </c>
      <c r="Q664" s="45">
        <f>IFERROR(__xludf.DUMMYFUNCTION("""COMPUTED_VALUE"""),45090.0)</f>
        <v>45090</v>
      </c>
      <c r="R664" s="45">
        <f>IFERROR(__xludf.DUMMYFUNCTION("""COMPUTED_VALUE"""),45131.0)</f>
        <v>45131</v>
      </c>
      <c r="S664" s="43"/>
      <c r="T664" s="43"/>
      <c r="U664" s="43" t="str">
        <f>IFERROR(__xludf.DUMMYFUNCTION("""COMPUTED_VALUE"""),"Skill Up!")</f>
        <v>Skill Up!</v>
      </c>
      <c r="V664" s="43" t="str">
        <f>IFERROR(__xludf.DUMMYFUNCTION("""COMPUTED_VALUE"""),"ISTANBUL ASIA")</f>
        <v>ISTANBUL ASIA</v>
      </c>
      <c r="W664" s="43" t="str">
        <f>IFERROR(__xludf.DUMMYFUNCTION("""COMPUTED_VALUE"""),"2023-04-25T06:30:31Z")</f>
        <v>2023-04-25T06:30:31Z</v>
      </c>
      <c r="X664" s="43"/>
      <c r="Y664" s="43"/>
      <c r="Z664" s="43"/>
    </row>
    <row r="665" hidden="1">
      <c r="A665" s="43" t="str">
        <f>IFERROR(__xludf.DUMMYFUNCTION("""COMPUTED_VALUE"""),"5254609_1293200")</f>
        <v>5254609_1293200</v>
      </c>
      <c r="B665" s="43" t="str">
        <f>IFERROR(__xludf.DUMMYFUNCTION("""COMPUTED_VALUE"""),"Pınar Kılar")</f>
        <v>Pınar Kılar</v>
      </c>
      <c r="C665" s="43" t="str">
        <f>IFERROR(__xludf.DUMMYFUNCTION("""COMPUTED_VALUE"""),"completed")</f>
        <v>completed</v>
      </c>
      <c r="D665" s="43" t="str">
        <f>IFERROR(__xludf.DUMMYFUNCTION("""COMPUTED_VALUE"""),"No")</f>
        <v>No</v>
      </c>
      <c r="E665" s="43" t="str">
        <f>IFERROR(__xludf.DUMMYFUNCTION("""COMPUTED_VALUE"""),"p_9354bff2c4038a02ad286993a4b40454ef232c49@inbound.aiesec.org")</f>
        <v>p_9354bff2c4038a02ad286993a4b40454ef232c49@inbound.aiesec.org</v>
      </c>
      <c r="F665" s="43"/>
      <c r="G665" s="43" t="str">
        <f>IFERROR(__xludf.DUMMYFUNCTION("""COMPUTED_VALUE"""),"Turkey")</f>
        <v>Turkey</v>
      </c>
      <c r="H665" s="43" t="str">
        <f>IFERROR(__xludf.DUMMYFUNCTION("""COMPUTED_VALUE"""),"ANKARA")</f>
        <v>ANKARA</v>
      </c>
      <c r="I665" s="43" t="str">
        <f>IFERROR(__xludf.DUMMYFUNCTION("""COMPUTED_VALUE"""),"Tunisia")</f>
        <v>Tunisia</v>
      </c>
      <c r="J665" s="43" t="str">
        <f>IFERROR(__xludf.DUMMYFUNCTION("""COMPUTED_VALUE"""),"RUSPINA")</f>
        <v>RUSPINA</v>
      </c>
      <c r="K665" s="44" t="str">
        <f>IFERROR(__xludf.DUMMYFUNCTION("""COMPUTED_VALUE"""),"https://expa.aiesec.org/opportunities/1293200")</f>
        <v>https://expa.aiesec.org/opportunities/1293200</v>
      </c>
      <c r="L665" s="43" t="str">
        <f>IFERROR(__xludf.DUMMYFUNCTION("""COMPUTED_VALUE"""),"GV")</f>
        <v>GV</v>
      </c>
      <c r="M665" s="43" t="str">
        <f>IFERROR(__xludf.DUMMYFUNCTION("""COMPUTED_VALUE"""),"short")</f>
        <v>short</v>
      </c>
      <c r="N665" s="45">
        <f>IFERROR(__xludf.DUMMYFUNCTION("""COMPUTED_VALUE"""),45052.0)</f>
        <v>45052</v>
      </c>
      <c r="O665" s="45">
        <f>IFERROR(__xludf.DUMMYFUNCTION("""COMPUTED_VALUE"""),45092.0)</f>
        <v>45092</v>
      </c>
      <c r="P665" s="45">
        <f>IFERROR(__xludf.DUMMYFUNCTION("""COMPUTED_VALUE"""),45134.0)</f>
        <v>45134</v>
      </c>
      <c r="Q665" s="45">
        <f>IFERROR(__xludf.DUMMYFUNCTION("""COMPUTED_VALUE"""),45100.0)</f>
        <v>45100</v>
      </c>
      <c r="R665" s="45">
        <f>IFERROR(__xludf.DUMMYFUNCTION("""COMPUTED_VALUE"""),45142.0)</f>
        <v>45142</v>
      </c>
      <c r="S665" s="43"/>
      <c r="T665" s="43"/>
      <c r="U665" s="43" t="str">
        <f>IFERROR(__xludf.DUMMYFUNCTION("""COMPUTED_VALUE"""),"Aquatica")</f>
        <v>Aquatica</v>
      </c>
      <c r="V665" s="43" t="str">
        <f>IFERROR(__xludf.DUMMYFUNCTION("""COMPUTED_VALUE"""),"-")</f>
        <v>-</v>
      </c>
      <c r="W665" s="43" t="str">
        <f>IFERROR(__xludf.DUMMYFUNCTION("""COMPUTED_VALUE"""),"2023-05-02T22:16:05Z")</f>
        <v>2023-05-02T22:16:05Z</v>
      </c>
      <c r="X665" s="43"/>
      <c r="Y665" s="43"/>
      <c r="Z665" s="43"/>
    </row>
    <row r="666" hidden="1">
      <c r="A666" s="43" t="str">
        <f>IFERROR(__xludf.DUMMYFUNCTION("""COMPUTED_VALUE"""),"5254580_1293954")</f>
        <v>5254580_1293954</v>
      </c>
      <c r="B666" s="43" t="str">
        <f>IFERROR(__xludf.DUMMYFUNCTION("""COMPUTED_VALUE"""),"Mir Serzan Çiftel")</f>
        <v>Mir Serzan Çiftel</v>
      </c>
      <c r="C666" s="43" t="str">
        <f>IFERROR(__xludf.DUMMYFUNCTION("""COMPUTED_VALUE"""),"finished")</f>
        <v>finished</v>
      </c>
      <c r="D666" s="43" t="str">
        <f>IFERROR(__xludf.DUMMYFUNCTION("""COMPUTED_VALUE"""),"No")</f>
        <v>No</v>
      </c>
      <c r="E666" s="43" t="str">
        <f>IFERROR(__xludf.DUMMYFUNCTION("""COMPUTED_VALUE"""),"p_cf156ebe1b48a6c2b69a266f716b8ae87c90f3d2@inbound.aiesec.org")</f>
        <v>p_cf156ebe1b48a6c2b69a266f716b8ae87c90f3d2@inbound.aiesec.org</v>
      </c>
      <c r="F666" s="43">
        <f>IFERROR(__xludf.DUMMYFUNCTION("""COMPUTED_VALUE"""),5.391076886E9)</f>
        <v>5391076886</v>
      </c>
      <c r="G666" s="43" t="str">
        <f>IFERROR(__xludf.DUMMYFUNCTION("""COMPUTED_VALUE"""),"Turkey")</f>
        <v>Turkey</v>
      </c>
      <c r="H666" s="43" t="str">
        <f>IFERROR(__xludf.DUMMYFUNCTION("""COMPUTED_VALUE"""),"EASTERN MEDITERRANEAN")</f>
        <v>EASTERN MEDITERRANEAN</v>
      </c>
      <c r="I666" s="43" t="str">
        <f>IFERROR(__xludf.DUMMYFUNCTION("""COMPUTED_VALUE"""),"Egypt")</f>
        <v>Egypt</v>
      </c>
      <c r="J666" s="43" t="str">
        <f>IFERROR(__xludf.DUMMYFUNCTION("""COMPUTED_VALUE"""),"6th October University")</f>
        <v>6th October University</v>
      </c>
      <c r="K666" s="44" t="str">
        <f>IFERROR(__xludf.DUMMYFUNCTION("""COMPUTED_VALUE"""),"https://expa.aiesec.org/opportunities/1293954")</f>
        <v>https://expa.aiesec.org/opportunities/1293954</v>
      </c>
      <c r="L666" s="43" t="str">
        <f>IFERROR(__xludf.DUMMYFUNCTION("""COMPUTED_VALUE"""),"GV")</f>
        <v>GV</v>
      </c>
      <c r="M666" s="43" t="str">
        <f>IFERROR(__xludf.DUMMYFUNCTION("""COMPUTED_VALUE"""),"short")</f>
        <v>short</v>
      </c>
      <c r="N666" s="45">
        <f>IFERROR(__xludf.DUMMYFUNCTION("""COMPUTED_VALUE"""),45052.0)</f>
        <v>45052</v>
      </c>
      <c r="O666" s="45">
        <f>IFERROR(__xludf.DUMMYFUNCTION("""COMPUTED_VALUE"""),45122.0)</f>
        <v>45122</v>
      </c>
      <c r="P666" s="45">
        <f>IFERROR(__xludf.DUMMYFUNCTION("""COMPUTED_VALUE"""),45164.0)</f>
        <v>45164</v>
      </c>
      <c r="Q666" s="45">
        <f>IFERROR(__xludf.DUMMYFUNCTION("""COMPUTED_VALUE"""),45126.0)</f>
        <v>45126</v>
      </c>
      <c r="R666" s="45">
        <f>IFERROR(__xludf.DUMMYFUNCTION("""COMPUTED_VALUE"""),45166.0)</f>
        <v>45166</v>
      </c>
      <c r="S666" s="43"/>
      <c r="T666" s="43"/>
      <c r="U666" s="43" t="str">
        <f>IFERROR(__xludf.DUMMYFUNCTION("""COMPUTED_VALUE"""),"On The Map")</f>
        <v>On The Map</v>
      </c>
      <c r="V666" s="43" t="str">
        <f>IFERROR(__xludf.DUMMYFUNCTION("""COMPUTED_VALUE"""),"NORTH CYPRUS")</f>
        <v>NORTH CYPRUS</v>
      </c>
      <c r="W666" s="43" t="str">
        <f>IFERROR(__xludf.DUMMYFUNCTION("""COMPUTED_VALUE"""),"2023-05-02T21:08:12Z")</f>
        <v>2023-05-02T21:08:12Z</v>
      </c>
      <c r="X666" s="43"/>
      <c r="Y666" s="43"/>
      <c r="Z666" s="43"/>
    </row>
    <row r="667" hidden="1">
      <c r="A667" s="43" t="str">
        <f>IFERROR(__xludf.DUMMYFUNCTION("""COMPUTED_VALUE"""),"5253825_1294025")</f>
        <v>5253825_1294025</v>
      </c>
      <c r="B667" s="43" t="str">
        <f>IFERROR(__xludf.DUMMYFUNCTION("""COMPUTED_VALUE"""),"Azra Ece Akiz")</f>
        <v>Azra Ece Akiz</v>
      </c>
      <c r="C667" s="43" t="str">
        <f>IFERROR(__xludf.DUMMYFUNCTION("""COMPUTED_VALUE"""),"completed")</f>
        <v>completed</v>
      </c>
      <c r="D667" s="43" t="str">
        <f>IFERROR(__xludf.DUMMYFUNCTION("""COMPUTED_VALUE"""),"No")</f>
        <v>No</v>
      </c>
      <c r="E667" s="43" t="str">
        <f>IFERROR(__xludf.DUMMYFUNCTION("""COMPUTED_VALUE"""),"p_9a9e809177767ac0f2608f4a68cb824a7565fd49@inbound.aiesec.org")</f>
        <v>p_9a9e809177767ac0f2608f4a68cb824a7565fd49@inbound.aiesec.org</v>
      </c>
      <c r="F667" s="43"/>
      <c r="G667" s="43" t="str">
        <f>IFERROR(__xludf.DUMMYFUNCTION("""COMPUTED_VALUE"""),"Turkey")</f>
        <v>Turkey</v>
      </c>
      <c r="H667" s="43" t="str">
        <f>IFERROR(__xludf.DUMMYFUNCTION("""COMPUTED_VALUE"""),"ISTANBUL ASIA")</f>
        <v>ISTANBUL ASIA</v>
      </c>
      <c r="I667" s="43" t="str">
        <f>IFERROR(__xludf.DUMMYFUNCTION("""COMPUTED_VALUE"""),"Romania")</f>
        <v>Romania</v>
      </c>
      <c r="J667" s="43" t="str">
        <f>IFERROR(__xludf.DUMMYFUNCTION("""COMPUTED_VALUE"""),"BUCURESTI")</f>
        <v>BUCURESTI</v>
      </c>
      <c r="K667" s="44" t="str">
        <f>IFERROR(__xludf.DUMMYFUNCTION("""COMPUTED_VALUE"""),"https://expa.aiesec.org/opportunities/1294025")</f>
        <v>https://expa.aiesec.org/opportunities/1294025</v>
      </c>
      <c r="L667" s="43" t="str">
        <f>IFERROR(__xludf.DUMMYFUNCTION("""COMPUTED_VALUE"""),"GV")</f>
        <v>GV</v>
      </c>
      <c r="M667" s="43" t="str">
        <f>IFERROR(__xludf.DUMMYFUNCTION("""COMPUTED_VALUE"""),"short")</f>
        <v>short</v>
      </c>
      <c r="N667" s="45">
        <f>IFERROR(__xludf.DUMMYFUNCTION("""COMPUTED_VALUE"""),45052.0)</f>
        <v>45052</v>
      </c>
      <c r="O667" s="45">
        <f>IFERROR(__xludf.DUMMYFUNCTION("""COMPUTED_VALUE"""),45103.0)</f>
        <v>45103</v>
      </c>
      <c r="P667" s="45">
        <f>IFERROR(__xludf.DUMMYFUNCTION("""COMPUTED_VALUE"""),45145.0)</f>
        <v>45145</v>
      </c>
      <c r="Q667" s="45">
        <f>IFERROR(__xludf.DUMMYFUNCTION("""COMPUTED_VALUE"""),45103.0)</f>
        <v>45103</v>
      </c>
      <c r="R667" s="45">
        <f>IFERROR(__xludf.DUMMYFUNCTION("""COMPUTED_VALUE"""),45145.0)</f>
        <v>45145</v>
      </c>
      <c r="S667" s="43"/>
      <c r="T667" s="43"/>
      <c r="U667" s="43" t="str">
        <f>IFERROR(__xludf.DUMMYFUNCTION("""COMPUTED_VALUE"""),"Global Classroom")</f>
        <v>Global Classroom</v>
      </c>
      <c r="V667" s="43" t="str">
        <f>IFERROR(__xludf.DUMMYFUNCTION("""COMPUTED_VALUE"""),"-")</f>
        <v>-</v>
      </c>
      <c r="W667" s="43" t="str">
        <f>IFERROR(__xludf.DUMMYFUNCTION("""COMPUTED_VALUE"""),"2023-05-01T17:05:59Z")</f>
        <v>2023-05-01T17:05:59Z</v>
      </c>
      <c r="X667" s="43"/>
      <c r="Y667" s="43"/>
      <c r="Z667" s="43"/>
    </row>
    <row r="668" hidden="1">
      <c r="A668" s="43" t="str">
        <f>IFERROR(__xludf.DUMMYFUNCTION("""COMPUTED_VALUE"""),"5237261_1293999")</f>
        <v>5237261_1293999</v>
      </c>
      <c r="B668" s="43" t="str">
        <f>IFERROR(__xludf.DUMMYFUNCTION("""COMPUTED_VALUE"""),"Batuhan Şaroğlu")</f>
        <v>Batuhan Şaroğlu</v>
      </c>
      <c r="C668" s="43" t="str">
        <f>IFERROR(__xludf.DUMMYFUNCTION("""COMPUTED_VALUE"""),"completed")</f>
        <v>completed</v>
      </c>
      <c r="D668" s="43" t="str">
        <f>IFERROR(__xludf.DUMMYFUNCTION("""COMPUTED_VALUE"""),"No")</f>
        <v>No</v>
      </c>
      <c r="E668" s="43" t="str">
        <f>IFERROR(__xludf.DUMMYFUNCTION("""COMPUTED_VALUE"""),"p_1e22cad8663320915437cac0da2e30aa9b90225f@inbound.aiesec.org")</f>
        <v>p_1e22cad8663320915437cac0da2e30aa9b90225f@inbound.aiesec.org</v>
      </c>
      <c r="F668" s="43">
        <f>IFERROR(__xludf.DUMMYFUNCTION("""COMPUTED_VALUE"""),5.05818622E9)</f>
        <v>5058186220</v>
      </c>
      <c r="G668" s="43" t="str">
        <f>IFERROR(__xludf.DUMMYFUNCTION("""COMPUTED_VALUE"""),"Turkey")</f>
        <v>Turkey</v>
      </c>
      <c r="H668" s="43" t="str">
        <f>IFERROR(__xludf.DUMMYFUNCTION("""COMPUTED_VALUE"""),"ANKARA")</f>
        <v>ANKARA</v>
      </c>
      <c r="I668" s="43" t="str">
        <f>IFERROR(__xludf.DUMMYFUNCTION("""COMPUTED_VALUE"""),"Lithuania")</f>
        <v>Lithuania</v>
      </c>
      <c r="J668" s="43" t="str">
        <f>IFERROR(__xludf.DUMMYFUNCTION("""COMPUTED_VALUE"""),"KTU")</f>
        <v>KTU</v>
      </c>
      <c r="K668" s="44" t="str">
        <f>IFERROR(__xludf.DUMMYFUNCTION("""COMPUTED_VALUE"""),"https://expa.aiesec.org/opportunities/1293999")</f>
        <v>https://expa.aiesec.org/opportunities/1293999</v>
      </c>
      <c r="L668" s="43" t="str">
        <f>IFERROR(__xludf.DUMMYFUNCTION("""COMPUTED_VALUE"""),"GV")</f>
        <v>GV</v>
      </c>
      <c r="M668" s="43" t="str">
        <f>IFERROR(__xludf.DUMMYFUNCTION("""COMPUTED_VALUE"""),"short")</f>
        <v>short</v>
      </c>
      <c r="N668" s="45">
        <f>IFERROR(__xludf.DUMMYFUNCTION("""COMPUTED_VALUE"""),45052.0)</f>
        <v>45052</v>
      </c>
      <c r="O668" s="45">
        <f>IFERROR(__xludf.DUMMYFUNCTION("""COMPUTED_VALUE"""),45103.0)</f>
        <v>45103</v>
      </c>
      <c r="P668" s="45">
        <f>IFERROR(__xludf.DUMMYFUNCTION("""COMPUTED_VALUE"""),45145.0)</f>
        <v>45145</v>
      </c>
      <c r="Q668" s="45">
        <f>IFERROR(__xludf.DUMMYFUNCTION("""COMPUTED_VALUE"""),45103.0)</f>
        <v>45103</v>
      </c>
      <c r="R668" s="45">
        <f>IFERROR(__xludf.DUMMYFUNCTION("""COMPUTED_VALUE"""),45145.0)</f>
        <v>45145</v>
      </c>
      <c r="S668" s="43"/>
      <c r="T668" s="43"/>
      <c r="U668" s="43" t="str">
        <f>IFERROR(__xludf.DUMMYFUNCTION("""COMPUTED_VALUE"""),"Global Classroom")</f>
        <v>Global Classroom</v>
      </c>
      <c r="V668" s="43" t="str">
        <f>IFERROR(__xludf.DUMMYFUNCTION("""COMPUTED_VALUE"""),"ANKARA")</f>
        <v>ANKARA</v>
      </c>
      <c r="W668" s="43" t="str">
        <f>IFERROR(__xludf.DUMMYFUNCTION("""COMPUTED_VALUE"""),"2023-04-07T20:26:51Z")</f>
        <v>2023-04-07T20:26:51Z</v>
      </c>
      <c r="X668" s="43"/>
      <c r="Y668" s="43"/>
      <c r="Z668" s="43"/>
    </row>
    <row r="669" hidden="1">
      <c r="A669" s="43" t="str">
        <f>IFERROR(__xludf.DUMMYFUNCTION("""COMPUTED_VALUE"""),"5241273_1293695")</f>
        <v>5241273_1293695</v>
      </c>
      <c r="B669" s="43" t="str">
        <f>IFERROR(__xludf.DUMMYFUNCTION("""COMPUTED_VALUE"""),"Sevilay Elif Karaca")</f>
        <v>Sevilay Elif Karaca</v>
      </c>
      <c r="C669" s="43" t="str">
        <f>IFERROR(__xludf.DUMMYFUNCTION("""COMPUTED_VALUE"""),"completed")</f>
        <v>completed</v>
      </c>
      <c r="D669" s="43" t="str">
        <f>IFERROR(__xludf.DUMMYFUNCTION("""COMPUTED_VALUE"""),"No")</f>
        <v>No</v>
      </c>
      <c r="E669" s="43" t="str">
        <f>IFERROR(__xludf.DUMMYFUNCTION("""COMPUTED_VALUE"""),"p_3a57af8cd8bc7bca6becc530a93bc31c3d9f1344@inbound.aiesec.org")</f>
        <v>p_3a57af8cd8bc7bca6becc530a93bc31c3d9f1344@inbound.aiesec.org</v>
      </c>
      <c r="F669" s="43"/>
      <c r="G669" s="43" t="str">
        <f>IFERROR(__xludf.DUMMYFUNCTION("""COMPUTED_VALUE"""),"Turkey")</f>
        <v>Turkey</v>
      </c>
      <c r="H669" s="43" t="str">
        <f>IFERROR(__xludf.DUMMYFUNCTION("""COMPUTED_VALUE"""),"ANKARA")</f>
        <v>ANKARA</v>
      </c>
      <c r="I669" s="43" t="str">
        <f>IFERROR(__xludf.DUMMYFUNCTION("""COMPUTED_VALUE"""),"Romania")</f>
        <v>Romania</v>
      </c>
      <c r="J669" s="43" t="str">
        <f>IFERROR(__xludf.DUMMYFUNCTION("""COMPUTED_VALUE"""),"BUCURESTI")</f>
        <v>BUCURESTI</v>
      </c>
      <c r="K669" s="44" t="str">
        <f>IFERROR(__xludf.DUMMYFUNCTION("""COMPUTED_VALUE"""),"https://expa.aiesec.org/opportunities/1293695")</f>
        <v>https://expa.aiesec.org/opportunities/1293695</v>
      </c>
      <c r="L669" s="43" t="str">
        <f>IFERROR(__xludf.DUMMYFUNCTION("""COMPUTED_VALUE"""),"GV")</f>
        <v>GV</v>
      </c>
      <c r="M669" s="43" t="str">
        <f>IFERROR(__xludf.DUMMYFUNCTION("""COMPUTED_VALUE"""),"short")</f>
        <v>short</v>
      </c>
      <c r="N669" s="45">
        <f>IFERROR(__xludf.DUMMYFUNCTION("""COMPUTED_VALUE"""),45052.0)</f>
        <v>45052</v>
      </c>
      <c r="O669" s="45">
        <f>IFERROR(__xludf.DUMMYFUNCTION("""COMPUTED_VALUE"""),45096.0)</f>
        <v>45096</v>
      </c>
      <c r="P669" s="45">
        <f>IFERROR(__xludf.DUMMYFUNCTION("""COMPUTED_VALUE"""),45138.0)</f>
        <v>45138</v>
      </c>
      <c r="Q669" s="45">
        <f>IFERROR(__xludf.DUMMYFUNCTION("""COMPUTED_VALUE"""),45095.0)</f>
        <v>45095</v>
      </c>
      <c r="R669" s="45">
        <f>IFERROR(__xludf.DUMMYFUNCTION("""COMPUTED_VALUE"""),45138.0)</f>
        <v>45138</v>
      </c>
      <c r="S669" s="43"/>
      <c r="T669" s="43"/>
      <c r="U669" s="43" t="str">
        <f>IFERROR(__xludf.DUMMYFUNCTION("""COMPUTED_VALUE"""),"Explorer")</f>
        <v>Explorer</v>
      </c>
      <c r="V669" s="43" t="str">
        <f>IFERROR(__xludf.DUMMYFUNCTION("""COMPUTED_VALUE"""),"ANKARA")</f>
        <v>ANKARA</v>
      </c>
      <c r="W669" s="43" t="str">
        <f>IFERROR(__xludf.DUMMYFUNCTION("""COMPUTED_VALUE"""),"2023-04-13T14:25:42Z")</f>
        <v>2023-04-13T14:25:42Z</v>
      </c>
      <c r="X669" s="43"/>
      <c r="Y669" s="43"/>
      <c r="Z669" s="43"/>
    </row>
    <row r="670" hidden="1">
      <c r="A670" s="43" t="str">
        <f>IFERROR(__xludf.DUMMYFUNCTION("""COMPUTED_VALUE"""),"5257289_1293406")</f>
        <v>5257289_1293406</v>
      </c>
      <c r="B670" s="43" t="str">
        <f>IFERROR(__xludf.DUMMYFUNCTION("""COMPUTED_VALUE"""),"Nisa Nur Dalfidan")</f>
        <v>Nisa Nur Dalfidan</v>
      </c>
      <c r="C670" s="43" t="str">
        <f>IFERROR(__xludf.DUMMYFUNCTION("""COMPUTED_VALUE"""),"approved")</f>
        <v>approved</v>
      </c>
      <c r="D670" s="43" t="str">
        <f>IFERROR(__xludf.DUMMYFUNCTION("""COMPUTED_VALUE"""),"No")</f>
        <v>No</v>
      </c>
      <c r="E670" s="43" t="str">
        <f>IFERROR(__xludf.DUMMYFUNCTION("""COMPUTED_VALUE"""),"p_6e5d9fbbcbafdd54f860ff5c861660cf29a575e1@inbound.aiesec.org")</f>
        <v>p_6e5d9fbbcbafdd54f860ff5c861660cf29a575e1@inbound.aiesec.org</v>
      </c>
      <c r="F670" s="43"/>
      <c r="G670" s="43" t="str">
        <f>IFERROR(__xludf.DUMMYFUNCTION("""COMPUTED_VALUE"""),"Turkey")</f>
        <v>Turkey</v>
      </c>
      <c r="H670" s="43" t="str">
        <f>IFERROR(__xludf.DUMMYFUNCTION("""COMPUTED_VALUE"""),"KONYA")</f>
        <v>KONYA</v>
      </c>
      <c r="I670" s="43" t="str">
        <f>IFERROR(__xludf.DUMMYFUNCTION("""COMPUTED_VALUE"""),"Egypt")</f>
        <v>Egypt</v>
      </c>
      <c r="J670" s="43" t="str">
        <f>IFERROR(__xludf.DUMMYFUNCTION("""COMPUTED_VALUE"""),"Tanta")</f>
        <v>Tanta</v>
      </c>
      <c r="K670" s="44" t="str">
        <f>IFERROR(__xludf.DUMMYFUNCTION("""COMPUTED_VALUE"""),"https://expa.aiesec.org/opportunities/1293406")</f>
        <v>https://expa.aiesec.org/opportunities/1293406</v>
      </c>
      <c r="L670" s="43" t="str">
        <f>IFERROR(__xludf.DUMMYFUNCTION("""COMPUTED_VALUE"""),"GV")</f>
        <v>GV</v>
      </c>
      <c r="M670" s="43" t="str">
        <f>IFERROR(__xludf.DUMMYFUNCTION("""COMPUTED_VALUE"""),"short")</f>
        <v>short</v>
      </c>
      <c r="N670" s="45">
        <f>IFERROR(__xludf.DUMMYFUNCTION("""COMPUTED_VALUE"""),45053.0)</f>
        <v>45053</v>
      </c>
      <c r="O670" s="45">
        <f>IFERROR(__xludf.DUMMYFUNCTION("""COMPUTED_VALUE"""),45108.0)</f>
        <v>45108</v>
      </c>
      <c r="P670" s="45">
        <f>IFERROR(__xludf.DUMMYFUNCTION("""COMPUTED_VALUE"""),45150.0)</f>
        <v>45150</v>
      </c>
      <c r="Q670" s="45"/>
      <c r="R670" s="45"/>
      <c r="S670" s="43"/>
      <c r="T670" s="43"/>
      <c r="U670" s="43" t="str">
        <f>IFERROR(__xludf.DUMMYFUNCTION("""COMPUTED_VALUE"""),"Global Classroom")</f>
        <v>Global Classroom</v>
      </c>
      <c r="V670" s="43" t="str">
        <f>IFERROR(__xludf.DUMMYFUNCTION("""COMPUTED_VALUE"""),"KONYA")</f>
        <v>KONYA</v>
      </c>
      <c r="W670" s="43" t="str">
        <f>IFERROR(__xludf.DUMMYFUNCTION("""COMPUTED_VALUE"""),"2023-05-07T20:20:47Z")</f>
        <v>2023-05-07T20:20:47Z</v>
      </c>
      <c r="X670" s="43"/>
      <c r="Y670" s="43"/>
      <c r="Z670" s="43"/>
    </row>
    <row r="671" hidden="1">
      <c r="A671" s="43" t="str">
        <f>IFERROR(__xludf.DUMMYFUNCTION("""COMPUTED_VALUE"""),"5257220_1294425")</f>
        <v>5257220_1294425</v>
      </c>
      <c r="B671" s="43" t="str">
        <f>IFERROR(__xludf.DUMMYFUNCTION("""COMPUTED_VALUE"""),"Esra Çağlarbey")</f>
        <v>Esra Çağlarbey</v>
      </c>
      <c r="C671" s="43" t="str">
        <f>IFERROR(__xludf.DUMMYFUNCTION("""COMPUTED_VALUE"""),"completed")</f>
        <v>completed</v>
      </c>
      <c r="D671" s="43" t="str">
        <f>IFERROR(__xludf.DUMMYFUNCTION("""COMPUTED_VALUE"""),"No")</f>
        <v>No</v>
      </c>
      <c r="E671" s="43" t="str">
        <f>IFERROR(__xludf.DUMMYFUNCTION("""COMPUTED_VALUE"""),"p_615485090262c55f572b6af102b7ba3fb6bf2499@inbound.aiesec.org")</f>
        <v>p_615485090262c55f572b6af102b7ba3fb6bf2499@inbound.aiesec.org</v>
      </c>
      <c r="F671" s="43"/>
      <c r="G671" s="43" t="str">
        <f>IFERROR(__xludf.DUMMYFUNCTION("""COMPUTED_VALUE"""),"Turkey")</f>
        <v>Turkey</v>
      </c>
      <c r="H671" s="43" t="str">
        <f>IFERROR(__xludf.DUMMYFUNCTION("""COMPUTED_VALUE"""),"KONYA")</f>
        <v>KONYA</v>
      </c>
      <c r="I671" s="43" t="str">
        <f>IFERROR(__xludf.DUMMYFUNCTION("""COMPUTED_VALUE"""),"Egypt")</f>
        <v>Egypt</v>
      </c>
      <c r="J671" s="43" t="str">
        <f>IFERROR(__xludf.DUMMYFUNCTION("""COMPUTED_VALUE"""),"Zagazig")</f>
        <v>Zagazig</v>
      </c>
      <c r="K671" s="44" t="str">
        <f>IFERROR(__xludf.DUMMYFUNCTION("""COMPUTED_VALUE"""),"https://expa.aiesec.org/opportunities/1294425")</f>
        <v>https://expa.aiesec.org/opportunities/1294425</v>
      </c>
      <c r="L671" s="43" t="str">
        <f>IFERROR(__xludf.DUMMYFUNCTION("""COMPUTED_VALUE"""),"GV")</f>
        <v>GV</v>
      </c>
      <c r="M671" s="43" t="str">
        <f>IFERROR(__xludf.DUMMYFUNCTION("""COMPUTED_VALUE"""),"short")</f>
        <v>short</v>
      </c>
      <c r="N671" s="45">
        <f>IFERROR(__xludf.DUMMYFUNCTION("""COMPUTED_VALUE"""),45053.0)</f>
        <v>45053</v>
      </c>
      <c r="O671" s="45">
        <f>IFERROR(__xludf.DUMMYFUNCTION("""COMPUTED_VALUE"""),45139.0)</f>
        <v>45139</v>
      </c>
      <c r="P671" s="45">
        <f>IFERROR(__xludf.DUMMYFUNCTION("""COMPUTED_VALUE"""),45181.0)</f>
        <v>45181</v>
      </c>
      <c r="Q671" s="45">
        <f>IFERROR(__xludf.DUMMYFUNCTION("""COMPUTED_VALUE"""),45139.0)</f>
        <v>45139</v>
      </c>
      <c r="R671" s="45">
        <f>IFERROR(__xludf.DUMMYFUNCTION("""COMPUTED_VALUE"""),45181.0)</f>
        <v>45181</v>
      </c>
      <c r="S671" s="43"/>
      <c r="T671" s="43"/>
      <c r="U671" s="43" t="str">
        <f>IFERROR(__xludf.DUMMYFUNCTION("""COMPUTED_VALUE"""),"Heartbeat")</f>
        <v>Heartbeat</v>
      </c>
      <c r="V671" s="43" t="str">
        <f>IFERROR(__xludf.DUMMYFUNCTION("""COMPUTED_VALUE"""),"KONYA")</f>
        <v>KONYA</v>
      </c>
      <c r="W671" s="43" t="str">
        <f>IFERROR(__xludf.DUMMYFUNCTION("""COMPUTED_VALUE"""),"2023-05-07T17:08:36Z")</f>
        <v>2023-05-07T17:08:36Z</v>
      </c>
      <c r="X671" s="43"/>
      <c r="Y671" s="43"/>
      <c r="Z671" s="43"/>
    </row>
    <row r="672" hidden="1">
      <c r="A672" s="43" t="str">
        <f>IFERROR(__xludf.DUMMYFUNCTION("""COMPUTED_VALUE"""),"5058425_1288129")</f>
        <v>5058425_1288129</v>
      </c>
      <c r="B672" s="43" t="str">
        <f>IFERROR(__xludf.DUMMYFUNCTION("""COMPUTED_VALUE"""),"Ahsen Buyurkan")</f>
        <v>Ahsen Buyurkan</v>
      </c>
      <c r="C672" s="43" t="str">
        <f>IFERROR(__xludf.DUMMYFUNCTION("""COMPUTED_VALUE"""),"completed")</f>
        <v>completed</v>
      </c>
      <c r="D672" s="43" t="str">
        <f>IFERROR(__xludf.DUMMYFUNCTION("""COMPUTED_VALUE"""),"No")</f>
        <v>No</v>
      </c>
      <c r="E672" s="43" t="str">
        <f>IFERROR(__xludf.DUMMYFUNCTION("""COMPUTED_VALUE"""),"p_b2f0033923ed15987ad33bf9823d961af599ae92@inbound.aiesec.org")</f>
        <v>p_b2f0033923ed15987ad33bf9823d961af599ae92@inbound.aiesec.org</v>
      </c>
      <c r="F672" s="43">
        <f>IFERROR(__xludf.DUMMYFUNCTION("""COMPUTED_VALUE"""),5.538073022E9)</f>
        <v>5538073022</v>
      </c>
      <c r="G672" s="43" t="str">
        <f>IFERROR(__xludf.DUMMYFUNCTION("""COMPUTED_VALUE"""),"Turkey")</f>
        <v>Turkey</v>
      </c>
      <c r="H672" s="43" t="str">
        <f>IFERROR(__xludf.DUMMYFUNCTION("""COMPUTED_VALUE"""),"ISTANBUL WEST")</f>
        <v>ISTANBUL WEST</v>
      </c>
      <c r="I672" s="43" t="str">
        <f>IFERROR(__xludf.DUMMYFUNCTION("""COMPUTED_VALUE"""),"Egypt")</f>
        <v>Egypt</v>
      </c>
      <c r="J672" s="43" t="str">
        <f>IFERROR(__xludf.DUMMYFUNCTION("""COMPUTED_VALUE"""),"Ain Shams University")</f>
        <v>Ain Shams University</v>
      </c>
      <c r="K672" s="44" t="str">
        <f>IFERROR(__xludf.DUMMYFUNCTION("""COMPUTED_VALUE"""),"https://expa.aiesec.org/opportunities/1288129")</f>
        <v>https://expa.aiesec.org/opportunities/1288129</v>
      </c>
      <c r="L672" s="43" t="str">
        <f>IFERROR(__xludf.DUMMYFUNCTION("""COMPUTED_VALUE"""),"GV")</f>
        <v>GV</v>
      </c>
      <c r="M672" s="43" t="str">
        <f>IFERROR(__xludf.DUMMYFUNCTION("""COMPUTED_VALUE"""),"short")</f>
        <v>short</v>
      </c>
      <c r="N672" s="45">
        <f>IFERROR(__xludf.DUMMYFUNCTION("""COMPUTED_VALUE"""),45053.0)</f>
        <v>45053</v>
      </c>
      <c r="O672" s="45">
        <f>IFERROR(__xludf.DUMMYFUNCTION("""COMPUTED_VALUE"""),45132.0)</f>
        <v>45132</v>
      </c>
      <c r="P672" s="45">
        <f>IFERROR(__xludf.DUMMYFUNCTION("""COMPUTED_VALUE"""),45174.0)</f>
        <v>45174</v>
      </c>
      <c r="Q672" s="45">
        <f>IFERROR(__xludf.DUMMYFUNCTION("""COMPUTED_VALUE"""),45130.0)</f>
        <v>45130</v>
      </c>
      <c r="R672" s="45">
        <f>IFERROR(__xludf.DUMMYFUNCTION("""COMPUTED_VALUE"""),45174.0)</f>
        <v>45174</v>
      </c>
      <c r="S672" s="43"/>
      <c r="T672" s="43"/>
      <c r="U672" s="43" t="str">
        <f>IFERROR(__xludf.DUMMYFUNCTION("""COMPUTED_VALUE"""),"Global Classroom")</f>
        <v>Global Classroom</v>
      </c>
      <c r="V672" s="43" t="str">
        <f>IFERROR(__xludf.DUMMYFUNCTION("""COMPUTED_VALUE"""),"ISTANBUL - BAKIRKOY")</f>
        <v>ISTANBUL - BAKIRKOY</v>
      </c>
      <c r="W672" s="43" t="str">
        <f>IFERROR(__xludf.DUMMYFUNCTION("""COMPUTED_VALUE"""),"2022-05-17T07:24:09Z")</f>
        <v>2022-05-17T07:24:09Z</v>
      </c>
      <c r="X672" s="43"/>
      <c r="Y672" s="43"/>
      <c r="Z672" s="43"/>
    </row>
    <row r="673" hidden="1">
      <c r="A673" s="43" t="str">
        <f>IFERROR(__xludf.DUMMYFUNCTION("""COMPUTED_VALUE"""),"5058432_1293054")</f>
        <v>5058432_1293054</v>
      </c>
      <c r="B673" s="43" t="str">
        <f>IFERROR(__xludf.DUMMYFUNCTION("""COMPUTED_VALUE"""),"ZEHRA KAYA")</f>
        <v>ZEHRA KAYA</v>
      </c>
      <c r="C673" s="43" t="str">
        <f>IFERROR(__xludf.DUMMYFUNCTION("""COMPUTED_VALUE"""),"completed")</f>
        <v>completed</v>
      </c>
      <c r="D673" s="43" t="str">
        <f>IFERROR(__xludf.DUMMYFUNCTION("""COMPUTED_VALUE"""),"No")</f>
        <v>No</v>
      </c>
      <c r="E673" s="43" t="str">
        <f>IFERROR(__xludf.DUMMYFUNCTION("""COMPUTED_VALUE"""),"p_76c56ca9554927c7dc01e22abe6c6ebc24748de3@inbound.aiesec.org")</f>
        <v>p_76c56ca9554927c7dc01e22abe6c6ebc24748de3@inbound.aiesec.org</v>
      </c>
      <c r="F673" s="43"/>
      <c r="G673" s="43" t="str">
        <f>IFERROR(__xludf.DUMMYFUNCTION("""COMPUTED_VALUE"""),"Turkey")</f>
        <v>Turkey</v>
      </c>
      <c r="H673" s="43" t="str">
        <f>IFERROR(__xludf.DUMMYFUNCTION("""COMPUTED_VALUE"""),"ISTANBUL WEST")</f>
        <v>ISTANBUL WEST</v>
      </c>
      <c r="I673" s="43" t="str">
        <f>IFERROR(__xludf.DUMMYFUNCTION("""COMPUTED_VALUE"""),"Egypt")</f>
        <v>Egypt</v>
      </c>
      <c r="J673" s="43" t="str">
        <f>IFERROR(__xludf.DUMMYFUNCTION("""COMPUTED_VALUE"""),"Ain Shams University")</f>
        <v>Ain Shams University</v>
      </c>
      <c r="K673" s="44" t="str">
        <f>IFERROR(__xludf.DUMMYFUNCTION("""COMPUTED_VALUE"""),"https://expa.aiesec.org/opportunities/1293054")</f>
        <v>https://expa.aiesec.org/opportunities/1293054</v>
      </c>
      <c r="L673" s="43" t="str">
        <f>IFERROR(__xludf.DUMMYFUNCTION("""COMPUTED_VALUE"""),"GV")</f>
        <v>GV</v>
      </c>
      <c r="M673" s="43" t="str">
        <f>IFERROR(__xludf.DUMMYFUNCTION("""COMPUTED_VALUE"""),"short")</f>
        <v>short</v>
      </c>
      <c r="N673" s="45">
        <f>IFERROR(__xludf.DUMMYFUNCTION("""COMPUTED_VALUE"""),45053.0)</f>
        <v>45053</v>
      </c>
      <c r="O673" s="45">
        <f>IFERROR(__xludf.DUMMYFUNCTION("""COMPUTED_VALUE"""),45132.0)</f>
        <v>45132</v>
      </c>
      <c r="P673" s="45">
        <f>IFERROR(__xludf.DUMMYFUNCTION("""COMPUTED_VALUE"""),45174.0)</f>
        <v>45174</v>
      </c>
      <c r="Q673" s="45">
        <f>IFERROR(__xludf.DUMMYFUNCTION("""COMPUTED_VALUE"""),45130.0)</f>
        <v>45130</v>
      </c>
      <c r="R673" s="45">
        <f>IFERROR(__xludf.DUMMYFUNCTION("""COMPUTED_VALUE"""),45174.0)</f>
        <v>45174</v>
      </c>
      <c r="S673" s="43"/>
      <c r="T673" s="43"/>
      <c r="U673" s="43" t="str">
        <f>IFERROR(__xludf.DUMMYFUNCTION("""COMPUTED_VALUE"""),"Global Classroom")</f>
        <v>Global Classroom</v>
      </c>
      <c r="V673" s="43" t="str">
        <f>IFERROR(__xludf.DUMMYFUNCTION("""COMPUTED_VALUE"""),"-")</f>
        <v>-</v>
      </c>
      <c r="W673" s="43" t="str">
        <f>IFERROR(__xludf.DUMMYFUNCTION("""COMPUTED_VALUE"""),"2022-05-17T07:43:14Z")</f>
        <v>2022-05-17T07:43:14Z</v>
      </c>
      <c r="X673" s="43"/>
      <c r="Y673" s="43"/>
      <c r="Z673" s="43"/>
    </row>
    <row r="674" hidden="1">
      <c r="A674" s="43" t="str">
        <f>IFERROR(__xludf.DUMMYFUNCTION("""COMPUTED_VALUE"""),"4042340_1294508")</f>
        <v>4042340_1294508</v>
      </c>
      <c r="B674" s="43" t="str">
        <f>IFERROR(__xludf.DUMMYFUNCTION("""COMPUTED_VALUE"""),"Ahmet Zahit Ekren")</f>
        <v>Ahmet Zahit Ekren</v>
      </c>
      <c r="C674" s="43" t="str">
        <f>IFERROR(__xludf.DUMMYFUNCTION("""COMPUTED_VALUE"""),"completed")</f>
        <v>completed</v>
      </c>
      <c r="D674" s="43" t="str">
        <f>IFERROR(__xludf.DUMMYFUNCTION("""COMPUTED_VALUE"""),"No")</f>
        <v>No</v>
      </c>
      <c r="E674" s="43" t="str">
        <f>IFERROR(__xludf.DUMMYFUNCTION("""COMPUTED_VALUE"""),"p_6c1c2d082e3c872c1afaf2c7daecb900262d50fc@inbound.aiesec.org")</f>
        <v>p_6c1c2d082e3c872c1afaf2c7daecb900262d50fc@inbound.aiesec.org</v>
      </c>
      <c r="F674" s="43">
        <f>IFERROR(__xludf.DUMMYFUNCTION("""COMPUTED_VALUE"""),5.426398912E9)</f>
        <v>5426398912</v>
      </c>
      <c r="G674" s="43" t="str">
        <f>IFERROR(__xludf.DUMMYFUNCTION("""COMPUTED_VALUE"""),"Turkey")</f>
        <v>Turkey</v>
      </c>
      <c r="H674" s="43" t="str">
        <f>IFERROR(__xludf.DUMMYFUNCTION("""COMPUTED_VALUE"""),"ANKARA")</f>
        <v>ANKARA</v>
      </c>
      <c r="I674" s="43" t="str">
        <f>IFERROR(__xludf.DUMMYFUNCTION("""COMPUTED_VALUE"""),"Romania")</f>
        <v>Romania</v>
      </c>
      <c r="J674" s="43" t="str">
        <f>IFERROR(__xludf.DUMMYFUNCTION("""COMPUTED_VALUE"""),"Cluj-Napoca")</f>
        <v>Cluj-Napoca</v>
      </c>
      <c r="K674" s="44" t="str">
        <f>IFERROR(__xludf.DUMMYFUNCTION("""COMPUTED_VALUE"""),"https://expa.aiesec.org/opportunities/1294508")</f>
        <v>https://expa.aiesec.org/opportunities/1294508</v>
      </c>
      <c r="L674" s="43" t="str">
        <f>IFERROR(__xludf.DUMMYFUNCTION("""COMPUTED_VALUE"""),"GV")</f>
        <v>GV</v>
      </c>
      <c r="M674" s="43" t="str">
        <f>IFERROR(__xludf.DUMMYFUNCTION("""COMPUTED_VALUE"""),"short")</f>
        <v>short</v>
      </c>
      <c r="N674" s="45">
        <f>IFERROR(__xludf.DUMMYFUNCTION("""COMPUTED_VALUE"""),45053.0)</f>
        <v>45053</v>
      </c>
      <c r="O674" s="45">
        <f>IFERROR(__xludf.DUMMYFUNCTION("""COMPUTED_VALUE"""),45103.0)</f>
        <v>45103</v>
      </c>
      <c r="P674" s="45">
        <f>IFERROR(__xludf.DUMMYFUNCTION("""COMPUTED_VALUE"""),45145.0)</f>
        <v>45145</v>
      </c>
      <c r="Q674" s="45">
        <f>IFERROR(__xludf.DUMMYFUNCTION("""COMPUTED_VALUE"""),45103.0)</f>
        <v>45103</v>
      </c>
      <c r="R674" s="45">
        <f>IFERROR(__xludf.DUMMYFUNCTION("""COMPUTED_VALUE"""),45145.0)</f>
        <v>45145</v>
      </c>
      <c r="S674" s="43"/>
      <c r="T674" s="43"/>
      <c r="U674" s="43" t="str">
        <f>IFERROR(__xludf.DUMMYFUNCTION("""COMPUTED_VALUE"""),"Eat 4 Change")</f>
        <v>Eat 4 Change</v>
      </c>
      <c r="V674" s="43" t="str">
        <f>IFERROR(__xludf.DUMMYFUNCTION("""COMPUTED_VALUE"""),"ISTANBUL ASIA")</f>
        <v>ISTANBUL ASIA</v>
      </c>
      <c r="W674" s="43" t="str">
        <f>IFERROR(__xludf.DUMMYFUNCTION("""COMPUTED_VALUE"""),"2019-11-24T22:57:53Z")</f>
        <v>2019-11-24T22:57:53Z</v>
      </c>
      <c r="X674" s="43"/>
      <c r="Y674" s="43"/>
      <c r="Z674" s="43"/>
    </row>
    <row r="675" hidden="1">
      <c r="A675" s="43" t="str">
        <f>IFERROR(__xludf.DUMMYFUNCTION("""COMPUTED_VALUE"""),"5129312_1294412")</f>
        <v>5129312_1294412</v>
      </c>
      <c r="B675" s="43" t="str">
        <f>IFERROR(__xludf.DUMMYFUNCTION("""COMPUTED_VALUE"""),"Beyza Ulutaş")</f>
        <v>Beyza Ulutaş</v>
      </c>
      <c r="C675" s="43" t="str">
        <f>IFERROR(__xludf.DUMMYFUNCTION("""COMPUTED_VALUE"""),"completed")</f>
        <v>completed</v>
      </c>
      <c r="D675" s="43" t="str">
        <f>IFERROR(__xludf.DUMMYFUNCTION("""COMPUTED_VALUE"""),"No")</f>
        <v>No</v>
      </c>
      <c r="E675" s="43" t="str">
        <f>IFERROR(__xludf.DUMMYFUNCTION("""COMPUTED_VALUE"""),"p_c2b1307e3edc50537e4407a4daa3c479912f0ed9@inbound.aiesec.org")</f>
        <v>p_c2b1307e3edc50537e4407a4daa3c479912f0ed9@inbound.aiesec.org</v>
      </c>
      <c r="F675" s="43">
        <f>IFERROR(__xludf.DUMMYFUNCTION("""COMPUTED_VALUE"""),5.334941508E9)</f>
        <v>5334941508</v>
      </c>
      <c r="G675" s="43" t="str">
        <f>IFERROR(__xludf.DUMMYFUNCTION("""COMPUTED_VALUE"""),"Turkey")</f>
        <v>Turkey</v>
      </c>
      <c r="H675" s="43" t="str">
        <f>IFERROR(__xludf.DUMMYFUNCTION("""COMPUTED_VALUE"""),"ANKARA")</f>
        <v>ANKARA</v>
      </c>
      <c r="I675" s="43" t="str">
        <f>IFERROR(__xludf.DUMMYFUNCTION("""COMPUTED_VALUE"""),"Romania")</f>
        <v>Romania</v>
      </c>
      <c r="J675" s="43" t="str">
        <f>IFERROR(__xludf.DUMMYFUNCTION("""COMPUTED_VALUE"""),"Cluj-Napoca")</f>
        <v>Cluj-Napoca</v>
      </c>
      <c r="K675" s="44" t="str">
        <f>IFERROR(__xludf.DUMMYFUNCTION("""COMPUTED_VALUE"""),"https://expa.aiesec.org/opportunities/1294412")</f>
        <v>https://expa.aiesec.org/opportunities/1294412</v>
      </c>
      <c r="L675" s="43" t="str">
        <f>IFERROR(__xludf.DUMMYFUNCTION("""COMPUTED_VALUE"""),"GV")</f>
        <v>GV</v>
      </c>
      <c r="M675" s="43" t="str">
        <f>IFERROR(__xludf.DUMMYFUNCTION("""COMPUTED_VALUE"""),"short")</f>
        <v>short</v>
      </c>
      <c r="N675" s="45">
        <f>IFERROR(__xludf.DUMMYFUNCTION("""COMPUTED_VALUE"""),45053.0)</f>
        <v>45053</v>
      </c>
      <c r="O675" s="45">
        <f>IFERROR(__xludf.DUMMYFUNCTION("""COMPUTED_VALUE"""),45103.0)</f>
        <v>45103</v>
      </c>
      <c r="P675" s="45">
        <f>IFERROR(__xludf.DUMMYFUNCTION("""COMPUTED_VALUE"""),45145.0)</f>
        <v>45145</v>
      </c>
      <c r="Q675" s="45">
        <f>IFERROR(__xludf.DUMMYFUNCTION("""COMPUTED_VALUE"""),45103.0)</f>
        <v>45103</v>
      </c>
      <c r="R675" s="45">
        <f>IFERROR(__xludf.DUMMYFUNCTION("""COMPUTED_VALUE"""),45145.0)</f>
        <v>45145</v>
      </c>
      <c r="S675" s="43"/>
      <c r="T675" s="43"/>
      <c r="U675" s="43" t="str">
        <f>IFERROR(__xludf.DUMMYFUNCTION("""COMPUTED_VALUE"""),"Explorer")</f>
        <v>Explorer</v>
      </c>
      <c r="V675" s="43" t="str">
        <f>IFERROR(__xludf.DUMMYFUNCTION("""COMPUTED_VALUE"""),"ANKARA")</f>
        <v>ANKARA</v>
      </c>
      <c r="W675" s="43" t="str">
        <f>IFERROR(__xludf.DUMMYFUNCTION("""COMPUTED_VALUE"""),"2022-10-10T17:13:20Z")</f>
        <v>2022-10-10T17:13:20Z</v>
      </c>
      <c r="X675" s="43"/>
      <c r="Y675" s="43"/>
      <c r="Z675" s="43"/>
    </row>
    <row r="676" hidden="1">
      <c r="A676" s="43" t="str">
        <f>IFERROR(__xludf.DUMMYFUNCTION("""COMPUTED_VALUE"""),"5257156_1294848")</f>
        <v>5257156_1294848</v>
      </c>
      <c r="B676" s="43" t="str">
        <f>IFERROR(__xludf.DUMMYFUNCTION("""COMPUTED_VALUE"""),"Taha Turanoğlu")</f>
        <v>Taha Turanoğlu</v>
      </c>
      <c r="C676" s="43" t="str">
        <f>IFERROR(__xludf.DUMMYFUNCTION("""COMPUTED_VALUE"""),"completed")</f>
        <v>completed</v>
      </c>
      <c r="D676" s="43" t="str">
        <f>IFERROR(__xludf.DUMMYFUNCTION("""COMPUTED_VALUE"""),"No")</f>
        <v>No</v>
      </c>
      <c r="E676" s="43" t="str">
        <f>IFERROR(__xludf.DUMMYFUNCTION("""COMPUTED_VALUE"""),"p_0a80de4738e00a32b717b73f567744ae54be7448@inbound.aiesec.org")</f>
        <v>p_0a80de4738e00a32b717b73f567744ae54be7448@inbound.aiesec.org</v>
      </c>
      <c r="F676" s="43">
        <f>IFERROR(__xludf.DUMMYFUNCTION("""COMPUTED_VALUE"""),5.379227523E9)</f>
        <v>5379227523</v>
      </c>
      <c r="G676" s="43" t="str">
        <f>IFERROR(__xludf.DUMMYFUNCTION("""COMPUTED_VALUE"""),"Turkey")</f>
        <v>Turkey</v>
      </c>
      <c r="H676" s="43" t="str">
        <f>IFERROR(__xludf.DUMMYFUNCTION("""COMPUTED_VALUE"""),"KUTAHYA")</f>
        <v>KUTAHYA</v>
      </c>
      <c r="I676" s="43" t="str">
        <f>IFERROR(__xludf.DUMMYFUNCTION("""COMPUTED_VALUE"""),"Egypt")</f>
        <v>Egypt</v>
      </c>
      <c r="J676" s="43" t="str">
        <f>IFERROR(__xludf.DUMMYFUNCTION("""COMPUTED_VALUE"""),"GUC")</f>
        <v>GUC</v>
      </c>
      <c r="K676" s="44" t="str">
        <f>IFERROR(__xludf.DUMMYFUNCTION("""COMPUTED_VALUE"""),"https://expa.aiesec.org/opportunities/1294848")</f>
        <v>https://expa.aiesec.org/opportunities/1294848</v>
      </c>
      <c r="L676" s="43" t="str">
        <f>IFERROR(__xludf.DUMMYFUNCTION("""COMPUTED_VALUE"""),"GV")</f>
        <v>GV</v>
      </c>
      <c r="M676" s="43" t="str">
        <f>IFERROR(__xludf.DUMMYFUNCTION("""COMPUTED_VALUE"""),"short")</f>
        <v>short</v>
      </c>
      <c r="N676" s="45">
        <f>IFERROR(__xludf.DUMMYFUNCTION("""COMPUTED_VALUE"""),45053.0)</f>
        <v>45053</v>
      </c>
      <c r="O676" s="45">
        <f>IFERROR(__xludf.DUMMYFUNCTION("""COMPUTED_VALUE"""),45107.0)</f>
        <v>45107</v>
      </c>
      <c r="P676" s="45">
        <f>IFERROR(__xludf.DUMMYFUNCTION("""COMPUTED_VALUE"""),45149.0)</f>
        <v>45149</v>
      </c>
      <c r="Q676" s="45">
        <f>IFERROR(__xludf.DUMMYFUNCTION("""COMPUTED_VALUE"""),45107.0)</f>
        <v>45107</v>
      </c>
      <c r="R676" s="45">
        <f>IFERROR(__xludf.DUMMYFUNCTION("""COMPUTED_VALUE"""),45149.0)</f>
        <v>45149</v>
      </c>
      <c r="S676" s="43"/>
      <c r="T676" s="43"/>
      <c r="U676" s="43" t="str">
        <f>IFERROR(__xludf.DUMMYFUNCTION("""COMPUTED_VALUE"""),"Skill Up!")</f>
        <v>Skill Up!</v>
      </c>
      <c r="V676" s="43" t="str">
        <f>IFERROR(__xludf.DUMMYFUNCTION("""COMPUTED_VALUE"""),"KUTAHYA")</f>
        <v>KUTAHYA</v>
      </c>
      <c r="W676" s="43" t="str">
        <f>IFERROR(__xludf.DUMMYFUNCTION("""COMPUTED_VALUE"""),"2023-05-07T14:54:39Z")</f>
        <v>2023-05-07T14:54:39Z</v>
      </c>
      <c r="X676" s="43"/>
      <c r="Y676" s="43"/>
      <c r="Z676" s="43"/>
    </row>
    <row r="677" hidden="1">
      <c r="A677" s="43" t="str">
        <f>IFERROR(__xludf.DUMMYFUNCTION("""COMPUTED_VALUE"""),"5251998_1294848")</f>
        <v>5251998_1294848</v>
      </c>
      <c r="B677" s="43" t="str">
        <f>IFERROR(__xludf.DUMMYFUNCTION("""COMPUTED_VALUE"""),"Ceri Ne")</f>
        <v>Ceri Ne</v>
      </c>
      <c r="C677" s="43" t="str">
        <f>IFERROR(__xludf.DUMMYFUNCTION("""COMPUTED_VALUE"""),"approved")</f>
        <v>approved</v>
      </c>
      <c r="D677" s="43" t="str">
        <f>IFERROR(__xludf.DUMMYFUNCTION("""COMPUTED_VALUE"""),"No")</f>
        <v>No</v>
      </c>
      <c r="E677" s="43" t="str">
        <f>IFERROR(__xludf.DUMMYFUNCTION("""COMPUTED_VALUE"""),"p_278fafffe818e834e82da358b6f933f2bebb13fd@inbound.aiesec.org")</f>
        <v>p_278fafffe818e834e82da358b6f933f2bebb13fd@inbound.aiesec.org</v>
      </c>
      <c r="F677" s="43"/>
      <c r="G677" s="43" t="str">
        <f>IFERROR(__xludf.DUMMYFUNCTION("""COMPUTED_VALUE"""),"Turkey")</f>
        <v>Turkey</v>
      </c>
      <c r="H677" s="43" t="str">
        <f>IFERROR(__xludf.DUMMYFUNCTION("""COMPUTED_VALUE"""),"ISTANBUL")</f>
        <v>ISTANBUL</v>
      </c>
      <c r="I677" s="43" t="str">
        <f>IFERROR(__xludf.DUMMYFUNCTION("""COMPUTED_VALUE"""),"Egypt")</f>
        <v>Egypt</v>
      </c>
      <c r="J677" s="43" t="str">
        <f>IFERROR(__xludf.DUMMYFUNCTION("""COMPUTED_VALUE"""),"GUC")</f>
        <v>GUC</v>
      </c>
      <c r="K677" s="44" t="str">
        <f>IFERROR(__xludf.DUMMYFUNCTION("""COMPUTED_VALUE"""),"https://expa.aiesec.org/opportunities/1294848")</f>
        <v>https://expa.aiesec.org/opportunities/1294848</v>
      </c>
      <c r="L677" s="43" t="str">
        <f>IFERROR(__xludf.DUMMYFUNCTION("""COMPUTED_VALUE"""),"GV")</f>
        <v>GV</v>
      </c>
      <c r="M677" s="43" t="str">
        <f>IFERROR(__xludf.DUMMYFUNCTION("""COMPUTED_VALUE"""),"short")</f>
        <v>short</v>
      </c>
      <c r="N677" s="45">
        <f>IFERROR(__xludf.DUMMYFUNCTION("""COMPUTED_VALUE"""),45053.0)</f>
        <v>45053</v>
      </c>
      <c r="O677" s="45">
        <f>IFERROR(__xludf.DUMMYFUNCTION("""COMPUTED_VALUE"""),45152.0)</f>
        <v>45152</v>
      </c>
      <c r="P677" s="45">
        <f>IFERROR(__xludf.DUMMYFUNCTION("""COMPUTED_VALUE"""),45194.0)</f>
        <v>45194</v>
      </c>
      <c r="Q677" s="45"/>
      <c r="R677" s="45"/>
      <c r="S677" s="43"/>
      <c r="T677" s="43"/>
      <c r="U677" s="43" t="str">
        <f>IFERROR(__xludf.DUMMYFUNCTION("""COMPUTED_VALUE"""),"Skill Up!")</f>
        <v>Skill Up!</v>
      </c>
      <c r="V677" s="43" t="str">
        <f>IFERROR(__xludf.DUMMYFUNCTION("""COMPUTED_VALUE"""),"-")</f>
        <v>-</v>
      </c>
      <c r="W677" s="43" t="str">
        <f>IFERROR(__xludf.DUMMYFUNCTION("""COMPUTED_VALUE"""),"2023-04-28T16:53:04Z")</f>
        <v>2023-04-28T16:53:04Z</v>
      </c>
      <c r="X677" s="43"/>
      <c r="Y677" s="43"/>
      <c r="Z677" s="43"/>
    </row>
    <row r="678" hidden="1">
      <c r="A678" s="43" t="str">
        <f>IFERROR(__xludf.DUMMYFUNCTION("""COMPUTED_VALUE"""),"5255193_1289951")</f>
        <v>5255193_1289951</v>
      </c>
      <c r="B678" s="43" t="str">
        <f>IFERROR(__xludf.DUMMYFUNCTION("""COMPUTED_VALUE"""),"Gamze Çevik")</f>
        <v>Gamze Çevik</v>
      </c>
      <c r="C678" s="43" t="str">
        <f>IFERROR(__xludf.DUMMYFUNCTION("""COMPUTED_VALUE"""),"completed")</f>
        <v>completed</v>
      </c>
      <c r="D678" s="43" t="str">
        <f>IFERROR(__xludf.DUMMYFUNCTION("""COMPUTED_VALUE"""),"No")</f>
        <v>No</v>
      </c>
      <c r="E678" s="43" t="str">
        <f>IFERROR(__xludf.DUMMYFUNCTION("""COMPUTED_VALUE"""),"p_a258dad59c6b3a260accbb3f4c45103c13ffa521@inbound.aiesec.org")</f>
        <v>p_a258dad59c6b3a260accbb3f4c45103c13ffa521@inbound.aiesec.org</v>
      </c>
      <c r="F678" s="43">
        <f>IFERROR(__xludf.DUMMYFUNCTION("""COMPUTED_VALUE"""),5.344108027E9)</f>
        <v>5344108027</v>
      </c>
      <c r="G678" s="43" t="str">
        <f>IFERROR(__xludf.DUMMYFUNCTION("""COMPUTED_VALUE"""),"Turkey")</f>
        <v>Turkey</v>
      </c>
      <c r="H678" s="43" t="str">
        <f>IFERROR(__xludf.DUMMYFUNCTION("""COMPUTED_VALUE"""),"ISTANBUL")</f>
        <v>ISTANBUL</v>
      </c>
      <c r="I678" s="43" t="str">
        <f>IFERROR(__xludf.DUMMYFUNCTION("""COMPUTED_VALUE"""),"Egypt")</f>
        <v>Egypt</v>
      </c>
      <c r="J678" s="43" t="str">
        <f>IFERROR(__xludf.DUMMYFUNCTION("""COMPUTED_VALUE"""),"Ain Shams University")</f>
        <v>Ain Shams University</v>
      </c>
      <c r="K678" s="44" t="str">
        <f>IFERROR(__xludf.DUMMYFUNCTION("""COMPUTED_VALUE"""),"https://expa.aiesec.org/opportunities/1289951")</f>
        <v>https://expa.aiesec.org/opportunities/1289951</v>
      </c>
      <c r="L678" s="43" t="str">
        <f>IFERROR(__xludf.DUMMYFUNCTION("""COMPUTED_VALUE"""),"GV")</f>
        <v>GV</v>
      </c>
      <c r="M678" s="43" t="str">
        <f>IFERROR(__xludf.DUMMYFUNCTION("""COMPUTED_VALUE"""),"short")</f>
        <v>short</v>
      </c>
      <c r="N678" s="45">
        <f>IFERROR(__xludf.DUMMYFUNCTION("""COMPUTED_VALUE"""),45053.0)</f>
        <v>45053</v>
      </c>
      <c r="O678" s="45">
        <f>IFERROR(__xludf.DUMMYFUNCTION("""COMPUTED_VALUE"""),45122.0)</f>
        <v>45122</v>
      </c>
      <c r="P678" s="45">
        <f>IFERROR(__xludf.DUMMYFUNCTION("""COMPUTED_VALUE"""),45164.0)</f>
        <v>45164</v>
      </c>
      <c r="Q678" s="45">
        <f>IFERROR(__xludf.DUMMYFUNCTION("""COMPUTED_VALUE"""),45122.0)</f>
        <v>45122</v>
      </c>
      <c r="R678" s="45">
        <f>IFERROR(__xludf.DUMMYFUNCTION("""COMPUTED_VALUE"""),45164.0)</f>
        <v>45164</v>
      </c>
      <c r="S678" s="43"/>
      <c r="T678" s="43"/>
      <c r="U678" s="43" t="str">
        <f>IFERROR(__xludf.DUMMYFUNCTION("""COMPUTED_VALUE"""),"Global Classroom")</f>
        <v>Global Classroom</v>
      </c>
      <c r="V678" s="43" t="str">
        <f>IFERROR(__xludf.DUMMYFUNCTION("""COMPUTED_VALUE"""),"ISTANBUL - BEYOGLU")</f>
        <v>ISTANBUL - BEYOGLU</v>
      </c>
      <c r="W678" s="43" t="str">
        <f>IFERROR(__xludf.DUMMYFUNCTION("""COMPUTED_VALUE"""),"2023-05-03T15:18:53Z")</f>
        <v>2023-05-03T15:18:53Z</v>
      </c>
      <c r="X678" s="43"/>
      <c r="Y678" s="43"/>
      <c r="Z678" s="43"/>
    </row>
    <row r="679">
      <c r="A679" s="43" t="str">
        <f>IFERROR(__xludf.DUMMYFUNCTION("""COMPUTED_VALUE"""),"5249580_1286929")</f>
        <v>5249580_1286929</v>
      </c>
      <c r="B679" s="43" t="str">
        <f>IFERROR(__xludf.DUMMYFUNCTION("""COMPUTED_VALUE"""),"Eyyüp Ekinbaş")</f>
        <v>Eyyüp Ekinbaş</v>
      </c>
      <c r="C679" s="43" t="str">
        <f>IFERROR(__xludf.DUMMYFUNCTION("""COMPUTED_VALUE"""),"approved")</f>
        <v>approved</v>
      </c>
      <c r="D679" s="43" t="str">
        <f>IFERROR(__xludf.DUMMYFUNCTION("""COMPUTED_VALUE"""),"No")</f>
        <v>No</v>
      </c>
      <c r="E679" s="43" t="str">
        <f>IFERROR(__xludf.DUMMYFUNCTION("""COMPUTED_VALUE"""),"p_df9ce2091151b7f7f08d77c40bf07bac2b0ee27c@inbound.aiesec.org")</f>
        <v>p_df9ce2091151b7f7f08d77c40bf07bac2b0ee27c@inbound.aiesec.org</v>
      </c>
      <c r="F679" s="43">
        <f>IFERROR(__xludf.DUMMYFUNCTION("""COMPUTED_VALUE"""),5.418984372E9)</f>
        <v>5418984372</v>
      </c>
      <c r="G679" s="43" t="str">
        <f>IFERROR(__xludf.DUMMYFUNCTION("""COMPUTED_VALUE"""),"Turkey")</f>
        <v>Turkey</v>
      </c>
      <c r="H679" s="43" t="str">
        <f>IFERROR(__xludf.DUMMYFUNCTION("""COMPUTED_VALUE"""),"ISTANBUL")</f>
        <v>ISTANBUL</v>
      </c>
      <c r="I679" s="43" t="str">
        <f>IFERROR(__xludf.DUMMYFUNCTION("""COMPUTED_VALUE"""),"Egypt")</f>
        <v>Egypt</v>
      </c>
      <c r="J679" s="43" t="str">
        <f>IFERROR(__xludf.DUMMYFUNCTION("""COMPUTED_VALUE"""),"Ain Shams University")</f>
        <v>Ain Shams University</v>
      </c>
      <c r="K679" s="44" t="str">
        <f>IFERROR(__xludf.DUMMYFUNCTION("""COMPUTED_VALUE"""),"https://expa.aiesec.org/opportunities/1286929")</f>
        <v>https://expa.aiesec.org/opportunities/1286929</v>
      </c>
      <c r="L679" s="43" t="str">
        <f>IFERROR(__xludf.DUMMYFUNCTION("""COMPUTED_VALUE"""),"GV")</f>
        <v>GV</v>
      </c>
      <c r="M679" s="43" t="str">
        <f>IFERROR(__xludf.DUMMYFUNCTION("""COMPUTED_VALUE"""),"short")</f>
        <v>short</v>
      </c>
      <c r="N679" s="45">
        <f>IFERROR(__xludf.DUMMYFUNCTION("""COMPUTED_VALUE"""),45053.0)</f>
        <v>45053</v>
      </c>
      <c r="O679" s="45">
        <f>IFERROR(__xludf.DUMMYFUNCTION("""COMPUTED_VALUE"""),45108.0)</f>
        <v>45108</v>
      </c>
      <c r="P679" s="45">
        <f>IFERROR(__xludf.DUMMYFUNCTION("""COMPUTED_VALUE"""),45150.0)</f>
        <v>45150</v>
      </c>
      <c r="Q679" s="45"/>
      <c r="R679" s="45"/>
      <c r="S679" s="43"/>
      <c r="T679" s="43"/>
      <c r="U679" s="43" t="str">
        <f>IFERROR(__xludf.DUMMYFUNCTION("""COMPUTED_VALUE"""),"Global Classroom")</f>
        <v>Global Classroom</v>
      </c>
      <c r="V679" s="43" t="str">
        <f>IFERROR(__xludf.DUMMYFUNCTION("""COMPUTED_VALUE"""),"KAYSERI")</f>
        <v>KAYSERI</v>
      </c>
      <c r="W679" s="43" t="str">
        <f>IFERROR(__xludf.DUMMYFUNCTION("""COMPUTED_VALUE"""),"2023-04-26T06:44:27Z")</f>
        <v>2023-04-26T06:44:27Z</v>
      </c>
      <c r="X679" s="43"/>
      <c r="Y679" s="43"/>
      <c r="Z679" s="43"/>
    </row>
    <row r="680" hidden="1">
      <c r="A680" s="43" t="str">
        <f>IFERROR(__xludf.DUMMYFUNCTION("""COMPUTED_VALUE"""),"4879575_1294488")</f>
        <v>4879575_1294488</v>
      </c>
      <c r="B680" s="43" t="str">
        <f>IFERROR(__xludf.DUMMYFUNCTION("""COMPUTED_VALUE"""),"irem ceylan")</f>
        <v>irem ceylan</v>
      </c>
      <c r="C680" s="43" t="str">
        <f>IFERROR(__xludf.DUMMYFUNCTION("""COMPUTED_VALUE"""),"approved")</f>
        <v>approved</v>
      </c>
      <c r="D680" s="43" t="str">
        <f>IFERROR(__xludf.DUMMYFUNCTION("""COMPUTED_VALUE"""),"No")</f>
        <v>No</v>
      </c>
      <c r="E680" s="43" t="str">
        <f>IFERROR(__xludf.DUMMYFUNCTION("""COMPUTED_VALUE"""),"p_91b580f20fb05b60bf304322456b3d39bac30b13@inbound.aiesec.org")</f>
        <v>p_91b580f20fb05b60bf304322456b3d39bac30b13@inbound.aiesec.org</v>
      </c>
      <c r="F680" s="43">
        <f>IFERROR(__xludf.DUMMYFUNCTION("""COMPUTED_VALUE"""),5.525022281E9)</f>
        <v>5525022281</v>
      </c>
      <c r="G680" s="43" t="str">
        <f>IFERROR(__xludf.DUMMYFUNCTION("""COMPUTED_VALUE"""),"Turkey")</f>
        <v>Turkey</v>
      </c>
      <c r="H680" s="43" t="str">
        <f>IFERROR(__xludf.DUMMYFUNCTION("""COMPUTED_VALUE"""),"ISTANBUL WEST")</f>
        <v>ISTANBUL WEST</v>
      </c>
      <c r="I680" s="43" t="str">
        <f>IFERROR(__xludf.DUMMYFUNCTION("""COMPUTED_VALUE"""),"Egypt")</f>
        <v>Egypt</v>
      </c>
      <c r="J680" s="43" t="str">
        <f>IFERROR(__xludf.DUMMYFUNCTION("""COMPUTED_VALUE"""),"Ain Shams University")</f>
        <v>Ain Shams University</v>
      </c>
      <c r="K680" s="44" t="str">
        <f>IFERROR(__xludf.DUMMYFUNCTION("""COMPUTED_VALUE"""),"https://expa.aiesec.org/opportunities/1294488")</f>
        <v>https://expa.aiesec.org/opportunities/1294488</v>
      </c>
      <c r="L680" s="43" t="str">
        <f>IFERROR(__xludf.DUMMYFUNCTION("""COMPUTED_VALUE"""),"GV")</f>
        <v>GV</v>
      </c>
      <c r="M680" s="43" t="str">
        <f>IFERROR(__xludf.DUMMYFUNCTION("""COMPUTED_VALUE"""),"short")</f>
        <v>short</v>
      </c>
      <c r="N680" s="45">
        <f>IFERROR(__xludf.DUMMYFUNCTION("""COMPUTED_VALUE"""),45053.0)</f>
        <v>45053</v>
      </c>
      <c r="O680" s="45">
        <f>IFERROR(__xludf.DUMMYFUNCTION("""COMPUTED_VALUE"""),45107.0)</f>
        <v>45107</v>
      </c>
      <c r="P680" s="45">
        <f>IFERROR(__xludf.DUMMYFUNCTION("""COMPUTED_VALUE"""),45149.0)</f>
        <v>45149</v>
      </c>
      <c r="Q680" s="45"/>
      <c r="R680" s="45"/>
      <c r="S680" s="43"/>
      <c r="T680" s="43"/>
      <c r="U680" s="43" t="str">
        <f>IFERROR(__xludf.DUMMYFUNCTION("""COMPUTED_VALUE"""),"Heartbeat")</f>
        <v>Heartbeat</v>
      </c>
      <c r="V680" s="43" t="str">
        <f>IFERROR(__xludf.DUMMYFUNCTION("""COMPUTED_VALUE"""),"ISTANBUL - BAKIRKOY")</f>
        <v>ISTANBUL - BAKIRKOY</v>
      </c>
      <c r="W680" s="43" t="str">
        <f>IFERROR(__xludf.DUMMYFUNCTION("""COMPUTED_VALUE"""),"2022-01-13T07:33:40Z")</f>
        <v>2022-01-13T07:33:40Z</v>
      </c>
      <c r="X680" s="43"/>
      <c r="Y680" s="43"/>
      <c r="Z680" s="43"/>
    </row>
    <row r="681" hidden="1">
      <c r="A681" s="43" t="str">
        <f>IFERROR(__xludf.DUMMYFUNCTION("""COMPUTED_VALUE"""),"5256679_1294876")</f>
        <v>5256679_1294876</v>
      </c>
      <c r="B681" s="43" t="str">
        <f>IFERROR(__xludf.DUMMYFUNCTION("""COMPUTED_VALUE"""),"Deniz Korkmaz")</f>
        <v>Deniz Korkmaz</v>
      </c>
      <c r="C681" s="43" t="str">
        <f>IFERROR(__xludf.DUMMYFUNCTION("""COMPUTED_VALUE"""),"finished")</f>
        <v>finished</v>
      </c>
      <c r="D681" s="43" t="str">
        <f>IFERROR(__xludf.DUMMYFUNCTION("""COMPUTED_VALUE"""),"No")</f>
        <v>No</v>
      </c>
      <c r="E681" s="43" t="str">
        <f>IFERROR(__xludf.DUMMYFUNCTION("""COMPUTED_VALUE"""),"p_e101b50ca87206e9450e8df4de09efb51750cc79@inbound.aiesec.org")</f>
        <v>p_e101b50ca87206e9450e8df4de09efb51750cc79@inbound.aiesec.org</v>
      </c>
      <c r="F681" s="43">
        <f>IFERROR(__xludf.DUMMYFUNCTION("""COMPUTED_VALUE"""),5.308632602E9)</f>
        <v>5308632602</v>
      </c>
      <c r="G681" s="43" t="str">
        <f>IFERROR(__xludf.DUMMYFUNCTION("""COMPUTED_VALUE"""),"Turkey")</f>
        <v>Turkey</v>
      </c>
      <c r="H681" s="43" t="str">
        <f>IFERROR(__xludf.DUMMYFUNCTION("""COMPUTED_VALUE"""),"ANKARA")</f>
        <v>ANKARA</v>
      </c>
      <c r="I681" s="43" t="str">
        <f>IFERROR(__xludf.DUMMYFUNCTION("""COMPUTED_VALUE"""),"Tunisia")</f>
        <v>Tunisia</v>
      </c>
      <c r="J681" s="43" t="str">
        <f>IFERROR(__xludf.DUMMYFUNCTION("""COMPUTED_VALUE"""),"Tacapes")</f>
        <v>Tacapes</v>
      </c>
      <c r="K681" s="44" t="str">
        <f>IFERROR(__xludf.DUMMYFUNCTION("""COMPUTED_VALUE"""),"https://expa.aiesec.org/opportunities/1294876")</f>
        <v>https://expa.aiesec.org/opportunities/1294876</v>
      </c>
      <c r="L681" s="43" t="str">
        <f>IFERROR(__xludf.DUMMYFUNCTION("""COMPUTED_VALUE"""),"GV")</f>
        <v>GV</v>
      </c>
      <c r="M681" s="43" t="str">
        <f>IFERROR(__xludf.DUMMYFUNCTION("""COMPUTED_VALUE"""),"short")</f>
        <v>short</v>
      </c>
      <c r="N681" s="45">
        <f>IFERROR(__xludf.DUMMYFUNCTION("""COMPUTED_VALUE"""),45053.0)</f>
        <v>45053</v>
      </c>
      <c r="O681" s="45">
        <f>IFERROR(__xludf.DUMMYFUNCTION("""COMPUTED_VALUE"""),45122.0)</f>
        <v>45122</v>
      </c>
      <c r="P681" s="45">
        <f>IFERROR(__xludf.DUMMYFUNCTION("""COMPUTED_VALUE"""),45164.0)</f>
        <v>45164</v>
      </c>
      <c r="Q681" s="45">
        <f>IFERROR(__xludf.DUMMYFUNCTION("""COMPUTED_VALUE"""),45127.0)</f>
        <v>45127</v>
      </c>
      <c r="R681" s="45">
        <f>IFERROR(__xludf.DUMMYFUNCTION("""COMPUTED_VALUE"""),45169.0)</f>
        <v>45169</v>
      </c>
      <c r="S681" s="43"/>
      <c r="T681" s="43"/>
      <c r="U681" s="43" t="str">
        <f>IFERROR(__xludf.DUMMYFUNCTION("""COMPUTED_VALUE"""),"Global Classroom")</f>
        <v>Global Classroom</v>
      </c>
      <c r="V681" s="43" t="str">
        <f>IFERROR(__xludf.DUMMYFUNCTION("""COMPUTED_VALUE"""),"ANKARA")</f>
        <v>ANKARA</v>
      </c>
      <c r="W681" s="43" t="str">
        <f>IFERROR(__xludf.DUMMYFUNCTION("""COMPUTED_VALUE"""),"2023-05-06T09:11:58Z")</f>
        <v>2023-05-06T09:11:58Z</v>
      </c>
      <c r="X681" s="43"/>
      <c r="Y681" s="43"/>
      <c r="Z681" s="43"/>
    </row>
    <row r="682" hidden="1">
      <c r="A682" s="43" t="str">
        <f>IFERROR(__xludf.DUMMYFUNCTION("""COMPUTED_VALUE"""),"5256498_1294209")</f>
        <v>5256498_1294209</v>
      </c>
      <c r="B682" s="43" t="str">
        <f>IFERROR(__xludf.DUMMYFUNCTION("""COMPUTED_VALUE"""),"Neşat Burak Gündoğdu")</f>
        <v>Neşat Burak Gündoğdu</v>
      </c>
      <c r="C682" s="43" t="str">
        <f>IFERROR(__xludf.DUMMYFUNCTION("""COMPUTED_VALUE"""),"approved")</f>
        <v>approved</v>
      </c>
      <c r="D682" s="43" t="str">
        <f>IFERROR(__xludf.DUMMYFUNCTION("""COMPUTED_VALUE"""),"No")</f>
        <v>No</v>
      </c>
      <c r="E682" s="43" t="str">
        <f>IFERROR(__xludf.DUMMYFUNCTION("""COMPUTED_VALUE"""),"p_080d2947e36334e6680f65d011cf8b19a741452b@inbound.aiesec.org")</f>
        <v>p_080d2947e36334e6680f65d011cf8b19a741452b@inbound.aiesec.org</v>
      </c>
      <c r="F682" s="43">
        <f>IFERROR(__xludf.DUMMYFUNCTION("""COMPUTED_VALUE"""),5.370600361E9)</f>
        <v>5370600361</v>
      </c>
      <c r="G682" s="43" t="str">
        <f>IFERROR(__xludf.DUMMYFUNCTION("""COMPUTED_VALUE"""),"Turkey")</f>
        <v>Turkey</v>
      </c>
      <c r="H682" s="43" t="str">
        <f>IFERROR(__xludf.DUMMYFUNCTION("""COMPUTED_VALUE"""),"ISTANBUL")</f>
        <v>ISTANBUL</v>
      </c>
      <c r="I682" s="43" t="str">
        <f>IFERROR(__xludf.DUMMYFUNCTION("""COMPUTED_VALUE"""),"Moldova")</f>
        <v>Moldova</v>
      </c>
      <c r="J682" s="43" t="str">
        <f>IFERROR(__xludf.DUMMYFUNCTION("""COMPUTED_VALUE"""),"CHISINAU")</f>
        <v>CHISINAU</v>
      </c>
      <c r="K682" s="44" t="str">
        <f>IFERROR(__xludf.DUMMYFUNCTION("""COMPUTED_VALUE"""),"https://expa.aiesec.org/opportunities/1294209")</f>
        <v>https://expa.aiesec.org/opportunities/1294209</v>
      </c>
      <c r="L682" s="43" t="str">
        <f>IFERROR(__xludf.DUMMYFUNCTION("""COMPUTED_VALUE"""),"GV")</f>
        <v>GV</v>
      </c>
      <c r="M682" s="43" t="str">
        <f>IFERROR(__xludf.DUMMYFUNCTION("""COMPUTED_VALUE"""),"short")</f>
        <v>short</v>
      </c>
      <c r="N682" s="45">
        <f>IFERROR(__xludf.DUMMYFUNCTION("""COMPUTED_VALUE"""),45053.0)</f>
        <v>45053</v>
      </c>
      <c r="O682" s="45">
        <f>IFERROR(__xludf.DUMMYFUNCTION("""COMPUTED_VALUE"""),45089.0)</f>
        <v>45089</v>
      </c>
      <c r="P682" s="45">
        <f>IFERROR(__xludf.DUMMYFUNCTION("""COMPUTED_VALUE"""),45131.0)</f>
        <v>45131</v>
      </c>
      <c r="Q682" s="45"/>
      <c r="R682" s="45"/>
      <c r="S682" s="43"/>
      <c r="T682" s="43"/>
      <c r="U682" s="43" t="str">
        <f>IFERROR(__xludf.DUMMYFUNCTION("""COMPUTED_VALUE"""),"On The Map")</f>
        <v>On The Map</v>
      </c>
      <c r="V682" s="43" t="str">
        <f>IFERROR(__xludf.DUMMYFUNCTION("""COMPUTED_VALUE"""),"ISTANBUL ASIA")</f>
        <v>ISTANBUL ASIA</v>
      </c>
      <c r="W682" s="43" t="str">
        <f>IFERROR(__xludf.DUMMYFUNCTION("""COMPUTED_VALUE"""),"2023-05-05T20:56:30Z")</f>
        <v>2023-05-05T20:56:30Z</v>
      </c>
      <c r="X682" s="43"/>
      <c r="Y682" s="43"/>
      <c r="Z682" s="43"/>
    </row>
    <row r="683" hidden="1">
      <c r="A683" s="43" t="str">
        <f>IFERROR(__xludf.DUMMYFUNCTION("""COMPUTED_VALUE"""),"2364463_1293918")</f>
        <v>2364463_1293918</v>
      </c>
      <c r="B683" s="43" t="str">
        <f>IFERROR(__xludf.DUMMYFUNCTION("""COMPUTED_VALUE"""),"Murat Gokay Sekerli")</f>
        <v>Murat Gokay Sekerli</v>
      </c>
      <c r="C683" s="43" t="str">
        <f>IFERROR(__xludf.DUMMYFUNCTION("""COMPUTED_VALUE"""),"completed")</f>
        <v>completed</v>
      </c>
      <c r="D683" s="43" t="str">
        <f>IFERROR(__xludf.DUMMYFUNCTION("""COMPUTED_VALUE"""),"No")</f>
        <v>No</v>
      </c>
      <c r="E683" s="43" t="str">
        <f>IFERROR(__xludf.DUMMYFUNCTION("""COMPUTED_VALUE"""),"p_92b214b64b530a43d7a509ee32689b3fc2ddc326@inbound.aiesec.org")</f>
        <v>p_92b214b64b530a43d7a509ee32689b3fc2ddc326@inbound.aiesec.org</v>
      </c>
      <c r="F683" s="43">
        <f>IFERROR(__xludf.DUMMYFUNCTION("""COMPUTED_VALUE"""),5.543089853E9)</f>
        <v>5543089853</v>
      </c>
      <c r="G683" s="43" t="str">
        <f>IFERROR(__xludf.DUMMYFUNCTION("""COMPUTED_VALUE"""),"Turkey")</f>
        <v>Turkey</v>
      </c>
      <c r="H683" s="43" t="str">
        <f>IFERROR(__xludf.DUMMYFUNCTION("""COMPUTED_VALUE"""),"İZMİR")</f>
        <v>İZMİR</v>
      </c>
      <c r="I683" s="43" t="str">
        <f>IFERROR(__xludf.DUMMYFUNCTION("""COMPUTED_VALUE"""),"Slovakia")</f>
        <v>Slovakia</v>
      </c>
      <c r="J683" s="43" t="str">
        <f>IFERROR(__xludf.DUMMYFUNCTION("""COMPUTED_VALUE"""),"Comenius University")</f>
        <v>Comenius University</v>
      </c>
      <c r="K683" s="44" t="str">
        <f>IFERROR(__xludf.DUMMYFUNCTION("""COMPUTED_VALUE"""),"https://expa.aiesec.org/opportunities/1293918")</f>
        <v>https://expa.aiesec.org/opportunities/1293918</v>
      </c>
      <c r="L683" s="43" t="str">
        <f>IFERROR(__xludf.DUMMYFUNCTION("""COMPUTED_VALUE"""),"GV")</f>
        <v>GV</v>
      </c>
      <c r="M683" s="43" t="str">
        <f>IFERROR(__xludf.DUMMYFUNCTION("""COMPUTED_VALUE"""),"short")</f>
        <v>short</v>
      </c>
      <c r="N683" s="45">
        <f>IFERROR(__xludf.DUMMYFUNCTION("""COMPUTED_VALUE"""),45053.0)</f>
        <v>45053</v>
      </c>
      <c r="O683" s="45">
        <f>IFERROR(__xludf.DUMMYFUNCTION("""COMPUTED_VALUE"""),45061.0)</f>
        <v>45061</v>
      </c>
      <c r="P683" s="45">
        <f>IFERROR(__xludf.DUMMYFUNCTION("""COMPUTED_VALUE"""),45103.0)</f>
        <v>45103</v>
      </c>
      <c r="Q683" s="45">
        <f>IFERROR(__xludf.DUMMYFUNCTION("""COMPUTED_VALUE"""),45063.0)</f>
        <v>45063</v>
      </c>
      <c r="R683" s="45">
        <f>IFERROR(__xludf.DUMMYFUNCTION("""COMPUTED_VALUE"""),45103.0)</f>
        <v>45103</v>
      </c>
      <c r="S683" s="43"/>
      <c r="T683" s="43"/>
      <c r="U683" s="43" t="str">
        <f>IFERROR(__xludf.DUMMYFUNCTION("""COMPUTED_VALUE"""),"Youth 4 Impact")</f>
        <v>Youth 4 Impact</v>
      </c>
      <c r="V683" s="43" t="str">
        <f>IFERROR(__xludf.DUMMYFUNCTION("""COMPUTED_VALUE"""),"IZMIR")</f>
        <v>IZMIR</v>
      </c>
      <c r="W683" s="43" t="str">
        <f>IFERROR(__xludf.DUMMYFUNCTION("""COMPUTED_VALUE"""),"2018-06-16T16:31:43Z")</f>
        <v>2018-06-16T16:31:43Z</v>
      </c>
      <c r="X683" s="43"/>
      <c r="Y683" s="43"/>
      <c r="Z683" s="43"/>
    </row>
    <row r="684" hidden="1">
      <c r="A684" s="43" t="str">
        <f>IFERROR(__xludf.DUMMYFUNCTION("""COMPUTED_VALUE"""),"5249858_1294206")</f>
        <v>5249858_1294206</v>
      </c>
      <c r="B684" s="43" t="str">
        <f>IFERROR(__xludf.DUMMYFUNCTION("""COMPUTED_VALUE"""),"yağmur timur")</f>
        <v>yağmur timur</v>
      </c>
      <c r="C684" s="43" t="str">
        <f>IFERROR(__xludf.DUMMYFUNCTION("""COMPUTED_VALUE"""),"completed")</f>
        <v>completed</v>
      </c>
      <c r="D684" s="43" t="str">
        <f>IFERROR(__xludf.DUMMYFUNCTION("""COMPUTED_VALUE"""),"No")</f>
        <v>No</v>
      </c>
      <c r="E684" s="43" t="str">
        <f>IFERROR(__xludf.DUMMYFUNCTION("""COMPUTED_VALUE"""),"p_7b5b353ddefbbaef50d94fd97c7253baa78889fa@inbound.aiesec.org")</f>
        <v>p_7b5b353ddefbbaef50d94fd97c7253baa78889fa@inbound.aiesec.org</v>
      </c>
      <c r="F684" s="43">
        <f>IFERROR(__xludf.DUMMYFUNCTION("""COMPUTED_VALUE"""),5.555946241E9)</f>
        <v>5555946241</v>
      </c>
      <c r="G684" s="43" t="str">
        <f>IFERROR(__xludf.DUMMYFUNCTION("""COMPUTED_VALUE"""),"Turkey")</f>
        <v>Turkey</v>
      </c>
      <c r="H684" s="43" t="str">
        <f>IFERROR(__xludf.DUMMYFUNCTION("""COMPUTED_VALUE"""),"ANKARA")</f>
        <v>ANKARA</v>
      </c>
      <c r="I684" s="43" t="str">
        <f>IFERROR(__xludf.DUMMYFUNCTION("""COMPUTED_VALUE"""),"Romania")</f>
        <v>Romania</v>
      </c>
      <c r="J684" s="43" t="str">
        <f>IFERROR(__xludf.DUMMYFUNCTION("""COMPUTED_VALUE"""),"BUCURESTI")</f>
        <v>BUCURESTI</v>
      </c>
      <c r="K684" s="44" t="str">
        <f>IFERROR(__xludf.DUMMYFUNCTION("""COMPUTED_VALUE"""),"https://expa.aiesec.org/opportunities/1294206")</f>
        <v>https://expa.aiesec.org/opportunities/1294206</v>
      </c>
      <c r="L684" s="43" t="str">
        <f>IFERROR(__xludf.DUMMYFUNCTION("""COMPUTED_VALUE"""),"GV")</f>
        <v>GV</v>
      </c>
      <c r="M684" s="43" t="str">
        <f>IFERROR(__xludf.DUMMYFUNCTION("""COMPUTED_VALUE"""),"short")</f>
        <v>short</v>
      </c>
      <c r="N684" s="45">
        <f>IFERROR(__xludf.DUMMYFUNCTION("""COMPUTED_VALUE"""),45053.0)</f>
        <v>45053</v>
      </c>
      <c r="O684" s="45">
        <f>IFERROR(__xludf.DUMMYFUNCTION("""COMPUTED_VALUE"""),45096.0)</f>
        <v>45096</v>
      </c>
      <c r="P684" s="45">
        <f>IFERROR(__xludf.DUMMYFUNCTION("""COMPUTED_VALUE"""),45138.0)</f>
        <v>45138</v>
      </c>
      <c r="Q684" s="45">
        <f>IFERROR(__xludf.DUMMYFUNCTION("""COMPUTED_VALUE"""),45096.0)</f>
        <v>45096</v>
      </c>
      <c r="R684" s="45">
        <f>IFERROR(__xludf.DUMMYFUNCTION("""COMPUTED_VALUE"""),45138.0)</f>
        <v>45138</v>
      </c>
      <c r="S684" s="43"/>
      <c r="T684" s="43"/>
      <c r="U684" s="43" t="str">
        <f>IFERROR(__xludf.DUMMYFUNCTION("""COMPUTED_VALUE"""),"Rooted")</f>
        <v>Rooted</v>
      </c>
      <c r="V684" s="43" t="str">
        <f>IFERROR(__xludf.DUMMYFUNCTION("""COMPUTED_VALUE"""),"ANKARA")</f>
        <v>ANKARA</v>
      </c>
      <c r="W684" s="43" t="str">
        <f>IFERROR(__xludf.DUMMYFUNCTION("""COMPUTED_VALUE"""),"2023-04-26T12:42:44Z")</f>
        <v>2023-04-26T12:42:44Z</v>
      </c>
      <c r="X684" s="43"/>
      <c r="Y684" s="43"/>
      <c r="Z684" s="43"/>
    </row>
    <row r="685" hidden="1">
      <c r="A685" s="43" t="str">
        <f>IFERROR(__xludf.DUMMYFUNCTION("""COMPUTED_VALUE"""),"5251830_1294734")</f>
        <v>5251830_1294734</v>
      </c>
      <c r="B685" s="43" t="str">
        <f>IFERROR(__xludf.DUMMYFUNCTION("""COMPUTED_VALUE"""),"Melkan Kağan Kara")</f>
        <v>Melkan Kağan Kara</v>
      </c>
      <c r="C685" s="43" t="str">
        <f>IFERROR(__xludf.DUMMYFUNCTION("""COMPUTED_VALUE"""),"completed")</f>
        <v>completed</v>
      </c>
      <c r="D685" s="43" t="str">
        <f>IFERROR(__xludf.DUMMYFUNCTION("""COMPUTED_VALUE"""),"No")</f>
        <v>No</v>
      </c>
      <c r="E685" s="43" t="str">
        <f>IFERROR(__xludf.DUMMYFUNCTION("""COMPUTED_VALUE"""),"p_2432bb1586818f53cf1e65284a8f18e273ffa0d6@inbound.aiesec.org")</f>
        <v>p_2432bb1586818f53cf1e65284a8f18e273ffa0d6@inbound.aiesec.org</v>
      </c>
      <c r="F685" s="43">
        <f>IFERROR(__xludf.DUMMYFUNCTION("""COMPUTED_VALUE"""),5.012160815E9)</f>
        <v>5012160815</v>
      </c>
      <c r="G685" s="43" t="str">
        <f>IFERROR(__xludf.DUMMYFUNCTION("""COMPUTED_VALUE"""),"Turkey")</f>
        <v>Turkey</v>
      </c>
      <c r="H685" s="43" t="str">
        <f>IFERROR(__xludf.DUMMYFUNCTION("""COMPUTED_VALUE"""),"KUTAHYA")</f>
        <v>KUTAHYA</v>
      </c>
      <c r="I685" s="43" t="str">
        <f>IFERROR(__xludf.DUMMYFUNCTION("""COMPUTED_VALUE"""),"Romania")</f>
        <v>Romania</v>
      </c>
      <c r="J685" s="43" t="str">
        <f>IFERROR(__xludf.DUMMYFUNCTION("""COMPUTED_VALUE"""),"BUCURESTI")</f>
        <v>BUCURESTI</v>
      </c>
      <c r="K685" s="44" t="str">
        <f>IFERROR(__xludf.DUMMYFUNCTION("""COMPUTED_VALUE"""),"https://expa.aiesec.org/opportunities/1294734")</f>
        <v>https://expa.aiesec.org/opportunities/1294734</v>
      </c>
      <c r="L685" s="43" t="str">
        <f>IFERROR(__xludf.DUMMYFUNCTION("""COMPUTED_VALUE"""),"GV")</f>
        <v>GV</v>
      </c>
      <c r="M685" s="43" t="str">
        <f>IFERROR(__xludf.DUMMYFUNCTION("""COMPUTED_VALUE"""),"short")</f>
        <v>short</v>
      </c>
      <c r="N685" s="45">
        <f>IFERROR(__xludf.DUMMYFUNCTION("""COMPUTED_VALUE"""),45053.0)</f>
        <v>45053</v>
      </c>
      <c r="O685" s="45">
        <f>IFERROR(__xludf.DUMMYFUNCTION("""COMPUTED_VALUE"""),45124.0)</f>
        <v>45124</v>
      </c>
      <c r="P685" s="45">
        <f>IFERROR(__xludf.DUMMYFUNCTION("""COMPUTED_VALUE"""),45166.0)</f>
        <v>45166</v>
      </c>
      <c r="Q685" s="45">
        <f>IFERROR(__xludf.DUMMYFUNCTION("""COMPUTED_VALUE"""),45124.0)</f>
        <v>45124</v>
      </c>
      <c r="R685" s="45">
        <f>IFERROR(__xludf.DUMMYFUNCTION("""COMPUTED_VALUE"""),45166.0)</f>
        <v>45166</v>
      </c>
      <c r="S685" s="43"/>
      <c r="T685" s="43"/>
      <c r="U685" s="43" t="str">
        <f>IFERROR(__xludf.DUMMYFUNCTION("""COMPUTED_VALUE"""),"Global Classroom")</f>
        <v>Global Classroom</v>
      </c>
      <c r="V685" s="43" t="str">
        <f>IFERROR(__xludf.DUMMYFUNCTION("""COMPUTED_VALUE"""),"KUTAHYA")</f>
        <v>KUTAHYA</v>
      </c>
      <c r="W685" s="43" t="str">
        <f>IFERROR(__xludf.DUMMYFUNCTION("""COMPUTED_VALUE"""),"2023-04-28T14:00:24Z")</f>
        <v>2023-04-28T14:00:24Z</v>
      </c>
      <c r="X685" s="43"/>
      <c r="Y685" s="43"/>
      <c r="Z685" s="43"/>
    </row>
    <row r="686" hidden="1">
      <c r="A686" s="43" t="str">
        <f>IFERROR(__xludf.DUMMYFUNCTION("""COMPUTED_VALUE"""),"5250148_1293005")</f>
        <v>5250148_1293005</v>
      </c>
      <c r="B686" s="43" t="str">
        <f>IFERROR(__xludf.DUMMYFUNCTION("""COMPUTED_VALUE"""),"Esma Çetin")</f>
        <v>Esma Çetin</v>
      </c>
      <c r="C686" s="43" t="str">
        <f>IFERROR(__xludf.DUMMYFUNCTION("""COMPUTED_VALUE"""),"approved")</f>
        <v>approved</v>
      </c>
      <c r="D686" s="43" t="str">
        <f>IFERROR(__xludf.DUMMYFUNCTION("""COMPUTED_VALUE"""),"No")</f>
        <v>No</v>
      </c>
      <c r="E686" s="43" t="str">
        <f>IFERROR(__xludf.DUMMYFUNCTION("""COMPUTED_VALUE"""),"p_13e24e6c5f44b3d2bf85e7ad54fbba6f58e9404b@inbound.aiesec.org")</f>
        <v>p_13e24e6c5f44b3d2bf85e7ad54fbba6f58e9404b@inbound.aiesec.org</v>
      </c>
      <c r="F686" s="43">
        <f>IFERROR(__xludf.DUMMYFUNCTION("""COMPUTED_VALUE"""),5.061816726E9)</f>
        <v>5061816726</v>
      </c>
      <c r="G686" s="43" t="str">
        <f>IFERROR(__xludf.DUMMYFUNCTION("""COMPUTED_VALUE"""),"Turkey")</f>
        <v>Turkey</v>
      </c>
      <c r="H686" s="43" t="str">
        <f>IFERROR(__xludf.DUMMYFUNCTION("""COMPUTED_VALUE"""),"ISTANBUL ASIA")</f>
        <v>ISTANBUL ASIA</v>
      </c>
      <c r="I686" s="43" t="str">
        <f>IFERROR(__xludf.DUMMYFUNCTION("""COMPUTED_VALUE"""),"Mainland of China")</f>
        <v>Mainland of China</v>
      </c>
      <c r="J686" s="43" t="str">
        <f>IFERROR(__xludf.DUMMYFUNCTION("""COMPUTED_VALUE"""),"Guangzhou")</f>
        <v>Guangzhou</v>
      </c>
      <c r="K686" s="44" t="str">
        <f>IFERROR(__xludf.DUMMYFUNCTION("""COMPUTED_VALUE"""),"https://expa.aiesec.org/opportunities/1293005")</f>
        <v>https://expa.aiesec.org/opportunities/1293005</v>
      </c>
      <c r="L686" s="43" t="str">
        <f>IFERROR(__xludf.DUMMYFUNCTION("""COMPUTED_VALUE"""),"GV")</f>
        <v>GV</v>
      </c>
      <c r="M686" s="43" t="str">
        <f>IFERROR(__xludf.DUMMYFUNCTION("""COMPUTED_VALUE"""),"short")</f>
        <v>short</v>
      </c>
      <c r="N686" s="45">
        <f>IFERROR(__xludf.DUMMYFUNCTION("""COMPUTED_VALUE"""),45053.0)</f>
        <v>45053</v>
      </c>
      <c r="O686" s="45">
        <f>IFERROR(__xludf.DUMMYFUNCTION("""COMPUTED_VALUE"""),45117.0)</f>
        <v>45117</v>
      </c>
      <c r="P686" s="45">
        <f>IFERROR(__xludf.DUMMYFUNCTION("""COMPUTED_VALUE"""),45159.0)</f>
        <v>45159</v>
      </c>
      <c r="Q686" s="45"/>
      <c r="R686" s="45"/>
      <c r="S686" s="43"/>
      <c r="T686" s="43"/>
      <c r="U686" s="43" t="str">
        <f>IFERROR(__xludf.DUMMYFUNCTION("""COMPUTED_VALUE"""),"On The Map")</f>
        <v>On The Map</v>
      </c>
      <c r="V686" s="43" t="str">
        <f>IFERROR(__xludf.DUMMYFUNCTION("""COMPUTED_VALUE"""),"ISTANBUL ASIA")</f>
        <v>ISTANBUL ASIA</v>
      </c>
      <c r="W686" s="43" t="str">
        <f>IFERROR(__xludf.DUMMYFUNCTION("""COMPUTED_VALUE"""),"2023-04-26T18:55:08Z")</f>
        <v>2023-04-26T18:55:08Z</v>
      </c>
      <c r="X686" s="43"/>
      <c r="Y686" s="43"/>
      <c r="Z686" s="43"/>
    </row>
    <row r="687" hidden="1">
      <c r="A687" s="43" t="str">
        <f>IFERROR(__xludf.DUMMYFUNCTION("""COMPUTED_VALUE"""),"5244785_1293699")</f>
        <v>5244785_1293699</v>
      </c>
      <c r="B687" s="43" t="str">
        <f>IFERROR(__xludf.DUMMYFUNCTION("""COMPUTED_VALUE"""),"Ezgi Su Özerden")</f>
        <v>Ezgi Su Özerden</v>
      </c>
      <c r="C687" s="43" t="str">
        <f>IFERROR(__xludf.DUMMYFUNCTION("""COMPUTED_VALUE"""),"completed")</f>
        <v>completed</v>
      </c>
      <c r="D687" s="43" t="str">
        <f>IFERROR(__xludf.DUMMYFUNCTION("""COMPUTED_VALUE"""),"No")</f>
        <v>No</v>
      </c>
      <c r="E687" s="43" t="str">
        <f>IFERROR(__xludf.DUMMYFUNCTION("""COMPUTED_VALUE"""),"p_61c8935aff2c7a7c27ba245e11c2800587fc5b88@inbound.aiesec.org")</f>
        <v>p_61c8935aff2c7a7c27ba245e11c2800587fc5b88@inbound.aiesec.org</v>
      </c>
      <c r="F687" s="43"/>
      <c r="G687" s="43" t="str">
        <f>IFERROR(__xludf.DUMMYFUNCTION("""COMPUTED_VALUE"""),"Turkey")</f>
        <v>Turkey</v>
      </c>
      <c r="H687" s="43" t="str">
        <f>IFERROR(__xludf.DUMMYFUNCTION("""COMPUTED_VALUE"""),"ISTANBUL WEST")</f>
        <v>ISTANBUL WEST</v>
      </c>
      <c r="I687" s="43" t="str">
        <f>IFERROR(__xludf.DUMMYFUNCTION("""COMPUTED_VALUE"""),"Bosnia and Herzegovina")</f>
        <v>Bosnia and Herzegovina</v>
      </c>
      <c r="J687" s="43" t="str">
        <f>IFERROR(__xludf.DUMMYFUNCTION("""COMPUTED_VALUE"""),"SARAJEVO")</f>
        <v>SARAJEVO</v>
      </c>
      <c r="K687" s="44" t="str">
        <f>IFERROR(__xludf.DUMMYFUNCTION("""COMPUTED_VALUE"""),"https://expa.aiesec.org/opportunities/1293699")</f>
        <v>https://expa.aiesec.org/opportunities/1293699</v>
      </c>
      <c r="L687" s="43" t="str">
        <f>IFERROR(__xludf.DUMMYFUNCTION("""COMPUTED_VALUE"""),"GV")</f>
        <v>GV</v>
      </c>
      <c r="M687" s="43" t="str">
        <f>IFERROR(__xludf.DUMMYFUNCTION("""COMPUTED_VALUE"""),"short")</f>
        <v>short</v>
      </c>
      <c r="N687" s="45">
        <f>IFERROR(__xludf.DUMMYFUNCTION("""COMPUTED_VALUE"""),45053.0)</f>
        <v>45053</v>
      </c>
      <c r="O687" s="45">
        <f>IFERROR(__xludf.DUMMYFUNCTION("""COMPUTED_VALUE"""),45128.0)</f>
        <v>45128</v>
      </c>
      <c r="P687" s="45">
        <f>IFERROR(__xludf.DUMMYFUNCTION("""COMPUTED_VALUE"""),45170.0)</f>
        <v>45170</v>
      </c>
      <c r="Q687" s="45">
        <f>IFERROR(__xludf.DUMMYFUNCTION("""COMPUTED_VALUE"""),45128.0)</f>
        <v>45128</v>
      </c>
      <c r="R687" s="45">
        <f>IFERROR(__xludf.DUMMYFUNCTION("""COMPUTED_VALUE"""),45170.0)</f>
        <v>45170</v>
      </c>
      <c r="S687" s="43"/>
      <c r="T687" s="43"/>
      <c r="U687" s="43" t="str">
        <f>IFERROR(__xludf.DUMMYFUNCTION("""COMPUTED_VALUE"""),"Explorer")</f>
        <v>Explorer</v>
      </c>
      <c r="V687" s="43" t="str">
        <f>IFERROR(__xludf.DUMMYFUNCTION("""COMPUTED_VALUE"""),"-")</f>
        <v>-</v>
      </c>
      <c r="W687" s="43" t="str">
        <f>IFERROR(__xludf.DUMMYFUNCTION("""COMPUTED_VALUE"""),"2023-04-18T19:30:09Z")</f>
        <v>2023-04-18T19:30:09Z</v>
      </c>
      <c r="X687" s="43"/>
      <c r="Y687" s="43"/>
      <c r="Z687" s="43"/>
    </row>
    <row r="688" hidden="1">
      <c r="A688" s="43" t="str">
        <f>IFERROR(__xludf.DUMMYFUNCTION("""COMPUTED_VALUE"""),"5238272_1293245")</f>
        <v>5238272_1293245</v>
      </c>
      <c r="B688" s="43" t="str">
        <f>IFERROR(__xludf.DUMMYFUNCTION("""COMPUTED_VALUE"""),"Sinem Buzdan")</f>
        <v>Sinem Buzdan</v>
      </c>
      <c r="C688" s="43" t="str">
        <f>IFERROR(__xludf.DUMMYFUNCTION("""COMPUTED_VALUE"""),"approved")</f>
        <v>approved</v>
      </c>
      <c r="D688" s="43" t="str">
        <f>IFERROR(__xludf.DUMMYFUNCTION("""COMPUTED_VALUE"""),"No")</f>
        <v>No</v>
      </c>
      <c r="E688" s="43" t="str">
        <f>IFERROR(__xludf.DUMMYFUNCTION("""COMPUTED_VALUE"""),"p_a4ea5587223b8a254886cc765df29167c9202926@inbound.aiesec.org")</f>
        <v>p_a4ea5587223b8a254886cc765df29167c9202926@inbound.aiesec.org</v>
      </c>
      <c r="F688" s="43"/>
      <c r="G688" s="43" t="str">
        <f>IFERROR(__xludf.DUMMYFUNCTION("""COMPUTED_VALUE"""),"Turkey")</f>
        <v>Turkey</v>
      </c>
      <c r="H688" s="43" t="str">
        <f>IFERROR(__xludf.DUMMYFUNCTION("""COMPUTED_VALUE"""),"ISTANBUL WEST")</f>
        <v>ISTANBUL WEST</v>
      </c>
      <c r="I688" s="43" t="str">
        <f>IFERROR(__xludf.DUMMYFUNCTION("""COMPUTED_VALUE"""),"Germany")</f>
        <v>Germany</v>
      </c>
      <c r="J688" s="43" t="str">
        <f>IFERROR(__xludf.DUMMYFUNCTION("""COMPUTED_VALUE"""),"LUENEBURG")</f>
        <v>LUENEBURG</v>
      </c>
      <c r="K688" s="44" t="str">
        <f>IFERROR(__xludf.DUMMYFUNCTION("""COMPUTED_VALUE"""),"https://expa.aiesec.org/opportunities/1293245")</f>
        <v>https://expa.aiesec.org/opportunities/1293245</v>
      </c>
      <c r="L688" s="43" t="str">
        <f>IFERROR(__xludf.DUMMYFUNCTION("""COMPUTED_VALUE"""),"GV")</f>
        <v>GV</v>
      </c>
      <c r="M688" s="43" t="str">
        <f>IFERROR(__xludf.DUMMYFUNCTION("""COMPUTED_VALUE"""),"short")</f>
        <v>short</v>
      </c>
      <c r="N688" s="45">
        <f>IFERROR(__xludf.DUMMYFUNCTION("""COMPUTED_VALUE"""),45053.0)</f>
        <v>45053</v>
      </c>
      <c r="O688" s="45">
        <f>IFERROR(__xludf.DUMMYFUNCTION("""COMPUTED_VALUE"""),45207.0)</f>
        <v>45207</v>
      </c>
      <c r="P688" s="45">
        <f>IFERROR(__xludf.DUMMYFUNCTION("""COMPUTED_VALUE"""),45249.0)</f>
        <v>45249</v>
      </c>
      <c r="Q688" s="45"/>
      <c r="R688" s="45"/>
      <c r="S688" s="43"/>
      <c r="T688" s="43"/>
      <c r="U688" s="43" t="str">
        <f>IFERROR(__xludf.DUMMYFUNCTION("""COMPUTED_VALUE"""),"Eco City")</f>
        <v>Eco City</v>
      </c>
      <c r="V688" s="43" t="str">
        <f>IFERROR(__xludf.DUMMYFUNCTION("""COMPUTED_VALUE"""),"-")</f>
        <v>-</v>
      </c>
      <c r="W688" s="43" t="str">
        <f>IFERROR(__xludf.DUMMYFUNCTION("""COMPUTED_VALUE"""),"2023-04-09T17:21:00Z")</f>
        <v>2023-04-09T17:21:00Z</v>
      </c>
      <c r="X688" s="43"/>
      <c r="Y688" s="43"/>
      <c r="Z688" s="43"/>
    </row>
    <row r="689" hidden="1">
      <c r="A689" s="43" t="str">
        <f>IFERROR(__xludf.DUMMYFUNCTION("""COMPUTED_VALUE"""),"5254364_1294632")</f>
        <v>5254364_1294632</v>
      </c>
      <c r="B689" s="43" t="str">
        <f>IFERROR(__xludf.DUMMYFUNCTION("""COMPUTED_VALUE"""),"Bahadır Duman")</f>
        <v>Bahadır Duman</v>
      </c>
      <c r="C689" s="43" t="str">
        <f>IFERROR(__xludf.DUMMYFUNCTION("""COMPUTED_VALUE"""),"completed")</f>
        <v>completed</v>
      </c>
      <c r="D689" s="43" t="str">
        <f>IFERROR(__xludf.DUMMYFUNCTION("""COMPUTED_VALUE"""),"No")</f>
        <v>No</v>
      </c>
      <c r="E689" s="43" t="str">
        <f>IFERROR(__xludf.DUMMYFUNCTION("""COMPUTED_VALUE"""),"p_118f2e481594a77e54200934d6ef73628afccf4a@inbound.aiesec.org")</f>
        <v>p_118f2e481594a77e54200934d6ef73628afccf4a@inbound.aiesec.org</v>
      </c>
      <c r="F689" s="43">
        <f>IFERROR(__xludf.DUMMYFUNCTION("""COMPUTED_VALUE"""),5.422435154E9)</f>
        <v>5422435154</v>
      </c>
      <c r="G689" s="43" t="str">
        <f>IFERROR(__xludf.DUMMYFUNCTION("""COMPUTED_VALUE"""),"Turkey")</f>
        <v>Turkey</v>
      </c>
      <c r="H689" s="43" t="str">
        <f>IFERROR(__xludf.DUMMYFUNCTION("""COMPUTED_VALUE"""),"ISTANBUL WEST")</f>
        <v>ISTANBUL WEST</v>
      </c>
      <c r="I689" s="43" t="str">
        <f>IFERROR(__xludf.DUMMYFUNCTION("""COMPUTED_VALUE"""),"Romania")</f>
        <v>Romania</v>
      </c>
      <c r="J689" s="43" t="str">
        <f>IFERROR(__xludf.DUMMYFUNCTION("""COMPUTED_VALUE"""),"BUCURESTI")</f>
        <v>BUCURESTI</v>
      </c>
      <c r="K689" s="44" t="str">
        <f>IFERROR(__xludf.DUMMYFUNCTION("""COMPUTED_VALUE"""),"https://expa.aiesec.org/opportunities/1294632")</f>
        <v>https://expa.aiesec.org/opportunities/1294632</v>
      </c>
      <c r="L689" s="43" t="str">
        <f>IFERROR(__xludf.DUMMYFUNCTION("""COMPUTED_VALUE"""),"GV")</f>
        <v>GV</v>
      </c>
      <c r="M689" s="43" t="str">
        <f>IFERROR(__xludf.DUMMYFUNCTION("""COMPUTED_VALUE"""),"short")</f>
        <v>short</v>
      </c>
      <c r="N689" s="45">
        <f>IFERROR(__xludf.DUMMYFUNCTION("""COMPUTED_VALUE"""),45054.0)</f>
        <v>45054</v>
      </c>
      <c r="O689" s="45">
        <f>IFERROR(__xludf.DUMMYFUNCTION("""COMPUTED_VALUE"""),45096.0)</f>
        <v>45096</v>
      </c>
      <c r="P689" s="45">
        <f>IFERROR(__xludf.DUMMYFUNCTION("""COMPUTED_VALUE"""),45138.0)</f>
        <v>45138</v>
      </c>
      <c r="Q689" s="45">
        <f>IFERROR(__xludf.DUMMYFUNCTION("""COMPUTED_VALUE"""),45096.0)</f>
        <v>45096</v>
      </c>
      <c r="R689" s="45">
        <f>IFERROR(__xludf.DUMMYFUNCTION("""COMPUTED_VALUE"""),45138.0)</f>
        <v>45138</v>
      </c>
      <c r="S689" s="43"/>
      <c r="T689" s="43"/>
      <c r="U689" s="43" t="str">
        <f>IFERROR(__xludf.DUMMYFUNCTION("""COMPUTED_VALUE"""),"Green Leaders")</f>
        <v>Green Leaders</v>
      </c>
      <c r="V689" s="43" t="str">
        <f>IFERROR(__xludf.DUMMYFUNCTION("""COMPUTED_VALUE"""),"ISTANBUL - BEYOGLU")</f>
        <v>ISTANBUL - BEYOGLU</v>
      </c>
      <c r="W689" s="43" t="str">
        <f>IFERROR(__xludf.DUMMYFUNCTION("""COMPUTED_VALUE"""),"2023-05-02T15:31:57Z")</f>
        <v>2023-05-02T15:31:57Z</v>
      </c>
      <c r="X689" s="43"/>
      <c r="Y689" s="43"/>
      <c r="Z689" s="43"/>
    </row>
    <row r="690" hidden="1">
      <c r="A690" s="43" t="str">
        <f>IFERROR(__xludf.DUMMYFUNCTION("""COMPUTED_VALUE"""),"4656150_1293863")</f>
        <v>4656150_1293863</v>
      </c>
      <c r="B690" s="43" t="str">
        <f>IFERROR(__xludf.DUMMYFUNCTION("""COMPUTED_VALUE"""),"ecesu genç")</f>
        <v>ecesu genç</v>
      </c>
      <c r="C690" s="43" t="str">
        <f>IFERROR(__xludf.DUMMYFUNCTION("""COMPUTED_VALUE"""),"realization_broken")</f>
        <v>realization_broken</v>
      </c>
      <c r="D690" s="43" t="str">
        <f>IFERROR(__xludf.DUMMYFUNCTION("""COMPUTED_VALUE"""),"No")</f>
        <v>No</v>
      </c>
      <c r="E690" s="43" t="str">
        <f>IFERROR(__xludf.DUMMYFUNCTION("""COMPUTED_VALUE"""),"p_8e708ded1b6a89c47a88ce6366791bdcf1ed7f58@inbound.aiesec.org")</f>
        <v>p_8e708ded1b6a89c47a88ce6366791bdcf1ed7f58@inbound.aiesec.org</v>
      </c>
      <c r="F690" s="43">
        <f>IFERROR(__xludf.DUMMYFUNCTION("""COMPUTED_VALUE"""),5.079293108E9)</f>
        <v>5079293108</v>
      </c>
      <c r="G690" s="43" t="str">
        <f>IFERROR(__xludf.DUMMYFUNCTION("""COMPUTED_VALUE"""),"Turkey")</f>
        <v>Turkey</v>
      </c>
      <c r="H690" s="43" t="str">
        <f>IFERROR(__xludf.DUMMYFUNCTION("""COMPUTED_VALUE"""),"ANKARA")</f>
        <v>ANKARA</v>
      </c>
      <c r="I690" s="43" t="str">
        <f>IFERROR(__xludf.DUMMYFUNCTION("""COMPUTED_VALUE"""),"Italy")</f>
        <v>Italy</v>
      </c>
      <c r="J690" s="43" t="str">
        <f>IFERROR(__xludf.DUMMYFUNCTION("""COMPUTED_VALUE"""),"Napoli Federico II")</f>
        <v>Napoli Federico II</v>
      </c>
      <c r="K690" s="44" t="str">
        <f>IFERROR(__xludf.DUMMYFUNCTION("""COMPUTED_VALUE"""),"https://expa.aiesec.org/opportunities/1293863")</f>
        <v>https://expa.aiesec.org/opportunities/1293863</v>
      </c>
      <c r="L690" s="43" t="str">
        <f>IFERROR(__xludf.DUMMYFUNCTION("""COMPUTED_VALUE"""),"GV")</f>
        <v>GV</v>
      </c>
      <c r="M690" s="43" t="str">
        <f>IFERROR(__xludf.DUMMYFUNCTION("""COMPUTED_VALUE"""),"short")</f>
        <v>short</v>
      </c>
      <c r="N690" s="45">
        <f>IFERROR(__xludf.DUMMYFUNCTION("""COMPUTED_VALUE"""),45054.0)</f>
        <v>45054</v>
      </c>
      <c r="O690" s="45">
        <f>IFERROR(__xludf.DUMMYFUNCTION("""COMPUTED_VALUE"""),45089.0)</f>
        <v>45089</v>
      </c>
      <c r="P690" s="45">
        <f>IFERROR(__xludf.DUMMYFUNCTION("""COMPUTED_VALUE"""),45131.0)</f>
        <v>45131</v>
      </c>
      <c r="Q690" s="45"/>
      <c r="R690" s="45"/>
      <c r="S690" s="43"/>
      <c r="T690" s="43"/>
      <c r="U690" s="43" t="str">
        <f>IFERROR(__xludf.DUMMYFUNCTION("""COMPUTED_VALUE"""),"Green Leaders")</f>
        <v>Green Leaders</v>
      </c>
      <c r="V690" s="43" t="str">
        <f>IFERROR(__xludf.DUMMYFUNCTION("""COMPUTED_VALUE"""),"ANKARA")</f>
        <v>ANKARA</v>
      </c>
      <c r="W690" s="43" t="str">
        <f>IFERROR(__xludf.DUMMYFUNCTION("""COMPUTED_VALUE"""),"2021-05-28T10:51:52Z")</f>
        <v>2021-05-28T10:51:52Z</v>
      </c>
      <c r="X690" s="43"/>
      <c r="Y690" s="43"/>
      <c r="Z690" s="43"/>
    </row>
    <row r="691" hidden="1">
      <c r="A691" s="43" t="str">
        <f>IFERROR(__xludf.DUMMYFUNCTION("""COMPUTED_VALUE"""),"5257744_1288414")</f>
        <v>5257744_1288414</v>
      </c>
      <c r="B691" s="43" t="str">
        <f>IFERROR(__xludf.DUMMYFUNCTION("""COMPUTED_VALUE"""),"Ensar Önal")</f>
        <v>Ensar Önal</v>
      </c>
      <c r="C691" s="43" t="str">
        <f>IFERROR(__xludf.DUMMYFUNCTION("""COMPUTED_VALUE"""),"completed")</f>
        <v>completed</v>
      </c>
      <c r="D691" s="43" t="str">
        <f>IFERROR(__xludf.DUMMYFUNCTION("""COMPUTED_VALUE"""),"No")</f>
        <v>No</v>
      </c>
      <c r="E691" s="43" t="str">
        <f>IFERROR(__xludf.DUMMYFUNCTION("""COMPUTED_VALUE"""),"p_43a43087c7a5322c670d3dbd087d22076a37f857@inbound.aiesec.org")</f>
        <v>p_43a43087c7a5322c670d3dbd087d22076a37f857@inbound.aiesec.org</v>
      </c>
      <c r="F691" s="43"/>
      <c r="G691" s="43" t="str">
        <f>IFERROR(__xludf.DUMMYFUNCTION("""COMPUTED_VALUE"""),"Turkey")</f>
        <v>Turkey</v>
      </c>
      <c r="H691" s="43" t="str">
        <f>IFERROR(__xludf.DUMMYFUNCTION("""COMPUTED_VALUE"""),"KOCAELI")</f>
        <v>KOCAELI</v>
      </c>
      <c r="I691" s="43" t="str">
        <f>IFERROR(__xludf.DUMMYFUNCTION("""COMPUTED_VALUE"""),"India")</f>
        <v>India</v>
      </c>
      <c r="J691" s="43" t="str">
        <f>IFERROR(__xludf.DUMMYFUNCTION("""COMPUTED_VALUE"""),"JAIPUR ")</f>
        <v>JAIPUR </v>
      </c>
      <c r="K691" s="44" t="str">
        <f>IFERROR(__xludf.DUMMYFUNCTION("""COMPUTED_VALUE"""),"https://expa.aiesec.org/opportunities/1288414")</f>
        <v>https://expa.aiesec.org/opportunities/1288414</v>
      </c>
      <c r="L691" s="43" t="str">
        <f>IFERROR(__xludf.DUMMYFUNCTION("""COMPUTED_VALUE"""),"GV")</f>
        <v>GV</v>
      </c>
      <c r="M691" s="43" t="str">
        <f>IFERROR(__xludf.DUMMYFUNCTION("""COMPUTED_VALUE"""),"short")</f>
        <v>short</v>
      </c>
      <c r="N691" s="45">
        <f>IFERROR(__xludf.DUMMYFUNCTION("""COMPUTED_VALUE"""),45055.0)</f>
        <v>45055</v>
      </c>
      <c r="O691" s="45">
        <f>IFERROR(__xludf.DUMMYFUNCTION("""COMPUTED_VALUE"""),45143.0)</f>
        <v>45143</v>
      </c>
      <c r="P691" s="45">
        <f>IFERROR(__xludf.DUMMYFUNCTION("""COMPUTED_VALUE"""),45185.0)</f>
        <v>45185</v>
      </c>
      <c r="Q691" s="45">
        <f>IFERROR(__xludf.DUMMYFUNCTION("""COMPUTED_VALUE"""),45143.0)</f>
        <v>45143</v>
      </c>
      <c r="R691" s="45">
        <f>IFERROR(__xludf.DUMMYFUNCTION("""COMPUTED_VALUE"""),45185.0)</f>
        <v>45185</v>
      </c>
      <c r="S691" s="43"/>
      <c r="T691" s="43"/>
      <c r="U691" s="43" t="str">
        <f>IFERROR(__xludf.DUMMYFUNCTION("""COMPUTED_VALUE"""),"Skill Up!")</f>
        <v>Skill Up!</v>
      </c>
      <c r="V691" s="43" t="str">
        <f>IFERROR(__xludf.DUMMYFUNCTION("""COMPUTED_VALUE"""),"-")</f>
        <v>-</v>
      </c>
      <c r="W691" s="43" t="str">
        <f>IFERROR(__xludf.DUMMYFUNCTION("""COMPUTED_VALUE"""),"2023-05-08T15:29:17Z")</f>
        <v>2023-05-08T15:29:17Z</v>
      </c>
      <c r="X691" s="43"/>
      <c r="Y691" s="43"/>
      <c r="Z691" s="43"/>
    </row>
    <row r="692" hidden="1">
      <c r="A692" s="43" t="str">
        <f>IFERROR(__xludf.DUMMYFUNCTION("""COMPUTED_VALUE"""),"5256952_1288609")</f>
        <v>5256952_1288609</v>
      </c>
      <c r="B692" s="43" t="str">
        <f>IFERROR(__xludf.DUMMYFUNCTION("""COMPUTED_VALUE"""),"DEMET DİREYBATOĞULLARI")</f>
        <v>DEMET DİREYBATOĞULLARI</v>
      </c>
      <c r="C692" s="43" t="str">
        <f>IFERROR(__xludf.DUMMYFUNCTION("""COMPUTED_VALUE"""),"approved")</f>
        <v>approved</v>
      </c>
      <c r="D692" s="43" t="str">
        <f>IFERROR(__xludf.DUMMYFUNCTION("""COMPUTED_VALUE"""),"No")</f>
        <v>No</v>
      </c>
      <c r="E692" s="43" t="str">
        <f>IFERROR(__xludf.DUMMYFUNCTION("""COMPUTED_VALUE"""),"p_e22aa1c44bb4082d5b3f2a16a34d54e34a0d51cb@inbound.aiesec.org")</f>
        <v>p_e22aa1c44bb4082d5b3f2a16a34d54e34a0d51cb@inbound.aiesec.org</v>
      </c>
      <c r="F692" s="43">
        <f>IFERROR(__xludf.DUMMYFUNCTION("""COMPUTED_VALUE"""),5.396063735E9)</f>
        <v>5396063735</v>
      </c>
      <c r="G692" s="43" t="str">
        <f>IFERROR(__xludf.DUMMYFUNCTION("""COMPUTED_VALUE"""),"Turkey")</f>
        <v>Turkey</v>
      </c>
      <c r="H692" s="43" t="str">
        <f>IFERROR(__xludf.DUMMYFUNCTION("""COMPUTED_VALUE"""),"ISTANBUL ASIA")</f>
        <v>ISTANBUL ASIA</v>
      </c>
      <c r="I692" s="43" t="str">
        <f>IFERROR(__xludf.DUMMYFUNCTION("""COMPUTED_VALUE"""),"Egypt")</f>
        <v>Egypt</v>
      </c>
      <c r="J692" s="43" t="str">
        <f>IFERROR(__xludf.DUMMYFUNCTION("""COMPUTED_VALUE"""),"Tanta")</f>
        <v>Tanta</v>
      </c>
      <c r="K692" s="44" t="str">
        <f>IFERROR(__xludf.DUMMYFUNCTION("""COMPUTED_VALUE"""),"https://expa.aiesec.org/opportunities/1288609")</f>
        <v>https://expa.aiesec.org/opportunities/1288609</v>
      </c>
      <c r="L692" s="43" t="str">
        <f>IFERROR(__xludf.DUMMYFUNCTION("""COMPUTED_VALUE"""),"GV")</f>
        <v>GV</v>
      </c>
      <c r="M692" s="43" t="str">
        <f>IFERROR(__xludf.DUMMYFUNCTION("""COMPUTED_VALUE"""),"short")</f>
        <v>short</v>
      </c>
      <c r="N692" s="45">
        <f>IFERROR(__xludf.DUMMYFUNCTION("""COMPUTED_VALUE"""),45055.0)</f>
        <v>45055</v>
      </c>
      <c r="O692" s="45">
        <f>IFERROR(__xludf.DUMMYFUNCTION("""COMPUTED_VALUE"""),45139.0)</f>
        <v>45139</v>
      </c>
      <c r="P692" s="45">
        <f>IFERROR(__xludf.DUMMYFUNCTION("""COMPUTED_VALUE"""),45181.0)</f>
        <v>45181</v>
      </c>
      <c r="Q692" s="45"/>
      <c r="R692" s="45"/>
      <c r="S692" s="43"/>
      <c r="T692" s="43"/>
      <c r="U692" s="43" t="str">
        <f>IFERROR(__xludf.DUMMYFUNCTION("""COMPUTED_VALUE"""),"On The Map")</f>
        <v>On The Map</v>
      </c>
      <c r="V692" s="43" t="str">
        <f>IFERROR(__xludf.DUMMYFUNCTION("""COMPUTED_VALUE"""),"HATAY")</f>
        <v>HATAY</v>
      </c>
      <c r="W692" s="43" t="str">
        <f>IFERROR(__xludf.DUMMYFUNCTION("""COMPUTED_VALUE"""),"2023-05-06T23:12:12Z")</f>
        <v>2023-05-06T23:12:12Z</v>
      </c>
      <c r="X692" s="43"/>
      <c r="Y692" s="43"/>
      <c r="Z692" s="43"/>
    </row>
    <row r="693" hidden="1">
      <c r="A693" s="43" t="str">
        <f>IFERROR(__xludf.DUMMYFUNCTION("""COMPUTED_VALUE"""),"5256718_1288609")</f>
        <v>5256718_1288609</v>
      </c>
      <c r="B693" s="43" t="str">
        <f>IFERROR(__xludf.DUMMYFUNCTION("""COMPUTED_VALUE"""),"Hasan Bedir ATEŞ")</f>
        <v>Hasan Bedir ATEŞ</v>
      </c>
      <c r="C693" s="43" t="str">
        <f>IFERROR(__xludf.DUMMYFUNCTION("""COMPUTED_VALUE"""),"approved")</f>
        <v>approved</v>
      </c>
      <c r="D693" s="43" t="str">
        <f>IFERROR(__xludf.DUMMYFUNCTION("""COMPUTED_VALUE"""),"No")</f>
        <v>No</v>
      </c>
      <c r="E693" s="43" t="str">
        <f>IFERROR(__xludf.DUMMYFUNCTION("""COMPUTED_VALUE"""),"p_bbded4773e8ad1e068be10492c77f8fd0e71557d@inbound.aiesec.org")</f>
        <v>p_bbded4773e8ad1e068be10492c77f8fd0e71557d@inbound.aiesec.org</v>
      </c>
      <c r="F693" s="43">
        <f>IFERROR(__xludf.DUMMYFUNCTION("""COMPUTED_VALUE"""),5.383735623E9)</f>
        <v>5383735623</v>
      </c>
      <c r="G693" s="43" t="str">
        <f>IFERROR(__xludf.DUMMYFUNCTION("""COMPUTED_VALUE"""),"Turkey")</f>
        <v>Turkey</v>
      </c>
      <c r="H693" s="43" t="str">
        <f>IFERROR(__xludf.DUMMYFUNCTION("""COMPUTED_VALUE"""),"GAZIANTEP")</f>
        <v>GAZIANTEP</v>
      </c>
      <c r="I693" s="43" t="str">
        <f>IFERROR(__xludf.DUMMYFUNCTION("""COMPUTED_VALUE"""),"Egypt")</f>
        <v>Egypt</v>
      </c>
      <c r="J693" s="43" t="str">
        <f>IFERROR(__xludf.DUMMYFUNCTION("""COMPUTED_VALUE"""),"Tanta")</f>
        <v>Tanta</v>
      </c>
      <c r="K693" s="44" t="str">
        <f>IFERROR(__xludf.DUMMYFUNCTION("""COMPUTED_VALUE"""),"https://expa.aiesec.org/opportunities/1288609")</f>
        <v>https://expa.aiesec.org/opportunities/1288609</v>
      </c>
      <c r="L693" s="43" t="str">
        <f>IFERROR(__xludf.DUMMYFUNCTION("""COMPUTED_VALUE"""),"GV")</f>
        <v>GV</v>
      </c>
      <c r="M693" s="43" t="str">
        <f>IFERROR(__xludf.DUMMYFUNCTION("""COMPUTED_VALUE"""),"short")</f>
        <v>short</v>
      </c>
      <c r="N693" s="45">
        <f>IFERROR(__xludf.DUMMYFUNCTION("""COMPUTED_VALUE"""),45055.0)</f>
        <v>45055</v>
      </c>
      <c r="O693" s="45">
        <f>IFERROR(__xludf.DUMMYFUNCTION("""COMPUTED_VALUE"""),45139.0)</f>
        <v>45139</v>
      </c>
      <c r="P693" s="45">
        <f>IFERROR(__xludf.DUMMYFUNCTION("""COMPUTED_VALUE"""),45181.0)</f>
        <v>45181</v>
      </c>
      <c r="Q693" s="45"/>
      <c r="R693" s="45"/>
      <c r="S693" s="43"/>
      <c r="T693" s="43"/>
      <c r="U693" s="43" t="str">
        <f>IFERROR(__xludf.DUMMYFUNCTION("""COMPUTED_VALUE"""),"On The Map")</f>
        <v>On The Map</v>
      </c>
      <c r="V693" s="43" t="str">
        <f>IFERROR(__xludf.DUMMYFUNCTION("""COMPUTED_VALUE"""),"HATAY")</f>
        <v>HATAY</v>
      </c>
      <c r="W693" s="43" t="str">
        <f>IFERROR(__xludf.DUMMYFUNCTION("""COMPUTED_VALUE"""),"2023-05-06T11:23:01Z")</f>
        <v>2023-05-06T11:23:01Z</v>
      </c>
      <c r="X693" s="43"/>
      <c r="Y693" s="43"/>
      <c r="Z693" s="43"/>
    </row>
    <row r="694" hidden="1">
      <c r="A694" s="43" t="str">
        <f>IFERROR(__xludf.DUMMYFUNCTION("""COMPUTED_VALUE"""),"5106849_1294587")</f>
        <v>5106849_1294587</v>
      </c>
      <c r="B694" s="43" t="str">
        <f>IFERROR(__xludf.DUMMYFUNCTION("""COMPUTED_VALUE"""),"Başak Naz Kurt")</f>
        <v>Başak Naz Kurt</v>
      </c>
      <c r="C694" s="43" t="str">
        <f>IFERROR(__xludf.DUMMYFUNCTION("""COMPUTED_VALUE"""),"approved")</f>
        <v>approved</v>
      </c>
      <c r="D694" s="43" t="str">
        <f>IFERROR(__xludf.DUMMYFUNCTION("""COMPUTED_VALUE"""),"No")</f>
        <v>No</v>
      </c>
      <c r="E694" s="43" t="str">
        <f>IFERROR(__xludf.DUMMYFUNCTION("""COMPUTED_VALUE"""),"p_26ed00734d3be357b57a2da1b6cae221ea649d67@inbound.aiesec.org")</f>
        <v>p_26ed00734d3be357b57a2da1b6cae221ea649d67@inbound.aiesec.org</v>
      </c>
      <c r="F694" s="43"/>
      <c r="G694" s="43" t="str">
        <f>IFERROR(__xludf.DUMMYFUNCTION("""COMPUTED_VALUE"""),"Turkey")</f>
        <v>Turkey</v>
      </c>
      <c r="H694" s="43" t="str">
        <f>IFERROR(__xludf.DUMMYFUNCTION("""COMPUTED_VALUE"""),"İZMİR")</f>
        <v>İZMİR</v>
      </c>
      <c r="I694" s="43" t="str">
        <f>IFERROR(__xludf.DUMMYFUNCTION("""COMPUTED_VALUE"""),"Romania")</f>
        <v>Romania</v>
      </c>
      <c r="J694" s="43" t="str">
        <f>IFERROR(__xludf.DUMMYFUNCTION("""COMPUTED_VALUE"""),"BUCURESTI")</f>
        <v>BUCURESTI</v>
      </c>
      <c r="K694" s="44" t="str">
        <f>IFERROR(__xludf.DUMMYFUNCTION("""COMPUTED_VALUE"""),"https://expa.aiesec.org/opportunities/1294587")</f>
        <v>https://expa.aiesec.org/opportunities/1294587</v>
      </c>
      <c r="L694" s="43" t="str">
        <f>IFERROR(__xludf.DUMMYFUNCTION("""COMPUTED_VALUE"""),"GV")</f>
        <v>GV</v>
      </c>
      <c r="M694" s="43" t="str">
        <f>IFERROR(__xludf.DUMMYFUNCTION("""COMPUTED_VALUE"""),"short")</f>
        <v>short</v>
      </c>
      <c r="N694" s="45">
        <f>IFERROR(__xludf.DUMMYFUNCTION("""COMPUTED_VALUE"""),45055.0)</f>
        <v>45055</v>
      </c>
      <c r="O694" s="45">
        <f>IFERROR(__xludf.DUMMYFUNCTION("""COMPUTED_VALUE"""),45096.0)</f>
        <v>45096</v>
      </c>
      <c r="P694" s="45">
        <f>IFERROR(__xludf.DUMMYFUNCTION("""COMPUTED_VALUE"""),45138.0)</f>
        <v>45138</v>
      </c>
      <c r="Q694" s="45"/>
      <c r="R694" s="45"/>
      <c r="S694" s="43"/>
      <c r="T694" s="43"/>
      <c r="U694" s="43" t="str">
        <f>IFERROR(__xludf.DUMMYFUNCTION("""COMPUTED_VALUE"""),"Youth 4 Impact")</f>
        <v>Youth 4 Impact</v>
      </c>
      <c r="V694" s="43" t="str">
        <f>IFERROR(__xludf.DUMMYFUNCTION("""COMPUTED_VALUE"""),"IZMIR")</f>
        <v>IZMIR</v>
      </c>
      <c r="W694" s="43" t="str">
        <f>IFERROR(__xludf.DUMMYFUNCTION("""COMPUTED_VALUE"""),"2022-09-06T15:29:14Z")</f>
        <v>2022-09-06T15:29:14Z</v>
      </c>
      <c r="X694" s="43"/>
      <c r="Y694" s="43"/>
      <c r="Z694" s="43"/>
    </row>
    <row r="695" hidden="1">
      <c r="A695" s="43" t="str">
        <f>IFERROR(__xludf.DUMMYFUNCTION("""COMPUTED_VALUE"""),"5188555_1293046")</f>
        <v>5188555_1293046</v>
      </c>
      <c r="B695" s="43" t="str">
        <f>IFERROR(__xludf.DUMMYFUNCTION("""COMPUTED_VALUE"""),"Sude Filiz")</f>
        <v>Sude Filiz</v>
      </c>
      <c r="C695" s="43" t="str">
        <f>IFERROR(__xludf.DUMMYFUNCTION("""COMPUTED_VALUE"""),"completed")</f>
        <v>completed</v>
      </c>
      <c r="D695" s="43" t="str">
        <f>IFERROR(__xludf.DUMMYFUNCTION("""COMPUTED_VALUE"""),"No")</f>
        <v>No</v>
      </c>
      <c r="E695" s="43" t="str">
        <f>IFERROR(__xludf.DUMMYFUNCTION("""COMPUTED_VALUE"""),"p_399c974f6838eb77542dbd44649d007dec6401f5@inbound.aiesec.org")</f>
        <v>p_399c974f6838eb77542dbd44649d007dec6401f5@inbound.aiesec.org</v>
      </c>
      <c r="F695" s="43">
        <f>IFERROR(__xludf.DUMMYFUNCTION("""COMPUTED_VALUE"""),5.52316312E9)</f>
        <v>5523163120</v>
      </c>
      <c r="G695" s="43" t="str">
        <f>IFERROR(__xludf.DUMMYFUNCTION("""COMPUTED_VALUE"""),"Turkey")</f>
        <v>Turkey</v>
      </c>
      <c r="H695" s="43" t="str">
        <f>IFERROR(__xludf.DUMMYFUNCTION("""COMPUTED_VALUE"""),"KOCAELI")</f>
        <v>KOCAELI</v>
      </c>
      <c r="I695" s="43" t="str">
        <f>IFERROR(__xludf.DUMMYFUNCTION("""COMPUTED_VALUE"""),"Serbia")</f>
        <v>Serbia</v>
      </c>
      <c r="J695" s="43" t="str">
        <f>IFERROR(__xludf.DUMMYFUNCTION("""COMPUTED_VALUE"""),"Metropolitan")</f>
        <v>Metropolitan</v>
      </c>
      <c r="K695" s="44" t="str">
        <f>IFERROR(__xludf.DUMMYFUNCTION("""COMPUTED_VALUE"""),"https://expa.aiesec.org/opportunities/1293046")</f>
        <v>https://expa.aiesec.org/opportunities/1293046</v>
      </c>
      <c r="L695" s="43" t="str">
        <f>IFERROR(__xludf.DUMMYFUNCTION("""COMPUTED_VALUE"""),"GV")</f>
        <v>GV</v>
      </c>
      <c r="M695" s="43" t="str">
        <f>IFERROR(__xludf.DUMMYFUNCTION("""COMPUTED_VALUE"""),"short")</f>
        <v>short</v>
      </c>
      <c r="N695" s="45">
        <f>IFERROR(__xludf.DUMMYFUNCTION("""COMPUTED_VALUE"""),45056.0)</f>
        <v>45056</v>
      </c>
      <c r="O695" s="45">
        <f>IFERROR(__xludf.DUMMYFUNCTION("""COMPUTED_VALUE"""),45089.0)</f>
        <v>45089</v>
      </c>
      <c r="P695" s="45">
        <f>IFERROR(__xludf.DUMMYFUNCTION("""COMPUTED_VALUE"""),45131.0)</f>
        <v>45131</v>
      </c>
      <c r="Q695" s="45">
        <f>IFERROR(__xludf.DUMMYFUNCTION("""COMPUTED_VALUE"""),45090.0)</f>
        <v>45090</v>
      </c>
      <c r="R695" s="45">
        <f>IFERROR(__xludf.DUMMYFUNCTION("""COMPUTED_VALUE"""),45131.0)</f>
        <v>45131</v>
      </c>
      <c r="S695" s="43"/>
      <c r="T695" s="43"/>
      <c r="U695" s="43" t="str">
        <f>IFERROR(__xludf.DUMMYFUNCTION("""COMPUTED_VALUE"""),"Skill Up!")</f>
        <v>Skill Up!</v>
      </c>
      <c r="V695" s="43" t="str">
        <f>IFERROR(__xludf.DUMMYFUNCTION("""COMPUTED_VALUE"""),"KOCAELI")</f>
        <v>KOCAELI</v>
      </c>
      <c r="W695" s="43" t="str">
        <f>IFERROR(__xludf.DUMMYFUNCTION("""COMPUTED_VALUE"""),"2023-02-10T09:02:37Z")</f>
        <v>2023-02-10T09:02:37Z</v>
      </c>
      <c r="X695" s="43"/>
      <c r="Y695" s="43"/>
      <c r="Z695" s="43"/>
    </row>
    <row r="696" hidden="1">
      <c r="A696" s="43" t="str">
        <f>IFERROR(__xludf.DUMMYFUNCTION("""COMPUTED_VALUE"""),"5257182_1290950")</f>
        <v>5257182_1290950</v>
      </c>
      <c r="B696" s="43" t="str">
        <f>IFERROR(__xludf.DUMMYFUNCTION("""COMPUTED_VALUE"""),"yiğit gün")</f>
        <v>yiğit gün</v>
      </c>
      <c r="C696" s="43" t="str">
        <f>IFERROR(__xludf.DUMMYFUNCTION("""COMPUTED_VALUE"""),"realization_broken")</f>
        <v>realization_broken</v>
      </c>
      <c r="D696" s="43" t="str">
        <f>IFERROR(__xludf.DUMMYFUNCTION("""COMPUTED_VALUE"""),"No")</f>
        <v>No</v>
      </c>
      <c r="E696" s="43" t="str">
        <f>IFERROR(__xludf.DUMMYFUNCTION("""COMPUTED_VALUE"""),"p_dcb3d47df563e1eb35c2f69fab6f814a4a394484@inbound.aiesec.org")</f>
        <v>p_dcb3d47df563e1eb35c2f69fab6f814a4a394484@inbound.aiesec.org</v>
      </c>
      <c r="F696" s="43">
        <f>IFERROR(__xludf.DUMMYFUNCTION("""COMPUTED_VALUE"""),5.343877429E9)</f>
        <v>5343877429</v>
      </c>
      <c r="G696" s="43" t="str">
        <f>IFERROR(__xludf.DUMMYFUNCTION("""COMPUTED_VALUE"""),"Turkey")</f>
        <v>Turkey</v>
      </c>
      <c r="H696" s="43" t="str">
        <f>IFERROR(__xludf.DUMMYFUNCTION("""COMPUTED_VALUE"""),"ANTALYA")</f>
        <v>ANTALYA</v>
      </c>
      <c r="I696" s="43" t="str">
        <f>IFERROR(__xludf.DUMMYFUNCTION("""COMPUTED_VALUE"""),"Egypt")</f>
        <v>Egypt</v>
      </c>
      <c r="J696" s="43" t="str">
        <f>IFERROR(__xludf.DUMMYFUNCTION("""COMPUTED_VALUE"""),"MIU")</f>
        <v>MIU</v>
      </c>
      <c r="K696" s="44" t="str">
        <f>IFERROR(__xludf.DUMMYFUNCTION("""COMPUTED_VALUE"""),"https://expa.aiesec.org/opportunities/1290950")</f>
        <v>https://expa.aiesec.org/opportunities/1290950</v>
      </c>
      <c r="L696" s="43" t="str">
        <f>IFERROR(__xludf.DUMMYFUNCTION("""COMPUTED_VALUE"""),"GV")</f>
        <v>GV</v>
      </c>
      <c r="M696" s="43" t="str">
        <f>IFERROR(__xludf.DUMMYFUNCTION("""COMPUTED_VALUE"""),"short")</f>
        <v>short</v>
      </c>
      <c r="N696" s="45">
        <f>IFERROR(__xludf.DUMMYFUNCTION("""COMPUTED_VALUE"""),45056.0)</f>
        <v>45056</v>
      </c>
      <c r="O696" s="45">
        <f>IFERROR(__xludf.DUMMYFUNCTION("""COMPUTED_VALUE"""),45108.0)</f>
        <v>45108</v>
      </c>
      <c r="P696" s="45">
        <f>IFERROR(__xludf.DUMMYFUNCTION("""COMPUTED_VALUE"""),45153.0)</f>
        <v>45153</v>
      </c>
      <c r="Q696" s="45"/>
      <c r="R696" s="45"/>
      <c r="S696" s="43"/>
      <c r="T696" s="43"/>
      <c r="U696" s="43" t="str">
        <f>IFERROR(__xludf.DUMMYFUNCTION("""COMPUTED_VALUE"""),"Global Classroom")</f>
        <v>Global Classroom</v>
      </c>
      <c r="V696" s="43" t="str">
        <f>IFERROR(__xludf.DUMMYFUNCTION("""COMPUTED_VALUE"""),"ANTALYA")</f>
        <v>ANTALYA</v>
      </c>
      <c r="W696" s="43" t="str">
        <f>IFERROR(__xludf.DUMMYFUNCTION("""COMPUTED_VALUE"""),"2023-05-07T15:45:15Z")</f>
        <v>2023-05-07T15:45:15Z</v>
      </c>
      <c r="X696" s="43"/>
      <c r="Y696" s="43"/>
      <c r="Z696" s="43"/>
    </row>
    <row r="697" hidden="1">
      <c r="A697" s="43" t="str">
        <f>IFERROR(__xludf.DUMMYFUNCTION("""COMPUTED_VALUE"""),"5248982_1294760")</f>
        <v>5248982_1294760</v>
      </c>
      <c r="B697" s="43" t="str">
        <f>IFERROR(__xludf.DUMMYFUNCTION("""COMPUTED_VALUE"""),"Tuana Üzgül")</f>
        <v>Tuana Üzgül</v>
      </c>
      <c r="C697" s="43" t="str">
        <f>IFERROR(__xludf.DUMMYFUNCTION("""COMPUTED_VALUE"""),"completed")</f>
        <v>completed</v>
      </c>
      <c r="D697" s="43" t="str">
        <f>IFERROR(__xludf.DUMMYFUNCTION("""COMPUTED_VALUE"""),"No")</f>
        <v>No</v>
      </c>
      <c r="E697" s="43" t="str">
        <f>IFERROR(__xludf.DUMMYFUNCTION("""COMPUTED_VALUE"""),"p_9bf175c29ee1a341e6fb9da5de05773e31d40925@inbound.aiesec.org")</f>
        <v>p_9bf175c29ee1a341e6fb9da5de05773e31d40925@inbound.aiesec.org</v>
      </c>
      <c r="F697" s="43">
        <f>IFERROR(__xludf.DUMMYFUNCTION("""COMPUTED_VALUE"""),5.070541075E9)</f>
        <v>5070541075</v>
      </c>
      <c r="G697" s="43" t="str">
        <f>IFERROR(__xludf.DUMMYFUNCTION("""COMPUTED_VALUE"""),"Turkey")</f>
        <v>Turkey</v>
      </c>
      <c r="H697" s="43" t="str">
        <f>IFERROR(__xludf.DUMMYFUNCTION("""COMPUTED_VALUE"""),"ISTANBUL WEST")</f>
        <v>ISTANBUL WEST</v>
      </c>
      <c r="I697" s="43" t="str">
        <f>IFERROR(__xludf.DUMMYFUNCTION("""COMPUTED_VALUE"""),"Romania")</f>
        <v>Romania</v>
      </c>
      <c r="J697" s="43" t="str">
        <f>IFERROR(__xludf.DUMMYFUNCTION("""COMPUTED_VALUE"""),"Craiova")</f>
        <v>Craiova</v>
      </c>
      <c r="K697" s="44" t="str">
        <f>IFERROR(__xludf.DUMMYFUNCTION("""COMPUTED_VALUE"""),"https://expa.aiesec.org/opportunities/1294760")</f>
        <v>https://expa.aiesec.org/opportunities/1294760</v>
      </c>
      <c r="L697" s="43" t="str">
        <f>IFERROR(__xludf.DUMMYFUNCTION("""COMPUTED_VALUE"""),"GV")</f>
        <v>GV</v>
      </c>
      <c r="M697" s="43" t="str">
        <f>IFERROR(__xludf.DUMMYFUNCTION("""COMPUTED_VALUE"""),"short")</f>
        <v>short</v>
      </c>
      <c r="N697" s="45">
        <f>IFERROR(__xludf.DUMMYFUNCTION("""COMPUTED_VALUE"""),45056.0)</f>
        <v>45056</v>
      </c>
      <c r="O697" s="45">
        <f>IFERROR(__xludf.DUMMYFUNCTION("""COMPUTED_VALUE"""),45103.0)</f>
        <v>45103</v>
      </c>
      <c r="P697" s="45">
        <f>IFERROR(__xludf.DUMMYFUNCTION("""COMPUTED_VALUE"""),45145.0)</f>
        <v>45145</v>
      </c>
      <c r="Q697" s="45">
        <f>IFERROR(__xludf.DUMMYFUNCTION("""COMPUTED_VALUE"""),45103.0)</f>
        <v>45103</v>
      </c>
      <c r="R697" s="45">
        <f>IFERROR(__xludf.DUMMYFUNCTION("""COMPUTED_VALUE"""),45145.0)</f>
        <v>45145</v>
      </c>
      <c r="S697" s="43"/>
      <c r="T697" s="43"/>
      <c r="U697" s="43" t="str">
        <f>IFERROR(__xludf.DUMMYFUNCTION("""COMPUTED_VALUE"""),"Global Classroom")</f>
        <v>Global Classroom</v>
      </c>
      <c r="V697" s="43" t="str">
        <f>IFERROR(__xludf.DUMMYFUNCTION("""COMPUTED_VALUE"""),"ISTANBUL - BAKIRKOY")</f>
        <v>ISTANBUL - BAKIRKOY</v>
      </c>
      <c r="W697" s="43" t="str">
        <f>IFERROR(__xludf.DUMMYFUNCTION("""COMPUTED_VALUE"""),"2023-04-25T11:45:21Z")</f>
        <v>2023-04-25T11:45:21Z</v>
      </c>
      <c r="X697" s="43"/>
      <c r="Y697" s="43"/>
      <c r="Z697" s="43"/>
    </row>
    <row r="698" hidden="1">
      <c r="A698" s="43" t="str">
        <f>IFERROR(__xludf.DUMMYFUNCTION("""COMPUTED_VALUE"""),"5259222_1290024")</f>
        <v>5259222_1290024</v>
      </c>
      <c r="B698" s="43" t="str">
        <f>IFERROR(__xludf.DUMMYFUNCTION("""COMPUTED_VALUE"""),"Sabrullah Levent")</f>
        <v>Sabrullah Levent</v>
      </c>
      <c r="C698" s="43" t="str">
        <f>IFERROR(__xludf.DUMMYFUNCTION("""COMPUTED_VALUE"""),"approved")</f>
        <v>approved</v>
      </c>
      <c r="D698" s="43" t="str">
        <f>IFERROR(__xludf.DUMMYFUNCTION("""COMPUTED_VALUE"""),"No")</f>
        <v>No</v>
      </c>
      <c r="E698" s="43" t="str">
        <f>IFERROR(__xludf.DUMMYFUNCTION("""COMPUTED_VALUE"""),"p_5905ac34358d57923ad2de82fad1ea2b3a521f4f@inbound.aiesec.org")</f>
        <v>p_5905ac34358d57923ad2de82fad1ea2b3a521f4f@inbound.aiesec.org</v>
      </c>
      <c r="F698" s="43">
        <f>IFERROR(__xludf.DUMMYFUNCTION("""COMPUTED_VALUE"""),5.052085025E9)</f>
        <v>5052085025</v>
      </c>
      <c r="G698" s="43" t="str">
        <f>IFERROR(__xludf.DUMMYFUNCTION("""COMPUTED_VALUE"""),"Turkey")</f>
        <v>Turkey</v>
      </c>
      <c r="H698" s="43" t="str">
        <f>IFERROR(__xludf.DUMMYFUNCTION("""COMPUTED_VALUE"""),"SAKARYA")</f>
        <v>SAKARYA</v>
      </c>
      <c r="I698" s="43" t="str">
        <f>IFERROR(__xludf.DUMMYFUNCTION("""COMPUTED_VALUE"""),"Egypt")</f>
        <v>Egypt</v>
      </c>
      <c r="J698" s="43" t="str">
        <f>IFERROR(__xludf.DUMMYFUNCTION("""COMPUTED_VALUE"""),"Ain Shams University")</f>
        <v>Ain Shams University</v>
      </c>
      <c r="K698" s="44" t="str">
        <f>IFERROR(__xludf.DUMMYFUNCTION("""COMPUTED_VALUE"""),"https://expa.aiesec.org/opportunities/1290024")</f>
        <v>https://expa.aiesec.org/opportunities/1290024</v>
      </c>
      <c r="L698" s="43" t="str">
        <f>IFERROR(__xludf.DUMMYFUNCTION("""COMPUTED_VALUE"""),"GV")</f>
        <v>GV</v>
      </c>
      <c r="M698" s="43" t="str">
        <f>IFERROR(__xludf.DUMMYFUNCTION("""COMPUTED_VALUE"""),"short")</f>
        <v>short</v>
      </c>
      <c r="N698" s="45">
        <f>IFERROR(__xludf.DUMMYFUNCTION("""COMPUTED_VALUE"""),45057.0)</f>
        <v>45057</v>
      </c>
      <c r="O698" s="45">
        <f>IFERROR(__xludf.DUMMYFUNCTION("""COMPUTED_VALUE"""),45108.0)</f>
        <v>45108</v>
      </c>
      <c r="P698" s="45">
        <f>IFERROR(__xludf.DUMMYFUNCTION("""COMPUTED_VALUE"""),45150.0)</f>
        <v>45150</v>
      </c>
      <c r="Q698" s="45"/>
      <c r="R698" s="45"/>
      <c r="S698" s="43"/>
      <c r="T698" s="43"/>
      <c r="U698" s="43" t="str">
        <f>IFERROR(__xludf.DUMMYFUNCTION("""COMPUTED_VALUE"""),"On The Map")</f>
        <v>On The Map</v>
      </c>
      <c r="V698" s="43" t="str">
        <f>IFERROR(__xludf.DUMMYFUNCTION("""COMPUTED_VALUE"""),"SAKARYA")</f>
        <v>SAKARYA</v>
      </c>
      <c r="W698" s="43" t="str">
        <f>IFERROR(__xludf.DUMMYFUNCTION("""COMPUTED_VALUE"""),"2023-05-10T22:52:55Z")</f>
        <v>2023-05-10T22:52:55Z</v>
      </c>
      <c r="X698" s="43"/>
      <c r="Y698" s="43"/>
      <c r="Z698" s="43"/>
    </row>
    <row r="699" hidden="1">
      <c r="A699" s="43" t="str">
        <f>IFERROR(__xludf.DUMMYFUNCTION("""COMPUTED_VALUE"""),"5257815_1292298")</f>
        <v>5257815_1292298</v>
      </c>
      <c r="B699" s="43" t="str">
        <f>IFERROR(__xludf.DUMMYFUNCTION("""COMPUTED_VALUE"""),"Nil Özge Moya")</f>
        <v>Nil Özge Moya</v>
      </c>
      <c r="C699" s="43" t="str">
        <f>IFERROR(__xludf.DUMMYFUNCTION("""COMPUTED_VALUE"""),"approved")</f>
        <v>approved</v>
      </c>
      <c r="D699" s="43" t="str">
        <f>IFERROR(__xludf.DUMMYFUNCTION("""COMPUTED_VALUE"""),"No")</f>
        <v>No</v>
      </c>
      <c r="E699" s="43" t="str">
        <f>IFERROR(__xludf.DUMMYFUNCTION("""COMPUTED_VALUE"""),"p_0787e1a9ce89d862cf2121b96685d36f38cfcaa4@inbound.aiesec.org")</f>
        <v>p_0787e1a9ce89d862cf2121b96685d36f38cfcaa4@inbound.aiesec.org</v>
      </c>
      <c r="F699" s="43"/>
      <c r="G699" s="43" t="str">
        <f>IFERROR(__xludf.DUMMYFUNCTION("""COMPUTED_VALUE"""),"Turkey")</f>
        <v>Turkey</v>
      </c>
      <c r="H699" s="43" t="str">
        <f>IFERROR(__xludf.DUMMYFUNCTION("""COMPUTED_VALUE"""),"KOCAELI")</f>
        <v>KOCAELI</v>
      </c>
      <c r="I699" s="43" t="str">
        <f>IFERROR(__xludf.DUMMYFUNCTION("""COMPUTED_VALUE"""),"Egypt")</f>
        <v>Egypt</v>
      </c>
      <c r="J699" s="43" t="str">
        <f>IFERROR(__xludf.DUMMYFUNCTION("""COMPUTED_VALUE"""),"Cairo University")</f>
        <v>Cairo University</v>
      </c>
      <c r="K699" s="44" t="str">
        <f>IFERROR(__xludf.DUMMYFUNCTION("""COMPUTED_VALUE"""),"https://expa.aiesec.org/opportunities/1292298")</f>
        <v>https://expa.aiesec.org/opportunities/1292298</v>
      </c>
      <c r="L699" s="43" t="str">
        <f>IFERROR(__xludf.DUMMYFUNCTION("""COMPUTED_VALUE"""),"GV")</f>
        <v>GV</v>
      </c>
      <c r="M699" s="43" t="str">
        <f>IFERROR(__xludf.DUMMYFUNCTION("""COMPUTED_VALUE"""),"short")</f>
        <v>short</v>
      </c>
      <c r="N699" s="45">
        <f>IFERROR(__xludf.DUMMYFUNCTION("""COMPUTED_VALUE"""),45057.0)</f>
        <v>45057</v>
      </c>
      <c r="O699" s="45">
        <f>IFERROR(__xludf.DUMMYFUNCTION("""COMPUTED_VALUE"""),45122.0)</f>
        <v>45122</v>
      </c>
      <c r="P699" s="45">
        <f>IFERROR(__xludf.DUMMYFUNCTION("""COMPUTED_VALUE"""),45166.0)</f>
        <v>45166</v>
      </c>
      <c r="Q699" s="45"/>
      <c r="R699" s="45"/>
      <c r="S699" s="43"/>
      <c r="T699" s="43"/>
      <c r="U699" s="43" t="str">
        <f>IFERROR(__xludf.DUMMYFUNCTION("""COMPUTED_VALUE"""),"Fingerprint")</f>
        <v>Fingerprint</v>
      </c>
      <c r="V699" s="43" t="str">
        <f>IFERROR(__xludf.DUMMYFUNCTION("""COMPUTED_VALUE"""),"KOCAELI")</f>
        <v>KOCAELI</v>
      </c>
      <c r="W699" s="43" t="str">
        <f>IFERROR(__xludf.DUMMYFUNCTION("""COMPUTED_VALUE"""),"2023-05-08T17:02:21Z")</f>
        <v>2023-05-08T17:02:21Z</v>
      </c>
      <c r="X699" s="43"/>
      <c r="Y699" s="43"/>
      <c r="Z699" s="43"/>
    </row>
    <row r="700" hidden="1">
      <c r="A700" s="43" t="str">
        <f>IFERROR(__xludf.DUMMYFUNCTION("""COMPUTED_VALUE"""),"5256499_1284312")</f>
        <v>5256499_1284312</v>
      </c>
      <c r="B700" s="43" t="str">
        <f>IFERROR(__xludf.DUMMYFUNCTION("""COMPUTED_VALUE"""),"Kadir Alageyik")</f>
        <v>Kadir Alageyik</v>
      </c>
      <c r="C700" s="43" t="str">
        <f>IFERROR(__xludf.DUMMYFUNCTION("""COMPUTED_VALUE"""),"approved")</f>
        <v>approved</v>
      </c>
      <c r="D700" s="43" t="str">
        <f>IFERROR(__xludf.DUMMYFUNCTION("""COMPUTED_VALUE"""),"No")</f>
        <v>No</v>
      </c>
      <c r="E700" s="43" t="str">
        <f>IFERROR(__xludf.DUMMYFUNCTION("""COMPUTED_VALUE"""),"p_ca545e8999e06b23702f53d28feba97865e0cb3b@inbound.aiesec.org")</f>
        <v>p_ca545e8999e06b23702f53d28feba97865e0cb3b@inbound.aiesec.org</v>
      </c>
      <c r="F700" s="43">
        <f>IFERROR(__xludf.DUMMYFUNCTION("""COMPUTED_VALUE"""),5.302514543E9)</f>
        <v>5302514543</v>
      </c>
      <c r="G700" s="43" t="str">
        <f>IFERROR(__xludf.DUMMYFUNCTION("""COMPUTED_VALUE"""),"Turkey")</f>
        <v>Turkey</v>
      </c>
      <c r="H700" s="43" t="str">
        <f>IFERROR(__xludf.DUMMYFUNCTION("""COMPUTED_VALUE"""),"BURSA")</f>
        <v>BURSA</v>
      </c>
      <c r="I700" s="43" t="str">
        <f>IFERROR(__xludf.DUMMYFUNCTION("""COMPUTED_VALUE"""),"Sri Lanka")</f>
        <v>Sri Lanka</v>
      </c>
      <c r="J700" s="43" t="str">
        <f>IFERROR(__xludf.DUMMYFUNCTION("""COMPUTED_VALUE"""),"SLIIT")</f>
        <v>SLIIT</v>
      </c>
      <c r="K700" s="44" t="str">
        <f>IFERROR(__xludf.DUMMYFUNCTION("""COMPUTED_VALUE"""),"https://expa.aiesec.org/opportunities/1284312")</f>
        <v>https://expa.aiesec.org/opportunities/1284312</v>
      </c>
      <c r="L700" s="43" t="str">
        <f>IFERROR(__xludf.DUMMYFUNCTION("""COMPUTED_VALUE"""),"GV")</f>
        <v>GV</v>
      </c>
      <c r="M700" s="43" t="str">
        <f>IFERROR(__xludf.DUMMYFUNCTION("""COMPUTED_VALUE"""),"short")</f>
        <v>short</v>
      </c>
      <c r="N700" s="45">
        <f>IFERROR(__xludf.DUMMYFUNCTION("""COMPUTED_VALUE"""),45057.0)</f>
        <v>45057</v>
      </c>
      <c r="O700" s="45">
        <f>IFERROR(__xludf.DUMMYFUNCTION("""COMPUTED_VALUE"""),45261.0)</f>
        <v>45261</v>
      </c>
      <c r="P700" s="45">
        <f>IFERROR(__xludf.DUMMYFUNCTION("""COMPUTED_VALUE"""),45303.0)</f>
        <v>45303</v>
      </c>
      <c r="Q700" s="45"/>
      <c r="R700" s="45"/>
      <c r="S700" s="43"/>
      <c r="T700" s="43"/>
      <c r="U700" s="43" t="str">
        <f>IFERROR(__xludf.DUMMYFUNCTION("""COMPUTED_VALUE"""),"On The Map")</f>
        <v>On The Map</v>
      </c>
      <c r="V700" s="43" t="str">
        <f>IFERROR(__xludf.DUMMYFUNCTION("""COMPUTED_VALUE"""),"BURSA")</f>
        <v>BURSA</v>
      </c>
      <c r="W700" s="43" t="str">
        <f>IFERROR(__xludf.DUMMYFUNCTION("""COMPUTED_VALUE"""),"2023-05-05T20:56:36Z")</f>
        <v>2023-05-05T20:56:36Z</v>
      </c>
      <c r="X700" s="43"/>
      <c r="Y700" s="43"/>
      <c r="Z700" s="43"/>
    </row>
    <row r="701" hidden="1">
      <c r="A701" s="43" t="str">
        <f>IFERROR(__xludf.DUMMYFUNCTION("""COMPUTED_VALUE"""),"5244017_1294922")</f>
        <v>5244017_1294922</v>
      </c>
      <c r="B701" s="43" t="str">
        <f>IFERROR(__xludf.DUMMYFUNCTION("""COMPUTED_VALUE"""),"Melih Atalay")</f>
        <v>Melih Atalay</v>
      </c>
      <c r="C701" s="43" t="str">
        <f>IFERROR(__xludf.DUMMYFUNCTION("""COMPUTED_VALUE"""),"completed")</f>
        <v>completed</v>
      </c>
      <c r="D701" s="43" t="str">
        <f>IFERROR(__xludf.DUMMYFUNCTION("""COMPUTED_VALUE"""),"No")</f>
        <v>No</v>
      </c>
      <c r="E701" s="43" t="str">
        <f>IFERROR(__xludf.DUMMYFUNCTION("""COMPUTED_VALUE"""),"p_5cae204ba057afe635a3828752a275230262f10f@inbound.aiesec.org")</f>
        <v>p_5cae204ba057afe635a3828752a275230262f10f@inbound.aiesec.org</v>
      </c>
      <c r="F701" s="43"/>
      <c r="G701" s="43" t="str">
        <f>IFERROR(__xludf.DUMMYFUNCTION("""COMPUTED_VALUE"""),"Turkey")</f>
        <v>Turkey</v>
      </c>
      <c r="H701" s="43" t="str">
        <f>IFERROR(__xludf.DUMMYFUNCTION("""COMPUTED_VALUE"""),"ANTALYA")</f>
        <v>ANTALYA</v>
      </c>
      <c r="I701" s="43" t="str">
        <f>IFERROR(__xludf.DUMMYFUNCTION("""COMPUTED_VALUE"""),"Romania")</f>
        <v>Romania</v>
      </c>
      <c r="J701" s="43" t="str">
        <f>IFERROR(__xludf.DUMMYFUNCTION("""COMPUTED_VALUE"""),"Cluj-Napoca")</f>
        <v>Cluj-Napoca</v>
      </c>
      <c r="K701" s="44" t="str">
        <f>IFERROR(__xludf.DUMMYFUNCTION("""COMPUTED_VALUE"""),"https://expa.aiesec.org/opportunities/1294922")</f>
        <v>https://expa.aiesec.org/opportunities/1294922</v>
      </c>
      <c r="L701" s="43" t="str">
        <f>IFERROR(__xludf.DUMMYFUNCTION("""COMPUTED_VALUE"""),"GV")</f>
        <v>GV</v>
      </c>
      <c r="M701" s="43" t="str">
        <f>IFERROR(__xludf.DUMMYFUNCTION("""COMPUTED_VALUE"""),"short")</f>
        <v>short</v>
      </c>
      <c r="N701" s="45">
        <f>IFERROR(__xludf.DUMMYFUNCTION("""COMPUTED_VALUE"""),45057.0)</f>
        <v>45057</v>
      </c>
      <c r="O701" s="45">
        <f>IFERROR(__xludf.DUMMYFUNCTION("""COMPUTED_VALUE"""),45103.0)</f>
        <v>45103</v>
      </c>
      <c r="P701" s="45">
        <f>IFERROR(__xludf.DUMMYFUNCTION("""COMPUTED_VALUE"""),45145.0)</f>
        <v>45145</v>
      </c>
      <c r="Q701" s="45">
        <f>IFERROR(__xludf.DUMMYFUNCTION("""COMPUTED_VALUE"""),45103.0)</f>
        <v>45103</v>
      </c>
      <c r="R701" s="45">
        <f>IFERROR(__xludf.DUMMYFUNCTION("""COMPUTED_VALUE"""),45145.0)</f>
        <v>45145</v>
      </c>
      <c r="S701" s="43"/>
      <c r="T701" s="43"/>
      <c r="U701" s="43" t="str">
        <f>IFERROR(__xludf.DUMMYFUNCTION("""COMPUTED_VALUE"""),"Green Leaders")</f>
        <v>Green Leaders</v>
      </c>
      <c r="V701" s="43" t="str">
        <f>IFERROR(__xludf.DUMMYFUNCTION("""COMPUTED_VALUE"""),"-")</f>
        <v>-</v>
      </c>
      <c r="W701" s="43" t="str">
        <f>IFERROR(__xludf.DUMMYFUNCTION("""COMPUTED_VALUE"""),"2023-04-17T21:20:14Z")</f>
        <v>2023-04-17T21:20:14Z</v>
      </c>
      <c r="X701" s="43"/>
      <c r="Y701" s="43"/>
      <c r="Z701" s="43"/>
    </row>
    <row r="702" hidden="1">
      <c r="A702" s="43" t="str">
        <f>IFERROR(__xludf.DUMMYFUNCTION("""COMPUTED_VALUE"""),"5255586_1291979")</f>
        <v>5255586_1291979</v>
      </c>
      <c r="B702" s="43" t="str">
        <f>IFERROR(__xludf.DUMMYFUNCTION("""COMPUTED_VALUE"""),"Nazlıcan Yüksek")</f>
        <v>Nazlıcan Yüksek</v>
      </c>
      <c r="C702" s="43" t="str">
        <f>IFERROR(__xludf.DUMMYFUNCTION("""COMPUTED_VALUE"""),"completed")</f>
        <v>completed</v>
      </c>
      <c r="D702" s="43" t="str">
        <f>IFERROR(__xludf.DUMMYFUNCTION("""COMPUTED_VALUE"""),"No")</f>
        <v>No</v>
      </c>
      <c r="E702" s="43" t="str">
        <f>IFERROR(__xludf.DUMMYFUNCTION("""COMPUTED_VALUE"""),"p_d849f30af44667d5542a4df603d694bf72249a17@inbound.aiesec.org")</f>
        <v>p_d849f30af44667d5542a4df603d694bf72249a17@inbound.aiesec.org</v>
      </c>
      <c r="F702" s="43">
        <f>IFERROR(__xludf.DUMMYFUNCTION("""COMPUTED_VALUE"""),5.051553329E9)</f>
        <v>5051553329</v>
      </c>
      <c r="G702" s="43" t="str">
        <f>IFERROR(__xludf.DUMMYFUNCTION("""COMPUTED_VALUE"""),"Turkey")</f>
        <v>Turkey</v>
      </c>
      <c r="H702" s="43" t="str">
        <f>IFERROR(__xludf.DUMMYFUNCTION("""COMPUTED_VALUE"""),"İZMİR")</f>
        <v>İZMİR</v>
      </c>
      <c r="I702" s="43" t="str">
        <f>IFERROR(__xludf.DUMMYFUNCTION("""COMPUTED_VALUE"""),"Czech Republic")</f>
        <v>Czech Republic</v>
      </c>
      <c r="J702" s="43" t="str">
        <f>IFERROR(__xludf.DUMMYFUNCTION("""COMPUTED_VALUE"""),"BRNO")</f>
        <v>BRNO</v>
      </c>
      <c r="K702" s="44" t="str">
        <f>IFERROR(__xludf.DUMMYFUNCTION("""COMPUTED_VALUE"""),"https://expa.aiesec.org/opportunities/1291979")</f>
        <v>https://expa.aiesec.org/opportunities/1291979</v>
      </c>
      <c r="L702" s="43" t="str">
        <f>IFERROR(__xludf.DUMMYFUNCTION("""COMPUTED_VALUE"""),"GV")</f>
        <v>GV</v>
      </c>
      <c r="M702" s="43" t="str">
        <f>IFERROR(__xludf.DUMMYFUNCTION("""COMPUTED_VALUE"""),"short")</f>
        <v>short</v>
      </c>
      <c r="N702" s="45">
        <f>IFERROR(__xludf.DUMMYFUNCTION("""COMPUTED_VALUE"""),45057.0)</f>
        <v>45057</v>
      </c>
      <c r="O702" s="45">
        <f>IFERROR(__xludf.DUMMYFUNCTION("""COMPUTED_VALUE"""),45173.0)</f>
        <v>45173</v>
      </c>
      <c r="P702" s="45">
        <f>IFERROR(__xludf.DUMMYFUNCTION("""COMPUTED_VALUE"""),45215.0)</f>
        <v>45215</v>
      </c>
      <c r="Q702" s="45">
        <f>IFERROR(__xludf.DUMMYFUNCTION("""COMPUTED_VALUE"""),45173.0)</f>
        <v>45173</v>
      </c>
      <c r="R702" s="45">
        <f>IFERROR(__xludf.DUMMYFUNCTION("""COMPUTED_VALUE"""),45215.0)</f>
        <v>45215</v>
      </c>
      <c r="S702" s="43"/>
      <c r="T702" s="43"/>
      <c r="U702" s="43" t="str">
        <f>IFERROR(__xludf.DUMMYFUNCTION("""COMPUTED_VALUE"""),"Youth 4 Impact")</f>
        <v>Youth 4 Impact</v>
      </c>
      <c r="V702" s="43" t="str">
        <f>IFERROR(__xludf.DUMMYFUNCTION("""COMPUTED_VALUE"""),"IZMIR")</f>
        <v>IZMIR</v>
      </c>
      <c r="W702" s="43" t="str">
        <f>IFERROR(__xludf.DUMMYFUNCTION("""COMPUTED_VALUE"""),"2023-05-04T09:20:34Z")</f>
        <v>2023-05-04T09:20:34Z</v>
      </c>
      <c r="X702" s="43"/>
      <c r="Y702" s="43"/>
      <c r="Z702" s="43"/>
    </row>
    <row r="703" hidden="1">
      <c r="A703" s="43" t="str">
        <f>IFERROR(__xludf.DUMMYFUNCTION("""COMPUTED_VALUE"""),"5233216_1293918")</f>
        <v>5233216_1293918</v>
      </c>
      <c r="B703" s="43" t="str">
        <f>IFERROR(__xludf.DUMMYFUNCTION("""COMPUTED_VALUE"""),"Zeynep Bahar Erdem")</f>
        <v>Zeynep Bahar Erdem</v>
      </c>
      <c r="C703" s="43" t="str">
        <f>IFERROR(__xludf.DUMMYFUNCTION("""COMPUTED_VALUE"""),"completed")</f>
        <v>completed</v>
      </c>
      <c r="D703" s="43" t="str">
        <f>IFERROR(__xludf.DUMMYFUNCTION("""COMPUTED_VALUE"""),"No")</f>
        <v>No</v>
      </c>
      <c r="E703" s="43" t="str">
        <f>IFERROR(__xludf.DUMMYFUNCTION("""COMPUTED_VALUE"""),"p_96873ba06cf925a07eedde0c2cbd919a8b75dfe2@inbound.aiesec.org")</f>
        <v>p_96873ba06cf925a07eedde0c2cbd919a8b75dfe2@inbound.aiesec.org</v>
      </c>
      <c r="F703" s="43"/>
      <c r="G703" s="43" t="str">
        <f>IFERROR(__xludf.DUMMYFUNCTION("""COMPUTED_VALUE"""),"Turkey")</f>
        <v>Turkey</v>
      </c>
      <c r="H703" s="43" t="str">
        <f>IFERROR(__xludf.DUMMYFUNCTION("""COMPUTED_VALUE"""),"ANKARA")</f>
        <v>ANKARA</v>
      </c>
      <c r="I703" s="43" t="str">
        <f>IFERROR(__xludf.DUMMYFUNCTION("""COMPUTED_VALUE"""),"Slovakia")</f>
        <v>Slovakia</v>
      </c>
      <c r="J703" s="43" t="str">
        <f>IFERROR(__xludf.DUMMYFUNCTION("""COMPUTED_VALUE"""),"Comenius University")</f>
        <v>Comenius University</v>
      </c>
      <c r="K703" s="44" t="str">
        <f>IFERROR(__xludf.DUMMYFUNCTION("""COMPUTED_VALUE"""),"https://expa.aiesec.org/opportunities/1293918")</f>
        <v>https://expa.aiesec.org/opportunities/1293918</v>
      </c>
      <c r="L703" s="43" t="str">
        <f>IFERROR(__xludf.DUMMYFUNCTION("""COMPUTED_VALUE"""),"GV")</f>
        <v>GV</v>
      </c>
      <c r="M703" s="43" t="str">
        <f>IFERROR(__xludf.DUMMYFUNCTION("""COMPUTED_VALUE"""),"short")</f>
        <v>short</v>
      </c>
      <c r="N703" s="45">
        <f>IFERROR(__xludf.DUMMYFUNCTION("""COMPUTED_VALUE"""),45057.0)</f>
        <v>45057</v>
      </c>
      <c r="O703" s="45">
        <f>IFERROR(__xludf.DUMMYFUNCTION("""COMPUTED_VALUE"""),45061.0)</f>
        <v>45061</v>
      </c>
      <c r="P703" s="45">
        <f>IFERROR(__xludf.DUMMYFUNCTION("""COMPUTED_VALUE"""),45103.0)</f>
        <v>45103</v>
      </c>
      <c r="Q703" s="45">
        <f>IFERROR(__xludf.DUMMYFUNCTION("""COMPUTED_VALUE"""),45063.0)</f>
        <v>45063</v>
      </c>
      <c r="R703" s="45">
        <f>IFERROR(__xludf.DUMMYFUNCTION("""COMPUTED_VALUE"""),45103.0)</f>
        <v>45103</v>
      </c>
      <c r="S703" s="43"/>
      <c r="T703" s="43"/>
      <c r="U703" s="43" t="str">
        <f>IFERROR(__xludf.DUMMYFUNCTION("""COMPUTED_VALUE"""),"Youth 4 Impact")</f>
        <v>Youth 4 Impact</v>
      </c>
      <c r="V703" s="43" t="str">
        <f>IFERROR(__xludf.DUMMYFUNCTION("""COMPUTED_VALUE"""),"-")</f>
        <v>-</v>
      </c>
      <c r="W703" s="43" t="str">
        <f>IFERROR(__xludf.DUMMYFUNCTION("""COMPUTED_VALUE"""),"2023-04-02T11:15:48Z")</f>
        <v>2023-04-02T11:15:48Z</v>
      </c>
      <c r="X703" s="43"/>
      <c r="Y703" s="43"/>
      <c r="Z703" s="43"/>
    </row>
    <row r="704" hidden="1">
      <c r="A704" s="43" t="str">
        <f>IFERROR(__xludf.DUMMYFUNCTION("""COMPUTED_VALUE"""),"5258525_1292715")</f>
        <v>5258525_1292715</v>
      </c>
      <c r="B704" s="43" t="str">
        <f>IFERROR(__xludf.DUMMYFUNCTION("""COMPUTED_VALUE"""),"Seda Karagöl")</f>
        <v>Seda Karagöl</v>
      </c>
      <c r="C704" s="43" t="str">
        <f>IFERROR(__xludf.DUMMYFUNCTION("""COMPUTED_VALUE"""),"completed")</f>
        <v>completed</v>
      </c>
      <c r="D704" s="43" t="str">
        <f>IFERROR(__xludf.DUMMYFUNCTION("""COMPUTED_VALUE"""),"No")</f>
        <v>No</v>
      </c>
      <c r="E704" s="43" t="str">
        <f>IFERROR(__xludf.DUMMYFUNCTION("""COMPUTED_VALUE"""),"p_9a7c807e08c35a04095d241ab5a2f6558260da2a@inbound.aiesec.org")</f>
        <v>p_9a7c807e08c35a04095d241ab5a2f6558260da2a@inbound.aiesec.org</v>
      </c>
      <c r="F704" s="43"/>
      <c r="G704" s="43" t="str">
        <f>IFERROR(__xludf.DUMMYFUNCTION("""COMPUTED_VALUE"""),"Turkey")</f>
        <v>Turkey</v>
      </c>
      <c r="H704" s="43" t="str">
        <f>IFERROR(__xludf.DUMMYFUNCTION("""COMPUTED_VALUE"""),"GAZIANTEP")</f>
        <v>GAZIANTEP</v>
      </c>
      <c r="I704" s="43" t="str">
        <f>IFERROR(__xludf.DUMMYFUNCTION("""COMPUTED_VALUE"""),"Egypt")</f>
        <v>Egypt</v>
      </c>
      <c r="J704" s="43" t="str">
        <f>IFERROR(__xludf.DUMMYFUNCTION("""COMPUTED_VALUE"""),"Tanta")</f>
        <v>Tanta</v>
      </c>
      <c r="K704" s="44" t="str">
        <f>IFERROR(__xludf.DUMMYFUNCTION("""COMPUTED_VALUE"""),"https://expa.aiesec.org/opportunities/1292715")</f>
        <v>https://expa.aiesec.org/opportunities/1292715</v>
      </c>
      <c r="L704" s="43" t="str">
        <f>IFERROR(__xludf.DUMMYFUNCTION("""COMPUTED_VALUE"""),"GV")</f>
        <v>GV</v>
      </c>
      <c r="M704" s="43" t="str">
        <f>IFERROR(__xludf.DUMMYFUNCTION("""COMPUTED_VALUE"""),"short")</f>
        <v>short</v>
      </c>
      <c r="N704" s="45">
        <f>IFERROR(__xludf.DUMMYFUNCTION("""COMPUTED_VALUE"""),45058.0)</f>
        <v>45058</v>
      </c>
      <c r="O704" s="45">
        <f>IFERROR(__xludf.DUMMYFUNCTION("""COMPUTED_VALUE"""),45108.0)</f>
        <v>45108</v>
      </c>
      <c r="P704" s="45">
        <f>IFERROR(__xludf.DUMMYFUNCTION("""COMPUTED_VALUE"""),45150.0)</f>
        <v>45150</v>
      </c>
      <c r="Q704" s="45">
        <f>IFERROR(__xludf.DUMMYFUNCTION("""COMPUTED_VALUE"""),45109.0)</f>
        <v>45109</v>
      </c>
      <c r="R704" s="45">
        <f>IFERROR(__xludf.DUMMYFUNCTION("""COMPUTED_VALUE"""),45150.0)</f>
        <v>45150</v>
      </c>
      <c r="S704" s="43"/>
      <c r="T704" s="43"/>
      <c r="U704" s="43" t="str">
        <f>IFERROR(__xludf.DUMMYFUNCTION("""COMPUTED_VALUE"""),"Fingerprint")</f>
        <v>Fingerprint</v>
      </c>
      <c r="V704" s="43" t="str">
        <f>IFERROR(__xludf.DUMMYFUNCTION("""COMPUTED_VALUE"""),"-")</f>
        <v>-</v>
      </c>
      <c r="W704" s="43" t="str">
        <f>IFERROR(__xludf.DUMMYFUNCTION("""COMPUTED_VALUE"""),"2023-05-09T20:03:22Z")</f>
        <v>2023-05-09T20:03:22Z</v>
      </c>
      <c r="X704" s="43"/>
      <c r="Y704" s="43"/>
      <c r="Z704" s="43"/>
    </row>
    <row r="705" hidden="1">
      <c r="A705" s="43" t="str">
        <f>IFERROR(__xludf.DUMMYFUNCTION("""COMPUTED_VALUE"""),"5254102_1293275")</f>
        <v>5254102_1293275</v>
      </c>
      <c r="B705" s="43" t="str">
        <f>IFERROR(__xludf.DUMMYFUNCTION("""COMPUTED_VALUE"""),"Zeynep Oktay")</f>
        <v>Zeynep Oktay</v>
      </c>
      <c r="C705" s="43" t="str">
        <f>IFERROR(__xludf.DUMMYFUNCTION("""COMPUTED_VALUE"""),"completed")</f>
        <v>completed</v>
      </c>
      <c r="D705" s="43" t="str">
        <f>IFERROR(__xludf.DUMMYFUNCTION("""COMPUTED_VALUE"""),"No")</f>
        <v>No</v>
      </c>
      <c r="E705" s="43" t="str">
        <f>IFERROR(__xludf.DUMMYFUNCTION("""COMPUTED_VALUE"""),"p_bbb3ed7ee1b68bc6d88e271ace8bb6f68515bd50@inbound.aiesec.org")</f>
        <v>p_bbb3ed7ee1b68bc6d88e271ace8bb6f68515bd50@inbound.aiesec.org</v>
      </c>
      <c r="F705" s="43"/>
      <c r="G705" s="43" t="str">
        <f>IFERROR(__xludf.DUMMYFUNCTION("""COMPUTED_VALUE"""),"Turkey")</f>
        <v>Turkey</v>
      </c>
      <c r="H705" s="43" t="str">
        <f>IFERROR(__xludf.DUMMYFUNCTION("""COMPUTED_VALUE"""),"KOCAELI")</f>
        <v>KOCAELI</v>
      </c>
      <c r="I705" s="43" t="str">
        <f>IFERROR(__xludf.DUMMYFUNCTION("""COMPUTED_VALUE"""),"Thailand")</f>
        <v>Thailand</v>
      </c>
      <c r="J705" s="43" t="str">
        <f>IFERROR(__xludf.DUMMYFUNCTION("""COMPUTED_VALUE"""),"Chulalongkorn University")</f>
        <v>Chulalongkorn University</v>
      </c>
      <c r="K705" s="44" t="str">
        <f>IFERROR(__xludf.DUMMYFUNCTION("""COMPUTED_VALUE"""),"https://expa.aiesec.org/opportunities/1293275")</f>
        <v>https://expa.aiesec.org/opportunities/1293275</v>
      </c>
      <c r="L705" s="43" t="str">
        <f>IFERROR(__xludf.DUMMYFUNCTION("""COMPUTED_VALUE"""),"GV")</f>
        <v>GV</v>
      </c>
      <c r="M705" s="43" t="str">
        <f>IFERROR(__xludf.DUMMYFUNCTION("""COMPUTED_VALUE"""),"short")</f>
        <v>short</v>
      </c>
      <c r="N705" s="45">
        <f>IFERROR(__xludf.DUMMYFUNCTION("""COMPUTED_VALUE"""),45058.0)</f>
        <v>45058</v>
      </c>
      <c r="O705" s="45">
        <f>IFERROR(__xludf.DUMMYFUNCTION("""COMPUTED_VALUE"""),45105.0)</f>
        <v>45105</v>
      </c>
      <c r="P705" s="45">
        <f>IFERROR(__xludf.DUMMYFUNCTION("""COMPUTED_VALUE"""),45147.0)</f>
        <v>45147</v>
      </c>
      <c r="Q705" s="45">
        <f>IFERROR(__xludf.DUMMYFUNCTION("""COMPUTED_VALUE"""),45103.0)</f>
        <v>45103</v>
      </c>
      <c r="R705" s="45">
        <f>IFERROR(__xludf.DUMMYFUNCTION("""COMPUTED_VALUE"""),45147.0)</f>
        <v>45147</v>
      </c>
      <c r="S705" s="43"/>
      <c r="T705" s="43"/>
      <c r="U705" s="43" t="str">
        <f>IFERROR(__xludf.DUMMYFUNCTION("""COMPUTED_VALUE"""),"Global Classroom")</f>
        <v>Global Classroom</v>
      </c>
      <c r="V705" s="43" t="str">
        <f>IFERROR(__xludf.DUMMYFUNCTION("""COMPUTED_VALUE"""),"-")</f>
        <v>-</v>
      </c>
      <c r="W705" s="43" t="str">
        <f>IFERROR(__xludf.DUMMYFUNCTION("""COMPUTED_VALUE"""),"2023-05-02T06:42:25Z")</f>
        <v>2023-05-02T06:42:25Z</v>
      </c>
      <c r="X705" s="43"/>
      <c r="Y705" s="43"/>
      <c r="Z705" s="43"/>
    </row>
    <row r="706" hidden="1">
      <c r="A706" s="43" t="str">
        <f>IFERROR(__xludf.DUMMYFUNCTION("""COMPUTED_VALUE"""),"5257853_1293245")</f>
        <v>5257853_1293245</v>
      </c>
      <c r="B706" s="43" t="str">
        <f>IFERROR(__xludf.DUMMYFUNCTION("""COMPUTED_VALUE"""),"Mehmet Ali Yiğit")</f>
        <v>Mehmet Ali Yiğit</v>
      </c>
      <c r="C706" s="43" t="str">
        <f>IFERROR(__xludf.DUMMYFUNCTION("""COMPUTED_VALUE"""),"approved")</f>
        <v>approved</v>
      </c>
      <c r="D706" s="43" t="str">
        <f>IFERROR(__xludf.DUMMYFUNCTION("""COMPUTED_VALUE"""),"No")</f>
        <v>No</v>
      </c>
      <c r="E706" s="43" t="str">
        <f>IFERROR(__xludf.DUMMYFUNCTION("""COMPUTED_VALUE"""),"p_11039a7a8a69555287c3c24024be73d01d2e2af4@inbound.aiesec.org")</f>
        <v>p_11039a7a8a69555287c3c24024be73d01d2e2af4@inbound.aiesec.org</v>
      </c>
      <c r="F706" s="43">
        <f>IFERROR(__xludf.DUMMYFUNCTION("""COMPUTED_VALUE"""),5.36290458E9)</f>
        <v>5362904580</v>
      </c>
      <c r="G706" s="43" t="str">
        <f>IFERROR(__xludf.DUMMYFUNCTION("""COMPUTED_VALUE"""),"Turkey")</f>
        <v>Turkey</v>
      </c>
      <c r="H706" s="43" t="str">
        <f>IFERROR(__xludf.DUMMYFUNCTION("""COMPUTED_VALUE"""),"ADANA")</f>
        <v>ADANA</v>
      </c>
      <c r="I706" s="43" t="str">
        <f>IFERROR(__xludf.DUMMYFUNCTION("""COMPUTED_VALUE"""),"Germany")</f>
        <v>Germany</v>
      </c>
      <c r="J706" s="43" t="str">
        <f>IFERROR(__xludf.DUMMYFUNCTION("""COMPUTED_VALUE"""),"LUENEBURG")</f>
        <v>LUENEBURG</v>
      </c>
      <c r="K706" s="44" t="str">
        <f>IFERROR(__xludf.DUMMYFUNCTION("""COMPUTED_VALUE"""),"https://expa.aiesec.org/opportunities/1293245")</f>
        <v>https://expa.aiesec.org/opportunities/1293245</v>
      </c>
      <c r="L706" s="43" t="str">
        <f>IFERROR(__xludf.DUMMYFUNCTION("""COMPUTED_VALUE"""),"GV")</f>
        <v>GV</v>
      </c>
      <c r="M706" s="43" t="str">
        <f>IFERROR(__xludf.DUMMYFUNCTION("""COMPUTED_VALUE"""),"short")</f>
        <v>short</v>
      </c>
      <c r="N706" s="45">
        <f>IFERROR(__xludf.DUMMYFUNCTION("""COMPUTED_VALUE"""),45059.0)</f>
        <v>45059</v>
      </c>
      <c r="O706" s="45">
        <f>IFERROR(__xludf.DUMMYFUNCTION("""COMPUTED_VALUE"""),45207.0)</f>
        <v>45207</v>
      </c>
      <c r="P706" s="45">
        <f>IFERROR(__xludf.DUMMYFUNCTION("""COMPUTED_VALUE"""),45249.0)</f>
        <v>45249</v>
      </c>
      <c r="Q706" s="45"/>
      <c r="R706" s="45"/>
      <c r="S706" s="43"/>
      <c r="T706" s="43"/>
      <c r="U706" s="43" t="str">
        <f>IFERROR(__xludf.DUMMYFUNCTION("""COMPUTED_VALUE"""),"Eco City")</f>
        <v>Eco City</v>
      </c>
      <c r="V706" s="43" t="str">
        <f>IFERROR(__xludf.DUMMYFUNCTION("""COMPUTED_VALUE"""),"ADANA")</f>
        <v>ADANA</v>
      </c>
      <c r="W706" s="43" t="str">
        <f>IFERROR(__xludf.DUMMYFUNCTION("""COMPUTED_VALUE"""),"2023-05-08T18:08:23Z")</f>
        <v>2023-05-08T18:08:23Z</v>
      </c>
      <c r="X706" s="43"/>
      <c r="Y706" s="43"/>
      <c r="Z706" s="43"/>
    </row>
    <row r="707" hidden="1">
      <c r="A707" s="43" t="str">
        <f>IFERROR(__xludf.DUMMYFUNCTION("""COMPUTED_VALUE"""),"5255993_1294209")</f>
        <v>5255993_1294209</v>
      </c>
      <c r="B707" s="43" t="str">
        <f>IFERROR(__xludf.DUMMYFUNCTION("""COMPUTED_VALUE"""),"buğra şimşek")</f>
        <v>buğra şimşek</v>
      </c>
      <c r="C707" s="43" t="str">
        <f>IFERROR(__xludf.DUMMYFUNCTION("""COMPUTED_VALUE"""),"completed")</f>
        <v>completed</v>
      </c>
      <c r="D707" s="43" t="str">
        <f>IFERROR(__xludf.DUMMYFUNCTION("""COMPUTED_VALUE"""),"No")</f>
        <v>No</v>
      </c>
      <c r="E707" s="43" t="str">
        <f>IFERROR(__xludf.DUMMYFUNCTION("""COMPUTED_VALUE"""),"p_c8a8c7439cda0bc32f044b626fbe223ca7563040@inbound.aiesec.org")</f>
        <v>p_c8a8c7439cda0bc32f044b626fbe223ca7563040@inbound.aiesec.org</v>
      </c>
      <c r="F707" s="43"/>
      <c r="G707" s="43" t="str">
        <f>IFERROR(__xludf.DUMMYFUNCTION("""COMPUTED_VALUE"""),"Turkey")</f>
        <v>Turkey</v>
      </c>
      <c r="H707" s="43" t="str">
        <f>IFERROR(__xludf.DUMMYFUNCTION("""COMPUTED_VALUE"""),"EASTERN MEDITERRANEAN")</f>
        <v>EASTERN MEDITERRANEAN</v>
      </c>
      <c r="I707" s="43" t="str">
        <f>IFERROR(__xludf.DUMMYFUNCTION("""COMPUTED_VALUE"""),"Moldova")</f>
        <v>Moldova</v>
      </c>
      <c r="J707" s="43" t="str">
        <f>IFERROR(__xludf.DUMMYFUNCTION("""COMPUTED_VALUE"""),"CHISINAU")</f>
        <v>CHISINAU</v>
      </c>
      <c r="K707" s="44" t="str">
        <f>IFERROR(__xludf.DUMMYFUNCTION("""COMPUTED_VALUE"""),"https://expa.aiesec.org/opportunities/1294209")</f>
        <v>https://expa.aiesec.org/opportunities/1294209</v>
      </c>
      <c r="L707" s="43" t="str">
        <f>IFERROR(__xludf.DUMMYFUNCTION("""COMPUTED_VALUE"""),"GV")</f>
        <v>GV</v>
      </c>
      <c r="M707" s="43" t="str">
        <f>IFERROR(__xludf.DUMMYFUNCTION("""COMPUTED_VALUE"""),"short")</f>
        <v>short</v>
      </c>
      <c r="N707" s="45">
        <f>IFERROR(__xludf.DUMMYFUNCTION("""COMPUTED_VALUE"""),45059.0)</f>
        <v>45059</v>
      </c>
      <c r="O707" s="45">
        <f>IFERROR(__xludf.DUMMYFUNCTION("""COMPUTED_VALUE"""),45124.0)</f>
        <v>45124</v>
      </c>
      <c r="P707" s="45">
        <f>IFERROR(__xludf.DUMMYFUNCTION("""COMPUTED_VALUE"""),45166.0)</f>
        <v>45166</v>
      </c>
      <c r="Q707" s="45">
        <f>IFERROR(__xludf.DUMMYFUNCTION("""COMPUTED_VALUE"""),45123.0)</f>
        <v>45123</v>
      </c>
      <c r="R707" s="45">
        <f>IFERROR(__xludf.DUMMYFUNCTION("""COMPUTED_VALUE"""),45166.0)</f>
        <v>45166</v>
      </c>
      <c r="S707" s="43"/>
      <c r="T707" s="43"/>
      <c r="U707" s="43" t="str">
        <f>IFERROR(__xludf.DUMMYFUNCTION("""COMPUTED_VALUE"""),"On The Map")</f>
        <v>On The Map</v>
      </c>
      <c r="V707" s="43" t="str">
        <f>IFERROR(__xludf.DUMMYFUNCTION("""COMPUTED_VALUE"""),"NORTH CYPRUS")</f>
        <v>NORTH CYPRUS</v>
      </c>
      <c r="W707" s="43" t="str">
        <f>IFERROR(__xludf.DUMMYFUNCTION("""COMPUTED_VALUE"""),"2023-05-04T21:42:54Z")</f>
        <v>2023-05-04T21:42:54Z</v>
      </c>
      <c r="X707" s="43"/>
      <c r="Y707" s="43"/>
      <c r="Z707" s="43"/>
    </row>
    <row r="708" hidden="1">
      <c r="A708" s="43" t="str">
        <f>IFERROR(__xludf.DUMMYFUNCTION("""COMPUTED_VALUE"""),"5162730_1294374")</f>
        <v>5162730_1294374</v>
      </c>
      <c r="B708" s="43" t="str">
        <f>IFERROR(__xludf.DUMMYFUNCTION("""COMPUTED_VALUE"""),"Ayşe Subaşı")</f>
        <v>Ayşe Subaşı</v>
      </c>
      <c r="C708" s="43" t="str">
        <f>IFERROR(__xludf.DUMMYFUNCTION("""COMPUTED_VALUE"""),"approved")</f>
        <v>approved</v>
      </c>
      <c r="D708" s="43" t="str">
        <f>IFERROR(__xludf.DUMMYFUNCTION("""COMPUTED_VALUE"""),"No")</f>
        <v>No</v>
      </c>
      <c r="E708" s="43" t="str">
        <f>IFERROR(__xludf.DUMMYFUNCTION("""COMPUTED_VALUE"""),"p_1f6c377790eba21b61e74f199f4778b93dbf1332@inbound.aiesec.org")</f>
        <v>p_1f6c377790eba21b61e74f199f4778b93dbf1332@inbound.aiesec.org</v>
      </c>
      <c r="F708" s="43">
        <f>IFERROR(__xludf.DUMMYFUNCTION("""COMPUTED_VALUE"""),5.510872265E9)</f>
        <v>5510872265</v>
      </c>
      <c r="G708" s="43" t="str">
        <f>IFERROR(__xludf.DUMMYFUNCTION("""COMPUTED_VALUE"""),"Turkey")</f>
        <v>Turkey</v>
      </c>
      <c r="H708" s="43" t="str">
        <f>IFERROR(__xludf.DUMMYFUNCTION("""COMPUTED_VALUE"""),"DENIZLI")</f>
        <v>DENIZLI</v>
      </c>
      <c r="I708" s="43" t="str">
        <f>IFERROR(__xludf.DUMMYFUNCTION("""COMPUTED_VALUE"""),"Poland")</f>
        <v>Poland</v>
      </c>
      <c r="J708" s="43" t="str">
        <f>IFERROR(__xludf.DUMMYFUNCTION("""COMPUTED_VALUE"""),"GDANSK UG")</f>
        <v>GDANSK UG</v>
      </c>
      <c r="K708" s="44" t="str">
        <f>IFERROR(__xludf.DUMMYFUNCTION("""COMPUTED_VALUE"""),"https://expa.aiesec.org/opportunities/1294374")</f>
        <v>https://expa.aiesec.org/opportunities/1294374</v>
      </c>
      <c r="L708" s="43" t="str">
        <f>IFERROR(__xludf.DUMMYFUNCTION("""COMPUTED_VALUE"""),"GV")</f>
        <v>GV</v>
      </c>
      <c r="M708" s="43" t="str">
        <f>IFERROR(__xludf.DUMMYFUNCTION("""COMPUTED_VALUE"""),"short")</f>
        <v>short</v>
      </c>
      <c r="N708" s="45">
        <f>IFERROR(__xludf.DUMMYFUNCTION("""COMPUTED_VALUE"""),45059.0)</f>
        <v>45059</v>
      </c>
      <c r="O708" s="45">
        <f>IFERROR(__xludf.DUMMYFUNCTION("""COMPUTED_VALUE"""),45117.0)</f>
        <v>45117</v>
      </c>
      <c r="P708" s="45">
        <f>IFERROR(__xludf.DUMMYFUNCTION("""COMPUTED_VALUE"""),45159.0)</f>
        <v>45159</v>
      </c>
      <c r="Q708" s="45"/>
      <c r="R708" s="45"/>
      <c r="S708" s="43"/>
      <c r="T708" s="43"/>
      <c r="U708" s="43" t="str">
        <f>IFERROR(__xludf.DUMMYFUNCTION("""COMPUTED_VALUE"""),"Global Classroom")</f>
        <v>Global Classroom</v>
      </c>
      <c r="V708" s="43" t="str">
        <f>IFERROR(__xludf.DUMMYFUNCTION("""COMPUTED_VALUE"""),"DENIZLI")</f>
        <v>DENIZLI</v>
      </c>
      <c r="W708" s="43" t="str">
        <f>IFERROR(__xludf.DUMMYFUNCTION("""COMPUTED_VALUE"""),"2022-12-05T07:01:11Z")</f>
        <v>2022-12-05T07:01:11Z</v>
      </c>
      <c r="X708" s="43"/>
      <c r="Y708" s="43"/>
      <c r="Z708" s="43"/>
    </row>
    <row r="709" hidden="1">
      <c r="A709" s="43" t="str">
        <f>IFERROR(__xludf.DUMMYFUNCTION("""COMPUTED_VALUE"""),"5260911_1293468")</f>
        <v>5260911_1293468</v>
      </c>
      <c r="B709" s="43" t="str">
        <f>IFERROR(__xludf.DUMMYFUNCTION("""COMPUTED_VALUE"""),"İrem Nur KARAKAYA")</f>
        <v>İrem Nur KARAKAYA</v>
      </c>
      <c r="C709" s="43" t="str">
        <f>IFERROR(__xludf.DUMMYFUNCTION("""COMPUTED_VALUE"""),"completed")</f>
        <v>completed</v>
      </c>
      <c r="D709" s="43" t="str">
        <f>IFERROR(__xludf.DUMMYFUNCTION("""COMPUTED_VALUE"""),"No")</f>
        <v>No</v>
      </c>
      <c r="E709" s="43" t="str">
        <f>IFERROR(__xludf.DUMMYFUNCTION("""COMPUTED_VALUE"""),"p_2ca8a691c699e8e76ada13b8f3c31756014a41e1@inbound.aiesec.org")</f>
        <v>p_2ca8a691c699e8e76ada13b8f3c31756014a41e1@inbound.aiesec.org</v>
      </c>
      <c r="F709" s="43">
        <f>IFERROR(__xludf.DUMMYFUNCTION("""COMPUTED_VALUE"""),5.520759413E9)</f>
        <v>5520759413</v>
      </c>
      <c r="G709" s="43" t="str">
        <f>IFERROR(__xludf.DUMMYFUNCTION("""COMPUTED_VALUE"""),"Turkey")</f>
        <v>Turkey</v>
      </c>
      <c r="H709" s="43" t="str">
        <f>IFERROR(__xludf.DUMMYFUNCTION("""COMPUTED_VALUE"""),"ANTALYA")</f>
        <v>ANTALYA</v>
      </c>
      <c r="I709" s="43" t="str">
        <f>IFERROR(__xludf.DUMMYFUNCTION("""COMPUTED_VALUE"""),"Romania")</f>
        <v>Romania</v>
      </c>
      <c r="J709" s="43" t="str">
        <f>IFERROR(__xludf.DUMMYFUNCTION("""COMPUTED_VALUE"""),"BUCURESTI")</f>
        <v>BUCURESTI</v>
      </c>
      <c r="K709" s="44" t="str">
        <f>IFERROR(__xludf.DUMMYFUNCTION("""COMPUTED_VALUE"""),"https://expa.aiesec.org/opportunities/1293468")</f>
        <v>https://expa.aiesec.org/opportunities/1293468</v>
      </c>
      <c r="L709" s="43" t="str">
        <f>IFERROR(__xludf.DUMMYFUNCTION("""COMPUTED_VALUE"""),"GV")</f>
        <v>GV</v>
      </c>
      <c r="M709" s="43" t="str">
        <f>IFERROR(__xludf.DUMMYFUNCTION("""COMPUTED_VALUE"""),"short")</f>
        <v>short</v>
      </c>
      <c r="N709" s="45">
        <f>IFERROR(__xludf.DUMMYFUNCTION("""COMPUTED_VALUE"""),45060.0)</f>
        <v>45060</v>
      </c>
      <c r="O709" s="45">
        <f>IFERROR(__xludf.DUMMYFUNCTION("""COMPUTED_VALUE"""),45096.0)</f>
        <v>45096</v>
      </c>
      <c r="P709" s="45">
        <f>IFERROR(__xludf.DUMMYFUNCTION("""COMPUTED_VALUE"""),45138.0)</f>
        <v>45138</v>
      </c>
      <c r="Q709" s="45">
        <f>IFERROR(__xludf.DUMMYFUNCTION("""COMPUTED_VALUE"""),45095.0)</f>
        <v>45095</v>
      </c>
      <c r="R709" s="45">
        <f>IFERROR(__xludf.DUMMYFUNCTION("""COMPUTED_VALUE"""),45138.0)</f>
        <v>45138</v>
      </c>
      <c r="S709" s="43"/>
      <c r="T709" s="43"/>
      <c r="U709" s="43" t="str">
        <f>IFERROR(__xludf.DUMMYFUNCTION("""COMPUTED_VALUE"""),"Global Classroom")</f>
        <v>Global Classroom</v>
      </c>
      <c r="V709" s="43" t="str">
        <f>IFERROR(__xludf.DUMMYFUNCTION("""COMPUTED_VALUE"""),"ANTALYA")</f>
        <v>ANTALYA</v>
      </c>
      <c r="W709" s="43" t="str">
        <f>IFERROR(__xludf.DUMMYFUNCTION("""COMPUTED_VALUE"""),"2023-05-14T12:13:56Z")</f>
        <v>2023-05-14T12:13:56Z</v>
      </c>
      <c r="X709" s="43"/>
      <c r="Y709" s="43"/>
      <c r="Z709" s="43"/>
    </row>
    <row r="710" hidden="1">
      <c r="A710" s="43" t="str">
        <f>IFERROR(__xludf.DUMMYFUNCTION("""COMPUTED_VALUE"""),"5253614_1290641")</f>
        <v>5253614_1290641</v>
      </c>
      <c r="B710" s="43" t="str">
        <f>IFERROR(__xludf.DUMMYFUNCTION("""COMPUTED_VALUE"""),"Yiğit Erdem Paşalı")</f>
        <v>Yiğit Erdem Paşalı</v>
      </c>
      <c r="C710" s="43" t="str">
        <f>IFERROR(__xludf.DUMMYFUNCTION("""COMPUTED_VALUE"""),"completed")</f>
        <v>completed</v>
      </c>
      <c r="D710" s="43" t="str">
        <f>IFERROR(__xludf.DUMMYFUNCTION("""COMPUTED_VALUE"""),"No")</f>
        <v>No</v>
      </c>
      <c r="E710" s="43" t="str">
        <f>IFERROR(__xludf.DUMMYFUNCTION("""COMPUTED_VALUE"""),"p_ea30f5087ef539e09352c4efe79df9fbd4a47099@inbound.aiesec.org")</f>
        <v>p_ea30f5087ef539e09352c4efe79df9fbd4a47099@inbound.aiesec.org</v>
      </c>
      <c r="F710" s="43">
        <f>IFERROR(__xludf.DUMMYFUNCTION("""COMPUTED_VALUE"""),5.37417446E9)</f>
        <v>5374174460</v>
      </c>
      <c r="G710" s="43" t="str">
        <f>IFERROR(__xludf.DUMMYFUNCTION("""COMPUTED_VALUE"""),"Turkey")</f>
        <v>Turkey</v>
      </c>
      <c r="H710" s="43" t="str">
        <f>IFERROR(__xludf.DUMMYFUNCTION("""COMPUTED_VALUE"""),"DENIZLI")</f>
        <v>DENIZLI</v>
      </c>
      <c r="I710" s="43" t="str">
        <f>IFERROR(__xludf.DUMMYFUNCTION("""COMPUTED_VALUE"""),"Romania")</f>
        <v>Romania</v>
      </c>
      <c r="J710" s="43" t="str">
        <f>IFERROR(__xludf.DUMMYFUNCTION("""COMPUTED_VALUE"""),"BUCURESTI")</f>
        <v>BUCURESTI</v>
      </c>
      <c r="K710" s="44" t="str">
        <f>IFERROR(__xludf.DUMMYFUNCTION("""COMPUTED_VALUE"""),"https://expa.aiesec.org/opportunities/1290641")</f>
        <v>https://expa.aiesec.org/opportunities/1290641</v>
      </c>
      <c r="L710" s="43" t="str">
        <f>IFERROR(__xludf.DUMMYFUNCTION("""COMPUTED_VALUE"""),"GV")</f>
        <v>GV</v>
      </c>
      <c r="M710" s="43" t="str">
        <f>IFERROR(__xludf.DUMMYFUNCTION("""COMPUTED_VALUE"""),"short")</f>
        <v>short</v>
      </c>
      <c r="N710" s="45">
        <f>IFERROR(__xludf.DUMMYFUNCTION("""COMPUTED_VALUE"""),45060.0)</f>
        <v>45060</v>
      </c>
      <c r="O710" s="45">
        <f>IFERROR(__xludf.DUMMYFUNCTION("""COMPUTED_VALUE"""),45083.0)</f>
        <v>45083</v>
      </c>
      <c r="P710" s="45">
        <f>IFERROR(__xludf.DUMMYFUNCTION("""COMPUTED_VALUE"""),45125.0)</f>
        <v>45125</v>
      </c>
      <c r="Q710" s="45">
        <f>IFERROR(__xludf.DUMMYFUNCTION("""COMPUTED_VALUE"""),45083.0)</f>
        <v>45083</v>
      </c>
      <c r="R710" s="45">
        <f>IFERROR(__xludf.DUMMYFUNCTION("""COMPUTED_VALUE"""),45125.0)</f>
        <v>45125</v>
      </c>
      <c r="S710" s="43"/>
      <c r="T710" s="43"/>
      <c r="U710" s="43" t="str">
        <f>IFERROR(__xludf.DUMMYFUNCTION("""COMPUTED_VALUE"""),"Fingerprint")</f>
        <v>Fingerprint</v>
      </c>
      <c r="V710" s="43" t="str">
        <f>IFERROR(__xludf.DUMMYFUNCTION("""COMPUTED_VALUE"""),"DENIZLI")</f>
        <v>DENIZLI</v>
      </c>
      <c r="W710" s="43" t="str">
        <f>IFERROR(__xludf.DUMMYFUNCTION("""COMPUTED_VALUE"""),"2023-05-01T11:28:07Z")</f>
        <v>2023-05-01T11:28:07Z</v>
      </c>
      <c r="X710" s="43"/>
      <c r="Y710" s="43"/>
      <c r="Z710" s="43"/>
    </row>
    <row r="711" hidden="1">
      <c r="A711" s="43" t="str">
        <f>IFERROR(__xludf.DUMMYFUNCTION("""COMPUTED_VALUE"""),"4587889_1293954")</f>
        <v>4587889_1293954</v>
      </c>
      <c r="B711" s="43" t="str">
        <f>IFERROR(__xludf.DUMMYFUNCTION("""COMPUTED_VALUE"""),"Sudenur ŞENOL")</f>
        <v>Sudenur ŞENOL</v>
      </c>
      <c r="C711" s="43" t="str">
        <f>IFERROR(__xludf.DUMMYFUNCTION("""COMPUTED_VALUE"""),"completed")</f>
        <v>completed</v>
      </c>
      <c r="D711" s="43" t="str">
        <f>IFERROR(__xludf.DUMMYFUNCTION("""COMPUTED_VALUE"""),"No")</f>
        <v>No</v>
      </c>
      <c r="E711" s="43" t="str">
        <f>IFERROR(__xludf.DUMMYFUNCTION("""COMPUTED_VALUE"""),"p_6e9475414ab83c90e96787b227445382e89473b1@inbound.aiesec.org")</f>
        <v>p_6e9475414ab83c90e96787b227445382e89473b1@inbound.aiesec.org</v>
      </c>
      <c r="F711" s="43">
        <f>IFERROR(__xludf.DUMMYFUNCTION("""COMPUTED_VALUE"""),5.374937725E9)</f>
        <v>5374937725</v>
      </c>
      <c r="G711" s="43" t="str">
        <f>IFERROR(__xludf.DUMMYFUNCTION("""COMPUTED_VALUE"""),"Turkey")</f>
        <v>Turkey</v>
      </c>
      <c r="H711" s="43" t="str">
        <f>IFERROR(__xludf.DUMMYFUNCTION("""COMPUTED_VALUE"""),"ANKARA")</f>
        <v>ANKARA</v>
      </c>
      <c r="I711" s="43" t="str">
        <f>IFERROR(__xludf.DUMMYFUNCTION("""COMPUTED_VALUE"""),"Egypt")</f>
        <v>Egypt</v>
      </c>
      <c r="J711" s="43" t="str">
        <f>IFERROR(__xludf.DUMMYFUNCTION("""COMPUTED_VALUE"""),"6th October University")</f>
        <v>6th October University</v>
      </c>
      <c r="K711" s="44" t="str">
        <f>IFERROR(__xludf.DUMMYFUNCTION("""COMPUTED_VALUE"""),"https://expa.aiesec.org/opportunities/1293954")</f>
        <v>https://expa.aiesec.org/opportunities/1293954</v>
      </c>
      <c r="L711" s="43" t="str">
        <f>IFERROR(__xludf.DUMMYFUNCTION("""COMPUTED_VALUE"""),"GV")</f>
        <v>GV</v>
      </c>
      <c r="M711" s="43" t="str">
        <f>IFERROR(__xludf.DUMMYFUNCTION("""COMPUTED_VALUE"""),"short")</f>
        <v>short</v>
      </c>
      <c r="N711" s="45">
        <f>IFERROR(__xludf.DUMMYFUNCTION("""COMPUTED_VALUE"""),45061.0)</f>
        <v>45061</v>
      </c>
      <c r="O711" s="45">
        <f>IFERROR(__xludf.DUMMYFUNCTION("""COMPUTED_VALUE"""),45122.0)</f>
        <v>45122</v>
      </c>
      <c r="P711" s="45">
        <f>IFERROR(__xludf.DUMMYFUNCTION("""COMPUTED_VALUE"""),45164.0)</f>
        <v>45164</v>
      </c>
      <c r="Q711" s="45">
        <f>IFERROR(__xludf.DUMMYFUNCTION("""COMPUTED_VALUE"""),45122.0)</f>
        <v>45122</v>
      </c>
      <c r="R711" s="45">
        <f>IFERROR(__xludf.DUMMYFUNCTION("""COMPUTED_VALUE"""),45164.0)</f>
        <v>45164</v>
      </c>
      <c r="S711" s="43"/>
      <c r="T711" s="43"/>
      <c r="U711" s="43" t="str">
        <f>IFERROR(__xludf.DUMMYFUNCTION("""COMPUTED_VALUE"""),"On The Map")</f>
        <v>On The Map</v>
      </c>
      <c r="V711" s="43" t="str">
        <f>IFERROR(__xludf.DUMMYFUNCTION("""COMPUTED_VALUE"""),"ANTALYA")</f>
        <v>ANTALYA</v>
      </c>
      <c r="W711" s="43" t="str">
        <f>IFERROR(__xludf.DUMMYFUNCTION("""COMPUTED_VALUE"""),"2021-03-22T17:28:43Z")</f>
        <v>2021-03-22T17:28:43Z</v>
      </c>
      <c r="X711" s="43"/>
      <c r="Y711" s="43"/>
      <c r="Z711" s="43"/>
    </row>
    <row r="712" hidden="1">
      <c r="A712" s="43" t="str">
        <f>IFERROR(__xludf.DUMMYFUNCTION("""COMPUTED_VALUE"""),"5258382_1294209")</f>
        <v>5258382_1294209</v>
      </c>
      <c r="B712" s="43" t="str">
        <f>IFERROR(__xludf.DUMMYFUNCTION("""COMPUTED_VALUE"""),"fatmanur tanrıkulu")</f>
        <v>fatmanur tanrıkulu</v>
      </c>
      <c r="C712" s="43" t="str">
        <f>IFERROR(__xludf.DUMMYFUNCTION("""COMPUTED_VALUE"""),"approved")</f>
        <v>approved</v>
      </c>
      <c r="D712" s="43" t="str">
        <f>IFERROR(__xludf.DUMMYFUNCTION("""COMPUTED_VALUE"""),"No")</f>
        <v>No</v>
      </c>
      <c r="E712" s="43" t="str">
        <f>IFERROR(__xludf.DUMMYFUNCTION("""COMPUTED_VALUE"""),"p_1902a9112c55b8452c50cd9d6d8ca60f2d71a7fb@inbound.aiesec.org")</f>
        <v>p_1902a9112c55b8452c50cd9d6d8ca60f2d71a7fb@inbound.aiesec.org</v>
      </c>
      <c r="F712" s="43">
        <f>IFERROR(__xludf.DUMMYFUNCTION("""COMPUTED_VALUE"""),5.304647961E9)</f>
        <v>5304647961</v>
      </c>
      <c r="G712" s="43" t="str">
        <f>IFERROR(__xludf.DUMMYFUNCTION("""COMPUTED_VALUE"""),"Turkey")</f>
        <v>Turkey</v>
      </c>
      <c r="H712" s="43" t="str">
        <f>IFERROR(__xludf.DUMMYFUNCTION("""COMPUTED_VALUE"""),"ANKARA")</f>
        <v>ANKARA</v>
      </c>
      <c r="I712" s="43" t="str">
        <f>IFERROR(__xludf.DUMMYFUNCTION("""COMPUTED_VALUE"""),"Moldova")</f>
        <v>Moldova</v>
      </c>
      <c r="J712" s="43" t="str">
        <f>IFERROR(__xludf.DUMMYFUNCTION("""COMPUTED_VALUE"""),"CHISINAU")</f>
        <v>CHISINAU</v>
      </c>
      <c r="K712" s="44" t="str">
        <f>IFERROR(__xludf.DUMMYFUNCTION("""COMPUTED_VALUE"""),"https://expa.aiesec.org/opportunities/1294209")</f>
        <v>https://expa.aiesec.org/opportunities/1294209</v>
      </c>
      <c r="L712" s="43" t="str">
        <f>IFERROR(__xludf.DUMMYFUNCTION("""COMPUTED_VALUE"""),"GV")</f>
        <v>GV</v>
      </c>
      <c r="M712" s="43" t="str">
        <f>IFERROR(__xludf.DUMMYFUNCTION("""COMPUTED_VALUE"""),"short")</f>
        <v>short</v>
      </c>
      <c r="N712" s="45">
        <f>IFERROR(__xludf.DUMMYFUNCTION("""COMPUTED_VALUE"""),45061.0)</f>
        <v>45061</v>
      </c>
      <c r="O712" s="45">
        <f>IFERROR(__xludf.DUMMYFUNCTION("""COMPUTED_VALUE"""),45124.0)</f>
        <v>45124</v>
      </c>
      <c r="P712" s="45">
        <f>IFERROR(__xludf.DUMMYFUNCTION("""COMPUTED_VALUE"""),45166.0)</f>
        <v>45166</v>
      </c>
      <c r="Q712" s="45"/>
      <c r="R712" s="45"/>
      <c r="S712" s="43"/>
      <c r="T712" s="43"/>
      <c r="U712" s="43" t="str">
        <f>IFERROR(__xludf.DUMMYFUNCTION("""COMPUTED_VALUE"""),"On The Map")</f>
        <v>On The Map</v>
      </c>
      <c r="V712" s="43" t="str">
        <f>IFERROR(__xludf.DUMMYFUNCTION("""COMPUTED_VALUE"""),"CANKIRI")</f>
        <v>CANKIRI</v>
      </c>
      <c r="W712" s="43" t="str">
        <f>IFERROR(__xludf.DUMMYFUNCTION("""COMPUTED_VALUE"""),"2023-05-09T15:16:04Z")</f>
        <v>2023-05-09T15:16:04Z</v>
      </c>
      <c r="X712" s="43"/>
      <c r="Y712" s="43"/>
      <c r="Z712" s="43"/>
    </row>
    <row r="713" hidden="1">
      <c r="A713" s="43" t="str">
        <f>IFERROR(__xludf.DUMMYFUNCTION("""COMPUTED_VALUE"""),"5261798_1294209")</f>
        <v>5261798_1294209</v>
      </c>
      <c r="B713" s="43" t="str">
        <f>IFERROR(__xludf.DUMMYFUNCTION("""COMPUTED_VALUE"""),"AYŞEGÜL TANRIKULU")</f>
        <v>AYŞEGÜL TANRIKULU</v>
      </c>
      <c r="C713" s="43" t="str">
        <f>IFERROR(__xludf.DUMMYFUNCTION("""COMPUTED_VALUE"""),"approved")</f>
        <v>approved</v>
      </c>
      <c r="D713" s="43" t="str">
        <f>IFERROR(__xludf.DUMMYFUNCTION("""COMPUTED_VALUE"""),"No")</f>
        <v>No</v>
      </c>
      <c r="E713" s="43" t="str">
        <f>IFERROR(__xludf.DUMMYFUNCTION("""COMPUTED_VALUE"""),"p_8f844fe75151e661471dd9bc3378bfbe233a0aa0@inbound.aiesec.org")</f>
        <v>p_8f844fe75151e661471dd9bc3378bfbe233a0aa0@inbound.aiesec.org</v>
      </c>
      <c r="F713" s="43">
        <f>IFERROR(__xludf.DUMMYFUNCTION("""COMPUTED_VALUE"""),5.309674709E9)</f>
        <v>5309674709</v>
      </c>
      <c r="G713" s="43" t="str">
        <f>IFERROR(__xludf.DUMMYFUNCTION("""COMPUTED_VALUE"""),"Turkey")</f>
        <v>Turkey</v>
      </c>
      <c r="H713" s="43" t="str">
        <f>IFERROR(__xludf.DUMMYFUNCTION("""COMPUTED_VALUE"""),"ISTANBUL WEST")</f>
        <v>ISTANBUL WEST</v>
      </c>
      <c r="I713" s="43" t="str">
        <f>IFERROR(__xludf.DUMMYFUNCTION("""COMPUTED_VALUE"""),"Moldova")</f>
        <v>Moldova</v>
      </c>
      <c r="J713" s="43" t="str">
        <f>IFERROR(__xludf.DUMMYFUNCTION("""COMPUTED_VALUE"""),"CHISINAU")</f>
        <v>CHISINAU</v>
      </c>
      <c r="K713" s="44" t="str">
        <f>IFERROR(__xludf.DUMMYFUNCTION("""COMPUTED_VALUE"""),"https://expa.aiesec.org/opportunities/1294209")</f>
        <v>https://expa.aiesec.org/opportunities/1294209</v>
      </c>
      <c r="L713" s="43" t="str">
        <f>IFERROR(__xludf.DUMMYFUNCTION("""COMPUTED_VALUE"""),"GV")</f>
        <v>GV</v>
      </c>
      <c r="M713" s="43" t="str">
        <f>IFERROR(__xludf.DUMMYFUNCTION("""COMPUTED_VALUE"""),"short")</f>
        <v>short</v>
      </c>
      <c r="N713" s="45">
        <f>IFERROR(__xludf.DUMMYFUNCTION("""COMPUTED_VALUE"""),45062.0)</f>
        <v>45062</v>
      </c>
      <c r="O713" s="45">
        <f>IFERROR(__xludf.DUMMYFUNCTION("""COMPUTED_VALUE"""),45124.0)</f>
        <v>45124</v>
      </c>
      <c r="P713" s="45">
        <f>IFERROR(__xludf.DUMMYFUNCTION("""COMPUTED_VALUE"""),45166.0)</f>
        <v>45166</v>
      </c>
      <c r="Q713" s="45"/>
      <c r="R713" s="45"/>
      <c r="S713" s="43"/>
      <c r="T713" s="43"/>
      <c r="U713" s="43" t="str">
        <f>IFERROR(__xludf.DUMMYFUNCTION("""COMPUTED_VALUE"""),"On The Map")</f>
        <v>On The Map</v>
      </c>
      <c r="V713" s="43" t="str">
        <f>IFERROR(__xludf.DUMMYFUNCTION("""COMPUTED_VALUE"""),"ISTANBUL - BAKIRKOY")</f>
        <v>ISTANBUL - BAKIRKOY</v>
      </c>
      <c r="W713" s="43" t="str">
        <f>IFERROR(__xludf.DUMMYFUNCTION("""COMPUTED_VALUE"""),"2023-05-16T10:24:10Z")</f>
        <v>2023-05-16T10:24:10Z</v>
      </c>
      <c r="X713" s="43"/>
      <c r="Y713" s="43"/>
      <c r="Z713" s="43"/>
    </row>
    <row r="714" hidden="1">
      <c r="A714" s="43" t="str">
        <f>IFERROR(__xludf.DUMMYFUNCTION("""COMPUTED_VALUE"""),"5254277_1293954")</f>
        <v>5254277_1293954</v>
      </c>
      <c r="B714" s="43" t="str">
        <f>IFERROR(__xludf.DUMMYFUNCTION("""COMPUTED_VALUE"""),"Yağmur Öktem")</f>
        <v>Yağmur Öktem</v>
      </c>
      <c r="C714" s="43" t="str">
        <f>IFERROR(__xludf.DUMMYFUNCTION("""COMPUTED_VALUE"""),"completed")</f>
        <v>completed</v>
      </c>
      <c r="D714" s="43" t="str">
        <f>IFERROR(__xludf.DUMMYFUNCTION("""COMPUTED_VALUE"""),"No")</f>
        <v>No</v>
      </c>
      <c r="E714" s="43" t="str">
        <f>IFERROR(__xludf.DUMMYFUNCTION("""COMPUTED_VALUE"""),"p_4d54c5405ae96a0c757c7e08a3a4dd270e7b6b80@inbound.aiesec.org")</f>
        <v>p_4d54c5405ae96a0c757c7e08a3a4dd270e7b6b80@inbound.aiesec.org</v>
      </c>
      <c r="F714" s="43">
        <f>IFERROR(__xludf.DUMMYFUNCTION("""COMPUTED_VALUE"""),5.325025154E9)</f>
        <v>5325025154</v>
      </c>
      <c r="G714" s="43" t="str">
        <f>IFERROR(__xludf.DUMMYFUNCTION("""COMPUTED_VALUE"""),"Turkey")</f>
        <v>Turkey</v>
      </c>
      <c r="H714" s="43" t="str">
        <f>IFERROR(__xludf.DUMMYFUNCTION("""COMPUTED_VALUE"""),"BURSA")</f>
        <v>BURSA</v>
      </c>
      <c r="I714" s="43" t="str">
        <f>IFERROR(__xludf.DUMMYFUNCTION("""COMPUTED_VALUE"""),"Egypt")</f>
        <v>Egypt</v>
      </c>
      <c r="J714" s="43" t="str">
        <f>IFERROR(__xludf.DUMMYFUNCTION("""COMPUTED_VALUE"""),"6th October University")</f>
        <v>6th October University</v>
      </c>
      <c r="K714" s="44" t="str">
        <f>IFERROR(__xludf.DUMMYFUNCTION("""COMPUTED_VALUE"""),"https://expa.aiesec.org/opportunities/1293954")</f>
        <v>https://expa.aiesec.org/opportunities/1293954</v>
      </c>
      <c r="L714" s="43" t="str">
        <f>IFERROR(__xludf.DUMMYFUNCTION("""COMPUTED_VALUE"""),"GV")</f>
        <v>GV</v>
      </c>
      <c r="M714" s="43" t="str">
        <f>IFERROR(__xludf.DUMMYFUNCTION("""COMPUTED_VALUE"""),"short")</f>
        <v>short</v>
      </c>
      <c r="N714" s="45">
        <f>IFERROR(__xludf.DUMMYFUNCTION("""COMPUTED_VALUE"""),45062.0)</f>
        <v>45062</v>
      </c>
      <c r="O714" s="45">
        <f>IFERROR(__xludf.DUMMYFUNCTION("""COMPUTED_VALUE"""),45122.0)</f>
        <v>45122</v>
      </c>
      <c r="P714" s="45">
        <f>IFERROR(__xludf.DUMMYFUNCTION("""COMPUTED_VALUE"""),45164.0)</f>
        <v>45164</v>
      </c>
      <c r="Q714" s="45">
        <f>IFERROR(__xludf.DUMMYFUNCTION("""COMPUTED_VALUE"""),45122.0)</f>
        <v>45122</v>
      </c>
      <c r="R714" s="45">
        <f>IFERROR(__xludf.DUMMYFUNCTION("""COMPUTED_VALUE"""),45164.0)</f>
        <v>45164</v>
      </c>
      <c r="S714" s="43"/>
      <c r="T714" s="43"/>
      <c r="U714" s="43" t="str">
        <f>IFERROR(__xludf.DUMMYFUNCTION("""COMPUTED_VALUE"""),"On The Map")</f>
        <v>On The Map</v>
      </c>
      <c r="V714" s="43" t="str">
        <f>IFERROR(__xludf.DUMMYFUNCTION("""COMPUTED_VALUE"""),"BURSA")</f>
        <v>BURSA</v>
      </c>
      <c r="W714" s="43" t="str">
        <f>IFERROR(__xludf.DUMMYFUNCTION("""COMPUTED_VALUE"""),"2023-05-02T13:00:00Z")</f>
        <v>2023-05-02T13:00:00Z</v>
      </c>
      <c r="X714" s="43"/>
      <c r="Y714" s="43"/>
      <c r="Z714" s="43"/>
    </row>
    <row r="715" hidden="1">
      <c r="A715" s="43" t="str">
        <f>IFERROR(__xludf.DUMMYFUNCTION("""COMPUTED_VALUE"""),"5260579_1294459")</f>
        <v>5260579_1294459</v>
      </c>
      <c r="B715" s="43" t="str">
        <f>IFERROR(__xludf.DUMMYFUNCTION("""COMPUTED_VALUE"""),"Beyza Şen")</f>
        <v>Beyza Şen</v>
      </c>
      <c r="C715" s="43" t="str">
        <f>IFERROR(__xludf.DUMMYFUNCTION("""COMPUTED_VALUE"""),"completed")</f>
        <v>completed</v>
      </c>
      <c r="D715" s="43" t="str">
        <f>IFERROR(__xludf.DUMMYFUNCTION("""COMPUTED_VALUE"""),"No")</f>
        <v>No</v>
      </c>
      <c r="E715" s="43" t="str">
        <f>IFERROR(__xludf.DUMMYFUNCTION("""COMPUTED_VALUE"""),"p_737256a3f8381ba099efb1f3e5138d60df30cdab@inbound.aiesec.org")</f>
        <v>p_737256a3f8381ba099efb1f3e5138d60df30cdab@inbound.aiesec.org</v>
      </c>
      <c r="F715" s="43">
        <f>IFERROR(__xludf.DUMMYFUNCTION("""COMPUTED_VALUE"""),5.442855521E9)</f>
        <v>5442855521</v>
      </c>
      <c r="G715" s="43" t="str">
        <f>IFERROR(__xludf.DUMMYFUNCTION("""COMPUTED_VALUE"""),"Turkey")</f>
        <v>Turkey</v>
      </c>
      <c r="H715" s="43" t="str">
        <f>IFERROR(__xludf.DUMMYFUNCTION("""COMPUTED_VALUE"""),"ISTANBUL WEST")</f>
        <v>ISTANBUL WEST</v>
      </c>
      <c r="I715" s="43" t="str">
        <f>IFERROR(__xludf.DUMMYFUNCTION("""COMPUTED_VALUE"""),"Egypt")</f>
        <v>Egypt</v>
      </c>
      <c r="J715" s="43" t="str">
        <f>IFERROR(__xludf.DUMMYFUNCTION("""COMPUTED_VALUE"""),"Cairo University")</f>
        <v>Cairo University</v>
      </c>
      <c r="K715" s="44" t="str">
        <f>IFERROR(__xludf.DUMMYFUNCTION("""COMPUTED_VALUE"""),"https://expa.aiesec.org/opportunities/1294459")</f>
        <v>https://expa.aiesec.org/opportunities/1294459</v>
      </c>
      <c r="L715" s="43" t="str">
        <f>IFERROR(__xludf.DUMMYFUNCTION("""COMPUTED_VALUE"""),"GV")</f>
        <v>GV</v>
      </c>
      <c r="M715" s="43" t="str">
        <f>IFERROR(__xludf.DUMMYFUNCTION("""COMPUTED_VALUE"""),"short")</f>
        <v>short</v>
      </c>
      <c r="N715" s="45">
        <f>IFERROR(__xludf.DUMMYFUNCTION("""COMPUTED_VALUE"""),45062.0)</f>
        <v>45062</v>
      </c>
      <c r="O715" s="45">
        <f>IFERROR(__xludf.DUMMYFUNCTION("""COMPUTED_VALUE"""),45108.0)</f>
        <v>45108</v>
      </c>
      <c r="P715" s="45">
        <f>IFERROR(__xludf.DUMMYFUNCTION("""COMPUTED_VALUE"""),45152.0)</f>
        <v>45152</v>
      </c>
      <c r="Q715" s="45">
        <f>IFERROR(__xludf.DUMMYFUNCTION("""COMPUTED_VALUE"""),45112.0)</f>
        <v>45112</v>
      </c>
      <c r="R715" s="45">
        <f>IFERROR(__xludf.DUMMYFUNCTION("""COMPUTED_VALUE"""),45156.0)</f>
        <v>45156</v>
      </c>
      <c r="S715" s="43"/>
      <c r="T715" s="43"/>
      <c r="U715" s="43" t="str">
        <f>IFERROR(__xludf.DUMMYFUNCTION("""COMPUTED_VALUE"""),"Global Classroom")</f>
        <v>Global Classroom</v>
      </c>
      <c r="V715" s="43" t="str">
        <f>IFERROR(__xludf.DUMMYFUNCTION("""COMPUTED_VALUE"""),"ISTANBUL - BAKIRKOY")</f>
        <v>ISTANBUL - BAKIRKOY</v>
      </c>
      <c r="W715" s="43" t="str">
        <f>IFERROR(__xludf.DUMMYFUNCTION("""COMPUTED_VALUE"""),"2023-05-13T15:59:24Z")</f>
        <v>2023-05-13T15:59:24Z</v>
      </c>
      <c r="X715" s="43"/>
      <c r="Y715" s="43"/>
      <c r="Z715" s="43"/>
    </row>
    <row r="716" hidden="1">
      <c r="A716" s="43" t="str">
        <f>IFERROR(__xludf.DUMMYFUNCTION("""COMPUTED_VALUE"""),"5262050_1289630")</f>
        <v>5262050_1289630</v>
      </c>
      <c r="B716" s="43" t="str">
        <f>IFERROR(__xludf.DUMMYFUNCTION("""COMPUTED_VALUE"""),"Tuğba Can")</f>
        <v>Tuğba Can</v>
      </c>
      <c r="C716" s="43" t="str">
        <f>IFERROR(__xludf.DUMMYFUNCTION("""COMPUTED_VALUE"""),"completed")</f>
        <v>completed</v>
      </c>
      <c r="D716" s="43" t="str">
        <f>IFERROR(__xludf.DUMMYFUNCTION("""COMPUTED_VALUE"""),"No")</f>
        <v>No</v>
      </c>
      <c r="E716" s="43" t="str">
        <f>IFERROR(__xludf.DUMMYFUNCTION("""COMPUTED_VALUE"""),"p_113276a6095ec8eb1bbc569855da1b7ee2a7ac77@inbound.aiesec.org")</f>
        <v>p_113276a6095ec8eb1bbc569855da1b7ee2a7ac77@inbound.aiesec.org</v>
      </c>
      <c r="F716" s="43"/>
      <c r="G716" s="43" t="str">
        <f>IFERROR(__xludf.DUMMYFUNCTION("""COMPUTED_VALUE"""),"Turkey")</f>
        <v>Turkey</v>
      </c>
      <c r="H716" s="43" t="str">
        <f>IFERROR(__xludf.DUMMYFUNCTION("""COMPUTED_VALUE"""),"KOCAELI")</f>
        <v>KOCAELI</v>
      </c>
      <c r="I716" s="43" t="str">
        <f>IFERROR(__xludf.DUMMYFUNCTION("""COMPUTED_VALUE"""),"India")</f>
        <v>India</v>
      </c>
      <c r="J716" s="43" t="str">
        <f>IFERROR(__xludf.DUMMYFUNCTION("""COMPUTED_VALUE"""),"Chandigarh")</f>
        <v>Chandigarh</v>
      </c>
      <c r="K716" s="44" t="str">
        <f>IFERROR(__xludf.DUMMYFUNCTION("""COMPUTED_VALUE"""),"https://expa.aiesec.org/opportunities/1289630")</f>
        <v>https://expa.aiesec.org/opportunities/1289630</v>
      </c>
      <c r="L716" s="43" t="str">
        <f>IFERROR(__xludf.DUMMYFUNCTION("""COMPUTED_VALUE"""),"GV")</f>
        <v>GV</v>
      </c>
      <c r="M716" s="43" t="str">
        <f>IFERROR(__xludf.DUMMYFUNCTION("""COMPUTED_VALUE"""),"short")</f>
        <v>short</v>
      </c>
      <c r="N716" s="45">
        <f>IFERROR(__xludf.DUMMYFUNCTION("""COMPUTED_VALUE"""),45063.0)</f>
        <v>45063</v>
      </c>
      <c r="O716" s="45">
        <f>IFERROR(__xludf.DUMMYFUNCTION("""COMPUTED_VALUE"""),45139.0)</f>
        <v>45139</v>
      </c>
      <c r="P716" s="45">
        <f>IFERROR(__xludf.DUMMYFUNCTION("""COMPUTED_VALUE"""),45181.0)</f>
        <v>45181</v>
      </c>
      <c r="Q716" s="45">
        <f>IFERROR(__xludf.DUMMYFUNCTION("""COMPUTED_VALUE"""),45139.0)</f>
        <v>45139</v>
      </c>
      <c r="R716" s="45">
        <f>IFERROR(__xludf.DUMMYFUNCTION("""COMPUTED_VALUE"""),45181.0)</f>
        <v>45181</v>
      </c>
      <c r="S716" s="43"/>
      <c r="T716" s="43"/>
      <c r="U716" s="43" t="str">
        <f>IFERROR(__xludf.DUMMYFUNCTION("""COMPUTED_VALUE"""),"Skill Up!")</f>
        <v>Skill Up!</v>
      </c>
      <c r="V716" s="43" t="str">
        <f>IFERROR(__xludf.DUMMYFUNCTION("""COMPUTED_VALUE"""),"-")</f>
        <v>-</v>
      </c>
      <c r="W716" s="43" t="str">
        <f>IFERROR(__xludf.DUMMYFUNCTION("""COMPUTED_VALUE"""),"2023-05-16T18:29:22Z")</f>
        <v>2023-05-16T18:29:22Z</v>
      </c>
      <c r="X716" s="43"/>
      <c r="Y716" s="43"/>
      <c r="Z716" s="43"/>
    </row>
    <row r="717" hidden="1">
      <c r="A717" s="43" t="str">
        <f>IFERROR(__xludf.DUMMYFUNCTION("""COMPUTED_VALUE"""),"5261972_1289630")</f>
        <v>5261972_1289630</v>
      </c>
      <c r="B717" s="43" t="str">
        <f>IFERROR(__xludf.DUMMYFUNCTION("""COMPUTED_VALUE"""),"Tuğçe Pank")</f>
        <v>Tuğçe Pank</v>
      </c>
      <c r="C717" s="43" t="str">
        <f>IFERROR(__xludf.DUMMYFUNCTION("""COMPUTED_VALUE"""),"completed")</f>
        <v>completed</v>
      </c>
      <c r="D717" s="43" t="str">
        <f>IFERROR(__xludf.DUMMYFUNCTION("""COMPUTED_VALUE"""),"No")</f>
        <v>No</v>
      </c>
      <c r="E717" s="43" t="str">
        <f>IFERROR(__xludf.DUMMYFUNCTION("""COMPUTED_VALUE"""),"p_1f59b14e6f9a3b7c83416d2ec2db8c78e0b7fba4@inbound.aiesec.org")</f>
        <v>p_1f59b14e6f9a3b7c83416d2ec2db8c78e0b7fba4@inbound.aiesec.org</v>
      </c>
      <c r="F717" s="43">
        <f>IFERROR(__xludf.DUMMYFUNCTION("""COMPUTED_VALUE"""),5.300832996E9)</f>
        <v>5300832996</v>
      </c>
      <c r="G717" s="43" t="str">
        <f>IFERROR(__xludf.DUMMYFUNCTION("""COMPUTED_VALUE"""),"Turkey")</f>
        <v>Turkey</v>
      </c>
      <c r="H717" s="43" t="str">
        <f>IFERROR(__xludf.DUMMYFUNCTION("""COMPUTED_VALUE"""),"KOCAELI")</f>
        <v>KOCAELI</v>
      </c>
      <c r="I717" s="43" t="str">
        <f>IFERROR(__xludf.DUMMYFUNCTION("""COMPUTED_VALUE"""),"India")</f>
        <v>India</v>
      </c>
      <c r="J717" s="43" t="str">
        <f>IFERROR(__xludf.DUMMYFUNCTION("""COMPUTED_VALUE"""),"Chandigarh")</f>
        <v>Chandigarh</v>
      </c>
      <c r="K717" s="44" t="str">
        <f>IFERROR(__xludf.DUMMYFUNCTION("""COMPUTED_VALUE"""),"https://expa.aiesec.org/opportunities/1289630")</f>
        <v>https://expa.aiesec.org/opportunities/1289630</v>
      </c>
      <c r="L717" s="43" t="str">
        <f>IFERROR(__xludf.DUMMYFUNCTION("""COMPUTED_VALUE"""),"GV")</f>
        <v>GV</v>
      </c>
      <c r="M717" s="43" t="str">
        <f>IFERROR(__xludf.DUMMYFUNCTION("""COMPUTED_VALUE"""),"short")</f>
        <v>short</v>
      </c>
      <c r="N717" s="45">
        <f>IFERROR(__xludf.DUMMYFUNCTION("""COMPUTED_VALUE"""),45063.0)</f>
        <v>45063</v>
      </c>
      <c r="O717" s="45">
        <f>IFERROR(__xludf.DUMMYFUNCTION("""COMPUTED_VALUE"""),45139.0)</f>
        <v>45139</v>
      </c>
      <c r="P717" s="45">
        <f>IFERROR(__xludf.DUMMYFUNCTION("""COMPUTED_VALUE"""),45181.0)</f>
        <v>45181</v>
      </c>
      <c r="Q717" s="45">
        <f>IFERROR(__xludf.DUMMYFUNCTION("""COMPUTED_VALUE"""),45139.0)</f>
        <v>45139</v>
      </c>
      <c r="R717" s="45">
        <f>IFERROR(__xludf.DUMMYFUNCTION("""COMPUTED_VALUE"""),45181.0)</f>
        <v>45181</v>
      </c>
      <c r="S717" s="43"/>
      <c r="T717" s="43"/>
      <c r="U717" s="43" t="str">
        <f>IFERROR(__xludf.DUMMYFUNCTION("""COMPUTED_VALUE"""),"Skill Up!")</f>
        <v>Skill Up!</v>
      </c>
      <c r="V717" s="43" t="str">
        <f>IFERROR(__xludf.DUMMYFUNCTION("""COMPUTED_VALUE"""),"KOCAELI")</f>
        <v>KOCAELI</v>
      </c>
      <c r="W717" s="43" t="str">
        <f>IFERROR(__xludf.DUMMYFUNCTION("""COMPUTED_VALUE"""),"2023-05-16T15:37:39Z")</f>
        <v>2023-05-16T15:37:39Z</v>
      </c>
      <c r="X717" s="43"/>
      <c r="Y717" s="43"/>
      <c r="Z717" s="43"/>
    </row>
    <row r="718" hidden="1">
      <c r="A718" s="43" t="str">
        <f>IFERROR(__xludf.DUMMYFUNCTION("""COMPUTED_VALUE"""),"5261611_1293477")</f>
        <v>5261611_1293477</v>
      </c>
      <c r="B718" s="43" t="str">
        <f>IFERROR(__xludf.DUMMYFUNCTION("""COMPUTED_VALUE"""),"Muhammed Raşit Tarak")</f>
        <v>Muhammed Raşit Tarak</v>
      </c>
      <c r="C718" s="43" t="str">
        <f>IFERROR(__xludf.DUMMYFUNCTION("""COMPUTED_VALUE"""),"completed")</f>
        <v>completed</v>
      </c>
      <c r="D718" s="43" t="str">
        <f>IFERROR(__xludf.DUMMYFUNCTION("""COMPUTED_VALUE"""),"No")</f>
        <v>No</v>
      </c>
      <c r="E718" s="43" t="str">
        <f>IFERROR(__xludf.DUMMYFUNCTION("""COMPUTED_VALUE"""),"p_9573f3efb734f14f6e319dc05edf2305e5d547a1@inbound.aiesec.org")</f>
        <v>p_9573f3efb734f14f6e319dc05edf2305e5d547a1@inbound.aiesec.org</v>
      </c>
      <c r="F718" s="43">
        <f>IFERROR(__xludf.DUMMYFUNCTION("""COMPUTED_VALUE"""),5.3863637E9)</f>
        <v>5386363700</v>
      </c>
      <c r="G718" s="43" t="str">
        <f>IFERROR(__xludf.DUMMYFUNCTION("""COMPUTED_VALUE"""),"Turkey")</f>
        <v>Turkey</v>
      </c>
      <c r="H718" s="43" t="str">
        <f>IFERROR(__xludf.DUMMYFUNCTION("""COMPUTED_VALUE"""),"ISTANBUL")</f>
        <v>ISTANBUL</v>
      </c>
      <c r="I718" s="43" t="str">
        <f>IFERROR(__xludf.DUMMYFUNCTION("""COMPUTED_VALUE"""),"Egypt")</f>
        <v>Egypt</v>
      </c>
      <c r="J718" s="43" t="str">
        <f>IFERROR(__xludf.DUMMYFUNCTION("""COMPUTED_VALUE"""),"GUC")</f>
        <v>GUC</v>
      </c>
      <c r="K718" s="44" t="str">
        <f>IFERROR(__xludf.DUMMYFUNCTION("""COMPUTED_VALUE"""),"https://expa.aiesec.org/opportunities/1293477")</f>
        <v>https://expa.aiesec.org/opportunities/1293477</v>
      </c>
      <c r="L718" s="43" t="str">
        <f>IFERROR(__xludf.DUMMYFUNCTION("""COMPUTED_VALUE"""),"GV")</f>
        <v>GV</v>
      </c>
      <c r="M718" s="43" t="str">
        <f>IFERROR(__xludf.DUMMYFUNCTION("""COMPUTED_VALUE"""),"short")</f>
        <v>short</v>
      </c>
      <c r="N718" s="45">
        <f>IFERROR(__xludf.DUMMYFUNCTION("""COMPUTED_VALUE"""),45063.0)</f>
        <v>45063</v>
      </c>
      <c r="O718" s="45">
        <f>IFERROR(__xludf.DUMMYFUNCTION("""COMPUTED_VALUE"""),45092.0)</f>
        <v>45092</v>
      </c>
      <c r="P718" s="45">
        <f>IFERROR(__xludf.DUMMYFUNCTION("""COMPUTED_VALUE"""),45134.0)</f>
        <v>45134</v>
      </c>
      <c r="Q718" s="45">
        <f>IFERROR(__xludf.DUMMYFUNCTION("""COMPUTED_VALUE"""),45093.0)</f>
        <v>45093</v>
      </c>
      <c r="R718" s="45">
        <f>IFERROR(__xludf.DUMMYFUNCTION("""COMPUTED_VALUE"""),45134.0)</f>
        <v>45134</v>
      </c>
      <c r="S718" s="43"/>
      <c r="T718" s="43"/>
      <c r="U718" s="43" t="str">
        <f>IFERROR(__xludf.DUMMYFUNCTION("""COMPUTED_VALUE"""),"Raise Your Voice")</f>
        <v>Raise Your Voice</v>
      </c>
      <c r="V718" s="43" t="str">
        <f>IFERROR(__xludf.DUMMYFUNCTION("""COMPUTED_VALUE"""),"ISTANBUL - BEYOGLU")</f>
        <v>ISTANBUL - BEYOGLU</v>
      </c>
      <c r="W718" s="43" t="str">
        <f>IFERROR(__xludf.DUMMYFUNCTION("""COMPUTED_VALUE"""),"2023-05-15T21:32:40Z")</f>
        <v>2023-05-15T21:32:40Z</v>
      </c>
      <c r="X718" s="43"/>
      <c r="Y718" s="43"/>
      <c r="Z718" s="43"/>
    </row>
    <row r="719" hidden="1">
      <c r="A719" s="43" t="str">
        <f>IFERROR(__xludf.DUMMYFUNCTION("""COMPUTED_VALUE"""),"5067203_1294830")</f>
        <v>5067203_1294830</v>
      </c>
      <c r="B719" s="43" t="str">
        <f>IFERROR(__xludf.DUMMYFUNCTION("""COMPUTED_VALUE"""),"Ahmet Sedat Çatar")</f>
        <v>Ahmet Sedat Çatar</v>
      </c>
      <c r="C719" s="43" t="str">
        <f>IFERROR(__xludf.DUMMYFUNCTION("""COMPUTED_VALUE"""),"completed")</f>
        <v>completed</v>
      </c>
      <c r="D719" s="43" t="str">
        <f>IFERROR(__xludf.DUMMYFUNCTION("""COMPUTED_VALUE"""),"No")</f>
        <v>No</v>
      </c>
      <c r="E719" s="43" t="str">
        <f>IFERROR(__xludf.DUMMYFUNCTION("""COMPUTED_VALUE"""),"p_b7960a119e7123417cb6c59bd94c4aee4f5098fa@inbound.aiesec.org")</f>
        <v>p_b7960a119e7123417cb6c59bd94c4aee4f5098fa@inbound.aiesec.org</v>
      </c>
      <c r="F719" s="43">
        <f>IFERROR(__xludf.DUMMYFUNCTION("""COMPUTED_VALUE"""),5.466275754E9)</f>
        <v>5466275754</v>
      </c>
      <c r="G719" s="43" t="str">
        <f>IFERROR(__xludf.DUMMYFUNCTION("""COMPUTED_VALUE"""),"Turkey")</f>
        <v>Turkey</v>
      </c>
      <c r="H719" s="43" t="str">
        <f>IFERROR(__xludf.DUMMYFUNCTION("""COMPUTED_VALUE"""),"ISTANBUL")</f>
        <v>ISTANBUL</v>
      </c>
      <c r="I719" s="43" t="str">
        <f>IFERROR(__xludf.DUMMYFUNCTION("""COMPUTED_VALUE"""),"Egypt")</f>
        <v>Egypt</v>
      </c>
      <c r="J719" s="43" t="str">
        <f>IFERROR(__xludf.DUMMYFUNCTION("""COMPUTED_VALUE"""),"GUC")</f>
        <v>GUC</v>
      </c>
      <c r="K719" s="44" t="str">
        <f>IFERROR(__xludf.DUMMYFUNCTION("""COMPUTED_VALUE"""),"https://expa.aiesec.org/opportunities/1294830")</f>
        <v>https://expa.aiesec.org/opportunities/1294830</v>
      </c>
      <c r="L719" s="43" t="str">
        <f>IFERROR(__xludf.DUMMYFUNCTION("""COMPUTED_VALUE"""),"GV")</f>
        <v>GV</v>
      </c>
      <c r="M719" s="43" t="str">
        <f>IFERROR(__xludf.DUMMYFUNCTION("""COMPUTED_VALUE"""),"short")</f>
        <v>short</v>
      </c>
      <c r="N719" s="45">
        <f>IFERROR(__xludf.DUMMYFUNCTION("""COMPUTED_VALUE"""),45063.0)</f>
        <v>45063</v>
      </c>
      <c r="O719" s="45">
        <f>IFERROR(__xludf.DUMMYFUNCTION("""COMPUTED_VALUE"""),45107.0)</f>
        <v>45107</v>
      </c>
      <c r="P719" s="45">
        <f>IFERROR(__xludf.DUMMYFUNCTION("""COMPUTED_VALUE"""),45149.0)</f>
        <v>45149</v>
      </c>
      <c r="Q719" s="45">
        <f>IFERROR(__xludf.DUMMYFUNCTION("""COMPUTED_VALUE"""),45107.0)</f>
        <v>45107</v>
      </c>
      <c r="R719" s="45">
        <f>IFERROR(__xludf.DUMMYFUNCTION("""COMPUTED_VALUE"""),45149.0)</f>
        <v>45149</v>
      </c>
      <c r="S719" s="43"/>
      <c r="T719" s="43"/>
      <c r="U719" s="43" t="str">
        <f>IFERROR(__xludf.DUMMYFUNCTION("""COMPUTED_VALUE"""),"Fingerprint")</f>
        <v>Fingerprint</v>
      </c>
      <c r="V719" s="43" t="str">
        <f>IFERROR(__xludf.DUMMYFUNCTION("""COMPUTED_VALUE"""),"ISTANBUL - BEYOGLU")</f>
        <v>ISTANBUL - BEYOGLU</v>
      </c>
      <c r="W719" s="43" t="str">
        <f>IFERROR(__xludf.DUMMYFUNCTION("""COMPUTED_VALUE"""),"2022-06-01T20:32:25Z")</f>
        <v>2022-06-01T20:32:25Z</v>
      </c>
      <c r="X719" s="43"/>
      <c r="Y719" s="43"/>
      <c r="Z719" s="43"/>
    </row>
    <row r="720" hidden="1">
      <c r="A720" s="43" t="str">
        <f>IFERROR(__xludf.DUMMYFUNCTION("""COMPUTED_VALUE"""),"5260246_1288415")</f>
        <v>5260246_1288415</v>
      </c>
      <c r="B720" s="43" t="str">
        <f>IFERROR(__xludf.DUMMYFUNCTION("""COMPUTED_VALUE"""),"Ömer Meriç Tunca")</f>
        <v>Ömer Meriç Tunca</v>
      </c>
      <c r="C720" s="43" t="str">
        <f>IFERROR(__xludf.DUMMYFUNCTION("""COMPUTED_VALUE"""),"completed")</f>
        <v>completed</v>
      </c>
      <c r="D720" s="43" t="str">
        <f>IFERROR(__xludf.DUMMYFUNCTION("""COMPUTED_VALUE"""),"No")</f>
        <v>No</v>
      </c>
      <c r="E720" s="43" t="str">
        <f>IFERROR(__xludf.DUMMYFUNCTION("""COMPUTED_VALUE"""),"p_3232babdce64e1d7a8473851f3a264a7ebbca75a@inbound.aiesec.org")</f>
        <v>p_3232babdce64e1d7a8473851f3a264a7ebbca75a@inbound.aiesec.org</v>
      </c>
      <c r="F720" s="43">
        <f>IFERROR(__xludf.DUMMYFUNCTION("""COMPUTED_VALUE"""),5.36813398E9)</f>
        <v>5368133980</v>
      </c>
      <c r="G720" s="43" t="str">
        <f>IFERROR(__xludf.DUMMYFUNCTION("""COMPUTED_VALUE"""),"Turkey")</f>
        <v>Turkey</v>
      </c>
      <c r="H720" s="43" t="str">
        <f>IFERROR(__xludf.DUMMYFUNCTION("""COMPUTED_VALUE"""),"KOCAELI")</f>
        <v>KOCAELI</v>
      </c>
      <c r="I720" s="43" t="str">
        <f>IFERROR(__xludf.DUMMYFUNCTION("""COMPUTED_VALUE"""),"India")</f>
        <v>India</v>
      </c>
      <c r="J720" s="43" t="str">
        <f>IFERROR(__xludf.DUMMYFUNCTION("""COMPUTED_VALUE"""),"JAIPUR ")</f>
        <v>JAIPUR </v>
      </c>
      <c r="K720" s="44" t="str">
        <f>IFERROR(__xludf.DUMMYFUNCTION("""COMPUTED_VALUE"""),"https://expa.aiesec.org/opportunities/1288415")</f>
        <v>https://expa.aiesec.org/opportunities/1288415</v>
      </c>
      <c r="L720" s="43" t="str">
        <f>IFERROR(__xludf.DUMMYFUNCTION("""COMPUTED_VALUE"""),"GV")</f>
        <v>GV</v>
      </c>
      <c r="M720" s="43" t="str">
        <f>IFERROR(__xludf.DUMMYFUNCTION("""COMPUTED_VALUE"""),"short")</f>
        <v>short</v>
      </c>
      <c r="N720" s="45">
        <f>IFERROR(__xludf.DUMMYFUNCTION("""COMPUTED_VALUE"""),45063.0)</f>
        <v>45063</v>
      </c>
      <c r="O720" s="45">
        <f>IFERROR(__xludf.DUMMYFUNCTION("""COMPUTED_VALUE"""),45109.0)</f>
        <v>45109</v>
      </c>
      <c r="P720" s="45">
        <f>IFERROR(__xludf.DUMMYFUNCTION("""COMPUTED_VALUE"""),45151.0)</f>
        <v>45151</v>
      </c>
      <c r="Q720" s="45">
        <f>IFERROR(__xludf.DUMMYFUNCTION("""COMPUTED_VALUE"""),45110.0)</f>
        <v>45110</v>
      </c>
      <c r="R720" s="45">
        <f>IFERROR(__xludf.DUMMYFUNCTION("""COMPUTED_VALUE"""),45151.0)</f>
        <v>45151</v>
      </c>
      <c r="S720" s="43"/>
      <c r="T720" s="43"/>
      <c r="U720" s="43" t="str">
        <f>IFERROR(__xludf.DUMMYFUNCTION("""COMPUTED_VALUE"""),"Skill Up!")</f>
        <v>Skill Up!</v>
      </c>
      <c r="V720" s="43" t="str">
        <f>IFERROR(__xludf.DUMMYFUNCTION("""COMPUTED_VALUE"""),"KOCAELI")</f>
        <v>KOCAELI</v>
      </c>
      <c r="W720" s="43" t="str">
        <f>IFERROR(__xludf.DUMMYFUNCTION("""COMPUTED_VALUE"""),"2023-05-12T23:53:02Z")</f>
        <v>2023-05-12T23:53:02Z</v>
      </c>
      <c r="X720" s="43"/>
      <c r="Y720" s="43"/>
      <c r="Z720" s="43"/>
    </row>
    <row r="721" hidden="1">
      <c r="A721" s="43" t="str">
        <f>IFERROR(__xludf.DUMMYFUNCTION("""COMPUTED_VALUE"""),"5257876_1294480")</f>
        <v>5257876_1294480</v>
      </c>
      <c r="B721" s="43" t="str">
        <f>IFERROR(__xludf.DUMMYFUNCTION("""COMPUTED_VALUE"""),"Beyza Türk")</f>
        <v>Beyza Türk</v>
      </c>
      <c r="C721" s="43" t="str">
        <f>IFERROR(__xludf.DUMMYFUNCTION("""COMPUTED_VALUE"""),"realization_broken")</f>
        <v>realization_broken</v>
      </c>
      <c r="D721" s="43" t="str">
        <f>IFERROR(__xludf.DUMMYFUNCTION("""COMPUTED_VALUE"""),"No")</f>
        <v>No</v>
      </c>
      <c r="E721" s="43" t="str">
        <f>IFERROR(__xludf.DUMMYFUNCTION("""COMPUTED_VALUE"""),"p_04b610bf22df51c05b6a40a8a5f9f726e4f0f556@inbound.aiesec.org")</f>
        <v>p_04b610bf22df51c05b6a40a8a5f9f726e4f0f556@inbound.aiesec.org</v>
      </c>
      <c r="F721" s="43">
        <f>IFERROR(__xludf.DUMMYFUNCTION("""COMPUTED_VALUE"""),5.056267884E9)</f>
        <v>5056267884</v>
      </c>
      <c r="G721" s="43" t="str">
        <f>IFERROR(__xludf.DUMMYFUNCTION("""COMPUTED_VALUE"""),"Turkey")</f>
        <v>Turkey</v>
      </c>
      <c r="H721" s="43" t="str">
        <f>IFERROR(__xludf.DUMMYFUNCTION("""COMPUTED_VALUE"""),"ANKARA")</f>
        <v>ANKARA</v>
      </c>
      <c r="I721" s="43" t="str">
        <f>IFERROR(__xludf.DUMMYFUNCTION("""COMPUTED_VALUE"""),"Romania")</f>
        <v>Romania</v>
      </c>
      <c r="J721" s="43" t="str">
        <f>IFERROR(__xludf.DUMMYFUNCTION("""COMPUTED_VALUE"""),"BUCURESTI")</f>
        <v>BUCURESTI</v>
      </c>
      <c r="K721" s="44" t="str">
        <f>IFERROR(__xludf.DUMMYFUNCTION("""COMPUTED_VALUE"""),"https://expa.aiesec.org/opportunities/1294480")</f>
        <v>https://expa.aiesec.org/opportunities/1294480</v>
      </c>
      <c r="L721" s="43" t="str">
        <f>IFERROR(__xludf.DUMMYFUNCTION("""COMPUTED_VALUE"""),"GV")</f>
        <v>GV</v>
      </c>
      <c r="M721" s="43" t="str">
        <f>IFERROR(__xludf.DUMMYFUNCTION("""COMPUTED_VALUE"""),"short")</f>
        <v>short</v>
      </c>
      <c r="N721" s="45">
        <f>IFERROR(__xludf.DUMMYFUNCTION("""COMPUTED_VALUE"""),45063.0)</f>
        <v>45063</v>
      </c>
      <c r="O721" s="45">
        <f>IFERROR(__xludf.DUMMYFUNCTION("""COMPUTED_VALUE"""),45096.0)</f>
        <v>45096</v>
      </c>
      <c r="P721" s="45">
        <f>IFERROR(__xludf.DUMMYFUNCTION("""COMPUTED_VALUE"""),45138.0)</f>
        <v>45138</v>
      </c>
      <c r="Q721" s="45"/>
      <c r="R721" s="45"/>
      <c r="S721" s="43"/>
      <c r="T721" s="43"/>
      <c r="U721" s="43" t="str">
        <f>IFERROR(__xludf.DUMMYFUNCTION("""COMPUTED_VALUE"""),"Green Leaders")</f>
        <v>Green Leaders</v>
      </c>
      <c r="V721" s="43" t="str">
        <f>IFERROR(__xludf.DUMMYFUNCTION("""COMPUTED_VALUE"""),"ANKARA")</f>
        <v>ANKARA</v>
      </c>
      <c r="W721" s="43" t="str">
        <f>IFERROR(__xludf.DUMMYFUNCTION("""COMPUTED_VALUE"""),"2023-05-08T19:05:49Z")</f>
        <v>2023-05-08T19:05:49Z</v>
      </c>
      <c r="X721" s="43"/>
      <c r="Y721" s="43"/>
      <c r="Z721" s="43"/>
    </row>
    <row r="722" hidden="1">
      <c r="A722" s="43" t="str">
        <f>IFERROR(__xludf.DUMMYFUNCTION("""COMPUTED_VALUE"""),"5248889_1293245")</f>
        <v>5248889_1293245</v>
      </c>
      <c r="B722" s="43" t="str">
        <f>IFERROR(__xludf.DUMMYFUNCTION("""COMPUTED_VALUE"""),"Mert Berke Mintaş")</f>
        <v>Mert Berke Mintaş</v>
      </c>
      <c r="C722" s="43" t="str">
        <f>IFERROR(__xludf.DUMMYFUNCTION("""COMPUTED_VALUE"""),"approved")</f>
        <v>approved</v>
      </c>
      <c r="D722" s="43" t="str">
        <f>IFERROR(__xludf.DUMMYFUNCTION("""COMPUTED_VALUE"""),"No")</f>
        <v>No</v>
      </c>
      <c r="E722" s="43" t="str">
        <f>IFERROR(__xludf.DUMMYFUNCTION("""COMPUTED_VALUE"""),"p_454d65d35afb6512604801e40daf1fae5da91e6a@inbound.aiesec.org")</f>
        <v>p_454d65d35afb6512604801e40daf1fae5da91e6a@inbound.aiesec.org</v>
      </c>
      <c r="F722" s="43"/>
      <c r="G722" s="43" t="str">
        <f>IFERROR(__xludf.DUMMYFUNCTION("""COMPUTED_VALUE"""),"Turkey")</f>
        <v>Turkey</v>
      </c>
      <c r="H722" s="43" t="str">
        <f>IFERROR(__xludf.DUMMYFUNCTION("""COMPUTED_VALUE"""),"ADANA")</f>
        <v>ADANA</v>
      </c>
      <c r="I722" s="43" t="str">
        <f>IFERROR(__xludf.DUMMYFUNCTION("""COMPUTED_VALUE"""),"Germany")</f>
        <v>Germany</v>
      </c>
      <c r="J722" s="43" t="str">
        <f>IFERROR(__xludf.DUMMYFUNCTION("""COMPUTED_VALUE"""),"LUENEBURG")</f>
        <v>LUENEBURG</v>
      </c>
      <c r="K722" s="44" t="str">
        <f>IFERROR(__xludf.DUMMYFUNCTION("""COMPUTED_VALUE"""),"https://expa.aiesec.org/opportunities/1293245")</f>
        <v>https://expa.aiesec.org/opportunities/1293245</v>
      </c>
      <c r="L722" s="43" t="str">
        <f>IFERROR(__xludf.DUMMYFUNCTION("""COMPUTED_VALUE"""),"GV")</f>
        <v>GV</v>
      </c>
      <c r="M722" s="43" t="str">
        <f>IFERROR(__xludf.DUMMYFUNCTION("""COMPUTED_VALUE"""),"short")</f>
        <v>short</v>
      </c>
      <c r="N722" s="45">
        <f>IFERROR(__xludf.DUMMYFUNCTION("""COMPUTED_VALUE"""),45063.0)</f>
        <v>45063</v>
      </c>
      <c r="O722" s="45">
        <f>IFERROR(__xludf.DUMMYFUNCTION("""COMPUTED_VALUE"""),45207.0)</f>
        <v>45207</v>
      </c>
      <c r="P722" s="45">
        <f>IFERROR(__xludf.DUMMYFUNCTION("""COMPUTED_VALUE"""),45249.0)</f>
        <v>45249</v>
      </c>
      <c r="Q722" s="45"/>
      <c r="R722" s="45"/>
      <c r="S722" s="43"/>
      <c r="T722" s="43"/>
      <c r="U722" s="43" t="str">
        <f>IFERROR(__xludf.DUMMYFUNCTION("""COMPUTED_VALUE"""),"Eco City")</f>
        <v>Eco City</v>
      </c>
      <c r="V722" s="43" t="str">
        <f>IFERROR(__xludf.DUMMYFUNCTION("""COMPUTED_VALUE"""),"-")</f>
        <v>-</v>
      </c>
      <c r="W722" s="43" t="str">
        <f>IFERROR(__xludf.DUMMYFUNCTION("""COMPUTED_VALUE"""),"2023-04-25T08:12:00Z")</f>
        <v>2023-04-25T08:12:00Z</v>
      </c>
      <c r="X722" s="43"/>
      <c r="Y722" s="43"/>
      <c r="Z722" s="43"/>
    </row>
    <row r="723" hidden="1">
      <c r="A723" s="43" t="str">
        <f>IFERROR(__xludf.DUMMYFUNCTION("""COMPUTED_VALUE"""),"5262598_1291630")</f>
        <v>5262598_1291630</v>
      </c>
      <c r="B723" s="43" t="str">
        <f>IFERROR(__xludf.DUMMYFUNCTION("""COMPUTED_VALUE"""),"melek Göksu")</f>
        <v>melek Göksu</v>
      </c>
      <c r="C723" s="43" t="str">
        <f>IFERROR(__xludf.DUMMYFUNCTION("""COMPUTED_VALUE"""),"completed")</f>
        <v>completed</v>
      </c>
      <c r="D723" s="43" t="str">
        <f>IFERROR(__xludf.DUMMYFUNCTION("""COMPUTED_VALUE"""),"No")</f>
        <v>No</v>
      </c>
      <c r="E723" s="43" t="str">
        <f>IFERROR(__xludf.DUMMYFUNCTION("""COMPUTED_VALUE"""),"p_1b720812a2209971daec028d672c09e7bda7332b@inbound.aiesec.org")</f>
        <v>p_1b720812a2209971daec028d672c09e7bda7332b@inbound.aiesec.org</v>
      </c>
      <c r="F723" s="43">
        <f>IFERROR(__xludf.DUMMYFUNCTION("""COMPUTED_VALUE"""),5.437846128E9)</f>
        <v>5437846128</v>
      </c>
      <c r="G723" s="43" t="str">
        <f>IFERROR(__xludf.DUMMYFUNCTION("""COMPUTED_VALUE"""),"Turkey")</f>
        <v>Turkey</v>
      </c>
      <c r="H723" s="43" t="str">
        <f>IFERROR(__xludf.DUMMYFUNCTION("""COMPUTED_VALUE"""),"KOCAELI")</f>
        <v>KOCAELI</v>
      </c>
      <c r="I723" s="43" t="str">
        <f>IFERROR(__xludf.DUMMYFUNCTION("""COMPUTED_VALUE"""),"Romania")</f>
        <v>Romania</v>
      </c>
      <c r="J723" s="43" t="str">
        <f>IFERROR(__xludf.DUMMYFUNCTION("""COMPUTED_VALUE"""),"BUCURESTI")</f>
        <v>BUCURESTI</v>
      </c>
      <c r="K723" s="44" t="str">
        <f>IFERROR(__xludf.DUMMYFUNCTION("""COMPUTED_VALUE"""),"https://expa.aiesec.org/opportunities/1291630")</f>
        <v>https://expa.aiesec.org/opportunities/1291630</v>
      </c>
      <c r="L723" s="43" t="str">
        <f>IFERROR(__xludf.DUMMYFUNCTION("""COMPUTED_VALUE"""),"GV")</f>
        <v>GV</v>
      </c>
      <c r="M723" s="43" t="str">
        <f>IFERROR(__xludf.DUMMYFUNCTION("""COMPUTED_VALUE"""),"short")</f>
        <v>short</v>
      </c>
      <c r="N723" s="45">
        <f>IFERROR(__xludf.DUMMYFUNCTION("""COMPUTED_VALUE"""),45064.0)</f>
        <v>45064</v>
      </c>
      <c r="O723" s="45">
        <f>IFERROR(__xludf.DUMMYFUNCTION("""COMPUTED_VALUE"""),45096.0)</f>
        <v>45096</v>
      </c>
      <c r="P723" s="45">
        <f>IFERROR(__xludf.DUMMYFUNCTION("""COMPUTED_VALUE"""),45138.0)</f>
        <v>45138</v>
      </c>
      <c r="Q723" s="45">
        <f>IFERROR(__xludf.DUMMYFUNCTION("""COMPUTED_VALUE"""),45102.0)</f>
        <v>45102</v>
      </c>
      <c r="R723" s="45">
        <f>IFERROR(__xludf.DUMMYFUNCTION("""COMPUTED_VALUE"""),45142.0)</f>
        <v>45142</v>
      </c>
      <c r="S723" s="43"/>
      <c r="T723" s="43"/>
      <c r="U723" s="43" t="str">
        <f>IFERROR(__xludf.DUMMYFUNCTION("""COMPUTED_VALUE"""),"Global Classroom")</f>
        <v>Global Classroom</v>
      </c>
      <c r="V723" s="43" t="str">
        <f>IFERROR(__xludf.DUMMYFUNCTION("""COMPUTED_VALUE"""),"KOCAELI")</f>
        <v>KOCAELI</v>
      </c>
      <c r="W723" s="43" t="str">
        <f>IFERROR(__xludf.DUMMYFUNCTION("""COMPUTED_VALUE"""),"2023-05-17T19:42:02Z")</f>
        <v>2023-05-17T19:42:02Z</v>
      </c>
      <c r="X723" s="43"/>
      <c r="Y723" s="43"/>
      <c r="Z723" s="43"/>
    </row>
    <row r="724" hidden="1">
      <c r="A724" s="43" t="str">
        <f>IFERROR(__xludf.DUMMYFUNCTION("""COMPUTED_VALUE"""),"2302671_1291979")</f>
        <v>2302671_1291979</v>
      </c>
      <c r="B724" s="43" t="str">
        <f>IFERROR(__xludf.DUMMYFUNCTION("""COMPUTED_VALUE"""),"Mert Emrem")</f>
        <v>Mert Emrem</v>
      </c>
      <c r="C724" s="43" t="str">
        <f>IFERROR(__xludf.DUMMYFUNCTION("""COMPUTED_VALUE"""),"completed")</f>
        <v>completed</v>
      </c>
      <c r="D724" s="43" t="str">
        <f>IFERROR(__xludf.DUMMYFUNCTION("""COMPUTED_VALUE"""),"No")</f>
        <v>No</v>
      </c>
      <c r="E724" s="43" t="str">
        <f>IFERROR(__xludf.DUMMYFUNCTION("""COMPUTED_VALUE"""),"p_982e173fd283f0a402da985519c3df421bda6a80@inbound.aiesec.org")</f>
        <v>p_982e173fd283f0a402da985519c3df421bda6a80@inbound.aiesec.org</v>
      </c>
      <c r="F724" s="43">
        <f>IFERROR(__xludf.DUMMYFUNCTION("""COMPUTED_VALUE"""),5.437214692E9)</f>
        <v>5437214692</v>
      </c>
      <c r="G724" s="43" t="str">
        <f>IFERROR(__xludf.DUMMYFUNCTION("""COMPUTED_VALUE"""),"Turkey")</f>
        <v>Turkey</v>
      </c>
      <c r="H724" s="43" t="str">
        <f>IFERROR(__xludf.DUMMYFUNCTION("""COMPUTED_VALUE"""),"İZMİR")</f>
        <v>İZMİR</v>
      </c>
      <c r="I724" s="43" t="str">
        <f>IFERROR(__xludf.DUMMYFUNCTION("""COMPUTED_VALUE"""),"Czech Republic")</f>
        <v>Czech Republic</v>
      </c>
      <c r="J724" s="43" t="str">
        <f>IFERROR(__xludf.DUMMYFUNCTION("""COMPUTED_VALUE"""),"BRNO")</f>
        <v>BRNO</v>
      </c>
      <c r="K724" s="44" t="str">
        <f>IFERROR(__xludf.DUMMYFUNCTION("""COMPUTED_VALUE"""),"https://expa.aiesec.org/opportunities/1291979")</f>
        <v>https://expa.aiesec.org/opportunities/1291979</v>
      </c>
      <c r="L724" s="43" t="str">
        <f>IFERROR(__xludf.DUMMYFUNCTION("""COMPUTED_VALUE"""),"GV")</f>
        <v>GV</v>
      </c>
      <c r="M724" s="43" t="str">
        <f>IFERROR(__xludf.DUMMYFUNCTION("""COMPUTED_VALUE"""),"short")</f>
        <v>short</v>
      </c>
      <c r="N724" s="45">
        <f>IFERROR(__xludf.DUMMYFUNCTION("""COMPUTED_VALUE"""),45064.0)</f>
        <v>45064</v>
      </c>
      <c r="O724" s="45">
        <f>IFERROR(__xludf.DUMMYFUNCTION("""COMPUTED_VALUE"""),45173.0)</f>
        <v>45173</v>
      </c>
      <c r="P724" s="45">
        <f>IFERROR(__xludf.DUMMYFUNCTION("""COMPUTED_VALUE"""),45215.0)</f>
        <v>45215</v>
      </c>
      <c r="Q724" s="45">
        <f>IFERROR(__xludf.DUMMYFUNCTION("""COMPUTED_VALUE"""),45173.0)</f>
        <v>45173</v>
      </c>
      <c r="R724" s="45">
        <f>IFERROR(__xludf.DUMMYFUNCTION("""COMPUTED_VALUE"""),45215.0)</f>
        <v>45215</v>
      </c>
      <c r="S724" s="43"/>
      <c r="T724" s="43"/>
      <c r="U724" s="43" t="str">
        <f>IFERROR(__xludf.DUMMYFUNCTION("""COMPUTED_VALUE"""),"Youth 4 Impact")</f>
        <v>Youth 4 Impact</v>
      </c>
      <c r="V724" s="43" t="str">
        <f>IFERROR(__xludf.DUMMYFUNCTION("""COMPUTED_VALUE"""),"IZMIR")</f>
        <v>IZMIR</v>
      </c>
      <c r="W724" s="43" t="str">
        <f>IFERROR(__xludf.DUMMYFUNCTION("""COMPUTED_VALUE"""),"2018-05-15T13:29:05Z")</f>
        <v>2018-05-15T13:29:05Z</v>
      </c>
      <c r="X724" s="43"/>
      <c r="Y724" s="43"/>
      <c r="Z724" s="43"/>
    </row>
    <row r="725" hidden="1">
      <c r="A725" s="43" t="str">
        <f>IFERROR(__xludf.DUMMYFUNCTION("""COMPUTED_VALUE"""),"5260651_1295264")</f>
        <v>5260651_1295264</v>
      </c>
      <c r="B725" s="43" t="str">
        <f>IFERROR(__xludf.DUMMYFUNCTION("""COMPUTED_VALUE"""),"Pınar Sena Kayabaşı")</f>
        <v>Pınar Sena Kayabaşı</v>
      </c>
      <c r="C725" s="43" t="str">
        <f>IFERROR(__xludf.DUMMYFUNCTION("""COMPUTED_VALUE"""),"completed")</f>
        <v>completed</v>
      </c>
      <c r="D725" s="43" t="str">
        <f>IFERROR(__xludf.DUMMYFUNCTION("""COMPUTED_VALUE"""),"No")</f>
        <v>No</v>
      </c>
      <c r="E725" s="43" t="str">
        <f>IFERROR(__xludf.DUMMYFUNCTION("""COMPUTED_VALUE"""),"p_dfcf56cc5e45c806b8f29b3ddbac354c380ad2cb@inbound.aiesec.org")</f>
        <v>p_dfcf56cc5e45c806b8f29b3ddbac354c380ad2cb@inbound.aiesec.org</v>
      </c>
      <c r="F725" s="43">
        <f>IFERROR(__xludf.DUMMYFUNCTION("""COMPUTED_VALUE"""),5.467430409E9)</f>
        <v>5467430409</v>
      </c>
      <c r="G725" s="43" t="str">
        <f>IFERROR(__xludf.DUMMYFUNCTION("""COMPUTED_VALUE"""),"Turkey")</f>
        <v>Turkey</v>
      </c>
      <c r="H725" s="43" t="str">
        <f>IFERROR(__xludf.DUMMYFUNCTION("""COMPUTED_VALUE"""),"KOCAELI")</f>
        <v>KOCAELI</v>
      </c>
      <c r="I725" s="43" t="str">
        <f>IFERROR(__xludf.DUMMYFUNCTION("""COMPUTED_VALUE"""),"Egypt")</f>
        <v>Egypt</v>
      </c>
      <c r="J725" s="43" t="str">
        <f>IFERROR(__xludf.DUMMYFUNCTION("""COMPUTED_VALUE"""),"AUC")</f>
        <v>AUC</v>
      </c>
      <c r="K725" s="44" t="str">
        <f>IFERROR(__xludf.DUMMYFUNCTION("""COMPUTED_VALUE"""),"https://expa.aiesec.org/opportunities/1295264")</f>
        <v>https://expa.aiesec.org/opportunities/1295264</v>
      </c>
      <c r="L725" s="43" t="str">
        <f>IFERROR(__xludf.DUMMYFUNCTION("""COMPUTED_VALUE"""),"GV")</f>
        <v>GV</v>
      </c>
      <c r="M725" s="43" t="str">
        <f>IFERROR(__xludf.DUMMYFUNCTION("""COMPUTED_VALUE"""),"short")</f>
        <v>short</v>
      </c>
      <c r="N725" s="45">
        <f>IFERROR(__xludf.DUMMYFUNCTION("""COMPUTED_VALUE"""),45065.0)</f>
        <v>45065</v>
      </c>
      <c r="O725" s="45">
        <f>IFERROR(__xludf.DUMMYFUNCTION("""COMPUTED_VALUE"""),45131.0)</f>
        <v>45131</v>
      </c>
      <c r="P725" s="45">
        <f>IFERROR(__xludf.DUMMYFUNCTION("""COMPUTED_VALUE"""),45173.0)</f>
        <v>45173</v>
      </c>
      <c r="Q725" s="45">
        <f>IFERROR(__xludf.DUMMYFUNCTION("""COMPUTED_VALUE"""),45130.0)</f>
        <v>45130</v>
      </c>
      <c r="R725" s="45">
        <f>IFERROR(__xludf.DUMMYFUNCTION("""COMPUTED_VALUE"""),45173.0)</f>
        <v>45173</v>
      </c>
      <c r="S725" s="43"/>
      <c r="T725" s="43"/>
      <c r="U725" s="43" t="str">
        <f>IFERROR(__xludf.DUMMYFUNCTION("""COMPUTED_VALUE"""),"Global Classroom")</f>
        <v>Global Classroom</v>
      </c>
      <c r="V725" s="43" t="str">
        <f>IFERROR(__xludf.DUMMYFUNCTION("""COMPUTED_VALUE"""),"ISTANBUL - BAKIRKOY")</f>
        <v>ISTANBUL - BAKIRKOY</v>
      </c>
      <c r="W725" s="43" t="str">
        <f>IFERROR(__xludf.DUMMYFUNCTION("""COMPUTED_VALUE"""),"2023-05-13T19:12:42Z")</f>
        <v>2023-05-13T19:12:42Z</v>
      </c>
      <c r="X725" s="43"/>
      <c r="Y725" s="43"/>
      <c r="Z725" s="43"/>
    </row>
    <row r="726" hidden="1">
      <c r="A726" s="43" t="str">
        <f>IFERROR(__xludf.DUMMYFUNCTION("""COMPUTED_VALUE"""),"5259981_1295046")</f>
        <v>5259981_1295046</v>
      </c>
      <c r="B726" s="43" t="str">
        <f>IFERROR(__xludf.DUMMYFUNCTION("""COMPUTED_VALUE"""),"Mustafa Efe Tamer")</f>
        <v>Mustafa Efe Tamer</v>
      </c>
      <c r="C726" s="43" t="str">
        <f>IFERROR(__xludf.DUMMYFUNCTION("""COMPUTED_VALUE"""),"completed")</f>
        <v>completed</v>
      </c>
      <c r="D726" s="43" t="str">
        <f>IFERROR(__xludf.DUMMYFUNCTION("""COMPUTED_VALUE"""),"No")</f>
        <v>No</v>
      </c>
      <c r="E726" s="43" t="str">
        <f>IFERROR(__xludf.DUMMYFUNCTION("""COMPUTED_VALUE"""),"p_d532b379ef85eafaa399a595290b0ea18bc0a46d@inbound.aiesec.org")</f>
        <v>p_d532b379ef85eafaa399a595290b0ea18bc0a46d@inbound.aiesec.org</v>
      </c>
      <c r="F726" s="43">
        <f>IFERROR(__xludf.DUMMYFUNCTION("""COMPUTED_VALUE"""),5.510245696E9)</f>
        <v>5510245696</v>
      </c>
      <c r="G726" s="43" t="str">
        <f>IFERROR(__xludf.DUMMYFUNCTION("""COMPUTED_VALUE"""),"Turkey")</f>
        <v>Turkey</v>
      </c>
      <c r="H726" s="43" t="str">
        <f>IFERROR(__xludf.DUMMYFUNCTION("""COMPUTED_VALUE"""),"KOCAELI")</f>
        <v>KOCAELI</v>
      </c>
      <c r="I726" s="43" t="str">
        <f>IFERROR(__xludf.DUMMYFUNCTION("""COMPUTED_VALUE"""),"Egypt")</f>
        <v>Egypt</v>
      </c>
      <c r="J726" s="43" t="str">
        <f>IFERROR(__xludf.DUMMYFUNCTION("""COMPUTED_VALUE"""),"AUC")</f>
        <v>AUC</v>
      </c>
      <c r="K726" s="44" t="str">
        <f>IFERROR(__xludf.DUMMYFUNCTION("""COMPUTED_VALUE"""),"https://expa.aiesec.org/opportunities/1295046")</f>
        <v>https://expa.aiesec.org/opportunities/1295046</v>
      </c>
      <c r="L726" s="43" t="str">
        <f>IFERROR(__xludf.DUMMYFUNCTION("""COMPUTED_VALUE"""),"GV")</f>
        <v>GV</v>
      </c>
      <c r="M726" s="43" t="str">
        <f>IFERROR(__xludf.DUMMYFUNCTION("""COMPUTED_VALUE"""),"short")</f>
        <v>short</v>
      </c>
      <c r="N726" s="45">
        <f>IFERROR(__xludf.DUMMYFUNCTION("""COMPUTED_VALUE"""),45065.0)</f>
        <v>45065</v>
      </c>
      <c r="O726" s="45">
        <f>IFERROR(__xludf.DUMMYFUNCTION("""COMPUTED_VALUE"""),45131.0)</f>
        <v>45131</v>
      </c>
      <c r="P726" s="45">
        <f>IFERROR(__xludf.DUMMYFUNCTION("""COMPUTED_VALUE"""),45173.0)</f>
        <v>45173</v>
      </c>
      <c r="Q726" s="45">
        <f>IFERROR(__xludf.DUMMYFUNCTION("""COMPUTED_VALUE"""),45130.0)</f>
        <v>45130</v>
      </c>
      <c r="R726" s="45">
        <f>IFERROR(__xludf.DUMMYFUNCTION("""COMPUTED_VALUE"""),45173.0)</f>
        <v>45173</v>
      </c>
      <c r="S726" s="43"/>
      <c r="T726" s="43"/>
      <c r="U726" s="43" t="str">
        <f>IFERROR(__xludf.DUMMYFUNCTION("""COMPUTED_VALUE"""),"Global Classroom")</f>
        <v>Global Classroom</v>
      </c>
      <c r="V726" s="43" t="str">
        <f>IFERROR(__xludf.DUMMYFUNCTION("""COMPUTED_VALUE"""),"ISTANBUL ASIA")</f>
        <v>ISTANBUL ASIA</v>
      </c>
      <c r="W726" s="43" t="str">
        <f>IFERROR(__xludf.DUMMYFUNCTION("""COMPUTED_VALUE"""),"2023-05-12T13:26:53Z")</f>
        <v>2023-05-12T13:26:53Z</v>
      </c>
      <c r="X726" s="43"/>
      <c r="Y726" s="43"/>
      <c r="Z726" s="43"/>
    </row>
    <row r="727" hidden="1">
      <c r="A727" s="43" t="str">
        <f>IFERROR(__xludf.DUMMYFUNCTION("""COMPUTED_VALUE"""),"5224045_1292571")</f>
        <v>5224045_1292571</v>
      </c>
      <c r="B727" s="43" t="str">
        <f>IFERROR(__xludf.DUMMYFUNCTION("""COMPUTED_VALUE"""),"Onur Mutiağaoğlu")</f>
        <v>Onur Mutiağaoğlu</v>
      </c>
      <c r="C727" s="43" t="str">
        <f>IFERROR(__xludf.DUMMYFUNCTION("""COMPUTED_VALUE"""),"completed")</f>
        <v>completed</v>
      </c>
      <c r="D727" s="43" t="str">
        <f>IFERROR(__xludf.DUMMYFUNCTION("""COMPUTED_VALUE"""),"No")</f>
        <v>No</v>
      </c>
      <c r="E727" s="43" t="str">
        <f>IFERROR(__xludf.DUMMYFUNCTION("""COMPUTED_VALUE"""),"p_df7c3824f80b15184e1d9da89224d80dcf85d7d5@inbound.aiesec.org")</f>
        <v>p_df7c3824f80b15184e1d9da89224d80dcf85d7d5@inbound.aiesec.org</v>
      </c>
      <c r="F727" s="43"/>
      <c r="G727" s="43" t="str">
        <f>IFERROR(__xludf.DUMMYFUNCTION("""COMPUTED_VALUE"""),"Turkey")</f>
        <v>Turkey</v>
      </c>
      <c r="H727" s="43" t="str">
        <f>IFERROR(__xludf.DUMMYFUNCTION("""COMPUTED_VALUE"""),"ANKARA")</f>
        <v>ANKARA</v>
      </c>
      <c r="I727" s="43" t="str">
        <f>IFERROR(__xludf.DUMMYFUNCTION("""COMPUTED_VALUE"""),"Lithuania")</f>
        <v>Lithuania</v>
      </c>
      <c r="J727" s="43" t="str">
        <f>IFERROR(__xludf.DUMMYFUNCTION("""COMPUTED_VALUE"""),"VILNIUS")</f>
        <v>VILNIUS</v>
      </c>
      <c r="K727" s="44" t="str">
        <f>IFERROR(__xludf.DUMMYFUNCTION("""COMPUTED_VALUE"""),"https://expa.aiesec.org/opportunities/1292571")</f>
        <v>https://expa.aiesec.org/opportunities/1292571</v>
      </c>
      <c r="L727" s="43" t="str">
        <f>IFERROR(__xludf.DUMMYFUNCTION("""COMPUTED_VALUE"""),"GV")</f>
        <v>GV</v>
      </c>
      <c r="M727" s="43" t="str">
        <f>IFERROR(__xludf.DUMMYFUNCTION("""COMPUTED_VALUE"""),"short")</f>
        <v>short</v>
      </c>
      <c r="N727" s="45">
        <f>IFERROR(__xludf.DUMMYFUNCTION("""COMPUTED_VALUE"""),45065.0)</f>
        <v>45065</v>
      </c>
      <c r="O727" s="45">
        <f>IFERROR(__xludf.DUMMYFUNCTION("""COMPUTED_VALUE"""),45108.0)</f>
        <v>45108</v>
      </c>
      <c r="P727" s="45">
        <f>IFERROR(__xludf.DUMMYFUNCTION("""COMPUTED_VALUE"""),45150.0)</f>
        <v>45150</v>
      </c>
      <c r="Q727" s="45">
        <f>IFERROR(__xludf.DUMMYFUNCTION("""COMPUTED_VALUE"""),45108.0)</f>
        <v>45108</v>
      </c>
      <c r="R727" s="45">
        <f>IFERROR(__xludf.DUMMYFUNCTION("""COMPUTED_VALUE"""),45150.0)</f>
        <v>45150</v>
      </c>
      <c r="S727" s="43"/>
      <c r="T727" s="43"/>
      <c r="U727" s="43" t="str">
        <f>IFERROR(__xludf.DUMMYFUNCTION("""COMPUTED_VALUE"""),"Explorer")</f>
        <v>Explorer</v>
      </c>
      <c r="V727" s="43" t="str">
        <f>IFERROR(__xludf.DUMMYFUNCTION("""COMPUTED_VALUE"""),"ANKARA")</f>
        <v>ANKARA</v>
      </c>
      <c r="W727" s="43" t="str">
        <f>IFERROR(__xludf.DUMMYFUNCTION("""COMPUTED_VALUE"""),"2023-03-22T14:48:57Z")</f>
        <v>2023-03-22T14:48:57Z</v>
      </c>
      <c r="X727" s="43"/>
      <c r="Y727" s="43"/>
      <c r="Z727" s="43"/>
    </row>
    <row r="728" hidden="1">
      <c r="A728" s="43" t="str">
        <f>IFERROR(__xludf.DUMMYFUNCTION("""COMPUTED_VALUE"""),"5255234_1294207")</f>
        <v>5255234_1294207</v>
      </c>
      <c r="B728" s="43" t="str">
        <f>IFERROR(__xludf.DUMMYFUNCTION("""COMPUTED_VALUE"""),"sinem güler")</f>
        <v>sinem güler</v>
      </c>
      <c r="C728" s="43" t="str">
        <f>IFERROR(__xludf.DUMMYFUNCTION("""COMPUTED_VALUE"""),"approved")</f>
        <v>approved</v>
      </c>
      <c r="D728" s="43" t="str">
        <f>IFERROR(__xludf.DUMMYFUNCTION("""COMPUTED_VALUE"""),"No")</f>
        <v>No</v>
      </c>
      <c r="E728" s="43" t="str">
        <f>IFERROR(__xludf.DUMMYFUNCTION("""COMPUTED_VALUE"""),"p_17cf118e31a1c995c3694e5b0a772b10d0d4ff45@inbound.aiesec.org")</f>
        <v>p_17cf118e31a1c995c3694e5b0a772b10d0d4ff45@inbound.aiesec.org</v>
      </c>
      <c r="F728" s="43">
        <f>IFERROR(__xludf.DUMMYFUNCTION("""COMPUTED_VALUE"""),5.315848199E9)</f>
        <v>5315848199</v>
      </c>
      <c r="G728" s="43" t="str">
        <f>IFERROR(__xludf.DUMMYFUNCTION("""COMPUTED_VALUE"""),"Turkey")</f>
        <v>Turkey</v>
      </c>
      <c r="H728" s="43" t="str">
        <f>IFERROR(__xludf.DUMMYFUNCTION("""COMPUTED_VALUE"""),"DENIZLI")</f>
        <v>DENIZLI</v>
      </c>
      <c r="I728" s="43" t="str">
        <f>IFERROR(__xludf.DUMMYFUNCTION("""COMPUTED_VALUE"""),"Romania")</f>
        <v>Romania</v>
      </c>
      <c r="J728" s="43" t="str">
        <f>IFERROR(__xludf.DUMMYFUNCTION("""COMPUTED_VALUE"""),"BUCURESTI")</f>
        <v>BUCURESTI</v>
      </c>
      <c r="K728" s="44" t="str">
        <f>IFERROR(__xludf.DUMMYFUNCTION("""COMPUTED_VALUE"""),"https://expa.aiesec.org/opportunities/1294207")</f>
        <v>https://expa.aiesec.org/opportunities/1294207</v>
      </c>
      <c r="L728" s="43" t="str">
        <f>IFERROR(__xludf.DUMMYFUNCTION("""COMPUTED_VALUE"""),"GV")</f>
        <v>GV</v>
      </c>
      <c r="M728" s="43" t="str">
        <f>IFERROR(__xludf.DUMMYFUNCTION("""COMPUTED_VALUE"""),"short")</f>
        <v>short</v>
      </c>
      <c r="N728" s="45">
        <f>IFERROR(__xludf.DUMMYFUNCTION("""COMPUTED_VALUE"""),45065.0)</f>
        <v>45065</v>
      </c>
      <c r="O728" s="45">
        <f>IFERROR(__xludf.DUMMYFUNCTION("""COMPUTED_VALUE"""),45096.0)</f>
        <v>45096</v>
      </c>
      <c r="P728" s="45">
        <f>IFERROR(__xludf.DUMMYFUNCTION("""COMPUTED_VALUE"""),45138.0)</f>
        <v>45138</v>
      </c>
      <c r="Q728" s="45"/>
      <c r="R728" s="45"/>
      <c r="S728" s="43"/>
      <c r="T728" s="43"/>
      <c r="U728" s="43" t="str">
        <f>IFERROR(__xludf.DUMMYFUNCTION("""COMPUTED_VALUE"""),"Skill Up!")</f>
        <v>Skill Up!</v>
      </c>
      <c r="V728" s="43" t="str">
        <f>IFERROR(__xludf.DUMMYFUNCTION("""COMPUTED_VALUE"""),"DENIZLI")</f>
        <v>DENIZLI</v>
      </c>
      <c r="W728" s="43" t="str">
        <f>IFERROR(__xludf.DUMMYFUNCTION("""COMPUTED_VALUE"""),"2023-05-03T16:01:18Z")</f>
        <v>2023-05-03T16:01:18Z</v>
      </c>
      <c r="X728" s="43"/>
      <c r="Y728" s="43"/>
      <c r="Z728" s="43"/>
    </row>
    <row r="729" hidden="1">
      <c r="A729" s="43" t="str">
        <f>IFERROR(__xludf.DUMMYFUNCTION("""COMPUTED_VALUE"""),"4856162_1294708")</f>
        <v>4856162_1294708</v>
      </c>
      <c r="B729" s="43" t="str">
        <f>IFERROR(__xludf.DUMMYFUNCTION("""COMPUTED_VALUE"""),"idil öztürk")</f>
        <v>idil öztürk</v>
      </c>
      <c r="C729" s="43" t="str">
        <f>IFERROR(__xludf.DUMMYFUNCTION("""COMPUTED_VALUE"""),"completed")</f>
        <v>completed</v>
      </c>
      <c r="D729" s="43" t="str">
        <f>IFERROR(__xludf.DUMMYFUNCTION("""COMPUTED_VALUE"""),"No")</f>
        <v>No</v>
      </c>
      <c r="E729" s="43" t="str">
        <f>IFERROR(__xludf.DUMMYFUNCTION("""COMPUTED_VALUE"""),"p_07a005bbe20e1eeea9c289a4b4c2b31644e3521a@inbound.aiesec.org")</f>
        <v>p_07a005bbe20e1eeea9c289a4b4c2b31644e3521a@inbound.aiesec.org</v>
      </c>
      <c r="F729" s="43">
        <f>IFERROR(__xludf.DUMMYFUNCTION("""COMPUTED_VALUE"""),5.358321949E9)</f>
        <v>5358321949</v>
      </c>
      <c r="G729" s="43" t="str">
        <f>IFERROR(__xludf.DUMMYFUNCTION("""COMPUTED_VALUE"""),"Turkey")</f>
        <v>Turkey</v>
      </c>
      <c r="H729" s="43" t="str">
        <f>IFERROR(__xludf.DUMMYFUNCTION("""COMPUTED_VALUE"""),"ISTANBUL ASIA")</f>
        <v>ISTANBUL ASIA</v>
      </c>
      <c r="I729" s="43" t="str">
        <f>IFERROR(__xludf.DUMMYFUNCTION("""COMPUTED_VALUE"""),"Serbia")</f>
        <v>Serbia</v>
      </c>
      <c r="J729" s="43" t="str">
        <f>IFERROR(__xludf.DUMMYFUNCTION("""COMPUTED_VALUE"""),"NOVI SAD")</f>
        <v>NOVI SAD</v>
      </c>
      <c r="K729" s="44" t="str">
        <f>IFERROR(__xludf.DUMMYFUNCTION("""COMPUTED_VALUE"""),"https://expa.aiesec.org/opportunities/1294708")</f>
        <v>https://expa.aiesec.org/opportunities/1294708</v>
      </c>
      <c r="L729" s="43" t="str">
        <f>IFERROR(__xludf.DUMMYFUNCTION("""COMPUTED_VALUE"""),"GV")</f>
        <v>GV</v>
      </c>
      <c r="M729" s="43" t="str">
        <f>IFERROR(__xludf.DUMMYFUNCTION("""COMPUTED_VALUE"""),"short")</f>
        <v>short</v>
      </c>
      <c r="N729" s="45">
        <f>IFERROR(__xludf.DUMMYFUNCTION("""COMPUTED_VALUE"""),45065.0)</f>
        <v>45065</v>
      </c>
      <c r="O729" s="45">
        <f>IFERROR(__xludf.DUMMYFUNCTION("""COMPUTED_VALUE"""),45130.0)</f>
        <v>45130</v>
      </c>
      <c r="P729" s="45">
        <f>IFERROR(__xludf.DUMMYFUNCTION("""COMPUTED_VALUE"""),45172.0)</f>
        <v>45172</v>
      </c>
      <c r="Q729" s="45">
        <f>IFERROR(__xludf.DUMMYFUNCTION("""COMPUTED_VALUE"""),45130.0)</f>
        <v>45130</v>
      </c>
      <c r="R729" s="45">
        <f>IFERROR(__xludf.DUMMYFUNCTION("""COMPUTED_VALUE"""),45172.0)</f>
        <v>45172</v>
      </c>
      <c r="S729" s="43"/>
      <c r="T729" s="43"/>
      <c r="U729" s="43" t="str">
        <f>IFERROR(__xludf.DUMMYFUNCTION("""COMPUTED_VALUE"""),"Global Classroom")</f>
        <v>Global Classroom</v>
      </c>
      <c r="V729" s="43" t="str">
        <f>IFERROR(__xludf.DUMMYFUNCTION("""COMPUTED_VALUE"""),"ISTANBUL ASIA")</f>
        <v>ISTANBUL ASIA</v>
      </c>
      <c r="W729" s="43" t="str">
        <f>IFERROR(__xludf.DUMMYFUNCTION("""COMPUTED_VALUE"""),"2021-12-25T21:14:39Z")</f>
        <v>2021-12-25T21:14:39Z</v>
      </c>
      <c r="X729" s="43"/>
      <c r="Y729" s="43"/>
      <c r="Z729" s="43"/>
    </row>
    <row r="730" hidden="1">
      <c r="A730" s="43" t="str">
        <f>IFERROR(__xludf.DUMMYFUNCTION("""COMPUTED_VALUE"""),"5262623_1286553")</f>
        <v>5262623_1286553</v>
      </c>
      <c r="B730" s="43" t="str">
        <f>IFERROR(__xludf.DUMMYFUNCTION("""COMPUTED_VALUE"""),"Eylül Dilara Üner")</f>
        <v>Eylül Dilara Üner</v>
      </c>
      <c r="C730" s="43" t="str">
        <f>IFERROR(__xludf.DUMMYFUNCTION("""COMPUTED_VALUE"""),"completed")</f>
        <v>completed</v>
      </c>
      <c r="D730" s="43" t="str">
        <f>IFERROR(__xludf.DUMMYFUNCTION("""COMPUTED_VALUE"""),"No")</f>
        <v>No</v>
      </c>
      <c r="E730" s="43" t="str">
        <f>IFERROR(__xludf.DUMMYFUNCTION("""COMPUTED_VALUE"""),"p_f4798274ee91b272a1f4b76aa7d50556182915f4@inbound.aiesec.org")</f>
        <v>p_f4798274ee91b272a1f4b76aa7d50556182915f4@inbound.aiesec.org</v>
      </c>
      <c r="F730" s="43">
        <f>IFERROR(__xludf.DUMMYFUNCTION("""COMPUTED_VALUE"""),5.536508977E9)</f>
        <v>5536508977</v>
      </c>
      <c r="G730" s="43" t="str">
        <f>IFERROR(__xludf.DUMMYFUNCTION("""COMPUTED_VALUE"""),"Turkey")</f>
        <v>Turkey</v>
      </c>
      <c r="H730" s="43" t="str">
        <f>IFERROR(__xludf.DUMMYFUNCTION("""COMPUTED_VALUE"""),"ISTANBUL")</f>
        <v>ISTANBUL</v>
      </c>
      <c r="I730" s="43" t="str">
        <f>IFERROR(__xludf.DUMMYFUNCTION("""COMPUTED_VALUE"""),"Sri Lanka")</f>
        <v>Sri Lanka</v>
      </c>
      <c r="J730" s="43" t="str">
        <f>IFERROR(__xludf.DUMMYFUNCTION("""COMPUTED_VALUE"""),"COLOMBO SOUTH")</f>
        <v>COLOMBO SOUTH</v>
      </c>
      <c r="K730" s="44" t="str">
        <f>IFERROR(__xludf.DUMMYFUNCTION("""COMPUTED_VALUE"""),"https://expa.aiesec.org/opportunities/1286553")</f>
        <v>https://expa.aiesec.org/opportunities/1286553</v>
      </c>
      <c r="L730" s="43" t="str">
        <f>IFERROR(__xludf.DUMMYFUNCTION("""COMPUTED_VALUE"""),"GV")</f>
        <v>GV</v>
      </c>
      <c r="M730" s="43" t="str">
        <f>IFERROR(__xludf.DUMMYFUNCTION("""COMPUTED_VALUE"""),"short")</f>
        <v>short</v>
      </c>
      <c r="N730" s="45">
        <f>IFERROR(__xludf.DUMMYFUNCTION("""COMPUTED_VALUE"""),45066.0)</f>
        <v>45066</v>
      </c>
      <c r="O730" s="45">
        <f>IFERROR(__xludf.DUMMYFUNCTION("""COMPUTED_VALUE"""),45102.0)</f>
        <v>45102</v>
      </c>
      <c r="P730" s="45">
        <f>IFERROR(__xludf.DUMMYFUNCTION("""COMPUTED_VALUE"""),45144.0)</f>
        <v>45144</v>
      </c>
      <c r="Q730" s="45">
        <f>IFERROR(__xludf.DUMMYFUNCTION("""COMPUTED_VALUE"""),45108.0)</f>
        <v>45108</v>
      </c>
      <c r="R730" s="45">
        <f>IFERROR(__xludf.DUMMYFUNCTION("""COMPUTED_VALUE"""),45148.0)</f>
        <v>45148</v>
      </c>
      <c r="S730" s="43"/>
      <c r="T730" s="43"/>
      <c r="U730" s="43" t="str">
        <f>IFERROR(__xludf.DUMMYFUNCTION("""COMPUTED_VALUE"""),"Global Classroom")</f>
        <v>Global Classroom</v>
      </c>
      <c r="V730" s="43" t="str">
        <f>IFERROR(__xludf.DUMMYFUNCTION("""COMPUTED_VALUE"""),"ISTANBUL - BEYOGLU")</f>
        <v>ISTANBUL - BEYOGLU</v>
      </c>
      <c r="W730" s="43" t="str">
        <f>IFERROR(__xludf.DUMMYFUNCTION("""COMPUTED_VALUE"""),"2023-05-17T21:19:04Z")</f>
        <v>2023-05-17T21:19:04Z</v>
      </c>
      <c r="X730" s="43"/>
      <c r="Y730" s="43"/>
      <c r="Z730" s="43"/>
    </row>
    <row r="731" hidden="1">
      <c r="A731" s="43" t="str">
        <f>IFERROR(__xludf.DUMMYFUNCTION("""COMPUTED_VALUE"""),"5242168_1293685")</f>
        <v>5242168_1293685</v>
      </c>
      <c r="B731" s="43" t="str">
        <f>IFERROR(__xludf.DUMMYFUNCTION("""COMPUTED_VALUE"""),"Gökçe Arya Kerzi")</f>
        <v>Gökçe Arya Kerzi</v>
      </c>
      <c r="C731" s="43" t="str">
        <f>IFERROR(__xludf.DUMMYFUNCTION("""COMPUTED_VALUE"""),"approved")</f>
        <v>approved</v>
      </c>
      <c r="D731" s="43" t="str">
        <f>IFERROR(__xludf.DUMMYFUNCTION("""COMPUTED_VALUE"""),"No")</f>
        <v>No</v>
      </c>
      <c r="E731" s="43" t="str">
        <f>IFERROR(__xludf.DUMMYFUNCTION("""COMPUTED_VALUE"""),"p_c0707340b6071e87a2e366c11c018540a2bacf78@inbound.aiesec.org")</f>
        <v>p_c0707340b6071e87a2e366c11c018540a2bacf78@inbound.aiesec.org</v>
      </c>
      <c r="F731" s="43">
        <f>IFERROR(__xludf.DUMMYFUNCTION("""COMPUTED_VALUE"""),5.352748105E9)</f>
        <v>5352748105</v>
      </c>
      <c r="G731" s="43" t="str">
        <f>IFERROR(__xludf.DUMMYFUNCTION("""COMPUTED_VALUE"""),"Turkey")</f>
        <v>Turkey</v>
      </c>
      <c r="H731" s="43" t="str">
        <f>IFERROR(__xludf.DUMMYFUNCTION("""COMPUTED_VALUE"""),"ISTANBUL")</f>
        <v>ISTANBUL</v>
      </c>
      <c r="I731" s="43" t="str">
        <f>IFERROR(__xludf.DUMMYFUNCTION("""COMPUTED_VALUE"""),"Sri Lanka")</f>
        <v>Sri Lanka</v>
      </c>
      <c r="J731" s="43" t="str">
        <f>IFERROR(__xludf.DUMMYFUNCTION("""COMPUTED_VALUE"""),"Ruhuna")</f>
        <v>Ruhuna</v>
      </c>
      <c r="K731" s="44" t="str">
        <f>IFERROR(__xludf.DUMMYFUNCTION("""COMPUTED_VALUE"""),"https://expa.aiesec.org/opportunities/1293685")</f>
        <v>https://expa.aiesec.org/opportunities/1293685</v>
      </c>
      <c r="L731" s="43" t="str">
        <f>IFERROR(__xludf.DUMMYFUNCTION("""COMPUTED_VALUE"""),"GV")</f>
        <v>GV</v>
      </c>
      <c r="M731" s="43" t="str">
        <f>IFERROR(__xludf.DUMMYFUNCTION("""COMPUTED_VALUE"""),"short")</f>
        <v>short</v>
      </c>
      <c r="N731" s="45">
        <f>IFERROR(__xludf.DUMMYFUNCTION("""COMPUTED_VALUE"""),45066.0)</f>
        <v>45066</v>
      </c>
      <c r="O731" s="45">
        <f>IFERROR(__xludf.DUMMYFUNCTION("""COMPUTED_VALUE"""),45110.0)</f>
        <v>45110</v>
      </c>
      <c r="P731" s="45">
        <f>IFERROR(__xludf.DUMMYFUNCTION("""COMPUTED_VALUE"""),45152.0)</f>
        <v>45152</v>
      </c>
      <c r="Q731" s="45"/>
      <c r="R731" s="45"/>
      <c r="S731" s="43"/>
      <c r="T731" s="43"/>
      <c r="U731" s="43" t="str">
        <f>IFERROR(__xludf.DUMMYFUNCTION("""COMPUTED_VALUE"""),"Global Classroom")</f>
        <v>Global Classroom</v>
      </c>
      <c r="V731" s="43" t="str">
        <f>IFERROR(__xludf.DUMMYFUNCTION("""COMPUTED_VALUE"""),"ISTANBUL - BEYOGLU")</f>
        <v>ISTANBUL - BEYOGLU</v>
      </c>
      <c r="W731" s="43" t="str">
        <f>IFERROR(__xludf.DUMMYFUNCTION("""COMPUTED_VALUE"""),"2023-04-14T17:28:48Z")</f>
        <v>2023-04-14T17:28:48Z</v>
      </c>
      <c r="X731" s="43"/>
      <c r="Y731" s="43"/>
      <c r="Z731" s="43"/>
    </row>
    <row r="732" hidden="1">
      <c r="A732" s="43" t="str">
        <f>IFERROR(__xludf.DUMMYFUNCTION("""COMPUTED_VALUE"""),"5264257_1290024")</f>
        <v>5264257_1290024</v>
      </c>
      <c r="B732" s="43" t="str">
        <f>IFERROR(__xludf.DUMMYFUNCTION("""COMPUTED_VALUE"""),"Ayşe Betül Avcu")</f>
        <v>Ayşe Betül Avcu</v>
      </c>
      <c r="C732" s="43" t="str">
        <f>IFERROR(__xludf.DUMMYFUNCTION("""COMPUTED_VALUE"""),"approved")</f>
        <v>approved</v>
      </c>
      <c r="D732" s="43" t="str">
        <f>IFERROR(__xludf.DUMMYFUNCTION("""COMPUTED_VALUE"""),"No")</f>
        <v>No</v>
      </c>
      <c r="E732" s="43" t="str">
        <f>IFERROR(__xludf.DUMMYFUNCTION("""COMPUTED_VALUE"""),"p_4bafa0a431c0a10ad026067a5f632536b5840efb@inbound.aiesec.org")</f>
        <v>p_4bafa0a431c0a10ad026067a5f632536b5840efb@inbound.aiesec.org</v>
      </c>
      <c r="F732" s="43">
        <f>IFERROR(__xludf.DUMMYFUNCTION("""COMPUTED_VALUE"""),5.550792937E9)</f>
        <v>5550792937</v>
      </c>
      <c r="G732" s="43" t="str">
        <f>IFERROR(__xludf.DUMMYFUNCTION("""COMPUTED_VALUE"""),"Turkey")</f>
        <v>Turkey</v>
      </c>
      <c r="H732" s="43" t="str">
        <f>IFERROR(__xludf.DUMMYFUNCTION("""COMPUTED_VALUE"""),"ISTANBUL")</f>
        <v>ISTANBUL</v>
      </c>
      <c r="I732" s="43" t="str">
        <f>IFERROR(__xludf.DUMMYFUNCTION("""COMPUTED_VALUE"""),"Egypt")</f>
        <v>Egypt</v>
      </c>
      <c r="J732" s="43" t="str">
        <f>IFERROR(__xludf.DUMMYFUNCTION("""COMPUTED_VALUE"""),"Ain Shams University")</f>
        <v>Ain Shams University</v>
      </c>
      <c r="K732" s="44" t="str">
        <f>IFERROR(__xludf.DUMMYFUNCTION("""COMPUTED_VALUE"""),"https://expa.aiesec.org/opportunities/1290024")</f>
        <v>https://expa.aiesec.org/opportunities/1290024</v>
      </c>
      <c r="L732" s="43" t="str">
        <f>IFERROR(__xludf.DUMMYFUNCTION("""COMPUTED_VALUE"""),"GV")</f>
        <v>GV</v>
      </c>
      <c r="M732" s="43" t="str">
        <f>IFERROR(__xludf.DUMMYFUNCTION("""COMPUTED_VALUE"""),"short")</f>
        <v>short</v>
      </c>
      <c r="N732" s="45">
        <f>IFERROR(__xludf.DUMMYFUNCTION("""COMPUTED_VALUE"""),45067.0)</f>
        <v>45067</v>
      </c>
      <c r="O732" s="45">
        <f>IFERROR(__xludf.DUMMYFUNCTION("""COMPUTED_VALUE"""),45170.0)</f>
        <v>45170</v>
      </c>
      <c r="P732" s="45">
        <f>IFERROR(__xludf.DUMMYFUNCTION("""COMPUTED_VALUE"""),45212.0)</f>
        <v>45212</v>
      </c>
      <c r="Q732" s="45"/>
      <c r="R732" s="45"/>
      <c r="S732" s="43"/>
      <c r="T732" s="43"/>
      <c r="U732" s="43" t="str">
        <f>IFERROR(__xludf.DUMMYFUNCTION("""COMPUTED_VALUE"""),"On The Map")</f>
        <v>On The Map</v>
      </c>
      <c r="V732" s="43" t="str">
        <f>IFERROR(__xludf.DUMMYFUNCTION("""COMPUTED_VALUE"""),"ISTANBUL - BEYOGLU")</f>
        <v>ISTANBUL - BEYOGLU</v>
      </c>
      <c r="W732" s="43" t="str">
        <f>IFERROR(__xludf.DUMMYFUNCTION("""COMPUTED_VALUE"""),"2023-05-20T19:57:32Z")</f>
        <v>2023-05-20T19:57:32Z</v>
      </c>
      <c r="X732" s="43"/>
      <c r="Y732" s="43"/>
      <c r="Z732" s="43"/>
    </row>
    <row r="733" hidden="1">
      <c r="A733" s="43" t="str">
        <f>IFERROR(__xludf.DUMMYFUNCTION("""COMPUTED_VALUE"""),"5262097_1293257")</f>
        <v>5262097_1293257</v>
      </c>
      <c r="B733" s="43" t="str">
        <f>IFERROR(__xludf.DUMMYFUNCTION("""COMPUTED_VALUE"""),"Emircan Özdemir")</f>
        <v>Emircan Özdemir</v>
      </c>
      <c r="C733" s="43" t="str">
        <f>IFERROR(__xludf.DUMMYFUNCTION("""COMPUTED_VALUE"""),"completed")</f>
        <v>completed</v>
      </c>
      <c r="D733" s="43" t="str">
        <f>IFERROR(__xludf.DUMMYFUNCTION("""COMPUTED_VALUE"""),"No")</f>
        <v>No</v>
      </c>
      <c r="E733" s="43" t="str">
        <f>IFERROR(__xludf.DUMMYFUNCTION("""COMPUTED_VALUE"""),"p_e34017d77f74ea206b05378b4d4cc27463cd0216@inbound.aiesec.org")</f>
        <v>p_e34017d77f74ea206b05378b4d4cc27463cd0216@inbound.aiesec.org</v>
      </c>
      <c r="F733" s="43"/>
      <c r="G733" s="43" t="str">
        <f>IFERROR(__xludf.DUMMYFUNCTION("""COMPUTED_VALUE"""),"Turkey")</f>
        <v>Turkey</v>
      </c>
      <c r="H733" s="43" t="str">
        <f>IFERROR(__xludf.DUMMYFUNCTION("""COMPUTED_VALUE"""),"DENIZLI")</f>
        <v>DENIZLI</v>
      </c>
      <c r="I733" s="43" t="str">
        <f>IFERROR(__xludf.DUMMYFUNCTION("""COMPUTED_VALUE"""),"Egypt")</f>
        <v>Egypt</v>
      </c>
      <c r="J733" s="43" t="str">
        <f>IFERROR(__xludf.DUMMYFUNCTION("""COMPUTED_VALUE"""),"GUC")</f>
        <v>GUC</v>
      </c>
      <c r="K733" s="44" t="str">
        <f>IFERROR(__xludf.DUMMYFUNCTION("""COMPUTED_VALUE"""),"https://expa.aiesec.org/opportunities/1293257")</f>
        <v>https://expa.aiesec.org/opportunities/1293257</v>
      </c>
      <c r="L733" s="43" t="str">
        <f>IFERROR(__xludf.DUMMYFUNCTION("""COMPUTED_VALUE"""),"GV")</f>
        <v>GV</v>
      </c>
      <c r="M733" s="43" t="str">
        <f>IFERROR(__xludf.DUMMYFUNCTION("""COMPUTED_VALUE"""),"short")</f>
        <v>short</v>
      </c>
      <c r="N733" s="45">
        <f>IFERROR(__xludf.DUMMYFUNCTION("""COMPUTED_VALUE"""),45067.0)</f>
        <v>45067</v>
      </c>
      <c r="O733" s="45">
        <f>IFERROR(__xludf.DUMMYFUNCTION("""COMPUTED_VALUE"""),45117.0)</f>
        <v>45117</v>
      </c>
      <c r="P733" s="45">
        <f>IFERROR(__xludf.DUMMYFUNCTION("""COMPUTED_VALUE"""),45159.0)</f>
        <v>45159</v>
      </c>
      <c r="Q733" s="45">
        <f>IFERROR(__xludf.DUMMYFUNCTION("""COMPUTED_VALUE"""),45118.0)</f>
        <v>45118</v>
      </c>
      <c r="R733" s="45">
        <f>IFERROR(__xludf.DUMMYFUNCTION("""COMPUTED_VALUE"""),45159.0)</f>
        <v>45159</v>
      </c>
      <c r="S733" s="43"/>
      <c r="T733" s="43"/>
      <c r="U733" s="43" t="str">
        <f>IFERROR(__xludf.DUMMYFUNCTION("""COMPUTED_VALUE"""),"Aquatica")</f>
        <v>Aquatica</v>
      </c>
      <c r="V733" s="43" t="str">
        <f>IFERROR(__xludf.DUMMYFUNCTION("""COMPUTED_VALUE"""),"-")</f>
        <v>-</v>
      </c>
      <c r="W733" s="43" t="str">
        <f>IFERROR(__xludf.DUMMYFUNCTION("""COMPUTED_VALUE"""),"2023-05-16T20:27:53Z")</f>
        <v>2023-05-16T20:27:53Z</v>
      </c>
      <c r="X733" s="43"/>
      <c r="Y733" s="43"/>
      <c r="Z733" s="43"/>
    </row>
    <row r="734" hidden="1">
      <c r="A734" s="43" t="str">
        <f>IFERROR(__xludf.DUMMYFUNCTION("""COMPUTED_VALUE"""),"5261967_1293524")</f>
        <v>5261967_1293524</v>
      </c>
      <c r="B734" s="43" t="str">
        <f>IFERROR(__xludf.DUMMYFUNCTION("""COMPUTED_VALUE"""),"Sena Atila")</f>
        <v>Sena Atila</v>
      </c>
      <c r="C734" s="43" t="str">
        <f>IFERROR(__xludf.DUMMYFUNCTION("""COMPUTED_VALUE"""),"completed")</f>
        <v>completed</v>
      </c>
      <c r="D734" s="43" t="str">
        <f>IFERROR(__xludf.DUMMYFUNCTION("""COMPUTED_VALUE"""),"No")</f>
        <v>No</v>
      </c>
      <c r="E734" s="43" t="str">
        <f>IFERROR(__xludf.DUMMYFUNCTION("""COMPUTED_VALUE"""),"p_c6aae3b36f6dea13e450ba49934b086f200e87e2@inbound.aiesec.org")</f>
        <v>p_c6aae3b36f6dea13e450ba49934b086f200e87e2@inbound.aiesec.org</v>
      </c>
      <c r="F734" s="43">
        <f>IFERROR(__xludf.DUMMYFUNCTION("""COMPUTED_VALUE"""),5.37761704E9)</f>
        <v>5377617040</v>
      </c>
      <c r="G734" s="43" t="str">
        <f>IFERROR(__xludf.DUMMYFUNCTION("""COMPUTED_VALUE"""),"Turkey")</f>
        <v>Turkey</v>
      </c>
      <c r="H734" s="43" t="str">
        <f>IFERROR(__xludf.DUMMYFUNCTION("""COMPUTED_VALUE"""),"ANTALYA")</f>
        <v>ANTALYA</v>
      </c>
      <c r="I734" s="43" t="str">
        <f>IFERROR(__xludf.DUMMYFUNCTION("""COMPUTED_VALUE"""),"Egypt")</f>
        <v>Egypt</v>
      </c>
      <c r="J734" s="43" t="str">
        <f>IFERROR(__xludf.DUMMYFUNCTION("""COMPUTED_VALUE"""),"6th October University")</f>
        <v>6th October University</v>
      </c>
      <c r="K734" s="44" t="str">
        <f>IFERROR(__xludf.DUMMYFUNCTION("""COMPUTED_VALUE"""),"https://expa.aiesec.org/opportunities/1293524")</f>
        <v>https://expa.aiesec.org/opportunities/1293524</v>
      </c>
      <c r="L734" s="43" t="str">
        <f>IFERROR(__xludf.DUMMYFUNCTION("""COMPUTED_VALUE"""),"GV")</f>
        <v>GV</v>
      </c>
      <c r="M734" s="43" t="str">
        <f>IFERROR(__xludf.DUMMYFUNCTION("""COMPUTED_VALUE"""),"short")</f>
        <v>short</v>
      </c>
      <c r="N734" s="45">
        <f>IFERROR(__xludf.DUMMYFUNCTION("""COMPUTED_VALUE"""),45067.0)</f>
        <v>45067</v>
      </c>
      <c r="O734" s="45">
        <f>IFERROR(__xludf.DUMMYFUNCTION("""COMPUTED_VALUE"""),45122.0)</f>
        <v>45122</v>
      </c>
      <c r="P734" s="45">
        <f>IFERROR(__xludf.DUMMYFUNCTION("""COMPUTED_VALUE"""),45164.0)</f>
        <v>45164</v>
      </c>
      <c r="Q734" s="45">
        <f>IFERROR(__xludf.DUMMYFUNCTION("""COMPUTED_VALUE"""),45122.0)</f>
        <v>45122</v>
      </c>
      <c r="R734" s="45">
        <f>IFERROR(__xludf.DUMMYFUNCTION("""COMPUTED_VALUE"""),45164.0)</f>
        <v>45164</v>
      </c>
      <c r="S734" s="43"/>
      <c r="T734" s="43"/>
      <c r="U734" s="43" t="str">
        <f>IFERROR(__xludf.DUMMYFUNCTION("""COMPUTED_VALUE"""),"Heartbeat")</f>
        <v>Heartbeat</v>
      </c>
      <c r="V734" s="43" t="str">
        <f>IFERROR(__xludf.DUMMYFUNCTION("""COMPUTED_VALUE"""),"ANTALYA")</f>
        <v>ANTALYA</v>
      </c>
      <c r="W734" s="43" t="str">
        <f>IFERROR(__xludf.DUMMYFUNCTION("""COMPUTED_VALUE"""),"2023-05-16T15:28:46Z")</f>
        <v>2023-05-16T15:28:46Z</v>
      </c>
      <c r="X734" s="43"/>
      <c r="Y734" s="43"/>
      <c r="Z734" s="43"/>
    </row>
    <row r="735" hidden="1">
      <c r="A735" s="43" t="str">
        <f>IFERROR(__xludf.DUMMYFUNCTION("""COMPUTED_VALUE"""),"5264464_1295008")</f>
        <v>5264464_1295008</v>
      </c>
      <c r="B735" s="43" t="str">
        <f>IFERROR(__xludf.DUMMYFUNCTION("""COMPUTED_VALUE"""),"Aylin Çağlayan")</f>
        <v>Aylin Çağlayan</v>
      </c>
      <c r="C735" s="43" t="str">
        <f>IFERROR(__xludf.DUMMYFUNCTION("""COMPUTED_VALUE"""),"approved")</f>
        <v>approved</v>
      </c>
      <c r="D735" s="43" t="str">
        <f>IFERROR(__xludf.DUMMYFUNCTION("""COMPUTED_VALUE"""),"No")</f>
        <v>No</v>
      </c>
      <c r="E735" s="43" t="str">
        <f>IFERROR(__xludf.DUMMYFUNCTION("""COMPUTED_VALUE"""),"p_69209bf184966ee57429e346175ab408f1224579@inbound.aiesec.org")</f>
        <v>p_69209bf184966ee57429e346175ab408f1224579@inbound.aiesec.org</v>
      </c>
      <c r="F735" s="43">
        <f>IFERROR(__xludf.DUMMYFUNCTION("""COMPUTED_VALUE"""),5.313602061E9)</f>
        <v>5313602061</v>
      </c>
      <c r="G735" s="43" t="str">
        <f>IFERROR(__xludf.DUMMYFUNCTION("""COMPUTED_VALUE"""),"Turkey")</f>
        <v>Turkey</v>
      </c>
      <c r="H735" s="43" t="str">
        <f>IFERROR(__xludf.DUMMYFUNCTION("""COMPUTED_VALUE"""),"ISTANBUL")</f>
        <v>ISTANBUL</v>
      </c>
      <c r="I735" s="43" t="str">
        <f>IFERROR(__xludf.DUMMYFUNCTION("""COMPUTED_VALUE"""),"Romania")</f>
        <v>Romania</v>
      </c>
      <c r="J735" s="43" t="str">
        <f>IFERROR(__xludf.DUMMYFUNCTION("""COMPUTED_VALUE"""),"BUCURESTI")</f>
        <v>BUCURESTI</v>
      </c>
      <c r="K735" s="44" t="str">
        <f>IFERROR(__xludf.DUMMYFUNCTION("""COMPUTED_VALUE"""),"https://expa.aiesec.org/opportunities/1295008")</f>
        <v>https://expa.aiesec.org/opportunities/1295008</v>
      </c>
      <c r="L735" s="43" t="str">
        <f>IFERROR(__xludf.DUMMYFUNCTION("""COMPUTED_VALUE"""),"GV")</f>
        <v>GV</v>
      </c>
      <c r="M735" s="43" t="str">
        <f>IFERROR(__xludf.DUMMYFUNCTION("""COMPUTED_VALUE"""),"short")</f>
        <v>short</v>
      </c>
      <c r="N735" s="45">
        <f>IFERROR(__xludf.DUMMYFUNCTION("""COMPUTED_VALUE"""),45068.0)</f>
        <v>45068</v>
      </c>
      <c r="O735" s="45">
        <f>IFERROR(__xludf.DUMMYFUNCTION("""COMPUTED_VALUE"""),45096.0)</f>
        <v>45096</v>
      </c>
      <c r="P735" s="45">
        <f>IFERROR(__xludf.DUMMYFUNCTION("""COMPUTED_VALUE"""),45138.0)</f>
        <v>45138</v>
      </c>
      <c r="Q735" s="45"/>
      <c r="R735" s="45"/>
      <c r="S735" s="43"/>
      <c r="T735" s="43"/>
      <c r="U735" s="43" t="str">
        <f>IFERROR(__xludf.DUMMYFUNCTION("""COMPUTED_VALUE"""),"Green Leaders")</f>
        <v>Green Leaders</v>
      </c>
      <c r="V735" s="43" t="str">
        <f>IFERROR(__xludf.DUMMYFUNCTION("""COMPUTED_VALUE"""),"ISTANBUL - BEYOGLU")</f>
        <v>ISTANBUL - BEYOGLU</v>
      </c>
      <c r="W735" s="43" t="str">
        <f>IFERROR(__xludf.DUMMYFUNCTION("""COMPUTED_VALUE"""),"2023-05-21T13:20:52Z")</f>
        <v>2023-05-21T13:20:52Z</v>
      </c>
      <c r="X735" s="43"/>
      <c r="Y735" s="43"/>
      <c r="Z735" s="43"/>
    </row>
    <row r="736" hidden="1">
      <c r="A736" s="43" t="str">
        <f>IFERROR(__xludf.DUMMYFUNCTION("""COMPUTED_VALUE"""),"4456093_1294114")</f>
        <v>4456093_1294114</v>
      </c>
      <c r="B736" s="43" t="str">
        <f>IFERROR(__xludf.DUMMYFUNCTION("""COMPUTED_VALUE"""),"EMRE BALBULAN")</f>
        <v>EMRE BALBULAN</v>
      </c>
      <c r="C736" s="43" t="str">
        <f>IFERROR(__xludf.DUMMYFUNCTION("""COMPUTED_VALUE"""),"approval_broken")</f>
        <v>approval_broken</v>
      </c>
      <c r="D736" s="43" t="str">
        <f>IFERROR(__xludf.DUMMYFUNCTION("""COMPUTED_VALUE"""),"No")</f>
        <v>No</v>
      </c>
      <c r="E736" s="43" t="str">
        <f>IFERROR(__xludf.DUMMYFUNCTION("""COMPUTED_VALUE"""),"p_52f2c73cc069c7241d51198da9834010abbfb4a9@inbound.aiesec.org")</f>
        <v>p_52f2c73cc069c7241d51198da9834010abbfb4a9@inbound.aiesec.org</v>
      </c>
      <c r="F736" s="43">
        <f>IFERROR(__xludf.DUMMYFUNCTION("""COMPUTED_VALUE"""),5.533430583E9)</f>
        <v>5533430583</v>
      </c>
      <c r="G736" s="43" t="str">
        <f>IFERROR(__xludf.DUMMYFUNCTION("""COMPUTED_VALUE"""),"Turkey")</f>
        <v>Turkey</v>
      </c>
      <c r="H736" s="43" t="str">
        <f>IFERROR(__xludf.DUMMYFUNCTION("""COMPUTED_VALUE"""),"ADANA")</f>
        <v>ADANA</v>
      </c>
      <c r="I736" s="43" t="str">
        <f>IFERROR(__xludf.DUMMYFUNCTION("""COMPUTED_VALUE"""),"Croatia")</f>
        <v>Croatia</v>
      </c>
      <c r="J736" s="43" t="str">
        <f>IFERROR(__xludf.DUMMYFUNCTION("""COMPUTED_VALUE"""),"OSIJEK")</f>
        <v>OSIJEK</v>
      </c>
      <c r="K736" s="44" t="str">
        <f>IFERROR(__xludf.DUMMYFUNCTION("""COMPUTED_VALUE"""),"https://expa.aiesec.org/opportunities/1294114")</f>
        <v>https://expa.aiesec.org/opportunities/1294114</v>
      </c>
      <c r="L736" s="43" t="str">
        <f>IFERROR(__xludf.DUMMYFUNCTION("""COMPUTED_VALUE"""),"GV")</f>
        <v>GV</v>
      </c>
      <c r="M736" s="43" t="str">
        <f>IFERROR(__xludf.DUMMYFUNCTION("""COMPUTED_VALUE"""),"short")</f>
        <v>short</v>
      </c>
      <c r="N736" s="45">
        <f>IFERROR(__xludf.DUMMYFUNCTION("""COMPUTED_VALUE"""),45119.0)</f>
        <v>45119</v>
      </c>
      <c r="O736" s="45">
        <f>IFERROR(__xludf.DUMMYFUNCTION("""COMPUTED_VALUE"""),45122.0)</f>
        <v>45122</v>
      </c>
      <c r="P736" s="45">
        <f>IFERROR(__xludf.DUMMYFUNCTION("""COMPUTED_VALUE"""),45169.0)</f>
        <v>45169</v>
      </c>
      <c r="Q736" s="45"/>
      <c r="R736" s="45"/>
      <c r="S736" s="43"/>
      <c r="T736" s="43"/>
      <c r="U736" s="43" t="str">
        <f>IFERROR(__xludf.DUMMYFUNCTION("""COMPUTED_VALUE"""),"Global Classroom")</f>
        <v>Global Classroom</v>
      </c>
      <c r="V736" s="43" t="str">
        <f>IFERROR(__xludf.DUMMYFUNCTION("""COMPUTED_VALUE"""),"ADANA")</f>
        <v>ADANA</v>
      </c>
      <c r="W736" s="43" t="str">
        <f>IFERROR(__xludf.DUMMYFUNCTION("""COMPUTED_VALUE"""),"2020-11-30T11:42:57Z")</f>
        <v>2020-11-30T11:42:57Z</v>
      </c>
      <c r="X736" s="43"/>
      <c r="Y736" s="43"/>
      <c r="Z736" s="43"/>
    </row>
    <row r="737" hidden="1">
      <c r="A737" s="43" t="str">
        <f>IFERROR(__xludf.DUMMYFUNCTION("""COMPUTED_VALUE"""),"5260696_1293443")</f>
        <v>5260696_1293443</v>
      </c>
      <c r="B737" s="43" t="str">
        <f>IFERROR(__xludf.DUMMYFUNCTION("""COMPUTED_VALUE"""),"merve nur örs")</f>
        <v>merve nur örs</v>
      </c>
      <c r="C737" s="43" t="str">
        <f>IFERROR(__xludf.DUMMYFUNCTION("""COMPUTED_VALUE"""),"completed")</f>
        <v>completed</v>
      </c>
      <c r="D737" s="43" t="str">
        <f>IFERROR(__xludf.DUMMYFUNCTION("""COMPUTED_VALUE"""),"No")</f>
        <v>No</v>
      </c>
      <c r="E737" s="43" t="str">
        <f>IFERROR(__xludf.DUMMYFUNCTION("""COMPUTED_VALUE"""),"p_0d0752ae129fe2bf4dffc01364df3c70d76bb8cd@inbound.aiesec.org")</f>
        <v>p_0d0752ae129fe2bf4dffc01364df3c70d76bb8cd@inbound.aiesec.org</v>
      </c>
      <c r="F737" s="43">
        <f>IFERROR(__xludf.DUMMYFUNCTION("""COMPUTED_VALUE"""),5.070965204E9)</f>
        <v>5070965204</v>
      </c>
      <c r="G737" s="43" t="str">
        <f>IFERROR(__xludf.DUMMYFUNCTION("""COMPUTED_VALUE"""),"Turkey")</f>
        <v>Turkey</v>
      </c>
      <c r="H737" s="43" t="str">
        <f>IFERROR(__xludf.DUMMYFUNCTION("""COMPUTED_VALUE"""),"İZMİR")</f>
        <v>İZMİR</v>
      </c>
      <c r="I737" s="43" t="str">
        <f>IFERROR(__xludf.DUMMYFUNCTION("""COMPUTED_VALUE"""),"Romania")</f>
        <v>Romania</v>
      </c>
      <c r="J737" s="43" t="str">
        <f>IFERROR(__xludf.DUMMYFUNCTION("""COMPUTED_VALUE"""),"BUCURESTI")</f>
        <v>BUCURESTI</v>
      </c>
      <c r="K737" s="44" t="str">
        <f>IFERROR(__xludf.DUMMYFUNCTION("""COMPUTED_VALUE"""),"https://expa.aiesec.org/opportunities/1293443")</f>
        <v>https://expa.aiesec.org/opportunities/1293443</v>
      </c>
      <c r="L737" s="43" t="str">
        <f>IFERROR(__xludf.DUMMYFUNCTION("""COMPUTED_VALUE"""),"GV")</f>
        <v>GV</v>
      </c>
      <c r="M737" s="43" t="str">
        <f>IFERROR(__xludf.DUMMYFUNCTION("""COMPUTED_VALUE"""),"short")</f>
        <v>short</v>
      </c>
      <c r="N737" s="45">
        <f>IFERROR(__xludf.DUMMYFUNCTION("""COMPUTED_VALUE"""),45068.0)</f>
        <v>45068</v>
      </c>
      <c r="O737" s="45">
        <f>IFERROR(__xludf.DUMMYFUNCTION("""COMPUTED_VALUE"""),45096.0)</f>
        <v>45096</v>
      </c>
      <c r="P737" s="45">
        <f>IFERROR(__xludf.DUMMYFUNCTION("""COMPUTED_VALUE"""),45138.0)</f>
        <v>45138</v>
      </c>
      <c r="Q737" s="45">
        <f>IFERROR(__xludf.DUMMYFUNCTION("""COMPUTED_VALUE"""),45096.0)</f>
        <v>45096</v>
      </c>
      <c r="R737" s="45">
        <f>IFERROR(__xludf.DUMMYFUNCTION("""COMPUTED_VALUE"""),45138.0)</f>
        <v>45138</v>
      </c>
      <c r="S737" s="43"/>
      <c r="T737" s="43"/>
      <c r="U737" s="43" t="str">
        <f>IFERROR(__xludf.DUMMYFUNCTION("""COMPUTED_VALUE"""),"Fingerprint")</f>
        <v>Fingerprint</v>
      </c>
      <c r="V737" s="43" t="str">
        <f>IFERROR(__xludf.DUMMYFUNCTION("""COMPUTED_VALUE"""),"IZMIR")</f>
        <v>IZMIR</v>
      </c>
      <c r="W737" s="43" t="str">
        <f>IFERROR(__xludf.DUMMYFUNCTION("""COMPUTED_VALUE"""),"2023-05-13T21:41:57Z")</f>
        <v>2023-05-13T21:41:57Z</v>
      </c>
      <c r="X737" s="43"/>
      <c r="Y737" s="43"/>
      <c r="Z737" s="43"/>
    </row>
    <row r="738" hidden="1">
      <c r="A738" s="43" t="str">
        <f>IFERROR(__xludf.DUMMYFUNCTION("""COMPUTED_VALUE"""),"5259532_1294924")</f>
        <v>5259532_1294924</v>
      </c>
      <c r="B738" s="43" t="str">
        <f>IFERROR(__xludf.DUMMYFUNCTION("""COMPUTED_VALUE"""),"Selenay Öncül")</f>
        <v>Selenay Öncül</v>
      </c>
      <c r="C738" s="43" t="str">
        <f>IFERROR(__xludf.DUMMYFUNCTION("""COMPUTED_VALUE"""),"completed")</f>
        <v>completed</v>
      </c>
      <c r="D738" s="43" t="str">
        <f>IFERROR(__xludf.DUMMYFUNCTION("""COMPUTED_VALUE"""),"No")</f>
        <v>No</v>
      </c>
      <c r="E738" s="43" t="str">
        <f>IFERROR(__xludf.DUMMYFUNCTION("""COMPUTED_VALUE"""),"p_7f6580b8674468689fa61eedf12079fc7b1d0322@inbound.aiesec.org")</f>
        <v>p_7f6580b8674468689fa61eedf12079fc7b1d0322@inbound.aiesec.org</v>
      </c>
      <c r="F738" s="43">
        <f>IFERROR(__xludf.DUMMYFUNCTION("""COMPUTED_VALUE"""),5.53409881E9)</f>
        <v>5534098810</v>
      </c>
      <c r="G738" s="43" t="str">
        <f>IFERROR(__xludf.DUMMYFUNCTION("""COMPUTED_VALUE"""),"Turkey")</f>
        <v>Turkey</v>
      </c>
      <c r="H738" s="43" t="str">
        <f>IFERROR(__xludf.DUMMYFUNCTION("""COMPUTED_VALUE"""),"ANKARA")</f>
        <v>ANKARA</v>
      </c>
      <c r="I738" s="43" t="str">
        <f>IFERROR(__xludf.DUMMYFUNCTION("""COMPUTED_VALUE"""),"Romania")</f>
        <v>Romania</v>
      </c>
      <c r="J738" s="43" t="str">
        <f>IFERROR(__xludf.DUMMYFUNCTION("""COMPUTED_VALUE"""),"Cluj-Napoca")</f>
        <v>Cluj-Napoca</v>
      </c>
      <c r="K738" s="44" t="str">
        <f>IFERROR(__xludf.DUMMYFUNCTION("""COMPUTED_VALUE"""),"https://expa.aiesec.org/opportunities/1294924")</f>
        <v>https://expa.aiesec.org/opportunities/1294924</v>
      </c>
      <c r="L738" s="43" t="str">
        <f>IFERROR(__xludf.DUMMYFUNCTION("""COMPUTED_VALUE"""),"GV")</f>
        <v>GV</v>
      </c>
      <c r="M738" s="43" t="str">
        <f>IFERROR(__xludf.DUMMYFUNCTION("""COMPUTED_VALUE"""),"short")</f>
        <v>short</v>
      </c>
      <c r="N738" s="45">
        <f>IFERROR(__xludf.DUMMYFUNCTION("""COMPUTED_VALUE"""),45068.0)</f>
        <v>45068</v>
      </c>
      <c r="O738" s="45">
        <f>IFERROR(__xludf.DUMMYFUNCTION("""COMPUTED_VALUE"""),45110.0)</f>
        <v>45110</v>
      </c>
      <c r="P738" s="45">
        <f>IFERROR(__xludf.DUMMYFUNCTION("""COMPUTED_VALUE"""),45152.0)</f>
        <v>45152</v>
      </c>
      <c r="Q738" s="45">
        <f>IFERROR(__xludf.DUMMYFUNCTION("""COMPUTED_VALUE"""),45114.0)</f>
        <v>45114</v>
      </c>
      <c r="R738" s="45">
        <f>IFERROR(__xludf.DUMMYFUNCTION("""COMPUTED_VALUE"""),45154.0)</f>
        <v>45154</v>
      </c>
      <c r="S738" s="43"/>
      <c r="T738" s="43"/>
      <c r="U738" s="43" t="str">
        <f>IFERROR(__xludf.DUMMYFUNCTION("""COMPUTED_VALUE"""),"Fingerprint")</f>
        <v>Fingerprint</v>
      </c>
      <c r="V738" s="43" t="str">
        <f>IFERROR(__xludf.DUMMYFUNCTION("""COMPUTED_VALUE"""),"ANKARA")</f>
        <v>ANKARA</v>
      </c>
      <c r="W738" s="43" t="str">
        <f>IFERROR(__xludf.DUMMYFUNCTION("""COMPUTED_VALUE"""),"2023-05-11T14:08:27Z")</f>
        <v>2023-05-11T14:08:27Z</v>
      </c>
      <c r="X738" s="43"/>
      <c r="Y738" s="43"/>
      <c r="Z738" s="43"/>
    </row>
    <row r="739" hidden="1">
      <c r="A739" s="43" t="str">
        <f>IFERROR(__xludf.DUMMYFUNCTION("""COMPUTED_VALUE"""),"5247470_1293980")</f>
        <v>5247470_1293980</v>
      </c>
      <c r="B739" s="43" t="str">
        <f>IFERROR(__xludf.DUMMYFUNCTION("""COMPUTED_VALUE"""),"Sude Karslı")</f>
        <v>Sude Karslı</v>
      </c>
      <c r="C739" s="43" t="str">
        <f>IFERROR(__xludf.DUMMYFUNCTION("""COMPUTED_VALUE"""),"completed")</f>
        <v>completed</v>
      </c>
      <c r="D739" s="43" t="str">
        <f>IFERROR(__xludf.DUMMYFUNCTION("""COMPUTED_VALUE"""),"No")</f>
        <v>No</v>
      </c>
      <c r="E739" s="43" t="str">
        <f>IFERROR(__xludf.DUMMYFUNCTION("""COMPUTED_VALUE"""),"p_aa328b5dd11359309c6f95549c6fc7334363ecd5@inbound.aiesec.org")</f>
        <v>p_aa328b5dd11359309c6f95549c6fc7334363ecd5@inbound.aiesec.org</v>
      </c>
      <c r="F739" s="43"/>
      <c r="G739" s="43" t="str">
        <f>IFERROR(__xludf.DUMMYFUNCTION("""COMPUTED_VALUE"""),"Turkey")</f>
        <v>Turkey</v>
      </c>
      <c r="H739" s="43" t="str">
        <f>IFERROR(__xludf.DUMMYFUNCTION("""COMPUTED_VALUE"""),"ANKARA")</f>
        <v>ANKARA</v>
      </c>
      <c r="I739" s="43" t="str">
        <f>IFERROR(__xludf.DUMMYFUNCTION("""COMPUTED_VALUE"""),"Slovakia")</f>
        <v>Slovakia</v>
      </c>
      <c r="J739" s="43" t="str">
        <f>IFERROR(__xludf.DUMMYFUNCTION("""COMPUTED_VALUE"""),"Bratislava")</f>
        <v>Bratislava</v>
      </c>
      <c r="K739" s="44" t="str">
        <f>IFERROR(__xludf.DUMMYFUNCTION("""COMPUTED_VALUE"""),"https://expa.aiesec.org/opportunities/1293980")</f>
        <v>https://expa.aiesec.org/opportunities/1293980</v>
      </c>
      <c r="L739" s="43" t="str">
        <f>IFERROR(__xludf.DUMMYFUNCTION("""COMPUTED_VALUE"""),"GV")</f>
        <v>GV</v>
      </c>
      <c r="M739" s="43" t="str">
        <f>IFERROR(__xludf.DUMMYFUNCTION("""COMPUTED_VALUE"""),"short")</f>
        <v>short</v>
      </c>
      <c r="N739" s="45">
        <f>IFERROR(__xludf.DUMMYFUNCTION("""COMPUTED_VALUE"""),45068.0)</f>
        <v>45068</v>
      </c>
      <c r="O739" s="45">
        <f>IFERROR(__xludf.DUMMYFUNCTION("""COMPUTED_VALUE"""),45096.0)</f>
        <v>45096</v>
      </c>
      <c r="P739" s="45">
        <f>IFERROR(__xludf.DUMMYFUNCTION("""COMPUTED_VALUE"""),45138.0)</f>
        <v>45138</v>
      </c>
      <c r="Q739" s="45">
        <f>IFERROR(__xludf.DUMMYFUNCTION("""COMPUTED_VALUE"""),45098.0)</f>
        <v>45098</v>
      </c>
      <c r="R739" s="45">
        <f>IFERROR(__xludf.DUMMYFUNCTION("""COMPUTED_VALUE"""),45138.0)</f>
        <v>45138</v>
      </c>
      <c r="S739" s="43"/>
      <c r="T739" s="43"/>
      <c r="U739" s="43" t="str">
        <f>IFERROR(__xludf.DUMMYFUNCTION("""COMPUTED_VALUE"""),"Happy Bus")</f>
        <v>Happy Bus</v>
      </c>
      <c r="V739" s="43" t="str">
        <f>IFERROR(__xludf.DUMMYFUNCTION("""COMPUTED_VALUE"""),"ANKARA")</f>
        <v>ANKARA</v>
      </c>
      <c r="W739" s="43" t="str">
        <f>IFERROR(__xludf.DUMMYFUNCTION("""COMPUTED_VALUE"""),"2023-04-22T20:42:22Z")</f>
        <v>2023-04-22T20:42:22Z</v>
      </c>
      <c r="X739" s="43"/>
      <c r="Y739" s="43"/>
      <c r="Z739" s="43"/>
    </row>
    <row r="740" hidden="1">
      <c r="A740" s="43" t="str">
        <f>IFERROR(__xludf.DUMMYFUNCTION("""COMPUTED_VALUE"""),"5254157_1293576")</f>
        <v>5254157_1293576</v>
      </c>
      <c r="B740" s="43" t="str">
        <f>IFERROR(__xludf.DUMMYFUNCTION("""COMPUTED_VALUE"""),"ayca ozkan")</f>
        <v>ayca ozkan</v>
      </c>
      <c r="C740" s="43" t="str">
        <f>IFERROR(__xludf.DUMMYFUNCTION("""COMPUTED_VALUE"""),"completed")</f>
        <v>completed</v>
      </c>
      <c r="D740" s="43" t="str">
        <f>IFERROR(__xludf.DUMMYFUNCTION("""COMPUTED_VALUE"""),"No")</f>
        <v>No</v>
      </c>
      <c r="E740" s="43" t="str">
        <f>IFERROR(__xludf.DUMMYFUNCTION("""COMPUTED_VALUE"""),"p_0147f77596d62aaf69d77ccd90eed28fc78c0df2@inbound.aiesec.org")</f>
        <v>p_0147f77596d62aaf69d77ccd90eed28fc78c0df2@inbound.aiesec.org</v>
      </c>
      <c r="F740" s="43"/>
      <c r="G740" s="43" t="str">
        <f>IFERROR(__xludf.DUMMYFUNCTION("""COMPUTED_VALUE"""),"Turkey")</f>
        <v>Turkey</v>
      </c>
      <c r="H740" s="43" t="str">
        <f>IFERROR(__xludf.DUMMYFUNCTION("""COMPUTED_VALUE"""),"ANKARA")</f>
        <v>ANKARA</v>
      </c>
      <c r="I740" s="43" t="str">
        <f>IFERROR(__xludf.DUMMYFUNCTION("""COMPUTED_VALUE"""),"Romania")</f>
        <v>Romania</v>
      </c>
      <c r="J740" s="43" t="str">
        <f>IFERROR(__xludf.DUMMYFUNCTION("""COMPUTED_VALUE"""),"BUCURESTI")</f>
        <v>BUCURESTI</v>
      </c>
      <c r="K740" s="44" t="str">
        <f>IFERROR(__xludf.DUMMYFUNCTION("""COMPUTED_VALUE"""),"https://expa.aiesec.org/opportunities/1293576")</f>
        <v>https://expa.aiesec.org/opportunities/1293576</v>
      </c>
      <c r="L740" s="43" t="str">
        <f>IFERROR(__xludf.DUMMYFUNCTION("""COMPUTED_VALUE"""),"GV")</f>
        <v>GV</v>
      </c>
      <c r="M740" s="43" t="str">
        <f>IFERROR(__xludf.DUMMYFUNCTION("""COMPUTED_VALUE"""),"short")</f>
        <v>short</v>
      </c>
      <c r="N740" s="45">
        <f>IFERROR(__xludf.DUMMYFUNCTION("""COMPUTED_VALUE"""),45068.0)</f>
        <v>45068</v>
      </c>
      <c r="O740" s="45">
        <f>IFERROR(__xludf.DUMMYFUNCTION("""COMPUTED_VALUE"""),45089.0)</f>
        <v>45089</v>
      </c>
      <c r="P740" s="45">
        <f>IFERROR(__xludf.DUMMYFUNCTION("""COMPUTED_VALUE"""),45131.0)</f>
        <v>45131</v>
      </c>
      <c r="Q740" s="45">
        <f>IFERROR(__xludf.DUMMYFUNCTION("""COMPUTED_VALUE"""),45090.0)</f>
        <v>45090</v>
      </c>
      <c r="R740" s="45">
        <f>IFERROR(__xludf.DUMMYFUNCTION("""COMPUTED_VALUE"""),45131.0)</f>
        <v>45131</v>
      </c>
      <c r="S740" s="43"/>
      <c r="T740" s="43"/>
      <c r="U740" s="43" t="str">
        <f>IFERROR(__xludf.DUMMYFUNCTION("""COMPUTED_VALUE"""),"Green Leaders")</f>
        <v>Green Leaders</v>
      </c>
      <c r="V740" s="43" t="str">
        <f>IFERROR(__xludf.DUMMYFUNCTION("""COMPUTED_VALUE"""),"-")</f>
        <v>-</v>
      </c>
      <c r="W740" s="43" t="str">
        <f>IFERROR(__xludf.DUMMYFUNCTION("""COMPUTED_VALUE"""),"2023-05-02T09:02:31Z")</f>
        <v>2023-05-02T09:02:31Z</v>
      </c>
      <c r="X740" s="43"/>
      <c r="Y740" s="43"/>
      <c r="Z740" s="43"/>
    </row>
    <row r="741" hidden="1">
      <c r="A741" s="43" t="str">
        <f>IFERROR(__xludf.DUMMYFUNCTION("""COMPUTED_VALUE"""),"5253211_1293327")</f>
        <v>5253211_1293327</v>
      </c>
      <c r="B741" s="43" t="str">
        <f>IFERROR(__xludf.DUMMYFUNCTION("""COMPUTED_VALUE"""),"Ahmet Deniz")</f>
        <v>Ahmet Deniz</v>
      </c>
      <c r="C741" s="43" t="str">
        <f>IFERROR(__xludf.DUMMYFUNCTION("""COMPUTED_VALUE"""),"completed")</f>
        <v>completed</v>
      </c>
      <c r="D741" s="43" t="str">
        <f>IFERROR(__xludf.DUMMYFUNCTION("""COMPUTED_VALUE"""),"No")</f>
        <v>No</v>
      </c>
      <c r="E741" s="43" t="str">
        <f>IFERROR(__xludf.DUMMYFUNCTION("""COMPUTED_VALUE"""),"p_a02c43238d502812a381e7598709274255ecebf1@inbound.aiesec.org")</f>
        <v>p_a02c43238d502812a381e7598709274255ecebf1@inbound.aiesec.org</v>
      </c>
      <c r="F741" s="43"/>
      <c r="G741" s="43" t="str">
        <f>IFERROR(__xludf.DUMMYFUNCTION("""COMPUTED_VALUE"""),"Turkey")</f>
        <v>Turkey</v>
      </c>
      <c r="H741" s="43" t="str">
        <f>IFERROR(__xludf.DUMMYFUNCTION("""COMPUTED_VALUE"""),"ANKARA")</f>
        <v>ANKARA</v>
      </c>
      <c r="I741" s="43" t="str">
        <f>IFERROR(__xludf.DUMMYFUNCTION("""COMPUTED_VALUE"""),"Egypt")</f>
        <v>Egypt</v>
      </c>
      <c r="J741" s="43" t="str">
        <f>IFERROR(__xludf.DUMMYFUNCTION("""COMPUTED_VALUE"""),"Suez")</f>
        <v>Suez</v>
      </c>
      <c r="K741" s="44" t="str">
        <f>IFERROR(__xludf.DUMMYFUNCTION("""COMPUTED_VALUE"""),"https://expa.aiesec.org/opportunities/1293327")</f>
        <v>https://expa.aiesec.org/opportunities/1293327</v>
      </c>
      <c r="L741" s="43" t="str">
        <f>IFERROR(__xludf.DUMMYFUNCTION("""COMPUTED_VALUE"""),"GV")</f>
        <v>GV</v>
      </c>
      <c r="M741" s="43" t="str">
        <f>IFERROR(__xludf.DUMMYFUNCTION("""COMPUTED_VALUE"""),"short")</f>
        <v>short</v>
      </c>
      <c r="N741" s="45">
        <f>IFERROR(__xludf.DUMMYFUNCTION("""COMPUTED_VALUE"""),45069.0)</f>
        <v>45069</v>
      </c>
      <c r="O741" s="45">
        <f>IFERROR(__xludf.DUMMYFUNCTION("""COMPUTED_VALUE"""),45108.0)</f>
        <v>45108</v>
      </c>
      <c r="P741" s="45">
        <f>IFERROR(__xludf.DUMMYFUNCTION("""COMPUTED_VALUE"""),45150.0)</f>
        <v>45150</v>
      </c>
      <c r="Q741" s="45">
        <f>IFERROR(__xludf.DUMMYFUNCTION("""COMPUTED_VALUE"""),45116.0)</f>
        <v>45116</v>
      </c>
      <c r="R741" s="45">
        <f>IFERROR(__xludf.DUMMYFUNCTION("""COMPUTED_VALUE"""),45158.0)</f>
        <v>45158</v>
      </c>
      <c r="S741" s="43"/>
      <c r="T741" s="43"/>
      <c r="U741" s="43" t="str">
        <f>IFERROR(__xludf.DUMMYFUNCTION("""COMPUTED_VALUE"""),"Heartbeat")</f>
        <v>Heartbeat</v>
      </c>
      <c r="V741" s="43" t="str">
        <f>IFERROR(__xludf.DUMMYFUNCTION("""COMPUTED_VALUE"""),"-")</f>
        <v>-</v>
      </c>
      <c r="W741" s="43" t="str">
        <f>IFERROR(__xludf.DUMMYFUNCTION("""COMPUTED_VALUE"""),"2023-04-30T16:30:44Z")</f>
        <v>2023-04-30T16:30:44Z</v>
      </c>
      <c r="X741" s="43"/>
      <c r="Y741" s="43"/>
      <c r="Z741" s="43"/>
    </row>
    <row r="742" hidden="1">
      <c r="A742" s="43" t="str">
        <f>IFERROR(__xludf.DUMMYFUNCTION("""COMPUTED_VALUE"""),"5242249_1293576")</f>
        <v>5242249_1293576</v>
      </c>
      <c r="B742" s="43" t="str">
        <f>IFERROR(__xludf.DUMMYFUNCTION("""COMPUTED_VALUE"""),"Ayda Özkan")</f>
        <v>Ayda Özkan</v>
      </c>
      <c r="C742" s="43" t="str">
        <f>IFERROR(__xludf.DUMMYFUNCTION("""COMPUTED_VALUE"""),"completed")</f>
        <v>completed</v>
      </c>
      <c r="D742" s="43" t="str">
        <f>IFERROR(__xludf.DUMMYFUNCTION("""COMPUTED_VALUE"""),"No")</f>
        <v>No</v>
      </c>
      <c r="E742" s="43" t="str">
        <f>IFERROR(__xludf.DUMMYFUNCTION("""COMPUTED_VALUE"""),"p_2aa8605cb625ff694f10774a42876f9611425181@inbound.aiesec.org")</f>
        <v>p_2aa8605cb625ff694f10774a42876f9611425181@inbound.aiesec.org</v>
      </c>
      <c r="F742" s="43">
        <f>IFERROR(__xludf.DUMMYFUNCTION("""COMPUTED_VALUE"""),5.45674591E9)</f>
        <v>5456745910</v>
      </c>
      <c r="G742" s="43" t="str">
        <f>IFERROR(__xludf.DUMMYFUNCTION("""COMPUTED_VALUE"""),"Turkey")</f>
        <v>Turkey</v>
      </c>
      <c r="H742" s="43" t="str">
        <f>IFERROR(__xludf.DUMMYFUNCTION("""COMPUTED_VALUE"""),"ANKARA")</f>
        <v>ANKARA</v>
      </c>
      <c r="I742" s="43" t="str">
        <f>IFERROR(__xludf.DUMMYFUNCTION("""COMPUTED_VALUE"""),"Romania")</f>
        <v>Romania</v>
      </c>
      <c r="J742" s="43" t="str">
        <f>IFERROR(__xludf.DUMMYFUNCTION("""COMPUTED_VALUE"""),"BUCURESTI")</f>
        <v>BUCURESTI</v>
      </c>
      <c r="K742" s="44" t="str">
        <f>IFERROR(__xludf.DUMMYFUNCTION("""COMPUTED_VALUE"""),"https://expa.aiesec.org/opportunities/1293576")</f>
        <v>https://expa.aiesec.org/opportunities/1293576</v>
      </c>
      <c r="L742" s="43" t="str">
        <f>IFERROR(__xludf.DUMMYFUNCTION("""COMPUTED_VALUE"""),"GV")</f>
        <v>GV</v>
      </c>
      <c r="M742" s="43" t="str">
        <f>IFERROR(__xludf.DUMMYFUNCTION("""COMPUTED_VALUE"""),"short")</f>
        <v>short</v>
      </c>
      <c r="N742" s="45">
        <f>IFERROR(__xludf.DUMMYFUNCTION("""COMPUTED_VALUE"""),45069.0)</f>
        <v>45069</v>
      </c>
      <c r="O742" s="45">
        <f>IFERROR(__xludf.DUMMYFUNCTION("""COMPUTED_VALUE"""),45089.0)</f>
        <v>45089</v>
      </c>
      <c r="P742" s="45">
        <f>IFERROR(__xludf.DUMMYFUNCTION("""COMPUTED_VALUE"""),45131.0)</f>
        <v>45131</v>
      </c>
      <c r="Q742" s="45">
        <f>IFERROR(__xludf.DUMMYFUNCTION("""COMPUTED_VALUE"""),45090.0)</f>
        <v>45090</v>
      </c>
      <c r="R742" s="45">
        <f>IFERROR(__xludf.DUMMYFUNCTION("""COMPUTED_VALUE"""),45131.0)</f>
        <v>45131</v>
      </c>
      <c r="S742" s="43"/>
      <c r="T742" s="43"/>
      <c r="U742" s="43" t="str">
        <f>IFERROR(__xludf.DUMMYFUNCTION("""COMPUTED_VALUE"""),"Green Leaders")</f>
        <v>Green Leaders</v>
      </c>
      <c r="V742" s="43" t="str">
        <f>IFERROR(__xludf.DUMMYFUNCTION("""COMPUTED_VALUE"""),"BURSA")</f>
        <v>BURSA</v>
      </c>
      <c r="W742" s="43" t="str">
        <f>IFERROR(__xludf.DUMMYFUNCTION("""COMPUTED_VALUE"""),"2023-04-14T19:36:00Z")</f>
        <v>2023-04-14T19:36:00Z</v>
      </c>
      <c r="X742" s="43"/>
      <c r="Y742" s="43"/>
      <c r="Z742" s="43"/>
    </row>
    <row r="743" hidden="1">
      <c r="A743" s="43" t="str">
        <f>IFERROR(__xludf.DUMMYFUNCTION("""COMPUTED_VALUE"""),"5262666_1290024")</f>
        <v>5262666_1290024</v>
      </c>
      <c r="B743" s="43" t="str">
        <f>IFERROR(__xludf.DUMMYFUNCTION("""COMPUTED_VALUE"""),"reyhan ceyhan")</f>
        <v>reyhan ceyhan</v>
      </c>
      <c r="C743" s="43" t="str">
        <f>IFERROR(__xludf.DUMMYFUNCTION("""COMPUTED_VALUE"""),"completed")</f>
        <v>completed</v>
      </c>
      <c r="D743" s="43" t="str">
        <f>IFERROR(__xludf.DUMMYFUNCTION("""COMPUTED_VALUE"""),"No")</f>
        <v>No</v>
      </c>
      <c r="E743" s="43" t="str">
        <f>IFERROR(__xludf.DUMMYFUNCTION("""COMPUTED_VALUE"""),"p_245ff4164bf844e250343c0fc6daea389feb80e8@inbound.aiesec.org")</f>
        <v>p_245ff4164bf844e250343c0fc6daea389feb80e8@inbound.aiesec.org</v>
      </c>
      <c r="F743" s="43">
        <f>IFERROR(__xludf.DUMMYFUNCTION("""COMPUTED_VALUE"""),5.434699796E9)</f>
        <v>5434699796</v>
      </c>
      <c r="G743" s="43" t="str">
        <f>IFERROR(__xludf.DUMMYFUNCTION("""COMPUTED_VALUE"""),"Turkey")</f>
        <v>Turkey</v>
      </c>
      <c r="H743" s="43" t="str">
        <f>IFERROR(__xludf.DUMMYFUNCTION("""COMPUTED_VALUE"""),"DENIZLI")</f>
        <v>DENIZLI</v>
      </c>
      <c r="I743" s="43" t="str">
        <f>IFERROR(__xludf.DUMMYFUNCTION("""COMPUTED_VALUE"""),"Egypt")</f>
        <v>Egypt</v>
      </c>
      <c r="J743" s="43" t="str">
        <f>IFERROR(__xludf.DUMMYFUNCTION("""COMPUTED_VALUE"""),"Ain Shams University")</f>
        <v>Ain Shams University</v>
      </c>
      <c r="K743" s="44" t="str">
        <f>IFERROR(__xludf.DUMMYFUNCTION("""COMPUTED_VALUE"""),"https://expa.aiesec.org/opportunities/1290024")</f>
        <v>https://expa.aiesec.org/opportunities/1290024</v>
      </c>
      <c r="L743" s="43" t="str">
        <f>IFERROR(__xludf.DUMMYFUNCTION("""COMPUTED_VALUE"""),"GV")</f>
        <v>GV</v>
      </c>
      <c r="M743" s="43" t="str">
        <f>IFERROR(__xludf.DUMMYFUNCTION("""COMPUTED_VALUE"""),"short")</f>
        <v>short</v>
      </c>
      <c r="N743" s="45">
        <f>IFERROR(__xludf.DUMMYFUNCTION("""COMPUTED_VALUE"""),45070.0)</f>
        <v>45070</v>
      </c>
      <c r="O743" s="45">
        <f>IFERROR(__xludf.DUMMYFUNCTION("""COMPUTED_VALUE"""),45108.0)</f>
        <v>45108</v>
      </c>
      <c r="P743" s="45">
        <f>IFERROR(__xludf.DUMMYFUNCTION("""COMPUTED_VALUE"""),45150.0)</f>
        <v>45150</v>
      </c>
      <c r="Q743" s="45">
        <f>IFERROR(__xludf.DUMMYFUNCTION("""COMPUTED_VALUE"""),45108.0)</f>
        <v>45108</v>
      </c>
      <c r="R743" s="45">
        <f>IFERROR(__xludf.DUMMYFUNCTION("""COMPUTED_VALUE"""),45151.0)</f>
        <v>45151</v>
      </c>
      <c r="S743" s="43"/>
      <c r="T743" s="43"/>
      <c r="U743" s="43" t="str">
        <f>IFERROR(__xludf.DUMMYFUNCTION("""COMPUTED_VALUE"""),"On The Map")</f>
        <v>On The Map</v>
      </c>
      <c r="V743" s="43" t="str">
        <f>IFERROR(__xludf.DUMMYFUNCTION("""COMPUTED_VALUE"""),"MUGLA")</f>
        <v>MUGLA</v>
      </c>
      <c r="W743" s="43" t="str">
        <f>IFERROR(__xludf.DUMMYFUNCTION("""COMPUTED_VALUE"""),"2023-05-17T23:07:10Z")</f>
        <v>2023-05-17T23:07:10Z</v>
      </c>
      <c r="X743" s="43"/>
      <c r="Y743" s="43"/>
      <c r="Z743" s="43"/>
    </row>
    <row r="744" hidden="1">
      <c r="A744" s="43" t="str">
        <f>IFERROR(__xludf.DUMMYFUNCTION("""COMPUTED_VALUE"""),"5263371_1294994")</f>
        <v>5263371_1294994</v>
      </c>
      <c r="B744" s="43" t="str">
        <f>IFERROR(__xludf.DUMMYFUNCTION("""COMPUTED_VALUE"""),"Berhan Demiralp")</f>
        <v>Berhan Demiralp</v>
      </c>
      <c r="C744" s="43" t="str">
        <f>IFERROR(__xludf.DUMMYFUNCTION("""COMPUTED_VALUE"""),"completed")</f>
        <v>completed</v>
      </c>
      <c r="D744" s="43" t="str">
        <f>IFERROR(__xludf.DUMMYFUNCTION("""COMPUTED_VALUE"""),"No")</f>
        <v>No</v>
      </c>
      <c r="E744" s="43" t="str">
        <f>IFERROR(__xludf.DUMMYFUNCTION("""COMPUTED_VALUE"""),"p_e2fa2b9d8c492d6f3cfee0f4c61cb33fef48cd9b@inbound.aiesec.org")</f>
        <v>p_e2fa2b9d8c492d6f3cfee0f4c61cb33fef48cd9b@inbound.aiesec.org</v>
      </c>
      <c r="F744" s="43">
        <f>IFERROR(__xludf.DUMMYFUNCTION("""COMPUTED_VALUE"""),5.340516023E9)</f>
        <v>5340516023</v>
      </c>
      <c r="G744" s="43" t="str">
        <f>IFERROR(__xludf.DUMMYFUNCTION("""COMPUTED_VALUE"""),"Turkey")</f>
        <v>Turkey</v>
      </c>
      <c r="H744" s="43" t="str">
        <f>IFERROR(__xludf.DUMMYFUNCTION("""COMPUTED_VALUE"""),"ISTANBUL WEST")</f>
        <v>ISTANBUL WEST</v>
      </c>
      <c r="I744" s="43" t="str">
        <f>IFERROR(__xludf.DUMMYFUNCTION("""COMPUTED_VALUE"""),"Romania")</f>
        <v>Romania</v>
      </c>
      <c r="J744" s="43" t="str">
        <f>IFERROR(__xludf.DUMMYFUNCTION("""COMPUTED_VALUE"""),"Cluj-Napoca")</f>
        <v>Cluj-Napoca</v>
      </c>
      <c r="K744" s="44" t="str">
        <f>IFERROR(__xludf.DUMMYFUNCTION("""COMPUTED_VALUE"""),"https://expa.aiesec.org/opportunities/1294994")</f>
        <v>https://expa.aiesec.org/opportunities/1294994</v>
      </c>
      <c r="L744" s="43" t="str">
        <f>IFERROR(__xludf.DUMMYFUNCTION("""COMPUTED_VALUE"""),"GV")</f>
        <v>GV</v>
      </c>
      <c r="M744" s="43" t="str">
        <f>IFERROR(__xludf.DUMMYFUNCTION("""COMPUTED_VALUE"""),"short")</f>
        <v>short</v>
      </c>
      <c r="N744" s="45">
        <f>IFERROR(__xludf.DUMMYFUNCTION("""COMPUTED_VALUE"""),45070.0)</f>
        <v>45070</v>
      </c>
      <c r="O744" s="45">
        <f>IFERROR(__xludf.DUMMYFUNCTION("""COMPUTED_VALUE"""),45103.0)</f>
        <v>45103</v>
      </c>
      <c r="P744" s="45">
        <f>IFERROR(__xludf.DUMMYFUNCTION("""COMPUTED_VALUE"""),45145.0)</f>
        <v>45145</v>
      </c>
      <c r="Q744" s="45">
        <f>IFERROR(__xludf.DUMMYFUNCTION("""COMPUTED_VALUE"""),45103.0)</f>
        <v>45103</v>
      </c>
      <c r="R744" s="45">
        <f>IFERROR(__xludf.DUMMYFUNCTION("""COMPUTED_VALUE"""),45145.0)</f>
        <v>45145</v>
      </c>
      <c r="S744" s="43"/>
      <c r="T744" s="43"/>
      <c r="U744" s="43" t="str">
        <f>IFERROR(__xludf.DUMMYFUNCTION("""COMPUTED_VALUE"""),"Fingerprint")</f>
        <v>Fingerprint</v>
      </c>
      <c r="V744" s="43" t="str">
        <f>IFERROR(__xludf.DUMMYFUNCTION("""COMPUTED_VALUE"""),"ISTANBUL - BAKIRKOY")</f>
        <v>ISTANBUL - BAKIRKOY</v>
      </c>
      <c r="W744" s="43" t="str">
        <f>IFERROR(__xludf.DUMMYFUNCTION("""COMPUTED_VALUE"""),"2023-05-19T08:09:33Z")</f>
        <v>2023-05-19T08:09:33Z</v>
      </c>
      <c r="X744" s="43"/>
      <c r="Y744" s="43"/>
      <c r="Z744" s="43"/>
    </row>
    <row r="745" hidden="1">
      <c r="A745" s="43" t="str">
        <f>IFERROR(__xludf.DUMMYFUNCTION("""COMPUTED_VALUE"""),"5264080_1293370")</f>
        <v>5264080_1293370</v>
      </c>
      <c r="B745" s="43" t="str">
        <f>IFERROR(__xludf.DUMMYFUNCTION("""COMPUTED_VALUE"""),"Dide Turut")</f>
        <v>Dide Turut</v>
      </c>
      <c r="C745" s="43" t="str">
        <f>IFERROR(__xludf.DUMMYFUNCTION("""COMPUTED_VALUE"""),"completed")</f>
        <v>completed</v>
      </c>
      <c r="D745" s="43" t="str">
        <f>IFERROR(__xludf.DUMMYFUNCTION("""COMPUTED_VALUE"""),"No")</f>
        <v>No</v>
      </c>
      <c r="E745" s="43" t="str">
        <f>IFERROR(__xludf.DUMMYFUNCTION("""COMPUTED_VALUE"""),"p_5cae67f10ea24fa9e625337deb14370890c5896e@inbound.aiesec.org")</f>
        <v>p_5cae67f10ea24fa9e625337deb14370890c5896e@inbound.aiesec.org</v>
      </c>
      <c r="F745" s="43">
        <f>IFERROR(__xludf.DUMMYFUNCTION("""COMPUTED_VALUE"""),5.340225607E9)</f>
        <v>5340225607</v>
      </c>
      <c r="G745" s="43" t="str">
        <f>IFERROR(__xludf.DUMMYFUNCTION("""COMPUTED_VALUE"""),"Turkey")</f>
        <v>Turkey</v>
      </c>
      <c r="H745" s="43" t="str">
        <f>IFERROR(__xludf.DUMMYFUNCTION("""COMPUTED_VALUE"""),"ADANA")</f>
        <v>ADANA</v>
      </c>
      <c r="I745" s="43" t="str">
        <f>IFERROR(__xludf.DUMMYFUNCTION("""COMPUTED_VALUE"""),"Azerbaijan")</f>
        <v>Azerbaijan</v>
      </c>
      <c r="J745" s="43" t="str">
        <f>IFERROR(__xludf.DUMMYFUNCTION("""COMPUTED_VALUE"""),"Baku Synergy")</f>
        <v>Baku Synergy</v>
      </c>
      <c r="K745" s="44" t="str">
        <f>IFERROR(__xludf.DUMMYFUNCTION("""COMPUTED_VALUE"""),"https://expa.aiesec.org/opportunities/1293370")</f>
        <v>https://expa.aiesec.org/opportunities/1293370</v>
      </c>
      <c r="L745" s="43" t="str">
        <f>IFERROR(__xludf.DUMMYFUNCTION("""COMPUTED_VALUE"""),"GV")</f>
        <v>GV</v>
      </c>
      <c r="M745" s="43" t="str">
        <f>IFERROR(__xludf.DUMMYFUNCTION("""COMPUTED_VALUE"""),"short")</f>
        <v>short</v>
      </c>
      <c r="N745" s="45">
        <f>IFERROR(__xludf.DUMMYFUNCTION("""COMPUTED_VALUE"""),45070.0)</f>
        <v>45070</v>
      </c>
      <c r="O745" s="45">
        <f>IFERROR(__xludf.DUMMYFUNCTION("""COMPUTED_VALUE"""),45145.0)</f>
        <v>45145</v>
      </c>
      <c r="P745" s="45">
        <f>IFERROR(__xludf.DUMMYFUNCTION("""COMPUTED_VALUE"""),45187.0)</f>
        <v>45187</v>
      </c>
      <c r="Q745" s="45"/>
      <c r="R745" s="45">
        <f>IFERROR(__xludf.DUMMYFUNCTION("""COMPUTED_VALUE"""),45187.0)</f>
        <v>45187</v>
      </c>
      <c r="S745" s="43"/>
      <c r="T745" s="43"/>
      <c r="U745" s="43" t="str">
        <f>IFERROR(__xludf.DUMMYFUNCTION("""COMPUTED_VALUE"""),"Raise Your Voice")</f>
        <v>Raise Your Voice</v>
      </c>
      <c r="V745" s="43" t="str">
        <f>IFERROR(__xludf.DUMMYFUNCTION("""COMPUTED_VALUE"""),"ADANA")</f>
        <v>ADANA</v>
      </c>
      <c r="W745" s="43" t="str">
        <f>IFERROR(__xludf.DUMMYFUNCTION("""COMPUTED_VALUE"""),"2023-05-20T12:53:29Z")</f>
        <v>2023-05-20T12:53:29Z</v>
      </c>
      <c r="X745" s="43"/>
      <c r="Y745" s="43"/>
      <c r="Z745" s="43"/>
    </row>
    <row r="746" hidden="1">
      <c r="A746" s="43" t="str">
        <f>IFERROR(__xludf.DUMMYFUNCTION("""COMPUTED_VALUE"""),"4905982_1293632")</f>
        <v>4905982_1293632</v>
      </c>
      <c r="B746" s="43" t="str">
        <f>IFERROR(__xludf.DUMMYFUNCTION("""COMPUTED_VALUE"""),"Aslıhan Güngör")</f>
        <v>Aslıhan Güngör</v>
      </c>
      <c r="C746" s="43" t="str">
        <f>IFERROR(__xludf.DUMMYFUNCTION("""COMPUTED_VALUE"""),"completed")</f>
        <v>completed</v>
      </c>
      <c r="D746" s="43" t="str">
        <f>IFERROR(__xludf.DUMMYFUNCTION("""COMPUTED_VALUE"""),"No")</f>
        <v>No</v>
      </c>
      <c r="E746" s="43" t="str">
        <f>IFERROR(__xludf.DUMMYFUNCTION("""COMPUTED_VALUE"""),"p_4277f5a84651a6c6a14b9040f9feae83fbfdf73b@inbound.aiesec.org")</f>
        <v>p_4277f5a84651a6c6a14b9040f9feae83fbfdf73b@inbound.aiesec.org</v>
      </c>
      <c r="F746" s="43">
        <f>IFERROR(__xludf.DUMMYFUNCTION("""COMPUTED_VALUE"""),5.377318055E9)</f>
        <v>5377318055</v>
      </c>
      <c r="G746" s="43" t="str">
        <f>IFERROR(__xludf.DUMMYFUNCTION("""COMPUTED_VALUE"""),"Turkey")</f>
        <v>Turkey</v>
      </c>
      <c r="H746" s="43" t="str">
        <f>IFERROR(__xludf.DUMMYFUNCTION("""COMPUTED_VALUE"""),"ANTALYA")</f>
        <v>ANTALYA</v>
      </c>
      <c r="I746" s="43" t="str">
        <f>IFERROR(__xludf.DUMMYFUNCTION("""COMPUTED_VALUE"""),"Romania")</f>
        <v>Romania</v>
      </c>
      <c r="J746" s="43" t="str">
        <f>IFERROR(__xludf.DUMMYFUNCTION("""COMPUTED_VALUE"""),"Cluj-Napoca")</f>
        <v>Cluj-Napoca</v>
      </c>
      <c r="K746" s="44" t="str">
        <f>IFERROR(__xludf.DUMMYFUNCTION("""COMPUTED_VALUE"""),"https://expa.aiesec.org/opportunities/1293632")</f>
        <v>https://expa.aiesec.org/opportunities/1293632</v>
      </c>
      <c r="L746" s="43" t="str">
        <f>IFERROR(__xludf.DUMMYFUNCTION("""COMPUTED_VALUE"""),"GV")</f>
        <v>GV</v>
      </c>
      <c r="M746" s="43" t="str">
        <f>IFERROR(__xludf.DUMMYFUNCTION("""COMPUTED_VALUE"""),"short")</f>
        <v>short</v>
      </c>
      <c r="N746" s="45">
        <f>IFERROR(__xludf.DUMMYFUNCTION("""COMPUTED_VALUE"""),45070.0)</f>
        <v>45070</v>
      </c>
      <c r="O746" s="45">
        <f>IFERROR(__xludf.DUMMYFUNCTION("""COMPUTED_VALUE"""),45180.0)</f>
        <v>45180</v>
      </c>
      <c r="P746" s="45">
        <f>IFERROR(__xludf.DUMMYFUNCTION("""COMPUTED_VALUE"""),45222.0)</f>
        <v>45222</v>
      </c>
      <c r="Q746" s="45">
        <f>IFERROR(__xludf.DUMMYFUNCTION("""COMPUTED_VALUE"""),45180.0)</f>
        <v>45180</v>
      </c>
      <c r="R746" s="45">
        <f>IFERROR(__xludf.DUMMYFUNCTION("""COMPUTED_VALUE"""),45222.0)</f>
        <v>45222</v>
      </c>
      <c r="S746" s="43"/>
      <c r="T746" s="43"/>
      <c r="U746" s="43" t="str">
        <f>IFERROR(__xludf.DUMMYFUNCTION("""COMPUTED_VALUE"""),"Global Classroom")</f>
        <v>Global Classroom</v>
      </c>
      <c r="V746" s="43" t="str">
        <f>IFERROR(__xludf.DUMMYFUNCTION("""COMPUTED_VALUE"""),"ANTALYA")</f>
        <v>ANTALYA</v>
      </c>
      <c r="W746" s="43" t="str">
        <f>IFERROR(__xludf.DUMMYFUNCTION("""COMPUTED_VALUE"""),"2022-01-30T21:38:21Z")</f>
        <v>2022-01-30T21:38:21Z</v>
      </c>
      <c r="X746" s="43"/>
      <c r="Y746" s="43"/>
      <c r="Z746" s="43"/>
    </row>
    <row r="747" hidden="1">
      <c r="A747" s="43" t="str">
        <f>IFERROR(__xludf.DUMMYFUNCTION("""COMPUTED_VALUE"""),"5258150_1293980")</f>
        <v>5258150_1293980</v>
      </c>
      <c r="B747" s="43" t="str">
        <f>IFERROR(__xludf.DUMMYFUNCTION("""COMPUTED_VALUE"""),"Ceren Nur Aslantaş")</f>
        <v>Ceren Nur Aslantaş</v>
      </c>
      <c r="C747" s="43" t="str">
        <f>IFERROR(__xludf.DUMMYFUNCTION("""COMPUTED_VALUE"""),"completed")</f>
        <v>completed</v>
      </c>
      <c r="D747" s="43" t="str">
        <f>IFERROR(__xludf.DUMMYFUNCTION("""COMPUTED_VALUE"""),"No")</f>
        <v>No</v>
      </c>
      <c r="E747" s="43" t="str">
        <f>IFERROR(__xludf.DUMMYFUNCTION("""COMPUTED_VALUE"""),"p_5320c67fd77a26b2cc438a8b2bab85387bcb9d16@inbound.aiesec.org")</f>
        <v>p_5320c67fd77a26b2cc438a8b2bab85387bcb9d16@inbound.aiesec.org</v>
      </c>
      <c r="F747" s="43">
        <f>IFERROR(__xludf.DUMMYFUNCTION("""COMPUTED_VALUE"""),5.386470921E9)</f>
        <v>5386470921</v>
      </c>
      <c r="G747" s="43" t="str">
        <f>IFERROR(__xludf.DUMMYFUNCTION("""COMPUTED_VALUE"""),"Turkey")</f>
        <v>Turkey</v>
      </c>
      <c r="H747" s="43" t="str">
        <f>IFERROR(__xludf.DUMMYFUNCTION("""COMPUTED_VALUE"""),"ANKARA")</f>
        <v>ANKARA</v>
      </c>
      <c r="I747" s="43" t="str">
        <f>IFERROR(__xludf.DUMMYFUNCTION("""COMPUTED_VALUE"""),"Slovakia")</f>
        <v>Slovakia</v>
      </c>
      <c r="J747" s="43" t="str">
        <f>IFERROR(__xludf.DUMMYFUNCTION("""COMPUTED_VALUE"""),"Bratislava")</f>
        <v>Bratislava</v>
      </c>
      <c r="K747" s="44" t="str">
        <f>IFERROR(__xludf.DUMMYFUNCTION("""COMPUTED_VALUE"""),"https://expa.aiesec.org/opportunities/1293980")</f>
        <v>https://expa.aiesec.org/opportunities/1293980</v>
      </c>
      <c r="L747" s="43" t="str">
        <f>IFERROR(__xludf.DUMMYFUNCTION("""COMPUTED_VALUE"""),"GV")</f>
        <v>GV</v>
      </c>
      <c r="M747" s="43" t="str">
        <f>IFERROR(__xludf.DUMMYFUNCTION("""COMPUTED_VALUE"""),"short")</f>
        <v>short</v>
      </c>
      <c r="N747" s="45">
        <f>IFERROR(__xludf.DUMMYFUNCTION("""COMPUTED_VALUE"""),45070.0)</f>
        <v>45070</v>
      </c>
      <c r="O747" s="45">
        <f>IFERROR(__xludf.DUMMYFUNCTION("""COMPUTED_VALUE"""),45096.0)</f>
        <v>45096</v>
      </c>
      <c r="P747" s="45">
        <f>IFERROR(__xludf.DUMMYFUNCTION("""COMPUTED_VALUE"""),45138.0)</f>
        <v>45138</v>
      </c>
      <c r="Q747" s="45">
        <f>IFERROR(__xludf.DUMMYFUNCTION("""COMPUTED_VALUE"""),45098.0)</f>
        <v>45098</v>
      </c>
      <c r="R747" s="45">
        <f>IFERROR(__xludf.DUMMYFUNCTION("""COMPUTED_VALUE"""),45138.0)</f>
        <v>45138</v>
      </c>
      <c r="S747" s="43"/>
      <c r="T747" s="43"/>
      <c r="U747" s="43" t="str">
        <f>IFERROR(__xludf.DUMMYFUNCTION("""COMPUTED_VALUE"""),"Happy Bus")</f>
        <v>Happy Bus</v>
      </c>
      <c r="V747" s="43" t="str">
        <f>IFERROR(__xludf.DUMMYFUNCTION("""COMPUTED_VALUE"""),"ANKARA")</f>
        <v>ANKARA</v>
      </c>
      <c r="W747" s="43" t="str">
        <f>IFERROR(__xludf.DUMMYFUNCTION("""COMPUTED_VALUE"""),"2023-05-09T10:24:09Z")</f>
        <v>2023-05-09T10:24:09Z</v>
      </c>
      <c r="X747" s="43"/>
      <c r="Y747" s="43"/>
      <c r="Z747" s="43"/>
    </row>
    <row r="748" hidden="1">
      <c r="A748" s="43" t="str">
        <f>IFERROR(__xludf.DUMMYFUNCTION("""COMPUTED_VALUE"""),"5254395_1291979")</f>
        <v>5254395_1291979</v>
      </c>
      <c r="B748" s="43" t="str">
        <f>IFERROR(__xludf.DUMMYFUNCTION("""COMPUTED_VALUE"""),"Nehir Çakmak")</f>
        <v>Nehir Çakmak</v>
      </c>
      <c r="C748" s="43" t="str">
        <f>IFERROR(__xludf.DUMMYFUNCTION("""COMPUTED_VALUE"""),"completed")</f>
        <v>completed</v>
      </c>
      <c r="D748" s="43" t="str">
        <f>IFERROR(__xludf.DUMMYFUNCTION("""COMPUTED_VALUE"""),"No")</f>
        <v>No</v>
      </c>
      <c r="E748" s="43" t="str">
        <f>IFERROR(__xludf.DUMMYFUNCTION("""COMPUTED_VALUE"""),"p_ab2a58fa2f5289a1e88b6f0e3025810be0851608@inbound.aiesec.org")</f>
        <v>p_ab2a58fa2f5289a1e88b6f0e3025810be0851608@inbound.aiesec.org</v>
      </c>
      <c r="F748" s="43">
        <f>IFERROR(__xludf.DUMMYFUNCTION("""COMPUTED_VALUE"""),5.433827262E9)</f>
        <v>5433827262</v>
      </c>
      <c r="G748" s="43" t="str">
        <f>IFERROR(__xludf.DUMMYFUNCTION("""COMPUTED_VALUE"""),"Turkey")</f>
        <v>Turkey</v>
      </c>
      <c r="H748" s="43" t="str">
        <f>IFERROR(__xludf.DUMMYFUNCTION("""COMPUTED_VALUE"""),"ANKARA")</f>
        <v>ANKARA</v>
      </c>
      <c r="I748" s="43" t="str">
        <f>IFERROR(__xludf.DUMMYFUNCTION("""COMPUTED_VALUE"""),"Czech Republic")</f>
        <v>Czech Republic</v>
      </c>
      <c r="J748" s="43" t="str">
        <f>IFERROR(__xludf.DUMMYFUNCTION("""COMPUTED_VALUE"""),"BRNO")</f>
        <v>BRNO</v>
      </c>
      <c r="K748" s="44" t="str">
        <f>IFERROR(__xludf.DUMMYFUNCTION("""COMPUTED_VALUE"""),"https://expa.aiesec.org/opportunities/1291979")</f>
        <v>https://expa.aiesec.org/opportunities/1291979</v>
      </c>
      <c r="L748" s="43" t="str">
        <f>IFERROR(__xludf.DUMMYFUNCTION("""COMPUTED_VALUE"""),"GV")</f>
        <v>GV</v>
      </c>
      <c r="M748" s="43" t="str">
        <f>IFERROR(__xludf.DUMMYFUNCTION("""COMPUTED_VALUE"""),"short")</f>
        <v>short</v>
      </c>
      <c r="N748" s="45">
        <f>IFERROR(__xludf.DUMMYFUNCTION("""COMPUTED_VALUE"""),45070.0)</f>
        <v>45070</v>
      </c>
      <c r="O748" s="45">
        <f>IFERROR(__xludf.DUMMYFUNCTION("""COMPUTED_VALUE"""),45173.0)</f>
        <v>45173</v>
      </c>
      <c r="P748" s="45">
        <f>IFERROR(__xludf.DUMMYFUNCTION("""COMPUTED_VALUE"""),45215.0)</f>
        <v>45215</v>
      </c>
      <c r="Q748" s="45">
        <f>IFERROR(__xludf.DUMMYFUNCTION("""COMPUTED_VALUE"""),45173.0)</f>
        <v>45173</v>
      </c>
      <c r="R748" s="45">
        <f>IFERROR(__xludf.DUMMYFUNCTION("""COMPUTED_VALUE"""),45215.0)</f>
        <v>45215</v>
      </c>
      <c r="S748" s="43"/>
      <c r="T748" s="43"/>
      <c r="U748" s="43" t="str">
        <f>IFERROR(__xludf.DUMMYFUNCTION("""COMPUTED_VALUE"""),"Youth 4 Impact")</f>
        <v>Youth 4 Impact</v>
      </c>
      <c r="V748" s="43" t="str">
        <f>IFERROR(__xludf.DUMMYFUNCTION("""COMPUTED_VALUE"""),"ANKARA")</f>
        <v>ANKARA</v>
      </c>
      <c r="W748" s="43" t="str">
        <f>IFERROR(__xludf.DUMMYFUNCTION("""COMPUTED_VALUE"""),"2023-05-02T16:12:09Z")</f>
        <v>2023-05-02T16:12:09Z</v>
      </c>
      <c r="X748" s="43"/>
      <c r="Y748" s="43"/>
      <c r="Z748" s="43"/>
    </row>
    <row r="749" hidden="1">
      <c r="A749" s="43" t="str">
        <f>IFERROR(__xludf.DUMMYFUNCTION("""COMPUTED_VALUE"""),"5247383_1294995")</f>
        <v>5247383_1294995</v>
      </c>
      <c r="B749" s="43" t="str">
        <f>IFERROR(__xludf.DUMMYFUNCTION("""COMPUTED_VALUE"""),"Fatma Hesna Başarı")</f>
        <v>Fatma Hesna Başarı</v>
      </c>
      <c r="C749" s="43" t="str">
        <f>IFERROR(__xludf.DUMMYFUNCTION("""COMPUTED_VALUE"""),"finished")</f>
        <v>finished</v>
      </c>
      <c r="D749" s="43" t="str">
        <f>IFERROR(__xludf.DUMMYFUNCTION("""COMPUTED_VALUE"""),"No")</f>
        <v>No</v>
      </c>
      <c r="E749" s="43" t="str">
        <f>IFERROR(__xludf.DUMMYFUNCTION("""COMPUTED_VALUE"""),"p_eb630446b35d4e674821144003dc8b245c200251@inbound.aiesec.org")</f>
        <v>p_eb630446b35d4e674821144003dc8b245c200251@inbound.aiesec.org</v>
      </c>
      <c r="F749" s="43">
        <f>IFERROR(__xludf.DUMMYFUNCTION("""COMPUTED_VALUE"""),5.46734155E9)</f>
        <v>5467341550</v>
      </c>
      <c r="G749" s="43" t="str">
        <f>IFERROR(__xludf.DUMMYFUNCTION("""COMPUTED_VALUE"""),"Turkey")</f>
        <v>Turkey</v>
      </c>
      <c r="H749" s="43" t="str">
        <f>IFERROR(__xludf.DUMMYFUNCTION("""COMPUTED_VALUE"""),"DENIZLI")</f>
        <v>DENIZLI</v>
      </c>
      <c r="I749" s="43" t="str">
        <f>IFERROR(__xludf.DUMMYFUNCTION("""COMPUTED_VALUE"""),"Romania")</f>
        <v>Romania</v>
      </c>
      <c r="J749" s="43" t="str">
        <f>IFERROR(__xludf.DUMMYFUNCTION("""COMPUTED_VALUE"""),"GALATI")</f>
        <v>GALATI</v>
      </c>
      <c r="K749" s="44" t="str">
        <f>IFERROR(__xludf.DUMMYFUNCTION("""COMPUTED_VALUE"""),"https://expa.aiesec.org/opportunities/1294995")</f>
        <v>https://expa.aiesec.org/opportunities/1294995</v>
      </c>
      <c r="L749" s="43" t="str">
        <f>IFERROR(__xludf.DUMMYFUNCTION("""COMPUTED_VALUE"""),"GV")</f>
        <v>GV</v>
      </c>
      <c r="M749" s="43" t="str">
        <f>IFERROR(__xludf.DUMMYFUNCTION("""COMPUTED_VALUE"""),"short")</f>
        <v>short</v>
      </c>
      <c r="N749" s="45">
        <f>IFERROR(__xludf.DUMMYFUNCTION("""COMPUTED_VALUE"""),45071.0)</f>
        <v>45071</v>
      </c>
      <c r="O749" s="45">
        <f>IFERROR(__xludf.DUMMYFUNCTION("""COMPUTED_VALUE"""),45115.0)</f>
        <v>45115</v>
      </c>
      <c r="P749" s="45">
        <f>IFERROR(__xludf.DUMMYFUNCTION("""COMPUTED_VALUE"""),45157.0)</f>
        <v>45157</v>
      </c>
      <c r="Q749" s="45">
        <f>IFERROR(__xludf.DUMMYFUNCTION("""COMPUTED_VALUE"""),45115.0)</f>
        <v>45115</v>
      </c>
      <c r="R749" s="45">
        <f>IFERROR(__xludf.DUMMYFUNCTION("""COMPUTED_VALUE"""),45157.0)</f>
        <v>45157</v>
      </c>
      <c r="S749" s="43"/>
      <c r="T749" s="43"/>
      <c r="U749" s="43" t="str">
        <f>IFERROR(__xludf.DUMMYFUNCTION("""COMPUTED_VALUE"""),"Fingerprint")</f>
        <v>Fingerprint</v>
      </c>
      <c r="V749" s="43" t="str">
        <f>IFERROR(__xludf.DUMMYFUNCTION("""COMPUTED_VALUE"""),"DENIZLI")</f>
        <v>DENIZLI</v>
      </c>
      <c r="W749" s="43" t="str">
        <f>IFERROR(__xludf.DUMMYFUNCTION("""COMPUTED_VALUE"""),"2023-04-22T17:11:41Z")</f>
        <v>2023-04-22T17:11:41Z</v>
      </c>
      <c r="X749" s="43"/>
      <c r="Y749" s="43"/>
      <c r="Z749" s="43"/>
    </row>
    <row r="750" hidden="1">
      <c r="A750" s="43" t="str">
        <f>IFERROR(__xludf.DUMMYFUNCTION("""COMPUTED_VALUE"""),"5005266_1293965")</f>
        <v>5005266_1293965</v>
      </c>
      <c r="B750" s="43" t="str">
        <f>IFERROR(__xludf.DUMMYFUNCTION("""COMPUTED_VALUE"""),"Efe Erdoğdu")</f>
        <v>Efe Erdoğdu</v>
      </c>
      <c r="C750" s="43" t="str">
        <f>IFERROR(__xludf.DUMMYFUNCTION("""COMPUTED_VALUE"""),"completed")</f>
        <v>completed</v>
      </c>
      <c r="D750" s="43" t="str">
        <f>IFERROR(__xludf.DUMMYFUNCTION("""COMPUTED_VALUE"""),"No")</f>
        <v>No</v>
      </c>
      <c r="E750" s="43" t="str">
        <f>IFERROR(__xludf.DUMMYFUNCTION("""COMPUTED_VALUE"""),"p_45fd73f72558960f592fd9d6328ed3109c2d669b@inbound.aiesec.org")</f>
        <v>p_45fd73f72558960f592fd9d6328ed3109c2d669b@inbound.aiesec.org</v>
      </c>
      <c r="F750" s="43">
        <f>IFERROR(__xludf.DUMMYFUNCTION("""COMPUTED_VALUE"""),5.337298287E9)</f>
        <v>5337298287</v>
      </c>
      <c r="G750" s="43" t="str">
        <f>IFERROR(__xludf.DUMMYFUNCTION("""COMPUTED_VALUE"""),"Turkey")</f>
        <v>Turkey</v>
      </c>
      <c r="H750" s="43" t="str">
        <f>IFERROR(__xludf.DUMMYFUNCTION("""COMPUTED_VALUE"""),"DENIZLI")</f>
        <v>DENIZLI</v>
      </c>
      <c r="I750" s="43" t="str">
        <f>IFERROR(__xludf.DUMMYFUNCTION("""COMPUTED_VALUE"""),"Egypt")</f>
        <v>Egypt</v>
      </c>
      <c r="J750" s="43" t="str">
        <f>IFERROR(__xludf.DUMMYFUNCTION("""COMPUTED_VALUE"""),"Mansoura")</f>
        <v>Mansoura</v>
      </c>
      <c r="K750" s="44" t="str">
        <f>IFERROR(__xludf.DUMMYFUNCTION("""COMPUTED_VALUE"""),"https://expa.aiesec.org/opportunities/1293965")</f>
        <v>https://expa.aiesec.org/opportunities/1293965</v>
      </c>
      <c r="L750" s="43" t="str">
        <f>IFERROR(__xludf.DUMMYFUNCTION("""COMPUTED_VALUE"""),"GV")</f>
        <v>GV</v>
      </c>
      <c r="M750" s="43" t="str">
        <f>IFERROR(__xludf.DUMMYFUNCTION("""COMPUTED_VALUE"""),"short")</f>
        <v>short</v>
      </c>
      <c r="N750" s="45">
        <f>IFERROR(__xludf.DUMMYFUNCTION("""COMPUTED_VALUE"""),45072.0)</f>
        <v>45072</v>
      </c>
      <c r="O750" s="45">
        <f>IFERROR(__xludf.DUMMYFUNCTION("""COMPUTED_VALUE"""),45122.0)</f>
        <v>45122</v>
      </c>
      <c r="P750" s="45">
        <f>IFERROR(__xludf.DUMMYFUNCTION("""COMPUTED_VALUE"""),45164.0)</f>
        <v>45164</v>
      </c>
      <c r="Q750" s="45">
        <f>IFERROR(__xludf.DUMMYFUNCTION("""COMPUTED_VALUE"""),45121.0)</f>
        <v>45121</v>
      </c>
      <c r="R750" s="45">
        <f>IFERROR(__xludf.DUMMYFUNCTION("""COMPUTED_VALUE"""),45164.0)</f>
        <v>45164</v>
      </c>
      <c r="S750" s="43"/>
      <c r="T750" s="43"/>
      <c r="U750" s="43" t="str">
        <f>IFERROR(__xludf.DUMMYFUNCTION("""COMPUTED_VALUE"""),"Skill Up!")</f>
        <v>Skill Up!</v>
      </c>
      <c r="V750" s="43" t="str">
        <f>IFERROR(__xludf.DUMMYFUNCTION("""COMPUTED_VALUE"""),"DENIZLI")</f>
        <v>DENIZLI</v>
      </c>
      <c r="W750" s="43" t="str">
        <f>IFERROR(__xludf.DUMMYFUNCTION("""COMPUTED_VALUE"""),"2022-03-25T14:57:59Z")</f>
        <v>2022-03-25T14:57:59Z</v>
      </c>
      <c r="X750" s="43"/>
      <c r="Y750" s="43"/>
      <c r="Z750" s="43"/>
    </row>
    <row r="751" hidden="1">
      <c r="A751" s="43" t="str">
        <f>IFERROR(__xludf.DUMMYFUNCTION("""COMPUTED_VALUE"""),"5259719_1290384")</f>
        <v>5259719_1290384</v>
      </c>
      <c r="B751" s="43" t="str">
        <f>IFERROR(__xludf.DUMMYFUNCTION("""COMPUTED_VALUE"""),"sema durman")</f>
        <v>sema durman</v>
      </c>
      <c r="C751" s="43" t="str">
        <f>IFERROR(__xludf.DUMMYFUNCTION("""COMPUTED_VALUE"""),"approved")</f>
        <v>approved</v>
      </c>
      <c r="D751" s="43" t="str">
        <f>IFERROR(__xludf.DUMMYFUNCTION("""COMPUTED_VALUE"""),"No")</f>
        <v>No</v>
      </c>
      <c r="E751" s="43" t="str">
        <f>IFERROR(__xludf.DUMMYFUNCTION("""COMPUTED_VALUE"""),"p_87a3869feca0dc39308dc306908ea4bc139ddee6@inbound.aiesec.org")</f>
        <v>p_87a3869feca0dc39308dc306908ea4bc139ddee6@inbound.aiesec.org</v>
      </c>
      <c r="F751" s="43">
        <f>IFERROR(__xludf.DUMMYFUNCTION("""COMPUTED_VALUE"""),5.529198484E9)</f>
        <v>5529198484</v>
      </c>
      <c r="G751" s="43" t="str">
        <f>IFERROR(__xludf.DUMMYFUNCTION("""COMPUTED_VALUE"""),"Turkey")</f>
        <v>Turkey</v>
      </c>
      <c r="H751" s="43" t="str">
        <f>IFERROR(__xludf.DUMMYFUNCTION("""COMPUTED_VALUE"""),"DENIZLI")</f>
        <v>DENIZLI</v>
      </c>
      <c r="I751" s="43" t="str">
        <f>IFERROR(__xludf.DUMMYFUNCTION("""COMPUTED_VALUE"""),"Egypt")</f>
        <v>Egypt</v>
      </c>
      <c r="J751" s="43" t="str">
        <f>IFERROR(__xludf.DUMMYFUNCTION("""COMPUTED_VALUE"""),"Menofia")</f>
        <v>Menofia</v>
      </c>
      <c r="K751" s="44" t="str">
        <f>IFERROR(__xludf.DUMMYFUNCTION("""COMPUTED_VALUE"""),"https://expa.aiesec.org/opportunities/1290384")</f>
        <v>https://expa.aiesec.org/opportunities/1290384</v>
      </c>
      <c r="L751" s="43" t="str">
        <f>IFERROR(__xludf.DUMMYFUNCTION("""COMPUTED_VALUE"""),"GV")</f>
        <v>GV</v>
      </c>
      <c r="M751" s="43" t="str">
        <f>IFERROR(__xludf.DUMMYFUNCTION("""COMPUTED_VALUE"""),"short")</f>
        <v>short</v>
      </c>
      <c r="N751" s="45">
        <f>IFERROR(__xludf.DUMMYFUNCTION("""COMPUTED_VALUE"""),45072.0)</f>
        <v>45072</v>
      </c>
      <c r="O751" s="45">
        <f>IFERROR(__xludf.DUMMYFUNCTION("""COMPUTED_VALUE"""),45097.0)</f>
        <v>45097</v>
      </c>
      <c r="P751" s="45">
        <f>IFERROR(__xludf.DUMMYFUNCTION("""COMPUTED_VALUE"""),45139.0)</f>
        <v>45139</v>
      </c>
      <c r="Q751" s="45"/>
      <c r="R751" s="45"/>
      <c r="S751" s="43"/>
      <c r="T751" s="43"/>
      <c r="U751" s="43" t="str">
        <f>IFERROR(__xludf.DUMMYFUNCTION("""COMPUTED_VALUE"""),"On The Map")</f>
        <v>On The Map</v>
      </c>
      <c r="V751" s="43" t="str">
        <f>IFERROR(__xludf.DUMMYFUNCTION("""COMPUTED_VALUE"""),"ESKISEHIR")</f>
        <v>ESKISEHIR</v>
      </c>
      <c r="W751" s="43" t="str">
        <f>IFERROR(__xludf.DUMMYFUNCTION("""COMPUTED_VALUE"""),"2023-05-11T21:52:12Z")</f>
        <v>2023-05-11T21:52:12Z</v>
      </c>
      <c r="X751" s="43"/>
      <c r="Y751" s="43"/>
      <c r="Z751" s="43"/>
    </row>
    <row r="752" hidden="1">
      <c r="A752" s="43" t="str">
        <f>IFERROR(__xludf.DUMMYFUNCTION("""COMPUTED_VALUE"""),"5265911_1294063")</f>
        <v>5265911_1294063</v>
      </c>
      <c r="B752" s="43" t="str">
        <f>IFERROR(__xludf.DUMMYFUNCTION("""COMPUTED_VALUE"""),"mert kuru")</f>
        <v>mert kuru</v>
      </c>
      <c r="C752" s="43" t="str">
        <f>IFERROR(__xludf.DUMMYFUNCTION("""COMPUTED_VALUE"""),"completed")</f>
        <v>completed</v>
      </c>
      <c r="D752" s="43" t="str">
        <f>IFERROR(__xludf.DUMMYFUNCTION("""COMPUTED_VALUE"""),"No")</f>
        <v>No</v>
      </c>
      <c r="E752" s="43" t="str">
        <f>IFERROR(__xludf.DUMMYFUNCTION("""COMPUTED_VALUE"""),"p_f32605c634467156beaacd8f551c1e759d2b6448@inbound.aiesec.org")</f>
        <v>p_f32605c634467156beaacd8f551c1e759d2b6448@inbound.aiesec.org</v>
      </c>
      <c r="F752" s="43">
        <f>IFERROR(__xludf.DUMMYFUNCTION("""COMPUTED_VALUE"""),5.353074643E9)</f>
        <v>5353074643</v>
      </c>
      <c r="G752" s="43" t="str">
        <f>IFERROR(__xludf.DUMMYFUNCTION("""COMPUTED_VALUE"""),"Turkey")</f>
        <v>Turkey</v>
      </c>
      <c r="H752" s="43" t="str">
        <f>IFERROR(__xludf.DUMMYFUNCTION("""COMPUTED_VALUE"""),"DENIZLI")</f>
        <v>DENIZLI</v>
      </c>
      <c r="I752" s="43" t="str">
        <f>IFERROR(__xludf.DUMMYFUNCTION("""COMPUTED_VALUE"""),"Egypt")</f>
        <v>Egypt</v>
      </c>
      <c r="J752" s="43" t="str">
        <f>IFERROR(__xludf.DUMMYFUNCTION("""COMPUTED_VALUE"""),"Ain Shams University")</f>
        <v>Ain Shams University</v>
      </c>
      <c r="K752" s="44" t="str">
        <f>IFERROR(__xludf.DUMMYFUNCTION("""COMPUTED_VALUE"""),"https://expa.aiesec.org/opportunities/1294063")</f>
        <v>https://expa.aiesec.org/opportunities/1294063</v>
      </c>
      <c r="L752" s="43" t="str">
        <f>IFERROR(__xludf.DUMMYFUNCTION("""COMPUTED_VALUE"""),"GV")</f>
        <v>GV</v>
      </c>
      <c r="M752" s="43" t="str">
        <f>IFERROR(__xludf.DUMMYFUNCTION("""COMPUTED_VALUE"""),"short")</f>
        <v>short</v>
      </c>
      <c r="N752" s="45">
        <f>IFERROR(__xludf.DUMMYFUNCTION("""COMPUTED_VALUE"""),45072.0)</f>
        <v>45072</v>
      </c>
      <c r="O752" s="45">
        <f>IFERROR(__xludf.DUMMYFUNCTION("""COMPUTED_VALUE"""),45108.0)</f>
        <v>45108</v>
      </c>
      <c r="P752" s="45">
        <f>IFERROR(__xludf.DUMMYFUNCTION("""COMPUTED_VALUE"""),45150.0)</f>
        <v>45150</v>
      </c>
      <c r="Q752" s="45">
        <f>IFERROR(__xludf.DUMMYFUNCTION("""COMPUTED_VALUE"""),45108.0)</f>
        <v>45108</v>
      </c>
      <c r="R752" s="45">
        <f>IFERROR(__xludf.DUMMYFUNCTION("""COMPUTED_VALUE"""),45151.0)</f>
        <v>45151</v>
      </c>
      <c r="S752" s="43"/>
      <c r="T752" s="43"/>
      <c r="U752" s="43" t="str">
        <f>IFERROR(__xludf.DUMMYFUNCTION("""COMPUTED_VALUE"""),"On The Map")</f>
        <v>On The Map</v>
      </c>
      <c r="V752" s="43" t="str">
        <f>IFERROR(__xludf.DUMMYFUNCTION("""COMPUTED_VALUE"""),"MUGLA")</f>
        <v>MUGLA</v>
      </c>
      <c r="W752" s="43" t="str">
        <f>IFERROR(__xludf.DUMMYFUNCTION("""COMPUTED_VALUE"""),"2023-05-24T10:57:54Z")</f>
        <v>2023-05-24T10:57:54Z</v>
      </c>
      <c r="X752" s="43"/>
      <c r="Y752" s="43"/>
      <c r="Z752" s="43"/>
    </row>
    <row r="753" hidden="1">
      <c r="A753" s="43" t="str">
        <f>IFERROR(__xludf.DUMMYFUNCTION("""COMPUTED_VALUE"""),"5221963_1291124")</f>
        <v>5221963_1291124</v>
      </c>
      <c r="B753" s="43" t="str">
        <f>IFERROR(__xludf.DUMMYFUNCTION("""COMPUTED_VALUE"""),"DOĞA AKIN")</f>
        <v>DOĞA AKIN</v>
      </c>
      <c r="C753" s="43" t="str">
        <f>IFERROR(__xludf.DUMMYFUNCTION("""COMPUTED_VALUE"""),"completed")</f>
        <v>completed</v>
      </c>
      <c r="D753" s="43" t="str">
        <f>IFERROR(__xludf.DUMMYFUNCTION("""COMPUTED_VALUE"""),"No")</f>
        <v>No</v>
      </c>
      <c r="E753" s="43" t="str">
        <f>IFERROR(__xludf.DUMMYFUNCTION("""COMPUTED_VALUE"""),"p_1124af3fe9abfaa061154f91f1ab6cfd84c48f33@inbound.aiesec.org")</f>
        <v>p_1124af3fe9abfaa061154f91f1ab6cfd84c48f33@inbound.aiesec.org</v>
      </c>
      <c r="F753" s="43"/>
      <c r="G753" s="43" t="str">
        <f>IFERROR(__xludf.DUMMYFUNCTION("""COMPUTED_VALUE"""),"Turkey")</f>
        <v>Turkey</v>
      </c>
      <c r="H753" s="43" t="str">
        <f>IFERROR(__xludf.DUMMYFUNCTION("""COMPUTED_VALUE"""),"ANKARA")</f>
        <v>ANKARA</v>
      </c>
      <c r="I753" s="43" t="str">
        <f>IFERROR(__xludf.DUMMYFUNCTION("""COMPUTED_VALUE"""),"Romania")</f>
        <v>Romania</v>
      </c>
      <c r="J753" s="43" t="str">
        <f>IFERROR(__xludf.DUMMYFUNCTION("""COMPUTED_VALUE"""),"BRASOV")</f>
        <v>BRASOV</v>
      </c>
      <c r="K753" s="44" t="str">
        <f>IFERROR(__xludf.DUMMYFUNCTION("""COMPUTED_VALUE"""),"https://expa.aiesec.org/opportunities/1291124")</f>
        <v>https://expa.aiesec.org/opportunities/1291124</v>
      </c>
      <c r="L753" s="43" t="str">
        <f>IFERROR(__xludf.DUMMYFUNCTION("""COMPUTED_VALUE"""),"GV")</f>
        <v>GV</v>
      </c>
      <c r="M753" s="43" t="str">
        <f>IFERROR(__xludf.DUMMYFUNCTION("""COMPUTED_VALUE"""),"short")</f>
        <v>short</v>
      </c>
      <c r="N753" s="45">
        <f>IFERROR(__xludf.DUMMYFUNCTION("""COMPUTED_VALUE"""),45072.0)</f>
        <v>45072</v>
      </c>
      <c r="O753" s="45">
        <f>IFERROR(__xludf.DUMMYFUNCTION("""COMPUTED_VALUE"""),45103.0)</f>
        <v>45103</v>
      </c>
      <c r="P753" s="45">
        <f>IFERROR(__xludf.DUMMYFUNCTION("""COMPUTED_VALUE"""),45145.0)</f>
        <v>45145</v>
      </c>
      <c r="Q753" s="45">
        <f>IFERROR(__xludf.DUMMYFUNCTION("""COMPUTED_VALUE"""),45103.0)</f>
        <v>45103</v>
      </c>
      <c r="R753" s="45">
        <f>IFERROR(__xludf.DUMMYFUNCTION("""COMPUTED_VALUE"""),45145.0)</f>
        <v>45145</v>
      </c>
      <c r="S753" s="43"/>
      <c r="T753" s="43"/>
      <c r="U753" s="43" t="str">
        <f>IFERROR(__xludf.DUMMYFUNCTION("""COMPUTED_VALUE"""),"Eat 4 Change")</f>
        <v>Eat 4 Change</v>
      </c>
      <c r="V753" s="43" t="str">
        <f>IFERROR(__xludf.DUMMYFUNCTION("""COMPUTED_VALUE"""),"-")</f>
        <v>-</v>
      </c>
      <c r="W753" s="43" t="str">
        <f>IFERROR(__xludf.DUMMYFUNCTION("""COMPUTED_VALUE"""),"2023-03-20T17:56:44Z")</f>
        <v>2023-03-20T17:56:44Z</v>
      </c>
      <c r="X753" s="43"/>
      <c r="Y753" s="43"/>
      <c r="Z753" s="43"/>
    </row>
    <row r="754" hidden="1">
      <c r="A754" s="43" t="str">
        <f>IFERROR(__xludf.DUMMYFUNCTION("""COMPUTED_VALUE"""),"5248284_1294209")</f>
        <v>5248284_1294209</v>
      </c>
      <c r="B754" s="43" t="str">
        <f>IFERROR(__xludf.DUMMYFUNCTION("""COMPUTED_VALUE"""),"Irem Dogan")</f>
        <v>Irem Dogan</v>
      </c>
      <c r="C754" s="43" t="str">
        <f>IFERROR(__xludf.DUMMYFUNCTION("""COMPUTED_VALUE"""),"realization_broken")</f>
        <v>realization_broken</v>
      </c>
      <c r="D754" s="43" t="str">
        <f>IFERROR(__xludf.DUMMYFUNCTION("""COMPUTED_VALUE"""),"No")</f>
        <v>No</v>
      </c>
      <c r="E754" s="43" t="str">
        <f>IFERROR(__xludf.DUMMYFUNCTION("""COMPUTED_VALUE"""),"p_e2048d32e9051a974339f409bc8075601a766551@inbound.aiesec.org")</f>
        <v>p_e2048d32e9051a974339f409bc8075601a766551@inbound.aiesec.org</v>
      </c>
      <c r="F754" s="43">
        <f>IFERROR(__xludf.DUMMYFUNCTION("""COMPUTED_VALUE"""),5.301709492E9)</f>
        <v>5301709492</v>
      </c>
      <c r="G754" s="43" t="str">
        <f>IFERROR(__xludf.DUMMYFUNCTION("""COMPUTED_VALUE"""),"Turkey")</f>
        <v>Turkey</v>
      </c>
      <c r="H754" s="43" t="str">
        <f>IFERROR(__xludf.DUMMYFUNCTION("""COMPUTED_VALUE"""),"EASTERN MEDITERRANEAN")</f>
        <v>EASTERN MEDITERRANEAN</v>
      </c>
      <c r="I754" s="43" t="str">
        <f>IFERROR(__xludf.DUMMYFUNCTION("""COMPUTED_VALUE"""),"Moldova")</f>
        <v>Moldova</v>
      </c>
      <c r="J754" s="43" t="str">
        <f>IFERROR(__xludf.DUMMYFUNCTION("""COMPUTED_VALUE"""),"CHISINAU")</f>
        <v>CHISINAU</v>
      </c>
      <c r="K754" s="44" t="str">
        <f>IFERROR(__xludf.DUMMYFUNCTION("""COMPUTED_VALUE"""),"https://expa.aiesec.org/opportunities/1294209")</f>
        <v>https://expa.aiesec.org/opportunities/1294209</v>
      </c>
      <c r="L754" s="43" t="str">
        <f>IFERROR(__xludf.DUMMYFUNCTION("""COMPUTED_VALUE"""),"GV")</f>
        <v>GV</v>
      </c>
      <c r="M754" s="43" t="str">
        <f>IFERROR(__xludf.DUMMYFUNCTION("""COMPUTED_VALUE"""),"short")</f>
        <v>short</v>
      </c>
      <c r="N754" s="45">
        <f>IFERROR(__xludf.DUMMYFUNCTION("""COMPUTED_VALUE"""),45072.0)</f>
        <v>45072</v>
      </c>
      <c r="O754" s="45">
        <f>IFERROR(__xludf.DUMMYFUNCTION("""COMPUTED_VALUE"""),45159.0)</f>
        <v>45159</v>
      </c>
      <c r="P754" s="45">
        <f>IFERROR(__xludf.DUMMYFUNCTION("""COMPUTED_VALUE"""),45201.0)</f>
        <v>45201</v>
      </c>
      <c r="Q754" s="45"/>
      <c r="R754" s="45"/>
      <c r="S754" s="43"/>
      <c r="T754" s="43"/>
      <c r="U754" s="43" t="str">
        <f>IFERROR(__xludf.DUMMYFUNCTION("""COMPUTED_VALUE"""),"On The Map")</f>
        <v>On The Map</v>
      </c>
      <c r="V754" s="43" t="str">
        <f>IFERROR(__xludf.DUMMYFUNCTION("""COMPUTED_VALUE"""),"NORTH CYPRUS")</f>
        <v>NORTH CYPRUS</v>
      </c>
      <c r="W754" s="43" t="str">
        <f>IFERROR(__xludf.DUMMYFUNCTION("""COMPUTED_VALUE"""),"2023-04-24T12:27:01Z")</f>
        <v>2023-04-24T12:27:01Z</v>
      </c>
      <c r="X754" s="43"/>
      <c r="Y754" s="43"/>
      <c r="Z754" s="43"/>
    </row>
    <row r="755" hidden="1">
      <c r="A755" s="43" t="str">
        <f>IFERROR(__xludf.DUMMYFUNCTION("""COMPUTED_VALUE"""),"5180925_1295102")</f>
        <v>5180925_1295102</v>
      </c>
      <c r="B755" s="43" t="str">
        <f>IFERROR(__xludf.DUMMYFUNCTION("""COMPUTED_VALUE"""),"Melisa Zorlu")</f>
        <v>Melisa Zorlu</v>
      </c>
      <c r="C755" s="43" t="str">
        <f>IFERROR(__xludf.DUMMYFUNCTION("""COMPUTED_VALUE"""),"approved")</f>
        <v>approved</v>
      </c>
      <c r="D755" s="43" t="str">
        <f>IFERROR(__xludf.DUMMYFUNCTION("""COMPUTED_VALUE"""),"No")</f>
        <v>No</v>
      </c>
      <c r="E755" s="43" t="str">
        <f>IFERROR(__xludf.DUMMYFUNCTION("""COMPUTED_VALUE"""),"p_bff41b4a6ae32e261d344c4406710affb96baca4@inbound.aiesec.org")</f>
        <v>p_bff41b4a6ae32e261d344c4406710affb96baca4@inbound.aiesec.org</v>
      </c>
      <c r="F755" s="43"/>
      <c r="G755" s="43" t="str">
        <f>IFERROR(__xludf.DUMMYFUNCTION("""COMPUTED_VALUE"""),"Turkey")</f>
        <v>Turkey</v>
      </c>
      <c r="H755" s="43" t="str">
        <f>IFERROR(__xludf.DUMMYFUNCTION("""COMPUTED_VALUE"""),"ISTANBUL")</f>
        <v>ISTANBUL</v>
      </c>
      <c r="I755" s="43" t="str">
        <f>IFERROR(__xludf.DUMMYFUNCTION("""COMPUTED_VALUE"""),"Egypt")</f>
        <v>Egypt</v>
      </c>
      <c r="J755" s="43" t="str">
        <f>IFERROR(__xludf.DUMMYFUNCTION("""COMPUTED_VALUE"""),"GUC")</f>
        <v>GUC</v>
      </c>
      <c r="K755" s="44" t="str">
        <f>IFERROR(__xludf.DUMMYFUNCTION("""COMPUTED_VALUE"""),"https://expa.aiesec.org/opportunities/1295102")</f>
        <v>https://expa.aiesec.org/opportunities/1295102</v>
      </c>
      <c r="L755" s="43" t="str">
        <f>IFERROR(__xludf.DUMMYFUNCTION("""COMPUTED_VALUE"""),"GV")</f>
        <v>GV</v>
      </c>
      <c r="M755" s="43" t="str">
        <f>IFERROR(__xludf.DUMMYFUNCTION("""COMPUTED_VALUE"""),"short")</f>
        <v>short</v>
      </c>
      <c r="N755" s="45">
        <f>IFERROR(__xludf.DUMMYFUNCTION("""COMPUTED_VALUE"""),45073.0)</f>
        <v>45073</v>
      </c>
      <c r="O755" s="45">
        <f>IFERROR(__xludf.DUMMYFUNCTION("""COMPUTED_VALUE"""),45302.0)</f>
        <v>45302</v>
      </c>
      <c r="P755" s="45">
        <f>IFERROR(__xludf.DUMMYFUNCTION("""COMPUTED_VALUE"""),45344.0)</f>
        <v>45344</v>
      </c>
      <c r="Q755" s="45"/>
      <c r="R755" s="45"/>
      <c r="S755" s="43"/>
      <c r="T755" s="43"/>
      <c r="U755" s="43" t="str">
        <f>IFERROR(__xludf.DUMMYFUNCTION("""COMPUTED_VALUE"""),"On The Map")</f>
        <v>On The Map</v>
      </c>
      <c r="V755" s="43" t="str">
        <f>IFERROR(__xludf.DUMMYFUNCTION("""COMPUTED_VALUE"""),"-")</f>
        <v>-</v>
      </c>
      <c r="W755" s="43" t="str">
        <f>IFERROR(__xludf.DUMMYFUNCTION("""COMPUTED_VALUE"""),"2023-01-26T17:15:53Z")</f>
        <v>2023-01-26T17:15:53Z</v>
      </c>
      <c r="X755" s="43"/>
      <c r="Y755" s="43"/>
      <c r="Z755" s="43"/>
    </row>
    <row r="756" hidden="1">
      <c r="A756" s="43" t="str">
        <f>IFERROR(__xludf.DUMMYFUNCTION("""COMPUTED_VALUE"""),"5078147_1295018")</f>
        <v>5078147_1295018</v>
      </c>
      <c r="B756" s="43" t="str">
        <f>IFERROR(__xludf.DUMMYFUNCTION("""COMPUTED_VALUE"""),"Gülşah Dilek ŞENGÜL")</f>
        <v>Gülşah Dilek ŞENGÜL</v>
      </c>
      <c r="C756" s="43" t="str">
        <f>IFERROR(__xludf.DUMMYFUNCTION("""COMPUTED_VALUE"""),"completed")</f>
        <v>completed</v>
      </c>
      <c r="D756" s="43" t="str">
        <f>IFERROR(__xludf.DUMMYFUNCTION("""COMPUTED_VALUE"""),"No")</f>
        <v>No</v>
      </c>
      <c r="E756" s="43" t="str">
        <f>IFERROR(__xludf.DUMMYFUNCTION("""COMPUTED_VALUE"""),"p_9378da86a6db3d7b1d53886076383b674a33f5e5@inbound.aiesec.org")</f>
        <v>p_9378da86a6db3d7b1d53886076383b674a33f5e5@inbound.aiesec.org</v>
      </c>
      <c r="F756" s="43"/>
      <c r="G756" s="43" t="str">
        <f>IFERROR(__xludf.DUMMYFUNCTION("""COMPUTED_VALUE"""),"Turkey")</f>
        <v>Turkey</v>
      </c>
      <c r="H756" s="43" t="str">
        <f>IFERROR(__xludf.DUMMYFUNCTION("""COMPUTED_VALUE"""),"ISTANBUL ASIA")</f>
        <v>ISTANBUL ASIA</v>
      </c>
      <c r="I756" s="43" t="str">
        <f>IFERROR(__xludf.DUMMYFUNCTION("""COMPUTED_VALUE"""),"Egypt")</f>
        <v>Egypt</v>
      </c>
      <c r="J756" s="43" t="str">
        <f>IFERROR(__xludf.DUMMYFUNCTION("""COMPUTED_VALUE"""),"Cairo University")</f>
        <v>Cairo University</v>
      </c>
      <c r="K756" s="44" t="str">
        <f>IFERROR(__xludf.DUMMYFUNCTION("""COMPUTED_VALUE"""),"https://expa.aiesec.org/opportunities/1295018")</f>
        <v>https://expa.aiesec.org/opportunities/1295018</v>
      </c>
      <c r="L756" s="43" t="str">
        <f>IFERROR(__xludf.DUMMYFUNCTION("""COMPUTED_VALUE"""),"GV")</f>
        <v>GV</v>
      </c>
      <c r="M756" s="43" t="str">
        <f>IFERROR(__xludf.DUMMYFUNCTION("""COMPUTED_VALUE"""),"short")</f>
        <v>short</v>
      </c>
      <c r="N756" s="45">
        <f>IFERROR(__xludf.DUMMYFUNCTION("""COMPUTED_VALUE"""),45073.0)</f>
        <v>45073</v>
      </c>
      <c r="O756" s="45">
        <f>IFERROR(__xludf.DUMMYFUNCTION("""COMPUTED_VALUE"""),45108.0)</f>
        <v>45108</v>
      </c>
      <c r="P756" s="45">
        <f>IFERROR(__xludf.DUMMYFUNCTION("""COMPUTED_VALUE"""),45153.0)</f>
        <v>45153</v>
      </c>
      <c r="Q756" s="45">
        <f>IFERROR(__xludf.DUMMYFUNCTION("""COMPUTED_VALUE"""),45112.0)</f>
        <v>45112</v>
      </c>
      <c r="R756" s="45">
        <f>IFERROR(__xludf.DUMMYFUNCTION("""COMPUTED_VALUE"""),45157.0)</f>
        <v>45157</v>
      </c>
      <c r="S756" s="43"/>
      <c r="T756" s="43"/>
      <c r="U756" s="43" t="str">
        <f>IFERROR(__xludf.DUMMYFUNCTION("""COMPUTED_VALUE"""),"Global Classroom")</f>
        <v>Global Classroom</v>
      </c>
      <c r="V756" s="43" t="str">
        <f>IFERROR(__xludf.DUMMYFUNCTION("""COMPUTED_VALUE"""),"-")</f>
        <v>-</v>
      </c>
      <c r="W756" s="43" t="str">
        <f>IFERROR(__xludf.DUMMYFUNCTION("""COMPUTED_VALUE"""),"2022-06-29T18:54:32Z")</f>
        <v>2022-06-29T18:54:32Z</v>
      </c>
      <c r="X756" s="43"/>
      <c r="Y756" s="43"/>
      <c r="Z756" s="43"/>
    </row>
    <row r="757" hidden="1">
      <c r="A757" s="43" t="str">
        <f>IFERROR(__xludf.DUMMYFUNCTION("""COMPUTED_VALUE"""),"5035734_1292188")</f>
        <v>5035734_1292188</v>
      </c>
      <c r="B757" s="43" t="str">
        <f>IFERROR(__xludf.DUMMYFUNCTION("""COMPUTED_VALUE"""),"Begüm Demir")</f>
        <v>Begüm Demir</v>
      </c>
      <c r="C757" s="43" t="str">
        <f>IFERROR(__xludf.DUMMYFUNCTION("""COMPUTED_VALUE"""),"approved")</f>
        <v>approved</v>
      </c>
      <c r="D757" s="43" t="str">
        <f>IFERROR(__xludf.DUMMYFUNCTION("""COMPUTED_VALUE"""),"No")</f>
        <v>No</v>
      </c>
      <c r="E757" s="43" t="str">
        <f>IFERROR(__xludf.DUMMYFUNCTION("""COMPUTED_VALUE"""),"p_3484a7bb750106357c23ec23df39d8e487bf2892@inbound.aiesec.org")</f>
        <v>p_3484a7bb750106357c23ec23df39d8e487bf2892@inbound.aiesec.org</v>
      </c>
      <c r="F757" s="43">
        <f>IFERROR(__xludf.DUMMYFUNCTION("""COMPUTED_VALUE"""),5.056913191E9)</f>
        <v>5056913191</v>
      </c>
      <c r="G757" s="43" t="str">
        <f>IFERROR(__xludf.DUMMYFUNCTION("""COMPUTED_VALUE"""),"Turkey")</f>
        <v>Turkey</v>
      </c>
      <c r="H757" s="43" t="str">
        <f>IFERROR(__xludf.DUMMYFUNCTION("""COMPUTED_VALUE"""),"ISTANBUL ASIA")</f>
        <v>ISTANBUL ASIA</v>
      </c>
      <c r="I757" s="43" t="str">
        <f>IFERROR(__xludf.DUMMYFUNCTION("""COMPUTED_VALUE"""),"Egypt")</f>
        <v>Egypt</v>
      </c>
      <c r="J757" s="43" t="str">
        <f>IFERROR(__xludf.DUMMYFUNCTION("""COMPUTED_VALUE"""),"Helwan")</f>
        <v>Helwan</v>
      </c>
      <c r="K757" s="44" t="str">
        <f>IFERROR(__xludf.DUMMYFUNCTION("""COMPUTED_VALUE"""),"https://expa.aiesec.org/opportunities/1292188")</f>
        <v>https://expa.aiesec.org/opportunities/1292188</v>
      </c>
      <c r="L757" s="43" t="str">
        <f>IFERROR(__xludf.DUMMYFUNCTION("""COMPUTED_VALUE"""),"GV")</f>
        <v>GV</v>
      </c>
      <c r="M757" s="43" t="str">
        <f>IFERROR(__xludf.DUMMYFUNCTION("""COMPUTED_VALUE"""),"short")</f>
        <v>short</v>
      </c>
      <c r="N757" s="45">
        <f>IFERROR(__xludf.DUMMYFUNCTION("""COMPUTED_VALUE"""),45073.0)</f>
        <v>45073</v>
      </c>
      <c r="O757" s="45">
        <f>IFERROR(__xludf.DUMMYFUNCTION("""COMPUTED_VALUE"""),45108.0)</f>
        <v>45108</v>
      </c>
      <c r="P757" s="45">
        <f>IFERROR(__xludf.DUMMYFUNCTION("""COMPUTED_VALUE"""),45150.0)</f>
        <v>45150</v>
      </c>
      <c r="Q757" s="45"/>
      <c r="R757" s="45"/>
      <c r="S757" s="43"/>
      <c r="T757" s="43"/>
      <c r="U757" s="43" t="str">
        <f>IFERROR(__xludf.DUMMYFUNCTION("""COMPUTED_VALUE"""),"On The Map")</f>
        <v>On The Map</v>
      </c>
      <c r="V757" s="43" t="str">
        <f>IFERROR(__xludf.DUMMYFUNCTION("""COMPUTED_VALUE"""),"ISTANBUL ASIA")</f>
        <v>ISTANBUL ASIA</v>
      </c>
      <c r="W757" s="43" t="str">
        <f>IFERROR(__xludf.DUMMYFUNCTION("""COMPUTED_VALUE"""),"2022-04-11T13:33:45Z")</f>
        <v>2022-04-11T13:33:45Z</v>
      </c>
      <c r="X757" s="43"/>
      <c r="Y757" s="43"/>
      <c r="Z757" s="43"/>
    </row>
    <row r="758" hidden="1">
      <c r="A758" s="43" t="str">
        <f>IFERROR(__xludf.DUMMYFUNCTION("""COMPUTED_VALUE"""),"3129515_1291068")</f>
        <v>3129515_1291068</v>
      </c>
      <c r="B758" s="43" t="str">
        <f>IFERROR(__xludf.DUMMYFUNCTION("""COMPUTED_VALUE"""),"Hatice Yaşar")</f>
        <v>Hatice Yaşar</v>
      </c>
      <c r="C758" s="43" t="str">
        <f>IFERROR(__xludf.DUMMYFUNCTION("""COMPUTED_VALUE"""),"approved")</f>
        <v>approved</v>
      </c>
      <c r="D758" s="43" t="str">
        <f>IFERROR(__xludf.DUMMYFUNCTION("""COMPUTED_VALUE"""),"No")</f>
        <v>No</v>
      </c>
      <c r="E758" s="43" t="str">
        <f>IFERROR(__xludf.DUMMYFUNCTION("""COMPUTED_VALUE"""),"p_421176090a381b0eb458dd6f541f4bc5a651b90f@inbound.aiesec.org")</f>
        <v>p_421176090a381b0eb458dd6f541f4bc5a651b90f@inbound.aiesec.org</v>
      </c>
      <c r="F758" s="43">
        <f>IFERROR(__xludf.DUMMYFUNCTION("""COMPUTED_VALUE"""),5.41935957E9)</f>
        <v>5419359570</v>
      </c>
      <c r="G758" s="43" t="str">
        <f>IFERROR(__xludf.DUMMYFUNCTION("""COMPUTED_VALUE"""),"Turkey")</f>
        <v>Turkey</v>
      </c>
      <c r="H758" s="43" t="str">
        <f>IFERROR(__xludf.DUMMYFUNCTION("""COMPUTED_VALUE"""),"ISTANBUL WEST")</f>
        <v>ISTANBUL WEST</v>
      </c>
      <c r="I758" s="43" t="str">
        <f>IFERROR(__xludf.DUMMYFUNCTION("""COMPUTED_VALUE"""),"Italy")</f>
        <v>Italy</v>
      </c>
      <c r="J758" s="43" t="str">
        <f>IFERROR(__xludf.DUMMYFUNCTION("""COMPUTED_VALUE"""),"Napoli Federico II")</f>
        <v>Napoli Federico II</v>
      </c>
      <c r="K758" s="44" t="str">
        <f>IFERROR(__xludf.DUMMYFUNCTION("""COMPUTED_VALUE"""),"https://expa.aiesec.org/opportunities/1291068")</f>
        <v>https://expa.aiesec.org/opportunities/1291068</v>
      </c>
      <c r="L758" s="43" t="str">
        <f>IFERROR(__xludf.DUMMYFUNCTION("""COMPUTED_VALUE"""),"GV")</f>
        <v>GV</v>
      </c>
      <c r="M758" s="43" t="str">
        <f>IFERROR(__xludf.DUMMYFUNCTION("""COMPUTED_VALUE"""),"short")</f>
        <v>short</v>
      </c>
      <c r="N758" s="45">
        <f>IFERROR(__xludf.DUMMYFUNCTION("""COMPUTED_VALUE"""),45074.0)</f>
        <v>45074</v>
      </c>
      <c r="O758" s="45">
        <f>IFERROR(__xludf.DUMMYFUNCTION("""COMPUTED_VALUE"""),45313.0)</f>
        <v>45313</v>
      </c>
      <c r="P758" s="45">
        <f>IFERROR(__xludf.DUMMYFUNCTION("""COMPUTED_VALUE"""),45355.0)</f>
        <v>45355</v>
      </c>
      <c r="Q758" s="45"/>
      <c r="R758" s="45"/>
      <c r="S758" s="43"/>
      <c r="T758" s="43"/>
      <c r="U758" s="43" t="str">
        <f>IFERROR(__xludf.DUMMYFUNCTION("""COMPUTED_VALUE"""),"Equify")</f>
        <v>Equify</v>
      </c>
      <c r="V758" s="43" t="str">
        <f>IFERROR(__xludf.DUMMYFUNCTION("""COMPUTED_VALUE"""),"ANKARA")</f>
        <v>ANKARA</v>
      </c>
      <c r="W758" s="43" t="str">
        <f>IFERROR(__xludf.DUMMYFUNCTION("""COMPUTED_VALUE"""),"2019-02-28T23:26:02Z")</f>
        <v>2019-02-28T23:26:02Z</v>
      </c>
      <c r="X758" s="43"/>
      <c r="Y758" s="43"/>
      <c r="Z758" s="43"/>
    </row>
    <row r="759" hidden="1">
      <c r="A759" s="43" t="str">
        <f>IFERROR(__xludf.DUMMYFUNCTION("""COMPUTED_VALUE"""),"5268226_1294063")</f>
        <v>5268226_1294063</v>
      </c>
      <c r="B759" s="43" t="str">
        <f>IFERROR(__xludf.DUMMYFUNCTION("""COMPUTED_VALUE"""),"Ahmet Gökdoğan")</f>
        <v>Ahmet Gökdoğan</v>
      </c>
      <c r="C759" s="43" t="str">
        <f>IFERROR(__xludf.DUMMYFUNCTION("""COMPUTED_VALUE"""),"approved")</f>
        <v>approved</v>
      </c>
      <c r="D759" s="43" t="str">
        <f>IFERROR(__xludf.DUMMYFUNCTION("""COMPUTED_VALUE"""),"No")</f>
        <v>No</v>
      </c>
      <c r="E759" s="43" t="str">
        <f>IFERROR(__xludf.DUMMYFUNCTION("""COMPUTED_VALUE"""),"p_de4f55509b34760bb28ab7f492daf5420cd15547@inbound.aiesec.org")</f>
        <v>p_de4f55509b34760bb28ab7f492daf5420cd15547@inbound.aiesec.org</v>
      </c>
      <c r="F759" s="43">
        <f>IFERROR(__xludf.DUMMYFUNCTION("""COMPUTED_VALUE"""),5.415426326E9)</f>
        <v>5415426326</v>
      </c>
      <c r="G759" s="43" t="str">
        <f>IFERROR(__xludf.DUMMYFUNCTION("""COMPUTED_VALUE"""),"Turkey")</f>
        <v>Turkey</v>
      </c>
      <c r="H759" s="43" t="str">
        <f>IFERROR(__xludf.DUMMYFUNCTION("""COMPUTED_VALUE"""),"ISTANBUL")</f>
        <v>ISTANBUL</v>
      </c>
      <c r="I759" s="43" t="str">
        <f>IFERROR(__xludf.DUMMYFUNCTION("""COMPUTED_VALUE"""),"Egypt")</f>
        <v>Egypt</v>
      </c>
      <c r="J759" s="43" t="str">
        <f>IFERROR(__xludf.DUMMYFUNCTION("""COMPUTED_VALUE"""),"Ain Shams University")</f>
        <v>Ain Shams University</v>
      </c>
      <c r="K759" s="44" t="str">
        <f>IFERROR(__xludf.DUMMYFUNCTION("""COMPUTED_VALUE"""),"https://expa.aiesec.org/opportunities/1294063")</f>
        <v>https://expa.aiesec.org/opportunities/1294063</v>
      </c>
      <c r="L759" s="43" t="str">
        <f>IFERROR(__xludf.DUMMYFUNCTION("""COMPUTED_VALUE"""),"GV")</f>
        <v>GV</v>
      </c>
      <c r="M759" s="43" t="str">
        <f>IFERROR(__xludf.DUMMYFUNCTION("""COMPUTED_VALUE"""),"short")</f>
        <v>short</v>
      </c>
      <c r="N759" s="45">
        <f>IFERROR(__xludf.DUMMYFUNCTION("""COMPUTED_VALUE"""),45075.0)</f>
        <v>45075</v>
      </c>
      <c r="O759" s="45">
        <f>IFERROR(__xludf.DUMMYFUNCTION("""COMPUTED_VALUE"""),45139.0)</f>
        <v>45139</v>
      </c>
      <c r="P759" s="45">
        <f>IFERROR(__xludf.DUMMYFUNCTION("""COMPUTED_VALUE"""),45181.0)</f>
        <v>45181</v>
      </c>
      <c r="Q759" s="45"/>
      <c r="R759" s="45"/>
      <c r="S759" s="43"/>
      <c r="T759" s="43"/>
      <c r="U759" s="43" t="str">
        <f>IFERROR(__xludf.DUMMYFUNCTION("""COMPUTED_VALUE"""),"On The Map")</f>
        <v>On The Map</v>
      </c>
      <c r="V759" s="43" t="str">
        <f>IFERROR(__xludf.DUMMYFUNCTION("""COMPUTED_VALUE"""),"ISTANBUL - BEYOGLU")</f>
        <v>ISTANBUL - BEYOGLU</v>
      </c>
      <c r="W759" s="43" t="str">
        <f>IFERROR(__xludf.DUMMYFUNCTION("""COMPUTED_VALUE"""),"2023-05-29T11:27:17Z")</f>
        <v>2023-05-29T11:27:17Z</v>
      </c>
      <c r="X759" s="43"/>
      <c r="Y759" s="43"/>
      <c r="Z759" s="43"/>
    </row>
    <row r="760" hidden="1">
      <c r="A760" s="43" t="str">
        <f>IFERROR(__xludf.DUMMYFUNCTION("""COMPUTED_VALUE"""),"5261893_1287990")</f>
        <v>5261893_1287990</v>
      </c>
      <c r="B760" s="43" t="str">
        <f>IFERROR(__xludf.DUMMYFUNCTION("""COMPUTED_VALUE"""),"Muhammed Safa Sonkaya")</f>
        <v>Muhammed Safa Sonkaya</v>
      </c>
      <c r="C760" s="43" t="str">
        <f>IFERROR(__xludf.DUMMYFUNCTION("""COMPUTED_VALUE"""),"approved")</f>
        <v>approved</v>
      </c>
      <c r="D760" s="43" t="str">
        <f>IFERROR(__xludf.DUMMYFUNCTION("""COMPUTED_VALUE"""),"No")</f>
        <v>No</v>
      </c>
      <c r="E760" s="43" t="str">
        <f>IFERROR(__xludf.DUMMYFUNCTION("""COMPUTED_VALUE"""),"p_c8eea8510f51e165acaf9f1a86283558608a227f@inbound.aiesec.org")</f>
        <v>p_c8eea8510f51e165acaf9f1a86283558608a227f@inbound.aiesec.org</v>
      </c>
      <c r="F760" s="43">
        <f>IFERROR(__xludf.DUMMYFUNCTION("""COMPUTED_VALUE"""),5.323042643E9)</f>
        <v>5323042643</v>
      </c>
      <c r="G760" s="43" t="str">
        <f>IFERROR(__xludf.DUMMYFUNCTION("""COMPUTED_VALUE"""),"Turkey")</f>
        <v>Turkey</v>
      </c>
      <c r="H760" s="43" t="str">
        <f>IFERROR(__xludf.DUMMYFUNCTION("""COMPUTED_VALUE"""),"TRABZON")</f>
        <v>TRABZON</v>
      </c>
      <c r="I760" s="43" t="str">
        <f>IFERROR(__xludf.DUMMYFUNCTION("""COMPUTED_VALUE"""),"India")</f>
        <v>India</v>
      </c>
      <c r="J760" s="43" t="str">
        <f>IFERROR(__xludf.DUMMYFUNCTION("""COMPUTED_VALUE"""),"JAIPUR ")</f>
        <v>JAIPUR </v>
      </c>
      <c r="K760" s="44" t="str">
        <f>IFERROR(__xludf.DUMMYFUNCTION("""COMPUTED_VALUE"""),"https://expa.aiesec.org/opportunities/1287990")</f>
        <v>https://expa.aiesec.org/opportunities/1287990</v>
      </c>
      <c r="L760" s="43" t="str">
        <f>IFERROR(__xludf.DUMMYFUNCTION("""COMPUTED_VALUE"""),"GV")</f>
        <v>GV</v>
      </c>
      <c r="M760" s="43" t="str">
        <f>IFERROR(__xludf.DUMMYFUNCTION("""COMPUTED_VALUE"""),"short")</f>
        <v>short</v>
      </c>
      <c r="N760" s="45">
        <f>IFERROR(__xludf.DUMMYFUNCTION("""COMPUTED_VALUE"""),45075.0)</f>
        <v>45075</v>
      </c>
      <c r="O760" s="45">
        <f>IFERROR(__xludf.DUMMYFUNCTION("""COMPUTED_VALUE"""),45158.0)</f>
        <v>45158</v>
      </c>
      <c r="P760" s="45">
        <f>IFERROR(__xludf.DUMMYFUNCTION("""COMPUTED_VALUE"""),45200.0)</f>
        <v>45200</v>
      </c>
      <c r="Q760" s="45"/>
      <c r="R760" s="45"/>
      <c r="S760" s="43"/>
      <c r="T760" s="43"/>
      <c r="U760" s="43" t="str">
        <f>IFERROR(__xludf.DUMMYFUNCTION("""COMPUTED_VALUE"""),"Skill Up!")</f>
        <v>Skill Up!</v>
      </c>
      <c r="V760" s="43" t="str">
        <f>IFERROR(__xludf.DUMMYFUNCTION("""COMPUTED_VALUE"""),"ORDU")</f>
        <v>ORDU</v>
      </c>
      <c r="W760" s="43" t="str">
        <f>IFERROR(__xludf.DUMMYFUNCTION("""COMPUTED_VALUE"""),"2023-05-16T12:37:39Z")</f>
        <v>2023-05-16T12:37:39Z</v>
      </c>
      <c r="X760" s="43"/>
      <c r="Y760" s="43"/>
      <c r="Z760" s="43"/>
    </row>
    <row r="761" hidden="1">
      <c r="A761" s="43" t="str">
        <f>IFERROR(__xludf.DUMMYFUNCTION("""COMPUTED_VALUE"""),"5265532_1294418")</f>
        <v>5265532_1294418</v>
      </c>
      <c r="B761" s="43" t="str">
        <f>IFERROR(__xludf.DUMMYFUNCTION("""COMPUTED_VALUE"""),"Ruveyda Tokur")</f>
        <v>Ruveyda Tokur</v>
      </c>
      <c r="C761" s="43" t="str">
        <f>IFERROR(__xludf.DUMMYFUNCTION("""COMPUTED_VALUE"""),"approved")</f>
        <v>approved</v>
      </c>
      <c r="D761" s="43" t="str">
        <f>IFERROR(__xludf.DUMMYFUNCTION("""COMPUTED_VALUE"""),"No")</f>
        <v>No</v>
      </c>
      <c r="E761" s="43" t="str">
        <f>IFERROR(__xludf.DUMMYFUNCTION("""COMPUTED_VALUE"""),"p_4afdfd41754126d694b7f9147ce94268d87f2dda@inbound.aiesec.org")</f>
        <v>p_4afdfd41754126d694b7f9147ce94268d87f2dda@inbound.aiesec.org</v>
      </c>
      <c r="F761" s="43">
        <f>IFERROR(__xludf.DUMMYFUNCTION("""COMPUTED_VALUE"""),5.318150835E9)</f>
        <v>5318150835</v>
      </c>
      <c r="G761" s="43" t="str">
        <f>IFERROR(__xludf.DUMMYFUNCTION("""COMPUTED_VALUE"""),"Turkey")</f>
        <v>Turkey</v>
      </c>
      <c r="H761" s="43" t="str">
        <f>IFERROR(__xludf.DUMMYFUNCTION("""COMPUTED_VALUE"""),"ISTANBUL WEST")</f>
        <v>ISTANBUL WEST</v>
      </c>
      <c r="I761" s="43" t="str">
        <f>IFERROR(__xludf.DUMMYFUNCTION("""COMPUTED_VALUE"""),"Egypt")</f>
        <v>Egypt</v>
      </c>
      <c r="J761" s="43" t="str">
        <f>IFERROR(__xludf.DUMMYFUNCTION("""COMPUTED_VALUE"""),"Zagazig")</f>
        <v>Zagazig</v>
      </c>
      <c r="K761" s="44" t="str">
        <f>IFERROR(__xludf.DUMMYFUNCTION("""COMPUTED_VALUE"""),"https://expa.aiesec.org/opportunities/1294418")</f>
        <v>https://expa.aiesec.org/opportunities/1294418</v>
      </c>
      <c r="L761" s="43" t="str">
        <f>IFERROR(__xludf.DUMMYFUNCTION("""COMPUTED_VALUE"""),"GV")</f>
        <v>GV</v>
      </c>
      <c r="M761" s="43" t="str">
        <f>IFERROR(__xludf.DUMMYFUNCTION("""COMPUTED_VALUE"""),"short")</f>
        <v>short</v>
      </c>
      <c r="N761" s="45">
        <f>IFERROR(__xludf.DUMMYFUNCTION("""COMPUTED_VALUE"""),45075.0)</f>
        <v>45075</v>
      </c>
      <c r="O761" s="45">
        <f>IFERROR(__xludf.DUMMYFUNCTION("""COMPUTED_VALUE"""),45261.0)</f>
        <v>45261</v>
      </c>
      <c r="P761" s="45">
        <f>IFERROR(__xludf.DUMMYFUNCTION("""COMPUTED_VALUE"""),45303.0)</f>
        <v>45303</v>
      </c>
      <c r="Q761" s="45"/>
      <c r="R761" s="45"/>
      <c r="S761" s="43"/>
      <c r="T761" s="43"/>
      <c r="U761" s="43" t="str">
        <f>IFERROR(__xludf.DUMMYFUNCTION("""COMPUTED_VALUE"""),"Global Classroom")</f>
        <v>Global Classroom</v>
      </c>
      <c r="V761" s="43" t="str">
        <f>IFERROR(__xludf.DUMMYFUNCTION("""COMPUTED_VALUE"""),"ISTANBUL - BAKIRKOY")</f>
        <v>ISTANBUL - BAKIRKOY</v>
      </c>
      <c r="W761" s="43" t="str">
        <f>IFERROR(__xludf.DUMMYFUNCTION("""COMPUTED_VALUE"""),"2023-05-23T18:42:22Z")</f>
        <v>2023-05-23T18:42:22Z</v>
      </c>
      <c r="X761" s="43"/>
      <c r="Y761" s="43"/>
      <c r="Z761" s="43"/>
    </row>
    <row r="762" hidden="1">
      <c r="A762" s="43" t="str">
        <f>IFERROR(__xludf.DUMMYFUNCTION("""COMPUTED_VALUE"""),"5265396_1294890")</f>
        <v>5265396_1294890</v>
      </c>
      <c r="B762" s="43" t="str">
        <f>IFERROR(__xludf.DUMMYFUNCTION("""COMPUTED_VALUE"""),"Merve Sezer")</f>
        <v>Merve Sezer</v>
      </c>
      <c r="C762" s="43" t="str">
        <f>IFERROR(__xludf.DUMMYFUNCTION("""COMPUTED_VALUE"""),"completed")</f>
        <v>completed</v>
      </c>
      <c r="D762" s="43" t="str">
        <f>IFERROR(__xludf.DUMMYFUNCTION("""COMPUTED_VALUE"""),"No")</f>
        <v>No</v>
      </c>
      <c r="E762" s="43" t="str">
        <f>IFERROR(__xludf.DUMMYFUNCTION("""COMPUTED_VALUE"""),"p_a81c5382fd9240a24a2436425527dc9deee572d6@inbound.aiesec.org")</f>
        <v>p_a81c5382fd9240a24a2436425527dc9deee572d6@inbound.aiesec.org</v>
      </c>
      <c r="F762" s="43">
        <f>IFERROR(__xludf.DUMMYFUNCTION("""COMPUTED_VALUE"""),5.382566809E9)</f>
        <v>5382566809</v>
      </c>
      <c r="G762" s="43" t="str">
        <f>IFERROR(__xludf.DUMMYFUNCTION("""COMPUTED_VALUE"""),"Turkey")</f>
        <v>Turkey</v>
      </c>
      <c r="H762" s="43" t="str">
        <f>IFERROR(__xludf.DUMMYFUNCTION("""COMPUTED_VALUE"""),"ISTANBUL WEST")</f>
        <v>ISTANBUL WEST</v>
      </c>
      <c r="I762" s="43" t="str">
        <f>IFERROR(__xludf.DUMMYFUNCTION("""COMPUTED_VALUE"""),"Serbia")</f>
        <v>Serbia</v>
      </c>
      <c r="J762" s="43" t="str">
        <f>IFERROR(__xludf.DUMMYFUNCTION("""COMPUTED_VALUE"""),"Singidunum")</f>
        <v>Singidunum</v>
      </c>
      <c r="K762" s="44" t="str">
        <f>IFERROR(__xludf.DUMMYFUNCTION("""COMPUTED_VALUE"""),"https://expa.aiesec.org/opportunities/1294890")</f>
        <v>https://expa.aiesec.org/opportunities/1294890</v>
      </c>
      <c r="L762" s="43" t="str">
        <f>IFERROR(__xludf.DUMMYFUNCTION("""COMPUTED_VALUE"""),"GV")</f>
        <v>GV</v>
      </c>
      <c r="M762" s="43" t="str">
        <f>IFERROR(__xludf.DUMMYFUNCTION("""COMPUTED_VALUE"""),"short")</f>
        <v>short</v>
      </c>
      <c r="N762" s="45">
        <f>IFERROR(__xludf.DUMMYFUNCTION("""COMPUTED_VALUE"""),45075.0)</f>
        <v>45075</v>
      </c>
      <c r="O762" s="45">
        <f>IFERROR(__xludf.DUMMYFUNCTION("""COMPUTED_VALUE"""),45089.0)</f>
        <v>45089</v>
      </c>
      <c r="P762" s="45">
        <f>IFERROR(__xludf.DUMMYFUNCTION("""COMPUTED_VALUE"""),45131.0)</f>
        <v>45131</v>
      </c>
      <c r="Q762" s="45">
        <f>IFERROR(__xludf.DUMMYFUNCTION("""COMPUTED_VALUE"""),45098.0)</f>
        <v>45098</v>
      </c>
      <c r="R762" s="45">
        <f>IFERROR(__xludf.DUMMYFUNCTION("""COMPUTED_VALUE"""),45140.0)</f>
        <v>45140</v>
      </c>
      <c r="S762" s="43"/>
      <c r="T762" s="43"/>
      <c r="U762" s="43" t="str">
        <f>IFERROR(__xludf.DUMMYFUNCTION("""COMPUTED_VALUE"""),"Youth 4 Impact")</f>
        <v>Youth 4 Impact</v>
      </c>
      <c r="V762" s="43" t="str">
        <f>IFERROR(__xludf.DUMMYFUNCTION("""COMPUTED_VALUE"""),"ISTANBUL - BAKIRKOY")</f>
        <v>ISTANBUL - BAKIRKOY</v>
      </c>
      <c r="W762" s="43" t="str">
        <f>IFERROR(__xludf.DUMMYFUNCTION("""COMPUTED_VALUE"""),"2023-05-23T13:30:53Z")</f>
        <v>2023-05-23T13:30:53Z</v>
      </c>
      <c r="X762" s="43"/>
      <c r="Y762" s="43"/>
      <c r="Z762" s="43"/>
    </row>
    <row r="763" hidden="1">
      <c r="A763" s="43" t="str">
        <f>IFERROR(__xludf.DUMMYFUNCTION("""COMPUTED_VALUE"""),"5264742_1290690")</f>
        <v>5264742_1290690</v>
      </c>
      <c r="B763" s="43" t="str">
        <f>IFERROR(__xludf.DUMMYFUNCTION("""COMPUTED_VALUE"""),"Asude Şeyma Ata")</f>
        <v>Asude Şeyma Ata</v>
      </c>
      <c r="C763" s="43" t="str">
        <f>IFERROR(__xludf.DUMMYFUNCTION("""COMPUTED_VALUE"""),"completed")</f>
        <v>completed</v>
      </c>
      <c r="D763" s="43" t="str">
        <f>IFERROR(__xludf.DUMMYFUNCTION("""COMPUTED_VALUE"""),"No")</f>
        <v>No</v>
      </c>
      <c r="E763" s="43" t="str">
        <f>IFERROR(__xludf.DUMMYFUNCTION("""COMPUTED_VALUE"""),"p_996bed85ab8bd7fc76a3ee33cdfe3b9ed41deb10@inbound.aiesec.org")</f>
        <v>p_996bed85ab8bd7fc76a3ee33cdfe3b9ed41deb10@inbound.aiesec.org</v>
      </c>
      <c r="F763" s="43">
        <f>IFERROR(__xludf.DUMMYFUNCTION("""COMPUTED_VALUE"""),5.53025381E9)</f>
        <v>5530253810</v>
      </c>
      <c r="G763" s="43" t="str">
        <f>IFERROR(__xludf.DUMMYFUNCTION("""COMPUTED_VALUE"""),"Turkey")</f>
        <v>Turkey</v>
      </c>
      <c r="H763" s="43" t="str">
        <f>IFERROR(__xludf.DUMMYFUNCTION("""COMPUTED_VALUE"""),"ISTANBUL ASIA")</f>
        <v>ISTANBUL ASIA</v>
      </c>
      <c r="I763" s="43" t="str">
        <f>IFERROR(__xludf.DUMMYFUNCTION("""COMPUTED_VALUE"""),"Egypt")</f>
        <v>Egypt</v>
      </c>
      <c r="J763" s="43" t="str">
        <f>IFERROR(__xludf.DUMMYFUNCTION("""COMPUTED_VALUE"""),"Helwan")</f>
        <v>Helwan</v>
      </c>
      <c r="K763" s="44" t="str">
        <f>IFERROR(__xludf.DUMMYFUNCTION("""COMPUTED_VALUE"""),"https://expa.aiesec.org/opportunities/1290690")</f>
        <v>https://expa.aiesec.org/opportunities/1290690</v>
      </c>
      <c r="L763" s="43" t="str">
        <f>IFERROR(__xludf.DUMMYFUNCTION("""COMPUTED_VALUE"""),"GV")</f>
        <v>GV</v>
      </c>
      <c r="M763" s="43" t="str">
        <f>IFERROR(__xludf.DUMMYFUNCTION("""COMPUTED_VALUE"""),"short")</f>
        <v>short</v>
      </c>
      <c r="N763" s="45">
        <f>IFERROR(__xludf.DUMMYFUNCTION("""COMPUTED_VALUE"""),45075.0)</f>
        <v>45075</v>
      </c>
      <c r="O763" s="45">
        <f>IFERROR(__xludf.DUMMYFUNCTION("""COMPUTED_VALUE"""),45095.0)</f>
        <v>45095</v>
      </c>
      <c r="P763" s="45">
        <f>IFERROR(__xludf.DUMMYFUNCTION("""COMPUTED_VALUE"""),45137.0)</f>
        <v>45137</v>
      </c>
      <c r="Q763" s="45">
        <f>IFERROR(__xludf.DUMMYFUNCTION("""COMPUTED_VALUE"""),45099.0)</f>
        <v>45099</v>
      </c>
      <c r="R763" s="45">
        <f>IFERROR(__xludf.DUMMYFUNCTION("""COMPUTED_VALUE"""),45141.0)</f>
        <v>45141</v>
      </c>
      <c r="S763" s="43"/>
      <c r="T763" s="43"/>
      <c r="U763" s="43" t="str">
        <f>IFERROR(__xludf.DUMMYFUNCTION("""COMPUTED_VALUE"""),"Heartbeat")</f>
        <v>Heartbeat</v>
      </c>
      <c r="V763" s="43" t="str">
        <f>IFERROR(__xludf.DUMMYFUNCTION("""COMPUTED_VALUE"""),"ISTANBUL ASIA")</f>
        <v>ISTANBUL ASIA</v>
      </c>
      <c r="W763" s="43" t="str">
        <f>IFERROR(__xludf.DUMMYFUNCTION("""COMPUTED_VALUE"""),"2023-05-22T09:02:15Z")</f>
        <v>2023-05-22T09:02:15Z</v>
      </c>
      <c r="X763" s="43"/>
      <c r="Y763" s="43"/>
      <c r="Z763" s="43"/>
    </row>
    <row r="764" hidden="1">
      <c r="A764" s="43" t="str">
        <f>IFERROR(__xludf.DUMMYFUNCTION("""COMPUTED_VALUE"""),"5261382_1290806")</f>
        <v>5261382_1290806</v>
      </c>
      <c r="B764" s="43" t="str">
        <f>IFERROR(__xludf.DUMMYFUNCTION("""COMPUTED_VALUE"""),"Melek yaren Akman")</f>
        <v>Melek yaren Akman</v>
      </c>
      <c r="C764" s="43" t="str">
        <f>IFERROR(__xludf.DUMMYFUNCTION("""COMPUTED_VALUE"""),"finished")</f>
        <v>finished</v>
      </c>
      <c r="D764" s="43" t="str">
        <f>IFERROR(__xludf.DUMMYFUNCTION("""COMPUTED_VALUE"""),"No")</f>
        <v>No</v>
      </c>
      <c r="E764" s="43" t="str">
        <f>IFERROR(__xludf.DUMMYFUNCTION("""COMPUTED_VALUE"""),"p_059176d8a9b483985deb9bbfd79a9551cf5263fd@inbound.aiesec.org")</f>
        <v>p_059176d8a9b483985deb9bbfd79a9551cf5263fd@inbound.aiesec.org</v>
      </c>
      <c r="F764" s="43">
        <f>IFERROR(__xludf.DUMMYFUNCTION("""COMPUTED_VALUE"""),5.345662109E9)</f>
        <v>5345662109</v>
      </c>
      <c r="G764" s="43" t="str">
        <f>IFERROR(__xludf.DUMMYFUNCTION("""COMPUTED_VALUE"""),"Turkey")</f>
        <v>Turkey</v>
      </c>
      <c r="H764" s="43" t="str">
        <f>IFERROR(__xludf.DUMMYFUNCTION("""COMPUTED_VALUE"""),"ANKARA")</f>
        <v>ANKARA</v>
      </c>
      <c r="I764" s="43" t="str">
        <f>IFERROR(__xludf.DUMMYFUNCTION("""COMPUTED_VALUE"""),"Sri Lanka")</f>
        <v>Sri Lanka</v>
      </c>
      <c r="J764" s="43" t="str">
        <f>IFERROR(__xludf.DUMMYFUNCTION("""COMPUTED_VALUE"""),"KANDY")</f>
        <v>KANDY</v>
      </c>
      <c r="K764" s="44" t="str">
        <f>IFERROR(__xludf.DUMMYFUNCTION("""COMPUTED_VALUE"""),"https://expa.aiesec.org/opportunities/1290806")</f>
        <v>https://expa.aiesec.org/opportunities/1290806</v>
      </c>
      <c r="L764" s="43" t="str">
        <f>IFERROR(__xludf.DUMMYFUNCTION("""COMPUTED_VALUE"""),"GV")</f>
        <v>GV</v>
      </c>
      <c r="M764" s="43" t="str">
        <f>IFERROR(__xludf.DUMMYFUNCTION("""COMPUTED_VALUE"""),"short")</f>
        <v>short</v>
      </c>
      <c r="N764" s="45">
        <f>IFERROR(__xludf.DUMMYFUNCTION("""COMPUTED_VALUE"""),45075.0)</f>
        <v>45075</v>
      </c>
      <c r="O764" s="45">
        <f>IFERROR(__xludf.DUMMYFUNCTION("""COMPUTED_VALUE"""),45159.0)</f>
        <v>45159</v>
      </c>
      <c r="P764" s="45">
        <f>IFERROR(__xludf.DUMMYFUNCTION("""COMPUTED_VALUE"""),45201.0)</f>
        <v>45201</v>
      </c>
      <c r="Q764" s="45">
        <f>IFERROR(__xludf.DUMMYFUNCTION("""COMPUTED_VALUE"""),45159.0)</f>
        <v>45159</v>
      </c>
      <c r="R764" s="45">
        <f>IFERROR(__xludf.DUMMYFUNCTION("""COMPUTED_VALUE"""),45201.0)</f>
        <v>45201</v>
      </c>
      <c r="S764" s="43"/>
      <c r="T764" s="43"/>
      <c r="U764" s="43" t="str">
        <f>IFERROR(__xludf.DUMMYFUNCTION("""COMPUTED_VALUE"""),"Happy Bus")</f>
        <v>Happy Bus</v>
      </c>
      <c r="V764" s="43" t="str">
        <f>IFERROR(__xludf.DUMMYFUNCTION("""COMPUTED_VALUE"""),"ANKARA")</f>
        <v>ANKARA</v>
      </c>
      <c r="W764" s="43" t="str">
        <f>IFERROR(__xludf.DUMMYFUNCTION("""COMPUTED_VALUE"""),"2023-05-15T14:12:52Z")</f>
        <v>2023-05-15T14:12:52Z</v>
      </c>
      <c r="X764" s="43"/>
      <c r="Y764" s="43"/>
      <c r="Z764" s="43"/>
    </row>
    <row r="765" hidden="1">
      <c r="A765" s="43" t="str">
        <f>IFERROR(__xludf.DUMMYFUNCTION("""COMPUTED_VALUE"""),"3440780_1294310")</f>
        <v>3440780_1294310</v>
      </c>
      <c r="B765" s="43" t="str">
        <f>IFERROR(__xludf.DUMMYFUNCTION("""COMPUTED_VALUE"""),"Gizem Hasgül")</f>
        <v>Gizem Hasgül</v>
      </c>
      <c r="C765" s="43" t="str">
        <f>IFERROR(__xludf.DUMMYFUNCTION("""COMPUTED_VALUE"""),"finished")</f>
        <v>finished</v>
      </c>
      <c r="D765" s="43" t="str">
        <f>IFERROR(__xludf.DUMMYFUNCTION("""COMPUTED_VALUE"""),"No")</f>
        <v>No</v>
      </c>
      <c r="E765" s="43" t="str">
        <f>IFERROR(__xludf.DUMMYFUNCTION("""COMPUTED_VALUE"""),"p_599307ebac5c4293fc83b3d3577765980c631915@inbound.aiesec.org")</f>
        <v>p_599307ebac5c4293fc83b3d3577765980c631915@inbound.aiesec.org</v>
      </c>
      <c r="F765" s="43">
        <f>IFERROR(__xludf.DUMMYFUNCTION("""COMPUTED_VALUE"""),5.322191395E9)</f>
        <v>5322191395</v>
      </c>
      <c r="G765" s="43" t="str">
        <f>IFERROR(__xludf.DUMMYFUNCTION("""COMPUTED_VALUE"""),"Turkey")</f>
        <v>Turkey</v>
      </c>
      <c r="H765" s="43" t="str">
        <f>IFERROR(__xludf.DUMMYFUNCTION("""COMPUTED_VALUE"""),"ISTANBUL ASIA")</f>
        <v>ISTANBUL ASIA</v>
      </c>
      <c r="I765" s="43" t="str">
        <f>IFERROR(__xludf.DUMMYFUNCTION("""COMPUTED_VALUE"""),"Italy")</f>
        <v>Italy</v>
      </c>
      <c r="J765" s="43" t="str">
        <f>IFERROR(__xludf.DUMMYFUNCTION("""COMPUTED_VALUE"""),"Torino")</f>
        <v>Torino</v>
      </c>
      <c r="K765" s="44" t="str">
        <f>IFERROR(__xludf.DUMMYFUNCTION("""COMPUTED_VALUE"""),"https://expa.aiesec.org/opportunities/1294310")</f>
        <v>https://expa.aiesec.org/opportunities/1294310</v>
      </c>
      <c r="L765" s="43" t="str">
        <f>IFERROR(__xludf.DUMMYFUNCTION("""COMPUTED_VALUE"""),"GV")</f>
        <v>GV</v>
      </c>
      <c r="M765" s="43" t="str">
        <f>IFERROR(__xludf.DUMMYFUNCTION("""COMPUTED_VALUE"""),"short")</f>
        <v>short</v>
      </c>
      <c r="N765" s="45">
        <f>IFERROR(__xludf.DUMMYFUNCTION("""COMPUTED_VALUE"""),45075.0)</f>
        <v>45075</v>
      </c>
      <c r="O765" s="45">
        <f>IFERROR(__xludf.DUMMYFUNCTION("""COMPUTED_VALUE"""),45089.0)</f>
        <v>45089</v>
      </c>
      <c r="P765" s="45">
        <f>IFERROR(__xludf.DUMMYFUNCTION("""COMPUTED_VALUE"""),45131.0)</f>
        <v>45131</v>
      </c>
      <c r="Q765" s="45">
        <f>IFERROR(__xludf.DUMMYFUNCTION("""COMPUTED_VALUE"""),45091.0)</f>
        <v>45091</v>
      </c>
      <c r="R765" s="45">
        <f>IFERROR(__xludf.DUMMYFUNCTION("""COMPUTED_VALUE"""),45132.0)</f>
        <v>45132</v>
      </c>
      <c r="S765" s="43"/>
      <c r="T765" s="43"/>
      <c r="U765" s="43" t="str">
        <f>IFERROR(__xludf.DUMMYFUNCTION("""COMPUTED_VALUE"""),"Raise Your Voice")</f>
        <v>Raise Your Voice</v>
      </c>
      <c r="V765" s="43" t="str">
        <f>IFERROR(__xludf.DUMMYFUNCTION("""COMPUTED_VALUE"""),"ISTANBUL ASIA")</f>
        <v>ISTANBUL ASIA</v>
      </c>
      <c r="W765" s="43" t="str">
        <f>IFERROR(__xludf.DUMMYFUNCTION("""COMPUTED_VALUE"""),"2019-05-19T10:54:06Z")</f>
        <v>2019-05-19T10:54:06Z</v>
      </c>
      <c r="X765" s="43"/>
      <c r="Y765" s="43"/>
      <c r="Z765" s="43"/>
    </row>
    <row r="766" hidden="1">
      <c r="A766" s="43" t="str">
        <f>IFERROR(__xludf.DUMMYFUNCTION("""COMPUTED_VALUE"""),"5268751_1294453")</f>
        <v>5268751_1294453</v>
      </c>
      <c r="B766" s="43" t="str">
        <f>IFERROR(__xludf.DUMMYFUNCTION("""COMPUTED_VALUE"""),"Nisa Nagehan Karacaoğlu")</f>
        <v>Nisa Nagehan Karacaoğlu</v>
      </c>
      <c r="C766" s="43" t="str">
        <f>IFERROR(__xludf.DUMMYFUNCTION("""COMPUTED_VALUE"""),"approved")</f>
        <v>approved</v>
      </c>
      <c r="D766" s="43" t="str">
        <f>IFERROR(__xludf.DUMMYFUNCTION("""COMPUTED_VALUE"""),"No")</f>
        <v>No</v>
      </c>
      <c r="E766" s="43" t="str">
        <f>IFERROR(__xludf.DUMMYFUNCTION("""COMPUTED_VALUE"""),"p_b4e1c4c8c0925cba8e45988f2269387147c12f90@inbound.aiesec.org")</f>
        <v>p_b4e1c4c8c0925cba8e45988f2269387147c12f90@inbound.aiesec.org</v>
      </c>
      <c r="F766" s="43"/>
      <c r="G766" s="43" t="str">
        <f>IFERROR(__xludf.DUMMYFUNCTION("""COMPUTED_VALUE"""),"Turkey")</f>
        <v>Turkey</v>
      </c>
      <c r="H766" s="43" t="str">
        <f>IFERROR(__xludf.DUMMYFUNCTION("""COMPUTED_VALUE"""),"ADANA")</f>
        <v>ADANA</v>
      </c>
      <c r="I766" s="43" t="str">
        <f>IFERROR(__xludf.DUMMYFUNCTION("""COMPUTED_VALUE"""),"Egypt")</f>
        <v>Egypt</v>
      </c>
      <c r="J766" s="43" t="str">
        <f>IFERROR(__xludf.DUMMYFUNCTION("""COMPUTED_VALUE"""),"AAST In CAIRO")</f>
        <v>AAST In CAIRO</v>
      </c>
      <c r="K766" s="44" t="str">
        <f>IFERROR(__xludf.DUMMYFUNCTION("""COMPUTED_VALUE"""),"https://expa.aiesec.org/opportunities/1294453")</f>
        <v>https://expa.aiesec.org/opportunities/1294453</v>
      </c>
      <c r="L766" s="43" t="str">
        <f>IFERROR(__xludf.DUMMYFUNCTION("""COMPUTED_VALUE"""),"GV")</f>
        <v>GV</v>
      </c>
      <c r="M766" s="43" t="str">
        <f>IFERROR(__xludf.DUMMYFUNCTION("""COMPUTED_VALUE"""),"short")</f>
        <v>short</v>
      </c>
      <c r="N766" s="45">
        <f>IFERROR(__xludf.DUMMYFUNCTION("""COMPUTED_VALUE"""),45076.0)</f>
        <v>45076</v>
      </c>
      <c r="O766" s="45">
        <f>IFERROR(__xludf.DUMMYFUNCTION("""COMPUTED_VALUE"""),45112.0)</f>
        <v>45112</v>
      </c>
      <c r="P766" s="45">
        <f>IFERROR(__xludf.DUMMYFUNCTION("""COMPUTED_VALUE"""),45154.0)</f>
        <v>45154</v>
      </c>
      <c r="Q766" s="45"/>
      <c r="R766" s="45"/>
      <c r="S766" s="43"/>
      <c r="T766" s="43"/>
      <c r="U766" s="43" t="str">
        <f>IFERROR(__xludf.DUMMYFUNCTION("""COMPUTED_VALUE"""),"Global Classroom")</f>
        <v>Global Classroom</v>
      </c>
      <c r="V766" s="43" t="str">
        <f>IFERROR(__xludf.DUMMYFUNCTION("""COMPUTED_VALUE"""),"ADANA")</f>
        <v>ADANA</v>
      </c>
      <c r="W766" s="43" t="str">
        <f>IFERROR(__xludf.DUMMYFUNCTION("""COMPUTED_VALUE"""),"2023-05-30T12:19:56Z")</f>
        <v>2023-05-30T12:19:56Z</v>
      </c>
      <c r="X766" s="43"/>
      <c r="Y766" s="43"/>
      <c r="Z766" s="43"/>
    </row>
    <row r="767" hidden="1">
      <c r="A767" s="43" t="str">
        <f>IFERROR(__xludf.DUMMYFUNCTION("""COMPUTED_VALUE"""),"5267270_1294006")</f>
        <v>5267270_1294006</v>
      </c>
      <c r="B767" s="43" t="str">
        <f>IFERROR(__xludf.DUMMYFUNCTION("""COMPUTED_VALUE"""),"sudenaz yaşar")</f>
        <v>sudenaz yaşar</v>
      </c>
      <c r="C767" s="43" t="str">
        <f>IFERROR(__xludf.DUMMYFUNCTION("""COMPUTED_VALUE"""),"completed")</f>
        <v>completed</v>
      </c>
      <c r="D767" s="43" t="str">
        <f>IFERROR(__xludf.DUMMYFUNCTION("""COMPUTED_VALUE"""),"No")</f>
        <v>No</v>
      </c>
      <c r="E767" s="43" t="str">
        <f>IFERROR(__xludf.DUMMYFUNCTION("""COMPUTED_VALUE"""),"p_3a29d4c9582e5409c738d87b9f3f051c4def0219@inbound.aiesec.org")</f>
        <v>p_3a29d4c9582e5409c738d87b9f3f051c4def0219@inbound.aiesec.org</v>
      </c>
      <c r="F767" s="43">
        <f>IFERROR(__xludf.DUMMYFUNCTION("""COMPUTED_VALUE"""),5.416446153E9)</f>
        <v>5416446153</v>
      </c>
      <c r="G767" s="43" t="str">
        <f>IFERROR(__xludf.DUMMYFUNCTION("""COMPUTED_VALUE"""),"Turkey")</f>
        <v>Turkey</v>
      </c>
      <c r="H767" s="43" t="str">
        <f>IFERROR(__xludf.DUMMYFUNCTION("""COMPUTED_VALUE"""),"KOCAELI")</f>
        <v>KOCAELI</v>
      </c>
      <c r="I767" s="43" t="str">
        <f>IFERROR(__xludf.DUMMYFUNCTION("""COMPUTED_VALUE"""),"Romania")</f>
        <v>Romania</v>
      </c>
      <c r="J767" s="43" t="str">
        <f>IFERROR(__xludf.DUMMYFUNCTION("""COMPUTED_VALUE"""),"BUCURESTI")</f>
        <v>BUCURESTI</v>
      </c>
      <c r="K767" s="44" t="str">
        <f>IFERROR(__xludf.DUMMYFUNCTION("""COMPUTED_VALUE"""),"https://expa.aiesec.org/opportunities/1294006")</f>
        <v>https://expa.aiesec.org/opportunities/1294006</v>
      </c>
      <c r="L767" s="43" t="str">
        <f>IFERROR(__xludf.DUMMYFUNCTION("""COMPUTED_VALUE"""),"GV")</f>
        <v>GV</v>
      </c>
      <c r="M767" s="43" t="str">
        <f>IFERROR(__xludf.DUMMYFUNCTION("""COMPUTED_VALUE"""),"short")</f>
        <v>short</v>
      </c>
      <c r="N767" s="45">
        <f>IFERROR(__xludf.DUMMYFUNCTION("""COMPUTED_VALUE"""),45076.0)</f>
        <v>45076</v>
      </c>
      <c r="O767" s="45">
        <f>IFERROR(__xludf.DUMMYFUNCTION("""COMPUTED_VALUE"""),45124.0)</f>
        <v>45124</v>
      </c>
      <c r="P767" s="45">
        <f>IFERROR(__xludf.DUMMYFUNCTION("""COMPUTED_VALUE"""),45166.0)</f>
        <v>45166</v>
      </c>
      <c r="Q767" s="45">
        <f>IFERROR(__xludf.DUMMYFUNCTION("""COMPUTED_VALUE"""),45124.0)</f>
        <v>45124</v>
      </c>
      <c r="R767" s="45">
        <f>IFERROR(__xludf.DUMMYFUNCTION("""COMPUTED_VALUE"""),45166.0)</f>
        <v>45166</v>
      </c>
      <c r="S767" s="43"/>
      <c r="T767" s="43"/>
      <c r="U767" s="43" t="str">
        <f>IFERROR(__xludf.DUMMYFUNCTION("""COMPUTED_VALUE"""),"Fingerprint")</f>
        <v>Fingerprint</v>
      </c>
      <c r="V767" s="43" t="str">
        <f>IFERROR(__xludf.DUMMYFUNCTION("""COMPUTED_VALUE"""),"KOCAELI")</f>
        <v>KOCAELI</v>
      </c>
      <c r="W767" s="43" t="str">
        <f>IFERROR(__xludf.DUMMYFUNCTION("""COMPUTED_VALUE"""),"2023-05-26T20:14:33Z")</f>
        <v>2023-05-26T20:14:33Z</v>
      </c>
      <c r="X767" s="43"/>
      <c r="Y767" s="43"/>
      <c r="Z767" s="43"/>
    </row>
    <row r="768" hidden="1">
      <c r="A768" s="43" t="str">
        <f>IFERROR(__xludf.DUMMYFUNCTION("""COMPUTED_VALUE"""),"5245233_1294062")</f>
        <v>5245233_1294062</v>
      </c>
      <c r="B768" s="43" t="str">
        <f>IFERROR(__xludf.DUMMYFUNCTION("""COMPUTED_VALUE"""),"Mehmet Kucukdag")</f>
        <v>Mehmet Kucukdag</v>
      </c>
      <c r="C768" s="43" t="str">
        <f>IFERROR(__xludf.DUMMYFUNCTION("""COMPUTED_VALUE"""),"approved")</f>
        <v>approved</v>
      </c>
      <c r="D768" s="43" t="str">
        <f>IFERROR(__xludf.DUMMYFUNCTION("""COMPUTED_VALUE"""),"No")</f>
        <v>No</v>
      </c>
      <c r="E768" s="43" t="str">
        <f>IFERROR(__xludf.DUMMYFUNCTION("""COMPUTED_VALUE"""),"p_8bf4ee302a7b07669f036add248cc40e65b11b8a@inbound.aiesec.org")</f>
        <v>p_8bf4ee302a7b07669f036add248cc40e65b11b8a@inbound.aiesec.org</v>
      </c>
      <c r="F768" s="43"/>
      <c r="G768" s="43" t="str">
        <f>IFERROR(__xludf.DUMMYFUNCTION("""COMPUTED_VALUE"""),"Turkey")</f>
        <v>Turkey</v>
      </c>
      <c r="H768" s="43" t="str">
        <f>IFERROR(__xludf.DUMMYFUNCTION("""COMPUTED_VALUE"""),"ANKARA")</f>
        <v>ANKARA</v>
      </c>
      <c r="I768" s="43" t="str">
        <f>IFERROR(__xludf.DUMMYFUNCTION("""COMPUTED_VALUE"""),"Tunisia")</f>
        <v>Tunisia</v>
      </c>
      <c r="J768" s="43" t="str">
        <f>IFERROR(__xludf.DUMMYFUNCTION("""COMPUTED_VALUE"""),"THYNA")</f>
        <v>THYNA</v>
      </c>
      <c r="K768" s="44" t="str">
        <f>IFERROR(__xludf.DUMMYFUNCTION("""COMPUTED_VALUE"""),"https://expa.aiesec.org/opportunities/1294062")</f>
        <v>https://expa.aiesec.org/opportunities/1294062</v>
      </c>
      <c r="L768" s="43" t="str">
        <f>IFERROR(__xludf.DUMMYFUNCTION("""COMPUTED_VALUE"""),"GV")</f>
        <v>GV</v>
      </c>
      <c r="M768" s="43" t="str">
        <f>IFERROR(__xludf.DUMMYFUNCTION("""COMPUTED_VALUE"""),"short")</f>
        <v>short</v>
      </c>
      <c r="N768" s="45">
        <f>IFERROR(__xludf.DUMMYFUNCTION("""COMPUTED_VALUE"""),45076.0)</f>
        <v>45076</v>
      </c>
      <c r="O768" s="45">
        <f>IFERROR(__xludf.DUMMYFUNCTION("""COMPUTED_VALUE"""),45131.0)</f>
        <v>45131</v>
      </c>
      <c r="P768" s="45">
        <f>IFERROR(__xludf.DUMMYFUNCTION("""COMPUTED_VALUE"""),45173.0)</f>
        <v>45173</v>
      </c>
      <c r="Q768" s="45"/>
      <c r="R768" s="45"/>
      <c r="S768" s="43"/>
      <c r="T768" s="43"/>
      <c r="U768" s="43" t="str">
        <f>IFERROR(__xludf.DUMMYFUNCTION("""COMPUTED_VALUE"""),"Aquatica")</f>
        <v>Aquatica</v>
      </c>
      <c r="V768" s="43" t="str">
        <f>IFERROR(__xludf.DUMMYFUNCTION("""COMPUTED_VALUE"""),"-")</f>
        <v>-</v>
      </c>
      <c r="W768" s="43" t="str">
        <f>IFERROR(__xludf.DUMMYFUNCTION("""COMPUTED_VALUE"""),"2023-04-19T10:55:49Z")</f>
        <v>2023-04-19T10:55:49Z</v>
      </c>
      <c r="X768" s="43"/>
      <c r="Y768" s="43"/>
      <c r="Z768" s="43"/>
    </row>
    <row r="769" hidden="1">
      <c r="A769" s="43" t="str">
        <f>IFERROR(__xludf.DUMMYFUNCTION("""COMPUTED_VALUE"""),"5268663_1294587")</f>
        <v>5268663_1294587</v>
      </c>
      <c r="B769" s="43" t="str">
        <f>IFERROR(__xludf.DUMMYFUNCTION("""COMPUTED_VALUE"""),"Azra Nur Tekbaş")</f>
        <v>Azra Nur Tekbaş</v>
      </c>
      <c r="C769" s="43" t="str">
        <f>IFERROR(__xludf.DUMMYFUNCTION("""COMPUTED_VALUE"""),"finished")</f>
        <v>finished</v>
      </c>
      <c r="D769" s="43" t="str">
        <f>IFERROR(__xludf.DUMMYFUNCTION("""COMPUTED_VALUE"""),"No")</f>
        <v>No</v>
      </c>
      <c r="E769" s="43" t="str">
        <f>IFERROR(__xludf.DUMMYFUNCTION("""COMPUTED_VALUE"""),"p_b0e74dbdd14c209aae898ad0e529d47243212c25@inbound.aiesec.org")</f>
        <v>p_b0e74dbdd14c209aae898ad0e529d47243212c25@inbound.aiesec.org</v>
      </c>
      <c r="F769" s="43"/>
      <c r="G769" s="43" t="str">
        <f>IFERROR(__xludf.DUMMYFUNCTION("""COMPUTED_VALUE"""),"Turkey")</f>
        <v>Turkey</v>
      </c>
      <c r="H769" s="43" t="str">
        <f>IFERROR(__xludf.DUMMYFUNCTION("""COMPUTED_VALUE"""),"SAKARYA")</f>
        <v>SAKARYA</v>
      </c>
      <c r="I769" s="43" t="str">
        <f>IFERROR(__xludf.DUMMYFUNCTION("""COMPUTED_VALUE"""),"Romania")</f>
        <v>Romania</v>
      </c>
      <c r="J769" s="43" t="str">
        <f>IFERROR(__xludf.DUMMYFUNCTION("""COMPUTED_VALUE"""),"BUCURESTI")</f>
        <v>BUCURESTI</v>
      </c>
      <c r="K769" s="44" t="str">
        <f>IFERROR(__xludf.DUMMYFUNCTION("""COMPUTED_VALUE"""),"https://expa.aiesec.org/opportunities/1294587")</f>
        <v>https://expa.aiesec.org/opportunities/1294587</v>
      </c>
      <c r="L769" s="43" t="str">
        <f>IFERROR(__xludf.DUMMYFUNCTION("""COMPUTED_VALUE"""),"GV")</f>
        <v>GV</v>
      </c>
      <c r="M769" s="43" t="str">
        <f>IFERROR(__xludf.DUMMYFUNCTION("""COMPUTED_VALUE"""),"short")</f>
        <v>short</v>
      </c>
      <c r="N769" s="45">
        <f>IFERROR(__xludf.DUMMYFUNCTION("""COMPUTED_VALUE"""),45077.0)</f>
        <v>45077</v>
      </c>
      <c r="O769" s="45">
        <f>IFERROR(__xludf.DUMMYFUNCTION("""COMPUTED_VALUE"""),45096.0)</f>
        <v>45096</v>
      </c>
      <c r="P769" s="45">
        <f>IFERROR(__xludf.DUMMYFUNCTION("""COMPUTED_VALUE"""),45138.0)</f>
        <v>45138</v>
      </c>
      <c r="Q769" s="45">
        <f>IFERROR(__xludf.DUMMYFUNCTION("""COMPUTED_VALUE"""),45096.0)</f>
        <v>45096</v>
      </c>
      <c r="R769" s="45">
        <f>IFERROR(__xludf.DUMMYFUNCTION("""COMPUTED_VALUE"""),45138.0)</f>
        <v>45138</v>
      </c>
      <c r="S769" s="43"/>
      <c r="T769" s="43"/>
      <c r="U769" s="43" t="str">
        <f>IFERROR(__xludf.DUMMYFUNCTION("""COMPUTED_VALUE"""),"Youth 4 Impact")</f>
        <v>Youth 4 Impact</v>
      </c>
      <c r="V769" s="43" t="str">
        <f>IFERROR(__xludf.DUMMYFUNCTION("""COMPUTED_VALUE"""),"-")</f>
        <v>-</v>
      </c>
      <c r="W769" s="43" t="str">
        <f>IFERROR(__xludf.DUMMYFUNCTION("""COMPUTED_VALUE"""),"2023-05-30T09:27:37Z")</f>
        <v>2023-05-30T09:27:37Z</v>
      </c>
      <c r="X769" s="43"/>
      <c r="Y769" s="43"/>
      <c r="Z769" s="43"/>
    </row>
    <row r="770" hidden="1">
      <c r="A770" s="43" t="str">
        <f>IFERROR(__xludf.DUMMYFUNCTION("""COMPUTED_VALUE"""),"5257651_1294209")</f>
        <v>5257651_1294209</v>
      </c>
      <c r="B770" s="43" t="str">
        <f>IFERROR(__xludf.DUMMYFUNCTION("""COMPUTED_VALUE"""),"Yaren tp")</f>
        <v>Yaren tp</v>
      </c>
      <c r="C770" s="43" t="str">
        <f>IFERROR(__xludf.DUMMYFUNCTION("""COMPUTED_VALUE"""),"approved")</f>
        <v>approved</v>
      </c>
      <c r="D770" s="43" t="str">
        <f>IFERROR(__xludf.DUMMYFUNCTION("""COMPUTED_VALUE"""),"No")</f>
        <v>No</v>
      </c>
      <c r="E770" s="43" t="str">
        <f>IFERROR(__xludf.DUMMYFUNCTION("""COMPUTED_VALUE"""),"p_1b0015e54fa5bbc279b2d5503a66b01c74144d23@inbound.aiesec.org")</f>
        <v>p_1b0015e54fa5bbc279b2d5503a66b01c74144d23@inbound.aiesec.org</v>
      </c>
      <c r="F770" s="43"/>
      <c r="G770" s="43" t="str">
        <f>IFERROR(__xludf.DUMMYFUNCTION("""COMPUTED_VALUE"""),"Turkey")</f>
        <v>Turkey</v>
      </c>
      <c r="H770" s="43" t="str">
        <f>IFERROR(__xludf.DUMMYFUNCTION("""COMPUTED_VALUE"""),"ESKISEHIR")</f>
        <v>ESKISEHIR</v>
      </c>
      <c r="I770" s="43" t="str">
        <f>IFERROR(__xludf.DUMMYFUNCTION("""COMPUTED_VALUE"""),"Moldova")</f>
        <v>Moldova</v>
      </c>
      <c r="J770" s="43" t="str">
        <f>IFERROR(__xludf.DUMMYFUNCTION("""COMPUTED_VALUE"""),"CHISINAU")</f>
        <v>CHISINAU</v>
      </c>
      <c r="K770" s="44" t="str">
        <f>IFERROR(__xludf.DUMMYFUNCTION("""COMPUTED_VALUE"""),"https://expa.aiesec.org/opportunities/1294209")</f>
        <v>https://expa.aiesec.org/opportunities/1294209</v>
      </c>
      <c r="L770" s="43" t="str">
        <f>IFERROR(__xludf.DUMMYFUNCTION("""COMPUTED_VALUE"""),"GV")</f>
        <v>GV</v>
      </c>
      <c r="M770" s="43" t="str">
        <f>IFERROR(__xludf.DUMMYFUNCTION("""COMPUTED_VALUE"""),"short")</f>
        <v>short</v>
      </c>
      <c r="N770" s="45">
        <f>IFERROR(__xludf.DUMMYFUNCTION("""COMPUTED_VALUE"""),45077.0)</f>
        <v>45077</v>
      </c>
      <c r="O770" s="45">
        <f>IFERROR(__xludf.DUMMYFUNCTION("""COMPUTED_VALUE"""),45124.0)</f>
        <v>45124</v>
      </c>
      <c r="P770" s="45">
        <f>IFERROR(__xludf.DUMMYFUNCTION("""COMPUTED_VALUE"""),45166.0)</f>
        <v>45166</v>
      </c>
      <c r="Q770" s="45"/>
      <c r="R770" s="45"/>
      <c r="S770" s="43"/>
      <c r="T770" s="43"/>
      <c r="U770" s="43" t="str">
        <f>IFERROR(__xludf.DUMMYFUNCTION("""COMPUTED_VALUE"""),"On The Map")</f>
        <v>On The Map</v>
      </c>
      <c r="V770" s="43" t="str">
        <f>IFERROR(__xludf.DUMMYFUNCTION("""COMPUTED_VALUE"""),"-")</f>
        <v>-</v>
      </c>
      <c r="W770" s="43" t="str">
        <f>IFERROR(__xludf.DUMMYFUNCTION("""COMPUTED_VALUE"""),"2023-05-08T13:31:44Z")</f>
        <v>2023-05-08T13:31:44Z</v>
      </c>
      <c r="X770" s="43"/>
      <c r="Y770" s="43"/>
      <c r="Z770" s="43"/>
    </row>
    <row r="771" hidden="1">
      <c r="A771" s="43" t="str">
        <f>IFERROR(__xludf.DUMMYFUNCTION("""COMPUTED_VALUE"""),"4992694_1293393")</f>
        <v>4992694_1293393</v>
      </c>
      <c r="B771" s="43" t="str">
        <f>IFERROR(__xludf.DUMMYFUNCTION("""COMPUTED_VALUE"""),"Nilüfer Altanay")</f>
        <v>Nilüfer Altanay</v>
      </c>
      <c r="C771" s="43" t="str">
        <f>IFERROR(__xludf.DUMMYFUNCTION("""COMPUTED_VALUE"""),"completed")</f>
        <v>completed</v>
      </c>
      <c r="D771" s="43" t="str">
        <f>IFERROR(__xludf.DUMMYFUNCTION("""COMPUTED_VALUE"""),"No")</f>
        <v>No</v>
      </c>
      <c r="E771" s="43" t="str">
        <f>IFERROR(__xludf.DUMMYFUNCTION("""COMPUTED_VALUE"""),"p_1a23398f8ae9d9aa36d98ffd84ed856b00260e80@inbound.aiesec.org")</f>
        <v>p_1a23398f8ae9d9aa36d98ffd84ed856b00260e80@inbound.aiesec.org</v>
      </c>
      <c r="F771" s="43">
        <f>IFERROR(__xludf.DUMMYFUNCTION("""COMPUTED_VALUE"""),5.446322002E9)</f>
        <v>5446322002</v>
      </c>
      <c r="G771" s="43" t="str">
        <f>IFERROR(__xludf.DUMMYFUNCTION("""COMPUTED_VALUE"""),"Turkey")</f>
        <v>Turkey</v>
      </c>
      <c r="H771" s="43" t="str">
        <f>IFERROR(__xludf.DUMMYFUNCTION("""COMPUTED_VALUE"""),"BURSA")</f>
        <v>BURSA</v>
      </c>
      <c r="I771" s="43" t="str">
        <f>IFERROR(__xludf.DUMMYFUNCTION("""COMPUTED_VALUE"""),"Greece")</f>
        <v>Greece</v>
      </c>
      <c r="J771" s="43" t="str">
        <f>IFERROR(__xludf.DUMMYFUNCTION("""COMPUTED_VALUE"""),"Piraeus UNIPI (Athens)")</f>
        <v>Piraeus UNIPI (Athens)</v>
      </c>
      <c r="K771" s="44" t="str">
        <f>IFERROR(__xludf.DUMMYFUNCTION("""COMPUTED_VALUE"""),"https://expa.aiesec.org/opportunities/1293393")</f>
        <v>https://expa.aiesec.org/opportunities/1293393</v>
      </c>
      <c r="L771" s="43" t="str">
        <f>IFERROR(__xludf.DUMMYFUNCTION("""COMPUTED_VALUE"""),"GV")</f>
        <v>GV</v>
      </c>
      <c r="M771" s="43" t="str">
        <f>IFERROR(__xludf.DUMMYFUNCTION("""COMPUTED_VALUE"""),"short")</f>
        <v>short</v>
      </c>
      <c r="N771" s="45">
        <f>IFERROR(__xludf.DUMMYFUNCTION("""COMPUTED_VALUE"""),45077.0)</f>
        <v>45077</v>
      </c>
      <c r="O771" s="45">
        <f>IFERROR(__xludf.DUMMYFUNCTION("""COMPUTED_VALUE"""),45087.0)</f>
        <v>45087</v>
      </c>
      <c r="P771" s="45">
        <f>IFERROR(__xludf.DUMMYFUNCTION("""COMPUTED_VALUE"""),45129.0)</f>
        <v>45129</v>
      </c>
      <c r="Q771" s="45"/>
      <c r="R771" s="45">
        <f>IFERROR(__xludf.DUMMYFUNCTION("""COMPUTED_VALUE"""),45129.0)</f>
        <v>45129</v>
      </c>
      <c r="S771" s="43"/>
      <c r="T771" s="43"/>
      <c r="U771" s="43" t="str">
        <f>IFERROR(__xludf.DUMMYFUNCTION("""COMPUTED_VALUE"""),"Global Classroom")</f>
        <v>Global Classroom</v>
      </c>
      <c r="V771" s="43" t="str">
        <f>IFERROR(__xludf.DUMMYFUNCTION("""COMPUTED_VALUE"""),"CANAKKALE")</f>
        <v>CANAKKALE</v>
      </c>
      <c r="W771" s="43" t="str">
        <f>IFERROR(__xludf.DUMMYFUNCTION("""COMPUTED_VALUE"""),"2022-03-19T07:41:23Z")</f>
        <v>2022-03-19T07:41:23Z</v>
      </c>
      <c r="X771" s="43"/>
      <c r="Y771" s="43"/>
      <c r="Z771" s="43"/>
    </row>
    <row r="772" hidden="1">
      <c r="A772" s="43" t="str">
        <f>IFERROR(__xludf.DUMMYFUNCTION("""COMPUTED_VALUE"""),"5254193_1293005")</f>
        <v>5254193_1293005</v>
      </c>
      <c r="B772" s="43" t="str">
        <f>IFERROR(__xludf.DUMMYFUNCTION("""COMPUTED_VALUE"""),"Naila Mahmudlu")</f>
        <v>Naila Mahmudlu</v>
      </c>
      <c r="C772" s="43" t="str">
        <f>IFERROR(__xludf.DUMMYFUNCTION("""COMPUTED_VALUE"""),"approved")</f>
        <v>approved</v>
      </c>
      <c r="D772" s="43" t="str">
        <f>IFERROR(__xludf.DUMMYFUNCTION("""COMPUTED_VALUE"""),"No")</f>
        <v>No</v>
      </c>
      <c r="E772" s="43" t="str">
        <f>IFERROR(__xludf.DUMMYFUNCTION("""COMPUTED_VALUE"""),"p_de276e632b1b25f27f8cf277d4b3dd2ec3037596@inbound.aiesec.org")</f>
        <v>p_de276e632b1b25f27f8cf277d4b3dd2ec3037596@inbound.aiesec.org</v>
      </c>
      <c r="F772" s="43"/>
      <c r="G772" s="43" t="str">
        <f>IFERROR(__xludf.DUMMYFUNCTION("""COMPUTED_VALUE"""),"Turkey")</f>
        <v>Turkey</v>
      </c>
      <c r="H772" s="43" t="str">
        <f>IFERROR(__xludf.DUMMYFUNCTION("""COMPUTED_VALUE"""),"ANKARA")</f>
        <v>ANKARA</v>
      </c>
      <c r="I772" s="43" t="str">
        <f>IFERROR(__xludf.DUMMYFUNCTION("""COMPUTED_VALUE"""),"Mainland of China")</f>
        <v>Mainland of China</v>
      </c>
      <c r="J772" s="43" t="str">
        <f>IFERROR(__xludf.DUMMYFUNCTION("""COMPUTED_VALUE"""),"Guangzhou")</f>
        <v>Guangzhou</v>
      </c>
      <c r="K772" s="44" t="str">
        <f>IFERROR(__xludf.DUMMYFUNCTION("""COMPUTED_VALUE"""),"https://expa.aiesec.org/opportunities/1293005")</f>
        <v>https://expa.aiesec.org/opportunities/1293005</v>
      </c>
      <c r="L772" s="43" t="str">
        <f>IFERROR(__xludf.DUMMYFUNCTION("""COMPUTED_VALUE"""),"GV")</f>
        <v>GV</v>
      </c>
      <c r="M772" s="43" t="str">
        <f>IFERROR(__xludf.DUMMYFUNCTION("""COMPUTED_VALUE"""),"short")</f>
        <v>short</v>
      </c>
      <c r="N772" s="45">
        <f>IFERROR(__xludf.DUMMYFUNCTION("""COMPUTED_VALUE"""),45077.0)</f>
        <v>45077</v>
      </c>
      <c r="O772" s="45">
        <f>IFERROR(__xludf.DUMMYFUNCTION("""COMPUTED_VALUE"""),45117.0)</f>
        <v>45117</v>
      </c>
      <c r="P772" s="45">
        <f>IFERROR(__xludf.DUMMYFUNCTION("""COMPUTED_VALUE"""),45159.0)</f>
        <v>45159</v>
      </c>
      <c r="Q772" s="45"/>
      <c r="R772" s="45"/>
      <c r="S772" s="43"/>
      <c r="T772" s="43"/>
      <c r="U772" s="43" t="str">
        <f>IFERROR(__xludf.DUMMYFUNCTION("""COMPUTED_VALUE"""),"On The Map")</f>
        <v>On The Map</v>
      </c>
      <c r="V772" s="43" t="str">
        <f>IFERROR(__xludf.DUMMYFUNCTION("""COMPUTED_VALUE"""),"-")</f>
        <v>-</v>
      </c>
      <c r="W772" s="43" t="str">
        <f>IFERROR(__xludf.DUMMYFUNCTION("""COMPUTED_VALUE"""),"2023-05-02T10:19:17Z")</f>
        <v>2023-05-02T10:19:17Z</v>
      </c>
      <c r="X772" s="43"/>
      <c r="Y772" s="43"/>
      <c r="Z772" s="43"/>
    </row>
    <row r="773" hidden="1">
      <c r="A773" s="43" t="str">
        <f>IFERROR(__xludf.DUMMYFUNCTION("""COMPUTED_VALUE"""),"5246986_1294062")</f>
        <v>5246986_1294062</v>
      </c>
      <c r="B773" s="43" t="str">
        <f>IFERROR(__xludf.DUMMYFUNCTION("""COMPUTED_VALUE"""),"Arda Taşyakan")</f>
        <v>Arda Taşyakan</v>
      </c>
      <c r="C773" s="43" t="str">
        <f>IFERROR(__xludf.DUMMYFUNCTION("""COMPUTED_VALUE"""),"approved")</f>
        <v>approved</v>
      </c>
      <c r="D773" s="43" t="str">
        <f>IFERROR(__xludf.DUMMYFUNCTION("""COMPUTED_VALUE"""),"No")</f>
        <v>No</v>
      </c>
      <c r="E773" s="43" t="str">
        <f>IFERROR(__xludf.DUMMYFUNCTION("""COMPUTED_VALUE"""),"p_d9079ceec3a9ca527ebb5923a9fd73437ff9579f@inbound.aiesec.org")</f>
        <v>p_d9079ceec3a9ca527ebb5923a9fd73437ff9579f@inbound.aiesec.org</v>
      </c>
      <c r="F773" s="43">
        <f>IFERROR(__xludf.DUMMYFUNCTION("""COMPUTED_VALUE"""),5.385719964E9)</f>
        <v>5385719964</v>
      </c>
      <c r="G773" s="43" t="str">
        <f>IFERROR(__xludf.DUMMYFUNCTION("""COMPUTED_VALUE"""),"Turkey")</f>
        <v>Turkey</v>
      </c>
      <c r="H773" s="43" t="str">
        <f>IFERROR(__xludf.DUMMYFUNCTION("""COMPUTED_VALUE"""),"ANKARA")</f>
        <v>ANKARA</v>
      </c>
      <c r="I773" s="43" t="str">
        <f>IFERROR(__xludf.DUMMYFUNCTION("""COMPUTED_VALUE"""),"Tunisia")</f>
        <v>Tunisia</v>
      </c>
      <c r="J773" s="43" t="str">
        <f>IFERROR(__xludf.DUMMYFUNCTION("""COMPUTED_VALUE"""),"THYNA")</f>
        <v>THYNA</v>
      </c>
      <c r="K773" s="44" t="str">
        <f>IFERROR(__xludf.DUMMYFUNCTION("""COMPUTED_VALUE"""),"https://expa.aiesec.org/opportunities/1294062")</f>
        <v>https://expa.aiesec.org/opportunities/1294062</v>
      </c>
      <c r="L773" s="43" t="str">
        <f>IFERROR(__xludf.DUMMYFUNCTION("""COMPUTED_VALUE"""),"GV")</f>
        <v>GV</v>
      </c>
      <c r="M773" s="43" t="str">
        <f>IFERROR(__xludf.DUMMYFUNCTION("""COMPUTED_VALUE"""),"short")</f>
        <v>short</v>
      </c>
      <c r="N773" s="45">
        <f>IFERROR(__xludf.DUMMYFUNCTION("""COMPUTED_VALUE"""),45077.0)</f>
        <v>45077</v>
      </c>
      <c r="O773" s="45">
        <f>IFERROR(__xludf.DUMMYFUNCTION("""COMPUTED_VALUE"""),45131.0)</f>
        <v>45131</v>
      </c>
      <c r="P773" s="45">
        <f>IFERROR(__xludf.DUMMYFUNCTION("""COMPUTED_VALUE"""),45173.0)</f>
        <v>45173</v>
      </c>
      <c r="Q773" s="45"/>
      <c r="R773" s="45"/>
      <c r="S773" s="43"/>
      <c r="T773" s="43"/>
      <c r="U773" s="43" t="str">
        <f>IFERROR(__xludf.DUMMYFUNCTION("""COMPUTED_VALUE"""),"Aquatica")</f>
        <v>Aquatica</v>
      </c>
      <c r="V773" s="43" t="str">
        <f>IFERROR(__xludf.DUMMYFUNCTION("""COMPUTED_VALUE"""),"ANKARA")</f>
        <v>ANKARA</v>
      </c>
      <c r="W773" s="43" t="str">
        <f>IFERROR(__xludf.DUMMYFUNCTION("""COMPUTED_VALUE"""),"2023-04-21T19:06:00Z")</f>
        <v>2023-04-21T19:06:00Z</v>
      </c>
      <c r="X773" s="43"/>
      <c r="Y773" s="43"/>
      <c r="Z773" s="43"/>
    </row>
    <row r="774" hidden="1">
      <c r="A774" s="43" t="str">
        <f>IFERROR(__xludf.DUMMYFUNCTION("""COMPUTED_VALUE"""),"5269877_1292947")</f>
        <v>5269877_1292947</v>
      </c>
      <c r="B774" s="43" t="str">
        <f>IFERROR(__xludf.DUMMYFUNCTION("""COMPUTED_VALUE"""),"Barış Can Akyüz")</f>
        <v>Barış Can Akyüz</v>
      </c>
      <c r="C774" s="43" t="str">
        <f>IFERROR(__xludf.DUMMYFUNCTION("""COMPUTED_VALUE"""),"completed")</f>
        <v>completed</v>
      </c>
      <c r="D774" s="43" t="str">
        <f>IFERROR(__xludf.DUMMYFUNCTION("""COMPUTED_VALUE"""),"No")</f>
        <v>No</v>
      </c>
      <c r="E774" s="43" t="str">
        <f>IFERROR(__xludf.DUMMYFUNCTION("""COMPUTED_VALUE"""),"p_67d904ed2eb27cb14e2f920247f15685830a4d81@inbound.aiesec.org")</f>
        <v>p_67d904ed2eb27cb14e2f920247f15685830a4d81@inbound.aiesec.org</v>
      </c>
      <c r="F774" s="43">
        <f>IFERROR(__xludf.DUMMYFUNCTION("""COMPUTED_VALUE"""),5.378710141E9)</f>
        <v>5378710141</v>
      </c>
      <c r="G774" s="43" t="str">
        <f>IFERROR(__xludf.DUMMYFUNCTION("""COMPUTED_VALUE"""),"Turkey")</f>
        <v>Turkey</v>
      </c>
      <c r="H774" s="43" t="str">
        <f>IFERROR(__xludf.DUMMYFUNCTION("""COMPUTED_VALUE"""),"KOCAELI")</f>
        <v>KOCAELI</v>
      </c>
      <c r="I774" s="43" t="str">
        <f>IFERROR(__xludf.DUMMYFUNCTION("""COMPUTED_VALUE"""),"India")</f>
        <v>India</v>
      </c>
      <c r="J774" s="43" t="str">
        <f>IFERROR(__xludf.DUMMYFUNCTION("""COMPUTED_VALUE"""),"JAIPUR ")</f>
        <v>JAIPUR </v>
      </c>
      <c r="K774" s="44" t="str">
        <f>IFERROR(__xludf.DUMMYFUNCTION("""COMPUTED_VALUE"""),"https://expa.aiesec.org/opportunities/1292947")</f>
        <v>https://expa.aiesec.org/opportunities/1292947</v>
      </c>
      <c r="L774" s="43" t="str">
        <f>IFERROR(__xludf.DUMMYFUNCTION("""COMPUTED_VALUE"""),"GV")</f>
        <v>GV</v>
      </c>
      <c r="M774" s="43" t="str">
        <f>IFERROR(__xludf.DUMMYFUNCTION("""COMPUTED_VALUE"""),"short")</f>
        <v>short</v>
      </c>
      <c r="N774" s="45">
        <f>IFERROR(__xludf.DUMMYFUNCTION("""COMPUTED_VALUE"""),45078.0)</f>
        <v>45078</v>
      </c>
      <c r="O774" s="45">
        <f>IFERROR(__xludf.DUMMYFUNCTION("""COMPUTED_VALUE"""),45109.0)</f>
        <v>45109</v>
      </c>
      <c r="P774" s="45">
        <f>IFERROR(__xludf.DUMMYFUNCTION("""COMPUTED_VALUE"""),45151.0)</f>
        <v>45151</v>
      </c>
      <c r="Q774" s="45">
        <f>IFERROR(__xludf.DUMMYFUNCTION("""COMPUTED_VALUE"""),45108.0)</f>
        <v>45108</v>
      </c>
      <c r="R774" s="45">
        <f>IFERROR(__xludf.DUMMYFUNCTION("""COMPUTED_VALUE"""),45151.0)</f>
        <v>45151</v>
      </c>
      <c r="S774" s="43"/>
      <c r="T774" s="43"/>
      <c r="U774" s="43" t="str">
        <f>IFERROR(__xludf.DUMMYFUNCTION("""COMPUTED_VALUE"""),"Skill Up!")</f>
        <v>Skill Up!</v>
      </c>
      <c r="V774" s="43" t="str">
        <f>IFERROR(__xludf.DUMMYFUNCTION("""COMPUTED_VALUE"""),"KOCAELI")</f>
        <v>KOCAELI</v>
      </c>
      <c r="W774" s="43" t="str">
        <f>IFERROR(__xludf.DUMMYFUNCTION("""COMPUTED_VALUE"""),"2023-05-31T20:31:15Z")</f>
        <v>2023-05-31T20:31:15Z</v>
      </c>
      <c r="X774" s="43"/>
      <c r="Y774" s="43"/>
      <c r="Z774" s="43"/>
    </row>
    <row r="775" hidden="1">
      <c r="A775" s="43" t="str">
        <f>IFERROR(__xludf.DUMMYFUNCTION("""COMPUTED_VALUE"""),"5269795_1290806")</f>
        <v>5269795_1290806</v>
      </c>
      <c r="B775" s="43" t="str">
        <f>IFERROR(__xludf.DUMMYFUNCTION("""COMPUTED_VALUE"""),"Cemrenur Uysal")</f>
        <v>Cemrenur Uysal</v>
      </c>
      <c r="C775" s="43" t="str">
        <f>IFERROR(__xludf.DUMMYFUNCTION("""COMPUTED_VALUE"""),"finished")</f>
        <v>finished</v>
      </c>
      <c r="D775" s="43" t="str">
        <f>IFERROR(__xludf.DUMMYFUNCTION("""COMPUTED_VALUE"""),"No")</f>
        <v>No</v>
      </c>
      <c r="E775" s="43" t="str">
        <f>IFERROR(__xludf.DUMMYFUNCTION("""COMPUTED_VALUE"""),"p_6ee8d4fc8c8445fd3d577b58b0aa889a26758f21@inbound.aiesec.org")</f>
        <v>p_6ee8d4fc8c8445fd3d577b58b0aa889a26758f21@inbound.aiesec.org</v>
      </c>
      <c r="F775" s="43">
        <f>IFERROR(__xludf.DUMMYFUNCTION("""COMPUTED_VALUE"""),5.357862662E9)</f>
        <v>5357862662</v>
      </c>
      <c r="G775" s="43" t="str">
        <f>IFERROR(__xludf.DUMMYFUNCTION("""COMPUTED_VALUE"""),"Turkey")</f>
        <v>Turkey</v>
      </c>
      <c r="H775" s="43" t="str">
        <f>IFERROR(__xludf.DUMMYFUNCTION("""COMPUTED_VALUE"""),"ANKARA")</f>
        <v>ANKARA</v>
      </c>
      <c r="I775" s="43" t="str">
        <f>IFERROR(__xludf.DUMMYFUNCTION("""COMPUTED_VALUE"""),"Sri Lanka")</f>
        <v>Sri Lanka</v>
      </c>
      <c r="J775" s="43" t="str">
        <f>IFERROR(__xludf.DUMMYFUNCTION("""COMPUTED_VALUE"""),"KANDY")</f>
        <v>KANDY</v>
      </c>
      <c r="K775" s="44" t="str">
        <f>IFERROR(__xludf.DUMMYFUNCTION("""COMPUTED_VALUE"""),"https://expa.aiesec.org/opportunities/1290806")</f>
        <v>https://expa.aiesec.org/opportunities/1290806</v>
      </c>
      <c r="L775" s="43" t="str">
        <f>IFERROR(__xludf.DUMMYFUNCTION("""COMPUTED_VALUE"""),"GV")</f>
        <v>GV</v>
      </c>
      <c r="M775" s="43" t="str">
        <f>IFERROR(__xludf.DUMMYFUNCTION("""COMPUTED_VALUE"""),"short")</f>
        <v>short</v>
      </c>
      <c r="N775" s="45">
        <f>IFERROR(__xludf.DUMMYFUNCTION("""COMPUTED_VALUE"""),45078.0)</f>
        <v>45078</v>
      </c>
      <c r="O775" s="45">
        <f>IFERROR(__xludf.DUMMYFUNCTION("""COMPUTED_VALUE"""),45145.0)</f>
        <v>45145</v>
      </c>
      <c r="P775" s="45">
        <f>IFERROR(__xludf.DUMMYFUNCTION("""COMPUTED_VALUE"""),45187.0)</f>
        <v>45187</v>
      </c>
      <c r="Q775" s="45">
        <f>IFERROR(__xludf.DUMMYFUNCTION("""COMPUTED_VALUE"""),45151.0)</f>
        <v>45151</v>
      </c>
      <c r="R775" s="45">
        <f>IFERROR(__xludf.DUMMYFUNCTION("""COMPUTED_VALUE"""),45191.0)</f>
        <v>45191</v>
      </c>
      <c r="S775" s="43"/>
      <c r="T775" s="43"/>
      <c r="U775" s="43" t="str">
        <f>IFERROR(__xludf.DUMMYFUNCTION("""COMPUTED_VALUE"""),"Happy Bus")</f>
        <v>Happy Bus</v>
      </c>
      <c r="V775" s="43" t="str">
        <f>IFERROR(__xludf.DUMMYFUNCTION("""COMPUTED_VALUE"""),"ANKARA")</f>
        <v>ANKARA</v>
      </c>
      <c r="W775" s="43" t="str">
        <f>IFERROR(__xludf.DUMMYFUNCTION("""COMPUTED_VALUE"""),"2023-05-31T17:36:23Z")</f>
        <v>2023-05-31T17:36:23Z</v>
      </c>
      <c r="X775" s="43"/>
      <c r="Y775" s="43"/>
      <c r="Z775" s="43"/>
    </row>
    <row r="776" hidden="1">
      <c r="A776" s="43" t="str">
        <f>IFERROR(__xludf.DUMMYFUNCTION("""COMPUTED_VALUE"""),"5269421_1290393")</f>
        <v>5269421_1290393</v>
      </c>
      <c r="B776" s="43" t="str">
        <f>IFERROR(__xludf.DUMMYFUNCTION("""COMPUTED_VALUE"""),"Tuğba Pelin Tekin")</f>
        <v>Tuğba Pelin Tekin</v>
      </c>
      <c r="C776" s="43" t="str">
        <f>IFERROR(__xludf.DUMMYFUNCTION("""COMPUTED_VALUE"""),"completed")</f>
        <v>completed</v>
      </c>
      <c r="D776" s="43" t="str">
        <f>IFERROR(__xludf.DUMMYFUNCTION("""COMPUTED_VALUE"""),"No")</f>
        <v>No</v>
      </c>
      <c r="E776" s="43" t="str">
        <f>IFERROR(__xludf.DUMMYFUNCTION("""COMPUTED_VALUE"""),"p_2f3b582c71ffd24cd4a110276002f0c6339851c4@inbound.aiesec.org")</f>
        <v>p_2f3b582c71ffd24cd4a110276002f0c6339851c4@inbound.aiesec.org</v>
      </c>
      <c r="F776" s="43">
        <f>IFERROR(__xludf.DUMMYFUNCTION("""COMPUTED_VALUE"""),5.458270178E9)</f>
        <v>5458270178</v>
      </c>
      <c r="G776" s="43" t="str">
        <f>IFERROR(__xludf.DUMMYFUNCTION("""COMPUTED_VALUE"""),"Turkey")</f>
        <v>Turkey</v>
      </c>
      <c r="H776" s="43" t="str">
        <f>IFERROR(__xludf.DUMMYFUNCTION("""COMPUTED_VALUE"""),"KOCAELI")</f>
        <v>KOCAELI</v>
      </c>
      <c r="I776" s="43" t="str">
        <f>IFERROR(__xludf.DUMMYFUNCTION("""COMPUTED_VALUE"""),"Egypt")</f>
        <v>Egypt</v>
      </c>
      <c r="J776" s="43" t="str">
        <f>IFERROR(__xludf.DUMMYFUNCTION("""COMPUTED_VALUE"""),"AUC")</f>
        <v>AUC</v>
      </c>
      <c r="K776" s="44" t="str">
        <f>IFERROR(__xludf.DUMMYFUNCTION("""COMPUTED_VALUE"""),"https://expa.aiesec.org/opportunities/1290393")</f>
        <v>https://expa.aiesec.org/opportunities/1290393</v>
      </c>
      <c r="L776" s="43" t="str">
        <f>IFERROR(__xludf.DUMMYFUNCTION("""COMPUTED_VALUE"""),"GV")</f>
        <v>GV</v>
      </c>
      <c r="M776" s="43" t="str">
        <f>IFERROR(__xludf.DUMMYFUNCTION("""COMPUTED_VALUE"""),"short")</f>
        <v>short</v>
      </c>
      <c r="N776" s="45">
        <f>IFERROR(__xludf.DUMMYFUNCTION("""COMPUTED_VALUE"""),45078.0)</f>
        <v>45078</v>
      </c>
      <c r="O776" s="45">
        <f>IFERROR(__xludf.DUMMYFUNCTION("""COMPUTED_VALUE"""),45139.0)</f>
        <v>45139</v>
      </c>
      <c r="P776" s="45">
        <f>IFERROR(__xludf.DUMMYFUNCTION("""COMPUTED_VALUE"""),45181.0)</f>
        <v>45181</v>
      </c>
      <c r="Q776" s="45">
        <f>IFERROR(__xludf.DUMMYFUNCTION("""COMPUTED_VALUE"""),45148.0)</f>
        <v>45148</v>
      </c>
      <c r="R776" s="45">
        <f>IFERROR(__xludf.DUMMYFUNCTION("""COMPUTED_VALUE"""),45190.0)</f>
        <v>45190</v>
      </c>
      <c r="S776" s="43"/>
      <c r="T776" s="43"/>
      <c r="U776" s="43" t="str">
        <f>IFERROR(__xludf.DUMMYFUNCTION("""COMPUTED_VALUE"""),"Global Classroom")</f>
        <v>Global Classroom</v>
      </c>
      <c r="V776" s="43" t="str">
        <f>IFERROR(__xludf.DUMMYFUNCTION("""COMPUTED_VALUE"""),"KOCAELI")</f>
        <v>KOCAELI</v>
      </c>
      <c r="W776" s="43" t="str">
        <f>IFERROR(__xludf.DUMMYFUNCTION("""COMPUTED_VALUE"""),"2023-05-31T10:31:11Z")</f>
        <v>2023-05-31T10:31:11Z</v>
      </c>
      <c r="X776" s="43"/>
      <c r="Y776" s="43"/>
      <c r="Z776" s="43"/>
    </row>
    <row r="777" hidden="1">
      <c r="A777" s="43" t="str">
        <f>IFERROR(__xludf.DUMMYFUNCTION("""COMPUTED_VALUE"""),"5247482_1290059")</f>
        <v>5247482_1290059</v>
      </c>
      <c r="B777" s="43" t="str">
        <f>IFERROR(__xludf.DUMMYFUNCTION("""COMPUTED_VALUE"""),"Yaşar Ömür Özgören")</f>
        <v>Yaşar Ömür Özgören</v>
      </c>
      <c r="C777" s="43" t="str">
        <f>IFERROR(__xludf.DUMMYFUNCTION("""COMPUTED_VALUE"""),"completed")</f>
        <v>completed</v>
      </c>
      <c r="D777" s="43" t="str">
        <f>IFERROR(__xludf.DUMMYFUNCTION("""COMPUTED_VALUE"""),"No")</f>
        <v>No</v>
      </c>
      <c r="E777" s="43" t="str">
        <f>IFERROR(__xludf.DUMMYFUNCTION("""COMPUTED_VALUE"""),"p_123858ea12a1eeed5c90211b9ef81a3c1d1aded3@inbound.aiesec.org")</f>
        <v>p_123858ea12a1eeed5c90211b9ef81a3c1d1aded3@inbound.aiesec.org</v>
      </c>
      <c r="F777" s="43"/>
      <c r="G777" s="43" t="str">
        <f>IFERROR(__xludf.DUMMYFUNCTION("""COMPUTED_VALUE"""),"Turkey")</f>
        <v>Turkey</v>
      </c>
      <c r="H777" s="43" t="str">
        <f>IFERROR(__xludf.DUMMYFUNCTION("""COMPUTED_VALUE"""),"İZMİR")</f>
        <v>İZMİR</v>
      </c>
      <c r="I777" s="43" t="str">
        <f>IFERROR(__xludf.DUMMYFUNCTION("""COMPUTED_VALUE"""),"Romania")</f>
        <v>Romania</v>
      </c>
      <c r="J777" s="43" t="str">
        <f>IFERROR(__xludf.DUMMYFUNCTION("""COMPUTED_VALUE"""),"BUCURESTI")</f>
        <v>BUCURESTI</v>
      </c>
      <c r="K777" s="44" t="str">
        <f>IFERROR(__xludf.DUMMYFUNCTION("""COMPUTED_VALUE"""),"https://expa.aiesec.org/opportunities/1290059")</f>
        <v>https://expa.aiesec.org/opportunities/1290059</v>
      </c>
      <c r="L777" s="43" t="str">
        <f>IFERROR(__xludf.DUMMYFUNCTION("""COMPUTED_VALUE"""),"GV")</f>
        <v>GV</v>
      </c>
      <c r="M777" s="43" t="str">
        <f>IFERROR(__xludf.DUMMYFUNCTION("""COMPUTED_VALUE"""),"short")</f>
        <v>short</v>
      </c>
      <c r="N777" s="45">
        <f>IFERROR(__xludf.DUMMYFUNCTION("""COMPUTED_VALUE"""),45078.0)</f>
        <v>45078</v>
      </c>
      <c r="O777" s="45">
        <f>IFERROR(__xludf.DUMMYFUNCTION("""COMPUTED_VALUE"""),45096.0)</f>
        <v>45096</v>
      </c>
      <c r="P777" s="45">
        <f>IFERROR(__xludf.DUMMYFUNCTION("""COMPUTED_VALUE"""),45138.0)</f>
        <v>45138</v>
      </c>
      <c r="Q777" s="45">
        <f>IFERROR(__xludf.DUMMYFUNCTION("""COMPUTED_VALUE"""),45099.0)</f>
        <v>45099</v>
      </c>
      <c r="R777" s="45">
        <f>IFERROR(__xludf.DUMMYFUNCTION("""COMPUTED_VALUE"""),45139.0)</f>
        <v>45139</v>
      </c>
      <c r="S777" s="43"/>
      <c r="T777" s="43"/>
      <c r="U777" s="43" t="str">
        <f>IFERROR(__xludf.DUMMYFUNCTION("""COMPUTED_VALUE"""),"Global Classroom")</f>
        <v>Global Classroom</v>
      </c>
      <c r="V777" s="43" t="str">
        <f>IFERROR(__xludf.DUMMYFUNCTION("""COMPUTED_VALUE"""),"-")</f>
        <v>-</v>
      </c>
      <c r="W777" s="43" t="str">
        <f>IFERROR(__xludf.DUMMYFUNCTION("""COMPUTED_VALUE"""),"2023-04-22T21:19:19Z")</f>
        <v>2023-04-22T21:19:19Z</v>
      </c>
      <c r="X777" s="43"/>
      <c r="Y777" s="43"/>
      <c r="Z777" s="43"/>
    </row>
    <row r="778" hidden="1">
      <c r="A778" s="43" t="str">
        <f>IFERROR(__xludf.DUMMYFUNCTION("""COMPUTED_VALUE"""),"5267946_1295214")</f>
        <v>5267946_1295214</v>
      </c>
      <c r="B778" s="43" t="str">
        <f>IFERROR(__xludf.DUMMYFUNCTION("""COMPUTED_VALUE"""),"İlayda Boğaz")</f>
        <v>İlayda Boğaz</v>
      </c>
      <c r="C778" s="43" t="str">
        <f>IFERROR(__xludf.DUMMYFUNCTION("""COMPUTED_VALUE"""),"completed")</f>
        <v>completed</v>
      </c>
      <c r="D778" s="43" t="str">
        <f>IFERROR(__xludf.DUMMYFUNCTION("""COMPUTED_VALUE"""),"No")</f>
        <v>No</v>
      </c>
      <c r="E778" s="43" t="str">
        <f>IFERROR(__xludf.DUMMYFUNCTION("""COMPUTED_VALUE"""),"p_f447c3192101abcb034491276c7d97cc274a4fc0@inbound.aiesec.org")</f>
        <v>p_f447c3192101abcb034491276c7d97cc274a4fc0@inbound.aiesec.org</v>
      </c>
      <c r="F778" s="43">
        <f>IFERROR(__xludf.DUMMYFUNCTION("""COMPUTED_VALUE"""),5.391311604E9)</f>
        <v>5391311604</v>
      </c>
      <c r="G778" s="43" t="str">
        <f>IFERROR(__xludf.DUMMYFUNCTION("""COMPUTED_VALUE"""),"Turkey")</f>
        <v>Turkey</v>
      </c>
      <c r="H778" s="43" t="str">
        <f>IFERROR(__xludf.DUMMYFUNCTION("""COMPUTED_VALUE"""),"EASTERN MEDITERRANEAN")</f>
        <v>EASTERN MEDITERRANEAN</v>
      </c>
      <c r="I778" s="43" t="str">
        <f>IFERROR(__xludf.DUMMYFUNCTION("""COMPUTED_VALUE"""),"Romania")</f>
        <v>Romania</v>
      </c>
      <c r="J778" s="43" t="str">
        <f>IFERROR(__xludf.DUMMYFUNCTION("""COMPUTED_VALUE"""),"Cluj-Napoca")</f>
        <v>Cluj-Napoca</v>
      </c>
      <c r="K778" s="44" t="str">
        <f>IFERROR(__xludf.DUMMYFUNCTION("""COMPUTED_VALUE"""),"https://expa.aiesec.org/opportunities/1295214")</f>
        <v>https://expa.aiesec.org/opportunities/1295214</v>
      </c>
      <c r="L778" s="43" t="str">
        <f>IFERROR(__xludf.DUMMYFUNCTION("""COMPUTED_VALUE"""),"GV")</f>
        <v>GV</v>
      </c>
      <c r="M778" s="43" t="str">
        <f>IFERROR(__xludf.DUMMYFUNCTION("""COMPUTED_VALUE"""),"short")</f>
        <v>short</v>
      </c>
      <c r="N778" s="45">
        <f>IFERROR(__xludf.DUMMYFUNCTION("""COMPUTED_VALUE"""),45078.0)</f>
        <v>45078</v>
      </c>
      <c r="O778" s="45">
        <f>IFERROR(__xludf.DUMMYFUNCTION("""COMPUTED_VALUE"""),45131.0)</f>
        <v>45131</v>
      </c>
      <c r="P778" s="45">
        <f>IFERROR(__xludf.DUMMYFUNCTION("""COMPUTED_VALUE"""),45173.0)</f>
        <v>45173</v>
      </c>
      <c r="Q778" s="45"/>
      <c r="R778" s="45">
        <f>IFERROR(__xludf.DUMMYFUNCTION("""COMPUTED_VALUE"""),45173.0)</f>
        <v>45173</v>
      </c>
      <c r="S778" s="43"/>
      <c r="T778" s="43"/>
      <c r="U778" s="43" t="str">
        <f>IFERROR(__xludf.DUMMYFUNCTION("""COMPUTED_VALUE"""),"Global Classroom")</f>
        <v>Global Classroom</v>
      </c>
      <c r="V778" s="43" t="str">
        <f>IFERROR(__xludf.DUMMYFUNCTION("""COMPUTED_VALUE"""),"NORTH CYPRUS")</f>
        <v>NORTH CYPRUS</v>
      </c>
      <c r="W778" s="43" t="str">
        <f>IFERROR(__xludf.DUMMYFUNCTION("""COMPUTED_VALUE"""),"2023-05-28T15:52:18Z")</f>
        <v>2023-05-28T15:52:18Z</v>
      </c>
      <c r="X778" s="43"/>
      <c r="Y778" s="43"/>
      <c r="Z778" s="43"/>
    </row>
    <row r="779" hidden="1">
      <c r="A779" s="43" t="str">
        <f>IFERROR(__xludf.DUMMYFUNCTION("""COMPUTED_VALUE"""),"5268868_1294669")</f>
        <v>5268868_1294669</v>
      </c>
      <c r="B779" s="43" t="str">
        <f>IFERROR(__xludf.DUMMYFUNCTION("""COMPUTED_VALUE"""),"Azize GÜLERYÜZ")</f>
        <v>Azize GÜLERYÜZ</v>
      </c>
      <c r="C779" s="43" t="str">
        <f>IFERROR(__xludf.DUMMYFUNCTION("""COMPUTED_VALUE"""),"completed")</f>
        <v>completed</v>
      </c>
      <c r="D779" s="43" t="str">
        <f>IFERROR(__xludf.DUMMYFUNCTION("""COMPUTED_VALUE"""),"No")</f>
        <v>No</v>
      </c>
      <c r="E779" s="43" t="str">
        <f>IFERROR(__xludf.DUMMYFUNCTION("""COMPUTED_VALUE"""),"p_fe821a7aa88041852de4d3700db63a46e0287f3a@inbound.aiesec.org")</f>
        <v>p_fe821a7aa88041852de4d3700db63a46e0287f3a@inbound.aiesec.org</v>
      </c>
      <c r="F779" s="43">
        <f>IFERROR(__xludf.DUMMYFUNCTION("""COMPUTED_VALUE"""),5.314506025E9)</f>
        <v>5314506025</v>
      </c>
      <c r="G779" s="43" t="str">
        <f>IFERROR(__xludf.DUMMYFUNCTION("""COMPUTED_VALUE"""),"Turkey")</f>
        <v>Turkey</v>
      </c>
      <c r="H779" s="43" t="str">
        <f>IFERROR(__xludf.DUMMYFUNCTION("""COMPUTED_VALUE"""),"KOCAELI")</f>
        <v>KOCAELI</v>
      </c>
      <c r="I779" s="43" t="str">
        <f>IFERROR(__xludf.DUMMYFUNCTION("""COMPUTED_VALUE"""),"Romania")</f>
        <v>Romania</v>
      </c>
      <c r="J779" s="43" t="str">
        <f>IFERROR(__xludf.DUMMYFUNCTION("""COMPUTED_VALUE"""),"BUCURESTI")</f>
        <v>BUCURESTI</v>
      </c>
      <c r="K779" s="44" t="str">
        <f>IFERROR(__xludf.DUMMYFUNCTION("""COMPUTED_VALUE"""),"https://expa.aiesec.org/opportunities/1294669")</f>
        <v>https://expa.aiesec.org/opportunities/1294669</v>
      </c>
      <c r="L779" s="43" t="str">
        <f>IFERROR(__xludf.DUMMYFUNCTION("""COMPUTED_VALUE"""),"GV")</f>
        <v>GV</v>
      </c>
      <c r="M779" s="43" t="str">
        <f>IFERROR(__xludf.DUMMYFUNCTION("""COMPUTED_VALUE"""),"short")</f>
        <v>short</v>
      </c>
      <c r="N779" s="45">
        <f>IFERROR(__xludf.DUMMYFUNCTION("""COMPUTED_VALUE"""),45078.0)</f>
        <v>45078</v>
      </c>
      <c r="O779" s="45">
        <f>IFERROR(__xludf.DUMMYFUNCTION("""COMPUTED_VALUE"""),45096.0)</f>
        <v>45096</v>
      </c>
      <c r="P779" s="45">
        <f>IFERROR(__xludf.DUMMYFUNCTION("""COMPUTED_VALUE"""),45138.0)</f>
        <v>45138</v>
      </c>
      <c r="Q779" s="45">
        <f>IFERROR(__xludf.DUMMYFUNCTION("""COMPUTED_VALUE"""),45096.0)</f>
        <v>45096</v>
      </c>
      <c r="R779" s="45">
        <f>IFERROR(__xludf.DUMMYFUNCTION("""COMPUTED_VALUE"""),45138.0)</f>
        <v>45138</v>
      </c>
      <c r="S779" s="43"/>
      <c r="T779" s="43"/>
      <c r="U779" s="43" t="str">
        <f>IFERROR(__xludf.DUMMYFUNCTION("""COMPUTED_VALUE"""),"Fingerprint")</f>
        <v>Fingerprint</v>
      </c>
      <c r="V779" s="43" t="str">
        <f>IFERROR(__xludf.DUMMYFUNCTION("""COMPUTED_VALUE"""),"KOCAELI")</f>
        <v>KOCAELI</v>
      </c>
      <c r="W779" s="43" t="str">
        <f>IFERROR(__xludf.DUMMYFUNCTION("""COMPUTED_VALUE"""),"2023-05-30T15:21:48Z")</f>
        <v>2023-05-30T15:21:48Z</v>
      </c>
      <c r="X779" s="43"/>
      <c r="Y779" s="43"/>
      <c r="Z779" s="43"/>
    </row>
    <row r="780" hidden="1">
      <c r="A780" s="43" t="str">
        <f>IFERROR(__xludf.DUMMYFUNCTION("""COMPUTED_VALUE"""),"5268497_1293907")</f>
        <v>5268497_1293907</v>
      </c>
      <c r="B780" s="43" t="str">
        <f>IFERROR(__xludf.DUMMYFUNCTION("""COMPUTED_VALUE"""),"Derya Oruç")</f>
        <v>Derya Oruç</v>
      </c>
      <c r="C780" s="43" t="str">
        <f>IFERROR(__xludf.DUMMYFUNCTION("""COMPUTED_VALUE"""),"completed")</f>
        <v>completed</v>
      </c>
      <c r="D780" s="43" t="str">
        <f>IFERROR(__xludf.DUMMYFUNCTION("""COMPUTED_VALUE"""),"No")</f>
        <v>No</v>
      </c>
      <c r="E780" s="43" t="str">
        <f>IFERROR(__xludf.DUMMYFUNCTION("""COMPUTED_VALUE"""),"p_17ccb98101a0f956e9d47cbcc07f246fc8378af0@inbound.aiesec.org")</f>
        <v>p_17ccb98101a0f956e9d47cbcc07f246fc8378af0@inbound.aiesec.org</v>
      </c>
      <c r="F780" s="43">
        <f>IFERROR(__xludf.DUMMYFUNCTION("""COMPUTED_VALUE"""),5.074201432E9)</f>
        <v>5074201432</v>
      </c>
      <c r="G780" s="43" t="str">
        <f>IFERROR(__xludf.DUMMYFUNCTION("""COMPUTED_VALUE"""),"Turkey")</f>
        <v>Turkey</v>
      </c>
      <c r="H780" s="43" t="str">
        <f>IFERROR(__xludf.DUMMYFUNCTION("""COMPUTED_VALUE"""),"KOCAELI")</f>
        <v>KOCAELI</v>
      </c>
      <c r="I780" s="43" t="str">
        <f>IFERROR(__xludf.DUMMYFUNCTION("""COMPUTED_VALUE"""),"Tunisia")</f>
        <v>Tunisia</v>
      </c>
      <c r="J780" s="43" t="str">
        <f>IFERROR(__xludf.DUMMYFUNCTION("""COMPUTED_VALUE"""),"BARDO")</f>
        <v>BARDO</v>
      </c>
      <c r="K780" s="44" t="str">
        <f>IFERROR(__xludf.DUMMYFUNCTION("""COMPUTED_VALUE"""),"https://expa.aiesec.org/opportunities/1293907")</f>
        <v>https://expa.aiesec.org/opportunities/1293907</v>
      </c>
      <c r="L780" s="43" t="str">
        <f>IFERROR(__xludf.DUMMYFUNCTION("""COMPUTED_VALUE"""),"GV")</f>
        <v>GV</v>
      </c>
      <c r="M780" s="43" t="str">
        <f>IFERROR(__xludf.DUMMYFUNCTION("""COMPUTED_VALUE"""),"short")</f>
        <v>short</v>
      </c>
      <c r="N780" s="45">
        <f>IFERROR(__xludf.DUMMYFUNCTION("""COMPUTED_VALUE"""),45078.0)</f>
        <v>45078</v>
      </c>
      <c r="O780" s="45">
        <f>IFERROR(__xludf.DUMMYFUNCTION("""COMPUTED_VALUE"""),45139.0)</f>
        <v>45139</v>
      </c>
      <c r="P780" s="45">
        <f>IFERROR(__xludf.DUMMYFUNCTION("""COMPUTED_VALUE"""),45181.0)</f>
        <v>45181</v>
      </c>
      <c r="Q780" s="45">
        <f>IFERROR(__xludf.DUMMYFUNCTION("""COMPUTED_VALUE"""),45137.0)</f>
        <v>45137</v>
      </c>
      <c r="R780" s="45">
        <f>IFERROR(__xludf.DUMMYFUNCTION("""COMPUTED_VALUE"""),45181.0)</f>
        <v>45181</v>
      </c>
      <c r="S780" s="43"/>
      <c r="T780" s="43"/>
      <c r="U780" s="43" t="str">
        <f>IFERROR(__xludf.DUMMYFUNCTION("""COMPUTED_VALUE"""),"Eat 4 Change")</f>
        <v>Eat 4 Change</v>
      </c>
      <c r="V780" s="43" t="str">
        <f>IFERROR(__xludf.DUMMYFUNCTION("""COMPUTED_VALUE"""),"KOCAELI")</f>
        <v>KOCAELI</v>
      </c>
      <c r="W780" s="43" t="str">
        <f>IFERROR(__xludf.DUMMYFUNCTION("""COMPUTED_VALUE"""),"2023-05-29T21:54:18Z")</f>
        <v>2023-05-29T21:54:18Z</v>
      </c>
      <c r="X780" s="43"/>
      <c r="Y780" s="43"/>
      <c r="Z780" s="43"/>
    </row>
    <row r="781" hidden="1">
      <c r="A781" s="43" t="str">
        <f>IFERROR(__xludf.DUMMYFUNCTION("""COMPUTED_VALUE"""),"5205103_1295563")</f>
        <v>5205103_1295563</v>
      </c>
      <c r="B781" s="43" t="str">
        <f>IFERROR(__xludf.DUMMYFUNCTION("""COMPUTED_VALUE"""),"Filiz Işık")</f>
        <v>Filiz Işık</v>
      </c>
      <c r="C781" s="43" t="str">
        <f>IFERROR(__xludf.DUMMYFUNCTION("""COMPUTED_VALUE"""),"completed")</f>
        <v>completed</v>
      </c>
      <c r="D781" s="43" t="str">
        <f>IFERROR(__xludf.DUMMYFUNCTION("""COMPUTED_VALUE"""),"No")</f>
        <v>No</v>
      </c>
      <c r="E781" s="43" t="str">
        <f>IFERROR(__xludf.DUMMYFUNCTION("""COMPUTED_VALUE"""),"p_9b84c7dfbc15497afffd3b73987ca58dedc5645e@inbound.aiesec.org")</f>
        <v>p_9b84c7dfbc15497afffd3b73987ca58dedc5645e@inbound.aiesec.org</v>
      </c>
      <c r="F781" s="43">
        <f>IFERROR(__xludf.DUMMYFUNCTION("""COMPUTED_VALUE"""),5.318189608E9)</f>
        <v>5318189608</v>
      </c>
      <c r="G781" s="43" t="str">
        <f>IFERROR(__xludf.DUMMYFUNCTION("""COMPUTED_VALUE"""),"Turkey")</f>
        <v>Turkey</v>
      </c>
      <c r="H781" s="43" t="str">
        <f>IFERROR(__xludf.DUMMYFUNCTION("""COMPUTED_VALUE"""),"ISTANBUL")</f>
        <v>ISTANBUL</v>
      </c>
      <c r="I781" s="43" t="str">
        <f>IFERROR(__xludf.DUMMYFUNCTION("""COMPUTED_VALUE"""),"Romania")</f>
        <v>Romania</v>
      </c>
      <c r="J781" s="43" t="str">
        <f>IFERROR(__xludf.DUMMYFUNCTION("""COMPUTED_VALUE"""),"BUCURESTI")</f>
        <v>BUCURESTI</v>
      </c>
      <c r="K781" s="44" t="str">
        <f>IFERROR(__xludf.DUMMYFUNCTION("""COMPUTED_VALUE"""),"https://expa.aiesec.org/opportunities/1295563")</f>
        <v>https://expa.aiesec.org/opportunities/1295563</v>
      </c>
      <c r="L781" s="43" t="str">
        <f>IFERROR(__xludf.DUMMYFUNCTION("""COMPUTED_VALUE"""),"GV")</f>
        <v>GV</v>
      </c>
      <c r="M781" s="43" t="str">
        <f>IFERROR(__xludf.DUMMYFUNCTION("""COMPUTED_VALUE"""),"short")</f>
        <v>short</v>
      </c>
      <c r="N781" s="45">
        <f>IFERROR(__xludf.DUMMYFUNCTION("""COMPUTED_VALUE"""),45078.0)</f>
        <v>45078</v>
      </c>
      <c r="O781" s="45">
        <f>IFERROR(__xludf.DUMMYFUNCTION("""COMPUTED_VALUE"""),45096.0)</f>
        <v>45096</v>
      </c>
      <c r="P781" s="45">
        <f>IFERROR(__xludf.DUMMYFUNCTION("""COMPUTED_VALUE"""),45138.0)</f>
        <v>45138</v>
      </c>
      <c r="Q781" s="45">
        <f>IFERROR(__xludf.DUMMYFUNCTION("""COMPUTED_VALUE"""),45096.0)</f>
        <v>45096</v>
      </c>
      <c r="R781" s="45">
        <f>IFERROR(__xludf.DUMMYFUNCTION("""COMPUTED_VALUE"""),45138.0)</f>
        <v>45138</v>
      </c>
      <c r="S781" s="43"/>
      <c r="T781" s="43"/>
      <c r="U781" s="43" t="str">
        <f>IFERROR(__xludf.DUMMYFUNCTION("""COMPUTED_VALUE"""),"Fingerprint")</f>
        <v>Fingerprint</v>
      </c>
      <c r="V781" s="43" t="str">
        <f>IFERROR(__xludf.DUMMYFUNCTION("""COMPUTED_VALUE"""),"ISTANBUL - BEYOGLU")</f>
        <v>ISTANBUL - BEYOGLU</v>
      </c>
      <c r="W781" s="43" t="str">
        <f>IFERROR(__xludf.DUMMYFUNCTION("""COMPUTED_VALUE"""),"2023-03-04T05:56:43Z")</f>
        <v>2023-03-04T05:56:43Z</v>
      </c>
      <c r="X781" s="43"/>
      <c r="Y781" s="43"/>
      <c r="Z781" s="43"/>
    </row>
    <row r="782" hidden="1">
      <c r="A782" s="43" t="str">
        <f>IFERROR(__xludf.DUMMYFUNCTION("""COMPUTED_VALUE"""),"5267702_1292947")</f>
        <v>5267702_1292947</v>
      </c>
      <c r="B782" s="43" t="str">
        <f>IFERROR(__xludf.DUMMYFUNCTION("""COMPUTED_VALUE"""),"Enver Halil OCAKOĞLU")</f>
        <v>Enver Halil OCAKOĞLU</v>
      </c>
      <c r="C782" s="43" t="str">
        <f>IFERROR(__xludf.DUMMYFUNCTION("""COMPUTED_VALUE"""),"completed")</f>
        <v>completed</v>
      </c>
      <c r="D782" s="43" t="str">
        <f>IFERROR(__xludf.DUMMYFUNCTION("""COMPUTED_VALUE"""),"No")</f>
        <v>No</v>
      </c>
      <c r="E782" s="43" t="str">
        <f>IFERROR(__xludf.DUMMYFUNCTION("""COMPUTED_VALUE"""),"p_5f1be3b2664b6ac7bc8e07e9ef1a5f497557f8ee@inbound.aiesec.org")</f>
        <v>p_5f1be3b2664b6ac7bc8e07e9ef1a5f497557f8ee@inbound.aiesec.org</v>
      </c>
      <c r="F782" s="43">
        <f>IFERROR(__xludf.DUMMYFUNCTION("""COMPUTED_VALUE"""),5.068556651E9)</f>
        <v>5068556651</v>
      </c>
      <c r="G782" s="43" t="str">
        <f>IFERROR(__xludf.DUMMYFUNCTION("""COMPUTED_VALUE"""),"Turkey")</f>
        <v>Turkey</v>
      </c>
      <c r="H782" s="43" t="str">
        <f>IFERROR(__xludf.DUMMYFUNCTION("""COMPUTED_VALUE"""),"KOCAELI")</f>
        <v>KOCAELI</v>
      </c>
      <c r="I782" s="43" t="str">
        <f>IFERROR(__xludf.DUMMYFUNCTION("""COMPUTED_VALUE"""),"India")</f>
        <v>India</v>
      </c>
      <c r="J782" s="43" t="str">
        <f>IFERROR(__xludf.DUMMYFUNCTION("""COMPUTED_VALUE"""),"JAIPUR ")</f>
        <v>JAIPUR </v>
      </c>
      <c r="K782" s="44" t="str">
        <f>IFERROR(__xludf.DUMMYFUNCTION("""COMPUTED_VALUE"""),"https://expa.aiesec.org/opportunities/1292947")</f>
        <v>https://expa.aiesec.org/opportunities/1292947</v>
      </c>
      <c r="L782" s="43" t="str">
        <f>IFERROR(__xludf.DUMMYFUNCTION("""COMPUTED_VALUE"""),"GV")</f>
        <v>GV</v>
      </c>
      <c r="M782" s="43" t="str">
        <f>IFERROR(__xludf.DUMMYFUNCTION("""COMPUTED_VALUE"""),"short")</f>
        <v>short</v>
      </c>
      <c r="N782" s="45">
        <f>IFERROR(__xludf.DUMMYFUNCTION("""COMPUTED_VALUE"""),45078.0)</f>
        <v>45078</v>
      </c>
      <c r="O782" s="45">
        <f>IFERROR(__xludf.DUMMYFUNCTION("""COMPUTED_VALUE"""),45109.0)</f>
        <v>45109</v>
      </c>
      <c r="P782" s="45">
        <f>IFERROR(__xludf.DUMMYFUNCTION("""COMPUTED_VALUE"""),45151.0)</f>
        <v>45151</v>
      </c>
      <c r="Q782" s="45">
        <f>IFERROR(__xludf.DUMMYFUNCTION("""COMPUTED_VALUE"""),45108.0)</f>
        <v>45108</v>
      </c>
      <c r="R782" s="45">
        <f>IFERROR(__xludf.DUMMYFUNCTION("""COMPUTED_VALUE"""),45151.0)</f>
        <v>45151</v>
      </c>
      <c r="S782" s="43"/>
      <c r="T782" s="43"/>
      <c r="U782" s="43" t="str">
        <f>IFERROR(__xludf.DUMMYFUNCTION("""COMPUTED_VALUE"""),"Skill Up!")</f>
        <v>Skill Up!</v>
      </c>
      <c r="V782" s="43" t="str">
        <f>IFERROR(__xludf.DUMMYFUNCTION("""COMPUTED_VALUE"""),"KOCAELI")</f>
        <v>KOCAELI</v>
      </c>
      <c r="W782" s="43" t="str">
        <f>IFERROR(__xludf.DUMMYFUNCTION("""COMPUTED_VALUE"""),"2023-05-27T20:09:16Z")</f>
        <v>2023-05-27T20:09:16Z</v>
      </c>
      <c r="X782" s="43"/>
      <c r="Y782" s="43"/>
      <c r="Z782" s="43"/>
    </row>
    <row r="783" hidden="1">
      <c r="A783" s="43" t="str">
        <f>IFERROR(__xludf.DUMMYFUNCTION("""COMPUTED_VALUE"""),"5267553_1266530")</f>
        <v>5267553_1266530</v>
      </c>
      <c r="B783" s="43" t="str">
        <f>IFERROR(__xludf.DUMMYFUNCTION("""COMPUTED_VALUE"""),"Büşra poçan")</f>
        <v>Büşra poçan</v>
      </c>
      <c r="C783" s="43" t="str">
        <f>IFERROR(__xludf.DUMMYFUNCTION("""COMPUTED_VALUE"""),"approved")</f>
        <v>approved</v>
      </c>
      <c r="D783" s="43" t="str">
        <f>IFERROR(__xludf.DUMMYFUNCTION("""COMPUTED_VALUE"""),"No")</f>
        <v>No</v>
      </c>
      <c r="E783" s="43" t="str">
        <f>IFERROR(__xludf.DUMMYFUNCTION("""COMPUTED_VALUE"""),"p_68f6eb88ce959fdd683103bec8488e5ea6d90a80@inbound.aiesec.org")</f>
        <v>p_68f6eb88ce959fdd683103bec8488e5ea6d90a80@inbound.aiesec.org</v>
      </c>
      <c r="F783" s="43">
        <f>IFERROR(__xludf.DUMMYFUNCTION("""COMPUTED_VALUE"""),5.437836072E9)</f>
        <v>5437836072</v>
      </c>
      <c r="G783" s="43" t="str">
        <f>IFERROR(__xludf.DUMMYFUNCTION("""COMPUTED_VALUE"""),"Turkey")</f>
        <v>Turkey</v>
      </c>
      <c r="H783" s="43" t="str">
        <f>IFERROR(__xludf.DUMMYFUNCTION("""COMPUTED_VALUE"""),"KONYA")</f>
        <v>KONYA</v>
      </c>
      <c r="I783" s="43" t="str">
        <f>IFERROR(__xludf.DUMMYFUNCTION("""COMPUTED_VALUE"""),"Lithuania")</f>
        <v>Lithuania</v>
      </c>
      <c r="J783" s="43" t="str">
        <f>IFERROR(__xludf.DUMMYFUNCTION("""COMPUTED_VALUE"""),"KTU")</f>
        <v>KTU</v>
      </c>
      <c r="K783" s="44" t="str">
        <f>IFERROR(__xludf.DUMMYFUNCTION("""COMPUTED_VALUE"""),"https://expa.aiesec.org/opportunities/1266530")</f>
        <v>https://expa.aiesec.org/opportunities/1266530</v>
      </c>
      <c r="L783" s="43" t="str">
        <f>IFERROR(__xludf.DUMMYFUNCTION("""COMPUTED_VALUE"""),"GV")</f>
        <v>GV</v>
      </c>
      <c r="M783" s="43" t="str">
        <f>IFERROR(__xludf.DUMMYFUNCTION("""COMPUTED_VALUE"""),"short")</f>
        <v>short</v>
      </c>
      <c r="N783" s="45">
        <f>IFERROR(__xludf.DUMMYFUNCTION("""COMPUTED_VALUE"""),45078.0)</f>
        <v>45078</v>
      </c>
      <c r="O783" s="45">
        <f>IFERROR(__xludf.DUMMYFUNCTION("""COMPUTED_VALUE"""),45131.0)</f>
        <v>45131</v>
      </c>
      <c r="P783" s="45">
        <f>IFERROR(__xludf.DUMMYFUNCTION("""COMPUTED_VALUE"""),45173.0)</f>
        <v>45173</v>
      </c>
      <c r="Q783" s="45"/>
      <c r="R783" s="45"/>
      <c r="S783" s="43"/>
      <c r="T783" s="43"/>
      <c r="U783" s="43" t="str">
        <f>IFERROR(__xludf.DUMMYFUNCTION("""COMPUTED_VALUE"""),"Global Classroom")</f>
        <v>Global Classroom</v>
      </c>
      <c r="V783" s="43" t="str">
        <f>IFERROR(__xludf.DUMMYFUNCTION("""COMPUTED_VALUE"""),"KONYA")</f>
        <v>KONYA</v>
      </c>
      <c r="W783" s="43" t="str">
        <f>IFERROR(__xludf.DUMMYFUNCTION("""COMPUTED_VALUE"""),"2023-05-27T14:44:14Z")</f>
        <v>2023-05-27T14:44:14Z</v>
      </c>
      <c r="X783" s="43"/>
      <c r="Y783" s="43"/>
      <c r="Z783" s="43"/>
    </row>
    <row r="784" hidden="1">
      <c r="A784" s="43" t="str">
        <f>IFERROR(__xludf.DUMMYFUNCTION("""COMPUTED_VALUE"""),"5266921_1294209")</f>
        <v>5266921_1294209</v>
      </c>
      <c r="B784" s="43" t="str">
        <f>IFERROR(__xludf.DUMMYFUNCTION("""COMPUTED_VALUE"""),"Seyfi Alp Arslan")</f>
        <v>Seyfi Alp Arslan</v>
      </c>
      <c r="C784" s="43" t="str">
        <f>IFERROR(__xludf.DUMMYFUNCTION("""COMPUTED_VALUE"""),"approved")</f>
        <v>approved</v>
      </c>
      <c r="D784" s="43" t="str">
        <f>IFERROR(__xludf.DUMMYFUNCTION("""COMPUTED_VALUE"""),"No")</f>
        <v>No</v>
      </c>
      <c r="E784" s="43" t="str">
        <f>IFERROR(__xludf.DUMMYFUNCTION("""COMPUTED_VALUE"""),"p_bfc5d334ea1cb6fe7dfa7a1a96fb784645870cd3@inbound.aiesec.org")</f>
        <v>p_bfc5d334ea1cb6fe7dfa7a1a96fb784645870cd3@inbound.aiesec.org</v>
      </c>
      <c r="F784" s="43">
        <f>IFERROR(__xludf.DUMMYFUNCTION("""COMPUTED_VALUE"""),5.362358652E9)</f>
        <v>5362358652</v>
      </c>
      <c r="G784" s="43" t="str">
        <f>IFERROR(__xludf.DUMMYFUNCTION("""COMPUTED_VALUE"""),"Turkey")</f>
        <v>Turkey</v>
      </c>
      <c r="H784" s="43" t="str">
        <f>IFERROR(__xludf.DUMMYFUNCTION("""COMPUTED_VALUE"""),"ISTANBUL")</f>
        <v>ISTANBUL</v>
      </c>
      <c r="I784" s="43" t="str">
        <f>IFERROR(__xludf.DUMMYFUNCTION("""COMPUTED_VALUE"""),"Moldova")</f>
        <v>Moldova</v>
      </c>
      <c r="J784" s="43" t="str">
        <f>IFERROR(__xludf.DUMMYFUNCTION("""COMPUTED_VALUE"""),"CHISINAU")</f>
        <v>CHISINAU</v>
      </c>
      <c r="K784" s="44" t="str">
        <f>IFERROR(__xludf.DUMMYFUNCTION("""COMPUTED_VALUE"""),"https://expa.aiesec.org/opportunities/1294209")</f>
        <v>https://expa.aiesec.org/opportunities/1294209</v>
      </c>
      <c r="L784" s="43" t="str">
        <f>IFERROR(__xludf.DUMMYFUNCTION("""COMPUTED_VALUE"""),"GV")</f>
        <v>GV</v>
      </c>
      <c r="M784" s="43" t="str">
        <f>IFERROR(__xludf.DUMMYFUNCTION("""COMPUTED_VALUE"""),"short")</f>
        <v>short</v>
      </c>
      <c r="N784" s="45">
        <f>IFERROR(__xludf.DUMMYFUNCTION("""COMPUTED_VALUE"""),45078.0)</f>
        <v>45078</v>
      </c>
      <c r="O784" s="45">
        <f>IFERROR(__xludf.DUMMYFUNCTION("""COMPUTED_VALUE"""),45159.0)</f>
        <v>45159</v>
      </c>
      <c r="P784" s="45">
        <f>IFERROR(__xludf.DUMMYFUNCTION("""COMPUTED_VALUE"""),45201.0)</f>
        <v>45201</v>
      </c>
      <c r="Q784" s="45"/>
      <c r="R784" s="45"/>
      <c r="S784" s="43"/>
      <c r="T784" s="43"/>
      <c r="U784" s="43" t="str">
        <f>IFERROR(__xludf.DUMMYFUNCTION("""COMPUTED_VALUE"""),"On The Map")</f>
        <v>On The Map</v>
      </c>
      <c r="V784" s="43" t="str">
        <f>IFERROR(__xludf.DUMMYFUNCTION("""COMPUTED_VALUE"""),"ISTANBUL - BEYOGLU")</f>
        <v>ISTANBUL - BEYOGLU</v>
      </c>
      <c r="W784" s="43" t="str">
        <f>IFERROR(__xludf.DUMMYFUNCTION("""COMPUTED_VALUE"""),"2023-05-26T09:44:38Z")</f>
        <v>2023-05-26T09:44:38Z</v>
      </c>
      <c r="X784" s="43"/>
      <c r="Y784" s="43"/>
      <c r="Z784" s="43"/>
    </row>
    <row r="785" hidden="1">
      <c r="A785" s="43" t="str">
        <f>IFERROR(__xludf.DUMMYFUNCTION("""COMPUTED_VALUE"""),"5246700_1294179")</f>
        <v>5246700_1294179</v>
      </c>
      <c r="B785" s="43" t="str">
        <f>IFERROR(__xludf.DUMMYFUNCTION("""COMPUTED_VALUE"""),"Mehmet Bahadır Özkan")</f>
        <v>Mehmet Bahadır Özkan</v>
      </c>
      <c r="C785" s="43" t="str">
        <f>IFERROR(__xludf.DUMMYFUNCTION("""COMPUTED_VALUE"""),"completed")</f>
        <v>completed</v>
      </c>
      <c r="D785" s="43" t="str">
        <f>IFERROR(__xludf.DUMMYFUNCTION("""COMPUTED_VALUE"""),"No")</f>
        <v>No</v>
      </c>
      <c r="E785" s="43" t="str">
        <f>IFERROR(__xludf.DUMMYFUNCTION("""COMPUTED_VALUE"""),"p_26f744651cd3a6bc3d757a34916affbb0ef0a4eb@inbound.aiesec.org")</f>
        <v>p_26f744651cd3a6bc3d757a34916affbb0ef0a4eb@inbound.aiesec.org</v>
      </c>
      <c r="F785" s="43">
        <f>IFERROR(__xludf.DUMMYFUNCTION("""COMPUTED_VALUE"""),5.337201137E9)</f>
        <v>5337201137</v>
      </c>
      <c r="G785" s="43" t="str">
        <f>IFERROR(__xludf.DUMMYFUNCTION("""COMPUTED_VALUE"""),"Turkey")</f>
        <v>Turkey</v>
      </c>
      <c r="H785" s="43" t="str">
        <f>IFERROR(__xludf.DUMMYFUNCTION("""COMPUTED_VALUE"""),"ISTANBUL ASIA")</f>
        <v>ISTANBUL ASIA</v>
      </c>
      <c r="I785" s="43" t="str">
        <f>IFERROR(__xludf.DUMMYFUNCTION("""COMPUTED_VALUE"""),"Serbia")</f>
        <v>Serbia</v>
      </c>
      <c r="J785" s="43" t="str">
        <f>IFERROR(__xludf.DUMMYFUNCTION("""COMPUTED_VALUE"""),"BELGRADE FON")</f>
        <v>BELGRADE FON</v>
      </c>
      <c r="K785" s="44" t="str">
        <f>IFERROR(__xludf.DUMMYFUNCTION("""COMPUTED_VALUE"""),"https://expa.aiesec.org/opportunities/1294179")</f>
        <v>https://expa.aiesec.org/opportunities/1294179</v>
      </c>
      <c r="L785" s="43" t="str">
        <f>IFERROR(__xludf.DUMMYFUNCTION("""COMPUTED_VALUE"""),"GV")</f>
        <v>GV</v>
      </c>
      <c r="M785" s="43" t="str">
        <f>IFERROR(__xludf.DUMMYFUNCTION("""COMPUTED_VALUE"""),"short")</f>
        <v>short</v>
      </c>
      <c r="N785" s="45">
        <f>IFERROR(__xludf.DUMMYFUNCTION("""COMPUTED_VALUE"""),45078.0)</f>
        <v>45078</v>
      </c>
      <c r="O785" s="45">
        <f>IFERROR(__xludf.DUMMYFUNCTION("""COMPUTED_VALUE"""),45081.0)</f>
        <v>45081</v>
      </c>
      <c r="P785" s="45">
        <f>IFERROR(__xludf.DUMMYFUNCTION("""COMPUTED_VALUE"""),45123.0)</f>
        <v>45123</v>
      </c>
      <c r="Q785" s="45">
        <f>IFERROR(__xludf.DUMMYFUNCTION("""COMPUTED_VALUE"""),45111.0)</f>
        <v>45111</v>
      </c>
      <c r="R785" s="45">
        <f>IFERROR(__xludf.DUMMYFUNCTION("""COMPUTED_VALUE"""),45123.0)</f>
        <v>45123</v>
      </c>
      <c r="S785" s="43"/>
      <c r="T785" s="43"/>
      <c r="U785" s="43" t="str">
        <f>IFERROR(__xludf.DUMMYFUNCTION("""COMPUTED_VALUE"""),"Youth 4 Impact")</f>
        <v>Youth 4 Impact</v>
      </c>
      <c r="V785" s="43" t="str">
        <f>IFERROR(__xludf.DUMMYFUNCTION("""COMPUTED_VALUE"""),"ISTANBUL ASIA")</f>
        <v>ISTANBUL ASIA</v>
      </c>
      <c r="W785" s="43" t="str">
        <f>IFERROR(__xludf.DUMMYFUNCTION("""COMPUTED_VALUE"""),"2023-04-21T09:48:46Z")</f>
        <v>2023-04-21T09:48:46Z</v>
      </c>
      <c r="X785" s="43"/>
      <c r="Y785" s="43"/>
      <c r="Z785" s="43"/>
    </row>
    <row r="786" hidden="1">
      <c r="A786" s="43" t="str">
        <f>IFERROR(__xludf.DUMMYFUNCTION("""COMPUTED_VALUE"""),"5227419_1294995")</f>
        <v>5227419_1294995</v>
      </c>
      <c r="B786" s="43" t="str">
        <f>IFERROR(__xludf.DUMMYFUNCTION("""COMPUTED_VALUE"""),"Tuğçe Kocatürk")</f>
        <v>Tuğçe Kocatürk</v>
      </c>
      <c r="C786" s="43" t="str">
        <f>IFERROR(__xludf.DUMMYFUNCTION("""COMPUTED_VALUE"""),"finished")</f>
        <v>finished</v>
      </c>
      <c r="D786" s="43" t="str">
        <f>IFERROR(__xludf.DUMMYFUNCTION("""COMPUTED_VALUE"""),"No")</f>
        <v>No</v>
      </c>
      <c r="E786" s="43" t="str">
        <f>IFERROR(__xludf.DUMMYFUNCTION("""COMPUTED_VALUE"""),"p_a8188fbd1134fb7f8f3e3d4a6f3d8901f73c18dd@inbound.aiesec.org")</f>
        <v>p_a8188fbd1134fb7f8f3e3d4a6f3d8901f73c18dd@inbound.aiesec.org</v>
      </c>
      <c r="F786" s="43"/>
      <c r="G786" s="43" t="str">
        <f>IFERROR(__xludf.DUMMYFUNCTION("""COMPUTED_VALUE"""),"Turkey")</f>
        <v>Turkey</v>
      </c>
      <c r="H786" s="43" t="str">
        <f>IFERROR(__xludf.DUMMYFUNCTION("""COMPUTED_VALUE"""),"DENIZLI")</f>
        <v>DENIZLI</v>
      </c>
      <c r="I786" s="43" t="str">
        <f>IFERROR(__xludf.DUMMYFUNCTION("""COMPUTED_VALUE"""),"Romania")</f>
        <v>Romania</v>
      </c>
      <c r="J786" s="43" t="str">
        <f>IFERROR(__xludf.DUMMYFUNCTION("""COMPUTED_VALUE"""),"GALATI")</f>
        <v>GALATI</v>
      </c>
      <c r="K786" s="44" t="str">
        <f>IFERROR(__xludf.DUMMYFUNCTION("""COMPUTED_VALUE"""),"https://expa.aiesec.org/opportunities/1294995")</f>
        <v>https://expa.aiesec.org/opportunities/1294995</v>
      </c>
      <c r="L786" s="43" t="str">
        <f>IFERROR(__xludf.DUMMYFUNCTION("""COMPUTED_VALUE"""),"GV")</f>
        <v>GV</v>
      </c>
      <c r="M786" s="43" t="str">
        <f>IFERROR(__xludf.DUMMYFUNCTION("""COMPUTED_VALUE"""),"short")</f>
        <v>short</v>
      </c>
      <c r="N786" s="45">
        <f>IFERROR(__xludf.DUMMYFUNCTION("""COMPUTED_VALUE"""),45078.0)</f>
        <v>45078</v>
      </c>
      <c r="O786" s="45">
        <f>IFERROR(__xludf.DUMMYFUNCTION("""COMPUTED_VALUE"""),45115.0)</f>
        <v>45115</v>
      </c>
      <c r="P786" s="45">
        <f>IFERROR(__xludf.DUMMYFUNCTION("""COMPUTED_VALUE"""),45157.0)</f>
        <v>45157</v>
      </c>
      <c r="Q786" s="45">
        <f>IFERROR(__xludf.DUMMYFUNCTION("""COMPUTED_VALUE"""),45116.0)</f>
        <v>45116</v>
      </c>
      <c r="R786" s="45">
        <f>IFERROR(__xludf.DUMMYFUNCTION("""COMPUTED_VALUE"""),45157.0)</f>
        <v>45157</v>
      </c>
      <c r="S786" s="43"/>
      <c r="T786" s="43"/>
      <c r="U786" s="43" t="str">
        <f>IFERROR(__xludf.DUMMYFUNCTION("""COMPUTED_VALUE"""),"Fingerprint")</f>
        <v>Fingerprint</v>
      </c>
      <c r="V786" s="43" t="str">
        <f>IFERROR(__xludf.DUMMYFUNCTION("""COMPUTED_VALUE"""),"-")</f>
        <v>-</v>
      </c>
      <c r="W786" s="43" t="str">
        <f>IFERROR(__xludf.DUMMYFUNCTION("""COMPUTED_VALUE"""),"2023-03-26T14:43:16Z")</f>
        <v>2023-03-26T14:43:16Z</v>
      </c>
      <c r="X786" s="43"/>
      <c r="Y786" s="43"/>
      <c r="Z786" s="43"/>
    </row>
    <row r="787" hidden="1">
      <c r="A787" s="43" t="str">
        <f>IFERROR(__xludf.DUMMYFUNCTION("""COMPUTED_VALUE"""),"5046355_1293588")</f>
        <v>5046355_1293588</v>
      </c>
      <c r="B787" s="43" t="str">
        <f>IFERROR(__xludf.DUMMYFUNCTION("""COMPUTED_VALUE"""),"Berna Koç")</f>
        <v>Berna Koç</v>
      </c>
      <c r="C787" s="43" t="str">
        <f>IFERROR(__xludf.DUMMYFUNCTION("""COMPUTED_VALUE"""),"realization_broken")</f>
        <v>realization_broken</v>
      </c>
      <c r="D787" s="43" t="str">
        <f>IFERROR(__xludf.DUMMYFUNCTION("""COMPUTED_VALUE"""),"No")</f>
        <v>No</v>
      </c>
      <c r="E787" s="43" t="str">
        <f>IFERROR(__xludf.DUMMYFUNCTION("""COMPUTED_VALUE"""),"p_d98ac3a3acf583c3b0b4501503a49115afbff7ce@inbound.aiesec.org")</f>
        <v>p_d98ac3a3acf583c3b0b4501503a49115afbff7ce@inbound.aiesec.org</v>
      </c>
      <c r="F787" s="43">
        <f>IFERROR(__xludf.DUMMYFUNCTION("""COMPUTED_VALUE"""),5.355971725E9)</f>
        <v>5355971725</v>
      </c>
      <c r="G787" s="43" t="str">
        <f>IFERROR(__xludf.DUMMYFUNCTION("""COMPUTED_VALUE"""),"Turkey")</f>
        <v>Turkey</v>
      </c>
      <c r="H787" s="43" t="str">
        <f>IFERROR(__xludf.DUMMYFUNCTION("""COMPUTED_VALUE"""),"ISTANBUL ASIA")</f>
        <v>ISTANBUL ASIA</v>
      </c>
      <c r="I787" s="43" t="str">
        <f>IFERROR(__xludf.DUMMYFUNCTION("""COMPUTED_VALUE"""),"India")</f>
        <v>India</v>
      </c>
      <c r="J787" s="43" t="str">
        <f>IFERROR(__xludf.DUMMYFUNCTION("""COMPUTED_VALUE"""),"Delhi IIT")</f>
        <v>Delhi IIT</v>
      </c>
      <c r="K787" s="44" t="str">
        <f>IFERROR(__xludf.DUMMYFUNCTION("""COMPUTED_VALUE"""),"https://expa.aiesec.org/opportunities/1293588")</f>
        <v>https://expa.aiesec.org/opportunities/1293588</v>
      </c>
      <c r="L787" s="43" t="str">
        <f>IFERROR(__xludf.DUMMYFUNCTION("""COMPUTED_VALUE"""),"GV")</f>
        <v>GV</v>
      </c>
      <c r="M787" s="43" t="str">
        <f>IFERROR(__xludf.DUMMYFUNCTION("""COMPUTED_VALUE"""),"short")</f>
        <v>short</v>
      </c>
      <c r="N787" s="45">
        <f>IFERROR(__xludf.DUMMYFUNCTION("""COMPUTED_VALUE"""),45078.0)</f>
        <v>45078</v>
      </c>
      <c r="O787" s="45">
        <f>IFERROR(__xludf.DUMMYFUNCTION("""COMPUTED_VALUE"""),45170.0)</f>
        <v>45170</v>
      </c>
      <c r="P787" s="45">
        <f>IFERROR(__xludf.DUMMYFUNCTION("""COMPUTED_VALUE"""),45214.0)</f>
        <v>45214</v>
      </c>
      <c r="Q787" s="45"/>
      <c r="R787" s="45"/>
      <c r="S787" s="43"/>
      <c r="T787" s="43"/>
      <c r="U787" s="43" t="str">
        <f>IFERROR(__xludf.DUMMYFUNCTION("""COMPUTED_VALUE"""),"Skill Up!")</f>
        <v>Skill Up!</v>
      </c>
      <c r="V787" s="43" t="str">
        <f>IFERROR(__xludf.DUMMYFUNCTION("""COMPUTED_VALUE"""),"KOCAELI")</f>
        <v>KOCAELI</v>
      </c>
      <c r="W787" s="43" t="str">
        <f>IFERROR(__xludf.DUMMYFUNCTION("""COMPUTED_VALUE"""),"2022-04-26T11:11:32Z")</f>
        <v>2022-04-26T11:11:32Z</v>
      </c>
      <c r="X787" s="43"/>
      <c r="Y787" s="43"/>
      <c r="Z787" s="43"/>
    </row>
    <row r="788" hidden="1">
      <c r="A788" s="43" t="str">
        <f>IFERROR(__xludf.DUMMYFUNCTION("""COMPUTED_VALUE"""),"4995377_1294997")</f>
        <v>4995377_1294997</v>
      </c>
      <c r="B788" s="43" t="str">
        <f>IFERROR(__xludf.DUMMYFUNCTION("""COMPUTED_VALUE"""),"Mehmet Eren Girgin")</f>
        <v>Mehmet Eren Girgin</v>
      </c>
      <c r="C788" s="43" t="str">
        <f>IFERROR(__xludf.DUMMYFUNCTION("""COMPUTED_VALUE"""),"realization_broken")</f>
        <v>realization_broken</v>
      </c>
      <c r="D788" s="43" t="str">
        <f>IFERROR(__xludf.DUMMYFUNCTION("""COMPUTED_VALUE"""),"No")</f>
        <v>No</v>
      </c>
      <c r="E788" s="43" t="str">
        <f>IFERROR(__xludf.DUMMYFUNCTION("""COMPUTED_VALUE"""),"p_77bff33f3409e38e3c763ff702d49853e4427776@inbound.aiesec.org")</f>
        <v>p_77bff33f3409e38e3c763ff702d49853e4427776@inbound.aiesec.org</v>
      </c>
      <c r="F788" s="43">
        <f>IFERROR(__xludf.DUMMYFUNCTION("""COMPUTED_VALUE"""),5.320570872E9)</f>
        <v>5320570872</v>
      </c>
      <c r="G788" s="43" t="str">
        <f>IFERROR(__xludf.DUMMYFUNCTION("""COMPUTED_VALUE"""),"Turkey")</f>
        <v>Turkey</v>
      </c>
      <c r="H788" s="43" t="str">
        <f>IFERROR(__xludf.DUMMYFUNCTION("""COMPUTED_VALUE"""),"ANKARA")</f>
        <v>ANKARA</v>
      </c>
      <c r="I788" s="43" t="str">
        <f>IFERROR(__xludf.DUMMYFUNCTION("""COMPUTED_VALUE"""),"Serbia")</f>
        <v>Serbia</v>
      </c>
      <c r="J788" s="43" t="str">
        <f>IFERROR(__xludf.DUMMYFUNCTION("""COMPUTED_VALUE"""),"Belgrade Faculty of Economics (EF)")</f>
        <v>Belgrade Faculty of Economics (EF)</v>
      </c>
      <c r="K788" s="44" t="str">
        <f>IFERROR(__xludf.DUMMYFUNCTION("""COMPUTED_VALUE"""),"https://expa.aiesec.org/opportunities/1294997")</f>
        <v>https://expa.aiesec.org/opportunities/1294997</v>
      </c>
      <c r="L788" s="43" t="str">
        <f>IFERROR(__xludf.DUMMYFUNCTION("""COMPUTED_VALUE"""),"GV")</f>
        <v>GV</v>
      </c>
      <c r="M788" s="43" t="str">
        <f>IFERROR(__xludf.DUMMYFUNCTION("""COMPUTED_VALUE"""),"short")</f>
        <v>short</v>
      </c>
      <c r="N788" s="45">
        <f>IFERROR(__xludf.DUMMYFUNCTION("""COMPUTED_VALUE"""),45078.0)</f>
        <v>45078</v>
      </c>
      <c r="O788" s="45">
        <f>IFERROR(__xludf.DUMMYFUNCTION("""COMPUTED_VALUE"""),45091.0)</f>
        <v>45091</v>
      </c>
      <c r="P788" s="45">
        <f>IFERROR(__xludf.DUMMYFUNCTION("""COMPUTED_VALUE"""),45133.0)</f>
        <v>45133</v>
      </c>
      <c r="Q788" s="45"/>
      <c r="R788" s="45"/>
      <c r="S788" s="43"/>
      <c r="T788" s="43"/>
      <c r="U788" s="43" t="str">
        <f>IFERROR(__xludf.DUMMYFUNCTION("""COMPUTED_VALUE"""),"Youth 4 Impact")</f>
        <v>Youth 4 Impact</v>
      </c>
      <c r="V788" s="43" t="str">
        <f>IFERROR(__xludf.DUMMYFUNCTION("""COMPUTED_VALUE"""),"ANKARA")</f>
        <v>ANKARA</v>
      </c>
      <c r="W788" s="43" t="str">
        <f>IFERROR(__xludf.DUMMYFUNCTION("""COMPUTED_VALUE"""),"2022-03-20T19:24:02Z")</f>
        <v>2022-03-20T19:24:02Z</v>
      </c>
      <c r="X788" s="43"/>
      <c r="Y788" s="43"/>
      <c r="Z788" s="43"/>
    </row>
    <row r="789" hidden="1">
      <c r="A789" s="43" t="str">
        <f>IFERROR(__xludf.DUMMYFUNCTION("""COMPUTED_VALUE"""),"5258472_1294761")</f>
        <v>5258472_1294761</v>
      </c>
      <c r="B789" s="43" t="str">
        <f>IFERROR(__xludf.DUMMYFUNCTION("""COMPUTED_VALUE"""),"Lara Taşkan")</f>
        <v>Lara Taşkan</v>
      </c>
      <c r="C789" s="43" t="str">
        <f>IFERROR(__xludf.DUMMYFUNCTION("""COMPUTED_VALUE"""),"completed")</f>
        <v>completed</v>
      </c>
      <c r="D789" s="43" t="str">
        <f>IFERROR(__xludf.DUMMYFUNCTION("""COMPUTED_VALUE"""),"No")</f>
        <v>No</v>
      </c>
      <c r="E789" s="43" t="str">
        <f>IFERROR(__xludf.DUMMYFUNCTION("""COMPUTED_VALUE"""),"p_622da3d45db63430ad8a0cae1652216cda01d3b0@inbound.aiesec.org")</f>
        <v>p_622da3d45db63430ad8a0cae1652216cda01d3b0@inbound.aiesec.org</v>
      </c>
      <c r="F789" s="43">
        <f>IFERROR(__xludf.DUMMYFUNCTION("""COMPUTED_VALUE"""),5.336870422E9)</f>
        <v>5336870422</v>
      </c>
      <c r="G789" s="43" t="str">
        <f>IFERROR(__xludf.DUMMYFUNCTION("""COMPUTED_VALUE"""),"Turkey")</f>
        <v>Turkey</v>
      </c>
      <c r="H789" s="43" t="str">
        <f>IFERROR(__xludf.DUMMYFUNCTION("""COMPUTED_VALUE"""),"ANKARA")</f>
        <v>ANKARA</v>
      </c>
      <c r="I789" s="43" t="str">
        <f>IFERROR(__xludf.DUMMYFUNCTION("""COMPUTED_VALUE"""),"Romania")</f>
        <v>Romania</v>
      </c>
      <c r="J789" s="43" t="str">
        <f>IFERROR(__xludf.DUMMYFUNCTION("""COMPUTED_VALUE"""),"Craiova")</f>
        <v>Craiova</v>
      </c>
      <c r="K789" s="44" t="str">
        <f>IFERROR(__xludf.DUMMYFUNCTION("""COMPUTED_VALUE"""),"https://expa.aiesec.org/opportunities/1294761")</f>
        <v>https://expa.aiesec.org/opportunities/1294761</v>
      </c>
      <c r="L789" s="43" t="str">
        <f>IFERROR(__xludf.DUMMYFUNCTION("""COMPUTED_VALUE"""),"GV")</f>
        <v>GV</v>
      </c>
      <c r="M789" s="43" t="str">
        <f>IFERROR(__xludf.DUMMYFUNCTION("""COMPUTED_VALUE"""),"short")</f>
        <v>short</v>
      </c>
      <c r="N789" s="45">
        <f>IFERROR(__xludf.DUMMYFUNCTION("""COMPUTED_VALUE"""),45078.0)</f>
        <v>45078</v>
      </c>
      <c r="O789" s="45">
        <f>IFERROR(__xludf.DUMMYFUNCTION("""COMPUTED_VALUE"""),45103.0)</f>
        <v>45103</v>
      </c>
      <c r="P789" s="45">
        <f>IFERROR(__xludf.DUMMYFUNCTION("""COMPUTED_VALUE"""),45145.0)</f>
        <v>45145</v>
      </c>
      <c r="Q789" s="45">
        <f>IFERROR(__xludf.DUMMYFUNCTION("""COMPUTED_VALUE"""),45103.0)</f>
        <v>45103</v>
      </c>
      <c r="R789" s="45">
        <f>IFERROR(__xludf.DUMMYFUNCTION("""COMPUTED_VALUE"""),45145.0)</f>
        <v>45145</v>
      </c>
      <c r="S789" s="43"/>
      <c r="T789" s="43"/>
      <c r="U789" s="43" t="str">
        <f>IFERROR(__xludf.DUMMYFUNCTION("""COMPUTED_VALUE"""),"Global Classroom")</f>
        <v>Global Classroom</v>
      </c>
      <c r="V789" s="43" t="str">
        <f>IFERROR(__xludf.DUMMYFUNCTION("""COMPUTED_VALUE"""),"ANKARA")</f>
        <v>ANKARA</v>
      </c>
      <c r="W789" s="43" t="str">
        <f>IFERROR(__xludf.DUMMYFUNCTION("""COMPUTED_VALUE"""),"2023-05-09T18:26:56Z")</f>
        <v>2023-05-09T18:26:56Z</v>
      </c>
      <c r="X789" s="43"/>
      <c r="Y789" s="43"/>
      <c r="Z789" s="43"/>
    </row>
    <row r="790" hidden="1">
      <c r="A790" s="43" t="str">
        <f>IFERROR(__xludf.DUMMYFUNCTION("""COMPUTED_VALUE"""),"5268727_1294453")</f>
        <v>5268727_1294453</v>
      </c>
      <c r="B790" s="43" t="str">
        <f>IFERROR(__xludf.DUMMYFUNCTION("""COMPUTED_VALUE"""),"harun erdem açık")</f>
        <v>harun erdem açık</v>
      </c>
      <c r="C790" s="43" t="str">
        <f>IFERROR(__xludf.DUMMYFUNCTION("""COMPUTED_VALUE"""),"approved")</f>
        <v>approved</v>
      </c>
      <c r="D790" s="43" t="str">
        <f>IFERROR(__xludf.DUMMYFUNCTION("""COMPUTED_VALUE"""),"No")</f>
        <v>No</v>
      </c>
      <c r="E790" s="43" t="str">
        <f>IFERROR(__xludf.DUMMYFUNCTION("""COMPUTED_VALUE"""),"p_64943b88bf4cfde3626da4b4b4ae00b7e02fd02e@inbound.aiesec.org")</f>
        <v>p_64943b88bf4cfde3626da4b4b4ae00b7e02fd02e@inbound.aiesec.org</v>
      </c>
      <c r="F790" s="43">
        <f>IFERROR(__xludf.DUMMYFUNCTION("""COMPUTED_VALUE"""),5.303079676E9)</f>
        <v>5303079676</v>
      </c>
      <c r="G790" s="43" t="str">
        <f>IFERROR(__xludf.DUMMYFUNCTION("""COMPUTED_VALUE"""),"Turkey")</f>
        <v>Turkey</v>
      </c>
      <c r="H790" s="43" t="str">
        <f>IFERROR(__xludf.DUMMYFUNCTION("""COMPUTED_VALUE"""),"ADANA")</f>
        <v>ADANA</v>
      </c>
      <c r="I790" s="43" t="str">
        <f>IFERROR(__xludf.DUMMYFUNCTION("""COMPUTED_VALUE"""),"Egypt")</f>
        <v>Egypt</v>
      </c>
      <c r="J790" s="43" t="str">
        <f>IFERROR(__xludf.DUMMYFUNCTION("""COMPUTED_VALUE"""),"AAST In CAIRO")</f>
        <v>AAST In CAIRO</v>
      </c>
      <c r="K790" s="44" t="str">
        <f>IFERROR(__xludf.DUMMYFUNCTION("""COMPUTED_VALUE"""),"https://expa.aiesec.org/opportunities/1294453")</f>
        <v>https://expa.aiesec.org/opportunities/1294453</v>
      </c>
      <c r="L790" s="43" t="str">
        <f>IFERROR(__xludf.DUMMYFUNCTION("""COMPUTED_VALUE"""),"GV")</f>
        <v>GV</v>
      </c>
      <c r="M790" s="43" t="str">
        <f>IFERROR(__xludf.DUMMYFUNCTION("""COMPUTED_VALUE"""),"short")</f>
        <v>short</v>
      </c>
      <c r="N790" s="45">
        <f>IFERROR(__xludf.DUMMYFUNCTION("""COMPUTED_VALUE"""),45079.0)</f>
        <v>45079</v>
      </c>
      <c r="O790" s="45">
        <f>IFERROR(__xludf.DUMMYFUNCTION("""COMPUTED_VALUE"""),45112.0)</f>
        <v>45112</v>
      </c>
      <c r="P790" s="45">
        <f>IFERROR(__xludf.DUMMYFUNCTION("""COMPUTED_VALUE"""),45154.0)</f>
        <v>45154</v>
      </c>
      <c r="Q790" s="45"/>
      <c r="R790" s="45"/>
      <c r="S790" s="43"/>
      <c r="T790" s="43"/>
      <c r="U790" s="43" t="str">
        <f>IFERROR(__xludf.DUMMYFUNCTION("""COMPUTED_VALUE"""),"Global Classroom")</f>
        <v>Global Classroom</v>
      </c>
      <c r="V790" s="43" t="str">
        <f>IFERROR(__xludf.DUMMYFUNCTION("""COMPUTED_VALUE"""),"ADANA")</f>
        <v>ADANA</v>
      </c>
      <c r="W790" s="43" t="str">
        <f>IFERROR(__xludf.DUMMYFUNCTION("""COMPUTED_VALUE"""),"2023-05-30T11:35:05Z")</f>
        <v>2023-05-30T11:35:05Z</v>
      </c>
      <c r="X790" s="43"/>
      <c r="Y790" s="43"/>
      <c r="Z790" s="43"/>
    </row>
    <row r="791" hidden="1">
      <c r="A791" s="43" t="str">
        <f>IFERROR(__xludf.DUMMYFUNCTION("""COMPUTED_VALUE"""),"5266920_1294209")</f>
        <v>5266920_1294209</v>
      </c>
      <c r="B791" s="43" t="str">
        <f>IFERROR(__xludf.DUMMYFUNCTION("""COMPUTED_VALUE"""),"Deniz Demirtaş")</f>
        <v>Deniz Demirtaş</v>
      </c>
      <c r="C791" s="43" t="str">
        <f>IFERROR(__xludf.DUMMYFUNCTION("""COMPUTED_VALUE"""),"approved")</f>
        <v>approved</v>
      </c>
      <c r="D791" s="43" t="str">
        <f>IFERROR(__xludf.DUMMYFUNCTION("""COMPUTED_VALUE"""),"No")</f>
        <v>No</v>
      </c>
      <c r="E791" s="43" t="str">
        <f>IFERROR(__xludf.DUMMYFUNCTION("""COMPUTED_VALUE"""),"p_063c56023c07618ba98e6492782f6125bdcabaaa@inbound.aiesec.org")</f>
        <v>p_063c56023c07618ba98e6492782f6125bdcabaaa@inbound.aiesec.org</v>
      </c>
      <c r="F791" s="43">
        <f>IFERROR(__xludf.DUMMYFUNCTION("""COMPUTED_VALUE"""),5.319167313E9)</f>
        <v>5319167313</v>
      </c>
      <c r="G791" s="43" t="str">
        <f>IFERROR(__xludf.DUMMYFUNCTION("""COMPUTED_VALUE"""),"Turkey")</f>
        <v>Turkey</v>
      </c>
      <c r="H791" s="43" t="str">
        <f>IFERROR(__xludf.DUMMYFUNCTION("""COMPUTED_VALUE"""),"ISTANBUL")</f>
        <v>ISTANBUL</v>
      </c>
      <c r="I791" s="43" t="str">
        <f>IFERROR(__xludf.DUMMYFUNCTION("""COMPUTED_VALUE"""),"Moldova")</f>
        <v>Moldova</v>
      </c>
      <c r="J791" s="43" t="str">
        <f>IFERROR(__xludf.DUMMYFUNCTION("""COMPUTED_VALUE"""),"CHISINAU")</f>
        <v>CHISINAU</v>
      </c>
      <c r="K791" s="44" t="str">
        <f>IFERROR(__xludf.DUMMYFUNCTION("""COMPUTED_VALUE"""),"https://expa.aiesec.org/opportunities/1294209")</f>
        <v>https://expa.aiesec.org/opportunities/1294209</v>
      </c>
      <c r="L791" s="43" t="str">
        <f>IFERROR(__xludf.DUMMYFUNCTION("""COMPUTED_VALUE"""),"GV")</f>
        <v>GV</v>
      </c>
      <c r="M791" s="43" t="str">
        <f>IFERROR(__xludf.DUMMYFUNCTION("""COMPUTED_VALUE"""),"short")</f>
        <v>short</v>
      </c>
      <c r="N791" s="45">
        <f>IFERROR(__xludf.DUMMYFUNCTION("""COMPUTED_VALUE"""),45079.0)</f>
        <v>45079</v>
      </c>
      <c r="O791" s="45">
        <f>IFERROR(__xludf.DUMMYFUNCTION("""COMPUTED_VALUE"""),45159.0)</f>
        <v>45159</v>
      </c>
      <c r="P791" s="45">
        <f>IFERROR(__xludf.DUMMYFUNCTION("""COMPUTED_VALUE"""),45201.0)</f>
        <v>45201</v>
      </c>
      <c r="Q791" s="45"/>
      <c r="R791" s="45"/>
      <c r="S791" s="43"/>
      <c r="T791" s="43"/>
      <c r="U791" s="43" t="str">
        <f>IFERROR(__xludf.DUMMYFUNCTION("""COMPUTED_VALUE"""),"On The Map")</f>
        <v>On The Map</v>
      </c>
      <c r="V791" s="43" t="str">
        <f>IFERROR(__xludf.DUMMYFUNCTION("""COMPUTED_VALUE"""),"ISTANBUL - BEYOGLU")</f>
        <v>ISTANBUL - BEYOGLU</v>
      </c>
      <c r="W791" s="43" t="str">
        <f>IFERROR(__xludf.DUMMYFUNCTION("""COMPUTED_VALUE"""),"2023-05-26T09:44:28Z")</f>
        <v>2023-05-26T09:44:28Z</v>
      </c>
      <c r="X791" s="43"/>
      <c r="Y791" s="43"/>
      <c r="Z791" s="43"/>
    </row>
    <row r="792" hidden="1">
      <c r="A792" s="43" t="str">
        <f>IFERROR(__xludf.DUMMYFUNCTION("""COMPUTED_VALUE"""),"5179685_1287985")</f>
        <v>5179685_1287985</v>
      </c>
      <c r="B792" s="43" t="str">
        <f>IFERROR(__xludf.DUMMYFUNCTION("""COMPUTED_VALUE"""),"Azra Çelik")</f>
        <v>Azra Çelik</v>
      </c>
      <c r="C792" s="43" t="str">
        <f>IFERROR(__xludf.DUMMYFUNCTION("""COMPUTED_VALUE"""),"completed")</f>
        <v>completed</v>
      </c>
      <c r="D792" s="43" t="str">
        <f>IFERROR(__xludf.DUMMYFUNCTION("""COMPUTED_VALUE"""),"No")</f>
        <v>No</v>
      </c>
      <c r="E792" s="43" t="str">
        <f>IFERROR(__xludf.DUMMYFUNCTION("""COMPUTED_VALUE"""),"p_540ae0951c61fd05a05facdbe47ede96fa362dbb@inbound.aiesec.org")</f>
        <v>p_540ae0951c61fd05a05facdbe47ede96fa362dbb@inbound.aiesec.org</v>
      </c>
      <c r="F792" s="43"/>
      <c r="G792" s="43" t="str">
        <f>IFERROR(__xludf.DUMMYFUNCTION("""COMPUTED_VALUE"""),"Turkey")</f>
        <v>Turkey</v>
      </c>
      <c r="H792" s="43" t="str">
        <f>IFERROR(__xludf.DUMMYFUNCTION("""COMPUTED_VALUE"""),"ANKARA")</f>
        <v>ANKARA</v>
      </c>
      <c r="I792" s="43" t="str">
        <f>IFERROR(__xludf.DUMMYFUNCTION("""COMPUTED_VALUE"""),"India")</f>
        <v>India</v>
      </c>
      <c r="J792" s="43" t="str">
        <f>IFERROR(__xludf.DUMMYFUNCTION("""COMPUTED_VALUE"""),"JAIPUR ")</f>
        <v>JAIPUR </v>
      </c>
      <c r="K792" s="44" t="str">
        <f>IFERROR(__xludf.DUMMYFUNCTION("""COMPUTED_VALUE"""),"https://expa.aiesec.org/opportunities/1287985")</f>
        <v>https://expa.aiesec.org/opportunities/1287985</v>
      </c>
      <c r="L792" s="43" t="str">
        <f>IFERROR(__xludf.DUMMYFUNCTION("""COMPUTED_VALUE"""),"GV")</f>
        <v>GV</v>
      </c>
      <c r="M792" s="43" t="str">
        <f>IFERROR(__xludf.DUMMYFUNCTION("""COMPUTED_VALUE"""),"short")</f>
        <v>short</v>
      </c>
      <c r="N792" s="45">
        <f>IFERROR(__xludf.DUMMYFUNCTION("""COMPUTED_VALUE"""),45079.0)</f>
        <v>45079</v>
      </c>
      <c r="O792" s="45">
        <f>IFERROR(__xludf.DUMMYFUNCTION("""COMPUTED_VALUE"""),45108.0)</f>
        <v>45108</v>
      </c>
      <c r="P792" s="45">
        <f>IFERROR(__xludf.DUMMYFUNCTION("""COMPUTED_VALUE"""),45150.0)</f>
        <v>45150</v>
      </c>
      <c r="Q792" s="45">
        <f>IFERROR(__xludf.DUMMYFUNCTION("""COMPUTED_VALUE"""),45108.0)</f>
        <v>45108</v>
      </c>
      <c r="R792" s="45">
        <f>IFERROR(__xludf.DUMMYFUNCTION("""COMPUTED_VALUE"""),45150.0)</f>
        <v>45150</v>
      </c>
      <c r="S792" s="43"/>
      <c r="T792" s="43"/>
      <c r="U792" s="43" t="str">
        <f>IFERROR(__xludf.DUMMYFUNCTION("""COMPUTED_VALUE"""),"Heartbeat")</f>
        <v>Heartbeat</v>
      </c>
      <c r="V792" s="43" t="str">
        <f>IFERROR(__xludf.DUMMYFUNCTION("""COMPUTED_VALUE"""),"-")</f>
        <v>-</v>
      </c>
      <c r="W792" s="43" t="str">
        <f>IFERROR(__xludf.DUMMYFUNCTION("""COMPUTED_VALUE"""),"2023-01-23T14:52:55Z")</f>
        <v>2023-01-23T14:52:55Z</v>
      </c>
      <c r="X792" s="43"/>
      <c r="Y792" s="43"/>
      <c r="Z792" s="43"/>
    </row>
    <row r="793" hidden="1">
      <c r="A793" s="43" t="str">
        <f>IFERROR(__xludf.DUMMYFUNCTION("""COMPUTED_VALUE"""),"4116078_1291263")</f>
        <v>4116078_1291263</v>
      </c>
      <c r="B793" s="43" t="str">
        <f>IFERROR(__xludf.DUMMYFUNCTION("""COMPUTED_VALUE"""),"Ezgisu Darıcı")</f>
        <v>Ezgisu Darıcı</v>
      </c>
      <c r="C793" s="43" t="str">
        <f>IFERROR(__xludf.DUMMYFUNCTION("""COMPUTED_VALUE"""),"realization_broken")</f>
        <v>realization_broken</v>
      </c>
      <c r="D793" s="43" t="str">
        <f>IFERROR(__xludf.DUMMYFUNCTION("""COMPUTED_VALUE"""),"No")</f>
        <v>No</v>
      </c>
      <c r="E793" s="43" t="str">
        <f>IFERROR(__xludf.DUMMYFUNCTION("""COMPUTED_VALUE"""),"p_b4f370946878f6071f1d05b8415e6aeddf88a042@inbound.aiesec.org")</f>
        <v>p_b4f370946878f6071f1d05b8415e6aeddf88a042@inbound.aiesec.org</v>
      </c>
      <c r="F793" s="43">
        <f>IFERROR(__xludf.DUMMYFUNCTION("""COMPUTED_VALUE"""),5.416587313E9)</f>
        <v>5416587313</v>
      </c>
      <c r="G793" s="43" t="str">
        <f>IFERROR(__xludf.DUMMYFUNCTION("""COMPUTED_VALUE"""),"Turkey")</f>
        <v>Turkey</v>
      </c>
      <c r="H793" s="43" t="str">
        <f>IFERROR(__xludf.DUMMYFUNCTION("""COMPUTED_VALUE"""),"ANKARA")</f>
        <v>ANKARA</v>
      </c>
      <c r="I793" s="43" t="str">
        <f>IFERROR(__xludf.DUMMYFUNCTION("""COMPUTED_VALUE"""),"Greece")</f>
        <v>Greece</v>
      </c>
      <c r="J793" s="43" t="str">
        <f>IFERROR(__xludf.DUMMYFUNCTION("""COMPUTED_VALUE"""),"UoM THESSALONIKI")</f>
        <v>UoM THESSALONIKI</v>
      </c>
      <c r="K793" s="44" t="str">
        <f>IFERROR(__xludf.DUMMYFUNCTION("""COMPUTED_VALUE"""),"https://expa.aiesec.org/opportunities/1291263")</f>
        <v>https://expa.aiesec.org/opportunities/1291263</v>
      </c>
      <c r="L793" s="43" t="str">
        <f>IFERROR(__xludf.DUMMYFUNCTION("""COMPUTED_VALUE"""),"GV")</f>
        <v>GV</v>
      </c>
      <c r="M793" s="43" t="str">
        <f>IFERROR(__xludf.DUMMYFUNCTION("""COMPUTED_VALUE"""),"short")</f>
        <v>short</v>
      </c>
      <c r="N793" s="45">
        <f>IFERROR(__xludf.DUMMYFUNCTION("""COMPUTED_VALUE"""),45079.0)</f>
        <v>45079</v>
      </c>
      <c r="O793" s="45">
        <f>IFERROR(__xludf.DUMMYFUNCTION("""COMPUTED_VALUE"""),45103.0)</f>
        <v>45103</v>
      </c>
      <c r="P793" s="45">
        <f>IFERROR(__xludf.DUMMYFUNCTION("""COMPUTED_VALUE"""),45145.0)</f>
        <v>45145</v>
      </c>
      <c r="Q793" s="45"/>
      <c r="R793" s="45"/>
      <c r="S793" s="43"/>
      <c r="T793" s="43"/>
      <c r="U793" s="43" t="str">
        <f>IFERROR(__xludf.DUMMYFUNCTION("""COMPUTED_VALUE"""),"Global Classroom")</f>
        <v>Global Classroom</v>
      </c>
      <c r="V793" s="43" t="str">
        <f>IFERROR(__xludf.DUMMYFUNCTION("""COMPUTED_VALUE"""),"ANKARA")</f>
        <v>ANKARA</v>
      </c>
      <c r="W793" s="43" t="str">
        <f>IFERROR(__xludf.DUMMYFUNCTION("""COMPUTED_VALUE"""),"2019-12-28T13:25:38Z")</f>
        <v>2019-12-28T13:25:38Z</v>
      </c>
      <c r="X793" s="43"/>
      <c r="Y793" s="43"/>
      <c r="Z793" s="43"/>
    </row>
    <row r="794" hidden="1">
      <c r="A794" s="43" t="str">
        <f>IFERROR(__xludf.DUMMYFUNCTION("""COMPUTED_VALUE"""),"5270363_1292380")</f>
        <v>5270363_1292380</v>
      </c>
      <c r="B794" s="43" t="str">
        <f>IFERROR(__xludf.DUMMYFUNCTION("""COMPUTED_VALUE"""),"Heval Berfin Nasır")</f>
        <v>Heval Berfin Nasır</v>
      </c>
      <c r="C794" s="43" t="str">
        <f>IFERROR(__xludf.DUMMYFUNCTION("""COMPUTED_VALUE"""),"completed")</f>
        <v>completed</v>
      </c>
      <c r="D794" s="43" t="str">
        <f>IFERROR(__xludf.DUMMYFUNCTION("""COMPUTED_VALUE"""),"No")</f>
        <v>No</v>
      </c>
      <c r="E794" s="43" t="str">
        <f>IFERROR(__xludf.DUMMYFUNCTION("""COMPUTED_VALUE"""),"p_135fef20c822fa682b3fc719239393b1f6c9f913@inbound.aiesec.org")</f>
        <v>p_135fef20c822fa682b3fc719239393b1f6c9f913@inbound.aiesec.org</v>
      </c>
      <c r="F794" s="43">
        <f>IFERROR(__xludf.DUMMYFUNCTION("""COMPUTED_VALUE"""),5.532221727E9)</f>
        <v>5532221727</v>
      </c>
      <c r="G794" s="43" t="str">
        <f>IFERROR(__xludf.DUMMYFUNCTION("""COMPUTED_VALUE"""),"Turkey")</f>
        <v>Turkey</v>
      </c>
      <c r="H794" s="43" t="str">
        <f>IFERROR(__xludf.DUMMYFUNCTION("""COMPUTED_VALUE"""),"ANKARA")</f>
        <v>ANKARA</v>
      </c>
      <c r="I794" s="43" t="str">
        <f>IFERROR(__xludf.DUMMYFUNCTION("""COMPUTED_VALUE"""),"Romania")</f>
        <v>Romania</v>
      </c>
      <c r="J794" s="43" t="str">
        <f>IFERROR(__xludf.DUMMYFUNCTION("""COMPUTED_VALUE"""),"BUCURESTI")</f>
        <v>BUCURESTI</v>
      </c>
      <c r="K794" s="44" t="str">
        <f>IFERROR(__xludf.DUMMYFUNCTION("""COMPUTED_VALUE"""),"https://expa.aiesec.org/opportunities/1292380")</f>
        <v>https://expa.aiesec.org/opportunities/1292380</v>
      </c>
      <c r="L794" s="43" t="str">
        <f>IFERROR(__xludf.DUMMYFUNCTION("""COMPUTED_VALUE"""),"GV")</f>
        <v>GV</v>
      </c>
      <c r="M794" s="43" t="str">
        <f>IFERROR(__xludf.DUMMYFUNCTION("""COMPUTED_VALUE"""),"short")</f>
        <v>short</v>
      </c>
      <c r="N794" s="45">
        <f>IFERROR(__xludf.DUMMYFUNCTION("""COMPUTED_VALUE"""),45080.0)</f>
        <v>45080</v>
      </c>
      <c r="O794" s="45">
        <f>IFERROR(__xludf.DUMMYFUNCTION("""COMPUTED_VALUE"""),45096.0)</f>
        <v>45096</v>
      </c>
      <c r="P794" s="45">
        <f>IFERROR(__xludf.DUMMYFUNCTION("""COMPUTED_VALUE"""),45138.0)</f>
        <v>45138</v>
      </c>
      <c r="Q794" s="45">
        <f>IFERROR(__xludf.DUMMYFUNCTION("""COMPUTED_VALUE"""),45096.0)</f>
        <v>45096</v>
      </c>
      <c r="R794" s="45">
        <f>IFERROR(__xludf.DUMMYFUNCTION("""COMPUTED_VALUE"""),45138.0)</f>
        <v>45138</v>
      </c>
      <c r="S794" s="43"/>
      <c r="T794" s="43"/>
      <c r="U794" s="43" t="str">
        <f>IFERROR(__xludf.DUMMYFUNCTION("""COMPUTED_VALUE"""),"Green Leaders")</f>
        <v>Green Leaders</v>
      </c>
      <c r="V794" s="43" t="str">
        <f>IFERROR(__xludf.DUMMYFUNCTION("""COMPUTED_VALUE"""),"ANKARA")</f>
        <v>ANKARA</v>
      </c>
      <c r="W794" s="43" t="str">
        <f>IFERROR(__xludf.DUMMYFUNCTION("""COMPUTED_VALUE"""),"2023-06-01T20:59:02Z")</f>
        <v>2023-06-01T20:59:02Z</v>
      </c>
      <c r="X794" s="43"/>
      <c r="Y794" s="43"/>
      <c r="Z794" s="43"/>
    </row>
    <row r="795" hidden="1">
      <c r="A795" s="43" t="str">
        <f>IFERROR(__xludf.DUMMYFUNCTION("""COMPUTED_VALUE"""),"5184864_1294624")</f>
        <v>5184864_1294624</v>
      </c>
      <c r="B795" s="43" t="str">
        <f>IFERROR(__xludf.DUMMYFUNCTION("""COMPUTED_VALUE"""),"Zeynep Akın")</f>
        <v>Zeynep Akın</v>
      </c>
      <c r="C795" s="43" t="str">
        <f>IFERROR(__xludf.DUMMYFUNCTION("""COMPUTED_VALUE"""),"completed")</f>
        <v>completed</v>
      </c>
      <c r="D795" s="43" t="str">
        <f>IFERROR(__xludf.DUMMYFUNCTION("""COMPUTED_VALUE"""),"No")</f>
        <v>No</v>
      </c>
      <c r="E795" s="43" t="str">
        <f>IFERROR(__xludf.DUMMYFUNCTION("""COMPUTED_VALUE"""),"p_be9ce315a1c7fd38425e12db0d12ca7404244aa1@inbound.aiesec.org")</f>
        <v>p_be9ce315a1c7fd38425e12db0d12ca7404244aa1@inbound.aiesec.org</v>
      </c>
      <c r="F795" s="43">
        <f>IFERROR(__xludf.DUMMYFUNCTION("""COMPUTED_VALUE"""),5.428121937E9)</f>
        <v>5428121937</v>
      </c>
      <c r="G795" s="43" t="str">
        <f>IFERROR(__xludf.DUMMYFUNCTION("""COMPUTED_VALUE"""),"Turkey")</f>
        <v>Turkey</v>
      </c>
      <c r="H795" s="43" t="str">
        <f>IFERROR(__xludf.DUMMYFUNCTION("""COMPUTED_VALUE"""),"ISTANBUL")</f>
        <v>ISTANBUL</v>
      </c>
      <c r="I795" s="43" t="str">
        <f>IFERROR(__xludf.DUMMYFUNCTION("""COMPUTED_VALUE"""),"Tunisia")</f>
        <v>Tunisia</v>
      </c>
      <c r="J795" s="43" t="str">
        <f>IFERROR(__xludf.DUMMYFUNCTION("""COMPUTED_VALUE"""),"SFAX")</f>
        <v>SFAX</v>
      </c>
      <c r="K795" s="44" t="str">
        <f>IFERROR(__xludf.DUMMYFUNCTION("""COMPUTED_VALUE"""),"https://expa.aiesec.org/opportunities/1294624")</f>
        <v>https://expa.aiesec.org/opportunities/1294624</v>
      </c>
      <c r="L795" s="43" t="str">
        <f>IFERROR(__xludf.DUMMYFUNCTION("""COMPUTED_VALUE"""),"GV")</f>
        <v>GV</v>
      </c>
      <c r="M795" s="43" t="str">
        <f>IFERROR(__xludf.DUMMYFUNCTION("""COMPUTED_VALUE"""),"short")</f>
        <v>short</v>
      </c>
      <c r="N795" s="45">
        <f>IFERROR(__xludf.DUMMYFUNCTION("""COMPUTED_VALUE"""),45080.0)</f>
        <v>45080</v>
      </c>
      <c r="O795" s="45">
        <f>IFERROR(__xludf.DUMMYFUNCTION("""COMPUTED_VALUE"""),45190.0)</f>
        <v>45190</v>
      </c>
      <c r="P795" s="45">
        <f>IFERROR(__xludf.DUMMYFUNCTION("""COMPUTED_VALUE"""),45232.0)</f>
        <v>45232</v>
      </c>
      <c r="Q795" s="45">
        <f>IFERROR(__xludf.DUMMYFUNCTION("""COMPUTED_VALUE"""),45189.0)</f>
        <v>45189</v>
      </c>
      <c r="R795" s="45">
        <f>IFERROR(__xludf.DUMMYFUNCTION("""COMPUTED_VALUE"""),45232.0)</f>
        <v>45232</v>
      </c>
      <c r="S795" s="43"/>
      <c r="T795" s="43"/>
      <c r="U795" s="43" t="str">
        <f>IFERROR(__xludf.DUMMYFUNCTION("""COMPUTED_VALUE"""),"Fingerprint")</f>
        <v>Fingerprint</v>
      </c>
      <c r="V795" s="43" t="str">
        <f>IFERROR(__xludf.DUMMYFUNCTION("""COMPUTED_VALUE"""),"ISTANBUL - BEYOGLU")</f>
        <v>ISTANBUL - BEYOGLU</v>
      </c>
      <c r="W795" s="43" t="str">
        <f>IFERROR(__xludf.DUMMYFUNCTION("""COMPUTED_VALUE"""),"2023-02-03T13:07:29Z")</f>
        <v>2023-02-03T13:07:29Z</v>
      </c>
      <c r="X795" s="43"/>
      <c r="Y795" s="43"/>
      <c r="Z795" s="43"/>
    </row>
    <row r="796" hidden="1">
      <c r="A796" s="43" t="str">
        <f>IFERROR(__xludf.DUMMYFUNCTION("""COMPUTED_VALUE"""),"5270188_1294734")</f>
        <v>5270188_1294734</v>
      </c>
      <c r="B796" s="43" t="str">
        <f>IFERROR(__xludf.DUMMYFUNCTION("""COMPUTED_VALUE"""),"Nursu Lokman")</f>
        <v>Nursu Lokman</v>
      </c>
      <c r="C796" s="43" t="str">
        <f>IFERROR(__xludf.DUMMYFUNCTION("""COMPUTED_VALUE"""),"completed")</f>
        <v>completed</v>
      </c>
      <c r="D796" s="43" t="str">
        <f>IFERROR(__xludf.DUMMYFUNCTION("""COMPUTED_VALUE"""),"No")</f>
        <v>No</v>
      </c>
      <c r="E796" s="43" t="str">
        <f>IFERROR(__xludf.DUMMYFUNCTION("""COMPUTED_VALUE"""),"p_5f5b799bdec6c6d50fa9d2917c02b50ce1937090@inbound.aiesec.org")</f>
        <v>p_5f5b799bdec6c6d50fa9d2917c02b50ce1937090@inbound.aiesec.org</v>
      </c>
      <c r="F796" s="43">
        <f>IFERROR(__xludf.DUMMYFUNCTION("""COMPUTED_VALUE"""),5.076330826E9)</f>
        <v>5076330826</v>
      </c>
      <c r="G796" s="43" t="str">
        <f>IFERROR(__xludf.DUMMYFUNCTION("""COMPUTED_VALUE"""),"Turkey")</f>
        <v>Turkey</v>
      </c>
      <c r="H796" s="43" t="str">
        <f>IFERROR(__xludf.DUMMYFUNCTION("""COMPUTED_VALUE"""),"ESKISEHIR")</f>
        <v>ESKISEHIR</v>
      </c>
      <c r="I796" s="43" t="str">
        <f>IFERROR(__xludf.DUMMYFUNCTION("""COMPUTED_VALUE"""),"Romania")</f>
        <v>Romania</v>
      </c>
      <c r="J796" s="43" t="str">
        <f>IFERROR(__xludf.DUMMYFUNCTION("""COMPUTED_VALUE"""),"BUCURESTI")</f>
        <v>BUCURESTI</v>
      </c>
      <c r="K796" s="44" t="str">
        <f>IFERROR(__xludf.DUMMYFUNCTION("""COMPUTED_VALUE"""),"https://expa.aiesec.org/opportunities/1294734")</f>
        <v>https://expa.aiesec.org/opportunities/1294734</v>
      </c>
      <c r="L796" s="43" t="str">
        <f>IFERROR(__xludf.DUMMYFUNCTION("""COMPUTED_VALUE"""),"GV")</f>
        <v>GV</v>
      </c>
      <c r="M796" s="43" t="str">
        <f>IFERROR(__xludf.DUMMYFUNCTION("""COMPUTED_VALUE"""),"short")</f>
        <v>short</v>
      </c>
      <c r="N796" s="45">
        <f>IFERROR(__xludf.DUMMYFUNCTION("""COMPUTED_VALUE"""),45080.0)</f>
        <v>45080</v>
      </c>
      <c r="O796" s="45">
        <f>IFERROR(__xludf.DUMMYFUNCTION("""COMPUTED_VALUE"""),45096.0)</f>
        <v>45096</v>
      </c>
      <c r="P796" s="45">
        <f>IFERROR(__xludf.DUMMYFUNCTION("""COMPUTED_VALUE"""),45138.0)</f>
        <v>45138</v>
      </c>
      <c r="Q796" s="45">
        <f>IFERROR(__xludf.DUMMYFUNCTION("""COMPUTED_VALUE"""),45099.0)</f>
        <v>45099</v>
      </c>
      <c r="R796" s="45">
        <f>IFERROR(__xludf.DUMMYFUNCTION("""COMPUTED_VALUE"""),45139.0)</f>
        <v>45139</v>
      </c>
      <c r="S796" s="43"/>
      <c r="T796" s="43"/>
      <c r="U796" s="43" t="str">
        <f>IFERROR(__xludf.DUMMYFUNCTION("""COMPUTED_VALUE"""),"Global Classroom")</f>
        <v>Global Classroom</v>
      </c>
      <c r="V796" s="43" t="str">
        <f>IFERROR(__xludf.DUMMYFUNCTION("""COMPUTED_VALUE"""),"ESKISEHIR")</f>
        <v>ESKISEHIR</v>
      </c>
      <c r="W796" s="43" t="str">
        <f>IFERROR(__xludf.DUMMYFUNCTION("""COMPUTED_VALUE"""),"2023-06-01T13:25:05Z")</f>
        <v>2023-06-01T13:25:05Z</v>
      </c>
      <c r="X796" s="43"/>
      <c r="Y796" s="43"/>
      <c r="Z796" s="43"/>
    </row>
    <row r="797" hidden="1">
      <c r="A797" s="43" t="str">
        <f>IFERROR(__xludf.DUMMYFUNCTION("""COMPUTED_VALUE"""),"5264481_1291413")</f>
        <v>5264481_1291413</v>
      </c>
      <c r="B797" s="43" t="str">
        <f>IFERROR(__xludf.DUMMYFUNCTION("""COMPUTED_VALUE"""),"Giray Üzenli")</f>
        <v>Giray Üzenli</v>
      </c>
      <c r="C797" s="43" t="str">
        <f>IFERROR(__xludf.DUMMYFUNCTION("""COMPUTED_VALUE"""),"approved")</f>
        <v>approved</v>
      </c>
      <c r="D797" s="43" t="str">
        <f>IFERROR(__xludf.DUMMYFUNCTION("""COMPUTED_VALUE"""),"No")</f>
        <v>No</v>
      </c>
      <c r="E797" s="43" t="str">
        <f>IFERROR(__xludf.DUMMYFUNCTION("""COMPUTED_VALUE"""),"p_817c7c54cdac423588d10059063e4d59736ffc39@inbound.aiesec.org")</f>
        <v>p_817c7c54cdac423588d10059063e4d59736ffc39@inbound.aiesec.org</v>
      </c>
      <c r="F797" s="43">
        <f>IFERROR(__xludf.DUMMYFUNCTION("""COMPUTED_VALUE"""),5.337892003E9)</f>
        <v>5337892003</v>
      </c>
      <c r="G797" s="43" t="str">
        <f>IFERROR(__xludf.DUMMYFUNCTION("""COMPUTED_VALUE"""),"Turkey")</f>
        <v>Turkey</v>
      </c>
      <c r="H797" s="43" t="str">
        <f>IFERROR(__xludf.DUMMYFUNCTION("""COMPUTED_VALUE"""),"ISTANBUL")</f>
        <v>ISTANBUL</v>
      </c>
      <c r="I797" s="43" t="str">
        <f>IFERROR(__xludf.DUMMYFUNCTION("""COMPUTED_VALUE"""),"Sri Lanka")</f>
        <v>Sri Lanka</v>
      </c>
      <c r="J797" s="43" t="str">
        <f>IFERROR(__xludf.DUMMYFUNCTION("""COMPUTED_VALUE"""),"KANDY")</f>
        <v>KANDY</v>
      </c>
      <c r="K797" s="44" t="str">
        <f>IFERROR(__xludf.DUMMYFUNCTION("""COMPUTED_VALUE"""),"https://expa.aiesec.org/opportunities/1291413")</f>
        <v>https://expa.aiesec.org/opportunities/1291413</v>
      </c>
      <c r="L797" s="43" t="str">
        <f>IFERROR(__xludf.DUMMYFUNCTION("""COMPUTED_VALUE"""),"GV")</f>
        <v>GV</v>
      </c>
      <c r="M797" s="43" t="str">
        <f>IFERROR(__xludf.DUMMYFUNCTION("""COMPUTED_VALUE"""),"short")</f>
        <v>short</v>
      </c>
      <c r="N797" s="45">
        <f>IFERROR(__xludf.DUMMYFUNCTION("""COMPUTED_VALUE"""),45080.0)</f>
        <v>45080</v>
      </c>
      <c r="O797" s="45">
        <f>IFERROR(__xludf.DUMMYFUNCTION("""COMPUTED_VALUE"""),45108.0)</f>
        <v>45108</v>
      </c>
      <c r="P797" s="45">
        <f>IFERROR(__xludf.DUMMYFUNCTION("""COMPUTED_VALUE"""),45150.0)</f>
        <v>45150</v>
      </c>
      <c r="Q797" s="45"/>
      <c r="R797" s="45"/>
      <c r="S797" s="43"/>
      <c r="T797" s="43"/>
      <c r="U797" s="43" t="str">
        <f>IFERROR(__xludf.DUMMYFUNCTION("""COMPUTED_VALUE"""),"Global Classroom")</f>
        <v>Global Classroom</v>
      </c>
      <c r="V797" s="43" t="str">
        <f>IFERROR(__xludf.DUMMYFUNCTION("""COMPUTED_VALUE"""),"ISTANBUL - BEYOGLU")</f>
        <v>ISTANBUL - BEYOGLU</v>
      </c>
      <c r="W797" s="43" t="str">
        <f>IFERROR(__xludf.DUMMYFUNCTION("""COMPUTED_VALUE"""),"2023-05-21T14:16:17Z")</f>
        <v>2023-05-21T14:16:17Z</v>
      </c>
      <c r="X797" s="43"/>
      <c r="Y797" s="43"/>
      <c r="Z797" s="43"/>
    </row>
    <row r="798" hidden="1">
      <c r="A798" s="43" t="str">
        <f>IFERROR(__xludf.DUMMYFUNCTION("""COMPUTED_VALUE"""),"5267041_1295529")</f>
        <v>5267041_1295529</v>
      </c>
      <c r="B798" s="43" t="str">
        <f>IFERROR(__xludf.DUMMYFUNCTION("""COMPUTED_VALUE"""),"Ayça Yücel")</f>
        <v>Ayça Yücel</v>
      </c>
      <c r="C798" s="43" t="str">
        <f>IFERROR(__xludf.DUMMYFUNCTION("""COMPUTED_VALUE"""),"realization_broken")</f>
        <v>realization_broken</v>
      </c>
      <c r="D798" s="43" t="str">
        <f>IFERROR(__xludf.DUMMYFUNCTION("""COMPUTED_VALUE"""),"No")</f>
        <v>No</v>
      </c>
      <c r="E798" s="43" t="str">
        <f>IFERROR(__xludf.DUMMYFUNCTION("""COMPUTED_VALUE"""),"p_90318a8d9ea2a184aa9791c5c7f4e826bc34aa32@inbound.aiesec.org")</f>
        <v>p_90318a8d9ea2a184aa9791c5c7f4e826bc34aa32@inbound.aiesec.org</v>
      </c>
      <c r="F798" s="43">
        <f>IFERROR(__xludf.DUMMYFUNCTION("""COMPUTED_VALUE"""),5.530542832E9)</f>
        <v>5530542832</v>
      </c>
      <c r="G798" s="43" t="str">
        <f>IFERROR(__xludf.DUMMYFUNCTION("""COMPUTED_VALUE"""),"Turkey")</f>
        <v>Turkey</v>
      </c>
      <c r="H798" s="43" t="str">
        <f>IFERROR(__xludf.DUMMYFUNCTION("""COMPUTED_VALUE"""),"ANKARA")</f>
        <v>ANKARA</v>
      </c>
      <c r="I798" s="43" t="str">
        <f>IFERROR(__xludf.DUMMYFUNCTION("""COMPUTED_VALUE"""),"Egypt")</f>
        <v>Egypt</v>
      </c>
      <c r="J798" s="43" t="str">
        <f>IFERROR(__xludf.DUMMYFUNCTION("""COMPUTED_VALUE"""),"Mansoura")</f>
        <v>Mansoura</v>
      </c>
      <c r="K798" s="44" t="str">
        <f>IFERROR(__xludf.DUMMYFUNCTION("""COMPUTED_VALUE"""),"https://expa.aiesec.org/opportunities/1295529")</f>
        <v>https://expa.aiesec.org/opportunities/1295529</v>
      </c>
      <c r="L798" s="43" t="str">
        <f>IFERROR(__xludf.DUMMYFUNCTION("""COMPUTED_VALUE"""),"GV")</f>
        <v>GV</v>
      </c>
      <c r="M798" s="43" t="str">
        <f>IFERROR(__xludf.DUMMYFUNCTION("""COMPUTED_VALUE"""),"short")</f>
        <v>short</v>
      </c>
      <c r="N798" s="45">
        <f>IFERROR(__xludf.DUMMYFUNCTION("""COMPUTED_VALUE"""),45080.0)</f>
        <v>45080</v>
      </c>
      <c r="O798" s="45">
        <f>IFERROR(__xludf.DUMMYFUNCTION("""COMPUTED_VALUE"""),45107.0)</f>
        <v>45107</v>
      </c>
      <c r="P798" s="45">
        <f>IFERROR(__xludf.DUMMYFUNCTION("""COMPUTED_VALUE"""),45149.0)</f>
        <v>45149</v>
      </c>
      <c r="Q798" s="45"/>
      <c r="R798" s="45"/>
      <c r="S798" s="43"/>
      <c r="T798" s="43"/>
      <c r="U798" s="43" t="str">
        <f>IFERROR(__xludf.DUMMYFUNCTION("""COMPUTED_VALUE"""),"Global Classroom")</f>
        <v>Global Classroom</v>
      </c>
      <c r="V798" s="43" t="str">
        <f>IFERROR(__xludf.DUMMYFUNCTION("""COMPUTED_VALUE"""),"ANKARA")</f>
        <v>ANKARA</v>
      </c>
      <c r="W798" s="43" t="str">
        <f>IFERROR(__xludf.DUMMYFUNCTION("""COMPUTED_VALUE"""),"2023-05-26T12:38:51Z")</f>
        <v>2023-05-26T12:38:51Z</v>
      </c>
      <c r="X798" s="43"/>
      <c r="Y798" s="43"/>
      <c r="Z798" s="43"/>
    </row>
    <row r="799" hidden="1">
      <c r="A799" s="43" t="str">
        <f>IFERROR(__xludf.DUMMYFUNCTION("""COMPUTED_VALUE"""),"4241387_1293245")</f>
        <v>4241387_1293245</v>
      </c>
      <c r="B799" s="43" t="str">
        <f>IFERROR(__xludf.DUMMYFUNCTION("""COMPUTED_VALUE"""),"Kutay Bayhan")</f>
        <v>Kutay Bayhan</v>
      </c>
      <c r="C799" s="43" t="str">
        <f>IFERROR(__xludf.DUMMYFUNCTION("""COMPUTED_VALUE"""),"completed")</f>
        <v>completed</v>
      </c>
      <c r="D799" s="43" t="str">
        <f>IFERROR(__xludf.DUMMYFUNCTION("""COMPUTED_VALUE"""),"No")</f>
        <v>No</v>
      </c>
      <c r="E799" s="43" t="str">
        <f>IFERROR(__xludf.DUMMYFUNCTION("""COMPUTED_VALUE"""),"p_62e08253b1824604885962025872d2d3ac809f11@inbound.aiesec.org")</f>
        <v>p_62e08253b1824604885962025872d2d3ac809f11@inbound.aiesec.org</v>
      </c>
      <c r="F799" s="43">
        <f>IFERROR(__xludf.DUMMYFUNCTION("""COMPUTED_VALUE"""),5.347338154E9)</f>
        <v>5347338154</v>
      </c>
      <c r="G799" s="43" t="str">
        <f>IFERROR(__xludf.DUMMYFUNCTION("""COMPUTED_VALUE"""),"Turkey")</f>
        <v>Turkey</v>
      </c>
      <c r="H799" s="43" t="str">
        <f>IFERROR(__xludf.DUMMYFUNCTION("""COMPUTED_VALUE"""),"ANKARA")</f>
        <v>ANKARA</v>
      </c>
      <c r="I799" s="43" t="str">
        <f>IFERROR(__xludf.DUMMYFUNCTION("""COMPUTED_VALUE"""),"Germany")</f>
        <v>Germany</v>
      </c>
      <c r="J799" s="43" t="str">
        <f>IFERROR(__xludf.DUMMYFUNCTION("""COMPUTED_VALUE"""),"LUENEBURG")</f>
        <v>LUENEBURG</v>
      </c>
      <c r="K799" s="44" t="str">
        <f>IFERROR(__xludf.DUMMYFUNCTION("""COMPUTED_VALUE"""),"https://expa.aiesec.org/opportunities/1293245")</f>
        <v>https://expa.aiesec.org/opportunities/1293245</v>
      </c>
      <c r="L799" s="43" t="str">
        <f>IFERROR(__xludf.DUMMYFUNCTION("""COMPUTED_VALUE"""),"GV")</f>
        <v>GV</v>
      </c>
      <c r="M799" s="43" t="str">
        <f>IFERROR(__xludf.DUMMYFUNCTION("""COMPUTED_VALUE"""),"short")</f>
        <v>short</v>
      </c>
      <c r="N799" s="45">
        <f>IFERROR(__xludf.DUMMYFUNCTION("""COMPUTED_VALUE"""),45080.0)</f>
        <v>45080</v>
      </c>
      <c r="O799" s="45">
        <f>IFERROR(__xludf.DUMMYFUNCTION("""COMPUTED_VALUE"""),45207.0)</f>
        <v>45207</v>
      </c>
      <c r="P799" s="45">
        <f>IFERROR(__xludf.DUMMYFUNCTION("""COMPUTED_VALUE"""),45249.0)</f>
        <v>45249</v>
      </c>
      <c r="Q799" s="45">
        <f>IFERROR(__xludf.DUMMYFUNCTION("""COMPUTED_VALUE"""),45208.0)</f>
        <v>45208</v>
      </c>
      <c r="R799" s="45">
        <f>IFERROR(__xludf.DUMMYFUNCTION("""COMPUTED_VALUE"""),45249.0)</f>
        <v>45249</v>
      </c>
      <c r="S799" s="43"/>
      <c r="T799" s="43"/>
      <c r="U799" s="43" t="str">
        <f>IFERROR(__xludf.DUMMYFUNCTION("""COMPUTED_VALUE"""),"Eco City")</f>
        <v>Eco City</v>
      </c>
      <c r="V799" s="43" t="str">
        <f>IFERROR(__xludf.DUMMYFUNCTION("""COMPUTED_VALUE"""),"ANKARA")</f>
        <v>ANKARA</v>
      </c>
      <c r="W799" s="43" t="str">
        <f>IFERROR(__xludf.DUMMYFUNCTION("""COMPUTED_VALUE"""),"2020-03-07T11:51:20Z")</f>
        <v>2020-03-07T11:51:20Z</v>
      </c>
      <c r="X799" s="43"/>
      <c r="Y799" s="43"/>
      <c r="Z799" s="43"/>
    </row>
    <row r="800" hidden="1">
      <c r="A800" s="43" t="str">
        <f>IFERROR(__xludf.DUMMYFUNCTION("""COMPUTED_VALUE"""),"5254759_1293815")</f>
        <v>5254759_1293815</v>
      </c>
      <c r="B800" s="43" t="str">
        <f>IFERROR(__xludf.DUMMYFUNCTION("""COMPUTED_VALUE"""),"Yiğit Zeytun")</f>
        <v>Yiğit Zeytun</v>
      </c>
      <c r="C800" s="43" t="str">
        <f>IFERROR(__xludf.DUMMYFUNCTION("""COMPUTED_VALUE"""),"completed")</f>
        <v>completed</v>
      </c>
      <c r="D800" s="43" t="str">
        <f>IFERROR(__xludf.DUMMYFUNCTION("""COMPUTED_VALUE"""),"No")</f>
        <v>No</v>
      </c>
      <c r="E800" s="43" t="str">
        <f>IFERROR(__xludf.DUMMYFUNCTION("""COMPUTED_VALUE"""),"p_539334414929eac20577ce176d20614dc3f4083a@inbound.aiesec.org")</f>
        <v>p_539334414929eac20577ce176d20614dc3f4083a@inbound.aiesec.org</v>
      </c>
      <c r="F800" s="43"/>
      <c r="G800" s="43" t="str">
        <f>IFERROR(__xludf.DUMMYFUNCTION("""COMPUTED_VALUE"""),"Turkey")</f>
        <v>Turkey</v>
      </c>
      <c r="H800" s="43" t="str">
        <f>IFERROR(__xludf.DUMMYFUNCTION("""COMPUTED_VALUE"""),"KOCAELI")</f>
        <v>KOCAELI</v>
      </c>
      <c r="I800" s="43" t="str">
        <f>IFERROR(__xludf.DUMMYFUNCTION("""COMPUTED_VALUE"""),"Bosnia and Herzegovina")</f>
        <v>Bosnia and Herzegovina</v>
      </c>
      <c r="J800" s="43" t="str">
        <f>IFERROR(__xludf.DUMMYFUNCTION("""COMPUTED_VALUE"""),"MOSTAR")</f>
        <v>MOSTAR</v>
      </c>
      <c r="K800" s="44" t="str">
        <f>IFERROR(__xludf.DUMMYFUNCTION("""COMPUTED_VALUE"""),"https://expa.aiesec.org/opportunities/1293815")</f>
        <v>https://expa.aiesec.org/opportunities/1293815</v>
      </c>
      <c r="L800" s="43" t="str">
        <f>IFERROR(__xludf.DUMMYFUNCTION("""COMPUTED_VALUE"""),"GV")</f>
        <v>GV</v>
      </c>
      <c r="M800" s="43" t="str">
        <f>IFERROR(__xludf.DUMMYFUNCTION("""COMPUTED_VALUE"""),"short")</f>
        <v>short</v>
      </c>
      <c r="N800" s="45">
        <f>IFERROR(__xludf.DUMMYFUNCTION("""COMPUTED_VALUE"""),45080.0)</f>
        <v>45080</v>
      </c>
      <c r="O800" s="45">
        <f>IFERROR(__xludf.DUMMYFUNCTION("""COMPUTED_VALUE"""),45121.0)</f>
        <v>45121</v>
      </c>
      <c r="P800" s="45">
        <f>IFERROR(__xludf.DUMMYFUNCTION("""COMPUTED_VALUE"""),45163.0)</f>
        <v>45163</v>
      </c>
      <c r="Q800" s="45">
        <f>IFERROR(__xludf.DUMMYFUNCTION("""COMPUTED_VALUE"""),45128.0)</f>
        <v>45128</v>
      </c>
      <c r="R800" s="45">
        <f>IFERROR(__xludf.DUMMYFUNCTION("""COMPUTED_VALUE"""),45170.0)</f>
        <v>45170</v>
      </c>
      <c r="S800" s="43"/>
      <c r="T800" s="43"/>
      <c r="U800" s="43" t="str">
        <f>IFERROR(__xludf.DUMMYFUNCTION("""COMPUTED_VALUE"""),"Explorer")</f>
        <v>Explorer</v>
      </c>
      <c r="V800" s="43" t="str">
        <f>IFERROR(__xludf.DUMMYFUNCTION("""COMPUTED_VALUE"""),"-")</f>
        <v>-</v>
      </c>
      <c r="W800" s="43" t="str">
        <f>IFERROR(__xludf.DUMMYFUNCTION("""COMPUTED_VALUE"""),"2023-05-03T07:11:10Z")</f>
        <v>2023-05-03T07:11:10Z</v>
      </c>
      <c r="X800" s="43"/>
      <c r="Y800" s="43"/>
      <c r="Z800" s="43"/>
    </row>
    <row r="801" hidden="1">
      <c r="A801" s="43" t="str">
        <f>IFERROR(__xludf.DUMMYFUNCTION("""COMPUTED_VALUE"""),"5192091_1295907")</f>
        <v>5192091_1295907</v>
      </c>
      <c r="B801" s="43" t="str">
        <f>IFERROR(__xludf.DUMMYFUNCTION("""COMPUTED_VALUE"""),"Bengisu Susar")</f>
        <v>Bengisu Susar</v>
      </c>
      <c r="C801" s="43" t="str">
        <f>IFERROR(__xludf.DUMMYFUNCTION("""COMPUTED_VALUE"""),"completed")</f>
        <v>completed</v>
      </c>
      <c r="D801" s="43" t="str">
        <f>IFERROR(__xludf.DUMMYFUNCTION("""COMPUTED_VALUE"""),"No")</f>
        <v>No</v>
      </c>
      <c r="E801" s="43" t="str">
        <f>IFERROR(__xludf.DUMMYFUNCTION("""COMPUTED_VALUE"""),"p_ada220926ca41feb322042bd279a9d4d10fa51ab@inbound.aiesec.org")</f>
        <v>p_ada220926ca41feb322042bd279a9d4d10fa51ab@inbound.aiesec.org</v>
      </c>
      <c r="F801" s="43"/>
      <c r="G801" s="43" t="str">
        <f>IFERROR(__xludf.DUMMYFUNCTION("""COMPUTED_VALUE"""),"Turkey")</f>
        <v>Turkey</v>
      </c>
      <c r="H801" s="43" t="str">
        <f>IFERROR(__xludf.DUMMYFUNCTION("""COMPUTED_VALUE"""),"DENIZLI")</f>
        <v>DENIZLI</v>
      </c>
      <c r="I801" s="43" t="str">
        <f>IFERROR(__xludf.DUMMYFUNCTION("""COMPUTED_VALUE"""),"India")</f>
        <v>India</v>
      </c>
      <c r="J801" s="43" t="str">
        <f>IFERROR(__xludf.DUMMYFUNCTION("""COMPUTED_VALUE"""),"Ahmedabad")</f>
        <v>Ahmedabad</v>
      </c>
      <c r="K801" s="44" t="str">
        <f>IFERROR(__xludf.DUMMYFUNCTION("""COMPUTED_VALUE"""),"https://expa.aiesec.org/opportunities/1295907")</f>
        <v>https://expa.aiesec.org/opportunities/1295907</v>
      </c>
      <c r="L801" s="43" t="str">
        <f>IFERROR(__xludf.DUMMYFUNCTION("""COMPUTED_VALUE"""),"GV")</f>
        <v>GV</v>
      </c>
      <c r="M801" s="43" t="str">
        <f>IFERROR(__xludf.DUMMYFUNCTION("""COMPUTED_VALUE"""),"short")</f>
        <v>short</v>
      </c>
      <c r="N801" s="45">
        <f>IFERROR(__xludf.DUMMYFUNCTION("""COMPUTED_VALUE"""),45081.0)</f>
        <v>45081</v>
      </c>
      <c r="O801" s="45">
        <f>IFERROR(__xludf.DUMMYFUNCTION("""COMPUTED_VALUE"""),45122.0)</f>
        <v>45122</v>
      </c>
      <c r="P801" s="45">
        <f>IFERROR(__xludf.DUMMYFUNCTION("""COMPUTED_VALUE"""),45167.0)</f>
        <v>45167</v>
      </c>
      <c r="Q801" s="45">
        <f>IFERROR(__xludf.DUMMYFUNCTION("""COMPUTED_VALUE"""),45125.0)</f>
        <v>45125</v>
      </c>
      <c r="R801" s="45">
        <f>IFERROR(__xludf.DUMMYFUNCTION("""COMPUTED_VALUE"""),45170.0)</f>
        <v>45170</v>
      </c>
      <c r="S801" s="43"/>
      <c r="T801" s="43"/>
      <c r="U801" s="43" t="str">
        <f>IFERROR(__xludf.DUMMYFUNCTION("""COMPUTED_VALUE"""),"Raise Your Voice")</f>
        <v>Raise Your Voice</v>
      </c>
      <c r="V801" s="43" t="str">
        <f>IFERROR(__xludf.DUMMYFUNCTION("""COMPUTED_VALUE"""),"DENIZLI")</f>
        <v>DENIZLI</v>
      </c>
      <c r="W801" s="43" t="str">
        <f>IFERROR(__xludf.DUMMYFUNCTION("""COMPUTED_VALUE"""),"2023-02-16T12:30:27Z")</f>
        <v>2023-02-16T12:30:27Z</v>
      </c>
      <c r="X801" s="43"/>
      <c r="Y801" s="43"/>
      <c r="Z801" s="43"/>
    </row>
    <row r="802">
      <c r="A802" s="43" t="str">
        <f>IFERROR(__xludf.DUMMYFUNCTION("""COMPUTED_VALUE"""),"5270045_1295011")</f>
        <v>5270045_1295011</v>
      </c>
      <c r="B802" s="43" t="str">
        <f>IFERROR(__xludf.DUMMYFUNCTION("""COMPUTED_VALUE"""),"Çağrı Çetinkaya")</f>
        <v>Çağrı Çetinkaya</v>
      </c>
      <c r="C802" s="43" t="str">
        <f>IFERROR(__xludf.DUMMYFUNCTION("""COMPUTED_VALUE"""),"completed")</f>
        <v>completed</v>
      </c>
      <c r="D802" s="43" t="str">
        <f>IFERROR(__xludf.DUMMYFUNCTION("""COMPUTED_VALUE"""),"No")</f>
        <v>No</v>
      </c>
      <c r="E802" s="43" t="str">
        <f>IFERROR(__xludf.DUMMYFUNCTION("""COMPUTED_VALUE"""),"p_151990d65bc2e43456c6366a3b79484df2c2de26@inbound.aiesec.org")</f>
        <v>p_151990d65bc2e43456c6366a3b79484df2c2de26@inbound.aiesec.org</v>
      </c>
      <c r="F802" s="43">
        <f>IFERROR(__xludf.DUMMYFUNCTION("""COMPUTED_VALUE"""),5.445088557E9)</f>
        <v>5445088557</v>
      </c>
      <c r="G802" s="43" t="str">
        <f>IFERROR(__xludf.DUMMYFUNCTION("""COMPUTED_VALUE"""),"Turkey")</f>
        <v>Turkey</v>
      </c>
      <c r="H802" s="43" t="str">
        <f>IFERROR(__xludf.DUMMYFUNCTION("""COMPUTED_VALUE"""),"DENIZLI")</f>
        <v>DENIZLI</v>
      </c>
      <c r="I802" s="43" t="str">
        <f>IFERROR(__xludf.DUMMYFUNCTION("""COMPUTED_VALUE"""),"Romania")</f>
        <v>Romania</v>
      </c>
      <c r="J802" s="43" t="str">
        <f>IFERROR(__xludf.DUMMYFUNCTION("""COMPUTED_VALUE"""),"BUCURESTI")</f>
        <v>BUCURESTI</v>
      </c>
      <c r="K802" s="44" t="str">
        <f>IFERROR(__xludf.DUMMYFUNCTION("""COMPUTED_VALUE"""),"https://expa.aiesec.org/opportunities/1295011")</f>
        <v>https://expa.aiesec.org/opportunities/1295011</v>
      </c>
      <c r="L802" s="43" t="str">
        <f>IFERROR(__xludf.DUMMYFUNCTION("""COMPUTED_VALUE"""),"GV")</f>
        <v>GV</v>
      </c>
      <c r="M802" s="43" t="str">
        <f>IFERROR(__xludf.DUMMYFUNCTION("""COMPUTED_VALUE"""),"short")</f>
        <v>short</v>
      </c>
      <c r="N802" s="45">
        <f>IFERROR(__xludf.DUMMYFUNCTION("""COMPUTED_VALUE"""),45081.0)</f>
        <v>45081</v>
      </c>
      <c r="O802" s="45">
        <f>IFERROR(__xludf.DUMMYFUNCTION("""COMPUTED_VALUE"""),45110.0)</f>
        <v>45110</v>
      </c>
      <c r="P802" s="45">
        <f>IFERROR(__xludf.DUMMYFUNCTION("""COMPUTED_VALUE"""),45152.0)</f>
        <v>45152</v>
      </c>
      <c r="Q802" s="45">
        <f>IFERROR(__xludf.DUMMYFUNCTION("""COMPUTED_VALUE"""),45111.0)</f>
        <v>45111</v>
      </c>
      <c r="R802" s="45">
        <f>IFERROR(__xludf.DUMMYFUNCTION("""COMPUTED_VALUE"""),45152.0)</f>
        <v>45152</v>
      </c>
      <c r="S802" s="43"/>
      <c r="T802" s="43"/>
      <c r="U802" s="43" t="str">
        <f>IFERROR(__xludf.DUMMYFUNCTION("""COMPUTED_VALUE"""),"Global Classroom")</f>
        <v>Global Classroom</v>
      </c>
      <c r="V802" s="43" t="str">
        <f>IFERROR(__xludf.DUMMYFUNCTION("""COMPUTED_VALUE"""),"KAYSERI")</f>
        <v>KAYSERI</v>
      </c>
      <c r="W802" s="43" t="str">
        <f>IFERROR(__xludf.DUMMYFUNCTION("""COMPUTED_VALUE"""),"2023-06-01T08:46:48Z")</f>
        <v>2023-06-01T08:46:48Z</v>
      </c>
      <c r="X802" s="43"/>
      <c r="Y802" s="43"/>
      <c r="Z802" s="43"/>
    </row>
    <row r="803" hidden="1">
      <c r="A803" s="43" t="str">
        <f>IFERROR(__xludf.DUMMYFUNCTION("""COMPUTED_VALUE"""),"5250879_1291572")</f>
        <v>5250879_1291572</v>
      </c>
      <c r="B803" s="43" t="str">
        <f>IFERROR(__xludf.DUMMYFUNCTION("""COMPUTED_VALUE"""),"Feyza Hanım Yılmaz")</f>
        <v>Feyza Hanım Yılmaz</v>
      </c>
      <c r="C803" s="43" t="str">
        <f>IFERROR(__xludf.DUMMYFUNCTION("""COMPUTED_VALUE"""),"completed")</f>
        <v>completed</v>
      </c>
      <c r="D803" s="43" t="str">
        <f>IFERROR(__xludf.DUMMYFUNCTION("""COMPUTED_VALUE"""),"No")</f>
        <v>No</v>
      </c>
      <c r="E803" s="43" t="str">
        <f>IFERROR(__xludf.DUMMYFUNCTION("""COMPUTED_VALUE"""),"p_d19bc8eb3d5f66be9d0bae2a13d3ece1c33eddf3@inbound.aiesec.org")</f>
        <v>p_d19bc8eb3d5f66be9d0bae2a13d3ece1c33eddf3@inbound.aiesec.org</v>
      </c>
      <c r="F803" s="43"/>
      <c r="G803" s="43" t="str">
        <f>IFERROR(__xludf.DUMMYFUNCTION("""COMPUTED_VALUE"""),"Turkey")</f>
        <v>Turkey</v>
      </c>
      <c r="H803" s="43" t="str">
        <f>IFERROR(__xludf.DUMMYFUNCTION("""COMPUTED_VALUE"""),"ISTANBUL")</f>
        <v>ISTANBUL</v>
      </c>
      <c r="I803" s="43" t="str">
        <f>IFERROR(__xludf.DUMMYFUNCTION("""COMPUTED_VALUE"""),"Romania")</f>
        <v>Romania</v>
      </c>
      <c r="J803" s="43" t="str">
        <f>IFERROR(__xludf.DUMMYFUNCTION("""COMPUTED_VALUE"""),"BUCURESTI")</f>
        <v>BUCURESTI</v>
      </c>
      <c r="K803" s="44" t="str">
        <f>IFERROR(__xludf.DUMMYFUNCTION("""COMPUTED_VALUE"""),"https://expa.aiesec.org/opportunities/1291572")</f>
        <v>https://expa.aiesec.org/opportunities/1291572</v>
      </c>
      <c r="L803" s="43" t="str">
        <f>IFERROR(__xludf.DUMMYFUNCTION("""COMPUTED_VALUE"""),"GV")</f>
        <v>GV</v>
      </c>
      <c r="M803" s="43" t="str">
        <f>IFERROR(__xludf.DUMMYFUNCTION("""COMPUTED_VALUE"""),"short")</f>
        <v>short</v>
      </c>
      <c r="N803" s="45">
        <f>IFERROR(__xludf.DUMMYFUNCTION("""COMPUTED_VALUE"""),45081.0)</f>
        <v>45081</v>
      </c>
      <c r="O803" s="45">
        <f>IFERROR(__xludf.DUMMYFUNCTION("""COMPUTED_VALUE"""),45096.0)</f>
        <v>45096</v>
      </c>
      <c r="P803" s="45">
        <f>IFERROR(__xludf.DUMMYFUNCTION("""COMPUTED_VALUE"""),45138.0)</f>
        <v>45138</v>
      </c>
      <c r="Q803" s="45">
        <f>IFERROR(__xludf.DUMMYFUNCTION("""COMPUTED_VALUE"""),45096.0)</f>
        <v>45096</v>
      </c>
      <c r="R803" s="45">
        <f>IFERROR(__xludf.DUMMYFUNCTION("""COMPUTED_VALUE"""),45138.0)</f>
        <v>45138</v>
      </c>
      <c r="S803" s="43"/>
      <c r="T803" s="43"/>
      <c r="U803" s="43" t="str">
        <f>IFERROR(__xludf.DUMMYFUNCTION("""COMPUTED_VALUE"""),"Green Leaders")</f>
        <v>Green Leaders</v>
      </c>
      <c r="V803" s="43" t="str">
        <f>IFERROR(__xludf.DUMMYFUNCTION("""COMPUTED_VALUE"""),"-")</f>
        <v>-</v>
      </c>
      <c r="W803" s="43" t="str">
        <f>IFERROR(__xludf.DUMMYFUNCTION("""COMPUTED_VALUE"""),"2023-04-27T15:10:39Z")</f>
        <v>2023-04-27T15:10:39Z</v>
      </c>
      <c r="X803" s="43"/>
      <c r="Y803" s="43"/>
      <c r="Z803" s="43"/>
    </row>
    <row r="804" hidden="1">
      <c r="A804" s="43" t="str">
        <f>IFERROR(__xludf.DUMMYFUNCTION("""COMPUTED_VALUE"""),"5264430_1292571")</f>
        <v>5264430_1292571</v>
      </c>
      <c r="B804" s="43" t="str">
        <f>IFERROR(__xludf.DUMMYFUNCTION("""COMPUTED_VALUE"""),"Nilüfer Beyza Köpüklü")</f>
        <v>Nilüfer Beyza Köpüklü</v>
      </c>
      <c r="C804" s="43" t="str">
        <f>IFERROR(__xludf.DUMMYFUNCTION("""COMPUTED_VALUE"""),"finished")</f>
        <v>finished</v>
      </c>
      <c r="D804" s="43" t="str">
        <f>IFERROR(__xludf.DUMMYFUNCTION("""COMPUTED_VALUE"""),"No")</f>
        <v>No</v>
      </c>
      <c r="E804" s="43" t="str">
        <f>IFERROR(__xludf.DUMMYFUNCTION("""COMPUTED_VALUE"""),"p_7c5f53e22cd6a29177f10c8d66ba9ca6ad66d32e@inbound.aiesec.org")</f>
        <v>p_7c5f53e22cd6a29177f10c8d66ba9ca6ad66d32e@inbound.aiesec.org</v>
      </c>
      <c r="F804" s="43"/>
      <c r="G804" s="43" t="str">
        <f>IFERROR(__xludf.DUMMYFUNCTION("""COMPUTED_VALUE"""),"Turkey")</f>
        <v>Turkey</v>
      </c>
      <c r="H804" s="43" t="str">
        <f>IFERROR(__xludf.DUMMYFUNCTION("""COMPUTED_VALUE"""),"ISTANBUL")</f>
        <v>ISTANBUL</v>
      </c>
      <c r="I804" s="43" t="str">
        <f>IFERROR(__xludf.DUMMYFUNCTION("""COMPUTED_VALUE"""),"Lithuania")</f>
        <v>Lithuania</v>
      </c>
      <c r="J804" s="43" t="str">
        <f>IFERROR(__xludf.DUMMYFUNCTION("""COMPUTED_VALUE"""),"VILNIUS")</f>
        <v>VILNIUS</v>
      </c>
      <c r="K804" s="44" t="str">
        <f>IFERROR(__xludf.DUMMYFUNCTION("""COMPUTED_VALUE"""),"https://expa.aiesec.org/opportunities/1292571")</f>
        <v>https://expa.aiesec.org/opportunities/1292571</v>
      </c>
      <c r="L804" s="43" t="str">
        <f>IFERROR(__xludf.DUMMYFUNCTION("""COMPUTED_VALUE"""),"GV")</f>
        <v>GV</v>
      </c>
      <c r="M804" s="43" t="str">
        <f>IFERROR(__xludf.DUMMYFUNCTION("""COMPUTED_VALUE"""),"short")</f>
        <v>short</v>
      </c>
      <c r="N804" s="45">
        <f>IFERROR(__xludf.DUMMYFUNCTION("""COMPUTED_VALUE"""),45081.0)</f>
        <v>45081</v>
      </c>
      <c r="O804" s="45">
        <f>IFERROR(__xludf.DUMMYFUNCTION("""COMPUTED_VALUE"""),45094.0)</f>
        <v>45094</v>
      </c>
      <c r="P804" s="45">
        <f>IFERROR(__xludf.DUMMYFUNCTION("""COMPUTED_VALUE"""),45136.0)</f>
        <v>45136</v>
      </c>
      <c r="Q804" s="45">
        <f>IFERROR(__xludf.DUMMYFUNCTION("""COMPUTED_VALUE"""),45094.0)</f>
        <v>45094</v>
      </c>
      <c r="R804" s="45">
        <f>IFERROR(__xludf.DUMMYFUNCTION("""COMPUTED_VALUE"""),45136.0)</f>
        <v>45136</v>
      </c>
      <c r="S804" s="43"/>
      <c r="T804" s="43"/>
      <c r="U804" s="43" t="str">
        <f>IFERROR(__xludf.DUMMYFUNCTION("""COMPUTED_VALUE"""),"Explorer")</f>
        <v>Explorer</v>
      </c>
      <c r="V804" s="43" t="str">
        <f>IFERROR(__xludf.DUMMYFUNCTION("""COMPUTED_VALUE"""),"-")</f>
        <v>-</v>
      </c>
      <c r="W804" s="43" t="str">
        <f>IFERROR(__xludf.DUMMYFUNCTION("""COMPUTED_VALUE"""),"2023-05-21T11:27:15Z")</f>
        <v>2023-05-21T11:27:15Z</v>
      </c>
      <c r="X804" s="43"/>
      <c r="Y804" s="43"/>
      <c r="Z804" s="43"/>
    </row>
    <row r="805" hidden="1">
      <c r="A805" s="43" t="str">
        <f>IFERROR(__xludf.DUMMYFUNCTION("""COMPUTED_VALUE"""),"5262664_1292384")</f>
        <v>5262664_1292384</v>
      </c>
      <c r="B805" s="43" t="str">
        <f>IFERROR(__xludf.DUMMYFUNCTION("""COMPUTED_VALUE"""),"Zeynep Gokce Kucuk")</f>
        <v>Zeynep Gokce Kucuk</v>
      </c>
      <c r="C805" s="43" t="str">
        <f>IFERROR(__xludf.DUMMYFUNCTION("""COMPUTED_VALUE"""),"completed")</f>
        <v>completed</v>
      </c>
      <c r="D805" s="43" t="str">
        <f>IFERROR(__xludf.DUMMYFUNCTION("""COMPUTED_VALUE"""),"No")</f>
        <v>No</v>
      </c>
      <c r="E805" s="43" t="str">
        <f>IFERROR(__xludf.DUMMYFUNCTION("""COMPUTED_VALUE"""),"p_34d244dc2cc21d193e736ffd2b79e7e0ecb283c9@inbound.aiesec.org")</f>
        <v>p_34d244dc2cc21d193e736ffd2b79e7e0ecb283c9@inbound.aiesec.org</v>
      </c>
      <c r="F805" s="43"/>
      <c r="G805" s="43" t="str">
        <f>IFERROR(__xludf.DUMMYFUNCTION("""COMPUTED_VALUE"""),"Turkey")</f>
        <v>Turkey</v>
      </c>
      <c r="H805" s="43" t="str">
        <f>IFERROR(__xludf.DUMMYFUNCTION("""COMPUTED_VALUE"""),"ANKARA")</f>
        <v>ANKARA</v>
      </c>
      <c r="I805" s="43" t="str">
        <f>IFERROR(__xludf.DUMMYFUNCTION("""COMPUTED_VALUE"""),"Sri Lanka")</f>
        <v>Sri Lanka</v>
      </c>
      <c r="J805" s="43" t="str">
        <f>IFERROR(__xludf.DUMMYFUNCTION("""COMPUTED_VALUE"""),"COLOMBO CENTRAL")</f>
        <v>COLOMBO CENTRAL</v>
      </c>
      <c r="K805" s="44" t="str">
        <f>IFERROR(__xludf.DUMMYFUNCTION("""COMPUTED_VALUE"""),"https://expa.aiesec.org/opportunities/1292384")</f>
        <v>https://expa.aiesec.org/opportunities/1292384</v>
      </c>
      <c r="L805" s="43" t="str">
        <f>IFERROR(__xludf.DUMMYFUNCTION("""COMPUTED_VALUE"""),"GV")</f>
        <v>GV</v>
      </c>
      <c r="M805" s="43" t="str">
        <f>IFERROR(__xludf.DUMMYFUNCTION("""COMPUTED_VALUE"""),"short")</f>
        <v>short</v>
      </c>
      <c r="N805" s="45">
        <f>IFERROR(__xludf.DUMMYFUNCTION("""COMPUTED_VALUE"""),45081.0)</f>
        <v>45081</v>
      </c>
      <c r="O805" s="45">
        <f>IFERROR(__xludf.DUMMYFUNCTION("""COMPUTED_VALUE"""),45124.0)</f>
        <v>45124</v>
      </c>
      <c r="P805" s="45">
        <f>IFERROR(__xludf.DUMMYFUNCTION("""COMPUTED_VALUE"""),45166.0)</f>
        <v>45166</v>
      </c>
      <c r="Q805" s="45">
        <f>IFERROR(__xludf.DUMMYFUNCTION("""COMPUTED_VALUE"""),45123.0)</f>
        <v>45123</v>
      </c>
      <c r="R805" s="45">
        <f>IFERROR(__xludf.DUMMYFUNCTION("""COMPUTED_VALUE"""),45166.0)</f>
        <v>45166</v>
      </c>
      <c r="S805" s="43"/>
      <c r="T805" s="43"/>
      <c r="U805" s="43" t="str">
        <f>IFERROR(__xludf.DUMMYFUNCTION("""COMPUTED_VALUE"""),"Happy Bus")</f>
        <v>Happy Bus</v>
      </c>
      <c r="V805" s="43" t="str">
        <f>IFERROR(__xludf.DUMMYFUNCTION("""COMPUTED_VALUE"""),"-")</f>
        <v>-</v>
      </c>
      <c r="W805" s="43" t="str">
        <f>IFERROR(__xludf.DUMMYFUNCTION("""COMPUTED_VALUE"""),"2023-05-17T22:58:02Z")</f>
        <v>2023-05-17T22:58:02Z</v>
      </c>
      <c r="X805" s="43"/>
      <c r="Y805" s="43"/>
      <c r="Z805" s="43"/>
    </row>
    <row r="806" hidden="1">
      <c r="A806" s="43" t="str">
        <f>IFERROR(__xludf.DUMMYFUNCTION("""COMPUTED_VALUE"""),"5271297_1294263")</f>
        <v>5271297_1294263</v>
      </c>
      <c r="B806" s="43" t="str">
        <f>IFERROR(__xludf.DUMMYFUNCTION("""COMPUTED_VALUE"""),"Aleyna Akdağ")</f>
        <v>Aleyna Akdağ</v>
      </c>
      <c r="C806" s="43" t="str">
        <f>IFERROR(__xludf.DUMMYFUNCTION("""COMPUTED_VALUE"""),"finished")</f>
        <v>finished</v>
      </c>
      <c r="D806" s="43" t="str">
        <f>IFERROR(__xludf.DUMMYFUNCTION("""COMPUTED_VALUE"""),"No")</f>
        <v>No</v>
      </c>
      <c r="E806" s="43" t="str">
        <f>IFERROR(__xludf.DUMMYFUNCTION("""COMPUTED_VALUE"""),"p_ea0fb41e33ea2be19a5665ad9d0098466c4986e5@inbound.aiesec.org")</f>
        <v>p_ea0fb41e33ea2be19a5665ad9d0098466c4986e5@inbound.aiesec.org</v>
      </c>
      <c r="F806" s="43">
        <f>IFERROR(__xludf.DUMMYFUNCTION("""COMPUTED_VALUE"""),5.397325138E9)</f>
        <v>5397325138</v>
      </c>
      <c r="G806" s="43" t="str">
        <f>IFERROR(__xludf.DUMMYFUNCTION("""COMPUTED_VALUE"""),"Turkey")</f>
        <v>Turkey</v>
      </c>
      <c r="H806" s="43" t="str">
        <f>IFERROR(__xludf.DUMMYFUNCTION("""COMPUTED_VALUE"""),"SAKARYA")</f>
        <v>SAKARYA</v>
      </c>
      <c r="I806" s="43" t="str">
        <f>IFERROR(__xludf.DUMMYFUNCTION("""COMPUTED_VALUE"""),"Egypt")</f>
        <v>Egypt</v>
      </c>
      <c r="J806" s="43" t="str">
        <f>IFERROR(__xludf.DUMMYFUNCTION("""COMPUTED_VALUE"""),"Cairo University")</f>
        <v>Cairo University</v>
      </c>
      <c r="K806" s="44" t="str">
        <f>IFERROR(__xludf.DUMMYFUNCTION("""COMPUTED_VALUE"""),"https://expa.aiesec.org/opportunities/1294263")</f>
        <v>https://expa.aiesec.org/opportunities/1294263</v>
      </c>
      <c r="L806" s="43" t="str">
        <f>IFERROR(__xludf.DUMMYFUNCTION("""COMPUTED_VALUE"""),"GV")</f>
        <v>GV</v>
      </c>
      <c r="M806" s="43" t="str">
        <f>IFERROR(__xludf.DUMMYFUNCTION("""COMPUTED_VALUE"""),"short")</f>
        <v>short</v>
      </c>
      <c r="N806" s="45">
        <f>IFERROR(__xludf.DUMMYFUNCTION("""COMPUTED_VALUE"""),45082.0)</f>
        <v>45082</v>
      </c>
      <c r="O806" s="45">
        <f>IFERROR(__xludf.DUMMYFUNCTION("""COMPUTED_VALUE"""),45158.0)</f>
        <v>45158</v>
      </c>
      <c r="P806" s="45">
        <f>IFERROR(__xludf.DUMMYFUNCTION("""COMPUTED_VALUE"""),45203.0)</f>
        <v>45203</v>
      </c>
      <c r="Q806" s="45">
        <f>IFERROR(__xludf.DUMMYFUNCTION("""COMPUTED_VALUE"""),45158.0)</f>
        <v>45158</v>
      </c>
      <c r="R806" s="45">
        <f>IFERROR(__xludf.DUMMYFUNCTION("""COMPUTED_VALUE"""),45203.0)</f>
        <v>45203</v>
      </c>
      <c r="S806" s="43"/>
      <c r="T806" s="43"/>
      <c r="U806" s="43" t="str">
        <f>IFERROR(__xludf.DUMMYFUNCTION("""COMPUTED_VALUE"""),"Rooted")</f>
        <v>Rooted</v>
      </c>
      <c r="V806" s="43" t="str">
        <f>IFERROR(__xludf.DUMMYFUNCTION("""COMPUTED_VALUE"""),"SAKARYA")</f>
        <v>SAKARYA</v>
      </c>
      <c r="W806" s="43" t="str">
        <f>IFERROR(__xludf.DUMMYFUNCTION("""COMPUTED_VALUE"""),"2023-06-04T12:43:58Z")</f>
        <v>2023-06-04T12:43:58Z</v>
      </c>
      <c r="X806" s="43"/>
      <c r="Y806" s="43"/>
      <c r="Z806" s="43"/>
    </row>
    <row r="807" hidden="1">
      <c r="A807" s="43" t="str">
        <f>IFERROR(__xludf.DUMMYFUNCTION("""COMPUTED_VALUE"""),"5271287_1293477")</f>
        <v>5271287_1293477</v>
      </c>
      <c r="B807" s="43" t="str">
        <f>IFERROR(__xludf.DUMMYFUNCTION("""COMPUTED_VALUE"""),"Merve Sude Bayraktepe")</f>
        <v>Merve Sude Bayraktepe</v>
      </c>
      <c r="C807" s="43" t="str">
        <f>IFERROR(__xludf.DUMMYFUNCTION("""COMPUTED_VALUE"""),"finished")</f>
        <v>finished</v>
      </c>
      <c r="D807" s="43" t="str">
        <f>IFERROR(__xludf.DUMMYFUNCTION("""COMPUTED_VALUE"""),"No")</f>
        <v>No</v>
      </c>
      <c r="E807" s="43" t="str">
        <f>IFERROR(__xludf.DUMMYFUNCTION("""COMPUTED_VALUE"""),"p_3c3338ba113c832251cfecd2248b4a9b516a28f1@inbound.aiesec.org")</f>
        <v>p_3c3338ba113c832251cfecd2248b4a9b516a28f1@inbound.aiesec.org</v>
      </c>
      <c r="F807" s="43">
        <f>IFERROR(__xludf.DUMMYFUNCTION("""COMPUTED_VALUE"""),5.15984289E8)</f>
        <v>515984289</v>
      </c>
      <c r="G807" s="43" t="str">
        <f>IFERROR(__xludf.DUMMYFUNCTION("""COMPUTED_VALUE"""),"Turkey")</f>
        <v>Turkey</v>
      </c>
      <c r="H807" s="43" t="str">
        <f>IFERROR(__xludf.DUMMYFUNCTION("""COMPUTED_VALUE"""),"ISTANBUL")</f>
        <v>ISTANBUL</v>
      </c>
      <c r="I807" s="43" t="str">
        <f>IFERROR(__xludf.DUMMYFUNCTION("""COMPUTED_VALUE"""),"Egypt")</f>
        <v>Egypt</v>
      </c>
      <c r="J807" s="43" t="str">
        <f>IFERROR(__xludf.DUMMYFUNCTION("""COMPUTED_VALUE"""),"GUC")</f>
        <v>GUC</v>
      </c>
      <c r="K807" s="44" t="str">
        <f>IFERROR(__xludf.DUMMYFUNCTION("""COMPUTED_VALUE"""),"https://expa.aiesec.org/opportunities/1293477")</f>
        <v>https://expa.aiesec.org/opportunities/1293477</v>
      </c>
      <c r="L807" s="43" t="str">
        <f>IFERROR(__xludf.DUMMYFUNCTION("""COMPUTED_VALUE"""),"GV")</f>
        <v>GV</v>
      </c>
      <c r="M807" s="43" t="str">
        <f>IFERROR(__xludf.DUMMYFUNCTION("""COMPUTED_VALUE"""),"short")</f>
        <v>short</v>
      </c>
      <c r="N807" s="45">
        <f>IFERROR(__xludf.DUMMYFUNCTION("""COMPUTED_VALUE"""),45082.0)</f>
        <v>45082</v>
      </c>
      <c r="O807" s="45">
        <f>IFERROR(__xludf.DUMMYFUNCTION("""COMPUTED_VALUE"""),45116.0)</f>
        <v>45116</v>
      </c>
      <c r="P807" s="45">
        <f>IFERROR(__xludf.DUMMYFUNCTION("""COMPUTED_VALUE"""),45158.0)</f>
        <v>45158</v>
      </c>
      <c r="Q807" s="45">
        <f>IFERROR(__xludf.DUMMYFUNCTION("""COMPUTED_VALUE"""),45118.0)</f>
        <v>45118</v>
      </c>
      <c r="R807" s="45">
        <f>IFERROR(__xludf.DUMMYFUNCTION("""COMPUTED_VALUE"""),45158.0)</f>
        <v>45158</v>
      </c>
      <c r="S807" s="43"/>
      <c r="T807" s="43"/>
      <c r="U807" s="43" t="str">
        <f>IFERROR(__xludf.DUMMYFUNCTION("""COMPUTED_VALUE"""),"Raise Your Voice")</f>
        <v>Raise Your Voice</v>
      </c>
      <c r="V807" s="43" t="str">
        <f>IFERROR(__xludf.DUMMYFUNCTION("""COMPUTED_VALUE"""),"ISTANBUL - BEYOGLU")</f>
        <v>ISTANBUL - BEYOGLU</v>
      </c>
      <c r="W807" s="43" t="str">
        <f>IFERROR(__xludf.DUMMYFUNCTION("""COMPUTED_VALUE"""),"2023-06-04T12:15:13Z")</f>
        <v>2023-06-04T12:15:13Z</v>
      </c>
      <c r="X807" s="43"/>
      <c r="Y807" s="43"/>
      <c r="Z807" s="43"/>
    </row>
    <row r="808" hidden="1">
      <c r="A808" s="43" t="str">
        <f>IFERROR(__xludf.DUMMYFUNCTION("""COMPUTED_VALUE"""),"5246419_1295628")</f>
        <v>5246419_1295628</v>
      </c>
      <c r="B808" s="43" t="str">
        <f>IFERROR(__xludf.DUMMYFUNCTION("""COMPUTED_VALUE"""),"Merve Nur Erol")</f>
        <v>Merve Nur Erol</v>
      </c>
      <c r="C808" s="43" t="str">
        <f>IFERROR(__xludf.DUMMYFUNCTION("""COMPUTED_VALUE"""),"completed")</f>
        <v>completed</v>
      </c>
      <c r="D808" s="43" t="str">
        <f>IFERROR(__xludf.DUMMYFUNCTION("""COMPUTED_VALUE"""),"No")</f>
        <v>No</v>
      </c>
      <c r="E808" s="43" t="str">
        <f>IFERROR(__xludf.DUMMYFUNCTION("""COMPUTED_VALUE"""),"p_1e29562b61cb919dd6b171171e937a052b6f2cd4@inbound.aiesec.org")</f>
        <v>p_1e29562b61cb919dd6b171171e937a052b6f2cd4@inbound.aiesec.org</v>
      </c>
      <c r="F808" s="43"/>
      <c r="G808" s="43" t="str">
        <f>IFERROR(__xludf.DUMMYFUNCTION("""COMPUTED_VALUE"""),"Turkey")</f>
        <v>Turkey</v>
      </c>
      <c r="H808" s="43" t="str">
        <f>IFERROR(__xludf.DUMMYFUNCTION("""COMPUTED_VALUE"""),"ANKARA")</f>
        <v>ANKARA</v>
      </c>
      <c r="I808" s="43" t="str">
        <f>IFERROR(__xludf.DUMMYFUNCTION("""COMPUTED_VALUE"""),"Sri Lanka")</f>
        <v>Sri Lanka</v>
      </c>
      <c r="J808" s="43" t="str">
        <f>IFERROR(__xludf.DUMMYFUNCTION("""COMPUTED_VALUE"""),"COLOMBO CENTRAL")</f>
        <v>COLOMBO CENTRAL</v>
      </c>
      <c r="K808" s="44" t="str">
        <f>IFERROR(__xludf.DUMMYFUNCTION("""COMPUTED_VALUE"""),"https://expa.aiesec.org/opportunities/1295628")</f>
        <v>https://expa.aiesec.org/opportunities/1295628</v>
      </c>
      <c r="L808" s="43" t="str">
        <f>IFERROR(__xludf.DUMMYFUNCTION("""COMPUTED_VALUE"""),"GV")</f>
        <v>GV</v>
      </c>
      <c r="M808" s="43" t="str">
        <f>IFERROR(__xludf.DUMMYFUNCTION("""COMPUTED_VALUE"""),"short")</f>
        <v>short</v>
      </c>
      <c r="N808" s="45">
        <f>IFERROR(__xludf.DUMMYFUNCTION("""COMPUTED_VALUE"""),45082.0)</f>
        <v>45082</v>
      </c>
      <c r="O808" s="45">
        <f>IFERROR(__xludf.DUMMYFUNCTION("""COMPUTED_VALUE"""),45124.0)</f>
        <v>45124</v>
      </c>
      <c r="P808" s="45">
        <f>IFERROR(__xludf.DUMMYFUNCTION("""COMPUTED_VALUE"""),45166.0)</f>
        <v>45166</v>
      </c>
      <c r="Q808" s="45">
        <f>IFERROR(__xludf.DUMMYFUNCTION("""COMPUTED_VALUE"""),45123.0)</f>
        <v>45123</v>
      </c>
      <c r="R808" s="45">
        <f>IFERROR(__xludf.DUMMYFUNCTION("""COMPUTED_VALUE"""),45166.0)</f>
        <v>45166</v>
      </c>
      <c r="S808" s="43"/>
      <c r="T808" s="43"/>
      <c r="U808" s="43" t="str">
        <f>IFERROR(__xludf.DUMMYFUNCTION("""COMPUTED_VALUE"""),"Rooted")</f>
        <v>Rooted</v>
      </c>
      <c r="V808" s="43" t="str">
        <f>IFERROR(__xludf.DUMMYFUNCTION("""COMPUTED_VALUE"""),"-")</f>
        <v>-</v>
      </c>
      <c r="W808" s="43" t="str">
        <f>IFERROR(__xludf.DUMMYFUNCTION("""COMPUTED_VALUE"""),"2023-04-20T18:22:39Z")</f>
        <v>2023-04-20T18:22:39Z</v>
      </c>
      <c r="X808" s="43"/>
      <c r="Y808" s="43"/>
      <c r="Z808" s="43"/>
    </row>
    <row r="809" hidden="1">
      <c r="A809" s="43" t="str">
        <f>IFERROR(__xludf.DUMMYFUNCTION("""COMPUTED_VALUE"""),"5241581_1294232")</f>
        <v>5241581_1294232</v>
      </c>
      <c r="B809" s="43" t="str">
        <f>IFERROR(__xludf.DUMMYFUNCTION("""COMPUTED_VALUE"""),"abdullah ağaç")</f>
        <v>abdullah ağaç</v>
      </c>
      <c r="C809" s="43" t="str">
        <f>IFERROR(__xludf.DUMMYFUNCTION("""COMPUTED_VALUE"""),"completed")</f>
        <v>completed</v>
      </c>
      <c r="D809" s="43" t="str">
        <f>IFERROR(__xludf.DUMMYFUNCTION("""COMPUTED_VALUE"""),"No")</f>
        <v>No</v>
      </c>
      <c r="E809" s="43" t="str">
        <f>IFERROR(__xludf.DUMMYFUNCTION("""COMPUTED_VALUE"""),"p_fc01ff242f9edcbfac6130769b3b26aad1c15189@inbound.aiesec.org")</f>
        <v>p_fc01ff242f9edcbfac6130769b3b26aad1c15189@inbound.aiesec.org</v>
      </c>
      <c r="F809" s="43"/>
      <c r="G809" s="43" t="str">
        <f>IFERROR(__xludf.DUMMYFUNCTION("""COMPUTED_VALUE"""),"Turkey")</f>
        <v>Turkey</v>
      </c>
      <c r="H809" s="43" t="str">
        <f>IFERROR(__xludf.DUMMYFUNCTION("""COMPUTED_VALUE"""),"ISTANBUL ASIA")</f>
        <v>ISTANBUL ASIA</v>
      </c>
      <c r="I809" s="43" t="str">
        <f>IFERROR(__xludf.DUMMYFUNCTION("""COMPUTED_VALUE"""),"Egypt")</f>
        <v>Egypt</v>
      </c>
      <c r="J809" s="43" t="str">
        <f>IFERROR(__xludf.DUMMYFUNCTION("""COMPUTED_VALUE"""),"Suez")</f>
        <v>Suez</v>
      </c>
      <c r="K809" s="44" t="str">
        <f>IFERROR(__xludf.DUMMYFUNCTION("""COMPUTED_VALUE"""),"https://expa.aiesec.org/opportunities/1294232")</f>
        <v>https://expa.aiesec.org/opportunities/1294232</v>
      </c>
      <c r="L809" s="43" t="str">
        <f>IFERROR(__xludf.DUMMYFUNCTION("""COMPUTED_VALUE"""),"GV")</f>
        <v>GV</v>
      </c>
      <c r="M809" s="43" t="str">
        <f>IFERROR(__xludf.DUMMYFUNCTION("""COMPUTED_VALUE"""),"short")</f>
        <v>short</v>
      </c>
      <c r="N809" s="45">
        <f>IFERROR(__xludf.DUMMYFUNCTION("""COMPUTED_VALUE"""),45082.0)</f>
        <v>45082</v>
      </c>
      <c r="O809" s="45">
        <f>IFERROR(__xludf.DUMMYFUNCTION("""COMPUTED_VALUE"""),45121.0)</f>
        <v>45121</v>
      </c>
      <c r="P809" s="45">
        <f>IFERROR(__xludf.DUMMYFUNCTION("""COMPUTED_VALUE"""),45163.0)</f>
        <v>45163</v>
      </c>
      <c r="Q809" s="45">
        <f>IFERROR(__xludf.DUMMYFUNCTION("""COMPUTED_VALUE"""),45122.0)</f>
        <v>45122</v>
      </c>
      <c r="R809" s="45">
        <f>IFERROR(__xludf.DUMMYFUNCTION("""COMPUTED_VALUE"""),45163.0)</f>
        <v>45163</v>
      </c>
      <c r="S809" s="43"/>
      <c r="T809" s="43"/>
      <c r="U809" s="43" t="str">
        <f>IFERROR(__xludf.DUMMYFUNCTION("""COMPUTED_VALUE"""),"On The Map")</f>
        <v>On The Map</v>
      </c>
      <c r="V809" s="43" t="str">
        <f>IFERROR(__xludf.DUMMYFUNCTION("""COMPUTED_VALUE"""),"-")</f>
        <v>-</v>
      </c>
      <c r="W809" s="43" t="str">
        <f>IFERROR(__xludf.DUMMYFUNCTION("""COMPUTED_VALUE"""),"2023-04-13T21:51:00Z")</f>
        <v>2023-04-13T21:51:00Z</v>
      </c>
      <c r="X809" s="43"/>
      <c r="Y809" s="43"/>
      <c r="Z809" s="43"/>
    </row>
    <row r="810" hidden="1">
      <c r="A810" s="43" t="str">
        <f>IFERROR(__xludf.DUMMYFUNCTION("""COMPUTED_VALUE"""),"3924567_1295075")</f>
        <v>3924567_1295075</v>
      </c>
      <c r="B810" s="43" t="str">
        <f>IFERROR(__xludf.DUMMYFUNCTION("""COMPUTED_VALUE"""),"Zeynep Avci")</f>
        <v>Zeynep Avci</v>
      </c>
      <c r="C810" s="43" t="str">
        <f>IFERROR(__xludf.DUMMYFUNCTION("""COMPUTED_VALUE"""),"completed")</f>
        <v>completed</v>
      </c>
      <c r="D810" s="43" t="str">
        <f>IFERROR(__xludf.DUMMYFUNCTION("""COMPUTED_VALUE"""),"No")</f>
        <v>No</v>
      </c>
      <c r="E810" s="43" t="str">
        <f>IFERROR(__xludf.DUMMYFUNCTION("""COMPUTED_VALUE"""),"p_429524b88e1cd1913fb0d4a7220a5a61da6f803a@inbound.aiesec.org")</f>
        <v>p_429524b88e1cd1913fb0d4a7220a5a61da6f803a@inbound.aiesec.org</v>
      </c>
      <c r="F810" s="43">
        <f>IFERROR(__xludf.DUMMYFUNCTION("""COMPUTED_VALUE"""),5.432864331E9)</f>
        <v>5432864331</v>
      </c>
      <c r="G810" s="43" t="str">
        <f>IFERROR(__xludf.DUMMYFUNCTION("""COMPUTED_VALUE"""),"Turkey")</f>
        <v>Turkey</v>
      </c>
      <c r="H810" s="43" t="str">
        <f>IFERROR(__xludf.DUMMYFUNCTION("""COMPUTED_VALUE"""),"ISTANBUL ASIA")</f>
        <v>ISTANBUL ASIA</v>
      </c>
      <c r="I810" s="43" t="str">
        <f>IFERROR(__xludf.DUMMYFUNCTION("""COMPUTED_VALUE"""),"Romania")</f>
        <v>Romania</v>
      </c>
      <c r="J810" s="43" t="str">
        <f>IFERROR(__xludf.DUMMYFUNCTION("""COMPUTED_VALUE"""),"Cluj-Napoca")</f>
        <v>Cluj-Napoca</v>
      </c>
      <c r="K810" s="44" t="str">
        <f>IFERROR(__xludf.DUMMYFUNCTION("""COMPUTED_VALUE"""),"https://expa.aiesec.org/opportunities/1295075")</f>
        <v>https://expa.aiesec.org/opportunities/1295075</v>
      </c>
      <c r="L810" s="43" t="str">
        <f>IFERROR(__xludf.DUMMYFUNCTION("""COMPUTED_VALUE"""),"GV")</f>
        <v>GV</v>
      </c>
      <c r="M810" s="43" t="str">
        <f>IFERROR(__xludf.DUMMYFUNCTION("""COMPUTED_VALUE"""),"short")</f>
        <v>short</v>
      </c>
      <c r="N810" s="45">
        <f>IFERROR(__xludf.DUMMYFUNCTION("""COMPUTED_VALUE"""),45082.0)</f>
        <v>45082</v>
      </c>
      <c r="O810" s="45">
        <f>IFERROR(__xludf.DUMMYFUNCTION("""COMPUTED_VALUE"""),45103.0)</f>
        <v>45103</v>
      </c>
      <c r="P810" s="45">
        <f>IFERROR(__xludf.DUMMYFUNCTION("""COMPUTED_VALUE"""),45145.0)</f>
        <v>45145</v>
      </c>
      <c r="Q810" s="45">
        <f>IFERROR(__xludf.DUMMYFUNCTION("""COMPUTED_VALUE"""),45103.0)</f>
        <v>45103</v>
      </c>
      <c r="R810" s="45">
        <f>IFERROR(__xludf.DUMMYFUNCTION("""COMPUTED_VALUE"""),45145.0)</f>
        <v>45145</v>
      </c>
      <c r="S810" s="43"/>
      <c r="T810" s="43"/>
      <c r="U810" s="43" t="str">
        <f>IFERROR(__xludf.DUMMYFUNCTION("""COMPUTED_VALUE"""),"Youth 4 Impact")</f>
        <v>Youth 4 Impact</v>
      </c>
      <c r="V810" s="43" t="str">
        <f>IFERROR(__xludf.DUMMYFUNCTION("""COMPUTED_VALUE"""),"ISTANBUL ASIA")</f>
        <v>ISTANBUL ASIA</v>
      </c>
      <c r="W810" s="43" t="str">
        <f>IFERROR(__xludf.DUMMYFUNCTION("""COMPUTED_VALUE"""),"2019-10-25T09:36:47Z")</f>
        <v>2019-10-25T09:36:47Z</v>
      </c>
      <c r="X810" s="43"/>
      <c r="Y810" s="43"/>
      <c r="Z810" s="43"/>
    </row>
    <row r="811" hidden="1">
      <c r="A811" s="43" t="str">
        <f>IFERROR(__xludf.DUMMYFUNCTION("""COMPUTED_VALUE"""),"5269696_1290560")</f>
        <v>5269696_1290560</v>
      </c>
      <c r="B811" s="43" t="str">
        <f>IFERROR(__xludf.DUMMYFUNCTION("""COMPUTED_VALUE"""),"Zeynep Duru Bakır")</f>
        <v>Zeynep Duru Bakır</v>
      </c>
      <c r="C811" s="43" t="str">
        <f>IFERROR(__xludf.DUMMYFUNCTION("""COMPUTED_VALUE"""),"completed")</f>
        <v>completed</v>
      </c>
      <c r="D811" s="43" t="str">
        <f>IFERROR(__xludf.DUMMYFUNCTION("""COMPUTED_VALUE"""),"No")</f>
        <v>No</v>
      </c>
      <c r="E811" s="43" t="str">
        <f>IFERROR(__xludf.DUMMYFUNCTION("""COMPUTED_VALUE"""),"p_c8224edb1b2daf1712964cd1779735c40cad22fa@inbound.aiesec.org")</f>
        <v>p_c8224edb1b2daf1712964cd1779735c40cad22fa@inbound.aiesec.org</v>
      </c>
      <c r="F811" s="43">
        <f>IFERROR(__xludf.DUMMYFUNCTION("""COMPUTED_VALUE"""),5.078802793E9)</f>
        <v>5078802793</v>
      </c>
      <c r="G811" s="43" t="str">
        <f>IFERROR(__xludf.DUMMYFUNCTION("""COMPUTED_VALUE"""),"Turkey")</f>
        <v>Turkey</v>
      </c>
      <c r="H811" s="43" t="str">
        <f>IFERROR(__xludf.DUMMYFUNCTION("""COMPUTED_VALUE"""),"İZMİR")</f>
        <v>İZMİR</v>
      </c>
      <c r="I811" s="43" t="str">
        <f>IFERROR(__xludf.DUMMYFUNCTION("""COMPUTED_VALUE"""),"Romania")</f>
        <v>Romania</v>
      </c>
      <c r="J811" s="43" t="str">
        <f>IFERROR(__xludf.DUMMYFUNCTION("""COMPUTED_VALUE"""),"BUCURESTI")</f>
        <v>BUCURESTI</v>
      </c>
      <c r="K811" s="44" t="str">
        <f>IFERROR(__xludf.DUMMYFUNCTION("""COMPUTED_VALUE"""),"https://expa.aiesec.org/opportunities/1290560")</f>
        <v>https://expa.aiesec.org/opportunities/1290560</v>
      </c>
      <c r="L811" s="43" t="str">
        <f>IFERROR(__xludf.DUMMYFUNCTION("""COMPUTED_VALUE"""),"GV")</f>
        <v>GV</v>
      </c>
      <c r="M811" s="43" t="str">
        <f>IFERROR(__xludf.DUMMYFUNCTION("""COMPUTED_VALUE"""),"short")</f>
        <v>short</v>
      </c>
      <c r="N811" s="45">
        <f>IFERROR(__xludf.DUMMYFUNCTION("""COMPUTED_VALUE"""),45082.0)</f>
        <v>45082</v>
      </c>
      <c r="O811" s="45">
        <f>IFERROR(__xludf.DUMMYFUNCTION("""COMPUTED_VALUE"""),45096.0)</f>
        <v>45096</v>
      </c>
      <c r="P811" s="45">
        <f>IFERROR(__xludf.DUMMYFUNCTION("""COMPUTED_VALUE"""),45138.0)</f>
        <v>45138</v>
      </c>
      <c r="Q811" s="45">
        <f>IFERROR(__xludf.DUMMYFUNCTION("""COMPUTED_VALUE"""),45096.0)</f>
        <v>45096</v>
      </c>
      <c r="R811" s="45">
        <f>IFERROR(__xludf.DUMMYFUNCTION("""COMPUTED_VALUE"""),45138.0)</f>
        <v>45138</v>
      </c>
      <c r="S811" s="43"/>
      <c r="T811" s="43"/>
      <c r="U811" s="43" t="str">
        <f>IFERROR(__xludf.DUMMYFUNCTION("""COMPUTED_VALUE"""),"Fingerprint")</f>
        <v>Fingerprint</v>
      </c>
      <c r="V811" s="43" t="str">
        <f>IFERROR(__xludf.DUMMYFUNCTION("""COMPUTED_VALUE"""),"IZMIR")</f>
        <v>IZMIR</v>
      </c>
      <c r="W811" s="43" t="str">
        <f>IFERROR(__xludf.DUMMYFUNCTION("""COMPUTED_VALUE"""),"2023-05-31T15:11:24Z")</f>
        <v>2023-05-31T15:11:24Z</v>
      </c>
      <c r="X811" s="43"/>
      <c r="Y811" s="43"/>
      <c r="Z811" s="43"/>
    </row>
    <row r="812" hidden="1">
      <c r="A812" s="43" t="str">
        <f>IFERROR(__xludf.DUMMYFUNCTION("""COMPUTED_VALUE"""),"5269685_1294203")</f>
        <v>5269685_1294203</v>
      </c>
      <c r="B812" s="43" t="str">
        <f>IFERROR(__xludf.DUMMYFUNCTION("""COMPUTED_VALUE"""),"Emirhan Çamlıca")</f>
        <v>Emirhan Çamlıca</v>
      </c>
      <c r="C812" s="43" t="str">
        <f>IFERROR(__xludf.DUMMYFUNCTION("""COMPUTED_VALUE"""),"completed")</f>
        <v>completed</v>
      </c>
      <c r="D812" s="43" t="str">
        <f>IFERROR(__xludf.DUMMYFUNCTION("""COMPUTED_VALUE"""),"No")</f>
        <v>No</v>
      </c>
      <c r="E812" s="43" t="str">
        <f>IFERROR(__xludf.DUMMYFUNCTION("""COMPUTED_VALUE"""),"p_c4e6c94cddf20202ced44d77d9767fbaeb025772@inbound.aiesec.org")</f>
        <v>p_c4e6c94cddf20202ced44d77d9767fbaeb025772@inbound.aiesec.org</v>
      </c>
      <c r="F812" s="43">
        <f>IFERROR(__xludf.DUMMYFUNCTION("""COMPUTED_VALUE"""),5.076664807E9)</f>
        <v>5076664807</v>
      </c>
      <c r="G812" s="43" t="str">
        <f>IFERROR(__xludf.DUMMYFUNCTION("""COMPUTED_VALUE"""),"Turkey")</f>
        <v>Turkey</v>
      </c>
      <c r="H812" s="43" t="str">
        <f>IFERROR(__xludf.DUMMYFUNCTION("""COMPUTED_VALUE"""),"İZMİR")</f>
        <v>İZMİR</v>
      </c>
      <c r="I812" s="43" t="str">
        <f>IFERROR(__xludf.DUMMYFUNCTION("""COMPUTED_VALUE"""),"Romania")</f>
        <v>Romania</v>
      </c>
      <c r="J812" s="43" t="str">
        <f>IFERROR(__xludf.DUMMYFUNCTION("""COMPUTED_VALUE"""),"BUCURESTI")</f>
        <v>BUCURESTI</v>
      </c>
      <c r="K812" s="44" t="str">
        <f>IFERROR(__xludf.DUMMYFUNCTION("""COMPUTED_VALUE"""),"https://expa.aiesec.org/opportunities/1294203")</f>
        <v>https://expa.aiesec.org/opportunities/1294203</v>
      </c>
      <c r="L812" s="43" t="str">
        <f>IFERROR(__xludf.DUMMYFUNCTION("""COMPUTED_VALUE"""),"GV")</f>
        <v>GV</v>
      </c>
      <c r="M812" s="43" t="str">
        <f>IFERROR(__xludf.DUMMYFUNCTION("""COMPUTED_VALUE"""),"short")</f>
        <v>short</v>
      </c>
      <c r="N812" s="45">
        <f>IFERROR(__xludf.DUMMYFUNCTION("""COMPUTED_VALUE"""),45082.0)</f>
        <v>45082</v>
      </c>
      <c r="O812" s="45">
        <f>IFERROR(__xludf.DUMMYFUNCTION("""COMPUTED_VALUE"""),45096.0)</f>
        <v>45096</v>
      </c>
      <c r="P812" s="45">
        <f>IFERROR(__xludf.DUMMYFUNCTION("""COMPUTED_VALUE"""),45138.0)</f>
        <v>45138</v>
      </c>
      <c r="Q812" s="45">
        <f>IFERROR(__xludf.DUMMYFUNCTION("""COMPUTED_VALUE"""),45096.0)</f>
        <v>45096</v>
      </c>
      <c r="R812" s="45">
        <f>IFERROR(__xludf.DUMMYFUNCTION("""COMPUTED_VALUE"""),45138.0)</f>
        <v>45138</v>
      </c>
      <c r="S812" s="43"/>
      <c r="T812" s="43"/>
      <c r="U812" s="43" t="str">
        <f>IFERROR(__xludf.DUMMYFUNCTION("""COMPUTED_VALUE"""),"Fingerprint")</f>
        <v>Fingerprint</v>
      </c>
      <c r="V812" s="43" t="str">
        <f>IFERROR(__xludf.DUMMYFUNCTION("""COMPUTED_VALUE"""),"IZMIR")</f>
        <v>IZMIR</v>
      </c>
      <c r="W812" s="43" t="str">
        <f>IFERROR(__xludf.DUMMYFUNCTION("""COMPUTED_VALUE"""),"2023-05-31T15:04:57Z")</f>
        <v>2023-05-31T15:04:57Z</v>
      </c>
      <c r="X812" s="43"/>
      <c r="Y812" s="43"/>
      <c r="Z812" s="43"/>
    </row>
    <row r="813" hidden="1">
      <c r="A813" s="43" t="str">
        <f>IFERROR(__xludf.DUMMYFUNCTION("""COMPUTED_VALUE"""),"4672298_1295010")</f>
        <v>4672298_1295010</v>
      </c>
      <c r="B813" s="43" t="str">
        <f>IFERROR(__xludf.DUMMYFUNCTION("""COMPUTED_VALUE"""),"sedanur kömürcü")</f>
        <v>sedanur kömürcü</v>
      </c>
      <c r="C813" s="43" t="str">
        <f>IFERROR(__xludf.DUMMYFUNCTION("""COMPUTED_VALUE"""),"approved")</f>
        <v>approved</v>
      </c>
      <c r="D813" s="43" t="str">
        <f>IFERROR(__xludf.DUMMYFUNCTION("""COMPUTED_VALUE"""),"No")</f>
        <v>No</v>
      </c>
      <c r="E813" s="43" t="str">
        <f>IFERROR(__xludf.DUMMYFUNCTION("""COMPUTED_VALUE"""),"p_1e682b86eebaaca9ef15be6387ac95cdd6c6cb4f@inbound.aiesec.org")</f>
        <v>p_1e682b86eebaaca9ef15be6387ac95cdd6c6cb4f@inbound.aiesec.org</v>
      </c>
      <c r="F813" s="43">
        <f>IFERROR(__xludf.DUMMYFUNCTION("""COMPUTED_VALUE"""),5.436389248E9)</f>
        <v>5436389248</v>
      </c>
      <c r="G813" s="43" t="str">
        <f>IFERROR(__xludf.DUMMYFUNCTION("""COMPUTED_VALUE"""),"Turkey")</f>
        <v>Turkey</v>
      </c>
      <c r="H813" s="43" t="str">
        <f>IFERROR(__xludf.DUMMYFUNCTION("""COMPUTED_VALUE"""),"İZMİR")</f>
        <v>İZMİR</v>
      </c>
      <c r="I813" s="43" t="str">
        <f>IFERROR(__xludf.DUMMYFUNCTION("""COMPUTED_VALUE"""),"Romania")</f>
        <v>Romania</v>
      </c>
      <c r="J813" s="43" t="str">
        <f>IFERROR(__xludf.DUMMYFUNCTION("""COMPUTED_VALUE"""),"BUCURESTI")</f>
        <v>BUCURESTI</v>
      </c>
      <c r="K813" s="44" t="str">
        <f>IFERROR(__xludf.DUMMYFUNCTION("""COMPUTED_VALUE"""),"https://expa.aiesec.org/opportunities/1295010")</f>
        <v>https://expa.aiesec.org/opportunities/1295010</v>
      </c>
      <c r="L813" s="43" t="str">
        <f>IFERROR(__xludf.DUMMYFUNCTION("""COMPUTED_VALUE"""),"GV")</f>
        <v>GV</v>
      </c>
      <c r="M813" s="43" t="str">
        <f>IFERROR(__xludf.DUMMYFUNCTION("""COMPUTED_VALUE"""),"short")</f>
        <v>short</v>
      </c>
      <c r="N813" s="45">
        <f>IFERROR(__xludf.DUMMYFUNCTION("""COMPUTED_VALUE"""),45082.0)</f>
        <v>45082</v>
      </c>
      <c r="O813" s="45">
        <f>IFERROR(__xludf.DUMMYFUNCTION("""COMPUTED_VALUE"""),45110.0)</f>
        <v>45110</v>
      </c>
      <c r="P813" s="45">
        <f>IFERROR(__xludf.DUMMYFUNCTION("""COMPUTED_VALUE"""),45152.0)</f>
        <v>45152</v>
      </c>
      <c r="Q813" s="45"/>
      <c r="R813" s="45"/>
      <c r="S813" s="43"/>
      <c r="T813" s="43"/>
      <c r="U813" s="43" t="str">
        <f>IFERROR(__xludf.DUMMYFUNCTION("""COMPUTED_VALUE"""),"Fingerprint")</f>
        <v>Fingerprint</v>
      </c>
      <c r="V813" s="43" t="str">
        <f>IFERROR(__xludf.DUMMYFUNCTION("""COMPUTED_VALUE"""),"IZMIR")</f>
        <v>IZMIR</v>
      </c>
      <c r="W813" s="43" t="str">
        <f>IFERROR(__xludf.DUMMYFUNCTION("""COMPUTED_VALUE"""),"2021-06-20T09:15:33Z")</f>
        <v>2021-06-20T09:15:33Z</v>
      </c>
      <c r="X813" s="43"/>
      <c r="Y813" s="43"/>
      <c r="Z813" s="43"/>
    </row>
    <row r="814" hidden="1">
      <c r="A814" s="43" t="str">
        <f>IFERROR(__xludf.DUMMYFUNCTION("""COMPUTED_VALUE"""),"5266183_1294997")</f>
        <v>5266183_1294997</v>
      </c>
      <c r="B814" s="43" t="str">
        <f>IFERROR(__xludf.DUMMYFUNCTION("""COMPUTED_VALUE"""),"Fırat Şanal")</f>
        <v>Fırat Şanal</v>
      </c>
      <c r="C814" s="43" t="str">
        <f>IFERROR(__xludf.DUMMYFUNCTION("""COMPUTED_VALUE"""),"completed")</f>
        <v>completed</v>
      </c>
      <c r="D814" s="43" t="str">
        <f>IFERROR(__xludf.DUMMYFUNCTION("""COMPUTED_VALUE"""),"No")</f>
        <v>No</v>
      </c>
      <c r="E814" s="43" t="str">
        <f>IFERROR(__xludf.DUMMYFUNCTION("""COMPUTED_VALUE"""),"p_1c1a9721d7188fc409b269a5f2b11535fbb1877f@inbound.aiesec.org")</f>
        <v>p_1c1a9721d7188fc409b269a5f2b11535fbb1877f@inbound.aiesec.org</v>
      </c>
      <c r="F814" s="43"/>
      <c r="G814" s="43" t="str">
        <f>IFERROR(__xludf.DUMMYFUNCTION("""COMPUTED_VALUE"""),"Turkey")</f>
        <v>Turkey</v>
      </c>
      <c r="H814" s="43" t="str">
        <f>IFERROR(__xludf.DUMMYFUNCTION("""COMPUTED_VALUE"""),"ISTANBUL WEST")</f>
        <v>ISTANBUL WEST</v>
      </c>
      <c r="I814" s="43" t="str">
        <f>IFERROR(__xludf.DUMMYFUNCTION("""COMPUTED_VALUE"""),"Serbia")</f>
        <v>Serbia</v>
      </c>
      <c r="J814" s="43" t="str">
        <f>IFERROR(__xludf.DUMMYFUNCTION("""COMPUTED_VALUE"""),"Belgrade Faculty of Economics (EF)")</f>
        <v>Belgrade Faculty of Economics (EF)</v>
      </c>
      <c r="K814" s="44" t="str">
        <f>IFERROR(__xludf.DUMMYFUNCTION("""COMPUTED_VALUE"""),"https://expa.aiesec.org/opportunities/1294997")</f>
        <v>https://expa.aiesec.org/opportunities/1294997</v>
      </c>
      <c r="L814" s="43" t="str">
        <f>IFERROR(__xludf.DUMMYFUNCTION("""COMPUTED_VALUE"""),"GV")</f>
        <v>GV</v>
      </c>
      <c r="M814" s="43" t="str">
        <f>IFERROR(__xludf.DUMMYFUNCTION("""COMPUTED_VALUE"""),"short")</f>
        <v>short</v>
      </c>
      <c r="N814" s="45">
        <f>IFERROR(__xludf.DUMMYFUNCTION("""COMPUTED_VALUE"""),45082.0)</f>
        <v>45082</v>
      </c>
      <c r="O814" s="45">
        <f>IFERROR(__xludf.DUMMYFUNCTION("""COMPUTED_VALUE"""),45091.0)</f>
        <v>45091</v>
      </c>
      <c r="P814" s="45">
        <f>IFERROR(__xludf.DUMMYFUNCTION("""COMPUTED_VALUE"""),45133.0)</f>
        <v>45133</v>
      </c>
      <c r="Q814" s="45">
        <f>IFERROR(__xludf.DUMMYFUNCTION("""COMPUTED_VALUE"""),45098.0)</f>
        <v>45098</v>
      </c>
      <c r="R814" s="45">
        <f>IFERROR(__xludf.DUMMYFUNCTION("""COMPUTED_VALUE"""),45140.0)</f>
        <v>45140</v>
      </c>
      <c r="S814" s="43"/>
      <c r="T814" s="43"/>
      <c r="U814" s="43" t="str">
        <f>IFERROR(__xludf.DUMMYFUNCTION("""COMPUTED_VALUE"""),"Youth 4 Impact")</f>
        <v>Youth 4 Impact</v>
      </c>
      <c r="V814" s="43" t="str">
        <f>IFERROR(__xludf.DUMMYFUNCTION("""COMPUTED_VALUE"""),"-")</f>
        <v>-</v>
      </c>
      <c r="W814" s="43" t="str">
        <f>IFERROR(__xludf.DUMMYFUNCTION("""COMPUTED_VALUE"""),"2023-05-24T19:08:57Z")</f>
        <v>2023-05-24T19:08:57Z</v>
      </c>
      <c r="X814" s="43"/>
      <c r="Y814" s="43"/>
      <c r="Z814" s="43"/>
    </row>
    <row r="815" hidden="1">
      <c r="A815" s="43" t="str">
        <f>IFERROR(__xludf.DUMMYFUNCTION("""COMPUTED_VALUE"""),"4887595_1294209")</f>
        <v>4887595_1294209</v>
      </c>
      <c r="B815" s="43" t="str">
        <f>IFERROR(__xludf.DUMMYFUNCTION("""COMPUTED_VALUE"""),"Sıla Coskun")</f>
        <v>Sıla Coskun</v>
      </c>
      <c r="C815" s="43" t="str">
        <f>IFERROR(__xludf.DUMMYFUNCTION("""COMPUTED_VALUE"""),"completed")</f>
        <v>completed</v>
      </c>
      <c r="D815" s="43" t="str">
        <f>IFERROR(__xludf.DUMMYFUNCTION("""COMPUTED_VALUE"""),"No")</f>
        <v>No</v>
      </c>
      <c r="E815" s="43" t="str">
        <f>IFERROR(__xludf.DUMMYFUNCTION("""COMPUTED_VALUE"""),"p_e4a9a17571ec685a8dca017f9b599f3a0600f837@inbound.aiesec.org")</f>
        <v>p_e4a9a17571ec685a8dca017f9b599f3a0600f837@inbound.aiesec.org</v>
      </c>
      <c r="F815" s="43"/>
      <c r="G815" s="43" t="str">
        <f>IFERROR(__xludf.DUMMYFUNCTION("""COMPUTED_VALUE"""),"Turkey")</f>
        <v>Turkey</v>
      </c>
      <c r="H815" s="43" t="str">
        <f>IFERROR(__xludf.DUMMYFUNCTION("""COMPUTED_VALUE"""),"ISTANBUL")</f>
        <v>ISTANBUL</v>
      </c>
      <c r="I815" s="43" t="str">
        <f>IFERROR(__xludf.DUMMYFUNCTION("""COMPUTED_VALUE"""),"Moldova")</f>
        <v>Moldova</v>
      </c>
      <c r="J815" s="43" t="str">
        <f>IFERROR(__xludf.DUMMYFUNCTION("""COMPUTED_VALUE"""),"CHISINAU")</f>
        <v>CHISINAU</v>
      </c>
      <c r="K815" s="44" t="str">
        <f>IFERROR(__xludf.DUMMYFUNCTION("""COMPUTED_VALUE"""),"https://expa.aiesec.org/opportunities/1294209")</f>
        <v>https://expa.aiesec.org/opportunities/1294209</v>
      </c>
      <c r="L815" s="43" t="str">
        <f>IFERROR(__xludf.DUMMYFUNCTION("""COMPUTED_VALUE"""),"GV")</f>
        <v>GV</v>
      </c>
      <c r="M815" s="43" t="str">
        <f>IFERROR(__xludf.DUMMYFUNCTION("""COMPUTED_VALUE"""),"short")</f>
        <v>short</v>
      </c>
      <c r="N815" s="45">
        <f>IFERROR(__xludf.DUMMYFUNCTION("""COMPUTED_VALUE"""),45083.0)</f>
        <v>45083</v>
      </c>
      <c r="O815" s="45">
        <f>IFERROR(__xludf.DUMMYFUNCTION("""COMPUTED_VALUE"""),45124.0)</f>
        <v>45124</v>
      </c>
      <c r="P815" s="45">
        <f>IFERROR(__xludf.DUMMYFUNCTION("""COMPUTED_VALUE"""),45166.0)</f>
        <v>45166</v>
      </c>
      <c r="Q815" s="45">
        <f>IFERROR(__xludf.DUMMYFUNCTION("""COMPUTED_VALUE"""),45132.0)</f>
        <v>45132</v>
      </c>
      <c r="R815" s="45">
        <f>IFERROR(__xludf.DUMMYFUNCTION("""COMPUTED_VALUE"""),45173.0)</f>
        <v>45173</v>
      </c>
      <c r="S815" s="43"/>
      <c r="T815" s="43"/>
      <c r="U815" s="43" t="str">
        <f>IFERROR(__xludf.DUMMYFUNCTION("""COMPUTED_VALUE"""),"On The Map")</f>
        <v>On The Map</v>
      </c>
      <c r="V815" s="43" t="str">
        <f>IFERROR(__xludf.DUMMYFUNCTION("""COMPUTED_VALUE"""),"-")</f>
        <v>-</v>
      </c>
      <c r="W815" s="43" t="str">
        <f>IFERROR(__xludf.DUMMYFUNCTION("""COMPUTED_VALUE"""),"2022-01-18T11:31:42Z")</f>
        <v>2022-01-18T11:31:42Z</v>
      </c>
      <c r="X815" s="43"/>
      <c r="Y815" s="43"/>
      <c r="Z815" s="43"/>
    </row>
    <row r="816" hidden="1">
      <c r="A816" s="43" t="str">
        <f>IFERROR(__xludf.DUMMYFUNCTION("""COMPUTED_VALUE"""),"5231317_1282257")</f>
        <v>5231317_1282257</v>
      </c>
      <c r="B816" s="43" t="str">
        <f>IFERROR(__xludf.DUMMYFUNCTION("""COMPUTED_VALUE"""),"dilanur Aktepe")</f>
        <v>dilanur Aktepe</v>
      </c>
      <c r="C816" s="43" t="str">
        <f>IFERROR(__xludf.DUMMYFUNCTION("""COMPUTED_VALUE"""),"completed")</f>
        <v>completed</v>
      </c>
      <c r="D816" s="43" t="str">
        <f>IFERROR(__xludf.DUMMYFUNCTION("""COMPUTED_VALUE"""),"No")</f>
        <v>No</v>
      </c>
      <c r="E816" s="43" t="str">
        <f>IFERROR(__xludf.DUMMYFUNCTION("""COMPUTED_VALUE"""),"p_2be5ee25ed327c686d22afc3498fffc9532dda70@inbound.aiesec.org")</f>
        <v>p_2be5ee25ed327c686d22afc3498fffc9532dda70@inbound.aiesec.org</v>
      </c>
      <c r="F816" s="43"/>
      <c r="G816" s="43" t="str">
        <f>IFERROR(__xludf.DUMMYFUNCTION("""COMPUTED_VALUE"""),"Turkey")</f>
        <v>Turkey</v>
      </c>
      <c r="H816" s="43" t="str">
        <f>IFERROR(__xludf.DUMMYFUNCTION("""COMPUTED_VALUE"""),"ISTANBUL ASIA")</f>
        <v>ISTANBUL ASIA</v>
      </c>
      <c r="I816" s="43" t="str">
        <f>IFERROR(__xludf.DUMMYFUNCTION("""COMPUTED_VALUE"""),"India")</f>
        <v>India</v>
      </c>
      <c r="J816" s="43" t="str">
        <f>IFERROR(__xludf.DUMMYFUNCTION("""COMPUTED_VALUE"""),"Pune")</f>
        <v>Pune</v>
      </c>
      <c r="K816" s="44" t="str">
        <f>IFERROR(__xludf.DUMMYFUNCTION("""COMPUTED_VALUE"""),"https://expa.aiesec.org/opportunities/1282257")</f>
        <v>https://expa.aiesec.org/opportunities/1282257</v>
      </c>
      <c r="L816" s="43" t="str">
        <f>IFERROR(__xludf.DUMMYFUNCTION("""COMPUTED_VALUE"""),"GV")</f>
        <v>GV</v>
      </c>
      <c r="M816" s="43" t="str">
        <f>IFERROR(__xludf.DUMMYFUNCTION("""COMPUTED_VALUE"""),"short")</f>
        <v>short</v>
      </c>
      <c r="N816" s="45">
        <f>IFERROR(__xludf.DUMMYFUNCTION("""COMPUTED_VALUE"""),45083.0)</f>
        <v>45083</v>
      </c>
      <c r="O816" s="45">
        <f>IFERROR(__xludf.DUMMYFUNCTION("""COMPUTED_VALUE"""),45092.0)</f>
        <v>45092</v>
      </c>
      <c r="P816" s="45">
        <f>IFERROR(__xludf.DUMMYFUNCTION("""COMPUTED_VALUE"""),45134.0)</f>
        <v>45134</v>
      </c>
      <c r="Q816" s="45">
        <f>IFERROR(__xludf.DUMMYFUNCTION("""COMPUTED_VALUE"""),45093.0)</f>
        <v>45093</v>
      </c>
      <c r="R816" s="45">
        <f>IFERROR(__xludf.DUMMYFUNCTION("""COMPUTED_VALUE"""),45134.0)</f>
        <v>45134</v>
      </c>
      <c r="S816" s="43"/>
      <c r="T816" s="43"/>
      <c r="U816" s="43" t="str">
        <f>IFERROR(__xludf.DUMMYFUNCTION("""COMPUTED_VALUE"""),"Global Classroom")</f>
        <v>Global Classroom</v>
      </c>
      <c r="V816" s="43" t="str">
        <f>IFERROR(__xludf.DUMMYFUNCTION("""COMPUTED_VALUE"""),"-")</f>
        <v>-</v>
      </c>
      <c r="W816" s="43" t="str">
        <f>IFERROR(__xludf.DUMMYFUNCTION("""COMPUTED_VALUE"""),"2023-03-30T18:44:10Z")</f>
        <v>2023-03-30T18:44:10Z</v>
      </c>
      <c r="X816" s="43"/>
      <c r="Y816" s="43"/>
      <c r="Z816" s="43"/>
    </row>
    <row r="817" hidden="1">
      <c r="A817" s="43" t="str">
        <f>IFERROR(__xludf.DUMMYFUNCTION("""COMPUTED_VALUE"""),"5262773_1292709")</f>
        <v>5262773_1292709</v>
      </c>
      <c r="B817" s="43" t="str">
        <f>IFERROR(__xludf.DUMMYFUNCTION("""COMPUTED_VALUE"""),"eylül karadeveci")</f>
        <v>eylül karadeveci</v>
      </c>
      <c r="C817" s="43" t="str">
        <f>IFERROR(__xludf.DUMMYFUNCTION("""COMPUTED_VALUE"""),"approved")</f>
        <v>approved</v>
      </c>
      <c r="D817" s="43" t="str">
        <f>IFERROR(__xludf.DUMMYFUNCTION("""COMPUTED_VALUE"""),"No")</f>
        <v>No</v>
      </c>
      <c r="E817" s="43" t="str">
        <f>IFERROR(__xludf.DUMMYFUNCTION("""COMPUTED_VALUE"""),"p_af2dc5f58972c25f5633e5f24fe1bc0526d2c32e@inbound.aiesec.org")</f>
        <v>p_af2dc5f58972c25f5633e5f24fe1bc0526d2c32e@inbound.aiesec.org</v>
      </c>
      <c r="F817" s="43"/>
      <c r="G817" s="43" t="str">
        <f>IFERROR(__xludf.DUMMYFUNCTION("""COMPUTED_VALUE"""),"Turkey")</f>
        <v>Turkey</v>
      </c>
      <c r="H817" s="43" t="str">
        <f>IFERROR(__xludf.DUMMYFUNCTION("""COMPUTED_VALUE"""),"İZMİR")</f>
        <v>İZMİR</v>
      </c>
      <c r="I817" s="43" t="str">
        <f>IFERROR(__xludf.DUMMYFUNCTION("""COMPUTED_VALUE"""),"Czech Republic")</f>
        <v>Czech Republic</v>
      </c>
      <c r="J817" s="43" t="str">
        <f>IFERROR(__xludf.DUMMYFUNCTION("""COMPUTED_VALUE"""),"OLOMOUC")</f>
        <v>OLOMOUC</v>
      </c>
      <c r="K817" s="44" t="str">
        <f>IFERROR(__xludf.DUMMYFUNCTION("""COMPUTED_VALUE"""),"https://expa.aiesec.org/opportunities/1292709")</f>
        <v>https://expa.aiesec.org/opportunities/1292709</v>
      </c>
      <c r="L817" s="43" t="str">
        <f>IFERROR(__xludf.DUMMYFUNCTION("""COMPUTED_VALUE"""),"GV")</f>
        <v>GV</v>
      </c>
      <c r="M817" s="43" t="str">
        <f>IFERROR(__xludf.DUMMYFUNCTION("""COMPUTED_VALUE"""),"short")</f>
        <v>short</v>
      </c>
      <c r="N817" s="45">
        <f>IFERROR(__xludf.DUMMYFUNCTION("""COMPUTED_VALUE"""),45083.0)</f>
        <v>45083</v>
      </c>
      <c r="O817" s="45">
        <f>IFERROR(__xludf.DUMMYFUNCTION("""COMPUTED_VALUE"""),45173.0)</f>
        <v>45173</v>
      </c>
      <c r="P817" s="45">
        <f>IFERROR(__xludf.DUMMYFUNCTION("""COMPUTED_VALUE"""),45215.0)</f>
        <v>45215</v>
      </c>
      <c r="Q817" s="45"/>
      <c r="R817" s="45"/>
      <c r="S817" s="43"/>
      <c r="T817" s="43"/>
      <c r="U817" s="43" t="str">
        <f>IFERROR(__xludf.DUMMYFUNCTION("""COMPUTED_VALUE"""),"Youth 4 Impact")</f>
        <v>Youth 4 Impact</v>
      </c>
      <c r="V817" s="43" t="str">
        <f>IFERROR(__xludf.DUMMYFUNCTION("""COMPUTED_VALUE"""),"-")</f>
        <v>-</v>
      </c>
      <c r="W817" s="43" t="str">
        <f>IFERROR(__xludf.DUMMYFUNCTION("""COMPUTED_VALUE"""),"2023-05-18T09:09:51Z")</f>
        <v>2023-05-18T09:09:51Z</v>
      </c>
      <c r="X817" s="43"/>
      <c r="Y817" s="43"/>
      <c r="Z817" s="43"/>
    </row>
    <row r="818" hidden="1">
      <c r="A818" s="43" t="str">
        <f>IFERROR(__xludf.DUMMYFUNCTION("""COMPUTED_VALUE"""),"5260011_1293504")</f>
        <v>5260011_1293504</v>
      </c>
      <c r="B818" s="43" t="str">
        <f>IFERROR(__xludf.DUMMYFUNCTION("""COMPUTED_VALUE"""),"Cansu Kumrular")</f>
        <v>Cansu Kumrular</v>
      </c>
      <c r="C818" s="43" t="str">
        <f>IFERROR(__xludf.DUMMYFUNCTION("""COMPUTED_VALUE"""),"completed")</f>
        <v>completed</v>
      </c>
      <c r="D818" s="43" t="str">
        <f>IFERROR(__xludf.DUMMYFUNCTION("""COMPUTED_VALUE"""),"No")</f>
        <v>No</v>
      </c>
      <c r="E818" s="43" t="str">
        <f>IFERROR(__xludf.DUMMYFUNCTION("""COMPUTED_VALUE"""),"p_005ac349420c16e9b297ef3d7fd69f61cf6611cc@inbound.aiesec.org")</f>
        <v>p_005ac349420c16e9b297ef3d7fd69f61cf6611cc@inbound.aiesec.org</v>
      </c>
      <c r="F818" s="43">
        <f>IFERROR(__xludf.DUMMYFUNCTION("""COMPUTED_VALUE"""),5.076843005E9)</f>
        <v>5076843005</v>
      </c>
      <c r="G818" s="43" t="str">
        <f>IFERROR(__xludf.DUMMYFUNCTION("""COMPUTED_VALUE"""),"Turkey")</f>
        <v>Turkey</v>
      </c>
      <c r="H818" s="43" t="str">
        <f>IFERROR(__xludf.DUMMYFUNCTION("""COMPUTED_VALUE"""),"İZMİR")</f>
        <v>İZMİR</v>
      </c>
      <c r="I818" s="43" t="str">
        <f>IFERROR(__xludf.DUMMYFUNCTION("""COMPUTED_VALUE"""),"Lithuania")</f>
        <v>Lithuania</v>
      </c>
      <c r="J818" s="43" t="str">
        <f>IFERROR(__xludf.DUMMYFUNCTION("""COMPUTED_VALUE"""),"VILNIUS")</f>
        <v>VILNIUS</v>
      </c>
      <c r="K818" s="44" t="str">
        <f>IFERROR(__xludf.DUMMYFUNCTION("""COMPUTED_VALUE"""),"https://expa.aiesec.org/opportunities/1293504")</f>
        <v>https://expa.aiesec.org/opportunities/1293504</v>
      </c>
      <c r="L818" s="43" t="str">
        <f>IFERROR(__xludf.DUMMYFUNCTION("""COMPUTED_VALUE"""),"GV")</f>
        <v>GV</v>
      </c>
      <c r="M818" s="43" t="str">
        <f>IFERROR(__xludf.DUMMYFUNCTION("""COMPUTED_VALUE"""),"short")</f>
        <v>short</v>
      </c>
      <c r="N818" s="45">
        <f>IFERROR(__xludf.DUMMYFUNCTION("""COMPUTED_VALUE"""),45083.0)</f>
        <v>45083</v>
      </c>
      <c r="O818" s="45">
        <f>IFERROR(__xludf.DUMMYFUNCTION("""COMPUTED_VALUE"""),45088.0)</f>
        <v>45088</v>
      </c>
      <c r="P818" s="45">
        <f>IFERROR(__xludf.DUMMYFUNCTION("""COMPUTED_VALUE"""),45130.0)</f>
        <v>45130</v>
      </c>
      <c r="Q818" s="45">
        <f>IFERROR(__xludf.DUMMYFUNCTION("""COMPUTED_VALUE"""),45092.0)</f>
        <v>45092</v>
      </c>
      <c r="R818" s="45">
        <f>IFERROR(__xludf.DUMMYFUNCTION("""COMPUTED_VALUE"""),45134.0)</f>
        <v>45134</v>
      </c>
      <c r="S818" s="43"/>
      <c r="T818" s="43"/>
      <c r="U818" s="43" t="str">
        <f>IFERROR(__xludf.DUMMYFUNCTION("""COMPUTED_VALUE"""),"Explorer")</f>
        <v>Explorer</v>
      </c>
      <c r="V818" s="43" t="str">
        <f>IFERROR(__xludf.DUMMYFUNCTION("""COMPUTED_VALUE"""),"IZMIR")</f>
        <v>IZMIR</v>
      </c>
      <c r="W818" s="43" t="str">
        <f>IFERROR(__xludf.DUMMYFUNCTION("""COMPUTED_VALUE"""),"2023-05-12T14:00:37Z")</f>
        <v>2023-05-12T14:00:37Z</v>
      </c>
      <c r="X818" s="43"/>
      <c r="Y818" s="43"/>
      <c r="Z818" s="43"/>
    </row>
    <row r="819" hidden="1">
      <c r="A819" s="43" t="str">
        <f>IFERROR(__xludf.DUMMYFUNCTION("""COMPUTED_VALUE"""),"5269908_1294486")</f>
        <v>5269908_1294486</v>
      </c>
      <c r="B819" s="43" t="str">
        <f>IFERROR(__xludf.DUMMYFUNCTION("""COMPUTED_VALUE"""),"Hüdanur Keskin")</f>
        <v>Hüdanur Keskin</v>
      </c>
      <c r="C819" s="43" t="str">
        <f>IFERROR(__xludf.DUMMYFUNCTION("""COMPUTED_VALUE"""),"completed")</f>
        <v>completed</v>
      </c>
      <c r="D819" s="43" t="str">
        <f>IFERROR(__xludf.DUMMYFUNCTION("""COMPUTED_VALUE"""),"No")</f>
        <v>No</v>
      </c>
      <c r="E819" s="43" t="str">
        <f>IFERROR(__xludf.DUMMYFUNCTION("""COMPUTED_VALUE"""),"p_feb67850c5cade469ede1d6cb78837f5cd437a11@inbound.aiesec.org")</f>
        <v>p_feb67850c5cade469ede1d6cb78837f5cd437a11@inbound.aiesec.org</v>
      </c>
      <c r="F819" s="43">
        <f>IFERROR(__xludf.DUMMYFUNCTION("""COMPUTED_VALUE"""),5.321308502E9)</f>
        <v>5321308502</v>
      </c>
      <c r="G819" s="43" t="str">
        <f>IFERROR(__xludf.DUMMYFUNCTION("""COMPUTED_VALUE"""),"Turkey")</f>
        <v>Turkey</v>
      </c>
      <c r="H819" s="43" t="str">
        <f>IFERROR(__xludf.DUMMYFUNCTION("""COMPUTED_VALUE"""),"ISTANBUL")</f>
        <v>ISTANBUL</v>
      </c>
      <c r="I819" s="43" t="str">
        <f>IFERROR(__xludf.DUMMYFUNCTION("""COMPUTED_VALUE"""),"Egypt")</f>
        <v>Egypt</v>
      </c>
      <c r="J819" s="43" t="str">
        <f>IFERROR(__xludf.DUMMYFUNCTION("""COMPUTED_VALUE"""),"Ain Shams University")</f>
        <v>Ain Shams University</v>
      </c>
      <c r="K819" s="44" t="str">
        <f>IFERROR(__xludf.DUMMYFUNCTION("""COMPUTED_VALUE"""),"https://expa.aiesec.org/opportunities/1294486")</f>
        <v>https://expa.aiesec.org/opportunities/1294486</v>
      </c>
      <c r="L819" s="43" t="str">
        <f>IFERROR(__xludf.DUMMYFUNCTION("""COMPUTED_VALUE"""),"GV")</f>
        <v>GV</v>
      </c>
      <c r="M819" s="43" t="str">
        <f>IFERROR(__xludf.DUMMYFUNCTION("""COMPUTED_VALUE"""),"short")</f>
        <v>short</v>
      </c>
      <c r="N819" s="45">
        <f>IFERROR(__xludf.DUMMYFUNCTION("""COMPUTED_VALUE"""),45084.0)</f>
        <v>45084</v>
      </c>
      <c r="O819" s="45">
        <f>IFERROR(__xludf.DUMMYFUNCTION("""COMPUTED_VALUE"""),45124.0)</f>
        <v>45124</v>
      </c>
      <c r="P819" s="45">
        <f>IFERROR(__xludf.DUMMYFUNCTION("""COMPUTED_VALUE"""),45166.0)</f>
        <v>45166</v>
      </c>
      <c r="Q819" s="45">
        <f>IFERROR(__xludf.DUMMYFUNCTION("""COMPUTED_VALUE"""),45124.0)</f>
        <v>45124</v>
      </c>
      <c r="R819" s="45">
        <f>IFERROR(__xludf.DUMMYFUNCTION("""COMPUTED_VALUE"""),45168.0)</f>
        <v>45168</v>
      </c>
      <c r="S819" s="43"/>
      <c r="T819" s="43"/>
      <c r="U819" s="43" t="str">
        <f>IFERROR(__xludf.DUMMYFUNCTION("""COMPUTED_VALUE"""),"Skill Up!")</f>
        <v>Skill Up!</v>
      </c>
      <c r="V819" s="43" t="str">
        <f>IFERROR(__xludf.DUMMYFUNCTION("""COMPUTED_VALUE"""),"ISTANBUL - BEYOGLU")</f>
        <v>ISTANBUL - BEYOGLU</v>
      </c>
      <c r="W819" s="43" t="str">
        <f>IFERROR(__xludf.DUMMYFUNCTION("""COMPUTED_VALUE"""),"2023-05-31T22:16:35Z")</f>
        <v>2023-05-31T22:16:35Z</v>
      </c>
      <c r="X819" s="43"/>
      <c r="Y819" s="43"/>
      <c r="Z819" s="43"/>
    </row>
    <row r="820" hidden="1">
      <c r="A820" s="43" t="str">
        <f>IFERROR(__xludf.DUMMYFUNCTION("""COMPUTED_VALUE"""),"5269308_1294062")</f>
        <v>5269308_1294062</v>
      </c>
      <c r="B820" s="43" t="str">
        <f>IFERROR(__xludf.DUMMYFUNCTION("""COMPUTED_VALUE"""),"Meryem Çakar")</f>
        <v>Meryem Çakar</v>
      </c>
      <c r="C820" s="43" t="str">
        <f>IFERROR(__xludf.DUMMYFUNCTION("""COMPUTED_VALUE"""),"completed")</f>
        <v>completed</v>
      </c>
      <c r="D820" s="43" t="str">
        <f>IFERROR(__xludf.DUMMYFUNCTION("""COMPUTED_VALUE"""),"No")</f>
        <v>No</v>
      </c>
      <c r="E820" s="43" t="str">
        <f>IFERROR(__xludf.DUMMYFUNCTION("""COMPUTED_VALUE"""),"p_5d88414b738ad9d0b16cb57e81db53a1a13462f0@inbound.aiesec.org")</f>
        <v>p_5d88414b738ad9d0b16cb57e81db53a1a13462f0@inbound.aiesec.org</v>
      </c>
      <c r="F820" s="43">
        <f>IFERROR(__xludf.DUMMYFUNCTION("""COMPUTED_VALUE"""),5.531976142E9)</f>
        <v>5531976142</v>
      </c>
      <c r="G820" s="43" t="str">
        <f>IFERROR(__xludf.DUMMYFUNCTION("""COMPUTED_VALUE"""),"Turkey")</f>
        <v>Turkey</v>
      </c>
      <c r="H820" s="43" t="str">
        <f>IFERROR(__xludf.DUMMYFUNCTION("""COMPUTED_VALUE"""),"ISTANBUL WEST")</f>
        <v>ISTANBUL WEST</v>
      </c>
      <c r="I820" s="43" t="str">
        <f>IFERROR(__xludf.DUMMYFUNCTION("""COMPUTED_VALUE"""),"Tunisia")</f>
        <v>Tunisia</v>
      </c>
      <c r="J820" s="43" t="str">
        <f>IFERROR(__xludf.DUMMYFUNCTION("""COMPUTED_VALUE"""),"THYNA")</f>
        <v>THYNA</v>
      </c>
      <c r="K820" s="44" t="str">
        <f>IFERROR(__xludf.DUMMYFUNCTION("""COMPUTED_VALUE"""),"https://expa.aiesec.org/opportunities/1294062")</f>
        <v>https://expa.aiesec.org/opportunities/1294062</v>
      </c>
      <c r="L820" s="43" t="str">
        <f>IFERROR(__xludf.DUMMYFUNCTION("""COMPUTED_VALUE"""),"GV")</f>
        <v>GV</v>
      </c>
      <c r="M820" s="43" t="str">
        <f>IFERROR(__xludf.DUMMYFUNCTION("""COMPUTED_VALUE"""),"short")</f>
        <v>short</v>
      </c>
      <c r="N820" s="45">
        <f>IFERROR(__xludf.DUMMYFUNCTION("""COMPUTED_VALUE"""),45084.0)</f>
        <v>45084</v>
      </c>
      <c r="O820" s="45">
        <f>IFERROR(__xludf.DUMMYFUNCTION("""COMPUTED_VALUE"""),45131.0)</f>
        <v>45131</v>
      </c>
      <c r="P820" s="45">
        <f>IFERROR(__xludf.DUMMYFUNCTION("""COMPUTED_VALUE"""),45173.0)</f>
        <v>45173</v>
      </c>
      <c r="Q820" s="45">
        <f>IFERROR(__xludf.DUMMYFUNCTION("""COMPUTED_VALUE"""),45131.0)</f>
        <v>45131</v>
      </c>
      <c r="R820" s="45">
        <f>IFERROR(__xludf.DUMMYFUNCTION("""COMPUTED_VALUE"""),45173.0)</f>
        <v>45173</v>
      </c>
      <c r="S820" s="43"/>
      <c r="T820" s="43"/>
      <c r="U820" s="43" t="str">
        <f>IFERROR(__xludf.DUMMYFUNCTION("""COMPUTED_VALUE"""),"Aquatica")</f>
        <v>Aquatica</v>
      </c>
      <c r="V820" s="43" t="str">
        <f>IFERROR(__xludf.DUMMYFUNCTION("""COMPUTED_VALUE"""),"ISTANBUL - BAKIRKOY")</f>
        <v>ISTANBUL - BAKIRKOY</v>
      </c>
      <c r="W820" s="43" t="str">
        <f>IFERROR(__xludf.DUMMYFUNCTION("""COMPUTED_VALUE"""),"2023-05-31T08:07:02Z")</f>
        <v>2023-05-31T08:07:02Z</v>
      </c>
      <c r="X820" s="43"/>
      <c r="Y820" s="43"/>
      <c r="Z820" s="43"/>
    </row>
    <row r="821" hidden="1">
      <c r="A821" s="43" t="str">
        <f>IFERROR(__xludf.DUMMYFUNCTION("""COMPUTED_VALUE"""),"5075210_1289850")</f>
        <v>5075210_1289850</v>
      </c>
      <c r="B821" s="43" t="str">
        <f>IFERROR(__xludf.DUMMYFUNCTION("""COMPUTED_VALUE"""),"Şekiba Mullahzade")</f>
        <v>Şekiba Mullahzade</v>
      </c>
      <c r="C821" s="43" t="str">
        <f>IFERROR(__xludf.DUMMYFUNCTION("""COMPUTED_VALUE"""),"approved")</f>
        <v>approved</v>
      </c>
      <c r="D821" s="43" t="str">
        <f>IFERROR(__xludf.DUMMYFUNCTION("""COMPUTED_VALUE"""),"No")</f>
        <v>No</v>
      </c>
      <c r="E821" s="43" t="str">
        <f>IFERROR(__xludf.DUMMYFUNCTION("""COMPUTED_VALUE"""),"p_fadf746331a3b53d4f21a82b299160a0f7683428@inbound.aiesec.org")</f>
        <v>p_fadf746331a3b53d4f21a82b299160a0f7683428@inbound.aiesec.org</v>
      </c>
      <c r="F821" s="43">
        <f>IFERROR(__xludf.DUMMYFUNCTION("""COMPUTED_VALUE"""),5.529331559E9)</f>
        <v>5529331559</v>
      </c>
      <c r="G821" s="43" t="str">
        <f>IFERROR(__xludf.DUMMYFUNCTION("""COMPUTED_VALUE"""),"Turkey")</f>
        <v>Turkey</v>
      </c>
      <c r="H821" s="43" t="str">
        <f>IFERROR(__xludf.DUMMYFUNCTION("""COMPUTED_VALUE"""),"KOCAELI")</f>
        <v>KOCAELI</v>
      </c>
      <c r="I821" s="43" t="str">
        <f>IFERROR(__xludf.DUMMYFUNCTION("""COMPUTED_VALUE"""),"India")</f>
        <v>India</v>
      </c>
      <c r="J821" s="43" t="str">
        <f>IFERROR(__xludf.DUMMYFUNCTION("""COMPUTED_VALUE"""),"Mumbai")</f>
        <v>Mumbai</v>
      </c>
      <c r="K821" s="44" t="str">
        <f>IFERROR(__xludf.DUMMYFUNCTION("""COMPUTED_VALUE"""),"https://expa.aiesec.org/opportunities/1289850")</f>
        <v>https://expa.aiesec.org/opportunities/1289850</v>
      </c>
      <c r="L821" s="43" t="str">
        <f>IFERROR(__xludf.DUMMYFUNCTION("""COMPUTED_VALUE"""),"GV")</f>
        <v>GV</v>
      </c>
      <c r="M821" s="43" t="str">
        <f>IFERROR(__xludf.DUMMYFUNCTION("""COMPUTED_VALUE"""),"short")</f>
        <v>short</v>
      </c>
      <c r="N821" s="45">
        <f>IFERROR(__xludf.DUMMYFUNCTION("""COMPUTED_VALUE"""),45085.0)</f>
        <v>45085</v>
      </c>
      <c r="O821" s="45">
        <f>IFERROR(__xludf.DUMMYFUNCTION("""COMPUTED_VALUE"""),45099.0)</f>
        <v>45099</v>
      </c>
      <c r="P821" s="45">
        <f>IFERROR(__xludf.DUMMYFUNCTION("""COMPUTED_VALUE"""),45141.0)</f>
        <v>45141</v>
      </c>
      <c r="Q821" s="45"/>
      <c r="R821" s="45"/>
      <c r="S821" s="43"/>
      <c r="T821" s="43"/>
      <c r="U821" s="43" t="str">
        <f>IFERROR(__xludf.DUMMYFUNCTION("""COMPUTED_VALUE"""),"Global Classroom")</f>
        <v>Global Classroom</v>
      </c>
      <c r="V821" s="43" t="str">
        <f>IFERROR(__xludf.DUMMYFUNCTION("""COMPUTED_VALUE"""),"KOCAELI")</f>
        <v>KOCAELI</v>
      </c>
      <c r="W821" s="43" t="str">
        <f>IFERROR(__xludf.DUMMYFUNCTION("""COMPUTED_VALUE"""),"2022-06-21T16:58:10Z")</f>
        <v>2022-06-21T16:58:10Z</v>
      </c>
      <c r="X821" s="43"/>
      <c r="Y821" s="43"/>
      <c r="Z821" s="43"/>
    </row>
    <row r="822" hidden="1">
      <c r="A822" s="43" t="str">
        <f>IFERROR(__xludf.DUMMYFUNCTION("""COMPUTED_VALUE"""),"5272060_1295599")</f>
        <v>5272060_1295599</v>
      </c>
      <c r="B822" s="43" t="str">
        <f>IFERROR(__xludf.DUMMYFUNCTION("""COMPUTED_VALUE"""),"Muhammed Yiğit Koçak")</f>
        <v>Muhammed Yiğit Koçak</v>
      </c>
      <c r="C822" s="43" t="str">
        <f>IFERROR(__xludf.DUMMYFUNCTION("""COMPUTED_VALUE"""),"completed")</f>
        <v>completed</v>
      </c>
      <c r="D822" s="43" t="str">
        <f>IFERROR(__xludf.DUMMYFUNCTION("""COMPUTED_VALUE"""),"No")</f>
        <v>No</v>
      </c>
      <c r="E822" s="43" t="str">
        <f>IFERROR(__xludf.DUMMYFUNCTION("""COMPUTED_VALUE"""),"p_9e421e89c0b5671b7cfa8da09326c98bc47920e3@inbound.aiesec.org")</f>
        <v>p_9e421e89c0b5671b7cfa8da09326c98bc47920e3@inbound.aiesec.org</v>
      </c>
      <c r="F822" s="43">
        <f>IFERROR(__xludf.DUMMYFUNCTION("""COMPUTED_VALUE"""),5.373076363E9)</f>
        <v>5373076363</v>
      </c>
      <c r="G822" s="43" t="str">
        <f>IFERROR(__xludf.DUMMYFUNCTION("""COMPUTED_VALUE"""),"Turkey")</f>
        <v>Turkey</v>
      </c>
      <c r="H822" s="43" t="str">
        <f>IFERROR(__xludf.DUMMYFUNCTION("""COMPUTED_VALUE"""),"GAZIANTEP")</f>
        <v>GAZIANTEP</v>
      </c>
      <c r="I822" s="43" t="str">
        <f>IFERROR(__xludf.DUMMYFUNCTION("""COMPUTED_VALUE"""),"Romania")</f>
        <v>Romania</v>
      </c>
      <c r="J822" s="43" t="str">
        <f>IFERROR(__xludf.DUMMYFUNCTION("""COMPUTED_VALUE"""),"SIBIU")</f>
        <v>SIBIU</v>
      </c>
      <c r="K822" s="44" t="str">
        <f>IFERROR(__xludf.DUMMYFUNCTION("""COMPUTED_VALUE"""),"https://expa.aiesec.org/opportunities/1295599")</f>
        <v>https://expa.aiesec.org/opportunities/1295599</v>
      </c>
      <c r="L822" s="43" t="str">
        <f>IFERROR(__xludf.DUMMYFUNCTION("""COMPUTED_VALUE"""),"GV")</f>
        <v>GV</v>
      </c>
      <c r="M822" s="43" t="str">
        <f>IFERROR(__xludf.DUMMYFUNCTION("""COMPUTED_VALUE"""),"short")</f>
        <v>short</v>
      </c>
      <c r="N822" s="45">
        <f>IFERROR(__xludf.DUMMYFUNCTION("""COMPUTED_VALUE"""),45085.0)</f>
        <v>45085</v>
      </c>
      <c r="O822" s="45">
        <f>IFERROR(__xludf.DUMMYFUNCTION("""COMPUTED_VALUE"""),45131.0)</f>
        <v>45131</v>
      </c>
      <c r="P822" s="45">
        <f>IFERROR(__xludf.DUMMYFUNCTION("""COMPUTED_VALUE"""),45173.0)</f>
        <v>45173</v>
      </c>
      <c r="Q822" s="45">
        <f>IFERROR(__xludf.DUMMYFUNCTION("""COMPUTED_VALUE"""),45134.0)</f>
        <v>45134</v>
      </c>
      <c r="R822" s="45">
        <f>IFERROR(__xludf.DUMMYFUNCTION("""COMPUTED_VALUE"""),45175.0)</f>
        <v>45175</v>
      </c>
      <c r="S822" s="43"/>
      <c r="T822" s="43"/>
      <c r="U822" s="43" t="str">
        <f>IFERROR(__xludf.DUMMYFUNCTION("""COMPUTED_VALUE"""),"Youth 4 Impact")</f>
        <v>Youth 4 Impact</v>
      </c>
      <c r="V822" s="43" t="str">
        <f>IFERROR(__xludf.DUMMYFUNCTION("""COMPUTED_VALUE"""),"GAZIANTEP")</f>
        <v>GAZIANTEP</v>
      </c>
      <c r="W822" s="43" t="str">
        <f>IFERROR(__xludf.DUMMYFUNCTION("""COMPUTED_VALUE"""),"2023-06-06T13:46:58Z")</f>
        <v>2023-06-06T13:46:58Z</v>
      </c>
      <c r="X822" s="43"/>
      <c r="Y822" s="43"/>
      <c r="Z822" s="43"/>
    </row>
    <row r="823" hidden="1">
      <c r="A823" s="43" t="str">
        <f>IFERROR(__xludf.DUMMYFUNCTION("""COMPUTED_VALUE"""),"5272513_1293742")</f>
        <v>5272513_1293742</v>
      </c>
      <c r="B823" s="43" t="str">
        <f>IFERROR(__xludf.DUMMYFUNCTION("""COMPUTED_VALUE"""),"Mehmet uğur Şahin")</f>
        <v>Mehmet uğur Şahin</v>
      </c>
      <c r="C823" s="43" t="str">
        <f>IFERROR(__xludf.DUMMYFUNCTION("""COMPUTED_VALUE"""),"completed")</f>
        <v>completed</v>
      </c>
      <c r="D823" s="43" t="str">
        <f>IFERROR(__xludf.DUMMYFUNCTION("""COMPUTED_VALUE"""),"No")</f>
        <v>No</v>
      </c>
      <c r="E823" s="43" t="str">
        <f>IFERROR(__xludf.DUMMYFUNCTION("""COMPUTED_VALUE"""),"p_df797c0b54963ec6e7b68372fe0af0a503706e8e@inbound.aiesec.org")</f>
        <v>p_df797c0b54963ec6e7b68372fe0af0a503706e8e@inbound.aiesec.org</v>
      </c>
      <c r="F823" s="43">
        <f>IFERROR(__xludf.DUMMYFUNCTION("""COMPUTED_VALUE"""),5.537313235E9)</f>
        <v>5537313235</v>
      </c>
      <c r="G823" s="43" t="str">
        <f>IFERROR(__xludf.DUMMYFUNCTION("""COMPUTED_VALUE"""),"Turkey")</f>
        <v>Turkey</v>
      </c>
      <c r="H823" s="43" t="str">
        <f>IFERROR(__xludf.DUMMYFUNCTION("""COMPUTED_VALUE"""),"KONYA")</f>
        <v>KONYA</v>
      </c>
      <c r="I823" s="43" t="str">
        <f>IFERROR(__xludf.DUMMYFUNCTION("""COMPUTED_VALUE"""),"Tunisia")</f>
        <v>Tunisia</v>
      </c>
      <c r="J823" s="43" t="str">
        <f>IFERROR(__xludf.DUMMYFUNCTION("""COMPUTED_VALUE"""),"RUSPINA")</f>
        <v>RUSPINA</v>
      </c>
      <c r="K823" s="44" t="str">
        <f>IFERROR(__xludf.DUMMYFUNCTION("""COMPUTED_VALUE"""),"https://expa.aiesec.org/opportunities/1293742")</f>
        <v>https://expa.aiesec.org/opportunities/1293742</v>
      </c>
      <c r="L823" s="43" t="str">
        <f>IFERROR(__xludf.DUMMYFUNCTION("""COMPUTED_VALUE"""),"GV")</f>
        <v>GV</v>
      </c>
      <c r="M823" s="43" t="str">
        <f>IFERROR(__xludf.DUMMYFUNCTION("""COMPUTED_VALUE"""),"short")</f>
        <v>short</v>
      </c>
      <c r="N823" s="45">
        <f>IFERROR(__xludf.DUMMYFUNCTION("""COMPUTED_VALUE"""),45085.0)</f>
        <v>45085</v>
      </c>
      <c r="O823" s="45">
        <f>IFERROR(__xludf.DUMMYFUNCTION("""COMPUTED_VALUE"""),45110.0)</f>
        <v>45110</v>
      </c>
      <c r="P823" s="45">
        <f>IFERROR(__xludf.DUMMYFUNCTION("""COMPUTED_VALUE"""),45152.0)</f>
        <v>45152</v>
      </c>
      <c r="Q823" s="45">
        <f>IFERROR(__xludf.DUMMYFUNCTION("""COMPUTED_VALUE"""),45110.0)</f>
        <v>45110</v>
      </c>
      <c r="R823" s="45">
        <f>IFERROR(__xludf.DUMMYFUNCTION("""COMPUTED_VALUE"""),45152.0)</f>
        <v>45152</v>
      </c>
      <c r="S823" s="43"/>
      <c r="T823" s="43"/>
      <c r="U823" s="43" t="str">
        <f>IFERROR(__xludf.DUMMYFUNCTION("""COMPUTED_VALUE"""),"Skill Up!")</f>
        <v>Skill Up!</v>
      </c>
      <c r="V823" s="43" t="str">
        <f>IFERROR(__xludf.DUMMYFUNCTION("""COMPUTED_VALUE"""),"KONYA")</f>
        <v>KONYA</v>
      </c>
      <c r="W823" s="43" t="str">
        <f>IFERROR(__xludf.DUMMYFUNCTION("""COMPUTED_VALUE"""),"2023-06-07T15:08:02Z")</f>
        <v>2023-06-07T15:08:02Z</v>
      </c>
      <c r="X823" s="43"/>
      <c r="Y823" s="43"/>
      <c r="Z823" s="43"/>
    </row>
    <row r="824" hidden="1">
      <c r="A824" s="43" t="str">
        <f>IFERROR(__xludf.DUMMYFUNCTION("""COMPUTED_VALUE"""),"5268979_1293861")</f>
        <v>5268979_1293861</v>
      </c>
      <c r="B824" s="43" t="str">
        <f>IFERROR(__xludf.DUMMYFUNCTION("""COMPUTED_VALUE"""),"Elif Polatöz")</f>
        <v>Elif Polatöz</v>
      </c>
      <c r="C824" s="43" t="str">
        <f>IFERROR(__xludf.DUMMYFUNCTION("""COMPUTED_VALUE"""),"completed")</f>
        <v>completed</v>
      </c>
      <c r="D824" s="43" t="str">
        <f>IFERROR(__xludf.DUMMYFUNCTION("""COMPUTED_VALUE"""),"No")</f>
        <v>No</v>
      </c>
      <c r="E824" s="43" t="str">
        <f>IFERROR(__xludf.DUMMYFUNCTION("""COMPUTED_VALUE"""),"p_95b138c87cf4cfea964a62509eac9453ad64d9db@inbound.aiesec.org")</f>
        <v>p_95b138c87cf4cfea964a62509eac9453ad64d9db@inbound.aiesec.org</v>
      </c>
      <c r="F824" s="43"/>
      <c r="G824" s="43" t="str">
        <f>IFERROR(__xludf.DUMMYFUNCTION("""COMPUTED_VALUE"""),"Turkey")</f>
        <v>Turkey</v>
      </c>
      <c r="H824" s="43" t="str">
        <f>IFERROR(__xludf.DUMMYFUNCTION("""COMPUTED_VALUE"""),"ADANA")</f>
        <v>ADANA</v>
      </c>
      <c r="I824" s="43" t="str">
        <f>IFERROR(__xludf.DUMMYFUNCTION("""COMPUTED_VALUE"""),"Romania")</f>
        <v>Romania</v>
      </c>
      <c r="J824" s="43" t="str">
        <f>IFERROR(__xludf.DUMMYFUNCTION("""COMPUTED_VALUE"""),"BRASOV")</f>
        <v>BRASOV</v>
      </c>
      <c r="K824" s="44" t="str">
        <f>IFERROR(__xludf.DUMMYFUNCTION("""COMPUTED_VALUE"""),"https://expa.aiesec.org/opportunities/1293861")</f>
        <v>https://expa.aiesec.org/opportunities/1293861</v>
      </c>
      <c r="L824" s="43" t="str">
        <f>IFERROR(__xludf.DUMMYFUNCTION("""COMPUTED_VALUE"""),"GV")</f>
        <v>GV</v>
      </c>
      <c r="M824" s="43" t="str">
        <f>IFERROR(__xludf.DUMMYFUNCTION("""COMPUTED_VALUE"""),"short")</f>
        <v>short</v>
      </c>
      <c r="N824" s="45">
        <f>IFERROR(__xludf.DUMMYFUNCTION("""COMPUTED_VALUE"""),45085.0)</f>
        <v>45085</v>
      </c>
      <c r="O824" s="45">
        <f>IFERROR(__xludf.DUMMYFUNCTION("""COMPUTED_VALUE"""),45103.0)</f>
        <v>45103</v>
      </c>
      <c r="P824" s="45">
        <f>IFERROR(__xludf.DUMMYFUNCTION("""COMPUTED_VALUE"""),45145.0)</f>
        <v>45145</v>
      </c>
      <c r="Q824" s="45">
        <f>IFERROR(__xludf.DUMMYFUNCTION("""COMPUTED_VALUE"""),45103.0)</f>
        <v>45103</v>
      </c>
      <c r="R824" s="45">
        <f>IFERROR(__xludf.DUMMYFUNCTION("""COMPUTED_VALUE"""),45145.0)</f>
        <v>45145</v>
      </c>
      <c r="S824" s="43"/>
      <c r="T824" s="43"/>
      <c r="U824" s="43" t="str">
        <f>IFERROR(__xludf.DUMMYFUNCTION("""COMPUTED_VALUE"""),"Global Classroom")</f>
        <v>Global Classroom</v>
      </c>
      <c r="V824" s="43" t="str">
        <f>IFERROR(__xludf.DUMMYFUNCTION("""COMPUTED_VALUE"""),"ADANA")</f>
        <v>ADANA</v>
      </c>
      <c r="W824" s="43" t="str">
        <f>IFERROR(__xludf.DUMMYFUNCTION("""COMPUTED_VALUE"""),"2023-05-30T18:05:47Z")</f>
        <v>2023-05-30T18:05:47Z</v>
      </c>
      <c r="X824" s="43"/>
      <c r="Y824" s="43"/>
      <c r="Z824" s="43"/>
    </row>
    <row r="825" hidden="1">
      <c r="A825" s="43" t="str">
        <f>IFERROR(__xludf.DUMMYFUNCTION("""COMPUTED_VALUE"""),"5271701_1294997")</f>
        <v>5271701_1294997</v>
      </c>
      <c r="B825" s="43" t="str">
        <f>IFERROR(__xludf.DUMMYFUNCTION("""COMPUTED_VALUE"""),"ramazan öztürk")</f>
        <v>ramazan öztürk</v>
      </c>
      <c r="C825" s="43" t="str">
        <f>IFERROR(__xludf.DUMMYFUNCTION("""COMPUTED_VALUE"""),"completed")</f>
        <v>completed</v>
      </c>
      <c r="D825" s="43" t="str">
        <f>IFERROR(__xludf.DUMMYFUNCTION("""COMPUTED_VALUE"""),"No")</f>
        <v>No</v>
      </c>
      <c r="E825" s="43" t="str">
        <f>IFERROR(__xludf.DUMMYFUNCTION("""COMPUTED_VALUE"""),"p_efacf02cad4b82d602a9287fa8434503e2270cd4@inbound.aiesec.org")</f>
        <v>p_efacf02cad4b82d602a9287fa8434503e2270cd4@inbound.aiesec.org</v>
      </c>
      <c r="F825" s="43">
        <f>IFERROR(__xludf.DUMMYFUNCTION("""COMPUTED_VALUE"""),5.436732982E9)</f>
        <v>5436732982</v>
      </c>
      <c r="G825" s="43" t="str">
        <f>IFERROR(__xludf.DUMMYFUNCTION("""COMPUTED_VALUE"""),"Turkey")</f>
        <v>Turkey</v>
      </c>
      <c r="H825" s="43" t="str">
        <f>IFERROR(__xludf.DUMMYFUNCTION("""COMPUTED_VALUE"""),"ISTANBUL WEST")</f>
        <v>ISTANBUL WEST</v>
      </c>
      <c r="I825" s="43" t="str">
        <f>IFERROR(__xludf.DUMMYFUNCTION("""COMPUTED_VALUE"""),"Serbia")</f>
        <v>Serbia</v>
      </c>
      <c r="J825" s="43" t="str">
        <f>IFERROR(__xludf.DUMMYFUNCTION("""COMPUTED_VALUE"""),"Belgrade Faculty of Economics (EF)")</f>
        <v>Belgrade Faculty of Economics (EF)</v>
      </c>
      <c r="K825" s="44" t="str">
        <f>IFERROR(__xludf.DUMMYFUNCTION("""COMPUTED_VALUE"""),"https://expa.aiesec.org/opportunities/1294997")</f>
        <v>https://expa.aiesec.org/opportunities/1294997</v>
      </c>
      <c r="L825" s="43" t="str">
        <f>IFERROR(__xludf.DUMMYFUNCTION("""COMPUTED_VALUE"""),"GV")</f>
        <v>GV</v>
      </c>
      <c r="M825" s="43" t="str">
        <f>IFERROR(__xludf.DUMMYFUNCTION("""COMPUTED_VALUE"""),"short")</f>
        <v>short</v>
      </c>
      <c r="N825" s="45">
        <f>IFERROR(__xludf.DUMMYFUNCTION("""COMPUTED_VALUE"""),45085.0)</f>
        <v>45085</v>
      </c>
      <c r="O825" s="45">
        <f>IFERROR(__xludf.DUMMYFUNCTION("""COMPUTED_VALUE"""),45091.0)</f>
        <v>45091</v>
      </c>
      <c r="P825" s="45">
        <f>IFERROR(__xludf.DUMMYFUNCTION("""COMPUTED_VALUE"""),45133.0)</f>
        <v>45133</v>
      </c>
      <c r="Q825" s="45">
        <f>IFERROR(__xludf.DUMMYFUNCTION("""COMPUTED_VALUE"""),45098.0)</f>
        <v>45098</v>
      </c>
      <c r="R825" s="45">
        <f>IFERROR(__xludf.DUMMYFUNCTION("""COMPUTED_VALUE"""),45140.0)</f>
        <v>45140</v>
      </c>
      <c r="S825" s="43"/>
      <c r="T825" s="43"/>
      <c r="U825" s="43" t="str">
        <f>IFERROR(__xludf.DUMMYFUNCTION("""COMPUTED_VALUE"""),"Youth 4 Impact")</f>
        <v>Youth 4 Impact</v>
      </c>
      <c r="V825" s="43" t="str">
        <f>IFERROR(__xludf.DUMMYFUNCTION("""COMPUTED_VALUE"""),"ISTANBUL - BAKIRKOY")</f>
        <v>ISTANBUL - BAKIRKOY</v>
      </c>
      <c r="W825" s="43" t="str">
        <f>IFERROR(__xludf.DUMMYFUNCTION("""COMPUTED_VALUE"""),"2023-06-05T15:16:32Z")</f>
        <v>2023-06-05T15:16:32Z</v>
      </c>
      <c r="X825" s="43"/>
      <c r="Y825" s="43"/>
      <c r="Z825" s="43"/>
    </row>
    <row r="826" hidden="1">
      <c r="A826" s="43" t="str">
        <f>IFERROR(__xludf.DUMMYFUNCTION("""COMPUTED_VALUE"""),"5272128_1292482")</f>
        <v>5272128_1292482</v>
      </c>
      <c r="B826" s="43" t="str">
        <f>IFERROR(__xludf.DUMMYFUNCTION("""COMPUTED_VALUE"""),"Şevval Köse")</f>
        <v>Şevval Köse</v>
      </c>
      <c r="C826" s="43" t="str">
        <f>IFERROR(__xludf.DUMMYFUNCTION("""COMPUTED_VALUE"""),"approved")</f>
        <v>approved</v>
      </c>
      <c r="D826" s="43" t="str">
        <f>IFERROR(__xludf.DUMMYFUNCTION("""COMPUTED_VALUE"""),"No")</f>
        <v>No</v>
      </c>
      <c r="E826" s="43" t="str">
        <f>IFERROR(__xludf.DUMMYFUNCTION("""COMPUTED_VALUE"""),"p_ce514c1aa1cae42c4e63a1c9c55d1b9c26e5ffb7@inbound.aiesec.org")</f>
        <v>p_ce514c1aa1cae42c4e63a1c9c55d1b9c26e5ffb7@inbound.aiesec.org</v>
      </c>
      <c r="F826" s="43">
        <f>IFERROR(__xludf.DUMMYFUNCTION("""COMPUTED_VALUE"""),5.389718726E9)</f>
        <v>5389718726</v>
      </c>
      <c r="G826" s="43" t="str">
        <f>IFERROR(__xludf.DUMMYFUNCTION("""COMPUTED_VALUE"""),"Turkey")</f>
        <v>Turkey</v>
      </c>
      <c r="H826" s="43" t="str">
        <f>IFERROR(__xludf.DUMMYFUNCTION("""COMPUTED_VALUE"""),"KONYA")</f>
        <v>KONYA</v>
      </c>
      <c r="I826" s="43" t="str">
        <f>IFERROR(__xludf.DUMMYFUNCTION("""COMPUTED_VALUE"""),"Egypt")</f>
        <v>Egypt</v>
      </c>
      <c r="J826" s="43" t="str">
        <f>IFERROR(__xludf.DUMMYFUNCTION("""COMPUTED_VALUE"""),"Zagazig")</f>
        <v>Zagazig</v>
      </c>
      <c r="K826" s="44" t="str">
        <f>IFERROR(__xludf.DUMMYFUNCTION("""COMPUTED_VALUE"""),"https://expa.aiesec.org/opportunities/1292482")</f>
        <v>https://expa.aiesec.org/opportunities/1292482</v>
      </c>
      <c r="L826" s="43" t="str">
        <f>IFERROR(__xludf.DUMMYFUNCTION("""COMPUTED_VALUE"""),"GV")</f>
        <v>GV</v>
      </c>
      <c r="M826" s="43" t="str">
        <f>IFERROR(__xludf.DUMMYFUNCTION("""COMPUTED_VALUE"""),"short")</f>
        <v>short</v>
      </c>
      <c r="N826" s="45">
        <f>IFERROR(__xludf.DUMMYFUNCTION("""COMPUTED_VALUE"""),45086.0)</f>
        <v>45086</v>
      </c>
      <c r="O826" s="45">
        <f>IFERROR(__xludf.DUMMYFUNCTION("""COMPUTED_VALUE"""),45170.0)</f>
        <v>45170</v>
      </c>
      <c r="P826" s="45">
        <f>IFERROR(__xludf.DUMMYFUNCTION("""COMPUTED_VALUE"""),45212.0)</f>
        <v>45212</v>
      </c>
      <c r="Q826" s="45"/>
      <c r="R826" s="45"/>
      <c r="S826" s="43"/>
      <c r="T826" s="43"/>
      <c r="U826" s="43" t="str">
        <f>IFERROR(__xludf.DUMMYFUNCTION("""COMPUTED_VALUE"""),"Global Classroom")</f>
        <v>Global Classroom</v>
      </c>
      <c r="V826" s="43" t="str">
        <f>IFERROR(__xludf.DUMMYFUNCTION("""COMPUTED_VALUE"""),"KONYA")</f>
        <v>KONYA</v>
      </c>
      <c r="W826" s="43" t="str">
        <f>IFERROR(__xludf.DUMMYFUNCTION("""COMPUTED_VALUE"""),"2023-06-06T17:03:04Z")</f>
        <v>2023-06-06T17:03:04Z</v>
      </c>
      <c r="X826" s="43"/>
      <c r="Y826" s="43"/>
      <c r="Z826" s="43"/>
    </row>
    <row r="827" hidden="1">
      <c r="A827" s="43" t="str">
        <f>IFERROR(__xludf.DUMMYFUNCTION("""COMPUTED_VALUE"""),"5273366_1285905")</f>
        <v>5273366_1285905</v>
      </c>
      <c r="B827" s="43" t="str">
        <f>IFERROR(__xludf.DUMMYFUNCTION("""COMPUTED_VALUE"""),"Fatih Olgun")</f>
        <v>Fatih Olgun</v>
      </c>
      <c r="C827" s="43" t="str">
        <f>IFERROR(__xludf.DUMMYFUNCTION("""COMPUTED_VALUE"""),"completed")</f>
        <v>completed</v>
      </c>
      <c r="D827" s="43" t="str">
        <f>IFERROR(__xludf.DUMMYFUNCTION("""COMPUTED_VALUE"""),"No")</f>
        <v>No</v>
      </c>
      <c r="E827" s="43" t="str">
        <f>IFERROR(__xludf.DUMMYFUNCTION("""COMPUTED_VALUE"""),"p_7fda315b1ab12cb0faf6b3d90242de4c17b6478e@inbound.aiesec.org")</f>
        <v>p_7fda315b1ab12cb0faf6b3d90242de4c17b6478e@inbound.aiesec.org</v>
      </c>
      <c r="F827" s="43"/>
      <c r="G827" s="43" t="str">
        <f>IFERROR(__xludf.DUMMYFUNCTION("""COMPUTED_VALUE"""),"Turkey")</f>
        <v>Turkey</v>
      </c>
      <c r="H827" s="43" t="str">
        <f>IFERROR(__xludf.DUMMYFUNCTION("""COMPUTED_VALUE"""),"ADANA")</f>
        <v>ADANA</v>
      </c>
      <c r="I827" s="43" t="str">
        <f>IFERROR(__xludf.DUMMYFUNCTION("""COMPUTED_VALUE"""),"Egypt")</f>
        <v>Egypt</v>
      </c>
      <c r="J827" s="43" t="str">
        <f>IFERROR(__xludf.DUMMYFUNCTION("""COMPUTED_VALUE"""),"AAST In CAIRO")</f>
        <v>AAST In CAIRO</v>
      </c>
      <c r="K827" s="44" t="str">
        <f>IFERROR(__xludf.DUMMYFUNCTION("""COMPUTED_VALUE"""),"https://expa.aiesec.org/opportunities/1285905")</f>
        <v>https://expa.aiesec.org/opportunities/1285905</v>
      </c>
      <c r="L827" s="43" t="str">
        <f>IFERROR(__xludf.DUMMYFUNCTION("""COMPUTED_VALUE"""),"GV")</f>
        <v>GV</v>
      </c>
      <c r="M827" s="43" t="str">
        <f>IFERROR(__xludf.DUMMYFUNCTION("""COMPUTED_VALUE"""),"short")</f>
        <v>short</v>
      </c>
      <c r="N827" s="45">
        <f>IFERROR(__xludf.DUMMYFUNCTION("""COMPUTED_VALUE"""),45087.0)</f>
        <v>45087</v>
      </c>
      <c r="O827" s="45">
        <f>IFERROR(__xludf.DUMMYFUNCTION("""COMPUTED_VALUE"""),45108.0)</f>
        <v>45108</v>
      </c>
      <c r="P827" s="45">
        <f>IFERROR(__xludf.DUMMYFUNCTION("""COMPUTED_VALUE"""),45150.0)</f>
        <v>45150</v>
      </c>
      <c r="Q827" s="45">
        <f>IFERROR(__xludf.DUMMYFUNCTION("""COMPUTED_VALUE"""),45121.0)</f>
        <v>45121</v>
      </c>
      <c r="R827" s="45">
        <f>IFERROR(__xludf.DUMMYFUNCTION("""COMPUTED_VALUE"""),45163.0)</f>
        <v>45163</v>
      </c>
      <c r="S827" s="43"/>
      <c r="T827" s="43"/>
      <c r="U827" s="43" t="str">
        <f>IFERROR(__xludf.DUMMYFUNCTION("""COMPUTED_VALUE"""),"Equify")</f>
        <v>Equify</v>
      </c>
      <c r="V827" s="43" t="str">
        <f>IFERROR(__xludf.DUMMYFUNCTION("""COMPUTED_VALUE"""),"-")</f>
        <v>-</v>
      </c>
      <c r="W827" s="43" t="str">
        <f>IFERROR(__xludf.DUMMYFUNCTION("""COMPUTED_VALUE"""),"2023-06-09T15:01:06Z")</f>
        <v>2023-06-09T15:01:06Z</v>
      </c>
      <c r="X827" s="43"/>
      <c r="Y827" s="43"/>
      <c r="Z827" s="43"/>
    </row>
    <row r="828" hidden="1">
      <c r="A828" s="43" t="str">
        <f>IFERROR(__xludf.DUMMYFUNCTION("""COMPUTED_VALUE"""),"5271978_1293944")</f>
        <v>5271978_1293944</v>
      </c>
      <c r="B828" s="43" t="str">
        <f>IFERROR(__xludf.DUMMYFUNCTION("""COMPUTED_VALUE"""),"Zeynep Sena Akşehirli")</f>
        <v>Zeynep Sena Akşehirli</v>
      </c>
      <c r="C828" s="43" t="str">
        <f>IFERROR(__xludf.DUMMYFUNCTION("""COMPUTED_VALUE"""),"completed")</f>
        <v>completed</v>
      </c>
      <c r="D828" s="43" t="str">
        <f>IFERROR(__xludf.DUMMYFUNCTION("""COMPUTED_VALUE"""),"No")</f>
        <v>No</v>
      </c>
      <c r="E828" s="43" t="str">
        <f>IFERROR(__xludf.DUMMYFUNCTION("""COMPUTED_VALUE"""),"p_4816ea557c4649a6804e9bded427c96426d338e4@inbound.aiesec.org")</f>
        <v>p_4816ea557c4649a6804e9bded427c96426d338e4@inbound.aiesec.org</v>
      </c>
      <c r="F828" s="43">
        <f>IFERROR(__xludf.DUMMYFUNCTION("""COMPUTED_VALUE"""),5.528228975E9)</f>
        <v>5528228975</v>
      </c>
      <c r="G828" s="43" t="str">
        <f>IFERROR(__xludf.DUMMYFUNCTION("""COMPUTED_VALUE"""),"Turkey")</f>
        <v>Turkey</v>
      </c>
      <c r="H828" s="43" t="str">
        <f>IFERROR(__xludf.DUMMYFUNCTION("""COMPUTED_VALUE"""),"ISTANBUL")</f>
        <v>ISTANBUL</v>
      </c>
      <c r="I828" s="43" t="str">
        <f>IFERROR(__xludf.DUMMYFUNCTION("""COMPUTED_VALUE"""),"Egypt")</f>
        <v>Egypt</v>
      </c>
      <c r="J828" s="43" t="str">
        <f>IFERROR(__xludf.DUMMYFUNCTION("""COMPUTED_VALUE"""),"Helwan")</f>
        <v>Helwan</v>
      </c>
      <c r="K828" s="44" t="str">
        <f>IFERROR(__xludf.DUMMYFUNCTION("""COMPUTED_VALUE"""),"https://expa.aiesec.org/opportunities/1293944")</f>
        <v>https://expa.aiesec.org/opportunities/1293944</v>
      </c>
      <c r="L828" s="43" t="str">
        <f>IFERROR(__xludf.DUMMYFUNCTION("""COMPUTED_VALUE"""),"GV")</f>
        <v>GV</v>
      </c>
      <c r="M828" s="43" t="str">
        <f>IFERROR(__xludf.DUMMYFUNCTION("""COMPUTED_VALUE"""),"short")</f>
        <v>short</v>
      </c>
      <c r="N828" s="45">
        <f>IFERROR(__xludf.DUMMYFUNCTION("""COMPUTED_VALUE"""),45087.0)</f>
        <v>45087</v>
      </c>
      <c r="O828" s="45">
        <f>IFERROR(__xludf.DUMMYFUNCTION("""COMPUTED_VALUE"""),45092.0)</f>
        <v>45092</v>
      </c>
      <c r="P828" s="45">
        <f>IFERROR(__xludf.DUMMYFUNCTION("""COMPUTED_VALUE"""),45134.0)</f>
        <v>45134</v>
      </c>
      <c r="Q828" s="45">
        <f>IFERROR(__xludf.DUMMYFUNCTION("""COMPUTED_VALUE"""),45093.0)</f>
        <v>45093</v>
      </c>
      <c r="R828" s="45">
        <f>IFERROR(__xludf.DUMMYFUNCTION("""COMPUTED_VALUE"""),45135.0)</f>
        <v>45135</v>
      </c>
      <c r="S828" s="43"/>
      <c r="T828" s="43"/>
      <c r="U828" s="43" t="str">
        <f>IFERROR(__xludf.DUMMYFUNCTION("""COMPUTED_VALUE"""),"Explorer")</f>
        <v>Explorer</v>
      </c>
      <c r="V828" s="43" t="str">
        <f>IFERROR(__xludf.DUMMYFUNCTION("""COMPUTED_VALUE"""),"ISTANBUL - BEYOGLU")</f>
        <v>ISTANBUL - BEYOGLU</v>
      </c>
      <c r="W828" s="43" t="str">
        <f>IFERROR(__xludf.DUMMYFUNCTION("""COMPUTED_VALUE"""),"2023-06-06T09:29:24Z")</f>
        <v>2023-06-06T09:29:24Z</v>
      </c>
      <c r="X828" s="43"/>
      <c r="Y828" s="43"/>
      <c r="Z828" s="43"/>
    </row>
    <row r="829" hidden="1">
      <c r="A829" s="43" t="str">
        <f>IFERROR(__xludf.DUMMYFUNCTION("""COMPUTED_VALUE"""),"5273866_1292298")</f>
        <v>5273866_1292298</v>
      </c>
      <c r="B829" s="43" t="str">
        <f>IFERROR(__xludf.DUMMYFUNCTION("""COMPUTED_VALUE"""),"Nil Özge Moya")</f>
        <v>Nil Özge Moya</v>
      </c>
      <c r="C829" s="43" t="str">
        <f>IFERROR(__xludf.DUMMYFUNCTION("""COMPUTED_VALUE"""),"realization_broken")</f>
        <v>realization_broken</v>
      </c>
      <c r="D829" s="43" t="str">
        <f>IFERROR(__xludf.DUMMYFUNCTION("""COMPUTED_VALUE"""),"No")</f>
        <v>No</v>
      </c>
      <c r="E829" s="43" t="str">
        <f>IFERROR(__xludf.DUMMYFUNCTION("""COMPUTED_VALUE"""),"p_af2b73dab2811e0f745996910941184ecc30f373@inbound.aiesec.org")</f>
        <v>p_af2b73dab2811e0f745996910941184ecc30f373@inbound.aiesec.org</v>
      </c>
      <c r="F829" s="43">
        <f>IFERROR(__xludf.DUMMYFUNCTION("""COMPUTED_VALUE"""),5.539248086E9)</f>
        <v>5539248086</v>
      </c>
      <c r="G829" s="43" t="str">
        <f>IFERROR(__xludf.DUMMYFUNCTION("""COMPUTED_VALUE"""),"Turkey")</f>
        <v>Turkey</v>
      </c>
      <c r="H829" s="43" t="str">
        <f>IFERROR(__xludf.DUMMYFUNCTION("""COMPUTED_VALUE"""),"KOCAELI")</f>
        <v>KOCAELI</v>
      </c>
      <c r="I829" s="43" t="str">
        <f>IFERROR(__xludf.DUMMYFUNCTION("""COMPUTED_VALUE"""),"Egypt")</f>
        <v>Egypt</v>
      </c>
      <c r="J829" s="43" t="str">
        <f>IFERROR(__xludf.DUMMYFUNCTION("""COMPUTED_VALUE"""),"Cairo University")</f>
        <v>Cairo University</v>
      </c>
      <c r="K829" s="44" t="str">
        <f>IFERROR(__xludf.DUMMYFUNCTION("""COMPUTED_VALUE"""),"https://expa.aiesec.org/opportunities/1292298")</f>
        <v>https://expa.aiesec.org/opportunities/1292298</v>
      </c>
      <c r="L829" s="43" t="str">
        <f>IFERROR(__xludf.DUMMYFUNCTION("""COMPUTED_VALUE"""),"GV")</f>
        <v>GV</v>
      </c>
      <c r="M829" s="43" t="str">
        <f>IFERROR(__xludf.DUMMYFUNCTION("""COMPUTED_VALUE"""),"short")</f>
        <v>short</v>
      </c>
      <c r="N829" s="45">
        <f>IFERROR(__xludf.DUMMYFUNCTION("""COMPUTED_VALUE"""),45088.0)</f>
        <v>45088</v>
      </c>
      <c r="O829" s="45">
        <f>IFERROR(__xludf.DUMMYFUNCTION("""COMPUTED_VALUE"""),45132.0)</f>
        <v>45132</v>
      </c>
      <c r="P829" s="45">
        <f>IFERROR(__xludf.DUMMYFUNCTION("""COMPUTED_VALUE"""),45176.0)</f>
        <v>45176</v>
      </c>
      <c r="Q829" s="45"/>
      <c r="R829" s="45"/>
      <c r="S829" s="43"/>
      <c r="T829" s="43"/>
      <c r="U829" s="43" t="str">
        <f>IFERROR(__xludf.DUMMYFUNCTION("""COMPUTED_VALUE"""),"Fingerprint")</f>
        <v>Fingerprint</v>
      </c>
      <c r="V829" s="43" t="str">
        <f>IFERROR(__xludf.DUMMYFUNCTION("""COMPUTED_VALUE"""),"KOCAELI")</f>
        <v>KOCAELI</v>
      </c>
      <c r="W829" s="43" t="str">
        <f>IFERROR(__xludf.DUMMYFUNCTION("""COMPUTED_VALUE"""),"2023-06-11T10:13:42Z")</f>
        <v>2023-06-11T10:13:42Z</v>
      </c>
      <c r="X829" s="43"/>
      <c r="Y829" s="43"/>
      <c r="Z829" s="43"/>
    </row>
    <row r="830" hidden="1">
      <c r="A830" s="43" t="str">
        <f>IFERROR(__xludf.DUMMYFUNCTION("""COMPUTED_VALUE"""),"5267952_1293504")</f>
        <v>5267952_1293504</v>
      </c>
      <c r="B830" s="43" t="str">
        <f>IFERROR(__xludf.DUMMYFUNCTION("""COMPUTED_VALUE"""),"Cansu Genç")</f>
        <v>Cansu Genç</v>
      </c>
      <c r="C830" s="43" t="str">
        <f>IFERROR(__xludf.DUMMYFUNCTION("""COMPUTED_VALUE"""),"completed")</f>
        <v>completed</v>
      </c>
      <c r="D830" s="43" t="str">
        <f>IFERROR(__xludf.DUMMYFUNCTION("""COMPUTED_VALUE"""),"No")</f>
        <v>No</v>
      </c>
      <c r="E830" s="43" t="str">
        <f>IFERROR(__xludf.DUMMYFUNCTION("""COMPUTED_VALUE"""),"p_9b71c6f7f4887a4df757bb33f11f875cd0667260@inbound.aiesec.org")</f>
        <v>p_9b71c6f7f4887a4df757bb33f11f875cd0667260@inbound.aiesec.org</v>
      </c>
      <c r="F830" s="43">
        <f>IFERROR(__xludf.DUMMYFUNCTION("""COMPUTED_VALUE"""),5.338629877E9)</f>
        <v>5338629877</v>
      </c>
      <c r="G830" s="43" t="str">
        <f>IFERROR(__xludf.DUMMYFUNCTION("""COMPUTED_VALUE"""),"Turkey")</f>
        <v>Turkey</v>
      </c>
      <c r="H830" s="43" t="str">
        <f>IFERROR(__xludf.DUMMYFUNCTION("""COMPUTED_VALUE"""),"EASTERN MEDITERRANEAN")</f>
        <v>EASTERN MEDITERRANEAN</v>
      </c>
      <c r="I830" s="43" t="str">
        <f>IFERROR(__xludf.DUMMYFUNCTION("""COMPUTED_VALUE"""),"Lithuania")</f>
        <v>Lithuania</v>
      </c>
      <c r="J830" s="43" t="str">
        <f>IFERROR(__xludf.DUMMYFUNCTION("""COMPUTED_VALUE"""),"VILNIUS")</f>
        <v>VILNIUS</v>
      </c>
      <c r="K830" s="44" t="str">
        <f>IFERROR(__xludf.DUMMYFUNCTION("""COMPUTED_VALUE"""),"https://expa.aiesec.org/opportunities/1293504")</f>
        <v>https://expa.aiesec.org/opportunities/1293504</v>
      </c>
      <c r="L830" s="43" t="str">
        <f>IFERROR(__xludf.DUMMYFUNCTION("""COMPUTED_VALUE"""),"GV")</f>
        <v>GV</v>
      </c>
      <c r="M830" s="43" t="str">
        <f>IFERROR(__xludf.DUMMYFUNCTION("""COMPUTED_VALUE"""),"short")</f>
        <v>short</v>
      </c>
      <c r="N830" s="45">
        <f>IFERROR(__xludf.DUMMYFUNCTION("""COMPUTED_VALUE"""),45088.0)</f>
        <v>45088</v>
      </c>
      <c r="O830" s="45">
        <f>IFERROR(__xludf.DUMMYFUNCTION("""COMPUTED_VALUE"""),45088.0)</f>
        <v>45088</v>
      </c>
      <c r="P830" s="45">
        <f>IFERROR(__xludf.DUMMYFUNCTION("""COMPUTED_VALUE"""),45130.0)</f>
        <v>45130</v>
      </c>
      <c r="Q830" s="45">
        <f>IFERROR(__xludf.DUMMYFUNCTION("""COMPUTED_VALUE"""),45092.0)</f>
        <v>45092</v>
      </c>
      <c r="R830" s="45">
        <f>IFERROR(__xludf.DUMMYFUNCTION("""COMPUTED_VALUE"""),45134.0)</f>
        <v>45134</v>
      </c>
      <c r="S830" s="43"/>
      <c r="T830" s="43"/>
      <c r="U830" s="43" t="str">
        <f>IFERROR(__xludf.DUMMYFUNCTION("""COMPUTED_VALUE"""),"Explorer")</f>
        <v>Explorer</v>
      </c>
      <c r="V830" s="43" t="str">
        <f>IFERROR(__xludf.DUMMYFUNCTION("""COMPUTED_VALUE"""),"NORTH CYPRUS")</f>
        <v>NORTH CYPRUS</v>
      </c>
      <c r="W830" s="43" t="str">
        <f>IFERROR(__xludf.DUMMYFUNCTION("""COMPUTED_VALUE"""),"2023-05-28T16:08:07Z")</f>
        <v>2023-05-28T16:08:07Z</v>
      </c>
      <c r="X830" s="43"/>
      <c r="Y830" s="43"/>
      <c r="Z830" s="43"/>
    </row>
    <row r="831" hidden="1">
      <c r="A831" s="43" t="str">
        <f>IFERROR(__xludf.DUMMYFUNCTION("""COMPUTED_VALUE"""),"5265462_1295749")</f>
        <v>5265462_1295749</v>
      </c>
      <c r="B831" s="43" t="str">
        <f>IFERROR(__xludf.DUMMYFUNCTION("""COMPUTED_VALUE"""),"Yiğithan Alaybaşı")</f>
        <v>Yiğithan Alaybaşı</v>
      </c>
      <c r="C831" s="43" t="str">
        <f>IFERROR(__xludf.DUMMYFUNCTION("""COMPUTED_VALUE"""),"completed")</f>
        <v>completed</v>
      </c>
      <c r="D831" s="43" t="str">
        <f>IFERROR(__xludf.DUMMYFUNCTION("""COMPUTED_VALUE"""),"No")</f>
        <v>No</v>
      </c>
      <c r="E831" s="43" t="str">
        <f>IFERROR(__xludf.DUMMYFUNCTION("""COMPUTED_VALUE"""),"p_702b449a2f07a6a16897aa74ab13fb7718f74e5f@inbound.aiesec.org")</f>
        <v>p_702b449a2f07a6a16897aa74ab13fb7718f74e5f@inbound.aiesec.org</v>
      </c>
      <c r="F831" s="43">
        <f>IFERROR(__xludf.DUMMYFUNCTION("""COMPUTED_VALUE"""),5.435908941E9)</f>
        <v>5435908941</v>
      </c>
      <c r="G831" s="43" t="str">
        <f>IFERROR(__xludf.DUMMYFUNCTION("""COMPUTED_VALUE"""),"Turkey")</f>
        <v>Turkey</v>
      </c>
      <c r="H831" s="43" t="str">
        <f>IFERROR(__xludf.DUMMYFUNCTION("""COMPUTED_VALUE"""),"ISTANBUL WEST")</f>
        <v>ISTANBUL WEST</v>
      </c>
      <c r="I831" s="43" t="str">
        <f>IFERROR(__xludf.DUMMYFUNCTION("""COMPUTED_VALUE"""),"Romania")</f>
        <v>Romania</v>
      </c>
      <c r="J831" s="43" t="str">
        <f>IFERROR(__xludf.DUMMYFUNCTION("""COMPUTED_VALUE"""),"GALATI")</f>
        <v>GALATI</v>
      </c>
      <c r="K831" s="44" t="str">
        <f>IFERROR(__xludf.DUMMYFUNCTION("""COMPUTED_VALUE"""),"https://expa.aiesec.org/opportunities/1295749")</f>
        <v>https://expa.aiesec.org/opportunities/1295749</v>
      </c>
      <c r="L831" s="43" t="str">
        <f>IFERROR(__xludf.DUMMYFUNCTION("""COMPUTED_VALUE"""),"GV")</f>
        <v>GV</v>
      </c>
      <c r="M831" s="43" t="str">
        <f>IFERROR(__xludf.DUMMYFUNCTION("""COMPUTED_VALUE"""),"short")</f>
        <v>short</v>
      </c>
      <c r="N831" s="45">
        <f>IFERROR(__xludf.DUMMYFUNCTION("""COMPUTED_VALUE"""),45088.0)</f>
        <v>45088</v>
      </c>
      <c r="O831" s="45">
        <f>IFERROR(__xludf.DUMMYFUNCTION("""COMPUTED_VALUE"""),45139.0)</f>
        <v>45139</v>
      </c>
      <c r="P831" s="45">
        <f>IFERROR(__xludf.DUMMYFUNCTION("""COMPUTED_VALUE"""),45181.0)</f>
        <v>45181</v>
      </c>
      <c r="Q831" s="45">
        <f>IFERROR(__xludf.DUMMYFUNCTION("""COMPUTED_VALUE"""),45140.0)</f>
        <v>45140</v>
      </c>
      <c r="R831" s="45">
        <f>IFERROR(__xludf.DUMMYFUNCTION("""COMPUTED_VALUE"""),45181.0)</f>
        <v>45181</v>
      </c>
      <c r="S831" s="43"/>
      <c r="T831" s="43"/>
      <c r="U831" s="43" t="str">
        <f>IFERROR(__xludf.DUMMYFUNCTION("""COMPUTED_VALUE"""),"Green Leaders")</f>
        <v>Green Leaders</v>
      </c>
      <c r="V831" s="43" t="str">
        <f>IFERROR(__xludf.DUMMYFUNCTION("""COMPUTED_VALUE"""),"ISTANBUL - BAKIRKOY")</f>
        <v>ISTANBUL - BAKIRKOY</v>
      </c>
      <c r="W831" s="43" t="str">
        <f>IFERROR(__xludf.DUMMYFUNCTION("""COMPUTED_VALUE"""),"2023-05-23T15:53:12Z")</f>
        <v>2023-05-23T15:53:12Z</v>
      </c>
      <c r="X831" s="43"/>
      <c r="Y831" s="43"/>
      <c r="Z831" s="43"/>
    </row>
    <row r="832" hidden="1">
      <c r="A832" s="43" t="str">
        <f>IFERROR(__xludf.DUMMYFUNCTION("""COMPUTED_VALUE"""),"5271167_1294488")</f>
        <v>5271167_1294488</v>
      </c>
      <c r="B832" s="43" t="str">
        <f>IFERROR(__xludf.DUMMYFUNCTION("""COMPUTED_VALUE"""),"Ceyda Yıldız")</f>
        <v>Ceyda Yıldız</v>
      </c>
      <c r="C832" s="43" t="str">
        <f>IFERROR(__xludf.DUMMYFUNCTION("""COMPUTED_VALUE"""),"realization_broken")</f>
        <v>realization_broken</v>
      </c>
      <c r="D832" s="43" t="str">
        <f>IFERROR(__xludf.DUMMYFUNCTION("""COMPUTED_VALUE"""),"No")</f>
        <v>No</v>
      </c>
      <c r="E832" s="43" t="str">
        <f>IFERROR(__xludf.DUMMYFUNCTION("""COMPUTED_VALUE"""),"p_fcbaf72da52ace8c07e420fad4cef0486b63a302@inbound.aiesec.org")</f>
        <v>p_fcbaf72da52ace8c07e420fad4cef0486b63a302@inbound.aiesec.org</v>
      </c>
      <c r="F832" s="43">
        <f>IFERROR(__xludf.DUMMYFUNCTION("""COMPUTED_VALUE"""),5.453364495E9)</f>
        <v>5453364495</v>
      </c>
      <c r="G832" s="43" t="str">
        <f>IFERROR(__xludf.DUMMYFUNCTION("""COMPUTED_VALUE"""),"Turkey")</f>
        <v>Turkey</v>
      </c>
      <c r="H832" s="43" t="str">
        <f>IFERROR(__xludf.DUMMYFUNCTION("""COMPUTED_VALUE"""),"ISTANBUL ASIA")</f>
        <v>ISTANBUL ASIA</v>
      </c>
      <c r="I832" s="43" t="str">
        <f>IFERROR(__xludf.DUMMYFUNCTION("""COMPUTED_VALUE"""),"Egypt")</f>
        <v>Egypt</v>
      </c>
      <c r="J832" s="43" t="str">
        <f>IFERROR(__xludf.DUMMYFUNCTION("""COMPUTED_VALUE"""),"Ain Shams University")</f>
        <v>Ain Shams University</v>
      </c>
      <c r="K832" s="44" t="str">
        <f>IFERROR(__xludf.DUMMYFUNCTION("""COMPUTED_VALUE"""),"https://expa.aiesec.org/opportunities/1294488")</f>
        <v>https://expa.aiesec.org/opportunities/1294488</v>
      </c>
      <c r="L832" s="43" t="str">
        <f>IFERROR(__xludf.DUMMYFUNCTION("""COMPUTED_VALUE"""),"GV")</f>
        <v>GV</v>
      </c>
      <c r="M832" s="43" t="str">
        <f>IFERROR(__xludf.DUMMYFUNCTION("""COMPUTED_VALUE"""),"short")</f>
        <v>short</v>
      </c>
      <c r="N832" s="45">
        <f>IFERROR(__xludf.DUMMYFUNCTION("""COMPUTED_VALUE"""),45089.0)</f>
        <v>45089</v>
      </c>
      <c r="O832" s="45">
        <f>IFERROR(__xludf.DUMMYFUNCTION("""COMPUTED_VALUE"""),45108.0)</f>
        <v>45108</v>
      </c>
      <c r="P832" s="45">
        <f>IFERROR(__xludf.DUMMYFUNCTION("""COMPUTED_VALUE"""),45150.0)</f>
        <v>45150</v>
      </c>
      <c r="Q832" s="45"/>
      <c r="R832" s="45"/>
      <c r="S832" s="43"/>
      <c r="T832" s="43"/>
      <c r="U832" s="43" t="str">
        <f>IFERROR(__xludf.DUMMYFUNCTION("""COMPUTED_VALUE"""),"Heartbeat")</f>
        <v>Heartbeat</v>
      </c>
      <c r="V832" s="43" t="str">
        <f>IFERROR(__xludf.DUMMYFUNCTION("""COMPUTED_VALUE"""),"ISTANBUL ASIA")</f>
        <v>ISTANBUL ASIA</v>
      </c>
      <c r="W832" s="43" t="str">
        <f>IFERROR(__xludf.DUMMYFUNCTION("""COMPUTED_VALUE"""),"2023-06-03T21:59:25Z")</f>
        <v>2023-06-03T21:59:25Z</v>
      </c>
      <c r="X832" s="43"/>
      <c r="Y832" s="43"/>
      <c r="Z832" s="43"/>
    </row>
    <row r="833" hidden="1">
      <c r="A833" s="43" t="str">
        <f>IFERROR(__xludf.DUMMYFUNCTION("""COMPUTED_VALUE"""),"5044005_1295438")</f>
        <v>5044005_1295438</v>
      </c>
      <c r="B833" s="43" t="str">
        <f>IFERROR(__xludf.DUMMYFUNCTION("""COMPUTED_VALUE"""),"Zeynep Sekin")</f>
        <v>Zeynep Sekin</v>
      </c>
      <c r="C833" s="43" t="str">
        <f>IFERROR(__xludf.DUMMYFUNCTION("""COMPUTED_VALUE"""),"completed")</f>
        <v>completed</v>
      </c>
      <c r="D833" s="43" t="str">
        <f>IFERROR(__xludf.DUMMYFUNCTION("""COMPUTED_VALUE"""),"No")</f>
        <v>No</v>
      </c>
      <c r="E833" s="43" t="str">
        <f>IFERROR(__xludf.DUMMYFUNCTION("""COMPUTED_VALUE"""),"p_7352cd6ac37bba9e5b222c5e326bd1989dfcab2c@inbound.aiesec.org")</f>
        <v>p_7352cd6ac37bba9e5b222c5e326bd1989dfcab2c@inbound.aiesec.org</v>
      </c>
      <c r="F833" s="43">
        <f>IFERROR(__xludf.DUMMYFUNCTION("""COMPUTED_VALUE"""),5.340318959E9)</f>
        <v>5340318959</v>
      </c>
      <c r="G833" s="43" t="str">
        <f>IFERROR(__xludf.DUMMYFUNCTION("""COMPUTED_VALUE"""),"Turkey")</f>
        <v>Turkey</v>
      </c>
      <c r="H833" s="43" t="str">
        <f>IFERROR(__xludf.DUMMYFUNCTION("""COMPUTED_VALUE"""),"ISTANBUL ASIA")</f>
        <v>ISTANBUL ASIA</v>
      </c>
      <c r="I833" s="43" t="str">
        <f>IFERROR(__xludf.DUMMYFUNCTION("""COMPUTED_VALUE"""),"Romania")</f>
        <v>Romania</v>
      </c>
      <c r="J833" s="43" t="str">
        <f>IFERROR(__xludf.DUMMYFUNCTION("""COMPUTED_VALUE"""),"BUCURESTI")</f>
        <v>BUCURESTI</v>
      </c>
      <c r="K833" s="44" t="str">
        <f>IFERROR(__xludf.DUMMYFUNCTION("""COMPUTED_VALUE"""),"https://expa.aiesec.org/opportunities/1295438")</f>
        <v>https://expa.aiesec.org/opportunities/1295438</v>
      </c>
      <c r="L833" s="43" t="str">
        <f>IFERROR(__xludf.DUMMYFUNCTION("""COMPUTED_VALUE"""),"GV")</f>
        <v>GV</v>
      </c>
      <c r="M833" s="43" t="str">
        <f>IFERROR(__xludf.DUMMYFUNCTION("""COMPUTED_VALUE"""),"short")</f>
        <v>short</v>
      </c>
      <c r="N833" s="45">
        <f>IFERROR(__xludf.DUMMYFUNCTION("""COMPUTED_VALUE"""),45089.0)</f>
        <v>45089</v>
      </c>
      <c r="O833" s="45">
        <f>IFERROR(__xludf.DUMMYFUNCTION("""COMPUTED_VALUE"""),45187.0)</f>
        <v>45187</v>
      </c>
      <c r="P833" s="45">
        <f>IFERROR(__xludf.DUMMYFUNCTION("""COMPUTED_VALUE"""),45229.0)</f>
        <v>45229</v>
      </c>
      <c r="Q833" s="45">
        <f>IFERROR(__xludf.DUMMYFUNCTION("""COMPUTED_VALUE"""),45191.0)</f>
        <v>45191</v>
      </c>
      <c r="R833" s="45">
        <f>IFERROR(__xludf.DUMMYFUNCTION("""COMPUTED_VALUE"""),45232.0)</f>
        <v>45232</v>
      </c>
      <c r="S833" s="43"/>
      <c r="T833" s="43"/>
      <c r="U833" s="43" t="str">
        <f>IFERROR(__xludf.DUMMYFUNCTION("""COMPUTED_VALUE"""),"Green Leaders")</f>
        <v>Green Leaders</v>
      </c>
      <c r="V833" s="43" t="str">
        <f>IFERROR(__xludf.DUMMYFUNCTION("""COMPUTED_VALUE"""),"ISTANBUL - BAKIRKOY")</f>
        <v>ISTANBUL - BAKIRKOY</v>
      </c>
      <c r="W833" s="43" t="str">
        <f>IFERROR(__xludf.DUMMYFUNCTION("""COMPUTED_VALUE"""),"2022-04-22T16:08:03Z")</f>
        <v>2022-04-22T16:08:03Z</v>
      </c>
      <c r="X833" s="43"/>
      <c r="Y833" s="43"/>
      <c r="Z833" s="43"/>
    </row>
    <row r="834" hidden="1">
      <c r="A834" s="43" t="str">
        <f>IFERROR(__xludf.DUMMYFUNCTION("""COMPUTED_VALUE"""),"5270191_1295118")</f>
        <v>5270191_1295118</v>
      </c>
      <c r="B834" s="43" t="str">
        <f>IFERROR(__xludf.DUMMYFUNCTION("""COMPUTED_VALUE"""),"Nilüfer Geyik")</f>
        <v>Nilüfer Geyik</v>
      </c>
      <c r="C834" s="43" t="str">
        <f>IFERROR(__xludf.DUMMYFUNCTION("""COMPUTED_VALUE"""),"completed")</f>
        <v>completed</v>
      </c>
      <c r="D834" s="43" t="str">
        <f>IFERROR(__xludf.DUMMYFUNCTION("""COMPUTED_VALUE"""),"No")</f>
        <v>No</v>
      </c>
      <c r="E834" s="43" t="str">
        <f>IFERROR(__xludf.DUMMYFUNCTION("""COMPUTED_VALUE"""),"p_9f8c56330a7dd06813afd00472fd03556e921cda@inbound.aiesec.org")</f>
        <v>p_9f8c56330a7dd06813afd00472fd03556e921cda@inbound.aiesec.org</v>
      </c>
      <c r="F834" s="43"/>
      <c r="G834" s="43" t="str">
        <f>IFERROR(__xludf.DUMMYFUNCTION("""COMPUTED_VALUE"""),"Turkey")</f>
        <v>Turkey</v>
      </c>
      <c r="H834" s="43" t="str">
        <f>IFERROR(__xludf.DUMMYFUNCTION("""COMPUTED_VALUE"""),"ADANA")</f>
        <v>ADANA</v>
      </c>
      <c r="I834" s="43" t="str">
        <f>IFERROR(__xludf.DUMMYFUNCTION("""COMPUTED_VALUE"""),"Romania")</f>
        <v>Romania</v>
      </c>
      <c r="J834" s="43" t="str">
        <f>IFERROR(__xludf.DUMMYFUNCTION("""COMPUTED_VALUE"""),"BRASOV")</f>
        <v>BRASOV</v>
      </c>
      <c r="K834" s="44" t="str">
        <f>IFERROR(__xludf.DUMMYFUNCTION("""COMPUTED_VALUE"""),"https://expa.aiesec.org/opportunities/1295118")</f>
        <v>https://expa.aiesec.org/opportunities/1295118</v>
      </c>
      <c r="L834" s="43" t="str">
        <f>IFERROR(__xludf.DUMMYFUNCTION("""COMPUTED_VALUE"""),"GV")</f>
        <v>GV</v>
      </c>
      <c r="M834" s="43" t="str">
        <f>IFERROR(__xludf.DUMMYFUNCTION("""COMPUTED_VALUE"""),"short")</f>
        <v>short</v>
      </c>
      <c r="N834" s="45">
        <f>IFERROR(__xludf.DUMMYFUNCTION("""COMPUTED_VALUE"""),45090.0)</f>
        <v>45090</v>
      </c>
      <c r="O834" s="45">
        <f>IFERROR(__xludf.DUMMYFUNCTION("""COMPUTED_VALUE"""),45110.0)</f>
        <v>45110</v>
      </c>
      <c r="P834" s="45">
        <f>IFERROR(__xludf.DUMMYFUNCTION("""COMPUTED_VALUE"""),45152.0)</f>
        <v>45152</v>
      </c>
      <c r="Q834" s="45">
        <f>IFERROR(__xludf.DUMMYFUNCTION("""COMPUTED_VALUE"""),45110.0)</f>
        <v>45110</v>
      </c>
      <c r="R834" s="45">
        <f>IFERROR(__xludf.DUMMYFUNCTION("""COMPUTED_VALUE"""),45152.0)</f>
        <v>45152</v>
      </c>
      <c r="S834" s="43"/>
      <c r="T834" s="43"/>
      <c r="U834" s="43" t="str">
        <f>IFERROR(__xludf.DUMMYFUNCTION("""COMPUTED_VALUE"""),"Fingerprint")</f>
        <v>Fingerprint</v>
      </c>
      <c r="V834" s="43" t="str">
        <f>IFERROR(__xludf.DUMMYFUNCTION("""COMPUTED_VALUE"""),"-")</f>
        <v>-</v>
      </c>
      <c r="W834" s="43" t="str">
        <f>IFERROR(__xludf.DUMMYFUNCTION("""COMPUTED_VALUE"""),"2023-06-01T13:29:00Z")</f>
        <v>2023-06-01T13:29:00Z</v>
      </c>
      <c r="X834" s="43"/>
      <c r="Y834" s="43"/>
      <c r="Z834" s="43"/>
    </row>
    <row r="835" hidden="1">
      <c r="A835" s="43" t="str">
        <f>IFERROR(__xludf.DUMMYFUNCTION("""COMPUTED_VALUE"""),"5275266_1290024")</f>
        <v>5275266_1290024</v>
      </c>
      <c r="B835" s="43" t="str">
        <f>IFERROR(__xludf.DUMMYFUNCTION("""COMPUTED_VALUE"""),"Yusuf Kanbur")</f>
        <v>Yusuf Kanbur</v>
      </c>
      <c r="C835" s="43" t="str">
        <f>IFERROR(__xludf.DUMMYFUNCTION("""COMPUTED_VALUE"""),"completed")</f>
        <v>completed</v>
      </c>
      <c r="D835" s="43" t="str">
        <f>IFERROR(__xludf.DUMMYFUNCTION("""COMPUTED_VALUE"""),"No")</f>
        <v>No</v>
      </c>
      <c r="E835" s="43" t="str">
        <f>IFERROR(__xludf.DUMMYFUNCTION("""COMPUTED_VALUE"""),"p_0063198f203bb75f38943944fc74301cd04b5127@inbound.aiesec.org")</f>
        <v>p_0063198f203bb75f38943944fc74301cd04b5127@inbound.aiesec.org</v>
      </c>
      <c r="F835" s="43">
        <f>IFERROR(__xludf.DUMMYFUNCTION("""COMPUTED_VALUE"""),5.439603453E9)</f>
        <v>5439603453</v>
      </c>
      <c r="G835" s="43" t="str">
        <f>IFERROR(__xludf.DUMMYFUNCTION("""COMPUTED_VALUE"""),"Turkey")</f>
        <v>Turkey</v>
      </c>
      <c r="H835" s="43" t="str">
        <f>IFERROR(__xludf.DUMMYFUNCTION("""COMPUTED_VALUE"""),"KOCAELI")</f>
        <v>KOCAELI</v>
      </c>
      <c r="I835" s="43" t="str">
        <f>IFERROR(__xludf.DUMMYFUNCTION("""COMPUTED_VALUE"""),"Egypt")</f>
        <v>Egypt</v>
      </c>
      <c r="J835" s="43" t="str">
        <f>IFERROR(__xludf.DUMMYFUNCTION("""COMPUTED_VALUE"""),"Ain Shams University")</f>
        <v>Ain Shams University</v>
      </c>
      <c r="K835" s="44" t="str">
        <f>IFERROR(__xludf.DUMMYFUNCTION("""COMPUTED_VALUE"""),"https://expa.aiesec.org/opportunities/1290024")</f>
        <v>https://expa.aiesec.org/opportunities/1290024</v>
      </c>
      <c r="L835" s="43" t="str">
        <f>IFERROR(__xludf.DUMMYFUNCTION("""COMPUTED_VALUE"""),"GV")</f>
        <v>GV</v>
      </c>
      <c r="M835" s="43" t="str">
        <f>IFERROR(__xludf.DUMMYFUNCTION("""COMPUTED_VALUE"""),"short")</f>
        <v>short</v>
      </c>
      <c r="N835" s="45">
        <f>IFERROR(__xludf.DUMMYFUNCTION("""COMPUTED_VALUE"""),45091.0)</f>
        <v>45091</v>
      </c>
      <c r="O835" s="45">
        <f>IFERROR(__xludf.DUMMYFUNCTION("""COMPUTED_VALUE"""),45108.0)</f>
        <v>45108</v>
      </c>
      <c r="P835" s="45">
        <f>IFERROR(__xludf.DUMMYFUNCTION("""COMPUTED_VALUE"""),45150.0)</f>
        <v>45150</v>
      </c>
      <c r="Q835" s="45">
        <f>IFERROR(__xludf.DUMMYFUNCTION("""COMPUTED_VALUE"""),45107.0)</f>
        <v>45107</v>
      </c>
      <c r="R835" s="45">
        <f>IFERROR(__xludf.DUMMYFUNCTION("""COMPUTED_VALUE"""),45151.0)</f>
        <v>45151</v>
      </c>
      <c r="S835" s="43"/>
      <c r="T835" s="43"/>
      <c r="U835" s="43" t="str">
        <f>IFERROR(__xludf.DUMMYFUNCTION("""COMPUTED_VALUE"""),"On The Map")</f>
        <v>On The Map</v>
      </c>
      <c r="V835" s="43" t="str">
        <f>IFERROR(__xludf.DUMMYFUNCTION("""COMPUTED_VALUE"""),"KOCAELI")</f>
        <v>KOCAELI</v>
      </c>
      <c r="W835" s="43" t="str">
        <f>IFERROR(__xludf.DUMMYFUNCTION("""COMPUTED_VALUE"""),"2023-06-14T14:34:15Z")</f>
        <v>2023-06-14T14:34:15Z</v>
      </c>
      <c r="X835" s="43"/>
      <c r="Y835" s="43"/>
      <c r="Z835" s="43"/>
    </row>
    <row r="836" hidden="1">
      <c r="A836" s="43" t="str">
        <f>IFERROR(__xludf.DUMMYFUNCTION("""COMPUTED_VALUE"""),"5275262_1290024")</f>
        <v>5275262_1290024</v>
      </c>
      <c r="B836" s="43" t="str">
        <f>IFERROR(__xludf.DUMMYFUNCTION("""COMPUTED_VALUE"""),"Ataberk Gül")</f>
        <v>Ataberk Gül</v>
      </c>
      <c r="C836" s="43" t="str">
        <f>IFERROR(__xludf.DUMMYFUNCTION("""COMPUTED_VALUE"""),"completed")</f>
        <v>completed</v>
      </c>
      <c r="D836" s="43" t="str">
        <f>IFERROR(__xludf.DUMMYFUNCTION("""COMPUTED_VALUE"""),"No")</f>
        <v>No</v>
      </c>
      <c r="E836" s="43" t="str">
        <f>IFERROR(__xludf.DUMMYFUNCTION("""COMPUTED_VALUE"""),"p_c73adc7053b9fa0a0863e45707a3acc263c4b80b@inbound.aiesec.org")</f>
        <v>p_c73adc7053b9fa0a0863e45707a3acc263c4b80b@inbound.aiesec.org</v>
      </c>
      <c r="F836" s="43">
        <f>IFERROR(__xludf.DUMMYFUNCTION("""COMPUTED_VALUE"""),5.305445916E9)</f>
        <v>5305445916</v>
      </c>
      <c r="G836" s="43" t="str">
        <f>IFERROR(__xludf.DUMMYFUNCTION("""COMPUTED_VALUE"""),"Turkey")</f>
        <v>Turkey</v>
      </c>
      <c r="H836" s="43" t="str">
        <f>IFERROR(__xludf.DUMMYFUNCTION("""COMPUTED_VALUE"""),"KOCAELI")</f>
        <v>KOCAELI</v>
      </c>
      <c r="I836" s="43" t="str">
        <f>IFERROR(__xludf.DUMMYFUNCTION("""COMPUTED_VALUE"""),"Egypt")</f>
        <v>Egypt</v>
      </c>
      <c r="J836" s="43" t="str">
        <f>IFERROR(__xludf.DUMMYFUNCTION("""COMPUTED_VALUE"""),"Ain Shams University")</f>
        <v>Ain Shams University</v>
      </c>
      <c r="K836" s="44" t="str">
        <f>IFERROR(__xludf.DUMMYFUNCTION("""COMPUTED_VALUE"""),"https://expa.aiesec.org/opportunities/1290024")</f>
        <v>https://expa.aiesec.org/opportunities/1290024</v>
      </c>
      <c r="L836" s="43" t="str">
        <f>IFERROR(__xludf.DUMMYFUNCTION("""COMPUTED_VALUE"""),"GV")</f>
        <v>GV</v>
      </c>
      <c r="M836" s="43" t="str">
        <f>IFERROR(__xludf.DUMMYFUNCTION("""COMPUTED_VALUE"""),"short")</f>
        <v>short</v>
      </c>
      <c r="N836" s="45">
        <f>IFERROR(__xludf.DUMMYFUNCTION("""COMPUTED_VALUE"""),45091.0)</f>
        <v>45091</v>
      </c>
      <c r="O836" s="45">
        <f>IFERROR(__xludf.DUMMYFUNCTION("""COMPUTED_VALUE"""),45108.0)</f>
        <v>45108</v>
      </c>
      <c r="P836" s="45">
        <f>IFERROR(__xludf.DUMMYFUNCTION("""COMPUTED_VALUE"""),45150.0)</f>
        <v>45150</v>
      </c>
      <c r="Q836" s="45">
        <f>IFERROR(__xludf.DUMMYFUNCTION("""COMPUTED_VALUE"""),45107.0)</f>
        <v>45107</v>
      </c>
      <c r="R836" s="45">
        <f>IFERROR(__xludf.DUMMYFUNCTION("""COMPUTED_VALUE"""),45151.0)</f>
        <v>45151</v>
      </c>
      <c r="S836" s="43"/>
      <c r="T836" s="43"/>
      <c r="U836" s="43" t="str">
        <f>IFERROR(__xludf.DUMMYFUNCTION("""COMPUTED_VALUE"""),"On The Map")</f>
        <v>On The Map</v>
      </c>
      <c r="V836" s="43" t="str">
        <f>IFERROR(__xludf.DUMMYFUNCTION("""COMPUTED_VALUE"""),"KOCAELI")</f>
        <v>KOCAELI</v>
      </c>
      <c r="W836" s="43" t="str">
        <f>IFERROR(__xludf.DUMMYFUNCTION("""COMPUTED_VALUE"""),"2023-06-14T14:24:06Z")</f>
        <v>2023-06-14T14:24:06Z</v>
      </c>
      <c r="X836" s="43"/>
      <c r="Y836" s="43"/>
      <c r="Z836" s="43"/>
    </row>
    <row r="837" hidden="1">
      <c r="A837" s="43" t="str">
        <f>IFERROR(__xludf.DUMMYFUNCTION("""COMPUTED_VALUE"""),"5175816_1294551")</f>
        <v>5175816_1294551</v>
      </c>
      <c r="B837" s="43" t="str">
        <f>IFERROR(__xludf.DUMMYFUNCTION("""COMPUTED_VALUE"""),"Abdul Kabir Bekzada")</f>
        <v>Abdul Kabir Bekzada</v>
      </c>
      <c r="C837" s="43" t="str">
        <f>IFERROR(__xludf.DUMMYFUNCTION("""COMPUTED_VALUE"""),"completed")</f>
        <v>completed</v>
      </c>
      <c r="D837" s="43" t="str">
        <f>IFERROR(__xludf.DUMMYFUNCTION("""COMPUTED_VALUE"""),"No")</f>
        <v>No</v>
      </c>
      <c r="E837" s="43" t="str">
        <f>IFERROR(__xludf.DUMMYFUNCTION("""COMPUTED_VALUE"""),"p_60e34333efd30254052120af0d51a4d132ef3c49@inbound.aiesec.org")</f>
        <v>p_60e34333efd30254052120af0d51a4d132ef3c49@inbound.aiesec.org</v>
      </c>
      <c r="F837" s="43">
        <f>IFERROR(__xludf.DUMMYFUNCTION("""COMPUTED_VALUE"""),5.936230983E9)</f>
        <v>5936230983</v>
      </c>
      <c r="G837" s="43" t="str">
        <f>IFERROR(__xludf.DUMMYFUNCTION("""COMPUTED_VALUE"""),"Turkey")</f>
        <v>Turkey</v>
      </c>
      <c r="H837" s="43" t="str">
        <f>IFERROR(__xludf.DUMMYFUNCTION("""COMPUTED_VALUE"""),"DENIZLI")</f>
        <v>DENIZLI</v>
      </c>
      <c r="I837" s="43" t="str">
        <f>IFERROR(__xludf.DUMMYFUNCTION("""COMPUTED_VALUE"""),"Brazil")</f>
        <v>Brazil</v>
      </c>
      <c r="J837" s="43" t="str">
        <f>IFERROR(__xludf.DUMMYFUNCTION("""COMPUTED_VALUE"""),"RIO DE JANEIRO")</f>
        <v>RIO DE JANEIRO</v>
      </c>
      <c r="K837" s="44" t="str">
        <f>IFERROR(__xludf.DUMMYFUNCTION("""COMPUTED_VALUE"""),"https://expa.aiesec.org/opportunities/1294551")</f>
        <v>https://expa.aiesec.org/opportunities/1294551</v>
      </c>
      <c r="L837" s="43" t="str">
        <f>IFERROR(__xludf.DUMMYFUNCTION("""COMPUTED_VALUE"""),"GV")</f>
        <v>GV</v>
      </c>
      <c r="M837" s="43" t="str">
        <f>IFERROR(__xludf.DUMMYFUNCTION("""COMPUTED_VALUE"""),"short")</f>
        <v>short</v>
      </c>
      <c r="N837" s="45">
        <f>IFERROR(__xludf.DUMMYFUNCTION("""COMPUTED_VALUE"""),45091.0)</f>
        <v>45091</v>
      </c>
      <c r="O837" s="45">
        <f>IFERROR(__xludf.DUMMYFUNCTION("""COMPUTED_VALUE"""),45117.0)</f>
        <v>45117</v>
      </c>
      <c r="P837" s="45">
        <f>IFERROR(__xludf.DUMMYFUNCTION("""COMPUTED_VALUE"""),45159.0)</f>
        <v>45159</v>
      </c>
      <c r="Q837" s="45">
        <f>IFERROR(__xludf.DUMMYFUNCTION("""COMPUTED_VALUE"""),45119.0)</f>
        <v>45119</v>
      </c>
      <c r="R837" s="45">
        <f>IFERROR(__xludf.DUMMYFUNCTION("""COMPUTED_VALUE"""),45159.0)</f>
        <v>45159</v>
      </c>
      <c r="S837" s="43"/>
      <c r="T837" s="43"/>
      <c r="U837" s="43" t="str">
        <f>IFERROR(__xludf.DUMMYFUNCTION("""COMPUTED_VALUE"""),"Scale Up!")</f>
        <v>Scale Up!</v>
      </c>
      <c r="V837" s="43" t="str">
        <f>IFERROR(__xludf.DUMMYFUNCTION("""COMPUTED_VALUE"""),"DENIZLI")</f>
        <v>DENIZLI</v>
      </c>
      <c r="W837" s="43" t="str">
        <f>IFERROR(__xludf.DUMMYFUNCTION("""COMPUTED_VALUE"""),"2023-01-12T09:26:12Z")</f>
        <v>2023-01-12T09:26:12Z</v>
      </c>
      <c r="X837" s="43"/>
      <c r="Y837" s="43"/>
      <c r="Z837" s="43"/>
    </row>
    <row r="838" hidden="1">
      <c r="A838" s="43" t="str">
        <f>IFERROR(__xludf.DUMMYFUNCTION("""COMPUTED_VALUE"""),"5253677_1294675")</f>
        <v>5253677_1294675</v>
      </c>
      <c r="B838" s="43" t="str">
        <f>IFERROR(__xludf.DUMMYFUNCTION("""COMPUTED_VALUE"""),"ABDUL SABOOR BEKZADA")</f>
        <v>ABDUL SABOOR BEKZADA</v>
      </c>
      <c r="C838" s="43" t="str">
        <f>IFERROR(__xludf.DUMMYFUNCTION("""COMPUTED_VALUE"""),"completed")</f>
        <v>completed</v>
      </c>
      <c r="D838" s="43" t="str">
        <f>IFERROR(__xludf.DUMMYFUNCTION("""COMPUTED_VALUE"""),"No")</f>
        <v>No</v>
      </c>
      <c r="E838" s="43" t="str">
        <f>IFERROR(__xludf.DUMMYFUNCTION("""COMPUTED_VALUE"""),"p_6aedaa0beeddd993f06fedce899dab63bb749afa@inbound.aiesec.org")</f>
        <v>p_6aedaa0beeddd993f06fedce899dab63bb749afa@inbound.aiesec.org</v>
      </c>
      <c r="F838" s="43">
        <f>IFERROR(__xludf.DUMMYFUNCTION("""COMPUTED_VALUE"""),5.524230983E9)</f>
        <v>5524230983</v>
      </c>
      <c r="G838" s="43" t="str">
        <f>IFERROR(__xludf.DUMMYFUNCTION("""COMPUTED_VALUE"""),"Turkey")</f>
        <v>Turkey</v>
      </c>
      <c r="H838" s="43" t="str">
        <f>IFERROR(__xludf.DUMMYFUNCTION("""COMPUTED_VALUE"""),"DENIZLI")</f>
        <v>DENIZLI</v>
      </c>
      <c r="I838" s="43" t="str">
        <f>IFERROR(__xludf.DUMMYFUNCTION("""COMPUTED_VALUE"""),"Brazil")</f>
        <v>Brazil</v>
      </c>
      <c r="J838" s="43" t="str">
        <f>IFERROR(__xludf.DUMMYFUNCTION("""COMPUTED_VALUE"""),"RIO DE JANEIRO")</f>
        <v>RIO DE JANEIRO</v>
      </c>
      <c r="K838" s="44" t="str">
        <f>IFERROR(__xludf.DUMMYFUNCTION("""COMPUTED_VALUE"""),"https://expa.aiesec.org/opportunities/1294675")</f>
        <v>https://expa.aiesec.org/opportunities/1294675</v>
      </c>
      <c r="L838" s="43" t="str">
        <f>IFERROR(__xludf.DUMMYFUNCTION("""COMPUTED_VALUE"""),"GV")</f>
        <v>GV</v>
      </c>
      <c r="M838" s="43" t="str">
        <f>IFERROR(__xludf.DUMMYFUNCTION("""COMPUTED_VALUE"""),"short")</f>
        <v>short</v>
      </c>
      <c r="N838" s="45">
        <f>IFERROR(__xludf.DUMMYFUNCTION("""COMPUTED_VALUE"""),45091.0)</f>
        <v>45091</v>
      </c>
      <c r="O838" s="45">
        <f>IFERROR(__xludf.DUMMYFUNCTION("""COMPUTED_VALUE"""),45117.0)</f>
        <v>45117</v>
      </c>
      <c r="P838" s="45">
        <f>IFERROR(__xludf.DUMMYFUNCTION("""COMPUTED_VALUE"""),45159.0)</f>
        <v>45159</v>
      </c>
      <c r="Q838" s="45">
        <f>IFERROR(__xludf.DUMMYFUNCTION("""COMPUTED_VALUE"""),45119.0)</f>
        <v>45119</v>
      </c>
      <c r="R838" s="45">
        <f>IFERROR(__xludf.DUMMYFUNCTION("""COMPUTED_VALUE"""),45159.0)</f>
        <v>45159</v>
      </c>
      <c r="S838" s="43"/>
      <c r="T838" s="43"/>
      <c r="U838" s="43" t="str">
        <f>IFERROR(__xludf.DUMMYFUNCTION("""COMPUTED_VALUE"""),"Youth 4 Impact")</f>
        <v>Youth 4 Impact</v>
      </c>
      <c r="V838" s="43" t="str">
        <f>IFERROR(__xludf.DUMMYFUNCTION("""COMPUTED_VALUE"""),"DENIZLI")</f>
        <v>DENIZLI</v>
      </c>
      <c r="W838" s="43" t="str">
        <f>IFERROR(__xludf.DUMMYFUNCTION("""COMPUTED_VALUE"""),"2023-05-01T13:12:49Z")</f>
        <v>2023-05-01T13:12:49Z</v>
      </c>
      <c r="X838" s="43"/>
      <c r="Y838" s="43"/>
      <c r="Z838" s="43"/>
    </row>
    <row r="839" hidden="1">
      <c r="A839" s="43" t="str">
        <f>IFERROR(__xludf.DUMMYFUNCTION("""COMPUTED_VALUE"""),"5274406_1295564")</f>
        <v>5274406_1295564</v>
      </c>
      <c r="B839" s="43" t="str">
        <f>IFERROR(__xludf.DUMMYFUNCTION("""COMPUTED_VALUE"""),"Elif Sude Zeytin")</f>
        <v>Elif Sude Zeytin</v>
      </c>
      <c r="C839" s="43" t="str">
        <f>IFERROR(__xludf.DUMMYFUNCTION("""COMPUTED_VALUE"""),"completed")</f>
        <v>completed</v>
      </c>
      <c r="D839" s="43" t="str">
        <f>IFERROR(__xludf.DUMMYFUNCTION("""COMPUTED_VALUE"""),"No")</f>
        <v>No</v>
      </c>
      <c r="E839" s="43" t="str">
        <f>IFERROR(__xludf.DUMMYFUNCTION("""COMPUTED_VALUE"""),"p_af558b4eb87e1533ff161e812c39354d509f685f@inbound.aiesec.org")</f>
        <v>p_af558b4eb87e1533ff161e812c39354d509f685f@inbound.aiesec.org</v>
      </c>
      <c r="F839" s="43">
        <f>IFERROR(__xludf.DUMMYFUNCTION("""COMPUTED_VALUE"""),5.412930608E9)</f>
        <v>5412930608</v>
      </c>
      <c r="G839" s="43" t="str">
        <f>IFERROR(__xludf.DUMMYFUNCTION("""COMPUTED_VALUE"""),"Turkey")</f>
        <v>Turkey</v>
      </c>
      <c r="H839" s="43" t="str">
        <f>IFERROR(__xludf.DUMMYFUNCTION("""COMPUTED_VALUE"""),"BURSA")</f>
        <v>BURSA</v>
      </c>
      <c r="I839" s="43" t="str">
        <f>IFERROR(__xludf.DUMMYFUNCTION("""COMPUTED_VALUE"""),"Romania")</f>
        <v>Romania</v>
      </c>
      <c r="J839" s="43" t="str">
        <f>IFERROR(__xludf.DUMMYFUNCTION("""COMPUTED_VALUE"""),"BUCURESTI")</f>
        <v>BUCURESTI</v>
      </c>
      <c r="K839" s="44" t="str">
        <f>IFERROR(__xludf.DUMMYFUNCTION("""COMPUTED_VALUE"""),"https://expa.aiesec.org/opportunities/1295564")</f>
        <v>https://expa.aiesec.org/opportunities/1295564</v>
      </c>
      <c r="L839" s="43" t="str">
        <f>IFERROR(__xludf.DUMMYFUNCTION("""COMPUTED_VALUE"""),"GV")</f>
        <v>GV</v>
      </c>
      <c r="M839" s="43" t="str">
        <f>IFERROR(__xludf.DUMMYFUNCTION("""COMPUTED_VALUE"""),"short")</f>
        <v>short</v>
      </c>
      <c r="N839" s="45">
        <f>IFERROR(__xludf.DUMMYFUNCTION("""COMPUTED_VALUE"""),45092.0)</f>
        <v>45092</v>
      </c>
      <c r="O839" s="45">
        <f>IFERROR(__xludf.DUMMYFUNCTION("""COMPUTED_VALUE"""),45096.0)</f>
        <v>45096</v>
      </c>
      <c r="P839" s="45">
        <f>IFERROR(__xludf.DUMMYFUNCTION("""COMPUTED_VALUE"""),45138.0)</f>
        <v>45138</v>
      </c>
      <c r="Q839" s="45">
        <f>IFERROR(__xludf.DUMMYFUNCTION("""COMPUTED_VALUE"""),45096.0)</f>
        <v>45096</v>
      </c>
      <c r="R839" s="45">
        <f>IFERROR(__xludf.DUMMYFUNCTION("""COMPUTED_VALUE"""),45138.0)</f>
        <v>45138</v>
      </c>
      <c r="S839" s="43"/>
      <c r="T839" s="43"/>
      <c r="U839" s="43" t="str">
        <f>IFERROR(__xludf.DUMMYFUNCTION("""COMPUTED_VALUE"""),"Green Leaders")</f>
        <v>Green Leaders</v>
      </c>
      <c r="V839" s="43" t="str">
        <f>IFERROR(__xludf.DUMMYFUNCTION("""COMPUTED_VALUE"""),"BURSA")</f>
        <v>BURSA</v>
      </c>
      <c r="W839" s="43" t="str">
        <f>IFERROR(__xludf.DUMMYFUNCTION("""COMPUTED_VALUE"""),"2023-06-12T14:04:30Z")</f>
        <v>2023-06-12T14:04:30Z</v>
      </c>
      <c r="X839" s="43"/>
      <c r="Y839" s="43"/>
      <c r="Z839" s="43"/>
    </row>
    <row r="840" hidden="1">
      <c r="A840" s="43" t="str">
        <f>IFERROR(__xludf.DUMMYFUNCTION("""COMPUTED_VALUE"""),"5275216_1292188")</f>
        <v>5275216_1292188</v>
      </c>
      <c r="B840" s="43" t="str">
        <f>IFERROR(__xludf.DUMMYFUNCTION("""COMPUTED_VALUE"""),"mehmet ali şahan")</f>
        <v>mehmet ali şahan</v>
      </c>
      <c r="C840" s="43" t="str">
        <f>IFERROR(__xludf.DUMMYFUNCTION("""COMPUTED_VALUE"""),"completed")</f>
        <v>completed</v>
      </c>
      <c r="D840" s="43" t="str">
        <f>IFERROR(__xludf.DUMMYFUNCTION("""COMPUTED_VALUE"""),"No")</f>
        <v>No</v>
      </c>
      <c r="E840" s="43" t="str">
        <f>IFERROR(__xludf.DUMMYFUNCTION("""COMPUTED_VALUE"""),"p_d70e46393307175e0a52fba5b5be6c33fb80b7e2@inbound.aiesec.org")</f>
        <v>p_d70e46393307175e0a52fba5b5be6c33fb80b7e2@inbound.aiesec.org</v>
      </c>
      <c r="F840" s="43">
        <f>IFERROR(__xludf.DUMMYFUNCTION("""COMPUTED_VALUE"""),5.369429656E9)</f>
        <v>5369429656</v>
      </c>
      <c r="G840" s="43" t="str">
        <f>IFERROR(__xludf.DUMMYFUNCTION("""COMPUTED_VALUE"""),"Turkey")</f>
        <v>Turkey</v>
      </c>
      <c r="H840" s="43" t="str">
        <f>IFERROR(__xludf.DUMMYFUNCTION("""COMPUTED_VALUE"""),"GAZIANTEP")</f>
        <v>GAZIANTEP</v>
      </c>
      <c r="I840" s="43" t="str">
        <f>IFERROR(__xludf.DUMMYFUNCTION("""COMPUTED_VALUE"""),"Egypt")</f>
        <v>Egypt</v>
      </c>
      <c r="J840" s="43" t="str">
        <f>IFERROR(__xludf.DUMMYFUNCTION("""COMPUTED_VALUE"""),"Helwan")</f>
        <v>Helwan</v>
      </c>
      <c r="K840" s="44" t="str">
        <f>IFERROR(__xludf.DUMMYFUNCTION("""COMPUTED_VALUE"""),"https://expa.aiesec.org/opportunities/1292188")</f>
        <v>https://expa.aiesec.org/opportunities/1292188</v>
      </c>
      <c r="L840" s="43" t="str">
        <f>IFERROR(__xludf.DUMMYFUNCTION("""COMPUTED_VALUE"""),"GV")</f>
        <v>GV</v>
      </c>
      <c r="M840" s="43" t="str">
        <f>IFERROR(__xludf.DUMMYFUNCTION("""COMPUTED_VALUE"""),"short")</f>
        <v>short</v>
      </c>
      <c r="N840" s="45">
        <f>IFERROR(__xludf.DUMMYFUNCTION("""COMPUTED_VALUE"""),45092.0)</f>
        <v>45092</v>
      </c>
      <c r="O840" s="45">
        <f>IFERROR(__xludf.DUMMYFUNCTION("""COMPUTED_VALUE"""),45093.0)</f>
        <v>45093</v>
      </c>
      <c r="P840" s="45">
        <f>IFERROR(__xludf.DUMMYFUNCTION("""COMPUTED_VALUE"""),45135.0)</f>
        <v>45135</v>
      </c>
      <c r="Q840" s="45">
        <f>IFERROR(__xludf.DUMMYFUNCTION("""COMPUTED_VALUE"""),45097.0)</f>
        <v>45097</v>
      </c>
      <c r="R840" s="45">
        <f>IFERROR(__xludf.DUMMYFUNCTION("""COMPUTED_VALUE"""),45137.0)</f>
        <v>45137</v>
      </c>
      <c r="S840" s="43"/>
      <c r="T840" s="43"/>
      <c r="U840" s="43" t="str">
        <f>IFERROR(__xludf.DUMMYFUNCTION("""COMPUTED_VALUE"""),"On The Map")</f>
        <v>On The Map</v>
      </c>
      <c r="V840" s="43" t="str">
        <f>IFERROR(__xludf.DUMMYFUNCTION("""COMPUTED_VALUE"""),"GAZIANTEP")</f>
        <v>GAZIANTEP</v>
      </c>
      <c r="W840" s="43" t="str">
        <f>IFERROR(__xludf.DUMMYFUNCTION("""COMPUTED_VALUE"""),"2023-06-14T12:39:28Z")</f>
        <v>2023-06-14T12:39:28Z</v>
      </c>
      <c r="X840" s="43"/>
      <c r="Y840" s="43"/>
      <c r="Z840" s="43"/>
    </row>
    <row r="841" hidden="1">
      <c r="A841" s="43" t="str">
        <f>IFERROR(__xludf.DUMMYFUNCTION("""COMPUTED_VALUE"""),"5274806_1293969")</f>
        <v>5274806_1293969</v>
      </c>
      <c r="B841" s="43" t="str">
        <f>IFERROR(__xludf.DUMMYFUNCTION("""COMPUTED_VALUE"""),"tulu ebrar tokdemir")</f>
        <v>tulu ebrar tokdemir</v>
      </c>
      <c r="C841" s="43" t="str">
        <f>IFERROR(__xludf.DUMMYFUNCTION("""COMPUTED_VALUE"""),"completed")</f>
        <v>completed</v>
      </c>
      <c r="D841" s="43" t="str">
        <f>IFERROR(__xludf.DUMMYFUNCTION("""COMPUTED_VALUE"""),"No")</f>
        <v>No</v>
      </c>
      <c r="E841" s="43" t="str">
        <f>IFERROR(__xludf.DUMMYFUNCTION("""COMPUTED_VALUE"""),"p_f5b83c8fd864c6d0cbb3583dd3daad6f2b72d2fb@inbound.aiesec.org")</f>
        <v>p_f5b83c8fd864c6d0cbb3583dd3daad6f2b72d2fb@inbound.aiesec.org</v>
      </c>
      <c r="F841" s="43">
        <f>IFERROR(__xludf.DUMMYFUNCTION("""COMPUTED_VALUE"""),5.533615343E9)</f>
        <v>5533615343</v>
      </c>
      <c r="G841" s="43" t="str">
        <f>IFERROR(__xludf.DUMMYFUNCTION("""COMPUTED_VALUE"""),"Turkey")</f>
        <v>Turkey</v>
      </c>
      <c r="H841" s="43" t="str">
        <f>IFERROR(__xludf.DUMMYFUNCTION("""COMPUTED_VALUE"""),"ISTANBUL")</f>
        <v>ISTANBUL</v>
      </c>
      <c r="I841" s="43" t="str">
        <f>IFERROR(__xludf.DUMMYFUNCTION("""COMPUTED_VALUE"""),"Egypt")</f>
        <v>Egypt</v>
      </c>
      <c r="J841" s="43" t="str">
        <f>IFERROR(__xludf.DUMMYFUNCTION("""COMPUTED_VALUE"""),"Ain Shams University")</f>
        <v>Ain Shams University</v>
      </c>
      <c r="K841" s="44" t="str">
        <f>IFERROR(__xludf.DUMMYFUNCTION("""COMPUTED_VALUE"""),"https://expa.aiesec.org/opportunities/1293969")</f>
        <v>https://expa.aiesec.org/opportunities/1293969</v>
      </c>
      <c r="L841" s="43" t="str">
        <f>IFERROR(__xludf.DUMMYFUNCTION("""COMPUTED_VALUE"""),"GV")</f>
        <v>GV</v>
      </c>
      <c r="M841" s="43" t="str">
        <f>IFERROR(__xludf.DUMMYFUNCTION("""COMPUTED_VALUE"""),"short")</f>
        <v>short</v>
      </c>
      <c r="N841" s="45">
        <f>IFERROR(__xludf.DUMMYFUNCTION("""COMPUTED_VALUE"""),45092.0)</f>
        <v>45092</v>
      </c>
      <c r="O841" s="45">
        <f>IFERROR(__xludf.DUMMYFUNCTION("""COMPUTED_VALUE"""),45124.0)</f>
        <v>45124</v>
      </c>
      <c r="P841" s="45">
        <f>IFERROR(__xludf.DUMMYFUNCTION("""COMPUTED_VALUE"""),45166.0)</f>
        <v>45166</v>
      </c>
      <c r="Q841" s="45">
        <f>IFERROR(__xludf.DUMMYFUNCTION("""COMPUTED_VALUE"""),45124.0)</f>
        <v>45124</v>
      </c>
      <c r="R841" s="45">
        <f>IFERROR(__xludf.DUMMYFUNCTION("""COMPUTED_VALUE"""),45168.0)</f>
        <v>45168</v>
      </c>
      <c r="S841" s="43"/>
      <c r="T841" s="43"/>
      <c r="U841" s="43" t="str">
        <f>IFERROR(__xludf.DUMMYFUNCTION("""COMPUTED_VALUE"""),"Heartbeat")</f>
        <v>Heartbeat</v>
      </c>
      <c r="V841" s="43" t="str">
        <f>IFERROR(__xludf.DUMMYFUNCTION("""COMPUTED_VALUE"""),"ISTANBUL - BAKIRKOY")</f>
        <v>ISTANBUL - BAKIRKOY</v>
      </c>
      <c r="W841" s="43" t="str">
        <f>IFERROR(__xludf.DUMMYFUNCTION("""COMPUTED_VALUE"""),"2023-06-13T11:16:38Z")</f>
        <v>2023-06-13T11:16:38Z</v>
      </c>
      <c r="X841" s="43"/>
      <c r="Y841" s="43"/>
      <c r="Z841" s="43"/>
    </row>
    <row r="842" hidden="1">
      <c r="A842" s="43" t="str">
        <f>IFERROR(__xludf.DUMMYFUNCTION("""COMPUTED_VALUE"""),"5276139_1290690")</f>
        <v>5276139_1290690</v>
      </c>
      <c r="B842" s="43" t="str">
        <f>IFERROR(__xludf.DUMMYFUNCTION("""COMPUTED_VALUE"""),"Elif Inci Develioğlu")</f>
        <v>Elif Inci Develioğlu</v>
      </c>
      <c r="C842" s="43" t="str">
        <f>IFERROR(__xludf.DUMMYFUNCTION("""COMPUTED_VALUE"""),"completed")</f>
        <v>completed</v>
      </c>
      <c r="D842" s="43" t="str">
        <f>IFERROR(__xludf.DUMMYFUNCTION("""COMPUTED_VALUE"""),"No")</f>
        <v>No</v>
      </c>
      <c r="E842" s="43" t="str">
        <f>IFERROR(__xludf.DUMMYFUNCTION("""COMPUTED_VALUE"""),"p_9122da8bba545ecc2da6cabf742e3aaf8f65b26c@inbound.aiesec.org")</f>
        <v>p_9122da8bba545ecc2da6cabf742e3aaf8f65b26c@inbound.aiesec.org</v>
      </c>
      <c r="F842" s="43">
        <f>IFERROR(__xludf.DUMMYFUNCTION("""COMPUTED_VALUE"""),5.524552132E9)</f>
        <v>5524552132</v>
      </c>
      <c r="G842" s="43" t="str">
        <f>IFERROR(__xludf.DUMMYFUNCTION("""COMPUTED_VALUE"""),"Turkey")</f>
        <v>Turkey</v>
      </c>
      <c r="H842" s="43" t="str">
        <f>IFERROR(__xludf.DUMMYFUNCTION("""COMPUTED_VALUE"""),"ISTANBUL WEST")</f>
        <v>ISTANBUL WEST</v>
      </c>
      <c r="I842" s="43" t="str">
        <f>IFERROR(__xludf.DUMMYFUNCTION("""COMPUTED_VALUE"""),"Egypt")</f>
        <v>Egypt</v>
      </c>
      <c r="J842" s="43" t="str">
        <f>IFERROR(__xludf.DUMMYFUNCTION("""COMPUTED_VALUE"""),"Helwan")</f>
        <v>Helwan</v>
      </c>
      <c r="K842" s="44" t="str">
        <f>IFERROR(__xludf.DUMMYFUNCTION("""COMPUTED_VALUE"""),"https://expa.aiesec.org/opportunities/1290690")</f>
        <v>https://expa.aiesec.org/opportunities/1290690</v>
      </c>
      <c r="L842" s="43" t="str">
        <f>IFERROR(__xludf.DUMMYFUNCTION("""COMPUTED_VALUE"""),"GV")</f>
        <v>GV</v>
      </c>
      <c r="M842" s="43" t="str">
        <f>IFERROR(__xludf.DUMMYFUNCTION("""COMPUTED_VALUE"""),"short")</f>
        <v>short</v>
      </c>
      <c r="N842" s="45">
        <f>IFERROR(__xludf.DUMMYFUNCTION("""COMPUTED_VALUE"""),45093.0)</f>
        <v>45093</v>
      </c>
      <c r="O842" s="45">
        <f>IFERROR(__xludf.DUMMYFUNCTION("""COMPUTED_VALUE"""),45107.0)</f>
        <v>45107</v>
      </c>
      <c r="P842" s="45">
        <f>IFERROR(__xludf.DUMMYFUNCTION("""COMPUTED_VALUE"""),45149.0)</f>
        <v>45149</v>
      </c>
      <c r="Q842" s="45">
        <f>IFERROR(__xludf.DUMMYFUNCTION("""COMPUTED_VALUE"""),45105.0)</f>
        <v>45105</v>
      </c>
      <c r="R842" s="45">
        <f>IFERROR(__xludf.DUMMYFUNCTION("""COMPUTED_VALUE"""),45149.0)</f>
        <v>45149</v>
      </c>
      <c r="S842" s="43"/>
      <c r="T842" s="43"/>
      <c r="U842" s="43" t="str">
        <f>IFERROR(__xludf.DUMMYFUNCTION("""COMPUTED_VALUE"""),"Heartbeat")</f>
        <v>Heartbeat</v>
      </c>
      <c r="V842" s="43" t="str">
        <f>IFERROR(__xludf.DUMMYFUNCTION("""COMPUTED_VALUE"""),"ISTANBUL - BAKIRKOY")</f>
        <v>ISTANBUL - BAKIRKOY</v>
      </c>
      <c r="W842" s="43" t="str">
        <f>IFERROR(__xludf.DUMMYFUNCTION("""COMPUTED_VALUE"""),"2023-06-16T18:57:45Z")</f>
        <v>2023-06-16T18:57:45Z</v>
      </c>
      <c r="X842" s="43"/>
      <c r="Y842" s="43"/>
      <c r="Z842" s="43"/>
    </row>
    <row r="843" hidden="1">
      <c r="A843" s="43" t="str">
        <f>IFERROR(__xludf.DUMMYFUNCTION("""COMPUTED_VALUE"""),"5274389_1295749")</f>
        <v>5274389_1295749</v>
      </c>
      <c r="B843" s="43" t="str">
        <f>IFERROR(__xludf.DUMMYFUNCTION("""COMPUTED_VALUE"""),"Hasan Çoban")</f>
        <v>Hasan Çoban</v>
      </c>
      <c r="C843" s="43" t="str">
        <f>IFERROR(__xludf.DUMMYFUNCTION("""COMPUTED_VALUE"""),"completed")</f>
        <v>completed</v>
      </c>
      <c r="D843" s="43" t="str">
        <f>IFERROR(__xludf.DUMMYFUNCTION("""COMPUTED_VALUE"""),"No")</f>
        <v>No</v>
      </c>
      <c r="E843" s="43" t="str">
        <f>IFERROR(__xludf.DUMMYFUNCTION("""COMPUTED_VALUE"""),"p_895160e0c049429e059cfa5bf5c24417a11eb08d@inbound.aiesec.org")</f>
        <v>p_895160e0c049429e059cfa5bf5c24417a11eb08d@inbound.aiesec.org</v>
      </c>
      <c r="F843" s="43">
        <f>IFERROR(__xludf.DUMMYFUNCTION("""COMPUTED_VALUE"""),5.316731512E9)</f>
        <v>5316731512</v>
      </c>
      <c r="G843" s="43" t="str">
        <f>IFERROR(__xludf.DUMMYFUNCTION("""COMPUTED_VALUE"""),"Turkey")</f>
        <v>Turkey</v>
      </c>
      <c r="H843" s="43" t="str">
        <f>IFERROR(__xludf.DUMMYFUNCTION("""COMPUTED_VALUE"""),"İZMİR")</f>
        <v>İZMİR</v>
      </c>
      <c r="I843" s="43" t="str">
        <f>IFERROR(__xludf.DUMMYFUNCTION("""COMPUTED_VALUE"""),"Romania")</f>
        <v>Romania</v>
      </c>
      <c r="J843" s="43" t="str">
        <f>IFERROR(__xludf.DUMMYFUNCTION("""COMPUTED_VALUE"""),"GALATI")</f>
        <v>GALATI</v>
      </c>
      <c r="K843" s="44" t="str">
        <f>IFERROR(__xludf.DUMMYFUNCTION("""COMPUTED_VALUE"""),"https://expa.aiesec.org/opportunities/1295749")</f>
        <v>https://expa.aiesec.org/opportunities/1295749</v>
      </c>
      <c r="L843" s="43" t="str">
        <f>IFERROR(__xludf.DUMMYFUNCTION("""COMPUTED_VALUE"""),"GV")</f>
        <v>GV</v>
      </c>
      <c r="M843" s="43" t="str">
        <f>IFERROR(__xludf.DUMMYFUNCTION("""COMPUTED_VALUE"""),"short")</f>
        <v>short</v>
      </c>
      <c r="N843" s="45">
        <f>IFERROR(__xludf.DUMMYFUNCTION("""COMPUTED_VALUE"""),45093.0)</f>
        <v>45093</v>
      </c>
      <c r="O843" s="45">
        <f>IFERROR(__xludf.DUMMYFUNCTION("""COMPUTED_VALUE"""),45139.0)</f>
        <v>45139</v>
      </c>
      <c r="P843" s="45">
        <f>IFERROR(__xludf.DUMMYFUNCTION("""COMPUTED_VALUE"""),45181.0)</f>
        <v>45181</v>
      </c>
      <c r="Q843" s="45">
        <f>IFERROR(__xludf.DUMMYFUNCTION("""COMPUTED_VALUE"""),45146.0)</f>
        <v>45146</v>
      </c>
      <c r="R843" s="45">
        <f>IFERROR(__xludf.DUMMYFUNCTION("""COMPUTED_VALUE"""),45188.0)</f>
        <v>45188</v>
      </c>
      <c r="S843" s="43"/>
      <c r="T843" s="43"/>
      <c r="U843" s="43" t="str">
        <f>IFERROR(__xludf.DUMMYFUNCTION("""COMPUTED_VALUE"""),"Green Leaders")</f>
        <v>Green Leaders</v>
      </c>
      <c r="V843" s="43" t="str">
        <f>IFERROR(__xludf.DUMMYFUNCTION("""COMPUTED_VALUE"""),"IZMIR")</f>
        <v>IZMIR</v>
      </c>
      <c r="W843" s="43" t="str">
        <f>IFERROR(__xludf.DUMMYFUNCTION("""COMPUTED_VALUE"""),"2023-06-12T13:06:50Z")</f>
        <v>2023-06-12T13:06:50Z</v>
      </c>
      <c r="X843" s="43"/>
      <c r="Y843" s="43"/>
      <c r="Z843" s="43"/>
    </row>
    <row r="844" hidden="1">
      <c r="A844" s="43" t="str">
        <f>IFERROR(__xludf.DUMMYFUNCTION("""COMPUTED_VALUE"""),"5243795_1294923")</f>
        <v>5243795_1294923</v>
      </c>
      <c r="B844" s="43" t="str">
        <f>IFERROR(__xludf.DUMMYFUNCTION("""COMPUTED_VALUE"""),"ceren örter")</f>
        <v>ceren örter</v>
      </c>
      <c r="C844" s="43" t="str">
        <f>IFERROR(__xludf.DUMMYFUNCTION("""COMPUTED_VALUE"""),"completed")</f>
        <v>completed</v>
      </c>
      <c r="D844" s="43" t="str">
        <f>IFERROR(__xludf.DUMMYFUNCTION("""COMPUTED_VALUE"""),"No")</f>
        <v>No</v>
      </c>
      <c r="E844" s="43" t="str">
        <f>IFERROR(__xludf.DUMMYFUNCTION("""COMPUTED_VALUE"""),"p_996f052b6d6ae72840e205360a9a68ee3961a37b@inbound.aiesec.org")</f>
        <v>p_996f052b6d6ae72840e205360a9a68ee3961a37b@inbound.aiesec.org</v>
      </c>
      <c r="F844" s="43">
        <f>IFERROR(__xludf.DUMMYFUNCTION("""COMPUTED_VALUE"""),5.425836981E9)</f>
        <v>5425836981</v>
      </c>
      <c r="G844" s="43" t="str">
        <f>IFERROR(__xludf.DUMMYFUNCTION("""COMPUTED_VALUE"""),"Turkey")</f>
        <v>Turkey</v>
      </c>
      <c r="H844" s="43" t="str">
        <f>IFERROR(__xludf.DUMMYFUNCTION("""COMPUTED_VALUE"""),"ANKARA")</f>
        <v>ANKARA</v>
      </c>
      <c r="I844" s="43" t="str">
        <f>IFERROR(__xludf.DUMMYFUNCTION("""COMPUTED_VALUE"""),"Romania")</f>
        <v>Romania</v>
      </c>
      <c r="J844" s="43" t="str">
        <f>IFERROR(__xludf.DUMMYFUNCTION("""COMPUTED_VALUE"""),"Cluj-Napoca")</f>
        <v>Cluj-Napoca</v>
      </c>
      <c r="K844" s="44" t="str">
        <f>IFERROR(__xludf.DUMMYFUNCTION("""COMPUTED_VALUE"""),"https://expa.aiesec.org/opportunities/1294923")</f>
        <v>https://expa.aiesec.org/opportunities/1294923</v>
      </c>
      <c r="L844" s="43" t="str">
        <f>IFERROR(__xludf.DUMMYFUNCTION("""COMPUTED_VALUE"""),"GV")</f>
        <v>GV</v>
      </c>
      <c r="M844" s="43" t="str">
        <f>IFERROR(__xludf.DUMMYFUNCTION("""COMPUTED_VALUE"""),"short")</f>
        <v>short</v>
      </c>
      <c r="N844" s="45">
        <f>IFERROR(__xludf.DUMMYFUNCTION("""COMPUTED_VALUE"""),45093.0)</f>
        <v>45093</v>
      </c>
      <c r="O844" s="45">
        <f>IFERROR(__xludf.DUMMYFUNCTION("""COMPUTED_VALUE"""),45103.0)</f>
        <v>45103</v>
      </c>
      <c r="P844" s="45">
        <f>IFERROR(__xludf.DUMMYFUNCTION("""COMPUTED_VALUE"""),45145.0)</f>
        <v>45145</v>
      </c>
      <c r="Q844" s="45">
        <f>IFERROR(__xludf.DUMMYFUNCTION("""COMPUTED_VALUE"""),45103.0)</f>
        <v>45103</v>
      </c>
      <c r="R844" s="45">
        <f>IFERROR(__xludf.DUMMYFUNCTION("""COMPUTED_VALUE"""),45145.0)</f>
        <v>45145</v>
      </c>
      <c r="S844" s="43"/>
      <c r="T844" s="43"/>
      <c r="U844" s="43" t="str">
        <f>IFERROR(__xludf.DUMMYFUNCTION("""COMPUTED_VALUE"""),"Fingerprint")</f>
        <v>Fingerprint</v>
      </c>
      <c r="V844" s="43" t="str">
        <f>IFERROR(__xludf.DUMMYFUNCTION("""COMPUTED_VALUE"""),"ANKARA")</f>
        <v>ANKARA</v>
      </c>
      <c r="W844" s="43" t="str">
        <f>IFERROR(__xludf.DUMMYFUNCTION("""COMPUTED_VALUE"""),"2023-04-17T13:47:24Z")</f>
        <v>2023-04-17T13:47:24Z</v>
      </c>
      <c r="X844" s="43"/>
      <c r="Y844" s="43"/>
      <c r="Z844" s="43"/>
    </row>
    <row r="845" hidden="1">
      <c r="A845" s="43" t="str">
        <f>IFERROR(__xludf.DUMMYFUNCTION("""COMPUTED_VALUE"""),"5170026_1289850")</f>
        <v>5170026_1289850</v>
      </c>
      <c r="B845" s="43" t="str">
        <f>IFERROR(__xludf.DUMMYFUNCTION("""COMPUTED_VALUE"""),"diclesu kahraman")</f>
        <v>diclesu kahraman</v>
      </c>
      <c r="C845" s="43" t="str">
        <f>IFERROR(__xludf.DUMMYFUNCTION("""COMPUTED_VALUE"""),"approved")</f>
        <v>approved</v>
      </c>
      <c r="D845" s="43" t="str">
        <f>IFERROR(__xludf.DUMMYFUNCTION("""COMPUTED_VALUE"""),"No")</f>
        <v>No</v>
      </c>
      <c r="E845" s="43" t="str">
        <f>IFERROR(__xludf.DUMMYFUNCTION("""COMPUTED_VALUE"""),"p_b914e29abafcd5c49cb4c585c42566ca696a693b@inbound.aiesec.org")</f>
        <v>p_b914e29abafcd5c49cb4c585c42566ca696a693b@inbound.aiesec.org</v>
      </c>
      <c r="F845" s="43">
        <f>IFERROR(__xludf.DUMMYFUNCTION("""COMPUTED_VALUE"""),5.422473073E9)</f>
        <v>5422473073</v>
      </c>
      <c r="G845" s="43" t="str">
        <f>IFERROR(__xludf.DUMMYFUNCTION("""COMPUTED_VALUE"""),"Turkey")</f>
        <v>Turkey</v>
      </c>
      <c r="H845" s="43" t="str">
        <f>IFERROR(__xludf.DUMMYFUNCTION("""COMPUTED_VALUE"""),"ANKARA")</f>
        <v>ANKARA</v>
      </c>
      <c r="I845" s="43" t="str">
        <f>IFERROR(__xludf.DUMMYFUNCTION("""COMPUTED_VALUE"""),"India")</f>
        <v>India</v>
      </c>
      <c r="J845" s="43" t="str">
        <f>IFERROR(__xludf.DUMMYFUNCTION("""COMPUTED_VALUE"""),"Mumbai")</f>
        <v>Mumbai</v>
      </c>
      <c r="K845" s="44" t="str">
        <f>IFERROR(__xludf.DUMMYFUNCTION("""COMPUTED_VALUE"""),"https://expa.aiesec.org/opportunities/1289850")</f>
        <v>https://expa.aiesec.org/opportunities/1289850</v>
      </c>
      <c r="L845" s="43" t="str">
        <f>IFERROR(__xludf.DUMMYFUNCTION("""COMPUTED_VALUE"""),"GV")</f>
        <v>GV</v>
      </c>
      <c r="M845" s="43" t="str">
        <f>IFERROR(__xludf.DUMMYFUNCTION("""COMPUTED_VALUE"""),"short")</f>
        <v>short</v>
      </c>
      <c r="N845" s="45">
        <f>IFERROR(__xludf.DUMMYFUNCTION("""COMPUTED_VALUE"""),45093.0)</f>
        <v>45093</v>
      </c>
      <c r="O845" s="45">
        <f>IFERROR(__xludf.DUMMYFUNCTION("""COMPUTED_VALUE"""),45108.0)</f>
        <v>45108</v>
      </c>
      <c r="P845" s="45">
        <f>IFERROR(__xludf.DUMMYFUNCTION("""COMPUTED_VALUE"""),45150.0)</f>
        <v>45150</v>
      </c>
      <c r="Q845" s="45"/>
      <c r="R845" s="45"/>
      <c r="S845" s="43"/>
      <c r="T845" s="43"/>
      <c r="U845" s="43" t="str">
        <f>IFERROR(__xludf.DUMMYFUNCTION("""COMPUTED_VALUE"""),"Global Classroom")</f>
        <v>Global Classroom</v>
      </c>
      <c r="V845" s="43" t="str">
        <f>IFERROR(__xludf.DUMMYFUNCTION("""COMPUTED_VALUE"""),"ANKARA")</f>
        <v>ANKARA</v>
      </c>
      <c r="W845" s="43" t="str">
        <f>IFERROR(__xludf.DUMMYFUNCTION("""COMPUTED_VALUE"""),"2022-12-24T22:38:15Z")</f>
        <v>2022-12-24T22:38:15Z</v>
      </c>
      <c r="X845" s="43"/>
      <c r="Y845" s="43"/>
      <c r="Z845" s="43"/>
    </row>
    <row r="846" hidden="1">
      <c r="A846" s="43" t="str">
        <f>IFERROR(__xludf.DUMMYFUNCTION("""COMPUTED_VALUE"""),"4547192_1289850")</f>
        <v>4547192_1289850</v>
      </c>
      <c r="B846" s="43" t="str">
        <f>IFERROR(__xludf.DUMMYFUNCTION("""COMPUTED_VALUE"""),"Gülce Beyter")</f>
        <v>Gülce Beyter</v>
      </c>
      <c r="C846" s="43" t="str">
        <f>IFERROR(__xludf.DUMMYFUNCTION("""COMPUTED_VALUE"""),"completed")</f>
        <v>completed</v>
      </c>
      <c r="D846" s="43" t="str">
        <f>IFERROR(__xludf.DUMMYFUNCTION("""COMPUTED_VALUE"""),"No")</f>
        <v>No</v>
      </c>
      <c r="E846" s="43" t="str">
        <f>IFERROR(__xludf.DUMMYFUNCTION("""COMPUTED_VALUE"""),"p_366198f43417daf3b330262ecf78dcd6842fdb19@inbound.aiesec.org")</f>
        <v>p_366198f43417daf3b330262ecf78dcd6842fdb19@inbound.aiesec.org</v>
      </c>
      <c r="F846" s="43"/>
      <c r="G846" s="43" t="str">
        <f>IFERROR(__xludf.DUMMYFUNCTION("""COMPUTED_VALUE"""),"Turkey")</f>
        <v>Turkey</v>
      </c>
      <c r="H846" s="43" t="str">
        <f>IFERROR(__xludf.DUMMYFUNCTION("""COMPUTED_VALUE"""),"ISTANBUL")</f>
        <v>ISTANBUL</v>
      </c>
      <c r="I846" s="43" t="str">
        <f>IFERROR(__xludf.DUMMYFUNCTION("""COMPUTED_VALUE"""),"India")</f>
        <v>India</v>
      </c>
      <c r="J846" s="43" t="str">
        <f>IFERROR(__xludf.DUMMYFUNCTION("""COMPUTED_VALUE"""),"Mumbai")</f>
        <v>Mumbai</v>
      </c>
      <c r="K846" s="44" t="str">
        <f>IFERROR(__xludf.DUMMYFUNCTION("""COMPUTED_VALUE"""),"https://expa.aiesec.org/opportunities/1289850")</f>
        <v>https://expa.aiesec.org/opportunities/1289850</v>
      </c>
      <c r="L846" s="43" t="str">
        <f>IFERROR(__xludf.DUMMYFUNCTION("""COMPUTED_VALUE"""),"GV")</f>
        <v>GV</v>
      </c>
      <c r="M846" s="43" t="str">
        <f>IFERROR(__xludf.DUMMYFUNCTION("""COMPUTED_VALUE"""),"short")</f>
        <v>short</v>
      </c>
      <c r="N846" s="45">
        <f>IFERROR(__xludf.DUMMYFUNCTION("""COMPUTED_VALUE"""),45094.0)</f>
        <v>45094</v>
      </c>
      <c r="O846" s="45">
        <f>IFERROR(__xludf.DUMMYFUNCTION("""COMPUTED_VALUE"""),45108.0)</f>
        <v>45108</v>
      </c>
      <c r="P846" s="45">
        <f>IFERROR(__xludf.DUMMYFUNCTION("""COMPUTED_VALUE"""),45150.0)</f>
        <v>45150</v>
      </c>
      <c r="Q846" s="45">
        <f>IFERROR(__xludf.DUMMYFUNCTION("""COMPUTED_VALUE"""),45116.0)</f>
        <v>45116</v>
      </c>
      <c r="R846" s="45">
        <f>IFERROR(__xludf.DUMMYFUNCTION("""COMPUTED_VALUE"""),45158.0)</f>
        <v>45158</v>
      </c>
      <c r="S846" s="43"/>
      <c r="T846" s="43"/>
      <c r="U846" s="43" t="str">
        <f>IFERROR(__xludf.DUMMYFUNCTION("""COMPUTED_VALUE"""),"Global Classroom")</f>
        <v>Global Classroom</v>
      </c>
      <c r="V846" s="43" t="str">
        <f>IFERROR(__xludf.DUMMYFUNCTION("""COMPUTED_VALUE"""),"ISTANBUL - BEYOGLU")</f>
        <v>ISTANBUL - BEYOGLU</v>
      </c>
      <c r="W846" s="43" t="str">
        <f>IFERROR(__xludf.DUMMYFUNCTION("""COMPUTED_VALUE"""),"2021-02-16T14:44:47Z")</f>
        <v>2021-02-16T14:44:47Z</v>
      </c>
      <c r="X846" s="43"/>
      <c r="Y846" s="43"/>
      <c r="Z846" s="43"/>
    </row>
    <row r="847" hidden="1">
      <c r="A847" s="43" t="str">
        <f>IFERROR(__xludf.DUMMYFUNCTION("""COMPUTED_VALUE"""),"5275779_1288417")</f>
        <v>5275779_1288417</v>
      </c>
      <c r="B847" s="43" t="str">
        <f>IFERROR(__xludf.DUMMYFUNCTION("""COMPUTED_VALUE"""),"Melike İşbilen")</f>
        <v>Melike İşbilen</v>
      </c>
      <c r="C847" s="43" t="str">
        <f>IFERROR(__xludf.DUMMYFUNCTION("""COMPUTED_VALUE"""),"completed")</f>
        <v>completed</v>
      </c>
      <c r="D847" s="43" t="str">
        <f>IFERROR(__xludf.DUMMYFUNCTION("""COMPUTED_VALUE"""),"No")</f>
        <v>No</v>
      </c>
      <c r="E847" s="43" t="str">
        <f>IFERROR(__xludf.DUMMYFUNCTION("""COMPUTED_VALUE"""),"p_d862228759f96f4bc3d7430619b14c95f42213bc@inbound.aiesec.org")</f>
        <v>p_d862228759f96f4bc3d7430619b14c95f42213bc@inbound.aiesec.org</v>
      </c>
      <c r="F847" s="43">
        <f>IFERROR(__xludf.DUMMYFUNCTION("""COMPUTED_VALUE"""),5.521761592E9)</f>
        <v>5521761592</v>
      </c>
      <c r="G847" s="43" t="str">
        <f>IFERROR(__xludf.DUMMYFUNCTION("""COMPUTED_VALUE"""),"Turkey")</f>
        <v>Turkey</v>
      </c>
      <c r="H847" s="43" t="str">
        <f>IFERROR(__xludf.DUMMYFUNCTION("""COMPUTED_VALUE"""),"KOCAELI")</f>
        <v>KOCAELI</v>
      </c>
      <c r="I847" s="43" t="str">
        <f>IFERROR(__xludf.DUMMYFUNCTION("""COMPUTED_VALUE"""),"India")</f>
        <v>India</v>
      </c>
      <c r="J847" s="43" t="str">
        <f>IFERROR(__xludf.DUMMYFUNCTION("""COMPUTED_VALUE"""),"JAIPUR ")</f>
        <v>JAIPUR </v>
      </c>
      <c r="K847" s="44" t="str">
        <f>IFERROR(__xludf.DUMMYFUNCTION("""COMPUTED_VALUE"""),"https://expa.aiesec.org/opportunities/1288417")</f>
        <v>https://expa.aiesec.org/opportunities/1288417</v>
      </c>
      <c r="L847" s="43" t="str">
        <f>IFERROR(__xludf.DUMMYFUNCTION("""COMPUTED_VALUE"""),"GV")</f>
        <v>GV</v>
      </c>
      <c r="M847" s="43" t="str">
        <f>IFERROR(__xludf.DUMMYFUNCTION("""COMPUTED_VALUE"""),"short")</f>
        <v>short</v>
      </c>
      <c r="N847" s="45">
        <f>IFERROR(__xludf.DUMMYFUNCTION("""COMPUTED_VALUE"""),45095.0)</f>
        <v>45095</v>
      </c>
      <c r="O847" s="45">
        <f>IFERROR(__xludf.DUMMYFUNCTION("""COMPUTED_VALUE"""),45115.0)</f>
        <v>45115</v>
      </c>
      <c r="P847" s="45">
        <f>IFERROR(__xludf.DUMMYFUNCTION("""COMPUTED_VALUE"""),45157.0)</f>
        <v>45157</v>
      </c>
      <c r="Q847" s="45">
        <f>IFERROR(__xludf.DUMMYFUNCTION("""COMPUTED_VALUE"""),45115.0)</f>
        <v>45115</v>
      </c>
      <c r="R847" s="45">
        <f>IFERROR(__xludf.DUMMYFUNCTION("""COMPUTED_VALUE"""),45157.0)</f>
        <v>45157</v>
      </c>
      <c r="S847" s="43"/>
      <c r="T847" s="43"/>
      <c r="U847" s="43" t="str">
        <f>IFERROR(__xludf.DUMMYFUNCTION("""COMPUTED_VALUE"""),"Skill Up!")</f>
        <v>Skill Up!</v>
      </c>
      <c r="V847" s="43" t="str">
        <f>IFERROR(__xludf.DUMMYFUNCTION("""COMPUTED_VALUE"""),"KOCAELI")</f>
        <v>KOCAELI</v>
      </c>
      <c r="W847" s="43" t="str">
        <f>IFERROR(__xludf.DUMMYFUNCTION("""COMPUTED_VALUE"""),"2023-06-15T17:58:24Z")</f>
        <v>2023-06-15T17:58:24Z</v>
      </c>
      <c r="X847" s="43"/>
      <c r="Y847" s="43"/>
      <c r="Z847" s="43"/>
    </row>
    <row r="848" hidden="1">
      <c r="A848" s="43" t="str">
        <f>IFERROR(__xludf.DUMMYFUNCTION("""COMPUTED_VALUE"""),"5276238_1295875")</f>
        <v>5276238_1295875</v>
      </c>
      <c r="B848" s="43" t="str">
        <f>IFERROR(__xludf.DUMMYFUNCTION("""COMPUTED_VALUE"""),"Fatma Asar")</f>
        <v>Fatma Asar</v>
      </c>
      <c r="C848" s="43" t="str">
        <f>IFERROR(__xludf.DUMMYFUNCTION("""COMPUTED_VALUE"""),"completed")</f>
        <v>completed</v>
      </c>
      <c r="D848" s="43" t="str">
        <f>IFERROR(__xludf.DUMMYFUNCTION("""COMPUTED_VALUE"""),"No")</f>
        <v>No</v>
      </c>
      <c r="E848" s="43" t="str">
        <f>IFERROR(__xludf.DUMMYFUNCTION("""COMPUTED_VALUE"""),"p_7dd451b3faad136613935dd8ec4c71e3dca8220c@inbound.aiesec.org")</f>
        <v>p_7dd451b3faad136613935dd8ec4c71e3dca8220c@inbound.aiesec.org</v>
      </c>
      <c r="F848" s="43">
        <f>IFERROR(__xludf.DUMMYFUNCTION("""COMPUTED_VALUE"""),5.384183838E9)</f>
        <v>5384183838</v>
      </c>
      <c r="G848" s="43" t="str">
        <f>IFERROR(__xludf.DUMMYFUNCTION("""COMPUTED_VALUE"""),"Turkey")</f>
        <v>Turkey</v>
      </c>
      <c r="H848" s="43" t="str">
        <f>IFERROR(__xludf.DUMMYFUNCTION("""COMPUTED_VALUE"""),"ISTANBUL")</f>
        <v>ISTANBUL</v>
      </c>
      <c r="I848" s="43" t="str">
        <f>IFERROR(__xludf.DUMMYFUNCTION("""COMPUTED_VALUE"""),"Egypt")</f>
        <v>Egypt</v>
      </c>
      <c r="J848" s="43" t="str">
        <f>IFERROR(__xludf.DUMMYFUNCTION("""COMPUTED_VALUE"""),"Cairo University")</f>
        <v>Cairo University</v>
      </c>
      <c r="K848" s="44" t="str">
        <f>IFERROR(__xludf.DUMMYFUNCTION("""COMPUTED_VALUE"""),"https://expa.aiesec.org/opportunities/1295875")</f>
        <v>https://expa.aiesec.org/opportunities/1295875</v>
      </c>
      <c r="L848" s="43" t="str">
        <f>IFERROR(__xludf.DUMMYFUNCTION("""COMPUTED_VALUE"""),"GV")</f>
        <v>GV</v>
      </c>
      <c r="M848" s="43" t="str">
        <f>IFERROR(__xludf.DUMMYFUNCTION("""COMPUTED_VALUE"""),"short")</f>
        <v>short</v>
      </c>
      <c r="N848" s="45">
        <f>IFERROR(__xludf.DUMMYFUNCTION("""COMPUTED_VALUE"""),45095.0)</f>
        <v>45095</v>
      </c>
      <c r="O848" s="45">
        <f>IFERROR(__xludf.DUMMYFUNCTION("""COMPUTED_VALUE"""),45158.0)</f>
        <v>45158</v>
      </c>
      <c r="P848" s="45">
        <f>IFERROR(__xludf.DUMMYFUNCTION("""COMPUTED_VALUE"""),45202.0)</f>
        <v>45202</v>
      </c>
      <c r="Q848" s="45"/>
      <c r="R848" s="45">
        <f>IFERROR(__xludf.DUMMYFUNCTION("""COMPUTED_VALUE"""),45200.0)</f>
        <v>45200</v>
      </c>
      <c r="S848" s="43"/>
      <c r="T848" s="43"/>
      <c r="U848" s="43" t="str">
        <f>IFERROR(__xludf.DUMMYFUNCTION("""COMPUTED_VALUE"""),"Global Classroom")</f>
        <v>Global Classroom</v>
      </c>
      <c r="V848" s="43" t="str">
        <f>IFERROR(__xludf.DUMMYFUNCTION("""COMPUTED_VALUE"""),"ISTANBUL - BEYOGLU")</f>
        <v>ISTANBUL - BEYOGLU</v>
      </c>
      <c r="W848" s="43" t="str">
        <f>IFERROR(__xludf.DUMMYFUNCTION("""COMPUTED_VALUE"""),"2023-06-17T05:23:43Z")</f>
        <v>2023-06-17T05:23:43Z</v>
      </c>
      <c r="X848" s="43"/>
      <c r="Y848" s="43"/>
      <c r="Z848" s="43"/>
    </row>
    <row r="849" hidden="1">
      <c r="A849" s="43" t="str">
        <f>IFERROR(__xludf.DUMMYFUNCTION("""COMPUTED_VALUE"""),"5275277_1288609")</f>
        <v>5275277_1288609</v>
      </c>
      <c r="B849" s="43" t="str">
        <f>IFERROR(__xludf.DUMMYFUNCTION("""COMPUTED_VALUE"""),"Fırat Aslan")</f>
        <v>Fırat Aslan</v>
      </c>
      <c r="C849" s="43" t="str">
        <f>IFERROR(__xludf.DUMMYFUNCTION("""COMPUTED_VALUE"""),"completed")</f>
        <v>completed</v>
      </c>
      <c r="D849" s="43" t="str">
        <f>IFERROR(__xludf.DUMMYFUNCTION("""COMPUTED_VALUE"""),"No")</f>
        <v>No</v>
      </c>
      <c r="E849" s="43" t="str">
        <f>IFERROR(__xludf.DUMMYFUNCTION("""COMPUTED_VALUE"""),"p_b76aeb2f3e6c29c2ad862d1232c6f477c4fdcf50@inbound.aiesec.org")</f>
        <v>p_b76aeb2f3e6c29c2ad862d1232c6f477c4fdcf50@inbound.aiesec.org</v>
      </c>
      <c r="F849" s="43"/>
      <c r="G849" s="43" t="str">
        <f>IFERROR(__xludf.DUMMYFUNCTION("""COMPUTED_VALUE"""),"Turkey")</f>
        <v>Turkey</v>
      </c>
      <c r="H849" s="43" t="str">
        <f>IFERROR(__xludf.DUMMYFUNCTION("""COMPUTED_VALUE"""),"ESKISEHIR")</f>
        <v>ESKISEHIR</v>
      </c>
      <c r="I849" s="43" t="str">
        <f>IFERROR(__xludf.DUMMYFUNCTION("""COMPUTED_VALUE"""),"Egypt")</f>
        <v>Egypt</v>
      </c>
      <c r="J849" s="43" t="str">
        <f>IFERROR(__xludf.DUMMYFUNCTION("""COMPUTED_VALUE"""),"Tanta")</f>
        <v>Tanta</v>
      </c>
      <c r="K849" s="44" t="str">
        <f>IFERROR(__xludf.DUMMYFUNCTION("""COMPUTED_VALUE"""),"https://expa.aiesec.org/opportunities/1288609")</f>
        <v>https://expa.aiesec.org/opportunities/1288609</v>
      </c>
      <c r="L849" s="43" t="str">
        <f>IFERROR(__xludf.DUMMYFUNCTION("""COMPUTED_VALUE"""),"GV")</f>
        <v>GV</v>
      </c>
      <c r="M849" s="43" t="str">
        <f>IFERROR(__xludf.DUMMYFUNCTION("""COMPUTED_VALUE"""),"short")</f>
        <v>short</v>
      </c>
      <c r="N849" s="45">
        <f>IFERROR(__xludf.DUMMYFUNCTION("""COMPUTED_VALUE"""),45095.0)</f>
        <v>45095</v>
      </c>
      <c r="O849" s="45">
        <f>IFERROR(__xludf.DUMMYFUNCTION("""COMPUTED_VALUE"""),45108.0)</f>
        <v>45108</v>
      </c>
      <c r="P849" s="45">
        <f>IFERROR(__xludf.DUMMYFUNCTION("""COMPUTED_VALUE"""),45150.0)</f>
        <v>45150</v>
      </c>
      <c r="Q849" s="45">
        <f>IFERROR(__xludf.DUMMYFUNCTION("""COMPUTED_VALUE"""),45109.0)</f>
        <v>45109</v>
      </c>
      <c r="R849" s="45">
        <f>IFERROR(__xludf.DUMMYFUNCTION("""COMPUTED_VALUE"""),45150.0)</f>
        <v>45150</v>
      </c>
      <c r="S849" s="43"/>
      <c r="T849" s="43"/>
      <c r="U849" s="43" t="str">
        <f>IFERROR(__xludf.DUMMYFUNCTION("""COMPUTED_VALUE"""),"On The Map")</f>
        <v>On The Map</v>
      </c>
      <c r="V849" s="43" t="str">
        <f>IFERROR(__xludf.DUMMYFUNCTION("""COMPUTED_VALUE"""),"-")</f>
        <v>-</v>
      </c>
      <c r="W849" s="43" t="str">
        <f>IFERROR(__xludf.DUMMYFUNCTION("""COMPUTED_VALUE"""),"2023-06-14T15:07:24Z")</f>
        <v>2023-06-14T15:07:24Z</v>
      </c>
      <c r="X849" s="43"/>
      <c r="Y849" s="43"/>
      <c r="Z849" s="43"/>
    </row>
    <row r="850" hidden="1">
      <c r="A850" s="43" t="str">
        <f>IFERROR(__xludf.DUMMYFUNCTION("""COMPUTED_VALUE"""),"5275817_1288419")</f>
        <v>5275817_1288419</v>
      </c>
      <c r="B850" s="43" t="str">
        <f>IFERROR(__xludf.DUMMYFUNCTION("""COMPUTED_VALUE"""),"Gizem Yalçin")</f>
        <v>Gizem Yalçin</v>
      </c>
      <c r="C850" s="43" t="str">
        <f>IFERROR(__xludf.DUMMYFUNCTION("""COMPUTED_VALUE"""),"completed")</f>
        <v>completed</v>
      </c>
      <c r="D850" s="43" t="str">
        <f>IFERROR(__xludf.DUMMYFUNCTION("""COMPUTED_VALUE"""),"No")</f>
        <v>No</v>
      </c>
      <c r="E850" s="43" t="str">
        <f>IFERROR(__xludf.DUMMYFUNCTION("""COMPUTED_VALUE"""),"p_35f19d4641635e6f87ddc5c2eac87b63cf170660@inbound.aiesec.org")</f>
        <v>p_35f19d4641635e6f87ddc5c2eac87b63cf170660@inbound.aiesec.org</v>
      </c>
      <c r="F850" s="43">
        <f>IFERROR(__xludf.DUMMYFUNCTION("""COMPUTED_VALUE"""),5.456020827E9)</f>
        <v>5456020827</v>
      </c>
      <c r="G850" s="43" t="str">
        <f>IFERROR(__xludf.DUMMYFUNCTION("""COMPUTED_VALUE"""),"Turkey")</f>
        <v>Turkey</v>
      </c>
      <c r="H850" s="43" t="str">
        <f>IFERROR(__xludf.DUMMYFUNCTION("""COMPUTED_VALUE"""),"KOCAELI")</f>
        <v>KOCAELI</v>
      </c>
      <c r="I850" s="43" t="str">
        <f>IFERROR(__xludf.DUMMYFUNCTION("""COMPUTED_VALUE"""),"India")</f>
        <v>India</v>
      </c>
      <c r="J850" s="43" t="str">
        <f>IFERROR(__xludf.DUMMYFUNCTION("""COMPUTED_VALUE"""),"JAIPUR ")</f>
        <v>JAIPUR </v>
      </c>
      <c r="K850" s="44" t="str">
        <f>IFERROR(__xludf.DUMMYFUNCTION("""COMPUTED_VALUE"""),"https://expa.aiesec.org/opportunities/1288419")</f>
        <v>https://expa.aiesec.org/opportunities/1288419</v>
      </c>
      <c r="L850" s="43" t="str">
        <f>IFERROR(__xludf.DUMMYFUNCTION("""COMPUTED_VALUE"""),"GV")</f>
        <v>GV</v>
      </c>
      <c r="M850" s="43" t="str">
        <f>IFERROR(__xludf.DUMMYFUNCTION("""COMPUTED_VALUE"""),"short")</f>
        <v>short</v>
      </c>
      <c r="N850" s="45">
        <f>IFERROR(__xludf.DUMMYFUNCTION("""COMPUTED_VALUE"""),45096.0)</f>
        <v>45096</v>
      </c>
      <c r="O850" s="45">
        <f>IFERROR(__xludf.DUMMYFUNCTION("""COMPUTED_VALUE"""),45108.0)</f>
        <v>45108</v>
      </c>
      <c r="P850" s="45">
        <f>IFERROR(__xludf.DUMMYFUNCTION("""COMPUTED_VALUE"""),45150.0)</f>
        <v>45150</v>
      </c>
      <c r="Q850" s="45">
        <f>IFERROR(__xludf.DUMMYFUNCTION("""COMPUTED_VALUE"""),45108.0)</f>
        <v>45108</v>
      </c>
      <c r="R850" s="45">
        <f>IFERROR(__xludf.DUMMYFUNCTION("""COMPUTED_VALUE"""),45150.0)</f>
        <v>45150</v>
      </c>
      <c r="S850" s="43"/>
      <c r="T850" s="43"/>
      <c r="U850" s="43" t="str">
        <f>IFERROR(__xludf.DUMMYFUNCTION("""COMPUTED_VALUE"""),"On The Map")</f>
        <v>On The Map</v>
      </c>
      <c r="V850" s="43" t="str">
        <f>IFERROR(__xludf.DUMMYFUNCTION("""COMPUTED_VALUE"""),"BURSA")</f>
        <v>BURSA</v>
      </c>
      <c r="W850" s="43" t="str">
        <f>IFERROR(__xludf.DUMMYFUNCTION("""COMPUTED_VALUE"""),"2023-06-15T20:11:08Z")</f>
        <v>2023-06-15T20:11:08Z</v>
      </c>
      <c r="X850" s="43"/>
      <c r="Y850" s="43"/>
      <c r="Z850" s="43"/>
    </row>
    <row r="851" hidden="1">
      <c r="A851" s="43" t="str">
        <f>IFERROR(__xludf.DUMMYFUNCTION("""COMPUTED_VALUE"""),"5178652_1296244")</f>
        <v>5178652_1296244</v>
      </c>
      <c r="B851" s="43" t="str">
        <f>IFERROR(__xludf.DUMMYFUNCTION("""COMPUTED_VALUE"""),"muhammed umut kandemir")</f>
        <v>muhammed umut kandemir</v>
      </c>
      <c r="C851" s="43" t="str">
        <f>IFERROR(__xludf.DUMMYFUNCTION("""COMPUTED_VALUE"""),"finished")</f>
        <v>finished</v>
      </c>
      <c r="D851" s="43" t="str">
        <f>IFERROR(__xludf.DUMMYFUNCTION("""COMPUTED_VALUE"""),"No")</f>
        <v>No</v>
      </c>
      <c r="E851" s="43" t="str">
        <f>IFERROR(__xludf.DUMMYFUNCTION("""COMPUTED_VALUE"""),"p_b5cc0b7fbf1ad2893d5a6d79252b27fa39535edd@inbound.aiesec.org")</f>
        <v>p_b5cc0b7fbf1ad2893d5a6d79252b27fa39535edd@inbound.aiesec.org</v>
      </c>
      <c r="F851" s="43">
        <f>IFERROR(__xludf.DUMMYFUNCTION("""COMPUTED_VALUE"""),5.338580459E9)</f>
        <v>5338580459</v>
      </c>
      <c r="G851" s="43" t="str">
        <f>IFERROR(__xludf.DUMMYFUNCTION("""COMPUTED_VALUE"""),"Turkey")</f>
        <v>Turkey</v>
      </c>
      <c r="H851" s="43" t="str">
        <f>IFERROR(__xludf.DUMMYFUNCTION("""COMPUTED_VALUE"""),"EASTERN MEDITERRANEAN")</f>
        <v>EASTERN MEDITERRANEAN</v>
      </c>
      <c r="I851" s="43" t="str">
        <f>IFERROR(__xludf.DUMMYFUNCTION("""COMPUTED_VALUE"""),"Egypt")</f>
        <v>Egypt</v>
      </c>
      <c r="J851" s="43" t="str">
        <f>IFERROR(__xludf.DUMMYFUNCTION("""COMPUTED_VALUE"""),"MUST")</f>
        <v>MUST</v>
      </c>
      <c r="K851" s="44" t="str">
        <f>IFERROR(__xludf.DUMMYFUNCTION("""COMPUTED_VALUE"""),"https://expa.aiesec.org/opportunities/1296244")</f>
        <v>https://expa.aiesec.org/opportunities/1296244</v>
      </c>
      <c r="L851" s="43" t="str">
        <f>IFERROR(__xludf.DUMMYFUNCTION("""COMPUTED_VALUE"""),"GV")</f>
        <v>GV</v>
      </c>
      <c r="M851" s="43" t="str">
        <f>IFERROR(__xludf.DUMMYFUNCTION("""COMPUTED_VALUE"""),"short")</f>
        <v>short</v>
      </c>
      <c r="N851" s="45">
        <f>IFERROR(__xludf.DUMMYFUNCTION("""COMPUTED_VALUE"""),45096.0)</f>
        <v>45096</v>
      </c>
      <c r="O851" s="45">
        <f>IFERROR(__xludf.DUMMYFUNCTION("""COMPUTED_VALUE"""),45153.0)</f>
        <v>45153</v>
      </c>
      <c r="P851" s="45">
        <f>IFERROR(__xludf.DUMMYFUNCTION("""COMPUTED_VALUE"""),45199.0)</f>
        <v>45199</v>
      </c>
      <c r="Q851" s="45">
        <f>IFERROR(__xludf.DUMMYFUNCTION("""COMPUTED_VALUE"""),45153.0)</f>
        <v>45153</v>
      </c>
      <c r="R851" s="45">
        <f>IFERROR(__xludf.DUMMYFUNCTION("""COMPUTED_VALUE"""),45199.0)</f>
        <v>45199</v>
      </c>
      <c r="S851" s="43"/>
      <c r="T851" s="43"/>
      <c r="U851" s="43" t="str">
        <f>IFERROR(__xludf.DUMMYFUNCTION("""COMPUTED_VALUE"""),"Happy Bus")</f>
        <v>Happy Bus</v>
      </c>
      <c r="V851" s="43" t="str">
        <f>IFERROR(__xludf.DUMMYFUNCTION("""COMPUTED_VALUE"""),"NORTH CYPRUS")</f>
        <v>NORTH CYPRUS</v>
      </c>
      <c r="W851" s="43" t="str">
        <f>IFERROR(__xludf.DUMMYFUNCTION("""COMPUTED_VALUE"""),"2023-01-20T09:54:05Z")</f>
        <v>2023-01-20T09:54:05Z</v>
      </c>
      <c r="X851" s="43"/>
      <c r="Y851" s="43"/>
      <c r="Z851" s="43"/>
    </row>
    <row r="852" hidden="1">
      <c r="A852" s="43" t="str">
        <f>IFERROR(__xludf.DUMMYFUNCTION("""COMPUTED_VALUE"""),"5273587_1295628")</f>
        <v>5273587_1295628</v>
      </c>
      <c r="B852" s="43" t="str">
        <f>IFERROR(__xludf.DUMMYFUNCTION("""COMPUTED_VALUE"""),"İKRA SİMAY ALTAN")</f>
        <v>İKRA SİMAY ALTAN</v>
      </c>
      <c r="C852" s="43" t="str">
        <f>IFERROR(__xludf.DUMMYFUNCTION("""COMPUTED_VALUE"""),"completed")</f>
        <v>completed</v>
      </c>
      <c r="D852" s="43" t="str">
        <f>IFERROR(__xludf.DUMMYFUNCTION("""COMPUTED_VALUE"""),"No")</f>
        <v>No</v>
      </c>
      <c r="E852" s="43" t="str">
        <f>IFERROR(__xludf.DUMMYFUNCTION("""COMPUTED_VALUE"""),"p_597d71944575c5110b3660221b70bec242a84495@inbound.aiesec.org")</f>
        <v>p_597d71944575c5110b3660221b70bec242a84495@inbound.aiesec.org</v>
      </c>
      <c r="F852" s="43"/>
      <c r="G852" s="43" t="str">
        <f>IFERROR(__xludf.DUMMYFUNCTION("""COMPUTED_VALUE"""),"Turkey")</f>
        <v>Turkey</v>
      </c>
      <c r="H852" s="43" t="str">
        <f>IFERROR(__xludf.DUMMYFUNCTION("""COMPUTED_VALUE"""),"ISTANBUL WEST")</f>
        <v>ISTANBUL WEST</v>
      </c>
      <c r="I852" s="43" t="str">
        <f>IFERROR(__xludf.DUMMYFUNCTION("""COMPUTED_VALUE"""),"Sri Lanka")</f>
        <v>Sri Lanka</v>
      </c>
      <c r="J852" s="43" t="str">
        <f>IFERROR(__xludf.DUMMYFUNCTION("""COMPUTED_VALUE"""),"COLOMBO CENTRAL")</f>
        <v>COLOMBO CENTRAL</v>
      </c>
      <c r="K852" s="44" t="str">
        <f>IFERROR(__xludf.DUMMYFUNCTION("""COMPUTED_VALUE"""),"https://expa.aiesec.org/opportunities/1295628")</f>
        <v>https://expa.aiesec.org/opportunities/1295628</v>
      </c>
      <c r="L852" s="43" t="str">
        <f>IFERROR(__xludf.DUMMYFUNCTION("""COMPUTED_VALUE"""),"GV")</f>
        <v>GV</v>
      </c>
      <c r="M852" s="43" t="str">
        <f>IFERROR(__xludf.DUMMYFUNCTION("""COMPUTED_VALUE"""),"short")</f>
        <v>short</v>
      </c>
      <c r="N852" s="45">
        <f>IFERROR(__xludf.DUMMYFUNCTION("""COMPUTED_VALUE"""),45096.0)</f>
        <v>45096</v>
      </c>
      <c r="O852" s="45">
        <f>IFERROR(__xludf.DUMMYFUNCTION("""COMPUTED_VALUE"""),45166.0)</f>
        <v>45166</v>
      </c>
      <c r="P852" s="45">
        <f>IFERROR(__xludf.DUMMYFUNCTION("""COMPUTED_VALUE"""),45208.0)</f>
        <v>45208</v>
      </c>
      <c r="Q852" s="45">
        <f>IFERROR(__xludf.DUMMYFUNCTION("""COMPUTED_VALUE"""),45166.0)</f>
        <v>45166</v>
      </c>
      <c r="R852" s="45">
        <f>IFERROR(__xludf.DUMMYFUNCTION("""COMPUTED_VALUE"""),45208.0)</f>
        <v>45208</v>
      </c>
      <c r="S852" s="43"/>
      <c r="T852" s="43"/>
      <c r="U852" s="43" t="str">
        <f>IFERROR(__xludf.DUMMYFUNCTION("""COMPUTED_VALUE"""),"Rooted")</f>
        <v>Rooted</v>
      </c>
      <c r="V852" s="43" t="str">
        <f>IFERROR(__xludf.DUMMYFUNCTION("""COMPUTED_VALUE"""),"-")</f>
        <v>-</v>
      </c>
      <c r="W852" s="43" t="str">
        <f>IFERROR(__xludf.DUMMYFUNCTION("""COMPUTED_VALUE"""),"2023-06-10T09:25:49Z")</f>
        <v>2023-06-10T09:25:49Z</v>
      </c>
      <c r="X852" s="43"/>
      <c r="Y852" s="43"/>
      <c r="Z852" s="43"/>
    </row>
    <row r="853" hidden="1">
      <c r="A853" s="43" t="str">
        <f>IFERROR(__xludf.DUMMYFUNCTION("""COMPUTED_VALUE"""),"5269024_1294916")</f>
        <v>5269024_1294916</v>
      </c>
      <c r="B853" s="43" t="str">
        <f>IFERROR(__xludf.DUMMYFUNCTION("""COMPUTED_VALUE"""),"Fatma Betül Yılmaz")</f>
        <v>Fatma Betül Yılmaz</v>
      </c>
      <c r="C853" s="43" t="str">
        <f>IFERROR(__xludf.DUMMYFUNCTION("""COMPUTED_VALUE"""),"completed")</f>
        <v>completed</v>
      </c>
      <c r="D853" s="43" t="str">
        <f>IFERROR(__xludf.DUMMYFUNCTION("""COMPUTED_VALUE"""),"No")</f>
        <v>No</v>
      </c>
      <c r="E853" s="43" t="str">
        <f>IFERROR(__xludf.DUMMYFUNCTION("""COMPUTED_VALUE"""),"p_b0a992ba10d9f70dd92c3c316e4d2dd082924c59@inbound.aiesec.org")</f>
        <v>p_b0a992ba10d9f70dd92c3c316e4d2dd082924c59@inbound.aiesec.org</v>
      </c>
      <c r="F853" s="43">
        <f>IFERROR(__xludf.DUMMYFUNCTION("""COMPUTED_VALUE"""),5.462424567E9)</f>
        <v>5462424567</v>
      </c>
      <c r="G853" s="43" t="str">
        <f>IFERROR(__xludf.DUMMYFUNCTION("""COMPUTED_VALUE"""),"Turkey")</f>
        <v>Turkey</v>
      </c>
      <c r="H853" s="43" t="str">
        <f>IFERROR(__xludf.DUMMYFUNCTION("""COMPUTED_VALUE"""),"ISTANBUL")</f>
        <v>ISTANBUL</v>
      </c>
      <c r="I853" s="43" t="str">
        <f>IFERROR(__xludf.DUMMYFUNCTION("""COMPUTED_VALUE"""),"Morocco")</f>
        <v>Morocco</v>
      </c>
      <c r="J853" s="43" t="str">
        <f>IFERROR(__xludf.DUMMYFUNCTION("""COMPUTED_VALUE"""),"Casablanca")</f>
        <v>Casablanca</v>
      </c>
      <c r="K853" s="44" t="str">
        <f>IFERROR(__xludf.DUMMYFUNCTION("""COMPUTED_VALUE"""),"https://expa.aiesec.org/opportunities/1294916")</f>
        <v>https://expa.aiesec.org/opportunities/1294916</v>
      </c>
      <c r="L853" s="43" t="str">
        <f>IFERROR(__xludf.DUMMYFUNCTION("""COMPUTED_VALUE"""),"GV")</f>
        <v>GV</v>
      </c>
      <c r="M853" s="43" t="str">
        <f>IFERROR(__xludf.DUMMYFUNCTION("""COMPUTED_VALUE"""),"short")</f>
        <v>short</v>
      </c>
      <c r="N853" s="45">
        <f>IFERROR(__xludf.DUMMYFUNCTION("""COMPUTED_VALUE"""),45096.0)</f>
        <v>45096</v>
      </c>
      <c r="O853" s="45">
        <f>IFERROR(__xludf.DUMMYFUNCTION("""COMPUTED_VALUE"""),45114.0)</f>
        <v>45114</v>
      </c>
      <c r="P853" s="45">
        <f>IFERROR(__xludf.DUMMYFUNCTION("""COMPUTED_VALUE"""),45156.0)</f>
        <v>45156</v>
      </c>
      <c r="Q853" s="45">
        <f>IFERROR(__xludf.DUMMYFUNCTION("""COMPUTED_VALUE"""),45112.0)</f>
        <v>45112</v>
      </c>
      <c r="R853" s="45">
        <f>IFERROR(__xludf.DUMMYFUNCTION("""COMPUTED_VALUE"""),45156.0)</f>
        <v>45156</v>
      </c>
      <c r="S853" s="43"/>
      <c r="T853" s="43"/>
      <c r="U853" s="43" t="str">
        <f>IFERROR(__xludf.DUMMYFUNCTION("""COMPUTED_VALUE"""),"Global Classroom")</f>
        <v>Global Classroom</v>
      </c>
      <c r="V853" s="43" t="str">
        <f>IFERROR(__xludf.DUMMYFUNCTION("""COMPUTED_VALUE"""),"ISTANBUL - BEYOGLU")</f>
        <v>ISTANBUL - BEYOGLU</v>
      </c>
      <c r="W853" s="43" t="str">
        <f>IFERROR(__xludf.DUMMYFUNCTION("""COMPUTED_VALUE"""),"2023-05-30T18:43:35Z")</f>
        <v>2023-05-30T18:43:35Z</v>
      </c>
      <c r="X853" s="43"/>
      <c r="Y853" s="43"/>
      <c r="Z853" s="43"/>
    </row>
    <row r="854" hidden="1">
      <c r="A854" s="43" t="str">
        <f>IFERROR(__xludf.DUMMYFUNCTION("""COMPUTED_VALUE"""),"5276160_1293477")</f>
        <v>5276160_1293477</v>
      </c>
      <c r="B854" s="43" t="str">
        <f>IFERROR(__xludf.DUMMYFUNCTION("""COMPUTED_VALUE"""),"Rabiya Balta")</f>
        <v>Rabiya Balta</v>
      </c>
      <c r="C854" s="43" t="str">
        <f>IFERROR(__xludf.DUMMYFUNCTION("""COMPUTED_VALUE"""),"completed")</f>
        <v>completed</v>
      </c>
      <c r="D854" s="43" t="str">
        <f>IFERROR(__xludf.DUMMYFUNCTION("""COMPUTED_VALUE"""),"No")</f>
        <v>No</v>
      </c>
      <c r="E854" s="43" t="str">
        <f>IFERROR(__xludf.DUMMYFUNCTION("""COMPUTED_VALUE"""),"p_64a00117e834d7601ab8b2c024f1e5e4a1507175@inbound.aiesec.org")</f>
        <v>p_64a00117e834d7601ab8b2c024f1e5e4a1507175@inbound.aiesec.org</v>
      </c>
      <c r="F854" s="43">
        <f>IFERROR(__xludf.DUMMYFUNCTION("""COMPUTED_VALUE"""),5.439371983E9)</f>
        <v>5439371983</v>
      </c>
      <c r="G854" s="43" t="str">
        <f>IFERROR(__xludf.DUMMYFUNCTION("""COMPUTED_VALUE"""),"Turkey")</f>
        <v>Turkey</v>
      </c>
      <c r="H854" s="43" t="str">
        <f>IFERROR(__xludf.DUMMYFUNCTION("""COMPUTED_VALUE"""),"ISTANBUL")</f>
        <v>ISTANBUL</v>
      </c>
      <c r="I854" s="43" t="str">
        <f>IFERROR(__xludf.DUMMYFUNCTION("""COMPUTED_VALUE"""),"Egypt")</f>
        <v>Egypt</v>
      </c>
      <c r="J854" s="43" t="str">
        <f>IFERROR(__xludf.DUMMYFUNCTION("""COMPUTED_VALUE"""),"GUC")</f>
        <v>GUC</v>
      </c>
      <c r="K854" s="44" t="str">
        <f>IFERROR(__xludf.DUMMYFUNCTION("""COMPUTED_VALUE"""),"https://expa.aiesec.org/opportunities/1293477")</f>
        <v>https://expa.aiesec.org/opportunities/1293477</v>
      </c>
      <c r="L854" s="43" t="str">
        <f>IFERROR(__xludf.DUMMYFUNCTION("""COMPUTED_VALUE"""),"GV")</f>
        <v>GV</v>
      </c>
      <c r="M854" s="43" t="str">
        <f>IFERROR(__xludf.DUMMYFUNCTION("""COMPUTED_VALUE"""),"short")</f>
        <v>short</v>
      </c>
      <c r="N854" s="45">
        <f>IFERROR(__xludf.DUMMYFUNCTION("""COMPUTED_VALUE"""),45097.0)</f>
        <v>45097</v>
      </c>
      <c r="O854" s="45">
        <f>IFERROR(__xludf.DUMMYFUNCTION("""COMPUTED_VALUE"""),45116.0)</f>
        <v>45116</v>
      </c>
      <c r="P854" s="45">
        <f>IFERROR(__xludf.DUMMYFUNCTION("""COMPUTED_VALUE"""),45158.0)</f>
        <v>45158</v>
      </c>
      <c r="Q854" s="45">
        <f>IFERROR(__xludf.DUMMYFUNCTION("""COMPUTED_VALUE"""),45118.0)</f>
        <v>45118</v>
      </c>
      <c r="R854" s="45">
        <f>IFERROR(__xludf.DUMMYFUNCTION("""COMPUTED_VALUE"""),45158.0)</f>
        <v>45158</v>
      </c>
      <c r="S854" s="43"/>
      <c r="T854" s="43"/>
      <c r="U854" s="43" t="str">
        <f>IFERROR(__xludf.DUMMYFUNCTION("""COMPUTED_VALUE"""),"Raise Your Voice")</f>
        <v>Raise Your Voice</v>
      </c>
      <c r="V854" s="43" t="str">
        <f>IFERROR(__xludf.DUMMYFUNCTION("""COMPUTED_VALUE"""),"ISTANBUL - BEYOGLU")</f>
        <v>ISTANBUL - BEYOGLU</v>
      </c>
      <c r="W854" s="43" t="str">
        <f>IFERROR(__xludf.DUMMYFUNCTION("""COMPUTED_VALUE"""),"2023-06-16T20:57:42Z")</f>
        <v>2023-06-16T20:57:42Z</v>
      </c>
      <c r="X854" s="43"/>
      <c r="Y854" s="43"/>
      <c r="Z854" s="43"/>
    </row>
    <row r="855" hidden="1">
      <c r="A855" s="43" t="str">
        <f>IFERROR(__xludf.DUMMYFUNCTION("""COMPUTED_VALUE"""),"5275264_1288609")</f>
        <v>5275264_1288609</v>
      </c>
      <c r="B855" s="43" t="str">
        <f>IFERROR(__xludf.DUMMYFUNCTION("""COMPUTED_VALUE"""),"Buket Çaybaşı")</f>
        <v>Buket Çaybaşı</v>
      </c>
      <c r="C855" s="43" t="str">
        <f>IFERROR(__xludf.DUMMYFUNCTION("""COMPUTED_VALUE"""),"completed")</f>
        <v>completed</v>
      </c>
      <c r="D855" s="43" t="str">
        <f>IFERROR(__xludf.DUMMYFUNCTION("""COMPUTED_VALUE"""),"No")</f>
        <v>No</v>
      </c>
      <c r="E855" s="43" t="str">
        <f>IFERROR(__xludf.DUMMYFUNCTION("""COMPUTED_VALUE"""),"p_8eac62eec2a5c3b38c336ff6627f9016d2a87fdd@inbound.aiesec.org")</f>
        <v>p_8eac62eec2a5c3b38c336ff6627f9016d2a87fdd@inbound.aiesec.org</v>
      </c>
      <c r="F855" s="43"/>
      <c r="G855" s="43" t="str">
        <f>IFERROR(__xludf.DUMMYFUNCTION("""COMPUTED_VALUE"""),"Turkey")</f>
        <v>Turkey</v>
      </c>
      <c r="H855" s="43" t="str">
        <f>IFERROR(__xludf.DUMMYFUNCTION("""COMPUTED_VALUE"""),"ESKISEHIR")</f>
        <v>ESKISEHIR</v>
      </c>
      <c r="I855" s="43" t="str">
        <f>IFERROR(__xludf.DUMMYFUNCTION("""COMPUTED_VALUE"""),"Egypt")</f>
        <v>Egypt</v>
      </c>
      <c r="J855" s="43" t="str">
        <f>IFERROR(__xludf.DUMMYFUNCTION("""COMPUTED_VALUE"""),"Tanta")</f>
        <v>Tanta</v>
      </c>
      <c r="K855" s="44" t="str">
        <f>IFERROR(__xludf.DUMMYFUNCTION("""COMPUTED_VALUE"""),"https://expa.aiesec.org/opportunities/1288609")</f>
        <v>https://expa.aiesec.org/opportunities/1288609</v>
      </c>
      <c r="L855" s="43" t="str">
        <f>IFERROR(__xludf.DUMMYFUNCTION("""COMPUTED_VALUE"""),"GV")</f>
        <v>GV</v>
      </c>
      <c r="M855" s="43" t="str">
        <f>IFERROR(__xludf.DUMMYFUNCTION("""COMPUTED_VALUE"""),"short")</f>
        <v>short</v>
      </c>
      <c r="N855" s="45">
        <f>IFERROR(__xludf.DUMMYFUNCTION("""COMPUTED_VALUE"""),45097.0)</f>
        <v>45097</v>
      </c>
      <c r="O855" s="45">
        <f>IFERROR(__xludf.DUMMYFUNCTION("""COMPUTED_VALUE"""),45139.0)</f>
        <v>45139</v>
      </c>
      <c r="P855" s="45">
        <f>IFERROR(__xludf.DUMMYFUNCTION("""COMPUTED_VALUE"""),45181.0)</f>
        <v>45181</v>
      </c>
      <c r="Q855" s="45">
        <f>IFERROR(__xludf.DUMMYFUNCTION("""COMPUTED_VALUE"""),45140.0)</f>
        <v>45140</v>
      </c>
      <c r="R855" s="45">
        <f>IFERROR(__xludf.DUMMYFUNCTION("""COMPUTED_VALUE"""),45181.0)</f>
        <v>45181</v>
      </c>
      <c r="S855" s="43"/>
      <c r="T855" s="43"/>
      <c r="U855" s="43" t="str">
        <f>IFERROR(__xludf.DUMMYFUNCTION("""COMPUTED_VALUE"""),"On The Map")</f>
        <v>On The Map</v>
      </c>
      <c r="V855" s="43" t="str">
        <f>IFERROR(__xludf.DUMMYFUNCTION("""COMPUTED_VALUE"""),"-")</f>
        <v>-</v>
      </c>
      <c r="W855" s="43" t="str">
        <f>IFERROR(__xludf.DUMMYFUNCTION("""COMPUTED_VALUE"""),"2023-06-14T14:28:08Z")</f>
        <v>2023-06-14T14:28:08Z</v>
      </c>
      <c r="X855" s="43"/>
      <c r="Y855" s="43"/>
      <c r="Z855" s="43"/>
    </row>
    <row r="856" hidden="1">
      <c r="A856" s="43" t="str">
        <f>IFERROR(__xludf.DUMMYFUNCTION("""COMPUTED_VALUE"""),"5277040_1287990")</f>
        <v>5277040_1287990</v>
      </c>
      <c r="B856" s="43" t="str">
        <f>IFERROR(__xludf.DUMMYFUNCTION("""COMPUTED_VALUE"""),"Elif Görgen")</f>
        <v>Elif Görgen</v>
      </c>
      <c r="C856" s="43" t="str">
        <f>IFERROR(__xludf.DUMMYFUNCTION("""COMPUTED_VALUE"""),"completed")</f>
        <v>completed</v>
      </c>
      <c r="D856" s="43" t="str">
        <f>IFERROR(__xludf.DUMMYFUNCTION("""COMPUTED_VALUE"""),"No")</f>
        <v>No</v>
      </c>
      <c r="E856" s="43" t="str">
        <f>IFERROR(__xludf.DUMMYFUNCTION("""COMPUTED_VALUE"""),"p_5eaf2e9c8fa38e9fd6bfd293efe8fee5cf85ecec@inbound.aiesec.org")</f>
        <v>p_5eaf2e9c8fa38e9fd6bfd293efe8fee5cf85ecec@inbound.aiesec.org</v>
      </c>
      <c r="F856" s="43">
        <f>IFERROR(__xludf.DUMMYFUNCTION("""COMPUTED_VALUE"""),5.060345234E9)</f>
        <v>5060345234</v>
      </c>
      <c r="G856" s="43" t="str">
        <f>IFERROR(__xludf.DUMMYFUNCTION("""COMPUTED_VALUE"""),"Turkey")</f>
        <v>Turkey</v>
      </c>
      <c r="H856" s="43" t="str">
        <f>IFERROR(__xludf.DUMMYFUNCTION("""COMPUTED_VALUE"""),"KOCAELI")</f>
        <v>KOCAELI</v>
      </c>
      <c r="I856" s="43" t="str">
        <f>IFERROR(__xludf.DUMMYFUNCTION("""COMPUTED_VALUE"""),"India")</f>
        <v>India</v>
      </c>
      <c r="J856" s="43" t="str">
        <f>IFERROR(__xludf.DUMMYFUNCTION("""COMPUTED_VALUE"""),"JAIPUR ")</f>
        <v>JAIPUR </v>
      </c>
      <c r="K856" s="44" t="str">
        <f>IFERROR(__xludf.DUMMYFUNCTION("""COMPUTED_VALUE"""),"https://expa.aiesec.org/opportunities/1287990")</f>
        <v>https://expa.aiesec.org/opportunities/1287990</v>
      </c>
      <c r="L856" s="43" t="str">
        <f>IFERROR(__xludf.DUMMYFUNCTION("""COMPUTED_VALUE"""),"GV")</f>
        <v>GV</v>
      </c>
      <c r="M856" s="43" t="str">
        <f>IFERROR(__xludf.DUMMYFUNCTION("""COMPUTED_VALUE"""),"short")</f>
        <v>short</v>
      </c>
      <c r="N856" s="45">
        <f>IFERROR(__xludf.DUMMYFUNCTION("""COMPUTED_VALUE"""),45097.0)</f>
        <v>45097</v>
      </c>
      <c r="O856" s="45">
        <f>IFERROR(__xludf.DUMMYFUNCTION("""COMPUTED_VALUE"""),45114.0)</f>
        <v>45114</v>
      </c>
      <c r="P856" s="45">
        <f>IFERROR(__xludf.DUMMYFUNCTION("""COMPUTED_VALUE"""),45156.0)</f>
        <v>45156</v>
      </c>
      <c r="Q856" s="45">
        <f>IFERROR(__xludf.DUMMYFUNCTION("""COMPUTED_VALUE"""),45115.0)</f>
        <v>45115</v>
      </c>
      <c r="R856" s="45">
        <f>IFERROR(__xludf.DUMMYFUNCTION("""COMPUTED_VALUE"""),45156.0)</f>
        <v>45156</v>
      </c>
      <c r="S856" s="43"/>
      <c r="T856" s="43"/>
      <c r="U856" s="43" t="str">
        <f>IFERROR(__xludf.DUMMYFUNCTION("""COMPUTED_VALUE"""),"Skill Up!")</f>
        <v>Skill Up!</v>
      </c>
      <c r="V856" s="43" t="str">
        <f>IFERROR(__xludf.DUMMYFUNCTION("""COMPUTED_VALUE"""),"KOCAELI")</f>
        <v>KOCAELI</v>
      </c>
      <c r="W856" s="43" t="str">
        <f>IFERROR(__xludf.DUMMYFUNCTION("""COMPUTED_VALUE"""),"2023-06-19T12:29:57Z")</f>
        <v>2023-06-19T12:29:57Z</v>
      </c>
      <c r="X856" s="43"/>
      <c r="Y856" s="43"/>
      <c r="Z856" s="43"/>
    </row>
    <row r="857" hidden="1">
      <c r="A857" s="43" t="str">
        <f>IFERROR(__xludf.DUMMYFUNCTION("""COMPUTED_VALUE"""),"5276490_1288609")</f>
        <v>5276490_1288609</v>
      </c>
      <c r="B857" s="43" t="str">
        <f>IFERROR(__xludf.DUMMYFUNCTION("""COMPUTED_VALUE"""),"Olcay Deniz TİMUR")</f>
        <v>Olcay Deniz TİMUR</v>
      </c>
      <c r="C857" s="43" t="str">
        <f>IFERROR(__xludf.DUMMYFUNCTION("""COMPUTED_VALUE"""),"finished")</f>
        <v>finished</v>
      </c>
      <c r="D857" s="43" t="str">
        <f>IFERROR(__xludf.DUMMYFUNCTION("""COMPUTED_VALUE"""),"No")</f>
        <v>No</v>
      </c>
      <c r="E857" s="43" t="str">
        <f>IFERROR(__xludf.DUMMYFUNCTION("""COMPUTED_VALUE"""),"p_6ed5b0eccce8d17251f73903a92d59148e1de82a@inbound.aiesec.org")</f>
        <v>p_6ed5b0eccce8d17251f73903a92d59148e1de82a@inbound.aiesec.org</v>
      </c>
      <c r="F857" s="43">
        <f>IFERROR(__xludf.DUMMYFUNCTION("""COMPUTED_VALUE"""),5.387268275E9)</f>
        <v>5387268275</v>
      </c>
      <c r="G857" s="43" t="str">
        <f>IFERROR(__xludf.DUMMYFUNCTION("""COMPUTED_VALUE"""),"Turkey")</f>
        <v>Turkey</v>
      </c>
      <c r="H857" s="43" t="str">
        <f>IFERROR(__xludf.DUMMYFUNCTION("""COMPUTED_VALUE"""),"ESKISEHIR")</f>
        <v>ESKISEHIR</v>
      </c>
      <c r="I857" s="43" t="str">
        <f>IFERROR(__xludf.DUMMYFUNCTION("""COMPUTED_VALUE"""),"Egypt")</f>
        <v>Egypt</v>
      </c>
      <c r="J857" s="43" t="str">
        <f>IFERROR(__xludf.DUMMYFUNCTION("""COMPUTED_VALUE"""),"Tanta")</f>
        <v>Tanta</v>
      </c>
      <c r="K857" s="44" t="str">
        <f>IFERROR(__xludf.DUMMYFUNCTION("""COMPUTED_VALUE"""),"https://expa.aiesec.org/opportunities/1288609")</f>
        <v>https://expa.aiesec.org/opportunities/1288609</v>
      </c>
      <c r="L857" s="43" t="str">
        <f>IFERROR(__xludf.DUMMYFUNCTION("""COMPUTED_VALUE"""),"GV")</f>
        <v>GV</v>
      </c>
      <c r="M857" s="43" t="str">
        <f>IFERROR(__xludf.DUMMYFUNCTION("""COMPUTED_VALUE"""),"short")</f>
        <v>short</v>
      </c>
      <c r="N857" s="45">
        <f>IFERROR(__xludf.DUMMYFUNCTION("""COMPUTED_VALUE"""),45097.0)</f>
        <v>45097</v>
      </c>
      <c r="O857" s="45">
        <f>IFERROR(__xludf.DUMMYFUNCTION("""COMPUTED_VALUE"""),45108.0)</f>
        <v>45108</v>
      </c>
      <c r="P857" s="45">
        <f>IFERROR(__xludf.DUMMYFUNCTION("""COMPUTED_VALUE"""),45150.0)</f>
        <v>45150</v>
      </c>
      <c r="Q857" s="45">
        <f>IFERROR(__xludf.DUMMYFUNCTION("""COMPUTED_VALUE"""),45123.0)</f>
        <v>45123</v>
      </c>
      <c r="R857" s="45">
        <f>IFERROR(__xludf.DUMMYFUNCTION("""COMPUTED_VALUE"""),45163.0)</f>
        <v>45163</v>
      </c>
      <c r="S857" s="43"/>
      <c r="T857" s="43"/>
      <c r="U857" s="43" t="str">
        <f>IFERROR(__xludf.DUMMYFUNCTION("""COMPUTED_VALUE"""),"On The Map")</f>
        <v>On The Map</v>
      </c>
      <c r="V857" s="43" t="str">
        <f>IFERROR(__xludf.DUMMYFUNCTION("""COMPUTED_VALUE"""),"ESKISEHIR")</f>
        <v>ESKISEHIR</v>
      </c>
      <c r="W857" s="43" t="str">
        <f>IFERROR(__xludf.DUMMYFUNCTION("""COMPUTED_VALUE"""),"2023-06-17T20:05:20Z")</f>
        <v>2023-06-17T20:05:20Z</v>
      </c>
      <c r="X857" s="43"/>
      <c r="Y857" s="43"/>
      <c r="Z857" s="43"/>
    </row>
    <row r="858" hidden="1">
      <c r="A858" s="43" t="str">
        <f>IFERROR(__xludf.DUMMYFUNCTION("""COMPUTED_VALUE"""),"3105269_1291068")</f>
        <v>3105269_1291068</v>
      </c>
      <c r="B858" s="43" t="str">
        <f>IFERROR(__xludf.DUMMYFUNCTION("""COMPUTED_VALUE"""),"Yaren Yakar")</f>
        <v>Yaren Yakar</v>
      </c>
      <c r="C858" s="43" t="str">
        <f>IFERROR(__xludf.DUMMYFUNCTION("""COMPUTED_VALUE"""),"approved")</f>
        <v>approved</v>
      </c>
      <c r="D858" s="43" t="str">
        <f>IFERROR(__xludf.DUMMYFUNCTION("""COMPUTED_VALUE"""),"No")</f>
        <v>No</v>
      </c>
      <c r="E858" s="43" t="str">
        <f>IFERROR(__xludf.DUMMYFUNCTION("""COMPUTED_VALUE"""),"p_51dadd93d8cbcc6fc412cd9f9730fbdfff0c82b4@inbound.aiesec.org")</f>
        <v>p_51dadd93d8cbcc6fc412cd9f9730fbdfff0c82b4@inbound.aiesec.org</v>
      </c>
      <c r="F858" s="43">
        <f>IFERROR(__xludf.DUMMYFUNCTION("""COMPUTED_VALUE"""),5.31025046E9)</f>
        <v>5310250460</v>
      </c>
      <c r="G858" s="43" t="str">
        <f>IFERROR(__xludf.DUMMYFUNCTION("""COMPUTED_VALUE"""),"Turkey")</f>
        <v>Turkey</v>
      </c>
      <c r="H858" s="43" t="str">
        <f>IFERROR(__xludf.DUMMYFUNCTION("""COMPUTED_VALUE"""),"İZMİR")</f>
        <v>İZMİR</v>
      </c>
      <c r="I858" s="43" t="str">
        <f>IFERROR(__xludf.DUMMYFUNCTION("""COMPUTED_VALUE"""),"Italy")</f>
        <v>Italy</v>
      </c>
      <c r="J858" s="43" t="str">
        <f>IFERROR(__xludf.DUMMYFUNCTION("""COMPUTED_VALUE"""),"Napoli Federico II")</f>
        <v>Napoli Federico II</v>
      </c>
      <c r="K858" s="44" t="str">
        <f>IFERROR(__xludf.DUMMYFUNCTION("""COMPUTED_VALUE"""),"https://expa.aiesec.org/opportunities/1291068")</f>
        <v>https://expa.aiesec.org/opportunities/1291068</v>
      </c>
      <c r="L858" s="43" t="str">
        <f>IFERROR(__xludf.DUMMYFUNCTION("""COMPUTED_VALUE"""),"GV")</f>
        <v>GV</v>
      </c>
      <c r="M858" s="43" t="str">
        <f>IFERROR(__xludf.DUMMYFUNCTION("""COMPUTED_VALUE"""),"short")</f>
        <v>short</v>
      </c>
      <c r="N858" s="45">
        <f>IFERROR(__xludf.DUMMYFUNCTION("""COMPUTED_VALUE"""),45097.0)</f>
        <v>45097</v>
      </c>
      <c r="O858" s="45">
        <f>IFERROR(__xludf.DUMMYFUNCTION("""COMPUTED_VALUE"""),45159.0)</f>
        <v>45159</v>
      </c>
      <c r="P858" s="45">
        <f>IFERROR(__xludf.DUMMYFUNCTION("""COMPUTED_VALUE"""),45201.0)</f>
        <v>45201</v>
      </c>
      <c r="Q858" s="45"/>
      <c r="R858" s="45"/>
      <c r="S858" s="43"/>
      <c r="T858" s="43"/>
      <c r="U858" s="43" t="str">
        <f>IFERROR(__xludf.DUMMYFUNCTION("""COMPUTED_VALUE"""),"Equify")</f>
        <v>Equify</v>
      </c>
      <c r="V858" s="43" t="str">
        <f>IFERROR(__xludf.DUMMYFUNCTION("""COMPUTED_VALUE"""),"IZMIR")</f>
        <v>IZMIR</v>
      </c>
      <c r="W858" s="43" t="str">
        <f>IFERROR(__xludf.DUMMYFUNCTION("""COMPUTED_VALUE"""),"2019-02-22T09:21:48Z")</f>
        <v>2019-02-22T09:21:48Z</v>
      </c>
      <c r="X858" s="43"/>
      <c r="Y858" s="43"/>
      <c r="Z858" s="43"/>
    </row>
    <row r="859" hidden="1">
      <c r="A859" s="43" t="str">
        <f>IFERROR(__xludf.DUMMYFUNCTION("""COMPUTED_VALUE"""),"5271309_1295749")</f>
        <v>5271309_1295749</v>
      </c>
      <c r="B859" s="43" t="str">
        <f>IFERROR(__xludf.DUMMYFUNCTION("""COMPUTED_VALUE"""),"Mislina Cansız")</f>
        <v>Mislina Cansız</v>
      </c>
      <c r="C859" s="43" t="str">
        <f>IFERROR(__xludf.DUMMYFUNCTION("""COMPUTED_VALUE"""),"completed")</f>
        <v>completed</v>
      </c>
      <c r="D859" s="43" t="str">
        <f>IFERROR(__xludf.DUMMYFUNCTION("""COMPUTED_VALUE"""),"No")</f>
        <v>No</v>
      </c>
      <c r="E859" s="43" t="str">
        <f>IFERROR(__xludf.DUMMYFUNCTION("""COMPUTED_VALUE"""),"p_d4d7e7346429fb507830ba794a938a41ac5527fb@inbound.aiesec.org")</f>
        <v>p_d4d7e7346429fb507830ba794a938a41ac5527fb@inbound.aiesec.org</v>
      </c>
      <c r="F859" s="43">
        <f>IFERROR(__xludf.DUMMYFUNCTION("""COMPUTED_VALUE"""),5.461350733E9)</f>
        <v>5461350733</v>
      </c>
      <c r="G859" s="43" t="str">
        <f>IFERROR(__xludf.DUMMYFUNCTION("""COMPUTED_VALUE"""),"Turkey")</f>
        <v>Turkey</v>
      </c>
      <c r="H859" s="43" t="str">
        <f>IFERROR(__xludf.DUMMYFUNCTION("""COMPUTED_VALUE"""),"GAZIANTEP")</f>
        <v>GAZIANTEP</v>
      </c>
      <c r="I859" s="43" t="str">
        <f>IFERROR(__xludf.DUMMYFUNCTION("""COMPUTED_VALUE"""),"Romania")</f>
        <v>Romania</v>
      </c>
      <c r="J859" s="43" t="str">
        <f>IFERROR(__xludf.DUMMYFUNCTION("""COMPUTED_VALUE"""),"GALATI")</f>
        <v>GALATI</v>
      </c>
      <c r="K859" s="44" t="str">
        <f>IFERROR(__xludf.DUMMYFUNCTION("""COMPUTED_VALUE"""),"https://expa.aiesec.org/opportunities/1295749")</f>
        <v>https://expa.aiesec.org/opportunities/1295749</v>
      </c>
      <c r="L859" s="43" t="str">
        <f>IFERROR(__xludf.DUMMYFUNCTION("""COMPUTED_VALUE"""),"GV")</f>
        <v>GV</v>
      </c>
      <c r="M859" s="43" t="str">
        <f>IFERROR(__xludf.DUMMYFUNCTION("""COMPUTED_VALUE"""),"short")</f>
        <v>short</v>
      </c>
      <c r="N859" s="45">
        <f>IFERROR(__xludf.DUMMYFUNCTION("""COMPUTED_VALUE"""),45097.0)</f>
        <v>45097</v>
      </c>
      <c r="O859" s="45">
        <f>IFERROR(__xludf.DUMMYFUNCTION("""COMPUTED_VALUE"""),45139.0)</f>
        <v>45139</v>
      </c>
      <c r="P859" s="45">
        <f>IFERROR(__xludf.DUMMYFUNCTION("""COMPUTED_VALUE"""),45181.0)</f>
        <v>45181</v>
      </c>
      <c r="Q859" s="45">
        <f>IFERROR(__xludf.DUMMYFUNCTION("""COMPUTED_VALUE"""),45139.0)</f>
        <v>45139</v>
      </c>
      <c r="R859" s="45">
        <f>IFERROR(__xludf.DUMMYFUNCTION("""COMPUTED_VALUE"""),45181.0)</f>
        <v>45181</v>
      </c>
      <c r="S859" s="43"/>
      <c r="T859" s="43"/>
      <c r="U859" s="43" t="str">
        <f>IFERROR(__xludf.DUMMYFUNCTION("""COMPUTED_VALUE"""),"Green Leaders")</f>
        <v>Green Leaders</v>
      </c>
      <c r="V859" s="43" t="str">
        <f>IFERROR(__xludf.DUMMYFUNCTION("""COMPUTED_VALUE"""),"GAZIANTEP")</f>
        <v>GAZIANTEP</v>
      </c>
      <c r="W859" s="43" t="str">
        <f>IFERROR(__xludf.DUMMYFUNCTION("""COMPUTED_VALUE"""),"2023-06-04T13:35:44Z")</f>
        <v>2023-06-04T13:35:44Z</v>
      </c>
      <c r="X859" s="43"/>
      <c r="Y859" s="43"/>
      <c r="Z859" s="43"/>
    </row>
    <row r="860" hidden="1">
      <c r="A860" s="43" t="str">
        <f>IFERROR(__xludf.DUMMYFUNCTION("""COMPUTED_VALUE"""),"5276967_1292549")</f>
        <v>5276967_1292549</v>
      </c>
      <c r="B860" s="43" t="str">
        <f>IFERROR(__xludf.DUMMYFUNCTION("""COMPUTED_VALUE"""),"Esra Yavuz")</f>
        <v>Esra Yavuz</v>
      </c>
      <c r="C860" s="43" t="str">
        <f>IFERROR(__xludf.DUMMYFUNCTION("""COMPUTED_VALUE"""),"completed")</f>
        <v>completed</v>
      </c>
      <c r="D860" s="43" t="str">
        <f>IFERROR(__xludf.DUMMYFUNCTION("""COMPUTED_VALUE"""),"No")</f>
        <v>No</v>
      </c>
      <c r="E860" s="43" t="str">
        <f>IFERROR(__xludf.DUMMYFUNCTION("""COMPUTED_VALUE"""),"p_99c6afb4d10804ec9e12c329ea05cbedb63b1774@inbound.aiesec.org")</f>
        <v>p_99c6afb4d10804ec9e12c329ea05cbedb63b1774@inbound.aiesec.org</v>
      </c>
      <c r="F860" s="43">
        <f>IFERROR(__xludf.DUMMYFUNCTION("""COMPUTED_VALUE"""),5.353089943E9)</f>
        <v>5353089943</v>
      </c>
      <c r="G860" s="43" t="str">
        <f>IFERROR(__xludf.DUMMYFUNCTION("""COMPUTED_VALUE"""),"Turkey")</f>
        <v>Turkey</v>
      </c>
      <c r="H860" s="43" t="str">
        <f>IFERROR(__xludf.DUMMYFUNCTION("""COMPUTED_VALUE"""),"SAMSUN [Closed]")</f>
        <v>SAMSUN [Closed]</v>
      </c>
      <c r="I860" s="43" t="str">
        <f>IFERROR(__xludf.DUMMYFUNCTION("""COMPUTED_VALUE"""),"Tunisia")</f>
        <v>Tunisia</v>
      </c>
      <c r="J860" s="43" t="str">
        <f>IFERROR(__xludf.DUMMYFUNCTION("""COMPUTED_VALUE"""),"UNIVERSITY")</f>
        <v>UNIVERSITY</v>
      </c>
      <c r="K860" s="44" t="str">
        <f>IFERROR(__xludf.DUMMYFUNCTION("""COMPUTED_VALUE"""),"https://expa.aiesec.org/opportunities/1292549")</f>
        <v>https://expa.aiesec.org/opportunities/1292549</v>
      </c>
      <c r="L860" s="43" t="str">
        <f>IFERROR(__xludf.DUMMYFUNCTION("""COMPUTED_VALUE"""),"GV")</f>
        <v>GV</v>
      </c>
      <c r="M860" s="43" t="str">
        <f>IFERROR(__xludf.DUMMYFUNCTION("""COMPUTED_VALUE"""),"short")</f>
        <v>short</v>
      </c>
      <c r="N860" s="45">
        <f>IFERROR(__xludf.DUMMYFUNCTION("""COMPUTED_VALUE"""),45098.0)</f>
        <v>45098</v>
      </c>
      <c r="O860" s="45">
        <f>IFERROR(__xludf.DUMMYFUNCTION("""COMPUTED_VALUE"""),45120.0)</f>
        <v>45120</v>
      </c>
      <c r="P860" s="45">
        <f>IFERROR(__xludf.DUMMYFUNCTION("""COMPUTED_VALUE"""),45164.0)</f>
        <v>45164</v>
      </c>
      <c r="Q860" s="45">
        <f>IFERROR(__xludf.DUMMYFUNCTION("""COMPUTED_VALUE"""),45120.0)</f>
        <v>45120</v>
      </c>
      <c r="R860" s="45">
        <f>IFERROR(__xludf.DUMMYFUNCTION("""COMPUTED_VALUE"""),45164.0)</f>
        <v>45164</v>
      </c>
      <c r="S860" s="43"/>
      <c r="T860" s="43"/>
      <c r="U860" s="43" t="str">
        <f>IFERROR(__xludf.DUMMYFUNCTION("""COMPUTED_VALUE"""),"On The Map")</f>
        <v>On The Map</v>
      </c>
      <c r="V860" s="43" t="str">
        <f>IFERROR(__xludf.DUMMYFUNCTION("""COMPUTED_VALUE"""),"SAMSUN")</f>
        <v>SAMSUN</v>
      </c>
      <c r="W860" s="43" t="str">
        <f>IFERROR(__xludf.DUMMYFUNCTION("""COMPUTED_VALUE"""),"2023-06-19T09:18:07Z")</f>
        <v>2023-06-19T09:18:07Z</v>
      </c>
      <c r="X860" s="43"/>
      <c r="Y860" s="43"/>
      <c r="Z860" s="43"/>
    </row>
    <row r="861" hidden="1">
      <c r="A861" s="43" t="str">
        <f>IFERROR(__xludf.DUMMYFUNCTION("""COMPUTED_VALUE"""),"5253242_1288412")</f>
        <v>5253242_1288412</v>
      </c>
      <c r="B861" s="43" t="str">
        <f>IFERROR(__xludf.DUMMYFUNCTION("""COMPUTED_VALUE"""),"Zeynep Demirkaya")</f>
        <v>Zeynep Demirkaya</v>
      </c>
      <c r="C861" s="43" t="str">
        <f>IFERROR(__xludf.DUMMYFUNCTION("""COMPUTED_VALUE"""),"completed")</f>
        <v>completed</v>
      </c>
      <c r="D861" s="43" t="str">
        <f>IFERROR(__xludf.DUMMYFUNCTION("""COMPUTED_VALUE"""),"No")</f>
        <v>No</v>
      </c>
      <c r="E861" s="43" t="str">
        <f>IFERROR(__xludf.DUMMYFUNCTION("""COMPUTED_VALUE"""),"p_77cd62204c57713b099ee92dca1bccd3d7f09e70@inbound.aiesec.org")</f>
        <v>p_77cd62204c57713b099ee92dca1bccd3d7f09e70@inbound.aiesec.org</v>
      </c>
      <c r="F861" s="43"/>
      <c r="G861" s="43" t="str">
        <f>IFERROR(__xludf.DUMMYFUNCTION("""COMPUTED_VALUE"""),"Turkey")</f>
        <v>Turkey</v>
      </c>
      <c r="H861" s="43" t="str">
        <f>IFERROR(__xludf.DUMMYFUNCTION("""COMPUTED_VALUE"""),"ANKARA")</f>
        <v>ANKARA</v>
      </c>
      <c r="I861" s="43" t="str">
        <f>IFERROR(__xludf.DUMMYFUNCTION("""COMPUTED_VALUE"""),"India")</f>
        <v>India</v>
      </c>
      <c r="J861" s="43" t="str">
        <f>IFERROR(__xludf.DUMMYFUNCTION("""COMPUTED_VALUE"""),"JAIPUR ")</f>
        <v>JAIPUR </v>
      </c>
      <c r="K861" s="44" t="str">
        <f>IFERROR(__xludf.DUMMYFUNCTION("""COMPUTED_VALUE"""),"https://expa.aiesec.org/opportunities/1288412")</f>
        <v>https://expa.aiesec.org/opportunities/1288412</v>
      </c>
      <c r="L861" s="43" t="str">
        <f>IFERROR(__xludf.DUMMYFUNCTION("""COMPUTED_VALUE"""),"GV")</f>
        <v>GV</v>
      </c>
      <c r="M861" s="43" t="str">
        <f>IFERROR(__xludf.DUMMYFUNCTION("""COMPUTED_VALUE"""),"short")</f>
        <v>short</v>
      </c>
      <c r="N861" s="45">
        <f>IFERROR(__xludf.DUMMYFUNCTION("""COMPUTED_VALUE"""),45098.0)</f>
        <v>45098</v>
      </c>
      <c r="O861" s="45">
        <f>IFERROR(__xludf.DUMMYFUNCTION("""COMPUTED_VALUE"""),45157.0)</f>
        <v>45157</v>
      </c>
      <c r="P861" s="45">
        <f>IFERROR(__xludf.DUMMYFUNCTION("""COMPUTED_VALUE"""),45199.0)</f>
        <v>45199</v>
      </c>
      <c r="Q861" s="45">
        <f>IFERROR(__xludf.DUMMYFUNCTION("""COMPUTED_VALUE"""),45158.0)</f>
        <v>45158</v>
      </c>
      <c r="R861" s="45">
        <f>IFERROR(__xludf.DUMMYFUNCTION("""COMPUTED_VALUE"""),45199.0)</f>
        <v>45199</v>
      </c>
      <c r="S861" s="43"/>
      <c r="T861" s="43"/>
      <c r="U861" s="43" t="str">
        <f>IFERROR(__xludf.DUMMYFUNCTION("""COMPUTED_VALUE"""),"Skill Up!")</f>
        <v>Skill Up!</v>
      </c>
      <c r="V861" s="43" t="str">
        <f>IFERROR(__xludf.DUMMYFUNCTION("""COMPUTED_VALUE"""),"-")</f>
        <v>-</v>
      </c>
      <c r="W861" s="43" t="str">
        <f>IFERROR(__xludf.DUMMYFUNCTION("""COMPUTED_VALUE"""),"2023-04-30T17:25:56Z")</f>
        <v>2023-04-30T17:25:56Z</v>
      </c>
      <c r="X861" s="43"/>
      <c r="Y861" s="43"/>
      <c r="Z861" s="43"/>
    </row>
    <row r="862" hidden="1">
      <c r="A862" s="43" t="str">
        <f>IFERROR(__xludf.DUMMYFUNCTION("""COMPUTED_VALUE"""),"5275267_1281901")</f>
        <v>5275267_1281901</v>
      </c>
      <c r="B862" s="43" t="str">
        <f>IFERROR(__xludf.DUMMYFUNCTION("""COMPUTED_VALUE"""),"Duygu Semizoğlu")</f>
        <v>Duygu Semizoğlu</v>
      </c>
      <c r="C862" s="43" t="str">
        <f>IFERROR(__xludf.DUMMYFUNCTION("""COMPUTED_VALUE"""),"approved")</f>
        <v>approved</v>
      </c>
      <c r="D862" s="43" t="str">
        <f>IFERROR(__xludf.DUMMYFUNCTION("""COMPUTED_VALUE"""),"No")</f>
        <v>No</v>
      </c>
      <c r="E862" s="43" t="str">
        <f>IFERROR(__xludf.DUMMYFUNCTION("""COMPUTED_VALUE"""),"p_337ea0dafb7226afa793106d2b792fb2234f7df1@inbound.aiesec.org")</f>
        <v>p_337ea0dafb7226afa793106d2b792fb2234f7df1@inbound.aiesec.org</v>
      </c>
      <c r="F862" s="43">
        <f>IFERROR(__xludf.DUMMYFUNCTION("""COMPUTED_VALUE"""),5.456977095E9)</f>
        <v>5456977095</v>
      </c>
      <c r="G862" s="43" t="str">
        <f>IFERROR(__xludf.DUMMYFUNCTION("""COMPUTED_VALUE"""),"Turkey")</f>
        <v>Turkey</v>
      </c>
      <c r="H862" s="43" t="str">
        <f>IFERROR(__xludf.DUMMYFUNCTION("""COMPUTED_VALUE"""),"BURSA")</f>
        <v>BURSA</v>
      </c>
      <c r="I862" s="43" t="str">
        <f>IFERROR(__xludf.DUMMYFUNCTION("""COMPUTED_VALUE"""),"Sri Lanka")</f>
        <v>Sri Lanka</v>
      </c>
      <c r="J862" s="43" t="str">
        <f>IFERROR(__xludf.DUMMYFUNCTION("""COMPUTED_VALUE"""),"COLOMBO SOUTH")</f>
        <v>COLOMBO SOUTH</v>
      </c>
      <c r="K862" s="44" t="str">
        <f>IFERROR(__xludf.DUMMYFUNCTION("""COMPUTED_VALUE"""),"https://expa.aiesec.org/opportunities/1281901")</f>
        <v>https://expa.aiesec.org/opportunities/1281901</v>
      </c>
      <c r="L862" s="43" t="str">
        <f>IFERROR(__xludf.DUMMYFUNCTION("""COMPUTED_VALUE"""),"GV")</f>
        <v>GV</v>
      </c>
      <c r="M862" s="43" t="str">
        <f>IFERROR(__xludf.DUMMYFUNCTION("""COMPUTED_VALUE"""),"short")</f>
        <v>short</v>
      </c>
      <c r="N862" s="45">
        <f>IFERROR(__xludf.DUMMYFUNCTION("""COMPUTED_VALUE"""),45098.0)</f>
        <v>45098</v>
      </c>
      <c r="O862" s="45">
        <f>IFERROR(__xludf.DUMMYFUNCTION("""COMPUTED_VALUE"""),45138.0)</f>
        <v>45138</v>
      </c>
      <c r="P862" s="45">
        <f>IFERROR(__xludf.DUMMYFUNCTION("""COMPUTED_VALUE"""),45180.0)</f>
        <v>45180</v>
      </c>
      <c r="Q862" s="45"/>
      <c r="R862" s="45"/>
      <c r="S862" s="43"/>
      <c r="T862" s="43"/>
      <c r="U862" s="43" t="str">
        <f>IFERROR(__xludf.DUMMYFUNCTION("""COMPUTED_VALUE"""),"Aquatica")</f>
        <v>Aquatica</v>
      </c>
      <c r="V862" s="43" t="str">
        <f>IFERROR(__xludf.DUMMYFUNCTION("""COMPUTED_VALUE"""),"BURSA")</f>
        <v>BURSA</v>
      </c>
      <c r="W862" s="43" t="str">
        <f>IFERROR(__xludf.DUMMYFUNCTION("""COMPUTED_VALUE"""),"2023-06-14T14:37:37Z")</f>
        <v>2023-06-14T14:37:37Z</v>
      </c>
      <c r="X862" s="43"/>
      <c r="Y862" s="43"/>
      <c r="Z862" s="43"/>
    </row>
    <row r="863" hidden="1">
      <c r="A863" s="43" t="str">
        <f>IFERROR(__xludf.DUMMYFUNCTION("""COMPUTED_VALUE"""),"5271613_1291622")</f>
        <v>5271613_1291622</v>
      </c>
      <c r="B863" s="43" t="str">
        <f>IFERROR(__xludf.DUMMYFUNCTION("""COMPUTED_VALUE"""),"Aziz Muammer Çetiner")</f>
        <v>Aziz Muammer Çetiner</v>
      </c>
      <c r="C863" s="43" t="str">
        <f>IFERROR(__xludf.DUMMYFUNCTION("""COMPUTED_VALUE"""),"completed")</f>
        <v>completed</v>
      </c>
      <c r="D863" s="43" t="str">
        <f>IFERROR(__xludf.DUMMYFUNCTION("""COMPUTED_VALUE"""),"No")</f>
        <v>No</v>
      </c>
      <c r="E863" s="43" t="str">
        <f>IFERROR(__xludf.DUMMYFUNCTION("""COMPUTED_VALUE"""),"p_0ffceb35b5060fcd3bca7a4cd8a6782e28aa742a@inbound.aiesec.org")</f>
        <v>p_0ffceb35b5060fcd3bca7a4cd8a6782e28aa742a@inbound.aiesec.org</v>
      </c>
      <c r="F863" s="43">
        <f>IFERROR(__xludf.DUMMYFUNCTION("""COMPUTED_VALUE"""),5.061033763E9)</f>
        <v>5061033763</v>
      </c>
      <c r="G863" s="43" t="str">
        <f>IFERROR(__xludf.DUMMYFUNCTION("""COMPUTED_VALUE"""),"Turkey")</f>
        <v>Turkey</v>
      </c>
      <c r="H863" s="43" t="str">
        <f>IFERROR(__xludf.DUMMYFUNCTION("""COMPUTED_VALUE"""),"ISTANBUL ASIA")</f>
        <v>ISTANBUL ASIA</v>
      </c>
      <c r="I863" s="43" t="str">
        <f>IFERROR(__xludf.DUMMYFUNCTION("""COMPUTED_VALUE"""),"Romania")</f>
        <v>Romania</v>
      </c>
      <c r="J863" s="43" t="str">
        <f>IFERROR(__xludf.DUMMYFUNCTION("""COMPUTED_VALUE"""),"IASI")</f>
        <v>IASI</v>
      </c>
      <c r="K863" s="44" t="str">
        <f>IFERROR(__xludf.DUMMYFUNCTION("""COMPUTED_VALUE"""),"https://expa.aiesec.org/opportunities/1291622")</f>
        <v>https://expa.aiesec.org/opportunities/1291622</v>
      </c>
      <c r="L863" s="43" t="str">
        <f>IFERROR(__xludf.DUMMYFUNCTION("""COMPUTED_VALUE"""),"GV")</f>
        <v>GV</v>
      </c>
      <c r="M863" s="43" t="str">
        <f>IFERROR(__xludf.DUMMYFUNCTION("""COMPUTED_VALUE"""),"short")</f>
        <v>short</v>
      </c>
      <c r="N863" s="45">
        <f>IFERROR(__xludf.DUMMYFUNCTION("""COMPUTED_VALUE"""),45098.0)</f>
        <v>45098</v>
      </c>
      <c r="O863" s="45">
        <f>IFERROR(__xludf.DUMMYFUNCTION("""COMPUTED_VALUE"""),45096.0)</f>
        <v>45096</v>
      </c>
      <c r="P863" s="45">
        <f>IFERROR(__xludf.DUMMYFUNCTION("""COMPUTED_VALUE"""),45149.0)</f>
        <v>45149</v>
      </c>
      <c r="Q863" s="45">
        <f>IFERROR(__xludf.DUMMYFUNCTION("""COMPUTED_VALUE"""),45103.0)</f>
        <v>45103</v>
      </c>
      <c r="R863" s="45">
        <f>IFERROR(__xludf.DUMMYFUNCTION("""COMPUTED_VALUE"""),45156.0)</f>
        <v>45156</v>
      </c>
      <c r="S863" s="43"/>
      <c r="T863" s="43"/>
      <c r="U863" s="43" t="str">
        <f>IFERROR(__xludf.DUMMYFUNCTION("""COMPUTED_VALUE"""),"Global Classroom")</f>
        <v>Global Classroom</v>
      </c>
      <c r="V863" s="43" t="str">
        <f>IFERROR(__xludf.DUMMYFUNCTION("""COMPUTED_VALUE"""),"ISPARTA")</f>
        <v>ISPARTA</v>
      </c>
      <c r="W863" s="43" t="str">
        <f>IFERROR(__xludf.DUMMYFUNCTION("""COMPUTED_VALUE"""),"2023-06-05T12:32:48Z")</f>
        <v>2023-06-05T12:32:48Z</v>
      </c>
      <c r="X863" s="43"/>
      <c r="Y863" s="43"/>
      <c r="Z863" s="43"/>
    </row>
    <row r="864" hidden="1">
      <c r="A864" s="43" t="str">
        <f>IFERROR(__xludf.DUMMYFUNCTION("""COMPUTED_VALUE"""),"5273972_1293734")</f>
        <v>5273972_1293734</v>
      </c>
      <c r="B864" s="43" t="str">
        <f>IFERROR(__xludf.DUMMYFUNCTION("""COMPUTED_VALUE"""),"Ece İrem Ergin")</f>
        <v>Ece İrem Ergin</v>
      </c>
      <c r="C864" s="43" t="str">
        <f>IFERROR(__xludf.DUMMYFUNCTION("""COMPUTED_VALUE"""),"completed")</f>
        <v>completed</v>
      </c>
      <c r="D864" s="43" t="str">
        <f>IFERROR(__xludf.DUMMYFUNCTION("""COMPUTED_VALUE"""),"No")</f>
        <v>No</v>
      </c>
      <c r="E864" s="43" t="str">
        <f>IFERROR(__xludf.DUMMYFUNCTION("""COMPUTED_VALUE"""),"p_4305db8361871358f016aecb571a295b40f355d9@inbound.aiesec.org")</f>
        <v>p_4305db8361871358f016aecb571a295b40f355d9@inbound.aiesec.org</v>
      </c>
      <c r="F864" s="43"/>
      <c r="G864" s="43" t="str">
        <f>IFERROR(__xludf.DUMMYFUNCTION("""COMPUTED_VALUE"""),"Turkey")</f>
        <v>Turkey</v>
      </c>
      <c r="H864" s="43" t="str">
        <f>IFERROR(__xludf.DUMMYFUNCTION("""COMPUTED_VALUE"""),"ANKARA")</f>
        <v>ANKARA</v>
      </c>
      <c r="I864" s="43" t="str">
        <f>IFERROR(__xludf.DUMMYFUNCTION("""COMPUTED_VALUE"""),"Italy")</f>
        <v>Italy</v>
      </c>
      <c r="J864" s="43" t="str">
        <f>IFERROR(__xludf.DUMMYFUNCTION("""COMPUTED_VALUE"""),"Napoli Federico II")</f>
        <v>Napoli Federico II</v>
      </c>
      <c r="K864" s="44" t="str">
        <f>IFERROR(__xludf.DUMMYFUNCTION("""COMPUTED_VALUE"""),"https://expa.aiesec.org/opportunities/1293734")</f>
        <v>https://expa.aiesec.org/opportunities/1293734</v>
      </c>
      <c r="L864" s="43" t="str">
        <f>IFERROR(__xludf.DUMMYFUNCTION("""COMPUTED_VALUE"""),"GV")</f>
        <v>GV</v>
      </c>
      <c r="M864" s="43" t="str">
        <f>IFERROR(__xludf.DUMMYFUNCTION("""COMPUTED_VALUE"""),"short")</f>
        <v>short</v>
      </c>
      <c r="N864" s="45">
        <f>IFERROR(__xludf.DUMMYFUNCTION("""COMPUTED_VALUE"""),45098.0)</f>
        <v>45098</v>
      </c>
      <c r="O864" s="45">
        <f>IFERROR(__xludf.DUMMYFUNCTION("""COMPUTED_VALUE"""),45096.0)</f>
        <v>45096</v>
      </c>
      <c r="P864" s="45">
        <f>IFERROR(__xludf.DUMMYFUNCTION("""COMPUTED_VALUE"""),45138.0)</f>
        <v>45138</v>
      </c>
      <c r="Q864" s="45">
        <f>IFERROR(__xludf.DUMMYFUNCTION("""COMPUTED_VALUE"""),45103.0)</f>
        <v>45103</v>
      </c>
      <c r="R864" s="45">
        <f>IFERROR(__xludf.DUMMYFUNCTION("""COMPUTED_VALUE"""),45145.0)</f>
        <v>45145</v>
      </c>
      <c r="S864" s="43"/>
      <c r="T864" s="43"/>
      <c r="U864" s="43" t="str">
        <f>IFERROR(__xludf.DUMMYFUNCTION("""COMPUTED_VALUE"""),"Global Classroom")</f>
        <v>Global Classroom</v>
      </c>
      <c r="V864" s="43" t="str">
        <f>IFERROR(__xludf.DUMMYFUNCTION("""COMPUTED_VALUE"""),"-")</f>
        <v>-</v>
      </c>
      <c r="W864" s="43" t="str">
        <f>IFERROR(__xludf.DUMMYFUNCTION("""COMPUTED_VALUE"""),"2023-06-11T16:05:32Z")</f>
        <v>2023-06-11T16:05:32Z</v>
      </c>
      <c r="X864" s="43"/>
      <c r="Y864" s="43"/>
      <c r="Z864" s="43"/>
    </row>
    <row r="865" hidden="1">
      <c r="A865" s="43" t="str">
        <f>IFERROR(__xludf.DUMMYFUNCTION("""COMPUTED_VALUE"""),"5251769_1293245")</f>
        <v>5251769_1293245</v>
      </c>
      <c r="B865" s="43" t="str">
        <f>IFERROR(__xludf.DUMMYFUNCTION("""COMPUTED_VALUE"""),"bilge eylül şahin")</f>
        <v>bilge eylül şahin</v>
      </c>
      <c r="C865" s="43" t="str">
        <f>IFERROR(__xludf.DUMMYFUNCTION("""COMPUTED_VALUE"""),"completed")</f>
        <v>completed</v>
      </c>
      <c r="D865" s="43" t="str">
        <f>IFERROR(__xludf.DUMMYFUNCTION("""COMPUTED_VALUE"""),"No")</f>
        <v>No</v>
      </c>
      <c r="E865" s="43" t="str">
        <f>IFERROR(__xludf.DUMMYFUNCTION("""COMPUTED_VALUE"""),"p_31e013f3c974b5dbfdc4d9b2632b595516a6c8ab@inbound.aiesec.org")</f>
        <v>p_31e013f3c974b5dbfdc4d9b2632b595516a6c8ab@inbound.aiesec.org</v>
      </c>
      <c r="F865" s="43">
        <f>IFERROR(__xludf.DUMMYFUNCTION("""COMPUTED_VALUE"""),5.300158187E9)</f>
        <v>5300158187</v>
      </c>
      <c r="G865" s="43" t="str">
        <f>IFERROR(__xludf.DUMMYFUNCTION("""COMPUTED_VALUE"""),"Turkey")</f>
        <v>Turkey</v>
      </c>
      <c r="H865" s="43" t="str">
        <f>IFERROR(__xludf.DUMMYFUNCTION("""COMPUTED_VALUE"""),"ISTANBUL")</f>
        <v>ISTANBUL</v>
      </c>
      <c r="I865" s="43" t="str">
        <f>IFERROR(__xludf.DUMMYFUNCTION("""COMPUTED_VALUE"""),"Germany")</f>
        <v>Germany</v>
      </c>
      <c r="J865" s="43" t="str">
        <f>IFERROR(__xludf.DUMMYFUNCTION("""COMPUTED_VALUE"""),"LUENEBURG")</f>
        <v>LUENEBURG</v>
      </c>
      <c r="K865" s="44" t="str">
        <f>IFERROR(__xludf.DUMMYFUNCTION("""COMPUTED_VALUE"""),"https://expa.aiesec.org/opportunities/1293245")</f>
        <v>https://expa.aiesec.org/opportunities/1293245</v>
      </c>
      <c r="L865" s="43" t="str">
        <f>IFERROR(__xludf.DUMMYFUNCTION("""COMPUTED_VALUE"""),"GV")</f>
        <v>GV</v>
      </c>
      <c r="M865" s="43" t="str">
        <f>IFERROR(__xludf.DUMMYFUNCTION("""COMPUTED_VALUE"""),"short")</f>
        <v>short</v>
      </c>
      <c r="N865" s="45">
        <f>IFERROR(__xludf.DUMMYFUNCTION("""COMPUTED_VALUE"""),45098.0)</f>
        <v>45098</v>
      </c>
      <c r="O865" s="45">
        <f>IFERROR(__xludf.DUMMYFUNCTION("""COMPUTED_VALUE"""),45122.0)</f>
        <v>45122</v>
      </c>
      <c r="P865" s="45">
        <f>IFERROR(__xludf.DUMMYFUNCTION("""COMPUTED_VALUE"""),45164.0)</f>
        <v>45164</v>
      </c>
      <c r="Q865" s="45">
        <f>IFERROR(__xludf.DUMMYFUNCTION("""COMPUTED_VALUE"""),45122.0)</f>
        <v>45122</v>
      </c>
      <c r="R865" s="45">
        <f>IFERROR(__xludf.DUMMYFUNCTION("""COMPUTED_VALUE"""),45164.0)</f>
        <v>45164</v>
      </c>
      <c r="S865" s="43"/>
      <c r="T865" s="43"/>
      <c r="U865" s="43" t="str">
        <f>IFERROR(__xludf.DUMMYFUNCTION("""COMPUTED_VALUE"""),"Eco City")</f>
        <v>Eco City</v>
      </c>
      <c r="V865" s="43" t="str">
        <f>IFERROR(__xludf.DUMMYFUNCTION("""COMPUTED_VALUE"""),"ISTANBUL - BEYOGLU")</f>
        <v>ISTANBUL - BEYOGLU</v>
      </c>
      <c r="W865" s="43" t="str">
        <f>IFERROR(__xludf.DUMMYFUNCTION("""COMPUTED_VALUE"""),"2023-04-28T12:29:30Z")</f>
        <v>2023-04-28T12:29:30Z</v>
      </c>
      <c r="X865" s="43"/>
      <c r="Y865" s="43"/>
      <c r="Z865" s="43"/>
    </row>
    <row r="866" hidden="1">
      <c r="A866" s="43" t="str">
        <f>IFERROR(__xludf.DUMMYFUNCTION("""COMPUTED_VALUE"""),"5269885_1295597")</f>
        <v>5269885_1295597</v>
      </c>
      <c r="B866" s="43" t="str">
        <f>IFERROR(__xludf.DUMMYFUNCTION("""COMPUTED_VALUE"""),"Aybike Kaplan")</f>
        <v>Aybike Kaplan</v>
      </c>
      <c r="C866" s="43" t="str">
        <f>IFERROR(__xludf.DUMMYFUNCTION("""COMPUTED_VALUE"""),"completed")</f>
        <v>completed</v>
      </c>
      <c r="D866" s="43" t="str">
        <f>IFERROR(__xludf.DUMMYFUNCTION("""COMPUTED_VALUE"""),"No")</f>
        <v>No</v>
      </c>
      <c r="E866" s="43" t="str">
        <f>IFERROR(__xludf.DUMMYFUNCTION("""COMPUTED_VALUE"""),"p_cef955f66a7047409989828952b1d43dfaf36772@inbound.aiesec.org")</f>
        <v>p_cef955f66a7047409989828952b1d43dfaf36772@inbound.aiesec.org</v>
      </c>
      <c r="F866" s="43"/>
      <c r="G866" s="43" t="str">
        <f>IFERROR(__xludf.DUMMYFUNCTION("""COMPUTED_VALUE"""),"Turkey")</f>
        <v>Turkey</v>
      </c>
      <c r="H866" s="43" t="str">
        <f>IFERROR(__xludf.DUMMYFUNCTION("""COMPUTED_VALUE"""),"ADANA")</f>
        <v>ADANA</v>
      </c>
      <c r="I866" s="43" t="str">
        <f>IFERROR(__xludf.DUMMYFUNCTION("""COMPUTED_VALUE"""),"Romania")</f>
        <v>Romania</v>
      </c>
      <c r="J866" s="43" t="str">
        <f>IFERROR(__xludf.DUMMYFUNCTION("""COMPUTED_VALUE"""),"SIBIU")</f>
        <v>SIBIU</v>
      </c>
      <c r="K866" s="44" t="str">
        <f>IFERROR(__xludf.DUMMYFUNCTION("""COMPUTED_VALUE"""),"https://expa.aiesec.org/opportunities/1295597")</f>
        <v>https://expa.aiesec.org/opportunities/1295597</v>
      </c>
      <c r="L866" s="43" t="str">
        <f>IFERROR(__xludf.DUMMYFUNCTION("""COMPUTED_VALUE"""),"GV")</f>
        <v>GV</v>
      </c>
      <c r="M866" s="43" t="str">
        <f>IFERROR(__xludf.DUMMYFUNCTION("""COMPUTED_VALUE"""),"short")</f>
        <v>short</v>
      </c>
      <c r="N866" s="45">
        <f>IFERROR(__xludf.DUMMYFUNCTION("""COMPUTED_VALUE"""),45100.0)</f>
        <v>45100</v>
      </c>
      <c r="O866" s="45">
        <f>IFERROR(__xludf.DUMMYFUNCTION("""COMPUTED_VALUE"""),45131.0)</f>
        <v>45131</v>
      </c>
      <c r="P866" s="45">
        <f>IFERROR(__xludf.DUMMYFUNCTION("""COMPUTED_VALUE"""),45173.0)</f>
        <v>45173</v>
      </c>
      <c r="Q866" s="45">
        <f>IFERROR(__xludf.DUMMYFUNCTION("""COMPUTED_VALUE"""),45132.0)</f>
        <v>45132</v>
      </c>
      <c r="R866" s="45">
        <f>IFERROR(__xludf.DUMMYFUNCTION("""COMPUTED_VALUE"""),45173.0)</f>
        <v>45173</v>
      </c>
      <c r="S866" s="43"/>
      <c r="T866" s="43"/>
      <c r="U866" s="43" t="str">
        <f>IFERROR(__xludf.DUMMYFUNCTION("""COMPUTED_VALUE"""),"Fingerprint")</f>
        <v>Fingerprint</v>
      </c>
      <c r="V866" s="43" t="str">
        <f>IFERROR(__xludf.DUMMYFUNCTION("""COMPUTED_VALUE"""),"-")</f>
        <v>-</v>
      </c>
      <c r="W866" s="43" t="str">
        <f>IFERROR(__xludf.DUMMYFUNCTION("""COMPUTED_VALUE"""),"2023-05-31T20:56:26Z")</f>
        <v>2023-05-31T20:56:26Z</v>
      </c>
      <c r="X866" s="43"/>
      <c r="Y866" s="43"/>
      <c r="Z866" s="43"/>
    </row>
    <row r="867" hidden="1">
      <c r="A867" s="43" t="str">
        <f>IFERROR(__xludf.DUMMYFUNCTION("""COMPUTED_VALUE"""),"5276871_1294872")</f>
        <v>5276871_1294872</v>
      </c>
      <c r="B867" s="43" t="str">
        <f>IFERROR(__xludf.DUMMYFUNCTION("""COMPUTED_VALUE"""),"Talya Urş")</f>
        <v>Talya Urş</v>
      </c>
      <c r="C867" s="43" t="str">
        <f>IFERROR(__xludf.DUMMYFUNCTION("""COMPUTED_VALUE"""),"completed")</f>
        <v>completed</v>
      </c>
      <c r="D867" s="43" t="str">
        <f>IFERROR(__xludf.DUMMYFUNCTION("""COMPUTED_VALUE"""),"No")</f>
        <v>No</v>
      </c>
      <c r="E867" s="43" t="str">
        <f>IFERROR(__xludf.DUMMYFUNCTION("""COMPUTED_VALUE"""),"p_9dbf3a2664be7f2962fca994e772a9bcd51024f2@inbound.aiesec.org")</f>
        <v>p_9dbf3a2664be7f2962fca994e772a9bcd51024f2@inbound.aiesec.org</v>
      </c>
      <c r="F867" s="43"/>
      <c r="G867" s="43" t="str">
        <f>IFERROR(__xludf.DUMMYFUNCTION("""COMPUTED_VALUE"""),"Turkey")</f>
        <v>Turkey</v>
      </c>
      <c r="H867" s="43" t="str">
        <f>IFERROR(__xludf.DUMMYFUNCTION("""COMPUTED_VALUE"""),"ISTANBUL ASIA")</f>
        <v>ISTANBUL ASIA</v>
      </c>
      <c r="I867" s="43" t="str">
        <f>IFERROR(__xludf.DUMMYFUNCTION("""COMPUTED_VALUE"""),"Egypt")</f>
        <v>Egypt</v>
      </c>
      <c r="J867" s="43" t="str">
        <f>IFERROR(__xludf.DUMMYFUNCTION("""COMPUTED_VALUE"""),"Helwan")</f>
        <v>Helwan</v>
      </c>
      <c r="K867" s="44" t="str">
        <f>IFERROR(__xludf.DUMMYFUNCTION("""COMPUTED_VALUE"""),"https://expa.aiesec.org/opportunities/1294872")</f>
        <v>https://expa.aiesec.org/opportunities/1294872</v>
      </c>
      <c r="L867" s="43" t="str">
        <f>IFERROR(__xludf.DUMMYFUNCTION("""COMPUTED_VALUE"""),"GV")</f>
        <v>GV</v>
      </c>
      <c r="M867" s="43" t="str">
        <f>IFERROR(__xludf.DUMMYFUNCTION("""COMPUTED_VALUE"""),"short")</f>
        <v>short</v>
      </c>
      <c r="N867" s="45">
        <f>IFERROR(__xludf.DUMMYFUNCTION("""COMPUTED_VALUE"""),45101.0)</f>
        <v>45101</v>
      </c>
      <c r="O867" s="45">
        <f>IFERROR(__xludf.DUMMYFUNCTION("""COMPUTED_VALUE"""),45139.0)</f>
        <v>45139</v>
      </c>
      <c r="P867" s="45">
        <f>IFERROR(__xludf.DUMMYFUNCTION("""COMPUTED_VALUE"""),45181.0)</f>
        <v>45181</v>
      </c>
      <c r="Q867" s="45">
        <f>IFERROR(__xludf.DUMMYFUNCTION("""COMPUTED_VALUE"""),45138.0)</f>
        <v>45138</v>
      </c>
      <c r="R867" s="45">
        <f>IFERROR(__xludf.DUMMYFUNCTION("""COMPUTED_VALUE"""),45181.0)</f>
        <v>45181</v>
      </c>
      <c r="S867" s="43"/>
      <c r="T867" s="43"/>
      <c r="U867" s="43" t="str">
        <f>IFERROR(__xludf.DUMMYFUNCTION("""COMPUTED_VALUE"""),"Explorer")</f>
        <v>Explorer</v>
      </c>
      <c r="V867" s="43" t="str">
        <f>IFERROR(__xludf.DUMMYFUNCTION("""COMPUTED_VALUE"""),"-")</f>
        <v>-</v>
      </c>
      <c r="W867" s="43" t="str">
        <f>IFERROR(__xludf.DUMMYFUNCTION("""COMPUTED_VALUE"""),"2023-06-18T23:06:08Z")</f>
        <v>2023-06-18T23:06:08Z</v>
      </c>
      <c r="X867" s="43"/>
      <c r="Y867" s="43"/>
      <c r="Z867" s="43"/>
    </row>
    <row r="868" hidden="1">
      <c r="A868" s="43" t="str">
        <f>IFERROR(__xludf.DUMMYFUNCTION("""COMPUTED_VALUE"""),"5273771_1281901")</f>
        <v>5273771_1281901</v>
      </c>
      <c r="B868" s="43" t="str">
        <f>IFERROR(__xludf.DUMMYFUNCTION("""COMPUTED_VALUE"""),"Tüge Gündoğdu")</f>
        <v>Tüge Gündoğdu</v>
      </c>
      <c r="C868" s="43" t="str">
        <f>IFERROR(__xludf.DUMMYFUNCTION("""COMPUTED_VALUE"""),"approved")</f>
        <v>approved</v>
      </c>
      <c r="D868" s="43" t="str">
        <f>IFERROR(__xludf.DUMMYFUNCTION("""COMPUTED_VALUE"""),"No")</f>
        <v>No</v>
      </c>
      <c r="E868" s="43" t="str">
        <f>IFERROR(__xludf.DUMMYFUNCTION("""COMPUTED_VALUE"""),"p_a008f727838d1bffb44925a681e6c4f54f6cc92e@inbound.aiesec.org")</f>
        <v>p_a008f727838d1bffb44925a681e6c4f54f6cc92e@inbound.aiesec.org</v>
      </c>
      <c r="F868" s="43">
        <f>IFERROR(__xludf.DUMMYFUNCTION("""COMPUTED_VALUE"""),5.415102604E9)</f>
        <v>5415102604</v>
      </c>
      <c r="G868" s="43" t="str">
        <f>IFERROR(__xludf.DUMMYFUNCTION("""COMPUTED_VALUE"""),"Turkey")</f>
        <v>Turkey</v>
      </c>
      <c r="H868" s="43" t="str">
        <f>IFERROR(__xludf.DUMMYFUNCTION("""COMPUTED_VALUE"""),"ANKARA")</f>
        <v>ANKARA</v>
      </c>
      <c r="I868" s="43" t="str">
        <f>IFERROR(__xludf.DUMMYFUNCTION("""COMPUTED_VALUE"""),"Sri Lanka")</f>
        <v>Sri Lanka</v>
      </c>
      <c r="J868" s="43" t="str">
        <f>IFERROR(__xludf.DUMMYFUNCTION("""COMPUTED_VALUE"""),"COLOMBO SOUTH")</f>
        <v>COLOMBO SOUTH</v>
      </c>
      <c r="K868" s="44" t="str">
        <f>IFERROR(__xludf.DUMMYFUNCTION("""COMPUTED_VALUE"""),"https://expa.aiesec.org/opportunities/1281901")</f>
        <v>https://expa.aiesec.org/opportunities/1281901</v>
      </c>
      <c r="L868" s="43" t="str">
        <f>IFERROR(__xludf.DUMMYFUNCTION("""COMPUTED_VALUE"""),"GV")</f>
        <v>GV</v>
      </c>
      <c r="M868" s="43" t="str">
        <f>IFERROR(__xludf.DUMMYFUNCTION("""COMPUTED_VALUE"""),"short")</f>
        <v>short</v>
      </c>
      <c r="N868" s="45">
        <f>IFERROR(__xludf.DUMMYFUNCTION("""COMPUTED_VALUE"""),45101.0)</f>
        <v>45101</v>
      </c>
      <c r="O868" s="45">
        <f>IFERROR(__xludf.DUMMYFUNCTION("""COMPUTED_VALUE"""),45138.0)</f>
        <v>45138</v>
      </c>
      <c r="P868" s="45">
        <f>IFERROR(__xludf.DUMMYFUNCTION("""COMPUTED_VALUE"""),45180.0)</f>
        <v>45180</v>
      </c>
      <c r="Q868" s="45"/>
      <c r="R868" s="45"/>
      <c r="S868" s="43"/>
      <c r="T868" s="43"/>
      <c r="U868" s="43" t="str">
        <f>IFERROR(__xludf.DUMMYFUNCTION("""COMPUTED_VALUE"""),"Aquatica")</f>
        <v>Aquatica</v>
      </c>
      <c r="V868" s="43" t="str">
        <f>IFERROR(__xludf.DUMMYFUNCTION("""COMPUTED_VALUE"""),"ANKARA")</f>
        <v>ANKARA</v>
      </c>
      <c r="W868" s="43" t="str">
        <f>IFERROR(__xludf.DUMMYFUNCTION("""COMPUTED_VALUE"""),"2023-06-10T20:17:02Z")</f>
        <v>2023-06-10T20:17:02Z</v>
      </c>
      <c r="X868" s="43"/>
      <c r="Y868" s="43"/>
      <c r="Z868" s="43"/>
    </row>
    <row r="869" hidden="1">
      <c r="A869" s="43" t="str">
        <f>IFERROR(__xludf.DUMMYFUNCTION("""COMPUTED_VALUE"""),"5264788_1281901")</f>
        <v>5264788_1281901</v>
      </c>
      <c r="B869" s="43" t="str">
        <f>IFERROR(__xludf.DUMMYFUNCTION("""COMPUTED_VALUE"""),"Şevval Karaarslan")</f>
        <v>Şevval Karaarslan</v>
      </c>
      <c r="C869" s="43" t="str">
        <f>IFERROR(__xludf.DUMMYFUNCTION("""COMPUTED_VALUE"""),"realization_broken")</f>
        <v>realization_broken</v>
      </c>
      <c r="D869" s="43" t="str">
        <f>IFERROR(__xludf.DUMMYFUNCTION("""COMPUTED_VALUE"""),"No")</f>
        <v>No</v>
      </c>
      <c r="E869" s="43" t="str">
        <f>IFERROR(__xludf.DUMMYFUNCTION("""COMPUTED_VALUE"""),"p_03a14f4eedb4aa4b429e9ef66318e8356e544481@inbound.aiesec.org")</f>
        <v>p_03a14f4eedb4aa4b429e9ef66318e8356e544481@inbound.aiesec.org</v>
      </c>
      <c r="F869" s="43">
        <f>IFERROR(__xludf.DUMMYFUNCTION("""COMPUTED_VALUE"""),5.320150897E9)</f>
        <v>5320150897</v>
      </c>
      <c r="G869" s="43" t="str">
        <f>IFERROR(__xludf.DUMMYFUNCTION("""COMPUTED_VALUE"""),"Turkey")</f>
        <v>Turkey</v>
      </c>
      <c r="H869" s="43" t="str">
        <f>IFERROR(__xludf.DUMMYFUNCTION("""COMPUTED_VALUE"""),"ANKARA")</f>
        <v>ANKARA</v>
      </c>
      <c r="I869" s="43" t="str">
        <f>IFERROR(__xludf.DUMMYFUNCTION("""COMPUTED_VALUE"""),"Sri Lanka")</f>
        <v>Sri Lanka</v>
      </c>
      <c r="J869" s="43" t="str">
        <f>IFERROR(__xludf.DUMMYFUNCTION("""COMPUTED_VALUE"""),"COLOMBO SOUTH")</f>
        <v>COLOMBO SOUTH</v>
      </c>
      <c r="K869" s="44" t="str">
        <f>IFERROR(__xludf.DUMMYFUNCTION("""COMPUTED_VALUE"""),"https://expa.aiesec.org/opportunities/1281901")</f>
        <v>https://expa.aiesec.org/opportunities/1281901</v>
      </c>
      <c r="L869" s="43" t="str">
        <f>IFERROR(__xludf.DUMMYFUNCTION("""COMPUTED_VALUE"""),"GV")</f>
        <v>GV</v>
      </c>
      <c r="M869" s="43" t="str">
        <f>IFERROR(__xludf.DUMMYFUNCTION("""COMPUTED_VALUE"""),"short")</f>
        <v>short</v>
      </c>
      <c r="N869" s="45">
        <f>IFERROR(__xludf.DUMMYFUNCTION("""COMPUTED_VALUE"""),45101.0)</f>
        <v>45101</v>
      </c>
      <c r="O869" s="45">
        <f>IFERROR(__xludf.DUMMYFUNCTION("""COMPUTED_VALUE"""),45138.0)</f>
        <v>45138</v>
      </c>
      <c r="P869" s="45">
        <f>IFERROR(__xludf.DUMMYFUNCTION("""COMPUTED_VALUE"""),45180.0)</f>
        <v>45180</v>
      </c>
      <c r="Q869" s="45"/>
      <c r="R869" s="45"/>
      <c r="S869" s="43"/>
      <c r="T869" s="43"/>
      <c r="U869" s="43" t="str">
        <f>IFERROR(__xludf.DUMMYFUNCTION("""COMPUTED_VALUE"""),"Aquatica")</f>
        <v>Aquatica</v>
      </c>
      <c r="V869" s="43" t="str">
        <f>IFERROR(__xludf.DUMMYFUNCTION("""COMPUTED_VALUE"""),"ANKARA")</f>
        <v>ANKARA</v>
      </c>
      <c r="W869" s="43" t="str">
        <f>IFERROR(__xludf.DUMMYFUNCTION("""COMPUTED_VALUE"""),"2023-05-22T10:58:20Z")</f>
        <v>2023-05-22T10:58:20Z</v>
      </c>
      <c r="X869" s="43"/>
      <c r="Y869" s="43"/>
      <c r="Z869" s="43"/>
    </row>
    <row r="870" hidden="1">
      <c r="A870" s="43" t="str">
        <f>IFERROR(__xludf.DUMMYFUNCTION("""COMPUTED_VALUE"""),"5264752_1281901")</f>
        <v>5264752_1281901</v>
      </c>
      <c r="B870" s="43" t="str">
        <f>IFERROR(__xludf.DUMMYFUNCTION("""COMPUTED_VALUE"""),"İkbal Karaarslan")</f>
        <v>İkbal Karaarslan</v>
      </c>
      <c r="C870" s="43" t="str">
        <f>IFERROR(__xludf.DUMMYFUNCTION("""COMPUTED_VALUE"""),"realization_broken")</f>
        <v>realization_broken</v>
      </c>
      <c r="D870" s="43" t="str">
        <f>IFERROR(__xludf.DUMMYFUNCTION("""COMPUTED_VALUE"""),"No")</f>
        <v>No</v>
      </c>
      <c r="E870" s="43" t="str">
        <f>IFERROR(__xludf.DUMMYFUNCTION("""COMPUTED_VALUE"""),"p_4881b044b8deef494c73c09c2b1731fa97cea2a9@inbound.aiesec.org")</f>
        <v>p_4881b044b8deef494c73c09c2b1731fa97cea2a9@inbound.aiesec.org</v>
      </c>
      <c r="F870" s="43">
        <f>IFERROR(__xludf.DUMMYFUNCTION("""COMPUTED_VALUE"""),5.320150896E9)</f>
        <v>5320150896</v>
      </c>
      <c r="G870" s="43" t="str">
        <f>IFERROR(__xludf.DUMMYFUNCTION("""COMPUTED_VALUE"""),"Turkey")</f>
        <v>Turkey</v>
      </c>
      <c r="H870" s="43" t="str">
        <f>IFERROR(__xludf.DUMMYFUNCTION("""COMPUTED_VALUE"""),"ANKARA")</f>
        <v>ANKARA</v>
      </c>
      <c r="I870" s="43" t="str">
        <f>IFERROR(__xludf.DUMMYFUNCTION("""COMPUTED_VALUE"""),"Sri Lanka")</f>
        <v>Sri Lanka</v>
      </c>
      <c r="J870" s="43" t="str">
        <f>IFERROR(__xludf.DUMMYFUNCTION("""COMPUTED_VALUE"""),"COLOMBO SOUTH")</f>
        <v>COLOMBO SOUTH</v>
      </c>
      <c r="K870" s="44" t="str">
        <f>IFERROR(__xludf.DUMMYFUNCTION("""COMPUTED_VALUE"""),"https://expa.aiesec.org/opportunities/1281901")</f>
        <v>https://expa.aiesec.org/opportunities/1281901</v>
      </c>
      <c r="L870" s="43" t="str">
        <f>IFERROR(__xludf.DUMMYFUNCTION("""COMPUTED_VALUE"""),"GV")</f>
        <v>GV</v>
      </c>
      <c r="M870" s="43" t="str">
        <f>IFERROR(__xludf.DUMMYFUNCTION("""COMPUTED_VALUE"""),"short")</f>
        <v>short</v>
      </c>
      <c r="N870" s="45">
        <f>IFERROR(__xludf.DUMMYFUNCTION("""COMPUTED_VALUE"""),45101.0)</f>
        <v>45101</v>
      </c>
      <c r="O870" s="45">
        <f>IFERROR(__xludf.DUMMYFUNCTION("""COMPUTED_VALUE"""),45138.0)</f>
        <v>45138</v>
      </c>
      <c r="P870" s="45">
        <f>IFERROR(__xludf.DUMMYFUNCTION("""COMPUTED_VALUE"""),45180.0)</f>
        <v>45180</v>
      </c>
      <c r="Q870" s="45"/>
      <c r="R870" s="45"/>
      <c r="S870" s="43"/>
      <c r="T870" s="43"/>
      <c r="U870" s="43" t="str">
        <f>IFERROR(__xludf.DUMMYFUNCTION("""COMPUTED_VALUE"""),"Aquatica")</f>
        <v>Aquatica</v>
      </c>
      <c r="V870" s="43" t="str">
        <f>IFERROR(__xludf.DUMMYFUNCTION("""COMPUTED_VALUE"""),"ANKARA")</f>
        <v>ANKARA</v>
      </c>
      <c r="W870" s="43" t="str">
        <f>IFERROR(__xludf.DUMMYFUNCTION("""COMPUTED_VALUE"""),"2023-05-22T09:52:26Z")</f>
        <v>2023-05-22T09:52:26Z</v>
      </c>
      <c r="X870" s="43"/>
      <c r="Y870" s="43"/>
      <c r="Z870" s="43"/>
    </row>
    <row r="871" hidden="1">
      <c r="A871" s="43" t="str">
        <f>IFERROR(__xludf.DUMMYFUNCTION("""COMPUTED_VALUE"""),"5270968_1293743")</f>
        <v>5270968_1293743</v>
      </c>
      <c r="B871" s="43" t="str">
        <f>IFERROR(__xludf.DUMMYFUNCTION("""COMPUTED_VALUE"""),"Aybüke Utku Demir")</f>
        <v>Aybüke Utku Demir</v>
      </c>
      <c r="C871" s="43" t="str">
        <f>IFERROR(__xludf.DUMMYFUNCTION("""COMPUTED_VALUE"""),"approved")</f>
        <v>approved</v>
      </c>
      <c r="D871" s="43" t="str">
        <f>IFERROR(__xludf.DUMMYFUNCTION("""COMPUTED_VALUE"""),"No")</f>
        <v>No</v>
      </c>
      <c r="E871" s="43" t="str">
        <f>IFERROR(__xludf.DUMMYFUNCTION("""COMPUTED_VALUE"""),"p_8128fe2380f4ce50692188e97ce3a31479bb1fb0@inbound.aiesec.org")</f>
        <v>p_8128fe2380f4ce50692188e97ce3a31479bb1fb0@inbound.aiesec.org</v>
      </c>
      <c r="F871" s="43">
        <f>IFERROR(__xludf.DUMMYFUNCTION("""COMPUTED_VALUE"""),5.456222421E9)</f>
        <v>5456222421</v>
      </c>
      <c r="G871" s="43" t="str">
        <f>IFERROR(__xludf.DUMMYFUNCTION("""COMPUTED_VALUE"""),"Turkey")</f>
        <v>Turkey</v>
      </c>
      <c r="H871" s="43" t="str">
        <f>IFERROR(__xludf.DUMMYFUNCTION("""COMPUTED_VALUE"""),"ISTANBUL ASIA")</f>
        <v>ISTANBUL ASIA</v>
      </c>
      <c r="I871" s="43" t="str">
        <f>IFERROR(__xludf.DUMMYFUNCTION("""COMPUTED_VALUE"""),"Egypt")</f>
        <v>Egypt</v>
      </c>
      <c r="J871" s="43" t="str">
        <f>IFERROR(__xludf.DUMMYFUNCTION("""COMPUTED_VALUE"""),"Cairo University")</f>
        <v>Cairo University</v>
      </c>
      <c r="K871" s="44" t="str">
        <f>IFERROR(__xludf.DUMMYFUNCTION("""COMPUTED_VALUE"""),"https://expa.aiesec.org/opportunities/1293743")</f>
        <v>https://expa.aiesec.org/opportunities/1293743</v>
      </c>
      <c r="L871" s="43" t="str">
        <f>IFERROR(__xludf.DUMMYFUNCTION("""COMPUTED_VALUE"""),"GV")</f>
        <v>GV</v>
      </c>
      <c r="M871" s="43" t="str">
        <f>IFERROR(__xludf.DUMMYFUNCTION("""COMPUTED_VALUE"""),"short")</f>
        <v>short</v>
      </c>
      <c r="N871" s="45">
        <f>IFERROR(__xludf.DUMMYFUNCTION("""COMPUTED_VALUE"""),45103.0)</f>
        <v>45103</v>
      </c>
      <c r="O871" s="45">
        <f>IFERROR(__xludf.DUMMYFUNCTION("""COMPUTED_VALUE"""),45108.0)</f>
        <v>45108</v>
      </c>
      <c r="P871" s="45">
        <f>IFERROR(__xludf.DUMMYFUNCTION("""COMPUTED_VALUE"""),45153.0)</f>
        <v>45153</v>
      </c>
      <c r="Q871" s="45"/>
      <c r="R871" s="45"/>
      <c r="S871" s="43"/>
      <c r="T871" s="43"/>
      <c r="U871" s="43" t="str">
        <f>IFERROR(__xludf.DUMMYFUNCTION("""COMPUTED_VALUE"""),"Heartbeat")</f>
        <v>Heartbeat</v>
      </c>
      <c r="V871" s="43" t="str">
        <f>IFERROR(__xludf.DUMMYFUNCTION("""COMPUTED_VALUE"""),"KOCAELI")</f>
        <v>KOCAELI</v>
      </c>
      <c r="W871" s="43" t="str">
        <f>IFERROR(__xludf.DUMMYFUNCTION("""COMPUTED_VALUE"""),"2023-06-03T11:09:20Z")</f>
        <v>2023-06-03T11:09:20Z</v>
      </c>
      <c r="X871" s="43"/>
      <c r="Y871" s="43"/>
      <c r="Z871" s="43"/>
    </row>
    <row r="872" hidden="1">
      <c r="A872" s="43" t="str">
        <f>IFERROR(__xludf.DUMMYFUNCTION("""COMPUTED_VALUE"""),"5267469_1294063")</f>
        <v>5267469_1294063</v>
      </c>
      <c r="B872" s="43" t="str">
        <f>IFERROR(__xludf.DUMMYFUNCTION("""COMPUTED_VALUE"""),"Alperen Demirel")</f>
        <v>Alperen Demirel</v>
      </c>
      <c r="C872" s="43" t="str">
        <f>IFERROR(__xludf.DUMMYFUNCTION("""COMPUTED_VALUE"""),"completed")</f>
        <v>completed</v>
      </c>
      <c r="D872" s="43" t="str">
        <f>IFERROR(__xludf.DUMMYFUNCTION("""COMPUTED_VALUE"""),"No")</f>
        <v>No</v>
      </c>
      <c r="E872" s="43" t="str">
        <f>IFERROR(__xludf.DUMMYFUNCTION("""COMPUTED_VALUE"""),"p_fefbcb9a0e561a6cd688ee7e538768f860c9055b@inbound.aiesec.org")</f>
        <v>p_fefbcb9a0e561a6cd688ee7e538768f860c9055b@inbound.aiesec.org</v>
      </c>
      <c r="F872" s="43">
        <f>IFERROR(__xludf.DUMMYFUNCTION("""COMPUTED_VALUE"""),5.348865522E9)</f>
        <v>5348865522</v>
      </c>
      <c r="G872" s="43" t="str">
        <f>IFERROR(__xludf.DUMMYFUNCTION("""COMPUTED_VALUE"""),"Turkey")</f>
        <v>Turkey</v>
      </c>
      <c r="H872" s="43" t="str">
        <f>IFERROR(__xludf.DUMMYFUNCTION("""COMPUTED_VALUE"""),"SAMSUN [Closed]")</f>
        <v>SAMSUN [Closed]</v>
      </c>
      <c r="I872" s="43" t="str">
        <f>IFERROR(__xludf.DUMMYFUNCTION("""COMPUTED_VALUE"""),"Egypt")</f>
        <v>Egypt</v>
      </c>
      <c r="J872" s="43" t="str">
        <f>IFERROR(__xludf.DUMMYFUNCTION("""COMPUTED_VALUE"""),"Ain Shams University")</f>
        <v>Ain Shams University</v>
      </c>
      <c r="K872" s="44" t="str">
        <f>IFERROR(__xludf.DUMMYFUNCTION("""COMPUTED_VALUE"""),"https://expa.aiesec.org/opportunities/1294063")</f>
        <v>https://expa.aiesec.org/opportunities/1294063</v>
      </c>
      <c r="L872" s="43" t="str">
        <f>IFERROR(__xludf.DUMMYFUNCTION("""COMPUTED_VALUE"""),"GV")</f>
        <v>GV</v>
      </c>
      <c r="M872" s="43" t="str">
        <f>IFERROR(__xludf.DUMMYFUNCTION("""COMPUTED_VALUE"""),"short")</f>
        <v>short</v>
      </c>
      <c r="N872" s="45">
        <f>IFERROR(__xludf.DUMMYFUNCTION("""COMPUTED_VALUE"""),45103.0)</f>
        <v>45103</v>
      </c>
      <c r="O872" s="45">
        <f>IFERROR(__xludf.DUMMYFUNCTION("""COMPUTED_VALUE"""),45108.0)</f>
        <v>45108</v>
      </c>
      <c r="P872" s="45">
        <f>IFERROR(__xludf.DUMMYFUNCTION("""COMPUTED_VALUE"""),45150.0)</f>
        <v>45150</v>
      </c>
      <c r="Q872" s="45">
        <f>IFERROR(__xludf.DUMMYFUNCTION("""COMPUTED_VALUE"""),45109.0)</f>
        <v>45109</v>
      </c>
      <c r="R872" s="45">
        <f>IFERROR(__xludf.DUMMYFUNCTION("""COMPUTED_VALUE"""),45151.0)</f>
        <v>45151</v>
      </c>
      <c r="S872" s="43"/>
      <c r="T872" s="43"/>
      <c r="U872" s="43" t="str">
        <f>IFERROR(__xludf.DUMMYFUNCTION("""COMPUTED_VALUE"""),"On The Map")</f>
        <v>On The Map</v>
      </c>
      <c r="V872" s="43" t="str">
        <f>IFERROR(__xludf.DUMMYFUNCTION("""COMPUTED_VALUE"""),"SAMSUN")</f>
        <v>SAMSUN</v>
      </c>
      <c r="W872" s="43" t="str">
        <f>IFERROR(__xludf.DUMMYFUNCTION("""COMPUTED_VALUE"""),"2023-05-27T11:34:06Z")</f>
        <v>2023-05-27T11:34:06Z</v>
      </c>
      <c r="X872" s="43"/>
      <c r="Y872" s="43"/>
      <c r="Z872" s="43"/>
    </row>
    <row r="873" hidden="1">
      <c r="A873" s="43" t="str">
        <f>IFERROR(__xludf.DUMMYFUNCTION("""COMPUTED_VALUE"""),"5279486_1292990")</f>
        <v>5279486_1292990</v>
      </c>
      <c r="B873" s="43" t="str">
        <f>IFERROR(__xludf.DUMMYFUNCTION("""COMPUTED_VALUE"""),"müçteba anıl koyutürk")</f>
        <v>müçteba anıl koyutürk</v>
      </c>
      <c r="C873" s="43" t="str">
        <f>IFERROR(__xludf.DUMMYFUNCTION("""COMPUTED_VALUE"""),"approved")</f>
        <v>approved</v>
      </c>
      <c r="D873" s="43" t="str">
        <f>IFERROR(__xludf.DUMMYFUNCTION("""COMPUTED_VALUE"""),"No")</f>
        <v>No</v>
      </c>
      <c r="E873" s="43" t="str">
        <f>IFERROR(__xludf.DUMMYFUNCTION("""COMPUTED_VALUE"""),"p_15c18cffc196647118e9eeae81357fe53285d8ef@inbound.aiesec.org")</f>
        <v>p_15c18cffc196647118e9eeae81357fe53285d8ef@inbound.aiesec.org</v>
      </c>
      <c r="F873" s="43">
        <f>IFERROR(__xludf.DUMMYFUNCTION("""COMPUTED_VALUE"""),5.380224718E9)</f>
        <v>5380224718</v>
      </c>
      <c r="G873" s="43" t="str">
        <f>IFERROR(__xludf.DUMMYFUNCTION("""COMPUTED_VALUE"""),"Turkey")</f>
        <v>Turkey</v>
      </c>
      <c r="H873" s="43" t="str">
        <f>IFERROR(__xludf.DUMMYFUNCTION("""COMPUTED_VALUE"""),"BURSA")</f>
        <v>BURSA</v>
      </c>
      <c r="I873" s="43" t="str">
        <f>IFERROR(__xludf.DUMMYFUNCTION("""COMPUTED_VALUE"""),"India")</f>
        <v>India</v>
      </c>
      <c r="J873" s="43" t="str">
        <f>IFERROR(__xludf.DUMMYFUNCTION("""COMPUTED_VALUE"""),"Mumbai")</f>
        <v>Mumbai</v>
      </c>
      <c r="K873" s="44" t="str">
        <f>IFERROR(__xludf.DUMMYFUNCTION("""COMPUTED_VALUE"""),"https://expa.aiesec.org/opportunities/1292990")</f>
        <v>https://expa.aiesec.org/opportunities/1292990</v>
      </c>
      <c r="L873" s="43" t="str">
        <f>IFERROR(__xludf.DUMMYFUNCTION("""COMPUTED_VALUE"""),"GV")</f>
        <v>GV</v>
      </c>
      <c r="M873" s="43" t="str">
        <f>IFERROR(__xludf.DUMMYFUNCTION("""COMPUTED_VALUE"""),"short")</f>
        <v>short</v>
      </c>
      <c r="N873" s="45">
        <f>IFERROR(__xludf.DUMMYFUNCTION("""COMPUTED_VALUE"""),45104.0)</f>
        <v>45104</v>
      </c>
      <c r="O873" s="45">
        <f>IFERROR(__xludf.DUMMYFUNCTION("""COMPUTED_VALUE"""),45184.0)</f>
        <v>45184</v>
      </c>
      <c r="P873" s="45">
        <f>IFERROR(__xludf.DUMMYFUNCTION("""COMPUTED_VALUE"""),45226.0)</f>
        <v>45226</v>
      </c>
      <c r="Q873" s="45"/>
      <c r="R873" s="45"/>
      <c r="S873" s="43"/>
      <c r="T873" s="43"/>
      <c r="U873" s="43" t="str">
        <f>IFERROR(__xludf.DUMMYFUNCTION("""COMPUTED_VALUE"""),"On The Map")</f>
        <v>On The Map</v>
      </c>
      <c r="V873" s="43" t="str">
        <f>IFERROR(__xludf.DUMMYFUNCTION("""COMPUTED_VALUE"""),"BURSA")</f>
        <v>BURSA</v>
      </c>
      <c r="W873" s="43" t="str">
        <f>IFERROR(__xludf.DUMMYFUNCTION("""COMPUTED_VALUE"""),"2023-06-26T10:45:18Z")</f>
        <v>2023-06-26T10:45:18Z</v>
      </c>
      <c r="X873" s="43"/>
      <c r="Y873" s="43"/>
      <c r="Z873" s="43"/>
    </row>
    <row r="874" hidden="1">
      <c r="A874" s="43" t="str">
        <f>IFERROR(__xludf.DUMMYFUNCTION("""COMPUTED_VALUE"""),"5273657_1296060")</f>
        <v>5273657_1296060</v>
      </c>
      <c r="B874" s="43" t="str">
        <f>IFERROR(__xludf.DUMMYFUNCTION("""COMPUTED_VALUE"""),"Elif Gündüzalp")</f>
        <v>Elif Gündüzalp</v>
      </c>
      <c r="C874" s="43" t="str">
        <f>IFERROR(__xludf.DUMMYFUNCTION("""COMPUTED_VALUE"""),"approved")</f>
        <v>approved</v>
      </c>
      <c r="D874" s="43" t="str">
        <f>IFERROR(__xludf.DUMMYFUNCTION("""COMPUTED_VALUE"""),"No")</f>
        <v>No</v>
      </c>
      <c r="E874" s="43" t="str">
        <f>IFERROR(__xludf.DUMMYFUNCTION("""COMPUTED_VALUE"""),"p_48e4662bfeb57ac7f409b2c12f57ea37c3fa1d5b@inbound.aiesec.org")</f>
        <v>p_48e4662bfeb57ac7f409b2c12f57ea37c3fa1d5b@inbound.aiesec.org</v>
      </c>
      <c r="F874" s="43">
        <f>IFERROR(__xludf.DUMMYFUNCTION("""COMPUTED_VALUE"""),5.426195345E9)</f>
        <v>5426195345</v>
      </c>
      <c r="G874" s="43" t="str">
        <f>IFERROR(__xludf.DUMMYFUNCTION("""COMPUTED_VALUE"""),"Turkey")</f>
        <v>Turkey</v>
      </c>
      <c r="H874" s="43" t="str">
        <f>IFERROR(__xludf.DUMMYFUNCTION("""COMPUTED_VALUE"""),"ISTANBUL")</f>
        <v>ISTANBUL</v>
      </c>
      <c r="I874" s="43" t="str">
        <f>IFERROR(__xludf.DUMMYFUNCTION("""COMPUTED_VALUE"""),"Brazil")</f>
        <v>Brazil</v>
      </c>
      <c r="J874" s="43" t="str">
        <f>IFERROR(__xludf.DUMMYFUNCTION("""COMPUTED_VALUE"""),"FORTALEZA")</f>
        <v>FORTALEZA</v>
      </c>
      <c r="K874" s="44" t="str">
        <f>IFERROR(__xludf.DUMMYFUNCTION("""COMPUTED_VALUE"""),"https://expa.aiesec.org/opportunities/1296060")</f>
        <v>https://expa.aiesec.org/opportunities/1296060</v>
      </c>
      <c r="L874" s="43" t="str">
        <f>IFERROR(__xludf.DUMMYFUNCTION("""COMPUTED_VALUE"""),"GV")</f>
        <v>GV</v>
      </c>
      <c r="M874" s="43" t="str">
        <f>IFERROR(__xludf.DUMMYFUNCTION("""COMPUTED_VALUE"""),"short")</f>
        <v>short</v>
      </c>
      <c r="N874" s="45">
        <f>IFERROR(__xludf.DUMMYFUNCTION("""COMPUTED_VALUE"""),45104.0)</f>
        <v>45104</v>
      </c>
      <c r="O874" s="45">
        <f>IFERROR(__xludf.DUMMYFUNCTION("""COMPUTED_VALUE"""),45180.0)</f>
        <v>45180</v>
      </c>
      <c r="P874" s="45">
        <f>IFERROR(__xludf.DUMMYFUNCTION("""COMPUTED_VALUE"""),45222.0)</f>
        <v>45222</v>
      </c>
      <c r="Q874" s="45"/>
      <c r="R874" s="45"/>
      <c r="S874" s="43"/>
      <c r="T874" s="43"/>
      <c r="U874" s="43" t="str">
        <f>IFERROR(__xludf.DUMMYFUNCTION("""COMPUTED_VALUE"""),"Global Classroom")</f>
        <v>Global Classroom</v>
      </c>
      <c r="V874" s="43" t="str">
        <f>IFERROR(__xludf.DUMMYFUNCTION("""COMPUTED_VALUE"""),"ISTANBUL - BEYOGLU")</f>
        <v>ISTANBUL - BEYOGLU</v>
      </c>
      <c r="W874" s="43" t="str">
        <f>IFERROR(__xludf.DUMMYFUNCTION("""COMPUTED_VALUE"""),"2023-06-10T13:46:24Z")</f>
        <v>2023-06-10T13:46:24Z</v>
      </c>
      <c r="X874" s="43"/>
      <c r="Y874" s="43"/>
      <c r="Z874" s="43"/>
    </row>
    <row r="875" hidden="1">
      <c r="A875" s="43" t="str">
        <f>IFERROR(__xludf.DUMMYFUNCTION("""COMPUTED_VALUE"""),"5278253_1295749")</f>
        <v>5278253_1295749</v>
      </c>
      <c r="B875" s="43" t="str">
        <f>IFERROR(__xludf.DUMMYFUNCTION("""COMPUTED_VALUE"""),"Alperen Muslu")</f>
        <v>Alperen Muslu</v>
      </c>
      <c r="C875" s="43" t="str">
        <f>IFERROR(__xludf.DUMMYFUNCTION("""COMPUTED_VALUE"""),"completed")</f>
        <v>completed</v>
      </c>
      <c r="D875" s="43" t="str">
        <f>IFERROR(__xludf.DUMMYFUNCTION("""COMPUTED_VALUE"""),"No")</f>
        <v>No</v>
      </c>
      <c r="E875" s="43" t="str">
        <f>IFERROR(__xludf.DUMMYFUNCTION("""COMPUTED_VALUE"""),"p_c5acfc5fb79396c6bb504cb9ebd682728cea0bb9@inbound.aiesec.org")</f>
        <v>p_c5acfc5fb79396c6bb504cb9ebd682728cea0bb9@inbound.aiesec.org</v>
      </c>
      <c r="F875" s="43">
        <f>IFERROR(__xludf.DUMMYFUNCTION("""COMPUTED_VALUE"""),5.309453954E9)</f>
        <v>5309453954</v>
      </c>
      <c r="G875" s="43" t="str">
        <f>IFERROR(__xludf.DUMMYFUNCTION("""COMPUTED_VALUE"""),"Turkey")</f>
        <v>Turkey</v>
      </c>
      <c r="H875" s="43" t="str">
        <f>IFERROR(__xludf.DUMMYFUNCTION("""COMPUTED_VALUE"""),"DENIZLI")</f>
        <v>DENIZLI</v>
      </c>
      <c r="I875" s="43" t="str">
        <f>IFERROR(__xludf.DUMMYFUNCTION("""COMPUTED_VALUE"""),"Romania")</f>
        <v>Romania</v>
      </c>
      <c r="J875" s="43" t="str">
        <f>IFERROR(__xludf.DUMMYFUNCTION("""COMPUTED_VALUE"""),"GALATI")</f>
        <v>GALATI</v>
      </c>
      <c r="K875" s="44" t="str">
        <f>IFERROR(__xludf.DUMMYFUNCTION("""COMPUTED_VALUE"""),"https://expa.aiesec.org/opportunities/1295749")</f>
        <v>https://expa.aiesec.org/opportunities/1295749</v>
      </c>
      <c r="L875" s="43" t="str">
        <f>IFERROR(__xludf.DUMMYFUNCTION("""COMPUTED_VALUE"""),"GV")</f>
        <v>GV</v>
      </c>
      <c r="M875" s="43" t="str">
        <f>IFERROR(__xludf.DUMMYFUNCTION("""COMPUTED_VALUE"""),"short")</f>
        <v>short</v>
      </c>
      <c r="N875" s="45">
        <f>IFERROR(__xludf.DUMMYFUNCTION("""COMPUTED_VALUE"""),45104.0)</f>
        <v>45104</v>
      </c>
      <c r="O875" s="45">
        <f>IFERROR(__xludf.DUMMYFUNCTION("""COMPUTED_VALUE"""),45139.0)</f>
        <v>45139</v>
      </c>
      <c r="P875" s="45">
        <f>IFERROR(__xludf.DUMMYFUNCTION("""COMPUTED_VALUE"""),45181.0)</f>
        <v>45181</v>
      </c>
      <c r="Q875" s="45">
        <f>IFERROR(__xludf.DUMMYFUNCTION("""COMPUTED_VALUE"""),45138.0)</f>
        <v>45138</v>
      </c>
      <c r="R875" s="45">
        <f>IFERROR(__xludf.DUMMYFUNCTION("""COMPUTED_VALUE"""),45181.0)</f>
        <v>45181</v>
      </c>
      <c r="S875" s="43"/>
      <c r="T875" s="43"/>
      <c r="U875" s="43" t="str">
        <f>IFERROR(__xludf.DUMMYFUNCTION("""COMPUTED_VALUE"""),"Green Leaders")</f>
        <v>Green Leaders</v>
      </c>
      <c r="V875" s="43" t="str">
        <f>IFERROR(__xludf.DUMMYFUNCTION("""COMPUTED_VALUE"""),"DENIZLI")</f>
        <v>DENIZLI</v>
      </c>
      <c r="W875" s="43" t="str">
        <f>IFERROR(__xludf.DUMMYFUNCTION("""COMPUTED_VALUE"""),"2023-06-22T09:21:48Z")</f>
        <v>2023-06-22T09:21:48Z</v>
      </c>
      <c r="X875" s="43"/>
      <c r="Y875" s="43"/>
      <c r="Z875" s="43"/>
    </row>
    <row r="876" hidden="1">
      <c r="A876" s="43" t="str">
        <f>IFERROR(__xludf.DUMMYFUNCTION("""COMPUTED_VALUE"""),"5275714_1294842")</f>
        <v>5275714_1294842</v>
      </c>
      <c r="B876" s="43" t="str">
        <f>IFERROR(__xludf.DUMMYFUNCTION("""COMPUTED_VALUE"""),"Fadimenur İşbilen")</f>
        <v>Fadimenur İşbilen</v>
      </c>
      <c r="C876" s="43" t="str">
        <f>IFERROR(__xludf.DUMMYFUNCTION("""COMPUTED_VALUE"""),"completed")</f>
        <v>completed</v>
      </c>
      <c r="D876" s="43" t="str">
        <f>IFERROR(__xludf.DUMMYFUNCTION("""COMPUTED_VALUE"""),"No")</f>
        <v>No</v>
      </c>
      <c r="E876" s="43" t="str">
        <f>IFERROR(__xludf.DUMMYFUNCTION("""COMPUTED_VALUE"""),"p_91abc1c6b409f2b27390655a3b6ee8cde982ec71@inbound.aiesec.org")</f>
        <v>p_91abc1c6b409f2b27390655a3b6ee8cde982ec71@inbound.aiesec.org</v>
      </c>
      <c r="F876" s="43">
        <f>IFERROR(__xludf.DUMMYFUNCTION("""COMPUTED_VALUE"""),5.302067795E9)</f>
        <v>5302067795</v>
      </c>
      <c r="G876" s="43" t="str">
        <f>IFERROR(__xludf.DUMMYFUNCTION("""COMPUTED_VALUE"""),"Turkey")</f>
        <v>Turkey</v>
      </c>
      <c r="H876" s="43" t="str">
        <f>IFERROR(__xludf.DUMMYFUNCTION("""COMPUTED_VALUE"""),"ANTALYA")</f>
        <v>ANTALYA</v>
      </c>
      <c r="I876" s="43" t="str">
        <f>IFERROR(__xludf.DUMMYFUNCTION("""COMPUTED_VALUE"""),"Egypt")</f>
        <v>Egypt</v>
      </c>
      <c r="J876" s="43" t="str">
        <f>IFERROR(__xludf.DUMMYFUNCTION("""COMPUTED_VALUE"""),"GUC")</f>
        <v>GUC</v>
      </c>
      <c r="K876" s="44" t="str">
        <f>IFERROR(__xludf.DUMMYFUNCTION("""COMPUTED_VALUE"""),"https://expa.aiesec.org/opportunities/1294842")</f>
        <v>https://expa.aiesec.org/opportunities/1294842</v>
      </c>
      <c r="L876" s="43" t="str">
        <f>IFERROR(__xludf.DUMMYFUNCTION("""COMPUTED_VALUE"""),"GV")</f>
        <v>GV</v>
      </c>
      <c r="M876" s="43" t="str">
        <f>IFERROR(__xludf.DUMMYFUNCTION("""COMPUTED_VALUE"""),"short")</f>
        <v>short</v>
      </c>
      <c r="N876" s="45">
        <f>IFERROR(__xludf.DUMMYFUNCTION("""COMPUTED_VALUE"""),45104.0)</f>
        <v>45104</v>
      </c>
      <c r="O876" s="45">
        <f>IFERROR(__xludf.DUMMYFUNCTION("""COMPUTED_VALUE"""),45152.0)</f>
        <v>45152</v>
      </c>
      <c r="P876" s="45">
        <f>IFERROR(__xludf.DUMMYFUNCTION("""COMPUTED_VALUE"""),45194.0)</f>
        <v>45194</v>
      </c>
      <c r="Q876" s="45">
        <f>IFERROR(__xludf.DUMMYFUNCTION("""COMPUTED_VALUE"""),45153.0)</f>
        <v>45153</v>
      </c>
      <c r="R876" s="45">
        <f>IFERROR(__xludf.DUMMYFUNCTION("""COMPUTED_VALUE"""),45194.0)</f>
        <v>45194</v>
      </c>
      <c r="S876" s="43"/>
      <c r="T876" s="43"/>
      <c r="U876" s="43" t="str">
        <f>IFERROR(__xludf.DUMMYFUNCTION("""COMPUTED_VALUE"""),"Raise Your Voice")</f>
        <v>Raise Your Voice</v>
      </c>
      <c r="V876" s="43" t="str">
        <f>IFERROR(__xludf.DUMMYFUNCTION("""COMPUTED_VALUE"""),"ANTALYA")</f>
        <v>ANTALYA</v>
      </c>
      <c r="W876" s="43" t="str">
        <f>IFERROR(__xludf.DUMMYFUNCTION("""COMPUTED_VALUE"""),"2023-06-15T15:11:54Z")</f>
        <v>2023-06-15T15:11:54Z</v>
      </c>
      <c r="X876" s="43"/>
      <c r="Y876" s="43"/>
      <c r="Z876" s="43"/>
    </row>
    <row r="877" hidden="1">
      <c r="A877" s="43" t="str">
        <f>IFERROR(__xludf.DUMMYFUNCTION("""COMPUTED_VALUE"""),"5279970_1288609")</f>
        <v>5279970_1288609</v>
      </c>
      <c r="B877" s="43" t="str">
        <f>IFERROR(__xludf.DUMMYFUNCTION("""COMPUTED_VALUE"""),"Eren Esmer")</f>
        <v>Eren Esmer</v>
      </c>
      <c r="C877" s="43" t="str">
        <f>IFERROR(__xludf.DUMMYFUNCTION("""COMPUTED_VALUE"""),"completed")</f>
        <v>completed</v>
      </c>
      <c r="D877" s="43" t="str">
        <f>IFERROR(__xludf.DUMMYFUNCTION("""COMPUTED_VALUE"""),"No")</f>
        <v>No</v>
      </c>
      <c r="E877" s="43" t="str">
        <f>IFERROR(__xludf.DUMMYFUNCTION("""COMPUTED_VALUE"""),"p_0caf532c18a1b2c4a81582e603b030bde3b56366@inbound.aiesec.org")</f>
        <v>p_0caf532c18a1b2c4a81582e603b030bde3b56366@inbound.aiesec.org</v>
      </c>
      <c r="F877" s="43"/>
      <c r="G877" s="43" t="str">
        <f>IFERROR(__xludf.DUMMYFUNCTION("""COMPUTED_VALUE"""),"Turkey")</f>
        <v>Turkey</v>
      </c>
      <c r="H877" s="43" t="str">
        <f>IFERROR(__xludf.DUMMYFUNCTION("""COMPUTED_VALUE"""),"ISTANBUL WEST")</f>
        <v>ISTANBUL WEST</v>
      </c>
      <c r="I877" s="43" t="str">
        <f>IFERROR(__xludf.DUMMYFUNCTION("""COMPUTED_VALUE"""),"Egypt")</f>
        <v>Egypt</v>
      </c>
      <c r="J877" s="43" t="str">
        <f>IFERROR(__xludf.DUMMYFUNCTION("""COMPUTED_VALUE"""),"Tanta")</f>
        <v>Tanta</v>
      </c>
      <c r="K877" s="44" t="str">
        <f>IFERROR(__xludf.DUMMYFUNCTION("""COMPUTED_VALUE"""),"https://expa.aiesec.org/opportunities/1288609")</f>
        <v>https://expa.aiesec.org/opportunities/1288609</v>
      </c>
      <c r="L877" s="43" t="str">
        <f>IFERROR(__xludf.DUMMYFUNCTION("""COMPUTED_VALUE"""),"GV")</f>
        <v>GV</v>
      </c>
      <c r="M877" s="43" t="str">
        <f>IFERROR(__xludf.DUMMYFUNCTION("""COMPUTED_VALUE"""),"short")</f>
        <v>short</v>
      </c>
      <c r="N877" s="45">
        <f>IFERROR(__xludf.DUMMYFUNCTION("""COMPUTED_VALUE"""),45105.0)</f>
        <v>45105</v>
      </c>
      <c r="O877" s="45">
        <f>IFERROR(__xludf.DUMMYFUNCTION("""COMPUTED_VALUE"""),45108.0)</f>
        <v>45108</v>
      </c>
      <c r="P877" s="45">
        <f>IFERROR(__xludf.DUMMYFUNCTION("""COMPUTED_VALUE"""),45150.0)</f>
        <v>45150</v>
      </c>
      <c r="Q877" s="45">
        <f>IFERROR(__xludf.DUMMYFUNCTION("""COMPUTED_VALUE"""),45109.0)</f>
        <v>45109</v>
      </c>
      <c r="R877" s="45">
        <f>IFERROR(__xludf.DUMMYFUNCTION("""COMPUTED_VALUE"""),45150.0)</f>
        <v>45150</v>
      </c>
      <c r="S877" s="43"/>
      <c r="T877" s="43"/>
      <c r="U877" s="43" t="str">
        <f>IFERROR(__xludf.DUMMYFUNCTION("""COMPUTED_VALUE"""),"On The Map")</f>
        <v>On The Map</v>
      </c>
      <c r="V877" s="43" t="str">
        <f>IFERROR(__xludf.DUMMYFUNCTION("""COMPUTED_VALUE"""),"-")</f>
        <v>-</v>
      </c>
      <c r="W877" s="43" t="str">
        <f>IFERROR(__xludf.DUMMYFUNCTION("""COMPUTED_VALUE"""),"2023-06-27T20:21:25Z")</f>
        <v>2023-06-27T20:21:25Z</v>
      </c>
      <c r="X877" s="43"/>
      <c r="Y877" s="43"/>
      <c r="Z877" s="43"/>
    </row>
    <row r="878" hidden="1">
      <c r="A878" s="43" t="str">
        <f>IFERROR(__xludf.DUMMYFUNCTION("""COMPUTED_VALUE"""),"5273376_1295232")</f>
        <v>5273376_1295232</v>
      </c>
      <c r="B878" s="43" t="str">
        <f>IFERROR(__xludf.DUMMYFUNCTION("""COMPUTED_VALUE"""),"Arya Şeyma Erkınay")</f>
        <v>Arya Şeyma Erkınay</v>
      </c>
      <c r="C878" s="43" t="str">
        <f>IFERROR(__xludf.DUMMYFUNCTION("""COMPUTED_VALUE"""),"completed")</f>
        <v>completed</v>
      </c>
      <c r="D878" s="43" t="str">
        <f>IFERROR(__xludf.DUMMYFUNCTION("""COMPUTED_VALUE"""),"No")</f>
        <v>No</v>
      </c>
      <c r="E878" s="43" t="str">
        <f>IFERROR(__xludf.DUMMYFUNCTION("""COMPUTED_VALUE"""),"p_d95887de019654ce9a37c03034eb037176ccf28d@inbound.aiesec.org")</f>
        <v>p_d95887de019654ce9a37c03034eb037176ccf28d@inbound.aiesec.org</v>
      </c>
      <c r="F878" s="43">
        <f>IFERROR(__xludf.DUMMYFUNCTION("""COMPUTED_VALUE"""),5.455729828E9)</f>
        <v>5455729828</v>
      </c>
      <c r="G878" s="43" t="str">
        <f>IFERROR(__xludf.DUMMYFUNCTION("""COMPUTED_VALUE"""),"Turkey")</f>
        <v>Turkey</v>
      </c>
      <c r="H878" s="43" t="str">
        <f>IFERROR(__xludf.DUMMYFUNCTION("""COMPUTED_VALUE"""),"ANKARA")</f>
        <v>ANKARA</v>
      </c>
      <c r="I878" s="43" t="str">
        <f>IFERROR(__xludf.DUMMYFUNCTION("""COMPUTED_VALUE"""),"Italy")</f>
        <v>Italy</v>
      </c>
      <c r="J878" s="43" t="str">
        <f>IFERROR(__xludf.DUMMYFUNCTION("""COMPUTED_VALUE"""),"Pavia")</f>
        <v>Pavia</v>
      </c>
      <c r="K878" s="44" t="str">
        <f>IFERROR(__xludf.DUMMYFUNCTION("""COMPUTED_VALUE"""),"https://expa.aiesec.org/opportunities/1295232")</f>
        <v>https://expa.aiesec.org/opportunities/1295232</v>
      </c>
      <c r="L878" s="43" t="str">
        <f>IFERROR(__xludf.DUMMYFUNCTION("""COMPUTED_VALUE"""),"GV")</f>
        <v>GV</v>
      </c>
      <c r="M878" s="43" t="str">
        <f>IFERROR(__xludf.DUMMYFUNCTION("""COMPUTED_VALUE"""),"short")</f>
        <v>short</v>
      </c>
      <c r="N878" s="45">
        <f>IFERROR(__xludf.DUMMYFUNCTION("""COMPUTED_VALUE"""),45105.0)</f>
        <v>45105</v>
      </c>
      <c r="O878" s="45">
        <f>IFERROR(__xludf.DUMMYFUNCTION("""COMPUTED_VALUE"""),45207.0)</f>
        <v>45207</v>
      </c>
      <c r="P878" s="45">
        <f>IFERROR(__xludf.DUMMYFUNCTION("""COMPUTED_VALUE"""),45249.0)</f>
        <v>45249</v>
      </c>
      <c r="Q878" s="45">
        <f>IFERROR(__xludf.DUMMYFUNCTION("""COMPUTED_VALUE"""),45208.0)</f>
        <v>45208</v>
      </c>
      <c r="R878" s="45">
        <f>IFERROR(__xludf.DUMMYFUNCTION("""COMPUTED_VALUE"""),45249.0)</f>
        <v>45249</v>
      </c>
      <c r="S878" s="43"/>
      <c r="T878" s="43"/>
      <c r="U878" s="43" t="str">
        <f>IFERROR(__xludf.DUMMYFUNCTION("""COMPUTED_VALUE"""),"Youth 4 Impact")</f>
        <v>Youth 4 Impact</v>
      </c>
      <c r="V878" s="43" t="str">
        <f>IFERROR(__xludf.DUMMYFUNCTION("""COMPUTED_VALUE"""),"ANKARA")</f>
        <v>ANKARA</v>
      </c>
      <c r="W878" s="43" t="str">
        <f>IFERROR(__xludf.DUMMYFUNCTION("""COMPUTED_VALUE"""),"2023-06-09T15:39:11Z")</f>
        <v>2023-06-09T15:39:11Z</v>
      </c>
      <c r="X878" s="43"/>
      <c r="Y878" s="43"/>
      <c r="Z878" s="43"/>
    </row>
    <row r="879" hidden="1">
      <c r="A879" s="43" t="str">
        <f>IFERROR(__xludf.DUMMYFUNCTION("""COMPUTED_VALUE"""),"5277517_1295232")</f>
        <v>5277517_1295232</v>
      </c>
      <c r="B879" s="43" t="str">
        <f>IFERROR(__xludf.DUMMYFUNCTION("""COMPUTED_VALUE"""),"Sait Alperen TÜFEKÇİ")</f>
        <v>Sait Alperen TÜFEKÇİ</v>
      </c>
      <c r="C879" s="43" t="str">
        <f>IFERROR(__xludf.DUMMYFUNCTION("""COMPUTED_VALUE"""),"completed")</f>
        <v>completed</v>
      </c>
      <c r="D879" s="43" t="str">
        <f>IFERROR(__xludf.DUMMYFUNCTION("""COMPUTED_VALUE"""),"No")</f>
        <v>No</v>
      </c>
      <c r="E879" s="43" t="str">
        <f>IFERROR(__xludf.DUMMYFUNCTION("""COMPUTED_VALUE"""),"p_dd1d11f313e496c4f3809d8a02f96bb5385b60ab@inbound.aiesec.org")</f>
        <v>p_dd1d11f313e496c4f3809d8a02f96bb5385b60ab@inbound.aiesec.org</v>
      </c>
      <c r="F879" s="43">
        <f>IFERROR(__xludf.DUMMYFUNCTION("""COMPUTED_VALUE"""),5.383379915E9)</f>
        <v>5383379915</v>
      </c>
      <c r="G879" s="43" t="str">
        <f>IFERROR(__xludf.DUMMYFUNCTION("""COMPUTED_VALUE"""),"Turkey")</f>
        <v>Turkey</v>
      </c>
      <c r="H879" s="43" t="str">
        <f>IFERROR(__xludf.DUMMYFUNCTION("""COMPUTED_VALUE"""),"ISTANBUL")</f>
        <v>ISTANBUL</v>
      </c>
      <c r="I879" s="43" t="str">
        <f>IFERROR(__xludf.DUMMYFUNCTION("""COMPUTED_VALUE"""),"Italy")</f>
        <v>Italy</v>
      </c>
      <c r="J879" s="43" t="str">
        <f>IFERROR(__xludf.DUMMYFUNCTION("""COMPUTED_VALUE"""),"Pavia")</f>
        <v>Pavia</v>
      </c>
      <c r="K879" s="44" t="str">
        <f>IFERROR(__xludf.DUMMYFUNCTION("""COMPUTED_VALUE"""),"https://expa.aiesec.org/opportunities/1295232")</f>
        <v>https://expa.aiesec.org/opportunities/1295232</v>
      </c>
      <c r="L879" s="43" t="str">
        <f>IFERROR(__xludf.DUMMYFUNCTION("""COMPUTED_VALUE"""),"GV")</f>
        <v>GV</v>
      </c>
      <c r="M879" s="43" t="str">
        <f>IFERROR(__xludf.DUMMYFUNCTION("""COMPUTED_VALUE"""),"short")</f>
        <v>short</v>
      </c>
      <c r="N879" s="45">
        <f>IFERROR(__xludf.DUMMYFUNCTION("""COMPUTED_VALUE"""),45106.0)</f>
        <v>45106</v>
      </c>
      <c r="O879" s="45">
        <f>IFERROR(__xludf.DUMMYFUNCTION("""COMPUTED_VALUE"""),45207.0)</f>
        <v>45207</v>
      </c>
      <c r="P879" s="45">
        <f>IFERROR(__xludf.DUMMYFUNCTION("""COMPUTED_VALUE"""),45249.0)</f>
        <v>45249</v>
      </c>
      <c r="Q879" s="45">
        <f>IFERROR(__xludf.DUMMYFUNCTION("""COMPUTED_VALUE"""),45207.0)</f>
        <v>45207</v>
      </c>
      <c r="R879" s="45">
        <f>IFERROR(__xludf.DUMMYFUNCTION("""COMPUTED_VALUE"""),45249.0)</f>
        <v>45249</v>
      </c>
      <c r="S879" s="43"/>
      <c r="T879" s="43"/>
      <c r="U879" s="43" t="str">
        <f>IFERROR(__xludf.DUMMYFUNCTION("""COMPUTED_VALUE"""),"Youth 4 Impact")</f>
        <v>Youth 4 Impact</v>
      </c>
      <c r="V879" s="43" t="str">
        <f>IFERROR(__xludf.DUMMYFUNCTION("""COMPUTED_VALUE"""),"ISTANBUL - BEYOGLU")</f>
        <v>ISTANBUL - BEYOGLU</v>
      </c>
      <c r="W879" s="43" t="str">
        <f>IFERROR(__xludf.DUMMYFUNCTION("""COMPUTED_VALUE"""),"2023-06-20T13:06:48Z")</f>
        <v>2023-06-20T13:06:48Z</v>
      </c>
      <c r="X879" s="43"/>
      <c r="Y879" s="43"/>
      <c r="Z879" s="43"/>
    </row>
    <row r="880" hidden="1">
      <c r="A880" s="43" t="str">
        <f>IFERROR(__xludf.DUMMYFUNCTION("""COMPUTED_VALUE"""),"5261970_1294487")</f>
        <v>5261970_1294487</v>
      </c>
      <c r="B880" s="43" t="str">
        <f>IFERROR(__xludf.DUMMYFUNCTION("""COMPUTED_VALUE"""),"Dilara Erdem")</f>
        <v>Dilara Erdem</v>
      </c>
      <c r="C880" s="43" t="str">
        <f>IFERROR(__xludf.DUMMYFUNCTION("""COMPUTED_VALUE"""),"completed")</f>
        <v>completed</v>
      </c>
      <c r="D880" s="43" t="str">
        <f>IFERROR(__xludf.DUMMYFUNCTION("""COMPUTED_VALUE"""),"No")</f>
        <v>No</v>
      </c>
      <c r="E880" s="43" t="str">
        <f>IFERROR(__xludf.DUMMYFUNCTION("""COMPUTED_VALUE"""),"p_264da3e785ac1c16f2a01add82d3178c6c6522ed@inbound.aiesec.org")</f>
        <v>p_264da3e785ac1c16f2a01add82d3178c6c6522ed@inbound.aiesec.org</v>
      </c>
      <c r="F880" s="43">
        <f>IFERROR(__xludf.DUMMYFUNCTION("""COMPUTED_VALUE"""),5.367129156E9)</f>
        <v>5367129156</v>
      </c>
      <c r="G880" s="43" t="str">
        <f>IFERROR(__xludf.DUMMYFUNCTION("""COMPUTED_VALUE"""),"Turkey")</f>
        <v>Turkey</v>
      </c>
      <c r="H880" s="43" t="str">
        <f>IFERROR(__xludf.DUMMYFUNCTION("""COMPUTED_VALUE"""),"ISTANBUL")</f>
        <v>ISTANBUL</v>
      </c>
      <c r="I880" s="43" t="str">
        <f>IFERROR(__xludf.DUMMYFUNCTION("""COMPUTED_VALUE"""),"Egypt")</f>
        <v>Egypt</v>
      </c>
      <c r="J880" s="43" t="str">
        <f>IFERROR(__xludf.DUMMYFUNCTION("""COMPUTED_VALUE"""),"Ain Shams University")</f>
        <v>Ain Shams University</v>
      </c>
      <c r="K880" s="44" t="str">
        <f>IFERROR(__xludf.DUMMYFUNCTION("""COMPUTED_VALUE"""),"https://expa.aiesec.org/opportunities/1294487")</f>
        <v>https://expa.aiesec.org/opportunities/1294487</v>
      </c>
      <c r="L880" s="43" t="str">
        <f>IFERROR(__xludf.DUMMYFUNCTION("""COMPUTED_VALUE"""),"GV")</f>
        <v>GV</v>
      </c>
      <c r="M880" s="43" t="str">
        <f>IFERROR(__xludf.DUMMYFUNCTION("""COMPUTED_VALUE"""),"short")</f>
        <v>short</v>
      </c>
      <c r="N880" s="45">
        <f>IFERROR(__xludf.DUMMYFUNCTION("""COMPUTED_VALUE"""),45107.0)</f>
        <v>45107</v>
      </c>
      <c r="O880" s="45">
        <f>IFERROR(__xludf.DUMMYFUNCTION("""COMPUTED_VALUE"""),45108.0)</f>
        <v>45108</v>
      </c>
      <c r="P880" s="45">
        <f>IFERROR(__xludf.DUMMYFUNCTION("""COMPUTED_VALUE"""),45150.0)</f>
        <v>45150</v>
      </c>
      <c r="Q880" s="45">
        <f>IFERROR(__xludf.DUMMYFUNCTION("""COMPUTED_VALUE"""),45109.0)</f>
        <v>45109</v>
      </c>
      <c r="R880" s="45">
        <f>IFERROR(__xludf.DUMMYFUNCTION("""COMPUTED_VALUE"""),45151.0)</f>
        <v>45151</v>
      </c>
      <c r="S880" s="43"/>
      <c r="T880" s="43"/>
      <c r="U880" s="43" t="str">
        <f>IFERROR(__xludf.DUMMYFUNCTION("""COMPUTED_VALUE"""),"Global Classroom")</f>
        <v>Global Classroom</v>
      </c>
      <c r="V880" s="43" t="str">
        <f>IFERROR(__xludf.DUMMYFUNCTION("""COMPUTED_VALUE"""),"ISTANBUL - BEYOGLU")</f>
        <v>ISTANBUL - BEYOGLU</v>
      </c>
      <c r="W880" s="43" t="str">
        <f>IFERROR(__xludf.DUMMYFUNCTION("""COMPUTED_VALUE"""),"2023-05-16T15:33:07Z")</f>
        <v>2023-05-16T15:33:07Z</v>
      </c>
      <c r="X880" s="43"/>
      <c r="Y880" s="43"/>
      <c r="Z880" s="43"/>
    </row>
    <row r="881" hidden="1">
      <c r="A881" s="43" t="str">
        <f>IFERROR(__xludf.DUMMYFUNCTION("""COMPUTED_VALUE"""),"5280375_1288609")</f>
        <v>5280375_1288609</v>
      </c>
      <c r="B881" s="43" t="str">
        <f>IFERROR(__xludf.DUMMYFUNCTION("""COMPUTED_VALUE"""),"Fatima Şeyh")</f>
        <v>Fatima Şeyh</v>
      </c>
      <c r="C881" s="43" t="str">
        <f>IFERROR(__xludf.DUMMYFUNCTION("""COMPUTED_VALUE"""),"completed")</f>
        <v>completed</v>
      </c>
      <c r="D881" s="43" t="str">
        <f>IFERROR(__xludf.DUMMYFUNCTION("""COMPUTED_VALUE"""),"No")</f>
        <v>No</v>
      </c>
      <c r="E881" s="43" t="str">
        <f>IFERROR(__xludf.DUMMYFUNCTION("""COMPUTED_VALUE"""),"p_9ea15a14b6a953dc5bf24d292dbd07fd0d155886@inbound.aiesec.org")</f>
        <v>p_9ea15a14b6a953dc5bf24d292dbd07fd0d155886@inbound.aiesec.org</v>
      </c>
      <c r="F881" s="43"/>
      <c r="G881" s="43" t="str">
        <f>IFERROR(__xludf.DUMMYFUNCTION("""COMPUTED_VALUE"""),"Turkey")</f>
        <v>Turkey</v>
      </c>
      <c r="H881" s="43" t="str">
        <f>IFERROR(__xludf.DUMMYFUNCTION("""COMPUTED_VALUE"""),"ISTANBUL WEST")</f>
        <v>ISTANBUL WEST</v>
      </c>
      <c r="I881" s="43" t="str">
        <f>IFERROR(__xludf.DUMMYFUNCTION("""COMPUTED_VALUE"""),"Egypt")</f>
        <v>Egypt</v>
      </c>
      <c r="J881" s="43" t="str">
        <f>IFERROR(__xludf.DUMMYFUNCTION("""COMPUTED_VALUE"""),"Tanta")</f>
        <v>Tanta</v>
      </c>
      <c r="K881" s="44" t="str">
        <f>IFERROR(__xludf.DUMMYFUNCTION("""COMPUTED_VALUE"""),"https://expa.aiesec.org/opportunities/1288609")</f>
        <v>https://expa.aiesec.org/opportunities/1288609</v>
      </c>
      <c r="L881" s="43" t="str">
        <f>IFERROR(__xludf.DUMMYFUNCTION("""COMPUTED_VALUE"""),"GV")</f>
        <v>GV</v>
      </c>
      <c r="M881" s="43" t="str">
        <f>IFERROR(__xludf.DUMMYFUNCTION("""COMPUTED_VALUE"""),"short")</f>
        <v>short</v>
      </c>
      <c r="N881" s="45">
        <f>IFERROR(__xludf.DUMMYFUNCTION("""COMPUTED_VALUE"""),45107.0)</f>
        <v>45107</v>
      </c>
      <c r="O881" s="45">
        <f>IFERROR(__xludf.DUMMYFUNCTION("""COMPUTED_VALUE"""),45108.0)</f>
        <v>45108</v>
      </c>
      <c r="P881" s="45">
        <f>IFERROR(__xludf.DUMMYFUNCTION("""COMPUTED_VALUE"""),45150.0)</f>
        <v>45150</v>
      </c>
      <c r="Q881" s="45">
        <f>IFERROR(__xludf.DUMMYFUNCTION("""COMPUTED_VALUE"""),45123.0)</f>
        <v>45123</v>
      </c>
      <c r="R881" s="45">
        <f>IFERROR(__xludf.DUMMYFUNCTION("""COMPUTED_VALUE"""),45164.0)</f>
        <v>45164</v>
      </c>
      <c r="S881" s="43"/>
      <c r="T881" s="43"/>
      <c r="U881" s="43" t="str">
        <f>IFERROR(__xludf.DUMMYFUNCTION("""COMPUTED_VALUE"""),"On The Map")</f>
        <v>On The Map</v>
      </c>
      <c r="V881" s="43" t="str">
        <f>IFERROR(__xludf.DUMMYFUNCTION("""COMPUTED_VALUE"""),"ISTANBUL - BAKIRKOY")</f>
        <v>ISTANBUL - BAKIRKOY</v>
      </c>
      <c r="W881" s="43" t="str">
        <f>IFERROR(__xludf.DUMMYFUNCTION("""COMPUTED_VALUE"""),"2023-06-29T12:11:18Z")</f>
        <v>2023-06-29T12:11:18Z</v>
      </c>
      <c r="X881" s="43"/>
      <c r="Y881" s="43"/>
      <c r="Z881" s="43"/>
    </row>
    <row r="882" hidden="1">
      <c r="A882" s="43" t="str">
        <f>IFERROR(__xludf.DUMMYFUNCTION("""COMPUTED_VALUE"""),"5254464_1294862")</f>
        <v>5254464_1294862</v>
      </c>
      <c r="B882" s="43" t="str">
        <f>IFERROR(__xludf.DUMMYFUNCTION("""COMPUTED_VALUE"""),"Kıymet Nur Çelik")</f>
        <v>Kıymet Nur Çelik</v>
      </c>
      <c r="C882" s="43" t="str">
        <f>IFERROR(__xludf.DUMMYFUNCTION("""COMPUTED_VALUE"""),"completed")</f>
        <v>completed</v>
      </c>
      <c r="D882" s="43" t="str">
        <f>IFERROR(__xludf.DUMMYFUNCTION("""COMPUTED_VALUE"""),"No")</f>
        <v>No</v>
      </c>
      <c r="E882" s="43" t="str">
        <f>IFERROR(__xludf.DUMMYFUNCTION("""COMPUTED_VALUE"""),"p_032e0ea3670d2028be308ba30c89b733faf44c3f@inbound.aiesec.org")</f>
        <v>p_032e0ea3670d2028be308ba30c89b733faf44c3f@inbound.aiesec.org</v>
      </c>
      <c r="F882" s="43"/>
      <c r="G882" s="43" t="str">
        <f>IFERROR(__xludf.DUMMYFUNCTION("""COMPUTED_VALUE"""),"Turkey")</f>
        <v>Turkey</v>
      </c>
      <c r="H882" s="43" t="str">
        <f>IFERROR(__xludf.DUMMYFUNCTION("""COMPUTED_VALUE"""),"KOCAELI")</f>
        <v>KOCAELI</v>
      </c>
      <c r="I882" s="43" t="str">
        <f>IFERROR(__xludf.DUMMYFUNCTION("""COMPUTED_VALUE"""),"Egypt")</f>
        <v>Egypt</v>
      </c>
      <c r="J882" s="43" t="str">
        <f>IFERROR(__xludf.DUMMYFUNCTION("""COMPUTED_VALUE"""),"Ain Shams University")</f>
        <v>Ain Shams University</v>
      </c>
      <c r="K882" s="44" t="str">
        <f>IFERROR(__xludf.DUMMYFUNCTION("""COMPUTED_VALUE"""),"https://expa.aiesec.org/opportunities/1294862")</f>
        <v>https://expa.aiesec.org/opportunities/1294862</v>
      </c>
      <c r="L882" s="43" t="str">
        <f>IFERROR(__xludf.DUMMYFUNCTION("""COMPUTED_VALUE"""),"GV")</f>
        <v>GV</v>
      </c>
      <c r="M882" s="43" t="str">
        <f>IFERROR(__xludf.DUMMYFUNCTION("""COMPUTED_VALUE"""),"short")</f>
        <v>short</v>
      </c>
      <c r="N882" s="45">
        <f>IFERROR(__xludf.DUMMYFUNCTION("""COMPUTED_VALUE"""),45108.0)</f>
        <v>45108</v>
      </c>
      <c r="O882" s="45">
        <f>IFERROR(__xludf.DUMMYFUNCTION("""COMPUTED_VALUE"""),45153.0)</f>
        <v>45153</v>
      </c>
      <c r="P882" s="45">
        <f>IFERROR(__xludf.DUMMYFUNCTION("""COMPUTED_VALUE"""),45195.0)</f>
        <v>45195</v>
      </c>
      <c r="Q882" s="45">
        <f>IFERROR(__xludf.DUMMYFUNCTION("""COMPUTED_VALUE"""),45152.0)</f>
        <v>45152</v>
      </c>
      <c r="R882" s="45">
        <f>IFERROR(__xludf.DUMMYFUNCTION("""COMPUTED_VALUE"""),45196.0)</f>
        <v>45196</v>
      </c>
      <c r="S882" s="43"/>
      <c r="T882" s="43"/>
      <c r="U882" s="43" t="str">
        <f>IFERROR(__xludf.DUMMYFUNCTION("""COMPUTED_VALUE"""),"Global Classroom")</f>
        <v>Global Classroom</v>
      </c>
      <c r="V882" s="43" t="str">
        <f>IFERROR(__xludf.DUMMYFUNCTION("""COMPUTED_VALUE"""),"-")</f>
        <v>-</v>
      </c>
      <c r="W882" s="43" t="str">
        <f>IFERROR(__xludf.DUMMYFUNCTION("""COMPUTED_VALUE"""),"2023-05-02T17:45:29Z")</f>
        <v>2023-05-02T17:45:29Z</v>
      </c>
      <c r="X882" s="43"/>
      <c r="Y882" s="43"/>
      <c r="Z882" s="43"/>
    </row>
    <row r="883" hidden="1">
      <c r="A883" s="43" t="str">
        <f>IFERROR(__xludf.DUMMYFUNCTION("""COMPUTED_VALUE"""),"5278941_1293982")</f>
        <v>5278941_1293982</v>
      </c>
      <c r="B883" s="43" t="str">
        <f>IFERROR(__xludf.DUMMYFUNCTION("""COMPUTED_VALUE"""),"Sibel Canlar")</f>
        <v>Sibel Canlar</v>
      </c>
      <c r="C883" s="43" t="str">
        <f>IFERROR(__xludf.DUMMYFUNCTION("""COMPUTED_VALUE"""),"completed")</f>
        <v>completed</v>
      </c>
      <c r="D883" s="43" t="str">
        <f>IFERROR(__xludf.DUMMYFUNCTION("""COMPUTED_VALUE"""),"No")</f>
        <v>No</v>
      </c>
      <c r="E883" s="43" t="str">
        <f>IFERROR(__xludf.DUMMYFUNCTION("""COMPUTED_VALUE"""),"p_9065a34f4e476bdc3013d0db747eda588412f9f1@inbound.aiesec.org")</f>
        <v>p_9065a34f4e476bdc3013d0db747eda588412f9f1@inbound.aiesec.org</v>
      </c>
      <c r="F883" s="43">
        <f>IFERROR(__xludf.DUMMYFUNCTION("""COMPUTED_VALUE"""),5.424777559E9)</f>
        <v>5424777559</v>
      </c>
      <c r="G883" s="43" t="str">
        <f>IFERROR(__xludf.DUMMYFUNCTION("""COMPUTED_VALUE"""),"Turkey")</f>
        <v>Turkey</v>
      </c>
      <c r="H883" s="43" t="str">
        <f>IFERROR(__xludf.DUMMYFUNCTION("""COMPUTED_VALUE"""),"KOCAELI")</f>
        <v>KOCAELI</v>
      </c>
      <c r="I883" s="43" t="str">
        <f>IFERROR(__xludf.DUMMYFUNCTION("""COMPUTED_VALUE"""),"Tunisia")</f>
        <v>Tunisia</v>
      </c>
      <c r="J883" s="43" t="str">
        <f>IFERROR(__xludf.DUMMYFUNCTION("""COMPUTED_VALUE"""),"BARDO")</f>
        <v>BARDO</v>
      </c>
      <c r="K883" s="44" t="str">
        <f>IFERROR(__xludf.DUMMYFUNCTION("""COMPUTED_VALUE"""),"https://expa.aiesec.org/opportunities/1293982")</f>
        <v>https://expa.aiesec.org/opportunities/1293982</v>
      </c>
      <c r="L883" s="43" t="str">
        <f>IFERROR(__xludf.DUMMYFUNCTION("""COMPUTED_VALUE"""),"GV")</f>
        <v>GV</v>
      </c>
      <c r="M883" s="43" t="str">
        <f>IFERROR(__xludf.DUMMYFUNCTION("""COMPUTED_VALUE"""),"short")</f>
        <v>short</v>
      </c>
      <c r="N883" s="45">
        <f>IFERROR(__xludf.DUMMYFUNCTION("""COMPUTED_VALUE"""),45108.0)</f>
        <v>45108</v>
      </c>
      <c r="O883" s="45">
        <f>IFERROR(__xludf.DUMMYFUNCTION("""COMPUTED_VALUE"""),45117.0)</f>
        <v>45117</v>
      </c>
      <c r="P883" s="45">
        <f>IFERROR(__xludf.DUMMYFUNCTION("""COMPUTED_VALUE"""),45159.0)</f>
        <v>45159</v>
      </c>
      <c r="Q883" s="45">
        <f>IFERROR(__xludf.DUMMYFUNCTION("""COMPUTED_VALUE"""),45117.0)</f>
        <v>45117</v>
      </c>
      <c r="R883" s="45">
        <f>IFERROR(__xludf.DUMMYFUNCTION("""COMPUTED_VALUE"""),45159.0)</f>
        <v>45159</v>
      </c>
      <c r="S883" s="43"/>
      <c r="T883" s="43"/>
      <c r="U883" s="43" t="str">
        <f>IFERROR(__xludf.DUMMYFUNCTION("""COMPUTED_VALUE"""),"Global Classroom")</f>
        <v>Global Classroom</v>
      </c>
      <c r="V883" s="43" t="str">
        <f>IFERROR(__xludf.DUMMYFUNCTION("""COMPUTED_VALUE"""),"TEKIRDAG")</f>
        <v>TEKIRDAG</v>
      </c>
      <c r="W883" s="43" t="str">
        <f>IFERROR(__xludf.DUMMYFUNCTION("""COMPUTED_VALUE"""),"2023-06-24T10:45:40Z")</f>
        <v>2023-06-24T10:45:40Z</v>
      </c>
      <c r="X883" s="43"/>
      <c r="Y883" s="43"/>
      <c r="Z883" s="43"/>
    </row>
    <row r="884" hidden="1">
      <c r="A884" s="43" t="str">
        <f>IFERROR(__xludf.DUMMYFUNCTION("""COMPUTED_VALUE"""),"5280428_1295750")</f>
        <v>5280428_1295750</v>
      </c>
      <c r="B884" s="43" t="str">
        <f>IFERROR(__xludf.DUMMYFUNCTION("""COMPUTED_VALUE"""),"Arben Kılıç")</f>
        <v>Arben Kılıç</v>
      </c>
      <c r="C884" s="43" t="str">
        <f>IFERROR(__xludf.DUMMYFUNCTION("""COMPUTED_VALUE"""),"approved")</f>
        <v>approved</v>
      </c>
      <c r="D884" s="43" t="str">
        <f>IFERROR(__xludf.DUMMYFUNCTION("""COMPUTED_VALUE"""),"No")</f>
        <v>No</v>
      </c>
      <c r="E884" s="43" t="str">
        <f>IFERROR(__xludf.DUMMYFUNCTION("""COMPUTED_VALUE"""),"p_37042eebd77dd051a8074d8613a3e2df52479d97@inbound.aiesec.org")</f>
        <v>p_37042eebd77dd051a8074d8613a3e2df52479d97@inbound.aiesec.org</v>
      </c>
      <c r="F884" s="43">
        <f>IFERROR(__xludf.DUMMYFUNCTION("""COMPUTED_VALUE"""),5.453831928E9)</f>
        <v>5453831928</v>
      </c>
      <c r="G884" s="43" t="str">
        <f>IFERROR(__xludf.DUMMYFUNCTION("""COMPUTED_VALUE"""),"Turkey")</f>
        <v>Turkey</v>
      </c>
      <c r="H884" s="43" t="str">
        <f>IFERROR(__xludf.DUMMYFUNCTION("""COMPUTED_VALUE"""),"ISTANBUL WEST")</f>
        <v>ISTANBUL WEST</v>
      </c>
      <c r="I884" s="43" t="str">
        <f>IFERROR(__xludf.DUMMYFUNCTION("""COMPUTED_VALUE"""),"Romania")</f>
        <v>Romania</v>
      </c>
      <c r="J884" s="43" t="str">
        <f>IFERROR(__xludf.DUMMYFUNCTION("""COMPUTED_VALUE"""),"GALATI")</f>
        <v>GALATI</v>
      </c>
      <c r="K884" s="44" t="str">
        <f>IFERROR(__xludf.DUMMYFUNCTION("""COMPUTED_VALUE"""),"https://expa.aiesec.org/opportunities/1295750")</f>
        <v>https://expa.aiesec.org/opportunities/1295750</v>
      </c>
      <c r="L884" s="43" t="str">
        <f>IFERROR(__xludf.DUMMYFUNCTION("""COMPUTED_VALUE"""),"GV")</f>
        <v>GV</v>
      </c>
      <c r="M884" s="43" t="str">
        <f>IFERROR(__xludf.DUMMYFUNCTION("""COMPUTED_VALUE"""),"short")</f>
        <v>short</v>
      </c>
      <c r="N884" s="45">
        <f>IFERROR(__xludf.DUMMYFUNCTION("""COMPUTED_VALUE"""),45108.0)</f>
        <v>45108</v>
      </c>
      <c r="O884" s="45">
        <f>IFERROR(__xludf.DUMMYFUNCTION("""COMPUTED_VALUE"""),45122.0)</f>
        <v>45122</v>
      </c>
      <c r="P884" s="45">
        <f>IFERROR(__xludf.DUMMYFUNCTION("""COMPUTED_VALUE"""),45164.0)</f>
        <v>45164</v>
      </c>
      <c r="Q884" s="45"/>
      <c r="R884" s="45"/>
      <c r="S884" s="43"/>
      <c r="T884" s="43"/>
      <c r="U884" s="43" t="str">
        <f>IFERROR(__xludf.DUMMYFUNCTION("""COMPUTED_VALUE"""),"Green Leaders")</f>
        <v>Green Leaders</v>
      </c>
      <c r="V884" s="43" t="str">
        <f>IFERROR(__xludf.DUMMYFUNCTION("""COMPUTED_VALUE"""),"ISTANBUL - BAKIRKOY")</f>
        <v>ISTANBUL - BAKIRKOY</v>
      </c>
      <c r="W884" s="43" t="str">
        <f>IFERROR(__xludf.DUMMYFUNCTION("""COMPUTED_VALUE"""),"2023-06-29T14:35:10Z")</f>
        <v>2023-06-29T14:35:10Z</v>
      </c>
      <c r="X884" s="43"/>
      <c r="Y884" s="43"/>
      <c r="Z884" s="43"/>
    </row>
    <row r="885" hidden="1">
      <c r="A885" s="43" t="str">
        <f>IFERROR(__xludf.DUMMYFUNCTION("""COMPUTED_VALUE"""),"5279880_1288419")</f>
        <v>5279880_1288419</v>
      </c>
      <c r="B885" s="43" t="str">
        <f>IFERROR(__xludf.DUMMYFUNCTION("""COMPUTED_VALUE"""),"elif başaran")</f>
        <v>elif başaran</v>
      </c>
      <c r="C885" s="43" t="str">
        <f>IFERROR(__xludf.DUMMYFUNCTION("""COMPUTED_VALUE"""),"completed")</f>
        <v>completed</v>
      </c>
      <c r="D885" s="43" t="str">
        <f>IFERROR(__xludf.DUMMYFUNCTION("""COMPUTED_VALUE"""),"No")</f>
        <v>No</v>
      </c>
      <c r="E885" s="43" t="str">
        <f>IFERROR(__xludf.DUMMYFUNCTION("""COMPUTED_VALUE"""),"p_017d0c5dbcca4057dfc8795dc6c164e4f2bf4857@inbound.aiesec.org")</f>
        <v>p_017d0c5dbcca4057dfc8795dc6c164e4f2bf4857@inbound.aiesec.org</v>
      </c>
      <c r="F885" s="43">
        <f>IFERROR(__xludf.DUMMYFUNCTION("""COMPUTED_VALUE"""),5.344236945E9)</f>
        <v>5344236945</v>
      </c>
      <c r="G885" s="43" t="str">
        <f>IFERROR(__xludf.DUMMYFUNCTION("""COMPUTED_VALUE"""),"Turkey")</f>
        <v>Turkey</v>
      </c>
      <c r="H885" s="43" t="str">
        <f>IFERROR(__xludf.DUMMYFUNCTION("""COMPUTED_VALUE"""),"KOCAELI")</f>
        <v>KOCAELI</v>
      </c>
      <c r="I885" s="43" t="str">
        <f>IFERROR(__xludf.DUMMYFUNCTION("""COMPUTED_VALUE"""),"India")</f>
        <v>India</v>
      </c>
      <c r="J885" s="43" t="str">
        <f>IFERROR(__xludf.DUMMYFUNCTION("""COMPUTED_VALUE"""),"JAIPUR ")</f>
        <v>JAIPUR </v>
      </c>
      <c r="K885" s="44" t="str">
        <f>IFERROR(__xludf.DUMMYFUNCTION("""COMPUTED_VALUE"""),"https://expa.aiesec.org/opportunities/1288419")</f>
        <v>https://expa.aiesec.org/opportunities/1288419</v>
      </c>
      <c r="L885" s="43" t="str">
        <f>IFERROR(__xludf.DUMMYFUNCTION("""COMPUTED_VALUE"""),"GV")</f>
        <v>GV</v>
      </c>
      <c r="M885" s="43" t="str">
        <f>IFERROR(__xludf.DUMMYFUNCTION("""COMPUTED_VALUE"""),"short")</f>
        <v>short</v>
      </c>
      <c r="N885" s="45">
        <f>IFERROR(__xludf.DUMMYFUNCTION("""COMPUTED_VALUE"""),45108.0)</f>
        <v>45108</v>
      </c>
      <c r="O885" s="45">
        <f>IFERROR(__xludf.DUMMYFUNCTION("""COMPUTED_VALUE"""),45171.0)</f>
        <v>45171</v>
      </c>
      <c r="P885" s="45">
        <f>IFERROR(__xludf.DUMMYFUNCTION("""COMPUTED_VALUE"""),45213.0)</f>
        <v>45213</v>
      </c>
      <c r="Q885" s="45">
        <f>IFERROR(__xludf.DUMMYFUNCTION("""COMPUTED_VALUE"""),45172.0)</f>
        <v>45172</v>
      </c>
      <c r="R885" s="45">
        <f>IFERROR(__xludf.DUMMYFUNCTION("""COMPUTED_VALUE"""),45213.0)</f>
        <v>45213</v>
      </c>
      <c r="S885" s="43"/>
      <c r="T885" s="43"/>
      <c r="U885" s="43" t="str">
        <f>IFERROR(__xludf.DUMMYFUNCTION("""COMPUTED_VALUE"""),"On The Map")</f>
        <v>On The Map</v>
      </c>
      <c r="V885" s="43" t="str">
        <f>IFERROR(__xludf.DUMMYFUNCTION("""COMPUTED_VALUE"""),"KOCAELI")</f>
        <v>KOCAELI</v>
      </c>
      <c r="W885" s="43" t="str">
        <f>IFERROR(__xludf.DUMMYFUNCTION("""COMPUTED_VALUE"""),"2023-06-27T13:56:24Z")</f>
        <v>2023-06-27T13:56:24Z</v>
      </c>
      <c r="X885" s="43"/>
      <c r="Y885" s="43"/>
      <c r="Z885" s="43"/>
    </row>
    <row r="886" hidden="1">
      <c r="A886" s="43" t="str">
        <f>IFERROR(__xludf.DUMMYFUNCTION("""COMPUTED_VALUE"""),"5279536_1288419")</f>
        <v>5279536_1288419</v>
      </c>
      <c r="B886" s="43" t="str">
        <f>IFERROR(__xludf.DUMMYFUNCTION("""COMPUTED_VALUE"""),"saliha feyzioğlu")</f>
        <v>saliha feyzioğlu</v>
      </c>
      <c r="C886" s="43" t="str">
        <f>IFERROR(__xludf.DUMMYFUNCTION("""COMPUTED_VALUE"""),"completed")</f>
        <v>completed</v>
      </c>
      <c r="D886" s="43" t="str">
        <f>IFERROR(__xludf.DUMMYFUNCTION("""COMPUTED_VALUE"""),"No")</f>
        <v>No</v>
      </c>
      <c r="E886" s="43" t="str">
        <f>IFERROR(__xludf.DUMMYFUNCTION("""COMPUTED_VALUE"""),"p_76fd07fc018c8ee3e9053bc73453fe379bafceb8@inbound.aiesec.org")</f>
        <v>p_76fd07fc018c8ee3e9053bc73453fe379bafceb8@inbound.aiesec.org</v>
      </c>
      <c r="F886" s="43">
        <f>IFERROR(__xludf.DUMMYFUNCTION("""COMPUTED_VALUE"""),5.374587104E9)</f>
        <v>5374587104</v>
      </c>
      <c r="G886" s="43" t="str">
        <f>IFERROR(__xludf.DUMMYFUNCTION("""COMPUTED_VALUE"""),"Turkey")</f>
        <v>Turkey</v>
      </c>
      <c r="H886" s="43" t="str">
        <f>IFERROR(__xludf.DUMMYFUNCTION("""COMPUTED_VALUE"""),"KOCAELI")</f>
        <v>KOCAELI</v>
      </c>
      <c r="I886" s="43" t="str">
        <f>IFERROR(__xludf.DUMMYFUNCTION("""COMPUTED_VALUE"""),"India")</f>
        <v>India</v>
      </c>
      <c r="J886" s="43" t="str">
        <f>IFERROR(__xludf.DUMMYFUNCTION("""COMPUTED_VALUE"""),"JAIPUR ")</f>
        <v>JAIPUR </v>
      </c>
      <c r="K886" s="44" t="str">
        <f>IFERROR(__xludf.DUMMYFUNCTION("""COMPUTED_VALUE"""),"https://expa.aiesec.org/opportunities/1288419")</f>
        <v>https://expa.aiesec.org/opportunities/1288419</v>
      </c>
      <c r="L886" s="43" t="str">
        <f>IFERROR(__xludf.DUMMYFUNCTION("""COMPUTED_VALUE"""),"GV")</f>
        <v>GV</v>
      </c>
      <c r="M886" s="43" t="str">
        <f>IFERROR(__xludf.DUMMYFUNCTION("""COMPUTED_VALUE"""),"short")</f>
        <v>short</v>
      </c>
      <c r="N886" s="45">
        <f>IFERROR(__xludf.DUMMYFUNCTION("""COMPUTED_VALUE"""),45108.0)</f>
        <v>45108</v>
      </c>
      <c r="O886" s="45">
        <f>IFERROR(__xludf.DUMMYFUNCTION("""COMPUTED_VALUE"""),45171.0)</f>
        <v>45171</v>
      </c>
      <c r="P886" s="45">
        <f>IFERROR(__xludf.DUMMYFUNCTION("""COMPUTED_VALUE"""),45213.0)</f>
        <v>45213</v>
      </c>
      <c r="Q886" s="45">
        <f>IFERROR(__xludf.DUMMYFUNCTION("""COMPUTED_VALUE"""),45172.0)</f>
        <v>45172</v>
      </c>
      <c r="R886" s="45">
        <f>IFERROR(__xludf.DUMMYFUNCTION("""COMPUTED_VALUE"""),45213.0)</f>
        <v>45213</v>
      </c>
      <c r="S886" s="43"/>
      <c r="T886" s="43"/>
      <c r="U886" s="43" t="str">
        <f>IFERROR(__xludf.DUMMYFUNCTION("""COMPUTED_VALUE"""),"On The Map")</f>
        <v>On The Map</v>
      </c>
      <c r="V886" s="43" t="str">
        <f>IFERROR(__xludf.DUMMYFUNCTION("""COMPUTED_VALUE"""),"KOCAELI")</f>
        <v>KOCAELI</v>
      </c>
      <c r="W886" s="43" t="str">
        <f>IFERROR(__xludf.DUMMYFUNCTION("""COMPUTED_VALUE"""),"2023-06-26T12:37:40Z")</f>
        <v>2023-06-26T12:37:40Z</v>
      </c>
      <c r="X886" s="43"/>
      <c r="Y886" s="43"/>
      <c r="Z886" s="43"/>
    </row>
    <row r="887" hidden="1">
      <c r="A887" s="43" t="str">
        <f>IFERROR(__xludf.DUMMYFUNCTION("""COMPUTED_VALUE"""),"5279371_1288419")</f>
        <v>5279371_1288419</v>
      </c>
      <c r="B887" s="43" t="str">
        <f>IFERROR(__xludf.DUMMYFUNCTION("""COMPUTED_VALUE"""),"Ülfet İmam")</f>
        <v>Ülfet İmam</v>
      </c>
      <c r="C887" s="43" t="str">
        <f>IFERROR(__xludf.DUMMYFUNCTION("""COMPUTED_VALUE"""),"completed")</f>
        <v>completed</v>
      </c>
      <c r="D887" s="43" t="str">
        <f>IFERROR(__xludf.DUMMYFUNCTION("""COMPUTED_VALUE"""),"No")</f>
        <v>No</v>
      </c>
      <c r="E887" s="43" t="str">
        <f>IFERROR(__xludf.DUMMYFUNCTION("""COMPUTED_VALUE"""),"p_63b2b9a602fe524b3650fc33fa6f21ec9f788a53@inbound.aiesec.org")</f>
        <v>p_63b2b9a602fe524b3650fc33fa6f21ec9f788a53@inbound.aiesec.org</v>
      </c>
      <c r="F887" s="43">
        <f>IFERROR(__xludf.DUMMYFUNCTION("""COMPUTED_VALUE"""),5.522383665E9)</f>
        <v>5522383665</v>
      </c>
      <c r="G887" s="43" t="str">
        <f>IFERROR(__xludf.DUMMYFUNCTION("""COMPUTED_VALUE"""),"Turkey")</f>
        <v>Turkey</v>
      </c>
      <c r="H887" s="43" t="str">
        <f>IFERROR(__xludf.DUMMYFUNCTION("""COMPUTED_VALUE"""),"KOCAELI")</f>
        <v>KOCAELI</v>
      </c>
      <c r="I887" s="43" t="str">
        <f>IFERROR(__xludf.DUMMYFUNCTION("""COMPUTED_VALUE"""),"India")</f>
        <v>India</v>
      </c>
      <c r="J887" s="43" t="str">
        <f>IFERROR(__xludf.DUMMYFUNCTION("""COMPUTED_VALUE"""),"JAIPUR ")</f>
        <v>JAIPUR </v>
      </c>
      <c r="K887" s="44" t="str">
        <f>IFERROR(__xludf.DUMMYFUNCTION("""COMPUTED_VALUE"""),"https://expa.aiesec.org/opportunities/1288419")</f>
        <v>https://expa.aiesec.org/opportunities/1288419</v>
      </c>
      <c r="L887" s="43" t="str">
        <f>IFERROR(__xludf.DUMMYFUNCTION("""COMPUTED_VALUE"""),"GV")</f>
        <v>GV</v>
      </c>
      <c r="M887" s="43" t="str">
        <f>IFERROR(__xludf.DUMMYFUNCTION("""COMPUTED_VALUE"""),"short")</f>
        <v>short</v>
      </c>
      <c r="N887" s="45">
        <f>IFERROR(__xludf.DUMMYFUNCTION("""COMPUTED_VALUE"""),45108.0)</f>
        <v>45108</v>
      </c>
      <c r="O887" s="45">
        <f>IFERROR(__xludf.DUMMYFUNCTION("""COMPUTED_VALUE"""),45171.0)</f>
        <v>45171</v>
      </c>
      <c r="P887" s="45">
        <f>IFERROR(__xludf.DUMMYFUNCTION("""COMPUTED_VALUE"""),45213.0)</f>
        <v>45213</v>
      </c>
      <c r="Q887" s="45">
        <f>IFERROR(__xludf.DUMMYFUNCTION("""COMPUTED_VALUE"""),45172.0)</f>
        <v>45172</v>
      </c>
      <c r="R887" s="45">
        <f>IFERROR(__xludf.DUMMYFUNCTION("""COMPUTED_VALUE"""),45213.0)</f>
        <v>45213</v>
      </c>
      <c r="S887" s="43"/>
      <c r="T887" s="43"/>
      <c r="U887" s="43" t="str">
        <f>IFERROR(__xludf.DUMMYFUNCTION("""COMPUTED_VALUE"""),"On The Map")</f>
        <v>On The Map</v>
      </c>
      <c r="V887" s="43" t="str">
        <f>IFERROR(__xludf.DUMMYFUNCTION("""COMPUTED_VALUE"""),"KOCAELI")</f>
        <v>KOCAELI</v>
      </c>
      <c r="W887" s="43" t="str">
        <f>IFERROR(__xludf.DUMMYFUNCTION("""COMPUTED_VALUE"""),"2023-06-25T21:01:31Z")</f>
        <v>2023-06-25T21:01:31Z</v>
      </c>
      <c r="X887" s="43"/>
      <c r="Y887" s="43"/>
      <c r="Z887" s="43"/>
    </row>
    <row r="888" hidden="1">
      <c r="A888" s="43" t="str">
        <f>IFERROR(__xludf.DUMMYFUNCTION("""COMPUTED_VALUE"""),"5278758_1287985")</f>
        <v>5278758_1287985</v>
      </c>
      <c r="B888" s="43" t="str">
        <f>IFERROR(__xludf.DUMMYFUNCTION("""COMPUTED_VALUE"""),"Sevgi Güngör")</f>
        <v>Sevgi Güngör</v>
      </c>
      <c r="C888" s="43" t="str">
        <f>IFERROR(__xludf.DUMMYFUNCTION("""COMPUTED_VALUE"""),"completed")</f>
        <v>completed</v>
      </c>
      <c r="D888" s="43" t="str">
        <f>IFERROR(__xludf.DUMMYFUNCTION("""COMPUTED_VALUE"""),"No")</f>
        <v>No</v>
      </c>
      <c r="E888" s="43" t="str">
        <f>IFERROR(__xludf.DUMMYFUNCTION("""COMPUTED_VALUE"""),"p_51e473bff8ac1deed103cb31109361bf1e5331b2@inbound.aiesec.org")</f>
        <v>p_51e473bff8ac1deed103cb31109361bf1e5331b2@inbound.aiesec.org</v>
      </c>
      <c r="F888" s="43">
        <f>IFERROR(__xludf.DUMMYFUNCTION("""COMPUTED_VALUE"""),5.35045157E9)</f>
        <v>5350451570</v>
      </c>
      <c r="G888" s="43" t="str">
        <f>IFERROR(__xludf.DUMMYFUNCTION("""COMPUTED_VALUE"""),"Turkey")</f>
        <v>Turkey</v>
      </c>
      <c r="H888" s="43" t="str">
        <f>IFERROR(__xludf.DUMMYFUNCTION("""COMPUTED_VALUE"""),"KOCAELI")</f>
        <v>KOCAELI</v>
      </c>
      <c r="I888" s="43" t="str">
        <f>IFERROR(__xludf.DUMMYFUNCTION("""COMPUTED_VALUE"""),"India")</f>
        <v>India</v>
      </c>
      <c r="J888" s="43" t="str">
        <f>IFERROR(__xludf.DUMMYFUNCTION("""COMPUTED_VALUE"""),"JAIPUR ")</f>
        <v>JAIPUR </v>
      </c>
      <c r="K888" s="44" t="str">
        <f>IFERROR(__xludf.DUMMYFUNCTION("""COMPUTED_VALUE"""),"https://expa.aiesec.org/opportunities/1287985")</f>
        <v>https://expa.aiesec.org/opportunities/1287985</v>
      </c>
      <c r="L888" s="43" t="str">
        <f>IFERROR(__xludf.DUMMYFUNCTION("""COMPUTED_VALUE"""),"GV")</f>
        <v>GV</v>
      </c>
      <c r="M888" s="43" t="str">
        <f>IFERROR(__xludf.DUMMYFUNCTION("""COMPUTED_VALUE"""),"short")</f>
        <v>short</v>
      </c>
      <c r="N888" s="45">
        <f>IFERROR(__xludf.DUMMYFUNCTION("""COMPUTED_VALUE"""),45109.0)</f>
        <v>45109</v>
      </c>
      <c r="O888" s="45">
        <f>IFERROR(__xludf.DUMMYFUNCTION("""COMPUTED_VALUE"""),45150.0)</f>
        <v>45150</v>
      </c>
      <c r="P888" s="45">
        <f>IFERROR(__xludf.DUMMYFUNCTION("""COMPUTED_VALUE"""),45192.0)</f>
        <v>45192</v>
      </c>
      <c r="Q888" s="45">
        <f>IFERROR(__xludf.DUMMYFUNCTION("""COMPUTED_VALUE"""),45153.0)</f>
        <v>45153</v>
      </c>
      <c r="R888" s="45">
        <f>IFERROR(__xludf.DUMMYFUNCTION("""COMPUTED_VALUE"""),45193.0)</f>
        <v>45193</v>
      </c>
      <c r="S888" s="43"/>
      <c r="T888" s="43"/>
      <c r="U888" s="43" t="str">
        <f>IFERROR(__xludf.DUMMYFUNCTION("""COMPUTED_VALUE"""),"Heartbeat")</f>
        <v>Heartbeat</v>
      </c>
      <c r="V888" s="43" t="str">
        <f>IFERROR(__xludf.DUMMYFUNCTION("""COMPUTED_VALUE"""),"KOCAELI")</f>
        <v>KOCAELI</v>
      </c>
      <c r="W888" s="43" t="str">
        <f>IFERROR(__xludf.DUMMYFUNCTION("""COMPUTED_VALUE"""),"2023-06-23T16:49:46Z")</f>
        <v>2023-06-23T16:49:46Z</v>
      </c>
      <c r="X888" s="43"/>
      <c r="Y888" s="43"/>
      <c r="Z888" s="43"/>
    </row>
    <row r="889" hidden="1">
      <c r="A889" s="43" t="str">
        <f>IFERROR(__xludf.DUMMYFUNCTION("""COMPUTED_VALUE"""),"5278790_1292549")</f>
        <v>5278790_1292549</v>
      </c>
      <c r="B889" s="43" t="str">
        <f>IFERROR(__xludf.DUMMYFUNCTION("""COMPUTED_VALUE"""),"Necmi Alıcı")</f>
        <v>Necmi Alıcı</v>
      </c>
      <c r="C889" s="43" t="str">
        <f>IFERROR(__xludf.DUMMYFUNCTION("""COMPUTED_VALUE"""),"completed")</f>
        <v>completed</v>
      </c>
      <c r="D889" s="43" t="str">
        <f>IFERROR(__xludf.DUMMYFUNCTION("""COMPUTED_VALUE"""),"No")</f>
        <v>No</v>
      </c>
      <c r="E889" s="43" t="str">
        <f>IFERROR(__xludf.DUMMYFUNCTION("""COMPUTED_VALUE"""),"p_149b35bd255985f394d48a283631f169d8463a05@inbound.aiesec.org")</f>
        <v>p_149b35bd255985f394d48a283631f169d8463a05@inbound.aiesec.org</v>
      </c>
      <c r="F889" s="43">
        <f>IFERROR(__xludf.DUMMYFUNCTION("""COMPUTED_VALUE"""),5.393643455E9)</f>
        <v>5393643455</v>
      </c>
      <c r="G889" s="43" t="str">
        <f>IFERROR(__xludf.DUMMYFUNCTION("""COMPUTED_VALUE"""),"Turkey")</f>
        <v>Turkey</v>
      </c>
      <c r="H889" s="43" t="str">
        <f>IFERROR(__xludf.DUMMYFUNCTION("""COMPUTED_VALUE"""),"ISTANBUL WEST")</f>
        <v>ISTANBUL WEST</v>
      </c>
      <c r="I889" s="43" t="str">
        <f>IFERROR(__xludf.DUMMYFUNCTION("""COMPUTED_VALUE"""),"Tunisia")</f>
        <v>Tunisia</v>
      </c>
      <c r="J889" s="43" t="str">
        <f>IFERROR(__xludf.DUMMYFUNCTION("""COMPUTED_VALUE"""),"UNIVERSITY")</f>
        <v>UNIVERSITY</v>
      </c>
      <c r="K889" s="44" t="str">
        <f>IFERROR(__xludf.DUMMYFUNCTION("""COMPUTED_VALUE"""),"https://expa.aiesec.org/opportunities/1292549")</f>
        <v>https://expa.aiesec.org/opportunities/1292549</v>
      </c>
      <c r="L889" s="43" t="str">
        <f>IFERROR(__xludf.DUMMYFUNCTION("""COMPUTED_VALUE"""),"GV")</f>
        <v>GV</v>
      </c>
      <c r="M889" s="43" t="str">
        <f>IFERROR(__xludf.DUMMYFUNCTION("""COMPUTED_VALUE"""),"short")</f>
        <v>short</v>
      </c>
      <c r="N889" s="45">
        <f>IFERROR(__xludf.DUMMYFUNCTION("""COMPUTED_VALUE"""),45109.0)</f>
        <v>45109</v>
      </c>
      <c r="O889" s="45">
        <f>IFERROR(__xludf.DUMMYFUNCTION("""COMPUTED_VALUE"""),45120.0)</f>
        <v>45120</v>
      </c>
      <c r="P889" s="45">
        <f>IFERROR(__xludf.DUMMYFUNCTION("""COMPUTED_VALUE"""),45164.0)</f>
        <v>45164</v>
      </c>
      <c r="Q889" s="45">
        <f>IFERROR(__xludf.DUMMYFUNCTION("""COMPUTED_VALUE"""),45120.0)</f>
        <v>45120</v>
      </c>
      <c r="R889" s="45">
        <f>IFERROR(__xludf.DUMMYFUNCTION("""COMPUTED_VALUE"""),45164.0)</f>
        <v>45164</v>
      </c>
      <c r="S889" s="43"/>
      <c r="T889" s="43"/>
      <c r="U889" s="43" t="str">
        <f>IFERROR(__xludf.DUMMYFUNCTION("""COMPUTED_VALUE"""),"On The Map")</f>
        <v>On The Map</v>
      </c>
      <c r="V889" s="43" t="str">
        <f>IFERROR(__xludf.DUMMYFUNCTION("""COMPUTED_VALUE"""),"ISTANBUL - BAKIRKOY")</f>
        <v>ISTANBUL - BAKIRKOY</v>
      </c>
      <c r="W889" s="43" t="str">
        <f>IFERROR(__xludf.DUMMYFUNCTION("""COMPUTED_VALUE"""),"2023-06-23T19:11:31Z")</f>
        <v>2023-06-23T19:11:31Z</v>
      </c>
      <c r="X889" s="43"/>
      <c r="Y889" s="43"/>
      <c r="Z889" s="43"/>
    </row>
    <row r="890" hidden="1">
      <c r="A890" s="43" t="str">
        <f>IFERROR(__xludf.DUMMYFUNCTION("""COMPUTED_VALUE"""),"5243245_1292463")</f>
        <v>5243245_1292463</v>
      </c>
      <c r="B890" s="43" t="str">
        <f>IFERROR(__xludf.DUMMYFUNCTION("""COMPUTED_VALUE"""),"Feriha Girgim")</f>
        <v>Feriha Girgim</v>
      </c>
      <c r="C890" s="43" t="str">
        <f>IFERROR(__xludf.DUMMYFUNCTION("""COMPUTED_VALUE"""),"approved")</f>
        <v>approved</v>
      </c>
      <c r="D890" s="43" t="str">
        <f>IFERROR(__xludf.DUMMYFUNCTION("""COMPUTED_VALUE"""),"No")</f>
        <v>No</v>
      </c>
      <c r="E890" s="43" t="str">
        <f>IFERROR(__xludf.DUMMYFUNCTION("""COMPUTED_VALUE"""),"p_c31a6183dfc85cfbb82b51ca8f5cc8217e01bb25@inbound.aiesec.org")</f>
        <v>p_c31a6183dfc85cfbb82b51ca8f5cc8217e01bb25@inbound.aiesec.org</v>
      </c>
      <c r="F890" s="43">
        <f>IFERROR(__xludf.DUMMYFUNCTION("""COMPUTED_VALUE"""),5.338619336E9)</f>
        <v>5338619336</v>
      </c>
      <c r="G890" s="43" t="str">
        <f>IFERROR(__xludf.DUMMYFUNCTION("""COMPUTED_VALUE"""),"Turkey")</f>
        <v>Turkey</v>
      </c>
      <c r="H890" s="43" t="str">
        <f>IFERROR(__xludf.DUMMYFUNCTION("""COMPUTED_VALUE"""),"EASTERN MEDITERRANEAN")</f>
        <v>EASTERN MEDITERRANEAN</v>
      </c>
      <c r="I890" s="43" t="str">
        <f>IFERROR(__xludf.DUMMYFUNCTION("""COMPUTED_VALUE"""),"Mainland of China")</f>
        <v>Mainland of China</v>
      </c>
      <c r="J890" s="43" t="str">
        <f>IFERROR(__xludf.DUMMYFUNCTION("""COMPUTED_VALUE"""),"-Closed, SZ")</f>
        <v>-Closed, SZ</v>
      </c>
      <c r="K890" s="44" t="str">
        <f>IFERROR(__xludf.DUMMYFUNCTION("""COMPUTED_VALUE"""),"https://expa.aiesec.org/opportunities/1292463")</f>
        <v>https://expa.aiesec.org/opportunities/1292463</v>
      </c>
      <c r="L890" s="43" t="str">
        <f>IFERROR(__xludf.DUMMYFUNCTION("""COMPUTED_VALUE"""),"GV")</f>
        <v>GV</v>
      </c>
      <c r="M890" s="43" t="str">
        <f>IFERROR(__xludf.DUMMYFUNCTION("""COMPUTED_VALUE"""),"short")</f>
        <v>short</v>
      </c>
      <c r="N890" s="45">
        <f>IFERROR(__xludf.DUMMYFUNCTION("""COMPUTED_VALUE"""),45110.0)</f>
        <v>45110</v>
      </c>
      <c r="O890" s="45">
        <f>IFERROR(__xludf.DUMMYFUNCTION("""COMPUTED_VALUE"""),45115.0)</f>
        <v>45115</v>
      </c>
      <c r="P890" s="45">
        <f>IFERROR(__xludf.DUMMYFUNCTION("""COMPUTED_VALUE"""),45157.0)</f>
        <v>45157</v>
      </c>
      <c r="Q890" s="45"/>
      <c r="R890" s="45"/>
      <c r="S890" s="43"/>
      <c r="T890" s="43"/>
      <c r="U890" s="43" t="str">
        <f>IFERROR(__xludf.DUMMYFUNCTION("""COMPUTED_VALUE"""),"Global Classroom")</f>
        <v>Global Classroom</v>
      </c>
      <c r="V890" s="43" t="str">
        <f>IFERROR(__xludf.DUMMYFUNCTION("""COMPUTED_VALUE"""),"ANTALYA")</f>
        <v>ANTALYA</v>
      </c>
      <c r="W890" s="43" t="str">
        <f>IFERROR(__xludf.DUMMYFUNCTION("""COMPUTED_VALUE"""),"2023-04-16T14:58:23Z")</f>
        <v>2023-04-16T14:58:23Z</v>
      </c>
      <c r="X890" s="43"/>
      <c r="Y890" s="43"/>
      <c r="Z890" s="43"/>
    </row>
    <row r="891" hidden="1">
      <c r="A891" s="43" t="str">
        <f>IFERROR(__xludf.DUMMYFUNCTION("""COMPUTED_VALUE"""),"5279656_1294418")</f>
        <v>5279656_1294418</v>
      </c>
      <c r="B891" s="43" t="str">
        <f>IFERROR(__xludf.DUMMYFUNCTION("""COMPUTED_VALUE"""),"esranur benli")</f>
        <v>esranur benli</v>
      </c>
      <c r="C891" s="43" t="str">
        <f>IFERROR(__xludf.DUMMYFUNCTION("""COMPUTED_VALUE"""),"approved")</f>
        <v>approved</v>
      </c>
      <c r="D891" s="43" t="str">
        <f>IFERROR(__xludf.DUMMYFUNCTION("""COMPUTED_VALUE"""),"No")</f>
        <v>No</v>
      </c>
      <c r="E891" s="43" t="str">
        <f>IFERROR(__xludf.DUMMYFUNCTION("""COMPUTED_VALUE"""),"p_eb0afb4aac5fad3773f491e484220c166fccc134@inbound.aiesec.org")</f>
        <v>p_eb0afb4aac5fad3773f491e484220c166fccc134@inbound.aiesec.org</v>
      </c>
      <c r="F891" s="43">
        <f>IFERROR(__xludf.DUMMYFUNCTION("""COMPUTED_VALUE"""),5.309781452E9)</f>
        <v>5309781452</v>
      </c>
      <c r="G891" s="43" t="str">
        <f>IFERROR(__xludf.DUMMYFUNCTION("""COMPUTED_VALUE"""),"Turkey")</f>
        <v>Turkey</v>
      </c>
      <c r="H891" s="43" t="str">
        <f>IFERROR(__xludf.DUMMYFUNCTION("""COMPUTED_VALUE"""),"ISTANBUL WEST")</f>
        <v>ISTANBUL WEST</v>
      </c>
      <c r="I891" s="43" t="str">
        <f>IFERROR(__xludf.DUMMYFUNCTION("""COMPUTED_VALUE"""),"Egypt")</f>
        <v>Egypt</v>
      </c>
      <c r="J891" s="43" t="str">
        <f>IFERROR(__xludf.DUMMYFUNCTION("""COMPUTED_VALUE"""),"Zagazig")</f>
        <v>Zagazig</v>
      </c>
      <c r="K891" s="44" t="str">
        <f>IFERROR(__xludf.DUMMYFUNCTION("""COMPUTED_VALUE"""),"https://expa.aiesec.org/opportunities/1294418")</f>
        <v>https://expa.aiesec.org/opportunities/1294418</v>
      </c>
      <c r="L891" s="43" t="str">
        <f>IFERROR(__xludf.DUMMYFUNCTION("""COMPUTED_VALUE"""),"GV")</f>
        <v>GV</v>
      </c>
      <c r="M891" s="43" t="str">
        <f>IFERROR(__xludf.DUMMYFUNCTION("""COMPUTED_VALUE"""),"short")</f>
        <v>short</v>
      </c>
      <c r="N891" s="45">
        <f>IFERROR(__xludf.DUMMYFUNCTION("""COMPUTED_VALUE"""),45111.0)</f>
        <v>45111</v>
      </c>
      <c r="O891" s="45">
        <f>IFERROR(__xludf.DUMMYFUNCTION("""COMPUTED_VALUE"""),45261.0)</f>
        <v>45261</v>
      </c>
      <c r="P891" s="45">
        <f>IFERROR(__xludf.DUMMYFUNCTION("""COMPUTED_VALUE"""),45303.0)</f>
        <v>45303</v>
      </c>
      <c r="Q891" s="45"/>
      <c r="R891" s="45"/>
      <c r="S891" s="43"/>
      <c r="T891" s="43"/>
      <c r="U891" s="43" t="str">
        <f>IFERROR(__xludf.DUMMYFUNCTION("""COMPUTED_VALUE"""),"Global Classroom")</f>
        <v>Global Classroom</v>
      </c>
      <c r="V891" s="43" t="str">
        <f>IFERROR(__xludf.DUMMYFUNCTION("""COMPUTED_VALUE"""),"ISTANBUL - BAKIRKOY")</f>
        <v>ISTANBUL - BAKIRKOY</v>
      </c>
      <c r="W891" s="43" t="str">
        <f>IFERROR(__xludf.DUMMYFUNCTION("""COMPUTED_VALUE"""),"2023-06-26T17:51:56Z")</f>
        <v>2023-06-26T17:51:56Z</v>
      </c>
      <c r="X891" s="43"/>
      <c r="Y891" s="43"/>
      <c r="Z891" s="43"/>
    </row>
    <row r="892" hidden="1">
      <c r="A892" s="43" t="str">
        <f>IFERROR(__xludf.DUMMYFUNCTION("""COMPUTED_VALUE"""),"5222863_1293245")</f>
        <v>5222863_1293245</v>
      </c>
      <c r="B892" s="43" t="str">
        <f>IFERROR(__xludf.DUMMYFUNCTION("""COMPUTED_VALUE"""),"Abdullah Keskin")</f>
        <v>Abdullah Keskin</v>
      </c>
      <c r="C892" s="43" t="str">
        <f>IFERROR(__xludf.DUMMYFUNCTION("""COMPUTED_VALUE"""),"completed")</f>
        <v>completed</v>
      </c>
      <c r="D892" s="43" t="str">
        <f>IFERROR(__xludf.DUMMYFUNCTION("""COMPUTED_VALUE"""),"No")</f>
        <v>No</v>
      </c>
      <c r="E892" s="43" t="str">
        <f>IFERROR(__xludf.DUMMYFUNCTION("""COMPUTED_VALUE"""),"p_b927d199d19d3e4e9560bd6ad4e706f54e1a41be@inbound.aiesec.org")</f>
        <v>p_b927d199d19d3e4e9560bd6ad4e706f54e1a41be@inbound.aiesec.org</v>
      </c>
      <c r="F892" s="43"/>
      <c r="G892" s="43" t="str">
        <f>IFERROR(__xludf.DUMMYFUNCTION("""COMPUTED_VALUE"""),"Turkey")</f>
        <v>Turkey</v>
      </c>
      <c r="H892" s="43" t="str">
        <f>IFERROR(__xludf.DUMMYFUNCTION("""COMPUTED_VALUE"""),"ISTANBUL WEST")</f>
        <v>ISTANBUL WEST</v>
      </c>
      <c r="I892" s="43" t="str">
        <f>IFERROR(__xludf.DUMMYFUNCTION("""COMPUTED_VALUE"""),"Germany")</f>
        <v>Germany</v>
      </c>
      <c r="J892" s="43" t="str">
        <f>IFERROR(__xludf.DUMMYFUNCTION("""COMPUTED_VALUE"""),"LUENEBURG")</f>
        <v>LUENEBURG</v>
      </c>
      <c r="K892" s="44" t="str">
        <f>IFERROR(__xludf.DUMMYFUNCTION("""COMPUTED_VALUE"""),"https://expa.aiesec.org/opportunities/1293245")</f>
        <v>https://expa.aiesec.org/opportunities/1293245</v>
      </c>
      <c r="L892" s="43" t="str">
        <f>IFERROR(__xludf.DUMMYFUNCTION("""COMPUTED_VALUE"""),"GV")</f>
        <v>GV</v>
      </c>
      <c r="M892" s="43" t="str">
        <f>IFERROR(__xludf.DUMMYFUNCTION("""COMPUTED_VALUE"""),"short")</f>
        <v>short</v>
      </c>
      <c r="N892" s="45">
        <f>IFERROR(__xludf.DUMMYFUNCTION("""COMPUTED_VALUE"""),45113.0)</f>
        <v>45113</v>
      </c>
      <c r="O892" s="45">
        <f>IFERROR(__xludf.DUMMYFUNCTION("""COMPUTED_VALUE"""),45122.0)</f>
        <v>45122</v>
      </c>
      <c r="P892" s="45">
        <f>IFERROR(__xludf.DUMMYFUNCTION("""COMPUTED_VALUE"""),45164.0)</f>
        <v>45164</v>
      </c>
      <c r="Q892" s="45">
        <f>IFERROR(__xludf.DUMMYFUNCTION("""COMPUTED_VALUE"""),45122.0)</f>
        <v>45122</v>
      </c>
      <c r="R892" s="45">
        <f>IFERROR(__xludf.DUMMYFUNCTION("""COMPUTED_VALUE"""),45164.0)</f>
        <v>45164</v>
      </c>
      <c r="S892" s="43"/>
      <c r="T892" s="43"/>
      <c r="U892" s="43" t="str">
        <f>IFERROR(__xludf.DUMMYFUNCTION("""COMPUTED_VALUE"""),"Eco City")</f>
        <v>Eco City</v>
      </c>
      <c r="V892" s="43" t="str">
        <f>IFERROR(__xludf.DUMMYFUNCTION("""COMPUTED_VALUE"""),"-")</f>
        <v>-</v>
      </c>
      <c r="W892" s="43" t="str">
        <f>IFERROR(__xludf.DUMMYFUNCTION("""COMPUTED_VALUE"""),"2023-03-21T15:08:37Z")</f>
        <v>2023-03-21T15:08:37Z</v>
      </c>
      <c r="X892" s="43"/>
      <c r="Y892" s="43"/>
      <c r="Z892" s="43"/>
    </row>
    <row r="893" hidden="1">
      <c r="A893" s="43" t="str">
        <f>IFERROR(__xludf.DUMMYFUNCTION("""COMPUTED_VALUE"""),"5282444_1289806")</f>
        <v>5282444_1289806</v>
      </c>
      <c r="B893" s="43" t="str">
        <f>IFERROR(__xludf.DUMMYFUNCTION("""COMPUTED_VALUE"""),"Semanur KÖSEOĞLU")</f>
        <v>Semanur KÖSEOĞLU</v>
      </c>
      <c r="C893" s="43" t="str">
        <f>IFERROR(__xludf.DUMMYFUNCTION("""COMPUTED_VALUE"""),"finished")</f>
        <v>finished</v>
      </c>
      <c r="D893" s="43" t="str">
        <f>IFERROR(__xludf.DUMMYFUNCTION("""COMPUTED_VALUE"""),"No")</f>
        <v>No</v>
      </c>
      <c r="E893" s="43" t="str">
        <f>IFERROR(__xludf.DUMMYFUNCTION("""COMPUTED_VALUE"""),"p_dc1ff501c5234669ab5989d256d3a84c2eee50c9@inbound.aiesec.org")</f>
        <v>p_dc1ff501c5234669ab5989d256d3a84c2eee50c9@inbound.aiesec.org</v>
      </c>
      <c r="F893" s="43">
        <f>IFERROR(__xludf.DUMMYFUNCTION("""COMPUTED_VALUE"""),5.061519675E9)</f>
        <v>5061519675</v>
      </c>
      <c r="G893" s="43" t="str">
        <f>IFERROR(__xludf.DUMMYFUNCTION("""COMPUTED_VALUE"""),"Turkey")</f>
        <v>Turkey</v>
      </c>
      <c r="H893" s="43" t="str">
        <f>IFERROR(__xludf.DUMMYFUNCTION("""COMPUTED_VALUE"""),"KONYA")</f>
        <v>KONYA</v>
      </c>
      <c r="I893" s="43" t="str">
        <f>IFERROR(__xludf.DUMMYFUNCTION("""COMPUTED_VALUE"""),"Egypt")</f>
        <v>Egypt</v>
      </c>
      <c r="J893" s="43" t="str">
        <f>IFERROR(__xludf.DUMMYFUNCTION("""COMPUTED_VALUE"""),"Ain Shams University")</f>
        <v>Ain Shams University</v>
      </c>
      <c r="K893" s="44" t="str">
        <f>IFERROR(__xludf.DUMMYFUNCTION("""COMPUTED_VALUE"""),"https://expa.aiesec.org/opportunities/1289806")</f>
        <v>https://expa.aiesec.org/opportunities/1289806</v>
      </c>
      <c r="L893" s="43" t="str">
        <f>IFERROR(__xludf.DUMMYFUNCTION("""COMPUTED_VALUE"""),"GV")</f>
        <v>GV</v>
      </c>
      <c r="M893" s="43" t="str">
        <f>IFERROR(__xludf.DUMMYFUNCTION("""COMPUTED_VALUE"""),"short")</f>
        <v>short</v>
      </c>
      <c r="N893" s="45">
        <f>IFERROR(__xludf.DUMMYFUNCTION("""COMPUTED_VALUE"""),45114.0)</f>
        <v>45114</v>
      </c>
      <c r="O893" s="45">
        <f>IFERROR(__xludf.DUMMYFUNCTION("""COMPUTED_VALUE"""),45139.0)</f>
        <v>45139</v>
      </c>
      <c r="P893" s="45">
        <f>IFERROR(__xludf.DUMMYFUNCTION("""COMPUTED_VALUE"""),45181.0)</f>
        <v>45181</v>
      </c>
      <c r="Q893" s="45">
        <f>IFERROR(__xludf.DUMMYFUNCTION("""COMPUTED_VALUE"""),45141.0)</f>
        <v>45141</v>
      </c>
      <c r="R893" s="45">
        <f>IFERROR(__xludf.DUMMYFUNCTION("""COMPUTED_VALUE"""),45181.0)</f>
        <v>45181</v>
      </c>
      <c r="S893" s="43"/>
      <c r="T893" s="43"/>
      <c r="U893" s="43" t="str">
        <f>IFERROR(__xludf.DUMMYFUNCTION("""COMPUTED_VALUE"""),"Rooted")</f>
        <v>Rooted</v>
      </c>
      <c r="V893" s="43" t="str">
        <f>IFERROR(__xludf.DUMMYFUNCTION("""COMPUTED_VALUE"""),"KONYA")</f>
        <v>KONYA</v>
      </c>
      <c r="W893" s="43" t="str">
        <f>IFERROR(__xludf.DUMMYFUNCTION("""COMPUTED_VALUE"""),"2023-07-05T14:54:58Z")</f>
        <v>2023-07-05T14:54:58Z</v>
      </c>
      <c r="X893" s="43"/>
      <c r="Y893" s="43"/>
      <c r="Z893" s="43"/>
    </row>
    <row r="894" hidden="1">
      <c r="A894" s="43" t="str">
        <f>IFERROR(__xludf.DUMMYFUNCTION("""COMPUTED_VALUE"""),"5269019_1292061")</f>
        <v>5269019_1292061</v>
      </c>
      <c r="B894" s="43" t="str">
        <f>IFERROR(__xludf.DUMMYFUNCTION("""COMPUTED_VALUE"""),"Barış Tüner")</f>
        <v>Barış Tüner</v>
      </c>
      <c r="C894" s="43" t="str">
        <f>IFERROR(__xludf.DUMMYFUNCTION("""COMPUTED_VALUE"""),"approved")</f>
        <v>approved</v>
      </c>
      <c r="D894" s="43" t="str">
        <f>IFERROR(__xludf.DUMMYFUNCTION("""COMPUTED_VALUE"""),"No")</f>
        <v>No</v>
      </c>
      <c r="E894" s="43" t="str">
        <f>IFERROR(__xludf.DUMMYFUNCTION("""COMPUTED_VALUE"""),"p_574182a4701dc0b6f12a1bf357c56374b88f5612@inbound.aiesec.org")</f>
        <v>p_574182a4701dc0b6f12a1bf357c56374b88f5612@inbound.aiesec.org</v>
      </c>
      <c r="F894" s="43">
        <f>IFERROR(__xludf.DUMMYFUNCTION("""COMPUTED_VALUE"""),5.550957639E9)</f>
        <v>5550957639</v>
      </c>
      <c r="G894" s="43" t="str">
        <f>IFERROR(__xludf.DUMMYFUNCTION("""COMPUTED_VALUE"""),"Turkey")</f>
        <v>Turkey</v>
      </c>
      <c r="H894" s="43" t="str">
        <f>IFERROR(__xludf.DUMMYFUNCTION("""COMPUTED_VALUE"""),"ADANA")</f>
        <v>ADANA</v>
      </c>
      <c r="I894" s="43" t="str">
        <f>IFERROR(__xludf.DUMMYFUNCTION("""COMPUTED_VALUE"""),"Romania")</f>
        <v>Romania</v>
      </c>
      <c r="J894" s="43" t="str">
        <f>IFERROR(__xludf.DUMMYFUNCTION("""COMPUTED_VALUE"""),"GALATI")</f>
        <v>GALATI</v>
      </c>
      <c r="K894" s="44" t="str">
        <f>IFERROR(__xludf.DUMMYFUNCTION("""COMPUTED_VALUE"""),"https://expa.aiesec.org/opportunities/1292061")</f>
        <v>https://expa.aiesec.org/opportunities/1292061</v>
      </c>
      <c r="L894" s="43" t="str">
        <f>IFERROR(__xludf.DUMMYFUNCTION("""COMPUTED_VALUE"""),"GV")</f>
        <v>GV</v>
      </c>
      <c r="M894" s="43" t="str">
        <f>IFERROR(__xludf.DUMMYFUNCTION("""COMPUTED_VALUE"""),"short")</f>
        <v>short</v>
      </c>
      <c r="N894" s="45">
        <f>IFERROR(__xludf.DUMMYFUNCTION("""COMPUTED_VALUE"""),45114.0)</f>
        <v>45114</v>
      </c>
      <c r="O894" s="45">
        <f>IFERROR(__xludf.DUMMYFUNCTION("""COMPUTED_VALUE"""),45122.0)</f>
        <v>45122</v>
      </c>
      <c r="P894" s="45">
        <f>IFERROR(__xludf.DUMMYFUNCTION("""COMPUTED_VALUE"""),45164.0)</f>
        <v>45164</v>
      </c>
      <c r="Q894" s="45"/>
      <c r="R894" s="45"/>
      <c r="S894" s="43"/>
      <c r="T894" s="43"/>
      <c r="U894" s="43" t="str">
        <f>IFERROR(__xludf.DUMMYFUNCTION("""COMPUTED_VALUE"""),"Scale Up!")</f>
        <v>Scale Up!</v>
      </c>
      <c r="V894" s="43" t="str">
        <f>IFERROR(__xludf.DUMMYFUNCTION("""COMPUTED_VALUE"""),"ADANA")</f>
        <v>ADANA</v>
      </c>
      <c r="W894" s="43" t="str">
        <f>IFERROR(__xludf.DUMMYFUNCTION("""COMPUTED_VALUE"""),"2023-05-30T18:39:24Z")</f>
        <v>2023-05-30T18:39:24Z</v>
      </c>
      <c r="X894" s="43"/>
      <c r="Y894" s="43"/>
      <c r="Z894" s="43"/>
    </row>
    <row r="895" hidden="1">
      <c r="A895" s="43" t="str">
        <f>IFERROR(__xludf.DUMMYFUNCTION("""COMPUTED_VALUE"""),"5278765_1288609")</f>
        <v>5278765_1288609</v>
      </c>
      <c r="B895" s="43" t="str">
        <f>IFERROR(__xludf.DUMMYFUNCTION("""COMPUTED_VALUE"""),"BÜŞRA DOĞUÇAM")</f>
        <v>BÜŞRA DOĞUÇAM</v>
      </c>
      <c r="C895" s="43" t="str">
        <f>IFERROR(__xludf.DUMMYFUNCTION("""COMPUTED_VALUE"""),"approved")</f>
        <v>approved</v>
      </c>
      <c r="D895" s="43" t="str">
        <f>IFERROR(__xludf.DUMMYFUNCTION("""COMPUTED_VALUE"""),"No")</f>
        <v>No</v>
      </c>
      <c r="E895" s="43" t="str">
        <f>IFERROR(__xludf.DUMMYFUNCTION("""COMPUTED_VALUE"""),"p_53000335b923335dd8bf9ffff6de38bbff657ef2@inbound.aiesec.org")</f>
        <v>p_53000335b923335dd8bf9ffff6de38bbff657ef2@inbound.aiesec.org</v>
      </c>
      <c r="F895" s="43">
        <f>IFERROR(__xludf.DUMMYFUNCTION("""COMPUTED_VALUE"""),5.436765011E9)</f>
        <v>5436765011</v>
      </c>
      <c r="G895" s="43" t="str">
        <f>IFERROR(__xludf.DUMMYFUNCTION("""COMPUTED_VALUE"""),"Turkey")</f>
        <v>Turkey</v>
      </c>
      <c r="H895" s="43" t="str">
        <f>IFERROR(__xludf.DUMMYFUNCTION("""COMPUTED_VALUE"""),"İZMİR")</f>
        <v>İZMİR</v>
      </c>
      <c r="I895" s="43" t="str">
        <f>IFERROR(__xludf.DUMMYFUNCTION("""COMPUTED_VALUE"""),"Egypt")</f>
        <v>Egypt</v>
      </c>
      <c r="J895" s="43" t="str">
        <f>IFERROR(__xludf.DUMMYFUNCTION("""COMPUTED_VALUE"""),"Tanta")</f>
        <v>Tanta</v>
      </c>
      <c r="K895" s="44" t="str">
        <f>IFERROR(__xludf.DUMMYFUNCTION("""COMPUTED_VALUE"""),"https://expa.aiesec.org/opportunities/1288609")</f>
        <v>https://expa.aiesec.org/opportunities/1288609</v>
      </c>
      <c r="L895" s="43" t="str">
        <f>IFERROR(__xludf.DUMMYFUNCTION("""COMPUTED_VALUE"""),"GV")</f>
        <v>GV</v>
      </c>
      <c r="M895" s="43" t="str">
        <f>IFERROR(__xludf.DUMMYFUNCTION("""COMPUTED_VALUE"""),"short")</f>
        <v>short</v>
      </c>
      <c r="N895" s="45">
        <f>IFERROR(__xludf.DUMMYFUNCTION("""COMPUTED_VALUE"""),45116.0)</f>
        <v>45116</v>
      </c>
      <c r="O895" s="45">
        <f>IFERROR(__xludf.DUMMYFUNCTION("""COMPUTED_VALUE"""),45261.0)</f>
        <v>45261</v>
      </c>
      <c r="P895" s="45">
        <f>IFERROR(__xludf.DUMMYFUNCTION("""COMPUTED_VALUE"""),45303.0)</f>
        <v>45303</v>
      </c>
      <c r="Q895" s="45"/>
      <c r="R895" s="45"/>
      <c r="S895" s="43"/>
      <c r="T895" s="43"/>
      <c r="U895" s="43" t="str">
        <f>IFERROR(__xludf.DUMMYFUNCTION("""COMPUTED_VALUE"""),"On The Map")</f>
        <v>On The Map</v>
      </c>
      <c r="V895" s="43" t="str">
        <f>IFERROR(__xludf.DUMMYFUNCTION("""COMPUTED_VALUE"""),"IZMIR")</f>
        <v>IZMIR</v>
      </c>
      <c r="W895" s="43" t="str">
        <f>IFERROR(__xludf.DUMMYFUNCTION("""COMPUTED_VALUE"""),"2023-06-23T17:14:28Z")</f>
        <v>2023-06-23T17:14:28Z</v>
      </c>
      <c r="X895" s="43"/>
      <c r="Y895" s="43"/>
      <c r="Z895" s="43"/>
    </row>
    <row r="896" hidden="1">
      <c r="A896" s="43" t="str">
        <f>IFERROR(__xludf.DUMMYFUNCTION("""COMPUTED_VALUE"""),"5275136_1294151")</f>
        <v>5275136_1294151</v>
      </c>
      <c r="B896" s="43" t="str">
        <f>IFERROR(__xludf.DUMMYFUNCTION("""COMPUTED_VALUE"""),"Ömer Alp Koçak")</f>
        <v>Ömer Alp Koçak</v>
      </c>
      <c r="C896" s="43" t="str">
        <f>IFERROR(__xludf.DUMMYFUNCTION("""COMPUTED_VALUE"""),"realization_broken")</f>
        <v>realization_broken</v>
      </c>
      <c r="D896" s="43" t="str">
        <f>IFERROR(__xludf.DUMMYFUNCTION("""COMPUTED_VALUE"""),"No")</f>
        <v>No</v>
      </c>
      <c r="E896" s="43" t="str">
        <f>IFERROR(__xludf.DUMMYFUNCTION("""COMPUTED_VALUE"""),"p_2541228126ee8d45242869d598add43e710a007b@inbound.aiesec.org")</f>
        <v>p_2541228126ee8d45242869d598add43e710a007b@inbound.aiesec.org</v>
      </c>
      <c r="F896" s="43">
        <f>IFERROR(__xludf.DUMMYFUNCTION("""COMPUTED_VALUE"""),5.055518649E9)</f>
        <v>5055518649</v>
      </c>
      <c r="G896" s="43" t="str">
        <f>IFERROR(__xludf.DUMMYFUNCTION("""COMPUTED_VALUE"""),"Turkey")</f>
        <v>Turkey</v>
      </c>
      <c r="H896" s="43" t="str">
        <f>IFERROR(__xludf.DUMMYFUNCTION("""COMPUTED_VALUE"""),"ANKARA")</f>
        <v>ANKARA</v>
      </c>
      <c r="I896" s="43" t="str">
        <f>IFERROR(__xludf.DUMMYFUNCTION("""COMPUTED_VALUE"""),"Greece")</f>
        <v>Greece</v>
      </c>
      <c r="J896" s="43" t="str">
        <f>IFERROR(__xludf.DUMMYFUNCTION("""COMPUTED_VALUE"""),"Piraeus UNIPI (Athens)")</f>
        <v>Piraeus UNIPI (Athens)</v>
      </c>
      <c r="K896" s="44" t="str">
        <f>IFERROR(__xludf.DUMMYFUNCTION("""COMPUTED_VALUE"""),"https://expa.aiesec.org/opportunities/1294151")</f>
        <v>https://expa.aiesec.org/opportunities/1294151</v>
      </c>
      <c r="L896" s="43" t="str">
        <f>IFERROR(__xludf.DUMMYFUNCTION("""COMPUTED_VALUE"""),"GV")</f>
        <v>GV</v>
      </c>
      <c r="M896" s="43" t="str">
        <f>IFERROR(__xludf.DUMMYFUNCTION("""COMPUTED_VALUE"""),"short")</f>
        <v>short</v>
      </c>
      <c r="N896" s="45">
        <f>IFERROR(__xludf.DUMMYFUNCTION("""COMPUTED_VALUE"""),45118.0)</f>
        <v>45118</v>
      </c>
      <c r="O896" s="45">
        <f>IFERROR(__xludf.DUMMYFUNCTION("""COMPUTED_VALUE"""),45122.0)</f>
        <v>45122</v>
      </c>
      <c r="P896" s="45">
        <f>IFERROR(__xludf.DUMMYFUNCTION("""COMPUTED_VALUE"""),45164.0)</f>
        <v>45164</v>
      </c>
      <c r="Q896" s="45"/>
      <c r="R896" s="45"/>
      <c r="S896" s="43"/>
      <c r="T896" s="43"/>
      <c r="U896" s="43" t="str">
        <f>IFERROR(__xludf.DUMMYFUNCTION("""COMPUTED_VALUE"""),"Rooted")</f>
        <v>Rooted</v>
      </c>
      <c r="V896" s="43" t="str">
        <f>IFERROR(__xludf.DUMMYFUNCTION("""COMPUTED_VALUE"""),"ANKARA")</f>
        <v>ANKARA</v>
      </c>
      <c r="W896" s="43" t="str">
        <f>IFERROR(__xludf.DUMMYFUNCTION("""COMPUTED_VALUE"""),"2023-06-14T07:59:26Z")</f>
        <v>2023-06-14T07:59:26Z</v>
      </c>
      <c r="X896" s="43"/>
      <c r="Y896" s="43"/>
      <c r="Z896" s="43"/>
    </row>
    <row r="897" hidden="1">
      <c r="A897" s="43" t="str">
        <f>IFERROR(__xludf.DUMMYFUNCTION("""COMPUTED_VALUE"""),"5281123_1295750")</f>
        <v>5281123_1295750</v>
      </c>
      <c r="B897" s="43" t="str">
        <f>IFERROR(__xludf.DUMMYFUNCTION("""COMPUTED_VALUE"""),"Yusuf Berkay Atlas")</f>
        <v>Yusuf Berkay Atlas</v>
      </c>
      <c r="C897" s="43" t="str">
        <f>IFERROR(__xludf.DUMMYFUNCTION("""COMPUTED_VALUE"""),"completed")</f>
        <v>completed</v>
      </c>
      <c r="D897" s="43" t="str">
        <f>IFERROR(__xludf.DUMMYFUNCTION("""COMPUTED_VALUE"""),"No")</f>
        <v>No</v>
      </c>
      <c r="E897" s="43" t="str">
        <f>IFERROR(__xludf.DUMMYFUNCTION("""COMPUTED_VALUE"""),"p_9ceadf2cbeb74a384a8ff377d4d4fd8a75e1b9fe@inbound.aiesec.org")</f>
        <v>p_9ceadf2cbeb74a384a8ff377d4d4fd8a75e1b9fe@inbound.aiesec.org</v>
      </c>
      <c r="F897" s="43">
        <f>IFERROR(__xludf.DUMMYFUNCTION("""COMPUTED_VALUE"""),5.54428426E9)</f>
        <v>5544284260</v>
      </c>
      <c r="G897" s="43" t="str">
        <f>IFERROR(__xludf.DUMMYFUNCTION("""COMPUTED_VALUE"""),"Turkey")</f>
        <v>Turkey</v>
      </c>
      <c r="H897" s="43" t="str">
        <f>IFERROR(__xludf.DUMMYFUNCTION("""COMPUTED_VALUE"""),"ISTANBUL WEST")</f>
        <v>ISTANBUL WEST</v>
      </c>
      <c r="I897" s="43" t="str">
        <f>IFERROR(__xludf.DUMMYFUNCTION("""COMPUTED_VALUE"""),"Romania")</f>
        <v>Romania</v>
      </c>
      <c r="J897" s="43" t="str">
        <f>IFERROR(__xludf.DUMMYFUNCTION("""COMPUTED_VALUE"""),"GALATI")</f>
        <v>GALATI</v>
      </c>
      <c r="K897" s="44" t="str">
        <f>IFERROR(__xludf.DUMMYFUNCTION("""COMPUTED_VALUE"""),"https://expa.aiesec.org/opportunities/1295750")</f>
        <v>https://expa.aiesec.org/opportunities/1295750</v>
      </c>
      <c r="L897" s="43" t="str">
        <f>IFERROR(__xludf.DUMMYFUNCTION("""COMPUTED_VALUE"""),"GV")</f>
        <v>GV</v>
      </c>
      <c r="M897" s="43" t="str">
        <f>IFERROR(__xludf.DUMMYFUNCTION("""COMPUTED_VALUE"""),"short")</f>
        <v>short</v>
      </c>
      <c r="N897" s="45">
        <f>IFERROR(__xludf.DUMMYFUNCTION("""COMPUTED_VALUE"""),45118.0)</f>
        <v>45118</v>
      </c>
      <c r="O897" s="45">
        <f>IFERROR(__xludf.DUMMYFUNCTION("""COMPUTED_VALUE"""),45122.0)</f>
        <v>45122</v>
      </c>
      <c r="P897" s="45">
        <f>IFERROR(__xludf.DUMMYFUNCTION("""COMPUTED_VALUE"""),45164.0)</f>
        <v>45164</v>
      </c>
      <c r="Q897" s="45">
        <f>IFERROR(__xludf.DUMMYFUNCTION("""COMPUTED_VALUE"""),45122.0)</f>
        <v>45122</v>
      </c>
      <c r="R897" s="45">
        <f>IFERROR(__xludf.DUMMYFUNCTION("""COMPUTED_VALUE"""),45164.0)</f>
        <v>45164</v>
      </c>
      <c r="S897" s="43"/>
      <c r="T897" s="43"/>
      <c r="U897" s="43" t="str">
        <f>IFERROR(__xludf.DUMMYFUNCTION("""COMPUTED_VALUE"""),"Green Leaders")</f>
        <v>Green Leaders</v>
      </c>
      <c r="V897" s="43" t="str">
        <f>IFERROR(__xludf.DUMMYFUNCTION("""COMPUTED_VALUE"""),"ISTANBUL - BAKIRKOY")</f>
        <v>ISTANBUL - BAKIRKOY</v>
      </c>
      <c r="W897" s="43" t="str">
        <f>IFERROR(__xludf.DUMMYFUNCTION("""COMPUTED_VALUE"""),"2023-07-01T12:38:07Z")</f>
        <v>2023-07-01T12:38:07Z</v>
      </c>
      <c r="X897" s="43"/>
      <c r="Y897" s="43"/>
      <c r="Z897" s="43"/>
    </row>
    <row r="898" hidden="1">
      <c r="A898" s="43" t="str">
        <f>IFERROR(__xludf.DUMMYFUNCTION("""COMPUTED_VALUE"""),"5282649_1295874")</f>
        <v>5282649_1295874</v>
      </c>
      <c r="B898" s="43" t="str">
        <f>IFERROR(__xludf.DUMMYFUNCTION("""COMPUTED_VALUE"""),"Melike Miray Nas")</f>
        <v>Melike Miray Nas</v>
      </c>
      <c r="C898" s="43" t="str">
        <f>IFERROR(__xludf.DUMMYFUNCTION("""COMPUTED_VALUE"""),"completed")</f>
        <v>completed</v>
      </c>
      <c r="D898" s="43" t="str">
        <f>IFERROR(__xludf.DUMMYFUNCTION("""COMPUTED_VALUE"""),"No")</f>
        <v>No</v>
      </c>
      <c r="E898" s="43" t="str">
        <f>IFERROR(__xludf.DUMMYFUNCTION("""COMPUTED_VALUE"""),"p_9c0149c19e0ad008c101978f74bb3b21e0d2a046@inbound.aiesec.org")</f>
        <v>p_9c0149c19e0ad008c101978f74bb3b21e0d2a046@inbound.aiesec.org</v>
      </c>
      <c r="F898" s="43">
        <f>IFERROR(__xludf.DUMMYFUNCTION("""COMPUTED_VALUE"""),5.518396779E9)</f>
        <v>5518396779</v>
      </c>
      <c r="G898" s="43" t="str">
        <f>IFERROR(__xludf.DUMMYFUNCTION("""COMPUTED_VALUE"""),"Turkey")</f>
        <v>Turkey</v>
      </c>
      <c r="H898" s="43" t="str">
        <f>IFERROR(__xludf.DUMMYFUNCTION("""COMPUTED_VALUE"""),"BURSA")</f>
        <v>BURSA</v>
      </c>
      <c r="I898" s="43" t="str">
        <f>IFERROR(__xludf.DUMMYFUNCTION("""COMPUTED_VALUE"""),"Egypt")</f>
        <v>Egypt</v>
      </c>
      <c r="J898" s="43" t="str">
        <f>IFERROR(__xludf.DUMMYFUNCTION("""COMPUTED_VALUE"""),"Cairo University")</f>
        <v>Cairo University</v>
      </c>
      <c r="K898" s="44" t="str">
        <f>IFERROR(__xludf.DUMMYFUNCTION("""COMPUTED_VALUE"""),"https://expa.aiesec.org/opportunities/1295874")</f>
        <v>https://expa.aiesec.org/opportunities/1295874</v>
      </c>
      <c r="L898" s="43" t="str">
        <f>IFERROR(__xludf.DUMMYFUNCTION("""COMPUTED_VALUE"""),"GV")</f>
        <v>GV</v>
      </c>
      <c r="M898" s="43" t="str">
        <f>IFERROR(__xludf.DUMMYFUNCTION("""COMPUTED_VALUE"""),"short")</f>
        <v>short</v>
      </c>
      <c r="N898" s="45">
        <f>IFERROR(__xludf.DUMMYFUNCTION("""COMPUTED_VALUE"""),45118.0)</f>
        <v>45118</v>
      </c>
      <c r="O898" s="45">
        <f>IFERROR(__xludf.DUMMYFUNCTION("""COMPUTED_VALUE"""),45139.0)</f>
        <v>45139</v>
      </c>
      <c r="P898" s="45">
        <f>IFERROR(__xludf.DUMMYFUNCTION("""COMPUTED_VALUE"""),45181.0)</f>
        <v>45181</v>
      </c>
      <c r="Q898" s="45">
        <f>IFERROR(__xludf.DUMMYFUNCTION("""COMPUTED_VALUE"""),45140.0)</f>
        <v>45140</v>
      </c>
      <c r="R898" s="45">
        <f>IFERROR(__xludf.DUMMYFUNCTION("""COMPUTED_VALUE"""),45181.0)</f>
        <v>45181</v>
      </c>
      <c r="S898" s="43"/>
      <c r="T898" s="43"/>
      <c r="U898" s="43" t="str">
        <f>IFERROR(__xludf.DUMMYFUNCTION("""COMPUTED_VALUE"""),"Green Leaders")</f>
        <v>Green Leaders</v>
      </c>
      <c r="V898" s="43" t="str">
        <f>IFERROR(__xludf.DUMMYFUNCTION("""COMPUTED_VALUE"""),"BURSA")</f>
        <v>BURSA</v>
      </c>
      <c r="W898" s="43" t="str">
        <f>IFERROR(__xludf.DUMMYFUNCTION("""COMPUTED_VALUE"""),"2023-07-06T08:55:35Z")</f>
        <v>2023-07-06T08:55:35Z</v>
      </c>
      <c r="X898" s="43"/>
      <c r="Y898" s="43"/>
      <c r="Z898" s="43"/>
    </row>
    <row r="899" hidden="1">
      <c r="A899" s="43" t="str">
        <f>IFERROR(__xludf.DUMMYFUNCTION("""COMPUTED_VALUE"""),"5284225_1294669")</f>
        <v>5284225_1294669</v>
      </c>
      <c r="B899" s="43" t="str">
        <f>IFERROR(__xludf.DUMMYFUNCTION("""COMPUTED_VALUE"""),"BAŞAK KAZAN")</f>
        <v>BAŞAK KAZAN</v>
      </c>
      <c r="C899" s="43" t="str">
        <f>IFERROR(__xludf.DUMMYFUNCTION("""COMPUTED_VALUE"""),"completed")</f>
        <v>completed</v>
      </c>
      <c r="D899" s="43" t="str">
        <f>IFERROR(__xludf.DUMMYFUNCTION("""COMPUTED_VALUE"""),"No")</f>
        <v>No</v>
      </c>
      <c r="E899" s="43" t="str">
        <f>IFERROR(__xludf.DUMMYFUNCTION("""COMPUTED_VALUE"""),"p_0411dcce10406669651cbe95ca00345be2a7bb54@inbound.aiesec.org")</f>
        <v>p_0411dcce10406669651cbe95ca00345be2a7bb54@inbound.aiesec.org</v>
      </c>
      <c r="F899" s="43">
        <f>IFERROR(__xludf.DUMMYFUNCTION("""COMPUTED_VALUE"""),5.360559139E9)</f>
        <v>5360559139</v>
      </c>
      <c r="G899" s="43" t="str">
        <f>IFERROR(__xludf.DUMMYFUNCTION("""COMPUTED_VALUE"""),"Turkey")</f>
        <v>Turkey</v>
      </c>
      <c r="H899" s="43" t="str">
        <f>IFERROR(__xludf.DUMMYFUNCTION("""COMPUTED_VALUE"""),"KOCAELI")</f>
        <v>KOCAELI</v>
      </c>
      <c r="I899" s="43" t="str">
        <f>IFERROR(__xludf.DUMMYFUNCTION("""COMPUTED_VALUE"""),"Romania")</f>
        <v>Romania</v>
      </c>
      <c r="J899" s="43" t="str">
        <f>IFERROR(__xludf.DUMMYFUNCTION("""COMPUTED_VALUE"""),"BUCURESTI")</f>
        <v>BUCURESTI</v>
      </c>
      <c r="K899" s="44" t="str">
        <f>IFERROR(__xludf.DUMMYFUNCTION("""COMPUTED_VALUE"""),"https://expa.aiesec.org/opportunities/1294669")</f>
        <v>https://expa.aiesec.org/opportunities/1294669</v>
      </c>
      <c r="L899" s="43" t="str">
        <f>IFERROR(__xludf.DUMMYFUNCTION("""COMPUTED_VALUE"""),"GV")</f>
        <v>GV</v>
      </c>
      <c r="M899" s="43" t="str">
        <f>IFERROR(__xludf.DUMMYFUNCTION("""COMPUTED_VALUE"""),"short")</f>
        <v>short</v>
      </c>
      <c r="N899" s="45">
        <f>IFERROR(__xludf.DUMMYFUNCTION("""COMPUTED_VALUE"""),45118.0)</f>
        <v>45118</v>
      </c>
      <c r="O899" s="45">
        <f>IFERROR(__xludf.DUMMYFUNCTION("""COMPUTED_VALUE"""),45124.0)</f>
        <v>45124</v>
      </c>
      <c r="P899" s="45">
        <f>IFERROR(__xludf.DUMMYFUNCTION("""COMPUTED_VALUE"""),45166.0)</f>
        <v>45166</v>
      </c>
      <c r="Q899" s="45">
        <f>IFERROR(__xludf.DUMMYFUNCTION("""COMPUTED_VALUE"""),45125.0)</f>
        <v>45125</v>
      </c>
      <c r="R899" s="45">
        <f>IFERROR(__xludf.DUMMYFUNCTION("""COMPUTED_VALUE"""),45166.0)</f>
        <v>45166</v>
      </c>
      <c r="S899" s="43"/>
      <c r="T899" s="43"/>
      <c r="U899" s="43" t="str">
        <f>IFERROR(__xludf.DUMMYFUNCTION("""COMPUTED_VALUE"""),"Fingerprint")</f>
        <v>Fingerprint</v>
      </c>
      <c r="V899" s="43" t="str">
        <f>IFERROR(__xludf.DUMMYFUNCTION("""COMPUTED_VALUE"""),"TUNCELI")</f>
        <v>TUNCELI</v>
      </c>
      <c r="W899" s="43" t="str">
        <f>IFERROR(__xludf.DUMMYFUNCTION("""COMPUTED_VALUE"""),"2023-07-11T09:57:36Z")</f>
        <v>2023-07-11T09:57:36Z</v>
      </c>
      <c r="X899" s="43"/>
      <c r="Y899" s="43"/>
      <c r="Z899" s="43"/>
    </row>
    <row r="900" hidden="1">
      <c r="A900" s="43" t="str">
        <f>IFERROR(__xludf.DUMMYFUNCTION("""COMPUTED_VALUE"""),"4508889_1293284")</f>
        <v>4508889_1293284</v>
      </c>
      <c r="B900" s="43" t="str">
        <f>IFERROR(__xludf.DUMMYFUNCTION("""COMPUTED_VALUE"""),"Emine Güler")</f>
        <v>Emine Güler</v>
      </c>
      <c r="C900" s="43" t="str">
        <f>IFERROR(__xludf.DUMMYFUNCTION("""COMPUTED_VALUE"""),"approved")</f>
        <v>approved</v>
      </c>
      <c r="D900" s="43" t="str">
        <f>IFERROR(__xludf.DUMMYFUNCTION("""COMPUTED_VALUE"""),"No")</f>
        <v>No</v>
      </c>
      <c r="E900" s="43" t="str">
        <f>IFERROR(__xludf.DUMMYFUNCTION("""COMPUTED_VALUE"""),"p_553ef9c4066d7500809b2c3ecd08b24b802c6015@inbound.aiesec.org")</f>
        <v>p_553ef9c4066d7500809b2c3ecd08b24b802c6015@inbound.aiesec.org</v>
      </c>
      <c r="F900" s="43">
        <f>IFERROR(__xludf.DUMMYFUNCTION("""COMPUTED_VALUE"""),5.549299209E9)</f>
        <v>5549299209</v>
      </c>
      <c r="G900" s="43" t="str">
        <f>IFERROR(__xludf.DUMMYFUNCTION("""COMPUTED_VALUE"""),"Turkey")</f>
        <v>Turkey</v>
      </c>
      <c r="H900" s="43" t="str">
        <f>IFERROR(__xludf.DUMMYFUNCTION("""COMPUTED_VALUE"""),"BURSA")</f>
        <v>BURSA</v>
      </c>
      <c r="I900" s="43" t="str">
        <f>IFERROR(__xludf.DUMMYFUNCTION("""COMPUTED_VALUE"""),"Czech Republic")</f>
        <v>Czech Republic</v>
      </c>
      <c r="J900" s="43" t="str">
        <f>IFERROR(__xludf.DUMMYFUNCTION("""COMPUTED_VALUE"""),"PILSEN")</f>
        <v>PILSEN</v>
      </c>
      <c r="K900" s="44" t="str">
        <f>IFERROR(__xludf.DUMMYFUNCTION("""COMPUTED_VALUE"""),"https://expa.aiesec.org/opportunities/1293284")</f>
        <v>https://expa.aiesec.org/opportunities/1293284</v>
      </c>
      <c r="L900" s="43" t="str">
        <f>IFERROR(__xludf.DUMMYFUNCTION("""COMPUTED_VALUE"""),"GV")</f>
        <v>GV</v>
      </c>
      <c r="M900" s="43" t="str">
        <f>IFERROR(__xludf.DUMMYFUNCTION("""COMPUTED_VALUE"""),"short")</f>
        <v>short</v>
      </c>
      <c r="N900" s="45">
        <f>IFERROR(__xludf.DUMMYFUNCTION("""COMPUTED_VALUE"""),45119.0)</f>
        <v>45119</v>
      </c>
      <c r="O900" s="45">
        <f>IFERROR(__xludf.DUMMYFUNCTION("""COMPUTED_VALUE"""),45173.0)</f>
        <v>45173</v>
      </c>
      <c r="P900" s="45">
        <f>IFERROR(__xludf.DUMMYFUNCTION("""COMPUTED_VALUE"""),45215.0)</f>
        <v>45215</v>
      </c>
      <c r="Q900" s="45"/>
      <c r="R900" s="45"/>
      <c r="S900" s="43"/>
      <c r="T900" s="43"/>
      <c r="U900" s="43" t="str">
        <f>IFERROR(__xludf.DUMMYFUNCTION("""COMPUTED_VALUE"""),"Youth 4 Impact")</f>
        <v>Youth 4 Impact</v>
      </c>
      <c r="V900" s="43" t="str">
        <f>IFERROR(__xludf.DUMMYFUNCTION("""COMPUTED_VALUE"""),"BALIKESIR")</f>
        <v>BALIKESIR</v>
      </c>
      <c r="W900" s="43" t="str">
        <f>IFERROR(__xludf.DUMMYFUNCTION("""COMPUTED_VALUE"""),"2021-01-05T14:49:35Z")</f>
        <v>2021-01-05T14:49:35Z</v>
      </c>
      <c r="X900" s="43"/>
      <c r="Y900" s="43"/>
      <c r="Z900" s="43"/>
    </row>
    <row r="901" hidden="1">
      <c r="A901" s="43" t="str">
        <f>IFERROR(__xludf.DUMMYFUNCTION("""COMPUTED_VALUE"""),"5278358_1292933")</f>
        <v>5278358_1292933</v>
      </c>
      <c r="B901" s="43" t="str">
        <f>IFERROR(__xludf.DUMMYFUNCTION("""COMPUTED_VALUE"""),"Furkan Öğütcü")</f>
        <v>Furkan Öğütcü</v>
      </c>
      <c r="C901" s="43" t="str">
        <f>IFERROR(__xludf.DUMMYFUNCTION("""COMPUTED_VALUE"""),"approved")</f>
        <v>approved</v>
      </c>
      <c r="D901" s="43" t="str">
        <f>IFERROR(__xludf.DUMMYFUNCTION("""COMPUTED_VALUE"""),"No")</f>
        <v>No</v>
      </c>
      <c r="E901" s="43" t="str">
        <f>IFERROR(__xludf.DUMMYFUNCTION("""COMPUTED_VALUE"""),"p_bfb886112e409855110f62498b3f8e1baceb9e36@inbound.aiesec.org")</f>
        <v>p_bfb886112e409855110f62498b3f8e1baceb9e36@inbound.aiesec.org</v>
      </c>
      <c r="F901" s="43">
        <f>IFERROR(__xludf.DUMMYFUNCTION("""COMPUTED_VALUE"""),5.434563365E9)</f>
        <v>5434563365</v>
      </c>
      <c r="G901" s="43" t="str">
        <f>IFERROR(__xludf.DUMMYFUNCTION("""COMPUTED_VALUE"""),"Turkey")</f>
        <v>Turkey</v>
      </c>
      <c r="H901" s="43" t="str">
        <f>IFERROR(__xludf.DUMMYFUNCTION("""COMPUTED_VALUE"""),"SAMSUN")</f>
        <v>SAMSUN</v>
      </c>
      <c r="I901" s="43" t="str">
        <f>IFERROR(__xludf.DUMMYFUNCTION("""COMPUTED_VALUE"""),"Egypt")</f>
        <v>Egypt</v>
      </c>
      <c r="J901" s="43" t="str">
        <f>IFERROR(__xludf.DUMMYFUNCTION("""COMPUTED_VALUE"""),"MIU")</f>
        <v>MIU</v>
      </c>
      <c r="K901" s="44" t="str">
        <f>IFERROR(__xludf.DUMMYFUNCTION("""COMPUTED_VALUE"""),"https://expa.aiesec.org/opportunities/1292933")</f>
        <v>https://expa.aiesec.org/opportunities/1292933</v>
      </c>
      <c r="L901" s="43" t="str">
        <f>IFERROR(__xludf.DUMMYFUNCTION("""COMPUTED_VALUE"""),"GV")</f>
        <v>GV</v>
      </c>
      <c r="M901" s="43" t="str">
        <f>IFERROR(__xludf.DUMMYFUNCTION("""COMPUTED_VALUE"""),"short")</f>
        <v>short</v>
      </c>
      <c r="N901" s="45">
        <f>IFERROR(__xludf.DUMMYFUNCTION("""COMPUTED_VALUE"""),45119.0)</f>
        <v>45119</v>
      </c>
      <c r="O901" s="45">
        <f>IFERROR(__xludf.DUMMYFUNCTION("""COMPUTED_VALUE"""),45263.0)</f>
        <v>45263</v>
      </c>
      <c r="P901" s="45">
        <f>IFERROR(__xludf.DUMMYFUNCTION("""COMPUTED_VALUE"""),45307.0)</f>
        <v>45307</v>
      </c>
      <c r="Q901" s="45"/>
      <c r="R901" s="45"/>
      <c r="S901" s="43"/>
      <c r="T901" s="43"/>
      <c r="U901" s="43" t="str">
        <f>IFERROR(__xludf.DUMMYFUNCTION("""COMPUTED_VALUE"""),"On The Map")</f>
        <v>On The Map</v>
      </c>
      <c r="V901" s="43" t="str">
        <f>IFERROR(__xludf.DUMMYFUNCTION("""COMPUTED_VALUE"""),"SAMSUN")</f>
        <v>SAMSUN</v>
      </c>
      <c r="W901" s="43" t="str">
        <f>IFERROR(__xludf.DUMMYFUNCTION("""COMPUTED_VALUE"""),"2023-06-22T14:14:09Z")</f>
        <v>2023-06-22T14:14:09Z</v>
      </c>
      <c r="X901" s="43"/>
      <c r="Y901" s="43"/>
      <c r="Z901" s="43"/>
    </row>
    <row r="902" hidden="1">
      <c r="A902" s="43" t="str">
        <f>IFERROR(__xludf.DUMMYFUNCTION("""COMPUTED_VALUE"""),"5283986_1291702")</f>
        <v>5283986_1291702</v>
      </c>
      <c r="B902" s="43" t="str">
        <f>IFERROR(__xludf.DUMMYFUNCTION("""COMPUTED_VALUE"""),"Süleyman Kemal Ak")</f>
        <v>Süleyman Kemal Ak</v>
      </c>
      <c r="C902" s="43" t="str">
        <f>IFERROR(__xludf.DUMMYFUNCTION("""COMPUTED_VALUE"""),"approved")</f>
        <v>approved</v>
      </c>
      <c r="D902" s="43" t="str">
        <f>IFERROR(__xludf.DUMMYFUNCTION("""COMPUTED_VALUE"""),"No")</f>
        <v>No</v>
      </c>
      <c r="E902" s="43" t="str">
        <f>IFERROR(__xludf.DUMMYFUNCTION("""COMPUTED_VALUE"""),"p_97a8ccefc2ec0f3003cad58555b9eecc53d78b5b@inbound.aiesec.org")</f>
        <v>p_97a8ccefc2ec0f3003cad58555b9eecc53d78b5b@inbound.aiesec.org</v>
      </c>
      <c r="F902" s="43">
        <f>IFERROR(__xludf.DUMMYFUNCTION("""COMPUTED_VALUE"""),5.412938949E9)</f>
        <v>5412938949</v>
      </c>
      <c r="G902" s="43" t="str">
        <f>IFERROR(__xludf.DUMMYFUNCTION("""COMPUTED_VALUE"""),"Turkey")</f>
        <v>Turkey</v>
      </c>
      <c r="H902" s="43" t="str">
        <f>IFERROR(__xludf.DUMMYFUNCTION("""COMPUTED_VALUE"""),"ISTANBUL")</f>
        <v>ISTANBUL</v>
      </c>
      <c r="I902" s="43" t="str">
        <f>IFERROR(__xludf.DUMMYFUNCTION("""COMPUTED_VALUE"""),"Egypt")</f>
        <v>Egypt</v>
      </c>
      <c r="J902" s="43" t="str">
        <f>IFERROR(__xludf.DUMMYFUNCTION("""COMPUTED_VALUE"""),"Cairo University")</f>
        <v>Cairo University</v>
      </c>
      <c r="K902" s="44" t="str">
        <f>IFERROR(__xludf.DUMMYFUNCTION("""COMPUTED_VALUE"""),"https://expa.aiesec.org/opportunities/1291702")</f>
        <v>https://expa.aiesec.org/opportunities/1291702</v>
      </c>
      <c r="L902" s="43" t="str">
        <f>IFERROR(__xludf.DUMMYFUNCTION("""COMPUTED_VALUE"""),"GV")</f>
        <v>GV</v>
      </c>
      <c r="M902" s="43" t="str">
        <f>IFERROR(__xludf.DUMMYFUNCTION("""COMPUTED_VALUE"""),"short")</f>
        <v>short</v>
      </c>
      <c r="N902" s="45">
        <f>IFERROR(__xludf.DUMMYFUNCTION("""COMPUTED_VALUE"""),45119.0)</f>
        <v>45119</v>
      </c>
      <c r="O902" s="45">
        <f>IFERROR(__xludf.DUMMYFUNCTION("""COMPUTED_VALUE"""),45166.0)</f>
        <v>45166</v>
      </c>
      <c r="P902" s="45">
        <f>IFERROR(__xludf.DUMMYFUNCTION("""COMPUTED_VALUE"""),45208.0)</f>
        <v>45208</v>
      </c>
      <c r="Q902" s="45"/>
      <c r="R902" s="45">
        <f>IFERROR(__xludf.DUMMYFUNCTION("""COMPUTED_VALUE"""),45207.0)</f>
        <v>45207</v>
      </c>
      <c r="S902" s="43"/>
      <c r="T902" s="43"/>
      <c r="U902" s="43" t="str">
        <f>IFERROR(__xludf.DUMMYFUNCTION("""COMPUTED_VALUE"""),"Skill Up!")</f>
        <v>Skill Up!</v>
      </c>
      <c r="V902" s="43" t="str">
        <f>IFERROR(__xludf.DUMMYFUNCTION("""COMPUTED_VALUE"""),"ISTANBUL - BEYOGLU")</f>
        <v>ISTANBUL - BEYOGLU</v>
      </c>
      <c r="W902" s="43" t="str">
        <f>IFERROR(__xludf.DUMMYFUNCTION("""COMPUTED_VALUE"""),"2023-07-10T15:32:50Z")</f>
        <v>2023-07-10T15:32:50Z</v>
      </c>
      <c r="X902" s="43"/>
      <c r="Y902" s="43"/>
      <c r="Z902" s="43"/>
    </row>
    <row r="903" hidden="1">
      <c r="A903" s="43" t="str">
        <f>IFERROR(__xludf.DUMMYFUNCTION("""COMPUTED_VALUE"""),"5279208_1292709")</f>
        <v>5279208_1292709</v>
      </c>
      <c r="B903" s="43" t="str">
        <f>IFERROR(__xludf.DUMMYFUNCTION("""COMPUTED_VALUE"""),"Sayra Erbaş")</f>
        <v>Sayra Erbaş</v>
      </c>
      <c r="C903" s="43" t="str">
        <f>IFERROR(__xludf.DUMMYFUNCTION("""COMPUTED_VALUE"""),"realization_broken")</f>
        <v>realization_broken</v>
      </c>
      <c r="D903" s="43" t="str">
        <f>IFERROR(__xludf.DUMMYFUNCTION("""COMPUTED_VALUE"""),"No")</f>
        <v>No</v>
      </c>
      <c r="E903" s="43" t="str">
        <f>IFERROR(__xludf.DUMMYFUNCTION("""COMPUTED_VALUE"""),"p_b021a2cb98146612d484a30b29b13e4e0f1dac41@inbound.aiesec.org")</f>
        <v>p_b021a2cb98146612d484a30b29b13e4e0f1dac41@inbound.aiesec.org</v>
      </c>
      <c r="F903" s="43">
        <f>IFERROR(__xludf.DUMMYFUNCTION("""COMPUTED_VALUE"""),5.070608226E9)</f>
        <v>5070608226</v>
      </c>
      <c r="G903" s="43" t="str">
        <f>IFERROR(__xludf.DUMMYFUNCTION("""COMPUTED_VALUE"""),"Turkey")</f>
        <v>Turkey</v>
      </c>
      <c r="H903" s="43" t="str">
        <f>IFERROR(__xludf.DUMMYFUNCTION("""COMPUTED_VALUE"""),"ISTANBUL")</f>
        <v>ISTANBUL</v>
      </c>
      <c r="I903" s="43" t="str">
        <f>IFERROR(__xludf.DUMMYFUNCTION("""COMPUTED_VALUE"""),"Czech Republic")</f>
        <v>Czech Republic</v>
      </c>
      <c r="J903" s="43" t="str">
        <f>IFERROR(__xludf.DUMMYFUNCTION("""COMPUTED_VALUE"""),"OLOMOUC")</f>
        <v>OLOMOUC</v>
      </c>
      <c r="K903" s="44" t="str">
        <f>IFERROR(__xludf.DUMMYFUNCTION("""COMPUTED_VALUE"""),"https://expa.aiesec.org/opportunities/1292709")</f>
        <v>https://expa.aiesec.org/opportunities/1292709</v>
      </c>
      <c r="L903" s="43" t="str">
        <f>IFERROR(__xludf.DUMMYFUNCTION("""COMPUTED_VALUE"""),"GV")</f>
        <v>GV</v>
      </c>
      <c r="M903" s="43" t="str">
        <f>IFERROR(__xludf.DUMMYFUNCTION("""COMPUTED_VALUE"""),"short")</f>
        <v>short</v>
      </c>
      <c r="N903" s="45">
        <f>IFERROR(__xludf.DUMMYFUNCTION("""COMPUTED_VALUE"""),45120.0)</f>
        <v>45120</v>
      </c>
      <c r="O903" s="45">
        <f>IFERROR(__xludf.DUMMYFUNCTION("""COMPUTED_VALUE"""),45173.0)</f>
        <v>45173</v>
      </c>
      <c r="P903" s="45">
        <f>IFERROR(__xludf.DUMMYFUNCTION("""COMPUTED_VALUE"""),45215.0)</f>
        <v>45215</v>
      </c>
      <c r="Q903" s="45"/>
      <c r="R903" s="45"/>
      <c r="S903" s="43"/>
      <c r="T903" s="43"/>
      <c r="U903" s="43" t="str">
        <f>IFERROR(__xludf.DUMMYFUNCTION("""COMPUTED_VALUE"""),"Youth 4 Impact")</f>
        <v>Youth 4 Impact</v>
      </c>
      <c r="V903" s="43" t="str">
        <f>IFERROR(__xludf.DUMMYFUNCTION("""COMPUTED_VALUE"""),"ISTANBUL - BEYOGLU")</f>
        <v>ISTANBUL - BEYOGLU</v>
      </c>
      <c r="W903" s="43" t="str">
        <f>IFERROR(__xludf.DUMMYFUNCTION("""COMPUTED_VALUE"""),"2023-06-25T11:42:35Z")</f>
        <v>2023-06-25T11:42:35Z</v>
      </c>
      <c r="X903" s="43"/>
      <c r="Y903" s="43"/>
      <c r="Z903" s="43"/>
    </row>
    <row r="904" hidden="1">
      <c r="A904" s="43" t="str">
        <f>IFERROR(__xludf.DUMMYFUNCTION("""COMPUTED_VALUE"""),"5282842_1293906")</f>
        <v>5282842_1293906</v>
      </c>
      <c r="B904" s="43" t="str">
        <f>IFERROR(__xludf.DUMMYFUNCTION("""COMPUTED_VALUE"""),"Ceren Bozkurt")</f>
        <v>Ceren Bozkurt</v>
      </c>
      <c r="C904" s="43" t="str">
        <f>IFERROR(__xludf.DUMMYFUNCTION("""COMPUTED_VALUE"""),"completed")</f>
        <v>completed</v>
      </c>
      <c r="D904" s="43" t="str">
        <f>IFERROR(__xludf.DUMMYFUNCTION("""COMPUTED_VALUE"""),"No")</f>
        <v>No</v>
      </c>
      <c r="E904" s="43" t="str">
        <f>IFERROR(__xludf.DUMMYFUNCTION("""COMPUTED_VALUE"""),"p_a0bc39be2586646addbd9346ef3e2687ca5ad1fc@inbound.aiesec.org")</f>
        <v>p_a0bc39be2586646addbd9346ef3e2687ca5ad1fc@inbound.aiesec.org</v>
      </c>
      <c r="F904" s="43">
        <f>IFERROR(__xludf.DUMMYFUNCTION("""COMPUTED_VALUE"""),5.53754756E9)</f>
        <v>5537547560</v>
      </c>
      <c r="G904" s="43" t="str">
        <f>IFERROR(__xludf.DUMMYFUNCTION("""COMPUTED_VALUE"""),"Turkey")</f>
        <v>Turkey</v>
      </c>
      <c r="H904" s="43" t="str">
        <f>IFERROR(__xludf.DUMMYFUNCTION("""COMPUTED_VALUE"""),"ISTANBUL ASIA")</f>
        <v>ISTANBUL ASIA</v>
      </c>
      <c r="I904" s="43" t="str">
        <f>IFERROR(__xludf.DUMMYFUNCTION("""COMPUTED_VALUE"""),"Tunisia")</f>
        <v>Tunisia</v>
      </c>
      <c r="J904" s="43" t="str">
        <f>IFERROR(__xludf.DUMMYFUNCTION("""COMPUTED_VALUE"""),"BARDO")</f>
        <v>BARDO</v>
      </c>
      <c r="K904" s="44" t="str">
        <f>IFERROR(__xludf.DUMMYFUNCTION("""COMPUTED_VALUE"""),"https://expa.aiesec.org/opportunities/1293906")</f>
        <v>https://expa.aiesec.org/opportunities/1293906</v>
      </c>
      <c r="L904" s="43" t="str">
        <f>IFERROR(__xludf.DUMMYFUNCTION("""COMPUTED_VALUE"""),"GV")</f>
        <v>GV</v>
      </c>
      <c r="M904" s="43" t="str">
        <f>IFERROR(__xludf.DUMMYFUNCTION("""COMPUTED_VALUE"""),"short")</f>
        <v>short</v>
      </c>
      <c r="N904" s="45">
        <f>IFERROR(__xludf.DUMMYFUNCTION("""COMPUTED_VALUE"""),45120.0)</f>
        <v>45120</v>
      </c>
      <c r="O904" s="45">
        <f>IFERROR(__xludf.DUMMYFUNCTION("""COMPUTED_VALUE"""),45139.0)</f>
        <v>45139</v>
      </c>
      <c r="P904" s="45">
        <f>IFERROR(__xludf.DUMMYFUNCTION("""COMPUTED_VALUE"""),45181.0)</f>
        <v>45181</v>
      </c>
      <c r="Q904" s="45">
        <f>IFERROR(__xludf.DUMMYFUNCTION("""COMPUTED_VALUE"""),45137.0)</f>
        <v>45137</v>
      </c>
      <c r="R904" s="45">
        <f>IFERROR(__xludf.DUMMYFUNCTION("""COMPUTED_VALUE"""),45181.0)</f>
        <v>45181</v>
      </c>
      <c r="S904" s="43"/>
      <c r="T904" s="43"/>
      <c r="U904" s="43" t="str">
        <f>IFERROR(__xludf.DUMMYFUNCTION("""COMPUTED_VALUE"""),"Global Classroom")</f>
        <v>Global Classroom</v>
      </c>
      <c r="V904" s="43" t="str">
        <f>IFERROR(__xludf.DUMMYFUNCTION("""COMPUTED_VALUE"""),"ISTANBUL ASIA")</f>
        <v>ISTANBUL ASIA</v>
      </c>
      <c r="W904" s="43" t="str">
        <f>IFERROR(__xludf.DUMMYFUNCTION("""COMPUTED_VALUE"""),"2023-07-06T16:43:06Z")</f>
        <v>2023-07-06T16:43:06Z</v>
      </c>
      <c r="X904" s="43"/>
      <c r="Y904" s="43"/>
      <c r="Z904" s="43"/>
    </row>
    <row r="905" hidden="1">
      <c r="A905" s="43" t="str">
        <f>IFERROR(__xludf.DUMMYFUNCTION("""COMPUTED_VALUE"""),"5278607_1293017")</f>
        <v>5278607_1293017</v>
      </c>
      <c r="B905" s="43" t="str">
        <f>IFERROR(__xludf.DUMMYFUNCTION("""COMPUTED_VALUE"""),"nurgül bilge")</f>
        <v>nurgül bilge</v>
      </c>
      <c r="C905" s="43" t="str">
        <f>IFERROR(__xludf.DUMMYFUNCTION("""COMPUTED_VALUE"""),"completed")</f>
        <v>completed</v>
      </c>
      <c r="D905" s="43" t="str">
        <f>IFERROR(__xludf.DUMMYFUNCTION("""COMPUTED_VALUE"""),"No")</f>
        <v>No</v>
      </c>
      <c r="E905" s="43" t="str">
        <f>IFERROR(__xludf.DUMMYFUNCTION("""COMPUTED_VALUE"""),"p_c93199a48b59af038683db463d814b3eaef92c18@inbound.aiesec.org")</f>
        <v>p_c93199a48b59af038683db463d814b3eaef92c18@inbound.aiesec.org</v>
      </c>
      <c r="F905" s="43"/>
      <c r="G905" s="43" t="str">
        <f>IFERROR(__xludf.DUMMYFUNCTION("""COMPUTED_VALUE"""),"Turkey")</f>
        <v>Turkey</v>
      </c>
      <c r="H905" s="43" t="str">
        <f>IFERROR(__xludf.DUMMYFUNCTION("""COMPUTED_VALUE"""),"İZMİR")</f>
        <v>İZMİR</v>
      </c>
      <c r="I905" s="43" t="str">
        <f>IFERROR(__xludf.DUMMYFUNCTION("""COMPUTED_VALUE"""),"India")</f>
        <v>India</v>
      </c>
      <c r="J905" s="43" t="str">
        <f>IFERROR(__xludf.DUMMYFUNCTION("""COMPUTED_VALUE"""),"JAIPUR ")</f>
        <v>JAIPUR </v>
      </c>
      <c r="K905" s="44" t="str">
        <f>IFERROR(__xludf.DUMMYFUNCTION("""COMPUTED_VALUE"""),"https://expa.aiesec.org/opportunities/1293017")</f>
        <v>https://expa.aiesec.org/opportunities/1293017</v>
      </c>
      <c r="L905" s="43" t="str">
        <f>IFERROR(__xludf.DUMMYFUNCTION("""COMPUTED_VALUE"""),"GV")</f>
        <v>GV</v>
      </c>
      <c r="M905" s="43" t="str">
        <f>IFERROR(__xludf.DUMMYFUNCTION("""COMPUTED_VALUE"""),"short")</f>
        <v>short</v>
      </c>
      <c r="N905" s="45">
        <f>IFERROR(__xludf.DUMMYFUNCTION("""COMPUTED_VALUE"""),45121.0)</f>
        <v>45121</v>
      </c>
      <c r="O905" s="45">
        <f>IFERROR(__xludf.DUMMYFUNCTION("""COMPUTED_VALUE"""),45171.0)</f>
        <v>45171</v>
      </c>
      <c r="P905" s="45">
        <f>IFERROR(__xludf.DUMMYFUNCTION("""COMPUTED_VALUE"""),45213.0)</f>
        <v>45213</v>
      </c>
      <c r="Q905" s="45">
        <f>IFERROR(__xludf.DUMMYFUNCTION("""COMPUTED_VALUE"""),45172.0)</f>
        <v>45172</v>
      </c>
      <c r="R905" s="45">
        <f>IFERROR(__xludf.DUMMYFUNCTION("""COMPUTED_VALUE"""),45213.0)</f>
        <v>45213</v>
      </c>
      <c r="S905" s="43"/>
      <c r="T905" s="43"/>
      <c r="U905" s="43" t="str">
        <f>IFERROR(__xludf.DUMMYFUNCTION("""COMPUTED_VALUE"""),"Global Classroom")</f>
        <v>Global Classroom</v>
      </c>
      <c r="V905" s="43" t="str">
        <f>IFERROR(__xludf.DUMMYFUNCTION("""COMPUTED_VALUE"""),"-")</f>
        <v>-</v>
      </c>
      <c r="W905" s="43" t="str">
        <f>IFERROR(__xludf.DUMMYFUNCTION("""COMPUTED_VALUE"""),"2023-06-23T09:49:28Z")</f>
        <v>2023-06-23T09:49:28Z</v>
      </c>
      <c r="X905" s="43"/>
      <c r="Y905" s="43"/>
      <c r="Z905" s="43"/>
    </row>
    <row r="906" hidden="1">
      <c r="A906" s="43" t="str">
        <f>IFERROR(__xludf.DUMMYFUNCTION("""COMPUTED_VALUE"""),"5156681_1294669")</f>
        <v>5156681_1294669</v>
      </c>
      <c r="B906" s="43" t="str">
        <f>IFERROR(__xludf.DUMMYFUNCTION("""COMPUTED_VALUE"""),"Can Demir")</f>
        <v>Can Demir</v>
      </c>
      <c r="C906" s="43" t="str">
        <f>IFERROR(__xludf.DUMMYFUNCTION("""COMPUTED_VALUE"""),"completed")</f>
        <v>completed</v>
      </c>
      <c r="D906" s="43" t="str">
        <f>IFERROR(__xludf.DUMMYFUNCTION("""COMPUTED_VALUE"""),"No")</f>
        <v>No</v>
      </c>
      <c r="E906" s="43" t="str">
        <f>IFERROR(__xludf.DUMMYFUNCTION("""COMPUTED_VALUE"""),"p_fbdec0dbe16ac537e7183613ce22b4570796f806@inbound.aiesec.org")</f>
        <v>p_fbdec0dbe16ac537e7183613ce22b4570796f806@inbound.aiesec.org</v>
      </c>
      <c r="F906" s="43">
        <f>IFERROR(__xludf.DUMMYFUNCTION("""COMPUTED_VALUE"""),5.447267248E9)</f>
        <v>5447267248</v>
      </c>
      <c r="G906" s="43" t="str">
        <f>IFERROR(__xludf.DUMMYFUNCTION("""COMPUTED_VALUE"""),"Turkey")</f>
        <v>Turkey</v>
      </c>
      <c r="H906" s="43" t="str">
        <f>IFERROR(__xludf.DUMMYFUNCTION("""COMPUTED_VALUE"""),"ISTANBUL WEST")</f>
        <v>ISTANBUL WEST</v>
      </c>
      <c r="I906" s="43" t="str">
        <f>IFERROR(__xludf.DUMMYFUNCTION("""COMPUTED_VALUE"""),"Romania")</f>
        <v>Romania</v>
      </c>
      <c r="J906" s="43" t="str">
        <f>IFERROR(__xludf.DUMMYFUNCTION("""COMPUTED_VALUE"""),"BUCURESTI")</f>
        <v>BUCURESTI</v>
      </c>
      <c r="K906" s="44" t="str">
        <f>IFERROR(__xludf.DUMMYFUNCTION("""COMPUTED_VALUE"""),"https://expa.aiesec.org/opportunities/1294669")</f>
        <v>https://expa.aiesec.org/opportunities/1294669</v>
      </c>
      <c r="L906" s="43" t="str">
        <f>IFERROR(__xludf.DUMMYFUNCTION("""COMPUTED_VALUE"""),"GV")</f>
        <v>GV</v>
      </c>
      <c r="M906" s="43" t="str">
        <f>IFERROR(__xludf.DUMMYFUNCTION("""COMPUTED_VALUE"""),"short")</f>
        <v>short</v>
      </c>
      <c r="N906" s="45">
        <f>IFERROR(__xludf.DUMMYFUNCTION("""COMPUTED_VALUE"""),45122.0)</f>
        <v>45122</v>
      </c>
      <c r="O906" s="45">
        <f>IFERROR(__xludf.DUMMYFUNCTION("""COMPUTED_VALUE"""),45124.0)</f>
        <v>45124</v>
      </c>
      <c r="P906" s="45">
        <f>IFERROR(__xludf.DUMMYFUNCTION("""COMPUTED_VALUE"""),45166.0)</f>
        <v>45166</v>
      </c>
      <c r="Q906" s="45">
        <f>IFERROR(__xludf.DUMMYFUNCTION("""COMPUTED_VALUE"""),45124.0)</f>
        <v>45124</v>
      </c>
      <c r="R906" s="45">
        <f>IFERROR(__xludf.DUMMYFUNCTION("""COMPUTED_VALUE"""),45166.0)</f>
        <v>45166</v>
      </c>
      <c r="S906" s="43"/>
      <c r="T906" s="43"/>
      <c r="U906" s="43" t="str">
        <f>IFERROR(__xludf.DUMMYFUNCTION("""COMPUTED_VALUE"""),"Fingerprint")</f>
        <v>Fingerprint</v>
      </c>
      <c r="V906" s="43" t="str">
        <f>IFERROR(__xludf.DUMMYFUNCTION("""COMPUTED_VALUE"""),"ISTANBUL ASIA")</f>
        <v>ISTANBUL ASIA</v>
      </c>
      <c r="W906" s="43" t="str">
        <f>IFERROR(__xludf.DUMMYFUNCTION("""COMPUTED_VALUE"""),"2022-11-21T18:20:53Z")</f>
        <v>2022-11-21T18:20:53Z</v>
      </c>
      <c r="X906" s="43"/>
      <c r="Y906" s="43"/>
      <c r="Z906" s="43"/>
    </row>
    <row r="907" hidden="1">
      <c r="A907" s="43" t="str">
        <f>IFERROR(__xludf.DUMMYFUNCTION("""COMPUTED_VALUE"""),"5176638_1291317")</f>
        <v>5176638_1291317</v>
      </c>
      <c r="B907" s="43" t="str">
        <f>IFERROR(__xludf.DUMMYFUNCTION("""COMPUTED_VALUE"""),"Can Özkan")</f>
        <v>Can Özkan</v>
      </c>
      <c r="C907" s="43" t="str">
        <f>IFERROR(__xludf.DUMMYFUNCTION("""COMPUTED_VALUE"""),"completed")</f>
        <v>completed</v>
      </c>
      <c r="D907" s="43" t="str">
        <f>IFERROR(__xludf.DUMMYFUNCTION("""COMPUTED_VALUE"""),"No")</f>
        <v>No</v>
      </c>
      <c r="E907" s="43" t="str">
        <f>IFERROR(__xludf.DUMMYFUNCTION("""COMPUTED_VALUE"""),"p_423c7288a7c9cbf6484b3ebe2cfb649c0cf84cf4@inbound.aiesec.org")</f>
        <v>p_423c7288a7c9cbf6484b3ebe2cfb649c0cf84cf4@inbound.aiesec.org</v>
      </c>
      <c r="F907" s="43">
        <f>IFERROR(__xludf.DUMMYFUNCTION("""COMPUTED_VALUE"""),5.319358844E9)</f>
        <v>5319358844</v>
      </c>
      <c r="G907" s="43" t="str">
        <f>IFERROR(__xludf.DUMMYFUNCTION("""COMPUTED_VALUE"""),"Turkey")</f>
        <v>Turkey</v>
      </c>
      <c r="H907" s="43" t="str">
        <f>IFERROR(__xludf.DUMMYFUNCTION("""COMPUTED_VALUE"""),"ISTANBUL ASIA")</f>
        <v>ISTANBUL ASIA</v>
      </c>
      <c r="I907" s="43" t="str">
        <f>IFERROR(__xludf.DUMMYFUNCTION("""COMPUTED_VALUE"""),"Sri Lanka")</f>
        <v>Sri Lanka</v>
      </c>
      <c r="J907" s="43" t="str">
        <f>IFERROR(__xludf.DUMMYFUNCTION("""COMPUTED_VALUE"""),"SLIIT")</f>
        <v>SLIIT</v>
      </c>
      <c r="K907" s="44" t="str">
        <f>IFERROR(__xludf.DUMMYFUNCTION("""COMPUTED_VALUE"""),"https://expa.aiesec.org/opportunities/1291317")</f>
        <v>https://expa.aiesec.org/opportunities/1291317</v>
      </c>
      <c r="L907" s="43" t="str">
        <f>IFERROR(__xludf.DUMMYFUNCTION("""COMPUTED_VALUE"""),"GV")</f>
        <v>GV</v>
      </c>
      <c r="M907" s="43" t="str">
        <f>IFERROR(__xludf.DUMMYFUNCTION("""COMPUTED_VALUE"""),"short")</f>
        <v>short</v>
      </c>
      <c r="N907" s="45">
        <f>IFERROR(__xludf.DUMMYFUNCTION("""COMPUTED_VALUE"""),45122.0)</f>
        <v>45122</v>
      </c>
      <c r="O907" s="45">
        <f>IFERROR(__xludf.DUMMYFUNCTION("""COMPUTED_VALUE"""),45144.0)</f>
        <v>45144</v>
      </c>
      <c r="P907" s="45">
        <f>IFERROR(__xludf.DUMMYFUNCTION("""COMPUTED_VALUE"""),45186.0)</f>
        <v>45186</v>
      </c>
      <c r="Q907" s="45">
        <f>IFERROR(__xludf.DUMMYFUNCTION("""COMPUTED_VALUE"""),45200.0)</f>
        <v>45200</v>
      </c>
      <c r="R907" s="45">
        <f>IFERROR(__xludf.DUMMYFUNCTION("""COMPUTED_VALUE"""),45242.0)</f>
        <v>45242</v>
      </c>
      <c r="S907" s="43"/>
      <c r="T907" s="43"/>
      <c r="U907" s="43" t="str">
        <f>IFERROR(__xludf.DUMMYFUNCTION("""COMPUTED_VALUE"""),"Green Leaders")</f>
        <v>Green Leaders</v>
      </c>
      <c r="V907" s="43" t="str">
        <f>IFERROR(__xludf.DUMMYFUNCTION("""COMPUTED_VALUE"""),"ISTANBUL ASIA")</f>
        <v>ISTANBUL ASIA</v>
      </c>
      <c r="W907" s="43" t="str">
        <f>IFERROR(__xludf.DUMMYFUNCTION("""COMPUTED_VALUE"""),"2023-01-14T22:03:46Z")</f>
        <v>2023-01-14T22:03:46Z</v>
      </c>
      <c r="X907" s="43"/>
      <c r="Y907" s="43"/>
      <c r="Z907" s="43"/>
    </row>
    <row r="908" hidden="1">
      <c r="A908" s="43" t="str">
        <f>IFERROR(__xludf.DUMMYFUNCTION("""COMPUTED_VALUE"""),"5285634_1293333")</f>
        <v>5285634_1293333</v>
      </c>
      <c r="B908" s="43" t="str">
        <f>IFERROR(__xludf.DUMMYFUNCTION("""COMPUTED_VALUE"""),"Helen nur Yagan")</f>
        <v>Helen nur Yagan</v>
      </c>
      <c r="C908" s="43" t="str">
        <f>IFERROR(__xludf.DUMMYFUNCTION("""COMPUTED_VALUE"""),"completed")</f>
        <v>completed</v>
      </c>
      <c r="D908" s="43" t="str">
        <f>IFERROR(__xludf.DUMMYFUNCTION("""COMPUTED_VALUE"""),"No")</f>
        <v>No</v>
      </c>
      <c r="E908" s="43" t="str">
        <f>IFERROR(__xludf.DUMMYFUNCTION("""COMPUTED_VALUE"""),"p_251dc8e0a40dad57c005883958fe88c4d9f8466a@inbound.aiesec.org")</f>
        <v>p_251dc8e0a40dad57c005883958fe88c4d9f8466a@inbound.aiesec.org</v>
      </c>
      <c r="F908" s="43">
        <f>IFERROR(__xludf.DUMMYFUNCTION("""COMPUTED_VALUE"""),5.523010527E9)</f>
        <v>5523010527</v>
      </c>
      <c r="G908" s="43" t="str">
        <f>IFERROR(__xludf.DUMMYFUNCTION("""COMPUTED_VALUE"""),"Turkey")</f>
        <v>Turkey</v>
      </c>
      <c r="H908" s="43" t="str">
        <f>IFERROR(__xludf.DUMMYFUNCTION("""COMPUTED_VALUE"""),"ISTANBUL WEST")</f>
        <v>ISTANBUL WEST</v>
      </c>
      <c r="I908" s="43" t="str">
        <f>IFERROR(__xludf.DUMMYFUNCTION("""COMPUTED_VALUE"""),"Poland")</f>
        <v>Poland</v>
      </c>
      <c r="J908" s="43" t="str">
        <f>IFERROR(__xludf.DUMMYFUNCTION("""COMPUTED_VALUE"""),"WARSZAWA SGH")</f>
        <v>WARSZAWA SGH</v>
      </c>
      <c r="K908" s="44" t="str">
        <f>IFERROR(__xludf.DUMMYFUNCTION("""COMPUTED_VALUE"""),"https://expa.aiesec.org/opportunities/1293333")</f>
        <v>https://expa.aiesec.org/opportunities/1293333</v>
      </c>
      <c r="L908" s="43" t="str">
        <f>IFERROR(__xludf.DUMMYFUNCTION("""COMPUTED_VALUE"""),"GV")</f>
        <v>GV</v>
      </c>
      <c r="M908" s="43" t="str">
        <f>IFERROR(__xludf.DUMMYFUNCTION("""COMPUTED_VALUE"""),"short")</f>
        <v>short</v>
      </c>
      <c r="N908" s="45">
        <f>IFERROR(__xludf.DUMMYFUNCTION("""COMPUTED_VALUE"""),45123.0)</f>
        <v>45123</v>
      </c>
      <c r="O908" s="45">
        <f>IFERROR(__xludf.DUMMYFUNCTION("""COMPUTED_VALUE"""),45136.0)</f>
        <v>45136</v>
      </c>
      <c r="P908" s="45">
        <f>IFERROR(__xludf.DUMMYFUNCTION("""COMPUTED_VALUE"""),45178.0)</f>
        <v>45178</v>
      </c>
      <c r="Q908" s="45">
        <f>IFERROR(__xludf.DUMMYFUNCTION("""COMPUTED_VALUE"""),45124.0)</f>
        <v>45124</v>
      </c>
      <c r="R908" s="45">
        <f>IFERROR(__xludf.DUMMYFUNCTION("""COMPUTED_VALUE"""),45178.0)</f>
        <v>45178</v>
      </c>
      <c r="S908" s="43"/>
      <c r="T908" s="43"/>
      <c r="U908" s="43" t="str">
        <f>IFERROR(__xludf.DUMMYFUNCTION("""COMPUTED_VALUE"""),"Global Classroom")</f>
        <v>Global Classroom</v>
      </c>
      <c r="V908" s="43" t="str">
        <f>IFERROR(__xludf.DUMMYFUNCTION("""COMPUTED_VALUE"""),"ISTANBUL - BAKIRKOY")</f>
        <v>ISTANBUL - BAKIRKOY</v>
      </c>
      <c r="W908" s="43" t="str">
        <f>IFERROR(__xludf.DUMMYFUNCTION("""COMPUTED_VALUE"""),"2023-07-15T22:26:03Z")</f>
        <v>2023-07-15T22:26:03Z</v>
      </c>
      <c r="X908" s="43"/>
      <c r="Y908" s="43"/>
      <c r="Z908" s="43"/>
    </row>
    <row r="909" hidden="1">
      <c r="A909" s="43" t="str">
        <f>IFERROR(__xludf.DUMMYFUNCTION("""COMPUTED_VALUE"""),"5283856_1292728")</f>
        <v>5283856_1292728</v>
      </c>
      <c r="B909" s="43" t="str">
        <f>IFERROR(__xludf.DUMMYFUNCTION("""COMPUTED_VALUE"""),"Beyza Nur Yılmazcan")</f>
        <v>Beyza Nur Yılmazcan</v>
      </c>
      <c r="C909" s="43" t="str">
        <f>IFERROR(__xludf.DUMMYFUNCTION("""COMPUTED_VALUE"""),"completed")</f>
        <v>completed</v>
      </c>
      <c r="D909" s="43" t="str">
        <f>IFERROR(__xludf.DUMMYFUNCTION("""COMPUTED_VALUE"""),"No")</f>
        <v>No</v>
      </c>
      <c r="E909" s="43" t="str">
        <f>IFERROR(__xludf.DUMMYFUNCTION("""COMPUTED_VALUE"""),"p_6486f89914d8d63e210756601c7894690e1915af@inbound.aiesec.org")</f>
        <v>p_6486f89914d8d63e210756601c7894690e1915af@inbound.aiesec.org</v>
      </c>
      <c r="F909" s="43"/>
      <c r="G909" s="43" t="str">
        <f>IFERROR(__xludf.DUMMYFUNCTION("""COMPUTED_VALUE"""),"Turkey")</f>
        <v>Turkey</v>
      </c>
      <c r="H909" s="43" t="str">
        <f>IFERROR(__xludf.DUMMYFUNCTION("""COMPUTED_VALUE"""),"ISTANBUL ASIA")</f>
        <v>ISTANBUL ASIA</v>
      </c>
      <c r="I909" s="43" t="str">
        <f>IFERROR(__xludf.DUMMYFUNCTION("""COMPUTED_VALUE"""),"Tunisia")</f>
        <v>Tunisia</v>
      </c>
      <c r="J909" s="43" t="str">
        <f>IFERROR(__xludf.DUMMYFUNCTION("""COMPUTED_VALUE"""),"NABEL")</f>
        <v>NABEL</v>
      </c>
      <c r="K909" s="44" t="str">
        <f>IFERROR(__xludf.DUMMYFUNCTION("""COMPUTED_VALUE"""),"https://expa.aiesec.org/opportunities/1292728")</f>
        <v>https://expa.aiesec.org/opportunities/1292728</v>
      </c>
      <c r="L909" s="43" t="str">
        <f>IFERROR(__xludf.DUMMYFUNCTION("""COMPUTED_VALUE"""),"GV")</f>
        <v>GV</v>
      </c>
      <c r="M909" s="43" t="str">
        <f>IFERROR(__xludf.DUMMYFUNCTION("""COMPUTED_VALUE"""),"short")</f>
        <v>short</v>
      </c>
      <c r="N909" s="45">
        <f>IFERROR(__xludf.DUMMYFUNCTION("""COMPUTED_VALUE"""),45123.0)</f>
        <v>45123</v>
      </c>
      <c r="O909" s="45">
        <f>IFERROR(__xludf.DUMMYFUNCTION("""COMPUTED_VALUE"""),45139.0)</f>
        <v>45139</v>
      </c>
      <c r="P909" s="45">
        <f>IFERROR(__xludf.DUMMYFUNCTION("""COMPUTED_VALUE"""),45184.0)</f>
        <v>45184</v>
      </c>
      <c r="Q909" s="45">
        <f>IFERROR(__xludf.DUMMYFUNCTION("""COMPUTED_VALUE"""),45139.0)</f>
        <v>45139</v>
      </c>
      <c r="R909" s="45">
        <f>IFERROR(__xludf.DUMMYFUNCTION("""COMPUTED_VALUE"""),45184.0)</f>
        <v>45184</v>
      </c>
      <c r="S909" s="43"/>
      <c r="T909" s="43"/>
      <c r="U909" s="43" t="str">
        <f>IFERROR(__xludf.DUMMYFUNCTION("""COMPUTED_VALUE"""),"Global Classroom")</f>
        <v>Global Classroom</v>
      </c>
      <c r="V909" s="43" t="str">
        <f>IFERROR(__xludf.DUMMYFUNCTION("""COMPUTED_VALUE"""),"-")</f>
        <v>-</v>
      </c>
      <c r="W909" s="43" t="str">
        <f>IFERROR(__xludf.DUMMYFUNCTION("""COMPUTED_VALUE"""),"2023-07-10T11:17:17Z")</f>
        <v>2023-07-10T11:17:17Z</v>
      </c>
      <c r="X909" s="43"/>
      <c r="Y909" s="43"/>
      <c r="Z909" s="43"/>
    </row>
    <row r="910" hidden="1">
      <c r="A910" s="43" t="str">
        <f>IFERROR(__xludf.DUMMYFUNCTION("""COMPUTED_VALUE"""),"5252389_1290024")</f>
        <v>5252389_1290024</v>
      </c>
      <c r="B910" s="43" t="str">
        <f>IFERROR(__xludf.DUMMYFUNCTION("""COMPUTED_VALUE"""),"Sabrullah Levent")</f>
        <v>Sabrullah Levent</v>
      </c>
      <c r="C910" s="43" t="str">
        <f>IFERROR(__xludf.DUMMYFUNCTION("""COMPUTED_VALUE"""),"approved")</f>
        <v>approved</v>
      </c>
      <c r="D910" s="43" t="str">
        <f>IFERROR(__xludf.DUMMYFUNCTION("""COMPUTED_VALUE"""),"No")</f>
        <v>No</v>
      </c>
      <c r="E910" s="43" t="str">
        <f>IFERROR(__xludf.DUMMYFUNCTION("""COMPUTED_VALUE"""),"p_38080c4f39c311155a615a03adf5a4670df1f6dd@inbound.aiesec.org")</f>
        <v>p_38080c4f39c311155a615a03adf5a4670df1f6dd@inbound.aiesec.org</v>
      </c>
      <c r="F910" s="43">
        <f>IFERROR(__xludf.DUMMYFUNCTION("""COMPUTED_VALUE"""),5.052085025E9)</f>
        <v>5052085025</v>
      </c>
      <c r="G910" s="43" t="str">
        <f>IFERROR(__xludf.DUMMYFUNCTION("""COMPUTED_VALUE"""),"Turkey")</f>
        <v>Turkey</v>
      </c>
      <c r="H910" s="43" t="str">
        <f>IFERROR(__xludf.DUMMYFUNCTION("""COMPUTED_VALUE"""),"SAKARYA")</f>
        <v>SAKARYA</v>
      </c>
      <c r="I910" s="43" t="str">
        <f>IFERROR(__xludf.DUMMYFUNCTION("""COMPUTED_VALUE"""),"Egypt")</f>
        <v>Egypt</v>
      </c>
      <c r="J910" s="43" t="str">
        <f>IFERROR(__xludf.DUMMYFUNCTION("""COMPUTED_VALUE"""),"Ain Shams University")</f>
        <v>Ain Shams University</v>
      </c>
      <c r="K910" s="44" t="str">
        <f>IFERROR(__xludf.DUMMYFUNCTION("""COMPUTED_VALUE"""),"https://expa.aiesec.org/opportunities/1290024")</f>
        <v>https://expa.aiesec.org/opportunities/1290024</v>
      </c>
      <c r="L910" s="43" t="str">
        <f>IFERROR(__xludf.DUMMYFUNCTION("""COMPUTED_VALUE"""),"GV")</f>
        <v>GV</v>
      </c>
      <c r="M910" s="43" t="str">
        <f>IFERROR(__xludf.DUMMYFUNCTION("""COMPUTED_VALUE"""),"short")</f>
        <v>short</v>
      </c>
      <c r="N910" s="45">
        <f>IFERROR(__xludf.DUMMYFUNCTION("""COMPUTED_VALUE"""),45124.0)</f>
        <v>45124</v>
      </c>
      <c r="O910" s="45">
        <f>IFERROR(__xludf.DUMMYFUNCTION("""COMPUTED_VALUE"""),45170.0)</f>
        <v>45170</v>
      </c>
      <c r="P910" s="45">
        <f>IFERROR(__xludf.DUMMYFUNCTION("""COMPUTED_VALUE"""),45212.0)</f>
        <v>45212</v>
      </c>
      <c r="Q910" s="45"/>
      <c r="R910" s="45"/>
      <c r="S910" s="43"/>
      <c r="T910" s="43"/>
      <c r="U910" s="43" t="str">
        <f>IFERROR(__xludf.DUMMYFUNCTION("""COMPUTED_VALUE"""),"On The Map")</f>
        <v>On The Map</v>
      </c>
      <c r="V910" s="43" t="str">
        <f>IFERROR(__xludf.DUMMYFUNCTION("""COMPUTED_VALUE"""),"ISTANBUL ASIA")</f>
        <v>ISTANBUL ASIA</v>
      </c>
      <c r="W910" s="43" t="str">
        <f>IFERROR(__xludf.DUMMYFUNCTION("""COMPUTED_VALUE"""),"2023-04-29T10:31:32Z")</f>
        <v>2023-04-29T10:31:32Z</v>
      </c>
      <c r="X910" s="43"/>
      <c r="Y910" s="43"/>
      <c r="Z910" s="43"/>
    </row>
    <row r="911" hidden="1">
      <c r="A911" s="43" t="str">
        <f>IFERROR(__xludf.DUMMYFUNCTION("""COMPUTED_VALUE"""),"5275389_1296727")</f>
        <v>5275389_1296727</v>
      </c>
      <c r="B911" s="43" t="str">
        <f>IFERROR(__xludf.DUMMYFUNCTION("""COMPUTED_VALUE"""),"Zülal Çınar")</f>
        <v>Zülal Çınar</v>
      </c>
      <c r="C911" s="43" t="str">
        <f>IFERROR(__xludf.DUMMYFUNCTION("""COMPUTED_VALUE"""),"completed")</f>
        <v>completed</v>
      </c>
      <c r="D911" s="43" t="str">
        <f>IFERROR(__xludf.DUMMYFUNCTION("""COMPUTED_VALUE"""),"No")</f>
        <v>No</v>
      </c>
      <c r="E911" s="43" t="str">
        <f>IFERROR(__xludf.DUMMYFUNCTION("""COMPUTED_VALUE"""),"p_34ff86e365b0c63b5dea7b8728e085a3d0762f22@inbound.aiesec.org")</f>
        <v>p_34ff86e365b0c63b5dea7b8728e085a3d0762f22@inbound.aiesec.org</v>
      </c>
      <c r="F911" s="43">
        <f>IFERROR(__xludf.DUMMYFUNCTION("""COMPUTED_VALUE"""),5.417267375E9)</f>
        <v>5417267375</v>
      </c>
      <c r="G911" s="43" t="str">
        <f>IFERROR(__xludf.DUMMYFUNCTION("""COMPUTED_VALUE"""),"Turkey")</f>
        <v>Turkey</v>
      </c>
      <c r="H911" s="43" t="str">
        <f>IFERROR(__xludf.DUMMYFUNCTION("""COMPUTED_VALUE"""),"ISTANBUL ASIA")</f>
        <v>ISTANBUL ASIA</v>
      </c>
      <c r="I911" s="43" t="str">
        <f>IFERROR(__xludf.DUMMYFUNCTION("""COMPUTED_VALUE"""),"Georgia")</f>
        <v>Georgia</v>
      </c>
      <c r="J911" s="43" t="str">
        <f>IFERROR(__xludf.DUMMYFUNCTION("""COMPUTED_VALUE"""),"TBILISI")</f>
        <v>TBILISI</v>
      </c>
      <c r="K911" s="44" t="str">
        <f>IFERROR(__xludf.DUMMYFUNCTION("""COMPUTED_VALUE"""),"https://expa.aiesec.org/opportunities/1296727")</f>
        <v>https://expa.aiesec.org/opportunities/1296727</v>
      </c>
      <c r="L911" s="43" t="str">
        <f>IFERROR(__xludf.DUMMYFUNCTION("""COMPUTED_VALUE"""),"GV")</f>
        <v>GV</v>
      </c>
      <c r="M911" s="43" t="str">
        <f>IFERROR(__xludf.DUMMYFUNCTION("""COMPUTED_VALUE"""),"short")</f>
        <v>short</v>
      </c>
      <c r="N911" s="45">
        <f>IFERROR(__xludf.DUMMYFUNCTION("""COMPUTED_VALUE"""),45124.0)</f>
        <v>45124</v>
      </c>
      <c r="O911" s="45">
        <f>IFERROR(__xludf.DUMMYFUNCTION("""COMPUTED_VALUE"""),45133.0)</f>
        <v>45133</v>
      </c>
      <c r="P911" s="45">
        <f>IFERROR(__xludf.DUMMYFUNCTION("""COMPUTED_VALUE"""),45175.0)</f>
        <v>45175</v>
      </c>
      <c r="Q911" s="45">
        <f>IFERROR(__xludf.DUMMYFUNCTION("""COMPUTED_VALUE"""),45165.0)</f>
        <v>45165</v>
      </c>
      <c r="R911" s="45">
        <f>IFERROR(__xludf.DUMMYFUNCTION("""COMPUTED_VALUE"""),45175.0)</f>
        <v>45175</v>
      </c>
      <c r="S911" s="43"/>
      <c r="T911" s="43"/>
      <c r="U911" s="43" t="str">
        <f>IFERROR(__xludf.DUMMYFUNCTION("""COMPUTED_VALUE"""),"Global Classroom")</f>
        <v>Global Classroom</v>
      </c>
      <c r="V911" s="43" t="str">
        <f>IFERROR(__xludf.DUMMYFUNCTION("""COMPUTED_VALUE"""),"SAKARYA")</f>
        <v>SAKARYA</v>
      </c>
      <c r="W911" s="43" t="str">
        <f>IFERROR(__xludf.DUMMYFUNCTION("""COMPUTED_VALUE"""),"2023-06-14T19:21:21Z")</f>
        <v>2023-06-14T19:21:21Z</v>
      </c>
      <c r="X911" s="43"/>
      <c r="Y911" s="43"/>
      <c r="Z911" s="43"/>
    </row>
    <row r="912" hidden="1">
      <c r="A912" s="43" t="str">
        <f>IFERROR(__xludf.DUMMYFUNCTION("""COMPUTED_VALUE"""),"5269130_1294209")</f>
        <v>5269130_1294209</v>
      </c>
      <c r="B912" s="43" t="str">
        <f>IFERROR(__xludf.DUMMYFUNCTION("""COMPUTED_VALUE"""),"Devrim Can Çete")</f>
        <v>Devrim Can Çete</v>
      </c>
      <c r="C912" s="43" t="str">
        <f>IFERROR(__xludf.DUMMYFUNCTION("""COMPUTED_VALUE"""),"completed")</f>
        <v>completed</v>
      </c>
      <c r="D912" s="43" t="str">
        <f>IFERROR(__xludf.DUMMYFUNCTION("""COMPUTED_VALUE"""),"No")</f>
        <v>No</v>
      </c>
      <c r="E912" s="43" t="str">
        <f>IFERROR(__xludf.DUMMYFUNCTION("""COMPUTED_VALUE"""),"p_24262e627d22307bf48e5385f521d5ac16e2a48e@inbound.aiesec.org")</f>
        <v>p_24262e627d22307bf48e5385f521d5ac16e2a48e@inbound.aiesec.org</v>
      </c>
      <c r="F912" s="43"/>
      <c r="G912" s="43" t="str">
        <f>IFERROR(__xludf.DUMMYFUNCTION("""COMPUTED_VALUE"""),"Turkey")</f>
        <v>Turkey</v>
      </c>
      <c r="H912" s="43" t="str">
        <f>IFERROR(__xludf.DUMMYFUNCTION("""COMPUTED_VALUE"""),"EASTERN MEDITERRANEAN")</f>
        <v>EASTERN MEDITERRANEAN</v>
      </c>
      <c r="I912" s="43" t="str">
        <f>IFERROR(__xludf.DUMMYFUNCTION("""COMPUTED_VALUE"""),"Moldova")</f>
        <v>Moldova</v>
      </c>
      <c r="J912" s="43" t="str">
        <f>IFERROR(__xludf.DUMMYFUNCTION("""COMPUTED_VALUE"""),"CHISINAU")</f>
        <v>CHISINAU</v>
      </c>
      <c r="K912" s="44" t="str">
        <f>IFERROR(__xludf.DUMMYFUNCTION("""COMPUTED_VALUE"""),"https://expa.aiesec.org/opportunities/1294209")</f>
        <v>https://expa.aiesec.org/opportunities/1294209</v>
      </c>
      <c r="L912" s="43" t="str">
        <f>IFERROR(__xludf.DUMMYFUNCTION("""COMPUTED_VALUE"""),"GV")</f>
        <v>GV</v>
      </c>
      <c r="M912" s="43" t="str">
        <f>IFERROR(__xludf.DUMMYFUNCTION("""COMPUTED_VALUE"""),"short")</f>
        <v>short</v>
      </c>
      <c r="N912" s="45">
        <f>IFERROR(__xludf.DUMMYFUNCTION("""COMPUTED_VALUE"""),45124.0)</f>
        <v>45124</v>
      </c>
      <c r="O912" s="45">
        <f>IFERROR(__xludf.DUMMYFUNCTION("""COMPUTED_VALUE"""),45124.0)</f>
        <v>45124</v>
      </c>
      <c r="P912" s="45">
        <f>IFERROR(__xludf.DUMMYFUNCTION("""COMPUTED_VALUE"""),45166.0)</f>
        <v>45166</v>
      </c>
      <c r="Q912" s="45">
        <f>IFERROR(__xludf.DUMMYFUNCTION("""COMPUTED_VALUE"""),45124.0)</f>
        <v>45124</v>
      </c>
      <c r="R912" s="45">
        <f>IFERROR(__xludf.DUMMYFUNCTION("""COMPUTED_VALUE"""),45166.0)</f>
        <v>45166</v>
      </c>
      <c r="S912" s="43"/>
      <c r="T912" s="43"/>
      <c r="U912" s="43" t="str">
        <f>IFERROR(__xludf.DUMMYFUNCTION("""COMPUTED_VALUE"""),"On The Map")</f>
        <v>On The Map</v>
      </c>
      <c r="V912" s="43" t="str">
        <f>IFERROR(__xludf.DUMMYFUNCTION("""COMPUTED_VALUE"""),"NORTH CYPRUS")</f>
        <v>NORTH CYPRUS</v>
      </c>
      <c r="W912" s="43" t="str">
        <f>IFERROR(__xludf.DUMMYFUNCTION("""COMPUTED_VALUE"""),"2023-05-30T20:41:10Z")</f>
        <v>2023-05-30T20:41:10Z</v>
      </c>
      <c r="X912" s="43"/>
      <c r="Y912" s="43"/>
      <c r="Z912" s="43"/>
    </row>
    <row r="913" hidden="1">
      <c r="A913" s="43" t="str">
        <f>IFERROR(__xludf.DUMMYFUNCTION("""COMPUTED_VALUE"""),"5124515_1294209")</f>
        <v>5124515_1294209</v>
      </c>
      <c r="B913" s="43" t="str">
        <f>IFERROR(__xludf.DUMMYFUNCTION("""COMPUTED_VALUE"""),"Aysel Yörük")</f>
        <v>Aysel Yörük</v>
      </c>
      <c r="C913" s="43" t="str">
        <f>IFERROR(__xludf.DUMMYFUNCTION("""COMPUTED_VALUE"""),"completed")</f>
        <v>completed</v>
      </c>
      <c r="D913" s="43" t="str">
        <f>IFERROR(__xludf.DUMMYFUNCTION("""COMPUTED_VALUE"""),"No")</f>
        <v>No</v>
      </c>
      <c r="E913" s="43" t="str">
        <f>IFERROR(__xludf.DUMMYFUNCTION("""COMPUTED_VALUE"""),"p_1864f7819bb34e298b33660faa42a635f381fbf9@inbound.aiesec.org")</f>
        <v>p_1864f7819bb34e298b33660faa42a635f381fbf9@inbound.aiesec.org</v>
      </c>
      <c r="F913" s="43">
        <f>IFERROR(__xludf.DUMMYFUNCTION("""COMPUTED_VALUE"""),5.375805007E9)</f>
        <v>5375805007</v>
      </c>
      <c r="G913" s="43" t="str">
        <f>IFERROR(__xludf.DUMMYFUNCTION("""COMPUTED_VALUE"""),"Turkey")</f>
        <v>Turkey</v>
      </c>
      <c r="H913" s="43" t="str">
        <f>IFERROR(__xludf.DUMMYFUNCTION("""COMPUTED_VALUE"""),"ANKARA")</f>
        <v>ANKARA</v>
      </c>
      <c r="I913" s="43" t="str">
        <f>IFERROR(__xludf.DUMMYFUNCTION("""COMPUTED_VALUE"""),"Moldova")</f>
        <v>Moldova</v>
      </c>
      <c r="J913" s="43" t="str">
        <f>IFERROR(__xludf.DUMMYFUNCTION("""COMPUTED_VALUE"""),"CHISINAU")</f>
        <v>CHISINAU</v>
      </c>
      <c r="K913" s="44" t="str">
        <f>IFERROR(__xludf.DUMMYFUNCTION("""COMPUTED_VALUE"""),"https://expa.aiesec.org/opportunities/1294209")</f>
        <v>https://expa.aiesec.org/opportunities/1294209</v>
      </c>
      <c r="L913" s="43" t="str">
        <f>IFERROR(__xludf.DUMMYFUNCTION("""COMPUTED_VALUE"""),"GV")</f>
        <v>GV</v>
      </c>
      <c r="M913" s="43" t="str">
        <f>IFERROR(__xludf.DUMMYFUNCTION("""COMPUTED_VALUE"""),"short")</f>
        <v>short</v>
      </c>
      <c r="N913" s="45">
        <f>IFERROR(__xludf.DUMMYFUNCTION("""COMPUTED_VALUE"""),45124.0)</f>
        <v>45124</v>
      </c>
      <c r="O913" s="45">
        <f>IFERROR(__xludf.DUMMYFUNCTION("""COMPUTED_VALUE"""),45124.0)</f>
        <v>45124</v>
      </c>
      <c r="P913" s="45">
        <f>IFERROR(__xludf.DUMMYFUNCTION("""COMPUTED_VALUE"""),45166.0)</f>
        <v>45166</v>
      </c>
      <c r="Q913" s="45">
        <f>IFERROR(__xludf.DUMMYFUNCTION("""COMPUTED_VALUE"""),45124.0)</f>
        <v>45124</v>
      </c>
      <c r="R913" s="45">
        <f>IFERROR(__xludf.DUMMYFUNCTION("""COMPUTED_VALUE"""),45166.0)</f>
        <v>45166</v>
      </c>
      <c r="S913" s="43"/>
      <c r="T913" s="43"/>
      <c r="U913" s="43" t="str">
        <f>IFERROR(__xludf.DUMMYFUNCTION("""COMPUTED_VALUE"""),"On The Map")</f>
        <v>On The Map</v>
      </c>
      <c r="V913" s="43" t="str">
        <f>IFERROR(__xludf.DUMMYFUNCTION("""COMPUTED_VALUE"""),"ANKARA")</f>
        <v>ANKARA</v>
      </c>
      <c r="W913" s="43" t="str">
        <f>IFERROR(__xludf.DUMMYFUNCTION("""COMPUTED_VALUE"""),"2022-10-03T17:51:41Z")</f>
        <v>2022-10-03T17:51:41Z</v>
      </c>
      <c r="X913" s="43"/>
      <c r="Y913" s="43"/>
      <c r="Z913" s="43"/>
    </row>
    <row r="914" hidden="1">
      <c r="A914" s="43" t="str">
        <f>IFERROR(__xludf.DUMMYFUNCTION("""COMPUTED_VALUE"""),"5284057_1296994")</f>
        <v>5284057_1296994</v>
      </c>
      <c r="B914" s="43" t="str">
        <f>IFERROR(__xludf.DUMMYFUNCTION("""COMPUTED_VALUE"""),"Ece Nur Öngören")</f>
        <v>Ece Nur Öngören</v>
      </c>
      <c r="C914" s="43" t="str">
        <f>IFERROR(__xludf.DUMMYFUNCTION("""COMPUTED_VALUE"""),"completed")</f>
        <v>completed</v>
      </c>
      <c r="D914" s="43" t="str">
        <f>IFERROR(__xludf.DUMMYFUNCTION("""COMPUTED_VALUE"""),"No")</f>
        <v>No</v>
      </c>
      <c r="E914" s="43" t="str">
        <f>IFERROR(__xludf.DUMMYFUNCTION("""COMPUTED_VALUE"""),"p_6ac7baaac74d96d69974e9e063c3aa0b162388a0@inbound.aiesec.org")</f>
        <v>p_6ac7baaac74d96d69974e9e063c3aa0b162388a0@inbound.aiesec.org</v>
      </c>
      <c r="F914" s="43">
        <f>IFERROR(__xludf.DUMMYFUNCTION("""COMPUTED_VALUE"""),5.534051711E9)</f>
        <v>5534051711</v>
      </c>
      <c r="G914" s="43" t="str">
        <f>IFERROR(__xludf.DUMMYFUNCTION("""COMPUTED_VALUE"""),"Turkey")</f>
        <v>Turkey</v>
      </c>
      <c r="H914" s="43" t="str">
        <f>IFERROR(__xludf.DUMMYFUNCTION("""COMPUTED_VALUE"""),"İZMİR")</f>
        <v>İZMİR</v>
      </c>
      <c r="I914" s="43" t="str">
        <f>IFERROR(__xludf.DUMMYFUNCTION("""COMPUTED_VALUE"""),"Romania")</f>
        <v>Romania</v>
      </c>
      <c r="J914" s="43" t="str">
        <f>IFERROR(__xludf.DUMMYFUNCTION("""COMPUTED_VALUE"""),"Craiova")</f>
        <v>Craiova</v>
      </c>
      <c r="K914" s="44" t="str">
        <f>IFERROR(__xludf.DUMMYFUNCTION("""COMPUTED_VALUE"""),"https://expa.aiesec.org/opportunities/1296994")</f>
        <v>https://expa.aiesec.org/opportunities/1296994</v>
      </c>
      <c r="L914" s="43" t="str">
        <f>IFERROR(__xludf.DUMMYFUNCTION("""COMPUTED_VALUE"""),"GV")</f>
        <v>GV</v>
      </c>
      <c r="M914" s="43" t="str">
        <f>IFERROR(__xludf.DUMMYFUNCTION("""COMPUTED_VALUE"""),"short")</f>
        <v>short</v>
      </c>
      <c r="N914" s="45">
        <f>IFERROR(__xludf.DUMMYFUNCTION("""COMPUTED_VALUE"""),45125.0)</f>
        <v>45125</v>
      </c>
      <c r="O914" s="45">
        <f>IFERROR(__xludf.DUMMYFUNCTION("""COMPUTED_VALUE"""),45201.0)</f>
        <v>45201</v>
      </c>
      <c r="P914" s="45">
        <f>IFERROR(__xludf.DUMMYFUNCTION("""COMPUTED_VALUE"""),45243.0)</f>
        <v>45243</v>
      </c>
      <c r="Q914" s="45">
        <f>IFERROR(__xludf.DUMMYFUNCTION("""COMPUTED_VALUE"""),45201.0)</f>
        <v>45201</v>
      </c>
      <c r="R914" s="45">
        <f>IFERROR(__xludf.DUMMYFUNCTION("""COMPUTED_VALUE"""),45243.0)</f>
        <v>45243</v>
      </c>
      <c r="S914" s="43"/>
      <c r="T914" s="43"/>
      <c r="U914" s="43" t="str">
        <f>IFERROR(__xludf.DUMMYFUNCTION("""COMPUTED_VALUE"""),"Eat 4 Change")</f>
        <v>Eat 4 Change</v>
      </c>
      <c r="V914" s="43" t="str">
        <f>IFERROR(__xludf.DUMMYFUNCTION("""COMPUTED_VALUE"""),"IZMIR")</f>
        <v>IZMIR</v>
      </c>
      <c r="W914" s="43" t="str">
        <f>IFERROR(__xludf.DUMMYFUNCTION("""COMPUTED_VALUE"""),"2023-07-10T17:42:36Z")</f>
        <v>2023-07-10T17:42:36Z</v>
      </c>
      <c r="X914" s="43"/>
      <c r="Y914" s="43"/>
      <c r="Z914" s="43"/>
    </row>
    <row r="915" hidden="1">
      <c r="A915" s="43" t="str">
        <f>IFERROR(__xludf.DUMMYFUNCTION("""COMPUTED_VALUE"""),"5267073_1294662")</f>
        <v>5267073_1294662</v>
      </c>
      <c r="B915" s="43" t="str">
        <f>IFERROR(__xludf.DUMMYFUNCTION("""COMPUTED_VALUE"""),"Elif Nur Uran")</f>
        <v>Elif Nur Uran</v>
      </c>
      <c r="C915" s="43" t="str">
        <f>IFERROR(__xludf.DUMMYFUNCTION("""COMPUTED_VALUE"""),"approved")</f>
        <v>approved</v>
      </c>
      <c r="D915" s="43" t="str">
        <f>IFERROR(__xludf.DUMMYFUNCTION("""COMPUTED_VALUE"""),"No")</f>
        <v>No</v>
      </c>
      <c r="E915" s="43" t="str">
        <f>IFERROR(__xludf.DUMMYFUNCTION("""COMPUTED_VALUE"""),"p_60d59e828bc1fb3b4ce6f4c127dcc709c626d737@inbound.aiesec.org")</f>
        <v>p_60d59e828bc1fb3b4ce6f4c127dcc709c626d737@inbound.aiesec.org</v>
      </c>
      <c r="F915" s="43">
        <f>IFERROR(__xludf.DUMMYFUNCTION("""COMPUTED_VALUE"""),5.32686128E9)</f>
        <v>5326861280</v>
      </c>
      <c r="G915" s="43" t="str">
        <f>IFERROR(__xludf.DUMMYFUNCTION("""COMPUTED_VALUE"""),"Turkey")</f>
        <v>Turkey</v>
      </c>
      <c r="H915" s="43" t="str">
        <f>IFERROR(__xludf.DUMMYFUNCTION("""COMPUTED_VALUE"""),"ANKARA")</f>
        <v>ANKARA</v>
      </c>
      <c r="I915" s="43" t="str">
        <f>IFERROR(__xludf.DUMMYFUNCTION("""COMPUTED_VALUE"""),"Poland")</f>
        <v>Poland</v>
      </c>
      <c r="J915" s="43" t="str">
        <f>IFERROR(__xludf.DUMMYFUNCTION("""COMPUTED_VALUE"""),"KIELCE")</f>
        <v>KIELCE</v>
      </c>
      <c r="K915" s="44" t="str">
        <f>IFERROR(__xludf.DUMMYFUNCTION("""COMPUTED_VALUE"""),"https://expa.aiesec.org/opportunities/1294662")</f>
        <v>https://expa.aiesec.org/opportunities/1294662</v>
      </c>
      <c r="L915" s="43" t="str">
        <f>IFERROR(__xludf.DUMMYFUNCTION("""COMPUTED_VALUE"""),"GV")</f>
        <v>GV</v>
      </c>
      <c r="M915" s="43" t="str">
        <f>IFERROR(__xludf.DUMMYFUNCTION("""COMPUTED_VALUE"""),"short")</f>
        <v>short</v>
      </c>
      <c r="N915" s="45">
        <f>IFERROR(__xludf.DUMMYFUNCTION("""COMPUTED_VALUE"""),45125.0)</f>
        <v>45125</v>
      </c>
      <c r="O915" s="45">
        <f>IFERROR(__xludf.DUMMYFUNCTION("""COMPUTED_VALUE"""),45187.0)</f>
        <v>45187</v>
      </c>
      <c r="P915" s="45">
        <f>IFERROR(__xludf.DUMMYFUNCTION("""COMPUTED_VALUE"""),45229.0)</f>
        <v>45229</v>
      </c>
      <c r="Q915" s="45"/>
      <c r="R915" s="45"/>
      <c r="S915" s="43"/>
      <c r="T915" s="43"/>
      <c r="U915" s="43" t="str">
        <f>IFERROR(__xludf.DUMMYFUNCTION("""COMPUTED_VALUE"""),"Global Classroom")</f>
        <v>Global Classroom</v>
      </c>
      <c r="V915" s="43" t="str">
        <f>IFERROR(__xludf.DUMMYFUNCTION("""COMPUTED_VALUE"""),"ANKARA")</f>
        <v>ANKARA</v>
      </c>
      <c r="W915" s="43" t="str">
        <f>IFERROR(__xludf.DUMMYFUNCTION("""COMPUTED_VALUE"""),"2023-05-26T13:37:49Z")</f>
        <v>2023-05-26T13:37:49Z</v>
      </c>
      <c r="X915" s="43"/>
      <c r="Y915" s="43"/>
      <c r="Z915" s="43"/>
    </row>
    <row r="916" hidden="1">
      <c r="A916" s="43" t="str">
        <f>IFERROR(__xludf.DUMMYFUNCTION("""COMPUTED_VALUE"""),"5159094_1290682")</f>
        <v>5159094_1290682</v>
      </c>
      <c r="B916" s="43" t="str">
        <f>IFERROR(__xludf.DUMMYFUNCTION("""COMPUTED_VALUE"""),"Müge Uzun")</f>
        <v>Müge Uzun</v>
      </c>
      <c r="C916" s="43" t="str">
        <f>IFERROR(__xludf.DUMMYFUNCTION("""COMPUTED_VALUE"""),"approved")</f>
        <v>approved</v>
      </c>
      <c r="D916" s="43" t="str">
        <f>IFERROR(__xludf.DUMMYFUNCTION("""COMPUTED_VALUE"""),"No")</f>
        <v>No</v>
      </c>
      <c r="E916" s="43" t="str">
        <f>IFERROR(__xludf.DUMMYFUNCTION("""COMPUTED_VALUE"""),"p_4249eeffee37f6dec71f0ed32ed1707f7c42072f@inbound.aiesec.org")</f>
        <v>p_4249eeffee37f6dec71f0ed32ed1707f7c42072f@inbound.aiesec.org</v>
      </c>
      <c r="F916" s="43">
        <f>IFERROR(__xludf.DUMMYFUNCTION("""COMPUTED_VALUE"""),5.422267997E9)</f>
        <v>5422267997</v>
      </c>
      <c r="G916" s="43" t="str">
        <f>IFERROR(__xludf.DUMMYFUNCTION("""COMPUTED_VALUE"""),"Turkey")</f>
        <v>Turkey</v>
      </c>
      <c r="H916" s="43" t="str">
        <f>IFERROR(__xludf.DUMMYFUNCTION("""COMPUTED_VALUE"""),"ANKARA")</f>
        <v>ANKARA</v>
      </c>
      <c r="I916" s="43" t="str">
        <f>IFERROR(__xludf.DUMMYFUNCTION("""COMPUTED_VALUE"""),"Germany")</f>
        <v>Germany</v>
      </c>
      <c r="J916" s="43" t="str">
        <f>IFERROR(__xludf.DUMMYFUNCTION("""COMPUTED_VALUE"""),"KOELN")</f>
        <v>KOELN</v>
      </c>
      <c r="K916" s="44" t="str">
        <f>IFERROR(__xludf.DUMMYFUNCTION("""COMPUTED_VALUE"""),"https://expa.aiesec.org/opportunities/1290682")</f>
        <v>https://expa.aiesec.org/opportunities/1290682</v>
      </c>
      <c r="L916" s="43" t="str">
        <f>IFERROR(__xludf.DUMMYFUNCTION("""COMPUTED_VALUE"""),"GV")</f>
        <v>GV</v>
      </c>
      <c r="M916" s="43" t="str">
        <f>IFERROR(__xludf.DUMMYFUNCTION("""COMPUTED_VALUE"""),"short")</f>
        <v>short</v>
      </c>
      <c r="N916" s="45">
        <f>IFERROR(__xludf.DUMMYFUNCTION("""COMPUTED_VALUE"""),45125.0)</f>
        <v>45125</v>
      </c>
      <c r="O916" s="45">
        <f>IFERROR(__xludf.DUMMYFUNCTION("""COMPUTED_VALUE"""),45152.0)</f>
        <v>45152</v>
      </c>
      <c r="P916" s="45">
        <f>IFERROR(__xludf.DUMMYFUNCTION("""COMPUTED_VALUE"""),45198.0)</f>
        <v>45198</v>
      </c>
      <c r="Q916" s="45"/>
      <c r="R916" s="45"/>
      <c r="S916" s="43"/>
      <c r="T916" s="43"/>
      <c r="U916" s="43" t="str">
        <f>IFERROR(__xludf.DUMMYFUNCTION("""COMPUTED_VALUE"""),"Youth 4 Impact")</f>
        <v>Youth 4 Impact</v>
      </c>
      <c r="V916" s="43" t="str">
        <f>IFERROR(__xludf.DUMMYFUNCTION("""COMPUTED_VALUE"""),"ANKARA")</f>
        <v>ANKARA</v>
      </c>
      <c r="W916" s="43" t="str">
        <f>IFERROR(__xludf.DUMMYFUNCTION("""COMPUTED_VALUE"""),"2022-11-26T11:43:38Z")</f>
        <v>2022-11-26T11:43:38Z</v>
      </c>
      <c r="X916" s="43"/>
      <c r="Y916" s="43"/>
      <c r="Z916" s="43"/>
    </row>
    <row r="917" hidden="1">
      <c r="A917" s="43" t="str">
        <f>IFERROR(__xludf.DUMMYFUNCTION("""COMPUTED_VALUE"""),"5273447_1294209")</f>
        <v>5273447_1294209</v>
      </c>
      <c r="B917" s="43" t="str">
        <f>IFERROR(__xludf.DUMMYFUNCTION("""COMPUTED_VALUE"""),"Tülay Sude Çetinkaya")</f>
        <v>Tülay Sude Çetinkaya</v>
      </c>
      <c r="C917" s="43" t="str">
        <f>IFERROR(__xludf.DUMMYFUNCTION("""COMPUTED_VALUE"""),"completed")</f>
        <v>completed</v>
      </c>
      <c r="D917" s="43" t="str">
        <f>IFERROR(__xludf.DUMMYFUNCTION("""COMPUTED_VALUE"""),"No")</f>
        <v>No</v>
      </c>
      <c r="E917" s="43" t="str">
        <f>IFERROR(__xludf.DUMMYFUNCTION("""COMPUTED_VALUE"""),"p_5953022613b44f50a77047dad67c9eb3198657eb@inbound.aiesec.org")</f>
        <v>p_5953022613b44f50a77047dad67c9eb3198657eb@inbound.aiesec.org</v>
      </c>
      <c r="F917" s="43"/>
      <c r="G917" s="43" t="str">
        <f>IFERROR(__xludf.DUMMYFUNCTION("""COMPUTED_VALUE"""),"Turkey")</f>
        <v>Turkey</v>
      </c>
      <c r="H917" s="43" t="str">
        <f>IFERROR(__xludf.DUMMYFUNCTION("""COMPUTED_VALUE"""),"ISTANBUL")</f>
        <v>ISTANBUL</v>
      </c>
      <c r="I917" s="43" t="str">
        <f>IFERROR(__xludf.DUMMYFUNCTION("""COMPUTED_VALUE"""),"Moldova")</f>
        <v>Moldova</v>
      </c>
      <c r="J917" s="43" t="str">
        <f>IFERROR(__xludf.DUMMYFUNCTION("""COMPUTED_VALUE"""),"CHISINAU")</f>
        <v>CHISINAU</v>
      </c>
      <c r="K917" s="44" t="str">
        <f>IFERROR(__xludf.DUMMYFUNCTION("""COMPUTED_VALUE"""),"https://expa.aiesec.org/opportunities/1294209")</f>
        <v>https://expa.aiesec.org/opportunities/1294209</v>
      </c>
      <c r="L917" s="43" t="str">
        <f>IFERROR(__xludf.DUMMYFUNCTION("""COMPUTED_VALUE"""),"GV")</f>
        <v>GV</v>
      </c>
      <c r="M917" s="43" t="str">
        <f>IFERROR(__xludf.DUMMYFUNCTION("""COMPUTED_VALUE"""),"short")</f>
        <v>short</v>
      </c>
      <c r="N917" s="45">
        <f>IFERROR(__xludf.DUMMYFUNCTION("""COMPUTED_VALUE"""),45127.0)</f>
        <v>45127</v>
      </c>
      <c r="O917" s="45">
        <f>IFERROR(__xludf.DUMMYFUNCTION("""COMPUTED_VALUE"""),45159.0)</f>
        <v>45159</v>
      </c>
      <c r="P917" s="45">
        <f>IFERROR(__xludf.DUMMYFUNCTION("""COMPUTED_VALUE"""),45201.0)</f>
        <v>45201</v>
      </c>
      <c r="Q917" s="45">
        <f>IFERROR(__xludf.DUMMYFUNCTION("""COMPUTED_VALUE"""),45160.0)</f>
        <v>45160</v>
      </c>
      <c r="R917" s="45">
        <f>IFERROR(__xludf.DUMMYFUNCTION("""COMPUTED_VALUE"""),45201.0)</f>
        <v>45201</v>
      </c>
      <c r="S917" s="43"/>
      <c r="T917" s="43"/>
      <c r="U917" s="43" t="str">
        <f>IFERROR(__xludf.DUMMYFUNCTION("""COMPUTED_VALUE"""),"On The Map")</f>
        <v>On The Map</v>
      </c>
      <c r="V917" s="43" t="str">
        <f>IFERROR(__xludf.DUMMYFUNCTION("""COMPUTED_VALUE"""),"-")</f>
        <v>-</v>
      </c>
      <c r="W917" s="43" t="str">
        <f>IFERROR(__xludf.DUMMYFUNCTION("""COMPUTED_VALUE"""),"2023-06-09T17:57:05Z")</f>
        <v>2023-06-09T17:57:05Z</v>
      </c>
      <c r="X917" s="43"/>
      <c r="Y917" s="43"/>
      <c r="Z917" s="43"/>
    </row>
    <row r="918" hidden="1">
      <c r="A918" s="43" t="str">
        <f>IFERROR(__xludf.DUMMYFUNCTION("""COMPUTED_VALUE"""),"5268467_1294209")</f>
        <v>5268467_1294209</v>
      </c>
      <c r="B918" s="43" t="str">
        <f>IFERROR(__xludf.DUMMYFUNCTION("""COMPUTED_VALUE"""),"Feyza er")</f>
        <v>Feyza er</v>
      </c>
      <c r="C918" s="43" t="str">
        <f>IFERROR(__xludf.DUMMYFUNCTION("""COMPUTED_VALUE"""),"completed")</f>
        <v>completed</v>
      </c>
      <c r="D918" s="43" t="str">
        <f>IFERROR(__xludf.DUMMYFUNCTION("""COMPUTED_VALUE"""),"No")</f>
        <v>No</v>
      </c>
      <c r="E918" s="43" t="str">
        <f>IFERROR(__xludf.DUMMYFUNCTION("""COMPUTED_VALUE"""),"p_dd024d2f6fca27881ba652857821a8fb57580398@inbound.aiesec.org")</f>
        <v>p_dd024d2f6fca27881ba652857821a8fb57580398@inbound.aiesec.org</v>
      </c>
      <c r="F918" s="43"/>
      <c r="G918" s="43" t="str">
        <f>IFERROR(__xludf.DUMMYFUNCTION("""COMPUTED_VALUE"""),"Turkey")</f>
        <v>Turkey</v>
      </c>
      <c r="H918" s="43" t="str">
        <f>IFERROR(__xludf.DUMMYFUNCTION("""COMPUTED_VALUE"""),"ISTANBUL")</f>
        <v>ISTANBUL</v>
      </c>
      <c r="I918" s="43" t="str">
        <f>IFERROR(__xludf.DUMMYFUNCTION("""COMPUTED_VALUE"""),"Moldova")</f>
        <v>Moldova</v>
      </c>
      <c r="J918" s="43" t="str">
        <f>IFERROR(__xludf.DUMMYFUNCTION("""COMPUTED_VALUE"""),"CHISINAU")</f>
        <v>CHISINAU</v>
      </c>
      <c r="K918" s="44" t="str">
        <f>IFERROR(__xludf.DUMMYFUNCTION("""COMPUTED_VALUE"""),"https://expa.aiesec.org/opportunities/1294209")</f>
        <v>https://expa.aiesec.org/opportunities/1294209</v>
      </c>
      <c r="L918" s="43" t="str">
        <f>IFERROR(__xludf.DUMMYFUNCTION("""COMPUTED_VALUE"""),"GV")</f>
        <v>GV</v>
      </c>
      <c r="M918" s="43" t="str">
        <f>IFERROR(__xludf.DUMMYFUNCTION("""COMPUTED_VALUE"""),"short")</f>
        <v>short</v>
      </c>
      <c r="N918" s="45">
        <f>IFERROR(__xludf.DUMMYFUNCTION("""COMPUTED_VALUE"""),45127.0)</f>
        <v>45127</v>
      </c>
      <c r="O918" s="45">
        <f>IFERROR(__xludf.DUMMYFUNCTION("""COMPUTED_VALUE"""),45159.0)</f>
        <v>45159</v>
      </c>
      <c r="P918" s="45">
        <f>IFERROR(__xludf.DUMMYFUNCTION("""COMPUTED_VALUE"""),45201.0)</f>
        <v>45201</v>
      </c>
      <c r="Q918" s="45">
        <f>IFERROR(__xludf.DUMMYFUNCTION("""COMPUTED_VALUE"""),45160.0)</f>
        <v>45160</v>
      </c>
      <c r="R918" s="45">
        <f>IFERROR(__xludf.DUMMYFUNCTION("""COMPUTED_VALUE"""),45201.0)</f>
        <v>45201</v>
      </c>
      <c r="S918" s="43"/>
      <c r="T918" s="43"/>
      <c r="U918" s="43" t="str">
        <f>IFERROR(__xludf.DUMMYFUNCTION("""COMPUTED_VALUE"""),"On The Map")</f>
        <v>On The Map</v>
      </c>
      <c r="V918" s="43" t="str">
        <f>IFERROR(__xludf.DUMMYFUNCTION("""COMPUTED_VALUE"""),"-")</f>
        <v>-</v>
      </c>
      <c r="W918" s="43" t="str">
        <f>IFERROR(__xludf.DUMMYFUNCTION("""COMPUTED_VALUE"""),"2023-05-29T20:42:56Z")</f>
        <v>2023-05-29T20:42:56Z</v>
      </c>
      <c r="X918" s="43"/>
      <c r="Y918" s="43"/>
      <c r="Z918" s="43"/>
    </row>
    <row r="919" hidden="1">
      <c r="A919" s="43" t="str">
        <f>IFERROR(__xludf.DUMMYFUNCTION("""COMPUTED_VALUE"""),"4980267_1296816")</f>
        <v>4980267_1296816</v>
      </c>
      <c r="B919" s="43" t="str">
        <f>IFERROR(__xludf.DUMMYFUNCTION("""COMPUTED_VALUE"""),"Selçuk Selçuk")</f>
        <v>Selçuk Selçuk</v>
      </c>
      <c r="C919" s="43" t="str">
        <f>IFERROR(__xludf.DUMMYFUNCTION("""COMPUTED_VALUE"""),"approved")</f>
        <v>approved</v>
      </c>
      <c r="D919" s="43" t="str">
        <f>IFERROR(__xludf.DUMMYFUNCTION("""COMPUTED_VALUE"""),"No")</f>
        <v>No</v>
      </c>
      <c r="E919" s="43" t="str">
        <f>IFERROR(__xludf.DUMMYFUNCTION("""COMPUTED_VALUE"""),"p_0e5ccd8608b5323c434a3698f2fc7103b4fc7425@inbound.aiesec.org")</f>
        <v>p_0e5ccd8608b5323c434a3698f2fc7103b4fc7425@inbound.aiesec.org</v>
      </c>
      <c r="F919" s="43">
        <f>IFERROR(__xludf.DUMMYFUNCTION("""COMPUTED_VALUE"""),5.050992199E9)</f>
        <v>5050992199</v>
      </c>
      <c r="G919" s="43" t="str">
        <f>IFERROR(__xludf.DUMMYFUNCTION("""COMPUTED_VALUE"""),"Turkey")</f>
        <v>Turkey</v>
      </c>
      <c r="H919" s="43" t="str">
        <f>IFERROR(__xludf.DUMMYFUNCTION("""COMPUTED_VALUE"""),"DENIZLI")</f>
        <v>DENIZLI</v>
      </c>
      <c r="I919" s="43" t="str">
        <f>IFERROR(__xludf.DUMMYFUNCTION("""COMPUTED_VALUE"""),"Italy")</f>
        <v>Italy</v>
      </c>
      <c r="J919" s="43" t="str">
        <f>IFERROR(__xludf.DUMMYFUNCTION("""COMPUTED_VALUE"""),"Napoli Federico II")</f>
        <v>Napoli Federico II</v>
      </c>
      <c r="K919" s="44" t="str">
        <f>IFERROR(__xludf.DUMMYFUNCTION("""COMPUTED_VALUE"""),"https://expa.aiesec.org/opportunities/1296816")</f>
        <v>https://expa.aiesec.org/opportunities/1296816</v>
      </c>
      <c r="L919" s="43" t="str">
        <f>IFERROR(__xludf.DUMMYFUNCTION("""COMPUTED_VALUE"""),"GV")</f>
        <v>GV</v>
      </c>
      <c r="M919" s="43" t="str">
        <f>IFERROR(__xludf.DUMMYFUNCTION("""COMPUTED_VALUE"""),"short")</f>
        <v>short</v>
      </c>
      <c r="N919" s="45">
        <f>IFERROR(__xludf.DUMMYFUNCTION("""COMPUTED_VALUE"""),45127.0)</f>
        <v>45127</v>
      </c>
      <c r="O919" s="45">
        <f>IFERROR(__xludf.DUMMYFUNCTION("""COMPUTED_VALUE"""),45127.0)</f>
        <v>45127</v>
      </c>
      <c r="P919" s="45">
        <f>IFERROR(__xludf.DUMMYFUNCTION("""COMPUTED_VALUE"""),45169.0)</f>
        <v>45169</v>
      </c>
      <c r="Q919" s="45"/>
      <c r="R919" s="45"/>
      <c r="S919" s="43"/>
      <c r="T919" s="43"/>
      <c r="U919" s="43" t="str">
        <f>IFERROR(__xludf.DUMMYFUNCTION("""COMPUTED_VALUE"""),"Equify")</f>
        <v>Equify</v>
      </c>
      <c r="V919" s="43" t="str">
        <f>IFERROR(__xludf.DUMMYFUNCTION("""COMPUTED_VALUE"""),"DENIZLI")</f>
        <v>DENIZLI</v>
      </c>
      <c r="W919" s="43" t="str">
        <f>IFERROR(__xludf.DUMMYFUNCTION("""COMPUTED_VALUE"""),"2022-03-12T14:54:15Z")</f>
        <v>2022-03-12T14:54:15Z</v>
      </c>
      <c r="X919" s="43"/>
      <c r="Y919" s="43"/>
      <c r="Z919" s="43"/>
    </row>
    <row r="920" hidden="1">
      <c r="A920" s="43" t="str">
        <f>IFERROR(__xludf.DUMMYFUNCTION("""COMPUTED_VALUE"""),"5281456_1295728")</f>
        <v>5281456_1295728</v>
      </c>
      <c r="B920" s="43" t="str">
        <f>IFERROR(__xludf.DUMMYFUNCTION("""COMPUTED_VALUE"""),"Yusuf Evren")</f>
        <v>Yusuf Evren</v>
      </c>
      <c r="C920" s="43" t="str">
        <f>IFERROR(__xludf.DUMMYFUNCTION("""COMPUTED_VALUE"""),"completed")</f>
        <v>completed</v>
      </c>
      <c r="D920" s="43" t="str">
        <f>IFERROR(__xludf.DUMMYFUNCTION("""COMPUTED_VALUE"""),"No")</f>
        <v>No</v>
      </c>
      <c r="E920" s="43" t="str">
        <f>IFERROR(__xludf.DUMMYFUNCTION("""COMPUTED_VALUE"""),"p_6f505cc6490ecaf7699dfe05f095df092b791612@inbound.aiesec.org")</f>
        <v>p_6f505cc6490ecaf7699dfe05f095df092b791612@inbound.aiesec.org</v>
      </c>
      <c r="F920" s="43">
        <f>IFERROR(__xludf.DUMMYFUNCTION("""COMPUTED_VALUE"""),5.411854064E9)</f>
        <v>5411854064</v>
      </c>
      <c r="G920" s="43" t="str">
        <f>IFERROR(__xludf.DUMMYFUNCTION("""COMPUTED_VALUE"""),"Turkey")</f>
        <v>Turkey</v>
      </c>
      <c r="H920" s="43" t="str">
        <f>IFERROR(__xludf.DUMMYFUNCTION("""COMPUTED_VALUE"""),"ISTANBUL")</f>
        <v>ISTANBUL</v>
      </c>
      <c r="I920" s="43" t="str">
        <f>IFERROR(__xludf.DUMMYFUNCTION("""COMPUTED_VALUE"""),"Egypt")</f>
        <v>Egypt</v>
      </c>
      <c r="J920" s="43" t="str">
        <f>IFERROR(__xludf.DUMMYFUNCTION("""COMPUTED_VALUE"""),"Cairo University")</f>
        <v>Cairo University</v>
      </c>
      <c r="K920" s="44" t="str">
        <f>IFERROR(__xludf.DUMMYFUNCTION("""COMPUTED_VALUE"""),"https://expa.aiesec.org/opportunities/1295728")</f>
        <v>https://expa.aiesec.org/opportunities/1295728</v>
      </c>
      <c r="L920" s="43" t="str">
        <f>IFERROR(__xludf.DUMMYFUNCTION("""COMPUTED_VALUE"""),"GV")</f>
        <v>GV</v>
      </c>
      <c r="M920" s="43" t="str">
        <f>IFERROR(__xludf.DUMMYFUNCTION("""COMPUTED_VALUE"""),"short")</f>
        <v>short</v>
      </c>
      <c r="N920" s="45">
        <f>IFERROR(__xludf.DUMMYFUNCTION("""COMPUTED_VALUE"""),45127.0)</f>
        <v>45127</v>
      </c>
      <c r="O920" s="45">
        <f>IFERROR(__xludf.DUMMYFUNCTION("""COMPUTED_VALUE"""),45159.0)</f>
        <v>45159</v>
      </c>
      <c r="P920" s="45">
        <f>IFERROR(__xludf.DUMMYFUNCTION("""COMPUTED_VALUE"""),45201.0)</f>
        <v>45201</v>
      </c>
      <c r="Q920" s="45">
        <f>IFERROR(__xludf.DUMMYFUNCTION("""COMPUTED_VALUE"""),45163.0)</f>
        <v>45163</v>
      </c>
      <c r="R920" s="45">
        <f>IFERROR(__xludf.DUMMYFUNCTION("""COMPUTED_VALUE"""),45203.0)</f>
        <v>45203</v>
      </c>
      <c r="S920" s="43"/>
      <c r="T920" s="43"/>
      <c r="U920" s="43" t="str">
        <f>IFERROR(__xludf.DUMMYFUNCTION("""COMPUTED_VALUE"""),"Youth 4 Impact")</f>
        <v>Youth 4 Impact</v>
      </c>
      <c r="V920" s="43" t="str">
        <f>IFERROR(__xludf.DUMMYFUNCTION("""COMPUTED_VALUE"""),"ISTANBUL - BEYOGLU")</f>
        <v>ISTANBUL - BEYOGLU</v>
      </c>
      <c r="W920" s="43" t="str">
        <f>IFERROR(__xludf.DUMMYFUNCTION("""COMPUTED_VALUE"""),"2023-07-02T12:40:17Z")</f>
        <v>2023-07-02T12:40:17Z</v>
      </c>
      <c r="X920" s="43"/>
      <c r="Y920" s="43"/>
      <c r="Z920" s="43"/>
    </row>
    <row r="921" hidden="1">
      <c r="A921" s="43" t="str">
        <f>IFERROR(__xludf.DUMMYFUNCTION("""COMPUTED_VALUE"""),"4719277_1294537")</f>
        <v>4719277_1294537</v>
      </c>
      <c r="B921" s="43" t="str">
        <f>IFERROR(__xludf.DUMMYFUNCTION("""COMPUTED_VALUE"""),"Fatmanur Sönmüş")</f>
        <v>Fatmanur Sönmüş</v>
      </c>
      <c r="C921" s="43" t="str">
        <f>IFERROR(__xludf.DUMMYFUNCTION("""COMPUTED_VALUE"""),"completed")</f>
        <v>completed</v>
      </c>
      <c r="D921" s="43" t="str">
        <f>IFERROR(__xludf.DUMMYFUNCTION("""COMPUTED_VALUE"""),"No")</f>
        <v>No</v>
      </c>
      <c r="E921" s="43" t="str">
        <f>IFERROR(__xludf.DUMMYFUNCTION("""COMPUTED_VALUE"""),"p_8efd63d81e39239f859eeae8b3928d2259213d87@inbound.aiesec.org")</f>
        <v>p_8efd63d81e39239f859eeae8b3928d2259213d87@inbound.aiesec.org</v>
      </c>
      <c r="F921" s="43"/>
      <c r="G921" s="43" t="str">
        <f>IFERROR(__xludf.DUMMYFUNCTION("""COMPUTED_VALUE"""),"Turkey")</f>
        <v>Turkey</v>
      </c>
      <c r="H921" s="43" t="str">
        <f>IFERROR(__xludf.DUMMYFUNCTION("""COMPUTED_VALUE"""),"ISTANBUL")</f>
        <v>ISTANBUL</v>
      </c>
      <c r="I921" s="43" t="str">
        <f>IFERROR(__xludf.DUMMYFUNCTION("""COMPUTED_VALUE"""),"Poland")</f>
        <v>Poland</v>
      </c>
      <c r="J921" s="43" t="str">
        <f>IFERROR(__xludf.DUMMYFUNCTION("""COMPUTED_VALUE"""),"WROCLAW UE")</f>
        <v>WROCLAW UE</v>
      </c>
      <c r="K921" s="44" t="str">
        <f>IFERROR(__xludf.DUMMYFUNCTION("""COMPUTED_VALUE"""),"https://expa.aiesec.org/opportunities/1294537")</f>
        <v>https://expa.aiesec.org/opportunities/1294537</v>
      </c>
      <c r="L921" s="43" t="str">
        <f>IFERROR(__xludf.DUMMYFUNCTION("""COMPUTED_VALUE"""),"GV")</f>
        <v>GV</v>
      </c>
      <c r="M921" s="43" t="str">
        <f>IFERROR(__xludf.DUMMYFUNCTION("""COMPUTED_VALUE"""),"short")</f>
        <v>short</v>
      </c>
      <c r="N921" s="45">
        <f>IFERROR(__xludf.DUMMYFUNCTION("""COMPUTED_VALUE"""),45127.0)</f>
        <v>45127</v>
      </c>
      <c r="O921" s="45">
        <f>IFERROR(__xludf.DUMMYFUNCTION("""COMPUTED_VALUE"""),45186.0)</f>
        <v>45186</v>
      </c>
      <c r="P921" s="45">
        <f>IFERROR(__xludf.DUMMYFUNCTION("""COMPUTED_VALUE"""),45228.0)</f>
        <v>45228</v>
      </c>
      <c r="Q921" s="45">
        <f>IFERROR(__xludf.DUMMYFUNCTION("""COMPUTED_VALUE"""),45187.0)</f>
        <v>45187</v>
      </c>
      <c r="R921" s="45">
        <f>IFERROR(__xludf.DUMMYFUNCTION("""COMPUTED_VALUE"""),45228.0)</f>
        <v>45228</v>
      </c>
      <c r="S921" s="43"/>
      <c r="T921" s="43"/>
      <c r="U921" s="43" t="str">
        <f>IFERROR(__xludf.DUMMYFUNCTION("""COMPUTED_VALUE"""),"Green Leaders")</f>
        <v>Green Leaders</v>
      </c>
      <c r="V921" s="43" t="str">
        <f>IFERROR(__xludf.DUMMYFUNCTION("""COMPUTED_VALUE"""),"-")</f>
        <v>-</v>
      </c>
      <c r="W921" s="43" t="str">
        <f>IFERROR(__xludf.DUMMYFUNCTION("""COMPUTED_VALUE"""),"2021-08-25T11:51:26Z")</f>
        <v>2021-08-25T11:51:26Z</v>
      </c>
      <c r="X921" s="43"/>
      <c r="Y921" s="43"/>
      <c r="Z921" s="43"/>
    </row>
    <row r="922" hidden="1">
      <c r="A922" s="43" t="str">
        <f>IFERROR(__xludf.DUMMYFUNCTION("""COMPUTED_VALUE"""),"5287051_1288609")</f>
        <v>5287051_1288609</v>
      </c>
      <c r="B922" s="43" t="str">
        <f>IFERROR(__xludf.DUMMYFUNCTION("""COMPUTED_VALUE"""),"Kardelen ZORBA")</f>
        <v>Kardelen ZORBA</v>
      </c>
      <c r="C922" s="43" t="str">
        <f>IFERROR(__xludf.DUMMYFUNCTION("""COMPUTED_VALUE"""),"approved")</f>
        <v>approved</v>
      </c>
      <c r="D922" s="43" t="str">
        <f>IFERROR(__xludf.DUMMYFUNCTION("""COMPUTED_VALUE"""),"No")</f>
        <v>No</v>
      </c>
      <c r="E922" s="43" t="str">
        <f>IFERROR(__xludf.DUMMYFUNCTION("""COMPUTED_VALUE"""),"p_eb9f9fb57463394d0cd006da1bb6cc56e96702bf@inbound.aiesec.org")</f>
        <v>p_eb9f9fb57463394d0cd006da1bb6cc56e96702bf@inbound.aiesec.org</v>
      </c>
      <c r="F922" s="43">
        <f>IFERROR(__xludf.DUMMYFUNCTION("""COMPUTED_VALUE"""),5.063574351E9)</f>
        <v>5063574351</v>
      </c>
      <c r="G922" s="43" t="str">
        <f>IFERROR(__xludf.DUMMYFUNCTION("""COMPUTED_VALUE"""),"Turkey")</f>
        <v>Turkey</v>
      </c>
      <c r="H922" s="43" t="str">
        <f>IFERROR(__xludf.DUMMYFUNCTION("""COMPUTED_VALUE"""),"ESKISEHIR")</f>
        <v>ESKISEHIR</v>
      </c>
      <c r="I922" s="43" t="str">
        <f>IFERROR(__xludf.DUMMYFUNCTION("""COMPUTED_VALUE"""),"Egypt")</f>
        <v>Egypt</v>
      </c>
      <c r="J922" s="43" t="str">
        <f>IFERROR(__xludf.DUMMYFUNCTION("""COMPUTED_VALUE"""),"Tanta")</f>
        <v>Tanta</v>
      </c>
      <c r="K922" s="44" t="str">
        <f>IFERROR(__xludf.DUMMYFUNCTION("""COMPUTED_VALUE"""),"https://expa.aiesec.org/opportunities/1288609")</f>
        <v>https://expa.aiesec.org/opportunities/1288609</v>
      </c>
      <c r="L922" s="43" t="str">
        <f>IFERROR(__xludf.DUMMYFUNCTION("""COMPUTED_VALUE"""),"GV")</f>
        <v>GV</v>
      </c>
      <c r="M922" s="43" t="str">
        <f>IFERROR(__xludf.DUMMYFUNCTION("""COMPUTED_VALUE"""),"short")</f>
        <v>short</v>
      </c>
      <c r="N922" s="45">
        <f>IFERROR(__xludf.DUMMYFUNCTION("""COMPUTED_VALUE"""),45128.0)</f>
        <v>45128</v>
      </c>
      <c r="O922" s="45">
        <f>IFERROR(__xludf.DUMMYFUNCTION("""COMPUTED_VALUE"""),45261.0)</f>
        <v>45261</v>
      </c>
      <c r="P922" s="45">
        <f>IFERROR(__xludf.DUMMYFUNCTION("""COMPUTED_VALUE"""),45303.0)</f>
        <v>45303</v>
      </c>
      <c r="Q922" s="45"/>
      <c r="R922" s="45"/>
      <c r="S922" s="43"/>
      <c r="T922" s="43"/>
      <c r="U922" s="43" t="str">
        <f>IFERROR(__xludf.DUMMYFUNCTION("""COMPUTED_VALUE"""),"On The Map")</f>
        <v>On The Map</v>
      </c>
      <c r="V922" s="43" t="str">
        <f>IFERROR(__xludf.DUMMYFUNCTION("""COMPUTED_VALUE"""),"ESKISEHIR")</f>
        <v>ESKISEHIR</v>
      </c>
      <c r="W922" s="43" t="str">
        <f>IFERROR(__xludf.DUMMYFUNCTION("""COMPUTED_VALUE"""),"2023-07-19T08:24:14Z")</f>
        <v>2023-07-19T08:24:14Z</v>
      </c>
      <c r="X922" s="43"/>
      <c r="Y922" s="43"/>
      <c r="Z922" s="43"/>
    </row>
    <row r="923" hidden="1">
      <c r="A923" s="43" t="str">
        <f>IFERROR(__xludf.DUMMYFUNCTION("""COMPUTED_VALUE"""),"5173420_1290024")</f>
        <v>5173420_1290024</v>
      </c>
      <c r="B923" s="43" t="str">
        <f>IFERROR(__xludf.DUMMYFUNCTION("""COMPUTED_VALUE"""),"abdullah turhan")</f>
        <v>abdullah turhan</v>
      </c>
      <c r="C923" s="43" t="str">
        <f>IFERROR(__xludf.DUMMYFUNCTION("""COMPUTED_VALUE"""),"completed")</f>
        <v>completed</v>
      </c>
      <c r="D923" s="43" t="str">
        <f>IFERROR(__xludf.DUMMYFUNCTION("""COMPUTED_VALUE"""),"No")</f>
        <v>No</v>
      </c>
      <c r="E923" s="43" t="str">
        <f>IFERROR(__xludf.DUMMYFUNCTION("""COMPUTED_VALUE"""),"p_581eda9baefcfe2c528f79bd78947d5922cb14f9@inbound.aiesec.org")</f>
        <v>p_581eda9baefcfe2c528f79bd78947d5922cb14f9@inbound.aiesec.org</v>
      </c>
      <c r="F923" s="43">
        <f>IFERROR(__xludf.DUMMYFUNCTION("""COMPUTED_VALUE"""),5.3752081E9)</f>
        <v>5375208100</v>
      </c>
      <c r="G923" s="43" t="str">
        <f>IFERROR(__xludf.DUMMYFUNCTION("""COMPUTED_VALUE"""),"Turkey")</f>
        <v>Turkey</v>
      </c>
      <c r="H923" s="43" t="str">
        <f>IFERROR(__xludf.DUMMYFUNCTION("""COMPUTED_VALUE"""),"SAKARYA")</f>
        <v>SAKARYA</v>
      </c>
      <c r="I923" s="43" t="str">
        <f>IFERROR(__xludf.DUMMYFUNCTION("""COMPUTED_VALUE"""),"Egypt")</f>
        <v>Egypt</v>
      </c>
      <c r="J923" s="43" t="str">
        <f>IFERROR(__xludf.DUMMYFUNCTION("""COMPUTED_VALUE"""),"Ain Shams University")</f>
        <v>Ain Shams University</v>
      </c>
      <c r="K923" s="44" t="str">
        <f>IFERROR(__xludf.DUMMYFUNCTION("""COMPUTED_VALUE"""),"https://expa.aiesec.org/opportunities/1290024")</f>
        <v>https://expa.aiesec.org/opportunities/1290024</v>
      </c>
      <c r="L923" s="43" t="str">
        <f>IFERROR(__xludf.DUMMYFUNCTION("""COMPUTED_VALUE"""),"GV")</f>
        <v>GV</v>
      </c>
      <c r="M923" s="43" t="str">
        <f>IFERROR(__xludf.DUMMYFUNCTION("""COMPUTED_VALUE"""),"short")</f>
        <v>short</v>
      </c>
      <c r="N923" s="45">
        <f>IFERROR(__xludf.DUMMYFUNCTION("""COMPUTED_VALUE"""),45128.0)</f>
        <v>45128</v>
      </c>
      <c r="O923" s="45">
        <f>IFERROR(__xludf.DUMMYFUNCTION("""COMPUTED_VALUE"""),45139.0)</f>
        <v>45139</v>
      </c>
      <c r="P923" s="45">
        <f>IFERROR(__xludf.DUMMYFUNCTION("""COMPUTED_VALUE"""),45181.0)</f>
        <v>45181</v>
      </c>
      <c r="Q923" s="45">
        <f>IFERROR(__xludf.DUMMYFUNCTION("""COMPUTED_VALUE"""),45153.0)</f>
        <v>45153</v>
      </c>
      <c r="R923" s="45">
        <f>IFERROR(__xludf.DUMMYFUNCTION("""COMPUTED_VALUE"""),45200.0)</f>
        <v>45200</v>
      </c>
      <c r="S923" s="43"/>
      <c r="T923" s="43"/>
      <c r="U923" s="43" t="str">
        <f>IFERROR(__xludf.DUMMYFUNCTION("""COMPUTED_VALUE"""),"On The Map")</f>
        <v>On The Map</v>
      </c>
      <c r="V923" s="43" t="str">
        <f>IFERROR(__xludf.DUMMYFUNCTION("""COMPUTED_VALUE"""),"DUZCE")</f>
        <v>DUZCE</v>
      </c>
      <c r="W923" s="43" t="str">
        <f>IFERROR(__xludf.DUMMYFUNCTION("""COMPUTED_VALUE"""),"2023-01-05T17:28:59Z")</f>
        <v>2023-01-05T17:28:59Z</v>
      </c>
      <c r="X923" s="43"/>
      <c r="Y923" s="43"/>
      <c r="Z923" s="43"/>
    </row>
    <row r="924" hidden="1">
      <c r="A924" s="43" t="str">
        <f>IFERROR(__xludf.DUMMYFUNCTION("""COMPUTED_VALUE"""),"5234952_1294852")</f>
        <v>5234952_1294852</v>
      </c>
      <c r="B924" s="43" t="str">
        <f>IFERROR(__xludf.DUMMYFUNCTION("""COMPUTED_VALUE"""),"Furkan Özata")</f>
        <v>Furkan Özata</v>
      </c>
      <c r="C924" s="43" t="str">
        <f>IFERROR(__xludf.DUMMYFUNCTION("""COMPUTED_VALUE"""),"approved")</f>
        <v>approved</v>
      </c>
      <c r="D924" s="43" t="str">
        <f>IFERROR(__xludf.DUMMYFUNCTION("""COMPUTED_VALUE"""),"No")</f>
        <v>No</v>
      </c>
      <c r="E924" s="43" t="str">
        <f>IFERROR(__xludf.DUMMYFUNCTION("""COMPUTED_VALUE"""),"p_ed650626ed9e9764717e063f53781534b53c12f7@inbound.aiesec.org")</f>
        <v>p_ed650626ed9e9764717e063f53781534b53c12f7@inbound.aiesec.org</v>
      </c>
      <c r="F924" s="43">
        <f>IFERROR(__xludf.DUMMYFUNCTION("""COMPUTED_VALUE"""),5.35089435E9)</f>
        <v>5350894350</v>
      </c>
      <c r="G924" s="43" t="str">
        <f>IFERROR(__xludf.DUMMYFUNCTION("""COMPUTED_VALUE"""),"Turkey")</f>
        <v>Turkey</v>
      </c>
      <c r="H924" s="43" t="str">
        <f>IFERROR(__xludf.DUMMYFUNCTION("""COMPUTED_VALUE"""),"ANKARA")</f>
        <v>ANKARA</v>
      </c>
      <c r="I924" s="43" t="str">
        <f>IFERROR(__xludf.DUMMYFUNCTION("""COMPUTED_VALUE"""),"Egypt")</f>
        <v>Egypt</v>
      </c>
      <c r="J924" s="43" t="str">
        <f>IFERROR(__xludf.DUMMYFUNCTION("""COMPUTED_VALUE"""),"GUC")</f>
        <v>GUC</v>
      </c>
      <c r="K924" s="44" t="str">
        <f>IFERROR(__xludf.DUMMYFUNCTION("""COMPUTED_VALUE"""),"https://expa.aiesec.org/opportunities/1294852")</f>
        <v>https://expa.aiesec.org/opportunities/1294852</v>
      </c>
      <c r="L924" s="43" t="str">
        <f>IFERROR(__xludf.DUMMYFUNCTION("""COMPUTED_VALUE"""),"GV")</f>
        <v>GV</v>
      </c>
      <c r="M924" s="43" t="str">
        <f>IFERROR(__xludf.DUMMYFUNCTION("""COMPUTED_VALUE"""),"short")</f>
        <v>short</v>
      </c>
      <c r="N924" s="45">
        <f>IFERROR(__xludf.DUMMYFUNCTION("""COMPUTED_VALUE"""),45131.0)</f>
        <v>45131</v>
      </c>
      <c r="O924" s="45">
        <f>IFERROR(__xludf.DUMMYFUNCTION("""COMPUTED_VALUE"""),45148.0)</f>
        <v>45148</v>
      </c>
      <c r="P924" s="45">
        <f>IFERROR(__xludf.DUMMYFUNCTION("""COMPUTED_VALUE"""),45190.0)</f>
        <v>45190</v>
      </c>
      <c r="Q924" s="45"/>
      <c r="R924" s="45">
        <f>IFERROR(__xludf.DUMMYFUNCTION("""COMPUTED_VALUE"""),45175.0)</f>
        <v>45175</v>
      </c>
      <c r="S924" s="43"/>
      <c r="T924" s="43"/>
      <c r="U924" s="43" t="str">
        <f>IFERROR(__xludf.DUMMYFUNCTION("""COMPUTED_VALUE"""),"Heartbeat")</f>
        <v>Heartbeat</v>
      </c>
      <c r="V924" s="43" t="str">
        <f>IFERROR(__xludf.DUMMYFUNCTION("""COMPUTED_VALUE"""),"AYDIN")</f>
        <v>AYDIN</v>
      </c>
      <c r="W924" s="43" t="str">
        <f>IFERROR(__xludf.DUMMYFUNCTION("""COMPUTED_VALUE"""),"2023-04-04T18:48:13Z")</f>
        <v>2023-04-04T18:48:13Z</v>
      </c>
      <c r="X924" s="43"/>
      <c r="Y924" s="43"/>
      <c r="Z924" s="43"/>
    </row>
    <row r="925" hidden="1">
      <c r="A925" s="43" t="str">
        <f>IFERROR(__xludf.DUMMYFUNCTION("""COMPUTED_VALUE"""),"5286447_1290806")</f>
        <v>5286447_1290806</v>
      </c>
      <c r="B925" s="43" t="str">
        <f>IFERROR(__xludf.DUMMYFUNCTION("""COMPUTED_VALUE"""),"Taner Yeşilay")</f>
        <v>Taner Yeşilay</v>
      </c>
      <c r="C925" s="43" t="str">
        <f>IFERROR(__xludf.DUMMYFUNCTION("""COMPUTED_VALUE"""),"finished")</f>
        <v>finished</v>
      </c>
      <c r="D925" s="43" t="str">
        <f>IFERROR(__xludf.DUMMYFUNCTION("""COMPUTED_VALUE"""),"No")</f>
        <v>No</v>
      </c>
      <c r="E925" s="43" t="str">
        <f>IFERROR(__xludf.DUMMYFUNCTION("""COMPUTED_VALUE"""),"p_89f542fd5d6f16194deb9e71817c06526ac7e25c@inbound.aiesec.org")</f>
        <v>p_89f542fd5d6f16194deb9e71817c06526ac7e25c@inbound.aiesec.org</v>
      </c>
      <c r="F925" s="43">
        <f>IFERROR(__xludf.DUMMYFUNCTION("""COMPUTED_VALUE"""),5.358565366E9)</f>
        <v>5358565366</v>
      </c>
      <c r="G925" s="43" t="str">
        <f>IFERROR(__xludf.DUMMYFUNCTION("""COMPUTED_VALUE"""),"Turkey")</f>
        <v>Turkey</v>
      </c>
      <c r="H925" s="43" t="str">
        <f>IFERROR(__xludf.DUMMYFUNCTION("""COMPUTED_VALUE"""),"ANKARA")</f>
        <v>ANKARA</v>
      </c>
      <c r="I925" s="43" t="str">
        <f>IFERROR(__xludf.DUMMYFUNCTION("""COMPUTED_VALUE"""),"Sri Lanka")</f>
        <v>Sri Lanka</v>
      </c>
      <c r="J925" s="43" t="str">
        <f>IFERROR(__xludf.DUMMYFUNCTION("""COMPUTED_VALUE"""),"KANDY")</f>
        <v>KANDY</v>
      </c>
      <c r="K925" s="44" t="str">
        <f>IFERROR(__xludf.DUMMYFUNCTION("""COMPUTED_VALUE"""),"https://expa.aiesec.org/opportunities/1290806")</f>
        <v>https://expa.aiesec.org/opportunities/1290806</v>
      </c>
      <c r="L925" s="43" t="str">
        <f>IFERROR(__xludf.DUMMYFUNCTION("""COMPUTED_VALUE"""),"GV")</f>
        <v>GV</v>
      </c>
      <c r="M925" s="43" t="str">
        <f>IFERROR(__xludf.DUMMYFUNCTION("""COMPUTED_VALUE"""),"short")</f>
        <v>short</v>
      </c>
      <c r="N925" s="45">
        <f>IFERROR(__xludf.DUMMYFUNCTION("""COMPUTED_VALUE"""),45131.0)</f>
        <v>45131</v>
      </c>
      <c r="O925" s="45">
        <f>IFERROR(__xludf.DUMMYFUNCTION("""COMPUTED_VALUE"""),45145.0)</f>
        <v>45145</v>
      </c>
      <c r="P925" s="45">
        <f>IFERROR(__xludf.DUMMYFUNCTION("""COMPUTED_VALUE"""),45187.0)</f>
        <v>45187</v>
      </c>
      <c r="Q925" s="45">
        <f>IFERROR(__xludf.DUMMYFUNCTION("""COMPUTED_VALUE"""),45151.0)</f>
        <v>45151</v>
      </c>
      <c r="R925" s="45">
        <f>IFERROR(__xludf.DUMMYFUNCTION("""COMPUTED_VALUE"""),45191.0)</f>
        <v>45191</v>
      </c>
      <c r="S925" s="43"/>
      <c r="T925" s="43"/>
      <c r="U925" s="43" t="str">
        <f>IFERROR(__xludf.DUMMYFUNCTION("""COMPUTED_VALUE"""),"Happy Bus")</f>
        <v>Happy Bus</v>
      </c>
      <c r="V925" s="43" t="str">
        <f>IFERROR(__xludf.DUMMYFUNCTION("""COMPUTED_VALUE"""),"ANKARA")</f>
        <v>ANKARA</v>
      </c>
      <c r="W925" s="43" t="str">
        <f>IFERROR(__xludf.DUMMYFUNCTION("""COMPUTED_VALUE"""),"2023-07-18T07:47:33Z")</f>
        <v>2023-07-18T07:47:33Z</v>
      </c>
      <c r="X925" s="43"/>
      <c r="Y925" s="43"/>
      <c r="Z925" s="43"/>
    </row>
    <row r="926" hidden="1">
      <c r="A926" s="43" t="str">
        <f>IFERROR(__xludf.DUMMYFUNCTION("""COMPUTED_VALUE"""),"5287747_1291411")</f>
        <v>5287747_1291411</v>
      </c>
      <c r="B926" s="43" t="str">
        <f>IFERROR(__xludf.DUMMYFUNCTION("""COMPUTED_VALUE"""),"Irmak Karagöz")</f>
        <v>Irmak Karagöz</v>
      </c>
      <c r="C926" s="43" t="str">
        <f>IFERROR(__xludf.DUMMYFUNCTION("""COMPUTED_VALUE"""),"finished")</f>
        <v>finished</v>
      </c>
      <c r="D926" s="43" t="str">
        <f>IFERROR(__xludf.DUMMYFUNCTION("""COMPUTED_VALUE"""),"No")</f>
        <v>No</v>
      </c>
      <c r="E926" s="43" t="str">
        <f>IFERROR(__xludf.DUMMYFUNCTION("""COMPUTED_VALUE"""),"p_fd553ad855cc151668a4d7394d92b93922acea7a@inbound.aiesec.org")</f>
        <v>p_fd553ad855cc151668a4d7394d92b93922acea7a@inbound.aiesec.org</v>
      </c>
      <c r="F926" s="43">
        <f>IFERROR(__xludf.DUMMYFUNCTION("""COMPUTED_VALUE"""),5.416047784E9)</f>
        <v>5416047784</v>
      </c>
      <c r="G926" s="43" t="str">
        <f>IFERROR(__xludf.DUMMYFUNCTION("""COMPUTED_VALUE"""),"Turkey")</f>
        <v>Turkey</v>
      </c>
      <c r="H926" s="43" t="str">
        <f>IFERROR(__xludf.DUMMYFUNCTION("""COMPUTED_VALUE"""),"ISTANBUL ASIA")</f>
        <v>ISTANBUL ASIA</v>
      </c>
      <c r="I926" s="43" t="str">
        <f>IFERROR(__xludf.DUMMYFUNCTION("""COMPUTED_VALUE"""),"Sri Lanka")</f>
        <v>Sri Lanka</v>
      </c>
      <c r="J926" s="43" t="str">
        <f>IFERROR(__xludf.DUMMYFUNCTION("""COMPUTED_VALUE"""),"KANDY")</f>
        <v>KANDY</v>
      </c>
      <c r="K926" s="44" t="str">
        <f>IFERROR(__xludf.DUMMYFUNCTION("""COMPUTED_VALUE"""),"https://expa.aiesec.org/opportunities/1291411")</f>
        <v>https://expa.aiesec.org/opportunities/1291411</v>
      </c>
      <c r="L926" s="43" t="str">
        <f>IFERROR(__xludf.DUMMYFUNCTION("""COMPUTED_VALUE"""),"GV")</f>
        <v>GV</v>
      </c>
      <c r="M926" s="43" t="str">
        <f>IFERROR(__xludf.DUMMYFUNCTION("""COMPUTED_VALUE"""),"short")</f>
        <v>short</v>
      </c>
      <c r="N926" s="45">
        <f>IFERROR(__xludf.DUMMYFUNCTION("""COMPUTED_VALUE"""),45131.0)</f>
        <v>45131</v>
      </c>
      <c r="O926" s="45">
        <f>IFERROR(__xludf.DUMMYFUNCTION("""COMPUTED_VALUE"""),45139.0)</f>
        <v>45139</v>
      </c>
      <c r="P926" s="45">
        <f>IFERROR(__xludf.DUMMYFUNCTION("""COMPUTED_VALUE"""),45181.0)</f>
        <v>45181</v>
      </c>
      <c r="Q926" s="45">
        <f>IFERROR(__xludf.DUMMYFUNCTION("""COMPUTED_VALUE"""),45142.0)</f>
        <v>45142</v>
      </c>
      <c r="R926" s="45">
        <f>IFERROR(__xludf.DUMMYFUNCTION("""COMPUTED_VALUE"""),45182.0)</f>
        <v>45182</v>
      </c>
      <c r="S926" s="43"/>
      <c r="T926" s="43"/>
      <c r="U926" s="43" t="str">
        <f>IFERROR(__xludf.DUMMYFUNCTION("""COMPUTED_VALUE"""),"Global Classroom")</f>
        <v>Global Classroom</v>
      </c>
      <c r="V926" s="43" t="str">
        <f>IFERROR(__xludf.DUMMYFUNCTION("""COMPUTED_VALUE"""),"ISTANBUL ASIA")</f>
        <v>ISTANBUL ASIA</v>
      </c>
      <c r="W926" s="43" t="str">
        <f>IFERROR(__xludf.DUMMYFUNCTION("""COMPUTED_VALUE"""),"2023-07-21T06:57:20Z")</f>
        <v>2023-07-21T06:57:20Z</v>
      </c>
      <c r="X926" s="43"/>
      <c r="Y926" s="43"/>
      <c r="Z926" s="43"/>
    </row>
    <row r="927" hidden="1">
      <c r="A927" s="43" t="str">
        <f>IFERROR(__xludf.DUMMYFUNCTION("""COMPUTED_VALUE"""),"5270103_1296493")</f>
        <v>5270103_1296493</v>
      </c>
      <c r="B927" s="43" t="str">
        <f>IFERROR(__xludf.DUMMYFUNCTION("""COMPUTED_VALUE"""),"İlayda Batıyel")</f>
        <v>İlayda Batıyel</v>
      </c>
      <c r="C927" s="43" t="str">
        <f>IFERROR(__xludf.DUMMYFUNCTION("""COMPUTED_VALUE"""),"approved")</f>
        <v>approved</v>
      </c>
      <c r="D927" s="43" t="str">
        <f>IFERROR(__xludf.DUMMYFUNCTION("""COMPUTED_VALUE"""),"No")</f>
        <v>No</v>
      </c>
      <c r="E927" s="43" t="str">
        <f>IFERROR(__xludf.DUMMYFUNCTION("""COMPUTED_VALUE"""),"p_88166b5ad5ce1c404d276798f2e2feb3c3d88bc6@inbound.aiesec.org")</f>
        <v>p_88166b5ad5ce1c404d276798f2e2feb3c3d88bc6@inbound.aiesec.org</v>
      </c>
      <c r="F927" s="43">
        <f>IFERROR(__xludf.DUMMYFUNCTION("""COMPUTED_VALUE"""),5.4320106E9)</f>
        <v>5432010600</v>
      </c>
      <c r="G927" s="43" t="str">
        <f>IFERROR(__xludf.DUMMYFUNCTION("""COMPUTED_VALUE"""),"Turkey")</f>
        <v>Turkey</v>
      </c>
      <c r="H927" s="43" t="str">
        <f>IFERROR(__xludf.DUMMYFUNCTION("""COMPUTED_VALUE"""),"ANKARA")</f>
        <v>ANKARA</v>
      </c>
      <c r="I927" s="43" t="str">
        <f>IFERROR(__xludf.DUMMYFUNCTION("""COMPUTED_VALUE"""),"Tunisia")</f>
        <v>Tunisia</v>
      </c>
      <c r="J927" s="43" t="str">
        <f>IFERROR(__xludf.DUMMYFUNCTION("""COMPUTED_VALUE"""),"BARDO")</f>
        <v>BARDO</v>
      </c>
      <c r="K927" s="44" t="str">
        <f>IFERROR(__xludf.DUMMYFUNCTION("""COMPUTED_VALUE"""),"https://expa.aiesec.org/opportunities/1296493")</f>
        <v>https://expa.aiesec.org/opportunities/1296493</v>
      </c>
      <c r="L927" s="43" t="str">
        <f>IFERROR(__xludf.DUMMYFUNCTION("""COMPUTED_VALUE"""),"GV")</f>
        <v>GV</v>
      </c>
      <c r="M927" s="43" t="str">
        <f>IFERROR(__xludf.DUMMYFUNCTION("""COMPUTED_VALUE"""),"short")</f>
        <v>short</v>
      </c>
      <c r="N927" s="45">
        <f>IFERROR(__xludf.DUMMYFUNCTION("""COMPUTED_VALUE"""),45131.0)</f>
        <v>45131</v>
      </c>
      <c r="O927" s="45">
        <f>IFERROR(__xludf.DUMMYFUNCTION("""COMPUTED_VALUE"""),45139.0)</f>
        <v>45139</v>
      </c>
      <c r="P927" s="45">
        <f>IFERROR(__xludf.DUMMYFUNCTION("""COMPUTED_VALUE"""),45181.0)</f>
        <v>45181</v>
      </c>
      <c r="Q927" s="45"/>
      <c r="R927" s="45"/>
      <c r="S927" s="43"/>
      <c r="T927" s="43"/>
      <c r="U927" s="43" t="str">
        <f>IFERROR(__xludf.DUMMYFUNCTION("""COMPUTED_VALUE"""),"Happy Bus")</f>
        <v>Happy Bus</v>
      </c>
      <c r="V927" s="43" t="str">
        <f>IFERROR(__xludf.DUMMYFUNCTION("""COMPUTED_VALUE"""),"ANKARA")</f>
        <v>ANKARA</v>
      </c>
      <c r="W927" s="43" t="str">
        <f>IFERROR(__xludf.DUMMYFUNCTION("""COMPUTED_VALUE"""),"2023-06-01T10:52:56Z")</f>
        <v>2023-06-01T10:52:56Z</v>
      </c>
      <c r="X927" s="43"/>
      <c r="Y927" s="43"/>
      <c r="Z927" s="43"/>
    </row>
    <row r="928" hidden="1">
      <c r="A928" s="43" t="str">
        <f>IFERROR(__xludf.DUMMYFUNCTION("""COMPUTED_VALUE"""),"5288283_1293683")</f>
        <v>5288283_1293683</v>
      </c>
      <c r="B928" s="43" t="str">
        <f>IFERROR(__xludf.DUMMYFUNCTION("""COMPUTED_VALUE"""),"Can Uyar")</f>
        <v>Can Uyar</v>
      </c>
      <c r="C928" s="43" t="str">
        <f>IFERROR(__xludf.DUMMYFUNCTION("""COMPUTED_VALUE"""),"completed")</f>
        <v>completed</v>
      </c>
      <c r="D928" s="43" t="str">
        <f>IFERROR(__xludf.DUMMYFUNCTION("""COMPUTED_VALUE"""),"No")</f>
        <v>No</v>
      </c>
      <c r="E928" s="43" t="str">
        <f>IFERROR(__xludf.DUMMYFUNCTION("""COMPUTED_VALUE"""),"p_747b86bfda08779c5f12bef60fbb68369fc4df3f@inbound.aiesec.org")</f>
        <v>p_747b86bfda08779c5f12bef60fbb68369fc4df3f@inbound.aiesec.org</v>
      </c>
      <c r="F928" s="43"/>
      <c r="G928" s="43" t="str">
        <f>IFERROR(__xludf.DUMMYFUNCTION("""COMPUTED_VALUE"""),"Turkey")</f>
        <v>Turkey</v>
      </c>
      <c r="H928" s="43" t="str">
        <f>IFERROR(__xludf.DUMMYFUNCTION("""COMPUTED_VALUE"""),"ANKARA")</f>
        <v>ANKARA</v>
      </c>
      <c r="I928" s="43" t="str">
        <f>IFERROR(__xludf.DUMMYFUNCTION("""COMPUTED_VALUE"""),"Sri Lanka")</f>
        <v>Sri Lanka</v>
      </c>
      <c r="J928" s="43" t="str">
        <f>IFERROR(__xludf.DUMMYFUNCTION("""COMPUTED_VALUE"""),"RUHUNA")</f>
        <v>RUHUNA</v>
      </c>
      <c r="K928" s="44" t="str">
        <f>IFERROR(__xludf.DUMMYFUNCTION("""COMPUTED_VALUE"""),"https://expa.aiesec.org/opportunities/1293683")</f>
        <v>https://expa.aiesec.org/opportunities/1293683</v>
      </c>
      <c r="L928" s="43" t="str">
        <f>IFERROR(__xludf.DUMMYFUNCTION("""COMPUTED_VALUE"""),"GV")</f>
        <v>GV</v>
      </c>
      <c r="M928" s="43" t="str">
        <f>IFERROR(__xludf.DUMMYFUNCTION("""COMPUTED_VALUE"""),"short")</f>
        <v>short</v>
      </c>
      <c r="N928" s="45">
        <f>IFERROR(__xludf.DUMMYFUNCTION("""COMPUTED_VALUE"""),45131.0)</f>
        <v>45131</v>
      </c>
      <c r="O928" s="45">
        <f>IFERROR(__xludf.DUMMYFUNCTION("""COMPUTED_VALUE"""),45172.0)</f>
        <v>45172</v>
      </c>
      <c r="P928" s="45">
        <f>IFERROR(__xludf.DUMMYFUNCTION("""COMPUTED_VALUE"""),45214.0)</f>
        <v>45214</v>
      </c>
      <c r="Q928" s="45">
        <f>IFERROR(__xludf.DUMMYFUNCTION("""COMPUTED_VALUE"""),45175.0)</f>
        <v>45175</v>
      </c>
      <c r="R928" s="45">
        <f>IFERROR(__xludf.DUMMYFUNCTION("""COMPUTED_VALUE"""),45215.0)</f>
        <v>45215</v>
      </c>
      <c r="S928" s="43"/>
      <c r="T928" s="43"/>
      <c r="U928" s="43" t="str">
        <f>IFERROR(__xludf.DUMMYFUNCTION("""COMPUTED_VALUE"""),"Aquatica")</f>
        <v>Aquatica</v>
      </c>
      <c r="V928" s="43" t="str">
        <f>IFERROR(__xludf.DUMMYFUNCTION("""COMPUTED_VALUE"""),"-")</f>
        <v>-</v>
      </c>
      <c r="W928" s="43" t="str">
        <f>IFERROR(__xludf.DUMMYFUNCTION("""COMPUTED_VALUE"""),"2023-07-22T23:11:12Z")</f>
        <v>2023-07-22T23:11:12Z</v>
      </c>
      <c r="X928" s="43"/>
      <c r="Y928" s="43"/>
      <c r="Z928" s="43"/>
    </row>
    <row r="929" hidden="1">
      <c r="A929" s="43" t="str">
        <f>IFERROR(__xludf.DUMMYFUNCTION("""COMPUTED_VALUE"""),"5224221_1296464")</f>
        <v>5224221_1296464</v>
      </c>
      <c r="B929" s="43" t="str">
        <f>IFERROR(__xludf.DUMMYFUNCTION("""COMPUTED_VALUE"""),"Sevda Günenç")</f>
        <v>Sevda Günenç</v>
      </c>
      <c r="C929" s="43" t="str">
        <f>IFERROR(__xludf.DUMMYFUNCTION("""COMPUTED_VALUE"""),"completed")</f>
        <v>completed</v>
      </c>
      <c r="D929" s="43" t="str">
        <f>IFERROR(__xludf.DUMMYFUNCTION("""COMPUTED_VALUE"""),"No")</f>
        <v>No</v>
      </c>
      <c r="E929" s="43" t="str">
        <f>IFERROR(__xludf.DUMMYFUNCTION("""COMPUTED_VALUE"""),"p_b9c3f6a6e0db8a83dae0307b95382b656299bc14@inbound.aiesec.org")</f>
        <v>p_b9c3f6a6e0db8a83dae0307b95382b656299bc14@inbound.aiesec.org</v>
      </c>
      <c r="F929" s="43">
        <f>IFERROR(__xludf.DUMMYFUNCTION("""COMPUTED_VALUE"""),5.334951966E9)</f>
        <v>5334951966</v>
      </c>
      <c r="G929" s="43" t="str">
        <f>IFERROR(__xludf.DUMMYFUNCTION("""COMPUTED_VALUE"""),"Turkey")</f>
        <v>Turkey</v>
      </c>
      <c r="H929" s="43" t="str">
        <f>IFERROR(__xludf.DUMMYFUNCTION("""COMPUTED_VALUE"""),"ANKARA")</f>
        <v>ANKARA</v>
      </c>
      <c r="I929" s="43" t="str">
        <f>IFERROR(__xludf.DUMMYFUNCTION("""COMPUTED_VALUE"""),"Thailand")</f>
        <v>Thailand</v>
      </c>
      <c r="J929" s="43" t="str">
        <f>IFERROR(__xludf.DUMMYFUNCTION("""COMPUTED_VALUE"""),"Kasetsart University")</f>
        <v>Kasetsart University</v>
      </c>
      <c r="K929" s="44" t="str">
        <f>IFERROR(__xludf.DUMMYFUNCTION("""COMPUTED_VALUE"""),"https://expa.aiesec.org/opportunities/1296464")</f>
        <v>https://expa.aiesec.org/opportunities/1296464</v>
      </c>
      <c r="L929" s="43" t="str">
        <f>IFERROR(__xludf.DUMMYFUNCTION("""COMPUTED_VALUE"""),"GV")</f>
        <v>GV</v>
      </c>
      <c r="M929" s="43" t="str">
        <f>IFERROR(__xludf.DUMMYFUNCTION("""COMPUTED_VALUE"""),"short")</f>
        <v>short</v>
      </c>
      <c r="N929" s="45">
        <f>IFERROR(__xludf.DUMMYFUNCTION("""COMPUTED_VALUE"""),45133.0)</f>
        <v>45133</v>
      </c>
      <c r="O929" s="45">
        <f>IFERROR(__xludf.DUMMYFUNCTION("""COMPUTED_VALUE"""),45146.0)</f>
        <v>45146</v>
      </c>
      <c r="P929" s="45">
        <f>IFERROR(__xludf.DUMMYFUNCTION("""COMPUTED_VALUE"""),45188.0)</f>
        <v>45188</v>
      </c>
      <c r="Q929" s="45">
        <f>IFERROR(__xludf.DUMMYFUNCTION("""COMPUTED_VALUE"""),45143.0)</f>
        <v>45143</v>
      </c>
      <c r="R929" s="45">
        <f>IFERROR(__xludf.DUMMYFUNCTION("""COMPUTED_VALUE"""),45188.0)</f>
        <v>45188</v>
      </c>
      <c r="S929" s="43"/>
      <c r="T929" s="43"/>
      <c r="U929" s="43" t="str">
        <f>IFERROR(__xludf.DUMMYFUNCTION("""COMPUTED_VALUE"""),"Global Classroom")</f>
        <v>Global Classroom</v>
      </c>
      <c r="V929" s="43" t="str">
        <f>IFERROR(__xludf.DUMMYFUNCTION("""COMPUTED_VALUE"""),"ANKARA")</f>
        <v>ANKARA</v>
      </c>
      <c r="W929" s="43" t="str">
        <f>IFERROR(__xludf.DUMMYFUNCTION("""COMPUTED_VALUE"""),"2023-03-22T17:01:53Z")</f>
        <v>2023-03-22T17:01:53Z</v>
      </c>
      <c r="X929" s="43"/>
      <c r="Y929" s="43"/>
      <c r="Z929" s="43"/>
    </row>
    <row r="930" hidden="1">
      <c r="A930" s="43" t="str">
        <f>IFERROR(__xludf.DUMMYFUNCTION("""COMPUTED_VALUE"""),"5287795_1294860")</f>
        <v>5287795_1294860</v>
      </c>
      <c r="B930" s="43" t="str">
        <f>IFERROR(__xludf.DUMMYFUNCTION("""COMPUTED_VALUE"""),"Yavuz Selim Çil")</f>
        <v>Yavuz Selim Çil</v>
      </c>
      <c r="C930" s="43" t="str">
        <f>IFERROR(__xludf.DUMMYFUNCTION("""COMPUTED_VALUE"""),"realization_broken")</f>
        <v>realization_broken</v>
      </c>
      <c r="D930" s="43" t="str">
        <f>IFERROR(__xludf.DUMMYFUNCTION("""COMPUTED_VALUE"""),"No")</f>
        <v>No</v>
      </c>
      <c r="E930" s="43" t="str">
        <f>IFERROR(__xludf.DUMMYFUNCTION("""COMPUTED_VALUE"""),"p_8d4f00a24f9083614e95cd7eef633d913598d8a6@inbound.aiesec.org")</f>
        <v>p_8d4f00a24f9083614e95cd7eef633d913598d8a6@inbound.aiesec.org</v>
      </c>
      <c r="F930" s="43"/>
      <c r="G930" s="43" t="str">
        <f>IFERROR(__xludf.DUMMYFUNCTION("""COMPUTED_VALUE"""),"Turkey")</f>
        <v>Turkey</v>
      </c>
      <c r="H930" s="43" t="str">
        <f>IFERROR(__xludf.DUMMYFUNCTION("""COMPUTED_VALUE"""),"BURSA")</f>
        <v>BURSA</v>
      </c>
      <c r="I930" s="43" t="str">
        <f>IFERROR(__xludf.DUMMYFUNCTION("""COMPUTED_VALUE"""),"Egypt")</f>
        <v>Egypt</v>
      </c>
      <c r="J930" s="43" t="str">
        <f>IFERROR(__xludf.DUMMYFUNCTION("""COMPUTED_VALUE"""),"Cairo University")</f>
        <v>Cairo University</v>
      </c>
      <c r="K930" s="44" t="str">
        <f>IFERROR(__xludf.DUMMYFUNCTION("""COMPUTED_VALUE"""),"https://expa.aiesec.org/opportunities/1294860")</f>
        <v>https://expa.aiesec.org/opportunities/1294860</v>
      </c>
      <c r="L930" s="43" t="str">
        <f>IFERROR(__xludf.DUMMYFUNCTION("""COMPUTED_VALUE"""),"GV")</f>
        <v>GV</v>
      </c>
      <c r="M930" s="43" t="str">
        <f>IFERROR(__xludf.DUMMYFUNCTION("""COMPUTED_VALUE"""),"short")</f>
        <v>short</v>
      </c>
      <c r="N930" s="45">
        <f>IFERROR(__xludf.DUMMYFUNCTION("""COMPUTED_VALUE"""),45134.0)</f>
        <v>45134</v>
      </c>
      <c r="O930" s="45">
        <f>IFERROR(__xludf.DUMMYFUNCTION("""COMPUTED_VALUE"""),45139.0)</f>
        <v>45139</v>
      </c>
      <c r="P930" s="45">
        <f>IFERROR(__xludf.DUMMYFUNCTION("""COMPUTED_VALUE"""),45183.0)</f>
        <v>45183</v>
      </c>
      <c r="Q930" s="45"/>
      <c r="R930" s="45"/>
      <c r="S930" s="43"/>
      <c r="T930" s="43"/>
      <c r="U930" s="43" t="str">
        <f>IFERROR(__xludf.DUMMYFUNCTION("""COMPUTED_VALUE"""),"On The Map")</f>
        <v>On The Map</v>
      </c>
      <c r="V930" s="43" t="str">
        <f>IFERROR(__xludf.DUMMYFUNCTION("""COMPUTED_VALUE"""),"-")</f>
        <v>-</v>
      </c>
      <c r="W930" s="43" t="str">
        <f>IFERROR(__xludf.DUMMYFUNCTION("""COMPUTED_VALUE"""),"2023-07-21T10:23:11Z")</f>
        <v>2023-07-21T10:23:11Z</v>
      </c>
      <c r="X930" s="43"/>
      <c r="Y930" s="43"/>
      <c r="Z930" s="43"/>
    </row>
    <row r="931" hidden="1">
      <c r="A931" s="43" t="str">
        <f>IFERROR(__xludf.DUMMYFUNCTION("""COMPUTED_VALUE"""),"5170712_1294860")</f>
        <v>5170712_1294860</v>
      </c>
      <c r="B931" s="43" t="str">
        <f>IFERROR(__xludf.DUMMYFUNCTION("""COMPUTED_VALUE"""),"Ecenur Çetiner")</f>
        <v>Ecenur Çetiner</v>
      </c>
      <c r="C931" s="43" t="str">
        <f>IFERROR(__xludf.DUMMYFUNCTION("""COMPUTED_VALUE"""),"realization_broken")</f>
        <v>realization_broken</v>
      </c>
      <c r="D931" s="43" t="str">
        <f>IFERROR(__xludf.DUMMYFUNCTION("""COMPUTED_VALUE"""),"No")</f>
        <v>No</v>
      </c>
      <c r="E931" s="43" t="str">
        <f>IFERROR(__xludf.DUMMYFUNCTION("""COMPUTED_VALUE"""),"p_91feffb743cdfe88bd1ae64cd767b70bc7e8700d@inbound.aiesec.org")</f>
        <v>p_91feffb743cdfe88bd1ae64cd767b70bc7e8700d@inbound.aiesec.org</v>
      </c>
      <c r="F931" s="43">
        <f>IFERROR(__xludf.DUMMYFUNCTION("""COMPUTED_VALUE"""),5.340381008E9)</f>
        <v>5340381008</v>
      </c>
      <c r="G931" s="43" t="str">
        <f>IFERROR(__xludf.DUMMYFUNCTION("""COMPUTED_VALUE"""),"Turkey")</f>
        <v>Turkey</v>
      </c>
      <c r="H931" s="43" t="str">
        <f>IFERROR(__xludf.DUMMYFUNCTION("""COMPUTED_VALUE"""),"BURSA")</f>
        <v>BURSA</v>
      </c>
      <c r="I931" s="43" t="str">
        <f>IFERROR(__xludf.DUMMYFUNCTION("""COMPUTED_VALUE"""),"Egypt")</f>
        <v>Egypt</v>
      </c>
      <c r="J931" s="43" t="str">
        <f>IFERROR(__xludf.DUMMYFUNCTION("""COMPUTED_VALUE"""),"Cairo University")</f>
        <v>Cairo University</v>
      </c>
      <c r="K931" s="44" t="str">
        <f>IFERROR(__xludf.DUMMYFUNCTION("""COMPUTED_VALUE"""),"https://expa.aiesec.org/opportunities/1294860")</f>
        <v>https://expa.aiesec.org/opportunities/1294860</v>
      </c>
      <c r="L931" s="43" t="str">
        <f>IFERROR(__xludf.DUMMYFUNCTION("""COMPUTED_VALUE"""),"GV")</f>
        <v>GV</v>
      </c>
      <c r="M931" s="43" t="str">
        <f>IFERROR(__xludf.DUMMYFUNCTION("""COMPUTED_VALUE"""),"short")</f>
        <v>short</v>
      </c>
      <c r="N931" s="45">
        <f>IFERROR(__xludf.DUMMYFUNCTION("""COMPUTED_VALUE"""),45134.0)</f>
        <v>45134</v>
      </c>
      <c r="O931" s="45">
        <f>IFERROR(__xludf.DUMMYFUNCTION("""COMPUTED_VALUE"""),45139.0)</f>
        <v>45139</v>
      </c>
      <c r="P931" s="45">
        <f>IFERROR(__xludf.DUMMYFUNCTION("""COMPUTED_VALUE"""),45183.0)</f>
        <v>45183</v>
      </c>
      <c r="Q931" s="45"/>
      <c r="R931" s="45"/>
      <c r="S931" s="43"/>
      <c r="T931" s="43"/>
      <c r="U931" s="43" t="str">
        <f>IFERROR(__xludf.DUMMYFUNCTION("""COMPUTED_VALUE"""),"On The Map")</f>
        <v>On The Map</v>
      </c>
      <c r="V931" s="43" t="str">
        <f>IFERROR(__xludf.DUMMYFUNCTION("""COMPUTED_VALUE"""),"BURSA")</f>
        <v>BURSA</v>
      </c>
      <c r="W931" s="43" t="str">
        <f>IFERROR(__xludf.DUMMYFUNCTION("""COMPUTED_VALUE"""),"2022-12-27T14:19:05Z")</f>
        <v>2022-12-27T14:19:05Z</v>
      </c>
      <c r="X931" s="43"/>
      <c r="Y931" s="43"/>
      <c r="Z931" s="43"/>
    </row>
    <row r="932" hidden="1">
      <c r="A932" s="43" t="str">
        <f>IFERROR(__xludf.DUMMYFUNCTION("""COMPUTED_VALUE"""),"5290023_1292298")</f>
        <v>5290023_1292298</v>
      </c>
      <c r="B932" s="43" t="str">
        <f>IFERROR(__xludf.DUMMYFUNCTION("""COMPUTED_VALUE"""),"Erkan Örün")</f>
        <v>Erkan Örün</v>
      </c>
      <c r="C932" s="43" t="str">
        <f>IFERROR(__xludf.DUMMYFUNCTION("""COMPUTED_VALUE"""),"completed")</f>
        <v>completed</v>
      </c>
      <c r="D932" s="43" t="str">
        <f>IFERROR(__xludf.DUMMYFUNCTION("""COMPUTED_VALUE"""),"No")</f>
        <v>No</v>
      </c>
      <c r="E932" s="43" t="str">
        <f>IFERROR(__xludf.DUMMYFUNCTION("""COMPUTED_VALUE"""),"p_a55c55fdd3da6f98ae06bdfa6bdd107424fbdc37@inbound.aiesec.org")</f>
        <v>p_a55c55fdd3da6f98ae06bdfa6bdd107424fbdc37@inbound.aiesec.org</v>
      </c>
      <c r="F932" s="43">
        <f>IFERROR(__xludf.DUMMYFUNCTION("""COMPUTED_VALUE"""),5.536963549E9)</f>
        <v>5536963549</v>
      </c>
      <c r="G932" s="43" t="str">
        <f>IFERROR(__xludf.DUMMYFUNCTION("""COMPUTED_VALUE"""),"Turkey")</f>
        <v>Turkey</v>
      </c>
      <c r="H932" s="43" t="str">
        <f>IFERROR(__xludf.DUMMYFUNCTION("""COMPUTED_VALUE"""),"İZMİR")</f>
        <v>İZMİR</v>
      </c>
      <c r="I932" s="43" t="str">
        <f>IFERROR(__xludf.DUMMYFUNCTION("""COMPUTED_VALUE"""),"Egypt")</f>
        <v>Egypt</v>
      </c>
      <c r="J932" s="43" t="str">
        <f>IFERROR(__xludf.DUMMYFUNCTION("""COMPUTED_VALUE"""),"Cairo University")</f>
        <v>Cairo University</v>
      </c>
      <c r="K932" s="44" t="str">
        <f>IFERROR(__xludf.DUMMYFUNCTION("""COMPUTED_VALUE"""),"https://expa.aiesec.org/opportunities/1292298")</f>
        <v>https://expa.aiesec.org/opportunities/1292298</v>
      </c>
      <c r="L932" s="43" t="str">
        <f>IFERROR(__xludf.DUMMYFUNCTION("""COMPUTED_VALUE"""),"GV")</f>
        <v>GV</v>
      </c>
      <c r="M932" s="43" t="str">
        <f>IFERROR(__xludf.DUMMYFUNCTION("""COMPUTED_VALUE"""),"short")</f>
        <v>short</v>
      </c>
      <c r="N932" s="45">
        <f>IFERROR(__xludf.DUMMYFUNCTION("""COMPUTED_VALUE"""),45135.0)</f>
        <v>45135</v>
      </c>
      <c r="O932" s="45">
        <f>IFERROR(__xludf.DUMMYFUNCTION("""COMPUTED_VALUE"""),45170.0)</f>
        <v>45170</v>
      </c>
      <c r="P932" s="45">
        <f>IFERROR(__xludf.DUMMYFUNCTION("""COMPUTED_VALUE"""),45215.0)</f>
        <v>45215</v>
      </c>
      <c r="Q932" s="45">
        <f>IFERROR(__xludf.DUMMYFUNCTION("""COMPUTED_VALUE"""),45170.0)</f>
        <v>45170</v>
      </c>
      <c r="R932" s="45">
        <f>IFERROR(__xludf.DUMMYFUNCTION("""COMPUTED_VALUE"""),45215.0)</f>
        <v>45215</v>
      </c>
      <c r="S932" s="43"/>
      <c r="T932" s="43"/>
      <c r="U932" s="43" t="str">
        <f>IFERROR(__xludf.DUMMYFUNCTION("""COMPUTED_VALUE"""),"Fingerprint")</f>
        <v>Fingerprint</v>
      </c>
      <c r="V932" s="43" t="str">
        <f>IFERROR(__xludf.DUMMYFUNCTION("""COMPUTED_VALUE"""),"AYDIN")</f>
        <v>AYDIN</v>
      </c>
      <c r="W932" s="43" t="str">
        <f>IFERROR(__xludf.DUMMYFUNCTION("""COMPUTED_VALUE"""),"2023-07-26T20:40:24Z")</f>
        <v>2023-07-26T20:40:24Z</v>
      </c>
      <c r="X932" s="43"/>
      <c r="Y932" s="43"/>
      <c r="Z932" s="43"/>
    </row>
    <row r="933" hidden="1">
      <c r="A933" s="43" t="str">
        <f>IFERROR(__xludf.DUMMYFUNCTION("""COMPUTED_VALUE"""),"5290028_1292298")</f>
        <v>5290028_1292298</v>
      </c>
      <c r="B933" s="43" t="str">
        <f>IFERROR(__xludf.DUMMYFUNCTION("""COMPUTED_VALUE"""),"İrem Kaçar")</f>
        <v>İrem Kaçar</v>
      </c>
      <c r="C933" s="43" t="str">
        <f>IFERROR(__xludf.DUMMYFUNCTION("""COMPUTED_VALUE"""),"completed")</f>
        <v>completed</v>
      </c>
      <c r="D933" s="43" t="str">
        <f>IFERROR(__xludf.DUMMYFUNCTION("""COMPUTED_VALUE"""),"No")</f>
        <v>No</v>
      </c>
      <c r="E933" s="43" t="str">
        <f>IFERROR(__xludf.DUMMYFUNCTION("""COMPUTED_VALUE"""),"p_4f67ac0d47f3044258b60bd821a879e570ab039a@inbound.aiesec.org")</f>
        <v>p_4f67ac0d47f3044258b60bd821a879e570ab039a@inbound.aiesec.org</v>
      </c>
      <c r="F933" s="43">
        <f>IFERROR(__xludf.DUMMYFUNCTION("""COMPUTED_VALUE"""),5.510793591E9)</f>
        <v>5510793591</v>
      </c>
      <c r="G933" s="43" t="str">
        <f>IFERROR(__xludf.DUMMYFUNCTION("""COMPUTED_VALUE"""),"Turkey")</f>
        <v>Turkey</v>
      </c>
      <c r="H933" s="43" t="str">
        <f>IFERROR(__xludf.DUMMYFUNCTION("""COMPUTED_VALUE"""),"İZMİR")</f>
        <v>İZMİR</v>
      </c>
      <c r="I933" s="43" t="str">
        <f>IFERROR(__xludf.DUMMYFUNCTION("""COMPUTED_VALUE"""),"Egypt")</f>
        <v>Egypt</v>
      </c>
      <c r="J933" s="43" t="str">
        <f>IFERROR(__xludf.DUMMYFUNCTION("""COMPUTED_VALUE"""),"Cairo University")</f>
        <v>Cairo University</v>
      </c>
      <c r="K933" s="44" t="str">
        <f>IFERROR(__xludf.DUMMYFUNCTION("""COMPUTED_VALUE"""),"https://expa.aiesec.org/opportunities/1292298")</f>
        <v>https://expa.aiesec.org/opportunities/1292298</v>
      </c>
      <c r="L933" s="43" t="str">
        <f>IFERROR(__xludf.DUMMYFUNCTION("""COMPUTED_VALUE"""),"GV")</f>
        <v>GV</v>
      </c>
      <c r="M933" s="43" t="str">
        <f>IFERROR(__xludf.DUMMYFUNCTION("""COMPUTED_VALUE"""),"short")</f>
        <v>short</v>
      </c>
      <c r="N933" s="45">
        <f>IFERROR(__xludf.DUMMYFUNCTION("""COMPUTED_VALUE"""),45135.0)</f>
        <v>45135</v>
      </c>
      <c r="O933" s="45">
        <f>IFERROR(__xludf.DUMMYFUNCTION("""COMPUTED_VALUE"""),45170.0)</f>
        <v>45170</v>
      </c>
      <c r="P933" s="45">
        <f>IFERROR(__xludf.DUMMYFUNCTION("""COMPUTED_VALUE"""),45215.0)</f>
        <v>45215</v>
      </c>
      <c r="Q933" s="45">
        <f>IFERROR(__xludf.DUMMYFUNCTION("""COMPUTED_VALUE"""),45170.0)</f>
        <v>45170</v>
      </c>
      <c r="R933" s="45">
        <f>IFERROR(__xludf.DUMMYFUNCTION("""COMPUTED_VALUE"""),45215.0)</f>
        <v>45215</v>
      </c>
      <c r="S933" s="43"/>
      <c r="T933" s="43"/>
      <c r="U933" s="43" t="str">
        <f>IFERROR(__xludf.DUMMYFUNCTION("""COMPUTED_VALUE"""),"Fingerprint")</f>
        <v>Fingerprint</v>
      </c>
      <c r="V933" s="43" t="str">
        <f>IFERROR(__xludf.DUMMYFUNCTION("""COMPUTED_VALUE"""),"AYDIN")</f>
        <v>AYDIN</v>
      </c>
      <c r="W933" s="43" t="str">
        <f>IFERROR(__xludf.DUMMYFUNCTION("""COMPUTED_VALUE"""),"2023-07-26T20:46:37Z")</f>
        <v>2023-07-26T20:46:37Z</v>
      </c>
      <c r="X933" s="43"/>
      <c r="Y933" s="43"/>
      <c r="Z933" s="43"/>
    </row>
    <row r="934" hidden="1">
      <c r="A934" s="43" t="str">
        <f>IFERROR(__xludf.DUMMYFUNCTION("""COMPUTED_VALUE"""),"5288866_1295363")</f>
        <v>5288866_1295363</v>
      </c>
      <c r="B934" s="43" t="str">
        <f>IFERROR(__xludf.DUMMYFUNCTION("""COMPUTED_VALUE"""),"Sena Çankaya")</f>
        <v>Sena Çankaya</v>
      </c>
      <c r="C934" s="43" t="str">
        <f>IFERROR(__xludf.DUMMYFUNCTION("""COMPUTED_VALUE"""),"completed")</f>
        <v>completed</v>
      </c>
      <c r="D934" s="43" t="str">
        <f>IFERROR(__xludf.DUMMYFUNCTION("""COMPUTED_VALUE"""),"No")</f>
        <v>No</v>
      </c>
      <c r="E934" s="43" t="str">
        <f>IFERROR(__xludf.DUMMYFUNCTION("""COMPUTED_VALUE"""),"p_a523c78edb97bb4d8caa436038a9d4f33743e2c3@inbound.aiesec.org")</f>
        <v>p_a523c78edb97bb4d8caa436038a9d4f33743e2c3@inbound.aiesec.org</v>
      </c>
      <c r="F934" s="43">
        <f>IFERROR(__xludf.DUMMYFUNCTION("""COMPUTED_VALUE"""),5.447851403E9)</f>
        <v>5447851403</v>
      </c>
      <c r="G934" s="43" t="str">
        <f>IFERROR(__xludf.DUMMYFUNCTION("""COMPUTED_VALUE"""),"Turkey")</f>
        <v>Turkey</v>
      </c>
      <c r="H934" s="43" t="str">
        <f>IFERROR(__xludf.DUMMYFUNCTION("""COMPUTED_VALUE"""),"ISTANBUL")</f>
        <v>ISTANBUL</v>
      </c>
      <c r="I934" s="43" t="str">
        <f>IFERROR(__xludf.DUMMYFUNCTION("""COMPUTED_VALUE"""),"Italy")</f>
        <v>Italy</v>
      </c>
      <c r="J934" s="43" t="str">
        <f>IFERROR(__xludf.DUMMYFUNCTION("""COMPUTED_VALUE"""),"Pavia")</f>
        <v>Pavia</v>
      </c>
      <c r="K934" s="44" t="str">
        <f>IFERROR(__xludf.DUMMYFUNCTION("""COMPUTED_VALUE"""),"https://expa.aiesec.org/opportunities/1295363")</f>
        <v>https://expa.aiesec.org/opportunities/1295363</v>
      </c>
      <c r="L934" s="43" t="str">
        <f>IFERROR(__xludf.DUMMYFUNCTION("""COMPUTED_VALUE"""),"GV")</f>
        <v>GV</v>
      </c>
      <c r="M934" s="43" t="str">
        <f>IFERROR(__xludf.DUMMYFUNCTION("""COMPUTED_VALUE"""),"short")</f>
        <v>short</v>
      </c>
      <c r="N934" s="45">
        <f>IFERROR(__xludf.DUMMYFUNCTION("""COMPUTED_VALUE"""),45135.0)</f>
        <v>45135</v>
      </c>
      <c r="O934" s="45">
        <f>IFERROR(__xludf.DUMMYFUNCTION("""COMPUTED_VALUE"""),45155.0)</f>
        <v>45155</v>
      </c>
      <c r="P934" s="45">
        <f>IFERROR(__xludf.DUMMYFUNCTION("""COMPUTED_VALUE"""),45197.0)</f>
        <v>45197</v>
      </c>
      <c r="Q934" s="45">
        <f>IFERROR(__xludf.DUMMYFUNCTION("""COMPUTED_VALUE"""),45155.0)</f>
        <v>45155</v>
      </c>
      <c r="R934" s="45">
        <f>IFERROR(__xludf.DUMMYFUNCTION("""COMPUTED_VALUE"""),45197.0)</f>
        <v>45197</v>
      </c>
      <c r="S934" s="43"/>
      <c r="T934" s="43"/>
      <c r="U934" s="43" t="str">
        <f>IFERROR(__xludf.DUMMYFUNCTION("""COMPUTED_VALUE"""),"Equify")</f>
        <v>Equify</v>
      </c>
      <c r="V934" s="43" t="str">
        <f>IFERROR(__xludf.DUMMYFUNCTION("""COMPUTED_VALUE"""),"ISTANBUL ASIA")</f>
        <v>ISTANBUL ASIA</v>
      </c>
      <c r="W934" s="43" t="str">
        <f>IFERROR(__xludf.DUMMYFUNCTION("""COMPUTED_VALUE"""),"2023-07-24T16:15:40Z")</f>
        <v>2023-07-24T16:15:40Z</v>
      </c>
      <c r="X934" s="43"/>
      <c r="Y934" s="43"/>
      <c r="Z934" s="43"/>
    </row>
    <row r="935" hidden="1">
      <c r="A935" s="43" t="str">
        <f>IFERROR(__xludf.DUMMYFUNCTION("""COMPUTED_VALUE"""),"5270103_1295055")</f>
        <v>5270103_1295055</v>
      </c>
      <c r="B935" s="43" t="str">
        <f>IFERROR(__xludf.DUMMYFUNCTION("""COMPUTED_VALUE"""),"İlayda Batıyel")</f>
        <v>İlayda Batıyel</v>
      </c>
      <c r="C935" s="43" t="str">
        <f>IFERROR(__xludf.DUMMYFUNCTION("""COMPUTED_VALUE"""),"finished")</f>
        <v>finished</v>
      </c>
      <c r="D935" s="43" t="str">
        <f>IFERROR(__xludf.DUMMYFUNCTION("""COMPUTED_VALUE"""),"No")</f>
        <v>No</v>
      </c>
      <c r="E935" s="43" t="str">
        <f>IFERROR(__xludf.DUMMYFUNCTION("""COMPUTED_VALUE"""),"p_88166b5ad5ce1c404d276798f2e2feb3c3d88bc6@inbound.aiesec.org")</f>
        <v>p_88166b5ad5ce1c404d276798f2e2feb3c3d88bc6@inbound.aiesec.org</v>
      </c>
      <c r="F935" s="43">
        <f>IFERROR(__xludf.DUMMYFUNCTION("""COMPUTED_VALUE"""),5.4320106E9)</f>
        <v>5432010600</v>
      </c>
      <c r="G935" s="43" t="str">
        <f>IFERROR(__xludf.DUMMYFUNCTION("""COMPUTED_VALUE"""),"Turkey")</f>
        <v>Turkey</v>
      </c>
      <c r="H935" s="43" t="str">
        <f>IFERROR(__xludf.DUMMYFUNCTION("""COMPUTED_VALUE"""),"ANKARA")</f>
        <v>ANKARA</v>
      </c>
      <c r="I935" s="43" t="str">
        <f>IFERROR(__xludf.DUMMYFUNCTION("""COMPUTED_VALUE"""),"Tunisia")</f>
        <v>Tunisia</v>
      </c>
      <c r="J935" s="43" t="str">
        <f>IFERROR(__xludf.DUMMYFUNCTION("""COMPUTED_VALUE"""),"BARDO")</f>
        <v>BARDO</v>
      </c>
      <c r="K935" s="44" t="str">
        <f>IFERROR(__xludf.DUMMYFUNCTION("""COMPUTED_VALUE"""),"https://expa.aiesec.org/opportunities/1295055")</f>
        <v>https://expa.aiesec.org/opportunities/1295055</v>
      </c>
      <c r="L935" s="43" t="str">
        <f>IFERROR(__xludf.DUMMYFUNCTION("""COMPUTED_VALUE"""),"GV")</f>
        <v>GV</v>
      </c>
      <c r="M935" s="43" t="str">
        <f>IFERROR(__xludf.DUMMYFUNCTION("""COMPUTED_VALUE"""),"short")</f>
        <v>short</v>
      </c>
      <c r="N935" s="45">
        <f>IFERROR(__xludf.DUMMYFUNCTION("""COMPUTED_VALUE"""),45137.0)</f>
        <v>45137</v>
      </c>
      <c r="O935" s="45">
        <f>IFERROR(__xludf.DUMMYFUNCTION("""COMPUTED_VALUE"""),45150.0)</f>
        <v>45150</v>
      </c>
      <c r="P935" s="45">
        <f>IFERROR(__xludf.DUMMYFUNCTION("""COMPUTED_VALUE"""),45192.0)</f>
        <v>45192</v>
      </c>
      <c r="Q935" s="45">
        <f>IFERROR(__xludf.DUMMYFUNCTION("""COMPUTED_VALUE"""),45144.0)</f>
        <v>45144</v>
      </c>
      <c r="R935" s="45">
        <f>IFERROR(__xludf.DUMMYFUNCTION("""COMPUTED_VALUE"""),45192.0)</f>
        <v>45192</v>
      </c>
      <c r="S935" s="43"/>
      <c r="T935" s="43"/>
      <c r="U935" s="43" t="str">
        <f>IFERROR(__xludf.DUMMYFUNCTION("""COMPUTED_VALUE"""),"Scale Up!")</f>
        <v>Scale Up!</v>
      </c>
      <c r="V935" s="43" t="str">
        <f>IFERROR(__xludf.DUMMYFUNCTION("""COMPUTED_VALUE"""),"ANKARA")</f>
        <v>ANKARA</v>
      </c>
      <c r="W935" s="43" t="str">
        <f>IFERROR(__xludf.DUMMYFUNCTION("""COMPUTED_VALUE"""),"2023-06-01T10:52:56Z")</f>
        <v>2023-06-01T10:52:56Z</v>
      </c>
      <c r="X935" s="43"/>
      <c r="Y935" s="43"/>
      <c r="Z935" s="43"/>
    </row>
    <row r="936" hidden="1">
      <c r="A936" s="43" t="str">
        <f>IFERROR(__xludf.DUMMYFUNCTION("""COMPUTED_VALUE"""),"5283302_1295874")</f>
        <v>5283302_1295874</v>
      </c>
      <c r="B936" s="43" t="str">
        <f>IFERROR(__xludf.DUMMYFUNCTION("""COMPUTED_VALUE"""),"Kutay Erdil Ük")</f>
        <v>Kutay Erdil Ük</v>
      </c>
      <c r="C936" s="43" t="str">
        <f>IFERROR(__xludf.DUMMYFUNCTION("""COMPUTED_VALUE"""),"completed")</f>
        <v>completed</v>
      </c>
      <c r="D936" s="43" t="str">
        <f>IFERROR(__xludf.DUMMYFUNCTION("""COMPUTED_VALUE"""),"No")</f>
        <v>No</v>
      </c>
      <c r="E936" s="43" t="str">
        <f>IFERROR(__xludf.DUMMYFUNCTION("""COMPUTED_VALUE"""),"p_0c075cf8486ee2807b09a8e65ca4345f7f1b457c@inbound.aiesec.org")</f>
        <v>p_0c075cf8486ee2807b09a8e65ca4345f7f1b457c@inbound.aiesec.org</v>
      </c>
      <c r="F936" s="43">
        <f>IFERROR(__xludf.DUMMYFUNCTION("""COMPUTED_VALUE"""),5.522817185E9)</f>
        <v>5522817185</v>
      </c>
      <c r="G936" s="43" t="str">
        <f>IFERROR(__xludf.DUMMYFUNCTION("""COMPUTED_VALUE"""),"Turkey")</f>
        <v>Turkey</v>
      </c>
      <c r="H936" s="43" t="str">
        <f>IFERROR(__xludf.DUMMYFUNCTION("""COMPUTED_VALUE"""),"ANKARA")</f>
        <v>ANKARA</v>
      </c>
      <c r="I936" s="43" t="str">
        <f>IFERROR(__xludf.DUMMYFUNCTION("""COMPUTED_VALUE"""),"Egypt")</f>
        <v>Egypt</v>
      </c>
      <c r="J936" s="43" t="str">
        <f>IFERROR(__xludf.DUMMYFUNCTION("""COMPUTED_VALUE"""),"Cairo University")</f>
        <v>Cairo University</v>
      </c>
      <c r="K936" s="44" t="str">
        <f>IFERROR(__xludf.DUMMYFUNCTION("""COMPUTED_VALUE"""),"https://expa.aiesec.org/opportunities/1295874")</f>
        <v>https://expa.aiesec.org/opportunities/1295874</v>
      </c>
      <c r="L936" s="43" t="str">
        <f>IFERROR(__xludf.DUMMYFUNCTION("""COMPUTED_VALUE"""),"GV")</f>
        <v>GV</v>
      </c>
      <c r="M936" s="43" t="str">
        <f>IFERROR(__xludf.DUMMYFUNCTION("""COMPUTED_VALUE"""),"short")</f>
        <v>short</v>
      </c>
      <c r="N936" s="45">
        <f>IFERROR(__xludf.DUMMYFUNCTION("""COMPUTED_VALUE"""),45138.0)</f>
        <v>45138</v>
      </c>
      <c r="O936" s="45">
        <f>IFERROR(__xludf.DUMMYFUNCTION("""COMPUTED_VALUE"""),45153.0)</f>
        <v>45153</v>
      </c>
      <c r="P936" s="45">
        <f>IFERROR(__xludf.DUMMYFUNCTION("""COMPUTED_VALUE"""),45195.0)</f>
        <v>45195</v>
      </c>
      <c r="Q936" s="45">
        <f>IFERROR(__xludf.DUMMYFUNCTION("""COMPUTED_VALUE"""),45154.0)</f>
        <v>45154</v>
      </c>
      <c r="R936" s="45">
        <f>IFERROR(__xludf.DUMMYFUNCTION("""COMPUTED_VALUE"""),45196.0)</f>
        <v>45196</v>
      </c>
      <c r="S936" s="43"/>
      <c r="T936" s="43"/>
      <c r="U936" s="43" t="str">
        <f>IFERROR(__xludf.DUMMYFUNCTION("""COMPUTED_VALUE"""),"Green Leaders")</f>
        <v>Green Leaders</v>
      </c>
      <c r="V936" s="43" t="str">
        <f>IFERROR(__xludf.DUMMYFUNCTION("""COMPUTED_VALUE"""),"ANKARA")</f>
        <v>ANKARA</v>
      </c>
      <c r="W936" s="43" t="str">
        <f>IFERROR(__xludf.DUMMYFUNCTION("""COMPUTED_VALUE"""),"2023-07-08T11:35:35Z")</f>
        <v>2023-07-08T11:35:35Z</v>
      </c>
      <c r="X936" s="43"/>
      <c r="Y936" s="43"/>
      <c r="Z936" s="43"/>
    </row>
    <row r="937" hidden="1">
      <c r="A937" s="43" t="str">
        <f>IFERROR(__xludf.DUMMYFUNCTION("""COMPUTED_VALUE"""),"5289918_1294860")</f>
        <v>5289918_1294860</v>
      </c>
      <c r="B937" s="43" t="str">
        <f>IFERROR(__xludf.DUMMYFUNCTION("""COMPUTED_VALUE"""),"Ayşenur Çetiner")</f>
        <v>Ayşenur Çetiner</v>
      </c>
      <c r="C937" s="43" t="str">
        <f>IFERROR(__xludf.DUMMYFUNCTION("""COMPUTED_VALUE"""),"realization_broken")</f>
        <v>realization_broken</v>
      </c>
      <c r="D937" s="43" t="str">
        <f>IFERROR(__xludf.DUMMYFUNCTION("""COMPUTED_VALUE"""),"No")</f>
        <v>No</v>
      </c>
      <c r="E937" s="43" t="str">
        <f>IFERROR(__xludf.DUMMYFUNCTION("""COMPUTED_VALUE"""),"p_47e03d069d415e6799f30e0ad3198b785dc75595@inbound.aiesec.org")</f>
        <v>p_47e03d069d415e6799f30e0ad3198b785dc75595@inbound.aiesec.org</v>
      </c>
      <c r="F937" s="43">
        <f>IFERROR(__xludf.DUMMYFUNCTION("""COMPUTED_VALUE"""),5.524682437E9)</f>
        <v>5524682437</v>
      </c>
      <c r="G937" s="43" t="str">
        <f>IFERROR(__xludf.DUMMYFUNCTION("""COMPUTED_VALUE"""),"Turkey")</f>
        <v>Turkey</v>
      </c>
      <c r="H937" s="43" t="str">
        <f>IFERROR(__xludf.DUMMYFUNCTION("""COMPUTED_VALUE"""),"BURSA")</f>
        <v>BURSA</v>
      </c>
      <c r="I937" s="43" t="str">
        <f>IFERROR(__xludf.DUMMYFUNCTION("""COMPUTED_VALUE"""),"Egypt")</f>
        <v>Egypt</v>
      </c>
      <c r="J937" s="43" t="str">
        <f>IFERROR(__xludf.DUMMYFUNCTION("""COMPUTED_VALUE"""),"Cairo University")</f>
        <v>Cairo University</v>
      </c>
      <c r="K937" s="44" t="str">
        <f>IFERROR(__xludf.DUMMYFUNCTION("""COMPUTED_VALUE"""),"https://expa.aiesec.org/opportunities/1294860")</f>
        <v>https://expa.aiesec.org/opportunities/1294860</v>
      </c>
      <c r="L937" s="43" t="str">
        <f>IFERROR(__xludf.DUMMYFUNCTION("""COMPUTED_VALUE"""),"GV")</f>
        <v>GV</v>
      </c>
      <c r="M937" s="43" t="str">
        <f>IFERROR(__xludf.DUMMYFUNCTION("""COMPUTED_VALUE"""),"short")</f>
        <v>short</v>
      </c>
      <c r="N937" s="45">
        <f>IFERROR(__xludf.DUMMYFUNCTION("""COMPUTED_VALUE"""),45138.0)</f>
        <v>45138</v>
      </c>
      <c r="O937" s="45">
        <f>IFERROR(__xludf.DUMMYFUNCTION("""COMPUTED_VALUE"""),45153.0)</f>
        <v>45153</v>
      </c>
      <c r="P937" s="45">
        <f>IFERROR(__xludf.DUMMYFUNCTION("""COMPUTED_VALUE"""),45197.0)</f>
        <v>45197</v>
      </c>
      <c r="Q937" s="45"/>
      <c r="R937" s="45"/>
      <c r="S937" s="43"/>
      <c r="T937" s="43"/>
      <c r="U937" s="43" t="str">
        <f>IFERROR(__xludf.DUMMYFUNCTION("""COMPUTED_VALUE"""),"On The Map")</f>
        <v>On The Map</v>
      </c>
      <c r="V937" s="43" t="str">
        <f>IFERROR(__xludf.DUMMYFUNCTION("""COMPUTED_VALUE"""),"BURSA")</f>
        <v>BURSA</v>
      </c>
      <c r="W937" s="43" t="str">
        <f>IFERROR(__xludf.DUMMYFUNCTION("""COMPUTED_VALUE"""),"2023-07-26T16:03:01Z")</f>
        <v>2023-07-26T16:03:01Z</v>
      </c>
      <c r="X937" s="43"/>
      <c r="Y937" s="43"/>
      <c r="Z937" s="43"/>
    </row>
    <row r="938" hidden="1">
      <c r="A938" s="43" t="str">
        <f>IFERROR(__xludf.DUMMYFUNCTION("""COMPUTED_VALUE"""),"5291898_1294137")</f>
        <v>5291898_1294137</v>
      </c>
      <c r="B938" s="43" t="str">
        <f>IFERROR(__xludf.DUMMYFUNCTION("""COMPUTED_VALUE"""),"Melike hümeyra Yakupoğlu")</f>
        <v>Melike hümeyra Yakupoğlu</v>
      </c>
      <c r="C938" s="43" t="str">
        <f>IFERROR(__xludf.DUMMYFUNCTION("""COMPUTED_VALUE"""),"approved")</f>
        <v>approved</v>
      </c>
      <c r="D938" s="43" t="str">
        <f>IFERROR(__xludf.DUMMYFUNCTION("""COMPUTED_VALUE"""),"No")</f>
        <v>No</v>
      </c>
      <c r="E938" s="43" t="str">
        <f>IFERROR(__xludf.DUMMYFUNCTION("""COMPUTED_VALUE"""),"p_f1d723ee35edfd758ac36f637ad65a0a05679c8e@inbound.aiesec.org")</f>
        <v>p_f1d723ee35edfd758ac36f637ad65a0a05679c8e@inbound.aiesec.org</v>
      </c>
      <c r="F938" s="43"/>
      <c r="G938" s="43" t="str">
        <f>IFERROR(__xludf.DUMMYFUNCTION("""COMPUTED_VALUE"""),"Turkey")</f>
        <v>Turkey</v>
      </c>
      <c r="H938" s="43" t="str">
        <f>IFERROR(__xludf.DUMMYFUNCTION("""COMPUTED_VALUE"""),"ISTANBUL")</f>
        <v>ISTANBUL</v>
      </c>
      <c r="I938" s="43" t="str">
        <f>IFERROR(__xludf.DUMMYFUNCTION("""COMPUTED_VALUE"""),"Egypt")</f>
        <v>Egypt</v>
      </c>
      <c r="J938" s="43" t="str">
        <f>IFERROR(__xludf.DUMMYFUNCTION("""COMPUTED_VALUE"""),"Cairo University")</f>
        <v>Cairo University</v>
      </c>
      <c r="K938" s="44" t="str">
        <f>IFERROR(__xludf.DUMMYFUNCTION("""COMPUTED_VALUE"""),"https://expa.aiesec.org/opportunities/1294137")</f>
        <v>https://expa.aiesec.org/opportunities/1294137</v>
      </c>
      <c r="L938" s="43" t="str">
        <f>IFERROR(__xludf.DUMMYFUNCTION("""COMPUTED_VALUE"""),"GV")</f>
        <v>GV</v>
      </c>
      <c r="M938" s="43" t="str">
        <f>IFERROR(__xludf.DUMMYFUNCTION("""COMPUTED_VALUE"""),"short")</f>
        <v>short</v>
      </c>
      <c r="N938" s="45">
        <f>IFERROR(__xludf.DUMMYFUNCTION("""COMPUTED_VALUE"""),45139.0)</f>
        <v>45139</v>
      </c>
      <c r="O938" s="45">
        <f>IFERROR(__xludf.DUMMYFUNCTION("""COMPUTED_VALUE"""),45488.0)</f>
        <v>45488</v>
      </c>
      <c r="P938" s="45">
        <f>IFERROR(__xludf.DUMMYFUNCTION("""COMPUTED_VALUE"""),45530.0)</f>
        <v>45530</v>
      </c>
      <c r="Q938" s="45"/>
      <c r="R938" s="45"/>
      <c r="S938" s="43"/>
      <c r="T938" s="43"/>
      <c r="U938" s="43" t="str">
        <f>IFERROR(__xludf.DUMMYFUNCTION("""COMPUTED_VALUE"""),"Explorer")</f>
        <v>Explorer</v>
      </c>
      <c r="V938" s="43" t="str">
        <f>IFERROR(__xludf.DUMMYFUNCTION("""COMPUTED_VALUE"""),"-")</f>
        <v>-</v>
      </c>
      <c r="W938" s="43" t="str">
        <f>IFERROR(__xludf.DUMMYFUNCTION("""COMPUTED_VALUE"""),"2023-07-30T19:23:43Z")</f>
        <v>2023-07-30T19:23:43Z</v>
      </c>
      <c r="X938" s="43"/>
      <c r="Y938" s="43"/>
      <c r="Z938" s="43"/>
    </row>
    <row r="939" hidden="1">
      <c r="A939" s="43" t="str">
        <f>IFERROR(__xludf.DUMMYFUNCTION("""COMPUTED_VALUE"""),"5288456_1297112")</f>
        <v>5288456_1297112</v>
      </c>
      <c r="B939" s="43" t="str">
        <f>IFERROR(__xludf.DUMMYFUNCTION("""COMPUTED_VALUE"""),"Emel Alcan")</f>
        <v>Emel Alcan</v>
      </c>
      <c r="C939" s="43" t="str">
        <f>IFERROR(__xludf.DUMMYFUNCTION("""COMPUTED_VALUE"""),"approved")</f>
        <v>approved</v>
      </c>
      <c r="D939" s="43" t="str">
        <f>IFERROR(__xludf.DUMMYFUNCTION("""COMPUTED_VALUE"""),"No")</f>
        <v>No</v>
      </c>
      <c r="E939" s="43" t="str">
        <f>IFERROR(__xludf.DUMMYFUNCTION("""COMPUTED_VALUE"""),"p_d4db09c5fe3866a81891d192b00814d220de499c@inbound.aiesec.org")</f>
        <v>p_d4db09c5fe3866a81891d192b00814d220de499c@inbound.aiesec.org</v>
      </c>
      <c r="F939" s="43">
        <f>IFERROR(__xludf.DUMMYFUNCTION("""COMPUTED_VALUE"""),5.051111124E9)</f>
        <v>5051111124</v>
      </c>
      <c r="G939" s="43" t="str">
        <f>IFERROR(__xludf.DUMMYFUNCTION("""COMPUTED_VALUE"""),"Turkey")</f>
        <v>Turkey</v>
      </c>
      <c r="H939" s="43" t="str">
        <f>IFERROR(__xludf.DUMMYFUNCTION("""COMPUTED_VALUE"""),"KOCAELI")</f>
        <v>KOCAELI</v>
      </c>
      <c r="I939" s="43" t="str">
        <f>IFERROR(__xludf.DUMMYFUNCTION("""COMPUTED_VALUE"""),"Romania")</f>
        <v>Romania</v>
      </c>
      <c r="J939" s="43" t="str">
        <f>IFERROR(__xludf.DUMMYFUNCTION("""COMPUTED_VALUE"""),"PITESTI")</f>
        <v>PITESTI</v>
      </c>
      <c r="K939" s="44" t="str">
        <f>IFERROR(__xludf.DUMMYFUNCTION("""COMPUTED_VALUE"""),"https://expa.aiesec.org/opportunities/1297112")</f>
        <v>https://expa.aiesec.org/opportunities/1297112</v>
      </c>
      <c r="L939" s="43" t="str">
        <f>IFERROR(__xludf.DUMMYFUNCTION("""COMPUTED_VALUE"""),"GV")</f>
        <v>GV</v>
      </c>
      <c r="M939" s="43" t="str">
        <f>IFERROR(__xludf.DUMMYFUNCTION("""COMPUTED_VALUE"""),"short")</f>
        <v>short</v>
      </c>
      <c r="N939" s="45">
        <f>IFERROR(__xludf.DUMMYFUNCTION("""COMPUTED_VALUE"""),45139.0)</f>
        <v>45139</v>
      </c>
      <c r="O939" s="45">
        <f>IFERROR(__xludf.DUMMYFUNCTION("""COMPUTED_VALUE"""),45299.0)</f>
        <v>45299</v>
      </c>
      <c r="P939" s="45">
        <f>IFERROR(__xludf.DUMMYFUNCTION("""COMPUTED_VALUE"""),45341.0)</f>
        <v>45341</v>
      </c>
      <c r="Q939" s="45"/>
      <c r="R939" s="45"/>
      <c r="S939" s="43"/>
      <c r="T939" s="43"/>
      <c r="U939" s="43" t="str">
        <f>IFERROR(__xludf.DUMMYFUNCTION("""COMPUTED_VALUE"""),"Eat 4 Change")</f>
        <v>Eat 4 Change</v>
      </c>
      <c r="V939" s="43" t="str">
        <f>IFERROR(__xludf.DUMMYFUNCTION("""COMPUTED_VALUE"""),"KOCAELI")</f>
        <v>KOCAELI</v>
      </c>
      <c r="W939" s="43" t="str">
        <f>IFERROR(__xludf.DUMMYFUNCTION("""COMPUTED_VALUE"""),"2023-07-23T14:12:20Z")</f>
        <v>2023-07-23T14:12:20Z</v>
      </c>
      <c r="X939" s="43"/>
      <c r="Y939" s="43"/>
      <c r="Z939" s="43"/>
    </row>
    <row r="940" hidden="1">
      <c r="A940" s="43" t="str">
        <f>IFERROR(__xludf.DUMMYFUNCTION("""COMPUTED_VALUE"""),"5288712_1291769")</f>
        <v>5288712_1291769</v>
      </c>
      <c r="B940" s="43" t="str">
        <f>IFERROR(__xludf.DUMMYFUNCTION("""COMPUTED_VALUE"""),"Zeynepnur Anayurt")</f>
        <v>Zeynepnur Anayurt</v>
      </c>
      <c r="C940" s="43" t="str">
        <f>IFERROR(__xludf.DUMMYFUNCTION("""COMPUTED_VALUE"""),"completed")</f>
        <v>completed</v>
      </c>
      <c r="D940" s="43" t="str">
        <f>IFERROR(__xludf.DUMMYFUNCTION("""COMPUTED_VALUE"""),"No")</f>
        <v>No</v>
      </c>
      <c r="E940" s="43" t="str">
        <f>IFERROR(__xludf.DUMMYFUNCTION("""COMPUTED_VALUE"""),"p_cfac34ebc05d9f3be63481cd3ec75381ae4adaed@inbound.aiesec.org")</f>
        <v>p_cfac34ebc05d9f3be63481cd3ec75381ae4adaed@inbound.aiesec.org</v>
      </c>
      <c r="F940" s="43">
        <f>IFERROR(__xludf.DUMMYFUNCTION("""COMPUTED_VALUE"""),5.464766322E9)</f>
        <v>5464766322</v>
      </c>
      <c r="G940" s="43" t="str">
        <f>IFERROR(__xludf.DUMMYFUNCTION("""COMPUTED_VALUE"""),"Turkey")</f>
        <v>Turkey</v>
      </c>
      <c r="H940" s="43" t="str">
        <f>IFERROR(__xludf.DUMMYFUNCTION("""COMPUTED_VALUE"""),"KOCAELI")</f>
        <v>KOCAELI</v>
      </c>
      <c r="I940" s="43" t="str">
        <f>IFERROR(__xludf.DUMMYFUNCTION("""COMPUTED_VALUE"""),"Azerbaijan")</f>
        <v>Azerbaijan</v>
      </c>
      <c r="J940" s="43" t="str">
        <f>IFERROR(__xludf.DUMMYFUNCTION("""COMPUTED_VALUE"""),"Baku ADA")</f>
        <v>Baku ADA</v>
      </c>
      <c r="K940" s="44" t="str">
        <f>IFERROR(__xludf.DUMMYFUNCTION("""COMPUTED_VALUE"""),"https://expa.aiesec.org/opportunities/1291769")</f>
        <v>https://expa.aiesec.org/opportunities/1291769</v>
      </c>
      <c r="L940" s="43" t="str">
        <f>IFERROR(__xludf.DUMMYFUNCTION("""COMPUTED_VALUE"""),"GV")</f>
        <v>GV</v>
      </c>
      <c r="M940" s="43" t="str">
        <f>IFERROR(__xludf.DUMMYFUNCTION("""COMPUTED_VALUE"""),"short")</f>
        <v>short</v>
      </c>
      <c r="N940" s="45">
        <f>IFERROR(__xludf.DUMMYFUNCTION("""COMPUTED_VALUE"""),45139.0)</f>
        <v>45139</v>
      </c>
      <c r="O940" s="45">
        <f>IFERROR(__xludf.DUMMYFUNCTION("""COMPUTED_VALUE"""),45158.0)</f>
        <v>45158</v>
      </c>
      <c r="P940" s="45">
        <f>IFERROR(__xludf.DUMMYFUNCTION("""COMPUTED_VALUE"""),45200.0)</f>
        <v>45200</v>
      </c>
      <c r="Q940" s="45">
        <f>IFERROR(__xludf.DUMMYFUNCTION("""COMPUTED_VALUE"""),45159.0)</f>
        <v>45159</v>
      </c>
      <c r="R940" s="45">
        <f>IFERROR(__xludf.DUMMYFUNCTION("""COMPUTED_VALUE"""),45200.0)</f>
        <v>45200</v>
      </c>
      <c r="S940" s="43"/>
      <c r="T940" s="43"/>
      <c r="U940" s="43" t="str">
        <f>IFERROR(__xludf.DUMMYFUNCTION("""COMPUTED_VALUE"""),"Global Classroom")</f>
        <v>Global Classroom</v>
      </c>
      <c r="V940" s="43" t="str">
        <f>IFERROR(__xludf.DUMMYFUNCTION("""COMPUTED_VALUE"""),"KOCAELI")</f>
        <v>KOCAELI</v>
      </c>
      <c r="W940" s="43" t="str">
        <f>IFERROR(__xludf.DUMMYFUNCTION("""COMPUTED_VALUE"""),"2023-07-24T10:08:44Z")</f>
        <v>2023-07-24T10:08:44Z</v>
      </c>
      <c r="X940" s="43"/>
      <c r="Y940" s="43"/>
      <c r="Z940" s="43"/>
    </row>
    <row r="941" hidden="1">
      <c r="A941" s="43" t="str">
        <f>IFERROR(__xludf.DUMMYFUNCTION("""COMPUTED_VALUE"""),"5204622_1293735")</f>
        <v>5204622_1293735</v>
      </c>
      <c r="B941" s="43" t="str">
        <f>IFERROR(__xludf.DUMMYFUNCTION("""COMPUTED_VALUE"""),"Ceren Yeralçak")</f>
        <v>Ceren Yeralçak</v>
      </c>
      <c r="C941" s="43" t="str">
        <f>IFERROR(__xludf.DUMMYFUNCTION("""COMPUTED_VALUE"""),"completed")</f>
        <v>completed</v>
      </c>
      <c r="D941" s="43" t="str">
        <f>IFERROR(__xludf.DUMMYFUNCTION("""COMPUTED_VALUE"""),"No")</f>
        <v>No</v>
      </c>
      <c r="E941" s="43" t="str">
        <f>IFERROR(__xludf.DUMMYFUNCTION("""COMPUTED_VALUE"""),"p_22086d675022ec0eeb1bda611ba8913dcd79b150@inbound.aiesec.org")</f>
        <v>p_22086d675022ec0eeb1bda611ba8913dcd79b150@inbound.aiesec.org</v>
      </c>
      <c r="F941" s="43">
        <f>IFERROR(__xludf.DUMMYFUNCTION("""COMPUTED_VALUE"""),5.321793518E9)</f>
        <v>5321793518</v>
      </c>
      <c r="G941" s="43" t="str">
        <f>IFERROR(__xludf.DUMMYFUNCTION("""COMPUTED_VALUE"""),"Turkey")</f>
        <v>Turkey</v>
      </c>
      <c r="H941" s="43" t="str">
        <f>IFERROR(__xludf.DUMMYFUNCTION("""COMPUTED_VALUE"""),"ISTANBUL")</f>
        <v>ISTANBUL</v>
      </c>
      <c r="I941" s="43" t="str">
        <f>IFERROR(__xludf.DUMMYFUNCTION("""COMPUTED_VALUE"""),"Italy")</f>
        <v>Italy</v>
      </c>
      <c r="J941" s="43" t="str">
        <f>IFERROR(__xludf.DUMMYFUNCTION("""COMPUTED_VALUE"""),"Napoli Federico II")</f>
        <v>Napoli Federico II</v>
      </c>
      <c r="K941" s="44" t="str">
        <f>IFERROR(__xludf.DUMMYFUNCTION("""COMPUTED_VALUE"""),"https://expa.aiesec.org/opportunities/1293735")</f>
        <v>https://expa.aiesec.org/opportunities/1293735</v>
      </c>
      <c r="L941" s="43" t="str">
        <f>IFERROR(__xludf.DUMMYFUNCTION("""COMPUTED_VALUE"""),"GV")</f>
        <v>GV</v>
      </c>
      <c r="M941" s="43" t="str">
        <f>IFERROR(__xludf.DUMMYFUNCTION("""COMPUTED_VALUE"""),"short")</f>
        <v>short</v>
      </c>
      <c r="N941" s="45">
        <f>IFERROR(__xludf.DUMMYFUNCTION("""COMPUTED_VALUE"""),45025.0)</f>
        <v>45025</v>
      </c>
      <c r="O941" s="45">
        <f>IFERROR(__xludf.DUMMYFUNCTION("""COMPUTED_VALUE"""),45082.0)</f>
        <v>45082</v>
      </c>
      <c r="P941" s="45">
        <f>IFERROR(__xludf.DUMMYFUNCTION("""COMPUTED_VALUE"""),45124.0)</f>
        <v>45124</v>
      </c>
      <c r="Q941" s="45"/>
      <c r="R941" s="45">
        <f>IFERROR(__xludf.DUMMYFUNCTION("""COMPUTED_VALUE"""),45124.0)</f>
        <v>45124</v>
      </c>
      <c r="S941" s="43"/>
      <c r="T941" s="43"/>
      <c r="U941" s="43" t="str">
        <f>IFERROR(__xludf.DUMMYFUNCTION("""COMPUTED_VALUE"""),"Equify")</f>
        <v>Equify</v>
      </c>
      <c r="V941" s="43" t="str">
        <f>IFERROR(__xludf.DUMMYFUNCTION("""COMPUTED_VALUE"""),"ISTANBUL - BEYOGLU")</f>
        <v>ISTANBUL - BEYOGLU</v>
      </c>
      <c r="W941" s="43" t="str">
        <f>IFERROR(__xludf.DUMMYFUNCTION("""COMPUTED_VALUE"""),"2023-03-03T13:49:27Z")</f>
        <v>2023-03-03T13:49:27Z</v>
      </c>
      <c r="X941" s="43"/>
      <c r="Y941" s="43"/>
      <c r="Z941" s="43"/>
    </row>
    <row r="942" hidden="1">
      <c r="A942" s="43" t="str">
        <f>IFERROR(__xludf.DUMMYFUNCTION("""COMPUTED_VALUE"""),"5291927_1293711")</f>
        <v>5291927_1293711</v>
      </c>
      <c r="B942" s="43" t="str">
        <f>IFERROR(__xludf.DUMMYFUNCTION("""COMPUTED_VALUE"""),"Gamze Kök")</f>
        <v>Gamze Kök</v>
      </c>
      <c r="C942" s="43" t="str">
        <f>IFERROR(__xludf.DUMMYFUNCTION("""COMPUTED_VALUE"""),"approved")</f>
        <v>approved</v>
      </c>
      <c r="D942" s="43" t="str">
        <f>IFERROR(__xludf.DUMMYFUNCTION("""COMPUTED_VALUE"""),"No")</f>
        <v>No</v>
      </c>
      <c r="E942" s="43" t="str">
        <f>IFERROR(__xludf.DUMMYFUNCTION("""COMPUTED_VALUE"""),"p_7211b752644776c239bd15778a9c273111b35224@inbound.aiesec.org")</f>
        <v>p_7211b752644776c239bd15778a9c273111b35224@inbound.aiesec.org</v>
      </c>
      <c r="F942" s="43">
        <f>IFERROR(__xludf.DUMMYFUNCTION("""COMPUTED_VALUE"""),5.304421017E9)</f>
        <v>5304421017</v>
      </c>
      <c r="G942" s="43" t="str">
        <f>IFERROR(__xludf.DUMMYFUNCTION("""COMPUTED_VALUE"""),"Turkey")</f>
        <v>Turkey</v>
      </c>
      <c r="H942" s="43" t="str">
        <f>IFERROR(__xludf.DUMMYFUNCTION("""COMPUTED_VALUE"""),"ADANA")</f>
        <v>ADANA</v>
      </c>
      <c r="I942" s="43" t="str">
        <f>IFERROR(__xludf.DUMMYFUNCTION("""COMPUTED_VALUE"""),"Egypt")</f>
        <v>Egypt</v>
      </c>
      <c r="J942" s="43" t="str">
        <f>IFERROR(__xludf.DUMMYFUNCTION("""COMPUTED_VALUE"""),"Mansoura")</f>
        <v>Mansoura</v>
      </c>
      <c r="K942" s="44" t="str">
        <f>IFERROR(__xludf.DUMMYFUNCTION("""COMPUTED_VALUE"""),"https://expa.aiesec.org/opportunities/1293711")</f>
        <v>https://expa.aiesec.org/opportunities/1293711</v>
      </c>
      <c r="L942" s="43" t="str">
        <f>IFERROR(__xludf.DUMMYFUNCTION("""COMPUTED_VALUE"""),"GV")</f>
        <v>GV</v>
      </c>
      <c r="M942" s="43" t="str">
        <f>IFERROR(__xludf.DUMMYFUNCTION("""COMPUTED_VALUE"""),"short")</f>
        <v>short</v>
      </c>
      <c r="N942" s="45">
        <f>IFERROR(__xludf.DUMMYFUNCTION("""COMPUTED_VALUE"""),45141.0)</f>
        <v>45141</v>
      </c>
      <c r="O942" s="45">
        <f>IFERROR(__xludf.DUMMYFUNCTION("""COMPUTED_VALUE"""),45323.0)</f>
        <v>45323</v>
      </c>
      <c r="P942" s="45">
        <f>IFERROR(__xludf.DUMMYFUNCTION("""COMPUTED_VALUE"""),45365.0)</f>
        <v>45365</v>
      </c>
      <c r="Q942" s="45"/>
      <c r="R942" s="45"/>
      <c r="S942" s="43"/>
      <c r="T942" s="43"/>
      <c r="U942" s="43" t="str">
        <f>IFERROR(__xludf.DUMMYFUNCTION("""COMPUTED_VALUE"""),"Youth 4 Impact")</f>
        <v>Youth 4 Impact</v>
      </c>
      <c r="V942" s="43" t="str">
        <f>IFERROR(__xludf.DUMMYFUNCTION("""COMPUTED_VALUE"""),"ADANA")</f>
        <v>ADANA</v>
      </c>
      <c r="W942" s="43" t="str">
        <f>IFERROR(__xludf.DUMMYFUNCTION("""COMPUTED_VALUE"""),"2023-07-30T21:47:07Z")</f>
        <v>2023-07-30T21:47:07Z</v>
      </c>
      <c r="X942" s="43"/>
      <c r="Y942" s="43"/>
      <c r="Z942" s="43"/>
    </row>
    <row r="943" hidden="1">
      <c r="A943" s="43" t="str">
        <f>IFERROR(__xludf.DUMMYFUNCTION("""COMPUTED_VALUE"""),"5269019_1294209")</f>
        <v>5269019_1294209</v>
      </c>
      <c r="B943" s="43" t="str">
        <f>IFERROR(__xludf.DUMMYFUNCTION("""COMPUTED_VALUE"""),"Barış Tüner")</f>
        <v>Barış Tüner</v>
      </c>
      <c r="C943" s="43" t="str">
        <f>IFERROR(__xludf.DUMMYFUNCTION("""COMPUTED_VALUE"""),"completed")</f>
        <v>completed</v>
      </c>
      <c r="D943" s="43" t="str">
        <f>IFERROR(__xludf.DUMMYFUNCTION("""COMPUTED_VALUE"""),"No")</f>
        <v>No</v>
      </c>
      <c r="E943" s="43" t="str">
        <f>IFERROR(__xludf.DUMMYFUNCTION("""COMPUTED_VALUE"""),"p_574182a4701dc0b6f12a1bf357c56374b88f5612@inbound.aiesec.org")</f>
        <v>p_574182a4701dc0b6f12a1bf357c56374b88f5612@inbound.aiesec.org</v>
      </c>
      <c r="F943" s="43">
        <f>IFERROR(__xludf.DUMMYFUNCTION("""COMPUTED_VALUE"""),5.550957639E9)</f>
        <v>5550957639</v>
      </c>
      <c r="G943" s="43" t="str">
        <f>IFERROR(__xludf.DUMMYFUNCTION("""COMPUTED_VALUE"""),"Turkey")</f>
        <v>Turkey</v>
      </c>
      <c r="H943" s="43" t="str">
        <f>IFERROR(__xludf.DUMMYFUNCTION("""COMPUTED_VALUE"""),"ADANA")</f>
        <v>ADANA</v>
      </c>
      <c r="I943" s="43" t="str">
        <f>IFERROR(__xludf.DUMMYFUNCTION("""COMPUTED_VALUE"""),"Moldova")</f>
        <v>Moldova</v>
      </c>
      <c r="J943" s="43" t="str">
        <f>IFERROR(__xludf.DUMMYFUNCTION("""COMPUTED_VALUE"""),"CHISINAU")</f>
        <v>CHISINAU</v>
      </c>
      <c r="K943" s="44" t="str">
        <f>IFERROR(__xludf.DUMMYFUNCTION("""COMPUTED_VALUE"""),"https://expa.aiesec.org/opportunities/1294209")</f>
        <v>https://expa.aiesec.org/opportunities/1294209</v>
      </c>
      <c r="L943" s="43" t="str">
        <f>IFERROR(__xludf.DUMMYFUNCTION("""COMPUTED_VALUE"""),"GV")</f>
        <v>GV</v>
      </c>
      <c r="M943" s="43" t="str">
        <f>IFERROR(__xludf.DUMMYFUNCTION("""COMPUTED_VALUE"""),"short")</f>
        <v>short</v>
      </c>
      <c r="N943" s="45">
        <f>IFERROR(__xludf.DUMMYFUNCTION("""COMPUTED_VALUE"""),45141.0)</f>
        <v>45141</v>
      </c>
      <c r="O943" s="45">
        <f>IFERROR(__xludf.DUMMYFUNCTION("""COMPUTED_VALUE"""),45159.0)</f>
        <v>45159</v>
      </c>
      <c r="P943" s="45">
        <f>IFERROR(__xludf.DUMMYFUNCTION("""COMPUTED_VALUE"""),45201.0)</f>
        <v>45201</v>
      </c>
      <c r="Q943" s="45">
        <f>IFERROR(__xludf.DUMMYFUNCTION("""COMPUTED_VALUE"""),45160.0)</f>
        <v>45160</v>
      </c>
      <c r="R943" s="45">
        <f>IFERROR(__xludf.DUMMYFUNCTION("""COMPUTED_VALUE"""),45201.0)</f>
        <v>45201</v>
      </c>
      <c r="S943" s="43"/>
      <c r="T943" s="43"/>
      <c r="U943" s="43" t="str">
        <f>IFERROR(__xludf.DUMMYFUNCTION("""COMPUTED_VALUE"""),"On The Map")</f>
        <v>On The Map</v>
      </c>
      <c r="V943" s="43" t="str">
        <f>IFERROR(__xludf.DUMMYFUNCTION("""COMPUTED_VALUE"""),"ADANA")</f>
        <v>ADANA</v>
      </c>
      <c r="W943" s="43" t="str">
        <f>IFERROR(__xludf.DUMMYFUNCTION("""COMPUTED_VALUE"""),"2023-05-30T18:39:24Z")</f>
        <v>2023-05-30T18:39:24Z</v>
      </c>
      <c r="X943" s="43"/>
      <c r="Y943" s="43"/>
      <c r="Z943" s="43"/>
    </row>
    <row r="944" hidden="1">
      <c r="A944" s="43" t="str">
        <f>IFERROR(__xludf.DUMMYFUNCTION("""COMPUTED_VALUE"""),"5169077_1291071")</f>
        <v>5169077_1291071</v>
      </c>
      <c r="B944" s="43" t="str">
        <f>IFERROR(__xludf.DUMMYFUNCTION("""COMPUTED_VALUE"""),"HASSAN I.H. SALHAT")</f>
        <v>HASSAN I.H. SALHAT</v>
      </c>
      <c r="C944" s="43" t="str">
        <f>IFERROR(__xludf.DUMMYFUNCTION("""COMPUTED_VALUE"""),"approved")</f>
        <v>approved</v>
      </c>
      <c r="D944" s="43" t="str">
        <f>IFERROR(__xludf.DUMMYFUNCTION("""COMPUTED_VALUE"""),"No")</f>
        <v>No</v>
      </c>
      <c r="E944" s="43" t="str">
        <f>IFERROR(__xludf.DUMMYFUNCTION("""COMPUTED_VALUE"""),"p_ec90f975a409f6966c38261842706fe11c30beb4@inbound.aiesec.org")</f>
        <v>p_ec90f975a409f6966c38261842706fe11c30beb4@inbound.aiesec.org</v>
      </c>
      <c r="F944" s="43">
        <f>IFERROR(__xludf.DUMMYFUNCTION("""COMPUTED_VALUE"""),5.364684274E9)</f>
        <v>5364684274</v>
      </c>
      <c r="G944" s="43" t="str">
        <f>IFERROR(__xludf.DUMMYFUNCTION("""COMPUTED_VALUE"""),"Turkey")</f>
        <v>Turkey</v>
      </c>
      <c r="H944" s="43" t="str">
        <f>IFERROR(__xludf.DUMMYFUNCTION("""COMPUTED_VALUE"""),"ISTANBUL WEST")</f>
        <v>ISTANBUL WEST</v>
      </c>
      <c r="I944" s="43" t="str">
        <f>IFERROR(__xludf.DUMMYFUNCTION("""COMPUTED_VALUE"""),"Italy")</f>
        <v>Italy</v>
      </c>
      <c r="J944" s="43" t="str">
        <f>IFERROR(__xludf.DUMMYFUNCTION("""COMPUTED_VALUE"""),"Napoli Federico II")</f>
        <v>Napoli Federico II</v>
      </c>
      <c r="K944" s="44" t="str">
        <f>IFERROR(__xludf.DUMMYFUNCTION("""COMPUTED_VALUE"""),"https://expa.aiesec.org/opportunities/1291071")</f>
        <v>https://expa.aiesec.org/opportunities/1291071</v>
      </c>
      <c r="L944" s="43" t="str">
        <f>IFERROR(__xludf.DUMMYFUNCTION("""COMPUTED_VALUE"""),"GV")</f>
        <v>GV</v>
      </c>
      <c r="M944" s="43" t="str">
        <f>IFERROR(__xludf.DUMMYFUNCTION("""COMPUTED_VALUE"""),"short")</f>
        <v>short</v>
      </c>
      <c r="N944" s="45">
        <f>IFERROR(__xludf.DUMMYFUNCTION("""COMPUTED_VALUE"""),45141.0)</f>
        <v>45141</v>
      </c>
      <c r="O944" s="45">
        <f>IFERROR(__xludf.DUMMYFUNCTION("""COMPUTED_VALUE"""),45233.0)</f>
        <v>45233</v>
      </c>
      <c r="P944" s="45">
        <f>IFERROR(__xludf.DUMMYFUNCTION("""COMPUTED_VALUE"""),45275.0)</f>
        <v>45275</v>
      </c>
      <c r="Q944" s="45"/>
      <c r="R944" s="45"/>
      <c r="S944" s="43"/>
      <c r="T944" s="43"/>
      <c r="U944" s="43" t="str">
        <f>IFERROR(__xludf.DUMMYFUNCTION("""COMPUTED_VALUE"""),"Equify")</f>
        <v>Equify</v>
      </c>
      <c r="V944" s="43" t="str">
        <f>IFERROR(__xludf.DUMMYFUNCTION("""COMPUTED_VALUE"""),"ISTANBUL - BAKIRKOY")</f>
        <v>ISTANBUL - BAKIRKOY</v>
      </c>
      <c r="W944" s="43" t="str">
        <f>IFERROR(__xludf.DUMMYFUNCTION("""COMPUTED_VALUE"""),"2022-12-22T09:55:24Z")</f>
        <v>2022-12-22T09:55:24Z</v>
      </c>
      <c r="X944" s="43"/>
      <c r="Y944" s="43"/>
      <c r="Z944" s="43"/>
    </row>
    <row r="945" hidden="1">
      <c r="A945" s="43" t="str">
        <f>IFERROR(__xludf.DUMMYFUNCTION("""COMPUTED_VALUE"""),"5291851_1294137")</f>
        <v>5291851_1294137</v>
      </c>
      <c r="B945" s="43" t="str">
        <f>IFERROR(__xludf.DUMMYFUNCTION("""COMPUTED_VALUE"""),"merve yakupoğlu")</f>
        <v>merve yakupoğlu</v>
      </c>
      <c r="C945" s="43" t="str">
        <f>IFERROR(__xludf.DUMMYFUNCTION("""COMPUTED_VALUE"""),"approved")</f>
        <v>approved</v>
      </c>
      <c r="D945" s="43" t="str">
        <f>IFERROR(__xludf.DUMMYFUNCTION("""COMPUTED_VALUE"""),"No")</f>
        <v>No</v>
      </c>
      <c r="E945" s="43" t="str">
        <f>IFERROR(__xludf.DUMMYFUNCTION("""COMPUTED_VALUE"""),"p_d31b522bca87d07f2f67a7151f21ca957c072864@inbound.aiesec.org")</f>
        <v>p_d31b522bca87d07f2f67a7151f21ca957c072864@inbound.aiesec.org</v>
      </c>
      <c r="F945" s="43">
        <f>IFERROR(__xludf.DUMMYFUNCTION("""COMPUTED_VALUE"""),5.377785909E9)</f>
        <v>5377785909</v>
      </c>
      <c r="G945" s="43" t="str">
        <f>IFERROR(__xludf.DUMMYFUNCTION("""COMPUTED_VALUE"""),"Turkey")</f>
        <v>Turkey</v>
      </c>
      <c r="H945" s="43" t="str">
        <f>IFERROR(__xludf.DUMMYFUNCTION("""COMPUTED_VALUE"""),"ISTANBUL WEST")</f>
        <v>ISTANBUL WEST</v>
      </c>
      <c r="I945" s="43" t="str">
        <f>IFERROR(__xludf.DUMMYFUNCTION("""COMPUTED_VALUE"""),"Egypt")</f>
        <v>Egypt</v>
      </c>
      <c r="J945" s="43" t="str">
        <f>IFERROR(__xludf.DUMMYFUNCTION("""COMPUTED_VALUE"""),"Cairo University")</f>
        <v>Cairo University</v>
      </c>
      <c r="K945" s="44" t="str">
        <f>IFERROR(__xludf.DUMMYFUNCTION("""COMPUTED_VALUE"""),"https://expa.aiesec.org/opportunities/1294137")</f>
        <v>https://expa.aiesec.org/opportunities/1294137</v>
      </c>
      <c r="L945" s="43" t="str">
        <f>IFERROR(__xludf.DUMMYFUNCTION("""COMPUTED_VALUE"""),"GV")</f>
        <v>GV</v>
      </c>
      <c r="M945" s="43" t="str">
        <f>IFERROR(__xludf.DUMMYFUNCTION("""COMPUTED_VALUE"""),"short")</f>
        <v>short</v>
      </c>
      <c r="N945" s="45">
        <f>IFERROR(__xludf.DUMMYFUNCTION("""COMPUTED_VALUE"""),45142.0)</f>
        <v>45142</v>
      </c>
      <c r="O945" s="45">
        <f>IFERROR(__xludf.DUMMYFUNCTION("""COMPUTED_VALUE"""),45488.0)</f>
        <v>45488</v>
      </c>
      <c r="P945" s="45">
        <f>IFERROR(__xludf.DUMMYFUNCTION("""COMPUTED_VALUE"""),45530.0)</f>
        <v>45530</v>
      </c>
      <c r="Q945" s="45"/>
      <c r="R945" s="45"/>
      <c r="S945" s="43"/>
      <c r="T945" s="43"/>
      <c r="U945" s="43" t="str">
        <f>IFERROR(__xludf.DUMMYFUNCTION("""COMPUTED_VALUE"""),"Explorer")</f>
        <v>Explorer</v>
      </c>
      <c r="V945" s="43" t="str">
        <f>IFERROR(__xludf.DUMMYFUNCTION("""COMPUTED_VALUE"""),"ISTANBUL - BAKIRKOY")</f>
        <v>ISTANBUL - BAKIRKOY</v>
      </c>
      <c r="W945" s="43" t="str">
        <f>IFERROR(__xludf.DUMMYFUNCTION("""COMPUTED_VALUE"""),"2023-07-30T15:38:37Z")</f>
        <v>2023-07-30T15:38:37Z</v>
      </c>
      <c r="X945" s="43"/>
      <c r="Y945" s="43"/>
      <c r="Z945" s="43"/>
    </row>
    <row r="946" hidden="1">
      <c r="A946" s="43" t="str">
        <f>IFERROR(__xludf.DUMMYFUNCTION("""COMPUTED_VALUE"""),"5291843_1294137")</f>
        <v>5291843_1294137</v>
      </c>
      <c r="B946" s="43" t="str">
        <f>IFERROR(__xludf.DUMMYFUNCTION("""COMPUTED_VALUE"""),"Yusuf Abdullah Yakupoğlu")</f>
        <v>Yusuf Abdullah Yakupoğlu</v>
      </c>
      <c r="C946" s="43" t="str">
        <f>IFERROR(__xludf.DUMMYFUNCTION("""COMPUTED_VALUE"""),"approved")</f>
        <v>approved</v>
      </c>
      <c r="D946" s="43" t="str">
        <f>IFERROR(__xludf.DUMMYFUNCTION("""COMPUTED_VALUE"""),"No")</f>
        <v>No</v>
      </c>
      <c r="E946" s="43" t="str">
        <f>IFERROR(__xludf.DUMMYFUNCTION("""COMPUTED_VALUE"""),"p_63e1cf6102c665b8837c7d2129d394b22827f081@inbound.aiesec.org")</f>
        <v>p_63e1cf6102c665b8837c7d2129d394b22827f081@inbound.aiesec.org</v>
      </c>
      <c r="F946" s="43">
        <f>IFERROR(__xludf.DUMMYFUNCTION("""COMPUTED_VALUE"""),5.426757298E9)</f>
        <v>5426757298</v>
      </c>
      <c r="G946" s="43" t="str">
        <f>IFERROR(__xludf.DUMMYFUNCTION("""COMPUTED_VALUE"""),"Turkey")</f>
        <v>Turkey</v>
      </c>
      <c r="H946" s="43" t="str">
        <f>IFERROR(__xludf.DUMMYFUNCTION("""COMPUTED_VALUE"""),"ISTANBUL WEST")</f>
        <v>ISTANBUL WEST</v>
      </c>
      <c r="I946" s="43" t="str">
        <f>IFERROR(__xludf.DUMMYFUNCTION("""COMPUTED_VALUE"""),"Egypt")</f>
        <v>Egypt</v>
      </c>
      <c r="J946" s="43" t="str">
        <f>IFERROR(__xludf.DUMMYFUNCTION("""COMPUTED_VALUE"""),"Cairo University")</f>
        <v>Cairo University</v>
      </c>
      <c r="K946" s="44" t="str">
        <f>IFERROR(__xludf.DUMMYFUNCTION("""COMPUTED_VALUE"""),"https://expa.aiesec.org/opportunities/1294137")</f>
        <v>https://expa.aiesec.org/opportunities/1294137</v>
      </c>
      <c r="L946" s="43" t="str">
        <f>IFERROR(__xludf.DUMMYFUNCTION("""COMPUTED_VALUE"""),"GV")</f>
        <v>GV</v>
      </c>
      <c r="M946" s="43" t="str">
        <f>IFERROR(__xludf.DUMMYFUNCTION("""COMPUTED_VALUE"""),"short")</f>
        <v>short</v>
      </c>
      <c r="N946" s="45">
        <f>IFERROR(__xludf.DUMMYFUNCTION("""COMPUTED_VALUE"""),45142.0)</f>
        <v>45142</v>
      </c>
      <c r="O946" s="45">
        <f>IFERROR(__xludf.DUMMYFUNCTION("""COMPUTED_VALUE"""),45488.0)</f>
        <v>45488</v>
      </c>
      <c r="P946" s="45">
        <f>IFERROR(__xludf.DUMMYFUNCTION("""COMPUTED_VALUE"""),45530.0)</f>
        <v>45530</v>
      </c>
      <c r="Q946" s="45"/>
      <c r="R946" s="45"/>
      <c r="S946" s="43"/>
      <c r="T946" s="43"/>
      <c r="U946" s="43" t="str">
        <f>IFERROR(__xludf.DUMMYFUNCTION("""COMPUTED_VALUE"""),"Explorer")</f>
        <v>Explorer</v>
      </c>
      <c r="V946" s="43" t="str">
        <f>IFERROR(__xludf.DUMMYFUNCTION("""COMPUTED_VALUE"""),"ISTANBUL - BAKIRKOY")</f>
        <v>ISTANBUL - BAKIRKOY</v>
      </c>
      <c r="W946" s="43" t="str">
        <f>IFERROR(__xludf.DUMMYFUNCTION("""COMPUTED_VALUE"""),"2023-07-30T15:33:10Z")</f>
        <v>2023-07-30T15:33:10Z</v>
      </c>
      <c r="X946" s="43"/>
      <c r="Y946" s="43"/>
      <c r="Z946" s="43"/>
    </row>
    <row r="947" hidden="1">
      <c r="A947" s="43" t="str">
        <f>IFERROR(__xludf.DUMMYFUNCTION("""COMPUTED_VALUE"""),"2609460_1294352")</f>
        <v>2609460_1294352</v>
      </c>
      <c r="B947" s="43" t="str">
        <f>IFERROR(__xludf.DUMMYFUNCTION("""COMPUTED_VALUE"""),"Zehra Nur Kızıl")</f>
        <v>Zehra Nur Kızıl</v>
      </c>
      <c r="C947" s="43" t="str">
        <f>IFERROR(__xludf.DUMMYFUNCTION("""COMPUTED_VALUE"""),"completed")</f>
        <v>completed</v>
      </c>
      <c r="D947" s="43" t="str">
        <f>IFERROR(__xludf.DUMMYFUNCTION("""COMPUTED_VALUE"""),"No")</f>
        <v>No</v>
      </c>
      <c r="E947" s="43" t="str">
        <f>IFERROR(__xludf.DUMMYFUNCTION("""COMPUTED_VALUE"""),"p_771c2ac863f8ab1723708939d0929a30829cd4fa@inbound.aiesec.org")</f>
        <v>p_771c2ac863f8ab1723708939d0929a30829cd4fa@inbound.aiesec.org</v>
      </c>
      <c r="F947" s="43">
        <f>IFERROR(__xludf.DUMMYFUNCTION("""COMPUTED_VALUE"""),5.433234382E9)</f>
        <v>5433234382</v>
      </c>
      <c r="G947" s="43" t="str">
        <f>IFERROR(__xludf.DUMMYFUNCTION("""COMPUTED_VALUE"""),"Turkey")</f>
        <v>Turkey</v>
      </c>
      <c r="H947" s="43" t="str">
        <f>IFERROR(__xludf.DUMMYFUNCTION("""COMPUTED_VALUE"""),"ISTANBUL WEST")</f>
        <v>ISTANBUL WEST</v>
      </c>
      <c r="I947" s="43" t="str">
        <f>IFERROR(__xludf.DUMMYFUNCTION("""COMPUTED_VALUE"""),"Tunisia")</f>
        <v>Tunisia</v>
      </c>
      <c r="J947" s="43" t="str">
        <f>IFERROR(__xludf.DUMMYFUNCTION("""COMPUTED_VALUE"""),"MEDINA")</f>
        <v>MEDINA</v>
      </c>
      <c r="K947" s="44" t="str">
        <f>IFERROR(__xludf.DUMMYFUNCTION("""COMPUTED_VALUE"""),"https://expa.aiesec.org/opportunities/1294352")</f>
        <v>https://expa.aiesec.org/opportunities/1294352</v>
      </c>
      <c r="L947" s="43" t="str">
        <f>IFERROR(__xludf.DUMMYFUNCTION("""COMPUTED_VALUE"""),"GV")</f>
        <v>GV</v>
      </c>
      <c r="M947" s="43" t="str">
        <f>IFERROR(__xludf.DUMMYFUNCTION("""COMPUTED_VALUE"""),"short")</f>
        <v>short</v>
      </c>
      <c r="N947" s="45">
        <f>IFERROR(__xludf.DUMMYFUNCTION("""COMPUTED_VALUE"""),45142.0)</f>
        <v>45142</v>
      </c>
      <c r="O947" s="45">
        <f>IFERROR(__xludf.DUMMYFUNCTION("""COMPUTED_VALUE"""),45152.0)</f>
        <v>45152</v>
      </c>
      <c r="P947" s="45">
        <f>IFERROR(__xludf.DUMMYFUNCTION("""COMPUTED_VALUE"""),45194.0)</f>
        <v>45194</v>
      </c>
      <c r="Q947" s="45">
        <f>IFERROR(__xludf.DUMMYFUNCTION("""COMPUTED_VALUE"""),45153.0)</f>
        <v>45153</v>
      </c>
      <c r="R947" s="45">
        <f>IFERROR(__xludf.DUMMYFUNCTION("""COMPUTED_VALUE"""),45194.0)</f>
        <v>45194</v>
      </c>
      <c r="S947" s="43"/>
      <c r="T947" s="43"/>
      <c r="U947" s="43" t="str">
        <f>IFERROR(__xludf.DUMMYFUNCTION("""COMPUTED_VALUE"""),"On The Map")</f>
        <v>On The Map</v>
      </c>
      <c r="V947" s="43" t="str">
        <f>IFERROR(__xludf.DUMMYFUNCTION("""COMPUTED_VALUE"""),"KIRKLARELI")</f>
        <v>KIRKLARELI</v>
      </c>
      <c r="W947" s="43" t="str">
        <f>IFERROR(__xludf.DUMMYFUNCTION("""COMPUTED_VALUE"""),"2018-10-05T15:44:35Z")</f>
        <v>2018-10-05T15:44:35Z</v>
      </c>
      <c r="X947" s="43"/>
      <c r="Y947" s="43"/>
      <c r="Z947" s="43"/>
    </row>
    <row r="948" hidden="1">
      <c r="A948" s="43" t="str">
        <f>IFERROR(__xludf.DUMMYFUNCTION("""COMPUTED_VALUE"""),"5072791_1291204")</f>
        <v>5072791_1291204</v>
      </c>
      <c r="B948" s="43" t="str">
        <f>IFERROR(__xludf.DUMMYFUNCTION("""COMPUTED_VALUE"""),"Melike KISMET")</f>
        <v>Melike KISMET</v>
      </c>
      <c r="C948" s="43" t="str">
        <f>IFERROR(__xludf.DUMMYFUNCTION("""COMPUTED_VALUE"""),"completed")</f>
        <v>completed</v>
      </c>
      <c r="D948" s="43" t="str">
        <f>IFERROR(__xludf.DUMMYFUNCTION("""COMPUTED_VALUE"""),"No")</f>
        <v>No</v>
      </c>
      <c r="E948" s="43" t="str">
        <f>IFERROR(__xludf.DUMMYFUNCTION("""COMPUTED_VALUE"""),"p_fb50cf48f5a29a6931aa0de60c5449267a64fefa@inbound.aiesec.org")</f>
        <v>p_fb50cf48f5a29a6931aa0de60c5449267a64fefa@inbound.aiesec.org</v>
      </c>
      <c r="F948" s="43">
        <f>IFERROR(__xludf.DUMMYFUNCTION("""COMPUTED_VALUE"""),5.315409716E9)</f>
        <v>5315409716</v>
      </c>
      <c r="G948" s="43" t="str">
        <f>IFERROR(__xludf.DUMMYFUNCTION("""COMPUTED_VALUE"""),"Turkey")</f>
        <v>Turkey</v>
      </c>
      <c r="H948" s="43" t="str">
        <f>IFERROR(__xludf.DUMMYFUNCTION("""COMPUTED_VALUE"""),"KOCAELI")</f>
        <v>KOCAELI</v>
      </c>
      <c r="I948" s="43" t="str">
        <f>IFERROR(__xludf.DUMMYFUNCTION("""COMPUTED_VALUE"""),"Tunisia")</f>
        <v>Tunisia</v>
      </c>
      <c r="J948" s="43" t="str">
        <f>IFERROR(__xludf.DUMMYFUNCTION("""COMPUTED_VALUE"""),"NABEL")</f>
        <v>NABEL</v>
      </c>
      <c r="K948" s="44" t="str">
        <f>IFERROR(__xludf.DUMMYFUNCTION("""COMPUTED_VALUE"""),"https://expa.aiesec.org/opportunities/1291204")</f>
        <v>https://expa.aiesec.org/opportunities/1291204</v>
      </c>
      <c r="L948" s="43" t="str">
        <f>IFERROR(__xludf.DUMMYFUNCTION("""COMPUTED_VALUE"""),"GV")</f>
        <v>GV</v>
      </c>
      <c r="M948" s="43" t="str">
        <f>IFERROR(__xludf.DUMMYFUNCTION("""COMPUTED_VALUE"""),"short")</f>
        <v>short</v>
      </c>
      <c r="N948" s="45">
        <f>IFERROR(__xludf.DUMMYFUNCTION("""COMPUTED_VALUE"""),45143.0)</f>
        <v>45143</v>
      </c>
      <c r="O948" s="45">
        <f>IFERROR(__xludf.DUMMYFUNCTION("""COMPUTED_VALUE"""),45170.0)</f>
        <v>45170</v>
      </c>
      <c r="P948" s="45">
        <f>IFERROR(__xludf.DUMMYFUNCTION("""COMPUTED_VALUE"""),45214.0)</f>
        <v>45214</v>
      </c>
      <c r="Q948" s="45">
        <f>IFERROR(__xludf.DUMMYFUNCTION("""COMPUTED_VALUE"""),45171.0)</f>
        <v>45171</v>
      </c>
      <c r="R948" s="45">
        <f>IFERROR(__xludf.DUMMYFUNCTION("""COMPUTED_VALUE"""),45214.0)</f>
        <v>45214</v>
      </c>
      <c r="S948" s="43"/>
      <c r="T948" s="43"/>
      <c r="U948" s="43" t="str">
        <f>IFERROR(__xludf.DUMMYFUNCTION("""COMPUTED_VALUE"""),"Fingerprint")</f>
        <v>Fingerprint</v>
      </c>
      <c r="V948" s="43" t="str">
        <f>IFERROR(__xludf.DUMMYFUNCTION("""COMPUTED_VALUE"""),"KOCAELI")</f>
        <v>KOCAELI</v>
      </c>
      <c r="W948" s="43" t="str">
        <f>IFERROR(__xludf.DUMMYFUNCTION("""COMPUTED_VALUE"""),"2022-06-15T10:31:51Z")</f>
        <v>2022-06-15T10:31:51Z</v>
      </c>
      <c r="X948" s="43"/>
      <c r="Y948" s="43"/>
      <c r="Z948" s="43"/>
    </row>
    <row r="949" hidden="1">
      <c r="A949" s="43" t="str">
        <f>IFERROR(__xludf.DUMMYFUNCTION("""COMPUTED_VALUE"""),"5291869_1295303")</f>
        <v>5291869_1295303</v>
      </c>
      <c r="B949" s="43" t="str">
        <f>IFERROR(__xludf.DUMMYFUNCTION("""COMPUTED_VALUE"""),"Deniz Kayvar")</f>
        <v>Deniz Kayvar</v>
      </c>
      <c r="C949" s="43" t="str">
        <f>IFERROR(__xludf.DUMMYFUNCTION("""COMPUTED_VALUE"""),"approved")</f>
        <v>approved</v>
      </c>
      <c r="D949" s="43" t="str">
        <f>IFERROR(__xludf.DUMMYFUNCTION("""COMPUTED_VALUE"""),"No")</f>
        <v>No</v>
      </c>
      <c r="E949" s="43" t="str">
        <f>IFERROR(__xludf.DUMMYFUNCTION("""COMPUTED_VALUE"""),"p_eaca83522614d39f7ad1750afe1aea9f3cd2498b@inbound.aiesec.org")</f>
        <v>p_eaca83522614d39f7ad1750afe1aea9f3cd2498b@inbound.aiesec.org</v>
      </c>
      <c r="F949" s="43">
        <f>IFERROR(__xludf.DUMMYFUNCTION("""COMPUTED_VALUE"""),5.53501582E9)</f>
        <v>5535015820</v>
      </c>
      <c r="G949" s="43" t="str">
        <f>IFERROR(__xludf.DUMMYFUNCTION("""COMPUTED_VALUE"""),"Turkey")</f>
        <v>Turkey</v>
      </c>
      <c r="H949" s="43" t="str">
        <f>IFERROR(__xludf.DUMMYFUNCTION("""COMPUTED_VALUE"""),"ISTANBUL")</f>
        <v>ISTANBUL</v>
      </c>
      <c r="I949" s="43" t="str">
        <f>IFERROR(__xludf.DUMMYFUNCTION("""COMPUTED_VALUE"""),"Slovakia")</f>
        <v>Slovakia</v>
      </c>
      <c r="J949" s="43" t="str">
        <f>IFERROR(__xludf.DUMMYFUNCTION("""COMPUTED_VALUE"""),"Nitra")</f>
        <v>Nitra</v>
      </c>
      <c r="K949" s="44" t="str">
        <f>IFERROR(__xludf.DUMMYFUNCTION("""COMPUTED_VALUE"""),"https://expa.aiesec.org/opportunities/1295303")</f>
        <v>https://expa.aiesec.org/opportunities/1295303</v>
      </c>
      <c r="L949" s="43" t="str">
        <f>IFERROR(__xludf.DUMMYFUNCTION("""COMPUTED_VALUE"""),"GV")</f>
        <v>GV</v>
      </c>
      <c r="M949" s="43" t="str">
        <f>IFERROR(__xludf.DUMMYFUNCTION("""COMPUTED_VALUE"""),"short")</f>
        <v>short</v>
      </c>
      <c r="N949" s="45">
        <f>IFERROR(__xludf.DUMMYFUNCTION("""COMPUTED_VALUE"""),45144.0)</f>
        <v>45144</v>
      </c>
      <c r="O949" s="45">
        <f>IFERROR(__xludf.DUMMYFUNCTION("""COMPUTED_VALUE"""),45306.0)</f>
        <v>45306</v>
      </c>
      <c r="P949" s="45">
        <f>IFERROR(__xludf.DUMMYFUNCTION("""COMPUTED_VALUE"""),45348.0)</f>
        <v>45348</v>
      </c>
      <c r="Q949" s="45"/>
      <c r="R949" s="45"/>
      <c r="S949" s="43"/>
      <c r="T949" s="43"/>
      <c r="U949" s="43" t="str">
        <f>IFERROR(__xludf.DUMMYFUNCTION("""COMPUTED_VALUE"""),"Youth 4 Impact")</f>
        <v>Youth 4 Impact</v>
      </c>
      <c r="V949" s="43" t="str">
        <f>IFERROR(__xludf.DUMMYFUNCTION("""COMPUTED_VALUE"""),"ISTANBUL - BEYOGLU")</f>
        <v>ISTANBUL - BEYOGLU</v>
      </c>
      <c r="W949" s="43" t="str">
        <f>IFERROR(__xludf.DUMMYFUNCTION("""COMPUTED_VALUE"""),"2023-07-30T16:55:24Z")</f>
        <v>2023-07-30T16:55:24Z</v>
      </c>
      <c r="X949" s="43"/>
      <c r="Y949" s="43"/>
      <c r="Z949" s="43"/>
    </row>
    <row r="950" hidden="1">
      <c r="A950" s="43" t="str">
        <f>IFERROR(__xludf.DUMMYFUNCTION("""COMPUTED_VALUE"""),"5279846_1294209")</f>
        <v>5279846_1294209</v>
      </c>
      <c r="B950" s="43" t="str">
        <f>IFERROR(__xludf.DUMMYFUNCTION("""COMPUTED_VALUE"""),"Berkant Kutay Bilişli")</f>
        <v>Berkant Kutay Bilişli</v>
      </c>
      <c r="C950" s="43" t="str">
        <f>IFERROR(__xludf.DUMMYFUNCTION("""COMPUTED_VALUE"""),"completed")</f>
        <v>completed</v>
      </c>
      <c r="D950" s="43" t="str">
        <f>IFERROR(__xludf.DUMMYFUNCTION("""COMPUTED_VALUE"""),"No")</f>
        <v>No</v>
      </c>
      <c r="E950" s="43" t="str">
        <f>IFERROR(__xludf.DUMMYFUNCTION("""COMPUTED_VALUE"""),"p_0a310f907438efd69445534852ba4fbefdcbb4fa@inbound.aiesec.org")</f>
        <v>p_0a310f907438efd69445534852ba4fbefdcbb4fa@inbound.aiesec.org</v>
      </c>
      <c r="F950" s="43">
        <f>IFERROR(__xludf.DUMMYFUNCTION("""COMPUTED_VALUE"""),5.326477354E9)</f>
        <v>5326477354</v>
      </c>
      <c r="G950" s="43" t="str">
        <f>IFERROR(__xludf.DUMMYFUNCTION("""COMPUTED_VALUE"""),"Turkey")</f>
        <v>Turkey</v>
      </c>
      <c r="H950" s="43" t="str">
        <f>IFERROR(__xludf.DUMMYFUNCTION("""COMPUTED_VALUE"""),"ISTANBUL")</f>
        <v>ISTANBUL</v>
      </c>
      <c r="I950" s="43" t="str">
        <f>IFERROR(__xludf.DUMMYFUNCTION("""COMPUTED_VALUE"""),"Moldova")</f>
        <v>Moldova</v>
      </c>
      <c r="J950" s="43" t="str">
        <f>IFERROR(__xludf.DUMMYFUNCTION("""COMPUTED_VALUE"""),"CHISINAU")</f>
        <v>CHISINAU</v>
      </c>
      <c r="K950" s="44" t="str">
        <f>IFERROR(__xludf.DUMMYFUNCTION("""COMPUTED_VALUE"""),"https://expa.aiesec.org/opportunities/1294209")</f>
        <v>https://expa.aiesec.org/opportunities/1294209</v>
      </c>
      <c r="L950" s="43" t="str">
        <f>IFERROR(__xludf.DUMMYFUNCTION("""COMPUTED_VALUE"""),"GV")</f>
        <v>GV</v>
      </c>
      <c r="M950" s="43" t="str">
        <f>IFERROR(__xludf.DUMMYFUNCTION("""COMPUTED_VALUE"""),"short")</f>
        <v>short</v>
      </c>
      <c r="N950" s="45">
        <f>IFERROR(__xludf.DUMMYFUNCTION("""COMPUTED_VALUE"""),45145.0)</f>
        <v>45145</v>
      </c>
      <c r="O950" s="45">
        <f>IFERROR(__xludf.DUMMYFUNCTION("""COMPUTED_VALUE"""),45159.0)</f>
        <v>45159</v>
      </c>
      <c r="P950" s="45">
        <f>IFERROR(__xludf.DUMMYFUNCTION("""COMPUTED_VALUE"""),45201.0)</f>
        <v>45201</v>
      </c>
      <c r="Q950" s="45">
        <f>IFERROR(__xludf.DUMMYFUNCTION("""COMPUTED_VALUE"""),45160.0)</f>
        <v>45160</v>
      </c>
      <c r="R950" s="45">
        <f>IFERROR(__xludf.DUMMYFUNCTION("""COMPUTED_VALUE"""),45201.0)</f>
        <v>45201</v>
      </c>
      <c r="S950" s="43"/>
      <c r="T950" s="43"/>
      <c r="U950" s="43" t="str">
        <f>IFERROR(__xludf.DUMMYFUNCTION("""COMPUTED_VALUE"""),"On The Map")</f>
        <v>On The Map</v>
      </c>
      <c r="V950" s="43" t="str">
        <f>IFERROR(__xludf.DUMMYFUNCTION("""COMPUTED_VALUE"""),"ISTANBUL - BEYOGLU")</f>
        <v>ISTANBUL - BEYOGLU</v>
      </c>
      <c r="W950" s="43" t="str">
        <f>IFERROR(__xludf.DUMMYFUNCTION("""COMPUTED_VALUE"""),"2023-06-27T12:18:51Z")</f>
        <v>2023-06-27T12:18:51Z</v>
      </c>
      <c r="X950" s="43"/>
      <c r="Y950" s="43"/>
      <c r="Z950" s="43"/>
    </row>
    <row r="951" hidden="1">
      <c r="A951" s="43" t="str">
        <f>IFERROR(__xludf.DUMMYFUNCTION("""COMPUTED_VALUE"""),"5298779_1294232")</f>
        <v>5298779_1294232</v>
      </c>
      <c r="B951" s="43" t="str">
        <f>IFERROR(__xludf.DUMMYFUNCTION("""COMPUTED_VALUE"""),"Derya Bilmez")</f>
        <v>Derya Bilmez</v>
      </c>
      <c r="C951" s="43" t="str">
        <f>IFERROR(__xludf.DUMMYFUNCTION("""COMPUTED_VALUE"""),"completed")</f>
        <v>completed</v>
      </c>
      <c r="D951" s="43" t="str">
        <f>IFERROR(__xludf.DUMMYFUNCTION("""COMPUTED_VALUE"""),"No")</f>
        <v>No</v>
      </c>
      <c r="E951" s="43" t="str">
        <f>IFERROR(__xludf.DUMMYFUNCTION("""COMPUTED_VALUE"""),"p_37acb2d52f755db5947b6ff0388e978d803bcaa8@inbound.aiesec.org")</f>
        <v>p_37acb2d52f755db5947b6ff0388e978d803bcaa8@inbound.aiesec.org</v>
      </c>
      <c r="F951" s="43"/>
      <c r="G951" s="43" t="str">
        <f>IFERROR(__xludf.DUMMYFUNCTION("""COMPUTED_VALUE"""),"Turkey")</f>
        <v>Turkey</v>
      </c>
      <c r="H951" s="43" t="str">
        <f>IFERROR(__xludf.DUMMYFUNCTION("""COMPUTED_VALUE"""),"ADANA")</f>
        <v>ADANA</v>
      </c>
      <c r="I951" s="43" t="str">
        <f>IFERROR(__xludf.DUMMYFUNCTION("""COMPUTED_VALUE"""),"Egypt")</f>
        <v>Egypt</v>
      </c>
      <c r="J951" s="43" t="str">
        <f>IFERROR(__xludf.DUMMYFUNCTION("""COMPUTED_VALUE"""),"Suez")</f>
        <v>Suez</v>
      </c>
      <c r="K951" s="44" t="str">
        <f>IFERROR(__xludf.DUMMYFUNCTION("""COMPUTED_VALUE"""),"https://expa.aiesec.org/opportunities/1294232")</f>
        <v>https://expa.aiesec.org/opportunities/1294232</v>
      </c>
      <c r="L951" s="43" t="str">
        <f>IFERROR(__xludf.DUMMYFUNCTION("""COMPUTED_VALUE"""),"GV")</f>
        <v>GV</v>
      </c>
      <c r="M951" s="43" t="str">
        <f>IFERROR(__xludf.DUMMYFUNCTION("""COMPUTED_VALUE"""),"short")</f>
        <v>short</v>
      </c>
      <c r="N951" s="45">
        <f>IFERROR(__xludf.DUMMYFUNCTION("""COMPUTED_VALUE"""),45145.0)</f>
        <v>45145</v>
      </c>
      <c r="O951" s="45">
        <f>IFERROR(__xludf.DUMMYFUNCTION("""COMPUTED_VALUE"""),45184.0)</f>
        <v>45184</v>
      </c>
      <c r="P951" s="45">
        <f>IFERROR(__xludf.DUMMYFUNCTION("""COMPUTED_VALUE"""),45226.0)</f>
        <v>45226</v>
      </c>
      <c r="Q951" s="45">
        <f>IFERROR(__xludf.DUMMYFUNCTION("""COMPUTED_VALUE"""),45183.0)</f>
        <v>45183</v>
      </c>
      <c r="R951" s="45">
        <f>IFERROR(__xludf.DUMMYFUNCTION("""COMPUTED_VALUE"""),45226.0)</f>
        <v>45226</v>
      </c>
      <c r="S951" s="43"/>
      <c r="T951" s="43"/>
      <c r="U951" s="43" t="str">
        <f>IFERROR(__xludf.DUMMYFUNCTION("""COMPUTED_VALUE"""),"On The Map")</f>
        <v>On The Map</v>
      </c>
      <c r="V951" s="43" t="str">
        <f>IFERROR(__xludf.DUMMYFUNCTION("""COMPUTED_VALUE"""),"-")</f>
        <v>-</v>
      </c>
      <c r="W951" s="43" t="str">
        <f>IFERROR(__xludf.DUMMYFUNCTION("""COMPUTED_VALUE"""),"2023-08-07T08:43:21Z")</f>
        <v>2023-08-07T08:43:21Z</v>
      </c>
      <c r="X951" s="43"/>
      <c r="Y951" s="43"/>
      <c r="Z951" s="43"/>
    </row>
    <row r="952" hidden="1">
      <c r="A952" s="43" t="str">
        <f>IFERROR(__xludf.DUMMYFUNCTION("""COMPUTED_VALUE"""),"5296841_1295603")</f>
        <v>5296841_1295603</v>
      </c>
      <c r="B952" s="43" t="str">
        <f>IFERROR(__xludf.DUMMYFUNCTION("""COMPUTED_VALUE"""),"deleted 5296841")</f>
        <v>deleted 5296841</v>
      </c>
      <c r="C952" s="43" t="str">
        <f>IFERROR(__xludf.DUMMYFUNCTION("""COMPUTED_VALUE"""),"approved")</f>
        <v>approved</v>
      </c>
      <c r="D952" s="43" t="str">
        <f>IFERROR(__xludf.DUMMYFUNCTION("""COMPUTED_VALUE"""),"No")</f>
        <v>No</v>
      </c>
      <c r="E952" s="43" t="str">
        <f>IFERROR(__xludf.DUMMYFUNCTION("""COMPUTED_VALUE"""),"p_c565b1a71e402c56ce4294db0e54efce840e8515@inbound.aiesec.org")</f>
        <v>p_c565b1a71e402c56ce4294db0e54efce840e8515@inbound.aiesec.org</v>
      </c>
      <c r="F952" s="43"/>
      <c r="G952" s="43" t="str">
        <f>IFERROR(__xludf.DUMMYFUNCTION("""COMPUTED_VALUE"""),"Turkey")</f>
        <v>Turkey</v>
      </c>
      <c r="H952" s="43" t="str">
        <f>IFERROR(__xludf.DUMMYFUNCTION("""COMPUTED_VALUE"""),"ANTALYA")</f>
        <v>ANTALYA</v>
      </c>
      <c r="I952" s="43" t="str">
        <f>IFERROR(__xludf.DUMMYFUNCTION("""COMPUTED_VALUE"""),"Romania")</f>
        <v>Romania</v>
      </c>
      <c r="J952" s="43" t="str">
        <f>IFERROR(__xludf.DUMMYFUNCTION("""COMPUTED_VALUE"""),"BUCURESTI")</f>
        <v>BUCURESTI</v>
      </c>
      <c r="K952" s="44" t="str">
        <f>IFERROR(__xludf.DUMMYFUNCTION("""COMPUTED_VALUE"""),"https://expa.aiesec.org/opportunities/1295603")</f>
        <v>https://expa.aiesec.org/opportunities/1295603</v>
      </c>
      <c r="L952" s="43" t="str">
        <f>IFERROR(__xludf.DUMMYFUNCTION("""COMPUTED_VALUE"""),"GV")</f>
        <v>GV</v>
      </c>
      <c r="M952" s="43" t="str">
        <f>IFERROR(__xludf.DUMMYFUNCTION("""COMPUTED_VALUE"""),"short")</f>
        <v>short</v>
      </c>
      <c r="N952" s="45">
        <f>IFERROR(__xludf.DUMMYFUNCTION("""COMPUTED_VALUE"""),45147.0)</f>
        <v>45147</v>
      </c>
      <c r="O952" s="45">
        <f>IFERROR(__xludf.DUMMYFUNCTION("""COMPUTED_VALUE"""),45180.0)</f>
        <v>45180</v>
      </c>
      <c r="P952" s="45">
        <f>IFERROR(__xludf.DUMMYFUNCTION("""COMPUTED_VALUE"""),45222.0)</f>
        <v>45222</v>
      </c>
      <c r="Q952" s="45"/>
      <c r="R952" s="45"/>
      <c r="S952" s="43"/>
      <c r="T952" s="43"/>
      <c r="U952" s="43" t="str">
        <f>IFERROR(__xludf.DUMMYFUNCTION("""COMPUTED_VALUE"""),"Global Classroom")</f>
        <v>Global Classroom</v>
      </c>
      <c r="V952" s="43" t="str">
        <f>IFERROR(__xludf.DUMMYFUNCTION("""COMPUTED_VALUE"""),"ANTALYA")</f>
        <v>ANTALYA</v>
      </c>
      <c r="W952" s="43" t="str">
        <f>IFERROR(__xludf.DUMMYFUNCTION("""COMPUTED_VALUE"""),"2023-08-04T13:25:43Z")</f>
        <v>2023-08-04T13:25:43Z</v>
      </c>
      <c r="X952" s="43"/>
      <c r="Y952" s="43"/>
      <c r="Z952" s="43"/>
    </row>
    <row r="953" hidden="1">
      <c r="A953" s="43" t="str">
        <f>IFERROR(__xludf.DUMMYFUNCTION("""COMPUTED_VALUE"""),"5291845_1291071")</f>
        <v>5291845_1291071</v>
      </c>
      <c r="B953" s="43" t="str">
        <f>IFERROR(__xludf.DUMMYFUNCTION("""COMPUTED_VALUE"""),"Sertaç Bera Yurtaslan")</f>
        <v>Sertaç Bera Yurtaslan</v>
      </c>
      <c r="C953" s="43" t="str">
        <f>IFERROR(__xludf.DUMMYFUNCTION("""COMPUTED_VALUE"""),"completed")</f>
        <v>completed</v>
      </c>
      <c r="D953" s="43" t="str">
        <f>IFERROR(__xludf.DUMMYFUNCTION("""COMPUTED_VALUE"""),"No")</f>
        <v>No</v>
      </c>
      <c r="E953" s="43" t="str">
        <f>IFERROR(__xludf.DUMMYFUNCTION("""COMPUTED_VALUE"""),"p_003c04490869468e6920d06a761e146148bc89e6@inbound.aiesec.org")</f>
        <v>p_003c04490869468e6920d06a761e146148bc89e6@inbound.aiesec.org</v>
      </c>
      <c r="F953" s="43">
        <f>IFERROR(__xludf.DUMMYFUNCTION("""COMPUTED_VALUE"""),5.070804441E9)</f>
        <v>5070804441</v>
      </c>
      <c r="G953" s="43" t="str">
        <f>IFERROR(__xludf.DUMMYFUNCTION("""COMPUTED_VALUE"""),"Turkey")</f>
        <v>Turkey</v>
      </c>
      <c r="H953" s="43" t="str">
        <f>IFERROR(__xludf.DUMMYFUNCTION("""COMPUTED_VALUE"""),"ANKARA")</f>
        <v>ANKARA</v>
      </c>
      <c r="I953" s="43" t="str">
        <f>IFERROR(__xludf.DUMMYFUNCTION("""COMPUTED_VALUE"""),"Italy")</f>
        <v>Italy</v>
      </c>
      <c r="J953" s="43" t="str">
        <f>IFERROR(__xludf.DUMMYFUNCTION("""COMPUTED_VALUE"""),"Napoli Federico II")</f>
        <v>Napoli Federico II</v>
      </c>
      <c r="K953" s="44" t="str">
        <f>IFERROR(__xludf.DUMMYFUNCTION("""COMPUTED_VALUE"""),"https://expa.aiesec.org/opportunities/1291071")</f>
        <v>https://expa.aiesec.org/opportunities/1291071</v>
      </c>
      <c r="L953" s="43" t="str">
        <f>IFERROR(__xludf.DUMMYFUNCTION("""COMPUTED_VALUE"""),"GV")</f>
        <v>GV</v>
      </c>
      <c r="M953" s="43" t="str">
        <f>IFERROR(__xludf.DUMMYFUNCTION("""COMPUTED_VALUE"""),"short")</f>
        <v>short</v>
      </c>
      <c r="N953" s="45">
        <f>IFERROR(__xludf.DUMMYFUNCTION("""COMPUTED_VALUE"""),45148.0)</f>
        <v>45148</v>
      </c>
      <c r="O953" s="45">
        <f>IFERROR(__xludf.DUMMYFUNCTION("""COMPUTED_VALUE"""),45233.0)</f>
        <v>45233</v>
      </c>
      <c r="P953" s="45">
        <f>IFERROR(__xludf.DUMMYFUNCTION("""COMPUTED_VALUE"""),45275.0)</f>
        <v>45275</v>
      </c>
      <c r="Q953" s="45">
        <f>IFERROR(__xludf.DUMMYFUNCTION("""COMPUTED_VALUE"""),45233.0)</f>
        <v>45233</v>
      </c>
      <c r="R953" s="45">
        <f>IFERROR(__xludf.DUMMYFUNCTION("""COMPUTED_VALUE"""),45275.0)</f>
        <v>45275</v>
      </c>
      <c r="S953" s="43"/>
      <c r="T953" s="43"/>
      <c r="U953" s="43" t="str">
        <f>IFERROR(__xludf.DUMMYFUNCTION("""COMPUTED_VALUE"""),"Equify")</f>
        <v>Equify</v>
      </c>
      <c r="V953" s="43" t="str">
        <f>IFERROR(__xludf.DUMMYFUNCTION("""COMPUTED_VALUE"""),"ANKARA")</f>
        <v>ANKARA</v>
      </c>
      <c r="W953" s="43" t="str">
        <f>IFERROR(__xludf.DUMMYFUNCTION("""COMPUTED_VALUE"""),"2023-07-30T15:34:58Z")</f>
        <v>2023-07-30T15:34:58Z</v>
      </c>
      <c r="X953" s="43"/>
      <c r="Y953" s="43"/>
      <c r="Z953" s="43"/>
    </row>
    <row r="954" hidden="1">
      <c r="A954" s="43" t="str">
        <f>IFERROR(__xludf.DUMMYFUNCTION("""COMPUTED_VALUE"""),"5290050_1291068")</f>
        <v>5290050_1291068</v>
      </c>
      <c r="B954" s="43" t="str">
        <f>IFERROR(__xludf.DUMMYFUNCTION("""COMPUTED_VALUE"""),"Başak Sarah Öney")</f>
        <v>Başak Sarah Öney</v>
      </c>
      <c r="C954" s="43" t="str">
        <f>IFERROR(__xludf.DUMMYFUNCTION("""COMPUTED_VALUE"""),"approved")</f>
        <v>approved</v>
      </c>
      <c r="D954" s="43" t="str">
        <f>IFERROR(__xludf.DUMMYFUNCTION("""COMPUTED_VALUE"""),"No")</f>
        <v>No</v>
      </c>
      <c r="E954" s="43" t="str">
        <f>IFERROR(__xludf.DUMMYFUNCTION("""COMPUTED_VALUE"""),"p_cb825ce25392dc3974511a2b850cce4fd42c3302@inbound.aiesec.org")</f>
        <v>p_cb825ce25392dc3974511a2b850cce4fd42c3302@inbound.aiesec.org</v>
      </c>
      <c r="F954" s="43"/>
      <c r="G954" s="43" t="str">
        <f>IFERROR(__xludf.DUMMYFUNCTION("""COMPUTED_VALUE"""),"Turkey")</f>
        <v>Turkey</v>
      </c>
      <c r="H954" s="43" t="str">
        <f>IFERROR(__xludf.DUMMYFUNCTION("""COMPUTED_VALUE"""),"ISTANBUL")</f>
        <v>ISTANBUL</v>
      </c>
      <c r="I954" s="43" t="str">
        <f>IFERROR(__xludf.DUMMYFUNCTION("""COMPUTED_VALUE"""),"Italy")</f>
        <v>Italy</v>
      </c>
      <c r="J954" s="43" t="str">
        <f>IFERROR(__xludf.DUMMYFUNCTION("""COMPUTED_VALUE"""),"Napoli Federico II")</f>
        <v>Napoli Federico II</v>
      </c>
      <c r="K954" s="44" t="str">
        <f>IFERROR(__xludf.DUMMYFUNCTION("""COMPUTED_VALUE"""),"https://expa.aiesec.org/opportunities/1291068")</f>
        <v>https://expa.aiesec.org/opportunities/1291068</v>
      </c>
      <c r="L954" s="43" t="str">
        <f>IFERROR(__xludf.DUMMYFUNCTION("""COMPUTED_VALUE"""),"GV")</f>
        <v>GV</v>
      </c>
      <c r="M954" s="43" t="str">
        <f>IFERROR(__xludf.DUMMYFUNCTION("""COMPUTED_VALUE"""),"short")</f>
        <v>short</v>
      </c>
      <c r="N954" s="45">
        <f>IFERROR(__xludf.DUMMYFUNCTION("""COMPUTED_VALUE"""),45149.0)</f>
        <v>45149</v>
      </c>
      <c r="O954" s="45">
        <f>IFERROR(__xludf.DUMMYFUNCTION("""COMPUTED_VALUE"""),45356.0)</f>
        <v>45356</v>
      </c>
      <c r="P954" s="45">
        <f>IFERROR(__xludf.DUMMYFUNCTION("""COMPUTED_VALUE"""),45398.0)</f>
        <v>45398</v>
      </c>
      <c r="Q954" s="45"/>
      <c r="R954" s="45"/>
      <c r="S954" s="43"/>
      <c r="T954" s="43"/>
      <c r="U954" s="43" t="str">
        <f>IFERROR(__xludf.DUMMYFUNCTION("""COMPUTED_VALUE"""),"Equify")</f>
        <v>Equify</v>
      </c>
      <c r="V954" s="43" t="str">
        <f>IFERROR(__xludf.DUMMYFUNCTION("""COMPUTED_VALUE"""),"-")</f>
        <v>-</v>
      </c>
      <c r="W954" s="43" t="str">
        <f>IFERROR(__xludf.DUMMYFUNCTION("""COMPUTED_VALUE"""),"2023-07-26T21:46:41Z")</f>
        <v>2023-07-26T21:46:41Z</v>
      </c>
      <c r="X954" s="43"/>
      <c r="Y954" s="43"/>
      <c r="Z954" s="43"/>
    </row>
    <row r="955" hidden="1">
      <c r="A955" s="43" t="str">
        <f>IFERROR(__xludf.DUMMYFUNCTION("""COMPUTED_VALUE"""),"5291850_1296994")</f>
        <v>5291850_1296994</v>
      </c>
      <c r="B955" s="43" t="str">
        <f>IFERROR(__xludf.DUMMYFUNCTION("""COMPUTED_VALUE"""),"Nazik KORKUT")</f>
        <v>Nazik KORKUT</v>
      </c>
      <c r="C955" s="43" t="str">
        <f>IFERROR(__xludf.DUMMYFUNCTION("""COMPUTED_VALUE"""),"completed")</f>
        <v>completed</v>
      </c>
      <c r="D955" s="43" t="str">
        <f>IFERROR(__xludf.DUMMYFUNCTION("""COMPUTED_VALUE"""),"No")</f>
        <v>No</v>
      </c>
      <c r="E955" s="43" t="str">
        <f>IFERROR(__xludf.DUMMYFUNCTION("""COMPUTED_VALUE"""),"p_1b9e026e8dbc08bb9728d082286c5f2025946732@inbound.aiesec.org")</f>
        <v>p_1b9e026e8dbc08bb9728d082286c5f2025946732@inbound.aiesec.org</v>
      </c>
      <c r="F955" s="43">
        <f>IFERROR(__xludf.DUMMYFUNCTION("""COMPUTED_VALUE"""),5.071667509E9)</f>
        <v>5071667509</v>
      </c>
      <c r="G955" s="43" t="str">
        <f>IFERROR(__xludf.DUMMYFUNCTION("""COMPUTED_VALUE"""),"Turkey")</f>
        <v>Turkey</v>
      </c>
      <c r="H955" s="43" t="str">
        <f>IFERROR(__xludf.DUMMYFUNCTION("""COMPUTED_VALUE"""),"İZMİR")</f>
        <v>İZMİR</v>
      </c>
      <c r="I955" s="43" t="str">
        <f>IFERROR(__xludf.DUMMYFUNCTION("""COMPUTED_VALUE"""),"Romania")</f>
        <v>Romania</v>
      </c>
      <c r="J955" s="43" t="str">
        <f>IFERROR(__xludf.DUMMYFUNCTION("""COMPUTED_VALUE"""),"Craiova")</f>
        <v>Craiova</v>
      </c>
      <c r="K955" s="44" t="str">
        <f>IFERROR(__xludf.DUMMYFUNCTION("""COMPUTED_VALUE"""),"https://expa.aiesec.org/opportunities/1296994")</f>
        <v>https://expa.aiesec.org/opportunities/1296994</v>
      </c>
      <c r="L955" s="43" t="str">
        <f>IFERROR(__xludf.DUMMYFUNCTION("""COMPUTED_VALUE"""),"GV")</f>
        <v>GV</v>
      </c>
      <c r="M955" s="43" t="str">
        <f>IFERROR(__xludf.DUMMYFUNCTION("""COMPUTED_VALUE"""),"short")</f>
        <v>short</v>
      </c>
      <c r="N955" s="45">
        <f>IFERROR(__xludf.DUMMYFUNCTION("""COMPUTED_VALUE"""),45149.0)</f>
        <v>45149</v>
      </c>
      <c r="O955" s="45">
        <f>IFERROR(__xludf.DUMMYFUNCTION("""COMPUTED_VALUE"""),45201.0)</f>
        <v>45201</v>
      </c>
      <c r="P955" s="45">
        <f>IFERROR(__xludf.DUMMYFUNCTION("""COMPUTED_VALUE"""),45243.0)</f>
        <v>45243</v>
      </c>
      <c r="Q955" s="45">
        <f>IFERROR(__xludf.DUMMYFUNCTION("""COMPUTED_VALUE"""),45201.0)</f>
        <v>45201</v>
      </c>
      <c r="R955" s="45">
        <f>IFERROR(__xludf.DUMMYFUNCTION("""COMPUTED_VALUE"""),45243.0)</f>
        <v>45243</v>
      </c>
      <c r="S955" s="43"/>
      <c r="T955" s="43"/>
      <c r="U955" s="43" t="str">
        <f>IFERROR(__xludf.DUMMYFUNCTION("""COMPUTED_VALUE"""),"Eat 4 Change")</f>
        <v>Eat 4 Change</v>
      </c>
      <c r="V955" s="43" t="str">
        <f>IFERROR(__xludf.DUMMYFUNCTION("""COMPUTED_VALUE"""),"IZMIR")</f>
        <v>IZMIR</v>
      </c>
      <c r="W955" s="43" t="str">
        <f>IFERROR(__xludf.DUMMYFUNCTION("""COMPUTED_VALUE"""),"2023-07-30T15:38:36Z")</f>
        <v>2023-07-30T15:38:36Z</v>
      </c>
      <c r="X955" s="43"/>
      <c r="Y955" s="43"/>
      <c r="Z955" s="43"/>
    </row>
    <row r="956" hidden="1">
      <c r="A956" s="43" t="str">
        <f>IFERROR(__xludf.DUMMYFUNCTION("""COMPUTED_VALUE"""),"5299636_1292715")</f>
        <v>5299636_1292715</v>
      </c>
      <c r="B956" s="43" t="str">
        <f>IFERROR(__xludf.DUMMYFUNCTION("""COMPUTED_VALUE"""),"Hamide Yakalı")</f>
        <v>Hamide Yakalı</v>
      </c>
      <c r="C956" s="43" t="str">
        <f>IFERROR(__xludf.DUMMYFUNCTION("""COMPUTED_VALUE"""),"approved")</f>
        <v>approved</v>
      </c>
      <c r="D956" s="43" t="str">
        <f>IFERROR(__xludf.DUMMYFUNCTION("""COMPUTED_VALUE"""),"No")</f>
        <v>No</v>
      </c>
      <c r="E956" s="43" t="str">
        <f>IFERROR(__xludf.DUMMYFUNCTION("""COMPUTED_VALUE"""),"p_e6007ec083e423ab22bcd1d68933698c4139f7e5@inbound.aiesec.org")</f>
        <v>p_e6007ec083e423ab22bcd1d68933698c4139f7e5@inbound.aiesec.org</v>
      </c>
      <c r="F956" s="43">
        <f>IFERROR(__xludf.DUMMYFUNCTION("""COMPUTED_VALUE"""),5.42783423E9)</f>
        <v>5427834230</v>
      </c>
      <c r="G956" s="43" t="str">
        <f>IFERROR(__xludf.DUMMYFUNCTION("""COMPUTED_VALUE"""),"Turkey")</f>
        <v>Turkey</v>
      </c>
      <c r="H956" s="43" t="str">
        <f>IFERROR(__xludf.DUMMYFUNCTION("""COMPUTED_VALUE"""),"ISPARTA")</f>
        <v>ISPARTA</v>
      </c>
      <c r="I956" s="43" t="str">
        <f>IFERROR(__xludf.DUMMYFUNCTION("""COMPUTED_VALUE"""),"Egypt")</f>
        <v>Egypt</v>
      </c>
      <c r="J956" s="43" t="str">
        <f>IFERROR(__xludf.DUMMYFUNCTION("""COMPUTED_VALUE"""),"Tanta")</f>
        <v>Tanta</v>
      </c>
      <c r="K956" s="44" t="str">
        <f>IFERROR(__xludf.DUMMYFUNCTION("""COMPUTED_VALUE"""),"https://expa.aiesec.org/opportunities/1292715")</f>
        <v>https://expa.aiesec.org/opportunities/1292715</v>
      </c>
      <c r="L956" s="43" t="str">
        <f>IFERROR(__xludf.DUMMYFUNCTION("""COMPUTED_VALUE"""),"GV")</f>
        <v>GV</v>
      </c>
      <c r="M956" s="43" t="str">
        <f>IFERROR(__xludf.DUMMYFUNCTION("""COMPUTED_VALUE"""),"short")</f>
        <v>short</v>
      </c>
      <c r="N956" s="45">
        <f>IFERROR(__xludf.DUMMYFUNCTION("""COMPUTED_VALUE"""),45149.0)</f>
        <v>45149</v>
      </c>
      <c r="O956" s="45">
        <f>IFERROR(__xludf.DUMMYFUNCTION("""COMPUTED_VALUE"""),45474.0)</f>
        <v>45474</v>
      </c>
      <c r="P956" s="45">
        <f>IFERROR(__xludf.DUMMYFUNCTION("""COMPUTED_VALUE"""),45516.0)</f>
        <v>45516</v>
      </c>
      <c r="Q956" s="45"/>
      <c r="R956" s="45"/>
      <c r="S956" s="43"/>
      <c r="T956" s="43"/>
      <c r="U956" s="43" t="str">
        <f>IFERROR(__xludf.DUMMYFUNCTION("""COMPUTED_VALUE"""),"Fingerprint")</f>
        <v>Fingerprint</v>
      </c>
      <c r="V956" s="43" t="str">
        <f>IFERROR(__xludf.DUMMYFUNCTION("""COMPUTED_VALUE"""),"ISPARTA")</f>
        <v>ISPARTA</v>
      </c>
      <c r="W956" s="43" t="str">
        <f>IFERROR(__xludf.DUMMYFUNCTION("""COMPUTED_VALUE"""),"2023-08-08T18:12:20Z")</f>
        <v>2023-08-08T18:12:20Z</v>
      </c>
      <c r="X956" s="43"/>
      <c r="Y956" s="43"/>
      <c r="Z956" s="43"/>
    </row>
    <row r="957" hidden="1">
      <c r="A957" s="43" t="str">
        <f>IFERROR(__xludf.DUMMYFUNCTION("""COMPUTED_VALUE"""),"5208477_1281900")</f>
        <v>5208477_1281900</v>
      </c>
      <c r="B957" s="43" t="str">
        <f>IFERROR(__xludf.DUMMYFUNCTION("""COMPUTED_VALUE"""),"sinem asırlı")</f>
        <v>sinem asırlı</v>
      </c>
      <c r="C957" s="43" t="str">
        <f>IFERROR(__xludf.DUMMYFUNCTION("""COMPUTED_VALUE"""),"completed")</f>
        <v>completed</v>
      </c>
      <c r="D957" s="43" t="str">
        <f>IFERROR(__xludf.DUMMYFUNCTION("""COMPUTED_VALUE"""),"No")</f>
        <v>No</v>
      </c>
      <c r="E957" s="43" t="str">
        <f>IFERROR(__xludf.DUMMYFUNCTION("""COMPUTED_VALUE"""),"p_03fd91305870d33ea5d5d900ca1f376ab0b2ac26@inbound.aiesec.org")</f>
        <v>p_03fd91305870d33ea5d5d900ca1f376ab0b2ac26@inbound.aiesec.org</v>
      </c>
      <c r="F957" s="43">
        <f>IFERROR(__xludf.DUMMYFUNCTION("""COMPUTED_VALUE"""),5.061155409E9)</f>
        <v>5061155409</v>
      </c>
      <c r="G957" s="43" t="str">
        <f>IFERROR(__xludf.DUMMYFUNCTION("""COMPUTED_VALUE"""),"Turkey")</f>
        <v>Turkey</v>
      </c>
      <c r="H957" s="43" t="str">
        <f>IFERROR(__xludf.DUMMYFUNCTION("""COMPUTED_VALUE"""),"ANTALYA")</f>
        <v>ANTALYA</v>
      </c>
      <c r="I957" s="43" t="str">
        <f>IFERROR(__xludf.DUMMYFUNCTION("""COMPUTED_VALUE"""),"Sri Lanka")</f>
        <v>Sri Lanka</v>
      </c>
      <c r="J957" s="43" t="str">
        <f>IFERROR(__xludf.DUMMYFUNCTION("""COMPUTED_VALUE"""),"COLOMBO SOUTH")</f>
        <v>COLOMBO SOUTH</v>
      </c>
      <c r="K957" s="44" t="str">
        <f>IFERROR(__xludf.DUMMYFUNCTION("""COMPUTED_VALUE"""),"https://expa.aiesec.org/opportunities/1281900")</f>
        <v>https://expa.aiesec.org/opportunities/1281900</v>
      </c>
      <c r="L957" s="43" t="str">
        <f>IFERROR(__xludf.DUMMYFUNCTION("""COMPUTED_VALUE"""),"GV")</f>
        <v>GV</v>
      </c>
      <c r="M957" s="43" t="str">
        <f>IFERROR(__xludf.DUMMYFUNCTION("""COMPUTED_VALUE"""),"short")</f>
        <v>short</v>
      </c>
      <c r="N957" s="45">
        <f>IFERROR(__xludf.DUMMYFUNCTION("""COMPUTED_VALUE"""),45151.0)</f>
        <v>45151</v>
      </c>
      <c r="O957" s="45">
        <f>IFERROR(__xludf.DUMMYFUNCTION("""COMPUTED_VALUE"""),45157.0)</f>
        <v>45157</v>
      </c>
      <c r="P957" s="45">
        <f>IFERROR(__xludf.DUMMYFUNCTION("""COMPUTED_VALUE"""),45199.0)</f>
        <v>45199</v>
      </c>
      <c r="Q957" s="45">
        <f>IFERROR(__xludf.DUMMYFUNCTION("""COMPUTED_VALUE"""),45174.0)</f>
        <v>45174</v>
      </c>
      <c r="R957" s="45">
        <f>IFERROR(__xludf.DUMMYFUNCTION("""COMPUTED_VALUE"""),45214.0)</f>
        <v>45214</v>
      </c>
      <c r="S957" s="43"/>
      <c r="T957" s="43"/>
      <c r="U957" s="43" t="str">
        <f>IFERROR(__xludf.DUMMYFUNCTION("""COMPUTED_VALUE"""),"On The Map")</f>
        <v>On The Map</v>
      </c>
      <c r="V957" s="43" t="str">
        <f>IFERROR(__xludf.DUMMYFUNCTION("""COMPUTED_VALUE"""),"ANTALYA")</f>
        <v>ANTALYA</v>
      </c>
      <c r="W957" s="43" t="str">
        <f>IFERROR(__xludf.DUMMYFUNCTION("""COMPUTED_VALUE"""),"2023-03-07T10:58:48Z")</f>
        <v>2023-03-07T10:58:48Z</v>
      </c>
      <c r="X957" s="43"/>
      <c r="Y957" s="43"/>
      <c r="Z957" s="43"/>
    </row>
    <row r="958" hidden="1">
      <c r="A958" s="43" t="str">
        <f>IFERROR(__xludf.DUMMYFUNCTION("""COMPUTED_VALUE"""),"5295298_1295303")</f>
        <v>5295298_1295303</v>
      </c>
      <c r="B958" s="43" t="str">
        <f>IFERROR(__xludf.DUMMYFUNCTION("""COMPUTED_VALUE"""),"Tuğçe Aydın")</f>
        <v>Tuğçe Aydın</v>
      </c>
      <c r="C958" s="43" t="str">
        <f>IFERROR(__xludf.DUMMYFUNCTION("""COMPUTED_VALUE"""),"realized")</f>
        <v>realized</v>
      </c>
      <c r="D958" s="43" t="str">
        <f>IFERROR(__xludf.DUMMYFUNCTION("""COMPUTED_VALUE"""),"No")</f>
        <v>No</v>
      </c>
      <c r="E958" s="43" t="str">
        <f>IFERROR(__xludf.DUMMYFUNCTION("""COMPUTED_VALUE"""),"p_312777aeb14d8768bd563a789d76b08bed22d271@inbound.aiesec.org")</f>
        <v>p_312777aeb14d8768bd563a789d76b08bed22d271@inbound.aiesec.org</v>
      </c>
      <c r="F958" s="43">
        <f>IFERROR(__xludf.DUMMYFUNCTION("""COMPUTED_VALUE"""),5.332963367E9)</f>
        <v>5332963367</v>
      </c>
      <c r="G958" s="43" t="str">
        <f>IFERROR(__xludf.DUMMYFUNCTION("""COMPUTED_VALUE"""),"Turkey")</f>
        <v>Turkey</v>
      </c>
      <c r="H958" s="43" t="str">
        <f>IFERROR(__xludf.DUMMYFUNCTION("""COMPUTED_VALUE"""),"ISTANBUL")</f>
        <v>ISTANBUL</v>
      </c>
      <c r="I958" s="43" t="str">
        <f>IFERROR(__xludf.DUMMYFUNCTION("""COMPUTED_VALUE"""),"Slovakia")</f>
        <v>Slovakia</v>
      </c>
      <c r="J958" s="43" t="str">
        <f>IFERROR(__xludf.DUMMYFUNCTION("""COMPUTED_VALUE"""),"Nitra")</f>
        <v>Nitra</v>
      </c>
      <c r="K958" s="44" t="str">
        <f>IFERROR(__xludf.DUMMYFUNCTION("""COMPUTED_VALUE"""),"https://expa.aiesec.org/opportunities/1295303")</f>
        <v>https://expa.aiesec.org/opportunities/1295303</v>
      </c>
      <c r="L958" s="43" t="str">
        <f>IFERROR(__xludf.DUMMYFUNCTION("""COMPUTED_VALUE"""),"GV")</f>
        <v>GV</v>
      </c>
      <c r="M958" s="43" t="str">
        <f>IFERROR(__xludf.DUMMYFUNCTION("""COMPUTED_VALUE"""),"short")</f>
        <v>short</v>
      </c>
      <c r="N958" s="45">
        <f>IFERROR(__xludf.DUMMYFUNCTION("""COMPUTED_VALUE"""),45151.0)</f>
        <v>45151</v>
      </c>
      <c r="O958" s="45">
        <f>IFERROR(__xludf.DUMMYFUNCTION("""COMPUTED_VALUE"""),45306.0)</f>
        <v>45306</v>
      </c>
      <c r="P958" s="45">
        <f>IFERROR(__xludf.DUMMYFUNCTION("""COMPUTED_VALUE"""),45348.0)</f>
        <v>45348</v>
      </c>
      <c r="Q958" s="45">
        <f>IFERROR(__xludf.DUMMYFUNCTION("""COMPUTED_VALUE"""),45306.0)</f>
        <v>45306</v>
      </c>
      <c r="R958" s="45">
        <f>IFERROR(__xludf.DUMMYFUNCTION("""COMPUTED_VALUE"""),45348.0)</f>
        <v>45348</v>
      </c>
      <c r="S958" s="43"/>
      <c r="T958" s="43"/>
      <c r="U958" s="43" t="str">
        <f>IFERROR(__xludf.DUMMYFUNCTION("""COMPUTED_VALUE"""),"Youth 4 Impact")</f>
        <v>Youth 4 Impact</v>
      </c>
      <c r="V958" s="43" t="str">
        <f>IFERROR(__xludf.DUMMYFUNCTION("""COMPUTED_VALUE"""),"ISTANBUL - BEYOGLU")</f>
        <v>ISTANBUL - BEYOGLU</v>
      </c>
      <c r="W958" s="43" t="str">
        <f>IFERROR(__xludf.DUMMYFUNCTION("""COMPUTED_VALUE"""),"2023-08-03T13:07:54Z")</f>
        <v>2023-08-03T13:07:54Z</v>
      </c>
      <c r="X958" s="43"/>
      <c r="Y958" s="43"/>
      <c r="Z958" s="43"/>
    </row>
    <row r="959" hidden="1">
      <c r="A959" s="43" t="str">
        <f>IFERROR(__xludf.DUMMYFUNCTION("""COMPUTED_VALUE"""),"5237118_1294151")</f>
        <v>5237118_1294151</v>
      </c>
      <c r="B959" s="43" t="str">
        <f>IFERROR(__xludf.DUMMYFUNCTION("""COMPUTED_VALUE"""),"Berra Koçali")</f>
        <v>Berra Koçali</v>
      </c>
      <c r="C959" s="43" t="str">
        <f>IFERROR(__xludf.DUMMYFUNCTION("""COMPUTED_VALUE"""),"completed")</f>
        <v>completed</v>
      </c>
      <c r="D959" s="43" t="str">
        <f>IFERROR(__xludf.DUMMYFUNCTION("""COMPUTED_VALUE"""),"No")</f>
        <v>No</v>
      </c>
      <c r="E959" s="43" t="str">
        <f>IFERROR(__xludf.DUMMYFUNCTION("""COMPUTED_VALUE"""),"p_92e34535c45184a4656c5a4369b3ca1fcde7ed4e@inbound.aiesec.org")</f>
        <v>p_92e34535c45184a4656c5a4369b3ca1fcde7ed4e@inbound.aiesec.org</v>
      </c>
      <c r="F959" s="43">
        <f>IFERROR(__xludf.DUMMYFUNCTION("""COMPUTED_VALUE"""),5.4135051E9)</f>
        <v>5413505100</v>
      </c>
      <c r="G959" s="43" t="str">
        <f>IFERROR(__xludf.DUMMYFUNCTION("""COMPUTED_VALUE"""),"Turkey")</f>
        <v>Turkey</v>
      </c>
      <c r="H959" s="43" t="str">
        <f>IFERROR(__xludf.DUMMYFUNCTION("""COMPUTED_VALUE"""),"ISTANBUL")</f>
        <v>ISTANBUL</v>
      </c>
      <c r="I959" s="43" t="str">
        <f>IFERROR(__xludf.DUMMYFUNCTION("""COMPUTED_VALUE"""),"Greece")</f>
        <v>Greece</v>
      </c>
      <c r="J959" s="43" t="str">
        <f>IFERROR(__xludf.DUMMYFUNCTION("""COMPUTED_VALUE"""),"Piraeus UNIPI (Athens)")</f>
        <v>Piraeus UNIPI (Athens)</v>
      </c>
      <c r="K959" s="44" t="str">
        <f>IFERROR(__xludf.DUMMYFUNCTION("""COMPUTED_VALUE"""),"https://expa.aiesec.org/opportunities/1294151")</f>
        <v>https://expa.aiesec.org/opportunities/1294151</v>
      </c>
      <c r="L959" s="43" t="str">
        <f>IFERROR(__xludf.DUMMYFUNCTION("""COMPUTED_VALUE"""),"GV")</f>
        <v>GV</v>
      </c>
      <c r="M959" s="43" t="str">
        <f>IFERROR(__xludf.DUMMYFUNCTION("""COMPUTED_VALUE"""),"short")</f>
        <v>short</v>
      </c>
      <c r="N959" s="45">
        <f>IFERROR(__xludf.DUMMYFUNCTION("""COMPUTED_VALUE"""),45152.0)</f>
        <v>45152</v>
      </c>
      <c r="O959" s="45">
        <f>IFERROR(__xludf.DUMMYFUNCTION("""COMPUTED_VALUE"""),45170.0)</f>
        <v>45170</v>
      </c>
      <c r="P959" s="45">
        <f>IFERROR(__xludf.DUMMYFUNCTION("""COMPUTED_VALUE"""),45212.0)</f>
        <v>45212</v>
      </c>
      <c r="Q959" s="45">
        <f>IFERROR(__xludf.DUMMYFUNCTION("""COMPUTED_VALUE"""),45169.0)</f>
        <v>45169</v>
      </c>
      <c r="R959" s="45">
        <f>IFERROR(__xludf.DUMMYFUNCTION("""COMPUTED_VALUE"""),45212.0)</f>
        <v>45212</v>
      </c>
      <c r="S959" s="43"/>
      <c r="T959" s="43"/>
      <c r="U959" s="43" t="str">
        <f>IFERROR(__xludf.DUMMYFUNCTION("""COMPUTED_VALUE"""),"Rooted")</f>
        <v>Rooted</v>
      </c>
      <c r="V959" s="43" t="str">
        <f>IFERROR(__xludf.DUMMYFUNCTION("""COMPUTED_VALUE"""),"ISTANBUL - BEYOGLU")</f>
        <v>ISTANBUL - BEYOGLU</v>
      </c>
      <c r="W959" s="43" t="str">
        <f>IFERROR(__xludf.DUMMYFUNCTION("""COMPUTED_VALUE"""),"2023-04-07T14:28:22Z")</f>
        <v>2023-04-07T14:28:22Z</v>
      </c>
      <c r="X959" s="43"/>
      <c r="Y959" s="43"/>
      <c r="Z959" s="43"/>
    </row>
    <row r="960" hidden="1">
      <c r="A960" s="43" t="str">
        <f>IFERROR(__xludf.DUMMYFUNCTION("""COMPUTED_VALUE"""),"5301449_1289339")</f>
        <v>5301449_1289339</v>
      </c>
      <c r="B960" s="43" t="str">
        <f>IFERROR(__xludf.DUMMYFUNCTION("""COMPUTED_VALUE"""),"Kibar Güneş")</f>
        <v>Kibar Güneş</v>
      </c>
      <c r="C960" s="43" t="str">
        <f>IFERROR(__xludf.DUMMYFUNCTION("""COMPUTED_VALUE"""),"approved")</f>
        <v>approved</v>
      </c>
      <c r="D960" s="43" t="str">
        <f>IFERROR(__xludf.DUMMYFUNCTION("""COMPUTED_VALUE"""),"No")</f>
        <v>No</v>
      </c>
      <c r="E960" s="43" t="str">
        <f>IFERROR(__xludf.DUMMYFUNCTION("""COMPUTED_VALUE"""),"p_e6e4bf76346e6aa71067263e813766029d52fde4@inbound.aiesec.org")</f>
        <v>p_e6e4bf76346e6aa71067263e813766029d52fde4@inbound.aiesec.org</v>
      </c>
      <c r="F960" s="43">
        <f>IFERROR(__xludf.DUMMYFUNCTION("""COMPUTED_VALUE"""),5.446782618E9)</f>
        <v>5446782618</v>
      </c>
      <c r="G960" s="43" t="str">
        <f>IFERROR(__xludf.DUMMYFUNCTION("""COMPUTED_VALUE"""),"Turkey")</f>
        <v>Turkey</v>
      </c>
      <c r="H960" s="43" t="str">
        <f>IFERROR(__xludf.DUMMYFUNCTION("""COMPUTED_VALUE"""),"ISTANBUL")</f>
        <v>ISTANBUL</v>
      </c>
      <c r="I960" s="43" t="str">
        <f>IFERROR(__xludf.DUMMYFUNCTION("""COMPUTED_VALUE"""),"Egypt")</f>
        <v>Egypt</v>
      </c>
      <c r="J960" s="43" t="str">
        <f>IFERROR(__xludf.DUMMYFUNCTION("""COMPUTED_VALUE"""),"Ain Shams University")</f>
        <v>Ain Shams University</v>
      </c>
      <c r="K960" s="44" t="str">
        <f>IFERROR(__xludf.DUMMYFUNCTION("""COMPUTED_VALUE"""),"https://expa.aiesec.org/opportunities/1289339")</f>
        <v>https://expa.aiesec.org/opportunities/1289339</v>
      </c>
      <c r="L960" s="43" t="str">
        <f>IFERROR(__xludf.DUMMYFUNCTION("""COMPUTED_VALUE"""),"GV")</f>
        <v>GV</v>
      </c>
      <c r="M960" s="43" t="str">
        <f>IFERROR(__xludf.DUMMYFUNCTION("""COMPUTED_VALUE"""),"short")</f>
        <v>short</v>
      </c>
      <c r="N960" s="45">
        <f>IFERROR(__xludf.DUMMYFUNCTION("""COMPUTED_VALUE"""),45152.0)</f>
        <v>45152</v>
      </c>
      <c r="O960" s="45">
        <f>IFERROR(__xludf.DUMMYFUNCTION("""COMPUTED_VALUE"""),45488.0)</f>
        <v>45488</v>
      </c>
      <c r="P960" s="45">
        <f>IFERROR(__xludf.DUMMYFUNCTION("""COMPUTED_VALUE"""),45530.0)</f>
        <v>45530</v>
      </c>
      <c r="Q960" s="45"/>
      <c r="R960" s="45"/>
      <c r="S960" s="43"/>
      <c r="T960" s="43"/>
      <c r="U960" s="43" t="str">
        <f>IFERROR(__xludf.DUMMYFUNCTION("""COMPUTED_VALUE"""),"Rooted")</f>
        <v>Rooted</v>
      </c>
      <c r="V960" s="43" t="str">
        <f>IFERROR(__xludf.DUMMYFUNCTION("""COMPUTED_VALUE"""),"ISTANBUL - BAKIRKOY")</f>
        <v>ISTANBUL - BAKIRKOY</v>
      </c>
      <c r="W960" s="43" t="str">
        <f>IFERROR(__xludf.DUMMYFUNCTION("""COMPUTED_VALUE"""),"2023-08-12T06:58:09Z")</f>
        <v>2023-08-12T06:58:09Z</v>
      </c>
      <c r="X960" s="43"/>
      <c r="Y960" s="43"/>
      <c r="Z960" s="43"/>
    </row>
    <row r="961" hidden="1">
      <c r="A961" s="43" t="str">
        <f>IFERROR(__xludf.DUMMYFUNCTION("""COMPUTED_VALUE"""),"5297925_1295102")</f>
        <v>5297925_1295102</v>
      </c>
      <c r="B961" s="43" t="str">
        <f>IFERROR(__xludf.DUMMYFUNCTION("""COMPUTED_VALUE"""),"Ayşe Melek Yüksel")</f>
        <v>Ayşe Melek Yüksel</v>
      </c>
      <c r="C961" s="43" t="str">
        <f>IFERROR(__xludf.DUMMYFUNCTION("""COMPUTED_VALUE"""),"approved")</f>
        <v>approved</v>
      </c>
      <c r="D961" s="43" t="str">
        <f>IFERROR(__xludf.DUMMYFUNCTION("""COMPUTED_VALUE"""),"No")</f>
        <v>No</v>
      </c>
      <c r="E961" s="43" t="str">
        <f>IFERROR(__xludf.DUMMYFUNCTION("""COMPUTED_VALUE"""),"p_2319fcd226984f046d597720e78894648211002c@inbound.aiesec.org")</f>
        <v>p_2319fcd226984f046d597720e78894648211002c@inbound.aiesec.org</v>
      </c>
      <c r="F961" s="43">
        <f>IFERROR(__xludf.DUMMYFUNCTION("""COMPUTED_VALUE"""),5.374684995E9)</f>
        <v>5374684995</v>
      </c>
      <c r="G961" s="43" t="str">
        <f>IFERROR(__xludf.DUMMYFUNCTION("""COMPUTED_VALUE"""),"Turkey")</f>
        <v>Turkey</v>
      </c>
      <c r="H961" s="43" t="str">
        <f>IFERROR(__xludf.DUMMYFUNCTION("""COMPUTED_VALUE"""),"ISTANBUL")</f>
        <v>ISTANBUL</v>
      </c>
      <c r="I961" s="43" t="str">
        <f>IFERROR(__xludf.DUMMYFUNCTION("""COMPUTED_VALUE"""),"Egypt")</f>
        <v>Egypt</v>
      </c>
      <c r="J961" s="43" t="str">
        <f>IFERROR(__xludf.DUMMYFUNCTION("""COMPUTED_VALUE"""),"GUC")</f>
        <v>GUC</v>
      </c>
      <c r="K961" s="44" t="str">
        <f>IFERROR(__xludf.DUMMYFUNCTION("""COMPUTED_VALUE"""),"https://expa.aiesec.org/opportunities/1295102")</f>
        <v>https://expa.aiesec.org/opportunities/1295102</v>
      </c>
      <c r="L961" s="43" t="str">
        <f>IFERROR(__xludf.DUMMYFUNCTION("""COMPUTED_VALUE"""),"GV")</f>
        <v>GV</v>
      </c>
      <c r="M961" s="43" t="str">
        <f>IFERROR(__xludf.DUMMYFUNCTION("""COMPUTED_VALUE"""),"short")</f>
        <v>short</v>
      </c>
      <c r="N961" s="45">
        <f>IFERROR(__xludf.DUMMYFUNCTION("""COMPUTED_VALUE"""),45152.0)</f>
        <v>45152</v>
      </c>
      <c r="O961" s="45">
        <f>IFERROR(__xludf.DUMMYFUNCTION("""COMPUTED_VALUE"""),45302.0)</f>
        <v>45302</v>
      </c>
      <c r="P961" s="45">
        <f>IFERROR(__xludf.DUMMYFUNCTION("""COMPUTED_VALUE"""),45344.0)</f>
        <v>45344</v>
      </c>
      <c r="Q961" s="45"/>
      <c r="R961" s="45"/>
      <c r="S961" s="43"/>
      <c r="T961" s="43"/>
      <c r="U961" s="43" t="str">
        <f>IFERROR(__xludf.DUMMYFUNCTION("""COMPUTED_VALUE"""),"On The Map")</f>
        <v>On The Map</v>
      </c>
      <c r="V961" s="43" t="str">
        <f>IFERROR(__xludf.DUMMYFUNCTION("""COMPUTED_VALUE"""),"ISTANBUL - BEYOGLU")</f>
        <v>ISTANBUL - BEYOGLU</v>
      </c>
      <c r="W961" s="43" t="str">
        <f>IFERROR(__xludf.DUMMYFUNCTION("""COMPUTED_VALUE"""),"2023-08-05T17:04:45Z")</f>
        <v>2023-08-05T17:04:45Z</v>
      </c>
      <c r="X961" s="43"/>
      <c r="Y961" s="43"/>
      <c r="Z961" s="43"/>
    </row>
    <row r="962" hidden="1">
      <c r="A962" s="43" t="str">
        <f>IFERROR(__xludf.DUMMYFUNCTION("""COMPUTED_VALUE"""),"5292134_1289772")</f>
        <v>5292134_1289772</v>
      </c>
      <c r="B962" s="43" t="str">
        <f>IFERROR(__xludf.DUMMYFUNCTION("""COMPUTED_VALUE"""),"Emine Naz Can")</f>
        <v>Emine Naz Can</v>
      </c>
      <c r="C962" s="43" t="str">
        <f>IFERROR(__xludf.DUMMYFUNCTION("""COMPUTED_VALUE"""),"approved")</f>
        <v>approved</v>
      </c>
      <c r="D962" s="43" t="str">
        <f>IFERROR(__xludf.DUMMYFUNCTION("""COMPUTED_VALUE"""),"No")</f>
        <v>No</v>
      </c>
      <c r="E962" s="43" t="str">
        <f>IFERROR(__xludf.DUMMYFUNCTION("""COMPUTED_VALUE"""),"p_5c59f2e62ec7ec522bd1766c0d88453cf9f3b0eb@inbound.aiesec.org")</f>
        <v>p_5c59f2e62ec7ec522bd1766c0d88453cf9f3b0eb@inbound.aiesec.org</v>
      </c>
      <c r="F962" s="43"/>
      <c r="G962" s="43" t="str">
        <f>IFERROR(__xludf.DUMMYFUNCTION("""COMPUTED_VALUE"""),"Turkey")</f>
        <v>Turkey</v>
      </c>
      <c r="H962" s="43" t="str">
        <f>IFERROR(__xludf.DUMMYFUNCTION("""COMPUTED_VALUE"""),"ISTANBUL")</f>
        <v>ISTANBUL</v>
      </c>
      <c r="I962" s="43" t="str">
        <f>IFERROR(__xludf.DUMMYFUNCTION("""COMPUTED_VALUE"""),"Egypt")</f>
        <v>Egypt</v>
      </c>
      <c r="J962" s="43" t="str">
        <f>IFERROR(__xludf.DUMMYFUNCTION("""COMPUTED_VALUE"""),"GUC")</f>
        <v>GUC</v>
      </c>
      <c r="K962" s="44" t="str">
        <f>IFERROR(__xludf.DUMMYFUNCTION("""COMPUTED_VALUE"""),"https://expa.aiesec.org/opportunities/1289772")</f>
        <v>https://expa.aiesec.org/opportunities/1289772</v>
      </c>
      <c r="L962" s="43" t="str">
        <f>IFERROR(__xludf.DUMMYFUNCTION("""COMPUTED_VALUE"""),"GV")</f>
        <v>GV</v>
      </c>
      <c r="M962" s="43" t="str">
        <f>IFERROR(__xludf.DUMMYFUNCTION("""COMPUTED_VALUE"""),"short")</f>
        <v>short</v>
      </c>
      <c r="N962" s="45">
        <f>IFERROR(__xludf.DUMMYFUNCTION("""COMPUTED_VALUE"""),45154.0)</f>
        <v>45154</v>
      </c>
      <c r="O962" s="45">
        <f>IFERROR(__xludf.DUMMYFUNCTION("""COMPUTED_VALUE"""),45498.0)</f>
        <v>45498</v>
      </c>
      <c r="P962" s="45">
        <f>IFERROR(__xludf.DUMMYFUNCTION("""COMPUTED_VALUE"""),45540.0)</f>
        <v>45540</v>
      </c>
      <c r="Q962" s="45"/>
      <c r="R962" s="45"/>
      <c r="S962" s="43"/>
      <c r="T962" s="43"/>
      <c r="U962" s="43" t="str">
        <f>IFERROR(__xludf.DUMMYFUNCTION("""COMPUTED_VALUE"""),"Raise Your Voice")</f>
        <v>Raise Your Voice</v>
      </c>
      <c r="V962" s="43" t="str">
        <f>IFERROR(__xludf.DUMMYFUNCTION("""COMPUTED_VALUE"""),"-")</f>
        <v>-</v>
      </c>
      <c r="W962" s="43" t="str">
        <f>IFERROR(__xludf.DUMMYFUNCTION("""COMPUTED_VALUE"""),"2023-07-31T12:46:51Z")</f>
        <v>2023-07-31T12:46:51Z</v>
      </c>
      <c r="X962" s="43"/>
      <c r="Y962" s="43"/>
      <c r="Z962" s="43"/>
    </row>
    <row r="963" hidden="1">
      <c r="A963" s="43" t="str">
        <f>IFERROR(__xludf.DUMMYFUNCTION("""COMPUTED_VALUE"""),"5298248_1291068")</f>
        <v>5298248_1291068</v>
      </c>
      <c r="B963" s="43" t="str">
        <f>IFERROR(__xludf.DUMMYFUNCTION("""COMPUTED_VALUE"""),"Sezin Irmak Gümüş")</f>
        <v>Sezin Irmak Gümüş</v>
      </c>
      <c r="C963" s="43" t="str">
        <f>IFERROR(__xludf.DUMMYFUNCTION("""COMPUTED_VALUE"""),"completed")</f>
        <v>completed</v>
      </c>
      <c r="D963" s="43" t="str">
        <f>IFERROR(__xludf.DUMMYFUNCTION("""COMPUTED_VALUE"""),"No")</f>
        <v>No</v>
      </c>
      <c r="E963" s="43" t="str">
        <f>IFERROR(__xludf.DUMMYFUNCTION("""COMPUTED_VALUE"""),"p_2e826f54b10a734bf1aaa7c081ad0404bc911bb8@inbound.aiesec.org")</f>
        <v>p_2e826f54b10a734bf1aaa7c081ad0404bc911bb8@inbound.aiesec.org</v>
      </c>
      <c r="F963" s="43">
        <f>IFERROR(__xludf.DUMMYFUNCTION("""COMPUTED_VALUE"""),5.304770617E9)</f>
        <v>5304770617</v>
      </c>
      <c r="G963" s="43" t="str">
        <f>IFERROR(__xludf.DUMMYFUNCTION("""COMPUTED_VALUE"""),"Turkey")</f>
        <v>Turkey</v>
      </c>
      <c r="H963" s="43" t="str">
        <f>IFERROR(__xludf.DUMMYFUNCTION("""COMPUTED_VALUE"""),"ISTANBUL")</f>
        <v>ISTANBUL</v>
      </c>
      <c r="I963" s="43" t="str">
        <f>IFERROR(__xludf.DUMMYFUNCTION("""COMPUTED_VALUE"""),"Italy")</f>
        <v>Italy</v>
      </c>
      <c r="J963" s="43" t="str">
        <f>IFERROR(__xludf.DUMMYFUNCTION("""COMPUTED_VALUE"""),"Napoli Federico II")</f>
        <v>Napoli Federico II</v>
      </c>
      <c r="K963" s="44" t="str">
        <f>IFERROR(__xludf.DUMMYFUNCTION("""COMPUTED_VALUE"""),"https://expa.aiesec.org/opportunities/1291068")</f>
        <v>https://expa.aiesec.org/opportunities/1291068</v>
      </c>
      <c r="L963" s="43" t="str">
        <f>IFERROR(__xludf.DUMMYFUNCTION("""COMPUTED_VALUE"""),"GV")</f>
        <v>GV</v>
      </c>
      <c r="M963" s="43" t="str">
        <f>IFERROR(__xludf.DUMMYFUNCTION("""COMPUTED_VALUE"""),"short")</f>
        <v>short</v>
      </c>
      <c r="N963" s="45">
        <f>IFERROR(__xludf.DUMMYFUNCTION("""COMPUTED_VALUE"""),45154.0)</f>
        <v>45154</v>
      </c>
      <c r="O963" s="45">
        <f>IFERROR(__xludf.DUMMYFUNCTION("""COMPUTED_VALUE"""),45159.0)</f>
        <v>45159</v>
      </c>
      <c r="P963" s="45">
        <f>IFERROR(__xludf.DUMMYFUNCTION("""COMPUTED_VALUE"""),45201.0)</f>
        <v>45201</v>
      </c>
      <c r="Q963" s="45">
        <f>IFERROR(__xludf.DUMMYFUNCTION("""COMPUTED_VALUE"""),45159.0)</f>
        <v>45159</v>
      </c>
      <c r="R963" s="45">
        <f>IFERROR(__xludf.DUMMYFUNCTION("""COMPUTED_VALUE"""),45201.0)</f>
        <v>45201</v>
      </c>
      <c r="S963" s="43"/>
      <c r="T963" s="43"/>
      <c r="U963" s="43" t="str">
        <f>IFERROR(__xludf.DUMMYFUNCTION("""COMPUTED_VALUE"""),"Equify")</f>
        <v>Equify</v>
      </c>
      <c r="V963" s="43" t="str">
        <f>IFERROR(__xludf.DUMMYFUNCTION("""COMPUTED_VALUE"""),"ISTANBUL - BEYOGLU")</f>
        <v>ISTANBUL - BEYOGLU</v>
      </c>
      <c r="W963" s="43" t="str">
        <f>IFERROR(__xludf.DUMMYFUNCTION("""COMPUTED_VALUE"""),"2023-08-06T09:27:04Z")</f>
        <v>2023-08-06T09:27:04Z</v>
      </c>
      <c r="X963" s="43"/>
      <c r="Y963" s="43"/>
      <c r="Z963" s="43"/>
    </row>
    <row r="964" hidden="1">
      <c r="A964" s="43" t="str">
        <f>IFERROR(__xludf.DUMMYFUNCTION("""COMPUTED_VALUE"""),"5297100_1291068")</f>
        <v>5297100_1291068</v>
      </c>
      <c r="B964" s="43" t="str">
        <f>IFERROR(__xludf.DUMMYFUNCTION("""COMPUTED_VALUE"""),"Mohammed Aljarad")</f>
        <v>Mohammed Aljarad</v>
      </c>
      <c r="C964" s="43" t="str">
        <f>IFERROR(__xludf.DUMMYFUNCTION("""COMPUTED_VALUE"""),"approved")</f>
        <v>approved</v>
      </c>
      <c r="D964" s="43" t="str">
        <f>IFERROR(__xludf.DUMMYFUNCTION("""COMPUTED_VALUE"""),"No")</f>
        <v>No</v>
      </c>
      <c r="E964" s="43" t="str">
        <f>IFERROR(__xludf.DUMMYFUNCTION("""COMPUTED_VALUE"""),"p_f75e272a7b0c5d8cbc0985b7f129cb85afc59f62@inbound.aiesec.org")</f>
        <v>p_f75e272a7b0c5d8cbc0985b7f129cb85afc59f62@inbound.aiesec.org</v>
      </c>
      <c r="F964" s="43">
        <f>IFERROR(__xludf.DUMMYFUNCTION("""COMPUTED_VALUE"""),5.013545722E9)</f>
        <v>5013545722</v>
      </c>
      <c r="G964" s="43" t="str">
        <f>IFERROR(__xludf.DUMMYFUNCTION("""COMPUTED_VALUE"""),"Turkey")</f>
        <v>Turkey</v>
      </c>
      <c r="H964" s="43" t="str">
        <f>IFERROR(__xludf.DUMMYFUNCTION("""COMPUTED_VALUE"""),"ISTANBUL WEST")</f>
        <v>ISTANBUL WEST</v>
      </c>
      <c r="I964" s="43" t="str">
        <f>IFERROR(__xludf.DUMMYFUNCTION("""COMPUTED_VALUE"""),"Italy")</f>
        <v>Italy</v>
      </c>
      <c r="J964" s="43" t="str">
        <f>IFERROR(__xludf.DUMMYFUNCTION("""COMPUTED_VALUE"""),"Napoli Federico II")</f>
        <v>Napoli Federico II</v>
      </c>
      <c r="K964" s="44" t="str">
        <f>IFERROR(__xludf.DUMMYFUNCTION("""COMPUTED_VALUE"""),"https://expa.aiesec.org/opportunities/1291068")</f>
        <v>https://expa.aiesec.org/opportunities/1291068</v>
      </c>
      <c r="L964" s="43" t="str">
        <f>IFERROR(__xludf.DUMMYFUNCTION("""COMPUTED_VALUE"""),"GV")</f>
        <v>GV</v>
      </c>
      <c r="M964" s="43" t="str">
        <f>IFERROR(__xludf.DUMMYFUNCTION("""COMPUTED_VALUE"""),"short")</f>
        <v>short</v>
      </c>
      <c r="N964" s="45">
        <f>IFERROR(__xludf.DUMMYFUNCTION("""COMPUTED_VALUE"""),45155.0)</f>
        <v>45155</v>
      </c>
      <c r="O964" s="45">
        <f>IFERROR(__xludf.DUMMYFUNCTION("""COMPUTED_VALUE"""),45356.0)</f>
        <v>45356</v>
      </c>
      <c r="P964" s="45">
        <f>IFERROR(__xludf.DUMMYFUNCTION("""COMPUTED_VALUE"""),45398.0)</f>
        <v>45398</v>
      </c>
      <c r="Q964" s="45"/>
      <c r="R964" s="45"/>
      <c r="S964" s="43"/>
      <c r="T964" s="43"/>
      <c r="U964" s="43" t="str">
        <f>IFERROR(__xludf.DUMMYFUNCTION("""COMPUTED_VALUE"""),"Equify")</f>
        <v>Equify</v>
      </c>
      <c r="V964" s="43" t="str">
        <f>IFERROR(__xludf.DUMMYFUNCTION("""COMPUTED_VALUE"""),"ISTANBUL - BAKIRKOY")</f>
        <v>ISTANBUL - BAKIRKOY</v>
      </c>
      <c r="W964" s="43" t="str">
        <f>IFERROR(__xludf.DUMMYFUNCTION("""COMPUTED_VALUE"""),"2023-08-04T17:08:00Z")</f>
        <v>2023-08-04T17:08:00Z</v>
      </c>
      <c r="X964" s="43"/>
      <c r="Y964" s="43"/>
      <c r="Z964" s="43"/>
    </row>
    <row r="965" hidden="1">
      <c r="A965" s="43" t="str">
        <f>IFERROR(__xludf.DUMMYFUNCTION("""COMPUTED_VALUE"""),"5301197_1298038")</f>
        <v>5301197_1298038</v>
      </c>
      <c r="B965" s="43" t="str">
        <f>IFERROR(__xludf.DUMMYFUNCTION("""COMPUTED_VALUE"""),"Ecem Arslan")</f>
        <v>Ecem Arslan</v>
      </c>
      <c r="C965" s="43" t="str">
        <f>IFERROR(__xludf.DUMMYFUNCTION("""COMPUTED_VALUE"""),"completed")</f>
        <v>completed</v>
      </c>
      <c r="D965" s="43" t="str">
        <f>IFERROR(__xludf.DUMMYFUNCTION("""COMPUTED_VALUE"""),"No")</f>
        <v>No</v>
      </c>
      <c r="E965" s="43" t="str">
        <f>IFERROR(__xludf.DUMMYFUNCTION("""COMPUTED_VALUE"""),"p_8dd303392f90b0e3fcf2dd7fbfb0f7a8cebefc2e@inbound.aiesec.org")</f>
        <v>p_8dd303392f90b0e3fcf2dd7fbfb0f7a8cebefc2e@inbound.aiesec.org</v>
      </c>
      <c r="F965" s="43">
        <f>IFERROR(__xludf.DUMMYFUNCTION("""COMPUTED_VALUE"""),5.426436973E9)</f>
        <v>5426436973</v>
      </c>
      <c r="G965" s="43" t="str">
        <f>IFERROR(__xludf.DUMMYFUNCTION("""COMPUTED_VALUE"""),"Turkey")</f>
        <v>Turkey</v>
      </c>
      <c r="H965" s="43" t="str">
        <f>IFERROR(__xludf.DUMMYFUNCTION("""COMPUTED_VALUE"""),"ANTALYA")</f>
        <v>ANTALYA</v>
      </c>
      <c r="I965" s="43" t="str">
        <f>IFERROR(__xludf.DUMMYFUNCTION("""COMPUTED_VALUE"""),"Italy")</f>
        <v>Italy</v>
      </c>
      <c r="J965" s="43" t="str">
        <f>IFERROR(__xludf.DUMMYFUNCTION("""COMPUTED_VALUE"""),"Venezia")</f>
        <v>Venezia</v>
      </c>
      <c r="K965" s="44" t="str">
        <f>IFERROR(__xludf.DUMMYFUNCTION("""COMPUTED_VALUE"""),"https://expa.aiesec.org/opportunities/1298038")</f>
        <v>https://expa.aiesec.org/opportunities/1298038</v>
      </c>
      <c r="L965" s="43" t="str">
        <f>IFERROR(__xludf.DUMMYFUNCTION("""COMPUTED_VALUE"""),"GV")</f>
        <v>GV</v>
      </c>
      <c r="M965" s="43" t="str">
        <f>IFERROR(__xludf.DUMMYFUNCTION("""COMPUTED_VALUE"""),"short")</f>
        <v>short</v>
      </c>
      <c r="N965" s="45">
        <f>IFERROR(__xludf.DUMMYFUNCTION("""COMPUTED_VALUE"""),45155.0)</f>
        <v>45155</v>
      </c>
      <c r="O965" s="45">
        <f>IFERROR(__xludf.DUMMYFUNCTION("""COMPUTED_VALUE"""),45187.0)</f>
        <v>45187</v>
      </c>
      <c r="P965" s="45">
        <f>IFERROR(__xludf.DUMMYFUNCTION("""COMPUTED_VALUE"""),45229.0)</f>
        <v>45229</v>
      </c>
      <c r="Q965" s="45"/>
      <c r="R965" s="45">
        <f>IFERROR(__xludf.DUMMYFUNCTION("""COMPUTED_VALUE"""),45229.0)</f>
        <v>45229</v>
      </c>
      <c r="S965" s="43"/>
      <c r="T965" s="43"/>
      <c r="U965" s="43" t="str">
        <f>IFERROR(__xludf.DUMMYFUNCTION("""COMPUTED_VALUE"""),"Raise Your Voice")</f>
        <v>Raise Your Voice</v>
      </c>
      <c r="V965" s="43" t="str">
        <f>IFERROR(__xludf.DUMMYFUNCTION("""COMPUTED_VALUE"""),"ANTALYA")</f>
        <v>ANTALYA</v>
      </c>
      <c r="W965" s="43" t="str">
        <f>IFERROR(__xludf.DUMMYFUNCTION("""COMPUTED_VALUE"""),"2023-08-11T12:42:18Z")</f>
        <v>2023-08-11T12:42:18Z</v>
      </c>
      <c r="X965" s="43"/>
      <c r="Y965" s="43"/>
      <c r="Z965" s="43"/>
    </row>
    <row r="966" hidden="1">
      <c r="A966" s="43" t="str">
        <f>IFERROR(__xludf.DUMMYFUNCTION("""COMPUTED_VALUE"""),"5287781_1296222")</f>
        <v>5287781_1296222</v>
      </c>
      <c r="B966" s="43" t="str">
        <f>IFERROR(__xludf.DUMMYFUNCTION("""COMPUTED_VALUE"""),"Merve Özden")</f>
        <v>Merve Özden</v>
      </c>
      <c r="C966" s="43" t="str">
        <f>IFERROR(__xludf.DUMMYFUNCTION("""COMPUTED_VALUE"""),"approved")</f>
        <v>approved</v>
      </c>
      <c r="D966" s="43" t="str">
        <f>IFERROR(__xludf.DUMMYFUNCTION("""COMPUTED_VALUE"""),"No")</f>
        <v>No</v>
      </c>
      <c r="E966" s="43" t="str">
        <f>IFERROR(__xludf.DUMMYFUNCTION("""COMPUTED_VALUE"""),"p_545d1d9b59193867e9c2b0cadb6f23d835574437@inbound.aiesec.org")</f>
        <v>p_545d1d9b59193867e9c2b0cadb6f23d835574437@inbound.aiesec.org</v>
      </c>
      <c r="F966" s="43">
        <f>IFERROR(__xludf.DUMMYFUNCTION("""COMPUTED_VALUE"""),5.551073416E9)</f>
        <v>5551073416</v>
      </c>
      <c r="G966" s="43" t="str">
        <f>IFERROR(__xludf.DUMMYFUNCTION("""COMPUTED_VALUE"""),"Turkey")</f>
        <v>Turkey</v>
      </c>
      <c r="H966" s="43" t="str">
        <f>IFERROR(__xludf.DUMMYFUNCTION("""COMPUTED_VALUE"""),"ISTANBUL ASIA")</f>
        <v>ISTANBUL ASIA</v>
      </c>
      <c r="I966" s="43" t="str">
        <f>IFERROR(__xludf.DUMMYFUNCTION("""COMPUTED_VALUE"""),"Egypt")</f>
        <v>Egypt</v>
      </c>
      <c r="J966" s="43" t="str">
        <f>IFERROR(__xludf.DUMMYFUNCTION("""COMPUTED_VALUE"""),"AUC")</f>
        <v>AUC</v>
      </c>
      <c r="K966" s="44" t="str">
        <f>IFERROR(__xludf.DUMMYFUNCTION("""COMPUTED_VALUE"""),"https://expa.aiesec.org/opportunities/1296222")</f>
        <v>https://expa.aiesec.org/opportunities/1296222</v>
      </c>
      <c r="L966" s="43" t="str">
        <f>IFERROR(__xludf.DUMMYFUNCTION("""COMPUTED_VALUE"""),"GV")</f>
        <v>GV</v>
      </c>
      <c r="M966" s="43" t="str">
        <f>IFERROR(__xludf.DUMMYFUNCTION("""COMPUTED_VALUE"""),"short")</f>
        <v>short</v>
      </c>
      <c r="N966" s="45">
        <f>IFERROR(__xludf.DUMMYFUNCTION("""COMPUTED_VALUE"""),45156.0)</f>
        <v>45156</v>
      </c>
      <c r="O966" s="45">
        <f>IFERROR(__xludf.DUMMYFUNCTION("""COMPUTED_VALUE"""),45250.0)</f>
        <v>45250</v>
      </c>
      <c r="P966" s="45">
        <f>IFERROR(__xludf.DUMMYFUNCTION("""COMPUTED_VALUE"""),45292.0)</f>
        <v>45292</v>
      </c>
      <c r="Q966" s="45"/>
      <c r="R966" s="45"/>
      <c r="S966" s="43"/>
      <c r="T966" s="43"/>
      <c r="U966" s="43" t="str">
        <f>IFERROR(__xludf.DUMMYFUNCTION("""COMPUTED_VALUE"""),"On The Map")</f>
        <v>On The Map</v>
      </c>
      <c r="V966" s="43" t="str">
        <f>IFERROR(__xludf.DUMMYFUNCTION("""COMPUTED_VALUE"""),"ISTANBUL ASIA")</f>
        <v>ISTANBUL ASIA</v>
      </c>
      <c r="W966" s="43" t="str">
        <f>IFERROR(__xludf.DUMMYFUNCTION("""COMPUTED_VALUE"""),"2023-07-21T09:46:01Z")</f>
        <v>2023-07-21T09:46:01Z</v>
      </c>
      <c r="X966" s="43"/>
      <c r="Y966" s="43"/>
      <c r="Z966" s="43"/>
    </row>
    <row r="967" hidden="1">
      <c r="A967" s="43" t="str">
        <f>IFERROR(__xludf.DUMMYFUNCTION("""COMPUTED_VALUE"""),"5292733_1297112")</f>
        <v>5292733_1297112</v>
      </c>
      <c r="B967" s="43" t="str">
        <f>IFERROR(__xludf.DUMMYFUNCTION("""COMPUTED_VALUE"""),"Tolga Şen")</f>
        <v>Tolga Şen</v>
      </c>
      <c r="C967" s="43" t="str">
        <f>IFERROR(__xludf.DUMMYFUNCTION("""COMPUTED_VALUE"""),"realized")</f>
        <v>realized</v>
      </c>
      <c r="D967" s="43" t="str">
        <f>IFERROR(__xludf.DUMMYFUNCTION("""COMPUTED_VALUE"""),"No")</f>
        <v>No</v>
      </c>
      <c r="E967" s="43" t="str">
        <f>IFERROR(__xludf.DUMMYFUNCTION("""COMPUTED_VALUE"""),"p_20dc76b9ebe692025d9ec62af89a1f5495a3cdac@inbound.aiesec.org")</f>
        <v>p_20dc76b9ebe692025d9ec62af89a1f5495a3cdac@inbound.aiesec.org</v>
      </c>
      <c r="F967" s="43">
        <f>IFERROR(__xludf.DUMMYFUNCTION("""COMPUTED_VALUE"""),5.459040736E9)</f>
        <v>5459040736</v>
      </c>
      <c r="G967" s="43" t="str">
        <f>IFERROR(__xludf.DUMMYFUNCTION("""COMPUTED_VALUE"""),"Turkey")</f>
        <v>Turkey</v>
      </c>
      <c r="H967" s="43" t="str">
        <f>IFERROR(__xludf.DUMMYFUNCTION("""COMPUTED_VALUE"""),"KOCAELI")</f>
        <v>KOCAELI</v>
      </c>
      <c r="I967" s="43" t="str">
        <f>IFERROR(__xludf.DUMMYFUNCTION("""COMPUTED_VALUE"""),"Romania")</f>
        <v>Romania</v>
      </c>
      <c r="J967" s="43" t="str">
        <f>IFERROR(__xludf.DUMMYFUNCTION("""COMPUTED_VALUE"""),"PITESTI")</f>
        <v>PITESTI</v>
      </c>
      <c r="K967" s="44" t="str">
        <f>IFERROR(__xludf.DUMMYFUNCTION("""COMPUTED_VALUE"""),"https://expa.aiesec.org/opportunities/1297112")</f>
        <v>https://expa.aiesec.org/opportunities/1297112</v>
      </c>
      <c r="L967" s="43" t="str">
        <f>IFERROR(__xludf.DUMMYFUNCTION("""COMPUTED_VALUE"""),"GV")</f>
        <v>GV</v>
      </c>
      <c r="M967" s="43" t="str">
        <f>IFERROR(__xludf.DUMMYFUNCTION("""COMPUTED_VALUE"""),"short")</f>
        <v>short</v>
      </c>
      <c r="N967" s="45">
        <f>IFERROR(__xludf.DUMMYFUNCTION("""COMPUTED_VALUE"""),45159.0)</f>
        <v>45159</v>
      </c>
      <c r="O967" s="45">
        <f>IFERROR(__xludf.DUMMYFUNCTION("""COMPUTED_VALUE"""),45299.0)</f>
        <v>45299</v>
      </c>
      <c r="P967" s="45">
        <f>IFERROR(__xludf.DUMMYFUNCTION("""COMPUTED_VALUE"""),45341.0)</f>
        <v>45341</v>
      </c>
      <c r="Q967" s="45">
        <f>IFERROR(__xludf.DUMMYFUNCTION("""COMPUTED_VALUE"""),45298.0)</f>
        <v>45298</v>
      </c>
      <c r="R967" s="45">
        <f>IFERROR(__xludf.DUMMYFUNCTION("""COMPUTED_VALUE"""),45341.0)</f>
        <v>45341</v>
      </c>
      <c r="S967" s="43"/>
      <c r="T967" s="43"/>
      <c r="U967" s="43" t="str">
        <f>IFERROR(__xludf.DUMMYFUNCTION("""COMPUTED_VALUE"""),"Eat 4 Change")</f>
        <v>Eat 4 Change</v>
      </c>
      <c r="V967" s="43" t="str">
        <f>IFERROR(__xludf.DUMMYFUNCTION("""COMPUTED_VALUE"""),"MUGLA")</f>
        <v>MUGLA</v>
      </c>
      <c r="W967" s="43" t="str">
        <f>IFERROR(__xludf.DUMMYFUNCTION("""COMPUTED_VALUE"""),"2023-08-01T15:28:10Z")</f>
        <v>2023-08-01T15:28:10Z</v>
      </c>
      <c r="X967" s="43"/>
      <c r="Y967" s="43"/>
      <c r="Z967" s="43"/>
    </row>
    <row r="968">
      <c r="A968" s="43" t="str">
        <f>IFERROR(__xludf.DUMMYFUNCTION("""COMPUTED_VALUE"""),"5249580_1295120")</f>
        <v>5249580_1295120</v>
      </c>
      <c r="B968" s="43" t="str">
        <f>IFERROR(__xludf.DUMMYFUNCTION("""COMPUTED_VALUE"""),"Eyyüp Ekinbaş")</f>
        <v>Eyyüp Ekinbaş</v>
      </c>
      <c r="C968" s="43" t="str">
        <f>IFERROR(__xludf.DUMMYFUNCTION("""COMPUTED_VALUE"""),"approved")</f>
        <v>approved</v>
      </c>
      <c r="D968" s="43" t="str">
        <f>IFERROR(__xludf.DUMMYFUNCTION("""COMPUTED_VALUE"""),"No")</f>
        <v>No</v>
      </c>
      <c r="E968" s="43" t="str">
        <f>IFERROR(__xludf.DUMMYFUNCTION("""COMPUTED_VALUE"""),"p_df9ce2091151b7f7f08d77c40bf07bac2b0ee27c@inbound.aiesec.org")</f>
        <v>p_df9ce2091151b7f7f08d77c40bf07bac2b0ee27c@inbound.aiesec.org</v>
      </c>
      <c r="F968" s="43">
        <f>IFERROR(__xludf.DUMMYFUNCTION("""COMPUTED_VALUE"""),5.388870459E9)</f>
        <v>5388870459</v>
      </c>
      <c r="G968" s="43" t="str">
        <f>IFERROR(__xludf.DUMMYFUNCTION("""COMPUTED_VALUE"""),"Turkey")</f>
        <v>Turkey</v>
      </c>
      <c r="H968" s="43" t="str">
        <f>IFERROR(__xludf.DUMMYFUNCTION("""COMPUTED_VALUE"""),"ISTANBUL")</f>
        <v>ISTANBUL</v>
      </c>
      <c r="I968" s="43" t="str">
        <f>IFERROR(__xludf.DUMMYFUNCTION("""COMPUTED_VALUE"""),"Romania")</f>
        <v>Romania</v>
      </c>
      <c r="J968" s="43" t="str">
        <f>IFERROR(__xludf.DUMMYFUNCTION("""COMPUTED_VALUE"""),"BUCURESTI")</f>
        <v>BUCURESTI</v>
      </c>
      <c r="K968" s="44" t="str">
        <f>IFERROR(__xludf.DUMMYFUNCTION("""COMPUTED_VALUE"""),"https://expa.aiesec.org/opportunities/1295120")</f>
        <v>https://expa.aiesec.org/opportunities/1295120</v>
      </c>
      <c r="L968" s="43" t="str">
        <f>IFERROR(__xludf.DUMMYFUNCTION("""COMPUTED_VALUE"""),"GV")</f>
        <v>GV</v>
      </c>
      <c r="M968" s="43" t="str">
        <f>IFERROR(__xludf.DUMMYFUNCTION("""COMPUTED_VALUE"""),"short")</f>
        <v>short</v>
      </c>
      <c r="N968" s="45">
        <f>IFERROR(__xludf.DUMMYFUNCTION("""COMPUTED_VALUE"""),45161.0)</f>
        <v>45161</v>
      </c>
      <c r="O968" s="45">
        <f>IFERROR(__xludf.DUMMYFUNCTION("""COMPUTED_VALUE"""),45208.0)</f>
        <v>45208</v>
      </c>
      <c r="P968" s="45">
        <f>IFERROR(__xludf.DUMMYFUNCTION("""COMPUTED_VALUE"""),45250.0)</f>
        <v>45250</v>
      </c>
      <c r="Q968" s="45"/>
      <c r="R968" s="45"/>
      <c r="S968" s="43"/>
      <c r="T968" s="43"/>
      <c r="U968" s="43" t="str">
        <f>IFERROR(__xludf.DUMMYFUNCTION("""COMPUTED_VALUE"""),"Green Leaders")</f>
        <v>Green Leaders</v>
      </c>
      <c r="V968" s="43" t="str">
        <f>IFERROR(__xludf.DUMMYFUNCTION("""COMPUTED_VALUE"""),"KAYSERI")</f>
        <v>KAYSERI</v>
      </c>
      <c r="W968" s="43" t="str">
        <f>IFERROR(__xludf.DUMMYFUNCTION("""COMPUTED_VALUE"""),"2023-04-26T06:44:27Z")</f>
        <v>2023-04-26T06:44:27Z</v>
      </c>
      <c r="X968" s="43"/>
      <c r="Y968" s="43"/>
      <c r="Z968" s="43"/>
    </row>
    <row r="969" hidden="1">
      <c r="A969" s="43" t="str">
        <f>IFERROR(__xludf.DUMMYFUNCTION("""COMPUTED_VALUE"""),"5285320_1293311")</f>
        <v>5285320_1293311</v>
      </c>
      <c r="B969" s="43" t="str">
        <f>IFERROR(__xludf.DUMMYFUNCTION("""COMPUTED_VALUE"""),"Selin Kuyucu")</f>
        <v>Selin Kuyucu</v>
      </c>
      <c r="C969" s="43" t="str">
        <f>IFERROR(__xludf.DUMMYFUNCTION("""COMPUTED_VALUE"""),"finished")</f>
        <v>finished</v>
      </c>
      <c r="D969" s="43" t="str">
        <f>IFERROR(__xludf.DUMMYFUNCTION("""COMPUTED_VALUE"""),"No")</f>
        <v>No</v>
      </c>
      <c r="E969" s="43" t="str">
        <f>IFERROR(__xludf.DUMMYFUNCTION("""COMPUTED_VALUE"""),"p_2842b7a61cebebfd3ffab10dee065dff72d0d292@inbound.aiesec.org")</f>
        <v>p_2842b7a61cebebfd3ffab10dee065dff72d0d292@inbound.aiesec.org</v>
      </c>
      <c r="F969" s="43">
        <f>IFERROR(__xludf.DUMMYFUNCTION("""COMPUTED_VALUE"""),5.057929616E9)</f>
        <v>5057929616</v>
      </c>
      <c r="G969" s="43" t="str">
        <f>IFERROR(__xludf.DUMMYFUNCTION("""COMPUTED_VALUE"""),"Turkey")</f>
        <v>Turkey</v>
      </c>
      <c r="H969" s="43" t="str">
        <f>IFERROR(__xludf.DUMMYFUNCTION("""COMPUTED_VALUE"""),"ISTANBUL ASIA")</f>
        <v>ISTANBUL ASIA</v>
      </c>
      <c r="I969" s="43" t="str">
        <f>IFERROR(__xludf.DUMMYFUNCTION("""COMPUTED_VALUE"""),"Romania")</f>
        <v>Romania</v>
      </c>
      <c r="J969" s="43" t="str">
        <f>IFERROR(__xludf.DUMMYFUNCTION("""COMPUTED_VALUE"""),"BUCURESTI")</f>
        <v>BUCURESTI</v>
      </c>
      <c r="K969" s="44" t="str">
        <f>IFERROR(__xludf.DUMMYFUNCTION("""COMPUTED_VALUE"""),"https://expa.aiesec.org/opportunities/1293311")</f>
        <v>https://expa.aiesec.org/opportunities/1293311</v>
      </c>
      <c r="L969" s="43" t="str">
        <f>IFERROR(__xludf.DUMMYFUNCTION("""COMPUTED_VALUE"""),"GV")</f>
        <v>GV</v>
      </c>
      <c r="M969" s="43" t="str">
        <f>IFERROR(__xludf.DUMMYFUNCTION("""COMPUTED_VALUE"""),"short")</f>
        <v>short</v>
      </c>
      <c r="N969" s="45">
        <f>IFERROR(__xludf.DUMMYFUNCTION("""COMPUTED_VALUE"""),45163.0)</f>
        <v>45163</v>
      </c>
      <c r="O969" s="45">
        <f>IFERROR(__xludf.DUMMYFUNCTION("""COMPUTED_VALUE"""),45166.0)</f>
        <v>45166</v>
      </c>
      <c r="P969" s="45">
        <f>IFERROR(__xludf.DUMMYFUNCTION("""COMPUTED_VALUE"""),45208.0)</f>
        <v>45208</v>
      </c>
      <c r="Q969" s="45">
        <f>IFERROR(__xludf.DUMMYFUNCTION("""COMPUTED_VALUE"""),45166.0)</f>
        <v>45166</v>
      </c>
      <c r="R969" s="45">
        <f>IFERROR(__xludf.DUMMYFUNCTION("""COMPUTED_VALUE"""),45208.0)</f>
        <v>45208</v>
      </c>
      <c r="S969" s="43"/>
      <c r="T969" s="43"/>
      <c r="U969" s="43" t="str">
        <f>IFERROR(__xludf.DUMMYFUNCTION("""COMPUTED_VALUE"""),"Global Classroom")</f>
        <v>Global Classroom</v>
      </c>
      <c r="V969" s="43" t="str">
        <f>IFERROR(__xludf.DUMMYFUNCTION("""COMPUTED_VALUE"""),"ISTANBUL ASIA")</f>
        <v>ISTANBUL ASIA</v>
      </c>
      <c r="W969" s="43" t="str">
        <f>IFERROR(__xludf.DUMMYFUNCTION("""COMPUTED_VALUE"""),"2023-07-14T17:50:30Z")</f>
        <v>2023-07-14T17:50:30Z</v>
      </c>
      <c r="X969" s="43"/>
      <c r="Y969" s="43"/>
      <c r="Z969" s="43"/>
    </row>
    <row r="970" hidden="1">
      <c r="A970" s="43" t="str">
        <f>IFERROR(__xludf.DUMMYFUNCTION("""COMPUTED_VALUE"""),"5310429_1293463")</f>
        <v>5310429_1293463</v>
      </c>
      <c r="B970" s="43" t="str">
        <f>IFERROR(__xludf.DUMMYFUNCTION("""COMPUTED_VALUE"""),"İsa Taşkın")</f>
        <v>İsa Taşkın</v>
      </c>
      <c r="C970" s="43" t="str">
        <f>IFERROR(__xludf.DUMMYFUNCTION("""COMPUTED_VALUE"""),"approved")</f>
        <v>approved</v>
      </c>
      <c r="D970" s="43" t="str">
        <f>IFERROR(__xludf.DUMMYFUNCTION("""COMPUTED_VALUE"""),"No")</f>
        <v>No</v>
      </c>
      <c r="E970" s="43" t="str">
        <f>IFERROR(__xludf.DUMMYFUNCTION("""COMPUTED_VALUE"""),"p_5b54ea391a6df8bbc6beb46f764fc94f14ab8704@inbound.aiesec.org")</f>
        <v>p_5b54ea391a6df8bbc6beb46f764fc94f14ab8704@inbound.aiesec.org</v>
      </c>
      <c r="F970" s="43">
        <f>IFERROR(__xludf.DUMMYFUNCTION("""COMPUTED_VALUE"""),5.052667525E9)</f>
        <v>5052667525</v>
      </c>
      <c r="G970" s="43" t="str">
        <f>IFERROR(__xludf.DUMMYFUNCTION("""COMPUTED_VALUE"""),"Turkey")</f>
        <v>Turkey</v>
      </c>
      <c r="H970" s="43" t="str">
        <f>IFERROR(__xludf.DUMMYFUNCTION("""COMPUTED_VALUE"""),"KONYA")</f>
        <v>KONYA</v>
      </c>
      <c r="I970" s="43" t="str">
        <f>IFERROR(__xludf.DUMMYFUNCTION("""COMPUTED_VALUE"""),"Egypt")</f>
        <v>Egypt</v>
      </c>
      <c r="J970" s="43" t="str">
        <f>IFERROR(__xludf.DUMMYFUNCTION("""COMPUTED_VALUE"""),"Tanta")</f>
        <v>Tanta</v>
      </c>
      <c r="K970" s="44" t="str">
        <f>IFERROR(__xludf.DUMMYFUNCTION("""COMPUTED_VALUE"""),"https://expa.aiesec.org/opportunities/1293463")</f>
        <v>https://expa.aiesec.org/opportunities/1293463</v>
      </c>
      <c r="L970" s="43" t="str">
        <f>IFERROR(__xludf.DUMMYFUNCTION("""COMPUTED_VALUE"""),"GV")</f>
        <v>GV</v>
      </c>
      <c r="M970" s="43" t="str">
        <f>IFERROR(__xludf.DUMMYFUNCTION("""COMPUTED_VALUE"""),"short")</f>
        <v>short</v>
      </c>
      <c r="N970" s="45">
        <f>IFERROR(__xludf.DUMMYFUNCTION("""COMPUTED_VALUE"""),45164.0)</f>
        <v>45164</v>
      </c>
      <c r="O970" s="45">
        <f>IFERROR(__xludf.DUMMYFUNCTION("""COMPUTED_VALUE"""),46054.0)</f>
        <v>46054</v>
      </c>
      <c r="P970" s="45">
        <f>IFERROR(__xludf.DUMMYFUNCTION("""COMPUTED_VALUE"""),46096.0)</f>
        <v>46096</v>
      </c>
      <c r="Q970" s="45"/>
      <c r="R970" s="45"/>
      <c r="S970" s="43"/>
      <c r="T970" s="43"/>
      <c r="U970" s="43" t="str">
        <f>IFERROR(__xludf.DUMMYFUNCTION("""COMPUTED_VALUE"""),"Green Leaders")</f>
        <v>Green Leaders</v>
      </c>
      <c r="V970" s="43" t="str">
        <f>IFERROR(__xludf.DUMMYFUNCTION("""COMPUTED_VALUE"""),"KONYA")</f>
        <v>KONYA</v>
      </c>
      <c r="W970" s="43" t="str">
        <f>IFERROR(__xludf.DUMMYFUNCTION("""COMPUTED_VALUE"""),"2023-08-26T18:20:32Z")</f>
        <v>2023-08-26T18:20:32Z</v>
      </c>
      <c r="X970" s="43"/>
      <c r="Y970" s="43"/>
      <c r="Z970" s="43"/>
    </row>
    <row r="971" hidden="1">
      <c r="A971" s="43" t="str">
        <f>IFERROR(__xludf.DUMMYFUNCTION("""COMPUTED_VALUE"""),"5310842_1285868")</f>
        <v>5310842_1285868</v>
      </c>
      <c r="B971" s="43" t="str">
        <f>IFERROR(__xludf.DUMMYFUNCTION("""COMPUTED_VALUE"""),"Hazal Şen")</f>
        <v>Hazal Şen</v>
      </c>
      <c r="C971" s="43" t="str">
        <f>IFERROR(__xludf.DUMMYFUNCTION("""COMPUTED_VALUE"""),"approved")</f>
        <v>approved</v>
      </c>
      <c r="D971" s="43" t="str">
        <f>IFERROR(__xludf.DUMMYFUNCTION("""COMPUTED_VALUE"""),"No")</f>
        <v>No</v>
      </c>
      <c r="E971" s="43" t="str">
        <f>IFERROR(__xludf.DUMMYFUNCTION("""COMPUTED_VALUE"""),"p_f2c1bfed9913584dbef6d12d139a21e473b54b2a@inbound.aiesec.org")</f>
        <v>p_f2c1bfed9913584dbef6d12d139a21e473b54b2a@inbound.aiesec.org</v>
      </c>
      <c r="F971" s="43">
        <f>IFERROR(__xludf.DUMMYFUNCTION("""COMPUTED_VALUE"""),5.052667525E9)</f>
        <v>5052667525</v>
      </c>
      <c r="G971" s="43" t="str">
        <f>IFERROR(__xludf.DUMMYFUNCTION("""COMPUTED_VALUE"""),"Turkey")</f>
        <v>Turkey</v>
      </c>
      <c r="H971" s="43" t="str">
        <f>IFERROR(__xludf.DUMMYFUNCTION("""COMPUTED_VALUE"""),"KONYA")</f>
        <v>KONYA</v>
      </c>
      <c r="I971" s="43" t="str">
        <f>IFERROR(__xludf.DUMMYFUNCTION("""COMPUTED_VALUE"""),"Egypt")</f>
        <v>Egypt</v>
      </c>
      <c r="J971" s="43" t="str">
        <f>IFERROR(__xludf.DUMMYFUNCTION("""COMPUTED_VALUE"""),"Zagazig")</f>
        <v>Zagazig</v>
      </c>
      <c r="K971" s="44" t="str">
        <f>IFERROR(__xludf.DUMMYFUNCTION("""COMPUTED_VALUE"""),"https://expa.aiesec.org/opportunities/1285868")</f>
        <v>https://expa.aiesec.org/opportunities/1285868</v>
      </c>
      <c r="L971" s="43" t="str">
        <f>IFERROR(__xludf.DUMMYFUNCTION("""COMPUTED_VALUE"""),"GV")</f>
        <v>GV</v>
      </c>
      <c r="M971" s="43" t="str">
        <f>IFERROR(__xludf.DUMMYFUNCTION("""COMPUTED_VALUE"""),"short")</f>
        <v>short</v>
      </c>
      <c r="N971" s="45">
        <f>IFERROR(__xludf.DUMMYFUNCTION("""COMPUTED_VALUE"""),45165.0)</f>
        <v>45165</v>
      </c>
      <c r="O971" s="45">
        <f>IFERROR(__xludf.DUMMYFUNCTION("""COMPUTED_VALUE"""),45474.0)</f>
        <v>45474</v>
      </c>
      <c r="P971" s="45">
        <f>IFERROR(__xludf.DUMMYFUNCTION("""COMPUTED_VALUE"""),45516.0)</f>
        <v>45516</v>
      </c>
      <c r="Q971" s="45"/>
      <c r="R971" s="45"/>
      <c r="S971" s="43"/>
      <c r="T971" s="43"/>
      <c r="U971" s="43" t="str">
        <f>IFERROR(__xludf.DUMMYFUNCTION("""COMPUTED_VALUE"""),"Global Classroom")</f>
        <v>Global Classroom</v>
      </c>
      <c r="V971" s="43" t="str">
        <f>IFERROR(__xludf.DUMMYFUNCTION("""COMPUTED_VALUE"""),"KONYA")</f>
        <v>KONYA</v>
      </c>
      <c r="W971" s="43" t="str">
        <f>IFERROR(__xludf.DUMMYFUNCTION("""COMPUTED_VALUE"""),"2023-08-27T13:31:05Z")</f>
        <v>2023-08-27T13:31:05Z</v>
      </c>
      <c r="X971" s="43"/>
      <c r="Y971" s="43"/>
      <c r="Z971" s="43"/>
    </row>
    <row r="972" hidden="1">
      <c r="A972" s="43" t="str">
        <f>IFERROR(__xludf.DUMMYFUNCTION("""COMPUTED_VALUE"""),"5311067_1291176")</f>
        <v>5311067_1291176</v>
      </c>
      <c r="B972" s="43" t="str">
        <f>IFERROR(__xludf.DUMMYFUNCTION("""COMPUTED_VALUE"""),"Doğukan Atalayın")</f>
        <v>Doğukan Atalayın</v>
      </c>
      <c r="C972" s="43" t="str">
        <f>IFERROR(__xludf.DUMMYFUNCTION("""COMPUTED_VALUE"""),"approved")</f>
        <v>approved</v>
      </c>
      <c r="D972" s="43" t="str">
        <f>IFERROR(__xludf.DUMMYFUNCTION("""COMPUTED_VALUE"""),"No")</f>
        <v>No</v>
      </c>
      <c r="E972" s="43" t="str">
        <f>IFERROR(__xludf.DUMMYFUNCTION("""COMPUTED_VALUE"""),"p_03624bae06d5693a7e3016f0100bacab35fff98c@inbound.aiesec.org")</f>
        <v>p_03624bae06d5693a7e3016f0100bacab35fff98c@inbound.aiesec.org</v>
      </c>
      <c r="F972" s="43">
        <f>IFERROR(__xludf.DUMMYFUNCTION("""COMPUTED_VALUE"""),5.528507536E9)</f>
        <v>5528507536</v>
      </c>
      <c r="G972" s="43" t="str">
        <f>IFERROR(__xludf.DUMMYFUNCTION("""COMPUTED_VALUE"""),"Turkey")</f>
        <v>Turkey</v>
      </c>
      <c r="H972" s="43" t="str">
        <f>IFERROR(__xludf.DUMMYFUNCTION("""COMPUTED_VALUE"""),"ISTANBUL WEST")</f>
        <v>ISTANBUL WEST</v>
      </c>
      <c r="I972" s="43" t="str">
        <f>IFERROR(__xludf.DUMMYFUNCTION("""COMPUTED_VALUE"""),"Egypt")</f>
        <v>Egypt</v>
      </c>
      <c r="J972" s="43" t="str">
        <f>IFERROR(__xludf.DUMMYFUNCTION("""COMPUTED_VALUE"""),"GUC")</f>
        <v>GUC</v>
      </c>
      <c r="K972" s="44" t="str">
        <f>IFERROR(__xludf.DUMMYFUNCTION("""COMPUTED_VALUE"""),"https://expa.aiesec.org/opportunities/1291176")</f>
        <v>https://expa.aiesec.org/opportunities/1291176</v>
      </c>
      <c r="L972" s="43" t="str">
        <f>IFERROR(__xludf.DUMMYFUNCTION("""COMPUTED_VALUE"""),"GV")</f>
        <v>GV</v>
      </c>
      <c r="M972" s="43" t="str">
        <f>IFERROR(__xludf.DUMMYFUNCTION("""COMPUTED_VALUE"""),"short")</f>
        <v>short</v>
      </c>
      <c r="N972" s="45">
        <f>IFERROR(__xludf.DUMMYFUNCTION("""COMPUTED_VALUE"""),45170.0)</f>
        <v>45170</v>
      </c>
      <c r="O972" s="45">
        <f>IFERROR(__xludf.DUMMYFUNCTION("""COMPUTED_VALUE"""),45305.0)</f>
        <v>45305</v>
      </c>
      <c r="P972" s="45">
        <f>IFERROR(__xludf.DUMMYFUNCTION("""COMPUTED_VALUE"""),45347.0)</f>
        <v>45347</v>
      </c>
      <c r="Q972" s="45"/>
      <c r="R972" s="45"/>
      <c r="S972" s="43"/>
      <c r="T972" s="43"/>
      <c r="U972" s="43" t="str">
        <f>IFERROR(__xludf.DUMMYFUNCTION("""COMPUTED_VALUE"""),"Global Classroom")</f>
        <v>Global Classroom</v>
      </c>
      <c r="V972" s="43" t="str">
        <f>IFERROR(__xludf.DUMMYFUNCTION("""COMPUTED_VALUE"""),"ISTANBUL - BAKIRKOY")</f>
        <v>ISTANBUL - BAKIRKOY</v>
      </c>
      <c r="W972" s="43" t="str">
        <f>IFERROR(__xludf.DUMMYFUNCTION("""COMPUTED_VALUE"""),"2023-08-27T19:37:01Z")</f>
        <v>2023-08-27T19:37:01Z</v>
      </c>
      <c r="X972" s="43"/>
      <c r="Y972" s="43"/>
      <c r="Z972" s="43"/>
    </row>
    <row r="973" hidden="1">
      <c r="A973" s="43" t="str">
        <f>IFERROR(__xludf.DUMMYFUNCTION("""COMPUTED_VALUE"""),"5316206_1298866")</f>
        <v>5316206_1298866</v>
      </c>
      <c r="B973" s="43" t="str">
        <f>IFERROR(__xludf.DUMMYFUNCTION("""COMPUTED_VALUE"""),"Gülsüm Sarı")</f>
        <v>Gülsüm Sarı</v>
      </c>
      <c r="C973" s="43" t="str">
        <f>IFERROR(__xludf.DUMMYFUNCTION("""COMPUTED_VALUE"""),"approved")</f>
        <v>approved</v>
      </c>
      <c r="D973" s="43" t="str">
        <f>IFERROR(__xludf.DUMMYFUNCTION("""COMPUTED_VALUE"""),"No")</f>
        <v>No</v>
      </c>
      <c r="E973" s="43" t="str">
        <f>IFERROR(__xludf.DUMMYFUNCTION("""COMPUTED_VALUE"""),"p_89dc6b0dd6b08e1e0d1b051d079f956ab69bdc5a@inbound.aiesec.org")</f>
        <v>p_89dc6b0dd6b08e1e0d1b051d079f956ab69bdc5a@inbound.aiesec.org</v>
      </c>
      <c r="F973" s="43">
        <f>IFERROR(__xludf.DUMMYFUNCTION("""COMPUTED_VALUE"""),5.362055732E9)</f>
        <v>5362055732</v>
      </c>
      <c r="G973" s="43" t="str">
        <f>IFERROR(__xludf.DUMMYFUNCTION("""COMPUTED_VALUE"""),"Turkey")</f>
        <v>Turkey</v>
      </c>
      <c r="H973" s="43" t="str">
        <f>IFERROR(__xludf.DUMMYFUNCTION("""COMPUTED_VALUE"""),"İZMİR")</f>
        <v>İZMİR</v>
      </c>
      <c r="I973" s="43" t="str">
        <f>IFERROR(__xludf.DUMMYFUNCTION("""COMPUTED_VALUE"""),"Egypt")</f>
        <v>Egypt</v>
      </c>
      <c r="J973" s="43" t="str">
        <f>IFERROR(__xludf.DUMMYFUNCTION("""COMPUTED_VALUE"""),"Ain Shams University")</f>
        <v>Ain Shams University</v>
      </c>
      <c r="K973" s="44" t="str">
        <f>IFERROR(__xludf.DUMMYFUNCTION("""COMPUTED_VALUE"""),"https://expa.aiesec.org/opportunities/1298866")</f>
        <v>https://expa.aiesec.org/opportunities/1298866</v>
      </c>
      <c r="L973" s="43" t="str">
        <f>IFERROR(__xludf.DUMMYFUNCTION("""COMPUTED_VALUE"""),"GV")</f>
        <v>GV</v>
      </c>
      <c r="M973" s="43" t="str">
        <f>IFERROR(__xludf.DUMMYFUNCTION("""COMPUTED_VALUE"""),"short")</f>
        <v>short</v>
      </c>
      <c r="N973" s="45">
        <f>IFERROR(__xludf.DUMMYFUNCTION("""COMPUTED_VALUE"""),45170.0)</f>
        <v>45170</v>
      </c>
      <c r="O973" s="45">
        <f>IFERROR(__xludf.DUMMYFUNCTION("""COMPUTED_VALUE"""),45327.0)</f>
        <v>45327</v>
      </c>
      <c r="P973" s="45">
        <f>IFERROR(__xludf.DUMMYFUNCTION("""COMPUTED_VALUE"""),45369.0)</f>
        <v>45369</v>
      </c>
      <c r="Q973" s="45"/>
      <c r="R973" s="45"/>
      <c r="S973" s="43"/>
      <c r="T973" s="43"/>
      <c r="U973" s="43" t="str">
        <f>IFERROR(__xludf.DUMMYFUNCTION("""COMPUTED_VALUE"""),"Global Classroom")</f>
        <v>Global Classroom</v>
      </c>
      <c r="V973" s="43" t="str">
        <f>IFERROR(__xludf.DUMMYFUNCTION("""COMPUTED_VALUE"""),"IZMIR")</f>
        <v>IZMIR</v>
      </c>
      <c r="W973" s="43" t="str">
        <f>IFERROR(__xludf.DUMMYFUNCTION("""COMPUTED_VALUE"""),"2023-09-01T14:04:14Z")</f>
        <v>2023-09-01T14:04:14Z</v>
      </c>
      <c r="X973" s="43"/>
      <c r="Y973" s="43"/>
      <c r="Z973" s="43"/>
    </row>
    <row r="974" hidden="1">
      <c r="A974" s="43" t="str">
        <f>IFERROR(__xludf.DUMMYFUNCTION("""COMPUTED_VALUE"""),"5316208_1298866")</f>
        <v>5316208_1298866</v>
      </c>
      <c r="B974" s="43" t="str">
        <f>IFERROR(__xludf.DUMMYFUNCTION("""COMPUTED_VALUE"""),"Yusuf Emir Özçelik")</f>
        <v>Yusuf Emir Özçelik</v>
      </c>
      <c r="C974" s="43" t="str">
        <f>IFERROR(__xludf.DUMMYFUNCTION("""COMPUTED_VALUE"""),"approved")</f>
        <v>approved</v>
      </c>
      <c r="D974" s="43" t="str">
        <f>IFERROR(__xludf.DUMMYFUNCTION("""COMPUTED_VALUE"""),"No")</f>
        <v>No</v>
      </c>
      <c r="E974" s="43" t="str">
        <f>IFERROR(__xludf.DUMMYFUNCTION("""COMPUTED_VALUE"""),"p_fdf25ec563fb4dcadd3aed46838857c102239177@inbound.aiesec.org")</f>
        <v>p_fdf25ec563fb4dcadd3aed46838857c102239177@inbound.aiesec.org</v>
      </c>
      <c r="F974" s="43">
        <f>IFERROR(__xludf.DUMMYFUNCTION("""COMPUTED_VALUE"""),5.324079636E9)</f>
        <v>5324079636</v>
      </c>
      <c r="G974" s="43" t="str">
        <f>IFERROR(__xludf.DUMMYFUNCTION("""COMPUTED_VALUE"""),"Turkey")</f>
        <v>Turkey</v>
      </c>
      <c r="H974" s="43" t="str">
        <f>IFERROR(__xludf.DUMMYFUNCTION("""COMPUTED_VALUE"""),"İZMİR")</f>
        <v>İZMİR</v>
      </c>
      <c r="I974" s="43" t="str">
        <f>IFERROR(__xludf.DUMMYFUNCTION("""COMPUTED_VALUE"""),"Egypt")</f>
        <v>Egypt</v>
      </c>
      <c r="J974" s="43" t="str">
        <f>IFERROR(__xludf.DUMMYFUNCTION("""COMPUTED_VALUE"""),"Ain Shams University")</f>
        <v>Ain Shams University</v>
      </c>
      <c r="K974" s="44" t="str">
        <f>IFERROR(__xludf.DUMMYFUNCTION("""COMPUTED_VALUE"""),"https://expa.aiesec.org/opportunities/1298866")</f>
        <v>https://expa.aiesec.org/opportunities/1298866</v>
      </c>
      <c r="L974" s="43" t="str">
        <f>IFERROR(__xludf.DUMMYFUNCTION("""COMPUTED_VALUE"""),"GV")</f>
        <v>GV</v>
      </c>
      <c r="M974" s="43" t="str">
        <f>IFERROR(__xludf.DUMMYFUNCTION("""COMPUTED_VALUE"""),"short")</f>
        <v>short</v>
      </c>
      <c r="N974" s="45">
        <f>IFERROR(__xludf.DUMMYFUNCTION("""COMPUTED_VALUE"""),45170.0)</f>
        <v>45170</v>
      </c>
      <c r="O974" s="45">
        <f>IFERROR(__xludf.DUMMYFUNCTION("""COMPUTED_VALUE"""),45327.0)</f>
        <v>45327</v>
      </c>
      <c r="P974" s="45">
        <f>IFERROR(__xludf.DUMMYFUNCTION("""COMPUTED_VALUE"""),45369.0)</f>
        <v>45369</v>
      </c>
      <c r="Q974" s="45"/>
      <c r="R974" s="45"/>
      <c r="S974" s="43"/>
      <c r="T974" s="43"/>
      <c r="U974" s="43" t="str">
        <f>IFERROR(__xludf.DUMMYFUNCTION("""COMPUTED_VALUE"""),"Global Classroom")</f>
        <v>Global Classroom</v>
      </c>
      <c r="V974" s="43" t="str">
        <f>IFERROR(__xludf.DUMMYFUNCTION("""COMPUTED_VALUE"""),"IZMIR")</f>
        <v>IZMIR</v>
      </c>
      <c r="W974" s="43" t="str">
        <f>IFERROR(__xludf.DUMMYFUNCTION("""COMPUTED_VALUE"""),"2023-09-01T14:05:44Z")</f>
        <v>2023-09-01T14:05:44Z</v>
      </c>
      <c r="X974" s="43"/>
      <c r="Y974" s="43"/>
      <c r="Z974" s="43"/>
    </row>
    <row r="975" hidden="1">
      <c r="A975" s="43" t="str">
        <f>IFERROR(__xludf.DUMMYFUNCTION("""COMPUTED_VALUE"""),"5307702_1289850")</f>
        <v>5307702_1289850</v>
      </c>
      <c r="B975" s="43" t="str">
        <f>IFERROR(__xludf.DUMMYFUNCTION("""COMPUTED_VALUE"""),"ülkü hilal ÖZDOĞAN")</f>
        <v>ülkü hilal ÖZDOĞAN</v>
      </c>
      <c r="C975" s="43" t="str">
        <f>IFERROR(__xludf.DUMMYFUNCTION("""COMPUTED_VALUE"""),"approved")</f>
        <v>approved</v>
      </c>
      <c r="D975" s="43" t="str">
        <f>IFERROR(__xludf.DUMMYFUNCTION("""COMPUTED_VALUE"""),"No")</f>
        <v>No</v>
      </c>
      <c r="E975" s="43" t="str">
        <f>IFERROR(__xludf.DUMMYFUNCTION("""COMPUTED_VALUE"""),"p_db29463728ddf5df079c2d39f28b8646a105af53@inbound.aiesec.org")</f>
        <v>p_db29463728ddf5df079c2d39f28b8646a105af53@inbound.aiesec.org</v>
      </c>
      <c r="F975" s="43">
        <f>IFERROR(__xludf.DUMMYFUNCTION("""COMPUTED_VALUE"""),5.4364175E9)</f>
        <v>5436417500</v>
      </c>
      <c r="G975" s="43" t="str">
        <f>IFERROR(__xludf.DUMMYFUNCTION("""COMPUTED_VALUE"""),"Turkey")</f>
        <v>Turkey</v>
      </c>
      <c r="H975" s="43" t="str">
        <f>IFERROR(__xludf.DUMMYFUNCTION("""COMPUTED_VALUE"""),"İZMİR")</f>
        <v>İZMİR</v>
      </c>
      <c r="I975" s="43" t="str">
        <f>IFERROR(__xludf.DUMMYFUNCTION("""COMPUTED_VALUE"""),"India")</f>
        <v>India</v>
      </c>
      <c r="J975" s="43" t="str">
        <f>IFERROR(__xludf.DUMMYFUNCTION("""COMPUTED_VALUE"""),"Mumbai")</f>
        <v>Mumbai</v>
      </c>
      <c r="K975" s="44" t="str">
        <f>IFERROR(__xludf.DUMMYFUNCTION("""COMPUTED_VALUE"""),"https://expa.aiesec.org/opportunities/1289850")</f>
        <v>https://expa.aiesec.org/opportunities/1289850</v>
      </c>
      <c r="L975" s="43" t="str">
        <f>IFERROR(__xludf.DUMMYFUNCTION("""COMPUTED_VALUE"""),"GV")</f>
        <v>GV</v>
      </c>
      <c r="M975" s="43" t="str">
        <f>IFERROR(__xludf.DUMMYFUNCTION("""COMPUTED_VALUE"""),"short")</f>
        <v>short</v>
      </c>
      <c r="N975" s="45">
        <f>IFERROR(__xludf.DUMMYFUNCTION("""COMPUTED_VALUE"""),45172.0)</f>
        <v>45172</v>
      </c>
      <c r="O975" s="45">
        <f>IFERROR(__xludf.DUMMYFUNCTION("""COMPUTED_VALUE"""),45293.0)</f>
        <v>45293</v>
      </c>
      <c r="P975" s="45">
        <f>IFERROR(__xludf.DUMMYFUNCTION("""COMPUTED_VALUE"""),45335.0)</f>
        <v>45335</v>
      </c>
      <c r="Q975" s="45"/>
      <c r="R975" s="45"/>
      <c r="S975" s="43"/>
      <c r="T975" s="43"/>
      <c r="U975" s="43" t="str">
        <f>IFERROR(__xludf.DUMMYFUNCTION("""COMPUTED_VALUE"""),"Global Classroom")</f>
        <v>Global Classroom</v>
      </c>
      <c r="V975" s="43" t="str">
        <f>IFERROR(__xludf.DUMMYFUNCTION("""COMPUTED_VALUE"""),"AYDIN")</f>
        <v>AYDIN</v>
      </c>
      <c r="W975" s="43" t="str">
        <f>IFERROR(__xludf.DUMMYFUNCTION("""COMPUTED_VALUE"""),"2023-08-23T07:42:22Z")</f>
        <v>2023-08-23T07:42:22Z</v>
      </c>
      <c r="X975" s="43"/>
      <c r="Y975" s="43"/>
      <c r="Z975" s="43"/>
    </row>
    <row r="976" hidden="1">
      <c r="A976" s="43" t="str">
        <f>IFERROR(__xludf.DUMMYFUNCTION("""COMPUTED_VALUE"""),"5286630_1294540")</f>
        <v>5286630_1294540</v>
      </c>
      <c r="B976" s="43" t="str">
        <f>IFERROR(__xludf.DUMMYFUNCTION("""COMPUTED_VALUE"""),"Zeynep Deniz ŞEN")</f>
        <v>Zeynep Deniz ŞEN</v>
      </c>
      <c r="C976" s="43" t="str">
        <f>IFERROR(__xludf.DUMMYFUNCTION("""COMPUTED_VALUE"""),"completed")</f>
        <v>completed</v>
      </c>
      <c r="D976" s="43" t="str">
        <f>IFERROR(__xludf.DUMMYFUNCTION("""COMPUTED_VALUE"""),"No")</f>
        <v>No</v>
      </c>
      <c r="E976" s="43" t="str">
        <f>IFERROR(__xludf.DUMMYFUNCTION("""COMPUTED_VALUE"""),"p_0339cedbbae0a09c740c28f588883650bfc5310b@inbound.aiesec.org")</f>
        <v>p_0339cedbbae0a09c740c28f588883650bfc5310b@inbound.aiesec.org</v>
      </c>
      <c r="F976" s="43"/>
      <c r="G976" s="43" t="str">
        <f>IFERROR(__xludf.DUMMYFUNCTION("""COMPUTED_VALUE"""),"Turkey")</f>
        <v>Turkey</v>
      </c>
      <c r="H976" s="43" t="str">
        <f>IFERROR(__xludf.DUMMYFUNCTION("""COMPUTED_VALUE"""),"ADANA")</f>
        <v>ADANA</v>
      </c>
      <c r="I976" s="43" t="str">
        <f>IFERROR(__xludf.DUMMYFUNCTION("""COMPUTED_VALUE"""),"Poland")</f>
        <v>Poland</v>
      </c>
      <c r="J976" s="43" t="str">
        <f>IFERROR(__xludf.DUMMYFUNCTION("""COMPUTED_VALUE"""),"KIELCE")</f>
        <v>KIELCE</v>
      </c>
      <c r="K976" s="44" t="str">
        <f>IFERROR(__xludf.DUMMYFUNCTION("""COMPUTED_VALUE"""),"https://expa.aiesec.org/opportunities/1294540")</f>
        <v>https://expa.aiesec.org/opportunities/1294540</v>
      </c>
      <c r="L976" s="43" t="str">
        <f>IFERROR(__xludf.DUMMYFUNCTION("""COMPUTED_VALUE"""),"GV")</f>
        <v>GV</v>
      </c>
      <c r="M976" s="43" t="str">
        <f>IFERROR(__xludf.DUMMYFUNCTION("""COMPUTED_VALUE"""),"short")</f>
        <v>short</v>
      </c>
      <c r="N976" s="45">
        <f>IFERROR(__xludf.DUMMYFUNCTION("""COMPUTED_VALUE"""),45173.0)</f>
        <v>45173</v>
      </c>
      <c r="O976" s="45">
        <f>IFERROR(__xludf.DUMMYFUNCTION("""COMPUTED_VALUE"""),45186.0)</f>
        <v>45186</v>
      </c>
      <c r="P976" s="45">
        <f>IFERROR(__xludf.DUMMYFUNCTION("""COMPUTED_VALUE"""),45228.0)</f>
        <v>45228</v>
      </c>
      <c r="Q976" s="45">
        <f>IFERROR(__xludf.DUMMYFUNCTION("""COMPUTED_VALUE"""),45217.0)</f>
        <v>45217</v>
      </c>
      <c r="R976" s="45">
        <f>IFERROR(__xludf.DUMMYFUNCTION("""COMPUTED_VALUE"""),45259.0)</f>
        <v>45259</v>
      </c>
      <c r="S976" s="43"/>
      <c r="T976" s="43"/>
      <c r="U976" s="43" t="str">
        <f>IFERROR(__xludf.DUMMYFUNCTION("""COMPUTED_VALUE"""),"Global Classroom")</f>
        <v>Global Classroom</v>
      </c>
      <c r="V976" s="43" t="str">
        <f>IFERROR(__xludf.DUMMYFUNCTION("""COMPUTED_VALUE"""),"KOCAELI")</f>
        <v>KOCAELI</v>
      </c>
      <c r="W976" s="43" t="str">
        <f>IFERROR(__xludf.DUMMYFUNCTION("""COMPUTED_VALUE"""),"2023-07-18T12:12:24Z")</f>
        <v>2023-07-18T12:12:24Z</v>
      </c>
      <c r="X976" s="43"/>
      <c r="Y976" s="43"/>
      <c r="Z976" s="43"/>
    </row>
    <row r="977" hidden="1">
      <c r="A977" s="43" t="str">
        <f>IFERROR(__xludf.DUMMYFUNCTION("""COMPUTED_VALUE"""),"5292176_1294209")</f>
        <v>5292176_1294209</v>
      </c>
      <c r="B977" s="43" t="str">
        <f>IFERROR(__xludf.DUMMYFUNCTION("""COMPUTED_VALUE"""),"Doğukan Alperen Tonga")</f>
        <v>Doğukan Alperen Tonga</v>
      </c>
      <c r="C977" s="43" t="str">
        <f>IFERROR(__xludf.DUMMYFUNCTION("""COMPUTED_VALUE"""),"completed")</f>
        <v>completed</v>
      </c>
      <c r="D977" s="43" t="str">
        <f>IFERROR(__xludf.DUMMYFUNCTION("""COMPUTED_VALUE"""),"No")</f>
        <v>No</v>
      </c>
      <c r="E977" s="43" t="str">
        <f>IFERROR(__xludf.DUMMYFUNCTION("""COMPUTED_VALUE"""),"p_d8224f87ee77bb8e1526a8d0b0b7faec1e1686df@inbound.aiesec.org")</f>
        <v>p_d8224f87ee77bb8e1526a8d0b0b7faec1e1686df@inbound.aiesec.org</v>
      </c>
      <c r="F977" s="43"/>
      <c r="G977" s="43" t="str">
        <f>IFERROR(__xludf.DUMMYFUNCTION("""COMPUTED_VALUE"""),"Turkey")</f>
        <v>Turkey</v>
      </c>
      <c r="H977" s="43" t="str">
        <f>IFERROR(__xludf.DUMMYFUNCTION("""COMPUTED_VALUE"""),"ADANA")</f>
        <v>ADANA</v>
      </c>
      <c r="I977" s="43" t="str">
        <f>IFERROR(__xludf.DUMMYFUNCTION("""COMPUTED_VALUE"""),"Moldova")</f>
        <v>Moldova</v>
      </c>
      <c r="J977" s="43" t="str">
        <f>IFERROR(__xludf.DUMMYFUNCTION("""COMPUTED_VALUE"""),"CHISINAU")</f>
        <v>CHISINAU</v>
      </c>
      <c r="K977" s="44" t="str">
        <f>IFERROR(__xludf.DUMMYFUNCTION("""COMPUTED_VALUE"""),"https://expa.aiesec.org/opportunities/1294209")</f>
        <v>https://expa.aiesec.org/opportunities/1294209</v>
      </c>
      <c r="L977" s="43" t="str">
        <f>IFERROR(__xludf.DUMMYFUNCTION("""COMPUTED_VALUE"""),"GV")</f>
        <v>GV</v>
      </c>
      <c r="M977" s="43" t="str">
        <f>IFERROR(__xludf.DUMMYFUNCTION("""COMPUTED_VALUE"""),"short")</f>
        <v>short</v>
      </c>
      <c r="N977" s="45">
        <f>IFERROR(__xludf.DUMMYFUNCTION("""COMPUTED_VALUE"""),45173.0)</f>
        <v>45173</v>
      </c>
      <c r="O977" s="45">
        <f>IFERROR(__xludf.DUMMYFUNCTION("""COMPUTED_VALUE"""),45159.0)</f>
        <v>45159</v>
      </c>
      <c r="P977" s="45">
        <f>IFERROR(__xludf.DUMMYFUNCTION("""COMPUTED_VALUE"""),45201.0)</f>
        <v>45201</v>
      </c>
      <c r="Q977" s="45">
        <f>IFERROR(__xludf.DUMMYFUNCTION("""COMPUTED_VALUE"""),45177.0)</f>
        <v>45177</v>
      </c>
      <c r="R977" s="45">
        <f>IFERROR(__xludf.DUMMYFUNCTION("""COMPUTED_VALUE"""),45219.0)</f>
        <v>45219</v>
      </c>
      <c r="S977" s="43"/>
      <c r="T977" s="43"/>
      <c r="U977" s="43" t="str">
        <f>IFERROR(__xludf.DUMMYFUNCTION("""COMPUTED_VALUE"""),"On The Map")</f>
        <v>On The Map</v>
      </c>
      <c r="V977" s="43" t="str">
        <f>IFERROR(__xludf.DUMMYFUNCTION("""COMPUTED_VALUE"""),"-")</f>
        <v>-</v>
      </c>
      <c r="W977" s="43" t="str">
        <f>IFERROR(__xludf.DUMMYFUNCTION("""COMPUTED_VALUE"""),"2023-07-31T13:54:29Z")</f>
        <v>2023-07-31T13:54:29Z</v>
      </c>
      <c r="X977" s="43"/>
      <c r="Y977" s="43"/>
      <c r="Z977" s="43"/>
    </row>
    <row r="978" hidden="1">
      <c r="A978" s="43" t="str">
        <f>IFERROR(__xludf.DUMMYFUNCTION("""COMPUTED_VALUE"""),"5232011_1295081")</f>
        <v>5232011_1295081</v>
      </c>
      <c r="B978" s="43" t="str">
        <f>IFERROR(__xludf.DUMMYFUNCTION("""COMPUTED_VALUE"""),"Busra Nesliturk")</f>
        <v>Busra Nesliturk</v>
      </c>
      <c r="C978" s="43" t="str">
        <f>IFERROR(__xludf.DUMMYFUNCTION("""COMPUTED_VALUE"""),"completed")</f>
        <v>completed</v>
      </c>
      <c r="D978" s="43" t="str">
        <f>IFERROR(__xludf.DUMMYFUNCTION("""COMPUTED_VALUE"""),"No")</f>
        <v>No</v>
      </c>
      <c r="E978" s="43" t="str">
        <f>IFERROR(__xludf.DUMMYFUNCTION("""COMPUTED_VALUE"""),"p_2bb40f6a95c5566e773181e7825c4d38ac03425a@inbound.aiesec.org")</f>
        <v>p_2bb40f6a95c5566e773181e7825c4d38ac03425a@inbound.aiesec.org</v>
      </c>
      <c r="F978" s="43"/>
      <c r="G978" s="43" t="str">
        <f>IFERROR(__xludf.DUMMYFUNCTION("""COMPUTED_VALUE"""),"Turkey")</f>
        <v>Turkey</v>
      </c>
      <c r="H978" s="43" t="str">
        <f>IFERROR(__xludf.DUMMYFUNCTION("""COMPUTED_VALUE"""),"ISTANBUL")</f>
        <v>ISTANBUL</v>
      </c>
      <c r="I978" s="43" t="str">
        <f>IFERROR(__xludf.DUMMYFUNCTION("""COMPUTED_VALUE"""),"Sri Lanka")</f>
        <v>Sri Lanka</v>
      </c>
      <c r="J978" s="43" t="str">
        <f>IFERROR(__xludf.DUMMYFUNCTION("""COMPUTED_VALUE"""),"COLOMBO CENTRAL")</f>
        <v>COLOMBO CENTRAL</v>
      </c>
      <c r="K978" s="44" t="str">
        <f>IFERROR(__xludf.DUMMYFUNCTION("""COMPUTED_VALUE"""),"https://expa.aiesec.org/opportunities/1295081")</f>
        <v>https://expa.aiesec.org/opportunities/1295081</v>
      </c>
      <c r="L978" s="43" t="str">
        <f>IFERROR(__xludf.DUMMYFUNCTION("""COMPUTED_VALUE"""),"GV")</f>
        <v>GV</v>
      </c>
      <c r="M978" s="43" t="str">
        <f>IFERROR(__xludf.DUMMYFUNCTION("""COMPUTED_VALUE"""),"short")</f>
        <v>short</v>
      </c>
      <c r="N978" s="45">
        <f>IFERROR(__xludf.DUMMYFUNCTION("""COMPUTED_VALUE"""),45175.0)</f>
        <v>45175</v>
      </c>
      <c r="O978" s="45">
        <f>IFERROR(__xludf.DUMMYFUNCTION("""COMPUTED_VALUE"""),45187.0)</f>
        <v>45187</v>
      </c>
      <c r="P978" s="45">
        <f>IFERROR(__xludf.DUMMYFUNCTION("""COMPUTED_VALUE"""),45229.0)</f>
        <v>45229</v>
      </c>
      <c r="Q978" s="45">
        <f>IFERROR(__xludf.DUMMYFUNCTION("""COMPUTED_VALUE"""),45185.0)</f>
        <v>45185</v>
      </c>
      <c r="R978" s="45">
        <f>IFERROR(__xludf.DUMMYFUNCTION("""COMPUTED_VALUE"""),45229.0)</f>
        <v>45229</v>
      </c>
      <c r="S978" s="43"/>
      <c r="T978" s="43"/>
      <c r="U978" s="43" t="str">
        <f>IFERROR(__xludf.DUMMYFUNCTION("""COMPUTED_VALUE"""),"Raise Your Voice")</f>
        <v>Raise Your Voice</v>
      </c>
      <c r="V978" s="43" t="str">
        <f>IFERROR(__xludf.DUMMYFUNCTION("""COMPUTED_VALUE"""),"-")</f>
        <v>-</v>
      </c>
      <c r="W978" s="43" t="str">
        <f>IFERROR(__xludf.DUMMYFUNCTION("""COMPUTED_VALUE"""),"2023-03-31T12:39:04Z")</f>
        <v>2023-03-31T12:39:04Z</v>
      </c>
      <c r="X978" s="43"/>
      <c r="Y978" s="43"/>
      <c r="Z978" s="43"/>
    </row>
    <row r="979" hidden="1">
      <c r="A979" s="43" t="str">
        <f>IFERROR(__xludf.DUMMYFUNCTION("""COMPUTED_VALUE"""),"5272128_1298400")</f>
        <v>5272128_1298400</v>
      </c>
      <c r="B979" s="43" t="str">
        <f>IFERROR(__xludf.DUMMYFUNCTION("""COMPUTED_VALUE"""),"Şevval Köse")</f>
        <v>Şevval Köse</v>
      </c>
      <c r="C979" s="43" t="str">
        <f>IFERROR(__xludf.DUMMYFUNCTION("""COMPUTED_VALUE"""),"approved")</f>
        <v>approved</v>
      </c>
      <c r="D979" s="43" t="str">
        <f>IFERROR(__xludf.DUMMYFUNCTION("""COMPUTED_VALUE"""),"No")</f>
        <v>No</v>
      </c>
      <c r="E979" s="43" t="str">
        <f>IFERROR(__xludf.DUMMYFUNCTION("""COMPUTED_VALUE"""),"p_ce514c1aa1cae42c4e63a1c9c55d1b9c26e5ffb7@inbound.aiesec.org")</f>
        <v>p_ce514c1aa1cae42c4e63a1c9c55d1b9c26e5ffb7@inbound.aiesec.org</v>
      </c>
      <c r="F979" s="43">
        <f>IFERROR(__xludf.DUMMYFUNCTION("""COMPUTED_VALUE"""),5.389718726E9)</f>
        <v>5389718726</v>
      </c>
      <c r="G979" s="43" t="str">
        <f>IFERROR(__xludf.DUMMYFUNCTION("""COMPUTED_VALUE"""),"Turkey")</f>
        <v>Turkey</v>
      </c>
      <c r="H979" s="43" t="str">
        <f>IFERROR(__xludf.DUMMYFUNCTION("""COMPUTED_VALUE"""),"KONYA")</f>
        <v>KONYA</v>
      </c>
      <c r="I979" s="43" t="str">
        <f>IFERROR(__xludf.DUMMYFUNCTION("""COMPUTED_VALUE"""),"Egypt")</f>
        <v>Egypt</v>
      </c>
      <c r="J979" s="43" t="str">
        <f>IFERROR(__xludf.DUMMYFUNCTION("""COMPUTED_VALUE"""),"Zagazig")</f>
        <v>Zagazig</v>
      </c>
      <c r="K979" s="44" t="str">
        <f>IFERROR(__xludf.DUMMYFUNCTION("""COMPUTED_VALUE"""),"https://expa.aiesec.org/opportunities/1298400")</f>
        <v>https://expa.aiesec.org/opportunities/1298400</v>
      </c>
      <c r="L979" s="43" t="str">
        <f>IFERROR(__xludf.DUMMYFUNCTION("""COMPUTED_VALUE"""),"GV")</f>
        <v>GV</v>
      </c>
      <c r="M979" s="43" t="str">
        <f>IFERROR(__xludf.DUMMYFUNCTION("""COMPUTED_VALUE"""),"short")</f>
        <v>short</v>
      </c>
      <c r="N979" s="45">
        <f>IFERROR(__xludf.DUMMYFUNCTION("""COMPUTED_VALUE"""),45176.0)</f>
        <v>45176</v>
      </c>
      <c r="O979" s="45">
        <f>IFERROR(__xludf.DUMMYFUNCTION("""COMPUTED_VALUE"""),45323.0)</f>
        <v>45323</v>
      </c>
      <c r="P979" s="45">
        <f>IFERROR(__xludf.DUMMYFUNCTION("""COMPUTED_VALUE"""),45365.0)</f>
        <v>45365</v>
      </c>
      <c r="Q979" s="45"/>
      <c r="R979" s="45"/>
      <c r="S979" s="43"/>
      <c r="T979" s="43"/>
      <c r="U979" s="43" t="str">
        <f>IFERROR(__xludf.DUMMYFUNCTION("""COMPUTED_VALUE"""),"On The Map")</f>
        <v>On The Map</v>
      </c>
      <c r="V979" s="43" t="str">
        <f>IFERROR(__xludf.DUMMYFUNCTION("""COMPUTED_VALUE"""),"KONYA")</f>
        <v>KONYA</v>
      </c>
      <c r="W979" s="43" t="str">
        <f>IFERROR(__xludf.DUMMYFUNCTION("""COMPUTED_VALUE"""),"2023-06-06T17:03:04Z")</f>
        <v>2023-06-06T17:03:04Z</v>
      </c>
      <c r="X979" s="43"/>
      <c r="Y979" s="43"/>
      <c r="Z979" s="43"/>
    </row>
    <row r="980" hidden="1">
      <c r="A980" s="43" t="str">
        <f>IFERROR(__xludf.DUMMYFUNCTION("""COMPUTED_VALUE"""),"5236508_1298400")</f>
        <v>5236508_1298400</v>
      </c>
      <c r="B980" s="43" t="str">
        <f>IFERROR(__xludf.DUMMYFUNCTION("""COMPUTED_VALUE"""),"Leyla Orak")</f>
        <v>Leyla Orak</v>
      </c>
      <c r="C980" s="43" t="str">
        <f>IFERROR(__xludf.DUMMYFUNCTION("""COMPUTED_VALUE"""),"approved")</f>
        <v>approved</v>
      </c>
      <c r="D980" s="43" t="str">
        <f>IFERROR(__xludf.DUMMYFUNCTION("""COMPUTED_VALUE"""),"No")</f>
        <v>No</v>
      </c>
      <c r="E980" s="43" t="str">
        <f>IFERROR(__xludf.DUMMYFUNCTION("""COMPUTED_VALUE"""),"p_5bcb3e4bb0d868f9f5bfa684acb641dfb5ac13e0@inbound.aiesec.org")</f>
        <v>p_5bcb3e4bb0d868f9f5bfa684acb641dfb5ac13e0@inbound.aiesec.org</v>
      </c>
      <c r="F980" s="43"/>
      <c r="G980" s="43" t="str">
        <f>IFERROR(__xludf.DUMMYFUNCTION("""COMPUTED_VALUE"""),"Turkey")</f>
        <v>Turkey</v>
      </c>
      <c r="H980" s="43" t="str">
        <f>IFERROR(__xludf.DUMMYFUNCTION("""COMPUTED_VALUE"""),"KONYA")</f>
        <v>KONYA</v>
      </c>
      <c r="I980" s="43" t="str">
        <f>IFERROR(__xludf.DUMMYFUNCTION("""COMPUTED_VALUE"""),"Egypt")</f>
        <v>Egypt</v>
      </c>
      <c r="J980" s="43" t="str">
        <f>IFERROR(__xludf.DUMMYFUNCTION("""COMPUTED_VALUE"""),"Zagazig")</f>
        <v>Zagazig</v>
      </c>
      <c r="K980" s="44" t="str">
        <f>IFERROR(__xludf.DUMMYFUNCTION("""COMPUTED_VALUE"""),"https://expa.aiesec.org/opportunities/1298400")</f>
        <v>https://expa.aiesec.org/opportunities/1298400</v>
      </c>
      <c r="L980" s="43" t="str">
        <f>IFERROR(__xludf.DUMMYFUNCTION("""COMPUTED_VALUE"""),"GV")</f>
        <v>GV</v>
      </c>
      <c r="M980" s="43" t="str">
        <f>IFERROR(__xludf.DUMMYFUNCTION("""COMPUTED_VALUE"""),"short")</f>
        <v>short</v>
      </c>
      <c r="N980" s="45">
        <f>IFERROR(__xludf.DUMMYFUNCTION("""COMPUTED_VALUE"""),45176.0)</f>
        <v>45176</v>
      </c>
      <c r="O980" s="45">
        <f>IFERROR(__xludf.DUMMYFUNCTION("""COMPUTED_VALUE"""),45323.0)</f>
        <v>45323</v>
      </c>
      <c r="P980" s="45">
        <f>IFERROR(__xludf.DUMMYFUNCTION("""COMPUTED_VALUE"""),45365.0)</f>
        <v>45365</v>
      </c>
      <c r="Q980" s="45"/>
      <c r="R980" s="45"/>
      <c r="S980" s="43"/>
      <c r="T980" s="43"/>
      <c r="U980" s="43" t="str">
        <f>IFERROR(__xludf.DUMMYFUNCTION("""COMPUTED_VALUE"""),"On The Map")</f>
        <v>On The Map</v>
      </c>
      <c r="V980" s="43" t="str">
        <f>IFERROR(__xludf.DUMMYFUNCTION("""COMPUTED_VALUE"""),"KONYA")</f>
        <v>KONYA</v>
      </c>
      <c r="W980" s="43" t="str">
        <f>IFERROR(__xludf.DUMMYFUNCTION("""COMPUTED_VALUE"""),"2023-04-06T17:28:27Z")</f>
        <v>2023-04-06T17:28:27Z</v>
      </c>
      <c r="X980" s="43"/>
      <c r="Y980" s="43"/>
      <c r="Z980" s="43"/>
    </row>
    <row r="981" hidden="1">
      <c r="A981" s="43" t="str">
        <f>IFERROR(__xludf.DUMMYFUNCTION("""COMPUTED_VALUE"""),"5257289_1298400")</f>
        <v>5257289_1298400</v>
      </c>
      <c r="B981" s="43" t="str">
        <f>IFERROR(__xludf.DUMMYFUNCTION("""COMPUTED_VALUE"""),"Nisa Nur Dalfidan")</f>
        <v>Nisa Nur Dalfidan</v>
      </c>
      <c r="C981" s="43" t="str">
        <f>IFERROR(__xludf.DUMMYFUNCTION("""COMPUTED_VALUE"""),"approved")</f>
        <v>approved</v>
      </c>
      <c r="D981" s="43" t="str">
        <f>IFERROR(__xludf.DUMMYFUNCTION("""COMPUTED_VALUE"""),"No")</f>
        <v>No</v>
      </c>
      <c r="E981" s="43" t="str">
        <f>IFERROR(__xludf.DUMMYFUNCTION("""COMPUTED_VALUE"""),"p_6e5d9fbbcbafdd54f860ff5c861660cf29a575e1@inbound.aiesec.org")</f>
        <v>p_6e5d9fbbcbafdd54f860ff5c861660cf29a575e1@inbound.aiesec.org</v>
      </c>
      <c r="F981" s="43">
        <f>IFERROR(__xludf.DUMMYFUNCTION("""COMPUTED_VALUE"""),5.052667525E9)</f>
        <v>5052667525</v>
      </c>
      <c r="G981" s="43" t="str">
        <f>IFERROR(__xludf.DUMMYFUNCTION("""COMPUTED_VALUE"""),"Turkey")</f>
        <v>Turkey</v>
      </c>
      <c r="H981" s="43" t="str">
        <f>IFERROR(__xludf.DUMMYFUNCTION("""COMPUTED_VALUE"""),"KONYA")</f>
        <v>KONYA</v>
      </c>
      <c r="I981" s="43" t="str">
        <f>IFERROR(__xludf.DUMMYFUNCTION("""COMPUTED_VALUE"""),"Egypt")</f>
        <v>Egypt</v>
      </c>
      <c r="J981" s="43" t="str">
        <f>IFERROR(__xludf.DUMMYFUNCTION("""COMPUTED_VALUE"""),"Zagazig")</f>
        <v>Zagazig</v>
      </c>
      <c r="K981" s="44" t="str">
        <f>IFERROR(__xludf.DUMMYFUNCTION("""COMPUTED_VALUE"""),"https://expa.aiesec.org/opportunities/1298400")</f>
        <v>https://expa.aiesec.org/opportunities/1298400</v>
      </c>
      <c r="L981" s="43" t="str">
        <f>IFERROR(__xludf.DUMMYFUNCTION("""COMPUTED_VALUE"""),"GV")</f>
        <v>GV</v>
      </c>
      <c r="M981" s="43" t="str">
        <f>IFERROR(__xludf.DUMMYFUNCTION("""COMPUTED_VALUE"""),"short")</f>
        <v>short</v>
      </c>
      <c r="N981" s="45">
        <f>IFERROR(__xludf.DUMMYFUNCTION("""COMPUTED_VALUE"""),45176.0)</f>
        <v>45176</v>
      </c>
      <c r="O981" s="45">
        <f>IFERROR(__xludf.DUMMYFUNCTION("""COMPUTED_VALUE"""),45323.0)</f>
        <v>45323</v>
      </c>
      <c r="P981" s="45">
        <f>IFERROR(__xludf.DUMMYFUNCTION("""COMPUTED_VALUE"""),45365.0)</f>
        <v>45365</v>
      </c>
      <c r="Q981" s="45"/>
      <c r="R981" s="45"/>
      <c r="S981" s="43"/>
      <c r="T981" s="43"/>
      <c r="U981" s="43" t="str">
        <f>IFERROR(__xludf.DUMMYFUNCTION("""COMPUTED_VALUE"""),"On The Map")</f>
        <v>On The Map</v>
      </c>
      <c r="V981" s="43" t="str">
        <f>IFERROR(__xludf.DUMMYFUNCTION("""COMPUTED_VALUE"""),"KONYA")</f>
        <v>KONYA</v>
      </c>
      <c r="W981" s="43" t="str">
        <f>IFERROR(__xludf.DUMMYFUNCTION("""COMPUTED_VALUE"""),"2023-05-07T20:20:47Z")</f>
        <v>2023-05-07T20:20:47Z</v>
      </c>
      <c r="X981" s="43"/>
      <c r="Y981" s="43"/>
      <c r="Z981" s="43"/>
    </row>
    <row r="982" hidden="1">
      <c r="A982" s="43" t="str">
        <f>IFERROR(__xludf.DUMMYFUNCTION("""COMPUTED_VALUE"""),"4677020_1298501")</f>
        <v>4677020_1298501</v>
      </c>
      <c r="B982" s="43" t="str">
        <f>IFERROR(__xludf.DUMMYFUNCTION("""COMPUTED_VALUE"""),"Melis Irmak Kaya")</f>
        <v>Melis Irmak Kaya</v>
      </c>
      <c r="C982" s="43" t="str">
        <f>IFERROR(__xludf.DUMMYFUNCTION("""COMPUTED_VALUE"""),"approved")</f>
        <v>approved</v>
      </c>
      <c r="D982" s="43" t="str">
        <f>IFERROR(__xludf.DUMMYFUNCTION("""COMPUTED_VALUE"""),"No")</f>
        <v>No</v>
      </c>
      <c r="E982" s="43" t="str">
        <f>IFERROR(__xludf.DUMMYFUNCTION("""COMPUTED_VALUE"""),"p_9264262f03a1991fc1f90dc787d33aade6b9f0d5@inbound.aiesec.org")</f>
        <v>p_9264262f03a1991fc1f90dc787d33aade6b9f0d5@inbound.aiesec.org</v>
      </c>
      <c r="F982" s="43"/>
      <c r="G982" s="43" t="str">
        <f>IFERROR(__xludf.DUMMYFUNCTION("""COMPUTED_VALUE"""),"Turkey")</f>
        <v>Turkey</v>
      </c>
      <c r="H982" s="43" t="str">
        <f>IFERROR(__xludf.DUMMYFUNCTION("""COMPUTED_VALUE"""),"İZMİR")</f>
        <v>İZMİR</v>
      </c>
      <c r="I982" s="43" t="str">
        <f>IFERROR(__xludf.DUMMYFUNCTION("""COMPUTED_VALUE"""),"Slovakia")</f>
        <v>Slovakia</v>
      </c>
      <c r="J982" s="43" t="str">
        <f>IFERROR(__xludf.DUMMYFUNCTION("""COMPUTED_VALUE"""),"Bratislava")</f>
        <v>Bratislava</v>
      </c>
      <c r="K982" s="44" t="str">
        <f>IFERROR(__xludf.DUMMYFUNCTION("""COMPUTED_VALUE"""),"https://expa.aiesec.org/opportunities/1298501")</f>
        <v>https://expa.aiesec.org/opportunities/1298501</v>
      </c>
      <c r="L982" s="43" t="str">
        <f>IFERROR(__xludf.DUMMYFUNCTION("""COMPUTED_VALUE"""),"GV")</f>
        <v>GV</v>
      </c>
      <c r="M982" s="43" t="str">
        <f>IFERROR(__xludf.DUMMYFUNCTION("""COMPUTED_VALUE"""),"short")</f>
        <v>short</v>
      </c>
      <c r="N982" s="45">
        <f>IFERROR(__xludf.DUMMYFUNCTION("""COMPUTED_VALUE"""),45179.0)</f>
        <v>45179</v>
      </c>
      <c r="O982" s="45">
        <f>IFERROR(__xludf.DUMMYFUNCTION("""COMPUTED_VALUE"""),45306.0)</f>
        <v>45306</v>
      </c>
      <c r="P982" s="45">
        <f>IFERROR(__xludf.DUMMYFUNCTION("""COMPUTED_VALUE"""),45348.0)</f>
        <v>45348</v>
      </c>
      <c r="Q982" s="45"/>
      <c r="R982" s="45"/>
      <c r="S982" s="43"/>
      <c r="T982" s="43"/>
      <c r="U982" s="43" t="str">
        <f>IFERROR(__xludf.DUMMYFUNCTION("""COMPUTED_VALUE"""),"Happy Bus")</f>
        <v>Happy Bus</v>
      </c>
      <c r="V982" s="43" t="str">
        <f>IFERROR(__xludf.DUMMYFUNCTION("""COMPUTED_VALUE"""),"MUGLA")</f>
        <v>MUGLA</v>
      </c>
      <c r="W982" s="43" t="str">
        <f>IFERROR(__xludf.DUMMYFUNCTION("""COMPUTED_VALUE"""),"2021-06-26T13:46:00Z")</f>
        <v>2021-06-26T13:46:00Z</v>
      </c>
      <c r="X982" s="43"/>
      <c r="Y982" s="43"/>
      <c r="Z982" s="43"/>
    </row>
    <row r="983" hidden="1">
      <c r="A983" s="43" t="str">
        <f>IFERROR(__xludf.DUMMYFUNCTION("""COMPUTED_VALUE"""),"5321027_1295628")</f>
        <v>5321027_1295628</v>
      </c>
      <c r="B983" s="43" t="str">
        <f>IFERROR(__xludf.DUMMYFUNCTION("""COMPUTED_VALUE"""),"Arda Çırpanlı")</f>
        <v>Arda Çırpanlı</v>
      </c>
      <c r="C983" s="43" t="str">
        <f>IFERROR(__xludf.DUMMYFUNCTION("""COMPUTED_VALUE"""),"completed")</f>
        <v>completed</v>
      </c>
      <c r="D983" s="43" t="str">
        <f>IFERROR(__xludf.DUMMYFUNCTION("""COMPUTED_VALUE"""),"No")</f>
        <v>No</v>
      </c>
      <c r="E983" s="43" t="str">
        <f>IFERROR(__xludf.DUMMYFUNCTION("""COMPUTED_VALUE"""),"p_3a8f397e1d8064a69d622aee61d7310bdfe12793@inbound.aiesec.org")</f>
        <v>p_3a8f397e1d8064a69d622aee61d7310bdfe12793@inbound.aiesec.org</v>
      </c>
      <c r="F983" s="43">
        <f>IFERROR(__xludf.DUMMYFUNCTION("""COMPUTED_VALUE"""),5.35323605E9)</f>
        <v>5353236050</v>
      </c>
      <c r="G983" s="43" t="str">
        <f>IFERROR(__xludf.DUMMYFUNCTION("""COMPUTED_VALUE"""),"Turkey")</f>
        <v>Turkey</v>
      </c>
      <c r="H983" s="43" t="str">
        <f>IFERROR(__xludf.DUMMYFUNCTION("""COMPUTED_VALUE"""),"ISTANBUL WEST")</f>
        <v>ISTANBUL WEST</v>
      </c>
      <c r="I983" s="43" t="str">
        <f>IFERROR(__xludf.DUMMYFUNCTION("""COMPUTED_VALUE"""),"Sri Lanka")</f>
        <v>Sri Lanka</v>
      </c>
      <c r="J983" s="43" t="str">
        <f>IFERROR(__xludf.DUMMYFUNCTION("""COMPUTED_VALUE"""),"COLOMBO CENTRAL")</f>
        <v>COLOMBO CENTRAL</v>
      </c>
      <c r="K983" s="44" t="str">
        <f>IFERROR(__xludf.DUMMYFUNCTION("""COMPUTED_VALUE"""),"https://expa.aiesec.org/opportunities/1295628")</f>
        <v>https://expa.aiesec.org/opportunities/1295628</v>
      </c>
      <c r="L983" s="43" t="str">
        <f>IFERROR(__xludf.DUMMYFUNCTION("""COMPUTED_VALUE"""),"GV")</f>
        <v>GV</v>
      </c>
      <c r="M983" s="43" t="str">
        <f>IFERROR(__xludf.DUMMYFUNCTION("""COMPUTED_VALUE"""),"short")</f>
        <v>short</v>
      </c>
      <c r="N983" s="45">
        <f>IFERROR(__xludf.DUMMYFUNCTION("""COMPUTED_VALUE"""),45180.0)</f>
        <v>45180</v>
      </c>
      <c r="O983" s="45">
        <f>IFERROR(__xludf.DUMMYFUNCTION("""COMPUTED_VALUE"""),45194.0)</f>
        <v>45194</v>
      </c>
      <c r="P983" s="45">
        <f>IFERROR(__xludf.DUMMYFUNCTION("""COMPUTED_VALUE"""),45236.0)</f>
        <v>45236</v>
      </c>
      <c r="Q983" s="45">
        <f>IFERROR(__xludf.DUMMYFUNCTION("""COMPUTED_VALUE"""),45185.0)</f>
        <v>45185</v>
      </c>
      <c r="R983" s="45">
        <f>IFERROR(__xludf.DUMMYFUNCTION("""COMPUTED_VALUE"""),45236.0)</f>
        <v>45236</v>
      </c>
      <c r="S983" s="43"/>
      <c r="T983" s="43"/>
      <c r="U983" s="43" t="str">
        <f>IFERROR(__xludf.DUMMYFUNCTION("""COMPUTED_VALUE"""),"Rooted")</f>
        <v>Rooted</v>
      </c>
      <c r="V983" s="43" t="str">
        <f>IFERROR(__xludf.DUMMYFUNCTION("""COMPUTED_VALUE"""),"ISTANBUL - BAKIRKOY")</f>
        <v>ISTANBUL - BAKIRKOY</v>
      </c>
      <c r="W983" s="43" t="str">
        <f>IFERROR(__xludf.DUMMYFUNCTION("""COMPUTED_VALUE"""),"2023-09-10T06:32:31Z")</f>
        <v>2023-09-10T06:32:31Z</v>
      </c>
      <c r="X983" s="43"/>
      <c r="Y983" s="43"/>
      <c r="Z983" s="43"/>
    </row>
    <row r="984" hidden="1">
      <c r="A984" s="43" t="str">
        <f>IFERROR(__xludf.DUMMYFUNCTION("""COMPUTED_VALUE"""),"5318683_1296994")</f>
        <v>5318683_1296994</v>
      </c>
      <c r="B984" s="43" t="str">
        <f>IFERROR(__xludf.DUMMYFUNCTION("""COMPUTED_VALUE"""),"İlayda Varlık")</f>
        <v>İlayda Varlık</v>
      </c>
      <c r="C984" s="43" t="str">
        <f>IFERROR(__xludf.DUMMYFUNCTION("""COMPUTED_VALUE"""),"completed")</f>
        <v>completed</v>
      </c>
      <c r="D984" s="43" t="str">
        <f>IFERROR(__xludf.DUMMYFUNCTION("""COMPUTED_VALUE"""),"No")</f>
        <v>No</v>
      </c>
      <c r="E984" s="43" t="str">
        <f>IFERROR(__xludf.DUMMYFUNCTION("""COMPUTED_VALUE"""),"p_5f905d1615747f5e41530c14edd379ee3742a2c5@inbound.aiesec.org")</f>
        <v>p_5f905d1615747f5e41530c14edd379ee3742a2c5@inbound.aiesec.org</v>
      </c>
      <c r="F984" s="43">
        <f>IFERROR(__xludf.DUMMYFUNCTION("""COMPUTED_VALUE"""),5.396703154E9)</f>
        <v>5396703154</v>
      </c>
      <c r="G984" s="43" t="str">
        <f>IFERROR(__xludf.DUMMYFUNCTION("""COMPUTED_VALUE"""),"Turkey")</f>
        <v>Turkey</v>
      </c>
      <c r="H984" s="43" t="str">
        <f>IFERROR(__xludf.DUMMYFUNCTION("""COMPUTED_VALUE"""),"ISTANBUL WEST")</f>
        <v>ISTANBUL WEST</v>
      </c>
      <c r="I984" s="43" t="str">
        <f>IFERROR(__xludf.DUMMYFUNCTION("""COMPUTED_VALUE"""),"Romania")</f>
        <v>Romania</v>
      </c>
      <c r="J984" s="43" t="str">
        <f>IFERROR(__xludf.DUMMYFUNCTION("""COMPUTED_VALUE"""),"Craiova")</f>
        <v>Craiova</v>
      </c>
      <c r="K984" s="44" t="str">
        <f>IFERROR(__xludf.DUMMYFUNCTION("""COMPUTED_VALUE"""),"https://expa.aiesec.org/opportunities/1296994")</f>
        <v>https://expa.aiesec.org/opportunities/1296994</v>
      </c>
      <c r="L984" s="43" t="str">
        <f>IFERROR(__xludf.DUMMYFUNCTION("""COMPUTED_VALUE"""),"GV")</f>
        <v>GV</v>
      </c>
      <c r="M984" s="43" t="str">
        <f>IFERROR(__xludf.DUMMYFUNCTION("""COMPUTED_VALUE"""),"short")</f>
        <v>short</v>
      </c>
      <c r="N984" s="45">
        <f>IFERROR(__xludf.DUMMYFUNCTION("""COMPUTED_VALUE"""),45181.0)</f>
        <v>45181</v>
      </c>
      <c r="O984" s="45">
        <f>IFERROR(__xludf.DUMMYFUNCTION("""COMPUTED_VALUE"""),45201.0)</f>
        <v>45201</v>
      </c>
      <c r="P984" s="45">
        <f>IFERROR(__xludf.DUMMYFUNCTION("""COMPUTED_VALUE"""),45243.0)</f>
        <v>45243</v>
      </c>
      <c r="Q984" s="45">
        <f>IFERROR(__xludf.DUMMYFUNCTION("""COMPUTED_VALUE"""),45207.0)</f>
        <v>45207</v>
      </c>
      <c r="R984" s="45">
        <f>IFERROR(__xludf.DUMMYFUNCTION("""COMPUTED_VALUE"""),45249.0)</f>
        <v>45249</v>
      </c>
      <c r="S984" s="43"/>
      <c r="T984" s="43"/>
      <c r="U984" s="43" t="str">
        <f>IFERROR(__xludf.DUMMYFUNCTION("""COMPUTED_VALUE"""),"Eat 4 Change")</f>
        <v>Eat 4 Change</v>
      </c>
      <c r="V984" s="43" t="str">
        <f>IFERROR(__xludf.DUMMYFUNCTION("""COMPUTED_VALUE"""),"ISTANBUL - BAKIRKOY")</f>
        <v>ISTANBUL - BAKIRKOY</v>
      </c>
      <c r="W984" s="43" t="str">
        <f>IFERROR(__xludf.DUMMYFUNCTION("""COMPUTED_VALUE"""),"2023-09-05T17:39:30Z")</f>
        <v>2023-09-05T17:39:30Z</v>
      </c>
      <c r="X984" s="43"/>
      <c r="Y984" s="43"/>
      <c r="Z984" s="43"/>
    </row>
    <row r="985" hidden="1">
      <c r="A985" s="43" t="str">
        <f>IFERROR(__xludf.DUMMYFUNCTION("""COMPUTED_VALUE"""),"5320374_1296885")</f>
        <v>5320374_1296885</v>
      </c>
      <c r="B985" s="43" t="str">
        <f>IFERROR(__xludf.DUMMYFUNCTION("""COMPUTED_VALUE"""),"Zehra Akça")</f>
        <v>Zehra Akça</v>
      </c>
      <c r="C985" s="43" t="str">
        <f>IFERROR(__xludf.DUMMYFUNCTION("""COMPUTED_VALUE"""),"approved")</f>
        <v>approved</v>
      </c>
      <c r="D985" s="43" t="str">
        <f>IFERROR(__xludf.DUMMYFUNCTION("""COMPUTED_VALUE"""),"No")</f>
        <v>No</v>
      </c>
      <c r="E985" s="43" t="str">
        <f>IFERROR(__xludf.DUMMYFUNCTION("""COMPUTED_VALUE"""),"p_77e49fdab49e75de8e63ec69b3c7695496e3f2ec@inbound.aiesec.org")</f>
        <v>p_77e49fdab49e75de8e63ec69b3c7695496e3f2ec@inbound.aiesec.org</v>
      </c>
      <c r="F985" s="43">
        <f>IFERROR(__xludf.DUMMYFUNCTION("""COMPUTED_VALUE"""),5.30960547E9)</f>
        <v>5309605470</v>
      </c>
      <c r="G985" s="43" t="str">
        <f>IFERROR(__xludf.DUMMYFUNCTION("""COMPUTED_VALUE"""),"Turkey")</f>
        <v>Turkey</v>
      </c>
      <c r="H985" s="43" t="str">
        <f>IFERROR(__xludf.DUMMYFUNCTION("""COMPUTED_VALUE"""),"KOCAELI")</f>
        <v>KOCAELI</v>
      </c>
      <c r="I985" s="43" t="str">
        <f>IFERROR(__xludf.DUMMYFUNCTION("""COMPUTED_VALUE"""),"India")</f>
        <v>India</v>
      </c>
      <c r="J985" s="43" t="str">
        <f>IFERROR(__xludf.DUMMYFUNCTION("""COMPUTED_VALUE"""),"Delhi IIT")</f>
        <v>Delhi IIT</v>
      </c>
      <c r="K985" s="44" t="str">
        <f>IFERROR(__xludf.DUMMYFUNCTION("""COMPUTED_VALUE"""),"https://expa.aiesec.org/opportunities/1296885")</f>
        <v>https://expa.aiesec.org/opportunities/1296885</v>
      </c>
      <c r="L985" s="43" t="str">
        <f>IFERROR(__xludf.DUMMYFUNCTION("""COMPUTED_VALUE"""),"GV")</f>
        <v>GV</v>
      </c>
      <c r="M985" s="43" t="str">
        <f>IFERROR(__xludf.DUMMYFUNCTION("""COMPUTED_VALUE"""),"short")</f>
        <v>short</v>
      </c>
      <c r="N985" s="45">
        <f>IFERROR(__xludf.DUMMYFUNCTION("""COMPUTED_VALUE"""),45181.0)</f>
        <v>45181</v>
      </c>
      <c r="O985" s="45">
        <f>IFERROR(__xludf.DUMMYFUNCTION("""COMPUTED_VALUE"""),45478.0)</f>
        <v>45478</v>
      </c>
      <c r="P985" s="45">
        <f>IFERROR(__xludf.DUMMYFUNCTION("""COMPUTED_VALUE"""),45520.0)</f>
        <v>45520</v>
      </c>
      <c r="Q985" s="45"/>
      <c r="R985" s="45"/>
      <c r="S985" s="43"/>
      <c r="T985" s="43"/>
      <c r="U985" s="43" t="str">
        <f>IFERROR(__xludf.DUMMYFUNCTION("""COMPUTED_VALUE"""),"On The Map")</f>
        <v>On The Map</v>
      </c>
      <c r="V985" s="43" t="str">
        <f>IFERROR(__xludf.DUMMYFUNCTION("""COMPUTED_VALUE"""),"KOCAELI")</f>
        <v>KOCAELI</v>
      </c>
      <c r="W985" s="43" t="str">
        <f>IFERROR(__xludf.DUMMYFUNCTION("""COMPUTED_VALUE"""),"2023-09-08T14:25:45Z")</f>
        <v>2023-09-08T14:25:45Z</v>
      </c>
      <c r="X985" s="43"/>
      <c r="Y985" s="43"/>
      <c r="Z985" s="43"/>
    </row>
    <row r="986" hidden="1">
      <c r="A986" s="43" t="str">
        <f>IFERROR(__xludf.DUMMYFUNCTION("""COMPUTED_VALUE"""),"5322721_1294825")</f>
        <v>5322721_1294825</v>
      </c>
      <c r="B986" s="43" t="str">
        <f>IFERROR(__xludf.DUMMYFUNCTION("""COMPUTED_VALUE"""),"Çağdaş Çıkar")</f>
        <v>Çağdaş Çıkar</v>
      </c>
      <c r="C986" s="43" t="str">
        <f>IFERROR(__xludf.DUMMYFUNCTION("""COMPUTED_VALUE"""),"approved")</f>
        <v>approved</v>
      </c>
      <c r="D986" s="43" t="str">
        <f>IFERROR(__xludf.DUMMYFUNCTION("""COMPUTED_VALUE"""),"No")</f>
        <v>No</v>
      </c>
      <c r="E986" s="43" t="str">
        <f>IFERROR(__xludf.DUMMYFUNCTION("""COMPUTED_VALUE"""),"p_e6183fa246ee7d426228de7fc98cd4385a8add3e@inbound.aiesec.org")</f>
        <v>p_e6183fa246ee7d426228de7fc98cd4385a8add3e@inbound.aiesec.org</v>
      </c>
      <c r="F986" s="43"/>
      <c r="G986" s="43" t="str">
        <f>IFERROR(__xludf.DUMMYFUNCTION("""COMPUTED_VALUE"""),"Turkey")</f>
        <v>Turkey</v>
      </c>
      <c r="H986" s="43" t="str">
        <f>IFERROR(__xludf.DUMMYFUNCTION("""COMPUTED_VALUE"""),"ISTANBUL WEST")</f>
        <v>ISTANBUL WEST</v>
      </c>
      <c r="I986" s="43" t="str">
        <f>IFERROR(__xludf.DUMMYFUNCTION("""COMPUTED_VALUE"""),"Egypt")</f>
        <v>Egypt</v>
      </c>
      <c r="J986" s="43" t="str">
        <f>IFERROR(__xludf.DUMMYFUNCTION("""COMPUTED_VALUE"""),"GUC")</f>
        <v>GUC</v>
      </c>
      <c r="K986" s="44" t="str">
        <f>IFERROR(__xludf.DUMMYFUNCTION("""COMPUTED_VALUE"""),"https://expa.aiesec.org/opportunities/1294825")</f>
        <v>https://expa.aiesec.org/opportunities/1294825</v>
      </c>
      <c r="L986" s="43" t="str">
        <f>IFERROR(__xludf.DUMMYFUNCTION("""COMPUTED_VALUE"""),"GV")</f>
        <v>GV</v>
      </c>
      <c r="M986" s="43" t="str">
        <f>IFERROR(__xludf.DUMMYFUNCTION("""COMPUTED_VALUE"""),"short")</f>
        <v>short</v>
      </c>
      <c r="N986" s="45">
        <f>IFERROR(__xludf.DUMMYFUNCTION("""COMPUTED_VALUE"""),45181.0)</f>
        <v>45181</v>
      </c>
      <c r="O986" s="45">
        <f>IFERROR(__xludf.DUMMYFUNCTION("""COMPUTED_VALUE"""),45444.0)</f>
        <v>45444</v>
      </c>
      <c r="P986" s="45">
        <f>IFERROR(__xludf.DUMMYFUNCTION("""COMPUTED_VALUE"""),45486.0)</f>
        <v>45486</v>
      </c>
      <c r="Q986" s="45"/>
      <c r="R986" s="45"/>
      <c r="S986" s="43"/>
      <c r="T986" s="43"/>
      <c r="U986" s="43" t="str">
        <f>IFERROR(__xludf.DUMMYFUNCTION("""COMPUTED_VALUE"""),"Scale Up!")</f>
        <v>Scale Up!</v>
      </c>
      <c r="V986" s="43" t="str">
        <f>IFERROR(__xludf.DUMMYFUNCTION("""COMPUTED_VALUE"""),"-")</f>
        <v>-</v>
      </c>
      <c r="W986" s="43" t="str">
        <f>IFERROR(__xludf.DUMMYFUNCTION("""COMPUTED_VALUE"""),"2023-09-12T20:29:17Z")</f>
        <v>2023-09-12T20:29:17Z</v>
      </c>
      <c r="X986" s="43"/>
      <c r="Y986" s="43"/>
      <c r="Z986" s="43"/>
    </row>
    <row r="987" hidden="1">
      <c r="A987" s="43" t="str">
        <f>IFERROR(__xludf.DUMMYFUNCTION("""COMPUTED_VALUE"""),"5309605_1298373")</f>
        <v>5309605_1298373</v>
      </c>
      <c r="B987" s="43" t="str">
        <f>IFERROR(__xludf.DUMMYFUNCTION("""COMPUTED_VALUE"""),"Eylem Aslan")</f>
        <v>Eylem Aslan</v>
      </c>
      <c r="C987" s="43" t="str">
        <f>IFERROR(__xludf.DUMMYFUNCTION("""COMPUTED_VALUE"""),"finished")</f>
        <v>finished</v>
      </c>
      <c r="D987" s="43" t="str">
        <f>IFERROR(__xludf.DUMMYFUNCTION("""COMPUTED_VALUE"""),"No")</f>
        <v>No</v>
      </c>
      <c r="E987" s="43" t="str">
        <f>IFERROR(__xludf.DUMMYFUNCTION("""COMPUTED_VALUE"""),"p_cd69d041a0f7f437158c9fb52b45a538dad3d119@inbound.aiesec.org")</f>
        <v>p_cd69d041a0f7f437158c9fb52b45a538dad3d119@inbound.aiesec.org</v>
      </c>
      <c r="F987" s="43">
        <f>IFERROR(__xludf.DUMMYFUNCTION("""COMPUTED_VALUE"""),5.467206911E9)</f>
        <v>5467206911</v>
      </c>
      <c r="G987" s="43" t="str">
        <f>IFERROR(__xludf.DUMMYFUNCTION("""COMPUTED_VALUE"""),"Turkey")</f>
        <v>Turkey</v>
      </c>
      <c r="H987" s="43" t="str">
        <f>IFERROR(__xludf.DUMMYFUNCTION("""COMPUTED_VALUE"""),"ISTANBUL")</f>
        <v>ISTANBUL</v>
      </c>
      <c r="I987" s="43" t="str">
        <f>IFERROR(__xludf.DUMMYFUNCTION("""COMPUTED_VALUE"""),"Romania")</f>
        <v>Romania</v>
      </c>
      <c r="J987" s="43" t="str">
        <f>IFERROR(__xludf.DUMMYFUNCTION("""COMPUTED_VALUE"""),"IASI")</f>
        <v>IASI</v>
      </c>
      <c r="K987" s="44" t="str">
        <f>IFERROR(__xludf.DUMMYFUNCTION("""COMPUTED_VALUE"""),"https://expa.aiesec.org/opportunities/1298373")</f>
        <v>https://expa.aiesec.org/opportunities/1298373</v>
      </c>
      <c r="L987" s="43" t="str">
        <f>IFERROR(__xludf.DUMMYFUNCTION("""COMPUTED_VALUE"""),"GV")</f>
        <v>GV</v>
      </c>
      <c r="M987" s="43" t="str">
        <f>IFERROR(__xludf.DUMMYFUNCTION("""COMPUTED_VALUE"""),"short")</f>
        <v>short</v>
      </c>
      <c r="N987" s="45">
        <f>IFERROR(__xludf.DUMMYFUNCTION("""COMPUTED_VALUE"""),45182.0)</f>
        <v>45182</v>
      </c>
      <c r="O987" s="45">
        <f>IFERROR(__xludf.DUMMYFUNCTION("""COMPUTED_VALUE"""),45243.0)</f>
        <v>45243</v>
      </c>
      <c r="P987" s="45">
        <f>IFERROR(__xludf.DUMMYFUNCTION("""COMPUTED_VALUE"""),45285.0)</f>
        <v>45285</v>
      </c>
      <c r="Q987" s="45">
        <f>IFERROR(__xludf.DUMMYFUNCTION("""COMPUTED_VALUE"""),45243.0)</f>
        <v>45243</v>
      </c>
      <c r="R987" s="45">
        <f>IFERROR(__xludf.DUMMYFUNCTION("""COMPUTED_VALUE"""),45285.0)</f>
        <v>45285</v>
      </c>
      <c r="S987" s="43"/>
      <c r="T987" s="43"/>
      <c r="U987" s="43" t="str">
        <f>IFERROR(__xludf.DUMMYFUNCTION("""COMPUTED_VALUE"""),"Eat 4 Change")</f>
        <v>Eat 4 Change</v>
      </c>
      <c r="V987" s="43" t="str">
        <f>IFERROR(__xludf.DUMMYFUNCTION("""COMPUTED_VALUE"""),"ISTANBUL - BEYOGLU")</f>
        <v>ISTANBUL - BEYOGLU</v>
      </c>
      <c r="W987" s="43" t="str">
        <f>IFERROR(__xludf.DUMMYFUNCTION("""COMPUTED_VALUE"""),"2023-08-25T20:20:02Z")</f>
        <v>2023-08-25T20:20:02Z</v>
      </c>
      <c r="X987" s="43"/>
      <c r="Y987" s="43"/>
      <c r="Z987" s="43"/>
    </row>
    <row r="988" hidden="1">
      <c r="A988" s="43" t="str">
        <f>IFERROR(__xludf.DUMMYFUNCTION("""COMPUTED_VALUE"""),"5317723_1298037")</f>
        <v>5317723_1298037</v>
      </c>
      <c r="B988" s="43" t="str">
        <f>IFERROR(__xludf.DUMMYFUNCTION("""COMPUTED_VALUE"""),"ishak dura")</f>
        <v>ishak dura</v>
      </c>
      <c r="C988" s="43" t="str">
        <f>IFERROR(__xludf.DUMMYFUNCTION("""COMPUTED_VALUE"""),"completed")</f>
        <v>completed</v>
      </c>
      <c r="D988" s="43" t="str">
        <f>IFERROR(__xludf.DUMMYFUNCTION("""COMPUTED_VALUE"""),"No")</f>
        <v>No</v>
      </c>
      <c r="E988" s="43" t="str">
        <f>IFERROR(__xludf.DUMMYFUNCTION("""COMPUTED_VALUE"""),"p_465b378c4473c20196b791f0cf791bf6dbdc1ddf@inbound.aiesec.org")</f>
        <v>p_465b378c4473c20196b791f0cf791bf6dbdc1ddf@inbound.aiesec.org</v>
      </c>
      <c r="F988" s="43"/>
      <c r="G988" s="43" t="str">
        <f>IFERROR(__xludf.DUMMYFUNCTION("""COMPUTED_VALUE"""),"Turkey")</f>
        <v>Turkey</v>
      </c>
      <c r="H988" s="43" t="str">
        <f>IFERROR(__xludf.DUMMYFUNCTION("""COMPUTED_VALUE"""),"ISTANBUL ASIA")</f>
        <v>ISTANBUL ASIA</v>
      </c>
      <c r="I988" s="43" t="str">
        <f>IFERROR(__xludf.DUMMYFUNCTION("""COMPUTED_VALUE"""),"Egypt")</f>
        <v>Egypt</v>
      </c>
      <c r="J988" s="43" t="str">
        <f>IFERROR(__xludf.DUMMYFUNCTION("""COMPUTED_VALUE"""),"Helwan")</f>
        <v>Helwan</v>
      </c>
      <c r="K988" s="44" t="str">
        <f>IFERROR(__xludf.DUMMYFUNCTION("""COMPUTED_VALUE"""),"https://expa.aiesec.org/opportunities/1298037")</f>
        <v>https://expa.aiesec.org/opportunities/1298037</v>
      </c>
      <c r="L988" s="43" t="str">
        <f>IFERROR(__xludf.DUMMYFUNCTION("""COMPUTED_VALUE"""),"GV")</f>
        <v>GV</v>
      </c>
      <c r="M988" s="43" t="str">
        <f>IFERROR(__xludf.DUMMYFUNCTION("""COMPUTED_VALUE"""),"short")</f>
        <v>short</v>
      </c>
      <c r="N988" s="45">
        <f>IFERROR(__xludf.DUMMYFUNCTION("""COMPUTED_VALUE"""),45183.0)</f>
        <v>45183</v>
      </c>
      <c r="O988" s="45">
        <f>IFERROR(__xludf.DUMMYFUNCTION("""COMPUTED_VALUE"""),45200.0)</f>
        <v>45200</v>
      </c>
      <c r="P988" s="45">
        <f>IFERROR(__xludf.DUMMYFUNCTION("""COMPUTED_VALUE"""),45242.0)</f>
        <v>45242</v>
      </c>
      <c r="Q988" s="45">
        <f>IFERROR(__xludf.DUMMYFUNCTION("""COMPUTED_VALUE"""),45202.0)</f>
        <v>45202</v>
      </c>
      <c r="R988" s="45">
        <f>IFERROR(__xludf.DUMMYFUNCTION("""COMPUTED_VALUE"""),45242.0)</f>
        <v>45242</v>
      </c>
      <c r="S988" s="43"/>
      <c r="T988" s="43"/>
      <c r="U988" s="43" t="str">
        <f>IFERROR(__xludf.DUMMYFUNCTION("""COMPUTED_VALUE"""),"Skill Up!")</f>
        <v>Skill Up!</v>
      </c>
      <c r="V988" s="43" t="str">
        <f>IFERROR(__xludf.DUMMYFUNCTION("""COMPUTED_VALUE"""),"-")</f>
        <v>-</v>
      </c>
      <c r="W988" s="43" t="str">
        <f>IFERROR(__xludf.DUMMYFUNCTION("""COMPUTED_VALUE"""),"2023-09-03T20:19:42Z")</f>
        <v>2023-09-03T20:19:42Z</v>
      </c>
      <c r="X988" s="43"/>
      <c r="Y988" s="43"/>
      <c r="Z988" s="43"/>
    </row>
    <row r="989" hidden="1">
      <c r="A989" s="43" t="str">
        <f>IFERROR(__xludf.DUMMYFUNCTION("""COMPUTED_VALUE"""),"5319516_1289850")</f>
        <v>5319516_1289850</v>
      </c>
      <c r="B989" s="43" t="str">
        <f>IFERROR(__xludf.DUMMYFUNCTION("""COMPUTED_VALUE"""),"Hasan Önal")</f>
        <v>Hasan Önal</v>
      </c>
      <c r="C989" s="43" t="str">
        <f>IFERROR(__xludf.DUMMYFUNCTION("""COMPUTED_VALUE"""),"approved")</f>
        <v>approved</v>
      </c>
      <c r="D989" s="43" t="str">
        <f>IFERROR(__xludf.DUMMYFUNCTION("""COMPUTED_VALUE"""),"No")</f>
        <v>No</v>
      </c>
      <c r="E989" s="43" t="str">
        <f>IFERROR(__xludf.DUMMYFUNCTION("""COMPUTED_VALUE"""),"p_bba85cd4b368f436e47fd9eb20e808d920d775f4@inbound.aiesec.org")</f>
        <v>p_bba85cd4b368f436e47fd9eb20e808d920d775f4@inbound.aiesec.org</v>
      </c>
      <c r="F989" s="43">
        <f>IFERROR(__xludf.DUMMYFUNCTION("""COMPUTED_VALUE"""),5.448514593E9)</f>
        <v>5448514593</v>
      </c>
      <c r="G989" s="43" t="str">
        <f>IFERROR(__xludf.DUMMYFUNCTION("""COMPUTED_VALUE"""),"Turkey")</f>
        <v>Turkey</v>
      </c>
      <c r="H989" s="43" t="str">
        <f>IFERROR(__xludf.DUMMYFUNCTION("""COMPUTED_VALUE"""),"ANKARA")</f>
        <v>ANKARA</v>
      </c>
      <c r="I989" s="43" t="str">
        <f>IFERROR(__xludf.DUMMYFUNCTION("""COMPUTED_VALUE"""),"India")</f>
        <v>India</v>
      </c>
      <c r="J989" s="43" t="str">
        <f>IFERROR(__xludf.DUMMYFUNCTION("""COMPUTED_VALUE"""),"Mumbai")</f>
        <v>Mumbai</v>
      </c>
      <c r="K989" s="44" t="str">
        <f>IFERROR(__xludf.DUMMYFUNCTION("""COMPUTED_VALUE"""),"https://expa.aiesec.org/opportunities/1289850")</f>
        <v>https://expa.aiesec.org/opportunities/1289850</v>
      </c>
      <c r="L989" s="43" t="str">
        <f>IFERROR(__xludf.DUMMYFUNCTION("""COMPUTED_VALUE"""),"GV")</f>
        <v>GV</v>
      </c>
      <c r="M989" s="43" t="str">
        <f>IFERROR(__xludf.DUMMYFUNCTION("""COMPUTED_VALUE"""),"short")</f>
        <v>short</v>
      </c>
      <c r="N989" s="45">
        <f>IFERROR(__xludf.DUMMYFUNCTION("""COMPUTED_VALUE"""),45184.0)</f>
        <v>45184</v>
      </c>
      <c r="O989" s="45">
        <f>IFERROR(__xludf.DUMMYFUNCTION("""COMPUTED_VALUE"""),45474.0)</f>
        <v>45474</v>
      </c>
      <c r="P989" s="45">
        <f>IFERROR(__xludf.DUMMYFUNCTION("""COMPUTED_VALUE"""),45516.0)</f>
        <v>45516</v>
      </c>
      <c r="Q989" s="45"/>
      <c r="R989" s="45"/>
      <c r="S989" s="43"/>
      <c r="T989" s="43"/>
      <c r="U989" s="43" t="str">
        <f>IFERROR(__xludf.DUMMYFUNCTION("""COMPUTED_VALUE"""),"Global Classroom")</f>
        <v>Global Classroom</v>
      </c>
      <c r="V989" s="43" t="str">
        <f>IFERROR(__xludf.DUMMYFUNCTION("""COMPUTED_VALUE"""),"ANKARA")</f>
        <v>ANKARA</v>
      </c>
      <c r="W989" s="43" t="str">
        <f>IFERROR(__xludf.DUMMYFUNCTION("""COMPUTED_VALUE"""),"2023-09-07T08:56:50Z")</f>
        <v>2023-09-07T08:56:50Z</v>
      </c>
      <c r="X989" s="43"/>
      <c r="Y989" s="43"/>
      <c r="Z989" s="43"/>
    </row>
    <row r="990" hidden="1">
      <c r="A990" s="43" t="str">
        <f>IFERROR(__xludf.DUMMYFUNCTION("""COMPUTED_VALUE"""),"5297304_1297864")</f>
        <v>5297304_1297864</v>
      </c>
      <c r="B990" s="43" t="str">
        <f>IFERROR(__xludf.DUMMYFUNCTION("""COMPUTED_VALUE"""),"Şura Dinç")</f>
        <v>Şura Dinç</v>
      </c>
      <c r="C990" s="43" t="str">
        <f>IFERROR(__xludf.DUMMYFUNCTION("""COMPUTED_VALUE"""),"completed")</f>
        <v>completed</v>
      </c>
      <c r="D990" s="43" t="str">
        <f>IFERROR(__xludf.DUMMYFUNCTION("""COMPUTED_VALUE"""),"No")</f>
        <v>No</v>
      </c>
      <c r="E990" s="43" t="str">
        <f>IFERROR(__xludf.DUMMYFUNCTION("""COMPUTED_VALUE"""),"p_7560190602ff1fb90d4723af3ca6a73f79a7fbe1@inbound.aiesec.org")</f>
        <v>p_7560190602ff1fb90d4723af3ca6a73f79a7fbe1@inbound.aiesec.org</v>
      </c>
      <c r="F990" s="43">
        <f>IFERROR(__xludf.DUMMYFUNCTION("""COMPUTED_VALUE"""),5.436167414E9)</f>
        <v>5436167414</v>
      </c>
      <c r="G990" s="43" t="str">
        <f>IFERROR(__xludf.DUMMYFUNCTION("""COMPUTED_VALUE"""),"Turkey")</f>
        <v>Turkey</v>
      </c>
      <c r="H990" s="43" t="str">
        <f>IFERROR(__xludf.DUMMYFUNCTION("""COMPUTED_VALUE"""),"BURSA")</f>
        <v>BURSA</v>
      </c>
      <c r="I990" s="43" t="str">
        <f>IFERROR(__xludf.DUMMYFUNCTION("""COMPUTED_VALUE"""),"Azerbaijan")</f>
        <v>Azerbaijan</v>
      </c>
      <c r="J990" s="43" t="str">
        <f>IFERROR(__xludf.DUMMYFUNCTION("""COMPUTED_VALUE"""),"Baku Synergy")</f>
        <v>Baku Synergy</v>
      </c>
      <c r="K990" s="44" t="str">
        <f>IFERROR(__xludf.DUMMYFUNCTION("""COMPUTED_VALUE"""),"https://expa.aiesec.org/opportunities/1297864")</f>
        <v>https://expa.aiesec.org/opportunities/1297864</v>
      </c>
      <c r="L990" s="43" t="str">
        <f>IFERROR(__xludf.DUMMYFUNCTION("""COMPUTED_VALUE"""),"GV")</f>
        <v>GV</v>
      </c>
      <c r="M990" s="43" t="str">
        <f>IFERROR(__xludf.DUMMYFUNCTION("""COMPUTED_VALUE"""),"short")</f>
        <v>short</v>
      </c>
      <c r="N990" s="45">
        <f>IFERROR(__xludf.DUMMYFUNCTION("""COMPUTED_VALUE"""),45186.0)</f>
        <v>45186</v>
      </c>
      <c r="O990" s="45">
        <f>IFERROR(__xludf.DUMMYFUNCTION("""COMPUTED_VALUE"""),45201.0)</f>
        <v>45201</v>
      </c>
      <c r="P990" s="45">
        <f>IFERROR(__xludf.DUMMYFUNCTION("""COMPUTED_VALUE"""),45243.0)</f>
        <v>45243</v>
      </c>
      <c r="Q990" s="45">
        <f>IFERROR(__xludf.DUMMYFUNCTION("""COMPUTED_VALUE"""),45200.0)</f>
        <v>45200</v>
      </c>
      <c r="R990" s="45">
        <f>IFERROR(__xludf.DUMMYFUNCTION("""COMPUTED_VALUE"""),45243.0)</f>
        <v>45243</v>
      </c>
      <c r="S990" s="43"/>
      <c r="T990" s="43"/>
      <c r="U990" s="43" t="str">
        <f>IFERROR(__xludf.DUMMYFUNCTION("""COMPUTED_VALUE"""),"Global Classroom")</f>
        <v>Global Classroom</v>
      </c>
      <c r="V990" s="43" t="str">
        <f>IFERROR(__xludf.DUMMYFUNCTION("""COMPUTED_VALUE"""),"YALOVA")</f>
        <v>YALOVA</v>
      </c>
      <c r="W990" s="43" t="str">
        <f>IFERROR(__xludf.DUMMYFUNCTION("""COMPUTED_VALUE"""),"2023-08-04T21:26:25Z")</f>
        <v>2023-08-04T21:26:25Z</v>
      </c>
      <c r="X990" s="43"/>
      <c r="Y990" s="43"/>
      <c r="Z990" s="43"/>
    </row>
    <row r="991" hidden="1">
      <c r="A991" s="43" t="str">
        <f>IFERROR(__xludf.DUMMYFUNCTION("""COMPUTED_VALUE"""),"5323810_1298571")</f>
        <v>5323810_1298571</v>
      </c>
      <c r="B991" s="43" t="str">
        <f>IFERROR(__xludf.DUMMYFUNCTION("""COMPUTED_VALUE"""),"Şevval Güngör")</f>
        <v>Şevval Güngör</v>
      </c>
      <c r="C991" s="43" t="str">
        <f>IFERROR(__xludf.DUMMYFUNCTION("""COMPUTED_VALUE"""),"approved")</f>
        <v>approved</v>
      </c>
      <c r="D991" s="43" t="str">
        <f>IFERROR(__xludf.DUMMYFUNCTION("""COMPUTED_VALUE"""),"No")</f>
        <v>No</v>
      </c>
      <c r="E991" s="43" t="str">
        <f>IFERROR(__xludf.DUMMYFUNCTION("""COMPUTED_VALUE"""),"p_19e624b726372ceef4b309f277b0a3648144849a@inbound.aiesec.org")</f>
        <v>p_19e624b726372ceef4b309f277b0a3648144849a@inbound.aiesec.org</v>
      </c>
      <c r="F991" s="43">
        <f>IFERROR(__xludf.DUMMYFUNCTION("""COMPUTED_VALUE"""),5.541401319E9)</f>
        <v>5541401319</v>
      </c>
      <c r="G991" s="43" t="str">
        <f>IFERROR(__xludf.DUMMYFUNCTION("""COMPUTED_VALUE"""),"Turkey")</f>
        <v>Turkey</v>
      </c>
      <c r="H991" s="43" t="str">
        <f>IFERROR(__xludf.DUMMYFUNCTION("""COMPUTED_VALUE"""),"BURSA")</f>
        <v>BURSA</v>
      </c>
      <c r="I991" s="43" t="str">
        <f>IFERROR(__xludf.DUMMYFUNCTION("""COMPUTED_VALUE"""),"Egypt")</f>
        <v>Egypt</v>
      </c>
      <c r="J991" s="43" t="str">
        <f>IFERROR(__xludf.DUMMYFUNCTION("""COMPUTED_VALUE"""),"6th October University")</f>
        <v>6th October University</v>
      </c>
      <c r="K991" s="44" t="str">
        <f>IFERROR(__xludf.DUMMYFUNCTION("""COMPUTED_VALUE"""),"https://expa.aiesec.org/opportunities/1298571")</f>
        <v>https://expa.aiesec.org/opportunities/1298571</v>
      </c>
      <c r="L991" s="43" t="str">
        <f>IFERROR(__xludf.DUMMYFUNCTION("""COMPUTED_VALUE"""),"GV")</f>
        <v>GV</v>
      </c>
      <c r="M991" s="43" t="str">
        <f>IFERROR(__xludf.DUMMYFUNCTION("""COMPUTED_VALUE"""),"short")</f>
        <v>short</v>
      </c>
      <c r="N991" s="45">
        <f>IFERROR(__xludf.DUMMYFUNCTION("""COMPUTED_VALUE"""),45186.0)</f>
        <v>45186</v>
      </c>
      <c r="O991" s="45">
        <f>IFERROR(__xludf.DUMMYFUNCTION("""COMPUTED_VALUE"""),45327.0)</f>
        <v>45327</v>
      </c>
      <c r="P991" s="45">
        <f>IFERROR(__xludf.DUMMYFUNCTION("""COMPUTED_VALUE"""),45369.0)</f>
        <v>45369</v>
      </c>
      <c r="Q991" s="45"/>
      <c r="R991" s="45"/>
      <c r="S991" s="43"/>
      <c r="T991" s="43"/>
      <c r="U991" s="43" t="str">
        <f>IFERROR(__xludf.DUMMYFUNCTION("""COMPUTED_VALUE"""),"Global Classroom")</f>
        <v>Global Classroom</v>
      </c>
      <c r="V991" s="43" t="str">
        <f>IFERROR(__xludf.DUMMYFUNCTION("""COMPUTED_VALUE"""),"BURSA")</f>
        <v>BURSA</v>
      </c>
      <c r="W991" s="43" t="str">
        <f>IFERROR(__xludf.DUMMYFUNCTION("""COMPUTED_VALUE"""),"2023-09-14T12:14:42Z")</f>
        <v>2023-09-14T12:14:42Z</v>
      </c>
      <c r="X991" s="43"/>
      <c r="Y991" s="43"/>
      <c r="Z991" s="43"/>
    </row>
    <row r="992" hidden="1">
      <c r="A992" s="43" t="str">
        <f>IFERROR(__xludf.DUMMYFUNCTION("""COMPUTED_VALUE"""),"5324511_1299359")</f>
        <v>5324511_1299359</v>
      </c>
      <c r="B992" s="43" t="str">
        <f>IFERROR(__xludf.DUMMYFUNCTION("""COMPUTED_VALUE"""),"Murat Rüzgar Poyraz")</f>
        <v>Murat Rüzgar Poyraz</v>
      </c>
      <c r="C992" s="43" t="str">
        <f>IFERROR(__xludf.DUMMYFUNCTION("""COMPUTED_VALUE"""),"approved")</f>
        <v>approved</v>
      </c>
      <c r="D992" s="43" t="str">
        <f>IFERROR(__xludf.DUMMYFUNCTION("""COMPUTED_VALUE"""),"No")</f>
        <v>No</v>
      </c>
      <c r="E992" s="43" t="str">
        <f>IFERROR(__xludf.DUMMYFUNCTION("""COMPUTED_VALUE"""),"p_bd4c74e47fbfbe9fe2065ea14c6dcb614601a172@inbound.aiesec.org")</f>
        <v>p_bd4c74e47fbfbe9fe2065ea14c6dcb614601a172@inbound.aiesec.org</v>
      </c>
      <c r="F992" s="43">
        <f>IFERROR(__xludf.DUMMYFUNCTION("""COMPUTED_VALUE"""),5.444986171E9)</f>
        <v>5444986171</v>
      </c>
      <c r="G992" s="43" t="str">
        <f>IFERROR(__xludf.DUMMYFUNCTION("""COMPUTED_VALUE"""),"Turkey")</f>
        <v>Turkey</v>
      </c>
      <c r="H992" s="43" t="str">
        <f>IFERROR(__xludf.DUMMYFUNCTION("""COMPUTED_VALUE"""),"ISTANBUL")</f>
        <v>ISTANBUL</v>
      </c>
      <c r="I992" s="43" t="str">
        <f>IFERROR(__xludf.DUMMYFUNCTION("""COMPUTED_VALUE"""),"Egypt")</f>
        <v>Egypt</v>
      </c>
      <c r="J992" s="43" t="str">
        <f>IFERROR(__xludf.DUMMYFUNCTION("""COMPUTED_VALUE"""),"Ain Shams University")</f>
        <v>Ain Shams University</v>
      </c>
      <c r="K992" s="44" t="str">
        <f>IFERROR(__xludf.DUMMYFUNCTION("""COMPUTED_VALUE"""),"https://expa.aiesec.org/opportunities/1299359")</f>
        <v>https://expa.aiesec.org/opportunities/1299359</v>
      </c>
      <c r="L992" s="43" t="str">
        <f>IFERROR(__xludf.DUMMYFUNCTION("""COMPUTED_VALUE"""),"GV")</f>
        <v>GV</v>
      </c>
      <c r="M992" s="43" t="str">
        <f>IFERROR(__xludf.DUMMYFUNCTION("""COMPUTED_VALUE"""),"short")</f>
        <v>short</v>
      </c>
      <c r="N992" s="45">
        <f>IFERROR(__xludf.DUMMYFUNCTION("""COMPUTED_VALUE"""),45188.0)</f>
        <v>45188</v>
      </c>
      <c r="O992" s="45">
        <f>IFERROR(__xludf.DUMMYFUNCTION("""COMPUTED_VALUE"""),45323.0)</f>
        <v>45323</v>
      </c>
      <c r="P992" s="45">
        <f>IFERROR(__xludf.DUMMYFUNCTION("""COMPUTED_VALUE"""),45365.0)</f>
        <v>45365</v>
      </c>
      <c r="Q992" s="45"/>
      <c r="R992" s="45"/>
      <c r="S992" s="43"/>
      <c r="T992" s="43"/>
      <c r="U992" s="43" t="str">
        <f>IFERROR(__xludf.DUMMYFUNCTION("""COMPUTED_VALUE"""),"Global Classroom")</f>
        <v>Global Classroom</v>
      </c>
      <c r="V992" s="43" t="str">
        <f>IFERROR(__xludf.DUMMYFUNCTION("""COMPUTED_VALUE"""),"ISTANBUL - BEYOGLU")</f>
        <v>ISTANBUL - BEYOGLU</v>
      </c>
      <c r="W992" s="43" t="str">
        <f>IFERROR(__xludf.DUMMYFUNCTION("""COMPUTED_VALUE"""),"2023-09-15T10:32:48Z")</f>
        <v>2023-09-15T10:32:48Z</v>
      </c>
      <c r="X992" s="43"/>
      <c r="Y992" s="43"/>
      <c r="Z992" s="43"/>
    </row>
    <row r="993" hidden="1">
      <c r="A993" s="43" t="str">
        <f>IFERROR(__xludf.DUMMYFUNCTION("""COMPUTED_VALUE"""),"5328464_1294825")</f>
        <v>5328464_1294825</v>
      </c>
      <c r="B993" s="43" t="str">
        <f>IFERROR(__xludf.DUMMYFUNCTION("""COMPUTED_VALUE"""),"Alireza K")</f>
        <v>Alireza K</v>
      </c>
      <c r="C993" s="43" t="str">
        <f>IFERROR(__xludf.DUMMYFUNCTION("""COMPUTED_VALUE"""),"approved")</f>
        <v>approved</v>
      </c>
      <c r="D993" s="43" t="str">
        <f>IFERROR(__xludf.DUMMYFUNCTION("""COMPUTED_VALUE"""),"No")</f>
        <v>No</v>
      </c>
      <c r="E993" s="43" t="str">
        <f>IFERROR(__xludf.DUMMYFUNCTION("""COMPUTED_VALUE"""),"p_3ac4835ce7d7f136dbab06ceaf2aa37484def560@inbound.aiesec.org")</f>
        <v>p_3ac4835ce7d7f136dbab06ceaf2aa37484def560@inbound.aiesec.org</v>
      </c>
      <c r="F993" s="43">
        <f>IFERROR(__xludf.DUMMYFUNCTION("""COMPUTED_VALUE"""),5.546671214E9)</f>
        <v>5546671214</v>
      </c>
      <c r="G993" s="43" t="str">
        <f>IFERROR(__xludf.DUMMYFUNCTION("""COMPUTED_VALUE"""),"Turkey")</f>
        <v>Turkey</v>
      </c>
      <c r="H993" s="43" t="str">
        <f>IFERROR(__xludf.DUMMYFUNCTION("""COMPUTED_VALUE"""),"ISTANBUL WEST")</f>
        <v>ISTANBUL WEST</v>
      </c>
      <c r="I993" s="43" t="str">
        <f>IFERROR(__xludf.DUMMYFUNCTION("""COMPUTED_VALUE"""),"Egypt")</f>
        <v>Egypt</v>
      </c>
      <c r="J993" s="43" t="str">
        <f>IFERROR(__xludf.DUMMYFUNCTION("""COMPUTED_VALUE"""),"GUC")</f>
        <v>GUC</v>
      </c>
      <c r="K993" s="44" t="str">
        <f>IFERROR(__xludf.DUMMYFUNCTION("""COMPUTED_VALUE"""),"https://expa.aiesec.org/opportunities/1294825")</f>
        <v>https://expa.aiesec.org/opportunities/1294825</v>
      </c>
      <c r="L993" s="43" t="str">
        <f>IFERROR(__xludf.DUMMYFUNCTION("""COMPUTED_VALUE"""),"GV")</f>
        <v>GV</v>
      </c>
      <c r="M993" s="43" t="str">
        <f>IFERROR(__xludf.DUMMYFUNCTION("""COMPUTED_VALUE"""),"short")</f>
        <v>short</v>
      </c>
      <c r="N993" s="45">
        <f>IFERROR(__xludf.DUMMYFUNCTION("""COMPUTED_VALUE"""),45189.0)</f>
        <v>45189</v>
      </c>
      <c r="O993" s="45">
        <f>IFERROR(__xludf.DUMMYFUNCTION("""COMPUTED_VALUE"""),45444.0)</f>
        <v>45444</v>
      </c>
      <c r="P993" s="45">
        <f>IFERROR(__xludf.DUMMYFUNCTION("""COMPUTED_VALUE"""),45486.0)</f>
        <v>45486</v>
      </c>
      <c r="Q993" s="45"/>
      <c r="R993" s="45"/>
      <c r="S993" s="43"/>
      <c r="T993" s="43"/>
      <c r="U993" s="43" t="str">
        <f>IFERROR(__xludf.DUMMYFUNCTION("""COMPUTED_VALUE"""),"Scale Up!")</f>
        <v>Scale Up!</v>
      </c>
      <c r="V993" s="43" t="str">
        <f>IFERROR(__xludf.DUMMYFUNCTION("""COMPUTED_VALUE"""),"ISTANBUL - BAKIRKOY")</f>
        <v>ISTANBUL - BAKIRKOY</v>
      </c>
      <c r="W993" s="43" t="str">
        <f>IFERROR(__xludf.DUMMYFUNCTION("""COMPUTED_VALUE"""),"2023-09-20T19:17:36Z")</f>
        <v>2023-09-20T19:17:36Z</v>
      </c>
      <c r="X993" s="43"/>
      <c r="Y993" s="43"/>
      <c r="Z993" s="43"/>
    </row>
    <row r="994" hidden="1">
      <c r="A994" s="43" t="str">
        <f>IFERROR(__xludf.DUMMYFUNCTION("""COMPUTED_VALUE"""),"5322440_1295603")</f>
        <v>5322440_1295603</v>
      </c>
      <c r="B994" s="43" t="str">
        <f>IFERROR(__xludf.DUMMYFUNCTION("""COMPUTED_VALUE"""),"Ali ZAMAN")</f>
        <v>Ali ZAMAN</v>
      </c>
      <c r="C994" s="43" t="str">
        <f>IFERROR(__xludf.DUMMYFUNCTION("""COMPUTED_VALUE"""),"completed")</f>
        <v>completed</v>
      </c>
      <c r="D994" s="43" t="str">
        <f>IFERROR(__xludf.DUMMYFUNCTION("""COMPUTED_VALUE"""),"No")</f>
        <v>No</v>
      </c>
      <c r="E994" s="43" t="str">
        <f>IFERROR(__xludf.DUMMYFUNCTION("""COMPUTED_VALUE"""),"p_f5f280461636d624e1ebca2a13ab797d5b6fd0b8@inbound.aiesec.org")</f>
        <v>p_f5f280461636d624e1ebca2a13ab797d5b6fd0b8@inbound.aiesec.org</v>
      </c>
      <c r="F994" s="43">
        <f>IFERROR(__xludf.DUMMYFUNCTION("""COMPUTED_VALUE"""),5.465883372E9)</f>
        <v>5465883372</v>
      </c>
      <c r="G994" s="43" t="str">
        <f>IFERROR(__xludf.DUMMYFUNCTION("""COMPUTED_VALUE"""),"Turkey")</f>
        <v>Turkey</v>
      </c>
      <c r="H994" s="43" t="str">
        <f>IFERROR(__xludf.DUMMYFUNCTION("""COMPUTED_VALUE"""),"ANTALYA")</f>
        <v>ANTALYA</v>
      </c>
      <c r="I994" s="43" t="str">
        <f>IFERROR(__xludf.DUMMYFUNCTION("""COMPUTED_VALUE"""),"Romania")</f>
        <v>Romania</v>
      </c>
      <c r="J994" s="43" t="str">
        <f>IFERROR(__xludf.DUMMYFUNCTION("""COMPUTED_VALUE"""),"BUCURESTI")</f>
        <v>BUCURESTI</v>
      </c>
      <c r="K994" s="44" t="str">
        <f>IFERROR(__xludf.DUMMYFUNCTION("""COMPUTED_VALUE"""),"https://expa.aiesec.org/opportunities/1295603")</f>
        <v>https://expa.aiesec.org/opportunities/1295603</v>
      </c>
      <c r="L994" s="43" t="str">
        <f>IFERROR(__xludf.DUMMYFUNCTION("""COMPUTED_VALUE"""),"GV")</f>
        <v>GV</v>
      </c>
      <c r="M994" s="43" t="str">
        <f>IFERROR(__xludf.DUMMYFUNCTION("""COMPUTED_VALUE"""),"short")</f>
        <v>short</v>
      </c>
      <c r="N994" s="45">
        <f>IFERROR(__xludf.DUMMYFUNCTION("""COMPUTED_VALUE"""),45191.0)</f>
        <v>45191</v>
      </c>
      <c r="O994" s="45">
        <f>IFERROR(__xludf.DUMMYFUNCTION("""COMPUTED_VALUE"""),45204.0)</f>
        <v>45204</v>
      </c>
      <c r="P994" s="45">
        <f>IFERROR(__xludf.DUMMYFUNCTION("""COMPUTED_VALUE"""),45246.0)</f>
        <v>45246</v>
      </c>
      <c r="Q994" s="45">
        <f>IFERROR(__xludf.DUMMYFUNCTION("""COMPUTED_VALUE"""),45191.0)</f>
        <v>45191</v>
      </c>
      <c r="R994" s="45">
        <f>IFERROR(__xludf.DUMMYFUNCTION("""COMPUTED_VALUE"""),45246.0)</f>
        <v>45246</v>
      </c>
      <c r="S994" s="43"/>
      <c r="T994" s="43"/>
      <c r="U994" s="43" t="str">
        <f>IFERROR(__xludf.DUMMYFUNCTION("""COMPUTED_VALUE"""),"Global Classroom")</f>
        <v>Global Classroom</v>
      </c>
      <c r="V994" s="43" t="str">
        <f>IFERROR(__xludf.DUMMYFUNCTION("""COMPUTED_VALUE"""),"ANTALYA")</f>
        <v>ANTALYA</v>
      </c>
      <c r="W994" s="43" t="str">
        <f>IFERROR(__xludf.DUMMYFUNCTION("""COMPUTED_VALUE"""),"2023-09-12T14:10:19Z")</f>
        <v>2023-09-12T14:10:19Z</v>
      </c>
      <c r="X994" s="43"/>
      <c r="Y994" s="43"/>
      <c r="Z994" s="43"/>
    </row>
    <row r="995" hidden="1">
      <c r="A995" s="43" t="str">
        <f>IFERROR(__xludf.DUMMYFUNCTION("""COMPUTED_VALUE"""),"5323670_1296224")</f>
        <v>5323670_1296224</v>
      </c>
      <c r="B995" s="43" t="str">
        <f>IFERROR(__xludf.DUMMYFUNCTION("""COMPUTED_VALUE"""),"Ali Atakan AKINER")</f>
        <v>Ali Atakan AKINER</v>
      </c>
      <c r="C995" s="43" t="str">
        <f>IFERROR(__xludf.DUMMYFUNCTION("""COMPUTED_VALUE"""),"realized")</f>
        <v>realized</v>
      </c>
      <c r="D995" s="43" t="str">
        <f>IFERROR(__xludf.DUMMYFUNCTION("""COMPUTED_VALUE"""),"No")</f>
        <v>No</v>
      </c>
      <c r="E995" s="43" t="str">
        <f>IFERROR(__xludf.DUMMYFUNCTION("""COMPUTED_VALUE"""),"p_0746a3bb8380ab8cfa9e34786192903e75ff7486@inbound.aiesec.org")</f>
        <v>p_0746a3bb8380ab8cfa9e34786192903e75ff7486@inbound.aiesec.org</v>
      </c>
      <c r="F995" s="43">
        <f>IFERROR(__xludf.DUMMYFUNCTION("""COMPUTED_VALUE"""),5.071545708E9)</f>
        <v>5071545708</v>
      </c>
      <c r="G995" s="43" t="str">
        <f>IFERROR(__xludf.DUMMYFUNCTION("""COMPUTED_VALUE"""),"Turkey")</f>
        <v>Turkey</v>
      </c>
      <c r="H995" s="43" t="str">
        <f>IFERROR(__xludf.DUMMYFUNCTION("""COMPUTED_VALUE"""),"ANKARA")</f>
        <v>ANKARA</v>
      </c>
      <c r="I995" s="43" t="str">
        <f>IFERROR(__xludf.DUMMYFUNCTION("""COMPUTED_VALUE"""),"Romania")</f>
        <v>Romania</v>
      </c>
      <c r="J995" s="43" t="str">
        <f>IFERROR(__xludf.DUMMYFUNCTION("""COMPUTED_VALUE"""),"BRASOV")</f>
        <v>BRASOV</v>
      </c>
      <c r="K995" s="44" t="str">
        <f>IFERROR(__xludf.DUMMYFUNCTION("""COMPUTED_VALUE"""),"https://expa.aiesec.org/opportunities/1296224")</f>
        <v>https://expa.aiesec.org/opportunities/1296224</v>
      </c>
      <c r="L995" s="43" t="str">
        <f>IFERROR(__xludf.DUMMYFUNCTION("""COMPUTED_VALUE"""),"GV")</f>
        <v>GV</v>
      </c>
      <c r="M995" s="43" t="str">
        <f>IFERROR(__xludf.DUMMYFUNCTION("""COMPUTED_VALUE"""),"short")</f>
        <v>short</v>
      </c>
      <c r="N995" s="45">
        <f>IFERROR(__xludf.DUMMYFUNCTION("""COMPUTED_VALUE"""),45193.0)</f>
        <v>45193</v>
      </c>
      <c r="O995" s="45">
        <f>IFERROR(__xludf.DUMMYFUNCTION("""COMPUTED_VALUE"""),45299.0)</f>
        <v>45299</v>
      </c>
      <c r="P995" s="45">
        <f>IFERROR(__xludf.DUMMYFUNCTION("""COMPUTED_VALUE"""),45341.0)</f>
        <v>45341</v>
      </c>
      <c r="Q995" s="45">
        <f>IFERROR(__xludf.DUMMYFUNCTION("""COMPUTED_VALUE"""),45299.0)</f>
        <v>45299</v>
      </c>
      <c r="R995" s="45">
        <f>IFERROR(__xludf.DUMMYFUNCTION("""COMPUTED_VALUE"""),45341.0)</f>
        <v>45341</v>
      </c>
      <c r="S995" s="43"/>
      <c r="T995" s="43"/>
      <c r="U995" s="43" t="str">
        <f>IFERROR(__xludf.DUMMYFUNCTION("""COMPUTED_VALUE"""),"Skill Up!")</f>
        <v>Skill Up!</v>
      </c>
      <c r="V995" s="43" t="str">
        <f>IFERROR(__xludf.DUMMYFUNCTION("""COMPUTED_VALUE"""),"ANKARA")</f>
        <v>ANKARA</v>
      </c>
      <c r="W995" s="43" t="str">
        <f>IFERROR(__xludf.DUMMYFUNCTION("""COMPUTED_VALUE"""),"2023-09-14T07:57:58Z")</f>
        <v>2023-09-14T07:57:58Z</v>
      </c>
      <c r="X995" s="43"/>
      <c r="Y995" s="43"/>
      <c r="Z995" s="43"/>
    </row>
    <row r="996" hidden="1">
      <c r="A996" s="43" t="str">
        <f>IFERROR(__xludf.DUMMYFUNCTION("""COMPUTED_VALUE"""),"5324956_1298368")</f>
        <v>5324956_1298368</v>
      </c>
      <c r="B996" s="43" t="str">
        <f>IFERROR(__xludf.DUMMYFUNCTION("""COMPUTED_VALUE"""),"Sefa Temiz")</f>
        <v>Sefa Temiz</v>
      </c>
      <c r="C996" s="43" t="str">
        <f>IFERROR(__xludf.DUMMYFUNCTION("""COMPUTED_VALUE"""),"approved")</f>
        <v>approved</v>
      </c>
      <c r="D996" s="43" t="str">
        <f>IFERROR(__xludf.DUMMYFUNCTION("""COMPUTED_VALUE"""),"No")</f>
        <v>No</v>
      </c>
      <c r="E996" s="43" t="str">
        <f>IFERROR(__xludf.DUMMYFUNCTION("""COMPUTED_VALUE"""),"p_e03551dc991d29a526734ae5ec19ac96ee578033@inbound.aiesec.org")</f>
        <v>p_e03551dc991d29a526734ae5ec19ac96ee578033@inbound.aiesec.org</v>
      </c>
      <c r="F996" s="43">
        <f>IFERROR(__xludf.DUMMYFUNCTION("""COMPUTED_VALUE"""),5.45911268E9)</f>
        <v>5459112680</v>
      </c>
      <c r="G996" s="43" t="str">
        <f>IFERROR(__xludf.DUMMYFUNCTION("""COMPUTED_VALUE"""),"Turkey")</f>
        <v>Turkey</v>
      </c>
      <c r="H996" s="43" t="str">
        <f>IFERROR(__xludf.DUMMYFUNCTION("""COMPUTED_VALUE"""),"ISTANBUL")</f>
        <v>ISTANBUL</v>
      </c>
      <c r="I996" s="43" t="str">
        <f>IFERROR(__xludf.DUMMYFUNCTION("""COMPUTED_VALUE"""),"Sri Lanka")</f>
        <v>Sri Lanka</v>
      </c>
      <c r="J996" s="43" t="str">
        <f>IFERROR(__xludf.DUMMYFUNCTION("""COMPUTED_VALUE"""),"COLOMBO CENTRAL")</f>
        <v>COLOMBO CENTRAL</v>
      </c>
      <c r="K996" s="44" t="str">
        <f>IFERROR(__xludf.DUMMYFUNCTION("""COMPUTED_VALUE"""),"https://expa.aiesec.org/opportunities/1298368")</f>
        <v>https://expa.aiesec.org/opportunities/1298368</v>
      </c>
      <c r="L996" s="43" t="str">
        <f>IFERROR(__xludf.DUMMYFUNCTION("""COMPUTED_VALUE"""),"GV")</f>
        <v>GV</v>
      </c>
      <c r="M996" s="43" t="str">
        <f>IFERROR(__xludf.DUMMYFUNCTION("""COMPUTED_VALUE"""),"short")</f>
        <v>short</v>
      </c>
      <c r="N996" s="45">
        <f>IFERROR(__xludf.DUMMYFUNCTION("""COMPUTED_VALUE"""),45194.0)</f>
        <v>45194</v>
      </c>
      <c r="O996" s="45">
        <f>IFERROR(__xludf.DUMMYFUNCTION("""COMPUTED_VALUE"""),45465.0)</f>
        <v>45465</v>
      </c>
      <c r="P996" s="45">
        <f>IFERROR(__xludf.DUMMYFUNCTION("""COMPUTED_VALUE"""),45507.0)</f>
        <v>45507</v>
      </c>
      <c r="Q996" s="45"/>
      <c r="R996" s="45"/>
      <c r="S996" s="43"/>
      <c r="T996" s="43"/>
      <c r="U996" s="43" t="str">
        <f>IFERROR(__xludf.DUMMYFUNCTION("""COMPUTED_VALUE"""),"Heartbeat")</f>
        <v>Heartbeat</v>
      </c>
      <c r="V996" s="43" t="str">
        <f>IFERROR(__xludf.DUMMYFUNCTION("""COMPUTED_VALUE"""),"ISTANBUL - BEYOGLU")</f>
        <v>ISTANBUL - BEYOGLU</v>
      </c>
      <c r="W996" s="43" t="str">
        <f>IFERROR(__xludf.DUMMYFUNCTION("""COMPUTED_VALUE"""),"2023-09-15T19:40:21Z")</f>
        <v>2023-09-15T19:40:21Z</v>
      </c>
      <c r="X996" s="43"/>
      <c r="Y996" s="43"/>
      <c r="Z996" s="43"/>
    </row>
    <row r="997" hidden="1">
      <c r="A997" s="43" t="str">
        <f>IFERROR(__xludf.DUMMYFUNCTION("""COMPUTED_VALUE"""),"5331258_1298864")</f>
        <v>5331258_1298864</v>
      </c>
      <c r="B997" s="43" t="str">
        <f>IFERROR(__xludf.DUMMYFUNCTION("""COMPUTED_VALUE"""),"esra erdaş")</f>
        <v>esra erdaş</v>
      </c>
      <c r="C997" s="43" t="str">
        <f>IFERROR(__xludf.DUMMYFUNCTION("""COMPUTED_VALUE"""),"approved")</f>
        <v>approved</v>
      </c>
      <c r="D997" s="43" t="str">
        <f>IFERROR(__xludf.DUMMYFUNCTION("""COMPUTED_VALUE"""),"No")</f>
        <v>No</v>
      </c>
      <c r="E997" s="43" t="str">
        <f>IFERROR(__xludf.DUMMYFUNCTION("""COMPUTED_VALUE"""),"p_52581201594140c3235f7b465b4a9ba8fa7959e3@inbound.aiesec.org")</f>
        <v>p_52581201594140c3235f7b465b4a9ba8fa7959e3@inbound.aiesec.org</v>
      </c>
      <c r="F997" s="43">
        <f>IFERROR(__xludf.DUMMYFUNCTION("""COMPUTED_VALUE"""),5.39887416E9)</f>
        <v>5398874160</v>
      </c>
      <c r="G997" s="43" t="str">
        <f>IFERROR(__xludf.DUMMYFUNCTION("""COMPUTED_VALUE"""),"Turkey")</f>
        <v>Turkey</v>
      </c>
      <c r="H997" s="43" t="str">
        <f>IFERROR(__xludf.DUMMYFUNCTION("""COMPUTED_VALUE"""),"ISTANBUL")</f>
        <v>ISTANBUL</v>
      </c>
      <c r="I997" s="43" t="str">
        <f>IFERROR(__xludf.DUMMYFUNCTION("""COMPUTED_VALUE"""),"Egypt")</f>
        <v>Egypt</v>
      </c>
      <c r="J997" s="43" t="str">
        <f>IFERROR(__xludf.DUMMYFUNCTION("""COMPUTED_VALUE"""),"Zagazig")</f>
        <v>Zagazig</v>
      </c>
      <c r="K997" s="44" t="str">
        <f>IFERROR(__xludf.DUMMYFUNCTION("""COMPUTED_VALUE"""),"https://expa.aiesec.org/opportunities/1298864")</f>
        <v>https://expa.aiesec.org/opportunities/1298864</v>
      </c>
      <c r="L997" s="43" t="str">
        <f>IFERROR(__xludf.DUMMYFUNCTION("""COMPUTED_VALUE"""),"GV")</f>
        <v>GV</v>
      </c>
      <c r="M997" s="43" t="str">
        <f>IFERROR(__xludf.DUMMYFUNCTION("""COMPUTED_VALUE"""),"short")</f>
        <v>short</v>
      </c>
      <c r="N997" s="45">
        <f>IFERROR(__xludf.DUMMYFUNCTION("""COMPUTED_VALUE"""),45195.0)</f>
        <v>45195</v>
      </c>
      <c r="O997" s="45">
        <f>IFERROR(__xludf.DUMMYFUNCTION("""COMPUTED_VALUE"""),45311.0)</f>
        <v>45311</v>
      </c>
      <c r="P997" s="45">
        <f>IFERROR(__xludf.DUMMYFUNCTION("""COMPUTED_VALUE"""),45353.0)</f>
        <v>45353</v>
      </c>
      <c r="Q997" s="45"/>
      <c r="R997" s="45"/>
      <c r="S997" s="43"/>
      <c r="T997" s="43"/>
      <c r="U997" s="43" t="str">
        <f>IFERROR(__xludf.DUMMYFUNCTION("""COMPUTED_VALUE"""),"Skill Up!")</f>
        <v>Skill Up!</v>
      </c>
      <c r="V997" s="43" t="str">
        <f>IFERROR(__xludf.DUMMYFUNCTION("""COMPUTED_VALUE"""),"ISTANBUL - BEYOGLU")</f>
        <v>ISTANBUL - BEYOGLU</v>
      </c>
      <c r="W997" s="43" t="str">
        <f>IFERROR(__xludf.DUMMYFUNCTION("""COMPUTED_VALUE"""),"2023-09-24T12:42:05Z")</f>
        <v>2023-09-24T12:42:05Z</v>
      </c>
      <c r="X997" s="43"/>
      <c r="Y997" s="43"/>
      <c r="Z997" s="43"/>
    </row>
    <row r="998" hidden="1">
      <c r="A998" s="43" t="str">
        <f>IFERROR(__xludf.DUMMYFUNCTION("""COMPUTED_VALUE"""),"5288456_1298053")</f>
        <v>5288456_1298053</v>
      </c>
      <c r="B998" s="43" t="str">
        <f>IFERROR(__xludf.DUMMYFUNCTION("""COMPUTED_VALUE"""),"Emel Alcan")</f>
        <v>Emel Alcan</v>
      </c>
      <c r="C998" s="43" t="str">
        <f>IFERROR(__xludf.DUMMYFUNCTION("""COMPUTED_VALUE"""),"realized")</f>
        <v>realized</v>
      </c>
      <c r="D998" s="43" t="str">
        <f>IFERROR(__xludf.DUMMYFUNCTION("""COMPUTED_VALUE"""),"No")</f>
        <v>No</v>
      </c>
      <c r="E998" s="43" t="str">
        <f>IFERROR(__xludf.DUMMYFUNCTION("""COMPUTED_VALUE"""),"p_d4db09c5fe3866a81891d192b00814d220de499c@inbound.aiesec.org")</f>
        <v>p_d4db09c5fe3866a81891d192b00814d220de499c@inbound.aiesec.org</v>
      </c>
      <c r="F998" s="43">
        <f>IFERROR(__xludf.DUMMYFUNCTION("""COMPUTED_VALUE"""),5.051111124E9)</f>
        <v>5051111124</v>
      </c>
      <c r="G998" s="43" t="str">
        <f>IFERROR(__xludf.DUMMYFUNCTION("""COMPUTED_VALUE"""),"Turkey")</f>
        <v>Turkey</v>
      </c>
      <c r="H998" s="43" t="str">
        <f>IFERROR(__xludf.DUMMYFUNCTION("""COMPUTED_VALUE"""),"KOCAELI")</f>
        <v>KOCAELI</v>
      </c>
      <c r="I998" s="43" t="str">
        <f>IFERROR(__xludf.DUMMYFUNCTION("""COMPUTED_VALUE"""),"Romania")</f>
        <v>Romania</v>
      </c>
      <c r="J998" s="43" t="str">
        <f>IFERROR(__xludf.DUMMYFUNCTION("""COMPUTED_VALUE"""),"PITESTI")</f>
        <v>PITESTI</v>
      </c>
      <c r="K998" s="44" t="str">
        <f>IFERROR(__xludf.DUMMYFUNCTION("""COMPUTED_VALUE"""),"https://expa.aiesec.org/opportunities/1298053")</f>
        <v>https://expa.aiesec.org/opportunities/1298053</v>
      </c>
      <c r="L998" s="43" t="str">
        <f>IFERROR(__xludf.DUMMYFUNCTION("""COMPUTED_VALUE"""),"GV")</f>
        <v>GV</v>
      </c>
      <c r="M998" s="43" t="str">
        <f>IFERROR(__xludf.DUMMYFUNCTION("""COMPUTED_VALUE"""),"short")</f>
        <v>short</v>
      </c>
      <c r="N998" s="45">
        <f>IFERROR(__xludf.DUMMYFUNCTION("""COMPUTED_VALUE"""),45195.0)</f>
        <v>45195</v>
      </c>
      <c r="O998" s="45">
        <f>IFERROR(__xludf.DUMMYFUNCTION("""COMPUTED_VALUE"""),45297.0)</f>
        <v>45297</v>
      </c>
      <c r="P998" s="45">
        <f>IFERROR(__xludf.DUMMYFUNCTION("""COMPUTED_VALUE"""),45339.0)</f>
        <v>45339</v>
      </c>
      <c r="Q998" s="45">
        <f>IFERROR(__xludf.DUMMYFUNCTION("""COMPUTED_VALUE"""),45318.0)</f>
        <v>45318</v>
      </c>
      <c r="R998" s="45">
        <f>IFERROR(__xludf.DUMMYFUNCTION("""COMPUTED_VALUE"""),45360.0)</f>
        <v>45360</v>
      </c>
      <c r="S998" s="43"/>
      <c r="T998" s="43"/>
      <c r="U998" s="43" t="str">
        <f>IFERROR(__xludf.DUMMYFUNCTION("""COMPUTED_VALUE"""),"Eat 4 Change")</f>
        <v>Eat 4 Change</v>
      </c>
      <c r="V998" s="43" t="str">
        <f>IFERROR(__xludf.DUMMYFUNCTION("""COMPUTED_VALUE"""),"KOCAELI")</f>
        <v>KOCAELI</v>
      </c>
      <c r="W998" s="43" t="str">
        <f>IFERROR(__xludf.DUMMYFUNCTION("""COMPUTED_VALUE"""),"2023-07-23T14:12:20Z")</f>
        <v>2023-07-23T14:12:20Z</v>
      </c>
      <c r="X998" s="43"/>
      <c r="Y998" s="43"/>
      <c r="Z998" s="43"/>
    </row>
    <row r="999" hidden="1">
      <c r="A999" s="43" t="str">
        <f>IFERROR(__xludf.DUMMYFUNCTION("""COMPUTED_VALUE"""),"5329060_1299359")</f>
        <v>5329060_1299359</v>
      </c>
      <c r="B999" s="43" t="str">
        <f>IFERROR(__xludf.DUMMYFUNCTION("""COMPUTED_VALUE"""),"Azra Çiltepe")</f>
        <v>Azra Çiltepe</v>
      </c>
      <c r="C999" s="43" t="str">
        <f>IFERROR(__xludf.DUMMYFUNCTION("""COMPUTED_VALUE"""),"approved")</f>
        <v>approved</v>
      </c>
      <c r="D999" s="43" t="str">
        <f>IFERROR(__xludf.DUMMYFUNCTION("""COMPUTED_VALUE"""),"No")</f>
        <v>No</v>
      </c>
      <c r="E999" s="43" t="str">
        <f>IFERROR(__xludf.DUMMYFUNCTION("""COMPUTED_VALUE"""),"p_063253b1313ace9bbc5d620d8cb772f8a26ed39d@inbound.aiesec.org")</f>
        <v>p_063253b1313ace9bbc5d620d8cb772f8a26ed39d@inbound.aiesec.org</v>
      </c>
      <c r="F999" s="43">
        <f>IFERROR(__xludf.DUMMYFUNCTION("""COMPUTED_VALUE"""),5.458163136E9)</f>
        <v>5458163136</v>
      </c>
      <c r="G999" s="43" t="str">
        <f>IFERROR(__xludf.DUMMYFUNCTION("""COMPUTED_VALUE"""),"Turkey")</f>
        <v>Turkey</v>
      </c>
      <c r="H999" s="43" t="str">
        <f>IFERROR(__xludf.DUMMYFUNCTION("""COMPUTED_VALUE"""),"ISTANBUL ASIA")</f>
        <v>ISTANBUL ASIA</v>
      </c>
      <c r="I999" s="43" t="str">
        <f>IFERROR(__xludf.DUMMYFUNCTION("""COMPUTED_VALUE"""),"Egypt")</f>
        <v>Egypt</v>
      </c>
      <c r="J999" s="43" t="str">
        <f>IFERROR(__xludf.DUMMYFUNCTION("""COMPUTED_VALUE"""),"Ain Shams University")</f>
        <v>Ain Shams University</v>
      </c>
      <c r="K999" s="44" t="str">
        <f>IFERROR(__xludf.DUMMYFUNCTION("""COMPUTED_VALUE"""),"https://expa.aiesec.org/opportunities/1299359")</f>
        <v>https://expa.aiesec.org/opportunities/1299359</v>
      </c>
      <c r="L999" s="43" t="str">
        <f>IFERROR(__xludf.DUMMYFUNCTION("""COMPUTED_VALUE"""),"GV")</f>
        <v>GV</v>
      </c>
      <c r="M999" s="43" t="str">
        <f>IFERROR(__xludf.DUMMYFUNCTION("""COMPUTED_VALUE"""),"short")</f>
        <v>short</v>
      </c>
      <c r="N999" s="45">
        <f>IFERROR(__xludf.DUMMYFUNCTION("""COMPUTED_VALUE"""),45196.0)</f>
        <v>45196</v>
      </c>
      <c r="O999" s="45">
        <f>IFERROR(__xludf.DUMMYFUNCTION("""COMPUTED_VALUE"""),45505.0)</f>
        <v>45505</v>
      </c>
      <c r="P999" s="45">
        <f>IFERROR(__xludf.DUMMYFUNCTION("""COMPUTED_VALUE"""),45547.0)</f>
        <v>45547</v>
      </c>
      <c r="Q999" s="45"/>
      <c r="R999" s="45"/>
      <c r="S999" s="43"/>
      <c r="T999" s="43"/>
      <c r="U999" s="43" t="str">
        <f>IFERROR(__xludf.DUMMYFUNCTION("""COMPUTED_VALUE"""),"Global Classroom")</f>
        <v>Global Classroom</v>
      </c>
      <c r="V999" s="43" t="str">
        <f>IFERROR(__xludf.DUMMYFUNCTION("""COMPUTED_VALUE"""),"ISTANBUL ASIA")</f>
        <v>ISTANBUL ASIA</v>
      </c>
      <c r="W999" s="43" t="str">
        <f>IFERROR(__xludf.DUMMYFUNCTION("""COMPUTED_VALUE"""),"2023-09-21T10:27:09Z")</f>
        <v>2023-09-21T10:27:09Z</v>
      </c>
      <c r="X999" s="43"/>
      <c r="Y999" s="43"/>
      <c r="Z999" s="43"/>
    </row>
    <row r="1000" hidden="1">
      <c r="A1000" s="43" t="str">
        <f>IFERROR(__xludf.DUMMYFUNCTION("""COMPUTED_VALUE"""),"5287781_1299172")</f>
        <v>5287781_1299172</v>
      </c>
      <c r="B1000" s="43" t="str">
        <f>IFERROR(__xludf.DUMMYFUNCTION("""COMPUTED_VALUE"""),"Merve Özden")</f>
        <v>Merve Özden</v>
      </c>
      <c r="C1000" s="43" t="str">
        <f>IFERROR(__xludf.DUMMYFUNCTION("""COMPUTED_VALUE"""),"realization_broken")</f>
        <v>realization_broken</v>
      </c>
      <c r="D1000" s="43" t="str">
        <f>IFERROR(__xludf.DUMMYFUNCTION("""COMPUTED_VALUE"""),"No")</f>
        <v>No</v>
      </c>
      <c r="E1000" s="43" t="str">
        <f>IFERROR(__xludf.DUMMYFUNCTION("""COMPUTED_VALUE"""),"p_545d1d9b59193867e9c2b0cadb6f23d835574437@inbound.aiesec.org")</f>
        <v>p_545d1d9b59193867e9c2b0cadb6f23d835574437@inbound.aiesec.org</v>
      </c>
      <c r="F1000" s="43">
        <f>IFERROR(__xludf.DUMMYFUNCTION("""COMPUTED_VALUE"""),5.551073416E9)</f>
        <v>5551073416</v>
      </c>
      <c r="G1000" s="43" t="str">
        <f>IFERROR(__xludf.DUMMYFUNCTION("""COMPUTED_VALUE"""),"Turkey")</f>
        <v>Turkey</v>
      </c>
      <c r="H1000" s="43" t="str">
        <f>IFERROR(__xludf.DUMMYFUNCTION("""COMPUTED_VALUE"""),"ISTANBUL ASIA")</f>
        <v>ISTANBUL ASIA</v>
      </c>
      <c r="I1000" s="43" t="str">
        <f>IFERROR(__xludf.DUMMYFUNCTION("""COMPUTED_VALUE"""),"Egypt")</f>
        <v>Egypt</v>
      </c>
      <c r="J1000" s="43" t="str">
        <f>IFERROR(__xludf.DUMMYFUNCTION("""COMPUTED_VALUE"""),"AUC")</f>
        <v>AUC</v>
      </c>
      <c r="K1000" s="44" t="str">
        <f>IFERROR(__xludf.DUMMYFUNCTION("""COMPUTED_VALUE"""),"https://expa.aiesec.org/opportunities/1299172")</f>
        <v>https://expa.aiesec.org/opportunities/1299172</v>
      </c>
      <c r="L1000" s="43" t="str">
        <f>IFERROR(__xludf.DUMMYFUNCTION("""COMPUTED_VALUE"""),"GV")</f>
        <v>GV</v>
      </c>
      <c r="M1000" s="43" t="str">
        <f>IFERROR(__xludf.DUMMYFUNCTION("""COMPUTED_VALUE"""),"short")</f>
        <v>short</v>
      </c>
      <c r="N1000" s="45">
        <f>IFERROR(__xludf.DUMMYFUNCTION("""COMPUTED_VALUE"""),45196.0)</f>
        <v>45196</v>
      </c>
      <c r="O1000" s="45">
        <f>IFERROR(__xludf.DUMMYFUNCTION("""COMPUTED_VALUE"""),45250.0)</f>
        <v>45250</v>
      </c>
      <c r="P1000" s="45">
        <f>IFERROR(__xludf.DUMMYFUNCTION("""COMPUTED_VALUE"""),45292.0)</f>
        <v>45292</v>
      </c>
      <c r="Q1000" s="45"/>
      <c r="R1000" s="45"/>
      <c r="S1000" s="43"/>
      <c r="T1000" s="43"/>
      <c r="U1000" s="43" t="str">
        <f>IFERROR(__xludf.DUMMYFUNCTION("""COMPUTED_VALUE"""),"On The Map")</f>
        <v>On The Map</v>
      </c>
      <c r="V1000" s="43" t="str">
        <f>IFERROR(__xludf.DUMMYFUNCTION("""COMPUTED_VALUE"""),"ISTANBUL ASIA")</f>
        <v>ISTANBUL ASIA</v>
      </c>
      <c r="W1000" s="43" t="str">
        <f>IFERROR(__xludf.DUMMYFUNCTION("""COMPUTED_VALUE"""),"2023-07-21T09:46:01Z")</f>
        <v>2023-07-21T09:46:01Z</v>
      </c>
      <c r="X1000" s="43"/>
      <c r="Y1000" s="43"/>
      <c r="Z1000" s="43"/>
    </row>
    <row r="1001" hidden="1">
      <c r="A1001" s="43" t="str">
        <f>IFERROR(__xludf.DUMMYFUNCTION("""COMPUTED_VALUE"""),"5332154_1299359")</f>
        <v>5332154_1299359</v>
      </c>
      <c r="B1001" s="43" t="str">
        <f>IFERROR(__xludf.DUMMYFUNCTION("""COMPUTED_VALUE"""),"Zübeyde Avcı")</f>
        <v>Zübeyde Avcı</v>
      </c>
      <c r="C1001" s="43" t="str">
        <f>IFERROR(__xludf.DUMMYFUNCTION("""COMPUTED_VALUE"""),"approved")</f>
        <v>approved</v>
      </c>
      <c r="D1001" s="43" t="str">
        <f>IFERROR(__xludf.DUMMYFUNCTION("""COMPUTED_VALUE"""),"No")</f>
        <v>No</v>
      </c>
      <c r="E1001" s="43" t="str">
        <f>IFERROR(__xludf.DUMMYFUNCTION("""COMPUTED_VALUE"""),"p_48b208ee104dcd68ed1a1d6e081c51d5a0bdcc45@inbound.aiesec.org")</f>
        <v>p_48b208ee104dcd68ed1a1d6e081c51d5a0bdcc45@inbound.aiesec.org</v>
      </c>
      <c r="F1001" s="43">
        <f>IFERROR(__xludf.DUMMYFUNCTION("""COMPUTED_VALUE"""),5.435408565E9)</f>
        <v>5435408565</v>
      </c>
      <c r="G1001" s="43" t="str">
        <f>IFERROR(__xludf.DUMMYFUNCTION("""COMPUTED_VALUE"""),"Turkey")</f>
        <v>Turkey</v>
      </c>
      <c r="H1001" s="43" t="str">
        <f>IFERROR(__xludf.DUMMYFUNCTION("""COMPUTED_VALUE"""),"ISTANBUL ASIA")</f>
        <v>ISTANBUL ASIA</v>
      </c>
      <c r="I1001" s="43" t="str">
        <f>IFERROR(__xludf.DUMMYFUNCTION("""COMPUTED_VALUE"""),"Egypt")</f>
        <v>Egypt</v>
      </c>
      <c r="J1001" s="43" t="str">
        <f>IFERROR(__xludf.DUMMYFUNCTION("""COMPUTED_VALUE"""),"Ain Shams University")</f>
        <v>Ain Shams University</v>
      </c>
      <c r="K1001" s="44" t="str">
        <f>IFERROR(__xludf.DUMMYFUNCTION("""COMPUTED_VALUE"""),"https://expa.aiesec.org/opportunities/1299359")</f>
        <v>https://expa.aiesec.org/opportunities/1299359</v>
      </c>
      <c r="L1001" s="43" t="str">
        <f>IFERROR(__xludf.DUMMYFUNCTION("""COMPUTED_VALUE"""),"GV")</f>
        <v>GV</v>
      </c>
      <c r="M1001" s="43" t="str">
        <f>IFERROR(__xludf.DUMMYFUNCTION("""COMPUTED_VALUE"""),"short")</f>
        <v>short</v>
      </c>
      <c r="N1001" s="45">
        <f>IFERROR(__xludf.DUMMYFUNCTION("""COMPUTED_VALUE"""),45196.0)</f>
        <v>45196</v>
      </c>
      <c r="O1001" s="45">
        <f>IFERROR(__xludf.DUMMYFUNCTION("""COMPUTED_VALUE"""),45474.0)</f>
        <v>45474</v>
      </c>
      <c r="P1001" s="45">
        <f>IFERROR(__xludf.DUMMYFUNCTION("""COMPUTED_VALUE"""),45516.0)</f>
        <v>45516</v>
      </c>
      <c r="Q1001" s="45"/>
      <c r="R1001" s="45"/>
      <c r="S1001" s="43"/>
      <c r="T1001" s="43"/>
      <c r="U1001" s="43" t="str">
        <f>IFERROR(__xludf.DUMMYFUNCTION("""COMPUTED_VALUE"""),"Global Classroom")</f>
        <v>Global Classroom</v>
      </c>
      <c r="V1001" s="43" t="str">
        <f>IFERROR(__xludf.DUMMYFUNCTION("""COMPUTED_VALUE"""),"ISTANBUL ASIA")</f>
        <v>ISTANBUL ASIA</v>
      </c>
      <c r="W1001" s="43" t="str">
        <f>IFERROR(__xludf.DUMMYFUNCTION("""COMPUTED_VALUE"""),"2023-09-25T14:56:10Z")</f>
        <v>2023-09-25T14:56:10Z</v>
      </c>
      <c r="X1001" s="43"/>
      <c r="Y1001" s="43"/>
      <c r="Z1001" s="43"/>
    </row>
    <row r="1002" hidden="1">
      <c r="A1002" s="43" t="str">
        <f>IFERROR(__xludf.DUMMYFUNCTION("""COMPUTED_VALUE"""),"5318013_1299605")</f>
        <v>5318013_1299605</v>
      </c>
      <c r="B1002" s="43" t="str">
        <f>IFERROR(__xludf.DUMMYFUNCTION("""COMPUTED_VALUE"""),"Melis Koçyiğit")</f>
        <v>Melis Koçyiğit</v>
      </c>
      <c r="C1002" s="43" t="str">
        <f>IFERROR(__xludf.DUMMYFUNCTION("""COMPUTED_VALUE"""),"approved")</f>
        <v>approved</v>
      </c>
      <c r="D1002" s="43" t="str">
        <f>IFERROR(__xludf.DUMMYFUNCTION("""COMPUTED_VALUE"""),"No")</f>
        <v>No</v>
      </c>
      <c r="E1002" s="43" t="str">
        <f>IFERROR(__xludf.DUMMYFUNCTION("""COMPUTED_VALUE"""),"p_19a0628ad6834df3ae6c27e26d61edd914d5176c@inbound.aiesec.org")</f>
        <v>p_19a0628ad6834df3ae6c27e26d61edd914d5176c@inbound.aiesec.org</v>
      </c>
      <c r="F1002" s="43">
        <f>IFERROR(__xludf.DUMMYFUNCTION("""COMPUTED_VALUE"""),5.344658514E9)</f>
        <v>5344658514</v>
      </c>
      <c r="G1002" s="43" t="str">
        <f>IFERROR(__xludf.DUMMYFUNCTION("""COMPUTED_VALUE"""),"Turkey")</f>
        <v>Turkey</v>
      </c>
      <c r="H1002" s="43" t="str">
        <f>IFERROR(__xludf.DUMMYFUNCTION("""COMPUTED_VALUE"""),"SAKARYA")</f>
        <v>SAKARYA</v>
      </c>
      <c r="I1002" s="43" t="str">
        <f>IFERROR(__xludf.DUMMYFUNCTION("""COMPUTED_VALUE"""),"Tunisia")</f>
        <v>Tunisia</v>
      </c>
      <c r="J1002" s="43" t="str">
        <f>IFERROR(__xludf.DUMMYFUNCTION("""COMPUTED_VALUE"""),"SFAX")</f>
        <v>SFAX</v>
      </c>
      <c r="K1002" s="44" t="str">
        <f>IFERROR(__xludf.DUMMYFUNCTION("""COMPUTED_VALUE"""),"https://expa.aiesec.org/opportunities/1299605")</f>
        <v>https://expa.aiesec.org/opportunities/1299605</v>
      </c>
      <c r="L1002" s="43" t="str">
        <f>IFERROR(__xludf.DUMMYFUNCTION("""COMPUTED_VALUE"""),"GV")</f>
        <v>GV</v>
      </c>
      <c r="M1002" s="43" t="str">
        <f>IFERROR(__xludf.DUMMYFUNCTION("""COMPUTED_VALUE"""),"short")</f>
        <v>short</v>
      </c>
      <c r="N1002" s="45">
        <f>IFERROR(__xludf.DUMMYFUNCTION("""COMPUTED_VALUE"""),45196.0)</f>
        <v>45196</v>
      </c>
      <c r="O1002" s="45">
        <f>IFERROR(__xludf.DUMMYFUNCTION("""COMPUTED_VALUE"""),45317.0)</f>
        <v>45317</v>
      </c>
      <c r="P1002" s="45">
        <f>IFERROR(__xludf.DUMMYFUNCTION("""COMPUTED_VALUE"""),45359.0)</f>
        <v>45359</v>
      </c>
      <c r="Q1002" s="45"/>
      <c r="R1002" s="45"/>
      <c r="S1002" s="43"/>
      <c r="T1002" s="43"/>
      <c r="U1002" s="43" t="str">
        <f>IFERROR(__xludf.DUMMYFUNCTION("""COMPUTED_VALUE"""),"Aquatica")</f>
        <v>Aquatica</v>
      </c>
      <c r="V1002" s="43" t="str">
        <f>IFERROR(__xludf.DUMMYFUNCTION("""COMPUTED_VALUE"""),"ANKARA")</f>
        <v>ANKARA</v>
      </c>
      <c r="W1002" s="43" t="str">
        <f>IFERROR(__xludf.DUMMYFUNCTION("""COMPUTED_VALUE"""),"2023-09-04T13:02:13Z")</f>
        <v>2023-09-04T13:02:13Z</v>
      </c>
      <c r="X1002" s="43"/>
      <c r="Y1002" s="43"/>
      <c r="Z1002" s="43"/>
    </row>
    <row r="1003" hidden="1">
      <c r="A1003" s="43" t="str">
        <f>IFERROR(__xludf.DUMMYFUNCTION("""COMPUTED_VALUE"""),"5290721_1298937")</f>
        <v>5290721_1298937</v>
      </c>
      <c r="B1003" s="43" t="str">
        <f>IFERROR(__xludf.DUMMYFUNCTION("""COMPUTED_VALUE"""),"Melike Akay")</f>
        <v>Melike Akay</v>
      </c>
      <c r="C1003" s="43" t="str">
        <f>IFERROR(__xludf.DUMMYFUNCTION("""COMPUTED_VALUE"""),"approved")</f>
        <v>approved</v>
      </c>
      <c r="D1003" s="43" t="str">
        <f>IFERROR(__xludf.DUMMYFUNCTION("""COMPUTED_VALUE"""),"No")</f>
        <v>No</v>
      </c>
      <c r="E1003" s="43" t="str">
        <f>IFERROR(__xludf.DUMMYFUNCTION("""COMPUTED_VALUE"""),"p_0f76e39b339ae72891274c9d74bf759123941d77@inbound.aiesec.org")</f>
        <v>p_0f76e39b339ae72891274c9d74bf759123941d77@inbound.aiesec.org</v>
      </c>
      <c r="F1003" s="43"/>
      <c r="G1003" s="43" t="str">
        <f>IFERROR(__xludf.DUMMYFUNCTION("""COMPUTED_VALUE"""),"Turkey")</f>
        <v>Turkey</v>
      </c>
      <c r="H1003" s="43" t="str">
        <f>IFERROR(__xludf.DUMMYFUNCTION("""COMPUTED_VALUE"""),"BURSA")</f>
        <v>BURSA</v>
      </c>
      <c r="I1003" s="43" t="str">
        <f>IFERROR(__xludf.DUMMYFUNCTION("""COMPUTED_VALUE"""),"Egypt")</f>
        <v>Egypt</v>
      </c>
      <c r="J1003" s="43" t="str">
        <f>IFERROR(__xludf.DUMMYFUNCTION("""COMPUTED_VALUE"""),"Ain Shams University")</f>
        <v>Ain Shams University</v>
      </c>
      <c r="K1003" s="44" t="str">
        <f>IFERROR(__xludf.DUMMYFUNCTION("""COMPUTED_VALUE"""),"https://expa.aiesec.org/opportunities/1298937")</f>
        <v>https://expa.aiesec.org/opportunities/1298937</v>
      </c>
      <c r="L1003" s="43" t="str">
        <f>IFERROR(__xludf.DUMMYFUNCTION("""COMPUTED_VALUE"""),"GV")</f>
        <v>GV</v>
      </c>
      <c r="M1003" s="43" t="str">
        <f>IFERROR(__xludf.DUMMYFUNCTION("""COMPUTED_VALUE"""),"short")</f>
        <v>short</v>
      </c>
      <c r="N1003" s="45">
        <f>IFERROR(__xludf.DUMMYFUNCTION("""COMPUTED_VALUE"""),45197.0)</f>
        <v>45197</v>
      </c>
      <c r="O1003" s="45">
        <f>IFERROR(__xludf.DUMMYFUNCTION("""COMPUTED_VALUE"""),45319.0)</f>
        <v>45319</v>
      </c>
      <c r="P1003" s="45">
        <f>IFERROR(__xludf.DUMMYFUNCTION("""COMPUTED_VALUE"""),45361.0)</f>
        <v>45361</v>
      </c>
      <c r="Q1003" s="45"/>
      <c r="R1003" s="45"/>
      <c r="S1003" s="43"/>
      <c r="T1003" s="43"/>
      <c r="U1003" s="43" t="str">
        <f>IFERROR(__xludf.DUMMYFUNCTION("""COMPUTED_VALUE"""),"Scale Up!")</f>
        <v>Scale Up!</v>
      </c>
      <c r="V1003" s="43" t="str">
        <f>IFERROR(__xludf.DUMMYFUNCTION("""COMPUTED_VALUE"""),"-")</f>
        <v>-</v>
      </c>
      <c r="W1003" s="43" t="str">
        <f>IFERROR(__xludf.DUMMYFUNCTION("""COMPUTED_VALUE"""),"2023-07-28T11:06:47Z")</f>
        <v>2023-07-28T11:06:47Z</v>
      </c>
      <c r="X1003" s="43"/>
      <c r="Y1003" s="43"/>
      <c r="Z1003" s="43"/>
    </row>
    <row r="1004" hidden="1">
      <c r="A1004" s="43" t="str">
        <f>IFERROR(__xludf.DUMMYFUNCTION("""COMPUTED_VALUE"""),"5329431_1289850")</f>
        <v>5329431_1289850</v>
      </c>
      <c r="B1004" s="43" t="str">
        <f>IFERROR(__xludf.DUMMYFUNCTION("""COMPUTED_VALUE"""),"dila özdemir")</f>
        <v>dila özdemir</v>
      </c>
      <c r="C1004" s="43" t="str">
        <f>IFERROR(__xludf.DUMMYFUNCTION("""COMPUTED_VALUE"""),"approved")</f>
        <v>approved</v>
      </c>
      <c r="D1004" s="43" t="str">
        <f>IFERROR(__xludf.DUMMYFUNCTION("""COMPUTED_VALUE"""),"No")</f>
        <v>No</v>
      </c>
      <c r="E1004" s="43" t="str">
        <f>IFERROR(__xludf.DUMMYFUNCTION("""COMPUTED_VALUE"""),"p_25c3f32cb43b475c8de3bac7fb338e9cf0353277@inbound.aiesec.org")</f>
        <v>p_25c3f32cb43b475c8de3bac7fb338e9cf0353277@inbound.aiesec.org</v>
      </c>
      <c r="F1004" s="43">
        <f>IFERROR(__xludf.DUMMYFUNCTION("""COMPUTED_VALUE"""),5.354785293E9)</f>
        <v>5354785293</v>
      </c>
      <c r="G1004" s="43" t="str">
        <f>IFERROR(__xludf.DUMMYFUNCTION("""COMPUTED_VALUE"""),"Turkey")</f>
        <v>Turkey</v>
      </c>
      <c r="H1004" s="43" t="str">
        <f>IFERROR(__xludf.DUMMYFUNCTION("""COMPUTED_VALUE"""),"ISTANBUL ASIA")</f>
        <v>ISTANBUL ASIA</v>
      </c>
      <c r="I1004" s="43" t="str">
        <f>IFERROR(__xludf.DUMMYFUNCTION("""COMPUTED_VALUE"""),"India")</f>
        <v>India</v>
      </c>
      <c r="J1004" s="43" t="str">
        <f>IFERROR(__xludf.DUMMYFUNCTION("""COMPUTED_VALUE"""),"Mumbai")</f>
        <v>Mumbai</v>
      </c>
      <c r="K1004" s="44" t="str">
        <f>IFERROR(__xludf.DUMMYFUNCTION("""COMPUTED_VALUE"""),"https://expa.aiesec.org/opportunities/1289850")</f>
        <v>https://expa.aiesec.org/opportunities/1289850</v>
      </c>
      <c r="L1004" s="43" t="str">
        <f>IFERROR(__xludf.DUMMYFUNCTION("""COMPUTED_VALUE"""),"GV")</f>
        <v>GV</v>
      </c>
      <c r="M1004" s="43" t="str">
        <f>IFERROR(__xludf.DUMMYFUNCTION("""COMPUTED_VALUE"""),"short")</f>
        <v>short</v>
      </c>
      <c r="N1004" s="45">
        <f>IFERROR(__xludf.DUMMYFUNCTION("""COMPUTED_VALUE"""),45197.0)</f>
        <v>45197</v>
      </c>
      <c r="O1004" s="45">
        <f>IFERROR(__xludf.DUMMYFUNCTION("""COMPUTED_VALUE"""),45474.0)</f>
        <v>45474</v>
      </c>
      <c r="P1004" s="45">
        <f>IFERROR(__xludf.DUMMYFUNCTION("""COMPUTED_VALUE"""),45516.0)</f>
        <v>45516</v>
      </c>
      <c r="Q1004" s="45"/>
      <c r="R1004" s="45"/>
      <c r="S1004" s="43"/>
      <c r="T1004" s="43"/>
      <c r="U1004" s="43" t="str">
        <f>IFERROR(__xludf.DUMMYFUNCTION("""COMPUTED_VALUE"""),"Global Classroom")</f>
        <v>Global Classroom</v>
      </c>
      <c r="V1004" s="43" t="str">
        <f>IFERROR(__xludf.DUMMYFUNCTION("""COMPUTED_VALUE"""),"ISTANBUL - BAKIRKOY")</f>
        <v>ISTANBUL - BAKIRKOY</v>
      </c>
      <c r="W1004" s="43" t="str">
        <f>IFERROR(__xludf.DUMMYFUNCTION("""COMPUTED_VALUE"""),"2023-09-21T18:22:42Z")</f>
        <v>2023-09-21T18:22:42Z</v>
      </c>
      <c r="X1004" s="43"/>
      <c r="Y1004" s="43"/>
      <c r="Z1004" s="43"/>
    </row>
    <row r="1005">
      <c r="A1005" s="43" t="str">
        <f>IFERROR(__xludf.DUMMYFUNCTION("""COMPUTED_VALUE"""),"5325597_1289850")</f>
        <v>5325597_1289850</v>
      </c>
      <c r="B1005" s="43" t="str">
        <f>IFERROR(__xludf.DUMMYFUNCTION("""COMPUTED_VALUE"""),"Alihan Altinkaya")</f>
        <v>Alihan Altinkaya</v>
      </c>
      <c r="C1005" s="43" t="str">
        <f>IFERROR(__xludf.DUMMYFUNCTION("""COMPUTED_VALUE"""),"approved")</f>
        <v>approved</v>
      </c>
      <c r="D1005" s="43" t="str">
        <f>IFERROR(__xludf.DUMMYFUNCTION("""COMPUTED_VALUE"""),"No")</f>
        <v>No</v>
      </c>
      <c r="E1005" s="43" t="str">
        <f>IFERROR(__xludf.DUMMYFUNCTION("""COMPUTED_VALUE"""),"p_5907eb8434d3b0caa2a492937e1058d708402a08@inbound.aiesec.org")</f>
        <v>p_5907eb8434d3b0caa2a492937e1058d708402a08@inbound.aiesec.org</v>
      </c>
      <c r="F1005" s="43">
        <f>IFERROR(__xludf.DUMMYFUNCTION("""COMPUTED_VALUE"""),5.383141325E9)</f>
        <v>5383141325</v>
      </c>
      <c r="G1005" s="43" t="str">
        <f>IFERROR(__xludf.DUMMYFUNCTION("""COMPUTED_VALUE"""),"Turkey")</f>
        <v>Turkey</v>
      </c>
      <c r="H1005" s="43" t="str">
        <f>IFERROR(__xludf.DUMMYFUNCTION("""COMPUTED_VALUE"""),"ISTANBUL")</f>
        <v>ISTANBUL</v>
      </c>
      <c r="I1005" s="43" t="str">
        <f>IFERROR(__xludf.DUMMYFUNCTION("""COMPUTED_VALUE"""),"India")</f>
        <v>India</v>
      </c>
      <c r="J1005" s="43" t="str">
        <f>IFERROR(__xludf.DUMMYFUNCTION("""COMPUTED_VALUE"""),"Mumbai")</f>
        <v>Mumbai</v>
      </c>
      <c r="K1005" s="44" t="str">
        <f>IFERROR(__xludf.DUMMYFUNCTION("""COMPUTED_VALUE"""),"https://expa.aiesec.org/opportunities/1289850")</f>
        <v>https://expa.aiesec.org/opportunities/1289850</v>
      </c>
      <c r="L1005" s="43" t="str">
        <f>IFERROR(__xludf.DUMMYFUNCTION("""COMPUTED_VALUE"""),"GV")</f>
        <v>GV</v>
      </c>
      <c r="M1005" s="43" t="str">
        <f>IFERROR(__xludf.DUMMYFUNCTION("""COMPUTED_VALUE"""),"short")</f>
        <v>short</v>
      </c>
      <c r="N1005" s="45">
        <f>IFERROR(__xludf.DUMMYFUNCTION("""COMPUTED_VALUE"""),45197.0)</f>
        <v>45197</v>
      </c>
      <c r="O1005" s="45">
        <f>IFERROR(__xludf.DUMMYFUNCTION("""COMPUTED_VALUE"""),45352.0)</f>
        <v>45352</v>
      </c>
      <c r="P1005" s="45">
        <f>IFERROR(__xludf.DUMMYFUNCTION("""COMPUTED_VALUE"""),45394.0)</f>
        <v>45394</v>
      </c>
      <c r="Q1005" s="45"/>
      <c r="R1005" s="45"/>
      <c r="S1005" s="43"/>
      <c r="T1005" s="43"/>
      <c r="U1005" s="43" t="str">
        <f>IFERROR(__xludf.DUMMYFUNCTION("""COMPUTED_VALUE"""),"Global Classroom")</f>
        <v>Global Classroom</v>
      </c>
      <c r="V1005" s="43" t="str">
        <f>IFERROR(__xludf.DUMMYFUNCTION("""COMPUTED_VALUE"""),"KAYSERI")</f>
        <v>KAYSERI</v>
      </c>
      <c r="W1005" s="43" t="str">
        <f>IFERROR(__xludf.DUMMYFUNCTION("""COMPUTED_VALUE"""),"2023-09-16T18:10:00Z")</f>
        <v>2023-09-16T18:10:00Z</v>
      </c>
      <c r="X1005" s="43"/>
      <c r="Y1005" s="43"/>
      <c r="Z1005" s="43"/>
    </row>
    <row r="1006" hidden="1">
      <c r="A1006" s="43" t="str">
        <f>IFERROR(__xludf.DUMMYFUNCTION("""COMPUTED_VALUE"""),"5337139_1291200")</f>
        <v>5337139_1291200</v>
      </c>
      <c r="B1006" s="43" t="str">
        <f>IFERROR(__xludf.DUMMYFUNCTION("""COMPUTED_VALUE"""),"Irem Ceylan")</f>
        <v>Irem Ceylan</v>
      </c>
      <c r="C1006" s="43" t="str">
        <f>IFERROR(__xludf.DUMMYFUNCTION("""COMPUTED_VALUE"""),"approved")</f>
        <v>approved</v>
      </c>
      <c r="D1006" s="43" t="str">
        <f>IFERROR(__xludf.DUMMYFUNCTION("""COMPUTED_VALUE"""),"No")</f>
        <v>No</v>
      </c>
      <c r="E1006" s="43" t="str">
        <f>IFERROR(__xludf.DUMMYFUNCTION("""COMPUTED_VALUE"""),"p_ae4ab537a986ade43986a5c4fecc8be62a31219b@inbound.aiesec.org")</f>
        <v>p_ae4ab537a986ade43986a5c4fecc8be62a31219b@inbound.aiesec.org</v>
      </c>
      <c r="F1006" s="43">
        <f>IFERROR(__xludf.DUMMYFUNCTION("""COMPUTED_VALUE"""),5.363435105E9)</f>
        <v>5363435105</v>
      </c>
      <c r="G1006" s="43" t="str">
        <f>IFERROR(__xludf.DUMMYFUNCTION("""COMPUTED_VALUE"""),"Turkey")</f>
        <v>Turkey</v>
      </c>
      <c r="H1006" s="43" t="str">
        <f>IFERROR(__xludf.DUMMYFUNCTION("""COMPUTED_VALUE"""),"ISTANBUL WEST")</f>
        <v>ISTANBUL WEST</v>
      </c>
      <c r="I1006" s="43" t="str">
        <f>IFERROR(__xludf.DUMMYFUNCTION("""COMPUTED_VALUE"""),"Egypt")</f>
        <v>Egypt</v>
      </c>
      <c r="J1006" s="43" t="str">
        <f>IFERROR(__xludf.DUMMYFUNCTION("""COMPUTED_VALUE"""),"GUC")</f>
        <v>GUC</v>
      </c>
      <c r="K1006" s="44" t="str">
        <f>IFERROR(__xludf.DUMMYFUNCTION("""COMPUTED_VALUE"""),"https://expa.aiesec.org/opportunities/1291200")</f>
        <v>https://expa.aiesec.org/opportunities/1291200</v>
      </c>
      <c r="L1006" s="43" t="str">
        <f>IFERROR(__xludf.DUMMYFUNCTION("""COMPUTED_VALUE"""),"GV")</f>
        <v>GV</v>
      </c>
      <c r="M1006" s="43" t="str">
        <f>IFERROR(__xludf.DUMMYFUNCTION("""COMPUTED_VALUE"""),"short")</f>
        <v>short</v>
      </c>
      <c r="N1006" s="45">
        <f>IFERROR(__xludf.DUMMYFUNCTION("""COMPUTED_VALUE"""),45198.0)</f>
        <v>45198</v>
      </c>
      <c r="O1006" s="45">
        <f>IFERROR(__xludf.DUMMYFUNCTION("""COMPUTED_VALUE"""),45498.0)</f>
        <v>45498</v>
      </c>
      <c r="P1006" s="45">
        <f>IFERROR(__xludf.DUMMYFUNCTION("""COMPUTED_VALUE"""),45540.0)</f>
        <v>45540</v>
      </c>
      <c r="Q1006" s="45"/>
      <c r="R1006" s="45"/>
      <c r="S1006" s="43"/>
      <c r="T1006" s="43"/>
      <c r="U1006" s="43" t="str">
        <f>IFERROR(__xludf.DUMMYFUNCTION("""COMPUTED_VALUE"""),"Raise Your Voice")</f>
        <v>Raise Your Voice</v>
      </c>
      <c r="V1006" s="43" t="str">
        <f>IFERROR(__xludf.DUMMYFUNCTION("""COMPUTED_VALUE"""),"ISTANBUL - BAKIRKOY")</f>
        <v>ISTANBUL - BAKIRKOY</v>
      </c>
      <c r="W1006" s="43" t="str">
        <f>IFERROR(__xludf.DUMMYFUNCTION("""COMPUTED_VALUE"""),"2023-09-29T08:21:55Z")</f>
        <v>2023-09-29T08:21:55Z</v>
      </c>
      <c r="X1006" s="43"/>
      <c r="Y1006" s="43"/>
      <c r="Z1006" s="43"/>
    </row>
    <row r="1007" hidden="1">
      <c r="A1007" s="43" t="str">
        <f>IFERROR(__xludf.DUMMYFUNCTION("""COMPUTED_VALUE"""),"5337556_1294232")</f>
        <v>5337556_1294232</v>
      </c>
      <c r="B1007" s="43" t="str">
        <f>IFERROR(__xludf.DUMMYFUNCTION("""COMPUTED_VALUE"""),"Ayse Bicer")</f>
        <v>Ayse Bicer</v>
      </c>
      <c r="C1007" s="43" t="str">
        <f>IFERROR(__xludf.DUMMYFUNCTION("""COMPUTED_VALUE"""),"approved")</f>
        <v>approved</v>
      </c>
      <c r="D1007" s="43" t="str">
        <f>IFERROR(__xludf.DUMMYFUNCTION("""COMPUTED_VALUE"""),"No")</f>
        <v>No</v>
      </c>
      <c r="E1007" s="43" t="str">
        <f>IFERROR(__xludf.DUMMYFUNCTION("""COMPUTED_VALUE"""),"p_7cd39a567fe82e5f17333790c1a0033839f2b01f@inbound.aiesec.org")</f>
        <v>p_7cd39a567fe82e5f17333790c1a0033839f2b01f@inbound.aiesec.org</v>
      </c>
      <c r="F1007" s="43"/>
      <c r="G1007" s="43" t="str">
        <f>IFERROR(__xludf.DUMMYFUNCTION("""COMPUTED_VALUE"""),"Turkey")</f>
        <v>Turkey</v>
      </c>
      <c r="H1007" s="43" t="str">
        <f>IFERROR(__xludf.DUMMYFUNCTION("""COMPUTED_VALUE"""),"ISTANBUL ASIA")</f>
        <v>ISTANBUL ASIA</v>
      </c>
      <c r="I1007" s="43" t="str">
        <f>IFERROR(__xludf.DUMMYFUNCTION("""COMPUTED_VALUE"""),"Egypt")</f>
        <v>Egypt</v>
      </c>
      <c r="J1007" s="43" t="str">
        <f>IFERROR(__xludf.DUMMYFUNCTION("""COMPUTED_VALUE"""),"Suez")</f>
        <v>Suez</v>
      </c>
      <c r="K1007" s="44" t="str">
        <f>IFERROR(__xludf.DUMMYFUNCTION("""COMPUTED_VALUE"""),"https://expa.aiesec.org/opportunities/1294232")</f>
        <v>https://expa.aiesec.org/opportunities/1294232</v>
      </c>
      <c r="L1007" s="43" t="str">
        <f>IFERROR(__xludf.DUMMYFUNCTION("""COMPUTED_VALUE"""),"GV")</f>
        <v>GV</v>
      </c>
      <c r="M1007" s="43" t="str">
        <f>IFERROR(__xludf.DUMMYFUNCTION("""COMPUTED_VALUE"""),"short")</f>
        <v>short</v>
      </c>
      <c r="N1007" s="45">
        <f>IFERROR(__xludf.DUMMYFUNCTION("""COMPUTED_VALUE"""),45198.0)</f>
        <v>45198</v>
      </c>
      <c r="O1007" s="45">
        <f>IFERROR(__xludf.DUMMYFUNCTION("""COMPUTED_VALUE"""),45474.0)</f>
        <v>45474</v>
      </c>
      <c r="P1007" s="45">
        <f>IFERROR(__xludf.DUMMYFUNCTION("""COMPUTED_VALUE"""),45516.0)</f>
        <v>45516</v>
      </c>
      <c r="Q1007" s="45"/>
      <c r="R1007" s="45"/>
      <c r="S1007" s="43"/>
      <c r="T1007" s="43"/>
      <c r="U1007" s="43" t="str">
        <f>IFERROR(__xludf.DUMMYFUNCTION("""COMPUTED_VALUE"""),"On The Map")</f>
        <v>On The Map</v>
      </c>
      <c r="V1007" s="43" t="str">
        <f>IFERROR(__xludf.DUMMYFUNCTION("""COMPUTED_VALUE"""),"-")</f>
        <v>-</v>
      </c>
      <c r="W1007" s="43" t="str">
        <f>IFERROR(__xludf.DUMMYFUNCTION("""COMPUTED_VALUE"""),"2023-09-29T15:07:36Z")</f>
        <v>2023-09-29T15:07:36Z</v>
      </c>
      <c r="X1007" s="43"/>
      <c r="Y1007" s="43"/>
      <c r="Z1007" s="43"/>
    </row>
    <row r="1008" hidden="1">
      <c r="A1008" s="43" t="str">
        <f>IFERROR(__xludf.DUMMYFUNCTION("""COMPUTED_VALUE"""),"5291927_1293480")</f>
        <v>5291927_1293480</v>
      </c>
      <c r="B1008" s="43" t="str">
        <f>IFERROR(__xludf.DUMMYFUNCTION("""COMPUTED_VALUE"""),"Gamze Kök")</f>
        <v>Gamze Kök</v>
      </c>
      <c r="C1008" s="43" t="str">
        <f>IFERROR(__xludf.DUMMYFUNCTION("""COMPUTED_VALUE"""),"approved")</f>
        <v>approved</v>
      </c>
      <c r="D1008" s="43" t="str">
        <f>IFERROR(__xludf.DUMMYFUNCTION("""COMPUTED_VALUE"""),"No")</f>
        <v>No</v>
      </c>
      <c r="E1008" s="43" t="str">
        <f>IFERROR(__xludf.DUMMYFUNCTION("""COMPUTED_VALUE"""),"p_7211b752644776c239bd15778a9c273111b35224@inbound.aiesec.org")</f>
        <v>p_7211b752644776c239bd15778a9c273111b35224@inbound.aiesec.org</v>
      </c>
      <c r="F1008" s="43">
        <f>IFERROR(__xludf.DUMMYFUNCTION("""COMPUTED_VALUE"""),5.304421017E9)</f>
        <v>5304421017</v>
      </c>
      <c r="G1008" s="43" t="str">
        <f>IFERROR(__xludf.DUMMYFUNCTION("""COMPUTED_VALUE"""),"Turkey")</f>
        <v>Turkey</v>
      </c>
      <c r="H1008" s="43" t="str">
        <f>IFERROR(__xludf.DUMMYFUNCTION("""COMPUTED_VALUE"""),"ADANA")</f>
        <v>ADANA</v>
      </c>
      <c r="I1008" s="43" t="str">
        <f>IFERROR(__xludf.DUMMYFUNCTION("""COMPUTED_VALUE"""),"Egypt")</f>
        <v>Egypt</v>
      </c>
      <c r="J1008" s="43" t="str">
        <f>IFERROR(__xludf.DUMMYFUNCTION("""COMPUTED_VALUE"""),"Mansoura")</f>
        <v>Mansoura</v>
      </c>
      <c r="K1008" s="44" t="str">
        <f>IFERROR(__xludf.DUMMYFUNCTION("""COMPUTED_VALUE"""),"https://expa.aiesec.org/opportunities/1293480")</f>
        <v>https://expa.aiesec.org/opportunities/1293480</v>
      </c>
      <c r="L1008" s="43" t="str">
        <f>IFERROR(__xludf.DUMMYFUNCTION("""COMPUTED_VALUE"""),"GV")</f>
        <v>GV</v>
      </c>
      <c r="M1008" s="43" t="str">
        <f>IFERROR(__xludf.DUMMYFUNCTION("""COMPUTED_VALUE"""),"short")</f>
        <v>short</v>
      </c>
      <c r="N1008" s="45">
        <f>IFERROR(__xludf.DUMMYFUNCTION("""COMPUTED_VALUE"""),45198.0)</f>
        <v>45198</v>
      </c>
      <c r="O1008" s="45">
        <f>IFERROR(__xludf.DUMMYFUNCTION("""COMPUTED_VALUE"""),45323.0)</f>
        <v>45323</v>
      </c>
      <c r="P1008" s="45">
        <f>IFERROR(__xludf.DUMMYFUNCTION("""COMPUTED_VALUE"""),45365.0)</f>
        <v>45365</v>
      </c>
      <c r="Q1008" s="45"/>
      <c r="R1008" s="45"/>
      <c r="S1008" s="43"/>
      <c r="T1008" s="43"/>
      <c r="U1008" s="43" t="str">
        <f>IFERROR(__xludf.DUMMYFUNCTION("""COMPUTED_VALUE"""),"Global Classroom")</f>
        <v>Global Classroom</v>
      </c>
      <c r="V1008" s="43" t="str">
        <f>IFERROR(__xludf.DUMMYFUNCTION("""COMPUTED_VALUE"""),"ADANA")</f>
        <v>ADANA</v>
      </c>
      <c r="W1008" s="43" t="str">
        <f>IFERROR(__xludf.DUMMYFUNCTION("""COMPUTED_VALUE"""),"2023-07-30T21:47:07Z")</f>
        <v>2023-07-30T21:47:07Z</v>
      </c>
      <c r="X1008" s="43"/>
      <c r="Y1008" s="43"/>
      <c r="Z1008" s="43"/>
    </row>
    <row r="1009" hidden="1">
      <c r="A1009" s="43" t="str">
        <f>IFERROR(__xludf.DUMMYFUNCTION("""COMPUTED_VALUE"""),"5334982_1298887")</f>
        <v>5334982_1298887</v>
      </c>
      <c r="B1009" s="43" t="str">
        <f>IFERROR(__xludf.DUMMYFUNCTION("""COMPUTED_VALUE"""),"Emine Duru Yılmaz")</f>
        <v>Emine Duru Yılmaz</v>
      </c>
      <c r="C1009" s="43" t="str">
        <f>IFERROR(__xludf.DUMMYFUNCTION("""COMPUTED_VALUE"""),"approved")</f>
        <v>approved</v>
      </c>
      <c r="D1009" s="43" t="str">
        <f>IFERROR(__xludf.DUMMYFUNCTION("""COMPUTED_VALUE"""),"No")</f>
        <v>No</v>
      </c>
      <c r="E1009" s="43" t="str">
        <f>IFERROR(__xludf.DUMMYFUNCTION("""COMPUTED_VALUE"""),"p_b9624d7ca2a6e690977c0b9bb1a3a889a47b96f1@inbound.aiesec.org")</f>
        <v>p_b9624d7ca2a6e690977c0b9bb1a3a889a47b96f1@inbound.aiesec.org</v>
      </c>
      <c r="F1009" s="43">
        <f>IFERROR(__xludf.DUMMYFUNCTION("""COMPUTED_VALUE"""),5.453533461E9)</f>
        <v>5453533461</v>
      </c>
      <c r="G1009" s="43" t="str">
        <f>IFERROR(__xludf.DUMMYFUNCTION("""COMPUTED_VALUE"""),"Turkey")</f>
        <v>Turkey</v>
      </c>
      <c r="H1009" s="43" t="str">
        <f>IFERROR(__xludf.DUMMYFUNCTION("""COMPUTED_VALUE"""),"ISTANBUL ASIA")</f>
        <v>ISTANBUL ASIA</v>
      </c>
      <c r="I1009" s="43" t="str">
        <f>IFERROR(__xludf.DUMMYFUNCTION("""COMPUTED_VALUE"""),"Egypt")</f>
        <v>Egypt</v>
      </c>
      <c r="J1009" s="43" t="str">
        <f>IFERROR(__xludf.DUMMYFUNCTION("""COMPUTED_VALUE"""),"6th October University")</f>
        <v>6th October University</v>
      </c>
      <c r="K1009" s="44" t="str">
        <f>IFERROR(__xludf.DUMMYFUNCTION("""COMPUTED_VALUE"""),"https://expa.aiesec.org/opportunities/1298887")</f>
        <v>https://expa.aiesec.org/opportunities/1298887</v>
      </c>
      <c r="L1009" s="43" t="str">
        <f>IFERROR(__xludf.DUMMYFUNCTION("""COMPUTED_VALUE"""),"GV")</f>
        <v>GV</v>
      </c>
      <c r="M1009" s="43" t="str">
        <f>IFERROR(__xludf.DUMMYFUNCTION("""COMPUTED_VALUE"""),"short")</f>
        <v>short</v>
      </c>
      <c r="N1009" s="45">
        <f>IFERROR(__xludf.DUMMYFUNCTION("""COMPUTED_VALUE"""),45198.0)</f>
        <v>45198</v>
      </c>
      <c r="O1009" s="45">
        <f>IFERROR(__xludf.DUMMYFUNCTION("""COMPUTED_VALUE"""),45488.0)</f>
        <v>45488</v>
      </c>
      <c r="P1009" s="45">
        <f>IFERROR(__xludf.DUMMYFUNCTION("""COMPUTED_VALUE"""),45530.0)</f>
        <v>45530</v>
      </c>
      <c r="Q1009" s="45"/>
      <c r="R1009" s="45"/>
      <c r="S1009" s="43"/>
      <c r="T1009" s="43"/>
      <c r="U1009" s="43" t="str">
        <f>IFERROR(__xludf.DUMMYFUNCTION("""COMPUTED_VALUE"""),"Fingerprint")</f>
        <v>Fingerprint</v>
      </c>
      <c r="V1009" s="43" t="str">
        <f>IFERROR(__xludf.DUMMYFUNCTION("""COMPUTED_VALUE"""),"-")</f>
        <v>-</v>
      </c>
      <c r="W1009" s="43" t="str">
        <f>IFERROR(__xludf.DUMMYFUNCTION("""COMPUTED_VALUE"""),"2023-09-27T12:44:56Z")</f>
        <v>2023-09-27T12:44:56Z</v>
      </c>
      <c r="X1009" s="43"/>
      <c r="Y1009" s="43"/>
      <c r="Z1009" s="43"/>
    </row>
    <row r="1010" hidden="1">
      <c r="A1010" s="43" t="str">
        <f>IFERROR(__xludf.DUMMYFUNCTION("""COMPUTED_VALUE"""),"5326099_1299131")</f>
        <v>5326099_1299131</v>
      </c>
      <c r="B1010" s="43" t="str">
        <f>IFERROR(__xludf.DUMMYFUNCTION("""COMPUTED_VALUE"""),"Uğur Bayrak")</f>
        <v>Uğur Bayrak</v>
      </c>
      <c r="C1010" s="43" t="str">
        <f>IFERROR(__xludf.DUMMYFUNCTION("""COMPUTED_VALUE"""),"approved")</f>
        <v>approved</v>
      </c>
      <c r="D1010" s="43" t="str">
        <f>IFERROR(__xludf.DUMMYFUNCTION("""COMPUTED_VALUE"""),"No")</f>
        <v>No</v>
      </c>
      <c r="E1010" s="43" t="str">
        <f>IFERROR(__xludf.DUMMYFUNCTION("""COMPUTED_VALUE"""),"p_c9d01871d5065c22cd319479ee59a9ecf5ff6112@inbound.aiesec.org")</f>
        <v>p_c9d01871d5065c22cd319479ee59a9ecf5ff6112@inbound.aiesec.org</v>
      </c>
      <c r="F1010" s="43"/>
      <c r="G1010" s="43" t="str">
        <f>IFERROR(__xludf.DUMMYFUNCTION("""COMPUTED_VALUE"""),"Turkey")</f>
        <v>Turkey</v>
      </c>
      <c r="H1010" s="43" t="str">
        <f>IFERROR(__xludf.DUMMYFUNCTION("""COMPUTED_VALUE"""),"ISTANBUL")</f>
        <v>ISTANBUL</v>
      </c>
      <c r="I1010" s="43" t="str">
        <f>IFERROR(__xludf.DUMMYFUNCTION("""COMPUTED_VALUE"""),"Moldova")</f>
        <v>Moldova</v>
      </c>
      <c r="J1010" s="43" t="str">
        <f>IFERROR(__xludf.DUMMYFUNCTION("""COMPUTED_VALUE"""),"CHISINAU")</f>
        <v>CHISINAU</v>
      </c>
      <c r="K1010" s="44" t="str">
        <f>IFERROR(__xludf.DUMMYFUNCTION("""COMPUTED_VALUE"""),"https://expa.aiesec.org/opportunities/1299131")</f>
        <v>https://expa.aiesec.org/opportunities/1299131</v>
      </c>
      <c r="L1010" s="43" t="str">
        <f>IFERROR(__xludf.DUMMYFUNCTION("""COMPUTED_VALUE"""),"GV")</f>
        <v>GV</v>
      </c>
      <c r="M1010" s="43" t="str">
        <f>IFERROR(__xludf.DUMMYFUNCTION("""COMPUTED_VALUE"""),"short")</f>
        <v>short</v>
      </c>
      <c r="N1010" s="45">
        <f>IFERROR(__xludf.DUMMYFUNCTION("""COMPUTED_VALUE"""),45198.0)</f>
        <v>45198</v>
      </c>
      <c r="O1010" s="45">
        <f>IFERROR(__xludf.DUMMYFUNCTION("""COMPUTED_VALUE"""),45306.0)</f>
        <v>45306</v>
      </c>
      <c r="P1010" s="45">
        <f>IFERROR(__xludf.DUMMYFUNCTION("""COMPUTED_VALUE"""),45348.0)</f>
        <v>45348</v>
      </c>
      <c r="Q1010" s="45"/>
      <c r="R1010" s="45"/>
      <c r="S1010" s="43"/>
      <c r="T1010" s="43"/>
      <c r="U1010" s="43" t="str">
        <f>IFERROR(__xludf.DUMMYFUNCTION("""COMPUTED_VALUE"""),"Global Classroom")</f>
        <v>Global Classroom</v>
      </c>
      <c r="V1010" s="43" t="str">
        <f>IFERROR(__xludf.DUMMYFUNCTION("""COMPUTED_VALUE"""),"-")</f>
        <v>-</v>
      </c>
      <c r="W1010" s="43" t="str">
        <f>IFERROR(__xludf.DUMMYFUNCTION("""COMPUTED_VALUE"""),"2023-09-17T13:21:15Z")</f>
        <v>2023-09-17T13:21:15Z</v>
      </c>
      <c r="X1010" s="43"/>
      <c r="Y1010" s="43"/>
      <c r="Z1010" s="43"/>
    </row>
    <row r="1011" hidden="1">
      <c r="A1011" s="43" t="str">
        <f>IFERROR(__xludf.DUMMYFUNCTION("""COMPUTED_VALUE"""),"5337205_1298571")</f>
        <v>5337205_1298571</v>
      </c>
      <c r="B1011" s="43" t="str">
        <f>IFERROR(__xludf.DUMMYFUNCTION("""COMPUTED_VALUE"""),"Arjin Doğan")</f>
        <v>Arjin Doğan</v>
      </c>
      <c r="C1011" s="43" t="str">
        <f>IFERROR(__xludf.DUMMYFUNCTION("""COMPUTED_VALUE"""),"approved")</f>
        <v>approved</v>
      </c>
      <c r="D1011" s="43" t="str">
        <f>IFERROR(__xludf.DUMMYFUNCTION("""COMPUTED_VALUE"""),"No")</f>
        <v>No</v>
      </c>
      <c r="E1011" s="43" t="str">
        <f>IFERROR(__xludf.DUMMYFUNCTION("""COMPUTED_VALUE"""),"p_fbdb4156bde73b2e8db9b093ff19097b151cd582@inbound.aiesec.org")</f>
        <v>p_fbdb4156bde73b2e8db9b093ff19097b151cd582@inbound.aiesec.org</v>
      </c>
      <c r="F1011" s="43">
        <f>IFERROR(__xludf.DUMMYFUNCTION("""COMPUTED_VALUE"""),5.53947667E9)</f>
        <v>5539476670</v>
      </c>
      <c r="G1011" s="43" t="str">
        <f>IFERROR(__xludf.DUMMYFUNCTION("""COMPUTED_VALUE"""),"Turkey")</f>
        <v>Turkey</v>
      </c>
      <c r="H1011" s="43" t="str">
        <f>IFERROR(__xludf.DUMMYFUNCTION("""COMPUTED_VALUE"""),"KONYA")</f>
        <v>KONYA</v>
      </c>
      <c r="I1011" s="43" t="str">
        <f>IFERROR(__xludf.DUMMYFUNCTION("""COMPUTED_VALUE"""),"Egypt")</f>
        <v>Egypt</v>
      </c>
      <c r="J1011" s="43" t="str">
        <f>IFERROR(__xludf.DUMMYFUNCTION("""COMPUTED_VALUE"""),"6th October University")</f>
        <v>6th October University</v>
      </c>
      <c r="K1011" s="44" t="str">
        <f>IFERROR(__xludf.DUMMYFUNCTION("""COMPUTED_VALUE"""),"https://expa.aiesec.org/opportunities/1298571")</f>
        <v>https://expa.aiesec.org/opportunities/1298571</v>
      </c>
      <c r="L1011" s="43" t="str">
        <f>IFERROR(__xludf.DUMMYFUNCTION("""COMPUTED_VALUE"""),"GV")</f>
        <v>GV</v>
      </c>
      <c r="M1011" s="43" t="str">
        <f>IFERROR(__xludf.DUMMYFUNCTION("""COMPUTED_VALUE"""),"short")</f>
        <v>short</v>
      </c>
      <c r="N1011" s="45">
        <f>IFERROR(__xludf.DUMMYFUNCTION("""COMPUTED_VALUE"""),45199.0)</f>
        <v>45199</v>
      </c>
      <c r="O1011" s="45">
        <f>IFERROR(__xludf.DUMMYFUNCTION("""COMPUTED_VALUE"""),45337.0)</f>
        <v>45337</v>
      </c>
      <c r="P1011" s="45">
        <f>IFERROR(__xludf.DUMMYFUNCTION("""COMPUTED_VALUE"""),45379.0)</f>
        <v>45379</v>
      </c>
      <c r="Q1011" s="45"/>
      <c r="R1011" s="45"/>
      <c r="S1011" s="43"/>
      <c r="T1011" s="43"/>
      <c r="U1011" s="43" t="str">
        <f>IFERROR(__xludf.DUMMYFUNCTION("""COMPUTED_VALUE"""),"Global Classroom")</f>
        <v>Global Classroom</v>
      </c>
      <c r="V1011" s="43" t="str">
        <f>IFERROR(__xludf.DUMMYFUNCTION("""COMPUTED_VALUE"""),"KONYA")</f>
        <v>KONYA</v>
      </c>
      <c r="W1011" s="43" t="str">
        <f>IFERROR(__xludf.DUMMYFUNCTION("""COMPUTED_VALUE"""),"2023-09-29T09:51:56Z")</f>
        <v>2023-09-29T09:51:56Z</v>
      </c>
      <c r="X1011" s="43"/>
      <c r="Y1011" s="43"/>
      <c r="Z1011" s="43"/>
    </row>
    <row r="1012" hidden="1">
      <c r="A1012" s="43" t="str">
        <f>IFERROR(__xludf.DUMMYFUNCTION("""COMPUTED_VALUE"""),"5333243_1298571")</f>
        <v>5333243_1298571</v>
      </c>
      <c r="B1012" s="43" t="str">
        <f>IFERROR(__xludf.DUMMYFUNCTION("""COMPUTED_VALUE"""),"Emine Balcı")</f>
        <v>Emine Balcı</v>
      </c>
      <c r="C1012" s="43" t="str">
        <f>IFERROR(__xludf.DUMMYFUNCTION("""COMPUTED_VALUE"""),"approved")</f>
        <v>approved</v>
      </c>
      <c r="D1012" s="43" t="str">
        <f>IFERROR(__xludf.DUMMYFUNCTION("""COMPUTED_VALUE"""),"No")</f>
        <v>No</v>
      </c>
      <c r="E1012" s="43" t="str">
        <f>IFERROR(__xludf.DUMMYFUNCTION("""COMPUTED_VALUE"""),"p_69007cf80f846af8ef11cd793edeeb1881310d36@inbound.aiesec.org")</f>
        <v>p_69007cf80f846af8ef11cd793edeeb1881310d36@inbound.aiesec.org</v>
      </c>
      <c r="F1012" s="43">
        <f>IFERROR(__xludf.DUMMYFUNCTION("""COMPUTED_VALUE"""),5.358279055E9)</f>
        <v>5358279055</v>
      </c>
      <c r="G1012" s="43" t="str">
        <f>IFERROR(__xludf.DUMMYFUNCTION("""COMPUTED_VALUE"""),"Turkey")</f>
        <v>Turkey</v>
      </c>
      <c r="H1012" s="43" t="str">
        <f>IFERROR(__xludf.DUMMYFUNCTION("""COMPUTED_VALUE"""),"KONYA")</f>
        <v>KONYA</v>
      </c>
      <c r="I1012" s="43" t="str">
        <f>IFERROR(__xludf.DUMMYFUNCTION("""COMPUTED_VALUE"""),"Egypt")</f>
        <v>Egypt</v>
      </c>
      <c r="J1012" s="43" t="str">
        <f>IFERROR(__xludf.DUMMYFUNCTION("""COMPUTED_VALUE"""),"6th October University")</f>
        <v>6th October University</v>
      </c>
      <c r="K1012" s="44" t="str">
        <f>IFERROR(__xludf.DUMMYFUNCTION("""COMPUTED_VALUE"""),"https://expa.aiesec.org/opportunities/1298571")</f>
        <v>https://expa.aiesec.org/opportunities/1298571</v>
      </c>
      <c r="L1012" s="43" t="str">
        <f>IFERROR(__xludf.DUMMYFUNCTION("""COMPUTED_VALUE"""),"GV")</f>
        <v>GV</v>
      </c>
      <c r="M1012" s="43" t="str">
        <f>IFERROR(__xludf.DUMMYFUNCTION("""COMPUTED_VALUE"""),"short")</f>
        <v>short</v>
      </c>
      <c r="N1012" s="45">
        <f>IFERROR(__xludf.DUMMYFUNCTION("""COMPUTED_VALUE"""),45199.0)</f>
        <v>45199</v>
      </c>
      <c r="O1012" s="45">
        <f>IFERROR(__xludf.DUMMYFUNCTION("""COMPUTED_VALUE"""),45337.0)</f>
        <v>45337</v>
      </c>
      <c r="P1012" s="45">
        <f>IFERROR(__xludf.DUMMYFUNCTION("""COMPUTED_VALUE"""),45379.0)</f>
        <v>45379</v>
      </c>
      <c r="Q1012" s="45"/>
      <c r="R1012" s="45"/>
      <c r="S1012" s="43"/>
      <c r="T1012" s="43"/>
      <c r="U1012" s="43" t="str">
        <f>IFERROR(__xludf.DUMMYFUNCTION("""COMPUTED_VALUE"""),"Global Classroom")</f>
        <v>Global Classroom</v>
      </c>
      <c r="V1012" s="43" t="str">
        <f>IFERROR(__xludf.DUMMYFUNCTION("""COMPUTED_VALUE"""),"KONYA")</f>
        <v>KONYA</v>
      </c>
      <c r="W1012" s="43" t="str">
        <f>IFERROR(__xludf.DUMMYFUNCTION("""COMPUTED_VALUE"""),"2023-09-26T09:33:07Z")</f>
        <v>2023-09-26T09:33:07Z</v>
      </c>
      <c r="X1012" s="43"/>
      <c r="Y1012" s="43"/>
      <c r="Z1012" s="43"/>
    </row>
    <row r="1013" hidden="1">
      <c r="A1013" s="43" t="str">
        <f>IFERROR(__xludf.DUMMYFUNCTION("""COMPUTED_VALUE"""),"5338558_1286381")</f>
        <v>5338558_1286381</v>
      </c>
      <c r="B1013" s="43" t="str">
        <f>IFERROR(__xludf.DUMMYFUNCTION("""COMPUTED_VALUE"""),"Lale Isık")</f>
        <v>Lale Isık</v>
      </c>
      <c r="C1013" s="43" t="str">
        <f>IFERROR(__xludf.DUMMYFUNCTION("""COMPUTED_VALUE"""),"approved")</f>
        <v>approved</v>
      </c>
      <c r="D1013" s="43" t="str">
        <f>IFERROR(__xludf.DUMMYFUNCTION("""COMPUTED_VALUE"""),"No")</f>
        <v>No</v>
      </c>
      <c r="E1013" s="43" t="str">
        <f>IFERROR(__xludf.DUMMYFUNCTION("""COMPUTED_VALUE"""),"p_2d121a3b23cf00d1e78018fe114357cda2ac270e@inbound.aiesec.org")</f>
        <v>p_2d121a3b23cf00d1e78018fe114357cda2ac270e@inbound.aiesec.org</v>
      </c>
      <c r="F1013" s="43">
        <f>IFERROR(__xludf.DUMMYFUNCTION("""COMPUTED_VALUE"""),5.512772334E9)</f>
        <v>5512772334</v>
      </c>
      <c r="G1013" s="43" t="str">
        <f>IFERROR(__xludf.DUMMYFUNCTION("""COMPUTED_VALUE"""),"Turkey")</f>
        <v>Turkey</v>
      </c>
      <c r="H1013" s="43" t="str">
        <f>IFERROR(__xludf.DUMMYFUNCTION("""COMPUTED_VALUE"""),"ISTANBUL WEST")</f>
        <v>ISTANBUL WEST</v>
      </c>
      <c r="I1013" s="43" t="str">
        <f>IFERROR(__xludf.DUMMYFUNCTION("""COMPUTED_VALUE"""),"Egypt")</f>
        <v>Egypt</v>
      </c>
      <c r="J1013" s="43" t="str">
        <f>IFERROR(__xludf.DUMMYFUNCTION("""COMPUTED_VALUE"""),"Tanta")</f>
        <v>Tanta</v>
      </c>
      <c r="K1013" s="44" t="str">
        <f>IFERROR(__xludf.DUMMYFUNCTION("""COMPUTED_VALUE"""),"https://expa.aiesec.org/opportunities/1286381")</f>
        <v>https://expa.aiesec.org/opportunities/1286381</v>
      </c>
      <c r="L1013" s="43" t="str">
        <f>IFERROR(__xludf.DUMMYFUNCTION("""COMPUTED_VALUE"""),"GV")</f>
        <v>GV</v>
      </c>
      <c r="M1013" s="43" t="str">
        <f>IFERROR(__xludf.DUMMYFUNCTION("""COMPUTED_VALUE"""),"short")</f>
        <v>short</v>
      </c>
      <c r="N1013" s="45">
        <f>IFERROR(__xludf.DUMMYFUNCTION("""COMPUTED_VALUE"""),45199.0)</f>
        <v>45199</v>
      </c>
      <c r="O1013" s="45">
        <f>IFERROR(__xludf.DUMMYFUNCTION("""COMPUTED_VALUE"""),45474.0)</f>
        <v>45474</v>
      </c>
      <c r="P1013" s="45">
        <f>IFERROR(__xludf.DUMMYFUNCTION("""COMPUTED_VALUE"""),45516.0)</f>
        <v>45516</v>
      </c>
      <c r="Q1013" s="45"/>
      <c r="R1013" s="45"/>
      <c r="S1013" s="43"/>
      <c r="T1013" s="43"/>
      <c r="U1013" s="43" t="str">
        <f>IFERROR(__xludf.DUMMYFUNCTION("""COMPUTED_VALUE"""),"Heartbeat")</f>
        <v>Heartbeat</v>
      </c>
      <c r="V1013" s="43" t="str">
        <f>IFERROR(__xludf.DUMMYFUNCTION("""COMPUTED_VALUE"""),"ISTANBUL - BAKIRKOY")</f>
        <v>ISTANBUL - BAKIRKOY</v>
      </c>
      <c r="W1013" s="43" t="str">
        <f>IFERROR(__xludf.DUMMYFUNCTION("""COMPUTED_VALUE"""),"2023-09-30T17:25:21Z")</f>
        <v>2023-09-30T17:25:21Z</v>
      </c>
      <c r="X1013" s="43"/>
      <c r="Y1013" s="43"/>
      <c r="Z1013" s="43"/>
    </row>
    <row r="1014" hidden="1">
      <c r="A1014" s="43" t="str">
        <f>IFERROR(__xludf.DUMMYFUNCTION("""COMPUTED_VALUE"""),"5337852_1295312")</f>
        <v>5337852_1295312</v>
      </c>
      <c r="B1014" s="43" t="str">
        <f>IFERROR(__xludf.DUMMYFUNCTION("""COMPUTED_VALUE"""),"Azime Aydoğan")</f>
        <v>Azime Aydoğan</v>
      </c>
      <c r="C1014" s="43" t="str">
        <f>IFERROR(__xludf.DUMMYFUNCTION("""COMPUTED_VALUE"""),"approved")</f>
        <v>approved</v>
      </c>
      <c r="D1014" s="43" t="str">
        <f>IFERROR(__xludf.DUMMYFUNCTION("""COMPUTED_VALUE"""),"No")</f>
        <v>No</v>
      </c>
      <c r="E1014" s="43" t="str">
        <f>IFERROR(__xludf.DUMMYFUNCTION("""COMPUTED_VALUE"""),"p_0c7950680faacdd238da3d4d6703634c3bc77404@inbound.aiesec.org")</f>
        <v>p_0c7950680faacdd238da3d4d6703634c3bc77404@inbound.aiesec.org</v>
      </c>
      <c r="F1014" s="43">
        <f>IFERROR(__xludf.DUMMYFUNCTION("""COMPUTED_VALUE"""),5.535425861E9)</f>
        <v>5535425861</v>
      </c>
      <c r="G1014" s="43" t="str">
        <f>IFERROR(__xludf.DUMMYFUNCTION("""COMPUTED_VALUE"""),"Turkey")</f>
        <v>Turkey</v>
      </c>
      <c r="H1014" s="43" t="str">
        <f>IFERROR(__xludf.DUMMYFUNCTION("""COMPUTED_VALUE"""),"KONYA")</f>
        <v>KONYA</v>
      </c>
      <c r="I1014" s="43" t="str">
        <f>IFERROR(__xludf.DUMMYFUNCTION("""COMPUTED_VALUE"""),"Egypt")</f>
        <v>Egypt</v>
      </c>
      <c r="J1014" s="43" t="str">
        <f>IFERROR(__xludf.DUMMYFUNCTION("""COMPUTED_VALUE"""),"Cairo University")</f>
        <v>Cairo University</v>
      </c>
      <c r="K1014" s="44" t="str">
        <f>IFERROR(__xludf.DUMMYFUNCTION("""COMPUTED_VALUE"""),"https://expa.aiesec.org/opportunities/1295312")</f>
        <v>https://expa.aiesec.org/opportunities/1295312</v>
      </c>
      <c r="L1014" s="43" t="str">
        <f>IFERROR(__xludf.DUMMYFUNCTION("""COMPUTED_VALUE"""),"GV")</f>
        <v>GV</v>
      </c>
      <c r="M1014" s="43" t="str">
        <f>IFERROR(__xludf.DUMMYFUNCTION("""COMPUTED_VALUE"""),"short")</f>
        <v>short</v>
      </c>
      <c r="N1014" s="45">
        <f>IFERROR(__xludf.DUMMYFUNCTION("""COMPUTED_VALUE"""),45199.0)</f>
        <v>45199</v>
      </c>
      <c r="O1014" s="45">
        <f>IFERROR(__xludf.DUMMYFUNCTION("""COMPUTED_VALUE"""),45444.0)</f>
        <v>45444</v>
      </c>
      <c r="P1014" s="45">
        <f>IFERROR(__xludf.DUMMYFUNCTION("""COMPUTED_VALUE"""),45486.0)</f>
        <v>45486</v>
      </c>
      <c r="Q1014" s="45"/>
      <c r="R1014" s="45"/>
      <c r="S1014" s="43"/>
      <c r="T1014" s="43"/>
      <c r="U1014" s="43" t="str">
        <f>IFERROR(__xludf.DUMMYFUNCTION("""COMPUTED_VALUE"""),"Green Leaders")</f>
        <v>Green Leaders</v>
      </c>
      <c r="V1014" s="43" t="str">
        <f>IFERROR(__xludf.DUMMYFUNCTION("""COMPUTED_VALUE"""),"KONYA")</f>
        <v>KONYA</v>
      </c>
      <c r="W1014" s="43" t="str">
        <f>IFERROR(__xludf.DUMMYFUNCTION("""COMPUTED_VALUE"""),"2023-09-29T21:45:29Z")</f>
        <v>2023-09-29T21:45:29Z</v>
      </c>
      <c r="X1014" s="43"/>
      <c r="Y1014" s="43"/>
      <c r="Z1014" s="43"/>
    </row>
    <row r="1015" hidden="1">
      <c r="A1015" s="43" t="str">
        <f>IFERROR(__xludf.DUMMYFUNCTION("""COMPUTED_VALUE"""),"5292230_1298571")</f>
        <v>5292230_1298571</v>
      </c>
      <c r="B1015" s="43" t="str">
        <f>IFERROR(__xludf.DUMMYFUNCTION("""COMPUTED_VALUE"""),"Didem Ayça Yılmaz")</f>
        <v>Didem Ayça Yılmaz</v>
      </c>
      <c r="C1015" s="43" t="str">
        <f>IFERROR(__xludf.DUMMYFUNCTION("""COMPUTED_VALUE"""),"approved")</f>
        <v>approved</v>
      </c>
      <c r="D1015" s="43" t="str">
        <f>IFERROR(__xludf.DUMMYFUNCTION("""COMPUTED_VALUE"""),"No")</f>
        <v>No</v>
      </c>
      <c r="E1015" s="43" t="str">
        <f>IFERROR(__xludf.DUMMYFUNCTION("""COMPUTED_VALUE"""),"p_2e731b2f6dc5b1f4bc46a6f8c3b553ad907f6472@inbound.aiesec.org")</f>
        <v>p_2e731b2f6dc5b1f4bc46a6f8c3b553ad907f6472@inbound.aiesec.org</v>
      </c>
      <c r="F1015" s="43">
        <f>IFERROR(__xludf.DUMMYFUNCTION("""COMPUTED_VALUE"""),5.539884704E9)</f>
        <v>5539884704</v>
      </c>
      <c r="G1015" s="43" t="str">
        <f>IFERROR(__xludf.DUMMYFUNCTION("""COMPUTED_VALUE"""),"Turkey")</f>
        <v>Turkey</v>
      </c>
      <c r="H1015" s="43" t="str">
        <f>IFERROR(__xludf.DUMMYFUNCTION("""COMPUTED_VALUE"""),"BURSA")</f>
        <v>BURSA</v>
      </c>
      <c r="I1015" s="43" t="str">
        <f>IFERROR(__xludf.DUMMYFUNCTION("""COMPUTED_VALUE"""),"Egypt")</f>
        <v>Egypt</v>
      </c>
      <c r="J1015" s="43" t="str">
        <f>IFERROR(__xludf.DUMMYFUNCTION("""COMPUTED_VALUE"""),"6th October University")</f>
        <v>6th October University</v>
      </c>
      <c r="K1015" s="44" t="str">
        <f>IFERROR(__xludf.DUMMYFUNCTION("""COMPUTED_VALUE"""),"https://expa.aiesec.org/opportunities/1298571")</f>
        <v>https://expa.aiesec.org/opportunities/1298571</v>
      </c>
      <c r="L1015" s="43" t="str">
        <f>IFERROR(__xludf.DUMMYFUNCTION("""COMPUTED_VALUE"""),"GV")</f>
        <v>GV</v>
      </c>
      <c r="M1015" s="43" t="str">
        <f>IFERROR(__xludf.DUMMYFUNCTION("""COMPUTED_VALUE"""),"short")</f>
        <v>short</v>
      </c>
      <c r="N1015" s="45">
        <f>IFERROR(__xludf.DUMMYFUNCTION("""COMPUTED_VALUE"""),45199.0)</f>
        <v>45199</v>
      </c>
      <c r="O1015" s="45">
        <f>IFERROR(__xludf.DUMMYFUNCTION("""COMPUTED_VALUE"""),45313.0)</f>
        <v>45313</v>
      </c>
      <c r="P1015" s="45">
        <f>IFERROR(__xludf.DUMMYFUNCTION("""COMPUTED_VALUE"""),45355.0)</f>
        <v>45355</v>
      </c>
      <c r="Q1015" s="45"/>
      <c r="R1015" s="45"/>
      <c r="S1015" s="43"/>
      <c r="T1015" s="43"/>
      <c r="U1015" s="43" t="str">
        <f>IFERROR(__xludf.DUMMYFUNCTION("""COMPUTED_VALUE"""),"Global Classroom")</f>
        <v>Global Classroom</v>
      </c>
      <c r="V1015" s="43" t="str">
        <f>IFERROR(__xludf.DUMMYFUNCTION("""COMPUTED_VALUE"""),"BALIKESIR")</f>
        <v>BALIKESIR</v>
      </c>
      <c r="W1015" s="43" t="str">
        <f>IFERROR(__xludf.DUMMYFUNCTION("""COMPUTED_VALUE"""),"2023-07-31T14:57:11Z")</f>
        <v>2023-07-31T14:57:11Z</v>
      </c>
      <c r="X1015" s="43"/>
      <c r="Y1015" s="43"/>
      <c r="Z1015" s="43"/>
    </row>
    <row r="1016" hidden="1">
      <c r="A1016" s="43" t="str">
        <f>IFERROR(__xludf.DUMMYFUNCTION("""COMPUTED_VALUE"""),"5338345_1299605")</f>
        <v>5338345_1299605</v>
      </c>
      <c r="B1016" s="43" t="str">
        <f>IFERROR(__xludf.DUMMYFUNCTION("""COMPUTED_VALUE"""),"Sevgi Korkusuz")</f>
        <v>Sevgi Korkusuz</v>
      </c>
      <c r="C1016" s="43" t="str">
        <f>IFERROR(__xludf.DUMMYFUNCTION("""COMPUTED_VALUE"""),"approved")</f>
        <v>approved</v>
      </c>
      <c r="D1016" s="43" t="str">
        <f>IFERROR(__xludf.DUMMYFUNCTION("""COMPUTED_VALUE"""),"No")</f>
        <v>No</v>
      </c>
      <c r="E1016" s="43" t="str">
        <f>IFERROR(__xludf.DUMMYFUNCTION("""COMPUTED_VALUE"""),"p_64c8a6ccad2b38ae158e8d246e31573d9fe58f3f@inbound.aiesec.org")</f>
        <v>p_64c8a6ccad2b38ae158e8d246e31573d9fe58f3f@inbound.aiesec.org</v>
      </c>
      <c r="F1016" s="43">
        <f>IFERROR(__xludf.DUMMYFUNCTION("""COMPUTED_VALUE"""),5.435403654E9)</f>
        <v>5435403654</v>
      </c>
      <c r="G1016" s="43" t="str">
        <f>IFERROR(__xludf.DUMMYFUNCTION("""COMPUTED_VALUE"""),"Turkey")</f>
        <v>Turkey</v>
      </c>
      <c r="H1016" s="43" t="str">
        <f>IFERROR(__xludf.DUMMYFUNCTION("""COMPUTED_VALUE"""),"ANTALYA")</f>
        <v>ANTALYA</v>
      </c>
      <c r="I1016" s="43" t="str">
        <f>IFERROR(__xludf.DUMMYFUNCTION("""COMPUTED_VALUE"""),"Tunisia")</f>
        <v>Tunisia</v>
      </c>
      <c r="J1016" s="43" t="str">
        <f>IFERROR(__xludf.DUMMYFUNCTION("""COMPUTED_VALUE"""),"SFAX")</f>
        <v>SFAX</v>
      </c>
      <c r="K1016" s="44" t="str">
        <f>IFERROR(__xludf.DUMMYFUNCTION("""COMPUTED_VALUE"""),"https://expa.aiesec.org/opportunities/1299605")</f>
        <v>https://expa.aiesec.org/opportunities/1299605</v>
      </c>
      <c r="L1016" s="43" t="str">
        <f>IFERROR(__xludf.DUMMYFUNCTION("""COMPUTED_VALUE"""),"GV")</f>
        <v>GV</v>
      </c>
      <c r="M1016" s="43" t="str">
        <f>IFERROR(__xludf.DUMMYFUNCTION("""COMPUTED_VALUE"""),"short")</f>
        <v>short</v>
      </c>
      <c r="N1016" s="45">
        <f>IFERROR(__xludf.DUMMYFUNCTION("""COMPUTED_VALUE"""),45199.0)</f>
        <v>45199</v>
      </c>
      <c r="O1016" s="45">
        <f>IFERROR(__xludf.DUMMYFUNCTION("""COMPUTED_VALUE"""),45317.0)</f>
        <v>45317</v>
      </c>
      <c r="P1016" s="45">
        <f>IFERROR(__xludf.DUMMYFUNCTION("""COMPUTED_VALUE"""),45359.0)</f>
        <v>45359</v>
      </c>
      <c r="Q1016" s="45"/>
      <c r="R1016" s="45"/>
      <c r="S1016" s="43"/>
      <c r="T1016" s="43"/>
      <c r="U1016" s="43" t="str">
        <f>IFERROR(__xludf.DUMMYFUNCTION("""COMPUTED_VALUE"""),"Aquatica")</f>
        <v>Aquatica</v>
      </c>
      <c r="V1016" s="43" t="str">
        <f>IFERROR(__xludf.DUMMYFUNCTION("""COMPUTED_VALUE"""),"ANTALYA")</f>
        <v>ANTALYA</v>
      </c>
      <c r="W1016" s="43" t="str">
        <f>IFERROR(__xludf.DUMMYFUNCTION("""COMPUTED_VALUE"""),"2023-09-30T13:42:38Z")</f>
        <v>2023-09-30T13:42:38Z</v>
      </c>
      <c r="X1016" s="43"/>
      <c r="Y1016" s="43"/>
      <c r="Z1016" s="43"/>
    </row>
    <row r="1017" hidden="1">
      <c r="A1017" s="43" t="str">
        <f>IFERROR(__xludf.DUMMYFUNCTION("""COMPUTED_VALUE"""),"4729327_1299605")</f>
        <v>4729327_1299605</v>
      </c>
      <c r="B1017" s="43" t="str">
        <f>IFERROR(__xludf.DUMMYFUNCTION("""COMPUTED_VALUE"""),"Mehpare Sözen")</f>
        <v>Mehpare Sözen</v>
      </c>
      <c r="C1017" s="43" t="str">
        <f>IFERROR(__xludf.DUMMYFUNCTION("""COMPUTED_VALUE"""),"approved")</f>
        <v>approved</v>
      </c>
      <c r="D1017" s="43" t="str">
        <f>IFERROR(__xludf.DUMMYFUNCTION("""COMPUTED_VALUE"""),"No")</f>
        <v>No</v>
      </c>
      <c r="E1017" s="43" t="str">
        <f>IFERROR(__xludf.DUMMYFUNCTION("""COMPUTED_VALUE"""),"p_1c43635d5d09da1851d181d316c6cbb036d86ee7@inbound.aiesec.org")</f>
        <v>p_1c43635d5d09da1851d181d316c6cbb036d86ee7@inbound.aiesec.org</v>
      </c>
      <c r="F1017" s="43">
        <f>IFERROR(__xludf.DUMMYFUNCTION("""COMPUTED_VALUE"""),5.413065298E9)</f>
        <v>5413065298</v>
      </c>
      <c r="G1017" s="43" t="str">
        <f>IFERROR(__xludf.DUMMYFUNCTION("""COMPUTED_VALUE"""),"Turkey")</f>
        <v>Turkey</v>
      </c>
      <c r="H1017" s="43" t="str">
        <f>IFERROR(__xludf.DUMMYFUNCTION("""COMPUTED_VALUE"""),"ANTALYA")</f>
        <v>ANTALYA</v>
      </c>
      <c r="I1017" s="43" t="str">
        <f>IFERROR(__xludf.DUMMYFUNCTION("""COMPUTED_VALUE"""),"Tunisia")</f>
        <v>Tunisia</v>
      </c>
      <c r="J1017" s="43" t="str">
        <f>IFERROR(__xludf.DUMMYFUNCTION("""COMPUTED_VALUE"""),"SFAX")</f>
        <v>SFAX</v>
      </c>
      <c r="K1017" s="44" t="str">
        <f>IFERROR(__xludf.DUMMYFUNCTION("""COMPUTED_VALUE"""),"https://expa.aiesec.org/opportunities/1299605")</f>
        <v>https://expa.aiesec.org/opportunities/1299605</v>
      </c>
      <c r="L1017" s="43" t="str">
        <f>IFERROR(__xludf.DUMMYFUNCTION("""COMPUTED_VALUE"""),"GV")</f>
        <v>GV</v>
      </c>
      <c r="M1017" s="43" t="str">
        <f>IFERROR(__xludf.DUMMYFUNCTION("""COMPUTED_VALUE"""),"short")</f>
        <v>short</v>
      </c>
      <c r="N1017" s="45">
        <f>IFERROR(__xludf.DUMMYFUNCTION("""COMPUTED_VALUE"""),45199.0)</f>
        <v>45199</v>
      </c>
      <c r="O1017" s="45">
        <f>IFERROR(__xludf.DUMMYFUNCTION("""COMPUTED_VALUE"""),45317.0)</f>
        <v>45317</v>
      </c>
      <c r="P1017" s="45">
        <f>IFERROR(__xludf.DUMMYFUNCTION("""COMPUTED_VALUE"""),45359.0)</f>
        <v>45359</v>
      </c>
      <c r="Q1017" s="45"/>
      <c r="R1017" s="45"/>
      <c r="S1017" s="43"/>
      <c r="T1017" s="43"/>
      <c r="U1017" s="43" t="str">
        <f>IFERROR(__xludf.DUMMYFUNCTION("""COMPUTED_VALUE"""),"Aquatica")</f>
        <v>Aquatica</v>
      </c>
      <c r="V1017" s="43" t="str">
        <f>IFERROR(__xludf.DUMMYFUNCTION("""COMPUTED_VALUE"""),"ISTANBUL - BEYOGLU")</f>
        <v>ISTANBUL - BEYOGLU</v>
      </c>
      <c r="W1017" s="43" t="str">
        <f>IFERROR(__xludf.DUMMYFUNCTION("""COMPUTED_VALUE"""),"2021-09-05T09:33:15Z")</f>
        <v>2021-09-05T09:33:15Z</v>
      </c>
      <c r="X1017" s="43"/>
      <c r="Y1017" s="43"/>
      <c r="Z1017" s="43"/>
    </row>
    <row r="1018" hidden="1">
      <c r="A1018" s="43" t="str">
        <f>IFERROR(__xludf.DUMMYFUNCTION("""COMPUTED_VALUE"""),"5333933_1294459")</f>
        <v>5333933_1294459</v>
      </c>
      <c r="B1018" s="43" t="str">
        <f>IFERROR(__xludf.DUMMYFUNCTION("""COMPUTED_VALUE"""),"Ozan Efe Çalışkan")</f>
        <v>Ozan Efe Çalışkan</v>
      </c>
      <c r="C1018" s="43" t="str">
        <f>IFERROR(__xludf.DUMMYFUNCTION("""COMPUTED_VALUE"""),"approved")</f>
        <v>approved</v>
      </c>
      <c r="D1018" s="43" t="str">
        <f>IFERROR(__xludf.DUMMYFUNCTION("""COMPUTED_VALUE"""),"No")</f>
        <v>No</v>
      </c>
      <c r="E1018" s="43" t="str">
        <f>IFERROR(__xludf.DUMMYFUNCTION("""COMPUTED_VALUE"""),"p_eda783c6d64472fda78229798b16f9aa37d2c045@inbound.aiesec.org")</f>
        <v>p_eda783c6d64472fda78229798b16f9aa37d2c045@inbound.aiesec.org</v>
      </c>
      <c r="F1018" s="43">
        <f>IFERROR(__xludf.DUMMYFUNCTION("""COMPUTED_VALUE"""),5.525162023E9)</f>
        <v>5525162023</v>
      </c>
      <c r="G1018" s="43" t="str">
        <f>IFERROR(__xludf.DUMMYFUNCTION("""COMPUTED_VALUE"""),"Turkey")</f>
        <v>Turkey</v>
      </c>
      <c r="H1018" s="43" t="str">
        <f>IFERROR(__xludf.DUMMYFUNCTION("""COMPUTED_VALUE"""),"İZMİR")</f>
        <v>İZMİR</v>
      </c>
      <c r="I1018" s="43" t="str">
        <f>IFERROR(__xludf.DUMMYFUNCTION("""COMPUTED_VALUE"""),"Egypt")</f>
        <v>Egypt</v>
      </c>
      <c r="J1018" s="43" t="str">
        <f>IFERROR(__xludf.DUMMYFUNCTION("""COMPUTED_VALUE"""),"Cairo University")</f>
        <v>Cairo University</v>
      </c>
      <c r="K1018" s="44" t="str">
        <f>IFERROR(__xludf.DUMMYFUNCTION("""COMPUTED_VALUE"""),"https://expa.aiesec.org/opportunities/1294459")</f>
        <v>https://expa.aiesec.org/opportunities/1294459</v>
      </c>
      <c r="L1018" s="43" t="str">
        <f>IFERROR(__xludf.DUMMYFUNCTION("""COMPUTED_VALUE"""),"GV")</f>
        <v>GV</v>
      </c>
      <c r="M1018" s="43" t="str">
        <f>IFERROR(__xludf.DUMMYFUNCTION("""COMPUTED_VALUE"""),"short")</f>
        <v>short</v>
      </c>
      <c r="N1018" s="45">
        <f>IFERROR(__xludf.DUMMYFUNCTION("""COMPUTED_VALUE"""),45201.0)</f>
        <v>45201</v>
      </c>
      <c r="O1018" s="45">
        <f>IFERROR(__xludf.DUMMYFUNCTION("""COMPUTED_VALUE"""),45458.0)</f>
        <v>45458</v>
      </c>
      <c r="P1018" s="45">
        <f>IFERROR(__xludf.DUMMYFUNCTION("""COMPUTED_VALUE"""),45500.0)</f>
        <v>45500</v>
      </c>
      <c r="Q1018" s="45"/>
      <c r="R1018" s="45"/>
      <c r="S1018" s="43"/>
      <c r="T1018" s="43"/>
      <c r="U1018" s="43" t="str">
        <f>IFERROR(__xludf.DUMMYFUNCTION("""COMPUTED_VALUE"""),"Global Classroom")</f>
        <v>Global Classroom</v>
      </c>
      <c r="V1018" s="43" t="str">
        <f>IFERROR(__xludf.DUMMYFUNCTION("""COMPUTED_VALUE"""),"IZMIR")</f>
        <v>IZMIR</v>
      </c>
      <c r="W1018" s="43" t="str">
        <f>IFERROR(__xludf.DUMMYFUNCTION("""COMPUTED_VALUE"""),"2023-09-26T16:00:20Z")</f>
        <v>2023-09-26T16:00:20Z</v>
      </c>
      <c r="X1018" s="43"/>
      <c r="Y1018" s="43"/>
      <c r="Z1018" s="43"/>
    </row>
    <row r="1019" hidden="1">
      <c r="A1019" s="43" t="str">
        <f>IFERROR(__xludf.DUMMYFUNCTION("""COMPUTED_VALUE"""),"5337815_1288609")</f>
        <v>5337815_1288609</v>
      </c>
      <c r="B1019" s="43" t="str">
        <f>IFERROR(__xludf.DUMMYFUNCTION("""COMPUTED_VALUE"""),"İlker Pamukçu")</f>
        <v>İlker Pamukçu</v>
      </c>
      <c r="C1019" s="43" t="str">
        <f>IFERROR(__xludf.DUMMYFUNCTION("""COMPUTED_VALUE"""),"approved")</f>
        <v>approved</v>
      </c>
      <c r="D1019" s="43" t="str">
        <f>IFERROR(__xludf.DUMMYFUNCTION("""COMPUTED_VALUE"""),"No")</f>
        <v>No</v>
      </c>
      <c r="E1019" s="43" t="str">
        <f>IFERROR(__xludf.DUMMYFUNCTION("""COMPUTED_VALUE"""),"p_8d6b64e5c2ef241f2fba3920e2ff0f035eaa82bf@inbound.aiesec.org")</f>
        <v>p_8d6b64e5c2ef241f2fba3920e2ff0f035eaa82bf@inbound.aiesec.org</v>
      </c>
      <c r="F1019" s="43">
        <f>IFERROR(__xludf.DUMMYFUNCTION("""COMPUTED_VALUE"""),5.07105796E9)</f>
        <v>5071057960</v>
      </c>
      <c r="G1019" s="43" t="str">
        <f>IFERROR(__xludf.DUMMYFUNCTION("""COMPUTED_VALUE"""),"Turkey")</f>
        <v>Turkey</v>
      </c>
      <c r="H1019" s="43" t="str">
        <f>IFERROR(__xludf.DUMMYFUNCTION("""COMPUTED_VALUE"""),"ISTANBUL WEST")</f>
        <v>ISTANBUL WEST</v>
      </c>
      <c r="I1019" s="43" t="str">
        <f>IFERROR(__xludf.DUMMYFUNCTION("""COMPUTED_VALUE"""),"Egypt")</f>
        <v>Egypt</v>
      </c>
      <c r="J1019" s="43" t="str">
        <f>IFERROR(__xludf.DUMMYFUNCTION("""COMPUTED_VALUE"""),"Tanta")</f>
        <v>Tanta</v>
      </c>
      <c r="K1019" s="44" t="str">
        <f>IFERROR(__xludf.DUMMYFUNCTION("""COMPUTED_VALUE"""),"https://expa.aiesec.org/opportunities/1288609")</f>
        <v>https://expa.aiesec.org/opportunities/1288609</v>
      </c>
      <c r="L1019" s="43" t="str">
        <f>IFERROR(__xludf.DUMMYFUNCTION("""COMPUTED_VALUE"""),"GV")</f>
        <v>GV</v>
      </c>
      <c r="M1019" s="43" t="str">
        <f>IFERROR(__xludf.DUMMYFUNCTION("""COMPUTED_VALUE"""),"short")</f>
        <v>short</v>
      </c>
      <c r="N1019" s="45">
        <f>IFERROR(__xludf.DUMMYFUNCTION("""COMPUTED_VALUE"""),45201.0)</f>
        <v>45201</v>
      </c>
      <c r="O1019" s="45">
        <f>IFERROR(__xludf.DUMMYFUNCTION("""COMPUTED_VALUE"""),45292.0)</f>
        <v>45292</v>
      </c>
      <c r="P1019" s="45">
        <f>IFERROR(__xludf.DUMMYFUNCTION("""COMPUTED_VALUE"""),45334.0)</f>
        <v>45334</v>
      </c>
      <c r="Q1019" s="45"/>
      <c r="R1019" s="45"/>
      <c r="S1019" s="43"/>
      <c r="T1019" s="43"/>
      <c r="U1019" s="43" t="str">
        <f>IFERROR(__xludf.DUMMYFUNCTION("""COMPUTED_VALUE"""),"On The Map")</f>
        <v>On The Map</v>
      </c>
      <c r="V1019" s="43" t="str">
        <f>IFERROR(__xludf.DUMMYFUNCTION("""COMPUTED_VALUE"""),"ISTANBUL - BAKIRKOY")</f>
        <v>ISTANBUL - BAKIRKOY</v>
      </c>
      <c r="W1019" s="43" t="str">
        <f>IFERROR(__xludf.DUMMYFUNCTION("""COMPUTED_VALUE"""),"2023-09-29T20:35:02Z")</f>
        <v>2023-09-29T20:35:02Z</v>
      </c>
      <c r="X1019" s="43"/>
      <c r="Y1019" s="43"/>
      <c r="Z1019" s="43"/>
    </row>
    <row r="1020" hidden="1">
      <c r="A1020" s="43" t="str">
        <f>IFERROR(__xludf.DUMMYFUNCTION("""COMPUTED_VALUE"""),"5323249_1299119")</f>
        <v>5323249_1299119</v>
      </c>
      <c r="B1020" s="43" t="str">
        <f>IFERROR(__xludf.DUMMYFUNCTION("""COMPUTED_VALUE"""),"Işık Topçuoğlu")</f>
        <v>Işık Topçuoğlu</v>
      </c>
      <c r="C1020" s="43" t="str">
        <f>IFERROR(__xludf.DUMMYFUNCTION("""COMPUTED_VALUE"""),"approved")</f>
        <v>approved</v>
      </c>
      <c r="D1020" s="43" t="str">
        <f>IFERROR(__xludf.DUMMYFUNCTION("""COMPUTED_VALUE"""),"No")</f>
        <v>No</v>
      </c>
      <c r="E1020" s="43" t="str">
        <f>IFERROR(__xludf.DUMMYFUNCTION("""COMPUTED_VALUE"""),"p_2e547c58df22918a98085c849f07fe945b22c3aa@inbound.aiesec.org")</f>
        <v>p_2e547c58df22918a98085c849f07fe945b22c3aa@inbound.aiesec.org</v>
      </c>
      <c r="F1020" s="43"/>
      <c r="G1020" s="43" t="str">
        <f>IFERROR(__xludf.DUMMYFUNCTION("""COMPUTED_VALUE"""),"Turkey")</f>
        <v>Turkey</v>
      </c>
      <c r="H1020" s="43" t="str">
        <f>IFERROR(__xludf.DUMMYFUNCTION("""COMPUTED_VALUE"""),"İZMİR")</f>
        <v>İZMİR</v>
      </c>
      <c r="I1020" s="43" t="str">
        <f>IFERROR(__xludf.DUMMYFUNCTION("""COMPUTED_VALUE"""),"Romania")</f>
        <v>Romania</v>
      </c>
      <c r="J1020" s="43" t="str">
        <f>IFERROR(__xludf.DUMMYFUNCTION("""COMPUTED_VALUE"""),"SIBIU")</f>
        <v>SIBIU</v>
      </c>
      <c r="K1020" s="44" t="str">
        <f>IFERROR(__xludf.DUMMYFUNCTION("""COMPUTED_VALUE"""),"https://expa.aiesec.org/opportunities/1299119")</f>
        <v>https://expa.aiesec.org/opportunities/1299119</v>
      </c>
      <c r="L1020" s="43" t="str">
        <f>IFERROR(__xludf.DUMMYFUNCTION("""COMPUTED_VALUE"""),"GV")</f>
        <v>GV</v>
      </c>
      <c r="M1020" s="43" t="str">
        <f>IFERROR(__xludf.DUMMYFUNCTION("""COMPUTED_VALUE"""),"short")</f>
        <v>short</v>
      </c>
      <c r="N1020" s="45">
        <f>IFERROR(__xludf.DUMMYFUNCTION("""COMPUTED_VALUE"""),45202.0)</f>
        <v>45202</v>
      </c>
      <c r="O1020" s="45">
        <f>IFERROR(__xludf.DUMMYFUNCTION("""COMPUTED_VALUE"""),45299.0)</f>
        <v>45299</v>
      </c>
      <c r="P1020" s="45">
        <f>IFERROR(__xludf.DUMMYFUNCTION("""COMPUTED_VALUE"""),45341.0)</f>
        <v>45341</v>
      </c>
      <c r="Q1020" s="45"/>
      <c r="R1020" s="45"/>
      <c r="S1020" s="43"/>
      <c r="T1020" s="43"/>
      <c r="U1020" s="43" t="str">
        <f>IFERROR(__xludf.DUMMYFUNCTION("""COMPUTED_VALUE"""),"Eat 4 Change")</f>
        <v>Eat 4 Change</v>
      </c>
      <c r="V1020" s="43" t="str">
        <f>IFERROR(__xludf.DUMMYFUNCTION("""COMPUTED_VALUE"""),"IZMIR")</f>
        <v>IZMIR</v>
      </c>
      <c r="W1020" s="43" t="str">
        <f>IFERROR(__xludf.DUMMYFUNCTION("""COMPUTED_VALUE"""),"2023-09-13T15:46:54Z")</f>
        <v>2023-09-13T15:46:54Z</v>
      </c>
      <c r="X1020" s="43"/>
      <c r="Y1020" s="43"/>
      <c r="Z1020" s="43"/>
    </row>
    <row r="1021" hidden="1">
      <c r="A1021" s="43" t="str">
        <f>IFERROR(__xludf.DUMMYFUNCTION("""COMPUTED_VALUE"""),"5339625_1298766")</f>
        <v>5339625_1298766</v>
      </c>
      <c r="B1021" s="43" t="str">
        <f>IFERROR(__xludf.DUMMYFUNCTION("""COMPUTED_VALUE"""),"Hatice Berfin Kurutçu")</f>
        <v>Hatice Berfin Kurutçu</v>
      </c>
      <c r="C1021" s="43" t="str">
        <f>IFERROR(__xludf.DUMMYFUNCTION("""COMPUTED_VALUE"""),"realized")</f>
        <v>realized</v>
      </c>
      <c r="D1021" s="43" t="str">
        <f>IFERROR(__xludf.DUMMYFUNCTION("""COMPUTED_VALUE"""),"No")</f>
        <v>No</v>
      </c>
      <c r="E1021" s="43" t="str">
        <f>IFERROR(__xludf.DUMMYFUNCTION("""COMPUTED_VALUE"""),"p_949845a54e5c3e0dec7c081ce0ed50cf8642ebb1@inbound.aiesec.org")</f>
        <v>p_949845a54e5c3e0dec7c081ce0ed50cf8642ebb1@inbound.aiesec.org</v>
      </c>
      <c r="F1021" s="43"/>
      <c r="G1021" s="43" t="str">
        <f>IFERROR(__xludf.DUMMYFUNCTION("""COMPUTED_VALUE"""),"Turkey")</f>
        <v>Turkey</v>
      </c>
      <c r="H1021" s="43" t="str">
        <f>IFERROR(__xludf.DUMMYFUNCTION("""COMPUTED_VALUE"""),"ISTANBUL")</f>
        <v>ISTANBUL</v>
      </c>
      <c r="I1021" s="43" t="str">
        <f>IFERROR(__xludf.DUMMYFUNCTION("""COMPUTED_VALUE"""),"Tunisia")</f>
        <v>Tunisia</v>
      </c>
      <c r="J1021" s="43" t="str">
        <f>IFERROR(__xludf.DUMMYFUNCTION("""COMPUTED_VALUE"""),"RUSPINA")</f>
        <v>RUSPINA</v>
      </c>
      <c r="K1021" s="44" t="str">
        <f>IFERROR(__xludf.DUMMYFUNCTION("""COMPUTED_VALUE"""),"https://expa.aiesec.org/opportunities/1298766")</f>
        <v>https://expa.aiesec.org/opportunities/1298766</v>
      </c>
      <c r="L1021" s="43" t="str">
        <f>IFERROR(__xludf.DUMMYFUNCTION("""COMPUTED_VALUE"""),"GV")</f>
        <v>GV</v>
      </c>
      <c r="M1021" s="43" t="str">
        <f>IFERROR(__xludf.DUMMYFUNCTION("""COMPUTED_VALUE"""),"short")</f>
        <v>short</v>
      </c>
      <c r="N1021" s="45">
        <f>IFERROR(__xludf.DUMMYFUNCTION("""COMPUTED_VALUE"""),45203.0)</f>
        <v>45203</v>
      </c>
      <c r="O1021" s="45">
        <f>IFERROR(__xludf.DUMMYFUNCTION("""COMPUTED_VALUE"""),45311.0)</f>
        <v>45311</v>
      </c>
      <c r="P1021" s="45">
        <f>IFERROR(__xludf.DUMMYFUNCTION("""COMPUTED_VALUE"""),45353.0)</f>
        <v>45353</v>
      </c>
      <c r="Q1021" s="45">
        <f>IFERROR(__xludf.DUMMYFUNCTION("""COMPUTED_VALUE"""),45316.0)</f>
        <v>45316</v>
      </c>
      <c r="R1021" s="45">
        <f>IFERROR(__xludf.DUMMYFUNCTION("""COMPUTED_VALUE"""),45358.0)</f>
        <v>45358</v>
      </c>
      <c r="S1021" s="43"/>
      <c r="T1021" s="43"/>
      <c r="U1021" s="43" t="str">
        <f>IFERROR(__xludf.DUMMYFUNCTION("""COMPUTED_VALUE"""),"Global Classroom")</f>
        <v>Global Classroom</v>
      </c>
      <c r="V1021" s="43" t="str">
        <f>IFERROR(__xludf.DUMMYFUNCTION("""COMPUTED_VALUE"""),"-")</f>
        <v>-</v>
      </c>
      <c r="W1021" s="43" t="str">
        <f>IFERROR(__xludf.DUMMYFUNCTION("""COMPUTED_VALUE"""),"2023-10-02T09:45:19Z")</f>
        <v>2023-10-02T09:45:19Z</v>
      </c>
      <c r="X1021" s="43"/>
      <c r="Y1021" s="43"/>
      <c r="Z1021" s="43"/>
    </row>
    <row r="1022" hidden="1">
      <c r="A1022" s="43" t="str">
        <f>IFERROR(__xludf.DUMMYFUNCTION("""COMPUTED_VALUE"""),"5331141_1289339")</f>
        <v>5331141_1289339</v>
      </c>
      <c r="B1022" s="43" t="str">
        <f>IFERROR(__xludf.DUMMYFUNCTION("""COMPUTED_VALUE"""),"Nehir yalçın")</f>
        <v>Nehir yalçın</v>
      </c>
      <c r="C1022" s="43" t="str">
        <f>IFERROR(__xludf.DUMMYFUNCTION("""COMPUTED_VALUE"""),"approved")</f>
        <v>approved</v>
      </c>
      <c r="D1022" s="43" t="str">
        <f>IFERROR(__xludf.DUMMYFUNCTION("""COMPUTED_VALUE"""),"No")</f>
        <v>No</v>
      </c>
      <c r="E1022" s="43" t="str">
        <f>IFERROR(__xludf.DUMMYFUNCTION("""COMPUTED_VALUE"""),"p_961c6b71dd58ce17c63f4c103eae0e9280b08881@inbound.aiesec.org")</f>
        <v>p_961c6b71dd58ce17c63f4c103eae0e9280b08881@inbound.aiesec.org</v>
      </c>
      <c r="F1022" s="43">
        <f>IFERROR(__xludf.DUMMYFUNCTION("""COMPUTED_VALUE"""),5.412975103E9)</f>
        <v>5412975103</v>
      </c>
      <c r="G1022" s="43" t="str">
        <f>IFERROR(__xludf.DUMMYFUNCTION("""COMPUTED_VALUE"""),"Turkey")</f>
        <v>Turkey</v>
      </c>
      <c r="H1022" s="43" t="str">
        <f>IFERROR(__xludf.DUMMYFUNCTION("""COMPUTED_VALUE"""),"ISTANBUL")</f>
        <v>ISTANBUL</v>
      </c>
      <c r="I1022" s="43" t="str">
        <f>IFERROR(__xludf.DUMMYFUNCTION("""COMPUTED_VALUE"""),"Egypt")</f>
        <v>Egypt</v>
      </c>
      <c r="J1022" s="43" t="str">
        <f>IFERROR(__xludf.DUMMYFUNCTION("""COMPUTED_VALUE"""),"Ain Shams University")</f>
        <v>Ain Shams University</v>
      </c>
      <c r="K1022" s="44" t="str">
        <f>IFERROR(__xludf.DUMMYFUNCTION("""COMPUTED_VALUE"""),"https://expa.aiesec.org/opportunities/1289339")</f>
        <v>https://expa.aiesec.org/opportunities/1289339</v>
      </c>
      <c r="L1022" s="43" t="str">
        <f>IFERROR(__xludf.DUMMYFUNCTION("""COMPUTED_VALUE"""),"GV")</f>
        <v>GV</v>
      </c>
      <c r="M1022" s="43" t="str">
        <f>IFERROR(__xludf.DUMMYFUNCTION("""COMPUTED_VALUE"""),"short")</f>
        <v>short</v>
      </c>
      <c r="N1022" s="45">
        <f>IFERROR(__xludf.DUMMYFUNCTION("""COMPUTED_VALUE"""),45203.0)</f>
        <v>45203</v>
      </c>
      <c r="O1022" s="45">
        <f>IFERROR(__xludf.DUMMYFUNCTION("""COMPUTED_VALUE"""),45488.0)</f>
        <v>45488</v>
      </c>
      <c r="P1022" s="45">
        <f>IFERROR(__xludf.DUMMYFUNCTION("""COMPUTED_VALUE"""),45530.0)</f>
        <v>45530</v>
      </c>
      <c r="Q1022" s="45"/>
      <c r="R1022" s="45"/>
      <c r="S1022" s="43"/>
      <c r="T1022" s="43"/>
      <c r="U1022" s="43" t="str">
        <f>IFERROR(__xludf.DUMMYFUNCTION("""COMPUTED_VALUE"""),"Rooted")</f>
        <v>Rooted</v>
      </c>
      <c r="V1022" s="43" t="str">
        <f>IFERROR(__xludf.DUMMYFUNCTION("""COMPUTED_VALUE"""),"AYDIN")</f>
        <v>AYDIN</v>
      </c>
      <c r="W1022" s="43" t="str">
        <f>IFERROR(__xludf.DUMMYFUNCTION("""COMPUTED_VALUE"""),"2023-09-24T10:12:59Z")</f>
        <v>2023-09-24T10:12:59Z</v>
      </c>
      <c r="X1022" s="43"/>
      <c r="Y1022" s="43"/>
      <c r="Z1022" s="43"/>
    </row>
    <row r="1023" hidden="1">
      <c r="A1023" s="43" t="str">
        <f>IFERROR(__xludf.DUMMYFUNCTION("""COMPUTED_VALUE"""),"5245430_1299890")</f>
        <v>5245430_1299890</v>
      </c>
      <c r="B1023" s="43" t="str">
        <f>IFERROR(__xludf.DUMMYFUNCTION("""COMPUTED_VALUE"""),"Galip Kürkçüoğlu")</f>
        <v>Galip Kürkçüoğlu</v>
      </c>
      <c r="C1023" s="43" t="str">
        <f>IFERROR(__xludf.DUMMYFUNCTION("""COMPUTED_VALUE"""),"approved")</f>
        <v>approved</v>
      </c>
      <c r="D1023" s="43" t="str">
        <f>IFERROR(__xludf.DUMMYFUNCTION("""COMPUTED_VALUE"""),"No")</f>
        <v>No</v>
      </c>
      <c r="E1023" s="43" t="str">
        <f>IFERROR(__xludf.DUMMYFUNCTION("""COMPUTED_VALUE"""),"p_34601b5be933b69055c6fe10fa49b85f8f725d38@inbound.aiesec.org")</f>
        <v>p_34601b5be933b69055c6fe10fa49b85f8f725d38@inbound.aiesec.org</v>
      </c>
      <c r="F1023" s="43"/>
      <c r="G1023" s="43" t="str">
        <f>IFERROR(__xludf.DUMMYFUNCTION("""COMPUTED_VALUE"""),"Turkey")</f>
        <v>Turkey</v>
      </c>
      <c r="H1023" s="43" t="str">
        <f>IFERROR(__xludf.DUMMYFUNCTION("""COMPUTED_VALUE"""),"BURSA")</f>
        <v>BURSA</v>
      </c>
      <c r="I1023" s="43" t="str">
        <f>IFERROR(__xludf.DUMMYFUNCTION("""COMPUTED_VALUE"""),"Tunisia")</f>
        <v>Tunisia</v>
      </c>
      <c r="J1023" s="43" t="str">
        <f>IFERROR(__xludf.DUMMYFUNCTION("""COMPUTED_VALUE"""),"UNIVERSITY")</f>
        <v>UNIVERSITY</v>
      </c>
      <c r="K1023" s="44" t="str">
        <f>IFERROR(__xludf.DUMMYFUNCTION("""COMPUTED_VALUE"""),"https://expa.aiesec.org/opportunities/1299890")</f>
        <v>https://expa.aiesec.org/opportunities/1299890</v>
      </c>
      <c r="L1023" s="43" t="str">
        <f>IFERROR(__xludf.DUMMYFUNCTION("""COMPUTED_VALUE"""),"GV")</f>
        <v>GV</v>
      </c>
      <c r="M1023" s="43" t="str">
        <f>IFERROR(__xludf.DUMMYFUNCTION("""COMPUTED_VALUE"""),"short")</f>
        <v>short</v>
      </c>
      <c r="N1023" s="45">
        <f>IFERROR(__xludf.DUMMYFUNCTION("""COMPUTED_VALUE"""),45204.0)</f>
        <v>45204</v>
      </c>
      <c r="O1023" s="45">
        <f>IFERROR(__xludf.DUMMYFUNCTION("""COMPUTED_VALUE"""),45313.0)</f>
        <v>45313</v>
      </c>
      <c r="P1023" s="45">
        <f>IFERROR(__xludf.DUMMYFUNCTION("""COMPUTED_VALUE"""),45355.0)</f>
        <v>45355</v>
      </c>
      <c r="Q1023" s="45"/>
      <c r="R1023" s="45"/>
      <c r="S1023" s="43"/>
      <c r="T1023" s="43"/>
      <c r="U1023" s="43" t="str">
        <f>IFERROR(__xludf.DUMMYFUNCTION("""COMPUTED_VALUE"""),"Global Classroom")</f>
        <v>Global Classroom</v>
      </c>
      <c r="V1023" s="43" t="str">
        <f>IFERROR(__xludf.DUMMYFUNCTION("""COMPUTED_VALUE"""),"-")</f>
        <v>-</v>
      </c>
      <c r="W1023" s="43" t="str">
        <f>IFERROR(__xludf.DUMMYFUNCTION("""COMPUTED_VALUE"""),"2023-04-19T14:46:53Z")</f>
        <v>2023-04-19T14:46:53Z</v>
      </c>
      <c r="X1023" s="43"/>
      <c r="Y1023" s="43"/>
      <c r="Z1023" s="43"/>
    </row>
    <row r="1024" hidden="1">
      <c r="A1024" s="43" t="str">
        <f>IFERROR(__xludf.DUMMYFUNCTION("""COMPUTED_VALUE"""),"5343740_1298817")</f>
        <v>5343740_1298817</v>
      </c>
      <c r="B1024" s="43" t="str">
        <f>IFERROR(__xludf.DUMMYFUNCTION("""COMPUTED_VALUE"""),"Elif Derya Güngören")</f>
        <v>Elif Derya Güngören</v>
      </c>
      <c r="C1024" s="43" t="str">
        <f>IFERROR(__xludf.DUMMYFUNCTION("""COMPUTED_VALUE"""),"approved")</f>
        <v>approved</v>
      </c>
      <c r="D1024" s="43" t="str">
        <f>IFERROR(__xludf.DUMMYFUNCTION("""COMPUTED_VALUE"""),"No")</f>
        <v>No</v>
      </c>
      <c r="E1024" s="43" t="str">
        <f>IFERROR(__xludf.DUMMYFUNCTION("""COMPUTED_VALUE"""),"p_5d76625cb14fb41160301ef2578f33d55f115672@inbound.aiesec.org")</f>
        <v>p_5d76625cb14fb41160301ef2578f33d55f115672@inbound.aiesec.org</v>
      </c>
      <c r="F1024" s="43">
        <f>IFERROR(__xludf.DUMMYFUNCTION("""COMPUTED_VALUE"""),5.078652783E9)</f>
        <v>5078652783</v>
      </c>
      <c r="G1024" s="43" t="str">
        <f>IFERROR(__xludf.DUMMYFUNCTION("""COMPUTED_VALUE"""),"Turkey")</f>
        <v>Turkey</v>
      </c>
      <c r="H1024" s="43" t="str">
        <f>IFERROR(__xludf.DUMMYFUNCTION("""COMPUTED_VALUE"""),"İZMİR")</f>
        <v>İZMİR</v>
      </c>
      <c r="I1024" s="43" t="str">
        <f>IFERROR(__xludf.DUMMYFUNCTION("""COMPUTED_VALUE"""),"Egypt")</f>
        <v>Egypt</v>
      </c>
      <c r="J1024" s="43" t="str">
        <f>IFERROR(__xludf.DUMMYFUNCTION("""COMPUTED_VALUE"""),"Ain Shams University")</f>
        <v>Ain Shams University</v>
      </c>
      <c r="K1024" s="44" t="str">
        <f>IFERROR(__xludf.DUMMYFUNCTION("""COMPUTED_VALUE"""),"https://expa.aiesec.org/opportunities/1298817")</f>
        <v>https://expa.aiesec.org/opportunities/1298817</v>
      </c>
      <c r="L1024" s="43" t="str">
        <f>IFERROR(__xludf.DUMMYFUNCTION("""COMPUTED_VALUE"""),"GV")</f>
        <v>GV</v>
      </c>
      <c r="M1024" s="43" t="str">
        <f>IFERROR(__xludf.DUMMYFUNCTION("""COMPUTED_VALUE"""),"short")</f>
        <v>short</v>
      </c>
      <c r="N1024" s="45">
        <f>IFERROR(__xludf.DUMMYFUNCTION("""COMPUTED_VALUE"""),45205.0)</f>
        <v>45205</v>
      </c>
      <c r="O1024" s="45">
        <f>IFERROR(__xludf.DUMMYFUNCTION("""COMPUTED_VALUE"""),45218.0)</f>
        <v>45218</v>
      </c>
      <c r="P1024" s="45">
        <f>IFERROR(__xludf.DUMMYFUNCTION("""COMPUTED_VALUE"""),45260.0)</f>
        <v>45260</v>
      </c>
      <c r="Q1024" s="45"/>
      <c r="R1024" s="45"/>
      <c r="S1024" s="43"/>
      <c r="T1024" s="43"/>
      <c r="U1024" s="43" t="str">
        <f>IFERROR(__xludf.DUMMYFUNCTION("""COMPUTED_VALUE"""),"Global Classroom")</f>
        <v>Global Classroom</v>
      </c>
      <c r="V1024" s="43" t="str">
        <f>IFERROR(__xludf.DUMMYFUNCTION("""COMPUTED_VALUE"""),"IZMIR")</f>
        <v>IZMIR</v>
      </c>
      <c r="W1024" s="43" t="str">
        <f>IFERROR(__xludf.DUMMYFUNCTION("""COMPUTED_VALUE"""),"2023-10-06T09:36:22Z")</f>
        <v>2023-10-06T09:36:22Z</v>
      </c>
      <c r="X1024" s="43"/>
      <c r="Y1024" s="43"/>
      <c r="Z1024" s="43"/>
    </row>
    <row r="1025" hidden="1">
      <c r="A1025" s="43" t="str">
        <f>IFERROR(__xludf.DUMMYFUNCTION("""COMPUTED_VALUE"""),"5322972_1298053")</f>
        <v>5322972_1298053</v>
      </c>
      <c r="B1025" s="43" t="str">
        <f>IFERROR(__xludf.DUMMYFUNCTION("""COMPUTED_VALUE"""),"Mustafa Ertuğrul")</f>
        <v>Mustafa Ertuğrul</v>
      </c>
      <c r="C1025" s="43" t="str">
        <f>IFERROR(__xludf.DUMMYFUNCTION("""COMPUTED_VALUE"""),"approved")</f>
        <v>approved</v>
      </c>
      <c r="D1025" s="43" t="str">
        <f>IFERROR(__xludf.DUMMYFUNCTION("""COMPUTED_VALUE"""),"No")</f>
        <v>No</v>
      </c>
      <c r="E1025" s="43" t="str">
        <f>IFERROR(__xludf.DUMMYFUNCTION("""COMPUTED_VALUE"""),"p_5481bcd103b3c942bf05956246fe01e423b7ce4b@inbound.aiesec.org")</f>
        <v>p_5481bcd103b3c942bf05956246fe01e423b7ce4b@inbound.aiesec.org</v>
      </c>
      <c r="F1025" s="43">
        <f>IFERROR(__xludf.DUMMYFUNCTION("""COMPUTED_VALUE"""),5.550094601E9)</f>
        <v>5550094601</v>
      </c>
      <c r="G1025" s="43" t="str">
        <f>IFERROR(__xludf.DUMMYFUNCTION("""COMPUTED_VALUE"""),"Turkey")</f>
        <v>Turkey</v>
      </c>
      <c r="H1025" s="43" t="str">
        <f>IFERROR(__xludf.DUMMYFUNCTION("""COMPUTED_VALUE"""),"ISTANBUL")</f>
        <v>ISTANBUL</v>
      </c>
      <c r="I1025" s="43" t="str">
        <f>IFERROR(__xludf.DUMMYFUNCTION("""COMPUTED_VALUE"""),"Romania")</f>
        <v>Romania</v>
      </c>
      <c r="J1025" s="43" t="str">
        <f>IFERROR(__xludf.DUMMYFUNCTION("""COMPUTED_VALUE"""),"PITESTI")</f>
        <v>PITESTI</v>
      </c>
      <c r="K1025" s="44" t="str">
        <f>IFERROR(__xludf.DUMMYFUNCTION("""COMPUTED_VALUE"""),"https://expa.aiesec.org/opportunities/1298053")</f>
        <v>https://expa.aiesec.org/opportunities/1298053</v>
      </c>
      <c r="L1025" s="43" t="str">
        <f>IFERROR(__xludf.DUMMYFUNCTION("""COMPUTED_VALUE"""),"GV")</f>
        <v>GV</v>
      </c>
      <c r="M1025" s="43" t="str">
        <f>IFERROR(__xludf.DUMMYFUNCTION("""COMPUTED_VALUE"""),"short")</f>
        <v>short</v>
      </c>
      <c r="N1025" s="45">
        <f>IFERROR(__xludf.DUMMYFUNCTION("""COMPUTED_VALUE"""),45205.0)</f>
        <v>45205</v>
      </c>
      <c r="O1025" s="45">
        <f>IFERROR(__xludf.DUMMYFUNCTION("""COMPUTED_VALUE"""),45297.0)</f>
        <v>45297</v>
      </c>
      <c r="P1025" s="45">
        <f>IFERROR(__xludf.DUMMYFUNCTION("""COMPUTED_VALUE"""),45339.0)</f>
        <v>45339</v>
      </c>
      <c r="Q1025" s="45"/>
      <c r="R1025" s="45"/>
      <c r="S1025" s="43"/>
      <c r="T1025" s="43"/>
      <c r="U1025" s="43" t="str">
        <f>IFERROR(__xludf.DUMMYFUNCTION("""COMPUTED_VALUE"""),"Eat 4 Change")</f>
        <v>Eat 4 Change</v>
      </c>
      <c r="V1025" s="43" t="str">
        <f>IFERROR(__xludf.DUMMYFUNCTION("""COMPUTED_VALUE"""),"ISTANBUL - BEYOGLU")</f>
        <v>ISTANBUL - BEYOGLU</v>
      </c>
      <c r="W1025" s="43" t="str">
        <f>IFERROR(__xludf.DUMMYFUNCTION("""COMPUTED_VALUE"""),"2023-09-13T10:34:06Z")</f>
        <v>2023-09-13T10:34:06Z</v>
      </c>
      <c r="X1025" s="43"/>
      <c r="Y1025" s="43"/>
      <c r="Z1025" s="43"/>
    </row>
    <row r="1026" hidden="1">
      <c r="A1026" s="43" t="str">
        <f>IFERROR(__xludf.DUMMYFUNCTION("""COMPUTED_VALUE"""),"5345028_1294063")</f>
        <v>5345028_1294063</v>
      </c>
      <c r="B1026" s="43" t="str">
        <f>IFERROR(__xludf.DUMMYFUNCTION("""COMPUTED_VALUE"""),"Sabrullah Levent")</f>
        <v>Sabrullah Levent</v>
      </c>
      <c r="C1026" s="43" t="str">
        <f>IFERROR(__xludf.DUMMYFUNCTION("""COMPUTED_VALUE"""),"approved")</f>
        <v>approved</v>
      </c>
      <c r="D1026" s="43" t="str">
        <f>IFERROR(__xludf.DUMMYFUNCTION("""COMPUTED_VALUE"""),"No")</f>
        <v>No</v>
      </c>
      <c r="E1026" s="43" t="str">
        <f>IFERROR(__xludf.DUMMYFUNCTION("""COMPUTED_VALUE"""),"p_9edb7ba9610f78c373cf013985e86fff27b0b987@inbound.aiesec.org")</f>
        <v>p_9edb7ba9610f78c373cf013985e86fff27b0b987@inbound.aiesec.org</v>
      </c>
      <c r="F1026" s="43">
        <f>IFERROR(__xludf.DUMMYFUNCTION("""COMPUTED_VALUE"""),5.307358603E9)</f>
        <v>5307358603</v>
      </c>
      <c r="G1026" s="43" t="str">
        <f>IFERROR(__xludf.DUMMYFUNCTION("""COMPUTED_VALUE"""),"Turkey")</f>
        <v>Turkey</v>
      </c>
      <c r="H1026" s="43" t="str">
        <f>IFERROR(__xludf.DUMMYFUNCTION("""COMPUTED_VALUE"""),"SAKARYA")</f>
        <v>SAKARYA</v>
      </c>
      <c r="I1026" s="43" t="str">
        <f>IFERROR(__xludf.DUMMYFUNCTION("""COMPUTED_VALUE"""),"Egypt")</f>
        <v>Egypt</v>
      </c>
      <c r="J1026" s="43" t="str">
        <f>IFERROR(__xludf.DUMMYFUNCTION("""COMPUTED_VALUE"""),"Ain Shams University")</f>
        <v>Ain Shams University</v>
      </c>
      <c r="K1026" s="44" t="str">
        <f>IFERROR(__xludf.DUMMYFUNCTION("""COMPUTED_VALUE"""),"https://expa.aiesec.org/opportunities/1294063")</f>
        <v>https://expa.aiesec.org/opportunities/1294063</v>
      </c>
      <c r="L1026" s="43" t="str">
        <f>IFERROR(__xludf.DUMMYFUNCTION("""COMPUTED_VALUE"""),"GV")</f>
        <v>GV</v>
      </c>
      <c r="M1026" s="43" t="str">
        <f>IFERROR(__xludf.DUMMYFUNCTION("""COMPUTED_VALUE"""),"short")</f>
        <v>short</v>
      </c>
      <c r="N1026" s="45">
        <f>IFERROR(__xludf.DUMMYFUNCTION("""COMPUTED_VALUE"""),45206.0)</f>
        <v>45206</v>
      </c>
      <c r="O1026" s="45">
        <f>IFERROR(__xludf.DUMMYFUNCTION("""COMPUTED_VALUE"""),45505.0)</f>
        <v>45505</v>
      </c>
      <c r="P1026" s="45">
        <f>IFERROR(__xludf.DUMMYFUNCTION("""COMPUTED_VALUE"""),45547.0)</f>
        <v>45547</v>
      </c>
      <c r="Q1026" s="45"/>
      <c r="R1026" s="45"/>
      <c r="S1026" s="43"/>
      <c r="T1026" s="43"/>
      <c r="U1026" s="43" t="str">
        <f>IFERROR(__xludf.DUMMYFUNCTION("""COMPUTED_VALUE"""),"On The Map")</f>
        <v>On The Map</v>
      </c>
      <c r="V1026" s="43" t="str">
        <f>IFERROR(__xludf.DUMMYFUNCTION("""COMPUTED_VALUE"""),"SAKARYA")</f>
        <v>SAKARYA</v>
      </c>
      <c r="W1026" s="43" t="str">
        <f>IFERROR(__xludf.DUMMYFUNCTION("""COMPUTED_VALUE"""),"2023-10-07T14:25:36Z")</f>
        <v>2023-10-07T14:25:36Z</v>
      </c>
      <c r="X1026" s="43"/>
      <c r="Y1026" s="43"/>
      <c r="Z1026" s="43"/>
    </row>
    <row r="1027" hidden="1">
      <c r="A1027" s="43" t="str">
        <f>IFERROR(__xludf.DUMMYFUNCTION("""COMPUTED_VALUE"""),"5337762_1299270")</f>
        <v>5337762_1299270</v>
      </c>
      <c r="B1027" s="43" t="str">
        <f>IFERROR(__xludf.DUMMYFUNCTION("""COMPUTED_VALUE"""),"Mustafa Oğuzhan Üstün")</f>
        <v>Mustafa Oğuzhan Üstün</v>
      </c>
      <c r="C1027" s="43" t="str">
        <f>IFERROR(__xludf.DUMMYFUNCTION("""COMPUTED_VALUE"""),"approved")</f>
        <v>approved</v>
      </c>
      <c r="D1027" s="43" t="str">
        <f>IFERROR(__xludf.DUMMYFUNCTION("""COMPUTED_VALUE"""),"No")</f>
        <v>No</v>
      </c>
      <c r="E1027" s="43" t="str">
        <f>IFERROR(__xludf.DUMMYFUNCTION("""COMPUTED_VALUE"""),"p_9758bb776f36c41b430bffc9270fc765d275f8fa@inbound.aiesec.org")</f>
        <v>p_9758bb776f36c41b430bffc9270fc765d275f8fa@inbound.aiesec.org</v>
      </c>
      <c r="F1027" s="43">
        <f>IFERROR(__xludf.DUMMYFUNCTION("""COMPUTED_VALUE"""),5.351092608E9)</f>
        <v>5351092608</v>
      </c>
      <c r="G1027" s="43" t="str">
        <f>IFERROR(__xludf.DUMMYFUNCTION("""COMPUTED_VALUE"""),"Turkey")</f>
        <v>Turkey</v>
      </c>
      <c r="H1027" s="43" t="str">
        <f>IFERROR(__xludf.DUMMYFUNCTION("""COMPUTED_VALUE"""),"ADANA")</f>
        <v>ADANA</v>
      </c>
      <c r="I1027" s="43" t="str">
        <f>IFERROR(__xludf.DUMMYFUNCTION("""COMPUTED_VALUE"""),"Egypt")</f>
        <v>Egypt</v>
      </c>
      <c r="J1027" s="43" t="str">
        <f>IFERROR(__xludf.DUMMYFUNCTION("""COMPUTED_VALUE"""),"Mansoura")</f>
        <v>Mansoura</v>
      </c>
      <c r="K1027" s="44" t="str">
        <f>IFERROR(__xludf.DUMMYFUNCTION("""COMPUTED_VALUE"""),"https://expa.aiesec.org/opportunities/1299270")</f>
        <v>https://expa.aiesec.org/opportunities/1299270</v>
      </c>
      <c r="L1027" s="43" t="str">
        <f>IFERROR(__xludf.DUMMYFUNCTION("""COMPUTED_VALUE"""),"GV")</f>
        <v>GV</v>
      </c>
      <c r="M1027" s="43" t="str">
        <f>IFERROR(__xludf.DUMMYFUNCTION("""COMPUTED_VALUE"""),"short")</f>
        <v>short</v>
      </c>
      <c r="N1027" s="45">
        <f>IFERROR(__xludf.DUMMYFUNCTION("""COMPUTED_VALUE"""),45206.0)</f>
        <v>45206</v>
      </c>
      <c r="O1027" s="45">
        <f>IFERROR(__xludf.DUMMYFUNCTION("""COMPUTED_VALUE"""),45474.0)</f>
        <v>45474</v>
      </c>
      <c r="P1027" s="45">
        <f>IFERROR(__xludf.DUMMYFUNCTION("""COMPUTED_VALUE"""),45516.0)</f>
        <v>45516</v>
      </c>
      <c r="Q1027" s="45"/>
      <c r="R1027" s="45"/>
      <c r="S1027" s="43"/>
      <c r="T1027" s="43"/>
      <c r="U1027" s="43" t="str">
        <f>IFERROR(__xludf.DUMMYFUNCTION("""COMPUTED_VALUE"""),"Global Classroom")</f>
        <v>Global Classroom</v>
      </c>
      <c r="V1027" s="43" t="str">
        <f>IFERROR(__xludf.DUMMYFUNCTION("""COMPUTED_VALUE"""),"ANKARA")</f>
        <v>ANKARA</v>
      </c>
      <c r="W1027" s="43" t="str">
        <f>IFERROR(__xludf.DUMMYFUNCTION("""COMPUTED_VALUE"""),"2023-09-29T18:37:19Z")</f>
        <v>2023-09-29T18:37:19Z</v>
      </c>
      <c r="X1027" s="43"/>
      <c r="Y1027" s="43"/>
      <c r="Z1027" s="43"/>
    </row>
    <row r="1028" hidden="1">
      <c r="A1028" s="43" t="str">
        <f>IFERROR(__xludf.DUMMYFUNCTION("""COMPUTED_VALUE"""),"5345136_1294063")</f>
        <v>5345136_1294063</v>
      </c>
      <c r="B1028" s="43" t="str">
        <f>IFERROR(__xludf.DUMMYFUNCTION("""COMPUTED_VALUE"""),"Berke Yalçın")</f>
        <v>Berke Yalçın</v>
      </c>
      <c r="C1028" s="43" t="str">
        <f>IFERROR(__xludf.DUMMYFUNCTION("""COMPUTED_VALUE"""),"approved")</f>
        <v>approved</v>
      </c>
      <c r="D1028" s="43" t="str">
        <f>IFERROR(__xludf.DUMMYFUNCTION("""COMPUTED_VALUE"""),"No")</f>
        <v>No</v>
      </c>
      <c r="E1028" s="43" t="str">
        <f>IFERROR(__xludf.DUMMYFUNCTION("""COMPUTED_VALUE"""),"p_1bc5ca18073d55b2ff9914b60ba8bde49dd33503@inbound.aiesec.org")</f>
        <v>p_1bc5ca18073d55b2ff9914b60ba8bde49dd33503@inbound.aiesec.org</v>
      </c>
      <c r="F1028" s="43">
        <f>IFERROR(__xludf.DUMMYFUNCTION("""COMPUTED_VALUE"""),5.533269635E9)</f>
        <v>5533269635</v>
      </c>
      <c r="G1028" s="43" t="str">
        <f>IFERROR(__xludf.DUMMYFUNCTION("""COMPUTED_VALUE"""),"Turkey")</f>
        <v>Turkey</v>
      </c>
      <c r="H1028" s="43" t="str">
        <f>IFERROR(__xludf.DUMMYFUNCTION("""COMPUTED_VALUE"""),"ISTANBUL")</f>
        <v>ISTANBUL</v>
      </c>
      <c r="I1028" s="43" t="str">
        <f>IFERROR(__xludf.DUMMYFUNCTION("""COMPUTED_VALUE"""),"Egypt")</f>
        <v>Egypt</v>
      </c>
      <c r="J1028" s="43" t="str">
        <f>IFERROR(__xludf.DUMMYFUNCTION("""COMPUTED_VALUE"""),"Ain Shams University")</f>
        <v>Ain Shams University</v>
      </c>
      <c r="K1028" s="44" t="str">
        <f>IFERROR(__xludf.DUMMYFUNCTION("""COMPUTED_VALUE"""),"https://expa.aiesec.org/opportunities/1294063")</f>
        <v>https://expa.aiesec.org/opportunities/1294063</v>
      </c>
      <c r="L1028" s="43" t="str">
        <f>IFERROR(__xludf.DUMMYFUNCTION("""COMPUTED_VALUE"""),"GV")</f>
        <v>GV</v>
      </c>
      <c r="M1028" s="43" t="str">
        <f>IFERROR(__xludf.DUMMYFUNCTION("""COMPUTED_VALUE"""),"short")</f>
        <v>short</v>
      </c>
      <c r="N1028" s="45">
        <f>IFERROR(__xludf.DUMMYFUNCTION("""COMPUTED_VALUE"""),45208.0)</f>
        <v>45208</v>
      </c>
      <c r="O1028" s="45">
        <f>IFERROR(__xludf.DUMMYFUNCTION("""COMPUTED_VALUE"""),45474.0)</f>
        <v>45474</v>
      </c>
      <c r="P1028" s="45">
        <f>IFERROR(__xludf.DUMMYFUNCTION("""COMPUTED_VALUE"""),45516.0)</f>
        <v>45516</v>
      </c>
      <c r="Q1028" s="45"/>
      <c r="R1028" s="45"/>
      <c r="S1028" s="43"/>
      <c r="T1028" s="43"/>
      <c r="U1028" s="43" t="str">
        <f>IFERROR(__xludf.DUMMYFUNCTION("""COMPUTED_VALUE"""),"On The Map")</f>
        <v>On The Map</v>
      </c>
      <c r="V1028" s="43" t="str">
        <f>IFERROR(__xludf.DUMMYFUNCTION("""COMPUTED_VALUE"""),"ISTANBUL - BEYOGLU")</f>
        <v>ISTANBUL - BEYOGLU</v>
      </c>
      <c r="W1028" s="43" t="str">
        <f>IFERROR(__xludf.DUMMYFUNCTION("""COMPUTED_VALUE"""),"2023-10-07T16:00:03Z")</f>
        <v>2023-10-07T16:00:03Z</v>
      </c>
      <c r="X1028" s="43"/>
      <c r="Y1028" s="43"/>
      <c r="Z1028" s="43"/>
    </row>
    <row r="1029" hidden="1">
      <c r="A1029" s="43" t="str">
        <f>IFERROR(__xludf.DUMMYFUNCTION("""COMPUTED_VALUE"""),"5328025_1281345")</f>
        <v>5328025_1281345</v>
      </c>
      <c r="B1029" s="43" t="str">
        <f>IFERROR(__xludf.DUMMYFUNCTION("""COMPUTED_VALUE"""),"Enes Özkan")</f>
        <v>Enes Özkan</v>
      </c>
      <c r="C1029" s="43" t="str">
        <f>IFERROR(__xludf.DUMMYFUNCTION("""COMPUTED_VALUE"""),"approved")</f>
        <v>approved</v>
      </c>
      <c r="D1029" s="43" t="str">
        <f>IFERROR(__xludf.DUMMYFUNCTION("""COMPUTED_VALUE"""),"No")</f>
        <v>No</v>
      </c>
      <c r="E1029" s="43" t="str">
        <f>IFERROR(__xludf.DUMMYFUNCTION("""COMPUTED_VALUE"""),"p_e686ec65d4fba6b93e406fed0a6cd95822d3acf2@inbound.aiesec.org")</f>
        <v>p_e686ec65d4fba6b93e406fed0a6cd95822d3acf2@inbound.aiesec.org</v>
      </c>
      <c r="F1029" s="43">
        <f>IFERROR(__xludf.DUMMYFUNCTION("""COMPUTED_VALUE"""),5.385003423E9)</f>
        <v>5385003423</v>
      </c>
      <c r="G1029" s="43" t="str">
        <f>IFERROR(__xludf.DUMMYFUNCTION("""COMPUTED_VALUE"""),"Turkey")</f>
        <v>Turkey</v>
      </c>
      <c r="H1029" s="43" t="str">
        <f>IFERROR(__xludf.DUMMYFUNCTION("""COMPUTED_VALUE"""),"ISTANBUL")</f>
        <v>ISTANBUL</v>
      </c>
      <c r="I1029" s="43" t="str">
        <f>IFERROR(__xludf.DUMMYFUNCTION("""COMPUTED_VALUE"""),"Sri Lanka")</f>
        <v>Sri Lanka</v>
      </c>
      <c r="J1029" s="43" t="str">
        <f>IFERROR(__xludf.DUMMYFUNCTION("""COMPUTED_VALUE"""),"USJ")</f>
        <v>USJ</v>
      </c>
      <c r="K1029" s="44" t="str">
        <f>IFERROR(__xludf.DUMMYFUNCTION("""COMPUTED_VALUE"""),"https://expa.aiesec.org/opportunities/1281345")</f>
        <v>https://expa.aiesec.org/opportunities/1281345</v>
      </c>
      <c r="L1029" s="43" t="str">
        <f>IFERROR(__xludf.DUMMYFUNCTION("""COMPUTED_VALUE"""),"GV")</f>
        <v>GV</v>
      </c>
      <c r="M1029" s="43" t="str">
        <f>IFERROR(__xludf.DUMMYFUNCTION("""COMPUTED_VALUE"""),"short")</f>
        <v>short</v>
      </c>
      <c r="N1029" s="45">
        <f>IFERROR(__xludf.DUMMYFUNCTION("""COMPUTED_VALUE"""),45210.0)</f>
        <v>45210</v>
      </c>
      <c r="O1029" s="45">
        <f>IFERROR(__xludf.DUMMYFUNCTION("""COMPUTED_VALUE"""),45514.0)</f>
        <v>45514</v>
      </c>
      <c r="P1029" s="45">
        <f>IFERROR(__xludf.DUMMYFUNCTION("""COMPUTED_VALUE"""),45556.0)</f>
        <v>45556</v>
      </c>
      <c r="Q1029" s="45"/>
      <c r="R1029" s="45"/>
      <c r="S1029" s="43"/>
      <c r="T1029" s="43"/>
      <c r="U1029" s="43" t="str">
        <f>IFERROR(__xludf.DUMMYFUNCTION("""COMPUTED_VALUE"""),"Aquatica")</f>
        <v>Aquatica</v>
      </c>
      <c r="V1029" s="43" t="str">
        <f>IFERROR(__xludf.DUMMYFUNCTION("""COMPUTED_VALUE"""),"ISTANBUL - BEYOGLU")</f>
        <v>ISTANBUL - BEYOGLU</v>
      </c>
      <c r="W1029" s="43" t="str">
        <f>IFERROR(__xludf.DUMMYFUNCTION("""COMPUTED_VALUE"""),"2023-09-20T09:43:06Z")</f>
        <v>2023-09-20T09:43:06Z</v>
      </c>
      <c r="X1029" s="43"/>
      <c r="Y1029" s="43"/>
      <c r="Z1029" s="43"/>
    </row>
    <row r="1030" hidden="1">
      <c r="A1030" s="43" t="str">
        <f>IFERROR(__xludf.DUMMYFUNCTION("""COMPUTED_VALUE"""),"5337496_1298373")</f>
        <v>5337496_1298373</v>
      </c>
      <c r="B1030" s="43" t="str">
        <f>IFERROR(__xludf.DUMMYFUNCTION("""COMPUTED_VALUE"""),"Seçil Çetin")</f>
        <v>Seçil Çetin</v>
      </c>
      <c r="C1030" s="43" t="str">
        <f>IFERROR(__xludf.DUMMYFUNCTION("""COMPUTED_VALUE"""),"completed")</f>
        <v>completed</v>
      </c>
      <c r="D1030" s="43" t="str">
        <f>IFERROR(__xludf.DUMMYFUNCTION("""COMPUTED_VALUE"""),"No")</f>
        <v>No</v>
      </c>
      <c r="E1030" s="43" t="str">
        <f>IFERROR(__xludf.DUMMYFUNCTION("""COMPUTED_VALUE"""),"p_c6700b502dec168294c52155fb9fb4d97964dae9@inbound.aiesec.org")</f>
        <v>p_c6700b502dec168294c52155fb9fb4d97964dae9@inbound.aiesec.org</v>
      </c>
      <c r="F1030" s="43">
        <f>IFERROR(__xludf.DUMMYFUNCTION("""COMPUTED_VALUE"""),5.423032215E9)</f>
        <v>5423032215</v>
      </c>
      <c r="G1030" s="43" t="str">
        <f>IFERROR(__xludf.DUMMYFUNCTION("""COMPUTED_VALUE"""),"Turkey")</f>
        <v>Turkey</v>
      </c>
      <c r="H1030" s="43" t="str">
        <f>IFERROR(__xludf.DUMMYFUNCTION("""COMPUTED_VALUE"""),"ISTANBUL WEST")</f>
        <v>ISTANBUL WEST</v>
      </c>
      <c r="I1030" s="43" t="str">
        <f>IFERROR(__xludf.DUMMYFUNCTION("""COMPUTED_VALUE"""),"Romania")</f>
        <v>Romania</v>
      </c>
      <c r="J1030" s="43" t="str">
        <f>IFERROR(__xludf.DUMMYFUNCTION("""COMPUTED_VALUE"""),"IASI")</f>
        <v>IASI</v>
      </c>
      <c r="K1030" s="44" t="str">
        <f>IFERROR(__xludf.DUMMYFUNCTION("""COMPUTED_VALUE"""),"https://expa.aiesec.org/opportunities/1298373")</f>
        <v>https://expa.aiesec.org/opportunities/1298373</v>
      </c>
      <c r="L1030" s="43" t="str">
        <f>IFERROR(__xludf.DUMMYFUNCTION("""COMPUTED_VALUE"""),"GV")</f>
        <v>GV</v>
      </c>
      <c r="M1030" s="43" t="str">
        <f>IFERROR(__xludf.DUMMYFUNCTION("""COMPUTED_VALUE"""),"short")</f>
        <v>short</v>
      </c>
      <c r="N1030" s="45">
        <f>IFERROR(__xludf.DUMMYFUNCTION("""COMPUTED_VALUE"""),45210.0)</f>
        <v>45210</v>
      </c>
      <c r="O1030" s="45">
        <f>IFERROR(__xludf.DUMMYFUNCTION("""COMPUTED_VALUE"""),45204.0)</f>
        <v>45204</v>
      </c>
      <c r="P1030" s="45">
        <f>IFERROR(__xludf.DUMMYFUNCTION("""COMPUTED_VALUE"""),45246.0)</f>
        <v>45246</v>
      </c>
      <c r="Q1030" s="45">
        <f>IFERROR(__xludf.DUMMYFUNCTION("""COMPUTED_VALUE"""),45223.0)</f>
        <v>45223</v>
      </c>
      <c r="R1030" s="45">
        <f>IFERROR(__xludf.DUMMYFUNCTION("""COMPUTED_VALUE"""),45264.0)</f>
        <v>45264</v>
      </c>
      <c r="S1030" s="43"/>
      <c r="T1030" s="43"/>
      <c r="U1030" s="43" t="str">
        <f>IFERROR(__xludf.DUMMYFUNCTION("""COMPUTED_VALUE"""),"Eat 4 Change")</f>
        <v>Eat 4 Change</v>
      </c>
      <c r="V1030" s="43" t="str">
        <f>IFERROR(__xludf.DUMMYFUNCTION("""COMPUTED_VALUE"""),"ISTANBUL - BAKIRKOY")</f>
        <v>ISTANBUL - BAKIRKOY</v>
      </c>
      <c r="W1030" s="43" t="str">
        <f>IFERROR(__xludf.DUMMYFUNCTION("""COMPUTED_VALUE"""),"2023-09-29T14:11:15Z")</f>
        <v>2023-09-29T14:11:15Z</v>
      </c>
      <c r="X1030" s="43"/>
      <c r="Y1030" s="43"/>
      <c r="Z1030" s="43"/>
    </row>
    <row r="1031" hidden="1">
      <c r="A1031" s="43" t="str">
        <f>IFERROR(__xludf.DUMMYFUNCTION("""COMPUTED_VALUE"""),"5347502_1293100")</f>
        <v>5347502_1293100</v>
      </c>
      <c r="B1031" s="43" t="str">
        <f>IFERROR(__xludf.DUMMYFUNCTION("""COMPUTED_VALUE"""),"Nursel Yel")</f>
        <v>Nursel Yel</v>
      </c>
      <c r="C1031" s="43" t="str">
        <f>IFERROR(__xludf.DUMMYFUNCTION("""COMPUTED_VALUE"""),"approved")</f>
        <v>approved</v>
      </c>
      <c r="D1031" s="43" t="str">
        <f>IFERROR(__xludf.DUMMYFUNCTION("""COMPUTED_VALUE"""),"No")</f>
        <v>No</v>
      </c>
      <c r="E1031" s="43" t="str">
        <f>IFERROR(__xludf.DUMMYFUNCTION("""COMPUTED_VALUE"""),"p_6ef028f4596b24745d757bb6d8856beea7548941@inbound.aiesec.org")</f>
        <v>p_6ef028f4596b24745d757bb6d8856beea7548941@inbound.aiesec.org</v>
      </c>
      <c r="F1031" s="43">
        <f>IFERROR(__xludf.DUMMYFUNCTION("""COMPUTED_VALUE"""),5.516499337E9)</f>
        <v>5516499337</v>
      </c>
      <c r="G1031" s="43" t="str">
        <f>IFERROR(__xludf.DUMMYFUNCTION("""COMPUTED_VALUE"""),"Turkey")</f>
        <v>Turkey</v>
      </c>
      <c r="H1031" s="43" t="str">
        <f>IFERROR(__xludf.DUMMYFUNCTION("""COMPUTED_VALUE"""),"KOCAELI")</f>
        <v>KOCAELI</v>
      </c>
      <c r="I1031" s="43" t="str">
        <f>IFERROR(__xludf.DUMMYFUNCTION("""COMPUTED_VALUE"""),"India")</f>
        <v>India</v>
      </c>
      <c r="J1031" s="43" t="str">
        <f>IFERROR(__xludf.DUMMYFUNCTION("""COMPUTED_VALUE"""),"JAIPUR ")</f>
        <v>JAIPUR </v>
      </c>
      <c r="K1031" s="44" t="str">
        <f>IFERROR(__xludf.DUMMYFUNCTION("""COMPUTED_VALUE"""),"https://expa.aiesec.org/opportunities/1293100")</f>
        <v>https://expa.aiesec.org/opportunities/1293100</v>
      </c>
      <c r="L1031" s="43" t="str">
        <f>IFERROR(__xludf.DUMMYFUNCTION("""COMPUTED_VALUE"""),"GV")</f>
        <v>GV</v>
      </c>
      <c r="M1031" s="43" t="str">
        <f>IFERROR(__xludf.DUMMYFUNCTION("""COMPUTED_VALUE"""),"short")</f>
        <v>short</v>
      </c>
      <c r="N1031" s="45">
        <f>IFERROR(__xludf.DUMMYFUNCTION("""COMPUTED_VALUE"""),45211.0)</f>
        <v>45211</v>
      </c>
      <c r="O1031" s="45">
        <f>IFERROR(__xludf.DUMMYFUNCTION("""COMPUTED_VALUE"""),45486.0)</f>
        <v>45486</v>
      </c>
      <c r="P1031" s="45">
        <f>IFERROR(__xludf.DUMMYFUNCTION("""COMPUTED_VALUE"""),45528.0)</f>
        <v>45528</v>
      </c>
      <c r="Q1031" s="45"/>
      <c r="R1031" s="45"/>
      <c r="S1031" s="43"/>
      <c r="T1031" s="43"/>
      <c r="U1031" s="43" t="str">
        <f>IFERROR(__xludf.DUMMYFUNCTION("""COMPUTED_VALUE"""),"Skill Up!")</f>
        <v>Skill Up!</v>
      </c>
      <c r="V1031" s="43" t="str">
        <f>IFERROR(__xludf.DUMMYFUNCTION("""COMPUTED_VALUE"""),"KASTAMONU")</f>
        <v>KASTAMONU</v>
      </c>
      <c r="W1031" s="43" t="str">
        <f>IFERROR(__xludf.DUMMYFUNCTION("""COMPUTED_VALUE"""),"2023-10-10T09:19:37Z")</f>
        <v>2023-10-10T09:19:37Z</v>
      </c>
      <c r="X1031" s="43"/>
      <c r="Y1031" s="43"/>
      <c r="Z1031" s="43"/>
    </row>
    <row r="1032" hidden="1">
      <c r="A1032" s="43" t="str">
        <f>IFERROR(__xludf.DUMMYFUNCTION("""COMPUTED_VALUE"""),"5350272_1281345")</f>
        <v>5350272_1281345</v>
      </c>
      <c r="B1032" s="43" t="str">
        <f>IFERROR(__xludf.DUMMYFUNCTION("""COMPUTED_VALUE"""),"Uygar Mert Özlük")</f>
        <v>Uygar Mert Özlük</v>
      </c>
      <c r="C1032" s="43" t="str">
        <f>IFERROR(__xludf.DUMMYFUNCTION("""COMPUTED_VALUE"""),"approved")</f>
        <v>approved</v>
      </c>
      <c r="D1032" s="43" t="str">
        <f>IFERROR(__xludf.DUMMYFUNCTION("""COMPUTED_VALUE"""),"No")</f>
        <v>No</v>
      </c>
      <c r="E1032" s="43" t="str">
        <f>IFERROR(__xludf.DUMMYFUNCTION("""COMPUTED_VALUE"""),"p_d97cf876bc75832bf31206266e13ced858cf69dc@inbound.aiesec.org")</f>
        <v>p_d97cf876bc75832bf31206266e13ced858cf69dc@inbound.aiesec.org</v>
      </c>
      <c r="F1032" s="43">
        <f>IFERROR(__xludf.DUMMYFUNCTION("""COMPUTED_VALUE"""),5.355191151E9)</f>
        <v>5355191151</v>
      </c>
      <c r="G1032" s="43" t="str">
        <f>IFERROR(__xludf.DUMMYFUNCTION("""COMPUTED_VALUE"""),"Turkey")</f>
        <v>Turkey</v>
      </c>
      <c r="H1032" s="43" t="str">
        <f>IFERROR(__xludf.DUMMYFUNCTION("""COMPUTED_VALUE"""),"ISTANBUL")</f>
        <v>ISTANBUL</v>
      </c>
      <c r="I1032" s="43" t="str">
        <f>IFERROR(__xludf.DUMMYFUNCTION("""COMPUTED_VALUE"""),"Sri Lanka")</f>
        <v>Sri Lanka</v>
      </c>
      <c r="J1032" s="43" t="str">
        <f>IFERROR(__xludf.DUMMYFUNCTION("""COMPUTED_VALUE"""),"USJ")</f>
        <v>USJ</v>
      </c>
      <c r="K1032" s="44" t="str">
        <f>IFERROR(__xludf.DUMMYFUNCTION("""COMPUTED_VALUE"""),"https://expa.aiesec.org/opportunities/1281345")</f>
        <v>https://expa.aiesec.org/opportunities/1281345</v>
      </c>
      <c r="L1032" s="43" t="str">
        <f>IFERROR(__xludf.DUMMYFUNCTION("""COMPUTED_VALUE"""),"GV")</f>
        <v>GV</v>
      </c>
      <c r="M1032" s="43" t="str">
        <f>IFERROR(__xludf.DUMMYFUNCTION("""COMPUTED_VALUE"""),"short")</f>
        <v>short</v>
      </c>
      <c r="N1032" s="45">
        <f>IFERROR(__xludf.DUMMYFUNCTION("""COMPUTED_VALUE"""),45213.0)</f>
        <v>45213</v>
      </c>
      <c r="O1032" s="45">
        <f>IFERROR(__xludf.DUMMYFUNCTION("""COMPUTED_VALUE"""),45305.0)</f>
        <v>45305</v>
      </c>
      <c r="P1032" s="45">
        <f>IFERROR(__xludf.DUMMYFUNCTION("""COMPUTED_VALUE"""),45347.0)</f>
        <v>45347</v>
      </c>
      <c r="Q1032" s="45"/>
      <c r="R1032" s="45"/>
      <c r="S1032" s="43"/>
      <c r="T1032" s="43"/>
      <c r="U1032" s="43" t="str">
        <f>IFERROR(__xludf.DUMMYFUNCTION("""COMPUTED_VALUE"""),"Aquatica")</f>
        <v>Aquatica</v>
      </c>
      <c r="V1032" s="43" t="str">
        <f>IFERROR(__xludf.DUMMYFUNCTION("""COMPUTED_VALUE"""),"ISTANBUL - BEYOGLU")</f>
        <v>ISTANBUL - BEYOGLU</v>
      </c>
      <c r="W1032" s="43" t="str">
        <f>IFERROR(__xludf.DUMMYFUNCTION("""COMPUTED_VALUE"""),"2023-10-12T11:57:16Z")</f>
        <v>2023-10-12T11:57:16Z</v>
      </c>
      <c r="X1032" s="43"/>
      <c r="Y1032" s="43"/>
      <c r="Z1032" s="43"/>
    </row>
    <row r="1033" hidden="1">
      <c r="A1033" s="43" t="str">
        <f>IFERROR(__xludf.DUMMYFUNCTION("""COMPUTED_VALUE"""),"5336061_1299145")</f>
        <v>5336061_1299145</v>
      </c>
      <c r="B1033" s="43" t="str">
        <f>IFERROR(__xludf.DUMMYFUNCTION("""COMPUTED_VALUE"""),"Ahmed Mohamed Hassan Mahmoud Mohamed")</f>
        <v>Ahmed Mohamed Hassan Mahmoud Mohamed</v>
      </c>
      <c r="C1033" s="43" t="str">
        <f>IFERROR(__xludf.DUMMYFUNCTION("""COMPUTED_VALUE"""),"approved")</f>
        <v>approved</v>
      </c>
      <c r="D1033" s="43" t="str">
        <f>IFERROR(__xludf.DUMMYFUNCTION("""COMPUTED_VALUE"""),"No")</f>
        <v>No</v>
      </c>
      <c r="E1033" s="43" t="str">
        <f>IFERROR(__xludf.DUMMYFUNCTION("""COMPUTED_VALUE"""),"p_ebe76e68e3711cb3f30bcd31e1aee829c5030388@inbound.aiesec.org")</f>
        <v>p_ebe76e68e3711cb3f30bcd31e1aee829c5030388@inbound.aiesec.org</v>
      </c>
      <c r="F1033" s="43">
        <f>IFERROR(__xludf.DUMMYFUNCTION("""COMPUTED_VALUE"""),5.526115918E9)</f>
        <v>5526115918</v>
      </c>
      <c r="G1033" s="43" t="str">
        <f>IFERROR(__xludf.DUMMYFUNCTION("""COMPUTED_VALUE"""),"Turkey")</f>
        <v>Turkey</v>
      </c>
      <c r="H1033" s="43" t="str">
        <f>IFERROR(__xludf.DUMMYFUNCTION("""COMPUTED_VALUE"""),"ISTANBUL ASIA")</f>
        <v>ISTANBUL ASIA</v>
      </c>
      <c r="I1033" s="43" t="str">
        <f>IFERROR(__xludf.DUMMYFUNCTION("""COMPUTED_VALUE"""),"Tunisia")</f>
        <v>Tunisia</v>
      </c>
      <c r="J1033" s="43" t="str">
        <f>IFERROR(__xludf.DUMMYFUNCTION("""COMPUTED_VALUE"""),"SFAX")</f>
        <v>SFAX</v>
      </c>
      <c r="K1033" s="44" t="str">
        <f>IFERROR(__xludf.DUMMYFUNCTION("""COMPUTED_VALUE"""),"https://expa.aiesec.org/opportunities/1299145")</f>
        <v>https://expa.aiesec.org/opportunities/1299145</v>
      </c>
      <c r="L1033" s="43" t="str">
        <f>IFERROR(__xludf.DUMMYFUNCTION("""COMPUTED_VALUE"""),"GV")</f>
        <v>GV</v>
      </c>
      <c r="M1033" s="43" t="str">
        <f>IFERROR(__xludf.DUMMYFUNCTION("""COMPUTED_VALUE"""),"short")</f>
        <v>short</v>
      </c>
      <c r="N1033" s="45">
        <f>IFERROR(__xludf.DUMMYFUNCTION("""COMPUTED_VALUE"""),45215.0)</f>
        <v>45215</v>
      </c>
      <c r="O1033" s="45">
        <f>IFERROR(__xludf.DUMMYFUNCTION("""COMPUTED_VALUE"""),45495.0)</f>
        <v>45495</v>
      </c>
      <c r="P1033" s="45">
        <f>IFERROR(__xludf.DUMMYFUNCTION("""COMPUTED_VALUE"""),45537.0)</f>
        <v>45537</v>
      </c>
      <c r="Q1033" s="45"/>
      <c r="R1033" s="45"/>
      <c r="S1033" s="43"/>
      <c r="T1033" s="43"/>
      <c r="U1033" s="43" t="str">
        <f>IFERROR(__xludf.DUMMYFUNCTION("""COMPUTED_VALUE"""),"Scale Up!")</f>
        <v>Scale Up!</v>
      </c>
      <c r="V1033" s="43" t="str">
        <f>IFERROR(__xludf.DUMMYFUNCTION("""COMPUTED_VALUE"""),"ISTANBUL ASIA")</f>
        <v>ISTANBUL ASIA</v>
      </c>
      <c r="W1033" s="43" t="str">
        <f>IFERROR(__xludf.DUMMYFUNCTION("""COMPUTED_VALUE"""),"2023-09-28T10:15:54Z")</f>
        <v>2023-09-28T10:15:54Z</v>
      </c>
      <c r="X1033" s="43"/>
      <c r="Y1033" s="43"/>
      <c r="Z1033" s="43"/>
    </row>
    <row r="1034" hidden="1">
      <c r="A1034" s="43" t="str">
        <f>IFERROR(__xludf.DUMMYFUNCTION("""COMPUTED_VALUE"""),"5351853_1293100")</f>
        <v>5351853_1293100</v>
      </c>
      <c r="B1034" s="43" t="str">
        <f>IFERROR(__xludf.DUMMYFUNCTION("""COMPUTED_VALUE"""),"Sami Efe Çekiç")</f>
        <v>Sami Efe Çekiç</v>
      </c>
      <c r="C1034" s="43" t="str">
        <f>IFERROR(__xludf.DUMMYFUNCTION("""COMPUTED_VALUE"""),"approved")</f>
        <v>approved</v>
      </c>
      <c r="D1034" s="43" t="str">
        <f>IFERROR(__xludf.DUMMYFUNCTION("""COMPUTED_VALUE"""),"No")</f>
        <v>No</v>
      </c>
      <c r="E1034" s="43" t="str">
        <f>IFERROR(__xludf.DUMMYFUNCTION("""COMPUTED_VALUE"""),"p_72f3b3e6be13be72eb0f53070bda98dbda9c5064@inbound.aiesec.org")</f>
        <v>p_72f3b3e6be13be72eb0f53070bda98dbda9c5064@inbound.aiesec.org</v>
      </c>
      <c r="F1034" s="43"/>
      <c r="G1034" s="43" t="str">
        <f>IFERROR(__xludf.DUMMYFUNCTION("""COMPUTED_VALUE"""),"Turkey")</f>
        <v>Turkey</v>
      </c>
      <c r="H1034" s="43" t="str">
        <f>IFERROR(__xludf.DUMMYFUNCTION("""COMPUTED_VALUE"""),"KOCAELI")</f>
        <v>KOCAELI</v>
      </c>
      <c r="I1034" s="43" t="str">
        <f>IFERROR(__xludf.DUMMYFUNCTION("""COMPUTED_VALUE"""),"India")</f>
        <v>India</v>
      </c>
      <c r="J1034" s="43" t="str">
        <f>IFERROR(__xludf.DUMMYFUNCTION("""COMPUTED_VALUE"""),"JAIPUR ")</f>
        <v>JAIPUR </v>
      </c>
      <c r="K1034" s="44" t="str">
        <f>IFERROR(__xludf.DUMMYFUNCTION("""COMPUTED_VALUE"""),"https://expa.aiesec.org/opportunities/1293100")</f>
        <v>https://expa.aiesec.org/opportunities/1293100</v>
      </c>
      <c r="L1034" s="43" t="str">
        <f>IFERROR(__xludf.DUMMYFUNCTION("""COMPUTED_VALUE"""),"GV")</f>
        <v>GV</v>
      </c>
      <c r="M1034" s="43" t="str">
        <f>IFERROR(__xludf.DUMMYFUNCTION("""COMPUTED_VALUE"""),"short")</f>
        <v>short</v>
      </c>
      <c r="N1034" s="45">
        <f>IFERROR(__xludf.DUMMYFUNCTION("""COMPUTED_VALUE"""),45215.0)</f>
        <v>45215</v>
      </c>
      <c r="O1034" s="45">
        <f>IFERROR(__xludf.DUMMYFUNCTION("""COMPUTED_VALUE"""),45505.0)</f>
        <v>45505</v>
      </c>
      <c r="P1034" s="45">
        <f>IFERROR(__xludf.DUMMYFUNCTION("""COMPUTED_VALUE"""),45547.0)</f>
        <v>45547</v>
      </c>
      <c r="Q1034" s="45"/>
      <c r="R1034" s="45"/>
      <c r="S1034" s="43"/>
      <c r="T1034" s="43"/>
      <c r="U1034" s="43" t="str">
        <f>IFERROR(__xludf.DUMMYFUNCTION("""COMPUTED_VALUE"""),"Skill Up!")</f>
        <v>Skill Up!</v>
      </c>
      <c r="V1034" s="43" t="str">
        <f>IFERROR(__xludf.DUMMYFUNCTION("""COMPUTED_VALUE"""),"KOCAELI")</f>
        <v>KOCAELI</v>
      </c>
      <c r="W1034" s="43" t="str">
        <f>IFERROR(__xludf.DUMMYFUNCTION("""COMPUTED_VALUE"""),"2023-10-14T14:47:35Z")</f>
        <v>2023-10-14T14:47:35Z</v>
      </c>
      <c r="X1034" s="43"/>
      <c r="Y1034" s="43"/>
      <c r="Z1034" s="43"/>
    </row>
    <row r="1035" hidden="1">
      <c r="A1035" s="43" t="str">
        <f>IFERROR(__xludf.DUMMYFUNCTION("""COMPUTED_VALUE"""),"5352132_1298053")</f>
        <v>5352132_1298053</v>
      </c>
      <c r="B1035" s="43" t="str">
        <f>IFERROR(__xludf.DUMMYFUNCTION("""COMPUTED_VALUE"""),"Özen Özgüden")</f>
        <v>Özen Özgüden</v>
      </c>
      <c r="C1035" s="43" t="str">
        <f>IFERROR(__xludf.DUMMYFUNCTION("""COMPUTED_VALUE"""),"realized")</f>
        <v>realized</v>
      </c>
      <c r="D1035" s="43" t="str">
        <f>IFERROR(__xludf.DUMMYFUNCTION("""COMPUTED_VALUE"""),"No")</f>
        <v>No</v>
      </c>
      <c r="E1035" s="43" t="str">
        <f>IFERROR(__xludf.DUMMYFUNCTION("""COMPUTED_VALUE"""),"p_7c5e92466ac1983452ba0f96e29e625acccdc01d@inbound.aiesec.org")</f>
        <v>p_7c5e92466ac1983452ba0f96e29e625acccdc01d@inbound.aiesec.org</v>
      </c>
      <c r="F1035" s="43">
        <f>IFERROR(__xludf.DUMMYFUNCTION("""COMPUTED_VALUE"""),5.458387077E9)</f>
        <v>5458387077</v>
      </c>
      <c r="G1035" s="43" t="str">
        <f>IFERROR(__xludf.DUMMYFUNCTION("""COMPUTED_VALUE"""),"Turkey")</f>
        <v>Turkey</v>
      </c>
      <c r="H1035" s="43" t="str">
        <f>IFERROR(__xludf.DUMMYFUNCTION("""COMPUTED_VALUE"""),"ISTANBUL")</f>
        <v>ISTANBUL</v>
      </c>
      <c r="I1035" s="43" t="str">
        <f>IFERROR(__xludf.DUMMYFUNCTION("""COMPUTED_VALUE"""),"Romania")</f>
        <v>Romania</v>
      </c>
      <c r="J1035" s="43" t="str">
        <f>IFERROR(__xludf.DUMMYFUNCTION("""COMPUTED_VALUE"""),"PITESTI")</f>
        <v>PITESTI</v>
      </c>
      <c r="K1035" s="44" t="str">
        <f>IFERROR(__xludf.DUMMYFUNCTION("""COMPUTED_VALUE"""),"https://expa.aiesec.org/opportunities/1298053")</f>
        <v>https://expa.aiesec.org/opportunities/1298053</v>
      </c>
      <c r="L1035" s="43" t="str">
        <f>IFERROR(__xludf.DUMMYFUNCTION("""COMPUTED_VALUE"""),"GV")</f>
        <v>GV</v>
      </c>
      <c r="M1035" s="43" t="str">
        <f>IFERROR(__xludf.DUMMYFUNCTION("""COMPUTED_VALUE"""),"short")</f>
        <v>short</v>
      </c>
      <c r="N1035" s="45">
        <f>IFERROR(__xludf.DUMMYFUNCTION("""COMPUTED_VALUE"""),45215.0)</f>
        <v>45215</v>
      </c>
      <c r="O1035" s="45">
        <f>IFERROR(__xludf.DUMMYFUNCTION("""COMPUTED_VALUE"""),45318.0)</f>
        <v>45318</v>
      </c>
      <c r="P1035" s="45">
        <f>IFERROR(__xludf.DUMMYFUNCTION("""COMPUTED_VALUE"""),45360.0)</f>
        <v>45360</v>
      </c>
      <c r="Q1035" s="45">
        <f>IFERROR(__xludf.DUMMYFUNCTION("""COMPUTED_VALUE"""),45318.0)</f>
        <v>45318</v>
      </c>
      <c r="R1035" s="45">
        <f>IFERROR(__xludf.DUMMYFUNCTION("""COMPUTED_VALUE"""),45360.0)</f>
        <v>45360</v>
      </c>
      <c r="S1035" s="43"/>
      <c r="T1035" s="43"/>
      <c r="U1035" s="43" t="str">
        <f>IFERROR(__xludf.DUMMYFUNCTION("""COMPUTED_VALUE"""),"Eat 4 Change")</f>
        <v>Eat 4 Change</v>
      </c>
      <c r="V1035" s="43" t="str">
        <f>IFERROR(__xludf.DUMMYFUNCTION("""COMPUTED_VALUE"""),"ISTANBUL - BEYOGLU")</f>
        <v>ISTANBUL - BEYOGLU</v>
      </c>
      <c r="W1035" s="43" t="str">
        <f>IFERROR(__xludf.DUMMYFUNCTION("""COMPUTED_VALUE"""),"2023-10-15T07:23:53Z")</f>
        <v>2023-10-15T07:23:53Z</v>
      </c>
      <c r="X1035" s="43"/>
      <c r="Y1035" s="43"/>
      <c r="Z1035" s="43"/>
    </row>
    <row r="1036" hidden="1">
      <c r="A1036" s="43" t="str">
        <f>IFERROR(__xludf.DUMMYFUNCTION("""COMPUTED_VALUE"""),"5351612_1296464")</f>
        <v>5351612_1296464</v>
      </c>
      <c r="B1036" s="43" t="str">
        <f>IFERROR(__xludf.DUMMYFUNCTION("""COMPUTED_VALUE"""),"Ayca Akpinar")</f>
        <v>Ayca Akpinar</v>
      </c>
      <c r="C1036" s="43" t="str">
        <f>IFERROR(__xludf.DUMMYFUNCTION("""COMPUTED_VALUE"""),"approved")</f>
        <v>approved</v>
      </c>
      <c r="D1036" s="43" t="str">
        <f>IFERROR(__xludf.DUMMYFUNCTION("""COMPUTED_VALUE"""),"No")</f>
        <v>No</v>
      </c>
      <c r="E1036" s="43" t="str">
        <f>IFERROR(__xludf.DUMMYFUNCTION("""COMPUTED_VALUE"""),"p_633a41eab1bb90b9c6a788f988480b19da8476ee@inbound.aiesec.org")</f>
        <v>p_633a41eab1bb90b9c6a788f988480b19da8476ee@inbound.aiesec.org</v>
      </c>
      <c r="F1036" s="43">
        <f>IFERROR(__xludf.DUMMYFUNCTION("""COMPUTED_VALUE"""),5.05216717E9)</f>
        <v>5052167170</v>
      </c>
      <c r="G1036" s="43" t="str">
        <f>IFERROR(__xludf.DUMMYFUNCTION("""COMPUTED_VALUE"""),"Turkey")</f>
        <v>Turkey</v>
      </c>
      <c r="H1036" s="43" t="str">
        <f>IFERROR(__xludf.DUMMYFUNCTION("""COMPUTED_VALUE"""),"ANKARA")</f>
        <v>ANKARA</v>
      </c>
      <c r="I1036" s="43" t="str">
        <f>IFERROR(__xludf.DUMMYFUNCTION("""COMPUTED_VALUE"""),"Thailand")</f>
        <v>Thailand</v>
      </c>
      <c r="J1036" s="43" t="str">
        <f>IFERROR(__xludf.DUMMYFUNCTION("""COMPUTED_VALUE"""),"Kasetsart University")</f>
        <v>Kasetsart University</v>
      </c>
      <c r="K1036" s="44" t="str">
        <f>IFERROR(__xludf.DUMMYFUNCTION("""COMPUTED_VALUE"""),"https://expa.aiesec.org/opportunities/1296464")</f>
        <v>https://expa.aiesec.org/opportunities/1296464</v>
      </c>
      <c r="L1036" s="43" t="str">
        <f>IFERROR(__xludf.DUMMYFUNCTION("""COMPUTED_VALUE"""),"GV")</f>
        <v>GV</v>
      </c>
      <c r="M1036" s="43" t="str">
        <f>IFERROR(__xludf.DUMMYFUNCTION("""COMPUTED_VALUE"""),"short")</f>
        <v>short</v>
      </c>
      <c r="N1036" s="45">
        <f>IFERROR(__xludf.DUMMYFUNCTION("""COMPUTED_VALUE"""),45218.0)</f>
        <v>45218</v>
      </c>
      <c r="O1036" s="45">
        <f>IFERROR(__xludf.DUMMYFUNCTION("""COMPUTED_VALUE"""),45321.0)</f>
        <v>45321</v>
      </c>
      <c r="P1036" s="45">
        <f>IFERROR(__xludf.DUMMYFUNCTION("""COMPUTED_VALUE"""),45363.0)</f>
        <v>45363</v>
      </c>
      <c r="Q1036" s="45"/>
      <c r="R1036" s="45"/>
      <c r="S1036" s="43"/>
      <c r="T1036" s="43"/>
      <c r="U1036" s="43" t="str">
        <f>IFERROR(__xludf.DUMMYFUNCTION("""COMPUTED_VALUE"""),"Global Classroom")</f>
        <v>Global Classroom</v>
      </c>
      <c r="V1036" s="43" t="str">
        <f>IFERROR(__xludf.DUMMYFUNCTION("""COMPUTED_VALUE"""),"ANKARA")</f>
        <v>ANKARA</v>
      </c>
      <c r="W1036" s="43" t="str">
        <f>IFERROR(__xludf.DUMMYFUNCTION("""COMPUTED_VALUE"""),"2023-10-14T06:36:33Z")</f>
        <v>2023-10-14T06:36:33Z</v>
      </c>
      <c r="X1036" s="43"/>
      <c r="Y1036" s="43"/>
      <c r="Z1036" s="43"/>
    </row>
    <row r="1037" hidden="1">
      <c r="A1037" s="43" t="str">
        <f>IFERROR(__xludf.DUMMYFUNCTION("""COMPUTED_VALUE"""),"5343297_1299892")</f>
        <v>5343297_1299892</v>
      </c>
      <c r="B1037" s="43" t="str">
        <f>IFERROR(__xludf.DUMMYFUNCTION("""COMPUTED_VALUE"""),"zeynep gül kayıcı")</f>
        <v>zeynep gül kayıcı</v>
      </c>
      <c r="C1037" s="43" t="str">
        <f>IFERROR(__xludf.DUMMYFUNCTION("""COMPUTED_VALUE"""),"completed")</f>
        <v>completed</v>
      </c>
      <c r="D1037" s="43" t="str">
        <f>IFERROR(__xludf.DUMMYFUNCTION("""COMPUTED_VALUE"""),"No")</f>
        <v>No</v>
      </c>
      <c r="E1037" s="43" t="str">
        <f>IFERROR(__xludf.DUMMYFUNCTION("""COMPUTED_VALUE"""),"p_2d459f999138bb840836407160c97a9889765de6@inbound.aiesec.org")</f>
        <v>p_2d459f999138bb840836407160c97a9889765de6@inbound.aiesec.org</v>
      </c>
      <c r="F1037" s="43">
        <f>IFERROR(__xludf.DUMMYFUNCTION("""COMPUTED_VALUE"""),5.526191341E9)</f>
        <v>5526191341</v>
      </c>
      <c r="G1037" s="43" t="str">
        <f>IFERROR(__xludf.DUMMYFUNCTION("""COMPUTED_VALUE"""),"Turkey")</f>
        <v>Turkey</v>
      </c>
      <c r="H1037" s="43" t="str">
        <f>IFERROR(__xludf.DUMMYFUNCTION("""COMPUTED_VALUE"""),"ANKARA")</f>
        <v>ANKARA</v>
      </c>
      <c r="I1037" s="43" t="str">
        <f>IFERROR(__xludf.DUMMYFUNCTION("""COMPUTED_VALUE"""),"Egypt")</f>
        <v>Egypt</v>
      </c>
      <c r="J1037" s="43" t="str">
        <f>IFERROR(__xludf.DUMMYFUNCTION("""COMPUTED_VALUE"""),"Ain Shams University")</f>
        <v>Ain Shams University</v>
      </c>
      <c r="K1037" s="44" t="str">
        <f>IFERROR(__xludf.DUMMYFUNCTION("""COMPUTED_VALUE"""),"https://expa.aiesec.org/opportunities/1299892")</f>
        <v>https://expa.aiesec.org/opportunities/1299892</v>
      </c>
      <c r="L1037" s="43" t="str">
        <f>IFERROR(__xludf.DUMMYFUNCTION("""COMPUTED_VALUE"""),"GV")</f>
        <v>GV</v>
      </c>
      <c r="M1037" s="43" t="str">
        <f>IFERROR(__xludf.DUMMYFUNCTION("""COMPUTED_VALUE"""),"short")</f>
        <v>short</v>
      </c>
      <c r="N1037" s="45">
        <f>IFERROR(__xludf.DUMMYFUNCTION("""COMPUTED_VALUE"""),45218.0)</f>
        <v>45218</v>
      </c>
      <c r="O1037" s="45">
        <f>IFERROR(__xludf.DUMMYFUNCTION("""COMPUTED_VALUE"""),45261.0)</f>
        <v>45261</v>
      </c>
      <c r="P1037" s="45">
        <f>IFERROR(__xludf.DUMMYFUNCTION("""COMPUTED_VALUE"""),45303.0)</f>
        <v>45303</v>
      </c>
      <c r="Q1037" s="45">
        <f>IFERROR(__xludf.DUMMYFUNCTION("""COMPUTED_VALUE"""),45271.0)</f>
        <v>45271</v>
      </c>
      <c r="R1037" s="45">
        <f>IFERROR(__xludf.DUMMYFUNCTION("""COMPUTED_VALUE"""),45313.0)</f>
        <v>45313</v>
      </c>
      <c r="S1037" s="43"/>
      <c r="T1037" s="43"/>
      <c r="U1037" s="43" t="str">
        <f>IFERROR(__xludf.DUMMYFUNCTION("""COMPUTED_VALUE"""),"Fingerprint")</f>
        <v>Fingerprint</v>
      </c>
      <c r="V1037" s="43" t="str">
        <f>IFERROR(__xludf.DUMMYFUNCTION("""COMPUTED_VALUE"""),"ANKARA")</f>
        <v>ANKARA</v>
      </c>
      <c r="W1037" s="43" t="str">
        <f>IFERROR(__xludf.DUMMYFUNCTION("""COMPUTED_VALUE"""),"2023-10-05T16:29:49Z")</f>
        <v>2023-10-05T16:29:49Z</v>
      </c>
      <c r="X1037" s="43"/>
      <c r="Y1037" s="43"/>
      <c r="Z1037" s="43"/>
    </row>
    <row r="1038" hidden="1">
      <c r="A1038" s="43" t="str">
        <f>IFERROR(__xludf.DUMMYFUNCTION("""COMPUTED_VALUE"""),"5353026_1300091")</f>
        <v>5353026_1300091</v>
      </c>
      <c r="B1038" s="43" t="str">
        <f>IFERROR(__xludf.DUMMYFUNCTION("""COMPUTED_VALUE"""),"Ata Eryiğit")</f>
        <v>Ata Eryiğit</v>
      </c>
      <c r="C1038" s="43" t="str">
        <f>IFERROR(__xludf.DUMMYFUNCTION("""COMPUTED_VALUE"""),"approved")</f>
        <v>approved</v>
      </c>
      <c r="D1038" s="43" t="str">
        <f>IFERROR(__xludf.DUMMYFUNCTION("""COMPUTED_VALUE"""),"No")</f>
        <v>No</v>
      </c>
      <c r="E1038" s="43" t="str">
        <f>IFERROR(__xludf.DUMMYFUNCTION("""COMPUTED_VALUE"""),"p_7f8f382c9748e64cf20214dacafddc3d03d32ce2@inbound.aiesec.org")</f>
        <v>p_7f8f382c9748e64cf20214dacafddc3d03d32ce2@inbound.aiesec.org</v>
      </c>
      <c r="F1038" s="43">
        <f>IFERROR(__xludf.DUMMYFUNCTION("""COMPUTED_VALUE"""),5.447600754E9)</f>
        <v>5447600754</v>
      </c>
      <c r="G1038" s="43" t="str">
        <f>IFERROR(__xludf.DUMMYFUNCTION("""COMPUTED_VALUE"""),"Turkey")</f>
        <v>Turkey</v>
      </c>
      <c r="H1038" s="43" t="str">
        <f>IFERROR(__xludf.DUMMYFUNCTION("""COMPUTED_VALUE"""),"ISTANBUL ASIA")</f>
        <v>ISTANBUL ASIA</v>
      </c>
      <c r="I1038" s="43" t="str">
        <f>IFERROR(__xludf.DUMMYFUNCTION("""COMPUTED_VALUE"""),"Egypt")</f>
        <v>Egypt</v>
      </c>
      <c r="J1038" s="43" t="str">
        <f>IFERROR(__xludf.DUMMYFUNCTION("""COMPUTED_VALUE"""),"6th October University")</f>
        <v>6th October University</v>
      </c>
      <c r="K1038" s="44" t="str">
        <f>IFERROR(__xludf.DUMMYFUNCTION("""COMPUTED_VALUE"""),"https://expa.aiesec.org/opportunities/1300091")</f>
        <v>https://expa.aiesec.org/opportunities/1300091</v>
      </c>
      <c r="L1038" s="43" t="str">
        <f>IFERROR(__xludf.DUMMYFUNCTION("""COMPUTED_VALUE"""),"GV")</f>
        <v>GV</v>
      </c>
      <c r="M1038" s="43" t="str">
        <f>IFERROR(__xludf.DUMMYFUNCTION("""COMPUTED_VALUE"""),"short")</f>
        <v>short</v>
      </c>
      <c r="N1038" s="45">
        <f>IFERROR(__xludf.DUMMYFUNCTION("""COMPUTED_VALUE"""),45220.0)</f>
        <v>45220</v>
      </c>
      <c r="O1038" s="45">
        <f>IFERROR(__xludf.DUMMYFUNCTION("""COMPUTED_VALUE"""),45488.0)</f>
        <v>45488</v>
      </c>
      <c r="P1038" s="45">
        <f>IFERROR(__xludf.DUMMYFUNCTION("""COMPUTED_VALUE"""),45530.0)</f>
        <v>45530</v>
      </c>
      <c r="Q1038" s="45"/>
      <c r="R1038" s="45"/>
      <c r="S1038" s="43"/>
      <c r="T1038" s="43"/>
      <c r="U1038" s="43" t="str">
        <f>IFERROR(__xludf.DUMMYFUNCTION("""COMPUTED_VALUE"""),"Heartbeat")</f>
        <v>Heartbeat</v>
      </c>
      <c r="V1038" s="43" t="str">
        <f>IFERROR(__xludf.DUMMYFUNCTION("""COMPUTED_VALUE"""),"ISTANBUL ASIA")</f>
        <v>ISTANBUL ASIA</v>
      </c>
      <c r="W1038" s="43" t="str">
        <f>IFERROR(__xludf.DUMMYFUNCTION("""COMPUTED_VALUE"""),"2023-10-16T16:40:42Z")</f>
        <v>2023-10-16T16:40:42Z</v>
      </c>
      <c r="X1038" s="43"/>
      <c r="Y1038" s="43"/>
      <c r="Z1038" s="43"/>
    </row>
    <row r="1039" hidden="1">
      <c r="A1039" s="43" t="str">
        <f>IFERROR(__xludf.DUMMYFUNCTION("""COMPUTED_VALUE"""),"5341035_1291869")</f>
        <v>5341035_1291869</v>
      </c>
      <c r="B1039" s="43" t="str">
        <f>IFERROR(__xludf.DUMMYFUNCTION("""COMPUTED_VALUE"""),"Mert Güzel")</f>
        <v>Mert Güzel</v>
      </c>
      <c r="C1039" s="43" t="str">
        <f>IFERROR(__xludf.DUMMYFUNCTION("""COMPUTED_VALUE"""),"realized")</f>
        <v>realized</v>
      </c>
      <c r="D1039" s="43" t="str">
        <f>IFERROR(__xludf.DUMMYFUNCTION("""COMPUTED_VALUE"""),"No")</f>
        <v>No</v>
      </c>
      <c r="E1039" s="43" t="str">
        <f>IFERROR(__xludf.DUMMYFUNCTION("""COMPUTED_VALUE"""),"p_92044f90563d7b427a447ddc77784b60f4679f38@inbound.aiesec.org")</f>
        <v>p_92044f90563d7b427a447ddc77784b60f4679f38@inbound.aiesec.org</v>
      </c>
      <c r="F1039" s="43">
        <f>IFERROR(__xludf.DUMMYFUNCTION("""COMPUTED_VALUE"""),5.380630321E9)</f>
        <v>5380630321</v>
      </c>
      <c r="G1039" s="43" t="str">
        <f>IFERROR(__xludf.DUMMYFUNCTION("""COMPUTED_VALUE"""),"Turkey")</f>
        <v>Turkey</v>
      </c>
      <c r="H1039" s="43" t="str">
        <f>IFERROR(__xludf.DUMMYFUNCTION("""COMPUTED_VALUE"""),"ESKISEHIR")</f>
        <v>ESKISEHIR</v>
      </c>
      <c r="I1039" s="43" t="str">
        <f>IFERROR(__xludf.DUMMYFUNCTION("""COMPUTED_VALUE"""),"Egypt")</f>
        <v>Egypt</v>
      </c>
      <c r="J1039" s="43" t="str">
        <f>IFERROR(__xludf.DUMMYFUNCTION("""COMPUTED_VALUE"""),"Tanta")</f>
        <v>Tanta</v>
      </c>
      <c r="K1039" s="44" t="str">
        <f>IFERROR(__xludf.DUMMYFUNCTION("""COMPUTED_VALUE"""),"https://expa.aiesec.org/opportunities/1291869")</f>
        <v>https://expa.aiesec.org/opportunities/1291869</v>
      </c>
      <c r="L1039" s="43" t="str">
        <f>IFERROR(__xludf.DUMMYFUNCTION("""COMPUTED_VALUE"""),"GV")</f>
        <v>GV</v>
      </c>
      <c r="M1039" s="43" t="str">
        <f>IFERROR(__xludf.DUMMYFUNCTION("""COMPUTED_VALUE"""),"short")</f>
        <v>short</v>
      </c>
      <c r="N1039" s="45">
        <f>IFERROR(__xludf.DUMMYFUNCTION("""COMPUTED_VALUE"""),45223.0)</f>
        <v>45223</v>
      </c>
      <c r="O1039" s="45">
        <f>IFERROR(__xludf.DUMMYFUNCTION("""COMPUTED_VALUE"""),45310.0)</f>
        <v>45310</v>
      </c>
      <c r="P1039" s="45">
        <f>IFERROR(__xludf.DUMMYFUNCTION("""COMPUTED_VALUE"""),45352.0)</f>
        <v>45352</v>
      </c>
      <c r="Q1039" s="45">
        <f>IFERROR(__xludf.DUMMYFUNCTION("""COMPUTED_VALUE"""),45315.0)</f>
        <v>45315</v>
      </c>
      <c r="R1039" s="45">
        <f>IFERROR(__xludf.DUMMYFUNCTION("""COMPUTED_VALUE"""),45356.0)</f>
        <v>45356</v>
      </c>
      <c r="S1039" s="43"/>
      <c r="T1039" s="43"/>
      <c r="U1039" s="43" t="str">
        <f>IFERROR(__xludf.DUMMYFUNCTION("""COMPUTED_VALUE"""),"Global Classroom")</f>
        <v>Global Classroom</v>
      </c>
      <c r="V1039" s="43" t="str">
        <f>IFERROR(__xludf.DUMMYFUNCTION("""COMPUTED_VALUE"""),"ESKISEHIR")</f>
        <v>ESKISEHIR</v>
      </c>
      <c r="W1039" s="43" t="str">
        <f>IFERROR(__xludf.DUMMYFUNCTION("""COMPUTED_VALUE"""),"2023-10-03T13:58:24Z")</f>
        <v>2023-10-03T13:58:24Z</v>
      </c>
      <c r="X1039" s="43"/>
      <c r="Y1039" s="43"/>
      <c r="Z1039" s="43"/>
    </row>
    <row r="1040" hidden="1">
      <c r="A1040" s="43" t="str">
        <f>IFERROR(__xludf.DUMMYFUNCTION("""COMPUTED_VALUE"""),"5356844_1299919")</f>
        <v>5356844_1299919</v>
      </c>
      <c r="B1040" s="43" t="str">
        <f>IFERROR(__xludf.DUMMYFUNCTION("""COMPUTED_VALUE"""),"Sevde Aykalaycı")</f>
        <v>Sevde Aykalaycı</v>
      </c>
      <c r="C1040" s="43" t="str">
        <f>IFERROR(__xludf.DUMMYFUNCTION("""COMPUTED_VALUE"""),"approved")</f>
        <v>approved</v>
      </c>
      <c r="D1040" s="43" t="str">
        <f>IFERROR(__xludf.DUMMYFUNCTION("""COMPUTED_VALUE"""),"No")</f>
        <v>No</v>
      </c>
      <c r="E1040" s="43" t="str">
        <f>IFERROR(__xludf.DUMMYFUNCTION("""COMPUTED_VALUE"""),"p_106a176faa33880947d2c4f2e536082e276a6eef@inbound.aiesec.org")</f>
        <v>p_106a176faa33880947d2c4f2e536082e276a6eef@inbound.aiesec.org</v>
      </c>
      <c r="F1040" s="43">
        <f>IFERROR(__xludf.DUMMYFUNCTION("""COMPUTED_VALUE"""),5.527262511E9)</f>
        <v>5527262511</v>
      </c>
      <c r="G1040" s="43" t="str">
        <f>IFERROR(__xludf.DUMMYFUNCTION("""COMPUTED_VALUE"""),"Turkey")</f>
        <v>Turkey</v>
      </c>
      <c r="H1040" s="43" t="str">
        <f>IFERROR(__xludf.DUMMYFUNCTION("""COMPUTED_VALUE"""),"ISTANBUL")</f>
        <v>ISTANBUL</v>
      </c>
      <c r="I1040" s="43" t="str">
        <f>IFERROR(__xludf.DUMMYFUNCTION("""COMPUTED_VALUE"""),"Egypt")</f>
        <v>Egypt</v>
      </c>
      <c r="J1040" s="43" t="str">
        <f>IFERROR(__xludf.DUMMYFUNCTION("""COMPUTED_VALUE"""),"Cairo University")</f>
        <v>Cairo University</v>
      </c>
      <c r="K1040" s="44" t="str">
        <f>IFERROR(__xludf.DUMMYFUNCTION("""COMPUTED_VALUE"""),"https://expa.aiesec.org/opportunities/1299919")</f>
        <v>https://expa.aiesec.org/opportunities/1299919</v>
      </c>
      <c r="L1040" s="43" t="str">
        <f>IFERROR(__xludf.DUMMYFUNCTION("""COMPUTED_VALUE"""),"GV")</f>
        <v>GV</v>
      </c>
      <c r="M1040" s="43" t="str">
        <f>IFERROR(__xludf.DUMMYFUNCTION("""COMPUTED_VALUE"""),"short")</f>
        <v>short</v>
      </c>
      <c r="N1040" s="45">
        <f>IFERROR(__xludf.DUMMYFUNCTION("""COMPUTED_VALUE"""),45223.0)</f>
        <v>45223</v>
      </c>
      <c r="O1040" s="45">
        <f>IFERROR(__xludf.DUMMYFUNCTION("""COMPUTED_VALUE"""),45458.0)</f>
        <v>45458</v>
      </c>
      <c r="P1040" s="45">
        <f>IFERROR(__xludf.DUMMYFUNCTION("""COMPUTED_VALUE"""),45500.0)</f>
        <v>45500</v>
      </c>
      <c r="Q1040" s="45"/>
      <c r="R1040" s="45"/>
      <c r="S1040" s="43"/>
      <c r="T1040" s="43"/>
      <c r="U1040" s="43" t="str">
        <f>IFERROR(__xludf.DUMMYFUNCTION("""COMPUTED_VALUE"""),"Global Classroom")</f>
        <v>Global Classroom</v>
      </c>
      <c r="V1040" s="43" t="str">
        <f>IFERROR(__xludf.DUMMYFUNCTION("""COMPUTED_VALUE"""),"BURSA")</f>
        <v>BURSA</v>
      </c>
      <c r="W1040" s="43" t="str">
        <f>IFERROR(__xludf.DUMMYFUNCTION("""COMPUTED_VALUE"""),"2023-10-21T20:28:26Z")</f>
        <v>2023-10-21T20:28:26Z</v>
      </c>
      <c r="X1040" s="43"/>
      <c r="Y1040" s="43"/>
      <c r="Z1040" s="43"/>
    </row>
    <row r="1041" hidden="1">
      <c r="A1041" s="43" t="str">
        <f>IFERROR(__xludf.DUMMYFUNCTION("""COMPUTED_VALUE"""),"5356676_1299451")</f>
        <v>5356676_1299451</v>
      </c>
      <c r="B1041" s="43" t="str">
        <f>IFERROR(__xludf.DUMMYFUNCTION("""COMPUTED_VALUE"""),"ilknur ece kaplan")</f>
        <v>ilknur ece kaplan</v>
      </c>
      <c r="C1041" s="43" t="str">
        <f>IFERROR(__xludf.DUMMYFUNCTION("""COMPUTED_VALUE"""),"approved")</f>
        <v>approved</v>
      </c>
      <c r="D1041" s="43" t="str">
        <f>IFERROR(__xludf.DUMMYFUNCTION("""COMPUTED_VALUE"""),"No")</f>
        <v>No</v>
      </c>
      <c r="E1041" s="43" t="str">
        <f>IFERROR(__xludf.DUMMYFUNCTION("""COMPUTED_VALUE"""),"p_f4c785c591072cc91f2a4633d8696f2bbb589706@inbound.aiesec.org")</f>
        <v>p_f4c785c591072cc91f2a4633d8696f2bbb589706@inbound.aiesec.org</v>
      </c>
      <c r="F1041" s="43">
        <f>IFERROR(__xludf.DUMMYFUNCTION("""COMPUTED_VALUE"""),5.550732616E9)</f>
        <v>5550732616</v>
      </c>
      <c r="G1041" s="43" t="str">
        <f>IFERROR(__xludf.DUMMYFUNCTION("""COMPUTED_VALUE"""),"Turkey")</f>
        <v>Turkey</v>
      </c>
      <c r="H1041" s="43" t="str">
        <f>IFERROR(__xludf.DUMMYFUNCTION("""COMPUTED_VALUE"""),"ISPARTA")</f>
        <v>ISPARTA</v>
      </c>
      <c r="I1041" s="43" t="str">
        <f>IFERROR(__xludf.DUMMYFUNCTION("""COMPUTED_VALUE"""),"Egypt")</f>
        <v>Egypt</v>
      </c>
      <c r="J1041" s="43" t="str">
        <f>IFERROR(__xludf.DUMMYFUNCTION("""COMPUTED_VALUE"""),"Alexandria")</f>
        <v>Alexandria</v>
      </c>
      <c r="K1041" s="44" t="str">
        <f>IFERROR(__xludf.DUMMYFUNCTION("""COMPUTED_VALUE"""),"https://expa.aiesec.org/opportunities/1299451")</f>
        <v>https://expa.aiesec.org/opportunities/1299451</v>
      </c>
      <c r="L1041" s="43" t="str">
        <f>IFERROR(__xludf.DUMMYFUNCTION("""COMPUTED_VALUE"""),"GV")</f>
        <v>GV</v>
      </c>
      <c r="M1041" s="43" t="str">
        <f>IFERROR(__xludf.DUMMYFUNCTION("""COMPUTED_VALUE"""),"short")</f>
        <v>short</v>
      </c>
      <c r="N1041" s="45">
        <f>IFERROR(__xludf.DUMMYFUNCTION("""COMPUTED_VALUE"""),45224.0)</f>
        <v>45224</v>
      </c>
      <c r="O1041" s="45">
        <f>IFERROR(__xludf.DUMMYFUNCTION("""COMPUTED_VALUE"""),45327.0)</f>
        <v>45327</v>
      </c>
      <c r="P1041" s="45">
        <f>IFERROR(__xludf.DUMMYFUNCTION("""COMPUTED_VALUE"""),45369.0)</f>
        <v>45369</v>
      </c>
      <c r="Q1041" s="45"/>
      <c r="R1041" s="45"/>
      <c r="S1041" s="43"/>
      <c r="T1041" s="43"/>
      <c r="U1041" s="43" t="str">
        <f>IFERROR(__xludf.DUMMYFUNCTION("""COMPUTED_VALUE"""),"Fingerprint")</f>
        <v>Fingerprint</v>
      </c>
      <c r="V1041" s="43" t="str">
        <f>IFERROR(__xludf.DUMMYFUNCTION("""COMPUTED_VALUE"""),"ISPARTA")</f>
        <v>ISPARTA</v>
      </c>
      <c r="W1041" s="43" t="str">
        <f>IFERROR(__xludf.DUMMYFUNCTION("""COMPUTED_VALUE"""),"2023-10-21T12:13:41Z")</f>
        <v>2023-10-21T12:13:41Z</v>
      </c>
      <c r="X1041" s="43"/>
      <c r="Y1041" s="43"/>
      <c r="Z1041" s="43"/>
    </row>
    <row r="1042" hidden="1">
      <c r="A1042" s="43" t="str">
        <f>IFERROR(__xludf.DUMMYFUNCTION("""COMPUTED_VALUE"""),"5357281_1297655")</f>
        <v>5357281_1297655</v>
      </c>
      <c r="B1042" s="43" t="str">
        <f>IFERROR(__xludf.DUMMYFUNCTION("""COMPUTED_VALUE"""),"Asya kapan")</f>
        <v>Asya kapan</v>
      </c>
      <c r="C1042" s="43" t="str">
        <f>IFERROR(__xludf.DUMMYFUNCTION("""COMPUTED_VALUE"""),"approved")</f>
        <v>approved</v>
      </c>
      <c r="D1042" s="43" t="str">
        <f>IFERROR(__xludf.DUMMYFUNCTION("""COMPUTED_VALUE"""),"No")</f>
        <v>No</v>
      </c>
      <c r="E1042" s="43" t="str">
        <f>IFERROR(__xludf.DUMMYFUNCTION("""COMPUTED_VALUE"""),"p_b915b51c57819cab1c7f11953d4bb237288a98de@inbound.aiesec.org")</f>
        <v>p_b915b51c57819cab1c7f11953d4bb237288a98de@inbound.aiesec.org</v>
      </c>
      <c r="F1042" s="43">
        <f>IFERROR(__xludf.DUMMYFUNCTION("""COMPUTED_VALUE"""),5.452161789E9)</f>
        <v>5452161789</v>
      </c>
      <c r="G1042" s="43" t="str">
        <f>IFERROR(__xludf.DUMMYFUNCTION("""COMPUTED_VALUE"""),"Turkey")</f>
        <v>Turkey</v>
      </c>
      <c r="H1042" s="43" t="str">
        <f>IFERROR(__xludf.DUMMYFUNCTION("""COMPUTED_VALUE"""),"İZMİR")</f>
        <v>İZMİR</v>
      </c>
      <c r="I1042" s="43" t="str">
        <f>IFERROR(__xludf.DUMMYFUNCTION("""COMPUTED_VALUE"""),"Romania")</f>
        <v>Romania</v>
      </c>
      <c r="J1042" s="43" t="str">
        <f>IFERROR(__xludf.DUMMYFUNCTION("""COMPUTED_VALUE"""),"Cluj-Napoca")</f>
        <v>Cluj-Napoca</v>
      </c>
      <c r="K1042" s="44" t="str">
        <f>IFERROR(__xludf.DUMMYFUNCTION("""COMPUTED_VALUE"""),"https://expa.aiesec.org/opportunities/1297655")</f>
        <v>https://expa.aiesec.org/opportunities/1297655</v>
      </c>
      <c r="L1042" s="43" t="str">
        <f>IFERROR(__xludf.DUMMYFUNCTION("""COMPUTED_VALUE"""),"GV")</f>
        <v>GV</v>
      </c>
      <c r="M1042" s="43" t="str">
        <f>IFERROR(__xludf.DUMMYFUNCTION("""COMPUTED_VALUE"""),"short")</f>
        <v>short</v>
      </c>
      <c r="N1042" s="45">
        <f>IFERROR(__xludf.DUMMYFUNCTION("""COMPUTED_VALUE"""),45225.0)</f>
        <v>45225</v>
      </c>
      <c r="O1042" s="45">
        <f>IFERROR(__xludf.DUMMYFUNCTION("""COMPUTED_VALUE"""),45313.0)</f>
        <v>45313</v>
      </c>
      <c r="P1042" s="45">
        <f>IFERROR(__xludf.DUMMYFUNCTION("""COMPUTED_VALUE"""),45355.0)</f>
        <v>45355</v>
      </c>
      <c r="Q1042" s="45"/>
      <c r="R1042" s="45"/>
      <c r="S1042" s="43"/>
      <c r="T1042" s="43"/>
      <c r="U1042" s="43" t="str">
        <f>IFERROR(__xludf.DUMMYFUNCTION("""COMPUTED_VALUE"""),"Fingerprint")</f>
        <v>Fingerprint</v>
      </c>
      <c r="V1042" s="43" t="str">
        <f>IFERROR(__xludf.DUMMYFUNCTION("""COMPUTED_VALUE"""),"IZMIR")</f>
        <v>IZMIR</v>
      </c>
      <c r="W1042" s="43" t="str">
        <f>IFERROR(__xludf.DUMMYFUNCTION("""COMPUTED_VALUE"""),"2023-10-22T14:00:27Z")</f>
        <v>2023-10-22T14:00:27Z</v>
      </c>
      <c r="X1042" s="43"/>
      <c r="Y1042" s="43"/>
      <c r="Z1042" s="43"/>
    </row>
    <row r="1043" hidden="1">
      <c r="A1043" s="43" t="str">
        <f>IFERROR(__xludf.DUMMYFUNCTION("""COMPUTED_VALUE"""),"5354916_1299405")</f>
        <v>5354916_1299405</v>
      </c>
      <c r="B1043" s="43" t="str">
        <f>IFERROR(__xludf.DUMMYFUNCTION("""COMPUTED_VALUE"""),"Hatice Vuslat Bektaş")</f>
        <v>Hatice Vuslat Bektaş</v>
      </c>
      <c r="C1043" s="43" t="str">
        <f>IFERROR(__xludf.DUMMYFUNCTION("""COMPUTED_VALUE"""),"approved")</f>
        <v>approved</v>
      </c>
      <c r="D1043" s="43" t="str">
        <f>IFERROR(__xludf.DUMMYFUNCTION("""COMPUTED_VALUE"""),"No")</f>
        <v>No</v>
      </c>
      <c r="E1043" s="43" t="str">
        <f>IFERROR(__xludf.DUMMYFUNCTION("""COMPUTED_VALUE"""),"p_e2dad91924dc835a37ce5ee609164a765fd05e37@inbound.aiesec.org")</f>
        <v>p_e2dad91924dc835a37ce5ee609164a765fd05e37@inbound.aiesec.org</v>
      </c>
      <c r="F1043" s="43">
        <f>IFERROR(__xludf.DUMMYFUNCTION("""COMPUTED_VALUE"""),5.456198183E9)</f>
        <v>5456198183</v>
      </c>
      <c r="G1043" s="43" t="str">
        <f>IFERROR(__xludf.DUMMYFUNCTION("""COMPUTED_VALUE"""),"Turkey")</f>
        <v>Turkey</v>
      </c>
      <c r="H1043" s="43" t="str">
        <f>IFERROR(__xludf.DUMMYFUNCTION("""COMPUTED_VALUE"""),"ANKARA")</f>
        <v>ANKARA</v>
      </c>
      <c r="I1043" s="43" t="str">
        <f>IFERROR(__xludf.DUMMYFUNCTION("""COMPUTED_VALUE"""),"Egypt")</f>
        <v>Egypt</v>
      </c>
      <c r="J1043" s="43" t="str">
        <f>IFERROR(__xludf.DUMMYFUNCTION("""COMPUTED_VALUE"""),"Alexandria")</f>
        <v>Alexandria</v>
      </c>
      <c r="K1043" s="44" t="str">
        <f>IFERROR(__xludf.DUMMYFUNCTION("""COMPUTED_VALUE"""),"https://expa.aiesec.org/opportunities/1299405")</f>
        <v>https://expa.aiesec.org/opportunities/1299405</v>
      </c>
      <c r="L1043" s="43" t="str">
        <f>IFERROR(__xludf.DUMMYFUNCTION("""COMPUTED_VALUE"""),"GV")</f>
        <v>GV</v>
      </c>
      <c r="M1043" s="43" t="str">
        <f>IFERROR(__xludf.DUMMYFUNCTION("""COMPUTED_VALUE"""),"short")</f>
        <v>short</v>
      </c>
      <c r="N1043" s="45">
        <f>IFERROR(__xludf.DUMMYFUNCTION("""COMPUTED_VALUE"""),45225.0)</f>
        <v>45225</v>
      </c>
      <c r="O1043" s="45">
        <f>IFERROR(__xludf.DUMMYFUNCTION("""COMPUTED_VALUE"""),45311.0)</f>
        <v>45311</v>
      </c>
      <c r="P1043" s="45">
        <f>IFERROR(__xludf.DUMMYFUNCTION("""COMPUTED_VALUE"""),45353.0)</f>
        <v>45353</v>
      </c>
      <c r="Q1043" s="45"/>
      <c r="R1043" s="45"/>
      <c r="S1043" s="43"/>
      <c r="T1043" s="43"/>
      <c r="U1043" s="43" t="str">
        <f>IFERROR(__xludf.DUMMYFUNCTION("""COMPUTED_VALUE"""),"Global Classroom")</f>
        <v>Global Classroom</v>
      </c>
      <c r="V1043" s="43" t="str">
        <f>IFERROR(__xludf.DUMMYFUNCTION("""COMPUTED_VALUE"""),"ANKARA")</f>
        <v>ANKARA</v>
      </c>
      <c r="W1043" s="43" t="str">
        <f>IFERROR(__xludf.DUMMYFUNCTION("""COMPUTED_VALUE"""),"2023-10-18T17:48:26Z")</f>
        <v>2023-10-18T17:48:26Z</v>
      </c>
      <c r="X1043" s="43"/>
      <c r="Y1043" s="43"/>
      <c r="Z1043" s="43"/>
    </row>
    <row r="1044" hidden="1">
      <c r="A1044" s="43" t="str">
        <f>IFERROR(__xludf.DUMMYFUNCTION("""COMPUTED_VALUE"""),"5356803_1299422")</f>
        <v>5356803_1299422</v>
      </c>
      <c r="B1044" s="43" t="str">
        <f>IFERROR(__xludf.DUMMYFUNCTION("""COMPUTED_VALUE"""),"Toprak Aygün")</f>
        <v>Toprak Aygün</v>
      </c>
      <c r="C1044" s="43" t="str">
        <f>IFERROR(__xludf.DUMMYFUNCTION("""COMPUTED_VALUE"""),"realized")</f>
        <v>realized</v>
      </c>
      <c r="D1044" s="43" t="str">
        <f>IFERROR(__xludf.DUMMYFUNCTION("""COMPUTED_VALUE"""),"No")</f>
        <v>No</v>
      </c>
      <c r="E1044" s="43" t="str">
        <f>IFERROR(__xludf.DUMMYFUNCTION("""COMPUTED_VALUE"""),"p_2864f582bc890eee3e7134dfd653f414ec379c10@inbound.aiesec.org")</f>
        <v>p_2864f582bc890eee3e7134dfd653f414ec379c10@inbound.aiesec.org</v>
      </c>
      <c r="F1044" s="43">
        <f>IFERROR(__xludf.DUMMYFUNCTION("""COMPUTED_VALUE"""),5.348218105E9)</f>
        <v>5348218105</v>
      </c>
      <c r="G1044" s="43" t="str">
        <f>IFERROR(__xludf.DUMMYFUNCTION("""COMPUTED_VALUE"""),"Turkey")</f>
        <v>Turkey</v>
      </c>
      <c r="H1044" s="43" t="str">
        <f>IFERROR(__xludf.DUMMYFUNCTION("""COMPUTED_VALUE"""),"ISTANBUL")</f>
        <v>ISTANBUL</v>
      </c>
      <c r="I1044" s="43" t="str">
        <f>IFERROR(__xludf.DUMMYFUNCTION("""COMPUTED_VALUE"""),"Slovakia")</f>
        <v>Slovakia</v>
      </c>
      <c r="J1044" s="43" t="str">
        <f>IFERROR(__xludf.DUMMYFUNCTION("""COMPUTED_VALUE"""),"Nitra")</f>
        <v>Nitra</v>
      </c>
      <c r="K1044" s="44" t="str">
        <f>IFERROR(__xludf.DUMMYFUNCTION("""COMPUTED_VALUE"""),"https://expa.aiesec.org/opportunities/1299422")</f>
        <v>https://expa.aiesec.org/opportunities/1299422</v>
      </c>
      <c r="L1044" s="43" t="str">
        <f>IFERROR(__xludf.DUMMYFUNCTION("""COMPUTED_VALUE"""),"GV")</f>
        <v>GV</v>
      </c>
      <c r="M1044" s="43" t="str">
        <f>IFERROR(__xludf.DUMMYFUNCTION("""COMPUTED_VALUE"""),"short")</f>
        <v>short</v>
      </c>
      <c r="N1044" s="45">
        <f>IFERROR(__xludf.DUMMYFUNCTION("""COMPUTED_VALUE"""),45225.0)</f>
        <v>45225</v>
      </c>
      <c r="O1044" s="45">
        <f>IFERROR(__xludf.DUMMYFUNCTION("""COMPUTED_VALUE"""),45306.0)</f>
        <v>45306</v>
      </c>
      <c r="P1044" s="45">
        <f>IFERROR(__xludf.DUMMYFUNCTION("""COMPUTED_VALUE"""),45348.0)</f>
        <v>45348</v>
      </c>
      <c r="Q1044" s="45">
        <f>IFERROR(__xludf.DUMMYFUNCTION("""COMPUTED_VALUE"""),45306.0)</f>
        <v>45306</v>
      </c>
      <c r="R1044" s="45">
        <f>IFERROR(__xludf.DUMMYFUNCTION("""COMPUTED_VALUE"""),45348.0)</f>
        <v>45348</v>
      </c>
      <c r="S1044" s="43"/>
      <c r="T1044" s="43"/>
      <c r="U1044" s="43" t="str">
        <f>IFERROR(__xludf.DUMMYFUNCTION("""COMPUTED_VALUE"""),"Happy Bus")</f>
        <v>Happy Bus</v>
      </c>
      <c r="V1044" s="43" t="str">
        <f>IFERROR(__xludf.DUMMYFUNCTION("""COMPUTED_VALUE"""),"ISTANBUL - BEYOGLU")</f>
        <v>ISTANBUL - BEYOGLU</v>
      </c>
      <c r="W1044" s="43" t="str">
        <f>IFERROR(__xludf.DUMMYFUNCTION("""COMPUTED_VALUE"""),"2023-10-21T18:39:26Z")</f>
        <v>2023-10-21T18:39:26Z</v>
      </c>
      <c r="X1044" s="43"/>
      <c r="Y1044" s="43"/>
      <c r="Z1044" s="43"/>
    </row>
    <row r="1045" hidden="1">
      <c r="A1045" s="43" t="str">
        <f>IFERROR(__xludf.DUMMYFUNCTION("""COMPUTED_VALUE"""),"5361158_1299656")</f>
        <v>5361158_1299656</v>
      </c>
      <c r="B1045" s="43" t="str">
        <f>IFERROR(__xludf.DUMMYFUNCTION("""COMPUTED_VALUE"""),"Eylül Sıla Çifci")</f>
        <v>Eylül Sıla Çifci</v>
      </c>
      <c r="C1045" s="43" t="str">
        <f>IFERROR(__xludf.DUMMYFUNCTION("""COMPUTED_VALUE"""),"approved")</f>
        <v>approved</v>
      </c>
      <c r="D1045" s="43" t="str">
        <f>IFERROR(__xludf.DUMMYFUNCTION("""COMPUTED_VALUE"""),"No")</f>
        <v>No</v>
      </c>
      <c r="E1045" s="43" t="str">
        <f>IFERROR(__xludf.DUMMYFUNCTION("""COMPUTED_VALUE"""),"p_3157379a02c88fa504a09e0ac87d655ce9bc4e31@inbound.aiesec.org")</f>
        <v>p_3157379a02c88fa504a09e0ac87d655ce9bc4e31@inbound.aiesec.org</v>
      </c>
      <c r="F1045" s="43">
        <f>IFERROR(__xludf.DUMMYFUNCTION("""COMPUTED_VALUE"""),5.071070096E9)</f>
        <v>5071070096</v>
      </c>
      <c r="G1045" s="43" t="str">
        <f>IFERROR(__xludf.DUMMYFUNCTION("""COMPUTED_VALUE"""),"Turkey")</f>
        <v>Turkey</v>
      </c>
      <c r="H1045" s="43" t="str">
        <f>IFERROR(__xludf.DUMMYFUNCTION("""COMPUTED_VALUE"""),"ISTANBUL")</f>
        <v>ISTANBUL</v>
      </c>
      <c r="I1045" s="43" t="str">
        <f>IFERROR(__xludf.DUMMYFUNCTION("""COMPUTED_VALUE"""),"Brazil")</f>
        <v>Brazil</v>
      </c>
      <c r="J1045" s="43" t="str">
        <f>IFERROR(__xludf.DUMMYFUNCTION("""COMPUTED_VALUE"""),"RIO DE JANEIRO")</f>
        <v>RIO DE JANEIRO</v>
      </c>
      <c r="K1045" s="44" t="str">
        <f>IFERROR(__xludf.DUMMYFUNCTION("""COMPUTED_VALUE"""),"https://expa.aiesec.org/opportunities/1299656")</f>
        <v>https://expa.aiesec.org/opportunities/1299656</v>
      </c>
      <c r="L1045" s="43" t="str">
        <f>IFERROR(__xludf.DUMMYFUNCTION("""COMPUTED_VALUE"""),"GV")</f>
        <v>GV</v>
      </c>
      <c r="M1045" s="43" t="str">
        <f>IFERROR(__xludf.DUMMYFUNCTION("""COMPUTED_VALUE"""),"short")</f>
        <v>short</v>
      </c>
      <c r="N1045" s="45">
        <f>IFERROR(__xludf.DUMMYFUNCTION("""COMPUTED_VALUE"""),45226.0)</f>
        <v>45226</v>
      </c>
      <c r="O1045" s="45">
        <f>IFERROR(__xludf.DUMMYFUNCTION("""COMPUTED_VALUE"""),45496.0)</f>
        <v>45496</v>
      </c>
      <c r="P1045" s="45">
        <f>IFERROR(__xludf.DUMMYFUNCTION("""COMPUTED_VALUE"""),45538.0)</f>
        <v>45538</v>
      </c>
      <c r="Q1045" s="45"/>
      <c r="R1045" s="45"/>
      <c r="S1045" s="43"/>
      <c r="T1045" s="43"/>
      <c r="U1045" s="43" t="str">
        <f>IFERROR(__xludf.DUMMYFUNCTION("""COMPUTED_VALUE"""),"Raise Your Voice")</f>
        <v>Raise Your Voice</v>
      </c>
      <c r="V1045" s="43" t="str">
        <f>IFERROR(__xludf.DUMMYFUNCTION("""COMPUTED_VALUE"""),"ISTANBUL - BEYOGLU")</f>
        <v>ISTANBUL - BEYOGLU</v>
      </c>
      <c r="W1045" s="43" t="str">
        <f>IFERROR(__xludf.DUMMYFUNCTION("""COMPUTED_VALUE"""),"2023-10-26T20:48:44Z")</f>
        <v>2023-10-26T20:48:44Z</v>
      </c>
      <c r="X1045" s="43"/>
      <c r="Y1045" s="43"/>
      <c r="Z1045" s="43"/>
    </row>
    <row r="1046" hidden="1">
      <c r="A1046" s="43" t="str">
        <f>IFERROR(__xludf.DUMMYFUNCTION("""COMPUTED_VALUE"""),"5359267_1292960")</f>
        <v>5359267_1292960</v>
      </c>
      <c r="B1046" s="43" t="str">
        <f>IFERROR(__xludf.DUMMYFUNCTION("""COMPUTED_VALUE"""),"Hasan SAMUR")</f>
        <v>Hasan SAMUR</v>
      </c>
      <c r="C1046" s="43" t="str">
        <f>IFERROR(__xludf.DUMMYFUNCTION("""COMPUTED_VALUE"""),"approved")</f>
        <v>approved</v>
      </c>
      <c r="D1046" s="43" t="str">
        <f>IFERROR(__xludf.DUMMYFUNCTION("""COMPUTED_VALUE"""),"No")</f>
        <v>No</v>
      </c>
      <c r="E1046" s="43" t="str">
        <f>IFERROR(__xludf.DUMMYFUNCTION("""COMPUTED_VALUE"""),"p_5a6636211edc9c1c3fcd61e52282317ac482c25d@inbound.aiesec.org")</f>
        <v>p_5a6636211edc9c1c3fcd61e52282317ac482c25d@inbound.aiesec.org</v>
      </c>
      <c r="F1046" s="43">
        <f>IFERROR(__xludf.DUMMYFUNCTION("""COMPUTED_VALUE"""),5.364913411E9)</f>
        <v>5364913411</v>
      </c>
      <c r="G1046" s="43" t="str">
        <f>IFERROR(__xludf.DUMMYFUNCTION("""COMPUTED_VALUE"""),"Turkey")</f>
        <v>Turkey</v>
      </c>
      <c r="H1046" s="43" t="str">
        <f>IFERROR(__xludf.DUMMYFUNCTION("""COMPUTED_VALUE"""),"KOCAELI")</f>
        <v>KOCAELI</v>
      </c>
      <c r="I1046" s="43" t="str">
        <f>IFERROR(__xludf.DUMMYFUNCTION("""COMPUTED_VALUE"""),"India")</f>
        <v>India</v>
      </c>
      <c r="J1046" s="43" t="str">
        <f>IFERROR(__xludf.DUMMYFUNCTION("""COMPUTED_VALUE"""),"JAIPUR ")</f>
        <v>JAIPUR </v>
      </c>
      <c r="K1046" s="44" t="str">
        <f>IFERROR(__xludf.DUMMYFUNCTION("""COMPUTED_VALUE"""),"https://expa.aiesec.org/opportunities/1292960")</f>
        <v>https://expa.aiesec.org/opportunities/1292960</v>
      </c>
      <c r="L1046" s="43" t="str">
        <f>IFERROR(__xludf.DUMMYFUNCTION("""COMPUTED_VALUE"""),"GV")</f>
        <v>GV</v>
      </c>
      <c r="M1046" s="43" t="str">
        <f>IFERROR(__xludf.DUMMYFUNCTION("""COMPUTED_VALUE"""),"short")</f>
        <v>short</v>
      </c>
      <c r="N1046" s="45">
        <f>IFERROR(__xludf.DUMMYFUNCTION("""COMPUTED_VALUE"""),45226.0)</f>
        <v>45226</v>
      </c>
      <c r="O1046" s="45">
        <f>IFERROR(__xludf.DUMMYFUNCTION("""COMPUTED_VALUE"""),45475.0)</f>
        <v>45475</v>
      </c>
      <c r="P1046" s="45">
        <f>IFERROR(__xludf.DUMMYFUNCTION("""COMPUTED_VALUE"""),45517.0)</f>
        <v>45517</v>
      </c>
      <c r="Q1046" s="45"/>
      <c r="R1046" s="45"/>
      <c r="S1046" s="43"/>
      <c r="T1046" s="43"/>
      <c r="U1046" s="43" t="str">
        <f>IFERROR(__xludf.DUMMYFUNCTION("""COMPUTED_VALUE"""),"Skill Up!")</f>
        <v>Skill Up!</v>
      </c>
      <c r="V1046" s="43" t="str">
        <f>IFERROR(__xludf.DUMMYFUNCTION("""COMPUTED_VALUE"""),"KOCAELI")</f>
        <v>KOCAELI</v>
      </c>
      <c r="W1046" s="43" t="str">
        <f>IFERROR(__xludf.DUMMYFUNCTION("""COMPUTED_VALUE"""),"2023-10-24T16:01:53Z")</f>
        <v>2023-10-24T16:01:53Z</v>
      </c>
      <c r="X1046" s="43"/>
      <c r="Y1046" s="43"/>
      <c r="Z1046" s="43"/>
    </row>
    <row r="1047" hidden="1">
      <c r="A1047" s="43" t="str">
        <f>IFERROR(__xludf.DUMMYFUNCTION("""COMPUTED_VALUE"""),"5360327_1289850")</f>
        <v>5360327_1289850</v>
      </c>
      <c r="B1047" s="43" t="str">
        <f>IFERROR(__xludf.DUMMYFUNCTION("""COMPUTED_VALUE"""),"Umur Uysal")</f>
        <v>Umur Uysal</v>
      </c>
      <c r="C1047" s="43" t="str">
        <f>IFERROR(__xludf.DUMMYFUNCTION("""COMPUTED_VALUE"""),"approved")</f>
        <v>approved</v>
      </c>
      <c r="D1047" s="43" t="str">
        <f>IFERROR(__xludf.DUMMYFUNCTION("""COMPUTED_VALUE"""),"No")</f>
        <v>No</v>
      </c>
      <c r="E1047" s="43" t="str">
        <f>IFERROR(__xludf.DUMMYFUNCTION("""COMPUTED_VALUE"""),"p_a32f4626aa9fc77052d4c27f38a0ad879c9e7c44@inbound.aiesec.org")</f>
        <v>p_a32f4626aa9fc77052d4c27f38a0ad879c9e7c44@inbound.aiesec.org</v>
      </c>
      <c r="F1047" s="43"/>
      <c r="G1047" s="43" t="str">
        <f>IFERROR(__xludf.DUMMYFUNCTION("""COMPUTED_VALUE"""),"Turkey")</f>
        <v>Turkey</v>
      </c>
      <c r="H1047" s="43" t="str">
        <f>IFERROR(__xludf.DUMMYFUNCTION("""COMPUTED_VALUE"""),"ISTANBUL")</f>
        <v>ISTANBUL</v>
      </c>
      <c r="I1047" s="43" t="str">
        <f>IFERROR(__xludf.DUMMYFUNCTION("""COMPUTED_VALUE"""),"India")</f>
        <v>India</v>
      </c>
      <c r="J1047" s="43" t="str">
        <f>IFERROR(__xludf.DUMMYFUNCTION("""COMPUTED_VALUE"""),"Mumbai")</f>
        <v>Mumbai</v>
      </c>
      <c r="K1047" s="44" t="str">
        <f>IFERROR(__xludf.DUMMYFUNCTION("""COMPUTED_VALUE"""),"https://expa.aiesec.org/opportunities/1289850")</f>
        <v>https://expa.aiesec.org/opportunities/1289850</v>
      </c>
      <c r="L1047" s="43" t="str">
        <f>IFERROR(__xludf.DUMMYFUNCTION("""COMPUTED_VALUE"""),"GV")</f>
        <v>GV</v>
      </c>
      <c r="M1047" s="43" t="str">
        <f>IFERROR(__xludf.DUMMYFUNCTION("""COMPUTED_VALUE"""),"short")</f>
        <v>short</v>
      </c>
      <c r="N1047" s="45">
        <f>IFERROR(__xludf.DUMMYFUNCTION("""COMPUTED_VALUE"""),45227.0)</f>
        <v>45227</v>
      </c>
      <c r="O1047" s="45">
        <f>IFERROR(__xludf.DUMMYFUNCTION("""COMPUTED_VALUE"""),45488.0)</f>
        <v>45488</v>
      </c>
      <c r="P1047" s="45">
        <f>IFERROR(__xludf.DUMMYFUNCTION("""COMPUTED_VALUE"""),45530.0)</f>
        <v>45530</v>
      </c>
      <c r="Q1047" s="45"/>
      <c r="R1047" s="45"/>
      <c r="S1047" s="43"/>
      <c r="T1047" s="43"/>
      <c r="U1047" s="43" t="str">
        <f>IFERROR(__xludf.DUMMYFUNCTION("""COMPUTED_VALUE"""),"Global Classroom")</f>
        <v>Global Classroom</v>
      </c>
      <c r="V1047" s="43" t="str">
        <f>IFERROR(__xludf.DUMMYFUNCTION("""COMPUTED_VALUE"""),"-")</f>
        <v>-</v>
      </c>
      <c r="W1047" s="43" t="str">
        <f>IFERROR(__xludf.DUMMYFUNCTION("""COMPUTED_VALUE"""),"2023-10-25T19:49:15Z")</f>
        <v>2023-10-25T19:49:15Z</v>
      </c>
      <c r="X1047" s="43"/>
      <c r="Y1047" s="43"/>
      <c r="Z1047" s="43"/>
    </row>
    <row r="1048" hidden="1">
      <c r="A1048" s="43" t="str">
        <f>IFERROR(__xludf.DUMMYFUNCTION("""COMPUTED_VALUE"""),"5362082_1288609")</f>
        <v>5362082_1288609</v>
      </c>
      <c r="B1048" s="43" t="str">
        <f>IFERROR(__xludf.DUMMYFUNCTION("""COMPUTED_VALUE"""),"Dilara Huz")</f>
        <v>Dilara Huz</v>
      </c>
      <c r="C1048" s="43" t="str">
        <f>IFERROR(__xludf.DUMMYFUNCTION("""COMPUTED_VALUE"""),"approved")</f>
        <v>approved</v>
      </c>
      <c r="D1048" s="43" t="str">
        <f>IFERROR(__xludf.DUMMYFUNCTION("""COMPUTED_VALUE"""),"No")</f>
        <v>No</v>
      </c>
      <c r="E1048" s="43" t="str">
        <f>IFERROR(__xludf.DUMMYFUNCTION("""COMPUTED_VALUE"""),"p_6747081330c1826ca4265aa18281960de71281da@inbound.aiesec.org")</f>
        <v>p_6747081330c1826ca4265aa18281960de71281da@inbound.aiesec.org</v>
      </c>
      <c r="F1048" s="43">
        <f>IFERROR(__xludf.DUMMYFUNCTION("""COMPUTED_VALUE"""),5.358298643E9)</f>
        <v>5358298643</v>
      </c>
      <c r="G1048" s="43" t="str">
        <f>IFERROR(__xludf.DUMMYFUNCTION("""COMPUTED_VALUE"""),"Turkey")</f>
        <v>Turkey</v>
      </c>
      <c r="H1048" s="43" t="str">
        <f>IFERROR(__xludf.DUMMYFUNCTION("""COMPUTED_VALUE"""),"ISTANBUL WEST")</f>
        <v>ISTANBUL WEST</v>
      </c>
      <c r="I1048" s="43" t="str">
        <f>IFERROR(__xludf.DUMMYFUNCTION("""COMPUTED_VALUE"""),"Egypt")</f>
        <v>Egypt</v>
      </c>
      <c r="J1048" s="43" t="str">
        <f>IFERROR(__xludf.DUMMYFUNCTION("""COMPUTED_VALUE"""),"Tanta")</f>
        <v>Tanta</v>
      </c>
      <c r="K1048" s="44" t="str">
        <f>IFERROR(__xludf.DUMMYFUNCTION("""COMPUTED_VALUE"""),"https://expa.aiesec.org/opportunities/1288609")</f>
        <v>https://expa.aiesec.org/opportunities/1288609</v>
      </c>
      <c r="L1048" s="43" t="str">
        <f>IFERROR(__xludf.DUMMYFUNCTION("""COMPUTED_VALUE"""),"GV")</f>
        <v>GV</v>
      </c>
      <c r="M1048" s="43" t="str">
        <f>IFERROR(__xludf.DUMMYFUNCTION("""COMPUTED_VALUE"""),"short")</f>
        <v>short</v>
      </c>
      <c r="N1048" s="45">
        <f>IFERROR(__xludf.DUMMYFUNCTION("""COMPUTED_VALUE"""),45227.0)</f>
        <v>45227</v>
      </c>
      <c r="O1048" s="45">
        <f>IFERROR(__xludf.DUMMYFUNCTION("""COMPUTED_VALUE"""),45474.0)</f>
        <v>45474</v>
      </c>
      <c r="P1048" s="45">
        <f>IFERROR(__xludf.DUMMYFUNCTION("""COMPUTED_VALUE"""),45516.0)</f>
        <v>45516</v>
      </c>
      <c r="Q1048" s="45"/>
      <c r="R1048" s="45"/>
      <c r="S1048" s="43"/>
      <c r="T1048" s="43"/>
      <c r="U1048" s="43" t="str">
        <f>IFERROR(__xludf.DUMMYFUNCTION("""COMPUTED_VALUE"""),"On The Map")</f>
        <v>On The Map</v>
      </c>
      <c r="V1048" s="43" t="str">
        <f>IFERROR(__xludf.DUMMYFUNCTION("""COMPUTED_VALUE"""),"ISTANBUL - BAKIRKOY")</f>
        <v>ISTANBUL - BAKIRKOY</v>
      </c>
      <c r="W1048" s="43" t="str">
        <f>IFERROR(__xludf.DUMMYFUNCTION("""COMPUTED_VALUE"""),"2023-10-28T11:07:28Z")</f>
        <v>2023-10-28T11:07:28Z</v>
      </c>
      <c r="X1048" s="43"/>
      <c r="Y1048" s="43"/>
      <c r="Z1048" s="43"/>
    </row>
    <row r="1049" hidden="1">
      <c r="A1049" s="43" t="str">
        <f>IFERROR(__xludf.DUMMYFUNCTION("""COMPUTED_VALUE"""),"5362037_1288609")</f>
        <v>5362037_1288609</v>
      </c>
      <c r="B1049" s="43" t="str">
        <f>IFERROR(__xludf.DUMMYFUNCTION("""COMPUTED_VALUE"""),"Duygu İlimdaroğlu")</f>
        <v>Duygu İlimdaroğlu</v>
      </c>
      <c r="C1049" s="43" t="str">
        <f>IFERROR(__xludf.DUMMYFUNCTION("""COMPUTED_VALUE"""),"approved")</f>
        <v>approved</v>
      </c>
      <c r="D1049" s="43" t="str">
        <f>IFERROR(__xludf.DUMMYFUNCTION("""COMPUTED_VALUE"""),"No")</f>
        <v>No</v>
      </c>
      <c r="E1049" s="43" t="str">
        <f>IFERROR(__xludf.DUMMYFUNCTION("""COMPUTED_VALUE"""),"p_f1e1d2d6e12044702cf08ce5dc71eea9767439e2@inbound.aiesec.org")</f>
        <v>p_f1e1d2d6e12044702cf08ce5dc71eea9767439e2@inbound.aiesec.org</v>
      </c>
      <c r="F1049" s="43">
        <f>IFERROR(__xludf.DUMMYFUNCTION("""COMPUTED_VALUE"""),5.434241665E9)</f>
        <v>5434241665</v>
      </c>
      <c r="G1049" s="43" t="str">
        <f>IFERROR(__xludf.DUMMYFUNCTION("""COMPUTED_VALUE"""),"Turkey")</f>
        <v>Turkey</v>
      </c>
      <c r="H1049" s="43" t="str">
        <f>IFERROR(__xludf.DUMMYFUNCTION("""COMPUTED_VALUE"""),"ISTANBUL WEST")</f>
        <v>ISTANBUL WEST</v>
      </c>
      <c r="I1049" s="43" t="str">
        <f>IFERROR(__xludf.DUMMYFUNCTION("""COMPUTED_VALUE"""),"Egypt")</f>
        <v>Egypt</v>
      </c>
      <c r="J1049" s="43" t="str">
        <f>IFERROR(__xludf.DUMMYFUNCTION("""COMPUTED_VALUE"""),"Tanta")</f>
        <v>Tanta</v>
      </c>
      <c r="K1049" s="44" t="str">
        <f>IFERROR(__xludf.DUMMYFUNCTION("""COMPUTED_VALUE"""),"https://expa.aiesec.org/opportunities/1288609")</f>
        <v>https://expa.aiesec.org/opportunities/1288609</v>
      </c>
      <c r="L1049" s="43" t="str">
        <f>IFERROR(__xludf.DUMMYFUNCTION("""COMPUTED_VALUE"""),"GV")</f>
        <v>GV</v>
      </c>
      <c r="M1049" s="43" t="str">
        <f>IFERROR(__xludf.DUMMYFUNCTION("""COMPUTED_VALUE"""),"short")</f>
        <v>short</v>
      </c>
      <c r="N1049" s="45">
        <f>IFERROR(__xludf.DUMMYFUNCTION("""COMPUTED_VALUE"""),45227.0)</f>
        <v>45227</v>
      </c>
      <c r="O1049" s="45">
        <f>IFERROR(__xludf.DUMMYFUNCTION("""COMPUTED_VALUE"""),45323.0)</f>
        <v>45323</v>
      </c>
      <c r="P1049" s="45">
        <f>IFERROR(__xludf.DUMMYFUNCTION("""COMPUTED_VALUE"""),45365.0)</f>
        <v>45365</v>
      </c>
      <c r="Q1049" s="45"/>
      <c r="R1049" s="45"/>
      <c r="S1049" s="43"/>
      <c r="T1049" s="43"/>
      <c r="U1049" s="43" t="str">
        <f>IFERROR(__xludf.DUMMYFUNCTION("""COMPUTED_VALUE"""),"On The Map")</f>
        <v>On The Map</v>
      </c>
      <c r="V1049" s="43" t="str">
        <f>IFERROR(__xludf.DUMMYFUNCTION("""COMPUTED_VALUE"""),"ISTANBUL - BAKIRKOY")</f>
        <v>ISTANBUL - BAKIRKOY</v>
      </c>
      <c r="W1049" s="43" t="str">
        <f>IFERROR(__xludf.DUMMYFUNCTION("""COMPUTED_VALUE"""),"2023-10-28T08:48:35Z")</f>
        <v>2023-10-28T08:48:35Z</v>
      </c>
      <c r="X1049" s="43"/>
      <c r="Y1049" s="43"/>
      <c r="Z1049" s="43"/>
    </row>
    <row r="1050" hidden="1">
      <c r="A1050" s="43" t="str">
        <f>IFERROR(__xludf.DUMMYFUNCTION("""COMPUTED_VALUE"""),"4860092_1298438")</f>
        <v>4860092_1298438</v>
      </c>
      <c r="B1050" s="43" t="str">
        <f>IFERROR(__xludf.DUMMYFUNCTION("""COMPUTED_VALUE"""),"Alara Özsoy")</f>
        <v>Alara Özsoy</v>
      </c>
      <c r="C1050" s="43" t="str">
        <f>IFERROR(__xludf.DUMMYFUNCTION("""COMPUTED_VALUE"""),"approved")</f>
        <v>approved</v>
      </c>
      <c r="D1050" s="43" t="str">
        <f>IFERROR(__xludf.DUMMYFUNCTION("""COMPUTED_VALUE"""),"No")</f>
        <v>No</v>
      </c>
      <c r="E1050" s="43" t="str">
        <f>IFERROR(__xludf.DUMMYFUNCTION("""COMPUTED_VALUE"""),"p_cb152c201c28bbe63b39f85f6275f624da25f809@inbound.aiesec.org")</f>
        <v>p_cb152c201c28bbe63b39f85f6275f624da25f809@inbound.aiesec.org</v>
      </c>
      <c r="F1050" s="43">
        <f>IFERROR(__xludf.DUMMYFUNCTION("""COMPUTED_VALUE"""),5.346620693E9)</f>
        <v>5346620693</v>
      </c>
      <c r="G1050" s="43" t="str">
        <f>IFERROR(__xludf.DUMMYFUNCTION("""COMPUTED_VALUE"""),"Turkey")</f>
        <v>Turkey</v>
      </c>
      <c r="H1050" s="43" t="str">
        <f>IFERROR(__xludf.DUMMYFUNCTION("""COMPUTED_VALUE"""),"ANKARA")</f>
        <v>ANKARA</v>
      </c>
      <c r="I1050" s="43" t="str">
        <f>IFERROR(__xludf.DUMMYFUNCTION("""COMPUTED_VALUE"""),"Egypt")</f>
        <v>Egypt</v>
      </c>
      <c r="J1050" s="43" t="str">
        <f>IFERROR(__xludf.DUMMYFUNCTION("""COMPUTED_VALUE"""),"Mansoura")</f>
        <v>Mansoura</v>
      </c>
      <c r="K1050" s="44" t="str">
        <f>IFERROR(__xludf.DUMMYFUNCTION("""COMPUTED_VALUE"""),"https://expa.aiesec.org/opportunities/1298438")</f>
        <v>https://expa.aiesec.org/opportunities/1298438</v>
      </c>
      <c r="L1050" s="43" t="str">
        <f>IFERROR(__xludf.DUMMYFUNCTION("""COMPUTED_VALUE"""),"GV")</f>
        <v>GV</v>
      </c>
      <c r="M1050" s="43" t="str">
        <f>IFERROR(__xludf.DUMMYFUNCTION("""COMPUTED_VALUE"""),"short")</f>
        <v>short</v>
      </c>
      <c r="N1050" s="45">
        <f>IFERROR(__xludf.DUMMYFUNCTION("""COMPUTED_VALUE"""),45227.0)</f>
        <v>45227</v>
      </c>
      <c r="O1050" s="45">
        <f>IFERROR(__xludf.DUMMYFUNCTION("""COMPUTED_VALUE"""),45483.0)</f>
        <v>45483</v>
      </c>
      <c r="P1050" s="45">
        <f>IFERROR(__xludf.DUMMYFUNCTION("""COMPUTED_VALUE"""),45525.0)</f>
        <v>45525</v>
      </c>
      <c r="Q1050" s="45"/>
      <c r="R1050" s="45"/>
      <c r="S1050" s="43"/>
      <c r="T1050" s="43"/>
      <c r="U1050" s="43" t="str">
        <f>IFERROR(__xludf.DUMMYFUNCTION("""COMPUTED_VALUE"""),"Global Classroom")</f>
        <v>Global Classroom</v>
      </c>
      <c r="V1050" s="43" t="str">
        <f>IFERROR(__xludf.DUMMYFUNCTION("""COMPUTED_VALUE"""),"ANKARA")</f>
        <v>ANKARA</v>
      </c>
      <c r="W1050" s="43" t="str">
        <f>IFERROR(__xludf.DUMMYFUNCTION("""COMPUTED_VALUE"""),"2021-12-29T16:27:52Z")</f>
        <v>2021-12-29T16:27:52Z</v>
      </c>
      <c r="X1050" s="43"/>
      <c r="Y1050" s="43"/>
      <c r="Z1050" s="43"/>
    </row>
    <row r="1051" hidden="1">
      <c r="A1051" s="43" t="str">
        <f>IFERROR(__xludf.DUMMYFUNCTION("""COMPUTED_VALUE"""),"5361832_1292960")</f>
        <v>5361832_1292960</v>
      </c>
      <c r="B1051" s="43" t="str">
        <f>IFERROR(__xludf.DUMMYFUNCTION("""COMPUTED_VALUE"""),"Ezgi Boztaş")</f>
        <v>Ezgi Boztaş</v>
      </c>
      <c r="C1051" s="43" t="str">
        <f>IFERROR(__xludf.DUMMYFUNCTION("""COMPUTED_VALUE"""),"approved")</f>
        <v>approved</v>
      </c>
      <c r="D1051" s="43" t="str">
        <f>IFERROR(__xludf.DUMMYFUNCTION("""COMPUTED_VALUE"""),"No")</f>
        <v>No</v>
      </c>
      <c r="E1051" s="43" t="str">
        <f>IFERROR(__xludf.DUMMYFUNCTION("""COMPUTED_VALUE"""),"p_4c02e5bd6326bb38d3b5948c0701036f75881b6e@inbound.aiesec.org")</f>
        <v>p_4c02e5bd6326bb38d3b5948c0701036f75881b6e@inbound.aiesec.org</v>
      </c>
      <c r="F1051" s="43"/>
      <c r="G1051" s="43" t="str">
        <f>IFERROR(__xludf.DUMMYFUNCTION("""COMPUTED_VALUE"""),"Turkey")</f>
        <v>Turkey</v>
      </c>
      <c r="H1051" s="43" t="str">
        <f>IFERROR(__xludf.DUMMYFUNCTION("""COMPUTED_VALUE"""),"KOCAELI")</f>
        <v>KOCAELI</v>
      </c>
      <c r="I1051" s="43" t="str">
        <f>IFERROR(__xludf.DUMMYFUNCTION("""COMPUTED_VALUE"""),"India")</f>
        <v>India</v>
      </c>
      <c r="J1051" s="43" t="str">
        <f>IFERROR(__xludf.DUMMYFUNCTION("""COMPUTED_VALUE"""),"JAIPUR ")</f>
        <v>JAIPUR </v>
      </c>
      <c r="K1051" s="44" t="str">
        <f>IFERROR(__xludf.DUMMYFUNCTION("""COMPUTED_VALUE"""),"https://expa.aiesec.org/opportunities/1292960")</f>
        <v>https://expa.aiesec.org/opportunities/1292960</v>
      </c>
      <c r="L1051" s="43" t="str">
        <f>IFERROR(__xludf.DUMMYFUNCTION("""COMPUTED_VALUE"""),"GV")</f>
        <v>GV</v>
      </c>
      <c r="M1051" s="43" t="str">
        <f>IFERROR(__xludf.DUMMYFUNCTION("""COMPUTED_VALUE"""),"short")</f>
        <v>short</v>
      </c>
      <c r="N1051" s="45">
        <f>IFERROR(__xludf.DUMMYFUNCTION("""COMPUTED_VALUE"""),45227.0)</f>
        <v>45227</v>
      </c>
      <c r="O1051" s="45">
        <f>IFERROR(__xludf.DUMMYFUNCTION("""COMPUTED_VALUE"""),45475.0)</f>
        <v>45475</v>
      </c>
      <c r="P1051" s="45">
        <f>IFERROR(__xludf.DUMMYFUNCTION("""COMPUTED_VALUE"""),45517.0)</f>
        <v>45517</v>
      </c>
      <c r="Q1051" s="45"/>
      <c r="R1051" s="45"/>
      <c r="S1051" s="43"/>
      <c r="T1051" s="43"/>
      <c r="U1051" s="43" t="str">
        <f>IFERROR(__xludf.DUMMYFUNCTION("""COMPUTED_VALUE"""),"Skill Up!")</f>
        <v>Skill Up!</v>
      </c>
      <c r="V1051" s="43" t="str">
        <f>IFERROR(__xludf.DUMMYFUNCTION("""COMPUTED_VALUE"""),"-")</f>
        <v>-</v>
      </c>
      <c r="W1051" s="43" t="str">
        <f>IFERROR(__xludf.DUMMYFUNCTION("""COMPUTED_VALUE"""),"2023-10-27T22:14:17Z")</f>
        <v>2023-10-27T22:14:17Z</v>
      </c>
      <c r="X1051" s="43"/>
      <c r="Y1051" s="43"/>
      <c r="Z1051" s="43"/>
    </row>
    <row r="1052" hidden="1">
      <c r="A1052" s="43" t="str">
        <f>IFERROR(__xludf.DUMMYFUNCTION("""COMPUTED_VALUE"""),"5161220_1299527")</f>
        <v>5161220_1299527</v>
      </c>
      <c r="B1052" s="43" t="str">
        <f>IFERROR(__xludf.DUMMYFUNCTION("""COMPUTED_VALUE"""),"Dogukan Gezer")</f>
        <v>Dogukan Gezer</v>
      </c>
      <c r="C1052" s="43" t="str">
        <f>IFERROR(__xludf.DUMMYFUNCTION("""COMPUTED_VALUE"""),"approved")</f>
        <v>approved</v>
      </c>
      <c r="D1052" s="43" t="str">
        <f>IFERROR(__xludf.DUMMYFUNCTION("""COMPUTED_VALUE"""),"No")</f>
        <v>No</v>
      </c>
      <c r="E1052" s="43" t="str">
        <f>IFERROR(__xludf.DUMMYFUNCTION("""COMPUTED_VALUE"""),"p_01ad6e02ed874861aa420aaaf878319e0bcafc09@inbound.aiesec.org")</f>
        <v>p_01ad6e02ed874861aa420aaaf878319e0bcafc09@inbound.aiesec.org</v>
      </c>
      <c r="F1052" s="43">
        <f>IFERROR(__xludf.DUMMYFUNCTION("""COMPUTED_VALUE"""),5.369907948E9)</f>
        <v>5369907948</v>
      </c>
      <c r="G1052" s="43" t="str">
        <f>IFERROR(__xludf.DUMMYFUNCTION("""COMPUTED_VALUE"""),"Turkey")</f>
        <v>Turkey</v>
      </c>
      <c r="H1052" s="43" t="str">
        <f>IFERROR(__xludf.DUMMYFUNCTION("""COMPUTED_VALUE"""),"İZMİR")</f>
        <v>İZMİR</v>
      </c>
      <c r="I1052" s="43" t="str">
        <f>IFERROR(__xludf.DUMMYFUNCTION("""COMPUTED_VALUE"""),"Brazil")</f>
        <v>Brazil</v>
      </c>
      <c r="J1052" s="43" t="str">
        <f>IFERROR(__xludf.DUMMYFUNCTION("""COMPUTED_VALUE"""),"FORTALEZA")</f>
        <v>FORTALEZA</v>
      </c>
      <c r="K1052" s="44" t="str">
        <f>IFERROR(__xludf.DUMMYFUNCTION("""COMPUTED_VALUE"""),"https://expa.aiesec.org/opportunities/1299527")</f>
        <v>https://expa.aiesec.org/opportunities/1299527</v>
      </c>
      <c r="L1052" s="43" t="str">
        <f>IFERROR(__xludf.DUMMYFUNCTION("""COMPUTED_VALUE"""),"GV")</f>
        <v>GV</v>
      </c>
      <c r="M1052" s="43" t="str">
        <f>IFERROR(__xludf.DUMMYFUNCTION("""COMPUTED_VALUE"""),"short")</f>
        <v>short</v>
      </c>
      <c r="N1052" s="45">
        <f>IFERROR(__xludf.DUMMYFUNCTION("""COMPUTED_VALUE"""),45227.0)</f>
        <v>45227</v>
      </c>
      <c r="O1052" s="45">
        <f>IFERROR(__xludf.DUMMYFUNCTION("""COMPUTED_VALUE"""),45397.0)</f>
        <v>45397</v>
      </c>
      <c r="P1052" s="45">
        <f>IFERROR(__xludf.DUMMYFUNCTION("""COMPUTED_VALUE"""),45439.0)</f>
        <v>45439</v>
      </c>
      <c r="Q1052" s="45"/>
      <c r="R1052" s="45"/>
      <c r="S1052" s="43"/>
      <c r="T1052" s="43"/>
      <c r="U1052" s="43" t="str">
        <f>IFERROR(__xludf.DUMMYFUNCTION("""COMPUTED_VALUE"""),"Green Leaders")</f>
        <v>Green Leaders</v>
      </c>
      <c r="V1052" s="43" t="str">
        <f>IFERROR(__xludf.DUMMYFUNCTION("""COMPUTED_VALUE"""),"ISTANBUL - BEYOGLU")</f>
        <v>ISTANBUL - BEYOGLU</v>
      </c>
      <c r="W1052" s="43" t="str">
        <f>IFERROR(__xludf.DUMMYFUNCTION("""COMPUTED_VALUE"""),"2022-12-01T00:53:07Z")</f>
        <v>2022-12-01T00:53:07Z</v>
      </c>
      <c r="X1052" s="43"/>
      <c r="Y1052" s="43"/>
      <c r="Z1052" s="43"/>
    </row>
    <row r="1053" hidden="1">
      <c r="A1053" s="43" t="str">
        <f>IFERROR(__xludf.DUMMYFUNCTION("""COMPUTED_VALUE"""),"5357135_1296885")</f>
        <v>5357135_1296885</v>
      </c>
      <c r="B1053" s="43" t="str">
        <f>IFERROR(__xludf.DUMMYFUNCTION("""COMPUTED_VALUE"""),"Gamze Demirkol")</f>
        <v>Gamze Demirkol</v>
      </c>
      <c r="C1053" s="43" t="str">
        <f>IFERROR(__xludf.DUMMYFUNCTION("""COMPUTED_VALUE"""),"approved")</f>
        <v>approved</v>
      </c>
      <c r="D1053" s="43" t="str">
        <f>IFERROR(__xludf.DUMMYFUNCTION("""COMPUTED_VALUE"""),"No")</f>
        <v>No</v>
      </c>
      <c r="E1053" s="43" t="str">
        <f>IFERROR(__xludf.DUMMYFUNCTION("""COMPUTED_VALUE"""),"p_cc7dddfbe60f6cd0e8d823508af5367e1ead0e64@inbound.aiesec.org")</f>
        <v>p_cc7dddfbe60f6cd0e8d823508af5367e1ead0e64@inbound.aiesec.org</v>
      </c>
      <c r="F1053" s="43">
        <f>IFERROR(__xludf.DUMMYFUNCTION("""COMPUTED_VALUE"""),5.306846341E9)</f>
        <v>5306846341</v>
      </c>
      <c r="G1053" s="43" t="str">
        <f>IFERROR(__xludf.DUMMYFUNCTION("""COMPUTED_VALUE"""),"Turkey")</f>
        <v>Turkey</v>
      </c>
      <c r="H1053" s="43" t="str">
        <f>IFERROR(__xludf.DUMMYFUNCTION("""COMPUTED_VALUE"""),"KOCAELI")</f>
        <v>KOCAELI</v>
      </c>
      <c r="I1053" s="43" t="str">
        <f>IFERROR(__xludf.DUMMYFUNCTION("""COMPUTED_VALUE"""),"India")</f>
        <v>India</v>
      </c>
      <c r="J1053" s="43" t="str">
        <f>IFERROR(__xludf.DUMMYFUNCTION("""COMPUTED_VALUE"""),"Delhi IIT")</f>
        <v>Delhi IIT</v>
      </c>
      <c r="K1053" s="44" t="str">
        <f>IFERROR(__xludf.DUMMYFUNCTION("""COMPUTED_VALUE"""),"https://expa.aiesec.org/opportunities/1296885")</f>
        <v>https://expa.aiesec.org/opportunities/1296885</v>
      </c>
      <c r="L1053" s="43" t="str">
        <f>IFERROR(__xludf.DUMMYFUNCTION("""COMPUTED_VALUE"""),"GV")</f>
        <v>GV</v>
      </c>
      <c r="M1053" s="43" t="str">
        <f>IFERROR(__xludf.DUMMYFUNCTION("""COMPUTED_VALUE"""),"short")</f>
        <v>short</v>
      </c>
      <c r="N1053" s="45">
        <f>IFERROR(__xludf.DUMMYFUNCTION("""COMPUTED_VALUE"""),45227.0)</f>
        <v>45227</v>
      </c>
      <c r="O1053" s="45">
        <f>IFERROR(__xludf.DUMMYFUNCTION("""COMPUTED_VALUE"""),45478.0)</f>
        <v>45478</v>
      </c>
      <c r="P1053" s="45">
        <f>IFERROR(__xludf.DUMMYFUNCTION("""COMPUTED_VALUE"""),45520.0)</f>
        <v>45520</v>
      </c>
      <c r="Q1053" s="45"/>
      <c r="R1053" s="45"/>
      <c r="S1053" s="43"/>
      <c r="T1053" s="43"/>
      <c r="U1053" s="43" t="str">
        <f>IFERROR(__xludf.DUMMYFUNCTION("""COMPUTED_VALUE"""),"On The Map")</f>
        <v>On The Map</v>
      </c>
      <c r="V1053" s="43" t="str">
        <f>IFERROR(__xludf.DUMMYFUNCTION("""COMPUTED_VALUE"""),"KOCAELI")</f>
        <v>KOCAELI</v>
      </c>
      <c r="W1053" s="43" t="str">
        <f>IFERROR(__xludf.DUMMYFUNCTION("""COMPUTED_VALUE"""),"2023-10-22T12:46:09Z")</f>
        <v>2023-10-22T12:46:09Z</v>
      </c>
      <c r="X1053" s="43"/>
      <c r="Y1053" s="43"/>
      <c r="Z1053" s="43"/>
    </row>
    <row r="1054" hidden="1">
      <c r="A1054" s="43" t="str">
        <f>IFERROR(__xludf.DUMMYFUNCTION("""COMPUTED_VALUE"""),"5362308_1288609")</f>
        <v>5362308_1288609</v>
      </c>
      <c r="B1054" s="43" t="str">
        <f>IFERROR(__xludf.DUMMYFUNCTION("""COMPUTED_VALUE"""),"Yağmur Seven")</f>
        <v>Yağmur Seven</v>
      </c>
      <c r="C1054" s="43" t="str">
        <f>IFERROR(__xludf.DUMMYFUNCTION("""COMPUTED_VALUE"""),"approved")</f>
        <v>approved</v>
      </c>
      <c r="D1054" s="43" t="str">
        <f>IFERROR(__xludf.DUMMYFUNCTION("""COMPUTED_VALUE"""),"No")</f>
        <v>No</v>
      </c>
      <c r="E1054" s="43" t="str">
        <f>IFERROR(__xludf.DUMMYFUNCTION("""COMPUTED_VALUE"""),"p_8a6b3b51c6d913f661b1f7bc8eb4e63956cf2b9b@inbound.aiesec.org")</f>
        <v>p_8a6b3b51c6d913f661b1f7bc8eb4e63956cf2b9b@inbound.aiesec.org</v>
      </c>
      <c r="F1054" s="43"/>
      <c r="G1054" s="43" t="str">
        <f>IFERROR(__xludf.DUMMYFUNCTION("""COMPUTED_VALUE"""),"Turkey")</f>
        <v>Turkey</v>
      </c>
      <c r="H1054" s="43" t="str">
        <f>IFERROR(__xludf.DUMMYFUNCTION("""COMPUTED_VALUE"""),"ISTANBUL WEST")</f>
        <v>ISTANBUL WEST</v>
      </c>
      <c r="I1054" s="43" t="str">
        <f>IFERROR(__xludf.DUMMYFUNCTION("""COMPUTED_VALUE"""),"Egypt")</f>
        <v>Egypt</v>
      </c>
      <c r="J1054" s="43" t="str">
        <f>IFERROR(__xludf.DUMMYFUNCTION("""COMPUTED_VALUE"""),"Tanta")</f>
        <v>Tanta</v>
      </c>
      <c r="K1054" s="44" t="str">
        <f>IFERROR(__xludf.DUMMYFUNCTION("""COMPUTED_VALUE"""),"https://expa.aiesec.org/opportunities/1288609")</f>
        <v>https://expa.aiesec.org/opportunities/1288609</v>
      </c>
      <c r="L1054" s="43" t="str">
        <f>IFERROR(__xludf.DUMMYFUNCTION("""COMPUTED_VALUE"""),"GV")</f>
        <v>GV</v>
      </c>
      <c r="M1054" s="43" t="str">
        <f>IFERROR(__xludf.DUMMYFUNCTION("""COMPUTED_VALUE"""),"short")</f>
        <v>short</v>
      </c>
      <c r="N1054" s="45">
        <f>IFERROR(__xludf.DUMMYFUNCTION("""COMPUTED_VALUE"""),45228.0)</f>
        <v>45228</v>
      </c>
      <c r="O1054" s="45">
        <f>IFERROR(__xludf.DUMMYFUNCTION("""COMPUTED_VALUE"""),45292.0)</f>
        <v>45292</v>
      </c>
      <c r="P1054" s="45">
        <f>IFERROR(__xludf.DUMMYFUNCTION("""COMPUTED_VALUE"""),45334.0)</f>
        <v>45334</v>
      </c>
      <c r="Q1054" s="45"/>
      <c r="R1054" s="45"/>
      <c r="S1054" s="43"/>
      <c r="T1054" s="43"/>
      <c r="U1054" s="43" t="str">
        <f>IFERROR(__xludf.DUMMYFUNCTION("""COMPUTED_VALUE"""),"On The Map")</f>
        <v>On The Map</v>
      </c>
      <c r="V1054" s="43" t="str">
        <f>IFERROR(__xludf.DUMMYFUNCTION("""COMPUTED_VALUE"""),"-")</f>
        <v>-</v>
      </c>
      <c r="W1054" s="43" t="str">
        <f>IFERROR(__xludf.DUMMYFUNCTION("""COMPUTED_VALUE"""),"2023-10-28T21:41:27Z")</f>
        <v>2023-10-28T21:41:27Z</v>
      </c>
      <c r="X1054" s="43"/>
      <c r="Y1054" s="43"/>
      <c r="Z1054" s="43"/>
    </row>
    <row r="1055" hidden="1">
      <c r="A1055" s="43" t="str">
        <f>IFERROR(__xludf.DUMMYFUNCTION("""COMPUTED_VALUE"""),"5359996_1300097")</f>
        <v>5359996_1300097</v>
      </c>
      <c r="B1055" s="43" t="str">
        <f>IFERROR(__xludf.DUMMYFUNCTION("""COMPUTED_VALUE"""),"H. Kürşat AKBURAK")</f>
        <v>H. Kürşat AKBURAK</v>
      </c>
      <c r="C1055" s="43" t="str">
        <f>IFERROR(__xludf.DUMMYFUNCTION("""COMPUTED_VALUE"""),"approved")</f>
        <v>approved</v>
      </c>
      <c r="D1055" s="43" t="str">
        <f>IFERROR(__xludf.DUMMYFUNCTION("""COMPUTED_VALUE"""),"No")</f>
        <v>No</v>
      </c>
      <c r="E1055" s="43" t="str">
        <f>IFERROR(__xludf.DUMMYFUNCTION("""COMPUTED_VALUE"""),"p_909914d245be89f84b3091beb3bc53fc8a892edb@inbound.aiesec.org")</f>
        <v>p_909914d245be89f84b3091beb3bc53fc8a892edb@inbound.aiesec.org</v>
      </c>
      <c r="F1055" s="43"/>
      <c r="G1055" s="43" t="str">
        <f>IFERROR(__xludf.DUMMYFUNCTION("""COMPUTED_VALUE"""),"Turkey")</f>
        <v>Turkey</v>
      </c>
      <c r="H1055" s="43" t="str">
        <f>IFERROR(__xludf.DUMMYFUNCTION("""COMPUTED_VALUE"""),"ISTANBUL WEST")</f>
        <v>ISTANBUL WEST</v>
      </c>
      <c r="I1055" s="43" t="str">
        <f>IFERROR(__xludf.DUMMYFUNCTION("""COMPUTED_VALUE"""),"Romania")</f>
        <v>Romania</v>
      </c>
      <c r="J1055" s="43" t="str">
        <f>IFERROR(__xludf.DUMMYFUNCTION("""COMPUTED_VALUE"""),"Cluj-Napoca")</f>
        <v>Cluj-Napoca</v>
      </c>
      <c r="K1055" s="44" t="str">
        <f>IFERROR(__xludf.DUMMYFUNCTION("""COMPUTED_VALUE"""),"https://expa.aiesec.org/opportunities/1300097")</f>
        <v>https://expa.aiesec.org/opportunities/1300097</v>
      </c>
      <c r="L1055" s="43" t="str">
        <f>IFERROR(__xludf.DUMMYFUNCTION("""COMPUTED_VALUE"""),"GV")</f>
        <v>GV</v>
      </c>
      <c r="M1055" s="43" t="str">
        <f>IFERROR(__xludf.DUMMYFUNCTION("""COMPUTED_VALUE"""),"short")</f>
        <v>short</v>
      </c>
      <c r="N1055" s="45">
        <f>IFERROR(__xludf.DUMMYFUNCTION("""COMPUTED_VALUE"""),45228.0)</f>
        <v>45228</v>
      </c>
      <c r="O1055" s="45">
        <f>IFERROR(__xludf.DUMMYFUNCTION("""COMPUTED_VALUE"""),45299.0)</f>
        <v>45299</v>
      </c>
      <c r="P1055" s="45">
        <f>IFERROR(__xludf.DUMMYFUNCTION("""COMPUTED_VALUE"""),45341.0)</f>
        <v>45341</v>
      </c>
      <c r="Q1055" s="45"/>
      <c r="R1055" s="45"/>
      <c r="S1055" s="43"/>
      <c r="T1055" s="43"/>
      <c r="U1055" s="43" t="str">
        <f>IFERROR(__xludf.DUMMYFUNCTION("""COMPUTED_VALUE"""),"Eat 4 Change")</f>
        <v>Eat 4 Change</v>
      </c>
      <c r="V1055" s="43" t="str">
        <f>IFERROR(__xludf.DUMMYFUNCTION("""COMPUTED_VALUE"""),"-")</f>
        <v>-</v>
      </c>
      <c r="W1055" s="43" t="str">
        <f>IFERROR(__xludf.DUMMYFUNCTION("""COMPUTED_VALUE"""),"2023-10-25T12:16:28Z")</f>
        <v>2023-10-25T12:16:28Z</v>
      </c>
      <c r="X1055" s="43"/>
      <c r="Y1055" s="43"/>
      <c r="Z1055" s="43"/>
    </row>
    <row r="1056" hidden="1">
      <c r="A1056" s="43" t="str">
        <f>IFERROR(__xludf.DUMMYFUNCTION("""COMPUTED_VALUE"""),"5361757_1297178")</f>
        <v>5361757_1297178</v>
      </c>
      <c r="B1056" s="43" t="str">
        <f>IFERROR(__xludf.DUMMYFUNCTION("""COMPUTED_VALUE"""),"Dilara Köşkeroğlu")</f>
        <v>Dilara Köşkeroğlu</v>
      </c>
      <c r="C1056" s="43" t="str">
        <f>IFERROR(__xludf.DUMMYFUNCTION("""COMPUTED_VALUE"""),"approved")</f>
        <v>approved</v>
      </c>
      <c r="D1056" s="43" t="str">
        <f>IFERROR(__xludf.DUMMYFUNCTION("""COMPUTED_VALUE"""),"No")</f>
        <v>No</v>
      </c>
      <c r="E1056" s="43" t="str">
        <f>IFERROR(__xludf.DUMMYFUNCTION("""COMPUTED_VALUE"""),"p_bc9bf6c7d742bed19c9f4b454bc80784f669149f@inbound.aiesec.org")</f>
        <v>p_bc9bf6c7d742bed19c9f4b454bc80784f669149f@inbound.aiesec.org</v>
      </c>
      <c r="F1056" s="43">
        <f>IFERROR(__xludf.DUMMYFUNCTION("""COMPUTED_VALUE"""),5.379991148E9)</f>
        <v>5379991148</v>
      </c>
      <c r="G1056" s="43" t="str">
        <f>IFERROR(__xludf.DUMMYFUNCTION("""COMPUTED_VALUE"""),"Turkey")</f>
        <v>Turkey</v>
      </c>
      <c r="H1056" s="43" t="str">
        <f>IFERROR(__xludf.DUMMYFUNCTION("""COMPUTED_VALUE"""),"ISTANBUL")</f>
        <v>ISTANBUL</v>
      </c>
      <c r="I1056" s="43" t="str">
        <f>IFERROR(__xludf.DUMMYFUNCTION("""COMPUTED_VALUE"""),"Romania")</f>
        <v>Romania</v>
      </c>
      <c r="J1056" s="43" t="str">
        <f>IFERROR(__xludf.DUMMYFUNCTION("""COMPUTED_VALUE"""),"PITESTI")</f>
        <v>PITESTI</v>
      </c>
      <c r="K1056" s="44" t="str">
        <f>IFERROR(__xludf.DUMMYFUNCTION("""COMPUTED_VALUE"""),"https://expa.aiesec.org/opportunities/1297178")</f>
        <v>https://expa.aiesec.org/opportunities/1297178</v>
      </c>
      <c r="L1056" s="43" t="str">
        <f>IFERROR(__xludf.DUMMYFUNCTION("""COMPUTED_VALUE"""),"GV")</f>
        <v>GV</v>
      </c>
      <c r="M1056" s="43" t="str">
        <f>IFERROR(__xludf.DUMMYFUNCTION("""COMPUTED_VALUE"""),"short")</f>
        <v>short</v>
      </c>
      <c r="N1056" s="45">
        <f>IFERROR(__xludf.DUMMYFUNCTION("""COMPUTED_VALUE"""),45229.0)</f>
        <v>45229</v>
      </c>
      <c r="O1056" s="45">
        <f>IFERROR(__xludf.DUMMYFUNCTION("""COMPUTED_VALUE"""),45318.0)</f>
        <v>45318</v>
      </c>
      <c r="P1056" s="45">
        <f>IFERROR(__xludf.DUMMYFUNCTION("""COMPUTED_VALUE"""),45360.0)</f>
        <v>45360</v>
      </c>
      <c r="Q1056" s="45"/>
      <c r="R1056" s="45"/>
      <c r="S1056" s="43"/>
      <c r="T1056" s="43"/>
      <c r="U1056" s="43" t="str">
        <f>IFERROR(__xludf.DUMMYFUNCTION("""COMPUTED_VALUE"""),"Eat 4 Change")</f>
        <v>Eat 4 Change</v>
      </c>
      <c r="V1056" s="43" t="str">
        <f>IFERROR(__xludf.DUMMYFUNCTION("""COMPUTED_VALUE"""),"ISTANBUL - BEYOGLU")</f>
        <v>ISTANBUL - BEYOGLU</v>
      </c>
      <c r="W1056" s="43" t="str">
        <f>IFERROR(__xludf.DUMMYFUNCTION("""COMPUTED_VALUE"""),"2023-10-27T19:36:05Z")</f>
        <v>2023-10-27T19:36:05Z</v>
      </c>
      <c r="X1056" s="43"/>
      <c r="Y1056" s="43"/>
      <c r="Z1056" s="43"/>
    </row>
    <row r="1057" hidden="1">
      <c r="A1057" s="43" t="str">
        <f>IFERROR(__xludf.DUMMYFUNCTION("""COMPUTED_VALUE"""),"5361422_1294063")</f>
        <v>5361422_1294063</v>
      </c>
      <c r="B1057" s="43" t="str">
        <f>IFERROR(__xludf.DUMMYFUNCTION("""COMPUTED_VALUE"""),"Sabrullah Levent Levent")</f>
        <v>Sabrullah Levent Levent</v>
      </c>
      <c r="C1057" s="43" t="str">
        <f>IFERROR(__xludf.DUMMYFUNCTION("""COMPUTED_VALUE"""),"approved")</f>
        <v>approved</v>
      </c>
      <c r="D1057" s="43" t="str">
        <f>IFERROR(__xludf.DUMMYFUNCTION("""COMPUTED_VALUE"""),"No")</f>
        <v>No</v>
      </c>
      <c r="E1057" s="43" t="str">
        <f>IFERROR(__xludf.DUMMYFUNCTION("""COMPUTED_VALUE"""),"p_e24d039d95e26a5b00990a87457db332513dea9f@inbound.aiesec.org")</f>
        <v>p_e24d039d95e26a5b00990a87457db332513dea9f@inbound.aiesec.org</v>
      </c>
      <c r="F1057" s="43">
        <f>IFERROR(__xludf.DUMMYFUNCTION("""COMPUTED_VALUE"""),5.307358603E9)</f>
        <v>5307358603</v>
      </c>
      <c r="G1057" s="43" t="str">
        <f>IFERROR(__xludf.DUMMYFUNCTION("""COMPUTED_VALUE"""),"Turkey")</f>
        <v>Turkey</v>
      </c>
      <c r="H1057" s="43" t="str">
        <f>IFERROR(__xludf.DUMMYFUNCTION("""COMPUTED_VALUE"""),"SAKARYA")</f>
        <v>SAKARYA</v>
      </c>
      <c r="I1057" s="43" t="str">
        <f>IFERROR(__xludf.DUMMYFUNCTION("""COMPUTED_VALUE"""),"Egypt")</f>
        <v>Egypt</v>
      </c>
      <c r="J1057" s="43" t="str">
        <f>IFERROR(__xludf.DUMMYFUNCTION("""COMPUTED_VALUE"""),"Ain Shams University")</f>
        <v>Ain Shams University</v>
      </c>
      <c r="K1057" s="44" t="str">
        <f>IFERROR(__xludf.DUMMYFUNCTION("""COMPUTED_VALUE"""),"https://expa.aiesec.org/opportunities/1294063")</f>
        <v>https://expa.aiesec.org/opportunities/1294063</v>
      </c>
      <c r="L1057" s="43" t="str">
        <f>IFERROR(__xludf.DUMMYFUNCTION("""COMPUTED_VALUE"""),"GV")</f>
        <v>GV</v>
      </c>
      <c r="M1057" s="43" t="str">
        <f>IFERROR(__xludf.DUMMYFUNCTION("""COMPUTED_VALUE"""),"short")</f>
        <v>short</v>
      </c>
      <c r="N1057" s="45">
        <f>IFERROR(__xludf.DUMMYFUNCTION("""COMPUTED_VALUE"""),45229.0)</f>
        <v>45229</v>
      </c>
      <c r="O1057" s="45">
        <f>IFERROR(__xludf.DUMMYFUNCTION("""COMPUTED_VALUE"""),45458.0)</f>
        <v>45458</v>
      </c>
      <c r="P1057" s="45">
        <f>IFERROR(__xludf.DUMMYFUNCTION("""COMPUTED_VALUE"""),45500.0)</f>
        <v>45500</v>
      </c>
      <c r="Q1057" s="45"/>
      <c r="R1057" s="45"/>
      <c r="S1057" s="43"/>
      <c r="T1057" s="43"/>
      <c r="U1057" s="43" t="str">
        <f>IFERROR(__xludf.DUMMYFUNCTION("""COMPUTED_VALUE"""),"On The Map")</f>
        <v>On The Map</v>
      </c>
      <c r="V1057" s="43" t="str">
        <f>IFERROR(__xludf.DUMMYFUNCTION("""COMPUTED_VALUE"""),"SAKARYA")</f>
        <v>SAKARYA</v>
      </c>
      <c r="W1057" s="43" t="str">
        <f>IFERROR(__xludf.DUMMYFUNCTION("""COMPUTED_VALUE"""),"2023-10-27T12:05:51Z")</f>
        <v>2023-10-27T12:05:51Z</v>
      </c>
      <c r="X1057" s="43"/>
      <c r="Y1057" s="43"/>
      <c r="Z1057" s="43"/>
    </row>
    <row r="1058">
      <c r="A1058" s="43" t="str">
        <f>IFERROR(__xludf.DUMMYFUNCTION("""COMPUTED_VALUE"""),"5363974_1297178")</f>
        <v>5363974_1297178</v>
      </c>
      <c r="B1058" s="43" t="str">
        <f>IFERROR(__xludf.DUMMYFUNCTION("""COMPUTED_VALUE"""),"ahmet kadir durna")</f>
        <v>ahmet kadir durna</v>
      </c>
      <c r="C1058" s="43" t="str">
        <f>IFERROR(__xludf.DUMMYFUNCTION("""COMPUTED_VALUE"""),"approved")</f>
        <v>approved</v>
      </c>
      <c r="D1058" s="43" t="str">
        <f>IFERROR(__xludf.DUMMYFUNCTION("""COMPUTED_VALUE"""),"No")</f>
        <v>No</v>
      </c>
      <c r="E1058" s="43" t="str">
        <f>IFERROR(__xludf.DUMMYFUNCTION("""COMPUTED_VALUE"""),"p_ea9f91df9bd678e0afc74471f556d6f5e33212d1@inbound.aiesec.org")</f>
        <v>p_ea9f91df9bd678e0afc74471f556d6f5e33212d1@inbound.aiesec.org</v>
      </c>
      <c r="F1058" s="43">
        <f>IFERROR(__xludf.DUMMYFUNCTION("""COMPUTED_VALUE"""),5.350771331E9)</f>
        <v>5350771331</v>
      </c>
      <c r="G1058" s="43" t="str">
        <f>IFERROR(__xludf.DUMMYFUNCTION("""COMPUTED_VALUE"""),"Turkey")</f>
        <v>Turkey</v>
      </c>
      <c r="H1058" s="43" t="str">
        <f>IFERROR(__xludf.DUMMYFUNCTION("""COMPUTED_VALUE"""),"ISTANBUL")</f>
        <v>ISTANBUL</v>
      </c>
      <c r="I1058" s="43" t="str">
        <f>IFERROR(__xludf.DUMMYFUNCTION("""COMPUTED_VALUE"""),"Romania")</f>
        <v>Romania</v>
      </c>
      <c r="J1058" s="43" t="str">
        <f>IFERROR(__xludf.DUMMYFUNCTION("""COMPUTED_VALUE"""),"PITESTI")</f>
        <v>PITESTI</v>
      </c>
      <c r="K1058" s="44" t="str">
        <f>IFERROR(__xludf.DUMMYFUNCTION("""COMPUTED_VALUE"""),"https://expa.aiesec.org/opportunities/1297178")</f>
        <v>https://expa.aiesec.org/opportunities/1297178</v>
      </c>
      <c r="L1058" s="43" t="str">
        <f>IFERROR(__xludf.DUMMYFUNCTION("""COMPUTED_VALUE"""),"GV")</f>
        <v>GV</v>
      </c>
      <c r="M1058" s="43" t="str">
        <f>IFERROR(__xludf.DUMMYFUNCTION("""COMPUTED_VALUE"""),"short")</f>
        <v>short</v>
      </c>
      <c r="N1058" s="45">
        <f>IFERROR(__xludf.DUMMYFUNCTION("""COMPUTED_VALUE"""),45230.0)</f>
        <v>45230</v>
      </c>
      <c r="O1058" s="45">
        <f>IFERROR(__xludf.DUMMYFUNCTION("""COMPUTED_VALUE"""),45318.0)</f>
        <v>45318</v>
      </c>
      <c r="P1058" s="45">
        <f>IFERROR(__xludf.DUMMYFUNCTION("""COMPUTED_VALUE"""),45360.0)</f>
        <v>45360</v>
      </c>
      <c r="Q1058" s="45"/>
      <c r="R1058" s="45"/>
      <c r="S1058" s="43"/>
      <c r="T1058" s="43"/>
      <c r="U1058" s="43" t="str">
        <f>IFERROR(__xludf.DUMMYFUNCTION("""COMPUTED_VALUE"""),"Eat 4 Change")</f>
        <v>Eat 4 Change</v>
      </c>
      <c r="V1058" s="43" t="str">
        <f>IFERROR(__xludf.DUMMYFUNCTION("""COMPUTED_VALUE"""),"KAYSERI")</f>
        <v>KAYSERI</v>
      </c>
      <c r="W1058" s="43" t="str">
        <f>IFERROR(__xludf.DUMMYFUNCTION("""COMPUTED_VALUE"""),"2023-10-31T08:11:00Z")</f>
        <v>2023-10-31T08:11:00Z</v>
      </c>
      <c r="X1058" s="43"/>
      <c r="Y1058" s="43"/>
      <c r="Z1058" s="43"/>
    </row>
    <row r="1059" hidden="1">
      <c r="A1059" s="43" t="str">
        <f>IFERROR(__xludf.DUMMYFUNCTION("""COMPUTED_VALUE"""),"5178701_1292875")</f>
        <v>5178701_1292875</v>
      </c>
      <c r="B1059" s="43" t="str">
        <f>IFERROR(__xludf.DUMMYFUNCTION("""COMPUTED_VALUE"""),"Şebnem Turan")</f>
        <v>Şebnem Turan</v>
      </c>
      <c r="C1059" s="43" t="str">
        <f>IFERROR(__xludf.DUMMYFUNCTION("""COMPUTED_VALUE"""),"finished")</f>
        <v>finished</v>
      </c>
      <c r="D1059" s="43" t="str">
        <f>IFERROR(__xludf.DUMMYFUNCTION("""COMPUTED_VALUE"""),"No")</f>
        <v>No</v>
      </c>
      <c r="E1059" s="43" t="str">
        <f>IFERROR(__xludf.DUMMYFUNCTION("""COMPUTED_VALUE"""),"p_333c6288fcb7d5a44842a45a8ce0de8917a60dad@inbound.aiesec.org")</f>
        <v>p_333c6288fcb7d5a44842a45a8ce0de8917a60dad@inbound.aiesec.org</v>
      </c>
      <c r="F1059" s="43">
        <f>IFERROR(__xludf.DUMMYFUNCTION("""COMPUTED_VALUE"""),5.459025174E9)</f>
        <v>5459025174</v>
      </c>
      <c r="G1059" s="43" t="str">
        <f>IFERROR(__xludf.DUMMYFUNCTION("""COMPUTED_VALUE"""),"Turkey")</f>
        <v>Turkey</v>
      </c>
      <c r="H1059" s="43" t="str">
        <f>IFERROR(__xludf.DUMMYFUNCTION("""COMPUTED_VALUE"""),"İZMİR")</f>
        <v>İZMİR</v>
      </c>
      <c r="I1059" s="43" t="str">
        <f>IFERROR(__xludf.DUMMYFUNCTION("""COMPUTED_VALUE"""),"Sri Lanka")</f>
        <v>Sri Lanka</v>
      </c>
      <c r="J1059" s="43" t="str">
        <f>IFERROR(__xludf.DUMMYFUNCTION("""COMPUTED_VALUE"""),"COLOMBO CENTRAL")</f>
        <v>COLOMBO CENTRAL</v>
      </c>
      <c r="K1059" s="44" t="str">
        <f>IFERROR(__xludf.DUMMYFUNCTION("""COMPUTED_VALUE"""),"https://expa.aiesec.org/opportunities/1292875")</f>
        <v>https://expa.aiesec.org/opportunities/1292875</v>
      </c>
      <c r="L1059" s="43" t="str">
        <f>IFERROR(__xludf.DUMMYFUNCTION("""COMPUTED_VALUE"""),"GV")</f>
        <v>GV</v>
      </c>
      <c r="M1059" s="43" t="str">
        <f>IFERROR(__xludf.DUMMYFUNCTION("""COMPUTED_VALUE"""),"short")</f>
        <v>short</v>
      </c>
      <c r="N1059" s="45">
        <f>IFERROR(__xludf.DUMMYFUNCTION("""COMPUTED_VALUE"""),45230.0)</f>
        <v>45230</v>
      </c>
      <c r="O1059" s="45">
        <f>IFERROR(__xludf.DUMMYFUNCTION("""COMPUTED_VALUE"""),45250.0)</f>
        <v>45250</v>
      </c>
      <c r="P1059" s="45">
        <f>IFERROR(__xludf.DUMMYFUNCTION("""COMPUTED_VALUE"""),45292.0)</f>
        <v>45292</v>
      </c>
      <c r="Q1059" s="45">
        <f>IFERROR(__xludf.DUMMYFUNCTION("""COMPUTED_VALUE"""),45252.0)</f>
        <v>45252</v>
      </c>
      <c r="R1059" s="45">
        <f>IFERROR(__xludf.DUMMYFUNCTION("""COMPUTED_VALUE"""),45292.0)</f>
        <v>45292</v>
      </c>
      <c r="S1059" s="43"/>
      <c r="T1059" s="43"/>
      <c r="U1059" s="43" t="str">
        <f>IFERROR(__xludf.DUMMYFUNCTION("""COMPUTED_VALUE"""),"Explorer")</f>
        <v>Explorer</v>
      </c>
      <c r="V1059" s="43" t="str">
        <f>IFERROR(__xludf.DUMMYFUNCTION("""COMPUTED_VALUE"""),"MANISA")</f>
        <v>MANISA</v>
      </c>
      <c r="W1059" s="43" t="str">
        <f>IFERROR(__xludf.DUMMYFUNCTION("""COMPUTED_VALUE"""),"2023-01-20T11:36:14Z")</f>
        <v>2023-01-20T11:36:14Z</v>
      </c>
      <c r="X1059" s="43"/>
      <c r="Y1059" s="43"/>
      <c r="Z1059" s="43"/>
    </row>
    <row r="1060" hidden="1">
      <c r="A1060" s="43" t="str">
        <f>IFERROR(__xludf.DUMMYFUNCTION("""COMPUTED_VALUE"""),"5358129_1300562")</f>
        <v>5358129_1300562</v>
      </c>
      <c r="B1060" s="43" t="str">
        <f>IFERROR(__xludf.DUMMYFUNCTION("""COMPUTED_VALUE"""),"Beyza Nur Eynel")</f>
        <v>Beyza Nur Eynel</v>
      </c>
      <c r="C1060" s="43" t="str">
        <f>IFERROR(__xludf.DUMMYFUNCTION("""COMPUTED_VALUE"""),"approved")</f>
        <v>approved</v>
      </c>
      <c r="D1060" s="43" t="str">
        <f>IFERROR(__xludf.DUMMYFUNCTION("""COMPUTED_VALUE"""),"No")</f>
        <v>No</v>
      </c>
      <c r="E1060" s="43" t="str">
        <f>IFERROR(__xludf.DUMMYFUNCTION("""COMPUTED_VALUE"""),"p_b4ecd332b76f0a96a741446e2af6ce92756389a2@inbound.aiesec.org")</f>
        <v>p_b4ecd332b76f0a96a741446e2af6ce92756389a2@inbound.aiesec.org</v>
      </c>
      <c r="F1060" s="43">
        <f>IFERROR(__xludf.DUMMYFUNCTION("""COMPUTED_VALUE"""),5.369199719E9)</f>
        <v>5369199719</v>
      </c>
      <c r="G1060" s="43" t="str">
        <f>IFERROR(__xludf.DUMMYFUNCTION("""COMPUTED_VALUE"""),"Turkey")</f>
        <v>Turkey</v>
      </c>
      <c r="H1060" s="43" t="str">
        <f>IFERROR(__xludf.DUMMYFUNCTION("""COMPUTED_VALUE"""),"ISTANBUL")</f>
        <v>ISTANBUL</v>
      </c>
      <c r="I1060" s="43" t="str">
        <f>IFERROR(__xludf.DUMMYFUNCTION("""COMPUTED_VALUE"""),"Tunisia")</f>
        <v>Tunisia</v>
      </c>
      <c r="J1060" s="43" t="str">
        <f>IFERROR(__xludf.DUMMYFUNCTION("""COMPUTED_VALUE"""),"UNIVERSITY")</f>
        <v>UNIVERSITY</v>
      </c>
      <c r="K1060" s="44" t="str">
        <f>IFERROR(__xludf.DUMMYFUNCTION("""COMPUTED_VALUE"""),"https://expa.aiesec.org/opportunities/1300562")</f>
        <v>https://expa.aiesec.org/opportunities/1300562</v>
      </c>
      <c r="L1060" s="43" t="str">
        <f>IFERROR(__xludf.DUMMYFUNCTION("""COMPUTED_VALUE"""),"GV")</f>
        <v>GV</v>
      </c>
      <c r="M1060" s="43" t="str">
        <f>IFERROR(__xludf.DUMMYFUNCTION("""COMPUTED_VALUE"""),"short")</f>
        <v>short</v>
      </c>
      <c r="N1060" s="45">
        <f>IFERROR(__xludf.DUMMYFUNCTION("""COMPUTED_VALUE"""),45230.0)</f>
        <v>45230</v>
      </c>
      <c r="O1060" s="45">
        <f>IFERROR(__xludf.DUMMYFUNCTION("""COMPUTED_VALUE"""),45463.0)</f>
        <v>45463</v>
      </c>
      <c r="P1060" s="45">
        <f>IFERROR(__xludf.DUMMYFUNCTION("""COMPUTED_VALUE"""),45505.0)</f>
        <v>45505</v>
      </c>
      <c r="Q1060" s="45"/>
      <c r="R1060" s="45"/>
      <c r="S1060" s="43"/>
      <c r="T1060" s="43"/>
      <c r="U1060" s="43" t="str">
        <f>IFERROR(__xludf.DUMMYFUNCTION("""COMPUTED_VALUE"""),"Global Classroom")</f>
        <v>Global Classroom</v>
      </c>
      <c r="V1060" s="43" t="str">
        <f>IFERROR(__xludf.DUMMYFUNCTION("""COMPUTED_VALUE"""),"ISTANBUL - BEYOGLU")</f>
        <v>ISTANBUL - BEYOGLU</v>
      </c>
      <c r="W1060" s="43" t="str">
        <f>IFERROR(__xludf.DUMMYFUNCTION("""COMPUTED_VALUE"""),"2023-10-23T16:00:27Z")</f>
        <v>2023-10-23T16:00:27Z</v>
      </c>
      <c r="X1060" s="43"/>
      <c r="Y1060" s="43"/>
      <c r="Z1060" s="43"/>
    </row>
    <row r="1061" hidden="1">
      <c r="A1061" s="43" t="str">
        <f>IFERROR(__xludf.DUMMYFUNCTION("""COMPUTED_VALUE"""),"5362296_1300562")</f>
        <v>5362296_1300562</v>
      </c>
      <c r="B1061" s="43" t="str">
        <f>IFERROR(__xludf.DUMMYFUNCTION("""COMPUTED_VALUE"""),"Nilay Baykal")</f>
        <v>Nilay Baykal</v>
      </c>
      <c r="C1061" s="43" t="str">
        <f>IFERROR(__xludf.DUMMYFUNCTION("""COMPUTED_VALUE"""),"approved")</f>
        <v>approved</v>
      </c>
      <c r="D1061" s="43" t="str">
        <f>IFERROR(__xludf.DUMMYFUNCTION("""COMPUTED_VALUE"""),"No")</f>
        <v>No</v>
      </c>
      <c r="E1061" s="43" t="str">
        <f>IFERROR(__xludf.DUMMYFUNCTION("""COMPUTED_VALUE"""),"p_034d63968ad7c478cfeced725d8a040db57a28ba@inbound.aiesec.org")</f>
        <v>p_034d63968ad7c478cfeced725d8a040db57a28ba@inbound.aiesec.org</v>
      </c>
      <c r="F1061" s="43"/>
      <c r="G1061" s="43" t="str">
        <f>IFERROR(__xludf.DUMMYFUNCTION("""COMPUTED_VALUE"""),"Turkey")</f>
        <v>Turkey</v>
      </c>
      <c r="H1061" s="43" t="str">
        <f>IFERROR(__xludf.DUMMYFUNCTION("""COMPUTED_VALUE"""),"ISTANBUL")</f>
        <v>ISTANBUL</v>
      </c>
      <c r="I1061" s="43" t="str">
        <f>IFERROR(__xludf.DUMMYFUNCTION("""COMPUTED_VALUE"""),"Tunisia")</f>
        <v>Tunisia</v>
      </c>
      <c r="J1061" s="43" t="str">
        <f>IFERROR(__xludf.DUMMYFUNCTION("""COMPUTED_VALUE"""),"UNIVERSITY")</f>
        <v>UNIVERSITY</v>
      </c>
      <c r="K1061" s="44" t="str">
        <f>IFERROR(__xludf.DUMMYFUNCTION("""COMPUTED_VALUE"""),"https://expa.aiesec.org/opportunities/1300562")</f>
        <v>https://expa.aiesec.org/opportunities/1300562</v>
      </c>
      <c r="L1061" s="43" t="str">
        <f>IFERROR(__xludf.DUMMYFUNCTION("""COMPUTED_VALUE"""),"GV")</f>
        <v>GV</v>
      </c>
      <c r="M1061" s="43" t="str">
        <f>IFERROR(__xludf.DUMMYFUNCTION("""COMPUTED_VALUE"""),"short")</f>
        <v>short</v>
      </c>
      <c r="N1061" s="45">
        <f>IFERROR(__xludf.DUMMYFUNCTION("""COMPUTED_VALUE"""),45230.0)</f>
        <v>45230</v>
      </c>
      <c r="O1061" s="45">
        <f>IFERROR(__xludf.DUMMYFUNCTION("""COMPUTED_VALUE"""),45463.0)</f>
        <v>45463</v>
      </c>
      <c r="P1061" s="45">
        <f>IFERROR(__xludf.DUMMYFUNCTION("""COMPUTED_VALUE"""),45505.0)</f>
        <v>45505</v>
      </c>
      <c r="Q1061" s="45"/>
      <c r="R1061" s="45"/>
      <c r="S1061" s="43"/>
      <c r="T1061" s="43"/>
      <c r="U1061" s="43" t="str">
        <f>IFERROR(__xludf.DUMMYFUNCTION("""COMPUTED_VALUE"""),"Global Classroom")</f>
        <v>Global Classroom</v>
      </c>
      <c r="V1061" s="43" t="str">
        <f>IFERROR(__xludf.DUMMYFUNCTION("""COMPUTED_VALUE"""),"-")</f>
        <v>-</v>
      </c>
      <c r="W1061" s="43" t="str">
        <f>IFERROR(__xludf.DUMMYFUNCTION("""COMPUTED_VALUE"""),"2023-10-28T20:42:39Z")</f>
        <v>2023-10-28T20:42:39Z</v>
      </c>
      <c r="X1061" s="43"/>
      <c r="Y1061" s="43"/>
      <c r="Z1061" s="43"/>
    </row>
    <row r="1062" hidden="1">
      <c r="A1062" s="43" t="str">
        <f>IFERROR(__xludf.DUMMYFUNCTION("""COMPUTED_VALUE"""),"5364410_1300628")</f>
        <v>5364410_1300628</v>
      </c>
      <c r="B1062" s="43" t="str">
        <f>IFERROR(__xludf.DUMMYFUNCTION("""COMPUTED_VALUE"""),"Yağmur Aysal")</f>
        <v>Yağmur Aysal</v>
      </c>
      <c r="C1062" s="43" t="str">
        <f>IFERROR(__xludf.DUMMYFUNCTION("""COMPUTED_VALUE"""),"approved")</f>
        <v>approved</v>
      </c>
      <c r="D1062" s="43" t="str">
        <f>IFERROR(__xludf.DUMMYFUNCTION("""COMPUTED_VALUE"""),"No")</f>
        <v>No</v>
      </c>
      <c r="E1062" s="43" t="str">
        <f>IFERROR(__xludf.DUMMYFUNCTION("""COMPUTED_VALUE"""),"p_1e41d5a9856b257410e6407e887282b463390d65@inbound.aiesec.org")</f>
        <v>p_1e41d5a9856b257410e6407e887282b463390d65@inbound.aiesec.org</v>
      </c>
      <c r="F1062" s="43">
        <f>IFERROR(__xludf.DUMMYFUNCTION("""COMPUTED_VALUE"""),5.307358603E9)</f>
        <v>5307358603</v>
      </c>
      <c r="G1062" s="43" t="str">
        <f>IFERROR(__xludf.DUMMYFUNCTION("""COMPUTED_VALUE"""),"Turkey")</f>
        <v>Turkey</v>
      </c>
      <c r="H1062" s="43" t="str">
        <f>IFERROR(__xludf.DUMMYFUNCTION("""COMPUTED_VALUE"""),"SAKARYA")</f>
        <v>SAKARYA</v>
      </c>
      <c r="I1062" s="43" t="str">
        <f>IFERROR(__xludf.DUMMYFUNCTION("""COMPUTED_VALUE"""),"Tunisia")</f>
        <v>Tunisia</v>
      </c>
      <c r="J1062" s="43" t="str">
        <f>IFERROR(__xludf.DUMMYFUNCTION("""COMPUTED_VALUE"""),"UNIVERSITY")</f>
        <v>UNIVERSITY</v>
      </c>
      <c r="K1062" s="44" t="str">
        <f>IFERROR(__xludf.DUMMYFUNCTION("""COMPUTED_VALUE"""),"https://expa.aiesec.org/opportunities/1300628")</f>
        <v>https://expa.aiesec.org/opportunities/1300628</v>
      </c>
      <c r="L1062" s="43" t="str">
        <f>IFERROR(__xludf.DUMMYFUNCTION("""COMPUTED_VALUE"""),"GV")</f>
        <v>GV</v>
      </c>
      <c r="M1062" s="43" t="str">
        <f>IFERROR(__xludf.DUMMYFUNCTION("""COMPUTED_VALUE"""),"short")</f>
        <v>short</v>
      </c>
      <c r="N1062" s="45">
        <f>IFERROR(__xludf.DUMMYFUNCTION("""COMPUTED_VALUE"""),45230.0)</f>
        <v>45230</v>
      </c>
      <c r="O1062" s="45">
        <f>IFERROR(__xludf.DUMMYFUNCTION("""COMPUTED_VALUE"""),45486.0)</f>
        <v>45486</v>
      </c>
      <c r="P1062" s="45">
        <f>IFERROR(__xludf.DUMMYFUNCTION("""COMPUTED_VALUE"""),45528.0)</f>
        <v>45528</v>
      </c>
      <c r="Q1062" s="45"/>
      <c r="R1062" s="45"/>
      <c r="S1062" s="43"/>
      <c r="T1062" s="43"/>
      <c r="U1062" s="43" t="str">
        <f>IFERROR(__xludf.DUMMYFUNCTION("""COMPUTED_VALUE"""),"On The Map")</f>
        <v>On The Map</v>
      </c>
      <c r="V1062" s="43" t="str">
        <f>IFERROR(__xludf.DUMMYFUNCTION("""COMPUTED_VALUE"""),"SAKARYA")</f>
        <v>SAKARYA</v>
      </c>
      <c r="W1062" s="43" t="str">
        <f>IFERROR(__xludf.DUMMYFUNCTION("""COMPUTED_VALUE"""),"2023-10-31T17:22:31Z")</f>
        <v>2023-10-31T17:22:31Z</v>
      </c>
      <c r="X1062" s="43"/>
      <c r="Y1062" s="43"/>
      <c r="Z1062" s="43"/>
    </row>
    <row r="1063" hidden="1">
      <c r="A1063" s="43" t="str">
        <f>IFERROR(__xludf.DUMMYFUNCTION("""COMPUTED_VALUE"""),"5362161_1297178")</f>
        <v>5362161_1297178</v>
      </c>
      <c r="B1063" s="43" t="str">
        <f>IFERROR(__xludf.DUMMYFUNCTION("""COMPUTED_VALUE"""),"Elif Nur Arslan")</f>
        <v>Elif Nur Arslan</v>
      </c>
      <c r="C1063" s="43" t="str">
        <f>IFERROR(__xludf.DUMMYFUNCTION("""COMPUTED_VALUE"""),"approved")</f>
        <v>approved</v>
      </c>
      <c r="D1063" s="43" t="str">
        <f>IFERROR(__xludf.DUMMYFUNCTION("""COMPUTED_VALUE"""),"No")</f>
        <v>No</v>
      </c>
      <c r="E1063" s="43" t="str">
        <f>IFERROR(__xludf.DUMMYFUNCTION("""COMPUTED_VALUE"""),"p_7e85c819c7fac620065e6b0c30acd62b5591b6d5@inbound.aiesec.org")</f>
        <v>p_7e85c819c7fac620065e6b0c30acd62b5591b6d5@inbound.aiesec.org</v>
      </c>
      <c r="F1063" s="43"/>
      <c r="G1063" s="43" t="str">
        <f>IFERROR(__xludf.DUMMYFUNCTION("""COMPUTED_VALUE"""),"Turkey")</f>
        <v>Turkey</v>
      </c>
      <c r="H1063" s="43" t="str">
        <f>IFERROR(__xludf.DUMMYFUNCTION("""COMPUTED_VALUE"""),"ISTANBUL")</f>
        <v>ISTANBUL</v>
      </c>
      <c r="I1063" s="43" t="str">
        <f>IFERROR(__xludf.DUMMYFUNCTION("""COMPUTED_VALUE"""),"Romania")</f>
        <v>Romania</v>
      </c>
      <c r="J1063" s="43" t="str">
        <f>IFERROR(__xludf.DUMMYFUNCTION("""COMPUTED_VALUE"""),"PITESTI")</f>
        <v>PITESTI</v>
      </c>
      <c r="K1063" s="44" t="str">
        <f>IFERROR(__xludf.DUMMYFUNCTION("""COMPUTED_VALUE"""),"https://expa.aiesec.org/opportunities/1297178")</f>
        <v>https://expa.aiesec.org/opportunities/1297178</v>
      </c>
      <c r="L1063" s="43" t="str">
        <f>IFERROR(__xludf.DUMMYFUNCTION("""COMPUTED_VALUE"""),"GV")</f>
        <v>GV</v>
      </c>
      <c r="M1063" s="43" t="str">
        <f>IFERROR(__xludf.DUMMYFUNCTION("""COMPUTED_VALUE"""),"short")</f>
        <v>short</v>
      </c>
      <c r="N1063" s="45">
        <f>IFERROR(__xludf.DUMMYFUNCTION("""COMPUTED_VALUE"""),45230.0)</f>
        <v>45230</v>
      </c>
      <c r="O1063" s="45">
        <f>IFERROR(__xludf.DUMMYFUNCTION("""COMPUTED_VALUE"""),45318.0)</f>
        <v>45318</v>
      </c>
      <c r="P1063" s="45">
        <f>IFERROR(__xludf.DUMMYFUNCTION("""COMPUTED_VALUE"""),45360.0)</f>
        <v>45360</v>
      </c>
      <c r="Q1063" s="45"/>
      <c r="R1063" s="45"/>
      <c r="S1063" s="43"/>
      <c r="T1063" s="43"/>
      <c r="U1063" s="43" t="str">
        <f>IFERROR(__xludf.DUMMYFUNCTION("""COMPUTED_VALUE"""),"Eat 4 Change")</f>
        <v>Eat 4 Change</v>
      </c>
      <c r="V1063" s="43" t="str">
        <f>IFERROR(__xludf.DUMMYFUNCTION("""COMPUTED_VALUE"""),"-")</f>
        <v>-</v>
      </c>
      <c r="W1063" s="43" t="str">
        <f>IFERROR(__xludf.DUMMYFUNCTION("""COMPUTED_VALUE"""),"2023-10-28T15:11:37Z")</f>
        <v>2023-10-28T15:11:37Z</v>
      </c>
      <c r="X1063" s="43"/>
      <c r="Y1063" s="43"/>
      <c r="Z1063" s="43"/>
    </row>
    <row r="1064" hidden="1">
      <c r="A1064" s="43" t="str">
        <f>IFERROR(__xludf.DUMMYFUNCTION("""COMPUTED_VALUE"""),"5086497_1297178")</f>
        <v>5086497_1297178</v>
      </c>
      <c r="B1064" s="43" t="str">
        <f>IFERROR(__xludf.DUMMYFUNCTION("""COMPUTED_VALUE"""),"Sara Pak")</f>
        <v>Sara Pak</v>
      </c>
      <c r="C1064" s="43" t="str">
        <f>IFERROR(__xludf.DUMMYFUNCTION("""COMPUTED_VALUE"""),"approved")</f>
        <v>approved</v>
      </c>
      <c r="D1064" s="43" t="str">
        <f>IFERROR(__xludf.DUMMYFUNCTION("""COMPUTED_VALUE"""),"No")</f>
        <v>No</v>
      </c>
      <c r="E1064" s="43" t="str">
        <f>IFERROR(__xludf.DUMMYFUNCTION("""COMPUTED_VALUE"""),"p_0ab5f35c87a0c5d490eb2033ba4f069d4a8aab2f@inbound.aiesec.org")</f>
        <v>p_0ab5f35c87a0c5d490eb2033ba4f069d4a8aab2f@inbound.aiesec.org</v>
      </c>
      <c r="F1064" s="43">
        <f>IFERROR(__xludf.DUMMYFUNCTION("""COMPUTED_VALUE"""),5.542664573E9)</f>
        <v>5542664573</v>
      </c>
      <c r="G1064" s="43" t="str">
        <f>IFERROR(__xludf.DUMMYFUNCTION("""COMPUTED_VALUE"""),"Turkey")</f>
        <v>Turkey</v>
      </c>
      <c r="H1064" s="43" t="str">
        <f>IFERROR(__xludf.DUMMYFUNCTION("""COMPUTED_VALUE"""),"SAKARYA")</f>
        <v>SAKARYA</v>
      </c>
      <c r="I1064" s="43" t="str">
        <f>IFERROR(__xludf.DUMMYFUNCTION("""COMPUTED_VALUE"""),"Romania")</f>
        <v>Romania</v>
      </c>
      <c r="J1064" s="43" t="str">
        <f>IFERROR(__xludf.DUMMYFUNCTION("""COMPUTED_VALUE"""),"PITESTI")</f>
        <v>PITESTI</v>
      </c>
      <c r="K1064" s="44" t="str">
        <f>IFERROR(__xludf.DUMMYFUNCTION("""COMPUTED_VALUE"""),"https://expa.aiesec.org/opportunities/1297178")</f>
        <v>https://expa.aiesec.org/opportunities/1297178</v>
      </c>
      <c r="L1064" s="43" t="str">
        <f>IFERROR(__xludf.DUMMYFUNCTION("""COMPUTED_VALUE"""),"GV")</f>
        <v>GV</v>
      </c>
      <c r="M1064" s="43" t="str">
        <f>IFERROR(__xludf.DUMMYFUNCTION("""COMPUTED_VALUE"""),"short")</f>
        <v>short</v>
      </c>
      <c r="N1064" s="45">
        <f>IFERROR(__xludf.DUMMYFUNCTION("""COMPUTED_VALUE"""),45230.0)</f>
        <v>45230</v>
      </c>
      <c r="O1064" s="45">
        <f>IFERROR(__xludf.DUMMYFUNCTION("""COMPUTED_VALUE"""),45318.0)</f>
        <v>45318</v>
      </c>
      <c r="P1064" s="45">
        <f>IFERROR(__xludf.DUMMYFUNCTION("""COMPUTED_VALUE"""),45360.0)</f>
        <v>45360</v>
      </c>
      <c r="Q1064" s="45"/>
      <c r="R1064" s="45"/>
      <c r="S1064" s="43"/>
      <c r="T1064" s="43"/>
      <c r="U1064" s="43" t="str">
        <f>IFERROR(__xludf.DUMMYFUNCTION("""COMPUTED_VALUE"""),"Eat 4 Change")</f>
        <v>Eat 4 Change</v>
      </c>
      <c r="V1064" s="43" t="str">
        <f>IFERROR(__xludf.DUMMYFUNCTION("""COMPUTED_VALUE"""),"-")</f>
        <v>-</v>
      </c>
      <c r="W1064" s="43" t="str">
        <f>IFERROR(__xludf.DUMMYFUNCTION("""COMPUTED_VALUE"""),"2022-07-27T20:27:08Z")</f>
        <v>2022-07-27T20:27:08Z</v>
      </c>
      <c r="X1064" s="43"/>
      <c r="Y1064" s="43"/>
      <c r="Z1064" s="43"/>
    </row>
    <row r="1065" hidden="1">
      <c r="A1065" s="43" t="str">
        <f>IFERROR(__xludf.DUMMYFUNCTION("""COMPUTED_VALUE"""),"5360271_1296885")</f>
        <v>5360271_1296885</v>
      </c>
      <c r="B1065" s="43" t="str">
        <f>IFERROR(__xludf.DUMMYFUNCTION("""COMPUTED_VALUE"""),"Müge Yılmaz")</f>
        <v>Müge Yılmaz</v>
      </c>
      <c r="C1065" s="43" t="str">
        <f>IFERROR(__xludf.DUMMYFUNCTION("""COMPUTED_VALUE"""),"approved")</f>
        <v>approved</v>
      </c>
      <c r="D1065" s="43" t="str">
        <f>IFERROR(__xludf.DUMMYFUNCTION("""COMPUTED_VALUE"""),"No")</f>
        <v>No</v>
      </c>
      <c r="E1065" s="43" t="str">
        <f>IFERROR(__xludf.DUMMYFUNCTION("""COMPUTED_VALUE"""),"p_ee8af54d04cae38a616253c5a8e7e0e43f41064e@inbound.aiesec.org")</f>
        <v>p_ee8af54d04cae38a616253c5a8e7e0e43f41064e@inbound.aiesec.org</v>
      </c>
      <c r="F1065" s="43"/>
      <c r="G1065" s="43" t="str">
        <f>IFERROR(__xludf.DUMMYFUNCTION("""COMPUTED_VALUE"""),"Turkey")</f>
        <v>Turkey</v>
      </c>
      <c r="H1065" s="43" t="str">
        <f>IFERROR(__xludf.DUMMYFUNCTION("""COMPUTED_VALUE"""),"ANTALYA")</f>
        <v>ANTALYA</v>
      </c>
      <c r="I1065" s="43" t="str">
        <f>IFERROR(__xludf.DUMMYFUNCTION("""COMPUTED_VALUE"""),"India")</f>
        <v>India</v>
      </c>
      <c r="J1065" s="43" t="str">
        <f>IFERROR(__xludf.DUMMYFUNCTION("""COMPUTED_VALUE"""),"Delhi IIT")</f>
        <v>Delhi IIT</v>
      </c>
      <c r="K1065" s="44" t="str">
        <f>IFERROR(__xludf.DUMMYFUNCTION("""COMPUTED_VALUE"""),"https://expa.aiesec.org/opportunities/1296885")</f>
        <v>https://expa.aiesec.org/opportunities/1296885</v>
      </c>
      <c r="L1065" s="43" t="str">
        <f>IFERROR(__xludf.DUMMYFUNCTION("""COMPUTED_VALUE"""),"GV")</f>
        <v>GV</v>
      </c>
      <c r="M1065" s="43" t="str">
        <f>IFERROR(__xludf.DUMMYFUNCTION("""COMPUTED_VALUE"""),"short")</f>
        <v>short</v>
      </c>
      <c r="N1065" s="45">
        <f>IFERROR(__xludf.DUMMYFUNCTION("""COMPUTED_VALUE"""),45231.0)</f>
        <v>45231</v>
      </c>
      <c r="O1065" s="45">
        <f>IFERROR(__xludf.DUMMYFUNCTION("""COMPUTED_VALUE"""),45480.0)</f>
        <v>45480</v>
      </c>
      <c r="P1065" s="45">
        <f>IFERROR(__xludf.DUMMYFUNCTION("""COMPUTED_VALUE"""),45522.0)</f>
        <v>45522</v>
      </c>
      <c r="Q1065" s="45"/>
      <c r="R1065" s="45"/>
      <c r="S1065" s="43"/>
      <c r="T1065" s="43"/>
      <c r="U1065" s="43" t="str">
        <f>IFERROR(__xludf.DUMMYFUNCTION("""COMPUTED_VALUE"""),"On The Map")</f>
        <v>On The Map</v>
      </c>
      <c r="V1065" s="43" t="str">
        <f>IFERROR(__xludf.DUMMYFUNCTION("""COMPUTED_VALUE"""),"-")</f>
        <v>-</v>
      </c>
      <c r="W1065" s="43" t="str">
        <f>IFERROR(__xludf.DUMMYFUNCTION("""COMPUTED_VALUE"""),"2023-10-25T17:36:15Z")</f>
        <v>2023-10-25T17:36:15Z</v>
      </c>
      <c r="X1065" s="43"/>
      <c r="Y1065" s="43"/>
      <c r="Z1065" s="43"/>
    </row>
    <row r="1066" hidden="1">
      <c r="A1066" s="43" t="str">
        <f>IFERROR(__xludf.DUMMYFUNCTION("""COMPUTED_VALUE"""),"5364802_1291869")</f>
        <v>5364802_1291869</v>
      </c>
      <c r="B1066" s="43" t="str">
        <f>IFERROR(__xludf.DUMMYFUNCTION("""COMPUTED_VALUE"""),"İsmail Emircan Durgut")</f>
        <v>İsmail Emircan Durgut</v>
      </c>
      <c r="C1066" s="43" t="str">
        <f>IFERROR(__xludf.DUMMYFUNCTION("""COMPUTED_VALUE"""),"approved")</f>
        <v>approved</v>
      </c>
      <c r="D1066" s="43" t="str">
        <f>IFERROR(__xludf.DUMMYFUNCTION("""COMPUTED_VALUE"""),"No")</f>
        <v>No</v>
      </c>
      <c r="E1066" s="43" t="str">
        <f>IFERROR(__xludf.DUMMYFUNCTION("""COMPUTED_VALUE"""),"p_1d4e1bfd57ab525ed8744c7ffb5d583c822f1f78@inbound.aiesec.org")</f>
        <v>p_1d4e1bfd57ab525ed8744c7ffb5d583c822f1f78@inbound.aiesec.org</v>
      </c>
      <c r="F1066" s="43">
        <f>IFERROR(__xludf.DUMMYFUNCTION("""COMPUTED_VALUE"""),5.397754845E9)</f>
        <v>5397754845</v>
      </c>
      <c r="G1066" s="43" t="str">
        <f>IFERROR(__xludf.DUMMYFUNCTION("""COMPUTED_VALUE"""),"Turkey")</f>
        <v>Turkey</v>
      </c>
      <c r="H1066" s="43" t="str">
        <f>IFERROR(__xludf.DUMMYFUNCTION("""COMPUTED_VALUE"""),"ADANA")</f>
        <v>ADANA</v>
      </c>
      <c r="I1066" s="43" t="str">
        <f>IFERROR(__xludf.DUMMYFUNCTION("""COMPUTED_VALUE"""),"Egypt")</f>
        <v>Egypt</v>
      </c>
      <c r="J1066" s="43" t="str">
        <f>IFERROR(__xludf.DUMMYFUNCTION("""COMPUTED_VALUE"""),"Tanta")</f>
        <v>Tanta</v>
      </c>
      <c r="K1066" s="44" t="str">
        <f>IFERROR(__xludf.DUMMYFUNCTION("""COMPUTED_VALUE"""),"https://expa.aiesec.org/opportunities/1291869")</f>
        <v>https://expa.aiesec.org/opportunities/1291869</v>
      </c>
      <c r="L1066" s="43" t="str">
        <f>IFERROR(__xludf.DUMMYFUNCTION("""COMPUTED_VALUE"""),"GV")</f>
        <v>GV</v>
      </c>
      <c r="M1066" s="43" t="str">
        <f>IFERROR(__xludf.DUMMYFUNCTION("""COMPUTED_VALUE"""),"short")</f>
        <v>short</v>
      </c>
      <c r="N1066" s="45">
        <f>IFERROR(__xludf.DUMMYFUNCTION("""COMPUTED_VALUE"""),45231.0)</f>
        <v>45231</v>
      </c>
      <c r="O1066" s="45">
        <f>IFERROR(__xludf.DUMMYFUNCTION("""COMPUTED_VALUE"""),45310.0)</f>
        <v>45310</v>
      </c>
      <c r="P1066" s="45">
        <f>IFERROR(__xludf.DUMMYFUNCTION("""COMPUTED_VALUE"""),45352.0)</f>
        <v>45352</v>
      </c>
      <c r="Q1066" s="45"/>
      <c r="R1066" s="45"/>
      <c r="S1066" s="43"/>
      <c r="T1066" s="43"/>
      <c r="U1066" s="43" t="str">
        <f>IFERROR(__xludf.DUMMYFUNCTION("""COMPUTED_VALUE"""),"Global Classroom")</f>
        <v>Global Classroom</v>
      </c>
      <c r="V1066" s="43" t="str">
        <f>IFERROR(__xludf.DUMMYFUNCTION("""COMPUTED_VALUE"""),"ADANA")</f>
        <v>ADANA</v>
      </c>
      <c r="W1066" s="43" t="str">
        <f>IFERROR(__xludf.DUMMYFUNCTION("""COMPUTED_VALUE"""),"2023-11-01T10:38:50Z")</f>
        <v>2023-11-01T10:38:50Z</v>
      </c>
      <c r="X1066" s="43"/>
      <c r="Y1066" s="43"/>
      <c r="Z1066" s="43"/>
    </row>
    <row r="1067" hidden="1">
      <c r="A1067" s="43" t="str">
        <f>IFERROR(__xludf.DUMMYFUNCTION("""COMPUTED_VALUE"""),"5360638_1297157")</f>
        <v>5360638_1297157</v>
      </c>
      <c r="B1067" s="43" t="str">
        <f>IFERROR(__xludf.DUMMYFUNCTION("""COMPUTED_VALUE"""),"İkra Ceren Kahya")</f>
        <v>İkra Ceren Kahya</v>
      </c>
      <c r="C1067" s="43" t="str">
        <f>IFERROR(__xludf.DUMMYFUNCTION("""COMPUTED_VALUE"""),"approved")</f>
        <v>approved</v>
      </c>
      <c r="D1067" s="43" t="str">
        <f>IFERROR(__xludf.DUMMYFUNCTION("""COMPUTED_VALUE"""),"No")</f>
        <v>No</v>
      </c>
      <c r="E1067" s="43" t="str">
        <f>IFERROR(__xludf.DUMMYFUNCTION("""COMPUTED_VALUE"""),"p_27718569a1001544be22b792478d55e8316d06e7@inbound.aiesec.org")</f>
        <v>p_27718569a1001544be22b792478d55e8316d06e7@inbound.aiesec.org</v>
      </c>
      <c r="F1067" s="43">
        <f>IFERROR(__xludf.DUMMYFUNCTION("""COMPUTED_VALUE"""),5.520043445E9)</f>
        <v>5520043445</v>
      </c>
      <c r="G1067" s="43" t="str">
        <f>IFERROR(__xludf.DUMMYFUNCTION("""COMPUTED_VALUE"""),"Turkey")</f>
        <v>Turkey</v>
      </c>
      <c r="H1067" s="43" t="str">
        <f>IFERROR(__xludf.DUMMYFUNCTION("""COMPUTED_VALUE"""),"ISTANBUL WEST")</f>
        <v>ISTANBUL WEST</v>
      </c>
      <c r="I1067" s="43" t="str">
        <f>IFERROR(__xludf.DUMMYFUNCTION("""COMPUTED_VALUE"""),"Romania")</f>
        <v>Romania</v>
      </c>
      <c r="J1067" s="43" t="str">
        <f>IFERROR(__xludf.DUMMYFUNCTION("""COMPUTED_VALUE"""),"PITESTI")</f>
        <v>PITESTI</v>
      </c>
      <c r="K1067" s="44" t="str">
        <f>IFERROR(__xludf.DUMMYFUNCTION("""COMPUTED_VALUE"""),"https://expa.aiesec.org/opportunities/1297157")</f>
        <v>https://expa.aiesec.org/opportunities/1297157</v>
      </c>
      <c r="L1067" s="43" t="str">
        <f>IFERROR(__xludf.DUMMYFUNCTION("""COMPUTED_VALUE"""),"GV")</f>
        <v>GV</v>
      </c>
      <c r="M1067" s="43" t="str">
        <f>IFERROR(__xludf.DUMMYFUNCTION("""COMPUTED_VALUE"""),"short")</f>
        <v>short</v>
      </c>
      <c r="N1067" s="45">
        <f>IFERROR(__xludf.DUMMYFUNCTION("""COMPUTED_VALUE"""),45231.0)</f>
        <v>45231</v>
      </c>
      <c r="O1067" s="45">
        <f>IFERROR(__xludf.DUMMYFUNCTION("""COMPUTED_VALUE"""),45297.0)</f>
        <v>45297</v>
      </c>
      <c r="P1067" s="45">
        <f>IFERROR(__xludf.DUMMYFUNCTION("""COMPUTED_VALUE"""),45339.0)</f>
        <v>45339</v>
      </c>
      <c r="Q1067" s="45"/>
      <c r="R1067" s="45"/>
      <c r="S1067" s="43"/>
      <c r="T1067" s="43"/>
      <c r="U1067" s="43" t="str">
        <f>IFERROR(__xludf.DUMMYFUNCTION("""COMPUTED_VALUE"""),"Eat 4 Change")</f>
        <v>Eat 4 Change</v>
      </c>
      <c r="V1067" s="43" t="str">
        <f>IFERROR(__xludf.DUMMYFUNCTION("""COMPUTED_VALUE"""),"ISTANBUL - BAKIRKOY")</f>
        <v>ISTANBUL - BAKIRKOY</v>
      </c>
      <c r="W1067" s="43" t="str">
        <f>IFERROR(__xludf.DUMMYFUNCTION("""COMPUTED_VALUE"""),"2023-10-26T09:14:38Z")</f>
        <v>2023-10-26T09:14:38Z</v>
      </c>
      <c r="X1067" s="43"/>
      <c r="Y1067" s="43"/>
      <c r="Z1067" s="43"/>
    </row>
    <row r="1068" hidden="1">
      <c r="A1068" s="43" t="str">
        <f>IFERROR(__xludf.DUMMYFUNCTION("""COMPUTED_VALUE"""),"5361021_1297112")</f>
        <v>5361021_1297112</v>
      </c>
      <c r="B1068" s="43" t="str">
        <f>IFERROR(__xludf.DUMMYFUNCTION("""COMPUTED_VALUE"""),"Parwiz Sharifi")</f>
        <v>Parwiz Sharifi</v>
      </c>
      <c r="C1068" s="43" t="str">
        <f>IFERROR(__xludf.DUMMYFUNCTION("""COMPUTED_VALUE"""),"approved")</f>
        <v>approved</v>
      </c>
      <c r="D1068" s="43" t="str">
        <f>IFERROR(__xludf.DUMMYFUNCTION("""COMPUTED_VALUE"""),"No")</f>
        <v>No</v>
      </c>
      <c r="E1068" s="43" t="str">
        <f>IFERROR(__xludf.DUMMYFUNCTION("""COMPUTED_VALUE"""),"p_4f76d520ade08d82a50f7d12e25ade6130d6b7be@inbound.aiesec.org")</f>
        <v>p_4f76d520ade08d82a50f7d12e25ade6130d6b7be@inbound.aiesec.org</v>
      </c>
      <c r="F1068" s="43">
        <f>IFERROR(__xludf.DUMMYFUNCTION("""COMPUTED_VALUE"""),5.551977819E9)</f>
        <v>5551977819</v>
      </c>
      <c r="G1068" s="43" t="str">
        <f>IFERROR(__xludf.DUMMYFUNCTION("""COMPUTED_VALUE"""),"Turkey")</f>
        <v>Turkey</v>
      </c>
      <c r="H1068" s="43" t="str">
        <f>IFERROR(__xludf.DUMMYFUNCTION("""COMPUTED_VALUE"""),"ISTANBUL WEST")</f>
        <v>ISTANBUL WEST</v>
      </c>
      <c r="I1068" s="43" t="str">
        <f>IFERROR(__xludf.DUMMYFUNCTION("""COMPUTED_VALUE"""),"Romania")</f>
        <v>Romania</v>
      </c>
      <c r="J1068" s="43" t="str">
        <f>IFERROR(__xludf.DUMMYFUNCTION("""COMPUTED_VALUE"""),"PITESTI")</f>
        <v>PITESTI</v>
      </c>
      <c r="K1068" s="44" t="str">
        <f>IFERROR(__xludf.DUMMYFUNCTION("""COMPUTED_VALUE"""),"https://expa.aiesec.org/opportunities/1297112")</f>
        <v>https://expa.aiesec.org/opportunities/1297112</v>
      </c>
      <c r="L1068" s="43" t="str">
        <f>IFERROR(__xludf.DUMMYFUNCTION("""COMPUTED_VALUE"""),"GV")</f>
        <v>GV</v>
      </c>
      <c r="M1068" s="43" t="str">
        <f>IFERROR(__xludf.DUMMYFUNCTION("""COMPUTED_VALUE"""),"short")</f>
        <v>short</v>
      </c>
      <c r="N1068" s="45">
        <f>IFERROR(__xludf.DUMMYFUNCTION("""COMPUTED_VALUE"""),45233.0)</f>
        <v>45233</v>
      </c>
      <c r="O1068" s="45">
        <f>IFERROR(__xludf.DUMMYFUNCTION("""COMPUTED_VALUE"""),45299.0)</f>
        <v>45299</v>
      </c>
      <c r="P1068" s="45">
        <f>IFERROR(__xludf.DUMMYFUNCTION("""COMPUTED_VALUE"""),45341.0)</f>
        <v>45341</v>
      </c>
      <c r="Q1068" s="45"/>
      <c r="R1068" s="45"/>
      <c r="S1068" s="43"/>
      <c r="T1068" s="43"/>
      <c r="U1068" s="43" t="str">
        <f>IFERROR(__xludf.DUMMYFUNCTION("""COMPUTED_VALUE"""),"Eat 4 Change")</f>
        <v>Eat 4 Change</v>
      </c>
      <c r="V1068" s="43" t="str">
        <f>IFERROR(__xludf.DUMMYFUNCTION("""COMPUTED_VALUE"""),"ISTANBUL - BAKIRKOY")</f>
        <v>ISTANBUL - BAKIRKOY</v>
      </c>
      <c r="W1068" s="43" t="str">
        <f>IFERROR(__xludf.DUMMYFUNCTION("""COMPUTED_VALUE"""),"2023-10-26T16:53:34Z")</f>
        <v>2023-10-26T16:53:34Z</v>
      </c>
      <c r="X1068" s="43"/>
      <c r="Y1068" s="43"/>
      <c r="Z1068" s="43"/>
    </row>
    <row r="1069" hidden="1">
      <c r="A1069" s="43" t="str">
        <f>IFERROR(__xludf.DUMMYFUNCTION("""COMPUTED_VALUE"""),"5364566_1292715")</f>
        <v>5364566_1292715</v>
      </c>
      <c r="B1069" s="43" t="str">
        <f>IFERROR(__xludf.DUMMYFUNCTION("""COMPUTED_VALUE"""),"Deniz Torunoğlu")</f>
        <v>Deniz Torunoğlu</v>
      </c>
      <c r="C1069" s="43" t="str">
        <f>IFERROR(__xludf.DUMMYFUNCTION("""COMPUTED_VALUE"""),"approved")</f>
        <v>approved</v>
      </c>
      <c r="D1069" s="43" t="str">
        <f>IFERROR(__xludf.DUMMYFUNCTION("""COMPUTED_VALUE"""),"No")</f>
        <v>No</v>
      </c>
      <c r="E1069" s="43" t="str">
        <f>IFERROR(__xludf.DUMMYFUNCTION("""COMPUTED_VALUE"""),"p_a3a27675a57a626d6336c5537314ec25072f13e0@inbound.aiesec.org")</f>
        <v>p_a3a27675a57a626d6336c5537314ec25072f13e0@inbound.aiesec.org</v>
      </c>
      <c r="F1069" s="43">
        <f>IFERROR(__xludf.DUMMYFUNCTION("""COMPUTED_VALUE"""),5.427976927E9)</f>
        <v>5427976927</v>
      </c>
      <c r="G1069" s="43" t="str">
        <f>IFERROR(__xludf.DUMMYFUNCTION("""COMPUTED_VALUE"""),"Turkey")</f>
        <v>Turkey</v>
      </c>
      <c r="H1069" s="43" t="str">
        <f>IFERROR(__xludf.DUMMYFUNCTION("""COMPUTED_VALUE"""),"GAZIANTEP")</f>
        <v>GAZIANTEP</v>
      </c>
      <c r="I1069" s="43" t="str">
        <f>IFERROR(__xludf.DUMMYFUNCTION("""COMPUTED_VALUE"""),"Egypt")</f>
        <v>Egypt</v>
      </c>
      <c r="J1069" s="43" t="str">
        <f>IFERROR(__xludf.DUMMYFUNCTION("""COMPUTED_VALUE"""),"Tanta")</f>
        <v>Tanta</v>
      </c>
      <c r="K1069" s="44" t="str">
        <f>IFERROR(__xludf.DUMMYFUNCTION("""COMPUTED_VALUE"""),"https://expa.aiesec.org/opportunities/1292715")</f>
        <v>https://expa.aiesec.org/opportunities/1292715</v>
      </c>
      <c r="L1069" s="43" t="str">
        <f>IFERROR(__xludf.DUMMYFUNCTION("""COMPUTED_VALUE"""),"GV")</f>
        <v>GV</v>
      </c>
      <c r="M1069" s="43" t="str">
        <f>IFERROR(__xludf.DUMMYFUNCTION("""COMPUTED_VALUE"""),"short")</f>
        <v>short</v>
      </c>
      <c r="N1069" s="45">
        <f>IFERROR(__xludf.DUMMYFUNCTION("""COMPUTED_VALUE"""),45233.0)</f>
        <v>45233</v>
      </c>
      <c r="O1069" s="45">
        <f>IFERROR(__xludf.DUMMYFUNCTION("""COMPUTED_VALUE"""),45474.0)</f>
        <v>45474</v>
      </c>
      <c r="P1069" s="45">
        <f>IFERROR(__xludf.DUMMYFUNCTION("""COMPUTED_VALUE"""),45516.0)</f>
        <v>45516</v>
      </c>
      <c r="Q1069" s="45"/>
      <c r="R1069" s="45"/>
      <c r="S1069" s="43"/>
      <c r="T1069" s="43"/>
      <c r="U1069" s="43" t="str">
        <f>IFERROR(__xludf.DUMMYFUNCTION("""COMPUTED_VALUE"""),"Fingerprint")</f>
        <v>Fingerprint</v>
      </c>
      <c r="V1069" s="43" t="str">
        <f>IFERROR(__xludf.DUMMYFUNCTION("""COMPUTED_VALUE"""),"GAZIANTEP")</f>
        <v>GAZIANTEP</v>
      </c>
      <c r="W1069" s="43" t="str">
        <f>IFERROR(__xludf.DUMMYFUNCTION("""COMPUTED_VALUE"""),"2023-10-31T21:28:03Z")</f>
        <v>2023-10-31T21:28:03Z</v>
      </c>
      <c r="X1069" s="43"/>
      <c r="Y1069" s="43"/>
      <c r="Z1069" s="43"/>
    </row>
    <row r="1070" hidden="1">
      <c r="A1070" s="43" t="str">
        <f>IFERROR(__xludf.DUMMYFUNCTION("""COMPUTED_VALUE"""),"5356239_1299121")</f>
        <v>5356239_1299121</v>
      </c>
      <c r="B1070" s="43" t="str">
        <f>IFERROR(__xludf.DUMMYFUNCTION("""COMPUTED_VALUE"""),"Ceren Uzbay")</f>
        <v>Ceren Uzbay</v>
      </c>
      <c r="C1070" s="43" t="str">
        <f>IFERROR(__xludf.DUMMYFUNCTION("""COMPUTED_VALUE"""),"approved")</f>
        <v>approved</v>
      </c>
      <c r="D1070" s="43" t="str">
        <f>IFERROR(__xludf.DUMMYFUNCTION("""COMPUTED_VALUE"""),"No")</f>
        <v>No</v>
      </c>
      <c r="E1070" s="43" t="str">
        <f>IFERROR(__xludf.DUMMYFUNCTION("""COMPUTED_VALUE"""),"p_140bdf135babad62500e20a44e328c1d4a8c72e6@inbound.aiesec.org")</f>
        <v>p_140bdf135babad62500e20a44e328c1d4a8c72e6@inbound.aiesec.org</v>
      </c>
      <c r="F1070" s="43">
        <f>IFERROR(__xludf.DUMMYFUNCTION("""COMPUTED_VALUE"""),5.347004154E9)</f>
        <v>5347004154</v>
      </c>
      <c r="G1070" s="43" t="str">
        <f>IFERROR(__xludf.DUMMYFUNCTION("""COMPUTED_VALUE"""),"Turkey")</f>
        <v>Turkey</v>
      </c>
      <c r="H1070" s="43" t="str">
        <f>IFERROR(__xludf.DUMMYFUNCTION("""COMPUTED_VALUE"""),"İZMİR")</f>
        <v>İZMİR</v>
      </c>
      <c r="I1070" s="43" t="str">
        <f>IFERROR(__xludf.DUMMYFUNCTION("""COMPUTED_VALUE"""),"Czech Republic")</f>
        <v>Czech Republic</v>
      </c>
      <c r="J1070" s="43" t="str">
        <f>IFERROR(__xludf.DUMMYFUNCTION("""COMPUTED_VALUE"""),"PILSEN")</f>
        <v>PILSEN</v>
      </c>
      <c r="K1070" s="44" t="str">
        <f>IFERROR(__xludf.DUMMYFUNCTION("""COMPUTED_VALUE"""),"https://expa.aiesec.org/opportunities/1299121")</f>
        <v>https://expa.aiesec.org/opportunities/1299121</v>
      </c>
      <c r="L1070" s="43" t="str">
        <f>IFERROR(__xludf.DUMMYFUNCTION("""COMPUTED_VALUE"""),"GV")</f>
        <v>GV</v>
      </c>
      <c r="M1070" s="43" t="str">
        <f>IFERROR(__xludf.DUMMYFUNCTION("""COMPUTED_VALUE"""),"short")</f>
        <v>short</v>
      </c>
      <c r="N1070" s="45">
        <f>IFERROR(__xludf.DUMMYFUNCTION("""COMPUTED_VALUE"""),45233.0)</f>
        <v>45233</v>
      </c>
      <c r="O1070" s="45">
        <f>IFERROR(__xludf.DUMMYFUNCTION("""COMPUTED_VALUE"""),45306.0)</f>
        <v>45306</v>
      </c>
      <c r="P1070" s="45">
        <f>IFERROR(__xludf.DUMMYFUNCTION("""COMPUTED_VALUE"""),45348.0)</f>
        <v>45348</v>
      </c>
      <c r="Q1070" s="45"/>
      <c r="R1070" s="45"/>
      <c r="S1070" s="43"/>
      <c r="T1070" s="43"/>
      <c r="U1070" s="43" t="str">
        <f>IFERROR(__xludf.DUMMYFUNCTION("""COMPUTED_VALUE"""),"Youth 4 Impact")</f>
        <v>Youth 4 Impact</v>
      </c>
      <c r="V1070" s="43" t="str">
        <f>IFERROR(__xludf.DUMMYFUNCTION("""COMPUTED_VALUE"""),"IZMIR")</f>
        <v>IZMIR</v>
      </c>
      <c r="W1070" s="43" t="str">
        <f>IFERROR(__xludf.DUMMYFUNCTION("""COMPUTED_VALUE"""),"2023-10-20T14:11:09Z")</f>
        <v>2023-10-20T14:11:09Z</v>
      </c>
      <c r="X1070" s="43"/>
      <c r="Y1070" s="43"/>
      <c r="Z1070" s="43"/>
    </row>
    <row r="1071" hidden="1">
      <c r="A1071" s="43" t="str">
        <f>IFERROR(__xludf.DUMMYFUNCTION("""COMPUTED_VALUE"""),"5366377_1300628")</f>
        <v>5366377_1300628</v>
      </c>
      <c r="B1071" s="43" t="str">
        <f>IFERROR(__xludf.DUMMYFUNCTION("""COMPUTED_VALUE"""),"Sude Tiftik")</f>
        <v>Sude Tiftik</v>
      </c>
      <c r="C1071" s="43" t="str">
        <f>IFERROR(__xludf.DUMMYFUNCTION("""COMPUTED_VALUE"""),"approved")</f>
        <v>approved</v>
      </c>
      <c r="D1071" s="43" t="str">
        <f>IFERROR(__xludf.DUMMYFUNCTION("""COMPUTED_VALUE"""),"No")</f>
        <v>No</v>
      </c>
      <c r="E1071" s="43" t="str">
        <f>IFERROR(__xludf.DUMMYFUNCTION("""COMPUTED_VALUE"""),"p_4709d6418b8fbda239bb1ccc7b6b7247cb666060@inbound.aiesec.org")</f>
        <v>p_4709d6418b8fbda239bb1ccc7b6b7247cb666060@inbound.aiesec.org</v>
      </c>
      <c r="F1071" s="43">
        <f>IFERROR(__xludf.DUMMYFUNCTION("""COMPUTED_VALUE"""),5.307358603E9)</f>
        <v>5307358603</v>
      </c>
      <c r="G1071" s="43" t="str">
        <f>IFERROR(__xludf.DUMMYFUNCTION("""COMPUTED_VALUE"""),"Turkey")</f>
        <v>Turkey</v>
      </c>
      <c r="H1071" s="43" t="str">
        <f>IFERROR(__xludf.DUMMYFUNCTION("""COMPUTED_VALUE"""),"SAKARYA")</f>
        <v>SAKARYA</v>
      </c>
      <c r="I1071" s="43" t="str">
        <f>IFERROR(__xludf.DUMMYFUNCTION("""COMPUTED_VALUE"""),"Tunisia")</f>
        <v>Tunisia</v>
      </c>
      <c r="J1071" s="43" t="str">
        <f>IFERROR(__xludf.DUMMYFUNCTION("""COMPUTED_VALUE"""),"UNIVERSITY")</f>
        <v>UNIVERSITY</v>
      </c>
      <c r="K1071" s="44" t="str">
        <f>IFERROR(__xludf.DUMMYFUNCTION("""COMPUTED_VALUE"""),"https://expa.aiesec.org/opportunities/1300628")</f>
        <v>https://expa.aiesec.org/opportunities/1300628</v>
      </c>
      <c r="L1071" s="43" t="str">
        <f>IFERROR(__xludf.DUMMYFUNCTION("""COMPUTED_VALUE"""),"GV")</f>
        <v>GV</v>
      </c>
      <c r="M1071" s="43" t="str">
        <f>IFERROR(__xludf.DUMMYFUNCTION("""COMPUTED_VALUE"""),"short")</f>
        <v>short</v>
      </c>
      <c r="N1071" s="45">
        <f>IFERROR(__xludf.DUMMYFUNCTION("""COMPUTED_VALUE"""),45233.0)</f>
        <v>45233</v>
      </c>
      <c r="O1071" s="45">
        <f>IFERROR(__xludf.DUMMYFUNCTION("""COMPUTED_VALUE"""),45486.0)</f>
        <v>45486</v>
      </c>
      <c r="P1071" s="45">
        <f>IFERROR(__xludf.DUMMYFUNCTION("""COMPUTED_VALUE"""),45528.0)</f>
        <v>45528</v>
      </c>
      <c r="Q1071" s="45"/>
      <c r="R1071" s="45"/>
      <c r="S1071" s="43"/>
      <c r="T1071" s="43"/>
      <c r="U1071" s="43" t="str">
        <f>IFERROR(__xludf.DUMMYFUNCTION("""COMPUTED_VALUE"""),"On The Map")</f>
        <v>On The Map</v>
      </c>
      <c r="V1071" s="43" t="str">
        <f>IFERROR(__xludf.DUMMYFUNCTION("""COMPUTED_VALUE"""),"SAKARYA")</f>
        <v>SAKARYA</v>
      </c>
      <c r="W1071" s="43" t="str">
        <f>IFERROR(__xludf.DUMMYFUNCTION("""COMPUTED_VALUE"""),"2023-11-03T14:25:19Z")</f>
        <v>2023-11-03T14:25:19Z</v>
      </c>
      <c r="X1071" s="43"/>
      <c r="Y1071" s="43"/>
      <c r="Z1071" s="43"/>
    </row>
    <row r="1072" hidden="1">
      <c r="A1072" s="43" t="str">
        <f>IFERROR(__xludf.DUMMYFUNCTION("""COMPUTED_VALUE"""),"5361395_1298372")</f>
        <v>5361395_1298372</v>
      </c>
      <c r="B1072" s="43" t="str">
        <f>IFERROR(__xludf.DUMMYFUNCTION("""COMPUTED_VALUE"""),"Bayram Mert kaşlıoğlu")</f>
        <v>Bayram Mert kaşlıoğlu</v>
      </c>
      <c r="C1072" s="43" t="str">
        <f>IFERROR(__xludf.DUMMYFUNCTION("""COMPUTED_VALUE"""),"approved")</f>
        <v>approved</v>
      </c>
      <c r="D1072" s="43" t="str">
        <f>IFERROR(__xludf.DUMMYFUNCTION("""COMPUTED_VALUE"""),"No")</f>
        <v>No</v>
      </c>
      <c r="E1072" s="43" t="str">
        <f>IFERROR(__xludf.DUMMYFUNCTION("""COMPUTED_VALUE"""),"p_0ace86c2e6c1aa4002da174ea2529d944ef168d3@inbound.aiesec.org")</f>
        <v>p_0ace86c2e6c1aa4002da174ea2529d944ef168d3@inbound.aiesec.org</v>
      </c>
      <c r="F1072" s="43">
        <f>IFERROR(__xludf.DUMMYFUNCTION("""COMPUTED_VALUE"""),5.368458541E9)</f>
        <v>5368458541</v>
      </c>
      <c r="G1072" s="43" t="str">
        <f>IFERROR(__xludf.DUMMYFUNCTION("""COMPUTED_VALUE"""),"Turkey")</f>
        <v>Turkey</v>
      </c>
      <c r="H1072" s="43" t="str">
        <f>IFERROR(__xludf.DUMMYFUNCTION("""COMPUTED_VALUE"""),"KUTAHYA")</f>
        <v>KUTAHYA</v>
      </c>
      <c r="I1072" s="43" t="str">
        <f>IFERROR(__xludf.DUMMYFUNCTION("""COMPUTED_VALUE"""),"Egypt")</f>
        <v>Egypt</v>
      </c>
      <c r="J1072" s="43" t="str">
        <f>IFERROR(__xludf.DUMMYFUNCTION("""COMPUTED_VALUE"""),"Helwan")</f>
        <v>Helwan</v>
      </c>
      <c r="K1072" s="44" t="str">
        <f>IFERROR(__xludf.DUMMYFUNCTION("""COMPUTED_VALUE"""),"https://expa.aiesec.org/opportunities/1298372")</f>
        <v>https://expa.aiesec.org/opportunities/1298372</v>
      </c>
      <c r="L1072" s="43" t="str">
        <f>IFERROR(__xludf.DUMMYFUNCTION("""COMPUTED_VALUE"""),"GV")</f>
        <v>GV</v>
      </c>
      <c r="M1072" s="43" t="str">
        <f>IFERROR(__xludf.DUMMYFUNCTION("""COMPUTED_VALUE"""),"short")</f>
        <v>short</v>
      </c>
      <c r="N1072" s="45">
        <f>IFERROR(__xludf.DUMMYFUNCTION("""COMPUTED_VALUE"""),45234.0)</f>
        <v>45234</v>
      </c>
      <c r="O1072" s="45">
        <f>IFERROR(__xludf.DUMMYFUNCTION("""COMPUTED_VALUE"""),45474.0)</f>
        <v>45474</v>
      </c>
      <c r="P1072" s="45">
        <f>IFERROR(__xludf.DUMMYFUNCTION("""COMPUTED_VALUE"""),45516.0)</f>
        <v>45516</v>
      </c>
      <c r="Q1072" s="45"/>
      <c r="R1072" s="45"/>
      <c r="S1072" s="43"/>
      <c r="T1072" s="43"/>
      <c r="U1072" s="43" t="str">
        <f>IFERROR(__xludf.DUMMYFUNCTION("""COMPUTED_VALUE"""),"Equify")</f>
        <v>Equify</v>
      </c>
      <c r="V1072" s="43" t="str">
        <f>IFERROR(__xludf.DUMMYFUNCTION("""COMPUTED_VALUE"""),"KUTAHYA")</f>
        <v>KUTAHYA</v>
      </c>
      <c r="W1072" s="43" t="str">
        <f>IFERROR(__xludf.DUMMYFUNCTION("""COMPUTED_VALUE"""),"2023-10-27T11:05:33Z")</f>
        <v>2023-10-27T11:05:33Z</v>
      </c>
      <c r="X1072" s="43"/>
      <c r="Y1072" s="43"/>
      <c r="Z1072" s="43"/>
    </row>
    <row r="1073" hidden="1">
      <c r="A1073" s="43" t="str">
        <f>IFERROR(__xludf.DUMMYFUNCTION("""COMPUTED_VALUE"""),"5366518_1291866")</f>
        <v>5366518_1291866</v>
      </c>
      <c r="B1073" s="43" t="str">
        <f>IFERROR(__xludf.DUMMYFUNCTION("""COMPUTED_VALUE"""),"Ayşegül Arslan")</f>
        <v>Ayşegül Arslan</v>
      </c>
      <c r="C1073" s="43" t="str">
        <f>IFERROR(__xludf.DUMMYFUNCTION("""COMPUTED_VALUE"""),"approved")</f>
        <v>approved</v>
      </c>
      <c r="D1073" s="43" t="str">
        <f>IFERROR(__xludf.DUMMYFUNCTION("""COMPUTED_VALUE"""),"No")</f>
        <v>No</v>
      </c>
      <c r="E1073" s="43" t="str">
        <f>IFERROR(__xludf.DUMMYFUNCTION("""COMPUTED_VALUE"""),"p_7c189915f84bec2e45f0c6e8772bfbe4e038a79f@inbound.aiesec.org")</f>
        <v>p_7c189915f84bec2e45f0c6e8772bfbe4e038a79f@inbound.aiesec.org</v>
      </c>
      <c r="F1073" s="43">
        <f>IFERROR(__xludf.DUMMYFUNCTION("""COMPUTED_VALUE"""),5.37586789E9)</f>
        <v>5375867890</v>
      </c>
      <c r="G1073" s="43" t="str">
        <f>IFERROR(__xludf.DUMMYFUNCTION("""COMPUTED_VALUE"""),"Turkey")</f>
        <v>Turkey</v>
      </c>
      <c r="H1073" s="43" t="str">
        <f>IFERROR(__xludf.DUMMYFUNCTION("""COMPUTED_VALUE"""),"ISTANBUL ASIA")</f>
        <v>ISTANBUL ASIA</v>
      </c>
      <c r="I1073" s="43" t="str">
        <f>IFERROR(__xludf.DUMMYFUNCTION("""COMPUTED_VALUE"""),"Sri Lanka")</f>
        <v>Sri Lanka</v>
      </c>
      <c r="J1073" s="43" t="str">
        <f>IFERROR(__xludf.DUMMYFUNCTION("""COMPUTED_VALUE"""),"USJ")</f>
        <v>USJ</v>
      </c>
      <c r="K1073" s="44" t="str">
        <f>IFERROR(__xludf.DUMMYFUNCTION("""COMPUTED_VALUE"""),"https://expa.aiesec.org/opportunities/1291866")</f>
        <v>https://expa.aiesec.org/opportunities/1291866</v>
      </c>
      <c r="L1073" s="43" t="str">
        <f>IFERROR(__xludf.DUMMYFUNCTION("""COMPUTED_VALUE"""),"GV")</f>
        <v>GV</v>
      </c>
      <c r="M1073" s="43" t="str">
        <f>IFERROR(__xludf.DUMMYFUNCTION("""COMPUTED_VALUE"""),"short")</f>
        <v>short</v>
      </c>
      <c r="N1073" s="45">
        <f>IFERROR(__xludf.DUMMYFUNCTION("""COMPUTED_VALUE"""),45234.0)</f>
        <v>45234</v>
      </c>
      <c r="O1073" s="45">
        <f>IFERROR(__xludf.DUMMYFUNCTION("""COMPUTED_VALUE"""),45474.0)</f>
        <v>45474</v>
      </c>
      <c r="P1073" s="45">
        <f>IFERROR(__xludf.DUMMYFUNCTION("""COMPUTED_VALUE"""),45516.0)</f>
        <v>45516</v>
      </c>
      <c r="Q1073" s="45"/>
      <c r="R1073" s="45"/>
      <c r="S1073" s="43"/>
      <c r="T1073" s="43"/>
      <c r="U1073" s="43" t="str">
        <f>IFERROR(__xludf.DUMMYFUNCTION("""COMPUTED_VALUE"""),"Global Classroom")</f>
        <v>Global Classroom</v>
      </c>
      <c r="V1073" s="43" t="str">
        <f>IFERROR(__xludf.DUMMYFUNCTION("""COMPUTED_VALUE"""),"ISTANBUL ASIA")</f>
        <v>ISTANBUL ASIA</v>
      </c>
      <c r="W1073" s="43" t="str">
        <f>IFERROR(__xludf.DUMMYFUNCTION("""COMPUTED_VALUE"""),"2023-11-03T19:18:03Z")</f>
        <v>2023-11-03T19:18:03Z</v>
      </c>
      <c r="X1073" s="43"/>
      <c r="Y1073" s="43"/>
      <c r="Z1073" s="43"/>
    </row>
    <row r="1074" hidden="1">
      <c r="A1074" s="43" t="str">
        <f>IFERROR(__xludf.DUMMYFUNCTION("""COMPUTED_VALUE"""),"5357966_1294418")</f>
        <v>5357966_1294418</v>
      </c>
      <c r="B1074" s="43" t="str">
        <f>IFERROR(__xludf.DUMMYFUNCTION("""COMPUTED_VALUE"""),"Halit Yılmaz")</f>
        <v>Halit Yılmaz</v>
      </c>
      <c r="C1074" s="43" t="str">
        <f>IFERROR(__xludf.DUMMYFUNCTION("""COMPUTED_VALUE"""),"approved")</f>
        <v>approved</v>
      </c>
      <c r="D1074" s="43" t="str">
        <f>IFERROR(__xludf.DUMMYFUNCTION("""COMPUTED_VALUE"""),"No")</f>
        <v>No</v>
      </c>
      <c r="E1074" s="43" t="str">
        <f>IFERROR(__xludf.DUMMYFUNCTION("""COMPUTED_VALUE"""),"p_3045a2f2ad14e0f0d0e8b7efb1705624fea08dc5@inbound.aiesec.org")</f>
        <v>p_3045a2f2ad14e0f0d0e8b7efb1705624fea08dc5@inbound.aiesec.org</v>
      </c>
      <c r="F1074" s="43">
        <f>IFERROR(__xludf.DUMMYFUNCTION("""COMPUTED_VALUE"""),5.510274734E9)</f>
        <v>5510274734</v>
      </c>
      <c r="G1074" s="43" t="str">
        <f>IFERROR(__xludf.DUMMYFUNCTION("""COMPUTED_VALUE"""),"Turkey")</f>
        <v>Turkey</v>
      </c>
      <c r="H1074" s="43" t="str">
        <f>IFERROR(__xludf.DUMMYFUNCTION("""COMPUTED_VALUE"""),"ISTANBUL")</f>
        <v>ISTANBUL</v>
      </c>
      <c r="I1074" s="43" t="str">
        <f>IFERROR(__xludf.DUMMYFUNCTION("""COMPUTED_VALUE"""),"Egypt")</f>
        <v>Egypt</v>
      </c>
      <c r="J1074" s="43" t="str">
        <f>IFERROR(__xludf.DUMMYFUNCTION("""COMPUTED_VALUE"""),"Zagazig")</f>
        <v>Zagazig</v>
      </c>
      <c r="K1074" s="44" t="str">
        <f>IFERROR(__xludf.DUMMYFUNCTION("""COMPUTED_VALUE"""),"https://expa.aiesec.org/opportunities/1294418")</f>
        <v>https://expa.aiesec.org/opportunities/1294418</v>
      </c>
      <c r="L1074" s="43" t="str">
        <f>IFERROR(__xludf.DUMMYFUNCTION("""COMPUTED_VALUE"""),"GV")</f>
        <v>GV</v>
      </c>
      <c r="M1074" s="43" t="str">
        <f>IFERROR(__xludf.DUMMYFUNCTION("""COMPUTED_VALUE"""),"short")</f>
        <v>short</v>
      </c>
      <c r="N1074" s="45">
        <f>IFERROR(__xludf.DUMMYFUNCTION("""COMPUTED_VALUE"""),45234.0)</f>
        <v>45234</v>
      </c>
      <c r="O1074" s="45">
        <f>IFERROR(__xludf.DUMMYFUNCTION("""COMPUTED_VALUE"""),45488.0)</f>
        <v>45488</v>
      </c>
      <c r="P1074" s="45">
        <f>IFERROR(__xludf.DUMMYFUNCTION("""COMPUTED_VALUE"""),45530.0)</f>
        <v>45530</v>
      </c>
      <c r="Q1074" s="45"/>
      <c r="R1074" s="45"/>
      <c r="S1074" s="43"/>
      <c r="T1074" s="43"/>
      <c r="U1074" s="43" t="str">
        <f>IFERROR(__xludf.DUMMYFUNCTION("""COMPUTED_VALUE"""),"Global Classroom")</f>
        <v>Global Classroom</v>
      </c>
      <c r="V1074" s="43" t="str">
        <f>IFERROR(__xludf.DUMMYFUNCTION("""COMPUTED_VALUE"""),"ISTANBUL - BEYOGLU")</f>
        <v>ISTANBUL - BEYOGLU</v>
      </c>
      <c r="W1074" s="43" t="str">
        <f>IFERROR(__xludf.DUMMYFUNCTION("""COMPUTED_VALUE"""),"2023-10-23T14:13:09Z")</f>
        <v>2023-10-23T14:13:09Z</v>
      </c>
      <c r="X1074" s="43"/>
      <c r="Y1074" s="43"/>
      <c r="Z1074" s="43"/>
    </row>
    <row r="1075" hidden="1">
      <c r="A1075" s="43" t="str">
        <f>IFERROR(__xludf.DUMMYFUNCTION("""COMPUTED_VALUE"""),"5229019_1299605")</f>
        <v>5229019_1299605</v>
      </c>
      <c r="B1075" s="43" t="str">
        <f>IFERROR(__xludf.DUMMYFUNCTION("""COMPUTED_VALUE"""),"İbrahim Çolpan")</f>
        <v>İbrahim Çolpan</v>
      </c>
      <c r="C1075" s="43" t="str">
        <f>IFERROR(__xludf.DUMMYFUNCTION("""COMPUTED_VALUE"""),"approved")</f>
        <v>approved</v>
      </c>
      <c r="D1075" s="43" t="str">
        <f>IFERROR(__xludf.DUMMYFUNCTION("""COMPUTED_VALUE"""),"No")</f>
        <v>No</v>
      </c>
      <c r="E1075" s="43" t="str">
        <f>IFERROR(__xludf.DUMMYFUNCTION("""COMPUTED_VALUE"""),"p_af4ad968fa39d9115d79a5226fcac3149915a67d@inbound.aiesec.org")</f>
        <v>p_af4ad968fa39d9115d79a5226fcac3149915a67d@inbound.aiesec.org</v>
      </c>
      <c r="F1075" s="43"/>
      <c r="G1075" s="43" t="str">
        <f>IFERROR(__xludf.DUMMYFUNCTION("""COMPUTED_VALUE"""),"Turkey")</f>
        <v>Turkey</v>
      </c>
      <c r="H1075" s="43" t="str">
        <f>IFERROR(__xludf.DUMMYFUNCTION("""COMPUTED_VALUE"""),"ANKARA")</f>
        <v>ANKARA</v>
      </c>
      <c r="I1075" s="43" t="str">
        <f>IFERROR(__xludf.DUMMYFUNCTION("""COMPUTED_VALUE"""),"Tunisia")</f>
        <v>Tunisia</v>
      </c>
      <c r="J1075" s="43" t="str">
        <f>IFERROR(__xludf.DUMMYFUNCTION("""COMPUTED_VALUE"""),"SFAX")</f>
        <v>SFAX</v>
      </c>
      <c r="K1075" s="44" t="str">
        <f>IFERROR(__xludf.DUMMYFUNCTION("""COMPUTED_VALUE"""),"https://expa.aiesec.org/opportunities/1299605")</f>
        <v>https://expa.aiesec.org/opportunities/1299605</v>
      </c>
      <c r="L1075" s="43" t="str">
        <f>IFERROR(__xludf.DUMMYFUNCTION("""COMPUTED_VALUE"""),"GV")</f>
        <v>GV</v>
      </c>
      <c r="M1075" s="43" t="str">
        <f>IFERROR(__xludf.DUMMYFUNCTION("""COMPUTED_VALUE"""),"short")</f>
        <v>short</v>
      </c>
      <c r="N1075" s="45">
        <f>IFERROR(__xludf.DUMMYFUNCTION("""COMPUTED_VALUE"""),45235.0)</f>
        <v>45235</v>
      </c>
      <c r="O1075" s="45">
        <f>IFERROR(__xludf.DUMMYFUNCTION("""COMPUTED_VALUE"""),45317.0)</f>
        <v>45317</v>
      </c>
      <c r="P1075" s="45">
        <f>IFERROR(__xludf.DUMMYFUNCTION("""COMPUTED_VALUE"""),45359.0)</f>
        <v>45359</v>
      </c>
      <c r="Q1075" s="45"/>
      <c r="R1075" s="45"/>
      <c r="S1075" s="43"/>
      <c r="T1075" s="43"/>
      <c r="U1075" s="43" t="str">
        <f>IFERROR(__xludf.DUMMYFUNCTION("""COMPUTED_VALUE"""),"Aquatica")</f>
        <v>Aquatica</v>
      </c>
      <c r="V1075" s="43" t="str">
        <f>IFERROR(__xludf.DUMMYFUNCTION("""COMPUTED_VALUE"""),"-")</f>
        <v>-</v>
      </c>
      <c r="W1075" s="43" t="str">
        <f>IFERROR(__xludf.DUMMYFUNCTION("""COMPUTED_VALUE"""),"2023-03-28T13:17:03Z")</f>
        <v>2023-03-28T13:17:03Z</v>
      </c>
      <c r="X1075" s="43"/>
      <c r="Y1075" s="43"/>
      <c r="Z1075" s="43"/>
    </row>
    <row r="1076" hidden="1">
      <c r="A1076" s="43" t="str">
        <f>IFERROR(__xludf.DUMMYFUNCTION("""COMPUTED_VALUE"""),"5356424_1300175")</f>
        <v>5356424_1300175</v>
      </c>
      <c r="B1076" s="43" t="str">
        <f>IFERROR(__xludf.DUMMYFUNCTION("""COMPUTED_VALUE"""),"İzem Yeğit")</f>
        <v>İzem Yeğit</v>
      </c>
      <c r="C1076" s="43" t="str">
        <f>IFERROR(__xludf.DUMMYFUNCTION("""COMPUTED_VALUE"""),"approved")</f>
        <v>approved</v>
      </c>
      <c r="D1076" s="43" t="str">
        <f>IFERROR(__xludf.DUMMYFUNCTION("""COMPUTED_VALUE"""),"No")</f>
        <v>No</v>
      </c>
      <c r="E1076" s="43" t="str">
        <f>IFERROR(__xludf.DUMMYFUNCTION("""COMPUTED_VALUE"""),"p_d0fece728b7abfdeb6d35e0b80a3533e2aac4d79@inbound.aiesec.org")</f>
        <v>p_d0fece728b7abfdeb6d35e0b80a3533e2aac4d79@inbound.aiesec.org</v>
      </c>
      <c r="F1076" s="43">
        <f>IFERROR(__xludf.DUMMYFUNCTION("""COMPUTED_VALUE"""),5.375850416E9)</f>
        <v>5375850416</v>
      </c>
      <c r="G1076" s="43" t="str">
        <f>IFERROR(__xludf.DUMMYFUNCTION("""COMPUTED_VALUE"""),"Turkey")</f>
        <v>Turkey</v>
      </c>
      <c r="H1076" s="43" t="str">
        <f>IFERROR(__xludf.DUMMYFUNCTION("""COMPUTED_VALUE"""),"ISTANBUL")</f>
        <v>ISTANBUL</v>
      </c>
      <c r="I1076" s="43" t="str">
        <f>IFERROR(__xludf.DUMMYFUNCTION("""COMPUTED_VALUE"""),"Tunisia")</f>
        <v>Tunisia</v>
      </c>
      <c r="J1076" s="43" t="str">
        <f>IFERROR(__xludf.DUMMYFUNCTION("""COMPUTED_VALUE"""),"SFAX")</f>
        <v>SFAX</v>
      </c>
      <c r="K1076" s="44" t="str">
        <f>IFERROR(__xludf.DUMMYFUNCTION("""COMPUTED_VALUE"""),"https://expa.aiesec.org/opportunities/1300175")</f>
        <v>https://expa.aiesec.org/opportunities/1300175</v>
      </c>
      <c r="L1076" s="43" t="str">
        <f>IFERROR(__xludf.DUMMYFUNCTION("""COMPUTED_VALUE"""),"GV")</f>
        <v>GV</v>
      </c>
      <c r="M1076" s="43" t="str">
        <f>IFERROR(__xludf.DUMMYFUNCTION("""COMPUTED_VALUE"""),"short")</f>
        <v>short</v>
      </c>
      <c r="N1076" s="45">
        <f>IFERROR(__xludf.DUMMYFUNCTION("""COMPUTED_VALUE"""),45235.0)</f>
        <v>45235</v>
      </c>
      <c r="O1076" s="45">
        <f>IFERROR(__xludf.DUMMYFUNCTION("""COMPUTED_VALUE"""),45458.0)</f>
        <v>45458</v>
      </c>
      <c r="P1076" s="45">
        <f>IFERROR(__xludf.DUMMYFUNCTION("""COMPUTED_VALUE"""),45500.0)</f>
        <v>45500</v>
      </c>
      <c r="Q1076" s="45"/>
      <c r="R1076" s="45"/>
      <c r="S1076" s="43"/>
      <c r="T1076" s="43"/>
      <c r="U1076" s="43" t="str">
        <f>IFERROR(__xludf.DUMMYFUNCTION("""COMPUTED_VALUE"""),"Scale Up!")</f>
        <v>Scale Up!</v>
      </c>
      <c r="V1076" s="43" t="str">
        <f>IFERROR(__xludf.DUMMYFUNCTION("""COMPUTED_VALUE"""),"ISTANBUL - BEYOGLU")</f>
        <v>ISTANBUL - BEYOGLU</v>
      </c>
      <c r="W1076" s="43" t="str">
        <f>IFERROR(__xludf.DUMMYFUNCTION("""COMPUTED_VALUE"""),"2023-10-20T20:37:49Z")</f>
        <v>2023-10-20T20:37:49Z</v>
      </c>
      <c r="X1076" s="43"/>
      <c r="Y1076" s="43"/>
      <c r="Z1076" s="43"/>
    </row>
    <row r="1077" hidden="1">
      <c r="A1077" s="43" t="str">
        <f>IFERROR(__xludf.DUMMYFUNCTION("""COMPUTED_VALUE"""),"5178652_1299121")</f>
        <v>5178652_1299121</v>
      </c>
      <c r="B1077" s="43" t="str">
        <f>IFERROR(__xludf.DUMMYFUNCTION("""COMPUTED_VALUE"""),"muhammed umut kandemir")</f>
        <v>muhammed umut kandemir</v>
      </c>
      <c r="C1077" s="43" t="str">
        <f>IFERROR(__xludf.DUMMYFUNCTION("""COMPUTED_VALUE"""),"realized")</f>
        <v>realized</v>
      </c>
      <c r="D1077" s="43" t="str">
        <f>IFERROR(__xludf.DUMMYFUNCTION("""COMPUTED_VALUE"""),"No")</f>
        <v>No</v>
      </c>
      <c r="E1077" s="43" t="str">
        <f>IFERROR(__xludf.DUMMYFUNCTION("""COMPUTED_VALUE"""),"p_b5cc0b7fbf1ad2893d5a6d79252b27fa39535edd@inbound.aiesec.org")</f>
        <v>p_b5cc0b7fbf1ad2893d5a6d79252b27fa39535edd@inbound.aiesec.org</v>
      </c>
      <c r="F1077" s="43">
        <f>IFERROR(__xludf.DUMMYFUNCTION("""COMPUTED_VALUE"""),5.338580459E9)</f>
        <v>5338580459</v>
      </c>
      <c r="G1077" s="43" t="str">
        <f>IFERROR(__xludf.DUMMYFUNCTION("""COMPUTED_VALUE"""),"Turkey")</f>
        <v>Turkey</v>
      </c>
      <c r="H1077" s="43" t="str">
        <f>IFERROR(__xludf.DUMMYFUNCTION("""COMPUTED_VALUE"""),"EASTERN MEDITERRANEAN")</f>
        <v>EASTERN MEDITERRANEAN</v>
      </c>
      <c r="I1077" s="43" t="str">
        <f>IFERROR(__xludf.DUMMYFUNCTION("""COMPUTED_VALUE"""),"Czech Republic")</f>
        <v>Czech Republic</v>
      </c>
      <c r="J1077" s="43" t="str">
        <f>IFERROR(__xludf.DUMMYFUNCTION("""COMPUTED_VALUE"""),"PILSEN")</f>
        <v>PILSEN</v>
      </c>
      <c r="K1077" s="44" t="str">
        <f>IFERROR(__xludf.DUMMYFUNCTION("""COMPUTED_VALUE"""),"https://expa.aiesec.org/opportunities/1299121")</f>
        <v>https://expa.aiesec.org/opportunities/1299121</v>
      </c>
      <c r="L1077" s="43" t="str">
        <f>IFERROR(__xludf.DUMMYFUNCTION("""COMPUTED_VALUE"""),"GV")</f>
        <v>GV</v>
      </c>
      <c r="M1077" s="43" t="str">
        <f>IFERROR(__xludf.DUMMYFUNCTION("""COMPUTED_VALUE"""),"short")</f>
        <v>short</v>
      </c>
      <c r="N1077" s="45">
        <f>IFERROR(__xludf.DUMMYFUNCTION("""COMPUTED_VALUE"""),45235.0)</f>
        <v>45235</v>
      </c>
      <c r="O1077" s="45">
        <f>IFERROR(__xludf.DUMMYFUNCTION("""COMPUTED_VALUE"""),45306.0)</f>
        <v>45306</v>
      </c>
      <c r="P1077" s="45">
        <f>IFERROR(__xludf.DUMMYFUNCTION("""COMPUTED_VALUE"""),45348.0)</f>
        <v>45348</v>
      </c>
      <c r="Q1077" s="45">
        <f>IFERROR(__xludf.DUMMYFUNCTION("""COMPUTED_VALUE"""),45306.0)</f>
        <v>45306</v>
      </c>
      <c r="R1077" s="45">
        <f>IFERROR(__xludf.DUMMYFUNCTION("""COMPUTED_VALUE"""),45348.0)</f>
        <v>45348</v>
      </c>
      <c r="S1077" s="43"/>
      <c r="T1077" s="43"/>
      <c r="U1077" s="43" t="str">
        <f>IFERROR(__xludf.DUMMYFUNCTION("""COMPUTED_VALUE"""),"Youth 4 Impact")</f>
        <v>Youth 4 Impact</v>
      </c>
      <c r="V1077" s="43" t="str">
        <f>IFERROR(__xludf.DUMMYFUNCTION("""COMPUTED_VALUE"""),"NORTH CYPRUS")</f>
        <v>NORTH CYPRUS</v>
      </c>
      <c r="W1077" s="43" t="str">
        <f>IFERROR(__xludf.DUMMYFUNCTION("""COMPUTED_VALUE"""),"2023-01-20T09:54:05Z")</f>
        <v>2023-01-20T09:54:05Z</v>
      </c>
      <c r="X1077" s="43"/>
      <c r="Y1077" s="43"/>
      <c r="Z1077" s="43"/>
    </row>
    <row r="1078" hidden="1">
      <c r="A1078" s="43" t="str">
        <f>IFERROR(__xludf.DUMMYFUNCTION("""COMPUTED_VALUE"""),"5347524_1288843")</f>
        <v>5347524_1288843</v>
      </c>
      <c r="B1078" s="43" t="str">
        <f>IFERROR(__xludf.DUMMYFUNCTION("""COMPUTED_VALUE"""),"Miray Tezel")</f>
        <v>Miray Tezel</v>
      </c>
      <c r="C1078" s="43" t="str">
        <f>IFERROR(__xludf.DUMMYFUNCTION("""COMPUTED_VALUE"""),"approved")</f>
        <v>approved</v>
      </c>
      <c r="D1078" s="43" t="str">
        <f>IFERROR(__xludf.DUMMYFUNCTION("""COMPUTED_VALUE"""),"No")</f>
        <v>No</v>
      </c>
      <c r="E1078" s="43" t="str">
        <f>IFERROR(__xludf.DUMMYFUNCTION("""COMPUTED_VALUE"""),"p_b682fce2d0f0ab8bfc9d33b87d3cc61fbe6cec1f@inbound.aiesec.org")</f>
        <v>p_b682fce2d0f0ab8bfc9d33b87d3cc61fbe6cec1f@inbound.aiesec.org</v>
      </c>
      <c r="F1078" s="43">
        <f>IFERROR(__xludf.DUMMYFUNCTION("""COMPUTED_VALUE"""),5.347893489E9)</f>
        <v>5347893489</v>
      </c>
      <c r="G1078" s="43" t="str">
        <f>IFERROR(__xludf.DUMMYFUNCTION("""COMPUTED_VALUE"""),"Turkey")</f>
        <v>Turkey</v>
      </c>
      <c r="H1078" s="43" t="str">
        <f>IFERROR(__xludf.DUMMYFUNCTION("""COMPUTED_VALUE"""),"ISTANBUL ASIA")</f>
        <v>ISTANBUL ASIA</v>
      </c>
      <c r="I1078" s="43" t="str">
        <f>IFERROR(__xludf.DUMMYFUNCTION("""COMPUTED_VALUE"""),"Sri Lanka")</f>
        <v>Sri Lanka</v>
      </c>
      <c r="J1078" s="43" t="str">
        <f>IFERROR(__xludf.DUMMYFUNCTION("""COMPUTED_VALUE"""),"COLOMBO NORTH")</f>
        <v>COLOMBO NORTH</v>
      </c>
      <c r="K1078" s="44" t="str">
        <f>IFERROR(__xludf.DUMMYFUNCTION("""COMPUTED_VALUE"""),"https://expa.aiesec.org/opportunities/1288843")</f>
        <v>https://expa.aiesec.org/opportunities/1288843</v>
      </c>
      <c r="L1078" s="43" t="str">
        <f>IFERROR(__xludf.DUMMYFUNCTION("""COMPUTED_VALUE"""),"GV")</f>
        <v>GV</v>
      </c>
      <c r="M1078" s="43" t="str">
        <f>IFERROR(__xludf.DUMMYFUNCTION("""COMPUTED_VALUE"""),"short")</f>
        <v>short</v>
      </c>
      <c r="N1078" s="45">
        <f>IFERROR(__xludf.DUMMYFUNCTION("""COMPUTED_VALUE"""),45236.0)</f>
        <v>45236</v>
      </c>
      <c r="O1078" s="45">
        <f>IFERROR(__xludf.DUMMYFUNCTION("""COMPUTED_VALUE"""),45474.0)</f>
        <v>45474</v>
      </c>
      <c r="P1078" s="45">
        <f>IFERROR(__xludf.DUMMYFUNCTION("""COMPUTED_VALUE"""),45516.0)</f>
        <v>45516</v>
      </c>
      <c r="Q1078" s="45"/>
      <c r="R1078" s="45"/>
      <c r="S1078" s="43"/>
      <c r="T1078" s="43"/>
      <c r="U1078" s="43" t="str">
        <f>IFERROR(__xludf.DUMMYFUNCTION("""COMPUTED_VALUE"""),"Green Leaders")</f>
        <v>Green Leaders</v>
      </c>
      <c r="V1078" s="43" t="str">
        <f>IFERROR(__xludf.DUMMYFUNCTION("""COMPUTED_VALUE"""),"ISTANBUL ASIA")</f>
        <v>ISTANBUL ASIA</v>
      </c>
      <c r="W1078" s="43" t="str">
        <f>IFERROR(__xludf.DUMMYFUNCTION("""COMPUTED_VALUE"""),"2023-10-10T09:39:39Z")</f>
        <v>2023-10-10T09:39:39Z</v>
      </c>
      <c r="X1078" s="43"/>
      <c r="Y1078" s="43"/>
      <c r="Z1078" s="43"/>
    </row>
    <row r="1079" hidden="1">
      <c r="A1079" s="43" t="str">
        <f>IFERROR(__xludf.DUMMYFUNCTION("""COMPUTED_VALUE"""),"5357343_1295874")</f>
        <v>5357343_1295874</v>
      </c>
      <c r="B1079" s="43" t="str">
        <f>IFERROR(__xludf.DUMMYFUNCTION("""COMPUTED_VALUE"""),"Elif Gülen Çakıcı")</f>
        <v>Elif Gülen Çakıcı</v>
      </c>
      <c r="C1079" s="43" t="str">
        <f>IFERROR(__xludf.DUMMYFUNCTION("""COMPUTED_VALUE"""),"approved")</f>
        <v>approved</v>
      </c>
      <c r="D1079" s="43" t="str">
        <f>IFERROR(__xludf.DUMMYFUNCTION("""COMPUTED_VALUE"""),"No")</f>
        <v>No</v>
      </c>
      <c r="E1079" s="43" t="str">
        <f>IFERROR(__xludf.DUMMYFUNCTION("""COMPUTED_VALUE"""),"p_575fc876955d65b521275e3061819c70f01f59e4@inbound.aiesec.org")</f>
        <v>p_575fc876955d65b521275e3061819c70f01f59e4@inbound.aiesec.org</v>
      </c>
      <c r="F1079" s="43">
        <f>IFERROR(__xludf.DUMMYFUNCTION("""COMPUTED_VALUE"""),5.051201415E9)</f>
        <v>5051201415</v>
      </c>
      <c r="G1079" s="43" t="str">
        <f>IFERROR(__xludf.DUMMYFUNCTION("""COMPUTED_VALUE"""),"Turkey")</f>
        <v>Turkey</v>
      </c>
      <c r="H1079" s="43" t="str">
        <f>IFERROR(__xludf.DUMMYFUNCTION("""COMPUTED_VALUE"""),"ISTANBUL")</f>
        <v>ISTANBUL</v>
      </c>
      <c r="I1079" s="43" t="str">
        <f>IFERROR(__xludf.DUMMYFUNCTION("""COMPUTED_VALUE"""),"Egypt")</f>
        <v>Egypt</v>
      </c>
      <c r="J1079" s="43" t="str">
        <f>IFERROR(__xludf.DUMMYFUNCTION("""COMPUTED_VALUE"""),"Cairo University")</f>
        <v>Cairo University</v>
      </c>
      <c r="K1079" s="44" t="str">
        <f>IFERROR(__xludf.DUMMYFUNCTION("""COMPUTED_VALUE"""),"https://expa.aiesec.org/opportunities/1295874")</f>
        <v>https://expa.aiesec.org/opportunities/1295874</v>
      </c>
      <c r="L1079" s="43" t="str">
        <f>IFERROR(__xludf.DUMMYFUNCTION("""COMPUTED_VALUE"""),"GV")</f>
        <v>GV</v>
      </c>
      <c r="M1079" s="43" t="str">
        <f>IFERROR(__xludf.DUMMYFUNCTION("""COMPUTED_VALUE"""),"short")</f>
        <v>short</v>
      </c>
      <c r="N1079" s="45">
        <f>IFERROR(__xludf.DUMMYFUNCTION("""COMPUTED_VALUE"""),45236.0)</f>
        <v>45236</v>
      </c>
      <c r="O1079" s="45">
        <f>IFERROR(__xludf.DUMMYFUNCTION("""COMPUTED_VALUE"""),45474.0)</f>
        <v>45474</v>
      </c>
      <c r="P1079" s="45">
        <f>IFERROR(__xludf.DUMMYFUNCTION("""COMPUTED_VALUE"""),45516.0)</f>
        <v>45516</v>
      </c>
      <c r="Q1079" s="45"/>
      <c r="R1079" s="45"/>
      <c r="S1079" s="43"/>
      <c r="T1079" s="43"/>
      <c r="U1079" s="43" t="str">
        <f>IFERROR(__xludf.DUMMYFUNCTION("""COMPUTED_VALUE"""),"Green Leaders")</f>
        <v>Green Leaders</v>
      </c>
      <c r="V1079" s="43" t="str">
        <f>IFERROR(__xludf.DUMMYFUNCTION("""COMPUTED_VALUE"""),"ISTANBUL - BEYOGLU")</f>
        <v>ISTANBUL - BEYOGLU</v>
      </c>
      <c r="W1079" s="43" t="str">
        <f>IFERROR(__xludf.DUMMYFUNCTION("""COMPUTED_VALUE"""),"2023-10-22T16:43:25Z")</f>
        <v>2023-10-22T16:43:25Z</v>
      </c>
      <c r="X1079" s="43"/>
      <c r="Y1079" s="43"/>
      <c r="Z1079" s="43"/>
    </row>
    <row r="1080" hidden="1">
      <c r="A1080" s="43" t="str">
        <f>IFERROR(__xludf.DUMMYFUNCTION("""COMPUTED_VALUE"""),"5367720_1290292")</f>
        <v>5367720_1290292</v>
      </c>
      <c r="B1080" s="43" t="str">
        <f>IFERROR(__xludf.DUMMYFUNCTION("""COMPUTED_VALUE"""),"Armağan Akartuna")</f>
        <v>Armağan Akartuna</v>
      </c>
      <c r="C1080" s="43" t="str">
        <f>IFERROR(__xludf.DUMMYFUNCTION("""COMPUTED_VALUE"""),"approved")</f>
        <v>approved</v>
      </c>
      <c r="D1080" s="43" t="str">
        <f>IFERROR(__xludf.DUMMYFUNCTION("""COMPUTED_VALUE"""),"No")</f>
        <v>No</v>
      </c>
      <c r="E1080" s="43" t="str">
        <f>IFERROR(__xludf.DUMMYFUNCTION("""COMPUTED_VALUE"""),"p_63c3d04aff2ef6cc1e04cff53310e51b5b66ea1b@inbound.aiesec.org")</f>
        <v>p_63c3d04aff2ef6cc1e04cff53310e51b5b66ea1b@inbound.aiesec.org</v>
      </c>
      <c r="F1080" s="43">
        <f>IFERROR(__xludf.DUMMYFUNCTION("""COMPUTED_VALUE"""),5.312652552E9)</f>
        <v>5312652552</v>
      </c>
      <c r="G1080" s="43" t="str">
        <f>IFERROR(__xludf.DUMMYFUNCTION("""COMPUTED_VALUE"""),"Turkey")</f>
        <v>Turkey</v>
      </c>
      <c r="H1080" s="43" t="str">
        <f>IFERROR(__xludf.DUMMYFUNCTION("""COMPUTED_VALUE"""),"SAKARYA")</f>
        <v>SAKARYA</v>
      </c>
      <c r="I1080" s="43" t="str">
        <f>IFERROR(__xludf.DUMMYFUNCTION("""COMPUTED_VALUE"""),"Egypt")</f>
        <v>Egypt</v>
      </c>
      <c r="J1080" s="43" t="str">
        <f>IFERROR(__xludf.DUMMYFUNCTION("""COMPUTED_VALUE"""),"GUC")</f>
        <v>GUC</v>
      </c>
      <c r="K1080" s="44" t="str">
        <f>IFERROR(__xludf.DUMMYFUNCTION("""COMPUTED_VALUE"""),"https://expa.aiesec.org/opportunities/1290292")</f>
        <v>https://expa.aiesec.org/opportunities/1290292</v>
      </c>
      <c r="L1080" s="43" t="str">
        <f>IFERROR(__xludf.DUMMYFUNCTION("""COMPUTED_VALUE"""),"GV")</f>
        <v>GV</v>
      </c>
      <c r="M1080" s="43" t="str">
        <f>IFERROR(__xludf.DUMMYFUNCTION("""COMPUTED_VALUE"""),"short")</f>
        <v>short</v>
      </c>
      <c r="N1080" s="45">
        <f>IFERROR(__xludf.DUMMYFUNCTION("""COMPUTED_VALUE"""),45236.0)</f>
        <v>45236</v>
      </c>
      <c r="O1080" s="45">
        <f>IFERROR(__xludf.DUMMYFUNCTION("""COMPUTED_VALUE"""),45397.0)</f>
        <v>45397</v>
      </c>
      <c r="P1080" s="45">
        <f>IFERROR(__xludf.DUMMYFUNCTION("""COMPUTED_VALUE"""),45439.0)</f>
        <v>45439</v>
      </c>
      <c r="Q1080" s="45"/>
      <c r="R1080" s="45"/>
      <c r="S1080" s="43"/>
      <c r="T1080" s="43"/>
      <c r="U1080" s="43" t="str">
        <f>IFERROR(__xludf.DUMMYFUNCTION("""COMPUTED_VALUE"""),"Green Leaders")</f>
        <v>Green Leaders</v>
      </c>
      <c r="V1080" s="43" t="str">
        <f>IFERROR(__xludf.DUMMYFUNCTION("""COMPUTED_VALUE"""),"SAKARYA")</f>
        <v>SAKARYA</v>
      </c>
      <c r="W1080" s="43" t="str">
        <f>IFERROR(__xludf.DUMMYFUNCTION("""COMPUTED_VALUE"""),"2023-11-06T15:58:06Z")</f>
        <v>2023-11-06T15:58:06Z</v>
      </c>
      <c r="X1080" s="43"/>
      <c r="Y1080" s="43"/>
      <c r="Z1080" s="43"/>
    </row>
    <row r="1081" hidden="1">
      <c r="A1081" s="43" t="str">
        <f>IFERROR(__xludf.DUMMYFUNCTION("""COMPUTED_VALUE"""),"5367535_1300628")</f>
        <v>5367535_1300628</v>
      </c>
      <c r="B1081" s="43" t="str">
        <f>IFERROR(__xludf.DUMMYFUNCTION("""COMPUTED_VALUE"""),"Ümran Gürbüz")</f>
        <v>Ümran Gürbüz</v>
      </c>
      <c r="C1081" s="43" t="str">
        <f>IFERROR(__xludf.DUMMYFUNCTION("""COMPUTED_VALUE"""),"approved")</f>
        <v>approved</v>
      </c>
      <c r="D1081" s="43" t="str">
        <f>IFERROR(__xludf.DUMMYFUNCTION("""COMPUTED_VALUE"""),"No")</f>
        <v>No</v>
      </c>
      <c r="E1081" s="43" t="str">
        <f>IFERROR(__xludf.DUMMYFUNCTION("""COMPUTED_VALUE"""),"p_f0e683f573349d836359512824c169ddd0bdde2e@inbound.aiesec.org")</f>
        <v>p_f0e683f573349d836359512824c169ddd0bdde2e@inbound.aiesec.org</v>
      </c>
      <c r="F1081" s="43">
        <f>IFERROR(__xludf.DUMMYFUNCTION("""COMPUTED_VALUE"""),5.519388766E9)</f>
        <v>5519388766</v>
      </c>
      <c r="G1081" s="43" t="str">
        <f>IFERROR(__xludf.DUMMYFUNCTION("""COMPUTED_VALUE"""),"Turkey")</f>
        <v>Turkey</v>
      </c>
      <c r="H1081" s="43" t="str">
        <f>IFERROR(__xludf.DUMMYFUNCTION("""COMPUTED_VALUE"""),"SAKARYA")</f>
        <v>SAKARYA</v>
      </c>
      <c r="I1081" s="43" t="str">
        <f>IFERROR(__xludf.DUMMYFUNCTION("""COMPUTED_VALUE"""),"Tunisia")</f>
        <v>Tunisia</v>
      </c>
      <c r="J1081" s="43" t="str">
        <f>IFERROR(__xludf.DUMMYFUNCTION("""COMPUTED_VALUE"""),"UNIVERSITY")</f>
        <v>UNIVERSITY</v>
      </c>
      <c r="K1081" s="44" t="str">
        <f>IFERROR(__xludf.DUMMYFUNCTION("""COMPUTED_VALUE"""),"https://expa.aiesec.org/opportunities/1300628")</f>
        <v>https://expa.aiesec.org/opportunities/1300628</v>
      </c>
      <c r="L1081" s="43" t="str">
        <f>IFERROR(__xludf.DUMMYFUNCTION("""COMPUTED_VALUE"""),"GV")</f>
        <v>GV</v>
      </c>
      <c r="M1081" s="43" t="str">
        <f>IFERROR(__xludf.DUMMYFUNCTION("""COMPUTED_VALUE"""),"short")</f>
        <v>short</v>
      </c>
      <c r="N1081" s="45">
        <f>IFERROR(__xludf.DUMMYFUNCTION("""COMPUTED_VALUE"""),45236.0)</f>
        <v>45236</v>
      </c>
      <c r="O1081" s="45">
        <f>IFERROR(__xludf.DUMMYFUNCTION("""COMPUTED_VALUE"""),45486.0)</f>
        <v>45486</v>
      </c>
      <c r="P1081" s="45">
        <f>IFERROR(__xludf.DUMMYFUNCTION("""COMPUTED_VALUE"""),45528.0)</f>
        <v>45528</v>
      </c>
      <c r="Q1081" s="45"/>
      <c r="R1081" s="45"/>
      <c r="S1081" s="43"/>
      <c r="T1081" s="43"/>
      <c r="U1081" s="43" t="str">
        <f>IFERROR(__xludf.DUMMYFUNCTION("""COMPUTED_VALUE"""),"On The Map")</f>
        <v>On The Map</v>
      </c>
      <c r="V1081" s="43" t="str">
        <f>IFERROR(__xludf.DUMMYFUNCTION("""COMPUTED_VALUE"""),"SAKARYA")</f>
        <v>SAKARYA</v>
      </c>
      <c r="W1081" s="43" t="str">
        <f>IFERROR(__xludf.DUMMYFUNCTION("""COMPUTED_VALUE"""),"2023-11-06T12:14:39Z")</f>
        <v>2023-11-06T12:14:39Z</v>
      </c>
      <c r="X1081" s="43"/>
      <c r="Y1081" s="43"/>
      <c r="Z1081" s="43"/>
    </row>
    <row r="1082" hidden="1">
      <c r="A1082" s="43" t="str">
        <f>IFERROR(__xludf.DUMMYFUNCTION("""COMPUTED_VALUE"""),"5367162_1299358")</f>
        <v>5367162_1299358</v>
      </c>
      <c r="B1082" s="43" t="str">
        <f>IFERROR(__xludf.DUMMYFUNCTION("""COMPUTED_VALUE"""),"Gülfem MELEK")</f>
        <v>Gülfem MELEK</v>
      </c>
      <c r="C1082" s="43" t="str">
        <f>IFERROR(__xludf.DUMMYFUNCTION("""COMPUTED_VALUE"""),"approved")</f>
        <v>approved</v>
      </c>
      <c r="D1082" s="43" t="str">
        <f>IFERROR(__xludf.DUMMYFUNCTION("""COMPUTED_VALUE"""),"No")</f>
        <v>No</v>
      </c>
      <c r="E1082" s="43" t="str">
        <f>IFERROR(__xludf.DUMMYFUNCTION("""COMPUTED_VALUE"""),"p_03e0823a8c479fd2aba625155c3617bdf0ec7186@inbound.aiesec.org")</f>
        <v>p_03e0823a8c479fd2aba625155c3617bdf0ec7186@inbound.aiesec.org</v>
      </c>
      <c r="F1082" s="43">
        <f>IFERROR(__xludf.DUMMYFUNCTION("""COMPUTED_VALUE"""),5.365548414E9)</f>
        <v>5365548414</v>
      </c>
      <c r="G1082" s="43" t="str">
        <f>IFERROR(__xludf.DUMMYFUNCTION("""COMPUTED_VALUE"""),"Turkey")</f>
        <v>Turkey</v>
      </c>
      <c r="H1082" s="43" t="str">
        <f>IFERROR(__xludf.DUMMYFUNCTION("""COMPUTED_VALUE"""),"SAKARYA")</f>
        <v>SAKARYA</v>
      </c>
      <c r="I1082" s="43" t="str">
        <f>IFERROR(__xludf.DUMMYFUNCTION("""COMPUTED_VALUE"""),"Egypt")</f>
        <v>Egypt</v>
      </c>
      <c r="J1082" s="43" t="str">
        <f>IFERROR(__xludf.DUMMYFUNCTION("""COMPUTED_VALUE"""),"Ain Shams University")</f>
        <v>Ain Shams University</v>
      </c>
      <c r="K1082" s="44" t="str">
        <f>IFERROR(__xludf.DUMMYFUNCTION("""COMPUTED_VALUE"""),"https://expa.aiesec.org/opportunities/1299358")</f>
        <v>https://expa.aiesec.org/opportunities/1299358</v>
      </c>
      <c r="L1082" s="43" t="str">
        <f>IFERROR(__xludf.DUMMYFUNCTION("""COMPUTED_VALUE"""),"GV")</f>
        <v>GV</v>
      </c>
      <c r="M1082" s="43" t="str">
        <f>IFERROR(__xludf.DUMMYFUNCTION("""COMPUTED_VALUE"""),"short")</f>
        <v>short</v>
      </c>
      <c r="N1082" s="45">
        <f>IFERROR(__xludf.DUMMYFUNCTION("""COMPUTED_VALUE"""),45236.0)</f>
        <v>45236</v>
      </c>
      <c r="O1082" s="45">
        <f>IFERROR(__xludf.DUMMYFUNCTION("""COMPUTED_VALUE"""),45483.0)</f>
        <v>45483</v>
      </c>
      <c r="P1082" s="45">
        <f>IFERROR(__xludf.DUMMYFUNCTION("""COMPUTED_VALUE"""),45525.0)</f>
        <v>45525</v>
      </c>
      <c r="Q1082" s="45"/>
      <c r="R1082" s="45"/>
      <c r="S1082" s="43"/>
      <c r="T1082" s="43"/>
      <c r="U1082" s="43" t="str">
        <f>IFERROR(__xludf.DUMMYFUNCTION("""COMPUTED_VALUE"""),"Rooted")</f>
        <v>Rooted</v>
      </c>
      <c r="V1082" s="43" t="str">
        <f>IFERROR(__xludf.DUMMYFUNCTION("""COMPUTED_VALUE"""),"SAKARYA")</f>
        <v>SAKARYA</v>
      </c>
      <c r="W1082" s="43" t="str">
        <f>IFERROR(__xludf.DUMMYFUNCTION("""COMPUTED_VALUE"""),"2023-11-05T12:39:56Z")</f>
        <v>2023-11-05T12:39:56Z</v>
      </c>
      <c r="X1082" s="43"/>
      <c r="Y1082" s="43"/>
      <c r="Z1082" s="43"/>
    </row>
    <row r="1083" hidden="1">
      <c r="A1083" s="43" t="str">
        <f>IFERROR(__xludf.DUMMYFUNCTION("""COMPUTED_VALUE"""),"5366363_1300287")</f>
        <v>5366363_1300287</v>
      </c>
      <c r="B1083" s="43" t="str">
        <f>IFERROR(__xludf.DUMMYFUNCTION("""COMPUTED_VALUE"""),"Rüveyda Kula")</f>
        <v>Rüveyda Kula</v>
      </c>
      <c r="C1083" s="43" t="str">
        <f>IFERROR(__xludf.DUMMYFUNCTION("""COMPUTED_VALUE"""),"approved")</f>
        <v>approved</v>
      </c>
      <c r="D1083" s="43" t="str">
        <f>IFERROR(__xludf.DUMMYFUNCTION("""COMPUTED_VALUE"""),"No")</f>
        <v>No</v>
      </c>
      <c r="E1083" s="43" t="str">
        <f>IFERROR(__xludf.DUMMYFUNCTION("""COMPUTED_VALUE"""),"p_f90adf98ca5329c0f255d5a470f393a559a2710d@inbound.aiesec.org")</f>
        <v>p_f90adf98ca5329c0f255d5a470f393a559a2710d@inbound.aiesec.org</v>
      </c>
      <c r="F1083" s="43"/>
      <c r="G1083" s="43" t="str">
        <f>IFERROR(__xludf.DUMMYFUNCTION("""COMPUTED_VALUE"""),"Turkey")</f>
        <v>Turkey</v>
      </c>
      <c r="H1083" s="43" t="str">
        <f>IFERROR(__xludf.DUMMYFUNCTION("""COMPUTED_VALUE"""),"BURSA")</f>
        <v>BURSA</v>
      </c>
      <c r="I1083" s="43" t="str">
        <f>IFERROR(__xludf.DUMMYFUNCTION("""COMPUTED_VALUE"""),"Egypt")</f>
        <v>Egypt</v>
      </c>
      <c r="J1083" s="43" t="str">
        <f>IFERROR(__xludf.DUMMYFUNCTION("""COMPUTED_VALUE"""),"6th October University")</f>
        <v>6th October University</v>
      </c>
      <c r="K1083" s="44" t="str">
        <f>IFERROR(__xludf.DUMMYFUNCTION("""COMPUTED_VALUE"""),"https://expa.aiesec.org/opportunities/1300287")</f>
        <v>https://expa.aiesec.org/opportunities/1300287</v>
      </c>
      <c r="L1083" s="43" t="str">
        <f>IFERROR(__xludf.DUMMYFUNCTION("""COMPUTED_VALUE"""),"GV")</f>
        <v>GV</v>
      </c>
      <c r="M1083" s="43" t="str">
        <f>IFERROR(__xludf.DUMMYFUNCTION("""COMPUTED_VALUE"""),"short")</f>
        <v>short</v>
      </c>
      <c r="N1083" s="45">
        <f>IFERROR(__xludf.DUMMYFUNCTION("""COMPUTED_VALUE"""),45237.0)</f>
        <v>45237</v>
      </c>
      <c r="O1083" s="45">
        <f>IFERROR(__xludf.DUMMYFUNCTION("""COMPUTED_VALUE"""),45488.0)</f>
        <v>45488</v>
      </c>
      <c r="P1083" s="45">
        <f>IFERROR(__xludf.DUMMYFUNCTION("""COMPUTED_VALUE"""),45530.0)</f>
        <v>45530</v>
      </c>
      <c r="Q1083" s="45"/>
      <c r="R1083" s="45"/>
      <c r="S1083" s="43"/>
      <c r="T1083" s="43"/>
      <c r="U1083" s="43" t="str">
        <f>IFERROR(__xludf.DUMMYFUNCTION("""COMPUTED_VALUE"""),"Global Classroom")</f>
        <v>Global Classroom</v>
      </c>
      <c r="V1083" s="43" t="str">
        <f>IFERROR(__xludf.DUMMYFUNCTION("""COMPUTED_VALUE"""),"BURSA")</f>
        <v>BURSA</v>
      </c>
      <c r="W1083" s="43" t="str">
        <f>IFERROR(__xludf.DUMMYFUNCTION("""COMPUTED_VALUE"""),"2023-11-03T14:01:39Z")</f>
        <v>2023-11-03T14:01:39Z</v>
      </c>
      <c r="X1083" s="43"/>
      <c r="Y1083" s="43"/>
      <c r="Z1083" s="43"/>
    </row>
    <row r="1084" hidden="1">
      <c r="A1084" s="43" t="str">
        <f>IFERROR(__xludf.DUMMYFUNCTION("""COMPUTED_VALUE"""),"5275267_1300091")</f>
        <v>5275267_1300091</v>
      </c>
      <c r="B1084" s="43" t="str">
        <f>IFERROR(__xludf.DUMMYFUNCTION("""COMPUTED_VALUE"""),"Duygu Semizoğlu")</f>
        <v>Duygu Semizoğlu</v>
      </c>
      <c r="C1084" s="43" t="str">
        <f>IFERROR(__xludf.DUMMYFUNCTION("""COMPUTED_VALUE"""),"approved")</f>
        <v>approved</v>
      </c>
      <c r="D1084" s="43" t="str">
        <f>IFERROR(__xludf.DUMMYFUNCTION("""COMPUTED_VALUE"""),"No")</f>
        <v>No</v>
      </c>
      <c r="E1084" s="43" t="str">
        <f>IFERROR(__xludf.DUMMYFUNCTION("""COMPUTED_VALUE"""),"p_337ea0dafb7226afa793106d2b792fb2234f7df1@inbound.aiesec.org")</f>
        <v>p_337ea0dafb7226afa793106d2b792fb2234f7df1@inbound.aiesec.org</v>
      </c>
      <c r="F1084" s="43">
        <f>IFERROR(__xludf.DUMMYFUNCTION("""COMPUTED_VALUE"""),5.456977095E9)</f>
        <v>5456977095</v>
      </c>
      <c r="G1084" s="43" t="str">
        <f>IFERROR(__xludf.DUMMYFUNCTION("""COMPUTED_VALUE"""),"Turkey")</f>
        <v>Turkey</v>
      </c>
      <c r="H1084" s="43" t="str">
        <f>IFERROR(__xludf.DUMMYFUNCTION("""COMPUTED_VALUE"""),"BURSA")</f>
        <v>BURSA</v>
      </c>
      <c r="I1084" s="43" t="str">
        <f>IFERROR(__xludf.DUMMYFUNCTION("""COMPUTED_VALUE"""),"Egypt")</f>
        <v>Egypt</v>
      </c>
      <c r="J1084" s="43" t="str">
        <f>IFERROR(__xludf.DUMMYFUNCTION("""COMPUTED_VALUE"""),"6th October University")</f>
        <v>6th October University</v>
      </c>
      <c r="K1084" s="44" t="str">
        <f>IFERROR(__xludf.DUMMYFUNCTION("""COMPUTED_VALUE"""),"https://expa.aiesec.org/opportunities/1300091")</f>
        <v>https://expa.aiesec.org/opportunities/1300091</v>
      </c>
      <c r="L1084" s="43" t="str">
        <f>IFERROR(__xludf.DUMMYFUNCTION("""COMPUTED_VALUE"""),"GV")</f>
        <v>GV</v>
      </c>
      <c r="M1084" s="43" t="str">
        <f>IFERROR(__xludf.DUMMYFUNCTION("""COMPUTED_VALUE"""),"short")</f>
        <v>short</v>
      </c>
      <c r="N1084" s="45">
        <f>IFERROR(__xludf.DUMMYFUNCTION("""COMPUTED_VALUE"""),45237.0)</f>
        <v>45237</v>
      </c>
      <c r="O1084" s="45">
        <f>IFERROR(__xludf.DUMMYFUNCTION("""COMPUTED_VALUE"""),45488.0)</f>
        <v>45488</v>
      </c>
      <c r="P1084" s="45">
        <f>IFERROR(__xludf.DUMMYFUNCTION("""COMPUTED_VALUE"""),45530.0)</f>
        <v>45530</v>
      </c>
      <c r="Q1084" s="45"/>
      <c r="R1084" s="45"/>
      <c r="S1084" s="43"/>
      <c r="T1084" s="43"/>
      <c r="U1084" s="43" t="str">
        <f>IFERROR(__xludf.DUMMYFUNCTION("""COMPUTED_VALUE"""),"Heartbeat")</f>
        <v>Heartbeat</v>
      </c>
      <c r="V1084" s="43" t="str">
        <f>IFERROR(__xludf.DUMMYFUNCTION("""COMPUTED_VALUE"""),"BURSA")</f>
        <v>BURSA</v>
      </c>
      <c r="W1084" s="43" t="str">
        <f>IFERROR(__xludf.DUMMYFUNCTION("""COMPUTED_VALUE"""),"2023-06-14T14:37:37Z")</f>
        <v>2023-06-14T14:37:37Z</v>
      </c>
      <c r="X1084" s="43"/>
      <c r="Y1084" s="43"/>
      <c r="Z1084" s="43"/>
    </row>
    <row r="1085" hidden="1">
      <c r="A1085" s="43" t="str">
        <f>IFERROR(__xludf.DUMMYFUNCTION("""COMPUTED_VALUE"""),"5368156_1288609")</f>
        <v>5368156_1288609</v>
      </c>
      <c r="B1085" s="43" t="str">
        <f>IFERROR(__xludf.DUMMYFUNCTION("""COMPUTED_VALUE"""),"Ebrar Bozkurt")</f>
        <v>Ebrar Bozkurt</v>
      </c>
      <c r="C1085" s="43" t="str">
        <f>IFERROR(__xludf.DUMMYFUNCTION("""COMPUTED_VALUE"""),"approved")</f>
        <v>approved</v>
      </c>
      <c r="D1085" s="43" t="str">
        <f>IFERROR(__xludf.DUMMYFUNCTION("""COMPUTED_VALUE"""),"No")</f>
        <v>No</v>
      </c>
      <c r="E1085" s="43" t="str">
        <f>IFERROR(__xludf.DUMMYFUNCTION("""COMPUTED_VALUE"""),"p_321bc0f239ff44d18d9fe0ce56a5ab9a0bb73072@inbound.aiesec.org")</f>
        <v>p_321bc0f239ff44d18d9fe0ce56a5ab9a0bb73072@inbound.aiesec.org</v>
      </c>
      <c r="F1085" s="43">
        <f>IFERROR(__xludf.DUMMYFUNCTION("""COMPUTED_VALUE"""),5.527674505E9)</f>
        <v>5527674505</v>
      </c>
      <c r="G1085" s="43" t="str">
        <f>IFERROR(__xludf.DUMMYFUNCTION("""COMPUTED_VALUE"""),"Turkey")</f>
        <v>Turkey</v>
      </c>
      <c r="H1085" s="43" t="str">
        <f>IFERROR(__xludf.DUMMYFUNCTION("""COMPUTED_VALUE"""),"ISTANBUL WEST")</f>
        <v>ISTANBUL WEST</v>
      </c>
      <c r="I1085" s="43" t="str">
        <f>IFERROR(__xludf.DUMMYFUNCTION("""COMPUTED_VALUE"""),"Egypt")</f>
        <v>Egypt</v>
      </c>
      <c r="J1085" s="43" t="str">
        <f>IFERROR(__xludf.DUMMYFUNCTION("""COMPUTED_VALUE"""),"Tanta")</f>
        <v>Tanta</v>
      </c>
      <c r="K1085" s="44" t="str">
        <f>IFERROR(__xludf.DUMMYFUNCTION("""COMPUTED_VALUE"""),"https://expa.aiesec.org/opportunities/1288609")</f>
        <v>https://expa.aiesec.org/opportunities/1288609</v>
      </c>
      <c r="L1085" s="43" t="str">
        <f>IFERROR(__xludf.DUMMYFUNCTION("""COMPUTED_VALUE"""),"GV")</f>
        <v>GV</v>
      </c>
      <c r="M1085" s="43" t="str">
        <f>IFERROR(__xludf.DUMMYFUNCTION("""COMPUTED_VALUE"""),"short")</f>
        <v>short</v>
      </c>
      <c r="N1085" s="45">
        <f>IFERROR(__xludf.DUMMYFUNCTION("""COMPUTED_VALUE"""),45237.0)</f>
        <v>45237</v>
      </c>
      <c r="O1085" s="45">
        <f>IFERROR(__xludf.DUMMYFUNCTION("""COMPUTED_VALUE"""),45292.0)</f>
        <v>45292</v>
      </c>
      <c r="P1085" s="45">
        <f>IFERROR(__xludf.DUMMYFUNCTION("""COMPUTED_VALUE"""),45334.0)</f>
        <v>45334</v>
      </c>
      <c r="Q1085" s="45"/>
      <c r="R1085" s="45"/>
      <c r="S1085" s="43"/>
      <c r="T1085" s="43"/>
      <c r="U1085" s="43" t="str">
        <f>IFERROR(__xludf.DUMMYFUNCTION("""COMPUTED_VALUE"""),"On The Map")</f>
        <v>On The Map</v>
      </c>
      <c r="V1085" s="43" t="str">
        <f>IFERROR(__xludf.DUMMYFUNCTION("""COMPUTED_VALUE"""),"ISTANBUL - BAKIRKOY")</f>
        <v>ISTANBUL - BAKIRKOY</v>
      </c>
      <c r="W1085" s="43" t="str">
        <f>IFERROR(__xludf.DUMMYFUNCTION("""COMPUTED_VALUE"""),"2023-11-07T11:03:09Z")</f>
        <v>2023-11-07T11:03:09Z</v>
      </c>
      <c r="X1085" s="43"/>
      <c r="Y1085" s="43"/>
      <c r="Z1085" s="43"/>
    </row>
    <row r="1086" hidden="1">
      <c r="A1086" s="43" t="str">
        <f>IFERROR(__xludf.DUMMYFUNCTION("""COMPUTED_VALUE"""),"3382600_1288843")</f>
        <v>3382600_1288843</v>
      </c>
      <c r="B1086" s="43" t="str">
        <f>IFERROR(__xludf.DUMMYFUNCTION("""COMPUTED_VALUE"""),"Zehra Öztürk")</f>
        <v>Zehra Öztürk</v>
      </c>
      <c r="C1086" s="43" t="str">
        <f>IFERROR(__xludf.DUMMYFUNCTION("""COMPUTED_VALUE"""),"approved")</f>
        <v>approved</v>
      </c>
      <c r="D1086" s="43" t="str">
        <f>IFERROR(__xludf.DUMMYFUNCTION("""COMPUTED_VALUE"""),"No")</f>
        <v>No</v>
      </c>
      <c r="E1086" s="43" t="str">
        <f>IFERROR(__xludf.DUMMYFUNCTION("""COMPUTED_VALUE"""),"p_8dff88d8f83a379b0bd8b96cbf52a95ec78077c6@inbound.aiesec.org")</f>
        <v>p_8dff88d8f83a379b0bd8b96cbf52a95ec78077c6@inbound.aiesec.org</v>
      </c>
      <c r="F1086" s="43">
        <f>IFERROR(__xludf.DUMMYFUNCTION("""COMPUTED_VALUE"""),5.332174933E9)</f>
        <v>5332174933</v>
      </c>
      <c r="G1086" s="43" t="str">
        <f>IFERROR(__xludf.DUMMYFUNCTION("""COMPUTED_VALUE"""),"Turkey")</f>
        <v>Turkey</v>
      </c>
      <c r="H1086" s="43" t="str">
        <f>IFERROR(__xludf.DUMMYFUNCTION("""COMPUTED_VALUE"""),"ISTANBUL")</f>
        <v>ISTANBUL</v>
      </c>
      <c r="I1086" s="43" t="str">
        <f>IFERROR(__xludf.DUMMYFUNCTION("""COMPUTED_VALUE"""),"Sri Lanka")</f>
        <v>Sri Lanka</v>
      </c>
      <c r="J1086" s="43" t="str">
        <f>IFERROR(__xludf.DUMMYFUNCTION("""COMPUTED_VALUE"""),"COLOMBO NORTH")</f>
        <v>COLOMBO NORTH</v>
      </c>
      <c r="K1086" s="44" t="str">
        <f>IFERROR(__xludf.DUMMYFUNCTION("""COMPUTED_VALUE"""),"https://expa.aiesec.org/opportunities/1288843")</f>
        <v>https://expa.aiesec.org/opportunities/1288843</v>
      </c>
      <c r="L1086" s="43" t="str">
        <f>IFERROR(__xludf.DUMMYFUNCTION("""COMPUTED_VALUE"""),"GV")</f>
        <v>GV</v>
      </c>
      <c r="M1086" s="43" t="str">
        <f>IFERROR(__xludf.DUMMYFUNCTION("""COMPUTED_VALUE"""),"short")</f>
        <v>short</v>
      </c>
      <c r="N1086" s="45">
        <f>IFERROR(__xludf.DUMMYFUNCTION("""COMPUTED_VALUE"""),45239.0)</f>
        <v>45239</v>
      </c>
      <c r="O1086" s="45">
        <f>IFERROR(__xludf.DUMMYFUNCTION("""COMPUTED_VALUE"""),45374.0)</f>
        <v>45374</v>
      </c>
      <c r="P1086" s="45">
        <f>IFERROR(__xludf.DUMMYFUNCTION("""COMPUTED_VALUE"""),45416.0)</f>
        <v>45416</v>
      </c>
      <c r="Q1086" s="45"/>
      <c r="R1086" s="45"/>
      <c r="S1086" s="43"/>
      <c r="T1086" s="43"/>
      <c r="U1086" s="43" t="str">
        <f>IFERROR(__xludf.DUMMYFUNCTION("""COMPUTED_VALUE"""),"Green Leaders")</f>
        <v>Green Leaders</v>
      </c>
      <c r="V1086" s="43" t="str">
        <f>IFERROR(__xludf.DUMMYFUNCTION("""COMPUTED_VALUE"""),"ISTANBUL - BEYOGLU")</f>
        <v>ISTANBUL - BEYOGLU</v>
      </c>
      <c r="W1086" s="43" t="str">
        <f>IFERROR(__xludf.DUMMYFUNCTION("""COMPUTED_VALUE"""),"2019-04-30T07:03:24Z")</f>
        <v>2019-04-30T07:03:24Z</v>
      </c>
      <c r="X1086" s="43"/>
      <c r="Y1086" s="43"/>
      <c r="Z1086" s="43"/>
    </row>
    <row r="1087" hidden="1">
      <c r="A1087" s="43" t="str">
        <f>IFERROR(__xludf.DUMMYFUNCTION("""COMPUTED_VALUE"""),"5366428_1291395")</f>
        <v>5366428_1291395</v>
      </c>
      <c r="B1087" s="43" t="str">
        <f>IFERROR(__xludf.DUMMYFUNCTION("""COMPUTED_VALUE"""),"rabia zeren")</f>
        <v>rabia zeren</v>
      </c>
      <c r="C1087" s="43" t="str">
        <f>IFERROR(__xludf.DUMMYFUNCTION("""COMPUTED_VALUE"""),"approved")</f>
        <v>approved</v>
      </c>
      <c r="D1087" s="43" t="str">
        <f>IFERROR(__xludf.DUMMYFUNCTION("""COMPUTED_VALUE"""),"No")</f>
        <v>No</v>
      </c>
      <c r="E1087" s="43" t="str">
        <f>IFERROR(__xludf.DUMMYFUNCTION("""COMPUTED_VALUE"""),"p_7415ede650046fbd0b234dc8af89eab162ab1a9d@inbound.aiesec.org")</f>
        <v>p_7415ede650046fbd0b234dc8af89eab162ab1a9d@inbound.aiesec.org</v>
      </c>
      <c r="F1087" s="43">
        <f>IFERROR(__xludf.DUMMYFUNCTION("""COMPUTED_VALUE"""),5.366464537E9)</f>
        <v>5366464537</v>
      </c>
      <c r="G1087" s="43" t="str">
        <f>IFERROR(__xludf.DUMMYFUNCTION("""COMPUTED_VALUE"""),"Turkey")</f>
        <v>Turkey</v>
      </c>
      <c r="H1087" s="43" t="str">
        <f>IFERROR(__xludf.DUMMYFUNCTION("""COMPUTED_VALUE"""),"ISPARTA")</f>
        <v>ISPARTA</v>
      </c>
      <c r="I1087" s="43" t="str">
        <f>IFERROR(__xludf.DUMMYFUNCTION("""COMPUTED_VALUE"""),"Egypt")</f>
        <v>Egypt</v>
      </c>
      <c r="J1087" s="43" t="str">
        <f>IFERROR(__xludf.DUMMYFUNCTION("""COMPUTED_VALUE"""),"Menofia")</f>
        <v>Menofia</v>
      </c>
      <c r="K1087" s="44" t="str">
        <f>IFERROR(__xludf.DUMMYFUNCTION("""COMPUTED_VALUE"""),"https://expa.aiesec.org/opportunities/1291395")</f>
        <v>https://expa.aiesec.org/opportunities/1291395</v>
      </c>
      <c r="L1087" s="43" t="str">
        <f>IFERROR(__xludf.DUMMYFUNCTION("""COMPUTED_VALUE"""),"GV")</f>
        <v>GV</v>
      </c>
      <c r="M1087" s="43" t="str">
        <f>IFERROR(__xludf.DUMMYFUNCTION("""COMPUTED_VALUE"""),"short")</f>
        <v>short</v>
      </c>
      <c r="N1087" s="45">
        <f>IFERROR(__xludf.DUMMYFUNCTION("""COMPUTED_VALUE"""),45239.0)</f>
        <v>45239</v>
      </c>
      <c r="O1087" s="45">
        <f>IFERROR(__xludf.DUMMYFUNCTION("""COMPUTED_VALUE"""),45474.0)</f>
        <v>45474</v>
      </c>
      <c r="P1087" s="45">
        <f>IFERROR(__xludf.DUMMYFUNCTION("""COMPUTED_VALUE"""),45516.0)</f>
        <v>45516</v>
      </c>
      <c r="Q1087" s="45"/>
      <c r="R1087" s="45"/>
      <c r="S1087" s="43"/>
      <c r="T1087" s="43"/>
      <c r="U1087" s="43" t="str">
        <f>IFERROR(__xludf.DUMMYFUNCTION("""COMPUTED_VALUE"""),"Global Classroom")</f>
        <v>Global Classroom</v>
      </c>
      <c r="V1087" s="43" t="str">
        <f>IFERROR(__xludf.DUMMYFUNCTION("""COMPUTED_VALUE"""),"ISPARTA")</f>
        <v>ISPARTA</v>
      </c>
      <c r="W1087" s="43" t="str">
        <f>IFERROR(__xludf.DUMMYFUNCTION("""COMPUTED_VALUE"""),"2023-11-03T16:15:11Z")</f>
        <v>2023-11-03T16:15:11Z</v>
      </c>
      <c r="X1087" s="43"/>
      <c r="Y1087" s="43"/>
      <c r="Z1087" s="43"/>
    </row>
    <row r="1088" hidden="1">
      <c r="A1088" s="43" t="str">
        <f>IFERROR(__xludf.DUMMYFUNCTION("""COMPUTED_VALUE"""),"5367199_1288843")</f>
        <v>5367199_1288843</v>
      </c>
      <c r="B1088" s="43" t="str">
        <f>IFERROR(__xludf.DUMMYFUNCTION("""COMPUTED_VALUE"""),"Esra Kılıç")</f>
        <v>Esra Kılıç</v>
      </c>
      <c r="C1088" s="43" t="str">
        <f>IFERROR(__xludf.DUMMYFUNCTION("""COMPUTED_VALUE"""),"approved")</f>
        <v>approved</v>
      </c>
      <c r="D1088" s="43" t="str">
        <f>IFERROR(__xludf.DUMMYFUNCTION("""COMPUTED_VALUE"""),"No")</f>
        <v>No</v>
      </c>
      <c r="E1088" s="43" t="str">
        <f>IFERROR(__xludf.DUMMYFUNCTION("""COMPUTED_VALUE"""),"p_e0fb725d96dbb15850607e0db54aeaef6fde51c0@inbound.aiesec.org")</f>
        <v>p_e0fb725d96dbb15850607e0db54aeaef6fde51c0@inbound.aiesec.org</v>
      </c>
      <c r="F1088" s="43">
        <f>IFERROR(__xludf.DUMMYFUNCTION("""COMPUTED_VALUE"""),5.551078072E9)</f>
        <v>5551078072</v>
      </c>
      <c r="G1088" s="43" t="str">
        <f>IFERROR(__xludf.DUMMYFUNCTION("""COMPUTED_VALUE"""),"Turkey")</f>
        <v>Turkey</v>
      </c>
      <c r="H1088" s="43" t="str">
        <f>IFERROR(__xludf.DUMMYFUNCTION("""COMPUTED_VALUE"""),"ANKARA")</f>
        <v>ANKARA</v>
      </c>
      <c r="I1088" s="43" t="str">
        <f>IFERROR(__xludf.DUMMYFUNCTION("""COMPUTED_VALUE"""),"Sri Lanka")</f>
        <v>Sri Lanka</v>
      </c>
      <c r="J1088" s="43" t="str">
        <f>IFERROR(__xludf.DUMMYFUNCTION("""COMPUTED_VALUE"""),"COLOMBO NORTH")</f>
        <v>COLOMBO NORTH</v>
      </c>
      <c r="K1088" s="44" t="str">
        <f>IFERROR(__xludf.DUMMYFUNCTION("""COMPUTED_VALUE"""),"https://expa.aiesec.org/opportunities/1288843")</f>
        <v>https://expa.aiesec.org/opportunities/1288843</v>
      </c>
      <c r="L1088" s="43" t="str">
        <f>IFERROR(__xludf.DUMMYFUNCTION("""COMPUTED_VALUE"""),"GV")</f>
        <v>GV</v>
      </c>
      <c r="M1088" s="43" t="str">
        <f>IFERROR(__xludf.DUMMYFUNCTION("""COMPUTED_VALUE"""),"short")</f>
        <v>short</v>
      </c>
      <c r="N1088" s="45">
        <f>IFERROR(__xludf.DUMMYFUNCTION("""COMPUTED_VALUE"""),45239.0)</f>
        <v>45239</v>
      </c>
      <c r="O1088" s="45">
        <f>IFERROR(__xludf.DUMMYFUNCTION("""COMPUTED_VALUE"""),45474.0)</f>
        <v>45474</v>
      </c>
      <c r="P1088" s="45">
        <f>IFERROR(__xludf.DUMMYFUNCTION("""COMPUTED_VALUE"""),45516.0)</f>
        <v>45516</v>
      </c>
      <c r="Q1088" s="45"/>
      <c r="R1088" s="45"/>
      <c r="S1088" s="43"/>
      <c r="T1088" s="43"/>
      <c r="U1088" s="43" t="str">
        <f>IFERROR(__xludf.DUMMYFUNCTION("""COMPUTED_VALUE"""),"Green Leaders")</f>
        <v>Green Leaders</v>
      </c>
      <c r="V1088" s="43" t="str">
        <f>IFERROR(__xludf.DUMMYFUNCTION("""COMPUTED_VALUE"""),"ANKARA")</f>
        <v>ANKARA</v>
      </c>
      <c r="W1088" s="43" t="str">
        <f>IFERROR(__xludf.DUMMYFUNCTION("""COMPUTED_VALUE"""),"2023-11-05T14:24:11Z")</f>
        <v>2023-11-05T14:24:11Z</v>
      </c>
      <c r="X1088" s="43"/>
      <c r="Y1088" s="43"/>
      <c r="Z1088" s="43"/>
    </row>
    <row r="1089" hidden="1">
      <c r="A1089" s="43" t="str">
        <f>IFERROR(__xludf.DUMMYFUNCTION("""COMPUTED_VALUE"""),"5369197_1298818")</f>
        <v>5369197_1298818</v>
      </c>
      <c r="B1089" s="43" t="str">
        <f>IFERROR(__xludf.DUMMYFUNCTION("""COMPUTED_VALUE"""),"Yusif Mursalov")</f>
        <v>Yusif Mursalov</v>
      </c>
      <c r="C1089" s="43" t="str">
        <f>IFERROR(__xludf.DUMMYFUNCTION("""COMPUTED_VALUE"""),"approved")</f>
        <v>approved</v>
      </c>
      <c r="D1089" s="43" t="str">
        <f>IFERROR(__xludf.DUMMYFUNCTION("""COMPUTED_VALUE"""),"No")</f>
        <v>No</v>
      </c>
      <c r="E1089" s="43" t="str">
        <f>IFERROR(__xludf.DUMMYFUNCTION("""COMPUTED_VALUE"""),"p_a13dbf1213528ac38d5aac2692e9781126ed2302@inbound.aiesec.org")</f>
        <v>p_a13dbf1213528ac38d5aac2692e9781126ed2302@inbound.aiesec.org</v>
      </c>
      <c r="F1089" s="43">
        <f>IFERROR(__xludf.DUMMYFUNCTION("""COMPUTED_VALUE"""),5.068488101E9)</f>
        <v>5068488101</v>
      </c>
      <c r="G1089" s="43" t="str">
        <f>IFERROR(__xludf.DUMMYFUNCTION("""COMPUTED_VALUE"""),"Turkey")</f>
        <v>Turkey</v>
      </c>
      <c r="H1089" s="43" t="str">
        <f>IFERROR(__xludf.DUMMYFUNCTION("""COMPUTED_VALUE"""),"SAKARYA")</f>
        <v>SAKARYA</v>
      </c>
      <c r="I1089" s="43" t="str">
        <f>IFERROR(__xludf.DUMMYFUNCTION("""COMPUTED_VALUE"""),"Egypt")</f>
        <v>Egypt</v>
      </c>
      <c r="J1089" s="43" t="str">
        <f>IFERROR(__xludf.DUMMYFUNCTION("""COMPUTED_VALUE"""),"Ain Shams University")</f>
        <v>Ain Shams University</v>
      </c>
      <c r="K1089" s="44" t="str">
        <f>IFERROR(__xludf.DUMMYFUNCTION("""COMPUTED_VALUE"""),"https://expa.aiesec.org/opportunities/1298818")</f>
        <v>https://expa.aiesec.org/opportunities/1298818</v>
      </c>
      <c r="L1089" s="43" t="str">
        <f>IFERROR(__xludf.DUMMYFUNCTION("""COMPUTED_VALUE"""),"GV")</f>
        <v>GV</v>
      </c>
      <c r="M1089" s="43" t="str">
        <f>IFERROR(__xludf.DUMMYFUNCTION("""COMPUTED_VALUE"""),"short")</f>
        <v>short</v>
      </c>
      <c r="N1089" s="45">
        <f>IFERROR(__xludf.DUMMYFUNCTION("""COMPUTED_VALUE"""),45240.0)</f>
        <v>45240</v>
      </c>
      <c r="O1089" s="45">
        <f>IFERROR(__xludf.DUMMYFUNCTION("""COMPUTED_VALUE"""),45311.0)</f>
        <v>45311</v>
      </c>
      <c r="P1089" s="45">
        <f>IFERROR(__xludf.DUMMYFUNCTION("""COMPUTED_VALUE"""),45353.0)</f>
        <v>45353</v>
      </c>
      <c r="Q1089" s="45"/>
      <c r="R1089" s="45"/>
      <c r="S1089" s="43"/>
      <c r="T1089" s="43"/>
      <c r="U1089" s="43" t="str">
        <f>IFERROR(__xludf.DUMMYFUNCTION("""COMPUTED_VALUE"""),"Rooted")</f>
        <v>Rooted</v>
      </c>
      <c r="V1089" s="43" t="str">
        <f>IFERROR(__xludf.DUMMYFUNCTION("""COMPUTED_VALUE"""),"SAKARYA")</f>
        <v>SAKARYA</v>
      </c>
      <c r="W1089" s="43" t="str">
        <f>IFERROR(__xludf.DUMMYFUNCTION("""COMPUTED_VALUE"""),"2023-11-08T17:54:24Z")</f>
        <v>2023-11-08T17:54:24Z</v>
      </c>
      <c r="X1089" s="43"/>
      <c r="Y1089" s="43"/>
      <c r="Z1089" s="43"/>
    </row>
    <row r="1090" hidden="1">
      <c r="A1090" s="43" t="str">
        <f>IFERROR(__xludf.DUMMYFUNCTION("""COMPUTED_VALUE"""),"5363038_1295095")</f>
        <v>5363038_1295095</v>
      </c>
      <c r="B1090" s="43" t="str">
        <f>IFERROR(__xludf.DUMMYFUNCTION("""COMPUTED_VALUE"""),"Buse Aksoy")</f>
        <v>Buse Aksoy</v>
      </c>
      <c r="C1090" s="43" t="str">
        <f>IFERROR(__xludf.DUMMYFUNCTION("""COMPUTED_VALUE"""),"realized")</f>
        <v>realized</v>
      </c>
      <c r="D1090" s="43" t="str">
        <f>IFERROR(__xludf.DUMMYFUNCTION("""COMPUTED_VALUE"""),"No")</f>
        <v>No</v>
      </c>
      <c r="E1090" s="43" t="str">
        <f>IFERROR(__xludf.DUMMYFUNCTION("""COMPUTED_VALUE"""),"p_056b67914e786193c6661d75abd761c2eb660359@inbound.aiesec.org")</f>
        <v>p_056b67914e786193c6661d75abd761c2eb660359@inbound.aiesec.org</v>
      </c>
      <c r="F1090" s="43">
        <f>IFERROR(__xludf.DUMMYFUNCTION("""COMPUTED_VALUE"""),5.425441711E9)</f>
        <v>5425441711</v>
      </c>
      <c r="G1090" s="43" t="str">
        <f>IFERROR(__xludf.DUMMYFUNCTION("""COMPUTED_VALUE"""),"Turkey")</f>
        <v>Turkey</v>
      </c>
      <c r="H1090" s="43" t="str">
        <f>IFERROR(__xludf.DUMMYFUNCTION("""COMPUTED_VALUE"""),"ISTANBUL WEST")</f>
        <v>ISTANBUL WEST</v>
      </c>
      <c r="I1090" s="43" t="str">
        <f>IFERROR(__xludf.DUMMYFUNCTION("""COMPUTED_VALUE"""),"Romania")</f>
        <v>Romania</v>
      </c>
      <c r="J1090" s="43" t="str">
        <f>IFERROR(__xludf.DUMMYFUNCTION("""COMPUTED_VALUE"""),"BRASOV")</f>
        <v>BRASOV</v>
      </c>
      <c r="K1090" s="44" t="str">
        <f>IFERROR(__xludf.DUMMYFUNCTION("""COMPUTED_VALUE"""),"https://expa.aiesec.org/opportunities/1295095")</f>
        <v>https://expa.aiesec.org/opportunities/1295095</v>
      </c>
      <c r="L1090" s="43" t="str">
        <f>IFERROR(__xludf.DUMMYFUNCTION("""COMPUTED_VALUE"""),"GV")</f>
        <v>GV</v>
      </c>
      <c r="M1090" s="43" t="str">
        <f>IFERROR(__xludf.DUMMYFUNCTION("""COMPUTED_VALUE"""),"short")</f>
        <v>short</v>
      </c>
      <c r="N1090" s="45">
        <f>IFERROR(__xludf.DUMMYFUNCTION("""COMPUTED_VALUE"""),45240.0)</f>
        <v>45240</v>
      </c>
      <c r="O1090" s="45">
        <f>IFERROR(__xludf.DUMMYFUNCTION("""COMPUTED_VALUE"""),45299.0)</f>
        <v>45299</v>
      </c>
      <c r="P1090" s="45">
        <f>IFERROR(__xludf.DUMMYFUNCTION("""COMPUTED_VALUE"""),45341.0)</f>
        <v>45341</v>
      </c>
      <c r="Q1090" s="45">
        <f>IFERROR(__xludf.DUMMYFUNCTION("""COMPUTED_VALUE"""),45301.0)</f>
        <v>45301</v>
      </c>
      <c r="R1090" s="45">
        <f>IFERROR(__xludf.DUMMYFUNCTION("""COMPUTED_VALUE"""),45341.0)</f>
        <v>45341</v>
      </c>
      <c r="S1090" s="43"/>
      <c r="T1090" s="43"/>
      <c r="U1090" s="43" t="str">
        <f>IFERROR(__xludf.DUMMYFUNCTION("""COMPUTED_VALUE"""),"Fingerprint")</f>
        <v>Fingerprint</v>
      </c>
      <c r="V1090" s="43" t="str">
        <f>IFERROR(__xludf.DUMMYFUNCTION("""COMPUTED_VALUE"""),"ISTANBUL - BAKIRKOY")</f>
        <v>ISTANBUL - BAKIRKOY</v>
      </c>
      <c r="W1090" s="43" t="str">
        <f>IFERROR(__xludf.DUMMYFUNCTION("""COMPUTED_VALUE"""),"2023-10-29T18:12:28Z")</f>
        <v>2023-10-29T18:12:28Z</v>
      </c>
      <c r="X1090" s="43"/>
      <c r="Y1090" s="43"/>
      <c r="Z1090" s="43"/>
    </row>
    <row r="1091" hidden="1">
      <c r="A1091" s="43" t="str">
        <f>IFERROR(__xludf.DUMMYFUNCTION("""COMPUTED_VALUE"""),"5366884_1288609")</f>
        <v>5366884_1288609</v>
      </c>
      <c r="B1091" s="43" t="str">
        <f>IFERROR(__xludf.DUMMYFUNCTION("""COMPUTED_VALUE"""),"İlayda Kurt")</f>
        <v>İlayda Kurt</v>
      </c>
      <c r="C1091" s="43" t="str">
        <f>IFERROR(__xludf.DUMMYFUNCTION("""COMPUTED_VALUE"""),"approved")</f>
        <v>approved</v>
      </c>
      <c r="D1091" s="43" t="str">
        <f>IFERROR(__xludf.DUMMYFUNCTION("""COMPUTED_VALUE"""),"No")</f>
        <v>No</v>
      </c>
      <c r="E1091" s="43" t="str">
        <f>IFERROR(__xludf.DUMMYFUNCTION("""COMPUTED_VALUE"""),"p_d23ae702190dd172e8d9c69cfff44ec9e74c80e7@inbound.aiesec.org")</f>
        <v>p_d23ae702190dd172e8d9c69cfff44ec9e74c80e7@inbound.aiesec.org</v>
      </c>
      <c r="F1091" s="43">
        <f>IFERROR(__xludf.DUMMYFUNCTION("""COMPUTED_VALUE"""),5.528798965E9)</f>
        <v>5528798965</v>
      </c>
      <c r="G1091" s="43" t="str">
        <f>IFERROR(__xludf.DUMMYFUNCTION("""COMPUTED_VALUE"""),"Turkey")</f>
        <v>Turkey</v>
      </c>
      <c r="H1091" s="43" t="str">
        <f>IFERROR(__xludf.DUMMYFUNCTION("""COMPUTED_VALUE"""),"ISTANBUL WEST")</f>
        <v>ISTANBUL WEST</v>
      </c>
      <c r="I1091" s="43" t="str">
        <f>IFERROR(__xludf.DUMMYFUNCTION("""COMPUTED_VALUE"""),"Egypt")</f>
        <v>Egypt</v>
      </c>
      <c r="J1091" s="43" t="str">
        <f>IFERROR(__xludf.DUMMYFUNCTION("""COMPUTED_VALUE"""),"Tanta")</f>
        <v>Tanta</v>
      </c>
      <c r="K1091" s="44" t="str">
        <f>IFERROR(__xludf.DUMMYFUNCTION("""COMPUTED_VALUE"""),"https://expa.aiesec.org/opportunities/1288609")</f>
        <v>https://expa.aiesec.org/opportunities/1288609</v>
      </c>
      <c r="L1091" s="43" t="str">
        <f>IFERROR(__xludf.DUMMYFUNCTION("""COMPUTED_VALUE"""),"GV")</f>
        <v>GV</v>
      </c>
      <c r="M1091" s="43" t="str">
        <f>IFERROR(__xludf.DUMMYFUNCTION("""COMPUTED_VALUE"""),"short")</f>
        <v>short</v>
      </c>
      <c r="N1091" s="45">
        <f>IFERROR(__xludf.DUMMYFUNCTION("""COMPUTED_VALUE"""),45240.0)</f>
        <v>45240</v>
      </c>
      <c r="O1091" s="45">
        <f>IFERROR(__xludf.DUMMYFUNCTION("""COMPUTED_VALUE"""),45474.0)</f>
        <v>45474</v>
      </c>
      <c r="P1091" s="45">
        <f>IFERROR(__xludf.DUMMYFUNCTION("""COMPUTED_VALUE"""),45516.0)</f>
        <v>45516</v>
      </c>
      <c r="Q1091" s="45"/>
      <c r="R1091" s="45"/>
      <c r="S1091" s="43"/>
      <c r="T1091" s="43"/>
      <c r="U1091" s="43" t="str">
        <f>IFERROR(__xludf.DUMMYFUNCTION("""COMPUTED_VALUE"""),"On The Map")</f>
        <v>On The Map</v>
      </c>
      <c r="V1091" s="43" t="str">
        <f>IFERROR(__xludf.DUMMYFUNCTION("""COMPUTED_VALUE"""),"ISTANBUL - BAKIRKOY")</f>
        <v>ISTANBUL - BAKIRKOY</v>
      </c>
      <c r="W1091" s="43" t="str">
        <f>IFERROR(__xludf.DUMMYFUNCTION("""COMPUTED_VALUE"""),"2023-11-04T16:42:13Z")</f>
        <v>2023-11-04T16:42:13Z</v>
      </c>
      <c r="X1091" s="43"/>
      <c r="Y1091" s="43"/>
      <c r="Z1091" s="43"/>
    </row>
    <row r="1092" hidden="1">
      <c r="A1092" s="43" t="str">
        <f>IFERROR(__xludf.DUMMYFUNCTION("""COMPUTED_VALUE"""),"5370374_1284485")</f>
        <v>5370374_1284485</v>
      </c>
      <c r="B1092" s="43" t="str">
        <f>IFERROR(__xludf.DUMMYFUNCTION("""COMPUTED_VALUE"""),"medine yüksel")</f>
        <v>medine yüksel</v>
      </c>
      <c r="C1092" s="43" t="str">
        <f>IFERROR(__xludf.DUMMYFUNCTION("""COMPUTED_VALUE"""),"approved")</f>
        <v>approved</v>
      </c>
      <c r="D1092" s="43" t="str">
        <f>IFERROR(__xludf.DUMMYFUNCTION("""COMPUTED_VALUE"""),"No")</f>
        <v>No</v>
      </c>
      <c r="E1092" s="43" t="str">
        <f>IFERROR(__xludf.DUMMYFUNCTION("""COMPUTED_VALUE"""),"p_6a9e1a4efb2eac47601b0f7281f7ffc6dd64e725@inbound.aiesec.org")</f>
        <v>p_6a9e1a4efb2eac47601b0f7281f7ffc6dd64e725@inbound.aiesec.org</v>
      </c>
      <c r="F1092" s="43">
        <f>IFERROR(__xludf.DUMMYFUNCTION("""COMPUTED_VALUE"""),5.324568801E9)</f>
        <v>5324568801</v>
      </c>
      <c r="G1092" s="43" t="str">
        <f>IFERROR(__xludf.DUMMYFUNCTION("""COMPUTED_VALUE"""),"Turkey")</f>
        <v>Turkey</v>
      </c>
      <c r="H1092" s="43" t="str">
        <f>IFERROR(__xludf.DUMMYFUNCTION("""COMPUTED_VALUE"""),"ADANA")</f>
        <v>ADANA</v>
      </c>
      <c r="I1092" s="43" t="str">
        <f>IFERROR(__xludf.DUMMYFUNCTION("""COMPUTED_VALUE"""),"India")</f>
        <v>India</v>
      </c>
      <c r="J1092" s="43" t="str">
        <f>IFERROR(__xludf.DUMMYFUNCTION("""COMPUTED_VALUE"""),"Dehradun")</f>
        <v>Dehradun</v>
      </c>
      <c r="K1092" s="44" t="str">
        <f>IFERROR(__xludf.DUMMYFUNCTION("""COMPUTED_VALUE"""),"https://expa.aiesec.org/opportunities/1284485")</f>
        <v>https://expa.aiesec.org/opportunities/1284485</v>
      </c>
      <c r="L1092" s="43" t="str">
        <f>IFERROR(__xludf.DUMMYFUNCTION("""COMPUTED_VALUE"""),"GV")</f>
        <v>GV</v>
      </c>
      <c r="M1092" s="43" t="str">
        <f>IFERROR(__xludf.DUMMYFUNCTION("""COMPUTED_VALUE"""),"short")</f>
        <v>short</v>
      </c>
      <c r="N1092" s="45">
        <f>IFERROR(__xludf.DUMMYFUNCTION("""COMPUTED_VALUE"""),45240.0)</f>
        <v>45240</v>
      </c>
      <c r="O1092" s="45">
        <f>IFERROR(__xludf.DUMMYFUNCTION("""COMPUTED_VALUE"""),45519.0)</f>
        <v>45519</v>
      </c>
      <c r="P1092" s="45">
        <f>IFERROR(__xludf.DUMMYFUNCTION("""COMPUTED_VALUE"""),45561.0)</f>
        <v>45561</v>
      </c>
      <c r="Q1092" s="45"/>
      <c r="R1092" s="45"/>
      <c r="S1092" s="43"/>
      <c r="T1092" s="43"/>
      <c r="U1092" s="43" t="str">
        <f>IFERROR(__xludf.DUMMYFUNCTION("""COMPUTED_VALUE"""),"Global Classroom")</f>
        <v>Global Classroom</v>
      </c>
      <c r="V1092" s="43" t="str">
        <f>IFERROR(__xludf.DUMMYFUNCTION("""COMPUTED_VALUE"""),"ADANA")</f>
        <v>ADANA</v>
      </c>
      <c r="W1092" s="43" t="str">
        <f>IFERROR(__xludf.DUMMYFUNCTION("""COMPUTED_VALUE"""),"2023-11-10T14:57:49Z")</f>
        <v>2023-11-10T14:57:49Z</v>
      </c>
      <c r="X1092" s="43"/>
      <c r="Y1092" s="43"/>
      <c r="Z1092" s="43"/>
    </row>
    <row r="1093" hidden="1">
      <c r="A1093" s="43" t="str">
        <f>IFERROR(__xludf.DUMMYFUNCTION("""COMPUTED_VALUE"""),"5345116_1289757")</f>
        <v>5345116_1289757</v>
      </c>
      <c r="B1093" s="43" t="str">
        <f>IFERROR(__xludf.DUMMYFUNCTION("""COMPUTED_VALUE"""),"Nida Aydın")</f>
        <v>Nida Aydın</v>
      </c>
      <c r="C1093" s="43" t="str">
        <f>IFERROR(__xludf.DUMMYFUNCTION("""COMPUTED_VALUE"""),"approved")</f>
        <v>approved</v>
      </c>
      <c r="D1093" s="43" t="str">
        <f>IFERROR(__xludf.DUMMYFUNCTION("""COMPUTED_VALUE"""),"No")</f>
        <v>No</v>
      </c>
      <c r="E1093" s="43" t="str">
        <f>IFERROR(__xludf.DUMMYFUNCTION("""COMPUTED_VALUE"""),"p_d688f0306a8b1f5a0f3875eca50cc9fa924cae02@inbound.aiesec.org")</f>
        <v>p_d688f0306a8b1f5a0f3875eca50cc9fa924cae02@inbound.aiesec.org</v>
      </c>
      <c r="F1093" s="43"/>
      <c r="G1093" s="43" t="str">
        <f>IFERROR(__xludf.DUMMYFUNCTION("""COMPUTED_VALUE"""),"Turkey")</f>
        <v>Turkey</v>
      </c>
      <c r="H1093" s="43" t="str">
        <f>IFERROR(__xludf.DUMMYFUNCTION("""COMPUTED_VALUE"""),"İZMİR")</f>
        <v>İZMİR</v>
      </c>
      <c r="I1093" s="43" t="str">
        <f>IFERROR(__xludf.DUMMYFUNCTION("""COMPUTED_VALUE"""),"Egypt")</f>
        <v>Egypt</v>
      </c>
      <c r="J1093" s="43" t="str">
        <f>IFERROR(__xludf.DUMMYFUNCTION("""COMPUTED_VALUE"""),"GUC")</f>
        <v>GUC</v>
      </c>
      <c r="K1093" s="44" t="str">
        <f>IFERROR(__xludf.DUMMYFUNCTION("""COMPUTED_VALUE"""),"https://expa.aiesec.org/opportunities/1289757")</f>
        <v>https://expa.aiesec.org/opportunities/1289757</v>
      </c>
      <c r="L1093" s="43" t="str">
        <f>IFERROR(__xludf.DUMMYFUNCTION("""COMPUTED_VALUE"""),"GV")</f>
        <v>GV</v>
      </c>
      <c r="M1093" s="43" t="str">
        <f>IFERROR(__xludf.DUMMYFUNCTION("""COMPUTED_VALUE"""),"short")</f>
        <v>short</v>
      </c>
      <c r="N1093" s="45">
        <f>IFERROR(__xludf.DUMMYFUNCTION("""COMPUTED_VALUE"""),45240.0)</f>
        <v>45240</v>
      </c>
      <c r="O1093" s="45">
        <f>IFERROR(__xludf.DUMMYFUNCTION("""COMPUTED_VALUE"""),45474.0)</f>
        <v>45474</v>
      </c>
      <c r="P1093" s="45">
        <f>IFERROR(__xludf.DUMMYFUNCTION("""COMPUTED_VALUE"""),45516.0)</f>
        <v>45516</v>
      </c>
      <c r="Q1093" s="45"/>
      <c r="R1093" s="45"/>
      <c r="S1093" s="43"/>
      <c r="T1093" s="43"/>
      <c r="U1093" s="43" t="str">
        <f>IFERROR(__xludf.DUMMYFUNCTION("""COMPUTED_VALUE"""),"Raise Your Voice")</f>
        <v>Raise Your Voice</v>
      </c>
      <c r="V1093" s="43" t="str">
        <f>IFERROR(__xludf.DUMMYFUNCTION("""COMPUTED_VALUE"""),"-")</f>
        <v>-</v>
      </c>
      <c r="W1093" s="43" t="str">
        <f>IFERROR(__xludf.DUMMYFUNCTION("""COMPUTED_VALUE"""),"2023-10-07T15:46:03Z")</f>
        <v>2023-10-07T15:46:03Z</v>
      </c>
      <c r="X1093" s="43"/>
      <c r="Y1093" s="43"/>
      <c r="Z1093" s="43"/>
    </row>
    <row r="1094" hidden="1">
      <c r="A1094" s="43" t="str">
        <f>IFERROR(__xludf.DUMMYFUNCTION("""COMPUTED_VALUE"""),"5371150_1294166")</f>
        <v>5371150_1294166</v>
      </c>
      <c r="B1094" s="43" t="str">
        <f>IFERROR(__xludf.DUMMYFUNCTION("""COMPUTED_VALUE"""),"Merve Durgu")</f>
        <v>Merve Durgu</v>
      </c>
      <c r="C1094" s="43" t="str">
        <f>IFERROR(__xludf.DUMMYFUNCTION("""COMPUTED_VALUE"""),"approved")</f>
        <v>approved</v>
      </c>
      <c r="D1094" s="43" t="str">
        <f>IFERROR(__xludf.DUMMYFUNCTION("""COMPUTED_VALUE"""),"No")</f>
        <v>No</v>
      </c>
      <c r="E1094" s="43" t="str">
        <f>IFERROR(__xludf.DUMMYFUNCTION("""COMPUTED_VALUE"""),"p_23bd423be8b5c148ab5fac9dc286005e34a4245c@inbound.aiesec.org")</f>
        <v>p_23bd423be8b5c148ab5fac9dc286005e34a4245c@inbound.aiesec.org</v>
      </c>
      <c r="F1094" s="43">
        <f>IFERROR(__xludf.DUMMYFUNCTION("""COMPUTED_VALUE"""),5.06386543E9)</f>
        <v>5063865430</v>
      </c>
      <c r="G1094" s="43" t="str">
        <f>IFERROR(__xludf.DUMMYFUNCTION("""COMPUTED_VALUE"""),"Turkey")</f>
        <v>Turkey</v>
      </c>
      <c r="H1094" s="43" t="str">
        <f>IFERROR(__xludf.DUMMYFUNCTION("""COMPUTED_VALUE"""),"İZMİR")</f>
        <v>İZMİR</v>
      </c>
      <c r="I1094" s="43" t="str">
        <f>IFERROR(__xludf.DUMMYFUNCTION("""COMPUTED_VALUE"""),"Egypt")</f>
        <v>Egypt</v>
      </c>
      <c r="J1094" s="43" t="str">
        <f>IFERROR(__xludf.DUMMYFUNCTION("""COMPUTED_VALUE"""),"GUC")</f>
        <v>GUC</v>
      </c>
      <c r="K1094" s="44" t="str">
        <f>IFERROR(__xludf.DUMMYFUNCTION("""COMPUTED_VALUE"""),"https://expa.aiesec.org/opportunities/1294166")</f>
        <v>https://expa.aiesec.org/opportunities/1294166</v>
      </c>
      <c r="L1094" s="43" t="str">
        <f>IFERROR(__xludf.DUMMYFUNCTION("""COMPUTED_VALUE"""),"GV")</f>
        <v>GV</v>
      </c>
      <c r="M1094" s="43" t="str">
        <f>IFERROR(__xludf.DUMMYFUNCTION("""COMPUTED_VALUE"""),"short")</f>
        <v>short</v>
      </c>
      <c r="N1094" s="45">
        <f>IFERROR(__xludf.DUMMYFUNCTION("""COMPUTED_VALUE"""),45243.0)</f>
        <v>45243</v>
      </c>
      <c r="O1094" s="45">
        <f>IFERROR(__xludf.DUMMYFUNCTION("""COMPUTED_VALUE"""),45474.0)</f>
        <v>45474</v>
      </c>
      <c r="P1094" s="45">
        <f>IFERROR(__xludf.DUMMYFUNCTION("""COMPUTED_VALUE"""),45516.0)</f>
        <v>45516</v>
      </c>
      <c r="Q1094" s="45"/>
      <c r="R1094" s="45"/>
      <c r="S1094" s="43"/>
      <c r="T1094" s="43"/>
      <c r="U1094" s="43" t="str">
        <f>IFERROR(__xludf.DUMMYFUNCTION("""COMPUTED_VALUE"""),"Raise Your Voice")</f>
        <v>Raise Your Voice</v>
      </c>
      <c r="V1094" s="43" t="str">
        <f>IFERROR(__xludf.DUMMYFUNCTION("""COMPUTED_VALUE"""),"IZMIR")</f>
        <v>IZMIR</v>
      </c>
      <c r="W1094" s="43" t="str">
        <f>IFERROR(__xludf.DUMMYFUNCTION("""COMPUTED_VALUE"""),"2023-11-12T17:21:52Z")</f>
        <v>2023-11-12T17:21:52Z</v>
      </c>
      <c r="X1094" s="43"/>
      <c r="Y1094" s="43"/>
      <c r="Z1094" s="43"/>
    </row>
    <row r="1095" hidden="1">
      <c r="A1095" s="43" t="str">
        <f>IFERROR(__xludf.DUMMYFUNCTION("""COMPUTED_VALUE"""),"5082597_1300619")</f>
        <v>5082597_1300619</v>
      </c>
      <c r="B1095" s="43" t="str">
        <f>IFERROR(__xludf.DUMMYFUNCTION("""COMPUTED_VALUE"""),"HASAN DİZMAN")</f>
        <v>HASAN DİZMAN</v>
      </c>
      <c r="C1095" s="43" t="str">
        <f>IFERROR(__xludf.DUMMYFUNCTION("""COMPUTED_VALUE"""),"realized")</f>
        <v>realized</v>
      </c>
      <c r="D1095" s="43" t="str">
        <f>IFERROR(__xludf.DUMMYFUNCTION("""COMPUTED_VALUE"""),"No")</f>
        <v>No</v>
      </c>
      <c r="E1095" s="43" t="str">
        <f>IFERROR(__xludf.DUMMYFUNCTION("""COMPUTED_VALUE"""),"p_6a0f3fb3290535ccb9069f0bc290ffa95157efaa@inbound.aiesec.org")</f>
        <v>p_6a0f3fb3290535ccb9069f0bc290ffa95157efaa@inbound.aiesec.org</v>
      </c>
      <c r="F1095" s="43">
        <f>IFERROR(__xludf.DUMMYFUNCTION("""COMPUTED_VALUE"""),5.388662948E9)</f>
        <v>5388662948</v>
      </c>
      <c r="G1095" s="43" t="str">
        <f>IFERROR(__xludf.DUMMYFUNCTION("""COMPUTED_VALUE"""),"Turkey")</f>
        <v>Turkey</v>
      </c>
      <c r="H1095" s="43" t="str">
        <f>IFERROR(__xludf.DUMMYFUNCTION("""COMPUTED_VALUE"""),"ISTANBUL WEST")</f>
        <v>ISTANBUL WEST</v>
      </c>
      <c r="I1095" s="43" t="str">
        <f>IFERROR(__xludf.DUMMYFUNCTION("""COMPUTED_VALUE"""),"Italy")</f>
        <v>Italy</v>
      </c>
      <c r="J1095" s="43" t="str">
        <f>IFERROR(__xludf.DUMMYFUNCTION("""COMPUTED_VALUE"""),"Napoli Federico II")</f>
        <v>Napoli Federico II</v>
      </c>
      <c r="K1095" s="44" t="str">
        <f>IFERROR(__xludf.DUMMYFUNCTION("""COMPUTED_VALUE"""),"https://expa.aiesec.org/opportunities/1300619")</f>
        <v>https://expa.aiesec.org/opportunities/1300619</v>
      </c>
      <c r="L1095" s="43" t="str">
        <f>IFERROR(__xludf.DUMMYFUNCTION("""COMPUTED_VALUE"""),"GV")</f>
        <v>GV</v>
      </c>
      <c r="M1095" s="43" t="str">
        <f>IFERROR(__xludf.DUMMYFUNCTION("""COMPUTED_VALUE"""),"short")</f>
        <v>short</v>
      </c>
      <c r="N1095" s="45">
        <f>IFERROR(__xludf.DUMMYFUNCTION("""COMPUTED_VALUE"""),45243.0)</f>
        <v>45243</v>
      </c>
      <c r="O1095" s="45">
        <f>IFERROR(__xludf.DUMMYFUNCTION("""COMPUTED_VALUE"""),45313.0)</f>
        <v>45313</v>
      </c>
      <c r="P1095" s="45">
        <f>IFERROR(__xludf.DUMMYFUNCTION("""COMPUTED_VALUE"""),45355.0)</f>
        <v>45355</v>
      </c>
      <c r="Q1095" s="45">
        <f>IFERROR(__xludf.DUMMYFUNCTION("""COMPUTED_VALUE"""),45313.0)</f>
        <v>45313</v>
      </c>
      <c r="R1095" s="45">
        <f>IFERROR(__xludf.DUMMYFUNCTION("""COMPUTED_VALUE"""),45355.0)</f>
        <v>45355</v>
      </c>
      <c r="S1095" s="43"/>
      <c r="T1095" s="43"/>
      <c r="U1095" s="43" t="str">
        <f>IFERROR(__xludf.DUMMYFUNCTION("""COMPUTED_VALUE"""),"Equify")</f>
        <v>Equify</v>
      </c>
      <c r="V1095" s="43" t="str">
        <f>IFERROR(__xludf.DUMMYFUNCTION("""COMPUTED_VALUE"""),"ISTANBUL - BEYOGLU")</f>
        <v>ISTANBUL - BEYOGLU</v>
      </c>
      <c r="W1095" s="43" t="str">
        <f>IFERROR(__xludf.DUMMYFUNCTION("""COMPUTED_VALUE"""),"2022-07-14T09:37:05Z")</f>
        <v>2022-07-14T09:37:05Z</v>
      </c>
      <c r="X1095" s="43"/>
      <c r="Y1095" s="43"/>
      <c r="Z1095" s="43"/>
    </row>
    <row r="1096" hidden="1">
      <c r="A1096" s="43" t="str">
        <f>IFERROR(__xludf.DUMMYFUNCTION("""COMPUTED_VALUE"""),"5371444_1289757")</f>
        <v>5371444_1289757</v>
      </c>
      <c r="B1096" s="43" t="str">
        <f>IFERROR(__xludf.DUMMYFUNCTION("""COMPUTED_VALUE"""),"ekin sağıroğlu")</f>
        <v>ekin sağıroğlu</v>
      </c>
      <c r="C1096" s="43" t="str">
        <f>IFERROR(__xludf.DUMMYFUNCTION("""COMPUTED_VALUE"""),"approved")</f>
        <v>approved</v>
      </c>
      <c r="D1096" s="43" t="str">
        <f>IFERROR(__xludf.DUMMYFUNCTION("""COMPUTED_VALUE"""),"No")</f>
        <v>No</v>
      </c>
      <c r="E1096" s="43" t="str">
        <f>IFERROR(__xludf.DUMMYFUNCTION("""COMPUTED_VALUE"""),"p_39bf8912e4de9c02aeb8da77ecea8463c1432812@inbound.aiesec.org")</f>
        <v>p_39bf8912e4de9c02aeb8da77ecea8463c1432812@inbound.aiesec.org</v>
      </c>
      <c r="F1096" s="43">
        <f>IFERROR(__xludf.DUMMYFUNCTION("""COMPUTED_VALUE"""),5.312128818E9)</f>
        <v>5312128818</v>
      </c>
      <c r="G1096" s="43" t="str">
        <f>IFERROR(__xludf.DUMMYFUNCTION("""COMPUTED_VALUE"""),"Turkey")</f>
        <v>Turkey</v>
      </c>
      <c r="H1096" s="43" t="str">
        <f>IFERROR(__xludf.DUMMYFUNCTION("""COMPUTED_VALUE"""),"SAKARYA")</f>
        <v>SAKARYA</v>
      </c>
      <c r="I1096" s="43" t="str">
        <f>IFERROR(__xludf.DUMMYFUNCTION("""COMPUTED_VALUE"""),"Egypt")</f>
        <v>Egypt</v>
      </c>
      <c r="J1096" s="43" t="str">
        <f>IFERROR(__xludf.DUMMYFUNCTION("""COMPUTED_VALUE"""),"GUC")</f>
        <v>GUC</v>
      </c>
      <c r="K1096" s="44" t="str">
        <f>IFERROR(__xludf.DUMMYFUNCTION("""COMPUTED_VALUE"""),"https://expa.aiesec.org/opportunities/1289757")</f>
        <v>https://expa.aiesec.org/opportunities/1289757</v>
      </c>
      <c r="L1096" s="43" t="str">
        <f>IFERROR(__xludf.DUMMYFUNCTION("""COMPUTED_VALUE"""),"GV")</f>
        <v>GV</v>
      </c>
      <c r="M1096" s="43" t="str">
        <f>IFERROR(__xludf.DUMMYFUNCTION("""COMPUTED_VALUE"""),"short")</f>
        <v>short</v>
      </c>
      <c r="N1096" s="45">
        <f>IFERROR(__xludf.DUMMYFUNCTION("""COMPUTED_VALUE"""),45244.0)</f>
        <v>45244</v>
      </c>
      <c r="O1096" s="45">
        <f>IFERROR(__xludf.DUMMYFUNCTION("""COMPUTED_VALUE"""),45498.0)</f>
        <v>45498</v>
      </c>
      <c r="P1096" s="45">
        <f>IFERROR(__xludf.DUMMYFUNCTION("""COMPUTED_VALUE"""),45540.0)</f>
        <v>45540</v>
      </c>
      <c r="Q1096" s="45"/>
      <c r="R1096" s="45"/>
      <c r="S1096" s="43"/>
      <c r="T1096" s="43"/>
      <c r="U1096" s="43" t="str">
        <f>IFERROR(__xludf.DUMMYFUNCTION("""COMPUTED_VALUE"""),"Raise Your Voice")</f>
        <v>Raise Your Voice</v>
      </c>
      <c r="V1096" s="43" t="str">
        <f>IFERROR(__xludf.DUMMYFUNCTION("""COMPUTED_VALUE"""),"SAKARYA")</f>
        <v>SAKARYA</v>
      </c>
      <c r="W1096" s="43" t="str">
        <f>IFERROR(__xludf.DUMMYFUNCTION("""COMPUTED_VALUE"""),"2023-11-13T11:11:00Z")</f>
        <v>2023-11-13T11:11:00Z</v>
      </c>
      <c r="X1096" s="43"/>
      <c r="Y1096" s="43"/>
      <c r="Z1096" s="43"/>
    </row>
    <row r="1097" hidden="1">
      <c r="A1097" s="43" t="str">
        <f>IFERROR(__xludf.DUMMYFUNCTION("""COMPUTED_VALUE"""),"5370523_1299698")</f>
        <v>5370523_1299698</v>
      </c>
      <c r="B1097" s="43" t="str">
        <f>IFERROR(__xludf.DUMMYFUNCTION("""COMPUTED_VALUE"""),"Sıla Çal")</f>
        <v>Sıla Çal</v>
      </c>
      <c r="C1097" s="43" t="str">
        <f>IFERROR(__xludf.DUMMYFUNCTION("""COMPUTED_VALUE"""),"approved")</f>
        <v>approved</v>
      </c>
      <c r="D1097" s="43" t="str">
        <f>IFERROR(__xludf.DUMMYFUNCTION("""COMPUTED_VALUE"""),"No")</f>
        <v>No</v>
      </c>
      <c r="E1097" s="43" t="str">
        <f>IFERROR(__xludf.DUMMYFUNCTION("""COMPUTED_VALUE"""),"p_a211afa2685146e2148e08d5a23e7fae4b39ba68@inbound.aiesec.org")</f>
        <v>p_a211afa2685146e2148e08d5a23e7fae4b39ba68@inbound.aiesec.org</v>
      </c>
      <c r="F1097" s="43">
        <f>IFERROR(__xludf.DUMMYFUNCTION("""COMPUTED_VALUE"""),5.383234027E9)</f>
        <v>5383234027</v>
      </c>
      <c r="G1097" s="43" t="str">
        <f>IFERROR(__xludf.DUMMYFUNCTION("""COMPUTED_VALUE"""),"Turkey")</f>
        <v>Turkey</v>
      </c>
      <c r="H1097" s="43" t="str">
        <f>IFERROR(__xludf.DUMMYFUNCTION("""COMPUTED_VALUE"""),"ANKARA")</f>
        <v>ANKARA</v>
      </c>
      <c r="I1097" s="43" t="str">
        <f>IFERROR(__xludf.DUMMYFUNCTION("""COMPUTED_VALUE"""),"Tunisia")</f>
        <v>Tunisia</v>
      </c>
      <c r="J1097" s="43" t="str">
        <f>IFERROR(__xludf.DUMMYFUNCTION("""COMPUTED_VALUE"""),"RUSPINA")</f>
        <v>RUSPINA</v>
      </c>
      <c r="K1097" s="44" t="str">
        <f>IFERROR(__xludf.DUMMYFUNCTION("""COMPUTED_VALUE"""),"https://expa.aiesec.org/opportunities/1299698")</f>
        <v>https://expa.aiesec.org/opportunities/1299698</v>
      </c>
      <c r="L1097" s="43" t="str">
        <f>IFERROR(__xludf.DUMMYFUNCTION("""COMPUTED_VALUE"""),"GV")</f>
        <v>GV</v>
      </c>
      <c r="M1097" s="43" t="str">
        <f>IFERROR(__xludf.DUMMYFUNCTION("""COMPUTED_VALUE"""),"short")</f>
        <v>short</v>
      </c>
      <c r="N1097" s="45">
        <f>IFERROR(__xludf.DUMMYFUNCTION("""COMPUTED_VALUE"""),45245.0)</f>
        <v>45245</v>
      </c>
      <c r="O1097" s="45">
        <f>IFERROR(__xludf.DUMMYFUNCTION("""COMPUTED_VALUE"""),45474.0)</f>
        <v>45474</v>
      </c>
      <c r="P1097" s="45">
        <f>IFERROR(__xludf.DUMMYFUNCTION("""COMPUTED_VALUE"""),45516.0)</f>
        <v>45516</v>
      </c>
      <c r="Q1097" s="45"/>
      <c r="R1097" s="45"/>
      <c r="S1097" s="43"/>
      <c r="T1097" s="43"/>
      <c r="U1097" s="43" t="str">
        <f>IFERROR(__xludf.DUMMYFUNCTION("""COMPUTED_VALUE"""),"Fingerprint")</f>
        <v>Fingerprint</v>
      </c>
      <c r="V1097" s="43" t="str">
        <f>IFERROR(__xludf.DUMMYFUNCTION("""COMPUTED_VALUE"""),"ANKARA")</f>
        <v>ANKARA</v>
      </c>
      <c r="W1097" s="43" t="str">
        <f>IFERROR(__xludf.DUMMYFUNCTION("""COMPUTED_VALUE"""),"2023-11-10T19:08:14Z")</f>
        <v>2023-11-10T19:08:14Z</v>
      </c>
      <c r="X1097" s="43"/>
      <c r="Y1097" s="43"/>
      <c r="Z1097" s="43"/>
    </row>
    <row r="1098" hidden="1">
      <c r="A1098" s="43" t="str">
        <f>IFERROR(__xludf.DUMMYFUNCTION("""COMPUTED_VALUE"""),"5370982_1299698")</f>
        <v>5370982_1299698</v>
      </c>
      <c r="B1098" s="43" t="str">
        <f>IFERROR(__xludf.DUMMYFUNCTION("""COMPUTED_VALUE"""),"Zeynep Sude Tosun")</f>
        <v>Zeynep Sude Tosun</v>
      </c>
      <c r="C1098" s="43" t="str">
        <f>IFERROR(__xludf.DUMMYFUNCTION("""COMPUTED_VALUE"""),"approved")</f>
        <v>approved</v>
      </c>
      <c r="D1098" s="43" t="str">
        <f>IFERROR(__xludf.DUMMYFUNCTION("""COMPUTED_VALUE"""),"No")</f>
        <v>No</v>
      </c>
      <c r="E1098" s="43" t="str">
        <f>IFERROR(__xludf.DUMMYFUNCTION("""COMPUTED_VALUE"""),"p_7fbbefab354f19767ca3ea87e9cb0e0d83aeb32a@inbound.aiesec.org")</f>
        <v>p_7fbbefab354f19767ca3ea87e9cb0e0d83aeb32a@inbound.aiesec.org</v>
      </c>
      <c r="F1098" s="43">
        <f>IFERROR(__xludf.DUMMYFUNCTION("""COMPUTED_VALUE"""),5.330352002E9)</f>
        <v>5330352002</v>
      </c>
      <c r="G1098" s="43" t="str">
        <f>IFERROR(__xludf.DUMMYFUNCTION("""COMPUTED_VALUE"""),"Turkey")</f>
        <v>Turkey</v>
      </c>
      <c r="H1098" s="43" t="str">
        <f>IFERROR(__xludf.DUMMYFUNCTION("""COMPUTED_VALUE"""),"ANKARA")</f>
        <v>ANKARA</v>
      </c>
      <c r="I1098" s="43" t="str">
        <f>IFERROR(__xludf.DUMMYFUNCTION("""COMPUTED_VALUE"""),"Tunisia")</f>
        <v>Tunisia</v>
      </c>
      <c r="J1098" s="43" t="str">
        <f>IFERROR(__xludf.DUMMYFUNCTION("""COMPUTED_VALUE"""),"RUSPINA")</f>
        <v>RUSPINA</v>
      </c>
      <c r="K1098" s="44" t="str">
        <f>IFERROR(__xludf.DUMMYFUNCTION("""COMPUTED_VALUE"""),"https://expa.aiesec.org/opportunities/1299698")</f>
        <v>https://expa.aiesec.org/opportunities/1299698</v>
      </c>
      <c r="L1098" s="43" t="str">
        <f>IFERROR(__xludf.DUMMYFUNCTION("""COMPUTED_VALUE"""),"GV")</f>
        <v>GV</v>
      </c>
      <c r="M1098" s="43" t="str">
        <f>IFERROR(__xludf.DUMMYFUNCTION("""COMPUTED_VALUE"""),"short")</f>
        <v>short</v>
      </c>
      <c r="N1098" s="45">
        <f>IFERROR(__xludf.DUMMYFUNCTION("""COMPUTED_VALUE"""),45245.0)</f>
        <v>45245</v>
      </c>
      <c r="O1098" s="45">
        <f>IFERROR(__xludf.DUMMYFUNCTION("""COMPUTED_VALUE"""),45474.0)</f>
        <v>45474</v>
      </c>
      <c r="P1098" s="45">
        <f>IFERROR(__xludf.DUMMYFUNCTION("""COMPUTED_VALUE"""),45516.0)</f>
        <v>45516</v>
      </c>
      <c r="Q1098" s="45"/>
      <c r="R1098" s="45"/>
      <c r="S1098" s="43"/>
      <c r="T1098" s="43"/>
      <c r="U1098" s="43" t="str">
        <f>IFERROR(__xludf.DUMMYFUNCTION("""COMPUTED_VALUE"""),"Fingerprint")</f>
        <v>Fingerprint</v>
      </c>
      <c r="V1098" s="43" t="str">
        <f>IFERROR(__xludf.DUMMYFUNCTION("""COMPUTED_VALUE"""),"ANKARA")</f>
        <v>ANKARA</v>
      </c>
      <c r="W1098" s="43" t="str">
        <f>IFERROR(__xludf.DUMMYFUNCTION("""COMPUTED_VALUE"""),"2023-11-12T09:37:50Z")</f>
        <v>2023-11-12T09:37:50Z</v>
      </c>
      <c r="X1098" s="43"/>
      <c r="Y1098" s="43"/>
      <c r="Z1098" s="43"/>
    </row>
    <row r="1099" hidden="1">
      <c r="A1099" s="43" t="str">
        <f>IFERROR(__xludf.DUMMYFUNCTION("""COMPUTED_VALUE"""),"5370035_1291200")</f>
        <v>5370035_1291200</v>
      </c>
      <c r="B1099" s="43" t="str">
        <f>IFERROR(__xludf.DUMMYFUNCTION("""COMPUTED_VALUE"""),"Derin Deniz Dilaver")</f>
        <v>Derin Deniz Dilaver</v>
      </c>
      <c r="C1099" s="43" t="str">
        <f>IFERROR(__xludf.DUMMYFUNCTION("""COMPUTED_VALUE"""),"approved")</f>
        <v>approved</v>
      </c>
      <c r="D1099" s="43" t="str">
        <f>IFERROR(__xludf.DUMMYFUNCTION("""COMPUTED_VALUE"""),"No")</f>
        <v>No</v>
      </c>
      <c r="E1099" s="43" t="str">
        <f>IFERROR(__xludf.DUMMYFUNCTION("""COMPUTED_VALUE"""),"p_95a1072aea0ccc20091f6084917122b23d7d687e@inbound.aiesec.org")</f>
        <v>p_95a1072aea0ccc20091f6084917122b23d7d687e@inbound.aiesec.org</v>
      </c>
      <c r="F1099" s="43"/>
      <c r="G1099" s="43" t="str">
        <f>IFERROR(__xludf.DUMMYFUNCTION("""COMPUTED_VALUE"""),"Turkey")</f>
        <v>Turkey</v>
      </c>
      <c r="H1099" s="43" t="str">
        <f>IFERROR(__xludf.DUMMYFUNCTION("""COMPUTED_VALUE"""),"ANKARA")</f>
        <v>ANKARA</v>
      </c>
      <c r="I1099" s="43" t="str">
        <f>IFERROR(__xludf.DUMMYFUNCTION("""COMPUTED_VALUE"""),"Egypt")</f>
        <v>Egypt</v>
      </c>
      <c r="J1099" s="43" t="str">
        <f>IFERROR(__xludf.DUMMYFUNCTION("""COMPUTED_VALUE"""),"GUC")</f>
        <v>GUC</v>
      </c>
      <c r="K1099" s="44" t="str">
        <f>IFERROR(__xludf.DUMMYFUNCTION("""COMPUTED_VALUE"""),"https://expa.aiesec.org/opportunities/1291200")</f>
        <v>https://expa.aiesec.org/opportunities/1291200</v>
      </c>
      <c r="L1099" s="43" t="str">
        <f>IFERROR(__xludf.DUMMYFUNCTION("""COMPUTED_VALUE"""),"GV")</f>
        <v>GV</v>
      </c>
      <c r="M1099" s="43" t="str">
        <f>IFERROR(__xludf.DUMMYFUNCTION("""COMPUTED_VALUE"""),"short")</f>
        <v>short</v>
      </c>
      <c r="N1099" s="45">
        <f>IFERROR(__xludf.DUMMYFUNCTION("""COMPUTED_VALUE"""),45246.0)</f>
        <v>45246</v>
      </c>
      <c r="O1099" s="45">
        <f>IFERROR(__xludf.DUMMYFUNCTION("""COMPUTED_VALUE"""),45498.0)</f>
        <v>45498</v>
      </c>
      <c r="P1099" s="45">
        <f>IFERROR(__xludf.DUMMYFUNCTION("""COMPUTED_VALUE"""),45540.0)</f>
        <v>45540</v>
      </c>
      <c r="Q1099" s="45"/>
      <c r="R1099" s="45"/>
      <c r="S1099" s="43"/>
      <c r="T1099" s="43"/>
      <c r="U1099" s="43" t="str">
        <f>IFERROR(__xludf.DUMMYFUNCTION("""COMPUTED_VALUE"""),"Raise Your Voice")</f>
        <v>Raise Your Voice</v>
      </c>
      <c r="V1099" s="43" t="str">
        <f>IFERROR(__xludf.DUMMYFUNCTION("""COMPUTED_VALUE"""),"-")</f>
        <v>-</v>
      </c>
      <c r="W1099" s="43" t="str">
        <f>IFERROR(__xludf.DUMMYFUNCTION("""COMPUTED_VALUE"""),"2023-11-09T21:29:51Z")</f>
        <v>2023-11-09T21:29:51Z</v>
      </c>
      <c r="X1099" s="43"/>
      <c r="Y1099" s="43"/>
      <c r="Z1099" s="43"/>
    </row>
    <row r="1100" hidden="1">
      <c r="A1100" s="43" t="str">
        <f>IFERROR(__xludf.DUMMYFUNCTION("""COMPUTED_VALUE"""),"5373370_1288609")</f>
        <v>5373370_1288609</v>
      </c>
      <c r="B1100" s="43" t="str">
        <f>IFERROR(__xludf.DUMMYFUNCTION("""COMPUTED_VALUE"""),"Mariye Kosdik")</f>
        <v>Mariye Kosdik</v>
      </c>
      <c r="C1100" s="43" t="str">
        <f>IFERROR(__xludf.DUMMYFUNCTION("""COMPUTED_VALUE"""),"approved")</f>
        <v>approved</v>
      </c>
      <c r="D1100" s="43" t="str">
        <f>IFERROR(__xludf.DUMMYFUNCTION("""COMPUTED_VALUE"""),"No")</f>
        <v>No</v>
      </c>
      <c r="E1100" s="43" t="str">
        <f>IFERROR(__xludf.DUMMYFUNCTION("""COMPUTED_VALUE"""),"p_179053be9aaeef470800107b1d7df1a65f4cc836@inbound.aiesec.org")</f>
        <v>p_179053be9aaeef470800107b1d7df1a65f4cc836@inbound.aiesec.org</v>
      </c>
      <c r="F1100" s="43">
        <f>IFERROR(__xludf.DUMMYFUNCTION("""COMPUTED_VALUE"""),5.454621891E9)</f>
        <v>5454621891</v>
      </c>
      <c r="G1100" s="43" t="str">
        <f>IFERROR(__xludf.DUMMYFUNCTION("""COMPUTED_VALUE"""),"Turkey")</f>
        <v>Turkey</v>
      </c>
      <c r="H1100" s="43" t="str">
        <f>IFERROR(__xludf.DUMMYFUNCTION("""COMPUTED_VALUE"""),"ISTANBUL WEST")</f>
        <v>ISTANBUL WEST</v>
      </c>
      <c r="I1100" s="43" t="str">
        <f>IFERROR(__xludf.DUMMYFUNCTION("""COMPUTED_VALUE"""),"Egypt")</f>
        <v>Egypt</v>
      </c>
      <c r="J1100" s="43" t="str">
        <f>IFERROR(__xludf.DUMMYFUNCTION("""COMPUTED_VALUE"""),"Tanta")</f>
        <v>Tanta</v>
      </c>
      <c r="K1100" s="44" t="str">
        <f>IFERROR(__xludf.DUMMYFUNCTION("""COMPUTED_VALUE"""),"https://expa.aiesec.org/opportunities/1288609")</f>
        <v>https://expa.aiesec.org/opportunities/1288609</v>
      </c>
      <c r="L1100" s="43" t="str">
        <f>IFERROR(__xludf.DUMMYFUNCTION("""COMPUTED_VALUE"""),"GV")</f>
        <v>GV</v>
      </c>
      <c r="M1100" s="43" t="str">
        <f>IFERROR(__xludf.DUMMYFUNCTION("""COMPUTED_VALUE"""),"short")</f>
        <v>short</v>
      </c>
      <c r="N1100" s="45">
        <f>IFERROR(__xludf.DUMMYFUNCTION("""COMPUTED_VALUE"""),45246.0)</f>
        <v>45246</v>
      </c>
      <c r="O1100" s="45">
        <f>IFERROR(__xludf.DUMMYFUNCTION("""COMPUTED_VALUE"""),45474.0)</f>
        <v>45474</v>
      </c>
      <c r="P1100" s="45">
        <f>IFERROR(__xludf.DUMMYFUNCTION("""COMPUTED_VALUE"""),45516.0)</f>
        <v>45516</v>
      </c>
      <c r="Q1100" s="45"/>
      <c r="R1100" s="45"/>
      <c r="S1100" s="43"/>
      <c r="T1100" s="43"/>
      <c r="U1100" s="43" t="str">
        <f>IFERROR(__xludf.DUMMYFUNCTION("""COMPUTED_VALUE"""),"On The Map")</f>
        <v>On The Map</v>
      </c>
      <c r="V1100" s="43" t="str">
        <f>IFERROR(__xludf.DUMMYFUNCTION("""COMPUTED_VALUE"""),"ISTANBUL - BAKIRKOY")</f>
        <v>ISTANBUL - BAKIRKOY</v>
      </c>
      <c r="W1100" s="43" t="str">
        <f>IFERROR(__xludf.DUMMYFUNCTION("""COMPUTED_VALUE"""),"2023-11-16T11:00:21Z")</f>
        <v>2023-11-16T11:00:21Z</v>
      </c>
      <c r="X1100" s="43"/>
      <c r="Y1100" s="43"/>
      <c r="Z1100" s="43"/>
    </row>
    <row r="1101" hidden="1">
      <c r="A1101" s="43" t="str">
        <f>IFERROR(__xludf.DUMMYFUNCTION("""COMPUTED_VALUE"""),"4368229_1301045")</f>
        <v>4368229_1301045</v>
      </c>
      <c r="B1101" s="43" t="str">
        <f>IFERROR(__xludf.DUMMYFUNCTION("""COMPUTED_VALUE"""),"Ece Koyutürk")</f>
        <v>Ece Koyutürk</v>
      </c>
      <c r="C1101" s="43" t="str">
        <f>IFERROR(__xludf.DUMMYFUNCTION("""COMPUTED_VALUE"""),"approved")</f>
        <v>approved</v>
      </c>
      <c r="D1101" s="43" t="str">
        <f>IFERROR(__xludf.DUMMYFUNCTION("""COMPUTED_VALUE"""),"No")</f>
        <v>No</v>
      </c>
      <c r="E1101" s="43" t="str">
        <f>IFERROR(__xludf.DUMMYFUNCTION("""COMPUTED_VALUE"""),"p_504babc00eef431321223579f881e76273affcf8@inbound.aiesec.org")</f>
        <v>p_504babc00eef431321223579f881e76273affcf8@inbound.aiesec.org</v>
      </c>
      <c r="F1101" s="43">
        <f>IFERROR(__xludf.DUMMYFUNCTION("""COMPUTED_VALUE"""),5.536548883E9)</f>
        <v>5536548883</v>
      </c>
      <c r="G1101" s="43" t="str">
        <f>IFERROR(__xludf.DUMMYFUNCTION("""COMPUTED_VALUE"""),"Turkey")</f>
        <v>Turkey</v>
      </c>
      <c r="H1101" s="43" t="str">
        <f>IFERROR(__xludf.DUMMYFUNCTION("""COMPUTED_VALUE"""),"İZMİR")</f>
        <v>İZMİR</v>
      </c>
      <c r="I1101" s="43" t="str">
        <f>IFERROR(__xludf.DUMMYFUNCTION("""COMPUTED_VALUE"""),"Slovakia")</f>
        <v>Slovakia</v>
      </c>
      <c r="J1101" s="43" t="str">
        <f>IFERROR(__xludf.DUMMYFUNCTION("""COMPUTED_VALUE"""),"Comenius University")</f>
        <v>Comenius University</v>
      </c>
      <c r="K1101" s="44" t="str">
        <f>IFERROR(__xludf.DUMMYFUNCTION("""COMPUTED_VALUE"""),"https://expa.aiesec.org/opportunities/1301045")</f>
        <v>https://expa.aiesec.org/opportunities/1301045</v>
      </c>
      <c r="L1101" s="43" t="str">
        <f>IFERROR(__xludf.DUMMYFUNCTION("""COMPUTED_VALUE"""),"GV")</f>
        <v>GV</v>
      </c>
      <c r="M1101" s="43" t="str">
        <f>IFERROR(__xludf.DUMMYFUNCTION("""COMPUTED_VALUE"""),"short")</f>
        <v>short</v>
      </c>
      <c r="N1101" s="45">
        <f>IFERROR(__xludf.DUMMYFUNCTION("""COMPUTED_VALUE"""),45247.0)</f>
        <v>45247</v>
      </c>
      <c r="O1101" s="45">
        <f>IFERROR(__xludf.DUMMYFUNCTION("""COMPUTED_VALUE"""),45306.0)</f>
        <v>45306</v>
      </c>
      <c r="P1101" s="45">
        <f>IFERROR(__xludf.DUMMYFUNCTION("""COMPUTED_VALUE"""),45348.0)</f>
        <v>45348</v>
      </c>
      <c r="Q1101" s="45"/>
      <c r="R1101" s="45"/>
      <c r="S1101" s="43"/>
      <c r="T1101" s="43"/>
      <c r="U1101" s="43" t="str">
        <f>IFERROR(__xludf.DUMMYFUNCTION("""COMPUTED_VALUE"""),"Global Classroom")</f>
        <v>Global Classroom</v>
      </c>
      <c r="V1101" s="43" t="str">
        <f>IFERROR(__xludf.DUMMYFUNCTION("""COMPUTED_VALUE"""),"IZMIR")</f>
        <v>IZMIR</v>
      </c>
      <c r="W1101" s="43" t="str">
        <f>IFERROR(__xludf.DUMMYFUNCTION("""COMPUTED_VALUE"""),"2020-09-14T10:16:09Z")</f>
        <v>2020-09-14T10:16:09Z</v>
      </c>
      <c r="X1101" s="43"/>
      <c r="Y1101" s="43"/>
      <c r="Z1101" s="43"/>
    </row>
    <row r="1102" hidden="1">
      <c r="A1102" s="43" t="str">
        <f>IFERROR(__xludf.DUMMYFUNCTION("""COMPUTED_VALUE"""),"5353802_1300584")</f>
        <v>5353802_1300584</v>
      </c>
      <c r="B1102" s="43" t="str">
        <f>IFERROR(__xludf.DUMMYFUNCTION("""COMPUTED_VALUE"""),"Göksel Aktaş")</f>
        <v>Göksel Aktaş</v>
      </c>
      <c r="C1102" s="43" t="str">
        <f>IFERROR(__xludf.DUMMYFUNCTION("""COMPUTED_VALUE"""),"approved")</f>
        <v>approved</v>
      </c>
      <c r="D1102" s="43" t="str">
        <f>IFERROR(__xludf.DUMMYFUNCTION("""COMPUTED_VALUE"""),"No")</f>
        <v>No</v>
      </c>
      <c r="E1102" s="43" t="str">
        <f>IFERROR(__xludf.DUMMYFUNCTION("""COMPUTED_VALUE"""),"p_5c3d7ed46802cf625c6340635305446ef60e936c@inbound.aiesec.org")</f>
        <v>p_5c3d7ed46802cf625c6340635305446ef60e936c@inbound.aiesec.org</v>
      </c>
      <c r="F1102" s="43"/>
      <c r="G1102" s="43" t="str">
        <f>IFERROR(__xludf.DUMMYFUNCTION("""COMPUTED_VALUE"""),"Turkey")</f>
        <v>Turkey</v>
      </c>
      <c r="H1102" s="43" t="str">
        <f>IFERROR(__xludf.DUMMYFUNCTION("""COMPUTED_VALUE"""),"ANKARA")</f>
        <v>ANKARA</v>
      </c>
      <c r="I1102" s="43" t="str">
        <f>IFERROR(__xludf.DUMMYFUNCTION("""COMPUTED_VALUE"""),"Italy")</f>
        <v>Italy</v>
      </c>
      <c r="J1102" s="43" t="str">
        <f>IFERROR(__xludf.DUMMYFUNCTION("""COMPUTED_VALUE"""),"Pavia")</f>
        <v>Pavia</v>
      </c>
      <c r="K1102" s="44" t="str">
        <f>IFERROR(__xludf.DUMMYFUNCTION("""COMPUTED_VALUE"""),"https://expa.aiesec.org/opportunities/1300584")</f>
        <v>https://expa.aiesec.org/opportunities/1300584</v>
      </c>
      <c r="L1102" s="43" t="str">
        <f>IFERROR(__xludf.DUMMYFUNCTION("""COMPUTED_VALUE"""),"GV")</f>
        <v>GV</v>
      </c>
      <c r="M1102" s="43" t="str">
        <f>IFERROR(__xludf.DUMMYFUNCTION("""COMPUTED_VALUE"""),"short")</f>
        <v>short</v>
      </c>
      <c r="N1102" s="45">
        <f>IFERROR(__xludf.DUMMYFUNCTION("""COMPUTED_VALUE"""),45247.0)</f>
        <v>45247</v>
      </c>
      <c r="O1102" s="45">
        <f>IFERROR(__xludf.DUMMYFUNCTION("""COMPUTED_VALUE"""),45341.0)</f>
        <v>45341</v>
      </c>
      <c r="P1102" s="45">
        <f>IFERROR(__xludf.DUMMYFUNCTION("""COMPUTED_VALUE"""),45383.0)</f>
        <v>45383</v>
      </c>
      <c r="Q1102" s="45"/>
      <c r="R1102" s="45"/>
      <c r="S1102" s="43"/>
      <c r="T1102" s="43"/>
      <c r="U1102" s="43" t="str">
        <f>IFERROR(__xludf.DUMMYFUNCTION("""COMPUTED_VALUE"""),"Youth 4 Impact")</f>
        <v>Youth 4 Impact</v>
      </c>
      <c r="V1102" s="43" t="str">
        <f>IFERROR(__xludf.DUMMYFUNCTION("""COMPUTED_VALUE"""),"-")</f>
        <v>-</v>
      </c>
      <c r="W1102" s="43" t="str">
        <f>IFERROR(__xludf.DUMMYFUNCTION("""COMPUTED_VALUE"""),"2023-10-17T16:47:11Z")</f>
        <v>2023-10-17T16:47:11Z</v>
      </c>
      <c r="X1102" s="43"/>
      <c r="Y1102" s="43"/>
      <c r="Z1102" s="43"/>
    </row>
    <row r="1103" hidden="1">
      <c r="A1103" s="43" t="str">
        <f>IFERROR(__xludf.DUMMYFUNCTION("""COMPUTED_VALUE"""),"5304425_1300883")</f>
        <v>5304425_1300883</v>
      </c>
      <c r="B1103" s="43" t="str">
        <f>IFERROR(__xludf.DUMMYFUNCTION("""COMPUTED_VALUE"""),"Şeyma Tavşan")</f>
        <v>Şeyma Tavşan</v>
      </c>
      <c r="C1103" s="43" t="str">
        <f>IFERROR(__xludf.DUMMYFUNCTION("""COMPUTED_VALUE"""),"approved")</f>
        <v>approved</v>
      </c>
      <c r="D1103" s="43" t="str">
        <f>IFERROR(__xludf.DUMMYFUNCTION("""COMPUTED_VALUE"""),"No")</f>
        <v>No</v>
      </c>
      <c r="E1103" s="43" t="str">
        <f>IFERROR(__xludf.DUMMYFUNCTION("""COMPUTED_VALUE"""),"p_0092b58d9fe076596a49dfed303fdaf2c1481b87@inbound.aiesec.org")</f>
        <v>p_0092b58d9fe076596a49dfed303fdaf2c1481b87@inbound.aiesec.org</v>
      </c>
      <c r="F1103" s="43"/>
      <c r="G1103" s="43" t="str">
        <f>IFERROR(__xludf.DUMMYFUNCTION("""COMPUTED_VALUE"""),"Turkey")</f>
        <v>Turkey</v>
      </c>
      <c r="H1103" s="43" t="str">
        <f>IFERROR(__xludf.DUMMYFUNCTION("""COMPUTED_VALUE"""),"ISTANBUL ASIA")</f>
        <v>ISTANBUL ASIA</v>
      </c>
      <c r="I1103" s="43" t="str">
        <f>IFERROR(__xludf.DUMMYFUNCTION("""COMPUTED_VALUE"""),"India")</f>
        <v>India</v>
      </c>
      <c r="J1103" s="43" t="str">
        <f>IFERROR(__xludf.DUMMYFUNCTION("""COMPUTED_VALUE"""),"Navi Mumbai")</f>
        <v>Navi Mumbai</v>
      </c>
      <c r="K1103" s="44" t="str">
        <f>IFERROR(__xludf.DUMMYFUNCTION("""COMPUTED_VALUE"""),"https://expa.aiesec.org/opportunities/1300883")</f>
        <v>https://expa.aiesec.org/opportunities/1300883</v>
      </c>
      <c r="L1103" s="43" t="str">
        <f>IFERROR(__xludf.DUMMYFUNCTION("""COMPUTED_VALUE"""),"GV")</f>
        <v>GV</v>
      </c>
      <c r="M1103" s="43" t="str">
        <f>IFERROR(__xludf.DUMMYFUNCTION("""COMPUTED_VALUE"""),"short")</f>
        <v>short</v>
      </c>
      <c r="N1103" s="45">
        <f>IFERROR(__xludf.DUMMYFUNCTION("""COMPUTED_VALUE"""),45248.0)</f>
        <v>45248</v>
      </c>
      <c r="O1103" s="45">
        <f>IFERROR(__xludf.DUMMYFUNCTION("""COMPUTED_VALUE"""),45475.0)</f>
        <v>45475</v>
      </c>
      <c r="P1103" s="45">
        <f>IFERROR(__xludf.DUMMYFUNCTION("""COMPUTED_VALUE"""),45517.0)</f>
        <v>45517</v>
      </c>
      <c r="Q1103" s="45"/>
      <c r="R1103" s="45"/>
      <c r="S1103" s="43"/>
      <c r="T1103" s="43"/>
      <c r="U1103" s="43" t="str">
        <f>IFERROR(__xludf.DUMMYFUNCTION("""COMPUTED_VALUE"""),"Global Classroom")</f>
        <v>Global Classroom</v>
      </c>
      <c r="V1103" s="43" t="str">
        <f>IFERROR(__xludf.DUMMYFUNCTION("""COMPUTED_VALUE"""),"-")</f>
        <v>-</v>
      </c>
      <c r="W1103" s="43" t="str">
        <f>IFERROR(__xludf.DUMMYFUNCTION("""COMPUTED_VALUE"""),"2023-08-17T18:27:20Z")</f>
        <v>2023-08-17T18:27:20Z</v>
      </c>
      <c r="X1103" s="43"/>
      <c r="Y1103" s="43"/>
      <c r="Z1103" s="43"/>
    </row>
    <row r="1104" hidden="1">
      <c r="A1104" s="43" t="str">
        <f>IFERROR(__xludf.DUMMYFUNCTION("""COMPUTED_VALUE"""),"5367551_1291376")</f>
        <v>5367551_1291376</v>
      </c>
      <c r="B1104" s="43" t="str">
        <f>IFERROR(__xludf.DUMMYFUNCTION("""COMPUTED_VALUE"""),"Ayşe Zeynep Özbay")</f>
        <v>Ayşe Zeynep Özbay</v>
      </c>
      <c r="C1104" s="43" t="str">
        <f>IFERROR(__xludf.DUMMYFUNCTION("""COMPUTED_VALUE"""),"approved")</f>
        <v>approved</v>
      </c>
      <c r="D1104" s="43" t="str">
        <f>IFERROR(__xludf.DUMMYFUNCTION("""COMPUTED_VALUE"""),"No")</f>
        <v>No</v>
      </c>
      <c r="E1104" s="43" t="str">
        <f>IFERROR(__xludf.DUMMYFUNCTION("""COMPUTED_VALUE"""),"p_bc9de355595a67f27497578f8e240cd1ae68997a@inbound.aiesec.org")</f>
        <v>p_bc9de355595a67f27497578f8e240cd1ae68997a@inbound.aiesec.org</v>
      </c>
      <c r="F1104" s="43">
        <f>IFERROR(__xludf.DUMMYFUNCTION("""COMPUTED_VALUE"""),5.393079136E9)</f>
        <v>5393079136</v>
      </c>
      <c r="G1104" s="43" t="str">
        <f>IFERROR(__xludf.DUMMYFUNCTION("""COMPUTED_VALUE"""),"Turkey")</f>
        <v>Turkey</v>
      </c>
      <c r="H1104" s="43" t="str">
        <f>IFERROR(__xludf.DUMMYFUNCTION("""COMPUTED_VALUE"""),"ISTANBUL ASIA")</f>
        <v>ISTANBUL ASIA</v>
      </c>
      <c r="I1104" s="43" t="str">
        <f>IFERROR(__xludf.DUMMYFUNCTION("""COMPUTED_VALUE"""),"Romania")</f>
        <v>Romania</v>
      </c>
      <c r="J1104" s="43" t="str">
        <f>IFERROR(__xludf.DUMMYFUNCTION("""COMPUTED_VALUE"""),"BUCURESTI")</f>
        <v>BUCURESTI</v>
      </c>
      <c r="K1104" s="44" t="str">
        <f>IFERROR(__xludf.DUMMYFUNCTION("""COMPUTED_VALUE"""),"https://expa.aiesec.org/opportunities/1291376")</f>
        <v>https://expa.aiesec.org/opportunities/1291376</v>
      </c>
      <c r="L1104" s="43" t="str">
        <f>IFERROR(__xludf.DUMMYFUNCTION("""COMPUTED_VALUE"""),"GV")</f>
        <v>GV</v>
      </c>
      <c r="M1104" s="43" t="str">
        <f>IFERROR(__xludf.DUMMYFUNCTION("""COMPUTED_VALUE"""),"short")</f>
        <v>short</v>
      </c>
      <c r="N1104" s="45">
        <f>IFERROR(__xludf.DUMMYFUNCTION("""COMPUTED_VALUE"""),45250.0)</f>
        <v>45250</v>
      </c>
      <c r="O1104" s="45">
        <f>IFERROR(__xludf.DUMMYFUNCTION("""COMPUTED_VALUE"""),45481.0)</f>
        <v>45481</v>
      </c>
      <c r="P1104" s="45">
        <f>IFERROR(__xludf.DUMMYFUNCTION("""COMPUTED_VALUE"""),45523.0)</f>
        <v>45523</v>
      </c>
      <c r="Q1104" s="45"/>
      <c r="R1104" s="45"/>
      <c r="S1104" s="43"/>
      <c r="T1104" s="43"/>
      <c r="U1104" s="43" t="str">
        <f>IFERROR(__xludf.DUMMYFUNCTION("""COMPUTED_VALUE"""),"Global Classroom")</f>
        <v>Global Classroom</v>
      </c>
      <c r="V1104" s="43" t="str">
        <f>IFERROR(__xludf.DUMMYFUNCTION("""COMPUTED_VALUE"""),"ISTANBUL ASIA")</f>
        <v>ISTANBUL ASIA</v>
      </c>
      <c r="W1104" s="43" t="str">
        <f>IFERROR(__xludf.DUMMYFUNCTION("""COMPUTED_VALUE"""),"2023-11-06T12:26:40Z")</f>
        <v>2023-11-06T12:26:40Z</v>
      </c>
      <c r="X1104" s="43"/>
      <c r="Y1104" s="43"/>
      <c r="Z1104" s="43"/>
    </row>
    <row r="1105" hidden="1">
      <c r="A1105" s="43" t="str">
        <f>IFERROR(__xludf.DUMMYFUNCTION("""COMPUTED_VALUE"""),"5086497_1301307")</f>
        <v>5086497_1301307</v>
      </c>
      <c r="B1105" s="43" t="str">
        <f>IFERROR(__xludf.DUMMYFUNCTION("""COMPUTED_VALUE"""),"Sara Pak")</f>
        <v>Sara Pak</v>
      </c>
      <c r="C1105" s="43" t="str">
        <f>IFERROR(__xludf.DUMMYFUNCTION("""COMPUTED_VALUE"""),"approved")</f>
        <v>approved</v>
      </c>
      <c r="D1105" s="43" t="str">
        <f>IFERROR(__xludf.DUMMYFUNCTION("""COMPUTED_VALUE"""),"No")</f>
        <v>No</v>
      </c>
      <c r="E1105" s="43" t="str">
        <f>IFERROR(__xludf.DUMMYFUNCTION("""COMPUTED_VALUE"""),"p_0ab5f35c87a0c5d490eb2033ba4f069d4a8aab2f@inbound.aiesec.org")</f>
        <v>p_0ab5f35c87a0c5d490eb2033ba4f069d4a8aab2f@inbound.aiesec.org</v>
      </c>
      <c r="F1105" s="43">
        <f>IFERROR(__xludf.DUMMYFUNCTION("""COMPUTED_VALUE"""),5.542664573E9)</f>
        <v>5542664573</v>
      </c>
      <c r="G1105" s="43" t="str">
        <f>IFERROR(__xludf.DUMMYFUNCTION("""COMPUTED_VALUE"""),"Turkey")</f>
        <v>Turkey</v>
      </c>
      <c r="H1105" s="43" t="str">
        <f>IFERROR(__xludf.DUMMYFUNCTION("""COMPUTED_VALUE"""),"SAKARYA")</f>
        <v>SAKARYA</v>
      </c>
      <c r="I1105" s="43" t="str">
        <f>IFERROR(__xludf.DUMMYFUNCTION("""COMPUTED_VALUE"""),"Romania")</f>
        <v>Romania</v>
      </c>
      <c r="J1105" s="43" t="str">
        <f>IFERROR(__xludf.DUMMYFUNCTION("""COMPUTED_VALUE"""),"PITESTI")</f>
        <v>PITESTI</v>
      </c>
      <c r="K1105" s="44" t="str">
        <f>IFERROR(__xludf.DUMMYFUNCTION("""COMPUTED_VALUE"""),"https://expa.aiesec.org/opportunities/1301307")</f>
        <v>https://expa.aiesec.org/opportunities/1301307</v>
      </c>
      <c r="L1105" s="43" t="str">
        <f>IFERROR(__xludf.DUMMYFUNCTION("""COMPUTED_VALUE"""),"GV")</f>
        <v>GV</v>
      </c>
      <c r="M1105" s="43" t="str">
        <f>IFERROR(__xludf.DUMMYFUNCTION("""COMPUTED_VALUE"""),"short")</f>
        <v>short</v>
      </c>
      <c r="N1105" s="45">
        <f>IFERROR(__xludf.DUMMYFUNCTION("""COMPUTED_VALUE"""),45250.0)</f>
        <v>45250</v>
      </c>
      <c r="O1105" s="45">
        <f>IFERROR(__xludf.DUMMYFUNCTION("""COMPUTED_VALUE"""),45318.0)</f>
        <v>45318</v>
      </c>
      <c r="P1105" s="45">
        <f>IFERROR(__xludf.DUMMYFUNCTION("""COMPUTED_VALUE"""),45360.0)</f>
        <v>45360</v>
      </c>
      <c r="Q1105" s="45"/>
      <c r="R1105" s="45"/>
      <c r="S1105" s="43"/>
      <c r="T1105" s="43"/>
      <c r="U1105" s="43" t="str">
        <f>IFERROR(__xludf.DUMMYFUNCTION("""COMPUTED_VALUE"""),"Eat 4 Change")</f>
        <v>Eat 4 Change</v>
      </c>
      <c r="V1105" s="43" t="str">
        <f>IFERROR(__xludf.DUMMYFUNCTION("""COMPUTED_VALUE"""),"-")</f>
        <v>-</v>
      </c>
      <c r="W1105" s="43" t="str">
        <f>IFERROR(__xludf.DUMMYFUNCTION("""COMPUTED_VALUE"""),"2022-07-27T20:27:08Z")</f>
        <v>2022-07-27T20:27:08Z</v>
      </c>
      <c r="X1105" s="43"/>
      <c r="Y1105" s="43"/>
      <c r="Z1105" s="43"/>
    </row>
    <row r="1106" hidden="1">
      <c r="A1106" s="43" t="str">
        <f>IFERROR(__xludf.DUMMYFUNCTION("""COMPUTED_VALUE"""),"5371629_1299532")</f>
        <v>5371629_1299532</v>
      </c>
      <c r="B1106" s="43" t="str">
        <f>IFERROR(__xludf.DUMMYFUNCTION("""COMPUTED_VALUE"""),"Azra Dongel")</f>
        <v>Azra Dongel</v>
      </c>
      <c r="C1106" s="43" t="str">
        <f>IFERROR(__xludf.DUMMYFUNCTION("""COMPUTED_VALUE"""),"approved")</f>
        <v>approved</v>
      </c>
      <c r="D1106" s="43" t="str">
        <f>IFERROR(__xludf.DUMMYFUNCTION("""COMPUTED_VALUE"""),"No")</f>
        <v>No</v>
      </c>
      <c r="E1106" s="43" t="str">
        <f>IFERROR(__xludf.DUMMYFUNCTION("""COMPUTED_VALUE"""),"p_5225282f4b2db741b172f54b26cfc312eb53da80@inbound.aiesec.org")</f>
        <v>p_5225282f4b2db741b172f54b26cfc312eb53da80@inbound.aiesec.org</v>
      </c>
      <c r="F1106" s="43">
        <f>IFERROR(__xludf.DUMMYFUNCTION("""COMPUTED_VALUE"""),5.416572401E9)</f>
        <v>5416572401</v>
      </c>
      <c r="G1106" s="43" t="str">
        <f>IFERROR(__xludf.DUMMYFUNCTION("""COMPUTED_VALUE"""),"Turkey")</f>
        <v>Turkey</v>
      </c>
      <c r="H1106" s="43" t="str">
        <f>IFERROR(__xludf.DUMMYFUNCTION("""COMPUTED_VALUE"""),"ISTANBUL")</f>
        <v>ISTANBUL</v>
      </c>
      <c r="I1106" s="43" t="str">
        <f>IFERROR(__xludf.DUMMYFUNCTION("""COMPUTED_VALUE"""),"Egypt")</f>
        <v>Egypt</v>
      </c>
      <c r="J1106" s="43" t="str">
        <f>IFERROR(__xludf.DUMMYFUNCTION("""COMPUTED_VALUE"""),"Ain Shams University")</f>
        <v>Ain Shams University</v>
      </c>
      <c r="K1106" s="44" t="str">
        <f>IFERROR(__xludf.DUMMYFUNCTION("""COMPUTED_VALUE"""),"https://expa.aiesec.org/opportunities/1299532")</f>
        <v>https://expa.aiesec.org/opportunities/1299532</v>
      </c>
      <c r="L1106" s="43" t="str">
        <f>IFERROR(__xludf.DUMMYFUNCTION("""COMPUTED_VALUE"""),"GV")</f>
        <v>GV</v>
      </c>
      <c r="M1106" s="43" t="str">
        <f>IFERROR(__xludf.DUMMYFUNCTION("""COMPUTED_VALUE"""),"short")</f>
        <v>short</v>
      </c>
      <c r="N1106" s="45">
        <f>IFERROR(__xludf.DUMMYFUNCTION("""COMPUTED_VALUE"""),45250.0)</f>
        <v>45250</v>
      </c>
      <c r="O1106" s="45">
        <f>IFERROR(__xludf.DUMMYFUNCTION("""COMPUTED_VALUE"""),45474.0)</f>
        <v>45474</v>
      </c>
      <c r="P1106" s="45">
        <f>IFERROR(__xludf.DUMMYFUNCTION("""COMPUTED_VALUE"""),45516.0)</f>
        <v>45516</v>
      </c>
      <c r="Q1106" s="45"/>
      <c r="R1106" s="45"/>
      <c r="S1106" s="43"/>
      <c r="T1106" s="43"/>
      <c r="U1106" s="43" t="str">
        <f>IFERROR(__xludf.DUMMYFUNCTION("""COMPUTED_VALUE"""),"Rooted")</f>
        <v>Rooted</v>
      </c>
      <c r="V1106" s="43" t="str">
        <f>IFERROR(__xludf.DUMMYFUNCTION("""COMPUTED_VALUE"""),"ISTANBUL - BEYOGLU")</f>
        <v>ISTANBUL - BEYOGLU</v>
      </c>
      <c r="W1106" s="43" t="str">
        <f>IFERROR(__xludf.DUMMYFUNCTION("""COMPUTED_VALUE"""),"2023-11-13T14:45:09Z")</f>
        <v>2023-11-13T14:45:09Z</v>
      </c>
      <c r="X1106" s="43"/>
      <c r="Y1106" s="43"/>
      <c r="Z1106" s="43"/>
    </row>
    <row r="1107" hidden="1">
      <c r="A1107" s="43" t="str">
        <f>IFERROR(__xludf.DUMMYFUNCTION("""COMPUTED_VALUE"""),"5374860_1288609")</f>
        <v>5374860_1288609</v>
      </c>
      <c r="B1107" s="43" t="str">
        <f>IFERROR(__xludf.DUMMYFUNCTION("""COMPUTED_VALUE"""),"Tuğba Kartal")</f>
        <v>Tuğba Kartal</v>
      </c>
      <c r="C1107" s="43" t="str">
        <f>IFERROR(__xludf.DUMMYFUNCTION("""COMPUTED_VALUE"""),"approved")</f>
        <v>approved</v>
      </c>
      <c r="D1107" s="43" t="str">
        <f>IFERROR(__xludf.DUMMYFUNCTION("""COMPUTED_VALUE"""),"No")</f>
        <v>No</v>
      </c>
      <c r="E1107" s="43" t="str">
        <f>IFERROR(__xludf.DUMMYFUNCTION("""COMPUTED_VALUE"""),"p_791be1f4980d677ae4d794a8f8a99b9febf2e172@inbound.aiesec.org")</f>
        <v>p_791be1f4980d677ae4d794a8f8a99b9febf2e172@inbound.aiesec.org</v>
      </c>
      <c r="F1107" s="43">
        <f>IFERROR(__xludf.DUMMYFUNCTION("""COMPUTED_VALUE"""),5.521320436E9)</f>
        <v>5521320436</v>
      </c>
      <c r="G1107" s="43" t="str">
        <f>IFERROR(__xludf.DUMMYFUNCTION("""COMPUTED_VALUE"""),"Turkey")</f>
        <v>Turkey</v>
      </c>
      <c r="H1107" s="43" t="str">
        <f>IFERROR(__xludf.DUMMYFUNCTION("""COMPUTED_VALUE"""),"GAZIANTEP")</f>
        <v>GAZIANTEP</v>
      </c>
      <c r="I1107" s="43" t="str">
        <f>IFERROR(__xludf.DUMMYFUNCTION("""COMPUTED_VALUE"""),"Egypt")</f>
        <v>Egypt</v>
      </c>
      <c r="J1107" s="43" t="str">
        <f>IFERROR(__xludf.DUMMYFUNCTION("""COMPUTED_VALUE"""),"Tanta")</f>
        <v>Tanta</v>
      </c>
      <c r="K1107" s="44" t="str">
        <f>IFERROR(__xludf.DUMMYFUNCTION("""COMPUTED_VALUE"""),"https://expa.aiesec.org/opportunities/1288609")</f>
        <v>https://expa.aiesec.org/opportunities/1288609</v>
      </c>
      <c r="L1107" s="43" t="str">
        <f>IFERROR(__xludf.DUMMYFUNCTION("""COMPUTED_VALUE"""),"GV")</f>
        <v>GV</v>
      </c>
      <c r="M1107" s="43" t="str">
        <f>IFERROR(__xludf.DUMMYFUNCTION("""COMPUTED_VALUE"""),"short")</f>
        <v>short</v>
      </c>
      <c r="N1107" s="45">
        <f>IFERROR(__xludf.DUMMYFUNCTION("""COMPUTED_VALUE"""),45250.0)</f>
        <v>45250</v>
      </c>
      <c r="O1107" s="45">
        <f>IFERROR(__xludf.DUMMYFUNCTION("""COMPUTED_VALUE"""),45474.0)</f>
        <v>45474</v>
      </c>
      <c r="P1107" s="45">
        <f>IFERROR(__xludf.DUMMYFUNCTION("""COMPUTED_VALUE"""),45516.0)</f>
        <v>45516</v>
      </c>
      <c r="Q1107" s="45"/>
      <c r="R1107" s="45"/>
      <c r="S1107" s="43"/>
      <c r="T1107" s="43"/>
      <c r="U1107" s="43" t="str">
        <f>IFERROR(__xludf.DUMMYFUNCTION("""COMPUTED_VALUE"""),"On The Map")</f>
        <v>On The Map</v>
      </c>
      <c r="V1107" s="43" t="str">
        <f>IFERROR(__xludf.DUMMYFUNCTION("""COMPUTED_VALUE"""),"GAZIANTEP")</f>
        <v>GAZIANTEP</v>
      </c>
      <c r="W1107" s="43" t="str">
        <f>IFERROR(__xludf.DUMMYFUNCTION("""COMPUTED_VALUE"""),"2023-11-18T11:01:07Z")</f>
        <v>2023-11-18T11:01:07Z</v>
      </c>
      <c r="X1107" s="43"/>
      <c r="Y1107" s="43"/>
      <c r="Z1107" s="43"/>
    </row>
    <row r="1108" hidden="1">
      <c r="A1108" s="43" t="str">
        <f>IFERROR(__xludf.DUMMYFUNCTION("""COMPUTED_VALUE"""),"5374855_1288609")</f>
        <v>5374855_1288609</v>
      </c>
      <c r="B1108" s="43" t="str">
        <f>IFERROR(__xludf.DUMMYFUNCTION("""COMPUTED_VALUE"""),"Muhammed Şahin")</f>
        <v>Muhammed Şahin</v>
      </c>
      <c r="C1108" s="43" t="str">
        <f>IFERROR(__xludf.DUMMYFUNCTION("""COMPUTED_VALUE"""),"approved")</f>
        <v>approved</v>
      </c>
      <c r="D1108" s="43" t="str">
        <f>IFERROR(__xludf.DUMMYFUNCTION("""COMPUTED_VALUE"""),"No")</f>
        <v>No</v>
      </c>
      <c r="E1108" s="43" t="str">
        <f>IFERROR(__xludf.DUMMYFUNCTION("""COMPUTED_VALUE"""),"p_8953371f2947d6acc2c51f4036edbb1d33398041@inbound.aiesec.org")</f>
        <v>p_8953371f2947d6acc2c51f4036edbb1d33398041@inbound.aiesec.org</v>
      </c>
      <c r="F1108" s="43">
        <f>IFERROR(__xludf.DUMMYFUNCTION("""COMPUTED_VALUE"""),5.303926327E9)</f>
        <v>5303926327</v>
      </c>
      <c r="G1108" s="43" t="str">
        <f>IFERROR(__xludf.DUMMYFUNCTION("""COMPUTED_VALUE"""),"Turkey")</f>
        <v>Turkey</v>
      </c>
      <c r="H1108" s="43" t="str">
        <f>IFERROR(__xludf.DUMMYFUNCTION("""COMPUTED_VALUE"""),"GAZIANTEP")</f>
        <v>GAZIANTEP</v>
      </c>
      <c r="I1108" s="43" t="str">
        <f>IFERROR(__xludf.DUMMYFUNCTION("""COMPUTED_VALUE"""),"Egypt")</f>
        <v>Egypt</v>
      </c>
      <c r="J1108" s="43" t="str">
        <f>IFERROR(__xludf.DUMMYFUNCTION("""COMPUTED_VALUE"""),"Tanta")</f>
        <v>Tanta</v>
      </c>
      <c r="K1108" s="44" t="str">
        <f>IFERROR(__xludf.DUMMYFUNCTION("""COMPUTED_VALUE"""),"https://expa.aiesec.org/opportunities/1288609")</f>
        <v>https://expa.aiesec.org/opportunities/1288609</v>
      </c>
      <c r="L1108" s="43" t="str">
        <f>IFERROR(__xludf.DUMMYFUNCTION("""COMPUTED_VALUE"""),"GV")</f>
        <v>GV</v>
      </c>
      <c r="M1108" s="43" t="str">
        <f>IFERROR(__xludf.DUMMYFUNCTION("""COMPUTED_VALUE"""),"short")</f>
        <v>short</v>
      </c>
      <c r="N1108" s="45">
        <f>IFERROR(__xludf.DUMMYFUNCTION("""COMPUTED_VALUE"""),45250.0)</f>
        <v>45250</v>
      </c>
      <c r="O1108" s="45">
        <f>IFERROR(__xludf.DUMMYFUNCTION("""COMPUTED_VALUE"""),45474.0)</f>
        <v>45474</v>
      </c>
      <c r="P1108" s="45">
        <f>IFERROR(__xludf.DUMMYFUNCTION("""COMPUTED_VALUE"""),45516.0)</f>
        <v>45516</v>
      </c>
      <c r="Q1108" s="45"/>
      <c r="R1108" s="45"/>
      <c r="S1108" s="43"/>
      <c r="T1108" s="43"/>
      <c r="U1108" s="43" t="str">
        <f>IFERROR(__xludf.DUMMYFUNCTION("""COMPUTED_VALUE"""),"On The Map")</f>
        <v>On The Map</v>
      </c>
      <c r="V1108" s="43" t="str">
        <f>IFERROR(__xludf.DUMMYFUNCTION("""COMPUTED_VALUE"""),"GAZIANTEP")</f>
        <v>GAZIANTEP</v>
      </c>
      <c r="W1108" s="43" t="str">
        <f>IFERROR(__xludf.DUMMYFUNCTION("""COMPUTED_VALUE"""),"2023-11-18T10:53:49Z")</f>
        <v>2023-11-18T10:53:49Z</v>
      </c>
      <c r="X1108" s="43"/>
      <c r="Y1108" s="43"/>
      <c r="Z1108" s="43"/>
    </row>
    <row r="1109" hidden="1">
      <c r="A1109" s="43" t="str">
        <f>IFERROR(__xludf.DUMMYFUNCTION("""COMPUTED_VALUE"""),"5374662_1288609")</f>
        <v>5374662_1288609</v>
      </c>
      <c r="B1109" s="43" t="str">
        <f>IFERROR(__xludf.DUMMYFUNCTION("""COMPUTED_VALUE"""),"Onur Birgin")</f>
        <v>Onur Birgin</v>
      </c>
      <c r="C1109" s="43" t="str">
        <f>IFERROR(__xludf.DUMMYFUNCTION("""COMPUTED_VALUE"""),"approved")</f>
        <v>approved</v>
      </c>
      <c r="D1109" s="43" t="str">
        <f>IFERROR(__xludf.DUMMYFUNCTION("""COMPUTED_VALUE"""),"No")</f>
        <v>No</v>
      </c>
      <c r="E1109" s="43" t="str">
        <f>IFERROR(__xludf.DUMMYFUNCTION("""COMPUTED_VALUE"""),"p_cebfdef1e7e7f512161ff3883222c5c5679919c4@inbound.aiesec.org")</f>
        <v>p_cebfdef1e7e7f512161ff3883222c5c5679919c4@inbound.aiesec.org</v>
      </c>
      <c r="F1109" s="43">
        <f>IFERROR(__xludf.DUMMYFUNCTION("""COMPUTED_VALUE"""),5.511365182E9)</f>
        <v>5511365182</v>
      </c>
      <c r="G1109" s="43" t="str">
        <f>IFERROR(__xludf.DUMMYFUNCTION("""COMPUTED_VALUE"""),"Turkey")</f>
        <v>Turkey</v>
      </c>
      <c r="H1109" s="43" t="str">
        <f>IFERROR(__xludf.DUMMYFUNCTION("""COMPUTED_VALUE"""),"GAZIANTEP")</f>
        <v>GAZIANTEP</v>
      </c>
      <c r="I1109" s="43" t="str">
        <f>IFERROR(__xludf.DUMMYFUNCTION("""COMPUTED_VALUE"""),"Egypt")</f>
        <v>Egypt</v>
      </c>
      <c r="J1109" s="43" t="str">
        <f>IFERROR(__xludf.DUMMYFUNCTION("""COMPUTED_VALUE"""),"Tanta")</f>
        <v>Tanta</v>
      </c>
      <c r="K1109" s="44" t="str">
        <f>IFERROR(__xludf.DUMMYFUNCTION("""COMPUTED_VALUE"""),"https://expa.aiesec.org/opportunities/1288609")</f>
        <v>https://expa.aiesec.org/opportunities/1288609</v>
      </c>
      <c r="L1109" s="43" t="str">
        <f>IFERROR(__xludf.DUMMYFUNCTION("""COMPUTED_VALUE"""),"GV")</f>
        <v>GV</v>
      </c>
      <c r="M1109" s="43" t="str">
        <f>IFERROR(__xludf.DUMMYFUNCTION("""COMPUTED_VALUE"""),"short")</f>
        <v>short</v>
      </c>
      <c r="N1109" s="45">
        <f>IFERROR(__xludf.DUMMYFUNCTION("""COMPUTED_VALUE"""),45250.0)</f>
        <v>45250</v>
      </c>
      <c r="O1109" s="45">
        <f>IFERROR(__xludf.DUMMYFUNCTION("""COMPUTED_VALUE"""),45474.0)</f>
        <v>45474</v>
      </c>
      <c r="P1109" s="45">
        <f>IFERROR(__xludf.DUMMYFUNCTION("""COMPUTED_VALUE"""),45516.0)</f>
        <v>45516</v>
      </c>
      <c r="Q1109" s="45"/>
      <c r="R1109" s="45"/>
      <c r="S1109" s="43"/>
      <c r="T1109" s="43"/>
      <c r="U1109" s="43" t="str">
        <f>IFERROR(__xludf.DUMMYFUNCTION("""COMPUTED_VALUE"""),"On The Map")</f>
        <v>On The Map</v>
      </c>
      <c r="V1109" s="43" t="str">
        <f>IFERROR(__xludf.DUMMYFUNCTION("""COMPUTED_VALUE"""),"GAZIANTEP")</f>
        <v>GAZIANTEP</v>
      </c>
      <c r="W1109" s="43" t="str">
        <f>IFERROR(__xludf.DUMMYFUNCTION("""COMPUTED_VALUE"""),"2023-11-17T19:53:15Z")</f>
        <v>2023-11-17T19:53:15Z</v>
      </c>
      <c r="X1109" s="43"/>
      <c r="Y1109" s="43"/>
      <c r="Z1109" s="43"/>
    </row>
    <row r="1110" hidden="1">
      <c r="A1110" s="43" t="str">
        <f>IFERROR(__xludf.DUMMYFUNCTION("""COMPUTED_VALUE"""),"5374479_1300779")</f>
        <v>5374479_1300779</v>
      </c>
      <c r="B1110" s="43" t="str">
        <f>IFERROR(__xludf.DUMMYFUNCTION("""COMPUTED_VALUE"""),"Ezgi Kınay")</f>
        <v>Ezgi Kınay</v>
      </c>
      <c r="C1110" s="43" t="str">
        <f>IFERROR(__xludf.DUMMYFUNCTION("""COMPUTED_VALUE"""),"approved")</f>
        <v>approved</v>
      </c>
      <c r="D1110" s="43" t="str">
        <f>IFERROR(__xludf.DUMMYFUNCTION("""COMPUTED_VALUE"""),"No")</f>
        <v>No</v>
      </c>
      <c r="E1110" s="43" t="str">
        <f>IFERROR(__xludf.DUMMYFUNCTION("""COMPUTED_VALUE"""),"p_132b938e1833dc5d5d5d9b481b77f6d9acb3e1b7@inbound.aiesec.org")</f>
        <v>p_132b938e1833dc5d5d5d9b481b77f6d9acb3e1b7@inbound.aiesec.org</v>
      </c>
      <c r="F1110" s="43">
        <f>IFERROR(__xludf.DUMMYFUNCTION("""COMPUTED_VALUE"""),5.452253364E9)</f>
        <v>5452253364</v>
      </c>
      <c r="G1110" s="43" t="str">
        <f>IFERROR(__xludf.DUMMYFUNCTION("""COMPUTED_VALUE"""),"Turkey")</f>
        <v>Turkey</v>
      </c>
      <c r="H1110" s="43" t="str">
        <f>IFERROR(__xludf.DUMMYFUNCTION("""COMPUTED_VALUE"""),"ADANA")</f>
        <v>ADANA</v>
      </c>
      <c r="I1110" s="43" t="str">
        <f>IFERROR(__xludf.DUMMYFUNCTION("""COMPUTED_VALUE"""),"Egypt")</f>
        <v>Egypt</v>
      </c>
      <c r="J1110" s="43" t="str">
        <f>IFERROR(__xludf.DUMMYFUNCTION("""COMPUTED_VALUE"""),"Helwan")</f>
        <v>Helwan</v>
      </c>
      <c r="K1110" s="44" t="str">
        <f>IFERROR(__xludf.DUMMYFUNCTION("""COMPUTED_VALUE"""),"https://expa.aiesec.org/opportunities/1300779")</f>
        <v>https://expa.aiesec.org/opportunities/1300779</v>
      </c>
      <c r="L1110" s="43" t="str">
        <f>IFERROR(__xludf.DUMMYFUNCTION("""COMPUTED_VALUE"""),"GV")</f>
        <v>GV</v>
      </c>
      <c r="M1110" s="43" t="str">
        <f>IFERROR(__xludf.DUMMYFUNCTION("""COMPUTED_VALUE"""),"short")</f>
        <v>short</v>
      </c>
      <c r="N1110" s="45">
        <f>IFERROR(__xludf.DUMMYFUNCTION("""COMPUTED_VALUE"""),45250.0)</f>
        <v>45250</v>
      </c>
      <c r="O1110" s="45">
        <f>IFERROR(__xludf.DUMMYFUNCTION("""COMPUTED_VALUE"""),45444.0)</f>
        <v>45444</v>
      </c>
      <c r="P1110" s="45">
        <f>IFERROR(__xludf.DUMMYFUNCTION("""COMPUTED_VALUE"""),45486.0)</f>
        <v>45486</v>
      </c>
      <c r="Q1110" s="45"/>
      <c r="R1110" s="45"/>
      <c r="S1110" s="43"/>
      <c r="T1110" s="43"/>
      <c r="U1110" s="43" t="str">
        <f>IFERROR(__xludf.DUMMYFUNCTION("""COMPUTED_VALUE"""),"Global Classroom")</f>
        <v>Global Classroom</v>
      </c>
      <c r="V1110" s="43" t="str">
        <f>IFERROR(__xludf.DUMMYFUNCTION("""COMPUTED_VALUE"""),"ADANA")</f>
        <v>ADANA</v>
      </c>
      <c r="W1110" s="43" t="str">
        <f>IFERROR(__xludf.DUMMYFUNCTION("""COMPUTED_VALUE"""),"2023-11-17T14:33:07Z")</f>
        <v>2023-11-17T14:33:07Z</v>
      </c>
      <c r="X1110" s="43"/>
      <c r="Y1110" s="43"/>
      <c r="Z1110" s="43"/>
    </row>
    <row r="1111" hidden="1">
      <c r="A1111" s="43" t="str">
        <f>IFERROR(__xludf.DUMMYFUNCTION("""COMPUTED_VALUE"""),"5373710_1300092")</f>
        <v>5373710_1300092</v>
      </c>
      <c r="B1111" s="43" t="str">
        <f>IFERROR(__xludf.DUMMYFUNCTION("""COMPUTED_VALUE"""),"Yağmur Ağaoğlu")</f>
        <v>Yağmur Ağaoğlu</v>
      </c>
      <c r="C1111" s="43" t="str">
        <f>IFERROR(__xludf.DUMMYFUNCTION("""COMPUTED_VALUE"""),"realized")</f>
        <v>realized</v>
      </c>
      <c r="D1111" s="43" t="str">
        <f>IFERROR(__xludf.DUMMYFUNCTION("""COMPUTED_VALUE"""),"No")</f>
        <v>No</v>
      </c>
      <c r="E1111" s="43" t="str">
        <f>IFERROR(__xludf.DUMMYFUNCTION("""COMPUTED_VALUE"""),"p_f969f688deaf5aa53c750fd1f8680c5ac29c2fe2@inbound.aiesec.org")</f>
        <v>p_f969f688deaf5aa53c750fd1f8680c5ac29c2fe2@inbound.aiesec.org</v>
      </c>
      <c r="F1111" s="43">
        <f>IFERROR(__xludf.DUMMYFUNCTION("""COMPUTED_VALUE"""),5.34403828E9)</f>
        <v>5344038280</v>
      </c>
      <c r="G1111" s="43" t="str">
        <f>IFERROR(__xludf.DUMMYFUNCTION("""COMPUTED_VALUE"""),"Turkey")</f>
        <v>Turkey</v>
      </c>
      <c r="H1111" s="43" t="str">
        <f>IFERROR(__xludf.DUMMYFUNCTION("""COMPUTED_VALUE"""),"ISTANBUL")</f>
        <v>ISTANBUL</v>
      </c>
      <c r="I1111" s="43" t="str">
        <f>IFERROR(__xludf.DUMMYFUNCTION("""COMPUTED_VALUE"""),"Egypt")</f>
        <v>Egypt</v>
      </c>
      <c r="J1111" s="43" t="str">
        <f>IFERROR(__xludf.DUMMYFUNCTION("""COMPUTED_VALUE"""),"6th October University")</f>
        <v>6th October University</v>
      </c>
      <c r="K1111" s="44" t="str">
        <f>IFERROR(__xludf.DUMMYFUNCTION("""COMPUTED_VALUE"""),"https://expa.aiesec.org/opportunities/1300092")</f>
        <v>https://expa.aiesec.org/opportunities/1300092</v>
      </c>
      <c r="L1111" s="43" t="str">
        <f>IFERROR(__xludf.DUMMYFUNCTION("""COMPUTED_VALUE"""),"GV")</f>
        <v>GV</v>
      </c>
      <c r="M1111" s="43" t="str">
        <f>IFERROR(__xludf.DUMMYFUNCTION("""COMPUTED_VALUE"""),"short")</f>
        <v>short</v>
      </c>
      <c r="N1111" s="45">
        <f>IFERROR(__xludf.DUMMYFUNCTION("""COMPUTED_VALUE"""),45250.0)</f>
        <v>45250</v>
      </c>
      <c r="O1111" s="45">
        <f>IFERROR(__xludf.DUMMYFUNCTION("""COMPUTED_VALUE"""),45306.0)</f>
        <v>45306</v>
      </c>
      <c r="P1111" s="45">
        <f>IFERROR(__xludf.DUMMYFUNCTION("""COMPUTED_VALUE"""),45348.0)</f>
        <v>45348</v>
      </c>
      <c r="Q1111" s="45">
        <f>IFERROR(__xludf.DUMMYFUNCTION("""COMPUTED_VALUE"""),45307.0)</f>
        <v>45307</v>
      </c>
      <c r="R1111" s="45">
        <f>IFERROR(__xludf.DUMMYFUNCTION("""COMPUTED_VALUE"""),45349.0)</f>
        <v>45349</v>
      </c>
      <c r="S1111" s="43"/>
      <c r="T1111" s="43"/>
      <c r="U1111" s="43" t="str">
        <f>IFERROR(__xludf.DUMMYFUNCTION("""COMPUTED_VALUE"""),"Raise Your Voice")</f>
        <v>Raise Your Voice</v>
      </c>
      <c r="V1111" s="43" t="str">
        <f>IFERROR(__xludf.DUMMYFUNCTION("""COMPUTED_VALUE"""),"ISTANBUL - BEYOGLU")</f>
        <v>ISTANBUL - BEYOGLU</v>
      </c>
      <c r="W1111" s="43" t="str">
        <f>IFERROR(__xludf.DUMMYFUNCTION("""COMPUTED_VALUE"""),"2023-11-16T20:25:36Z")</f>
        <v>2023-11-16T20:25:36Z</v>
      </c>
      <c r="X1111" s="43"/>
      <c r="Y1111" s="43"/>
      <c r="Z1111" s="43"/>
    </row>
    <row r="1112" hidden="1">
      <c r="A1112" s="43" t="str">
        <f>IFERROR(__xludf.DUMMYFUNCTION("""COMPUTED_VALUE"""),"4026574_1288843")</f>
        <v>4026574_1288843</v>
      </c>
      <c r="B1112" s="43" t="str">
        <f>IFERROR(__xludf.DUMMYFUNCTION("""COMPUTED_VALUE"""),"Gözde Ersöz")</f>
        <v>Gözde Ersöz</v>
      </c>
      <c r="C1112" s="43" t="str">
        <f>IFERROR(__xludf.DUMMYFUNCTION("""COMPUTED_VALUE"""),"approved")</f>
        <v>approved</v>
      </c>
      <c r="D1112" s="43" t="str">
        <f>IFERROR(__xludf.DUMMYFUNCTION("""COMPUTED_VALUE"""),"No")</f>
        <v>No</v>
      </c>
      <c r="E1112" s="43" t="str">
        <f>IFERROR(__xludf.DUMMYFUNCTION("""COMPUTED_VALUE"""),"p_0f4ddc16134f9f46a93fd232b0b08659264149d8@inbound.aiesec.org")</f>
        <v>p_0f4ddc16134f9f46a93fd232b0b08659264149d8@inbound.aiesec.org</v>
      </c>
      <c r="F1112" s="43">
        <f>IFERROR(__xludf.DUMMYFUNCTION("""COMPUTED_VALUE"""),5.51435185E9)</f>
        <v>5514351850</v>
      </c>
      <c r="G1112" s="43" t="str">
        <f>IFERROR(__xludf.DUMMYFUNCTION("""COMPUTED_VALUE"""),"Turkey")</f>
        <v>Turkey</v>
      </c>
      <c r="H1112" s="43" t="str">
        <f>IFERROR(__xludf.DUMMYFUNCTION("""COMPUTED_VALUE"""),"ISTANBUL")</f>
        <v>ISTANBUL</v>
      </c>
      <c r="I1112" s="43" t="str">
        <f>IFERROR(__xludf.DUMMYFUNCTION("""COMPUTED_VALUE"""),"Sri Lanka")</f>
        <v>Sri Lanka</v>
      </c>
      <c r="J1112" s="43" t="str">
        <f>IFERROR(__xludf.DUMMYFUNCTION("""COMPUTED_VALUE"""),"COLOMBO NORTH")</f>
        <v>COLOMBO NORTH</v>
      </c>
      <c r="K1112" s="44" t="str">
        <f>IFERROR(__xludf.DUMMYFUNCTION("""COMPUTED_VALUE"""),"https://expa.aiesec.org/opportunities/1288843")</f>
        <v>https://expa.aiesec.org/opportunities/1288843</v>
      </c>
      <c r="L1112" s="43" t="str">
        <f>IFERROR(__xludf.DUMMYFUNCTION("""COMPUTED_VALUE"""),"GV")</f>
        <v>GV</v>
      </c>
      <c r="M1112" s="43" t="str">
        <f>IFERROR(__xludf.DUMMYFUNCTION("""COMPUTED_VALUE"""),"short")</f>
        <v>short</v>
      </c>
      <c r="N1112" s="45">
        <f>IFERROR(__xludf.DUMMYFUNCTION("""COMPUTED_VALUE"""),45250.0)</f>
        <v>45250</v>
      </c>
      <c r="O1112" s="45">
        <f>IFERROR(__xludf.DUMMYFUNCTION("""COMPUTED_VALUE"""),45474.0)</f>
        <v>45474</v>
      </c>
      <c r="P1112" s="45">
        <f>IFERROR(__xludf.DUMMYFUNCTION("""COMPUTED_VALUE"""),45516.0)</f>
        <v>45516</v>
      </c>
      <c r="Q1112" s="45"/>
      <c r="R1112" s="45"/>
      <c r="S1112" s="43"/>
      <c r="T1112" s="43"/>
      <c r="U1112" s="43" t="str">
        <f>IFERROR(__xludf.DUMMYFUNCTION("""COMPUTED_VALUE"""),"Green Leaders")</f>
        <v>Green Leaders</v>
      </c>
      <c r="V1112" s="43" t="str">
        <f>IFERROR(__xludf.DUMMYFUNCTION("""COMPUTED_VALUE"""),"ISTANBUL - BEYOGLU")</f>
        <v>ISTANBUL - BEYOGLU</v>
      </c>
      <c r="W1112" s="43" t="str">
        <f>IFERROR(__xludf.DUMMYFUNCTION("""COMPUTED_VALUE"""),"2019-11-22T07:04:52Z")</f>
        <v>2019-11-22T07:04:52Z</v>
      </c>
      <c r="X1112" s="43"/>
      <c r="Y1112" s="43"/>
      <c r="Z1112" s="43"/>
    </row>
    <row r="1113" hidden="1">
      <c r="A1113" s="43" t="str">
        <f>IFERROR(__xludf.DUMMYFUNCTION("""COMPUTED_VALUE"""),"5372819_1291395")</f>
        <v>5372819_1291395</v>
      </c>
      <c r="B1113" s="43" t="str">
        <f>IFERROR(__xludf.DUMMYFUNCTION("""COMPUTED_VALUE"""),"Selinay Çiftçi")</f>
        <v>Selinay Çiftçi</v>
      </c>
      <c r="C1113" s="43" t="str">
        <f>IFERROR(__xludf.DUMMYFUNCTION("""COMPUTED_VALUE"""),"approved")</f>
        <v>approved</v>
      </c>
      <c r="D1113" s="43" t="str">
        <f>IFERROR(__xludf.DUMMYFUNCTION("""COMPUTED_VALUE"""),"No")</f>
        <v>No</v>
      </c>
      <c r="E1113" s="43" t="str">
        <f>IFERROR(__xludf.DUMMYFUNCTION("""COMPUTED_VALUE"""),"p_2288d9a0b2000868b5c23c01d00b2f110fad8d4f@inbound.aiesec.org")</f>
        <v>p_2288d9a0b2000868b5c23c01d00b2f110fad8d4f@inbound.aiesec.org</v>
      </c>
      <c r="F1113" s="43">
        <f>IFERROR(__xludf.DUMMYFUNCTION("""COMPUTED_VALUE"""),5.394872129E9)</f>
        <v>5394872129</v>
      </c>
      <c r="G1113" s="43" t="str">
        <f>IFERROR(__xludf.DUMMYFUNCTION("""COMPUTED_VALUE"""),"Turkey")</f>
        <v>Turkey</v>
      </c>
      <c r="H1113" s="43" t="str">
        <f>IFERROR(__xludf.DUMMYFUNCTION("""COMPUTED_VALUE"""),"ADANA")</f>
        <v>ADANA</v>
      </c>
      <c r="I1113" s="43" t="str">
        <f>IFERROR(__xludf.DUMMYFUNCTION("""COMPUTED_VALUE"""),"Egypt")</f>
        <v>Egypt</v>
      </c>
      <c r="J1113" s="43" t="str">
        <f>IFERROR(__xludf.DUMMYFUNCTION("""COMPUTED_VALUE"""),"Menofia")</f>
        <v>Menofia</v>
      </c>
      <c r="K1113" s="44" t="str">
        <f>IFERROR(__xludf.DUMMYFUNCTION("""COMPUTED_VALUE"""),"https://expa.aiesec.org/opportunities/1291395")</f>
        <v>https://expa.aiesec.org/opportunities/1291395</v>
      </c>
      <c r="L1113" s="43" t="str">
        <f>IFERROR(__xludf.DUMMYFUNCTION("""COMPUTED_VALUE"""),"GV")</f>
        <v>GV</v>
      </c>
      <c r="M1113" s="43" t="str">
        <f>IFERROR(__xludf.DUMMYFUNCTION("""COMPUTED_VALUE"""),"short")</f>
        <v>short</v>
      </c>
      <c r="N1113" s="45">
        <f>IFERROR(__xludf.DUMMYFUNCTION("""COMPUTED_VALUE"""),45250.0)</f>
        <v>45250</v>
      </c>
      <c r="O1113" s="45">
        <f>IFERROR(__xludf.DUMMYFUNCTION("""COMPUTED_VALUE"""),45505.0)</f>
        <v>45505</v>
      </c>
      <c r="P1113" s="45">
        <f>IFERROR(__xludf.DUMMYFUNCTION("""COMPUTED_VALUE"""),45547.0)</f>
        <v>45547</v>
      </c>
      <c r="Q1113" s="45"/>
      <c r="R1113" s="45"/>
      <c r="S1113" s="43"/>
      <c r="T1113" s="43"/>
      <c r="U1113" s="43" t="str">
        <f>IFERROR(__xludf.DUMMYFUNCTION("""COMPUTED_VALUE"""),"Global Classroom")</f>
        <v>Global Classroom</v>
      </c>
      <c r="V1113" s="43" t="str">
        <f>IFERROR(__xludf.DUMMYFUNCTION("""COMPUTED_VALUE"""),"ADANA")</f>
        <v>ADANA</v>
      </c>
      <c r="W1113" s="43" t="str">
        <f>IFERROR(__xludf.DUMMYFUNCTION("""COMPUTED_VALUE"""),"2023-11-15T11:37:33Z")</f>
        <v>2023-11-15T11:37:33Z</v>
      </c>
      <c r="X1113" s="43"/>
      <c r="Y1113" s="43"/>
      <c r="Z1113" s="43"/>
    </row>
    <row r="1114" hidden="1">
      <c r="A1114" s="43" t="str">
        <f>IFERROR(__xludf.DUMMYFUNCTION("""COMPUTED_VALUE"""),"5375111_1298438")</f>
        <v>5375111_1298438</v>
      </c>
      <c r="B1114" s="43" t="str">
        <f>IFERROR(__xludf.DUMMYFUNCTION("""COMPUTED_VALUE"""),"esma sariboga")</f>
        <v>esma sariboga</v>
      </c>
      <c r="C1114" s="43" t="str">
        <f>IFERROR(__xludf.DUMMYFUNCTION("""COMPUTED_VALUE"""),"approved")</f>
        <v>approved</v>
      </c>
      <c r="D1114" s="43" t="str">
        <f>IFERROR(__xludf.DUMMYFUNCTION("""COMPUTED_VALUE"""),"No")</f>
        <v>No</v>
      </c>
      <c r="E1114" s="43" t="str">
        <f>IFERROR(__xludf.DUMMYFUNCTION("""COMPUTED_VALUE"""),"p_a8ad0e0d50b89f56a1156a7e6334a1af6bd2d53f@inbound.aiesec.org")</f>
        <v>p_a8ad0e0d50b89f56a1156a7e6334a1af6bd2d53f@inbound.aiesec.org</v>
      </c>
      <c r="F1114" s="43">
        <f>IFERROR(__xludf.DUMMYFUNCTION("""COMPUTED_VALUE"""),5.076323269E9)</f>
        <v>5076323269</v>
      </c>
      <c r="G1114" s="43" t="str">
        <f>IFERROR(__xludf.DUMMYFUNCTION("""COMPUTED_VALUE"""),"Turkey")</f>
        <v>Turkey</v>
      </c>
      <c r="H1114" s="43" t="str">
        <f>IFERROR(__xludf.DUMMYFUNCTION("""COMPUTED_VALUE"""),"ADANA")</f>
        <v>ADANA</v>
      </c>
      <c r="I1114" s="43" t="str">
        <f>IFERROR(__xludf.DUMMYFUNCTION("""COMPUTED_VALUE"""),"Egypt")</f>
        <v>Egypt</v>
      </c>
      <c r="J1114" s="43" t="str">
        <f>IFERROR(__xludf.DUMMYFUNCTION("""COMPUTED_VALUE"""),"Mansoura")</f>
        <v>Mansoura</v>
      </c>
      <c r="K1114" s="44" t="str">
        <f>IFERROR(__xludf.DUMMYFUNCTION("""COMPUTED_VALUE"""),"https://expa.aiesec.org/opportunities/1298438")</f>
        <v>https://expa.aiesec.org/opportunities/1298438</v>
      </c>
      <c r="L1114" s="43" t="str">
        <f>IFERROR(__xludf.DUMMYFUNCTION("""COMPUTED_VALUE"""),"GV")</f>
        <v>GV</v>
      </c>
      <c r="M1114" s="43" t="str">
        <f>IFERROR(__xludf.DUMMYFUNCTION("""COMPUTED_VALUE"""),"short")</f>
        <v>short</v>
      </c>
      <c r="N1114" s="45">
        <f>IFERROR(__xludf.DUMMYFUNCTION("""COMPUTED_VALUE"""),45250.0)</f>
        <v>45250</v>
      </c>
      <c r="O1114" s="45">
        <f>IFERROR(__xludf.DUMMYFUNCTION("""COMPUTED_VALUE"""),45444.0)</f>
        <v>45444</v>
      </c>
      <c r="P1114" s="45">
        <f>IFERROR(__xludf.DUMMYFUNCTION("""COMPUTED_VALUE"""),45486.0)</f>
        <v>45486</v>
      </c>
      <c r="Q1114" s="45"/>
      <c r="R1114" s="45"/>
      <c r="S1114" s="43"/>
      <c r="T1114" s="43"/>
      <c r="U1114" s="43" t="str">
        <f>IFERROR(__xludf.DUMMYFUNCTION("""COMPUTED_VALUE"""),"Global Classroom")</f>
        <v>Global Classroom</v>
      </c>
      <c r="V1114" s="43" t="str">
        <f>IFERROR(__xludf.DUMMYFUNCTION("""COMPUTED_VALUE"""),"ADANA")</f>
        <v>ADANA</v>
      </c>
      <c r="W1114" s="43" t="str">
        <f>IFERROR(__xludf.DUMMYFUNCTION("""COMPUTED_VALUE"""),"2023-11-18T18:32:57Z")</f>
        <v>2023-11-18T18:32:57Z</v>
      </c>
      <c r="X1114" s="43"/>
      <c r="Y1114" s="43"/>
      <c r="Z1114" s="43"/>
    </row>
    <row r="1115" hidden="1">
      <c r="A1115" s="43" t="str">
        <f>IFERROR(__xludf.DUMMYFUNCTION("""COMPUTED_VALUE"""),"5376095_1293152")</f>
        <v>5376095_1293152</v>
      </c>
      <c r="B1115" s="43" t="str">
        <f>IFERROR(__xludf.DUMMYFUNCTION("""COMPUTED_VALUE"""),"Yasin Çıtak")</f>
        <v>Yasin Çıtak</v>
      </c>
      <c r="C1115" s="43" t="str">
        <f>IFERROR(__xludf.DUMMYFUNCTION("""COMPUTED_VALUE"""),"approved")</f>
        <v>approved</v>
      </c>
      <c r="D1115" s="43" t="str">
        <f>IFERROR(__xludf.DUMMYFUNCTION("""COMPUTED_VALUE"""),"No")</f>
        <v>No</v>
      </c>
      <c r="E1115" s="43" t="str">
        <f>IFERROR(__xludf.DUMMYFUNCTION("""COMPUTED_VALUE"""),"p_1ba77f549b2ef9d30d74ed69f9a09a90bdd13732@inbound.aiesec.org")</f>
        <v>p_1ba77f549b2ef9d30d74ed69f9a09a90bdd13732@inbound.aiesec.org</v>
      </c>
      <c r="F1115" s="43">
        <f>IFERROR(__xludf.DUMMYFUNCTION("""COMPUTED_VALUE"""),5.453344003E9)</f>
        <v>5453344003</v>
      </c>
      <c r="G1115" s="43" t="str">
        <f>IFERROR(__xludf.DUMMYFUNCTION("""COMPUTED_VALUE"""),"Turkey")</f>
        <v>Turkey</v>
      </c>
      <c r="H1115" s="43" t="str">
        <f>IFERROR(__xludf.DUMMYFUNCTION("""COMPUTED_VALUE"""),"SAKARYA")</f>
        <v>SAKARYA</v>
      </c>
      <c r="I1115" s="43" t="str">
        <f>IFERROR(__xludf.DUMMYFUNCTION("""COMPUTED_VALUE"""),"Egypt")</f>
        <v>Egypt</v>
      </c>
      <c r="J1115" s="43" t="str">
        <f>IFERROR(__xludf.DUMMYFUNCTION("""COMPUTED_VALUE"""),"AAST Alexandria")</f>
        <v>AAST Alexandria</v>
      </c>
      <c r="K1115" s="44" t="str">
        <f>IFERROR(__xludf.DUMMYFUNCTION("""COMPUTED_VALUE"""),"https://expa.aiesec.org/opportunities/1293152")</f>
        <v>https://expa.aiesec.org/opportunities/1293152</v>
      </c>
      <c r="L1115" s="43" t="str">
        <f>IFERROR(__xludf.DUMMYFUNCTION("""COMPUTED_VALUE"""),"GV")</f>
        <v>GV</v>
      </c>
      <c r="M1115" s="43" t="str">
        <f>IFERROR(__xludf.DUMMYFUNCTION("""COMPUTED_VALUE"""),"short")</f>
        <v>short</v>
      </c>
      <c r="N1115" s="45">
        <f>IFERROR(__xludf.DUMMYFUNCTION("""COMPUTED_VALUE"""),45250.0)</f>
        <v>45250</v>
      </c>
      <c r="O1115" s="45">
        <f>IFERROR(__xludf.DUMMYFUNCTION("""COMPUTED_VALUE"""),45474.0)</f>
        <v>45474</v>
      </c>
      <c r="P1115" s="45">
        <f>IFERROR(__xludf.DUMMYFUNCTION("""COMPUTED_VALUE"""),45516.0)</f>
        <v>45516</v>
      </c>
      <c r="Q1115" s="45"/>
      <c r="R1115" s="45"/>
      <c r="S1115" s="43"/>
      <c r="T1115" s="43"/>
      <c r="U1115" s="43" t="str">
        <f>IFERROR(__xludf.DUMMYFUNCTION("""COMPUTED_VALUE"""),"Rooted")</f>
        <v>Rooted</v>
      </c>
      <c r="V1115" s="43" t="str">
        <f>IFERROR(__xludf.DUMMYFUNCTION("""COMPUTED_VALUE"""),"SAKARYA")</f>
        <v>SAKARYA</v>
      </c>
      <c r="W1115" s="43" t="str">
        <f>IFERROR(__xludf.DUMMYFUNCTION("""COMPUTED_VALUE"""),"2023-11-20T15:12:44Z")</f>
        <v>2023-11-20T15:12:44Z</v>
      </c>
      <c r="X1115" s="43"/>
      <c r="Y1115" s="43"/>
      <c r="Z1115" s="43"/>
    </row>
    <row r="1116" hidden="1">
      <c r="A1116" s="43" t="str">
        <f>IFERROR(__xludf.DUMMYFUNCTION("""COMPUTED_VALUE"""),"5376094_1293152")</f>
        <v>5376094_1293152</v>
      </c>
      <c r="B1116" s="43" t="str">
        <f>IFERROR(__xludf.DUMMYFUNCTION("""COMPUTED_VALUE"""),"Eren Soylu")</f>
        <v>Eren Soylu</v>
      </c>
      <c r="C1116" s="43" t="str">
        <f>IFERROR(__xludf.DUMMYFUNCTION("""COMPUTED_VALUE"""),"approved")</f>
        <v>approved</v>
      </c>
      <c r="D1116" s="43" t="str">
        <f>IFERROR(__xludf.DUMMYFUNCTION("""COMPUTED_VALUE"""),"No")</f>
        <v>No</v>
      </c>
      <c r="E1116" s="43" t="str">
        <f>IFERROR(__xludf.DUMMYFUNCTION("""COMPUTED_VALUE"""),"p_1dac6a8789ac88fdc90a872d6cd03d905f7ef3b5@inbound.aiesec.org")</f>
        <v>p_1dac6a8789ac88fdc90a872d6cd03d905f7ef3b5@inbound.aiesec.org</v>
      </c>
      <c r="F1116" s="43">
        <f>IFERROR(__xludf.DUMMYFUNCTION("""COMPUTED_VALUE"""),5.054715803E9)</f>
        <v>5054715803</v>
      </c>
      <c r="G1116" s="43" t="str">
        <f>IFERROR(__xludf.DUMMYFUNCTION("""COMPUTED_VALUE"""),"Turkey")</f>
        <v>Turkey</v>
      </c>
      <c r="H1116" s="43" t="str">
        <f>IFERROR(__xludf.DUMMYFUNCTION("""COMPUTED_VALUE"""),"SAKARYA")</f>
        <v>SAKARYA</v>
      </c>
      <c r="I1116" s="43" t="str">
        <f>IFERROR(__xludf.DUMMYFUNCTION("""COMPUTED_VALUE"""),"Egypt")</f>
        <v>Egypt</v>
      </c>
      <c r="J1116" s="43" t="str">
        <f>IFERROR(__xludf.DUMMYFUNCTION("""COMPUTED_VALUE"""),"AAST Alexandria")</f>
        <v>AAST Alexandria</v>
      </c>
      <c r="K1116" s="44" t="str">
        <f>IFERROR(__xludf.DUMMYFUNCTION("""COMPUTED_VALUE"""),"https://expa.aiesec.org/opportunities/1293152")</f>
        <v>https://expa.aiesec.org/opportunities/1293152</v>
      </c>
      <c r="L1116" s="43" t="str">
        <f>IFERROR(__xludf.DUMMYFUNCTION("""COMPUTED_VALUE"""),"GV")</f>
        <v>GV</v>
      </c>
      <c r="M1116" s="43" t="str">
        <f>IFERROR(__xludf.DUMMYFUNCTION("""COMPUTED_VALUE"""),"short")</f>
        <v>short</v>
      </c>
      <c r="N1116" s="45">
        <f>IFERROR(__xludf.DUMMYFUNCTION("""COMPUTED_VALUE"""),45250.0)</f>
        <v>45250</v>
      </c>
      <c r="O1116" s="45">
        <f>IFERROR(__xludf.DUMMYFUNCTION("""COMPUTED_VALUE"""),45474.0)</f>
        <v>45474</v>
      </c>
      <c r="P1116" s="45">
        <f>IFERROR(__xludf.DUMMYFUNCTION("""COMPUTED_VALUE"""),45516.0)</f>
        <v>45516</v>
      </c>
      <c r="Q1116" s="45"/>
      <c r="R1116" s="45"/>
      <c r="S1116" s="43"/>
      <c r="T1116" s="43"/>
      <c r="U1116" s="43" t="str">
        <f>IFERROR(__xludf.DUMMYFUNCTION("""COMPUTED_VALUE"""),"Rooted")</f>
        <v>Rooted</v>
      </c>
      <c r="V1116" s="43" t="str">
        <f>IFERROR(__xludf.DUMMYFUNCTION("""COMPUTED_VALUE"""),"SAKARYA")</f>
        <v>SAKARYA</v>
      </c>
      <c r="W1116" s="43" t="str">
        <f>IFERROR(__xludf.DUMMYFUNCTION("""COMPUTED_VALUE"""),"2023-11-20T15:12:41Z")</f>
        <v>2023-11-20T15:12:41Z</v>
      </c>
      <c r="X1116" s="43"/>
      <c r="Y1116" s="43"/>
      <c r="Z1116" s="43"/>
    </row>
    <row r="1117" hidden="1">
      <c r="A1117" s="43" t="str">
        <f>IFERROR(__xludf.DUMMYFUNCTION("""COMPUTED_VALUE"""),"5247361_1299929")</f>
        <v>5247361_1299929</v>
      </c>
      <c r="B1117" s="43" t="str">
        <f>IFERROR(__xludf.DUMMYFUNCTION("""COMPUTED_VALUE"""),"Vehbi Kerem Demirci")</f>
        <v>Vehbi Kerem Demirci</v>
      </c>
      <c r="C1117" s="43" t="str">
        <f>IFERROR(__xludf.DUMMYFUNCTION("""COMPUTED_VALUE"""),"realized")</f>
        <v>realized</v>
      </c>
      <c r="D1117" s="43" t="str">
        <f>IFERROR(__xludf.DUMMYFUNCTION("""COMPUTED_VALUE"""),"No")</f>
        <v>No</v>
      </c>
      <c r="E1117" s="43" t="str">
        <f>IFERROR(__xludf.DUMMYFUNCTION("""COMPUTED_VALUE"""),"p_5f0a8b72a6a2b5da8ad608918370767546a723ba@inbound.aiesec.org")</f>
        <v>p_5f0a8b72a6a2b5da8ad608918370767546a723ba@inbound.aiesec.org</v>
      </c>
      <c r="F1117" s="43">
        <f>IFERROR(__xludf.DUMMYFUNCTION("""COMPUTED_VALUE"""),5.457800487E9)</f>
        <v>5457800487</v>
      </c>
      <c r="G1117" s="43" t="str">
        <f>IFERROR(__xludf.DUMMYFUNCTION("""COMPUTED_VALUE"""),"Turkey")</f>
        <v>Turkey</v>
      </c>
      <c r="H1117" s="43" t="str">
        <f>IFERROR(__xludf.DUMMYFUNCTION("""COMPUTED_VALUE"""),"KOCAELI")</f>
        <v>KOCAELI</v>
      </c>
      <c r="I1117" s="43" t="str">
        <f>IFERROR(__xludf.DUMMYFUNCTION("""COMPUTED_VALUE"""),"Serbia")</f>
        <v>Serbia</v>
      </c>
      <c r="J1117" s="43" t="str">
        <f>IFERROR(__xludf.DUMMYFUNCTION("""COMPUTED_VALUE"""),"Subotica")</f>
        <v>Subotica</v>
      </c>
      <c r="K1117" s="44" t="str">
        <f>IFERROR(__xludf.DUMMYFUNCTION("""COMPUTED_VALUE"""),"https://expa.aiesec.org/opportunities/1299929")</f>
        <v>https://expa.aiesec.org/opportunities/1299929</v>
      </c>
      <c r="L1117" s="43" t="str">
        <f>IFERROR(__xludf.DUMMYFUNCTION("""COMPUTED_VALUE"""),"GV")</f>
        <v>GV</v>
      </c>
      <c r="M1117" s="43" t="str">
        <f>IFERROR(__xludf.DUMMYFUNCTION("""COMPUTED_VALUE"""),"short")</f>
        <v>short</v>
      </c>
      <c r="N1117" s="45">
        <f>IFERROR(__xludf.DUMMYFUNCTION("""COMPUTED_VALUE"""),45250.0)</f>
        <v>45250</v>
      </c>
      <c r="O1117" s="45">
        <f>IFERROR(__xludf.DUMMYFUNCTION("""COMPUTED_VALUE"""),45313.0)</f>
        <v>45313</v>
      </c>
      <c r="P1117" s="45">
        <f>IFERROR(__xludf.DUMMYFUNCTION("""COMPUTED_VALUE"""),45355.0)</f>
        <v>45355</v>
      </c>
      <c r="Q1117" s="45">
        <f>IFERROR(__xludf.DUMMYFUNCTION("""COMPUTED_VALUE"""),45313.0)</f>
        <v>45313</v>
      </c>
      <c r="R1117" s="45">
        <f>IFERROR(__xludf.DUMMYFUNCTION("""COMPUTED_VALUE"""),45355.0)</f>
        <v>45355</v>
      </c>
      <c r="S1117" s="43"/>
      <c r="T1117" s="43"/>
      <c r="U1117" s="43" t="str">
        <f>IFERROR(__xludf.DUMMYFUNCTION("""COMPUTED_VALUE"""),"Skill Up!")</f>
        <v>Skill Up!</v>
      </c>
      <c r="V1117" s="43" t="str">
        <f>IFERROR(__xludf.DUMMYFUNCTION("""COMPUTED_VALUE"""),"KOCAELI")</f>
        <v>KOCAELI</v>
      </c>
      <c r="W1117" s="43" t="str">
        <f>IFERROR(__xludf.DUMMYFUNCTION("""COMPUTED_VALUE"""),"2023-04-22T16:19:42Z")</f>
        <v>2023-04-22T16:19:42Z</v>
      </c>
      <c r="X1117" s="43"/>
      <c r="Y1117" s="43"/>
      <c r="Z1117" s="43"/>
    </row>
    <row r="1118" hidden="1">
      <c r="A1118" s="43" t="str">
        <f>IFERROR(__xludf.DUMMYFUNCTION("""COMPUTED_VALUE"""),"5362167_1296885")</f>
        <v>5362167_1296885</v>
      </c>
      <c r="B1118" s="43" t="str">
        <f>IFERROR(__xludf.DUMMYFUNCTION("""COMPUTED_VALUE"""),"Sevinç gökçe")</f>
        <v>Sevinç gökçe</v>
      </c>
      <c r="C1118" s="43" t="str">
        <f>IFERROR(__xludf.DUMMYFUNCTION("""COMPUTED_VALUE"""),"approved")</f>
        <v>approved</v>
      </c>
      <c r="D1118" s="43" t="str">
        <f>IFERROR(__xludf.DUMMYFUNCTION("""COMPUTED_VALUE"""),"No")</f>
        <v>No</v>
      </c>
      <c r="E1118" s="43" t="str">
        <f>IFERROR(__xludf.DUMMYFUNCTION("""COMPUTED_VALUE"""),"p_87525c93c41dcecce64e5f166db6588becc18d29@inbound.aiesec.org")</f>
        <v>p_87525c93c41dcecce64e5f166db6588becc18d29@inbound.aiesec.org</v>
      </c>
      <c r="F1118" s="43"/>
      <c r="G1118" s="43" t="str">
        <f>IFERROR(__xludf.DUMMYFUNCTION("""COMPUTED_VALUE"""),"Turkey")</f>
        <v>Turkey</v>
      </c>
      <c r="H1118" s="43" t="str">
        <f>IFERROR(__xludf.DUMMYFUNCTION("""COMPUTED_VALUE"""),"ESKISEHIR")</f>
        <v>ESKISEHIR</v>
      </c>
      <c r="I1118" s="43" t="str">
        <f>IFERROR(__xludf.DUMMYFUNCTION("""COMPUTED_VALUE"""),"India")</f>
        <v>India</v>
      </c>
      <c r="J1118" s="43" t="str">
        <f>IFERROR(__xludf.DUMMYFUNCTION("""COMPUTED_VALUE"""),"Delhi IIT")</f>
        <v>Delhi IIT</v>
      </c>
      <c r="K1118" s="44" t="str">
        <f>IFERROR(__xludf.DUMMYFUNCTION("""COMPUTED_VALUE"""),"https://expa.aiesec.org/opportunities/1296885")</f>
        <v>https://expa.aiesec.org/opportunities/1296885</v>
      </c>
      <c r="L1118" s="43" t="str">
        <f>IFERROR(__xludf.DUMMYFUNCTION("""COMPUTED_VALUE"""),"GV")</f>
        <v>GV</v>
      </c>
      <c r="M1118" s="43" t="str">
        <f>IFERROR(__xludf.DUMMYFUNCTION("""COMPUTED_VALUE"""),"short")</f>
        <v>short</v>
      </c>
      <c r="N1118" s="45">
        <f>IFERROR(__xludf.DUMMYFUNCTION("""COMPUTED_VALUE"""),45250.0)</f>
        <v>45250</v>
      </c>
      <c r="O1118" s="45">
        <f>IFERROR(__xludf.DUMMYFUNCTION("""COMPUTED_VALUE"""),45480.0)</f>
        <v>45480</v>
      </c>
      <c r="P1118" s="45">
        <f>IFERROR(__xludf.DUMMYFUNCTION("""COMPUTED_VALUE"""),45522.0)</f>
        <v>45522</v>
      </c>
      <c r="Q1118" s="45"/>
      <c r="R1118" s="45"/>
      <c r="S1118" s="43"/>
      <c r="T1118" s="43"/>
      <c r="U1118" s="43" t="str">
        <f>IFERROR(__xludf.DUMMYFUNCTION("""COMPUTED_VALUE"""),"On The Map")</f>
        <v>On The Map</v>
      </c>
      <c r="V1118" s="43" t="str">
        <f>IFERROR(__xludf.DUMMYFUNCTION("""COMPUTED_VALUE"""),"-")</f>
        <v>-</v>
      </c>
      <c r="W1118" s="43" t="str">
        <f>IFERROR(__xludf.DUMMYFUNCTION("""COMPUTED_VALUE"""),"2023-10-28T15:22:33Z")</f>
        <v>2023-10-28T15:22:33Z</v>
      </c>
      <c r="X1118" s="43"/>
      <c r="Y1118" s="43"/>
      <c r="Z1118" s="43"/>
    </row>
    <row r="1119" hidden="1">
      <c r="A1119" s="43" t="str">
        <f>IFERROR(__xludf.DUMMYFUNCTION("""COMPUTED_VALUE"""),"5375084_1301479")</f>
        <v>5375084_1301479</v>
      </c>
      <c r="B1119" s="43" t="str">
        <f>IFERROR(__xludf.DUMMYFUNCTION("""COMPUTED_VALUE"""),"Emirhan Nuroğlu")</f>
        <v>Emirhan Nuroğlu</v>
      </c>
      <c r="C1119" s="43" t="str">
        <f>IFERROR(__xludf.DUMMYFUNCTION("""COMPUTED_VALUE"""),"realized")</f>
        <v>realized</v>
      </c>
      <c r="D1119" s="43" t="str">
        <f>IFERROR(__xludf.DUMMYFUNCTION("""COMPUTED_VALUE"""),"No")</f>
        <v>No</v>
      </c>
      <c r="E1119" s="43" t="str">
        <f>IFERROR(__xludf.DUMMYFUNCTION("""COMPUTED_VALUE"""),"p_acfbba65d5bf98db96b64166eec212a3762f78af@inbound.aiesec.org")</f>
        <v>p_acfbba65d5bf98db96b64166eec212a3762f78af@inbound.aiesec.org</v>
      </c>
      <c r="F1119" s="43"/>
      <c r="G1119" s="43" t="str">
        <f>IFERROR(__xludf.DUMMYFUNCTION("""COMPUTED_VALUE"""),"Turkey")</f>
        <v>Turkey</v>
      </c>
      <c r="H1119" s="43" t="str">
        <f>IFERROR(__xludf.DUMMYFUNCTION("""COMPUTED_VALUE"""),"KOCAELI")</f>
        <v>KOCAELI</v>
      </c>
      <c r="I1119" s="43" t="str">
        <f>IFERROR(__xludf.DUMMYFUNCTION("""COMPUTED_VALUE"""),"Egypt")</f>
        <v>Egypt</v>
      </c>
      <c r="J1119" s="43" t="str">
        <f>IFERROR(__xludf.DUMMYFUNCTION("""COMPUTED_VALUE"""),"Ain Shams University")</f>
        <v>Ain Shams University</v>
      </c>
      <c r="K1119" s="44" t="str">
        <f>IFERROR(__xludf.DUMMYFUNCTION("""COMPUTED_VALUE"""),"https://expa.aiesec.org/opportunities/1301479")</f>
        <v>https://expa.aiesec.org/opportunities/1301479</v>
      </c>
      <c r="L1119" s="43" t="str">
        <f>IFERROR(__xludf.DUMMYFUNCTION("""COMPUTED_VALUE"""),"GV")</f>
        <v>GV</v>
      </c>
      <c r="M1119" s="43" t="str">
        <f>IFERROR(__xludf.DUMMYFUNCTION("""COMPUTED_VALUE"""),"short")</f>
        <v>short</v>
      </c>
      <c r="N1119" s="45">
        <f>IFERROR(__xludf.DUMMYFUNCTION("""COMPUTED_VALUE"""),45250.0)</f>
        <v>45250</v>
      </c>
      <c r="O1119" s="45">
        <f>IFERROR(__xludf.DUMMYFUNCTION("""COMPUTED_VALUE"""),45311.0)</f>
        <v>45311</v>
      </c>
      <c r="P1119" s="45">
        <f>IFERROR(__xludf.DUMMYFUNCTION("""COMPUTED_VALUE"""),45353.0)</f>
        <v>45353</v>
      </c>
      <c r="Q1119" s="45">
        <f>IFERROR(__xludf.DUMMYFUNCTION("""COMPUTED_VALUE"""),45316.0)</f>
        <v>45316</v>
      </c>
      <c r="R1119" s="45">
        <f>IFERROR(__xludf.DUMMYFUNCTION("""COMPUTED_VALUE"""),45358.0)</f>
        <v>45358</v>
      </c>
      <c r="S1119" s="43"/>
      <c r="T1119" s="43"/>
      <c r="U1119" s="43" t="str">
        <f>IFERROR(__xludf.DUMMYFUNCTION("""COMPUTED_VALUE"""),"Global Classroom")</f>
        <v>Global Classroom</v>
      </c>
      <c r="V1119" s="43" t="str">
        <f>IFERROR(__xludf.DUMMYFUNCTION("""COMPUTED_VALUE"""),"-")</f>
        <v>-</v>
      </c>
      <c r="W1119" s="43" t="str">
        <f>IFERROR(__xludf.DUMMYFUNCTION("""COMPUTED_VALUE"""),"2023-11-18T17:20:44Z")</f>
        <v>2023-11-18T17:20:44Z</v>
      </c>
      <c r="X1119" s="43"/>
      <c r="Y1119" s="43"/>
      <c r="Z1119" s="43"/>
    </row>
    <row r="1120" hidden="1">
      <c r="A1120" s="43" t="str">
        <f>IFERROR(__xludf.DUMMYFUNCTION("""COMPUTED_VALUE"""),"5376173_1293235")</f>
        <v>5376173_1293235</v>
      </c>
      <c r="B1120" s="43" t="str">
        <f>IFERROR(__xludf.DUMMYFUNCTION("""COMPUTED_VALUE"""),"Semanur Şahin")</f>
        <v>Semanur Şahin</v>
      </c>
      <c r="C1120" s="43" t="str">
        <f>IFERROR(__xludf.DUMMYFUNCTION("""COMPUTED_VALUE"""),"approved")</f>
        <v>approved</v>
      </c>
      <c r="D1120" s="43" t="str">
        <f>IFERROR(__xludf.DUMMYFUNCTION("""COMPUTED_VALUE"""),"No")</f>
        <v>No</v>
      </c>
      <c r="E1120" s="43" t="str">
        <f>IFERROR(__xludf.DUMMYFUNCTION("""COMPUTED_VALUE"""),"p_7932001fdb850384a7fca79c81b577482995b797@inbound.aiesec.org")</f>
        <v>p_7932001fdb850384a7fca79c81b577482995b797@inbound.aiesec.org</v>
      </c>
      <c r="F1120" s="43">
        <f>IFERROR(__xludf.DUMMYFUNCTION("""COMPUTED_VALUE"""),5.301358004E9)</f>
        <v>5301358004</v>
      </c>
      <c r="G1120" s="43" t="str">
        <f>IFERROR(__xludf.DUMMYFUNCTION("""COMPUTED_VALUE"""),"Turkey")</f>
        <v>Turkey</v>
      </c>
      <c r="H1120" s="43" t="str">
        <f>IFERROR(__xludf.DUMMYFUNCTION("""COMPUTED_VALUE"""),"SAKARYA")</f>
        <v>SAKARYA</v>
      </c>
      <c r="I1120" s="43" t="str">
        <f>IFERROR(__xludf.DUMMYFUNCTION("""COMPUTED_VALUE"""),"Egypt")</f>
        <v>Egypt</v>
      </c>
      <c r="J1120" s="43" t="str">
        <f>IFERROR(__xludf.DUMMYFUNCTION("""COMPUTED_VALUE"""),"AAST Alexandria")</f>
        <v>AAST Alexandria</v>
      </c>
      <c r="K1120" s="44" t="str">
        <f>IFERROR(__xludf.DUMMYFUNCTION("""COMPUTED_VALUE"""),"https://expa.aiesec.org/opportunities/1293235")</f>
        <v>https://expa.aiesec.org/opportunities/1293235</v>
      </c>
      <c r="L1120" s="43" t="str">
        <f>IFERROR(__xludf.DUMMYFUNCTION("""COMPUTED_VALUE"""),"GV")</f>
        <v>GV</v>
      </c>
      <c r="M1120" s="43" t="str">
        <f>IFERROR(__xludf.DUMMYFUNCTION("""COMPUTED_VALUE"""),"short")</f>
        <v>short</v>
      </c>
      <c r="N1120" s="45">
        <f>IFERROR(__xludf.DUMMYFUNCTION("""COMPUTED_VALUE"""),45250.0)</f>
        <v>45250</v>
      </c>
      <c r="O1120" s="45">
        <f>IFERROR(__xludf.DUMMYFUNCTION("""COMPUTED_VALUE"""),45474.0)</f>
        <v>45474</v>
      </c>
      <c r="P1120" s="45">
        <f>IFERROR(__xludf.DUMMYFUNCTION("""COMPUTED_VALUE"""),45516.0)</f>
        <v>45516</v>
      </c>
      <c r="Q1120" s="45"/>
      <c r="R1120" s="45"/>
      <c r="S1120" s="43"/>
      <c r="T1120" s="43"/>
      <c r="U1120" s="43" t="str">
        <f>IFERROR(__xludf.DUMMYFUNCTION("""COMPUTED_VALUE"""),"Global Classroom")</f>
        <v>Global Classroom</v>
      </c>
      <c r="V1120" s="43" t="str">
        <f>IFERROR(__xludf.DUMMYFUNCTION("""COMPUTED_VALUE"""),"SAKARYA")</f>
        <v>SAKARYA</v>
      </c>
      <c r="W1120" s="43" t="str">
        <f>IFERROR(__xludf.DUMMYFUNCTION("""COMPUTED_VALUE"""),"2023-11-20T16:51:40Z")</f>
        <v>2023-11-20T16:51:40Z</v>
      </c>
      <c r="X1120" s="43"/>
      <c r="Y1120" s="43"/>
      <c r="Z1120" s="43"/>
    </row>
    <row r="1121" hidden="1">
      <c r="A1121" s="43" t="str">
        <f>IFERROR(__xludf.DUMMYFUNCTION("""COMPUTED_VALUE"""),"5376174_1293235")</f>
        <v>5376174_1293235</v>
      </c>
      <c r="B1121" s="43" t="str">
        <f>IFERROR(__xludf.DUMMYFUNCTION("""COMPUTED_VALUE"""),"Hatice Varlı")</f>
        <v>Hatice Varlı</v>
      </c>
      <c r="C1121" s="43" t="str">
        <f>IFERROR(__xludf.DUMMYFUNCTION("""COMPUTED_VALUE"""),"approved")</f>
        <v>approved</v>
      </c>
      <c r="D1121" s="43" t="str">
        <f>IFERROR(__xludf.DUMMYFUNCTION("""COMPUTED_VALUE"""),"No")</f>
        <v>No</v>
      </c>
      <c r="E1121" s="43" t="str">
        <f>IFERROR(__xludf.DUMMYFUNCTION("""COMPUTED_VALUE"""),"p_dc00d4d8e60aeb82c63c0ac818ea4666e1a6870b@inbound.aiesec.org")</f>
        <v>p_dc00d4d8e60aeb82c63c0ac818ea4666e1a6870b@inbound.aiesec.org</v>
      </c>
      <c r="F1121" s="43">
        <f>IFERROR(__xludf.DUMMYFUNCTION("""COMPUTED_VALUE"""),5.368542251E9)</f>
        <v>5368542251</v>
      </c>
      <c r="G1121" s="43" t="str">
        <f>IFERROR(__xludf.DUMMYFUNCTION("""COMPUTED_VALUE"""),"Turkey")</f>
        <v>Turkey</v>
      </c>
      <c r="H1121" s="43" t="str">
        <f>IFERROR(__xludf.DUMMYFUNCTION("""COMPUTED_VALUE"""),"SAKARYA")</f>
        <v>SAKARYA</v>
      </c>
      <c r="I1121" s="43" t="str">
        <f>IFERROR(__xludf.DUMMYFUNCTION("""COMPUTED_VALUE"""),"Egypt")</f>
        <v>Egypt</v>
      </c>
      <c r="J1121" s="43" t="str">
        <f>IFERROR(__xludf.DUMMYFUNCTION("""COMPUTED_VALUE"""),"AAST Alexandria")</f>
        <v>AAST Alexandria</v>
      </c>
      <c r="K1121" s="44" t="str">
        <f>IFERROR(__xludf.DUMMYFUNCTION("""COMPUTED_VALUE"""),"https://expa.aiesec.org/opportunities/1293235")</f>
        <v>https://expa.aiesec.org/opportunities/1293235</v>
      </c>
      <c r="L1121" s="43" t="str">
        <f>IFERROR(__xludf.DUMMYFUNCTION("""COMPUTED_VALUE"""),"GV")</f>
        <v>GV</v>
      </c>
      <c r="M1121" s="43" t="str">
        <f>IFERROR(__xludf.DUMMYFUNCTION("""COMPUTED_VALUE"""),"short")</f>
        <v>short</v>
      </c>
      <c r="N1121" s="45">
        <f>IFERROR(__xludf.DUMMYFUNCTION("""COMPUTED_VALUE"""),45250.0)</f>
        <v>45250</v>
      </c>
      <c r="O1121" s="45">
        <f>IFERROR(__xludf.DUMMYFUNCTION("""COMPUTED_VALUE"""),45474.0)</f>
        <v>45474</v>
      </c>
      <c r="P1121" s="45">
        <f>IFERROR(__xludf.DUMMYFUNCTION("""COMPUTED_VALUE"""),45516.0)</f>
        <v>45516</v>
      </c>
      <c r="Q1121" s="45"/>
      <c r="R1121" s="45"/>
      <c r="S1121" s="43"/>
      <c r="T1121" s="43"/>
      <c r="U1121" s="43" t="str">
        <f>IFERROR(__xludf.DUMMYFUNCTION("""COMPUTED_VALUE"""),"Global Classroom")</f>
        <v>Global Classroom</v>
      </c>
      <c r="V1121" s="43" t="str">
        <f>IFERROR(__xludf.DUMMYFUNCTION("""COMPUTED_VALUE"""),"SAKARYA")</f>
        <v>SAKARYA</v>
      </c>
      <c r="W1121" s="43" t="str">
        <f>IFERROR(__xludf.DUMMYFUNCTION("""COMPUTED_VALUE"""),"2023-11-20T16:53:27Z")</f>
        <v>2023-11-20T16:53:27Z</v>
      </c>
      <c r="X1121" s="43"/>
      <c r="Y1121" s="43"/>
      <c r="Z1121" s="43"/>
    </row>
    <row r="1122" hidden="1">
      <c r="A1122" s="43" t="str">
        <f>IFERROR(__xludf.DUMMYFUNCTION("""COMPUTED_VALUE"""),"5375860_1300559")</f>
        <v>5375860_1300559</v>
      </c>
      <c r="B1122" s="43" t="str">
        <f>IFERROR(__xludf.DUMMYFUNCTION("""COMPUTED_VALUE"""),"ikra efe")</f>
        <v>ikra efe</v>
      </c>
      <c r="C1122" s="43" t="str">
        <f>IFERROR(__xludf.DUMMYFUNCTION("""COMPUTED_VALUE"""),"approved")</f>
        <v>approved</v>
      </c>
      <c r="D1122" s="43" t="str">
        <f>IFERROR(__xludf.DUMMYFUNCTION("""COMPUTED_VALUE"""),"No")</f>
        <v>No</v>
      </c>
      <c r="E1122" s="43" t="str">
        <f>IFERROR(__xludf.DUMMYFUNCTION("""COMPUTED_VALUE"""),"p_eecc3619b90058261e3fee9bdbb27b1e9d971d16@inbound.aiesec.org")</f>
        <v>p_eecc3619b90058261e3fee9bdbb27b1e9d971d16@inbound.aiesec.org</v>
      </c>
      <c r="F1122" s="43">
        <f>IFERROR(__xludf.DUMMYFUNCTION("""COMPUTED_VALUE"""),5.074115581E9)</f>
        <v>5074115581</v>
      </c>
      <c r="G1122" s="43" t="str">
        <f>IFERROR(__xludf.DUMMYFUNCTION("""COMPUTED_VALUE"""),"Turkey")</f>
        <v>Turkey</v>
      </c>
      <c r="H1122" s="43" t="str">
        <f>IFERROR(__xludf.DUMMYFUNCTION("""COMPUTED_VALUE"""),"SAKARYA")</f>
        <v>SAKARYA</v>
      </c>
      <c r="I1122" s="43" t="str">
        <f>IFERROR(__xludf.DUMMYFUNCTION("""COMPUTED_VALUE"""),"Romania")</f>
        <v>Romania</v>
      </c>
      <c r="J1122" s="43" t="str">
        <f>IFERROR(__xludf.DUMMYFUNCTION("""COMPUTED_VALUE"""),"Cluj-Napoca")</f>
        <v>Cluj-Napoca</v>
      </c>
      <c r="K1122" s="44" t="str">
        <f>IFERROR(__xludf.DUMMYFUNCTION("""COMPUTED_VALUE"""),"https://expa.aiesec.org/opportunities/1300559")</f>
        <v>https://expa.aiesec.org/opportunities/1300559</v>
      </c>
      <c r="L1122" s="43" t="str">
        <f>IFERROR(__xludf.DUMMYFUNCTION("""COMPUTED_VALUE"""),"GV")</f>
        <v>GV</v>
      </c>
      <c r="M1122" s="43" t="str">
        <f>IFERROR(__xludf.DUMMYFUNCTION("""COMPUTED_VALUE"""),"short")</f>
        <v>short</v>
      </c>
      <c r="N1122" s="45">
        <f>IFERROR(__xludf.DUMMYFUNCTION("""COMPUTED_VALUE"""),45250.0)</f>
        <v>45250</v>
      </c>
      <c r="O1122" s="45">
        <f>IFERROR(__xludf.DUMMYFUNCTION("""COMPUTED_VALUE"""),45313.0)</f>
        <v>45313</v>
      </c>
      <c r="P1122" s="45">
        <f>IFERROR(__xludf.DUMMYFUNCTION("""COMPUTED_VALUE"""),45355.0)</f>
        <v>45355</v>
      </c>
      <c r="Q1122" s="45"/>
      <c r="R1122" s="45"/>
      <c r="S1122" s="43"/>
      <c r="T1122" s="43"/>
      <c r="U1122" s="43" t="str">
        <f>IFERROR(__xludf.DUMMYFUNCTION("""COMPUTED_VALUE"""),"Fingerprint")</f>
        <v>Fingerprint</v>
      </c>
      <c r="V1122" s="43" t="str">
        <f>IFERROR(__xludf.DUMMYFUNCTION("""COMPUTED_VALUE"""),"SAKARYA")</f>
        <v>SAKARYA</v>
      </c>
      <c r="W1122" s="43" t="str">
        <f>IFERROR(__xludf.DUMMYFUNCTION("""COMPUTED_VALUE"""),"2023-11-20T10:31:31Z")</f>
        <v>2023-11-20T10:31:31Z</v>
      </c>
      <c r="X1122" s="43"/>
      <c r="Y1122" s="43"/>
      <c r="Z1122" s="43"/>
    </row>
    <row r="1123" hidden="1">
      <c r="A1123" s="43" t="str">
        <f>IFERROR(__xludf.DUMMYFUNCTION("""COMPUTED_VALUE"""),"5371705_1301307")</f>
        <v>5371705_1301307</v>
      </c>
      <c r="B1123" s="43" t="str">
        <f>IFERROR(__xludf.DUMMYFUNCTION("""COMPUTED_VALUE"""),"SELİM KAMIL")</f>
        <v>SELİM KAMIL</v>
      </c>
      <c r="C1123" s="43" t="str">
        <f>IFERROR(__xludf.DUMMYFUNCTION("""COMPUTED_VALUE"""),"approved")</f>
        <v>approved</v>
      </c>
      <c r="D1123" s="43" t="str">
        <f>IFERROR(__xludf.DUMMYFUNCTION("""COMPUTED_VALUE"""),"No")</f>
        <v>No</v>
      </c>
      <c r="E1123" s="43" t="str">
        <f>IFERROR(__xludf.DUMMYFUNCTION("""COMPUTED_VALUE"""),"p_ef219fe456fba809da14619356e0ae1d7d264c59@inbound.aiesec.org")</f>
        <v>p_ef219fe456fba809da14619356e0ae1d7d264c59@inbound.aiesec.org</v>
      </c>
      <c r="F1123" s="43"/>
      <c r="G1123" s="43" t="str">
        <f>IFERROR(__xludf.DUMMYFUNCTION("""COMPUTED_VALUE"""),"Turkey")</f>
        <v>Turkey</v>
      </c>
      <c r="H1123" s="43" t="str">
        <f>IFERROR(__xludf.DUMMYFUNCTION("""COMPUTED_VALUE"""),"KOCAELI")</f>
        <v>KOCAELI</v>
      </c>
      <c r="I1123" s="43" t="str">
        <f>IFERROR(__xludf.DUMMYFUNCTION("""COMPUTED_VALUE"""),"Romania")</f>
        <v>Romania</v>
      </c>
      <c r="J1123" s="43" t="str">
        <f>IFERROR(__xludf.DUMMYFUNCTION("""COMPUTED_VALUE"""),"PITESTI")</f>
        <v>PITESTI</v>
      </c>
      <c r="K1123" s="44" t="str">
        <f>IFERROR(__xludf.DUMMYFUNCTION("""COMPUTED_VALUE"""),"https://expa.aiesec.org/opportunities/1301307")</f>
        <v>https://expa.aiesec.org/opportunities/1301307</v>
      </c>
      <c r="L1123" s="43" t="str">
        <f>IFERROR(__xludf.DUMMYFUNCTION("""COMPUTED_VALUE"""),"GV")</f>
        <v>GV</v>
      </c>
      <c r="M1123" s="43" t="str">
        <f>IFERROR(__xludf.DUMMYFUNCTION("""COMPUTED_VALUE"""),"short")</f>
        <v>short</v>
      </c>
      <c r="N1123" s="45">
        <f>IFERROR(__xludf.DUMMYFUNCTION("""COMPUTED_VALUE"""),45250.0)</f>
        <v>45250</v>
      </c>
      <c r="O1123" s="45">
        <f>IFERROR(__xludf.DUMMYFUNCTION("""COMPUTED_VALUE"""),45318.0)</f>
        <v>45318</v>
      </c>
      <c r="P1123" s="45">
        <f>IFERROR(__xludf.DUMMYFUNCTION("""COMPUTED_VALUE"""),45360.0)</f>
        <v>45360</v>
      </c>
      <c r="Q1123" s="45"/>
      <c r="R1123" s="45"/>
      <c r="S1123" s="43"/>
      <c r="T1123" s="43"/>
      <c r="U1123" s="43" t="str">
        <f>IFERROR(__xludf.DUMMYFUNCTION("""COMPUTED_VALUE"""),"Eat 4 Change")</f>
        <v>Eat 4 Change</v>
      </c>
      <c r="V1123" s="43" t="str">
        <f>IFERROR(__xludf.DUMMYFUNCTION("""COMPUTED_VALUE"""),"-")</f>
        <v>-</v>
      </c>
      <c r="W1123" s="43" t="str">
        <f>IFERROR(__xludf.DUMMYFUNCTION("""COMPUTED_VALUE"""),"2023-11-13T15:47:41Z")</f>
        <v>2023-11-13T15:47:41Z</v>
      </c>
      <c r="X1123" s="43"/>
      <c r="Y1123" s="43"/>
      <c r="Z1123" s="43"/>
    </row>
    <row r="1124" hidden="1">
      <c r="A1124" s="43" t="str">
        <f>IFERROR(__xludf.DUMMYFUNCTION("""COMPUTED_VALUE"""),"5375527_1294151")</f>
        <v>5375527_1294151</v>
      </c>
      <c r="B1124" s="43" t="str">
        <f>IFERROR(__xludf.DUMMYFUNCTION("""COMPUTED_VALUE"""),"Sarya Toprak")</f>
        <v>Sarya Toprak</v>
      </c>
      <c r="C1124" s="43" t="str">
        <f>IFERROR(__xludf.DUMMYFUNCTION("""COMPUTED_VALUE"""),"approved")</f>
        <v>approved</v>
      </c>
      <c r="D1124" s="43" t="str">
        <f>IFERROR(__xludf.DUMMYFUNCTION("""COMPUTED_VALUE"""),"No")</f>
        <v>No</v>
      </c>
      <c r="E1124" s="43" t="str">
        <f>IFERROR(__xludf.DUMMYFUNCTION("""COMPUTED_VALUE"""),"p_826c9cd79b394d1e182e40108c524f056a4be80c@inbound.aiesec.org")</f>
        <v>p_826c9cd79b394d1e182e40108c524f056a4be80c@inbound.aiesec.org</v>
      </c>
      <c r="F1124" s="43">
        <f>IFERROR(__xludf.DUMMYFUNCTION("""COMPUTED_VALUE"""),5.459003888E9)</f>
        <v>5459003888</v>
      </c>
      <c r="G1124" s="43" t="str">
        <f>IFERROR(__xludf.DUMMYFUNCTION("""COMPUTED_VALUE"""),"Turkey")</f>
        <v>Turkey</v>
      </c>
      <c r="H1124" s="43" t="str">
        <f>IFERROR(__xludf.DUMMYFUNCTION("""COMPUTED_VALUE"""),"ISTANBUL")</f>
        <v>ISTANBUL</v>
      </c>
      <c r="I1124" s="43" t="str">
        <f>IFERROR(__xludf.DUMMYFUNCTION("""COMPUTED_VALUE"""),"Greece")</f>
        <v>Greece</v>
      </c>
      <c r="J1124" s="43" t="str">
        <f>IFERROR(__xludf.DUMMYFUNCTION("""COMPUTED_VALUE"""),"Piraeus UNIPI (Athens)")</f>
        <v>Piraeus UNIPI (Athens)</v>
      </c>
      <c r="K1124" s="44" t="str">
        <f>IFERROR(__xludf.DUMMYFUNCTION("""COMPUTED_VALUE"""),"https://expa.aiesec.org/opportunities/1294151")</f>
        <v>https://expa.aiesec.org/opportunities/1294151</v>
      </c>
      <c r="L1124" s="43" t="str">
        <f>IFERROR(__xludf.DUMMYFUNCTION("""COMPUTED_VALUE"""),"GV")</f>
        <v>GV</v>
      </c>
      <c r="M1124" s="43" t="str">
        <f>IFERROR(__xludf.DUMMYFUNCTION("""COMPUTED_VALUE"""),"short")</f>
        <v>short</v>
      </c>
      <c r="N1124" s="45">
        <f>IFERROR(__xludf.DUMMYFUNCTION("""COMPUTED_VALUE"""),45250.0)</f>
        <v>45250</v>
      </c>
      <c r="O1124" s="45">
        <f>IFERROR(__xludf.DUMMYFUNCTION("""COMPUTED_VALUE"""),45462.0)</f>
        <v>45462</v>
      </c>
      <c r="P1124" s="45">
        <f>IFERROR(__xludf.DUMMYFUNCTION("""COMPUTED_VALUE"""),45504.0)</f>
        <v>45504</v>
      </c>
      <c r="Q1124" s="45"/>
      <c r="R1124" s="45"/>
      <c r="S1124" s="43"/>
      <c r="T1124" s="43"/>
      <c r="U1124" s="43" t="str">
        <f>IFERROR(__xludf.DUMMYFUNCTION("""COMPUTED_VALUE"""),"Rooted")</f>
        <v>Rooted</v>
      </c>
      <c r="V1124" s="43" t="str">
        <f>IFERROR(__xludf.DUMMYFUNCTION("""COMPUTED_VALUE"""),"ISTANBUL - BEYOGLU")</f>
        <v>ISTANBUL - BEYOGLU</v>
      </c>
      <c r="W1124" s="43" t="str">
        <f>IFERROR(__xludf.DUMMYFUNCTION("""COMPUTED_VALUE"""),"2023-11-19T17:44:44Z")</f>
        <v>2023-11-19T17:44:44Z</v>
      </c>
      <c r="X1124" s="43"/>
      <c r="Y1124" s="43"/>
      <c r="Z1124" s="43"/>
    </row>
    <row r="1125" hidden="1">
      <c r="A1125" s="43" t="str">
        <f>IFERROR(__xludf.DUMMYFUNCTION("""COMPUTED_VALUE"""),"5375526_1294151")</f>
        <v>5375526_1294151</v>
      </c>
      <c r="B1125" s="43" t="str">
        <f>IFERROR(__xludf.DUMMYFUNCTION("""COMPUTED_VALUE"""),"Sude Yılmaz")</f>
        <v>Sude Yılmaz</v>
      </c>
      <c r="C1125" s="43" t="str">
        <f>IFERROR(__xludf.DUMMYFUNCTION("""COMPUTED_VALUE"""),"approved")</f>
        <v>approved</v>
      </c>
      <c r="D1125" s="43" t="str">
        <f>IFERROR(__xludf.DUMMYFUNCTION("""COMPUTED_VALUE"""),"No")</f>
        <v>No</v>
      </c>
      <c r="E1125" s="43" t="str">
        <f>IFERROR(__xludf.DUMMYFUNCTION("""COMPUTED_VALUE"""),"p_fc238cb53b9132be950e6386f5f30f3709c0c181@inbound.aiesec.org")</f>
        <v>p_fc238cb53b9132be950e6386f5f30f3709c0c181@inbound.aiesec.org</v>
      </c>
      <c r="F1125" s="43">
        <f>IFERROR(__xludf.DUMMYFUNCTION("""COMPUTED_VALUE"""),5.537251707E9)</f>
        <v>5537251707</v>
      </c>
      <c r="G1125" s="43" t="str">
        <f>IFERROR(__xludf.DUMMYFUNCTION("""COMPUTED_VALUE"""),"Turkey")</f>
        <v>Turkey</v>
      </c>
      <c r="H1125" s="43" t="str">
        <f>IFERROR(__xludf.DUMMYFUNCTION("""COMPUTED_VALUE"""),"ISTANBUL")</f>
        <v>ISTANBUL</v>
      </c>
      <c r="I1125" s="43" t="str">
        <f>IFERROR(__xludf.DUMMYFUNCTION("""COMPUTED_VALUE"""),"Greece")</f>
        <v>Greece</v>
      </c>
      <c r="J1125" s="43" t="str">
        <f>IFERROR(__xludf.DUMMYFUNCTION("""COMPUTED_VALUE"""),"Piraeus UNIPI (Athens)")</f>
        <v>Piraeus UNIPI (Athens)</v>
      </c>
      <c r="K1125" s="44" t="str">
        <f>IFERROR(__xludf.DUMMYFUNCTION("""COMPUTED_VALUE"""),"https://expa.aiesec.org/opportunities/1294151")</f>
        <v>https://expa.aiesec.org/opportunities/1294151</v>
      </c>
      <c r="L1125" s="43" t="str">
        <f>IFERROR(__xludf.DUMMYFUNCTION("""COMPUTED_VALUE"""),"GV")</f>
        <v>GV</v>
      </c>
      <c r="M1125" s="43" t="str">
        <f>IFERROR(__xludf.DUMMYFUNCTION("""COMPUTED_VALUE"""),"short")</f>
        <v>short</v>
      </c>
      <c r="N1125" s="45">
        <f>IFERROR(__xludf.DUMMYFUNCTION("""COMPUTED_VALUE"""),45250.0)</f>
        <v>45250</v>
      </c>
      <c r="O1125" s="45">
        <f>IFERROR(__xludf.DUMMYFUNCTION("""COMPUTED_VALUE"""),45462.0)</f>
        <v>45462</v>
      </c>
      <c r="P1125" s="45">
        <f>IFERROR(__xludf.DUMMYFUNCTION("""COMPUTED_VALUE"""),45504.0)</f>
        <v>45504</v>
      </c>
      <c r="Q1125" s="45"/>
      <c r="R1125" s="45"/>
      <c r="S1125" s="43"/>
      <c r="T1125" s="43"/>
      <c r="U1125" s="43" t="str">
        <f>IFERROR(__xludf.DUMMYFUNCTION("""COMPUTED_VALUE"""),"Rooted")</f>
        <v>Rooted</v>
      </c>
      <c r="V1125" s="43" t="str">
        <f>IFERROR(__xludf.DUMMYFUNCTION("""COMPUTED_VALUE"""),"ISTANBUL - BEYOGLU")</f>
        <v>ISTANBUL - BEYOGLU</v>
      </c>
      <c r="W1125" s="43" t="str">
        <f>IFERROR(__xludf.DUMMYFUNCTION("""COMPUTED_VALUE"""),"2023-11-19T17:44:24Z")</f>
        <v>2023-11-19T17:44:24Z</v>
      </c>
      <c r="X1125" s="43"/>
      <c r="Y1125" s="43"/>
      <c r="Z1125" s="43"/>
    </row>
    <row r="1126" hidden="1">
      <c r="A1126" s="43" t="str">
        <f>IFERROR(__xludf.DUMMYFUNCTION("""COMPUTED_VALUE"""),"5375153_1292960")</f>
        <v>5375153_1292960</v>
      </c>
      <c r="B1126" s="43" t="str">
        <f>IFERROR(__xludf.DUMMYFUNCTION("""COMPUTED_VALUE"""),"Yiğit GÜLEÇ")</f>
        <v>Yiğit GÜLEÇ</v>
      </c>
      <c r="C1126" s="43" t="str">
        <f>IFERROR(__xludf.DUMMYFUNCTION("""COMPUTED_VALUE"""),"approved")</f>
        <v>approved</v>
      </c>
      <c r="D1126" s="43" t="str">
        <f>IFERROR(__xludf.DUMMYFUNCTION("""COMPUTED_VALUE"""),"No")</f>
        <v>No</v>
      </c>
      <c r="E1126" s="43" t="str">
        <f>IFERROR(__xludf.DUMMYFUNCTION("""COMPUTED_VALUE"""),"p_648d9ea2d2d304c4b04c314579e1347a16aaf85e@inbound.aiesec.org")</f>
        <v>p_648d9ea2d2d304c4b04c314579e1347a16aaf85e@inbound.aiesec.org</v>
      </c>
      <c r="F1126" s="43"/>
      <c r="G1126" s="43" t="str">
        <f>IFERROR(__xludf.DUMMYFUNCTION("""COMPUTED_VALUE"""),"Turkey")</f>
        <v>Turkey</v>
      </c>
      <c r="H1126" s="43" t="str">
        <f>IFERROR(__xludf.DUMMYFUNCTION("""COMPUTED_VALUE"""),"KOCAELI")</f>
        <v>KOCAELI</v>
      </c>
      <c r="I1126" s="43" t="str">
        <f>IFERROR(__xludf.DUMMYFUNCTION("""COMPUTED_VALUE"""),"India")</f>
        <v>India</v>
      </c>
      <c r="J1126" s="43" t="str">
        <f>IFERROR(__xludf.DUMMYFUNCTION("""COMPUTED_VALUE"""),"JAIPUR ")</f>
        <v>JAIPUR </v>
      </c>
      <c r="K1126" s="44" t="str">
        <f>IFERROR(__xludf.DUMMYFUNCTION("""COMPUTED_VALUE"""),"https://expa.aiesec.org/opportunities/1292960")</f>
        <v>https://expa.aiesec.org/opportunities/1292960</v>
      </c>
      <c r="L1126" s="43" t="str">
        <f>IFERROR(__xludf.DUMMYFUNCTION("""COMPUTED_VALUE"""),"GV")</f>
        <v>GV</v>
      </c>
      <c r="M1126" s="43" t="str">
        <f>IFERROR(__xludf.DUMMYFUNCTION("""COMPUTED_VALUE"""),"short")</f>
        <v>short</v>
      </c>
      <c r="N1126" s="45">
        <f>IFERROR(__xludf.DUMMYFUNCTION("""COMPUTED_VALUE"""),45250.0)</f>
        <v>45250</v>
      </c>
      <c r="O1126" s="45">
        <f>IFERROR(__xludf.DUMMYFUNCTION("""COMPUTED_VALUE"""),45521.0)</f>
        <v>45521</v>
      </c>
      <c r="P1126" s="45">
        <f>IFERROR(__xludf.DUMMYFUNCTION("""COMPUTED_VALUE"""),45563.0)</f>
        <v>45563</v>
      </c>
      <c r="Q1126" s="45"/>
      <c r="R1126" s="45"/>
      <c r="S1126" s="43"/>
      <c r="T1126" s="43"/>
      <c r="U1126" s="43" t="str">
        <f>IFERROR(__xludf.DUMMYFUNCTION("""COMPUTED_VALUE"""),"Skill Up!")</f>
        <v>Skill Up!</v>
      </c>
      <c r="V1126" s="43" t="str">
        <f>IFERROR(__xludf.DUMMYFUNCTION("""COMPUTED_VALUE"""),"KOCAELI")</f>
        <v>KOCAELI</v>
      </c>
      <c r="W1126" s="43" t="str">
        <f>IFERROR(__xludf.DUMMYFUNCTION("""COMPUTED_VALUE"""),"2023-11-18T19:56:58Z")</f>
        <v>2023-11-18T19:56:58Z</v>
      </c>
      <c r="X1126" s="43"/>
      <c r="Y1126" s="43"/>
      <c r="Z1126" s="43"/>
    </row>
    <row r="1127" hidden="1">
      <c r="A1127" s="43" t="str">
        <f>IFERROR(__xludf.DUMMYFUNCTION("""COMPUTED_VALUE"""),"5375141_1292960")</f>
        <v>5375141_1292960</v>
      </c>
      <c r="B1127" s="43" t="str">
        <f>IFERROR(__xludf.DUMMYFUNCTION("""COMPUTED_VALUE"""),"şahin birol")</f>
        <v>şahin birol</v>
      </c>
      <c r="C1127" s="43" t="str">
        <f>IFERROR(__xludf.DUMMYFUNCTION("""COMPUTED_VALUE"""),"approved")</f>
        <v>approved</v>
      </c>
      <c r="D1127" s="43" t="str">
        <f>IFERROR(__xludf.DUMMYFUNCTION("""COMPUTED_VALUE"""),"No")</f>
        <v>No</v>
      </c>
      <c r="E1127" s="43" t="str">
        <f>IFERROR(__xludf.DUMMYFUNCTION("""COMPUTED_VALUE"""),"p_7de3f217aef4d66c2fc307f5d0115f537903c320@inbound.aiesec.org")</f>
        <v>p_7de3f217aef4d66c2fc307f5d0115f537903c320@inbound.aiesec.org</v>
      </c>
      <c r="F1127" s="43"/>
      <c r="G1127" s="43" t="str">
        <f>IFERROR(__xludf.DUMMYFUNCTION("""COMPUTED_VALUE"""),"Turkey")</f>
        <v>Turkey</v>
      </c>
      <c r="H1127" s="43" t="str">
        <f>IFERROR(__xludf.DUMMYFUNCTION("""COMPUTED_VALUE"""),"KOCAELI")</f>
        <v>KOCAELI</v>
      </c>
      <c r="I1127" s="43" t="str">
        <f>IFERROR(__xludf.DUMMYFUNCTION("""COMPUTED_VALUE"""),"India")</f>
        <v>India</v>
      </c>
      <c r="J1127" s="43" t="str">
        <f>IFERROR(__xludf.DUMMYFUNCTION("""COMPUTED_VALUE"""),"JAIPUR ")</f>
        <v>JAIPUR </v>
      </c>
      <c r="K1127" s="44" t="str">
        <f>IFERROR(__xludf.DUMMYFUNCTION("""COMPUTED_VALUE"""),"https://expa.aiesec.org/opportunities/1292960")</f>
        <v>https://expa.aiesec.org/opportunities/1292960</v>
      </c>
      <c r="L1127" s="43" t="str">
        <f>IFERROR(__xludf.DUMMYFUNCTION("""COMPUTED_VALUE"""),"GV")</f>
        <v>GV</v>
      </c>
      <c r="M1127" s="43" t="str">
        <f>IFERROR(__xludf.DUMMYFUNCTION("""COMPUTED_VALUE"""),"short")</f>
        <v>short</v>
      </c>
      <c r="N1127" s="45">
        <f>IFERROR(__xludf.DUMMYFUNCTION("""COMPUTED_VALUE"""),45250.0)</f>
        <v>45250</v>
      </c>
      <c r="O1127" s="45">
        <f>IFERROR(__xludf.DUMMYFUNCTION("""COMPUTED_VALUE"""),45521.0)</f>
        <v>45521</v>
      </c>
      <c r="P1127" s="45">
        <f>IFERROR(__xludf.DUMMYFUNCTION("""COMPUTED_VALUE"""),45563.0)</f>
        <v>45563</v>
      </c>
      <c r="Q1127" s="45"/>
      <c r="R1127" s="45"/>
      <c r="S1127" s="43"/>
      <c r="T1127" s="43"/>
      <c r="U1127" s="43" t="str">
        <f>IFERROR(__xludf.DUMMYFUNCTION("""COMPUTED_VALUE"""),"Skill Up!")</f>
        <v>Skill Up!</v>
      </c>
      <c r="V1127" s="43" t="str">
        <f>IFERROR(__xludf.DUMMYFUNCTION("""COMPUTED_VALUE"""),"-")</f>
        <v>-</v>
      </c>
      <c r="W1127" s="43" t="str">
        <f>IFERROR(__xludf.DUMMYFUNCTION("""COMPUTED_VALUE"""),"2023-11-18T19:29:47Z")</f>
        <v>2023-11-18T19:29:47Z</v>
      </c>
      <c r="X1127" s="43"/>
      <c r="Y1127" s="43"/>
      <c r="Z1127" s="43"/>
    </row>
    <row r="1128" hidden="1">
      <c r="A1128" s="43" t="str">
        <f>IFERROR(__xludf.DUMMYFUNCTION("""COMPUTED_VALUE"""),"5375108_1292960")</f>
        <v>5375108_1292960</v>
      </c>
      <c r="B1128" s="43" t="str">
        <f>IFERROR(__xludf.DUMMYFUNCTION("""COMPUTED_VALUE"""),"recep emirhan koldankaya")</f>
        <v>recep emirhan koldankaya</v>
      </c>
      <c r="C1128" s="43" t="str">
        <f>IFERROR(__xludf.DUMMYFUNCTION("""COMPUTED_VALUE"""),"approved")</f>
        <v>approved</v>
      </c>
      <c r="D1128" s="43" t="str">
        <f>IFERROR(__xludf.DUMMYFUNCTION("""COMPUTED_VALUE"""),"No")</f>
        <v>No</v>
      </c>
      <c r="E1128" s="43" t="str">
        <f>IFERROR(__xludf.DUMMYFUNCTION("""COMPUTED_VALUE"""),"p_4d751b6d71968fe4ddea53f5c2ce53c50e675731@inbound.aiesec.org")</f>
        <v>p_4d751b6d71968fe4ddea53f5c2ce53c50e675731@inbound.aiesec.org</v>
      </c>
      <c r="F1128" s="43">
        <f>IFERROR(__xludf.DUMMYFUNCTION("""COMPUTED_VALUE"""),5.427355418E9)</f>
        <v>5427355418</v>
      </c>
      <c r="G1128" s="43" t="str">
        <f>IFERROR(__xludf.DUMMYFUNCTION("""COMPUTED_VALUE"""),"Turkey")</f>
        <v>Turkey</v>
      </c>
      <c r="H1128" s="43" t="str">
        <f>IFERROR(__xludf.DUMMYFUNCTION("""COMPUTED_VALUE"""),"KOCAELI")</f>
        <v>KOCAELI</v>
      </c>
      <c r="I1128" s="43" t="str">
        <f>IFERROR(__xludf.DUMMYFUNCTION("""COMPUTED_VALUE"""),"India")</f>
        <v>India</v>
      </c>
      <c r="J1128" s="43" t="str">
        <f>IFERROR(__xludf.DUMMYFUNCTION("""COMPUTED_VALUE"""),"JAIPUR ")</f>
        <v>JAIPUR </v>
      </c>
      <c r="K1128" s="44" t="str">
        <f>IFERROR(__xludf.DUMMYFUNCTION("""COMPUTED_VALUE"""),"https://expa.aiesec.org/opportunities/1292960")</f>
        <v>https://expa.aiesec.org/opportunities/1292960</v>
      </c>
      <c r="L1128" s="43" t="str">
        <f>IFERROR(__xludf.DUMMYFUNCTION("""COMPUTED_VALUE"""),"GV")</f>
        <v>GV</v>
      </c>
      <c r="M1128" s="43" t="str">
        <f>IFERROR(__xludf.DUMMYFUNCTION("""COMPUTED_VALUE"""),"short")</f>
        <v>short</v>
      </c>
      <c r="N1128" s="45">
        <f>IFERROR(__xludf.DUMMYFUNCTION("""COMPUTED_VALUE"""),45250.0)</f>
        <v>45250</v>
      </c>
      <c r="O1128" s="45">
        <f>IFERROR(__xludf.DUMMYFUNCTION("""COMPUTED_VALUE"""),45521.0)</f>
        <v>45521</v>
      </c>
      <c r="P1128" s="45">
        <f>IFERROR(__xludf.DUMMYFUNCTION("""COMPUTED_VALUE"""),45563.0)</f>
        <v>45563</v>
      </c>
      <c r="Q1128" s="45"/>
      <c r="R1128" s="45"/>
      <c r="S1128" s="43"/>
      <c r="T1128" s="43"/>
      <c r="U1128" s="43" t="str">
        <f>IFERROR(__xludf.DUMMYFUNCTION("""COMPUTED_VALUE"""),"Skill Up!")</f>
        <v>Skill Up!</v>
      </c>
      <c r="V1128" s="43" t="str">
        <f>IFERROR(__xludf.DUMMYFUNCTION("""COMPUTED_VALUE"""),"KOCAELI")</f>
        <v>KOCAELI</v>
      </c>
      <c r="W1128" s="43" t="str">
        <f>IFERROR(__xludf.DUMMYFUNCTION("""COMPUTED_VALUE"""),"2023-11-18T18:28:50Z")</f>
        <v>2023-11-18T18:28:50Z</v>
      </c>
      <c r="X1128" s="43"/>
      <c r="Y1128" s="43"/>
      <c r="Z1128" s="43"/>
    </row>
    <row r="1129" hidden="1">
      <c r="A1129" s="43" t="str">
        <f>IFERROR(__xludf.DUMMYFUNCTION("""COMPUTED_VALUE"""),"5375110_1292960")</f>
        <v>5375110_1292960</v>
      </c>
      <c r="B1129" s="43" t="str">
        <f>IFERROR(__xludf.DUMMYFUNCTION("""COMPUTED_VALUE"""),"Reşat Yiğit GÜL")</f>
        <v>Reşat Yiğit GÜL</v>
      </c>
      <c r="C1129" s="43" t="str">
        <f>IFERROR(__xludf.DUMMYFUNCTION("""COMPUTED_VALUE"""),"approved")</f>
        <v>approved</v>
      </c>
      <c r="D1129" s="43" t="str">
        <f>IFERROR(__xludf.DUMMYFUNCTION("""COMPUTED_VALUE"""),"No")</f>
        <v>No</v>
      </c>
      <c r="E1129" s="43" t="str">
        <f>IFERROR(__xludf.DUMMYFUNCTION("""COMPUTED_VALUE"""),"p_9c15a19326ec955dcc46a164278c5c5431048fa5@inbound.aiesec.org")</f>
        <v>p_9c15a19326ec955dcc46a164278c5c5431048fa5@inbound.aiesec.org</v>
      </c>
      <c r="F1129" s="43">
        <f>IFERROR(__xludf.DUMMYFUNCTION("""COMPUTED_VALUE"""),5.515894423E9)</f>
        <v>5515894423</v>
      </c>
      <c r="G1129" s="43" t="str">
        <f>IFERROR(__xludf.DUMMYFUNCTION("""COMPUTED_VALUE"""),"Turkey")</f>
        <v>Turkey</v>
      </c>
      <c r="H1129" s="43" t="str">
        <f>IFERROR(__xludf.DUMMYFUNCTION("""COMPUTED_VALUE"""),"KOCAELI")</f>
        <v>KOCAELI</v>
      </c>
      <c r="I1129" s="43" t="str">
        <f>IFERROR(__xludf.DUMMYFUNCTION("""COMPUTED_VALUE"""),"India")</f>
        <v>India</v>
      </c>
      <c r="J1129" s="43" t="str">
        <f>IFERROR(__xludf.DUMMYFUNCTION("""COMPUTED_VALUE"""),"JAIPUR ")</f>
        <v>JAIPUR </v>
      </c>
      <c r="K1129" s="44" t="str">
        <f>IFERROR(__xludf.DUMMYFUNCTION("""COMPUTED_VALUE"""),"https://expa.aiesec.org/opportunities/1292960")</f>
        <v>https://expa.aiesec.org/opportunities/1292960</v>
      </c>
      <c r="L1129" s="43" t="str">
        <f>IFERROR(__xludf.DUMMYFUNCTION("""COMPUTED_VALUE"""),"GV")</f>
        <v>GV</v>
      </c>
      <c r="M1129" s="43" t="str">
        <f>IFERROR(__xludf.DUMMYFUNCTION("""COMPUTED_VALUE"""),"short")</f>
        <v>short</v>
      </c>
      <c r="N1129" s="45">
        <f>IFERROR(__xludf.DUMMYFUNCTION("""COMPUTED_VALUE"""),45250.0)</f>
        <v>45250</v>
      </c>
      <c r="O1129" s="45">
        <f>IFERROR(__xludf.DUMMYFUNCTION("""COMPUTED_VALUE"""),45521.0)</f>
        <v>45521</v>
      </c>
      <c r="P1129" s="45">
        <f>IFERROR(__xludf.DUMMYFUNCTION("""COMPUTED_VALUE"""),45563.0)</f>
        <v>45563</v>
      </c>
      <c r="Q1129" s="45"/>
      <c r="R1129" s="45"/>
      <c r="S1129" s="43"/>
      <c r="T1129" s="43"/>
      <c r="U1129" s="43" t="str">
        <f>IFERROR(__xludf.DUMMYFUNCTION("""COMPUTED_VALUE"""),"Skill Up!")</f>
        <v>Skill Up!</v>
      </c>
      <c r="V1129" s="43" t="str">
        <f>IFERROR(__xludf.DUMMYFUNCTION("""COMPUTED_VALUE"""),"KOCAELI")</f>
        <v>KOCAELI</v>
      </c>
      <c r="W1129" s="43" t="str">
        <f>IFERROR(__xludf.DUMMYFUNCTION("""COMPUTED_VALUE"""),"2023-11-18T18:31:55Z")</f>
        <v>2023-11-18T18:31:55Z</v>
      </c>
      <c r="X1129" s="43"/>
      <c r="Y1129" s="43"/>
      <c r="Z1129" s="43"/>
    </row>
    <row r="1130" hidden="1">
      <c r="A1130" s="43" t="str">
        <f>IFERROR(__xludf.DUMMYFUNCTION("""COMPUTED_VALUE"""),"5361761_1289297")</f>
        <v>5361761_1289297</v>
      </c>
      <c r="B1130" s="43" t="str">
        <f>IFERROR(__xludf.DUMMYFUNCTION("""COMPUTED_VALUE"""),"Kuzey Hannan Karadaş")</f>
        <v>Kuzey Hannan Karadaş</v>
      </c>
      <c r="C1130" s="43" t="str">
        <f>IFERROR(__xludf.DUMMYFUNCTION("""COMPUTED_VALUE"""),"approved")</f>
        <v>approved</v>
      </c>
      <c r="D1130" s="43" t="str">
        <f>IFERROR(__xludf.DUMMYFUNCTION("""COMPUTED_VALUE"""),"No")</f>
        <v>No</v>
      </c>
      <c r="E1130" s="43" t="str">
        <f>IFERROR(__xludf.DUMMYFUNCTION("""COMPUTED_VALUE"""),"p_9bf6e6737c90ed508d58e0e8cade8dd5cc4fc1cd@inbound.aiesec.org")</f>
        <v>p_9bf6e6737c90ed508d58e0e8cade8dd5cc4fc1cd@inbound.aiesec.org</v>
      </c>
      <c r="F1130" s="43"/>
      <c r="G1130" s="43" t="str">
        <f>IFERROR(__xludf.DUMMYFUNCTION("""COMPUTED_VALUE"""),"Turkey")</f>
        <v>Turkey</v>
      </c>
      <c r="H1130" s="43" t="str">
        <f>IFERROR(__xludf.DUMMYFUNCTION("""COMPUTED_VALUE"""),"ISTANBUL")</f>
        <v>ISTANBUL</v>
      </c>
      <c r="I1130" s="43" t="str">
        <f>IFERROR(__xludf.DUMMYFUNCTION("""COMPUTED_VALUE"""),"Azerbaijan")</f>
        <v>Azerbaijan</v>
      </c>
      <c r="J1130" s="43" t="str">
        <f>IFERROR(__xludf.DUMMYFUNCTION("""COMPUTED_VALUE"""),"Baku Synergy")</f>
        <v>Baku Synergy</v>
      </c>
      <c r="K1130" s="44" t="str">
        <f>IFERROR(__xludf.DUMMYFUNCTION("""COMPUTED_VALUE"""),"https://expa.aiesec.org/opportunities/1289297")</f>
        <v>https://expa.aiesec.org/opportunities/1289297</v>
      </c>
      <c r="L1130" s="43" t="str">
        <f>IFERROR(__xludf.DUMMYFUNCTION("""COMPUTED_VALUE"""),"GV")</f>
        <v>GV</v>
      </c>
      <c r="M1130" s="43" t="str">
        <f>IFERROR(__xludf.DUMMYFUNCTION("""COMPUTED_VALUE"""),"short")</f>
        <v>short</v>
      </c>
      <c r="N1130" s="45">
        <f>IFERROR(__xludf.DUMMYFUNCTION("""COMPUTED_VALUE"""),45250.0)</f>
        <v>45250</v>
      </c>
      <c r="O1130" s="45">
        <f>IFERROR(__xludf.DUMMYFUNCTION("""COMPUTED_VALUE"""),45480.0)</f>
        <v>45480</v>
      </c>
      <c r="P1130" s="45">
        <f>IFERROR(__xludf.DUMMYFUNCTION("""COMPUTED_VALUE"""),45522.0)</f>
        <v>45522</v>
      </c>
      <c r="Q1130" s="45"/>
      <c r="R1130" s="45"/>
      <c r="S1130" s="43"/>
      <c r="T1130" s="43"/>
      <c r="U1130" s="43" t="str">
        <f>IFERROR(__xludf.DUMMYFUNCTION("""COMPUTED_VALUE"""),"Youth 4 Impact")</f>
        <v>Youth 4 Impact</v>
      </c>
      <c r="V1130" s="43" t="str">
        <f>IFERROR(__xludf.DUMMYFUNCTION("""COMPUTED_VALUE"""),"ISTANBUL - BEYOGLU")</f>
        <v>ISTANBUL - BEYOGLU</v>
      </c>
      <c r="W1130" s="43" t="str">
        <f>IFERROR(__xludf.DUMMYFUNCTION("""COMPUTED_VALUE"""),"2023-10-27T19:39:34Z")</f>
        <v>2023-10-27T19:39:34Z</v>
      </c>
      <c r="X1130" s="43"/>
      <c r="Y1130" s="43"/>
      <c r="Z1130" s="43"/>
    </row>
    <row r="1131" hidden="1">
      <c r="A1131" s="43" t="str">
        <f>IFERROR(__xludf.DUMMYFUNCTION("""COMPUTED_VALUE"""),"5374573_1299077")</f>
        <v>5374573_1299077</v>
      </c>
      <c r="B1131" s="43" t="str">
        <f>IFERROR(__xludf.DUMMYFUNCTION("""COMPUTED_VALUE"""),"Bengisu Çetin")</f>
        <v>Bengisu Çetin</v>
      </c>
      <c r="C1131" s="43" t="str">
        <f>IFERROR(__xludf.DUMMYFUNCTION("""COMPUTED_VALUE"""),"approved")</f>
        <v>approved</v>
      </c>
      <c r="D1131" s="43" t="str">
        <f>IFERROR(__xludf.DUMMYFUNCTION("""COMPUTED_VALUE"""),"No")</f>
        <v>No</v>
      </c>
      <c r="E1131" s="43" t="str">
        <f>IFERROR(__xludf.DUMMYFUNCTION("""COMPUTED_VALUE"""),"p_66b64d3b96847b5e877ad4b986d18ee8118c71de@inbound.aiesec.org")</f>
        <v>p_66b64d3b96847b5e877ad4b986d18ee8118c71de@inbound.aiesec.org</v>
      </c>
      <c r="F1131" s="43">
        <f>IFERROR(__xludf.DUMMYFUNCTION("""COMPUTED_VALUE"""),5.058507739E9)</f>
        <v>5058507739</v>
      </c>
      <c r="G1131" s="43" t="str">
        <f>IFERROR(__xludf.DUMMYFUNCTION("""COMPUTED_VALUE"""),"Turkey")</f>
        <v>Turkey</v>
      </c>
      <c r="H1131" s="43" t="str">
        <f>IFERROR(__xludf.DUMMYFUNCTION("""COMPUTED_VALUE"""),"ANTALYA")</f>
        <v>ANTALYA</v>
      </c>
      <c r="I1131" s="43" t="str">
        <f>IFERROR(__xludf.DUMMYFUNCTION("""COMPUTED_VALUE"""),"India")</f>
        <v>India</v>
      </c>
      <c r="J1131" s="43" t="str">
        <f>IFERROR(__xludf.DUMMYFUNCTION("""COMPUTED_VALUE"""),"Ahmedabad")</f>
        <v>Ahmedabad</v>
      </c>
      <c r="K1131" s="44" t="str">
        <f>IFERROR(__xludf.DUMMYFUNCTION("""COMPUTED_VALUE"""),"https://expa.aiesec.org/opportunities/1299077")</f>
        <v>https://expa.aiesec.org/opportunities/1299077</v>
      </c>
      <c r="L1131" s="43" t="str">
        <f>IFERROR(__xludf.DUMMYFUNCTION("""COMPUTED_VALUE"""),"GV")</f>
        <v>GV</v>
      </c>
      <c r="M1131" s="43" t="str">
        <f>IFERROR(__xludf.DUMMYFUNCTION("""COMPUTED_VALUE"""),"short")</f>
        <v>short</v>
      </c>
      <c r="N1131" s="45">
        <f>IFERROR(__xludf.DUMMYFUNCTION("""COMPUTED_VALUE"""),45250.0)</f>
        <v>45250</v>
      </c>
      <c r="O1131" s="45">
        <f>IFERROR(__xludf.DUMMYFUNCTION("""COMPUTED_VALUE"""),45474.0)</f>
        <v>45474</v>
      </c>
      <c r="P1131" s="45">
        <f>IFERROR(__xludf.DUMMYFUNCTION("""COMPUTED_VALUE"""),45519.0)</f>
        <v>45519</v>
      </c>
      <c r="Q1131" s="45"/>
      <c r="R1131" s="45"/>
      <c r="S1131" s="43"/>
      <c r="T1131" s="43"/>
      <c r="U1131" s="43" t="str">
        <f>IFERROR(__xludf.DUMMYFUNCTION("""COMPUTED_VALUE"""),"Rooted")</f>
        <v>Rooted</v>
      </c>
      <c r="V1131" s="43" t="str">
        <f>IFERROR(__xludf.DUMMYFUNCTION("""COMPUTED_VALUE"""),"ANTALYA")</f>
        <v>ANTALYA</v>
      </c>
      <c r="W1131" s="43" t="str">
        <f>IFERROR(__xludf.DUMMYFUNCTION("""COMPUTED_VALUE"""),"2023-11-17T16:59:52Z")</f>
        <v>2023-11-17T16:59:52Z</v>
      </c>
      <c r="X1131" s="43"/>
      <c r="Y1131" s="43"/>
      <c r="Z1131" s="43"/>
    </row>
    <row r="1132" hidden="1">
      <c r="A1132" s="43" t="str">
        <f>IFERROR(__xludf.DUMMYFUNCTION("""COMPUTED_VALUE"""),"5372459_1300777")</f>
        <v>5372459_1300777</v>
      </c>
      <c r="B1132" s="43" t="str">
        <f>IFERROR(__xludf.DUMMYFUNCTION("""COMPUTED_VALUE"""),"Beyzagül Çimen")</f>
        <v>Beyzagül Çimen</v>
      </c>
      <c r="C1132" s="43" t="str">
        <f>IFERROR(__xludf.DUMMYFUNCTION("""COMPUTED_VALUE"""),"realized")</f>
        <v>realized</v>
      </c>
      <c r="D1132" s="43" t="str">
        <f>IFERROR(__xludf.DUMMYFUNCTION("""COMPUTED_VALUE"""),"No")</f>
        <v>No</v>
      </c>
      <c r="E1132" s="43" t="str">
        <f>IFERROR(__xludf.DUMMYFUNCTION("""COMPUTED_VALUE"""),"p_194a0941117885dc9a42cbe0d6e662ea584e8ca6@inbound.aiesec.org")</f>
        <v>p_194a0941117885dc9a42cbe0d6e662ea584e8ca6@inbound.aiesec.org</v>
      </c>
      <c r="F1132" s="43">
        <f>IFERROR(__xludf.DUMMYFUNCTION("""COMPUTED_VALUE"""),5.393094353E9)</f>
        <v>5393094353</v>
      </c>
      <c r="G1132" s="43" t="str">
        <f>IFERROR(__xludf.DUMMYFUNCTION("""COMPUTED_VALUE"""),"Turkey")</f>
        <v>Turkey</v>
      </c>
      <c r="H1132" s="43" t="str">
        <f>IFERROR(__xludf.DUMMYFUNCTION("""COMPUTED_VALUE"""),"ISTANBUL")</f>
        <v>ISTANBUL</v>
      </c>
      <c r="I1132" s="43" t="str">
        <f>IFERROR(__xludf.DUMMYFUNCTION("""COMPUTED_VALUE"""),"Serbia")</f>
        <v>Serbia</v>
      </c>
      <c r="J1132" s="43" t="str">
        <f>IFERROR(__xludf.DUMMYFUNCTION("""COMPUTED_VALUE"""),"NIS")</f>
        <v>NIS</v>
      </c>
      <c r="K1132" s="44" t="str">
        <f>IFERROR(__xludf.DUMMYFUNCTION("""COMPUTED_VALUE"""),"https://expa.aiesec.org/opportunities/1300777")</f>
        <v>https://expa.aiesec.org/opportunities/1300777</v>
      </c>
      <c r="L1132" s="43" t="str">
        <f>IFERROR(__xludf.DUMMYFUNCTION("""COMPUTED_VALUE"""),"GV")</f>
        <v>GV</v>
      </c>
      <c r="M1132" s="43" t="str">
        <f>IFERROR(__xludf.DUMMYFUNCTION("""COMPUTED_VALUE"""),"short")</f>
        <v>short</v>
      </c>
      <c r="N1132" s="45">
        <f>IFERROR(__xludf.DUMMYFUNCTION("""COMPUTED_VALUE"""),45250.0)</f>
        <v>45250</v>
      </c>
      <c r="O1132" s="45">
        <f>IFERROR(__xludf.DUMMYFUNCTION("""COMPUTED_VALUE"""),45306.0)</f>
        <v>45306</v>
      </c>
      <c r="P1132" s="45">
        <f>IFERROR(__xludf.DUMMYFUNCTION("""COMPUTED_VALUE"""),45348.0)</f>
        <v>45348</v>
      </c>
      <c r="Q1132" s="45">
        <f>IFERROR(__xludf.DUMMYFUNCTION("""COMPUTED_VALUE"""),45310.0)</f>
        <v>45310</v>
      </c>
      <c r="R1132" s="45">
        <f>IFERROR(__xludf.DUMMYFUNCTION("""COMPUTED_VALUE"""),45352.0)</f>
        <v>45352</v>
      </c>
      <c r="S1132" s="43"/>
      <c r="T1132" s="43"/>
      <c r="U1132" s="43" t="str">
        <f>IFERROR(__xludf.DUMMYFUNCTION("""COMPUTED_VALUE"""),"Global Classroom")</f>
        <v>Global Classroom</v>
      </c>
      <c r="V1132" s="43" t="str">
        <f>IFERROR(__xludf.DUMMYFUNCTION("""COMPUTED_VALUE"""),"ISTANBUL - BEYOGLU")</f>
        <v>ISTANBUL - BEYOGLU</v>
      </c>
      <c r="W1132" s="43" t="str">
        <f>IFERROR(__xludf.DUMMYFUNCTION("""COMPUTED_VALUE"""),"2023-11-14T18:11:46Z")</f>
        <v>2023-11-14T18:11:46Z</v>
      </c>
      <c r="X1132" s="43"/>
      <c r="Y1132" s="43"/>
      <c r="Z1132" s="43"/>
    </row>
    <row r="1133" hidden="1">
      <c r="A1133" s="43" t="str">
        <f>IFERROR(__xludf.DUMMYFUNCTION("""COMPUTED_VALUE"""),"5372256_1289297")</f>
        <v>5372256_1289297</v>
      </c>
      <c r="B1133" s="43" t="str">
        <f>IFERROR(__xludf.DUMMYFUNCTION("""COMPUTED_VALUE"""),"Asmi Rozerin ÇİÇEK")</f>
        <v>Asmi Rozerin ÇİÇEK</v>
      </c>
      <c r="C1133" s="43" t="str">
        <f>IFERROR(__xludf.DUMMYFUNCTION("""COMPUTED_VALUE"""),"approved")</f>
        <v>approved</v>
      </c>
      <c r="D1133" s="43" t="str">
        <f>IFERROR(__xludf.DUMMYFUNCTION("""COMPUTED_VALUE"""),"No")</f>
        <v>No</v>
      </c>
      <c r="E1133" s="43" t="str">
        <f>IFERROR(__xludf.DUMMYFUNCTION("""COMPUTED_VALUE"""),"p_34bdf64b73977ce94379dc8d1837bb2f3275b2f6@inbound.aiesec.org")</f>
        <v>p_34bdf64b73977ce94379dc8d1837bb2f3275b2f6@inbound.aiesec.org</v>
      </c>
      <c r="F1133" s="43">
        <f>IFERROR(__xludf.DUMMYFUNCTION("""COMPUTED_VALUE"""),5.396948427E9)</f>
        <v>5396948427</v>
      </c>
      <c r="G1133" s="43" t="str">
        <f>IFERROR(__xludf.DUMMYFUNCTION("""COMPUTED_VALUE"""),"Turkey")</f>
        <v>Turkey</v>
      </c>
      <c r="H1133" s="43" t="str">
        <f>IFERROR(__xludf.DUMMYFUNCTION("""COMPUTED_VALUE"""),"ISTANBUL")</f>
        <v>ISTANBUL</v>
      </c>
      <c r="I1133" s="43" t="str">
        <f>IFERROR(__xludf.DUMMYFUNCTION("""COMPUTED_VALUE"""),"Azerbaijan")</f>
        <v>Azerbaijan</v>
      </c>
      <c r="J1133" s="43" t="str">
        <f>IFERROR(__xludf.DUMMYFUNCTION("""COMPUTED_VALUE"""),"Baku Synergy")</f>
        <v>Baku Synergy</v>
      </c>
      <c r="K1133" s="44" t="str">
        <f>IFERROR(__xludf.DUMMYFUNCTION("""COMPUTED_VALUE"""),"https://expa.aiesec.org/opportunities/1289297")</f>
        <v>https://expa.aiesec.org/opportunities/1289297</v>
      </c>
      <c r="L1133" s="43" t="str">
        <f>IFERROR(__xludf.DUMMYFUNCTION("""COMPUTED_VALUE"""),"GV")</f>
        <v>GV</v>
      </c>
      <c r="M1133" s="43" t="str">
        <f>IFERROR(__xludf.DUMMYFUNCTION("""COMPUTED_VALUE"""),"short")</f>
        <v>short</v>
      </c>
      <c r="N1133" s="45">
        <f>IFERROR(__xludf.DUMMYFUNCTION("""COMPUTED_VALUE"""),45250.0)</f>
        <v>45250</v>
      </c>
      <c r="O1133" s="45">
        <f>IFERROR(__xludf.DUMMYFUNCTION("""COMPUTED_VALUE"""),45480.0)</f>
        <v>45480</v>
      </c>
      <c r="P1133" s="45">
        <f>IFERROR(__xludf.DUMMYFUNCTION("""COMPUTED_VALUE"""),45522.0)</f>
        <v>45522</v>
      </c>
      <c r="Q1133" s="45"/>
      <c r="R1133" s="45"/>
      <c r="S1133" s="43"/>
      <c r="T1133" s="43"/>
      <c r="U1133" s="43" t="str">
        <f>IFERROR(__xludf.DUMMYFUNCTION("""COMPUTED_VALUE"""),"Youth 4 Impact")</f>
        <v>Youth 4 Impact</v>
      </c>
      <c r="V1133" s="43" t="str">
        <f>IFERROR(__xludf.DUMMYFUNCTION("""COMPUTED_VALUE"""),"ISTANBUL - BEYOGLU")</f>
        <v>ISTANBUL - BEYOGLU</v>
      </c>
      <c r="W1133" s="43" t="str">
        <f>IFERROR(__xludf.DUMMYFUNCTION("""COMPUTED_VALUE"""),"2023-11-14T12:38:06Z")</f>
        <v>2023-11-14T12:38:06Z</v>
      </c>
      <c r="X1133" s="43"/>
      <c r="Y1133" s="43"/>
      <c r="Z1133" s="43"/>
    </row>
    <row r="1134" hidden="1">
      <c r="A1134" s="43" t="str">
        <f>IFERROR(__xludf.DUMMYFUNCTION("""COMPUTED_VALUE"""),"5371932_1289297")</f>
        <v>5371932_1289297</v>
      </c>
      <c r="B1134" s="43" t="str">
        <f>IFERROR(__xludf.DUMMYFUNCTION("""COMPUTED_VALUE"""),"Mert Kara")</f>
        <v>Mert Kara</v>
      </c>
      <c r="C1134" s="43" t="str">
        <f>IFERROR(__xludf.DUMMYFUNCTION("""COMPUTED_VALUE"""),"approved")</f>
        <v>approved</v>
      </c>
      <c r="D1134" s="43" t="str">
        <f>IFERROR(__xludf.DUMMYFUNCTION("""COMPUTED_VALUE"""),"No")</f>
        <v>No</v>
      </c>
      <c r="E1134" s="43" t="str">
        <f>IFERROR(__xludf.DUMMYFUNCTION("""COMPUTED_VALUE"""),"p_a91a3523e8c5dc0332b33cc93e0645e1e36bdb3b@inbound.aiesec.org")</f>
        <v>p_a91a3523e8c5dc0332b33cc93e0645e1e36bdb3b@inbound.aiesec.org</v>
      </c>
      <c r="F1134" s="43">
        <f>IFERROR(__xludf.DUMMYFUNCTION("""COMPUTED_VALUE"""),5.37254169E9)</f>
        <v>5372541690</v>
      </c>
      <c r="G1134" s="43" t="str">
        <f>IFERROR(__xludf.DUMMYFUNCTION("""COMPUTED_VALUE"""),"Turkey")</f>
        <v>Turkey</v>
      </c>
      <c r="H1134" s="43" t="str">
        <f>IFERROR(__xludf.DUMMYFUNCTION("""COMPUTED_VALUE"""),"ISTANBUL")</f>
        <v>ISTANBUL</v>
      </c>
      <c r="I1134" s="43" t="str">
        <f>IFERROR(__xludf.DUMMYFUNCTION("""COMPUTED_VALUE"""),"Azerbaijan")</f>
        <v>Azerbaijan</v>
      </c>
      <c r="J1134" s="43" t="str">
        <f>IFERROR(__xludf.DUMMYFUNCTION("""COMPUTED_VALUE"""),"Baku Synergy")</f>
        <v>Baku Synergy</v>
      </c>
      <c r="K1134" s="44" t="str">
        <f>IFERROR(__xludf.DUMMYFUNCTION("""COMPUTED_VALUE"""),"https://expa.aiesec.org/opportunities/1289297")</f>
        <v>https://expa.aiesec.org/opportunities/1289297</v>
      </c>
      <c r="L1134" s="43" t="str">
        <f>IFERROR(__xludf.DUMMYFUNCTION("""COMPUTED_VALUE"""),"GV")</f>
        <v>GV</v>
      </c>
      <c r="M1134" s="43" t="str">
        <f>IFERROR(__xludf.DUMMYFUNCTION("""COMPUTED_VALUE"""),"short")</f>
        <v>short</v>
      </c>
      <c r="N1134" s="45">
        <f>IFERROR(__xludf.DUMMYFUNCTION("""COMPUTED_VALUE"""),45250.0)</f>
        <v>45250</v>
      </c>
      <c r="O1134" s="45">
        <f>IFERROR(__xludf.DUMMYFUNCTION("""COMPUTED_VALUE"""),45480.0)</f>
        <v>45480</v>
      </c>
      <c r="P1134" s="45">
        <f>IFERROR(__xludf.DUMMYFUNCTION("""COMPUTED_VALUE"""),45522.0)</f>
        <v>45522</v>
      </c>
      <c r="Q1134" s="45"/>
      <c r="R1134" s="45"/>
      <c r="S1134" s="43"/>
      <c r="T1134" s="43"/>
      <c r="U1134" s="43" t="str">
        <f>IFERROR(__xludf.DUMMYFUNCTION("""COMPUTED_VALUE"""),"Youth 4 Impact")</f>
        <v>Youth 4 Impact</v>
      </c>
      <c r="V1134" s="43" t="str">
        <f>IFERROR(__xludf.DUMMYFUNCTION("""COMPUTED_VALUE"""),"ISTANBUL - BEYOGLU")</f>
        <v>ISTANBUL - BEYOGLU</v>
      </c>
      <c r="W1134" s="43" t="str">
        <f>IFERROR(__xludf.DUMMYFUNCTION("""COMPUTED_VALUE"""),"2023-11-13T21:22:43Z")</f>
        <v>2023-11-13T21:22:43Z</v>
      </c>
      <c r="X1134" s="43"/>
      <c r="Y1134" s="43"/>
      <c r="Z1134" s="43"/>
    </row>
    <row r="1135" hidden="1">
      <c r="A1135" s="43" t="str">
        <f>IFERROR(__xludf.DUMMYFUNCTION("""COMPUTED_VALUE"""),"4559096_1299851")</f>
        <v>4559096_1299851</v>
      </c>
      <c r="B1135" s="43" t="str">
        <f>IFERROR(__xludf.DUMMYFUNCTION("""COMPUTED_VALUE"""),"Hasan Emre Kömür")</f>
        <v>Hasan Emre Kömür</v>
      </c>
      <c r="C1135" s="43" t="str">
        <f>IFERROR(__xludf.DUMMYFUNCTION("""COMPUTED_VALUE"""),"approved")</f>
        <v>approved</v>
      </c>
      <c r="D1135" s="43" t="str">
        <f>IFERROR(__xludf.DUMMYFUNCTION("""COMPUTED_VALUE"""),"No")</f>
        <v>No</v>
      </c>
      <c r="E1135" s="43" t="str">
        <f>IFERROR(__xludf.DUMMYFUNCTION("""COMPUTED_VALUE"""),"p_96bfa7c3400584c209d6a46d4ca6913eae0c4603@inbound.aiesec.org")</f>
        <v>p_96bfa7c3400584c209d6a46d4ca6913eae0c4603@inbound.aiesec.org</v>
      </c>
      <c r="F1135" s="43">
        <f>IFERROR(__xludf.DUMMYFUNCTION("""COMPUTED_VALUE"""),5.514050553E9)</f>
        <v>5514050553</v>
      </c>
      <c r="G1135" s="43" t="str">
        <f>IFERROR(__xludf.DUMMYFUNCTION("""COMPUTED_VALUE"""),"Turkey")</f>
        <v>Turkey</v>
      </c>
      <c r="H1135" s="43" t="str">
        <f>IFERROR(__xludf.DUMMYFUNCTION("""COMPUTED_VALUE"""),"ISTANBUL")</f>
        <v>ISTANBUL</v>
      </c>
      <c r="I1135" s="43" t="str">
        <f>IFERROR(__xludf.DUMMYFUNCTION("""COMPUTED_VALUE"""),"Bosnia and Herzegovina")</f>
        <v>Bosnia and Herzegovina</v>
      </c>
      <c r="J1135" s="43" t="str">
        <f>IFERROR(__xludf.DUMMYFUNCTION("""COMPUTED_VALUE"""),"SARAJEVO")</f>
        <v>SARAJEVO</v>
      </c>
      <c r="K1135" s="44" t="str">
        <f>IFERROR(__xludf.DUMMYFUNCTION("""COMPUTED_VALUE"""),"https://expa.aiesec.org/opportunities/1299851")</f>
        <v>https://expa.aiesec.org/opportunities/1299851</v>
      </c>
      <c r="L1135" s="43" t="str">
        <f>IFERROR(__xludf.DUMMYFUNCTION("""COMPUTED_VALUE"""),"GV")</f>
        <v>GV</v>
      </c>
      <c r="M1135" s="43" t="str">
        <f>IFERROR(__xludf.DUMMYFUNCTION("""COMPUTED_VALUE"""),"short")</f>
        <v>short</v>
      </c>
      <c r="N1135" s="45">
        <f>IFERROR(__xludf.DUMMYFUNCTION("""COMPUTED_VALUE"""),45250.0)</f>
        <v>45250</v>
      </c>
      <c r="O1135" s="45">
        <f>IFERROR(__xludf.DUMMYFUNCTION("""COMPUTED_VALUE"""),45299.0)</f>
        <v>45299</v>
      </c>
      <c r="P1135" s="45">
        <f>IFERROR(__xludf.DUMMYFUNCTION("""COMPUTED_VALUE"""),45341.0)</f>
        <v>45341</v>
      </c>
      <c r="Q1135" s="45"/>
      <c r="R1135" s="45"/>
      <c r="S1135" s="43"/>
      <c r="T1135" s="43"/>
      <c r="U1135" s="43" t="str">
        <f>IFERROR(__xludf.DUMMYFUNCTION("""COMPUTED_VALUE"""),"Skill Up!")</f>
        <v>Skill Up!</v>
      </c>
      <c r="V1135" s="43" t="str">
        <f>IFERROR(__xludf.DUMMYFUNCTION("""COMPUTED_VALUE"""),"ISTANBUL - BEYOGLU")</f>
        <v>ISTANBUL - BEYOGLU</v>
      </c>
      <c r="W1135" s="43" t="str">
        <f>IFERROR(__xludf.DUMMYFUNCTION("""COMPUTED_VALUE"""),"2021-02-25T16:52:08Z")</f>
        <v>2021-02-25T16:52:08Z</v>
      </c>
      <c r="X1135" s="43"/>
      <c r="Y1135" s="43"/>
      <c r="Z1135" s="43"/>
    </row>
    <row r="1136" hidden="1">
      <c r="A1136" s="43" t="str">
        <f>IFERROR(__xludf.DUMMYFUNCTION("""COMPUTED_VALUE"""),"5368568_1300091")</f>
        <v>5368568_1300091</v>
      </c>
      <c r="B1136" s="43" t="str">
        <f>IFERROR(__xludf.DUMMYFUNCTION("""COMPUTED_VALUE"""),"Ece İlkem Akbulut")</f>
        <v>Ece İlkem Akbulut</v>
      </c>
      <c r="C1136" s="43" t="str">
        <f>IFERROR(__xludf.DUMMYFUNCTION("""COMPUTED_VALUE"""),"approved")</f>
        <v>approved</v>
      </c>
      <c r="D1136" s="43" t="str">
        <f>IFERROR(__xludf.DUMMYFUNCTION("""COMPUTED_VALUE"""),"No")</f>
        <v>No</v>
      </c>
      <c r="E1136" s="43" t="str">
        <f>IFERROR(__xludf.DUMMYFUNCTION("""COMPUTED_VALUE"""),"p_2b05d1c07ef8ae10970ec4ced6edf15f5220c26b@inbound.aiesec.org")</f>
        <v>p_2b05d1c07ef8ae10970ec4ced6edf15f5220c26b@inbound.aiesec.org</v>
      </c>
      <c r="F1136" s="43">
        <f>IFERROR(__xludf.DUMMYFUNCTION("""COMPUTED_VALUE"""),5.535153807E9)</f>
        <v>5535153807</v>
      </c>
      <c r="G1136" s="43" t="str">
        <f>IFERROR(__xludf.DUMMYFUNCTION("""COMPUTED_VALUE"""),"Turkey")</f>
        <v>Turkey</v>
      </c>
      <c r="H1136" s="43" t="str">
        <f>IFERROR(__xludf.DUMMYFUNCTION("""COMPUTED_VALUE"""),"BURSA")</f>
        <v>BURSA</v>
      </c>
      <c r="I1136" s="43" t="str">
        <f>IFERROR(__xludf.DUMMYFUNCTION("""COMPUTED_VALUE"""),"Egypt")</f>
        <v>Egypt</v>
      </c>
      <c r="J1136" s="43" t="str">
        <f>IFERROR(__xludf.DUMMYFUNCTION("""COMPUTED_VALUE"""),"6th October University")</f>
        <v>6th October University</v>
      </c>
      <c r="K1136" s="44" t="str">
        <f>IFERROR(__xludf.DUMMYFUNCTION("""COMPUTED_VALUE"""),"https://expa.aiesec.org/opportunities/1300091")</f>
        <v>https://expa.aiesec.org/opportunities/1300091</v>
      </c>
      <c r="L1136" s="43" t="str">
        <f>IFERROR(__xludf.DUMMYFUNCTION("""COMPUTED_VALUE"""),"GV")</f>
        <v>GV</v>
      </c>
      <c r="M1136" s="43" t="str">
        <f>IFERROR(__xludf.DUMMYFUNCTION("""COMPUTED_VALUE"""),"short")</f>
        <v>short</v>
      </c>
      <c r="N1136" s="45">
        <f>IFERROR(__xludf.DUMMYFUNCTION("""COMPUTED_VALUE"""),45250.0)</f>
        <v>45250</v>
      </c>
      <c r="O1136" s="45">
        <f>IFERROR(__xludf.DUMMYFUNCTION("""COMPUTED_VALUE"""),45488.0)</f>
        <v>45488</v>
      </c>
      <c r="P1136" s="45">
        <f>IFERROR(__xludf.DUMMYFUNCTION("""COMPUTED_VALUE"""),45530.0)</f>
        <v>45530</v>
      </c>
      <c r="Q1136" s="45"/>
      <c r="R1136" s="45"/>
      <c r="S1136" s="43"/>
      <c r="T1136" s="43"/>
      <c r="U1136" s="43" t="str">
        <f>IFERROR(__xludf.DUMMYFUNCTION("""COMPUTED_VALUE"""),"Heartbeat")</f>
        <v>Heartbeat</v>
      </c>
      <c r="V1136" s="43" t="str">
        <f>IFERROR(__xludf.DUMMYFUNCTION("""COMPUTED_VALUE"""),"BURSA")</f>
        <v>BURSA</v>
      </c>
      <c r="W1136" s="43" t="str">
        <f>IFERROR(__xludf.DUMMYFUNCTION("""COMPUTED_VALUE"""),"2023-11-07T20:45:41Z")</f>
        <v>2023-11-07T20:45:41Z</v>
      </c>
      <c r="X1136" s="43"/>
      <c r="Y1136" s="43"/>
      <c r="Z1136" s="43"/>
    </row>
    <row r="1137" hidden="1">
      <c r="A1137" s="43" t="str">
        <f>IFERROR(__xludf.DUMMYFUNCTION("""COMPUTED_VALUE"""),"5368701_1286893")</f>
        <v>5368701_1286893</v>
      </c>
      <c r="B1137" s="43" t="str">
        <f>IFERROR(__xludf.DUMMYFUNCTION("""COMPUTED_VALUE"""),"Muhanmode Abulimiti")</f>
        <v>Muhanmode Abulimiti</v>
      </c>
      <c r="C1137" s="43" t="str">
        <f>IFERROR(__xludf.DUMMYFUNCTION("""COMPUTED_VALUE"""),"approved")</f>
        <v>approved</v>
      </c>
      <c r="D1137" s="43" t="str">
        <f>IFERROR(__xludf.DUMMYFUNCTION("""COMPUTED_VALUE"""),"No")</f>
        <v>No</v>
      </c>
      <c r="E1137" s="43" t="str">
        <f>IFERROR(__xludf.DUMMYFUNCTION("""COMPUTED_VALUE"""),"p_c97b5ad2448ce2ba5762e12fd1108475e2f6896a@inbound.aiesec.org")</f>
        <v>p_c97b5ad2448ce2ba5762e12fd1108475e2f6896a@inbound.aiesec.org</v>
      </c>
      <c r="F1137" s="43">
        <f>IFERROR(__xludf.DUMMYFUNCTION("""COMPUTED_VALUE"""),5.423714634E9)</f>
        <v>5423714634</v>
      </c>
      <c r="G1137" s="43" t="str">
        <f>IFERROR(__xludf.DUMMYFUNCTION("""COMPUTED_VALUE"""),"Turkey")</f>
        <v>Turkey</v>
      </c>
      <c r="H1137" s="43" t="str">
        <f>IFERROR(__xludf.DUMMYFUNCTION("""COMPUTED_VALUE"""),"ISTANBUL ASIA")</f>
        <v>ISTANBUL ASIA</v>
      </c>
      <c r="I1137" s="43" t="str">
        <f>IFERROR(__xludf.DUMMYFUNCTION("""COMPUTED_VALUE"""),"Mexico")</f>
        <v>Mexico</v>
      </c>
      <c r="J1137" s="43" t="str">
        <f>IFERROR(__xludf.DUMMYFUNCTION("""COMPUTED_VALUE"""),"IPN")</f>
        <v>IPN</v>
      </c>
      <c r="K1137" s="44" t="str">
        <f>IFERROR(__xludf.DUMMYFUNCTION("""COMPUTED_VALUE"""),"https://expa.aiesec.org/opportunities/1286893")</f>
        <v>https://expa.aiesec.org/opportunities/1286893</v>
      </c>
      <c r="L1137" s="43" t="str">
        <f>IFERROR(__xludf.DUMMYFUNCTION("""COMPUTED_VALUE"""),"GV")</f>
        <v>GV</v>
      </c>
      <c r="M1137" s="43" t="str">
        <f>IFERROR(__xludf.DUMMYFUNCTION("""COMPUTED_VALUE"""),"short")</f>
        <v>short</v>
      </c>
      <c r="N1137" s="45">
        <f>IFERROR(__xludf.DUMMYFUNCTION("""COMPUTED_VALUE"""),45250.0)</f>
        <v>45250</v>
      </c>
      <c r="O1137" s="45">
        <f>IFERROR(__xludf.DUMMYFUNCTION("""COMPUTED_VALUE"""),45311.0)</f>
        <v>45311</v>
      </c>
      <c r="P1137" s="45">
        <f>IFERROR(__xludf.DUMMYFUNCTION("""COMPUTED_VALUE"""),45353.0)</f>
        <v>45353</v>
      </c>
      <c r="Q1137" s="45"/>
      <c r="R1137" s="45"/>
      <c r="S1137" s="43"/>
      <c r="T1137" s="43"/>
      <c r="U1137" s="43" t="str">
        <f>IFERROR(__xludf.DUMMYFUNCTION("""COMPUTED_VALUE"""),"Global Classroom")</f>
        <v>Global Classroom</v>
      </c>
      <c r="V1137" s="43" t="str">
        <f>IFERROR(__xludf.DUMMYFUNCTION("""COMPUTED_VALUE"""),"ISTANBUL - BEYOGLU")</f>
        <v>ISTANBUL - BEYOGLU</v>
      </c>
      <c r="W1137" s="43" t="str">
        <f>IFERROR(__xludf.DUMMYFUNCTION("""COMPUTED_VALUE"""),"2023-11-08T05:17:09Z")</f>
        <v>2023-11-08T05:17:09Z</v>
      </c>
      <c r="X1137" s="43"/>
      <c r="Y1137" s="43"/>
      <c r="Z1137" s="43"/>
    </row>
    <row r="1138" hidden="1">
      <c r="A1138" s="43" t="str">
        <f>IFERROR(__xludf.DUMMYFUNCTION("""COMPUTED_VALUE"""),"5376349_1299756")</f>
        <v>5376349_1299756</v>
      </c>
      <c r="B1138" s="43" t="str">
        <f>IFERROR(__xludf.DUMMYFUNCTION("""COMPUTED_VALUE"""),"Kerem Alagöz")</f>
        <v>Kerem Alagöz</v>
      </c>
      <c r="C1138" s="43" t="str">
        <f>IFERROR(__xludf.DUMMYFUNCTION("""COMPUTED_VALUE"""),"approved")</f>
        <v>approved</v>
      </c>
      <c r="D1138" s="43" t="str">
        <f>IFERROR(__xludf.DUMMYFUNCTION("""COMPUTED_VALUE"""),"No")</f>
        <v>No</v>
      </c>
      <c r="E1138" s="43" t="str">
        <f>IFERROR(__xludf.DUMMYFUNCTION("""COMPUTED_VALUE"""),"p_18864c6c3b9ef638eedca2464006fceef28617e4@inbound.aiesec.org")</f>
        <v>p_18864c6c3b9ef638eedca2464006fceef28617e4@inbound.aiesec.org</v>
      </c>
      <c r="F1138" s="43">
        <f>IFERROR(__xludf.DUMMYFUNCTION("""COMPUTED_VALUE"""),5.37776449E9)</f>
        <v>5377764490</v>
      </c>
      <c r="G1138" s="43" t="str">
        <f>IFERROR(__xludf.DUMMYFUNCTION("""COMPUTED_VALUE"""),"Turkey")</f>
        <v>Turkey</v>
      </c>
      <c r="H1138" s="43" t="str">
        <f>IFERROR(__xludf.DUMMYFUNCTION("""COMPUTED_VALUE"""),"KOCAELI")</f>
        <v>KOCAELI</v>
      </c>
      <c r="I1138" s="43" t="str">
        <f>IFERROR(__xludf.DUMMYFUNCTION("""COMPUTED_VALUE"""),"Egypt")</f>
        <v>Egypt</v>
      </c>
      <c r="J1138" s="43" t="str">
        <f>IFERROR(__xludf.DUMMYFUNCTION("""COMPUTED_VALUE"""),"Ain Shams University")</f>
        <v>Ain Shams University</v>
      </c>
      <c r="K1138" s="44" t="str">
        <f>IFERROR(__xludf.DUMMYFUNCTION("""COMPUTED_VALUE"""),"https://expa.aiesec.org/opportunities/1299756")</f>
        <v>https://expa.aiesec.org/opportunities/1299756</v>
      </c>
      <c r="L1138" s="43" t="str">
        <f>IFERROR(__xludf.DUMMYFUNCTION("""COMPUTED_VALUE"""),"GV")</f>
        <v>GV</v>
      </c>
      <c r="M1138" s="43" t="str">
        <f>IFERROR(__xludf.DUMMYFUNCTION("""COMPUTED_VALUE"""),"short")</f>
        <v>short</v>
      </c>
      <c r="N1138" s="45">
        <f>IFERROR(__xludf.DUMMYFUNCTION("""COMPUTED_VALUE"""),45250.0)</f>
        <v>45250</v>
      </c>
      <c r="O1138" s="45">
        <f>IFERROR(__xludf.DUMMYFUNCTION("""COMPUTED_VALUE"""),45474.0)</f>
        <v>45474</v>
      </c>
      <c r="P1138" s="45">
        <f>IFERROR(__xludf.DUMMYFUNCTION("""COMPUTED_VALUE"""),45516.0)</f>
        <v>45516</v>
      </c>
      <c r="Q1138" s="45"/>
      <c r="R1138" s="45"/>
      <c r="S1138" s="43"/>
      <c r="T1138" s="43"/>
      <c r="U1138" s="43" t="str">
        <f>IFERROR(__xludf.DUMMYFUNCTION("""COMPUTED_VALUE"""),"Scale Up!")</f>
        <v>Scale Up!</v>
      </c>
      <c r="V1138" s="43" t="str">
        <f>IFERROR(__xludf.DUMMYFUNCTION("""COMPUTED_VALUE"""),"KOCAELI")</f>
        <v>KOCAELI</v>
      </c>
      <c r="W1138" s="43" t="str">
        <f>IFERROR(__xludf.DUMMYFUNCTION("""COMPUTED_VALUE"""),"2023-11-20T21:04:19Z")</f>
        <v>2023-11-20T21:04:19Z</v>
      </c>
      <c r="X1138" s="43"/>
      <c r="Y1138" s="43"/>
      <c r="Z1138" s="43"/>
    </row>
    <row r="1139" hidden="1">
      <c r="A1139" s="43" t="str">
        <f>IFERROR(__xludf.DUMMYFUNCTION("""COMPUTED_VALUE"""),"5376348_1299756")</f>
        <v>5376348_1299756</v>
      </c>
      <c r="B1139" s="43" t="str">
        <f>IFERROR(__xludf.DUMMYFUNCTION("""COMPUTED_VALUE"""),"Semih Eren Caner")</f>
        <v>Semih Eren Caner</v>
      </c>
      <c r="C1139" s="43" t="str">
        <f>IFERROR(__xludf.DUMMYFUNCTION("""COMPUTED_VALUE"""),"approved")</f>
        <v>approved</v>
      </c>
      <c r="D1139" s="43" t="str">
        <f>IFERROR(__xludf.DUMMYFUNCTION("""COMPUTED_VALUE"""),"No")</f>
        <v>No</v>
      </c>
      <c r="E1139" s="43" t="str">
        <f>IFERROR(__xludf.DUMMYFUNCTION("""COMPUTED_VALUE"""),"p_fa990353953f828902a7822ee692c7a7ff13cb56@inbound.aiesec.org")</f>
        <v>p_fa990353953f828902a7822ee692c7a7ff13cb56@inbound.aiesec.org</v>
      </c>
      <c r="F1139" s="43"/>
      <c r="G1139" s="43" t="str">
        <f>IFERROR(__xludf.DUMMYFUNCTION("""COMPUTED_VALUE"""),"Turkey")</f>
        <v>Turkey</v>
      </c>
      <c r="H1139" s="43" t="str">
        <f>IFERROR(__xludf.DUMMYFUNCTION("""COMPUTED_VALUE"""),"KOCAELI")</f>
        <v>KOCAELI</v>
      </c>
      <c r="I1139" s="43" t="str">
        <f>IFERROR(__xludf.DUMMYFUNCTION("""COMPUTED_VALUE"""),"Egypt")</f>
        <v>Egypt</v>
      </c>
      <c r="J1139" s="43" t="str">
        <f>IFERROR(__xludf.DUMMYFUNCTION("""COMPUTED_VALUE"""),"Ain Shams University")</f>
        <v>Ain Shams University</v>
      </c>
      <c r="K1139" s="44" t="str">
        <f>IFERROR(__xludf.DUMMYFUNCTION("""COMPUTED_VALUE"""),"https://expa.aiesec.org/opportunities/1299756")</f>
        <v>https://expa.aiesec.org/opportunities/1299756</v>
      </c>
      <c r="L1139" s="43" t="str">
        <f>IFERROR(__xludf.DUMMYFUNCTION("""COMPUTED_VALUE"""),"GV")</f>
        <v>GV</v>
      </c>
      <c r="M1139" s="43" t="str">
        <f>IFERROR(__xludf.DUMMYFUNCTION("""COMPUTED_VALUE"""),"short")</f>
        <v>short</v>
      </c>
      <c r="N1139" s="45">
        <f>IFERROR(__xludf.DUMMYFUNCTION("""COMPUTED_VALUE"""),45250.0)</f>
        <v>45250</v>
      </c>
      <c r="O1139" s="45">
        <f>IFERROR(__xludf.DUMMYFUNCTION("""COMPUTED_VALUE"""),45474.0)</f>
        <v>45474</v>
      </c>
      <c r="P1139" s="45">
        <f>IFERROR(__xludf.DUMMYFUNCTION("""COMPUTED_VALUE"""),45516.0)</f>
        <v>45516</v>
      </c>
      <c r="Q1139" s="45"/>
      <c r="R1139" s="45"/>
      <c r="S1139" s="43"/>
      <c r="T1139" s="43"/>
      <c r="U1139" s="43" t="str">
        <f>IFERROR(__xludf.DUMMYFUNCTION("""COMPUTED_VALUE"""),"Scale Up!")</f>
        <v>Scale Up!</v>
      </c>
      <c r="V1139" s="43" t="str">
        <f>IFERROR(__xludf.DUMMYFUNCTION("""COMPUTED_VALUE"""),"-")</f>
        <v>-</v>
      </c>
      <c r="W1139" s="43" t="str">
        <f>IFERROR(__xludf.DUMMYFUNCTION("""COMPUTED_VALUE"""),"2023-11-20T21:04:12Z")</f>
        <v>2023-11-20T21:04:12Z</v>
      </c>
      <c r="X1139" s="43"/>
      <c r="Y1139" s="43"/>
      <c r="Z1139" s="43"/>
    </row>
    <row r="1140" hidden="1">
      <c r="A1140" s="43" t="str">
        <f>IFERROR(__xludf.DUMMYFUNCTION("""COMPUTED_VALUE"""),"5376307_1290292")</f>
        <v>5376307_1290292</v>
      </c>
      <c r="B1140" s="43" t="str">
        <f>IFERROR(__xludf.DUMMYFUNCTION("""COMPUTED_VALUE"""),"hasan faruk aksu")</f>
        <v>hasan faruk aksu</v>
      </c>
      <c r="C1140" s="43" t="str">
        <f>IFERROR(__xludf.DUMMYFUNCTION("""COMPUTED_VALUE"""),"realized")</f>
        <v>realized</v>
      </c>
      <c r="D1140" s="43" t="str">
        <f>IFERROR(__xludf.DUMMYFUNCTION("""COMPUTED_VALUE"""),"No")</f>
        <v>No</v>
      </c>
      <c r="E1140" s="43" t="str">
        <f>IFERROR(__xludf.DUMMYFUNCTION("""COMPUTED_VALUE"""),"p_ba6b41c94ef7df7de40f0c8719ebebdfc88beecc@inbound.aiesec.org")</f>
        <v>p_ba6b41c94ef7df7de40f0c8719ebebdfc88beecc@inbound.aiesec.org</v>
      </c>
      <c r="F1140" s="43">
        <f>IFERROR(__xludf.DUMMYFUNCTION("""COMPUTED_VALUE"""),5.31491738E9)</f>
        <v>5314917380</v>
      </c>
      <c r="G1140" s="43" t="str">
        <f>IFERROR(__xludf.DUMMYFUNCTION("""COMPUTED_VALUE"""),"Turkey")</f>
        <v>Turkey</v>
      </c>
      <c r="H1140" s="43" t="str">
        <f>IFERROR(__xludf.DUMMYFUNCTION("""COMPUTED_VALUE"""),"SAKARYA")</f>
        <v>SAKARYA</v>
      </c>
      <c r="I1140" s="43" t="str">
        <f>IFERROR(__xludf.DUMMYFUNCTION("""COMPUTED_VALUE"""),"Egypt")</f>
        <v>Egypt</v>
      </c>
      <c r="J1140" s="43" t="str">
        <f>IFERROR(__xludf.DUMMYFUNCTION("""COMPUTED_VALUE"""),"GUC")</f>
        <v>GUC</v>
      </c>
      <c r="K1140" s="44" t="str">
        <f>IFERROR(__xludf.DUMMYFUNCTION("""COMPUTED_VALUE"""),"https://expa.aiesec.org/opportunities/1290292")</f>
        <v>https://expa.aiesec.org/opportunities/1290292</v>
      </c>
      <c r="L1140" s="43" t="str">
        <f>IFERROR(__xludf.DUMMYFUNCTION("""COMPUTED_VALUE"""),"GV")</f>
        <v>GV</v>
      </c>
      <c r="M1140" s="43" t="str">
        <f>IFERROR(__xludf.DUMMYFUNCTION("""COMPUTED_VALUE"""),"short")</f>
        <v>short</v>
      </c>
      <c r="N1140" s="45">
        <f>IFERROR(__xludf.DUMMYFUNCTION("""COMPUTED_VALUE"""),45250.0)</f>
        <v>45250</v>
      </c>
      <c r="O1140" s="45">
        <f>IFERROR(__xludf.DUMMYFUNCTION("""COMPUTED_VALUE"""),45313.0)</f>
        <v>45313</v>
      </c>
      <c r="P1140" s="45">
        <f>IFERROR(__xludf.DUMMYFUNCTION("""COMPUTED_VALUE"""),45355.0)</f>
        <v>45355</v>
      </c>
      <c r="Q1140" s="45">
        <f>IFERROR(__xludf.DUMMYFUNCTION("""COMPUTED_VALUE"""),45314.0)</f>
        <v>45314</v>
      </c>
      <c r="R1140" s="45">
        <f>IFERROR(__xludf.DUMMYFUNCTION("""COMPUTED_VALUE"""),45356.0)</f>
        <v>45356</v>
      </c>
      <c r="S1140" s="43"/>
      <c r="T1140" s="43"/>
      <c r="U1140" s="43" t="str">
        <f>IFERROR(__xludf.DUMMYFUNCTION("""COMPUTED_VALUE"""),"Green Leaders")</f>
        <v>Green Leaders</v>
      </c>
      <c r="V1140" s="43" t="str">
        <f>IFERROR(__xludf.DUMMYFUNCTION("""COMPUTED_VALUE"""),"SAKARYA")</f>
        <v>SAKARYA</v>
      </c>
      <c r="W1140" s="43" t="str">
        <f>IFERROR(__xludf.DUMMYFUNCTION("""COMPUTED_VALUE"""),"2023-11-20T19:42:46Z")</f>
        <v>2023-11-20T19:42:46Z</v>
      </c>
      <c r="X1140" s="43"/>
      <c r="Y1140" s="43"/>
      <c r="Z1140" s="43"/>
    </row>
    <row r="1141" hidden="1">
      <c r="A1141" s="43" t="str">
        <f>IFERROR(__xludf.DUMMYFUNCTION("""COMPUTED_VALUE"""),"5375142_1292960")</f>
        <v>5375142_1292960</v>
      </c>
      <c r="B1141" s="43" t="str">
        <f>IFERROR(__xludf.DUMMYFUNCTION("""COMPUTED_VALUE"""),"Muhammed Muratoğlu")</f>
        <v>Muhammed Muratoğlu</v>
      </c>
      <c r="C1141" s="43" t="str">
        <f>IFERROR(__xludf.DUMMYFUNCTION("""COMPUTED_VALUE"""),"approved")</f>
        <v>approved</v>
      </c>
      <c r="D1141" s="43" t="str">
        <f>IFERROR(__xludf.DUMMYFUNCTION("""COMPUTED_VALUE"""),"No")</f>
        <v>No</v>
      </c>
      <c r="E1141" s="43" t="str">
        <f>IFERROR(__xludf.DUMMYFUNCTION("""COMPUTED_VALUE"""),"p_ca9f55cab09a3c01bfe9d8bd8da7bbf19a882eae@inbound.aiesec.org")</f>
        <v>p_ca9f55cab09a3c01bfe9d8bd8da7bbf19a882eae@inbound.aiesec.org</v>
      </c>
      <c r="F1141" s="43"/>
      <c r="G1141" s="43" t="str">
        <f>IFERROR(__xludf.DUMMYFUNCTION("""COMPUTED_VALUE"""),"Turkey")</f>
        <v>Turkey</v>
      </c>
      <c r="H1141" s="43" t="str">
        <f>IFERROR(__xludf.DUMMYFUNCTION("""COMPUTED_VALUE"""),"KOCAELI")</f>
        <v>KOCAELI</v>
      </c>
      <c r="I1141" s="43" t="str">
        <f>IFERROR(__xludf.DUMMYFUNCTION("""COMPUTED_VALUE"""),"India")</f>
        <v>India</v>
      </c>
      <c r="J1141" s="43" t="str">
        <f>IFERROR(__xludf.DUMMYFUNCTION("""COMPUTED_VALUE"""),"JAIPUR ")</f>
        <v>JAIPUR </v>
      </c>
      <c r="K1141" s="44" t="str">
        <f>IFERROR(__xludf.DUMMYFUNCTION("""COMPUTED_VALUE"""),"https://expa.aiesec.org/opportunities/1292960")</f>
        <v>https://expa.aiesec.org/opportunities/1292960</v>
      </c>
      <c r="L1141" s="43" t="str">
        <f>IFERROR(__xludf.DUMMYFUNCTION("""COMPUTED_VALUE"""),"GV")</f>
        <v>GV</v>
      </c>
      <c r="M1141" s="43" t="str">
        <f>IFERROR(__xludf.DUMMYFUNCTION("""COMPUTED_VALUE"""),"short")</f>
        <v>short</v>
      </c>
      <c r="N1141" s="45">
        <f>IFERROR(__xludf.DUMMYFUNCTION("""COMPUTED_VALUE"""),45250.0)</f>
        <v>45250</v>
      </c>
      <c r="O1141" s="45">
        <f>IFERROR(__xludf.DUMMYFUNCTION("""COMPUTED_VALUE"""),45521.0)</f>
        <v>45521</v>
      </c>
      <c r="P1141" s="45">
        <f>IFERROR(__xludf.DUMMYFUNCTION("""COMPUTED_VALUE"""),45563.0)</f>
        <v>45563</v>
      </c>
      <c r="Q1141" s="45"/>
      <c r="R1141" s="45"/>
      <c r="S1141" s="43"/>
      <c r="T1141" s="43"/>
      <c r="U1141" s="43" t="str">
        <f>IFERROR(__xludf.DUMMYFUNCTION("""COMPUTED_VALUE"""),"Skill Up!")</f>
        <v>Skill Up!</v>
      </c>
      <c r="V1141" s="43" t="str">
        <f>IFERROR(__xludf.DUMMYFUNCTION("""COMPUTED_VALUE"""),"KOCAELI")</f>
        <v>KOCAELI</v>
      </c>
      <c r="W1141" s="43" t="str">
        <f>IFERROR(__xludf.DUMMYFUNCTION("""COMPUTED_VALUE"""),"2023-11-18T19:31:56Z")</f>
        <v>2023-11-18T19:31:56Z</v>
      </c>
      <c r="X1141" s="43"/>
      <c r="Y1141" s="43"/>
      <c r="Z1141" s="43"/>
    </row>
    <row r="1142" hidden="1">
      <c r="A1142" s="43" t="str">
        <f>IFERROR(__xludf.DUMMYFUNCTION("""COMPUTED_VALUE"""),"5374658_1292298")</f>
        <v>5374658_1292298</v>
      </c>
      <c r="B1142" s="43" t="str">
        <f>IFERROR(__xludf.DUMMYFUNCTION("""COMPUTED_VALUE"""),"Alperen Dinçer")</f>
        <v>Alperen Dinçer</v>
      </c>
      <c r="C1142" s="43" t="str">
        <f>IFERROR(__xludf.DUMMYFUNCTION("""COMPUTED_VALUE"""),"approved")</f>
        <v>approved</v>
      </c>
      <c r="D1142" s="43" t="str">
        <f>IFERROR(__xludf.DUMMYFUNCTION("""COMPUTED_VALUE"""),"No")</f>
        <v>No</v>
      </c>
      <c r="E1142" s="43" t="str">
        <f>IFERROR(__xludf.DUMMYFUNCTION("""COMPUTED_VALUE"""),"p_1bedec31474865197ff33dd5b66d1bbd810330e4@inbound.aiesec.org")</f>
        <v>p_1bedec31474865197ff33dd5b66d1bbd810330e4@inbound.aiesec.org</v>
      </c>
      <c r="F1142" s="43"/>
      <c r="G1142" s="43" t="str">
        <f>IFERROR(__xludf.DUMMYFUNCTION("""COMPUTED_VALUE"""),"Turkey")</f>
        <v>Turkey</v>
      </c>
      <c r="H1142" s="43" t="str">
        <f>IFERROR(__xludf.DUMMYFUNCTION("""COMPUTED_VALUE"""),"KOCAELI")</f>
        <v>KOCAELI</v>
      </c>
      <c r="I1142" s="43" t="str">
        <f>IFERROR(__xludf.DUMMYFUNCTION("""COMPUTED_VALUE"""),"Egypt")</f>
        <v>Egypt</v>
      </c>
      <c r="J1142" s="43" t="str">
        <f>IFERROR(__xludf.DUMMYFUNCTION("""COMPUTED_VALUE"""),"Cairo University")</f>
        <v>Cairo University</v>
      </c>
      <c r="K1142" s="44" t="str">
        <f>IFERROR(__xludf.DUMMYFUNCTION("""COMPUTED_VALUE"""),"https://expa.aiesec.org/opportunities/1292298")</f>
        <v>https://expa.aiesec.org/opportunities/1292298</v>
      </c>
      <c r="L1142" s="43" t="str">
        <f>IFERROR(__xludf.DUMMYFUNCTION("""COMPUTED_VALUE"""),"GV")</f>
        <v>GV</v>
      </c>
      <c r="M1142" s="43" t="str">
        <f>IFERROR(__xludf.DUMMYFUNCTION("""COMPUTED_VALUE"""),"short")</f>
        <v>short</v>
      </c>
      <c r="N1142" s="45">
        <f>IFERROR(__xludf.DUMMYFUNCTION("""COMPUTED_VALUE"""),45250.0)</f>
        <v>45250</v>
      </c>
      <c r="O1142" s="45">
        <f>IFERROR(__xludf.DUMMYFUNCTION("""COMPUTED_VALUE"""),45505.0)</f>
        <v>45505</v>
      </c>
      <c r="P1142" s="45">
        <f>IFERROR(__xludf.DUMMYFUNCTION("""COMPUTED_VALUE"""),45547.0)</f>
        <v>45547</v>
      </c>
      <c r="Q1142" s="45"/>
      <c r="R1142" s="45"/>
      <c r="S1142" s="43"/>
      <c r="T1142" s="43"/>
      <c r="U1142" s="43" t="str">
        <f>IFERROR(__xludf.DUMMYFUNCTION("""COMPUTED_VALUE"""),"Fingerprint")</f>
        <v>Fingerprint</v>
      </c>
      <c r="V1142" s="43" t="str">
        <f>IFERROR(__xludf.DUMMYFUNCTION("""COMPUTED_VALUE"""),"-")</f>
        <v>-</v>
      </c>
      <c r="W1142" s="43" t="str">
        <f>IFERROR(__xludf.DUMMYFUNCTION("""COMPUTED_VALUE"""),"2023-11-17T19:34:42Z")</f>
        <v>2023-11-17T19:34:42Z</v>
      </c>
      <c r="X1142" s="43"/>
      <c r="Y1142" s="43"/>
      <c r="Z1142" s="43"/>
    </row>
    <row r="1143" hidden="1">
      <c r="A1143" s="43" t="str">
        <f>IFERROR(__xludf.DUMMYFUNCTION("""COMPUTED_VALUE"""),"5370049_1292298")</f>
        <v>5370049_1292298</v>
      </c>
      <c r="B1143" s="43" t="str">
        <f>IFERROR(__xludf.DUMMYFUNCTION("""COMPUTED_VALUE"""),"Osman Furkan Özdemir")</f>
        <v>Osman Furkan Özdemir</v>
      </c>
      <c r="C1143" s="43" t="str">
        <f>IFERROR(__xludf.DUMMYFUNCTION("""COMPUTED_VALUE"""),"approved")</f>
        <v>approved</v>
      </c>
      <c r="D1143" s="43" t="str">
        <f>IFERROR(__xludf.DUMMYFUNCTION("""COMPUTED_VALUE"""),"No")</f>
        <v>No</v>
      </c>
      <c r="E1143" s="43" t="str">
        <f>IFERROR(__xludf.DUMMYFUNCTION("""COMPUTED_VALUE"""),"p_485baff7e7b0533a998dbd989f59421a4ac31532@inbound.aiesec.org")</f>
        <v>p_485baff7e7b0533a998dbd989f59421a4ac31532@inbound.aiesec.org</v>
      </c>
      <c r="F1143" s="43">
        <f>IFERROR(__xludf.DUMMYFUNCTION("""COMPUTED_VALUE"""),5.386403941E9)</f>
        <v>5386403941</v>
      </c>
      <c r="G1143" s="43" t="str">
        <f>IFERROR(__xludf.DUMMYFUNCTION("""COMPUTED_VALUE"""),"Turkey")</f>
        <v>Turkey</v>
      </c>
      <c r="H1143" s="43" t="str">
        <f>IFERROR(__xludf.DUMMYFUNCTION("""COMPUTED_VALUE"""),"ISTANBUL")</f>
        <v>ISTANBUL</v>
      </c>
      <c r="I1143" s="43" t="str">
        <f>IFERROR(__xludf.DUMMYFUNCTION("""COMPUTED_VALUE"""),"Egypt")</f>
        <v>Egypt</v>
      </c>
      <c r="J1143" s="43" t="str">
        <f>IFERROR(__xludf.DUMMYFUNCTION("""COMPUTED_VALUE"""),"Cairo University")</f>
        <v>Cairo University</v>
      </c>
      <c r="K1143" s="44" t="str">
        <f>IFERROR(__xludf.DUMMYFUNCTION("""COMPUTED_VALUE"""),"https://expa.aiesec.org/opportunities/1292298")</f>
        <v>https://expa.aiesec.org/opportunities/1292298</v>
      </c>
      <c r="L1143" s="43" t="str">
        <f>IFERROR(__xludf.DUMMYFUNCTION("""COMPUTED_VALUE"""),"GV")</f>
        <v>GV</v>
      </c>
      <c r="M1143" s="43" t="str">
        <f>IFERROR(__xludf.DUMMYFUNCTION("""COMPUTED_VALUE"""),"short")</f>
        <v>short</v>
      </c>
      <c r="N1143" s="45">
        <f>IFERROR(__xludf.DUMMYFUNCTION("""COMPUTED_VALUE"""),45250.0)</f>
        <v>45250</v>
      </c>
      <c r="O1143" s="45">
        <f>IFERROR(__xludf.DUMMYFUNCTION("""COMPUTED_VALUE"""),45505.0)</f>
        <v>45505</v>
      </c>
      <c r="P1143" s="45">
        <f>IFERROR(__xludf.DUMMYFUNCTION("""COMPUTED_VALUE"""),45547.0)</f>
        <v>45547</v>
      </c>
      <c r="Q1143" s="45"/>
      <c r="R1143" s="45"/>
      <c r="S1143" s="43"/>
      <c r="T1143" s="43"/>
      <c r="U1143" s="43" t="str">
        <f>IFERROR(__xludf.DUMMYFUNCTION("""COMPUTED_VALUE"""),"Fingerprint")</f>
        <v>Fingerprint</v>
      </c>
      <c r="V1143" s="43" t="str">
        <f>IFERROR(__xludf.DUMMYFUNCTION("""COMPUTED_VALUE"""),"ISTANBUL - BEYOGLU")</f>
        <v>ISTANBUL - BEYOGLU</v>
      </c>
      <c r="W1143" s="43" t="str">
        <f>IFERROR(__xludf.DUMMYFUNCTION("""COMPUTED_VALUE"""),"2023-11-09T21:56:05Z")</f>
        <v>2023-11-09T21:56:05Z</v>
      </c>
      <c r="X1143" s="43"/>
      <c r="Y1143" s="43"/>
      <c r="Z1143" s="43"/>
    </row>
    <row r="1144" hidden="1">
      <c r="A1144" s="43" t="str">
        <f>IFERROR(__xludf.DUMMYFUNCTION("""COMPUTED_VALUE"""),"5361142_1294860")</f>
        <v>5361142_1294860</v>
      </c>
      <c r="B1144" s="43" t="str">
        <f>IFERROR(__xludf.DUMMYFUNCTION("""COMPUTED_VALUE"""),"Talha Deniz Hatip")</f>
        <v>Talha Deniz Hatip</v>
      </c>
      <c r="C1144" s="43" t="str">
        <f>IFERROR(__xludf.DUMMYFUNCTION("""COMPUTED_VALUE"""),"approved")</f>
        <v>approved</v>
      </c>
      <c r="D1144" s="43" t="str">
        <f>IFERROR(__xludf.DUMMYFUNCTION("""COMPUTED_VALUE"""),"No")</f>
        <v>No</v>
      </c>
      <c r="E1144" s="43" t="str">
        <f>IFERROR(__xludf.DUMMYFUNCTION("""COMPUTED_VALUE"""),"p_5b91eea3610356d5e4902e8de7175ca598b4a233@inbound.aiesec.org")</f>
        <v>p_5b91eea3610356d5e4902e8de7175ca598b4a233@inbound.aiesec.org</v>
      </c>
      <c r="F1144" s="43">
        <f>IFERROR(__xludf.DUMMYFUNCTION("""COMPUTED_VALUE"""),5.415154972E9)</f>
        <v>5415154972</v>
      </c>
      <c r="G1144" s="43" t="str">
        <f>IFERROR(__xludf.DUMMYFUNCTION("""COMPUTED_VALUE"""),"Turkey")</f>
        <v>Turkey</v>
      </c>
      <c r="H1144" s="43" t="str">
        <f>IFERROR(__xludf.DUMMYFUNCTION("""COMPUTED_VALUE"""),"ISTANBUL ASIA")</f>
        <v>ISTANBUL ASIA</v>
      </c>
      <c r="I1144" s="43" t="str">
        <f>IFERROR(__xludf.DUMMYFUNCTION("""COMPUTED_VALUE"""),"Egypt")</f>
        <v>Egypt</v>
      </c>
      <c r="J1144" s="43" t="str">
        <f>IFERROR(__xludf.DUMMYFUNCTION("""COMPUTED_VALUE"""),"Cairo University")</f>
        <v>Cairo University</v>
      </c>
      <c r="K1144" s="44" t="str">
        <f>IFERROR(__xludf.DUMMYFUNCTION("""COMPUTED_VALUE"""),"https://expa.aiesec.org/opportunities/1294860")</f>
        <v>https://expa.aiesec.org/opportunities/1294860</v>
      </c>
      <c r="L1144" s="43" t="str">
        <f>IFERROR(__xludf.DUMMYFUNCTION("""COMPUTED_VALUE"""),"GV")</f>
        <v>GV</v>
      </c>
      <c r="M1144" s="43" t="str">
        <f>IFERROR(__xludf.DUMMYFUNCTION("""COMPUTED_VALUE"""),"short")</f>
        <v>short</v>
      </c>
      <c r="N1144" s="45">
        <f>IFERROR(__xludf.DUMMYFUNCTION("""COMPUTED_VALUE"""),45250.0)</f>
        <v>45250</v>
      </c>
      <c r="O1144" s="45">
        <f>IFERROR(__xludf.DUMMYFUNCTION("""COMPUTED_VALUE"""),45444.0)</f>
        <v>45444</v>
      </c>
      <c r="P1144" s="45">
        <f>IFERROR(__xludf.DUMMYFUNCTION("""COMPUTED_VALUE"""),45486.0)</f>
        <v>45486</v>
      </c>
      <c r="Q1144" s="45"/>
      <c r="R1144" s="45"/>
      <c r="S1144" s="43"/>
      <c r="T1144" s="43"/>
      <c r="U1144" s="43" t="str">
        <f>IFERROR(__xludf.DUMMYFUNCTION("""COMPUTED_VALUE"""),"On The Map")</f>
        <v>On The Map</v>
      </c>
      <c r="V1144" s="43" t="str">
        <f>IFERROR(__xludf.DUMMYFUNCTION("""COMPUTED_VALUE"""),"ISTANBUL ASIA")</f>
        <v>ISTANBUL ASIA</v>
      </c>
      <c r="W1144" s="43" t="str">
        <f>IFERROR(__xludf.DUMMYFUNCTION("""COMPUTED_VALUE"""),"2023-10-26T19:57:55Z")</f>
        <v>2023-10-26T19:57:55Z</v>
      </c>
      <c r="X1144" s="43"/>
      <c r="Y1144" s="43"/>
      <c r="Z1144" s="43"/>
    </row>
    <row r="1145" hidden="1">
      <c r="A1145" s="43" t="str">
        <f>IFERROR(__xludf.DUMMYFUNCTION("""COMPUTED_VALUE"""),"5376603_1293239")</f>
        <v>5376603_1293239</v>
      </c>
      <c r="B1145" s="43" t="str">
        <f>IFERROR(__xludf.DUMMYFUNCTION("""COMPUTED_VALUE"""),"Sude Eyidoğan")</f>
        <v>Sude Eyidoğan</v>
      </c>
      <c r="C1145" s="43" t="str">
        <f>IFERROR(__xludf.DUMMYFUNCTION("""COMPUTED_VALUE"""),"approved")</f>
        <v>approved</v>
      </c>
      <c r="D1145" s="43" t="str">
        <f>IFERROR(__xludf.DUMMYFUNCTION("""COMPUTED_VALUE"""),"No")</f>
        <v>No</v>
      </c>
      <c r="E1145" s="43" t="str">
        <f>IFERROR(__xludf.DUMMYFUNCTION("""COMPUTED_VALUE"""),"p_d8a9ec51d0bef6108d4abcd4478350d5dbd32397@inbound.aiesec.org")</f>
        <v>p_d8a9ec51d0bef6108d4abcd4478350d5dbd32397@inbound.aiesec.org</v>
      </c>
      <c r="F1145" s="43">
        <f>IFERROR(__xludf.DUMMYFUNCTION("""COMPUTED_VALUE"""),5.444035103E9)</f>
        <v>5444035103</v>
      </c>
      <c r="G1145" s="43" t="str">
        <f>IFERROR(__xludf.DUMMYFUNCTION("""COMPUTED_VALUE"""),"Turkey")</f>
        <v>Turkey</v>
      </c>
      <c r="H1145" s="43" t="str">
        <f>IFERROR(__xludf.DUMMYFUNCTION("""COMPUTED_VALUE"""),"SAKARYA")</f>
        <v>SAKARYA</v>
      </c>
      <c r="I1145" s="43" t="str">
        <f>IFERROR(__xludf.DUMMYFUNCTION("""COMPUTED_VALUE"""),"Egypt")</f>
        <v>Egypt</v>
      </c>
      <c r="J1145" s="43" t="str">
        <f>IFERROR(__xludf.DUMMYFUNCTION("""COMPUTED_VALUE"""),"AAST Alexandria")</f>
        <v>AAST Alexandria</v>
      </c>
      <c r="K1145" s="44" t="str">
        <f>IFERROR(__xludf.DUMMYFUNCTION("""COMPUTED_VALUE"""),"https://expa.aiesec.org/opportunities/1293239")</f>
        <v>https://expa.aiesec.org/opportunities/1293239</v>
      </c>
      <c r="L1145" s="43" t="str">
        <f>IFERROR(__xludf.DUMMYFUNCTION("""COMPUTED_VALUE"""),"GV")</f>
        <v>GV</v>
      </c>
      <c r="M1145" s="43" t="str">
        <f>IFERROR(__xludf.DUMMYFUNCTION("""COMPUTED_VALUE"""),"short")</f>
        <v>short</v>
      </c>
      <c r="N1145" s="45">
        <f>IFERROR(__xludf.DUMMYFUNCTION("""COMPUTED_VALUE"""),45251.0)</f>
        <v>45251</v>
      </c>
      <c r="O1145" s="45">
        <f>IFERROR(__xludf.DUMMYFUNCTION("""COMPUTED_VALUE"""),45474.0)</f>
        <v>45474</v>
      </c>
      <c r="P1145" s="45">
        <f>IFERROR(__xludf.DUMMYFUNCTION("""COMPUTED_VALUE"""),45516.0)</f>
        <v>45516</v>
      </c>
      <c r="Q1145" s="45"/>
      <c r="R1145" s="45"/>
      <c r="S1145" s="43"/>
      <c r="T1145" s="43"/>
      <c r="U1145" s="43" t="str">
        <f>IFERROR(__xludf.DUMMYFUNCTION("""COMPUTED_VALUE"""),"Global Classroom")</f>
        <v>Global Classroom</v>
      </c>
      <c r="V1145" s="43" t="str">
        <f>IFERROR(__xludf.DUMMYFUNCTION("""COMPUTED_VALUE"""),"SAKARYA")</f>
        <v>SAKARYA</v>
      </c>
      <c r="W1145" s="43" t="str">
        <f>IFERROR(__xludf.DUMMYFUNCTION("""COMPUTED_VALUE"""),"2023-11-21T10:11:53Z")</f>
        <v>2023-11-21T10:11:53Z</v>
      </c>
      <c r="X1145" s="43"/>
      <c r="Y1145" s="43"/>
      <c r="Z1145" s="43"/>
    </row>
    <row r="1146" hidden="1">
      <c r="A1146" s="43" t="str">
        <f>IFERROR(__xludf.DUMMYFUNCTION("""COMPUTED_VALUE"""),"5376295_1289372")</f>
        <v>5376295_1289372</v>
      </c>
      <c r="B1146" s="43" t="str">
        <f>IFERROR(__xludf.DUMMYFUNCTION("""COMPUTED_VALUE"""),"Alime Sena Çevik")</f>
        <v>Alime Sena Çevik</v>
      </c>
      <c r="C1146" s="43" t="str">
        <f>IFERROR(__xludf.DUMMYFUNCTION("""COMPUTED_VALUE"""),"approved")</f>
        <v>approved</v>
      </c>
      <c r="D1146" s="43" t="str">
        <f>IFERROR(__xludf.DUMMYFUNCTION("""COMPUTED_VALUE"""),"No")</f>
        <v>No</v>
      </c>
      <c r="E1146" s="43" t="str">
        <f>IFERROR(__xludf.DUMMYFUNCTION("""COMPUTED_VALUE"""),"p_66741e4c6f791200f7a2182964c0edf74a726806@inbound.aiesec.org")</f>
        <v>p_66741e4c6f791200f7a2182964c0edf74a726806@inbound.aiesec.org</v>
      </c>
      <c r="F1146" s="43">
        <f>IFERROR(__xludf.DUMMYFUNCTION("""COMPUTED_VALUE"""),5.436401542E9)</f>
        <v>5436401542</v>
      </c>
      <c r="G1146" s="43" t="str">
        <f>IFERROR(__xludf.DUMMYFUNCTION("""COMPUTED_VALUE"""),"Turkey")</f>
        <v>Turkey</v>
      </c>
      <c r="H1146" s="43" t="str">
        <f>IFERROR(__xludf.DUMMYFUNCTION("""COMPUTED_VALUE"""),"ISTANBUL")</f>
        <v>ISTANBUL</v>
      </c>
      <c r="I1146" s="43" t="str">
        <f>IFERROR(__xludf.DUMMYFUNCTION("""COMPUTED_VALUE"""),"Egypt")</f>
        <v>Egypt</v>
      </c>
      <c r="J1146" s="43" t="str">
        <f>IFERROR(__xludf.DUMMYFUNCTION("""COMPUTED_VALUE"""),"Ain Shams University")</f>
        <v>Ain Shams University</v>
      </c>
      <c r="K1146" s="44" t="str">
        <f>IFERROR(__xludf.DUMMYFUNCTION("""COMPUTED_VALUE"""),"https://expa.aiesec.org/opportunities/1289372")</f>
        <v>https://expa.aiesec.org/opportunities/1289372</v>
      </c>
      <c r="L1146" s="43" t="str">
        <f>IFERROR(__xludf.DUMMYFUNCTION("""COMPUTED_VALUE"""),"GV")</f>
        <v>GV</v>
      </c>
      <c r="M1146" s="43" t="str">
        <f>IFERROR(__xludf.DUMMYFUNCTION("""COMPUTED_VALUE"""),"short")</f>
        <v>short</v>
      </c>
      <c r="N1146" s="45">
        <f>IFERROR(__xludf.DUMMYFUNCTION("""COMPUTED_VALUE"""),45251.0)</f>
        <v>45251</v>
      </c>
      <c r="O1146" s="45">
        <f>IFERROR(__xludf.DUMMYFUNCTION("""COMPUTED_VALUE"""),45519.0)</f>
        <v>45519</v>
      </c>
      <c r="P1146" s="45">
        <f>IFERROR(__xludf.DUMMYFUNCTION("""COMPUTED_VALUE"""),45561.0)</f>
        <v>45561</v>
      </c>
      <c r="Q1146" s="45"/>
      <c r="R1146" s="45"/>
      <c r="S1146" s="43"/>
      <c r="T1146" s="43"/>
      <c r="U1146" s="43" t="str">
        <f>IFERROR(__xludf.DUMMYFUNCTION("""COMPUTED_VALUE"""),"Rooted")</f>
        <v>Rooted</v>
      </c>
      <c r="V1146" s="43" t="str">
        <f>IFERROR(__xludf.DUMMYFUNCTION("""COMPUTED_VALUE"""),"ISTANBUL - BEYOGLU")</f>
        <v>ISTANBUL - BEYOGLU</v>
      </c>
      <c r="W1146" s="43" t="str">
        <f>IFERROR(__xludf.DUMMYFUNCTION("""COMPUTED_VALUE"""),"2023-11-20T19:11:50Z")</f>
        <v>2023-11-20T19:11:50Z</v>
      </c>
      <c r="X1146" s="43"/>
      <c r="Y1146" s="43"/>
      <c r="Z1146" s="43"/>
    </row>
    <row r="1147" hidden="1">
      <c r="A1147" s="43" t="str">
        <f>IFERROR(__xludf.DUMMYFUNCTION("""COMPUTED_VALUE"""),"5375821_1288609")</f>
        <v>5375821_1288609</v>
      </c>
      <c r="B1147" s="43" t="str">
        <f>IFERROR(__xludf.DUMMYFUNCTION("""COMPUTED_VALUE"""),"Kübra KAPLAN")</f>
        <v>Kübra KAPLAN</v>
      </c>
      <c r="C1147" s="43" t="str">
        <f>IFERROR(__xludf.DUMMYFUNCTION("""COMPUTED_VALUE"""),"approved")</f>
        <v>approved</v>
      </c>
      <c r="D1147" s="43" t="str">
        <f>IFERROR(__xludf.DUMMYFUNCTION("""COMPUTED_VALUE"""),"No")</f>
        <v>No</v>
      </c>
      <c r="E1147" s="43" t="str">
        <f>IFERROR(__xludf.DUMMYFUNCTION("""COMPUTED_VALUE"""),"p_6fd22cc2fbfcffe14fea6d6174478d6bf94d8c4b@inbound.aiesec.org")</f>
        <v>p_6fd22cc2fbfcffe14fea6d6174478d6bf94d8c4b@inbound.aiesec.org</v>
      </c>
      <c r="F1147" s="43">
        <f>IFERROR(__xludf.DUMMYFUNCTION("""COMPUTED_VALUE"""),5.537318246E9)</f>
        <v>5537318246</v>
      </c>
      <c r="G1147" s="43" t="str">
        <f>IFERROR(__xludf.DUMMYFUNCTION("""COMPUTED_VALUE"""),"Turkey")</f>
        <v>Turkey</v>
      </c>
      <c r="H1147" s="43" t="str">
        <f>IFERROR(__xludf.DUMMYFUNCTION("""COMPUTED_VALUE"""),"GAZIANTEP")</f>
        <v>GAZIANTEP</v>
      </c>
      <c r="I1147" s="43" t="str">
        <f>IFERROR(__xludf.DUMMYFUNCTION("""COMPUTED_VALUE"""),"Egypt")</f>
        <v>Egypt</v>
      </c>
      <c r="J1147" s="43" t="str">
        <f>IFERROR(__xludf.DUMMYFUNCTION("""COMPUTED_VALUE"""),"Tanta")</f>
        <v>Tanta</v>
      </c>
      <c r="K1147" s="44" t="str">
        <f>IFERROR(__xludf.DUMMYFUNCTION("""COMPUTED_VALUE"""),"https://expa.aiesec.org/opportunities/1288609")</f>
        <v>https://expa.aiesec.org/opportunities/1288609</v>
      </c>
      <c r="L1147" s="43" t="str">
        <f>IFERROR(__xludf.DUMMYFUNCTION("""COMPUTED_VALUE"""),"GV")</f>
        <v>GV</v>
      </c>
      <c r="M1147" s="43" t="str">
        <f>IFERROR(__xludf.DUMMYFUNCTION("""COMPUTED_VALUE"""),"short")</f>
        <v>short</v>
      </c>
      <c r="N1147" s="45">
        <f>IFERROR(__xludf.DUMMYFUNCTION("""COMPUTED_VALUE"""),45251.0)</f>
        <v>45251</v>
      </c>
      <c r="O1147" s="45">
        <f>IFERROR(__xludf.DUMMYFUNCTION("""COMPUTED_VALUE"""),45474.0)</f>
        <v>45474</v>
      </c>
      <c r="P1147" s="45">
        <f>IFERROR(__xludf.DUMMYFUNCTION("""COMPUTED_VALUE"""),45516.0)</f>
        <v>45516</v>
      </c>
      <c r="Q1147" s="45"/>
      <c r="R1147" s="45"/>
      <c r="S1147" s="43"/>
      <c r="T1147" s="43"/>
      <c r="U1147" s="43" t="str">
        <f>IFERROR(__xludf.DUMMYFUNCTION("""COMPUTED_VALUE"""),"On The Map")</f>
        <v>On The Map</v>
      </c>
      <c r="V1147" s="43" t="str">
        <f>IFERROR(__xludf.DUMMYFUNCTION("""COMPUTED_VALUE"""),"GAZIANTEP")</f>
        <v>GAZIANTEP</v>
      </c>
      <c r="W1147" s="43" t="str">
        <f>IFERROR(__xludf.DUMMYFUNCTION("""COMPUTED_VALUE"""),"2023-11-20T09:43:39Z")</f>
        <v>2023-11-20T09:43:39Z</v>
      </c>
      <c r="X1147" s="43"/>
      <c r="Y1147" s="43"/>
      <c r="Z1147" s="43"/>
    </row>
    <row r="1148" hidden="1">
      <c r="A1148" s="43" t="str">
        <f>IFERROR(__xludf.DUMMYFUNCTION("""COMPUTED_VALUE"""),"5227079_1301022")</f>
        <v>5227079_1301022</v>
      </c>
      <c r="B1148" s="43" t="str">
        <f>IFERROR(__xludf.DUMMYFUNCTION("""COMPUTED_VALUE"""),"Bora Yalçın")</f>
        <v>Bora Yalçın</v>
      </c>
      <c r="C1148" s="43" t="str">
        <f>IFERROR(__xludf.DUMMYFUNCTION("""COMPUTED_VALUE"""),"realized")</f>
        <v>realized</v>
      </c>
      <c r="D1148" s="43" t="str">
        <f>IFERROR(__xludf.DUMMYFUNCTION("""COMPUTED_VALUE"""),"No")</f>
        <v>No</v>
      </c>
      <c r="E1148" s="43" t="str">
        <f>IFERROR(__xludf.DUMMYFUNCTION("""COMPUTED_VALUE"""),"p_f9d200c9ad08b106fa5c02432e42dd3e1b3b28c9@inbound.aiesec.org")</f>
        <v>p_f9d200c9ad08b106fa5c02432e42dd3e1b3b28c9@inbound.aiesec.org</v>
      </c>
      <c r="F1148" s="43">
        <f>IFERROR(__xludf.DUMMYFUNCTION("""COMPUTED_VALUE"""),5.365856396E9)</f>
        <v>5365856396</v>
      </c>
      <c r="G1148" s="43" t="str">
        <f>IFERROR(__xludf.DUMMYFUNCTION("""COMPUTED_VALUE"""),"Turkey")</f>
        <v>Turkey</v>
      </c>
      <c r="H1148" s="43" t="str">
        <f>IFERROR(__xludf.DUMMYFUNCTION("""COMPUTED_VALUE"""),"İZMİR")</f>
        <v>İZMİR</v>
      </c>
      <c r="I1148" s="43" t="str">
        <f>IFERROR(__xludf.DUMMYFUNCTION("""COMPUTED_VALUE"""),"Serbia")</f>
        <v>Serbia</v>
      </c>
      <c r="J1148" s="43" t="str">
        <f>IFERROR(__xludf.DUMMYFUNCTION("""COMPUTED_VALUE"""),"BELGRADE FON")</f>
        <v>BELGRADE FON</v>
      </c>
      <c r="K1148" s="44" t="str">
        <f>IFERROR(__xludf.DUMMYFUNCTION("""COMPUTED_VALUE"""),"https://expa.aiesec.org/opportunities/1301022")</f>
        <v>https://expa.aiesec.org/opportunities/1301022</v>
      </c>
      <c r="L1148" s="43" t="str">
        <f>IFERROR(__xludf.DUMMYFUNCTION("""COMPUTED_VALUE"""),"GV")</f>
        <v>GV</v>
      </c>
      <c r="M1148" s="43" t="str">
        <f>IFERROR(__xludf.DUMMYFUNCTION("""COMPUTED_VALUE"""),"short")</f>
        <v>short</v>
      </c>
      <c r="N1148" s="45">
        <f>IFERROR(__xludf.DUMMYFUNCTION("""COMPUTED_VALUE"""),45251.0)</f>
        <v>45251</v>
      </c>
      <c r="O1148" s="45">
        <f>IFERROR(__xludf.DUMMYFUNCTION("""COMPUTED_VALUE"""),45307.0)</f>
        <v>45307</v>
      </c>
      <c r="P1148" s="45">
        <f>IFERROR(__xludf.DUMMYFUNCTION("""COMPUTED_VALUE"""),45349.0)</f>
        <v>45349</v>
      </c>
      <c r="Q1148" s="45">
        <f>IFERROR(__xludf.DUMMYFUNCTION("""COMPUTED_VALUE"""),45307.0)</f>
        <v>45307</v>
      </c>
      <c r="R1148" s="45">
        <f>IFERROR(__xludf.DUMMYFUNCTION("""COMPUTED_VALUE"""),45349.0)</f>
        <v>45349</v>
      </c>
      <c r="S1148" s="43"/>
      <c r="T1148" s="43"/>
      <c r="U1148" s="43" t="str">
        <f>IFERROR(__xludf.DUMMYFUNCTION("""COMPUTED_VALUE"""),"Youth 4 Impact")</f>
        <v>Youth 4 Impact</v>
      </c>
      <c r="V1148" s="43" t="str">
        <f>IFERROR(__xludf.DUMMYFUNCTION("""COMPUTED_VALUE"""),"IZMIR")</f>
        <v>IZMIR</v>
      </c>
      <c r="W1148" s="43" t="str">
        <f>IFERROR(__xludf.DUMMYFUNCTION("""COMPUTED_VALUE"""),"2023-03-25T20:59:32Z")</f>
        <v>2023-03-25T20:59:32Z</v>
      </c>
      <c r="X1148" s="43"/>
      <c r="Y1148" s="43"/>
      <c r="Z1148" s="43"/>
    </row>
    <row r="1149">
      <c r="A1149" s="43" t="str">
        <f>IFERROR(__xludf.DUMMYFUNCTION("""COMPUTED_VALUE"""),"5363974_1301307")</f>
        <v>5363974_1301307</v>
      </c>
      <c r="B1149" s="43" t="str">
        <f>IFERROR(__xludf.DUMMYFUNCTION("""COMPUTED_VALUE"""),"ahmet kadir durna")</f>
        <v>ahmet kadir durna</v>
      </c>
      <c r="C1149" s="43" t="str">
        <f>IFERROR(__xludf.DUMMYFUNCTION("""COMPUTED_VALUE"""),"realized")</f>
        <v>realized</v>
      </c>
      <c r="D1149" s="43" t="str">
        <f>IFERROR(__xludf.DUMMYFUNCTION("""COMPUTED_VALUE"""),"No")</f>
        <v>No</v>
      </c>
      <c r="E1149" s="43" t="str">
        <f>IFERROR(__xludf.DUMMYFUNCTION("""COMPUTED_VALUE"""),"p_ea9f91df9bd678e0afc74471f556d6f5e33212d1@inbound.aiesec.org")</f>
        <v>p_ea9f91df9bd678e0afc74471f556d6f5e33212d1@inbound.aiesec.org</v>
      </c>
      <c r="F1149" s="43">
        <f>IFERROR(__xludf.DUMMYFUNCTION("""COMPUTED_VALUE"""),5.350771331E9)</f>
        <v>5350771331</v>
      </c>
      <c r="G1149" s="43" t="str">
        <f>IFERROR(__xludf.DUMMYFUNCTION("""COMPUTED_VALUE"""),"Turkey")</f>
        <v>Turkey</v>
      </c>
      <c r="H1149" s="43" t="str">
        <f>IFERROR(__xludf.DUMMYFUNCTION("""COMPUTED_VALUE"""),"ISTANBUL")</f>
        <v>ISTANBUL</v>
      </c>
      <c r="I1149" s="43" t="str">
        <f>IFERROR(__xludf.DUMMYFUNCTION("""COMPUTED_VALUE"""),"Romania")</f>
        <v>Romania</v>
      </c>
      <c r="J1149" s="43" t="str">
        <f>IFERROR(__xludf.DUMMYFUNCTION("""COMPUTED_VALUE"""),"PITESTI")</f>
        <v>PITESTI</v>
      </c>
      <c r="K1149" s="44" t="str">
        <f>IFERROR(__xludf.DUMMYFUNCTION("""COMPUTED_VALUE"""),"https://expa.aiesec.org/opportunities/1301307")</f>
        <v>https://expa.aiesec.org/opportunities/1301307</v>
      </c>
      <c r="L1149" s="43" t="str">
        <f>IFERROR(__xludf.DUMMYFUNCTION("""COMPUTED_VALUE"""),"GV")</f>
        <v>GV</v>
      </c>
      <c r="M1149" s="43" t="str">
        <f>IFERROR(__xludf.DUMMYFUNCTION("""COMPUTED_VALUE"""),"short")</f>
        <v>short</v>
      </c>
      <c r="N1149" s="45">
        <f>IFERROR(__xludf.DUMMYFUNCTION("""COMPUTED_VALUE"""),45251.0)</f>
        <v>45251</v>
      </c>
      <c r="O1149" s="45">
        <f>IFERROR(__xludf.DUMMYFUNCTION("""COMPUTED_VALUE"""),45318.0)</f>
        <v>45318</v>
      </c>
      <c r="P1149" s="45">
        <f>IFERROR(__xludf.DUMMYFUNCTION("""COMPUTED_VALUE"""),45360.0)</f>
        <v>45360</v>
      </c>
      <c r="Q1149" s="45">
        <f>IFERROR(__xludf.DUMMYFUNCTION("""COMPUTED_VALUE"""),45317.0)</f>
        <v>45317</v>
      </c>
      <c r="R1149" s="45">
        <f>IFERROR(__xludf.DUMMYFUNCTION("""COMPUTED_VALUE"""),45360.0)</f>
        <v>45360</v>
      </c>
      <c r="S1149" s="43"/>
      <c r="T1149" s="43"/>
      <c r="U1149" s="43" t="str">
        <f>IFERROR(__xludf.DUMMYFUNCTION("""COMPUTED_VALUE"""),"Eat 4 Change")</f>
        <v>Eat 4 Change</v>
      </c>
      <c r="V1149" s="43" t="str">
        <f>IFERROR(__xludf.DUMMYFUNCTION("""COMPUTED_VALUE"""),"KAYSERI")</f>
        <v>KAYSERI</v>
      </c>
      <c r="W1149" s="43" t="str">
        <f>IFERROR(__xludf.DUMMYFUNCTION("""COMPUTED_VALUE"""),"2023-10-31T08:11:00Z")</f>
        <v>2023-10-31T08:11:00Z</v>
      </c>
      <c r="X1149" s="43"/>
      <c r="Y1149" s="43"/>
      <c r="Z1149" s="43"/>
    </row>
    <row r="1150" hidden="1">
      <c r="A1150" s="43" t="str">
        <f>IFERROR(__xludf.DUMMYFUNCTION("""COMPUTED_VALUE"""),"5372922_1296885")</f>
        <v>5372922_1296885</v>
      </c>
      <c r="B1150" s="43" t="str">
        <f>IFERROR(__xludf.DUMMYFUNCTION("""COMPUTED_VALUE"""),"Havvanur GÜLCAN")</f>
        <v>Havvanur GÜLCAN</v>
      </c>
      <c r="C1150" s="43" t="str">
        <f>IFERROR(__xludf.DUMMYFUNCTION("""COMPUTED_VALUE"""),"approved")</f>
        <v>approved</v>
      </c>
      <c r="D1150" s="43" t="str">
        <f>IFERROR(__xludf.DUMMYFUNCTION("""COMPUTED_VALUE"""),"No")</f>
        <v>No</v>
      </c>
      <c r="E1150" s="43" t="str">
        <f>IFERROR(__xludf.DUMMYFUNCTION("""COMPUTED_VALUE"""),"p_b1c23ce4fb9a25661656ca37a28bcfa5d6fab06b@inbound.aiesec.org")</f>
        <v>p_b1c23ce4fb9a25661656ca37a28bcfa5d6fab06b@inbound.aiesec.org</v>
      </c>
      <c r="F1150" s="43"/>
      <c r="G1150" s="43" t="str">
        <f>IFERROR(__xludf.DUMMYFUNCTION("""COMPUTED_VALUE"""),"Turkey")</f>
        <v>Turkey</v>
      </c>
      <c r="H1150" s="43" t="str">
        <f>IFERROR(__xludf.DUMMYFUNCTION("""COMPUTED_VALUE"""),"ANTALYA")</f>
        <v>ANTALYA</v>
      </c>
      <c r="I1150" s="43" t="str">
        <f>IFERROR(__xludf.DUMMYFUNCTION("""COMPUTED_VALUE"""),"India")</f>
        <v>India</v>
      </c>
      <c r="J1150" s="43" t="str">
        <f>IFERROR(__xludf.DUMMYFUNCTION("""COMPUTED_VALUE"""),"Delhi IIT")</f>
        <v>Delhi IIT</v>
      </c>
      <c r="K1150" s="44" t="str">
        <f>IFERROR(__xludf.DUMMYFUNCTION("""COMPUTED_VALUE"""),"https://expa.aiesec.org/opportunities/1296885")</f>
        <v>https://expa.aiesec.org/opportunities/1296885</v>
      </c>
      <c r="L1150" s="43" t="str">
        <f>IFERROR(__xludf.DUMMYFUNCTION("""COMPUTED_VALUE"""),"GV")</f>
        <v>GV</v>
      </c>
      <c r="M1150" s="43" t="str">
        <f>IFERROR(__xludf.DUMMYFUNCTION("""COMPUTED_VALUE"""),"short")</f>
        <v>short</v>
      </c>
      <c r="N1150" s="45">
        <f>IFERROR(__xludf.DUMMYFUNCTION("""COMPUTED_VALUE"""),45251.0)</f>
        <v>45251</v>
      </c>
      <c r="O1150" s="45">
        <f>IFERROR(__xludf.DUMMYFUNCTION("""COMPUTED_VALUE"""),45478.0)</f>
        <v>45478</v>
      </c>
      <c r="P1150" s="45">
        <f>IFERROR(__xludf.DUMMYFUNCTION("""COMPUTED_VALUE"""),45520.0)</f>
        <v>45520</v>
      </c>
      <c r="Q1150" s="45"/>
      <c r="R1150" s="45"/>
      <c r="S1150" s="43"/>
      <c r="T1150" s="43"/>
      <c r="U1150" s="43" t="str">
        <f>IFERROR(__xludf.DUMMYFUNCTION("""COMPUTED_VALUE"""),"On The Map")</f>
        <v>On The Map</v>
      </c>
      <c r="V1150" s="43" t="str">
        <f>IFERROR(__xludf.DUMMYFUNCTION("""COMPUTED_VALUE"""),"-")</f>
        <v>-</v>
      </c>
      <c r="W1150" s="43" t="str">
        <f>IFERROR(__xludf.DUMMYFUNCTION("""COMPUTED_VALUE"""),"2023-11-15T13:21:08Z")</f>
        <v>2023-11-15T13:21:08Z</v>
      </c>
      <c r="X1150" s="43"/>
      <c r="Y1150" s="43"/>
      <c r="Z1150" s="43"/>
    </row>
    <row r="1151" hidden="1">
      <c r="A1151" s="43" t="str">
        <f>IFERROR(__xludf.DUMMYFUNCTION("""COMPUTED_VALUE"""),"5347249_1300681")</f>
        <v>5347249_1300681</v>
      </c>
      <c r="B1151" s="43" t="str">
        <f>IFERROR(__xludf.DUMMYFUNCTION("""COMPUTED_VALUE"""),"Beyza Bilge")</f>
        <v>Beyza Bilge</v>
      </c>
      <c r="C1151" s="43" t="str">
        <f>IFERROR(__xludf.DUMMYFUNCTION("""COMPUTED_VALUE"""),"approved")</f>
        <v>approved</v>
      </c>
      <c r="D1151" s="43" t="str">
        <f>IFERROR(__xludf.DUMMYFUNCTION("""COMPUTED_VALUE"""),"No")</f>
        <v>No</v>
      </c>
      <c r="E1151" s="43" t="str">
        <f>IFERROR(__xludf.DUMMYFUNCTION("""COMPUTED_VALUE"""),"p_d3a1f189f06626d4661cbb2a0ec94c7a5083181b@inbound.aiesec.org")</f>
        <v>p_d3a1f189f06626d4661cbb2a0ec94c7a5083181b@inbound.aiesec.org</v>
      </c>
      <c r="F1151" s="43">
        <f>IFERROR(__xludf.DUMMYFUNCTION("""COMPUTED_VALUE"""),5.071069598E9)</f>
        <v>5071069598</v>
      </c>
      <c r="G1151" s="43" t="str">
        <f>IFERROR(__xludf.DUMMYFUNCTION("""COMPUTED_VALUE"""),"Turkey")</f>
        <v>Turkey</v>
      </c>
      <c r="H1151" s="43" t="str">
        <f>IFERROR(__xludf.DUMMYFUNCTION("""COMPUTED_VALUE"""),"TRABZON")</f>
        <v>TRABZON</v>
      </c>
      <c r="I1151" s="43" t="str">
        <f>IFERROR(__xludf.DUMMYFUNCTION("""COMPUTED_VALUE"""),"Egypt")</f>
        <v>Egypt</v>
      </c>
      <c r="J1151" s="43" t="str">
        <f>IFERROR(__xludf.DUMMYFUNCTION("""COMPUTED_VALUE"""),"Mansoura")</f>
        <v>Mansoura</v>
      </c>
      <c r="K1151" s="44" t="str">
        <f>IFERROR(__xludf.DUMMYFUNCTION("""COMPUTED_VALUE"""),"https://expa.aiesec.org/opportunities/1300681")</f>
        <v>https://expa.aiesec.org/opportunities/1300681</v>
      </c>
      <c r="L1151" s="43" t="str">
        <f>IFERROR(__xludf.DUMMYFUNCTION("""COMPUTED_VALUE"""),"GV")</f>
        <v>GV</v>
      </c>
      <c r="M1151" s="43" t="str">
        <f>IFERROR(__xludf.DUMMYFUNCTION("""COMPUTED_VALUE"""),"short")</f>
        <v>short</v>
      </c>
      <c r="N1151" s="45">
        <f>IFERROR(__xludf.DUMMYFUNCTION("""COMPUTED_VALUE"""),45251.0)</f>
        <v>45251</v>
      </c>
      <c r="O1151" s="45">
        <f>IFERROR(__xludf.DUMMYFUNCTION("""COMPUTED_VALUE"""),45474.0)</f>
        <v>45474</v>
      </c>
      <c r="P1151" s="45">
        <f>IFERROR(__xludf.DUMMYFUNCTION("""COMPUTED_VALUE"""),45516.0)</f>
        <v>45516</v>
      </c>
      <c r="Q1151" s="45"/>
      <c r="R1151" s="45"/>
      <c r="S1151" s="43"/>
      <c r="T1151" s="43"/>
      <c r="U1151" s="43" t="str">
        <f>IFERROR(__xludf.DUMMYFUNCTION("""COMPUTED_VALUE"""),"Heartbeat")</f>
        <v>Heartbeat</v>
      </c>
      <c r="V1151" s="43" t="str">
        <f>IFERROR(__xludf.DUMMYFUNCTION("""COMPUTED_VALUE"""),"TRABZON")</f>
        <v>TRABZON</v>
      </c>
      <c r="W1151" s="43" t="str">
        <f>IFERROR(__xludf.DUMMYFUNCTION("""COMPUTED_VALUE"""),"2023-10-09T21:00:02Z")</f>
        <v>2023-10-09T21:00:02Z</v>
      </c>
      <c r="X1151" s="43"/>
      <c r="Y1151" s="43"/>
      <c r="Z1151" s="43"/>
    </row>
    <row r="1152" hidden="1">
      <c r="A1152" s="43" t="str">
        <f>IFERROR(__xludf.DUMMYFUNCTION("""COMPUTED_VALUE"""),"5260484_1301246")</f>
        <v>5260484_1301246</v>
      </c>
      <c r="B1152" s="43" t="str">
        <f>IFERROR(__xludf.DUMMYFUNCTION("""COMPUTED_VALUE"""),"Esra Sulun")</f>
        <v>Esra Sulun</v>
      </c>
      <c r="C1152" s="43" t="str">
        <f>IFERROR(__xludf.DUMMYFUNCTION("""COMPUTED_VALUE"""),"realized")</f>
        <v>realized</v>
      </c>
      <c r="D1152" s="43" t="str">
        <f>IFERROR(__xludf.DUMMYFUNCTION("""COMPUTED_VALUE"""),"No")</f>
        <v>No</v>
      </c>
      <c r="E1152" s="43" t="str">
        <f>IFERROR(__xludf.DUMMYFUNCTION("""COMPUTED_VALUE"""),"p_64cf9f5e10b8b2d6be7991aab6b583daad0fd10e@inbound.aiesec.org")</f>
        <v>p_64cf9f5e10b8b2d6be7991aab6b583daad0fd10e@inbound.aiesec.org</v>
      </c>
      <c r="F1152" s="43"/>
      <c r="G1152" s="43" t="str">
        <f>IFERROR(__xludf.DUMMYFUNCTION("""COMPUTED_VALUE"""),"Turkey")</f>
        <v>Turkey</v>
      </c>
      <c r="H1152" s="43" t="str">
        <f>IFERROR(__xludf.DUMMYFUNCTION("""COMPUTED_VALUE"""),"KOCAELI")</f>
        <v>KOCAELI</v>
      </c>
      <c r="I1152" s="43" t="str">
        <f>IFERROR(__xludf.DUMMYFUNCTION("""COMPUTED_VALUE"""),"Serbia")</f>
        <v>Serbia</v>
      </c>
      <c r="J1152" s="43" t="str">
        <f>IFERROR(__xludf.DUMMYFUNCTION("""COMPUTED_VALUE"""),"NOVI SAD")</f>
        <v>NOVI SAD</v>
      </c>
      <c r="K1152" s="44" t="str">
        <f>IFERROR(__xludf.DUMMYFUNCTION("""COMPUTED_VALUE"""),"https://expa.aiesec.org/opportunities/1301246")</f>
        <v>https://expa.aiesec.org/opportunities/1301246</v>
      </c>
      <c r="L1152" s="43" t="str">
        <f>IFERROR(__xludf.DUMMYFUNCTION("""COMPUTED_VALUE"""),"GV")</f>
        <v>GV</v>
      </c>
      <c r="M1152" s="43" t="str">
        <f>IFERROR(__xludf.DUMMYFUNCTION("""COMPUTED_VALUE"""),"short")</f>
        <v>short</v>
      </c>
      <c r="N1152" s="45">
        <f>IFERROR(__xludf.DUMMYFUNCTION("""COMPUTED_VALUE"""),45251.0)</f>
        <v>45251</v>
      </c>
      <c r="O1152" s="45">
        <f>IFERROR(__xludf.DUMMYFUNCTION("""COMPUTED_VALUE"""),45313.0)</f>
        <v>45313</v>
      </c>
      <c r="P1152" s="45">
        <f>IFERROR(__xludf.DUMMYFUNCTION("""COMPUTED_VALUE"""),45355.0)</f>
        <v>45355</v>
      </c>
      <c r="Q1152" s="45">
        <f>IFERROR(__xludf.DUMMYFUNCTION("""COMPUTED_VALUE"""),45313.0)</f>
        <v>45313</v>
      </c>
      <c r="R1152" s="45">
        <f>IFERROR(__xludf.DUMMYFUNCTION("""COMPUTED_VALUE"""),45355.0)</f>
        <v>45355</v>
      </c>
      <c r="S1152" s="43"/>
      <c r="T1152" s="43"/>
      <c r="U1152" s="43" t="str">
        <f>IFERROR(__xludf.DUMMYFUNCTION("""COMPUTED_VALUE"""),"Youth 4 Impact")</f>
        <v>Youth 4 Impact</v>
      </c>
      <c r="V1152" s="43" t="str">
        <f>IFERROR(__xludf.DUMMYFUNCTION("""COMPUTED_VALUE"""),"-")</f>
        <v>-</v>
      </c>
      <c r="W1152" s="43" t="str">
        <f>IFERROR(__xludf.DUMMYFUNCTION("""COMPUTED_VALUE"""),"2023-05-13T12:30:25Z")</f>
        <v>2023-05-13T12:30:25Z</v>
      </c>
      <c r="X1152" s="43"/>
      <c r="Y1152" s="43"/>
      <c r="Z1152" s="43"/>
    </row>
    <row r="1153" hidden="1">
      <c r="A1153" s="43" t="str">
        <f>IFERROR(__xludf.DUMMYFUNCTION("""COMPUTED_VALUE"""),"5175833_1299661")</f>
        <v>5175833_1299661</v>
      </c>
      <c r="B1153" s="43" t="str">
        <f>IFERROR(__xludf.DUMMYFUNCTION("""COMPUTED_VALUE"""),"mehman abuzerzade")</f>
        <v>mehman abuzerzade</v>
      </c>
      <c r="C1153" s="43" t="str">
        <f>IFERROR(__xludf.DUMMYFUNCTION("""COMPUTED_VALUE"""),"approved")</f>
        <v>approved</v>
      </c>
      <c r="D1153" s="43" t="str">
        <f>IFERROR(__xludf.DUMMYFUNCTION("""COMPUTED_VALUE"""),"No")</f>
        <v>No</v>
      </c>
      <c r="E1153" s="43" t="str">
        <f>IFERROR(__xludf.DUMMYFUNCTION("""COMPUTED_VALUE"""),"p_1cc9016b9d5ee7c4745e7f2e3d81c07262ef8315@inbound.aiesec.org")</f>
        <v>p_1cc9016b9d5ee7c4745e7f2e3d81c07262ef8315@inbound.aiesec.org</v>
      </c>
      <c r="F1153" s="43">
        <f>IFERROR(__xludf.DUMMYFUNCTION("""COMPUTED_VALUE"""),5.058406647E9)</f>
        <v>5058406647</v>
      </c>
      <c r="G1153" s="43" t="str">
        <f>IFERROR(__xludf.DUMMYFUNCTION("""COMPUTED_VALUE"""),"Turkey")</f>
        <v>Turkey</v>
      </c>
      <c r="H1153" s="43" t="str">
        <f>IFERROR(__xludf.DUMMYFUNCTION("""COMPUTED_VALUE"""),"DENIZLI")</f>
        <v>DENIZLI</v>
      </c>
      <c r="I1153" s="43" t="str">
        <f>IFERROR(__xludf.DUMMYFUNCTION("""COMPUTED_VALUE"""),"Egypt")</f>
        <v>Egypt</v>
      </c>
      <c r="J1153" s="43" t="str">
        <f>IFERROR(__xludf.DUMMYFUNCTION("""COMPUTED_VALUE"""),"Menofia")</f>
        <v>Menofia</v>
      </c>
      <c r="K1153" s="44" t="str">
        <f>IFERROR(__xludf.DUMMYFUNCTION("""COMPUTED_VALUE"""),"https://expa.aiesec.org/opportunities/1299661")</f>
        <v>https://expa.aiesec.org/opportunities/1299661</v>
      </c>
      <c r="L1153" s="43" t="str">
        <f>IFERROR(__xludf.DUMMYFUNCTION("""COMPUTED_VALUE"""),"GV")</f>
        <v>GV</v>
      </c>
      <c r="M1153" s="43" t="str">
        <f>IFERROR(__xludf.DUMMYFUNCTION("""COMPUTED_VALUE"""),"short")</f>
        <v>short</v>
      </c>
      <c r="N1153" s="45">
        <f>IFERROR(__xludf.DUMMYFUNCTION("""COMPUTED_VALUE"""),45251.0)</f>
        <v>45251</v>
      </c>
      <c r="O1153" s="45">
        <f>IFERROR(__xludf.DUMMYFUNCTION("""COMPUTED_VALUE"""),45306.0)</f>
        <v>45306</v>
      </c>
      <c r="P1153" s="45">
        <f>IFERROR(__xludf.DUMMYFUNCTION("""COMPUTED_VALUE"""),45348.0)</f>
        <v>45348</v>
      </c>
      <c r="Q1153" s="45"/>
      <c r="R1153" s="45"/>
      <c r="S1153" s="43"/>
      <c r="T1153" s="43"/>
      <c r="U1153" s="43" t="str">
        <f>IFERROR(__xludf.DUMMYFUNCTION("""COMPUTED_VALUE"""),"On The Map")</f>
        <v>On The Map</v>
      </c>
      <c r="V1153" s="43" t="str">
        <f>IFERROR(__xludf.DUMMYFUNCTION("""COMPUTED_VALUE"""),"DENIZLI")</f>
        <v>DENIZLI</v>
      </c>
      <c r="W1153" s="43" t="str">
        <f>IFERROR(__xludf.DUMMYFUNCTION("""COMPUTED_VALUE"""),"2023-01-12T09:53:38Z")</f>
        <v>2023-01-12T09:53:38Z</v>
      </c>
      <c r="X1153" s="43"/>
      <c r="Y1153" s="43"/>
      <c r="Z1153" s="43"/>
    </row>
    <row r="1154" hidden="1">
      <c r="A1154" s="43" t="str">
        <f>IFERROR(__xludf.DUMMYFUNCTION("""COMPUTED_VALUE"""),"5376808_1294232")</f>
        <v>5376808_1294232</v>
      </c>
      <c r="B1154" s="43" t="str">
        <f>IFERROR(__xludf.DUMMYFUNCTION("""COMPUTED_VALUE"""),"Ramazan Öcal")</f>
        <v>Ramazan Öcal</v>
      </c>
      <c r="C1154" s="43" t="str">
        <f>IFERROR(__xludf.DUMMYFUNCTION("""COMPUTED_VALUE"""),"approved")</f>
        <v>approved</v>
      </c>
      <c r="D1154" s="43" t="str">
        <f>IFERROR(__xludf.DUMMYFUNCTION("""COMPUTED_VALUE"""),"No")</f>
        <v>No</v>
      </c>
      <c r="E1154" s="43" t="str">
        <f>IFERROR(__xludf.DUMMYFUNCTION("""COMPUTED_VALUE"""),"p_e7422711544d6fe46c7a8353c46416b0d9fecd53@inbound.aiesec.org")</f>
        <v>p_e7422711544d6fe46c7a8353c46416b0d9fecd53@inbound.aiesec.org</v>
      </c>
      <c r="F1154" s="43">
        <f>IFERROR(__xludf.DUMMYFUNCTION("""COMPUTED_VALUE"""),5.050429984E9)</f>
        <v>5050429984</v>
      </c>
      <c r="G1154" s="43" t="str">
        <f>IFERROR(__xludf.DUMMYFUNCTION("""COMPUTED_VALUE"""),"Turkey")</f>
        <v>Turkey</v>
      </c>
      <c r="H1154" s="43" t="str">
        <f>IFERROR(__xludf.DUMMYFUNCTION("""COMPUTED_VALUE"""),"SAKARYA")</f>
        <v>SAKARYA</v>
      </c>
      <c r="I1154" s="43" t="str">
        <f>IFERROR(__xludf.DUMMYFUNCTION("""COMPUTED_VALUE"""),"Egypt")</f>
        <v>Egypt</v>
      </c>
      <c r="J1154" s="43" t="str">
        <f>IFERROR(__xludf.DUMMYFUNCTION("""COMPUTED_VALUE"""),"Suez")</f>
        <v>Suez</v>
      </c>
      <c r="K1154" s="44" t="str">
        <f>IFERROR(__xludf.DUMMYFUNCTION("""COMPUTED_VALUE"""),"https://expa.aiesec.org/opportunities/1294232")</f>
        <v>https://expa.aiesec.org/opportunities/1294232</v>
      </c>
      <c r="L1154" s="43" t="str">
        <f>IFERROR(__xludf.DUMMYFUNCTION("""COMPUTED_VALUE"""),"GV")</f>
        <v>GV</v>
      </c>
      <c r="M1154" s="43" t="str">
        <f>IFERROR(__xludf.DUMMYFUNCTION("""COMPUTED_VALUE"""),"short")</f>
        <v>short</v>
      </c>
      <c r="N1154" s="45">
        <f>IFERROR(__xludf.DUMMYFUNCTION("""COMPUTED_VALUE"""),45251.0)</f>
        <v>45251</v>
      </c>
      <c r="O1154" s="45">
        <f>IFERROR(__xludf.DUMMYFUNCTION("""COMPUTED_VALUE"""),45474.0)</f>
        <v>45474</v>
      </c>
      <c r="P1154" s="45">
        <f>IFERROR(__xludf.DUMMYFUNCTION("""COMPUTED_VALUE"""),45516.0)</f>
        <v>45516</v>
      </c>
      <c r="Q1154" s="45"/>
      <c r="R1154" s="45"/>
      <c r="S1154" s="43"/>
      <c r="T1154" s="43"/>
      <c r="U1154" s="43" t="str">
        <f>IFERROR(__xludf.DUMMYFUNCTION("""COMPUTED_VALUE"""),"On The Map")</f>
        <v>On The Map</v>
      </c>
      <c r="V1154" s="43" t="str">
        <f>IFERROR(__xludf.DUMMYFUNCTION("""COMPUTED_VALUE"""),"SAKARYA")</f>
        <v>SAKARYA</v>
      </c>
      <c r="W1154" s="43" t="str">
        <f>IFERROR(__xludf.DUMMYFUNCTION("""COMPUTED_VALUE"""),"2023-11-21T14:42:32Z")</f>
        <v>2023-11-21T14:42:32Z</v>
      </c>
      <c r="X1154" s="43"/>
      <c r="Y1154" s="43"/>
      <c r="Z1154" s="43"/>
    </row>
    <row r="1155" hidden="1">
      <c r="A1155" s="43" t="str">
        <f>IFERROR(__xludf.DUMMYFUNCTION("""COMPUTED_VALUE"""),"5376975_1294232")</f>
        <v>5376975_1294232</v>
      </c>
      <c r="B1155" s="43" t="str">
        <f>IFERROR(__xludf.DUMMYFUNCTION("""COMPUTED_VALUE"""),"Şefik Calayır")</f>
        <v>Şefik Calayır</v>
      </c>
      <c r="C1155" s="43" t="str">
        <f>IFERROR(__xludf.DUMMYFUNCTION("""COMPUTED_VALUE"""),"approved")</f>
        <v>approved</v>
      </c>
      <c r="D1155" s="43" t="str">
        <f>IFERROR(__xludf.DUMMYFUNCTION("""COMPUTED_VALUE"""),"No")</f>
        <v>No</v>
      </c>
      <c r="E1155" s="43" t="str">
        <f>IFERROR(__xludf.DUMMYFUNCTION("""COMPUTED_VALUE"""),"p_f31a984653a2247a008ec075c689d6084e6dcdad@inbound.aiesec.org")</f>
        <v>p_f31a984653a2247a008ec075c689d6084e6dcdad@inbound.aiesec.org</v>
      </c>
      <c r="F1155" s="43">
        <f>IFERROR(__xludf.DUMMYFUNCTION("""COMPUTED_VALUE"""),5.528270039E9)</f>
        <v>5528270039</v>
      </c>
      <c r="G1155" s="43" t="str">
        <f>IFERROR(__xludf.DUMMYFUNCTION("""COMPUTED_VALUE"""),"Turkey")</f>
        <v>Turkey</v>
      </c>
      <c r="H1155" s="43" t="str">
        <f>IFERROR(__xludf.DUMMYFUNCTION("""COMPUTED_VALUE"""),"SAKARYA")</f>
        <v>SAKARYA</v>
      </c>
      <c r="I1155" s="43" t="str">
        <f>IFERROR(__xludf.DUMMYFUNCTION("""COMPUTED_VALUE"""),"Egypt")</f>
        <v>Egypt</v>
      </c>
      <c r="J1155" s="43" t="str">
        <f>IFERROR(__xludf.DUMMYFUNCTION("""COMPUTED_VALUE"""),"Suez")</f>
        <v>Suez</v>
      </c>
      <c r="K1155" s="44" t="str">
        <f>IFERROR(__xludf.DUMMYFUNCTION("""COMPUTED_VALUE"""),"https://expa.aiesec.org/opportunities/1294232")</f>
        <v>https://expa.aiesec.org/opportunities/1294232</v>
      </c>
      <c r="L1155" s="43" t="str">
        <f>IFERROR(__xludf.DUMMYFUNCTION("""COMPUTED_VALUE"""),"GV")</f>
        <v>GV</v>
      </c>
      <c r="M1155" s="43" t="str">
        <f>IFERROR(__xludf.DUMMYFUNCTION("""COMPUTED_VALUE"""),"short")</f>
        <v>short</v>
      </c>
      <c r="N1155" s="45">
        <f>IFERROR(__xludf.DUMMYFUNCTION("""COMPUTED_VALUE"""),45251.0)</f>
        <v>45251</v>
      </c>
      <c r="O1155" s="45">
        <f>IFERROR(__xludf.DUMMYFUNCTION("""COMPUTED_VALUE"""),45474.0)</f>
        <v>45474</v>
      </c>
      <c r="P1155" s="45">
        <f>IFERROR(__xludf.DUMMYFUNCTION("""COMPUTED_VALUE"""),45516.0)</f>
        <v>45516</v>
      </c>
      <c r="Q1155" s="45"/>
      <c r="R1155" s="45"/>
      <c r="S1155" s="43"/>
      <c r="T1155" s="43"/>
      <c r="U1155" s="43" t="str">
        <f>IFERROR(__xludf.DUMMYFUNCTION("""COMPUTED_VALUE"""),"On The Map")</f>
        <v>On The Map</v>
      </c>
      <c r="V1155" s="43" t="str">
        <f>IFERROR(__xludf.DUMMYFUNCTION("""COMPUTED_VALUE"""),"SAKARYA")</f>
        <v>SAKARYA</v>
      </c>
      <c r="W1155" s="43" t="str">
        <f>IFERROR(__xludf.DUMMYFUNCTION("""COMPUTED_VALUE"""),"2023-11-21T17:27:04Z")</f>
        <v>2023-11-21T17:27:04Z</v>
      </c>
      <c r="X1155" s="43"/>
      <c r="Y1155" s="43"/>
      <c r="Z1155" s="43"/>
    </row>
    <row r="1156" hidden="1">
      <c r="A1156" s="43" t="str">
        <f>IFERROR(__xludf.DUMMYFUNCTION("""COMPUTED_VALUE"""),"5375466_1299929")</f>
        <v>5375466_1299929</v>
      </c>
      <c r="B1156" s="43" t="str">
        <f>IFERROR(__xludf.DUMMYFUNCTION("""COMPUTED_VALUE"""),"Muharrem Yılmaz")</f>
        <v>Muharrem Yılmaz</v>
      </c>
      <c r="C1156" s="43" t="str">
        <f>IFERROR(__xludf.DUMMYFUNCTION("""COMPUTED_VALUE"""),"realized")</f>
        <v>realized</v>
      </c>
      <c r="D1156" s="43" t="str">
        <f>IFERROR(__xludf.DUMMYFUNCTION("""COMPUTED_VALUE"""),"No")</f>
        <v>No</v>
      </c>
      <c r="E1156" s="43" t="str">
        <f>IFERROR(__xludf.DUMMYFUNCTION("""COMPUTED_VALUE"""),"p_ed92384ab3e56ea7f7578bdf908ce47981d11fa3@inbound.aiesec.org")</f>
        <v>p_ed92384ab3e56ea7f7578bdf908ce47981d11fa3@inbound.aiesec.org</v>
      </c>
      <c r="F1156" s="43"/>
      <c r="G1156" s="43" t="str">
        <f>IFERROR(__xludf.DUMMYFUNCTION("""COMPUTED_VALUE"""),"Turkey")</f>
        <v>Turkey</v>
      </c>
      <c r="H1156" s="43" t="str">
        <f>IFERROR(__xludf.DUMMYFUNCTION("""COMPUTED_VALUE"""),"BURSA")</f>
        <v>BURSA</v>
      </c>
      <c r="I1156" s="43" t="str">
        <f>IFERROR(__xludf.DUMMYFUNCTION("""COMPUTED_VALUE"""),"Serbia")</f>
        <v>Serbia</v>
      </c>
      <c r="J1156" s="43" t="str">
        <f>IFERROR(__xludf.DUMMYFUNCTION("""COMPUTED_VALUE"""),"Subotica")</f>
        <v>Subotica</v>
      </c>
      <c r="K1156" s="44" t="str">
        <f>IFERROR(__xludf.DUMMYFUNCTION("""COMPUTED_VALUE"""),"https://expa.aiesec.org/opportunities/1299929")</f>
        <v>https://expa.aiesec.org/opportunities/1299929</v>
      </c>
      <c r="L1156" s="43" t="str">
        <f>IFERROR(__xludf.DUMMYFUNCTION("""COMPUTED_VALUE"""),"GV")</f>
        <v>GV</v>
      </c>
      <c r="M1156" s="43" t="str">
        <f>IFERROR(__xludf.DUMMYFUNCTION("""COMPUTED_VALUE"""),"short")</f>
        <v>short</v>
      </c>
      <c r="N1156" s="45">
        <f>IFERROR(__xludf.DUMMYFUNCTION("""COMPUTED_VALUE"""),45251.0)</f>
        <v>45251</v>
      </c>
      <c r="O1156" s="45">
        <f>IFERROR(__xludf.DUMMYFUNCTION("""COMPUTED_VALUE"""),45313.0)</f>
        <v>45313</v>
      </c>
      <c r="P1156" s="45">
        <f>IFERROR(__xludf.DUMMYFUNCTION("""COMPUTED_VALUE"""),45355.0)</f>
        <v>45355</v>
      </c>
      <c r="Q1156" s="45">
        <f>IFERROR(__xludf.DUMMYFUNCTION("""COMPUTED_VALUE"""),45313.0)</f>
        <v>45313</v>
      </c>
      <c r="R1156" s="45">
        <f>IFERROR(__xludf.DUMMYFUNCTION("""COMPUTED_VALUE"""),45355.0)</f>
        <v>45355</v>
      </c>
      <c r="S1156" s="43"/>
      <c r="T1156" s="43"/>
      <c r="U1156" s="43" t="str">
        <f>IFERROR(__xludf.DUMMYFUNCTION("""COMPUTED_VALUE"""),"Skill Up!")</f>
        <v>Skill Up!</v>
      </c>
      <c r="V1156" s="43" t="str">
        <f>IFERROR(__xludf.DUMMYFUNCTION("""COMPUTED_VALUE"""),"-")</f>
        <v>-</v>
      </c>
      <c r="W1156" s="43" t="str">
        <f>IFERROR(__xludf.DUMMYFUNCTION("""COMPUTED_VALUE"""),"2023-11-19T14:37:55Z")</f>
        <v>2023-11-19T14:37:55Z</v>
      </c>
      <c r="X1156" s="43"/>
      <c r="Y1156" s="43"/>
      <c r="Z1156" s="43"/>
    </row>
    <row r="1157" hidden="1">
      <c r="A1157" s="43" t="str">
        <f>IFERROR(__xludf.DUMMYFUNCTION("""COMPUTED_VALUE"""),"5362161_1301306")</f>
        <v>5362161_1301306</v>
      </c>
      <c r="B1157" s="43" t="str">
        <f>IFERROR(__xludf.DUMMYFUNCTION("""COMPUTED_VALUE"""),"Elif Nur Arslan")</f>
        <v>Elif Nur Arslan</v>
      </c>
      <c r="C1157" s="43" t="str">
        <f>IFERROR(__xludf.DUMMYFUNCTION("""COMPUTED_VALUE"""),"approved")</f>
        <v>approved</v>
      </c>
      <c r="D1157" s="43" t="str">
        <f>IFERROR(__xludf.DUMMYFUNCTION("""COMPUTED_VALUE"""),"No")</f>
        <v>No</v>
      </c>
      <c r="E1157" s="43" t="str">
        <f>IFERROR(__xludf.DUMMYFUNCTION("""COMPUTED_VALUE"""),"p_7e85c819c7fac620065e6b0c30acd62b5591b6d5@inbound.aiesec.org")</f>
        <v>p_7e85c819c7fac620065e6b0c30acd62b5591b6d5@inbound.aiesec.org</v>
      </c>
      <c r="F1157" s="43"/>
      <c r="G1157" s="43" t="str">
        <f>IFERROR(__xludf.DUMMYFUNCTION("""COMPUTED_VALUE"""),"Turkey")</f>
        <v>Turkey</v>
      </c>
      <c r="H1157" s="43" t="str">
        <f>IFERROR(__xludf.DUMMYFUNCTION("""COMPUTED_VALUE"""),"ISTANBUL")</f>
        <v>ISTANBUL</v>
      </c>
      <c r="I1157" s="43" t="str">
        <f>IFERROR(__xludf.DUMMYFUNCTION("""COMPUTED_VALUE"""),"Romania")</f>
        <v>Romania</v>
      </c>
      <c r="J1157" s="43" t="str">
        <f>IFERROR(__xludf.DUMMYFUNCTION("""COMPUTED_VALUE"""),"PITESTI")</f>
        <v>PITESTI</v>
      </c>
      <c r="K1157" s="44" t="str">
        <f>IFERROR(__xludf.DUMMYFUNCTION("""COMPUTED_VALUE"""),"https://expa.aiesec.org/opportunities/1301306")</f>
        <v>https://expa.aiesec.org/opportunities/1301306</v>
      </c>
      <c r="L1157" s="43" t="str">
        <f>IFERROR(__xludf.DUMMYFUNCTION("""COMPUTED_VALUE"""),"GV")</f>
        <v>GV</v>
      </c>
      <c r="M1157" s="43" t="str">
        <f>IFERROR(__xludf.DUMMYFUNCTION("""COMPUTED_VALUE"""),"short")</f>
        <v>short</v>
      </c>
      <c r="N1157" s="45">
        <f>IFERROR(__xludf.DUMMYFUNCTION("""COMPUTED_VALUE"""),45252.0)</f>
        <v>45252</v>
      </c>
      <c r="O1157" s="45">
        <f>IFERROR(__xludf.DUMMYFUNCTION("""COMPUTED_VALUE"""),45334.0)</f>
        <v>45334</v>
      </c>
      <c r="P1157" s="45">
        <f>IFERROR(__xludf.DUMMYFUNCTION("""COMPUTED_VALUE"""),45376.0)</f>
        <v>45376</v>
      </c>
      <c r="Q1157" s="45"/>
      <c r="R1157" s="45"/>
      <c r="S1157" s="43"/>
      <c r="T1157" s="43"/>
      <c r="U1157" s="43" t="str">
        <f>IFERROR(__xludf.DUMMYFUNCTION("""COMPUTED_VALUE"""),"Eat 4 Change")</f>
        <v>Eat 4 Change</v>
      </c>
      <c r="V1157" s="43" t="str">
        <f>IFERROR(__xludf.DUMMYFUNCTION("""COMPUTED_VALUE"""),"-")</f>
        <v>-</v>
      </c>
      <c r="W1157" s="43" t="str">
        <f>IFERROR(__xludf.DUMMYFUNCTION("""COMPUTED_VALUE"""),"2023-10-28T15:11:37Z")</f>
        <v>2023-10-28T15:11:37Z</v>
      </c>
      <c r="X1157" s="43"/>
      <c r="Y1157" s="43"/>
      <c r="Z1157" s="43"/>
    </row>
    <row r="1158" hidden="1">
      <c r="A1158" s="43" t="str">
        <f>IFERROR(__xludf.DUMMYFUNCTION("""COMPUTED_VALUE"""),"5372590_1301281")</f>
        <v>5372590_1301281</v>
      </c>
      <c r="B1158" s="43" t="str">
        <f>IFERROR(__xludf.DUMMYFUNCTION("""COMPUTED_VALUE"""),"Yusuf Altıntaş")</f>
        <v>Yusuf Altıntaş</v>
      </c>
      <c r="C1158" s="43" t="str">
        <f>IFERROR(__xludf.DUMMYFUNCTION("""COMPUTED_VALUE"""),"approved")</f>
        <v>approved</v>
      </c>
      <c r="D1158" s="43" t="str">
        <f>IFERROR(__xludf.DUMMYFUNCTION("""COMPUTED_VALUE"""),"No")</f>
        <v>No</v>
      </c>
      <c r="E1158" s="43" t="str">
        <f>IFERROR(__xludf.DUMMYFUNCTION("""COMPUTED_VALUE"""),"p_7237b77851437091b63f955195595f21129c8180@inbound.aiesec.org")</f>
        <v>p_7237b77851437091b63f955195595f21129c8180@inbound.aiesec.org</v>
      </c>
      <c r="F1158" s="43">
        <f>IFERROR(__xludf.DUMMYFUNCTION("""COMPUTED_VALUE"""),5.550647582E9)</f>
        <v>5550647582</v>
      </c>
      <c r="G1158" s="43" t="str">
        <f>IFERROR(__xludf.DUMMYFUNCTION("""COMPUTED_VALUE"""),"Turkey")</f>
        <v>Turkey</v>
      </c>
      <c r="H1158" s="43" t="str">
        <f>IFERROR(__xludf.DUMMYFUNCTION("""COMPUTED_VALUE"""),"ANTALYA")</f>
        <v>ANTALYA</v>
      </c>
      <c r="I1158" s="43" t="str">
        <f>IFERROR(__xludf.DUMMYFUNCTION("""COMPUTED_VALUE"""),"Romania")</f>
        <v>Romania</v>
      </c>
      <c r="J1158" s="43" t="str">
        <f>IFERROR(__xludf.DUMMYFUNCTION("""COMPUTED_VALUE"""),"BRASOV")</f>
        <v>BRASOV</v>
      </c>
      <c r="K1158" s="44" t="str">
        <f>IFERROR(__xludf.DUMMYFUNCTION("""COMPUTED_VALUE"""),"https://expa.aiesec.org/opportunities/1301281")</f>
        <v>https://expa.aiesec.org/opportunities/1301281</v>
      </c>
      <c r="L1158" s="43" t="str">
        <f>IFERROR(__xludf.DUMMYFUNCTION("""COMPUTED_VALUE"""),"GV")</f>
        <v>GV</v>
      </c>
      <c r="M1158" s="43" t="str">
        <f>IFERROR(__xludf.DUMMYFUNCTION("""COMPUTED_VALUE"""),"short")</f>
        <v>short</v>
      </c>
      <c r="N1158" s="45">
        <f>IFERROR(__xludf.DUMMYFUNCTION("""COMPUTED_VALUE"""),45252.0)</f>
        <v>45252</v>
      </c>
      <c r="O1158" s="45">
        <f>IFERROR(__xludf.DUMMYFUNCTION("""COMPUTED_VALUE"""),45327.0)</f>
        <v>45327</v>
      </c>
      <c r="P1158" s="45">
        <f>IFERROR(__xludf.DUMMYFUNCTION("""COMPUTED_VALUE"""),45369.0)</f>
        <v>45369</v>
      </c>
      <c r="Q1158" s="45"/>
      <c r="R1158" s="45"/>
      <c r="S1158" s="43"/>
      <c r="T1158" s="43"/>
      <c r="U1158" s="43" t="str">
        <f>IFERROR(__xludf.DUMMYFUNCTION("""COMPUTED_VALUE"""),"Eat 4 Change")</f>
        <v>Eat 4 Change</v>
      </c>
      <c r="V1158" s="43" t="str">
        <f>IFERROR(__xludf.DUMMYFUNCTION("""COMPUTED_VALUE"""),"ANTALYA")</f>
        <v>ANTALYA</v>
      </c>
      <c r="W1158" s="43" t="str">
        <f>IFERROR(__xludf.DUMMYFUNCTION("""COMPUTED_VALUE"""),"2023-11-14T22:14:58Z")</f>
        <v>2023-11-14T22:14:58Z</v>
      </c>
      <c r="X1158" s="43"/>
      <c r="Y1158" s="43"/>
      <c r="Z1158" s="43"/>
    </row>
    <row r="1159" hidden="1">
      <c r="A1159" s="43" t="str">
        <f>IFERROR(__xludf.DUMMYFUNCTION("""COMPUTED_VALUE"""),"5375911_1294232")</f>
        <v>5375911_1294232</v>
      </c>
      <c r="B1159" s="43" t="str">
        <f>IFERROR(__xludf.DUMMYFUNCTION("""COMPUTED_VALUE"""),"Sadık Dur")</f>
        <v>Sadık Dur</v>
      </c>
      <c r="C1159" s="43" t="str">
        <f>IFERROR(__xludf.DUMMYFUNCTION("""COMPUTED_VALUE"""),"approved")</f>
        <v>approved</v>
      </c>
      <c r="D1159" s="43" t="str">
        <f>IFERROR(__xludf.DUMMYFUNCTION("""COMPUTED_VALUE"""),"No")</f>
        <v>No</v>
      </c>
      <c r="E1159" s="43" t="str">
        <f>IFERROR(__xludf.DUMMYFUNCTION("""COMPUTED_VALUE"""),"p_51645f99b91e412a7f5c6e0db59d37a081179310@inbound.aiesec.org")</f>
        <v>p_51645f99b91e412a7f5c6e0db59d37a081179310@inbound.aiesec.org</v>
      </c>
      <c r="F1159" s="43">
        <f>IFERROR(__xludf.DUMMYFUNCTION("""COMPUTED_VALUE"""),5.527012018E9)</f>
        <v>5527012018</v>
      </c>
      <c r="G1159" s="43" t="str">
        <f>IFERROR(__xludf.DUMMYFUNCTION("""COMPUTED_VALUE"""),"Turkey")</f>
        <v>Turkey</v>
      </c>
      <c r="H1159" s="43" t="str">
        <f>IFERROR(__xludf.DUMMYFUNCTION("""COMPUTED_VALUE"""),"SAKARYA")</f>
        <v>SAKARYA</v>
      </c>
      <c r="I1159" s="43" t="str">
        <f>IFERROR(__xludf.DUMMYFUNCTION("""COMPUTED_VALUE"""),"Egypt")</f>
        <v>Egypt</v>
      </c>
      <c r="J1159" s="43" t="str">
        <f>IFERROR(__xludf.DUMMYFUNCTION("""COMPUTED_VALUE"""),"Suez")</f>
        <v>Suez</v>
      </c>
      <c r="K1159" s="44" t="str">
        <f>IFERROR(__xludf.DUMMYFUNCTION("""COMPUTED_VALUE"""),"https://expa.aiesec.org/opportunities/1294232")</f>
        <v>https://expa.aiesec.org/opportunities/1294232</v>
      </c>
      <c r="L1159" s="43" t="str">
        <f>IFERROR(__xludf.DUMMYFUNCTION("""COMPUTED_VALUE"""),"GV")</f>
        <v>GV</v>
      </c>
      <c r="M1159" s="43" t="str">
        <f>IFERROR(__xludf.DUMMYFUNCTION("""COMPUTED_VALUE"""),"short")</f>
        <v>short</v>
      </c>
      <c r="N1159" s="45">
        <f>IFERROR(__xludf.DUMMYFUNCTION("""COMPUTED_VALUE"""),45252.0)</f>
        <v>45252</v>
      </c>
      <c r="O1159" s="45">
        <f>IFERROR(__xludf.DUMMYFUNCTION("""COMPUTED_VALUE"""),45474.0)</f>
        <v>45474</v>
      </c>
      <c r="P1159" s="45">
        <f>IFERROR(__xludf.DUMMYFUNCTION("""COMPUTED_VALUE"""),45516.0)</f>
        <v>45516</v>
      </c>
      <c r="Q1159" s="45"/>
      <c r="R1159" s="45"/>
      <c r="S1159" s="43"/>
      <c r="T1159" s="43"/>
      <c r="U1159" s="43" t="str">
        <f>IFERROR(__xludf.DUMMYFUNCTION("""COMPUTED_VALUE"""),"On The Map")</f>
        <v>On The Map</v>
      </c>
      <c r="V1159" s="43" t="str">
        <f>IFERROR(__xludf.DUMMYFUNCTION("""COMPUTED_VALUE"""),"SAKARYA")</f>
        <v>SAKARYA</v>
      </c>
      <c r="W1159" s="43" t="str">
        <f>IFERROR(__xludf.DUMMYFUNCTION("""COMPUTED_VALUE"""),"2023-11-20T11:43:19Z")</f>
        <v>2023-11-20T11:43:19Z</v>
      </c>
      <c r="X1159" s="43"/>
      <c r="Y1159" s="43"/>
      <c r="Z1159" s="43"/>
    </row>
    <row r="1160" hidden="1">
      <c r="A1160" s="43" t="str">
        <f>IFERROR(__xludf.DUMMYFUNCTION("""COMPUTED_VALUE"""),"5211352_1289583")</f>
        <v>5211352_1289583</v>
      </c>
      <c r="B1160" s="43" t="str">
        <f>IFERROR(__xludf.DUMMYFUNCTION("""COMPUTED_VALUE"""),"Vedat Kahrıman")</f>
        <v>Vedat Kahrıman</v>
      </c>
      <c r="C1160" s="43" t="str">
        <f>IFERROR(__xludf.DUMMYFUNCTION("""COMPUTED_VALUE"""),"approved")</f>
        <v>approved</v>
      </c>
      <c r="D1160" s="43" t="str">
        <f>IFERROR(__xludf.DUMMYFUNCTION("""COMPUTED_VALUE"""),"No")</f>
        <v>No</v>
      </c>
      <c r="E1160" s="43" t="str">
        <f>IFERROR(__xludf.DUMMYFUNCTION("""COMPUTED_VALUE"""),"p_368940c968ac667a52ca682735821772aa477b81@inbound.aiesec.org")</f>
        <v>p_368940c968ac667a52ca682735821772aa477b81@inbound.aiesec.org</v>
      </c>
      <c r="F1160" s="43">
        <f>IFERROR(__xludf.DUMMYFUNCTION("""COMPUTED_VALUE"""),5.312688502E9)</f>
        <v>5312688502</v>
      </c>
      <c r="G1160" s="43" t="str">
        <f>IFERROR(__xludf.DUMMYFUNCTION("""COMPUTED_VALUE"""),"Turkey")</f>
        <v>Turkey</v>
      </c>
      <c r="H1160" s="43" t="str">
        <f>IFERROR(__xludf.DUMMYFUNCTION("""COMPUTED_VALUE"""),"SAKARYA")</f>
        <v>SAKARYA</v>
      </c>
      <c r="I1160" s="43" t="str">
        <f>IFERROR(__xludf.DUMMYFUNCTION("""COMPUTED_VALUE"""),"Egypt")</f>
        <v>Egypt</v>
      </c>
      <c r="J1160" s="43" t="str">
        <f>IFERROR(__xludf.DUMMYFUNCTION("""COMPUTED_VALUE"""),"Suez")</f>
        <v>Suez</v>
      </c>
      <c r="K1160" s="44" t="str">
        <f>IFERROR(__xludf.DUMMYFUNCTION("""COMPUTED_VALUE"""),"https://expa.aiesec.org/opportunities/1289583")</f>
        <v>https://expa.aiesec.org/opportunities/1289583</v>
      </c>
      <c r="L1160" s="43" t="str">
        <f>IFERROR(__xludf.DUMMYFUNCTION("""COMPUTED_VALUE"""),"GV")</f>
        <v>GV</v>
      </c>
      <c r="M1160" s="43" t="str">
        <f>IFERROR(__xludf.DUMMYFUNCTION("""COMPUTED_VALUE"""),"short")</f>
        <v>short</v>
      </c>
      <c r="N1160" s="45">
        <f>IFERROR(__xludf.DUMMYFUNCTION("""COMPUTED_VALUE"""),45252.0)</f>
        <v>45252</v>
      </c>
      <c r="O1160" s="45">
        <f>IFERROR(__xludf.DUMMYFUNCTION("""COMPUTED_VALUE"""),45474.0)</f>
        <v>45474</v>
      </c>
      <c r="P1160" s="45">
        <f>IFERROR(__xludf.DUMMYFUNCTION("""COMPUTED_VALUE"""),45516.0)</f>
        <v>45516</v>
      </c>
      <c r="Q1160" s="45"/>
      <c r="R1160" s="45"/>
      <c r="S1160" s="43"/>
      <c r="T1160" s="43"/>
      <c r="U1160" s="43" t="str">
        <f>IFERROR(__xludf.DUMMYFUNCTION("""COMPUTED_VALUE"""),"Heartbeat")</f>
        <v>Heartbeat</v>
      </c>
      <c r="V1160" s="43" t="str">
        <f>IFERROR(__xludf.DUMMYFUNCTION("""COMPUTED_VALUE"""),"DUZCE")</f>
        <v>DUZCE</v>
      </c>
      <c r="W1160" s="43" t="str">
        <f>IFERROR(__xludf.DUMMYFUNCTION("""COMPUTED_VALUE"""),"2023-03-09T18:28:06Z")</f>
        <v>2023-03-09T18:28:06Z</v>
      </c>
      <c r="X1160" s="43"/>
      <c r="Y1160" s="43"/>
      <c r="Z1160" s="43"/>
    </row>
    <row r="1161" hidden="1">
      <c r="A1161" s="43" t="str">
        <f>IFERROR(__xludf.DUMMYFUNCTION("""COMPUTED_VALUE"""),"5377355_1292947")</f>
        <v>5377355_1292947</v>
      </c>
      <c r="B1161" s="43" t="str">
        <f>IFERROR(__xludf.DUMMYFUNCTION("""COMPUTED_VALUE"""),"Doğu Can Kel")</f>
        <v>Doğu Can Kel</v>
      </c>
      <c r="C1161" s="43" t="str">
        <f>IFERROR(__xludf.DUMMYFUNCTION("""COMPUTED_VALUE"""),"approved")</f>
        <v>approved</v>
      </c>
      <c r="D1161" s="43" t="str">
        <f>IFERROR(__xludf.DUMMYFUNCTION("""COMPUTED_VALUE"""),"No")</f>
        <v>No</v>
      </c>
      <c r="E1161" s="43" t="str">
        <f>IFERROR(__xludf.DUMMYFUNCTION("""COMPUTED_VALUE"""),"p_42adfc17a691400dc843d83b508bf20262e2610a@inbound.aiesec.org")</f>
        <v>p_42adfc17a691400dc843d83b508bf20262e2610a@inbound.aiesec.org</v>
      </c>
      <c r="F1161" s="43">
        <f>IFERROR(__xludf.DUMMYFUNCTION("""COMPUTED_VALUE"""),5.346200337E9)</f>
        <v>5346200337</v>
      </c>
      <c r="G1161" s="43" t="str">
        <f>IFERROR(__xludf.DUMMYFUNCTION("""COMPUTED_VALUE"""),"Turkey")</f>
        <v>Turkey</v>
      </c>
      <c r="H1161" s="43" t="str">
        <f>IFERROR(__xludf.DUMMYFUNCTION("""COMPUTED_VALUE"""),"KOCAELI")</f>
        <v>KOCAELI</v>
      </c>
      <c r="I1161" s="43" t="str">
        <f>IFERROR(__xludf.DUMMYFUNCTION("""COMPUTED_VALUE"""),"India")</f>
        <v>India</v>
      </c>
      <c r="J1161" s="43" t="str">
        <f>IFERROR(__xludf.DUMMYFUNCTION("""COMPUTED_VALUE"""),"JAIPUR ")</f>
        <v>JAIPUR </v>
      </c>
      <c r="K1161" s="44" t="str">
        <f>IFERROR(__xludf.DUMMYFUNCTION("""COMPUTED_VALUE"""),"https://expa.aiesec.org/opportunities/1292947")</f>
        <v>https://expa.aiesec.org/opportunities/1292947</v>
      </c>
      <c r="L1161" s="43" t="str">
        <f>IFERROR(__xludf.DUMMYFUNCTION("""COMPUTED_VALUE"""),"GV")</f>
        <v>GV</v>
      </c>
      <c r="M1161" s="43" t="str">
        <f>IFERROR(__xludf.DUMMYFUNCTION("""COMPUTED_VALUE"""),"short")</f>
        <v>short</v>
      </c>
      <c r="N1161" s="45">
        <f>IFERROR(__xludf.DUMMYFUNCTION("""COMPUTED_VALUE"""),45252.0)</f>
        <v>45252</v>
      </c>
      <c r="O1161" s="45">
        <f>IFERROR(__xludf.DUMMYFUNCTION("""COMPUTED_VALUE"""),45323.0)</f>
        <v>45323</v>
      </c>
      <c r="P1161" s="45">
        <f>IFERROR(__xludf.DUMMYFUNCTION("""COMPUTED_VALUE"""),45365.0)</f>
        <v>45365</v>
      </c>
      <c r="Q1161" s="45"/>
      <c r="R1161" s="45"/>
      <c r="S1161" s="43"/>
      <c r="T1161" s="43"/>
      <c r="U1161" s="43" t="str">
        <f>IFERROR(__xludf.DUMMYFUNCTION("""COMPUTED_VALUE"""),"Skill Up!")</f>
        <v>Skill Up!</v>
      </c>
      <c r="V1161" s="43" t="str">
        <f>IFERROR(__xludf.DUMMYFUNCTION("""COMPUTED_VALUE"""),"KOCAELI")</f>
        <v>KOCAELI</v>
      </c>
      <c r="W1161" s="43" t="str">
        <f>IFERROR(__xludf.DUMMYFUNCTION("""COMPUTED_VALUE"""),"2023-11-22T10:03:15Z")</f>
        <v>2023-11-22T10:03:15Z</v>
      </c>
      <c r="X1161" s="43"/>
      <c r="Y1161" s="43"/>
      <c r="Z1161" s="43"/>
    </row>
    <row r="1162" hidden="1">
      <c r="A1162" s="43" t="str">
        <f>IFERROR(__xludf.DUMMYFUNCTION("""COMPUTED_VALUE"""),"5377553_1293235")</f>
        <v>5377553_1293235</v>
      </c>
      <c r="B1162" s="43" t="str">
        <f>IFERROR(__xludf.DUMMYFUNCTION("""COMPUTED_VALUE"""),"Merve Saka")</f>
        <v>Merve Saka</v>
      </c>
      <c r="C1162" s="43" t="str">
        <f>IFERROR(__xludf.DUMMYFUNCTION("""COMPUTED_VALUE"""),"approved")</f>
        <v>approved</v>
      </c>
      <c r="D1162" s="43" t="str">
        <f>IFERROR(__xludf.DUMMYFUNCTION("""COMPUTED_VALUE"""),"No")</f>
        <v>No</v>
      </c>
      <c r="E1162" s="43" t="str">
        <f>IFERROR(__xludf.DUMMYFUNCTION("""COMPUTED_VALUE"""),"p_195aa603c786260c514b12dc60f09da73d29dac9@inbound.aiesec.org")</f>
        <v>p_195aa603c786260c514b12dc60f09da73d29dac9@inbound.aiesec.org</v>
      </c>
      <c r="F1162" s="43">
        <f>IFERROR(__xludf.DUMMYFUNCTION("""COMPUTED_VALUE"""),5.41384356E9)</f>
        <v>5413843560</v>
      </c>
      <c r="G1162" s="43" t="str">
        <f>IFERROR(__xludf.DUMMYFUNCTION("""COMPUTED_VALUE"""),"Turkey")</f>
        <v>Turkey</v>
      </c>
      <c r="H1162" s="43" t="str">
        <f>IFERROR(__xludf.DUMMYFUNCTION("""COMPUTED_VALUE"""),"SAKARYA")</f>
        <v>SAKARYA</v>
      </c>
      <c r="I1162" s="43" t="str">
        <f>IFERROR(__xludf.DUMMYFUNCTION("""COMPUTED_VALUE"""),"Egypt")</f>
        <v>Egypt</v>
      </c>
      <c r="J1162" s="43" t="str">
        <f>IFERROR(__xludf.DUMMYFUNCTION("""COMPUTED_VALUE"""),"AAST Alexandria")</f>
        <v>AAST Alexandria</v>
      </c>
      <c r="K1162" s="44" t="str">
        <f>IFERROR(__xludf.DUMMYFUNCTION("""COMPUTED_VALUE"""),"https://expa.aiesec.org/opportunities/1293235")</f>
        <v>https://expa.aiesec.org/opportunities/1293235</v>
      </c>
      <c r="L1162" s="43" t="str">
        <f>IFERROR(__xludf.DUMMYFUNCTION("""COMPUTED_VALUE"""),"GV")</f>
        <v>GV</v>
      </c>
      <c r="M1162" s="43" t="str">
        <f>IFERROR(__xludf.DUMMYFUNCTION("""COMPUTED_VALUE"""),"short")</f>
        <v>short</v>
      </c>
      <c r="N1162" s="45">
        <f>IFERROR(__xludf.DUMMYFUNCTION("""COMPUTED_VALUE"""),45252.0)</f>
        <v>45252</v>
      </c>
      <c r="O1162" s="45">
        <f>IFERROR(__xludf.DUMMYFUNCTION("""COMPUTED_VALUE"""),45474.0)</f>
        <v>45474</v>
      </c>
      <c r="P1162" s="45">
        <f>IFERROR(__xludf.DUMMYFUNCTION("""COMPUTED_VALUE"""),45516.0)</f>
        <v>45516</v>
      </c>
      <c r="Q1162" s="45"/>
      <c r="R1162" s="45"/>
      <c r="S1162" s="43"/>
      <c r="T1162" s="43"/>
      <c r="U1162" s="43" t="str">
        <f>IFERROR(__xludf.DUMMYFUNCTION("""COMPUTED_VALUE"""),"Global Classroom")</f>
        <v>Global Classroom</v>
      </c>
      <c r="V1162" s="43" t="str">
        <f>IFERROR(__xludf.DUMMYFUNCTION("""COMPUTED_VALUE"""),"SAKARYA")</f>
        <v>SAKARYA</v>
      </c>
      <c r="W1162" s="43" t="str">
        <f>IFERROR(__xludf.DUMMYFUNCTION("""COMPUTED_VALUE"""),"2023-11-22T14:34:34Z")</f>
        <v>2023-11-22T14:34:34Z</v>
      </c>
      <c r="X1162" s="43"/>
      <c r="Y1162" s="43"/>
      <c r="Z1162" s="43"/>
    </row>
    <row r="1163" hidden="1">
      <c r="A1163" s="43" t="str">
        <f>IFERROR(__xludf.DUMMYFUNCTION("""COMPUTED_VALUE"""),"5375086_1300100")</f>
        <v>5375086_1300100</v>
      </c>
      <c r="B1163" s="43" t="str">
        <f>IFERROR(__xludf.DUMMYFUNCTION("""COMPUTED_VALUE"""),"Barış Ali Aksu")</f>
        <v>Barış Ali Aksu</v>
      </c>
      <c r="C1163" s="43" t="str">
        <f>IFERROR(__xludf.DUMMYFUNCTION("""COMPUTED_VALUE"""),"approved")</f>
        <v>approved</v>
      </c>
      <c r="D1163" s="43" t="str">
        <f>IFERROR(__xludf.DUMMYFUNCTION("""COMPUTED_VALUE"""),"No")</f>
        <v>No</v>
      </c>
      <c r="E1163" s="43" t="str">
        <f>IFERROR(__xludf.DUMMYFUNCTION("""COMPUTED_VALUE"""),"p_62e7bcf4645c75267ca09d35d0c5fd0ef15778bb@inbound.aiesec.org")</f>
        <v>p_62e7bcf4645c75267ca09d35d0c5fd0ef15778bb@inbound.aiesec.org</v>
      </c>
      <c r="F1163" s="43">
        <f>IFERROR(__xludf.DUMMYFUNCTION("""COMPUTED_VALUE"""),5.061473282E9)</f>
        <v>5061473282</v>
      </c>
      <c r="G1163" s="43" t="str">
        <f>IFERROR(__xludf.DUMMYFUNCTION("""COMPUTED_VALUE"""),"Turkey")</f>
        <v>Turkey</v>
      </c>
      <c r="H1163" s="43" t="str">
        <f>IFERROR(__xludf.DUMMYFUNCTION("""COMPUTED_VALUE"""),"ANTALYA")</f>
        <v>ANTALYA</v>
      </c>
      <c r="I1163" s="43" t="str">
        <f>IFERROR(__xludf.DUMMYFUNCTION("""COMPUTED_VALUE"""),"Italy")</f>
        <v>Italy</v>
      </c>
      <c r="J1163" s="43" t="str">
        <f>IFERROR(__xludf.DUMMYFUNCTION("""COMPUTED_VALUE"""),"Milano")</f>
        <v>Milano</v>
      </c>
      <c r="K1163" s="44" t="str">
        <f>IFERROR(__xludf.DUMMYFUNCTION("""COMPUTED_VALUE"""),"https://expa.aiesec.org/opportunities/1300100")</f>
        <v>https://expa.aiesec.org/opportunities/1300100</v>
      </c>
      <c r="L1163" s="43" t="str">
        <f>IFERROR(__xludf.DUMMYFUNCTION("""COMPUTED_VALUE"""),"GV")</f>
        <v>GV</v>
      </c>
      <c r="M1163" s="43" t="str">
        <f>IFERROR(__xludf.DUMMYFUNCTION("""COMPUTED_VALUE"""),"short")</f>
        <v>short</v>
      </c>
      <c r="N1163" s="45">
        <f>IFERROR(__xludf.DUMMYFUNCTION("""COMPUTED_VALUE"""),45252.0)</f>
        <v>45252</v>
      </c>
      <c r="O1163" s="45">
        <f>IFERROR(__xludf.DUMMYFUNCTION("""COMPUTED_VALUE"""),45327.0)</f>
        <v>45327</v>
      </c>
      <c r="P1163" s="45">
        <f>IFERROR(__xludf.DUMMYFUNCTION("""COMPUTED_VALUE"""),45369.0)</f>
        <v>45369</v>
      </c>
      <c r="Q1163" s="45"/>
      <c r="R1163" s="45"/>
      <c r="S1163" s="43"/>
      <c r="T1163" s="43"/>
      <c r="U1163" s="43" t="str">
        <f>IFERROR(__xludf.DUMMYFUNCTION("""COMPUTED_VALUE"""),"Youth 4 Impact")</f>
        <v>Youth 4 Impact</v>
      </c>
      <c r="V1163" s="43" t="str">
        <f>IFERROR(__xludf.DUMMYFUNCTION("""COMPUTED_VALUE"""),"ANTALYA")</f>
        <v>ANTALYA</v>
      </c>
      <c r="W1163" s="43" t="str">
        <f>IFERROR(__xludf.DUMMYFUNCTION("""COMPUTED_VALUE"""),"2023-11-18T17:22:30Z")</f>
        <v>2023-11-18T17:22:30Z</v>
      </c>
      <c r="X1163" s="43"/>
      <c r="Y1163" s="43"/>
      <c r="Z1163" s="43"/>
    </row>
    <row r="1164" hidden="1">
      <c r="A1164" s="43" t="str">
        <f>IFERROR(__xludf.DUMMYFUNCTION("""COMPUTED_VALUE"""),"5377640_1299758")</f>
        <v>5377640_1299758</v>
      </c>
      <c r="B1164" s="43" t="str">
        <f>IFERROR(__xludf.DUMMYFUNCTION("""COMPUTED_VALUE"""),"Su Eda Çalıs")</f>
        <v>Su Eda Çalıs</v>
      </c>
      <c r="C1164" s="43" t="str">
        <f>IFERROR(__xludf.DUMMYFUNCTION("""COMPUTED_VALUE"""),"approved")</f>
        <v>approved</v>
      </c>
      <c r="D1164" s="43" t="str">
        <f>IFERROR(__xludf.DUMMYFUNCTION("""COMPUTED_VALUE"""),"No")</f>
        <v>No</v>
      </c>
      <c r="E1164" s="43" t="str">
        <f>IFERROR(__xludf.DUMMYFUNCTION("""COMPUTED_VALUE"""),"p_b3b10675ee4d4251584fd74b43725fd4826483b6@inbound.aiesec.org")</f>
        <v>p_b3b10675ee4d4251584fd74b43725fd4826483b6@inbound.aiesec.org</v>
      </c>
      <c r="F1164" s="43">
        <f>IFERROR(__xludf.DUMMYFUNCTION("""COMPUTED_VALUE"""),5.337173053E9)</f>
        <v>5337173053</v>
      </c>
      <c r="G1164" s="43" t="str">
        <f>IFERROR(__xludf.DUMMYFUNCTION("""COMPUTED_VALUE"""),"Turkey")</f>
        <v>Turkey</v>
      </c>
      <c r="H1164" s="43" t="str">
        <f>IFERROR(__xludf.DUMMYFUNCTION("""COMPUTED_VALUE"""),"SAKARYA")</f>
        <v>SAKARYA</v>
      </c>
      <c r="I1164" s="43" t="str">
        <f>IFERROR(__xludf.DUMMYFUNCTION("""COMPUTED_VALUE"""),"Egypt")</f>
        <v>Egypt</v>
      </c>
      <c r="J1164" s="43" t="str">
        <f>IFERROR(__xludf.DUMMYFUNCTION("""COMPUTED_VALUE"""),"Ain Shams University")</f>
        <v>Ain Shams University</v>
      </c>
      <c r="K1164" s="44" t="str">
        <f>IFERROR(__xludf.DUMMYFUNCTION("""COMPUTED_VALUE"""),"https://expa.aiesec.org/opportunities/1299758")</f>
        <v>https://expa.aiesec.org/opportunities/1299758</v>
      </c>
      <c r="L1164" s="43" t="str">
        <f>IFERROR(__xludf.DUMMYFUNCTION("""COMPUTED_VALUE"""),"GV")</f>
        <v>GV</v>
      </c>
      <c r="M1164" s="43" t="str">
        <f>IFERROR(__xludf.DUMMYFUNCTION("""COMPUTED_VALUE"""),"short")</f>
        <v>short</v>
      </c>
      <c r="N1164" s="45">
        <f>IFERROR(__xludf.DUMMYFUNCTION("""COMPUTED_VALUE"""),45252.0)</f>
        <v>45252</v>
      </c>
      <c r="O1164" s="45">
        <f>IFERROR(__xludf.DUMMYFUNCTION("""COMPUTED_VALUE"""),45474.0)</f>
        <v>45474</v>
      </c>
      <c r="P1164" s="45">
        <f>IFERROR(__xludf.DUMMYFUNCTION("""COMPUTED_VALUE"""),45516.0)</f>
        <v>45516</v>
      </c>
      <c r="Q1164" s="45"/>
      <c r="R1164" s="45"/>
      <c r="S1164" s="43"/>
      <c r="T1164" s="43"/>
      <c r="U1164" s="43" t="str">
        <f>IFERROR(__xludf.DUMMYFUNCTION("""COMPUTED_VALUE"""),"Heartbeat")</f>
        <v>Heartbeat</v>
      </c>
      <c r="V1164" s="43" t="str">
        <f>IFERROR(__xludf.DUMMYFUNCTION("""COMPUTED_VALUE"""),"SAKARYA")</f>
        <v>SAKARYA</v>
      </c>
      <c r="W1164" s="43" t="str">
        <f>IFERROR(__xludf.DUMMYFUNCTION("""COMPUTED_VALUE"""),"2023-11-22T16:20:55Z")</f>
        <v>2023-11-22T16:20:55Z</v>
      </c>
      <c r="X1164" s="43"/>
      <c r="Y1164" s="43"/>
      <c r="Z1164" s="43"/>
    </row>
    <row r="1165" hidden="1">
      <c r="A1165" s="43" t="str">
        <f>IFERROR(__xludf.DUMMYFUNCTION("""COMPUTED_VALUE"""),"5377647_1299758")</f>
        <v>5377647_1299758</v>
      </c>
      <c r="B1165" s="43" t="str">
        <f>IFERROR(__xludf.DUMMYFUNCTION("""COMPUTED_VALUE"""),"Merve Kaya")</f>
        <v>Merve Kaya</v>
      </c>
      <c r="C1165" s="43" t="str">
        <f>IFERROR(__xludf.DUMMYFUNCTION("""COMPUTED_VALUE"""),"approved")</f>
        <v>approved</v>
      </c>
      <c r="D1165" s="43" t="str">
        <f>IFERROR(__xludf.DUMMYFUNCTION("""COMPUTED_VALUE"""),"No")</f>
        <v>No</v>
      </c>
      <c r="E1165" s="43" t="str">
        <f>IFERROR(__xludf.DUMMYFUNCTION("""COMPUTED_VALUE"""),"p_a9e2eb8c97b6ef77498d2441ba9f369c72d2ddb8@inbound.aiesec.org")</f>
        <v>p_a9e2eb8c97b6ef77498d2441ba9f369c72d2ddb8@inbound.aiesec.org</v>
      </c>
      <c r="F1165" s="43">
        <f>IFERROR(__xludf.DUMMYFUNCTION("""COMPUTED_VALUE"""),5.510912406E9)</f>
        <v>5510912406</v>
      </c>
      <c r="G1165" s="43" t="str">
        <f>IFERROR(__xludf.DUMMYFUNCTION("""COMPUTED_VALUE"""),"Turkey")</f>
        <v>Turkey</v>
      </c>
      <c r="H1165" s="43" t="str">
        <f>IFERROR(__xludf.DUMMYFUNCTION("""COMPUTED_VALUE"""),"SAKARYA")</f>
        <v>SAKARYA</v>
      </c>
      <c r="I1165" s="43" t="str">
        <f>IFERROR(__xludf.DUMMYFUNCTION("""COMPUTED_VALUE"""),"Egypt")</f>
        <v>Egypt</v>
      </c>
      <c r="J1165" s="43" t="str">
        <f>IFERROR(__xludf.DUMMYFUNCTION("""COMPUTED_VALUE"""),"Ain Shams University")</f>
        <v>Ain Shams University</v>
      </c>
      <c r="K1165" s="44" t="str">
        <f>IFERROR(__xludf.DUMMYFUNCTION("""COMPUTED_VALUE"""),"https://expa.aiesec.org/opportunities/1299758")</f>
        <v>https://expa.aiesec.org/opportunities/1299758</v>
      </c>
      <c r="L1165" s="43" t="str">
        <f>IFERROR(__xludf.DUMMYFUNCTION("""COMPUTED_VALUE"""),"GV")</f>
        <v>GV</v>
      </c>
      <c r="M1165" s="43" t="str">
        <f>IFERROR(__xludf.DUMMYFUNCTION("""COMPUTED_VALUE"""),"short")</f>
        <v>short</v>
      </c>
      <c r="N1165" s="45">
        <f>IFERROR(__xludf.DUMMYFUNCTION("""COMPUTED_VALUE"""),45252.0)</f>
        <v>45252</v>
      </c>
      <c r="O1165" s="45">
        <f>IFERROR(__xludf.DUMMYFUNCTION("""COMPUTED_VALUE"""),45474.0)</f>
        <v>45474</v>
      </c>
      <c r="P1165" s="45">
        <f>IFERROR(__xludf.DUMMYFUNCTION("""COMPUTED_VALUE"""),45516.0)</f>
        <v>45516</v>
      </c>
      <c r="Q1165" s="45"/>
      <c r="R1165" s="45"/>
      <c r="S1165" s="43"/>
      <c r="T1165" s="43"/>
      <c r="U1165" s="43" t="str">
        <f>IFERROR(__xludf.DUMMYFUNCTION("""COMPUTED_VALUE"""),"Heartbeat")</f>
        <v>Heartbeat</v>
      </c>
      <c r="V1165" s="43" t="str">
        <f>IFERROR(__xludf.DUMMYFUNCTION("""COMPUTED_VALUE"""),"SAKARYA")</f>
        <v>SAKARYA</v>
      </c>
      <c r="W1165" s="43" t="str">
        <f>IFERROR(__xludf.DUMMYFUNCTION("""COMPUTED_VALUE"""),"2023-11-22T16:32:44Z")</f>
        <v>2023-11-22T16:32:44Z</v>
      </c>
      <c r="X1165" s="43"/>
      <c r="Y1165" s="43"/>
      <c r="Z1165" s="43"/>
    </row>
    <row r="1166" hidden="1">
      <c r="A1166" s="43" t="str">
        <f>IFERROR(__xludf.DUMMYFUNCTION("""COMPUTED_VALUE"""),"5376268_1300097")</f>
        <v>5376268_1300097</v>
      </c>
      <c r="B1166" s="43" t="str">
        <f>IFERROR(__xludf.DUMMYFUNCTION("""COMPUTED_VALUE"""),"Emirhan Kartal")</f>
        <v>Emirhan Kartal</v>
      </c>
      <c r="C1166" s="43" t="str">
        <f>IFERROR(__xludf.DUMMYFUNCTION("""COMPUTED_VALUE"""),"realized")</f>
        <v>realized</v>
      </c>
      <c r="D1166" s="43" t="str">
        <f>IFERROR(__xludf.DUMMYFUNCTION("""COMPUTED_VALUE"""),"No")</f>
        <v>No</v>
      </c>
      <c r="E1166" s="43" t="str">
        <f>IFERROR(__xludf.DUMMYFUNCTION("""COMPUTED_VALUE"""),"p_cb82008913ad8cb0fc6597454aca83cb75ae9a39@inbound.aiesec.org")</f>
        <v>p_cb82008913ad8cb0fc6597454aca83cb75ae9a39@inbound.aiesec.org</v>
      </c>
      <c r="F1166" s="43"/>
      <c r="G1166" s="43" t="str">
        <f>IFERROR(__xludf.DUMMYFUNCTION("""COMPUTED_VALUE"""),"Turkey")</f>
        <v>Turkey</v>
      </c>
      <c r="H1166" s="43" t="str">
        <f>IFERROR(__xludf.DUMMYFUNCTION("""COMPUTED_VALUE"""),"ANTALYA")</f>
        <v>ANTALYA</v>
      </c>
      <c r="I1166" s="43" t="str">
        <f>IFERROR(__xludf.DUMMYFUNCTION("""COMPUTED_VALUE"""),"Romania")</f>
        <v>Romania</v>
      </c>
      <c r="J1166" s="43" t="str">
        <f>IFERROR(__xludf.DUMMYFUNCTION("""COMPUTED_VALUE"""),"Cluj-Napoca")</f>
        <v>Cluj-Napoca</v>
      </c>
      <c r="K1166" s="44" t="str">
        <f>IFERROR(__xludf.DUMMYFUNCTION("""COMPUTED_VALUE"""),"https://expa.aiesec.org/opportunities/1300097")</f>
        <v>https://expa.aiesec.org/opportunities/1300097</v>
      </c>
      <c r="L1166" s="43" t="str">
        <f>IFERROR(__xludf.DUMMYFUNCTION("""COMPUTED_VALUE"""),"GV")</f>
        <v>GV</v>
      </c>
      <c r="M1166" s="43" t="str">
        <f>IFERROR(__xludf.DUMMYFUNCTION("""COMPUTED_VALUE"""),"short")</f>
        <v>short</v>
      </c>
      <c r="N1166" s="45">
        <f>IFERROR(__xludf.DUMMYFUNCTION("""COMPUTED_VALUE"""),45252.0)</f>
        <v>45252</v>
      </c>
      <c r="O1166" s="45">
        <f>IFERROR(__xludf.DUMMYFUNCTION("""COMPUTED_VALUE"""),45299.0)</f>
        <v>45299</v>
      </c>
      <c r="P1166" s="45">
        <f>IFERROR(__xludf.DUMMYFUNCTION("""COMPUTED_VALUE"""),45341.0)</f>
        <v>45341</v>
      </c>
      <c r="Q1166" s="45">
        <f>IFERROR(__xludf.DUMMYFUNCTION("""COMPUTED_VALUE"""),45301.0)</f>
        <v>45301</v>
      </c>
      <c r="R1166" s="45">
        <f>IFERROR(__xludf.DUMMYFUNCTION("""COMPUTED_VALUE"""),45341.0)</f>
        <v>45341</v>
      </c>
      <c r="S1166" s="43"/>
      <c r="T1166" s="43"/>
      <c r="U1166" s="43" t="str">
        <f>IFERROR(__xludf.DUMMYFUNCTION("""COMPUTED_VALUE"""),"Eat 4 Change")</f>
        <v>Eat 4 Change</v>
      </c>
      <c r="V1166" s="43" t="str">
        <f>IFERROR(__xludf.DUMMYFUNCTION("""COMPUTED_VALUE"""),"-")</f>
        <v>-</v>
      </c>
      <c r="W1166" s="43" t="str">
        <f>IFERROR(__xludf.DUMMYFUNCTION("""COMPUTED_VALUE"""),"2023-11-20T18:21:27Z")</f>
        <v>2023-11-20T18:21:27Z</v>
      </c>
      <c r="X1166" s="43"/>
      <c r="Y1166" s="43"/>
      <c r="Z1166" s="43"/>
    </row>
    <row r="1167" hidden="1">
      <c r="A1167" s="43" t="str">
        <f>IFERROR(__xludf.DUMMYFUNCTION("""COMPUTED_VALUE"""),"5374304_1300779")</f>
        <v>5374304_1300779</v>
      </c>
      <c r="B1167" s="43" t="str">
        <f>IFERROR(__xludf.DUMMYFUNCTION("""COMPUTED_VALUE"""),"Ata Can Elçi")</f>
        <v>Ata Can Elçi</v>
      </c>
      <c r="C1167" s="43" t="str">
        <f>IFERROR(__xludf.DUMMYFUNCTION("""COMPUTED_VALUE"""),"approved")</f>
        <v>approved</v>
      </c>
      <c r="D1167" s="43" t="str">
        <f>IFERROR(__xludf.DUMMYFUNCTION("""COMPUTED_VALUE"""),"No")</f>
        <v>No</v>
      </c>
      <c r="E1167" s="43" t="str">
        <f>IFERROR(__xludf.DUMMYFUNCTION("""COMPUTED_VALUE"""),"p_e365b816904fe3363848dc53edba856f1022f121@inbound.aiesec.org")</f>
        <v>p_e365b816904fe3363848dc53edba856f1022f121@inbound.aiesec.org</v>
      </c>
      <c r="F1167" s="43">
        <f>IFERROR(__xludf.DUMMYFUNCTION("""COMPUTED_VALUE"""),5.380941602E9)</f>
        <v>5380941602</v>
      </c>
      <c r="G1167" s="43" t="str">
        <f>IFERROR(__xludf.DUMMYFUNCTION("""COMPUTED_VALUE"""),"Turkey")</f>
        <v>Turkey</v>
      </c>
      <c r="H1167" s="43" t="str">
        <f>IFERROR(__xludf.DUMMYFUNCTION("""COMPUTED_VALUE"""),"ADANA")</f>
        <v>ADANA</v>
      </c>
      <c r="I1167" s="43" t="str">
        <f>IFERROR(__xludf.DUMMYFUNCTION("""COMPUTED_VALUE"""),"Egypt")</f>
        <v>Egypt</v>
      </c>
      <c r="J1167" s="43" t="str">
        <f>IFERROR(__xludf.DUMMYFUNCTION("""COMPUTED_VALUE"""),"Helwan")</f>
        <v>Helwan</v>
      </c>
      <c r="K1167" s="44" t="str">
        <f>IFERROR(__xludf.DUMMYFUNCTION("""COMPUTED_VALUE"""),"https://expa.aiesec.org/opportunities/1300779")</f>
        <v>https://expa.aiesec.org/opportunities/1300779</v>
      </c>
      <c r="L1167" s="43" t="str">
        <f>IFERROR(__xludf.DUMMYFUNCTION("""COMPUTED_VALUE"""),"GV")</f>
        <v>GV</v>
      </c>
      <c r="M1167" s="43" t="str">
        <f>IFERROR(__xludf.DUMMYFUNCTION("""COMPUTED_VALUE"""),"short")</f>
        <v>short</v>
      </c>
      <c r="N1167" s="45">
        <f>IFERROR(__xludf.DUMMYFUNCTION("""COMPUTED_VALUE"""),45253.0)</f>
        <v>45253</v>
      </c>
      <c r="O1167" s="45">
        <f>IFERROR(__xludf.DUMMYFUNCTION("""COMPUTED_VALUE"""),45444.0)</f>
        <v>45444</v>
      </c>
      <c r="P1167" s="45">
        <f>IFERROR(__xludf.DUMMYFUNCTION("""COMPUTED_VALUE"""),45486.0)</f>
        <v>45486</v>
      </c>
      <c r="Q1167" s="45"/>
      <c r="R1167" s="45"/>
      <c r="S1167" s="43"/>
      <c r="T1167" s="43"/>
      <c r="U1167" s="43" t="str">
        <f>IFERROR(__xludf.DUMMYFUNCTION("""COMPUTED_VALUE"""),"Global Classroom")</f>
        <v>Global Classroom</v>
      </c>
      <c r="V1167" s="43" t="str">
        <f>IFERROR(__xludf.DUMMYFUNCTION("""COMPUTED_VALUE"""),"ADANA")</f>
        <v>ADANA</v>
      </c>
      <c r="W1167" s="43" t="str">
        <f>IFERROR(__xludf.DUMMYFUNCTION("""COMPUTED_VALUE"""),"2023-11-17T09:55:34Z")</f>
        <v>2023-11-17T09:55:34Z</v>
      </c>
      <c r="X1167" s="43"/>
      <c r="Y1167" s="43"/>
      <c r="Z1167" s="43"/>
    </row>
    <row r="1168" hidden="1">
      <c r="A1168" s="43" t="str">
        <f>IFERROR(__xludf.DUMMYFUNCTION("""COMPUTED_VALUE"""),"5374291_1300779")</f>
        <v>5374291_1300779</v>
      </c>
      <c r="B1168" s="43" t="str">
        <f>IFERROR(__xludf.DUMMYFUNCTION("""COMPUTED_VALUE"""),"Meltem Yağmur Elçi")</f>
        <v>Meltem Yağmur Elçi</v>
      </c>
      <c r="C1168" s="43" t="str">
        <f>IFERROR(__xludf.DUMMYFUNCTION("""COMPUTED_VALUE"""),"approved")</f>
        <v>approved</v>
      </c>
      <c r="D1168" s="43" t="str">
        <f>IFERROR(__xludf.DUMMYFUNCTION("""COMPUTED_VALUE"""),"No")</f>
        <v>No</v>
      </c>
      <c r="E1168" s="43" t="str">
        <f>IFERROR(__xludf.DUMMYFUNCTION("""COMPUTED_VALUE"""),"p_f8caa8ce044ecb2ee83687608b337a4592078dda@inbound.aiesec.org")</f>
        <v>p_f8caa8ce044ecb2ee83687608b337a4592078dda@inbound.aiesec.org</v>
      </c>
      <c r="F1168" s="43">
        <f>IFERROR(__xludf.DUMMYFUNCTION("""COMPUTED_VALUE"""),5.380931702E9)</f>
        <v>5380931702</v>
      </c>
      <c r="G1168" s="43" t="str">
        <f>IFERROR(__xludf.DUMMYFUNCTION("""COMPUTED_VALUE"""),"Turkey")</f>
        <v>Turkey</v>
      </c>
      <c r="H1168" s="43" t="str">
        <f>IFERROR(__xludf.DUMMYFUNCTION("""COMPUTED_VALUE"""),"ADANA")</f>
        <v>ADANA</v>
      </c>
      <c r="I1168" s="43" t="str">
        <f>IFERROR(__xludf.DUMMYFUNCTION("""COMPUTED_VALUE"""),"Egypt")</f>
        <v>Egypt</v>
      </c>
      <c r="J1168" s="43" t="str">
        <f>IFERROR(__xludf.DUMMYFUNCTION("""COMPUTED_VALUE"""),"Helwan")</f>
        <v>Helwan</v>
      </c>
      <c r="K1168" s="44" t="str">
        <f>IFERROR(__xludf.DUMMYFUNCTION("""COMPUTED_VALUE"""),"https://expa.aiesec.org/opportunities/1300779")</f>
        <v>https://expa.aiesec.org/opportunities/1300779</v>
      </c>
      <c r="L1168" s="43" t="str">
        <f>IFERROR(__xludf.DUMMYFUNCTION("""COMPUTED_VALUE"""),"GV")</f>
        <v>GV</v>
      </c>
      <c r="M1168" s="43" t="str">
        <f>IFERROR(__xludf.DUMMYFUNCTION("""COMPUTED_VALUE"""),"short")</f>
        <v>short</v>
      </c>
      <c r="N1168" s="45">
        <f>IFERROR(__xludf.DUMMYFUNCTION("""COMPUTED_VALUE"""),45253.0)</f>
        <v>45253</v>
      </c>
      <c r="O1168" s="45">
        <f>IFERROR(__xludf.DUMMYFUNCTION("""COMPUTED_VALUE"""),45444.0)</f>
        <v>45444</v>
      </c>
      <c r="P1168" s="45">
        <f>IFERROR(__xludf.DUMMYFUNCTION("""COMPUTED_VALUE"""),45486.0)</f>
        <v>45486</v>
      </c>
      <c r="Q1168" s="45"/>
      <c r="R1168" s="45"/>
      <c r="S1168" s="43"/>
      <c r="T1168" s="43"/>
      <c r="U1168" s="43" t="str">
        <f>IFERROR(__xludf.DUMMYFUNCTION("""COMPUTED_VALUE"""),"Global Classroom")</f>
        <v>Global Classroom</v>
      </c>
      <c r="V1168" s="43" t="str">
        <f>IFERROR(__xludf.DUMMYFUNCTION("""COMPUTED_VALUE"""),"ADANA")</f>
        <v>ADANA</v>
      </c>
      <c r="W1168" s="43" t="str">
        <f>IFERROR(__xludf.DUMMYFUNCTION("""COMPUTED_VALUE"""),"2023-11-17T09:34:24Z")</f>
        <v>2023-11-17T09:34:24Z</v>
      </c>
      <c r="X1168" s="43"/>
      <c r="Y1168" s="43"/>
      <c r="Z1168" s="43"/>
    </row>
    <row r="1169" hidden="1">
      <c r="A1169" s="43" t="str">
        <f>IFERROR(__xludf.DUMMYFUNCTION("""COMPUTED_VALUE"""),"5377065_1301227")</f>
        <v>5377065_1301227</v>
      </c>
      <c r="B1169" s="43" t="str">
        <f>IFERROR(__xludf.DUMMYFUNCTION("""COMPUTED_VALUE"""),"Hatice Hatipoğlu")</f>
        <v>Hatice Hatipoğlu</v>
      </c>
      <c r="C1169" s="43" t="str">
        <f>IFERROR(__xludf.DUMMYFUNCTION("""COMPUTED_VALUE"""),"realized")</f>
        <v>realized</v>
      </c>
      <c r="D1169" s="43" t="str">
        <f>IFERROR(__xludf.DUMMYFUNCTION("""COMPUTED_VALUE"""),"No")</f>
        <v>No</v>
      </c>
      <c r="E1169" s="43" t="str">
        <f>IFERROR(__xludf.DUMMYFUNCTION("""COMPUTED_VALUE"""),"p_8c4bb4ae82ae96d11ce431a6789bd42ecdbadae2@inbound.aiesec.org")</f>
        <v>p_8c4bb4ae82ae96d11ce431a6789bd42ecdbadae2@inbound.aiesec.org</v>
      </c>
      <c r="F1169" s="43">
        <f>IFERROR(__xludf.DUMMYFUNCTION("""COMPUTED_VALUE"""),5.314023139E9)</f>
        <v>5314023139</v>
      </c>
      <c r="G1169" s="43" t="str">
        <f>IFERROR(__xludf.DUMMYFUNCTION("""COMPUTED_VALUE"""),"Turkey")</f>
        <v>Turkey</v>
      </c>
      <c r="H1169" s="43" t="str">
        <f>IFERROR(__xludf.DUMMYFUNCTION("""COMPUTED_VALUE"""),"ISTANBUL")</f>
        <v>ISTANBUL</v>
      </c>
      <c r="I1169" s="43" t="str">
        <f>IFERROR(__xludf.DUMMYFUNCTION("""COMPUTED_VALUE"""),"Italy")</f>
        <v>Italy</v>
      </c>
      <c r="J1169" s="43" t="str">
        <f>IFERROR(__xludf.DUMMYFUNCTION("""COMPUTED_VALUE"""),"Bologna")</f>
        <v>Bologna</v>
      </c>
      <c r="K1169" s="44" t="str">
        <f>IFERROR(__xludf.DUMMYFUNCTION("""COMPUTED_VALUE"""),"https://expa.aiesec.org/opportunities/1301227")</f>
        <v>https://expa.aiesec.org/opportunities/1301227</v>
      </c>
      <c r="L1169" s="43" t="str">
        <f>IFERROR(__xludf.DUMMYFUNCTION("""COMPUTED_VALUE"""),"GV")</f>
        <v>GV</v>
      </c>
      <c r="M1169" s="43" t="str">
        <f>IFERROR(__xludf.DUMMYFUNCTION("""COMPUTED_VALUE"""),"short")</f>
        <v>short</v>
      </c>
      <c r="N1169" s="45">
        <f>IFERROR(__xludf.DUMMYFUNCTION("""COMPUTED_VALUE"""),45253.0)</f>
        <v>45253</v>
      </c>
      <c r="O1169" s="45">
        <f>IFERROR(__xludf.DUMMYFUNCTION("""COMPUTED_VALUE"""),45320.0)</f>
        <v>45320</v>
      </c>
      <c r="P1169" s="45">
        <f>IFERROR(__xludf.DUMMYFUNCTION("""COMPUTED_VALUE"""),45362.0)</f>
        <v>45362</v>
      </c>
      <c r="Q1169" s="45">
        <f>IFERROR(__xludf.DUMMYFUNCTION("""COMPUTED_VALUE"""),45320.0)</f>
        <v>45320</v>
      </c>
      <c r="R1169" s="45">
        <f>IFERROR(__xludf.DUMMYFUNCTION("""COMPUTED_VALUE"""),45362.0)</f>
        <v>45362</v>
      </c>
      <c r="S1169" s="43"/>
      <c r="T1169" s="43"/>
      <c r="U1169" s="43" t="str">
        <f>IFERROR(__xludf.DUMMYFUNCTION("""COMPUTED_VALUE"""),"Youth 4 Impact")</f>
        <v>Youth 4 Impact</v>
      </c>
      <c r="V1169" s="43" t="str">
        <f>IFERROR(__xludf.DUMMYFUNCTION("""COMPUTED_VALUE"""),"ISTANBUL - BAKIRKOY")</f>
        <v>ISTANBUL - BAKIRKOY</v>
      </c>
      <c r="W1169" s="43" t="str">
        <f>IFERROR(__xludf.DUMMYFUNCTION("""COMPUTED_VALUE"""),"2023-11-21T20:20:29Z")</f>
        <v>2023-11-21T20:20:29Z</v>
      </c>
      <c r="X1169" s="43"/>
      <c r="Y1169" s="43"/>
      <c r="Z1169" s="43"/>
    </row>
    <row r="1170" hidden="1">
      <c r="A1170" s="43" t="str">
        <f>IFERROR(__xludf.DUMMYFUNCTION("""COMPUTED_VALUE"""),"4161704_1288843")</f>
        <v>4161704_1288843</v>
      </c>
      <c r="B1170" s="43" t="str">
        <f>IFERROR(__xludf.DUMMYFUNCTION("""COMPUTED_VALUE"""),"İnci Acar")</f>
        <v>İnci Acar</v>
      </c>
      <c r="C1170" s="43" t="str">
        <f>IFERROR(__xludf.DUMMYFUNCTION("""COMPUTED_VALUE"""),"approved")</f>
        <v>approved</v>
      </c>
      <c r="D1170" s="43" t="str">
        <f>IFERROR(__xludf.DUMMYFUNCTION("""COMPUTED_VALUE"""),"No")</f>
        <v>No</v>
      </c>
      <c r="E1170" s="43" t="str">
        <f>IFERROR(__xludf.DUMMYFUNCTION("""COMPUTED_VALUE"""),"p_5d624d022c0d5cadcb1f708460080832c905f36a@inbound.aiesec.org")</f>
        <v>p_5d624d022c0d5cadcb1f708460080832c905f36a@inbound.aiesec.org</v>
      </c>
      <c r="F1170" s="43">
        <f>IFERROR(__xludf.DUMMYFUNCTION("""COMPUTED_VALUE"""),5.372915091E9)</f>
        <v>5372915091</v>
      </c>
      <c r="G1170" s="43" t="str">
        <f>IFERROR(__xludf.DUMMYFUNCTION("""COMPUTED_VALUE"""),"Turkey")</f>
        <v>Turkey</v>
      </c>
      <c r="H1170" s="43" t="str">
        <f>IFERROR(__xludf.DUMMYFUNCTION("""COMPUTED_VALUE"""),"ISTANBUL ASIA")</f>
        <v>ISTANBUL ASIA</v>
      </c>
      <c r="I1170" s="43" t="str">
        <f>IFERROR(__xludf.DUMMYFUNCTION("""COMPUTED_VALUE"""),"Sri Lanka")</f>
        <v>Sri Lanka</v>
      </c>
      <c r="J1170" s="43" t="str">
        <f>IFERROR(__xludf.DUMMYFUNCTION("""COMPUTED_VALUE"""),"COLOMBO NORTH")</f>
        <v>COLOMBO NORTH</v>
      </c>
      <c r="K1170" s="44" t="str">
        <f>IFERROR(__xludf.DUMMYFUNCTION("""COMPUTED_VALUE"""),"https://expa.aiesec.org/opportunities/1288843")</f>
        <v>https://expa.aiesec.org/opportunities/1288843</v>
      </c>
      <c r="L1170" s="43" t="str">
        <f>IFERROR(__xludf.DUMMYFUNCTION("""COMPUTED_VALUE"""),"GV")</f>
        <v>GV</v>
      </c>
      <c r="M1170" s="43" t="str">
        <f>IFERROR(__xludf.DUMMYFUNCTION("""COMPUTED_VALUE"""),"short")</f>
        <v>short</v>
      </c>
      <c r="N1170" s="45">
        <f>IFERROR(__xludf.DUMMYFUNCTION("""COMPUTED_VALUE"""),45253.0)</f>
        <v>45253</v>
      </c>
      <c r="O1170" s="45">
        <f>IFERROR(__xludf.DUMMYFUNCTION("""COMPUTED_VALUE"""),45474.0)</f>
        <v>45474</v>
      </c>
      <c r="P1170" s="45">
        <f>IFERROR(__xludf.DUMMYFUNCTION("""COMPUTED_VALUE"""),45516.0)</f>
        <v>45516</v>
      </c>
      <c r="Q1170" s="45"/>
      <c r="R1170" s="45"/>
      <c r="S1170" s="43"/>
      <c r="T1170" s="43"/>
      <c r="U1170" s="43" t="str">
        <f>IFERROR(__xludf.DUMMYFUNCTION("""COMPUTED_VALUE"""),"Green Leaders")</f>
        <v>Green Leaders</v>
      </c>
      <c r="V1170" s="43" t="str">
        <f>IFERROR(__xludf.DUMMYFUNCTION("""COMPUTED_VALUE"""),"ISTANBUL ASIA")</f>
        <v>ISTANBUL ASIA</v>
      </c>
      <c r="W1170" s="43" t="str">
        <f>IFERROR(__xludf.DUMMYFUNCTION("""COMPUTED_VALUE"""),"2020-01-31T12:12:55Z")</f>
        <v>2020-01-31T12:12:55Z</v>
      </c>
      <c r="X1170" s="43"/>
      <c r="Y1170" s="43"/>
      <c r="Z1170" s="43"/>
    </row>
    <row r="1171" hidden="1">
      <c r="A1171" s="43" t="str">
        <f>IFERROR(__xludf.DUMMYFUNCTION("""COMPUTED_VALUE"""),"5378441_1299199")</f>
        <v>5378441_1299199</v>
      </c>
      <c r="B1171" s="43" t="str">
        <f>IFERROR(__xludf.DUMMYFUNCTION("""COMPUTED_VALUE"""),"Dilek Kılbahri")</f>
        <v>Dilek Kılbahri</v>
      </c>
      <c r="C1171" s="43" t="str">
        <f>IFERROR(__xludf.DUMMYFUNCTION("""COMPUTED_VALUE"""),"approved")</f>
        <v>approved</v>
      </c>
      <c r="D1171" s="43" t="str">
        <f>IFERROR(__xludf.DUMMYFUNCTION("""COMPUTED_VALUE"""),"No")</f>
        <v>No</v>
      </c>
      <c r="E1171" s="43" t="str">
        <f>IFERROR(__xludf.DUMMYFUNCTION("""COMPUTED_VALUE"""),"p_a478b47e28df2d6ea414afd3379e5d407a3518df@inbound.aiesec.org")</f>
        <v>p_a478b47e28df2d6ea414afd3379e5d407a3518df@inbound.aiesec.org</v>
      </c>
      <c r="F1171" s="43">
        <f>IFERROR(__xludf.DUMMYFUNCTION("""COMPUTED_VALUE"""),5.307358603E9)</f>
        <v>5307358603</v>
      </c>
      <c r="G1171" s="43" t="str">
        <f>IFERROR(__xludf.DUMMYFUNCTION("""COMPUTED_VALUE"""),"Turkey")</f>
        <v>Turkey</v>
      </c>
      <c r="H1171" s="43" t="str">
        <f>IFERROR(__xludf.DUMMYFUNCTION("""COMPUTED_VALUE"""),"SAKARYA")</f>
        <v>SAKARYA</v>
      </c>
      <c r="I1171" s="43" t="str">
        <f>IFERROR(__xludf.DUMMYFUNCTION("""COMPUTED_VALUE"""),"Egypt")</f>
        <v>Egypt</v>
      </c>
      <c r="J1171" s="43" t="str">
        <f>IFERROR(__xludf.DUMMYFUNCTION("""COMPUTED_VALUE"""),"GUC")</f>
        <v>GUC</v>
      </c>
      <c r="K1171" s="44" t="str">
        <f>IFERROR(__xludf.DUMMYFUNCTION("""COMPUTED_VALUE"""),"https://expa.aiesec.org/opportunities/1299199")</f>
        <v>https://expa.aiesec.org/opportunities/1299199</v>
      </c>
      <c r="L1171" s="43" t="str">
        <f>IFERROR(__xludf.DUMMYFUNCTION("""COMPUTED_VALUE"""),"GV")</f>
        <v>GV</v>
      </c>
      <c r="M1171" s="43" t="str">
        <f>IFERROR(__xludf.DUMMYFUNCTION("""COMPUTED_VALUE"""),"short")</f>
        <v>short</v>
      </c>
      <c r="N1171" s="45">
        <f>IFERROR(__xludf.DUMMYFUNCTION("""COMPUTED_VALUE"""),45253.0)</f>
        <v>45253</v>
      </c>
      <c r="O1171" s="45">
        <f>IFERROR(__xludf.DUMMYFUNCTION("""COMPUTED_VALUE"""),45505.0)</f>
        <v>45505</v>
      </c>
      <c r="P1171" s="45">
        <f>IFERROR(__xludf.DUMMYFUNCTION("""COMPUTED_VALUE"""),45547.0)</f>
        <v>45547</v>
      </c>
      <c r="Q1171" s="45"/>
      <c r="R1171" s="45"/>
      <c r="S1171" s="43"/>
      <c r="T1171" s="43"/>
      <c r="U1171" s="43" t="str">
        <f>IFERROR(__xludf.DUMMYFUNCTION("""COMPUTED_VALUE"""),"Equify")</f>
        <v>Equify</v>
      </c>
      <c r="V1171" s="43" t="str">
        <f>IFERROR(__xludf.DUMMYFUNCTION("""COMPUTED_VALUE"""),"SAKARYA")</f>
        <v>SAKARYA</v>
      </c>
      <c r="W1171" s="43" t="str">
        <f>IFERROR(__xludf.DUMMYFUNCTION("""COMPUTED_VALUE"""),"2023-11-23T16:16:26Z")</f>
        <v>2023-11-23T16:16:26Z</v>
      </c>
      <c r="X1171" s="43"/>
      <c r="Y1171" s="43"/>
      <c r="Z1171" s="43"/>
    </row>
    <row r="1172" hidden="1">
      <c r="A1172" s="43" t="str">
        <f>IFERROR(__xludf.DUMMYFUNCTION("""COMPUTED_VALUE"""),"5377513_1292947")</f>
        <v>5377513_1292947</v>
      </c>
      <c r="B1172" s="43" t="str">
        <f>IFERROR(__xludf.DUMMYFUNCTION("""COMPUTED_VALUE"""),"Beyza Ozgumus")</f>
        <v>Beyza Ozgumus</v>
      </c>
      <c r="C1172" s="43" t="str">
        <f>IFERROR(__xludf.DUMMYFUNCTION("""COMPUTED_VALUE"""),"approved")</f>
        <v>approved</v>
      </c>
      <c r="D1172" s="43" t="str">
        <f>IFERROR(__xludf.DUMMYFUNCTION("""COMPUTED_VALUE"""),"No")</f>
        <v>No</v>
      </c>
      <c r="E1172" s="43" t="str">
        <f>IFERROR(__xludf.DUMMYFUNCTION("""COMPUTED_VALUE"""),"p_fc7ebce35b0d8287351a791845b8d2fcc236b355@inbound.aiesec.org")</f>
        <v>p_fc7ebce35b0d8287351a791845b8d2fcc236b355@inbound.aiesec.org</v>
      </c>
      <c r="F1172" s="43">
        <f>IFERROR(__xludf.DUMMYFUNCTION("""COMPUTED_VALUE"""),5.316206325E9)</f>
        <v>5316206325</v>
      </c>
      <c r="G1172" s="43" t="str">
        <f>IFERROR(__xludf.DUMMYFUNCTION("""COMPUTED_VALUE"""),"Turkey")</f>
        <v>Turkey</v>
      </c>
      <c r="H1172" s="43" t="str">
        <f>IFERROR(__xludf.DUMMYFUNCTION("""COMPUTED_VALUE"""),"KOCAELI")</f>
        <v>KOCAELI</v>
      </c>
      <c r="I1172" s="43" t="str">
        <f>IFERROR(__xludf.DUMMYFUNCTION("""COMPUTED_VALUE"""),"India")</f>
        <v>India</v>
      </c>
      <c r="J1172" s="43" t="str">
        <f>IFERROR(__xludf.DUMMYFUNCTION("""COMPUTED_VALUE"""),"JAIPUR ")</f>
        <v>JAIPUR </v>
      </c>
      <c r="K1172" s="44" t="str">
        <f>IFERROR(__xludf.DUMMYFUNCTION("""COMPUTED_VALUE"""),"https://expa.aiesec.org/opportunities/1292947")</f>
        <v>https://expa.aiesec.org/opportunities/1292947</v>
      </c>
      <c r="L1172" s="43" t="str">
        <f>IFERROR(__xludf.DUMMYFUNCTION("""COMPUTED_VALUE"""),"GV")</f>
        <v>GV</v>
      </c>
      <c r="M1172" s="43" t="str">
        <f>IFERROR(__xludf.DUMMYFUNCTION("""COMPUTED_VALUE"""),"short")</f>
        <v>short</v>
      </c>
      <c r="N1172" s="45">
        <f>IFERROR(__xludf.DUMMYFUNCTION("""COMPUTED_VALUE"""),45253.0)</f>
        <v>45253</v>
      </c>
      <c r="O1172" s="45">
        <f>IFERROR(__xludf.DUMMYFUNCTION("""COMPUTED_VALUE"""),45323.0)</f>
        <v>45323</v>
      </c>
      <c r="P1172" s="45">
        <f>IFERROR(__xludf.DUMMYFUNCTION("""COMPUTED_VALUE"""),45365.0)</f>
        <v>45365</v>
      </c>
      <c r="Q1172" s="45"/>
      <c r="R1172" s="45"/>
      <c r="S1172" s="43"/>
      <c r="T1172" s="43"/>
      <c r="U1172" s="43" t="str">
        <f>IFERROR(__xludf.DUMMYFUNCTION("""COMPUTED_VALUE"""),"Skill Up!")</f>
        <v>Skill Up!</v>
      </c>
      <c r="V1172" s="43" t="str">
        <f>IFERROR(__xludf.DUMMYFUNCTION("""COMPUTED_VALUE"""),"KOCAELI")</f>
        <v>KOCAELI</v>
      </c>
      <c r="W1172" s="43" t="str">
        <f>IFERROR(__xludf.DUMMYFUNCTION("""COMPUTED_VALUE"""),"2023-11-22T13:35:37Z")</f>
        <v>2023-11-22T13:35:37Z</v>
      </c>
      <c r="X1172" s="43"/>
      <c r="Y1172" s="43"/>
      <c r="Z1172" s="43"/>
    </row>
    <row r="1173" hidden="1">
      <c r="A1173" s="43" t="str">
        <f>IFERROR(__xludf.DUMMYFUNCTION("""COMPUTED_VALUE"""),"5374556_1299661")</f>
        <v>5374556_1299661</v>
      </c>
      <c r="B1173" s="43" t="str">
        <f>IFERROR(__xludf.DUMMYFUNCTION("""COMPUTED_VALUE"""),"Müge Girgin")</f>
        <v>Müge Girgin</v>
      </c>
      <c r="C1173" s="43" t="str">
        <f>IFERROR(__xludf.DUMMYFUNCTION("""COMPUTED_VALUE"""),"approved")</f>
        <v>approved</v>
      </c>
      <c r="D1173" s="43" t="str">
        <f>IFERROR(__xludf.DUMMYFUNCTION("""COMPUTED_VALUE"""),"No")</f>
        <v>No</v>
      </c>
      <c r="E1173" s="43" t="str">
        <f>IFERROR(__xludf.DUMMYFUNCTION("""COMPUTED_VALUE"""),"p_88f84371d260026e619cd5c2949a46287508c0f5@inbound.aiesec.org")</f>
        <v>p_88f84371d260026e619cd5c2949a46287508c0f5@inbound.aiesec.org</v>
      </c>
      <c r="F1173" s="43">
        <f>IFERROR(__xludf.DUMMYFUNCTION("""COMPUTED_VALUE"""),5.30123229E9)</f>
        <v>5301232290</v>
      </c>
      <c r="G1173" s="43" t="str">
        <f>IFERROR(__xludf.DUMMYFUNCTION("""COMPUTED_VALUE"""),"Turkey")</f>
        <v>Turkey</v>
      </c>
      <c r="H1173" s="43" t="str">
        <f>IFERROR(__xludf.DUMMYFUNCTION("""COMPUTED_VALUE"""),"ISTANBUL ASIA")</f>
        <v>ISTANBUL ASIA</v>
      </c>
      <c r="I1173" s="43" t="str">
        <f>IFERROR(__xludf.DUMMYFUNCTION("""COMPUTED_VALUE"""),"Egypt")</f>
        <v>Egypt</v>
      </c>
      <c r="J1173" s="43" t="str">
        <f>IFERROR(__xludf.DUMMYFUNCTION("""COMPUTED_VALUE"""),"Menofia")</f>
        <v>Menofia</v>
      </c>
      <c r="K1173" s="44" t="str">
        <f>IFERROR(__xludf.DUMMYFUNCTION("""COMPUTED_VALUE"""),"https://expa.aiesec.org/opportunities/1299661")</f>
        <v>https://expa.aiesec.org/opportunities/1299661</v>
      </c>
      <c r="L1173" s="43" t="str">
        <f>IFERROR(__xludf.DUMMYFUNCTION("""COMPUTED_VALUE"""),"GV")</f>
        <v>GV</v>
      </c>
      <c r="M1173" s="43" t="str">
        <f>IFERROR(__xludf.DUMMYFUNCTION("""COMPUTED_VALUE"""),"short")</f>
        <v>short</v>
      </c>
      <c r="N1173" s="45">
        <f>IFERROR(__xludf.DUMMYFUNCTION("""COMPUTED_VALUE"""),45253.0)</f>
        <v>45253</v>
      </c>
      <c r="O1173" s="45">
        <f>IFERROR(__xludf.DUMMYFUNCTION("""COMPUTED_VALUE"""),45458.0)</f>
        <v>45458</v>
      </c>
      <c r="P1173" s="45">
        <f>IFERROR(__xludf.DUMMYFUNCTION("""COMPUTED_VALUE"""),45500.0)</f>
        <v>45500</v>
      </c>
      <c r="Q1173" s="45"/>
      <c r="R1173" s="45"/>
      <c r="S1173" s="43"/>
      <c r="T1173" s="43"/>
      <c r="U1173" s="43" t="str">
        <f>IFERROR(__xludf.DUMMYFUNCTION("""COMPUTED_VALUE"""),"On The Map")</f>
        <v>On The Map</v>
      </c>
      <c r="V1173" s="43" t="str">
        <f>IFERROR(__xludf.DUMMYFUNCTION("""COMPUTED_VALUE"""),"ISTANBUL - BAKIRKOY")</f>
        <v>ISTANBUL - BAKIRKOY</v>
      </c>
      <c r="W1173" s="43" t="str">
        <f>IFERROR(__xludf.DUMMYFUNCTION("""COMPUTED_VALUE"""),"2023-11-17T16:39:09Z")</f>
        <v>2023-11-17T16:39:09Z</v>
      </c>
      <c r="X1173" s="43"/>
      <c r="Y1173" s="43"/>
      <c r="Z1173" s="43"/>
    </row>
    <row r="1174" hidden="1">
      <c r="A1174" s="43" t="str">
        <f>IFERROR(__xludf.DUMMYFUNCTION("""COMPUTED_VALUE"""),"5378557_1289516")</f>
        <v>5378557_1289516</v>
      </c>
      <c r="B1174" s="43" t="str">
        <f>IFERROR(__xludf.DUMMYFUNCTION("""COMPUTED_VALUE"""),"Halime Gürbüz")</f>
        <v>Halime Gürbüz</v>
      </c>
      <c r="C1174" s="43" t="str">
        <f>IFERROR(__xludf.DUMMYFUNCTION("""COMPUTED_VALUE"""),"approved")</f>
        <v>approved</v>
      </c>
      <c r="D1174" s="43" t="str">
        <f>IFERROR(__xludf.DUMMYFUNCTION("""COMPUTED_VALUE"""),"No")</f>
        <v>No</v>
      </c>
      <c r="E1174" s="43" t="str">
        <f>IFERROR(__xludf.DUMMYFUNCTION("""COMPUTED_VALUE"""),"p_42021dd6fd1502bdf5e57a7046a781ca906f61d5@inbound.aiesec.org")</f>
        <v>p_42021dd6fd1502bdf5e57a7046a781ca906f61d5@inbound.aiesec.org</v>
      </c>
      <c r="F1174" s="43">
        <f>IFERROR(__xludf.DUMMYFUNCTION("""COMPUTED_VALUE"""),5.511741203E9)</f>
        <v>5511741203</v>
      </c>
      <c r="G1174" s="43" t="str">
        <f>IFERROR(__xludf.DUMMYFUNCTION("""COMPUTED_VALUE"""),"Turkey")</f>
        <v>Turkey</v>
      </c>
      <c r="H1174" s="43" t="str">
        <f>IFERROR(__xludf.DUMMYFUNCTION("""COMPUTED_VALUE"""),"SAKARYA")</f>
        <v>SAKARYA</v>
      </c>
      <c r="I1174" s="43" t="str">
        <f>IFERROR(__xludf.DUMMYFUNCTION("""COMPUTED_VALUE"""),"Egypt")</f>
        <v>Egypt</v>
      </c>
      <c r="J1174" s="43" t="str">
        <f>IFERROR(__xludf.DUMMYFUNCTION("""COMPUTED_VALUE"""),"GUC")</f>
        <v>GUC</v>
      </c>
      <c r="K1174" s="44" t="str">
        <f>IFERROR(__xludf.DUMMYFUNCTION("""COMPUTED_VALUE"""),"https://expa.aiesec.org/opportunities/1289516")</f>
        <v>https://expa.aiesec.org/opportunities/1289516</v>
      </c>
      <c r="L1174" s="43" t="str">
        <f>IFERROR(__xludf.DUMMYFUNCTION("""COMPUTED_VALUE"""),"GV")</f>
        <v>GV</v>
      </c>
      <c r="M1174" s="43" t="str">
        <f>IFERROR(__xludf.DUMMYFUNCTION("""COMPUTED_VALUE"""),"short")</f>
        <v>short</v>
      </c>
      <c r="N1174" s="45">
        <f>IFERROR(__xludf.DUMMYFUNCTION("""COMPUTED_VALUE"""),45253.0)</f>
        <v>45253</v>
      </c>
      <c r="O1174" s="45">
        <f>IFERROR(__xludf.DUMMYFUNCTION("""COMPUTED_VALUE"""),45313.0)</f>
        <v>45313</v>
      </c>
      <c r="P1174" s="45">
        <f>IFERROR(__xludf.DUMMYFUNCTION("""COMPUTED_VALUE"""),45355.0)</f>
        <v>45355</v>
      </c>
      <c r="Q1174" s="45"/>
      <c r="R1174" s="45"/>
      <c r="S1174" s="43"/>
      <c r="T1174" s="43"/>
      <c r="U1174" s="43" t="str">
        <f>IFERROR(__xludf.DUMMYFUNCTION("""COMPUTED_VALUE"""),"Global Classroom")</f>
        <v>Global Classroom</v>
      </c>
      <c r="V1174" s="43" t="str">
        <f>IFERROR(__xludf.DUMMYFUNCTION("""COMPUTED_VALUE"""),"SAKARYA")</f>
        <v>SAKARYA</v>
      </c>
      <c r="W1174" s="43" t="str">
        <f>IFERROR(__xludf.DUMMYFUNCTION("""COMPUTED_VALUE"""),"2023-11-23T19:31:46Z")</f>
        <v>2023-11-23T19:31:46Z</v>
      </c>
      <c r="X1174" s="43"/>
      <c r="Y1174" s="43"/>
      <c r="Z1174" s="43"/>
    </row>
    <row r="1175" hidden="1">
      <c r="A1175" s="43" t="str">
        <f>IFERROR(__xludf.DUMMYFUNCTION("""COMPUTED_VALUE"""),"5375506_1289850")</f>
        <v>5375506_1289850</v>
      </c>
      <c r="B1175" s="43" t="str">
        <f>IFERROR(__xludf.DUMMYFUNCTION("""COMPUTED_VALUE"""),"Azime Aydoğan")</f>
        <v>Azime Aydoğan</v>
      </c>
      <c r="C1175" s="43" t="str">
        <f>IFERROR(__xludf.DUMMYFUNCTION("""COMPUTED_VALUE"""),"approved")</f>
        <v>approved</v>
      </c>
      <c r="D1175" s="43" t="str">
        <f>IFERROR(__xludf.DUMMYFUNCTION("""COMPUTED_VALUE"""),"No")</f>
        <v>No</v>
      </c>
      <c r="E1175" s="43" t="str">
        <f>IFERROR(__xludf.DUMMYFUNCTION("""COMPUTED_VALUE"""),"p_b282fb7432dff6a3860ddadb800b18008b408263@inbound.aiesec.org")</f>
        <v>p_b282fb7432dff6a3860ddadb800b18008b408263@inbound.aiesec.org</v>
      </c>
      <c r="F1175" s="43">
        <f>IFERROR(__xludf.DUMMYFUNCTION("""COMPUTED_VALUE"""),5.535425861E9)</f>
        <v>5535425861</v>
      </c>
      <c r="G1175" s="43" t="str">
        <f>IFERROR(__xludf.DUMMYFUNCTION("""COMPUTED_VALUE"""),"Turkey")</f>
        <v>Turkey</v>
      </c>
      <c r="H1175" s="43" t="str">
        <f>IFERROR(__xludf.DUMMYFUNCTION("""COMPUTED_VALUE"""),"ADANA")</f>
        <v>ADANA</v>
      </c>
      <c r="I1175" s="43" t="str">
        <f>IFERROR(__xludf.DUMMYFUNCTION("""COMPUTED_VALUE"""),"India")</f>
        <v>India</v>
      </c>
      <c r="J1175" s="43" t="str">
        <f>IFERROR(__xludf.DUMMYFUNCTION("""COMPUTED_VALUE"""),"Mumbai")</f>
        <v>Mumbai</v>
      </c>
      <c r="K1175" s="44" t="str">
        <f>IFERROR(__xludf.DUMMYFUNCTION("""COMPUTED_VALUE"""),"https://expa.aiesec.org/opportunities/1289850")</f>
        <v>https://expa.aiesec.org/opportunities/1289850</v>
      </c>
      <c r="L1175" s="43" t="str">
        <f>IFERROR(__xludf.DUMMYFUNCTION("""COMPUTED_VALUE"""),"GV")</f>
        <v>GV</v>
      </c>
      <c r="M1175" s="43" t="str">
        <f>IFERROR(__xludf.DUMMYFUNCTION("""COMPUTED_VALUE"""),"short")</f>
        <v>short</v>
      </c>
      <c r="N1175" s="45">
        <f>IFERROR(__xludf.DUMMYFUNCTION("""COMPUTED_VALUE"""),45253.0)</f>
        <v>45253</v>
      </c>
      <c r="O1175" s="45">
        <f>IFERROR(__xludf.DUMMYFUNCTION("""COMPUTED_VALUE"""),45383.0)</f>
        <v>45383</v>
      </c>
      <c r="P1175" s="45">
        <f>IFERROR(__xludf.DUMMYFUNCTION("""COMPUTED_VALUE"""),45425.0)</f>
        <v>45425</v>
      </c>
      <c r="Q1175" s="45"/>
      <c r="R1175" s="45"/>
      <c r="S1175" s="43"/>
      <c r="T1175" s="43"/>
      <c r="U1175" s="43" t="str">
        <f>IFERROR(__xludf.DUMMYFUNCTION("""COMPUTED_VALUE"""),"Global Classroom")</f>
        <v>Global Classroom</v>
      </c>
      <c r="V1175" s="43" t="str">
        <f>IFERROR(__xludf.DUMMYFUNCTION("""COMPUTED_VALUE"""),"MERSIN")</f>
        <v>MERSIN</v>
      </c>
      <c r="W1175" s="43" t="str">
        <f>IFERROR(__xludf.DUMMYFUNCTION("""COMPUTED_VALUE"""),"2023-11-19T16:36:27Z")</f>
        <v>2023-11-19T16:36:27Z</v>
      </c>
      <c r="X1175" s="43"/>
      <c r="Y1175" s="43"/>
      <c r="Z1175" s="43"/>
    </row>
    <row r="1176" hidden="1">
      <c r="A1176" s="43" t="str">
        <f>IFERROR(__xludf.DUMMYFUNCTION("""COMPUTED_VALUE"""),"5377585_1299331")</f>
        <v>5377585_1299331</v>
      </c>
      <c r="B1176" s="43" t="str">
        <f>IFERROR(__xludf.DUMMYFUNCTION("""COMPUTED_VALUE"""),"Elif Caglayan")</f>
        <v>Elif Caglayan</v>
      </c>
      <c r="C1176" s="43" t="str">
        <f>IFERROR(__xludf.DUMMYFUNCTION("""COMPUTED_VALUE"""),"approved")</f>
        <v>approved</v>
      </c>
      <c r="D1176" s="43" t="str">
        <f>IFERROR(__xludf.DUMMYFUNCTION("""COMPUTED_VALUE"""),"No")</f>
        <v>No</v>
      </c>
      <c r="E1176" s="43" t="str">
        <f>IFERROR(__xludf.DUMMYFUNCTION("""COMPUTED_VALUE"""),"p_b8520bdb027cd5f6d178ae52b40b4bee3b2964f2@inbound.aiesec.org")</f>
        <v>p_b8520bdb027cd5f6d178ae52b40b4bee3b2964f2@inbound.aiesec.org</v>
      </c>
      <c r="F1176" s="43"/>
      <c r="G1176" s="43" t="str">
        <f>IFERROR(__xludf.DUMMYFUNCTION("""COMPUTED_VALUE"""),"Turkey")</f>
        <v>Turkey</v>
      </c>
      <c r="H1176" s="43" t="str">
        <f>IFERROR(__xludf.DUMMYFUNCTION("""COMPUTED_VALUE"""),"ISTANBUL")</f>
        <v>ISTANBUL</v>
      </c>
      <c r="I1176" s="43" t="str">
        <f>IFERROR(__xludf.DUMMYFUNCTION("""COMPUTED_VALUE"""),"Tunisia")</f>
        <v>Tunisia</v>
      </c>
      <c r="J1176" s="43" t="str">
        <f>IFERROR(__xludf.DUMMYFUNCTION("""COMPUTED_VALUE"""),"SFAX")</f>
        <v>SFAX</v>
      </c>
      <c r="K1176" s="44" t="str">
        <f>IFERROR(__xludf.DUMMYFUNCTION("""COMPUTED_VALUE"""),"https://expa.aiesec.org/opportunities/1299331")</f>
        <v>https://expa.aiesec.org/opportunities/1299331</v>
      </c>
      <c r="L1176" s="43" t="str">
        <f>IFERROR(__xludf.DUMMYFUNCTION("""COMPUTED_VALUE"""),"GV")</f>
        <v>GV</v>
      </c>
      <c r="M1176" s="43" t="str">
        <f>IFERROR(__xludf.DUMMYFUNCTION("""COMPUTED_VALUE"""),"short")</f>
        <v>short</v>
      </c>
      <c r="N1176" s="45">
        <f>IFERROR(__xludf.DUMMYFUNCTION("""COMPUTED_VALUE"""),45253.0)</f>
        <v>45253</v>
      </c>
      <c r="O1176" s="45">
        <f>IFERROR(__xludf.DUMMYFUNCTION("""COMPUTED_VALUE"""),45467.0)</f>
        <v>45467</v>
      </c>
      <c r="P1176" s="45">
        <f>IFERROR(__xludf.DUMMYFUNCTION("""COMPUTED_VALUE"""),45509.0)</f>
        <v>45509</v>
      </c>
      <c r="Q1176" s="45"/>
      <c r="R1176" s="45"/>
      <c r="S1176" s="43"/>
      <c r="T1176" s="43"/>
      <c r="U1176" s="43" t="str">
        <f>IFERROR(__xludf.DUMMYFUNCTION("""COMPUTED_VALUE"""),"Fingerprint")</f>
        <v>Fingerprint</v>
      </c>
      <c r="V1176" s="43" t="str">
        <f>IFERROR(__xludf.DUMMYFUNCTION("""COMPUTED_VALUE"""),"-")</f>
        <v>-</v>
      </c>
      <c r="W1176" s="43" t="str">
        <f>IFERROR(__xludf.DUMMYFUNCTION("""COMPUTED_VALUE"""),"2023-11-22T15:11:23Z")</f>
        <v>2023-11-22T15:11:23Z</v>
      </c>
      <c r="X1176" s="43"/>
      <c r="Y1176" s="43"/>
      <c r="Z1176" s="43"/>
    </row>
    <row r="1177" hidden="1">
      <c r="A1177" s="43" t="str">
        <f>IFERROR(__xludf.DUMMYFUNCTION("""COMPUTED_VALUE"""),"5374313_1301583")</f>
        <v>5374313_1301583</v>
      </c>
      <c r="B1177" s="43" t="str">
        <f>IFERROR(__xludf.DUMMYFUNCTION("""COMPUTED_VALUE"""),"Mehmet Aybek")</f>
        <v>Mehmet Aybek</v>
      </c>
      <c r="C1177" s="43" t="str">
        <f>IFERROR(__xludf.DUMMYFUNCTION("""COMPUTED_VALUE"""),"approved")</f>
        <v>approved</v>
      </c>
      <c r="D1177" s="43" t="str">
        <f>IFERROR(__xludf.DUMMYFUNCTION("""COMPUTED_VALUE"""),"No")</f>
        <v>No</v>
      </c>
      <c r="E1177" s="43" t="str">
        <f>IFERROR(__xludf.DUMMYFUNCTION("""COMPUTED_VALUE"""),"p_9d552fd330a343522464d8a5dd574a66e70f82a4@inbound.aiesec.org")</f>
        <v>p_9d552fd330a343522464d8a5dd574a66e70f82a4@inbound.aiesec.org</v>
      </c>
      <c r="F1177" s="43">
        <f>IFERROR(__xludf.DUMMYFUNCTION("""COMPUTED_VALUE"""),5.3073697E9)</f>
        <v>5307369700</v>
      </c>
      <c r="G1177" s="43" t="str">
        <f>IFERROR(__xludf.DUMMYFUNCTION("""COMPUTED_VALUE"""),"Turkey")</f>
        <v>Turkey</v>
      </c>
      <c r="H1177" s="43" t="str">
        <f>IFERROR(__xludf.DUMMYFUNCTION("""COMPUTED_VALUE"""),"SAKARYA")</f>
        <v>SAKARYA</v>
      </c>
      <c r="I1177" s="43" t="str">
        <f>IFERROR(__xludf.DUMMYFUNCTION("""COMPUTED_VALUE"""),"Romania")</f>
        <v>Romania</v>
      </c>
      <c r="J1177" s="43" t="str">
        <f>IFERROR(__xludf.DUMMYFUNCTION("""COMPUTED_VALUE"""),"Craiova")</f>
        <v>Craiova</v>
      </c>
      <c r="K1177" s="44" t="str">
        <f>IFERROR(__xludf.DUMMYFUNCTION("""COMPUTED_VALUE"""),"https://expa.aiesec.org/opportunities/1301583")</f>
        <v>https://expa.aiesec.org/opportunities/1301583</v>
      </c>
      <c r="L1177" s="43" t="str">
        <f>IFERROR(__xludf.DUMMYFUNCTION("""COMPUTED_VALUE"""),"GV")</f>
        <v>GV</v>
      </c>
      <c r="M1177" s="43" t="str">
        <f>IFERROR(__xludf.DUMMYFUNCTION("""COMPUTED_VALUE"""),"short")</f>
        <v>short</v>
      </c>
      <c r="N1177" s="45">
        <f>IFERROR(__xludf.DUMMYFUNCTION("""COMPUTED_VALUE"""),45253.0)</f>
        <v>45253</v>
      </c>
      <c r="O1177" s="45">
        <f>IFERROR(__xludf.DUMMYFUNCTION("""COMPUTED_VALUE"""),45306.0)</f>
        <v>45306</v>
      </c>
      <c r="P1177" s="45">
        <f>IFERROR(__xludf.DUMMYFUNCTION("""COMPUTED_VALUE"""),45348.0)</f>
        <v>45348</v>
      </c>
      <c r="Q1177" s="45"/>
      <c r="R1177" s="45"/>
      <c r="S1177" s="43"/>
      <c r="T1177" s="43"/>
      <c r="U1177" s="43" t="str">
        <f>IFERROR(__xludf.DUMMYFUNCTION("""COMPUTED_VALUE"""),"Global Classroom")</f>
        <v>Global Classroom</v>
      </c>
      <c r="V1177" s="43" t="str">
        <f>IFERROR(__xludf.DUMMYFUNCTION("""COMPUTED_VALUE"""),"SAKARYA")</f>
        <v>SAKARYA</v>
      </c>
      <c r="W1177" s="43" t="str">
        <f>IFERROR(__xludf.DUMMYFUNCTION("""COMPUTED_VALUE"""),"2023-11-17T10:10:46Z")</f>
        <v>2023-11-17T10:10:46Z</v>
      </c>
      <c r="X1177" s="43"/>
      <c r="Y1177" s="43"/>
      <c r="Z1177" s="43"/>
    </row>
    <row r="1178" hidden="1">
      <c r="A1178" s="43" t="str">
        <f>IFERROR(__xludf.DUMMYFUNCTION("""COMPUTED_VALUE"""),"5375953_1299956")</f>
        <v>5375953_1299956</v>
      </c>
      <c r="B1178" s="43" t="str">
        <f>IFERROR(__xludf.DUMMYFUNCTION("""COMPUTED_VALUE"""),"Ezgi Erten")</f>
        <v>Ezgi Erten</v>
      </c>
      <c r="C1178" s="43" t="str">
        <f>IFERROR(__xludf.DUMMYFUNCTION("""COMPUTED_VALUE"""),"realized")</f>
        <v>realized</v>
      </c>
      <c r="D1178" s="43" t="str">
        <f>IFERROR(__xludf.DUMMYFUNCTION("""COMPUTED_VALUE"""),"No")</f>
        <v>No</v>
      </c>
      <c r="E1178" s="43" t="str">
        <f>IFERROR(__xludf.DUMMYFUNCTION("""COMPUTED_VALUE"""),"p_7dddc9605820ed23293fde6134a111d01cd0bcc6@inbound.aiesec.org")</f>
        <v>p_7dddc9605820ed23293fde6134a111d01cd0bcc6@inbound.aiesec.org</v>
      </c>
      <c r="F1178" s="43">
        <f>IFERROR(__xludf.DUMMYFUNCTION("""COMPUTED_VALUE"""),5.426457237E9)</f>
        <v>5426457237</v>
      </c>
      <c r="G1178" s="43" t="str">
        <f>IFERROR(__xludf.DUMMYFUNCTION("""COMPUTED_VALUE"""),"Turkey")</f>
        <v>Turkey</v>
      </c>
      <c r="H1178" s="43" t="str">
        <f>IFERROR(__xludf.DUMMYFUNCTION("""COMPUTED_VALUE"""),"ANTALYA")</f>
        <v>ANTALYA</v>
      </c>
      <c r="I1178" s="43" t="str">
        <f>IFERROR(__xludf.DUMMYFUNCTION("""COMPUTED_VALUE"""),"Romania")</f>
        <v>Romania</v>
      </c>
      <c r="J1178" s="43" t="str">
        <f>IFERROR(__xludf.DUMMYFUNCTION("""COMPUTED_VALUE"""),"Cluj-Napoca")</f>
        <v>Cluj-Napoca</v>
      </c>
      <c r="K1178" s="44" t="str">
        <f>IFERROR(__xludf.DUMMYFUNCTION("""COMPUTED_VALUE"""),"https://expa.aiesec.org/opportunities/1299956")</f>
        <v>https://expa.aiesec.org/opportunities/1299956</v>
      </c>
      <c r="L1178" s="43" t="str">
        <f>IFERROR(__xludf.DUMMYFUNCTION("""COMPUTED_VALUE"""),"GV")</f>
        <v>GV</v>
      </c>
      <c r="M1178" s="43" t="str">
        <f>IFERROR(__xludf.DUMMYFUNCTION("""COMPUTED_VALUE"""),"short")</f>
        <v>short</v>
      </c>
      <c r="N1178" s="45">
        <f>IFERROR(__xludf.DUMMYFUNCTION("""COMPUTED_VALUE"""),45253.0)</f>
        <v>45253</v>
      </c>
      <c r="O1178" s="45">
        <f>IFERROR(__xludf.DUMMYFUNCTION("""COMPUTED_VALUE"""),45299.0)</f>
        <v>45299</v>
      </c>
      <c r="P1178" s="45">
        <f>IFERROR(__xludf.DUMMYFUNCTION("""COMPUTED_VALUE"""),45341.0)</f>
        <v>45341</v>
      </c>
      <c r="Q1178" s="45">
        <f>IFERROR(__xludf.DUMMYFUNCTION("""COMPUTED_VALUE"""),45301.0)</f>
        <v>45301</v>
      </c>
      <c r="R1178" s="45">
        <f>IFERROR(__xludf.DUMMYFUNCTION("""COMPUTED_VALUE"""),45341.0)</f>
        <v>45341</v>
      </c>
      <c r="S1178" s="43"/>
      <c r="T1178" s="43"/>
      <c r="U1178" s="43" t="str">
        <f>IFERROR(__xludf.DUMMYFUNCTION("""COMPUTED_VALUE"""),"Eat 4 Change")</f>
        <v>Eat 4 Change</v>
      </c>
      <c r="V1178" s="43" t="str">
        <f>IFERROR(__xludf.DUMMYFUNCTION("""COMPUTED_VALUE"""),"ANTALYA")</f>
        <v>ANTALYA</v>
      </c>
      <c r="W1178" s="43" t="str">
        <f>IFERROR(__xludf.DUMMYFUNCTION("""COMPUTED_VALUE"""),"2023-11-20T12:46:33Z")</f>
        <v>2023-11-20T12:46:33Z</v>
      </c>
      <c r="X1178" s="43"/>
      <c r="Y1178" s="43"/>
      <c r="Z1178" s="43"/>
    </row>
    <row r="1179" hidden="1">
      <c r="A1179" s="43" t="str">
        <f>IFERROR(__xludf.DUMMYFUNCTION("""COMPUTED_VALUE"""),"5377670_1296244")</f>
        <v>5377670_1296244</v>
      </c>
      <c r="B1179" s="43" t="str">
        <f>IFERROR(__xludf.DUMMYFUNCTION("""COMPUTED_VALUE"""),"Irmak Samsunlu")</f>
        <v>Irmak Samsunlu</v>
      </c>
      <c r="C1179" s="43" t="str">
        <f>IFERROR(__xludf.DUMMYFUNCTION("""COMPUTED_VALUE"""),"approved")</f>
        <v>approved</v>
      </c>
      <c r="D1179" s="43" t="str">
        <f>IFERROR(__xludf.DUMMYFUNCTION("""COMPUTED_VALUE"""),"No")</f>
        <v>No</v>
      </c>
      <c r="E1179" s="43" t="str">
        <f>IFERROR(__xludf.DUMMYFUNCTION("""COMPUTED_VALUE"""),"p_4607c9198c3cad1483420b26348981702ff89678@inbound.aiesec.org")</f>
        <v>p_4607c9198c3cad1483420b26348981702ff89678@inbound.aiesec.org</v>
      </c>
      <c r="F1179" s="43">
        <f>IFERROR(__xludf.DUMMYFUNCTION("""COMPUTED_VALUE"""),5.324562847E9)</f>
        <v>5324562847</v>
      </c>
      <c r="G1179" s="43" t="str">
        <f>IFERROR(__xludf.DUMMYFUNCTION("""COMPUTED_VALUE"""),"Turkey")</f>
        <v>Turkey</v>
      </c>
      <c r="H1179" s="43" t="str">
        <f>IFERROR(__xludf.DUMMYFUNCTION("""COMPUTED_VALUE"""),"ISTANBUL")</f>
        <v>ISTANBUL</v>
      </c>
      <c r="I1179" s="43" t="str">
        <f>IFERROR(__xludf.DUMMYFUNCTION("""COMPUTED_VALUE"""),"Egypt")</f>
        <v>Egypt</v>
      </c>
      <c r="J1179" s="43" t="str">
        <f>IFERROR(__xludf.DUMMYFUNCTION("""COMPUTED_VALUE"""),"MUST")</f>
        <v>MUST</v>
      </c>
      <c r="K1179" s="44" t="str">
        <f>IFERROR(__xludf.DUMMYFUNCTION("""COMPUTED_VALUE"""),"https://expa.aiesec.org/opportunities/1296244")</f>
        <v>https://expa.aiesec.org/opportunities/1296244</v>
      </c>
      <c r="L1179" s="43" t="str">
        <f>IFERROR(__xludf.DUMMYFUNCTION("""COMPUTED_VALUE"""),"GV")</f>
        <v>GV</v>
      </c>
      <c r="M1179" s="43" t="str">
        <f>IFERROR(__xludf.DUMMYFUNCTION("""COMPUTED_VALUE"""),"short")</f>
        <v>short</v>
      </c>
      <c r="N1179" s="45">
        <f>IFERROR(__xludf.DUMMYFUNCTION("""COMPUTED_VALUE"""),45254.0)</f>
        <v>45254</v>
      </c>
      <c r="O1179" s="45">
        <f>IFERROR(__xludf.DUMMYFUNCTION("""COMPUTED_VALUE"""),45474.0)</f>
        <v>45474</v>
      </c>
      <c r="P1179" s="45">
        <f>IFERROR(__xludf.DUMMYFUNCTION("""COMPUTED_VALUE"""),45519.0)</f>
        <v>45519</v>
      </c>
      <c r="Q1179" s="45"/>
      <c r="R1179" s="45"/>
      <c r="S1179" s="43"/>
      <c r="T1179" s="43"/>
      <c r="U1179" s="43" t="str">
        <f>IFERROR(__xludf.DUMMYFUNCTION("""COMPUTED_VALUE"""),"Happy Bus")</f>
        <v>Happy Bus</v>
      </c>
      <c r="V1179" s="43" t="str">
        <f>IFERROR(__xludf.DUMMYFUNCTION("""COMPUTED_VALUE"""),"ISTANBUL ASIA")</f>
        <v>ISTANBUL ASIA</v>
      </c>
      <c r="W1179" s="43" t="str">
        <f>IFERROR(__xludf.DUMMYFUNCTION("""COMPUTED_VALUE"""),"2023-11-22T17:06:15Z")</f>
        <v>2023-11-22T17:06:15Z</v>
      </c>
      <c r="X1179" s="43"/>
      <c r="Y1179" s="43"/>
      <c r="Z1179" s="43"/>
    </row>
    <row r="1180" hidden="1">
      <c r="A1180" s="43" t="str">
        <f>IFERROR(__xludf.DUMMYFUNCTION("""COMPUTED_VALUE"""),"5378412_1288609")</f>
        <v>5378412_1288609</v>
      </c>
      <c r="B1180" s="43" t="str">
        <f>IFERROR(__xludf.DUMMYFUNCTION("""COMPUTED_VALUE"""),"Sıla Sövek")</f>
        <v>Sıla Sövek</v>
      </c>
      <c r="C1180" s="43" t="str">
        <f>IFERROR(__xludf.DUMMYFUNCTION("""COMPUTED_VALUE"""),"approved")</f>
        <v>approved</v>
      </c>
      <c r="D1180" s="43" t="str">
        <f>IFERROR(__xludf.DUMMYFUNCTION("""COMPUTED_VALUE"""),"No")</f>
        <v>No</v>
      </c>
      <c r="E1180" s="43" t="str">
        <f>IFERROR(__xludf.DUMMYFUNCTION("""COMPUTED_VALUE"""),"p_cd7eaacaeb295b3cd69e975034cef4b41d470cd3@inbound.aiesec.org")</f>
        <v>p_cd7eaacaeb295b3cd69e975034cef4b41d470cd3@inbound.aiesec.org</v>
      </c>
      <c r="F1180" s="43"/>
      <c r="G1180" s="43" t="str">
        <f>IFERROR(__xludf.DUMMYFUNCTION("""COMPUTED_VALUE"""),"Turkey")</f>
        <v>Turkey</v>
      </c>
      <c r="H1180" s="43" t="str">
        <f>IFERROR(__xludf.DUMMYFUNCTION("""COMPUTED_VALUE"""),"GAZIANTEP")</f>
        <v>GAZIANTEP</v>
      </c>
      <c r="I1180" s="43" t="str">
        <f>IFERROR(__xludf.DUMMYFUNCTION("""COMPUTED_VALUE"""),"Egypt")</f>
        <v>Egypt</v>
      </c>
      <c r="J1180" s="43" t="str">
        <f>IFERROR(__xludf.DUMMYFUNCTION("""COMPUTED_VALUE"""),"Tanta")</f>
        <v>Tanta</v>
      </c>
      <c r="K1180" s="44" t="str">
        <f>IFERROR(__xludf.DUMMYFUNCTION("""COMPUTED_VALUE"""),"https://expa.aiesec.org/opportunities/1288609")</f>
        <v>https://expa.aiesec.org/opportunities/1288609</v>
      </c>
      <c r="L1180" s="43" t="str">
        <f>IFERROR(__xludf.DUMMYFUNCTION("""COMPUTED_VALUE"""),"GV")</f>
        <v>GV</v>
      </c>
      <c r="M1180" s="43" t="str">
        <f>IFERROR(__xludf.DUMMYFUNCTION("""COMPUTED_VALUE"""),"short")</f>
        <v>short</v>
      </c>
      <c r="N1180" s="45">
        <f>IFERROR(__xludf.DUMMYFUNCTION("""COMPUTED_VALUE"""),45254.0)</f>
        <v>45254</v>
      </c>
      <c r="O1180" s="45">
        <f>IFERROR(__xludf.DUMMYFUNCTION("""COMPUTED_VALUE"""),45474.0)</f>
        <v>45474</v>
      </c>
      <c r="P1180" s="45">
        <f>IFERROR(__xludf.DUMMYFUNCTION("""COMPUTED_VALUE"""),45516.0)</f>
        <v>45516</v>
      </c>
      <c r="Q1180" s="45"/>
      <c r="R1180" s="45"/>
      <c r="S1180" s="43"/>
      <c r="T1180" s="43"/>
      <c r="U1180" s="43" t="str">
        <f>IFERROR(__xludf.DUMMYFUNCTION("""COMPUTED_VALUE"""),"On The Map")</f>
        <v>On The Map</v>
      </c>
      <c r="V1180" s="43" t="str">
        <f>IFERROR(__xludf.DUMMYFUNCTION("""COMPUTED_VALUE"""),"-")</f>
        <v>-</v>
      </c>
      <c r="W1180" s="43" t="str">
        <f>IFERROR(__xludf.DUMMYFUNCTION("""COMPUTED_VALUE"""),"2023-11-23T15:37:07Z")</f>
        <v>2023-11-23T15:37:07Z</v>
      </c>
      <c r="X1180" s="43"/>
      <c r="Y1180" s="43"/>
      <c r="Z1180" s="43"/>
    </row>
    <row r="1181" hidden="1">
      <c r="A1181" s="43" t="str">
        <f>IFERROR(__xludf.DUMMYFUNCTION("""COMPUTED_VALUE"""),"5376026_1288609")</f>
        <v>5376026_1288609</v>
      </c>
      <c r="B1181" s="43" t="str">
        <f>IFERROR(__xludf.DUMMYFUNCTION("""COMPUTED_VALUE"""),"Cudi Can Tayşun")</f>
        <v>Cudi Can Tayşun</v>
      </c>
      <c r="C1181" s="43" t="str">
        <f>IFERROR(__xludf.DUMMYFUNCTION("""COMPUTED_VALUE"""),"approved")</f>
        <v>approved</v>
      </c>
      <c r="D1181" s="43" t="str">
        <f>IFERROR(__xludf.DUMMYFUNCTION("""COMPUTED_VALUE"""),"No")</f>
        <v>No</v>
      </c>
      <c r="E1181" s="43" t="str">
        <f>IFERROR(__xludf.DUMMYFUNCTION("""COMPUTED_VALUE"""),"p_bba613f76751e4cbcf09a00902eb32e2ec4b467c@inbound.aiesec.org")</f>
        <v>p_bba613f76751e4cbcf09a00902eb32e2ec4b467c@inbound.aiesec.org</v>
      </c>
      <c r="F1181" s="43">
        <f>IFERROR(__xludf.DUMMYFUNCTION("""COMPUTED_VALUE"""),5.462180647E9)</f>
        <v>5462180647</v>
      </c>
      <c r="G1181" s="43" t="str">
        <f>IFERROR(__xludf.DUMMYFUNCTION("""COMPUTED_VALUE"""),"Turkey")</f>
        <v>Turkey</v>
      </c>
      <c r="H1181" s="43" t="str">
        <f>IFERROR(__xludf.DUMMYFUNCTION("""COMPUTED_VALUE"""),"GAZIANTEP")</f>
        <v>GAZIANTEP</v>
      </c>
      <c r="I1181" s="43" t="str">
        <f>IFERROR(__xludf.DUMMYFUNCTION("""COMPUTED_VALUE"""),"Egypt")</f>
        <v>Egypt</v>
      </c>
      <c r="J1181" s="43" t="str">
        <f>IFERROR(__xludf.DUMMYFUNCTION("""COMPUTED_VALUE"""),"Tanta")</f>
        <v>Tanta</v>
      </c>
      <c r="K1181" s="44" t="str">
        <f>IFERROR(__xludf.DUMMYFUNCTION("""COMPUTED_VALUE"""),"https://expa.aiesec.org/opportunities/1288609")</f>
        <v>https://expa.aiesec.org/opportunities/1288609</v>
      </c>
      <c r="L1181" s="43" t="str">
        <f>IFERROR(__xludf.DUMMYFUNCTION("""COMPUTED_VALUE"""),"GV")</f>
        <v>GV</v>
      </c>
      <c r="M1181" s="43" t="str">
        <f>IFERROR(__xludf.DUMMYFUNCTION("""COMPUTED_VALUE"""),"short")</f>
        <v>short</v>
      </c>
      <c r="N1181" s="45">
        <f>IFERROR(__xludf.DUMMYFUNCTION("""COMPUTED_VALUE"""),45254.0)</f>
        <v>45254</v>
      </c>
      <c r="O1181" s="45">
        <f>IFERROR(__xludf.DUMMYFUNCTION("""COMPUTED_VALUE"""),45474.0)</f>
        <v>45474</v>
      </c>
      <c r="P1181" s="45">
        <f>IFERROR(__xludf.DUMMYFUNCTION("""COMPUTED_VALUE"""),45516.0)</f>
        <v>45516</v>
      </c>
      <c r="Q1181" s="45"/>
      <c r="R1181" s="45"/>
      <c r="S1181" s="43"/>
      <c r="T1181" s="43"/>
      <c r="U1181" s="43" t="str">
        <f>IFERROR(__xludf.DUMMYFUNCTION("""COMPUTED_VALUE"""),"On The Map")</f>
        <v>On The Map</v>
      </c>
      <c r="V1181" s="43" t="str">
        <f>IFERROR(__xludf.DUMMYFUNCTION("""COMPUTED_VALUE"""),"GAZIANTEP")</f>
        <v>GAZIANTEP</v>
      </c>
      <c r="W1181" s="43" t="str">
        <f>IFERROR(__xludf.DUMMYFUNCTION("""COMPUTED_VALUE"""),"2023-11-20T13:42:00Z")</f>
        <v>2023-11-20T13:42:00Z</v>
      </c>
      <c r="X1181" s="43"/>
      <c r="Y1181" s="43"/>
      <c r="Z1181" s="43"/>
    </row>
    <row r="1182" hidden="1">
      <c r="A1182" s="43" t="str">
        <f>IFERROR(__xludf.DUMMYFUNCTION("""COMPUTED_VALUE"""),"4978490_1301307")</f>
        <v>4978490_1301307</v>
      </c>
      <c r="B1182" s="43" t="str">
        <f>IFERROR(__xludf.DUMMYFUNCTION("""COMPUTED_VALUE"""),"Furkan SANDIKCI")</f>
        <v>Furkan SANDIKCI</v>
      </c>
      <c r="C1182" s="43" t="str">
        <f>IFERROR(__xludf.DUMMYFUNCTION("""COMPUTED_VALUE"""),"approved")</f>
        <v>approved</v>
      </c>
      <c r="D1182" s="43" t="str">
        <f>IFERROR(__xludf.DUMMYFUNCTION("""COMPUTED_VALUE"""),"No")</f>
        <v>No</v>
      </c>
      <c r="E1182" s="43" t="str">
        <f>IFERROR(__xludf.DUMMYFUNCTION("""COMPUTED_VALUE"""),"p_ea18b6b041cf1e4a6ea58d2ab61b1c112cf760fa@inbound.aiesec.org")</f>
        <v>p_ea18b6b041cf1e4a6ea58d2ab61b1c112cf760fa@inbound.aiesec.org</v>
      </c>
      <c r="F1182" s="43">
        <f>IFERROR(__xludf.DUMMYFUNCTION("""COMPUTED_VALUE"""),5.432605306E9)</f>
        <v>5432605306</v>
      </c>
      <c r="G1182" s="43" t="str">
        <f>IFERROR(__xludf.DUMMYFUNCTION("""COMPUTED_VALUE"""),"Turkey")</f>
        <v>Turkey</v>
      </c>
      <c r="H1182" s="43" t="str">
        <f>IFERROR(__xludf.DUMMYFUNCTION("""COMPUTED_VALUE"""),"SAKARYA")</f>
        <v>SAKARYA</v>
      </c>
      <c r="I1182" s="43" t="str">
        <f>IFERROR(__xludf.DUMMYFUNCTION("""COMPUTED_VALUE"""),"Romania")</f>
        <v>Romania</v>
      </c>
      <c r="J1182" s="43" t="str">
        <f>IFERROR(__xludf.DUMMYFUNCTION("""COMPUTED_VALUE"""),"PITESTI")</f>
        <v>PITESTI</v>
      </c>
      <c r="K1182" s="44" t="str">
        <f>IFERROR(__xludf.DUMMYFUNCTION("""COMPUTED_VALUE"""),"https://expa.aiesec.org/opportunities/1301307")</f>
        <v>https://expa.aiesec.org/opportunities/1301307</v>
      </c>
      <c r="L1182" s="43" t="str">
        <f>IFERROR(__xludf.DUMMYFUNCTION("""COMPUTED_VALUE"""),"GV")</f>
        <v>GV</v>
      </c>
      <c r="M1182" s="43" t="str">
        <f>IFERROR(__xludf.DUMMYFUNCTION("""COMPUTED_VALUE"""),"short")</f>
        <v>short</v>
      </c>
      <c r="N1182" s="45">
        <f>IFERROR(__xludf.DUMMYFUNCTION("""COMPUTED_VALUE"""),45254.0)</f>
        <v>45254</v>
      </c>
      <c r="O1182" s="45">
        <f>IFERROR(__xludf.DUMMYFUNCTION("""COMPUTED_VALUE"""),45318.0)</f>
        <v>45318</v>
      </c>
      <c r="P1182" s="45">
        <f>IFERROR(__xludf.DUMMYFUNCTION("""COMPUTED_VALUE"""),45360.0)</f>
        <v>45360</v>
      </c>
      <c r="Q1182" s="45"/>
      <c r="R1182" s="45"/>
      <c r="S1182" s="43"/>
      <c r="T1182" s="43"/>
      <c r="U1182" s="43" t="str">
        <f>IFERROR(__xludf.DUMMYFUNCTION("""COMPUTED_VALUE"""),"Eat 4 Change")</f>
        <v>Eat 4 Change</v>
      </c>
      <c r="V1182" s="43" t="str">
        <f>IFERROR(__xludf.DUMMYFUNCTION("""COMPUTED_VALUE"""),"SAKARYA")</f>
        <v>SAKARYA</v>
      </c>
      <c r="W1182" s="43" t="str">
        <f>IFERROR(__xludf.DUMMYFUNCTION("""COMPUTED_VALUE"""),"2022-03-11T13:16:01Z")</f>
        <v>2022-03-11T13:16:01Z</v>
      </c>
      <c r="X1182" s="43"/>
      <c r="Y1182" s="43"/>
      <c r="Z1182" s="43"/>
    </row>
    <row r="1183" hidden="1">
      <c r="A1183" s="43" t="str">
        <f>IFERROR(__xludf.DUMMYFUNCTION("""COMPUTED_VALUE"""),"5375068_1281345")</f>
        <v>5375068_1281345</v>
      </c>
      <c r="B1183" s="43" t="str">
        <f>IFERROR(__xludf.DUMMYFUNCTION("""COMPUTED_VALUE"""),"Sinem Sude Sükün")</f>
        <v>Sinem Sude Sükün</v>
      </c>
      <c r="C1183" s="43" t="str">
        <f>IFERROR(__xludf.DUMMYFUNCTION("""COMPUTED_VALUE"""),"approved")</f>
        <v>approved</v>
      </c>
      <c r="D1183" s="43" t="str">
        <f>IFERROR(__xludf.DUMMYFUNCTION("""COMPUTED_VALUE"""),"No")</f>
        <v>No</v>
      </c>
      <c r="E1183" s="43" t="str">
        <f>IFERROR(__xludf.DUMMYFUNCTION("""COMPUTED_VALUE"""),"p_cd6ded9396ad9e5324208a56abd8d21a6fa35c4a@inbound.aiesec.org")</f>
        <v>p_cd6ded9396ad9e5324208a56abd8d21a6fa35c4a@inbound.aiesec.org</v>
      </c>
      <c r="F1183" s="43"/>
      <c r="G1183" s="43" t="str">
        <f>IFERROR(__xludf.DUMMYFUNCTION("""COMPUTED_VALUE"""),"Turkey")</f>
        <v>Turkey</v>
      </c>
      <c r="H1183" s="43" t="str">
        <f>IFERROR(__xludf.DUMMYFUNCTION("""COMPUTED_VALUE"""),"ANKARA")</f>
        <v>ANKARA</v>
      </c>
      <c r="I1183" s="43" t="str">
        <f>IFERROR(__xludf.DUMMYFUNCTION("""COMPUTED_VALUE"""),"Sri Lanka")</f>
        <v>Sri Lanka</v>
      </c>
      <c r="J1183" s="43" t="str">
        <f>IFERROR(__xludf.DUMMYFUNCTION("""COMPUTED_VALUE"""),"USJ")</f>
        <v>USJ</v>
      </c>
      <c r="K1183" s="44" t="str">
        <f>IFERROR(__xludf.DUMMYFUNCTION("""COMPUTED_VALUE"""),"https://expa.aiesec.org/opportunities/1281345")</f>
        <v>https://expa.aiesec.org/opportunities/1281345</v>
      </c>
      <c r="L1183" s="43" t="str">
        <f>IFERROR(__xludf.DUMMYFUNCTION("""COMPUTED_VALUE"""),"GV")</f>
        <v>GV</v>
      </c>
      <c r="M1183" s="43" t="str">
        <f>IFERROR(__xludf.DUMMYFUNCTION("""COMPUTED_VALUE"""),"short")</f>
        <v>short</v>
      </c>
      <c r="N1183" s="45">
        <f>IFERROR(__xludf.DUMMYFUNCTION("""COMPUTED_VALUE"""),45254.0)</f>
        <v>45254</v>
      </c>
      <c r="O1183" s="45">
        <f>IFERROR(__xludf.DUMMYFUNCTION("""COMPUTED_VALUE"""),45514.0)</f>
        <v>45514</v>
      </c>
      <c r="P1183" s="45">
        <f>IFERROR(__xludf.DUMMYFUNCTION("""COMPUTED_VALUE"""),45556.0)</f>
        <v>45556</v>
      </c>
      <c r="Q1183" s="45"/>
      <c r="R1183" s="45"/>
      <c r="S1183" s="43"/>
      <c r="T1183" s="43"/>
      <c r="U1183" s="43" t="str">
        <f>IFERROR(__xludf.DUMMYFUNCTION("""COMPUTED_VALUE"""),"Aquatica")</f>
        <v>Aquatica</v>
      </c>
      <c r="V1183" s="43" t="str">
        <f>IFERROR(__xludf.DUMMYFUNCTION("""COMPUTED_VALUE"""),"-")</f>
        <v>-</v>
      </c>
      <c r="W1183" s="43" t="str">
        <f>IFERROR(__xludf.DUMMYFUNCTION("""COMPUTED_VALUE"""),"2023-11-18T16:58:50Z")</f>
        <v>2023-11-18T16:58:50Z</v>
      </c>
      <c r="X1183" s="43"/>
      <c r="Y1183" s="43"/>
      <c r="Z1183" s="43"/>
    </row>
    <row r="1184" hidden="1">
      <c r="A1184" s="43" t="str">
        <f>IFERROR(__xludf.DUMMYFUNCTION("""COMPUTED_VALUE"""),"5369226_1281345")</f>
        <v>5369226_1281345</v>
      </c>
      <c r="B1184" s="43" t="str">
        <f>IFERROR(__xludf.DUMMYFUNCTION("""COMPUTED_VALUE"""),"Helin Gunes")</f>
        <v>Helin Gunes</v>
      </c>
      <c r="C1184" s="43" t="str">
        <f>IFERROR(__xludf.DUMMYFUNCTION("""COMPUTED_VALUE"""),"approved")</f>
        <v>approved</v>
      </c>
      <c r="D1184" s="43" t="str">
        <f>IFERROR(__xludf.DUMMYFUNCTION("""COMPUTED_VALUE"""),"No")</f>
        <v>No</v>
      </c>
      <c r="E1184" s="43" t="str">
        <f>IFERROR(__xludf.DUMMYFUNCTION("""COMPUTED_VALUE"""),"p_1c09044d038bcca61637687e04f0686005a2210a@inbound.aiesec.org")</f>
        <v>p_1c09044d038bcca61637687e04f0686005a2210a@inbound.aiesec.org</v>
      </c>
      <c r="F1184" s="43"/>
      <c r="G1184" s="43" t="str">
        <f>IFERROR(__xludf.DUMMYFUNCTION("""COMPUTED_VALUE"""),"Turkey")</f>
        <v>Turkey</v>
      </c>
      <c r="H1184" s="43" t="str">
        <f>IFERROR(__xludf.DUMMYFUNCTION("""COMPUTED_VALUE"""),"ANKARA")</f>
        <v>ANKARA</v>
      </c>
      <c r="I1184" s="43" t="str">
        <f>IFERROR(__xludf.DUMMYFUNCTION("""COMPUTED_VALUE"""),"Sri Lanka")</f>
        <v>Sri Lanka</v>
      </c>
      <c r="J1184" s="43" t="str">
        <f>IFERROR(__xludf.DUMMYFUNCTION("""COMPUTED_VALUE"""),"USJ")</f>
        <v>USJ</v>
      </c>
      <c r="K1184" s="44" t="str">
        <f>IFERROR(__xludf.DUMMYFUNCTION("""COMPUTED_VALUE"""),"https://expa.aiesec.org/opportunities/1281345")</f>
        <v>https://expa.aiesec.org/opportunities/1281345</v>
      </c>
      <c r="L1184" s="43" t="str">
        <f>IFERROR(__xludf.DUMMYFUNCTION("""COMPUTED_VALUE"""),"GV")</f>
        <v>GV</v>
      </c>
      <c r="M1184" s="43" t="str">
        <f>IFERROR(__xludf.DUMMYFUNCTION("""COMPUTED_VALUE"""),"short")</f>
        <v>short</v>
      </c>
      <c r="N1184" s="45">
        <f>IFERROR(__xludf.DUMMYFUNCTION("""COMPUTED_VALUE"""),45254.0)</f>
        <v>45254</v>
      </c>
      <c r="O1184" s="45">
        <f>IFERROR(__xludf.DUMMYFUNCTION("""COMPUTED_VALUE"""),45474.0)</f>
        <v>45474</v>
      </c>
      <c r="P1184" s="45">
        <f>IFERROR(__xludf.DUMMYFUNCTION("""COMPUTED_VALUE"""),45516.0)</f>
        <v>45516</v>
      </c>
      <c r="Q1184" s="45"/>
      <c r="R1184" s="45"/>
      <c r="S1184" s="43"/>
      <c r="T1184" s="43"/>
      <c r="U1184" s="43" t="str">
        <f>IFERROR(__xludf.DUMMYFUNCTION("""COMPUTED_VALUE"""),"Aquatica")</f>
        <v>Aquatica</v>
      </c>
      <c r="V1184" s="43" t="str">
        <f>IFERROR(__xludf.DUMMYFUNCTION("""COMPUTED_VALUE"""),"-")</f>
        <v>-</v>
      </c>
      <c r="W1184" s="43" t="str">
        <f>IFERROR(__xludf.DUMMYFUNCTION("""COMPUTED_VALUE"""),"2023-11-08T18:52:36Z")</f>
        <v>2023-11-08T18:52:36Z</v>
      </c>
      <c r="X1184" s="43"/>
      <c r="Y1184" s="43"/>
      <c r="Z1184" s="43"/>
    </row>
    <row r="1185" hidden="1">
      <c r="A1185" s="43" t="str">
        <f>IFERROR(__xludf.DUMMYFUNCTION("""COMPUTED_VALUE"""),"5345516_1292650")</f>
        <v>5345516_1292650</v>
      </c>
      <c r="B1185" s="43" t="str">
        <f>IFERROR(__xludf.DUMMYFUNCTION("""COMPUTED_VALUE"""),"Fatma Sıla Durmuş")</f>
        <v>Fatma Sıla Durmuş</v>
      </c>
      <c r="C1185" s="43" t="str">
        <f>IFERROR(__xludf.DUMMYFUNCTION("""COMPUTED_VALUE"""),"approved")</f>
        <v>approved</v>
      </c>
      <c r="D1185" s="43" t="str">
        <f>IFERROR(__xludf.DUMMYFUNCTION("""COMPUTED_VALUE"""),"No")</f>
        <v>No</v>
      </c>
      <c r="E1185" s="43" t="str">
        <f>IFERROR(__xludf.DUMMYFUNCTION("""COMPUTED_VALUE"""),"p_e23d2dc35962852d6317eaacdfd151e38c46168a@inbound.aiesec.org")</f>
        <v>p_e23d2dc35962852d6317eaacdfd151e38c46168a@inbound.aiesec.org</v>
      </c>
      <c r="F1185" s="43">
        <f>IFERROR(__xludf.DUMMYFUNCTION("""COMPUTED_VALUE"""),5.325173601E9)</f>
        <v>5325173601</v>
      </c>
      <c r="G1185" s="43" t="str">
        <f>IFERROR(__xludf.DUMMYFUNCTION("""COMPUTED_VALUE"""),"Turkey")</f>
        <v>Turkey</v>
      </c>
      <c r="H1185" s="43" t="str">
        <f>IFERROR(__xludf.DUMMYFUNCTION("""COMPUTED_VALUE"""),"ISTANBUL")</f>
        <v>ISTANBUL</v>
      </c>
      <c r="I1185" s="43" t="str">
        <f>IFERROR(__xludf.DUMMYFUNCTION("""COMPUTED_VALUE"""),"Azerbaijan")</f>
        <v>Azerbaijan</v>
      </c>
      <c r="J1185" s="43" t="str">
        <f>IFERROR(__xludf.DUMMYFUNCTION("""COMPUTED_VALUE"""),"Baku Synergy")</f>
        <v>Baku Synergy</v>
      </c>
      <c r="K1185" s="44" t="str">
        <f>IFERROR(__xludf.DUMMYFUNCTION("""COMPUTED_VALUE"""),"https://expa.aiesec.org/opportunities/1292650")</f>
        <v>https://expa.aiesec.org/opportunities/1292650</v>
      </c>
      <c r="L1185" s="43" t="str">
        <f>IFERROR(__xludf.DUMMYFUNCTION("""COMPUTED_VALUE"""),"GV")</f>
        <v>GV</v>
      </c>
      <c r="M1185" s="43" t="str">
        <f>IFERROR(__xludf.DUMMYFUNCTION("""COMPUTED_VALUE"""),"short")</f>
        <v>short</v>
      </c>
      <c r="N1185" s="45">
        <f>IFERROR(__xludf.DUMMYFUNCTION("""COMPUTED_VALUE"""),45254.0)</f>
        <v>45254</v>
      </c>
      <c r="O1185" s="45">
        <f>IFERROR(__xludf.DUMMYFUNCTION("""COMPUTED_VALUE"""),45453.0)</f>
        <v>45453</v>
      </c>
      <c r="P1185" s="45">
        <f>IFERROR(__xludf.DUMMYFUNCTION("""COMPUTED_VALUE"""),45495.0)</f>
        <v>45495</v>
      </c>
      <c r="Q1185" s="45"/>
      <c r="R1185" s="45"/>
      <c r="S1185" s="43"/>
      <c r="T1185" s="43"/>
      <c r="U1185" s="43" t="str">
        <f>IFERROR(__xludf.DUMMYFUNCTION("""COMPUTED_VALUE"""),"Global Classroom")</f>
        <v>Global Classroom</v>
      </c>
      <c r="V1185" s="43" t="str">
        <f>IFERROR(__xludf.DUMMYFUNCTION("""COMPUTED_VALUE"""),"ISTANBUL - BEYOGLU")</f>
        <v>ISTANBUL - BEYOGLU</v>
      </c>
      <c r="W1185" s="43" t="str">
        <f>IFERROR(__xludf.DUMMYFUNCTION("""COMPUTED_VALUE"""),"2023-10-08T10:35:28Z")</f>
        <v>2023-10-08T10:35:28Z</v>
      </c>
      <c r="X1185" s="43"/>
      <c r="Y1185" s="43"/>
      <c r="Z1185" s="43"/>
    </row>
    <row r="1186" hidden="1">
      <c r="A1186" s="43" t="str">
        <f>IFERROR(__xludf.DUMMYFUNCTION("""COMPUTED_VALUE"""),"5375452_1292188")</f>
        <v>5375452_1292188</v>
      </c>
      <c r="B1186" s="43" t="str">
        <f>IFERROR(__xludf.DUMMYFUNCTION("""COMPUTED_VALUE"""),"Büşra Kaya")</f>
        <v>Büşra Kaya</v>
      </c>
      <c r="C1186" s="43" t="str">
        <f>IFERROR(__xludf.DUMMYFUNCTION("""COMPUTED_VALUE"""),"approved")</f>
        <v>approved</v>
      </c>
      <c r="D1186" s="43" t="str">
        <f>IFERROR(__xludf.DUMMYFUNCTION("""COMPUTED_VALUE"""),"No")</f>
        <v>No</v>
      </c>
      <c r="E1186" s="43" t="str">
        <f>IFERROR(__xludf.DUMMYFUNCTION("""COMPUTED_VALUE"""),"p_8ac4b921c9ecfed841dc4d1cc0f7778b70e998d5@inbound.aiesec.org")</f>
        <v>p_8ac4b921c9ecfed841dc4d1cc0f7778b70e998d5@inbound.aiesec.org</v>
      </c>
      <c r="F1186" s="43"/>
      <c r="G1186" s="43" t="str">
        <f>IFERROR(__xludf.DUMMYFUNCTION("""COMPUTED_VALUE"""),"Turkey")</f>
        <v>Turkey</v>
      </c>
      <c r="H1186" s="43" t="str">
        <f>IFERROR(__xludf.DUMMYFUNCTION("""COMPUTED_VALUE"""),"ISTANBUL ASIA")</f>
        <v>ISTANBUL ASIA</v>
      </c>
      <c r="I1186" s="43" t="str">
        <f>IFERROR(__xludf.DUMMYFUNCTION("""COMPUTED_VALUE"""),"Egypt")</f>
        <v>Egypt</v>
      </c>
      <c r="J1186" s="43" t="str">
        <f>IFERROR(__xludf.DUMMYFUNCTION("""COMPUTED_VALUE"""),"Helwan")</f>
        <v>Helwan</v>
      </c>
      <c r="K1186" s="44" t="str">
        <f>IFERROR(__xludf.DUMMYFUNCTION("""COMPUTED_VALUE"""),"https://expa.aiesec.org/opportunities/1292188")</f>
        <v>https://expa.aiesec.org/opportunities/1292188</v>
      </c>
      <c r="L1186" s="43" t="str">
        <f>IFERROR(__xludf.DUMMYFUNCTION("""COMPUTED_VALUE"""),"GV")</f>
        <v>GV</v>
      </c>
      <c r="M1186" s="43" t="str">
        <f>IFERROR(__xludf.DUMMYFUNCTION("""COMPUTED_VALUE"""),"short")</f>
        <v>short</v>
      </c>
      <c r="N1186" s="45">
        <f>IFERROR(__xludf.DUMMYFUNCTION("""COMPUTED_VALUE"""),45254.0)</f>
        <v>45254</v>
      </c>
      <c r="O1186" s="45">
        <f>IFERROR(__xludf.DUMMYFUNCTION("""COMPUTED_VALUE"""),45488.0)</f>
        <v>45488</v>
      </c>
      <c r="P1186" s="45">
        <f>IFERROR(__xludf.DUMMYFUNCTION("""COMPUTED_VALUE"""),45530.0)</f>
        <v>45530</v>
      </c>
      <c r="Q1186" s="45"/>
      <c r="R1186" s="45"/>
      <c r="S1186" s="43"/>
      <c r="T1186" s="43"/>
      <c r="U1186" s="43" t="str">
        <f>IFERROR(__xludf.DUMMYFUNCTION("""COMPUTED_VALUE"""),"On The Map")</f>
        <v>On The Map</v>
      </c>
      <c r="V1186" s="43" t="str">
        <f>IFERROR(__xludf.DUMMYFUNCTION("""COMPUTED_VALUE"""),"-")</f>
        <v>-</v>
      </c>
      <c r="W1186" s="43" t="str">
        <f>IFERROR(__xludf.DUMMYFUNCTION("""COMPUTED_VALUE"""),"2023-11-19T14:15:22Z")</f>
        <v>2023-11-19T14:15:22Z</v>
      </c>
      <c r="X1186" s="43"/>
      <c r="Y1186" s="43"/>
      <c r="Z1186" s="43"/>
    </row>
    <row r="1187" hidden="1">
      <c r="A1187" s="43" t="str">
        <f>IFERROR(__xludf.DUMMYFUNCTION("""COMPUTED_VALUE"""),"5377749_1288330")</f>
        <v>5377749_1288330</v>
      </c>
      <c r="B1187" s="43" t="str">
        <f>IFERROR(__xludf.DUMMYFUNCTION("""COMPUTED_VALUE"""),"nisa yavuz")</f>
        <v>nisa yavuz</v>
      </c>
      <c r="C1187" s="43" t="str">
        <f>IFERROR(__xludf.DUMMYFUNCTION("""COMPUTED_VALUE"""),"approved")</f>
        <v>approved</v>
      </c>
      <c r="D1187" s="43" t="str">
        <f>IFERROR(__xludf.DUMMYFUNCTION("""COMPUTED_VALUE"""),"No")</f>
        <v>No</v>
      </c>
      <c r="E1187" s="43" t="str">
        <f>IFERROR(__xludf.DUMMYFUNCTION("""COMPUTED_VALUE"""),"p_dfd2a5265cf42c4ecf7f4354c150b2f7fdb3c908@inbound.aiesec.org")</f>
        <v>p_dfd2a5265cf42c4ecf7f4354c150b2f7fdb3c908@inbound.aiesec.org</v>
      </c>
      <c r="F1187" s="43">
        <f>IFERROR(__xludf.DUMMYFUNCTION("""COMPUTED_VALUE"""),5.523441074E9)</f>
        <v>5523441074</v>
      </c>
      <c r="G1187" s="43" t="str">
        <f>IFERROR(__xludf.DUMMYFUNCTION("""COMPUTED_VALUE"""),"Turkey")</f>
        <v>Turkey</v>
      </c>
      <c r="H1187" s="43" t="str">
        <f>IFERROR(__xludf.DUMMYFUNCTION("""COMPUTED_VALUE"""),"ANTALYA")</f>
        <v>ANTALYA</v>
      </c>
      <c r="I1187" s="43" t="str">
        <f>IFERROR(__xludf.DUMMYFUNCTION("""COMPUTED_VALUE"""),"Sri Lanka")</f>
        <v>Sri Lanka</v>
      </c>
      <c r="J1187" s="43" t="str">
        <f>IFERROR(__xludf.DUMMYFUNCTION("""COMPUTED_VALUE"""),"COLOMBO NORTH")</f>
        <v>COLOMBO NORTH</v>
      </c>
      <c r="K1187" s="44" t="str">
        <f>IFERROR(__xludf.DUMMYFUNCTION("""COMPUTED_VALUE"""),"https://expa.aiesec.org/opportunities/1288330")</f>
        <v>https://expa.aiesec.org/opportunities/1288330</v>
      </c>
      <c r="L1187" s="43" t="str">
        <f>IFERROR(__xludf.DUMMYFUNCTION("""COMPUTED_VALUE"""),"GV")</f>
        <v>GV</v>
      </c>
      <c r="M1187" s="43" t="str">
        <f>IFERROR(__xludf.DUMMYFUNCTION("""COMPUTED_VALUE"""),"short")</f>
        <v>short</v>
      </c>
      <c r="N1187" s="45">
        <f>IFERROR(__xludf.DUMMYFUNCTION("""COMPUTED_VALUE"""),45254.0)</f>
        <v>45254</v>
      </c>
      <c r="O1187" s="45">
        <f>IFERROR(__xludf.DUMMYFUNCTION("""COMPUTED_VALUE"""),45474.0)</f>
        <v>45474</v>
      </c>
      <c r="P1187" s="45">
        <f>IFERROR(__xludf.DUMMYFUNCTION("""COMPUTED_VALUE"""),45516.0)</f>
        <v>45516</v>
      </c>
      <c r="Q1187" s="45"/>
      <c r="R1187" s="45"/>
      <c r="S1187" s="43"/>
      <c r="T1187" s="43"/>
      <c r="U1187" s="43" t="str">
        <f>IFERROR(__xludf.DUMMYFUNCTION("""COMPUTED_VALUE"""),"Aquatica")</f>
        <v>Aquatica</v>
      </c>
      <c r="V1187" s="43" t="str">
        <f>IFERROR(__xludf.DUMMYFUNCTION("""COMPUTED_VALUE"""),"ANTALYA")</f>
        <v>ANTALYA</v>
      </c>
      <c r="W1187" s="43" t="str">
        <f>IFERROR(__xludf.DUMMYFUNCTION("""COMPUTED_VALUE"""),"2023-11-22T19:21:14Z")</f>
        <v>2023-11-22T19:21:14Z</v>
      </c>
      <c r="X1187" s="43"/>
      <c r="Y1187" s="43"/>
      <c r="Z1187" s="43"/>
    </row>
    <row r="1188" hidden="1">
      <c r="A1188" s="43" t="str">
        <f>IFERROR(__xludf.DUMMYFUNCTION("""COMPUTED_VALUE"""),"5377750_1288330")</f>
        <v>5377750_1288330</v>
      </c>
      <c r="B1188" s="43" t="str">
        <f>IFERROR(__xludf.DUMMYFUNCTION("""COMPUTED_VALUE"""),"sena nur yavuz")</f>
        <v>sena nur yavuz</v>
      </c>
      <c r="C1188" s="43" t="str">
        <f>IFERROR(__xludf.DUMMYFUNCTION("""COMPUTED_VALUE"""),"approved")</f>
        <v>approved</v>
      </c>
      <c r="D1188" s="43" t="str">
        <f>IFERROR(__xludf.DUMMYFUNCTION("""COMPUTED_VALUE"""),"No")</f>
        <v>No</v>
      </c>
      <c r="E1188" s="43" t="str">
        <f>IFERROR(__xludf.DUMMYFUNCTION("""COMPUTED_VALUE"""),"p_badd78fa6696220080a8247c670ed99e4a0ce73f@inbound.aiesec.org")</f>
        <v>p_badd78fa6696220080a8247c670ed99e4a0ce73f@inbound.aiesec.org</v>
      </c>
      <c r="F1188" s="43">
        <f>IFERROR(__xludf.DUMMYFUNCTION("""COMPUTED_VALUE"""),5.469781284E9)</f>
        <v>5469781284</v>
      </c>
      <c r="G1188" s="43" t="str">
        <f>IFERROR(__xludf.DUMMYFUNCTION("""COMPUTED_VALUE"""),"Turkey")</f>
        <v>Turkey</v>
      </c>
      <c r="H1188" s="43" t="str">
        <f>IFERROR(__xludf.DUMMYFUNCTION("""COMPUTED_VALUE"""),"ANTALYA")</f>
        <v>ANTALYA</v>
      </c>
      <c r="I1188" s="43" t="str">
        <f>IFERROR(__xludf.DUMMYFUNCTION("""COMPUTED_VALUE"""),"Sri Lanka")</f>
        <v>Sri Lanka</v>
      </c>
      <c r="J1188" s="43" t="str">
        <f>IFERROR(__xludf.DUMMYFUNCTION("""COMPUTED_VALUE"""),"COLOMBO NORTH")</f>
        <v>COLOMBO NORTH</v>
      </c>
      <c r="K1188" s="44" t="str">
        <f>IFERROR(__xludf.DUMMYFUNCTION("""COMPUTED_VALUE"""),"https://expa.aiesec.org/opportunities/1288330")</f>
        <v>https://expa.aiesec.org/opportunities/1288330</v>
      </c>
      <c r="L1188" s="43" t="str">
        <f>IFERROR(__xludf.DUMMYFUNCTION("""COMPUTED_VALUE"""),"GV")</f>
        <v>GV</v>
      </c>
      <c r="M1188" s="43" t="str">
        <f>IFERROR(__xludf.DUMMYFUNCTION("""COMPUTED_VALUE"""),"short")</f>
        <v>short</v>
      </c>
      <c r="N1188" s="45">
        <f>IFERROR(__xludf.DUMMYFUNCTION("""COMPUTED_VALUE"""),45254.0)</f>
        <v>45254</v>
      </c>
      <c r="O1188" s="45">
        <f>IFERROR(__xludf.DUMMYFUNCTION("""COMPUTED_VALUE"""),45474.0)</f>
        <v>45474</v>
      </c>
      <c r="P1188" s="45">
        <f>IFERROR(__xludf.DUMMYFUNCTION("""COMPUTED_VALUE"""),45516.0)</f>
        <v>45516</v>
      </c>
      <c r="Q1188" s="45"/>
      <c r="R1188" s="45"/>
      <c r="S1188" s="43"/>
      <c r="T1188" s="43"/>
      <c r="U1188" s="43" t="str">
        <f>IFERROR(__xludf.DUMMYFUNCTION("""COMPUTED_VALUE"""),"Aquatica")</f>
        <v>Aquatica</v>
      </c>
      <c r="V1188" s="43" t="str">
        <f>IFERROR(__xludf.DUMMYFUNCTION("""COMPUTED_VALUE"""),"ANTALYA")</f>
        <v>ANTALYA</v>
      </c>
      <c r="W1188" s="43" t="str">
        <f>IFERROR(__xludf.DUMMYFUNCTION("""COMPUTED_VALUE"""),"2023-11-22T19:21:23Z")</f>
        <v>2023-11-22T19:21:23Z</v>
      </c>
      <c r="X1188" s="43"/>
      <c r="Y1188" s="43"/>
      <c r="Z1188" s="43"/>
    </row>
    <row r="1189" hidden="1">
      <c r="A1189" s="43" t="str">
        <f>IFERROR(__xludf.DUMMYFUNCTION("""COMPUTED_VALUE"""),"5377330_1301244")</f>
        <v>5377330_1301244</v>
      </c>
      <c r="B1189" s="43" t="str">
        <f>IFERROR(__xludf.DUMMYFUNCTION("""COMPUTED_VALUE"""),"Oğuz Tuğrul")</f>
        <v>Oğuz Tuğrul</v>
      </c>
      <c r="C1189" s="43" t="str">
        <f>IFERROR(__xludf.DUMMYFUNCTION("""COMPUTED_VALUE"""),"approved")</f>
        <v>approved</v>
      </c>
      <c r="D1189" s="43" t="str">
        <f>IFERROR(__xludf.DUMMYFUNCTION("""COMPUTED_VALUE"""),"No")</f>
        <v>No</v>
      </c>
      <c r="E1189" s="43" t="str">
        <f>IFERROR(__xludf.DUMMYFUNCTION("""COMPUTED_VALUE"""),"p_1c037a64a0f7f2e34cab13891b2193668b12e2a1@inbound.aiesec.org")</f>
        <v>p_1c037a64a0f7f2e34cab13891b2193668b12e2a1@inbound.aiesec.org</v>
      </c>
      <c r="F1189" s="43">
        <f>IFERROR(__xludf.DUMMYFUNCTION("""COMPUTED_VALUE"""),5.312427612E9)</f>
        <v>5312427612</v>
      </c>
      <c r="G1189" s="43" t="str">
        <f>IFERROR(__xludf.DUMMYFUNCTION("""COMPUTED_VALUE"""),"Turkey")</f>
        <v>Turkey</v>
      </c>
      <c r="H1189" s="43" t="str">
        <f>IFERROR(__xludf.DUMMYFUNCTION("""COMPUTED_VALUE"""),"ANTALYA")</f>
        <v>ANTALYA</v>
      </c>
      <c r="I1189" s="43" t="str">
        <f>IFERROR(__xludf.DUMMYFUNCTION("""COMPUTED_VALUE"""),"Romania")</f>
        <v>Romania</v>
      </c>
      <c r="J1189" s="43" t="str">
        <f>IFERROR(__xludf.DUMMYFUNCTION("""COMPUTED_VALUE"""),"Craiova")</f>
        <v>Craiova</v>
      </c>
      <c r="K1189" s="44" t="str">
        <f>IFERROR(__xludf.DUMMYFUNCTION("""COMPUTED_VALUE"""),"https://expa.aiesec.org/opportunities/1301244")</f>
        <v>https://expa.aiesec.org/opportunities/1301244</v>
      </c>
      <c r="L1189" s="43" t="str">
        <f>IFERROR(__xludf.DUMMYFUNCTION("""COMPUTED_VALUE"""),"GV")</f>
        <v>GV</v>
      </c>
      <c r="M1189" s="43" t="str">
        <f>IFERROR(__xludf.DUMMYFUNCTION("""COMPUTED_VALUE"""),"short")</f>
        <v>short</v>
      </c>
      <c r="N1189" s="45">
        <f>IFERROR(__xludf.DUMMYFUNCTION("""COMPUTED_VALUE"""),45254.0)</f>
        <v>45254</v>
      </c>
      <c r="O1189" s="45">
        <f>IFERROR(__xludf.DUMMYFUNCTION("""COMPUTED_VALUE"""),45327.0)</f>
        <v>45327</v>
      </c>
      <c r="P1189" s="45">
        <f>IFERROR(__xludf.DUMMYFUNCTION("""COMPUTED_VALUE"""),45369.0)</f>
        <v>45369</v>
      </c>
      <c r="Q1189" s="45"/>
      <c r="R1189" s="45"/>
      <c r="S1189" s="43"/>
      <c r="T1189" s="43"/>
      <c r="U1189" s="43" t="str">
        <f>IFERROR(__xludf.DUMMYFUNCTION("""COMPUTED_VALUE"""),"Eat 4 Change")</f>
        <v>Eat 4 Change</v>
      </c>
      <c r="V1189" s="43" t="str">
        <f>IFERROR(__xludf.DUMMYFUNCTION("""COMPUTED_VALUE"""),"ANTALYA")</f>
        <v>ANTALYA</v>
      </c>
      <c r="W1189" s="43" t="str">
        <f>IFERROR(__xludf.DUMMYFUNCTION("""COMPUTED_VALUE"""),"2023-11-22T09:21:25Z")</f>
        <v>2023-11-22T09:21:25Z</v>
      </c>
      <c r="X1189" s="43"/>
      <c r="Y1189" s="43"/>
      <c r="Z1189" s="43"/>
    </row>
    <row r="1190" hidden="1">
      <c r="A1190" s="43" t="str">
        <f>IFERROR(__xludf.DUMMYFUNCTION("""COMPUTED_VALUE"""),"5377332_1301244")</f>
        <v>5377332_1301244</v>
      </c>
      <c r="B1190" s="43" t="str">
        <f>IFERROR(__xludf.DUMMYFUNCTION("""COMPUTED_VALUE"""),"Sena Nur Çetin")</f>
        <v>Sena Nur Çetin</v>
      </c>
      <c r="C1190" s="43" t="str">
        <f>IFERROR(__xludf.DUMMYFUNCTION("""COMPUTED_VALUE"""),"approved")</f>
        <v>approved</v>
      </c>
      <c r="D1190" s="43" t="str">
        <f>IFERROR(__xludf.DUMMYFUNCTION("""COMPUTED_VALUE"""),"No")</f>
        <v>No</v>
      </c>
      <c r="E1190" s="43" t="str">
        <f>IFERROR(__xludf.DUMMYFUNCTION("""COMPUTED_VALUE"""),"p_7ff16b8f0aeab63a7f8cf358101df56be0c77772@inbound.aiesec.org")</f>
        <v>p_7ff16b8f0aeab63a7f8cf358101df56be0c77772@inbound.aiesec.org</v>
      </c>
      <c r="F1190" s="43">
        <f>IFERROR(__xludf.DUMMYFUNCTION("""COMPUTED_VALUE"""),5.41653452E9)</f>
        <v>5416534520</v>
      </c>
      <c r="G1190" s="43" t="str">
        <f>IFERROR(__xludf.DUMMYFUNCTION("""COMPUTED_VALUE"""),"Turkey")</f>
        <v>Turkey</v>
      </c>
      <c r="H1190" s="43" t="str">
        <f>IFERROR(__xludf.DUMMYFUNCTION("""COMPUTED_VALUE"""),"ANTALYA")</f>
        <v>ANTALYA</v>
      </c>
      <c r="I1190" s="43" t="str">
        <f>IFERROR(__xludf.DUMMYFUNCTION("""COMPUTED_VALUE"""),"Romania")</f>
        <v>Romania</v>
      </c>
      <c r="J1190" s="43" t="str">
        <f>IFERROR(__xludf.DUMMYFUNCTION("""COMPUTED_VALUE"""),"Craiova")</f>
        <v>Craiova</v>
      </c>
      <c r="K1190" s="44" t="str">
        <f>IFERROR(__xludf.DUMMYFUNCTION("""COMPUTED_VALUE"""),"https://expa.aiesec.org/opportunities/1301244")</f>
        <v>https://expa.aiesec.org/opportunities/1301244</v>
      </c>
      <c r="L1190" s="43" t="str">
        <f>IFERROR(__xludf.DUMMYFUNCTION("""COMPUTED_VALUE"""),"GV")</f>
        <v>GV</v>
      </c>
      <c r="M1190" s="43" t="str">
        <f>IFERROR(__xludf.DUMMYFUNCTION("""COMPUTED_VALUE"""),"short")</f>
        <v>short</v>
      </c>
      <c r="N1190" s="45">
        <f>IFERROR(__xludf.DUMMYFUNCTION("""COMPUTED_VALUE"""),45254.0)</f>
        <v>45254</v>
      </c>
      <c r="O1190" s="45">
        <f>IFERROR(__xludf.DUMMYFUNCTION("""COMPUTED_VALUE"""),45327.0)</f>
        <v>45327</v>
      </c>
      <c r="P1190" s="45">
        <f>IFERROR(__xludf.DUMMYFUNCTION("""COMPUTED_VALUE"""),45369.0)</f>
        <v>45369</v>
      </c>
      <c r="Q1190" s="45"/>
      <c r="R1190" s="45"/>
      <c r="S1190" s="43"/>
      <c r="T1190" s="43"/>
      <c r="U1190" s="43" t="str">
        <f>IFERROR(__xludf.DUMMYFUNCTION("""COMPUTED_VALUE"""),"Eat 4 Change")</f>
        <v>Eat 4 Change</v>
      </c>
      <c r="V1190" s="43" t="str">
        <f>IFERROR(__xludf.DUMMYFUNCTION("""COMPUTED_VALUE"""),"ANTALYA")</f>
        <v>ANTALYA</v>
      </c>
      <c r="W1190" s="43" t="str">
        <f>IFERROR(__xludf.DUMMYFUNCTION("""COMPUTED_VALUE"""),"2023-11-22T09:21:46Z")</f>
        <v>2023-11-22T09:21:46Z</v>
      </c>
      <c r="X1190" s="43"/>
      <c r="Y1190" s="43"/>
      <c r="Z1190" s="43"/>
    </row>
    <row r="1191" hidden="1">
      <c r="A1191" s="43" t="str">
        <f>IFERROR(__xludf.DUMMYFUNCTION("""COMPUTED_VALUE"""),"5377333_1301244")</f>
        <v>5377333_1301244</v>
      </c>
      <c r="B1191" s="43" t="str">
        <f>IFERROR(__xludf.DUMMYFUNCTION("""COMPUTED_VALUE"""),"Furkan Efe Alkan")</f>
        <v>Furkan Efe Alkan</v>
      </c>
      <c r="C1191" s="43" t="str">
        <f>IFERROR(__xludf.DUMMYFUNCTION("""COMPUTED_VALUE"""),"approved")</f>
        <v>approved</v>
      </c>
      <c r="D1191" s="43" t="str">
        <f>IFERROR(__xludf.DUMMYFUNCTION("""COMPUTED_VALUE"""),"No")</f>
        <v>No</v>
      </c>
      <c r="E1191" s="43" t="str">
        <f>IFERROR(__xludf.DUMMYFUNCTION("""COMPUTED_VALUE"""),"p_8b54996ddf2b99c3804d4e226f0ff27c8563b9a4@inbound.aiesec.org")</f>
        <v>p_8b54996ddf2b99c3804d4e226f0ff27c8563b9a4@inbound.aiesec.org</v>
      </c>
      <c r="F1191" s="43">
        <f>IFERROR(__xludf.DUMMYFUNCTION("""COMPUTED_VALUE"""),5.059850127E9)</f>
        <v>5059850127</v>
      </c>
      <c r="G1191" s="43" t="str">
        <f>IFERROR(__xludf.DUMMYFUNCTION("""COMPUTED_VALUE"""),"Turkey")</f>
        <v>Turkey</v>
      </c>
      <c r="H1191" s="43" t="str">
        <f>IFERROR(__xludf.DUMMYFUNCTION("""COMPUTED_VALUE"""),"ANTALYA")</f>
        <v>ANTALYA</v>
      </c>
      <c r="I1191" s="43" t="str">
        <f>IFERROR(__xludf.DUMMYFUNCTION("""COMPUTED_VALUE"""),"Romania")</f>
        <v>Romania</v>
      </c>
      <c r="J1191" s="43" t="str">
        <f>IFERROR(__xludf.DUMMYFUNCTION("""COMPUTED_VALUE"""),"Craiova")</f>
        <v>Craiova</v>
      </c>
      <c r="K1191" s="44" t="str">
        <f>IFERROR(__xludf.DUMMYFUNCTION("""COMPUTED_VALUE"""),"https://expa.aiesec.org/opportunities/1301244")</f>
        <v>https://expa.aiesec.org/opportunities/1301244</v>
      </c>
      <c r="L1191" s="43" t="str">
        <f>IFERROR(__xludf.DUMMYFUNCTION("""COMPUTED_VALUE"""),"GV")</f>
        <v>GV</v>
      </c>
      <c r="M1191" s="43" t="str">
        <f>IFERROR(__xludf.DUMMYFUNCTION("""COMPUTED_VALUE"""),"short")</f>
        <v>short</v>
      </c>
      <c r="N1191" s="45">
        <f>IFERROR(__xludf.DUMMYFUNCTION("""COMPUTED_VALUE"""),45254.0)</f>
        <v>45254</v>
      </c>
      <c r="O1191" s="45">
        <f>IFERROR(__xludf.DUMMYFUNCTION("""COMPUTED_VALUE"""),45327.0)</f>
        <v>45327</v>
      </c>
      <c r="P1191" s="45">
        <f>IFERROR(__xludf.DUMMYFUNCTION("""COMPUTED_VALUE"""),45369.0)</f>
        <v>45369</v>
      </c>
      <c r="Q1191" s="45"/>
      <c r="R1191" s="45"/>
      <c r="S1191" s="43"/>
      <c r="T1191" s="43"/>
      <c r="U1191" s="43" t="str">
        <f>IFERROR(__xludf.DUMMYFUNCTION("""COMPUTED_VALUE"""),"Eat 4 Change")</f>
        <v>Eat 4 Change</v>
      </c>
      <c r="V1191" s="43" t="str">
        <f>IFERROR(__xludf.DUMMYFUNCTION("""COMPUTED_VALUE"""),"ANTALYA")</f>
        <v>ANTALYA</v>
      </c>
      <c r="W1191" s="43" t="str">
        <f>IFERROR(__xludf.DUMMYFUNCTION("""COMPUTED_VALUE"""),"2023-11-22T09:21:56Z")</f>
        <v>2023-11-22T09:21:56Z</v>
      </c>
      <c r="X1191" s="43"/>
      <c r="Y1191" s="43"/>
      <c r="Z1191" s="43"/>
    </row>
    <row r="1192" hidden="1">
      <c r="A1192" s="43" t="str">
        <f>IFERROR(__xludf.DUMMYFUNCTION("""COMPUTED_VALUE"""),"5378900_1301171")</f>
        <v>5378900_1301171</v>
      </c>
      <c r="B1192" s="43" t="str">
        <f>IFERROR(__xludf.DUMMYFUNCTION("""COMPUTED_VALUE"""),"Rabia Nisan Özdemir")</f>
        <v>Rabia Nisan Özdemir</v>
      </c>
      <c r="C1192" s="43" t="str">
        <f>IFERROR(__xludf.DUMMYFUNCTION("""COMPUTED_VALUE"""),"approved")</f>
        <v>approved</v>
      </c>
      <c r="D1192" s="43" t="str">
        <f>IFERROR(__xludf.DUMMYFUNCTION("""COMPUTED_VALUE"""),"No")</f>
        <v>No</v>
      </c>
      <c r="E1192" s="43" t="str">
        <f>IFERROR(__xludf.DUMMYFUNCTION("""COMPUTED_VALUE"""),"p_f8427a619b1e7400d19219e4e9eb1e16bc4aec38@inbound.aiesec.org")</f>
        <v>p_f8427a619b1e7400d19219e4e9eb1e16bc4aec38@inbound.aiesec.org</v>
      </c>
      <c r="F1192" s="43">
        <f>IFERROR(__xludf.DUMMYFUNCTION("""COMPUTED_VALUE"""),5.411753457E9)</f>
        <v>5411753457</v>
      </c>
      <c r="G1192" s="43" t="str">
        <f>IFERROR(__xludf.DUMMYFUNCTION("""COMPUTED_VALUE"""),"Turkey")</f>
        <v>Turkey</v>
      </c>
      <c r="H1192" s="43" t="str">
        <f>IFERROR(__xludf.DUMMYFUNCTION("""COMPUTED_VALUE"""),"ANTALYA")</f>
        <v>ANTALYA</v>
      </c>
      <c r="I1192" s="43" t="str">
        <f>IFERROR(__xludf.DUMMYFUNCTION("""COMPUTED_VALUE"""),"Italy")</f>
        <v>Italy</v>
      </c>
      <c r="J1192" s="43" t="str">
        <f>IFERROR(__xludf.DUMMYFUNCTION("""COMPUTED_VALUE"""),"Napoli Federico II")</f>
        <v>Napoli Federico II</v>
      </c>
      <c r="K1192" s="44" t="str">
        <f>IFERROR(__xludf.DUMMYFUNCTION("""COMPUTED_VALUE"""),"https://expa.aiesec.org/opportunities/1301171")</f>
        <v>https://expa.aiesec.org/opportunities/1301171</v>
      </c>
      <c r="L1192" s="43" t="str">
        <f>IFERROR(__xludf.DUMMYFUNCTION("""COMPUTED_VALUE"""),"GV")</f>
        <v>GV</v>
      </c>
      <c r="M1192" s="43" t="str">
        <f>IFERROR(__xludf.DUMMYFUNCTION("""COMPUTED_VALUE"""),"short")</f>
        <v>short</v>
      </c>
      <c r="N1192" s="45">
        <f>IFERROR(__xludf.DUMMYFUNCTION("""COMPUTED_VALUE"""),45254.0)</f>
        <v>45254</v>
      </c>
      <c r="O1192" s="45">
        <f>IFERROR(__xludf.DUMMYFUNCTION("""COMPUTED_VALUE"""),45565.0)</f>
        <v>45565</v>
      </c>
      <c r="P1192" s="45">
        <f>IFERROR(__xludf.DUMMYFUNCTION("""COMPUTED_VALUE"""),45607.0)</f>
        <v>45607</v>
      </c>
      <c r="Q1192" s="45"/>
      <c r="R1192" s="45"/>
      <c r="S1192" s="43"/>
      <c r="T1192" s="43"/>
      <c r="U1192" s="43" t="str">
        <f>IFERROR(__xludf.DUMMYFUNCTION("""COMPUTED_VALUE"""),"Youth 4 Impact")</f>
        <v>Youth 4 Impact</v>
      </c>
      <c r="V1192" s="43" t="str">
        <f>IFERROR(__xludf.DUMMYFUNCTION("""COMPUTED_VALUE"""),"ANTALYA")</f>
        <v>ANTALYA</v>
      </c>
      <c r="W1192" s="43" t="str">
        <f>IFERROR(__xludf.DUMMYFUNCTION("""COMPUTED_VALUE"""),"2023-11-24T10:33:20Z")</f>
        <v>2023-11-24T10:33:20Z</v>
      </c>
      <c r="X1192" s="43"/>
      <c r="Y1192" s="43"/>
      <c r="Z1192" s="43"/>
    </row>
    <row r="1193" hidden="1">
      <c r="A1193" s="43" t="str">
        <f>IFERROR(__xludf.DUMMYFUNCTION("""COMPUTED_VALUE"""),"5377598_1288609")</f>
        <v>5377598_1288609</v>
      </c>
      <c r="B1193" s="43" t="str">
        <f>IFERROR(__xludf.DUMMYFUNCTION("""COMPUTED_VALUE"""),"Sinem Buzdan")</f>
        <v>Sinem Buzdan</v>
      </c>
      <c r="C1193" s="43" t="str">
        <f>IFERROR(__xludf.DUMMYFUNCTION("""COMPUTED_VALUE"""),"approved")</f>
        <v>approved</v>
      </c>
      <c r="D1193" s="43" t="str">
        <f>IFERROR(__xludf.DUMMYFUNCTION("""COMPUTED_VALUE"""),"No")</f>
        <v>No</v>
      </c>
      <c r="E1193" s="43" t="str">
        <f>IFERROR(__xludf.DUMMYFUNCTION("""COMPUTED_VALUE"""),"p_6c940497fd880efc6fc095d553648e67d9477552@inbound.aiesec.org")</f>
        <v>p_6c940497fd880efc6fc095d553648e67d9477552@inbound.aiesec.org</v>
      </c>
      <c r="F1193" s="43">
        <f>IFERROR(__xludf.DUMMYFUNCTION("""COMPUTED_VALUE"""),5.435309954E9)</f>
        <v>5435309954</v>
      </c>
      <c r="G1193" s="43" t="str">
        <f>IFERROR(__xludf.DUMMYFUNCTION("""COMPUTED_VALUE"""),"Turkey")</f>
        <v>Turkey</v>
      </c>
      <c r="H1193" s="43" t="str">
        <f>IFERROR(__xludf.DUMMYFUNCTION("""COMPUTED_VALUE"""),"ISTANBUL WEST")</f>
        <v>ISTANBUL WEST</v>
      </c>
      <c r="I1193" s="43" t="str">
        <f>IFERROR(__xludf.DUMMYFUNCTION("""COMPUTED_VALUE"""),"Egypt")</f>
        <v>Egypt</v>
      </c>
      <c r="J1193" s="43" t="str">
        <f>IFERROR(__xludf.DUMMYFUNCTION("""COMPUTED_VALUE"""),"Tanta")</f>
        <v>Tanta</v>
      </c>
      <c r="K1193" s="44" t="str">
        <f>IFERROR(__xludf.DUMMYFUNCTION("""COMPUTED_VALUE"""),"https://expa.aiesec.org/opportunities/1288609")</f>
        <v>https://expa.aiesec.org/opportunities/1288609</v>
      </c>
      <c r="L1193" s="43" t="str">
        <f>IFERROR(__xludf.DUMMYFUNCTION("""COMPUTED_VALUE"""),"GV")</f>
        <v>GV</v>
      </c>
      <c r="M1193" s="43" t="str">
        <f>IFERROR(__xludf.DUMMYFUNCTION("""COMPUTED_VALUE"""),"short")</f>
        <v>short</v>
      </c>
      <c r="N1193" s="45">
        <f>IFERROR(__xludf.DUMMYFUNCTION("""COMPUTED_VALUE"""),45255.0)</f>
        <v>45255</v>
      </c>
      <c r="O1193" s="45">
        <f>IFERROR(__xludf.DUMMYFUNCTION("""COMPUTED_VALUE"""),45292.0)</f>
        <v>45292</v>
      </c>
      <c r="P1193" s="45">
        <f>IFERROR(__xludf.DUMMYFUNCTION("""COMPUTED_VALUE"""),45334.0)</f>
        <v>45334</v>
      </c>
      <c r="Q1193" s="45"/>
      <c r="R1193" s="45"/>
      <c r="S1193" s="43"/>
      <c r="T1193" s="43"/>
      <c r="U1193" s="43" t="str">
        <f>IFERROR(__xludf.DUMMYFUNCTION("""COMPUTED_VALUE"""),"On The Map")</f>
        <v>On The Map</v>
      </c>
      <c r="V1193" s="43" t="str">
        <f>IFERROR(__xludf.DUMMYFUNCTION("""COMPUTED_VALUE"""),"ISTANBUL - BAKIRKOY")</f>
        <v>ISTANBUL - BAKIRKOY</v>
      </c>
      <c r="W1193" s="43" t="str">
        <f>IFERROR(__xludf.DUMMYFUNCTION("""COMPUTED_VALUE"""),"2023-11-22T15:17:28Z")</f>
        <v>2023-11-22T15:17:28Z</v>
      </c>
      <c r="X1193" s="43"/>
      <c r="Y1193" s="43"/>
      <c r="Z1193" s="43"/>
    </row>
    <row r="1194" hidden="1">
      <c r="A1194" s="43" t="str">
        <f>IFERROR(__xludf.DUMMYFUNCTION("""COMPUTED_VALUE"""),"5377019_1288609")</f>
        <v>5377019_1288609</v>
      </c>
      <c r="B1194" s="43" t="str">
        <f>IFERROR(__xludf.DUMMYFUNCTION("""COMPUTED_VALUE"""),"Begüm Ece ELÇEKİN")</f>
        <v>Begüm Ece ELÇEKİN</v>
      </c>
      <c r="C1194" s="43" t="str">
        <f>IFERROR(__xludf.DUMMYFUNCTION("""COMPUTED_VALUE"""),"approved")</f>
        <v>approved</v>
      </c>
      <c r="D1194" s="43" t="str">
        <f>IFERROR(__xludf.DUMMYFUNCTION("""COMPUTED_VALUE"""),"No")</f>
        <v>No</v>
      </c>
      <c r="E1194" s="43" t="str">
        <f>IFERROR(__xludf.DUMMYFUNCTION("""COMPUTED_VALUE"""),"p_fb945d78c46fecf4b8b3d0a72fd98fb94a74e6ca@inbound.aiesec.org")</f>
        <v>p_fb945d78c46fecf4b8b3d0a72fd98fb94a74e6ca@inbound.aiesec.org</v>
      </c>
      <c r="F1194" s="43"/>
      <c r="G1194" s="43" t="str">
        <f>IFERROR(__xludf.DUMMYFUNCTION("""COMPUTED_VALUE"""),"Turkey")</f>
        <v>Turkey</v>
      </c>
      <c r="H1194" s="43" t="str">
        <f>IFERROR(__xludf.DUMMYFUNCTION("""COMPUTED_VALUE"""),"ISTANBUL WEST")</f>
        <v>ISTANBUL WEST</v>
      </c>
      <c r="I1194" s="43" t="str">
        <f>IFERROR(__xludf.DUMMYFUNCTION("""COMPUTED_VALUE"""),"Egypt")</f>
        <v>Egypt</v>
      </c>
      <c r="J1194" s="43" t="str">
        <f>IFERROR(__xludf.DUMMYFUNCTION("""COMPUTED_VALUE"""),"Tanta")</f>
        <v>Tanta</v>
      </c>
      <c r="K1194" s="44" t="str">
        <f>IFERROR(__xludf.DUMMYFUNCTION("""COMPUTED_VALUE"""),"https://expa.aiesec.org/opportunities/1288609")</f>
        <v>https://expa.aiesec.org/opportunities/1288609</v>
      </c>
      <c r="L1194" s="43" t="str">
        <f>IFERROR(__xludf.DUMMYFUNCTION("""COMPUTED_VALUE"""),"GV")</f>
        <v>GV</v>
      </c>
      <c r="M1194" s="43" t="str">
        <f>IFERROR(__xludf.DUMMYFUNCTION("""COMPUTED_VALUE"""),"short")</f>
        <v>short</v>
      </c>
      <c r="N1194" s="45">
        <f>IFERROR(__xludf.DUMMYFUNCTION("""COMPUTED_VALUE"""),45255.0)</f>
        <v>45255</v>
      </c>
      <c r="O1194" s="45">
        <f>IFERROR(__xludf.DUMMYFUNCTION("""COMPUTED_VALUE"""),45474.0)</f>
        <v>45474</v>
      </c>
      <c r="P1194" s="45">
        <f>IFERROR(__xludf.DUMMYFUNCTION("""COMPUTED_VALUE"""),45516.0)</f>
        <v>45516</v>
      </c>
      <c r="Q1194" s="45"/>
      <c r="R1194" s="45"/>
      <c r="S1194" s="43"/>
      <c r="T1194" s="43"/>
      <c r="U1194" s="43" t="str">
        <f>IFERROR(__xludf.DUMMYFUNCTION("""COMPUTED_VALUE"""),"On The Map")</f>
        <v>On The Map</v>
      </c>
      <c r="V1194" s="43" t="str">
        <f>IFERROR(__xludf.DUMMYFUNCTION("""COMPUTED_VALUE"""),"-")</f>
        <v>-</v>
      </c>
      <c r="W1194" s="43" t="str">
        <f>IFERROR(__xludf.DUMMYFUNCTION("""COMPUTED_VALUE"""),"2023-11-21T18:44:27Z")</f>
        <v>2023-11-21T18:44:27Z</v>
      </c>
      <c r="X1194" s="43"/>
      <c r="Y1194" s="43"/>
      <c r="Z1194" s="43"/>
    </row>
    <row r="1195" hidden="1">
      <c r="A1195" s="43" t="str">
        <f>IFERROR(__xludf.DUMMYFUNCTION("""COMPUTED_VALUE"""),"5169077_1288609")</f>
        <v>5169077_1288609</v>
      </c>
      <c r="B1195" s="43" t="str">
        <f>IFERROR(__xludf.DUMMYFUNCTION("""COMPUTED_VALUE"""),"HASSAN I.H. SALHAT")</f>
        <v>HASSAN I.H. SALHAT</v>
      </c>
      <c r="C1195" s="43" t="str">
        <f>IFERROR(__xludf.DUMMYFUNCTION("""COMPUTED_VALUE"""),"approved")</f>
        <v>approved</v>
      </c>
      <c r="D1195" s="43" t="str">
        <f>IFERROR(__xludf.DUMMYFUNCTION("""COMPUTED_VALUE"""),"No")</f>
        <v>No</v>
      </c>
      <c r="E1195" s="43" t="str">
        <f>IFERROR(__xludf.DUMMYFUNCTION("""COMPUTED_VALUE"""),"p_ec90f975a409f6966c38261842706fe11c30beb4@inbound.aiesec.org")</f>
        <v>p_ec90f975a409f6966c38261842706fe11c30beb4@inbound.aiesec.org</v>
      </c>
      <c r="F1195" s="43">
        <f>IFERROR(__xludf.DUMMYFUNCTION("""COMPUTED_VALUE"""),5.364684274E9)</f>
        <v>5364684274</v>
      </c>
      <c r="G1195" s="43" t="str">
        <f>IFERROR(__xludf.DUMMYFUNCTION("""COMPUTED_VALUE"""),"Turkey")</f>
        <v>Turkey</v>
      </c>
      <c r="H1195" s="43" t="str">
        <f>IFERROR(__xludf.DUMMYFUNCTION("""COMPUTED_VALUE"""),"ISTANBUL WEST")</f>
        <v>ISTANBUL WEST</v>
      </c>
      <c r="I1195" s="43" t="str">
        <f>IFERROR(__xludf.DUMMYFUNCTION("""COMPUTED_VALUE"""),"Egypt")</f>
        <v>Egypt</v>
      </c>
      <c r="J1195" s="43" t="str">
        <f>IFERROR(__xludf.DUMMYFUNCTION("""COMPUTED_VALUE"""),"Tanta")</f>
        <v>Tanta</v>
      </c>
      <c r="K1195" s="44" t="str">
        <f>IFERROR(__xludf.DUMMYFUNCTION("""COMPUTED_VALUE"""),"https://expa.aiesec.org/opportunities/1288609")</f>
        <v>https://expa.aiesec.org/opportunities/1288609</v>
      </c>
      <c r="L1195" s="43" t="str">
        <f>IFERROR(__xludf.DUMMYFUNCTION("""COMPUTED_VALUE"""),"GV")</f>
        <v>GV</v>
      </c>
      <c r="M1195" s="43" t="str">
        <f>IFERROR(__xludf.DUMMYFUNCTION("""COMPUTED_VALUE"""),"short")</f>
        <v>short</v>
      </c>
      <c r="N1195" s="45">
        <f>IFERROR(__xludf.DUMMYFUNCTION("""COMPUTED_VALUE"""),45255.0)</f>
        <v>45255</v>
      </c>
      <c r="O1195" s="45">
        <f>IFERROR(__xludf.DUMMYFUNCTION("""COMPUTED_VALUE"""),45474.0)</f>
        <v>45474</v>
      </c>
      <c r="P1195" s="45">
        <f>IFERROR(__xludf.DUMMYFUNCTION("""COMPUTED_VALUE"""),45516.0)</f>
        <v>45516</v>
      </c>
      <c r="Q1195" s="45"/>
      <c r="R1195" s="45"/>
      <c r="S1195" s="43"/>
      <c r="T1195" s="43"/>
      <c r="U1195" s="43" t="str">
        <f>IFERROR(__xludf.DUMMYFUNCTION("""COMPUTED_VALUE"""),"On The Map")</f>
        <v>On The Map</v>
      </c>
      <c r="V1195" s="43" t="str">
        <f>IFERROR(__xludf.DUMMYFUNCTION("""COMPUTED_VALUE"""),"ISTANBUL - BAKIRKOY")</f>
        <v>ISTANBUL - BAKIRKOY</v>
      </c>
      <c r="W1195" s="43" t="str">
        <f>IFERROR(__xludf.DUMMYFUNCTION("""COMPUTED_VALUE"""),"2022-12-22T09:55:24Z")</f>
        <v>2022-12-22T09:55:24Z</v>
      </c>
      <c r="X1195" s="43"/>
      <c r="Y1195" s="43"/>
      <c r="Z1195" s="43"/>
    </row>
    <row r="1196" hidden="1">
      <c r="A1196" s="43" t="str">
        <f>IFERROR(__xludf.DUMMYFUNCTION("""COMPUTED_VALUE"""),"5376280_1288609")</f>
        <v>5376280_1288609</v>
      </c>
      <c r="B1196" s="43" t="str">
        <f>IFERROR(__xludf.DUMMYFUNCTION("""COMPUTED_VALUE"""),"Mervegül ÖLÇEK")</f>
        <v>Mervegül ÖLÇEK</v>
      </c>
      <c r="C1196" s="43" t="str">
        <f>IFERROR(__xludf.DUMMYFUNCTION("""COMPUTED_VALUE"""),"approved")</f>
        <v>approved</v>
      </c>
      <c r="D1196" s="43" t="str">
        <f>IFERROR(__xludf.DUMMYFUNCTION("""COMPUTED_VALUE"""),"No")</f>
        <v>No</v>
      </c>
      <c r="E1196" s="43" t="str">
        <f>IFERROR(__xludf.DUMMYFUNCTION("""COMPUTED_VALUE"""),"p_21b46e687791be00fa5182d12bd1ab6ba3a993bd@inbound.aiesec.org")</f>
        <v>p_21b46e687791be00fa5182d12bd1ab6ba3a993bd@inbound.aiesec.org</v>
      </c>
      <c r="F1196" s="43"/>
      <c r="G1196" s="43" t="str">
        <f>IFERROR(__xludf.DUMMYFUNCTION("""COMPUTED_VALUE"""),"Turkey")</f>
        <v>Turkey</v>
      </c>
      <c r="H1196" s="43" t="str">
        <f>IFERROR(__xludf.DUMMYFUNCTION("""COMPUTED_VALUE"""),"ISTANBUL WEST")</f>
        <v>ISTANBUL WEST</v>
      </c>
      <c r="I1196" s="43" t="str">
        <f>IFERROR(__xludf.DUMMYFUNCTION("""COMPUTED_VALUE"""),"Egypt")</f>
        <v>Egypt</v>
      </c>
      <c r="J1196" s="43" t="str">
        <f>IFERROR(__xludf.DUMMYFUNCTION("""COMPUTED_VALUE"""),"Tanta")</f>
        <v>Tanta</v>
      </c>
      <c r="K1196" s="44" t="str">
        <f>IFERROR(__xludf.DUMMYFUNCTION("""COMPUTED_VALUE"""),"https://expa.aiesec.org/opportunities/1288609")</f>
        <v>https://expa.aiesec.org/opportunities/1288609</v>
      </c>
      <c r="L1196" s="43" t="str">
        <f>IFERROR(__xludf.DUMMYFUNCTION("""COMPUTED_VALUE"""),"GV")</f>
        <v>GV</v>
      </c>
      <c r="M1196" s="43" t="str">
        <f>IFERROR(__xludf.DUMMYFUNCTION("""COMPUTED_VALUE"""),"short")</f>
        <v>short</v>
      </c>
      <c r="N1196" s="45">
        <f>IFERROR(__xludf.DUMMYFUNCTION("""COMPUTED_VALUE"""),45255.0)</f>
        <v>45255</v>
      </c>
      <c r="O1196" s="45">
        <f>IFERROR(__xludf.DUMMYFUNCTION("""COMPUTED_VALUE"""),45474.0)</f>
        <v>45474</v>
      </c>
      <c r="P1196" s="45">
        <f>IFERROR(__xludf.DUMMYFUNCTION("""COMPUTED_VALUE"""),45516.0)</f>
        <v>45516</v>
      </c>
      <c r="Q1196" s="45"/>
      <c r="R1196" s="45"/>
      <c r="S1196" s="43"/>
      <c r="T1196" s="43"/>
      <c r="U1196" s="43" t="str">
        <f>IFERROR(__xludf.DUMMYFUNCTION("""COMPUTED_VALUE"""),"On The Map")</f>
        <v>On The Map</v>
      </c>
      <c r="V1196" s="43" t="str">
        <f>IFERROR(__xludf.DUMMYFUNCTION("""COMPUTED_VALUE"""),"-")</f>
        <v>-</v>
      </c>
      <c r="W1196" s="43" t="str">
        <f>IFERROR(__xludf.DUMMYFUNCTION("""COMPUTED_VALUE"""),"2023-11-20T18:43:01Z")</f>
        <v>2023-11-20T18:43:01Z</v>
      </c>
      <c r="X1196" s="43"/>
      <c r="Y1196" s="43"/>
      <c r="Z1196" s="43"/>
    </row>
    <row r="1197" hidden="1">
      <c r="A1197" s="43" t="str">
        <f>IFERROR(__xludf.DUMMYFUNCTION("""COMPUTED_VALUE"""),"5327338_1301039")</f>
        <v>5327338_1301039</v>
      </c>
      <c r="B1197" s="43" t="str">
        <f>IFERROR(__xludf.DUMMYFUNCTION("""COMPUTED_VALUE"""),"Eylem Aydemir")</f>
        <v>Eylem Aydemir</v>
      </c>
      <c r="C1197" s="43" t="str">
        <f>IFERROR(__xludf.DUMMYFUNCTION("""COMPUTED_VALUE"""),"approved")</f>
        <v>approved</v>
      </c>
      <c r="D1197" s="43" t="str">
        <f>IFERROR(__xludf.DUMMYFUNCTION("""COMPUTED_VALUE"""),"No")</f>
        <v>No</v>
      </c>
      <c r="E1197" s="43" t="str">
        <f>IFERROR(__xludf.DUMMYFUNCTION("""COMPUTED_VALUE"""),"p_1af53dbdc656868c2c514c53a7171eb7c872805c@inbound.aiesec.org")</f>
        <v>p_1af53dbdc656868c2c514c53a7171eb7c872805c@inbound.aiesec.org</v>
      </c>
      <c r="F1197" s="43"/>
      <c r="G1197" s="43" t="str">
        <f>IFERROR(__xludf.DUMMYFUNCTION("""COMPUTED_VALUE"""),"Turkey")</f>
        <v>Turkey</v>
      </c>
      <c r="H1197" s="43" t="str">
        <f>IFERROR(__xludf.DUMMYFUNCTION("""COMPUTED_VALUE"""),"SAKARYA")</f>
        <v>SAKARYA</v>
      </c>
      <c r="I1197" s="43" t="str">
        <f>IFERROR(__xludf.DUMMYFUNCTION("""COMPUTED_VALUE"""),"Serbia")</f>
        <v>Serbia</v>
      </c>
      <c r="J1197" s="43" t="str">
        <f>IFERROR(__xludf.DUMMYFUNCTION("""COMPUTED_VALUE"""),"Belgrade Faculty of Economics (EF)")</f>
        <v>Belgrade Faculty of Economics (EF)</v>
      </c>
      <c r="K1197" s="44" t="str">
        <f>IFERROR(__xludf.DUMMYFUNCTION("""COMPUTED_VALUE"""),"https://expa.aiesec.org/opportunities/1301039")</f>
        <v>https://expa.aiesec.org/opportunities/1301039</v>
      </c>
      <c r="L1197" s="43" t="str">
        <f>IFERROR(__xludf.DUMMYFUNCTION("""COMPUTED_VALUE"""),"GV")</f>
        <v>GV</v>
      </c>
      <c r="M1197" s="43" t="str">
        <f>IFERROR(__xludf.DUMMYFUNCTION("""COMPUTED_VALUE"""),"short")</f>
        <v>short</v>
      </c>
      <c r="N1197" s="45">
        <f>IFERROR(__xludf.DUMMYFUNCTION("""COMPUTED_VALUE"""),45255.0)</f>
        <v>45255</v>
      </c>
      <c r="O1197" s="45">
        <f>IFERROR(__xludf.DUMMYFUNCTION("""COMPUTED_VALUE"""),45303.0)</f>
        <v>45303</v>
      </c>
      <c r="P1197" s="45">
        <f>IFERROR(__xludf.DUMMYFUNCTION("""COMPUTED_VALUE"""),45345.0)</f>
        <v>45345</v>
      </c>
      <c r="Q1197" s="45"/>
      <c r="R1197" s="45"/>
      <c r="S1197" s="43"/>
      <c r="T1197" s="43"/>
      <c r="U1197" s="43" t="str">
        <f>IFERROR(__xludf.DUMMYFUNCTION("""COMPUTED_VALUE"""),"Skill Up!")</f>
        <v>Skill Up!</v>
      </c>
      <c r="V1197" s="43" t="str">
        <f>IFERROR(__xludf.DUMMYFUNCTION("""COMPUTED_VALUE"""),"-")</f>
        <v>-</v>
      </c>
      <c r="W1197" s="43" t="str">
        <f>IFERROR(__xludf.DUMMYFUNCTION("""COMPUTED_VALUE"""),"2023-09-19T10:01:17Z")</f>
        <v>2023-09-19T10:01:17Z</v>
      </c>
      <c r="X1197" s="43"/>
      <c r="Y1197" s="43"/>
      <c r="Z1197" s="43"/>
    </row>
    <row r="1198" hidden="1">
      <c r="A1198" s="43" t="str">
        <f>IFERROR(__xludf.DUMMYFUNCTION("""COMPUTED_VALUE"""),"5379232_1299605")</f>
        <v>5379232_1299605</v>
      </c>
      <c r="B1198" s="43" t="str">
        <f>IFERROR(__xludf.DUMMYFUNCTION("""COMPUTED_VALUE"""),"Mustafa Yiğit Mart")</f>
        <v>Mustafa Yiğit Mart</v>
      </c>
      <c r="C1198" s="43" t="str">
        <f>IFERROR(__xludf.DUMMYFUNCTION("""COMPUTED_VALUE"""),"approved")</f>
        <v>approved</v>
      </c>
      <c r="D1198" s="43" t="str">
        <f>IFERROR(__xludf.DUMMYFUNCTION("""COMPUTED_VALUE"""),"No")</f>
        <v>No</v>
      </c>
      <c r="E1198" s="43" t="str">
        <f>IFERROR(__xludf.DUMMYFUNCTION("""COMPUTED_VALUE"""),"p_804ef52c13c7e8d93ec8732350496ca8cddc5bd9@inbound.aiesec.org")</f>
        <v>p_804ef52c13c7e8d93ec8732350496ca8cddc5bd9@inbound.aiesec.org</v>
      </c>
      <c r="F1198" s="43">
        <f>IFERROR(__xludf.DUMMYFUNCTION("""COMPUTED_VALUE"""),0.0)</f>
        <v>0</v>
      </c>
      <c r="G1198" s="43" t="str">
        <f>IFERROR(__xludf.DUMMYFUNCTION("""COMPUTED_VALUE"""),"Turkey")</f>
        <v>Turkey</v>
      </c>
      <c r="H1198" s="43" t="str">
        <f>IFERROR(__xludf.DUMMYFUNCTION("""COMPUTED_VALUE"""),"KOCAELI")</f>
        <v>KOCAELI</v>
      </c>
      <c r="I1198" s="43" t="str">
        <f>IFERROR(__xludf.DUMMYFUNCTION("""COMPUTED_VALUE"""),"Tunisia")</f>
        <v>Tunisia</v>
      </c>
      <c r="J1198" s="43" t="str">
        <f>IFERROR(__xludf.DUMMYFUNCTION("""COMPUTED_VALUE"""),"SFAX")</f>
        <v>SFAX</v>
      </c>
      <c r="K1198" s="44" t="str">
        <f>IFERROR(__xludf.DUMMYFUNCTION("""COMPUTED_VALUE"""),"https://expa.aiesec.org/opportunities/1299605")</f>
        <v>https://expa.aiesec.org/opportunities/1299605</v>
      </c>
      <c r="L1198" s="43" t="str">
        <f>IFERROR(__xludf.DUMMYFUNCTION("""COMPUTED_VALUE"""),"GV")</f>
        <v>GV</v>
      </c>
      <c r="M1198" s="43" t="str">
        <f>IFERROR(__xludf.DUMMYFUNCTION("""COMPUTED_VALUE"""),"short")</f>
        <v>short</v>
      </c>
      <c r="N1198" s="45">
        <f>IFERROR(__xludf.DUMMYFUNCTION("""COMPUTED_VALUE"""),45255.0)</f>
        <v>45255</v>
      </c>
      <c r="O1198" s="45">
        <f>IFERROR(__xludf.DUMMYFUNCTION("""COMPUTED_VALUE"""),45488.0)</f>
        <v>45488</v>
      </c>
      <c r="P1198" s="45">
        <f>IFERROR(__xludf.DUMMYFUNCTION("""COMPUTED_VALUE"""),45530.0)</f>
        <v>45530</v>
      </c>
      <c r="Q1198" s="45"/>
      <c r="R1198" s="45"/>
      <c r="S1198" s="43"/>
      <c r="T1198" s="43"/>
      <c r="U1198" s="43" t="str">
        <f>IFERROR(__xludf.DUMMYFUNCTION("""COMPUTED_VALUE"""),"Aquatica")</f>
        <v>Aquatica</v>
      </c>
      <c r="V1198" s="43" t="str">
        <f>IFERROR(__xludf.DUMMYFUNCTION("""COMPUTED_VALUE"""),"KOCAELI")</f>
        <v>KOCAELI</v>
      </c>
      <c r="W1198" s="43" t="str">
        <f>IFERROR(__xludf.DUMMYFUNCTION("""COMPUTED_VALUE"""),"2023-11-24T17:09:43Z")</f>
        <v>2023-11-24T17:09:43Z</v>
      </c>
      <c r="X1198" s="43"/>
      <c r="Y1198" s="43"/>
      <c r="Z1198" s="43"/>
    </row>
    <row r="1199" hidden="1">
      <c r="A1199" s="43" t="str">
        <f>IFERROR(__xludf.DUMMYFUNCTION("""COMPUTED_VALUE"""),"5377797_1298372")</f>
        <v>5377797_1298372</v>
      </c>
      <c r="B1199" s="43" t="str">
        <f>IFERROR(__xludf.DUMMYFUNCTION("""COMPUTED_VALUE"""),"Nil Küçük")</f>
        <v>Nil Küçük</v>
      </c>
      <c r="C1199" s="43" t="str">
        <f>IFERROR(__xludf.DUMMYFUNCTION("""COMPUTED_VALUE"""),"approved")</f>
        <v>approved</v>
      </c>
      <c r="D1199" s="43" t="str">
        <f>IFERROR(__xludf.DUMMYFUNCTION("""COMPUTED_VALUE"""),"No")</f>
        <v>No</v>
      </c>
      <c r="E1199" s="43" t="str">
        <f>IFERROR(__xludf.DUMMYFUNCTION("""COMPUTED_VALUE"""),"p_f84b784277e226630efbe57852ecd2c8d013e364@inbound.aiesec.org")</f>
        <v>p_f84b784277e226630efbe57852ecd2c8d013e364@inbound.aiesec.org</v>
      </c>
      <c r="F1199" s="43">
        <f>IFERROR(__xludf.DUMMYFUNCTION("""COMPUTED_VALUE"""),5.37498889E9)</f>
        <v>5374988890</v>
      </c>
      <c r="G1199" s="43" t="str">
        <f>IFERROR(__xludf.DUMMYFUNCTION("""COMPUTED_VALUE"""),"Turkey")</f>
        <v>Turkey</v>
      </c>
      <c r="H1199" s="43" t="str">
        <f>IFERROR(__xludf.DUMMYFUNCTION("""COMPUTED_VALUE"""),"ESKISEHIR")</f>
        <v>ESKISEHIR</v>
      </c>
      <c r="I1199" s="43" t="str">
        <f>IFERROR(__xludf.DUMMYFUNCTION("""COMPUTED_VALUE"""),"Egypt")</f>
        <v>Egypt</v>
      </c>
      <c r="J1199" s="43" t="str">
        <f>IFERROR(__xludf.DUMMYFUNCTION("""COMPUTED_VALUE"""),"Helwan")</f>
        <v>Helwan</v>
      </c>
      <c r="K1199" s="44" t="str">
        <f>IFERROR(__xludf.DUMMYFUNCTION("""COMPUTED_VALUE"""),"https://expa.aiesec.org/opportunities/1298372")</f>
        <v>https://expa.aiesec.org/opportunities/1298372</v>
      </c>
      <c r="L1199" s="43" t="str">
        <f>IFERROR(__xludf.DUMMYFUNCTION("""COMPUTED_VALUE"""),"GV")</f>
        <v>GV</v>
      </c>
      <c r="M1199" s="43" t="str">
        <f>IFERROR(__xludf.DUMMYFUNCTION("""COMPUTED_VALUE"""),"short")</f>
        <v>short</v>
      </c>
      <c r="N1199" s="45">
        <f>IFERROR(__xludf.DUMMYFUNCTION("""COMPUTED_VALUE"""),45255.0)</f>
        <v>45255</v>
      </c>
      <c r="O1199" s="45">
        <f>IFERROR(__xludf.DUMMYFUNCTION("""COMPUTED_VALUE"""),45488.0)</f>
        <v>45488</v>
      </c>
      <c r="P1199" s="45">
        <f>IFERROR(__xludf.DUMMYFUNCTION("""COMPUTED_VALUE"""),45530.0)</f>
        <v>45530</v>
      </c>
      <c r="Q1199" s="45"/>
      <c r="R1199" s="45"/>
      <c r="S1199" s="43"/>
      <c r="T1199" s="43"/>
      <c r="U1199" s="43" t="str">
        <f>IFERROR(__xludf.DUMMYFUNCTION("""COMPUTED_VALUE"""),"Equify")</f>
        <v>Equify</v>
      </c>
      <c r="V1199" s="43" t="str">
        <f>IFERROR(__xludf.DUMMYFUNCTION("""COMPUTED_VALUE"""),"ESKISEHIR")</f>
        <v>ESKISEHIR</v>
      </c>
      <c r="W1199" s="43" t="str">
        <f>IFERROR(__xludf.DUMMYFUNCTION("""COMPUTED_VALUE"""),"2023-11-22T21:03:12Z")</f>
        <v>2023-11-22T21:03:12Z</v>
      </c>
      <c r="X1199" s="43"/>
      <c r="Y1199" s="43"/>
      <c r="Z1199" s="43"/>
    </row>
    <row r="1200" hidden="1">
      <c r="A1200" s="43" t="str">
        <f>IFERROR(__xludf.DUMMYFUNCTION("""COMPUTED_VALUE"""),"5336268_1301281")</f>
        <v>5336268_1301281</v>
      </c>
      <c r="B1200" s="43" t="str">
        <f>IFERROR(__xludf.DUMMYFUNCTION("""COMPUTED_VALUE"""),"Sude Nur Altındişoğulları")</f>
        <v>Sude Nur Altındişoğulları</v>
      </c>
      <c r="C1200" s="43" t="str">
        <f>IFERROR(__xludf.DUMMYFUNCTION("""COMPUTED_VALUE"""),"approved")</f>
        <v>approved</v>
      </c>
      <c r="D1200" s="43" t="str">
        <f>IFERROR(__xludf.DUMMYFUNCTION("""COMPUTED_VALUE"""),"No")</f>
        <v>No</v>
      </c>
      <c r="E1200" s="43" t="str">
        <f>IFERROR(__xludf.DUMMYFUNCTION("""COMPUTED_VALUE"""),"p_7d837973a9eee31451ae8c9061ae22b88c657124@inbound.aiesec.org")</f>
        <v>p_7d837973a9eee31451ae8c9061ae22b88c657124@inbound.aiesec.org</v>
      </c>
      <c r="F1200" s="43"/>
      <c r="G1200" s="43" t="str">
        <f>IFERROR(__xludf.DUMMYFUNCTION("""COMPUTED_VALUE"""),"Turkey")</f>
        <v>Turkey</v>
      </c>
      <c r="H1200" s="43" t="str">
        <f>IFERROR(__xludf.DUMMYFUNCTION("""COMPUTED_VALUE"""),"ISTANBUL")</f>
        <v>ISTANBUL</v>
      </c>
      <c r="I1200" s="43" t="str">
        <f>IFERROR(__xludf.DUMMYFUNCTION("""COMPUTED_VALUE"""),"Romania")</f>
        <v>Romania</v>
      </c>
      <c r="J1200" s="43" t="str">
        <f>IFERROR(__xludf.DUMMYFUNCTION("""COMPUTED_VALUE"""),"BRASOV")</f>
        <v>BRASOV</v>
      </c>
      <c r="K1200" s="44" t="str">
        <f>IFERROR(__xludf.DUMMYFUNCTION("""COMPUTED_VALUE"""),"https://expa.aiesec.org/opportunities/1301281")</f>
        <v>https://expa.aiesec.org/opportunities/1301281</v>
      </c>
      <c r="L1200" s="43" t="str">
        <f>IFERROR(__xludf.DUMMYFUNCTION("""COMPUTED_VALUE"""),"GV")</f>
        <v>GV</v>
      </c>
      <c r="M1200" s="43" t="str">
        <f>IFERROR(__xludf.DUMMYFUNCTION("""COMPUTED_VALUE"""),"short")</f>
        <v>short</v>
      </c>
      <c r="N1200" s="45">
        <f>IFERROR(__xludf.DUMMYFUNCTION("""COMPUTED_VALUE"""),45255.0)</f>
        <v>45255</v>
      </c>
      <c r="O1200" s="45">
        <f>IFERROR(__xludf.DUMMYFUNCTION("""COMPUTED_VALUE"""),45327.0)</f>
        <v>45327</v>
      </c>
      <c r="P1200" s="45">
        <f>IFERROR(__xludf.DUMMYFUNCTION("""COMPUTED_VALUE"""),45369.0)</f>
        <v>45369</v>
      </c>
      <c r="Q1200" s="45"/>
      <c r="R1200" s="45"/>
      <c r="S1200" s="43"/>
      <c r="T1200" s="43"/>
      <c r="U1200" s="43" t="str">
        <f>IFERROR(__xludf.DUMMYFUNCTION("""COMPUTED_VALUE"""),"Eat 4 Change")</f>
        <v>Eat 4 Change</v>
      </c>
      <c r="V1200" s="43" t="str">
        <f>IFERROR(__xludf.DUMMYFUNCTION("""COMPUTED_VALUE"""),"-")</f>
        <v>-</v>
      </c>
      <c r="W1200" s="43" t="str">
        <f>IFERROR(__xludf.DUMMYFUNCTION("""COMPUTED_VALUE"""),"2023-09-28T13:37:06Z")</f>
        <v>2023-09-28T13:37:06Z</v>
      </c>
      <c r="X1200" s="43"/>
      <c r="Y1200" s="43"/>
      <c r="Z1200" s="43"/>
    </row>
    <row r="1201" hidden="1">
      <c r="A1201" s="43" t="str">
        <f>IFERROR(__xludf.DUMMYFUNCTION("""COMPUTED_VALUE"""),"5374272_1298053")</f>
        <v>5374272_1298053</v>
      </c>
      <c r="B1201" s="43" t="str">
        <f>IFERROR(__xludf.DUMMYFUNCTION("""COMPUTED_VALUE"""),"Deniz GERİDÖNMEZ")</f>
        <v>Deniz GERİDÖNMEZ</v>
      </c>
      <c r="C1201" s="43" t="str">
        <f>IFERROR(__xludf.DUMMYFUNCTION("""COMPUTED_VALUE"""),"realized")</f>
        <v>realized</v>
      </c>
      <c r="D1201" s="43" t="str">
        <f>IFERROR(__xludf.DUMMYFUNCTION("""COMPUTED_VALUE"""),"No")</f>
        <v>No</v>
      </c>
      <c r="E1201" s="43" t="str">
        <f>IFERROR(__xludf.DUMMYFUNCTION("""COMPUTED_VALUE"""),"p_5d0414fa33a4159b7459d15072a6180ebe992046@inbound.aiesec.org")</f>
        <v>p_5d0414fa33a4159b7459d15072a6180ebe992046@inbound.aiesec.org</v>
      </c>
      <c r="F1201" s="43">
        <f>IFERROR(__xludf.DUMMYFUNCTION("""COMPUTED_VALUE"""),5.459518068E9)</f>
        <v>5459518068</v>
      </c>
      <c r="G1201" s="43" t="str">
        <f>IFERROR(__xludf.DUMMYFUNCTION("""COMPUTED_VALUE"""),"Turkey")</f>
        <v>Turkey</v>
      </c>
      <c r="H1201" s="43" t="str">
        <f>IFERROR(__xludf.DUMMYFUNCTION("""COMPUTED_VALUE"""),"ISTANBUL WEST")</f>
        <v>ISTANBUL WEST</v>
      </c>
      <c r="I1201" s="43" t="str">
        <f>IFERROR(__xludf.DUMMYFUNCTION("""COMPUTED_VALUE"""),"Romania")</f>
        <v>Romania</v>
      </c>
      <c r="J1201" s="43" t="str">
        <f>IFERROR(__xludf.DUMMYFUNCTION("""COMPUTED_VALUE"""),"PITESTI")</f>
        <v>PITESTI</v>
      </c>
      <c r="K1201" s="44" t="str">
        <f>IFERROR(__xludf.DUMMYFUNCTION("""COMPUTED_VALUE"""),"https://expa.aiesec.org/opportunities/1298053")</f>
        <v>https://expa.aiesec.org/opportunities/1298053</v>
      </c>
      <c r="L1201" s="43" t="str">
        <f>IFERROR(__xludf.DUMMYFUNCTION("""COMPUTED_VALUE"""),"GV")</f>
        <v>GV</v>
      </c>
      <c r="M1201" s="43" t="str">
        <f>IFERROR(__xludf.DUMMYFUNCTION("""COMPUTED_VALUE"""),"short")</f>
        <v>short</v>
      </c>
      <c r="N1201" s="45">
        <f>IFERROR(__xludf.DUMMYFUNCTION("""COMPUTED_VALUE"""),45255.0)</f>
        <v>45255</v>
      </c>
      <c r="O1201" s="45">
        <f>IFERROR(__xludf.DUMMYFUNCTION("""COMPUTED_VALUE"""),45318.0)</f>
        <v>45318</v>
      </c>
      <c r="P1201" s="45">
        <f>IFERROR(__xludf.DUMMYFUNCTION("""COMPUTED_VALUE"""),45360.0)</f>
        <v>45360</v>
      </c>
      <c r="Q1201" s="45">
        <f>IFERROR(__xludf.DUMMYFUNCTION("""COMPUTED_VALUE"""),45319.0)</f>
        <v>45319</v>
      </c>
      <c r="R1201" s="45">
        <f>IFERROR(__xludf.DUMMYFUNCTION("""COMPUTED_VALUE"""),45360.0)</f>
        <v>45360</v>
      </c>
      <c r="S1201" s="43"/>
      <c r="T1201" s="43"/>
      <c r="U1201" s="43" t="str">
        <f>IFERROR(__xludf.DUMMYFUNCTION("""COMPUTED_VALUE"""),"Eat 4 Change")</f>
        <v>Eat 4 Change</v>
      </c>
      <c r="V1201" s="43" t="str">
        <f>IFERROR(__xludf.DUMMYFUNCTION("""COMPUTED_VALUE"""),"ISTANBUL - BAKIRKOY")</f>
        <v>ISTANBUL - BAKIRKOY</v>
      </c>
      <c r="W1201" s="43" t="str">
        <f>IFERROR(__xludf.DUMMYFUNCTION("""COMPUTED_VALUE"""),"2023-11-17T08:41:03Z")</f>
        <v>2023-11-17T08:41:03Z</v>
      </c>
      <c r="X1201" s="43"/>
      <c r="Y1201" s="43"/>
      <c r="Z1201" s="43"/>
    </row>
    <row r="1202" hidden="1">
      <c r="A1202" s="43" t="str">
        <f>IFERROR(__xludf.DUMMYFUNCTION("""COMPUTED_VALUE"""),"5376509_1295628")</f>
        <v>5376509_1295628</v>
      </c>
      <c r="B1202" s="43" t="str">
        <f>IFERROR(__xludf.DUMMYFUNCTION("""COMPUTED_VALUE"""),"Eda Akkas")</f>
        <v>Eda Akkas</v>
      </c>
      <c r="C1202" s="43" t="str">
        <f>IFERROR(__xludf.DUMMYFUNCTION("""COMPUTED_VALUE"""),"approved")</f>
        <v>approved</v>
      </c>
      <c r="D1202" s="43" t="str">
        <f>IFERROR(__xludf.DUMMYFUNCTION("""COMPUTED_VALUE"""),"No")</f>
        <v>No</v>
      </c>
      <c r="E1202" s="43" t="str">
        <f>IFERROR(__xludf.DUMMYFUNCTION("""COMPUTED_VALUE"""),"p_b6a0186556140fd7749298f8cc3c438c35b2b6e4@inbound.aiesec.org")</f>
        <v>p_b6a0186556140fd7749298f8cc3c438c35b2b6e4@inbound.aiesec.org</v>
      </c>
      <c r="F1202" s="43">
        <f>IFERROR(__xludf.DUMMYFUNCTION("""COMPUTED_VALUE"""),5.467245571E9)</f>
        <v>5467245571</v>
      </c>
      <c r="G1202" s="43" t="str">
        <f>IFERROR(__xludf.DUMMYFUNCTION("""COMPUTED_VALUE"""),"Turkey")</f>
        <v>Turkey</v>
      </c>
      <c r="H1202" s="43" t="str">
        <f>IFERROR(__xludf.DUMMYFUNCTION("""COMPUTED_VALUE"""),"ISTANBUL")</f>
        <v>ISTANBUL</v>
      </c>
      <c r="I1202" s="43" t="str">
        <f>IFERROR(__xludf.DUMMYFUNCTION("""COMPUTED_VALUE"""),"Sri Lanka")</f>
        <v>Sri Lanka</v>
      </c>
      <c r="J1202" s="43" t="str">
        <f>IFERROR(__xludf.DUMMYFUNCTION("""COMPUTED_VALUE"""),"COLOMBO CENTRAL")</f>
        <v>COLOMBO CENTRAL</v>
      </c>
      <c r="K1202" s="44" t="str">
        <f>IFERROR(__xludf.DUMMYFUNCTION("""COMPUTED_VALUE"""),"https://expa.aiesec.org/opportunities/1295628")</f>
        <v>https://expa.aiesec.org/opportunities/1295628</v>
      </c>
      <c r="L1202" s="43" t="str">
        <f>IFERROR(__xludf.DUMMYFUNCTION("""COMPUTED_VALUE"""),"GV")</f>
        <v>GV</v>
      </c>
      <c r="M1202" s="43" t="str">
        <f>IFERROR(__xludf.DUMMYFUNCTION("""COMPUTED_VALUE"""),"short")</f>
        <v>short</v>
      </c>
      <c r="N1202" s="45">
        <f>IFERROR(__xludf.DUMMYFUNCTION("""COMPUTED_VALUE"""),45255.0)</f>
        <v>45255</v>
      </c>
      <c r="O1202" s="45">
        <f>IFERROR(__xludf.DUMMYFUNCTION("""COMPUTED_VALUE"""),45507.0)</f>
        <v>45507</v>
      </c>
      <c r="P1202" s="45">
        <f>IFERROR(__xludf.DUMMYFUNCTION("""COMPUTED_VALUE"""),45549.0)</f>
        <v>45549</v>
      </c>
      <c r="Q1202" s="45"/>
      <c r="R1202" s="45"/>
      <c r="S1202" s="43"/>
      <c r="T1202" s="43"/>
      <c r="U1202" s="43" t="str">
        <f>IFERROR(__xludf.DUMMYFUNCTION("""COMPUTED_VALUE"""),"Rooted")</f>
        <v>Rooted</v>
      </c>
      <c r="V1202" s="43" t="str">
        <f>IFERROR(__xludf.DUMMYFUNCTION("""COMPUTED_VALUE"""),"ISTANBUL - BEYOGLU")</f>
        <v>ISTANBUL - BEYOGLU</v>
      </c>
      <c r="W1202" s="43" t="str">
        <f>IFERROR(__xludf.DUMMYFUNCTION("""COMPUTED_VALUE"""),"2023-11-21T06:23:18Z")</f>
        <v>2023-11-21T06:23:18Z</v>
      </c>
      <c r="X1202" s="43"/>
      <c r="Y1202" s="43"/>
      <c r="Z1202" s="43"/>
    </row>
    <row r="1203" hidden="1">
      <c r="A1203" s="43" t="str">
        <f>IFERROR(__xludf.DUMMYFUNCTION("""COMPUTED_VALUE"""),"5379548_1300628")</f>
        <v>5379548_1300628</v>
      </c>
      <c r="B1203" s="43" t="str">
        <f>IFERROR(__xludf.DUMMYFUNCTION("""COMPUTED_VALUE"""),"Baran Deniz")</f>
        <v>Baran Deniz</v>
      </c>
      <c r="C1203" s="43" t="str">
        <f>IFERROR(__xludf.DUMMYFUNCTION("""COMPUTED_VALUE"""),"approved")</f>
        <v>approved</v>
      </c>
      <c r="D1203" s="43" t="str">
        <f>IFERROR(__xludf.DUMMYFUNCTION("""COMPUTED_VALUE"""),"No")</f>
        <v>No</v>
      </c>
      <c r="E1203" s="43" t="str">
        <f>IFERROR(__xludf.DUMMYFUNCTION("""COMPUTED_VALUE"""),"p_96b86100fc4888da93c2200e93954338eb37d572@inbound.aiesec.org")</f>
        <v>p_96b86100fc4888da93c2200e93954338eb37d572@inbound.aiesec.org</v>
      </c>
      <c r="F1203" s="43">
        <f>IFERROR(__xludf.DUMMYFUNCTION("""COMPUTED_VALUE"""),5.438666774E9)</f>
        <v>5438666774</v>
      </c>
      <c r="G1203" s="43" t="str">
        <f>IFERROR(__xludf.DUMMYFUNCTION("""COMPUTED_VALUE"""),"Turkey")</f>
        <v>Turkey</v>
      </c>
      <c r="H1203" s="43" t="str">
        <f>IFERROR(__xludf.DUMMYFUNCTION("""COMPUTED_VALUE"""),"SAKARYA")</f>
        <v>SAKARYA</v>
      </c>
      <c r="I1203" s="43" t="str">
        <f>IFERROR(__xludf.DUMMYFUNCTION("""COMPUTED_VALUE"""),"Tunisia")</f>
        <v>Tunisia</v>
      </c>
      <c r="J1203" s="43" t="str">
        <f>IFERROR(__xludf.DUMMYFUNCTION("""COMPUTED_VALUE"""),"UNIVERSITY")</f>
        <v>UNIVERSITY</v>
      </c>
      <c r="K1203" s="44" t="str">
        <f>IFERROR(__xludf.DUMMYFUNCTION("""COMPUTED_VALUE"""),"https://expa.aiesec.org/opportunities/1300628")</f>
        <v>https://expa.aiesec.org/opportunities/1300628</v>
      </c>
      <c r="L1203" s="43" t="str">
        <f>IFERROR(__xludf.DUMMYFUNCTION("""COMPUTED_VALUE"""),"GV")</f>
        <v>GV</v>
      </c>
      <c r="M1203" s="43" t="str">
        <f>IFERROR(__xludf.DUMMYFUNCTION("""COMPUTED_VALUE"""),"short")</f>
        <v>short</v>
      </c>
      <c r="N1203" s="45">
        <f>IFERROR(__xludf.DUMMYFUNCTION("""COMPUTED_VALUE"""),45255.0)</f>
        <v>45255</v>
      </c>
      <c r="O1203" s="45">
        <f>IFERROR(__xludf.DUMMYFUNCTION("""COMPUTED_VALUE"""),45486.0)</f>
        <v>45486</v>
      </c>
      <c r="P1203" s="45">
        <f>IFERROR(__xludf.DUMMYFUNCTION("""COMPUTED_VALUE"""),45528.0)</f>
        <v>45528</v>
      </c>
      <c r="Q1203" s="45"/>
      <c r="R1203" s="45"/>
      <c r="S1203" s="43"/>
      <c r="T1203" s="43"/>
      <c r="U1203" s="43" t="str">
        <f>IFERROR(__xludf.DUMMYFUNCTION("""COMPUTED_VALUE"""),"On The Map")</f>
        <v>On The Map</v>
      </c>
      <c r="V1203" s="43" t="str">
        <f>IFERROR(__xludf.DUMMYFUNCTION("""COMPUTED_VALUE"""),"DUZCE")</f>
        <v>DUZCE</v>
      </c>
      <c r="W1203" s="43" t="str">
        <f>IFERROR(__xludf.DUMMYFUNCTION("""COMPUTED_VALUE"""),"2023-11-25T11:11:19Z")</f>
        <v>2023-11-25T11:11:19Z</v>
      </c>
      <c r="X1203" s="43"/>
      <c r="Y1203" s="43"/>
      <c r="Z1203" s="43"/>
    </row>
    <row r="1204" hidden="1">
      <c r="A1204" s="43" t="str">
        <f>IFERROR(__xludf.DUMMYFUNCTION("""COMPUTED_VALUE"""),"5379616_1294232")</f>
        <v>5379616_1294232</v>
      </c>
      <c r="B1204" s="43" t="str">
        <f>IFERROR(__xludf.DUMMYFUNCTION("""COMPUTED_VALUE"""),"Kubilay Tuna Ozen")</f>
        <v>Kubilay Tuna Ozen</v>
      </c>
      <c r="C1204" s="43" t="str">
        <f>IFERROR(__xludf.DUMMYFUNCTION("""COMPUTED_VALUE"""),"approved")</f>
        <v>approved</v>
      </c>
      <c r="D1204" s="43" t="str">
        <f>IFERROR(__xludf.DUMMYFUNCTION("""COMPUTED_VALUE"""),"No")</f>
        <v>No</v>
      </c>
      <c r="E1204" s="43" t="str">
        <f>IFERROR(__xludf.DUMMYFUNCTION("""COMPUTED_VALUE"""),"p_82a07d8dc805856e03fe6147f468e5db9d260beb@inbound.aiesec.org")</f>
        <v>p_82a07d8dc805856e03fe6147f468e5db9d260beb@inbound.aiesec.org</v>
      </c>
      <c r="F1204" s="43">
        <f>IFERROR(__xludf.DUMMYFUNCTION("""COMPUTED_VALUE"""),5.550344345E9)</f>
        <v>5550344345</v>
      </c>
      <c r="G1204" s="43" t="str">
        <f>IFERROR(__xludf.DUMMYFUNCTION("""COMPUTED_VALUE"""),"Turkey")</f>
        <v>Turkey</v>
      </c>
      <c r="H1204" s="43" t="str">
        <f>IFERROR(__xludf.DUMMYFUNCTION("""COMPUTED_VALUE"""),"SAKARYA")</f>
        <v>SAKARYA</v>
      </c>
      <c r="I1204" s="43" t="str">
        <f>IFERROR(__xludf.DUMMYFUNCTION("""COMPUTED_VALUE"""),"Egypt")</f>
        <v>Egypt</v>
      </c>
      <c r="J1204" s="43" t="str">
        <f>IFERROR(__xludf.DUMMYFUNCTION("""COMPUTED_VALUE"""),"Suez")</f>
        <v>Suez</v>
      </c>
      <c r="K1204" s="44" t="str">
        <f>IFERROR(__xludf.DUMMYFUNCTION("""COMPUTED_VALUE"""),"https://expa.aiesec.org/opportunities/1294232")</f>
        <v>https://expa.aiesec.org/opportunities/1294232</v>
      </c>
      <c r="L1204" s="43" t="str">
        <f>IFERROR(__xludf.DUMMYFUNCTION("""COMPUTED_VALUE"""),"GV")</f>
        <v>GV</v>
      </c>
      <c r="M1204" s="43" t="str">
        <f>IFERROR(__xludf.DUMMYFUNCTION("""COMPUTED_VALUE"""),"short")</f>
        <v>short</v>
      </c>
      <c r="N1204" s="45">
        <f>IFERROR(__xludf.DUMMYFUNCTION("""COMPUTED_VALUE"""),45255.0)</f>
        <v>45255</v>
      </c>
      <c r="O1204" s="45">
        <f>IFERROR(__xludf.DUMMYFUNCTION("""COMPUTED_VALUE"""),45474.0)</f>
        <v>45474</v>
      </c>
      <c r="P1204" s="45">
        <f>IFERROR(__xludf.DUMMYFUNCTION("""COMPUTED_VALUE"""),45516.0)</f>
        <v>45516</v>
      </c>
      <c r="Q1204" s="45"/>
      <c r="R1204" s="45"/>
      <c r="S1204" s="43"/>
      <c r="T1204" s="43"/>
      <c r="U1204" s="43" t="str">
        <f>IFERROR(__xludf.DUMMYFUNCTION("""COMPUTED_VALUE"""),"On The Map")</f>
        <v>On The Map</v>
      </c>
      <c r="V1204" s="43" t="str">
        <f>IFERROR(__xludf.DUMMYFUNCTION("""COMPUTED_VALUE"""),"ISTANBUL ASIA")</f>
        <v>ISTANBUL ASIA</v>
      </c>
      <c r="W1204" s="43" t="str">
        <f>IFERROR(__xludf.DUMMYFUNCTION("""COMPUTED_VALUE"""),"2023-11-25T13:02:47Z")</f>
        <v>2023-11-25T13:02:47Z</v>
      </c>
      <c r="X1204" s="43"/>
      <c r="Y1204" s="43"/>
      <c r="Z1204" s="43"/>
    </row>
    <row r="1205" hidden="1">
      <c r="A1205" s="43" t="str">
        <f>IFERROR(__xludf.DUMMYFUNCTION("""COMPUTED_VALUE"""),"5377786_1301109")</f>
        <v>5377786_1301109</v>
      </c>
      <c r="B1205" s="43" t="str">
        <f>IFERROR(__xludf.DUMMYFUNCTION("""COMPUTED_VALUE"""),"eylül şerbetci")</f>
        <v>eylül şerbetci</v>
      </c>
      <c r="C1205" s="43" t="str">
        <f>IFERROR(__xludf.DUMMYFUNCTION("""COMPUTED_VALUE"""),"approved")</f>
        <v>approved</v>
      </c>
      <c r="D1205" s="43" t="str">
        <f>IFERROR(__xludf.DUMMYFUNCTION("""COMPUTED_VALUE"""),"No")</f>
        <v>No</v>
      </c>
      <c r="E1205" s="43" t="str">
        <f>IFERROR(__xludf.DUMMYFUNCTION("""COMPUTED_VALUE"""),"p_9f292f19f854279fdd9b45e4d3ced8db73bb349a@inbound.aiesec.org")</f>
        <v>p_9f292f19f854279fdd9b45e4d3ced8db73bb349a@inbound.aiesec.org</v>
      </c>
      <c r="F1205" s="43">
        <f>IFERROR(__xludf.DUMMYFUNCTION("""COMPUTED_VALUE"""),5.309469982E9)</f>
        <v>5309469982</v>
      </c>
      <c r="G1205" s="43" t="str">
        <f>IFERROR(__xludf.DUMMYFUNCTION("""COMPUTED_VALUE"""),"Turkey")</f>
        <v>Turkey</v>
      </c>
      <c r="H1205" s="43" t="str">
        <f>IFERROR(__xludf.DUMMYFUNCTION("""COMPUTED_VALUE"""),"TRABZON")</f>
        <v>TRABZON</v>
      </c>
      <c r="I1205" s="43" t="str">
        <f>IFERROR(__xludf.DUMMYFUNCTION("""COMPUTED_VALUE"""),"Romania")</f>
        <v>Romania</v>
      </c>
      <c r="J1205" s="43" t="str">
        <f>IFERROR(__xludf.DUMMYFUNCTION("""COMPUTED_VALUE"""),"BUCURESTI")</f>
        <v>BUCURESTI</v>
      </c>
      <c r="K1205" s="44" t="str">
        <f>IFERROR(__xludf.DUMMYFUNCTION("""COMPUTED_VALUE"""),"https://expa.aiesec.org/opportunities/1301109")</f>
        <v>https://expa.aiesec.org/opportunities/1301109</v>
      </c>
      <c r="L1205" s="43" t="str">
        <f>IFERROR(__xludf.DUMMYFUNCTION("""COMPUTED_VALUE"""),"GV")</f>
        <v>GV</v>
      </c>
      <c r="M1205" s="43" t="str">
        <f>IFERROR(__xludf.DUMMYFUNCTION("""COMPUTED_VALUE"""),"short")</f>
        <v>short</v>
      </c>
      <c r="N1205" s="45">
        <f>IFERROR(__xludf.DUMMYFUNCTION("""COMPUTED_VALUE"""),45256.0)</f>
        <v>45256</v>
      </c>
      <c r="O1205" s="45">
        <f>IFERROR(__xludf.DUMMYFUNCTION("""COMPUTED_VALUE"""),45498.0)</f>
        <v>45498</v>
      </c>
      <c r="P1205" s="45">
        <f>IFERROR(__xludf.DUMMYFUNCTION("""COMPUTED_VALUE"""),45540.0)</f>
        <v>45540</v>
      </c>
      <c r="Q1205" s="45"/>
      <c r="R1205" s="45"/>
      <c r="S1205" s="43"/>
      <c r="T1205" s="43"/>
      <c r="U1205" s="43" t="str">
        <f>IFERROR(__xludf.DUMMYFUNCTION("""COMPUTED_VALUE"""),"Equify")</f>
        <v>Equify</v>
      </c>
      <c r="V1205" s="43" t="str">
        <f>IFERROR(__xludf.DUMMYFUNCTION("""COMPUTED_VALUE"""),"TRABZON")</f>
        <v>TRABZON</v>
      </c>
      <c r="W1205" s="43" t="str">
        <f>IFERROR(__xludf.DUMMYFUNCTION("""COMPUTED_VALUE"""),"2023-11-22T20:28:42Z")</f>
        <v>2023-11-22T20:28:42Z</v>
      </c>
      <c r="X1205" s="43"/>
      <c r="Y1205" s="43"/>
      <c r="Z1205" s="43"/>
    </row>
    <row r="1206" hidden="1">
      <c r="A1206" s="43" t="str">
        <f>IFERROR(__xludf.DUMMYFUNCTION("""COMPUTED_VALUE"""),"5378520_1298053")</f>
        <v>5378520_1298053</v>
      </c>
      <c r="B1206" s="43" t="str">
        <f>IFERROR(__xludf.DUMMYFUNCTION("""COMPUTED_VALUE"""),"Zehra Deniz Yılmaz")</f>
        <v>Zehra Deniz Yılmaz</v>
      </c>
      <c r="C1206" s="43" t="str">
        <f>IFERROR(__xludf.DUMMYFUNCTION("""COMPUTED_VALUE"""),"realized")</f>
        <v>realized</v>
      </c>
      <c r="D1206" s="43" t="str">
        <f>IFERROR(__xludf.DUMMYFUNCTION("""COMPUTED_VALUE"""),"No")</f>
        <v>No</v>
      </c>
      <c r="E1206" s="43" t="str">
        <f>IFERROR(__xludf.DUMMYFUNCTION("""COMPUTED_VALUE"""),"p_225c5359dc195506f42d2faf94cc67456f838a05@inbound.aiesec.org")</f>
        <v>p_225c5359dc195506f42d2faf94cc67456f838a05@inbound.aiesec.org</v>
      </c>
      <c r="F1206" s="43">
        <f>IFERROR(__xludf.DUMMYFUNCTION("""COMPUTED_VALUE"""),5.306105742E9)</f>
        <v>5306105742</v>
      </c>
      <c r="G1206" s="43" t="str">
        <f>IFERROR(__xludf.DUMMYFUNCTION("""COMPUTED_VALUE"""),"Turkey")</f>
        <v>Turkey</v>
      </c>
      <c r="H1206" s="43" t="str">
        <f>IFERROR(__xludf.DUMMYFUNCTION("""COMPUTED_VALUE"""),"ISTANBUL")</f>
        <v>ISTANBUL</v>
      </c>
      <c r="I1206" s="43" t="str">
        <f>IFERROR(__xludf.DUMMYFUNCTION("""COMPUTED_VALUE"""),"Romania")</f>
        <v>Romania</v>
      </c>
      <c r="J1206" s="43" t="str">
        <f>IFERROR(__xludf.DUMMYFUNCTION("""COMPUTED_VALUE"""),"PITESTI")</f>
        <v>PITESTI</v>
      </c>
      <c r="K1206" s="44" t="str">
        <f>IFERROR(__xludf.DUMMYFUNCTION("""COMPUTED_VALUE"""),"https://expa.aiesec.org/opportunities/1298053")</f>
        <v>https://expa.aiesec.org/opportunities/1298053</v>
      </c>
      <c r="L1206" s="43" t="str">
        <f>IFERROR(__xludf.DUMMYFUNCTION("""COMPUTED_VALUE"""),"GV")</f>
        <v>GV</v>
      </c>
      <c r="M1206" s="43" t="str">
        <f>IFERROR(__xludf.DUMMYFUNCTION("""COMPUTED_VALUE"""),"short")</f>
        <v>short</v>
      </c>
      <c r="N1206" s="45">
        <f>IFERROR(__xludf.DUMMYFUNCTION("""COMPUTED_VALUE"""),45256.0)</f>
        <v>45256</v>
      </c>
      <c r="O1206" s="45">
        <f>IFERROR(__xludf.DUMMYFUNCTION("""COMPUTED_VALUE"""),45318.0)</f>
        <v>45318</v>
      </c>
      <c r="P1206" s="45">
        <f>IFERROR(__xludf.DUMMYFUNCTION("""COMPUTED_VALUE"""),45360.0)</f>
        <v>45360</v>
      </c>
      <c r="Q1206" s="45">
        <f>IFERROR(__xludf.DUMMYFUNCTION("""COMPUTED_VALUE"""),45318.0)</f>
        <v>45318</v>
      </c>
      <c r="R1206" s="45">
        <f>IFERROR(__xludf.DUMMYFUNCTION("""COMPUTED_VALUE"""),45360.0)</f>
        <v>45360</v>
      </c>
      <c r="S1206" s="43"/>
      <c r="T1206" s="43"/>
      <c r="U1206" s="43" t="str">
        <f>IFERROR(__xludf.DUMMYFUNCTION("""COMPUTED_VALUE"""),"Eat 4 Change")</f>
        <v>Eat 4 Change</v>
      </c>
      <c r="V1206" s="43" t="str">
        <f>IFERROR(__xludf.DUMMYFUNCTION("""COMPUTED_VALUE"""),"ISTANBUL - BEYOGLU")</f>
        <v>ISTANBUL - BEYOGLU</v>
      </c>
      <c r="W1206" s="43" t="str">
        <f>IFERROR(__xludf.DUMMYFUNCTION("""COMPUTED_VALUE"""),"2023-11-23T18:29:40Z")</f>
        <v>2023-11-23T18:29:40Z</v>
      </c>
      <c r="X1206" s="43"/>
      <c r="Y1206" s="43"/>
      <c r="Z1206" s="43"/>
    </row>
    <row r="1207" hidden="1">
      <c r="A1207" s="43" t="str">
        <f>IFERROR(__xludf.DUMMYFUNCTION("""COMPUTED_VALUE"""),"5380385_1285085")</f>
        <v>5380385_1285085</v>
      </c>
      <c r="B1207" s="43" t="str">
        <f>IFERROR(__xludf.DUMMYFUNCTION("""COMPUTED_VALUE"""),"kübra Acevit")</f>
        <v>kübra Acevit</v>
      </c>
      <c r="C1207" s="43" t="str">
        <f>IFERROR(__xludf.DUMMYFUNCTION("""COMPUTED_VALUE"""),"approved")</f>
        <v>approved</v>
      </c>
      <c r="D1207" s="43" t="str">
        <f>IFERROR(__xludf.DUMMYFUNCTION("""COMPUTED_VALUE"""),"No")</f>
        <v>No</v>
      </c>
      <c r="E1207" s="43" t="str">
        <f>IFERROR(__xludf.DUMMYFUNCTION("""COMPUTED_VALUE"""),"p_930439a9ba1bb4dc4c7c25062185a833b012f46d@inbound.aiesec.org")</f>
        <v>p_930439a9ba1bb4dc4c7c25062185a833b012f46d@inbound.aiesec.org</v>
      </c>
      <c r="F1207" s="43">
        <f>IFERROR(__xludf.DUMMYFUNCTION("""COMPUTED_VALUE"""),5.307358603E9)</f>
        <v>5307358603</v>
      </c>
      <c r="G1207" s="43" t="str">
        <f>IFERROR(__xludf.DUMMYFUNCTION("""COMPUTED_VALUE"""),"Turkey")</f>
        <v>Turkey</v>
      </c>
      <c r="H1207" s="43" t="str">
        <f>IFERROR(__xludf.DUMMYFUNCTION("""COMPUTED_VALUE"""),"SAKARYA")</f>
        <v>SAKARYA</v>
      </c>
      <c r="I1207" s="43" t="str">
        <f>IFERROR(__xludf.DUMMYFUNCTION("""COMPUTED_VALUE"""),"Sri Lanka")</f>
        <v>Sri Lanka</v>
      </c>
      <c r="J1207" s="43" t="str">
        <f>IFERROR(__xludf.DUMMYFUNCTION("""COMPUTED_VALUE"""),"KANDY")</f>
        <v>KANDY</v>
      </c>
      <c r="K1207" s="44" t="str">
        <f>IFERROR(__xludf.DUMMYFUNCTION("""COMPUTED_VALUE"""),"https://expa.aiesec.org/opportunities/1285085")</f>
        <v>https://expa.aiesec.org/opportunities/1285085</v>
      </c>
      <c r="L1207" s="43" t="str">
        <f>IFERROR(__xludf.DUMMYFUNCTION("""COMPUTED_VALUE"""),"GV")</f>
        <v>GV</v>
      </c>
      <c r="M1207" s="43" t="str">
        <f>IFERROR(__xludf.DUMMYFUNCTION("""COMPUTED_VALUE"""),"short")</f>
        <v>short</v>
      </c>
      <c r="N1207" s="45">
        <f>IFERROR(__xludf.DUMMYFUNCTION("""COMPUTED_VALUE"""),45256.0)</f>
        <v>45256</v>
      </c>
      <c r="O1207" s="45">
        <f>IFERROR(__xludf.DUMMYFUNCTION("""COMPUTED_VALUE"""),45299.0)</f>
        <v>45299</v>
      </c>
      <c r="P1207" s="45">
        <f>IFERROR(__xludf.DUMMYFUNCTION("""COMPUTED_VALUE"""),45341.0)</f>
        <v>45341</v>
      </c>
      <c r="Q1207" s="45"/>
      <c r="R1207" s="45"/>
      <c r="S1207" s="43"/>
      <c r="T1207" s="43"/>
      <c r="U1207" s="43" t="str">
        <f>IFERROR(__xludf.DUMMYFUNCTION("""COMPUTED_VALUE"""),"Aquatica")</f>
        <v>Aquatica</v>
      </c>
      <c r="V1207" s="43" t="str">
        <f>IFERROR(__xludf.DUMMYFUNCTION("""COMPUTED_VALUE"""),"SAKARYA")</f>
        <v>SAKARYA</v>
      </c>
      <c r="W1207" s="43" t="str">
        <f>IFERROR(__xludf.DUMMYFUNCTION("""COMPUTED_VALUE"""),"2023-11-26T16:46:30Z")</f>
        <v>2023-11-26T16:46:30Z</v>
      </c>
      <c r="X1207" s="43"/>
      <c r="Y1207" s="43"/>
      <c r="Z1207" s="43"/>
    </row>
    <row r="1208" hidden="1">
      <c r="A1208" s="43" t="str">
        <f>IFERROR(__xludf.DUMMYFUNCTION("""COMPUTED_VALUE"""),"5379571_1300585")</f>
        <v>5379571_1300585</v>
      </c>
      <c r="B1208" s="43" t="str">
        <f>IFERROR(__xludf.DUMMYFUNCTION("""COMPUTED_VALUE"""),"Hakkı Ekim Erdoğan")</f>
        <v>Hakkı Ekim Erdoğan</v>
      </c>
      <c r="C1208" s="43" t="str">
        <f>IFERROR(__xludf.DUMMYFUNCTION("""COMPUTED_VALUE"""),"realized")</f>
        <v>realized</v>
      </c>
      <c r="D1208" s="43" t="str">
        <f>IFERROR(__xludf.DUMMYFUNCTION("""COMPUTED_VALUE"""),"No")</f>
        <v>No</v>
      </c>
      <c r="E1208" s="43" t="str">
        <f>IFERROR(__xludf.DUMMYFUNCTION("""COMPUTED_VALUE"""),"p_229c86e26681380c0019591bb664ab4fd796c91a@inbound.aiesec.org")</f>
        <v>p_229c86e26681380c0019591bb664ab4fd796c91a@inbound.aiesec.org</v>
      </c>
      <c r="F1208" s="43">
        <f>IFERROR(__xludf.DUMMYFUNCTION("""COMPUTED_VALUE"""),5.377930053E9)</f>
        <v>5377930053</v>
      </c>
      <c r="G1208" s="43" t="str">
        <f>IFERROR(__xludf.DUMMYFUNCTION("""COMPUTED_VALUE"""),"Turkey")</f>
        <v>Turkey</v>
      </c>
      <c r="H1208" s="43" t="str">
        <f>IFERROR(__xludf.DUMMYFUNCTION("""COMPUTED_VALUE"""),"ISTANBUL")</f>
        <v>ISTANBUL</v>
      </c>
      <c r="I1208" s="43" t="str">
        <f>IFERROR(__xludf.DUMMYFUNCTION("""COMPUTED_VALUE"""),"Italy")</f>
        <v>Italy</v>
      </c>
      <c r="J1208" s="43" t="str">
        <f>IFERROR(__xludf.DUMMYFUNCTION("""COMPUTED_VALUE"""),"Pavia")</f>
        <v>Pavia</v>
      </c>
      <c r="K1208" s="44" t="str">
        <f>IFERROR(__xludf.DUMMYFUNCTION("""COMPUTED_VALUE"""),"https://expa.aiesec.org/opportunities/1300585")</f>
        <v>https://expa.aiesec.org/opportunities/1300585</v>
      </c>
      <c r="L1208" s="43" t="str">
        <f>IFERROR(__xludf.DUMMYFUNCTION("""COMPUTED_VALUE"""),"GV")</f>
        <v>GV</v>
      </c>
      <c r="M1208" s="43" t="str">
        <f>IFERROR(__xludf.DUMMYFUNCTION("""COMPUTED_VALUE"""),"short")</f>
        <v>short</v>
      </c>
      <c r="N1208" s="45">
        <f>IFERROR(__xludf.DUMMYFUNCTION("""COMPUTED_VALUE"""),45256.0)</f>
        <v>45256</v>
      </c>
      <c r="O1208" s="45">
        <f>IFERROR(__xludf.DUMMYFUNCTION("""COMPUTED_VALUE"""),45313.0)</f>
        <v>45313</v>
      </c>
      <c r="P1208" s="45">
        <f>IFERROR(__xludf.DUMMYFUNCTION("""COMPUTED_VALUE"""),45358.0)</f>
        <v>45358</v>
      </c>
      <c r="Q1208" s="45">
        <f>IFERROR(__xludf.DUMMYFUNCTION("""COMPUTED_VALUE"""),45313.0)</f>
        <v>45313</v>
      </c>
      <c r="R1208" s="45">
        <f>IFERROR(__xludf.DUMMYFUNCTION("""COMPUTED_VALUE"""),45358.0)</f>
        <v>45358</v>
      </c>
      <c r="S1208" s="43"/>
      <c r="T1208" s="43"/>
      <c r="U1208" s="43" t="str">
        <f>IFERROR(__xludf.DUMMYFUNCTION("""COMPUTED_VALUE"""),"Youth 4 Impact")</f>
        <v>Youth 4 Impact</v>
      </c>
      <c r="V1208" s="43" t="str">
        <f>IFERROR(__xludf.DUMMYFUNCTION("""COMPUTED_VALUE"""),"ISTANBUL ASIA")</f>
        <v>ISTANBUL ASIA</v>
      </c>
      <c r="W1208" s="43" t="str">
        <f>IFERROR(__xludf.DUMMYFUNCTION("""COMPUTED_VALUE"""),"2023-11-25T12:07:09Z")</f>
        <v>2023-11-25T12:07:09Z</v>
      </c>
      <c r="X1208" s="43"/>
      <c r="Y1208" s="43"/>
      <c r="Z1208" s="43"/>
    </row>
    <row r="1209" hidden="1">
      <c r="A1209" s="43" t="str">
        <f>IFERROR(__xludf.DUMMYFUNCTION("""COMPUTED_VALUE"""),"5378437_1301239")</f>
        <v>5378437_1301239</v>
      </c>
      <c r="B1209" s="43" t="str">
        <f>IFERROR(__xludf.DUMMYFUNCTION("""COMPUTED_VALUE"""),"Ipek Inci OGE")</f>
        <v>Ipek Inci OGE</v>
      </c>
      <c r="C1209" s="43" t="str">
        <f>IFERROR(__xludf.DUMMYFUNCTION("""COMPUTED_VALUE"""),"approved")</f>
        <v>approved</v>
      </c>
      <c r="D1209" s="43" t="str">
        <f>IFERROR(__xludf.DUMMYFUNCTION("""COMPUTED_VALUE"""),"No")</f>
        <v>No</v>
      </c>
      <c r="E1209" s="43" t="str">
        <f>IFERROR(__xludf.DUMMYFUNCTION("""COMPUTED_VALUE"""),"p_1394722589abf77eb0b1828c7dbbe16fad1e6d93@inbound.aiesec.org")</f>
        <v>p_1394722589abf77eb0b1828c7dbbe16fad1e6d93@inbound.aiesec.org</v>
      </c>
      <c r="F1209" s="43">
        <f>IFERROR(__xludf.DUMMYFUNCTION("""COMPUTED_VALUE"""),5.312529248E9)</f>
        <v>5312529248</v>
      </c>
      <c r="G1209" s="43" t="str">
        <f>IFERROR(__xludf.DUMMYFUNCTION("""COMPUTED_VALUE"""),"Turkey")</f>
        <v>Turkey</v>
      </c>
      <c r="H1209" s="43" t="str">
        <f>IFERROR(__xludf.DUMMYFUNCTION("""COMPUTED_VALUE"""),"ISTANBUL")</f>
        <v>ISTANBUL</v>
      </c>
      <c r="I1209" s="43" t="str">
        <f>IFERROR(__xludf.DUMMYFUNCTION("""COMPUTED_VALUE"""),"Romania")</f>
        <v>Romania</v>
      </c>
      <c r="J1209" s="43" t="str">
        <f>IFERROR(__xludf.DUMMYFUNCTION("""COMPUTED_VALUE"""),"BUCURESTI")</f>
        <v>BUCURESTI</v>
      </c>
      <c r="K1209" s="44" t="str">
        <f>IFERROR(__xludf.DUMMYFUNCTION("""COMPUTED_VALUE"""),"https://expa.aiesec.org/opportunities/1301239")</f>
        <v>https://expa.aiesec.org/opportunities/1301239</v>
      </c>
      <c r="L1209" s="43" t="str">
        <f>IFERROR(__xludf.DUMMYFUNCTION("""COMPUTED_VALUE"""),"GV")</f>
        <v>GV</v>
      </c>
      <c r="M1209" s="43" t="str">
        <f>IFERROR(__xludf.DUMMYFUNCTION("""COMPUTED_VALUE"""),"short")</f>
        <v>short</v>
      </c>
      <c r="N1209" s="45">
        <f>IFERROR(__xludf.DUMMYFUNCTION("""COMPUTED_VALUE"""),45256.0)</f>
        <v>45256</v>
      </c>
      <c r="O1209" s="45">
        <f>IFERROR(__xludf.DUMMYFUNCTION("""COMPUTED_VALUE"""),45498.0)</f>
        <v>45498</v>
      </c>
      <c r="P1209" s="45">
        <f>IFERROR(__xludf.DUMMYFUNCTION("""COMPUTED_VALUE"""),45540.0)</f>
        <v>45540</v>
      </c>
      <c r="Q1209" s="45"/>
      <c r="R1209" s="45"/>
      <c r="S1209" s="43"/>
      <c r="T1209" s="43"/>
      <c r="U1209" s="43" t="str">
        <f>IFERROR(__xludf.DUMMYFUNCTION("""COMPUTED_VALUE"""),"Skill Up!")</f>
        <v>Skill Up!</v>
      </c>
      <c r="V1209" s="43" t="str">
        <f>IFERROR(__xludf.DUMMYFUNCTION("""COMPUTED_VALUE"""),"ISTANBUL - BEYOGLU")</f>
        <v>ISTANBUL - BEYOGLU</v>
      </c>
      <c r="W1209" s="43" t="str">
        <f>IFERROR(__xludf.DUMMYFUNCTION("""COMPUTED_VALUE"""),"2023-11-23T16:10:44Z")</f>
        <v>2023-11-23T16:10:44Z</v>
      </c>
      <c r="X1209" s="43"/>
      <c r="Y1209" s="43"/>
      <c r="Z1209" s="43"/>
    </row>
    <row r="1210" hidden="1">
      <c r="A1210" s="43" t="str">
        <f>IFERROR(__xludf.DUMMYFUNCTION("""COMPUTED_VALUE"""),"5380400_1300165")</f>
        <v>5380400_1300165</v>
      </c>
      <c r="B1210" s="43" t="str">
        <f>IFERROR(__xludf.DUMMYFUNCTION("""COMPUTED_VALUE"""),"Serdar Zengin")</f>
        <v>Serdar Zengin</v>
      </c>
      <c r="C1210" s="43" t="str">
        <f>IFERROR(__xludf.DUMMYFUNCTION("""COMPUTED_VALUE"""),"approved")</f>
        <v>approved</v>
      </c>
      <c r="D1210" s="43" t="str">
        <f>IFERROR(__xludf.DUMMYFUNCTION("""COMPUTED_VALUE"""),"No")</f>
        <v>No</v>
      </c>
      <c r="E1210" s="43" t="str">
        <f>IFERROR(__xludf.DUMMYFUNCTION("""COMPUTED_VALUE"""),"p_2d2f37789d5354e63ae5210bfcfe1ff986ccfdde@inbound.aiesec.org")</f>
        <v>p_2d2f37789d5354e63ae5210bfcfe1ff986ccfdde@inbound.aiesec.org</v>
      </c>
      <c r="F1210" s="43"/>
      <c r="G1210" s="43" t="str">
        <f>IFERROR(__xludf.DUMMYFUNCTION("""COMPUTED_VALUE"""),"Turkey")</f>
        <v>Turkey</v>
      </c>
      <c r="H1210" s="43" t="str">
        <f>IFERROR(__xludf.DUMMYFUNCTION("""COMPUTED_VALUE"""),"ISTANBUL")</f>
        <v>ISTANBUL</v>
      </c>
      <c r="I1210" s="43" t="str">
        <f>IFERROR(__xludf.DUMMYFUNCTION("""COMPUTED_VALUE"""),"Serbia")</f>
        <v>Serbia</v>
      </c>
      <c r="J1210" s="43" t="str">
        <f>IFERROR(__xludf.DUMMYFUNCTION("""COMPUTED_VALUE"""),"NIS")</f>
        <v>NIS</v>
      </c>
      <c r="K1210" s="44" t="str">
        <f>IFERROR(__xludf.DUMMYFUNCTION("""COMPUTED_VALUE"""),"https://expa.aiesec.org/opportunities/1300165")</f>
        <v>https://expa.aiesec.org/opportunities/1300165</v>
      </c>
      <c r="L1210" s="43" t="str">
        <f>IFERROR(__xludf.DUMMYFUNCTION("""COMPUTED_VALUE"""),"GV")</f>
        <v>GV</v>
      </c>
      <c r="M1210" s="43" t="str">
        <f>IFERROR(__xludf.DUMMYFUNCTION("""COMPUTED_VALUE"""),"short")</f>
        <v>short</v>
      </c>
      <c r="N1210" s="45">
        <f>IFERROR(__xludf.DUMMYFUNCTION("""COMPUTED_VALUE"""),45256.0)</f>
        <v>45256</v>
      </c>
      <c r="O1210" s="45">
        <f>IFERROR(__xludf.DUMMYFUNCTION("""COMPUTED_VALUE"""),45306.0)</f>
        <v>45306</v>
      </c>
      <c r="P1210" s="45">
        <f>IFERROR(__xludf.DUMMYFUNCTION("""COMPUTED_VALUE"""),45348.0)</f>
        <v>45348</v>
      </c>
      <c r="Q1210" s="45"/>
      <c r="R1210" s="45"/>
      <c r="S1210" s="43"/>
      <c r="T1210" s="43"/>
      <c r="U1210" s="43" t="str">
        <f>IFERROR(__xludf.DUMMYFUNCTION("""COMPUTED_VALUE"""),"Skill Up!")</f>
        <v>Skill Up!</v>
      </c>
      <c r="V1210" s="43" t="str">
        <f>IFERROR(__xludf.DUMMYFUNCTION("""COMPUTED_VALUE"""),"-")</f>
        <v>-</v>
      </c>
      <c r="W1210" s="43" t="str">
        <f>IFERROR(__xludf.DUMMYFUNCTION("""COMPUTED_VALUE"""),"2023-11-26T17:29:46Z")</f>
        <v>2023-11-26T17:29:46Z</v>
      </c>
      <c r="X1210" s="43"/>
      <c r="Y1210" s="43"/>
      <c r="Z1210" s="43"/>
    </row>
    <row r="1211" hidden="1">
      <c r="A1211" s="43" t="str">
        <f>IFERROR(__xludf.DUMMYFUNCTION("""COMPUTED_VALUE"""),"5379835_1299605")</f>
        <v>5379835_1299605</v>
      </c>
      <c r="B1211" s="43" t="str">
        <f>IFERROR(__xludf.DUMMYFUNCTION("""COMPUTED_VALUE"""),"Tarık Batu Yörür")</f>
        <v>Tarık Batu Yörür</v>
      </c>
      <c r="C1211" s="43" t="str">
        <f>IFERROR(__xludf.DUMMYFUNCTION("""COMPUTED_VALUE"""),"approved")</f>
        <v>approved</v>
      </c>
      <c r="D1211" s="43" t="str">
        <f>IFERROR(__xludf.DUMMYFUNCTION("""COMPUTED_VALUE"""),"No")</f>
        <v>No</v>
      </c>
      <c r="E1211" s="43" t="str">
        <f>IFERROR(__xludf.DUMMYFUNCTION("""COMPUTED_VALUE"""),"p_7ee62de53eccc2dee40c18c7ff95213385f3271c@inbound.aiesec.org")</f>
        <v>p_7ee62de53eccc2dee40c18c7ff95213385f3271c@inbound.aiesec.org</v>
      </c>
      <c r="F1211" s="43">
        <f>IFERROR(__xludf.DUMMYFUNCTION("""COMPUTED_VALUE"""),5.316080689E9)</f>
        <v>5316080689</v>
      </c>
      <c r="G1211" s="43" t="str">
        <f>IFERROR(__xludf.DUMMYFUNCTION("""COMPUTED_VALUE"""),"Turkey")</f>
        <v>Turkey</v>
      </c>
      <c r="H1211" s="43" t="str">
        <f>IFERROR(__xludf.DUMMYFUNCTION("""COMPUTED_VALUE"""),"ISTANBUL")</f>
        <v>ISTANBUL</v>
      </c>
      <c r="I1211" s="43" t="str">
        <f>IFERROR(__xludf.DUMMYFUNCTION("""COMPUTED_VALUE"""),"Tunisia")</f>
        <v>Tunisia</v>
      </c>
      <c r="J1211" s="43" t="str">
        <f>IFERROR(__xludf.DUMMYFUNCTION("""COMPUTED_VALUE"""),"SFAX")</f>
        <v>SFAX</v>
      </c>
      <c r="K1211" s="44" t="str">
        <f>IFERROR(__xludf.DUMMYFUNCTION("""COMPUTED_VALUE"""),"https://expa.aiesec.org/opportunities/1299605")</f>
        <v>https://expa.aiesec.org/opportunities/1299605</v>
      </c>
      <c r="L1211" s="43" t="str">
        <f>IFERROR(__xludf.DUMMYFUNCTION("""COMPUTED_VALUE"""),"GV")</f>
        <v>GV</v>
      </c>
      <c r="M1211" s="43" t="str">
        <f>IFERROR(__xludf.DUMMYFUNCTION("""COMPUTED_VALUE"""),"short")</f>
        <v>short</v>
      </c>
      <c r="N1211" s="45">
        <f>IFERROR(__xludf.DUMMYFUNCTION("""COMPUTED_VALUE"""),45256.0)</f>
        <v>45256</v>
      </c>
      <c r="O1211" s="45">
        <f>IFERROR(__xludf.DUMMYFUNCTION("""COMPUTED_VALUE"""),45488.0)</f>
        <v>45488</v>
      </c>
      <c r="P1211" s="45">
        <f>IFERROR(__xludf.DUMMYFUNCTION("""COMPUTED_VALUE"""),45530.0)</f>
        <v>45530</v>
      </c>
      <c r="Q1211" s="45"/>
      <c r="R1211" s="45"/>
      <c r="S1211" s="43"/>
      <c r="T1211" s="43"/>
      <c r="U1211" s="43" t="str">
        <f>IFERROR(__xludf.DUMMYFUNCTION("""COMPUTED_VALUE"""),"Aquatica")</f>
        <v>Aquatica</v>
      </c>
      <c r="V1211" s="43" t="str">
        <f>IFERROR(__xludf.DUMMYFUNCTION("""COMPUTED_VALUE"""),"ISTANBUL - BEYOGLU")</f>
        <v>ISTANBUL - BEYOGLU</v>
      </c>
      <c r="W1211" s="43" t="str">
        <f>IFERROR(__xludf.DUMMYFUNCTION("""COMPUTED_VALUE"""),"2023-11-25T20:54:50Z")</f>
        <v>2023-11-25T20:54:50Z</v>
      </c>
      <c r="X1211" s="43"/>
      <c r="Y1211" s="43"/>
      <c r="Z1211" s="43"/>
    </row>
    <row r="1212" hidden="1">
      <c r="A1212" s="43" t="str">
        <f>IFERROR(__xludf.DUMMYFUNCTION("""COMPUTED_VALUE"""),"5379645_1298372")</f>
        <v>5379645_1298372</v>
      </c>
      <c r="B1212" s="43" t="str">
        <f>IFERROR(__xludf.DUMMYFUNCTION("""COMPUTED_VALUE"""),"Sümeyra Demiryürek")</f>
        <v>Sümeyra Demiryürek</v>
      </c>
      <c r="C1212" s="43" t="str">
        <f>IFERROR(__xludf.DUMMYFUNCTION("""COMPUTED_VALUE"""),"approved")</f>
        <v>approved</v>
      </c>
      <c r="D1212" s="43" t="str">
        <f>IFERROR(__xludf.DUMMYFUNCTION("""COMPUTED_VALUE"""),"No")</f>
        <v>No</v>
      </c>
      <c r="E1212" s="43" t="str">
        <f>IFERROR(__xludf.DUMMYFUNCTION("""COMPUTED_VALUE"""),"p_86194b26b80596e18905a4ec1a88694473cdfd04@inbound.aiesec.org")</f>
        <v>p_86194b26b80596e18905a4ec1a88694473cdfd04@inbound.aiesec.org</v>
      </c>
      <c r="F1212" s="43">
        <f>IFERROR(__xludf.DUMMYFUNCTION("""COMPUTED_VALUE"""),5.45775783E9)</f>
        <v>5457757830</v>
      </c>
      <c r="G1212" s="43" t="str">
        <f>IFERROR(__xludf.DUMMYFUNCTION("""COMPUTED_VALUE"""),"Turkey")</f>
        <v>Turkey</v>
      </c>
      <c r="H1212" s="43" t="str">
        <f>IFERROR(__xludf.DUMMYFUNCTION("""COMPUTED_VALUE"""),"ADANA")</f>
        <v>ADANA</v>
      </c>
      <c r="I1212" s="43" t="str">
        <f>IFERROR(__xludf.DUMMYFUNCTION("""COMPUTED_VALUE"""),"Egypt")</f>
        <v>Egypt</v>
      </c>
      <c r="J1212" s="43" t="str">
        <f>IFERROR(__xludf.DUMMYFUNCTION("""COMPUTED_VALUE"""),"Helwan")</f>
        <v>Helwan</v>
      </c>
      <c r="K1212" s="44" t="str">
        <f>IFERROR(__xludf.DUMMYFUNCTION("""COMPUTED_VALUE"""),"https://expa.aiesec.org/opportunities/1298372")</f>
        <v>https://expa.aiesec.org/opportunities/1298372</v>
      </c>
      <c r="L1212" s="43" t="str">
        <f>IFERROR(__xludf.DUMMYFUNCTION("""COMPUTED_VALUE"""),"GV")</f>
        <v>GV</v>
      </c>
      <c r="M1212" s="43" t="str">
        <f>IFERROR(__xludf.DUMMYFUNCTION("""COMPUTED_VALUE"""),"short")</f>
        <v>short</v>
      </c>
      <c r="N1212" s="45">
        <f>IFERROR(__xludf.DUMMYFUNCTION("""COMPUTED_VALUE"""),45257.0)</f>
        <v>45257</v>
      </c>
      <c r="O1212" s="45">
        <f>IFERROR(__xludf.DUMMYFUNCTION("""COMPUTED_VALUE"""),45383.0)</f>
        <v>45383</v>
      </c>
      <c r="P1212" s="45">
        <f>IFERROR(__xludf.DUMMYFUNCTION("""COMPUTED_VALUE"""),45425.0)</f>
        <v>45425</v>
      </c>
      <c r="Q1212" s="45"/>
      <c r="R1212" s="45"/>
      <c r="S1212" s="43"/>
      <c r="T1212" s="43"/>
      <c r="U1212" s="43" t="str">
        <f>IFERROR(__xludf.DUMMYFUNCTION("""COMPUTED_VALUE"""),"Equify")</f>
        <v>Equify</v>
      </c>
      <c r="V1212" s="43" t="str">
        <f>IFERROR(__xludf.DUMMYFUNCTION("""COMPUTED_VALUE"""),"ADANA")</f>
        <v>ADANA</v>
      </c>
      <c r="W1212" s="43" t="str">
        <f>IFERROR(__xludf.DUMMYFUNCTION("""COMPUTED_VALUE"""),"2023-11-25T13:57:18Z")</f>
        <v>2023-11-25T13:57:18Z</v>
      </c>
      <c r="X1212" s="43"/>
      <c r="Y1212" s="43"/>
      <c r="Z1212" s="43"/>
    </row>
    <row r="1213" hidden="1">
      <c r="A1213" s="43" t="str">
        <f>IFERROR(__xludf.DUMMYFUNCTION("""COMPUTED_VALUE"""),"5379314_1293100")</f>
        <v>5379314_1293100</v>
      </c>
      <c r="B1213" s="43" t="str">
        <f>IFERROR(__xludf.DUMMYFUNCTION("""COMPUTED_VALUE"""),"Ahmet Çetin")</f>
        <v>Ahmet Çetin</v>
      </c>
      <c r="C1213" s="43" t="str">
        <f>IFERROR(__xludf.DUMMYFUNCTION("""COMPUTED_VALUE"""),"approved")</f>
        <v>approved</v>
      </c>
      <c r="D1213" s="43" t="str">
        <f>IFERROR(__xludf.DUMMYFUNCTION("""COMPUTED_VALUE"""),"No")</f>
        <v>No</v>
      </c>
      <c r="E1213" s="43" t="str">
        <f>IFERROR(__xludf.DUMMYFUNCTION("""COMPUTED_VALUE"""),"p_28bda4df35050fe2315274d407c25a3067e53b42@inbound.aiesec.org")</f>
        <v>p_28bda4df35050fe2315274d407c25a3067e53b42@inbound.aiesec.org</v>
      </c>
      <c r="F1213" s="43">
        <f>IFERROR(__xludf.DUMMYFUNCTION("""COMPUTED_VALUE"""),5.455995735E9)</f>
        <v>5455995735</v>
      </c>
      <c r="G1213" s="43" t="str">
        <f>IFERROR(__xludf.DUMMYFUNCTION("""COMPUTED_VALUE"""),"Turkey")</f>
        <v>Turkey</v>
      </c>
      <c r="H1213" s="43" t="str">
        <f>IFERROR(__xludf.DUMMYFUNCTION("""COMPUTED_VALUE"""),"KOCAELI")</f>
        <v>KOCAELI</v>
      </c>
      <c r="I1213" s="43" t="str">
        <f>IFERROR(__xludf.DUMMYFUNCTION("""COMPUTED_VALUE"""),"India")</f>
        <v>India</v>
      </c>
      <c r="J1213" s="43" t="str">
        <f>IFERROR(__xludf.DUMMYFUNCTION("""COMPUTED_VALUE"""),"JAIPUR ")</f>
        <v>JAIPUR </v>
      </c>
      <c r="K1213" s="44" t="str">
        <f>IFERROR(__xludf.DUMMYFUNCTION("""COMPUTED_VALUE"""),"https://expa.aiesec.org/opportunities/1293100")</f>
        <v>https://expa.aiesec.org/opportunities/1293100</v>
      </c>
      <c r="L1213" s="43" t="str">
        <f>IFERROR(__xludf.DUMMYFUNCTION("""COMPUTED_VALUE"""),"GV")</f>
        <v>GV</v>
      </c>
      <c r="M1213" s="43" t="str">
        <f>IFERROR(__xludf.DUMMYFUNCTION("""COMPUTED_VALUE"""),"short")</f>
        <v>short</v>
      </c>
      <c r="N1213" s="45">
        <f>IFERROR(__xludf.DUMMYFUNCTION("""COMPUTED_VALUE"""),45257.0)</f>
        <v>45257</v>
      </c>
      <c r="O1213" s="45">
        <f>IFERROR(__xludf.DUMMYFUNCTION("""COMPUTED_VALUE"""),45475.0)</f>
        <v>45475</v>
      </c>
      <c r="P1213" s="45">
        <f>IFERROR(__xludf.DUMMYFUNCTION("""COMPUTED_VALUE"""),45517.0)</f>
        <v>45517</v>
      </c>
      <c r="Q1213" s="45"/>
      <c r="R1213" s="45"/>
      <c r="S1213" s="43"/>
      <c r="T1213" s="43"/>
      <c r="U1213" s="43" t="str">
        <f>IFERROR(__xludf.DUMMYFUNCTION("""COMPUTED_VALUE"""),"Skill Up!")</f>
        <v>Skill Up!</v>
      </c>
      <c r="V1213" s="43" t="str">
        <f>IFERROR(__xludf.DUMMYFUNCTION("""COMPUTED_VALUE"""),"KOCAELI")</f>
        <v>KOCAELI</v>
      </c>
      <c r="W1213" s="43" t="str">
        <f>IFERROR(__xludf.DUMMYFUNCTION("""COMPUTED_VALUE"""),"2023-11-24T20:47:23Z")</f>
        <v>2023-11-24T20:47:23Z</v>
      </c>
      <c r="X1213" s="43"/>
      <c r="Y1213" s="43"/>
      <c r="Z1213" s="43"/>
    </row>
    <row r="1214" hidden="1">
      <c r="A1214" s="43" t="str">
        <f>IFERROR(__xludf.DUMMYFUNCTION("""COMPUTED_VALUE"""),"5372823_1299121")</f>
        <v>5372823_1299121</v>
      </c>
      <c r="B1214" s="43" t="str">
        <f>IFERROR(__xludf.DUMMYFUNCTION("""COMPUTED_VALUE"""),"Hasan Sevim")</f>
        <v>Hasan Sevim</v>
      </c>
      <c r="C1214" s="43" t="str">
        <f>IFERROR(__xludf.DUMMYFUNCTION("""COMPUTED_VALUE"""),"approved")</f>
        <v>approved</v>
      </c>
      <c r="D1214" s="43" t="str">
        <f>IFERROR(__xludf.DUMMYFUNCTION("""COMPUTED_VALUE"""),"No")</f>
        <v>No</v>
      </c>
      <c r="E1214" s="43" t="str">
        <f>IFERROR(__xludf.DUMMYFUNCTION("""COMPUTED_VALUE"""),"p_b060d9550c4d68a79013a5220d83e06ad1cfbd7a@inbound.aiesec.org")</f>
        <v>p_b060d9550c4d68a79013a5220d83e06ad1cfbd7a@inbound.aiesec.org</v>
      </c>
      <c r="F1214" s="43">
        <f>IFERROR(__xludf.DUMMYFUNCTION("""COMPUTED_VALUE"""),5.346326565E9)</f>
        <v>5346326565</v>
      </c>
      <c r="G1214" s="43" t="str">
        <f>IFERROR(__xludf.DUMMYFUNCTION("""COMPUTED_VALUE"""),"Turkey")</f>
        <v>Turkey</v>
      </c>
      <c r="H1214" s="43" t="str">
        <f>IFERROR(__xludf.DUMMYFUNCTION("""COMPUTED_VALUE"""),"ADANA")</f>
        <v>ADANA</v>
      </c>
      <c r="I1214" s="43" t="str">
        <f>IFERROR(__xludf.DUMMYFUNCTION("""COMPUTED_VALUE"""),"Czech Republic")</f>
        <v>Czech Republic</v>
      </c>
      <c r="J1214" s="43" t="str">
        <f>IFERROR(__xludf.DUMMYFUNCTION("""COMPUTED_VALUE"""),"PILSEN")</f>
        <v>PILSEN</v>
      </c>
      <c r="K1214" s="44" t="str">
        <f>IFERROR(__xludf.DUMMYFUNCTION("""COMPUTED_VALUE"""),"https://expa.aiesec.org/opportunities/1299121")</f>
        <v>https://expa.aiesec.org/opportunities/1299121</v>
      </c>
      <c r="L1214" s="43" t="str">
        <f>IFERROR(__xludf.DUMMYFUNCTION("""COMPUTED_VALUE"""),"GV")</f>
        <v>GV</v>
      </c>
      <c r="M1214" s="43" t="str">
        <f>IFERROR(__xludf.DUMMYFUNCTION("""COMPUTED_VALUE"""),"short")</f>
        <v>short</v>
      </c>
      <c r="N1214" s="45">
        <f>IFERROR(__xludf.DUMMYFUNCTION("""COMPUTED_VALUE"""),45257.0)</f>
        <v>45257</v>
      </c>
      <c r="O1214" s="45">
        <f>IFERROR(__xludf.DUMMYFUNCTION("""COMPUTED_VALUE"""),45306.0)</f>
        <v>45306</v>
      </c>
      <c r="P1214" s="45">
        <f>IFERROR(__xludf.DUMMYFUNCTION("""COMPUTED_VALUE"""),45348.0)</f>
        <v>45348</v>
      </c>
      <c r="Q1214" s="45"/>
      <c r="R1214" s="45"/>
      <c r="S1214" s="43"/>
      <c r="T1214" s="43"/>
      <c r="U1214" s="43" t="str">
        <f>IFERROR(__xludf.DUMMYFUNCTION("""COMPUTED_VALUE"""),"Youth 4 Impact")</f>
        <v>Youth 4 Impact</v>
      </c>
      <c r="V1214" s="43" t="str">
        <f>IFERROR(__xludf.DUMMYFUNCTION("""COMPUTED_VALUE"""),"ADANA")</f>
        <v>ADANA</v>
      </c>
      <c r="W1214" s="43" t="str">
        <f>IFERROR(__xludf.DUMMYFUNCTION("""COMPUTED_VALUE"""),"2023-11-15T11:41:14Z")</f>
        <v>2023-11-15T11:41:14Z</v>
      </c>
      <c r="X1214" s="43"/>
      <c r="Y1214" s="43"/>
      <c r="Z1214" s="43"/>
    </row>
    <row r="1215" hidden="1">
      <c r="A1215" s="43" t="str">
        <f>IFERROR(__xludf.DUMMYFUNCTION("""COMPUTED_VALUE"""),"5376170_1286339")</f>
        <v>5376170_1286339</v>
      </c>
      <c r="B1215" s="43" t="str">
        <f>IFERROR(__xludf.DUMMYFUNCTION("""COMPUTED_VALUE"""),"Dila Akdulum")</f>
        <v>Dila Akdulum</v>
      </c>
      <c r="C1215" s="43" t="str">
        <f>IFERROR(__xludf.DUMMYFUNCTION("""COMPUTED_VALUE"""),"approved")</f>
        <v>approved</v>
      </c>
      <c r="D1215" s="43" t="str">
        <f>IFERROR(__xludf.DUMMYFUNCTION("""COMPUTED_VALUE"""),"No")</f>
        <v>No</v>
      </c>
      <c r="E1215" s="43" t="str">
        <f>IFERROR(__xludf.DUMMYFUNCTION("""COMPUTED_VALUE"""),"p_7db1f7153bd36ec4c6363480b336cd08e32ee156@inbound.aiesec.org")</f>
        <v>p_7db1f7153bd36ec4c6363480b336cd08e32ee156@inbound.aiesec.org</v>
      </c>
      <c r="F1215" s="43">
        <f>IFERROR(__xludf.DUMMYFUNCTION("""COMPUTED_VALUE"""),5.525703515E9)</f>
        <v>5525703515</v>
      </c>
      <c r="G1215" s="43" t="str">
        <f>IFERROR(__xludf.DUMMYFUNCTION("""COMPUTED_VALUE"""),"Turkey")</f>
        <v>Turkey</v>
      </c>
      <c r="H1215" s="43" t="str">
        <f>IFERROR(__xludf.DUMMYFUNCTION("""COMPUTED_VALUE"""),"ISTANBUL ASIA")</f>
        <v>ISTANBUL ASIA</v>
      </c>
      <c r="I1215" s="43" t="str">
        <f>IFERROR(__xludf.DUMMYFUNCTION("""COMPUTED_VALUE"""),"Sri Lanka")</f>
        <v>Sri Lanka</v>
      </c>
      <c r="J1215" s="43" t="str">
        <f>IFERROR(__xludf.DUMMYFUNCTION("""COMPUTED_VALUE"""),"RUHUNA")</f>
        <v>RUHUNA</v>
      </c>
      <c r="K1215" s="44" t="str">
        <f>IFERROR(__xludf.DUMMYFUNCTION("""COMPUTED_VALUE"""),"https://expa.aiesec.org/opportunities/1286339")</f>
        <v>https://expa.aiesec.org/opportunities/1286339</v>
      </c>
      <c r="L1215" s="43" t="str">
        <f>IFERROR(__xludf.DUMMYFUNCTION("""COMPUTED_VALUE"""),"GV")</f>
        <v>GV</v>
      </c>
      <c r="M1215" s="43" t="str">
        <f>IFERROR(__xludf.DUMMYFUNCTION("""COMPUTED_VALUE"""),"short")</f>
        <v>short</v>
      </c>
      <c r="N1215" s="45">
        <f>IFERROR(__xludf.DUMMYFUNCTION("""COMPUTED_VALUE"""),45257.0)</f>
        <v>45257</v>
      </c>
      <c r="O1215" s="45">
        <f>IFERROR(__xludf.DUMMYFUNCTION("""COMPUTED_VALUE"""),45460.0)</f>
        <v>45460</v>
      </c>
      <c r="P1215" s="45">
        <f>IFERROR(__xludf.DUMMYFUNCTION("""COMPUTED_VALUE"""),45502.0)</f>
        <v>45502</v>
      </c>
      <c r="Q1215" s="45"/>
      <c r="R1215" s="45"/>
      <c r="S1215" s="43"/>
      <c r="T1215" s="43"/>
      <c r="U1215" s="43" t="str">
        <f>IFERROR(__xludf.DUMMYFUNCTION("""COMPUTED_VALUE"""),"Global Classroom")</f>
        <v>Global Classroom</v>
      </c>
      <c r="V1215" s="43" t="str">
        <f>IFERROR(__xludf.DUMMYFUNCTION("""COMPUTED_VALUE"""),"ISTANBUL ASIA")</f>
        <v>ISTANBUL ASIA</v>
      </c>
      <c r="W1215" s="43" t="str">
        <f>IFERROR(__xludf.DUMMYFUNCTION("""COMPUTED_VALUE"""),"2023-11-20T16:49:02Z")</f>
        <v>2023-11-20T16:49:02Z</v>
      </c>
      <c r="X1215" s="43"/>
      <c r="Y1215" s="43"/>
      <c r="Z1215" s="43"/>
    </row>
    <row r="1216" hidden="1">
      <c r="A1216" s="43" t="str">
        <f>IFERROR(__xludf.DUMMYFUNCTION("""COMPUTED_VALUE"""),"5375404_1293268")</f>
        <v>5375404_1293268</v>
      </c>
      <c r="B1216" s="43" t="str">
        <f>IFERROR(__xludf.DUMMYFUNCTION("""COMPUTED_VALUE"""),"Mehmet Rahat")</f>
        <v>Mehmet Rahat</v>
      </c>
      <c r="C1216" s="43" t="str">
        <f>IFERROR(__xludf.DUMMYFUNCTION("""COMPUTED_VALUE"""),"approved")</f>
        <v>approved</v>
      </c>
      <c r="D1216" s="43" t="str">
        <f>IFERROR(__xludf.DUMMYFUNCTION("""COMPUTED_VALUE"""),"No")</f>
        <v>No</v>
      </c>
      <c r="E1216" s="43" t="str">
        <f>IFERROR(__xludf.DUMMYFUNCTION("""COMPUTED_VALUE"""),"p_af1fd6a4d83f5da60669384a54f0b0ed63e709de@inbound.aiesec.org")</f>
        <v>p_af1fd6a4d83f5da60669384a54f0b0ed63e709de@inbound.aiesec.org</v>
      </c>
      <c r="F1216" s="43">
        <f>IFERROR(__xludf.DUMMYFUNCTION("""COMPUTED_VALUE"""),5.38795805E9)</f>
        <v>5387958050</v>
      </c>
      <c r="G1216" s="43" t="str">
        <f>IFERROR(__xludf.DUMMYFUNCTION("""COMPUTED_VALUE"""),"Turkey")</f>
        <v>Turkey</v>
      </c>
      <c r="H1216" s="43" t="str">
        <f>IFERROR(__xludf.DUMMYFUNCTION("""COMPUTED_VALUE"""),"ANKARA")</f>
        <v>ANKARA</v>
      </c>
      <c r="I1216" s="43" t="str">
        <f>IFERROR(__xludf.DUMMYFUNCTION("""COMPUTED_VALUE"""),"Sri Lanka")</f>
        <v>Sri Lanka</v>
      </c>
      <c r="J1216" s="43" t="str">
        <f>IFERROR(__xludf.DUMMYFUNCTION("""COMPUTED_VALUE"""),"RUHUNA")</f>
        <v>RUHUNA</v>
      </c>
      <c r="K1216" s="44" t="str">
        <f>IFERROR(__xludf.DUMMYFUNCTION("""COMPUTED_VALUE"""),"https://expa.aiesec.org/opportunities/1293268")</f>
        <v>https://expa.aiesec.org/opportunities/1293268</v>
      </c>
      <c r="L1216" s="43" t="str">
        <f>IFERROR(__xludf.DUMMYFUNCTION("""COMPUTED_VALUE"""),"GV")</f>
        <v>GV</v>
      </c>
      <c r="M1216" s="43" t="str">
        <f>IFERROR(__xludf.DUMMYFUNCTION("""COMPUTED_VALUE"""),"short")</f>
        <v>short</v>
      </c>
      <c r="N1216" s="45">
        <f>IFERROR(__xludf.DUMMYFUNCTION("""COMPUTED_VALUE"""),45257.0)</f>
        <v>45257</v>
      </c>
      <c r="O1216" s="45">
        <f>IFERROR(__xludf.DUMMYFUNCTION("""COMPUTED_VALUE"""),45313.0)</f>
        <v>45313</v>
      </c>
      <c r="P1216" s="45">
        <f>IFERROR(__xludf.DUMMYFUNCTION("""COMPUTED_VALUE"""),45355.0)</f>
        <v>45355</v>
      </c>
      <c r="Q1216" s="45"/>
      <c r="R1216" s="45"/>
      <c r="S1216" s="43"/>
      <c r="T1216" s="43"/>
      <c r="U1216" s="43" t="str">
        <f>IFERROR(__xludf.DUMMYFUNCTION("""COMPUTED_VALUE"""),"Skill Up!")</f>
        <v>Skill Up!</v>
      </c>
      <c r="V1216" s="43" t="str">
        <f>IFERROR(__xludf.DUMMYFUNCTION("""COMPUTED_VALUE"""),"ANKARA")</f>
        <v>ANKARA</v>
      </c>
      <c r="W1216" s="43" t="str">
        <f>IFERROR(__xludf.DUMMYFUNCTION("""COMPUTED_VALUE"""),"2023-11-19T12:11:25Z")</f>
        <v>2023-11-19T12:11:25Z</v>
      </c>
      <c r="X1216" s="43"/>
      <c r="Y1216" s="43"/>
      <c r="Z1216" s="43"/>
    </row>
    <row r="1217" hidden="1">
      <c r="A1217" s="43" t="str">
        <f>IFERROR(__xludf.DUMMYFUNCTION("""COMPUTED_VALUE"""),"5374659_1298618")</f>
        <v>5374659_1298618</v>
      </c>
      <c r="B1217" s="43" t="str">
        <f>IFERROR(__xludf.DUMMYFUNCTION("""COMPUTED_VALUE"""),"Elif İsra Ceyhan")</f>
        <v>Elif İsra Ceyhan</v>
      </c>
      <c r="C1217" s="43" t="str">
        <f>IFERROR(__xludf.DUMMYFUNCTION("""COMPUTED_VALUE"""),"approved")</f>
        <v>approved</v>
      </c>
      <c r="D1217" s="43" t="str">
        <f>IFERROR(__xludf.DUMMYFUNCTION("""COMPUTED_VALUE"""),"No")</f>
        <v>No</v>
      </c>
      <c r="E1217" s="43" t="str">
        <f>IFERROR(__xludf.DUMMYFUNCTION("""COMPUTED_VALUE"""),"p_ad1faf98abc9cc3f79e22b613f10d147d64e00e9@inbound.aiesec.org")</f>
        <v>p_ad1faf98abc9cc3f79e22b613f10d147d64e00e9@inbound.aiesec.org</v>
      </c>
      <c r="F1217" s="43"/>
      <c r="G1217" s="43" t="str">
        <f>IFERROR(__xludf.DUMMYFUNCTION("""COMPUTED_VALUE"""),"Turkey")</f>
        <v>Turkey</v>
      </c>
      <c r="H1217" s="43" t="str">
        <f>IFERROR(__xludf.DUMMYFUNCTION("""COMPUTED_VALUE"""),"ANKARA")</f>
        <v>ANKARA</v>
      </c>
      <c r="I1217" s="43" t="str">
        <f>IFERROR(__xludf.DUMMYFUNCTION("""COMPUTED_VALUE"""),"Egypt")</f>
        <v>Egypt</v>
      </c>
      <c r="J1217" s="43" t="str">
        <f>IFERROR(__xludf.DUMMYFUNCTION("""COMPUTED_VALUE"""),"MIU")</f>
        <v>MIU</v>
      </c>
      <c r="K1217" s="44" t="str">
        <f>IFERROR(__xludf.DUMMYFUNCTION("""COMPUTED_VALUE"""),"https://expa.aiesec.org/opportunities/1298618")</f>
        <v>https://expa.aiesec.org/opportunities/1298618</v>
      </c>
      <c r="L1217" s="43" t="str">
        <f>IFERROR(__xludf.DUMMYFUNCTION("""COMPUTED_VALUE"""),"GV")</f>
        <v>GV</v>
      </c>
      <c r="M1217" s="43" t="str">
        <f>IFERROR(__xludf.DUMMYFUNCTION("""COMPUTED_VALUE"""),"short")</f>
        <v>short</v>
      </c>
      <c r="N1217" s="45">
        <f>IFERROR(__xludf.DUMMYFUNCTION("""COMPUTED_VALUE"""),45257.0)</f>
        <v>45257</v>
      </c>
      <c r="O1217" s="45">
        <f>IFERROR(__xludf.DUMMYFUNCTION("""COMPUTED_VALUE"""),45458.0)</f>
        <v>45458</v>
      </c>
      <c r="P1217" s="45">
        <f>IFERROR(__xludf.DUMMYFUNCTION("""COMPUTED_VALUE"""),45500.0)</f>
        <v>45500</v>
      </c>
      <c r="Q1217" s="45"/>
      <c r="R1217" s="45"/>
      <c r="S1217" s="43"/>
      <c r="T1217" s="43"/>
      <c r="U1217" s="43" t="str">
        <f>IFERROR(__xludf.DUMMYFUNCTION("""COMPUTED_VALUE"""),"Global Classroom")</f>
        <v>Global Classroom</v>
      </c>
      <c r="V1217" s="43" t="str">
        <f>IFERROR(__xludf.DUMMYFUNCTION("""COMPUTED_VALUE"""),"-")</f>
        <v>-</v>
      </c>
      <c r="W1217" s="43" t="str">
        <f>IFERROR(__xludf.DUMMYFUNCTION("""COMPUTED_VALUE"""),"2023-11-17T19:34:48Z")</f>
        <v>2023-11-17T19:34:48Z</v>
      </c>
      <c r="X1217" s="43"/>
      <c r="Y1217" s="43"/>
      <c r="Z1217" s="43"/>
    </row>
    <row r="1218" hidden="1">
      <c r="A1218" s="43" t="str">
        <f>IFERROR(__xludf.DUMMYFUNCTION("""COMPUTED_VALUE"""),"5381074_1294232")</f>
        <v>5381074_1294232</v>
      </c>
      <c r="B1218" s="43" t="str">
        <f>IFERROR(__xludf.DUMMYFUNCTION("""COMPUTED_VALUE"""),"Sedanur Ertekin")</f>
        <v>Sedanur Ertekin</v>
      </c>
      <c r="C1218" s="43" t="str">
        <f>IFERROR(__xludf.DUMMYFUNCTION("""COMPUTED_VALUE"""),"approved")</f>
        <v>approved</v>
      </c>
      <c r="D1218" s="43" t="str">
        <f>IFERROR(__xludf.DUMMYFUNCTION("""COMPUTED_VALUE"""),"No")</f>
        <v>No</v>
      </c>
      <c r="E1218" s="43" t="str">
        <f>IFERROR(__xludf.DUMMYFUNCTION("""COMPUTED_VALUE"""),"p_2f907e93d9726c24e4ebbf73692030106ee1c3a3@inbound.aiesec.org")</f>
        <v>p_2f907e93d9726c24e4ebbf73692030106ee1c3a3@inbound.aiesec.org</v>
      </c>
      <c r="F1218" s="43">
        <f>IFERROR(__xludf.DUMMYFUNCTION("""COMPUTED_VALUE"""),5.356282706E9)</f>
        <v>5356282706</v>
      </c>
      <c r="G1218" s="43" t="str">
        <f>IFERROR(__xludf.DUMMYFUNCTION("""COMPUTED_VALUE"""),"Turkey")</f>
        <v>Turkey</v>
      </c>
      <c r="H1218" s="43" t="str">
        <f>IFERROR(__xludf.DUMMYFUNCTION("""COMPUTED_VALUE"""),"SAKARYA")</f>
        <v>SAKARYA</v>
      </c>
      <c r="I1218" s="43" t="str">
        <f>IFERROR(__xludf.DUMMYFUNCTION("""COMPUTED_VALUE"""),"Egypt")</f>
        <v>Egypt</v>
      </c>
      <c r="J1218" s="43" t="str">
        <f>IFERROR(__xludf.DUMMYFUNCTION("""COMPUTED_VALUE"""),"Suez")</f>
        <v>Suez</v>
      </c>
      <c r="K1218" s="44" t="str">
        <f>IFERROR(__xludf.DUMMYFUNCTION("""COMPUTED_VALUE"""),"https://expa.aiesec.org/opportunities/1294232")</f>
        <v>https://expa.aiesec.org/opportunities/1294232</v>
      </c>
      <c r="L1218" s="43" t="str">
        <f>IFERROR(__xludf.DUMMYFUNCTION("""COMPUTED_VALUE"""),"GV")</f>
        <v>GV</v>
      </c>
      <c r="M1218" s="43" t="str">
        <f>IFERROR(__xludf.DUMMYFUNCTION("""COMPUTED_VALUE"""),"short")</f>
        <v>short</v>
      </c>
      <c r="N1218" s="45">
        <f>IFERROR(__xludf.DUMMYFUNCTION("""COMPUTED_VALUE"""),45257.0)</f>
        <v>45257</v>
      </c>
      <c r="O1218" s="45">
        <f>IFERROR(__xludf.DUMMYFUNCTION("""COMPUTED_VALUE"""),45474.0)</f>
        <v>45474</v>
      </c>
      <c r="P1218" s="45">
        <f>IFERROR(__xludf.DUMMYFUNCTION("""COMPUTED_VALUE"""),45516.0)</f>
        <v>45516</v>
      </c>
      <c r="Q1218" s="45"/>
      <c r="R1218" s="45"/>
      <c r="S1218" s="43"/>
      <c r="T1218" s="43"/>
      <c r="U1218" s="43" t="str">
        <f>IFERROR(__xludf.DUMMYFUNCTION("""COMPUTED_VALUE"""),"On The Map")</f>
        <v>On The Map</v>
      </c>
      <c r="V1218" s="43" t="str">
        <f>IFERROR(__xludf.DUMMYFUNCTION("""COMPUTED_VALUE"""),"SAKARYA")</f>
        <v>SAKARYA</v>
      </c>
      <c r="W1218" s="43" t="str">
        <f>IFERROR(__xludf.DUMMYFUNCTION("""COMPUTED_VALUE"""),"2023-11-27T20:05:28Z")</f>
        <v>2023-11-27T20:05:28Z</v>
      </c>
      <c r="X1218" s="43"/>
      <c r="Y1218" s="43"/>
      <c r="Z1218" s="43"/>
    </row>
    <row r="1219" hidden="1">
      <c r="A1219" s="43" t="str">
        <f>IFERROR(__xludf.DUMMYFUNCTION("""COMPUTED_VALUE"""),"5381068_1294232")</f>
        <v>5381068_1294232</v>
      </c>
      <c r="B1219" s="43" t="str">
        <f>IFERROR(__xludf.DUMMYFUNCTION("""COMPUTED_VALUE"""),"Tuana Özkan")</f>
        <v>Tuana Özkan</v>
      </c>
      <c r="C1219" s="43" t="str">
        <f>IFERROR(__xludf.DUMMYFUNCTION("""COMPUTED_VALUE"""),"approved")</f>
        <v>approved</v>
      </c>
      <c r="D1219" s="43" t="str">
        <f>IFERROR(__xludf.DUMMYFUNCTION("""COMPUTED_VALUE"""),"No")</f>
        <v>No</v>
      </c>
      <c r="E1219" s="43" t="str">
        <f>IFERROR(__xludf.DUMMYFUNCTION("""COMPUTED_VALUE"""),"p_237875ae1beb1c5aedb9df950c3d4711a38315d4@inbound.aiesec.org")</f>
        <v>p_237875ae1beb1c5aedb9df950c3d4711a38315d4@inbound.aiesec.org</v>
      </c>
      <c r="F1219" s="43">
        <f>IFERROR(__xludf.DUMMYFUNCTION("""COMPUTED_VALUE"""),5.331503034E9)</f>
        <v>5331503034</v>
      </c>
      <c r="G1219" s="43" t="str">
        <f>IFERROR(__xludf.DUMMYFUNCTION("""COMPUTED_VALUE"""),"Turkey")</f>
        <v>Turkey</v>
      </c>
      <c r="H1219" s="43" t="str">
        <f>IFERROR(__xludf.DUMMYFUNCTION("""COMPUTED_VALUE"""),"SAKARYA")</f>
        <v>SAKARYA</v>
      </c>
      <c r="I1219" s="43" t="str">
        <f>IFERROR(__xludf.DUMMYFUNCTION("""COMPUTED_VALUE"""),"Egypt")</f>
        <v>Egypt</v>
      </c>
      <c r="J1219" s="43" t="str">
        <f>IFERROR(__xludf.DUMMYFUNCTION("""COMPUTED_VALUE"""),"Suez")</f>
        <v>Suez</v>
      </c>
      <c r="K1219" s="44" t="str">
        <f>IFERROR(__xludf.DUMMYFUNCTION("""COMPUTED_VALUE"""),"https://expa.aiesec.org/opportunities/1294232")</f>
        <v>https://expa.aiesec.org/opportunities/1294232</v>
      </c>
      <c r="L1219" s="43" t="str">
        <f>IFERROR(__xludf.DUMMYFUNCTION("""COMPUTED_VALUE"""),"GV")</f>
        <v>GV</v>
      </c>
      <c r="M1219" s="43" t="str">
        <f>IFERROR(__xludf.DUMMYFUNCTION("""COMPUTED_VALUE"""),"short")</f>
        <v>short</v>
      </c>
      <c r="N1219" s="45">
        <f>IFERROR(__xludf.DUMMYFUNCTION("""COMPUTED_VALUE"""),45257.0)</f>
        <v>45257</v>
      </c>
      <c r="O1219" s="45">
        <f>IFERROR(__xludf.DUMMYFUNCTION("""COMPUTED_VALUE"""),45474.0)</f>
        <v>45474</v>
      </c>
      <c r="P1219" s="45">
        <f>IFERROR(__xludf.DUMMYFUNCTION("""COMPUTED_VALUE"""),45516.0)</f>
        <v>45516</v>
      </c>
      <c r="Q1219" s="45"/>
      <c r="R1219" s="45"/>
      <c r="S1219" s="43"/>
      <c r="T1219" s="43"/>
      <c r="U1219" s="43" t="str">
        <f>IFERROR(__xludf.DUMMYFUNCTION("""COMPUTED_VALUE"""),"On The Map")</f>
        <v>On The Map</v>
      </c>
      <c r="V1219" s="43" t="str">
        <f>IFERROR(__xludf.DUMMYFUNCTION("""COMPUTED_VALUE"""),"SAKARYA")</f>
        <v>SAKARYA</v>
      </c>
      <c r="W1219" s="43" t="str">
        <f>IFERROR(__xludf.DUMMYFUNCTION("""COMPUTED_VALUE"""),"2023-11-27T19:47:55Z")</f>
        <v>2023-11-27T19:47:55Z</v>
      </c>
      <c r="X1219" s="43"/>
      <c r="Y1219" s="43"/>
      <c r="Z1219" s="43"/>
    </row>
    <row r="1220" hidden="1">
      <c r="A1220" s="43" t="str">
        <f>IFERROR(__xludf.DUMMYFUNCTION("""COMPUTED_VALUE"""),"5378559_1298927")</f>
        <v>5378559_1298927</v>
      </c>
      <c r="B1220" s="43" t="str">
        <f>IFERROR(__xludf.DUMMYFUNCTION("""COMPUTED_VALUE"""),"Ömer Faruk Durmaz")</f>
        <v>Ömer Faruk Durmaz</v>
      </c>
      <c r="C1220" s="43" t="str">
        <f>IFERROR(__xludf.DUMMYFUNCTION("""COMPUTED_VALUE"""),"approved")</f>
        <v>approved</v>
      </c>
      <c r="D1220" s="43" t="str">
        <f>IFERROR(__xludf.DUMMYFUNCTION("""COMPUTED_VALUE"""),"No")</f>
        <v>No</v>
      </c>
      <c r="E1220" s="43" t="str">
        <f>IFERROR(__xludf.DUMMYFUNCTION("""COMPUTED_VALUE"""),"p_e966f059852445737db237989378f66b14cf66d6@inbound.aiesec.org")</f>
        <v>p_e966f059852445737db237989378f66b14cf66d6@inbound.aiesec.org</v>
      </c>
      <c r="F1220" s="43">
        <f>IFERROR(__xludf.DUMMYFUNCTION("""COMPUTED_VALUE"""),5.073216035E9)</f>
        <v>5073216035</v>
      </c>
      <c r="G1220" s="43" t="str">
        <f>IFERROR(__xludf.DUMMYFUNCTION("""COMPUTED_VALUE"""),"Turkey")</f>
        <v>Turkey</v>
      </c>
      <c r="H1220" s="43" t="str">
        <f>IFERROR(__xludf.DUMMYFUNCTION("""COMPUTED_VALUE"""),"ANTALYA")</f>
        <v>ANTALYA</v>
      </c>
      <c r="I1220" s="43" t="str">
        <f>IFERROR(__xludf.DUMMYFUNCTION("""COMPUTED_VALUE"""),"India")</f>
        <v>India</v>
      </c>
      <c r="J1220" s="43" t="str">
        <f>IFERROR(__xludf.DUMMYFUNCTION("""COMPUTED_VALUE"""),"Ahmedabad")</f>
        <v>Ahmedabad</v>
      </c>
      <c r="K1220" s="44" t="str">
        <f>IFERROR(__xludf.DUMMYFUNCTION("""COMPUTED_VALUE"""),"https://expa.aiesec.org/opportunities/1298927")</f>
        <v>https://expa.aiesec.org/opportunities/1298927</v>
      </c>
      <c r="L1220" s="43" t="str">
        <f>IFERROR(__xludf.DUMMYFUNCTION("""COMPUTED_VALUE"""),"GV")</f>
        <v>GV</v>
      </c>
      <c r="M1220" s="43" t="str">
        <f>IFERROR(__xludf.DUMMYFUNCTION("""COMPUTED_VALUE"""),"short")</f>
        <v>short</v>
      </c>
      <c r="N1220" s="45">
        <f>IFERROR(__xludf.DUMMYFUNCTION("""COMPUTED_VALUE"""),45257.0)</f>
        <v>45257</v>
      </c>
      <c r="O1220" s="45">
        <f>IFERROR(__xludf.DUMMYFUNCTION("""COMPUTED_VALUE"""),45488.0)</f>
        <v>45488</v>
      </c>
      <c r="P1220" s="45">
        <f>IFERROR(__xludf.DUMMYFUNCTION("""COMPUTED_VALUE"""),45535.0)</f>
        <v>45535</v>
      </c>
      <c r="Q1220" s="45"/>
      <c r="R1220" s="45"/>
      <c r="S1220" s="43"/>
      <c r="T1220" s="43"/>
      <c r="U1220" s="43" t="str">
        <f>IFERROR(__xludf.DUMMYFUNCTION("""COMPUTED_VALUE"""),"Skill Up!")</f>
        <v>Skill Up!</v>
      </c>
      <c r="V1220" s="43" t="str">
        <f>IFERROR(__xludf.DUMMYFUNCTION("""COMPUTED_VALUE"""),"HAKKARI")</f>
        <v>HAKKARI</v>
      </c>
      <c r="W1220" s="43" t="str">
        <f>IFERROR(__xludf.DUMMYFUNCTION("""COMPUTED_VALUE"""),"2023-11-23T19:37:46Z")</f>
        <v>2023-11-23T19:37:46Z</v>
      </c>
      <c r="X1220" s="43"/>
      <c r="Y1220" s="43"/>
      <c r="Z1220" s="43"/>
    </row>
    <row r="1221" hidden="1">
      <c r="A1221" s="43" t="str">
        <f>IFERROR(__xludf.DUMMYFUNCTION("""COMPUTED_VALUE"""),"5381076_1286893")</f>
        <v>5381076_1286893</v>
      </c>
      <c r="B1221" s="43" t="str">
        <f>IFERROR(__xludf.DUMMYFUNCTION("""COMPUTED_VALUE"""),"Gunes Karsel")</f>
        <v>Gunes Karsel</v>
      </c>
      <c r="C1221" s="43" t="str">
        <f>IFERROR(__xludf.DUMMYFUNCTION("""COMPUTED_VALUE"""),"realized")</f>
        <v>realized</v>
      </c>
      <c r="D1221" s="43" t="str">
        <f>IFERROR(__xludf.DUMMYFUNCTION("""COMPUTED_VALUE"""),"No")</f>
        <v>No</v>
      </c>
      <c r="E1221" s="43" t="str">
        <f>IFERROR(__xludf.DUMMYFUNCTION("""COMPUTED_VALUE"""),"p_55906b6b28d448c0a697de1c2b7f9e5d6dbc8b2b@inbound.aiesec.org")</f>
        <v>p_55906b6b28d448c0a697de1c2b7f9e5d6dbc8b2b@inbound.aiesec.org</v>
      </c>
      <c r="F1221" s="43"/>
      <c r="G1221" s="43" t="str">
        <f>IFERROR(__xludf.DUMMYFUNCTION("""COMPUTED_VALUE"""),"Turkey")</f>
        <v>Turkey</v>
      </c>
      <c r="H1221" s="43" t="str">
        <f>IFERROR(__xludf.DUMMYFUNCTION("""COMPUTED_VALUE"""),"ISTANBUL ASIA")</f>
        <v>ISTANBUL ASIA</v>
      </c>
      <c r="I1221" s="43" t="str">
        <f>IFERROR(__xludf.DUMMYFUNCTION("""COMPUTED_VALUE"""),"Mexico")</f>
        <v>Mexico</v>
      </c>
      <c r="J1221" s="43" t="str">
        <f>IFERROR(__xludf.DUMMYFUNCTION("""COMPUTED_VALUE"""),"IPN")</f>
        <v>IPN</v>
      </c>
      <c r="K1221" s="44" t="str">
        <f>IFERROR(__xludf.DUMMYFUNCTION("""COMPUTED_VALUE"""),"https://expa.aiesec.org/opportunities/1286893")</f>
        <v>https://expa.aiesec.org/opportunities/1286893</v>
      </c>
      <c r="L1221" s="43" t="str">
        <f>IFERROR(__xludf.DUMMYFUNCTION("""COMPUTED_VALUE"""),"GV")</f>
        <v>GV</v>
      </c>
      <c r="M1221" s="43" t="str">
        <f>IFERROR(__xludf.DUMMYFUNCTION("""COMPUTED_VALUE"""),"short")</f>
        <v>short</v>
      </c>
      <c r="N1221" s="45">
        <f>IFERROR(__xludf.DUMMYFUNCTION("""COMPUTED_VALUE"""),45257.0)</f>
        <v>45257</v>
      </c>
      <c r="O1221" s="45">
        <f>IFERROR(__xludf.DUMMYFUNCTION("""COMPUTED_VALUE"""),45305.0)</f>
        <v>45305</v>
      </c>
      <c r="P1221" s="45">
        <f>IFERROR(__xludf.DUMMYFUNCTION("""COMPUTED_VALUE"""),45347.0)</f>
        <v>45347</v>
      </c>
      <c r="Q1221" s="45">
        <f>IFERROR(__xludf.DUMMYFUNCTION("""COMPUTED_VALUE"""),45306.0)</f>
        <v>45306</v>
      </c>
      <c r="R1221" s="45">
        <f>IFERROR(__xludf.DUMMYFUNCTION("""COMPUTED_VALUE"""),45347.0)</f>
        <v>45347</v>
      </c>
      <c r="S1221" s="43"/>
      <c r="T1221" s="43"/>
      <c r="U1221" s="43" t="str">
        <f>IFERROR(__xludf.DUMMYFUNCTION("""COMPUTED_VALUE"""),"Global Classroom")</f>
        <v>Global Classroom</v>
      </c>
      <c r="V1221" s="43" t="str">
        <f>IFERROR(__xludf.DUMMYFUNCTION("""COMPUTED_VALUE"""),"-")</f>
        <v>-</v>
      </c>
      <c r="W1221" s="43" t="str">
        <f>IFERROR(__xludf.DUMMYFUNCTION("""COMPUTED_VALUE"""),"2023-11-27T20:05:41Z")</f>
        <v>2023-11-27T20:05:41Z</v>
      </c>
      <c r="X1221" s="43"/>
      <c r="Y1221" s="43"/>
      <c r="Z1221" s="43"/>
    </row>
    <row r="1222" hidden="1">
      <c r="A1222" s="43" t="str">
        <f>IFERROR(__xludf.DUMMYFUNCTION("""COMPUTED_VALUE"""),"5331295_1286339")</f>
        <v>5331295_1286339</v>
      </c>
      <c r="B1222" s="43" t="str">
        <f>IFERROR(__xludf.DUMMYFUNCTION("""COMPUTED_VALUE"""),"Elif İnce")</f>
        <v>Elif İnce</v>
      </c>
      <c r="C1222" s="43" t="str">
        <f>IFERROR(__xludf.DUMMYFUNCTION("""COMPUTED_VALUE"""),"approved")</f>
        <v>approved</v>
      </c>
      <c r="D1222" s="43" t="str">
        <f>IFERROR(__xludf.DUMMYFUNCTION("""COMPUTED_VALUE"""),"No")</f>
        <v>No</v>
      </c>
      <c r="E1222" s="43" t="str">
        <f>IFERROR(__xludf.DUMMYFUNCTION("""COMPUTED_VALUE"""),"p_e3253f756dd437bdca7f03275abbf1c3c9ea6a0c@inbound.aiesec.org")</f>
        <v>p_e3253f756dd437bdca7f03275abbf1c3c9ea6a0c@inbound.aiesec.org</v>
      </c>
      <c r="F1222" s="43">
        <f>IFERROR(__xludf.DUMMYFUNCTION("""COMPUTED_VALUE"""),5.303445733E9)</f>
        <v>5303445733</v>
      </c>
      <c r="G1222" s="43" t="str">
        <f>IFERROR(__xludf.DUMMYFUNCTION("""COMPUTED_VALUE"""),"Turkey")</f>
        <v>Turkey</v>
      </c>
      <c r="H1222" s="43" t="str">
        <f>IFERROR(__xludf.DUMMYFUNCTION("""COMPUTED_VALUE"""),"ISTANBUL ASIA")</f>
        <v>ISTANBUL ASIA</v>
      </c>
      <c r="I1222" s="43" t="str">
        <f>IFERROR(__xludf.DUMMYFUNCTION("""COMPUTED_VALUE"""),"Sri Lanka")</f>
        <v>Sri Lanka</v>
      </c>
      <c r="J1222" s="43" t="str">
        <f>IFERROR(__xludf.DUMMYFUNCTION("""COMPUTED_VALUE"""),"RUHUNA")</f>
        <v>RUHUNA</v>
      </c>
      <c r="K1222" s="44" t="str">
        <f>IFERROR(__xludf.DUMMYFUNCTION("""COMPUTED_VALUE"""),"https://expa.aiesec.org/opportunities/1286339")</f>
        <v>https://expa.aiesec.org/opportunities/1286339</v>
      </c>
      <c r="L1222" s="43" t="str">
        <f>IFERROR(__xludf.DUMMYFUNCTION("""COMPUTED_VALUE"""),"GV")</f>
        <v>GV</v>
      </c>
      <c r="M1222" s="43" t="str">
        <f>IFERROR(__xludf.DUMMYFUNCTION("""COMPUTED_VALUE"""),"short")</f>
        <v>short</v>
      </c>
      <c r="N1222" s="45">
        <f>IFERROR(__xludf.DUMMYFUNCTION("""COMPUTED_VALUE"""),45258.0)</f>
        <v>45258</v>
      </c>
      <c r="O1222" s="45">
        <f>IFERROR(__xludf.DUMMYFUNCTION("""COMPUTED_VALUE"""),45460.0)</f>
        <v>45460</v>
      </c>
      <c r="P1222" s="45">
        <f>IFERROR(__xludf.DUMMYFUNCTION("""COMPUTED_VALUE"""),45502.0)</f>
        <v>45502</v>
      </c>
      <c r="Q1222" s="45"/>
      <c r="R1222" s="45"/>
      <c r="S1222" s="43"/>
      <c r="T1222" s="43"/>
      <c r="U1222" s="43" t="str">
        <f>IFERROR(__xludf.DUMMYFUNCTION("""COMPUTED_VALUE"""),"Global Classroom")</f>
        <v>Global Classroom</v>
      </c>
      <c r="V1222" s="43" t="str">
        <f>IFERROR(__xludf.DUMMYFUNCTION("""COMPUTED_VALUE"""),"ISTANBUL - BEYOGLU")</f>
        <v>ISTANBUL - BEYOGLU</v>
      </c>
      <c r="W1222" s="43" t="str">
        <f>IFERROR(__xludf.DUMMYFUNCTION("""COMPUTED_VALUE"""),"2023-09-24T13:52:37Z")</f>
        <v>2023-09-24T13:52:37Z</v>
      </c>
      <c r="X1222" s="43"/>
      <c r="Y1222" s="43"/>
      <c r="Z1222" s="43"/>
    </row>
    <row r="1223" hidden="1">
      <c r="A1223" s="43" t="str">
        <f>IFERROR(__xludf.DUMMYFUNCTION("""COMPUTED_VALUE"""),"5379627_1299605")</f>
        <v>5379627_1299605</v>
      </c>
      <c r="B1223" s="43" t="str">
        <f>IFERROR(__xludf.DUMMYFUNCTION("""COMPUTED_VALUE"""),"Arda Sadıkoğlu")</f>
        <v>Arda Sadıkoğlu</v>
      </c>
      <c r="C1223" s="43" t="str">
        <f>IFERROR(__xludf.DUMMYFUNCTION("""COMPUTED_VALUE"""),"approved")</f>
        <v>approved</v>
      </c>
      <c r="D1223" s="43" t="str">
        <f>IFERROR(__xludf.DUMMYFUNCTION("""COMPUTED_VALUE"""),"No")</f>
        <v>No</v>
      </c>
      <c r="E1223" s="43" t="str">
        <f>IFERROR(__xludf.DUMMYFUNCTION("""COMPUTED_VALUE"""),"p_6ae33865e12db57f00afd49ea59abcc18a917558@inbound.aiesec.org")</f>
        <v>p_6ae33865e12db57f00afd49ea59abcc18a917558@inbound.aiesec.org</v>
      </c>
      <c r="F1223" s="43">
        <f>IFERROR(__xludf.DUMMYFUNCTION("""COMPUTED_VALUE"""),5.301655415E9)</f>
        <v>5301655415</v>
      </c>
      <c r="G1223" s="43" t="str">
        <f>IFERROR(__xludf.DUMMYFUNCTION("""COMPUTED_VALUE"""),"Turkey")</f>
        <v>Turkey</v>
      </c>
      <c r="H1223" s="43" t="str">
        <f>IFERROR(__xludf.DUMMYFUNCTION("""COMPUTED_VALUE"""),"ISTANBUL ASIA")</f>
        <v>ISTANBUL ASIA</v>
      </c>
      <c r="I1223" s="43" t="str">
        <f>IFERROR(__xludf.DUMMYFUNCTION("""COMPUTED_VALUE"""),"Tunisia")</f>
        <v>Tunisia</v>
      </c>
      <c r="J1223" s="43" t="str">
        <f>IFERROR(__xludf.DUMMYFUNCTION("""COMPUTED_VALUE"""),"SFAX")</f>
        <v>SFAX</v>
      </c>
      <c r="K1223" s="44" t="str">
        <f>IFERROR(__xludf.DUMMYFUNCTION("""COMPUTED_VALUE"""),"https://expa.aiesec.org/opportunities/1299605")</f>
        <v>https://expa.aiesec.org/opportunities/1299605</v>
      </c>
      <c r="L1223" s="43" t="str">
        <f>IFERROR(__xludf.DUMMYFUNCTION("""COMPUTED_VALUE"""),"GV")</f>
        <v>GV</v>
      </c>
      <c r="M1223" s="43" t="str">
        <f>IFERROR(__xludf.DUMMYFUNCTION("""COMPUTED_VALUE"""),"short")</f>
        <v>short</v>
      </c>
      <c r="N1223" s="45">
        <f>IFERROR(__xludf.DUMMYFUNCTION("""COMPUTED_VALUE"""),45258.0)</f>
        <v>45258</v>
      </c>
      <c r="O1223" s="45">
        <f>IFERROR(__xludf.DUMMYFUNCTION("""COMPUTED_VALUE"""),45488.0)</f>
        <v>45488</v>
      </c>
      <c r="P1223" s="45">
        <f>IFERROR(__xludf.DUMMYFUNCTION("""COMPUTED_VALUE"""),45530.0)</f>
        <v>45530</v>
      </c>
      <c r="Q1223" s="45"/>
      <c r="R1223" s="45"/>
      <c r="S1223" s="43"/>
      <c r="T1223" s="43"/>
      <c r="U1223" s="43" t="str">
        <f>IFERROR(__xludf.DUMMYFUNCTION("""COMPUTED_VALUE"""),"Aquatica")</f>
        <v>Aquatica</v>
      </c>
      <c r="V1223" s="43" t="str">
        <f>IFERROR(__xludf.DUMMYFUNCTION("""COMPUTED_VALUE"""),"ISTANBUL ASIA")</f>
        <v>ISTANBUL ASIA</v>
      </c>
      <c r="W1223" s="43" t="str">
        <f>IFERROR(__xludf.DUMMYFUNCTION("""COMPUTED_VALUE"""),"2023-11-25T13:16:42Z")</f>
        <v>2023-11-25T13:16:42Z</v>
      </c>
      <c r="X1223" s="43"/>
      <c r="Y1223" s="43"/>
      <c r="Z1223" s="43"/>
    </row>
    <row r="1224" hidden="1">
      <c r="A1224" s="43" t="str">
        <f>IFERROR(__xludf.DUMMYFUNCTION("""COMPUTED_VALUE"""),"5381582_1294232")</f>
        <v>5381582_1294232</v>
      </c>
      <c r="B1224" s="43" t="str">
        <f>IFERROR(__xludf.DUMMYFUNCTION("""COMPUTED_VALUE"""),"Ömer Demir")</f>
        <v>Ömer Demir</v>
      </c>
      <c r="C1224" s="43" t="str">
        <f>IFERROR(__xludf.DUMMYFUNCTION("""COMPUTED_VALUE"""),"approved")</f>
        <v>approved</v>
      </c>
      <c r="D1224" s="43" t="str">
        <f>IFERROR(__xludf.DUMMYFUNCTION("""COMPUTED_VALUE"""),"No")</f>
        <v>No</v>
      </c>
      <c r="E1224" s="43" t="str">
        <f>IFERROR(__xludf.DUMMYFUNCTION("""COMPUTED_VALUE"""),"p_2127870bb0ffd2844a08f11e513d7992bf0dda29@inbound.aiesec.org")</f>
        <v>p_2127870bb0ffd2844a08f11e513d7992bf0dda29@inbound.aiesec.org</v>
      </c>
      <c r="F1224" s="43">
        <f>IFERROR(__xludf.DUMMYFUNCTION("""COMPUTED_VALUE"""),5.43315045E9)</f>
        <v>5433150450</v>
      </c>
      <c r="G1224" s="43" t="str">
        <f>IFERROR(__xludf.DUMMYFUNCTION("""COMPUTED_VALUE"""),"Turkey")</f>
        <v>Turkey</v>
      </c>
      <c r="H1224" s="43" t="str">
        <f>IFERROR(__xludf.DUMMYFUNCTION("""COMPUTED_VALUE"""),"SAKARYA")</f>
        <v>SAKARYA</v>
      </c>
      <c r="I1224" s="43" t="str">
        <f>IFERROR(__xludf.DUMMYFUNCTION("""COMPUTED_VALUE"""),"Egypt")</f>
        <v>Egypt</v>
      </c>
      <c r="J1224" s="43" t="str">
        <f>IFERROR(__xludf.DUMMYFUNCTION("""COMPUTED_VALUE"""),"Suez")</f>
        <v>Suez</v>
      </c>
      <c r="K1224" s="44" t="str">
        <f>IFERROR(__xludf.DUMMYFUNCTION("""COMPUTED_VALUE"""),"https://expa.aiesec.org/opportunities/1294232")</f>
        <v>https://expa.aiesec.org/opportunities/1294232</v>
      </c>
      <c r="L1224" s="43" t="str">
        <f>IFERROR(__xludf.DUMMYFUNCTION("""COMPUTED_VALUE"""),"GV")</f>
        <v>GV</v>
      </c>
      <c r="M1224" s="43" t="str">
        <f>IFERROR(__xludf.DUMMYFUNCTION("""COMPUTED_VALUE"""),"short")</f>
        <v>short</v>
      </c>
      <c r="N1224" s="45">
        <f>IFERROR(__xludf.DUMMYFUNCTION("""COMPUTED_VALUE"""),45258.0)</f>
        <v>45258</v>
      </c>
      <c r="O1224" s="45">
        <f>IFERROR(__xludf.DUMMYFUNCTION("""COMPUTED_VALUE"""),45474.0)</f>
        <v>45474</v>
      </c>
      <c r="P1224" s="45">
        <f>IFERROR(__xludf.DUMMYFUNCTION("""COMPUTED_VALUE"""),45516.0)</f>
        <v>45516</v>
      </c>
      <c r="Q1224" s="45"/>
      <c r="R1224" s="45"/>
      <c r="S1224" s="43"/>
      <c r="T1224" s="43"/>
      <c r="U1224" s="43" t="str">
        <f>IFERROR(__xludf.DUMMYFUNCTION("""COMPUTED_VALUE"""),"On The Map")</f>
        <v>On The Map</v>
      </c>
      <c r="V1224" s="43" t="str">
        <f>IFERROR(__xludf.DUMMYFUNCTION("""COMPUTED_VALUE"""),"SAKARYA")</f>
        <v>SAKARYA</v>
      </c>
      <c r="W1224" s="43" t="str">
        <f>IFERROR(__xludf.DUMMYFUNCTION("""COMPUTED_VALUE"""),"2023-11-28T12:35:03Z")</f>
        <v>2023-11-28T12:35:03Z</v>
      </c>
      <c r="X1224" s="43"/>
      <c r="Y1224" s="43"/>
      <c r="Z1224" s="43"/>
    </row>
    <row r="1225" hidden="1">
      <c r="A1225" s="43" t="str">
        <f>IFERROR(__xludf.DUMMYFUNCTION("""COMPUTED_VALUE"""),"5381372_1288410")</f>
        <v>5381372_1288410</v>
      </c>
      <c r="B1225" s="43" t="str">
        <f>IFERROR(__xludf.DUMMYFUNCTION("""COMPUTED_VALUE"""),"Lokman Eren Üneş")</f>
        <v>Lokman Eren Üneş</v>
      </c>
      <c r="C1225" s="43" t="str">
        <f>IFERROR(__xludf.DUMMYFUNCTION("""COMPUTED_VALUE"""),"approved")</f>
        <v>approved</v>
      </c>
      <c r="D1225" s="43" t="str">
        <f>IFERROR(__xludf.DUMMYFUNCTION("""COMPUTED_VALUE"""),"No")</f>
        <v>No</v>
      </c>
      <c r="E1225" s="43" t="str">
        <f>IFERROR(__xludf.DUMMYFUNCTION("""COMPUTED_VALUE"""),"p_d0c45a64b17f4563e892a678066640e7512cadc0@inbound.aiesec.org")</f>
        <v>p_d0c45a64b17f4563e892a678066640e7512cadc0@inbound.aiesec.org</v>
      </c>
      <c r="F1225" s="43">
        <f>IFERROR(__xludf.DUMMYFUNCTION("""COMPUTED_VALUE"""),5.315460649E9)</f>
        <v>5315460649</v>
      </c>
      <c r="G1225" s="43" t="str">
        <f>IFERROR(__xludf.DUMMYFUNCTION("""COMPUTED_VALUE"""),"Turkey")</f>
        <v>Turkey</v>
      </c>
      <c r="H1225" s="43" t="str">
        <f>IFERROR(__xludf.DUMMYFUNCTION("""COMPUTED_VALUE"""),"KOCAELI")</f>
        <v>KOCAELI</v>
      </c>
      <c r="I1225" s="43" t="str">
        <f>IFERROR(__xludf.DUMMYFUNCTION("""COMPUTED_VALUE"""),"India")</f>
        <v>India</v>
      </c>
      <c r="J1225" s="43" t="str">
        <f>IFERROR(__xludf.DUMMYFUNCTION("""COMPUTED_VALUE"""),"JAIPUR ")</f>
        <v>JAIPUR </v>
      </c>
      <c r="K1225" s="44" t="str">
        <f>IFERROR(__xludf.DUMMYFUNCTION("""COMPUTED_VALUE"""),"https://expa.aiesec.org/opportunities/1288410")</f>
        <v>https://expa.aiesec.org/opportunities/1288410</v>
      </c>
      <c r="L1225" s="43" t="str">
        <f>IFERROR(__xludf.DUMMYFUNCTION("""COMPUTED_VALUE"""),"GV")</f>
        <v>GV</v>
      </c>
      <c r="M1225" s="43" t="str">
        <f>IFERROR(__xludf.DUMMYFUNCTION("""COMPUTED_VALUE"""),"short")</f>
        <v>short</v>
      </c>
      <c r="N1225" s="45">
        <f>IFERROR(__xludf.DUMMYFUNCTION("""COMPUTED_VALUE"""),45258.0)</f>
        <v>45258</v>
      </c>
      <c r="O1225" s="45">
        <f>IFERROR(__xludf.DUMMYFUNCTION("""COMPUTED_VALUE"""),45524.0)</f>
        <v>45524</v>
      </c>
      <c r="P1225" s="45">
        <f>IFERROR(__xludf.DUMMYFUNCTION("""COMPUTED_VALUE"""),45566.0)</f>
        <v>45566</v>
      </c>
      <c r="Q1225" s="45"/>
      <c r="R1225" s="45"/>
      <c r="S1225" s="43"/>
      <c r="T1225" s="43"/>
      <c r="U1225" s="43" t="str">
        <f>IFERROR(__xludf.DUMMYFUNCTION("""COMPUTED_VALUE"""),"Skill Up!")</f>
        <v>Skill Up!</v>
      </c>
      <c r="V1225" s="43" t="str">
        <f>IFERROR(__xludf.DUMMYFUNCTION("""COMPUTED_VALUE"""),"KOCAELI")</f>
        <v>KOCAELI</v>
      </c>
      <c r="W1225" s="43" t="str">
        <f>IFERROR(__xludf.DUMMYFUNCTION("""COMPUTED_VALUE"""),"2023-11-28T09:43:20Z")</f>
        <v>2023-11-28T09:43:20Z</v>
      </c>
      <c r="X1225" s="43"/>
      <c r="Y1225" s="43"/>
      <c r="Z1225" s="43"/>
    </row>
    <row r="1226" hidden="1">
      <c r="A1226" s="43" t="str">
        <f>IFERROR(__xludf.DUMMYFUNCTION("""COMPUTED_VALUE"""),"5380401_1299886")</f>
        <v>5380401_1299886</v>
      </c>
      <c r="B1226" s="43" t="str">
        <f>IFERROR(__xludf.DUMMYFUNCTION("""COMPUTED_VALUE"""),"Eda Kaya")</f>
        <v>Eda Kaya</v>
      </c>
      <c r="C1226" s="43" t="str">
        <f>IFERROR(__xludf.DUMMYFUNCTION("""COMPUTED_VALUE"""),"approved")</f>
        <v>approved</v>
      </c>
      <c r="D1226" s="43" t="str">
        <f>IFERROR(__xludf.DUMMYFUNCTION("""COMPUTED_VALUE"""),"No")</f>
        <v>No</v>
      </c>
      <c r="E1226" s="43" t="str">
        <f>IFERROR(__xludf.DUMMYFUNCTION("""COMPUTED_VALUE"""),"p_71ffb10d4eab2d99583b7bb74a29027d5c1974eb@inbound.aiesec.org")</f>
        <v>p_71ffb10d4eab2d99583b7bb74a29027d5c1974eb@inbound.aiesec.org</v>
      </c>
      <c r="F1226" s="43">
        <f>IFERROR(__xludf.DUMMYFUNCTION("""COMPUTED_VALUE"""),5.31855928E9)</f>
        <v>5318559280</v>
      </c>
      <c r="G1226" s="43" t="str">
        <f>IFERROR(__xludf.DUMMYFUNCTION("""COMPUTED_VALUE"""),"Turkey")</f>
        <v>Turkey</v>
      </c>
      <c r="H1226" s="43" t="str">
        <f>IFERROR(__xludf.DUMMYFUNCTION("""COMPUTED_VALUE"""),"KOCAELI")</f>
        <v>KOCAELI</v>
      </c>
      <c r="I1226" s="43" t="str">
        <f>IFERROR(__xludf.DUMMYFUNCTION("""COMPUTED_VALUE"""),"Egypt")</f>
        <v>Egypt</v>
      </c>
      <c r="J1226" s="43" t="str">
        <f>IFERROR(__xludf.DUMMYFUNCTION("""COMPUTED_VALUE"""),"AAST In CAIRO")</f>
        <v>AAST In CAIRO</v>
      </c>
      <c r="K1226" s="44" t="str">
        <f>IFERROR(__xludf.DUMMYFUNCTION("""COMPUTED_VALUE"""),"https://expa.aiesec.org/opportunities/1299886")</f>
        <v>https://expa.aiesec.org/opportunities/1299886</v>
      </c>
      <c r="L1226" s="43" t="str">
        <f>IFERROR(__xludf.DUMMYFUNCTION("""COMPUTED_VALUE"""),"GV")</f>
        <v>GV</v>
      </c>
      <c r="M1226" s="43" t="str">
        <f>IFERROR(__xludf.DUMMYFUNCTION("""COMPUTED_VALUE"""),"short")</f>
        <v>short</v>
      </c>
      <c r="N1226" s="45">
        <f>IFERROR(__xludf.DUMMYFUNCTION("""COMPUTED_VALUE"""),45258.0)</f>
        <v>45258</v>
      </c>
      <c r="O1226" s="45">
        <f>IFERROR(__xludf.DUMMYFUNCTION("""COMPUTED_VALUE"""),45323.0)</f>
        <v>45323</v>
      </c>
      <c r="P1226" s="45">
        <f>IFERROR(__xludf.DUMMYFUNCTION("""COMPUTED_VALUE"""),45365.0)</f>
        <v>45365</v>
      </c>
      <c r="Q1226" s="45"/>
      <c r="R1226" s="45"/>
      <c r="S1226" s="43"/>
      <c r="T1226" s="43"/>
      <c r="U1226" s="43" t="str">
        <f>IFERROR(__xludf.DUMMYFUNCTION("""COMPUTED_VALUE"""),"Global Classroom")</f>
        <v>Global Classroom</v>
      </c>
      <c r="V1226" s="43" t="str">
        <f>IFERROR(__xludf.DUMMYFUNCTION("""COMPUTED_VALUE"""),"KOCAELI")</f>
        <v>KOCAELI</v>
      </c>
      <c r="W1226" s="43" t="str">
        <f>IFERROR(__xludf.DUMMYFUNCTION("""COMPUTED_VALUE"""),"2023-11-26T17:30:28Z")</f>
        <v>2023-11-26T17:30:28Z</v>
      </c>
      <c r="X1226" s="43"/>
      <c r="Y1226" s="43"/>
      <c r="Z1226" s="43"/>
    </row>
    <row r="1227" hidden="1">
      <c r="A1227" s="43" t="str">
        <f>IFERROR(__xludf.DUMMYFUNCTION("""COMPUTED_VALUE"""),"5377660_1294232")</f>
        <v>5377660_1294232</v>
      </c>
      <c r="B1227" s="43" t="str">
        <f>IFERROR(__xludf.DUMMYFUNCTION("""COMPUTED_VALUE"""),"Nisa Yılmaz")</f>
        <v>Nisa Yılmaz</v>
      </c>
      <c r="C1227" s="43" t="str">
        <f>IFERROR(__xludf.DUMMYFUNCTION("""COMPUTED_VALUE"""),"approved")</f>
        <v>approved</v>
      </c>
      <c r="D1227" s="43" t="str">
        <f>IFERROR(__xludf.DUMMYFUNCTION("""COMPUTED_VALUE"""),"No")</f>
        <v>No</v>
      </c>
      <c r="E1227" s="43" t="str">
        <f>IFERROR(__xludf.DUMMYFUNCTION("""COMPUTED_VALUE"""),"p_cc2c4af6b71c05830c20e0e8c3a5c7ad0a8dda29@inbound.aiesec.org")</f>
        <v>p_cc2c4af6b71c05830c20e0e8c3a5c7ad0a8dda29@inbound.aiesec.org</v>
      </c>
      <c r="F1227" s="43">
        <f>IFERROR(__xludf.DUMMYFUNCTION("""COMPUTED_VALUE"""),5.337173053E9)</f>
        <v>5337173053</v>
      </c>
      <c r="G1227" s="43" t="str">
        <f>IFERROR(__xludf.DUMMYFUNCTION("""COMPUTED_VALUE"""),"Turkey")</f>
        <v>Turkey</v>
      </c>
      <c r="H1227" s="43" t="str">
        <f>IFERROR(__xludf.DUMMYFUNCTION("""COMPUTED_VALUE"""),"SAKARYA")</f>
        <v>SAKARYA</v>
      </c>
      <c r="I1227" s="43" t="str">
        <f>IFERROR(__xludf.DUMMYFUNCTION("""COMPUTED_VALUE"""),"Egypt")</f>
        <v>Egypt</v>
      </c>
      <c r="J1227" s="43" t="str">
        <f>IFERROR(__xludf.DUMMYFUNCTION("""COMPUTED_VALUE"""),"Suez")</f>
        <v>Suez</v>
      </c>
      <c r="K1227" s="44" t="str">
        <f>IFERROR(__xludf.DUMMYFUNCTION("""COMPUTED_VALUE"""),"https://expa.aiesec.org/opportunities/1294232")</f>
        <v>https://expa.aiesec.org/opportunities/1294232</v>
      </c>
      <c r="L1227" s="43" t="str">
        <f>IFERROR(__xludf.DUMMYFUNCTION("""COMPUTED_VALUE"""),"GV")</f>
        <v>GV</v>
      </c>
      <c r="M1227" s="43" t="str">
        <f>IFERROR(__xludf.DUMMYFUNCTION("""COMPUTED_VALUE"""),"short")</f>
        <v>short</v>
      </c>
      <c r="N1227" s="45">
        <f>IFERROR(__xludf.DUMMYFUNCTION("""COMPUTED_VALUE"""),45258.0)</f>
        <v>45258</v>
      </c>
      <c r="O1227" s="45">
        <f>IFERROR(__xludf.DUMMYFUNCTION("""COMPUTED_VALUE"""),45474.0)</f>
        <v>45474</v>
      </c>
      <c r="P1227" s="45">
        <f>IFERROR(__xludf.DUMMYFUNCTION("""COMPUTED_VALUE"""),45516.0)</f>
        <v>45516</v>
      </c>
      <c r="Q1227" s="45"/>
      <c r="R1227" s="45"/>
      <c r="S1227" s="43"/>
      <c r="T1227" s="43"/>
      <c r="U1227" s="43" t="str">
        <f>IFERROR(__xludf.DUMMYFUNCTION("""COMPUTED_VALUE"""),"On The Map")</f>
        <v>On The Map</v>
      </c>
      <c r="V1227" s="43" t="str">
        <f>IFERROR(__xludf.DUMMYFUNCTION("""COMPUTED_VALUE"""),"SAKARYA")</f>
        <v>SAKARYA</v>
      </c>
      <c r="W1227" s="43" t="str">
        <f>IFERROR(__xludf.DUMMYFUNCTION("""COMPUTED_VALUE"""),"2023-11-22T16:47:09Z")</f>
        <v>2023-11-22T16:47:09Z</v>
      </c>
      <c r="X1227" s="43"/>
      <c r="Y1227" s="43"/>
      <c r="Z1227" s="43"/>
    </row>
    <row r="1228" hidden="1">
      <c r="A1228" s="43" t="str">
        <f>IFERROR(__xludf.DUMMYFUNCTION("""COMPUTED_VALUE"""),"5381760_1294232")</f>
        <v>5381760_1294232</v>
      </c>
      <c r="B1228" s="43" t="str">
        <f>IFERROR(__xludf.DUMMYFUNCTION("""COMPUTED_VALUE"""),"Ervanur Sarı")</f>
        <v>Ervanur Sarı</v>
      </c>
      <c r="C1228" s="43" t="str">
        <f>IFERROR(__xludf.DUMMYFUNCTION("""COMPUTED_VALUE"""),"approved")</f>
        <v>approved</v>
      </c>
      <c r="D1228" s="43" t="str">
        <f>IFERROR(__xludf.DUMMYFUNCTION("""COMPUTED_VALUE"""),"No")</f>
        <v>No</v>
      </c>
      <c r="E1228" s="43" t="str">
        <f>IFERROR(__xludf.DUMMYFUNCTION("""COMPUTED_VALUE"""),"p_64e6564cda1075426f942fac7c08e62ee673322f@inbound.aiesec.org")</f>
        <v>p_64e6564cda1075426f942fac7c08e62ee673322f@inbound.aiesec.org</v>
      </c>
      <c r="F1228" s="43">
        <f>IFERROR(__xludf.DUMMYFUNCTION("""COMPUTED_VALUE"""),5.515519792E9)</f>
        <v>5515519792</v>
      </c>
      <c r="G1228" s="43" t="str">
        <f>IFERROR(__xludf.DUMMYFUNCTION("""COMPUTED_VALUE"""),"Turkey")</f>
        <v>Turkey</v>
      </c>
      <c r="H1228" s="43" t="str">
        <f>IFERROR(__xludf.DUMMYFUNCTION("""COMPUTED_VALUE"""),"SAKARYA")</f>
        <v>SAKARYA</v>
      </c>
      <c r="I1228" s="43" t="str">
        <f>IFERROR(__xludf.DUMMYFUNCTION("""COMPUTED_VALUE"""),"Egypt")</f>
        <v>Egypt</v>
      </c>
      <c r="J1228" s="43" t="str">
        <f>IFERROR(__xludf.DUMMYFUNCTION("""COMPUTED_VALUE"""),"Suez")</f>
        <v>Suez</v>
      </c>
      <c r="K1228" s="44" t="str">
        <f>IFERROR(__xludf.DUMMYFUNCTION("""COMPUTED_VALUE"""),"https://expa.aiesec.org/opportunities/1294232")</f>
        <v>https://expa.aiesec.org/opportunities/1294232</v>
      </c>
      <c r="L1228" s="43" t="str">
        <f>IFERROR(__xludf.DUMMYFUNCTION("""COMPUTED_VALUE"""),"GV")</f>
        <v>GV</v>
      </c>
      <c r="M1228" s="43" t="str">
        <f>IFERROR(__xludf.DUMMYFUNCTION("""COMPUTED_VALUE"""),"short")</f>
        <v>short</v>
      </c>
      <c r="N1228" s="45">
        <f>IFERROR(__xludf.DUMMYFUNCTION("""COMPUTED_VALUE"""),45258.0)</f>
        <v>45258</v>
      </c>
      <c r="O1228" s="45">
        <f>IFERROR(__xludf.DUMMYFUNCTION("""COMPUTED_VALUE"""),45474.0)</f>
        <v>45474</v>
      </c>
      <c r="P1228" s="45">
        <f>IFERROR(__xludf.DUMMYFUNCTION("""COMPUTED_VALUE"""),45516.0)</f>
        <v>45516</v>
      </c>
      <c r="Q1228" s="45"/>
      <c r="R1228" s="45"/>
      <c r="S1228" s="43"/>
      <c r="T1228" s="43"/>
      <c r="U1228" s="43" t="str">
        <f>IFERROR(__xludf.DUMMYFUNCTION("""COMPUTED_VALUE"""),"On The Map")</f>
        <v>On The Map</v>
      </c>
      <c r="V1228" s="43" t="str">
        <f>IFERROR(__xludf.DUMMYFUNCTION("""COMPUTED_VALUE"""),"SAKARYA")</f>
        <v>SAKARYA</v>
      </c>
      <c r="W1228" s="43" t="str">
        <f>IFERROR(__xludf.DUMMYFUNCTION("""COMPUTED_VALUE"""),"2023-11-28T14:47:35Z")</f>
        <v>2023-11-28T14:47:35Z</v>
      </c>
      <c r="X1228" s="43"/>
      <c r="Y1228" s="43"/>
      <c r="Z1228" s="43"/>
    </row>
    <row r="1229" hidden="1">
      <c r="A1229" s="43" t="str">
        <f>IFERROR(__xludf.DUMMYFUNCTION("""COMPUTED_VALUE"""),"5381827_1290806")</f>
        <v>5381827_1290806</v>
      </c>
      <c r="B1229" s="43" t="str">
        <f>IFERROR(__xludf.DUMMYFUNCTION("""COMPUTED_VALUE"""),"Eda Kücüksoy")</f>
        <v>Eda Kücüksoy</v>
      </c>
      <c r="C1229" s="43" t="str">
        <f>IFERROR(__xludf.DUMMYFUNCTION("""COMPUTED_VALUE"""),"approved")</f>
        <v>approved</v>
      </c>
      <c r="D1229" s="43" t="str">
        <f>IFERROR(__xludf.DUMMYFUNCTION("""COMPUTED_VALUE"""),"No")</f>
        <v>No</v>
      </c>
      <c r="E1229" s="43" t="str">
        <f>IFERROR(__xludf.DUMMYFUNCTION("""COMPUTED_VALUE"""),"p_51c172683f621df745975f84ca142d8686a821c5@inbound.aiesec.org")</f>
        <v>p_51c172683f621df745975f84ca142d8686a821c5@inbound.aiesec.org</v>
      </c>
      <c r="F1229" s="43">
        <f>IFERROR(__xludf.DUMMYFUNCTION("""COMPUTED_VALUE"""),5.307358603E9)</f>
        <v>5307358603</v>
      </c>
      <c r="G1229" s="43" t="str">
        <f>IFERROR(__xludf.DUMMYFUNCTION("""COMPUTED_VALUE"""),"Turkey")</f>
        <v>Turkey</v>
      </c>
      <c r="H1229" s="43" t="str">
        <f>IFERROR(__xludf.DUMMYFUNCTION("""COMPUTED_VALUE"""),"SAKARYA")</f>
        <v>SAKARYA</v>
      </c>
      <c r="I1229" s="43" t="str">
        <f>IFERROR(__xludf.DUMMYFUNCTION("""COMPUTED_VALUE"""),"Sri Lanka")</f>
        <v>Sri Lanka</v>
      </c>
      <c r="J1229" s="43" t="str">
        <f>IFERROR(__xludf.DUMMYFUNCTION("""COMPUTED_VALUE"""),"KANDY")</f>
        <v>KANDY</v>
      </c>
      <c r="K1229" s="44" t="str">
        <f>IFERROR(__xludf.DUMMYFUNCTION("""COMPUTED_VALUE"""),"https://expa.aiesec.org/opportunities/1290806")</f>
        <v>https://expa.aiesec.org/opportunities/1290806</v>
      </c>
      <c r="L1229" s="43" t="str">
        <f>IFERROR(__xludf.DUMMYFUNCTION("""COMPUTED_VALUE"""),"GV")</f>
        <v>GV</v>
      </c>
      <c r="M1229" s="43" t="str">
        <f>IFERROR(__xludf.DUMMYFUNCTION("""COMPUTED_VALUE"""),"short")</f>
        <v>short</v>
      </c>
      <c r="N1229" s="45">
        <f>IFERROR(__xludf.DUMMYFUNCTION("""COMPUTED_VALUE"""),45258.0)</f>
        <v>45258</v>
      </c>
      <c r="O1229" s="45">
        <f>IFERROR(__xludf.DUMMYFUNCTION("""COMPUTED_VALUE"""),45291.0)</f>
        <v>45291</v>
      </c>
      <c r="P1229" s="45">
        <f>IFERROR(__xludf.DUMMYFUNCTION("""COMPUTED_VALUE"""),45333.0)</f>
        <v>45333</v>
      </c>
      <c r="Q1229" s="45"/>
      <c r="R1229" s="45"/>
      <c r="S1229" s="43"/>
      <c r="T1229" s="43"/>
      <c r="U1229" s="43" t="str">
        <f>IFERROR(__xludf.DUMMYFUNCTION("""COMPUTED_VALUE"""),"Happy Bus")</f>
        <v>Happy Bus</v>
      </c>
      <c r="V1229" s="43" t="str">
        <f>IFERROR(__xludf.DUMMYFUNCTION("""COMPUTED_VALUE"""),"SAKARYA")</f>
        <v>SAKARYA</v>
      </c>
      <c r="W1229" s="43" t="str">
        <f>IFERROR(__xludf.DUMMYFUNCTION("""COMPUTED_VALUE"""),"2023-11-28T16:50:07Z")</f>
        <v>2023-11-28T16:50:07Z</v>
      </c>
      <c r="X1229" s="43"/>
      <c r="Y1229" s="43"/>
      <c r="Z1229" s="43"/>
    </row>
    <row r="1230" hidden="1">
      <c r="A1230" s="43" t="str">
        <f>IFERROR(__xludf.DUMMYFUNCTION("""COMPUTED_VALUE"""),"5379716_1301550")</f>
        <v>5379716_1301550</v>
      </c>
      <c r="B1230" s="43" t="str">
        <f>IFERROR(__xludf.DUMMYFUNCTION("""COMPUTED_VALUE"""),"Ahmet Aykut Uysal")</f>
        <v>Ahmet Aykut Uysal</v>
      </c>
      <c r="C1230" s="43" t="str">
        <f>IFERROR(__xludf.DUMMYFUNCTION("""COMPUTED_VALUE"""),"approved")</f>
        <v>approved</v>
      </c>
      <c r="D1230" s="43" t="str">
        <f>IFERROR(__xludf.DUMMYFUNCTION("""COMPUTED_VALUE"""),"No")</f>
        <v>No</v>
      </c>
      <c r="E1230" s="43" t="str">
        <f>IFERROR(__xludf.DUMMYFUNCTION("""COMPUTED_VALUE"""),"p_d17ff83ecf4c2cb66ff32e2a597665a3ddbf95e7@inbound.aiesec.org")</f>
        <v>p_d17ff83ecf4c2cb66ff32e2a597665a3ddbf95e7@inbound.aiesec.org</v>
      </c>
      <c r="F1230" s="43">
        <f>IFERROR(__xludf.DUMMYFUNCTION("""COMPUTED_VALUE"""),5.557565915E9)</f>
        <v>5557565915</v>
      </c>
      <c r="G1230" s="43" t="str">
        <f>IFERROR(__xludf.DUMMYFUNCTION("""COMPUTED_VALUE"""),"Turkey")</f>
        <v>Turkey</v>
      </c>
      <c r="H1230" s="43" t="str">
        <f>IFERROR(__xludf.DUMMYFUNCTION("""COMPUTED_VALUE"""),"ANTALYA")</f>
        <v>ANTALYA</v>
      </c>
      <c r="I1230" s="43" t="str">
        <f>IFERROR(__xludf.DUMMYFUNCTION("""COMPUTED_VALUE"""),"Romania")</f>
        <v>Romania</v>
      </c>
      <c r="J1230" s="43" t="str">
        <f>IFERROR(__xludf.DUMMYFUNCTION("""COMPUTED_VALUE"""),"Cluj-Napoca")</f>
        <v>Cluj-Napoca</v>
      </c>
      <c r="K1230" s="44" t="str">
        <f>IFERROR(__xludf.DUMMYFUNCTION("""COMPUTED_VALUE"""),"https://expa.aiesec.org/opportunities/1301550")</f>
        <v>https://expa.aiesec.org/opportunities/1301550</v>
      </c>
      <c r="L1230" s="43" t="str">
        <f>IFERROR(__xludf.DUMMYFUNCTION("""COMPUTED_VALUE"""),"GV")</f>
        <v>GV</v>
      </c>
      <c r="M1230" s="43" t="str">
        <f>IFERROR(__xludf.DUMMYFUNCTION("""COMPUTED_VALUE"""),"short")</f>
        <v>short</v>
      </c>
      <c r="N1230" s="45">
        <f>IFERROR(__xludf.DUMMYFUNCTION("""COMPUTED_VALUE"""),45258.0)</f>
        <v>45258</v>
      </c>
      <c r="O1230" s="45">
        <f>IFERROR(__xludf.DUMMYFUNCTION("""COMPUTED_VALUE"""),45474.0)</f>
        <v>45474</v>
      </c>
      <c r="P1230" s="45">
        <f>IFERROR(__xludf.DUMMYFUNCTION("""COMPUTED_VALUE"""),45516.0)</f>
        <v>45516</v>
      </c>
      <c r="Q1230" s="45"/>
      <c r="R1230" s="45"/>
      <c r="S1230" s="43"/>
      <c r="T1230" s="43"/>
      <c r="U1230" s="43" t="str">
        <f>IFERROR(__xludf.DUMMYFUNCTION("""COMPUTED_VALUE"""),"Fingerprint")</f>
        <v>Fingerprint</v>
      </c>
      <c r="V1230" s="43" t="str">
        <f>IFERROR(__xludf.DUMMYFUNCTION("""COMPUTED_VALUE"""),"ANTALYA")</f>
        <v>ANTALYA</v>
      </c>
      <c r="W1230" s="43" t="str">
        <f>IFERROR(__xludf.DUMMYFUNCTION("""COMPUTED_VALUE"""),"2023-11-25T15:47:07Z")</f>
        <v>2023-11-25T15:47:07Z</v>
      </c>
      <c r="X1230" s="43"/>
      <c r="Y1230" s="43"/>
      <c r="Z1230" s="43"/>
    </row>
    <row r="1231" hidden="1">
      <c r="A1231" s="43" t="str">
        <f>IFERROR(__xludf.DUMMYFUNCTION("""COMPUTED_VALUE"""),"5379624_1299929")</f>
        <v>5379624_1299929</v>
      </c>
      <c r="B1231" s="43" t="str">
        <f>IFERROR(__xludf.DUMMYFUNCTION("""COMPUTED_VALUE"""),"Hayrettin Akgüç")</f>
        <v>Hayrettin Akgüç</v>
      </c>
      <c r="C1231" s="43" t="str">
        <f>IFERROR(__xludf.DUMMYFUNCTION("""COMPUTED_VALUE"""),"realized")</f>
        <v>realized</v>
      </c>
      <c r="D1231" s="43" t="str">
        <f>IFERROR(__xludf.DUMMYFUNCTION("""COMPUTED_VALUE"""),"No")</f>
        <v>No</v>
      </c>
      <c r="E1231" s="43" t="str">
        <f>IFERROR(__xludf.DUMMYFUNCTION("""COMPUTED_VALUE"""),"p_1952a59b08dc52263bf633ce86d26bee94613b58@inbound.aiesec.org")</f>
        <v>p_1952a59b08dc52263bf633ce86d26bee94613b58@inbound.aiesec.org</v>
      </c>
      <c r="F1231" s="43"/>
      <c r="G1231" s="43" t="str">
        <f>IFERROR(__xludf.DUMMYFUNCTION("""COMPUTED_VALUE"""),"Turkey")</f>
        <v>Turkey</v>
      </c>
      <c r="H1231" s="43" t="str">
        <f>IFERROR(__xludf.DUMMYFUNCTION("""COMPUTED_VALUE"""),"ISTANBUL")</f>
        <v>ISTANBUL</v>
      </c>
      <c r="I1231" s="43" t="str">
        <f>IFERROR(__xludf.DUMMYFUNCTION("""COMPUTED_VALUE"""),"Serbia")</f>
        <v>Serbia</v>
      </c>
      <c r="J1231" s="43" t="str">
        <f>IFERROR(__xludf.DUMMYFUNCTION("""COMPUTED_VALUE"""),"Subotica")</f>
        <v>Subotica</v>
      </c>
      <c r="K1231" s="44" t="str">
        <f>IFERROR(__xludf.DUMMYFUNCTION("""COMPUTED_VALUE"""),"https://expa.aiesec.org/opportunities/1299929")</f>
        <v>https://expa.aiesec.org/opportunities/1299929</v>
      </c>
      <c r="L1231" s="43" t="str">
        <f>IFERROR(__xludf.DUMMYFUNCTION("""COMPUTED_VALUE"""),"GV")</f>
        <v>GV</v>
      </c>
      <c r="M1231" s="43" t="str">
        <f>IFERROR(__xludf.DUMMYFUNCTION("""COMPUTED_VALUE"""),"short")</f>
        <v>short</v>
      </c>
      <c r="N1231" s="45">
        <f>IFERROR(__xludf.DUMMYFUNCTION("""COMPUTED_VALUE"""),45258.0)</f>
        <v>45258</v>
      </c>
      <c r="O1231" s="45">
        <f>IFERROR(__xludf.DUMMYFUNCTION("""COMPUTED_VALUE"""),45313.0)</f>
        <v>45313</v>
      </c>
      <c r="P1231" s="45">
        <f>IFERROR(__xludf.DUMMYFUNCTION("""COMPUTED_VALUE"""),45355.0)</f>
        <v>45355</v>
      </c>
      <c r="Q1231" s="45">
        <f>IFERROR(__xludf.DUMMYFUNCTION("""COMPUTED_VALUE"""),45313.0)</f>
        <v>45313</v>
      </c>
      <c r="R1231" s="45">
        <f>IFERROR(__xludf.DUMMYFUNCTION("""COMPUTED_VALUE"""),45355.0)</f>
        <v>45355</v>
      </c>
      <c r="S1231" s="43"/>
      <c r="T1231" s="43"/>
      <c r="U1231" s="43" t="str">
        <f>IFERROR(__xludf.DUMMYFUNCTION("""COMPUTED_VALUE"""),"Skill Up!")</f>
        <v>Skill Up!</v>
      </c>
      <c r="V1231" s="43" t="str">
        <f>IFERROR(__xludf.DUMMYFUNCTION("""COMPUTED_VALUE"""),"-")</f>
        <v>-</v>
      </c>
      <c r="W1231" s="43" t="str">
        <f>IFERROR(__xludf.DUMMYFUNCTION("""COMPUTED_VALUE"""),"2023-11-25T13:09:41Z")</f>
        <v>2023-11-25T13:09:41Z</v>
      </c>
      <c r="X1231" s="43"/>
      <c r="Y1231" s="43"/>
      <c r="Z1231" s="43"/>
    </row>
    <row r="1232" hidden="1">
      <c r="A1232" s="43" t="str">
        <f>IFERROR(__xludf.DUMMYFUNCTION("""COMPUTED_VALUE"""),"5382311_1293463")</f>
        <v>5382311_1293463</v>
      </c>
      <c r="B1232" s="43" t="str">
        <f>IFERROR(__xludf.DUMMYFUNCTION("""COMPUTED_VALUE"""),"Ikra Yagmur Koc")</f>
        <v>Ikra Yagmur Koc</v>
      </c>
      <c r="C1232" s="43" t="str">
        <f>IFERROR(__xludf.DUMMYFUNCTION("""COMPUTED_VALUE"""),"approved")</f>
        <v>approved</v>
      </c>
      <c r="D1232" s="43" t="str">
        <f>IFERROR(__xludf.DUMMYFUNCTION("""COMPUTED_VALUE"""),"No")</f>
        <v>No</v>
      </c>
      <c r="E1232" s="43" t="str">
        <f>IFERROR(__xludf.DUMMYFUNCTION("""COMPUTED_VALUE"""),"p_43ac213e8a457b8bde00a5eff28eb922a1ca06b8@inbound.aiesec.org")</f>
        <v>p_43ac213e8a457b8bde00a5eff28eb922a1ca06b8@inbound.aiesec.org</v>
      </c>
      <c r="F1232" s="43">
        <f>IFERROR(__xludf.DUMMYFUNCTION("""COMPUTED_VALUE"""),5.453753341E9)</f>
        <v>5453753341</v>
      </c>
      <c r="G1232" s="43" t="str">
        <f>IFERROR(__xludf.DUMMYFUNCTION("""COMPUTED_VALUE"""),"Turkey")</f>
        <v>Turkey</v>
      </c>
      <c r="H1232" s="43" t="str">
        <f>IFERROR(__xludf.DUMMYFUNCTION("""COMPUTED_VALUE"""),"ISTANBUL WEST")</f>
        <v>ISTANBUL WEST</v>
      </c>
      <c r="I1232" s="43" t="str">
        <f>IFERROR(__xludf.DUMMYFUNCTION("""COMPUTED_VALUE"""),"Egypt")</f>
        <v>Egypt</v>
      </c>
      <c r="J1232" s="43" t="str">
        <f>IFERROR(__xludf.DUMMYFUNCTION("""COMPUTED_VALUE"""),"Tanta")</f>
        <v>Tanta</v>
      </c>
      <c r="K1232" s="44" t="str">
        <f>IFERROR(__xludf.DUMMYFUNCTION("""COMPUTED_VALUE"""),"https://expa.aiesec.org/opportunities/1293463")</f>
        <v>https://expa.aiesec.org/opportunities/1293463</v>
      </c>
      <c r="L1232" s="43" t="str">
        <f>IFERROR(__xludf.DUMMYFUNCTION("""COMPUTED_VALUE"""),"GV")</f>
        <v>GV</v>
      </c>
      <c r="M1232" s="43" t="str">
        <f>IFERROR(__xludf.DUMMYFUNCTION("""COMPUTED_VALUE"""),"short")</f>
        <v>short</v>
      </c>
      <c r="N1232" s="45">
        <f>IFERROR(__xludf.DUMMYFUNCTION("""COMPUTED_VALUE"""),45259.0)</f>
        <v>45259</v>
      </c>
      <c r="O1232" s="45">
        <f>IFERROR(__xludf.DUMMYFUNCTION("""COMPUTED_VALUE"""),45474.0)</f>
        <v>45474</v>
      </c>
      <c r="P1232" s="45">
        <f>IFERROR(__xludf.DUMMYFUNCTION("""COMPUTED_VALUE"""),45516.0)</f>
        <v>45516</v>
      </c>
      <c r="Q1232" s="45"/>
      <c r="R1232" s="45"/>
      <c r="S1232" s="43"/>
      <c r="T1232" s="43"/>
      <c r="U1232" s="43" t="str">
        <f>IFERROR(__xludf.DUMMYFUNCTION("""COMPUTED_VALUE"""),"Green Leaders")</f>
        <v>Green Leaders</v>
      </c>
      <c r="V1232" s="43" t="str">
        <f>IFERROR(__xludf.DUMMYFUNCTION("""COMPUTED_VALUE"""),"ISTANBUL - BAKIRKOY")</f>
        <v>ISTANBUL - BAKIRKOY</v>
      </c>
      <c r="W1232" s="43" t="str">
        <f>IFERROR(__xludf.DUMMYFUNCTION("""COMPUTED_VALUE"""),"2023-11-29T08:20:43Z")</f>
        <v>2023-11-29T08:20:43Z</v>
      </c>
      <c r="X1232" s="43"/>
      <c r="Y1232" s="43"/>
      <c r="Z1232" s="43"/>
    </row>
    <row r="1233" hidden="1">
      <c r="A1233" s="43" t="str">
        <f>IFERROR(__xludf.DUMMYFUNCTION("""COMPUTED_VALUE"""),"5174568_1293463")</f>
        <v>5174568_1293463</v>
      </c>
      <c r="B1233" s="43" t="str">
        <f>IFERROR(__xludf.DUMMYFUNCTION("""COMPUTED_VALUE"""),"Mevlüthan Çiftçi")</f>
        <v>Mevlüthan Çiftçi</v>
      </c>
      <c r="C1233" s="43" t="str">
        <f>IFERROR(__xludf.DUMMYFUNCTION("""COMPUTED_VALUE"""),"approved")</f>
        <v>approved</v>
      </c>
      <c r="D1233" s="43" t="str">
        <f>IFERROR(__xludf.DUMMYFUNCTION("""COMPUTED_VALUE"""),"No")</f>
        <v>No</v>
      </c>
      <c r="E1233" s="43" t="str">
        <f>IFERROR(__xludf.DUMMYFUNCTION("""COMPUTED_VALUE"""),"p_16fad21f2876de9c287ec53df56df7bfbfd960cb@inbound.aiesec.org")</f>
        <v>p_16fad21f2876de9c287ec53df56df7bfbfd960cb@inbound.aiesec.org</v>
      </c>
      <c r="F1233" s="43">
        <f>IFERROR(__xludf.DUMMYFUNCTION("""COMPUTED_VALUE"""),5.078551745E9)</f>
        <v>5078551745</v>
      </c>
      <c r="G1233" s="43" t="str">
        <f>IFERROR(__xludf.DUMMYFUNCTION("""COMPUTED_VALUE"""),"Turkey")</f>
        <v>Turkey</v>
      </c>
      <c r="H1233" s="43" t="str">
        <f>IFERROR(__xludf.DUMMYFUNCTION("""COMPUTED_VALUE"""),"ISTANBUL WEST")</f>
        <v>ISTANBUL WEST</v>
      </c>
      <c r="I1233" s="43" t="str">
        <f>IFERROR(__xludf.DUMMYFUNCTION("""COMPUTED_VALUE"""),"Egypt")</f>
        <v>Egypt</v>
      </c>
      <c r="J1233" s="43" t="str">
        <f>IFERROR(__xludf.DUMMYFUNCTION("""COMPUTED_VALUE"""),"Tanta")</f>
        <v>Tanta</v>
      </c>
      <c r="K1233" s="44" t="str">
        <f>IFERROR(__xludf.DUMMYFUNCTION("""COMPUTED_VALUE"""),"https://expa.aiesec.org/opportunities/1293463")</f>
        <v>https://expa.aiesec.org/opportunities/1293463</v>
      </c>
      <c r="L1233" s="43" t="str">
        <f>IFERROR(__xludf.DUMMYFUNCTION("""COMPUTED_VALUE"""),"GV")</f>
        <v>GV</v>
      </c>
      <c r="M1233" s="43" t="str">
        <f>IFERROR(__xludf.DUMMYFUNCTION("""COMPUTED_VALUE"""),"short")</f>
        <v>short</v>
      </c>
      <c r="N1233" s="45">
        <f>IFERROR(__xludf.DUMMYFUNCTION("""COMPUTED_VALUE"""),45259.0)</f>
        <v>45259</v>
      </c>
      <c r="O1233" s="45">
        <f>IFERROR(__xludf.DUMMYFUNCTION("""COMPUTED_VALUE"""),45474.0)</f>
        <v>45474</v>
      </c>
      <c r="P1233" s="45">
        <f>IFERROR(__xludf.DUMMYFUNCTION("""COMPUTED_VALUE"""),45516.0)</f>
        <v>45516</v>
      </c>
      <c r="Q1233" s="45"/>
      <c r="R1233" s="45"/>
      <c r="S1233" s="43"/>
      <c r="T1233" s="43"/>
      <c r="U1233" s="43" t="str">
        <f>IFERROR(__xludf.DUMMYFUNCTION("""COMPUTED_VALUE"""),"Green Leaders")</f>
        <v>Green Leaders</v>
      </c>
      <c r="V1233" s="43" t="str">
        <f>IFERROR(__xludf.DUMMYFUNCTION("""COMPUTED_VALUE"""),"ISTANBUL - BAKIRKOY")</f>
        <v>ISTANBUL - BAKIRKOY</v>
      </c>
      <c r="W1233" s="43" t="str">
        <f>IFERROR(__xludf.DUMMYFUNCTION("""COMPUTED_VALUE"""),"2023-01-09T08:28:53Z")</f>
        <v>2023-01-09T08:28:53Z</v>
      </c>
      <c r="X1233" s="43"/>
      <c r="Y1233" s="43"/>
      <c r="Z1233" s="43"/>
    </row>
    <row r="1234" hidden="1">
      <c r="A1234" s="43" t="str">
        <f>IFERROR(__xludf.DUMMYFUNCTION("""COMPUTED_VALUE"""),"5381928_1293463")</f>
        <v>5381928_1293463</v>
      </c>
      <c r="B1234" s="43" t="str">
        <f>IFERROR(__xludf.DUMMYFUNCTION("""COMPUTED_VALUE"""),"Kubra Tok")</f>
        <v>Kubra Tok</v>
      </c>
      <c r="C1234" s="43" t="str">
        <f>IFERROR(__xludf.DUMMYFUNCTION("""COMPUTED_VALUE"""),"approved")</f>
        <v>approved</v>
      </c>
      <c r="D1234" s="43" t="str">
        <f>IFERROR(__xludf.DUMMYFUNCTION("""COMPUTED_VALUE"""),"No")</f>
        <v>No</v>
      </c>
      <c r="E1234" s="43" t="str">
        <f>IFERROR(__xludf.DUMMYFUNCTION("""COMPUTED_VALUE"""),"p_2199ae76d64d48939a544244375286fafdccaeca@inbound.aiesec.org")</f>
        <v>p_2199ae76d64d48939a544244375286fafdccaeca@inbound.aiesec.org</v>
      </c>
      <c r="F1234" s="43">
        <f>IFERROR(__xludf.DUMMYFUNCTION("""COMPUTED_VALUE"""),5.422438846E9)</f>
        <v>5422438846</v>
      </c>
      <c r="G1234" s="43" t="str">
        <f>IFERROR(__xludf.DUMMYFUNCTION("""COMPUTED_VALUE"""),"Turkey")</f>
        <v>Turkey</v>
      </c>
      <c r="H1234" s="43" t="str">
        <f>IFERROR(__xludf.DUMMYFUNCTION("""COMPUTED_VALUE"""),"ISTANBUL WEST")</f>
        <v>ISTANBUL WEST</v>
      </c>
      <c r="I1234" s="43" t="str">
        <f>IFERROR(__xludf.DUMMYFUNCTION("""COMPUTED_VALUE"""),"Egypt")</f>
        <v>Egypt</v>
      </c>
      <c r="J1234" s="43" t="str">
        <f>IFERROR(__xludf.DUMMYFUNCTION("""COMPUTED_VALUE"""),"Tanta")</f>
        <v>Tanta</v>
      </c>
      <c r="K1234" s="44" t="str">
        <f>IFERROR(__xludf.DUMMYFUNCTION("""COMPUTED_VALUE"""),"https://expa.aiesec.org/opportunities/1293463")</f>
        <v>https://expa.aiesec.org/opportunities/1293463</v>
      </c>
      <c r="L1234" s="43" t="str">
        <f>IFERROR(__xludf.DUMMYFUNCTION("""COMPUTED_VALUE"""),"GV")</f>
        <v>GV</v>
      </c>
      <c r="M1234" s="43" t="str">
        <f>IFERROR(__xludf.DUMMYFUNCTION("""COMPUTED_VALUE"""),"short")</f>
        <v>short</v>
      </c>
      <c r="N1234" s="45">
        <f>IFERROR(__xludf.DUMMYFUNCTION("""COMPUTED_VALUE"""),45259.0)</f>
        <v>45259</v>
      </c>
      <c r="O1234" s="45">
        <f>IFERROR(__xludf.DUMMYFUNCTION("""COMPUTED_VALUE"""),45474.0)</f>
        <v>45474</v>
      </c>
      <c r="P1234" s="45">
        <f>IFERROR(__xludf.DUMMYFUNCTION("""COMPUTED_VALUE"""),45516.0)</f>
        <v>45516</v>
      </c>
      <c r="Q1234" s="45"/>
      <c r="R1234" s="45"/>
      <c r="S1234" s="43"/>
      <c r="T1234" s="43"/>
      <c r="U1234" s="43" t="str">
        <f>IFERROR(__xludf.DUMMYFUNCTION("""COMPUTED_VALUE"""),"Green Leaders")</f>
        <v>Green Leaders</v>
      </c>
      <c r="V1234" s="43" t="str">
        <f>IFERROR(__xludf.DUMMYFUNCTION("""COMPUTED_VALUE"""),"ISTANBUL - BAKIRKOY")</f>
        <v>ISTANBUL - BAKIRKOY</v>
      </c>
      <c r="W1234" s="43" t="str">
        <f>IFERROR(__xludf.DUMMYFUNCTION("""COMPUTED_VALUE"""),"2023-11-28T18:48:20Z")</f>
        <v>2023-11-28T18:48:20Z</v>
      </c>
      <c r="X1234" s="43"/>
      <c r="Y1234" s="43"/>
      <c r="Z1234" s="43"/>
    </row>
    <row r="1235" hidden="1">
      <c r="A1235" s="43" t="str">
        <f>IFERROR(__xludf.DUMMYFUNCTION("""COMPUTED_VALUE"""),"5376681_1301306")</f>
        <v>5376681_1301306</v>
      </c>
      <c r="B1235" s="43" t="str">
        <f>IFERROR(__xludf.DUMMYFUNCTION("""COMPUTED_VALUE"""),"Hayide Işıl")</f>
        <v>Hayide Işıl</v>
      </c>
      <c r="C1235" s="43" t="str">
        <f>IFERROR(__xludf.DUMMYFUNCTION("""COMPUTED_VALUE"""),"approved")</f>
        <v>approved</v>
      </c>
      <c r="D1235" s="43" t="str">
        <f>IFERROR(__xludf.DUMMYFUNCTION("""COMPUTED_VALUE"""),"No")</f>
        <v>No</v>
      </c>
      <c r="E1235" s="43" t="str">
        <f>IFERROR(__xludf.DUMMYFUNCTION("""COMPUTED_VALUE"""),"p_27cf1129ea448fdb4678473847d009cb96672c65@inbound.aiesec.org")</f>
        <v>p_27cf1129ea448fdb4678473847d009cb96672c65@inbound.aiesec.org</v>
      </c>
      <c r="F1235" s="43">
        <f>IFERROR(__xludf.DUMMYFUNCTION("""COMPUTED_VALUE"""),5.396536124E9)</f>
        <v>5396536124</v>
      </c>
      <c r="G1235" s="43" t="str">
        <f>IFERROR(__xludf.DUMMYFUNCTION("""COMPUTED_VALUE"""),"Turkey")</f>
        <v>Turkey</v>
      </c>
      <c r="H1235" s="43" t="str">
        <f>IFERROR(__xludf.DUMMYFUNCTION("""COMPUTED_VALUE"""),"ISTANBUL WEST")</f>
        <v>ISTANBUL WEST</v>
      </c>
      <c r="I1235" s="43" t="str">
        <f>IFERROR(__xludf.DUMMYFUNCTION("""COMPUTED_VALUE"""),"Romania")</f>
        <v>Romania</v>
      </c>
      <c r="J1235" s="43" t="str">
        <f>IFERROR(__xludf.DUMMYFUNCTION("""COMPUTED_VALUE"""),"PITESTI")</f>
        <v>PITESTI</v>
      </c>
      <c r="K1235" s="44" t="str">
        <f>IFERROR(__xludf.DUMMYFUNCTION("""COMPUTED_VALUE"""),"https://expa.aiesec.org/opportunities/1301306")</f>
        <v>https://expa.aiesec.org/opportunities/1301306</v>
      </c>
      <c r="L1235" s="43" t="str">
        <f>IFERROR(__xludf.DUMMYFUNCTION("""COMPUTED_VALUE"""),"GV")</f>
        <v>GV</v>
      </c>
      <c r="M1235" s="43" t="str">
        <f>IFERROR(__xludf.DUMMYFUNCTION("""COMPUTED_VALUE"""),"short")</f>
        <v>short</v>
      </c>
      <c r="N1235" s="45">
        <f>IFERROR(__xludf.DUMMYFUNCTION("""COMPUTED_VALUE"""),45259.0)</f>
        <v>45259</v>
      </c>
      <c r="O1235" s="45">
        <f>IFERROR(__xludf.DUMMYFUNCTION("""COMPUTED_VALUE"""),45334.0)</f>
        <v>45334</v>
      </c>
      <c r="P1235" s="45">
        <f>IFERROR(__xludf.DUMMYFUNCTION("""COMPUTED_VALUE"""),45376.0)</f>
        <v>45376</v>
      </c>
      <c r="Q1235" s="45"/>
      <c r="R1235" s="45"/>
      <c r="S1235" s="43"/>
      <c r="T1235" s="43"/>
      <c r="U1235" s="43" t="str">
        <f>IFERROR(__xludf.DUMMYFUNCTION("""COMPUTED_VALUE"""),"Eat 4 Change")</f>
        <v>Eat 4 Change</v>
      </c>
      <c r="V1235" s="43" t="str">
        <f>IFERROR(__xludf.DUMMYFUNCTION("""COMPUTED_VALUE"""),"ISTANBUL - BAKIRKOY")</f>
        <v>ISTANBUL - BAKIRKOY</v>
      </c>
      <c r="W1235" s="43" t="str">
        <f>IFERROR(__xludf.DUMMYFUNCTION("""COMPUTED_VALUE"""),"2023-11-21T11:58:39Z")</f>
        <v>2023-11-21T11:58:39Z</v>
      </c>
      <c r="X1235" s="43"/>
      <c r="Y1235" s="43"/>
      <c r="Z1235" s="43"/>
    </row>
    <row r="1236" hidden="1">
      <c r="A1236" s="43" t="str">
        <f>IFERROR(__xludf.DUMMYFUNCTION("""COMPUTED_VALUE"""),"5378943_1299612")</f>
        <v>5378943_1299612</v>
      </c>
      <c r="B1236" s="43" t="str">
        <f>IFERROR(__xludf.DUMMYFUNCTION("""COMPUTED_VALUE"""),"halime yiğit")</f>
        <v>halime yiğit</v>
      </c>
      <c r="C1236" s="43" t="str">
        <f>IFERROR(__xludf.DUMMYFUNCTION("""COMPUTED_VALUE"""),"approved")</f>
        <v>approved</v>
      </c>
      <c r="D1236" s="43" t="str">
        <f>IFERROR(__xludf.DUMMYFUNCTION("""COMPUTED_VALUE"""),"No")</f>
        <v>No</v>
      </c>
      <c r="E1236" s="43" t="str">
        <f>IFERROR(__xludf.DUMMYFUNCTION("""COMPUTED_VALUE"""),"p_b66d44684f3a0263fd5c2e037ec3f89ebe974f49@inbound.aiesec.org")</f>
        <v>p_b66d44684f3a0263fd5c2e037ec3f89ebe974f49@inbound.aiesec.org</v>
      </c>
      <c r="F1236" s="43">
        <f>IFERROR(__xludf.DUMMYFUNCTION("""COMPUTED_VALUE"""),5.438664651E9)</f>
        <v>5438664651</v>
      </c>
      <c r="G1236" s="43" t="str">
        <f>IFERROR(__xludf.DUMMYFUNCTION("""COMPUTED_VALUE"""),"Turkey")</f>
        <v>Turkey</v>
      </c>
      <c r="H1236" s="43" t="str">
        <f>IFERROR(__xludf.DUMMYFUNCTION("""COMPUTED_VALUE"""),"ISTANBUL WEST")</f>
        <v>ISTANBUL WEST</v>
      </c>
      <c r="I1236" s="43" t="str">
        <f>IFERROR(__xludf.DUMMYFUNCTION("""COMPUTED_VALUE"""),"Egypt")</f>
        <v>Egypt</v>
      </c>
      <c r="J1236" s="43" t="str">
        <f>IFERROR(__xludf.DUMMYFUNCTION("""COMPUTED_VALUE"""),"MUST")</f>
        <v>MUST</v>
      </c>
      <c r="K1236" s="44" t="str">
        <f>IFERROR(__xludf.DUMMYFUNCTION("""COMPUTED_VALUE"""),"https://expa.aiesec.org/opportunities/1299612")</f>
        <v>https://expa.aiesec.org/opportunities/1299612</v>
      </c>
      <c r="L1236" s="43" t="str">
        <f>IFERROR(__xludf.DUMMYFUNCTION("""COMPUTED_VALUE"""),"GV")</f>
        <v>GV</v>
      </c>
      <c r="M1236" s="43" t="str">
        <f>IFERROR(__xludf.DUMMYFUNCTION("""COMPUTED_VALUE"""),"short")</f>
        <v>short</v>
      </c>
      <c r="N1236" s="45">
        <f>IFERROR(__xludf.DUMMYFUNCTION("""COMPUTED_VALUE"""),45259.0)</f>
        <v>45259</v>
      </c>
      <c r="O1236" s="45">
        <f>IFERROR(__xludf.DUMMYFUNCTION("""COMPUTED_VALUE"""),45323.0)</f>
        <v>45323</v>
      </c>
      <c r="P1236" s="45">
        <f>IFERROR(__xludf.DUMMYFUNCTION("""COMPUTED_VALUE"""),45366.0)</f>
        <v>45366</v>
      </c>
      <c r="Q1236" s="45"/>
      <c r="R1236" s="45"/>
      <c r="S1236" s="43"/>
      <c r="T1236" s="43"/>
      <c r="U1236" s="43" t="str">
        <f>IFERROR(__xludf.DUMMYFUNCTION("""COMPUTED_VALUE"""),"Scale Up!")</f>
        <v>Scale Up!</v>
      </c>
      <c r="V1236" s="43" t="str">
        <f>IFERROR(__xludf.DUMMYFUNCTION("""COMPUTED_VALUE"""),"ISTANBUL - BAKIRKOY")</f>
        <v>ISTANBUL - BAKIRKOY</v>
      </c>
      <c r="W1236" s="43" t="str">
        <f>IFERROR(__xludf.DUMMYFUNCTION("""COMPUTED_VALUE"""),"2023-11-24T11:16:59Z")</f>
        <v>2023-11-24T11:16:59Z</v>
      </c>
      <c r="X1236" s="43"/>
      <c r="Y1236" s="43"/>
      <c r="Z1236" s="43"/>
    </row>
    <row r="1237" hidden="1">
      <c r="A1237" s="43" t="str">
        <f>IFERROR(__xludf.DUMMYFUNCTION("""COMPUTED_VALUE"""),"5382390_1294232")</f>
        <v>5382390_1294232</v>
      </c>
      <c r="B1237" s="43" t="str">
        <f>IFERROR(__xludf.DUMMYFUNCTION("""COMPUTED_VALUE"""),"Alper Hacıoğlu")</f>
        <v>Alper Hacıoğlu</v>
      </c>
      <c r="C1237" s="43" t="str">
        <f>IFERROR(__xludf.DUMMYFUNCTION("""COMPUTED_VALUE"""),"approved")</f>
        <v>approved</v>
      </c>
      <c r="D1237" s="43" t="str">
        <f>IFERROR(__xludf.DUMMYFUNCTION("""COMPUTED_VALUE"""),"No")</f>
        <v>No</v>
      </c>
      <c r="E1237" s="43" t="str">
        <f>IFERROR(__xludf.DUMMYFUNCTION("""COMPUTED_VALUE"""),"p_e555b820a9919068b7529ebb31ea62d3445ac1fc@inbound.aiesec.org")</f>
        <v>p_e555b820a9919068b7529ebb31ea62d3445ac1fc@inbound.aiesec.org</v>
      </c>
      <c r="F1237" s="43">
        <f>IFERROR(__xludf.DUMMYFUNCTION("""COMPUTED_VALUE"""),5.360658205E9)</f>
        <v>5360658205</v>
      </c>
      <c r="G1237" s="43" t="str">
        <f>IFERROR(__xludf.DUMMYFUNCTION("""COMPUTED_VALUE"""),"Turkey")</f>
        <v>Turkey</v>
      </c>
      <c r="H1237" s="43" t="str">
        <f>IFERROR(__xludf.DUMMYFUNCTION("""COMPUTED_VALUE"""),"SAKARYA")</f>
        <v>SAKARYA</v>
      </c>
      <c r="I1237" s="43" t="str">
        <f>IFERROR(__xludf.DUMMYFUNCTION("""COMPUTED_VALUE"""),"Egypt")</f>
        <v>Egypt</v>
      </c>
      <c r="J1237" s="43" t="str">
        <f>IFERROR(__xludf.DUMMYFUNCTION("""COMPUTED_VALUE"""),"Suez")</f>
        <v>Suez</v>
      </c>
      <c r="K1237" s="44" t="str">
        <f>IFERROR(__xludf.DUMMYFUNCTION("""COMPUTED_VALUE"""),"https://expa.aiesec.org/opportunities/1294232")</f>
        <v>https://expa.aiesec.org/opportunities/1294232</v>
      </c>
      <c r="L1237" s="43" t="str">
        <f>IFERROR(__xludf.DUMMYFUNCTION("""COMPUTED_VALUE"""),"GV")</f>
        <v>GV</v>
      </c>
      <c r="M1237" s="43" t="str">
        <f>IFERROR(__xludf.DUMMYFUNCTION("""COMPUTED_VALUE"""),"short")</f>
        <v>short</v>
      </c>
      <c r="N1237" s="45">
        <f>IFERROR(__xludf.DUMMYFUNCTION("""COMPUTED_VALUE"""),45259.0)</f>
        <v>45259</v>
      </c>
      <c r="O1237" s="45">
        <f>IFERROR(__xludf.DUMMYFUNCTION("""COMPUTED_VALUE"""),45474.0)</f>
        <v>45474</v>
      </c>
      <c r="P1237" s="45">
        <f>IFERROR(__xludf.DUMMYFUNCTION("""COMPUTED_VALUE"""),45516.0)</f>
        <v>45516</v>
      </c>
      <c r="Q1237" s="45"/>
      <c r="R1237" s="45"/>
      <c r="S1237" s="43"/>
      <c r="T1237" s="43"/>
      <c r="U1237" s="43" t="str">
        <f>IFERROR(__xludf.DUMMYFUNCTION("""COMPUTED_VALUE"""),"On The Map")</f>
        <v>On The Map</v>
      </c>
      <c r="V1237" s="43" t="str">
        <f>IFERROR(__xludf.DUMMYFUNCTION("""COMPUTED_VALUE"""),"SAKARYA")</f>
        <v>SAKARYA</v>
      </c>
      <c r="W1237" s="43" t="str">
        <f>IFERROR(__xludf.DUMMYFUNCTION("""COMPUTED_VALUE"""),"2023-11-29T11:22:37Z")</f>
        <v>2023-11-29T11:22:37Z</v>
      </c>
      <c r="X1237" s="43"/>
      <c r="Y1237" s="43"/>
      <c r="Z1237" s="43"/>
    </row>
    <row r="1238" hidden="1">
      <c r="A1238" s="43" t="str">
        <f>IFERROR(__xludf.DUMMYFUNCTION("""COMPUTED_VALUE"""),"4344226_1300175")</f>
        <v>4344226_1300175</v>
      </c>
      <c r="B1238" s="43" t="str">
        <f>IFERROR(__xludf.DUMMYFUNCTION("""COMPUTED_VALUE"""),"Birgül Güngör")</f>
        <v>Birgül Güngör</v>
      </c>
      <c r="C1238" s="43" t="str">
        <f>IFERROR(__xludf.DUMMYFUNCTION("""COMPUTED_VALUE"""),"approved")</f>
        <v>approved</v>
      </c>
      <c r="D1238" s="43" t="str">
        <f>IFERROR(__xludf.DUMMYFUNCTION("""COMPUTED_VALUE"""),"No")</f>
        <v>No</v>
      </c>
      <c r="E1238" s="43" t="str">
        <f>IFERROR(__xludf.DUMMYFUNCTION("""COMPUTED_VALUE"""),"p_72bc54b7a49c88a663e9a78d70032642f3f4fb26@inbound.aiesec.org")</f>
        <v>p_72bc54b7a49c88a663e9a78d70032642f3f4fb26@inbound.aiesec.org</v>
      </c>
      <c r="F1238" s="43">
        <f>IFERROR(__xludf.DUMMYFUNCTION("""COMPUTED_VALUE"""),5.436233549E9)</f>
        <v>5436233549</v>
      </c>
      <c r="G1238" s="43" t="str">
        <f>IFERROR(__xludf.DUMMYFUNCTION("""COMPUTED_VALUE"""),"Turkey")</f>
        <v>Turkey</v>
      </c>
      <c r="H1238" s="43" t="str">
        <f>IFERROR(__xludf.DUMMYFUNCTION("""COMPUTED_VALUE"""),"KONYA")</f>
        <v>KONYA</v>
      </c>
      <c r="I1238" s="43" t="str">
        <f>IFERROR(__xludf.DUMMYFUNCTION("""COMPUTED_VALUE"""),"Tunisia")</f>
        <v>Tunisia</v>
      </c>
      <c r="J1238" s="43" t="str">
        <f>IFERROR(__xludf.DUMMYFUNCTION("""COMPUTED_VALUE"""),"SFAX")</f>
        <v>SFAX</v>
      </c>
      <c r="K1238" s="44" t="str">
        <f>IFERROR(__xludf.DUMMYFUNCTION("""COMPUTED_VALUE"""),"https://expa.aiesec.org/opportunities/1300175")</f>
        <v>https://expa.aiesec.org/opportunities/1300175</v>
      </c>
      <c r="L1238" s="43" t="str">
        <f>IFERROR(__xludf.DUMMYFUNCTION("""COMPUTED_VALUE"""),"GV")</f>
        <v>GV</v>
      </c>
      <c r="M1238" s="43" t="str">
        <f>IFERROR(__xludf.DUMMYFUNCTION("""COMPUTED_VALUE"""),"short")</f>
        <v>short</v>
      </c>
      <c r="N1238" s="45">
        <f>IFERROR(__xludf.DUMMYFUNCTION("""COMPUTED_VALUE"""),45259.0)</f>
        <v>45259</v>
      </c>
      <c r="O1238" s="45">
        <f>IFERROR(__xludf.DUMMYFUNCTION("""COMPUTED_VALUE"""),45389.0)</f>
        <v>45389</v>
      </c>
      <c r="P1238" s="45">
        <f>IFERROR(__xludf.DUMMYFUNCTION("""COMPUTED_VALUE"""),45431.0)</f>
        <v>45431</v>
      </c>
      <c r="Q1238" s="45"/>
      <c r="R1238" s="45"/>
      <c r="S1238" s="43"/>
      <c r="T1238" s="43"/>
      <c r="U1238" s="43" t="str">
        <f>IFERROR(__xludf.DUMMYFUNCTION("""COMPUTED_VALUE"""),"Scale Up!")</f>
        <v>Scale Up!</v>
      </c>
      <c r="V1238" s="43" t="str">
        <f>IFERROR(__xludf.DUMMYFUNCTION("""COMPUTED_VALUE"""),"TEKIRDAG")</f>
        <v>TEKIRDAG</v>
      </c>
      <c r="W1238" s="43" t="str">
        <f>IFERROR(__xludf.DUMMYFUNCTION("""COMPUTED_VALUE"""),"2020-08-16T13:44:22Z")</f>
        <v>2020-08-16T13:44:22Z</v>
      </c>
      <c r="X1238" s="43"/>
      <c r="Y1238" s="43"/>
      <c r="Z1238" s="43"/>
    </row>
    <row r="1239" hidden="1">
      <c r="A1239" s="43" t="str">
        <f>IFERROR(__xludf.DUMMYFUNCTION("""COMPUTED_VALUE"""),"5382432_1299608")</f>
        <v>5382432_1299608</v>
      </c>
      <c r="B1239" s="43" t="str">
        <f>IFERROR(__xludf.DUMMYFUNCTION("""COMPUTED_VALUE"""),"Zeynep Karagöz")</f>
        <v>Zeynep Karagöz</v>
      </c>
      <c r="C1239" s="43" t="str">
        <f>IFERROR(__xludf.DUMMYFUNCTION("""COMPUTED_VALUE"""),"approved")</f>
        <v>approved</v>
      </c>
      <c r="D1239" s="43" t="str">
        <f>IFERROR(__xludf.DUMMYFUNCTION("""COMPUTED_VALUE"""),"No")</f>
        <v>No</v>
      </c>
      <c r="E1239" s="43" t="str">
        <f>IFERROR(__xludf.DUMMYFUNCTION("""COMPUTED_VALUE"""),"p_595e4bab4d97967b9cb9e0659e772da0d8e64190@inbound.aiesec.org")</f>
        <v>p_595e4bab4d97967b9cb9e0659e772da0d8e64190@inbound.aiesec.org</v>
      </c>
      <c r="F1239" s="43">
        <f>IFERROR(__xludf.DUMMYFUNCTION("""COMPUTED_VALUE"""),5.538834208E9)</f>
        <v>5538834208</v>
      </c>
      <c r="G1239" s="43" t="str">
        <f>IFERROR(__xludf.DUMMYFUNCTION("""COMPUTED_VALUE"""),"Turkey")</f>
        <v>Turkey</v>
      </c>
      <c r="H1239" s="43" t="str">
        <f>IFERROR(__xludf.DUMMYFUNCTION("""COMPUTED_VALUE"""),"KOCAELI")</f>
        <v>KOCAELI</v>
      </c>
      <c r="I1239" s="43" t="str">
        <f>IFERROR(__xludf.DUMMYFUNCTION("""COMPUTED_VALUE"""),"Egypt")</f>
        <v>Egypt</v>
      </c>
      <c r="J1239" s="43" t="str">
        <f>IFERROR(__xludf.DUMMYFUNCTION("""COMPUTED_VALUE"""),"Menofia")</f>
        <v>Menofia</v>
      </c>
      <c r="K1239" s="44" t="str">
        <f>IFERROR(__xludf.DUMMYFUNCTION("""COMPUTED_VALUE"""),"https://expa.aiesec.org/opportunities/1299608")</f>
        <v>https://expa.aiesec.org/opportunities/1299608</v>
      </c>
      <c r="L1239" s="43" t="str">
        <f>IFERROR(__xludf.DUMMYFUNCTION("""COMPUTED_VALUE"""),"GV")</f>
        <v>GV</v>
      </c>
      <c r="M1239" s="43" t="str">
        <f>IFERROR(__xludf.DUMMYFUNCTION("""COMPUTED_VALUE"""),"short")</f>
        <v>short</v>
      </c>
      <c r="N1239" s="45">
        <f>IFERROR(__xludf.DUMMYFUNCTION("""COMPUTED_VALUE"""),45259.0)</f>
        <v>45259</v>
      </c>
      <c r="O1239" s="45">
        <f>IFERROR(__xludf.DUMMYFUNCTION("""COMPUTED_VALUE"""),45474.0)</f>
        <v>45474</v>
      </c>
      <c r="P1239" s="45">
        <f>IFERROR(__xludf.DUMMYFUNCTION("""COMPUTED_VALUE"""),45516.0)</f>
        <v>45516</v>
      </c>
      <c r="Q1239" s="45"/>
      <c r="R1239" s="45"/>
      <c r="S1239" s="43"/>
      <c r="T1239" s="43"/>
      <c r="U1239" s="43" t="str">
        <f>IFERROR(__xludf.DUMMYFUNCTION("""COMPUTED_VALUE"""),"Skill Up!")</f>
        <v>Skill Up!</v>
      </c>
      <c r="V1239" s="43" t="str">
        <f>IFERROR(__xludf.DUMMYFUNCTION("""COMPUTED_VALUE"""),"KOCAELI")</f>
        <v>KOCAELI</v>
      </c>
      <c r="W1239" s="43" t="str">
        <f>IFERROR(__xludf.DUMMYFUNCTION("""COMPUTED_VALUE"""),"2023-11-29T12:22:25Z")</f>
        <v>2023-11-29T12:22:25Z</v>
      </c>
      <c r="X1239" s="43"/>
      <c r="Y1239" s="43"/>
      <c r="Z1239" s="43"/>
    </row>
    <row r="1240" hidden="1">
      <c r="A1240" s="43" t="str">
        <f>IFERROR(__xludf.DUMMYFUNCTION("""COMPUTED_VALUE"""),"5382349_1288609")</f>
        <v>5382349_1288609</v>
      </c>
      <c r="B1240" s="43" t="str">
        <f>IFERROR(__xludf.DUMMYFUNCTION("""COMPUTED_VALUE"""),"Hasan Sert")</f>
        <v>Hasan Sert</v>
      </c>
      <c r="C1240" s="43" t="str">
        <f>IFERROR(__xludf.DUMMYFUNCTION("""COMPUTED_VALUE"""),"approved")</f>
        <v>approved</v>
      </c>
      <c r="D1240" s="43" t="str">
        <f>IFERROR(__xludf.DUMMYFUNCTION("""COMPUTED_VALUE"""),"No")</f>
        <v>No</v>
      </c>
      <c r="E1240" s="43" t="str">
        <f>IFERROR(__xludf.DUMMYFUNCTION("""COMPUTED_VALUE"""),"p_6c5977f6aa9df62ec789a63a5c3b434a7e58ae0f@inbound.aiesec.org")</f>
        <v>p_6c5977f6aa9df62ec789a63a5c3b434a7e58ae0f@inbound.aiesec.org</v>
      </c>
      <c r="F1240" s="43">
        <f>IFERROR(__xludf.DUMMYFUNCTION("""COMPUTED_VALUE"""),5.051554717E9)</f>
        <v>5051554717</v>
      </c>
      <c r="G1240" s="43" t="str">
        <f>IFERROR(__xludf.DUMMYFUNCTION("""COMPUTED_VALUE"""),"Turkey")</f>
        <v>Turkey</v>
      </c>
      <c r="H1240" s="43" t="str">
        <f>IFERROR(__xludf.DUMMYFUNCTION("""COMPUTED_VALUE"""),"GAZIANTEP")</f>
        <v>GAZIANTEP</v>
      </c>
      <c r="I1240" s="43" t="str">
        <f>IFERROR(__xludf.DUMMYFUNCTION("""COMPUTED_VALUE"""),"Egypt")</f>
        <v>Egypt</v>
      </c>
      <c r="J1240" s="43" t="str">
        <f>IFERROR(__xludf.DUMMYFUNCTION("""COMPUTED_VALUE"""),"Tanta")</f>
        <v>Tanta</v>
      </c>
      <c r="K1240" s="44" t="str">
        <f>IFERROR(__xludf.DUMMYFUNCTION("""COMPUTED_VALUE"""),"https://expa.aiesec.org/opportunities/1288609")</f>
        <v>https://expa.aiesec.org/opportunities/1288609</v>
      </c>
      <c r="L1240" s="43" t="str">
        <f>IFERROR(__xludf.DUMMYFUNCTION("""COMPUTED_VALUE"""),"GV")</f>
        <v>GV</v>
      </c>
      <c r="M1240" s="43" t="str">
        <f>IFERROR(__xludf.DUMMYFUNCTION("""COMPUTED_VALUE"""),"short")</f>
        <v>short</v>
      </c>
      <c r="N1240" s="45">
        <f>IFERROR(__xludf.DUMMYFUNCTION("""COMPUTED_VALUE"""),45259.0)</f>
        <v>45259</v>
      </c>
      <c r="O1240" s="45">
        <f>IFERROR(__xludf.DUMMYFUNCTION("""COMPUTED_VALUE"""),45292.0)</f>
        <v>45292</v>
      </c>
      <c r="P1240" s="45">
        <f>IFERROR(__xludf.DUMMYFUNCTION("""COMPUTED_VALUE"""),45334.0)</f>
        <v>45334</v>
      </c>
      <c r="Q1240" s="45"/>
      <c r="R1240" s="45"/>
      <c r="S1240" s="43"/>
      <c r="T1240" s="43"/>
      <c r="U1240" s="43" t="str">
        <f>IFERROR(__xludf.DUMMYFUNCTION("""COMPUTED_VALUE"""),"On The Map")</f>
        <v>On The Map</v>
      </c>
      <c r="V1240" s="43" t="str">
        <f>IFERROR(__xludf.DUMMYFUNCTION("""COMPUTED_VALUE"""),"GAZIANTEP")</f>
        <v>GAZIANTEP</v>
      </c>
      <c r="W1240" s="43" t="str">
        <f>IFERROR(__xludf.DUMMYFUNCTION("""COMPUTED_VALUE"""),"2023-11-29T09:57:21Z")</f>
        <v>2023-11-29T09:57:21Z</v>
      </c>
      <c r="X1240" s="43"/>
      <c r="Y1240" s="43"/>
      <c r="Z1240" s="43"/>
    </row>
    <row r="1241" hidden="1">
      <c r="A1241" s="43" t="str">
        <f>IFERROR(__xludf.DUMMYFUNCTION("""COMPUTED_VALUE"""),"5292161_1301073")</f>
        <v>5292161_1301073</v>
      </c>
      <c r="B1241" s="43" t="str">
        <f>IFERROR(__xludf.DUMMYFUNCTION("""COMPUTED_VALUE"""),"Orkun Jan Güzel")</f>
        <v>Orkun Jan Güzel</v>
      </c>
      <c r="C1241" s="43" t="str">
        <f>IFERROR(__xludf.DUMMYFUNCTION("""COMPUTED_VALUE"""),"approved")</f>
        <v>approved</v>
      </c>
      <c r="D1241" s="43" t="str">
        <f>IFERROR(__xludf.DUMMYFUNCTION("""COMPUTED_VALUE"""),"No")</f>
        <v>No</v>
      </c>
      <c r="E1241" s="43" t="str">
        <f>IFERROR(__xludf.DUMMYFUNCTION("""COMPUTED_VALUE"""),"p_cc2c7f1f0fc3107830555cf05bc277c03a279e9c@inbound.aiesec.org")</f>
        <v>p_cc2c7f1f0fc3107830555cf05bc277c03a279e9c@inbound.aiesec.org</v>
      </c>
      <c r="F1241" s="43">
        <f>IFERROR(__xludf.DUMMYFUNCTION("""COMPUTED_VALUE"""),5.378998441E9)</f>
        <v>5378998441</v>
      </c>
      <c r="G1241" s="43" t="str">
        <f>IFERROR(__xludf.DUMMYFUNCTION("""COMPUTED_VALUE"""),"Turkey")</f>
        <v>Turkey</v>
      </c>
      <c r="H1241" s="43" t="str">
        <f>IFERROR(__xludf.DUMMYFUNCTION("""COMPUTED_VALUE"""),"ISTANBUL ASIA")</f>
        <v>ISTANBUL ASIA</v>
      </c>
      <c r="I1241" s="43" t="str">
        <f>IFERROR(__xludf.DUMMYFUNCTION("""COMPUTED_VALUE"""),"Italy")</f>
        <v>Italy</v>
      </c>
      <c r="J1241" s="43" t="str">
        <f>IFERROR(__xludf.DUMMYFUNCTION("""COMPUTED_VALUE"""),"Milano")</f>
        <v>Milano</v>
      </c>
      <c r="K1241" s="44" t="str">
        <f>IFERROR(__xludf.DUMMYFUNCTION("""COMPUTED_VALUE"""),"https://expa.aiesec.org/opportunities/1301073")</f>
        <v>https://expa.aiesec.org/opportunities/1301073</v>
      </c>
      <c r="L1241" s="43" t="str">
        <f>IFERROR(__xludf.DUMMYFUNCTION("""COMPUTED_VALUE"""),"GV")</f>
        <v>GV</v>
      </c>
      <c r="M1241" s="43" t="str">
        <f>IFERROR(__xludf.DUMMYFUNCTION("""COMPUTED_VALUE"""),"short")</f>
        <v>short</v>
      </c>
      <c r="N1241" s="45">
        <f>IFERROR(__xludf.DUMMYFUNCTION("""COMPUTED_VALUE"""),45259.0)</f>
        <v>45259</v>
      </c>
      <c r="O1241" s="45">
        <f>IFERROR(__xludf.DUMMYFUNCTION("""COMPUTED_VALUE"""),45327.0)</f>
        <v>45327</v>
      </c>
      <c r="P1241" s="45">
        <f>IFERROR(__xludf.DUMMYFUNCTION("""COMPUTED_VALUE"""),45369.0)</f>
        <v>45369</v>
      </c>
      <c r="Q1241" s="45"/>
      <c r="R1241" s="45"/>
      <c r="S1241" s="43"/>
      <c r="T1241" s="43"/>
      <c r="U1241" s="43" t="str">
        <f>IFERROR(__xludf.DUMMYFUNCTION("""COMPUTED_VALUE"""),"Global Classroom")</f>
        <v>Global Classroom</v>
      </c>
      <c r="V1241" s="43" t="str">
        <f>IFERROR(__xludf.DUMMYFUNCTION("""COMPUTED_VALUE"""),"ISTANBUL ASIA")</f>
        <v>ISTANBUL ASIA</v>
      </c>
      <c r="W1241" s="43" t="str">
        <f>IFERROR(__xludf.DUMMYFUNCTION("""COMPUTED_VALUE"""),"2023-07-31T13:39:42Z")</f>
        <v>2023-07-31T13:39:42Z</v>
      </c>
      <c r="X1241" s="43"/>
      <c r="Y1241" s="43"/>
      <c r="Z1241" s="43"/>
    </row>
    <row r="1242" hidden="1">
      <c r="A1242" s="43" t="str">
        <f>IFERROR(__xludf.DUMMYFUNCTION("""COMPUTED_VALUE"""),"5382475_1300091")</f>
        <v>5382475_1300091</v>
      </c>
      <c r="B1242" s="43" t="str">
        <f>IFERROR(__xludf.DUMMYFUNCTION("""COMPUTED_VALUE"""),"Hilal Çamur")</f>
        <v>Hilal Çamur</v>
      </c>
      <c r="C1242" s="43" t="str">
        <f>IFERROR(__xludf.DUMMYFUNCTION("""COMPUTED_VALUE"""),"approved")</f>
        <v>approved</v>
      </c>
      <c r="D1242" s="43" t="str">
        <f>IFERROR(__xludf.DUMMYFUNCTION("""COMPUTED_VALUE"""),"No")</f>
        <v>No</v>
      </c>
      <c r="E1242" s="43" t="str">
        <f>IFERROR(__xludf.DUMMYFUNCTION("""COMPUTED_VALUE"""),"p_b61b271b3796a79dbaddfa0531a0d52f0b2c6d80@inbound.aiesec.org")</f>
        <v>p_b61b271b3796a79dbaddfa0531a0d52f0b2c6d80@inbound.aiesec.org</v>
      </c>
      <c r="F1242" s="43">
        <f>IFERROR(__xludf.DUMMYFUNCTION("""COMPUTED_VALUE"""),0.0)</f>
        <v>0</v>
      </c>
      <c r="G1242" s="43" t="str">
        <f>IFERROR(__xludf.DUMMYFUNCTION("""COMPUTED_VALUE"""),"Turkey")</f>
        <v>Turkey</v>
      </c>
      <c r="H1242" s="43" t="str">
        <f>IFERROR(__xludf.DUMMYFUNCTION("""COMPUTED_VALUE"""),"KOCAELI")</f>
        <v>KOCAELI</v>
      </c>
      <c r="I1242" s="43" t="str">
        <f>IFERROR(__xludf.DUMMYFUNCTION("""COMPUTED_VALUE"""),"Egypt")</f>
        <v>Egypt</v>
      </c>
      <c r="J1242" s="43" t="str">
        <f>IFERROR(__xludf.DUMMYFUNCTION("""COMPUTED_VALUE"""),"6th October University")</f>
        <v>6th October University</v>
      </c>
      <c r="K1242" s="44" t="str">
        <f>IFERROR(__xludf.DUMMYFUNCTION("""COMPUTED_VALUE"""),"https://expa.aiesec.org/opportunities/1300091")</f>
        <v>https://expa.aiesec.org/opportunities/1300091</v>
      </c>
      <c r="L1242" s="43" t="str">
        <f>IFERROR(__xludf.DUMMYFUNCTION("""COMPUTED_VALUE"""),"GV")</f>
        <v>GV</v>
      </c>
      <c r="M1242" s="43" t="str">
        <f>IFERROR(__xludf.DUMMYFUNCTION("""COMPUTED_VALUE"""),"short")</f>
        <v>short</v>
      </c>
      <c r="N1242" s="45">
        <f>IFERROR(__xludf.DUMMYFUNCTION("""COMPUTED_VALUE"""),45259.0)</f>
        <v>45259</v>
      </c>
      <c r="O1242" s="45">
        <f>IFERROR(__xludf.DUMMYFUNCTION("""COMPUTED_VALUE"""),45488.0)</f>
        <v>45488</v>
      </c>
      <c r="P1242" s="45">
        <f>IFERROR(__xludf.DUMMYFUNCTION("""COMPUTED_VALUE"""),45530.0)</f>
        <v>45530</v>
      </c>
      <c r="Q1242" s="45"/>
      <c r="R1242" s="45"/>
      <c r="S1242" s="43"/>
      <c r="T1242" s="43"/>
      <c r="U1242" s="43" t="str">
        <f>IFERROR(__xludf.DUMMYFUNCTION("""COMPUTED_VALUE"""),"Heartbeat")</f>
        <v>Heartbeat</v>
      </c>
      <c r="V1242" s="43" t="str">
        <f>IFERROR(__xludf.DUMMYFUNCTION("""COMPUTED_VALUE"""),"KOCAELI")</f>
        <v>KOCAELI</v>
      </c>
      <c r="W1242" s="43" t="str">
        <f>IFERROR(__xludf.DUMMYFUNCTION("""COMPUTED_VALUE"""),"2023-11-29T13:37:37Z")</f>
        <v>2023-11-29T13:37:37Z</v>
      </c>
      <c r="X1242" s="43"/>
      <c r="Y1242" s="43"/>
      <c r="Z1242" s="43"/>
    </row>
    <row r="1243" hidden="1">
      <c r="A1243" s="43" t="str">
        <f>IFERROR(__xludf.DUMMYFUNCTION("""COMPUTED_VALUE"""),"5381867_1301775")</f>
        <v>5381867_1301775</v>
      </c>
      <c r="B1243" s="43" t="str">
        <f>IFERROR(__xludf.DUMMYFUNCTION("""COMPUTED_VALUE"""),"Busenur Başoğlu")</f>
        <v>Busenur Başoğlu</v>
      </c>
      <c r="C1243" s="43" t="str">
        <f>IFERROR(__xludf.DUMMYFUNCTION("""COMPUTED_VALUE"""),"approved")</f>
        <v>approved</v>
      </c>
      <c r="D1243" s="43" t="str">
        <f>IFERROR(__xludf.DUMMYFUNCTION("""COMPUTED_VALUE"""),"No")</f>
        <v>No</v>
      </c>
      <c r="E1243" s="43" t="str">
        <f>IFERROR(__xludf.DUMMYFUNCTION("""COMPUTED_VALUE"""),"p_74d04c93aa1b5b3fc106e0e3a95b2c69ae98a806@inbound.aiesec.org")</f>
        <v>p_74d04c93aa1b5b3fc106e0e3a95b2c69ae98a806@inbound.aiesec.org</v>
      </c>
      <c r="F1243" s="43"/>
      <c r="G1243" s="43" t="str">
        <f>IFERROR(__xludf.DUMMYFUNCTION("""COMPUTED_VALUE"""),"Turkey")</f>
        <v>Turkey</v>
      </c>
      <c r="H1243" s="43" t="str">
        <f>IFERROR(__xludf.DUMMYFUNCTION("""COMPUTED_VALUE"""),"SAKARYA")</f>
        <v>SAKARYA</v>
      </c>
      <c r="I1243" s="43" t="str">
        <f>IFERROR(__xludf.DUMMYFUNCTION("""COMPUTED_VALUE"""),"Tunisia")</f>
        <v>Tunisia</v>
      </c>
      <c r="J1243" s="43" t="str">
        <f>IFERROR(__xludf.DUMMYFUNCTION("""COMPUTED_VALUE"""),"BARDO")</f>
        <v>BARDO</v>
      </c>
      <c r="K1243" s="44" t="str">
        <f>IFERROR(__xludf.DUMMYFUNCTION("""COMPUTED_VALUE"""),"https://expa.aiesec.org/opportunities/1301775")</f>
        <v>https://expa.aiesec.org/opportunities/1301775</v>
      </c>
      <c r="L1243" s="43" t="str">
        <f>IFERROR(__xludf.DUMMYFUNCTION("""COMPUTED_VALUE"""),"GV")</f>
        <v>GV</v>
      </c>
      <c r="M1243" s="43" t="str">
        <f>IFERROR(__xludf.DUMMYFUNCTION("""COMPUTED_VALUE"""),"short")</f>
        <v>short</v>
      </c>
      <c r="N1243" s="45">
        <f>IFERROR(__xludf.DUMMYFUNCTION("""COMPUTED_VALUE"""),45259.0)</f>
        <v>45259</v>
      </c>
      <c r="O1243" s="45">
        <f>IFERROR(__xludf.DUMMYFUNCTION("""COMPUTED_VALUE"""),45474.0)</f>
        <v>45474</v>
      </c>
      <c r="P1243" s="45">
        <f>IFERROR(__xludf.DUMMYFUNCTION("""COMPUTED_VALUE"""),45516.0)</f>
        <v>45516</v>
      </c>
      <c r="Q1243" s="45"/>
      <c r="R1243" s="45"/>
      <c r="S1243" s="43"/>
      <c r="T1243" s="43"/>
      <c r="U1243" s="43" t="str">
        <f>IFERROR(__xludf.DUMMYFUNCTION("""COMPUTED_VALUE"""),"On The Map")</f>
        <v>On The Map</v>
      </c>
      <c r="V1243" s="43" t="str">
        <f>IFERROR(__xludf.DUMMYFUNCTION("""COMPUTED_VALUE"""),"-")</f>
        <v>-</v>
      </c>
      <c r="W1243" s="43" t="str">
        <f>IFERROR(__xludf.DUMMYFUNCTION("""COMPUTED_VALUE"""),"2023-11-28T17:34:00Z")</f>
        <v>2023-11-28T17:34:00Z</v>
      </c>
      <c r="X1243" s="43"/>
      <c r="Y1243" s="43"/>
      <c r="Z1243" s="43"/>
    </row>
    <row r="1244" hidden="1">
      <c r="A1244" s="43" t="str">
        <f>IFERROR(__xludf.DUMMYFUNCTION("""COMPUTED_VALUE"""),"5373583_1298549")</f>
        <v>5373583_1298549</v>
      </c>
      <c r="B1244" s="43" t="str">
        <f>IFERROR(__xludf.DUMMYFUNCTION("""COMPUTED_VALUE"""),"Hatice Şahin")</f>
        <v>Hatice Şahin</v>
      </c>
      <c r="C1244" s="43" t="str">
        <f>IFERROR(__xludf.DUMMYFUNCTION("""COMPUTED_VALUE"""),"approved")</f>
        <v>approved</v>
      </c>
      <c r="D1244" s="43" t="str">
        <f>IFERROR(__xludf.DUMMYFUNCTION("""COMPUTED_VALUE"""),"No")</f>
        <v>No</v>
      </c>
      <c r="E1244" s="43" t="str">
        <f>IFERROR(__xludf.DUMMYFUNCTION("""COMPUTED_VALUE"""),"p_71d19ed885fa480be8df59be93161ddebfae248e@inbound.aiesec.org")</f>
        <v>p_71d19ed885fa480be8df59be93161ddebfae248e@inbound.aiesec.org</v>
      </c>
      <c r="F1244" s="43"/>
      <c r="G1244" s="43" t="str">
        <f>IFERROR(__xludf.DUMMYFUNCTION("""COMPUTED_VALUE"""),"Turkey")</f>
        <v>Turkey</v>
      </c>
      <c r="H1244" s="43" t="str">
        <f>IFERROR(__xludf.DUMMYFUNCTION("""COMPUTED_VALUE"""),"ISTANBUL ASIA")</f>
        <v>ISTANBUL ASIA</v>
      </c>
      <c r="I1244" s="43" t="str">
        <f>IFERROR(__xludf.DUMMYFUNCTION("""COMPUTED_VALUE"""),"Tunisia")</f>
        <v>Tunisia</v>
      </c>
      <c r="J1244" s="43" t="str">
        <f>IFERROR(__xludf.DUMMYFUNCTION("""COMPUTED_VALUE"""),"BARDO")</f>
        <v>BARDO</v>
      </c>
      <c r="K1244" s="44" t="str">
        <f>IFERROR(__xludf.DUMMYFUNCTION("""COMPUTED_VALUE"""),"https://expa.aiesec.org/opportunities/1298549")</f>
        <v>https://expa.aiesec.org/opportunities/1298549</v>
      </c>
      <c r="L1244" s="43" t="str">
        <f>IFERROR(__xludf.DUMMYFUNCTION("""COMPUTED_VALUE"""),"GV")</f>
        <v>GV</v>
      </c>
      <c r="M1244" s="43" t="str">
        <f>IFERROR(__xludf.DUMMYFUNCTION("""COMPUTED_VALUE"""),"short")</f>
        <v>short</v>
      </c>
      <c r="N1244" s="45">
        <f>IFERROR(__xludf.DUMMYFUNCTION("""COMPUTED_VALUE"""),45259.0)</f>
        <v>45259</v>
      </c>
      <c r="O1244" s="45">
        <f>IFERROR(__xludf.DUMMYFUNCTION("""COMPUTED_VALUE"""),45474.0)</f>
        <v>45474</v>
      </c>
      <c r="P1244" s="45">
        <f>IFERROR(__xludf.DUMMYFUNCTION("""COMPUTED_VALUE"""),45516.0)</f>
        <v>45516</v>
      </c>
      <c r="Q1244" s="45"/>
      <c r="R1244" s="45"/>
      <c r="S1244" s="43"/>
      <c r="T1244" s="43"/>
      <c r="U1244" s="43" t="str">
        <f>IFERROR(__xludf.DUMMYFUNCTION("""COMPUTED_VALUE"""),"Global Classroom")</f>
        <v>Global Classroom</v>
      </c>
      <c r="V1244" s="43" t="str">
        <f>IFERROR(__xludf.DUMMYFUNCTION("""COMPUTED_VALUE"""),"ISTANBUL ASIA")</f>
        <v>ISTANBUL ASIA</v>
      </c>
      <c r="W1244" s="43" t="str">
        <f>IFERROR(__xludf.DUMMYFUNCTION("""COMPUTED_VALUE"""),"2023-11-16T17:08:35Z")</f>
        <v>2023-11-16T17:08:35Z</v>
      </c>
      <c r="X1244" s="43"/>
      <c r="Y1244" s="43"/>
      <c r="Z1244" s="43"/>
    </row>
    <row r="1245" hidden="1">
      <c r="A1245" s="43" t="str">
        <f>IFERROR(__xludf.DUMMYFUNCTION("""COMPUTED_VALUE"""),"5375316_1299885")</f>
        <v>5375316_1299885</v>
      </c>
      <c r="B1245" s="43" t="str">
        <f>IFERROR(__xludf.DUMMYFUNCTION("""COMPUTED_VALUE"""),"Ömer Deniz Akgök")</f>
        <v>Ömer Deniz Akgök</v>
      </c>
      <c r="C1245" s="43" t="str">
        <f>IFERROR(__xludf.DUMMYFUNCTION("""COMPUTED_VALUE"""),"approved")</f>
        <v>approved</v>
      </c>
      <c r="D1245" s="43" t="str">
        <f>IFERROR(__xludf.DUMMYFUNCTION("""COMPUTED_VALUE"""),"No")</f>
        <v>No</v>
      </c>
      <c r="E1245" s="43" t="str">
        <f>IFERROR(__xludf.DUMMYFUNCTION("""COMPUTED_VALUE"""),"p_fbbadda930d291a49721df4038c92005ac2d9faa@inbound.aiesec.org")</f>
        <v>p_fbbadda930d291a49721df4038c92005ac2d9faa@inbound.aiesec.org</v>
      </c>
      <c r="F1245" s="43">
        <f>IFERROR(__xludf.DUMMYFUNCTION("""COMPUTED_VALUE"""),5.510091841E9)</f>
        <v>5510091841</v>
      </c>
      <c r="G1245" s="43" t="str">
        <f>IFERROR(__xludf.DUMMYFUNCTION("""COMPUTED_VALUE"""),"Turkey")</f>
        <v>Turkey</v>
      </c>
      <c r="H1245" s="43" t="str">
        <f>IFERROR(__xludf.DUMMYFUNCTION("""COMPUTED_VALUE"""),"ADANA")</f>
        <v>ADANA</v>
      </c>
      <c r="I1245" s="43" t="str">
        <f>IFERROR(__xludf.DUMMYFUNCTION("""COMPUTED_VALUE"""),"Bosnia and Herzegovina")</f>
        <v>Bosnia and Herzegovina</v>
      </c>
      <c r="J1245" s="43" t="str">
        <f>IFERROR(__xludf.DUMMYFUNCTION("""COMPUTED_VALUE"""),"MOSTAR")</f>
        <v>MOSTAR</v>
      </c>
      <c r="K1245" s="44" t="str">
        <f>IFERROR(__xludf.DUMMYFUNCTION("""COMPUTED_VALUE"""),"https://expa.aiesec.org/opportunities/1299885")</f>
        <v>https://expa.aiesec.org/opportunities/1299885</v>
      </c>
      <c r="L1245" s="43" t="str">
        <f>IFERROR(__xludf.DUMMYFUNCTION("""COMPUTED_VALUE"""),"GV")</f>
        <v>GV</v>
      </c>
      <c r="M1245" s="43" t="str">
        <f>IFERROR(__xludf.DUMMYFUNCTION("""COMPUTED_VALUE"""),"short")</f>
        <v>short</v>
      </c>
      <c r="N1245" s="45">
        <f>IFERROR(__xludf.DUMMYFUNCTION("""COMPUTED_VALUE"""),45259.0)</f>
        <v>45259</v>
      </c>
      <c r="O1245" s="45">
        <f>IFERROR(__xludf.DUMMYFUNCTION("""COMPUTED_VALUE"""),45488.0)</f>
        <v>45488</v>
      </c>
      <c r="P1245" s="45">
        <f>IFERROR(__xludf.DUMMYFUNCTION("""COMPUTED_VALUE"""),45530.0)</f>
        <v>45530</v>
      </c>
      <c r="Q1245" s="45"/>
      <c r="R1245" s="45"/>
      <c r="S1245" s="43"/>
      <c r="T1245" s="43"/>
      <c r="U1245" s="43" t="str">
        <f>IFERROR(__xludf.DUMMYFUNCTION("""COMPUTED_VALUE"""),"Youth 4 Impact")</f>
        <v>Youth 4 Impact</v>
      </c>
      <c r="V1245" s="43" t="str">
        <f>IFERROR(__xludf.DUMMYFUNCTION("""COMPUTED_VALUE"""),"ADANA")</f>
        <v>ADANA</v>
      </c>
      <c r="W1245" s="43" t="str">
        <f>IFERROR(__xludf.DUMMYFUNCTION("""COMPUTED_VALUE"""),"2023-11-19T08:16:10Z")</f>
        <v>2023-11-19T08:16:10Z</v>
      </c>
      <c r="X1245" s="43"/>
      <c r="Y1245" s="43"/>
      <c r="Z1245" s="43"/>
    </row>
    <row r="1246" hidden="1">
      <c r="A1246" s="43" t="str">
        <f>IFERROR(__xludf.DUMMYFUNCTION("""COMPUTED_VALUE"""),"5379046_1299884")</f>
        <v>5379046_1299884</v>
      </c>
      <c r="B1246" s="43" t="str">
        <f>IFERROR(__xludf.DUMMYFUNCTION("""COMPUTED_VALUE"""),"ÖZNUR AKGÖL")</f>
        <v>ÖZNUR AKGÖL</v>
      </c>
      <c r="C1246" s="43" t="str">
        <f>IFERROR(__xludf.DUMMYFUNCTION("""COMPUTED_VALUE"""),"approved")</f>
        <v>approved</v>
      </c>
      <c r="D1246" s="43" t="str">
        <f>IFERROR(__xludf.DUMMYFUNCTION("""COMPUTED_VALUE"""),"No")</f>
        <v>No</v>
      </c>
      <c r="E1246" s="43" t="str">
        <f>IFERROR(__xludf.DUMMYFUNCTION("""COMPUTED_VALUE"""),"p_da0a1a1469abeddad333ec2baf348fe37d3b7675@inbound.aiesec.org")</f>
        <v>p_da0a1a1469abeddad333ec2baf348fe37d3b7675@inbound.aiesec.org</v>
      </c>
      <c r="F1246" s="43">
        <f>IFERROR(__xludf.DUMMYFUNCTION("""COMPUTED_VALUE"""),5.418775043E9)</f>
        <v>5418775043</v>
      </c>
      <c r="G1246" s="43" t="str">
        <f>IFERROR(__xludf.DUMMYFUNCTION("""COMPUTED_VALUE"""),"Turkey")</f>
        <v>Turkey</v>
      </c>
      <c r="H1246" s="43" t="str">
        <f>IFERROR(__xludf.DUMMYFUNCTION("""COMPUTED_VALUE"""),"ADANA")</f>
        <v>ADANA</v>
      </c>
      <c r="I1246" s="43" t="str">
        <f>IFERROR(__xludf.DUMMYFUNCTION("""COMPUTED_VALUE"""),"Bosnia and Herzegovina")</f>
        <v>Bosnia and Herzegovina</v>
      </c>
      <c r="J1246" s="43" t="str">
        <f>IFERROR(__xludf.DUMMYFUNCTION("""COMPUTED_VALUE"""),"SARAJEVO")</f>
        <v>SARAJEVO</v>
      </c>
      <c r="K1246" s="44" t="str">
        <f>IFERROR(__xludf.DUMMYFUNCTION("""COMPUTED_VALUE"""),"https://expa.aiesec.org/opportunities/1299884")</f>
        <v>https://expa.aiesec.org/opportunities/1299884</v>
      </c>
      <c r="L1246" s="43" t="str">
        <f>IFERROR(__xludf.DUMMYFUNCTION("""COMPUTED_VALUE"""),"GV")</f>
        <v>GV</v>
      </c>
      <c r="M1246" s="43" t="str">
        <f>IFERROR(__xludf.DUMMYFUNCTION("""COMPUTED_VALUE"""),"short")</f>
        <v>short</v>
      </c>
      <c r="N1246" s="45">
        <f>IFERROR(__xludf.DUMMYFUNCTION("""COMPUTED_VALUE"""),45259.0)</f>
        <v>45259</v>
      </c>
      <c r="O1246" s="45">
        <f>IFERROR(__xludf.DUMMYFUNCTION("""COMPUTED_VALUE"""),45492.0)</f>
        <v>45492</v>
      </c>
      <c r="P1246" s="45">
        <f>IFERROR(__xludf.DUMMYFUNCTION("""COMPUTED_VALUE"""),45534.0)</f>
        <v>45534</v>
      </c>
      <c r="Q1246" s="45"/>
      <c r="R1246" s="45"/>
      <c r="S1246" s="43"/>
      <c r="T1246" s="43"/>
      <c r="U1246" s="43" t="str">
        <f>IFERROR(__xludf.DUMMYFUNCTION("""COMPUTED_VALUE"""),"Youth 4 Impact")</f>
        <v>Youth 4 Impact</v>
      </c>
      <c r="V1246" s="43" t="str">
        <f>IFERROR(__xludf.DUMMYFUNCTION("""COMPUTED_VALUE"""),"ADANA")</f>
        <v>ADANA</v>
      </c>
      <c r="W1246" s="43" t="str">
        <f>IFERROR(__xludf.DUMMYFUNCTION("""COMPUTED_VALUE"""),"2023-11-24T13:47:05Z")</f>
        <v>2023-11-24T13:47:05Z</v>
      </c>
      <c r="X1246" s="43"/>
      <c r="Y1246" s="43"/>
      <c r="Z1246" s="43"/>
    </row>
    <row r="1247" hidden="1">
      <c r="A1247" s="43" t="str">
        <f>IFERROR(__xludf.DUMMYFUNCTION("""COMPUTED_VALUE"""),"5382677_1289583")</f>
        <v>5382677_1289583</v>
      </c>
      <c r="B1247" s="43" t="str">
        <f>IFERROR(__xludf.DUMMYFUNCTION("""COMPUTED_VALUE"""),"Seda Bunsuz")</f>
        <v>Seda Bunsuz</v>
      </c>
      <c r="C1247" s="43" t="str">
        <f>IFERROR(__xludf.DUMMYFUNCTION("""COMPUTED_VALUE"""),"approved")</f>
        <v>approved</v>
      </c>
      <c r="D1247" s="43" t="str">
        <f>IFERROR(__xludf.DUMMYFUNCTION("""COMPUTED_VALUE"""),"No")</f>
        <v>No</v>
      </c>
      <c r="E1247" s="43" t="str">
        <f>IFERROR(__xludf.DUMMYFUNCTION("""COMPUTED_VALUE"""),"p_8db4f347b3d6556e467c789bd284533d5aa2ad3c@inbound.aiesec.org")</f>
        <v>p_8db4f347b3d6556e467c789bd284533d5aa2ad3c@inbound.aiesec.org</v>
      </c>
      <c r="F1247" s="43">
        <f>IFERROR(__xludf.DUMMYFUNCTION("""COMPUTED_VALUE"""),5.307358603E9)</f>
        <v>5307358603</v>
      </c>
      <c r="G1247" s="43" t="str">
        <f>IFERROR(__xludf.DUMMYFUNCTION("""COMPUTED_VALUE"""),"Turkey")</f>
        <v>Turkey</v>
      </c>
      <c r="H1247" s="43" t="str">
        <f>IFERROR(__xludf.DUMMYFUNCTION("""COMPUTED_VALUE"""),"SAKARYA")</f>
        <v>SAKARYA</v>
      </c>
      <c r="I1247" s="43" t="str">
        <f>IFERROR(__xludf.DUMMYFUNCTION("""COMPUTED_VALUE"""),"Egypt")</f>
        <v>Egypt</v>
      </c>
      <c r="J1247" s="43" t="str">
        <f>IFERROR(__xludf.DUMMYFUNCTION("""COMPUTED_VALUE"""),"Suez")</f>
        <v>Suez</v>
      </c>
      <c r="K1247" s="44" t="str">
        <f>IFERROR(__xludf.DUMMYFUNCTION("""COMPUTED_VALUE"""),"https://expa.aiesec.org/opportunities/1289583")</f>
        <v>https://expa.aiesec.org/opportunities/1289583</v>
      </c>
      <c r="L1247" s="43" t="str">
        <f>IFERROR(__xludf.DUMMYFUNCTION("""COMPUTED_VALUE"""),"GV")</f>
        <v>GV</v>
      </c>
      <c r="M1247" s="43" t="str">
        <f>IFERROR(__xludf.DUMMYFUNCTION("""COMPUTED_VALUE"""),"short")</f>
        <v>short</v>
      </c>
      <c r="N1247" s="45">
        <f>IFERROR(__xludf.DUMMYFUNCTION("""COMPUTED_VALUE"""),45259.0)</f>
        <v>45259</v>
      </c>
      <c r="O1247" s="45">
        <f>IFERROR(__xludf.DUMMYFUNCTION("""COMPUTED_VALUE"""),45505.0)</f>
        <v>45505</v>
      </c>
      <c r="P1247" s="45">
        <f>IFERROR(__xludf.DUMMYFUNCTION("""COMPUTED_VALUE"""),45547.0)</f>
        <v>45547</v>
      </c>
      <c r="Q1247" s="45"/>
      <c r="R1247" s="45"/>
      <c r="S1247" s="43"/>
      <c r="T1247" s="43"/>
      <c r="U1247" s="43" t="str">
        <f>IFERROR(__xludf.DUMMYFUNCTION("""COMPUTED_VALUE"""),"Heartbeat")</f>
        <v>Heartbeat</v>
      </c>
      <c r="V1247" s="43" t="str">
        <f>IFERROR(__xludf.DUMMYFUNCTION("""COMPUTED_VALUE"""),"SAKARYA")</f>
        <v>SAKARYA</v>
      </c>
      <c r="W1247" s="43" t="str">
        <f>IFERROR(__xludf.DUMMYFUNCTION("""COMPUTED_VALUE"""),"2023-11-29T18:31:46Z")</f>
        <v>2023-11-29T18:31:46Z</v>
      </c>
      <c r="X1247" s="43"/>
      <c r="Y1247" s="43"/>
      <c r="Z1247" s="43"/>
    </row>
    <row r="1248" hidden="1">
      <c r="A1248" s="43" t="str">
        <f>IFERROR(__xludf.DUMMYFUNCTION("""COMPUTED_VALUE"""),"5382674_1289583")</f>
        <v>5382674_1289583</v>
      </c>
      <c r="B1248" s="43" t="str">
        <f>IFERROR(__xludf.DUMMYFUNCTION("""COMPUTED_VALUE"""),"İrem hızlı")</f>
        <v>İrem hızlı</v>
      </c>
      <c r="C1248" s="43" t="str">
        <f>IFERROR(__xludf.DUMMYFUNCTION("""COMPUTED_VALUE"""),"approved")</f>
        <v>approved</v>
      </c>
      <c r="D1248" s="43" t="str">
        <f>IFERROR(__xludf.DUMMYFUNCTION("""COMPUTED_VALUE"""),"No")</f>
        <v>No</v>
      </c>
      <c r="E1248" s="43" t="str">
        <f>IFERROR(__xludf.DUMMYFUNCTION("""COMPUTED_VALUE"""),"p_f1406653ab12e17c33c3ec81231b423921027c34@inbound.aiesec.org")</f>
        <v>p_f1406653ab12e17c33c3ec81231b423921027c34@inbound.aiesec.org</v>
      </c>
      <c r="F1248" s="43">
        <f>IFERROR(__xludf.DUMMYFUNCTION("""COMPUTED_VALUE"""),5.307358603E9)</f>
        <v>5307358603</v>
      </c>
      <c r="G1248" s="43" t="str">
        <f>IFERROR(__xludf.DUMMYFUNCTION("""COMPUTED_VALUE"""),"Turkey")</f>
        <v>Turkey</v>
      </c>
      <c r="H1248" s="43" t="str">
        <f>IFERROR(__xludf.DUMMYFUNCTION("""COMPUTED_VALUE"""),"SAKARYA")</f>
        <v>SAKARYA</v>
      </c>
      <c r="I1248" s="43" t="str">
        <f>IFERROR(__xludf.DUMMYFUNCTION("""COMPUTED_VALUE"""),"Egypt")</f>
        <v>Egypt</v>
      </c>
      <c r="J1248" s="43" t="str">
        <f>IFERROR(__xludf.DUMMYFUNCTION("""COMPUTED_VALUE"""),"Suez")</f>
        <v>Suez</v>
      </c>
      <c r="K1248" s="44" t="str">
        <f>IFERROR(__xludf.DUMMYFUNCTION("""COMPUTED_VALUE"""),"https://expa.aiesec.org/opportunities/1289583")</f>
        <v>https://expa.aiesec.org/opportunities/1289583</v>
      </c>
      <c r="L1248" s="43" t="str">
        <f>IFERROR(__xludf.DUMMYFUNCTION("""COMPUTED_VALUE"""),"GV")</f>
        <v>GV</v>
      </c>
      <c r="M1248" s="43" t="str">
        <f>IFERROR(__xludf.DUMMYFUNCTION("""COMPUTED_VALUE"""),"short")</f>
        <v>short</v>
      </c>
      <c r="N1248" s="45">
        <f>IFERROR(__xludf.DUMMYFUNCTION("""COMPUTED_VALUE"""),45259.0)</f>
        <v>45259</v>
      </c>
      <c r="O1248" s="45">
        <f>IFERROR(__xludf.DUMMYFUNCTION("""COMPUTED_VALUE"""),45505.0)</f>
        <v>45505</v>
      </c>
      <c r="P1248" s="45">
        <f>IFERROR(__xludf.DUMMYFUNCTION("""COMPUTED_VALUE"""),45547.0)</f>
        <v>45547</v>
      </c>
      <c r="Q1248" s="45"/>
      <c r="R1248" s="45"/>
      <c r="S1248" s="43"/>
      <c r="T1248" s="43"/>
      <c r="U1248" s="43" t="str">
        <f>IFERROR(__xludf.DUMMYFUNCTION("""COMPUTED_VALUE"""),"Heartbeat")</f>
        <v>Heartbeat</v>
      </c>
      <c r="V1248" s="43" t="str">
        <f>IFERROR(__xludf.DUMMYFUNCTION("""COMPUTED_VALUE"""),"SAKARYA")</f>
        <v>SAKARYA</v>
      </c>
      <c r="W1248" s="43" t="str">
        <f>IFERROR(__xludf.DUMMYFUNCTION("""COMPUTED_VALUE"""),"2023-11-29T18:26:18Z")</f>
        <v>2023-11-29T18:26:18Z</v>
      </c>
      <c r="X1248" s="43"/>
      <c r="Y1248" s="43"/>
      <c r="Z1248" s="43"/>
    </row>
    <row r="1249" hidden="1">
      <c r="A1249" s="43" t="str">
        <f>IFERROR(__xludf.DUMMYFUNCTION("""COMPUTED_VALUE"""),"5382665_1289583")</f>
        <v>5382665_1289583</v>
      </c>
      <c r="B1249" s="43" t="str">
        <f>IFERROR(__xludf.DUMMYFUNCTION("""COMPUTED_VALUE"""),"Lütfıye Ozturk")</f>
        <v>Lütfıye Ozturk</v>
      </c>
      <c r="C1249" s="43" t="str">
        <f>IFERROR(__xludf.DUMMYFUNCTION("""COMPUTED_VALUE"""),"approved")</f>
        <v>approved</v>
      </c>
      <c r="D1249" s="43" t="str">
        <f>IFERROR(__xludf.DUMMYFUNCTION("""COMPUTED_VALUE"""),"No")</f>
        <v>No</v>
      </c>
      <c r="E1249" s="43" t="str">
        <f>IFERROR(__xludf.DUMMYFUNCTION("""COMPUTED_VALUE"""),"p_111eb688e72bcaa445b6d399ec5111ddc5c78af1@inbound.aiesec.org")</f>
        <v>p_111eb688e72bcaa445b6d399ec5111ddc5c78af1@inbound.aiesec.org</v>
      </c>
      <c r="F1249" s="43">
        <f>IFERROR(__xludf.DUMMYFUNCTION("""COMPUTED_VALUE"""),5.307358603E9)</f>
        <v>5307358603</v>
      </c>
      <c r="G1249" s="43" t="str">
        <f>IFERROR(__xludf.DUMMYFUNCTION("""COMPUTED_VALUE"""),"Turkey")</f>
        <v>Turkey</v>
      </c>
      <c r="H1249" s="43" t="str">
        <f>IFERROR(__xludf.DUMMYFUNCTION("""COMPUTED_VALUE"""),"SAKARYA")</f>
        <v>SAKARYA</v>
      </c>
      <c r="I1249" s="43" t="str">
        <f>IFERROR(__xludf.DUMMYFUNCTION("""COMPUTED_VALUE"""),"Egypt")</f>
        <v>Egypt</v>
      </c>
      <c r="J1249" s="43" t="str">
        <f>IFERROR(__xludf.DUMMYFUNCTION("""COMPUTED_VALUE"""),"Suez")</f>
        <v>Suez</v>
      </c>
      <c r="K1249" s="44" t="str">
        <f>IFERROR(__xludf.DUMMYFUNCTION("""COMPUTED_VALUE"""),"https://expa.aiesec.org/opportunities/1289583")</f>
        <v>https://expa.aiesec.org/opportunities/1289583</v>
      </c>
      <c r="L1249" s="43" t="str">
        <f>IFERROR(__xludf.DUMMYFUNCTION("""COMPUTED_VALUE"""),"GV")</f>
        <v>GV</v>
      </c>
      <c r="M1249" s="43" t="str">
        <f>IFERROR(__xludf.DUMMYFUNCTION("""COMPUTED_VALUE"""),"short")</f>
        <v>short</v>
      </c>
      <c r="N1249" s="45">
        <f>IFERROR(__xludf.DUMMYFUNCTION("""COMPUTED_VALUE"""),45259.0)</f>
        <v>45259</v>
      </c>
      <c r="O1249" s="45">
        <f>IFERROR(__xludf.DUMMYFUNCTION("""COMPUTED_VALUE"""),45505.0)</f>
        <v>45505</v>
      </c>
      <c r="P1249" s="45">
        <f>IFERROR(__xludf.DUMMYFUNCTION("""COMPUTED_VALUE"""),45547.0)</f>
        <v>45547</v>
      </c>
      <c r="Q1249" s="45"/>
      <c r="R1249" s="45"/>
      <c r="S1249" s="43"/>
      <c r="T1249" s="43"/>
      <c r="U1249" s="43" t="str">
        <f>IFERROR(__xludf.DUMMYFUNCTION("""COMPUTED_VALUE"""),"Heartbeat")</f>
        <v>Heartbeat</v>
      </c>
      <c r="V1249" s="43" t="str">
        <f>IFERROR(__xludf.DUMMYFUNCTION("""COMPUTED_VALUE"""),"SAKARYA")</f>
        <v>SAKARYA</v>
      </c>
      <c r="W1249" s="43" t="str">
        <f>IFERROR(__xludf.DUMMYFUNCTION("""COMPUTED_VALUE"""),"2023-11-29T18:17:00Z")</f>
        <v>2023-11-29T18:17:00Z</v>
      </c>
      <c r="X1249" s="43"/>
      <c r="Y1249" s="43"/>
      <c r="Z1249" s="43"/>
    </row>
    <row r="1250" hidden="1">
      <c r="A1250" s="43" t="str">
        <f>IFERROR(__xludf.DUMMYFUNCTION("""COMPUTED_VALUE"""),"5381010_1300757")</f>
        <v>5381010_1300757</v>
      </c>
      <c r="B1250" s="43" t="str">
        <f>IFERROR(__xludf.DUMMYFUNCTION("""COMPUTED_VALUE"""),"Özge Kurt")</f>
        <v>Özge Kurt</v>
      </c>
      <c r="C1250" s="43" t="str">
        <f>IFERROR(__xludf.DUMMYFUNCTION("""COMPUTED_VALUE"""),"approved")</f>
        <v>approved</v>
      </c>
      <c r="D1250" s="43" t="str">
        <f>IFERROR(__xludf.DUMMYFUNCTION("""COMPUTED_VALUE"""),"No")</f>
        <v>No</v>
      </c>
      <c r="E1250" s="43" t="str">
        <f>IFERROR(__xludf.DUMMYFUNCTION("""COMPUTED_VALUE"""),"p_4baea72d66b517d1a7d57259755a297e64c5e385@inbound.aiesec.org")</f>
        <v>p_4baea72d66b517d1a7d57259755a297e64c5e385@inbound.aiesec.org</v>
      </c>
      <c r="F1250" s="43">
        <f>IFERROR(__xludf.DUMMYFUNCTION("""COMPUTED_VALUE"""),5.424422965E9)</f>
        <v>5424422965</v>
      </c>
      <c r="G1250" s="43" t="str">
        <f>IFERROR(__xludf.DUMMYFUNCTION("""COMPUTED_VALUE"""),"Turkey")</f>
        <v>Turkey</v>
      </c>
      <c r="H1250" s="43" t="str">
        <f>IFERROR(__xludf.DUMMYFUNCTION("""COMPUTED_VALUE"""),"ISTANBUL")</f>
        <v>ISTANBUL</v>
      </c>
      <c r="I1250" s="43" t="str">
        <f>IFERROR(__xludf.DUMMYFUNCTION("""COMPUTED_VALUE"""),"Serbia")</f>
        <v>Serbia</v>
      </c>
      <c r="J1250" s="43" t="str">
        <f>IFERROR(__xludf.DUMMYFUNCTION("""COMPUTED_VALUE"""),"NIS")</f>
        <v>NIS</v>
      </c>
      <c r="K1250" s="44" t="str">
        <f>IFERROR(__xludf.DUMMYFUNCTION("""COMPUTED_VALUE"""),"https://expa.aiesec.org/opportunities/1300757")</f>
        <v>https://expa.aiesec.org/opportunities/1300757</v>
      </c>
      <c r="L1250" s="43" t="str">
        <f>IFERROR(__xludf.DUMMYFUNCTION("""COMPUTED_VALUE"""),"GV")</f>
        <v>GV</v>
      </c>
      <c r="M1250" s="43" t="str">
        <f>IFERROR(__xludf.DUMMYFUNCTION("""COMPUTED_VALUE"""),"short")</f>
        <v>short</v>
      </c>
      <c r="N1250" s="45">
        <f>IFERROR(__xludf.DUMMYFUNCTION("""COMPUTED_VALUE"""),45259.0)</f>
        <v>45259</v>
      </c>
      <c r="O1250" s="45">
        <f>IFERROR(__xludf.DUMMYFUNCTION("""COMPUTED_VALUE"""),45460.0)</f>
        <v>45460</v>
      </c>
      <c r="P1250" s="45">
        <f>IFERROR(__xludf.DUMMYFUNCTION("""COMPUTED_VALUE"""),45502.0)</f>
        <v>45502</v>
      </c>
      <c r="Q1250" s="45"/>
      <c r="R1250" s="45"/>
      <c r="S1250" s="43"/>
      <c r="T1250" s="43"/>
      <c r="U1250" s="43" t="str">
        <f>IFERROR(__xludf.DUMMYFUNCTION("""COMPUTED_VALUE"""),"Global Classroom")</f>
        <v>Global Classroom</v>
      </c>
      <c r="V1250" s="43" t="str">
        <f>IFERROR(__xludf.DUMMYFUNCTION("""COMPUTED_VALUE"""),"ISTANBUL - BEYOGLU")</f>
        <v>ISTANBUL - BEYOGLU</v>
      </c>
      <c r="W1250" s="43" t="str">
        <f>IFERROR(__xludf.DUMMYFUNCTION("""COMPUTED_VALUE"""),"2023-11-27T17:41:47Z")</f>
        <v>2023-11-27T17:41:47Z</v>
      </c>
      <c r="X1250" s="43"/>
      <c r="Y1250" s="43"/>
      <c r="Z1250" s="43"/>
    </row>
    <row r="1251" hidden="1">
      <c r="A1251" s="43" t="str">
        <f>IFERROR(__xludf.DUMMYFUNCTION("""COMPUTED_VALUE"""),"5370983_1300628")</f>
        <v>5370983_1300628</v>
      </c>
      <c r="B1251" s="43" t="str">
        <f>IFERROR(__xludf.DUMMYFUNCTION("""COMPUTED_VALUE"""),"Amid Alicanov")</f>
        <v>Amid Alicanov</v>
      </c>
      <c r="C1251" s="43" t="str">
        <f>IFERROR(__xludf.DUMMYFUNCTION("""COMPUTED_VALUE"""),"approved")</f>
        <v>approved</v>
      </c>
      <c r="D1251" s="43" t="str">
        <f>IFERROR(__xludf.DUMMYFUNCTION("""COMPUTED_VALUE"""),"No")</f>
        <v>No</v>
      </c>
      <c r="E1251" s="43" t="str">
        <f>IFERROR(__xludf.DUMMYFUNCTION("""COMPUTED_VALUE"""),"p_3ee0412407d55f23e88ec9c1ad05a3c006dc4e0d@inbound.aiesec.org")</f>
        <v>p_3ee0412407d55f23e88ec9c1ad05a3c006dc4e0d@inbound.aiesec.org</v>
      </c>
      <c r="F1251" s="43">
        <f>IFERROR(__xludf.DUMMYFUNCTION("""COMPUTED_VALUE"""),5.518474301E9)</f>
        <v>5518474301</v>
      </c>
      <c r="G1251" s="43" t="str">
        <f>IFERROR(__xludf.DUMMYFUNCTION("""COMPUTED_VALUE"""),"Turkey")</f>
        <v>Turkey</v>
      </c>
      <c r="H1251" s="43" t="str">
        <f>IFERROR(__xludf.DUMMYFUNCTION("""COMPUTED_VALUE"""),"KUTAHYA")</f>
        <v>KUTAHYA</v>
      </c>
      <c r="I1251" s="43" t="str">
        <f>IFERROR(__xludf.DUMMYFUNCTION("""COMPUTED_VALUE"""),"Tunisia")</f>
        <v>Tunisia</v>
      </c>
      <c r="J1251" s="43" t="str">
        <f>IFERROR(__xludf.DUMMYFUNCTION("""COMPUTED_VALUE"""),"UNIVERSITY")</f>
        <v>UNIVERSITY</v>
      </c>
      <c r="K1251" s="44" t="str">
        <f>IFERROR(__xludf.DUMMYFUNCTION("""COMPUTED_VALUE"""),"https://expa.aiesec.org/opportunities/1300628")</f>
        <v>https://expa.aiesec.org/opportunities/1300628</v>
      </c>
      <c r="L1251" s="43" t="str">
        <f>IFERROR(__xludf.DUMMYFUNCTION("""COMPUTED_VALUE"""),"GV")</f>
        <v>GV</v>
      </c>
      <c r="M1251" s="43" t="str">
        <f>IFERROR(__xludf.DUMMYFUNCTION("""COMPUTED_VALUE"""),"short")</f>
        <v>short</v>
      </c>
      <c r="N1251" s="45">
        <f>IFERROR(__xludf.DUMMYFUNCTION("""COMPUTED_VALUE"""),45259.0)</f>
        <v>45259</v>
      </c>
      <c r="O1251" s="45">
        <f>IFERROR(__xludf.DUMMYFUNCTION("""COMPUTED_VALUE"""),45486.0)</f>
        <v>45486</v>
      </c>
      <c r="P1251" s="45">
        <f>IFERROR(__xludf.DUMMYFUNCTION("""COMPUTED_VALUE"""),45528.0)</f>
        <v>45528</v>
      </c>
      <c r="Q1251" s="45"/>
      <c r="R1251" s="45"/>
      <c r="S1251" s="43"/>
      <c r="T1251" s="43"/>
      <c r="U1251" s="43" t="str">
        <f>IFERROR(__xludf.DUMMYFUNCTION("""COMPUTED_VALUE"""),"On The Map")</f>
        <v>On The Map</v>
      </c>
      <c r="V1251" s="43" t="str">
        <f>IFERROR(__xludf.DUMMYFUNCTION("""COMPUTED_VALUE"""),"KUTAHYA")</f>
        <v>KUTAHYA</v>
      </c>
      <c r="W1251" s="43" t="str">
        <f>IFERROR(__xludf.DUMMYFUNCTION("""COMPUTED_VALUE"""),"2023-11-12T09:39:51Z")</f>
        <v>2023-11-12T09:39:51Z</v>
      </c>
      <c r="X1251" s="43"/>
      <c r="Y1251" s="43"/>
      <c r="Z1251" s="43"/>
    </row>
    <row r="1252" hidden="1">
      <c r="A1252" s="43" t="str">
        <f>IFERROR(__xludf.DUMMYFUNCTION("""COMPUTED_VALUE"""),"5382748_1289583")</f>
        <v>5382748_1289583</v>
      </c>
      <c r="B1252" s="43" t="str">
        <f>IFERROR(__xludf.DUMMYFUNCTION("""COMPUTED_VALUE"""),"Merjen Mamiyeva")</f>
        <v>Merjen Mamiyeva</v>
      </c>
      <c r="C1252" s="43" t="str">
        <f>IFERROR(__xludf.DUMMYFUNCTION("""COMPUTED_VALUE"""),"approved")</f>
        <v>approved</v>
      </c>
      <c r="D1252" s="43" t="str">
        <f>IFERROR(__xludf.DUMMYFUNCTION("""COMPUTED_VALUE"""),"No")</f>
        <v>No</v>
      </c>
      <c r="E1252" s="43" t="str">
        <f>IFERROR(__xludf.DUMMYFUNCTION("""COMPUTED_VALUE"""),"p_2dfd26601a614247a7cb04a96de9d5529dbf6ff7@inbound.aiesec.org")</f>
        <v>p_2dfd26601a614247a7cb04a96de9d5529dbf6ff7@inbound.aiesec.org</v>
      </c>
      <c r="F1252" s="43">
        <f>IFERROR(__xludf.DUMMYFUNCTION("""COMPUTED_VALUE"""),5.307358603E9)</f>
        <v>5307358603</v>
      </c>
      <c r="G1252" s="43" t="str">
        <f>IFERROR(__xludf.DUMMYFUNCTION("""COMPUTED_VALUE"""),"Turkey")</f>
        <v>Turkey</v>
      </c>
      <c r="H1252" s="43" t="str">
        <f>IFERROR(__xludf.DUMMYFUNCTION("""COMPUTED_VALUE"""),"SAKARYA")</f>
        <v>SAKARYA</v>
      </c>
      <c r="I1252" s="43" t="str">
        <f>IFERROR(__xludf.DUMMYFUNCTION("""COMPUTED_VALUE"""),"Egypt")</f>
        <v>Egypt</v>
      </c>
      <c r="J1252" s="43" t="str">
        <f>IFERROR(__xludf.DUMMYFUNCTION("""COMPUTED_VALUE"""),"Suez")</f>
        <v>Suez</v>
      </c>
      <c r="K1252" s="44" t="str">
        <f>IFERROR(__xludf.DUMMYFUNCTION("""COMPUTED_VALUE"""),"https://expa.aiesec.org/opportunities/1289583")</f>
        <v>https://expa.aiesec.org/opportunities/1289583</v>
      </c>
      <c r="L1252" s="43" t="str">
        <f>IFERROR(__xludf.DUMMYFUNCTION("""COMPUTED_VALUE"""),"GV")</f>
        <v>GV</v>
      </c>
      <c r="M1252" s="43" t="str">
        <f>IFERROR(__xludf.DUMMYFUNCTION("""COMPUTED_VALUE"""),"short")</f>
        <v>short</v>
      </c>
      <c r="N1252" s="45">
        <f>IFERROR(__xludf.DUMMYFUNCTION("""COMPUTED_VALUE"""),45259.0)</f>
        <v>45259</v>
      </c>
      <c r="O1252" s="45">
        <f>IFERROR(__xludf.DUMMYFUNCTION("""COMPUTED_VALUE"""),45474.0)</f>
        <v>45474</v>
      </c>
      <c r="P1252" s="45">
        <f>IFERROR(__xludf.DUMMYFUNCTION("""COMPUTED_VALUE"""),45516.0)</f>
        <v>45516</v>
      </c>
      <c r="Q1252" s="45"/>
      <c r="R1252" s="45"/>
      <c r="S1252" s="43"/>
      <c r="T1252" s="43"/>
      <c r="U1252" s="43" t="str">
        <f>IFERROR(__xludf.DUMMYFUNCTION("""COMPUTED_VALUE"""),"Heartbeat")</f>
        <v>Heartbeat</v>
      </c>
      <c r="V1252" s="43" t="str">
        <f>IFERROR(__xludf.DUMMYFUNCTION("""COMPUTED_VALUE"""),"SAKARYA")</f>
        <v>SAKARYA</v>
      </c>
      <c r="W1252" s="43" t="str">
        <f>IFERROR(__xludf.DUMMYFUNCTION("""COMPUTED_VALUE"""),"2023-11-29T20:50:54Z")</f>
        <v>2023-11-29T20:50:54Z</v>
      </c>
      <c r="X1252" s="43"/>
      <c r="Y1252" s="43"/>
      <c r="Z1252" s="43"/>
    </row>
    <row r="1253" hidden="1">
      <c r="A1253" s="43" t="str">
        <f>IFERROR(__xludf.DUMMYFUNCTION("""COMPUTED_VALUE"""),"5204711_1289617")</f>
        <v>5204711_1289617</v>
      </c>
      <c r="B1253" s="43" t="str">
        <f>IFERROR(__xludf.DUMMYFUNCTION("""COMPUTED_VALUE"""),"ekin ilhan")</f>
        <v>ekin ilhan</v>
      </c>
      <c r="C1253" s="43" t="str">
        <f>IFERROR(__xludf.DUMMYFUNCTION("""COMPUTED_VALUE"""),"realized")</f>
        <v>realized</v>
      </c>
      <c r="D1253" s="43" t="str">
        <f>IFERROR(__xludf.DUMMYFUNCTION("""COMPUTED_VALUE"""),"No")</f>
        <v>No</v>
      </c>
      <c r="E1253" s="43" t="str">
        <f>IFERROR(__xludf.DUMMYFUNCTION("""COMPUTED_VALUE"""),"p_161d3c8889c5cd5a2279025303d4a4f7c44844a9@inbound.aiesec.org")</f>
        <v>p_161d3c8889c5cd5a2279025303d4a4f7c44844a9@inbound.aiesec.org</v>
      </c>
      <c r="F1253" s="43"/>
      <c r="G1253" s="43" t="str">
        <f>IFERROR(__xludf.DUMMYFUNCTION("""COMPUTED_VALUE"""),"Turkey")</f>
        <v>Turkey</v>
      </c>
      <c r="H1253" s="43" t="str">
        <f>IFERROR(__xludf.DUMMYFUNCTION("""COMPUTED_VALUE"""),"ISTANBUL")</f>
        <v>ISTANBUL</v>
      </c>
      <c r="I1253" s="43" t="str">
        <f>IFERROR(__xludf.DUMMYFUNCTION("""COMPUTED_VALUE"""),"Egypt")</f>
        <v>Egypt</v>
      </c>
      <c r="J1253" s="43" t="str">
        <f>IFERROR(__xludf.DUMMYFUNCTION("""COMPUTED_VALUE"""),"Helwan")</f>
        <v>Helwan</v>
      </c>
      <c r="K1253" s="44" t="str">
        <f>IFERROR(__xludf.DUMMYFUNCTION("""COMPUTED_VALUE"""),"https://expa.aiesec.org/opportunities/1289617")</f>
        <v>https://expa.aiesec.org/opportunities/1289617</v>
      </c>
      <c r="L1253" s="43" t="str">
        <f>IFERROR(__xludf.DUMMYFUNCTION("""COMPUTED_VALUE"""),"GV")</f>
        <v>GV</v>
      </c>
      <c r="M1253" s="43" t="str">
        <f>IFERROR(__xludf.DUMMYFUNCTION("""COMPUTED_VALUE"""),"short")</f>
        <v>short</v>
      </c>
      <c r="N1253" s="45">
        <f>IFERROR(__xludf.DUMMYFUNCTION("""COMPUTED_VALUE"""),45259.0)</f>
        <v>45259</v>
      </c>
      <c r="O1253" s="45">
        <f>IFERROR(__xludf.DUMMYFUNCTION("""COMPUTED_VALUE"""),45306.0)</f>
        <v>45306</v>
      </c>
      <c r="P1253" s="45">
        <f>IFERROR(__xludf.DUMMYFUNCTION("""COMPUTED_VALUE"""),45348.0)</f>
        <v>45348</v>
      </c>
      <c r="Q1253" s="45">
        <f>IFERROR(__xludf.DUMMYFUNCTION("""COMPUTED_VALUE"""),45308.0)</f>
        <v>45308</v>
      </c>
      <c r="R1253" s="45">
        <f>IFERROR(__xludf.DUMMYFUNCTION("""COMPUTED_VALUE"""),45349.0)</f>
        <v>45349</v>
      </c>
      <c r="S1253" s="43"/>
      <c r="T1253" s="43"/>
      <c r="U1253" s="43" t="str">
        <f>IFERROR(__xludf.DUMMYFUNCTION("""COMPUTED_VALUE"""),"Fingerprint")</f>
        <v>Fingerprint</v>
      </c>
      <c r="V1253" s="43" t="str">
        <f>IFERROR(__xludf.DUMMYFUNCTION("""COMPUTED_VALUE"""),"-")</f>
        <v>-</v>
      </c>
      <c r="W1253" s="43" t="str">
        <f>IFERROR(__xludf.DUMMYFUNCTION("""COMPUTED_VALUE"""),"2023-03-03T15:25:49Z")</f>
        <v>2023-03-03T15:25:49Z</v>
      </c>
      <c r="X1253" s="43"/>
      <c r="Y1253" s="43"/>
      <c r="Z1253" s="43"/>
    </row>
    <row r="1254" hidden="1">
      <c r="A1254" s="43" t="str">
        <f>IFERROR(__xludf.DUMMYFUNCTION("""COMPUTED_VALUE"""),"5382061_1300779")</f>
        <v>5382061_1300779</v>
      </c>
      <c r="B1254" s="43" t="str">
        <f>IFERROR(__xludf.DUMMYFUNCTION("""COMPUTED_VALUE"""),"Emir Haberal")</f>
        <v>Emir Haberal</v>
      </c>
      <c r="C1254" s="43" t="str">
        <f>IFERROR(__xludf.DUMMYFUNCTION("""COMPUTED_VALUE"""),"approved")</f>
        <v>approved</v>
      </c>
      <c r="D1254" s="43" t="str">
        <f>IFERROR(__xludf.DUMMYFUNCTION("""COMPUTED_VALUE"""),"No")</f>
        <v>No</v>
      </c>
      <c r="E1254" s="43" t="str">
        <f>IFERROR(__xludf.DUMMYFUNCTION("""COMPUTED_VALUE"""),"p_8490dad0093a085f0df04ed5f8c52214a0898c9d@inbound.aiesec.org")</f>
        <v>p_8490dad0093a085f0df04ed5f8c52214a0898c9d@inbound.aiesec.org</v>
      </c>
      <c r="F1254" s="43"/>
      <c r="G1254" s="43" t="str">
        <f>IFERROR(__xludf.DUMMYFUNCTION("""COMPUTED_VALUE"""),"Turkey")</f>
        <v>Turkey</v>
      </c>
      <c r="H1254" s="43" t="str">
        <f>IFERROR(__xludf.DUMMYFUNCTION("""COMPUTED_VALUE"""),"ISTANBUL")</f>
        <v>ISTANBUL</v>
      </c>
      <c r="I1254" s="43" t="str">
        <f>IFERROR(__xludf.DUMMYFUNCTION("""COMPUTED_VALUE"""),"Egypt")</f>
        <v>Egypt</v>
      </c>
      <c r="J1254" s="43" t="str">
        <f>IFERROR(__xludf.DUMMYFUNCTION("""COMPUTED_VALUE"""),"Helwan")</f>
        <v>Helwan</v>
      </c>
      <c r="K1254" s="44" t="str">
        <f>IFERROR(__xludf.DUMMYFUNCTION("""COMPUTED_VALUE"""),"https://expa.aiesec.org/opportunities/1300779")</f>
        <v>https://expa.aiesec.org/opportunities/1300779</v>
      </c>
      <c r="L1254" s="43" t="str">
        <f>IFERROR(__xludf.DUMMYFUNCTION("""COMPUTED_VALUE"""),"GV")</f>
        <v>GV</v>
      </c>
      <c r="M1254" s="43" t="str">
        <f>IFERROR(__xludf.DUMMYFUNCTION("""COMPUTED_VALUE"""),"short")</f>
        <v>short</v>
      </c>
      <c r="N1254" s="45">
        <f>IFERROR(__xludf.DUMMYFUNCTION("""COMPUTED_VALUE"""),45259.0)</f>
        <v>45259</v>
      </c>
      <c r="O1254" s="45">
        <f>IFERROR(__xludf.DUMMYFUNCTION("""COMPUTED_VALUE"""),45444.0)</f>
        <v>45444</v>
      </c>
      <c r="P1254" s="45">
        <f>IFERROR(__xludf.DUMMYFUNCTION("""COMPUTED_VALUE"""),45486.0)</f>
        <v>45486</v>
      </c>
      <c r="Q1254" s="45"/>
      <c r="R1254" s="45"/>
      <c r="S1254" s="43"/>
      <c r="T1254" s="43"/>
      <c r="U1254" s="43" t="str">
        <f>IFERROR(__xludf.DUMMYFUNCTION("""COMPUTED_VALUE"""),"Global Classroom")</f>
        <v>Global Classroom</v>
      </c>
      <c r="V1254" s="43" t="str">
        <f>IFERROR(__xludf.DUMMYFUNCTION("""COMPUTED_VALUE"""),"-")</f>
        <v>-</v>
      </c>
      <c r="W1254" s="43" t="str">
        <f>IFERROR(__xludf.DUMMYFUNCTION("""COMPUTED_VALUE"""),"2023-11-28T21:03:31Z")</f>
        <v>2023-11-28T21:03:31Z</v>
      </c>
      <c r="X1254" s="43"/>
      <c r="Y1254" s="43"/>
      <c r="Z1254" s="43"/>
    </row>
    <row r="1255" hidden="1">
      <c r="A1255" s="43" t="str">
        <f>IFERROR(__xludf.DUMMYFUNCTION("""COMPUTED_VALUE"""),"5173690_1301209")</f>
        <v>5173690_1301209</v>
      </c>
      <c r="B1255" s="43" t="str">
        <f>IFERROR(__xludf.DUMMYFUNCTION("""COMPUTED_VALUE"""),"ZELAL EZGİN")</f>
        <v>ZELAL EZGİN</v>
      </c>
      <c r="C1255" s="43" t="str">
        <f>IFERROR(__xludf.DUMMYFUNCTION("""COMPUTED_VALUE"""),"finished")</f>
        <v>finished</v>
      </c>
      <c r="D1255" s="43" t="str">
        <f>IFERROR(__xludf.DUMMYFUNCTION("""COMPUTED_VALUE"""),"No")</f>
        <v>No</v>
      </c>
      <c r="E1255" s="43" t="str">
        <f>IFERROR(__xludf.DUMMYFUNCTION("""COMPUTED_VALUE"""),"p_d636c4ca57e8d5b0c7138982da321aa7aee391b8@inbound.aiesec.org")</f>
        <v>p_d636c4ca57e8d5b0c7138982da321aa7aee391b8@inbound.aiesec.org</v>
      </c>
      <c r="F1255" s="43"/>
      <c r="G1255" s="43" t="str">
        <f>IFERROR(__xludf.DUMMYFUNCTION("""COMPUTED_VALUE"""),"Turkey")</f>
        <v>Turkey</v>
      </c>
      <c r="H1255" s="43" t="str">
        <f>IFERROR(__xludf.DUMMYFUNCTION("""COMPUTED_VALUE"""),"ISTANBUL WEST")</f>
        <v>ISTANBUL WEST</v>
      </c>
      <c r="I1255" s="43" t="str">
        <f>IFERROR(__xludf.DUMMYFUNCTION("""COMPUTED_VALUE"""),"South Korea")</f>
        <v>South Korea</v>
      </c>
      <c r="J1255" s="43" t="str">
        <f>IFERROR(__xludf.DUMMYFUNCTION("""COMPUTED_VALUE"""),"HIU")</f>
        <v>HIU</v>
      </c>
      <c r="K1255" s="44" t="str">
        <f>IFERROR(__xludf.DUMMYFUNCTION("""COMPUTED_VALUE"""),"https://expa.aiesec.org/opportunities/1301209")</f>
        <v>https://expa.aiesec.org/opportunities/1301209</v>
      </c>
      <c r="L1255" s="43" t="str">
        <f>IFERROR(__xludf.DUMMYFUNCTION("""COMPUTED_VALUE"""),"GV")</f>
        <v>GV</v>
      </c>
      <c r="M1255" s="43" t="str">
        <f>IFERROR(__xludf.DUMMYFUNCTION("""COMPUTED_VALUE"""),"short")</f>
        <v>short</v>
      </c>
      <c r="N1255" s="45">
        <f>IFERROR(__xludf.DUMMYFUNCTION("""COMPUTED_VALUE"""),45260.0)</f>
        <v>45260</v>
      </c>
      <c r="O1255" s="45">
        <f>IFERROR(__xludf.DUMMYFUNCTION("""COMPUTED_VALUE"""),45278.0)</f>
        <v>45278</v>
      </c>
      <c r="P1255" s="45">
        <f>IFERROR(__xludf.DUMMYFUNCTION("""COMPUTED_VALUE"""),45320.0)</f>
        <v>45320</v>
      </c>
      <c r="Q1255" s="45">
        <f>IFERROR(__xludf.DUMMYFUNCTION("""COMPUTED_VALUE"""),45265.0)</f>
        <v>45265</v>
      </c>
      <c r="R1255" s="45">
        <f>IFERROR(__xludf.DUMMYFUNCTION("""COMPUTED_VALUE"""),45320.0)</f>
        <v>45320</v>
      </c>
      <c r="S1255" s="43"/>
      <c r="T1255" s="43"/>
      <c r="U1255" s="43" t="str">
        <f>IFERROR(__xludf.DUMMYFUNCTION("""COMPUTED_VALUE"""),"Equify")</f>
        <v>Equify</v>
      </c>
      <c r="V1255" s="43" t="str">
        <f>IFERROR(__xludf.DUMMYFUNCTION("""COMPUTED_VALUE"""),"-")</f>
        <v>-</v>
      </c>
      <c r="W1255" s="43" t="str">
        <f>IFERROR(__xludf.DUMMYFUNCTION("""COMPUTED_VALUE"""),"2023-01-06T12:21:46Z")</f>
        <v>2023-01-06T12:21:46Z</v>
      </c>
      <c r="X1255" s="43"/>
      <c r="Y1255" s="43"/>
      <c r="Z1255" s="43"/>
    </row>
    <row r="1256" hidden="1">
      <c r="A1256" s="43" t="str">
        <f>IFERROR(__xludf.DUMMYFUNCTION("""COMPUTED_VALUE"""),"5382616_1298549")</f>
        <v>5382616_1298549</v>
      </c>
      <c r="B1256" s="43" t="str">
        <f>IFERROR(__xludf.DUMMYFUNCTION("""COMPUTED_VALUE"""),"Mehmet Selim Okuyucu")</f>
        <v>Mehmet Selim Okuyucu</v>
      </c>
      <c r="C1256" s="43" t="str">
        <f>IFERROR(__xludf.DUMMYFUNCTION("""COMPUTED_VALUE"""),"approved")</f>
        <v>approved</v>
      </c>
      <c r="D1256" s="43" t="str">
        <f>IFERROR(__xludf.DUMMYFUNCTION("""COMPUTED_VALUE"""),"No")</f>
        <v>No</v>
      </c>
      <c r="E1256" s="43" t="str">
        <f>IFERROR(__xludf.DUMMYFUNCTION("""COMPUTED_VALUE"""),"p_8c9f1871c3aa36169053e6600a8f64e86dbbfbd4@inbound.aiesec.org")</f>
        <v>p_8c9f1871c3aa36169053e6600a8f64e86dbbfbd4@inbound.aiesec.org</v>
      </c>
      <c r="F1256" s="43">
        <f>IFERROR(__xludf.DUMMYFUNCTION("""COMPUTED_VALUE"""),5.445036786E9)</f>
        <v>5445036786</v>
      </c>
      <c r="G1256" s="43" t="str">
        <f>IFERROR(__xludf.DUMMYFUNCTION("""COMPUTED_VALUE"""),"Turkey")</f>
        <v>Turkey</v>
      </c>
      <c r="H1256" s="43" t="str">
        <f>IFERROR(__xludf.DUMMYFUNCTION("""COMPUTED_VALUE"""),"ISTANBUL ASIA")</f>
        <v>ISTANBUL ASIA</v>
      </c>
      <c r="I1256" s="43" t="str">
        <f>IFERROR(__xludf.DUMMYFUNCTION("""COMPUTED_VALUE"""),"Tunisia")</f>
        <v>Tunisia</v>
      </c>
      <c r="J1256" s="43" t="str">
        <f>IFERROR(__xludf.DUMMYFUNCTION("""COMPUTED_VALUE"""),"BARDO")</f>
        <v>BARDO</v>
      </c>
      <c r="K1256" s="44" t="str">
        <f>IFERROR(__xludf.DUMMYFUNCTION("""COMPUTED_VALUE"""),"https://expa.aiesec.org/opportunities/1298549")</f>
        <v>https://expa.aiesec.org/opportunities/1298549</v>
      </c>
      <c r="L1256" s="43" t="str">
        <f>IFERROR(__xludf.DUMMYFUNCTION("""COMPUTED_VALUE"""),"GV")</f>
        <v>GV</v>
      </c>
      <c r="M1256" s="43" t="str">
        <f>IFERROR(__xludf.DUMMYFUNCTION("""COMPUTED_VALUE"""),"short")</f>
        <v>short</v>
      </c>
      <c r="N1256" s="45">
        <f>IFERROR(__xludf.DUMMYFUNCTION("""COMPUTED_VALUE"""),45260.0)</f>
        <v>45260</v>
      </c>
      <c r="O1256" s="45">
        <f>IFERROR(__xludf.DUMMYFUNCTION("""COMPUTED_VALUE"""),45474.0)</f>
        <v>45474</v>
      </c>
      <c r="P1256" s="45">
        <f>IFERROR(__xludf.DUMMYFUNCTION("""COMPUTED_VALUE"""),45516.0)</f>
        <v>45516</v>
      </c>
      <c r="Q1256" s="45"/>
      <c r="R1256" s="45"/>
      <c r="S1256" s="43"/>
      <c r="T1256" s="43"/>
      <c r="U1256" s="43" t="str">
        <f>IFERROR(__xludf.DUMMYFUNCTION("""COMPUTED_VALUE"""),"Global Classroom")</f>
        <v>Global Classroom</v>
      </c>
      <c r="V1256" s="43" t="str">
        <f>IFERROR(__xludf.DUMMYFUNCTION("""COMPUTED_VALUE"""),"ISTANBUL ASIA")</f>
        <v>ISTANBUL ASIA</v>
      </c>
      <c r="W1256" s="43" t="str">
        <f>IFERROR(__xludf.DUMMYFUNCTION("""COMPUTED_VALUE"""),"2023-11-29T17:48:41Z")</f>
        <v>2023-11-29T17:48:41Z</v>
      </c>
      <c r="X1256" s="43"/>
      <c r="Y1256" s="43"/>
      <c r="Z1256" s="43"/>
    </row>
    <row r="1257" hidden="1">
      <c r="A1257" s="43" t="str">
        <f>IFERROR(__xludf.DUMMYFUNCTION("""COMPUTED_VALUE"""),"5382742_1301790")</f>
        <v>5382742_1301790</v>
      </c>
      <c r="B1257" s="43" t="str">
        <f>IFERROR(__xludf.DUMMYFUNCTION("""COMPUTED_VALUE"""),"Muhammet Salih Çetin")</f>
        <v>Muhammet Salih Çetin</v>
      </c>
      <c r="C1257" s="43" t="str">
        <f>IFERROR(__xludf.DUMMYFUNCTION("""COMPUTED_VALUE"""),"approved")</f>
        <v>approved</v>
      </c>
      <c r="D1257" s="43" t="str">
        <f>IFERROR(__xludf.DUMMYFUNCTION("""COMPUTED_VALUE"""),"No")</f>
        <v>No</v>
      </c>
      <c r="E1257" s="43" t="str">
        <f>IFERROR(__xludf.DUMMYFUNCTION("""COMPUTED_VALUE"""),"p_80e50e77da596a5be75571cf0275a21c62f931bb@inbound.aiesec.org")</f>
        <v>p_80e50e77da596a5be75571cf0275a21c62f931bb@inbound.aiesec.org</v>
      </c>
      <c r="F1257" s="43">
        <f>IFERROR(__xludf.DUMMYFUNCTION("""COMPUTED_VALUE"""),5.519413787E9)</f>
        <v>5519413787</v>
      </c>
      <c r="G1257" s="43" t="str">
        <f>IFERROR(__xludf.DUMMYFUNCTION("""COMPUTED_VALUE"""),"Turkey")</f>
        <v>Turkey</v>
      </c>
      <c r="H1257" s="43" t="str">
        <f>IFERROR(__xludf.DUMMYFUNCTION("""COMPUTED_VALUE"""),"ISTANBUL ASIA")</f>
        <v>ISTANBUL ASIA</v>
      </c>
      <c r="I1257" s="43" t="str">
        <f>IFERROR(__xludf.DUMMYFUNCTION("""COMPUTED_VALUE"""),"Tunisia")</f>
        <v>Tunisia</v>
      </c>
      <c r="J1257" s="43" t="str">
        <f>IFERROR(__xludf.DUMMYFUNCTION("""COMPUTED_VALUE"""),"BARDO")</f>
        <v>BARDO</v>
      </c>
      <c r="K1257" s="44" t="str">
        <f>IFERROR(__xludf.DUMMYFUNCTION("""COMPUTED_VALUE"""),"https://expa.aiesec.org/opportunities/1301790")</f>
        <v>https://expa.aiesec.org/opportunities/1301790</v>
      </c>
      <c r="L1257" s="43" t="str">
        <f>IFERROR(__xludf.DUMMYFUNCTION("""COMPUTED_VALUE"""),"GV")</f>
        <v>GV</v>
      </c>
      <c r="M1257" s="43" t="str">
        <f>IFERROR(__xludf.DUMMYFUNCTION("""COMPUTED_VALUE"""),"short")</f>
        <v>short</v>
      </c>
      <c r="N1257" s="45">
        <f>IFERROR(__xludf.DUMMYFUNCTION("""COMPUTED_VALUE"""),45260.0)</f>
        <v>45260</v>
      </c>
      <c r="O1257" s="45">
        <f>IFERROR(__xludf.DUMMYFUNCTION("""COMPUTED_VALUE"""),45316.0)</f>
        <v>45316</v>
      </c>
      <c r="P1257" s="45">
        <f>IFERROR(__xludf.DUMMYFUNCTION("""COMPUTED_VALUE"""),45358.0)</f>
        <v>45358</v>
      </c>
      <c r="Q1257" s="45"/>
      <c r="R1257" s="45"/>
      <c r="S1257" s="43"/>
      <c r="T1257" s="43"/>
      <c r="U1257" s="43" t="str">
        <f>IFERROR(__xludf.DUMMYFUNCTION("""COMPUTED_VALUE"""),"Scale Up!")</f>
        <v>Scale Up!</v>
      </c>
      <c r="V1257" s="43" t="str">
        <f>IFERROR(__xludf.DUMMYFUNCTION("""COMPUTED_VALUE"""),"ISTANBUL ASIA")</f>
        <v>ISTANBUL ASIA</v>
      </c>
      <c r="W1257" s="43" t="str">
        <f>IFERROR(__xludf.DUMMYFUNCTION("""COMPUTED_VALUE"""),"2023-11-29T20:25:46Z")</f>
        <v>2023-11-29T20:25:46Z</v>
      </c>
      <c r="X1257" s="43"/>
      <c r="Y1257" s="43"/>
      <c r="Z1257" s="43"/>
    </row>
    <row r="1258" hidden="1">
      <c r="A1258" s="43" t="str">
        <f>IFERROR(__xludf.DUMMYFUNCTION("""COMPUTED_VALUE"""),"5380436_1298814")</f>
        <v>5380436_1298814</v>
      </c>
      <c r="B1258" s="43" t="str">
        <f>IFERROR(__xludf.DUMMYFUNCTION("""COMPUTED_VALUE"""),"Egemen Davran")</f>
        <v>Egemen Davran</v>
      </c>
      <c r="C1258" s="43" t="str">
        <f>IFERROR(__xludf.DUMMYFUNCTION("""COMPUTED_VALUE"""),"approved")</f>
        <v>approved</v>
      </c>
      <c r="D1258" s="43" t="str">
        <f>IFERROR(__xludf.DUMMYFUNCTION("""COMPUTED_VALUE"""),"No")</f>
        <v>No</v>
      </c>
      <c r="E1258" s="43" t="str">
        <f>IFERROR(__xludf.DUMMYFUNCTION("""COMPUTED_VALUE"""),"p_9035a5b3e0140899ba407a9a85ef941dad6869b0@inbound.aiesec.org")</f>
        <v>p_9035a5b3e0140899ba407a9a85ef941dad6869b0@inbound.aiesec.org</v>
      </c>
      <c r="F1258" s="43">
        <f>IFERROR(__xludf.DUMMYFUNCTION("""COMPUTED_VALUE"""),5.399357404E9)</f>
        <v>5399357404</v>
      </c>
      <c r="G1258" s="43" t="str">
        <f>IFERROR(__xludf.DUMMYFUNCTION("""COMPUTED_VALUE"""),"Turkey")</f>
        <v>Turkey</v>
      </c>
      <c r="H1258" s="43" t="str">
        <f>IFERROR(__xludf.DUMMYFUNCTION("""COMPUTED_VALUE"""),"ISTANBUL ASIA")</f>
        <v>ISTANBUL ASIA</v>
      </c>
      <c r="I1258" s="43" t="str">
        <f>IFERROR(__xludf.DUMMYFUNCTION("""COMPUTED_VALUE"""),"Egypt")</f>
        <v>Egypt</v>
      </c>
      <c r="J1258" s="43" t="str">
        <f>IFERROR(__xludf.DUMMYFUNCTION("""COMPUTED_VALUE"""),"Menofia")</f>
        <v>Menofia</v>
      </c>
      <c r="K1258" s="44" t="str">
        <f>IFERROR(__xludf.DUMMYFUNCTION("""COMPUTED_VALUE"""),"https://expa.aiesec.org/opportunities/1298814")</f>
        <v>https://expa.aiesec.org/opportunities/1298814</v>
      </c>
      <c r="L1258" s="43" t="str">
        <f>IFERROR(__xludf.DUMMYFUNCTION("""COMPUTED_VALUE"""),"GV")</f>
        <v>GV</v>
      </c>
      <c r="M1258" s="43" t="str">
        <f>IFERROR(__xludf.DUMMYFUNCTION("""COMPUTED_VALUE"""),"short")</f>
        <v>short</v>
      </c>
      <c r="N1258" s="45">
        <f>IFERROR(__xludf.DUMMYFUNCTION("""COMPUTED_VALUE"""),45260.0)</f>
        <v>45260</v>
      </c>
      <c r="O1258" s="45">
        <f>IFERROR(__xludf.DUMMYFUNCTION("""COMPUTED_VALUE"""),45327.0)</f>
        <v>45327</v>
      </c>
      <c r="P1258" s="45">
        <f>IFERROR(__xludf.DUMMYFUNCTION("""COMPUTED_VALUE"""),45369.0)</f>
        <v>45369</v>
      </c>
      <c r="Q1258" s="45"/>
      <c r="R1258" s="45"/>
      <c r="S1258" s="43"/>
      <c r="T1258" s="43"/>
      <c r="U1258" s="43" t="str">
        <f>IFERROR(__xludf.DUMMYFUNCTION("""COMPUTED_VALUE"""),"Global Classroom")</f>
        <v>Global Classroom</v>
      </c>
      <c r="V1258" s="43" t="str">
        <f>IFERROR(__xludf.DUMMYFUNCTION("""COMPUTED_VALUE"""),"ISTANBUL - BAKIRKOY")</f>
        <v>ISTANBUL - BAKIRKOY</v>
      </c>
      <c r="W1258" s="43" t="str">
        <f>IFERROR(__xludf.DUMMYFUNCTION("""COMPUTED_VALUE"""),"2023-11-26T19:10:59Z")</f>
        <v>2023-11-26T19:10:59Z</v>
      </c>
      <c r="X1258" s="43"/>
      <c r="Y1258" s="43"/>
      <c r="Z1258" s="43"/>
    </row>
    <row r="1259" hidden="1">
      <c r="A1259" s="43" t="str">
        <f>IFERROR(__xludf.DUMMYFUNCTION("""COMPUTED_VALUE"""),"5377616_1281345")</f>
        <v>5377616_1281345</v>
      </c>
      <c r="B1259" s="43" t="str">
        <f>IFERROR(__xludf.DUMMYFUNCTION("""COMPUTED_VALUE"""),"Metehan Fırat Cankara")</f>
        <v>Metehan Fırat Cankara</v>
      </c>
      <c r="C1259" s="43" t="str">
        <f>IFERROR(__xludf.DUMMYFUNCTION("""COMPUTED_VALUE"""),"approved")</f>
        <v>approved</v>
      </c>
      <c r="D1259" s="43" t="str">
        <f>IFERROR(__xludf.DUMMYFUNCTION("""COMPUTED_VALUE"""),"No")</f>
        <v>No</v>
      </c>
      <c r="E1259" s="43" t="str">
        <f>IFERROR(__xludf.DUMMYFUNCTION("""COMPUTED_VALUE"""),"p_fe893feb2652db348c051beb5f53c19170ca2e36@inbound.aiesec.org")</f>
        <v>p_fe893feb2652db348c051beb5f53c19170ca2e36@inbound.aiesec.org</v>
      </c>
      <c r="F1259" s="43">
        <f>IFERROR(__xludf.DUMMYFUNCTION("""COMPUTED_VALUE"""),5.457673237E9)</f>
        <v>5457673237</v>
      </c>
      <c r="G1259" s="43" t="str">
        <f>IFERROR(__xludf.DUMMYFUNCTION("""COMPUTED_VALUE"""),"Turkey")</f>
        <v>Turkey</v>
      </c>
      <c r="H1259" s="43" t="str">
        <f>IFERROR(__xludf.DUMMYFUNCTION("""COMPUTED_VALUE"""),"KUTAHYA")</f>
        <v>KUTAHYA</v>
      </c>
      <c r="I1259" s="43" t="str">
        <f>IFERROR(__xludf.DUMMYFUNCTION("""COMPUTED_VALUE"""),"Sri Lanka")</f>
        <v>Sri Lanka</v>
      </c>
      <c r="J1259" s="43" t="str">
        <f>IFERROR(__xludf.DUMMYFUNCTION("""COMPUTED_VALUE"""),"USJ")</f>
        <v>USJ</v>
      </c>
      <c r="K1259" s="44" t="str">
        <f>IFERROR(__xludf.DUMMYFUNCTION("""COMPUTED_VALUE"""),"https://expa.aiesec.org/opportunities/1281345")</f>
        <v>https://expa.aiesec.org/opportunities/1281345</v>
      </c>
      <c r="L1259" s="43" t="str">
        <f>IFERROR(__xludf.DUMMYFUNCTION("""COMPUTED_VALUE"""),"GV")</f>
        <v>GV</v>
      </c>
      <c r="M1259" s="43" t="str">
        <f>IFERROR(__xludf.DUMMYFUNCTION("""COMPUTED_VALUE"""),"short")</f>
        <v>short</v>
      </c>
      <c r="N1259" s="45">
        <f>IFERROR(__xludf.DUMMYFUNCTION("""COMPUTED_VALUE"""),45260.0)</f>
        <v>45260</v>
      </c>
      <c r="O1259" s="45">
        <f>IFERROR(__xludf.DUMMYFUNCTION("""COMPUTED_VALUE"""),45474.0)</f>
        <v>45474</v>
      </c>
      <c r="P1259" s="45">
        <f>IFERROR(__xludf.DUMMYFUNCTION("""COMPUTED_VALUE"""),45516.0)</f>
        <v>45516</v>
      </c>
      <c r="Q1259" s="45"/>
      <c r="R1259" s="45"/>
      <c r="S1259" s="43"/>
      <c r="T1259" s="43"/>
      <c r="U1259" s="43" t="str">
        <f>IFERROR(__xludf.DUMMYFUNCTION("""COMPUTED_VALUE"""),"Aquatica")</f>
        <v>Aquatica</v>
      </c>
      <c r="V1259" s="43" t="str">
        <f>IFERROR(__xludf.DUMMYFUNCTION("""COMPUTED_VALUE"""),"KUTAHYA")</f>
        <v>KUTAHYA</v>
      </c>
      <c r="W1259" s="43" t="str">
        <f>IFERROR(__xludf.DUMMYFUNCTION("""COMPUTED_VALUE"""),"2023-11-22T15:35:21Z")</f>
        <v>2023-11-22T15:35:21Z</v>
      </c>
      <c r="X1259" s="43"/>
      <c r="Y1259" s="43"/>
      <c r="Z1259" s="43"/>
    </row>
    <row r="1260" hidden="1">
      <c r="A1260" s="43" t="str">
        <f>IFERROR(__xludf.DUMMYFUNCTION("""COMPUTED_VALUE"""),"5367180_1281236")</f>
        <v>5367180_1281236</v>
      </c>
      <c r="B1260" s="43" t="str">
        <f>IFERROR(__xludf.DUMMYFUNCTION("""COMPUTED_VALUE"""),"Ömer Faruk Demir")</f>
        <v>Ömer Faruk Demir</v>
      </c>
      <c r="C1260" s="43" t="str">
        <f>IFERROR(__xludf.DUMMYFUNCTION("""COMPUTED_VALUE"""),"approved")</f>
        <v>approved</v>
      </c>
      <c r="D1260" s="43" t="str">
        <f>IFERROR(__xludf.DUMMYFUNCTION("""COMPUTED_VALUE"""),"No")</f>
        <v>No</v>
      </c>
      <c r="E1260" s="43" t="str">
        <f>IFERROR(__xludf.DUMMYFUNCTION("""COMPUTED_VALUE"""),"p_435db91f92b0552f4b519a512241de1c42d2ad37@inbound.aiesec.org")</f>
        <v>p_435db91f92b0552f4b519a512241de1c42d2ad37@inbound.aiesec.org</v>
      </c>
      <c r="F1260" s="43">
        <f>IFERROR(__xludf.DUMMYFUNCTION("""COMPUTED_VALUE"""),5.428737279E9)</f>
        <v>5428737279</v>
      </c>
      <c r="G1260" s="43" t="str">
        <f>IFERROR(__xludf.DUMMYFUNCTION("""COMPUTED_VALUE"""),"Turkey")</f>
        <v>Turkey</v>
      </c>
      <c r="H1260" s="43" t="str">
        <f>IFERROR(__xludf.DUMMYFUNCTION("""COMPUTED_VALUE"""),"EASTERN MEDITERRANEAN")</f>
        <v>EASTERN MEDITERRANEAN</v>
      </c>
      <c r="I1260" s="43" t="str">
        <f>IFERROR(__xludf.DUMMYFUNCTION("""COMPUTED_VALUE"""),"India")</f>
        <v>India</v>
      </c>
      <c r="J1260" s="43" t="str">
        <f>IFERROR(__xludf.DUMMYFUNCTION("""COMPUTED_VALUE"""),"Dehradun")</f>
        <v>Dehradun</v>
      </c>
      <c r="K1260" s="44" t="str">
        <f>IFERROR(__xludf.DUMMYFUNCTION("""COMPUTED_VALUE"""),"https://expa.aiesec.org/opportunities/1281236")</f>
        <v>https://expa.aiesec.org/opportunities/1281236</v>
      </c>
      <c r="L1260" s="43" t="str">
        <f>IFERROR(__xludf.DUMMYFUNCTION("""COMPUTED_VALUE"""),"GV")</f>
        <v>GV</v>
      </c>
      <c r="M1260" s="43" t="str">
        <f>IFERROR(__xludf.DUMMYFUNCTION("""COMPUTED_VALUE"""),"short")</f>
        <v>short</v>
      </c>
      <c r="N1260" s="45">
        <f>IFERROR(__xludf.DUMMYFUNCTION("""COMPUTED_VALUE"""),45260.0)</f>
        <v>45260</v>
      </c>
      <c r="O1260" s="45">
        <f>IFERROR(__xludf.DUMMYFUNCTION("""COMPUTED_VALUE"""),45488.0)</f>
        <v>45488</v>
      </c>
      <c r="P1260" s="45">
        <f>IFERROR(__xludf.DUMMYFUNCTION("""COMPUTED_VALUE"""),45530.0)</f>
        <v>45530</v>
      </c>
      <c r="Q1260" s="45"/>
      <c r="R1260" s="45"/>
      <c r="S1260" s="43"/>
      <c r="T1260" s="43"/>
      <c r="U1260" s="43" t="str">
        <f>IFERROR(__xludf.DUMMYFUNCTION("""COMPUTED_VALUE"""),"Skill Up!")</f>
        <v>Skill Up!</v>
      </c>
      <c r="V1260" s="43" t="str">
        <f>IFERROR(__xludf.DUMMYFUNCTION("""COMPUTED_VALUE"""),"NORTH CYPRUS")</f>
        <v>NORTH CYPRUS</v>
      </c>
      <c r="W1260" s="43" t="str">
        <f>IFERROR(__xludf.DUMMYFUNCTION("""COMPUTED_VALUE"""),"2023-11-05T13:28:02Z")</f>
        <v>2023-11-05T13:28:02Z</v>
      </c>
      <c r="X1260" s="43"/>
      <c r="Y1260" s="43"/>
      <c r="Z1260" s="43"/>
    </row>
    <row r="1261" hidden="1">
      <c r="A1261" s="43" t="str">
        <f>IFERROR(__xludf.DUMMYFUNCTION("""COMPUTED_VALUE"""),"5383179_1294232")</f>
        <v>5383179_1294232</v>
      </c>
      <c r="B1261" s="43" t="str">
        <f>IFERROR(__xludf.DUMMYFUNCTION("""COMPUTED_VALUE"""),"Mesut Mustafa Durmus")</f>
        <v>Mesut Mustafa Durmus</v>
      </c>
      <c r="C1261" s="43" t="str">
        <f>IFERROR(__xludf.DUMMYFUNCTION("""COMPUTED_VALUE"""),"approved")</f>
        <v>approved</v>
      </c>
      <c r="D1261" s="43" t="str">
        <f>IFERROR(__xludf.DUMMYFUNCTION("""COMPUTED_VALUE"""),"No")</f>
        <v>No</v>
      </c>
      <c r="E1261" s="43" t="str">
        <f>IFERROR(__xludf.DUMMYFUNCTION("""COMPUTED_VALUE"""),"p_5e428775f93791bd3efd4902acced6156e787183@inbound.aiesec.org")</f>
        <v>p_5e428775f93791bd3efd4902acced6156e787183@inbound.aiesec.org</v>
      </c>
      <c r="F1261" s="43">
        <f>IFERROR(__xludf.DUMMYFUNCTION("""COMPUTED_VALUE"""),5.307358603E9)</f>
        <v>5307358603</v>
      </c>
      <c r="G1261" s="43" t="str">
        <f>IFERROR(__xludf.DUMMYFUNCTION("""COMPUTED_VALUE"""),"Turkey")</f>
        <v>Turkey</v>
      </c>
      <c r="H1261" s="43" t="str">
        <f>IFERROR(__xludf.DUMMYFUNCTION("""COMPUTED_VALUE"""),"SAKARYA")</f>
        <v>SAKARYA</v>
      </c>
      <c r="I1261" s="43" t="str">
        <f>IFERROR(__xludf.DUMMYFUNCTION("""COMPUTED_VALUE"""),"Egypt")</f>
        <v>Egypt</v>
      </c>
      <c r="J1261" s="43" t="str">
        <f>IFERROR(__xludf.DUMMYFUNCTION("""COMPUTED_VALUE"""),"Suez")</f>
        <v>Suez</v>
      </c>
      <c r="K1261" s="44" t="str">
        <f>IFERROR(__xludf.DUMMYFUNCTION("""COMPUTED_VALUE"""),"https://expa.aiesec.org/opportunities/1294232")</f>
        <v>https://expa.aiesec.org/opportunities/1294232</v>
      </c>
      <c r="L1261" s="43" t="str">
        <f>IFERROR(__xludf.DUMMYFUNCTION("""COMPUTED_VALUE"""),"GV")</f>
        <v>GV</v>
      </c>
      <c r="M1261" s="43" t="str">
        <f>IFERROR(__xludf.DUMMYFUNCTION("""COMPUTED_VALUE"""),"short")</f>
        <v>short</v>
      </c>
      <c r="N1261" s="45">
        <f>IFERROR(__xludf.DUMMYFUNCTION("""COMPUTED_VALUE"""),45260.0)</f>
        <v>45260</v>
      </c>
      <c r="O1261" s="45">
        <f>IFERROR(__xludf.DUMMYFUNCTION("""COMPUTED_VALUE"""),45313.0)</f>
        <v>45313</v>
      </c>
      <c r="P1261" s="45">
        <f>IFERROR(__xludf.DUMMYFUNCTION("""COMPUTED_VALUE"""),45355.0)</f>
        <v>45355</v>
      </c>
      <c r="Q1261" s="45"/>
      <c r="R1261" s="45"/>
      <c r="S1261" s="43"/>
      <c r="T1261" s="43"/>
      <c r="U1261" s="43" t="str">
        <f>IFERROR(__xludf.DUMMYFUNCTION("""COMPUTED_VALUE"""),"On The Map")</f>
        <v>On The Map</v>
      </c>
      <c r="V1261" s="43" t="str">
        <f>IFERROR(__xludf.DUMMYFUNCTION("""COMPUTED_VALUE"""),"SAKARYA")</f>
        <v>SAKARYA</v>
      </c>
      <c r="W1261" s="43" t="str">
        <f>IFERROR(__xludf.DUMMYFUNCTION("""COMPUTED_VALUE"""),"2023-11-30T13:55:24Z")</f>
        <v>2023-11-30T13:55:24Z</v>
      </c>
      <c r="X1261" s="43"/>
      <c r="Y1261" s="43"/>
      <c r="Z1261" s="43"/>
    </row>
    <row r="1262" hidden="1">
      <c r="A1262" s="43" t="str">
        <f>IFERROR(__xludf.DUMMYFUNCTION("""COMPUTED_VALUE"""),"5173413_1301027")</f>
        <v>5173413_1301027</v>
      </c>
      <c r="B1262" s="43" t="str">
        <f>IFERROR(__xludf.DUMMYFUNCTION("""COMPUTED_VALUE"""),"Servet Sakar")</f>
        <v>Servet Sakar</v>
      </c>
      <c r="C1262" s="43" t="str">
        <f>IFERROR(__xludf.DUMMYFUNCTION("""COMPUTED_VALUE"""),"realized")</f>
        <v>realized</v>
      </c>
      <c r="D1262" s="43" t="str">
        <f>IFERROR(__xludf.DUMMYFUNCTION("""COMPUTED_VALUE"""),"No")</f>
        <v>No</v>
      </c>
      <c r="E1262" s="43" t="str">
        <f>IFERROR(__xludf.DUMMYFUNCTION("""COMPUTED_VALUE"""),"p_5cdddbdf66e06ff16472b65ae03704e176f64dc3@inbound.aiesec.org")</f>
        <v>p_5cdddbdf66e06ff16472b65ae03704e176f64dc3@inbound.aiesec.org</v>
      </c>
      <c r="F1262" s="43"/>
      <c r="G1262" s="43" t="str">
        <f>IFERROR(__xludf.DUMMYFUNCTION("""COMPUTED_VALUE"""),"Turkey")</f>
        <v>Turkey</v>
      </c>
      <c r="H1262" s="43" t="str">
        <f>IFERROR(__xludf.DUMMYFUNCTION("""COMPUTED_VALUE"""),"ESKISEHIR")</f>
        <v>ESKISEHIR</v>
      </c>
      <c r="I1262" s="43" t="str">
        <f>IFERROR(__xludf.DUMMYFUNCTION("""COMPUTED_VALUE"""),"Serbia")</f>
        <v>Serbia</v>
      </c>
      <c r="J1262" s="43" t="str">
        <f>IFERROR(__xludf.DUMMYFUNCTION("""COMPUTED_VALUE"""),"Singidunum")</f>
        <v>Singidunum</v>
      </c>
      <c r="K1262" s="44" t="str">
        <f>IFERROR(__xludf.DUMMYFUNCTION("""COMPUTED_VALUE"""),"https://expa.aiesec.org/opportunities/1301027")</f>
        <v>https://expa.aiesec.org/opportunities/1301027</v>
      </c>
      <c r="L1262" s="43" t="str">
        <f>IFERROR(__xludf.DUMMYFUNCTION("""COMPUTED_VALUE"""),"GV")</f>
        <v>GV</v>
      </c>
      <c r="M1262" s="43" t="str">
        <f>IFERROR(__xludf.DUMMYFUNCTION("""COMPUTED_VALUE"""),"short")</f>
        <v>short</v>
      </c>
      <c r="N1262" s="45">
        <f>IFERROR(__xludf.DUMMYFUNCTION("""COMPUTED_VALUE"""),45260.0)</f>
        <v>45260</v>
      </c>
      <c r="O1262" s="45">
        <f>IFERROR(__xludf.DUMMYFUNCTION("""COMPUTED_VALUE"""),45306.0)</f>
        <v>45306</v>
      </c>
      <c r="P1262" s="45">
        <f>IFERROR(__xludf.DUMMYFUNCTION("""COMPUTED_VALUE"""),45348.0)</f>
        <v>45348</v>
      </c>
      <c r="Q1262" s="45">
        <f>IFERROR(__xludf.DUMMYFUNCTION("""COMPUTED_VALUE"""),45320.0)</f>
        <v>45320</v>
      </c>
      <c r="R1262" s="45">
        <f>IFERROR(__xludf.DUMMYFUNCTION("""COMPUTED_VALUE"""),45361.0)</f>
        <v>45361</v>
      </c>
      <c r="S1262" s="43"/>
      <c r="T1262" s="43"/>
      <c r="U1262" s="43" t="str">
        <f>IFERROR(__xludf.DUMMYFUNCTION("""COMPUTED_VALUE"""),"Youth 4 Impact")</f>
        <v>Youth 4 Impact</v>
      </c>
      <c r="V1262" s="43" t="str">
        <f>IFERROR(__xludf.DUMMYFUNCTION("""COMPUTED_VALUE"""),"-")</f>
        <v>-</v>
      </c>
      <c r="W1262" s="43" t="str">
        <f>IFERROR(__xludf.DUMMYFUNCTION("""COMPUTED_VALUE"""),"2023-01-05T17:14:57Z")</f>
        <v>2023-01-05T17:14:57Z</v>
      </c>
      <c r="X1262" s="43"/>
      <c r="Y1262" s="43"/>
      <c r="Z1262" s="43"/>
    </row>
    <row r="1263" hidden="1">
      <c r="A1263" s="43" t="str">
        <f>IFERROR(__xludf.DUMMYFUNCTION("""COMPUTED_VALUE"""),"5382028_1296885")</f>
        <v>5382028_1296885</v>
      </c>
      <c r="B1263" s="43" t="str">
        <f>IFERROR(__xludf.DUMMYFUNCTION("""COMPUTED_VALUE"""),"Aleyna Şahin")</f>
        <v>Aleyna Şahin</v>
      </c>
      <c r="C1263" s="43" t="str">
        <f>IFERROR(__xludf.DUMMYFUNCTION("""COMPUTED_VALUE"""),"approved")</f>
        <v>approved</v>
      </c>
      <c r="D1263" s="43" t="str">
        <f>IFERROR(__xludf.DUMMYFUNCTION("""COMPUTED_VALUE"""),"No")</f>
        <v>No</v>
      </c>
      <c r="E1263" s="43" t="str">
        <f>IFERROR(__xludf.DUMMYFUNCTION("""COMPUTED_VALUE"""),"p_188a70c863bd019444f8461b2f34f61db2345933@inbound.aiesec.org")</f>
        <v>p_188a70c863bd019444f8461b2f34f61db2345933@inbound.aiesec.org</v>
      </c>
      <c r="F1263" s="43">
        <f>IFERROR(__xludf.DUMMYFUNCTION("""COMPUTED_VALUE"""),5.524221275E9)</f>
        <v>5524221275</v>
      </c>
      <c r="G1263" s="43" t="str">
        <f>IFERROR(__xludf.DUMMYFUNCTION("""COMPUTED_VALUE"""),"Turkey")</f>
        <v>Turkey</v>
      </c>
      <c r="H1263" s="43" t="str">
        <f>IFERROR(__xludf.DUMMYFUNCTION("""COMPUTED_VALUE"""),"ANTALYA")</f>
        <v>ANTALYA</v>
      </c>
      <c r="I1263" s="43" t="str">
        <f>IFERROR(__xludf.DUMMYFUNCTION("""COMPUTED_VALUE"""),"India")</f>
        <v>India</v>
      </c>
      <c r="J1263" s="43" t="str">
        <f>IFERROR(__xludf.DUMMYFUNCTION("""COMPUTED_VALUE"""),"Delhi IIT")</f>
        <v>Delhi IIT</v>
      </c>
      <c r="K1263" s="44" t="str">
        <f>IFERROR(__xludf.DUMMYFUNCTION("""COMPUTED_VALUE"""),"https://expa.aiesec.org/opportunities/1296885")</f>
        <v>https://expa.aiesec.org/opportunities/1296885</v>
      </c>
      <c r="L1263" s="43" t="str">
        <f>IFERROR(__xludf.DUMMYFUNCTION("""COMPUTED_VALUE"""),"GV")</f>
        <v>GV</v>
      </c>
      <c r="M1263" s="43" t="str">
        <f>IFERROR(__xludf.DUMMYFUNCTION("""COMPUTED_VALUE"""),"short")</f>
        <v>short</v>
      </c>
      <c r="N1263" s="45">
        <f>IFERROR(__xludf.DUMMYFUNCTION("""COMPUTED_VALUE"""),45260.0)</f>
        <v>45260</v>
      </c>
      <c r="O1263" s="45">
        <f>IFERROR(__xludf.DUMMYFUNCTION("""COMPUTED_VALUE"""),45480.0)</f>
        <v>45480</v>
      </c>
      <c r="P1263" s="45">
        <f>IFERROR(__xludf.DUMMYFUNCTION("""COMPUTED_VALUE"""),45522.0)</f>
        <v>45522</v>
      </c>
      <c r="Q1263" s="45"/>
      <c r="R1263" s="45"/>
      <c r="S1263" s="43"/>
      <c r="T1263" s="43"/>
      <c r="U1263" s="43" t="str">
        <f>IFERROR(__xludf.DUMMYFUNCTION("""COMPUTED_VALUE"""),"On The Map")</f>
        <v>On The Map</v>
      </c>
      <c r="V1263" s="43" t="str">
        <f>IFERROR(__xludf.DUMMYFUNCTION("""COMPUTED_VALUE"""),"ANTALYA")</f>
        <v>ANTALYA</v>
      </c>
      <c r="W1263" s="43" t="str">
        <f>IFERROR(__xludf.DUMMYFUNCTION("""COMPUTED_VALUE"""),"2023-11-28T19:38:10Z")</f>
        <v>2023-11-28T19:38:10Z</v>
      </c>
      <c r="X1263" s="43"/>
      <c r="Y1263" s="43"/>
      <c r="Z1263" s="43"/>
    </row>
    <row r="1264" hidden="1">
      <c r="A1264" s="43" t="str">
        <f>IFERROR(__xludf.DUMMYFUNCTION("""COMPUTED_VALUE"""),"5381840_1296885")</f>
        <v>5381840_1296885</v>
      </c>
      <c r="B1264" s="43" t="str">
        <f>IFERROR(__xludf.DUMMYFUNCTION("""COMPUTED_VALUE"""),"tuğba ilisa")</f>
        <v>tuğba ilisa</v>
      </c>
      <c r="C1264" s="43" t="str">
        <f>IFERROR(__xludf.DUMMYFUNCTION("""COMPUTED_VALUE"""),"approved")</f>
        <v>approved</v>
      </c>
      <c r="D1264" s="43" t="str">
        <f>IFERROR(__xludf.DUMMYFUNCTION("""COMPUTED_VALUE"""),"No")</f>
        <v>No</v>
      </c>
      <c r="E1264" s="43" t="str">
        <f>IFERROR(__xludf.DUMMYFUNCTION("""COMPUTED_VALUE"""),"p_d980923556379910feb70c3cfe58fc32f3d231e5@inbound.aiesec.org")</f>
        <v>p_d980923556379910feb70c3cfe58fc32f3d231e5@inbound.aiesec.org</v>
      </c>
      <c r="F1264" s="43">
        <f>IFERROR(__xludf.DUMMYFUNCTION("""COMPUTED_VALUE"""),5.557560543E9)</f>
        <v>5557560543</v>
      </c>
      <c r="G1264" s="43" t="str">
        <f>IFERROR(__xludf.DUMMYFUNCTION("""COMPUTED_VALUE"""),"Turkey")</f>
        <v>Turkey</v>
      </c>
      <c r="H1264" s="43" t="str">
        <f>IFERROR(__xludf.DUMMYFUNCTION("""COMPUTED_VALUE"""),"ANTALYA")</f>
        <v>ANTALYA</v>
      </c>
      <c r="I1264" s="43" t="str">
        <f>IFERROR(__xludf.DUMMYFUNCTION("""COMPUTED_VALUE"""),"India")</f>
        <v>India</v>
      </c>
      <c r="J1264" s="43" t="str">
        <f>IFERROR(__xludf.DUMMYFUNCTION("""COMPUTED_VALUE"""),"Delhi IIT")</f>
        <v>Delhi IIT</v>
      </c>
      <c r="K1264" s="44" t="str">
        <f>IFERROR(__xludf.DUMMYFUNCTION("""COMPUTED_VALUE"""),"https://expa.aiesec.org/opportunities/1296885")</f>
        <v>https://expa.aiesec.org/opportunities/1296885</v>
      </c>
      <c r="L1264" s="43" t="str">
        <f>IFERROR(__xludf.DUMMYFUNCTION("""COMPUTED_VALUE"""),"GV")</f>
        <v>GV</v>
      </c>
      <c r="M1264" s="43" t="str">
        <f>IFERROR(__xludf.DUMMYFUNCTION("""COMPUTED_VALUE"""),"short")</f>
        <v>short</v>
      </c>
      <c r="N1264" s="45">
        <f>IFERROR(__xludf.DUMMYFUNCTION("""COMPUTED_VALUE"""),45260.0)</f>
        <v>45260</v>
      </c>
      <c r="O1264" s="45">
        <f>IFERROR(__xludf.DUMMYFUNCTION("""COMPUTED_VALUE"""),45480.0)</f>
        <v>45480</v>
      </c>
      <c r="P1264" s="45">
        <f>IFERROR(__xludf.DUMMYFUNCTION("""COMPUTED_VALUE"""),45522.0)</f>
        <v>45522</v>
      </c>
      <c r="Q1264" s="45"/>
      <c r="R1264" s="45"/>
      <c r="S1264" s="43"/>
      <c r="T1264" s="43"/>
      <c r="U1264" s="43" t="str">
        <f>IFERROR(__xludf.DUMMYFUNCTION("""COMPUTED_VALUE"""),"On The Map")</f>
        <v>On The Map</v>
      </c>
      <c r="V1264" s="43" t="str">
        <f>IFERROR(__xludf.DUMMYFUNCTION("""COMPUTED_VALUE"""),"ANTALYA")</f>
        <v>ANTALYA</v>
      </c>
      <c r="W1264" s="43" t="str">
        <f>IFERROR(__xludf.DUMMYFUNCTION("""COMPUTED_VALUE"""),"2023-11-28T17:03:38Z")</f>
        <v>2023-11-28T17:03:38Z</v>
      </c>
      <c r="X1264" s="43"/>
      <c r="Y1264" s="43"/>
      <c r="Z1264" s="43"/>
    </row>
    <row r="1265" hidden="1">
      <c r="A1265" s="43" t="str">
        <f>IFERROR(__xludf.DUMMYFUNCTION("""COMPUTED_VALUE"""),"5381110_1296885")</f>
        <v>5381110_1296885</v>
      </c>
      <c r="B1265" s="43" t="str">
        <f>IFERROR(__xludf.DUMMYFUNCTION("""COMPUTED_VALUE"""),"Tuana Dereli")</f>
        <v>Tuana Dereli</v>
      </c>
      <c r="C1265" s="43" t="str">
        <f>IFERROR(__xludf.DUMMYFUNCTION("""COMPUTED_VALUE"""),"approved")</f>
        <v>approved</v>
      </c>
      <c r="D1265" s="43" t="str">
        <f>IFERROR(__xludf.DUMMYFUNCTION("""COMPUTED_VALUE"""),"No")</f>
        <v>No</v>
      </c>
      <c r="E1265" s="43" t="str">
        <f>IFERROR(__xludf.DUMMYFUNCTION("""COMPUTED_VALUE"""),"p_a59a2dfa67ebccc03137e997e3492836c3c62703@inbound.aiesec.org")</f>
        <v>p_a59a2dfa67ebccc03137e997e3492836c3c62703@inbound.aiesec.org</v>
      </c>
      <c r="F1265" s="43">
        <f>IFERROR(__xludf.DUMMYFUNCTION("""COMPUTED_VALUE"""),5.537665446E9)</f>
        <v>5537665446</v>
      </c>
      <c r="G1265" s="43" t="str">
        <f>IFERROR(__xludf.DUMMYFUNCTION("""COMPUTED_VALUE"""),"Turkey")</f>
        <v>Turkey</v>
      </c>
      <c r="H1265" s="43" t="str">
        <f>IFERROR(__xludf.DUMMYFUNCTION("""COMPUTED_VALUE"""),"ANTALYA")</f>
        <v>ANTALYA</v>
      </c>
      <c r="I1265" s="43" t="str">
        <f>IFERROR(__xludf.DUMMYFUNCTION("""COMPUTED_VALUE"""),"India")</f>
        <v>India</v>
      </c>
      <c r="J1265" s="43" t="str">
        <f>IFERROR(__xludf.DUMMYFUNCTION("""COMPUTED_VALUE"""),"Delhi IIT")</f>
        <v>Delhi IIT</v>
      </c>
      <c r="K1265" s="44" t="str">
        <f>IFERROR(__xludf.DUMMYFUNCTION("""COMPUTED_VALUE"""),"https://expa.aiesec.org/opportunities/1296885")</f>
        <v>https://expa.aiesec.org/opportunities/1296885</v>
      </c>
      <c r="L1265" s="43" t="str">
        <f>IFERROR(__xludf.DUMMYFUNCTION("""COMPUTED_VALUE"""),"GV")</f>
        <v>GV</v>
      </c>
      <c r="M1265" s="43" t="str">
        <f>IFERROR(__xludf.DUMMYFUNCTION("""COMPUTED_VALUE"""),"short")</f>
        <v>short</v>
      </c>
      <c r="N1265" s="45">
        <f>IFERROR(__xludf.DUMMYFUNCTION("""COMPUTED_VALUE"""),45260.0)</f>
        <v>45260</v>
      </c>
      <c r="O1265" s="45">
        <f>IFERROR(__xludf.DUMMYFUNCTION("""COMPUTED_VALUE"""),45480.0)</f>
        <v>45480</v>
      </c>
      <c r="P1265" s="45">
        <f>IFERROR(__xludf.DUMMYFUNCTION("""COMPUTED_VALUE"""),45522.0)</f>
        <v>45522</v>
      </c>
      <c r="Q1265" s="45"/>
      <c r="R1265" s="45"/>
      <c r="S1265" s="43"/>
      <c r="T1265" s="43"/>
      <c r="U1265" s="43" t="str">
        <f>IFERROR(__xludf.DUMMYFUNCTION("""COMPUTED_VALUE"""),"On The Map")</f>
        <v>On The Map</v>
      </c>
      <c r="V1265" s="43" t="str">
        <f>IFERROR(__xludf.DUMMYFUNCTION("""COMPUTED_VALUE"""),"ANTALYA")</f>
        <v>ANTALYA</v>
      </c>
      <c r="W1265" s="43" t="str">
        <f>IFERROR(__xludf.DUMMYFUNCTION("""COMPUTED_VALUE"""),"2023-11-27T21:05:27Z")</f>
        <v>2023-11-27T21:05:27Z</v>
      </c>
      <c r="X1265" s="43"/>
      <c r="Y1265" s="43"/>
      <c r="Z1265" s="43"/>
    </row>
    <row r="1266" hidden="1">
      <c r="A1266" s="43" t="str">
        <f>IFERROR(__xludf.DUMMYFUNCTION("""COMPUTED_VALUE"""),"5381049_1298617")</f>
        <v>5381049_1298617</v>
      </c>
      <c r="B1266" s="43" t="str">
        <f>IFERROR(__xludf.DUMMYFUNCTION("""COMPUTED_VALUE"""),"Toprak Hüseyin Erhan")</f>
        <v>Toprak Hüseyin Erhan</v>
      </c>
      <c r="C1266" s="43" t="str">
        <f>IFERROR(__xludf.DUMMYFUNCTION("""COMPUTED_VALUE"""),"approved")</f>
        <v>approved</v>
      </c>
      <c r="D1266" s="43" t="str">
        <f>IFERROR(__xludf.DUMMYFUNCTION("""COMPUTED_VALUE"""),"No")</f>
        <v>No</v>
      </c>
      <c r="E1266" s="43" t="str">
        <f>IFERROR(__xludf.DUMMYFUNCTION("""COMPUTED_VALUE"""),"p_eda3d26feceb202c14cc6b68be113efd5b74a03e@inbound.aiesec.org")</f>
        <v>p_eda3d26feceb202c14cc6b68be113efd5b74a03e@inbound.aiesec.org</v>
      </c>
      <c r="F1266" s="43">
        <f>IFERROR(__xludf.DUMMYFUNCTION("""COMPUTED_VALUE"""),5.41714609E9)</f>
        <v>5417146090</v>
      </c>
      <c r="G1266" s="43" t="str">
        <f>IFERROR(__xludf.DUMMYFUNCTION("""COMPUTED_VALUE"""),"Turkey")</f>
        <v>Turkey</v>
      </c>
      <c r="H1266" s="43" t="str">
        <f>IFERROR(__xludf.DUMMYFUNCTION("""COMPUTED_VALUE"""),"ANTALYA")</f>
        <v>ANTALYA</v>
      </c>
      <c r="I1266" s="43" t="str">
        <f>IFERROR(__xludf.DUMMYFUNCTION("""COMPUTED_VALUE"""),"India")</f>
        <v>India</v>
      </c>
      <c r="J1266" s="43" t="str">
        <f>IFERROR(__xludf.DUMMYFUNCTION("""COMPUTED_VALUE"""),"Delhi IIT")</f>
        <v>Delhi IIT</v>
      </c>
      <c r="K1266" s="44" t="str">
        <f>IFERROR(__xludf.DUMMYFUNCTION("""COMPUTED_VALUE"""),"https://expa.aiesec.org/opportunities/1298617")</f>
        <v>https://expa.aiesec.org/opportunities/1298617</v>
      </c>
      <c r="L1266" s="43" t="str">
        <f>IFERROR(__xludf.DUMMYFUNCTION("""COMPUTED_VALUE"""),"GV")</f>
        <v>GV</v>
      </c>
      <c r="M1266" s="43" t="str">
        <f>IFERROR(__xludf.DUMMYFUNCTION("""COMPUTED_VALUE"""),"short")</f>
        <v>short</v>
      </c>
      <c r="N1266" s="45">
        <f>IFERROR(__xludf.DUMMYFUNCTION("""COMPUTED_VALUE"""),45260.0)</f>
        <v>45260</v>
      </c>
      <c r="O1266" s="45">
        <f>IFERROR(__xludf.DUMMYFUNCTION("""COMPUTED_VALUE"""),45505.0)</f>
        <v>45505</v>
      </c>
      <c r="P1266" s="45">
        <f>IFERROR(__xludf.DUMMYFUNCTION("""COMPUTED_VALUE"""),45550.0)</f>
        <v>45550</v>
      </c>
      <c r="Q1266" s="45"/>
      <c r="R1266" s="45"/>
      <c r="S1266" s="43"/>
      <c r="T1266" s="43"/>
      <c r="U1266" s="43" t="str">
        <f>IFERROR(__xludf.DUMMYFUNCTION("""COMPUTED_VALUE"""),"Heartbeat")</f>
        <v>Heartbeat</v>
      </c>
      <c r="V1266" s="43" t="str">
        <f>IFERROR(__xludf.DUMMYFUNCTION("""COMPUTED_VALUE"""),"ANTALYA")</f>
        <v>ANTALYA</v>
      </c>
      <c r="W1266" s="43" t="str">
        <f>IFERROR(__xludf.DUMMYFUNCTION("""COMPUTED_VALUE"""),"2023-11-27T19:07:22Z")</f>
        <v>2023-11-27T19:07:22Z</v>
      </c>
      <c r="X1266" s="43"/>
      <c r="Y1266" s="43"/>
      <c r="Z1266" s="43"/>
    </row>
    <row r="1267" hidden="1">
      <c r="A1267" s="43" t="str">
        <f>IFERROR(__xludf.DUMMYFUNCTION("""COMPUTED_VALUE"""),"5383139_1298372")</f>
        <v>5383139_1298372</v>
      </c>
      <c r="B1267" s="43" t="str">
        <f>IFERROR(__xludf.DUMMYFUNCTION("""COMPUTED_VALUE"""),"Buse Daşcı")</f>
        <v>Buse Daşcı</v>
      </c>
      <c r="C1267" s="43" t="str">
        <f>IFERROR(__xludf.DUMMYFUNCTION("""COMPUTED_VALUE"""),"approved")</f>
        <v>approved</v>
      </c>
      <c r="D1267" s="43" t="str">
        <f>IFERROR(__xludf.DUMMYFUNCTION("""COMPUTED_VALUE"""),"No")</f>
        <v>No</v>
      </c>
      <c r="E1267" s="43" t="str">
        <f>IFERROR(__xludf.DUMMYFUNCTION("""COMPUTED_VALUE"""),"p_6cff4613bcd0d07ce15b0d0d9357fb497d929802@inbound.aiesec.org")</f>
        <v>p_6cff4613bcd0d07ce15b0d0d9357fb497d929802@inbound.aiesec.org</v>
      </c>
      <c r="F1267" s="43">
        <f>IFERROR(__xludf.DUMMYFUNCTION("""COMPUTED_VALUE"""),5.425053749E9)</f>
        <v>5425053749</v>
      </c>
      <c r="G1267" s="43" t="str">
        <f>IFERROR(__xludf.DUMMYFUNCTION("""COMPUTED_VALUE"""),"Turkey")</f>
        <v>Turkey</v>
      </c>
      <c r="H1267" s="43" t="str">
        <f>IFERROR(__xludf.DUMMYFUNCTION("""COMPUTED_VALUE"""),"ADANA")</f>
        <v>ADANA</v>
      </c>
      <c r="I1267" s="43" t="str">
        <f>IFERROR(__xludf.DUMMYFUNCTION("""COMPUTED_VALUE"""),"Egypt")</f>
        <v>Egypt</v>
      </c>
      <c r="J1267" s="43" t="str">
        <f>IFERROR(__xludf.DUMMYFUNCTION("""COMPUTED_VALUE"""),"Helwan")</f>
        <v>Helwan</v>
      </c>
      <c r="K1267" s="44" t="str">
        <f>IFERROR(__xludf.DUMMYFUNCTION("""COMPUTED_VALUE"""),"https://expa.aiesec.org/opportunities/1298372")</f>
        <v>https://expa.aiesec.org/opportunities/1298372</v>
      </c>
      <c r="L1267" s="43" t="str">
        <f>IFERROR(__xludf.DUMMYFUNCTION("""COMPUTED_VALUE"""),"GV")</f>
        <v>GV</v>
      </c>
      <c r="M1267" s="43" t="str">
        <f>IFERROR(__xludf.DUMMYFUNCTION("""COMPUTED_VALUE"""),"short")</f>
        <v>short</v>
      </c>
      <c r="N1267" s="45">
        <f>IFERROR(__xludf.DUMMYFUNCTION("""COMPUTED_VALUE"""),45260.0)</f>
        <v>45260</v>
      </c>
      <c r="O1267" s="45">
        <f>IFERROR(__xludf.DUMMYFUNCTION("""COMPUTED_VALUE"""),45488.0)</f>
        <v>45488</v>
      </c>
      <c r="P1267" s="45">
        <f>IFERROR(__xludf.DUMMYFUNCTION("""COMPUTED_VALUE"""),45530.0)</f>
        <v>45530</v>
      </c>
      <c r="Q1267" s="45"/>
      <c r="R1267" s="45"/>
      <c r="S1267" s="43"/>
      <c r="T1267" s="43"/>
      <c r="U1267" s="43" t="str">
        <f>IFERROR(__xludf.DUMMYFUNCTION("""COMPUTED_VALUE"""),"Equify")</f>
        <v>Equify</v>
      </c>
      <c r="V1267" s="43" t="str">
        <f>IFERROR(__xludf.DUMMYFUNCTION("""COMPUTED_VALUE"""),"ADANA")</f>
        <v>ADANA</v>
      </c>
      <c r="W1267" s="43" t="str">
        <f>IFERROR(__xludf.DUMMYFUNCTION("""COMPUTED_VALUE"""),"2023-11-30T12:58:34Z")</f>
        <v>2023-11-30T12:58:34Z</v>
      </c>
      <c r="X1267" s="43"/>
      <c r="Y1267" s="43"/>
      <c r="Z1267" s="43"/>
    </row>
    <row r="1268" hidden="1">
      <c r="A1268" s="43" t="str">
        <f>IFERROR(__xludf.DUMMYFUNCTION("""COMPUTED_VALUE"""),"5382071_1301244")</f>
        <v>5382071_1301244</v>
      </c>
      <c r="B1268" s="43" t="str">
        <f>IFERROR(__xludf.DUMMYFUNCTION("""COMPUTED_VALUE"""),"Emirhan Şener")</f>
        <v>Emirhan Şener</v>
      </c>
      <c r="C1268" s="43" t="str">
        <f>IFERROR(__xludf.DUMMYFUNCTION("""COMPUTED_VALUE"""),"approved")</f>
        <v>approved</v>
      </c>
      <c r="D1268" s="43" t="str">
        <f>IFERROR(__xludf.DUMMYFUNCTION("""COMPUTED_VALUE"""),"No")</f>
        <v>No</v>
      </c>
      <c r="E1268" s="43" t="str">
        <f>IFERROR(__xludf.DUMMYFUNCTION("""COMPUTED_VALUE"""),"p_9ff9ac8b8441125e37c540a1b85d690b84fd7634@inbound.aiesec.org")</f>
        <v>p_9ff9ac8b8441125e37c540a1b85d690b84fd7634@inbound.aiesec.org</v>
      </c>
      <c r="F1268" s="43">
        <f>IFERROR(__xludf.DUMMYFUNCTION("""COMPUTED_VALUE"""),5.419474551E9)</f>
        <v>5419474551</v>
      </c>
      <c r="G1268" s="43" t="str">
        <f>IFERROR(__xludf.DUMMYFUNCTION("""COMPUTED_VALUE"""),"Turkey")</f>
        <v>Turkey</v>
      </c>
      <c r="H1268" s="43" t="str">
        <f>IFERROR(__xludf.DUMMYFUNCTION("""COMPUTED_VALUE"""),"ANTALYA")</f>
        <v>ANTALYA</v>
      </c>
      <c r="I1268" s="43" t="str">
        <f>IFERROR(__xludf.DUMMYFUNCTION("""COMPUTED_VALUE"""),"Romania")</f>
        <v>Romania</v>
      </c>
      <c r="J1268" s="43" t="str">
        <f>IFERROR(__xludf.DUMMYFUNCTION("""COMPUTED_VALUE"""),"Craiova")</f>
        <v>Craiova</v>
      </c>
      <c r="K1268" s="44" t="str">
        <f>IFERROR(__xludf.DUMMYFUNCTION("""COMPUTED_VALUE"""),"https://expa.aiesec.org/opportunities/1301244")</f>
        <v>https://expa.aiesec.org/opportunities/1301244</v>
      </c>
      <c r="L1268" s="43" t="str">
        <f>IFERROR(__xludf.DUMMYFUNCTION("""COMPUTED_VALUE"""),"GV")</f>
        <v>GV</v>
      </c>
      <c r="M1268" s="43" t="str">
        <f>IFERROR(__xludf.DUMMYFUNCTION("""COMPUTED_VALUE"""),"short")</f>
        <v>short</v>
      </c>
      <c r="N1268" s="45">
        <f>IFERROR(__xludf.DUMMYFUNCTION("""COMPUTED_VALUE"""),45260.0)</f>
        <v>45260</v>
      </c>
      <c r="O1268" s="45">
        <f>IFERROR(__xludf.DUMMYFUNCTION("""COMPUTED_VALUE"""),45327.0)</f>
        <v>45327</v>
      </c>
      <c r="P1268" s="45">
        <f>IFERROR(__xludf.DUMMYFUNCTION("""COMPUTED_VALUE"""),45369.0)</f>
        <v>45369</v>
      </c>
      <c r="Q1268" s="45"/>
      <c r="R1268" s="45"/>
      <c r="S1268" s="43"/>
      <c r="T1268" s="43"/>
      <c r="U1268" s="43" t="str">
        <f>IFERROR(__xludf.DUMMYFUNCTION("""COMPUTED_VALUE"""),"Eat 4 Change")</f>
        <v>Eat 4 Change</v>
      </c>
      <c r="V1268" s="43" t="str">
        <f>IFERROR(__xludf.DUMMYFUNCTION("""COMPUTED_VALUE"""),"ANTALYA")</f>
        <v>ANTALYA</v>
      </c>
      <c r="W1268" s="43" t="str">
        <f>IFERROR(__xludf.DUMMYFUNCTION("""COMPUTED_VALUE"""),"2023-11-28T21:32:42Z")</f>
        <v>2023-11-28T21:32:42Z</v>
      </c>
      <c r="X1268" s="43"/>
      <c r="Y1268" s="43"/>
      <c r="Z1268" s="43"/>
    </row>
    <row r="1269" hidden="1">
      <c r="A1269" s="43" t="str">
        <f>IFERROR(__xludf.DUMMYFUNCTION("""COMPUTED_VALUE"""),"5383191_1298372")</f>
        <v>5383191_1298372</v>
      </c>
      <c r="B1269" s="43" t="str">
        <f>IFERROR(__xludf.DUMMYFUNCTION("""COMPUTED_VALUE"""),"Baha Eken")</f>
        <v>Baha Eken</v>
      </c>
      <c r="C1269" s="43" t="str">
        <f>IFERROR(__xludf.DUMMYFUNCTION("""COMPUTED_VALUE"""),"approved")</f>
        <v>approved</v>
      </c>
      <c r="D1269" s="43" t="str">
        <f>IFERROR(__xludf.DUMMYFUNCTION("""COMPUTED_VALUE"""),"No")</f>
        <v>No</v>
      </c>
      <c r="E1269" s="43" t="str">
        <f>IFERROR(__xludf.DUMMYFUNCTION("""COMPUTED_VALUE"""),"p_66b67bf1c19c87681a2f1a96fbe8af56f1bcd954@inbound.aiesec.org")</f>
        <v>p_66b67bf1c19c87681a2f1a96fbe8af56f1bcd954@inbound.aiesec.org</v>
      </c>
      <c r="F1269" s="43">
        <f>IFERROR(__xludf.DUMMYFUNCTION("""COMPUTED_VALUE"""),5.437997364E9)</f>
        <v>5437997364</v>
      </c>
      <c r="G1269" s="43" t="str">
        <f>IFERROR(__xludf.DUMMYFUNCTION("""COMPUTED_VALUE"""),"Turkey")</f>
        <v>Turkey</v>
      </c>
      <c r="H1269" s="43" t="str">
        <f>IFERROR(__xludf.DUMMYFUNCTION("""COMPUTED_VALUE"""),"ADANA")</f>
        <v>ADANA</v>
      </c>
      <c r="I1269" s="43" t="str">
        <f>IFERROR(__xludf.DUMMYFUNCTION("""COMPUTED_VALUE"""),"Egypt")</f>
        <v>Egypt</v>
      </c>
      <c r="J1269" s="43" t="str">
        <f>IFERROR(__xludf.DUMMYFUNCTION("""COMPUTED_VALUE"""),"Helwan")</f>
        <v>Helwan</v>
      </c>
      <c r="K1269" s="44" t="str">
        <f>IFERROR(__xludf.DUMMYFUNCTION("""COMPUTED_VALUE"""),"https://expa.aiesec.org/opportunities/1298372")</f>
        <v>https://expa.aiesec.org/opportunities/1298372</v>
      </c>
      <c r="L1269" s="43" t="str">
        <f>IFERROR(__xludf.DUMMYFUNCTION("""COMPUTED_VALUE"""),"GV")</f>
        <v>GV</v>
      </c>
      <c r="M1269" s="43" t="str">
        <f>IFERROR(__xludf.DUMMYFUNCTION("""COMPUTED_VALUE"""),"short")</f>
        <v>short</v>
      </c>
      <c r="N1269" s="45">
        <f>IFERROR(__xludf.DUMMYFUNCTION("""COMPUTED_VALUE"""),45260.0)</f>
        <v>45260</v>
      </c>
      <c r="O1269" s="45">
        <f>IFERROR(__xludf.DUMMYFUNCTION("""COMPUTED_VALUE"""),45505.0)</f>
        <v>45505</v>
      </c>
      <c r="P1269" s="45">
        <f>IFERROR(__xludf.DUMMYFUNCTION("""COMPUTED_VALUE"""),45547.0)</f>
        <v>45547</v>
      </c>
      <c r="Q1269" s="45"/>
      <c r="R1269" s="45"/>
      <c r="S1269" s="43"/>
      <c r="T1269" s="43"/>
      <c r="U1269" s="43" t="str">
        <f>IFERROR(__xludf.DUMMYFUNCTION("""COMPUTED_VALUE"""),"Equify")</f>
        <v>Equify</v>
      </c>
      <c r="V1269" s="43" t="str">
        <f>IFERROR(__xludf.DUMMYFUNCTION("""COMPUTED_VALUE"""),"NIGDE")</f>
        <v>NIGDE</v>
      </c>
      <c r="W1269" s="43" t="str">
        <f>IFERROR(__xludf.DUMMYFUNCTION("""COMPUTED_VALUE"""),"2023-11-30T14:12:46Z")</f>
        <v>2023-11-30T14:12:46Z</v>
      </c>
      <c r="X1269" s="43"/>
      <c r="Y1269" s="43"/>
      <c r="Z1269" s="43"/>
    </row>
    <row r="1270" hidden="1">
      <c r="A1270" s="43" t="str">
        <f>IFERROR(__xludf.DUMMYFUNCTION("""COMPUTED_VALUE"""),"5382581_1292990")</f>
        <v>5382581_1292990</v>
      </c>
      <c r="B1270" s="43" t="str">
        <f>IFERROR(__xludf.DUMMYFUNCTION("""COMPUTED_VALUE"""),"Barış Bayrak")</f>
        <v>Barış Bayrak</v>
      </c>
      <c r="C1270" s="43" t="str">
        <f>IFERROR(__xludf.DUMMYFUNCTION("""COMPUTED_VALUE"""),"approved")</f>
        <v>approved</v>
      </c>
      <c r="D1270" s="43" t="str">
        <f>IFERROR(__xludf.DUMMYFUNCTION("""COMPUTED_VALUE"""),"No")</f>
        <v>No</v>
      </c>
      <c r="E1270" s="43" t="str">
        <f>IFERROR(__xludf.DUMMYFUNCTION("""COMPUTED_VALUE"""),"p_323f122ad6c66f89410ad1deeadf71bcc1d13cfd@inbound.aiesec.org")</f>
        <v>p_323f122ad6c66f89410ad1deeadf71bcc1d13cfd@inbound.aiesec.org</v>
      </c>
      <c r="F1270" s="43">
        <f>IFERROR(__xludf.DUMMYFUNCTION("""COMPUTED_VALUE"""),5.511027155E9)</f>
        <v>5511027155</v>
      </c>
      <c r="G1270" s="43" t="str">
        <f>IFERROR(__xludf.DUMMYFUNCTION("""COMPUTED_VALUE"""),"Turkey")</f>
        <v>Turkey</v>
      </c>
      <c r="H1270" s="43" t="str">
        <f>IFERROR(__xludf.DUMMYFUNCTION("""COMPUTED_VALUE"""),"ANTALYA")</f>
        <v>ANTALYA</v>
      </c>
      <c r="I1270" s="43" t="str">
        <f>IFERROR(__xludf.DUMMYFUNCTION("""COMPUTED_VALUE"""),"India")</f>
        <v>India</v>
      </c>
      <c r="J1270" s="43" t="str">
        <f>IFERROR(__xludf.DUMMYFUNCTION("""COMPUTED_VALUE"""),"Mumbai")</f>
        <v>Mumbai</v>
      </c>
      <c r="K1270" s="44" t="str">
        <f>IFERROR(__xludf.DUMMYFUNCTION("""COMPUTED_VALUE"""),"https://expa.aiesec.org/opportunities/1292990")</f>
        <v>https://expa.aiesec.org/opportunities/1292990</v>
      </c>
      <c r="L1270" s="43" t="str">
        <f>IFERROR(__xludf.DUMMYFUNCTION("""COMPUTED_VALUE"""),"GV")</f>
        <v>GV</v>
      </c>
      <c r="M1270" s="43" t="str">
        <f>IFERROR(__xludf.DUMMYFUNCTION("""COMPUTED_VALUE"""),"short")</f>
        <v>short</v>
      </c>
      <c r="N1270" s="45">
        <f>IFERROR(__xludf.DUMMYFUNCTION("""COMPUTED_VALUE"""),45260.0)</f>
        <v>45260</v>
      </c>
      <c r="O1270" s="45">
        <f>IFERROR(__xludf.DUMMYFUNCTION("""COMPUTED_VALUE"""),45483.0)</f>
        <v>45483</v>
      </c>
      <c r="P1270" s="45">
        <f>IFERROR(__xludf.DUMMYFUNCTION("""COMPUTED_VALUE"""),45525.0)</f>
        <v>45525</v>
      </c>
      <c r="Q1270" s="45"/>
      <c r="R1270" s="45"/>
      <c r="S1270" s="43"/>
      <c r="T1270" s="43"/>
      <c r="U1270" s="43" t="str">
        <f>IFERROR(__xludf.DUMMYFUNCTION("""COMPUTED_VALUE"""),"On The Map")</f>
        <v>On The Map</v>
      </c>
      <c r="V1270" s="43" t="str">
        <f>IFERROR(__xludf.DUMMYFUNCTION("""COMPUTED_VALUE"""),"ANTALYA")</f>
        <v>ANTALYA</v>
      </c>
      <c r="W1270" s="43" t="str">
        <f>IFERROR(__xludf.DUMMYFUNCTION("""COMPUTED_VALUE"""),"2023-11-29T16:54:06Z")</f>
        <v>2023-11-29T16:54:06Z</v>
      </c>
      <c r="X1270" s="43"/>
      <c r="Y1270" s="43"/>
      <c r="Z1270" s="43"/>
    </row>
    <row r="1271" hidden="1">
      <c r="A1271" s="43" t="str">
        <f>IFERROR(__xludf.DUMMYFUNCTION("""COMPUTED_VALUE"""),"4826312_1300523")</f>
        <v>4826312_1300523</v>
      </c>
      <c r="B1271" s="43" t="str">
        <f>IFERROR(__xludf.DUMMYFUNCTION("""COMPUTED_VALUE"""),"Cansu Şevin Birlik")</f>
        <v>Cansu Şevin Birlik</v>
      </c>
      <c r="C1271" s="43" t="str">
        <f>IFERROR(__xludf.DUMMYFUNCTION("""COMPUTED_VALUE"""),"approved")</f>
        <v>approved</v>
      </c>
      <c r="D1271" s="43" t="str">
        <f>IFERROR(__xludf.DUMMYFUNCTION("""COMPUTED_VALUE"""),"No")</f>
        <v>No</v>
      </c>
      <c r="E1271" s="43" t="str">
        <f>IFERROR(__xludf.DUMMYFUNCTION("""COMPUTED_VALUE"""),"p_6b3fb24153f03763106aa343ad66d418d5b31d69@inbound.aiesec.org")</f>
        <v>p_6b3fb24153f03763106aa343ad66d418d5b31d69@inbound.aiesec.org</v>
      </c>
      <c r="F1271" s="43"/>
      <c r="G1271" s="43" t="str">
        <f>IFERROR(__xludf.DUMMYFUNCTION("""COMPUTED_VALUE"""),"Turkey")</f>
        <v>Turkey</v>
      </c>
      <c r="H1271" s="43" t="str">
        <f>IFERROR(__xludf.DUMMYFUNCTION("""COMPUTED_VALUE"""),"GAZIANTEP")</f>
        <v>GAZIANTEP</v>
      </c>
      <c r="I1271" s="43" t="str">
        <f>IFERROR(__xludf.DUMMYFUNCTION("""COMPUTED_VALUE"""),"Italy")</f>
        <v>Italy</v>
      </c>
      <c r="J1271" s="43" t="str">
        <f>IFERROR(__xludf.DUMMYFUNCTION("""COMPUTED_VALUE"""),"Torino")</f>
        <v>Torino</v>
      </c>
      <c r="K1271" s="44" t="str">
        <f>IFERROR(__xludf.DUMMYFUNCTION("""COMPUTED_VALUE"""),"https://expa.aiesec.org/opportunities/1300523")</f>
        <v>https://expa.aiesec.org/opportunities/1300523</v>
      </c>
      <c r="L1271" s="43" t="str">
        <f>IFERROR(__xludf.DUMMYFUNCTION("""COMPUTED_VALUE"""),"GV")</f>
        <v>GV</v>
      </c>
      <c r="M1271" s="43" t="str">
        <f>IFERROR(__xludf.DUMMYFUNCTION("""COMPUTED_VALUE"""),"short")</f>
        <v>short</v>
      </c>
      <c r="N1271" s="45">
        <f>IFERROR(__xludf.DUMMYFUNCTION("""COMPUTED_VALUE"""),45260.0)</f>
        <v>45260</v>
      </c>
      <c r="O1271" s="45">
        <f>IFERROR(__xludf.DUMMYFUNCTION("""COMPUTED_VALUE"""),45327.0)</f>
        <v>45327</v>
      </c>
      <c r="P1271" s="45">
        <f>IFERROR(__xludf.DUMMYFUNCTION("""COMPUTED_VALUE"""),45369.0)</f>
        <v>45369</v>
      </c>
      <c r="Q1271" s="45"/>
      <c r="R1271" s="45"/>
      <c r="S1271" s="43"/>
      <c r="T1271" s="43"/>
      <c r="U1271" s="43" t="str">
        <f>IFERROR(__xludf.DUMMYFUNCTION("""COMPUTED_VALUE"""),"Raise Your Voice")</f>
        <v>Raise Your Voice</v>
      </c>
      <c r="V1271" s="43" t="str">
        <f>IFERROR(__xludf.DUMMYFUNCTION("""COMPUTED_VALUE"""),"GAZIANTEP")</f>
        <v>GAZIANTEP</v>
      </c>
      <c r="W1271" s="43" t="str">
        <f>IFERROR(__xludf.DUMMYFUNCTION("""COMPUTED_VALUE"""),"2021-12-01T14:54:16Z")</f>
        <v>2021-12-01T14:54:16Z</v>
      </c>
      <c r="X1271" s="43"/>
      <c r="Y1271" s="43"/>
      <c r="Z1271" s="43"/>
    </row>
    <row r="1272" hidden="1">
      <c r="A1272" s="43" t="str">
        <f>IFERROR(__xludf.DUMMYFUNCTION("""COMPUTED_VALUE"""),"5382754_1301670")</f>
        <v>5382754_1301670</v>
      </c>
      <c r="B1272" s="43" t="str">
        <f>IFERROR(__xludf.DUMMYFUNCTION("""COMPUTED_VALUE"""),"Dilara Küçükdurmuş")</f>
        <v>Dilara Küçükdurmuş</v>
      </c>
      <c r="C1272" s="43" t="str">
        <f>IFERROR(__xludf.DUMMYFUNCTION("""COMPUTED_VALUE"""),"approved")</f>
        <v>approved</v>
      </c>
      <c r="D1272" s="43" t="str">
        <f>IFERROR(__xludf.DUMMYFUNCTION("""COMPUTED_VALUE"""),"No")</f>
        <v>No</v>
      </c>
      <c r="E1272" s="43" t="str">
        <f>IFERROR(__xludf.DUMMYFUNCTION("""COMPUTED_VALUE"""),"p_a746591c9037dff78a23f5133e2f073c59aab8e8@inbound.aiesec.org")</f>
        <v>p_a746591c9037dff78a23f5133e2f073c59aab8e8@inbound.aiesec.org</v>
      </c>
      <c r="F1272" s="43">
        <f>IFERROR(__xludf.DUMMYFUNCTION("""COMPUTED_VALUE"""),5.32244707E9)</f>
        <v>5322447070</v>
      </c>
      <c r="G1272" s="43" t="str">
        <f>IFERROR(__xludf.DUMMYFUNCTION("""COMPUTED_VALUE"""),"Turkey")</f>
        <v>Turkey</v>
      </c>
      <c r="H1272" s="43" t="str">
        <f>IFERROR(__xludf.DUMMYFUNCTION("""COMPUTED_VALUE"""),"KONYA")</f>
        <v>KONYA</v>
      </c>
      <c r="I1272" s="43" t="str">
        <f>IFERROR(__xludf.DUMMYFUNCTION("""COMPUTED_VALUE"""),"Azerbaijan")</f>
        <v>Azerbaijan</v>
      </c>
      <c r="J1272" s="43" t="str">
        <f>IFERROR(__xludf.DUMMYFUNCTION("""COMPUTED_VALUE"""),"Baku ADA")</f>
        <v>Baku ADA</v>
      </c>
      <c r="K1272" s="44" t="str">
        <f>IFERROR(__xludf.DUMMYFUNCTION("""COMPUTED_VALUE"""),"https://expa.aiesec.org/opportunities/1301670")</f>
        <v>https://expa.aiesec.org/opportunities/1301670</v>
      </c>
      <c r="L1272" s="43" t="str">
        <f>IFERROR(__xludf.DUMMYFUNCTION("""COMPUTED_VALUE"""),"GV")</f>
        <v>GV</v>
      </c>
      <c r="M1272" s="43" t="str">
        <f>IFERROR(__xludf.DUMMYFUNCTION("""COMPUTED_VALUE"""),"short")</f>
        <v>short</v>
      </c>
      <c r="N1272" s="45">
        <f>IFERROR(__xludf.DUMMYFUNCTION("""COMPUTED_VALUE"""),45260.0)</f>
        <v>45260</v>
      </c>
      <c r="O1272" s="45">
        <f>IFERROR(__xludf.DUMMYFUNCTION("""COMPUTED_VALUE"""),45483.0)</f>
        <v>45483</v>
      </c>
      <c r="P1272" s="45">
        <f>IFERROR(__xludf.DUMMYFUNCTION("""COMPUTED_VALUE"""),45525.0)</f>
        <v>45525</v>
      </c>
      <c r="Q1272" s="45"/>
      <c r="R1272" s="45"/>
      <c r="S1272" s="43"/>
      <c r="T1272" s="43"/>
      <c r="U1272" s="43" t="str">
        <f>IFERROR(__xludf.DUMMYFUNCTION("""COMPUTED_VALUE"""),"Global Classroom")</f>
        <v>Global Classroom</v>
      </c>
      <c r="V1272" s="43" t="str">
        <f>IFERROR(__xludf.DUMMYFUNCTION("""COMPUTED_VALUE"""),"KONYA")</f>
        <v>KONYA</v>
      </c>
      <c r="W1272" s="43" t="str">
        <f>IFERROR(__xludf.DUMMYFUNCTION("""COMPUTED_VALUE"""),"2023-11-29T21:03:44Z")</f>
        <v>2023-11-29T21:03:44Z</v>
      </c>
      <c r="X1272" s="43"/>
      <c r="Y1272" s="43"/>
      <c r="Z1272" s="43"/>
    </row>
    <row r="1273" hidden="1">
      <c r="A1273" s="43" t="str">
        <f>IFERROR(__xludf.DUMMYFUNCTION("""COMPUTED_VALUE"""),"5383434_1298372")</f>
        <v>5383434_1298372</v>
      </c>
      <c r="B1273" s="43" t="str">
        <f>IFERROR(__xludf.DUMMYFUNCTION("""COMPUTED_VALUE"""),"Rana Bilici")</f>
        <v>Rana Bilici</v>
      </c>
      <c r="C1273" s="43" t="str">
        <f>IFERROR(__xludf.DUMMYFUNCTION("""COMPUTED_VALUE"""),"approved")</f>
        <v>approved</v>
      </c>
      <c r="D1273" s="43" t="str">
        <f>IFERROR(__xludf.DUMMYFUNCTION("""COMPUTED_VALUE"""),"No")</f>
        <v>No</v>
      </c>
      <c r="E1273" s="43" t="str">
        <f>IFERROR(__xludf.DUMMYFUNCTION("""COMPUTED_VALUE"""),"p_adce849b4f173d36caf395460825e4c0e78422db@inbound.aiesec.org")</f>
        <v>p_adce849b4f173d36caf395460825e4c0e78422db@inbound.aiesec.org</v>
      </c>
      <c r="F1273" s="43">
        <f>IFERROR(__xludf.DUMMYFUNCTION("""COMPUTED_VALUE"""),5.44568613E9)</f>
        <v>5445686130</v>
      </c>
      <c r="G1273" s="43" t="str">
        <f>IFERROR(__xludf.DUMMYFUNCTION("""COMPUTED_VALUE"""),"Turkey")</f>
        <v>Turkey</v>
      </c>
      <c r="H1273" s="43" t="str">
        <f>IFERROR(__xludf.DUMMYFUNCTION("""COMPUTED_VALUE"""),"ADANA")</f>
        <v>ADANA</v>
      </c>
      <c r="I1273" s="43" t="str">
        <f>IFERROR(__xludf.DUMMYFUNCTION("""COMPUTED_VALUE"""),"Egypt")</f>
        <v>Egypt</v>
      </c>
      <c r="J1273" s="43" t="str">
        <f>IFERROR(__xludf.DUMMYFUNCTION("""COMPUTED_VALUE"""),"Helwan")</f>
        <v>Helwan</v>
      </c>
      <c r="K1273" s="44" t="str">
        <f>IFERROR(__xludf.DUMMYFUNCTION("""COMPUTED_VALUE"""),"https://expa.aiesec.org/opportunities/1298372")</f>
        <v>https://expa.aiesec.org/opportunities/1298372</v>
      </c>
      <c r="L1273" s="43" t="str">
        <f>IFERROR(__xludf.DUMMYFUNCTION("""COMPUTED_VALUE"""),"GV")</f>
        <v>GV</v>
      </c>
      <c r="M1273" s="43" t="str">
        <f>IFERROR(__xludf.DUMMYFUNCTION("""COMPUTED_VALUE"""),"short")</f>
        <v>short</v>
      </c>
      <c r="N1273" s="45">
        <f>IFERROR(__xludf.DUMMYFUNCTION("""COMPUTED_VALUE"""),45260.0)</f>
        <v>45260</v>
      </c>
      <c r="O1273" s="45">
        <f>IFERROR(__xludf.DUMMYFUNCTION("""COMPUTED_VALUE"""),45488.0)</f>
        <v>45488</v>
      </c>
      <c r="P1273" s="45">
        <f>IFERROR(__xludf.DUMMYFUNCTION("""COMPUTED_VALUE"""),45530.0)</f>
        <v>45530</v>
      </c>
      <c r="Q1273" s="45"/>
      <c r="R1273" s="45"/>
      <c r="S1273" s="43"/>
      <c r="T1273" s="43"/>
      <c r="U1273" s="43" t="str">
        <f>IFERROR(__xludf.DUMMYFUNCTION("""COMPUTED_VALUE"""),"Equify")</f>
        <v>Equify</v>
      </c>
      <c r="V1273" s="43" t="str">
        <f>IFERROR(__xludf.DUMMYFUNCTION("""COMPUTED_VALUE"""),"ADANA")</f>
        <v>ADANA</v>
      </c>
      <c r="W1273" s="43" t="str">
        <f>IFERROR(__xludf.DUMMYFUNCTION("""COMPUTED_VALUE"""),"2023-11-30T18:14:57Z")</f>
        <v>2023-11-30T18:14:57Z</v>
      </c>
      <c r="X1273" s="43"/>
      <c r="Y1273" s="43"/>
      <c r="Z1273" s="43"/>
    </row>
    <row r="1274" hidden="1">
      <c r="A1274" s="43" t="str">
        <f>IFERROR(__xludf.DUMMYFUNCTION("""COMPUTED_VALUE"""),"5380271_1298372")</f>
        <v>5380271_1298372</v>
      </c>
      <c r="B1274" s="43" t="str">
        <f>IFERROR(__xludf.DUMMYFUNCTION("""COMPUTED_VALUE"""),"Gülce Özcan")</f>
        <v>Gülce Özcan</v>
      </c>
      <c r="C1274" s="43" t="str">
        <f>IFERROR(__xludf.DUMMYFUNCTION("""COMPUTED_VALUE"""),"approved")</f>
        <v>approved</v>
      </c>
      <c r="D1274" s="43" t="str">
        <f>IFERROR(__xludf.DUMMYFUNCTION("""COMPUTED_VALUE"""),"No")</f>
        <v>No</v>
      </c>
      <c r="E1274" s="43" t="str">
        <f>IFERROR(__xludf.DUMMYFUNCTION("""COMPUTED_VALUE"""),"p_1aea0f5fcae05a272ea3814ccb3e7c1f85ca10b7@inbound.aiesec.org")</f>
        <v>p_1aea0f5fcae05a272ea3814ccb3e7c1f85ca10b7@inbound.aiesec.org</v>
      </c>
      <c r="F1274" s="43">
        <f>IFERROR(__xludf.DUMMYFUNCTION("""COMPUTED_VALUE"""),5.368400314E9)</f>
        <v>5368400314</v>
      </c>
      <c r="G1274" s="43" t="str">
        <f>IFERROR(__xludf.DUMMYFUNCTION("""COMPUTED_VALUE"""),"Turkey")</f>
        <v>Turkey</v>
      </c>
      <c r="H1274" s="43" t="str">
        <f>IFERROR(__xludf.DUMMYFUNCTION("""COMPUTED_VALUE"""),"ADANA")</f>
        <v>ADANA</v>
      </c>
      <c r="I1274" s="43" t="str">
        <f>IFERROR(__xludf.DUMMYFUNCTION("""COMPUTED_VALUE"""),"Egypt")</f>
        <v>Egypt</v>
      </c>
      <c r="J1274" s="43" t="str">
        <f>IFERROR(__xludf.DUMMYFUNCTION("""COMPUTED_VALUE"""),"Helwan")</f>
        <v>Helwan</v>
      </c>
      <c r="K1274" s="44" t="str">
        <f>IFERROR(__xludf.DUMMYFUNCTION("""COMPUTED_VALUE"""),"https://expa.aiesec.org/opportunities/1298372")</f>
        <v>https://expa.aiesec.org/opportunities/1298372</v>
      </c>
      <c r="L1274" s="43" t="str">
        <f>IFERROR(__xludf.DUMMYFUNCTION("""COMPUTED_VALUE"""),"GV")</f>
        <v>GV</v>
      </c>
      <c r="M1274" s="43" t="str">
        <f>IFERROR(__xludf.DUMMYFUNCTION("""COMPUTED_VALUE"""),"short")</f>
        <v>short</v>
      </c>
      <c r="N1274" s="45">
        <f>IFERROR(__xludf.DUMMYFUNCTION("""COMPUTED_VALUE"""),45260.0)</f>
        <v>45260</v>
      </c>
      <c r="O1274" s="45">
        <f>IFERROR(__xludf.DUMMYFUNCTION("""COMPUTED_VALUE"""),45474.0)</f>
        <v>45474</v>
      </c>
      <c r="P1274" s="45">
        <f>IFERROR(__xludf.DUMMYFUNCTION("""COMPUTED_VALUE"""),45516.0)</f>
        <v>45516</v>
      </c>
      <c r="Q1274" s="45"/>
      <c r="R1274" s="45"/>
      <c r="S1274" s="43"/>
      <c r="T1274" s="43"/>
      <c r="U1274" s="43" t="str">
        <f>IFERROR(__xludf.DUMMYFUNCTION("""COMPUTED_VALUE"""),"Equify")</f>
        <v>Equify</v>
      </c>
      <c r="V1274" s="43" t="str">
        <f>IFERROR(__xludf.DUMMYFUNCTION("""COMPUTED_VALUE"""),"ADANA")</f>
        <v>ADANA</v>
      </c>
      <c r="W1274" s="43" t="str">
        <f>IFERROR(__xludf.DUMMYFUNCTION("""COMPUTED_VALUE"""),"2023-11-26T12:52:50Z")</f>
        <v>2023-11-26T12:52:50Z</v>
      </c>
      <c r="X1274" s="43"/>
      <c r="Y1274" s="43"/>
      <c r="Z1274" s="43"/>
    </row>
    <row r="1275" hidden="1">
      <c r="A1275" s="43" t="str">
        <f>IFERROR(__xludf.DUMMYFUNCTION("""COMPUTED_VALUE"""),"5382037_1300097")</f>
        <v>5382037_1300097</v>
      </c>
      <c r="B1275" s="43" t="str">
        <f>IFERROR(__xludf.DUMMYFUNCTION("""COMPUTED_VALUE"""),"Sadık Berke Sezer")</f>
        <v>Sadık Berke Sezer</v>
      </c>
      <c r="C1275" s="43" t="str">
        <f>IFERROR(__xludf.DUMMYFUNCTION("""COMPUTED_VALUE"""),"approved")</f>
        <v>approved</v>
      </c>
      <c r="D1275" s="43" t="str">
        <f>IFERROR(__xludf.DUMMYFUNCTION("""COMPUTED_VALUE"""),"No")</f>
        <v>No</v>
      </c>
      <c r="E1275" s="43" t="str">
        <f>IFERROR(__xludf.DUMMYFUNCTION("""COMPUTED_VALUE"""),"p_494eafdd0b32789bb63965e94fe34ef4aefece1c@inbound.aiesec.org")</f>
        <v>p_494eafdd0b32789bb63965e94fe34ef4aefece1c@inbound.aiesec.org</v>
      </c>
      <c r="F1275" s="43">
        <f>IFERROR(__xludf.DUMMYFUNCTION("""COMPUTED_VALUE"""),5.305535766E9)</f>
        <v>5305535766</v>
      </c>
      <c r="G1275" s="43" t="str">
        <f>IFERROR(__xludf.DUMMYFUNCTION("""COMPUTED_VALUE"""),"Turkey")</f>
        <v>Turkey</v>
      </c>
      <c r="H1275" s="43" t="str">
        <f>IFERROR(__xludf.DUMMYFUNCTION("""COMPUTED_VALUE"""),"ISTANBUL WEST")</f>
        <v>ISTANBUL WEST</v>
      </c>
      <c r="I1275" s="43" t="str">
        <f>IFERROR(__xludf.DUMMYFUNCTION("""COMPUTED_VALUE"""),"Romania")</f>
        <v>Romania</v>
      </c>
      <c r="J1275" s="43" t="str">
        <f>IFERROR(__xludf.DUMMYFUNCTION("""COMPUTED_VALUE"""),"Cluj-Napoca")</f>
        <v>Cluj-Napoca</v>
      </c>
      <c r="K1275" s="44" t="str">
        <f>IFERROR(__xludf.DUMMYFUNCTION("""COMPUTED_VALUE"""),"https://expa.aiesec.org/opportunities/1300097")</f>
        <v>https://expa.aiesec.org/opportunities/1300097</v>
      </c>
      <c r="L1275" s="43" t="str">
        <f>IFERROR(__xludf.DUMMYFUNCTION("""COMPUTED_VALUE"""),"GV")</f>
        <v>GV</v>
      </c>
      <c r="M1275" s="43" t="str">
        <f>IFERROR(__xludf.DUMMYFUNCTION("""COMPUTED_VALUE"""),"short")</f>
        <v>short</v>
      </c>
      <c r="N1275" s="45">
        <f>IFERROR(__xludf.DUMMYFUNCTION("""COMPUTED_VALUE"""),45260.0)</f>
        <v>45260</v>
      </c>
      <c r="O1275" s="45">
        <f>IFERROR(__xludf.DUMMYFUNCTION("""COMPUTED_VALUE"""),45299.0)</f>
        <v>45299</v>
      </c>
      <c r="P1275" s="45">
        <f>IFERROR(__xludf.DUMMYFUNCTION("""COMPUTED_VALUE"""),45341.0)</f>
        <v>45341</v>
      </c>
      <c r="Q1275" s="45"/>
      <c r="R1275" s="45"/>
      <c r="S1275" s="43"/>
      <c r="T1275" s="43"/>
      <c r="U1275" s="43" t="str">
        <f>IFERROR(__xludf.DUMMYFUNCTION("""COMPUTED_VALUE"""),"Eat 4 Change")</f>
        <v>Eat 4 Change</v>
      </c>
      <c r="V1275" s="43" t="str">
        <f>IFERROR(__xludf.DUMMYFUNCTION("""COMPUTED_VALUE"""),"ISTANBUL - BAKIRKOY")</f>
        <v>ISTANBUL - BAKIRKOY</v>
      </c>
      <c r="W1275" s="43" t="str">
        <f>IFERROR(__xludf.DUMMYFUNCTION("""COMPUTED_VALUE"""),"2023-11-28T19:48:43Z")</f>
        <v>2023-11-28T19:48:43Z</v>
      </c>
      <c r="X1275" s="43"/>
      <c r="Y1275" s="43"/>
      <c r="Z1275" s="43"/>
    </row>
    <row r="1276" hidden="1">
      <c r="A1276" s="43" t="str">
        <f>IFERROR(__xludf.DUMMYFUNCTION("""COMPUTED_VALUE"""),"5380406_1301244")</f>
        <v>5380406_1301244</v>
      </c>
      <c r="B1276" s="43" t="str">
        <f>IFERROR(__xludf.DUMMYFUNCTION("""COMPUTED_VALUE"""),"Sena Durmuş")</f>
        <v>Sena Durmuş</v>
      </c>
      <c r="C1276" s="43" t="str">
        <f>IFERROR(__xludf.DUMMYFUNCTION("""COMPUTED_VALUE"""),"approved")</f>
        <v>approved</v>
      </c>
      <c r="D1276" s="43" t="str">
        <f>IFERROR(__xludf.DUMMYFUNCTION("""COMPUTED_VALUE"""),"No")</f>
        <v>No</v>
      </c>
      <c r="E1276" s="43" t="str">
        <f>IFERROR(__xludf.DUMMYFUNCTION("""COMPUTED_VALUE"""),"p_8df7d9ccd97d9889b2abe16d83b0b2602eb5f009@inbound.aiesec.org")</f>
        <v>p_8df7d9ccd97d9889b2abe16d83b0b2602eb5f009@inbound.aiesec.org</v>
      </c>
      <c r="F1276" s="43">
        <f>IFERROR(__xludf.DUMMYFUNCTION("""COMPUTED_VALUE"""),5.380414402E9)</f>
        <v>5380414402</v>
      </c>
      <c r="G1276" s="43" t="str">
        <f>IFERROR(__xludf.DUMMYFUNCTION("""COMPUTED_VALUE"""),"Turkey")</f>
        <v>Turkey</v>
      </c>
      <c r="H1276" s="43" t="str">
        <f>IFERROR(__xludf.DUMMYFUNCTION("""COMPUTED_VALUE"""),"ISTANBUL WEST")</f>
        <v>ISTANBUL WEST</v>
      </c>
      <c r="I1276" s="43" t="str">
        <f>IFERROR(__xludf.DUMMYFUNCTION("""COMPUTED_VALUE"""),"Romania")</f>
        <v>Romania</v>
      </c>
      <c r="J1276" s="43" t="str">
        <f>IFERROR(__xludf.DUMMYFUNCTION("""COMPUTED_VALUE"""),"Craiova")</f>
        <v>Craiova</v>
      </c>
      <c r="K1276" s="44" t="str">
        <f>IFERROR(__xludf.DUMMYFUNCTION("""COMPUTED_VALUE"""),"https://expa.aiesec.org/opportunities/1301244")</f>
        <v>https://expa.aiesec.org/opportunities/1301244</v>
      </c>
      <c r="L1276" s="43" t="str">
        <f>IFERROR(__xludf.DUMMYFUNCTION("""COMPUTED_VALUE"""),"GV")</f>
        <v>GV</v>
      </c>
      <c r="M1276" s="43" t="str">
        <f>IFERROR(__xludf.DUMMYFUNCTION("""COMPUTED_VALUE"""),"short")</f>
        <v>short</v>
      </c>
      <c r="N1276" s="45">
        <f>IFERROR(__xludf.DUMMYFUNCTION("""COMPUTED_VALUE"""),45260.0)</f>
        <v>45260</v>
      </c>
      <c r="O1276" s="45">
        <f>IFERROR(__xludf.DUMMYFUNCTION("""COMPUTED_VALUE"""),45327.0)</f>
        <v>45327</v>
      </c>
      <c r="P1276" s="45">
        <f>IFERROR(__xludf.DUMMYFUNCTION("""COMPUTED_VALUE"""),45369.0)</f>
        <v>45369</v>
      </c>
      <c r="Q1276" s="45"/>
      <c r="R1276" s="45"/>
      <c r="S1276" s="43"/>
      <c r="T1276" s="43"/>
      <c r="U1276" s="43" t="str">
        <f>IFERROR(__xludf.DUMMYFUNCTION("""COMPUTED_VALUE"""),"Eat 4 Change")</f>
        <v>Eat 4 Change</v>
      </c>
      <c r="V1276" s="43" t="str">
        <f>IFERROR(__xludf.DUMMYFUNCTION("""COMPUTED_VALUE"""),"ISTANBUL - BAKIRKOY")</f>
        <v>ISTANBUL - BAKIRKOY</v>
      </c>
      <c r="W1276" s="43" t="str">
        <f>IFERROR(__xludf.DUMMYFUNCTION("""COMPUTED_VALUE"""),"2023-11-26T17:50:40Z")</f>
        <v>2023-11-26T17:50:40Z</v>
      </c>
      <c r="X1276" s="43"/>
      <c r="Y1276" s="43"/>
      <c r="Z1276" s="43"/>
    </row>
    <row r="1277" hidden="1">
      <c r="A1277" s="43" t="str">
        <f>IFERROR(__xludf.DUMMYFUNCTION("""COMPUTED_VALUE"""),"5380404_1301244")</f>
        <v>5380404_1301244</v>
      </c>
      <c r="B1277" s="43" t="str">
        <f>IFERROR(__xludf.DUMMYFUNCTION("""COMPUTED_VALUE"""),"Baki Köse")</f>
        <v>Baki Köse</v>
      </c>
      <c r="C1277" s="43" t="str">
        <f>IFERROR(__xludf.DUMMYFUNCTION("""COMPUTED_VALUE"""),"approved")</f>
        <v>approved</v>
      </c>
      <c r="D1277" s="43" t="str">
        <f>IFERROR(__xludf.DUMMYFUNCTION("""COMPUTED_VALUE"""),"No")</f>
        <v>No</v>
      </c>
      <c r="E1277" s="43" t="str">
        <f>IFERROR(__xludf.DUMMYFUNCTION("""COMPUTED_VALUE"""),"p_f33686f09cea5f9c40a33849c050a64b059fc56c@inbound.aiesec.org")</f>
        <v>p_f33686f09cea5f9c40a33849c050a64b059fc56c@inbound.aiesec.org</v>
      </c>
      <c r="F1277" s="43">
        <f>IFERROR(__xludf.DUMMYFUNCTION("""COMPUTED_VALUE"""),5.55222114E9)</f>
        <v>5552221140</v>
      </c>
      <c r="G1277" s="43" t="str">
        <f>IFERROR(__xludf.DUMMYFUNCTION("""COMPUTED_VALUE"""),"Turkey")</f>
        <v>Turkey</v>
      </c>
      <c r="H1277" s="43" t="str">
        <f>IFERROR(__xludf.DUMMYFUNCTION("""COMPUTED_VALUE"""),"ISTANBUL WEST")</f>
        <v>ISTANBUL WEST</v>
      </c>
      <c r="I1277" s="43" t="str">
        <f>IFERROR(__xludf.DUMMYFUNCTION("""COMPUTED_VALUE"""),"Romania")</f>
        <v>Romania</v>
      </c>
      <c r="J1277" s="43" t="str">
        <f>IFERROR(__xludf.DUMMYFUNCTION("""COMPUTED_VALUE"""),"Craiova")</f>
        <v>Craiova</v>
      </c>
      <c r="K1277" s="44" t="str">
        <f>IFERROR(__xludf.DUMMYFUNCTION("""COMPUTED_VALUE"""),"https://expa.aiesec.org/opportunities/1301244")</f>
        <v>https://expa.aiesec.org/opportunities/1301244</v>
      </c>
      <c r="L1277" s="43" t="str">
        <f>IFERROR(__xludf.DUMMYFUNCTION("""COMPUTED_VALUE"""),"GV")</f>
        <v>GV</v>
      </c>
      <c r="M1277" s="43" t="str">
        <f>IFERROR(__xludf.DUMMYFUNCTION("""COMPUTED_VALUE"""),"short")</f>
        <v>short</v>
      </c>
      <c r="N1277" s="45">
        <f>IFERROR(__xludf.DUMMYFUNCTION("""COMPUTED_VALUE"""),45260.0)</f>
        <v>45260</v>
      </c>
      <c r="O1277" s="45">
        <f>IFERROR(__xludf.DUMMYFUNCTION("""COMPUTED_VALUE"""),45327.0)</f>
        <v>45327</v>
      </c>
      <c r="P1277" s="45">
        <f>IFERROR(__xludf.DUMMYFUNCTION("""COMPUTED_VALUE"""),45369.0)</f>
        <v>45369</v>
      </c>
      <c r="Q1277" s="45"/>
      <c r="R1277" s="45"/>
      <c r="S1277" s="43"/>
      <c r="T1277" s="43"/>
      <c r="U1277" s="43" t="str">
        <f>IFERROR(__xludf.DUMMYFUNCTION("""COMPUTED_VALUE"""),"Eat 4 Change")</f>
        <v>Eat 4 Change</v>
      </c>
      <c r="V1277" s="43" t="str">
        <f>IFERROR(__xludf.DUMMYFUNCTION("""COMPUTED_VALUE"""),"ISTANBUL - BAKIRKOY")</f>
        <v>ISTANBUL - BAKIRKOY</v>
      </c>
      <c r="W1277" s="43" t="str">
        <f>IFERROR(__xludf.DUMMYFUNCTION("""COMPUTED_VALUE"""),"2023-11-26T17:46:57Z")</f>
        <v>2023-11-26T17:46:57Z</v>
      </c>
      <c r="X1277" s="43"/>
      <c r="Y1277" s="43"/>
      <c r="Z1277" s="43"/>
    </row>
    <row r="1278" hidden="1">
      <c r="A1278" s="43" t="str">
        <f>IFERROR(__xludf.DUMMYFUNCTION("""COMPUTED_VALUE"""),"5383222_1299661")</f>
        <v>5383222_1299661</v>
      </c>
      <c r="B1278" s="43" t="str">
        <f>IFERROR(__xludf.DUMMYFUNCTION("""COMPUTED_VALUE"""),"Sibel Battal")</f>
        <v>Sibel Battal</v>
      </c>
      <c r="C1278" s="43" t="str">
        <f>IFERROR(__xludf.DUMMYFUNCTION("""COMPUTED_VALUE"""),"approved")</f>
        <v>approved</v>
      </c>
      <c r="D1278" s="43" t="str">
        <f>IFERROR(__xludf.DUMMYFUNCTION("""COMPUTED_VALUE"""),"No")</f>
        <v>No</v>
      </c>
      <c r="E1278" s="43" t="str">
        <f>IFERROR(__xludf.DUMMYFUNCTION("""COMPUTED_VALUE"""),"p_34d31435c7fb1efadc7e1c005d671b9a8066282e@inbound.aiesec.org")</f>
        <v>p_34d31435c7fb1efadc7e1c005d671b9a8066282e@inbound.aiesec.org</v>
      </c>
      <c r="F1278" s="43">
        <f>IFERROR(__xludf.DUMMYFUNCTION("""COMPUTED_VALUE"""),5.459160131E9)</f>
        <v>5459160131</v>
      </c>
      <c r="G1278" s="43" t="str">
        <f>IFERROR(__xludf.DUMMYFUNCTION("""COMPUTED_VALUE"""),"Turkey")</f>
        <v>Turkey</v>
      </c>
      <c r="H1278" s="43" t="str">
        <f>IFERROR(__xludf.DUMMYFUNCTION("""COMPUTED_VALUE"""),"DENIZLI")</f>
        <v>DENIZLI</v>
      </c>
      <c r="I1278" s="43" t="str">
        <f>IFERROR(__xludf.DUMMYFUNCTION("""COMPUTED_VALUE"""),"Egypt")</f>
        <v>Egypt</v>
      </c>
      <c r="J1278" s="43" t="str">
        <f>IFERROR(__xludf.DUMMYFUNCTION("""COMPUTED_VALUE"""),"Menofia")</f>
        <v>Menofia</v>
      </c>
      <c r="K1278" s="44" t="str">
        <f>IFERROR(__xludf.DUMMYFUNCTION("""COMPUTED_VALUE"""),"https://expa.aiesec.org/opportunities/1299661")</f>
        <v>https://expa.aiesec.org/opportunities/1299661</v>
      </c>
      <c r="L1278" s="43" t="str">
        <f>IFERROR(__xludf.DUMMYFUNCTION("""COMPUTED_VALUE"""),"GV")</f>
        <v>GV</v>
      </c>
      <c r="M1278" s="43" t="str">
        <f>IFERROR(__xludf.DUMMYFUNCTION("""COMPUTED_VALUE"""),"short")</f>
        <v>short</v>
      </c>
      <c r="N1278" s="45">
        <f>IFERROR(__xludf.DUMMYFUNCTION("""COMPUTED_VALUE"""),45260.0)</f>
        <v>45260</v>
      </c>
      <c r="O1278" s="45">
        <f>IFERROR(__xludf.DUMMYFUNCTION("""COMPUTED_VALUE"""),45306.0)</f>
        <v>45306</v>
      </c>
      <c r="P1278" s="45">
        <f>IFERROR(__xludf.DUMMYFUNCTION("""COMPUTED_VALUE"""),45348.0)</f>
        <v>45348</v>
      </c>
      <c r="Q1278" s="45"/>
      <c r="R1278" s="45"/>
      <c r="S1278" s="43"/>
      <c r="T1278" s="43"/>
      <c r="U1278" s="43" t="str">
        <f>IFERROR(__xludf.DUMMYFUNCTION("""COMPUTED_VALUE"""),"On The Map")</f>
        <v>On The Map</v>
      </c>
      <c r="V1278" s="43" t="str">
        <f>IFERROR(__xludf.DUMMYFUNCTION("""COMPUTED_VALUE"""),"SAKARYA")</f>
        <v>SAKARYA</v>
      </c>
      <c r="W1278" s="43" t="str">
        <f>IFERROR(__xludf.DUMMYFUNCTION("""COMPUTED_VALUE"""),"2023-11-30T15:03:22Z")</f>
        <v>2023-11-30T15:03:22Z</v>
      </c>
      <c r="X1278" s="43"/>
      <c r="Y1278" s="43"/>
      <c r="Z1278" s="43"/>
    </row>
    <row r="1279" hidden="1">
      <c r="A1279" s="43" t="str">
        <f>IFERROR(__xludf.DUMMYFUNCTION("""COMPUTED_VALUE"""),"5383337_1293463")</f>
        <v>5383337_1293463</v>
      </c>
      <c r="B1279" s="43" t="str">
        <f>IFERROR(__xludf.DUMMYFUNCTION("""COMPUTED_VALUE"""),"Ulrich Donve Tiamgne")</f>
        <v>Ulrich Donve Tiamgne</v>
      </c>
      <c r="C1279" s="43" t="str">
        <f>IFERROR(__xludf.DUMMYFUNCTION("""COMPUTED_VALUE"""),"approved")</f>
        <v>approved</v>
      </c>
      <c r="D1279" s="43" t="str">
        <f>IFERROR(__xludf.DUMMYFUNCTION("""COMPUTED_VALUE"""),"No")</f>
        <v>No</v>
      </c>
      <c r="E1279" s="43" t="str">
        <f>IFERROR(__xludf.DUMMYFUNCTION("""COMPUTED_VALUE"""),"p_88df8c8982af030793ee1476e18fd042030a6000@inbound.aiesec.org")</f>
        <v>p_88df8c8982af030793ee1476e18fd042030a6000@inbound.aiesec.org</v>
      </c>
      <c r="F1279" s="43">
        <f>IFERROR(__xludf.DUMMYFUNCTION("""COMPUTED_VALUE"""),5.35763138E9)</f>
        <v>5357631380</v>
      </c>
      <c r="G1279" s="43" t="str">
        <f>IFERROR(__xludf.DUMMYFUNCTION("""COMPUTED_VALUE"""),"Turkey")</f>
        <v>Turkey</v>
      </c>
      <c r="H1279" s="43" t="str">
        <f>IFERROR(__xludf.DUMMYFUNCTION("""COMPUTED_VALUE"""),"ISTANBUL WEST")</f>
        <v>ISTANBUL WEST</v>
      </c>
      <c r="I1279" s="43" t="str">
        <f>IFERROR(__xludf.DUMMYFUNCTION("""COMPUTED_VALUE"""),"Egypt")</f>
        <v>Egypt</v>
      </c>
      <c r="J1279" s="43" t="str">
        <f>IFERROR(__xludf.DUMMYFUNCTION("""COMPUTED_VALUE"""),"Tanta")</f>
        <v>Tanta</v>
      </c>
      <c r="K1279" s="44" t="str">
        <f>IFERROR(__xludf.DUMMYFUNCTION("""COMPUTED_VALUE"""),"https://expa.aiesec.org/opportunities/1293463")</f>
        <v>https://expa.aiesec.org/opportunities/1293463</v>
      </c>
      <c r="L1279" s="43" t="str">
        <f>IFERROR(__xludf.DUMMYFUNCTION("""COMPUTED_VALUE"""),"GV")</f>
        <v>GV</v>
      </c>
      <c r="M1279" s="43" t="str">
        <f>IFERROR(__xludf.DUMMYFUNCTION("""COMPUTED_VALUE"""),"short")</f>
        <v>short</v>
      </c>
      <c r="N1279" s="45">
        <f>IFERROR(__xludf.DUMMYFUNCTION("""COMPUTED_VALUE"""),45260.0)</f>
        <v>45260</v>
      </c>
      <c r="O1279" s="45">
        <f>IFERROR(__xludf.DUMMYFUNCTION("""COMPUTED_VALUE"""),45474.0)</f>
        <v>45474</v>
      </c>
      <c r="P1279" s="45">
        <f>IFERROR(__xludf.DUMMYFUNCTION("""COMPUTED_VALUE"""),45516.0)</f>
        <v>45516</v>
      </c>
      <c r="Q1279" s="45"/>
      <c r="R1279" s="45"/>
      <c r="S1279" s="43"/>
      <c r="T1279" s="43"/>
      <c r="U1279" s="43" t="str">
        <f>IFERROR(__xludf.DUMMYFUNCTION("""COMPUTED_VALUE"""),"Green Leaders")</f>
        <v>Green Leaders</v>
      </c>
      <c r="V1279" s="43" t="str">
        <f>IFERROR(__xludf.DUMMYFUNCTION("""COMPUTED_VALUE"""),"ISTANBUL - BAKIRKOY")</f>
        <v>ISTANBUL - BAKIRKOY</v>
      </c>
      <c r="W1279" s="43" t="str">
        <f>IFERROR(__xludf.DUMMYFUNCTION("""COMPUTED_VALUE"""),"2023-11-30T16:45:07Z")</f>
        <v>2023-11-30T16:45:07Z</v>
      </c>
      <c r="X1279" s="43"/>
      <c r="Y1279" s="43"/>
      <c r="Z1279" s="43"/>
    </row>
    <row r="1280" hidden="1">
      <c r="A1280" s="43" t="str">
        <f>IFERROR(__xludf.DUMMYFUNCTION("""COMPUTED_VALUE"""),"5383242_1288609")</f>
        <v>5383242_1288609</v>
      </c>
      <c r="B1280" s="43" t="str">
        <f>IFERROR(__xludf.DUMMYFUNCTION("""COMPUTED_VALUE"""),"Yagmur Gungor")</f>
        <v>Yagmur Gungor</v>
      </c>
      <c r="C1280" s="43" t="str">
        <f>IFERROR(__xludf.DUMMYFUNCTION("""COMPUTED_VALUE"""),"approved")</f>
        <v>approved</v>
      </c>
      <c r="D1280" s="43" t="str">
        <f>IFERROR(__xludf.DUMMYFUNCTION("""COMPUTED_VALUE"""),"No")</f>
        <v>No</v>
      </c>
      <c r="E1280" s="43" t="str">
        <f>IFERROR(__xludf.DUMMYFUNCTION("""COMPUTED_VALUE"""),"p_1046b3b4a3b88c04b40ed6b16585759d2d2bead1@inbound.aiesec.org")</f>
        <v>p_1046b3b4a3b88c04b40ed6b16585759d2d2bead1@inbound.aiesec.org</v>
      </c>
      <c r="F1280" s="43">
        <f>IFERROR(__xludf.DUMMYFUNCTION("""COMPUTED_VALUE"""),5.512347878E9)</f>
        <v>5512347878</v>
      </c>
      <c r="G1280" s="43" t="str">
        <f>IFERROR(__xludf.DUMMYFUNCTION("""COMPUTED_VALUE"""),"Turkey")</f>
        <v>Turkey</v>
      </c>
      <c r="H1280" s="43" t="str">
        <f>IFERROR(__xludf.DUMMYFUNCTION("""COMPUTED_VALUE"""),"ISTANBUL WEST")</f>
        <v>ISTANBUL WEST</v>
      </c>
      <c r="I1280" s="43" t="str">
        <f>IFERROR(__xludf.DUMMYFUNCTION("""COMPUTED_VALUE"""),"Egypt")</f>
        <v>Egypt</v>
      </c>
      <c r="J1280" s="43" t="str">
        <f>IFERROR(__xludf.DUMMYFUNCTION("""COMPUTED_VALUE"""),"Tanta")</f>
        <v>Tanta</v>
      </c>
      <c r="K1280" s="44" t="str">
        <f>IFERROR(__xludf.DUMMYFUNCTION("""COMPUTED_VALUE"""),"https://expa.aiesec.org/opportunities/1288609")</f>
        <v>https://expa.aiesec.org/opportunities/1288609</v>
      </c>
      <c r="L1280" s="43" t="str">
        <f>IFERROR(__xludf.DUMMYFUNCTION("""COMPUTED_VALUE"""),"GV")</f>
        <v>GV</v>
      </c>
      <c r="M1280" s="43" t="str">
        <f>IFERROR(__xludf.DUMMYFUNCTION("""COMPUTED_VALUE"""),"short")</f>
        <v>short</v>
      </c>
      <c r="N1280" s="45">
        <f>IFERROR(__xludf.DUMMYFUNCTION("""COMPUTED_VALUE"""),45260.0)</f>
        <v>45260</v>
      </c>
      <c r="O1280" s="45">
        <f>IFERROR(__xludf.DUMMYFUNCTION("""COMPUTED_VALUE"""),45292.0)</f>
        <v>45292</v>
      </c>
      <c r="P1280" s="45">
        <f>IFERROR(__xludf.DUMMYFUNCTION("""COMPUTED_VALUE"""),45334.0)</f>
        <v>45334</v>
      </c>
      <c r="Q1280" s="45"/>
      <c r="R1280" s="45"/>
      <c r="S1280" s="43"/>
      <c r="T1280" s="43"/>
      <c r="U1280" s="43" t="str">
        <f>IFERROR(__xludf.DUMMYFUNCTION("""COMPUTED_VALUE"""),"On The Map")</f>
        <v>On The Map</v>
      </c>
      <c r="V1280" s="43" t="str">
        <f>IFERROR(__xludf.DUMMYFUNCTION("""COMPUTED_VALUE"""),"ISTANBUL - BAKIRKOY")</f>
        <v>ISTANBUL - BAKIRKOY</v>
      </c>
      <c r="W1280" s="43" t="str">
        <f>IFERROR(__xludf.DUMMYFUNCTION("""COMPUTED_VALUE"""),"2023-11-30T15:37:58Z")</f>
        <v>2023-11-30T15:37:58Z</v>
      </c>
      <c r="X1280" s="43"/>
      <c r="Y1280" s="43"/>
      <c r="Z1280" s="43"/>
    </row>
    <row r="1281" hidden="1">
      <c r="A1281" s="43" t="str">
        <f>IFERROR(__xludf.DUMMYFUNCTION("""COMPUTED_VALUE"""),"5311067_1288609")</f>
        <v>5311067_1288609</v>
      </c>
      <c r="B1281" s="43" t="str">
        <f>IFERROR(__xludf.DUMMYFUNCTION("""COMPUTED_VALUE"""),"Doğukan Atalayın")</f>
        <v>Doğukan Atalayın</v>
      </c>
      <c r="C1281" s="43" t="str">
        <f>IFERROR(__xludf.DUMMYFUNCTION("""COMPUTED_VALUE"""),"approved")</f>
        <v>approved</v>
      </c>
      <c r="D1281" s="43" t="str">
        <f>IFERROR(__xludf.DUMMYFUNCTION("""COMPUTED_VALUE"""),"No")</f>
        <v>No</v>
      </c>
      <c r="E1281" s="43" t="str">
        <f>IFERROR(__xludf.DUMMYFUNCTION("""COMPUTED_VALUE"""),"p_03624bae06d5693a7e3016f0100bacab35fff98c@inbound.aiesec.org")</f>
        <v>p_03624bae06d5693a7e3016f0100bacab35fff98c@inbound.aiesec.org</v>
      </c>
      <c r="F1281" s="43">
        <f>IFERROR(__xludf.DUMMYFUNCTION("""COMPUTED_VALUE"""),5.528507536E9)</f>
        <v>5528507536</v>
      </c>
      <c r="G1281" s="43" t="str">
        <f>IFERROR(__xludf.DUMMYFUNCTION("""COMPUTED_VALUE"""),"Turkey")</f>
        <v>Turkey</v>
      </c>
      <c r="H1281" s="43" t="str">
        <f>IFERROR(__xludf.DUMMYFUNCTION("""COMPUTED_VALUE"""),"ISTANBUL WEST")</f>
        <v>ISTANBUL WEST</v>
      </c>
      <c r="I1281" s="43" t="str">
        <f>IFERROR(__xludf.DUMMYFUNCTION("""COMPUTED_VALUE"""),"Egypt")</f>
        <v>Egypt</v>
      </c>
      <c r="J1281" s="43" t="str">
        <f>IFERROR(__xludf.DUMMYFUNCTION("""COMPUTED_VALUE"""),"Tanta")</f>
        <v>Tanta</v>
      </c>
      <c r="K1281" s="44" t="str">
        <f>IFERROR(__xludf.DUMMYFUNCTION("""COMPUTED_VALUE"""),"https://expa.aiesec.org/opportunities/1288609")</f>
        <v>https://expa.aiesec.org/opportunities/1288609</v>
      </c>
      <c r="L1281" s="43" t="str">
        <f>IFERROR(__xludf.DUMMYFUNCTION("""COMPUTED_VALUE"""),"GV")</f>
        <v>GV</v>
      </c>
      <c r="M1281" s="43" t="str">
        <f>IFERROR(__xludf.DUMMYFUNCTION("""COMPUTED_VALUE"""),"short")</f>
        <v>short</v>
      </c>
      <c r="N1281" s="45">
        <f>IFERROR(__xludf.DUMMYFUNCTION("""COMPUTED_VALUE"""),45260.0)</f>
        <v>45260</v>
      </c>
      <c r="O1281" s="45">
        <f>IFERROR(__xludf.DUMMYFUNCTION("""COMPUTED_VALUE"""),45474.0)</f>
        <v>45474</v>
      </c>
      <c r="P1281" s="45">
        <f>IFERROR(__xludf.DUMMYFUNCTION("""COMPUTED_VALUE"""),45516.0)</f>
        <v>45516</v>
      </c>
      <c r="Q1281" s="45"/>
      <c r="R1281" s="45"/>
      <c r="S1281" s="43"/>
      <c r="T1281" s="43"/>
      <c r="U1281" s="43" t="str">
        <f>IFERROR(__xludf.DUMMYFUNCTION("""COMPUTED_VALUE"""),"On The Map")</f>
        <v>On The Map</v>
      </c>
      <c r="V1281" s="43" t="str">
        <f>IFERROR(__xludf.DUMMYFUNCTION("""COMPUTED_VALUE"""),"ISTANBUL - BAKIRKOY")</f>
        <v>ISTANBUL - BAKIRKOY</v>
      </c>
      <c r="W1281" s="43" t="str">
        <f>IFERROR(__xludf.DUMMYFUNCTION("""COMPUTED_VALUE"""),"2023-08-27T19:37:01Z")</f>
        <v>2023-08-27T19:37:01Z</v>
      </c>
      <c r="X1281" s="43"/>
      <c r="Y1281" s="43"/>
      <c r="Z1281" s="43"/>
    </row>
    <row r="1282" hidden="1">
      <c r="A1282" s="43" t="str">
        <f>IFERROR(__xludf.DUMMYFUNCTION("""COMPUTED_VALUE"""),"5383133_1296885")</f>
        <v>5383133_1296885</v>
      </c>
      <c r="B1282" s="43" t="str">
        <f>IFERROR(__xludf.DUMMYFUNCTION("""COMPUTED_VALUE"""),"Abdurrahman Durmuş")</f>
        <v>Abdurrahman Durmuş</v>
      </c>
      <c r="C1282" s="43" t="str">
        <f>IFERROR(__xludf.DUMMYFUNCTION("""COMPUTED_VALUE"""),"approved")</f>
        <v>approved</v>
      </c>
      <c r="D1282" s="43" t="str">
        <f>IFERROR(__xludf.DUMMYFUNCTION("""COMPUTED_VALUE"""),"No")</f>
        <v>No</v>
      </c>
      <c r="E1282" s="43" t="str">
        <f>IFERROR(__xludf.DUMMYFUNCTION("""COMPUTED_VALUE"""),"p_0f44c1f5e04d03aa1b25136e0fb6dc979df77b89@inbound.aiesec.org")</f>
        <v>p_0f44c1f5e04d03aa1b25136e0fb6dc979df77b89@inbound.aiesec.org</v>
      </c>
      <c r="F1282" s="43">
        <f>IFERROR(__xludf.DUMMYFUNCTION("""COMPUTED_VALUE"""),5.370152079E9)</f>
        <v>5370152079</v>
      </c>
      <c r="G1282" s="43" t="str">
        <f>IFERROR(__xludf.DUMMYFUNCTION("""COMPUTED_VALUE"""),"Turkey")</f>
        <v>Turkey</v>
      </c>
      <c r="H1282" s="43" t="str">
        <f>IFERROR(__xludf.DUMMYFUNCTION("""COMPUTED_VALUE"""),"ANTALYA")</f>
        <v>ANTALYA</v>
      </c>
      <c r="I1282" s="43" t="str">
        <f>IFERROR(__xludf.DUMMYFUNCTION("""COMPUTED_VALUE"""),"India")</f>
        <v>India</v>
      </c>
      <c r="J1282" s="43" t="str">
        <f>IFERROR(__xludf.DUMMYFUNCTION("""COMPUTED_VALUE"""),"Delhi IIT")</f>
        <v>Delhi IIT</v>
      </c>
      <c r="K1282" s="44" t="str">
        <f>IFERROR(__xludf.DUMMYFUNCTION("""COMPUTED_VALUE"""),"https://expa.aiesec.org/opportunities/1296885")</f>
        <v>https://expa.aiesec.org/opportunities/1296885</v>
      </c>
      <c r="L1282" s="43" t="str">
        <f>IFERROR(__xludf.DUMMYFUNCTION("""COMPUTED_VALUE"""),"GV")</f>
        <v>GV</v>
      </c>
      <c r="M1282" s="43" t="str">
        <f>IFERROR(__xludf.DUMMYFUNCTION("""COMPUTED_VALUE"""),"short")</f>
        <v>short</v>
      </c>
      <c r="N1282" s="45">
        <f>IFERROR(__xludf.DUMMYFUNCTION("""COMPUTED_VALUE"""),45260.0)</f>
        <v>45260</v>
      </c>
      <c r="O1282" s="45">
        <f>IFERROR(__xludf.DUMMYFUNCTION("""COMPUTED_VALUE"""),45478.0)</f>
        <v>45478</v>
      </c>
      <c r="P1282" s="45">
        <f>IFERROR(__xludf.DUMMYFUNCTION("""COMPUTED_VALUE"""),45524.0)</f>
        <v>45524</v>
      </c>
      <c r="Q1282" s="45"/>
      <c r="R1282" s="45"/>
      <c r="S1282" s="43"/>
      <c r="T1282" s="43"/>
      <c r="U1282" s="43" t="str">
        <f>IFERROR(__xludf.DUMMYFUNCTION("""COMPUTED_VALUE"""),"On The Map")</f>
        <v>On The Map</v>
      </c>
      <c r="V1282" s="43" t="str">
        <f>IFERROR(__xludf.DUMMYFUNCTION("""COMPUTED_VALUE"""),"ANTALYA")</f>
        <v>ANTALYA</v>
      </c>
      <c r="W1282" s="43" t="str">
        <f>IFERROR(__xludf.DUMMYFUNCTION("""COMPUTED_VALUE"""),"2023-11-30T12:53:45Z")</f>
        <v>2023-11-30T12:53:45Z</v>
      </c>
      <c r="X1282" s="43"/>
      <c r="Y1282" s="43"/>
      <c r="Z1282" s="43"/>
    </row>
    <row r="1283" hidden="1">
      <c r="A1283" s="43" t="str">
        <f>IFERROR(__xludf.DUMMYFUNCTION("""COMPUTED_VALUE"""),"5382924_1288609")</f>
        <v>5382924_1288609</v>
      </c>
      <c r="B1283" s="43" t="str">
        <f>IFERROR(__xludf.DUMMYFUNCTION("""COMPUTED_VALUE"""),"Emine Salman")</f>
        <v>Emine Salman</v>
      </c>
      <c r="C1283" s="43" t="str">
        <f>IFERROR(__xludf.DUMMYFUNCTION("""COMPUTED_VALUE"""),"approved")</f>
        <v>approved</v>
      </c>
      <c r="D1283" s="43" t="str">
        <f>IFERROR(__xludf.DUMMYFUNCTION("""COMPUTED_VALUE"""),"No")</f>
        <v>No</v>
      </c>
      <c r="E1283" s="43" t="str">
        <f>IFERROR(__xludf.DUMMYFUNCTION("""COMPUTED_VALUE"""),"p_4a8d24820751d782176bc0521e7e7a2f3d4b77fa@inbound.aiesec.org")</f>
        <v>p_4a8d24820751d782176bc0521e7e7a2f3d4b77fa@inbound.aiesec.org</v>
      </c>
      <c r="F1283" s="43">
        <f>IFERROR(__xludf.DUMMYFUNCTION("""COMPUTED_VALUE"""),5.462786904E9)</f>
        <v>5462786904</v>
      </c>
      <c r="G1283" s="43" t="str">
        <f>IFERROR(__xludf.DUMMYFUNCTION("""COMPUTED_VALUE"""),"Turkey")</f>
        <v>Turkey</v>
      </c>
      <c r="H1283" s="43" t="str">
        <f>IFERROR(__xludf.DUMMYFUNCTION("""COMPUTED_VALUE"""),"ISTANBUL WEST")</f>
        <v>ISTANBUL WEST</v>
      </c>
      <c r="I1283" s="43" t="str">
        <f>IFERROR(__xludf.DUMMYFUNCTION("""COMPUTED_VALUE"""),"Egypt")</f>
        <v>Egypt</v>
      </c>
      <c r="J1283" s="43" t="str">
        <f>IFERROR(__xludf.DUMMYFUNCTION("""COMPUTED_VALUE"""),"Tanta")</f>
        <v>Tanta</v>
      </c>
      <c r="K1283" s="44" t="str">
        <f>IFERROR(__xludf.DUMMYFUNCTION("""COMPUTED_VALUE"""),"https://expa.aiesec.org/opportunities/1288609")</f>
        <v>https://expa.aiesec.org/opportunities/1288609</v>
      </c>
      <c r="L1283" s="43" t="str">
        <f>IFERROR(__xludf.DUMMYFUNCTION("""COMPUTED_VALUE"""),"GV")</f>
        <v>GV</v>
      </c>
      <c r="M1283" s="43" t="str">
        <f>IFERROR(__xludf.DUMMYFUNCTION("""COMPUTED_VALUE"""),"short")</f>
        <v>short</v>
      </c>
      <c r="N1283" s="45">
        <f>IFERROR(__xludf.DUMMYFUNCTION("""COMPUTED_VALUE"""),45260.0)</f>
        <v>45260</v>
      </c>
      <c r="O1283" s="45">
        <f>IFERROR(__xludf.DUMMYFUNCTION("""COMPUTED_VALUE"""),45292.0)</f>
        <v>45292</v>
      </c>
      <c r="P1283" s="45">
        <f>IFERROR(__xludf.DUMMYFUNCTION("""COMPUTED_VALUE"""),45334.0)</f>
        <v>45334</v>
      </c>
      <c r="Q1283" s="45"/>
      <c r="R1283" s="45"/>
      <c r="S1283" s="43"/>
      <c r="T1283" s="43"/>
      <c r="U1283" s="43" t="str">
        <f>IFERROR(__xludf.DUMMYFUNCTION("""COMPUTED_VALUE"""),"On The Map")</f>
        <v>On The Map</v>
      </c>
      <c r="V1283" s="43" t="str">
        <f>IFERROR(__xludf.DUMMYFUNCTION("""COMPUTED_VALUE"""),"ISTANBUL - BAKIRKOY")</f>
        <v>ISTANBUL - BAKIRKOY</v>
      </c>
      <c r="W1283" s="43" t="str">
        <f>IFERROR(__xludf.DUMMYFUNCTION("""COMPUTED_VALUE"""),"2023-11-30T06:38:58Z")</f>
        <v>2023-11-30T06:38:58Z</v>
      </c>
      <c r="X1283" s="43"/>
      <c r="Y1283" s="43"/>
      <c r="Z1283" s="43"/>
    </row>
    <row r="1284" hidden="1">
      <c r="A1284" s="43" t="str">
        <f>IFERROR(__xludf.DUMMYFUNCTION("""COMPUTED_VALUE"""),"5382920_1288609")</f>
        <v>5382920_1288609</v>
      </c>
      <c r="B1284" s="43" t="str">
        <f>IFERROR(__xludf.DUMMYFUNCTION("""COMPUTED_VALUE"""),"Aysegul Tanrıkulu")</f>
        <v>Aysegul Tanrıkulu</v>
      </c>
      <c r="C1284" s="43" t="str">
        <f>IFERROR(__xludf.DUMMYFUNCTION("""COMPUTED_VALUE"""),"approved")</f>
        <v>approved</v>
      </c>
      <c r="D1284" s="43" t="str">
        <f>IFERROR(__xludf.DUMMYFUNCTION("""COMPUTED_VALUE"""),"No")</f>
        <v>No</v>
      </c>
      <c r="E1284" s="43" t="str">
        <f>IFERROR(__xludf.DUMMYFUNCTION("""COMPUTED_VALUE"""),"p_b65ae5dddcf62e7f6c7c120e698b99e7ae29232b@inbound.aiesec.org")</f>
        <v>p_b65ae5dddcf62e7f6c7c120e698b99e7ae29232b@inbound.aiesec.org</v>
      </c>
      <c r="F1284" s="43">
        <f>IFERROR(__xludf.DUMMYFUNCTION("""COMPUTED_VALUE"""),5.309674709E9)</f>
        <v>5309674709</v>
      </c>
      <c r="G1284" s="43" t="str">
        <f>IFERROR(__xludf.DUMMYFUNCTION("""COMPUTED_VALUE"""),"Turkey")</f>
        <v>Turkey</v>
      </c>
      <c r="H1284" s="43" t="str">
        <f>IFERROR(__xludf.DUMMYFUNCTION("""COMPUTED_VALUE"""),"ISTANBUL WEST")</f>
        <v>ISTANBUL WEST</v>
      </c>
      <c r="I1284" s="43" t="str">
        <f>IFERROR(__xludf.DUMMYFUNCTION("""COMPUTED_VALUE"""),"Egypt")</f>
        <v>Egypt</v>
      </c>
      <c r="J1284" s="43" t="str">
        <f>IFERROR(__xludf.DUMMYFUNCTION("""COMPUTED_VALUE"""),"Tanta")</f>
        <v>Tanta</v>
      </c>
      <c r="K1284" s="44" t="str">
        <f>IFERROR(__xludf.DUMMYFUNCTION("""COMPUTED_VALUE"""),"https://expa.aiesec.org/opportunities/1288609")</f>
        <v>https://expa.aiesec.org/opportunities/1288609</v>
      </c>
      <c r="L1284" s="43" t="str">
        <f>IFERROR(__xludf.DUMMYFUNCTION("""COMPUTED_VALUE"""),"GV")</f>
        <v>GV</v>
      </c>
      <c r="M1284" s="43" t="str">
        <f>IFERROR(__xludf.DUMMYFUNCTION("""COMPUTED_VALUE"""),"short")</f>
        <v>short</v>
      </c>
      <c r="N1284" s="45">
        <f>IFERROR(__xludf.DUMMYFUNCTION("""COMPUTED_VALUE"""),45260.0)</f>
        <v>45260</v>
      </c>
      <c r="O1284" s="45">
        <f>IFERROR(__xludf.DUMMYFUNCTION("""COMPUTED_VALUE"""),45474.0)</f>
        <v>45474</v>
      </c>
      <c r="P1284" s="45">
        <f>IFERROR(__xludf.DUMMYFUNCTION("""COMPUTED_VALUE"""),45516.0)</f>
        <v>45516</v>
      </c>
      <c r="Q1284" s="45"/>
      <c r="R1284" s="45"/>
      <c r="S1284" s="43"/>
      <c r="T1284" s="43"/>
      <c r="U1284" s="43" t="str">
        <f>IFERROR(__xludf.DUMMYFUNCTION("""COMPUTED_VALUE"""),"On The Map")</f>
        <v>On The Map</v>
      </c>
      <c r="V1284" s="43" t="str">
        <f>IFERROR(__xludf.DUMMYFUNCTION("""COMPUTED_VALUE"""),"ISTANBUL - BAKIRKOY")</f>
        <v>ISTANBUL - BAKIRKOY</v>
      </c>
      <c r="W1284" s="43" t="str">
        <f>IFERROR(__xludf.DUMMYFUNCTION("""COMPUTED_VALUE"""),"2023-11-30T06:27:22Z")</f>
        <v>2023-11-30T06:27:22Z</v>
      </c>
      <c r="X1284" s="43"/>
      <c r="Y1284" s="43"/>
      <c r="Z1284" s="43"/>
    </row>
    <row r="1285" hidden="1">
      <c r="A1285" s="43" t="str">
        <f>IFERROR(__xludf.DUMMYFUNCTION("""COMPUTED_VALUE"""),"5382474_1293463")</f>
        <v>5382474_1293463</v>
      </c>
      <c r="B1285" s="43" t="str">
        <f>IFERROR(__xludf.DUMMYFUNCTION("""COMPUTED_VALUE"""),"Onur Yurtsever")</f>
        <v>Onur Yurtsever</v>
      </c>
      <c r="C1285" s="43" t="str">
        <f>IFERROR(__xludf.DUMMYFUNCTION("""COMPUTED_VALUE"""),"approved")</f>
        <v>approved</v>
      </c>
      <c r="D1285" s="43" t="str">
        <f>IFERROR(__xludf.DUMMYFUNCTION("""COMPUTED_VALUE"""),"No")</f>
        <v>No</v>
      </c>
      <c r="E1285" s="43" t="str">
        <f>IFERROR(__xludf.DUMMYFUNCTION("""COMPUTED_VALUE"""),"p_5e8052662dc0103f3a1f109ac0be67fee5c027c0@inbound.aiesec.org")</f>
        <v>p_5e8052662dc0103f3a1f109ac0be67fee5c027c0@inbound.aiesec.org</v>
      </c>
      <c r="F1285" s="43">
        <f>IFERROR(__xludf.DUMMYFUNCTION("""COMPUTED_VALUE"""),5.05368898E9)</f>
        <v>5053688980</v>
      </c>
      <c r="G1285" s="43" t="str">
        <f>IFERROR(__xludf.DUMMYFUNCTION("""COMPUTED_VALUE"""),"Turkey")</f>
        <v>Turkey</v>
      </c>
      <c r="H1285" s="43" t="str">
        <f>IFERROR(__xludf.DUMMYFUNCTION("""COMPUTED_VALUE"""),"ISTANBUL WEST")</f>
        <v>ISTANBUL WEST</v>
      </c>
      <c r="I1285" s="43" t="str">
        <f>IFERROR(__xludf.DUMMYFUNCTION("""COMPUTED_VALUE"""),"Egypt")</f>
        <v>Egypt</v>
      </c>
      <c r="J1285" s="43" t="str">
        <f>IFERROR(__xludf.DUMMYFUNCTION("""COMPUTED_VALUE"""),"Tanta")</f>
        <v>Tanta</v>
      </c>
      <c r="K1285" s="44" t="str">
        <f>IFERROR(__xludf.DUMMYFUNCTION("""COMPUTED_VALUE"""),"https://expa.aiesec.org/opportunities/1293463")</f>
        <v>https://expa.aiesec.org/opportunities/1293463</v>
      </c>
      <c r="L1285" s="43" t="str">
        <f>IFERROR(__xludf.DUMMYFUNCTION("""COMPUTED_VALUE"""),"GV")</f>
        <v>GV</v>
      </c>
      <c r="M1285" s="43" t="str">
        <f>IFERROR(__xludf.DUMMYFUNCTION("""COMPUTED_VALUE"""),"short")</f>
        <v>short</v>
      </c>
      <c r="N1285" s="45">
        <f>IFERROR(__xludf.DUMMYFUNCTION("""COMPUTED_VALUE"""),45260.0)</f>
        <v>45260</v>
      </c>
      <c r="O1285" s="45">
        <f>IFERROR(__xludf.DUMMYFUNCTION("""COMPUTED_VALUE"""),45474.0)</f>
        <v>45474</v>
      </c>
      <c r="P1285" s="45">
        <f>IFERROR(__xludf.DUMMYFUNCTION("""COMPUTED_VALUE"""),45516.0)</f>
        <v>45516</v>
      </c>
      <c r="Q1285" s="45"/>
      <c r="R1285" s="45"/>
      <c r="S1285" s="43"/>
      <c r="T1285" s="43"/>
      <c r="U1285" s="43" t="str">
        <f>IFERROR(__xludf.DUMMYFUNCTION("""COMPUTED_VALUE"""),"Green Leaders")</f>
        <v>Green Leaders</v>
      </c>
      <c r="V1285" s="43" t="str">
        <f>IFERROR(__xludf.DUMMYFUNCTION("""COMPUTED_VALUE"""),"ISTANBUL - BAKIRKOY")</f>
        <v>ISTANBUL - BAKIRKOY</v>
      </c>
      <c r="W1285" s="43" t="str">
        <f>IFERROR(__xludf.DUMMYFUNCTION("""COMPUTED_VALUE"""),"2023-11-29T13:34:50Z")</f>
        <v>2023-11-29T13:34:50Z</v>
      </c>
      <c r="X1285" s="43"/>
      <c r="Y1285" s="43"/>
      <c r="Z1285" s="43"/>
    </row>
    <row r="1286" hidden="1">
      <c r="A1286" s="43" t="str">
        <f>IFERROR(__xludf.DUMMYFUNCTION("""COMPUTED_VALUE"""),"5383475_1299332")</f>
        <v>5383475_1299332</v>
      </c>
      <c r="B1286" s="43" t="str">
        <f>IFERROR(__xludf.DUMMYFUNCTION("""COMPUTED_VALUE"""),"MELIKE AKAY")</f>
        <v>MELIKE AKAY</v>
      </c>
      <c r="C1286" s="43" t="str">
        <f>IFERROR(__xludf.DUMMYFUNCTION("""COMPUTED_VALUE"""),"approved")</f>
        <v>approved</v>
      </c>
      <c r="D1286" s="43" t="str">
        <f>IFERROR(__xludf.DUMMYFUNCTION("""COMPUTED_VALUE"""),"No")</f>
        <v>No</v>
      </c>
      <c r="E1286" s="43" t="str">
        <f>IFERROR(__xludf.DUMMYFUNCTION("""COMPUTED_VALUE"""),"p_a04974f02a7618e62614c5425d22bb18307ad858@inbound.aiesec.org")</f>
        <v>p_a04974f02a7618e62614c5425d22bb18307ad858@inbound.aiesec.org</v>
      </c>
      <c r="F1286" s="43"/>
      <c r="G1286" s="43" t="str">
        <f>IFERROR(__xludf.DUMMYFUNCTION("""COMPUTED_VALUE"""),"Turkey")</f>
        <v>Turkey</v>
      </c>
      <c r="H1286" s="43" t="str">
        <f>IFERROR(__xludf.DUMMYFUNCTION("""COMPUTED_VALUE"""),"BURSA")</f>
        <v>BURSA</v>
      </c>
      <c r="I1286" s="43" t="str">
        <f>IFERROR(__xludf.DUMMYFUNCTION("""COMPUTED_VALUE"""),"Tunisia")</f>
        <v>Tunisia</v>
      </c>
      <c r="J1286" s="43" t="str">
        <f>IFERROR(__xludf.DUMMYFUNCTION("""COMPUTED_VALUE"""),"SFAX")</f>
        <v>SFAX</v>
      </c>
      <c r="K1286" s="44" t="str">
        <f>IFERROR(__xludf.DUMMYFUNCTION("""COMPUTED_VALUE"""),"https://expa.aiesec.org/opportunities/1299332")</f>
        <v>https://expa.aiesec.org/opportunities/1299332</v>
      </c>
      <c r="L1286" s="43" t="str">
        <f>IFERROR(__xludf.DUMMYFUNCTION("""COMPUTED_VALUE"""),"GV")</f>
        <v>GV</v>
      </c>
      <c r="M1286" s="43" t="str">
        <f>IFERROR(__xludf.DUMMYFUNCTION("""COMPUTED_VALUE"""),"short")</f>
        <v>short</v>
      </c>
      <c r="N1286" s="45">
        <f>IFERROR(__xludf.DUMMYFUNCTION("""COMPUTED_VALUE"""),45260.0)</f>
        <v>45260</v>
      </c>
      <c r="O1286" s="45">
        <f>IFERROR(__xludf.DUMMYFUNCTION("""COMPUTED_VALUE"""),45473.0)</f>
        <v>45473</v>
      </c>
      <c r="P1286" s="45">
        <f>IFERROR(__xludf.DUMMYFUNCTION("""COMPUTED_VALUE"""),45515.0)</f>
        <v>45515</v>
      </c>
      <c r="Q1286" s="45"/>
      <c r="R1286" s="45"/>
      <c r="S1286" s="43"/>
      <c r="T1286" s="43"/>
      <c r="U1286" s="43" t="str">
        <f>IFERROR(__xludf.DUMMYFUNCTION("""COMPUTED_VALUE"""),"Scale Up!")</f>
        <v>Scale Up!</v>
      </c>
      <c r="V1286" s="43" t="str">
        <f>IFERROR(__xludf.DUMMYFUNCTION("""COMPUTED_VALUE"""),"-")</f>
        <v>-</v>
      </c>
      <c r="W1286" s="43" t="str">
        <f>IFERROR(__xludf.DUMMYFUNCTION("""COMPUTED_VALUE"""),"2023-11-30T19:59:15Z")</f>
        <v>2023-11-30T19:59:15Z</v>
      </c>
      <c r="X1286" s="43"/>
      <c r="Y1286" s="43"/>
      <c r="Z1286" s="43"/>
    </row>
    <row r="1287" hidden="1">
      <c r="A1287" s="43" t="str">
        <f>IFERROR(__xludf.DUMMYFUNCTION("""COMPUTED_VALUE"""),"5383418_1300217")</f>
        <v>5383418_1300217</v>
      </c>
      <c r="B1287" s="43" t="str">
        <f>IFERROR(__xludf.DUMMYFUNCTION("""COMPUTED_VALUE"""),"Mehmet Çavdar")</f>
        <v>Mehmet Çavdar</v>
      </c>
      <c r="C1287" s="43" t="str">
        <f>IFERROR(__xludf.DUMMYFUNCTION("""COMPUTED_VALUE"""),"approved")</f>
        <v>approved</v>
      </c>
      <c r="D1287" s="43" t="str">
        <f>IFERROR(__xludf.DUMMYFUNCTION("""COMPUTED_VALUE"""),"No")</f>
        <v>No</v>
      </c>
      <c r="E1287" s="43" t="str">
        <f>IFERROR(__xludf.DUMMYFUNCTION("""COMPUTED_VALUE"""),"p_b0ccef0b94a1c17b98b4585694f3a47ee3e1114e@inbound.aiesec.org")</f>
        <v>p_b0ccef0b94a1c17b98b4585694f3a47ee3e1114e@inbound.aiesec.org</v>
      </c>
      <c r="F1287" s="43">
        <f>IFERROR(__xludf.DUMMYFUNCTION("""COMPUTED_VALUE"""),5.054251142E9)</f>
        <v>5054251142</v>
      </c>
      <c r="G1287" s="43" t="str">
        <f>IFERROR(__xludf.DUMMYFUNCTION("""COMPUTED_VALUE"""),"Turkey")</f>
        <v>Turkey</v>
      </c>
      <c r="H1287" s="43" t="str">
        <f>IFERROR(__xludf.DUMMYFUNCTION("""COMPUTED_VALUE"""),"ISPARTA")</f>
        <v>ISPARTA</v>
      </c>
      <c r="I1287" s="43" t="str">
        <f>IFERROR(__xludf.DUMMYFUNCTION("""COMPUTED_VALUE"""),"India")</f>
        <v>India</v>
      </c>
      <c r="J1287" s="43" t="str">
        <f>IFERROR(__xludf.DUMMYFUNCTION("""COMPUTED_VALUE"""),"Dehradun")</f>
        <v>Dehradun</v>
      </c>
      <c r="K1287" s="44" t="str">
        <f>IFERROR(__xludf.DUMMYFUNCTION("""COMPUTED_VALUE"""),"https://expa.aiesec.org/opportunities/1300217")</f>
        <v>https://expa.aiesec.org/opportunities/1300217</v>
      </c>
      <c r="L1287" s="43" t="str">
        <f>IFERROR(__xludf.DUMMYFUNCTION("""COMPUTED_VALUE"""),"GV")</f>
        <v>GV</v>
      </c>
      <c r="M1287" s="43" t="str">
        <f>IFERROR(__xludf.DUMMYFUNCTION("""COMPUTED_VALUE"""),"short")</f>
        <v>short</v>
      </c>
      <c r="N1287" s="45">
        <f>IFERROR(__xludf.DUMMYFUNCTION("""COMPUTED_VALUE"""),45260.0)</f>
        <v>45260</v>
      </c>
      <c r="O1287" s="45">
        <f>IFERROR(__xludf.DUMMYFUNCTION("""COMPUTED_VALUE"""),45488.0)</f>
        <v>45488</v>
      </c>
      <c r="P1287" s="45">
        <f>IFERROR(__xludf.DUMMYFUNCTION("""COMPUTED_VALUE"""),45530.0)</f>
        <v>45530</v>
      </c>
      <c r="Q1287" s="45"/>
      <c r="R1287" s="45"/>
      <c r="S1287" s="43"/>
      <c r="T1287" s="43"/>
      <c r="U1287" s="43" t="str">
        <f>IFERROR(__xludf.DUMMYFUNCTION("""COMPUTED_VALUE"""),"Skill Up!")</f>
        <v>Skill Up!</v>
      </c>
      <c r="V1287" s="43" t="str">
        <f>IFERROR(__xludf.DUMMYFUNCTION("""COMPUTED_VALUE"""),"ISPARTA")</f>
        <v>ISPARTA</v>
      </c>
      <c r="W1287" s="43" t="str">
        <f>IFERROR(__xludf.DUMMYFUNCTION("""COMPUTED_VALUE"""),"2023-11-30T17:50:38Z")</f>
        <v>2023-11-30T17:50:38Z</v>
      </c>
      <c r="X1287" s="43"/>
      <c r="Y1287" s="43"/>
      <c r="Z1287" s="43"/>
    </row>
    <row r="1288" hidden="1">
      <c r="A1288" s="43" t="str">
        <f>IFERROR(__xludf.DUMMYFUNCTION("""COMPUTED_VALUE"""),"5379622_1301702")</f>
        <v>5379622_1301702</v>
      </c>
      <c r="B1288" s="43" t="str">
        <f>IFERROR(__xludf.DUMMYFUNCTION("""COMPUTED_VALUE"""),"Melis Demiroz")</f>
        <v>Melis Demiroz</v>
      </c>
      <c r="C1288" s="43" t="str">
        <f>IFERROR(__xludf.DUMMYFUNCTION("""COMPUTED_VALUE"""),"approved")</f>
        <v>approved</v>
      </c>
      <c r="D1288" s="43" t="str">
        <f>IFERROR(__xludf.DUMMYFUNCTION("""COMPUTED_VALUE"""),"No")</f>
        <v>No</v>
      </c>
      <c r="E1288" s="43" t="str">
        <f>IFERROR(__xludf.DUMMYFUNCTION("""COMPUTED_VALUE"""),"p_a078cd89bb2ffc26ebca28e1e97dfb5dcdb5fb2f@inbound.aiesec.org")</f>
        <v>p_a078cd89bb2ffc26ebca28e1e97dfb5dcdb5fb2f@inbound.aiesec.org</v>
      </c>
      <c r="F1288" s="43"/>
      <c r="G1288" s="43" t="str">
        <f>IFERROR(__xludf.DUMMYFUNCTION("""COMPUTED_VALUE"""),"Turkey")</f>
        <v>Turkey</v>
      </c>
      <c r="H1288" s="43" t="str">
        <f>IFERROR(__xludf.DUMMYFUNCTION("""COMPUTED_VALUE"""),"ISTANBUL ASIA")</f>
        <v>ISTANBUL ASIA</v>
      </c>
      <c r="I1288" s="43" t="str">
        <f>IFERROR(__xludf.DUMMYFUNCTION("""COMPUTED_VALUE"""),"Taiwan")</f>
        <v>Taiwan</v>
      </c>
      <c r="J1288" s="43" t="str">
        <f>IFERROR(__xludf.DUMMYFUNCTION("""COMPUTED_VALUE"""),"Taiwan NCKU")</f>
        <v>Taiwan NCKU</v>
      </c>
      <c r="K1288" s="44" t="str">
        <f>IFERROR(__xludf.DUMMYFUNCTION("""COMPUTED_VALUE"""),"https://expa.aiesec.org/opportunities/1301702")</f>
        <v>https://expa.aiesec.org/opportunities/1301702</v>
      </c>
      <c r="L1288" s="43" t="str">
        <f>IFERROR(__xludf.DUMMYFUNCTION("""COMPUTED_VALUE"""),"GV")</f>
        <v>GV</v>
      </c>
      <c r="M1288" s="43" t="str">
        <f>IFERROR(__xludf.DUMMYFUNCTION("""COMPUTED_VALUE"""),"short")</f>
        <v>short</v>
      </c>
      <c r="N1288" s="45">
        <f>IFERROR(__xludf.DUMMYFUNCTION("""COMPUTED_VALUE"""),45261.0)</f>
        <v>45261</v>
      </c>
      <c r="O1288" s="45">
        <f>IFERROR(__xludf.DUMMYFUNCTION("""COMPUTED_VALUE"""),45422.0)</f>
        <v>45422</v>
      </c>
      <c r="P1288" s="45">
        <f>IFERROR(__xludf.DUMMYFUNCTION("""COMPUTED_VALUE"""),45477.0)</f>
        <v>45477</v>
      </c>
      <c r="Q1288" s="45"/>
      <c r="R1288" s="45"/>
      <c r="S1288" s="43"/>
      <c r="T1288" s="43"/>
      <c r="U1288" s="43" t="str">
        <f>IFERROR(__xludf.DUMMYFUNCTION("""COMPUTED_VALUE"""),"Youth 4 Impact")</f>
        <v>Youth 4 Impact</v>
      </c>
      <c r="V1288" s="43" t="str">
        <f>IFERROR(__xludf.DUMMYFUNCTION("""COMPUTED_VALUE"""),"-")</f>
        <v>-</v>
      </c>
      <c r="W1288" s="43" t="str">
        <f>IFERROR(__xludf.DUMMYFUNCTION("""COMPUTED_VALUE"""),"2023-11-25T13:08:23Z")</f>
        <v>2023-11-25T13:08:23Z</v>
      </c>
      <c r="X1288" s="43"/>
      <c r="Y1288" s="43"/>
      <c r="Z1288" s="43"/>
    </row>
    <row r="1289" hidden="1">
      <c r="A1289" s="43" t="str">
        <f>IFERROR(__xludf.DUMMYFUNCTION("""COMPUTED_VALUE"""),"5377428_1299929")</f>
        <v>5377428_1299929</v>
      </c>
      <c r="B1289" s="43" t="str">
        <f>IFERROR(__xludf.DUMMYFUNCTION("""COMPUTED_VALUE"""),"Haticenur Çelik")</f>
        <v>Haticenur Çelik</v>
      </c>
      <c r="C1289" s="43" t="str">
        <f>IFERROR(__xludf.DUMMYFUNCTION("""COMPUTED_VALUE"""),"realized")</f>
        <v>realized</v>
      </c>
      <c r="D1289" s="43" t="str">
        <f>IFERROR(__xludf.DUMMYFUNCTION("""COMPUTED_VALUE"""),"No")</f>
        <v>No</v>
      </c>
      <c r="E1289" s="43" t="str">
        <f>IFERROR(__xludf.DUMMYFUNCTION("""COMPUTED_VALUE"""),"p_da7add44bd97b4675900adf4baaa7d38c0a8cd83@inbound.aiesec.org")</f>
        <v>p_da7add44bd97b4675900adf4baaa7d38c0a8cd83@inbound.aiesec.org</v>
      </c>
      <c r="F1289" s="43">
        <f>IFERROR(__xludf.DUMMYFUNCTION("""COMPUTED_VALUE"""),5.521021419E9)</f>
        <v>5521021419</v>
      </c>
      <c r="G1289" s="43" t="str">
        <f>IFERROR(__xludf.DUMMYFUNCTION("""COMPUTED_VALUE"""),"Turkey")</f>
        <v>Turkey</v>
      </c>
      <c r="H1289" s="43" t="str">
        <f>IFERROR(__xludf.DUMMYFUNCTION("""COMPUTED_VALUE"""),"BURSA")</f>
        <v>BURSA</v>
      </c>
      <c r="I1289" s="43" t="str">
        <f>IFERROR(__xludf.DUMMYFUNCTION("""COMPUTED_VALUE"""),"Serbia")</f>
        <v>Serbia</v>
      </c>
      <c r="J1289" s="43" t="str">
        <f>IFERROR(__xludf.DUMMYFUNCTION("""COMPUTED_VALUE"""),"Subotica")</f>
        <v>Subotica</v>
      </c>
      <c r="K1289" s="44" t="str">
        <f>IFERROR(__xludf.DUMMYFUNCTION("""COMPUTED_VALUE"""),"https://expa.aiesec.org/opportunities/1299929")</f>
        <v>https://expa.aiesec.org/opportunities/1299929</v>
      </c>
      <c r="L1289" s="43" t="str">
        <f>IFERROR(__xludf.DUMMYFUNCTION("""COMPUTED_VALUE"""),"GV")</f>
        <v>GV</v>
      </c>
      <c r="M1289" s="43" t="str">
        <f>IFERROR(__xludf.DUMMYFUNCTION("""COMPUTED_VALUE"""),"short")</f>
        <v>short</v>
      </c>
      <c r="N1289" s="45">
        <f>IFERROR(__xludf.DUMMYFUNCTION("""COMPUTED_VALUE"""),45261.0)</f>
        <v>45261</v>
      </c>
      <c r="O1289" s="45">
        <f>IFERROR(__xludf.DUMMYFUNCTION("""COMPUTED_VALUE"""),45313.0)</f>
        <v>45313</v>
      </c>
      <c r="P1289" s="45">
        <f>IFERROR(__xludf.DUMMYFUNCTION("""COMPUTED_VALUE"""),45355.0)</f>
        <v>45355</v>
      </c>
      <c r="Q1289" s="45">
        <f>IFERROR(__xludf.DUMMYFUNCTION("""COMPUTED_VALUE"""),45313.0)</f>
        <v>45313</v>
      </c>
      <c r="R1289" s="45">
        <f>IFERROR(__xludf.DUMMYFUNCTION("""COMPUTED_VALUE"""),45355.0)</f>
        <v>45355</v>
      </c>
      <c r="S1289" s="43"/>
      <c r="T1289" s="43"/>
      <c r="U1289" s="43" t="str">
        <f>IFERROR(__xludf.DUMMYFUNCTION("""COMPUTED_VALUE"""),"Skill Up!")</f>
        <v>Skill Up!</v>
      </c>
      <c r="V1289" s="43" t="str">
        <f>IFERROR(__xludf.DUMMYFUNCTION("""COMPUTED_VALUE"""),"BURSA")</f>
        <v>BURSA</v>
      </c>
      <c r="W1289" s="43" t="str">
        <f>IFERROR(__xludf.DUMMYFUNCTION("""COMPUTED_VALUE"""),"2023-11-22T11:40:48Z")</f>
        <v>2023-11-22T11:40:48Z</v>
      </c>
      <c r="X1289" s="43"/>
      <c r="Y1289" s="43"/>
      <c r="Z1289" s="43"/>
    </row>
    <row r="1290" hidden="1">
      <c r="A1290" s="43" t="str">
        <f>IFERROR(__xludf.DUMMYFUNCTION("""COMPUTED_VALUE"""),"5382372_1298372")</f>
        <v>5382372_1298372</v>
      </c>
      <c r="B1290" s="43" t="str">
        <f>IFERROR(__xludf.DUMMYFUNCTION("""COMPUTED_VALUE"""),"Emircan Onyıl")</f>
        <v>Emircan Onyıl</v>
      </c>
      <c r="C1290" s="43" t="str">
        <f>IFERROR(__xludf.DUMMYFUNCTION("""COMPUTED_VALUE"""),"approved")</f>
        <v>approved</v>
      </c>
      <c r="D1290" s="43" t="str">
        <f>IFERROR(__xludf.DUMMYFUNCTION("""COMPUTED_VALUE"""),"No")</f>
        <v>No</v>
      </c>
      <c r="E1290" s="43" t="str">
        <f>IFERROR(__xludf.DUMMYFUNCTION("""COMPUTED_VALUE"""),"p_d64273dd724236e629e62c915a98c28269d3c92b@inbound.aiesec.org")</f>
        <v>p_d64273dd724236e629e62c915a98c28269d3c92b@inbound.aiesec.org</v>
      </c>
      <c r="F1290" s="43"/>
      <c r="G1290" s="43" t="str">
        <f>IFERROR(__xludf.DUMMYFUNCTION("""COMPUTED_VALUE"""),"Turkey")</f>
        <v>Turkey</v>
      </c>
      <c r="H1290" s="43" t="str">
        <f>IFERROR(__xludf.DUMMYFUNCTION("""COMPUTED_VALUE"""),"İZMİR")</f>
        <v>İZMİR</v>
      </c>
      <c r="I1290" s="43" t="str">
        <f>IFERROR(__xludf.DUMMYFUNCTION("""COMPUTED_VALUE"""),"Egypt")</f>
        <v>Egypt</v>
      </c>
      <c r="J1290" s="43" t="str">
        <f>IFERROR(__xludf.DUMMYFUNCTION("""COMPUTED_VALUE"""),"Helwan")</f>
        <v>Helwan</v>
      </c>
      <c r="K1290" s="44" t="str">
        <f>IFERROR(__xludf.DUMMYFUNCTION("""COMPUTED_VALUE"""),"https://expa.aiesec.org/opportunities/1298372")</f>
        <v>https://expa.aiesec.org/opportunities/1298372</v>
      </c>
      <c r="L1290" s="43" t="str">
        <f>IFERROR(__xludf.DUMMYFUNCTION("""COMPUTED_VALUE"""),"GV")</f>
        <v>GV</v>
      </c>
      <c r="M1290" s="43" t="str">
        <f>IFERROR(__xludf.DUMMYFUNCTION("""COMPUTED_VALUE"""),"short")</f>
        <v>short</v>
      </c>
      <c r="N1290" s="45">
        <f>IFERROR(__xludf.DUMMYFUNCTION("""COMPUTED_VALUE"""),45261.0)</f>
        <v>45261</v>
      </c>
      <c r="O1290" s="45">
        <f>IFERROR(__xludf.DUMMYFUNCTION("""COMPUTED_VALUE"""),45323.0)</f>
        <v>45323</v>
      </c>
      <c r="P1290" s="45">
        <f>IFERROR(__xludf.DUMMYFUNCTION("""COMPUTED_VALUE"""),45365.0)</f>
        <v>45365</v>
      </c>
      <c r="Q1290" s="45"/>
      <c r="R1290" s="45"/>
      <c r="S1290" s="43"/>
      <c r="T1290" s="43"/>
      <c r="U1290" s="43" t="str">
        <f>IFERROR(__xludf.DUMMYFUNCTION("""COMPUTED_VALUE"""),"Equify")</f>
        <v>Equify</v>
      </c>
      <c r="V1290" s="43" t="str">
        <f>IFERROR(__xludf.DUMMYFUNCTION("""COMPUTED_VALUE"""),"-")</f>
        <v>-</v>
      </c>
      <c r="W1290" s="43" t="str">
        <f>IFERROR(__xludf.DUMMYFUNCTION("""COMPUTED_VALUE"""),"2023-11-29T10:47:06Z")</f>
        <v>2023-11-29T10:47:06Z</v>
      </c>
      <c r="X1290" s="43"/>
      <c r="Y1290" s="43"/>
      <c r="Z1290" s="43"/>
    </row>
    <row r="1291" hidden="1">
      <c r="A1291" s="43" t="str">
        <f>IFERROR(__xludf.DUMMYFUNCTION("""COMPUTED_VALUE"""),"5380978_1298542")</f>
        <v>5380978_1298542</v>
      </c>
      <c r="B1291" s="43" t="str">
        <f>IFERROR(__xludf.DUMMYFUNCTION("""COMPUTED_VALUE"""),"Yeşim Ece Akay")</f>
        <v>Yeşim Ece Akay</v>
      </c>
      <c r="C1291" s="43" t="str">
        <f>IFERROR(__xludf.DUMMYFUNCTION("""COMPUTED_VALUE"""),"approved")</f>
        <v>approved</v>
      </c>
      <c r="D1291" s="43" t="str">
        <f>IFERROR(__xludf.DUMMYFUNCTION("""COMPUTED_VALUE"""),"No")</f>
        <v>No</v>
      </c>
      <c r="E1291" s="43" t="str">
        <f>IFERROR(__xludf.DUMMYFUNCTION("""COMPUTED_VALUE"""),"p_6da7e0b8caf70be9c730f883f13344d6bc1700c2@inbound.aiesec.org")</f>
        <v>p_6da7e0b8caf70be9c730f883f13344d6bc1700c2@inbound.aiesec.org</v>
      </c>
      <c r="F1291" s="43">
        <f>IFERROR(__xludf.DUMMYFUNCTION("""COMPUTED_VALUE"""),5.413678673E9)</f>
        <v>5413678673</v>
      </c>
      <c r="G1291" s="43" t="str">
        <f>IFERROR(__xludf.DUMMYFUNCTION("""COMPUTED_VALUE"""),"Turkey")</f>
        <v>Turkey</v>
      </c>
      <c r="H1291" s="43" t="str">
        <f>IFERROR(__xludf.DUMMYFUNCTION("""COMPUTED_VALUE"""),"İZMİR")</f>
        <v>İZMİR</v>
      </c>
      <c r="I1291" s="43" t="str">
        <f>IFERROR(__xludf.DUMMYFUNCTION("""COMPUTED_VALUE"""),"Egypt")</f>
        <v>Egypt</v>
      </c>
      <c r="J1291" s="43" t="str">
        <f>IFERROR(__xludf.DUMMYFUNCTION("""COMPUTED_VALUE"""),"MUST")</f>
        <v>MUST</v>
      </c>
      <c r="K1291" s="44" t="str">
        <f>IFERROR(__xludf.DUMMYFUNCTION("""COMPUTED_VALUE"""),"https://expa.aiesec.org/opportunities/1298542")</f>
        <v>https://expa.aiesec.org/opportunities/1298542</v>
      </c>
      <c r="L1291" s="43" t="str">
        <f>IFERROR(__xludf.DUMMYFUNCTION("""COMPUTED_VALUE"""),"GV")</f>
        <v>GV</v>
      </c>
      <c r="M1291" s="43" t="str">
        <f>IFERROR(__xludf.DUMMYFUNCTION("""COMPUTED_VALUE"""),"short")</f>
        <v>short</v>
      </c>
      <c r="N1291" s="45">
        <f>IFERROR(__xludf.DUMMYFUNCTION("""COMPUTED_VALUE"""),45261.0)</f>
        <v>45261</v>
      </c>
      <c r="O1291" s="45">
        <f>IFERROR(__xludf.DUMMYFUNCTION("""COMPUTED_VALUE"""),45444.0)</f>
        <v>45444</v>
      </c>
      <c r="P1291" s="45">
        <f>IFERROR(__xludf.DUMMYFUNCTION("""COMPUTED_VALUE"""),45488.0)</f>
        <v>45488</v>
      </c>
      <c r="Q1291" s="45"/>
      <c r="R1291" s="45"/>
      <c r="S1291" s="43"/>
      <c r="T1291" s="43"/>
      <c r="U1291" s="43" t="str">
        <f>IFERROR(__xludf.DUMMYFUNCTION("""COMPUTED_VALUE"""),"Global Classroom")</f>
        <v>Global Classroom</v>
      </c>
      <c r="V1291" s="43" t="str">
        <f>IFERROR(__xludf.DUMMYFUNCTION("""COMPUTED_VALUE"""),"IZMIR")</f>
        <v>IZMIR</v>
      </c>
      <c r="W1291" s="43" t="str">
        <f>IFERROR(__xludf.DUMMYFUNCTION("""COMPUTED_VALUE"""),"2023-11-27T16:40:11Z")</f>
        <v>2023-11-27T16:40:11Z</v>
      </c>
      <c r="X1291" s="43"/>
      <c r="Y1291" s="43"/>
      <c r="Z1291" s="43"/>
    </row>
    <row r="1292" hidden="1">
      <c r="A1292" s="43" t="str">
        <f>IFERROR(__xludf.DUMMYFUNCTION("""COMPUTED_VALUE"""),"5383040_1295303")</f>
        <v>5383040_1295303</v>
      </c>
      <c r="B1292" s="43" t="str">
        <f>IFERROR(__xludf.DUMMYFUNCTION("""COMPUTED_VALUE"""),"Atay Önol")</f>
        <v>Atay Önol</v>
      </c>
      <c r="C1292" s="43" t="str">
        <f>IFERROR(__xludf.DUMMYFUNCTION("""COMPUTED_VALUE"""),"approved")</f>
        <v>approved</v>
      </c>
      <c r="D1292" s="43" t="str">
        <f>IFERROR(__xludf.DUMMYFUNCTION("""COMPUTED_VALUE"""),"No")</f>
        <v>No</v>
      </c>
      <c r="E1292" s="43" t="str">
        <f>IFERROR(__xludf.DUMMYFUNCTION("""COMPUTED_VALUE"""),"p_1c2b57f7fc56fe182ad3cbc608cbeb8c22ff7af5@inbound.aiesec.org")</f>
        <v>p_1c2b57f7fc56fe182ad3cbc608cbeb8c22ff7af5@inbound.aiesec.org</v>
      </c>
      <c r="F1292" s="43">
        <f>IFERROR(__xludf.DUMMYFUNCTION("""COMPUTED_VALUE"""),5.535572129E9)</f>
        <v>5535572129</v>
      </c>
      <c r="G1292" s="43" t="str">
        <f>IFERROR(__xludf.DUMMYFUNCTION("""COMPUTED_VALUE"""),"Turkey")</f>
        <v>Turkey</v>
      </c>
      <c r="H1292" s="43" t="str">
        <f>IFERROR(__xludf.DUMMYFUNCTION("""COMPUTED_VALUE"""),"ISTANBUL ASIA")</f>
        <v>ISTANBUL ASIA</v>
      </c>
      <c r="I1292" s="43" t="str">
        <f>IFERROR(__xludf.DUMMYFUNCTION("""COMPUTED_VALUE"""),"Slovakia")</f>
        <v>Slovakia</v>
      </c>
      <c r="J1292" s="43" t="str">
        <f>IFERROR(__xludf.DUMMYFUNCTION("""COMPUTED_VALUE"""),"Nitra")</f>
        <v>Nitra</v>
      </c>
      <c r="K1292" s="44" t="str">
        <f>IFERROR(__xludf.DUMMYFUNCTION("""COMPUTED_VALUE"""),"https://expa.aiesec.org/opportunities/1295303")</f>
        <v>https://expa.aiesec.org/opportunities/1295303</v>
      </c>
      <c r="L1292" s="43" t="str">
        <f>IFERROR(__xludf.DUMMYFUNCTION("""COMPUTED_VALUE"""),"GV")</f>
        <v>GV</v>
      </c>
      <c r="M1292" s="43" t="str">
        <f>IFERROR(__xludf.DUMMYFUNCTION("""COMPUTED_VALUE"""),"short")</f>
        <v>short</v>
      </c>
      <c r="N1292" s="45">
        <f>IFERROR(__xludf.DUMMYFUNCTION("""COMPUTED_VALUE"""),45262.0)</f>
        <v>45262</v>
      </c>
      <c r="O1292" s="45">
        <f>IFERROR(__xludf.DUMMYFUNCTION("""COMPUTED_VALUE"""),45306.0)</f>
        <v>45306</v>
      </c>
      <c r="P1292" s="45">
        <f>IFERROR(__xludf.DUMMYFUNCTION("""COMPUTED_VALUE"""),45348.0)</f>
        <v>45348</v>
      </c>
      <c r="Q1292" s="45"/>
      <c r="R1292" s="45"/>
      <c r="S1292" s="43"/>
      <c r="T1292" s="43"/>
      <c r="U1292" s="43" t="str">
        <f>IFERROR(__xludf.DUMMYFUNCTION("""COMPUTED_VALUE"""),"Youth 4 Impact")</f>
        <v>Youth 4 Impact</v>
      </c>
      <c r="V1292" s="43" t="str">
        <f>IFERROR(__xludf.DUMMYFUNCTION("""COMPUTED_VALUE"""),"ISTANBUL ASIA")</f>
        <v>ISTANBUL ASIA</v>
      </c>
      <c r="W1292" s="43" t="str">
        <f>IFERROR(__xludf.DUMMYFUNCTION("""COMPUTED_VALUE"""),"2023-11-30T10:51:46Z")</f>
        <v>2023-11-30T10:51:46Z</v>
      </c>
      <c r="X1292" s="43"/>
      <c r="Y1292" s="43"/>
      <c r="Z1292" s="43"/>
    </row>
    <row r="1293" hidden="1">
      <c r="A1293" s="43" t="str">
        <f>IFERROR(__xludf.DUMMYFUNCTION("""COMPUTED_VALUE"""),"5384663_1298571")</f>
        <v>5384663_1298571</v>
      </c>
      <c r="B1293" s="43" t="str">
        <f>IFERROR(__xludf.DUMMYFUNCTION("""COMPUTED_VALUE"""),"Şevval Güngör")</f>
        <v>Şevval Güngör</v>
      </c>
      <c r="C1293" s="43" t="str">
        <f>IFERROR(__xludf.DUMMYFUNCTION("""COMPUTED_VALUE"""),"approved")</f>
        <v>approved</v>
      </c>
      <c r="D1293" s="43" t="str">
        <f>IFERROR(__xludf.DUMMYFUNCTION("""COMPUTED_VALUE"""),"No")</f>
        <v>No</v>
      </c>
      <c r="E1293" s="43" t="str">
        <f>IFERROR(__xludf.DUMMYFUNCTION("""COMPUTED_VALUE"""),"p_cb6677319b904d49ad87f65845298cd61ad1687b@inbound.aiesec.org")</f>
        <v>p_cb6677319b904d49ad87f65845298cd61ad1687b@inbound.aiesec.org</v>
      </c>
      <c r="F1293" s="43">
        <f>IFERROR(__xludf.DUMMYFUNCTION("""COMPUTED_VALUE"""),5.541401319E9)</f>
        <v>5541401319</v>
      </c>
      <c r="G1293" s="43" t="str">
        <f>IFERROR(__xludf.DUMMYFUNCTION("""COMPUTED_VALUE"""),"Turkey")</f>
        <v>Turkey</v>
      </c>
      <c r="H1293" s="43" t="str">
        <f>IFERROR(__xludf.DUMMYFUNCTION("""COMPUTED_VALUE"""),"BURSA")</f>
        <v>BURSA</v>
      </c>
      <c r="I1293" s="43" t="str">
        <f>IFERROR(__xludf.DUMMYFUNCTION("""COMPUTED_VALUE"""),"Egypt")</f>
        <v>Egypt</v>
      </c>
      <c r="J1293" s="43" t="str">
        <f>IFERROR(__xludf.DUMMYFUNCTION("""COMPUTED_VALUE"""),"6th October University")</f>
        <v>6th October University</v>
      </c>
      <c r="K1293" s="44" t="str">
        <f>IFERROR(__xludf.DUMMYFUNCTION("""COMPUTED_VALUE"""),"https://expa.aiesec.org/opportunities/1298571")</f>
        <v>https://expa.aiesec.org/opportunities/1298571</v>
      </c>
      <c r="L1293" s="43" t="str">
        <f>IFERROR(__xludf.DUMMYFUNCTION("""COMPUTED_VALUE"""),"GV")</f>
        <v>GV</v>
      </c>
      <c r="M1293" s="43" t="str">
        <f>IFERROR(__xludf.DUMMYFUNCTION("""COMPUTED_VALUE"""),"short")</f>
        <v>short</v>
      </c>
      <c r="N1293" s="45">
        <f>IFERROR(__xludf.DUMMYFUNCTION("""COMPUTED_VALUE"""),45263.0)</f>
        <v>45263</v>
      </c>
      <c r="O1293" s="45">
        <f>IFERROR(__xludf.DUMMYFUNCTION("""COMPUTED_VALUE"""),45458.0)</f>
        <v>45458</v>
      </c>
      <c r="P1293" s="45">
        <f>IFERROR(__xludf.DUMMYFUNCTION("""COMPUTED_VALUE"""),45500.0)</f>
        <v>45500</v>
      </c>
      <c r="Q1293" s="45"/>
      <c r="R1293" s="45"/>
      <c r="S1293" s="43"/>
      <c r="T1293" s="43"/>
      <c r="U1293" s="43" t="str">
        <f>IFERROR(__xludf.DUMMYFUNCTION("""COMPUTED_VALUE"""),"Global Classroom")</f>
        <v>Global Classroom</v>
      </c>
      <c r="V1293" s="43" t="str">
        <f>IFERROR(__xludf.DUMMYFUNCTION("""COMPUTED_VALUE"""),"BURSA")</f>
        <v>BURSA</v>
      </c>
      <c r="W1293" s="43" t="str">
        <f>IFERROR(__xludf.DUMMYFUNCTION("""COMPUTED_VALUE"""),"2023-12-03T10:43:21Z")</f>
        <v>2023-12-03T10:43:21Z</v>
      </c>
      <c r="X1293" s="43"/>
      <c r="Y1293" s="43"/>
      <c r="Z1293" s="43"/>
    </row>
    <row r="1294" hidden="1">
      <c r="A1294" s="43" t="str">
        <f>IFERROR(__xludf.DUMMYFUNCTION("""COMPUTED_VALUE"""),"5384880_1300091")</f>
        <v>5384880_1300091</v>
      </c>
      <c r="B1294" s="43" t="str">
        <f>IFERROR(__xludf.DUMMYFUNCTION("""COMPUTED_VALUE"""),"Enes Faruk Gültepe")</f>
        <v>Enes Faruk Gültepe</v>
      </c>
      <c r="C1294" s="43" t="str">
        <f>IFERROR(__xludf.DUMMYFUNCTION("""COMPUTED_VALUE"""),"approved")</f>
        <v>approved</v>
      </c>
      <c r="D1294" s="43" t="str">
        <f>IFERROR(__xludf.DUMMYFUNCTION("""COMPUTED_VALUE"""),"No")</f>
        <v>No</v>
      </c>
      <c r="E1294" s="43" t="str">
        <f>IFERROR(__xludf.DUMMYFUNCTION("""COMPUTED_VALUE"""),"p_435b4bf561a3196bf466f969204b9661972679b4@inbound.aiesec.org")</f>
        <v>p_435b4bf561a3196bf466f969204b9661972679b4@inbound.aiesec.org</v>
      </c>
      <c r="F1294" s="43">
        <f>IFERROR(__xludf.DUMMYFUNCTION("""COMPUTED_VALUE"""),0.0)</f>
        <v>0</v>
      </c>
      <c r="G1294" s="43" t="str">
        <f>IFERROR(__xludf.DUMMYFUNCTION("""COMPUTED_VALUE"""),"Turkey")</f>
        <v>Turkey</v>
      </c>
      <c r="H1294" s="43" t="str">
        <f>IFERROR(__xludf.DUMMYFUNCTION("""COMPUTED_VALUE"""),"KOCAELI")</f>
        <v>KOCAELI</v>
      </c>
      <c r="I1294" s="43" t="str">
        <f>IFERROR(__xludf.DUMMYFUNCTION("""COMPUTED_VALUE"""),"Egypt")</f>
        <v>Egypt</v>
      </c>
      <c r="J1294" s="43" t="str">
        <f>IFERROR(__xludf.DUMMYFUNCTION("""COMPUTED_VALUE"""),"6th October University")</f>
        <v>6th October University</v>
      </c>
      <c r="K1294" s="44" t="str">
        <f>IFERROR(__xludf.DUMMYFUNCTION("""COMPUTED_VALUE"""),"https://expa.aiesec.org/opportunities/1300091")</f>
        <v>https://expa.aiesec.org/opportunities/1300091</v>
      </c>
      <c r="L1294" s="43" t="str">
        <f>IFERROR(__xludf.DUMMYFUNCTION("""COMPUTED_VALUE"""),"GV")</f>
        <v>GV</v>
      </c>
      <c r="M1294" s="43" t="str">
        <f>IFERROR(__xludf.DUMMYFUNCTION("""COMPUTED_VALUE"""),"short")</f>
        <v>short</v>
      </c>
      <c r="N1294" s="45">
        <f>IFERROR(__xludf.DUMMYFUNCTION("""COMPUTED_VALUE"""),45264.0)</f>
        <v>45264</v>
      </c>
      <c r="O1294" s="45">
        <f>IFERROR(__xludf.DUMMYFUNCTION("""COMPUTED_VALUE"""),45488.0)</f>
        <v>45488</v>
      </c>
      <c r="P1294" s="45">
        <f>IFERROR(__xludf.DUMMYFUNCTION("""COMPUTED_VALUE"""),45530.0)</f>
        <v>45530</v>
      </c>
      <c r="Q1294" s="45"/>
      <c r="R1294" s="45"/>
      <c r="S1294" s="43"/>
      <c r="T1294" s="43"/>
      <c r="U1294" s="43" t="str">
        <f>IFERROR(__xludf.DUMMYFUNCTION("""COMPUTED_VALUE"""),"Heartbeat")</f>
        <v>Heartbeat</v>
      </c>
      <c r="V1294" s="43" t="str">
        <f>IFERROR(__xludf.DUMMYFUNCTION("""COMPUTED_VALUE"""),"KOCAELI")</f>
        <v>KOCAELI</v>
      </c>
      <c r="W1294" s="43" t="str">
        <f>IFERROR(__xludf.DUMMYFUNCTION("""COMPUTED_VALUE"""),"2023-12-03T17:00:59Z")</f>
        <v>2023-12-03T17:00:59Z</v>
      </c>
      <c r="X1294" s="43"/>
      <c r="Y1294" s="43"/>
      <c r="Z1294" s="43"/>
    </row>
    <row r="1295" hidden="1">
      <c r="A1295" s="43" t="str">
        <f>IFERROR(__xludf.DUMMYFUNCTION("""COMPUTED_VALUE"""),"5384941_1298816")</f>
        <v>5384941_1298816</v>
      </c>
      <c r="B1295" s="43" t="str">
        <f>IFERROR(__xludf.DUMMYFUNCTION("""COMPUTED_VALUE"""),"Sümeyye Ebrar Budak")</f>
        <v>Sümeyye Ebrar Budak</v>
      </c>
      <c r="C1295" s="43" t="str">
        <f>IFERROR(__xludf.DUMMYFUNCTION("""COMPUTED_VALUE"""),"realized")</f>
        <v>realized</v>
      </c>
      <c r="D1295" s="43" t="str">
        <f>IFERROR(__xludf.DUMMYFUNCTION("""COMPUTED_VALUE"""),"No")</f>
        <v>No</v>
      </c>
      <c r="E1295" s="43" t="str">
        <f>IFERROR(__xludf.DUMMYFUNCTION("""COMPUTED_VALUE"""),"p_1fddd50af7c801daaf5f1ce5eee35f8bb72296e3@inbound.aiesec.org")</f>
        <v>p_1fddd50af7c801daaf5f1ce5eee35f8bb72296e3@inbound.aiesec.org</v>
      </c>
      <c r="F1295" s="43">
        <f>IFERROR(__xludf.DUMMYFUNCTION("""COMPUTED_VALUE"""),5.532763132E9)</f>
        <v>5532763132</v>
      </c>
      <c r="G1295" s="43" t="str">
        <f>IFERROR(__xludf.DUMMYFUNCTION("""COMPUTED_VALUE"""),"Turkey")</f>
        <v>Turkey</v>
      </c>
      <c r="H1295" s="43" t="str">
        <f>IFERROR(__xludf.DUMMYFUNCTION("""COMPUTED_VALUE"""),"ISTANBUL")</f>
        <v>ISTANBUL</v>
      </c>
      <c r="I1295" s="43" t="str">
        <f>IFERROR(__xludf.DUMMYFUNCTION("""COMPUTED_VALUE"""),"Egypt")</f>
        <v>Egypt</v>
      </c>
      <c r="J1295" s="43" t="str">
        <f>IFERROR(__xludf.DUMMYFUNCTION("""COMPUTED_VALUE"""),"Ain Shams University")</f>
        <v>Ain Shams University</v>
      </c>
      <c r="K1295" s="44" t="str">
        <f>IFERROR(__xludf.DUMMYFUNCTION("""COMPUTED_VALUE"""),"https://expa.aiesec.org/opportunities/1298816")</f>
        <v>https://expa.aiesec.org/opportunities/1298816</v>
      </c>
      <c r="L1295" s="43" t="str">
        <f>IFERROR(__xludf.DUMMYFUNCTION("""COMPUTED_VALUE"""),"GV")</f>
        <v>GV</v>
      </c>
      <c r="M1295" s="43" t="str">
        <f>IFERROR(__xludf.DUMMYFUNCTION("""COMPUTED_VALUE"""),"short")</f>
        <v>short</v>
      </c>
      <c r="N1295" s="45">
        <f>IFERROR(__xludf.DUMMYFUNCTION("""COMPUTED_VALUE"""),45265.0)</f>
        <v>45265</v>
      </c>
      <c r="O1295" s="45">
        <f>IFERROR(__xludf.DUMMYFUNCTION("""COMPUTED_VALUE"""),45306.0)</f>
        <v>45306</v>
      </c>
      <c r="P1295" s="45">
        <f>IFERROR(__xludf.DUMMYFUNCTION("""COMPUTED_VALUE"""),45348.0)</f>
        <v>45348</v>
      </c>
      <c r="Q1295" s="45">
        <f>IFERROR(__xludf.DUMMYFUNCTION("""COMPUTED_VALUE"""),45306.0)</f>
        <v>45306</v>
      </c>
      <c r="R1295" s="45">
        <f>IFERROR(__xludf.DUMMYFUNCTION("""COMPUTED_VALUE"""),45348.0)</f>
        <v>45348</v>
      </c>
      <c r="S1295" s="43"/>
      <c r="T1295" s="43"/>
      <c r="U1295" s="43" t="str">
        <f>IFERROR(__xludf.DUMMYFUNCTION("""COMPUTED_VALUE"""),"Global Classroom")</f>
        <v>Global Classroom</v>
      </c>
      <c r="V1295" s="43" t="str">
        <f>IFERROR(__xludf.DUMMYFUNCTION("""COMPUTED_VALUE"""),"ISTANBUL - BEYOGLU")</f>
        <v>ISTANBUL - BEYOGLU</v>
      </c>
      <c r="W1295" s="43" t="str">
        <f>IFERROR(__xludf.DUMMYFUNCTION("""COMPUTED_VALUE"""),"2023-12-03T20:43:09Z")</f>
        <v>2023-12-03T20:43:09Z</v>
      </c>
      <c r="X1295" s="43"/>
      <c r="Y1295" s="43"/>
      <c r="Z1295" s="43"/>
    </row>
    <row r="1296" hidden="1">
      <c r="A1296" s="43" t="str">
        <f>IFERROR(__xludf.DUMMYFUNCTION("""COMPUTED_VALUE"""),"5380145_1300120")</f>
        <v>5380145_1300120</v>
      </c>
      <c r="B1296" s="43" t="str">
        <f>IFERROR(__xludf.DUMMYFUNCTION("""COMPUTED_VALUE"""),"Yasmingül Kaya")</f>
        <v>Yasmingül Kaya</v>
      </c>
      <c r="C1296" s="43" t="str">
        <f>IFERROR(__xludf.DUMMYFUNCTION("""COMPUTED_VALUE"""),"approved")</f>
        <v>approved</v>
      </c>
      <c r="D1296" s="43" t="str">
        <f>IFERROR(__xludf.DUMMYFUNCTION("""COMPUTED_VALUE"""),"No")</f>
        <v>No</v>
      </c>
      <c r="E1296" s="43" t="str">
        <f>IFERROR(__xludf.DUMMYFUNCTION("""COMPUTED_VALUE"""),"p_21efa7a8c2d7cd6513838ab8f46c20ecba9f0f92@inbound.aiesec.org")</f>
        <v>p_21efa7a8c2d7cd6513838ab8f46c20ecba9f0f92@inbound.aiesec.org</v>
      </c>
      <c r="F1296" s="43">
        <f>IFERROR(__xludf.DUMMYFUNCTION("""COMPUTED_VALUE"""),5.384147686E9)</f>
        <v>5384147686</v>
      </c>
      <c r="G1296" s="43" t="str">
        <f>IFERROR(__xludf.DUMMYFUNCTION("""COMPUTED_VALUE"""),"Turkey")</f>
        <v>Turkey</v>
      </c>
      <c r="H1296" s="43" t="str">
        <f>IFERROR(__xludf.DUMMYFUNCTION("""COMPUTED_VALUE"""),"ANKARA")</f>
        <v>ANKARA</v>
      </c>
      <c r="I1296" s="43" t="str">
        <f>IFERROR(__xludf.DUMMYFUNCTION("""COMPUTED_VALUE"""),"Egypt")</f>
        <v>Egypt</v>
      </c>
      <c r="J1296" s="43" t="str">
        <f>IFERROR(__xludf.DUMMYFUNCTION("""COMPUTED_VALUE"""),"Alexandria")</f>
        <v>Alexandria</v>
      </c>
      <c r="K1296" s="44" t="str">
        <f>IFERROR(__xludf.DUMMYFUNCTION("""COMPUTED_VALUE"""),"https://expa.aiesec.org/opportunities/1300120")</f>
        <v>https://expa.aiesec.org/opportunities/1300120</v>
      </c>
      <c r="L1296" s="43" t="str">
        <f>IFERROR(__xludf.DUMMYFUNCTION("""COMPUTED_VALUE"""),"GV")</f>
        <v>GV</v>
      </c>
      <c r="M1296" s="43" t="str">
        <f>IFERROR(__xludf.DUMMYFUNCTION("""COMPUTED_VALUE"""),"short")</f>
        <v>short</v>
      </c>
      <c r="N1296" s="45">
        <f>IFERROR(__xludf.DUMMYFUNCTION("""COMPUTED_VALUE"""),45265.0)</f>
        <v>45265</v>
      </c>
      <c r="O1296" s="45">
        <f>IFERROR(__xludf.DUMMYFUNCTION("""COMPUTED_VALUE"""),45474.0)</f>
        <v>45474</v>
      </c>
      <c r="P1296" s="45">
        <f>IFERROR(__xludf.DUMMYFUNCTION("""COMPUTED_VALUE"""),45516.0)</f>
        <v>45516</v>
      </c>
      <c r="Q1296" s="45"/>
      <c r="R1296" s="45"/>
      <c r="S1296" s="43"/>
      <c r="T1296" s="43"/>
      <c r="U1296" s="43" t="str">
        <f>IFERROR(__xludf.DUMMYFUNCTION("""COMPUTED_VALUE"""),"On The Map")</f>
        <v>On The Map</v>
      </c>
      <c r="V1296" s="43" t="str">
        <f>IFERROR(__xludf.DUMMYFUNCTION("""COMPUTED_VALUE"""),"ANKARA")</f>
        <v>ANKARA</v>
      </c>
      <c r="W1296" s="43" t="str">
        <f>IFERROR(__xludf.DUMMYFUNCTION("""COMPUTED_VALUE"""),"2023-11-26T11:47:48Z")</f>
        <v>2023-11-26T11:47:48Z</v>
      </c>
      <c r="X1296" s="43"/>
      <c r="Y1296" s="43"/>
      <c r="Z1296" s="43"/>
    </row>
    <row r="1297" hidden="1">
      <c r="A1297" s="43" t="str">
        <f>IFERROR(__xludf.DUMMYFUNCTION("""COMPUTED_VALUE"""),"5384330_1298549")</f>
        <v>5384330_1298549</v>
      </c>
      <c r="B1297" s="43" t="str">
        <f>IFERROR(__xludf.DUMMYFUNCTION("""COMPUTED_VALUE"""),"Aylin Aydındağ")</f>
        <v>Aylin Aydındağ</v>
      </c>
      <c r="C1297" s="43" t="str">
        <f>IFERROR(__xludf.DUMMYFUNCTION("""COMPUTED_VALUE"""),"approved")</f>
        <v>approved</v>
      </c>
      <c r="D1297" s="43" t="str">
        <f>IFERROR(__xludf.DUMMYFUNCTION("""COMPUTED_VALUE"""),"No")</f>
        <v>No</v>
      </c>
      <c r="E1297" s="43" t="str">
        <f>IFERROR(__xludf.DUMMYFUNCTION("""COMPUTED_VALUE"""),"p_442707fc430c3153fe7cd74a9535bb47b825dc5c@inbound.aiesec.org")</f>
        <v>p_442707fc430c3153fe7cd74a9535bb47b825dc5c@inbound.aiesec.org</v>
      </c>
      <c r="F1297" s="43">
        <f>IFERROR(__xludf.DUMMYFUNCTION("""COMPUTED_VALUE"""),5.393617011E9)</f>
        <v>5393617011</v>
      </c>
      <c r="G1297" s="43" t="str">
        <f>IFERROR(__xludf.DUMMYFUNCTION("""COMPUTED_VALUE"""),"Turkey")</f>
        <v>Turkey</v>
      </c>
      <c r="H1297" s="43" t="str">
        <f>IFERROR(__xludf.DUMMYFUNCTION("""COMPUTED_VALUE"""),"ISTANBUL")</f>
        <v>ISTANBUL</v>
      </c>
      <c r="I1297" s="43" t="str">
        <f>IFERROR(__xludf.DUMMYFUNCTION("""COMPUTED_VALUE"""),"Tunisia")</f>
        <v>Tunisia</v>
      </c>
      <c r="J1297" s="43" t="str">
        <f>IFERROR(__xludf.DUMMYFUNCTION("""COMPUTED_VALUE"""),"BARDO")</f>
        <v>BARDO</v>
      </c>
      <c r="K1297" s="44" t="str">
        <f>IFERROR(__xludf.DUMMYFUNCTION("""COMPUTED_VALUE"""),"https://expa.aiesec.org/opportunities/1298549")</f>
        <v>https://expa.aiesec.org/opportunities/1298549</v>
      </c>
      <c r="L1297" s="43" t="str">
        <f>IFERROR(__xludf.DUMMYFUNCTION("""COMPUTED_VALUE"""),"GV")</f>
        <v>GV</v>
      </c>
      <c r="M1297" s="43" t="str">
        <f>IFERROR(__xludf.DUMMYFUNCTION("""COMPUTED_VALUE"""),"short")</f>
        <v>short</v>
      </c>
      <c r="N1297" s="45">
        <f>IFERROR(__xludf.DUMMYFUNCTION("""COMPUTED_VALUE"""),45265.0)</f>
        <v>45265</v>
      </c>
      <c r="O1297" s="45">
        <f>IFERROR(__xludf.DUMMYFUNCTION("""COMPUTED_VALUE"""),45474.0)</f>
        <v>45474</v>
      </c>
      <c r="P1297" s="45">
        <f>IFERROR(__xludf.DUMMYFUNCTION("""COMPUTED_VALUE"""),45516.0)</f>
        <v>45516</v>
      </c>
      <c r="Q1297" s="45"/>
      <c r="R1297" s="45"/>
      <c r="S1297" s="43"/>
      <c r="T1297" s="43"/>
      <c r="U1297" s="43" t="str">
        <f>IFERROR(__xludf.DUMMYFUNCTION("""COMPUTED_VALUE"""),"Global Classroom")</f>
        <v>Global Classroom</v>
      </c>
      <c r="V1297" s="43" t="str">
        <f>IFERROR(__xludf.DUMMYFUNCTION("""COMPUTED_VALUE"""),"ISTANBUL - BAKIRKOY")</f>
        <v>ISTANBUL - BAKIRKOY</v>
      </c>
      <c r="W1297" s="43" t="str">
        <f>IFERROR(__xludf.DUMMYFUNCTION("""COMPUTED_VALUE"""),"2023-12-02T14:48:41Z")</f>
        <v>2023-12-02T14:48:41Z</v>
      </c>
      <c r="X1297" s="43"/>
      <c r="Y1297" s="43"/>
      <c r="Z1297" s="43"/>
    </row>
    <row r="1298" hidden="1">
      <c r="A1298" s="43" t="str">
        <f>IFERROR(__xludf.DUMMYFUNCTION("""COMPUTED_VALUE"""),"5383286_1299359")</f>
        <v>5383286_1299359</v>
      </c>
      <c r="B1298" s="43" t="str">
        <f>IFERROR(__xludf.DUMMYFUNCTION("""COMPUTED_VALUE"""),"Güler Buse Duman")</f>
        <v>Güler Buse Duman</v>
      </c>
      <c r="C1298" s="43" t="str">
        <f>IFERROR(__xludf.DUMMYFUNCTION("""COMPUTED_VALUE"""),"approved")</f>
        <v>approved</v>
      </c>
      <c r="D1298" s="43" t="str">
        <f>IFERROR(__xludf.DUMMYFUNCTION("""COMPUTED_VALUE"""),"No")</f>
        <v>No</v>
      </c>
      <c r="E1298" s="43" t="str">
        <f>IFERROR(__xludf.DUMMYFUNCTION("""COMPUTED_VALUE"""),"p_fff32029a244dfd38f9b52967548d849e267b78e@inbound.aiesec.org")</f>
        <v>p_fff32029a244dfd38f9b52967548d849e267b78e@inbound.aiesec.org</v>
      </c>
      <c r="F1298" s="43">
        <f>IFERROR(__xludf.DUMMYFUNCTION("""COMPUTED_VALUE"""),5.549695978E9)</f>
        <v>5549695978</v>
      </c>
      <c r="G1298" s="43" t="str">
        <f>IFERROR(__xludf.DUMMYFUNCTION("""COMPUTED_VALUE"""),"Turkey")</f>
        <v>Turkey</v>
      </c>
      <c r="H1298" s="43" t="str">
        <f>IFERROR(__xludf.DUMMYFUNCTION("""COMPUTED_VALUE"""),"ANKARA")</f>
        <v>ANKARA</v>
      </c>
      <c r="I1298" s="43" t="str">
        <f>IFERROR(__xludf.DUMMYFUNCTION("""COMPUTED_VALUE"""),"Egypt")</f>
        <v>Egypt</v>
      </c>
      <c r="J1298" s="43" t="str">
        <f>IFERROR(__xludf.DUMMYFUNCTION("""COMPUTED_VALUE"""),"Ain Shams University")</f>
        <v>Ain Shams University</v>
      </c>
      <c r="K1298" s="44" t="str">
        <f>IFERROR(__xludf.DUMMYFUNCTION("""COMPUTED_VALUE"""),"https://expa.aiesec.org/opportunities/1299359")</f>
        <v>https://expa.aiesec.org/opportunities/1299359</v>
      </c>
      <c r="L1298" s="43" t="str">
        <f>IFERROR(__xludf.DUMMYFUNCTION("""COMPUTED_VALUE"""),"GV")</f>
        <v>GV</v>
      </c>
      <c r="M1298" s="43" t="str">
        <f>IFERROR(__xludf.DUMMYFUNCTION("""COMPUTED_VALUE"""),"short")</f>
        <v>short</v>
      </c>
      <c r="N1298" s="45">
        <f>IFERROR(__xludf.DUMMYFUNCTION("""COMPUTED_VALUE"""),45265.0)</f>
        <v>45265</v>
      </c>
      <c r="O1298" s="45">
        <f>IFERROR(__xludf.DUMMYFUNCTION("""COMPUTED_VALUE"""),45311.0)</f>
        <v>45311</v>
      </c>
      <c r="P1298" s="45">
        <f>IFERROR(__xludf.DUMMYFUNCTION("""COMPUTED_VALUE"""),45353.0)</f>
        <v>45353</v>
      </c>
      <c r="Q1298" s="45"/>
      <c r="R1298" s="45"/>
      <c r="S1298" s="43"/>
      <c r="T1298" s="43"/>
      <c r="U1298" s="43" t="str">
        <f>IFERROR(__xludf.DUMMYFUNCTION("""COMPUTED_VALUE"""),"Global Classroom")</f>
        <v>Global Classroom</v>
      </c>
      <c r="V1298" s="43" t="str">
        <f>IFERROR(__xludf.DUMMYFUNCTION("""COMPUTED_VALUE"""),"ANKARA")</f>
        <v>ANKARA</v>
      </c>
      <c r="W1298" s="43" t="str">
        <f>IFERROR(__xludf.DUMMYFUNCTION("""COMPUTED_VALUE"""),"2023-11-30T16:01:32Z")</f>
        <v>2023-11-30T16:01:32Z</v>
      </c>
      <c r="X1298" s="43"/>
      <c r="Y1298" s="43"/>
      <c r="Z1298" s="43"/>
    </row>
    <row r="1299" hidden="1">
      <c r="A1299" s="43" t="str">
        <f>IFERROR(__xludf.DUMMYFUNCTION("""COMPUTED_VALUE"""),"5288705_1298866")</f>
        <v>5288705_1298866</v>
      </c>
      <c r="B1299" s="43" t="str">
        <f>IFERROR(__xludf.DUMMYFUNCTION("""COMPUTED_VALUE"""),"Hatice Batmaz")</f>
        <v>Hatice Batmaz</v>
      </c>
      <c r="C1299" s="43" t="str">
        <f>IFERROR(__xludf.DUMMYFUNCTION("""COMPUTED_VALUE"""),"approved")</f>
        <v>approved</v>
      </c>
      <c r="D1299" s="43" t="str">
        <f>IFERROR(__xludf.DUMMYFUNCTION("""COMPUTED_VALUE"""),"No")</f>
        <v>No</v>
      </c>
      <c r="E1299" s="43" t="str">
        <f>IFERROR(__xludf.DUMMYFUNCTION("""COMPUTED_VALUE"""),"p_6db73f7c2375ad9fac417b70436db37201e3f783@inbound.aiesec.org")</f>
        <v>p_6db73f7c2375ad9fac417b70436db37201e3f783@inbound.aiesec.org</v>
      </c>
      <c r="F1299" s="43">
        <f>IFERROR(__xludf.DUMMYFUNCTION("""COMPUTED_VALUE"""),5.453841183E9)</f>
        <v>5453841183</v>
      </c>
      <c r="G1299" s="43" t="str">
        <f>IFERROR(__xludf.DUMMYFUNCTION("""COMPUTED_VALUE"""),"Turkey")</f>
        <v>Turkey</v>
      </c>
      <c r="H1299" s="43" t="str">
        <f>IFERROR(__xludf.DUMMYFUNCTION("""COMPUTED_VALUE"""),"ANKARA")</f>
        <v>ANKARA</v>
      </c>
      <c r="I1299" s="43" t="str">
        <f>IFERROR(__xludf.DUMMYFUNCTION("""COMPUTED_VALUE"""),"Egypt")</f>
        <v>Egypt</v>
      </c>
      <c r="J1299" s="43" t="str">
        <f>IFERROR(__xludf.DUMMYFUNCTION("""COMPUTED_VALUE"""),"Ain Shams University")</f>
        <v>Ain Shams University</v>
      </c>
      <c r="K1299" s="44" t="str">
        <f>IFERROR(__xludf.DUMMYFUNCTION("""COMPUTED_VALUE"""),"https://expa.aiesec.org/opportunities/1298866")</f>
        <v>https://expa.aiesec.org/opportunities/1298866</v>
      </c>
      <c r="L1299" s="43" t="str">
        <f>IFERROR(__xludf.DUMMYFUNCTION("""COMPUTED_VALUE"""),"GV")</f>
        <v>GV</v>
      </c>
      <c r="M1299" s="43" t="str">
        <f>IFERROR(__xludf.DUMMYFUNCTION("""COMPUTED_VALUE"""),"short")</f>
        <v>short</v>
      </c>
      <c r="N1299" s="45">
        <f>IFERROR(__xludf.DUMMYFUNCTION("""COMPUTED_VALUE"""),45265.0)</f>
        <v>45265</v>
      </c>
      <c r="O1299" s="45">
        <f>IFERROR(__xludf.DUMMYFUNCTION("""COMPUTED_VALUE"""),45323.0)</f>
        <v>45323</v>
      </c>
      <c r="P1299" s="45">
        <f>IFERROR(__xludf.DUMMYFUNCTION("""COMPUTED_VALUE"""),45365.0)</f>
        <v>45365</v>
      </c>
      <c r="Q1299" s="45"/>
      <c r="R1299" s="45"/>
      <c r="S1299" s="43"/>
      <c r="T1299" s="43"/>
      <c r="U1299" s="43" t="str">
        <f>IFERROR(__xludf.DUMMYFUNCTION("""COMPUTED_VALUE"""),"Global Classroom")</f>
        <v>Global Classroom</v>
      </c>
      <c r="V1299" s="43" t="str">
        <f>IFERROR(__xludf.DUMMYFUNCTION("""COMPUTED_VALUE"""),"ANKARA")</f>
        <v>ANKARA</v>
      </c>
      <c r="W1299" s="43" t="str">
        <f>IFERROR(__xludf.DUMMYFUNCTION("""COMPUTED_VALUE"""),"2023-07-24T09:48:20Z")</f>
        <v>2023-07-24T09:48:20Z</v>
      </c>
      <c r="X1299" s="43"/>
      <c r="Y1299" s="43"/>
      <c r="Z1299" s="43"/>
    </row>
    <row r="1300" hidden="1">
      <c r="A1300" s="43" t="str">
        <f>IFERROR(__xludf.DUMMYFUNCTION("""COMPUTED_VALUE"""),"5376184_1299605")</f>
        <v>5376184_1299605</v>
      </c>
      <c r="B1300" s="43" t="str">
        <f>IFERROR(__xludf.DUMMYFUNCTION("""COMPUTED_VALUE"""),"zeynep sünbül")</f>
        <v>zeynep sünbül</v>
      </c>
      <c r="C1300" s="43" t="str">
        <f>IFERROR(__xludf.DUMMYFUNCTION("""COMPUTED_VALUE"""),"approved")</f>
        <v>approved</v>
      </c>
      <c r="D1300" s="43" t="str">
        <f>IFERROR(__xludf.DUMMYFUNCTION("""COMPUTED_VALUE"""),"No")</f>
        <v>No</v>
      </c>
      <c r="E1300" s="43" t="str">
        <f>IFERROR(__xludf.DUMMYFUNCTION("""COMPUTED_VALUE"""),"p_d6c2b9512cadd46f657a1d8fc7cce94293a67499@inbound.aiesec.org")</f>
        <v>p_d6c2b9512cadd46f657a1d8fc7cce94293a67499@inbound.aiesec.org</v>
      </c>
      <c r="F1300" s="43">
        <f>IFERROR(__xludf.DUMMYFUNCTION("""COMPUTED_VALUE"""),5.308940061E9)</f>
        <v>5308940061</v>
      </c>
      <c r="G1300" s="43" t="str">
        <f>IFERROR(__xludf.DUMMYFUNCTION("""COMPUTED_VALUE"""),"Turkey")</f>
        <v>Turkey</v>
      </c>
      <c r="H1300" s="43" t="str">
        <f>IFERROR(__xludf.DUMMYFUNCTION("""COMPUTED_VALUE"""),"ISTANBUL ASIA")</f>
        <v>ISTANBUL ASIA</v>
      </c>
      <c r="I1300" s="43" t="str">
        <f>IFERROR(__xludf.DUMMYFUNCTION("""COMPUTED_VALUE"""),"Tunisia")</f>
        <v>Tunisia</v>
      </c>
      <c r="J1300" s="43" t="str">
        <f>IFERROR(__xludf.DUMMYFUNCTION("""COMPUTED_VALUE"""),"SFAX")</f>
        <v>SFAX</v>
      </c>
      <c r="K1300" s="44" t="str">
        <f>IFERROR(__xludf.DUMMYFUNCTION("""COMPUTED_VALUE"""),"https://expa.aiesec.org/opportunities/1299605")</f>
        <v>https://expa.aiesec.org/opportunities/1299605</v>
      </c>
      <c r="L1300" s="43" t="str">
        <f>IFERROR(__xludf.DUMMYFUNCTION("""COMPUTED_VALUE"""),"GV")</f>
        <v>GV</v>
      </c>
      <c r="M1300" s="43" t="str">
        <f>IFERROR(__xludf.DUMMYFUNCTION("""COMPUTED_VALUE"""),"short")</f>
        <v>short</v>
      </c>
      <c r="N1300" s="45">
        <f>IFERROR(__xludf.DUMMYFUNCTION("""COMPUTED_VALUE"""),45265.0)</f>
        <v>45265</v>
      </c>
      <c r="O1300" s="45">
        <f>IFERROR(__xludf.DUMMYFUNCTION("""COMPUTED_VALUE"""),45488.0)</f>
        <v>45488</v>
      </c>
      <c r="P1300" s="45">
        <f>IFERROR(__xludf.DUMMYFUNCTION("""COMPUTED_VALUE"""),45530.0)</f>
        <v>45530</v>
      </c>
      <c r="Q1300" s="45"/>
      <c r="R1300" s="45"/>
      <c r="S1300" s="43"/>
      <c r="T1300" s="43"/>
      <c r="U1300" s="43" t="str">
        <f>IFERROR(__xludf.DUMMYFUNCTION("""COMPUTED_VALUE"""),"Aquatica")</f>
        <v>Aquatica</v>
      </c>
      <c r="V1300" s="43" t="str">
        <f>IFERROR(__xludf.DUMMYFUNCTION("""COMPUTED_VALUE"""),"ISTANBUL ASIA")</f>
        <v>ISTANBUL ASIA</v>
      </c>
      <c r="W1300" s="43" t="str">
        <f>IFERROR(__xludf.DUMMYFUNCTION("""COMPUTED_VALUE"""),"2023-11-20T17:06:50Z")</f>
        <v>2023-11-20T17:06:50Z</v>
      </c>
      <c r="X1300" s="43"/>
      <c r="Y1300" s="43"/>
      <c r="Z1300" s="43"/>
    </row>
    <row r="1301" hidden="1">
      <c r="A1301" s="43" t="str">
        <f>IFERROR(__xludf.DUMMYFUNCTION("""COMPUTED_VALUE"""),"5379750_1299884")</f>
        <v>5379750_1299884</v>
      </c>
      <c r="B1301" s="43" t="str">
        <f>IFERROR(__xludf.DUMMYFUNCTION("""COMPUTED_VALUE"""),"Bahar Topal")</f>
        <v>Bahar Topal</v>
      </c>
      <c r="C1301" s="43" t="str">
        <f>IFERROR(__xludf.DUMMYFUNCTION("""COMPUTED_VALUE"""),"approved")</f>
        <v>approved</v>
      </c>
      <c r="D1301" s="43" t="str">
        <f>IFERROR(__xludf.DUMMYFUNCTION("""COMPUTED_VALUE"""),"No")</f>
        <v>No</v>
      </c>
      <c r="E1301" s="43" t="str">
        <f>IFERROR(__xludf.DUMMYFUNCTION("""COMPUTED_VALUE"""),"p_6fda305fdfd099fac0d2ebdebdf3cb1781f36e88@inbound.aiesec.org")</f>
        <v>p_6fda305fdfd099fac0d2ebdebdf3cb1781f36e88@inbound.aiesec.org</v>
      </c>
      <c r="F1301" s="43">
        <f>IFERROR(__xludf.DUMMYFUNCTION("""COMPUTED_VALUE"""),5.453837011E9)</f>
        <v>5453837011</v>
      </c>
      <c r="G1301" s="43" t="str">
        <f>IFERROR(__xludf.DUMMYFUNCTION("""COMPUTED_VALUE"""),"Turkey")</f>
        <v>Turkey</v>
      </c>
      <c r="H1301" s="43" t="str">
        <f>IFERROR(__xludf.DUMMYFUNCTION("""COMPUTED_VALUE"""),"ANKARA")</f>
        <v>ANKARA</v>
      </c>
      <c r="I1301" s="43" t="str">
        <f>IFERROR(__xludf.DUMMYFUNCTION("""COMPUTED_VALUE"""),"Bosnia and Herzegovina")</f>
        <v>Bosnia and Herzegovina</v>
      </c>
      <c r="J1301" s="43" t="str">
        <f>IFERROR(__xludf.DUMMYFUNCTION("""COMPUTED_VALUE"""),"SARAJEVO")</f>
        <v>SARAJEVO</v>
      </c>
      <c r="K1301" s="44" t="str">
        <f>IFERROR(__xludf.DUMMYFUNCTION("""COMPUTED_VALUE"""),"https://expa.aiesec.org/opportunities/1299884")</f>
        <v>https://expa.aiesec.org/opportunities/1299884</v>
      </c>
      <c r="L1301" s="43" t="str">
        <f>IFERROR(__xludf.DUMMYFUNCTION("""COMPUTED_VALUE"""),"GV")</f>
        <v>GV</v>
      </c>
      <c r="M1301" s="43" t="str">
        <f>IFERROR(__xludf.DUMMYFUNCTION("""COMPUTED_VALUE"""),"short")</f>
        <v>short</v>
      </c>
      <c r="N1301" s="45">
        <f>IFERROR(__xludf.DUMMYFUNCTION("""COMPUTED_VALUE"""),45265.0)</f>
        <v>45265</v>
      </c>
      <c r="O1301" s="45">
        <f>IFERROR(__xludf.DUMMYFUNCTION("""COMPUTED_VALUE"""),45492.0)</f>
        <v>45492</v>
      </c>
      <c r="P1301" s="45">
        <f>IFERROR(__xludf.DUMMYFUNCTION("""COMPUTED_VALUE"""),45534.0)</f>
        <v>45534</v>
      </c>
      <c r="Q1301" s="45"/>
      <c r="R1301" s="45"/>
      <c r="S1301" s="43"/>
      <c r="T1301" s="43"/>
      <c r="U1301" s="43" t="str">
        <f>IFERROR(__xludf.DUMMYFUNCTION("""COMPUTED_VALUE"""),"Youth 4 Impact")</f>
        <v>Youth 4 Impact</v>
      </c>
      <c r="V1301" s="43" t="str">
        <f>IFERROR(__xludf.DUMMYFUNCTION("""COMPUTED_VALUE"""),"ANKARA")</f>
        <v>ANKARA</v>
      </c>
      <c r="W1301" s="43" t="str">
        <f>IFERROR(__xludf.DUMMYFUNCTION("""COMPUTED_VALUE"""),"2023-11-25T17:17:44Z")</f>
        <v>2023-11-25T17:17:44Z</v>
      </c>
      <c r="X1301" s="43"/>
      <c r="Y1301" s="43"/>
      <c r="Z1301" s="43"/>
    </row>
    <row r="1302" hidden="1">
      <c r="A1302" s="43" t="str">
        <f>IFERROR(__xludf.DUMMYFUNCTION("""COMPUTED_VALUE"""),"4847062_1293683")</f>
        <v>4847062_1293683</v>
      </c>
      <c r="B1302" s="43" t="str">
        <f>IFERROR(__xludf.DUMMYFUNCTION("""COMPUTED_VALUE"""),"Enes Türkoğlu")</f>
        <v>Enes Türkoğlu</v>
      </c>
      <c r="C1302" s="43" t="str">
        <f>IFERROR(__xludf.DUMMYFUNCTION("""COMPUTED_VALUE"""),"approved")</f>
        <v>approved</v>
      </c>
      <c r="D1302" s="43" t="str">
        <f>IFERROR(__xludf.DUMMYFUNCTION("""COMPUTED_VALUE"""),"No")</f>
        <v>No</v>
      </c>
      <c r="E1302" s="43" t="str">
        <f>IFERROR(__xludf.DUMMYFUNCTION("""COMPUTED_VALUE"""),"p_19f472c0a82b4fe1adaefd46092c93cf01b7b44b@inbound.aiesec.org")</f>
        <v>p_19f472c0a82b4fe1adaefd46092c93cf01b7b44b@inbound.aiesec.org</v>
      </c>
      <c r="F1302" s="43">
        <f>IFERROR(__xludf.DUMMYFUNCTION("""COMPUTED_VALUE"""),5.511440729E9)</f>
        <v>5511440729</v>
      </c>
      <c r="G1302" s="43" t="str">
        <f>IFERROR(__xludf.DUMMYFUNCTION("""COMPUTED_VALUE"""),"Turkey")</f>
        <v>Turkey</v>
      </c>
      <c r="H1302" s="43" t="str">
        <f>IFERROR(__xludf.DUMMYFUNCTION("""COMPUTED_VALUE"""),"ANKARA")</f>
        <v>ANKARA</v>
      </c>
      <c r="I1302" s="43" t="str">
        <f>IFERROR(__xludf.DUMMYFUNCTION("""COMPUTED_VALUE"""),"Sri Lanka")</f>
        <v>Sri Lanka</v>
      </c>
      <c r="J1302" s="43" t="str">
        <f>IFERROR(__xludf.DUMMYFUNCTION("""COMPUTED_VALUE"""),"RUHUNA")</f>
        <v>RUHUNA</v>
      </c>
      <c r="K1302" s="44" t="str">
        <f>IFERROR(__xludf.DUMMYFUNCTION("""COMPUTED_VALUE"""),"https://expa.aiesec.org/opportunities/1293683")</f>
        <v>https://expa.aiesec.org/opportunities/1293683</v>
      </c>
      <c r="L1302" s="43" t="str">
        <f>IFERROR(__xludf.DUMMYFUNCTION("""COMPUTED_VALUE"""),"GV")</f>
        <v>GV</v>
      </c>
      <c r="M1302" s="43" t="str">
        <f>IFERROR(__xludf.DUMMYFUNCTION("""COMPUTED_VALUE"""),"short")</f>
        <v>short</v>
      </c>
      <c r="N1302" s="45">
        <f>IFERROR(__xludf.DUMMYFUNCTION("""COMPUTED_VALUE"""),45266.0)</f>
        <v>45266</v>
      </c>
      <c r="O1302" s="45">
        <f>IFERROR(__xludf.DUMMYFUNCTION("""COMPUTED_VALUE"""),45460.0)</f>
        <v>45460</v>
      </c>
      <c r="P1302" s="45">
        <f>IFERROR(__xludf.DUMMYFUNCTION("""COMPUTED_VALUE"""),45502.0)</f>
        <v>45502</v>
      </c>
      <c r="Q1302" s="45"/>
      <c r="R1302" s="45"/>
      <c r="S1302" s="43"/>
      <c r="T1302" s="43"/>
      <c r="U1302" s="43" t="str">
        <f>IFERROR(__xludf.DUMMYFUNCTION("""COMPUTED_VALUE"""),"Aquatica")</f>
        <v>Aquatica</v>
      </c>
      <c r="V1302" s="43" t="str">
        <f>IFERROR(__xludf.DUMMYFUNCTION("""COMPUTED_VALUE"""),"ANKARA")</f>
        <v>ANKARA</v>
      </c>
      <c r="W1302" s="43" t="str">
        <f>IFERROR(__xludf.DUMMYFUNCTION("""COMPUTED_VALUE"""),"2021-12-17T08:28:30Z")</f>
        <v>2021-12-17T08:28:30Z</v>
      </c>
      <c r="X1302" s="43"/>
      <c r="Y1302" s="43"/>
      <c r="Z1302" s="43"/>
    </row>
    <row r="1303" hidden="1">
      <c r="A1303" s="43" t="str">
        <f>IFERROR(__xludf.DUMMYFUNCTION("""COMPUTED_VALUE"""),"5386129_1288420")</f>
        <v>5386129_1288420</v>
      </c>
      <c r="B1303" s="43" t="str">
        <f>IFERROR(__xludf.DUMMYFUNCTION("""COMPUTED_VALUE"""),"Cansel İlter")</f>
        <v>Cansel İlter</v>
      </c>
      <c r="C1303" s="43" t="str">
        <f>IFERROR(__xludf.DUMMYFUNCTION("""COMPUTED_VALUE"""),"approved")</f>
        <v>approved</v>
      </c>
      <c r="D1303" s="43" t="str">
        <f>IFERROR(__xludf.DUMMYFUNCTION("""COMPUTED_VALUE"""),"No")</f>
        <v>No</v>
      </c>
      <c r="E1303" s="43" t="str">
        <f>IFERROR(__xludf.DUMMYFUNCTION("""COMPUTED_VALUE"""),"p_0126ac1d46a6e67e65e213054566b5dfb3dbf813@inbound.aiesec.org")</f>
        <v>p_0126ac1d46a6e67e65e213054566b5dfb3dbf813@inbound.aiesec.org</v>
      </c>
      <c r="F1303" s="43">
        <f>IFERROR(__xludf.DUMMYFUNCTION("""COMPUTED_VALUE"""),5.397385092E9)</f>
        <v>5397385092</v>
      </c>
      <c r="G1303" s="43" t="str">
        <f>IFERROR(__xludf.DUMMYFUNCTION("""COMPUTED_VALUE"""),"Turkey")</f>
        <v>Turkey</v>
      </c>
      <c r="H1303" s="43" t="str">
        <f>IFERROR(__xludf.DUMMYFUNCTION("""COMPUTED_VALUE"""),"KOCAELI")</f>
        <v>KOCAELI</v>
      </c>
      <c r="I1303" s="43" t="str">
        <f>IFERROR(__xludf.DUMMYFUNCTION("""COMPUTED_VALUE"""),"India")</f>
        <v>India</v>
      </c>
      <c r="J1303" s="43" t="str">
        <f>IFERROR(__xludf.DUMMYFUNCTION("""COMPUTED_VALUE"""),"JAIPUR ")</f>
        <v>JAIPUR </v>
      </c>
      <c r="K1303" s="44" t="str">
        <f>IFERROR(__xludf.DUMMYFUNCTION("""COMPUTED_VALUE"""),"https://expa.aiesec.org/opportunities/1288420")</f>
        <v>https://expa.aiesec.org/opportunities/1288420</v>
      </c>
      <c r="L1303" s="43" t="str">
        <f>IFERROR(__xludf.DUMMYFUNCTION("""COMPUTED_VALUE"""),"GV")</f>
        <v>GV</v>
      </c>
      <c r="M1303" s="43" t="str">
        <f>IFERROR(__xludf.DUMMYFUNCTION("""COMPUTED_VALUE"""),"short")</f>
        <v>short</v>
      </c>
      <c r="N1303" s="45">
        <f>IFERROR(__xludf.DUMMYFUNCTION("""COMPUTED_VALUE"""),45267.0)</f>
        <v>45267</v>
      </c>
      <c r="O1303" s="45">
        <f>IFERROR(__xludf.DUMMYFUNCTION("""COMPUTED_VALUE"""),45524.0)</f>
        <v>45524</v>
      </c>
      <c r="P1303" s="45">
        <f>IFERROR(__xludf.DUMMYFUNCTION("""COMPUTED_VALUE"""),45566.0)</f>
        <v>45566</v>
      </c>
      <c r="Q1303" s="45"/>
      <c r="R1303" s="45"/>
      <c r="S1303" s="43"/>
      <c r="T1303" s="43"/>
      <c r="U1303" s="43" t="str">
        <f>IFERROR(__xludf.DUMMYFUNCTION("""COMPUTED_VALUE"""),"Heartbeat")</f>
        <v>Heartbeat</v>
      </c>
      <c r="V1303" s="43" t="str">
        <f>IFERROR(__xludf.DUMMYFUNCTION("""COMPUTED_VALUE"""),"ZONGULDAK")</f>
        <v>ZONGULDAK</v>
      </c>
      <c r="W1303" s="43" t="str">
        <f>IFERROR(__xludf.DUMMYFUNCTION("""COMPUTED_VALUE"""),"2023-12-06T09:15:55Z")</f>
        <v>2023-12-06T09:15:55Z</v>
      </c>
      <c r="X1303" s="43"/>
      <c r="Y1303" s="43"/>
      <c r="Z1303" s="43"/>
    </row>
    <row r="1304" hidden="1">
      <c r="A1304" s="43" t="str">
        <f>IFERROR(__xludf.DUMMYFUNCTION("""COMPUTED_VALUE"""),"5379623_1301802")</f>
        <v>5379623_1301802</v>
      </c>
      <c r="B1304" s="43" t="str">
        <f>IFERROR(__xludf.DUMMYFUNCTION("""COMPUTED_VALUE"""),"Talya Karvan")</f>
        <v>Talya Karvan</v>
      </c>
      <c r="C1304" s="43" t="str">
        <f>IFERROR(__xludf.DUMMYFUNCTION("""COMPUTED_VALUE"""),"approved")</f>
        <v>approved</v>
      </c>
      <c r="D1304" s="43" t="str">
        <f>IFERROR(__xludf.DUMMYFUNCTION("""COMPUTED_VALUE"""),"No")</f>
        <v>No</v>
      </c>
      <c r="E1304" s="43" t="str">
        <f>IFERROR(__xludf.DUMMYFUNCTION("""COMPUTED_VALUE"""),"p_5e2283e7efbe32f8f2d7742cc00266a1835654a8@inbound.aiesec.org")</f>
        <v>p_5e2283e7efbe32f8f2d7742cc00266a1835654a8@inbound.aiesec.org</v>
      </c>
      <c r="F1304" s="43">
        <f>IFERROR(__xludf.DUMMYFUNCTION("""COMPUTED_VALUE"""),5.398844968E9)</f>
        <v>5398844968</v>
      </c>
      <c r="G1304" s="43" t="str">
        <f>IFERROR(__xludf.DUMMYFUNCTION("""COMPUTED_VALUE"""),"Turkey")</f>
        <v>Turkey</v>
      </c>
      <c r="H1304" s="43" t="str">
        <f>IFERROR(__xludf.DUMMYFUNCTION("""COMPUTED_VALUE"""),"ISTANBUL ASIA")</f>
        <v>ISTANBUL ASIA</v>
      </c>
      <c r="I1304" s="43" t="str">
        <f>IFERROR(__xludf.DUMMYFUNCTION("""COMPUTED_VALUE"""),"Romania")</f>
        <v>Romania</v>
      </c>
      <c r="J1304" s="43" t="str">
        <f>IFERROR(__xludf.DUMMYFUNCTION("""COMPUTED_VALUE"""),"BUCURESTI")</f>
        <v>BUCURESTI</v>
      </c>
      <c r="K1304" s="44" t="str">
        <f>IFERROR(__xludf.DUMMYFUNCTION("""COMPUTED_VALUE"""),"https://expa.aiesec.org/opportunities/1301802")</f>
        <v>https://expa.aiesec.org/opportunities/1301802</v>
      </c>
      <c r="L1304" s="43" t="str">
        <f>IFERROR(__xludf.DUMMYFUNCTION("""COMPUTED_VALUE"""),"GV")</f>
        <v>GV</v>
      </c>
      <c r="M1304" s="43" t="str">
        <f>IFERROR(__xludf.DUMMYFUNCTION("""COMPUTED_VALUE"""),"short")</f>
        <v>short</v>
      </c>
      <c r="N1304" s="45">
        <f>IFERROR(__xludf.DUMMYFUNCTION("""COMPUTED_VALUE"""),45267.0)</f>
        <v>45267</v>
      </c>
      <c r="O1304" s="45">
        <f>IFERROR(__xludf.DUMMYFUNCTION("""COMPUTED_VALUE"""),45467.0)</f>
        <v>45467</v>
      </c>
      <c r="P1304" s="45">
        <f>IFERROR(__xludf.DUMMYFUNCTION("""COMPUTED_VALUE"""),45509.0)</f>
        <v>45509</v>
      </c>
      <c r="Q1304" s="45"/>
      <c r="R1304" s="45"/>
      <c r="S1304" s="43"/>
      <c r="T1304" s="43"/>
      <c r="U1304" s="43" t="str">
        <f>IFERROR(__xludf.DUMMYFUNCTION("""COMPUTED_VALUE"""),"Fingerprint")</f>
        <v>Fingerprint</v>
      </c>
      <c r="V1304" s="43" t="str">
        <f>IFERROR(__xludf.DUMMYFUNCTION("""COMPUTED_VALUE"""),"ISTANBUL ASIA")</f>
        <v>ISTANBUL ASIA</v>
      </c>
      <c r="W1304" s="43" t="str">
        <f>IFERROR(__xludf.DUMMYFUNCTION("""COMPUTED_VALUE"""),"2023-11-25T13:08:48Z")</f>
        <v>2023-11-25T13:08:48Z</v>
      </c>
      <c r="X1304" s="43"/>
      <c r="Y1304" s="43"/>
      <c r="Z1304" s="43"/>
    </row>
    <row r="1305" hidden="1">
      <c r="A1305" s="43" t="str">
        <f>IFERROR(__xludf.DUMMYFUNCTION("""COMPUTED_VALUE"""),"5367658_1301243")</f>
        <v>5367658_1301243</v>
      </c>
      <c r="B1305" s="43" t="str">
        <f>IFERROR(__xludf.DUMMYFUNCTION("""COMPUTED_VALUE"""),"Gülsen Onay")</f>
        <v>Gülsen Onay</v>
      </c>
      <c r="C1305" s="43" t="str">
        <f>IFERROR(__xludf.DUMMYFUNCTION("""COMPUTED_VALUE"""),"approved")</f>
        <v>approved</v>
      </c>
      <c r="D1305" s="43" t="str">
        <f>IFERROR(__xludf.DUMMYFUNCTION("""COMPUTED_VALUE"""),"No")</f>
        <v>No</v>
      </c>
      <c r="E1305" s="43" t="str">
        <f>IFERROR(__xludf.DUMMYFUNCTION("""COMPUTED_VALUE"""),"p_e0cf0ccb951d220dafb89d7f2f87dca6df889b64@inbound.aiesec.org")</f>
        <v>p_e0cf0ccb951d220dafb89d7f2f87dca6df889b64@inbound.aiesec.org</v>
      </c>
      <c r="F1305" s="43">
        <f>IFERROR(__xludf.DUMMYFUNCTION("""COMPUTED_VALUE"""),5.41780974E9)</f>
        <v>5417809740</v>
      </c>
      <c r="G1305" s="43" t="str">
        <f>IFERROR(__xludf.DUMMYFUNCTION("""COMPUTED_VALUE"""),"Turkey")</f>
        <v>Turkey</v>
      </c>
      <c r="H1305" s="43" t="str">
        <f>IFERROR(__xludf.DUMMYFUNCTION("""COMPUTED_VALUE"""),"İZMİR")</f>
        <v>İZMİR</v>
      </c>
      <c r="I1305" s="43" t="str">
        <f>IFERROR(__xludf.DUMMYFUNCTION("""COMPUTED_VALUE"""),"Romania")</f>
        <v>Romania</v>
      </c>
      <c r="J1305" s="43" t="str">
        <f>IFERROR(__xludf.DUMMYFUNCTION("""COMPUTED_VALUE"""),"Craiova")</f>
        <v>Craiova</v>
      </c>
      <c r="K1305" s="44" t="str">
        <f>IFERROR(__xludf.DUMMYFUNCTION("""COMPUTED_VALUE"""),"https://expa.aiesec.org/opportunities/1301243")</f>
        <v>https://expa.aiesec.org/opportunities/1301243</v>
      </c>
      <c r="L1305" s="43" t="str">
        <f>IFERROR(__xludf.DUMMYFUNCTION("""COMPUTED_VALUE"""),"GV")</f>
        <v>GV</v>
      </c>
      <c r="M1305" s="43" t="str">
        <f>IFERROR(__xludf.DUMMYFUNCTION("""COMPUTED_VALUE"""),"short")</f>
        <v>short</v>
      </c>
      <c r="N1305" s="45">
        <f>IFERROR(__xludf.DUMMYFUNCTION("""COMPUTED_VALUE"""),45268.0)</f>
        <v>45268</v>
      </c>
      <c r="O1305" s="45">
        <f>IFERROR(__xludf.DUMMYFUNCTION("""COMPUTED_VALUE"""),45334.0)</f>
        <v>45334</v>
      </c>
      <c r="P1305" s="45">
        <f>IFERROR(__xludf.DUMMYFUNCTION("""COMPUTED_VALUE"""),45376.0)</f>
        <v>45376</v>
      </c>
      <c r="Q1305" s="45"/>
      <c r="R1305" s="45"/>
      <c r="S1305" s="43"/>
      <c r="T1305" s="43"/>
      <c r="U1305" s="43" t="str">
        <f>IFERROR(__xludf.DUMMYFUNCTION("""COMPUTED_VALUE"""),"Eat 4 Change")</f>
        <v>Eat 4 Change</v>
      </c>
      <c r="V1305" s="43" t="str">
        <f>IFERROR(__xludf.DUMMYFUNCTION("""COMPUTED_VALUE"""),"IZMIR")</f>
        <v>IZMIR</v>
      </c>
      <c r="W1305" s="43" t="str">
        <f>IFERROR(__xludf.DUMMYFUNCTION("""COMPUTED_VALUE"""),"2023-11-06T14:53:36Z")</f>
        <v>2023-11-06T14:53:36Z</v>
      </c>
      <c r="X1305" s="43"/>
      <c r="Y1305" s="43"/>
      <c r="Z1305" s="43"/>
    </row>
    <row r="1306" hidden="1">
      <c r="A1306" s="43" t="str">
        <f>IFERROR(__xludf.DUMMYFUNCTION("""COMPUTED_VALUE"""),"5385301_1281233")</f>
        <v>5385301_1281233</v>
      </c>
      <c r="B1306" s="43" t="str">
        <f>IFERROR(__xludf.DUMMYFUNCTION("""COMPUTED_VALUE"""),"Atıf Emre Gültepe")</f>
        <v>Atıf Emre Gültepe</v>
      </c>
      <c r="C1306" s="43" t="str">
        <f>IFERROR(__xludf.DUMMYFUNCTION("""COMPUTED_VALUE"""),"approved")</f>
        <v>approved</v>
      </c>
      <c r="D1306" s="43" t="str">
        <f>IFERROR(__xludf.DUMMYFUNCTION("""COMPUTED_VALUE"""),"No")</f>
        <v>No</v>
      </c>
      <c r="E1306" s="43" t="str">
        <f>IFERROR(__xludf.DUMMYFUNCTION("""COMPUTED_VALUE"""),"p_2250745144d80e5890c76909052c646820edf940@inbound.aiesec.org")</f>
        <v>p_2250745144d80e5890c76909052c646820edf940@inbound.aiesec.org</v>
      </c>
      <c r="F1306" s="43">
        <f>IFERROR(__xludf.DUMMYFUNCTION("""COMPUTED_VALUE"""),5.050992843E9)</f>
        <v>5050992843</v>
      </c>
      <c r="G1306" s="43" t="str">
        <f>IFERROR(__xludf.DUMMYFUNCTION("""COMPUTED_VALUE"""),"Turkey")</f>
        <v>Turkey</v>
      </c>
      <c r="H1306" s="43" t="str">
        <f>IFERROR(__xludf.DUMMYFUNCTION("""COMPUTED_VALUE"""),"KOCAELI")</f>
        <v>KOCAELI</v>
      </c>
      <c r="I1306" s="43" t="str">
        <f>IFERROR(__xludf.DUMMYFUNCTION("""COMPUTED_VALUE"""),"India")</f>
        <v>India</v>
      </c>
      <c r="J1306" s="43" t="str">
        <f>IFERROR(__xludf.DUMMYFUNCTION("""COMPUTED_VALUE"""),"Dehradun")</f>
        <v>Dehradun</v>
      </c>
      <c r="K1306" s="44" t="str">
        <f>IFERROR(__xludf.DUMMYFUNCTION("""COMPUTED_VALUE"""),"https://expa.aiesec.org/opportunities/1281233")</f>
        <v>https://expa.aiesec.org/opportunities/1281233</v>
      </c>
      <c r="L1306" s="43" t="str">
        <f>IFERROR(__xludf.DUMMYFUNCTION("""COMPUTED_VALUE"""),"GV")</f>
        <v>GV</v>
      </c>
      <c r="M1306" s="43" t="str">
        <f>IFERROR(__xludf.DUMMYFUNCTION("""COMPUTED_VALUE"""),"short")</f>
        <v>short</v>
      </c>
      <c r="N1306" s="45">
        <f>IFERROR(__xludf.DUMMYFUNCTION("""COMPUTED_VALUE"""),45268.0)</f>
        <v>45268</v>
      </c>
      <c r="O1306" s="45">
        <f>IFERROR(__xludf.DUMMYFUNCTION("""COMPUTED_VALUE"""),45474.0)</f>
        <v>45474</v>
      </c>
      <c r="P1306" s="45">
        <f>IFERROR(__xludf.DUMMYFUNCTION("""COMPUTED_VALUE"""),45516.0)</f>
        <v>45516</v>
      </c>
      <c r="Q1306" s="45"/>
      <c r="R1306" s="45"/>
      <c r="S1306" s="43"/>
      <c r="T1306" s="43"/>
      <c r="U1306" s="43" t="str">
        <f>IFERROR(__xludf.DUMMYFUNCTION("""COMPUTED_VALUE"""),"Skill Up!")</f>
        <v>Skill Up!</v>
      </c>
      <c r="V1306" s="43" t="str">
        <f>IFERROR(__xludf.DUMMYFUNCTION("""COMPUTED_VALUE"""),"KOCAELI")</f>
        <v>KOCAELI</v>
      </c>
      <c r="W1306" s="43" t="str">
        <f>IFERROR(__xludf.DUMMYFUNCTION("""COMPUTED_VALUE"""),"2023-12-04T15:51:38Z")</f>
        <v>2023-12-04T15:51:38Z</v>
      </c>
      <c r="X1306" s="43"/>
      <c r="Y1306" s="43"/>
      <c r="Z1306" s="43"/>
    </row>
    <row r="1307" hidden="1">
      <c r="A1307" s="43" t="str">
        <f>IFERROR(__xludf.DUMMYFUNCTION("""COMPUTED_VALUE"""),"5357415_1301420")</f>
        <v>5357415_1301420</v>
      </c>
      <c r="B1307" s="43" t="str">
        <f>IFERROR(__xludf.DUMMYFUNCTION("""COMPUTED_VALUE"""),"simge kılıç")</f>
        <v>simge kılıç</v>
      </c>
      <c r="C1307" s="43" t="str">
        <f>IFERROR(__xludf.DUMMYFUNCTION("""COMPUTED_VALUE"""),"realized")</f>
        <v>realized</v>
      </c>
      <c r="D1307" s="43" t="str">
        <f>IFERROR(__xludf.DUMMYFUNCTION("""COMPUTED_VALUE"""),"No")</f>
        <v>No</v>
      </c>
      <c r="E1307" s="43" t="str">
        <f>IFERROR(__xludf.DUMMYFUNCTION("""COMPUTED_VALUE"""),"p_45e420cbcb8207662d3d316c53d3bfab1d6b6a1a@inbound.aiesec.org")</f>
        <v>p_45e420cbcb8207662d3d316c53d3bfab1d6b6a1a@inbound.aiesec.org</v>
      </c>
      <c r="F1307" s="43">
        <f>IFERROR(__xludf.DUMMYFUNCTION("""COMPUTED_VALUE"""),5.070369958E9)</f>
        <v>5070369958</v>
      </c>
      <c r="G1307" s="43" t="str">
        <f>IFERROR(__xludf.DUMMYFUNCTION("""COMPUTED_VALUE"""),"Turkey")</f>
        <v>Turkey</v>
      </c>
      <c r="H1307" s="43" t="str">
        <f>IFERROR(__xludf.DUMMYFUNCTION("""COMPUTED_VALUE"""),"İZMİR")</f>
        <v>İZMİR</v>
      </c>
      <c r="I1307" s="43" t="str">
        <f>IFERROR(__xludf.DUMMYFUNCTION("""COMPUTED_VALUE"""),"Serbia")</f>
        <v>Serbia</v>
      </c>
      <c r="J1307" s="43" t="str">
        <f>IFERROR(__xludf.DUMMYFUNCTION("""COMPUTED_VALUE"""),"Singidunum")</f>
        <v>Singidunum</v>
      </c>
      <c r="K1307" s="44" t="str">
        <f>IFERROR(__xludf.DUMMYFUNCTION("""COMPUTED_VALUE"""),"https://expa.aiesec.org/opportunities/1301420")</f>
        <v>https://expa.aiesec.org/opportunities/1301420</v>
      </c>
      <c r="L1307" s="43" t="str">
        <f>IFERROR(__xludf.DUMMYFUNCTION("""COMPUTED_VALUE"""),"GV")</f>
        <v>GV</v>
      </c>
      <c r="M1307" s="43" t="str">
        <f>IFERROR(__xludf.DUMMYFUNCTION("""COMPUTED_VALUE"""),"short")</f>
        <v>short</v>
      </c>
      <c r="N1307" s="45">
        <f>IFERROR(__xludf.DUMMYFUNCTION("""COMPUTED_VALUE"""),45270.0)</f>
        <v>45270</v>
      </c>
      <c r="O1307" s="45">
        <f>IFERROR(__xludf.DUMMYFUNCTION("""COMPUTED_VALUE"""),45306.0)</f>
        <v>45306</v>
      </c>
      <c r="P1307" s="45">
        <f>IFERROR(__xludf.DUMMYFUNCTION("""COMPUTED_VALUE"""),45348.0)</f>
        <v>45348</v>
      </c>
      <c r="Q1307" s="45">
        <f>IFERROR(__xludf.DUMMYFUNCTION("""COMPUTED_VALUE"""),45320.0)</f>
        <v>45320</v>
      </c>
      <c r="R1307" s="45">
        <f>IFERROR(__xludf.DUMMYFUNCTION("""COMPUTED_VALUE"""),45361.0)</f>
        <v>45361</v>
      </c>
      <c r="S1307" s="43"/>
      <c r="T1307" s="43"/>
      <c r="U1307" s="43" t="str">
        <f>IFERROR(__xludf.DUMMYFUNCTION("""COMPUTED_VALUE"""),"Skill Up!")</f>
        <v>Skill Up!</v>
      </c>
      <c r="V1307" s="43" t="str">
        <f>IFERROR(__xludf.DUMMYFUNCTION("""COMPUTED_VALUE"""),"IZMIR")</f>
        <v>IZMIR</v>
      </c>
      <c r="W1307" s="43" t="str">
        <f>IFERROR(__xludf.DUMMYFUNCTION("""COMPUTED_VALUE"""),"2023-10-22T22:05:54Z")</f>
        <v>2023-10-22T22:05:54Z</v>
      </c>
      <c r="X1307" s="43"/>
      <c r="Y1307" s="43"/>
      <c r="Z1307" s="43"/>
    </row>
    <row r="1308" hidden="1">
      <c r="A1308" s="43" t="str">
        <f>IFERROR(__xludf.DUMMYFUNCTION("""COMPUTED_VALUE"""),"4884961_1301744")</f>
        <v>4884961_1301744</v>
      </c>
      <c r="B1308" s="43" t="str">
        <f>IFERROR(__xludf.DUMMYFUNCTION("""COMPUTED_VALUE"""),"sude gökdoğan")</f>
        <v>sude gökdoğan</v>
      </c>
      <c r="C1308" s="43" t="str">
        <f>IFERROR(__xludf.DUMMYFUNCTION("""COMPUTED_VALUE"""),"approved")</f>
        <v>approved</v>
      </c>
      <c r="D1308" s="43" t="str">
        <f>IFERROR(__xludf.DUMMYFUNCTION("""COMPUTED_VALUE"""),"No")</f>
        <v>No</v>
      </c>
      <c r="E1308" s="43" t="str">
        <f>IFERROR(__xludf.DUMMYFUNCTION("""COMPUTED_VALUE"""),"p_958007a98b896ead25714040090f643701355c3c@inbound.aiesec.org")</f>
        <v>p_958007a98b896ead25714040090f643701355c3c@inbound.aiesec.org</v>
      </c>
      <c r="F1308" s="43">
        <f>IFERROR(__xludf.DUMMYFUNCTION("""COMPUTED_VALUE"""),5.0615902E9)</f>
        <v>5061590200</v>
      </c>
      <c r="G1308" s="43" t="str">
        <f>IFERROR(__xludf.DUMMYFUNCTION("""COMPUTED_VALUE"""),"Turkey")</f>
        <v>Turkey</v>
      </c>
      <c r="H1308" s="43" t="str">
        <f>IFERROR(__xludf.DUMMYFUNCTION("""COMPUTED_VALUE"""),"ANKARA")</f>
        <v>ANKARA</v>
      </c>
      <c r="I1308" s="43" t="str">
        <f>IFERROR(__xludf.DUMMYFUNCTION("""COMPUTED_VALUE"""),"Portugal")</f>
        <v>Portugal</v>
      </c>
      <c r="J1308" s="43" t="str">
        <f>IFERROR(__xludf.DUMMYFUNCTION("""COMPUTED_VALUE"""),"UMINHO")</f>
        <v>UMINHO</v>
      </c>
      <c r="K1308" s="44" t="str">
        <f>IFERROR(__xludf.DUMMYFUNCTION("""COMPUTED_VALUE"""),"https://expa.aiesec.org/opportunities/1301744")</f>
        <v>https://expa.aiesec.org/opportunities/1301744</v>
      </c>
      <c r="L1308" s="43" t="str">
        <f>IFERROR(__xludf.DUMMYFUNCTION("""COMPUTED_VALUE"""),"GV")</f>
        <v>GV</v>
      </c>
      <c r="M1308" s="43" t="str">
        <f>IFERROR(__xludf.DUMMYFUNCTION("""COMPUTED_VALUE"""),"short")</f>
        <v>short</v>
      </c>
      <c r="N1308" s="45">
        <f>IFERROR(__xludf.DUMMYFUNCTION("""COMPUTED_VALUE"""),45270.0)</f>
        <v>45270</v>
      </c>
      <c r="O1308" s="45">
        <f>IFERROR(__xludf.DUMMYFUNCTION("""COMPUTED_VALUE"""),45469.0)</f>
        <v>45469</v>
      </c>
      <c r="P1308" s="45">
        <f>IFERROR(__xludf.DUMMYFUNCTION("""COMPUTED_VALUE"""),45511.0)</f>
        <v>45511</v>
      </c>
      <c r="Q1308" s="45"/>
      <c r="R1308" s="45"/>
      <c r="S1308" s="43"/>
      <c r="T1308" s="43"/>
      <c r="U1308" s="43" t="str">
        <f>IFERROR(__xludf.DUMMYFUNCTION("""COMPUTED_VALUE"""),"Equify")</f>
        <v>Equify</v>
      </c>
      <c r="V1308" s="43" t="str">
        <f>IFERROR(__xludf.DUMMYFUNCTION("""COMPUTED_VALUE"""),"ANKARA")</f>
        <v>ANKARA</v>
      </c>
      <c r="W1308" s="43" t="str">
        <f>IFERROR(__xludf.DUMMYFUNCTION("""COMPUTED_VALUE"""),"2022-01-16T22:20:18Z")</f>
        <v>2022-01-16T22:20:18Z</v>
      </c>
      <c r="X1308" s="43"/>
      <c r="Y1308" s="43"/>
      <c r="Z1308" s="43"/>
    </row>
    <row r="1309" hidden="1">
      <c r="A1309" s="43" t="str">
        <f>IFERROR(__xludf.DUMMYFUNCTION("""COMPUTED_VALUE"""),"5385638_1299199")</f>
        <v>5385638_1299199</v>
      </c>
      <c r="B1309" s="43" t="str">
        <f>IFERROR(__xludf.DUMMYFUNCTION("""COMPUTED_VALUE"""),"Başak Akter")</f>
        <v>Başak Akter</v>
      </c>
      <c r="C1309" s="43" t="str">
        <f>IFERROR(__xludf.DUMMYFUNCTION("""COMPUTED_VALUE"""),"approved")</f>
        <v>approved</v>
      </c>
      <c r="D1309" s="43" t="str">
        <f>IFERROR(__xludf.DUMMYFUNCTION("""COMPUTED_VALUE"""),"No")</f>
        <v>No</v>
      </c>
      <c r="E1309" s="43" t="str">
        <f>IFERROR(__xludf.DUMMYFUNCTION("""COMPUTED_VALUE"""),"p_1813034541b3d0368e00dd05fc81c0d64ed0c285@inbound.aiesec.org")</f>
        <v>p_1813034541b3d0368e00dd05fc81c0d64ed0c285@inbound.aiesec.org</v>
      </c>
      <c r="F1309" s="43">
        <f>IFERROR(__xludf.DUMMYFUNCTION("""COMPUTED_VALUE"""),5.325757735E9)</f>
        <v>5325757735</v>
      </c>
      <c r="G1309" s="43" t="str">
        <f>IFERROR(__xludf.DUMMYFUNCTION("""COMPUTED_VALUE"""),"Turkey")</f>
        <v>Turkey</v>
      </c>
      <c r="H1309" s="43" t="str">
        <f>IFERROR(__xludf.DUMMYFUNCTION("""COMPUTED_VALUE"""),"ISTANBUL ASIA")</f>
        <v>ISTANBUL ASIA</v>
      </c>
      <c r="I1309" s="43" t="str">
        <f>IFERROR(__xludf.DUMMYFUNCTION("""COMPUTED_VALUE"""),"Egypt")</f>
        <v>Egypt</v>
      </c>
      <c r="J1309" s="43" t="str">
        <f>IFERROR(__xludf.DUMMYFUNCTION("""COMPUTED_VALUE"""),"GUC")</f>
        <v>GUC</v>
      </c>
      <c r="K1309" s="44" t="str">
        <f>IFERROR(__xludf.DUMMYFUNCTION("""COMPUTED_VALUE"""),"https://expa.aiesec.org/opportunities/1299199")</f>
        <v>https://expa.aiesec.org/opportunities/1299199</v>
      </c>
      <c r="L1309" s="43" t="str">
        <f>IFERROR(__xludf.DUMMYFUNCTION("""COMPUTED_VALUE"""),"GV")</f>
        <v>GV</v>
      </c>
      <c r="M1309" s="43" t="str">
        <f>IFERROR(__xludf.DUMMYFUNCTION("""COMPUTED_VALUE"""),"short")</f>
        <v>short</v>
      </c>
      <c r="N1309" s="45">
        <f>IFERROR(__xludf.DUMMYFUNCTION("""COMPUTED_VALUE"""),45271.0)</f>
        <v>45271</v>
      </c>
      <c r="O1309" s="45">
        <f>IFERROR(__xludf.DUMMYFUNCTION("""COMPUTED_VALUE"""),45483.0)</f>
        <v>45483</v>
      </c>
      <c r="P1309" s="45">
        <f>IFERROR(__xludf.DUMMYFUNCTION("""COMPUTED_VALUE"""),45525.0)</f>
        <v>45525</v>
      </c>
      <c r="Q1309" s="45"/>
      <c r="R1309" s="45"/>
      <c r="S1309" s="43"/>
      <c r="T1309" s="43"/>
      <c r="U1309" s="43" t="str">
        <f>IFERROR(__xludf.DUMMYFUNCTION("""COMPUTED_VALUE"""),"Equify")</f>
        <v>Equify</v>
      </c>
      <c r="V1309" s="43" t="str">
        <f>IFERROR(__xludf.DUMMYFUNCTION("""COMPUTED_VALUE"""),"ISTANBUL ASIA")</f>
        <v>ISTANBUL ASIA</v>
      </c>
      <c r="W1309" s="43" t="str">
        <f>IFERROR(__xludf.DUMMYFUNCTION("""COMPUTED_VALUE"""),"2023-12-05T10:51:07Z")</f>
        <v>2023-12-05T10:51:07Z</v>
      </c>
      <c r="X1309" s="43"/>
      <c r="Y1309" s="43"/>
      <c r="Z1309" s="43"/>
    </row>
    <row r="1310" hidden="1">
      <c r="A1310" s="43" t="str">
        <f>IFERROR(__xludf.DUMMYFUNCTION("""COMPUTED_VALUE"""),"5268731_1298015")</f>
        <v>5268731_1298015</v>
      </c>
      <c r="B1310" s="43" t="str">
        <f>IFERROR(__xludf.DUMMYFUNCTION("""COMPUTED_VALUE"""),"Sena Dönmez")</f>
        <v>Sena Dönmez</v>
      </c>
      <c r="C1310" s="43" t="str">
        <f>IFERROR(__xludf.DUMMYFUNCTION("""COMPUTED_VALUE"""),"realized")</f>
        <v>realized</v>
      </c>
      <c r="D1310" s="43" t="str">
        <f>IFERROR(__xludf.DUMMYFUNCTION("""COMPUTED_VALUE"""),"No")</f>
        <v>No</v>
      </c>
      <c r="E1310" s="43" t="str">
        <f>IFERROR(__xludf.DUMMYFUNCTION("""COMPUTED_VALUE"""),"p_5f051246db87f9d5da6d17f8a228f2f69b5fbdb7@inbound.aiesec.org")</f>
        <v>p_5f051246db87f9d5da6d17f8a228f2f69b5fbdb7@inbound.aiesec.org</v>
      </c>
      <c r="F1310" s="43">
        <f>IFERROR(__xludf.DUMMYFUNCTION("""COMPUTED_VALUE"""),5.459047784E9)</f>
        <v>5459047784</v>
      </c>
      <c r="G1310" s="43" t="str">
        <f>IFERROR(__xludf.DUMMYFUNCTION("""COMPUTED_VALUE"""),"Turkey")</f>
        <v>Turkey</v>
      </c>
      <c r="H1310" s="43" t="str">
        <f>IFERROR(__xludf.DUMMYFUNCTION("""COMPUTED_VALUE"""),"KUTAHYA")</f>
        <v>KUTAHYA</v>
      </c>
      <c r="I1310" s="43" t="str">
        <f>IFERROR(__xludf.DUMMYFUNCTION("""COMPUTED_VALUE"""),"Egypt")</f>
        <v>Egypt</v>
      </c>
      <c r="J1310" s="43" t="str">
        <f>IFERROR(__xludf.DUMMYFUNCTION("""COMPUTED_VALUE"""),"Alexandria")</f>
        <v>Alexandria</v>
      </c>
      <c r="K1310" s="44" t="str">
        <f>IFERROR(__xludf.DUMMYFUNCTION("""COMPUTED_VALUE"""),"https://expa.aiesec.org/opportunities/1298015")</f>
        <v>https://expa.aiesec.org/opportunities/1298015</v>
      </c>
      <c r="L1310" s="43" t="str">
        <f>IFERROR(__xludf.DUMMYFUNCTION("""COMPUTED_VALUE"""),"GV")</f>
        <v>GV</v>
      </c>
      <c r="M1310" s="43" t="str">
        <f>IFERROR(__xludf.DUMMYFUNCTION("""COMPUTED_VALUE"""),"short")</f>
        <v>short</v>
      </c>
      <c r="N1310" s="45">
        <f>IFERROR(__xludf.DUMMYFUNCTION("""COMPUTED_VALUE"""),45271.0)</f>
        <v>45271</v>
      </c>
      <c r="O1310" s="45">
        <f>IFERROR(__xludf.DUMMYFUNCTION("""COMPUTED_VALUE"""),45301.0)</f>
        <v>45301</v>
      </c>
      <c r="P1310" s="45">
        <f>IFERROR(__xludf.DUMMYFUNCTION("""COMPUTED_VALUE"""),45343.0)</f>
        <v>45343</v>
      </c>
      <c r="Q1310" s="45">
        <f>IFERROR(__xludf.DUMMYFUNCTION("""COMPUTED_VALUE"""),45310.0)</f>
        <v>45310</v>
      </c>
      <c r="R1310" s="45">
        <f>IFERROR(__xludf.DUMMYFUNCTION("""COMPUTED_VALUE"""),45351.0)</f>
        <v>45351</v>
      </c>
      <c r="S1310" s="43"/>
      <c r="T1310" s="43"/>
      <c r="U1310" s="43" t="str">
        <f>IFERROR(__xludf.DUMMYFUNCTION("""COMPUTED_VALUE"""),"Fingerprint")</f>
        <v>Fingerprint</v>
      </c>
      <c r="V1310" s="43" t="str">
        <f>IFERROR(__xludf.DUMMYFUNCTION("""COMPUTED_VALUE"""),"KUTAHYA")</f>
        <v>KUTAHYA</v>
      </c>
      <c r="W1310" s="43" t="str">
        <f>IFERROR(__xludf.DUMMYFUNCTION("""COMPUTED_VALUE"""),"2023-05-30T11:42:33Z")</f>
        <v>2023-05-30T11:42:33Z</v>
      </c>
      <c r="X1310" s="43"/>
      <c r="Y1310" s="43"/>
      <c r="Z1310" s="43"/>
    </row>
    <row r="1311" hidden="1">
      <c r="A1311" s="43" t="str">
        <f>IFERROR(__xludf.DUMMYFUNCTION("""COMPUTED_VALUE"""),"5387954_1288410")</f>
        <v>5387954_1288410</v>
      </c>
      <c r="B1311" s="43" t="str">
        <f>IFERROR(__xludf.DUMMYFUNCTION("""COMPUTED_VALUE"""),"Nurgül Özbey")</f>
        <v>Nurgül Özbey</v>
      </c>
      <c r="C1311" s="43" t="str">
        <f>IFERROR(__xludf.DUMMYFUNCTION("""COMPUTED_VALUE"""),"approved")</f>
        <v>approved</v>
      </c>
      <c r="D1311" s="43" t="str">
        <f>IFERROR(__xludf.DUMMYFUNCTION("""COMPUTED_VALUE"""),"No")</f>
        <v>No</v>
      </c>
      <c r="E1311" s="43" t="str">
        <f>IFERROR(__xludf.DUMMYFUNCTION("""COMPUTED_VALUE"""),"p_0affde54347c9087ab519e99ae09d9cdf73bc537@inbound.aiesec.org")</f>
        <v>p_0affde54347c9087ab519e99ae09d9cdf73bc537@inbound.aiesec.org</v>
      </c>
      <c r="F1311" s="43">
        <f>IFERROR(__xludf.DUMMYFUNCTION("""COMPUTED_VALUE"""),0.0)</f>
        <v>0</v>
      </c>
      <c r="G1311" s="43" t="str">
        <f>IFERROR(__xludf.DUMMYFUNCTION("""COMPUTED_VALUE"""),"Turkey")</f>
        <v>Turkey</v>
      </c>
      <c r="H1311" s="43" t="str">
        <f>IFERROR(__xludf.DUMMYFUNCTION("""COMPUTED_VALUE"""),"KOCAELI")</f>
        <v>KOCAELI</v>
      </c>
      <c r="I1311" s="43" t="str">
        <f>IFERROR(__xludf.DUMMYFUNCTION("""COMPUTED_VALUE"""),"India")</f>
        <v>India</v>
      </c>
      <c r="J1311" s="43" t="str">
        <f>IFERROR(__xludf.DUMMYFUNCTION("""COMPUTED_VALUE"""),"JAIPUR ")</f>
        <v>JAIPUR </v>
      </c>
      <c r="K1311" s="44" t="str">
        <f>IFERROR(__xludf.DUMMYFUNCTION("""COMPUTED_VALUE"""),"https://expa.aiesec.org/opportunities/1288410")</f>
        <v>https://expa.aiesec.org/opportunities/1288410</v>
      </c>
      <c r="L1311" s="43" t="str">
        <f>IFERROR(__xludf.DUMMYFUNCTION("""COMPUTED_VALUE"""),"GV")</f>
        <v>GV</v>
      </c>
      <c r="M1311" s="43" t="str">
        <f>IFERROR(__xludf.DUMMYFUNCTION("""COMPUTED_VALUE"""),"short")</f>
        <v>short</v>
      </c>
      <c r="N1311" s="45">
        <f>IFERROR(__xludf.DUMMYFUNCTION("""COMPUTED_VALUE"""),45272.0)</f>
        <v>45272</v>
      </c>
      <c r="O1311" s="45">
        <f>IFERROR(__xludf.DUMMYFUNCTION("""COMPUTED_VALUE"""),45524.0)</f>
        <v>45524</v>
      </c>
      <c r="P1311" s="45">
        <f>IFERROR(__xludf.DUMMYFUNCTION("""COMPUTED_VALUE"""),45566.0)</f>
        <v>45566</v>
      </c>
      <c r="Q1311" s="45"/>
      <c r="R1311" s="45"/>
      <c r="S1311" s="43"/>
      <c r="T1311" s="43"/>
      <c r="U1311" s="43" t="str">
        <f>IFERROR(__xludf.DUMMYFUNCTION("""COMPUTED_VALUE"""),"Skill Up!")</f>
        <v>Skill Up!</v>
      </c>
      <c r="V1311" s="43" t="str">
        <f>IFERROR(__xludf.DUMMYFUNCTION("""COMPUTED_VALUE"""),"KOCAELI")</f>
        <v>KOCAELI</v>
      </c>
      <c r="W1311" s="43" t="str">
        <f>IFERROR(__xludf.DUMMYFUNCTION("""COMPUTED_VALUE"""),"2023-12-09T21:37:35Z")</f>
        <v>2023-12-09T21:37:35Z</v>
      </c>
      <c r="X1311" s="43"/>
      <c r="Y1311" s="43"/>
      <c r="Z1311" s="43"/>
    </row>
    <row r="1312" hidden="1">
      <c r="A1312" s="43" t="str">
        <f>IFERROR(__xludf.DUMMYFUNCTION("""COMPUTED_VALUE"""),"5377444_1302043")</f>
        <v>5377444_1302043</v>
      </c>
      <c r="B1312" s="43" t="str">
        <f>IFERROR(__xludf.DUMMYFUNCTION("""COMPUTED_VALUE"""),"Defne mert")</f>
        <v>Defne mert</v>
      </c>
      <c r="C1312" s="43" t="str">
        <f>IFERROR(__xludf.DUMMYFUNCTION("""COMPUTED_VALUE"""),"approved")</f>
        <v>approved</v>
      </c>
      <c r="D1312" s="43" t="str">
        <f>IFERROR(__xludf.DUMMYFUNCTION("""COMPUTED_VALUE"""),"No")</f>
        <v>No</v>
      </c>
      <c r="E1312" s="43" t="str">
        <f>IFERROR(__xludf.DUMMYFUNCTION("""COMPUTED_VALUE"""),"p_03ab711b9870b7c9f86f4b06eafe5004bf48bdfa@inbound.aiesec.org")</f>
        <v>p_03ab711b9870b7c9f86f4b06eafe5004bf48bdfa@inbound.aiesec.org</v>
      </c>
      <c r="F1312" s="43">
        <f>IFERROR(__xludf.DUMMYFUNCTION("""COMPUTED_VALUE"""),5.338530223E9)</f>
        <v>5338530223</v>
      </c>
      <c r="G1312" s="43" t="str">
        <f>IFERROR(__xludf.DUMMYFUNCTION("""COMPUTED_VALUE"""),"Turkey")</f>
        <v>Turkey</v>
      </c>
      <c r="H1312" s="43" t="str">
        <f>IFERROR(__xludf.DUMMYFUNCTION("""COMPUTED_VALUE"""),"EASTERN MEDITERRANEAN")</f>
        <v>EASTERN MEDITERRANEAN</v>
      </c>
      <c r="I1312" s="43" t="str">
        <f>IFERROR(__xludf.DUMMYFUNCTION("""COMPUTED_VALUE"""),"Romania")</f>
        <v>Romania</v>
      </c>
      <c r="J1312" s="43" t="str">
        <f>IFERROR(__xludf.DUMMYFUNCTION("""COMPUTED_VALUE"""),"Cluj-Napoca")</f>
        <v>Cluj-Napoca</v>
      </c>
      <c r="K1312" s="44" t="str">
        <f>IFERROR(__xludf.DUMMYFUNCTION("""COMPUTED_VALUE"""),"https://expa.aiesec.org/opportunities/1302043")</f>
        <v>https://expa.aiesec.org/opportunities/1302043</v>
      </c>
      <c r="L1312" s="43" t="str">
        <f>IFERROR(__xludf.DUMMYFUNCTION("""COMPUTED_VALUE"""),"GV")</f>
        <v>GV</v>
      </c>
      <c r="M1312" s="43" t="str">
        <f>IFERROR(__xludf.DUMMYFUNCTION("""COMPUTED_VALUE"""),"short")</f>
        <v>short</v>
      </c>
      <c r="N1312" s="45">
        <f>IFERROR(__xludf.DUMMYFUNCTION("""COMPUTED_VALUE"""),45272.0)</f>
        <v>45272</v>
      </c>
      <c r="O1312" s="45">
        <f>IFERROR(__xludf.DUMMYFUNCTION("""COMPUTED_VALUE"""),45474.0)</f>
        <v>45474</v>
      </c>
      <c r="P1312" s="45">
        <f>IFERROR(__xludf.DUMMYFUNCTION("""COMPUTED_VALUE"""),45516.0)</f>
        <v>45516</v>
      </c>
      <c r="Q1312" s="45"/>
      <c r="R1312" s="45"/>
      <c r="S1312" s="43"/>
      <c r="T1312" s="43"/>
      <c r="U1312" s="43" t="str">
        <f>IFERROR(__xludf.DUMMYFUNCTION("""COMPUTED_VALUE"""),"Global Classroom")</f>
        <v>Global Classroom</v>
      </c>
      <c r="V1312" s="43" t="str">
        <f>IFERROR(__xludf.DUMMYFUNCTION("""COMPUTED_VALUE"""),"NORTH CYPRUS")</f>
        <v>NORTH CYPRUS</v>
      </c>
      <c r="W1312" s="43" t="str">
        <f>IFERROR(__xludf.DUMMYFUNCTION("""COMPUTED_VALUE"""),"2023-11-22T12:11:06Z")</f>
        <v>2023-11-22T12:11:06Z</v>
      </c>
      <c r="X1312" s="43"/>
      <c r="Y1312" s="43"/>
      <c r="Z1312" s="43"/>
    </row>
    <row r="1313" hidden="1">
      <c r="A1313" s="43" t="str">
        <f>IFERROR(__xludf.DUMMYFUNCTION("""COMPUTED_VALUE"""),"5249237_1301586")</f>
        <v>5249237_1301586</v>
      </c>
      <c r="B1313" s="43" t="str">
        <f>IFERROR(__xludf.DUMMYFUNCTION("""COMPUTED_VALUE"""),"Asmaa El harchi")</f>
        <v>Asmaa El harchi</v>
      </c>
      <c r="C1313" s="43" t="str">
        <f>IFERROR(__xludf.DUMMYFUNCTION("""COMPUTED_VALUE"""),"approved")</f>
        <v>approved</v>
      </c>
      <c r="D1313" s="43" t="str">
        <f>IFERROR(__xludf.DUMMYFUNCTION("""COMPUTED_VALUE"""),"No")</f>
        <v>No</v>
      </c>
      <c r="E1313" s="43" t="str">
        <f>IFERROR(__xludf.DUMMYFUNCTION("""COMPUTED_VALUE"""),"p_5a5d0735a1b3b1a2ed51d341f561016d9c8e69d8@inbound.aiesec.org")</f>
        <v>p_5a5d0735a1b3b1a2ed51d341f561016d9c8e69d8@inbound.aiesec.org</v>
      </c>
      <c r="F1313" s="43">
        <f>IFERROR(__xludf.DUMMYFUNCTION("""COMPUTED_VALUE"""),6.91949899E8)</f>
        <v>691949899</v>
      </c>
      <c r="G1313" s="43" t="str">
        <f>IFERROR(__xludf.DUMMYFUNCTION("""COMPUTED_VALUE"""),"Turkey")</f>
        <v>Turkey</v>
      </c>
      <c r="H1313" s="43" t="str">
        <f>IFERROR(__xludf.DUMMYFUNCTION("""COMPUTED_VALUE"""),"EASTERN MEDITERRANEAN")</f>
        <v>EASTERN MEDITERRANEAN</v>
      </c>
      <c r="I1313" s="43" t="str">
        <f>IFERROR(__xludf.DUMMYFUNCTION("""COMPUTED_VALUE"""),"Tunisia")</f>
        <v>Tunisia</v>
      </c>
      <c r="J1313" s="43" t="str">
        <f>IFERROR(__xludf.DUMMYFUNCTION("""COMPUTED_VALUE"""),"HADRUMET")</f>
        <v>HADRUMET</v>
      </c>
      <c r="K1313" s="44" t="str">
        <f>IFERROR(__xludf.DUMMYFUNCTION("""COMPUTED_VALUE"""),"https://expa.aiesec.org/opportunities/1301586")</f>
        <v>https://expa.aiesec.org/opportunities/1301586</v>
      </c>
      <c r="L1313" s="43" t="str">
        <f>IFERROR(__xludf.DUMMYFUNCTION("""COMPUTED_VALUE"""),"GV")</f>
        <v>GV</v>
      </c>
      <c r="M1313" s="43" t="str">
        <f>IFERROR(__xludf.DUMMYFUNCTION("""COMPUTED_VALUE"""),"short")</f>
        <v>short</v>
      </c>
      <c r="N1313" s="45">
        <f>IFERROR(__xludf.DUMMYFUNCTION("""COMPUTED_VALUE"""),45272.0)</f>
        <v>45272</v>
      </c>
      <c r="O1313" s="45">
        <f>IFERROR(__xludf.DUMMYFUNCTION("""COMPUTED_VALUE"""),45474.0)</f>
        <v>45474</v>
      </c>
      <c r="P1313" s="45">
        <f>IFERROR(__xludf.DUMMYFUNCTION("""COMPUTED_VALUE"""),45516.0)</f>
        <v>45516</v>
      </c>
      <c r="Q1313" s="45"/>
      <c r="R1313" s="45"/>
      <c r="S1313" s="43"/>
      <c r="T1313" s="43"/>
      <c r="U1313" s="43" t="str">
        <f>IFERROR(__xludf.DUMMYFUNCTION("""COMPUTED_VALUE"""),"Global Classroom")</f>
        <v>Global Classroom</v>
      </c>
      <c r="V1313" s="43" t="str">
        <f>IFERROR(__xludf.DUMMYFUNCTION("""COMPUTED_VALUE"""),"NORTH CYPRUS")</f>
        <v>NORTH CYPRUS</v>
      </c>
      <c r="W1313" s="43" t="str">
        <f>IFERROR(__xludf.DUMMYFUNCTION("""COMPUTED_VALUE"""),"2023-04-25T16:34:33Z")</f>
        <v>2023-04-25T16:34:33Z</v>
      </c>
      <c r="X1313" s="43"/>
      <c r="Y1313" s="43"/>
      <c r="Z1313" s="43"/>
    </row>
    <row r="1314" hidden="1">
      <c r="A1314" s="43" t="str">
        <f>IFERROR(__xludf.DUMMYFUNCTION("""COMPUTED_VALUE"""),"5249270_1301586")</f>
        <v>5249270_1301586</v>
      </c>
      <c r="B1314" s="43" t="str">
        <f>IFERROR(__xludf.DUMMYFUNCTION("""COMPUTED_VALUE"""),"ikhlass choukri")</f>
        <v>ikhlass choukri</v>
      </c>
      <c r="C1314" s="43" t="str">
        <f>IFERROR(__xludf.DUMMYFUNCTION("""COMPUTED_VALUE"""),"approved")</f>
        <v>approved</v>
      </c>
      <c r="D1314" s="43" t="str">
        <f>IFERROR(__xludf.DUMMYFUNCTION("""COMPUTED_VALUE"""),"No")</f>
        <v>No</v>
      </c>
      <c r="E1314" s="43" t="str">
        <f>IFERROR(__xludf.DUMMYFUNCTION("""COMPUTED_VALUE"""),"p_6844a0df79663be056a8f5640153aac44d88c59e@inbound.aiesec.org")</f>
        <v>p_6844a0df79663be056a8f5640153aac44d88c59e@inbound.aiesec.org</v>
      </c>
      <c r="F1314" s="43">
        <f>IFERROR(__xludf.DUMMYFUNCTION("""COMPUTED_VALUE"""),5.33860659E9)</f>
        <v>5338606590</v>
      </c>
      <c r="G1314" s="43" t="str">
        <f>IFERROR(__xludf.DUMMYFUNCTION("""COMPUTED_VALUE"""),"Turkey")</f>
        <v>Turkey</v>
      </c>
      <c r="H1314" s="43" t="str">
        <f>IFERROR(__xludf.DUMMYFUNCTION("""COMPUTED_VALUE"""),"EASTERN MEDITERRANEAN")</f>
        <v>EASTERN MEDITERRANEAN</v>
      </c>
      <c r="I1314" s="43" t="str">
        <f>IFERROR(__xludf.DUMMYFUNCTION("""COMPUTED_VALUE"""),"Tunisia")</f>
        <v>Tunisia</v>
      </c>
      <c r="J1314" s="43" t="str">
        <f>IFERROR(__xludf.DUMMYFUNCTION("""COMPUTED_VALUE"""),"HADRUMET")</f>
        <v>HADRUMET</v>
      </c>
      <c r="K1314" s="44" t="str">
        <f>IFERROR(__xludf.DUMMYFUNCTION("""COMPUTED_VALUE"""),"https://expa.aiesec.org/opportunities/1301586")</f>
        <v>https://expa.aiesec.org/opportunities/1301586</v>
      </c>
      <c r="L1314" s="43" t="str">
        <f>IFERROR(__xludf.DUMMYFUNCTION("""COMPUTED_VALUE"""),"GV")</f>
        <v>GV</v>
      </c>
      <c r="M1314" s="43" t="str">
        <f>IFERROR(__xludf.DUMMYFUNCTION("""COMPUTED_VALUE"""),"short")</f>
        <v>short</v>
      </c>
      <c r="N1314" s="45">
        <f>IFERROR(__xludf.DUMMYFUNCTION("""COMPUTED_VALUE"""),45272.0)</f>
        <v>45272</v>
      </c>
      <c r="O1314" s="45">
        <f>IFERROR(__xludf.DUMMYFUNCTION("""COMPUTED_VALUE"""),45474.0)</f>
        <v>45474</v>
      </c>
      <c r="P1314" s="45">
        <f>IFERROR(__xludf.DUMMYFUNCTION("""COMPUTED_VALUE"""),45516.0)</f>
        <v>45516</v>
      </c>
      <c r="Q1314" s="45"/>
      <c r="R1314" s="45"/>
      <c r="S1314" s="43"/>
      <c r="T1314" s="43"/>
      <c r="U1314" s="43" t="str">
        <f>IFERROR(__xludf.DUMMYFUNCTION("""COMPUTED_VALUE"""),"Global Classroom")</f>
        <v>Global Classroom</v>
      </c>
      <c r="V1314" s="43" t="str">
        <f>IFERROR(__xludf.DUMMYFUNCTION("""COMPUTED_VALUE"""),"NORTH CYPRUS")</f>
        <v>NORTH CYPRUS</v>
      </c>
      <c r="W1314" s="43" t="str">
        <f>IFERROR(__xludf.DUMMYFUNCTION("""COMPUTED_VALUE"""),"2023-04-25T17:02:24Z")</f>
        <v>2023-04-25T17:02:24Z</v>
      </c>
      <c r="X1314" s="43"/>
      <c r="Y1314" s="43"/>
      <c r="Z1314" s="43"/>
    </row>
    <row r="1315" hidden="1">
      <c r="A1315" s="43" t="str">
        <f>IFERROR(__xludf.DUMMYFUNCTION("""COMPUTED_VALUE"""),"5389903_1300628")</f>
        <v>5389903_1300628</v>
      </c>
      <c r="B1315" s="43" t="str">
        <f>IFERROR(__xludf.DUMMYFUNCTION("""COMPUTED_VALUE"""),"Adem İnanç Sezen")</f>
        <v>Adem İnanç Sezen</v>
      </c>
      <c r="C1315" s="43" t="str">
        <f>IFERROR(__xludf.DUMMYFUNCTION("""COMPUTED_VALUE"""),"approved")</f>
        <v>approved</v>
      </c>
      <c r="D1315" s="43" t="str">
        <f>IFERROR(__xludf.DUMMYFUNCTION("""COMPUTED_VALUE"""),"No")</f>
        <v>No</v>
      </c>
      <c r="E1315" s="43" t="str">
        <f>IFERROR(__xludf.DUMMYFUNCTION("""COMPUTED_VALUE"""),"p_8008787818fa67b25655a48984959de874063dd4@inbound.aiesec.org")</f>
        <v>p_8008787818fa67b25655a48984959de874063dd4@inbound.aiesec.org</v>
      </c>
      <c r="F1315" s="43">
        <f>IFERROR(__xludf.DUMMYFUNCTION("""COMPUTED_VALUE"""),5.526181778E9)</f>
        <v>5526181778</v>
      </c>
      <c r="G1315" s="43" t="str">
        <f>IFERROR(__xludf.DUMMYFUNCTION("""COMPUTED_VALUE"""),"Turkey")</f>
        <v>Turkey</v>
      </c>
      <c r="H1315" s="43" t="str">
        <f>IFERROR(__xludf.DUMMYFUNCTION("""COMPUTED_VALUE"""),"BURSA")</f>
        <v>BURSA</v>
      </c>
      <c r="I1315" s="43" t="str">
        <f>IFERROR(__xludf.DUMMYFUNCTION("""COMPUTED_VALUE"""),"Tunisia")</f>
        <v>Tunisia</v>
      </c>
      <c r="J1315" s="43" t="str">
        <f>IFERROR(__xludf.DUMMYFUNCTION("""COMPUTED_VALUE"""),"UNIVERSITY")</f>
        <v>UNIVERSITY</v>
      </c>
      <c r="K1315" s="44" t="str">
        <f>IFERROR(__xludf.DUMMYFUNCTION("""COMPUTED_VALUE"""),"https://expa.aiesec.org/opportunities/1300628")</f>
        <v>https://expa.aiesec.org/opportunities/1300628</v>
      </c>
      <c r="L1315" s="43" t="str">
        <f>IFERROR(__xludf.DUMMYFUNCTION("""COMPUTED_VALUE"""),"GV")</f>
        <v>GV</v>
      </c>
      <c r="M1315" s="43" t="str">
        <f>IFERROR(__xludf.DUMMYFUNCTION("""COMPUTED_VALUE"""),"short")</f>
        <v>short</v>
      </c>
      <c r="N1315" s="45">
        <f>IFERROR(__xludf.DUMMYFUNCTION("""COMPUTED_VALUE"""),45275.0)</f>
        <v>45275</v>
      </c>
      <c r="O1315" s="45">
        <f>IFERROR(__xludf.DUMMYFUNCTION("""COMPUTED_VALUE"""),45486.0)</f>
        <v>45486</v>
      </c>
      <c r="P1315" s="45">
        <f>IFERROR(__xludf.DUMMYFUNCTION("""COMPUTED_VALUE"""),45528.0)</f>
        <v>45528</v>
      </c>
      <c r="Q1315" s="45"/>
      <c r="R1315" s="45"/>
      <c r="S1315" s="43"/>
      <c r="T1315" s="43"/>
      <c r="U1315" s="43" t="str">
        <f>IFERROR(__xludf.DUMMYFUNCTION("""COMPUTED_VALUE"""),"On The Map")</f>
        <v>On The Map</v>
      </c>
      <c r="V1315" s="43" t="str">
        <f>IFERROR(__xludf.DUMMYFUNCTION("""COMPUTED_VALUE"""),"BURSA")</f>
        <v>BURSA</v>
      </c>
      <c r="W1315" s="43" t="str">
        <f>IFERROR(__xludf.DUMMYFUNCTION("""COMPUTED_VALUE"""),"2023-12-14T09:14:40Z")</f>
        <v>2023-12-14T09:14:40Z</v>
      </c>
      <c r="X1315" s="43"/>
      <c r="Y1315" s="43"/>
      <c r="Z1315" s="43"/>
    </row>
    <row r="1316" hidden="1">
      <c r="A1316" s="43" t="str">
        <f>IFERROR(__xludf.DUMMYFUNCTION("""COMPUTED_VALUE"""),"5385244_1281345")</f>
        <v>5385244_1281345</v>
      </c>
      <c r="B1316" s="43" t="str">
        <f>IFERROR(__xludf.DUMMYFUNCTION("""COMPUTED_VALUE"""),"İdil Bayram")</f>
        <v>İdil Bayram</v>
      </c>
      <c r="C1316" s="43" t="str">
        <f>IFERROR(__xludf.DUMMYFUNCTION("""COMPUTED_VALUE"""),"approved")</f>
        <v>approved</v>
      </c>
      <c r="D1316" s="43" t="str">
        <f>IFERROR(__xludf.DUMMYFUNCTION("""COMPUTED_VALUE"""),"No")</f>
        <v>No</v>
      </c>
      <c r="E1316" s="43" t="str">
        <f>IFERROR(__xludf.DUMMYFUNCTION("""COMPUTED_VALUE"""),"p_32f8b2018e6e179b6207b500c4098d30f3e11ca6@inbound.aiesec.org")</f>
        <v>p_32f8b2018e6e179b6207b500c4098d30f3e11ca6@inbound.aiesec.org</v>
      </c>
      <c r="F1316" s="43">
        <f>IFERROR(__xludf.DUMMYFUNCTION("""COMPUTED_VALUE"""),5.075640953E9)</f>
        <v>5075640953</v>
      </c>
      <c r="G1316" s="43" t="str">
        <f>IFERROR(__xludf.DUMMYFUNCTION("""COMPUTED_VALUE"""),"Turkey")</f>
        <v>Turkey</v>
      </c>
      <c r="H1316" s="43" t="str">
        <f>IFERROR(__xludf.DUMMYFUNCTION("""COMPUTED_VALUE"""),"ISTANBUL ASIA")</f>
        <v>ISTANBUL ASIA</v>
      </c>
      <c r="I1316" s="43" t="str">
        <f>IFERROR(__xludf.DUMMYFUNCTION("""COMPUTED_VALUE"""),"Sri Lanka")</f>
        <v>Sri Lanka</v>
      </c>
      <c r="J1316" s="43" t="str">
        <f>IFERROR(__xludf.DUMMYFUNCTION("""COMPUTED_VALUE"""),"USJ")</f>
        <v>USJ</v>
      </c>
      <c r="K1316" s="44" t="str">
        <f>IFERROR(__xludf.DUMMYFUNCTION("""COMPUTED_VALUE"""),"https://expa.aiesec.org/opportunities/1281345")</f>
        <v>https://expa.aiesec.org/opportunities/1281345</v>
      </c>
      <c r="L1316" s="43" t="str">
        <f>IFERROR(__xludf.DUMMYFUNCTION("""COMPUTED_VALUE"""),"GV")</f>
        <v>GV</v>
      </c>
      <c r="M1316" s="43" t="str">
        <f>IFERROR(__xludf.DUMMYFUNCTION("""COMPUTED_VALUE"""),"short")</f>
        <v>short</v>
      </c>
      <c r="N1316" s="45">
        <f>IFERROR(__xludf.DUMMYFUNCTION("""COMPUTED_VALUE"""),45276.0)</f>
        <v>45276</v>
      </c>
      <c r="O1316" s="45">
        <f>IFERROR(__xludf.DUMMYFUNCTION("""COMPUTED_VALUE"""),45474.0)</f>
        <v>45474</v>
      </c>
      <c r="P1316" s="45">
        <f>IFERROR(__xludf.DUMMYFUNCTION("""COMPUTED_VALUE"""),45516.0)</f>
        <v>45516</v>
      </c>
      <c r="Q1316" s="45"/>
      <c r="R1316" s="45"/>
      <c r="S1316" s="43"/>
      <c r="T1316" s="43"/>
      <c r="U1316" s="43" t="str">
        <f>IFERROR(__xludf.DUMMYFUNCTION("""COMPUTED_VALUE"""),"Aquatica")</f>
        <v>Aquatica</v>
      </c>
      <c r="V1316" s="43" t="str">
        <f>IFERROR(__xludf.DUMMYFUNCTION("""COMPUTED_VALUE"""),"ISTANBUL ASIA")</f>
        <v>ISTANBUL ASIA</v>
      </c>
      <c r="W1316" s="43" t="str">
        <f>IFERROR(__xludf.DUMMYFUNCTION("""COMPUTED_VALUE"""),"2023-12-04T14:02:34Z")</f>
        <v>2023-12-04T14:02:34Z</v>
      </c>
      <c r="X1316" s="43"/>
      <c r="Y1316" s="43"/>
      <c r="Z1316" s="43"/>
    </row>
    <row r="1317" hidden="1">
      <c r="A1317" s="43" t="str">
        <f>IFERROR(__xludf.DUMMYFUNCTION("""COMPUTED_VALUE"""),"5385205_1299885")</f>
        <v>5385205_1299885</v>
      </c>
      <c r="B1317" s="43" t="str">
        <f>IFERROR(__xludf.DUMMYFUNCTION("""COMPUTED_VALUE"""),"zeynep bozkurt")</f>
        <v>zeynep bozkurt</v>
      </c>
      <c r="C1317" s="43" t="str">
        <f>IFERROR(__xludf.DUMMYFUNCTION("""COMPUTED_VALUE"""),"approved")</f>
        <v>approved</v>
      </c>
      <c r="D1317" s="43" t="str">
        <f>IFERROR(__xludf.DUMMYFUNCTION("""COMPUTED_VALUE"""),"No")</f>
        <v>No</v>
      </c>
      <c r="E1317" s="43" t="str">
        <f>IFERROR(__xludf.DUMMYFUNCTION("""COMPUTED_VALUE"""),"p_d15b1bb0fc2cdd38b6db139e01bb7925d3ee21a6@inbound.aiesec.org")</f>
        <v>p_d15b1bb0fc2cdd38b6db139e01bb7925d3ee21a6@inbound.aiesec.org</v>
      </c>
      <c r="F1317" s="43">
        <f>IFERROR(__xludf.DUMMYFUNCTION("""COMPUTED_VALUE"""),5.442506959E9)</f>
        <v>5442506959</v>
      </c>
      <c r="G1317" s="43" t="str">
        <f>IFERROR(__xludf.DUMMYFUNCTION("""COMPUTED_VALUE"""),"Turkey")</f>
        <v>Turkey</v>
      </c>
      <c r="H1317" s="43" t="str">
        <f>IFERROR(__xludf.DUMMYFUNCTION("""COMPUTED_VALUE"""),"ISTANBUL")</f>
        <v>ISTANBUL</v>
      </c>
      <c r="I1317" s="43" t="str">
        <f>IFERROR(__xludf.DUMMYFUNCTION("""COMPUTED_VALUE"""),"Bosnia and Herzegovina")</f>
        <v>Bosnia and Herzegovina</v>
      </c>
      <c r="J1317" s="43" t="str">
        <f>IFERROR(__xludf.DUMMYFUNCTION("""COMPUTED_VALUE"""),"MOSTAR")</f>
        <v>MOSTAR</v>
      </c>
      <c r="K1317" s="44" t="str">
        <f>IFERROR(__xludf.DUMMYFUNCTION("""COMPUTED_VALUE"""),"https://expa.aiesec.org/opportunities/1299885")</f>
        <v>https://expa.aiesec.org/opportunities/1299885</v>
      </c>
      <c r="L1317" s="43" t="str">
        <f>IFERROR(__xludf.DUMMYFUNCTION("""COMPUTED_VALUE"""),"GV")</f>
        <v>GV</v>
      </c>
      <c r="M1317" s="43" t="str">
        <f>IFERROR(__xludf.DUMMYFUNCTION("""COMPUTED_VALUE"""),"short")</f>
        <v>short</v>
      </c>
      <c r="N1317" s="45">
        <f>IFERROR(__xludf.DUMMYFUNCTION("""COMPUTED_VALUE"""),45277.0)</f>
        <v>45277</v>
      </c>
      <c r="O1317" s="45">
        <f>IFERROR(__xludf.DUMMYFUNCTION("""COMPUTED_VALUE"""),45488.0)</f>
        <v>45488</v>
      </c>
      <c r="P1317" s="45">
        <f>IFERROR(__xludf.DUMMYFUNCTION("""COMPUTED_VALUE"""),45530.0)</f>
        <v>45530</v>
      </c>
      <c r="Q1317" s="45"/>
      <c r="R1317" s="45"/>
      <c r="S1317" s="43"/>
      <c r="T1317" s="43"/>
      <c r="U1317" s="43" t="str">
        <f>IFERROR(__xludf.DUMMYFUNCTION("""COMPUTED_VALUE"""),"Youth 4 Impact")</f>
        <v>Youth 4 Impact</v>
      </c>
      <c r="V1317" s="43" t="str">
        <f>IFERROR(__xludf.DUMMYFUNCTION("""COMPUTED_VALUE"""),"ISTANBUL - BEYOGLU")</f>
        <v>ISTANBUL - BEYOGLU</v>
      </c>
      <c r="W1317" s="43" t="str">
        <f>IFERROR(__xludf.DUMMYFUNCTION("""COMPUTED_VALUE"""),"2023-12-04T13:17:06Z")</f>
        <v>2023-12-04T13:17:06Z</v>
      </c>
      <c r="X1317" s="43"/>
      <c r="Y1317" s="43"/>
      <c r="Z1317" s="43"/>
    </row>
    <row r="1318" hidden="1">
      <c r="A1318" s="43" t="str">
        <f>IFERROR(__xludf.DUMMYFUNCTION("""COMPUTED_VALUE"""),"5385237_1289850")</f>
        <v>5385237_1289850</v>
      </c>
      <c r="B1318" s="43" t="str">
        <f>IFERROR(__xludf.DUMMYFUNCTION("""COMPUTED_VALUE"""),"Yaşar Maden")</f>
        <v>Yaşar Maden</v>
      </c>
      <c r="C1318" s="43" t="str">
        <f>IFERROR(__xludf.DUMMYFUNCTION("""COMPUTED_VALUE"""),"approved")</f>
        <v>approved</v>
      </c>
      <c r="D1318" s="43" t="str">
        <f>IFERROR(__xludf.DUMMYFUNCTION("""COMPUTED_VALUE"""),"No")</f>
        <v>No</v>
      </c>
      <c r="E1318" s="43" t="str">
        <f>IFERROR(__xludf.DUMMYFUNCTION("""COMPUTED_VALUE"""),"p_86c4e991317626b00c0e60ea4906fc84cb18b8de@inbound.aiesec.org")</f>
        <v>p_86c4e991317626b00c0e60ea4906fc84cb18b8de@inbound.aiesec.org</v>
      </c>
      <c r="F1318" s="43"/>
      <c r="G1318" s="43" t="str">
        <f>IFERROR(__xludf.DUMMYFUNCTION("""COMPUTED_VALUE"""),"Turkey")</f>
        <v>Turkey</v>
      </c>
      <c r="H1318" s="43" t="str">
        <f>IFERROR(__xludf.DUMMYFUNCTION("""COMPUTED_VALUE"""),"ISTANBUL ASIA")</f>
        <v>ISTANBUL ASIA</v>
      </c>
      <c r="I1318" s="43" t="str">
        <f>IFERROR(__xludf.DUMMYFUNCTION("""COMPUTED_VALUE"""),"India")</f>
        <v>India</v>
      </c>
      <c r="J1318" s="43" t="str">
        <f>IFERROR(__xludf.DUMMYFUNCTION("""COMPUTED_VALUE"""),"Mumbai")</f>
        <v>Mumbai</v>
      </c>
      <c r="K1318" s="44" t="str">
        <f>IFERROR(__xludf.DUMMYFUNCTION("""COMPUTED_VALUE"""),"https://expa.aiesec.org/opportunities/1289850")</f>
        <v>https://expa.aiesec.org/opportunities/1289850</v>
      </c>
      <c r="L1318" s="43" t="str">
        <f>IFERROR(__xludf.DUMMYFUNCTION("""COMPUTED_VALUE"""),"GV")</f>
        <v>GV</v>
      </c>
      <c r="M1318" s="43" t="str">
        <f>IFERROR(__xludf.DUMMYFUNCTION("""COMPUTED_VALUE"""),"short")</f>
        <v>short</v>
      </c>
      <c r="N1318" s="45">
        <f>IFERROR(__xludf.DUMMYFUNCTION("""COMPUTED_VALUE"""),45278.0)</f>
        <v>45278</v>
      </c>
      <c r="O1318" s="45">
        <f>IFERROR(__xludf.DUMMYFUNCTION("""COMPUTED_VALUE"""),45519.0)</f>
        <v>45519</v>
      </c>
      <c r="P1318" s="45">
        <f>IFERROR(__xludf.DUMMYFUNCTION("""COMPUTED_VALUE"""),45561.0)</f>
        <v>45561</v>
      </c>
      <c r="Q1318" s="45"/>
      <c r="R1318" s="45"/>
      <c r="S1318" s="43"/>
      <c r="T1318" s="43"/>
      <c r="U1318" s="43" t="str">
        <f>IFERROR(__xludf.DUMMYFUNCTION("""COMPUTED_VALUE"""),"Global Classroom")</f>
        <v>Global Classroom</v>
      </c>
      <c r="V1318" s="43" t="str">
        <f>IFERROR(__xludf.DUMMYFUNCTION("""COMPUTED_VALUE"""),"-")</f>
        <v>-</v>
      </c>
      <c r="W1318" s="43" t="str">
        <f>IFERROR(__xludf.DUMMYFUNCTION("""COMPUTED_VALUE"""),"2023-12-04T13:53:11Z")</f>
        <v>2023-12-04T13:53:11Z</v>
      </c>
      <c r="X1318" s="43"/>
      <c r="Y1318" s="43"/>
      <c r="Z1318" s="43"/>
    </row>
    <row r="1319" hidden="1">
      <c r="A1319" s="43" t="str">
        <f>IFERROR(__xludf.DUMMYFUNCTION("""COMPUTED_VALUE"""),"5364208_1299121")</f>
        <v>5364208_1299121</v>
      </c>
      <c r="B1319" s="43" t="str">
        <f>IFERROR(__xludf.DUMMYFUNCTION("""COMPUTED_VALUE"""),"ahmad samim hafizi")</f>
        <v>ahmad samim hafizi</v>
      </c>
      <c r="C1319" s="43" t="str">
        <f>IFERROR(__xludf.DUMMYFUNCTION("""COMPUTED_VALUE"""),"approved")</f>
        <v>approved</v>
      </c>
      <c r="D1319" s="43" t="str">
        <f>IFERROR(__xludf.DUMMYFUNCTION("""COMPUTED_VALUE"""),"No")</f>
        <v>No</v>
      </c>
      <c r="E1319" s="43" t="str">
        <f>IFERROR(__xludf.DUMMYFUNCTION("""COMPUTED_VALUE"""),"p_6ac20c646e09f5b8fe8645dc0e433357a4d5db54@inbound.aiesec.org")</f>
        <v>p_6ac20c646e09f5b8fe8645dc0e433357a4d5db54@inbound.aiesec.org</v>
      </c>
      <c r="F1319" s="43"/>
      <c r="G1319" s="43" t="str">
        <f>IFERROR(__xludf.DUMMYFUNCTION("""COMPUTED_VALUE"""),"Turkey")</f>
        <v>Turkey</v>
      </c>
      <c r="H1319" s="43" t="str">
        <f>IFERROR(__xludf.DUMMYFUNCTION("""COMPUTED_VALUE"""),"DENIZLI")</f>
        <v>DENIZLI</v>
      </c>
      <c r="I1319" s="43" t="str">
        <f>IFERROR(__xludf.DUMMYFUNCTION("""COMPUTED_VALUE"""),"Czech Republic")</f>
        <v>Czech Republic</v>
      </c>
      <c r="J1319" s="43" t="str">
        <f>IFERROR(__xludf.DUMMYFUNCTION("""COMPUTED_VALUE"""),"PILSEN")</f>
        <v>PILSEN</v>
      </c>
      <c r="K1319" s="44" t="str">
        <f>IFERROR(__xludf.DUMMYFUNCTION("""COMPUTED_VALUE"""),"https://expa.aiesec.org/opportunities/1299121")</f>
        <v>https://expa.aiesec.org/opportunities/1299121</v>
      </c>
      <c r="L1319" s="43" t="str">
        <f>IFERROR(__xludf.DUMMYFUNCTION("""COMPUTED_VALUE"""),"GV")</f>
        <v>GV</v>
      </c>
      <c r="M1319" s="43" t="str">
        <f>IFERROR(__xludf.DUMMYFUNCTION("""COMPUTED_VALUE"""),"short")</f>
        <v>short</v>
      </c>
      <c r="N1319" s="45">
        <f>IFERROR(__xludf.DUMMYFUNCTION("""COMPUTED_VALUE"""),45278.0)</f>
        <v>45278</v>
      </c>
      <c r="O1319" s="45">
        <f>IFERROR(__xludf.DUMMYFUNCTION("""COMPUTED_VALUE"""),45306.0)</f>
        <v>45306</v>
      </c>
      <c r="P1319" s="45">
        <f>IFERROR(__xludf.DUMMYFUNCTION("""COMPUTED_VALUE"""),45348.0)</f>
        <v>45348</v>
      </c>
      <c r="Q1319" s="45"/>
      <c r="R1319" s="45"/>
      <c r="S1319" s="43"/>
      <c r="T1319" s="43"/>
      <c r="U1319" s="43" t="str">
        <f>IFERROR(__xludf.DUMMYFUNCTION("""COMPUTED_VALUE"""),"Youth 4 Impact")</f>
        <v>Youth 4 Impact</v>
      </c>
      <c r="V1319" s="43" t="str">
        <f>IFERROR(__xludf.DUMMYFUNCTION("""COMPUTED_VALUE"""),"-")</f>
        <v>-</v>
      </c>
      <c r="W1319" s="43" t="str">
        <f>IFERROR(__xludf.DUMMYFUNCTION("""COMPUTED_VALUE"""),"2023-10-31T12:50:20Z")</f>
        <v>2023-10-31T12:50:20Z</v>
      </c>
      <c r="X1319" s="43"/>
      <c r="Y1319" s="43"/>
      <c r="Z1319" s="43"/>
    </row>
    <row r="1320" hidden="1">
      <c r="A1320" s="43" t="str">
        <f>IFERROR(__xludf.DUMMYFUNCTION("""COMPUTED_VALUE"""),"5385776_1299596")</f>
        <v>5385776_1299596</v>
      </c>
      <c r="B1320" s="43" t="str">
        <f>IFERROR(__xludf.DUMMYFUNCTION("""COMPUTED_VALUE"""),"ozan aydemir")</f>
        <v>ozan aydemir</v>
      </c>
      <c r="C1320" s="43" t="str">
        <f>IFERROR(__xludf.DUMMYFUNCTION("""COMPUTED_VALUE"""),"realized")</f>
        <v>realized</v>
      </c>
      <c r="D1320" s="43" t="str">
        <f>IFERROR(__xludf.DUMMYFUNCTION("""COMPUTED_VALUE"""),"No")</f>
        <v>No</v>
      </c>
      <c r="E1320" s="43" t="str">
        <f>IFERROR(__xludf.DUMMYFUNCTION("""COMPUTED_VALUE"""),"p_33f63a55da15d581c6837a89e43a9bf4d0e944cb@inbound.aiesec.org")</f>
        <v>p_33f63a55da15d581c6837a89e43a9bf4d0e944cb@inbound.aiesec.org</v>
      </c>
      <c r="F1320" s="43">
        <f>IFERROR(__xludf.DUMMYFUNCTION("""COMPUTED_VALUE"""),5.398217282E9)</f>
        <v>5398217282</v>
      </c>
      <c r="G1320" s="43" t="str">
        <f>IFERROR(__xludf.DUMMYFUNCTION("""COMPUTED_VALUE"""),"Turkey")</f>
        <v>Turkey</v>
      </c>
      <c r="H1320" s="43" t="str">
        <f>IFERROR(__xludf.DUMMYFUNCTION("""COMPUTED_VALUE"""),"ANKARA")</f>
        <v>ANKARA</v>
      </c>
      <c r="I1320" s="43" t="str">
        <f>IFERROR(__xludf.DUMMYFUNCTION("""COMPUTED_VALUE"""),"Tunisia")</f>
        <v>Tunisia</v>
      </c>
      <c r="J1320" s="43" t="str">
        <f>IFERROR(__xludf.DUMMYFUNCTION("""COMPUTED_VALUE"""),"Carthage")</f>
        <v>Carthage</v>
      </c>
      <c r="K1320" s="44" t="str">
        <f>IFERROR(__xludf.DUMMYFUNCTION("""COMPUTED_VALUE"""),"https://expa.aiesec.org/opportunities/1299596")</f>
        <v>https://expa.aiesec.org/opportunities/1299596</v>
      </c>
      <c r="L1320" s="43" t="str">
        <f>IFERROR(__xludf.DUMMYFUNCTION("""COMPUTED_VALUE"""),"GV")</f>
        <v>GV</v>
      </c>
      <c r="M1320" s="43" t="str">
        <f>IFERROR(__xludf.DUMMYFUNCTION("""COMPUTED_VALUE"""),"short")</f>
        <v>short</v>
      </c>
      <c r="N1320" s="45">
        <f>IFERROR(__xludf.DUMMYFUNCTION("""COMPUTED_VALUE"""),45279.0)</f>
        <v>45279</v>
      </c>
      <c r="O1320" s="45">
        <f>IFERROR(__xludf.DUMMYFUNCTION("""COMPUTED_VALUE"""),45306.0)</f>
        <v>45306</v>
      </c>
      <c r="P1320" s="45">
        <f>IFERROR(__xludf.DUMMYFUNCTION("""COMPUTED_VALUE"""),45348.0)</f>
        <v>45348</v>
      </c>
      <c r="Q1320" s="45">
        <f>IFERROR(__xludf.DUMMYFUNCTION("""COMPUTED_VALUE"""),45308.0)</f>
        <v>45308</v>
      </c>
      <c r="R1320" s="45">
        <f>IFERROR(__xludf.DUMMYFUNCTION("""COMPUTED_VALUE"""),45348.0)</f>
        <v>45348</v>
      </c>
      <c r="S1320" s="43"/>
      <c r="T1320" s="43"/>
      <c r="U1320" s="43" t="str">
        <f>IFERROR(__xludf.DUMMYFUNCTION("""COMPUTED_VALUE"""),"Green Leaders")</f>
        <v>Green Leaders</v>
      </c>
      <c r="V1320" s="43" t="str">
        <f>IFERROR(__xludf.DUMMYFUNCTION("""COMPUTED_VALUE"""),"ANTALYA")</f>
        <v>ANTALYA</v>
      </c>
      <c r="W1320" s="43" t="str">
        <f>IFERROR(__xludf.DUMMYFUNCTION("""COMPUTED_VALUE"""),"2023-12-05T15:32:03Z")</f>
        <v>2023-12-05T15:32:03Z</v>
      </c>
      <c r="X1320" s="43"/>
      <c r="Y1320" s="43"/>
      <c r="Z1320" s="43"/>
    </row>
    <row r="1321" hidden="1">
      <c r="A1321" s="43" t="str">
        <f>IFERROR(__xludf.DUMMYFUNCTION("""COMPUTED_VALUE"""),"5389289_1301243")</f>
        <v>5389289_1301243</v>
      </c>
      <c r="B1321" s="43" t="str">
        <f>IFERROR(__xludf.DUMMYFUNCTION("""COMPUTED_VALUE"""),"Cansu Karduz")</f>
        <v>Cansu Karduz</v>
      </c>
      <c r="C1321" s="43" t="str">
        <f>IFERROR(__xludf.DUMMYFUNCTION("""COMPUTED_VALUE"""),"approved")</f>
        <v>approved</v>
      </c>
      <c r="D1321" s="43" t="str">
        <f>IFERROR(__xludf.DUMMYFUNCTION("""COMPUTED_VALUE"""),"No")</f>
        <v>No</v>
      </c>
      <c r="E1321" s="43" t="str">
        <f>IFERROR(__xludf.DUMMYFUNCTION("""COMPUTED_VALUE"""),"p_734463c9841064b8703e3169a2f4808b22e6bbcb@inbound.aiesec.org")</f>
        <v>p_734463c9841064b8703e3169a2f4808b22e6bbcb@inbound.aiesec.org</v>
      </c>
      <c r="F1321" s="43">
        <f>IFERROR(__xludf.DUMMYFUNCTION("""COMPUTED_VALUE"""),5.45267376E9)</f>
        <v>5452673760</v>
      </c>
      <c r="G1321" s="43" t="str">
        <f>IFERROR(__xludf.DUMMYFUNCTION("""COMPUTED_VALUE"""),"Turkey")</f>
        <v>Turkey</v>
      </c>
      <c r="H1321" s="43" t="str">
        <f>IFERROR(__xludf.DUMMYFUNCTION("""COMPUTED_VALUE"""),"ISTANBUL WEST")</f>
        <v>ISTANBUL WEST</v>
      </c>
      <c r="I1321" s="43" t="str">
        <f>IFERROR(__xludf.DUMMYFUNCTION("""COMPUTED_VALUE"""),"Romania")</f>
        <v>Romania</v>
      </c>
      <c r="J1321" s="43" t="str">
        <f>IFERROR(__xludf.DUMMYFUNCTION("""COMPUTED_VALUE"""),"Craiova")</f>
        <v>Craiova</v>
      </c>
      <c r="K1321" s="44" t="str">
        <f>IFERROR(__xludf.DUMMYFUNCTION("""COMPUTED_VALUE"""),"https://expa.aiesec.org/opportunities/1301243")</f>
        <v>https://expa.aiesec.org/opportunities/1301243</v>
      </c>
      <c r="L1321" s="43" t="str">
        <f>IFERROR(__xludf.DUMMYFUNCTION("""COMPUTED_VALUE"""),"GV")</f>
        <v>GV</v>
      </c>
      <c r="M1321" s="43" t="str">
        <f>IFERROR(__xludf.DUMMYFUNCTION("""COMPUTED_VALUE"""),"short")</f>
        <v>short</v>
      </c>
      <c r="N1321" s="45">
        <f>IFERROR(__xludf.DUMMYFUNCTION("""COMPUTED_VALUE"""),45279.0)</f>
        <v>45279</v>
      </c>
      <c r="O1321" s="45">
        <f>IFERROR(__xludf.DUMMYFUNCTION("""COMPUTED_VALUE"""),45334.0)</f>
        <v>45334</v>
      </c>
      <c r="P1321" s="45">
        <f>IFERROR(__xludf.DUMMYFUNCTION("""COMPUTED_VALUE"""),45376.0)</f>
        <v>45376</v>
      </c>
      <c r="Q1321" s="45"/>
      <c r="R1321" s="45"/>
      <c r="S1321" s="43"/>
      <c r="T1321" s="43"/>
      <c r="U1321" s="43" t="str">
        <f>IFERROR(__xludf.DUMMYFUNCTION("""COMPUTED_VALUE"""),"Eat 4 Change")</f>
        <v>Eat 4 Change</v>
      </c>
      <c r="V1321" s="43" t="str">
        <f>IFERROR(__xludf.DUMMYFUNCTION("""COMPUTED_VALUE"""),"ISTANBUL - BAKIRKOY")</f>
        <v>ISTANBUL - BAKIRKOY</v>
      </c>
      <c r="W1321" s="43" t="str">
        <f>IFERROR(__xludf.DUMMYFUNCTION("""COMPUTED_VALUE"""),"2023-12-12T21:46:54Z")</f>
        <v>2023-12-12T21:46:54Z</v>
      </c>
      <c r="X1321" s="43"/>
      <c r="Y1321" s="43"/>
      <c r="Z1321" s="43"/>
    </row>
    <row r="1322" hidden="1">
      <c r="A1322" s="43" t="str">
        <f>IFERROR(__xludf.DUMMYFUNCTION("""COMPUTED_VALUE"""),"5390712_1288330")</f>
        <v>5390712_1288330</v>
      </c>
      <c r="B1322" s="43" t="str">
        <f>IFERROR(__xludf.DUMMYFUNCTION("""COMPUTED_VALUE"""),"Haktan Akkuş")</f>
        <v>Haktan Akkuş</v>
      </c>
      <c r="C1322" s="43" t="str">
        <f>IFERROR(__xludf.DUMMYFUNCTION("""COMPUTED_VALUE"""),"approved")</f>
        <v>approved</v>
      </c>
      <c r="D1322" s="43" t="str">
        <f>IFERROR(__xludf.DUMMYFUNCTION("""COMPUTED_VALUE"""),"No")</f>
        <v>No</v>
      </c>
      <c r="E1322" s="43" t="str">
        <f>IFERROR(__xludf.DUMMYFUNCTION("""COMPUTED_VALUE"""),"p_5a29728a39d3aa022eaee6a90b9cce88fcbf15ce@inbound.aiesec.org")</f>
        <v>p_5a29728a39d3aa022eaee6a90b9cce88fcbf15ce@inbound.aiesec.org</v>
      </c>
      <c r="F1322" s="43">
        <f>IFERROR(__xludf.DUMMYFUNCTION("""COMPUTED_VALUE"""),5.414604553E9)</f>
        <v>5414604553</v>
      </c>
      <c r="G1322" s="43" t="str">
        <f>IFERROR(__xludf.DUMMYFUNCTION("""COMPUTED_VALUE"""),"Turkey")</f>
        <v>Turkey</v>
      </c>
      <c r="H1322" s="43" t="str">
        <f>IFERROR(__xludf.DUMMYFUNCTION("""COMPUTED_VALUE"""),"ISTANBUL ASIA")</f>
        <v>ISTANBUL ASIA</v>
      </c>
      <c r="I1322" s="43" t="str">
        <f>IFERROR(__xludf.DUMMYFUNCTION("""COMPUTED_VALUE"""),"Sri Lanka")</f>
        <v>Sri Lanka</v>
      </c>
      <c r="J1322" s="43" t="str">
        <f>IFERROR(__xludf.DUMMYFUNCTION("""COMPUTED_VALUE"""),"COLOMBO NORTH")</f>
        <v>COLOMBO NORTH</v>
      </c>
      <c r="K1322" s="44" t="str">
        <f>IFERROR(__xludf.DUMMYFUNCTION("""COMPUTED_VALUE"""),"https://expa.aiesec.org/opportunities/1288330")</f>
        <v>https://expa.aiesec.org/opportunities/1288330</v>
      </c>
      <c r="L1322" s="43" t="str">
        <f>IFERROR(__xludf.DUMMYFUNCTION("""COMPUTED_VALUE"""),"GV")</f>
        <v>GV</v>
      </c>
      <c r="M1322" s="43" t="str">
        <f>IFERROR(__xludf.DUMMYFUNCTION("""COMPUTED_VALUE"""),"short")</f>
        <v>short</v>
      </c>
      <c r="N1322" s="45">
        <f>IFERROR(__xludf.DUMMYFUNCTION("""COMPUTED_VALUE"""),45280.0)</f>
        <v>45280</v>
      </c>
      <c r="O1322" s="45">
        <f>IFERROR(__xludf.DUMMYFUNCTION("""COMPUTED_VALUE"""),45474.0)</f>
        <v>45474</v>
      </c>
      <c r="P1322" s="45">
        <f>IFERROR(__xludf.DUMMYFUNCTION("""COMPUTED_VALUE"""),45516.0)</f>
        <v>45516</v>
      </c>
      <c r="Q1322" s="45"/>
      <c r="R1322" s="45"/>
      <c r="S1322" s="43"/>
      <c r="T1322" s="43"/>
      <c r="U1322" s="43" t="str">
        <f>IFERROR(__xludf.DUMMYFUNCTION("""COMPUTED_VALUE"""),"Aquatica")</f>
        <v>Aquatica</v>
      </c>
      <c r="V1322" s="43" t="str">
        <f>IFERROR(__xludf.DUMMYFUNCTION("""COMPUTED_VALUE"""),"ISTANBUL ASIA")</f>
        <v>ISTANBUL ASIA</v>
      </c>
      <c r="W1322" s="43" t="str">
        <f>IFERROR(__xludf.DUMMYFUNCTION("""COMPUTED_VALUE"""),"2023-12-15T16:06:05Z")</f>
        <v>2023-12-15T16:06:05Z</v>
      </c>
      <c r="X1322" s="43"/>
      <c r="Y1322" s="43"/>
      <c r="Z1322" s="43"/>
    </row>
    <row r="1323" hidden="1">
      <c r="A1323" s="43" t="str">
        <f>IFERROR(__xludf.DUMMYFUNCTION("""COMPUTED_VALUE"""),"5392606_1298817")</f>
        <v>5392606_1298817</v>
      </c>
      <c r="B1323" s="43" t="str">
        <f>IFERROR(__xludf.DUMMYFUNCTION("""COMPUTED_VALUE"""),"Meryem Sinem Kete")</f>
        <v>Meryem Sinem Kete</v>
      </c>
      <c r="C1323" s="43" t="str">
        <f>IFERROR(__xludf.DUMMYFUNCTION("""COMPUTED_VALUE"""),"approved")</f>
        <v>approved</v>
      </c>
      <c r="D1323" s="43" t="str">
        <f>IFERROR(__xludf.DUMMYFUNCTION("""COMPUTED_VALUE"""),"No")</f>
        <v>No</v>
      </c>
      <c r="E1323" s="43" t="str">
        <f>IFERROR(__xludf.DUMMYFUNCTION("""COMPUTED_VALUE"""),"p_6a64a7d65df8a46c76b6d197382871505c17a159@inbound.aiesec.org")</f>
        <v>p_6a64a7d65df8a46c76b6d197382871505c17a159@inbound.aiesec.org</v>
      </c>
      <c r="F1323" s="43">
        <f>IFERROR(__xludf.DUMMYFUNCTION("""COMPUTED_VALUE"""),5.076452458E9)</f>
        <v>5076452458</v>
      </c>
      <c r="G1323" s="43" t="str">
        <f>IFERROR(__xludf.DUMMYFUNCTION("""COMPUTED_VALUE"""),"Turkey")</f>
        <v>Turkey</v>
      </c>
      <c r="H1323" s="43" t="str">
        <f>IFERROR(__xludf.DUMMYFUNCTION("""COMPUTED_VALUE"""),"SAKARYA")</f>
        <v>SAKARYA</v>
      </c>
      <c r="I1323" s="43" t="str">
        <f>IFERROR(__xludf.DUMMYFUNCTION("""COMPUTED_VALUE"""),"Egypt")</f>
        <v>Egypt</v>
      </c>
      <c r="J1323" s="43" t="str">
        <f>IFERROR(__xludf.DUMMYFUNCTION("""COMPUTED_VALUE"""),"Ain Shams University")</f>
        <v>Ain Shams University</v>
      </c>
      <c r="K1323" s="44" t="str">
        <f>IFERROR(__xludf.DUMMYFUNCTION("""COMPUTED_VALUE"""),"https://expa.aiesec.org/opportunities/1298817")</f>
        <v>https://expa.aiesec.org/opportunities/1298817</v>
      </c>
      <c r="L1323" s="43" t="str">
        <f>IFERROR(__xludf.DUMMYFUNCTION("""COMPUTED_VALUE"""),"GV")</f>
        <v>GV</v>
      </c>
      <c r="M1323" s="43" t="str">
        <f>IFERROR(__xludf.DUMMYFUNCTION("""COMPUTED_VALUE"""),"short")</f>
        <v>short</v>
      </c>
      <c r="N1323" s="45">
        <f>IFERROR(__xludf.DUMMYFUNCTION("""COMPUTED_VALUE"""),45280.0)</f>
        <v>45280</v>
      </c>
      <c r="O1323" s="45">
        <f>IFERROR(__xludf.DUMMYFUNCTION("""COMPUTED_VALUE"""),45474.0)</f>
        <v>45474</v>
      </c>
      <c r="P1323" s="45">
        <f>IFERROR(__xludf.DUMMYFUNCTION("""COMPUTED_VALUE"""),45516.0)</f>
        <v>45516</v>
      </c>
      <c r="Q1323" s="45"/>
      <c r="R1323" s="45"/>
      <c r="S1323" s="43"/>
      <c r="T1323" s="43"/>
      <c r="U1323" s="43" t="str">
        <f>IFERROR(__xludf.DUMMYFUNCTION("""COMPUTED_VALUE"""),"Global Classroom")</f>
        <v>Global Classroom</v>
      </c>
      <c r="V1323" s="43" t="str">
        <f>IFERROR(__xludf.DUMMYFUNCTION("""COMPUTED_VALUE"""),"DUZCE")</f>
        <v>DUZCE</v>
      </c>
      <c r="W1323" s="43" t="str">
        <f>IFERROR(__xludf.DUMMYFUNCTION("""COMPUTED_VALUE"""),"2023-12-20T12:49:14Z")</f>
        <v>2023-12-20T12:49:14Z</v>
      </c>
      <c r="X1323" s="43"/>
      <c r="Y1323" s="43"/>
      <c r="Z1323" s="43"/>
    </row>
    <row r="1324" hidden="1">
      <c r="A1324" s="43" t="str">
        <f>IFERROR(__xludf.DUMMYFUNCTION("""COMPUTED_VALUE"""),"5392604_1299216")</f>
        <v>5392604_1299216</v>
      </c>
      <c r="B1324" s="43" t="str">
        <f>IFERROR(__xludf.DUMMYFUNCTION("""COMPUTED_VALUE"""),"ilayda bolat")</f>
        <v>ilayda bolat</v>
      </c>
      <c r="C1324" s="43" t="str">
        <f>IFERROR(__xludf.DUMMYFUNCTION("""COMPUTED_VALUE"""),"approved")</f>
        <v>approved</v>
      </c>
      <c r="D1324" s="43" t="str">
        <f>IFERROR(__xludf.DUMMYFUNCTION("""COMPUTED_VALUE"""),"No")</f>
        <v>No</v>
      </c>
      <c r="E1324" s="43" t="str">
        <f>IFERROR(__xludf.DUMMYFUNCTION("""COMPUTED_VALUE"""),"p_3f741b46107409b6be2d133f6e9c0a121d47a8d5@inbound.aiesec.org")</f>
        <v>p_3f741b46107409b6be2d133f6e9c0a121d47a8d5@inbound.aiesec.org</v>
      </c>
      <c r="F1324" s="43">
        <f>IFERROR(__xludf.DUMMYFUNCTION("""COMPUTED_VALUE"""),5.438481083E9)</f>
        <v>5438481083</v>
      </c>
      <c r="G1324" s="43" t="str">
        <f>IFERROR(__xludf.DUMMYFUNCTION("""COMPUTED_VALUE"""),"Turkey")</f>
        <v>Turkey</v>
      </c>
      <c r="H1324" s="43" t="str">
        <f>IFERROR(__xludf.DUMMYFUNCTION("""COMPUTED_VALUE"""),"SAKARYA")</f>
        <v>SAKARYA</v>
      </c>
      <c r="I1324" s="43" t="str">
        <f>IFERROR(__xludf.DUMMYFUNCTION("""COMPUTED_VALUE"""),"Egypt")</f>
        <v>Egypt</v>
      </c>
      <c r="J1324" s="43" t="str">
        <f>IFERROR(__xludf.DUMMYFUNCTION("""COMPUTED_VALUE"""),"Ain Shams University")</f>
        <v>Ain Shams University</v>
      </c>
      <c r="K1324" s="44" t="str">
        <f>IFERROR(__xludf.DUMMYFUNCTION("""COMPUTED_VALUE"""),"https://expa.aiesec.org/opportunities/1299216")</f>
        <v>https://expa.aiesec.org/opportunities/1299216</v>
      </c>
      <c r="L1324" s="43" t="str">
        <f>IFERROR(__xludf.DUMMYFUNCTION("""COMPUTED_VALUE"""),"GV")</f>
        <v>GV</v>
      </c>
      <c r="M1324" s="43" t="str">
        <f>IFERROR(__xludf.DUMMYFUNCTION("""COMPUTED_VALUE"""),"short")</f>
        <v>short</v>
      </c>
      <c r="N1324" s="45">
        <f>IFERROR(__xludf.DUMMYFUNCTION("""COMPUTED_VALUE"""),45280.0)</f>
        <v>45280</v>
      </c>
      <c r="O1324" s="45">
        <f>IFERROR(__xludf.DUMMYFUNCTION("""COMPUTED_VALUE"""),45474.0)</f>
        <v>45474</v>
      </c>
      <c r="P1324" s="45">
        <f>IFERROR(__xludf.DUMMYFUNCTION("""COMPUTED_VALUE"""),45516.0)</f>
        <v>45516</v>
      </c>
      <c r="Q1324" s="45"/>
      <c r="R1324" s="45"/>
      <c r="S1324" s="43"/>
      <c r="T1324" s="43"/>
      <c r="U1324" s="43" t="str">
        <f>IFERROR(__xludf.DUMMYFUNCTION("""COMPUTED_VALUE"""),"Fingerprint")</f>
        <v>Fingerprint</v>
      </c>
      <c r="V1324" s="43" t="str">
        <f>IFERROR(__xludf.DUMMYFUNCTION("""COMPUTED_VALUE"""),"DUZCE")</f>
        <v>DUZCE</v>
      </c>
      <c r="W1324" s="43" t="str">
        <f>IFERROR(__xludf.DUMMYFUNCTION("""COMPUTED_VALUE"""),"2023-12-20T12:42:57Z")</f>
        <v>2023-12-20T12:42:57Z</v>
      </c>
      <c r="X1324" s="43"/>
      <c r="Y1324" s="43"/>
      <c r="Z1324" s="43"/>
    </row>
    <row r="1325" hidden="1">
      <c r="A1325" s="43" t="str">
        <f>IFERROR(__xludf.DUMMYFUNCTION("""COMPUTED_VALUE"""),"4818304_1299856")</f>
        <v>4818304_1299856</v>
      </c>
      <c r="B1325" s="43" t="str">
        <f>IFERROR(__xludf.DUMMYFUNCTION("""COMPUTED_VALUE"""),"Furkan Alkış")</f>
        <v>Furkan Alkış</v>
      </c>
      <c r="C1325" s="43" t="str">
        <f>IFERROR(__xludf.DUMMYFUNCTION("""COMPUTED_VALUE"""),"realized")</f>
        <v>realized</v>
      </c>
      <c r="D1325" s="43" t="str">
        <f>IFERROR(__xludf.DUMMYFUNCTION("""COMPUTED_VALUE"""),"No")</f>
        <v>No</v>
      </c>
      <c r="E1325" s="43" t="str">
        <f>IFERROR(__xludf.DUMMYFUNCTION("""COMPUTED_VALUE"""),"p_066c075201eb011df36569fd745b94bbec4f9a13@inbound.aiesec.org")</f>
        <v>p_066c075201eb011df36569fd745b94bbec4f9a13@inbound.aiesec.org</v>
      </c>
      <c r="F1325" s="43">
        <f>IFERROR(__xludf.DUMMYFUNCTION("""COMPUTED_VALUE"""),5.056925059E9)</f>
        <v>5056925059</v>
      </c>
      <c r="G1325" s="43" t="str">
        <f>IFERROR(__xludf.DUMMYFUNCTION("""COMPUTED_VALUE"""),"Turkey")</f>
        <v>Turkey</v>
      </c>
      <c r="H1325" s="43" t="str">
        <f>IFERROR(__xludf.DUMMYFUNCTION("""COMPUTED_VALUE"""),"İZMİR")</f>
        <v>İZMİR</v>
      </c>
      <c r="I1325" s="43" t="str">
        <f>IFERROR(__xludf.DUMMYFUNCTION("""COMPUTED_VALUE"""),"Serbia")</f>
        <v>Serbia</v>
      </c>
      <c r="J1325" s="43" t="str">
        <f>IFERROR(__xludf.DUMMYFUNCTION("""COMPUTED_VALUE"""),"BELGRADE FON")</f>
        <v>BELGRADE FON</v>
      </c>
      <c r="K1325" s="44" t="str">
        <f>IFERROR(__xludf.DUMMYFUNCTION("""COMPUTED_VALUE"""),"https://expa.aiesec.org/opportunities/1299856")</f>
        <v>https://expa.aiesec.org/opportunities/1299856</v>
      </c>
      <c r="L1325" s="43" t="str">
        <f>IFERROR(__xludf.DUMMYFUNCTION("""COMPUTED_VALUE"""),"GV")</f>
        <v>GV</v>
      </c>
      <c r="M1325" s="43" t="str">
        <f>IFERROR(__xludf.DUMMYFUNCTION("""COMPUTED_VALUE"""),"short")</f>
        <v>short</v>
      </c>
      <c r="N1325" s="45">
        <f>IFERROR(__xludf.DUMMYFUNCTION("""COMPUTED_VALUE"""),45281.0)</f>
        <v>45281</v>
      </c>
      <c r="O1325" s="45">
        <f>IFERROR(__xludf.DUMMYFUNCTION("""COMPUTED_VALUE"""),45307.0)</f>
        <v>45307</v>
      </c>
      <c r="P1325" s="45">
        <f>IFERROR(__xludf.DUMMYFUNCTION("""COMPUTED_VALUE"""),45349.0)</f>
        <v>45349</v>
      </c>
      <c r="Q1325" s="45">
        <f>IFERROR(__xludf.DUMMYFUNCTION("""COMPUTED_VALUE"""),45319.0)</f>
        <v>45319</v>
      </c>
      <c r="R1325" s="45">
        <f>IFERROR(__xludf.DUMMYFUNCTION("""COMPUTED_VALUE"""),45360.0)</f>
        <v>45360</v>
      </c>
      <c r="S1325" s="43"/>
      <c r="T1325" s="43"/>
      <c r="U1325" s="43" t="str">
        <f>IFERROR(__xludf.DUMMYFUNCTION("""COMPUTED_VALUE"""),"Skill Up!")</f>
        <v>Skill Up!</v>
      </c>
      <c r="V1325" s="43" t="str">
        <f>IFERROR(__xludf.DUMMYFUNCTION("""COMPUTED_VALUE"""),"IZMIR")</f>
        <v>IZMIR</v>
      </c>
      <c r="W1325" s="43" t="str">
        <f>IFERROR(__xludf.DUMMYFUNCTION("""COMPUTED_VALUE"""),"2021-11-26T14:48:48Z")</f>
        <v>2021-11-26T14:48:48Z</v>
      </c>
      <c r="X1325" s="43"/>
      <c r="Y1325" s="43"/>
      <c r="Z1325" s="43"/>
    </row>
    <row r="1326" hidden="1">
      <c r="A1326" s="43" t="str">
        <f>IFERROR(__xludf.DUMMYFUNCTION("""COMPUTED_VALUE"""),"5391181_1301833")</f>
        <v>5391181_1301833</v>
      </c>
      <c r="B1326" s="43" t="str">
        <f>IFERROR(__xludf.DUMMYFUNCTION("""COMPUTED_VALUE"""),"Hatice Feyza Çügen")</f>
        <v>Hatice Feyza Çügen</v>
      </c>
      <c r="C1326" s="43" t="str">
        <f>IFERROR(__xludf.DUMMYFUNCTION("""COMPUTED_VALUE"""),"approved")</f>
        <v>approved</v>
      </c>
      <c r="D1326" s="43" t="str">
        <f>IFERROR(__xludf.DUMMYFUNCTION("""COMPUTED_VALUE"""),"No")</f>
        <v>No</v>
      </c>
      <c r="E1326" s="43" t="str">
        <f>IFERROR(__xludf.DUMMYFUNCTION("""COMPUTED_VALUE"""),"p_8b1f66ed5615424e93a33090a08584858b0c467d@inbound.aiesec.org")</f>
        <v>p_8b1f66ed5615424e93a33090a08584858b0c467d@inbound.aiesec.org</v>
      </c>
      <c r="F1326" s="43">
        <f>IFERROR(__xludf.DUMMYFUNCTION("""COMPUTED_VALUE"""),5.537563001E9)</f>
        <v>5537563001</v>
      </c>
      <c r="G1326" s="43" t="str">
        <f>IFERROR(__xludf.DUMMYFUNCTION("""COMPUTED_VALUE"""),"Turkey")</f>
        <v>Turkey</v>
      </c>
      <c r="H1326" s="43" t="str">
        <f>IFERROR(__xludf.DUMMYFUNCTION("""COMPUTED_VALUE"""),"ANKARA")</f>
        <v>ANKARA</v>
      </c>
      <c r="I1326" s="43" t="str">
        <f>IFERROR(__xludf.DUMMYFUNCTION("""COMPUTED_VALUE"""),"Romania")</f>
        <v>Romania</v>
      </c>
      <c r="J1326" s="43" t="str">
        <f>IFERROR(__xludf.DUMMYFUNCTION("""COMPUTED_VALUE"""),"Cluj-Napoca")</f>
        <v>Cluj-Napoca</v>
      </c>
      <c r="K1326" s="44" t="str">
        <f>IFERROR(__xludf.DUMMYFUNCTION("""COMPUTED_VALUE"""),"https://expa.aiesec.org/opportunities/1301833")</f>
        <v>https://expa.aiesec.org/opportunities/1301833</v>
      </c>
      <c r="L1326" s="43" t="str">
        <f>IFERROR(__xludf.DUMMYFUNCTION("""COMPUTED_VALUE"""),"GV")</f>
        <v>GV</v>
      </c>
      <c r="M1326" s="43" t="str">
        <f>IFERROR(__xludf.DUMMYFUNCTION("""COMPUTED_VALUE"""),"short")</f>
        <v>short</v>
      </c>
      <c r="N1326" s="45">
        <f>IFERROR(__xludf.DUMMYFUNCTION("""COMPUTED_VALUE"""),45282.0)</f>
        <v>45282</v>
      </c>
      <c r="O1326" s="45">
        <f>IFERROR(__xludf.DUMMYFUNCTION("""COMPUTED_VALUE"""),45474.0)</f>
        <v>45474</v>
      </c>
      <c r="P1326" s="45">
        <f>IFERROR(__xludf.DUMMYFUNCTION("""COMPUTED_VALUE"""),45516.0)</f>
        <v>45516</v>
      </c>
      <c r="Q1326" s="45"/>
      <c r="R1326" s="45"/>
      <c r="S1326" s="43"/>
      <c r="T1326" s="43"/>
      <c r="U1326" s="43" t="str">
        <f>IFERROR(__xludf.DUMMYFUNCTION("""COMPUTED_VALUE"""),"Global Classroom")</f>
        <v>Global Classroom</v>
      </c>
      <c r="V1326" s="43" t="str">
        <f>IFERROR(__xludf.DUMMYFUNCTION("""COMPUTED_VALUE"""),"ANKARA")</f>
        <v>ANKARA</v>
      </c>
      <c r="W1326" s="43" t="str">
        <f>IFERROR(__xludf.DUMMYFUNCTION("""COMPUTED_VALUE"""),"2023-12-16T17:57:32Z")</f>
        <v>2023-12-16T17:57:32Z</v>
      </c>
      <c r="X1326" s="43"/>
      <c r="Y1326" s="43"/>
      <c r="Z1326" s="43"/>
    </row>
    <row r="1327" hidden="1">
      <c r="A1327" s="43" t="str">
        <f>IFERROR(__xludf.DUMMYFUNCTION("""COMPUTED_VALUE"""),"5393040_1299756")</f>
        <v>5393040_1299756</v>
      </c>
      <c r="B1327" s="43" t="str">
        <f>IFERROR(__xludf.DUMMYFUNCTION("""COMPUTED_VALUE"""),"Ceren Aydın")</f>
        <v>Ceren Aydın</v>
      </c>
      <c r="C1327" s="43" t="str">
        <f>IFERROR(__xludf.DUMMYFUNCTION("""COMPUTED_VALUE"""),"approved")</f>
        <v>approved</v>
      </c>
      <c r="D1327" s="43" t="str">
        <f>IFERROR(__xludf.DUMMYFUNCTION("""COMPUTED_VALUE"""),"No")</f>
        <v>No</v>
      </c>
      <c r="E1327" s="43" t="str">
        <f>IFERROR(__xludf.DUMMYFUNCTION("""COMPUTED_VALUE"""),"p_c7b0f2f16120f8c89a68a6f12cb6c9d7c13f490f@inbound.aiesec.org")</f>
        <v>p_c7b0f2f16120f8c89a68a6f12cb6c9d7c13f490f@inbound.aiesec.org</v>
      </c>
      <c r="F1327" s="43">
        <f>IFERROR(__xludf.DUMMYFUNCTION("""COMPUTED_VALUE"""),5.393086073E9)</f>
        <v>5393086073</v>
      </c>
      <c r="G1327" s="43" t="str">
        <f>IFERROR(__xludf.DUMMYFUNCTION("""COMPUTED_VALUE"""),"Turkey")</f>
        <v>Turkey</v>
      </c>
      <c r="H1327" s="43" t="str">
        <f>IFERROR(__xludf.DUMMYFUNCTION("""COMPUTED_VALUE"""),"ISTANBUL")</f>
        <v>ISTANBUL</v>
      </c>
      <c r="I1327" s="43" t="str">
        <f>IFERROR(__xludf.DUMMYFUNCTION("""COMPUTED_VALUE"""),"Egypt")</f>
        <v>Egypt</v>
      </c>
      <c r="J1327" s="43" t="str">
        <f>IFERROR(__xludf.DUMMYFUNCTION("""COMPUTED_VALUE"""),"Ain Shams University")</f>
        <v>Ain Shams University</v>
      </c>
      <c r="K1327" s="44" t="str">
        <f>IFERROR(__xludf.DUMMYFUNCTION("""COMPUTED_VALUE"""),"https://expa.aiesec.org/opportunities/1299756")</f>
        <v>https://expa.aiesec.org/opportunities/1299756</v>
      </c>
      <c r="L1327" s="43" t="str">
        <f>IFERROR(__xludf.DUMMYFUNCTION("""COMPUTED_VALUE"""),"GV")</f>
        <v>GV</v>
      </c>
      <c r="M1327" s="43" t="str">
        <f>IFERROR(__xludf.DUMMYFUNCTION("""COMPUTED_VALUE"""),"short")</f>
        <v>short</v>
      </c>
      <c r="N1327" s="45">
        <f>IFERROR(__xludf.DUMMYFUNCTION("""COMPUTED_VALUE"""),45282.0)</f>
        <v>45282</v>
      </c>
      <c r="O1327" s="45">
        <f>IFERROR(__xludf.DUMMYFUNCTION("""COMPUTED_VALUE"""),45488.0)</f>
        <v>45488</v>
      </c>
      <c r="P1327" s="45">
        <f>IFERROR(__xludf.DUMMYFUNCTION("""COMPUTED_VALUE"""),45530.0)</f>
        <v>45530</v>
      </c>
      <c r="Q1327" s="45"/>
      <c r="R1327" s="45"/>
      <c r="S1327" s="43"/>
      <c r="T1327" s="43"/>
      <c r="U1327" s="43" t="str">
        <f>IFERROR(__xludf.DUMMYFUNCTION("""COMPUTED_VALUE"""),"Scale Up!")</f>
        <v>Scale Up!</v>
      </c>
      <c r="V1327" s="43" t="str">
        <f>IFERROR(__xludf.DUMMYFUNCTION("""COMPUTED_VALUE"""),"ISTANBUL - BEYOGLU")</f>
        <v>ISTANBUL - BEYOGLU</v>
      </c>
      <c r="W1327" s="43" t="str">
        <f>IFERROR(__xludf.DUMMYFUNCTION("""COMPUTED_VALUE"""),"2023-12-21T18:00:22Z")</f>
        <v>2023-12-21T18:00:22Z</v>
      </c>
      <c r="X1327" s="43"/>
      <c r="Y1327" s="43"/>
      <c r="Z1327" s="43"/>
    </row>
    <row r="1328" hidden="1">
      <c r="A1328" s="43" t="str">
        <f>IFERROR(__xludf.DUMMYFUNCTION("""COMPUTED_VALUE"""),"5391346_1290298")</f>
        <v>5391346_1290298</v>
      </c>
      <c r="B1328" s="43" t="str">
        <f>IFERROR(__xludf.DUMMYFUNCTION("""COMPUTED_VALUE"""),"Eren Çalı")</f>
        <v>Eren Çalı</v>
      </c>
      <c r="C1328" s="43" t="str">
        <f>IFERROR(__xludf.DUMMYFUNCTION("""COMPUTED_VALUE"""),"approved")</f>
        <v>approved</v>
      </c>
      <c r="D1328" s="43" t="str">
        <f>IFERROR(__xludf.DUMMYFUNCTION("""COMPUTED_VALUE"""),"No")</f>
        <v>No</v>
      </c>
      <c r="E1328" s="43" t="str">
        <f>IFERROR(__xludf.DUMMYFUNCTION("""COMPUTED_VALUE"""),"p_d5c8e876ad089158bfa831ea13111340d5e30e79@inbound.aiesec.org")</f>
        <v>p_d5c8e876ad089158bfa831ea13111340d5e30e79@inbound.aiesec.org</v>
      </c>
      <c r="F1328" s="43"/>
      <c r="G1328" s="43" t="str">
        <f>IFERROR(__xludf.DUMMYFUNCTION("""COMPUTED_VALUE"""),"Turkey")</f>
        <v>Turkey</v>
      </c>
      <c r="H1328" s="43" t="str">
        <f>IFERROR(__xludf.DUMMYFUNCTION("""COMPUTED_VALUE"""),"ANKARA")</f>
        <v>ANKARA</v>
      </c>
      <c r="I1328" s="43" t="str">
        <f>IFERROR(__xludf.DUMMYFUNCTION("""COMPUTED_VALUE"""),"Greece")</f>
        <v>Greece</v>
      </c>
      <c r="J1328" s="43" t="str">
        <f>IFERROR(__xludf.DUMMYFUNCTION("""COMPUTED_VALUE"""),"UoM THESSALONIKI")</f>
        <v>UoM THESSALONIKI</v>
      </c>
      <c r="K1328" s="44" t="str">
        <f>IFERROR(__xludf.DUMMYFUNCTION("""COMPUTED_VALUE"""),"https://expa.aiesec.org/opportunities/1290298")</f>
        <v>https://expa.aiesec.org/opportunities/1290298</v>
      </c>
      <c r="L1328" s="43" t="str">
        <f>IFERROR(__xludf.DUMMYFUNCTION("""COMPUTED_VALUE"""),"GV")</f>
        <v>GV</v>
      </c>
      <c r="M1328" s="43" t="str">
        <f>IFERROR(__xludf.DUMMYFUNCTION("""COMPUTED_VALUE"""),"short")</f>
        <v>short</v>
      </c>
      <c r="N1328" s="45">
        <f>IFERROR(__xludf.DUMMYFUNCTION("""COMPUTED_VALUE"""),45282.0)</f>
        <v>45282</v>
      </c>
      <c r="O1328" s="45">
        <f>IFERROR(__xludf.DUMMYFUNCTION("""COMPUTED_VALUE"""),45320.0)</f>
        <v>45320</v>
      </c>
      <c r="P1328" s="45">
        <f>IFERROR(__xludf.DUMMYFUNCTION("""COMPUTED_VALUE"""),45362.0)</f>
        <v>45362</v>
      </c>
      <c r="Q1328" s="45"/>
      <c r="R1328" s="45"/>
      <c r="S1328" s="43"/>
      <c r="T1328" s="43"/>
      <c r="U1328" s="43" t="str">
        <f>IFERROR(__xludf.DUMMYFUNCTION("""COMPUTED_VALUE"""),"Global Classroom")</f>
        <v>Global Classroom</v>
      </c>
      <c r="V1328" s="43" t="str">
        <f>IFERROR(__xludf.DUMMYFUNCTION("""COMPUTED_VALUE"""),"-")</f>
        <v>-</v>
      </c>
      <c r="W1328" s="43" t="str">
        <f>IFERROR(__xludf.DUMMYFUNCTION("""COMPUTED_VALUE"""),"2023-12-17T09:57:47Z")</f>
        <v>2023-12-17T09:57:47Z</v>
      </c>
      <c r="X1328" s="43"/>
      <c r="Y1328" s="43"/>
      <c r="Z1328" s="43"/>
    </row>
    <row r="1329" hidden="1">
      <c r="A1329" s="43" t="str">
        <f>IFERROR(__xludf.DUMMYFUNCTION("""COMPUTED_VALUE"""),"5388573_1300162")</f>
        <v>5388573_1300162</v>
      </c>
      <c r="B1329" s="43" t="str">
        <f>IFERROR(__xludf.DUMMYFUNCTION("""COMPUTED_VALUE"""),"Emre Can Harmankaya")</f>
        <v>Emre Can Harmankaya</v>
      </c>
      <c r="C1329" s="43" t="str">
        <f>IFERROR(__xludf.DUMMYFUNCTION("""COMPUTED_VALUE"""),"realized")</f>
        <v>realized</v>
      </c>
      <c r="D1329" s="43" t="str">
        <f>IFERROR(__xludf.DUMMYFUNCTION("""COMPUTED_VALUE"""),"No")</f>
        <v>No</v>
      </c>
      <c r="E1329" s="43" t="str">
        <f>IFERROR(__xludf.DUMMYFUNCTION("""COMPUTED_VALUE"""),"p_d63c83bbbaaad9bd4f3cc2a5f4cf5307df3820fd@inbound.aiesec.org")</f>
        <v>p_d63c83bbbaaad9bd4f3cc2a5f4cf5307df3820fd@inbound.aiesec.org</v>
      </c>
      <c r="F1329" s="43">
        <f>IFERROR(__xludf.DUMMYFUNCTION("""COMPUTED_VALUE"""),5.302366242E9)</f>
        <v>5302366242</v>
      </c>
      <c r="G1329" s="43" t="str">
        <f>IFERROR(__xludf.DUMMYFUNCTION("""COMPUTED_VALUE"""),"Turkey")</f>
        <v>Turkey</v>
      </c>
      <c r="H1329" s="43" t="str">
        <f>IFERROR(__xludf.DUMMYFUNCTION("""COMPUTED_VALUE"""),"ISTANBUL")</f>
        <v>ISTANBUL</v>
      </c>
      <c r="I1329" s="43" t="str">
        <f>IFERROR(__xludf.DUMMYFUNCTION("""COMPUTED_VALUE"""),"Czech Republic")</f>
        <v>Czech Republic</v>
      </c>
      <c r="J1329" s="43" t="str">
        <f>IFERROR(__xludf.DUMMYFUNCTION("""COMPUTED_VALUE"""),"PRAGUE")</f>
        <v>PRAGUE</v>
      </c>
      <c r="K1329" s="44" t="str">
        <f>IFERROR(__xludf.DUMMYFUNCTION("""COMPUTED_VALUE"""),"https://expa.aiesec.org/opportunities/1300162")</f>
        <v>https://expa.aiesec.org/opportunities/1300162</v>
      </c>
      <c r="L1329" s="43" t="str">
        <f>IFERROR(__xludf.DUMMYFUNCTION("""COMPUTED_VALUE"""),"GV")</f>
        <v>GV</v>
      </c>
      <c r="M1329" s="43" t="str">
        <f>IFERROR(__xludf.DUMMYFUNCTION("""COMPUTED_VALUE"""),"short")</f>
        <v>short</v>
      </c>
      <c r="N1329" s="45">
        <f>IFERROR(__xludf.DUMMYFUNCTION("""COMPUTED_VALUE"""),45282.0)</f>
        <v>45282</v>
      </c>
      <c r="O1329" s="45">
        <f>IFERROR(__xludf.DUMMYFUNCTION("""COMPUTED_VALUE"""),45306.0)</f>
        <v>45306</v>
      </c>
      <c r="P1329" s="45">
        <f>IFERROR(__xludf.DUMMYFUNCTION("""COMPUTED_VALUE"""),45348.0)</f>
        <v>45348</v>
      </c>
      <c r="Q1329" s="45">
        <f>IFERROR(__xludf.DUMMYFUNCTION("""COMPUTED_VALUE"""),45309.0)</f>
        <v>45309</v>
      </c>
      <c r="R1329" s="45">
        <f>IFERROR(__xludf.DUMMYFUNCTION("""COMPUTED_VALUE"""),45351.0)</f>
        <v>45351</v>
      </c>
      <c r="S1329" s="43"/>
      <c r="T1329" s="43"/>
      <c r="U1329" s="43" t="str">
        <f>IFERROR(__xludf.DUMMYFUNCTION("""COMPUTED_VALUE"""),"Youth 4 Impact")</f>
        <v>Youth 4 Impact</v>
      </c>
      <c r="V1329" s="43" t="str">
        <f>IFERROR(__xludf.DUMMYFUNCTION("""COMPUTED_VALUE"""),"ISTANBUL - BEYOGLU")</f>
        <v>ISTANBUL - BEYOGLU</v>
      </c>
      <c r="W1329" s="43" t="str">
        <f>IFERROR(__xludf.DUMMYFUNCTION("""COMPUTED_VALUE"""),"2023-12-11T13:37:45Z")</f>
        <v>2023-12-11T13:37:45Z</v>
      </c>
      <c r="X1329" s="43"/>
      <c r="Y1329" s="43"/>
      <c r="Z1329" s="43"/>
    </row>
    <row r="1330" hidden="1">
      <c r="A1330" s="43" t="str">
        <f>IFERROR(__xludf.DUMMYFUNCTION("""COMPUTED_VALUE"""),"5393067_1299756")</f>
        <v>5393067_1299756</v>
      </c>
      <c r="B1330" s="43" t="str">
        <f>IFERROR(__xludf.DUMMYFUNCTION("""COMPUTED_VALUE"""),"Büşra Beril Baransel")</f>
        <v>Büşra Beril Baransel</v>
      </c>
      <c r="C1330" s="43" t="str">
        <f>IFERROR(__xludf.DUMMYFUNCTION("""COMPUTED_VALUE"""),"approved")</f>
        <v>approved</v>
      </c>
      <c r="D1330" s="43" t="str">
        <f>IFERROR(__xludf.DUMMYFUNCTION("""COMPUTED_VALUE"""),"No")</f>
        <v>No</v>
      </c>
      <c r="E1330" s="43" t="str">
        <f>IFERROR(__xludf.DUMMYFUNCTION("""COMPUTED_VALUE"""),"p_38bfcc642adb9ed4dc3702b2a9f6f585733e1113@inbound.aiesec.org")</f>
        <v>p_38bfcc642adb9ed4dc3702b2a9f6f585733e1113@inbound.aiesec.org</v>
      </c>
      <c r="F1330" s="43">
        <f>IFERROR(__xludf.DUMMYFUNCTION("""COMPUTED_VALUE"""),5.393122102E9)</f>
        <v>5393122102</v>
      </c>
      <c r="G1330" s="43" t="str">
        <f>IFERROR(__xludf.DUMMYFUNCTION("""COMPUTED_VALUE"""),"Turkey")</f>
        <v>Turkey</v>
      </c>
      <c r="H1330" s="43" t="str">
        <f>IFERROR(__xludf.DUMMYFUNCTION("""COMPUTED_VALUE"""),"ISTANBUL")</f>
        <v>ISTANBUL</v>
      </c>
      <c r="I1330" s="43" t="str">
        <f>IFERROR(__xludf.DUMMYFUNCTION("""COMPUTED_VALUE"""),"Egypt")</f>
        <v>Egypt</v>
      </c>
      <c r="J1330" s="43" t="str">
        <f>IFERROR(__xludf.DUMMYFUNCTION("""COMPUTED_VALUE"""),"Ain Shams University")</f>
        <v>Ain Shams University</v>
      </c>
      <c r="K1330" s="44" t="str">
        <f>IFERROR(__xludf.DUMMYFUNCTION("""COMPUTED_VALUE"""),"https://expa.aiesec.org/opportunities/1299756")</f>
        <v>https://expa.aiesec.org/opportunities/1299756</v>
      </c>
      <c r="L1330" s="43" t="str">
        <f>IFERROR(__xludf.DUMMYFUNCTION("""COMPUTED_VALUE"""),"GV")</f>
        <v>GV</v>
      </c>
      <c r="M1330" s="43" t="str">
        <f>IFERROR(__xludf.DUMMYFUNCTION("""COMPUTED_VALUE"""),"short")</f>
        <v>short</v>
      </c>
      <c r="N1330" s="45">
        <f>IFERROR(__xludf.DUMMYFUNCTION("""COMPUTED_VALUE"""),45282.0)</f>
        <v>45282</v>
      </c>
      <c r="O1330" s="45">
        <f>IFERROR(__xludf.DUMMYFUNCTION("""COMPUTED_VALUE"""),45488.0)</f>
        <v>45488</v>
      </c>
      <c r="P1330" s="45">
        <f>IFERROR(__xludf.DUMMYFUNCTION("""COMPUTED_VALUE"""),45530.0)</f>
        <v>45530</v>
      </c>
      <c r="Q1330" s="45"/>
      <c r="R1330" s="45"/>
      <c r="S1330" s="43"/>
      <c r="T1330" s="43"/>
      <c r="U1330" s="43" t="str">
        <f>IFERROR(__xludf.DUMMYFUNCTION("""COMPUTED_VALUE"""),"Scale Up!")</f>
        <v>Scale Up!</v>
      </c>
      <c r="V1330" s="43" t="str">
        <f>IFERROR(__xludf.DUMMYFUNCTION("""COMPUTED_VALUE"""),"ISTANBUL - BEYOGLU")</f>
        <v>ISTANBUL - BEYOGLU</v>
      </c>
      <c r="W1330" s="43" t="str">
        <f>IFERROR(__xludf.DUMMYFUNCTION("""COMPUTED_VALUE"""),"2023-12-21T19:33:07Z")</f>
        <v>2023-12-21T19:33:07Z</v>
      </c>
      <c r="X1330" s="43"/>
      <c r="Y1330" s="43"/>
      <c r="Z1330" s="43"/>
    </row>
    <row r="1331" hidden="1">
      <c r="A1331" s="43" t="str">
        <f>IFERROR(__xludf.DUMMYFUNCTION("""COMPUTED_VALUE"""),"5390743_1302074")</f>
        <v>5390743_1302074</v>
      </c>
      <c r="B1331" s="43" t="str">
        <f>IFERROR(__xludf.DUMMYFUNCTION("""COMPUTED_VALUE"""),"Emre ERZURUM")</f>
        <v>Emre ERZURUM</v>
      </c>
      <c r="C1331" s="43" t="str">
        <f>IFERROR(__xludf.DUMMYFUNCTION("""COMPUTED_VALUE"""),"realized")</f>
        <v>realized</v>
      </c>
      <c r="D1331" s="43" t="str">
        <f>IFERROR(__xludf.DUMMYFUNCTION("""COMPUTED_VALUE"""),"No")</f>
        <v>No</v>
      </c>
      <c r="E1331" s="43" t="str">
        <f>IFERROR(__xludf.DUMMYFUNCTION("""COMPUTED_VALUE"""),"p_08ccb29234106db6d8d123bd1015d35352fdbf3a@inbound.aiesec.org")</f>
        <v>p_08ccb29234106db6d8d123bd1015d35352fdbf3a@inbound.aiesec.org</v>
      </c>
      <c r="F1331" s="43">
        <f>IFERROR(__xludf.DUMMYFUNCTION("""COMPUTED_VALUE"""),5.458541583E9)</f>
        <v>5458541583</v>
      </c>
      <c r="G1331" s="43" t="str">
        <f>IFERROR(__xludf.DUMMYFUNCTION("""COMPUTED_VALUE"""),"Turkey")</f>
        <v>Turkey</v>
      </c>
      <c r="H1331" s="43" t="str">
        <f>IFERROR(__xludf.DUMMYFUNCTION("""COMPUTED_VALUE"""),"BURSA")</f>
        <v>BURSA</v>
      </c>
      <c r="I1331" s="43" t="str">
        <f>IFERROR(__xludf.DUMMYFUNCTION("""COMPUTED_VALUE"""),"Serbia")</f>
        <v>Serbia</v>
      </c>
      <c r="J1331" s="43" t="str">
        <f>IFERROR(__xludf.DUMMYFUNCTION("""COMPUTED_VALUE"""),"BELGRADE FON")</f>
        <v>BELGRADE FON</v>
      </c>
      <c r="K1331" s="44" t="str">
        <f>IFERROR(__xludf.DUMMYFUNCTION("""COMPUTED_VALUE"""),"https://expa.aiesec.org/opportunities/1302074")</f>
        <v>https://expa.aiesec.org/opportunities/1302074</v>
      </c>
      <c r="L1331" s="43" t="str">
        <f>IFERROR(__xludf.DUMMYFUNCTION("""COMPUTED_VALUE"""),"GV")</f>
        <v>GV</v>
      </c>
      <c r="M1331" s="43" t="str">
        <f>IFERROR(__xludf.DUMMYFUNCTION("""COMPUTED_VALUE"""),"short")</f>
        <v>short</v>
      </c>
      <c r="N1331" s="45">
        <f>IFERROR(__xludf.DUMMYFUNCTION("""COMPUTED_VALUE"""),45282.0)</f>
        <v>45282</v>
      </c>
      <c r="O1331" s="45">
        <f>IFERROR(__xludf.DUMMYFUNCTION("""COMPUTED_VALUE"""),45307.0)</f>
        <v>45307</v>
      </c>
      <c r="P1331" s="45">
        <f>IFERROR(__xludf.DUMMYFUNCTION("""COMPUTED_VALUE"""),45349.0)</f>
        <v>45349</v>
      </c>
      <c r="Q1331" s="45">
        <f>IFERROR(__xludf.DUMMYFUNCTION("""COMPUTED_VALUE"""),45313.0)</f>
        <v>45313</v>
      </c>
      <c r="R1331" s="45">
        <f>IFERROR(__xludf.DUMMYFUNCTION("""COMPUTED_VALUE"""),45355.0)</f>
        <v>45355</v>
      </c>
      <c r="S1331" s="43"/>
      <c r="T1331" s="43"/>
      <c r="U1331" s="43" t="str">
        <f>IFERROR(__xludf.DUMMYFUNCTION("""COMPUTED_VALUE"""),"Youth 4 Impact")</f>
        <v>Youth 4 Impact</v>
      </c>
      <c r="V1331" s="43" t="str">
        <f>IFERROR(__xludf.DUMMYFUNCTION("""COMPUTED_VALUE"""),"BURSA")</f>
        <v>BURSA</v>
      </c>
      <c r="W1331" s="43" t="str">
        <f>IFERROR(__xludf.DUMMYFUNCTION("""COMPUTED_VALUE"""),"2023-12-15T16:49:31Z")</f>
        <v>2023-12-15T16:49:31Z</v>
      </c>
      <c r="X1331" s="43"/>
      <c r="Y1331" s="43"/>
      <c r="Z1331" s="43"/>
    </row>
    <row r="1332" hidden="1">
      <c r="A1332" s="43" t="str">
        <f>IFERROR(__xludf.DUMMYFUNCTION("""COMPUTED_VALUE"""),"5392605_1302558")</f>
        <v>5392605_1302558</v>
      </c>
      <c r="B1332" s="43" t="str">
        <f>IFERROR(__xludf.DUMMYFUNCTION("""COMPUTED_VALUE"""),"devran atuğ")</f>
        <v>devran atuğ</v>
      </c>
      <c r="C1332" s="43" t="str">
        <f>IFERROR(__xludf.DUMMYFUNCTION("""COMPUTED_VALUE"""),"approved")</f>
        <v>approved</v>
      </c>
      <c r="D1332" s="43" t="str">
        <f>IFERROR(__xludf.DUMMYFUNCTION("""COMPUTED_VALUE"""),"No")</f>
        <v>No</v>
      </c>
      <c r="E1332" s="43" t="str">
        <f>IFERROR(__xludf.DUMMYFUNCTION("""COMPUTED_VALUE"""),"p_ab8ef7e3e8025c06f7e354785cb55c59573457ac@inbound.aiesec.org")</f>
        <v>p_ab8ef7e3e8025c06f7e354785cb55c59573457ac@inbound.aiesec.org</v>
      </c>
      <c r="F1332" s="43">
        <f>IFERROR(__xludf.DUMMYFUNCTION("""COMPUTED_VALUE"""),5.524223433E9)</f>
        <v>5524223433</v>
      </c>
      <c r="G1332" s="43" t="str">
        <f>IFERROR(__xludf.DUMMYFUNCTION("""COMPUTED_VALUE"""),"Turkey")</f>
        <v>Turkey</v>
      </c>
      <c r="H1332" s="43" t="str">
        <f>IFERROR(__xludf.DUMMYFUNCTION("""COMPUTED_VALUE"""),"SAKARYA")</f>
        <v>SAKARYA</v>
      </c>
      <c r="I1332" s="43" t="str">
        <f>IFERROR(__xludf.DUMMYFUNCTION("""COMPUTED_VALUE"""),"Egypt")</f>
        <v>Egypt</v>
      </c>
      <c r="J1332" s="43" t="str">
        <f>IFERROR(__xludf.DUMMYFUNCTION("""COMPUTED_VALUE"""),"Ain Shams University")</f>
        <v>Ain Shams University</v>
      </c>
      <c r="K1332" s="44" t="str">
        <f>IFERROR(__xludf.DUMMYFUNCTION("""COMPUTED_VALUE"""),"https://expa.aiesec.org/opportunities/1302558")</f>
        <v>https://expa.aiesec.org/opportunities/1302558</v>
      </c>
      <c r="L1332" s="43" t="str">
        <f>IFERROR(__xludf.DUMMYFUNCTION("""COMPUTED_VALUE"""),"GV")</f>
        <v>GV</v>
      </c>
      <c r="M1332" s="43" t="str">
        <f>IFERROR(__xludf.DUMMYFUNCTION("""COMPUTED_VALUE"""),"short")</f>
        <v>short</v>
      </c>
      <c r="N1332" s="45">
        <f>IFERROR(__xludf.DUMMYFUNCTION("""COMPUTED_VALUE"""),45283.0)</f>
        <v>45283</v>
      </c>
      <c r="O1332" s="45">
        <f>IFERROR(__xludf.DUMMYFUNCTION("""COMPUTED_VALUE"""),45474.0)</f>
        <v>45474</v>
      </c>
      <c r="P1332" s="45">
        <f>IFERROR(__xludf.DUMMYFUNCTION("""COMPUTED_VALUE"""),45516.0)</f>
        <v>45516</v>
      </c>
      <c r="Q1332" s="45"/>
      <c r="R1332" s="45"/>
      <c r="S1332" s="43"/>
      <c r="T1332" s="43"/>
      <c r="U1332" s="43" t="str">
        <f>IFERROR(__xludf.DUMMYFUNCTION("""COMPUTED_VALUE"""),"Skill Up!")</f>
        <v>Skill Up!</v>
      </c>
      <c r="V1332" s="43" t="str">
        <f>IFERROR(__xludf.DUMMYFUNCTION("""COMPUTED_VALUE"""),"DUZCE")</f>
        <v>DUZCE</v>
      </c>
      <c r="W1332" s="43" t="str">
        <f>IFERROR(__xludf.DUMMYFUNCTION("""COMPUTED_VALUE"""),"2023-12-20T12:46:20Z")</f>
        <v>2023-12-20T12:46:20Z</v>
      </c>
      <c r="X1332" s="43"/>
      <c r="Y1332" s="43"/>
      <c r="Z1332" s="43"/>
    </row>
    <row r="1333" hidden="1">
      <c r="A1333" s="43" t="str">
        <f>IFERROR(__xludf.DUMMYFUNCTION("""COMPUTED_VALUE"""),"5393052_1289297")</f>
        <v>5393052_1289297</v>
      </c>
      <c r="B1333" s="43" t="str">
        <f>IFERROR(__xludf.DUMMYFUNCTION("""COMPUTED_VALUE"""),"Sena Koç")</f>
        <v>Sena Koç</v>
      </c>
      <c r="C1333" s="43" t="str">
        <f>IFERROR(__xludf.DUMMYFUNCTION("""COMPUTED_VALUE"""),"approved")</f>
        <v>approved</v>
      </c>
      <c r="D1333" s="43" t="str">
        <f>IFERROR(__xludf.DUMMYFUNCTION("""COMPUTED_VALUE"""),"No")</f>
        <v>No</v>
      </c>
      <c r="E1333" s="43" t="str">
        <f>IFERROR(__xludf.DUMMYFUNCTION("""COMPUTED_VALUE"""),"p_02bc9a55a0f647c44a330fd8de26295e41ee3638@inbound.aiesec.org")</f>
        <v>p_02bc9a55a0f647c44a330fd8de26295e41ee3638@inbound.aiesec.org</v>
      </c>
      <c r="F1333" s="43">
        <f>IFERROR(__xludf.DUMMYFUNCTION("""COMPUTED_VALUE"""),5.338489361E9)</f>
        <v>5338489361</v>
      </c>
      <c r="G1333" s="43" t="str">
        <f>IFERROR(__xludf.DUMMYFUNCTION("""COMPUTED_VALUE"""),"Turkey")</f>
        <v>Turkey</v>
      </c>
      <c r="H1333" s="43" t="str">
        <f>IFERROR(__xludf.DUMMYFUNCTION("""COMPUTED_VALUE"""),"EASTERN MEDITERRANEAN")</f>
        <v>EASTERN MEDITERRANEAN</v>
      </c>
      <c r="I1333" s="43" t="str">
        <f>IFERROR(__xludf.DUMMYFUNCTION("""COMPUTED_VALUE"""),"Azerbaijan")</f>
        <v>Azerbaijan</v>
      </c>
      <c r="J1333" s="43" t="str">
        <f>IFERROR(__xludf.DUMMYFUNCTION("""COMPUTED_VALUE"""),"Baku Synergy")</f>
        <v>Baku Synergy</v>
      </c>
      <c r="K1333" s="44" t="str">
        <f>IFERROR(__xludf.DUMMYFUNCTION("""COMPUTED_VALUE"""),"https://expa.aiesec.org/opportunities/1289297")</f>
        <v>https://expa.aiesec.org/opportunities/1289297</v>
      </c>
      <c r="L1333" s="43" t="str">
        <f>IFERROR(__xludf.DUMMYFUNCTION("""COMPUTED_VALUE"""),"GV")</f>
        <v>GV</v>
      </c>
      <c r="M1333" s="43" t="str">
        <f>IFERROR(__xludf.DUMMYFUNCTION("""COMPUTED_VALUE"""),"short")</f>
        <v>short</v>
      </c>
      <c r="N1333" s="45">
        <f>IFERROR(__xludf.DUMMYFUNCTION("""COMPUTED_VALUE"""),45284.0)</f>
        <v>45284</v>
      </c>
      <c r="O1333" s="45">
        <f>IFERROR(__xludf.DUMMYFUNCTION("""COMPUTED_VALUE"""),45476.0)</f>
        <v>45476</v>
      </c>
      <c r="P1333" s="45">
        <f>IFERROR(__xludf.DUMMYFUNCTION("""COMPUTED_VALUE"""),45518.0)</f>
        <v>45518</v>
      </c>
      <c r="Q1333" s="45"/>
      <c r="R1333" s="45"/>
      <c r="S1333" s="43"/>
      <c r="T1333" s="43"/>
      <c r="U1333" s="43" t="str">
        <f>IFERROR(__xludf.DUMMYFUNCTION("""COMPUTED_VALUE"""),"Youth 4 Impact")</f>
        <v>Youth 4 Impact</v>
      </c>
      <c r="V1333" s="43" t="str">
        <f>IFERROR(__xludf.DUMMYFUNCTION("""COMPUTED_VALUE"""),"IZMIR")</f>
        <v>IZMIR</v>
      </c>
      <c r="W1333" s="43" t="str">
        <f>IFERROR(__xludf.DUMMYFUNCTION("""COMPUTED_VALUE"""),"2023-12-21T18:49:24Z")</f>
        <v>2023-12-21T18:49:24Z</v>
      </c>
      <c r="X1333" s="43"/>
      <c r="Y1333" s="43"/>
      <c r="Z1333" s="43"/>
    </row>
    <row r="1334" hidden="1">
      <c r="A1334" s="43" t="str">
        <f>IFERROR(__xludf.DUMMYFUNCTION("""COMPUTED_VALUE"""),"5393169_1301774")</f>
        <v>5393169_1301774</v>
      </c>
      <c r="B1334" s="43" t="str">
        <f>IFERROR(__xludf.DUMMYFUNCTION("""COMPUTED_VALUE"""),"Özgü şevval Beşik")</f>
        <v>Özgü şevval Beşik</v>
      </c>
      <c r="C1334" s="43" t="str">
        <f>IFERROR(__xludf.DUMMYFUNCTION("""COMPUTED_VALUE"""),"approved")</f>
        <v>approved</v>
      </c>
      <c r="D1334" s="43" t="str">
        <f>IFERROR(__xludf.DUMMYFUNCTION("""COMPUTED_VALUE"""),"No")</f>
        <v>No</v>
      </c>
      <c r="E1334" s="43" t="str">
        <f>IFERROR(__xludf.DUMMYFUNCTION("""COMPUTED_VALUE"""),"p_e47cdd3f320de79f28b4a519f239e09c790ae504@inbound.aiesec.org")</f>
        <v>p_e47cdd3f320de79f28b4a519f239e09c790ae504@inbound.aiesec.org</v>
      </c>
      <c r="F1334" s="43">
        <f>IFERROR(__xludf.DUMMYFUNCTION("""COMPUTED_VALUE"""),5.359452154E9)</f>
        <v>5359452154</v>
      </c>
      <c r="G1334" s="43" t="str">
        <f>IFERROR(__xludf.DUMMYFUNCTION("""COMPUTED_VALUE"""),"Turkey")</f>
        <v>Turkey</v>
      </c>
      <c r="H1334" s="43" t="str">
        <f>IFERROR(__xludf.DUMMYFUNCTION("""COMPUTED_VALUE"""),"ISTANBUL")</f>
        <v>ISTANBUL</v>
      </c>
      <c r="I1334" s="43" t="str">
        <f>IFERROR(__xludf.DUMMYFUNCTION("""COMPUTED_VALUE"""),"India")</f>
        <v>India</v>
      </c>
      <c r="J1334" s="43" t="str">
        <f>IFERROR(__xludf.DUMMYFUNCTION("""COMPUTED_VALUE"""),"Mumbai")</f>
        <v>Mumbai</v>
      </c>
      <c r="K1334" s="44" t="str">
        <f>IFERROR(__xludf.DUMMYFUNCTION("""COMPUTED_VALUE"""),"https://expa.aiesec.org/opportunities/1301774")</f>
        <v>https://expa.aiesec.org/opportunities/1301774</v>
      </c>
      <c r="L1334" s="43" t="str">
        <f>IFERROR(__xludf.DUMMYFUNCTION("""COMPUTED_VALUE"""),"GV")</f>
        <v>GV</v>
      </c>
      <c r="M1334" s="43" t="str">
        <f>IFERROR(__xludf.DUMMYFUNCTION("""COMPUTED_VALUE"""),"short")</f>
        <v>short</v>
      </c>
      <c r="N1334" s="45">
        <f>IFERROR(__xludf.DUMMYFUNCTION("""COMPUTED_VALUE"""),45285.0)</f>
        <v>45285</v>
      </c>
      <c r="O1334" s="45">
        <f>IFERROR(__xludf.DUMMYFUNCTION("""COMPUTED_VALUE"""),45550.0)</f>
        <v>45550</v>
      </c>
      <c r="P1334" s="45">
        <f>IFERROR(__xludf.DUMMYFUNCTION("""COMPUTED_VALUE"""),45592.0)</f>
        <v>45592</v>
      </c>
      <c r="Q1334" s="45"/>
      <c r="R1334" s="45"/>
      <c r="S1334" s="43"/>
      <c r="T1334" s="43"/>
      <c r="U1334" s="43" t="str">
        <f>IFERROR(__xludf.DUMMYFUNCTION("""COMPUTED_VALUE"""),"Explorer")</f>
        <v>Explorer</v>
      </c>
      <c r="V1334" s="43" t="str">
        <f>IFERROR(__xludf.DUMMYFUNCTION("""COMPUTED_VALUE"""),"ISTANBUL - BEYOGLU")</f>
        <v>ISTANBUL - BEYOGLU</v>
      </c>
      <c r="W1334" s="43" t="str">
        <f>IFERROR(__xludf.DUMMYFUNCTION("""COMPUTED_VALUE"""),"2023-12-22T05:15:07Z")</f>
        <v>2023-12-22T05:15:07Z</v>
      </c>
      <c r="X1334" s="43"/>
      <c r="Y1334" s="43"/>
      <c r="Z1334" s="43"/>
    </row>
    <row r="1335" hidden="1">
      <c r="A1335" s="43" t="str">
        <f>IFERROR(__xludf.DUMMYFUNCTION("""COMPUTED_VALUE"""),"5391932_1301477")</f>
        <v>5391932_1301477</v>
      </c>
      <c r="B1335" s="43" t="str">
        <f>IFERROR(__xludf.DUMMYFUNCTION("""COMPUTED_VALUE"""),"Kıvanç Nalça")</f>
        <v>Kıvanç Nalça</v>
      </c>
      <c r="C1335" s="43" t="str">
        <f>IFERROR(__xludf.DUMMYFUNCTION("""COMPUTED_VALUE"""),"approved")</f>
        <v>approved</v>
      </c>
      <c r="D1335" s="43" t="str">
        <f>IFERROR(__xludf.DUMMYFUNCTION("""COMPUTED_VALUE"""),"No")</f>
        <v>No</v>
      </c>
      <c r="E1335" s="43" t="str">
        <f>IFERROR(__xludf.DUMMYFUNCTION("""COMPUTED_VALUE"""),"p_1e8607302732ff0178f6b29d49c7185100ac89e2@inbound.aiesec.org")</f>
        <v>p_1e8607302732ff0178f6b29d49c7185100ac89e2@inbound.aiesec.org</v>
      </c>
      <c r="F1335" s="43"/>
      <c r="G1335" s="43" t="str">
        <f>IFERROR(__xludf.DUMMYFUNCTION("""COMPUTED_VALUE"""),"Turkey")</f>
        <v>Turkey</v>
      </c>
      <c r="H1335" s="43" t="str">
        <f>IFERROR(__xludf.DUMMYFUNCTION("""COMPUTED_VALUE"""),"ISTANBUL WEST")</f>
        <v>ISTANBUL WEST</v>
      </c>
      <c r="I1335" s="43" t="str">
        <f>IFERROR(__xludf.DUMMYFUNCTION("""COMPUTED_VALUE"""),"Italy")</f>
        <v>Italy</v>
      </c>
      <c r="J1335" s="43" t="str">
        <f>IFERROR(__xludf.DUMMYFUNCTION("""COMPUTED_VALUE"""),"Venezia")</f>
        <v>Venezia</v>
      </c>
      <c r="K1335" s="44" t="str">
        <f>IFERROR(__xludf.DUMMYFUNCTION("""COMPUTED_VALUE"""),"https://expa.aiesec.org/opportunities/1301477")</f>
        <v>https://expa.aiesec.org/opportunities/1301477</v>
      </c>
      <c r="L1335" s="43" t="str">
        <f>IFERROR(__xludf.DUMMYFUNCTION("""COMPUTED_VALUE"""),"GV")</f>
        <v>GV</v>
      </c>
      <c r="M1335" s="43" t="str">
        <f>IFERROR(__xludf.DUMMYFUNCTION("""COMPUTED_VALUE"""),"short")</f>
        <v>short</v>
      </c>
      <c r="N1335" s="45">
        <f>IFERROR(__xludf.DUMMYFUNCTION("""COMPUTED_VALUE"""),45286.0)</f>
        <v>45286</v>
      </c>
      <c r="O1335" s="45">
        <f>IFERROR(__xludf.DUMMYFUNCTION("""COMPUTED_VALUE"""),45390.0)</f>
        <v>45390</v>
      </c>
      <c r="P1335" s="45">
        <f>IFERROR(__xludf.DUMMYFUNCTION("""COMPUTED_VALUE"""),45432.0)</f>
        <v>45432</v>
      </c>
      <c r="Q1335" s="45"/>
      <c r="R1335" s="45"/>
      <c r="S1335" s="43"/>
      <c r="T1335" s="43"/>
      <c r="U1335" s="43" t="str">
        <f>IFERROR(__xludf.DUMMYFUNCTION("""COMPUTED_VALUE"""),"Global Classroom")</f>
        <v>Global Classroom</v>
      </c>
      <c r="V1335" s="43" t="str">
        <f>IFERROR(__xludf.DUMMYFUNCTION("""COMPUTED_VALUE"""),"-")</f>
        <v>-</v>
      </c>
      <c r="W1335" s="43" t="str">
        <f>IFERROR(__xludf.DUMMYFUNCTION("""COMPUTED_VALUE"""),"2023-12-18T17:27:35Z")</f>
        <v>2023-12-18T17:27:35Z</v>
      </c>
      <c r="X1335" s="43"/>
      <c r="Y1335" s="43"/>
      <c r="Z1335" s="43"/>
    </row>
    <row r="1336" hidden="1">
      <c r="A1336" s="43" t="str">
        <f>IFERROR(__xludf.DUMMYFUNCTION("""COMPUTED_VALUE"""),"5391525_1302495")</f>
        <v>5391525_1302495</v>
      </c>
      <c r="B1336" s="43" t="str">
        <f>IFERROR(__xludf.DUMMYFUNCTION("""COMPUTED_VALUE"""),"Sare nur KIZILKAYA")</f>
        <v>Sare nur KIZILKAYA</v>
      </c>
      <c r="C1336" s="43" t="str">
        <f>IFERROR(__xludf.DUMMYFUNCTION("""COMPUTED_VALUE"""),"approved")</f>
        <v>approved</v>
      </c>
      <c r="D1336" s="43" t="str">
        <f>IFERROR(__xludf.DUMMYFUNCTION("""COMPUTED_VALUE"""),"No")</f>
        <v>No</v>
      </c>
      <c r="E1336" s="43" t="str">
        <f>IFERROR(__xludf.DUMMYFUNCTION("""COMPUTED_VALUE"""),"p_504b8a56a7e6fe03534cb8dadcc727f55c60b76a@inbound.aiesec.org")</f>
        <v>p_504b8a56a7e6fe03534cb8dadcc727f55c60b76a@inbound.aiesec.org</v>
      </c>
      <c r="F1336" s="43">
        <f>IFERROR(__xludf.DUMMYFUNCTION("""COMPUTED_VALUE"""),5.415605929E9)</f>
        <v>5415605929</v>
      </c>
      <c r="G1336" s="43" t="str">
        <f>IFERROR(__xludf.DUMMYFUNCTION("""COMPUTED_VALUE"""),"Turkey")</f>
        <v>Turkey</v>
      </c>
      <c r="H1336" s="43" t="str">
        <f>IFERROR(__xludf.DUMMYFUNCTION("""COMPUTED_VALUE"""),"ISTANBUL")</f>
        <v>ISTANBUL</v>
      </c>
      <c r="I1336" s="43" t="str">
        <f>IFERROR(__xludf.DUMMYFUNCTION("""COMPUTED_VALUE"""),"Romania")</f>
        <v>Romania</v>
      </c>
      <c r="J1336" s="43" t="str">
        <f>IFERROR(__xludf.DUMMYFUNCTION("""COMPUTED_VALUE"""),"BUCURESTI")</f>
        <v>BUCURESTI</v>
      </c>
      <c r="K1336" s="44" t="str">
        <f>IFERROR(__xludf.DUMMYFUNCTION("""COMPUTED_VALUE"""),"https://expa.aiesec.org/opportunities/1302495")</f>
        <v>https://expa.aiesec.org/opportunities/1302495</v>
      </c>
      <c r="L1336" s="43" t="str">
        <f>IFERROR(__xludf.DUMMYFUNCTION("""COMPUTED_VALUE"""),"GV")</f>
        <v>GV</v>
      </c>
      <c r="M1336" s="43" t="str">
        <f>IFERROR(__xludf.DUMMYFUNCTION("""COMPUTED_VALUE"""),"short")</f>
        <v>short</v>
      </c>
      <c r="N1336" s="45">
        <f>IFERROR(__xludf.DUMMYFUNCTION("""COMPUTED_VALUE"""),45286.0)</f>
        <v>45286</v>
      </c>
      <c r="O1336" s="45">
        <f>IFERROR(__xludf.DUMMYFUNCTION("""COMPUTED_VALUE"""),45460.0)</f>
        <v>45460</v>
      </c>
      <c r="P1336" s="45">
        <f>IFERROR(__xludf.DUMMYFUNCTION("""COMPUTED_VALUE"""),45502.0)</f>
        <v>45502</v>
      </c>
      <c r="Q1336" s="45"/>
      <c r="R1336" s="45"/>
      <c r="S1336" s="43"/>
      <c r="T1336" s="43"/>
      <c r="U1336" s="43" t="str">
        <f>IFERROR(__xludf.DUMMYFUNCTION("""COMPUTED_VALUE"""),"Fingerprint")</f>
        <v>Fingerprint</v>
      </c>
      <c r="V1336" s="43" t="str">
        <f>IFERROR(__xludf.DUMMYFUNCTION("""COMPUTED_VALUE"""),"ISTANBUL - BEYOGLU")</f>
        <v>ISTANBUL - BEYOGLU</v>
      </c>
      <c r="W1336" s="43" t="str">
        <f>IFERROR(__xludf.DUMMYFUNCTION("""COMPUTED_VALUE"""),"2023-12-17T19:19:05Z")</f>
        <v>2023-12-17T19:19:05Z</v>
      </c>
      <c r="X1336" s="43"/>
      <c r="Y1336" s="43"/>
      <c r="Z1336" s="43"/>
    </row>
    <row r="1337" hidden="1">
      <c r="A1337" s="43" t="str">
        <f>IFERROR(__xludf.DUMMYFUNCTION("""COMPUTED_VALUE"""),"5391125_1298927")</f>
        <v>5391125_1298927</v>
      </c>
      <c r="B1337" s="43" t="str">
        <f>IFERROR(__xludf.DUMMYFUNCTION("""COMPUTED_VALUE"""),"Aycan Sönmez")</f>
        <v>Aycan Sönmez</v>
      </c>
      <c r="C1337" s="43" t="str">
        <f>IFERROR(__xludf.DUMMYFUNCTION("""COMPUTED_VALUE"""),"approved")</f>
        <v>approved</v>
      </c>
      <c r="D1337" s="43" t="str">
        <f>IFERROR(__xludf.DUMMYFUNCTION("""COMPUTED_VALUE"""),"No")</f>
        <v>No</v>
      </c>
      <c r="E1337" s="43" t="str">
        <f>IFERROR(__xludf.DUMMYFUNCTION("""COMPUTED_VALUE"""),"p_07135b63c10e3cef4086a4148beb072a922e69df@inbound.aiesec.org")</f>
        <v>p_07135b63c10e3cef4086a4148beb072a922e69df@inbound.aiesec.org</v>
      </c>
      <c r="F1337" s="43">
        <f>IFERROR(__xludf.DUMMYFUNCTION("""COMPUTED_VALUE"""),5.444050961E9)</f>
        <v>5444050961</v>
      </c>
      <c r="G1337" s="43" t="str">
        <f>IFERROR(__xludf.DUMMYFUNCTION("""COMPUTED_VALUE"""),"Turkey")</f>
        <v>Turkey</v>
      </c>
      <c r="H1337" s="43" t="str">
        <f>IFERROR(__xludf.DUMMYFUNCTION("""COMPUTED_VALUE"""),"ANTALYA")</f>
        <v>ANTALYA</v>
      </c>
      <c r="I1337" s="43" t="str">
        <f>IFERROR(__xludf.DUMMYFUNCTION("""COMPUTED_VALUE"""),"India")</f>
        <v>India</v>
      </c>
      <c r="J1337" s="43" t="str">
        <f>IFERROR(__xludf.DUMMYFUNCTION("""COMPUTED_VALUE"""),"Ahmedabad")</f>
        <v>Ahmedabad</v>
      </c>
      <c r="K1337" s="44" t="str">
        <f>IFERROR(__xludf.DUMMYFUNCTION("""COMPUTED_VALUE"""),"https://expa.aiesec.org/opportunities/1298927")</f>
        <v>https://expa.aiesec.org/opportunities/1298927</v>
      </c>
      <c r="L1337" s="43" t="str">
        <f>IFERROR(__xludf.DUMMYFUNCTION("""COMPUTED_VALUE"""),"GV")</f>
        <v>GV</v>
      </c>
      <c r="M1337" s="43" t="str">
        <f>IFERROR(__xludf.DUMMYFUNCTION("""COMPUTED_VALUE"""),"short")</f>
        <v>short</v>
      </c>
      <c r="N1337" s="45">
        <f>IFERROR(__xludf.DUMMYFUNCTION("""COMPUTED_VALUE"""),45286.0)</f>
        <v>45286</v>
      </c>
      <c r="O1337" s="45">
        <f>IFERROR(__xludf.DUMMYFUNCTION("""COMPUTED_VALUE"""),45505.0)</f>
        <v>45505</v>
      </c>
      <c r="P1337" s="45">
        <f>IFERROR(__xludf.DUMMYFUNCTION("""COMPUTED_VALUE"""),45549.0)</f>
        <v>45549</v>
      </c>
      <c r="Q1337" s="45"/>
      <c r="R1337" s="45"/>
      <c r="S1337" s="43"/>
      <c r="T1337" s="43"/>
      <c r="U1337" s="43" t="str">
        <f>IFERROR(__xludf.DUMMYFUNCTION("""COMPUTED_VALUE"""),"Skill Up!")</f>
        <v>Skill Up!</v>
      </c>
      <c r="V1337" s="43" t="str">
        <f>IFERROR(__xludf.DUMMYFUNCTION("""COMPUTED_VALUE"""),"ANTALYA")</f>
        <v>ANTALYA</v>
      </c>
      <c r="W1337" s="43" t="str">
        <f>IFERROR(__xludf.DUMMYFUNCTION("""COMPUTED_VALUE"""),"2023-12-16T13:44:54Z")</f>
        <v>2023-12-16T13:44:54Z</v>
      </c>
      <c r="X1337" s="43"/>
      <c r="Y1337" s="43"/>
      <c r="Z1337" s="43"/>
    </row>
    <row r="1338" hidden="1">
      <c r="A1338" s="43" t="str">
        <f>IFERROR(__xludf.DUMMYFUNCTION("""COMPUTED_VALUE"""),"5391441_1300305")</f>
        <v>5391441_1300305</v>
      </c>
      <c r="B1338" s="43" t="str">
        <f>IFERROR(__xludf.DUMMYFUNCTION("""COMPUTED_VALUE"""),"Enise Feyza Korkmaz")</f>
        <v>Enise Feyza Korkmaz</v>
      </c>
      <c r="C1338" s="43" t="str">
        <f>IFERROR(__xludf.DUMMYFUNCTION("""COMPUTED_VALUE"""),"approved")</f>
        <v>approved</v>
      </c>
      <c r="D1338" s="43" t="str">
        <f>IFERROR(__xludf.DUMMYFUNCTION("""COMPUTED_VALUE"""),"No")</f>
        <v>No</v>
      </c>
      <c r="E1338" s="43" t="str">
        <f>IFERROR(__xludf.DUMMYFUNCTION("""COMPUTED_VALUE"""),"p_642547c0258028518a049c19ec82c436f7b28851@inbound.aiesec.org")</f>
        <v>p_642547c0258028518a049c19ec82c436f7b28851@inbound.aiesec.org</v>
      </c>
      <c r="F1338" s="43">
        <f>IFERROR(__xludf.DUMMYFUNCTION("""COMPUTED_VALUE"""),5.31334444E9)</f>
        <v>5313344440</v>
      </c>
      <c r="G1338" s="43" t="str">
        <f>IFERROR(__xludf.DUMMYFUNCTION("""COMPUTED_VALUE"""),"Turkey")</f>
        <v>Turkey</v>
      </c>
      <c r="H1338" s="43" t="str">
        <f>IFERROR(__xludf.DUMMYFUNCTION("""COMPUTED_VALUE"""),"ISTANBUL")</f>
        <v>ISTANBUL</v>
      </c>
      <c r="I1338" s="43" t="str">
        <f>IFERROR(__xludf.DUMMYFUNCTION("""COMPUTED_VALUE"""),"Egypt")</f>
        <v>Egypt</v>
      </c>
      <c r="J1338" s="43" t="str">
        <f>IFERROR(__xludf.DUMMYFUNCTION("""COMPUTED_VALUE"""),"Ain Shams University")</f>
        <v>Ain Shams University</v>
      </c>
      <c r="K1338" s="44" t="str">
        <f>IFERROR(__xludf.DUMMYFUNCTION("""COMPUTED_VALUE"""),"https://expa.aiesec.org/opportunities/1300305")</f>
        <v>https://expa.aiesec.org/opportunities/1300305</v>
      </c>
      <c r="L1338" s="43" t="str">
        <f>IFERROR(__xludf.DUMMYFUNCTION("""COMPUTED_VALUE"""),"GV")</f>
        <v>GV</v>
      </c>
      <c r="M1338" s="43" t="str">
        <f>IFERROR(__xludf.DUMMYFUNCTION("""COMPUTED_VALUE"""),"short")</f>
        <v>short</v>
      </c>
      <c r="N1338" s="45">
        <f>IFERROR(__xludf.DUMMYFUNCTION("""COMPUTED_VALUE"""),45286.0)</f>
        <v>45286</v>
      </c>
      <c r="O1338" s="45">
        <f>IFERROR(__xludf.DUMMYFUNCTION("""COMPUTED_VALUE"""),45474.0)</f>
        <v>45474</v>
      </c>
      <c r="P1338" s="45">
        <f>IFERROR(__xludf.DUMMYFUNCTION("""COMPUTED_VALUE"""),45516.0)</f>
        <v>45516</v>
      </c>
      <c r="Q1338" s="45"/>
      <c r="R1338" s="45"/>
      <c r="S1338" s="43"/>
      <c r="T1338" s="43"/>
      <c r="U1338" s="43" t="str">
        <f>IFERROR(__xludf.DUMMYFUNCTION("""COMPUTED_VALUE"""),"Scale Up!")</f>
        <v>Scale Up!</v>
      </c>
      <c r="V1338" s="43" t="str">
        <f>IFERROR(__xludf.DUMMYFUNCTION("""COMPUTED_VALUE"""),"ISTANBUL - BEYOGLU")</f>
        <v>ISTANBUL - BEYOGLU</v>
      </c>
      <c r="W1338" s="43" t="str">
        <f>IFERROR(__xludf.DUMMYFUNCTION("""COMPUTED_VALUE"""),"2023-12-17T14:37:02Z")</f>
        <v>2023-12-17T14:37:02Z</v>
      </c>
      <c r="X1338" s="43"/>
      <c r="Y1338" s="43"/>
      <c r="Z1338" s="43"/>
    </row>
    <row r="1339" hidden="1">
      <c r="A1339" s="43" t="str">
        <f>IFERROR(__xludf.DUMMYFUNCTION("""COMPUTED_VALUE"""),"5394886_1291176")</f>
        <v>5394886_1291176</v>
      </c>
      <c r="B1339" s="43" t="str">
        <f>IFERROR(__xludf.DUMMYFUNCTION("""COMPUTED_VALUE"""),"Ayşe Melek Yüksel")</f>
        <v>Ayşe Melek Yüksel</v>
      </c>
      <c r="C1339" s="43" t="str">
        <f>IFERROR(__xludf.DUMMYFUNCTION("""COMPUTED_VALUE"""),"approved")</f>
        <v>approved</v>
      </c>
      <c r="D1339" s="43" t="str">
        <f>IFERROR(__xludf.DUMMYFUNCTION("""COMPUTED_VALUE"""),"No")</f>
        <v>No</v>
      </c>
      <c r="E1339" s="43" t="str">
        <f>IFERROR(__xludf.DUMMYFUNCTION("""COMPUTED_VALUE"""),"p_d818247dce7794c62d24b9d78cf3fc775113d6f7@inbound.aiesec.org")</f>
        <v>p_d818247dce7794c62d24b9d78cf3fc775113d6f7@inbound.aiesec.org</v>
      </c>
      <c r="F1339" s="43"/>
      <c r="G1339" s="43" t="str">
        <f>IFERROR(__xludf.DUMMYFUNCTION("""COMPUTED_VALUE"""),"Turkey")</f>
        <v>Turkey</v>
      </c>
      <c r="H1339" s="43" t="str">
        <f>IFERROR(__xludf.DUMMYFUNCTION("""COMPUTED_VALUE"""),"ISTANBUL")</f>
        <v>ISTANBUL</v>
      </c>
      <c r="I1339" s="43" t="str">
        <f>IFERROR(__xludf.DUMMYFUNCTION("""COMPUTED_VALUE"""),"Egypt")</f>
        <v>Egypt</v>
      </c>
      <c r="J1339" s="43" t="str">
        <f>IFERROR(__xludf.DUMMYFUNCTION("""COMPUTED_VALUE"""),"GUC")</f>
        <v>GUC</v>
      </c>
      <c r="K1339" s="44" t="str">
        <f>IFERROR(__xludf.DUMMYFUNCTION("""COMPUTED_VALUE"""),"https://expa.aiesec.org/opportunities/1291176")</f>
        <v>https://expa.aiesec.org/opportunities/1291176</v>
      </c>
      <c r="L1339" s="43" t="str">
        <f>IFERROR(__xludf.DUMMYFUNCTION("""COMPUTED_VALUE"""),"GV")</f>
        <v>GV</v>
      </c>
      <c r="M1339" s="43" t="str">
        <f>IFERROR(__xludf.DUMMYFUNCTION("""COMPUTED_VALUE"""),"short")</f>
        <v>short</v>
      </c>
      <c r="N1339" s="45">
        <f>IFERROR(__xludf.DUMMYFUNCTION("""COMPUTED_VALUE"""),45286.0)</f>
        <v>45286</v>
      </c>
      <c r="O1339" s="45">
        <f>IFERROR(__xludf.DUMMYFUNCTION("""COMPUTED_VALUE"""),45313.0)</f>
        <v>45313</v>
      </c>
      <c r="P1339" s="45">
        <f>IFERROR(__xludf.DUMMYFUNCTION("""COMPUTED_VALUE"""),45355.0)</f>
        <v>45355</v>
      </c>
      <c r="Q1339" s="45"/>
      <c r="R1339" s="45"/>
      <c r="S1339" s="43"/>
      <c r="T1339" s="43"/>
      <c r="U1339" s="43" t="str">
        <f>IFERROR(__xludf.DUMMYFUNCTION("""COMPUTED_VALUE"""),"Global Classroom")</f>
        <v>Global Classroom</v>
      </c>
      <c r="V1339" s="43" t="str">
        <f>IFERROR(__xludf.DUMMYFUNCTION("""COMPUTED_VALUE"""),"-")</f>
        <v>-</v>
      </c>
      <c r="W1339" s="43" t="str">
        <f>IFERROR(__xludf.DUMMYFUNCTION("""COMPUTED_VALUE"""),"2023-12-26T19:27:17Z")</f>
        <v>2023-12-26T19:27:17Z</v>
      </c>
      <c r="X1339" s="43"/>
      <c r="Y1339" s="43"/>
      <c r="Z1339" s="43"/>
    </row>
    <row r="1340" hidden="1">
      <c r="A1340" s="43" t="str">
        <f>IFERROR(__xludf.DUMMYFUNCTION("""COMPUTED_VALUE"""),"5234304_1300161")</f>
        <v>5234304_1300161</v>
      </c>
      <c r="B1340" s="43" t="str">
        <f>IFERROR(__xludf.DUMMYFUNCTION("""COMPUTED_VALUE"""),"Altan Baysal")</f>
        <v>Altan Baysal</v>
      </c>
      <c r="C1340" s="43" t="str">
        <f>IFERROR(__xludf.DUMMYFUNCTION("""COMPUTED_VALUE"""),"realized")</f>
        <v>realized</v>
      </c>
      <c r="D1340" s="43" t="str">
        <f>IFERROR(__xludf.DUMMYFUNCTION("""COMPUTED_VALUE"""),"No")</f>
        <v>No</v>
      </c>
      <c r="E1340" s="43" t="str">
        <f>IFERROR(__xludf.DUMMYFUNCTION("""COMPUTED_VALUE"""),"p_8c38a4fab37738bfd8fd9eb71479eb12bd3c3b58@inbound.aiesec.org")</f>
        <v>p_8c38a4fab37738bfd8fd9eb71479eb12bd3c3b58@inbound.aiesec.org</v>
      </c>
      <c r="F1340" s="43"/>
      <c r="G1340" s="43" t="str">
        <f>IFERROR(__xludf.DUMMYFUNCTION("""COMPUTED_VALUE"""),"Turkey")</f>
        <v>Turkey</v>
      </c>
      <c r="H1340" s="43" t="str">
        <f>IFERROR(__xludf.DUMMYFUNCTION("""COMPUTED_VALUE"""),"İZMİR")</f>
        <v>İZMİR</v>
      </c>
      <c r="I1340" s="43" t="str">
        <f>IFERROR(__xludf.DUMMYFUNCTION("""COMPUTED_VALUE"""),"Serbia")</f>
        <v>Serbia</v>
      </c>
      <c r="J1340" s="43" t="str">
        <f>IFERROR(__xludf.DUMMYFUNCTION("""COMPUTED_VALUE"""),"NOVI SAD")</f>
        <v>NOVI SAD</v>
      </c>
      <c r="K1340" s="44" t="str">
        <f>IFERROR(__xludf.DUMMYFUNCTION("""COMPUTED_VALUE"""),"https://expa.aiesec.org/opportunities/1300161")</f>
        <v>https://expa.aiesec.org/opportunities/1300161</v>
      </c>
      <c r="L1340" s="43" t="str">
        <f>IFERROR(__xludf.DUMMYFUNCTION("""COMPUTED_VALUE"""),"GV")</f>
        <v>GV</v>
      </c>
      <c r="M1340" s="43" t="str">
        <f>IFERROR(__xludf.DUMMYFUNCTION("""COMPUTED_VALUE"""),"short")</f>
        <v>short</v>
      </c>
      <c r="N1340" s="45">
        <f>IFERROR(__xludf.DUMMYFUNCTION("""COMPUTED_VALUE"""),45287.0)</f>
        <v>45287</v>
      </c>
      <c r="O1340" s="45">
        <f>IFERROR(__xludf.DUMMYFUNCTION("""COMPUTED_VALUE"""),45306.0)</f>
        <v>45306</v>
      </c>
      <c r="P1340" s="45">
        <f>IFERROR(__xludf.DUMMYFUNCTION("""COMPUTED_VALUE"""),45348.0)</f>
        <v>45348</v>
      </c>
      <c r="Q1340" s="45">
        <f>IFERROR(__xludf.DUMMYFUNCTION("""COMPUTED_VALUE"""),45307.0)</f>
        <v>45307</v>
      </c>
      <c r="R1340" s="45">
        <f>IFERROR(__xludf.DUMMYFUNCTION("""COMPUTED_VALUE"""),45348.0)</f>
        <v>45348</v>
      </c>
      <c r="S1340" s="43"/>
      <c r="T1340" s="43"/>
      <c r="U1340" s="43" t="str">
        <f>IFERROR(__xludf.DUMMYFUNCTION("""COMPUTED_VALUE"""),"Skill Up!")</f>
        <v>Skill Up!</v>
      </c>
      <c r="V1340" s="43" t="str">
        <f>IFERROR(__xludf.DUMMYFUNCTION("""COMPUTED_VALUE"""),"-")</f>
        <v>-</v>
      </c>
      <c r="W1340" s="43" t="str">
        <f>IFERROR(__xludf.DUMMYFUNCTION("""COMPUTED_VALUE"""),"2023-04-03T20:45:26Z")</f>
        <v>2023-04-03T20:45:26Z</v>
      </c>
      <c r="X1340" s="43"/>
      <c r="Y1340" s="43"/>
      <c r="Z1340" s="43"/>
    </row>
    <row r="1341" hidden="1">
      <c r="A1341" s="43" t="str">
        <f>IFERROR(__xludf.DUMMYFUNCTION("""COMPUTED_VALUE"""),"5389600_1284485")</f>
        <v>5389600_1284485</v>
      </c>
      <c r="B1341" s="43" t="str">
        <f>IFERROR(__xludf.DUMMYFUNCTION("""COMPUTED_VALUE"""),"Mustafa Emir BELLİ")</f>
        <v>Mustafa Emir BELLİ</v>
      </c>
      <c r="C1341" s="43" t="str">
        <f>IFERROR(__xludf.DUMMYFUNCTION("""COMPUTED_VALUE"""),"approved")</f>
        <v>approved</v>
      </c>
      <c r="D1341" s="43" t="str">
        <f>IFERROR(__xludf.DUMMYFUNCTION("""COMPUTED_VALUE"""),"No")</f>
        <v>No</v>
      </c>
      <c r="E1341" s="43" t="str">
        <f>IFERROR(__xludf.DUMMYFUNCTION("""COMPUTED_VALUE"""),"p_be781fcb98b823b8a8d34eacc3d3c6a8062cf91d@inbound.aiesec.org")</f>
        <v>p_be781fcb98b823b8a8d34eacc3d3c6a8062cf91d@inbound.aiesec.org</v>
      </c>
      <c r="F1341" s="43"/>
      <c r="G1341" s="43" t="str">
        <f>IFERROR(__xludf.DUMMYFUNCTION("""COMPUTED_VALUE"""),"Turkey")</f>
        <v>Turkey</v>
      </c>
      <c r="H1341" s="43" t="str">
        <f>IFERROR(__xludf.DUMMYFUNCTION("""COMPUTED_VALUE"""),"ISTANBUL")</f>
        <v>ISTANBUL</v>
      </c>
      <c r="I1341" s="43" t="str">
        <f>IFERROR(__xludf.DUMMYFUNCTION("""COMPUTED_VALUE"""),"India")</f>
        <v>India</v>
      </c>
      <c r="J1341" s="43" t="str">
        <f>IFERROR(__xludf.DUMMYFUNCTION("""COMPUTED_VALUE"""),"Dehradun")</f>
        <v>Dehradun</v>
      </c>
      <c r="K1341" s="44" t="str">
        <f>IFERROR(__xludf.DUMMYFUNCTION("""COMPUTED_VALUE"""),"https://expa.aiesec.org/opportunities/1284485")</f>
        <v>https://expa.aiesec.org/opportunities/1284485</v>
      </c>
      <c r="L1341" s="43" t="str">
        <f>IFERROR(__xludf.DUMMYFUNCTION("""COMPUTED_VALUE"""),"GV")</f>
        <v>GV</v>
      </c>
      <c r="M1341" s="43" t="str">
        <f>IFERROR(__xludf.DUMMYFUNCTION("""COMPUTED_VALUE"""),"short")</f>
        <v>short</v>
      </c>
      <c r="N1341" s="45">
        <f>IFERROR(__xludf.DUMMYFUNCTION("""COMPUTED_VALUE"""),45288.0)</f>
        <v>45288</v>
      </c>
      <c r="O1341" s="45">
        <f>IFERROR(__xludf.DUMMYFUNCTION("""COMPUTED_VALUE"""),45323.0)</f>
        <v>45323</v>
      </c>
      <c r="P1341" s="45">
        <f>IFERROR(__xludf.DUMMYFUNCTION("""COMPUTED_VALUE"""),45365.0)</f>
        <v>45365</v>
      </c>
      <c r="Q1341" s="45"/>
      <c r="R1341" s="45"/>
      <c r="S1341" s="43"/>
      <c r="T1341" s="43"/>
      <c r="U1341" s="43" t="str">
        <f>IFERROR(__xludf.DUMMYFUNCTION("""COMPUTED_VALUE"""),"Global Classroom")</f>
        <v>Global Classroom</v>
      </c>
      <c r="V1341" s="43" t="str">
        <f>IFERROR(__xludf.DUMMYFUNCTION("""COMPUTED_VALUE"""),"-")</f>
        <v>-</v>
      </c>
      <c r="W1341" s="43" t="str">
        <f>IFERROR(__xludf.DUMMYFUNCTION("""COMPUTED_VALUE"""),"2023-12-13T14:24:16Z")</f>
        <v>2023-12-13T14:24:16Z</v>
      </c>
      <c r="X1341" s="43"/>
      <c r="Y1341" s="43"/>
      <c r="Z1341" s="43"/>
    </row>
    <row r="1342" hidden="1">
      <c r="A1342" s="43" t="str">
        <f>IFERROR(__xludf.DUMMYFUNCTION("""COMPUTED_VALUE"""),"5395598_1301673")</f>
        <v>5395598_1301673</v>
      </c>
      <c r="B1342" s="43" t="str">
        <f>IFERROR(__xludf.DUMMYFUNCTION("""COMPUTED_VALUE"""),"Aylin Baytöre")</f>
        <v>Aylin Baytöre</v>
      </c>
      <c r="C1342" s="43" t="str">
        <f>IFERROR(__xludf.DUMMYFUNCTION("""COMPUTED_VALUE"""),"realized")</f>
        <v>realized</v>
      </c>
      <c r="D1342" s="43" t="str">
        <f>IFERROR(__xludf.DUMMYFUNCTION("""COMPUTED_VALUE"""),"No")</f>
        <v>No</v>
      </c>
      <c r="E1342" s="43" t="str">
        <f>IFERROR(__xludf.DUMMYFUNCTION("""COMPUTED_VALUE"""),"p_c912a8606511af72bb8aa57754c178a57a857cad@inbound.aiesec.org")</f>
        <v>p_c912a8606511af72bb8aa57754c178a57a857cad@inbound.aiesec.org</v>
      </c>
      <c r="F1342" s="43">
        <f>IFERROR(__xludf.DUMMYFUNCTION("""COMPUTED_VALUE"""),5.319558235E9)</f>
        <v>5319558235</v>
      </c>
      <c r="G1342" s="43" t="str">
        <f>IFERROR(__xludf.DUMMYFUNCTION("""COMPUTED_VALUE"""),"Turkey")</f>
        <v>Turkey</v>
      </c>
      <c r="H1342" s="43" t="str">
        <f>IFERROR(__xludf.DUMMYFUNCTION("""COMPUTED_VALUE"""),"ISTANBUL ASIA")</f>
        <v>ISTANBUL ASIA</v>
      </c>
      <c r="I1342" s="43" t="str">
        <f>IFERROR(__xludf.DUMMYFUNCTION("""COMPUTED_VALUE"""),"Serbia")</f>
        <v>Serbia</v>
      </c>
      <c r="J1342" s="43" t="str">
        <f>IFERROR(__xludf.DUMMYFUNCTION("""COMPUTED_VALUE"""),"Singidunum")</f>
        <v>Singidunum</v>
      </c>
      <c r="K1342" s="44" t="str">
        <f>IFERROR(__xludf.DUMMYFUNCTION("""COMPUTED_VALUE"""),"https://expa.aiesec.org/opportunities/1301673")</f>
        <v>https://expa.aiesec.org/opportunities/1301673</v>
      </c>
      <c r="L1342" s="43" t="str">
        <f>IFERROR(__xludf.DUMMYFUNCTION("""COMPUTED_VALUE"""),"GV")</f>
        <v>GV</v>
      </c>
      <c r="M1342" s="43" t="str">
        <f>IFERROR(__xludf.DUMMYFUNCTION("""COMPUTED_VALUE"""),"short")</f>
        <v>short</v>
      </c>
      <c r="N1342" s="45">
        <f>IFERROR(__xludf.DUMMYFUNCTION("""COMPUTED_VALUE"""),45288.0)</f>
        <v>45288</v>
      </c>
      <c r="O1342" s="45">
        <f>IFERROR(__xludf.DUMMYFUNCTION("""COMPUTED_VALUE"""),45316.0)</f>
        <v>45316</v>
      </c>
      <c r="P1342" s="45">
        <f>IFERROR(__xludf.DUMMYFUNCTION("""COMPUTED_VALUE"""),45358.0)</f>
        <v>45358</v>
      </c>
      <c r="Q1342" s="45">
        <f>IFERROR(__xludf.DUMMYFUNCTION("""COMPUTED_VALUE"""),45314.0)</f>
        <v>45314</v>
      </c>
      <c r="R1342" s="45">
        <f>IFERROR(__xludf.DUMMYFUNCTION("""COMPUTED_VALUE"""),45358.0)</f>
        <v>45358</v>
      </c>
      <c r="S1342" s="43"/>
      <c r="T1342" s="43"/>
      <c r="U1342" s="43" t="str">
        <f>IFERROR(__xludf.DUMMYFUNCTION("""COMPUTED_VALUE"""),"Fingerprint")</f>
        <v>Fingerprint</v>
      </c>
      <c r="V1342" s="43" t="str">
        <f>IFERROR(__xludf.DUMMYFUNCTION("""COMPUTED_VALUE"""),"ISTANBUL ASIA")</f>
        <v>ISTANBUL ASIA</v>
      </c>
      <c r="W1342" s="43" t="str">
        <f>IFERROR(__xludf.DUMMYFUNCTION("""COMPUTED_VALUE"""),"2023-12-28T08:44:41Z")</f>
        <v>2023-12-28T08:44:41Z</v>
      </c>
      <c r="X1342" s="43"/>
      <c r="Y1342" s="43"/>
      <c r="Z1342" s="43"/>
    </row>
    <row r="1343" hidden="1">
      <c r="A1343" s="43" t="str">
        <f>IFERROR(__xludf.DUMMYFUNCTION("""COMPUTED_VALUE"""),"5357269_1302175")</f>
        <v>5357269_1302175</v>
      </c>
      <c r="B1343" s="43" t="str">
        <f>IFERROR(__xludf.DUMMYFUNCTION("""COMPUTED_VALUE"""),"Şehnaz Körpe")</f>
        <v>Şehnaz Körpe</v>
      </c>
      <c r="C1343" s="43" t="str">
        <f>IFERROR(__xludf.DUMMYFUNCTION("""COMPUTED_VALUE"""),"approved")</f>
        <v>approved</v>
      </c>
      <c r="D1343" s="43" t="str">
        <f>IFERROR(__xludf.DUMMYFUNCTION("""COMPUTED_VALUE"""),"No")</f>
        <v>No</v>
      </c>
      <c r="E1343" s="43" t="str">
        <f>IFERROR(__xludf.DUMMYFUNCTION("""COMPUTED_VALUE"""),"p_7e31ad8aee1c44a9723ba804f32cae2893f10ada@inbound.aiesec.org")</f>
        <v>p_7e31ad8aee1c44a9723ba804f32cae2893f10ada@inbound.aiesec.org</v>
      </c>
      <c r="F1343" s="43">
        <f>IFERROR(__xludf.DUMMYFUNCTION("""COMPUTED_VALUE"""),5.052462172E9)</f>
        <v>5052462172</v>
      </c>
      <c r="G1343" s="43" t="str">
        <f>IFERROR(__xludf.DUMMYFUNCTION("""COMPUTED_VALUE"""),"Turkey")</f>
        <v>Turkey</v>
      </c>
      <c r="H1343" s="43" t="str">
        <f>IFERROR(__xludf.DUMMYFUNCTION("""COMPUTED_VALUE"""),"İZMİR")</f>
        <v>İZMİR</v>
      </c>
      <c r="I1343" s="43" t="str">
        <f>IFERROR(__xludf.DUMMYFUNCTION("""COMPUTED_VALUE"""),"Serbia")</f>
        <v>Serbia</v>
      </c>
      <c r="J1343" s="43" t="str">
        <f>IFERROR(__xludf.DUMMYFUNCTION("""COMPUTED_VALUE"""),"Belgrade Faculty of Economics (EF)")</f>
        <v>Belgrade Faculty of Economics (EF)</v>
      </c>
      <c r="K1343" s="44" t="str">
        <f>IFERROR(__xludf.DUMMYFUNCTION("""COMPUTED_VALUE"""),"https://expa.aiesec.org/opportunities/1302175")</f>
        <v>https://expa.aiesec.org/opportunities/1302175</v>
      </c>
      <c r="L1343" s="43" t="str">
        <f>IFERROR(__xludf.DUMMYFUNCTION("""COMPUTED_VALUE"""),"GV")</f>
        <v>GV</v>
      </c>
      <c r="M1343" s="43" t="str">
        <f>IFERROR(__xludf.DUMMYFUNCTION("""COMPUTED_VALUE"""),"short")</f>
        <v>short</v>
      </c>
      <c r="N1343" s="45">
        <f>IFERROR(__xludf.DUMMYFUNCTION("""COMPUTED_VALUE"""),45288.0)</f>
        <v>45288</v>
      </c>
      <c r="O1343" s="45">
        <f>IFERROR(__xludf.DUMMYFUNCTION("""COMPUTED_VALUE"""),45309.0)</f>
        <v>45309</v>
      </c>
      <c r="P1343" s="45">
        <f>IFERROR(__xludf.DUMMYFUNCTION("""COMPUTED_VALUE"""),45351.0)</f>
        <v>45351</v>
      </c>
      <c r="Q1343" s="45"/>
      <c r="R1343" s="45"/>
      <c r="S1343" s="43"/>
      <c r="T1343" s="43"/>
      <c r="U1343" s="43" t="str">
        <f>IFERROR(__xludf.DUMMYFUNCTION("""COMPUTED_VALUE"""),"Youth 4 Impact")</f>
        <v>Youth 4 Impact</v>
      </c>
      <c r="V1343" s="43" t="str">
        <f>IFERROR(__xludf.DUMMYFUNCTION("""COMPUTED_VALUE"""),"IZMIR")</f>
        <v>IZMIR</v>
      </c>
      <c r="W1343" s="43" t="str">
        <f>IFERROR(__xludf.DUMMYFUNCTION("""COMPUTED_VALUE"""),"2023-10-22T13:57:03Z")</f>
        <v>2023-10-22T13:57:03Z</v>
      </c>
      <c r="X1343" s="43"/>
      <c r="Y1343" s="43"/>
      <c r="Z1343" s="43"/>
    </row>
    <row r="1344" hidden="1">
      <c r="A1344" s="43" t="str">
        <f>IFERROR(__xludf.DUMMYFUNCTION("""COMPUTED_VALUE"""),"5382350_1288330")</f>
        <v>5382350_1288330</v>
      </c>
      <c r="B1344" s="43" t="str">
        <f>IFERROR(__xludf.DUMMYFUNCTION("""COMPUTED_VALUE"""),"Selman Dursun")</f>
        <v>Selman Dursun</v>
      </c>
      <c r="C1344" s="43" t="str">
        <f>IFERROR(__xludf.DUMMYFUNCTION("""COMPUTED_VALUE"""),"approved")</f>
        <v>approved</v>
      </c>
      <c r="D1344" s="43" t="str">
        <f>IFERROR(__xludf.DUMMYFUNCTION("""COMPUTED_VALUE"""),"No")</f>
        <v>No</v>
      </c>
      <c r="E1344" s="43" t="str">
        <f>IFERROR(__xludf.DUMMYFUNCTION("""COMPUTED_VALUE"""),"p_1bc4561db5a04ac91d11f7935b85d9a6f0b333d0@inbound.aiesec.org")</f>
        <v>p_1bc4561db5a04ac91d11f7935b85d9a6f0b333d0@inbound.aiesec.org</v>
      </c>
      <c r="F1344" s="43">
        <f>IFERROR(__xludf.DUMMYFUNCTION("""COMPUTED_VALUE"""),5.338623359E9)</f>
        <v>5338623359</v>
      </c>
      <c r="G1344" s="43" t="str">
        <f>IFERROR(__xludf.DUMMYFUNCTION("""COMPUTED_VALUE"""),"Turkey")</f>
        <v>Turkey</v>
      </c>
      <c r="H1344" s="43" t="str">
        <f>IFERROR(__xludf.DUMMYFUNCTION("""COMPUTED_VALUE"""),"EASTERN MEDITERRANEAN")</f>
        <v>EASTERN MEDITERRANEAN</v>
      </c>
      <c r="I1344" s="43" t="str">
        <f>IFERROR(__xludf.DUMMYFUNCTION("""COMPUTED_VALUE"""),"Sri Lanka")</f>
        <v>Sri Lanka</v>
      </c>
      <c r="J1344" s="43" t="str">
        <f>IFERROR(__xludf.DUMMYFUNCTION("""COMPUTED_VALUE"""),"COLOMBO NORTH")</f>
        <v>COLOMBO NORTH</v>
      </c>
      <c r="K1344" s="44" t="str">
        <f>IFERROR(__xludf.DUMMYFUNCTION("""COMPUTED_VALUE"""),"https://expa.aiesec.org/opportunities/1288330")</f>
        <v>https://expa.aiesec.org/opportunities/1288330</v>
      </c>
      <c r="L1344" s="43" t="str">
        <f>IFERROR(__xludf.DUMMYFUNCTION("""COMPUTED_VALUE"""),"GV")</f>
        <v>GV</v>
      </c>
      <c r="M1344" s="43" t="str">
        <f>IFERROR(__xludf.DUMMYFUNCTION("""COMPUTED_VALUE"""),"short")</f>
        <v>short</v>
      </c>
      <c r="N1344" s="45">
        <f>IFERROR(__xludf.DUMMYFUNCTION("""COMPUTED_VALUE"""),45288.0)</f>
        <v>45288</v>
      </c>
      <c r="O1344" s="45">
        <f>IFERROR(__xludf.DUMMYFUNCTION("""COMPUTED_VALUE"""),45474.0)</f>
        <v>45474</v>
      </c>
      <c r="P1344" s="45">
        <f>IFERROR(__xludf.DUMMYFUNCTION("""COMPUTED_VALUE"""),45516.0)</f>
        <v>45516</v>
      </c>
      <c r="Q1344" s="45"/>
      <c r="R1344" s="45"/>
      <c r="S1344" s="43"/>
      <c r="T1344" s="43"/>
      <c r="U1344" s="43" t="str">
        <f>IFERROR(__xludf.DUMMYFUNCTION("""COMPUTED_VALUE"""),"Aquatica")</f>
        <v>Aquatica</v>
      </c>
      <c r="V1344" s="43" t="str">
        <f>IFERROR(__xludf.DUMMYFUNCTION("""COMPUTED_VALUE"""),"ISTANBUL ASIA")</f>
        <v>ISTANBUL ASIA</v>
      </c>
      <c r="W1344" s="43" t="str">
        <f>IFERROR(__xludf.DUMMYFUNCTION("""COMPUTED_VALUE"""),"2023-11-29T09:59:04Z")</f>
        <v>2023-11-29T09:59:04Z</v>
      </c>
      <c r="X1344" s="43"/>
      <c r="Y1344" s="43"/>
      <c r="Z1344" s="43"/>
    </row>
    <row r="1345" hidden="1">
      <c r="A1345" s="43" t="str">
        <f>IFERROR(__xludf.DUMMYFUNCTION("""COMPUTED_VALUE"""),"5395815_1301997")</f>
        <v>5395815_1301997</v>
      </c>
      <c r="B1345" s="43" t="str">
        <f>IFERROR(__xludf.DUMMYFUNCTION("""COMPUTED_VALUE"""),"Yusif Mursalov")</f>
        <v>Yusif Mursalov</v>
      </c>
      <c r="C1345" s="43" t="str">
        <f>IFERROR(__xludf.DUMMYFUNCTION("""COMPUTED_VALUE"""),"realized")</f>
        <v>realized</v>
      </c>
      <c r="D1345" s="43" t="str">
        <f>IFERROR(__xludf.DUMMYFUNCTION("""COMPUTED_VALUE"""),"No")</f>
        <v>No</v>
      </c>
      <c r="E1345" s="43" t="str">
        <f>IFERROR(__xludf.DUMMYFUNCTION("""COMPUTED_VALUE"""),"p_3ddccf346ef9e9329e39cc162bc11245d4886965@inbound.aiesec.org")</f>
        <v>p_3ddccf346ef9e9329e39cc162bc11245d4886965@inbound.aiesec.org</v>
      </c>
      <c r="F1345" s="43">
        <f>IFERROR(__xludf.DUMMYFUNCTION("""COMPUTED_VALUE"""),5.068488101E9)</f>
        <v>5068488101</v>
      </c>
      <c r="G1345" s="43" t="str">
        <f>IFERROR(__xludf.DUMMYFUNCTION("""COMPUTED_VALUE"""),"Turkey")</f>
        <v>Turkey</v>
      </c>
      <c r="H1345" s="43" t="str">
        <f>IFERROR(__xludf.DUMMYFUNCTION("""COMPUTED_VALUE"""),"SAKARYA")</f>
        <v>SAKARYA</v>
      </c>
      <c r="I1345" s="43" t="str">
        <f>IFERROR(__xludf.DUMMYFUNCTION("""COMPUTED_VALUE"""),"Egypt")</f>
        <v>Egypt</v>
      </c>
      <c r="J1345" s="43" t="str">
        <f>IFERROR(__xludf.DUMMYFUNCTION("""COMPUTED_VALUE"""),"Ain Shams University")</f>
        <v>Ain Shams University</v>
      </c>
      <c r="K1345" s="44" t="str">
        <f>IFERROR(__xludf.DUMMYFUNCTION("""COMPUTED_VALUE"""),"https://expa.aiesec.org/opportunities/1301997")</f>
        <v>https://expa.aiesec.org/opportunities/1301997</v>
      </c>
      <c r="L1345" s="43" t="str">
        <f>IFERROR(__xludf.DUMMYFUNCTION("""COMPUTED_VALUE"""),"GV")</f>
        <v>GV</v>
      </c>
      <c r="M1345" s="43" t="str">
        <f>IFERROR(__xludf.DUMMYFUNCTION("""COMPUTED_VALUE"""),"short")</f>
        <v>short</v>
      </c>
      <c r="N1345" s="45">
        <f>IFERROR(__xludf.DUMMYFUNCTION("""COMPUTED_VALUE"""),45289.0)</f>
        <v>45289</v>
      </c>
      <c r="O1345" s="45">
        <f>IFERROR(__xludf.DUMMYFUNCTION("""COMPUTED_VALUE"""),45306.0)</f>
        <v>45306</v>
      </c>
      <c r="P1345" s="45">
        <f>IFERROR(__xludf.DUMMYFUNCTION("""COMPUTED_VALUE"""),45348.0)</f>
        <v>45348</v>
      </c>
      <c r="Q1345" s="45">
        <f>IFERROR(__xludf.DUMMYFUNCTION("""COMPUTED_VALUE"""),45309.0)</f>
        <v>45309</v>
      </c>
      <c r="R1345" s="45">
        <f>IFERROR(__xludf.DUMMYFUNCTION("""COMPUTED_VALUE"""),45351.0)</f>
        <v>45351</v>
      </c>
      <c r="S1345" s="43"/>
      <c r="T1345" s="43"/>
      <c r="U1345" s="43" t="str">
        <f>IFERROR(__xludf.DUMMYFUNCTION("""COMPUTED_VALUE"""),"Rooted")</f>
        <v>Rooted</v>
      </c>
      <c r="V1345" s="43" t="str">
        <f>IFERROR(__xludf.DUMMYFUNCTION("""COMPUTED_VALUE"""),"SAKARYA")</f>
        <v>SAKARYA</v>
      </c>
      <c r="W1345" s="43" t="str">
        <f>IFERROR(__xludf.DUMMYFUNCTION("""COMPUTED_VALUE"""),"2023-12-28T16:53:27Z")</f>
        <v>2023-12-28T16:53:27Z</v>
      </c>
      <c r="X1345" s="43"/>
      <c r="Y1345" s="43"/>
      <c r="Z1345" s="43"/>
    </row>
    <row r="1346" hidden="1">
      <c r="A1346" s="43" t="str">
        <f>IFERROR(__xludf.DUMMYFUNCTION("""COMPUTED_VALUE"""),"5391283_1300681")</f>
        <v>5391283_1300681</v>
      </c>
      <c r="B1346" s="43" t="str">
        <f>IFERROR(__xludf.DUMMYFUNCTION("""COMPUTED_VALUE"""),"Emre Demir")</f>
        <v>Emre Demir</v>
      </c>
      <c r="C1346" s="43" t="str">
        <f>IFERROR(__xludf.DUMMYFUNCTION("""COMPUTED_VALUE"""),"approved")</f>
        <v>approved</v>
      </c>
      <c r="D1346" s="43" t="str">
        <f>IFERROR(__xludf.DUMMYFUNCTION("""COMPUTED_VALUE"""),"No")</f>
        <v>No</v>
      </c>
      <c r="E1346" s="43" t="str">
        <f>IFERROR(__xludf.DUMMYFUNCTION("""COMPUTED_VALUE"""),"p_c743ca8a31e2222ee263aa8a9e5c6b8e3fd2cac4@inbound.aiesec.org")</f>
        <v>p_c743ca8a31e2222ee263aa8a9e5c6b8e3fd2cac4@inbound.aiesec.org</v>
      </c>
      <c r="F1346" s="43">
        <f>IFERROR(__xludf.DUMMYFUNCTION("""COMPUTED_VALUE"""),5.313633966E9)</f>
        <v>5313633966</v>
      </c>
      <c r="G1346" s="43" t="str">
        <f>IFERROR(__xludf.DUMMYFUNCTION("""COMPUTED_VALUE"""),"Turkey")</f>
        <v>Turkey</v>
      </c>
      <c r="H1346" s="43" t="str">
        <f>IFERROR(__xludf.DUMMYFUNCTION("""COMPUTED_VALUE"""),"TRABZON")</f>
        <v>TRABZON</v>
      </c>
      <c r="I1346" s="43" t="str">
        <f>IFERROR(__xludf.DUMMYFUNCTION("""COMPUTED_VALUE"""),"Egypt")</f>
        <v>Egypt</v>
      </c>
      <c r="J1346" s="43" t="str">
        <f>IFERROR(__xludf.DUMMYFUNCTION("""COMPUTED_VALUE"""),"Mansoura")</f>
        <v>Mansoura</v>
      </c>
      <c r="K1346" s="44" t="str">
        <f>IFERROR(__xludf.DUMMYFUNCTION("""COMPUTED_VALUE"""),"https://expa.aiesec.org/opportunities/1300681")</f>
        <v>https://expa.aiesec.org/opportunities/1300681</v>
      </c>
      <c r="L1346" s="43" t="str">
        <f>IFERROR(__xludf.DUMMYFUNCTION("""COMPUTED_VALUE"""),"GV")</f>
        <v>GV</v>
      </c>
      <c r="M1346" s="43" t="str">
        <f>IFERROR(__xludf.DUMMYFUNCTION("""COMPUTED_VALUE"""),"short")</f>
        <v>short</v>
      </c>
      <c r="N1346" s="45">
        <f>IFERROR(__xludf.DUMMYFUNCTION("""COMPUTED_VALUE"""),45291.0)</f>
        <v>45291</v>
      </c>
      <c r="O1346" s="45">
        <f>IFERROR(__xludf.DUMMYFUNCTION("""COMPUTED_VALUE"""),45474.0)</f>
        <v>45474</v>
      </c>
      <c r="P1346" s="45">
        <f>IFERROR(__xludf.DUMMYFUNCTION("""COMPUTED_VALUE"""),45516.0)</f>
        <v>45516</v>
      </c>
      <c r="Q1346" s="45"/>
      <c r="R1346" s="45"/>
      <c r="S1346" s="43"/>
      <c r="T1346" s="43"/>
      <c r="U1346" s="43" t="str">
        <f>IFERROR(__xludf.DUMMYFUNCTION("""COMPUTED_VALUE"""),"Heartbeat")</f>
        <v>Heartbeat</v>
      </c>
      <c r="V1346" s="43" t="str">
        <f>IFERROR(__xludf.DUMMYFUNCTION("""COMPUTED_VALUE"""),"TRABZON")</f>
        <v>TRABZON</v>
      </c>
      <c r="W1346" s="43" t="str">
        <f>IFERROR(__xludf.DUMMYFUNCTION("""COMPUTED_VALUE"""),"2023-12-16T22:59:10Z")</f>
        <v>2023-12-16T22:59:10Z</v>
      </c>
      <c r="X1346" s="43"/>
      <c r="Y1346" s="43"/>
      <c r="Z1346" s="43"/>
    </row>
    <row r="1347" hidden="1">
      <c r="A1347" s="43" t="str">
        <f>IFERROR(__xludf.DUMMYFUNCTION("""COMPUTED_VALUE"""),"5394428_1301512")</f>
        <v>5394428_1301512</v>
      </c>
      <c r="B1347" s="43" t="str">
        <f>IFERROR(__xludf.DUMMYFUNCTION("""COMPUTED_VALUE"""),"Çağla Öztürk")</f>
        <v>Çağla Öztürk</v>
      </c>
      <c r="C1347" s="43" t="str">
        <f>IFERROR(__xludf.DUMMYFUNCTION("""COMPUTED_VALUE"""),"realized")</f>
        <v>realized</v>
      </c>
      <c r="D1347" s="43" t="str">
        <f>IFERROR(__xludf.DUMMYFUNCTION("""COMPUTED_VALUE"""),"No")</f>
        <v>No</v>
      </c>
      <c r="E1347" s="43" t="str">
        <f>IFERROR(__xludf.DUMMYFUNCTION("""COMPUTED_VALUE"""),"p_cebf4c473ab1822e8c4c1dff1f66b371369db99b@inbound.aiesec.org")</f>
        <v>p_cebf4c473ab1822e8c4c1dff1f66b371369db99b@inbound.aiesec.org</v>
      </c>
      <c r="F1347" s="43">
        <f>IFERROR(__xludf.DUMMYFUNCTION("""COMPUTED_VALUE"""),5.438253103E9)</f>
        <v>5438253103</v>
      </c>
      <c r="G1347" s="43" t="str">
        <f>IFERROR(__xludf.DUMMYFUNCTION("""COMPUTED_VALUE"""),"Turkey")</f>
        <v>Turkey</v>
      </c>
      <c r="H1347" s="43" t="str">
        <f>IFERROR(__xludf.DUMMYFUNCTION("""COMPUTED_VALUE"""),"ISTANBUL")</f>
        <v>ISTANBUL</v>
      </c>
      <c r="I1347" s="43" t="str">
        <f>IFERROR(__xludf.DUMMYFUNCTION("""COMPUTED_VALUE"""),"Serbia")</f>
        <v>Serbia</v>
      </c>
      <c r="J1347" s="43" t="str">
        <f>IFERROR(__xludf.DUMMYFUNCTION("""COMPUTED_VALUE"""),"Metropolitan")</f>
        <v>Metropolitan</v>
      </c>
      <c r="K1347" s="44" t="str">
        <f>IFERROR(__xludf.DUMMYFUNCTION("""COMPUTED_VALUE"""),"https://expa.aiesec.org/opportunities/1301512")</f>
        <v>https://expa.aiesec.org/opportunities/1301512</v>
      </c>
      <c r="L1347" s="43" t="str">
        <f>IFERROR(__xludf.DUMMYFUNCTION("""COMPUTED_VALUE"""),"GV")</f>
        <v>GV</v>
      </c>
      <c r="M1347" s="43" t="str">
        <f>IFERROR(__xludf.DUMMYFUNCTION("""COMPUTED_VALUE"""),"short")</f>
        <v>short</v>
      </c>
      <c r="N1347" s="45">
        <f>IFERROR(__xludf.DUMMYFUNCTION("""COMPUTED_VALUE"""),45293.0)</f>
        <v>45293</v>
      </c>
      <c r="O1347" s="45">
        <f>IFERROR(__xludf.DUMMYFUNCTION("""COMPUTED_VALUE"""),45306.0)</f>
        <v>45306</v>
      </c>
      <c r="P1347" s="45">
        <f>IFERROR(__xludf.DUMMYFUNCTION("""COMPUTED_VALUE"""),45348.0)</f>
        <v>45348</v>
      </c>
      <c r="Q1347" s="45">
        <f>IFERROR(__xludf.DUMMYFUNCTION("""COMPUTED_VALUE"""),45306.0)</f>
        <v>45306</v>
      </c>
      <c r="R1347" s="45">
        <f>IFERROR(__xludf.DUMMYFUNCTION("""COMPUTED_VALUE"""),45348.0)</f>
        <v>45348</v>
      </c>
      <c r="S1347" s="43"/>
      <c r="T1347" s="43"/>
      <c r="U1347" s="43" t="str">
        <f>IFERROR(__xludf.DUMMYFUNCTION("""COMPUTED_VALUE"""),"Global Classroom")</f>
        <v>Global Classroom</v>
      </c>
      <c r="V1347" s="43" t="str">
        <f>IFERROR(__xludf.DUMMYFUNCTION("""COMPUTED_VALUE"""),"ISTANBUL - BAKIRKOY")</f>
        <v>ISTANBUL - BAKIRKOY</v>
      </c>
      <c r="W1347" s="43" t="str">
        <f>IFERROR(__xludf.DUMMYFUNCTION("""COMPUTED_VALUE"""),"2023-12-25T06:00:53Z")</f>
        <v>2023-12-25T06:00:53Z</v>
      </c>
      <c r="X1347" s="43"/>
      <c r="Y1347" s="43"/>
      <c r="Z1347" s="43"/>
    </row>
    <row r="1348" hidden="1">
      <c r="A1348" s="43" t="str">
        <f>IFERROR(__xludf.DUMMYFUNCTION("""COMPUTED_VALUE"""),"5396851_1302031")</f>
        <v>5396851_1302031</v>
      </c>
      <c r="B1348" s="43" t="str">
        <f>IFERROR(__xludf.DUMMYFUNCTION("""COMPUTED_VALUE"""),"Duha Sila Kanter")</f>
        <v>Duha Sila Kanter</v>
      </c>
      <c r="C1348" s="43" t="str">
        <f>IFERROR(__xludf.DUMMYFUNCTION("""COMPUTED_VALUE"""),"approved")</f>
        <v>approved</v>
      </c>
      <c r="D1348" s="43" t="str">
        <f>IFERROR(__xludf.DUMMYFUNCTION("""COMPUTED_VALUE"""),"No")</f>
        <v>No</v>
      </c>
      <c r="E1348" s="43" t="str">
        <f>IFERROR(__xludf.DUMMYFUNCTION("""COMPUTED_VALUE"""),"p_7f3503a488b0f40023476c9a9161ad7f363bb2a4@inbound.aiesec.org")</f>
        <v>p_7f3503a488b0f40023476c9a9161ad7f363bb2a4@inbound.aiesec.org</v>
      </c>
      <c r="F1348" s="43"/>
      <c r="G1348" s="43" t="str">
        <f>IFERROR(__xludf.DUMMYFUNCTION("""COMPUTED_VALUE"""),"Turkey")</f>
        <v>Turkey</v>
      </c>
      <c r="H1348" s="43" t="str">
        <f>IFERROR(__xludf.DUMMYFUNCTION("""COMPUTED_VALUE"""),"ANKARA")</f>
        <v>ANKARA</v>
      </c>
      <c r="I1348" s="43" t="str">
        <f>IFERROR(__xludf.DUMMYFUNCTION("""COMPUTED_VALUE"""),"Egypt")</f>
        <v>Egypt</v>
      </c>
      <c r="J1348" s="43" t="str">
        <f>IFERROR(__xludf.DUMMYFUNCTION("""COMPUTED_VALUE"""),"MUST")</f>
        <v>MUST</v>
      </c>
      <c r="K1348" s="44" t="str">
        <f>IFERROR(__xludf.DUMMYFUNCTION("""COMPUTED_VALUE"""),"https://expa.aiesec.org/opportunities/1302031")</f>
        <v>https://expa.aiesec.org/opportunities/1302031</v>
      </c>
      <c r="L1348" s="43" t="str">
        <f>IFERROR(__xludf.DUMMYFUNCTION("""COMPUTED_VALUE"""),"GV")</f>
        <v>GV</v>
      </c>
      <c r="M1348" s="43" t="str">
        <f>IFERROR(__xludf.DUMMYFUNCTION("""COMPUTED_VALUE"""),"short")</f>
        <v>short</v>
      </c>
      <c r="N1348" s="45">
        <f>IFERROR(__xludf.DUMMYFUNCTION("""COMPUTED_VALUE"""),45297.0)</f>
        <v>45297</v>
      </c>
      <c r="O1348" s="45">
        <f>IFERROR(__xludf.DUMMYFUNCTION("""COMPUTED_VALUE"""),45458.0)</f>
        <v>45458</v>
      </c>
      <c r="P1348" s="45">
        <f>IFERROR(__xludf.DUMMYFUNCTION("""COMPUTED_VALUE"""),45504.0)</f>
        <v>45504</v>
      </c>
      <c r="Q1348" s="45"/>
      <c r="R1348" s="45"/>
      <c r="S1348" s="43"/>
      <c r="T1348" s="43"/>
      <c r="U1348" s="43" t="str">
        <f>IFERROR(__xludf.DUMMYFUNCTION("""COMPUTED_VALUE"""),"Youth 4 Impact")</f>
        <v>Youth 4 Impact</v>
      </c>
      <c r="V1348" s="43" t="str">
        <f>IFERROR(__xludf.DUMMYFUNCTION("""COMPUTED_VALUE"""),"-")</f>
        <v>-</v>
      </c>
      <c r="W1348" s="43" t="str">
        <f>IFERROR(__xludf.DUMMYFUNCTION("""COMPUTED_VALUE"""),"2023-12-31T16:58:14Z")</f>
        <v>2023-12-31T16:58:14Z</v>
      </c>
      <c r="X1348" s="43"/>
      <c r="Y1348" s="43"/>
      <c r="Z1348" s="43"/>
    </row>
    <row r="1349" hidden="1">
      <c r="A1349" s="43" t="str">
        <f>IFERROR(__xludf.DUMMYFUNCTION("""COMPUTED_VALUE"""),"5394058_1302530")</f>
        <v>5394058_1302530</v>
      </c>
      <c r="B1349" s="43" t="str">
        <f>IFERROR(__xludf.DUMMYFUNCTION("""COMPUTED_VALUE"""),"Irmak Eylül Oral")</f>
        <v>Irmak Eylül Oral</v>
      </c>
      <c r="C1349" s="43" t="str">
        <f>IFERROR(__xludf.DUMMYFUNCTION("""COMPUTED_VALUE"""),"approved")</f>
        <v>approved</v>
      </c>
      <c r="D1349" s="43" t="str">
        <f>IFERROR(__xludf.DUMMYFUNCTION("""COMPUTED_VALUE"""),"No")</f>
        <v>No</v>
      </c>
      <c r="E1349" s="43" t="str">
        <f>IFERROR(__xludf.DUMMYFUNCTION("""COMPUTED_VALUE"""),"p_058535e669969298302fb132b0677f6f1ff3a264@inbound.aiesec.org")</f>
        <v>p_058535e669969298302fb132b0677f6f1ff3a264@inbound.aiesec.org</v>
      </c>
      <c r="F1349" s="43">
        <f>IFERROR(__xludf.DUMMYFUNCTION("""COMPUTED_VALUE"""),5.453750508E9)</f>
        <v>5453750508</v>
      </c>
      <c r="G1349" s="43" t="str">
        <f>IFERROR(__xludf.DUMMYFUNCTION("""COMPUTED_VALUE"""),"Turkey")</f>
        <v>Turkey</v>
      </c>
      <c r="H1349" s="43" t="str">
        <f>IFERROR(__xludf.DUMMYFUNCTION("""COMPUTED_VALUE"""),"ANKARA")</f>
        <v>ANKARA</v>
      </c>
      <c r="I1349" s="43" t="str">
        <f>IFERROR(__xludf.DUMMYFUNCTION("""COMPUTED_VALUE"""),"Romania")</f>
        <v>Romania</v>
      </c>
      <c r="J1349" s="43" t="str">
        <f>IFERROR(__xludf.DUMMYFUNCTION("""COMPUTED_VALUE"""),"Cluj-Napoca")</f>
        <v>Cluj-Napoca</v>
      </c>
      <c r="K1349" s="44" t="str">
        <f>IFERROR(__xludf.DUMMYFUNCTION("""COMPUTED_VALUE"""),"https://expa.aiesec.org/opportunities/1302530")</f>
        <v>https://expa.aiesec.org/opportunities/1302530</v>
      </c>
      <c r="L1349" s="43" t="str">
        <f>IFERROR(__xludf.DUMMYFUNCTION("""COMPUTED_VALUE"""),"GV")</f>
        <v>GV</v>
      </c>
      <c r="M1349" s="43" t="str">
        <f>IFERROR(__xludf.DUMMYFUNCTION("""COMPUTED_VALUE"""),"short")</f>
        <v>short</v>
      </c>
      <c r="N1349" s="45">
        <f>IFERROR(__xludf.DUMMYFUNCTION("""COMPUTED_VALUE"""),45297.0)</f>
        <v>45297</v>
      </c>
      <c r="O1349" s="45">
        <f>IFERROR(__xludf.DUMMYFUNCTION("""COMPUTED_VALUE"""),45474.0)</f>
        <v>45474</v>
      </c>
      <c r="P1349" s="45">
        <f>IFERROR(__xludf.DUMMYFUNCTION("""COMPUTED_VALUE"""),45516.0)</f>
        <v>45516</v>
      </c>
      <c r="Q1349" s="45"/>
      <c r="R1349" s="45"/>
      <c r="S1349" s="43"/>
      <c r="T1349" s="43"/>
      <c r="U1349" s="43" t="str">
        <f>IFERROR(__xludf.DUMMYFUNCTION("""COMPUTED_VALUE"""),"Global Classroom")</f>
        <v>Global Classroom</v>
      </c>
      <c r="V1349" s="43" t="str">
        <f>IFERROR(__xludf.DUMMYFUNCTION("""COMPUTED_VALUE"""),"ANKARA")</f>
        <v>ANKARA</v>
      </c>
      <c r="W1349" s="43" t="str">
        <f>IFERROR(__xludf.DUMMYFUNCTION("""COMPUTED_VALUE"""),"2023-12-24T13:05:08Z")</f>
        <v>2023-12-24T13:05:08Z</v>
      </c>
      <c r="X1349" s="43"/>
      <c r="Y1349" s="43"/>
      <c r="Z1349" s="43"/>
    </row>
    <row r="1350" hidden="1">
      <c r="A1350" s="43" t="str">
        <f>IFERROR(__xludf.DUMMYFUNCTION("""COMPUTED_VALUE"""),"5396327_1298281")</f>
        <v>5396327_1298281</v>
      </c>
      <c r="B1350" s="43" t="str">
        <f>IFERROR(__xludf.DUMMYFUNCTION("""COMPUTED_VALUE"""),"Beyza Çay")</f>
        <v>Beyza Çay</v>
      </c>
      <c r="C1350" s="43" t="str">
        <f>IFERROR(__xludf.DUMMYFUNCTION("""COMPUTED_VALUE"""),"approved")</f>
        <v>approved</v>
      </c>
      <c r="D1350" s="43" t="str">
        <f>IFERROR(__xludf.DUMMYFUNCTION("""COMPUTED_VALUE"""),"No")</f>
        <v>No</v>
      </c>
      <c r="E1350" s="43" t="str">
        <f>IFERROR(__xludf.DUMMYFUNCTION("""COMPUTED_VALUE"""),"p_99390b7d0a4a41ca1ea8dee241f749e10e593e65@inbound.aiesec.org")</f>
        <v>p_99390b7d0a4a41ca1ea8dee241f749e10e593e65@inbound.aiesec.org</v>
      </c>
      <c r="F1350" s="43">
        <f>IFERROR(__xludf.DUMMYFUNCTION("""COMPUTED_VALUE"""),5.414706245E9)</f>
        <v>5414706245</v>
      </c>
      <c r="G1350" s="43" t="str">
        <f>IFERROR(__xludf.DUMMYFUNCTION("""COMPUTED_VALUE"""),"Turkey")</f>
        <v>Turkey</v>
      </c>
      <c r="H1350" s="43" t="str">
        <f>IFERROR(__xludf.DUMMYFUNCTION("""COMPUTED_VALUE"""),"ISTANBUL ASIA")</f>
        <v>ISTANBUL ASIA</v>
      </c>
      <c r="I1350" s="43" t="str">
        <f>IFERROR(__xludf.DUMMYFUNCTION("""COMPUTED_VALUE"""),"Egypt")</f>
        <v>Egypt</v>
      </c>
      <c r="J1350" s="43" t="str">
        <f>IFERROR(__xludf.DUMMYFUNCTION("""COMPUTED_VALUE"""),"Zagazig")</f>
        <v>Zagazig</v>
      </c>
      <c r="K1350" s="44" t="str">
        <f>IFERROR(__xludf.DUMMYFUNCTION("""COMPUTED_VALUE"""),"https://expa.aiesec.org/opportunities/1298281")</f>
        <v>https://expa.aiesec.org/opportunities/1298281</v>
      </c>
      <c r="L1350" s="43" t="str">
        <f>IFERROR(__xludf.DUMMYFUNCTION("""COMPUTED_VALUE"""),"GV")</f>
        <v>GV</v>
      </c>
      <c r="M1350" s="43" t="str">
        <f>IFERROR(__xludf.DUMMYFUNCTION("""COMPUTED_VALUE"""),"short")</f>
        <v>short</v>
      </c>
      <c r="N1350" s="45">
        <f>IFERROR(__xludf.DUMMYFUNCTION("""COMPUTED_VALUE"""),45297.0)</f>
        <v>45297</v>
      </c>
      <c r="O1350" s="45">
        <f>IFERROR(__xludf.DUMMYFUNCTION("""COMPUTED_VALUE"""),45383.0)</f>
        <v>45383</v>
      </c>
      <c r="P1350" s="45">
        <f>IFERROR(__xludf.DUMMYFUNCTION("""COMPUTED_VALUE"""),45425.0)</f>
        <v>45425</v>
      </c>
      <c r="Q1350" s="45"/>
      <c r="R1350" s="45"/>
      <c r="S1350" s="43"/>
      <c r="T1350" s="43"/>
      <c r="U1350" s="43" t="str">
        <f>IFERROR(__xludf.DUMMYFUNCTION("""COMPUTED_VALUE"""),"Fingerprint")</f>
        <v>Fingerprint</v>
      </c>
      <c r="V1350" s="43" t="str">
        <f>IFERROR(__xludf.DUMMYFUNCTION("""COMPUTED_VALUE"""),"ISTANBUL ASIA")</f>
        <v>ISTANBUL ASIA</v>
      </c>
      <c r="W1350" s="43" t="str">
        <f>IFERROR(__xludf.DUMMYFUNCTION("""COMPUTED_VALUE"""),"2023-12-30T11:16:55Z")</f>
        <v>2023-12-30T11:16:55Z</v>
      </c>
      <c r="X1350" s="43"/>
      <c r="Y1350" s="43"/>
      <c r="Z1350" s="43"/>
    </row>
    <row r="1351" hidden="1">
      <c r="A1351" s="43" t="str">
        <f>IFERROR(__xludf.DUMMYFUNCTION("""COMPUTED_VALUE"""),"5249949_1299358")</f>
        <v>5249949_1299358</v>
      </c>
      <c r="B1351" s="43" t="str">
        <f>IFERROR(__xludf.DUMMYFUNCTION("""COMPUTED_VALUE"""),"sudenur kocaman")</f>
        <v>sudenur kocaman</v>
      </c>
      <c r="C1351" s="43" t="str">
        <f>IFERROR(__xludf.DUMMYFUNCTION("""COMPUTED_VALUE"""),"approved")</f>
        <v>approved</v>
      </c>
      <c r="D1351" s="43" t="str">
        <f>IFERROR(__xludf.DUMMYFUNCTION("""COMPUTED_VALUE"""),"No")</f>
        <v>No</v>
      </c>
      <c r="E1351" s="43" t="str">
        <f>IFERROR(__xludf.DUMMYFUNCTION("""COMPUTED_VALUE"""),"p_0b9c0a092342ef9e89e63ce9faa4dc7519f048a8@inbound.aiesec.org")</f>
        <v>p_0b9c0a092342ef9e89e63ce9faa4dc7519f048a8@inbound.aiesec.org</v>
      </c>
      <c r="F1351" s="43">
        <f>IFERROR(__xludf.DUMMYFUNCTION("""COMPUTED_VALUE"""),5.340226913E9)</f>
        <v>5340226913</v>
      </c>
      <c r="G1351" s="43" t="str">
        <f>IFERROR(__xludf.DUMMYFUNCTION("""COMPUTED_VALUE"""),"Turkey")</f>
        <v>Turkey</v>
      </c>
      <c r="H1351" s="43" t="str">
        <f>IFERROR(__xludf.DUMMYFUNCTION("""COMPUTED_VALUE"""),"ISTANBUL")</f>
        <v>ISTANBUL</v>
      </c>
      <c r="I1351" s="43" t="str">
        <f>IFERROR(__xludf.DUMMYFUNCTION("""COMPUTED_VALUE"""),"Egypt")</f>
        <v>Egypt</v>
      </c>
      <c r="J1351" s="43" t="str">
        <f>IFERROR(__xludf.DUMMYFUNCTION("""COMPUTED_VALUE"""),"Ain Shams University")</f>
        <v>Ain Shams University</v>
      </c>
      <c r="K1351" s="44" t="str">
        <f>IFERROR(__xludf.DUMMYFUNCTION("""COMPUTED_VALUE"""),"https://expa.aiesec.org/opportunities/1299358")</f>
        <v>https://expa.aiesec.org/opportunities/1299358</v>
      </c>
      <c r="L1351" s="43" t="str">
        <f>IFERROR(__xludf.DUMMYFUNCTION("""COMPUTED_VALUE"""),"GV")</f>
        <v>GV</v>
      </c>
      <c r="M1351" s="43" t="str">
        <f>IFERROR(__xludf.DUMMYFUNCTION("""COMPUTED_VALUE"""),"short")</f>
        <v>short</v>
      </c>
      <c r="N1351" s="45">
        <f>IFERROR(__xludf.DUMMYFUNCTION("""COMPUTED_VALUE"""),45298.0)</f>
        <v>45298</v>
      </c>
      <c r="O1351" s="45">
        <f>IFERROR(__xludf.DUMMYFUNCTION("""COMPUTED_VALUE"""),45505.0)</f>
        <v>45505</v>
      </c>
      <c r="P1351" s="45">
        <f>IFERROR(__xludf.DUMMYFUNCTION("""COMPUTED_VALUE"""),45547.0)</f>
        <v>45547</v>
      </c>
      <c r="Q1351" s="45"/>
      <c r="R1351" s="45"/>
      <c r="S1351" s="43"/>
      <c r="T1351" s="43"/>
      <c r="U1351" s="43" t="str">
        <f>IFERROR(__xludf.DUMMYFUNCTION("""COMPUTED_VALUE"""),"Rooted")</f>
        <v>Rooted</v>
      </c>
      <c r="V1351" s="43" t="str">
        <f>IFERROR(__xludf.DUMMYFUNCTION("""COMPUTED_VALUE"""),"ISTANBUL - BAKIRKOY")</f>
        <v>ISTANBUL - BAKIRKOY</v>
      </c>
      <c r="W1351" s="43" t="str">
        <f>IFERROR(__xludf.DUMMYFUNCTION("""COMPUTED_VALUE"""),"2023-04-26T14:45:11Z")</f>
        <v>2023-04-26T14:45:11Z</v>
      </c>
      <c r="X1351" s="43"/>
      <c r="Y1351" s="43"/>
      <c r="Z1351" s="43"/>
    </row>
    <row r="1352" hidden="1">
      <c r="A1352" s="43" t="str">
        <f>IFERROR(__xludf.DUMMYFUNCTION("""COMPUTED_VALUE"""),"5366430_1289965")</f>
        <v>5366430_1289965</v>
      </c>
      <c r="B1352" s="43" t="str">
        <f>IFERROR(__xludf.DUMMYFUNCTION("""COMPUTED_VALUE"""),"Zehra Selen Yürüyen")</f>
        <v>Zehra Selen Yürüyen</v>
      </c>
      <c r="C1352" s="43" t="str">
        <f>IFERROR(__xludf.DUMMYFUNCTION("""COMPUTED_VALUE"""),"approved")</f>
        <v>approved</v>
      </c>
      <c r="D1352" s="43" t="str">
        <f>IFERROR(__xludf.DUMMYFUNCTION("""COMPUTED_VALUE"""),"No")</f>
        <v>No</v>
      </c>
      <c r="E1352" s="43" t="str">
        <f>IFERROR(__xludf.DUMMYFUNCTION("""COMPUTED_VALUE"""),"p_461864c2715cb8e3dec234210ec8b9430bf7a6e1@inbound.aiesec.org")</f>
        <v>p_461864c2715cb8e3dec234210ec8b9430bf7a6e1@inbound.aiesec.org</v>
      </c>
      <c r="F1352" s="43"/>
      <c r="G1352" s="43" t="str">
        <f>IFERROR(__xludf.DUMMYFUNCTION("""COMPUTED_VALUE"""),"Turkey")</f>
        <v>Turkey</v>
      </c>
      <c r="H1352" s="43" t="str">
        <f>IFERROR(__xludf.DUMMYFUNCTION("""COMPUTED_VALUE"""),"ISTANBUL")</f>
        <v>ISTANBUL</v>
      </c>
      <c r="I1352" s="43" t="str">
        <f>IFERROR(__xludf.DUMMYFUNCTION("""COMPUTED_VALUE"""),"Greece")</f>
        <v>Greece</v>
      </c>
      <c r="J1352" s="43" t="str">
        <f>IFERROR(__xludf.DUMMYFUNCTION("""COMPUTED_VALUE"""),"UoM THESSALONIKI")</f>
        <v>UoM THESSALONIKI</v>
      </c>
      <c r="K1352" s="44" t="str">
        <f>IFERROR(__xludf.DUMMYFUNCTION("""COMPUTED_VALUE"""),"https://expa.aiesec.org/opportunities/1289965")</f>
        <v>https://expa.aiesec.org/opportunities/1289965</v>
      </c>
      <c r="L1352" s="43" t="str">
        <f>IFERROR(__xludf.DUMMYFUNCTION("""COMPUTED_VALUE"""),"GV")</f>
        <v>GV</v>
      </c>
      <c r="M1352" s="43" t="str">
        <f>IFERROR(__xludf.DUMMYFUNCTION("""COMPUTED_VALUE"""),"short")</f>
        <v>short</v>
      </c>
      <c r="N1352" s="45">
        <f>IFERROR(__xludf.DUMMYFUNCTION("""COMPUTED_VALUE"""),45299.0)</f>
        <v>45299</v>
      </c>
      <c r="O1352" s="45">
        <f>IFERROR(__xludf.DUMMYFUNCTION("""COMPUTED_VALUE"""),45444.0)</f>
        <v>45444</v>
      </c>
      <c r="P1352" s="45">
        <f>IFERROR(__xludf.DUMMYFUNCTION("""COMPUTED_VALUE"""),45486.0)</f>
        <v>45486</v>
      </c>
      <c r="Q1352" s="45"/>
      <c r="R1352" s="45"/>
      <c r="S1352" s="43"/>
      <c r="T1352" s="43"/>
      <c r="U1352" s="43" t="str">
        <f>IFERROR(__xludf.DUMMYFUNCTION("""COMPUTED_VALUE"""),"Aquatica")</f>
        <v>Aquatica</v>
      </c>
      <c r="V1352" s="43" t="str">
        <f>IFERROR(__xludf.DUMMYFUNCTION("""COMPUTED_VALUE"""),"ISTANBUL - BEYOGLU")</f>
        <v>ISTANBUL - BEYOGLU</v>
      </c>
      <c r="W1352" s="43" t="str">
        <f>IFERROR(__xludf.DUMMYFUNCTION("""COMPUTED_VALUE"""),"2023-11-03T16:16:54Z")</f>
        <v>2023-11-03T16:16:54Z</v>
      </c>
      <c r="X1352" s="43"/>
      <c r="Y1352" s="43"/>
      <c r="Z1352" s="43"/>
    </row>
    <row r="1353" hidden="1">
      <c r="A1353" s="43" t="str">
        <f>IFERROR(__xludf.DUMMYFUNCTION("""COMPUTED_VALUE"""),"5397447_1301758")</f>
        <v>5397447_1301758</v>
      </c>
      <c r="B1353" s="43" t="str">
        <f>IFERROR(__xludf.DUMMYFUNCTION("""COMPUTED_VALUE"""),"Eren Aydın")</f>
        <v>Eren Aydın</v>
      </c>
      <c r="C1353" s="43" t="str">
        <f>IFERROR(__xludf.DUMMYFUNCTION("""COMPUTED_VALUE"""),"approved")</f>
        <v>approved</v>
      </c>
      <c r="D1353" s="43" t="str">
        <f>IFERROR(__xludf.DUMMYFUNCTION("""COMPUTED_VALUE"""),"No")</f>
        <v>No</v>
      </c>
      <c r="E1353" s="43" t="str">
        <f>IFERROR(__xludf.DUMMYFUNCTION("""COMPUTED_VALUE"""),"p_faadfe39e27e0743fc503314abb9cfb7bc6ce26f@inbound.aiesec.org")</f>
        <v>p_faadfe39e27e0743fc503314abb9cfb7bc6ce26f@inbound.aiesec.org</v>
      </c>
      <c r="F1353" s="43">
        <f>IFERROR(__xludf.DUMMYFUNCTION("""COMPUTED_VALUE"""),5.550802103E9)</f>
        <v>5550802103</v>
      </c>
      <c r="G1353" s="43" t="str">
        <f>IFERROR(__xludf.DUMMYFUNCTION("""COMPUTED_VALUE"""),"Turkey")</f>
        <v>Turkey</v>
      </c>
      <c r="H1353" s="43" t="str">
        <f>IFERROR(__xludf.DUMMYFUNCTION("""COMPUTED_VALUE"""),"ANKARA")</f>
        <v>ANKARA</v>
      </c>
      <c r="I1353" s="43" t="str">
        <f>IFERROR(__xludf.DUMMYFUNCTION("""COMPUTED_VALUE"""),"Romania")</f>
        <v>Romania</v>
      </c>
      <c r="J1353" s="43" t="str">
        <f>IFERROR(__xludf.DUMMYFUNCTION("""COMPUTED_VALUE"""),"BUCURESTI")</f>
        <v>BUCURESTI</v>
      </c>
      <c r="K1353" s="44" t="str">
        <f>IFERROR(__xludf.DUMMYFUNCTION("""COMPUTED_VALUE"""),"https://expa.aiesec.org/opportunities/1301758")</f>
        <v>https://expa.aiesec.org/opportunities/1301758</v>
      </c>
      <c r="L1353" s="43" t="str">
        <f>IFERROR(__xludf.DUMMYFUNCTION("""COMPUTED_VALUE"""),"GV")</f>
        <v>GV</v>
      </c>
      <c r="M1353" s="43" t="str">
        <f>IFERROR(__xludf.DUMMYFUNCTION("""COMPUTED_VALUE"""),"short")</f>
        <v>short</v>
      </c>
      <c r="N1353" s="45">
        <f>IFERROR(__xludf.DUMMYFUNCTION("""COMPUTED_VALUE"""),45300.0)</f>
        <v>45300</v>
      </c>
      <c r="O1353" s="45">
        <f>IFERROR(__xludf.DUMMYFUNCTION("""COMPUTED_VALUE"""),45474.0)</f>
        <v>45474</v>
      </c>
      <c r="P1353" s="45">
        <f>IFERROR(__xludf.DUMMYFUNCTION("""COMPUTED_VALUE"""),45516.0)</f>
        <v>45516</v>
      </c>
      <c r="Q1353" s="45"/>
      <c r="R1353" s="45"/>
      <c r="S1353" s="43"/>
      <c r="T1353" s="43"/>
      <c r="U1353" s="43" t="str">
        <f>IFERROR(__xludf.DUMMYFUNCTION("""COMPUTED_VALUE"""),"Fingerprint")</f>
        <v>Fingerprint</v>
      </c>
      <c r="V1353" s="43" t="str">
        <f>IFERROR(__xludf.DUMMYFUNCTION("""COMPUTED_VALUE"""),"ANKARA")</f>
        <v>ANKARA</v>
      </c>
      <c r="W1353" s="43" t="str">
        <f>IFERROR(__xludf.DUMMYFUNCTION("""COMPUTED_VALUE"""),"2024-01-03T11:22:34Z")</f>
        <v>2024-01-03T11:22:34Z</v>
      </c>
      <c r="X1353" s="43"/>
      <c r="Y1353" s="43"/>
      <c r="Z1353" s="43"/>
    </row>
    <row r="1354" hidden="1">
      <c r="A1354" s="43" t="str">
        <f>IFERROR(__xludf.DUMMYFUNCTION("""COMPUTED_VALUE"""),"5397218_1294063")</f>
        <v>5397218_1294063</v>
      </c>
      <c r="B1354" s="43" t="str">
        <f>IFERROR(__xludf.DUMMYFUNCTION("""COMPUTED_VALUE"""),"Begüm MELETLİ")</f>
        <v>Begüm MELETLİ</v>
      </c>
      <c r="C1354" s="43" t="str">
        <f>IFERROR(__xludf.DUMMYFUNCTION("""COMPUTED_VALUE"""),"approved")</f>
        <v>approved</v>
      </c>
      <c r="D1354" s="43" t="str">
        <f>IFERROR(__xludf.DUMMYFUNCTION("""COMPUTED_VALUE"""),"No")</f>
        <v>No</v>
      </c>
      <c r="E1354" s="43" t="str">
        <f>IFERROR(__xludf.DUMMYFUNCTION("""COMPUTED_VALUE"""),"p_6b2c447f12366dc0b352092f314a8ffcaf3479b7@inbound.aiesec.org")</f>
        <v>p_6b2c447f12366dc0b352092f314a8ffcaf3479b7@inbound.aiesec.org</v>
      </c>
      <c r="F1354" s="43">
        <f>IFERROR(__xludf.DUMMYFUNCTION("""COMPUTED_VALUE"""),5.340207022E9)</f>
        <v>5340207022</v>
      </c>
      <c r="G1354" s="43" t="str">
        <f>IFERROR(__xludf.DUMMYFUNCTION("""COMPUTED_VALUE"""),"Turkey")</f>
        <v>Turkey</v>
      </c>
      <c r="H1354" s="43" t="str">
        <f>IFERROR(__xludf.DUMMYFUNCTION("""COMPUTED_VALUE"""),"ISTANBUL ASIA")</f>
        <v>ISTANBUL ASIA</v>
      </c>
      <c r="I1354" s="43" t="str">
        <f>IFERROR(__xludf.DUMMYFUNCTION("""COMPUTED_VALUE"""),"Egypt")</f>
        <v>Egypt</v>
      </c>
      <c r="J1354" s="43" t="str">
        <f>IFERROR(__xludf.DUMMYFUNCTION("""COMPUTED_VALUE"""),"Ain Shams University")</f>
        <v>Ain Shams University</v>
      </c>
      <c r="K1354" s="44" t="str">
        <f>IFERROR(__xludf.DUMMYFUNCTION("""COMPUTED_VALUE"""),"https://expa.aiesec.org/opportunities/1294063")</f>
        <v>https://expa.aiesec.org/opportunities/1294063</v>
      </c>
      <c r="L1354" s="43" t="str">
        <f>IFERROR(__xludf.DUMMYFUNCTION("""COMPUTED_VALUE"""),"GV")</f>
        <v>GV</v>
      </c>
      <c r="M1354" s="43" t="str">
        <f>IFERROR(__xludf.DUMMYFUNCTION("""COMPUTED_VALUE"""),"short")</f>
        <v>short</v>
      </c>
      <c r="N1354" s="45">
        <f>IFERROR(__xludf.DUMMYFUNCTION("""COMPUTED_VALUE"""),45300.0)</f>
        <v>45300</v>
      </c>
      <c r="O1354" s="45">
        <f>IFERROR(__xludf.DUMMYFUNCTION("""COMPUTED_VALUE"""),45474.0)</f>
        <v>45474</v>
      </c>
      <c r="P1354" s="45">
        <f>IFERROR(__xludf.DUMMYFUNCTION("""COMPUTED_VALUE"""),45516.0)</f>
        <v>45516</v>
      </c>
      <c r="Q1354" s="45"/>
      <c r="R1354" s="45"/>
      <c r="S1354" s="43"/>
      <c r="T1354" s="43"/>
      <c r="U1354" s="43" t="str">
        <f>IFERROR(__xludf.DUMMYFUNCTION("""COMPUTED_VALUE"""),"On The Map")</f>
        <v>On The Map</v>
      </c>
      <c r="V1354" s="43" t="str">
        <f>IFERROR(__xludf.DUMMYFUNCTION("""COMPUTED_VALUE"""),"ISTANBUL ASIA")</f>
        <v>ISTANBUL ASIA</v>
      </c>
      <c r="W1354" s="43" t="str">
        <f>IFERROR(__xludf.DUMMYFUNCTION("""COMPUTED_VALUE"""),"2024-01-02T14:23:02Z")</f>
        <v>2024-01-02T14:23:02Z</v>
      </c>
      <c r="X1354" s="43"/>
      <c r="Y1354" s="43"/>
      <c r="Z1354" s="43"/>
    </row>
    <row r="1355" hidden="1">
      <c r="A1355" s="43" t="str">
        <f>IFERROR(__xludf.DUMMYFUNCTION("""COMPUTED_VALUE"""),"5397299_1299672")</f>
        <v>5397299_1299672</v>
      </c>
      <c r="B1355" s="43" t="str">
        <f>IFERROR(__xludf.DUMMYFUNCTION("""COMPUTED_VALUE"""),"hatice b")</f>
        <v>hatice b</v>
      </c>
      <c r="C1355" s="43" t="str">
        <f>IFERROR(__xludf.DUMMYFUNCTION("""COMPUTED_VALUE"""),"approved")</f>
        <v>approved</v>
      </c>
      <c r="D1355" s="43" t="str">
        <f>IFERROR(__xludf.DUMMYFUNCTION("""COMPUTED_VALUE"""),"No")</f>
        <v>No</v>
      </c>
      <c r="E1355" s="43" t="str">
        <f>IFERROR(__xludf.DUMMYFUNCTION("""COMPUTED_VALUE"""),"p_edd0d5f342f894717dc48d6af4a74df93218e520@inbound.aiesec.org")</f>
        <v>p_edd0d5f342f894717dc48d6af4a74df93218e520@inbound.aiesec.org</v>
      </c>
      <c r="F1355" s="43">
        <f>IFERROR(__xludf.DUMMYFUNCTION("""COMPUTED_VALUE"""),5.453841183E9)</f>
        <v>5453841183</v>
      </c>
      <c r="G1355" s="43" t="str">
        <f>IFERROR(__xludf.DUMMYFUNCTION("""COMPUTED_VALUE"""),"Turkey")</f>
        <v>Turkey</v>
      </c>
      <c r="H1355" s="43" t="str">
        <f>IFERROR(__xludf.DUMMYFUNCTION("""COMPUTED_VALUE"""),"ANKARA")</f>
        <v>ANKARA</v>
      </c>
      <c r="I1355" s="43" t="str">
        <f>IFERROR(__xludf.DUMMYFUNCTION("""COMPUTED_VALUE"""),"Egypt")</f>
        <v>Egypt</v>
      </c>
      <c r="J1355" s="43" t="str">
        <f>IFERROR(__xludf.DUMMYFUNCTION("""COMPUTED_VALUE"""),"Ain Shams University")</f>
        <v>Ain Shams University</v>
      </c>
      <c r="K1355" s="44" t="str">
        <f>IFERROR(__xludf.DUMMYFUNCTION("""COMPUTED_VALUE"""),"https://expa.aiesec.org/opportunities/1299672")</f>
        <v>https://expa.aiesec.org/opportunities/1299672</v>
      </c>
      <c r="L1355" s="43" t="str">
        <f>IFERROR(__xludf.DUMMYFUNCTION("""COMPUTED_VALUE"""),"GV")</f>
        <v>GV</v>
      </c>
      <c r="M1355" s="43" t="str">
        <f>IFERROR(__xludf.DUMMYFUNCTION("""COMPUTED_VALUE"""),"short")</f>
        <v>short</v>
      </c>
      <c r="N1355" s="45">
        <f>IFERROR(__xludf.DUMMYFUNCTION("""COMPUTED_VALUE"""),45301.0)</f>
        <v>45301</v>
      </c>
      <c r="O1355" s="45">
        <f>IFERROR(__xludf.DUMMYFUNCTION("""COMPUTED_VALUE"""),45323.0)</f>
        <v>45323</v>
      </c>
      <c r="P1355" s="45">
        <f>IFERROR(__xludf.DUMMYFUNCTION("""COMPUTED_VALUE"""),45365.0)</f>
        <v>45365</v>
      </c>
      <c r="Q1355" s="45"/>
      <c r="R1355" s="45"/>
      <c r="S1355" s="43"/>
      <c r="T1355" s="43"/>
      <c r="U1355" s="43" t="str">
        <f>IFERROR(__xludf.DUMMYFUNCTION("""COMPUTED_VALUE"""),"Global Classroom")</f>
        <v>Global Classroom</v>
      </c>
      <c r="V1355" s="43" t="str">
        <f>IFERROR(__xludf.DUMMYFUNCTION("""COMPUTED_VALUE"""),"ANKARA")</f>
        <v>ANKARA</v>
      </c>
      <c r="W1355" s="43" t="str">
        <f>IFERROR(__xludf.DUMMYFUNCTION("""COMPUTED_VALUE"""),"2024-01-02T19:27:15Z")</f>
        <v>2024-01-02T19:27:15Z</v>
      </c>
      <c r="X1355" s="43"/>
      <c r="Y1355" s="43"/>
      <c r="Z1355" s="43"/>
    </row>
    <row r="1356" hidden="1">
      <c r="A1356" s="43" t="str">
        <f>IFERROR(__xludf.DUMMYFUNCTION("""COMPUTED_VALUE"""),"4829765_1294445")</f>
        <v>4829765_1294445</v>
      </c>
      <c r="B1356" s="43" t="str">
        <f>IFERROR(__xludf.DUMMYFUNCTION("""COMPUTED_VALUE"""),"Serife Aybay")</f>
        <v>Serife Aybay</v>
      </c>
      <c r="C1356" s="43" t="str">
        <f>IFERROR(__xludf.DUMMYFUNCTION("""COMPUTED_VALUE"""),"approved")</f>
        <v>approved</v>
      </c>
      <c r="D1356" s="43" t="str">
        <f>IFERROR(__xludf.DUMMYFUNCTION("""COMPUTED_VALUE"""),"No")</f>
        <v>No</v>
      </c>
      <c r="E1356" s="43" t="str">
        <f>IFERROR(__xludf.DUMMYFUNCTION("""COMPUTED_VALUE"""),"p_98a2de4ddb786b0454da9840cfb615685497ec7e@inbound.aiesec.org")</f>
        <v>p_98a2de4ddb786b0454da9840cfb615685497ec7e@inbound.aiesec.org</v>
      </c>
      <c r="F1356" s="43">
        <f>IFERROR(__xludf.DUMMYFUNCTION("""COMPUTED_VALUE"""),5.388448161E9)</f>
        <v>5388448161</v>
      </c>
      <c r="G1356" s="43" t="str">
        <f>IFERROR(__xludf.DUMMYFUNCTION("""COMPUTED_VALUE"""),"Turkey")</f>
        <v>Turkey</v>
      </c>
      <c r="H1356" s="43" t="str">
        <f>IFERROR(__xludf.DUMMYFUNCTION("""COMPUTED_VALUE"""),"ISTANBUL")</f>
        <v>ISTANBUL</v>
      </c>
      <c r="I1356" s="43" t="str">
        <f>IFERROR(__xludf.DUMMYFUNCTION("""COMPUTED_VALUE"""),"Sri Lanka")</f>
        <v>Sri Lanka</v>
      </c>
      <c r="J1356" s="43" t="str">
        <f>IFERROR(__xludf.DUMMYFUNCTION("""COMPUTED_VALUE"""),"COLOMBO SOUTH")</f>
        <v>COLOMBO SOUTH</v>
      </c>
      <c r="K1356" s="44" t="str">
        <f>IFERROR(__xludf.DUMMYFUNCTION("""COMPUTED_VALUE"""),"https://expa.aiesec.org/opportunities/1294445")</f>
        <v>https://expa.aiesec.org/opportunities/1294445</v>
      </c>
      <c r="L1356" s="43" t="str">
        <f>IFERROR(__xludf.DUMMYFUNCTION("""COMPUTED_VALUE"""),"GV")</f>
        <v>GV</v>
      </c>
      <c r="M1356" s="43" t="str">
        <f>IFERROR(__xludf.DUMMYFUNCTION("""COMPUTED_VALUE"""),"short")</f>
        <v>short</v>
      </c>
      <c r="N1356" s="45">
        <f>IFERROR(__xludf.DUMMYFUNCTION("""COMPUTED_VALUE"""),45301.0)</f>
        <v>45301</v>
      </c>
      <c r="O1356" s="45">
        <f>IFERROR(__xludf.DUMMYFUNCTION("""COMPUTED_VALUE"""),45481.0)</f>
        <v>45481</v>
      </c>
      <c r="P1356" s="45">
        <f>IFERROR(__xludf.DUMMYFUNCTION("""COMPUTED_VALUE"""),45523.0)</f>
        <v>45523</v>
      </c>
      <c r="Q1356" s="45"/>
      <c r="R1356" s="45"/>
      <c r="S1356" s="43"/>
      <c r="T1356" s="43"/>
      <c r="U1356" s="43" t="str">
        <f>IFERROR(__xludf.DUMMYFUNCTION("""COMPUTED_VALUE"""),"Aquatica")</f>
        <v>Aquatica</v>
      </c>
      <c r="V1356" s="43" t="str">
        <f>IFERROR(__xludf.DUMMYFUNCTION("""COMPUTED_VALUE"""),"ISTANBUL - BEYOGLU")</f>
        <v>ISTANBUL - BEYOGLU</v>
      </c>
      <c r="W1356" s="43" t="str">
        <f>IFERROR(__xludf.DUMMYFUNCTION("""COMPUTED_VALUE"""),"2021-12-04T19:32:51Z")</f>
        <v>2021-12-04T19:32:51Z</v>
      </c>
      <c r="X1356" s="43"/>
      <c r="Y1356" s="43"/>
      <c r="Z1356" s="43"/>
    </row>
    <row r="1357" hidden="1">
      <c r="A1357" s="43" t="str">
        <f>IFERROR(__xludf.DUMMYFUNCTION("""COMPUTED_VALUE"""),"5399599_1290282")</f>
        <v>5399599_1290282</v>
      </c>
      <c r="B1357" s="43" t="str">
        <f>IFERROR(__xludf.DUMMYFUNCTION("""COMPUTED_VALUE"""),"Selin Menek")</f>
        <v>Selin Menek</v>
      </c>
      <c r="C1357" s="43" t="str">
        <f>IFERROR(__xludf.DUMMYFUNCTION("""COMPUTED_VALUE"""),"approved")</f>
        <v>approved</v>
      </c>
      <c r="D1357" s="43" t="str">
        <f>IFERROR(__xludf.DUMMYFUNCTION("""COMPUTED_VALUE"""),"No")</f>
        <v>No</v>
      </c>
      <c r="E1357" s="43" t="str">
        <f>IFERROR(__xludf.DUMMYFUNCTION("""COMPUTED_VALUE"""),"p_80737fccd2cea76d209f522b48cf150a01f1a573@inbound.aiesec.org")</f>
        <v>p_80737fccd2cea76d209f522b48cf150a01f1a573@inbound.aiesec.org</v>
      </c>
      <c r="F1357" s="43">
        <f>IFERROR(__xludf.DUMMYFUNCTION("""COMPUTED_VALUE"""),5.06161873E9)</f>
        <v>5061618730</v>
      </c>
      <c r="G1357" s="43" t="str">
        <f>IFERROR(__xludf.DUMMYFUNCTION("""COMPUTED_VALUE"""),"Turkey")</f>
        <v>Turkey</v>
      </c>
      <c r="H1357" s="43" t="str">
        <f>IFERROR(__xludf.DUMMYFUNCTION("""COMPUTED_VALUE"""),"ISTANBUL ASIA")</f>
        <v>ISTANBUL ASIA</v>
      </c>
      <c r="I1357" s="43" t="str">
        <f>IFERROR(__xludf.DUMMYFUNCTION("""COMPUTED_VALUE"""),"Egypt")</f>
        <v>Egypt</v>
      </c>
      <c r="J1357" s="43" t="str">
        <f>IFERROR(__xludf.DUMMYFUNCTION("""COMPUTED_VALUE"""),"GUC")</f>
        <v>GUC</v>
      </c>
      <c r="K1357" s="44" t="str">
        <f>IFERROR(__xludf.DUMMYFUNCTION("""COMPUTED_VALUE"""),"https://expa.aiesec.org/opportunities/1290282")</f>
        <v>https://expa.aiesec.org/opportunities/1290282</v>
      </c>
      <c r="L1357" s="43" t="str">
        <f>IFERROR(__xludf.DUMMYFUNCTION("""COMPUTED_VALUE"""),"GV")</f>
        <v>GV</v>
      </c>
      <c r="M1357" s="43" t="str">
        <f>IFERROR(__xludf.DUMMYFUNCTION("""COMPUTED_VALUE"""),"short")</f>
        <v>short</v>
      </c>
      <c r="N1357" s="45">
        <f>IFERROR(__xludf.DUMMYFUNCTION("""COMPUTED_VALUE"""),45302.0)</f>
        <v>45302</v>
      </c>
      <c r="O1357" s="45">
        <f>IFERROR(__xludf.DUMMYFUNCTION("""COMPUTED_VALUE"""),45493.0)</f>
        <v>45493</v>
      </c>
      <c r="P1357" s="45">
        <f>IFERROR(__xludf.DUMMYFUNCTION("""COMPUTED_VALUE"""),45535.0)</f>
        <v>45535</v>
      </c>
      <c r="Q1357" s="45"/>
      <c r="R1357" s="45"/>
      <c r="S1357" s="43"/>
      <c r="T1357" s="43"/>
      <c r="U1357" s="43" t="str">
        <f>IFERROR(__xludf.DUMMYFUNCTION("""COMPUTED_VALUE"""),"On The Map")</f>
        <v>On The Map</v>
      </c>
      <c r="V1357" s="43" t="str">
        <f>IFERROR(__xludf.DUMMYFUNCTION("""COMPUTED_VALUE"""),"ISTANBUL ASIA")</f>
        <v>ISTANBUL ASIA</v>
      </c>
      <c r="W1357" s="43" t="str">
        <f>IFERROR(__xludf.DUMMYFUNCTION("""COMPUTED_VALUE"""),"2024-01-10T14:56:41Z")</f>
        <v>2024-01-10T14:56:41Z</v>
      </c>
      <c r="X1357" s="43"/>
      <c r="Y1357" s="43"/>
      <c r="Z1357" s="43"/>
    </row>
    <row r="1358" hidden="1">
      <c r="A1358" s="43" t="str">
        <f>IFERROR(__xludf.DUMMYFUNCTION("""COMPUTED_VALUE"""),"5387415_1302591")</f>
        <v>5387415_1302591</v>
      </c>
      <c r="B1358" s="43" t="str">
        <f>IFERROR(__xludf.DUMMYFUNCTION("""COMPUTED_VALUE"""),"Mehmet Eren Tosun")</f>
        <v>Mehmet Eren Tosun</v>
      </c>
      <c r="C1358" s="43" t="str">
        <f>IFERROR(__xludf.DUMMYFUNCTION("""COMPUTED_VALUE"""),"approved")</f>
        <v>approved</v>
      </c>
      <c r="D1358" s="43" t="str">
        <f>IFERROR(__xludf.DUMMYFUNCTION("""COMPUTED_VALUE"""),"No")</f>
        <v>No</v>
      </c>
      <c r="E1358" s="43" t="str">
        <f>IFERROR(__xludf.DUMMYFUNCTION("""COMPUTED_VALUE"""),"p_241d8a4b7318d0df2c4c87e97fd4c05d511397c4@inbound.aiesec.org")</f>
        <v>p_241d8a4b7318d0df2c4c87e97fd4c05d511397c4@inbound.aiesec.org</v>
      </c>
      <c r="F1358" s="43">
        <f>IFERROR(__xludf.DUMMYFUNCTION("""COMPUTED_VALUE"""),5.078390078E9)</f>
        <v>5078390078</v>
      </c>
      <c r="G1358" s="43" t="str">
        <f>IFERROR(__xludf.DUMMYFUNCTION("""COMPUTED_VALUE"""),"Turkey")</f>
        <v>Turkey</v>
      </c>
      <c r="H1358" s="43" t="str">
        <f>IFERROR(__xludf.DUMMYFUNCTION("""COMPUTED_VALUE"""),"ISTANBUL ASIA")</f>
        <v>ISTANBUL ASIA</v>
      </c>
      <c r="I1358" s="43" t="str">
        <f>IFERROR(__xludf.DUMMYFUNCTION("""COMPUTED_VALUE"""),"Italy")</f>
        <v>Italy</v>
      </c>
      <c r="J1358" s="43" t="str">
        <f>IFERROR(__xludf.DUMMYFUNCTION("""COMPUTED_VALUE"""),"Napoli Federico II")</f>
        <v>Napoli Federico II</v>
      </c>
      <c r="K1358" s="44" t="str">
        <f>IFERROR(__xludf.DUMMYFUNCTION("""COMPUTED_VALUE"""),"https://expa.aiesec.org/opportunities/1302591")</f>
        <v>https://expa.aiesec.org/opportunities/1302591</v>
      </c>
      <c r="L1358" s="43" t="str">
        <f>IFERROR(__xludf.DUMMYFUNCTION("""COMPUTED_VALUE"""),"GV")</f>
        <v>GV</v>
      </c>
      <c r="M1358" s="43" t="str">
        <f>IFERROR(__xludf.DUMMYFUNCTION("""COMPUTED_VALUE"""),"short")</f>
        <v>short</v>
      </c>
      <c r="N1358" s="45">
        <f>IFERROR(__xludf.DUMMYFUNCTION("""COMPUTED_VALUE"""),45302.0)</f>
        <v>45302</v>
      </c>
      <c r="O1358" s="45">
        <f>IFERROR(__xludf.DUMMYFUNCTION("""COMPUTED_VALUE"""),45386.0)</f>
        <v>45386</v>
      </c>
      <c r="P1358" s="45">
        <f>IFERROR(__xludf.DUMMYFUNCTION("""COMPUTED_VALUE"""),45428.0)</f>
        <v>45428</v>
      </c>
      <c r="Q1358" s="45"/>
      <c r="R1358" s="45"/>
      <c r="S1358" s="43"/>
      <c r="T1358" s="43"/>
      <c r="U1358" s="43" t="str">
        <f>IFERROR(__xludf.DUMMYFUNCTION("""COMPUTED_VALUE"""),"Equify")</f>
        <v>Equify</v>
      </c>
      <c r="V1358" s="43" t="str">
        <f>IFERROR(__xludf.DUMMYFUNCTION("""COMPUTED_VALUE"""),"ISTANBUL ASIA")</f>
        <v>ISTANBUL ASIA</v>
      </c>
      <c r="W1358" s="43" t="str">
        <f>IFERROR(__xludf.DUMMYFUNCTION("""COMPUTED_VALUE"""),"2023-12-08T17:07:01Z")</f>
        <v>2023-12-08T17:07:01Z</v>
      </c>
      <c r="X1358" s="43"/>
      <c r="Y1358" s="43"/>
      <c r="Z1358" s="43"/>
    </row>
    <row r="1359" hidden="1">
      <c r="A1359" s="43" t="str">
        <f>IFERROR(__xludf.DUMMYFUNCTION("""COMPUTED_VALUE"""),"5399168_1288330")</f>
        <v>5399168_1288330</v>
      </c>
      <c r="B1359" s="43" t="str">
        <f>IFERROR(__xludf.DUMMYFUNCTION("""COMPUTED_VALUE"""),"Emine Yağmur Göktaş")</f>
        <v>Emine Yağmur Göktaş</v>
      </c>
      <c r="C1359" s="43" t="str">
        <f>IFERROR(__xludf.DUMMYFUNCTION("""COMPUTED_VALUE"""),"approved")</f>
        <v>approved</v>
      </c>
      <c r="D1359" s="43" t="str">
        <f>IFERROR(__xludf.DUMMYFUNCTION("""COMPUTED_VALUE"""),"No")</f>
        <v>No</v>
      </c>
      <c r="E1359" s="43" t="str">
        <f>IFERROR(__xludf.DUMMYFUNCTION("""COMPUTED_VALUE"""),"p_91f959b070b639d192c3fbed8628d2be8e0e7177@inbound.aiesec.org")</f>
        <v>p_91f959b070b639d192c3fbed8628d2be8e0e7177@inbound.aiesec.org</v>
      </c>
      <c r="F1359" s="43">
        <f>IFERROR(__xludf.DUMMYFUNCTION("""COMPUTED_VALUE"""),5.302126843E9)</f>
        <v>5302126843</v>
      </c>
      <c r="G1359" s="43" t="str">
        <f>IFERROR(__xludf.DUMMYFUNCTION("""COMPUTED_VALUE"""),"Turkey")</f>
        <v>Turkey</v>
      </c>
      <c r="H1359" s="43" t="str">
        <f>IFERROR(__xludf.DUMMYFUNCTION("""COMPUTED_VALUE"""),"ANTALYA")</f>
        <v>ANTALYA</v>
      </c>
      <c r="I1359" s="43" t="str">
        <f>IFERROR(__xludf.DUMMYFUNCTION("""COMPUTED_VALUE"""),"Sri Lanka")</f>
        <v>Sri Lanka</v>
      </c>
      <c r="J1359" s="43" t="str">
        <f>IFERROR(__xludf.DUMMYFUNCTION("""COMPUTED_VALUE"""),"COLOMBO NORTH")</f>
        <v>COLOMBO NORTH</v>
      </c>
      <c r="K1359" s="44" t="str">
        <f>IFERROR(__xludf.DUMMYFUNCTION("""COMPUTED_VALUE"""),"https://expa.aiesec.org/opportunities/1288330")</f>
        <v>https://expa.aiesec.org/opportunities/1288330</v>
      </c>
      <c r="L1359" s="43" t="str">
        <f>IFERROR(__xludf.DUMMYFUNCTION("""COMPUTED_VALUE"""),"GV")</f>
        <v>GV</v>
      </c>
      <c r="M1359" s="43" t="str">
        <f>IFERROR(__xludf.DUMMYFUNCTION("""COMPUTED_VALUE"""),"short")</f>
        <v>short</v>
      </c>
      <c r="N1359" s="45">
        <f>IFERROR(__xludf.DUMMYFUNCTION("""COMPUTED_VALUE"""),45303.0)</f>
        <v>45303</v>
      </c>
      <c r="O1359" s="45">
        <f>IFERROR(__xludf.DUMMYFUNCTION("""COMPUTED_VALUE"""),45528.0)</f>
        <v>45528</v>
      </c>
      <c r="P1359" s="45">
        <f>IFERROR(__xludf.DUMMYFUNCTION("""COMPUTED_VALUE"""),45570.0)</f>
        <v>45570</v>
      </c>
      <c r="Q1359" s="45"/>
      <c r="R1359" s="45"/>
      <c r="S1359" s="43"/>
      <c r="T1359" s="43"/>
      <c r="U1359" s="43" t="str">
        <f>IFERROR(__xludf.DUMMYFUNCTION("""COMPUTED_VALUE"""),"Aquatica")</f>
        <v>Aquatica</v>
      </c>
      <c r="V1359" s="43" t="str">
        <f>IFERROR(__xludf.DUMMYFUNCTION("""COMPUTED_VALUE"""),"ANTALYA")</f>
        <v>ANTALYA</v>
      </c>
      <c r="W1359" s="43" t="str">
        <f>IFERROR(__xludf.DUMMYFUNCTION("""COMPUTED_VALUE"""),"2024-01-09T10:41:34Z")</f>
        <v>2024-01-09T10:41:34Z</v>
      </c>
      <c r="X1359" s="43"/>
      <c r="Y1359" s="43"/>
      <c r="Z1359" s="43"/>
    </row>
    <row r="1360" hidden="1">
      <c r="A1360" s="43" t="str">
        <f>IFERROR(__xludf.DUMMYFUNCTION("""COMPUTED_VALUE"""),"5399692_1289564")</f>
        <v>5399692_1289564</v>
      </c>
      <c r="B1360" s="43" t="str">
        <f>IFERROR(__xludf.DUMMYFUNCTION("""COMPUTED_VALUE"""),"Sadık Emre Cengiz")</f>
        <v>Sadık Emre Cengiz</v>
      </c>
      <c r="C1360" s="43" t="str">
        <f>IFERROR(__xludf.DUMMYFUNCTION("""COMPUTED_VALUE"""),"approved")</f>
        <v>approved</v>
      </c>
      <c r="D1360" s="43" t="str">
        <f>IFERROR(__xludf.DUMMYFUNCTION("""COMPUTED_VALUE"""),"No")</f>
        <v>No</v>
      </c>
      <c r="E1360" s="43" t="str">
        <f>IFERROR(__xludf.DUMMYFUNCTION("""COMPUTED_VALUE"""),"p_5cf0e95f9e9153541116eeac1b54dcb6501bae85@inbound.aiesec.org")</f>
        <v>p_5cf0e95f9e9153541116eeac1b54dcb6501bae85@inbound.aiesec.org</v>
      </c>
      <c r="F1360" s="43">
        <f>IFERROR(__xludf.DUMMYFUNCTION("""COMPUTED_VALUE"""),5.385753988E9)</f>
        <v>5385753988</v>
      </c>
      <c r="G1360" s="43" t="str">
        <f>IFERROR(__xludf.DUMMYFUNCTION("""COMPUTED_VALUE"""),"Turkey")</f>
        <v>Turkey</v>
      </c>
      <c r="H1360" s="43" t="str">
        <f>IFERROR(__xludf.DUMMYFUNCTION("""COMPUTED_VALUE"""),"ISTANBUL")</f>
        <v>ISTANBUL</v>
      </c>
      <c r="I1360" s="43" t="str">
        <f>IFERROR(__xludf.DUMMYFUNCTION("""COMPUTED_VALUE"""),"Egypt")</f>
        <v>Egypt</v>
      </c>
      <c r="J1360" s="43" t="str">
        <f>IFERROR(__xludf.DUMMYFUNCTION("""COMPUTED_VALUE"""),"Ain Shams University")</f>
        <v>Ain Shams University</v>
      </c>
      <c r="K1360" s="44" t="str">
        <f>IFERROR(__xludf.DUMMYFUNCTION("""COMPUTED_VALUE"""),"https://expa.aiesec.org/opportunities/1289564")</f>
        <v>https://expa.aiesec.org/opportunities/1289564</v>
      </c>
      <c r="L1360" s="43" t="str">
        <f>IFERROR(__xludf.DUMMYFUNCTION("""COMPUTED_VALUE"""),"GV")</f>
        <v>GV</v>
      </c>
      <c r="M1360" s="43" t="str">
        <f>IFERROR(__xludf.DUMMYFUNCTION("""COMPUTED_VALUE"""),"short")</f>
        <v>short</v>
      </c>
      <c r="N1360" s="45">
        <f>IFERROR(__xludf.DUMMYFUNCTION("""COMPUTED_VALUE"""),45304.0)</f>
        <v>45304</v>
      </c>
      <c r="O1360" s="45">
        <f>IFERROR(__xludf.DUMMYFUNCTION("""COMPUTED_VALUE"""),45458.0)</f>
        <v>45458</v>
      </c>
      <c r="P1360" s="45">
        <f>IFERROR(__xludf.DUMMYFUNCTION("""COMPUTED_VALUE"""),45500.0)</f>
        <v>45500</v>
      </c>
      <c r="Q1360" s="45"/>
      <c r="R1360" s="45"/>
      <c r="S1360" s="43"/>
      <c r="T1360" s="43"/>
      <c r="U1360" s="43" t="str">
        <f>IFERROR(__xludf.DUMMYFUNCTION("""COMPUTED_VALUE"""),"On The Map")</f>
        <v>On The Map</v>
      </c>
      <c r="V1360" s="43" t="str">
        <f>IFERROR(__xludf.DUMMYFUNCTION("""COMPUTED_VALUE"""),"ISTANBUL - BEYOGLU")</f>
        <v>ISTANBUL - BEYOGLU</v>
      </c>
      <c r="W1360" s="43" t="str">
        <f>IFERROR(__xludf.DUMMYFUNCTION("""COMPUTED_VALUE"""),"2024-01-10T20:07:45Z")</f>
        <v>2024-01-10T20:07:45Z</v>
      </c>
      <c r="X1360" s="43"/>
      <c r="Y1360" s="43"/>
      <c r="Z1360" s="43"/>
    </row>
    <row r="1361" hidden="1">
      <c r="A1361" s="43" t="str">
        <f>IFERROR(__xludf.DUMMYFUNCTION("""COMPUTED_VALUE"""),"5398880_1288330")</f>
        <v>5398880_1288330</v>
      </c>
      <c r="B1361" s="43" t="str">
        <f>IFERROR(__xludf.DUMMYFUNCTION("""COMPUTED_VALUE"""),"Arman Ayvazoğlu")</f>
        <v>Arman Ayvazoğlu</v>
      </c>
      <c r="C1361" s="43" t="str">
        <f>IFERROR(__xludf.DUMMYFUNCTION("""COMPUTED_VALUE"""),"approved")</f>
        <v>approved</v>
      </c>
      <c r="D1361" s="43" t="str">
        <f>IFERROR(__xludf.DUMMYFUNCTION("""COMPUTED_VALUE"""),"No")</f>
        <v>No</v>
      </c>
      <c r="E1361" s="43" t="str">
        <f>IFERROR(__xludf.DUMMYFUNCTION("""COMPUTED_VALUE"""),"p_6602f8e49de2c987c7c679aa4b0862757c686fb4@inbound.aiesec.org")</f>
        <v>p_6602f8e49de2c987c7c679aa4b0862757c686fb4@inbound.aiesec.org</v>
      </c>
      <c r="F1361" s="43">
        <f>IFERROR(__xludf.DUMMYFUNCTION("""COMPUTED_VALUE"""),5.303802466E9)</f>
        <v>5303802466</v>
      </c>
      <c r="G1361" s="43" t="str">
        <f>IFERROR(__xludf.DUMMYFUNCTION("""COMPUTED_VALUE"""),"Turkey")</f>
        <v>Turkey</v>
      </c>
      <c r="H1361" s="43" t="str">
        <f>IFERROR(__xludf.DUMMYFUNCTION("""COMPUTED_VALUE"""),"ISTANBUL ASIA")</f>
        <v>ISTANBUL ASIA</v>
      </c>
      <c r="I1361" s="43" t="str">
        <f>IFERROR(__xludf.DUMMYFUNCTION("""COMPUTED_VALUE"""),"Sri Lanka")</f>
        <v>Sri Lanka</v>
      </c>
      <c r="J1361" s="43" t="str">
        <f>IFERROR(__xludf.DUMMYFUNCTION("""COMPUTED_VALUE"""),"COLOMBO NORTH")</f>
        <v>COLOMBO NORTH</v>
      </c>
      <c r="K1361" s="44" t="str">
        <f>IFERROR(__xludf.DUMMYFUNCTION("""COMPUTED_VALUE"""),"https://expa.aiesec.org/opportunities/1288330")</f>
        <v>https://expa.aiesec.org/opportunities/1288330</v>
      </c>
      <c r="L1361" s="43" t="str">
        <f>IFERROR(__xludf.DUMMYFUNCTION("""COMPUTED_VALUE"""),"GV")</f>
        <v>GV</v>
      </c>
      <c r="M1361" s="43" t="str">
        <f>IFERROR(__xludf.DUMMYFUNCTION("""COMPUTED_VALUE"""),"short")</f>
        <v>short</v>
      </c>
      <c r="N1361" s="45">
        <f>IFERROR(__xludf.DUMMYFUNCTION("""COMPUTED_VALUE"""),45306.0)</f>
        <v>45306</v>
      </c>
      <c r="O1361" s="45">
        <f>IFERROR(__xludf.DUMMYFUNCTION("""COMPUTED_VALUE"""),45528.0)</f>
        <v>45528</v>
      </c>
      <c r="P1361" s="45">
        <f>IFERROR(__xludf.DUMMYFUNCTION("""COMPUTED_VALUE"""),45570.0)</f>
        <v>45570</v>
      </c>
      <c r="Q1361" s="45"/>
      <c r="R1361" s="45"/>
      <c r="S1361" s="43"/>
      <c r="T1361" s="43"/>
      <c r="U1361" s="43" t="str">
        <f>IFERROR(__xludf.DUMMYFUNCTION("""COMPUTED_VALUE"""),"Aquatica")</f>
        <v>Aquatica</v>
      </c>
      <c r="V1361" s="43" t="str">
        <f>IFERROR(__xludf.DUMMYFUNCTION("""COMPUTED_VALUE"""),"ISTANBUL ASIA")</f>
        <v>ISTANBUL ASIA</v>
      </c>
      <c r="W1361" s="43" t="str">
        <f>IFERROR(__xludf.DUMMYFUNCTION("""COMPUTED_VALUE"""),"2024-01-08T13:00:03Z")</f>
        <v>2024-01-08T13:00:03Z</v>
      </c>
      <c r="X1361" s="43"/>
      <c r="Y1361" s="43"/>
      <c r="Z1361" s="43"/>
    </row>
    <row r="1362" hidden="1">
      <c r="A1362" s="43" t="str">
        <f>IFERROR(__xludf.DUMMYFUNCTION("""COMPUTED_VALUE"""),"5398879_1288330")</f>
        <v>5398879_1288330</v>
      </c>
      <c r="B1362" s="43" t="str">
        <f>IFERROR(__xludf.DUMMYFUNCTION("""COMPUTED_VALUE"""),"berfin köse")</f>
        <v>berfin köse</v>
      </c>
      <c r="C1362" s="43" t="str">
        <f>IFERROR(__xludf.DUMMYFUNCTION("""COMPUTED_VALUE"""),"approved")</f>
        <v>approved</v>
      </c>
      <c r="D1362" s="43" t="str">
        <f>IFERROR(__xludf.DUMMYFUNCTION("""COMPUTED_VALUE"""),"No")</f>
        <v>No</v>
      </c>
      <c r="E1362" s="43" t="str">
        <f>IFERROR(__xludf.DUMMYFUNCTION("""COMPUTED_VALUE"""),"p_f37ce844ff55aec5c44f0ccd61638434123c3276@inbound.aiesec.org")</f>
        <v>p_f37ce844ff55aec5c44f0ccd61638434123c3276@inbound.aiesec.org</v>
      </c>
      <c r="F1362" s="43">
        <f>IFERROR(__xludf.DUMMYFUNCTION("""COMPUTED_VALUE"""),5.387285702E9)</f>
        <v>5387285702</v>
      </c>
      <c r="G1362" s="43" t="str">
        <f>IFERROR(__xludf.DUMMYFUNCTION("""COMPUTED_VALUE"""),"Turkey")</f>
        <v>Turkey</v>
      </c>
      <c r="H1362" s="43" t="str">
        <f>IFERROR(__xludf.DUMMYFUNCTION("""COMPUTED_VALUE"""),"ISTANBUL ASIA")</f>
        <v>ISTANBUL ASIA</v>
      </c>
      <c r="I1362" s="43" t="str">
        <f>IFERROR(__xludf.DUMMYFUNCTION("""COMPUTED_VALUE"""),"Sri Lanka")</f>
        <v>Sri Lanka</v>
      </c>
      <c r="J1362" s="43" t="str">
        <f>IFERROR(__xludf.DUMMYFUNCTION("""COMPUTED_VALUE"""),"COLOMBO NORTH")</f>
        <v>COLOMBO NORTH</v>
      </c>
      <c r="K1362" s="44" t="str">
        <f>IFERROR(__xludf.DUMMYFUNCTION("""COMPUTED_VALUE"""),"https://expa.aiesec.org/opportunities/1288330")</f>
        <v>https://expa.aiesec.org/opportunities/1288330</v>
      </c>
      <c r="L1362" s="43" t="str">
        <f>IFERROR(__xludf.DUMMYFUNCTION("""COMPUTED_VALUE"""),"GV")</f>
        <v>GV</v>
      </c>
      <c r="M1362" s="43" t="str">
        <f>IFERROR(__xludf.DUMMYFUNCTION("""COMPUTED_VALUE"""),"short")</f>
        <v>short</v>
      </c>
      <c r="N1362" s="45">
        <f>IFERROR(__xludf.DUMMYFUNCTION("""COMPUTED_VALUE"""),45306.0)</f>
        <v>45306</v>
      </c>
      <c r="O1362" s="45">
        <f>IFERROR(__xludf.DUMMYFUNCTION("""COMPUTED_VALUE"""),45528.0)</f>
        <v>45528</v>
      </c>
      <c r="P1362" s="45">
        <f>IFERROR(__xludf.DUMMYFUNCTION("""COMPUTED_VALUE"""),45570.0)</f>
        <v>45570</v>
      </c>
      <c r="Q1362" s="45"/>
      <c r="R1362" s="45"/>
      <c r="S1362" s="43"/>
      <c r="T1362" s="43"/>
      <c r="U1362" s="43" t="str">
        <f>IFERROR(__xludf.DUMMYFUNCTION("""COMPUTED_VALUE"""),"Aquatica")</f>
        <v>Aquatica</v>
      </c>
      <c r="V1362" s="43" t="str">
        <f>IFERROR(__xludf.DUMMYFUNCTION("""COMPUTED_VALUE"""),"ISTANBUL ASIA")</f>
        <v>ISTANBUL ASIA</v>
      </c>
      <c r="W1362" s="43" t="str">
        <f>IFERROR(__xludf.DUMMYFUNCTION("""COMPUTED_VALUE"""),"2024-01-08T12:57:37Z")</f>
        <v>2024-01-08T12:57:37Z</v>
      </c>
      <c r="X1362" s="43"/>
      <c r="Y1362" s="43"/>
      <c r="Z1362" s="43"/>
    </row>
    <row r="1363" hidden="1">
      <c r="A1363" s="43" t="str">
        <f>IFERROR(__xludf.DUMMYFUNCTION("""COMPUTED_VALUE"""),"5397817_1299851")</f>
        <v>5397817_1299851</v>
      </c>
      <c r="B1363" s="43" t="str">
        <f>IFERROR(__xludf.DUMMYFUNCTION("""COMPUTED_VALUE"""),"Alper Yasin Güngördü")</f>
        <v>Alper Yasin Güngördü</v>
      </c>
      <c r="C1363" s="43" t="str">
        <f>IFERROR(__xludf.DUMMYFUNCTION("""COMPUTED_VALUE"""),"approved")</f>
        <v>approved</v>
      </c>
      <c r="D1363" s="43" t="str">
        <f>IFERROR(__xludf.DUMMYFUNCTION("""COMPUTED_VALUE"""),"No")</f>
        <v>No</v>
      </c>
      <c r="E1363" s="43" t="str">
        <f>IFERROR(__xludf.DUMMYFUNCTION("""COMPUTED_VALUE"""),"p_869faa2be2af44a78fd4677ca24af6c9cd095c19@inbound.aiesec.org")</f>
        <v>p_869faa2be2af44a78fd4677ca24af6c9cd095c19@inbound.aiesec.org</v>
      </c>
      <c r="F1363" s="43">
        <f>IFERROR(__xludf.DUMMYFUNCTION("""COMPUTED_VALUE"""),5.531846609E9)</f>
        <v>5531846609</v>
      </c>
      <c r="G1363" s="43" t="str">
        <f>IFERROR(__xludf.DUMMYFUNCTION("""COMPUTED_VALUE"""),"Turkey")</f>
        <v>Turkey</v>
      </c>
      <c r="H1363" s="43" t="str">
        <f>IFERROR(__xludf.DUMMYFUNCTION("""COMPUTED_VALUE"""),"ISTANBUL ASIA")</f>
        <v>ISTANBUL ASIA</v>
      </c>
      <c r="I1363" s="43" t="str">
        <f>IFERROR(__xludf.DUMMYFUNCTION("""COMPUTED_VALUE"""),"Bosnia and Herzegovina")</f>
        <v>Bosnia and Herzegovina</v>
      </c>
      <c r="J1363" s="43" t="str">
        <f>IFERROR(__xludf.DUMMYFUNCTION("""COMPUTED_VALUE"""),"SARAJEVO")</f>
        <v>SARAJEVO</v>
      </c>
      <c r="K1363" s="44" t="str">
        <f>IFERROR(__xludf.DUMMYFUNCTION("""COMPUTED_VALUE"""),"https://expa.aiesec.org/opportunities/1299851")</f>
        <v>https://expa.aiesec.org/opportunities/1299851</v>
      </c>
      <c r="L1363" s="43" t="str">
        <f>IFERROR(__xludf.DUMMYFUNCTION("""COMPUTED_VALUE"""),"GV")</f>
        <v>GV</v>
      </c>
      <c r="M1363" s="43" t="str">
        <f>IFERROR(__xludf.DUMMYFUNCTION("""COMPUTED_VALUE"""),"short")</f>
        <v>short</v>
      </c>
      <c r="N1363" s="45">
        <f>IFERROR(__xludf.DUMMYFUNCTION("""COMPUTED_VALUE"""),45308.0)</f>
        <v>45308</v>
      </c>
      <c r="O1363" s="45">
        <f>IFERROR(__xludf.DUMMYFUNCTION("""COMPUTED_VALUE"""),45488.0)</f>
        <v>45488</v>
      </c>
      <c r="P1363" s="45">
        <f>IFERROR(__xludf.DUMMYFUNCTION("""COMPUTED_VALUE"""),45530.0)</f>
        <v>45530</v>
      </c>
      <c r="Q1363" s="45"/>
      <c r="R1363" s="45"/>
      <c r="S1363" s="43"/>
      <c r="T1363" s="43"/>
      <c r="U1363" s="43" t="str">
        <f>IFERROR(__xludf.DUMMYFUNCTION("""COMPUTED_VALUE"""),"Skill Up!")</f>
        <v>Skill Up!</v>
      </c>
      <c r="V1363" s="43" t="str">
        <f>IFERROR(__xludf.DUMMYFUNCTION("""COMPUTED_VALUE"""),"BURSA")</f>
        <v>BURSA</v>
      </c>
      <c r="W1363" s="43" t="str">
        <f>IFERROR(__xludf.DUMMYFUNCTION("""COMPUTED_VALUE"""),"2024-01-04T14:24:04Z")</f>
        <v>2024-01-04T14:24:04Z</v>
      </c>
      <c r="X1363" s="43"/>
      <c r="Y1363" s="43"/>
      <c r="Z1363" s="43"/>
    </row>
    <row r="1364" hidden="1">
      <c r="A1364" s="43" t="str">
        <f>IFERROR(__xludf.DUMMYFUNCTION("""COMPUTED_VALUE"""),"5397794_1302495")</f>
        <v>5397794_1302495</v>
      </c>
      <c r="B1364" s="43" t="str">
        <f>IFERROR(__xludf.DUMMYFUNCTION("""COMPUTED_VALUE"""),"Nisa Ekinci")</f>
        <v>Nisa Ekinci</v>
      </c>
      <c r="C1364" s="43" t="str">
        <f>IFERROR(__xludf.DUMMYFUNCTION("""COMPUTED_VALUE"""),"approved")</f>
        <v>approved</v>
      </c>
      <c r="D1364" s="43" t="str">
        <f>IFERROR(__xludf.DUMMYFUNCTION("""COMPUTED_VALUE"""),"No")</f>
        <v>No</v>
      </c>
      <c r="E1364" s="43" t="str">
        <f>IFERROR(__xludf.DUMMYFUNCTION("""COMPUTED_VALUE"""),"p_e19e17a42af137951223e192111c3d91267edd2e@inbound.aiesec.org")</f>
        <v>p_e19e17a42af137951223e192111c3d91267edd2e@inbound.aiesec.org</v>
      </c>
      <c r="F1364" s="43">
        <f>IFERROR(__xludf.DUMMYFUNCTION("""COMPUTED_VALUE"""),5.364397542E9)</f>
        <v>5364397542</v>
      </c>
      <c r="G1364" s="43" t="str">
        <f>IFERROR(__xludf.DUMMYFUNCTION("""COMPUTED_VALUE"""),"Turkey")</f>
        <v>Turkey</v>
      </c>
      <c r="H1364" s="43" t="str">
        <f>IFERROR(__xludf.DUMMYFUNCTION("""COMPUTED_VALUE"""),"ADANA")</f>
        <v>ADANA</v>
      </c>
      <c r="I1364" s="43" t="str">
        <f>IFERROR(__xludf.DUMMYFUNCTION("""COMPUTED_VALUE"""),"Romania")</f>
        <v>Romania</v>
      </c>
      <c r="J1364" s="43" t="str">
        <f>IFERROR(__xludf.DUMMYFUNCTION("""COMPUTED_VALUE"""),"BUCURESTI")</f>
        <v>BUCURESTI</v>
      </c>
      <c r="K1364" s="44" t="str">
        <f>IFERROR(__xludf.DUMMYFUNCTION("""COMPUTED_VALUE"""),"https://expa.aiesec.org/opportunities/1302495")</f>
        <v>https://expa.aiesec.org/opportunities/1302495</v>
      </c>
      <c r="L1364" s="43" t="str">
        <f>IFERROR(__xludf.DUMMYFUNCTION("""COMPUTED_VALUE"""),"GV")</f>
        <v>GV</v>
      </c>
      <c r="M1364" s="43" t="str">
        <f>IFERROR(__xludf.DUMMYFUNCTION("""COMPUTED_VALUE"""),"short")</f>
        <v>short</v>
      </c>
      <c r="N1364" s="45">
        <f>IFERROR(__xludf.DUMMYFUNCTION("""COMPUTED_VALUE"""),45308.0)</f>
        <v>45308</v>
      </c>
      <c r="O1364" s="45">
        <f>IFERROR(__xludf.DUMMYFUNCTION("""COMPUTED_VALUE"""),45460.0)</f>
        <v>45460</v>
      </c>
      <c r="P1364" s="45">
        <f>IFERROR(__xludf.DUMMYFUNCTION("""COMPUTED_VALUE"""),45502.0)</f>
        <v>45502</v>
      </c>
      <c r="Q1364" s="45"/>
      <c r="R1364" s="45"/>
      <c r="S1364" s="43"/>
      <c r="T1364" s="43"/>
      <c r="U1364" s="43" t="str">
        <f>IFERROR(__xludf.DUMMYFUNCTION("""COMPUTED_VALUE"""),"Fingerprint")</f>
        <v>Fingerprint</v>
      </c>
      <c r="V1364" s="43" t="str">
        <f>IFERROR(__xludf.DUMMYFUNCTION("""COMPUTED_VALUE"""),"ADANA")</f>
        <v>ADANA</v>
      </c>
      <c r="W1364" s="43" t="str">
        <f>IFERROR(__xludf.DUMMYFUNCTION("""COMPUTED_VALUE"""),"2024-01-04T13:22:55Z")</f>
        <v>2024-01-04T13:22:55Z</v>
      </c>
      <c r="X1364" s="43"/>
      <c r="Y1364" s="43"/>
      <c r="Z1364" s="43"/>
    </row>
    <row r="1365" hidden="1">
      <c r="A1365" s="43" t="str">
        <f>IFERROR(__xludf.DUMMYFUNCTION("""COMPUTED_VALUE"""),"5402610_1293635")</f>
        <v>5402610_1293635</v>
      </c>
      <c r="B1365" s="43" t="str">
        <f>IFERROR(__xludf.DUMMYFUNCTION("""COMPUTED_VALUE"""),"Rasim GÜLER")</f>
        <v>Rasim GÜLER</v>
      </c>
      <c r="C1365" s="43" t="str">
        <f>IFERROR(__xludf.DUMMYFUNCTION("""COMPUTED_VALUE"""),"approved")</f>
        <v>approved</v>
      </c>
      <c r="D1365" s="43" t="str">
        <f>IFERROR(__xludf.DUMMYFUNCTION("""COMPUTED_VALUE"""),"No")</f>
        <v>No</v>
      </c>
      <c r="E1365" s="43" t="str">
        <f>IFERROR(__xludf.DUMMYFUNCTION("""COMPUTED_VALUE"""),"p_e1a8670c497e1ecb2b32ef8f529fba045ae420b8@inbound.aiesec.org")</f>
        <v>p_e1a8670c497e1ecb2b32ef8f529fba045ae420b8@inbound.aiesec.org</v>
      </c>
      <c r="F1365" s="43"/>
      <c r="G1365" s="43" t="str">
        <f>IFERROR(__xludf.DUMMYFUNCTION("""COMPUTED_VALUE"""),"Turkey")</f>
        <v>Turkey</v>
      </c>
      <c r="H1365" s="43" t="str">
        <f>IFERROR(__xludf.DUMMYFUNCTION("""COMPUTED_VALUE"""),"ISTANBUL")</f>
        <v>ISTANBUL</v>
      </c>
      <c r="I1365" s="43" t="str">
        <f>IFERROR(__xludf.DUMMYFUNCTION("""COMPUTED_VALUE"""),"Egypt")</f>
        <v>Egypt</v>
      </c>
      <c r="J1365" s="43" t="str">
        <f>IFERROR(__xludf.DUMMYFUNCTION("""COMPUTED_VALUE"""),"GUC")</f>
        <v>GUC</v>
      </c>
      <c r="K1365" s="44" t="str">
        <f>IFERROR(__xludf.DUMMYFUNCTION("""COMPUTED_VALUE"""),"https://expa.aiesec.org/opportunities/1293635")</f>
        <v>https://expa.aiesec.org/opportunities/1293635</v>
      </c>
      <c r="L1365" s="43" t="str">
        <f>IFERROR(__xludf.DUMMYFUNCTION("""COMPUTED_VALUE"""),"GV")</f>
        <v>GV</v>
      </c>
      <c r="M1365" s="43" t="str">
        <f>IFERROR(__xludf.DUMMYFUNCTION("""COMPUTED_VALUE"""),"short")</f>
        <v>short</v>
      </c>
      <c r="N1365" s="45">
        <f>IFERROR(__xludf.DUMMYFUNCTION("""COMPUTED_VALUE"""),45308.0)</f>
        <v>45308</v>
      </c>
      <c r="O1365" s="45">
        <f>IFERROR(__xludf.DUMMYFUNCTION("""COMPUTED_VALUE"""),45506.0)</f>
        <v>45506</v>
      </c>
      <c r="P1365" s="45">
        <f>IFERROR(__xludf.DUMMYFUNCTION("""COMPUTED_VALUE"""),45548.0)</f>
        <v>45548</v>
      </c>
      <c r="Q1365" s="45"/>
      <c r="R1365" s="45"/>
      <c r="S1365" s="43"/>
      <c r="T1365" s="43"/>
      <c r="U1365" s="43" t="str">
        <f>IFERROR(__xludf.DUMMYFUNCTION("""COMPUTED_VALUE"""),"Youth 4 Impact")</f>
        <v>Youth 4 Impact</v>
      </c>
      <c r="V1365" s="43" t="str">
        <f>IFERROR(__xludf.DUMMYFUNCTION("""COMPUTED_VALUE"""),"-")</f>
        <v>-</v>
      </c>
      <c r="W1365" s="43" t="str">
        <f>IFERROR(__xludf.DUMMYFUNCTION("""COMPUTED_VALUE"""),"2024-01-17T20:17:46Z")</f>
        <v>2024-01-17T20:17:46Z</v>
      </c>
      <c r="X1365" s="43"/>
      <c r="Y1365" s="43"/>
      <c r="Z1365" s="43"/>
    </row>
    <row r="1366" hidden="1">
      <c r="A1366" s="43" t="str">
        <f>IFERROR(__xludf.DUMMYFUNCTION("""COMPUTED_VALUE"""),"5400782_1299454")</f>
        <v>5400782_1299454</v>
      </c>
      <c r="B1366" s="43" t="str">
        <f>IFERROR(__xludf.DUMMYFUNCTION("""COMPUTED_VALUE"""),"Begüm Kılınç")</f>
        <v>Begüm Kılınç</v>
      </c>
      <c r="C1366" s="43" t="str">
        <f>IFERROR(__xludf.DUMMYFUNCTION("""COMPUTED_VALUE"""),"approved")</f>
        <v>approved</v>
      </c>
      <c r="D1366" s="43" t="str">
        <f>IFERROR(__xludf.DUMMYFUNCTION("""COMPUTED_VALUE"""),"No")</f>
        <v>No</v>
      </c>
      <c r="E1366" s="43" t="str">
        <f>IFERROR(__xludf.DUMMYFUNCTION("""COMPUTED_VALUE"""),"p_f52ae9ec8402c38fe3e0ba1c506e18daa1dfd18c@inbound.aiesec.org")</f>
        <v>p_f52ae9ec8402c38fe3e0ba1c506e18daa1dfd18c@inbound.aiesec.org</v>
      </c>
      <c r="F1366" s="43">
        <f>IFERROR(__xludf.DUMMYFUNCTION("""COMPUTED_VALUE"""),5.39468535E9)</f>
        <v>5394685350</v>
      </c>
      <c r="G1366" s="43" t="str">
        <f>IFERROR(__xludf.DUMMYFUNCTION("""COMPUTED_VALUE"""),"Turkey")</f>
        <v>Turkey</v>
      </c>
      <c r="H1366" s="43" t="str">
        <f>IFERROR(__xludf.DUMMYFUNCTION("""COMPUTED_VALUE"""),"ISTANBUL")</f>
        <v>ISTANBUL</v>
      </c>
      <c r="I1366" s="43" t="str">
        <f>IFERROR(__xludf.DUMMYFUNCTION("""COMPUTED_VALUE"""),"Italy")</f>
        <v>Italy</v>
      </c>
      <c r="J1366" s="43" t="str">
        <f>IFERROR(__xludf.DUMMYFUNCTION("""COMPUTED_VALUE"""),"Napoli Federico II")</f>
        <v>Napoli Federico II</v>
      </c>
      <c r="K1366" s="44" t="str">
        <f>IFERROR(__xludf.DUMMYFUNCTION("""COMPUTED_VALUE"""),"https://expa.aiesec.org/opportunities/1299454")</f>
        <v>https://expa.aiesec.org/opportunities/1299454</v>
      </c>
      <c r="L1366" s="43" t="str">
        <f>IFERROR(__xludf.DUMMYFUNCTION("""COMPUTED_VALUE"""),"GV")</f>
        <v>GV</v>
      </c>
      <c r="M1366" s="43" t="str">
        <f>IFERROR(__xludf.DUMMYFUNCTION("""COMPUTED_VALUE"""),"short")</f>
        <v>short</v>
      </c>
      <c r="N1366" s="45">
        <f>IFERROR(__xludf.DUMMYFUNCTION("""COMPUTED_VALUE"""),45309.0)</f>
        <v>45309</v>
      </c>
      <c r="O1366" s="45">
        <f>IFERROR(__xludf.DUMMYFUNCTION("""COMPUTED_VALUE"""),45327.0)</f>
        <v>45327</v>
      </c>
      <c r="P1366" s="45">
        <f>IFERROR(__xludf.DUMMYFUNCTION("""COMPUTED_VALUE"""),45369.0)</f>
        <v>45369</v>
      </c>
      <c r="Q1366" s="45"/>
      <c r="R1366" s="45"/>
      <c r="S1366" s="43"/>
      <c r="T1366" s="43"/>
      <c r="U1366" s="43" t="str">
        <f>IFERROR(__xludf.DUMMYFUNCTION("""COMPUTED_VALUE"""),"Global Classroom")</f>
        <v>Global Classroom</v>
      </c>
      <c r="V1366" s="43" t="str">
        <f>IFERROR(__xludf.DUMMYFUNCTION("""COMPUTED_VALUE"""),"ISTANBUL - BAKIRKOY")</f>
        <v>ISTANBUL - BAKIRKOY</v>
      </c>
      <c r="W1366" s="43" t="str">
        <f>IFERROR(__xludf.DUMMYFUNCTION("""COMPUTED_VALUE"""),"2024-01-13T20:06:28Z")</f>
        <v>2024-01-13T20:06:28Z</v>
      </c>
      <c r="X1366" s="43"/>
      <c r="Y1366" s="43"/>
      <c r="Z1366" s="43"/>
    </row>
    <row r="1367" hidden="1">
      <c r="A1367" s="43" t="str">
        <f>IFERROR(__xludf.DUMMYFUNCTION("""COMPUTED_VALUE"""),"5301374_1281345")</f>
        <v>5301374_1281345</v>
      </c>
      <c r="B1367" s="43" t="str">
        <f>IFERROR(__xludf.DUMMYFUNCTION("""COMPUTED_VALUE"""),"fatma olgen")</f>
        <v>fatma olgen</v>
      </c>
      <c r="C1367" s="43" t="str">
        <f>IFERROR(__xludf.DUMMYFUNCTION("""COMPUTED_VALUE"""),"approved")</f>
        <v>approved</v>
      </c>
      <c r="D1367" s="43" t="str">
        <f>IFERROR(__xludf.DUMMYFUNCTION("""COMPUTED_VALUE"""),"No")</f>
        <v>No</v>
      </c>
      <c r="E1367" s="43" t="str">
        <f>IFERROR(__xludf.DUMMYFUNCTION("""COMPUTED_VALUE"""),"p_1a7828cb35afa7eb4e10251e776d9f26f765a1e1@inbound.aiesec.org")</f>
        <v>p_1a7828cb35afa7eb4e10251e776d9f26f765a1e1@inbound.aiesec.org</v>
      </c>
      <c r="F1367" s="43">
        <f>IFERROR(__xludf.DUMMYFUNCTION("""COMPUTED_VALUE"""),5.33499825E9)</f>
        <v>5334998250</v>
      </c>
      <c r="G1367" s="43" t="str">
        <f>IFERROR(__xludf.DUMMYFUNCTION("""COMPUTED_VALUE"""),"Turkey")</f>
        <v>Turkey</v>
      </c>
      <c r="H1367" s="43" t="str">
        <f>IFERROR(__xludf.DUMMYFUNCTION("""COMPUTED_VALUE"""),"ISTANBUL")</f>
        <v>ISTANBUL</v>
      </c>
      <c r="I1367" s="43" t="str">
        <f>IFERROR(__xludf.DUMMYFUNCTION("""COMPUTED_VALUE"""),"Sri Lanka")</f>
        <v>Sri Lanka</v>
      </c>
      <c r="J1367" s="43" t="str">
        <f>IFERROR(__xludf.DUMMYFUNCTION("""COMPUTED_VALUE"""),"USJ")</f>
        <v>USJ</v>
      </c>
      <c r="K1367" s="44" t="str">
        <f>IFERROR(__xludf.DUMMYFUNCTION("""COMPUTED_VALUE"""),"https://expa.aiesec.org/opportunities/1281345")</f>
        <v>https://expa.aiesec.org/opportunities/1281345</v>
      </c>
      <c r="L1367" s="43" t="str">
        <f>IFERROR(__xludf.DUMMYFUNCTION("""COMPUTED_VALUE"""),"GV")</f>
        <v>GV</v>
      </c>
      <c r="M1367" s="43" t="str">
        <f>IFERROR(__xludf.DUMMYFUNCTION("""COMPUTED_VALUE"""),"short")</f>
        <v>short</v>
      </c>
      <c r="N1367" s="45">
        <f>IFERROR(__xludf.DUMMYFUNCTION("""COMPUTED_VALUE"""),45309.0)</f>
        <v>45309</v>
      </c>
      <c r="O1367" s="45">
        <f>IFERROR(__xludf.DUMMYFUNCTION("""COMPUTED_VALUE"""),45474.0)</f>
        <v>45474</v>
      </c>
      <c r="P1367" s="45">
        <f>IFERROR(__xludf.DUMMYFUNCTION("""COMPUTED_VALUE"""),45516.0)</f>
        <v>45516</v>
      </c>
      <c r="Q1367" s="45"/>
      <c r="R1367" s="45"/>
      <c r="S1367" s="43"/>
      <c r="T1367" s="43"/>
      <c r="U1367" s="43" t="str">
        <f>IFERROR(__xludf.DUMMYFUNCTION("""COMPUTED_VALUE"""),"Aquatica")</f>
        <v>Aquatica</v>
      </c>
      <c r="V1367" s="43" t="str">
        <f>IFERROR(__xludf.DUMMYFUNCTION("""COMPUTED_VALUE"""),"ISTANBUL ASIA")</f>
        <v>ISTANBUL ASIA</v>
      </c>
      <c r="W1367" s="43" t="str">
        <f>IFERROR(__xludf.DUMMYFUNCTION("""COMPUTED_VALUE"""),"2023-08-11T21:20:42Z")</f>
        <v>2023-08-11T21:20:42Z</v>
      </c>
      <c r="X1367" s="43"/>
      <c r="Y1367" s="43"/>
      <c r="Z1367" s="43"/>
    </row>
    <row r="1368" hidden="1">
      <c r="A1368" s="43" t="str">
        <f>IFERROR(__xludf.DUMMYFUNCTION("""COMPUTED_VALUE"""),"5398429_1286658")</f>
        <v>5398429_1286658</v>
      </c>
      <c r="B1368" s="43" t="str">
        <f>IFERROR(__xludf.DUMMYFUNCTION("""COMPUTED_VALUE"""),"Hasan Akarsoy")</f>
        <v>Hasan Akarsoy</v>
      </c>
      <c r="C1368" s="43" t="str">
        <f>IFERROR(__xludf.DUMMYFUNCTION("""COMPUTED_VALUE"""),"approved")</f>
        <v>approved</v>
      </c>
      <c r="D1368" s="43" t="str">
        <f>IFERROR(__xludf.DUMMYFUNCTION("""COMPUTED_VALUE"""),"No")</f>
        <v>No</v>
      </c>
      <c r="E1368" s="43" t="str">
        <f>IFERROR(__xludf.DUMMYFUNCTION("""COMPUTED_VALUE"""),"p_1c80613f337747a09c62fb13f6abaad4602f6219@inbound.aiesec.org")</f>
        <v>p_1c80613f337747a09c62fb13f6abaad4602f6219@inbound.aiesec.org</v>
      </c>
      <c r="F1368" s="43"/>
      <c r="G1368" s="43" t="str">
        <f>IFERROR(__xludf.DUMMYFUNCTION("""COMPUTED_VALUE"""),"Turkey")</f>
        <v>Turkey</v>
      </c>
      <c r="H1368" s="43" t="str">
        <f>IFERROR(__xludf.DUMMYFUNCTION("""COMPUTED_VALUE"""),"ANKARA")</f>
        <v>ANKARA</v>
      </c>
      <c r="I1368" s="43" t="str">
        <f>IFERROR(__xludf.DUMMYFUNCTION("""COMPUTED_VALUE"""),"Egypt")</f>
        <v>Egypt</v>
      </c>
      <c r="J1368" s="43" t="str">
        <f>IFERROR(__xludf.DUMMYFUNCTION("""COMPUTED_VALUE"""),"Cairo University")</f>
        <v>Cairo University</v>
      </c>
      <c r="K1368" s="44" t="str">
        <f>IFERROR(__xludf.DUMMYFUNCTION("""COMPUTED_VALUE"""),"https://expa.aiesec.org/opportunities/1286658")</f>
        <v>https://expa.aiesec.org/opportunities/1286658</v>
      </c>
      <c r="L1368" s="43" t="str">
        <f>IFERROR(__xludf.DUMMYFUNCTION("""COMPUTED_VALUE"""),"GV")</f>
        <v>GV</v>
      </c>
      <c r="M1368" s="43" t="str">
        <f>IFERROR(__xludf.DUMMYFUNCTION("""COMPUTED_VALUE"""),"short")</f>
        <v>short</v>
      </c>
      <c r="N1368" s="45">
        <f>IFERROR(__xludf.DUMMYFUNCTION("""COMPUTED_VALUE"""),45309.0)</f>
        <v>45309</v>
      </c>
      <c r="O1368" s="45">
        <f>IFERROR(__xludf.DUMMYFUNCTION("""COMPUTED_VALUE"""),45315.0)</f>
        <v>45315</v>
      </c>
      <c r="P1368" s="45">
        <f>IFERROR(__xludf.DUMMYFUNCTION("""COMPUTED_VALUE"""),45357.0)</f>
        <v>45357</v>
      </c>
      <c r="Q1368" s="45"/>
      <c r="R1368" s="45"/>
      <c r="S1368" s="43"/>
      <c r="T1368" s="43"/>
      <c r="U1368" s="43" t="str">
        <f>IFERROR(__xludf.DUMMYFUNCTION("""COMPUTED_VALUE"""),"Global Classroom")</f>
        <v>Global Classroom</v>
      </c>
      <c r="V1368" s="43" t="str">
        <f>IFERROR(__xludf.DUMMYFUNCTION("""COMPUTED_VALUE"""),"-")</f>
        <v>-</v>
      </c>
      <c r="W1368" s="43" t="str">
        <f>IFERROR(__xludf.DUMMYFUNCTION("""COMPUTED_VALUE"""),"2024-01-06T16:00:06Z")</f>
        <v>2024-01-06T16:00:06Z</v>
      </c>
      <c r="X1368" s="43"/>
      <c r="Y1368" s="43"/>
      <c r="Z1368" s="43"/>
    </row>
    <row r="1369" hidden="1">
      <c r="A1369" s="43" t="str">
        <f>IFERROR(__xludf.DUMMYFUNCTION("""COMPUTED_VALUE"""),"5397811_1289965")</f>
        <v>5397811_1289965</v>
      </c>
      <c r="B1369" s="43" t="str">
        <f>IFERROR(__xludf.DUMMYFUNCTION("""COMPUTED_VALUE"""),"Nil Beril Özkan")</f>
        <v>Nil Beril Özkan</v>
      </c>
      <c r="C1369" s="43" t="str">
        <f>IFERROR(__xludf.DUMMYFUNCTION("""COMPUTED_VALUE"""),"approved")</f>
        <v>approved</v>
      </c>
      <c r="D1369" s="43" t="str">
        <f>IFERROR(__xludf.DUMMYFUNCTION("""COMPUTED_VALUE"""),"No")</f>
        <v>No</v>
      </c>
      <c r="E1369" s="43" t="str">
        <f>IFERROR(__xludf.DUMMYFUNCTION("""COMPUTED_VALUE"""),"p_2d9a8250e84ea513c828c1996bd245589ae45d47@inbound.aiesec.org")</f>
        <v>p_2d9a8250e84ea513c828c1996bd245589ae45d47@inbound.aiesec.org</v>
      </c>
      <c r="F1369" s="43">
        <f>IFERROR(__xludf.DUMMYFUNCTION("""COMPUTED_VALUE"""),5.37234327E9)</f>
        <v>5372343270</v>
      </c>
      <c r="G1369" s="43" t="str">
        <f>IFERROR(__xludf.DUMMYFUNCTION("""COMPUTED_VALUE"""),"Turkey")</f>
        <v>Turkey</v>
      </c>
      <c r="H1369" s="43" t="str">
        <f>IFERROR(__xludf.DUMMYFUNCTION("""COMPUTED_VALUE"""),"ANKARA")</f>
        <v>ANKARA</v>
      </c>
      <c r="I1369" s="43" t="str">
        <f>IFERROR(__xludf.DUMMYFUNCTION("""COMPUTED_VALUE"""),"Greece")</f>
        <v>Greece</v>
      </c>
      <c r="J1369" s="43" t="str">
        <f>IFERROR(__xludf.DUMMYFUNCTION("""COMPUTED_VALUE"""),"UoM THESSALONIKI")</f>
        <v>UoM THESSALONIKI</v>
      </c>
      <c r="K1369" s="44" t="str">
        <f>IFERROR(__xludf.DUMMYFUNCTION("""COMPUTED_VALUE"""),"https://expa.aiesec.org/opportunities/1289965")</f>
        <v>https://expa.aiesec.org/opportunities/1289965</v>
      </c>
      <c r="L1369" s="43" t="str">
        <f>IFERROR(__xludf.DUMMYFUNCTION("""COMPUTED_VALUE"""),"GV")</f>
        <v>GV</v>
      </c>
      <c r="M1369" s="43" t="str">
        <f>IFERROR(__xludf.DUMMYFUNCTION("""COMPUTED_VALUE"""),"short")</f>
        <v>short</v>
      </c>
      <c r="N1369" s="45">
        <f>IFERROR(__xludf.DUMMYFUNCTION("""COMPUTED_VALUE"""),45310.0)</f>
        <v>45310</v>
      </c>
      <c r="O1369" s="45">
        <f>IFERROR(__xludf.DUMMYFUNCTION("""COMPUTED_VALUE"""),45444.0)</f>
        <v>45444</v>
      </c>
      <c r="P1369" s="45">
        <f>IFERROR(__xludf.DUMMYFUNCTION("""COMPUTED_VALUE"""),45486.0)</f>
        <v>45486</v>
      </c>
      <c r="Q1369" s="45"/>
      <c r="R1369" s="45"/>
      <c r="S1369" s="43"/>
      <c r="T1369" s="43"/>
      <c r="U1369" s="43" t="str">
        <f>IFERROR(__xludf.DUMMYFUNCTION("""COMPUTED_VALUE"""),"Aquatica")</f>
        <v>Aquatica</v>
      </c>
      <c r="V1369" s="43" t="str">
        <f>IFERROR(__xludf.DUMMYFUNCTION("""COMPUTED_VALUE"""),"ANKARA")</f>
        <v>ANKARA</v>
      </c>
      <c r="W1369" s="43" t="str">
        <f>IFERROR(__xludf.DUMMYFUNCTION("""COMPUTED_VALUE"""),"2024-01-04T14:09:53Z")</f>
        <v>2024-01-04T14:09:53Z</v>
      </c>
      <c r="X1369" s="43"/>
      <c r="Y1369" s="43"/>
      <c r="Z1369" s="43"/>
    </row>
    <row r="1370" hidden="1">
      <c r="A1370" s="43" t="str">
        <f>IFERROR(__xludf.DUMMYFUNCTION("""COMPUTED_VALUE"""),"4824486_1281345")</f>
        <v>4824486_1281345</v>
      </c>
      <c r="B1370" s="43" t="str">
        <f>IFERROR(__xludf.DUMMYFUNCTION("""COMPUTED_VALUE"""),"Beyza Şerife Sezer")</f>
        <v>Beyza Şerife Sezer</v>
      </c>
      <c r="C1370" s="43" t="str">
        <f>IFERROR(__xludf.DUMMYFUNCTION("""COMPUTED_VALUE"""),"approved")</f>
        <v>approved</v>
      </c>
      <c r="D1370" s="43" t="str">
        <f>IFERROR(__xludf.DUMMYFUNCTION("""COMPUTED_VALUE"""),"No")</f>
        <v>No</v>
      </c>
      <c r="E1370" s="43" t="str">
        <f>IFERROR(__xludf.DUMMYFUNCTION("""COMPUTED_VALUE"""),"p_14426b0b60de18499e4d6eed9084c593c90c090f@inbound.aiesec.org")</f>
        <v>p_14426b0b60de18499e4d6eed9084c593c90c090f@inbound.aiesec.org</v>
      </c>
      <c r="F1370" s="43">
        <f>IFERROR(__xludf.DUMMYFUNCTION("""COMPUTED_VALUE"""),5.364738747E9)</f>
        <v>5364738747</v>
      </c>
      <c r="G1370" s="43" t="str">
        <f>IFERROR(__xludf.DUMMYFUNCTION("""COMPUTED_VALUE"""),"Turkey")</f>
        <v>Turkey</v>
      </c>
      <c r="H1370" s="43" t="str">
        <f>IFERROR(__xludf.DUMMYFUNCTION("""COMPUTED_VALUE"""),"ISTANBUL")</f>
        <v>ISTANBUL</v>
      </c>
      <c r="I1370" s="43" t="str">
        <f>IFERROR(__xludf.DUMMYFUNCTION("""COMPUTED_VALUE"""),"Sri Lanka")</f>
        <v>Sri Lanka</v>
      </c>
      <c r="J1370" s="43" t="str">
        <f>IFERROR(__xludf.DUMMYFUNCTION("""COMPUTED_VALUE"""),"USJ")</f>
        <v>USJ</v>
      </c>
      <c r="K1370" s="44" t="str">
        <f>IFERROR(__xludf.DUMMYFUNCTION("""COMPUTED_VALUE"""),"https://expa.aiesec.org/opportunities/1281345")</f>
        <v>https://expa.aiesec.org/opportunities/1281345</v>
      </c>
      <c r="L1370" s="43" t="str">
        <f>IFERROR(__xludf.DUMMYFUNCTION("""COMPUTED_VALUE"""),"GV")</f>
        <v>GV</v>
      </c>
      <c r="M1370" s="43" t="str">
        <f>IFERROR(__xludf.DUMMYFUNCTION("""COMPUTED_VALUE"""),"short")</f>
        <v>short</v>
      </c>
      <c r="N1370" s="45">
        <f>IFERROR(__xludf.DUMMYFUNCTION("""COMPUTED_VALUE"""),45311.0)</f>
        <v>45311</v>
      </c>
      <c r="O1370" s="45">
        <f>IFERROR(__xludf.DUMMYFUNCTION("""COMPUTED_VALUE"""),45505.0)</f>
        <v>45505</v>
      </c>
      <c r="P1370" s="45">
        <f>IFERROR(__xludf.DUMMYFUNCTION("""COMPUTED_VALUE"""),45547.0)</f>
        <v>45547</v>
      </c>
      <c r="Q1370" s="45"/>
      <c r="R1370" s="45"/>
      <c r="S1370" s="43"/>
      <c r="T1370" s="43"/>
      <c r="U1370" s="43" t="str">
        <f>IFERROR(__xludf.DUMMYFUNCTION("""COMPUTED_VALUE"""),"Aquatica")</f>
        <v>Aquatica</v>
      </c>
      <c r="V1370" s="43" t="str">
        <f>IFERROR(__xludf.DUMMYFUNCTION("""COMPUTED_VALUE"""),"ISTANBUL ASIA")</f>
        <v>ISTANBUL ASIA</v>
      </c>
      <c r="W1370" s="43" t="str">
        <f>IFERROR(__xludf.DUMMYFUNCTION("""COMPUTED_VALUE"""),"2021-11-30T19:38:20Z")</f>
        <v>2021-11-30T19:38:20Z</v>
      </c>
      <c r="X1370" s="43"/>
      <c r="Y1370" s="43"/>
      <c r="Z1370" s="43"/>
    </row>
    <row r="1371" hidden="1">
      <c r="A1371" s="43" t="str">
        <f>IFERROR(__xludf.DUMMYFUNCTION("""COMPUTED_VALUE"""),"5402880_1281345")</f>
        <v>5402880_1281345</v>
      </c>
      <c r="B1371" s="43" t="str">
        <f>IFERROR(__xludf.DUMMYFUNCTION("""COMPUTED_VALUE"""),"Defne Yolal")</f>
        <v>Defne Yolal</v>
      </c>
      <c r="C1371" s="43" t="str">
        <f>IFERROR(__xludf.DUMMYFUNCTION("""COMPUTED_VALUE"""),"approved")</f>
        <v>approved</v>
      </c>
      <c r="D1371" s="43" t="str">
        <f>IFERROR(__xludf.DUMMYFUNCTION("""COMPUTED_VALUE"""),"No")</f>
        <v>No</v>
      </c>
      <c r="E1371" s="43" t="str">
        <f>IFERROR(__xludf.DUMMYFUNCTION("""COMPUTED_VALUE"""),"p_4a57805d1a543778f22e12b3c521cdc103f61c79@inbound.aiesec.org")</f>
        <v>p_4a57805d1a543778f22e12b3c521cdc103f61c79@inbound.aiesec.org</v>
      </c>
      <c r="F1371" s="43">
        <f>IFERROR(__xludf.DUMMYFUNCTION("""COMPUTED_VALUE"""),5.055309588E9)</f>
        <v>5055309588</v>
      </c>
      <c r="G1371" s="43" t="str">
        <f>IFERROR(__xludf.DUMMYFUNCTION("""COMPUTED_VALUE"""),"Turkey")</f>
        <v>Turkey</v>
      </c>
      <c r="H1371" s="43" t="str">
        <f>IFERROR(__xludf.DUMMYFUNCTION("""COMPUTED_VALUE"""),"ISTANBUL")</f>
        <v>ISTANBUL</v>
      </c>
      <c r="I1371" s="43" t="str">
        <f>IFERROR(__xludf.DUMMYFUNCTION("""COMPUTED_VALUE"""),"Sri Lanka")</f>
        <v>Sri Lanka</v>
      </c>
      <c r="J1371" s="43" t="str">
        <f>IFERROR(__xludf.DUMMYFUNCTION("""COMPUTED_VALUE"""),"USJ")</f>
        <v>USJ</v>
      </c>
      <c r="K1371" s="44" t="str">
        <f>IFERROR(__xludf.DUMMYFUNCTION("""COMPUTED_VALUE"""),"https://expa.aiesec.org/opportunities/1281345")</f>
        <v>https://expa.aiesec.org/opportunities/1281345</v>
      </c>
      <c r="L1371" s="43" t="str">
        <f>IFERROR(__xludf.DUMMYFUNCTION("""COMPUTED_VALUE"""),"GV")</f>
        <v>GV</v>
      </c>
      <c r="M1371" s="43" t="str">
        <f>IFERROR(__xludf.DUMMYFUNCTION("""COMPUTED_VALUE"""),"short")</f>
        <v>short</v>
      </c>
      <c r="N1371" s="45">
        <f>IFERROR(__xludf.DUMMYFUNCTION("""COMPUTED_VALUE"""),45312.0)</f>
        <v>45312</v>
      </c>
      <c r="O1371" s="45">
        <f>IFERROR(__xludf.DUMMYFUNCTION("""COMPUTED_VALUE"""),45505.0)</f>
        <v>45505</v>
      </c>
      <c r="P1371" s="45">
        <f>IFERROR(__xludf.DUMMYFUNCTION("""COMPUTED_VALUE"""),45547.0)</f>
        <v>45547</v>
      </c>
      <c r="Q1371" s="45"/>
      <c r="R1371" s="45"/>
      <c r="S1371" s="43"/>
      <c r="T1371" s="43"/>
      <c r="U1371" s="43" t="str">
        <f>IFERROR(__xludf.DUMMYFUNCTION("""COMPUTED_VALUE"""),"Aquatica")</f>
        <v>Aquatica</v>
      </c>
      <c r="V1371" s="43" t="str">
        <f>IFERROR(__xludf.DUMMYFUNCTION("""COMPUTED_VALUE"""),"ISTANBUL - BEYOGLU")</f>
        <v>ISTANBUL - BEYOGLU</v>
      </c>
      <c r="W1371" s="43" t="str">
        <f>IFERROR(__xludf.DUMMYFUNCTION("""COMPUTED_VALUE"""),"2024-01-18T14:43:14Z")</f>
        <v>2024-01-18T14:43:14Z</v>
      </c>
      <c r="X1371" s="43"/>
      <c r="Y1371" s="43"/>
      <c r="Z1371" s="43"/>
    </row>
    <row r="1372" hidden="1">
      <c r="A1372" s="43" t="str">
        <f>IFERROR(__xludf.DUMMYFUNCTION("""COMPUTED_VALUE"""),"5401938_1303316")</f>
        <v>5401938_1303316</v>
      </c>
      <c r="B1372" s="43" t="str">
        <f>IFERROR(__xludf.DUMMYFUNCTION("""COMPUTED_VALUE"""),"Zeynep Sena Özdemir")</f>
        <v>Zeynep Sena Özdemir</v>
      </c>
      <c r="C1372" s="43" t="str">
        <f>IFERROR(__xludf.DUMMYFUNCTION("""COMPUTED_VALUE"""),"approved")</f>
        <v>approved</v>
      </c>
      <c r="D1372" s="43" t="str">
        <f>IFERROR(__xludf.DUMMYFUNCTION("""COMPUTED_VALUE"""),"No")</f>
        <v>No</v>
      </c>
      <c r="E1372" s="43" t="str">
        <f>IFERROR(__xludf.DUMMYFUNCTION("""COMPUTED_VALUE"""),"p_fa1af07271209c95a218f4612dc1250bb75d3790@inbound.aiesec.org")</f>
        <v>p_fa1af07271209c95a218f4612dc1250bb75d3790@inbound.aiesec.org</v>
      </c>
      <c r="F1372" s="43"/>
      <c r="G1372" s="43" t="str">
        <f>IFERROR(__xludf.DUMMYFUNCTION("""COMPUTED_VALUE"""),"Turkey")</f>
        <v>Turkey</v>
      </c>
      <c r="H1372" s="43" t="str">
        <f>IFERROR(__xludf.DUMMYFUNCTION("""COMPUTED_VALUE"""),"ISTANBUL")</f>
        <v>ISTANBUL</v>
      </c>
      <c r="I1372" s="43" t="str">
        <f>IFERROR(__xludf.DUMMYFUNCTION("""COMPUTED_VALUE"""),"Italy")</f>
        <v>Italy</v>
      </c>
      <c r="J1372" s="43" t="str">
        <f>IFERROR(__xludf.DUMMYFUNCTION("""COMPUTED_VALUE"""),"Venezia")</f>
        <v>Venezia</v>
      </c>
      <c r="K1372" s="44" t="str">
        <f>IFERROR(__xludf.DUMMYFUNCTION("""COMPUTED_VALUE"""),"https://expa.aiesec.org/opportunities/1303316")</f>
        <v>https://expa.aiesec.org/opportunities/1303316</v>
      </c>
      <c r="L1372" s="43" t="str">
        <f>IFERROR(__xludf.DUMMYFUNCTION("""COMPUTED_VALUE"""),"GV")</f>
        <v>GV</v>
      </c>
      <c r="M1372" s="43" t="str">
        <f>IFERROR(__xludf.DUMMYFUNCTION("""COMPUTED_VALUE"""),"short")</f>
        <v>short</v>
      </c>
      <c r="N1372" s="45">
        <f>IFERROR(__xludf.DUMMYFUNCTION("""COMPUTED_VALUE"""),45313.0)</f>
        <v>45313</v>
      </c>
      <c r="O1372" s="45">
        <f>IFERROR(__xludf.DUMMYFUNCTION("""COMPUTED_VALUE"""),45502.0)</f>
        <v>45502</v>
      </c>
      <c r="P1372" s="45">
        <f>IFERROR(__xludf.DUMMYFUNCTION("""COMPUTED_VALUE"""),45544.0)</f>
        <v>45544</v>
      </c>
      <c r="Q1372" s="45"/>
      <c r="R1372" s="45"/>
      <c r="S1372" s="43"/>
      <c r="T1372" s="43"/>
      <c r="U1372" s="43" t="str">
        <f>IFERROR(__xludf.DUMMYFUNCTION("""COMPUTED_VALUE"""),"Equify")</f>
        <v>Equify</v>
      </c>
      <c r="V1372" s="43" t="str">
        <f>IFERROR(__xludf.DUMMYFUNCTION("""COMPUTED_VALUE"""),"-")</f>
        <v>-</v>
      </c>
      <c r="W1372" s="43" t="str">
        <f>IFERROR(__xludf.DUMMYFUNCTION("""COMPUTED_VALUE"""),"2024-01-16T10:59:21Z")</f>
        <v>2024-01-16T10:59:21Z</v>
      </c>
      <c r="X1372" s="43"/>
      <c r="Y1372" s="43"/>
      <c r="Z1372" s="43"/>
    </row>
    <row r="1373" hidden="1">
      <c r="A1373" s="43"/>
      <c r="B1373" s="43"/>
      <c r="C1373" s="43"/>
      <c r="D1373" s="43"/>
      <c r="E1373" s="43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43"/>
    </row>
    <row r="1374" hidden="1">
      <c r="A1374" s="43"/>
      <c r="B1374" s="43"/>
      <c r="C1374" s="43"/>
      <c r="D1374" s="43"/>
      <c r="E1374" s="43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</row>
    <row r="1375" hidden="1">
      <c r="A1375" s="43"/>
      <c r="B1375" s="43"/>
      <c r="C1375" s="43"/>
      <c r="D1375" s="43"/>
      <c r="E1375" s="43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43"/>
      <c r="Q1375" s="43"/>
      <c r="R1375" s="43"/>
      <c r="S1375" s="43"/>
      <c r="T1375" s="43"/>
      <c r="U1375" s="43"/>
      <c r="V1375" s="43"/>
      <c r="W1375" s="43"/>
      <c r="X1375" s="43"/>
      <c r="Y1375" s="43"/>
      <c r="Z1375" s="43"/>
    </row>
    <row r="1376" hidden="1">
      <c r="A1376" s="43"/>
      <c r="B1376" s="43"/>
      <c r="C1376" s="43"/>
      <c r="D1376" s="43"/>
      <c r="E1376" s="43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43"/>
      <c r="Q1376" s="43"/>
      <c r="R1376" s="43"/>
      <c r="S1376" s="43"/>
      <c r="T1376" s="43"/>
      <c r="U1376" s="43"/>
      <c r="V1376" s="43"/>
      <c r="W1376" s="43"/>
      <c r="X1376" s="43"/>
      <c r="Y1376" s="43"/>
      <c r="Z1376" s="43"/>
    </row>
    <row r="1377" hidden="1">
      <c r="A1377" s="43"/>
      <c r="B1377" s="43"/>
      <c r="C1377" s="43"/>
      <c r="D1377" s="43"/>
      <c r="E1377" s="43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43"/>
      <c r="Q1377" s="43"/>
      <c r="R1377" s="43"/>
      <c r="S1377" s="43"/>
      <c r="T1377" s="43"/>
      <c r="U1377" s="43"/>
      <c r="V1377" s="43"/>
      <c r="W1377" s="43"/>
      <c r="X1377" s="43"/>
      <c r="Y1377" s="43"/>
      <c r="Z1377" s="43"/>
    </row>
    <row r="1378" hidden="1">
      <c r="A1378" s="43"/>
      <c r="B1378" s="43"/>
      <c r="C1378" s="43"/>
      <c r="D1378" s="43"/>
      <c r="E1378" s="43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</row>
    <row r="1379" hidden="1">
      <c r="A1379" s="43"/>
      <c r="B1379" s="43"/>
      <c r="C1379" s="43"/>
      <c r="D1379" s="43"/>
      <c r="E1379" s="43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43"/>
      <c r="Q1379" s="43"/>
      <c r="R1379" s="43"/>
      <c r="S1379" s="43"/>
      <c r="T1379" s="43"/>
      <c r="U1379" s="43"/>
      <c r="V1379" s="43"/>
      <c r="W1379" s="43"/>
      <c r="X1379" s="43"/>
      <c r="Y1379" s="43"/>
      <c r="Z1379" s="43"/>
    </row>
    <row r="1380" hidden="1">
      <c r="A1380" s="43"/>
      <c r="B1380" s="43"/>
      <c r="C1380" s="43"/>
      <c r="D1380" s="43"/>
      <c r="E1380" s="43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</row>
    <row r="1381" hidden="1">
      <c r="A1381" s="43"/>
      <c r="B1381" s="43"/>
      <c r="C1381" s="43"/>
      <c r="D1381" s="43"/>
      <c r="E1381" s="43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43"/>
    </row>
    <row r="1382" hidden="1">
      <c r="A1382" s="43"/>
      <c r="B1382" s="43"/>
      <c r="C1382" s="43"/>
      <c r="D1382" s="43"/>
      <c r="E1382" s="43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</row>
    <row r="1383" hidden="1">
      <c r="A1383" s="43"/>
      <c r="B1383" s="43"/>
      <c r="C1383" s="43"/>
      <c r="D1383" s="43"/>
      <c r="E1383" s="43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43"/>
    </row>
    <row r="1384" hidden="1">
      <c r="A1384" s="43"/>
      <c r="B1384" s="43"/>
      <c r="C1384" s="43"/>
      <c r="D1384" s="43"/>
      <c r="E1384" s="43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43"/>
    </row>
    <row r="1385" hidden="1">
      <c r="A1385" s="43"/>
      <c r="B1385" s="43"/>
      <c r="C1385" s="43"/>
      <c r="D1385" s="43"/>
      <c r="E1385" s="43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43"/>
      <c r="Q1385" s="43"/>
      <c r="R1385" s="43"/>
      <c r="S1385" s="43"/>
      <c r="T1385" s="43"/>
      <c r="U1385" s="43"/>
      <c r="V1385" s="43"/>
      <c r="W1385" s="43"/>
      <c r="X1385" s="43"/>
      <c r="Y1385" s="43"/>
      <c r="Z1385" s="43"/>
    </row>
    <row r="1386" hidden="1">
      <c r="A1386" s="43"/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43"/>
    </row>
    <row r="1387" hidden="1">
      <c r="A1387" s="43"/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43"/>
      <c r="Q1387" s="43"/>
      <c r="R1387" s="43"/>
      <c r="S1387" s="43"/>
      <c r="T1387" s="43"/>
      <c r="U1387" s="43"/>
      <c r="V1387" s="43"/>
      <c r="W1387" s="43"/>
      <c r="X1387" s="43"/>
      <c r="Y1387" s="43"/>
      <c r="Z1387" s="43"/>
    </row>
    <row r="1388" hidden="1">
      <c r="A1388" s="43"/>
      <c r="B1388" s="43"/>
      <c r="C1388" s="43"/>
      <c r="D1388" s="43"/>
      <c r="E1388" s="43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43"/>
    </row>
    <row r="1389" hidden="1">
      <c r="A1389" s="43"/>
      <c r="B1389" s="43"/>
      <c r="C1389" s="43"/>
      <c r="D1389" s="43"/>
      <c r="E1389" s="43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43"/>
      <c r="Q1389" s="43"/>
      <c r="R1389" s="43"/>
      <c r="S1389" s="43"/>
      <c r="T1389" s="43"/>
      <c r="U1389" s="43"/>
      <c r="V1389" s="43"/>
      <c r="W1389" s="43"/>
      <c r="X1389" s="43"/>
      <c r="Y1389" s="43"/>
      <c r="Z1389" s="43"/>
    </row>
    <row r="1390" hidden="1">
      <c r="A1390" s="43"/>
      <c r="B1390" s="43"/>
      <c r="C1390" s="43"/>
      <c r="D1390" s="43"/>
      <c r="E1390" s="43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43"/>
      <c r="Q1390" s="43"/>
      <c r="R1390" s="43"/>
      <c r="S1390" s="43"/>
      <c r="T1390" s="43"/>
      <c r="U1390" s="43"/>
      <c r="V1390" s="43"/>
      <c r="W1390" s="43"/>
      <c r="X1390" s="43"/>
      <c r="Y1390" s="43"/>
      <c r="Z1390" s="43"/>
    </row>
    <row r="1391" hidden="1">
      <c r="A1391" s="43"/>
      <c r="B1391" s="43"/>
      <c r="C1391" s="43"/>
      <c r="D1391" s="43"/>
      <c r="E1391" s="43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43"/>
      <c r="Q1391" s="43"/>
      <c r="R1391" s="43"/>
      <c r="S1391" s="43"/>
      <c r="T1391" s="43"/>
      <c r="U1391" s="43"/>
      <c r="V1391" s="43"/>
      <c r="W1391" s="43"/>
      <c r="X1391" s="43"/>
      <c r="Y1391" s="43"/>
      <c r="Z1391" s="43"/>
    </row>
    <row r="1392" hidden="1">
      <c r="A1392" s="43"/>
      <c r="B1392" s="43"/>
      <c r="C1392" s="43"/>
      <c r="D1392" s="43"/>
      <c r="E1392" s="43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43"/>
    </row>
    <row r="1393" hidden="1">
      <c r="A1393" s="43"/>
      <c r="B1393" s="43"/>
      <c r="C1393" s="43"/>
      <c r="D1393" s="43"/>
      <c r="E1393" s="43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43"/>
      <c r="Q1393" s="43"/>
      <c r="R1393" s="43"/>
      <c r="S1393" s="43"/>
      <c r="T1393" s="43"/>
      <c r="U1393" s="43"/>
      <c r="V1393" s="43"/>
      <c r="W1393" s="43"/>
      <c r="X1393" s="43"/>
      <c r="Y1393" s="43"/>
      <c r="Z1393" s="43"/>
    </row>
    <row r="1394" hidden="1">
      <c r="A1394" s="43"/>
      <c r="B1394" s="43"/>
      <c r="C1394" s="43"/>
      <c r="D1394" s="43"/>
      <c r="E1394" s="43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43"/>
    </row>
    <row r="1395" hidden="1">
      <c r="A1395" s="43"/>
      <c r="B1395" s="43"/>
      <c r="C1395" s="43"/>
      <c r="D1395" s="43"/>
      <c r="E1395" s="43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43"/>
      <c r="Q1395" s="43"/>
      <c r="R1395" s="43"/>
      <c r="S1395" s="43"/>
      <c r="T1395" s="43"/>
      <c r="U1395" s="43"/>
      <c r="V1395" s="43"/>
      <c r="W1395" s="43"/>
      <c r="X1395" s="43"/>
      <c r="Y1395" s="43"/>
      <c r="Z1395" s="43"/>
    </row>
    <row r="1396" hidden="1">
      <c r="A1396" s="43"/>
      <c r="B1396" s="43"/>
      <c r="C1396" s="43"/>
      <c r="D1396" s="43"/>
      <c r="E1396" s="43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43"/>
    </row>
    <row r="1397" hidden="1">
      <c r="A1397" s="43"/>
      <c r="B1397" s="43"/>
      <c r="C1397" s="43"/>
      <c r="D1397" s="43"/>
      <c r="E1397" s="43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43"/>
      <c r="Q1397" s="43"/>
      <c r="R1397" s="43"/>
      <c r="S1397" s="43"/>
      <c r="T1397" s="43"/>
      <c r="U1397" s="43"/>
      <c r="V1397" s="43"/>
      <c r="W1397" s="43"/>
      <c r="X1397" s="43"/>
      <c r="Y1397" s="43"/>
      <c r="Z1397" s="43"/>
    </row>
    <row r="1398" hidden="1">
      <c r="A1398" s="43"/>
      <c r="B1398" s="43"/>
      <c r="C1398" s="43"/>
      <c r="D1398" s="43"/>
      <c r="E1398" s="43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43"/>
    </row>
    <row r="1399" hidden="1">
      <c r="A1399" s="43"/>
      <c r="B1399" s="43"/>
      <c r="C1399" s="43"/>
      <c r="D1399" s="43"/>
      <c r="E1399" s="43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43"/>
      <c r="Q1399" s="43"/>
      <c r="R1399" s="43"/>
      <c r="S1399" s="43"/>
      <c r="T1399" s="43"/>
      <c r="U1399" s="43"/>
      <c r="V1399" s="43"/>
      <c r="W1399" s="43"/>
      <c r="X1399" s="43"/>
      <c r="Y1399" s="43"/>
      <c r="Z1399" s="43"/>
    </row>
    <row r="1400" hidden="1">
      <c r="A1400" s="43"/>
      <c r="B1400" s="43"/>
      <c r="C1400" s="43"/>
      <c r="D1400" s="43"/>
      <c r="E1400" s="43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43"/>
    </row>
    <row r="1401" hidden="1">
      <c r="A1401" s="43"/>
      <c r="B1401" s="43"/>
      <c r="C1401" s="43"/>
      <c r="D1401" s="43"/>
      <c r="E1401" s="43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43"/>
      <c r="Q1401" s="43"/>
      <c r="R1401" s="43"/>
      <c r="S1401" s="43"/>
      <c r="T1401" s="43"/>
      <c r="U1401" s="43"/>
      <c r="V1401" s="43"/>
      <c r="W1401" s="43"/>
      <c r="X1401" s="43"/>
      <c r="Y1401" s="43"/>
      <c r="Z1401" s="43"/>
    </row>
    <row r="1402" hidden="1">
      <c r="A1402" s="43"/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43"/>
    </row>
    <row r="1403" hidden="1">
      <c r="A1403" s="43"/>
      <c r="B1403" s="43"/>
      <c r="C1403" s="43"/>
      <c r="D1403" s="43"/>
      <c r="E1403" s="43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43"/>
    </row>
    <row r="1404" hidden="1">
      <c r="A1404" s="43"/>
      <c r="B1404" s="43"/>
      <c r="C1404" s="43"/>
      <c r="D1404" s="43"/>
      <c r="E1404" s="43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43"/>
    </row>
    <row r="1405" hidden="1">
      <c r="A1405" s="43"/>
      <c r="B1405" s="43"/>
      <c r="C1405" s="43"/>
      <c r="D1405" s="43"/>
      <c r="E1405" s="43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43"/>
      <c r="Q1405" s="43"/>
      <c r="R1405" s="43"/>
      <c r="S1405" s="43"/>
      <c r="T1405" s="43"/>
      <c r="U1405" s="43"/>
      <c r="V1405" s="43"/>
      <c r="W1405" s="43"/>
      <c r="X1405" s="43"/>
      <c r="Y1405" s="43"/>
      <c r="Z1405" s="43"/>
    </row>
    <row r="1406" hidden="1">
      <c r="A1406" s="43"/>
      <c r="B1406" s="43"/>
      <c r="C1406" s="43"/>
      <c r="D1406" s="43"/>
      <c r="E1406" s="43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43"/>
      <c r="Q1406" s="43"/>
      <c r="R1406" s="43"/>
      <c r="S1406" s="43"/>
      <c r="T1406" s="43"/>
      <c r="U1406" s="43"/>
      <c r="V1406" s="43"/>
      <c r="W1406" s="43"/>
      <c r="X1406" s="43"/>
      <c r="Y1406" s="43"/>
      <c r="Z1406" s="43"/>
    </row>
    <row r="1407" hidden="1">
      <c r="A1407" s="43"/>
      <c r="B1407" s="43"/>
      <c r="C1407" s="43"/>
      <c r="D1407" s="43"/>
      <c r="E1407" s="43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43"/>
      <c r="Q1407" s="43"/>
      <c r="R1407" s="43"/>
      <c r="S1407" s="43"/>
      <c r="T1407" s="43"/>
      <c r="U1407" s="43"/>
      <c r="V1407" s="43"/>
      <c r="W1407" s="43"/>
      <c r="X1407" s="43"/>
      <c r="Y1407" s="43"/>
      <c r="Z1407" s="43"/>
    </row>
    <row r="1408" hidden="1">
      <c r="A1408" s="43"/>
      <c r="B1408" s="43"/>
      <c r="C1408" s="43"/>
      <c r="D1408" s="43"/>
      <c r="E1408" s="43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43"/>
    </row>
    <row r="1409" hidden="1">
      <c r="A1409" s="43"/>
      <c r="B1409" s="43"/>
      <c r="C1409" s="43"/>
      <c r="D1409" s="43"/>
      <c r="E1409" s="43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43"/>
      <c r="Q1409" s="43"/>
      <c r="R1409" s="43"/>
      <c r="S1409" s="43"/>
      <c r="T1409" s="43"/>
      <c r="U1409" s="43"/>
      <c r="V1409" s="43"/>
      <c r="W1409" s="43"/>
      <c r="X1409" s="43"/>
      <c r="Y1409" s="43"/>
      <c r="Z1409" s="43"/>
    </row>
    <row r="1410" hidden="1">
      <c r="A1410" s="43"/>
      <c r="B1410" s="43"/>
      <c r="C1410" s="43"/>
      <c r="D1410" s="43"/>
      <c r="E1410" s="43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43"/>
    </row>
    <row r="1411" hidden="1">
      <c r="A1411" s="43"/>
      <c r="B1411" s="43"/>
      <c r="C1411" s="43"/>
      <c r="D1411" s="43"/>
      <c r="E1411" s="43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43"/>
      <c r="Q1411" s="43"/>
      <c r="R1411" s="43"/>
      <c r="S1411" s="43"/>
      <c r="T1411" s="43"/>
      <c r="U1411" s="43"/>
      <c r="V1411" s="43"/>
      <c r="W1411" s="43"/>
      <c r="X1411" s="43"/>
      <c r="Y1411" s="43"/>
      <c r="Z1411" s="43"/>
    </row>
    <row r="1412" hidden="1">
      <c r="A1412" s="43"/>
      <c r="B1412" s="43"/>
      <c r="C1412" s="43"/>
      <c r="D1412" s="43"/>
      <c r="E1412" s="43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43"/>
    </row>
    <row r="1413" hidden="1">
      <c r="A1413" s="43"/>
      <c r="B1413" s="43"/>
      <c r="C1413" s="43"/>
      <c r="D1413" s="43"/>
      <c r="E1413" s="43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43"/>
      <c r="Q1413" s="43"/>
      <c r="R1413" s="43"/>
      <c r="S1413" s="43"/>
      <c r="T1413" s="43"/>
      <c r="U1413" s="43"/>
      <c r="V1413" s="43"/>
      <c r="W1413" s="43"/>
      <c r="X1413" s="43"/>
      <c r="Y1413" s="43"/>
      <c r="Z1413" s="43"/>
    </row>
    <row r="1414" hidden="1">
      <c r="A1414" s="43"/>
      <c r="B1414" s="43"/>
      <c r="C1414" s="43"/>
      <c r="D1414" s="43"/>
      <c r="E1414" s="43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43"/>
    </row>
    <row r="1415" hidden="1">
      <c r="A1415" s="43"/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43"/>
      <c r="Q1415" s="43"/>
      <c r="R1415" s="43"/>
      <c r="S1415" s="43"/>
      <c r="T1415" s="43"/>
      <c r="U1415" s="43"/>
      <c r="V1415" s="43"/>
      <c r="W1415" s="43"/>
      <c r="X1415" s="43"/>
      <c r="Y1415" s="43"/>
      <c r="Z1415" s="43"/>
    </row>
    <row r="1416" hidden="1">
      <c r="A1416" s="43"/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43"/>
    </row>
    <row r="1417" hidden="1">
      <c r="A1417" s="43"/>
      <c r="B1417" s="43"/>
      <c r="C1417" s="43"/>
      <c r="D1417" s="43"/>
      <c r="E1417" s="43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43"/>
      <c r="Q1417" s="43"/>
      <c r="R1417" s="43"/>
      <c r="S1417" s="43"/>
      <c r="T1417" s="43"/>
      <c r="U1417" s="43"/>
      <c r="V1417" s="43"/>
      <c r="W1417" s="43"/>
      <c r="X1417" s="43"/>
      <c r="Y1417" s="43"/>
      <c r="Z1417" s="43"/>
    </row>
    <row r="1418" hidden="1">
      <c r="A1418" s="43"/>
      <c r="B1418" s="43"/>
      <c r="C1418" s="43"/>
      <c r="D1418" s="43"/>
      <c r="E1418" s="43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43"/>
    </row>
    <row r="1419" hidden="1">
      <c r="A1419" s="43"/>
      <c r="B1419" s="43"/>
      <c r="C1419" s="43"/>
      <c r="D1419" s="43"/>
      <c r="E1419" s="43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43"/>
      <c r="Q1419" s="43"/>
      <c r="R1419" s="43"/>
      <c r="S1419" s="43"/>
      <c r="T1419" s="43"/>
      <c r="U1419" s="43"/>
      <c r="V1419" s="43"/>
      <c r="W1419" s="43"/>
      <c r="X1419" s="43"/>
      <c r="Y1419" s="43"/>
      <c r="Z1419" s="43"/>
    </row>
    <row r="1420" hidden="1">
      <c r="A1420" s="43"/>
      <c r="B1420" s="43"/>
      <c r="C1420" s="43"/>
      <c r="D1420" s="43"/>
      <c r="E1420" s="43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43"/>
    </row>
    <row r="1421" hidden="1">
      <c r="A1421" s="43"/>
      <c r="B1421" s="43"/>
      <c r="C1421" s="43"/>
      <c r="D1421" s="43"/>
      <c r="E1421" s="43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43"/>
      <c r="Q1421" s="43"/>
      <c r="R1421" s="43"/>
      <c r="S1421" s="43"/>
      <c r="T1421" s="43"/>
      <c r="U1421" s="43"/>
      <c r="V1421" s="43"/>
      <c r="W1421" s="43"/>
      <c r="X1421" s="43"/>
      <c r="Y1421" s="43"/>
      <c r="Z1421" s="43"/>
    </row>
    <row r="1422" hidden="1">
      <c r="A1422" s="43"/>
      <c r="B1422" s="43"/>
      <c r="C1422" s="43"/>
      <c r="D1422" s="43"/>
      <c r="E1422" s="43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43"/>
    </row>
    <row r="1423" hidden="1">
      <c r="A1423" s="43"/>
      <c r="B1423" s="43"/>
      <c r="C1423" s="43"/>
      <c r="D1423" s="43"/>
      <c r="E1423" s="43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43"/>
      <c r="Q1423" s="43"/>
      <c r="R1423" s="43"/>
      <c r="S1423" s="43"/>
      <c r="T1423" s="43"/>
      <c r="U1423" s="43"/>
      <c r="V1423" s="43"/>
      <c r="W1423" s="43"/>
      <c r="X1423" s="43"/>
      <c r="Y1423" s="43"/>
      <c r="Z1423" s="43"/>
    </row>
    <row r="1424" hidden="1">
      <c r="A1424" s="43"/>
      <c r="B1424" s="43"/>
      <c r="C1424" s="43"/>
      <c r="D1424" s="43"/>
      <c r="E1424" s="43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43"/>
    </row>
    <row r="1425" hidden="1">
      <c r="A1425" s="43"/>
      <c r="B1425" s="43"/>
      <c r="C1425" s="43"/>
      <c r="D1425" s="43"/>
      <c r="E1425" s="43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43"/>
      <c r="Q1425" s="43"/>
      <c r="R1425" s="43"/>
      <c r="S1425" s="43"/>
      <c r="T1425" s="43"/>
      <c r="U1425" s="43"/>
      <c r="V1425" s="43"/>
      <c r="W1425" s="43"/>
      <c r="X1425" s="43"/>
      <c r="Y1425" s="43"/>
      <c r="Z1425" s="43"/>
    </row>
    <row r="1426" hidden="1">
      <c r="A1426" s="43"/>
      <c r="B1426" s="43"/>
      <c r="C1426" s="43"/>
      <c r="D1426" s="43"/>
      <c r="E1426" s="43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43"/>
    </row>
    <row r="1427" hidden="1">
      <c r="A1427" s="43"/>
      <c r="B1427" s="43"/>
      <c r="C1427" s="43"/>
      <c r="D1427" s="43"/>
      <c r="E1427" s="43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43"/>
      <c r="Q1427" s="43"/>
      <c r="R1427" s="43"/>
      <c r="S1427" s="43"/>
      <c r="T1427" s="43"/>
      <c r="U1427" s="43"/>
      <c r="V1427" s="43"/>
      <c r="W1427" s="43"/>
      <c r="X1427" s="43"/>
      <c r="Y1427" s="43"/>
      <c r="Z1427" s="43"/>
    </row>
    <row r="1428" hidden="1">
      <c r="A1428" s="43"/>
      <c r="B1428" s="43"/>
      <c r="C1428" s="43"/>
      <c r="D1428" s="43"/>
      <c r="E1428" s="43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43"/>
    </row>
    <row r="1429" hidden="1">
      <c r="A1429" s="43"/>
      <c r="B1429" s="43"/>
      <c r="C1429" s="43"/>
      <c r="D1429" s="43"/>
      <c r="E1429" s="43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43"/>
      <c r="Q1429" s="43"/>
      <c r="R1429" s="43"/>
      <c r="S1429" s="43"/>
      <c r="T1429" s="43"/>
      <c r="U1429" s="43"/>
      <c r="V1429" s="43"/>
      <c r="W1429" s="43"/>
      <c r="X1429" s="43"/>
      <c r="Y1429" s="43"/>
      <c r="Z1429" s="43"/>
    </row>
    <row r="1430" hidden="1">
      <c r="A1430" s="43"/>
      <c r="B1430" s="43"/>
      <c r="C1430" s="43"/>
      <c r="D1430" s="43"/>
      <c r="E1430" s="43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43"/>
      <c r="Q1430" s="43"/>
      <c r="R1430" s="43"/>
      <c r="S1430" s="43"/>
      <c r="T1430" s="43"/>
      <c r="U1430" s="43"/>
      <c r="V1430" s="43"/>
      <c r="W1430" s="43"/>
      <c r="X1430" s="43"/>
      <c r="Y1430" s="43"/>
      <c r="Z1430" s="43"/>
    </row>
    <row r="1431" hidden="1">
      <c r="A1431" s="43"/>
      <c r="B1431" s="43"/>
      <c r="C1431" s="43"/>
      <c r="D1431" s="43"/>
      <c r="E1431" s="43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43"/>
      <c r="Q1431" s="43"/>
      <c r="R1431" s="43"/>
      <c r="S1431" s="43"/>
      <c r="T1431" s="43"/>
      <c r="U1431" s="43"/>
      <c r="V1431" s="43"/>
      <c r="W1431" s="43"/>
      <c r="X1431" s="43"/>
      <c r="Y1431" s="43"/>
      <c r="Z1431" s="43"/>
    </row>
    <row r="1432" hidden="1">
      <c r="A1432" s="43"/>
      <c r="B1432" s="43"/>
      <c r="C1432" s="43"/>
      <c r="D1432" s="43"/>
      <c r="E1432" s="43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43"/>
      <c r="Q1432" s="43"/>
      <c r="R1432" s="43"/>
      <c r="S1432" s="43"/>
      <c r="T1432" s="43"/>
      <c r="U1432" s="43"/>
      <c r="V1432" s="43"/>
      <c r="W1432" s="43"/>
      <c r="X1432" s="43"/>
      <c r="Y1432" s="43"/>
      <c r="Z1432" s="43"/>
    </row>
    <row r="1433" hidden="1">
      <c r="A1433" s="43"/>
      <c r="B1433" s="43"/>
      <c r="C1433" s="43"/>
      <c r="D1433" s="43"/>
      <c r="E1433" s="43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43"/>
      <c r="Q1433" s="43"/>
      <c r="R1433" s="43"/>
      <c r="S1433" s="43"/>
      <c r="T1433" s="43"/>
      <c r="U1433" s="43"/>
      <c r="V1433" s="43"/>
      <c r="W1433" s="43"/>
      <c r="X1433" s="43"/>
      <c r="Y1433" s="43"/>
      <c r="Z1433" s="43"/>
    </row>
    <row r="1434" hidden="1">
      <c r="A1434" s="43"/>
      <c r="B1434" s="43"/>
      <c r="C1434" s="43"/>
      <c r="D1434" s="43"/>
      <c r="E1434" s="43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43"/>
      <c r="Q1434" s="43"/>
      <c r="R1434" s="43"/>
      <c r="S1434" s="43"/>
      <c r="T1434" s="43"/>
      <c r="U1434" s="43"/>
      <c r="V1434" s="43"/>
      <c r="W1434" s="43"/>
      <c r="X1434" s="43"/>
      <c r="Y1434" s="43"/>
      <c r="Z1434" s="43"/>
    </row>
    <row r="1435" hidden="1">
      <c r="A1435" s="43"/>
      <c r="B1435" s="43"/>
      <c r="C1435" s="43"/>
      <c r="D1435" s="43"/>
      <c r="E1435" s="43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43"/>
      <c r="Q1435" s="43"/>
      <c r="R1435" s="43"/>
      <c r="S1435" s="43"/>
      <c r="T1435" s="43"/>
      <c r="U1435" s="43"/>
      <c r="V1435" s="43"/>
      <c r="W1435" s="43"/>
      <c r="X1435" s="43"/>
      <c r="Y1435" s="43"/>
      <c r="Z1435" s="43"/>
    </row>
    <row r="1436" hidden="1">
      <c r="A1436" s="43"/>
      <c r="B1436" s="43"/>
      <c r="C1436" s="43"/>
      <c r="D1436" s="43"/>
      <c r="E1436" s="43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43"/>
    </row>
    <row r="1437" hidden="1">
      <c r="A1437" s="43"/>
      <c r="B1437" s="43"/>
      <c r="C1437" s="43"/>
      <c r="D1437" s="43"/>
      <c r="E1437" s="43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43"/>
      <c r="Q1437" s="43"/>
      <c r="R1437" s="43"/>
      <c r="S1437" s="43"/>
      <c r="T1437" s="43"/>
      <c r="U1437" s="43"/>
      <c r="V1437" s="43"/>
      <c r="W1437" s="43"/>
      <c r="X1437" s="43"/>
      <c r="Y1437" s="43"/>
      <c r="Z1437" s="43"/>
    </row>
    <row r="1438" hidden="1">
      <c r="A1438" s="43"/>
      <c r="B1438" s="43"/>
      <c r="C1438" s="43"/>
      <c r="D1438" s="43"/>
      <c r="E1438" s="43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43"/>
    </row>
    <row r="1439" hidden="1">
      <c r="A1439" s="43"/>
      <c r="B1439" s="43"/>
      <c r="C1439" s="43"/>
      <c r="D1439" s="43"/>
      <c r="E1439" s="43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43"/>
      <c r="Q1439" s="43"/>
      <c r="R1439" s="43"/>
      <c r="S1439" s="43"/>
      <c r="T1439" s="43"/>
      <c r="U1439" s="43"/>
      <c r="V1439" s="43"/>
      <c r="W1439" s="43"/>
      <c r="X1439" s="43"/>
      <c r="Y1439" s="43"/>
      <c r="Z1439" s="43"/>
    </row>
    <row r="1440" hidden="1">
      <c r="A1440" s="43"/>
      <c r="B1440" s="43"/>
      <c r="C1440" s="43"/>
      <c r="D1440" s="43"/>
      <c r="E1440" s="43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43"/>
    </row>
    <row r="1441" hidden="1">
      <c r="A1441" s="43"/>
      <c r="B1441" s="43"/>
      <c r="C1441" s="43"/>
      <c r="D1441" s="43"/>
      <c r="E1441" s="43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43"/>
      <c r="Q1441" s="43"/>
      <c r="R1441" s="43"/>
      <c r="S1441" s="43"/>
      <c r="T1441" s="43"/>
      <c r="U1441" s="43"/>
      <c r="V1441" s="43"/>
      <c r="W1441" s="43"/>
      <c r="X1441" s="43"/>
      <c r="Y1441" s="43"/>
      <c r="Z1441" s="43"/>
    </row>
    <row r="1442" hidden="1">
      <c r="A1442" s="43"/>
      <c r="B1442" s="43"/>
      <c r="C1442" s="43"/>
      <c r="D1442" s="43"/>
      <c r="E1442" s="43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43"/>
      <c r="Q1442" s="43"/>
      <c r="R1442" s="43"/>
      <c r="S1442" s="43"/>
      <c r="T1442" s="43"/>
      <c r="U1442" s="43"/>
      <c r="V1442" s="43"/>
      <c r="W1442" s="43"/>
      <c r="X1442" s="43"/>
      <c r="Y1442" s="43"/>
      <c r="Z1442" s="43"/>
    </row>
    <row r="1443" hidden="1">
      <c r="A1443" s="43"/>
      <c r="B1443" s="43"/>
      <c r="C1443" s="43"/>
      <c r="D1443" s="43"/>
      <c r="E1443" s="43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43"/>
      <c r="Q1443" s="43"/>
      <c r="R1443" s="43"/>
      <c r="S1443" s="43"/>
      <c r="T1443" s="43"/>
      <c r="U1443" s="43"/>
      <c r="V1443" s="43"/>
      <c r="W1443" s="43"/>
      <c r="X1443" s="43"/>
      <c r="Y1443" s="43"/>
      <c r="Z1443" s="43"/>
    </row>
    <row r="1444" hidden="1">
      <c r="A1444" s="43"/>
      <c r="B1444" s="43"/>
      <c r="C1444" s="43"/>
      <c r="D1444" s="43"/>
      <c r="E1444" s="43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43"/>
    </row>
    <row r="1445" hidden="1">
      <c r="A1445" s="43"/>
      <c r="B1445" s="43"/>
      <c r="C1445" s="43"/>
      <c r="D1445" s="43"/>
      <c r="E1445" s="43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43"/>
      <c r="Q1445" s="43"/>
      <c r="R1445" s="43"/>
      <c r="S1445" s="43"/>
      <c r="T1445" s="43"/>
      <c r="U1445" s="43"/>
      <c r="V1445" s="43"/>
      <c r="W1445" s="43"/>
      <c r="X1445" s="43"/>
      <c r="Y1445" s="43"/>
      <c r="Z1445" s="43"/>
    </row>
    <row r="1446" hidden="1">
      <c r="A1446" s="43"/>
      <c r="B1446" s="43"/>
      <c r="C1446" s="43"/>
      <c r="D1446" s="43"/>
      <c r="E1446" s="43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43"/>
    </row>
    <row r="1447" hidden="1">
      <c r="A1447" s="43"/>
      <c r="B1447" s="43"/>
      <c r="C1447" s="43"/>
      <c r="D1447" s="43"/>
      <c r="E1447" s="43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43"/>
      <c r="Q1447" s="43"/>
      <c r="R1447" s="43"/>
      <c r="S1447" s="43"/>
      <c r="T1447" s="43"/>
      <c r="U1447" s="43"/>
      <c r="V1447" s="43"/>
      <c r="W1447" s="43"/>
      <c r="X1447" s="43"/>
      <c r="Y1447" s="43"/>
      <c r="Z1447" s="43"/>
    </row>
    <row r="1448" hidden="1">
      <c r="A1448" s="43"/>
      <c r="B1448" s="43"/>
      <c r="C1448" s="43"/>
      <c r="D1448" s="43"/>
      <c r="E1448" s="43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43"/>
    </row>
    <row r="1449" hidden="1">
      <c r="A1449" s="43"/>
      <c r="B1449" s="43"/>
      <c r="C1449" s="43"/>
      <c r="D1449" s="43"/>
      <c r="E1449" s="43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43"/>
      <c r="Q1449" s="43"/>
      <c r="R1449" s="43"/>
      <c r="S1449" s="43"/>
      <c r="T1449" s="43"/>
      <c r="U1449" s="43"/>
      <c r="V1449" s="43"/>
      <c r="W1449" s="43"/>
      <c r="X1449" s="43"/>
      <c r="Y1449" s="43"/>
      <c r="Z1449" s="43"/>
    </row>
    <row r="1450" hidden="1">
      <c r="A1450" s="43"/>
      <c r="B1450" s="43"/>
      <c r="C1450" s="43"/>
      <c r="D1450" s="43"/>
      <c r="E1450" s="43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43"/>
    </row>
    <row r="1451" hidden="1">
      <c r="A1451" s="43"/>
      <c r="B1451" s="43"/>
      <c r="C1451" s="43"/>
      <c r="D1451" s="43"/>
      <c r="E1451" s="43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43"/>
      <c r="Q1451" s="43"/>
      <c r="R1451" s="43"/>
      <c r="S1451" s="43"/>
      <c r="T1451" s="43"/>
      <c r="U1451" s="43"/>
      <c r="V1451" s="43"/>
      <c r="W1451" s="43"/>
      <c r="X1451" s="43"/>
      <c r="Y1451" s="43"/>
      <c r="Z1451" s="43"/>
    </row>
    <row r="1452" hidden="1">
      <c r="A1452" s="43"/>
      <c r="B1452" s="43"/>
      <c r="C1452" s="43"/>
      <c r="D1452" s="43"/>
      <c r="E1452" s="43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43"/>
    </row>
    <row r="1453" hidden="1">
      <c r="A1453" s="43"/>
      <c r="B1453" s="43"/>
      <c r="C1453" s="43"/>
      <c r="D1453" s="43"/>
      <c r="E1453" s="43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43"/>
      <c r="Q1453" s="43"/>
      <c r="R1453" s="43"/>
      <c r="S1453" s="43"/>
      <c r="T1453" s="43"/>
      <c r="U1453" s="43"/>
      <c r="V1453" s="43"/>
      <c r="W1453" s="43"/>
      <c r="X1453" s="43"/>
      <c r="Y1453" s="43"/>
      <c r="Z1453" s="43"/>
    </row>
    <row r="1454" hidden="1">
      <c r="A1454" s="43"/>
      <c r="B1454" s="43"/>
      <c r="C1454" s="43"/>
      <c r="D1454" s="43"/>
      <c r="E1454" s="43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43"/>
    </row>
    <row r="1455" hidden="1">
      <c r="A1455" s="43"/>
      <c r="B1455" s="43"/>
      <c r="C1455" s="43"/>
      <c r="D1455" s="43"/>
      <c r="E1455" s="43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43"/>
      <c r="Q1455" s="43"/>
      <c r="R1455" s="43"/>
      <c r="S1455" s="43"/>
      <c r="T1455" s="43"/>
      <c r="U1455" s="43"/>
      <c r="V1455" s="43"/>
      <c r="W1455" s="43"/>
      <c r="X1455" s="43"/>
      <c r="Y1455" s="43"/>
      <c r="Z1455" s="43"/>
    </row>
    <row r="1456" hidden="1">
      <c r="A1456" s="43"/>
      <c r="B1456" s="43"/>
      <c r="C1456" s="43"/>
      <c r="D1456" s="43"/>
      <c r="E1456" s="43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43"/>
      <c r="Q1456" s="43"/>
      <c r="R1456" s="43"/>
      <c r="S1456" s="43"/>
      <c r="T1456" s="43"/>
      <c r="U1456" s="43"/>
      <c r="V1456" s="43"/>
      <c r="W1456" s="43"/>
      <c r="X1456" s="43"/>
      <c r="Y1456" s="43"/>
      <c r="Z1456" s="43"/>
    </row>
    <row r="1457" hidden="1">
      <c r="A1457" s="43"/>
      <c r="B1457" s="43"/>
      <c r="C1457" s="43"/>
      <c r="D1457" s="43"/>
      <c r="E1457" s="43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43"/>
      <c r="Q1457" s="43"/>
      <c r="R1457" s="43"/>
      <c r="S1457" s="43"/>
      <c r="T1457" s="43"/>
      <c r="U1457" s="43"/>
      <c r="V1457" s="43"/>
      <c r="W1457" s="43"/>
      <c r="X1457" s="43"/>
      <c r="Y1457" s="43"/>
      <c r="Z1457" s="43"/>
    </row>
    <row r="1458" hidden="1">
      <c r="A1458" s="43"/>
      <c r="B1458" s="43"/>
      <c r="C1458" s="43"/>
      <c r="D1458" s="43"/>
      <c r="E1458" s="43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43"/>
    </row>
    <row r="1459" hidden="1">
      <c r="A1459" s="43"/>
      <c r="B1459" s="43"/>
      <c r="C1459" s="43"/>
      <c r="D1459" s="43"/>
      <c r="E1459" s="43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43"/>
      <c r="Q1459" s="43"/>
      <c r="R1459" s="43"/>
      <c r="S1459" s="43"/>
      <c r="T1459" s="43"/>
      <c r="U1459" s="43"/>
      <c r="V1459" s="43"/>
      <c r="W1459" s="43"/>
      <c r="X1459" s="43"/>
      <c r="Y1459" s="43"/>
      <c r="Z1459" s="43"/>
    </row>
    <row r="1460" hidden="1">
      <c r="A1460" s="43"/>
      <c r="B1460" s="43"/>
      <c r="C1460" s="43"/>
      <c r="D1460" s="43"/>
      <c r="E1460" s="43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43"/>
    </row>
    <row r="1461" hidden="1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43"/>
      <c r="Q1461" s="43"/>
      <c r="R1461" s="43"/>
      <c r="S1461" s="43"/>
      <c r="T1461" s="43"/>
      <c r="U1461" s="43"/>
      <c r="V1461" s="43"/>
      <c r="W1461" s="43"/>
      <c r="X1461" s="43"/>
      <c r="Y1461" s="43"/>
      <c r="Z1461" s="43"/>
    </row>
    <row r="1462" hidden="1">
      <c r="A1462" s="43"/>
      <c r="B1462" s="43"/>
      <c r="C1462" s="43"/>
      <c r="D1462" s="43"/>
      <c r="E1462" s="43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43"/>
    </row>
    <row r="1463" hidden="1">
      <c r="A1463" s="43"/>
      <c r="B1463" s="43"/>
      <c r="C1463" s="43"/>
      <c r="D1463" s="43"/>
      <c r="E1463" s="43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43"/>
      <c r="Q1463" s="43"/>
      <c r="R1463" s="43"/>
      <c r="S1463" s="43"/>
      <c r="T1463" s="43"/>
      <c r="U1463" s="43"/>
      <c r="V1463" s="43"/>
      <c r="W1463" s="43"/>
      <c r="X1463" s="43"/>
      <c r="Y1463" s="43"/>
      <c r="Z1463" s="43"/>
    </row>
    <row r="1464" hidden="1">
      <c r="A1464" s="43"/>
      <c r="B1464" s="43"/>
      <c r="C1464" s="43"/>
      <c r="D1464" s="43"/>
      <c r="E1464" s="43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43"/>
      <c r="Q1464" s="43"/>
      <c r="R1464" s="43"/>
      <c r="S1464" s="43"/>
      <c r="T1464" s="43"/>
      <c r="U1464" s="43"/>
      <c r="V1464" s="43"/>
      <c r="W1464" s="43"/>
      <c r="X1464" s="43"/>
      <c r="Y1464" s="43"/>
      <c r="Z1464" s="43"/>
    </row>
    <row r="1465" hidden="1">
      <c r="A1465" s="43"/>
      <c r="B1465" s="43"/>
      <c r="C1465" s="43"/>
      <c r="D1465" s="43"/>
      <c r="E1465" s="43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43"/>
      <c r="Q1465" s="43"/>
      <c r="R1465" s="43"/>
      <c r="S1465" s="43"/>
      <c r="T1465" s="43"/>
      <c r="U1465" s="43"/>
      <c r="V1465" s="43"/>
      <c r="W1465" s="43"/>
      <c r="X1465" s="43"/>
      <c r="Y1465" s="43"/>
      <c r="Z1465" s="43"/>
    </row>
    <row r="1466" hidden="1">
      <c r="A1466" s="43"/>
      <c r="B1466" s="43"/>
      <c r="C1466" s="43"/>
      <c r="D1466" s="43"/>
      <c r="E1466" s="43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43"/>
    </row>
    <row r="1467" hidden="1">
      <c r="A1467" s="43"/>
      <c r="B1467" s="43"/>
      <c r="C1467" s="43"/>
      <c r="D1467" s="43"/>
      <c r="E1467" s="43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43"/>
      <c r="Q1467" s="43"/>
      <c r="R1467" s="43"/>
      <c r="S1467" s="43"/>
      <c r="T1467" s="43"/>
      <c r="U1467" s="43"/>
      <c r="V1467" s="43"/>
      <c r="W1467" s="43"/>
      <c r="X1467" s="43"/>
      <c r="Y1467" s="43"/>
      <c r="Z1467" s="43"/>
    </row>
    <row r="1468" hidden="1">
      <c r="A1468" s="43"/>
      <c r="B1468" s="43"/>
      <c r="C1468" s="43"/>
      <c r="D1468" s="43"/>
      <c r="E1468" s="43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43"/>
      <c r="Q1468" s="43"/>
      <c r="R1468" s="43"/>
      <c r="S1468" s="43"/>
      <c r="T1468" s="43"/>
      <c r="U1468" s="43"/>
      <c r="V1468" s="43"/>
      <c r="W1468" s="43"/>
      <c r="X1468" s="43"/>
      <c r="Y1468" s="43"/>
      <c r="Z1468" s="43"/>
    </row>
    <row r="1469" hidden="1">
      <c r="A1469" s="43"/>
      <c r="B1469" s="43"/>
      <c r="C1469" s="43"/>
      <c r="D1469" s="43"/>
      <c r="E1469" s="43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43"/>
      <c r="Q1469" s="43"/>
      <c r="R1469" s="43"/>
      <c r="S1469" s="43"/>
      <c r="T1469" s="43"/>
      <c r="U1469" s="43"/>
      <c r="V1469" s="43"/>
      <c r="W1469" s="43"/>
      <c r="X1469" s="43"/>
      <c r="Y1469" s="43"/>
      <c r="Z1469" s="43"/>
    </row>
    <row r="1470" hidden="1">
      <c r="A1470" s="43"/>
      <c r="B1470" s="43"/>
      <c r="C1470" s="43"/>
      <c r="D1470" s="43"/>
      <c r="E1470" s="43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43"/>
    </row>
    <row r="1471" hidden="1">
      <c r="A1471" s="43"/>
      <c r="B1471" s="43"/>
      <c r="C1471" s="43"/>
      <c r="D1471" s="43"/>
      <c r="E1471" s="43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43"/>
      <c r="Q1471" s="43"/>
      <c r="R1471" s="43"/>
      <c r="S1471" s="43"/>
      <c r="T1471" s="43"/>
      <c r="U1471" s="43"/>
      <c r="V1471" s="43"/>
      <c r="W1471" s="43"/>
      <c r="X1471" s="43"/>
      <c r="Y1471" s="43"/>
      <c r="Z1471" s="43"/>
    </row>
    <row r="1472" hidden="1">
      <c r="A1472" s="43"/>
      <c r="B1472" s="43"/>
      <c r="C1472" s="43"/>
      <c r="D1472" s="43"/>
      <c r="E1472" s="43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43"/>
    </row>
    <row r="1473" hidden="1">
      <c r="A1473" s="43"/>
      <c r="B1473" s="43"/>
      <c r="C1473" s="43"/>
      <c r="D1473" s="43"/>
      <c r="E1473" s="43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43"/>
      <c r="Q1473" s="43"/>
      <c r="R1473" s="43"/>
      <c r="S1473" s="43"/>
      <c r="T1473" s="43"/>
      <c r="U1473" s="43"/>
      <c r="V1473" s="43"/>
      <c r="W1473" s="43"/>
      <c r="X1473" s="43"/>
      <c r="Y1473" s="43"/>
      <c r="Z1473" s="43"/>
    </row>
    <row r="1474" hidden="1">
      <c r="A1474" s="43"/>
      <c r="B1474" s="43"/>
      <c r="C1474" s="43"/>
      <c r="D1474" s="43"/>
      <c r="E1474" s="43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43"/>
    </row>
    <row r="1475" hidden="1">
      <c r="A1475" s="43"/>
      <c r="B1475" s="43"/>
      <c r="C1475" s="43"/>
      <c r="D1475" s="43"/>
      <c r="E1475" s="43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43"/>
      <c r="Q1475" s="43"/>
      <c r="R1475" s="43"/>
      <c r="S1475" s="43"/>
      <c r="T1475" s="43"/>
      <c r="U1475" s="43"/>
      <c r="V1475" s="43"/>
      <c r="W1475" s="43"/>
      <c r="X1475" s="43"/>
      <c r="Y1475" s="43"/>
      <c r="Z1475" s="43"/>
    </row>
    <row r="1476" hidden="1">
      <c r="A1476" s="43"/>
      <c r="B1476" s="43"/>
      <c r="C1476" s="43"/>
      <c r="D1476" s="43"/>
      <c r="E1476" s="43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43"/>
    </row>
    <row r="1477" hidden="1">
      <c r="A1477" s="43"/>
      <c r="B1477" s="43"/>
      <c r="C1477" s="43"/>
      <c r="D1477" s="43"/>
      <c r="E1477" s="43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43"/>
      <c r="Q1477" s="43"/>
      <c r="R1477" s="43"/>
      <c r="S1477" s="43"/>
      <c r="T1477" s="43"/>
      <c r="U1477" s="43"/>
      <c r="V1477" s="43"/>
      <c r="W1477" s="43"/>
      <c r="X1477" s="43"/>
      <c r="Y1477" s="43"/>
      <c r="Z1477" s="43"/>
    </row>
    <row r="1478" hidden="1">
      <c r="A1478" s="43"/>
      <c r="B1478" s="43"/>
      <c r="C1478" s="43"/>
      <c r="D1478" s="43"/>
      <c r="E1478" s="43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43"/>
    </row>
    <row r="1479" hidden="1">
      <c r="A1479" s="43"/>
      <c r="B1479" s="43"/>
      <c r="C1479" s="43"/>
      <c r="D1479" s="43"/>
      <c r="E1479" s="43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43"/>
      <c r="Q1479" s="43"/>
      <c r="R1479" s="43"/>
      <c r="S1479" s="43"/>
      <c r="T1479" s="43"/>
      <c r="U1479" s="43"/>
      <c r="V1479" s="43"/>
      <c r="W1479" s="43"/>
      <c r="X1479" s="43"/>
      <c r="Y1479" s="43"/>
      <c r="Z1479" s="43"/>
    </row>
    <row r="1480" hidden="1">
      <c r="A1480" s="43"/>
      <c r="B1480" s="43"/>
      <c r="C1480" s="43"/>
      <c r="D1480" s="43"/>
      <c r="E1480" s="43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43"/>
    </row>
    <row r="1481" hidden="1">
      <c r="A1481" s="43"/>
      <c r="B1481" s="43"/>
      <c r="C1481" s="43"/>
      <c r="D1481" s="43"/>
      <c r="E1481" s="43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43"/>
      <c r="Q1481" s="43"/>
      <c r="R1481" s="43"/>
      <c r="S1481" s="43"/>
      <c r="T1481" s="43"/>
      <c r="U1481" s="43"/>
      <c r="V1481" s="43"/>
      <c r="W1481" s="43"/>
      <c r="X1481" s="43"/>
      <c r="Y1481" s="43"/>
      <c r="Z1481" s="43"/>
    </row>
    <row r="1482" hidden="1">
      <c r="A1482" s="43"/>
      <c r="B1482" s="43"/>
      <c r="C1482" s="43"/>
      <c r="D1482" s="43"/>
      <c r="E1482" s="43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43"/>
    </row>
    <row r="1483" hidden="1">
      <c r="A1483" s="43"/>
      <c r="B1483" s="43"/>
      <c r="C1483" s="43"/>
      <c r="D1483" s="43"/>
      <c r="E1483" s="43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43"/>
      <c r="Q1483" s="43"/>
      <c r="R1483" s="43"/>
      <c r="S1483" s="43"/>
      <c r="T1483" s="43"/>
      <c r="U1483" s="43"/>
      <c r="V1483" s="43"/>
      <c r="W1483" s="43"/>
      <c r="X1483" s="43"/>
      <c r="Y1483" s="43"/>
      <c r="Z1483" s="43"/>
    </row>
    <row r="1484" hidden="1">
      <c r="A1484" s="43"/>
      <c r="B1484" s="43"/>
      <c r="C1484" s="43"/>
      <c r="D1484" s="43"/>
      <c r="E1484" s="43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43"/>
      <c r="Q1484" s="43"/>
      <c r="R1484" s="43"/>
      <c r="S1484" s="43"/>
      <c r="T1484" s="43"/>
      <c r="U1484" s="43"/>
      <c r="V1484" s="43"/>
      <c r="W1484" s="43"/>
      <c r="X1484" s="43"/>
      <c r="Y1484" s="43"/>
      <c r="Z1484" s="43"/>
    </row>
    <row r="1485" hidden="1">
      <c r="A1485" s="43"/>
      <c r="B1485" s="43"/>
      <c r="C1485" s="43"/>
      <c r="D1485" s="43"/>
      <c r="E1485" s="43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43"/>
      <c r="Q1485" s="43"/>
      <c r="R1485" s="43"/>
      <c r="S1485" s="43"/>
      <c r="T1485" s="43"/>
      <c r="U1485" s="43"/>
      <c r="V1485" s="43"/>
      <c r="W1485" s="43"/>
      <c r="X1485" s="43"/>
      <c r="Y1485" s="43"/>
      <c r="Z1485" s="43"/>
    </row>
    <row r="1486" hidden="1">
      <c r="A1486" s="43"/>
      <c r="B1486" s="43"/>
      <c r="C1486" s="43"/>
      <c r="D1486" s="43"/>
      <c r="E1486" s="43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43"/>
    </row>
    <row r="1487" hidden="1">
      <c r="A1487" s="43"/>
      <c r="B1487" s="43"/>
      <c r="C1487" s="43"/>
      <c r="D1487" s="43"/>
      <c r="E1487" s="43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43"/>
      <c r="Q1487" s="43"/>
      <c r="R1487" s="43"/>
      <c r="S1487" s="43"/>
      <c r="T1487" s="43"/>
      <c r="U1487" s="43"/>
      <c r="V1487" s="43"/>
      <c r="W1487" s="43"/>
      <c r="X1487" s="43"/>
      <c r="Y1487" s="43"/>
      <c r="Z1487" s="43"/>
    </row>
    <row r="1488" hidden="1">
      <c r="A1488" s="43"/>
      <c r="B1488" s="43"/>
      <c r="C1488" s="43"/>
      <c r="D1488" s="43"/>
      <c r="E1488" s="43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43"/>
    </row>
    <row r="1489" hidden="1">
      <c r="A1489" s="43"/>
      <c r="B1489" s="43"/>
      <c r="C1489" s="43"/>
      <c r="D1489" s="43"/>
      <c r="E1489" s="43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43"/>
      <c r="Q1489" s="43"/>
      <c r="R1489" s="43"/>
      <c r="S1489" s="43"/>
      <c r="T1489" s="43"/>
      <c r="U1489" s="43"/>
      <c r="V1489" s="43"/>
      <c r="W1489" s="43"/>
      <c r="X1489" s="43"/>
      <c r="Y1489" s="43"/>
      <c r="Z1489" s="43"/>
    </row>
    <row r="1490" hidden="1">
      <c r="A1490" s="43"/>
      <c r="B1490" s="43"/>
      <c r="C1490" s="43"/>
      <c r="D1490" s="43"/>
      <c r="E1490" s="43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43"/>
      <c r="Q1490" s="43"/>
      <c r="R1490" s="43"/>
      <c r="S1490" s="43"/>
      <c r="T1490" s="43"/>
      <c r="U1490" s="43"/>
      <c r="V1490" s="43"/>
      <c r="W1490" s="43"/>
      <c r="X1490" s="43"/>
      <c r="Y1490" s="43"/>
      <c r="Z1490" s="43"/>
    </row>
    <row r="1491" hidden="1">
      <c r="A1491" s="43"/>
      <c r="B1491" s="43"/>
      <c r="C1491" s="43"/>
      <c r="D1491" s="43"/>
      <c r="E1491" s="43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</row>
    <row r="1492" hidden="1">
      <c r="A1492" s="43"/>
      <c r="B1492" s="43"/>
      <c r="C1492" s="43"/>
      <c r="D1492" s="43"/>
      <c r="E1492" s="43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</row>
    <row r="1493" hidden="1">
      <c r="A1493" s="43"/>
      <c r="B1493" s="43"/>
      <c r="C1493" s="43"/>
      <c r="D1493" s="43"/>
      <c r="E1493" s="43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43"/>
      <c r="Q1493" s="43"/>
      <c r="R1493" s="43"/>
      <c r="S1493" s="43"/>
      <c r="T1493" s="43"/>
      <c r="U1493" s="43"/>
      <c r="V1493" s="43"/>
      <c r="W1493" s="43"/>
      <c r="X1493" s="43"/>
      <c r="Y1493" s="43"/>
      <c r="Z1493" s="43"/>
    </row>
    <row r="1494" hidden="1">
      <c r="A1494" s="43"/>
      <c r="B1494" s="43"/>
      <c r="C1494" s="43"/>
      <c r="D1494" s="43"/>
      <c r="E1494" s="43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43"/>
    </row>
    <row r="1495" hidden="1">
      <c r="A1495" s="43"/>
      <c r="B1495" s="43"/>
      <c r="C1495" s="43"/>
      <c r="D1495" s="43"/>
      <c r="E1495" s="43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43"/>
      <c r="Q1495" s="43"/>
      <c r="R1495" s="43"/>
      <c r="S1495" s="43"/>
      <c r="T1495" s="43"/>
      <c r="U1495" s="43"/>
      <c r="V1495" s="43"/>
      <c r="W1495" s="43"/>
      <c r="X1495" s="43"/>
      <c r="Y1495" s="43"/>
      <c r="Z1495" s="43"/>
    </row>
    <row r="1496" hidden="1">
      <c r="A1496" s="43"/>
      <c r="B1496" s="43"/>
      <c r="C1496" s="43"/>
      <c r="D1496" s="43"/>
      <c r="E1496" s="43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43"/>
      <c r="Q1496" s="43"/>
      <c r="R1496" s="43"/>
      <c r="S1496" s="43"/>
      <c r="T1496" s="43"/>
      <c r="U1496" s="43"/>
      <c r="V1496" s="43"/>
      <c r="W1496" s="43"/>
      <c r="X1496" s="43"/>
      <c r="Y1496" s="43"/>
      <c r="Z1496" s="43"/>
    </row>
    <row r="1497" hidden="1">
      <c r="A1497" s="43"/>
      <c r="B1497" s="43"/>
      <c r="C1497" s="43"/>
      <c r="D1497" s="43"/>
      <c r="E1497" s="43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43"/>
      <c r="Q1497" s="43"/>
      <c r="R1497" s="43"/>
      <c r="S1497" s="43"/>
      <c r="T1497" s="43"/>
      <c r="U1497" s="43"/>
      <c r="V1497" s="43"/>
      <c r="W1497" s="43"/>
      <c r="X1497" s="43"/>
      <c r="Y1497" s="43"/>
      <c r="Z1497" s="43"/>
    </row>
    <row r="1498" hidden="1">
      <c r="A1498" s="43"/>
      <c r="B1498" s="43"/>
      <c r="C1498" s="43"/>
      <c r="D1498" s="43"/>
      <c r="E1498" s="43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43"/>
      <c r="Q1498" s="43"/>
      <c r="R1498" s="43"/>
      <c r="S1498" s="43"/>
      <c r="T1498" s="43"/>
      <c r="U1498" s="43"/>
      <c r="V1498" s="43"/>
      <c r="W1498" s="43"/>
      <c r="X1498" s="43"/>
      <c r="Y1498" s="43"/>
      <c r="Z1498" s="43"/>
    </row>
    <row r="1499" hidden="1">
      <c r="A1499" s="43"/>
      <c r="B1499" s="43"/>
      <c r="C1499" s="43"/>
      <c r="D1499" s="43"/>
      <c r="E1499" s="43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43"/>
      <c r="Q1499" s="43"/>
      <c r="R1499" s="43"/>
      <c r="S1499" s="43"/>
      <c r="T1499" s="43"/>
      <c r="U1499" s="43"/>
      <c r="V1499" s="43"/>
      <c r="W1499" s="43"/>
      <c r="X1499" s="43"/>
      <c r="Y1499" s="43"/>
      <c r="Z1499" s="43"/>
    </row>
    <row r="1500" hidden="1">
      <c r="A1500" s="43"/>
      <c r="B1500" s="43"/>
      <c r="C1500" s="43"/>
      <c r="D1500" s="43"/>
      <c r="E1500" s="43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43"/>
    </row>
    <row r="1501" hidden="1">
      <c r="A1501" s="43"/>
      <c r="B1501" s="43"/>
      <c r="C1501" s="43"/>
      <c r="D1501" s="43"/>
      <c r="E1501" s="43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43"/>
      <c r="Q1501" s="43"/>
      <c r="R1501" s="43"/>
      <c r="S1501" s="43"/>
      <c r="T1501" s="43"/>
      <c r="U1501" s="43"/>
      <c r="V1501" s="43"/>
      <c r="W1501" s="43"/>
      <c r="X1501" s="43"/>
      <c r="Y1501" s="43"/>
      <c r="Z1501" s="43"/>
    </row>
  </sheetData>
  <autoFilter ref="$V$1:$V$1501">
    <filterColumn colId="0">
      <filters>
        <filter val="KAYSERI"/>
      </filters>
    </filterColumn>
  </autoFilter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  <hyperlink r:id="rId319" ref="K320"/>
    <hyperlink r:id="rId320" ref="K321"/>
    <hyperlink r:id="rId321" ref="K322"/>
    <hyperlink r:id="rId322" ref="K323"/>
    <hyperlink r:id="rId323" ref="K324"/>
    <hyperlink r:id="rId324" ref="K325"/>
    <hyperlink r:id="rId325" ref="K326"/>
    <hyperlink r:id="rId326" ref="K327"/>
    <hyperlink r:id="rId327" ref="K328"/>
    <hyperlink r:id="rId328" ref="K329"/>
    <hyperlink r:id="rId329" ref="K330"/>
    <hyperlink r:id="rId330" ref="K331"/>
    <hyperlink r:id="rId331" ref="K332"/>
    <hyperlink r:id="rId332" ref="K333"/>
    <hyperlink r:id="rId333" ref="K334"/>
    <hyperlink r:id="rId334" ref="K335"/>
    <hyperlink r:id="rId335" ref="K336"/>
    <hyperlink r:id="rId336" ref="K337"/>
    <hyperlink r:id="rId337" ref="K338"/>
    <hyperlink r:id="rId338" ref="K339"/>
    <hyperlink r:id="rId339" ref="K340"/>
    <hyperlink r:id="rId340" ref="K341"/>
    <hyperlink r:id="rId341" ref="K342"/>
    <hyperlink r:id="rId342" ref="K343"/>
    <hyperlink r:id="rId343" ref="K344"/>
    <hyperlink r:id="rId344" ref="K345"/>
    <hyperlink r:id="rId345" ref="K346"/>
    <hyperlink r:id="rId346" ref="K347"/>
    <hyperlink r:id="rId347" ref="K348"/>
    <hyperlink r:id="rId348" ref="K349"/>
    <hyperlink r:id="rId349" ref="K350"/>
    <hyperlink r:id="rId350" ref="K351"/>
    <hyperlink r:id="rId351" ref="K352"/>
    <hyperlink r:id="rId352" ref="K353"/>
    <hyperlink r:id="rId353" ref="K354"/>
    <hyperlink r:id="rId354" ref="K355"/>
    <hyperlink r:id="rId355" ref="K356"/>
    <hyperlink r:id="rId356" ref="K357"/>
    <hyperlink r:id="rId357" ref="K358"/>
    <hyperlink r:id="rId358" ref="K359"/>
    <hyperlink r:id="rId359" ref="K360"/>
    <hyperlink r:id="rId360" ref="K361"/>
    <hyperlink r:id="rId361" ref="K362"/>
    <hyperlink r:id="rId362" ref="K363"/>
    <hyperlink r:id="rId363" ref="K364"/>
    <hyperlink r:id="rId364" ref="K365"/>
    <hyperlink r:id="rId365" ref="K366"/>
    <hyperlink r:id="rId366" ref="K367"/>
    <hyperlink r:id="rId367" ref="K368"/>
    <hyperlink r:id="rId368" ref="K369"/>
    <hyperlink r:id="rId369" ref="K370"/>
    <hyperlink r:id="rId370" ref="K371"/>
    <hyperlink r:id="rId371" ref="K372"/>
    <hyperlink r:id="rId372" ref="K373"/>
    <hyperlink r:id="rId373" ref="K374"/>
    <hyperlink r:id="rId374" ref="K375"/>
    <hyperlink r:id="rId375" ref="K376"/>
    <hyperlink r:id="rId376" ref="K377"/>
    <hyperlink r:id="rId377" ref="K378"/>
    <hyperlink r:id="rId378" ref="K379"/>
    <hyperlink r:id="rId379" ref="K380"/>
    <hyperlink r:id="rId380" ref="K381"/>
    <hyperlink r:id="rId381" ref="K382"/>
    <hyperlink r:id="rId382" ref="K383"/>
    <hyperlink r:id="rId383" ref="K384"/>
    <hyperlink r:id="rId384" ref="K385"/>
    <hyperlink r:id="rId385" ref="K386"/>
    <hyperlink r:id="rId386" ref="K387"/>
    <hyperlink r:id="rId387" ref="K388"/>
    <hyperlink r:id="rId388" ref="K389"/>
    <hyperlink r:id="rId389" ref="K390"/>
    <hyperlink r:id="rId390" ref="K391"/>
    <hyperlink r:id="rId391" ref="K392"/>
    <hyperlink r:id="rId392" ref="K393"/>
    <hyperlink r:id="rId393" ref="K394"/>
    <hyperlink r:id="rId394" ref="K395"/>
    <hyperlink r:id="rId395" ref="K396"/>
    <hyperlink r:id="rId396" ref="K397"/>
    <hyperlink r:id="rId397" ref="K398"/>
    <hyperlink r:id="rId398" ref="K399"/>
    <hyperlink r:id="rId399" ref="K400"/>
    <hyperlink r:id="rId400" ref="K401"/>
    <hyperlink r:id="rId401" ref="K402"/>
    <hyperlink r:id="rId402" ref="K403"/>
    <hyperlink r:id="rId403" ref="K404"/>
    <hyperlink r:id="rId404" ref="K405"/>
    <hyperlink r:id="rId405" ref="K406"/>
    <hyperlink r:id="rId406" ref="K407"/>
    <hyperlink r:id="rId407" ref="K408"/>
    <hyperlink r:id="rId408" ref="K409"/>
    <hyperlink r:id="rId409" ref="K410"/>
    <hyperlink r:id="rId410" ref="K411"/>
    <hyperlink r:id="rId411" ref="K412"/>
    <hyperlink r:id="rId412" ref="K413"/>
    <hyperlink r:id="rId413" ref="K414"/>
    <hyperlink r:id="rId414" ref="K415"/>
    <hyperlink r:id="rId415" ref="K416"/>
    <hyperlink r:id="rId416" ref="K417"/>
    <hyperlink r:id="rId417" ref="K418"/>
    <hyperlink r:id="rId418" ref="K419"/>
    <hyperlink r:id="rId419" ref="K420"/>
    <hyperlink r:id="rId420" ref="K421"/>
    <hyperlink r:id="rId421" ref="K422"/>
    <hyperlink r:id="rId422" ref="K423"/>
    <hyperlink r:id="rId423" ref="K424"/>
    <hyperlink r:id="rId424" ref="K425"/>
    <hyperlink r:id="rId425" ref="K426"/>
    <hyperlink r:id="rId426" ref="K427"/>
    <hyperlink r:id="rId427" ref="K428"/>
    <hyperlink r:id="rId428" ref="K429"/>
    <hyperlink r:id="rId429" ref="K430"/>
    <hyperlink r:id="rId430" ref="K431"/>
    <hyperlink r:id="rId431" ref="K432"/>
    <hyperlink r:id="rId432" ref="K433"/>
    <hyperlink r:id="rId433" ref="K434"/>
    <hyperlink r:id="rId434" ref="K435"/>
    <hyperlink r:id="rId435" ref="K436"/>
    <hyperlink r:id="rId436" ref="K437"/>
    <hyperlink r:id="rId437" ref="K438"/>
    <hyperlink r:id="rId438" ref="K439"/>
    <hyperlink r:id="rId439" ref="K440"/>
    <hyperlink r:id="rId440" ref="K441"/>
    <hyperlink r:id="rId441" ref="K442"/>
    <hyperlink r:id="rId442" ref="K443"/>
    <hyperlink r:id="rId443" ref="K444"/>
    <hyperlink r:id="rId444" ref="K445"/>
    <hyperlink r:id="rId445" ref="K446"/>
    <hyperlink r:id="rId446" ref="K447"/>
    <hyperlink r:id="rId447" ref="K448"/>
    <hyperlink r:id="rId448" ref="K449"/>
    <hyperlink r:id="rId449" ref="K450"/>
    <hyperlink r:id="rId450" ref="K451"/>
    <hyperlink r:id="rId451" ref="K452"/>
    <hyperlink r:id="rId452" ref="K453"/>
    <hyperlink r:id="rId453" ref="K454"/>
    <hyperlink r:id="rId454" ref="K455"/>
    <hyperlink r:id="rId455" ref="K456"/>
    <hyperlink r:id="rId456" ref="K457"/>
    <hyperlink r:id="rId457" ref="K458"/>
    <hyperlink r:id="rId458" ref="K459"/>
    <hyperlink r:id="rId459" ref="K460"/>
    <hyperlink r:id="rId460" ref="K461"/>
    <hyperlink r:id="rId461" ref="K462"/>
    <hyperlink r:id="rId462" ref="K463"/>
    <hyperlink r:id="rId463" ref="K464"/>
    <hyperlink r:id="rId464" ref="K465"/>
    <hyperlink r:id="rId465" ref="K466"/>
    <hyperlink r:id="rId466" ref="K467"/>
    <hyperlink r:id="rId467" ref="K468"/>
    <hyperlink r:id="rId468" ref="K469"/>
    <hyperlink r:id="rId469" ref="K470"/>
    <hyperlink r:id="rId470" ref="K471"/>
    <hyperlink r:id="rId471" ref="K472"/>
    <hyperlink r:id="rId472" ref="K473"/>
    <hyperlink r:id="rId473" ref="K474"/>
    <hyperlink r:id="rId474" ref="K475"/>
    <hyperlink r:id="rId475" ref="K476"/>
    <hyperlink r:id="rId476" ref="K477"/>
    <hyperlink r:id="rId477" ref="K478"/>
    <hyperlink r:id="rId478" ref="K479"/>
    <hyperlink r:id="rId479" ref="K480"/>
    <hyperlink r:id="rId480" ref="K481"/>
    <hyperlink r:id="rId481" ref="K482"/>
    <hyperlink r:id="rId482" ref="K483"/>
    <hyperlink r:id="rId483" ref="K484"/>
    <hyperlink r:id="rId484" ref="K485"/>
    <hyperlink r:id="rId485" ref="K486"/>
    <hyperlink r:id="rId486" ref="K487"/>
    <hyperlink r:id="rId487" ref="K488"/>
    <hyperlink r:id="rId488" ref="K489"/>
    <hyperlink r:id="rId489" ref="K490"/>
    <hyperlink r:id="rId490" ref="K491"/>
    <hyperlink r:id="rId491" ref="K492"/>
    <hyperlink r:id="rId492" ref="K493"/>
    <hyperlink r:id="rId493" ref="K494"/>
    <hyperlink r:id="rId494" ref="K495"/>
    <hyperlink r:id="rId495" ref="K496"/>
    <hyperlink r:id="rId496" ref="K497"/>
    <hyperlink r:id="rId497" ref="K498"/>
    <hyperlink r:id="rId498" ref="K499"/>
    <hyperlink r:id="rId499" ref="K500"/>
    <hyperlink r:id="rId500" ref="K501"/>
    <hyperlink r:id="rId501" ref="K502"/>
    <hyperlink r:id="rId502" ref="K503"/>
    <hyperlink r:id="rId503" ref="K504"/>
    <hyperlink r:id="rId504" ref="K505"/>
    <hyperlink r:id="rId505" ref="K506"/>
    <hyperlink r:id="rId506" ref="K507"/>
    <hyperlink r:id="rId507" ref="K508"/>
    <hyperlink r:id="rId508" ref="K509"/>
    <hyperlink r:id="rId509" ref="K510"/>
    <hyperlink r:id="rId510" ref="K511"/>
    <hyperlink r:id="rId511" ref="K512"/>
    <hyperlink r:id="rId512" ref="K513"/>
    <hyperlink r:id="rId513" ref="K514"/>
    <hyperlink r:id="rId514" ref="K515"/>
    <hyperlink r:id="rId515" ref="K516"/>
    <hyperlink r:id="rId516" ref="K517"/>
    <hyperlink r:id="rId517" ref="K518"/>
    <hyperlink r:id="rId518" ref="K519"/>
    <hyperlink r:id="rId519" ref="K520"/>
    <hyperlink r:id="rId520" ref="K521"/>
    <hyperlink r:id="rId521" ref="K522"/>
    <hyperlink r:id="rId522" ref="K523"/>
    <hyperlink r:id="rId523" ref="K524"/>
    <hyperlink r:id="rId524" ref="K525"/>
    <hyperlink r:id="rId525" ref="K526"/>
    <hyperlink r:id="rId526" ref="K527"/>
    <hyperlink r:id="rId527" ref="K528"/>
    <hyperlink r:id="rId528" ref="K529"/>
    <hyperlink r:id="rId529" ref="K530"/>
    <hyperlink r:id="rId530" ref="K531"/>
    <hyperlink r:id="rId531" ref="K532"/>
    <hyperlink r:id="rId532" ref="K533"/>
    <hyperlink r:id="rId533" ref="K534"/>
    <hyperlink r:id="rId534" ref="K535"/>
    <hyperlink r:id="rId535" ref="K536"/>
    <hyperlink r:id="rId536" ref="K537"/>
    <hyperlink r:id="rId537" ref="K538"/>
    <hyperlink r:id="rId538" ref="K539"/>
    <hyperlink r:id="rId539" ref="K540"/>
    <hyperlink r:id="rId540" ref="K541"/>
    <hyperlink r:id="rId541" ref="K542"/>
    <hyperlink r:id="rId542" ref="K543"/>
    <hyperlink r:id="rId543" ref="K544"/>
    <hyperlink r:id="rId544" ref="K545"/>
    <hyperlink r:id="rId545" ref="K546"/>
    <hyperlink r:id="rId546" ref="K547"/>
    <hyperlink r:id="rId547" ref="K548"/>
    <hyperlink r:id="rId548" ref="K549"/>
    <hyperlink r:id="rId549" ref="K550"/>
    <hyperlink r:id="rId550" ref="K551"/>
    <hyperlink r:id="rId551" ref="K552"/>
    <hyperlink r:id="rId552" ref="K553"/>
    <hyperlink r:id="rId553" ref="K554"/>
    <hyperlink r:id="rId554" ref="K555"/>
    <hyperlink r:id="rId555" ref="K556"/>
    <hyperlink r:id="rId556" ref="K557"/>
    <hyperlink r:id="rId557" ref="K558"/>
    <hyperlink r:id="rId558" ref="K559"/>
    <hyperlink r:id="rId559" ref="K560"/>
    <hyperlink r:id="rId560" ref="K561"/>
    <hyperlink r:id="rId561" ref="K562"/>
    <hyperlink r:id="rId562" ref="K563"/>
    <hyperlink r:id="rId563" ref="K564"/>
    <hyperlink r:id="rId564" ref="K565"/>
    <hyperlink r:id="rId565" ref="K566"/>
    <hyperlink r:id="rId566" ref="K567"/>
    <hyperlink r:id="rId567" ref="K568"/>
    <hyperlink r:id="rId568" ref="K569"/>
    <hyperlink r:id="rId569" ref="K570"/>
    <hyperlink r:id="rId570" ref="K571"/>
    <hyperlink r:id="rId571" ref="K572"/>
    <hyperlink r:id="rId572" ref="K573"/>
    <hyperlink r:id="rId573" ref="K574"/>
    <hyperlink r:id="rId574" ref="K575"/>
    <hyperlink r:id="rId575" ref="K576"/>
    <hyperlink r:id="rId576" ref="K577"/>
    <hyperlink r:id="rId577" ref="K578"/>
    <hyperlink r:id="rId578" ref="K579"/>
    <hyperlink r:id="rId579" ref="K580"/>
    <hyperlink r:id="rId580" ref="K581"/>
    <hyperlink r:id="rId581" ref="K582"/>
    <hyperlink r:id="rId582" ref="K583"/>
    <hyperlink r:id="rId583" ref="K584"/>
    <hyperlink r:id="rId584" ref="K585"/>
    <hyperlink r:id="rId585" ref="K586"/>
    <hyperlink r:id="rId586" ref="K587"/>
    <hyperlink r:id="rId587" ref="K588"/>
    <hyperlink r:id="rId588" ref="K589"/>
    <hyperlink r:id="rId589" ref="K590"/>
    <hyperlink r:id="rId590" ref="K591"/>
    <hyperlink r:id="rId591" ref="K592"/>
    <hyperlink r:id="rId592" ref="K593"/>
    <hyperlink r:id="rId593" ref="K594"/>
    <hyperlink r:id="rId594" ref="K595"/>
    <hyperlink r:id="rId595" ref="K596"/>
    <hyperlink r:id="rId596" ref="K597"/>
    <hyperlink r:id="rId597" ref="K598"/>
    <hyperlink r:id="rId598" ref="K599"/>
    <hyperlink r:id="rId599" ref="K600"/>
    <hyperlink r:id="rId600" ref="K601"/>
    <hyperlink r:id="rId601" ref="K602"/>
    <hyperlink r:id="rId602" ref="K603"/>
    <hyperlink r:id="rId603" ref="K604"/>
    <hyperlink r:id="rId604" ref="K605"/>
    <hyperlink r:id="rId605" ref="K606"/>
    <hyperlink r:id="rId606" ref="K607"/>
    <hyperlink r:id="rId607" ref="K608"/>
    <hyperlink r:id="rId608" ref="K609"/>
    <hyperlink r:id="rId609" ref="K610"/>
    <hyperlink r:id="rId610" ref="K611"/>
    <hyperlink r:id="rId611" ref="K612"/>
    <hyperlink r:id="rId612" ref="K613"/>
    <hyperlink r:id="rId613" ref="K614"/>
    <hyperlink r:id="rId614" ref="K615"/>
    <hyperlink r:id="rId615" ref="K616"/>
    <hyperlink r:id="rId616" ref="K617"/>
    <hyperlink r:id="rId617" ref="K618"/>
    <hyperlink r:id="rId618" ref="K619"/>
    <hyperlink r:id="rId619" ref="K620"/>
    <hyperlink r:id="rId620" ref="K621"/>
    <hyperlink r:id="rId621" ref="K622"/>
    <hyperlink r:id="rId622" ref="K623"/>
    <hyperlink r:id="rId623" ref="K624"/>
    <hyperlink r:id="rId624" ref="K625"/>
    <hyperlink r:id="rId625" ref="K626"/>
    <hyperlink r:id="rId626" ref="K627"/>
    <hyperlink r:id="rId627" ref="K628"/>
    <hyperlink r:id="rId628" ref="K629"/>
    <hyperlink r:id="rId629" ref="K630"/>
    <hyperlink r:id="rId630" ref="K631"/>
    <hyperlink r:id="rId631" ref="K632"/>
    <hyperlink r:id="rId632" ref="K633"/>
    <hyperlink r:id="rId633" ref="K634"/>
    <hyperlink r:id="rId634" ref="K635"/>
    <hyperlink r:id="rId635" ref="K636"/>
    <hyperlink r:id="rId636" ref="K637"/>
    <hyperlink r:id="rId637" ref="K638"/>
    <hyperlink r:id="rId638" ref="K639"/>
    <hyperlink r:id="rId639" ref="K640"/>
    <hyperlink r:id="rId640" ref="K641"/>
    <hyperlink r:id="rId641" ref="K642"/>
    <hyperlink r:id="rId642" ref="K643"/>
    <hyperlink r:id="rId643" ref="K644"/>
    <hyperlink r:id="rId644" ref="K645"/>
    <hyperlink r:id="rId645" ref="K646"/>
    <hyperlink r:id="rId646" ref="K647"/>
    <hyperlink r:id="rId647" ref="K648"/>
    <hyperlink r:id="rId648" ref="K649"/>
    <hyperlink r:id="rId649" ref="K650"/>
    <hyperlink r:id="rId650" ref="K651"/>
    <hyperlink r:id="rId651" ref="K652"/>
    <hyperlink r:id="rId652" ref="K653"/>
    <hyperlink r:id="rId653" ref="K654"/>
    <hyperlink r:id="rId654" ref="K655"/>
    <hyperlink r:id="rId655" ref="K656"/>
    <hyperlink r:id="rId656" ref="K657"/>
    <hyperlink r:id="rId657" ref="K658"/>
    <hyperlink r:id="rId658" ref="K659"/>
    <hyperlink r:id="rId659" ref="K660"/>
    <hyperlink r:id="rId660" ref="K661"/>
    <hyperlink r:id="rId661" ref="K662"/>
    <hyperlink r:id="rId662" ref="K663"/>
    <hyperlink r:id="rId663" ref="K664"/>
    <hyperlink r:id="rId664" ref="K665"/>
    <hyperlink r:id="rId665" ref="K666"/>
    <hyperlink r:id="rId666" ref="K667"/>
    <hyperlink r:id="rId667" ref="K668"/>
    <hyperlink r:id="rId668" ref="K669"/>
    <hyperlink r:id="rId669" ref="K670"/>
    <hyperlink r:id="rId670" ref="K671"/>
    <hyperlink r:id="rId671" ref="K672"/>
    <hyperlink r:id="rId672" ref="K673"/>
    <hyperlink r:id="rId673" ref="K674"/>
    <hyperlink r:id="rId674" ref="K675"/>
    <hyperlink r:id="rId675" ref="K676"/>
    <hyperlink r:id="rId676" ref="K677"/>
    <hyperlink r:id="rId677" ref="K678"/>
    <hyperlink r:id="rId678" ref="K679"/>
    <hyperlink r:id="rId679" ref="K680"/>
    <hyperlink r:id="rId680" ref="K681"/>
    <hyperlink r:id="rId681" ref="K682"/>
    <hyperlink r:id="rId682" ref="K683"/>
    <hyperlink r:id="rId683" ref="K684"/>
    <hyperlink r:id="rId684" ref="K685"/>
    <hyperlink r:id="rId685" ref="K686"/>
    <hyperlink r:id="rId686" ref="K687"/>
    <hyperlink r:id="rId687" ref="K688"/>
    <hyperlink r:id="rId688" ref="K689"/>
    <hyperlink r:id="rId689" ref="K690"/>
    <hyperlink r:id="rId690" ref="K691"/>
    <hyperlink r:id="rId691" ref="K692"/>
    <hyperlink r:id="rId692" ref="K693"/>
    <hyperlink r:id="rId693" ref="K694"/>
    <hyperlink r:id="rId694" ref="K695"/>
    <hyperlink r:id="rId695" ref="K696"/>
    <hyperlink r:id="rId696" ref="K697"/>
    <hyperlink r:id="rId697" ref="K698"/>
    <hyperlink r:id="rId698" ref="K699"/>
    <hyperlink r:id="rId699" ref="K700"/>
    <hyperlink r:id="rId700" ref="K701"/>
    <hyperlink r:id="rId701" ref="K702"/>
    <hyperlink r:id="rId702" ref="K703"/>
    <hyperlink r:id="rId703" ref="K704"/>
    <hyperlink r:id="rId704" ref="K705"/>
    <hyperlink r:id="rId705" ref="K706"/>
    <hyperlink r:id="rId706" ref="K707"/>
    <hyperlink r:id="rId707" ref="K708"/>
    <hyperlink r:id="rId708" ref="K709"/>
    <hyperlink r:id="rId709" ref="K710"/>
    <hyperlink r:id="rId710" ref="K711"/>
    <hyperlink r:id="rId711" ref="K712"/>
    <hyperlink r:id="rId712" ref="K713"/>
    <hyperlink r:id="rId713" ref="K714"/>
    <hyperlink r:id="rId714" ref="K715"/>
    <hyperlink r:id="rId715" ref="K716"/>
    <hyperlink r:id="rId716" ref="K717"/>
    <hyperlink r:id="rId717" ref="K718"/>
    <hyperlink r:id="rId718" ref="K719"/>
    <hyperlink r:id="rId719" ref="K720"/>
    <hyperlink r:id="rId720" ref="K721"/>
    <hyperlink r:id="rId721" ref="K722"/>
    <hyperlink r:id="rId722" ref="K723"/>
    <hyperlink r:id="rId723" ref="K724"/>
    <hyperlink r:id="rId724" ref="K725"/>
    <hyperlink r:id="rId725" ref="K726"/>
    <hyperlink r:id="rId726" ref="K727"/>
    <hyperlink r:id="rId727" ref="K728"/>
    <hyperlink r:id="rId728" ref="K729"/>
    <hyperlink r:id="rId729" ref="K730"/>
    <hyperlink r:id="rId730" ref="K731"/>
    <hyperlink r:id="rId731" ref="K732"/>
    <hyperlink r:id="rId732" ref="K733"/>
    <hyperlink r:id="rId733" ref="K734"/>
    <hyperlink r:id="rId734" ref="K735"/>
    <hyperlink r:id="rId735" ref="K736"/>
    <hyperlink r:id="rId736" ref="K737"/>
    <hyperlink r:id="rId737" ref="K738"/>
    <hyperlink r:id="rId738" ref="K739"/>
    <hyperlink r:id="rId739" ref="K740"/>
    <hyperlink r:id="rId740" ref="K741"/>
    <hyperlink r:id="rId741" ref="K742"/>
    <hyperlink r:id="rId742" ref="K743"/>
    <hyperlink r:id="rId743" ref="K744"/>
    <hyperlink r:id="rId744" ref="K745"/>
    <hyperlink r:id="rId745" ref="K746"/>
    <hyperlink r:id="rId746" ref="K747"/>
    <hyperlink r:id="rId747" ref="K748"/>
    <hyperlink r:id="rId748" ref="K749"/>
    <hyperlink r:id="rId749" ref="K750"/>
    <hyperlink r:id="rId750" ref="K751"/>
    <hyperlink r:id="rId751" ref="K752"/>
    <hyperlink r:id="rId752" ref="K753"/>
    <hyperlink r:id="rId753" ref="K754"/>
    <hyperlink r:id="rId754" ref="K755"/>
    <hyperlink r:id="rId755" ref="K756"/>
    <hyperlink r:id="rId756" ref="K757"/>
    <hyperlink r:id="rId757" ref="K758"/>
    <hyperlink r:id="rId758" ref="K759"/>
    <hyperlink r:id="rId759" ref="K760"/>
    <hyperlink r:id="rId760" ref="K761"/>
    <hyperlink r:id="rId761" ref="K762"/>
    <hyperlink r:id="rId762" ref="K763"/>
    <hyperlink r:id="rId763" ref="K764"/>
    <hyperlink r:id="rId764" ref="K765"/>
    <hyperlink r:id="rId765" ref="K766"/>
    <hyperlink r:id="rId766" ref="K767"/>
    <hyperlink r:id="rId767" ref="K768"/>
    <hyperlink r:id="rId768" ref="K769"/>
    <hyperlink r:id="rId769" ref="K770"/>
    <hyperlink r:id="rId770" ref="K771"/>
    <hyperlink r:id="rId771" ref="K772"/>
    <hyperlink r:id="rId772" ref="K773"/>
    <hyperlink r:id="rId773" ref="K774"/>
    <hyperlink r:id="rId774" ref="K775"/>
    <hyperlink r:id="rId775" ref="K776"/>
    <hyperlink r:id="rId776" ref="K777"/>
    <hyperlink r:id="rId777" ref="K778"/>
    <hyperlink r:id="rId778" ref="K779"/>
    <hyperlink r:id="rId779" ref="K780"/>
    <hyperlink r:id="rId780" ref="K781"/>
    <hyperlink r:id="rId781" ref="K782"/>
    <hyperlink r:id="rId782" ref="K783"/>
    <hyperlink r:id="rId783" ref="K784"/>
    <hyperlink r:id="rId784" ref="K785"/>
    <hyperlink r:id="rId785" ref="K786"/>
    <hyperlink r:id="rId786" ref="K787"/>
    <hyperlink r:id="rId787" ref="K788"/>
    <hyperlink r:id="rId788" ref="K789"/>
    <hyperlink r:id="rId789" ref="K790"/>
    <hyperlink r:id="rId790" ref="K791"/>
    <hyperlink r:id="rId791" ref="K792"/>
    <hyperlink r:id="rId792" ref="K793"/>
    <hyperlink r:id="rId793" ref="K794"/>
    <hyperlink r:id="rId794" ref="K795"/>
    <hyperlink r:id="rId795" ref="K796"/>
    <hyperlink r:id="rId796" ref="K797"/>
    <hyperlink r:id="rId797" ref="K798"/>
    <hyperlink r:id="rId798" ref="K799"/>
    <hyperlink r:id="rId799" ref="K800"/>
    <hyperlink r:id="rId800" ref="K801"/>
    <hyperlink r:id="rId801" ref="K802"/>
    <hyperlink r:id="rId802" ref="K803"/>
    <hyperlink r:id="rId803" ref="K804"/>
    <hyperlink r:id="rId804" ref="K805"/>
    <hyperlink r:id="rId805" ref="K806"/>
    <hyperlink r:id="rId806" ref="K807"/>
    <hyperlink r:id="rId807" ref="K808"/>
    <hyperlink r:id="rId808" ref="K809"/>
    <hyperlink r:id="rId809" ref="K810"/>
    <hyperlink r:id="rId810" ref="K811"/>
    <hyperlink r:id="rId811" ref="K812"/>
    <hyperlink r:id="rId812" ref="K813"/>
    <hyperlink r:id="rId813" ref="K814"/>
    <hyperlink r:id="rId814" ref="K815"/>
    <hyperlink r:id="rId815" ref="K816"/>
    <hyperlink r:id="rId816" ref="K817"/>
    <hyperlink r:id="rId817" ref="K818"/>
    <hyperlink r:id="rId818" ref="K819"/>
    <hyperlink r:id="rId819" ref="K820"/>
    <hyperlink r:id="rId820" ref="K821"/>
    <hyperlink r:id="rId821" ref="K822"/>
    <hyperlink r:id="rId822" ref="K823"/>
    <hyperlink r:id="rId823" ref="K824"/>
    <hyperlink r:id="rId824" ref="K825"/>
    <hyperlink r:id="rId825" ref="K826"/>
    <hyperlink r:id="rId826" ref="K827"/>
    <hyperlink r:id="rId827" ref="K828"/>
    <hyperlink r:id="rId828" ref="K829"/>
    <hyperlink r:id="rId829" ref="K830"/>
    <hyperlink r:id="rId830" ref="K831"/>
    <hyperlink r:id="rId831" ref="K832"/>
    <hyperlink r:id="rId832" ref="K833"/>
    <hyperlink r:id="rId833" ref="K834"/>
    <hyperlink r:id="rId834" ref="K835"/>
    <hyperlink r:id="rId835" ref="K836"/>
    <hyperlink r:id="rId836" ref="K837"/>
    <hyperlink r:id="rId837" ref="K838"/>
    <hyperlink r:id="rId838" ref="K839"/>
    <hyperlink r:id="rId839" ref="K840"/>
    <hyperlink r:id="rId840" ref="K841"/>
    <hyperlink r:id="rId841" ref="K842"/>
    <hyperlink r:id="rId842" ref="K843"/>
    <hyperlink r:id="rId843" ref="K844"/>
    <hyperlink r:id="rId844" ref="K845"/>
    <hyperlink r:id="rId845" ref="K846"/>
    <hyperlink r:id="rId846" ref="K847"/>
    <hyperlink r:id="rId847" ref="K848"/>
    <hyperlink r:id="rId848" ref="K849"/>
    <hyperlink r:id="rId849" ref="K850"/>
    <hyperlink r:id="rId850" ref="K851"/>
    <hyperlink r:id="rId851" ref="K852"/>
    <hyperlink r:id="rId852" ref="K853"/>
    <hyperlink r:id="rId853" ref="K854"/>
    <hyperlink r:id="rId854" ref="K855"/>
    <hyperlink r:id="rId855" ref="K856"/>
    <hyperlink r:id="rId856" ref="K857"/>
    <hyperlink r:id="rId857" ref="K858"/>
    <hyperlink r:id="rId858" ref="K859"/>
    <hyperlink r:id="rId859" ref="K860"/>
    <hyperlink r:id="rId860" ref="K861"/>
    <hyperlink r:id="rId861" ref="K862"/>
    <hyperlink r:id="rId862" ref="K863"/>
    <hyperlink r:id="rId863" ref="K864"/>
    <hyperlink r:id="rId864" ref="K865"/>
    <hyperlink r:id="rId865" ref="K866"/>
    <hyperlink r:id="rId866" ref="K867"/>
    <hyperlink r:id="rId867" ref="K868"/>
    <hyperlink r:id="rId868" ref="K869"/>
    <hyperlink r:id="rId869" ref="K870"/>
    <hyperlink r:id="rId870" ref="K871"/>
    <hyperlink r:id="rId871" ref="K872"/>
    <hyperlink r:id="rId872" ref="K873"/>
    <hyperlink r:id="rId873" ref="K874"/>
    <hyperlink r:id="rId874" ref="K875"/>
    <hyperlink r:id="rId875" ref="K876"/>
    <hyperlink r:id="rId876" ref="K877"/>
    <hyperlink r:id="rId877" ref="K878"/>
    <hyperlink r:id="rId878" ref="K879"/>
    <hyperlink r:id="rId879" ref="K880"/>
    <hyperlink r:id="rId880" ref="K881"/>
    <hyperlink r:id="rId881" ref="K882"/>
    <hyperlink r:id="rId882" ref="K883"/>
    <hyperlink r:id="rId883" ref="K884"/>
    <hyperlink r:id="rId884" ref="K885"/>
    <hyperlink r:id="rId885" ref="K886"/>
    <hyperlink r:id="rId886" ref="K887"/>
    <hyperlink r:id="rId887" ref="K888"/>
    <hyperlink r:id="rId888" ref="K889"/>
    <hyperlink r:id="rId889" ref="K890"/>
    <hyperlink r:id="rId890" ref="K891"/>
    <hyperlink r:id="rId891" ref="K892"/>
    <hyperlink r:id="rId892" ref="K893"/>
    <hyperlink r:id="rId893" ref="K894"/>
    <hyperlink r:id="rId894" ref="K895"/>
    <hyperlink r:id="rId895" ref="K896"/>
    <hyperlink r:id="rId896" ref="K897"/>
    <hyperlink r:id="rId897" ref="K898"/>
    <hyperlink r:id="rId898" ref="K899"/>
    <hyperlink r:id="rId899" ref="K900"/>
    <hyperlink r:id="rId900" ref="K901"/>
    <hyperlink r:id="rId901" ref="K902"/>
    <hyperlink r:id="rId902" ref="K903"/>
    <hyperlink r:id="rId903" ref="K904"/>
    <hyperlink r:id="rId904" ref="K905"/>
    <hyperlink r:id="rId905" ref="K906"/>
    <hyperlink r:id="rId906" ref="K907"/>
    <hyperlink r:id="rId907" ref="K908"/>
    <hyperlink r:id="rId908" ref="K909"/>
    <hyperlink r:id="rId909" ref="K910"/>
    <hyperlink r:id="rId910" ref="K911"/>
    <hyperlink r:id="rId911" ref="K912"/>
    <hyperlink r:id="rId912" ref="K913"/>
    <hyperlink r:id="rId913" ref="K914"/>
    <hyperlink r:id="rId914" ref="K915"/>
    <hyperlink r:id="rId915" ref="K916"/>
    <hyperlink r:id="rId916" ref="K917"/>
    <hyperlink r:id="rId917" ref="K918"/>
    <hyperlink r:id="rId918" ref="K919"/>
    <hyperlink r:id="rId919" ref="K920"/>
    <hyperlink r:id="rId920" ref="K921"/>
    <hyperlink r:id="rId921" ref="K922"/>
    <hyperlink r:id="rId922" ref="K923"/>
    <hyperlink r:id="rId923" ref="K924"/>
    <hyperlink r:id="rId924" ref="K925"/>
    <hyperlink r:id="rId925" ref="K926"/>
    <hyperlink r:id="rId926" ref="K927"/>
    <hyperlink r:id="rId927" ref="K928"/>
    <hyperlink r:id="rId928" ref="K929"/>
    <hyperlink r:id="rId929" ref="K930"/>
    <hyperlink r:id="rId930" ref="K931"/>
    <hyperlink r:id="rId931" ref="K932"/>
    <hyperlink r:id="rId932" ref="K933"/>
    <hyperlink r:id="rId933" ref="K934"/>
    <hyperlink r:id="rId934" ref="K935"/>
    <hyperlink r:id="rId935" ref="K936"/>
    <hyperlink r:id="rId936" ref="K937"/>
    <hyperlink r:id="rId937" ref="K938"/>
    <hyperlink r:id="rId938" ref="K939"/>
    <hyperlink r:id="rId939" ref="K940"/>
    <hyperlink r:id="rId940" ref="K941"/>
    <hyperlink r:id="rId941" ref="K942"/>
    <hyperlink r:id="rId942" ref="K943"/>
    <hyperlink r:id="rId943" ref="K944"/>
    <hyperlink r:id="rId944" ref="K945"/>
    <hyperlink r:id="rId945" ref="K946"/>
    <hyperlink r:id="rId946" ref="K947"/>
    <hyperlink r:id="rId947" ref="K948"/>
    <hyperlink r:id="rId948" ref="K949"/>
    <hyperlink r:id="rId949" ref="K950"/>
    <hyperlink r:id="rId950" ref="K951"/>
    <hyperlink r:id="rId951" ref="K952"/>
    <hyperlink r:id="rId952" ref="K953"/>
    <hyperlink r:id="rId953" ref="K954"/>
    <hyperlink r:id="rId954" ref="K955"/>
    <hyperlink r:id="rId955" ref="K956"/>
    <hyperlink r:id="rId956" ref="K957"/>
    <hyperlink r:id="rId957" ref="K958"/>
    <hyperlink r:id="rId958" ref="K959"/>
    <hyperlink r:id="rId959" ref="K960"/>
    <hyperlink r:id="rId960" ref="K961"/>
    <hyperlink r:id="rId961" ref="K962"/>
    <hyperlink r:id="rId962" ref="K963"/>
    <hyperlink r:id="rId963" ref="K964"/>
    <hyperlink r:id="rId964" ref="K965"/>
    <hyperlink r:id="rId965" ref="K966"/>
    <hyperlink r:id="rId966" ref="K967"/>
    <hyperlink r:id="rId967" ref="K968"/>
    <hyperlink r:id="rId968" ref="K969"/>
    <hyperlink r:id="rId969" ref="K970"/>
    <hyperlink r:id="rId970" ref="K971"/>
    <hyperlink r:id="rId971" ref="K972"/>
    <hyperlink r:id="rId972" ref="K973"/>
    <hyperlink r:id="rId973" ref="K974"/>
    <hyperlink r:id="rId974" ref="K975"/>
    <hyperlink r:id="rId975" ref="K976"/>
    <hyperlink r:id="rId976" ref="K977"/>
    <hyperlink r:id="rId977" ref="K978"/>
    <hyperlink r:id="rId978" ref="K979"/>
    <hyperlink r:id="rId979" ref="K980"/>
    <hyperlink r:id="rId980" ref="K981"/>
    <hyperlink r:id="rId981" ref="K982"/>
    <hyperlink r:id="rId982" ref="K983"/>
    <hyperlink r:id="rId983" ref="K984"/>
    <hyperlink r:id="rId984" ref="K985"/>
    <hyperlink r:id="rId985" ref="K986"/>
    <hyperlink r:id="rId986" ref="K987"/>
    <hyperlink r:id="rId987" ref="K988"/>
    <hyperlink r:id="rId988" ref="K989"/>
    <hyperlink r:id="rId989" ref="K990"/>
    <hyperlink r:id="rId990" ref="K991"/>
    <hyperlink r:id="rId991" ref="K992"/>
    <hyperlink r:id="rId992" ref="K993"/>
    <hyperlink r:id="rId993" ref="K994"/>
    <hyperlink r:id="rId994" ref="K995"/>
    <hyperlink r:id="rId995" ref="K996"/>
    <hyperlink r:id="rId996" ref="K997"/>
    <hyperlink r:id="rId997" ref="K998"/>
    <hyperlink r:id="rId998" ref="K999"/>
    <hyperlink r:id="rId999" ref="K1000"/>
    <hyperlink r:id="rId1000" ref="K1001"/>
    <hyperlink r:id="rId1001" ref="K1002"/>
    <hyperlink r:id="rId1002" ref="K1003"/>
    <hyperlink r:id="rId1003" ref="K1004"/>
    <hyperlink r:id="rId1004" ref="K1005"/>
    <hyperlink r:id="rId1005" ref="K1006"/>
    <hyperlink r:id="rId1006" ref="K1007"/>
    <hyperlink r:id="rId1007" ref="K1008"/>
    <hyperlink r:id="rId1008" ref="K1009"/>
    <hyperlink r:id="rId1009" ref="K1010"/>
    <hyperlink r:id="rId1010" ref="K1011"/>
    <hyperlink r:id="rId1011" ref="K1012"/>
    <hyperlink r:id="rId1012" ref="K1013"/>
    <hyperlink r:id="rId1013" ref="K1014"/>
    <hyperlink r:id="rId1014" ref="K1015"/>
    <hyperlink r:id="rId1015" ref="K1016"/>
    <hyperlink r:id="rId1016" ref="K1017"/>
    <hyperlink r:id="rId1017" ref="K1018"/>
    <hyperlink r:id="rId1018" ref="K1019"/>
    <hyperlink r:id="rId1019" ref="K1020"/>
    <hyperlink r:id="rId1020" ref="K1021"/>
    <hyperlink r:id="rId1021" ref="K1022"/>
    <hyperlink r:id="rId1022" ref="K1023"/>
    <hyperlink r:id="rId1023" ref="K1024"/>
    <hyperlink r:id="rId1024" ref="K1025"/>
    <hyperlink r:id="rId1025" ref="K1026"/>
    <hyperlink r:id="rId1026" ref="K1027"/>
    <hyperlink r:id="rId1027" ref="K1028"/>
    <hyperlink r:id="rId1028" ref="K1029"/>
    <hyperlink r:id="rId1029" ref="K1030"/>
    <hyperlink r:id="rId1030" ref="K1031"/>
    <hyperlink r:id="rId1031" ref="K1032"/>
    <hyperlink r:id="rId1032" ref="K1033"/>
    <hyperlink r:id="rId1033" ref="K1034"/>
    <hyperlink r:id="rId1034" ref="K1035"/>
    <hyperlink r:id="rId1035" ref="K1036"/>
    <hyperlink r:id="rId1036" ref="K1037"/>
    <hyperlink r:id="rId1037" ref="K1038"/>
    <hyperlink r:id="rId1038" ref="K1039"/>
    <hyperlink r:id="rId1039" ref="K1040"/>
    <hyperlink r:id="rId1040" ref="K1041"/>
    <hyperlink r:id="rId1041" ref="K1042"/>
    <hyperlink r:id="rId1042" ref="K1043"/>
    <hyperlink r:id="rId1043" ref="K1044"/>
    <hyperlink r:id="rId1044" ref="K1045"/>
    <hyperlink r:id="rId1045" ref="K1046"/>
    <hyperlink r:id="rId1046" ref="K1047"/>
    <hyperlink r:id="rId1047" ref="K1048"/>
    <hyperlink r:id="rId1048" ref="K1049"/>
    <hyperlink r:id="rId1049" ref="K1050"/>
    <hyperlink r:id="rId1050" ref="K1051"/>
    <hyperlink r:id="rId1051" ref="K1052"/>
    <hyperlink r:id="rId1052" ref="K1053"/>
    <hyperlink r:id="rId1053" ref="K1054"/>
    <hyperlink r:id="rId1054" ref="K1055"/>
    <hyperlink r:id="rId1055" ref="K1056"/>
    <hyperlink r:id="rId1056" ref="K1057"/>
    <hyperlink r:id="rId1057" ref="K1058"/>
    <hyperlink r:id="rId1058" ref="K1059"/>
    <hyperlink r:id="rId1059" ref="K1060"/>
    <hyperlink r:id="rId1060" ref="K1061"/>
    <hyperlink r:id="rId1061" ref="K1062"/>
    <hyperlink r:id="rId1062" ref="K1063"/>
    <hyperlink r:id="rId1063" ref="K1064"/>
    <hyperlink r:id="rId1064" ref="K1065"/>
    <hyperlink r:id="rId1065" ref="K1066"/>
    <hyperlink r:id="rId1066" ref="K1067"/>
    <hyperlink r:id="rId1067" ref="K1068"/>
    <hyperlink r:id="rId1068" ref="K1069"/>
    <hyperlink r:id="rId1069" ref="K1070"/>
    <hyperlink r:id="rId1070" ref="K1071"/>
    <hyperlink r:id="rId1071" ref="K1072"/>
    <hyperlink r:id="rId1072" ref="K1073"/>
    <hyperlink r:id="rId1073" ref="K1074"/>
    <hyperlink r:id="rId1074" ref="K1075"/>
    <hyperlink r:id="rId1075" ref="K1076"/>
    <hyperlink r:id="rId1076" ref="K1077"/>
    <hyperlink r:id="rId1077" ref="K1078"/>
    <hyperlink r:id="rId1078" ref="K1079"/>
    <hyperlink r:id="rId1079" ref="K1080"/>
    <hyperlink r:id="rId1080" ref="K1081"/>
    <hyperlink r:id="rId1081" ref="K1082"/>
    <hyperlink r:id="rId1082" ref="K1083"/>
    <hyperlink r:id="rId1083" ref="K1084"/>
    <hyperlink r:id="rId1084" ref="K1085"/>
    <hyperlink r:id="rId1085" ref="K1086"/>
    <hyperlink r:id="rId1086" ref="K1087"/>
    <hyperlink r:id="rId1087" ref="K1088"/>
    <hyperlink r:id="rId1088" ref="K1089"/>
    <hyperlink r:id="rId1089" ref="K1090"/>
    <hyperlink r:id="rId1090" ref="K1091"/>
    <hyperlink r:id="rId1091" ref="K1092"/>
    <hyperlink r:id="rId1092" ref="K1093"/>
    <hyperlink r:id="rId1093" ref="K1094"/>
    <hyperlink r:id="rId1094" ref="K1095"/>
    <hyperlink r:id="rId1095" ref="K1096"/>
    <hyperlink r:id="rId1096" ref="K1097"/>
    <hyperlink r:id="rId1097" ref="K1098"/>
    <hyperlink r:id="rId1098" ref="K1099"/>
    <hyperlink r:id="rId1099" ref="K1100"/>
    <hyperlink r:id="rId1100" ref="K1101"/>
    <hyperlink r:id="rId1101" ref="K1102"/>
    <hyperlink r:id="rId1102" ref="K1103"/>
    <hyperlink r:id="rId1103" ref="K1104"/>
    <hyperlink r:id="rId1104" ref="K1105"/>
    <hyperlink r:id="rId1105" ref="K1106"/>
    <hyperlink r:id="rId1106" ref="K1107"/>
    <hyperlink r:id="rId1107" ref="K1108"/>
    <hyperlink r:id="rId1108" ref="K1109"/>
    <hyperlink r:id="rId1109" ref="K1110"/>
    <hyperlink r:id="rId1110" ref="K1111"/>
    <hyperlink r:id="rId1111" ref="K1112"/>
    <hyperlink r:id="rId1112" ref="K1113"/>
    <hyperlink r:id="rId1113" ref="K1114"/>
    <hyperlink r:id="rId1114" ref="K1115"/>
    <hyperlink r:id="rId1115" ref="K1116"/>
    <hyperlink r:id="rId1116" ref="K1117"/>
    <hyperlink r:id="rId1117" ref="K1118"/>
    <hyperlink r:id="rId1118" ref="K1119"/>
    <hyperlink r:id="rId1119" ref="K1120"/>
    <hyperlink r:id="rId1120" ref="K1121"/>
    <hyperlink r:id="rId1121" ref="K1122"/>
    <hyperlink r:id="rId1122" ref="K1123"/>
    <hyperlink r:id="rId1123" ref="K1124"/>
    <hyperlink r:id="rId1124" ref="K1125"/>
    <hyperlink r:id="rId1125" ref="K1126"/>
    <hyperlink r:id="rId1126" ref="K1127"/>
    <hyperlink r:id="rId1127" ref="K1128"/>
    <hyperlink r:id="rId1128" ref="K1129"/>
    <hyperlink r:id="rId1129" ref="K1130"/>
    <hyperlink r:id="rId1130" ref="K1131"/>
    <hyperlink r:id="rId1131" ref="K1132"/>
    <hyperlink r:id="rId1132" ref="K1133"/>
    <hyperlink r:id="rId1133" ref="K1134"/>
    <hyperlink r:id="rId1134" ref="K1135"/>
    <hyperlink r:id="rId1135" ref="K1136"/>
    <hyperlink r:id="rId1136" ref="K1137"/>
    <hyperlink r:id="rId1137" ref="K1138"/>
    <hyperlink r:id="rId1138" ref="K1139"/>
    <hyperlink r:id="rId1139" ref="K1140"/>
    <hyperlink r:id="rId1140" ref="K1141"/>
    <hyperlink r:id="rId1141" ref="K1142"/>
    <hyperlink r:id="rId1142" ref="K1143"/>
    <hyperlink r:id="rId1143" ref="K1144"/>
    <hyperlink r:id="rId1144" ref="K1145"/>
    <hyperlink r:id="rId1145" ref="K1146"/>
    <hyperlink r:id="rId1146" ref="K1147"/>
    <hyperlink r:id="rId1147" ref="K1148"/>
    <hyperlink r:id="rId1148" ref="K1149"/>
    <hyperlink r:id="rId1149" ref="K1150"/>
    <hyperlink r:id="rId1150" ref="K1151"/>
    <hyperlink r:id="rId1151" ref="K1152"/>
    <hyperlink r:id="rId1152" ref="K1153"/>
    <hyperlink r:id="rId1153" ref="K1154"/>
    <hyperlink r:id="rId1154" ref="K1155"/>
    <hyperlink r:id="rId1155" ref="K1156"/>
    <hyperlink r:id="rId1156" ref="K1157"/>
    <hyperlink r:id="rId1157" ref="K1158"/>
    <hyperlink r:id="rId1158" ref="K1159"/>
    <hyperlink r:id="rId1159" ref="K1160"/>
    <hyperlink r:id="rId1160" ref="K1161"/>
    <hyperlink r:id="rId1161" ref="K1162"/>
    <hyperlink r:id="rId1162" ref="K1163"/>
    <hyperlink r:id="rId1163" ref="K1164"/>
    <hyperlink r:id="rId1164" ref="K1165"/>
    <hyperlink r:id="rId1165" ref="K1166"/>
    <hyperlink r:id="rId1166" ref="K1167"/>
    <hyperlink r:id="rId1167" ref="K1168"/>
    <hyperlink r:id="rId1168" ref="K1169"/>
    <hyperlink r:id="rId1169" ref="K1170"/>
    <hyperlink r:id="rId1170" ref="K1171"/>
    <hyperlink r:id="rId1171" ref="K1172"/>
    <hyperlink r:id="rId1172" ref="K1173"/>
    <hyperlink r:id="rId1173" ref="K1174"/>
    <hyperlink r:id="rId1174" ref="K1175"/>
    <hyperlink r:id="rId1175" ref="K1176"/>
    <hyperlink r:id="rId1176" ref="K1177"/>
    <hyperlink r:id="rId1177" ref="K1178"/>
    <hyperlink r:id="rId1178" ref="K1179"/>
    <hyperlink r:id="rId1179" ref="K1180"/>
    <hyperlink r:id="rId1180" ref="K1181"/>
    <hyperlink r:id="rId1181" ref="K1182"/>
    <hyperlink r:id="rId1182" ref="K1183"/>
    <hyperlink r:id="rId1183" ref="K1184"/>
    <hyperlink r:id="rId1184" ref="K1185"/>
    <hyperlink r:id="rId1185" ref="K1186"/>
    <hyperlink r:id="rId1186" ref="K1187"/>
    <hyperlink r:id="rId1187" ref="K1188"/>
    <hyperlink r:id="rId1188" ref="K1189"/>
    <hyperlink r:id="rId1189" ref="K1190"/>
    <hyperlink r:id="rId1190" ref="K1191"/>
    <hyperlink r:id="rId1191" ref="K1192"/>
    <hyperlink r:id="rId1192" ref="K1193"/>
    <hyperlink r:id="rId1193" ref="K1194"/>
    <hyperlink r:id="rId1194" ref="K1195"/>
    <hyperlink r:id="rId1195" ref="K1196"/>
    <hyperlink r:id="rId1196" ref="K1197"/>
    <hyperlink r:id="rId1197" ref="K1198"/>
    <hyperlink r:id="rId1198" ref="K1199"/>
    <hyperlink r:id="rId1199" ref="K1200"/>
    <hyperlink r:id="rId1200" ref="K1201"/>
    <hyperlink r:id="rId1201" ref="K1202"/>
    <hyperlink r:id="rId1202" ref="K1203"/>
    <hyperlink r:id="rId1203" ref="K1204"/>
    <hyperlink r:id="rId1204" ref="K1205"/>
    <hyperlink r:id="rId1205" ref="K1206"/>
    <hyperlink r:id="rId1206" ref="K1207"/>
    <hyperlink r:id="rId1207" ref="K1208"/>
    <hyperlink r:id="rId1208" ref="K1209"/>
    <hyperlink r:id="rId1209" ref="K1210"/>
    <hyperlink r:id="rId1210" ref="K1211"/>
    <hyperlink r:id="rId1211" ref="K1212"/>
    <hyperlink r:id="rId1212" ref="K1213"/>
    <hyperlink r:id="rId1213" ref="K1214"/>
    <hyperlink r:id="rId1214" ref="K1215"/>
    <hyperlink r:id="rId1215" ref="K1216"/>
    <hyperlink r:id="rId1216" ref="K1217"/>
    <hyperlink r:id="rId1217" ref="K1218"/>
    <hyperlink r:id="rId1218" ref="K1219"/>
    <hyperlink r:id="rId1219" ref="K1220"/>
    <hyperlink r:id="rId1220" ref="K1221"/>
    <hyperlink r:id="rId1221" ref="K1222"/>
    <hyperlink r:id="rId1222" ref="K1223"/>
    <hyperlink r:id="rId1223" ref="K1224"/>
    <hyperlink r:id="rId1224" ref="K1225"/>
    <hyperlink r:id="rId1225" ref="K1226"/>
    <hyperlink r:id="rId1226" ref="K1227"/>
    <hyperlink r:id="rId1227" ref="K1228"/>
    <hyperlink r:id="rId1228" ref="K1229"/>
    <hyperlink r:id="rId1229" ref="K1230"/>
    <hyperlink r:id="rId1230" ref="K1231"/>
    <hyperlink r:id="rId1231" ref="K1232"/>
    <hyperlink r:id="rId1232" ref="K1233"/>
    <hyperlink r:id="rId1233" ref="K1234"/>
    <hyperlink r:id="rId1234" ref="K1235"/>
    <hyperlink r:id="rId1235" ref="K1236"/>
    <hyperlink r:id="rId1236" ref="K1237"/>
    <hyperlink r:id="rId1237" ref="K1238"/>
    <hyperlink r:id="rId1238" ref="K1239"/>
    <hyperlink r:id="rId1239" ref="K1240"/>
    <hyperlink r:id="rId1240" ref="K1241"/>
    <hyperlink r:id="rId1241" ref="K1242"/>
    <hyperlink r:id="rId1242" ref="K1243"/>
    <hyperlink r:id="rId1243" ref="K1244"/>
    <hyperlink r:id="rId1244" ref="K1245"/>
    <hyperlink r:id="rId1245" ref="K1246"/>
    <hyperlink r:id="rId1246" ref="K1247"/>
    <hyperlink r:id="rId1247" ref="K1248"/>
    <hyperlink r:id="rId1248" ref="K1249"/>
    <hyperlink r:id="rId1249" ref="K1250"/>
    <hyperlink r:id="rId1250" ref="K1251"/>
    <hyperlink r:id="rId1251" ref="K1252"/>
    <hyperlink r:id="rId1252" ref="K1253"/>
    <hyperlink r:id="rId1253" ref="K1254"/>
    <hyperlink r:id="rId1254" ref="K1255"/>
    <hyperlink r:id="rId1255" ref="K1256"/>
    <hyperlink r:id="rId1256" ref="K1257"/>
    <hyperlink r:id="rId1257" ref="K1258"/>
    <hyperlink r:id="rId1258" ref="K1259"/>
    <hyperlink r:id="rId1259" ref="K1260"/>
    <hyperlink r:id="rId1260" ref="K1261"/>
    <hyperlink r:id="rId1261" ref="K1262"/>
    <hyperlink r:id="rId1262" ref="K1263"/>
    <hyperlink r:id="rId1263" ref="K1264"/>
    <hyperlink r:id="rId1264" ref="K1265"/>
    <hyperlink r:id="rId1265" ref="K1266"/>
    <hyperlink r:id="rId1266" ref="K1267"/>
    <hyperlink r:id="rId1267" ref="K1268"/>
    <hyperlink r:id="rId1268" ref="K1269"/>
    <hyperlink r:id="rId1269" ref="K1270"/>
    <hyperlink r:id="rId1270" ref="K1271"/>
    <hyperlink r:id="rId1271" ref="K1272"/>
    <hyperlink r:id="rId1272" ref="K1273"/>
    <hyperlink r:id="rId1273" ref="K1274"/>
    <hyperlink r:id="rId1274" ref="K1275"/>
    <hyperlink r:id="rId1275" ref="K1276"/>
    <hyperlink r:id="rId1276" ref="K1277"/>
    <hyperlink r:id="rId1277" ref="K1278"/>
    <hyperlink r:id="rId1278" ref="K1279"/>
    <hyperlink r:id="rId1279" ref="K1280"/>
    <hyperlink r:id="rId1280" ref="K1281"/>
    <hyperlink r:id="rId1281" ref="K1282"/>
    <hyperlink r:id="rId1282" ref="K1283"/>
    <hyperlink r:id="rId1283" ref="K1284"/>
    <hyperlink r:id="rId1284" ref="K1285"/>
    <hyperlink r:id="rId1285" ref="K1286"/>
    <hyperlink r:id="rId1286" ref="K1287"/>
    <hyperlink r:id="rId1287" ref="K1288"/>
    <hyperlink r:id="rId1288" ref="K1289"/>
    <hyperlink r:id="rId1289" ref="K1290"/>
    <hyperlink r:id="rId1290" ref="K1291"/>
    <hyperlink r:id="rId1291" ref="K1292"/>
    <hyperlink r:id="rId1292" ref="K1293"/>
    <hyperlink r:id="rId1293" ref="K1294"/>
    <hyperlink r:id="rId1294" ref="K1295"/>
    <hyperlink r:id="rId1295" ref="K1296"/>
    <hyperlink r:id="rId1296" ref="K1297"/>
    <hyperlink r:id="rId1297" ref="K1298"/>
    <hyperlink r:id="rId1298" ref="K1299"/>
    <hyperlink r:id="rId1299" ref="K1300"/>
    <hyperlink r:id="rId1300" ref="K1301"/>
    <hyperlink r:id="rId1301" ref="K1302"/>
    <hyperlink r:id="rId1302" ref="K1303"/>
    <hyperlink r:id="rId1303" ref="K1304"/>
    <hyperlink r:id="rId1304" ref="K1305"/>
    <hyperlink r:id="rId1305" ref="K1306"/>
    <hyperlink r:id="rId1306" ref="K1307"/>
    <hyperlink r:id="rId1307" ref="K1308"/>
    <hyperlink r:id="rId1308" ref="K1309"/>
    <hyperlink r:id="rId1309" ref="K1310"/>
    <hyperlink r:id="rId1310" ref="K1311"/>
    <hyperlink r:id="rId1311" ref="K1312"/>
    <hyperlink r:id="rId1312" ref="K1313"/>
    <hyperlink r:id="rId1313" ref="K1314"/>
    <hyperlink r:id="rId1314" ref="K1315"/>
    <hyperlink r:id="rId1315" ref="K1316"/>
    <hyperlink r:id="rId1316" ref="K1317"/>
    <hyperlink r:id="rId1317" ref="K1318"/>
    <hyperlink r:id="rId1318" ref="K1319"/>
    <hyperlink r:id="rId1319" ref="K1320"/>
    <hyperlink r:id="rId1320" ref="K1321"/>
    <hyperlink r:id="rId1321" ref="K1322"/>
    <hyperlink r:id="rId1322" ref="K1323"/>
    <hyperlink r:id="rId1323" ref="K1324"/>
    <hyperlink r:id="rId1324" ref="K1325"/>
    <hyperlink r:id="rId1325" ref="K1326"/>
    <hyperlink r:id="rId1326" ref="K1327"/>
    <hyperlink r:id="rId1327" ref="K1328"/>
    <hyperlink r:id="rId1328" ref="K1329"/>
    <hyperlink r:id="rId1329" ref="K1330"/>
    <hyperlink r:id="rId1330" ref="K1331"/>
    <hyperlink r:id="rId1331" ref="K1332"/>
    <hyperlink r:id="rId1332" ref="K1333"/>
    <hyperlink r:id="rId1333" ref="K1334"/>
    <hyperlink r:id="rId1334" ref="K1335"/>
    <hyperlink r:id="rId1335" ref="K1336"/>
    <hyperlink r:id="rId1336" ref="K1337"/>
    <hyperlink r:id="rId1337" ref="K1338"/>
    <hyperlink r:id="rId1338" ref="K1339"/>
    <hyperlink r:id="rId1339" ref="K1340"/>
    <hyperlink r:id="rId1340" ref="K1341"/>
    <hyperlink r:id="rId1341" ref="K1342"/>
    <hyperlink r:id="rId1342" ref="K1343"/>
    <hyperlink r:id="rId1343" ref="K1344"/>
    <hyperlink r:id="rId1344" ref="K1345"/>
    <hyperlink r:id="rId1345" ref="K1346"/>
    <hyperlink r:id="rId1346" ref="K1347"/>
    <hyperlink r:id="rId1347" ref="K1348"/>
    <hyperlink r:id="rId1348" ref="K1349"/>
    <hyperlink r:id="rId1349" ref="K1350"/>
    <hyperlink r:id="rId1350" ref="K1351"/>
    <hyperlink r:id="rId1351" ref="K1352"/>
    <hyperlink r:id="rId1352" ref="K1353"/>
    <hyperlink r:id="rId1353" ref="K1354"/>
    <hyperlink r:id="rId1354" ref="K1355"/>
    <hyperlink r:id="rId1355" ref="K1356"/>
    <hyperlink r:id="rId1356" ref="K1357"/>
    <hyperlink r:id="rId1357" ref="K1358"/>
    <hyperlink r:id="rId1358" ref="K1359"/>
    <hyperlink r:id="rId1359" ref="K1360"/>
    <hyperlink r:id="rId1360" ref="K1361"/>
    <hyperlink r:id="rId1361" ref="K1362"/>
    <hyperlink r:id="rId1362" ref="K1363"/>
    <hyperlink r:id="rId1363" ref="K1364"/>
    <hyperlink r:id="rId1364" ref="K1365"/>
    <hyperlink r:id="rId1365" ref="K1366"/>
    <hyperlink r:id="rId1366" ref="K1367"/>
    <hyperlink r:id="rId1367" ref="K1368"/>
    <hyperlink r:id="rId1368" ref="K1369"/>
    <hyperlink r:id="rId1369" ref="K1370"/>
    <hyperlink r:id="rId1370" ref="K1371"/>
    <hyperlink r:id="rId1371" ref="K1372"/>
  </hyperlinks>
  <drawing r:id="rId137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3" t="str">
        <f>IFERROR(__xludf.DUMMYFUNCTION("QUERY('Expected Realizations'!A1:Z1000 ,""Select * Where L Contains 'GTa' and G Contains 'Turkey'"",1)"),"EP ID_Opp ID")</f>
        <v>EP ID_Opp ID</v>
      </c>
      <c r="B1" s="43" t="str">
        <f>IFERROR(__xludf.DUMMYFUNCTION("""COMPUTED_VALUE"""),"Full Name")</f>
        <v>Full Name</v>
      </c>
      <c r="C1" s="43" t="str">
        <f>IFERROR(__xludf.DUMMYFUNCTION("""COMPUTED_VALUE"""),"Status")</f>
        <v>Status</v>
      </c>
      <c r="D1" s="43" t="str">
        <f>IFERROR(__xludf.DUMMYFUNCTION("""COMPUTED_VALUE"""),"Remote Realized?")</f>
        <v>Remote Realized?</v>
      </c>
      <c r="E1" s="43" t="str">
        <f>IFERROR(__xludf.DUMMYFUNCTION("""COMPUTED_VALUE"""),"Email")</f>
        <v>Email</v>
      </c>
      <c r="F1" s="43" t="str">
        <f>IFERROR(__xludf.DUMMYFUNCTION("""COMPUTED_VALUE"""),"Phone Number")</f>
        <v>Phone Number</v>
      </c>
      <c r="G1" s="43" t="str">
        <f>IFERROR(__xludf.DUMMYFUNCTION("""COMPUTED_VALUE"""),"Home MC")</f>
        <v>Home MC</v>
      </c>
      <c r="H1" s="43" t="str">
        <f>IFERROR(__xludf.DUMMYFUNCTION("""COMPUTED_VALUE"""),"Home LC")</f>
        <v>Home LC</v>
      </c>
      <c r="I1" s="43" t="str">
        <f>IFERROR(__xludf.DUMMYFUNCTION("""COMPUTED_VALUE"""),"Host MC")</f>
        <v>Host MC</v>
      </c>
      <c r="J1" s="43" t="str">
        <f>IFERROR(__xludf.DUMMYFUNCTION("""COMPUTED_VALUE"""),"Host LC")</f>
        <v>Host LC</v>
      </c>
      <c r="K1" s="43" t="str">
        <f>IFERROR(__xludf.DUMMYFUNCTION("""COMPUTED_VALUE"""),"Oppprtunity")</f>
        <v>Oppprtunity</v>
      </c>
      <c r="L1" s="43" t="str">
        <f>IFERROR(__xludf.DUMMYFUNCTION("""COMPUTED_VALUE"""),"Product")</f>
        <v>Product</v>
      </c>
      <c r="M1" s="43" t="str">
        <f>IFERROR(__xludf.DUMMYFUNCTION("""COMPUTED_VALUE"""),"Duration Type")</f>
        <v>Duration Type</v>
      </c>
      <c r="N1" s="43" t="str">
        <f>IFERROR(__xludf.DUMMYFUNCTION("""COMPUTED_VALUE"""),"Date Approved")</f>
        <v>Date Approved</v>
      </c>
      <c r="O1" s="43" t="str">
        <f>IFERROR(__xludf.DUMMYFUNCTION("""COMPUTED_VALUE"""),"Slot Start Date")</f>
        <v>Slot Start Date</v>
      </c>
      <c r="P1" s="43" t="str">
        <f>IFERROR(__xludf.DUMMYFUNCTION("""COMPUTED_VALUE"""),"Slot End Date")</f>
        <v>Slot End Date</v>
      </c>
      <c r="Q1" s="43" t="str">
        <f>IFERROR(__xludf.DUMMYFUNCTION("""COMPUTED_VALUE"""),"Date Realized")</f>
        <v>Date Realized</v>
      </c>
      <c r="R1" s="43" t="str">
        <f>IFERROR(__xludf.DUMMYFUNCTION("""COMPUTED_VALUE"""),"Experience End Date")</f>
        <v>Experience End Date</v>
      </c>
      <c r="S1" s="43" t="str">
        <f>IFERROR(__xludf.DUMMYFUNCTION("""COMPUTED_VALUE"""),"Remote Realized Date")</f>
        <v>Remote Realized Date</v>
      </c>
      <c r="T1" s="43" t="str">
        <f>IFERROR(__xludf.DUMMYFUNCTION("""COMPUTED_VALUE"""),"Sub Product")</f>
        <v>Sub Product</v>
      </c>
      <c r="U1" s="43" t="str">
        <f>IFERROR(__xludf.DUMMYFUNCTION("""COMPUTED_VALUE"""),"Title")</f>
        <v>Title</v>
      </c>
      <c r="V1" s="43" t="str">
        <f>IFERROR(__xludf.DUMMYFUNCTION("""COMPUTED_VALUE"""),"Campus")</f>
        <v>Campus</v>
      </c>
      <c r="W1" s="43" t="str">
        <f>IFERROR(__xludf.DUMMYFUNCTION("""COMPUTED_VALUE"""),"Signup Date")</f>
        <v>Signup Date</v>
      </c>
      <c r="X1" s="43" t="str">
        <f>IFERROR(__xludf.DUMMYFUNCTION("""COMPUTED_VALUE"""),"")</f>
        <v/>
      </c>
      <c r="Y1" s="43" t="str">
        <f>IFERROR(__xludf.DUMMYFUNCTION("""COMPUTED_VALUE"""),"")</f>
        <v/>
      </c>
      <c r="Z1" s="43" t="str">
        <f>IFERROR(__xludf.DUMMYFUNCTION("""COMPUTED_VALUE"""),"")</f>
        <v/>
      </c>
    </row>
    <row r="2" hidden="1">
      <c r="A2" s="43" t="str">
        <f>IFERROR(__xludf.DUMMYFUNCTION("""COMPUTED_VALUE"""),"4582126_1286474")</f>
        <v>4582126_1286474</v>
      </c>
      <c r="B2" s="43" t="str">
        <f>IFERROR(__xludf.DUMMYFUNCTION("""COMPUTED_VALUE"""),"Ceren Balay")</f>
        <v>Ceren Balay</v>
      </c>
      <c r="C2" s="43" t="str">
        <f>IFERROR(__xludf.DUMMYFUNCTION("""COMPUTED_VALUE"""),"completed")</f>
        <v>completed</v>
      </c>
      <c r="D2" s="43" t="str">
        <f>IFERROR(__xludf.DUMMYFUNCTION("""COMPUTED_VALUE"""),"No")</f>
        <v>No</v>
      </c>
      <c r="E2" s="43" t="str">
        <f>IFERROR(__xludf.DUMMYFUNCTION("""COMPUTED_VALUE"""),"p_76e0134ca356840d930dadaf3771f9105d9dec42@inbound.aiesec.org")</f>
        <v>p_76e0134ca356840d930dadaf3771f9105d9dec42@inbound.aiesec.org</v>
      </c>
      <c r="F2" s="43">
        <f>IFERROR(__xludf.DUMMYFUNCTION("""COMPUTED_VALUE"""),1.746643068E9)</f>
        <v>1746643068</v>
      </c>
      <c r="G2" s="43" t="str">
        <f>IFERROR(__xludf.DUMMYFUNCTION("""COMPUTED_VALUE"""),"Turkey")</f>
        <v>Turkey</v>
      </c>
      <c r="H2" s="43" t="str">
        <f>IFERROR(__xludf.DUMMYFUNCTION("""COMPUTED_VALUE"""),"ISTANBUL ASIA")</f>
        <v>ISTANBUL ASIA</v>
      </c>
      <c r="I2" s="43" t="str">
        <f>IFERROR(__xludf.DUMMYFUNCTION("""COMPUTED_VALUE"""),"Greece")</f>
        <v>Greece</v>
      </c>
      <c r="J2" s="43" t="str">
        <f>IFERROR(__xludf.DUMMYFUNCTION("""COMPUTED_VALUE"""),"NKUA")</f>
        <v>NKUA</v>
      </c>
      <c r="K2" s="44" t="str">
        <f>IFERROR(__xludf.DUMMYFUNCTION("""COMPUTED_VALUE"""),"https://expa.aiesec.org/opportunities/1286474")</f>
        <v>https://expa.aiesec.org/opportunities/1286474</v>
      </c>
      <c r="L2" s="43" t="str">
        <f>IFERROR(__xludf.DUMMYFUNCTION("""COMPUTED_VALUE"""),"GTa")</f>
        <v>GTa</v>
      </c>
      <c r="M2" s="43" t="str">
        <f>IFERROR(__xludf.DUMMYFUNCTION("""COMPUTED_VALUE"""),"short")</f>
        <v>short</v>
      </c>
      <c r="N2" s="45">
        <f>IFERROR(__xludf.DUMMYFUNCTION("""COMPUTED_VALUE"""),44746.0)</f>
        <v>44746</v>
      </c>
      <c r="O2" s="45">
        <f>IFERROR(__xludf.DUMMYFUNCTION("""COMPUTED_VALUE"""),44743.0)</f>
        <v>44743</v>
      </c>
      <c r="P2" s="45">
        <f>IFERROR(__xludf.DUMMYFUNCTION("""COMPUTED_VALUE"""),44785.0)</f>
        <v>44785</v>
      </c>
      <c r="Q2" s="45">
        <f>IFERROR(__xludf.DUMMYFUNCTION("""COMPUTED_VALUE"""),44753.0)</f>
        <v>44753</v>
      </c>
      <c r="R2" s="45">
        <f>IFERROR(__xludf.DUMMYFUNCTION("""COMPUTED_VALUE"""),44796.0)</f>
        <v>44796</v>
      </c>
      <c r="S2" s="43"/>
      <c r="T2" s="43" t="str">
        <f>IFERROR(__xludf.DUMMYFUNCTION("""COMPUTED_VALUE"""),"Business Administration")</f>
        <v>Business Administration</v>
      </c>
      <c r="U2" s="43" t="str">
        <f>IFERROR(__xludf.DUMMYFUNCTION("""COMPUTED_VALUE"""),"Customer Support Agent")</f>
        <v>Customer Support Agent</v>
      </c>
      <c r="V2" s="43" t="str">
        <f>IFERROR(__xludf.DUMMYFUNCTION("""COMPUTED_VALUE"""),"ISTANBUL ASIA")</f>
        <v>ISTANBUL ASIA</v>
      </c>
      <c r="W2" s="43" t="str">
        <f>IFERROR(__xludf.DUMMYFUNCTION("""COMPUTED_VALUE"""),"2021-03-17T17:36:10Z")</f>
        <v>2021-03-17T17:36:10Z</v>
      </c>
      <c r="X2" s="43"/>
      <c r="Y2" s="43"/>
      <c r="Z2" s="43"/>
    </row>
    <row r="3" hidden="1">
      <c r="A3" s="43" t="str">
        <f>IFERROR(__xludf.DUMMYFUNCTION("""COMPUTED_VALUE"""),"3210636_1286732")</f>
        <v>3210636_1286732</v>
      </c>
      <c r="B3" s="43" t="str">
        <f>IFERROR(__xludf.DUMMYFUNCTION("""COMPUTED_VALUE"""),"Mert Taha ORTANCA")</f>
        <v>Mert Taha ORTANCA</v>
      </c>
      <c r="C3" s="43" t="str">
        <f>IFERROR(__xludf.DUMMYFUNCTION("""COMPUTED_VALUE"""),"finished")</f>
        <v>finished</v>
      </c>
      <c r="D3" s="43" t="str">
        <f>IFERROR(__xludf.DUMMYFUNCTION("""COMPUTED_VALUE"""),"No")</f>
        <v>No</v>
      </c>
      <c r="E3" s="43" t="str">
        <f>IFERROR(__xludf.DUMMYFUNCTION("""COMPUTED_VALUE"""),"p_965db90756ce80fd61a1fc1999b6be1bdad5db65@inbound.aiesec.org")</f>
        <v>p_965db90756ce80fd61a1fc1999b6be1bdad5db65@inbound.aiesec.org</v>
      </c>
      <c r="F3" s="43">
        <f>IFERROR(__xludf.DUMMYFUNCTION("""COMPUTED_VALUE"""),5.343412769E9)</f>
        <v>5343412769</v>
      </c>
      <c r="G3" s="43" t="str">
        <f>IFERROR(__xludf.DUMMYFUNCTION("""COMPUTED_VALUE"""),"Turkey")</f>
        <v>Turkey</v>
      </c>
      <c r="H3" s="43" t="str">
        <f>IFERROR(__xludf.DUMMYFUNCTION("""COMPUTED_VALUE"""),"ANKARA")</f>
        <v>ANKARA</v>
      </c>
      <c r="I3" s="43" t="str">
        <f>IFERROR(__xludf.DUMMYFUNCTION("""COMPUTED_VALUE"""),"Germany")</f>
        <v>Germany</v>
      </c>
      <c r="J3" s="43" t="str">
        <f>IFERROR(__xludf.DUMMYFUNCTION("""COMPUTED_VALUE"""),"BONN")</f>
        <v>BONN</v>
      </c>
      <c r="K3" s="44" t="str">
        <f>IFERROR(__xludf.DUMMYFUNCTION("""COMPUTED_VALUE"""),"https://expa.aiesec.org/opportunities/1286732")</f>
        <v>https://expa.aiesec.org/opportunities/1286732</v>
      </c>
      <c r="L3" s="43" t="str">
        <f>IFERROR(__xludf.DUMMYFUNCTION("""COMPUTED_VALUE"""),"GTa")</f>
        <v>GTa</v>
      </c>
      <c r="M3" s="43" t="str">
        <f>IFERROR(__xludf.DUMMYFUNCTION("""COMPUTED_VALUE"""),"long")</f>
        <v>long</v>
      </c>
      <c r="N3" s="45">
        <f>IFERROR(__xludf.DUMMYFUNCTION("""COMPUTED_VALUE"""),44747.0)</f>
        <v>44747</v>
      </c>
      <c r="O3" s="45">
        <f>IFERROR(__xludf.DUMMYFUNCTION("""COMPUTED_VALUE"""),44774.0)</f>
        <v>44774</v>
      </c>
      <c r="P3" s="45">
        <f>IFERROR(__xludf.DUMMYFUNCTION("""COMPUTED_VALUE"""),45138.0)</f>
        <v>45138</v>
      </c>
      <c r="Q3" s="45">
        <f>IFERROR(__xludf.DUMMYFUNCTION("""COMPUTED_VALUE"""),44955.0)</f>
        <v>44955</v>
      </c>
      <c r="R3" s="45">
        <f>IFERROR(__xludf.DUMMYFUNCTION("""COMPUTED_VALUE"""),45319.0)</f>
        <v>45319</v>
      </c>
      <c r="S3" s="43"/>
      <c r="T3" s="43" t="str">
        <f>IFERROR(__xludf.DUMMYFUNCTION("""COMPUTED_VALUE"""),"Marketing")</f>
        <v>Marketing</v>
      </c>
      <c r="U3" s="43" t="str">
        <f>IFERROR(__xludf.DUMMYFUNCTION("""COMPUTED_VALUE"""),"Intern Global Marketing and Social Medias")</f>
        <v>Intern Global Marketing and Social Medias</v>
      </c>
      <c r="V3" s="43" t="str">
        <f>IFERROR(__xludf.DUMMYFUNCTION("""COMPUTED_VALUE"""),"ANKARA")</f>
        <v>ANKARA</v>
      </c>
      <c r="W3" s="43" t="str">
        <f>IFERROR(__xludf.DUMMYFUNCTION("""COMPUTED_VALUE"""),"2019-03-12T13:56:01Z")</f>
        <v>2019-03-12T13:56:01Z</v>
      </c>
      <c r="X3" s="43"/>
      <c r="Y3" s="43"/>
      <c r="Z3" s="43"/>
    </row>
    <row r="4" hidden="1">
      <c r="A4" s="43" t="str">
        <f>IFERROR(__xludf.DUMMYFUNCTION("""COMPUTED_VALUE"""),"5076222_1286047")</f>
        <v>5076222_1286047</v>
      </c>
      <c r="B4" s="43" t="str">
        <f>IFERROR(__xludf.DUMMYFUNCTION("""COMPUTED_VALUE"""),"ali emre gültekin")</f>
        <v>ali emre gültekin</v>
      </c>
      <c r="C4" s="43" t="str">
        <f>IFERROR(__xludf.DUMMYFUNCTION("""COMPUTED_VALUE"""),"completed")</f>
        <v>completed</v>
      </c>
      <c r="D4" s="43" t="str">
        <f>IFERROR(__xludf.DUMMYFUNCTION("""COMPUTED_VALUE"""),"No")</f>
        <v>No</v>
      </c>
      <c r="E4" s="43" t="str">
        <f>IFERROR(__xludf.DUMMYFUNCTION("""COMPUTED_VALUE"""),"p_07fe3721d3444a6a7e945b06cb97d032846f4f5f@inbound.aiesec.org")</f>
        <v>p_07fe3721d3444a6a7e945b06cb97d032846f4f5f@inbound.aiesec.org</v>
      </c>
      <c r="F4" s="43"/>
      <c r="G4" s="43" t="str">
        <f>IFERROR(__xludf.DUMMYFUNCTION("""COMPUTED_VALUE"""),"Turkey")</f>
        <v>Turkey</v>
      </c>
      <c r="H4" s="43" t="str">
        <f>IFERROR(__xludf.DUMMYFUNCTION("""COMPUTED_VALUE"""),"KONYA")</f>
        <v>KONYA</v>
      </c>
      <c r="I4" s="43" t="str">
        <f>IFERROR(__xludf.DUMMYFUNCTION("""COMPUTED_VALUE"""),"Serbia")</f>
        <v>Serbia</v>
      </c>
      <c r="J4" s="43" t="str">
        <f>IFERROR(__xludf.DUMMYFUNCTION("""COMPUTED_VALUE"""),"Belgrade Faculty of Economics (EF)")</f>
        <v>Belgrade Faculty of Economics (EF)</v>
      </c>
      <c r="K4" s="44" t="str">
        <f>IFERROR(__xludf.DUMMYFUNCTION("""COMPUTED_VALUE"""),"https://expa.aiesec.org/opportunities/1286047")</f>
        <v>https://expa.aiesec.org/opportunities/1286047</v>
      </c>
      <c r="L4" s="43" t="str">
        <f>IFERROR(__xludf.DUMMYFUNCTION("""COMPUTED_VALUE"""),"GTa")</f>
        <v>GTa</v>
      </c>
      <c r="M4" s="43" t="str">
        <f>IFERROR(__xludf.DUMMYFUNCTION("""COMPUTED_VALUE"""),"short")</f>
        <v>short</v>
      </c>
      <c r="N4" s="45">
        <f>IFERROR(__xludf.DUMMYFUNCTION("""COMPUTED_VALUE"""),44748.0)</f>
        <v>44748</v>
      </c>
      <c r="O4" s="45">
        <f>IFERROR(__xludf.DUMMYFUNCTION("""COMPUTED_VALUE"""),44753.0)</f>
        <v>44753</v>
      </c>
      <c r="P4" s="45">
        <f>IFERROR(__xludf.DUMMYFUNCTION("""COMPUTED_VALUE"""),44809.0)</f>
        <v>44809</v>
      </c>
      <c r="Q4" s="45">
        <f>IFERROR(__xludf.DUMMYFUNCTION("""COMPUTED_VALUE"""),44753.0)</f>
        <v>44753</v>
      </c>
      <c r="R4" s="45">
        <f>IFERROR(__xludf.DUMMYFUNCTION("""COMPUTED_VALUE"""),44809.0)</f>
        <v>44809</v>
      </c>
      <c r="S4" s="43"/>
      <c r="T4" s="43" t="str">
        <f>IFERROR(__xludf.DUMMYFUNCTION("""COMPUTED_VALUE"""),"Information Technology")</f>
        <v>Information Technology</v>
      </c>
      <c r="U4" s="43" t="str">
        <f>IFERROR(__xludf.DUMMYFUNCTION("""COMPUTED_VALUE"""),"Game Designer")</f>
        <v>Game Designer</v>
      </c>
      <c r="V4" s="43" t="str">
        <f>IFERROR(__xludf.DUMMYFUNCTION("""COMPUTED_VALUE"""),"-")</f>
        <v>-</v>
      </c>
      <c r="W4" s="43" t="str">
        <f>IFERROR(__xludf.DUMMYFUNCTION("""COMPUTED_VALUE"""),"2022-06-24T13:14:50Z")</f>
        <v>2022-06-24T13:14:50Z</v>
      </c>
      <c r="X4" s="43"/>
      <c r="Y4" s="43"/>
      <c r="Z4" s="43"/>
    </row>
    <row r="5" hidden="1">
      <c r="A5" s="43" t="str">
        <f>IFERROR(__xludf.DUMMYFUNCTION("""COMPUTED_VALUE"""),"5073601_1287460")</f>
        <v>5073601_1287460</v>
      </c>
      <c r="B5" s="43" t="str">
        <f>IFERROR(__xludf.DUMMYFUNCTION("""COMPUTED_VALUE"""),"salih turgut")</f>
        <v>salih turgut</v>
      </c>
      <c r="C5" s="43" t="str">
        <f>IFERROR(__xludf.DUMMYFUNCTION("""COMPUTED_VALUE"""),"completed")</f>
        <v>completed</v>
      </c>
      <c r="D5" s="43" t="str">
        <f>IFERROR(__xludf.DUMMYFUNCTION("""COMPUTED_VALUE"""),"No")</f>
        <v>No</v>
      </c>
      <c r="E5" s="43" t="str">
        <f>IFERROR(__xludf.DUMMYFUNCTION("""COMPUTED_VALUE"""),"p_960a81cf013d959fdc932e250f72f8929925c0a2@inbound.aiesec.org")</f>
        <v>p_960a81cf013d959fdc932e250f72f8929925c0a2@inbound.aiesec.org</v>
      </c>
      <c r="F5" s="43">
        <f>IFERROR(__xludf.DUMMYFUNCTION("""COMPUTED_VALUE"""),5.464771043E9)</f>
        <v>5464771043</v>
      </c>
      <c r="G5" s="43" t="str">
        <f>IFERROR(__xludf.DUMMYFUNCTION("""COMPUTED_VALUE"""),"Turkey")</f>
        <v>Turkey</v>
      </c>
      <c r="H5" s="43" t="str">
        <f>IFERROR(__xludf.DUMMYFUNCTION("""COMPUTED_VALUE"""),"ISTANBUL")</f>
        <v>ISTANBUL</v>
      </c>
      <c r="I5" s="43" t="str">
        <f>IFERROR(__xludf.DUMMYFUNCTION("""COMPUTED_VALUE"""),"Pakistan")</f>
        <v>Pakistan</v>
      </c>
      <c r="J5" s="43" t="str">
        <f>IFERROR(__xludf.DUMMYFUNCTION("""COMPUTED_VALUE"""),"Islamabad")</f>
        <v>Islamabad</v>
      </c>
      <c r="K5" s="44" t="str">
        <f>IFERROR(__xludf.DUMMYFUNCTION("""COMPUTED_VALUE"""),"https://expa.aiesec.org/opportunities/1287460")</f>
        <v>https://expa.aiesec.org/opportunities/1287460</v>
      </c>
      <c r="L5" s="43" t="str">
        <f>IFERROR(__xludf.DUMMYFUNCTION("""COMPUTED_VALUE"""),"GTa")</f>
        <v>GTa</v>
      </c>
      <c r="M5" s="43" t="str">
        <f>IFERROR(__xludf.DUMMYFUNCTION("""COMPUTED_VALUE"""),"short")</f>
        <v>short</v>
      </c>
      <c r="N5" s="45">
        <f>IFERROR(__xludf.DUMMYFUNCTION("""COMPUTED_VALUE"""),44751.0)</f>
        <v>44751</v>
      </c>
      <c r="O5" s="45">
        <f>IFERROR(__xludf.DUMMYFUNCTION("""COMPUTED_VALUE"""),44768.0)</f>
        <v>44768</v>
      </c>
      <c r="P5" s="45">
        <f>IFERROR(__xludf.DUMMYFUNCTION("""COMPUTED_VALUE"""),44810.0)</f>
        <v>44810</v>
      </c>
      <c r="Q5" s="45">
        <f>IFERROR(__xludf.DUMMYFUNCTION("""COMPUTED_VALUE"""),44790.0)</f>
        <v>44790</v>
      </c>
      <c r="R5" s="45">
        <f>IFERROR(__xludf.DUMMYFUNCTION("""COMPUTED_VALUE"""),44821.0)</f>
        <v>44821</v>
      </c>
      <c r="S5" s="43"/>
      <c r="T5" s="43" t="str">
        <f>IFERROR(__xludf.DUMMYFUNCTION("""COMPUTED_VALUE"""),"Marketing")</f>
        <v>Marketing</v>
      </c>
      <c r="U5" s="43" t="str">
        <f>IFERROR(__xludf.DUMMYFUNCTION("""COMPUTED_VALUE"""),"Social Media Manager  ")</f>
        <v>Social Media Manager  </v>
      </c>
      <c r="V5" s="43" t="str">
        <f>IFERROR(__xludf.DUMMYFUNCTION("""COMPUTED_VALUE"""),"ISTANBUL - BEYOGLU")</f>
        <v>ISTANBUL - BEYOGLU</v>
      </c>
      <c r="W5" s="43" t="str">
        <f>IFERROR(__xludf.DUMMYFUNCTION("""COMPUTED_VALUE"""),"2022-06-16T23:14:27Z")</f>
        <v>2022-06-16T23:14:27Z</v>
      </c>
      <c r="X5" s="43"/>
      <c r="Y5" s="43"/>
      <c r="Z5" s="43"/>
    </row>
    <row r="6" hidden="1">
      <c r="A6" s="43" t="str">
        <f>IFERROR(__xludf.DUMMYFUNCTION("""COMPUTED_VALUE"""),"3329326_1286880")</f>
        <v>3329326_1286880</v>
      </c>
      <c r="B6" s="43" t="str">
        <f>IFERROR(__xludf.DUMMYFUNCTION("""COMPUTED_VALUE"""),"Halime ARSLAN")</f>
        <v>Halime ARSLAN</v>
      </c>
      <c r="C6" s="43" t="str">
        <f>IFERROR(__xludf.DUMMYFUNCTION("""COMPUTED_VALUE"""),"completed")</f>
        <v>completed</v>
      </c>
      <c r="D6" s="43" t="str">
        <f>IFERROR(__xludf.DUMMYFUNCTION("""COMPUTED_VALUE"""),"No")</f>
        <v>No</v>
      </c>
      <c r="E6" s="43" t="str">
        <f>IFERROR(__xludf.DUMMYFUNCTION("""COMPUTED_VALUE"""),"p_9f8993aa175e8eb3135eea09c022c00f17871bb3@inbound.aiesec.org")</f>
        <v>p_9f8993aa175e8eb3135eea09c022c00f17871bb3@inbound.aiesec.org</v>
      </c>
      <c r="F6" s="43">
        <f>IFERROR(__xludf.DUMMYFUNCTION("""COMPUTED_VALUE"""),5.383834725E9)</f>
        <v>5383834725</v>
      </c>
      <c r="G6" s="43" t="str">
        <f>IFERROR(__xludf.DUMMYFUNCTION("""COMPUTED_VALUE"""),"Turkey")</f>
        <v>Turkey</v>
      </c>
      <c r="H6" s="43" t="str">
        <f>IFERROR(__xludf.DUMMYFUNCTION("""COMPUTED_VALUE"""),"ISTANBUL")</f>
        <v>ISTANBUL</v>
      </c>
      <c r="I6" s="43" t="str">
        <f>IFERROR(__xludf.DUMMYFUNCTION("""COMPUTED_VALUE"""),"Germany")</f>
        <v>Germany</v>
      </c>
      <c r="J6" s="43" t="str">
        <f>IFERROR(__xludf.DUMMYFUNCTION("""COMPUTED_VALUE"""),"BONN")</f>
        <v>BONN</v>
      </c>
      <c r="K6" s="44" t="str">
        <f>IFERROR(__xludf.DUMMYFUNCTION("""COMPUTED_VALUE"""),"https://expa.aiesec.org/opportunities/1286880")</f>
        <v>https://expa.aiesec.org/opportunities/1286880</v>
      </c>
      <c r="L6" s="43" t="str">
        <f>IFERROR(__xludf.DUMMYFUNCTION("""COMPUTED_VALUE"""),"GTa")</f>
        <v>GTa</v>
      </c>
      <c r="M6" s="43" t="str">
        <f>IFERROR(__xludf.DUMMYFUNCTION("""COMPUTED_VALUE"""),"long")</f>
        <v>long</v>
      </c>
      <c r="N6" s="45">
        <f>IFERROR(__xludf.DUMMYFUNCTION("""COMPUTED_VALUE"""),44751.0)</f>
        <v>44751</v>
      </c>
      <c r="O6" s="45">
        <f>IFERROR(__xludf.DUMMYFUNCTION("""COMPUTED_VALUE"""),44805.0)</f>
        <v>44805</v>
      </c>
      <c r="P6" s="45">
        <f>IFERROR(__xludf.DUMMYFUNCTION("""COMPUTED_VALUE"""),45169.0)</f>
        <v>45169</v>
      </c>
      <c r="Q6" s="45">
        <f>IFERROR(__xludf.DUMMYFUNCTION("""COMPUTED_VALUE"""),44890.0)</f>
        <v>44890</v>
      </c>
      <c r="R6" s="45">
        <f>IFERROR(__xludf.DUMMYFUNCTION("""COMPUTED_VALUE"""),45254.0)</f>
        <v>45254</v>
      </c>
      <c r="S6" s="43"/>
      <c r="T6" s="43" t="str">
        <f>IFERROR(__xludf.DUMMYFUNCTION("""COMPUTED_VALUE"""),"Finance")</f>
        <v>Finance</v>
      </c>
      <c r="U6" s="43" t="str">
        <f>IFERROR(__xludf.DUMMYFUNCTION("""COMPUTED_VALUE"""),"Global CoE Robotic Process Automation Intern")</f>
        <v>Global CoE Robotic Process Automation Intern</v>
      </c>
      <c r="V6" s="43" t="str">
        <f>IFERROR(__xludf.DUMMYFUNCTION("""COMPUTED_VALUE"""),"ISTANBUL - BEYOGLU")</f>
        <v>ISTANBUL - BEYOGLU</v>
      </c>
      <c r="W6" s="43" t="str">
        <f>IFERROR(__xludf.DUMMYFUNCTION("""COMPUTED_VALUE"""),"2019-04-14T12:06:02Z")</f>
        <v>2019-04-14T12:06:02Z</v>
      </c>
      <c r="X6" s="43"/>
      <c r="Y6" s="43"/>
      <c r="Z6" s="43"/>
    </row>
    <row r="7" hidden="1">
      <c r="A7" s="43" t="str">
        <f>IFERROR(__xludf.DUMMYFUNCTION("""COMPUTED_VALUE"""),"1452156_1286875")</f>
        <v>1452156_1286875</v>
      </c>
      <c r="B7" s="43" t="str">
        <f>IFERROR(__xludf.DUMMYFUNCTION("""COMPUTED_VALUE"""),"Tarık Tamer Tamer Çete")</f>
        <v>Tarık Tamer Tamer Çete</v>
      </c>
      <c r="C7" s="43" t="str">
        <f>IFERROR(__xludf.DUMMYFUNCTION("""COMPUTED_VALUE"""),"completed")</f>
        <v>completed</v>
      </c>
      <c r="D7" s="43" t="str">
        <f>IFERROR(__xludf.DUMMYFUNCTION("""COMPUTED_VALUE"""),"No")</f>
        <v>No</v>
      </c>
      <c r="E7" s="43" t="str">
        <f>IFERROR(__xludf.DUMMYFUNCTION("""COMPUTED_VALUE"""),"p_5583ee170289c4a7d800ba5cdbabfadd9cd7f7b2@inbound.aiesec.org")</f>
        <v>p_5583ee170289c4a7d800ba5cdbabfadd9cd7f7b2@inbound.aiesec.org</v>
      </c>
      <c r="F7" s="43"/>
      <c r="G7" s="43" t="str">
        <f>IFERROR(__xludf.DUMMYFUNCTION("""COMPUTED_VALUE"""),"Turkey")</f>
        <v>Turkey</v>
      </c>
      <c r="H7" s="43" t="str">
        <f>IFERROR(__xludf.DUMMYFUNCTION("""COMPUTED_VALUE"""),"ISTANBUL")</f>
        <v>ISTANBUL</v>
      </c>
      <c r="I7" s="43" t="str">
        <f>IFERROR(__xludf.DUMMYFUNCTION("""COMPUTED_VALUE"""),"Germany")</f>
        <v>Germany</v>
      </c>
      <c r="J7" s="43" t="str">
        <f>IFERROR(__xludf.DUMMYFUNCTION("""COMPUTED_VALUE"""),"BONN")</f>
        <v>BONN</v>
      </c>
      <c r="K7" s="44" t="str">
        <f>IFERROR(__xludf.DUMMYFUNCTION("""COMPUTED_VALUE"""),"https://expa.aiesec.org/opportunities/1286875")</f>
        <v>https://expa.aiesec.org/opportunities/1286875</v>
      </c>
      <c r="L7" s="43" t="str">
        <f>IFERROR(__xludf.DUMMYFUNCTION("""COMPUTED_VALUE"""),"GTa")</f>
        <v>GTa</v>
      </c>
      <c r="M7" s="43" t="str">
        <f>IFERROR(__xludf.DUMMYFUNCTION("""COMPUTED_VALUE"""),"long")</f>
        <v>long</v>
      </c>
      <c r="N7" s="45">
        <f>IFERROR(__xludf.DUMMYFUNCTION("""COMPUTED_VALUE"""),44755.0)</f>
        <v>44755</v>
      </c>
      <c r="O7" s="45">
        <f>IFERROR(__xludf.DUMMYFUNCTION("""COMPUTED_VALUE"""),44774.0)</f>
        <v>44774</v>
      </c>
      <c r="P7" s="45">
        <f>IFERROR(__xludf.DUMMYFUNCTION("""COMPUTED_VALUE"""),45138.0)</f>
        <v>45138</v>
      </c>
      <c r="Q7" s="45">
        <f>IFERROR(__xludf.DUMMYFUNCTION("""COMPUTED_VALUE"""),44819.0)</f>
        <v>44819</v>
      </c>
      <c r="R7" s="45">
        <f>IFERROR(__xludf.DUMMYFUNCTION("""COMPUTED_VALUE"""),45180.0)</f>
        <v>45180</v>
      </c>
      <c r="S7" s="43"/>
      <c r="T7" s="43" t="str">
        <f>IFERROR(__xludf.DUMMYFUNCTION("""COMPUTED_VALUE"""),"Other")</f>
        <v>Other</v>
      </c>
      <c r="U7" s="43" t="str">
        <f>IFERROR(__xludf.DUMMYFUNCTION("""COMPUTED_VALUE"""),"Intern Global Sourcing Digital Services and New Technologies")</f>
        <v>Intern Global Sourcing Digital Services and New Technologies</v>
      </c>
      <c r="V7" s="43" t="str">
        <f>IFERROR(__xludf.DUMMYFUNCTION("""COMPUTED_VALUE"""),"-")</f>
        <v>-</v>
      </c>
      <c r="W7" s="43" t="str">
        <f>IFERROR(__xludf.DUMMYFUNCTION("""COMPUTED_VALUE"""),"2017-03-26T06:22:56Z")</f>
        <v>2017-03-26T06:22:56Z</v>
      </c>
      <c r="X7" s="43"/>
      <c r="Y7" s="43"/>
      <c r="Z7" s="43"/>
    </row>
    <row r="8" hidden="1">
      <c r="A8" s="43" t="str">
        <f>IFERROR(__xludf.DUMMYFUNCTION("""COMPUTED_VALUE"""),"5039129_1286641")</f>
        <v>5039129_1286641</v>
      </c>
      <c r="B8" s="43" t="str">
        <f>IFERROR(__xludf.DUMMYFUNCTION("""COMPUTED_VALUE"""),"Enes Ayduran")</f>
        <v>Enes Ayduran</v>
      </c>
      <c r="C8" s="43" t="str">
        <f>IFERROR(__xludf.DUMMYFUNCTION("""COMPUTED_VALUE"""),"completed")</f>
        <v>completed</v>
      </c>
      <c r="D8" s="43" t="str">
        <f>IFERROR(__xludf.DUMMYFUNCTION("""COMPUTED_VALUE"""),"No")</f>
        <v>No</v>
      </c>
      <c r="E8" s="43" t="str">
        <f>IFERROR(__xludf.DUMMYFUNCTION("""COMPUTED_VALUE"""),"p_af55b7ca28b5325cc414444e9ccf2a45ba0fdb01@inbound.aiesec.org")</f>
        <v>p_af55b7ca28b5325cc414444e9ccf2a45ba0fdb01@inbound.aiesec.org</v>
      </c>
      <c r="F8" s="43"/>
      <c r="G8" s="43" t="str">
        <f>IFERROR(__xludf.DUMMYFUNCTION("""COMPUTED_VALUE"""),"Turkey")</f>
        <v>Turkey</v>
      </c>
      <c r="H8" s="43" t="str">
        <f>IFERROR(__xludf.DUMMYFUNCTION("""COMPUTED_VALUE"""),"İZMİR")</f>
        <v>İZMİR</v>
      </c>
      <c r="I8" s="43" t="str">
        <f>IFERROR(__xludf.DUMMYFUNCTION("""COMPUTED_VALUE"""),"Austria")</f>
        <v>Austria</v>
      </c>
      <c r="J8" s="43" t="str">
        <f>IFERROR(__xludf.DUMMYFUNCTION("""COMPUTED_VALUE"""),"GRAZ")</f>
        <v>GRAZ</v>
      </c>
      <c r="K8" s="44" t="str">
        <f>IFERROR(__xludf.DUMMYFUNCTION("""COMPUTED_VALUE"""),"https://expa.aiesec.org/opportunities/1286641")</f>
        <v>https://expa.aiesec.org/opportunities/1286641</v>
      </c>
      <c r="L8" s="43" t="str">
        <f>IFERROR(__xludf.DUMMYFUNCTION("""COMPUTED_VALUE"""),"GTa")</f>
        <v>GTa</v>
      </c>
      <c r="M8" s="43" t="str">
        <f>IFERROR(__xludf.DUMMYFUNCTION("""COMPUTED_VALUE"""),"long")</f>
        <v>long</v>
      </c>
      <c r="N8" s="45">
        <f>IFERROR(__xludf.DUMMYFUNCTION("""COMPUTED_VALUE"""),44768.0)</f>
        <v>44768</v>
      </c>
      <c r="O8" s="45">
        <f>IFERROR(__xludf.DUMMYFUNCTION("""COMPUTED_VALUE"""),44774.0)</f>
        <v>44774</v>
      </c>
      <c r="P8" s="45">
        <f>IFERROR(__xludf.DUMMYFUNCTION("""COMPUTED_VALUE"""),44965.0)</f>
        <v>44965</v>
      </c>
      <c r="Q8" s="45">
        <f>IFERROR(__xludf.DUMMYFUNCTION("""COMPUTED_VALUE"""),44837.0)</f>
        <v>44837</v>
      </c>
      <c r="R8" s="45">
        <f>IFERROR(__xludf.DUMMYFUNCTION("""COMPUTED_VALUE"""),45016.0)</f>
        <v>45016</v>
      </c>
      <c r="S8" s="43"/>
      <c r="T8" s="43" t="str">
        <f>IFERROR(__xludf.DUMMYFUNCTION("""COMPUTED_VALUE"""),"Information Technology")</f>
        <v>Information Technology</v>
      </c>
      <c r="U8" s="43" t="str">
        <f>IFERROR(__xludf.DUMMYFUNCTION("""COMPUTED_VALUE"""),"Developer (Embedded Robotics or Back/Frontend)")</f>
        <v>Developer (Embedded Robotics or Back/Frontend)</v>
      </c>
      <c r="V8" s="43" t="str">
        <f>IFERROR(__xludf.DUMMYFUNCTION("""COMPUTED_VALUE"""),"IZMIR")</f>
        <v>IZMIR</v>
      </c>
      <c r="W8" s="43" t="str">
        <f>IFERROR(__xludf.DUMMYFUNCTION("""COMPUTED_VALUE"""),"2022-04-14T16:29:17Z")</f>
        <v>2022-04-14T16:29:17Z</v>
      </c>
      <c r="X8" s="43"/>
      <c r="Y8" s="43"/>
      <c r="Z8" s="43"/>
    </row>
    <row r="9" hidden="1">
      <c r="A9" s="43" t="str">
        <f>IFERROR(__xludf.DUMMYFUNCTION("""COMPUTED_VALUE"""),"5027270_1279294")</f>
        <v>5027270_1279294</v>
      </c>
      <c r="B9" s="43" t="str">
        <f>IFERROR(__xludf.DUMMYFUNCTION("""COMPUTED_VALUE"""),"Gökçe Nur Pulat")</f>
        <v>Gökçe Nur Pulat</v>
      </c>
      <c r="C9" s="43" t="str">
        <f>IFERROR(__xludf.DUMMYFUNCTION("""COMPUTED_VALUE"""),"completed")</f>
        <v>completed</v>
      </c>
      <c r="D9" s="43" t="str">
        <f>IFERROR(__xludf.DUMMYFUNCTION("""COMPUTED_VALUE"""),"No")</f>
        <v>No</v>
      </c>
      <c r="E9" s="43" t="str">
        <f>IFERROR(__xludf.DUMMYFUNCTION("""COMPUTED_VALUE"""),"p_5d65dd3d468691047c57ada7c634becc435524d2@inbound.aiesec.org")</f>
        <v>p_5d65dd3d468691047c57ada7c634becc435524d2@inbound.aiesec.org</v>
      </c>
      <c r="F9" s="43">
        <f>IFERROR(__xludf.DUMMYFUNCTION("""COMPUTED_VALUE"""),5.050444855E9)</f>
        <v>5050444855</v>
      </c>
      <c r="G9" s="43" t="str">
        <f>IFERROR(__xludf.DUMMYFUNCTION("""COMPUTED_VALUE"""),"Turkey")</f>
        <v>Turkey</v>
      </c>
      <c r="H9" s="43" t="str">
        <f>IFERROR(__xludf.DUMMYFUNCTION("""COMPUTED_VALUE"""),"ANKARA")</f>
        <v>ANKARA</v>
      </c>
      <c r="I9" s="43" t="str">
        <f>IFERROR(__xludf.DUMMYFUNCTION("""COMPUTED_VALUE"""),"Romania")</f>
        <v>Romania</v>
      </c>
      <c r="J9" s="43" t="str">
        <f>IFERROR(__xludf.DUMMYFUNCTION("""COMPUTED_VALUE"""),"Cluj-Napoca")</f>
        <v>Cluj-Napoca</v>
      </c>
      <c r="K9" s="44" t="str">
        <f>IFERROR(__xludf.DUMMYFUNCTION("""COMPUTED_VALUE"""),"https://expa.aiesec.org/opportunities/1279294")</f>
        <v>https://expa.aiesec.org/opportunities/1279294</v>
      </c>
      <c r="L9" s="43" t="str">
        <f>IFERROR(__xludf.DUMMYFUNCTION("""COMPUTED_VALUE"""),"GTa")</f>
        <v>GTa</v>
      </c>
      <c r="M9" s="43" t="str">
        <f>IFERROR(__xludf.DUMMYFUNCTION("""COMPUTED_VALUE"""),"short")</f>
        <v>short</v>
      </c>
      <c r="N9" s="45">
        <f>IFERROR(__xludf.DUMMYFUNCTION("""COMPUTED_VALUE"""),44771.0)</f>
        <v>44771</v>
      </c>
      <c r="O9" s="45">
        <f>IFERROR(__xludf.DUMMYFUNCTION("""COMPUTED_VALUE"""),44784.0)</f>
        <v>44784</v>
      </c>
      <c r="P9" s="45">
        <f>IFERROR(__xludf.DUMMYFUNCTION("""COMPUTED_VALUE"""),44826.0)</f>
        <v>44826</v>
      </c>
      <c r="Q9" s="45">
        <f>IFERROR(__xludf.DUMMYFUNCTION("""COMPUTED_VALUE"""),44776.0)</f>
        <v>44776</v>
      </c>
      <c r="R9" s="45">
        <f>IFERROR(__xludf.DUMMYFUNCTION("""COMPUTED_VALUE"""),44816.0)</f>
        <v>44816</v>
      </c>
      <c r="S9" s="43"/>
      <c r="T9" s="43" t="str">
        <f>IFERROR(__xludf.DUMMYFUNCTION("""COMPUTED_VALUE"""),"Information Technology")</f>
        <v>Information Technology</v>
      </c>
      <c r="U9" s="43" t="str">
        <f>IFERROR(__xludf.DUMMYFUNCTION("""COMPUTED_VALUE"""),"Accelerate Romania - Front-end Developer ")</f>
        <v>Accelerate Romania - Front-end Developer </v>
      </c>
      <c r="V9" s="43" t="str">
        <f>IFERROR(__xludf.DUMMYFUNCTION("""COMPUTED_VALUE"""),"ANKARA")</f>
        <v>ANKARA</v>
      </c>
      <c r="W9" s="43" t="str">
        <f>IFERROR(__xludf.DUMMYFUNCTION("""COMPUTED_VALUE"""),"2022-04-06T15:53:55Z")</f>
        <v>2022-04-06T15:53:55Z</v>
      </c>
      <c r="X9" s="43"/>
      <c r="Y9" s="43"/>
      <c r="Z9" s="43"/>
    </row>
    <row r="10" hidden="1">
      <c r="A10" s="43" t="str">
        <f>IFERROR(__xludf.DUMMYFUNCTION("""COMPUTED_VALUE"""),"5080103_1287655")</f>
        <v>5080103_1287655</v>
      </c>
      <c r="B10" s="43" t="str">
        <f>IFERROR(__xludf.DUMMYFUNCTION("""COMPUTED_VALUE"""),"Ezgi OZDEMIROGLU")</f>
        <v>Ezgi OZDEMIROGLU</v>
      </c>
      <c r="C10" s="43" t="str">
        <f>IFERROR(__xludf.DUMMYFUNCTION("""COMPUTED_VALUE"""),"completed")</f>
        <v>completed</v>
      </c>
      <c r="D10" s="43" t="str">
        <f>IFERROR(__xludf.DUMMYFUNCTION("""COMPUTED_VALUE"""),"No")</f>
        <v>No</v>
      </c>
      <c r="E10" s="43" t="str">
        <f>IFERROR(__xludf.DUMMYFUNCTION("""COMPUTED_VALUE"""),"p_e3a31f4aa332a5721b43632ee10d15c7fa2d91d6@inbound.aiesec.org")</f>
        <v>p_e3a31f4aa332a5721b43632ee10d15c7fa2d91d6@inbound.aiesec.org</v>
      </c>
      <c r="F10" s="43"/>
      <c r="G10" s="43" t="str">
        <f>IFERROR(__xludf.DUMMYFUNCTION("""COMPUTED_VALUE"""),"Turkey")</f>
        <v>Turkey</v>
      </c>
      <c r="H10" s="43" t="str">
        <f>IFERROR(__xludf.DUMMYFUNCTION("""COMPUTED_VALUE"""),"EASTERN MEDITERRANEAN")</f>
        <v>EASTERN MEDITERRANEAN</v>
      </c>
      <c r="I10" s="43" t="str">
        <f>IFERROR(__xludf.DUMMYFUNCTION("""COMPUTED_VALUE"""),"Romania")</f>
        <v>Romania</v>
      </c>
      <c r="J10" s="43" t="str">
        <f>IFERROR(__xludf.DUMMYFUNCTION("""COMPUTED_VALUE"""),"Cluj-Napoca")</f>
        <v>Cluj-Napoca</v>
      </c>
      <c r="K10" s="44" t="str">
        <f>IFERROR(__xludf.DUMMYFUNCTION("""COMPUTED_VALUE"""),"https://expa.aiesec.org/opportunities/1287655")</f>
        <v>https://expa.aiesec.org/opportunities/1287655</v>
      </c>
      <c r="L10" s="43" t="str">
        <f>IFERROR(__xludf.DUMMYFUNCTION("""COMPUTED_VALUE"""),"GTa")</f>
        <v>GTa</v>
      </c>
      <c r="M10" s="43" t="str">
        <f>IFERROR(__xludf.DUMMYFUNCTION("""COMPUTED_VALUE"""),"short")</f>
        <v>short</v>
      </c>
      <c r="N10" s="45">
        <f>IFERROR(__xludf.DUMMYFUNCTION("""COMPUTED_VALUE"""),44771.0)</f>
        <v>44771</v>
      </c>
      <c r="O10" s="45">
        <f>IFERROR(__xludf.DUMMYFUNCTION("""COMPUTED_VALUE"""),44760.0)</f>
        <v>44760</v>
      </c>
      <c r="P10" s="45">
        <f>IFERROR(__xludf.DUMMYFUNCTION("""COMPUTED_VALUE"""),44813.0)</f>
        <v>44813</v>
      </c>
      <c r="Q10" s="45">
        <f>IFERROR(__xludf.DUMMYFUNCTION("""COMPUTED_VALUE"""),44799.0)</f>
        <v>44799</v>
      </c>
      <c r="R10" s="45">
        <f>IFERROR(__xludf.DUMMYFUNCTION("""COMPUTED_VALUE"""),44839.0)</f>
        <v>44839</v>
      </c>
      <c r="S10" s="43"/>
      <c r="T10" s="43" t="str">
        <f>IFERROR(__xludf.DUMMYFUNCTION("""COMPUTED_VALUE"""),"Information Technology")</f>
        <v>Information Technology</v>
      </c>
      <c r="U10" s="43" t="str">
        <f>IFERROR(__xludf.DUMMYFUNCTION("""COMPUTED_VALUE"""),"Accelerate Romania - Artificial Intelligence")</f>
        <v>Accelerate Romania - Artificial Intelligence</v>
      </c>
      <c r="V10" s="43" t="str">
        <f>IFERROR(__xludf.DUMMYFUNCTION("""COMPUTED_VALUE"""),"-")</f>
        <v>-</v>
      </c>
      <c r="W10" s="43" t="str">
        <f>IFERROR(__xludf.DUMMYFUNCTION("""COMPUTED_VALUE"""),"2022-07-05T22:52:37Z")</f>
        <v>2022-07-05T22:52:37Z</v>
      </c>
      <c r="X10" s="43"/>
      <c r="Y10" s="43"/>
      <c r="Z10" s="43"/>
    </row>
    <row r="11" hidden="1">
      <c r="A11" s="43" t="str">
        <f>IFERROR(__xludf.DUMMYFUNCTION("""COMPUTED_VALUE"""),"5059649_1288371")</f>
        <v>5059649_1288371</v>
      </c>
      <c r="B11" s="43" t="str">
        <f>IFERROR(__xludf.DUMMYFUNCTION("""COMPUTED_VALUE"""),"Efkan Ergün")</f>
        <v>Efkan Ergün</v>
      </c>
      <c r="C11" s="43" t="str">
        <f>IFERROR(__xludf.DUMMYFUNCTION("""COMPUTED_VALUE"""),"completed")</f>
        <v>completed</v>
      </c>
      <c r="D11" s="43" t="str">
        <f>IFERROR(__xludf.DUMMYFUNCTION("""COMPUTED_VALUE"""),"No")</f>
        <v>No</v>
      </c>
      <c r="E11" s="43" t="str">
        <f>IFERROR(__xludf.DUMMYFUNCTION("""COMPUTED_VALUE"""),"p_ca9d37d28f3cea9594dd64dcc3296a7ab3e67645@inbound.aiesec.org")</f>
        <v>p_ca9d37d28f3cea9594dd64dcc3296a7ab3e67645@inbound.aiesec.org</v>
      </c>
      <c r="F11" s="43">
        <f>IFERROR(__xludf.DUMMYFUNCTION("""COMPUTED_VALUE"""),5.372510067E9)</f>
        <v>5372510067</v>
      </c>
      <c r="G11" s="43" t="str">
        <f>IFERROR(__xludf.DUMMYFUNCTION("""COMPUTED_VALUE"""),"Turkey")</f>
        <v>Turkey</v>
      </c>
      <c r="H11" s="43" t="str">
        <f>IFERROR(__xludf.DUMMYFUNCTION("""COMPUTED_VALUE"""),"BURSA")</f>
        <v>BURSA</v>
      </c>
      <c r="I11" s="43" t="str">
        <f>IFERROR(__xludf.DUMMYFUNCTION("""COMPUTED_VALUE"""),"India")</f>
        <v>India</v>
      </c>
      <c r="J11" s="43" t="str">
        <f>IFERROR(__xludf.DUMMYFUNCTION("""COMPUTED_VALUE"""),"Delhi University")</f>
        <v>Delhi University</v>
      </c>
      <c r="K11" s="44" t="str">
        <f>IFERROR(__xludf.DUMMYFUNCTION("""COMPUTED_VALUE"""),"https://expa.aiesec.org/opportunities/1288371")</f>
        <v>https://expa.aiesec.org/opportunities/1288371</v>
      </c>
      <c r="L11" s="43" t="str">
        <f>IFERROR(__xludf.DUMMYFUNCTION("""COMPUTED_VALUE"""),"GTa")</f>
        <v>GTa</v>
      </c>
      <c r="M11" s="43" t="str">
        <f>IFERROR(__xludf.DUMMYFUNCTION("""COMPUTED_VALUE"""),"long")</f>
        <v>long</v>
      </c>
      <c r="N11" s="45">
        <f>IFERROR(__xludf.DUMMYFUNCTION("""COMPUTED_VALUE"""),44774.0)</f>
        <v>44774</v>
      </c>
      <c r="O11" s="45">
        <f>IFERROR(__xludf.DUMMYFUNCTION("""COMPUTED_VALUE"""),44809.0)</f>
        <v>44809</v>
      </c>
      <c r="P11" s="45">
        <f>IFERROR(__xludf.DUMMYFUNCTION("""COMPUTED_VALUE"""),45173.0)</f>
        <v>45173</v>
      </c>
      <c r="Q11" s="45">
        <f>IFERROR(__xludf.DUMMYFUNCTION("""COMPUTED_VALUE"""),44824.0)</f>
        <v>44824</v>
      </c>
      <c r="R11" s="45">
        <f>IFERROR(__xludf.DUMMYFUNCTION("""COMPUTED_VALUE"""),45187.0)</f>
        <v>45187</v>
      </c>
      <c r="S11" s="43"/>
      <c r="T11" s="43" t="str">
        <f>IFERROR(__xludf.DUMMYFUNCTION("""COMPUTED_VALUE"""),"Marketing")</f>
        <v>Marketing</v>
      </c>
      <c r="U11" s="43" t="str">
        <f>IFERROR(__xludf.DUMMYFUNCTION("""COMPUTED_VALUE"""),"International Sales Manager")</f>
        <v>International Sales Manager</v>
      </c>
      <c r="V11" s="43" t="str">
        <f>IFERROR(__xludf.DUMMYFUNCTION("""COMPUTED_VALUE"""),"BURSA")</f>
        <v>BURSA</v>
      </c>
      <c r="W11" s="43" t="str">
        <f>IFERROR(__xludf.DUMMYFUNCTION("""COMPUTED_VALUE"""),"2022-05-18T22:41:40Z")</f>
        <v>2022-05-18T22:41:40Z</v>
      </c>
      <c r="X11" s="43"/>
      <c r="Y11" s="43"/>
      <c r="Z11" s="43"/>
    </row>
    <row r="12" hidden="1">
      <c r="A12" s="43" t="str">
        <f>IFERROR(__xludf.DUMMYFUNCTION("""COMPUTED_VALUE"""),"1560568_1286753")</f>
        <v>1560568_1286753</v>
      </c>
      <c r="B12" s="43" t="str">
        <f>IFERROR(__xludf.DUMMYFUNCTION("""COMPUTED_VALUE"""),"Cavidan Firuze Ozcan")</f>
        <v>Cavidan Firuze Ozcan</v>
      </c>
      <c r="C12" s="43" t="str">
        <f>IFERROR(__xludf.DUMMYFUNCTION("""COMPUTED_VALUE"""),"finished")</f>
        <v>finished</v>
      </c>
      <c r="D12" s="43" t="str">
        <f>IFERROR(__xludf.DUMMYFUNCTION("""COMPUTED_VALUE"""),"No")</f>
        <v>No</v>
      </c>
      <c r="E12" s="43" t="str">
        <f>IFERROR(__xludf.DUMMYFUNCTION("""COMPUTED_VALUE"""),"p_5b57f867dc0501dfb3f628877d294163eb5cefc7@inbound.aiesec.org")</f>
        <v>p_5b57f867dc0501dfb3f628877d294163eb5cefc7@inbound.aiesec.org</v>
      </c>
      <c r="F12" s="43">
        <f>IFERROR(__xludf.DUMMYFUNCTION("""COMPUTED_VALUE"""),5.418025485E9)</f>
        <v>5418025485</v>
      </c>
      <c r="G12" s="43" t="str">
        <f>IFERROR(__xludf.DUMMYFUNCTION("""COMPUTED_VALUE"""),"Turkey")</f>
        <v>Turkey</v>
      </c>
      <c r="H12" s="43" t="str">
        <f>IFERROR(__xludf.DUMMYFUNCTION("""COMPUTED_VALUE"""),"ISTANBUL ASIA")</f>
        <v>ISTANBUL ASIA</v>
      </c>
      <c r="I12" s="43" t="str">
        <f>IFERROR(__xludf.DUMMYFUNCTION("""COMPUTED_VALUE"""),"Denmark")</f>
        <v>Denmark</v>
      </c>
      <c r="J12" s="43" t="str">
        <f>IFERROR(__xludf.DUMMYFUNCTION("""COMPUTED_VALUE"""),"Copenhagen")</f>
        <v>Copenhagen</v>
      </c>
      <c r="K12" s="44" t="str">
        <f>IFERROR(__xludf.DUMMYFUNCTION("""COMPUTED_VALUE"""),"https://expa.aiesec.org/opportunities/1286753")</f>
        <v>https://expa.aiesec.org/opportunities/1286753</v>
      </c>
      <c r="L12" s="43" t="str">
        <f>IFERROR(__xludf.DUMMYFUNCTION("""COMPUTED_VALUE"""),"GTa")</f>
        <v>GTa</v>
      </c>
      <c r="M12" s="43" t="str">
        <f>IFERROR(__xludf.DUMMYFUNCTION("""COMPUTED_VALUE"""),"long")</f>
        <v>long</v>
      </c>
      <c r="N12" s="45">
        <f>IFERROR(__xludf.DUMMYFUNCTION("""COMPUTED_VALUE"""),44804.0)</f>
        <v>44804</v>
      </c>
      <c r="O12" s="45">
        <f>IFERROR(__xludf.DUMMYFUNCTION("""COMPUTED_VALUE"""),44866.0)</f>
        <v>44866</v>
      </c>
      <c r="P12" s="45">
        <f>IFERROR(__xludf.DUMMYFUNCTION("""COMPUTED_VALUE"""),45231.0)</f>
        <v>45231</v>
      </c>
      <c r="Q12" s="45">
        <f>IFERROR(__xludf.DUMMYFUNCTION("""COMPUTED_VALUE"""),44872.0)</f>
        <v>44872</v>
      </c>
      <c r="R12" s="45">
        <f>IFERROR(__xludf.DUMMYFUNCTION("""COMPUTED_VALUE"""),45231.0)</f>
        <v>45231</v>
      </c>
      <c r="S12" s="43"/>
      <c r="T12" s="43" t="str">
        <f>IFERROR(__xludf.DUMMYFUNCTION("""COMPUTED_VALUE"""),"Information Technology")</f>
        <v>Information Technology</v>
      </c>
      <c r="U12" s="43" t="str">
        <f>IFERROR(__xludf.DUMMYFUNCTION("""COMPUTED_VALUE"""),"SAP Consultant and developer")</f>
        <v>SAP Consultant and developer</v>
      </c>
      <c r="V12" s="43" t="str">
        <f>IFERROR(__xludf.DUMMYFUNCTION("""COMPUTED_VALUE"""),"-")</f>
        <v>-</v>
      </c>
      <c r="W12" s="43" t="str">
        <f>IFERROR(__xludf.DUMMYFUNCTION("""COMPUTED_VALUE"""),"2017-05-08T18:43:23Z")</f>
        <v>2017-05-08T18:43:23Z</v>
      </c>
      <c r="X12" s="43"/>
      <c r="Y12" s="43"/>
      <c r="Z12" s="43"/>
    </row>
    <row r="13" hidden="1">
      <c r="A13" s="43" t="str">
        <f>IFERROR(__xludf.DUMMYFUNCTION("""COMPUTED_VALUE"""),"5120144_1287551")</f>
        <v>5120144_1287551</v>
      </c>
      <c r="B13" s="43" t="str">
        <f>IFERROR(__xludf.DUMMYFUNCTION("""COMPUTED_VALUE"""),"Kerem DUZENLI")</f>
        <v>Kerem DUZENLI</v>
      </c>
      <c r="C13" s="43" t="str">
        <f>IFERROR(__xludf.DUMMYFUNCTION("""COMPUTED_VALUE"""),"completed")</f>
        <v>completed</v>
      </c>
      <c r="D13" s="43" t="str">
        <f>IFERROR(__xludf.DUMMYFUNCTION("""COMPUTED_VALUE"""),"No")</f>
        <v>No</v>
      </c>
      <c r="E13" s="43" t="str">
        <f>IFERROR(__xludf.DUMMYFUNCTION("""COMPUTED_VALUE"""),"p_e13d4c6332f516efdcc0742b96753c5372f43282@inbound.aiesec.org")</f>
        <v>p_e13d4c6332f516efdcc0742b96753c5372f43282@inbound.aiesec.org</v>
      </c>
      <c r="F13" s="43">
        <f>IFERROR(__xludf.DUMMYFUNCTION("""COMPUTED_VALUE"""),5.33430994E9)</f>
        <v>5334309940</v>
      </c>
      <c r="G13" s="43" t="str">
        <f>IFERROR(__xludf.DUMMYFUNCTION("""COMPUTED_VALUE"""),"Turkey")</f>
        <v>Turkey</v>
      </c>
      <c r="H13" s="43" t="str">
        <f>IFERROR(__xludf.DUMMYFUNCTION("""COMPUTED_VALUE"""),"ISTANBUL")</f>
        <v>ISTANBUL</v>
      </c>
      <c r="I13" s="43" t="str">
        <f>IFERROR(__xludf.DUMMYFUNCTION("""COMPUTED_VALUE"""),"Brazil")</f>
        <v>Brazil</v>
      </c>
      <c r="J13" s="43" t="str">
        <f>IFERROR(__xludf.DUMMYFUNCTION("""COMPUTED_VALUE"""),"FRANCA")</f>
        <v>FRANCA</v>
      </c>
      <c r="K13" s="44" t="str">
        <f>IFERROR(__xludf.DUMMYFUNCTION("""COMPUTED_VALUE"""),"https://expa.aiesec.org/opportunities/1287551")</f>
        <v>https://expa.aiesec.org/opportunities/1287551</v>
      </c>
      <c r="L13" s="43" t="str">
        <f>IFERROR(__xludf.DUMMYFUNCTION("""COMPUTED_VALUE"""),"GTa")</f>
        <v>GTa</v>
      </c>
      <c r="M13" s="43" t="str">
        <f>IFERROR(__xludf.DUMMYFUNCTION("""COMPUTED_VALUE"""),"long")</f>
        <v>long</v>
      </c>
      <c r="N13" s="45">
        <f>IFERROR(__xludf.DUMMYFUNCTION("""COMPUTED_VALUE"""),44831.0)</f>
        <v>44831</v>
      </c>
      <c r="O13" s="45">
        <f>IFERROR(__xludf.DUMMYFUNCTION("""COMPUTED_VALUE"""),44834.0)</f>
        <v>44834</v>
      </c>
      <c r="P13" s="45">
        <f>IFERROR(__xludf.DUMMYFUNCTION("""COMPUTED_VALUE"""),45198.0)</f>
        <v>45198</v>
      </c>
      <c r="Q13" s="45">
        <f>IFERROR(__xludf.DUMMYFUNCTION("""COMPUTED_VALUE"""),44890.0)</f>
        <v>44890</v>
      </c>
      <c r="R13" s="45">
        <f>IFERROR(__xludf.DUMMYFUNCTION("""COMPUTED_VALUE"""),45254.0)</f>
        <v>45254</v>
      </c>
      <c r="S13" s="43"/>
      <c r="T13" s="43" t="str">
        <f>IFERROR(__xludf.DUMMYFUNCTION("""COMPUTED_VALUE"""),"Information Technology")</f>
        <v>Information Technology</v>
      </c>
      <c r="U13" s="43" t="str">
        <f>IFERROR(__xludf.DUMMYFUNCTION("""COMPUTED_VALUE"""),"Impact Brazil! IT Intern")</f>
        <v>Impact Brazil! IT Intern</v>
      </c>
      <c r="V13" s="43" t="str">
        <f>IFERROR(__xludf.DUMMYFUNCTION("""COMPUTED_VALUE"""),"ISTANBUL - BEYOGLU")</f>
        <v>ISTANBUL - BEYOGLU</v>
      </c>
      <c r="W13" s="43" t="str">
        <f>IFERROR(__xludf.DUMMYFUNCTION("""COMPUTED_VALUE"""),"2022-09-26T23:18:32Z")</f>
        <v>2022-09-26T23:18:32Z</v>
      </c>
      <c r="X13" s="43"/>
      <c r="Y13" s="43"/>
      <c r="Z13" s="43"/>
    </row>
    <row r="14" hidden="1">
      <c r="A14" s="43" t="str">
        <f>IFERROR(__xludf.DUMMYFUNCTION("""COMPUTED_VALUE"""),"5104059_1268725")</f>
        <v>5104059_1268725</v>
      </c>
      <c r="B14" s="43" t="str">
        <f>IFERROR(__xludf.DUMMYFUNCTION("""COMPUTED_VALUE"""),"Muhammed Ali Sarimese")</f>
        <v>Muhammed Ali Sarimese</v>
      </c>
      <c r="C14" s="43" t="str">
        <f>IFERROR(__xludf.DUMMYFUNCTION("""COMPUTED_VALUE"""),"realized")</f>
        <v>realized</v>
      </c>
      <c r="D14" s="43" t="str">
        <f>IFERROR(__xludf.DUMMYFUNCTION("""COMPUTED_VALUE"""),"No")</f>
        <v>No</v>
      </c>
      <c r="E14" s="43" t="str">
        <f>IFERROR(__xludf.DUMMYFUNCTION("""COMPUTED_VALUE"""),"p_fee781705edaa833af384ed6414ad9226969c234@inbound.aiesec.org")</f>
        <v>p_fee781705edaa833af384ed6414ad9226969c234@inbound.aiesec.org</v>
      </c>
      <c r="F14" s="43">
        <f>IFERROR(__xludf.DUMMYFUNCTION("""COMPUTED_VALUE"""),5.39450035E8)</f>
        <v>539450035</v>
      </c>
      <c r="G14" s="43" t="str">
        <f>IFERROR(__xludf.DUMMYFUNCTION("""COMPUTED_VALUE"""),"Turkey")</f>
        <v>Turkey</v>
      </c>
      <c r="H14" s="43" t="str">
        <f>IFERROR(__xludf.DUMMYFUNCTION("""COMPUTED_VALUE"""),"ADANA")</f>
        <v>ADANA</v>
      </c>
      <c r="I14" s="43" t="str">
        <f>IFERROR(__xludf.DUMMYFUNCTION("""COMPUTED_VALUE"""),"Hungary")</f>
        <v>Hungary</v>
      </c>
      <c r="J14" s="43" t="str">
        <f>IFERROR(__xludf.DUMMYFUNCTION("""COMPUTED_VALUE"""),"Budapest University - KÖZGÁZ")</f>
        <v>Budapest University - KÖZGÁZ</v>
      </c>
      <c r="K14" s="44" t="str">
        <f>IFERROR(__xludf.DUMMYFUNCTION("""COMPUTED_VALUE"""),"https://expa.aiesec.org/opportunities/1268725")</f>
        <v>https://expa.aiesec.org/opportunities/1268725</v>
      </c>
      <c r="L14" s="43" t="str">
        <f>IFERROR(__xludf.DUMMYFUNCTION("""COMPUTED_VALUE"""),"GTa")</f>
        <v>GTa</v>
      </c>
      <c r="M14" s="43" t="str">
        <f>IFERROR(__xludf.DUMMYFUNCTION("""COMPUTED_VALUE"""),"long")</f>
        <v>long</v>
      </c>
      <c r="N14" s="45">
        <f>IFERROR(__xludf.DUMMYFUNCTION("""COMPUTED_VALUE"""),44841.0)</f>
        <v>44841</v>
      </c>
      <c r="O14" s="45">
        <f>IFERROR(__xludf.DUMMYFUNCTION("""COMPUTED_VALUE"""),44835.0)</f>
        <v>44835</v>
      </c>
      <c r="P14" s="45">
        <f>IFERROR(__xludf.DUMMYFUNCTION("""COMPUTED_VALUE"""),45200.0)</f>
        <v>45200</v>
      </c>
      <c r="Q14" s="45">
        <f>IFERROR(__xludf.DUMMYFUNCTION("""COMPUTED_VALUE"""),44914.0)</f>
        <v>44914</v>
      </c>
      <c r="R14" s="45">
        <f>IFERROR(__xludf.DUMMYFUNCTION("""COMPUTED_VALUE"""),45459.0)</f>
        <v>45459</v>
      </c>
      <c r="S14" s="43"/>
      <c r="T14" s="43" t="str">
        <f>IFERROR(__xludf.DUMMYFUNCTION("""COMPUTED_VALUE"""),"Information Technology")</f>
        <v>Information Technology</v>
      </c>
      <c r="U14" s="43" t="str">
        <f>IFERROR(__xludf.DUMMYFUNCTION("""COMPUTED_VALUE"""),"Junior Software Developer")</f>
        <v>Junior Software Developer</v>
      </c>
      <c r="V14" s="43" t="str">
        <f>IFERROR(__xludf.DUMMYFUNCTION("""COMPUTED_VALUE"""),"ISTANBUL - BEYOGLU")</f>
        <v>ISTANBUL - BEYOGLU</v>
      </c>
      <c r="W14" s="43" t="str">
        <f>IFERROR(__xludf.DUMMYFUNCTION("""COMPUTED_VALUE"""),"2022-09-02T09:02:05Z")</f>
        <v>2022-09-02T09:02:05Z</v>
      </c>
      <c r="X14" s="43"/>
      <c r="Y14" s="43"/>
      <c r="Z14" s="43"/>
    </row>
    <row r="15" hidden="1">
      <c r="A15" s="43" t="str">
        <f>IFERROR(__xludf.DUMMYFUNCTION("""COMPUTED_VALUE"""),"4724760_1288971")</f>
        <v>4724760_1288971</v>
      </c>
      <c r="B15" s="43" t="str">
        <f>IFERROR(__xludf.DUMMYFUNCTION("""COMPUTED_VALUE"""),"Saad El Jouhmi")</f>
        <v>Saad El Jouhmi</v>
      </c>
      <c r="C15" s="43" t="str">
        <f>IFERROR(__xludf.DUMMYFUNCTION("""COMPUTED_VALUE"""),"completed")</f>
        <v>completed</v>
      </c>
      <c r="D15" s="43" t="str">
        <f>IFERROR(__xludf.DUMMYFUNCTION("""COMPUTED_VALUE"""),"No")</f>
        <v>No</v>
      </c>
      <c r="E15" s="43" t="str">
        <f>IFERROR(__xludf.DUMMYFUNCTION("""COMPUTED_VALUE"""),"p_76afdf1fc62131fb7732ea78f103c09a6a4df722@inbound.aiesec.org")</f>
        <v>p_76afdf1fc62131fb7732ea78f103c09a6a4df722@inbound.aiesec.org</v>
      </c>
      <c r="F15" s="43">
        <f>IFERROR(__xludf.DUMMYFUNCTION("""COMPUTED_VALUE"""),1.5735454168E10)</f>
        <v>15735454168</v>
      </c>
      <c r="G15" s="43" t="str">
        <f>IFERROR(__xludf.DUMMYFUNCTION("""COMPUTED_VALUE"""),"Turkey")</f>
        <v>Turkey</v>
      </c>
      <c r="H15" s="43" t="str">
        <f>IFERROR(__xludf.DUMMYFUNCTION("""COMPUTED_VALUE"""),"ISTANBUL ASIA")</f>
        <v>ISTANBUL ASIA</v>
      </c>
      <c r="I15" s="43" t="str">
        <f>IFERROR(__xludf.DUMMYFUNCTION("""COMPUTED_VALUE"""),"Germany")</f>
        <v>Germany</v>
      </c>
      <c r="J15" s="43" t="str">
        <f>IFERROR(__xludf.DUMMYFUNCTION("""COMPUTED_VALUE"""),"HANNOVER")</f>
        <v>HANNOVER</v>
      </c>
      <c r="K15" s="44" t="str">
        <f>IFERROR(__xludf.DUMMYFUNCTION("""COMPUTED_VALUE"""),"https://expa.aiesec.org/opportunities/1288971")</f>
        <v>https://expa.aiesec.org/opportunities/1288971</v>
      </c>
      <c r="L15" s="43" t="str">
        <f>IFERROR(__xludf.DUMMYFUNCTION("""COMPUTED_VALUE"""),"GTa")</f>
        <v>GTa</v>
      </c>
      <c r="M15" s="43" t="str">
        <f>IFERROR(__xludf.DUMMYFUNCTION("""COMPUTED_VALUE"""),"medium")</f>
        <v>medium</v>
      </c>
      <c r="N15" s="45">
        <f>IFERROR(__xludf.DUMMYFUNCTION("""COMPUTED_VALUE"""),44847.0)</f>
        <v>44847</v>
      </c>
      <c r="O15" s="45">
        <f>IFERROR(__xludf.DUMMYFUNCTION("""COMPUTED_VALUE"""),44866.0)</f>
        <v>44866</v>
      </c>
      <c r="P15" s="45">
        <f>IFERROR(__xludf.DUMMYFUNCTION("""COMPUTED_VALUE"""),45046.0)</f>
        <v>45046</v>
      </c>
      <c r="Q15" s="45">
        <f>IFERROR(__xludf.DUMMYFUNCTION("""COMPUTED_VALUE"""),44991.0)</f>
        <v>44991</v>
      </c>
      <c r="R15" s="45">
        <f>IFERROR(__xludf.DUMMYFUNCTION("""COMPUTED_VALUE"""),45175.0)</f>
        <v>45175</v>
      </c>
      <c r="S15" s="43"/>
      <c r="T15" s="43" t="str">
        <f>IFERROR(__xludf.DUMMYFUNCTION("""COMPUTED_VALUE"""),"Marketing")</f>
        <v>Marketing</v>
      </c>
      <c r="U15" s="43" t="str">
        <f>IFERROR(__xludf.DUMMYFUNCTION("""COMPUTED_VALUE"""),"International Online Marketing Assistent")</f>
        <v>International Online Marketing Assistent</v>
      </c>
      <c r="V15" s="43" t="str">
        <f>IFERROR(__xludf.DUMMYFUNCTION("""COMPUTED_VALUE"""),"ISTANBUL ASIA")</f>
        <v>ISTANBUL ASIA</v>
      </c>
      <c r="W15" s="43" t="str">
        <f>IFERROR(__xludf.DUMMYFUNCTION("""COMPUTED_VALUE"""),"2021-08-31T19:50:20Z")</f>
        <v>2021-08-31T19:50:20Z</v>
      </c>
      <c r="X15" s="43"/>
      <c r="Y15" s="43"/>
      <c r="Z15" s="43"/>
    </row>
    <row r="16" hidden="1">
      <c r="A16" s="43" t="str">
        <f>IFERROR(__xludf.DUMMYFUNCTION("""COMPUTED_VALUE"""),"5132512_1289089")</f>
        <v>5132512_1289089</v>
      </c>
      <c r="B16" s="43" t="str">
        <f>IFERROR(__xludf.DUMMYFUNCTION("""COMPUTED_VALUE"""),"Münir KAHRAMAN")</f>
        <v>Münir KAHRAMAN</v>
      </c>
      <c r="C16" s="43" t="str">
        <f>IFERROR(__xludf.DUMMYFUNCTION("""COMPUTED_VALUE"""),"completed")</f>
        <v>completed</v>
      </c>
      <c r="D16" s="43" t="str">
        <f>IFERROR(__xludf.DUMMYFUNCTION("""COMPUTED_VALUE"""),"No")</f>
        <v>No</v>
      </c>
      <c r="E16" s="43" t="str">
        <f>IFERROR(__xludf.DUMMYFUNCTION("""COMPUTED_VALUE"""),"p_71333998f55edf8356ae1df228d679cdb26d20eb@inbound.aiesec.org")</f>
        <v>p_71333998f55edf8356ae1df228d679cdb26d20eb@inbound.aiesec.org</v>
      </c>
      <c r="F16" s="43"/>
      <c r="G16" s="43" t="str">
        <f>IFERROR(__xludf.DUMMYFUNCTION("""COMPUTED_VALUE"""),"Turkey")</f>
        <v>Turkey</v>
      </c>
      <c r="H16" s="43" t="str">
        <f>IFERROR(__xludf.DUMMYFUNCTION("""COMPUTED_VALUE"""),"İZMİR")</f>
        <v>İZMİR</v>
      </c>
      <c r="I16" s="43" t="str">
        <f>IFERROR(__xludf.DUMMYFUNCTION("""COMPUTED_VALUE"""),"United Kingdom")</f>
        <v>United Kingdom</v>
      </c>
      <c r="J16" s="43" t="str">
        <f>IFERROR(__xludf.DUMMYFUNCTION("""COMPUTED_VALUE"""),"London - MC UK")</f>
        <v>London - MC UK</v>
      </c>
      <c r="K16" s="44" t="str">
        <f>IFERROR(__xludf.DUMMYFUNCTION("""COMPUTED_VALUE"""),"https://expa.aiesec.org/opportunities/1289089")</f>
        <v>https://expa.aiesec.org/opportunities/1289089</v>
      </c>
      <c r="L16" s="43" t="str">
        <f>IFERROR(__xludf.DUMMYFUNCTION("""COMPUTED_VALUE"""),"GTa")</f>
        <v>GTa</v>
      </c>
      <c r="M16" s="43" t="str">
        <f>IFERROR(__xludf.DUMMYFUNCTION("""COMPUTED_VALUE"""),"long")</f>
        <v>long</v>
      </c>
      <c r="N16" s="45">
        <f>IFERROR(__xludf.DUMMYFUNCTION("""COMPUTED_VALUE"""),44848.0)</f>
        <v>44848</v>
      </c>
      <c r="O16" s="45">
        <f>IFERROR(__xludf.DUMMYFUNCTION("""COMPUTED_VALUE"""),44893.0)</f>
        <v>44893</v>
      </c>
      <c r="P16" s="45">
        <f>IFERROR(__xludf.DUMMYFUNCTION("""COMPUTED_VALUE"""),45257.0)</f>
        <v>45257</v>
      </c>
      <c r="Q16" s="45">
        <f>IFERROR(__xludf.DUMMYFUNCTION("""COMPUTED_VALUE"""),44896.0)</f>
        <v>44896</v>
      </c>
      <c r="R16" s="45">
        <f>IFERROR(__xludf.DUMMYFUNCTION("""COMPUTED_VALUE"""),45266.0)</f>
        <v>45266</v>
      </c>
      <c r="S16" s="43"/>
      <c r="T16" s="43" t="str">
        <f>IFERROR(__xludf.DUMMYFUNCTION("""COMPUTED_VALUE"""),"Engineering")</f>
        <v>Engineering</v>
      </c>
      <c r="U16" s="43" t="str">
        <f>IFERROR(__xludf.DUMMYFUNCTION("""COMPUTED_VALUE"""),"Biosensor fabrication and integration (cleanroom)")</f>
        <v>Biosensor fabrication and integration (cleanroom)</v>
      </c>
      <c r="V16" s="43" t="str">
        <f>IFERROR(__xludf.DUMMYFUNCTION("""COMPUTED_VALUE"""),"-")</f>
        <v>-</v>
      </c>
      <c r="W16" s="43" t="str">
        <f>IFERROR(__xludf.DUMMYFUNCTION("""COMPUTED_VALUE"""),"2022-10-13T20:20:08Z")</f>
        <v>2022-10-13T20:20:08Z</v>
      </c>
      <c r="X16" s="43"/>
      <c r="Y16" s="43"/>
      <c r="Z16" s="43"/>
    </row>
    <row r="17">
      <c r="A17" s="43" t="str">
        <f>IFERROR(__xludf.DUMMYFUNCTION("""COMPUTED_VALUE"""),"3869747_1283180")</f>
        <v>3869747_1283180</v>
      </c>
      <c r="B17" s="43" t="str">
        <f>IFERROR(__xludf.DUMMYFUNCTION("""COMPUTED_VALUE"""),"Gökçe Güder")</f>
        <v>Gökçe Güder</v>
      </c>
      <c r="C17" s="43" t="str">
        <f>IFERROR(__xludf.DUMMYFUNCTION("""COMPUTED_VALUE"""),"approved")</f>
        <v>approved</v>
      </c>
      <c r="D17" s="43" t="str">
        <f>IFERROR(__xludf.DUMMYFUNCTION("""COMPUTED_VALUE"""),"No")</f>
        <v>No</v>
      </c>
      <c r="E17" s="43" t="str">
        <f>IFERROR(__xludf.DUMMYFUNCTION("""COMPUTED_VALUE"""),"p_8ae1491d5ce5da9a7d70168753d5d07ca56a720f@inbound.aiesec.org")</f>
        <v>p_8ae1491d5ce5da9a7d70168753d5d07ca56a720f@inbound.aiesec.org</v>
      </c>
      <c r="F17" s="43"/>
      <c r="G17" s="43" t="str">
        <f>IFERROR(__xludf.DUMMYFUNCTION("""COMPUTED_VALUE"""),"Turkey")</f>
        <v>Turkey</v>
      </c>
      <c r="H17" s="43" t="str">
        <f>IFERROR(__xludf.DUMMYFUNCTION("""COMPUTED_VALUE"""),"ISPARTA")</f>
        <v>ISPARTA</v>
      </c>
      <c r="I17" s="43" t="str">
        <f>IFERROR(__xludf.DUMMYFUNCTION("""COMPUTED_VALUE"""),"Hungary")</f>
        <v>Hungary</v>
      </c>
      <c r="J17" s="43" t="str">
        <f>IFERROR(__xludf.DUMMYFUNCTION("""COMPUTED_VALUE"""),"Budapest Business School - KÜLKER")</f>
        <v>Budapest Business School - KÜLKER</v>
      </c>
      <c r="K17" s="44" t="str">
        <f>IFERROR(__xludf.DUMMYFUNCTION("""COMPUTED_VALUE"""),"https://expa.aiesec.org/opportunities/1283180")</f>
        <v>https://expa.aiesec.org/opportunities/1283180</v>
      </c>
      <c r="L17" s="43" t="str">
        <f>IFERROR(__xludf.DUMMYFUNCTION("""COMPUTED_VALUE"""),"GTa")</f>
        <v>GTa</v>
      </c>
      <c r="M17" s="43" t="str">
        <f>IFERROR(__xludf.DUMMYFUNCTION("""COMPUTED_VALUE"""),"long")</f>
        <v>long</v>
      </c>
      <c r="N17" s="45">
        <f>IFERROR(__xludf.DUMMYFUNCTION("""COMPUTED_VALUE"""),44856.0)</f>
        <v>44856</v>
      </c>
      <c r="O17" s="45">
        <f>IFERROR(__xludf.DUMMYFUNCTION("""COMPUTED_VALUE"""),44964.0)</f>
        <v>44964</v>
      </c>
      <c r="P17" s="45">
        <f>IFERROR(__xludf.DUMMYFUNCTION("""COMPUTED_VALUE"""),45237.0)</f>
        <v>45237</v>
      </c>
      <c r="Q17" s="45"/>
      <c r="R17" s="45"/>
      <c r="S17" s="43"/>
      <c r="T17" s="43" t="str">
        <f>IFERROR(__xludf.DUMMYFUNCTION("""COMPUTED_VALUE"""),"Finance")</f>
        <v>Finance</v>
      </c>
      <c r="U17" s="43" t="str">
        <f>IFERROR(__xludf.DUMMYFUNCTION("""COMPUTED_VALUE"""),"Turkish Financial Accountant ")</f>
        <v>Turkish Financial Accountant </v>
      </c>
      <c r="V17" s="43" t="str">
        <f>IFERROR(__xludf.DUMMYFUNCTION("""COMPUTED_VALUE"""),"ISPARTA")</f>
        <v>ISPARTA</v>
      </c>
      <c r="W17" s="43" t="str">
        <f>IFERROR(__xludf.DUMMYFUNCTION("""COMPUTED_VALUE"""),"2019-10-03T11:17:30Z")</f>
        <v>2019-10-03T11:17:30Z</v>
      </c>
      <c r="X17" s="43"/>
      <c r="Y17" s="43"/>
      <c r="Z17" s="43"/>
    </row>
    <row r="18" hidden="1">
      <c r="A18" s="43" t="str">
        <f>IFERROR(__xludf.DUMMYFUNCTION("""COMPUTED_VALUE"""),"5142866_1289335")</f>
        <v>5142866_1289335</v>
      </c>
      <c r="B18" s="43" t="str">
        <f>IFERROR(__xludf.DUMMYFUNCTION("""COMPUTED_VALUE"""),"Ceren Tosun")</f>
        <v>Ceren Tosun</v>
      </c>
      <c r="C18" s="43" t="str">
        <f>IFERROR(__xludf.DUMMYFUNCTION("""COMPUTED_VALUE"""),"finished")</f>
        <v>finished</v>
      </c>
      <c r="D18" s="43" t="str">
        <f>IFERROR(__xludf.DUMMYFUNCTION("""COMPUTED_VALUE"""),"No")</f>
        <v>No</v>
      </c>
      <c r="E18" s="43" t="str">
        <f>IFERROR(__xludf.DUMMYFUNCTION("""COMPUTED_VALUE"""),"p_42bc10b9df7fdffd5d89109900da2c65fe463313@inbound.aiesec.org")</f>
        <v>p_42bc10b9df7fdffd5d89109900da2c65fe463313@inbound.aiesec.org</v>
      </c>
      <c r="F18" s="43">
        <f>IFERROR(__xludf.DUMMYFUNCTION("""COMPUTED_VALUE"""),5.38471295E9)</f>
        <v>5384712950</v>
      </c>
      <c r="G18" s="43" t="str">
        <f>IFERROR(__xludf.DUMMYFUNCTION("""COMPUTED_VALUE"""),"Turkey")</f>
        <v>Turkey</v>
      </c>
      <c r="H18" s="43" t="str">
        <f>IFERROR(__xludf.DUMMYFUNCTION("""COMPUTED_VALUE"""),"ANKARA")</f>
        <v>ANKARA</v>
      </c>
      <c r="I18" s="43" t="str">
        <f>IFERROR(__xludf.DUMMYFUNCTION("""COMPUTED_VALUE"""),"United Kingdom")</f>
        <v>United Kingdom</v>
      </c>
      <c r="J18" s="43" t="str">
        <f>IFERROR(__xludf.DUMMYFUNCTION("""COMPUTED_VALUE"""),"London - MC UK")</f>
        <v>London - MC UK</v>
      </c>
      <c r="K18" s="44" t="str">
        <f>IFERROR(__xludf.DUMMYFUNCTION("""COMPUTED_VALUE"""),"https://expa.aiesec.org/opportunities/1289335")</f>
        <v>https://expa.aiesec.org/opportunities/1289335</v>
      </c>
      <c r="L18" s="43" t="str">
        <f>IFERROR(__xludf.DUMMYFUNCTION("""COMPUTED_VALUE"""),"GTa")</f>
        <v>GTa</v>
      </c>
      <c r="M18" s="43" t="str">
        <f>IFERROR(__xludf.DUMMYFUNCTION("""COMPUTED_VALUE"""),"long")</f>
        <v>long</v>
      </c>
      <c r="N18" s="45">
        <f>IFERROR(__xludf.DUMMYFUNCTION("""COMPUTED_VALUE"""),44865.0)</f>
        <v>44865</v>
      </c>
      <c r="O18" s="45">
        <f>IFERROR(__xludf.DUMMYFUNCTION("""COMPUTED_VALUE"""),44935.0)</f>
        <v>44935</v>
      </c>
      <c r="P18" s="45">
        <f>IFERROR(__xludf.DUMMYFUNCTION("""COMPUTED_VALUE"""),45299.0)</f>
        <v>45299</v>
      </c>
      <c r="Q18" s="45">
        <f>IFERROR(__xludf.DUMMYFUNCTION("""COMPUTED_VALUE"""),44935.0)</f>
        <v>44935</v>
      </c>
      <c r="R18" s="45">
        <f>IFERROR(__xludf.DUMMYFUNCTION("""COMPUTED_VALUE"""),45299.0)</f>
        <v>45299</v>
      </c>
      <c r="S18" s="43"/>
      <c r="T18" s="43" t="str">
        <f>IFERROR(__xludf.DUMMYFUNCTION("""COMPUTED_VALUE"""),"Other")</f>
        <v>Other</v>
      </c>
      <c r="U18" s="43" t="str">
        <f>IFERROR(__xludf.DUMMYFUNCTION("""COMPUTED_VALUE"""),"GoShield Procurement Analyst")</f>
        <v>GoShield Procurement Analyst</v>
      </c>
      <c r="V18" s="43" t="str">
        <f>IFERROR(__xludf.DUMMYFUNCTION("""COMPUTED_VALUE"""),"ANKARA")</f>
        <v>ANKARA</v>
      </c>
      <c r="W18" s="43" t="str">
        <f>IFERROR(__xludf.DUMMYFUNCTION("""COMPUTED_VALUE"""),"2022-10-29T17:33:11Z")</f>
        <v>2022-10-29T17:33:11Z</v>
      </c>
      <c r="X18" s="43"/>
      <c r="Y18" s="43"/>
      <c r="Z18" s="43"/>
    </row>
    <row r="19" hidden="1">
      <c r="A19" s="43" t="str">
        <f>IFERROR(__xludf.DUMMYFUNCTION("""COMPUTED_VALUE"""),"5157774_1288583")</f>
        <v>5157774_1288583</v>
      </c>
      <c r="B19" s="43" t="str">
        <f>IFERROR(__xludf.DUMMYFUNCTION("""COMPUTED_VALUE"""),"Aleyna Parlakdag")</f>
        <v>Aleyna Parlakdag</v>
      </c>
      <c r="C19" s="43" t="str">
        <f>IFERROR(__xludf.DUMMYFUNCTION("""COMPUTED_VALUE"""),"realized")</f>
        <v>realized</v>
      </c>
      <c r="D19" s="43" t="str">
        <f>IFERROR(__xludf.DUMMYFUNCTION("""COMPUTED_VALUE"""),"No")</f>
        <v>No</v>
      </c>
      <c r="E19" s="43" t="str">
        <f>IFERROR(__xludf.DUMMYFUNCTION("""COMPUTED_VALUE"""),"p_a5f66c5df55b390cc2f0c9f1a1bac179ebd9541b@inbound.aiesec.org")</f>
        <v>p_a5f66c5df55b390cc2f0c9f1a1bac179ebd9541b@inbound.aiesec.org</v>
      </c>
      <c r="F19" s="43"/>
      <c r="G19" s="43" t="str">
        <f>IFERROR(__xludf.DUMMYFUNCTION("""COMPUTED_VALUE"""),"Turkey")</f>
        <v>Turkey</v>
      </c>
      <c r="H19" s="43" t="str">
        <f>IFERROR(__xludf.DUMMYFUNCTION("""COMPUTED_VALUE"""),"ISTANBUL")</f>
        <v>ISTANBUL</v>
      </c>
      <c r="I19" s="43" t="str">
        <f>IFERROR(__xludf.DUMMYFUNCTION("""COMPUTED_VALUE"""),"Germany")</f>
        <v>Germany</v>
      </c>
      <c r="J19" s="43" t="str">
        <f>IFERROR(__xludf.DUMMYFUNCTION("""COMPUTED_VALUE"""),"BERLIN TU")</f>
        <v>BERLIN TU</v>
      </c>
      <c r="K19" s="44" t="str">
        <f>IFERROR(__xludf.DUMMYFUNCTION("""COMPUTED_VALUE"""),"https://expa.aiesec.org/opportunities/1288583")</f>
        <v>https://expa.aiesec.org/opportunities/1288583</v>
      </c>
      <c r="L19" s="43" t="str">
        <f>IFERROR(__xludf.DUMMYFUNCTION("""COMPUTED_VALUE"""),"GTa")</f>
        <v>GTa</v>
      </c>
      <c r="M19" s="43" t="str">
        <f>IFERROR(__xludf.DUMMYFUNCTION("""COMPUTED_VALUE"""),"long")</f>
        <v>long</v>
      </c>
      <c r="N19" s="45">
        <f>IFERROR(__xludf.DUMMYFUNCTION("""COMPUTED_VALUE"""),44888.0)</f>
        <v>44888</v>
      </c>
      <c r="O19" s="45">
        <f>IFERROR(__xludf.DUMMYFUNCTION("""COMPUTED_VALUE"""),44958.0)</f>
        <v>44958</v>
      </c>
      <c r="P19" s="45">
        <f>IFERROR(__xludf.DUMMYFUNCTION("""COMPUTED_VALUE"""),45322.0)</f>
        <v>45322</v>
      </c>
      <c r="Q19" s="45">
        <f>IFERROR(__xludf.DUMMYFUNCTION("""COMPUTED_VALUE"""),45050.0)</f>
        <v>45050</v>
      </c>
      <c r="R19" s="45">
        <f>IFERROR(__xludf.DUMMYFUNCTION("""COMPUTED_VALUE"""),45382.0)</f>
        <v>45382</v>
      </c>
      <c r="S19" s="43"/>
      <c r="T19" s="43" t="str">
        <f>IFERROR(__xludf.DUMMYFUNCTION("""COMPUTED_VALUE"""),"Other")</f>
        <v>Other</v>
      </c>
      <c r="U19" s="43" t="str">
        <f>IFERROR(__xludf.DUMMYFUNCTION("""COMPUTED_VALUE"""),"Recruitment Trainee (f/m/d)")</f>
        <v>Recruitment Trainee (f/m/d)</v>
      </c>
      <c r="V19" s="43" t="str">
        <f>IFERROR(__xludf.DUMMYFUNCTION("""COMPUTED_VALUE"""),"ISTANBUL - BEYOGLU")</f>
        <v>ISTANBUL - BEYOGLU</v>
      </c>
      <c r="W19" s="43" t="str">
        <f>IFERROR(__xludf.DUMMYFUNCTION("""COMPUTED_VALUE"""),"2022-11-23T13:56:13Z")</f>
        <v>2022-11-23T13:56:13Z</v>
      </c>
      <c r="X19" s="43"/>
      <c r="Y19" s="43"/>
      <c r="Z19" s="43"/>
    </row>
    <row r="20" hidden="1">
      <c r="A20" s="43" t="str">
        <f>IFERROR(__xludf.DUMMYFUNCTION("""COMPUTED_VALUE"""),"2255769_1290236")</f>
        <v>2255769_1290236</v>
      </c>
      <c r="B20" s="43" t="str">
        <f>IFERROR(__xludf.DUMMYFUNCTION("""COMPUTED_VALUE"""),"Elif Altuniç Elif Altuniç")</f>
        <v>Elif Altuniç Elif Altuniç</v>
      </c>
      <c r="C20" s="43" t="str">
        <f>IFERROR(__xludf.DUMMYFUNCTION("""COMPUTED_VALUE"""),"realized")</f>
        <v>realized</v>
      </c>
      <c r="D20" s="43" t="str">
        <f>IFERROR(__xludf.DUMMYFUNCTION("""COMPUTED_VALUE"""),"No")</f>
        <v>No</v>
      </c>
      <c r="E20" s="43" t="str">
        <f>IFERROR(__xludf.DUMMYFUNCTION("""COMPUTED_VALUE"""),"p_749feeeabd360c239267dcb92619a8a7d16ff0a4@inbound.aiesec.org")</f>
        <v>p_749feeeabd360c239267dcb92619a8a7d16ff0a4@inbound.aiesec.org</v>
      </c>
      <c r="F20" s="43">
        <f>IFERROR(__xludf.DUMMYFUNCTION("""COMPUTED_VALUE"""),5.34635497E9)</f>
        <v>5346354970</v>
      </c>
      <c r="G20" s="43" t="str">
        <f>IFERROR(__xludf.DUMMYFUNCTION("""COMPUTED_VALUE"""),"Turkey")</f>
        <v>Turkey</v>
      </c>
      <c r="H20" s="43" t="str">
        <f>IFERROR(__xludf.DUMMYFUNCTION("""COMPUTED_VALUE"""),"ISTANBUL")</f>
        <v>ISTANBUL</v>
      </c>
      <c r="I20" s="43" t="str">
        <f>IFERROR(__xludf.DUMMYFUNCTION("""COMPUTED_VALUE"""),"Germany")</f>
        <v>Germany</v>
      </c>
      <c r="J20" s="43" t="str">
        <f>IFERROR(__xludf.DUMMYFUNCTION("""COMPUTED_VALUE"""),"BONN")</f>
        <v>BONN</v>
      </c>
      <c r="K20" s="44" t="str">
        <f>IFERROR(__xludf.DUMMYFUNCTION("""COMPUTED_VALUE"""),"https://expa.aiesec.org/opportunities/1290236")</f>
        <v>https://expa.aiesec.org/opportunities/1290236</v>
      </c>
      <c r="L20" s="43" t="str">
        <f>IFERROR(__xludf.DUMMYFUNCTION("""COMPUTED_VALUE"""),"GTa")</f>
        <v>GTa</v>
      </c>
      <c r="M20" s="43" t="str">
        <f>IFERROR(__xludf.DUMMYFUNCTION("""COMPUTED_VALUE"""),"long")</f>
        <v>long</v>
      </c>
      <c r="N20" s="45">
        <f>IFERROR(__xludf.DUMMYFUNCTION("""COMPUTED_VALUE"""),44888.0)</f>
        <v>44888</v>
      </c>
      <c r="O20" s="45">
        <f>IFERROR(__xludf.DUMMYFUNCTION("""COMPUTED_VALUE"""),44935.0)</f>
        <v>44935</v>
      </c>
      <c r="P20" s="45">
        <f>IFERROR(__xludf.DUMMYFUNCTION("""COMPUTED_VALUE"""),45299.0)</f>
        <v>45299</v>
      </c>
      <c r="Q20" s="45">
        <f>IFERROR(__xludf.DUMMYFUNCTION("""COMPUTED_VALUE"""),45048.0)</f>
        <v>45048</v>
      </c>
      <c r="R20" s="45">
        <f>IFERROR(__xludf.DUMMYFUNCTION("""COMPUTED_VALUE"""),45412.0)</f>
        <v>45412</v>
      </c>
      <c r="S20" s="43"/>
      <c r="T20" s="43" t="str">
        <f>IFERROR(__xludf.DUMMYFUNCTION("""COMPUTED_VALUE"""),"Other")</f>
        <v>Other</v>
      </c>
      <c r="U20" s="43" t="str">
        <f>IFERROR(__xludf.DUMMYFUNCTION("""COMPUTED_VALUE"""),"Learning Technologies and Platform Management Support")</f>
        <v>Learning Technologies and Platform Management Support</v>
      </c>
      <c r="V20" s="43" t="str">
        <f>IFERROR(__xludf.DUMMYFUNCTION("""COMPUTED_VALUE"""),"-")</f>
        <v>-</v>
      </c>
      <c r="W20" s="43" t="str">
        <f>IFERROR(__xludf.DUMMYFUNCTION("""COMPUTED_VALUE"""),"2018-04-25T02:33:30Z")</f>
        <v>2018-04-25T02:33:30Z</v>
      </c>
      <c r="X20" s="43"/>
      <c r="Y20" s="43"/>
      <c r="Z20" s="43"/>
    </row>
    <row r="21" hidden="1">
      <c r="A21" s="43" t="str">
        <f>IFERROR(__xludf.DUMMYFUNCTION("""COMPUTED_VALUE"""),"5087015_1288911")</f>
        <v>5087015_1288911</v>
      </c>
      <c r="B21" s="43" t="str">
        <f>IFERROR(__xludf.DUMMYFUNCTION("""COMPUTED_VALUE"""),"Beyazıt Kaya")</f>
        <v>Beyazıt Kaya</v>
      </c>
      <c r="C21" s="43" t="str">
        <f>IFERROR(__xludf.DUMMYFUNCTION("""COMPUTED_VALUE"""),"completed")</f>
        <v>completed</v>
      </c>
      <c r="D21" s="43" t="str">
        <f>IFERROR(__xludf.DUMMYFUNCTION("""COMPUTED_VALUE"""),"No")</f>
        <v>No</v>
      </c>
      <c r="E21" s="43" t="str">
        <f>IFERROR(__xludf.DUMMYFUNCTION("""COMPUTED_VALUE"""),"p_b2900157c6310d98106fcde64aadf6e5890f6962@inbound.aiesec.org")</f>
        <v>p_b2900157c6310d98106fcde64aadf6e5890f6962@inbound.aiesec.org</v>
      </c>
      <c r="F21" s="43"/>
      <c r="G21" s="43" t="str">
        <f>IFERROR(__xludf.DUMMYFUNCTION("""COMPUTED_VALUE"""),"Turkey")</f>
        <v>Turkey</v>
      </c>
      <c r="H21" s="43" t="str">
        <f>IFERROR(__xludf.DUMMYFUNCTION("""COMPUTED_VALUE"""),"ISTANBUL")</f>
        <v>ISTANBUL</v>
      </c>
      <c r="I21" s="43" t="str">
        <f>IFERROR(__xludf.DUMMYFUNCTION("""COMPUTED_VALUE"""),"Greece")</f>
        <v>Greece</v>
      </c>
      <c r="J21" s="43" t="str">
        <f>IFERROR(__xludf.DUMMYFUNCTION("""COMPUTED_VALUE"""),"UoM THESSALONIKI")</f>
        <v>UoM THESSALONIKI</v>
      </c>
      <c r="K21" s="44" t="str">
        <f>IFERROR(__xludf.DUMMYFUNCTION("""COMPUTED_VALUE"""),"https://expa.aiesec.org/opportunities/1288911")</f>
        <v>https://expa.aiesec.org/opportunities/1288911</v>
      </c>
      <c r="L21" s="43" t="str">
        <f>IFERROR(__xludf.DUMMYFUNCTION("""COMPUTED_VALUE"""),"GTa")</f>
        <v>GTa</v>
      </c>
      <c r="M21" s="43" t="str">
        <f>IFERROR(__xludf.DUMMYFUNCTION("""COMPUTED_VALUE"""),"short")</f>
        <v>short</v>
      </c>
      <c r="N21" s="45">
        <f>IFERROR(__xludf.DUMMYFUNCTION("""COMPUTED_VALUE"""),44890.0)</f>
        <v>44890</v>
      </c>
      <c r="O21" s="45">
        <f>IFERROR(__xludf.DUMMYFUNCTION("""COMPUTED_VALUE"""),44896.0)</f>
        <v>44896</v>
      </c>
      <c r="P21" s="45">
        <f>IFERROR(__xludf.DUMMYFUNCTION("""COMPUTED_VALUE"""),44955.0)</f>
        <v>44955</v>
      </c>
      <c r="Q21" s="45">
        <f>IFERROR(__xludf.DUMMYFUNCTION("""COMPUTED_VALUE"""),44922.0)</f>
        <v>44922</v>
      </c>
      <c r="R21" s="45">
        <f>IFERROR(__xludf.DUMMYFUNCTION("""COMPUTED_VALUE"""),44981.0)</f>
        <v>44981</v>
      </c>
      <c r="S21" s="43"/>
      <c r="T21" s="43" t="str">
        <f>IFERROR(__xludf.DUMMYFUNCTION("""COMPUTED_VALUE"""),"Marketing")</f>
        <v>Marketing</v>
      </c>
      <c r="U21" s="43" t="str">
        <f>IFERROR(__xludf.DUMMYFUNCTION("""COMPUTED_VALUE"""),"Social Media Manager ")</f>
        <v>Social Media Manager </v>
      </c>
      <c r="V21" s="43" t="str">
        <f>IFERROR(__xludf.DUMMYFUNCTION("""COMPUTED_VALUE"""),"-")</f>
        <v>-</v>
      </c>
      <c r="W21" s="43" t="str">
        <f>IFERROR(__xludf.DUMMYFUNCTION("""COMPUTED_VALUE"""),"2022-07-29T10:10:00Z")</f>
        <v>2022-07-29T10:10:00Z</v>
      </c>
      <c r="X21" s="43"/>
      <c r="Y21" s="43"/>
      <c r="Z21" s="43"/>
    </row>
    <row r="22" hidden="1">
      <c r="A22" s="43" t="str">
        <f>IFERROR(__xludf.DUMMYFUNCTION("""COMPUTED_VALUE"""),"5159538_1287974")</f>
        <v>5159538_1287974</v>
      </c>
      <c r="B22" s="43" t="str">
        <f>IFERROR(__xludf.DUMMYFUNCTION("""COMPUTED_VALUE"""),"Emre Ermis")</f>
        <v>Emre Ermis</v>
      </c>
      <c r="C22" s="43" t="str">
        <f>IFERROR(__xludf.DUMMYFUNCTION("""COMPUTED_VALUE"""),"finished")</f>
        <v>finished</v>
      </c>
      <c r="D22" s="43" t="str">
        <f>IFERROR(__xludf.DUMMYFUNCTION("""COMPUTED_VALUE"""),"No")</f>
        <v>No</v>
      </c>
      <c r="E22" s="43" t="str">
        <f>IFERROR(__xludf.DUMMYFUNCTION("""COMPUTED_VALUE"""),"p_a35be47289c60a59adce9b9d6fcdeaf3a61c78da@inbound.aiesec.org")</f>
        <v>p_a35be47289c60a59adce9b9d6fcdeaf3a61c78da@inbound.aiesec.org</v>
      </c>
      <c r="F22" s="43">
        <f>IFERROR(__xludf.DUMMYFUNCTION("""COMPUTED_VALUE"""),5.075624123E9)</f>
        <v>5075624123</v>
      </c>
      <c r="G22" s="43" t="str">
        <f>IFERROR(__xludf.DUMMYFUNCTION("""COMPUTED_VALUE"""),"Turkey")</f>
        <v>Turkey</v>
      </c>
      <c r="H22" s="43" t="str">
        <f>IFERROR(__xludf.DUMMYFUNCTION("""COMPUTED_VALUE"""),"ISTANBUL")</f>
        <v>ISTANBUL</v>
      </c>
      <c r="I22" s="43" t="str">
        <f>IFERROR(__xludf.DUMMYFUNCTION("""COMPUTED_VALUE"""),"Germany")</f>
        <v>Germany</v>
      </c>
      <c r="J22" s="43" t="str">
        <f>IFERROR(__xludf.DUMMYFUNCTION("""COMPUTED_VALUE"""),"KOELN")</f>
        <v>KOELN</v>
      </c>
      <c r="K22" s="44" t="str">
        <f>IFERROR(__xludf.DUMMYFUNCTION("""COMPUTED_VALUE"""),"https://expa.aiesec.org/opportunities/1287974")</f>
        <v>https://expa.aiesec.org/opportunities/1287974</v>
      </c>
      <c r="L22" s="43" t="str">
        <f>IFERROR(__xludf.DUMMYFUNCTION("""COMPUTED_VALUE"""),"GTa")</f>
        <v>GTa</v>
      </c>
      <c r="M22" s="43" t="str">
        <f>IFERROR(__xludf.DUMMYFUNCTION("""COMPUTED_VALUE"""),"long")</f>
        <v>long</v>
      </c>
      <c r="N22" s="45">
        <f>IFERROR(__xludf.DUMMYFUNCTION("""COMPUTED_VALUE"""),44892.0)</f>
        <v>44892</v>
      </c>
      <c r="O22" s="45">
        <f>IFERROR(__xludf.DUMMYFUNCTION("""COMPUTED_VALUE"""),44906.0)</f>
        <v>44906</v>
      </c>
      <c r="P22" s="45">
        <f>IFERROR(__xludf.DUMMYFUNCTION("""COMPUTED_VALUE"""),45095.0)</f>
        <v>45095</v>
      </c>
      <c r="Q22" s="45">
        <f>IFERROR(__xludf.DUMMYFUNCTION("""COMPUTED_VALUE"""),44906.0)</f>
        <v>44906</v>
      </c>
      <c r="R22" s="45">
        <f>IFERROR(__xludf.DUMMYFUNCTION("""COMPUTED_VALUE"""),45169.0)</f>
        <v>45169</v>
      </c>
      <c r="S22" s="43"/>
      <c r="T22" s="43" t="str">
        <f>IFERROR(__xludf.DUMMYFUNCTION("""COMPUTED_VALUE"""),"Other")</f>
        <v>Other</v>
      </c>
      <c r="U22" s="43" t="str">
        <f>IFERROR(__xludf.DUMMYFUNCTION("""COMPUTED_VALUE"""),"Public Relations and Advertising")</f>
        <v>Public Relations and Advertising</v>
      </c>
      <c r="V22" s="43" t="str">
        <f>IFERROR(__xludf.DUMMYFUNCTION("""COMPUTED_VALUE"""),"ISTANBUL - BEYOGLU")</f>
        <v>ISTANBUL - BEYOGLU</v>
      </c>
      <c r="W22" s="43" t="str">
        <f>IFERROR(__xludf.DUMMYFUNCTION("""COMPUTED_VALUE"""),"2022-11-27T17:36:09Z")</f>
        <v>2022-11-27T17:36:09Z</v>
      </c>
      <c r="X22" s="43"/>
      <c r="Y22" s="43"/>
      <c r="Z22" s="43"/>
    </row>
    <row r="23" hidden="1">
      <c r="A23" s="43" t="str">
        <f>IFERROR(__xludf.DUMMYFUNCTION("""COMPUTED_VALUE"""),"5159337_1285704")</f>
        <v>5159337_1285704</v>
      </c>
      <c r="B23" s="43" t="str">
        <f>IFERROR(__xludf.DUMMYFUNCTION("""COMPUTED_VALUE"""),"Niyazi Topbaş")</f>
        <v>Niyazi Topbaş</v>
      </c>
      <c r="C23" s="43" t="str">
        <f>IFERROR(__xludf.DUMMYFUNCTION("""COMPUTED_VALUE"""),"realized")</f>
        <v>realized</v>
      </c>
      <c r="D23" s="43" t="str">
        <f>IFERROR(__xludf.DUMMYFUNCTION("""COMPUTED_VALUE"""),"No")</f>
        <v>No</v>
      </c>
      <c r="E23" s="43" t="str">
        <f>IFERROR(__xludf.DUMMYFUNCTION("""COMPUTED_VALUE"""),"p_dd1594c44dbd7805c3aa6c0216be212872cf83a4@inbound.aiesec.org")</f>
        <v>p_dd1594c44dbd7805c3aa6c0216be212872cf83a4@inbound.aiesec.org</v>
      </c>
      <c r="F23" s="43">
        <f>IFERROR(__xludf.DUMMYFUNCTION("""COMPUTED_VALUE"""),5.396481198E9)</f>
        <v>5396481198</v>
      </c>
      <c r="G23" s="43" t="str">
        <f>IFERROR(__xludf.DUMMYFUNCTION("""COMPUTED_VALUE"""),"Turkey")</f>
        <v>Turkey</v>
      </c>
      <c r="H23" s="43" t="str">
        <f>IFERROR(__xludf.DUMMYFUNCTION("""COMPUTED_VALUE"""),"ISTANBUL")</f>
        <v>ISTANBUL</v>
      </c>
      <c r="I23" s="43" t="str">
        <f>IFERROR(__xludf.DUMMYFUNCTION("""COMPUTED_VALUE"""),"Hungary")</f>
        <v>Hungary</v>
      </c>
      <c r="J23" s="43" t="str">
        <f>IFERROR(__xludf.DUMMYFUNCTION("""COMPUTED_VALUE"""),"Budapest Business School - KVIK")</f>
        <v>Budapest Business School - KVIK</v>
      </c>
      <c r="K23" s="44" t="str">
        <f>IFERROR(__xludf.DUMMYFUNCTION("""COMPUTED_VALUE"""),"https://expa.aiesec.org/opportunities/1285704")</f>
        <v>https://expa.aiesec.org/opportunities/1285704</v>
      </c>
      <c r="L23" s="43" t="str">
        <f>IFERROR(__xludf.DUMMYFUNCTION("""COMPUTED_VALUE"""),"GTa")</f>
        <v>GTa</v>
      </c>
      <c r="M23" s="43" t="str">
        <f>IFERROR(__xludf.DUMMYFUNCTION("""COMPUTED_VALUE"""),"long")</f>
        <v>long</v>
      </c>
      <c r="N23" s="45">
        <f>IFERROR(__xludf.DUMMYFUNCTION("""COMPUTED_VALUE"""),44893.0)</f>
        <v>44893</v>
      </c>
      <c r="O23" s="45">
        <f>IFERROR(__xludf.DUMMYFUNCTION("""COMPUTED_VALUE"""),44915.0)</f>
        <v>44915</v>
      </c>
      <c r="P23" s="45">
        <f>IFERROR(__xludf.DUMMYFUNCTION("""COMPUTED_VALUE"""),45280.0)</f>
        <v>45280</v>
      </c>
      <c r="Q23" s="45">
        <f>IFERROR(__xludf.DUMMYFUNCTION("""COMPUTED_VALUE"""),45126.0)</f>
        <v>45126</v>
      </c>
      <c r="R23" s="45">
        <f>IFERROR(__xludf.DUMMYFUNCTION("""COMPUTED_VALUE"""),45475.0)</f>
        <v>45475</v>
      </c>
      <c r="S23" s="43"/>
      <c r="T23" s="43" t="str">
        <f>IFERROR(__xludf.DUMMYFUNCTION("""COMPUTED_VALUE"""),"Engineering")</f>
        <v>Engineering</v>
      </c>
      <c r="U23" s="43" t="str">
        <f>IFERROR(__xludf.DUMMYFUNCTION("""COMPUTED_VALUE"""),"Junior Technical Writer / Technical Support Engineer (Turkish Speaker)")</f>
        <v>Junior Technical Writer / Technical Support Engineer (Turkish Speaker)</v>
      </c>
      <c r="V23" s="43" t="str">
        <f>IFERROR(__xludf.DUMMYFUNCTION("""COMPUTED_VALUE"""),"ISTANBUL - BEYOGLU")</f>
        <v>ISTANBUL - BEYOGLU</v>
      </c>
      <c r="W23" s="43" t="str">
        <f>IFERROR(__xludf.DUMMYFUNCTION("""COMPUTED_VALUE"""),"2022-11-27T00:16:21Z")</f>
        <v>2022-11-27T00:16:21Z</v>
      </c>
      <c r="X23" s="43"/>
      <c r="Y23" s="43"/>
      <c r="Z23" s="43"/>
    </row>
    <row r="24">
      <c r="A24" s="43" t="str">
        <f>IFERROR(__xludf.DUMMYFUNCTION("""COMPUTED_VALUE"""),"5160308_1288662")</f>
        <v>5160308_1288662</v>
      </c>
      <c r="B24" s="43" t="str">
        <f>IFERROR(__xludf.DUMMYFUNCTION("""COMPUTED_VALUE"""),"Penny Kapusuzoglu")</f>
        <v>Penny Kapusuzoglu</v>
      </c>
      <c r="C24" s="43" t="str">
        <f>IFERROR(__xludf.DUMMYFUNCTION("""COMPUTED_VALUE"""),"approved")</f>
        <v>approved</v>
      </c>
      <c r="D24" s="43" t="str">
        <f>IFERROR(__xludf.DUMMYFUNCTION("""COMPUTED_VALUE"""),"No")</f>
        <v>No</v>
      </c>
      <c r="E24" s="43" t="str">
        <f>IFERROR(__xludf.DUMMYFUNCTION("""COMPUTED_VALUE"""),"p_aa8de19e8ac12b196e14d406c6d2d80dfd1c9f3e@inbound.aiesec.org")</f>
        <v>p_aa8de19e8ac12b196e14d406c6d2d80dfd1c9f3e@inbound.aiesec.org</v>
      </c>
      <c r="F24" s="43">
        <f>IFERROR(__xludf.DUMMYFUNCTION("""COMPUTED_VALUE"""),5.339739702E9)</f>
        <v>5339739702</v>
      </c>
      <c r="G24" s="43" t="str">
        <f>IFERROR(__xludf.DUMMYFUNCTION("""COMPUTED_VALUE"""),"Turkey")</f>
        <v>Turkey</v>
      </c>
      <c r="H24" s="43" t="str">
        <f>IFERROR(__xludf.DUMMYFUNCTION("""COMPUTED_VALUE"""),"ISTANBUL")</f>
        <v>ISTANBUL</v>
      </c>
      <c r="I24" s="43" t="str">
        <f>IFERROR(__xludf.DUMMYFUNCTION("""COMPUTED_VALUE"""),"Belgium")</f>
        <v>Belgium</v>
      </c>
      <c r="J24" s="43" t="str">
        <f>IFERROR(__xludf.DUMMYFUNCTION("""COMPUTED_VALUE"""),"Belgium (National) ")</f>
        <v>Belgium (National) </v>
      </c>
      <c r="K24" s="44" t="str">
        <f>IFERROR(__xludf.DUMMYFUNCTION("""COMPUTED_VALUE"""),"https://expa.aiesec.org/opportunities/1288662")</f>
        <v>https://expa.aiesec.org/opportunities/1288662</v>
      </c>
      <c r="L24" s="43" t="str">
        <f>IFERROR(__xludf.DUMMYFUNCTION("""COMPUTED_VALUE"""),"GTa")</f>
        <v>GTa</v>
      </c>
      <c r="M24" s="43" t="str">
        <f>IFERROR(__xludf.DUMMYFUNCTION("""COMPUTED_VALUE"""),"long")</f>
        <v>long</v>
      </c>
      <c r="N24" s="45">
        <f>IFERROR(__xludf.DUMMYFUNCTION("""COMPUTED_VALUE"""),44894.0)</f>
        <v>44894</v>
      </c>
      <c r="O24" s="45">
        <f>IFERROR(__xludf.DUMMYFUNCTION("""COMPUTED_VALUE"""),45017.0)</f>
        <v>45017</v>
      </c>
      <c r="P24" s="45">
        <f>IFERROR(__xludf.DUMMYFUNCTION("""COMPUTED_VALUE"""),45382.0)</f>
        <v>45382</v>
      </c>
      <c r="Q24" s="45"/>
      <c r="R24" s="45"/>
      <c r="S24" s="43"/>
      <c r="T24" s="43" t="str">
        <f>IFERROR(__xludf.DUMMYFUNCTION("""COMPUTED_VALUE"""),"Other")</f>
        <v>Other</v>
      </c>
      <c r="U24" s="43" t="str">
        <f>IFERROR(__xludf.DUMMYFUNCTION("""COMPUTED_VALUE"""),"Sustainability Reporting Trainee")</f>
        <v>Sustainability Reporting Trainee</v>
      </c>
      <c r="V24" s="43" t="str">
        <f>IFERROR(__xludf.DUMMYFUNCTION("""COMPUTED_VALUE"""),"ISTANBUL - BEYOGLU")</f>
        <v>ISTANBUL - BEYOGLU</v>
      </c>
      <c r="W24" s="43" t="str">
        <f>IFERROR(__xludf.DUMMYFUNCTION("""COMPUTED_VALUE"""),"2022-11-29T11:20:35Z")</f>
        <v>2022-11-29T11:20:35Z</v>
      </c>
      <c r="X24" s="43"/>
      <c r="Y24" s="43"/>
      <c r="Z24" s="43"/>
    </row>
    <row r="25">
      <c r="A25" s="43" t="str">
        <f>IFERROR(__xludf.DUMMYFUNCTION("""COMPUTED_VALUE"""),"5160850_1291199")</f>
        <v>5160850_1291199</v>
      </c>
      <c r="B25" s="43" t="str">
        <f>IFERROR(__xludf.DUMMYFUNCTION("""COMPUTED_VALUE"""),"Numanhan Duran")</f>
        <v>Numanhan Duran</v>
      </c>
      <c r="C25" s="43" t="str">
        <f>IFERROR(__xludf.DUMMYFUNCTION("""COMPUTED_VALUE"""),"approved")</f>
        <v>approved</v>
      </c>
      <c r="D25" s="43" t="str">
        <f>IFERROR(__xludf.DUMMYFUNCTION("""COMPUTED_VALUE"""),"No")</f>
        <v>No</v>
      </c>
      <c r="E25" s="43" t="str">
        <f>IFERROR(__xludf.DUMMYFUNCTION("""COMPUTED_VALUE"""),"p_8c3ef23f43776a14a38072dc350d1d5ec734e016@inbound.aiesec.org")</f>
        <v>p_8c3ef23f43776a14a38072dc350d1d5ec734e016@inbound.aiesec.org</v>
      </c>
      <c r="F25" s="43">
        <f>IFERROR(__xludf.DUMMYFUNCTION("""COMPUTED_VALUE"""),1.713527951E9)</f>
        <v>1713527951</v>
      </c>
      <c r="G25" s="43" t="str">
        <f>IFERROR(__xludf.DUMMYFUNCTION("""COMPUTED_VALUE"""),"Turkey")</f>
        <v>Turkey</v>
      </c>
      <c r="H25" s="43" t="str">
        <f>IFERROR(__xludf.DUMMYFUNCTION("""COMPUTED_VALUE"""),"ISTANBUL")</f>
        <v>ISTANBUL</v>
      </c>
      <c r="I25" s="43" t="str">
        <f>IFERROR(__xludf.DUMMYFUNCTION("""COMPUTED_VALUE"""),"Germany")</f>
        <v>Germany</v>
      </c>
      <c r="J25" s="43" t="str">
        <f>IFERROR(__xludf.DUMMYFUNCTION("""COMPUTED_VALUE"""),"KOELN")</f>
        <v>KOELN</v>
      </c>
      <c r="K25" s="44" t="str">
        <f>IFERROR(__xludf.DUMMYFUNCTION("""COMPUTED_VALUE"""),"https://expa.aiesec.org/opportunities/1291199")</f>
        <v>https://expa.aiesec.org/opportunities/1291199</v>
      </c>
      <c r="L25" s="43" t="str">
        <f>IFERROR(__xludf.DUMMYFUNCTION("""COMPUTED_VALUE"""),"GTa")</f>
        <v>GTa</v>
      </c>
      <c r="M25" s="43" t="str">
        <f>IFERROR(__xludf.DUMMYFUNCTION("""COMPUTED_VALUE"""),"long")</f>
        <v>long</v>
      </c>
      <c r="N25" s="45">
        <f>IFERROR(__xludf.DUMMYFUNCTION("""COMPUTED_VALUE"""),44895.0)</f>
        <v>44895</v>
      </c>
      <c r="O25" s="45">
        <f>IFERROR(__xludf.DUMMYFUNCTION("""COMPUTED_VALUE"""),44927.0)</f>
        <v>44927</v>
      </c>
      <c r="P25" s="45">
        <f>IFERROR(__xludf.DUMMYFUNCTION("""COMPUTED_VALUE"""),45291.0)</f>
        <v>45291</v>
      </c>
      <c r="Q25" s="45"/>
      <c r="R25" s="45"/>
      <c r="S25" s="43"/>
      <c r="T25" s="43" t="str">
        <f>IFERROR(__xludf.DUMMYFUNCTION("""COMPUTED_VALUE"""),"Information Technology")</f>
        <v>Information Technology</v>
      </c>
      <c r="U25" s="43" t="str">
        <f>IFERROR(__xludf.DUMMYFUNCTION("""COMPUTED_VALUE"""),"Business Analyst")</f>
        <v>Business Analyst</v>
      </c>
      <c r="V25" s="43" t="str">
        <f>IFERROR(__xludf.DUMMYFUNCTION("""COMPUTED_VALUE"""),"ISTANBUL - BEYOGLU")</f>
        <v>ISTANBUL - BEYOGLU</v>
      </c>
      <c r="W25" s="43" t="str">
        <f>IFERROR(__xludf.DUMMYFUNCTION("""COMPUTED_VALUE"""),"2022-11-30T09:59:50Z")</f>
        <v>2022-11-30T09:59:50Z</v>
      </c>
      <c r="X25" s="43"/>
      <c r="Y25" s="43"/>
      <c r="Z25" s="43"/>
    </row>
    <row r="26">
      <c r="A26" s="43" t="str">
        <f>IFERROR(__xludf.DUMMYFUNCTION("""COMPUTED_VALUE"""),"5128753_1269748")</f>
        <v>5128753_1269748</v>
      </c>
      <c r="B26" s="43" t="str">
        <f>IFERROR(__xludf.DUMMYFUNCTION("""COMPUTED_VALUE"""),"Eda Sahinkul")</f>
        <v>Eda Sahinkul</v>
      </c>
      <c r="C26" s="43" t="str">
        <f>IFERROR(__xludf.DUMMYFUNCTION("""COMPUTED_VALUE"""),"completed")</f>
        <v>completed</v>
      </c>
      <c r="D26" s="43" t="str">
        <f>IFERROR(__xludf.DUMMYFUNCTION("""COMPUTED_VALUE"""),"No")</f>
        <v>No</v>
      </c>
      <c r="E26" s="43" t="str">
        <f>IFERROR(__xludf.DUMMYFUNCTION("""COMPUTED_VALUE"""),"p_7476ae326917052ebc566e6dc827423476b5c5ed@inbound.aiesec.org")</f>
        <v>p_7476ae326917052ebc566e6dc827423476b5c5ed@inbound.aiesec.org</v>
      </c>
      <c r="F26" s="43">
        <f>IFERROR(__xludf.DUMMYFUNCTION("""COMPUTED_VALUE"""),6.12241298E8)</f>
        <v>612241298</v>
      </c>
      <c r="G26" s="43" t="str">
        <f>IFERROR(__xludf.DUMMYFUNCTION("""COMPUTED_VALUE"""),"Turkey")</f>
        <v>Turkey</v>
      </c>
      <c r="H26" s="43" t="str">
        <f>IFERROR(__xludf.DUMMYFUNCTION("""COMPUTED_VALUE"""),"ANKARA")</f>
        <v>ANKARA</v>
      </c>
      <c r="I26" s="43" t="str">
        <f>IFERROR(__xludf.DUMMYFUNCTION("""COMPUTED_VALUE"""),"Hungary")</f>
        <v>Hungary</v>
      </c>
      <c r="J26" s="43" t="str">
        <f>IFERROR(__xludf.DUMMYFUNCTION("""COMPUTED_VALUE"""),"Budapest University - KÖZGÁZ")</f>
        <v>Budapest University - KÖZGÁZ</v>
      </c>
      <c r="K26" s="44" t="str">
        <f>IFERROR(__xludf.DUMMYFUNCTION("""COMPUTED_VALUE"""),"https://expa.aiesec.org/opportunities/1269748")</f>
        <v>https://expa.aiesec.org/opportunities/1269748</v>
      </c>
      <c r="L26" s="43" t="str">
        <f>IFERROR(__xludf.DUMMYFUNCTION("""COMPUTED_VALUE"""),"GTa")</f>
        <v>GTa</v>
      </c>
      <c r="M26" s="43" t="str">
        <f>IFERROR(__xludf.DUMMYFUNCTION("""COMPUTED_VALUE"""),"long")</f>
        <v>long</v>
      </c>
      <c r="N26" s="45">
        <f>IFERROR(__xludf.DUMMYFUNCTION("""COMPUTED_VALUE"""),44895.0)</f>
        <v>44895</v>
      </c>
      <c r="O26" s="45">
        <f>IFERROR(__xludf.DUMMYFUNCTION("""COMPUTED_VALUE"""),44914.0)</f>
        <v>44914</v>
      </c>
      <c r="P26" s="45">
        <f>IFERROR(__xludf.DUMMYFUNCTION("""COMPUTED_VALUE"""),45279.0)</f>
        <v>45279</v>
      </c>
      <c r="Q26" s="45"/>
      <c r="R26" s="45">
        <f>IFERROR(__xludf.DUMMYFUNCTION("""COMPUTED_VALUE"""),45295.0)</f>
        <v>45295</v>
      </c>
      <c r="S26" s="43"/>
      <c r="T26" s="43" t="str">
        <f>IFERROR(__xludf.DUMMYFUNCTION("""COMPUTED_VALUE"""),"Business Administration")</f>
        <v>Business Administration</v>
      </c>
      <c r="U26" s="43" t="str">
        <f>IFERROR(__xludf.DUMMYFUNCTION("""COMPUTED_VALUE"""),"Junior Demo Officer")</f>
        <v>Junior Demo Officer</v>
      </c>
      <c r="V26" s="43" t="str">
        <f>IFERROR(__xludf.DUMMYFUNCTION("""COMPUTED_VALUE"""),"ANKARA")</f>
        <v>ANKARA</v>
      </c>
      <c r="W26" s="43" t="str">
        <f>IFERROR(__xludf.DUMMYFUNCTION("""COMPUTED_VALUE"""),"2022-10-10T09:06:42Z")</f>
        <v>2022-10-10T09:06:42Z</v>
      </c>
      <c r="X26" s="43"/>
      <c r="Y26" s="43"/>
      <c r="Z26" s="43"/>
    </row>
    <row r="27" hidden="1">
      <c r="A27" s="43" t="str">
        <f>IFERROR(__xludf.DUMMYFUNCTION("""COMPUTED_VALUE"""),"5141560_1289202")</f>
        <v>5141560_1289202</v>
      </c>
      <c r="B27" s="43" t="str">
        <f>IFERROR(__xludf.DUMMYFUNCTION("""COMPUTED_VALUE"""),"Boutheina ZENDER")</f>
        <v>Boutheina ZENDER</v>
      </c>
      <c r="C27" s="43" t="str">
        <f>IFERROR(__xludf.DUMMYFUNCTION("""COMPUTED_VALUE"""),"completed")</f>
        <v>completed</v>
      </c>
      <c r="D27" s="43" t="str">
        <f>IFERROR(__xludf.DUMMYFUNCTION("""COMPUTED_VALUE"""),"No")</f>
        <v>No</v>
      </c>
      <c r="E27" s="43" t="str">
        <f>IFERROR(__xludf.DUMMYFUNCTION("""COMPUTED_VALUE"""),"p_f4eee01325bb6fe99508c5beca5153c7d53e5e8b@inbound.aiesec.org")</f>
        <v>p_f4eee01325bb6fe99508c5beca5153c7d53e5e8b@inbound.aiesec.org</v>
      </c>
      <c r="F27" s="43">
        <f>IFERROR(__xludf.DUMMYFUNCTION("""COMPUTED_VALUE"""),5.351046881E9)</f>
        <v>5351046881</v>
      </c>
      <c r="G27" s="43" t="str">
        <f>IFERROR(__xludf.DUMMYFUNCTION("""COMPUTED_VALUE"""),"Turkey")</f>
        <v>Turkey</v>
      </c>
      <c r="H27" s="43" t="str">
        <f>IFERROR(__xludf.DUMMYFUNCTION("""COMPUTED_VALUE"""),"ISTANBUL")</f>
        <v>ISTANBUL</v>
      </c>
      <c r="I27" s="43" t="str">
        <f>IFERROR(__xludf.DUMMYFUNCTION("""COMPUTED_VALUE"""),"India")</f>
        <v>India</v>
      </c>
      <c r="J27" s="43" t="str">
        <f>IFERROR(__xludf.DUMMYFUNCTION("""COMPUTED_VALUE"""),"VIT")</f>
        <v>VIT</v>
      </c>
      <c r="K27" s="44" t="str">
        <f>IFERROR(__xludf.DUMMYFUNCTION("""COMPUTED_VALUE"""),"https://expa.aiesec.org/opportunities/1289202")</f>
        <v>https://expa.aiesec.org/opportunities/1289202</v>
      </c>
      <c r="L27" s="43" t="str">
        <f>IFERROR(__xludf.DUMMYFUNCTION("""COMPUTED_VALUE"""),"GTa")</f>
        <v>GTa</v>
      </c>
      <c r="M27" s="43" t="str">
        <f>IFERROR(__xludf.DUMMYFUNCTION("""COMPUTED_VALUE"""),"short")</f>
        <v>short</v>
      </c>
      <c r="N27" s="45">
        <f>IFERROR(__xludf.DUMMYFUNCTION("""COMPUTED_VALUE"""),44895.0)</f>
        <v>44895</v>
      </c>
      <c r="O27" s="45">
        <f>IFERROR(__xludf.DUMMYFUNCTION("""COMPUTED_VALUE"""),44935.0)</f>
        <v>44935</v>
      </c>
      <c r="P27" s="45">
        <f>IFERROR(__xludf.DUMMYFUNCTION("""COMPUTED_VALUE"""),44990.0)</f>
        <v>44990</v>
      </c>
      <c r="Q27" s="45">
        <f>IFERROR(__xludf.DUMMYFUNCTION("""COMPUTED_VALUE"""),44936.0)</f>
        <v>44936</v>
      </c>
      <c r="R27" s="45">
        <f>IFERROR(__xludf.DUMMYFUNCTION("""COMPUTED_VALUE"""),44990.0)</f>
        <v>44990</v>
      </c>
      <c r="S27" s="43"/>
      <c r="T27" s="43" t="str">
        <f>IFERROR(__xludf.DUMMYFUNCTION("""COMPUTED_VALUE"""),"Engineering")</f>
        <v>Engineering</v>
      </c>
      <c r="U27" s="43" t="str">
        <f>IFERROR(__xludf.DUMMYFUNCTION("""COMPUTED_VALUE"""),"Research Intern |Molecular Biology| | In India     ")</f>
        <v>Research Intern |Molecular Biology| | In India     </v>
      </c>
      <c r="V27" s="43" t="str">
        <f>IFERROR(__xludf.DUMMYFUNCTION("""COMPUTED_VALUE"""),"ISTANBUL - BEYOGLU")</f>
        <v>ISTANBUL - BEYOGLU</v>
      </c>
      <c r="W27" s="43" t="str">
        <f>IFERROR(__xludf.DUMMYFUNCTION("""COMPUTED_VALUE"""),"2022-10-27T14:17:42Z")</f>
        <v>2022-10-27T14:17:42Z</v>
      </c>
      <c r="X27" s="43"/>
      <c r="Y27" s="43"/>
      <c r="Z27" s="43"/>
    </row>
    <row r="28" hidden="1">
      <c r="A28" s="43" t="str">
        <f>IFERROR(__xludf.DUMMYFUNCTION("""COMPUTED_VALUE"""),"5140959_1289138")</f>
        <v>5140959_1289138</v>
      </c>
      <c r="B28" s="43" t="str">
        <f>IFERROR(__xludf.DUMMYFUNCTION("""COMPUTED_VALUE"""),"Elanur Özmen")</f>
        <v>Elanur Özmen</v>
      </c>
      <c r="C28" s="43" t="str">
        <f>IFERROR(__xludf.DUMMYFUNCTION("""COMPUTED_VALUE"""),"finished")</f>
        <v>finished</v>
      </c>
      <c r="D28" s="43" t="str">
        <f>IFERROR(__xludf.DUMMYFUNCTION("""COMPUTED_VALUE"""),"No")</f>
        <v>No</v>
      </c>
      <c r="E28" s="43" t="str">
        <f>IFERROR(__xludf.DUMMYFUNCTION("""COMPUTED_VALUE"""),"p_a3e09e4997f9b7584d391e644a27279c0c3e60b6@inbound.aiesec.org")</f>
        <v>p_a3e09e4997f9b7584d391e644a27279c0c3e60b6@inbound.aiesec.org</v>
      </c>
      <c r="F28" s="43"/>
      <c r="G28" s="43" t="str">
        <f>IFERROR(__xludf.DUMMYFUNCTION("""COMPUTED_VALUE"""),"Turkey")</f>
        <v>Turkey</v>
      </c>
      <c r="H28" s="43" t="str">
        <f>IFERROR(__xludf.DUMMYFUNCTION("""COMPUTED_VALUE"""),"KOCAELI")</f>
        <v>KOCAELI</v>
      </c>
      <c r="I28" s="43" t="str">
        <f>IFERROR(__xludf.DUMMYFUNCTION("""COMPUTED_VALUE"""),"India")</f>
        <v>India</v>
      </c>
      <c r="J28" s="43" t="str">
        <f>IFERROR(__xludf.DUMMYFUNCTION("""COMPUTED_VALUE"""),"VIT")</f>
        <v>VIT</v>
      </c>
      <c r="K28" s="44" t="str">
        <f>IFERROR(__xludf.DUMMYFUNCTION("""COMPUTED_VALUE"""),"https://expa.aiesec.org/opportunities/1289138")</f>
        <v>https://expa.aiesec.org/opportunities/1289138</v>
      </c>
      <c r="L28" s="43" t="str">
        <f>IFERROR(__xludf.DUMMYFUNCTION("""COMPUTED_VALUE"""),"GTa")</f>
        <v>GTa</v>
      </c>
      <c r="M28" s="43" t="str">
        <f>IFERROR(__xludf.DUMMYFUNCTION("""COMPUTED_VALUE"""),"short")</f>
        <v>short</v>
      </c>
      <c r="N28" s="45">
        <f>IFERROR(__xludf.DUMMYFUNCTION("""COMPUTED_VALUE"""),44905.0)</f>
        <v>44905</v>
      </c>
      <c r="O28" s="45">
        <f>IFERROR(__xludf.DUMMYFUNCTION("""COMPUTED_VALUE"""),44977.0)</f>
        <v>44977</v>
      </c>
      <c r="P28" s="45">
        <f>IFERROR(__xludf.DUMMYFUNCTION("""COMPUTED_VALUE"""),45032.0)</f>
        <v>45032</v>
      </c>
      <c r="Q28" s="45">
        <f>IFERROR(__xludf.DUMMYFUNCTION("""COMPUTED_VALUE"""),44936.0)</f>
        <v>44936</v>
      </c>
      <c r="R28" s="45">
        <f>IFERROR(__xludf.DUMMYFUNCTION("""COMPUTED_VALUE"""),45032.0)</f>
        <v>45032</v>
      </c>
      <c r="S28" s="43"/>
      <c r="T28" s="43" t="str">
        <f>IFERROR(__xludf.DUMMYFUNCTION("""COMPUTED_VALUE"""),"Information Technology")</f>
        <v>Information Technology</v>
      </c>
      <c r="U28" s="43" t="str">
        <f>IFERROR(__xludf.DUMMYFUNCTION("""COMPUTED_VALUE"""),"Research Intern | Cybersecurity and Machine Learning | In India")</f>
        <v>Research Intern | Cybersecurity and Machine Learning | In India</v>
      </c>
      <c r="V28" s="43" t="str">
        <f>IFERROR(__xludf.DUMMYFUNCTION("""COMPUTED_VALUE"""),"-")</f>
        <v>-</v>
      </c>
      <c r="W28" s="43" t="str">
        <f>IFERROR(__xludf.DUMMYFUNCTION("""COMPUTED_VALUE"""),"2022-10-26T16:27:02Z")</f>
        <v>2022-10-26T16:27:02Z</v>
      </c>
      <c r="X28" s="43"/>
      <c r="Y28" s="43"/>
      <c r="Z28" s="43"/>
    </row>
    <row r="29" hidden="1">
      <c r="A29" s="43" t="str">
        <f>IFERROR(__xludf.DUMMYFUNCTION("""COMPUTED_VALUE"""),"5166296_1290300")</f>
        <v>5166296_1290300</v>
      </c>
      <c r="B29" s="43" t="str">
        <f>IFERROR(__xludf.DUMMYFUNCTION("""COMPUTED_VALUE"""),"Gökalp Kayır")</f>
        <v>Gökalp Kayır</v>
      </c>
      <c r="C29" s="43" t="str">
        <f>IFERROR(__xludf.DUMMYFUNCTION("""COMPUTED_VALUE"""),"completed")</f>
        <v>completed</v>
      </c>
      <c r="D29" s="43" t="str">
        <f>IFERROR(__xludf.DUMMYFUNCTION("""COMPUTED_VALUE"""),"No")</f>
        <v>No</v>
      </c>
      <c r="E29" s="43" t="str">
        <f>IFERROR(__xludf.DUMMYFUNCTION("""COMPUTED_VALUE"""),"p_2d13a2168fc3d837a5befdfa16a1e12acf376acc@inbound.aiesec.org")</f>
        <v>p_2d13a2168fc3d837a5befdfa16a1e12acf376acc@inbound.aiesec.org</v>
      </c>
      <c r="F29" s="43">
        <f>IFERROR(__xludf.DUMMYFUNCTION("""COMPUTED_VALUE"""),5.313719801E9)</f>
        <v>5313719801</v>
      </c>
      <c r="G29" s="43" t="str">
        <f>IFERROR(__xludf.DUMMYFUNCTION("""COMPUTED_VALUE"""),"Turkey")</f>
        <v>Turkey</v>
      </c>
      <c r="H29" s="43" t="str">
        <f>IFERROR(__xludf.DUMMYFUNCTION("""COMPUTED_VALUE"""),"ISTANBUL")</f>
        <v>ISTANBUL</v>
      </c>
      <c r="I29" s="43" t="str">
        <f>IFERROR(__xludf.DUMMYFUNCTION("""COMPUTED_VALUE"""),"Serbia")</f>
        <v>Serbia</v>
      </c>
      <c r="J29" s="43" t="str">
        <f>IFERROR(__xludf.DUMMYFUNCTION("""COMPUTED_VALUE"""),"Belgrade Faculty of Economics (EF)")</f>
        <v>Belgrade Faculty of Economics (EF)</v>
      </c>
      <c r="K29" s="44" t="str">
        <f>IFERROR(__xludf.DUMMYFUNCTION("""COMPUTED_VALUE"""),"https://expa.aiesec.org/opportunities/1290300")</f>
        <v>https://expa.aiesec.org/opportunities/1290300</v>
      </c>
      <c r="L29" s="43" t="str">
        <f>IFERROR(__xludf.DUMMYFUNCTION("""COMPUTED_VALUE"""),"GTa")</f>
        <v>GTa</v>
      </c>
      <c r="M29" s="43" t="str">
        <f>IFERROR(__xludf.DUMMYFUNCTION("""COMPUTED_VALUE"""),"short")</f>
        <v>short</v>
      </c>
      <c r="N29" s="45">
        <f>IFERROR(__xludf.DUMMYFUNCTION("""COMPUTED_VALUE"""),44909.0)</f>
        <v>44909</v>
      </c>
      <c r="O29" s="45">
        <f>IFERROR(__xludf.DUMMYFUNCTION("""COMPUTED_VALUE"""),44942.0)</f>
        <v>44942</v>
      </c>
      <c r="P29" s="45">
        <f>IFERROR(__xludf.DUMMYFUNCTION("""COMPUTED_VALUE"""),44998.0)</f>
        <v>44998</v>
      </c>
      <c r="Q29" s="45">
        <f>IFERROR(__xludf.DUMMYFUNCTION("""COMPUTED_VALUE"""),44957.0)</f>
        <v>44957</v>
      </c>
      <c r="R29" s="45">
        <f>IFERROR(__xludf.DUMMYFUNCTION("""COMPUTED_VALUE"""),45013.0)</f>
        <v>45013</v>
      </c>
      <c r="S29" s="43"/>
      <c r="T29" s="43" t="str">
        <f>IFERROR(__xludf.DUMMYFUNCTION("""COMPUTED_VALUE"""),"Engineering")</f>
        <v>Engineering</v>
      </c>
      <c r="U29" s="43" t="str">
        <f>IFERROR(__xludf.DUMMYFUNCTION("""COMPUTED_VALUE"""),"Mechanical Design Engineer")</f>
        <v>Mechanical Design Engineer</v>
      </c>
      <c r="V29" s="43" t="str">
        <f>IFERROR(__xludf.DUMMYFUNCTION("""COMPUTED_VALUE"""),"ISTANBUL - BEYOGLU")</f>
        <v>ISTANBUL - BEYOGLU</v>
      </c>
      <c r="W29" s="43" t="str">
        <f>IFERROR(__xludf.DUMMYFUNCTION("""COMPUTED_VALUE"""),"2022-12-14T19:31:17Z")</f>
        <v>2022-12-14T19:31:17Z</v>
      </c>
      <c r="X29" s="43"/>
      <c r="Y29" s="43"/>
      <c r="Z29" s="43"/>
    </row>
    <row r="30" hidden="1">
      <c r="A30" s="43" t="str">
        <f>IFERROR(__xludf.DUMMYFUNCTION("""COMPUTED_VALUE"""),"5173180_1291562")</f>
        <v>5173180_1291562</v>
      </c>
      <c r="B30" s="43" t="str">
        <f>IFERROR(__xludf.DUMMYFUNCTION("""COMPUTED_VALUE"""),"Burak Kocamanoğlu")</f>
        <v>Burak Kocamanoğlu</v>
      </c>
      <c r="C30" s="43" t="str">
        <f>IFERROR(__xludf.DUMMYFUNCTION("""COMPUTED_VALUE"""),"completed")</f>
        <v>completed</v>
      </c>
      <c r="D30" s="43" t="str">
        <f>IFERROR(__xludf.DUMMYFUNCTION("""COMPUTED_VALUE"""),"No")</f>
        <v>No</v>
      </c>
      <c r="E30" s="43" t="str">
        <f>IFERROR(__xludf.DUMMYFUNCTION("""COMPUTED_VALUE"""),"p_a71e7a415b18cf5db336fdf61536f6ca273a3d4e@inbound.aiesec.org")</f>
        <v>p_a71e7a415b18cf5db336fdf61536f6ca273a3d4e@inbound.aiesec.org</v>
      </c>
      <c r="F30" s="43"/>
      <c r="G30" s="43" t="str">
        <f>IFERROR(__xludf.DUMMYFUNCTION("""COMPUTED_VALUE"""),"Turkey")</f>
        <v>Turkey</v>
      </c>
      <c r="H30" s="43" t="str">
        <f>IFERROR(__xludf.DUMMYFUNCTION("""COMPUTED_VALUE"""),"ANKARA")</f>
        <v>ANKARA</v>
      </c>
      <c r="I30" s="43" t="str">
        <f>IFERROR(__xludf.DUMMYFUNCTION("""COMPUTED_VALUE"""),"Romania")</f>
        <v>Romania</v>
      </c>
      <c r="J30" s="43" t="str">
        <f>IFERROR(__xludf.DUMMYFUNCTION("""COMPUTED_VALUE"""),"Cluj-Napoca")</f>
        <v>Cluj-Napoca</v>
      </c>
      <c r="K30" s="44" t="str">
        <f>IFERROR(__xludf.DUMMYFUNCTION("""COMPUTED_VALUE"""),"https://expa.aiesec.org/opportunities/1291562")</f>
        <v>https://expa.aiesec.org/opportunities/1291562</v>
      </c>
      <c r="L30" s="43" t="str">
        <f>IFERROR(__xludf.DUMMYFUNCTION("""COMPUTED_VALUE"""),"GTa")</f>
        <v>GTa</v>
      </c>
      <c r="M30" s="43" t="str">
        <f>IFERROR(__xludf.DUMMYFUNCTION("""COMPUTED_VALUE"""),"short")</f>
        <v>short</v>
      </c>
      <c r="N30" s="45">
        <f>IFERROR(__xludf.DUMMYFUNCTION("""COMPUTED_VALUE"""),44935.0)</f>
        <v>44935</v>
      </c>
      <c r="O30" s="45">
        <f>IFERROR(__xludf.DUMMYFUNCTION("""COMPUTED_VALUE"""),44998.0)</f>
        <v>44998</v>
      </c>
      <c r="P30" s="45">
        <f>IFERROR(__xludf.DUMMYFUNCTION("""COMPUTED_VALUE"""),45051.0)</f>
        <v>45051</v>
      </c>
      <c r="Q30" s="45">
        <f>IFERROR(__xludf.DUMMYFUNCTION("""COMPUTED_VALUE"""),44999.0)</f>
        <v>44999</v>
      </c>
      <c r="R30" s="45">
        <f>IFERROR(__xludf.DUMMYFUNCTION("""COMPUTED_VALUE"""),45051.0)</f>
        <v>45051</v>
      </c>
      <c r="S30" s="43"/>
      <c r="T30" s="43" t="str">
        <f>IFERROR(__xludf.DUMMYFUNCTION("""COMPUTED_VALUE"""),"Information Technology")</f>
        <v>Information Technology</v>
      </c>
      <c r="U30" s="43" t="str">
        <f>IFERROR(__xludf.DUMMYFUNCTION("""COMPUTED_VALUE"""),"Accelerate Romania - Software Developer ")</f>
        <v>Accelerate Romania - Software Developer </v>
      </c>
      <c r="V30" s="43" t="str">
        <f>IFERROR(__xludf.DUMMYFUNCTION("""COMPUTED_VALUE"""),"-")</f>
        <v>-</v>
      </c>
      <c r="W30" s="43" t="str">
        <f>IFERROR(__xludf.DUMMYFUNCTION("""COMPUTED_VALUE"""),"2023-01-04T20:33:21Z")</f>
        <v>2023-01-04T20:33:21Z</v>
      </c>
      <c r="X30" s="43"/>
      <c r="Y30" s="43"/>
      <c r="Z30" s="43"/>
    </row>
    <row r="31" hidden="1">
      <c r="A31" s="43" t="str">
        <f>IFERROR(__xludf.DUMMYFUNCTION("""COMPUTED_VALUE"""),"5152949_1290672")</f>
        <v>5152949_1290672</v>
      </c>
      <c r="B31" s="43" t="str">
        <f>IFERROR(__xludf.DUMMYFUNCTION("""COMPUTED_VALUE"""),"Aynur Kusku")</f>
        <v>Aynur Kusku</v>
      </c>
      <c r="C31" s="43" t="str">
        <f>IFERROR(__xludf.DUMMYFUNCTION("""COMPUTED_VALUE"""),"realized")</f>
        <v>realized</v>
      </c>
      <c r="D31" s="43" t="str">
        <f>IFERROR(__xludf.DUMMYFUNCTION("""COMPUTED_VALUE"""),"No")</f>
        <v>No</v>
      </c>
      <c r="E31" s="43" t="str">
        <f>IFERROR(__xludf.DUMMYFUNCTION("""COMPUTED_VALUE"""),"p_be1a7cc5501f5704ab62f270181414389b45501c@inbound.aiesec.org")</f>
        <v>p_be1a7cc5501f5704ab62f270181414389b45501c@inbound.aiesec.org</v>
      </c>
      <c r="F31" s="43"/>
      <c r="G31" s="43" t="str">
        <f>IFERROR(__xludf.DUMMYFUNCTION("""COMPUTED_VALUE"""),"Turkey")</f>
        <v>Turkey</v>
      </c>
      <c r="H31" s="43" t="str">
        <f>IFERROR(__xludf.DUMMYFUNCTION("""COMPUTED_VALUE"""),"ISTANBUL ASIA")</f>
        <v>ISTANBUL ASIA</v>
      </c>
      <c r="I31" s="43" t="str">
        <f>IFERROR(__xludf.DUMMYFUNCTION("""COMPUTED_VALUE"""),"The Netherlands")</f>
        <v>The Netherlands</v>
      </c>
      <c r="J31" s="43" t="str">
        <f>IFERROR(__xludf.DUMMYFUNCTION("""COMPUTED_VALUE"""),"TILBURG")</f>
        <v>TILBURG</v>
      </c>
      <c r="K31" s="44" t="str">
        <f>IFERROR(__xludf.DUMMYFUNCTION("""COMPUTED_VALUE"""),"https://expa.aiesec.org/opportunities/1290672")</f>
        <v>https://expa.aiesec.org/opportunities/1290672</v>
      </c>
      <c r="L31" s="43" t="str">
        <f>IFERROR(__xludf.DUMMYFUNCTION("""COMPUTED_VALUE"""),"GTa")</f>
        <v>GTa</v>
      </c>
      <c r="M31" s="43" t="str">
        <f>IFERROR(__xludf.DUMMYFUNCTION("""COMPUTED_VALUE"""),"long")</f>
        <v>long</v>
      </c>
      <c r="N31" s="45">
        <f>IFERROR(__xludf.DUMMYFUNCTION("""COMPUTED_VALUE"""),44935.0)</f>
        <v>44935</v>
      </c>
      <c r="O31" s="45">
        <f>IFERROR(__xludf.DUMMYFUNCTION("""COMPUTED_VALUE"""),44928.0)</f>
        <v>44928</v>
      </c>
      <c r="P31" s="45">
        <f>IFERROR(__xludf.DUMMYFUNCTION("""COMPUTED_VALUE"""),45293.0)</f>
        <v>45293</v>
      </c>
      <c r="Q31" s="45">
        <f>IFERROR(__xludf.DUMMYFUNCTION("""COMPUTED_VALUE"""),45035.0)</f>
        <v>45035</v>
      </c>
      <c r="R31" s="45">
        <f>IFERROR(__xludf.DUMMYFUNCTION("""COMPUTED_VALUE"""),45398.0)</f>
        <v>45398</v>
      </c>
      <c r="S31" s="43"/>
      <c r="T31" s="43" t="str">
        <f>IFERROR(__xludf.DUMMYFUNCTION("""COMPUTED_VALUE"""),"Business Administration")</f>
        <v>Business Administration</v>
      </c>
      <c r="U31" s="43" t="str">
        <f>IFERROR(__xludf.DUMMYFUNCTION("""COMPUTED_VALUE"""),"Global HR")</f>
        <v>Global HR</v>
      </c>
      <c r="V31" s="43" t="str">
        <f>IFERROR(__xludf.DUMMYFUNCTION("""COMPUTED_VALUE"""),"-")</f>
        <v>-</v>
      </c>
      <c r="W31" s="43" t="str">
        <f>IFERROR(__xludf.DUMMYFUNCTION("""COMPUTED_VALUE"""),"2022-11-14T18:23:12Z")</f>
        <v>2022-11-14T18:23:12Z</v>
      </c>
      <c r="X31" s="43"/>
      <c r="Y31" s="43"/>
      <c r="Z31" s="43"/>
    </row>
    <row r="32">
      <c r="A32" s="43" t="str">
        <f>IFERROR(__xludf.DUMMYFUNCTION("""COMPUTED_VALUE"""),"5173665_1278558")</f>
        <v>5173665_1278558</v>
      </c>
      <c r="B32" s="43" t="str">
        <f>IFERROR(__xludf.DUMMYFUNCTION("""COMPUTED_VALUE"""),"Kaoutar Bouziani Idrissi")</f>
        <v>Kaoutar Bouziani Idrissi</v>
      </c>
      <c r="C32" s="43" t="str">
        <f>IFERROR(__xludf.DUMMYFUNCTION("""COMPUTED_VALUE"""),"approved")</f>
        <v>approved</v>
      </c>
      <c r="D32" s="43" t="str">
        <f>IFERROR(__xludf.DUMMYFUNCTION("""COMPUTED_VALUE"""),"No")</f>
        <v>No</v>
      </c>
      <c r="E32" s="43" t="str">
        <f>IFERROR(__xludf.DUMMYFUNCTION("""COMPUTED_VALUE"""),"p_cb0c20565947f882f8c72e4607f5d49c737579b5@inbound.aiesec.org")</f>
        <v>p_cb0c20565947f882f8c72e4607f5d49c737579b5@inbound.aiesec.org</v>
      </c>
      <c r="F32" s="43"/>
      <c r="G32" s="43" t="str">
        <f>IFERROR(__xludf.DUMMYFUNCTION("""COMPUTED_VALUE"""),"Turkey")</f>
        <v>Turkey</v>
      </c>
      <c r="H32" s="43" t="str">
        <f>IFERROR(__xludf.DUMMYFUNCTION("""COMPUTED_VALUE"""),"ANKARA")</f>
        <v>ANKARA</v>
      </c>
      <c r="I32" s="43" t="str">
        <f>IFERROR(__xludf.DUMMYFUNCTION("""COMPUTED_VALUE"""),"Hungary")</f>
        <v>Hungary</v>
      </c>
      <c r="J32" s="43" t="str">
        <f>IFERROR(__xludf.DUMMYFUNCTION("""COMPUTED_VALUE"""),"Budapest Business School - KÜLKER")</f>
        <v>Budapest Business School - KÜLKER</v>
      </c>
      <c r="K32" s="44" t="str">
        <f>IFERROR(__xludf.DUMMYFUNCTION("""COMPUTED_VALUE"""),"https://expa.aiesec.org/opportunities/1278558")</f>
        <v>https://expa.aiesec.org/opportunities/1278558</v>
      </c>
      <c r="L32" s="43" t="str">
        <f>IFERROR(__xludf.DUMMYFUNCTION("""COMPUTED_VALUE"""),"GTa")</f>
        <v>GTa</v>
      </c>
      <c r="M32" s="43" t="str">
        <f>IFERROR(__xludf.DUMMYFUNCTION("""COMPUTED_VALUE"""),"long")</f>
        <v>long</v>
      </c>
      <c r="N32" s="45">
        <f>IFERROR(__xludf.DUMMYFUNCTION("""COMPUTED_VALUE"""),44939.0)</f>
        <v>44939</v>
      </c>
      <c r="O32" s="45">
        <f>IFERROR(__xludf.DUMMYFUNCTION("""COMPUTED_VALUE"""),45006.0)</f>
        <v>45006</v>
      </c>
      <c r="P32" s="45">
        <f>IFERROR(__xludf.DUMMYFUNCTION("""COMPUTED_VALUE"""),45281.0)</f>
        <v>45281</v>
      </c>
      <c r="Q32" s="45"/>
      <c r="R32" s="45"/>
      <c r="S32" s="43"/>
      <c r="T32" s="43" t="str">
        <f>IFERROR(__xludf.DUMMYFUNCTION("""COMPUTED_VALUE"""),"Business Administration")</f>
        <v>Business Administration</v>
      </c>
      <c r="U32" s="43" t="str">
        <f>IFERROR(__xludf.DUMMYFUNCTION("""COMPUTED_VALUE""")," French Speaking Service Desk Analyst")</f>
        <v> French Speaking Service Desk Analyst</v>
      </c>
      <c r="V32" s="43" t="str">
        <f>IFERROR(__xludf.DUMMYFUNCTION("""COMPUTED_VALUE"""),"-")</f>
        <v>-</v>
      </c>
      <c r="W32" s="43" t="str">
        <f>IFERROR(__xludf.DUMMYFUNCTION("""COMPUTED_VALUE"""),"2023-01-06T11:19:32Z")</f>
        <v>2023-01-06T11:19:32Z</v>
      </c>
      <c r="X32" s="43"/>
      <c r="Y32" s="43"/>
      <c r="Z32" s="43"/>
    </row>
    <row r="33" hidden="1">
      <c r="A33" s="43" t="str">
        <f>IFERROR(__xludf.DUMMYFUNCTION("""COMPUTED_VALUE"""),"3045181_1291185")</f>
        <v>3045181_1291185</v>
      </c>
      <c r="B33" s="43" t="str">
        <f>IFERROR(__xludf.DUMMYFUNCTION("""COMPUTED_VALUE"""),"Tolga Şeker")</f>
        <v>Tolga Şeker</v>
      </c>
      <c r="C33" s="43" t="str">
        <f>IFERROR(__xludf.DUMMYFUNCTION("""COMPUTED_VALUE"""),"completed")</f>
        <v>completed</v>
      </c>
      <c r="D33" s="43" t="str">
        <f>IFERROR(__xludf.DUMMYFUNCTION("""COMPUTED_VALUE"""),"No")</f>
        <v>No</v>
      </c>
      <c r="E33" s="43" t="str">
        <f>IFERROR(__xludf.DUMMYFUNCTION("""COMPUTED_VALUE"""),"p_fcdf31e6ae55d46bab1bc9e67c0be22c331773cf@inbound.aiesec.org")</f>
        <v>p_fcdf31e6ae55d46bab1bc9e67c0be22c331773cf@inbound.aiesec.org</v>
      </c>
      <c r="F33" s="43">
        <f>IFERROR(__xludf.DUMMYFUNCTION("""COMPUTED_VALUE"""),5.358343509E9)</f>
        <v>5358343509</v>
      </c>
      <c r="G33" s="43" t="str">
        <f>IFERROR(__xludf.DUMMYFUNCTION("""COMPUTED_VALUE"""),"Turkey")</f>
        <v>Turkey</v>
      </c>
      <c r="H33" s="43" t="str">
        <f>IFERROR(__xludf.DUMMYFUNCTION("""COMPUTED_VALUE"""),"ISTANBUL")</f>
        <v>ISTANBUL</v>
      </c>
      <c r="I33" s="43" t="str">
        <f>IFERROR(__xludf.DUMMYFUNCTION("""COMPUTED_VALUE"""),"Greece")</f>
        <v>Greece</v>
      </c>
      <c r="J33" s="43" t="str">
        <f>IFERROR(__xludf.DUMMYFUNCTION("""COMPUTED_VALUE"""),"UoM THESSALONIKI")</f>
        <v>UoM THESSALONIKI</v>
      </c>
      <c r="K33" s="44" t="str">
        <f>IFERROR(__xludf.DUMMYFUNCTION("""COMPUTED_VALUE"""),"https://expa.aiesec.org/opportunities/1291185")</f>
        <v>https://expa.aiesec.org/opportunities/1291185</v>
      </c>
      <c r="L33" s="43" t="str">
        <f>IFERROR(__xludf.DUMMYFUNCTION("""COMPUTED_VALUE"""),"GTa")</f>
        <v>GTa</v>
      </c>
      <c r="M33" s="43" t="str">
        <f>IFERROR(__xludf.DUMMYFUNCTION("""COMPUTED_VALUE"""),"short")</f>
        <v>short</v>
      </c>
      <c r="N33" s="45">
        <f>IFERROR(__xludf.DUMMYFUNCTION("""COMPUTED_VALUE"""),44939.0)</f>
        <v>44939</v>
      </c>
      <c r="O33" s="45">
        <f>IFERROR(__xludf.DUMMYFUNCTION("""COMPUTED_VALUE"""),44962.0)</f>
        <v>44962</v>
      </c>
      <c r="P33" s="45">
        <f>IFERROR(__xludf.DUMMYFUNCTION("""COMPUTED_VALUE"""),45018.0)</f>
        <v>45018</v>
      </c>
      <c r="Q33" s="45">
        <f>IFERROR(__xludf.DUMMYFUNCTION("""COMPUTED_VALUE"""),44998.0)</f>
        <v>44998</v>
      </c>
      <c r="R33" s="45">
        <f>IFERROR(__xludf.DUMMYFUNCTION("""COMPUTED_VALUE"""),45054.0)</f>
        <v>45054</v>
      </c>
      <c r="S33" s="43"/>
      <c r="T33" s="43" t="str">
        <f>IFERROR(__xludf.DUMMYFUNCTION("""COMPUTED_VALUE"""),"Marketing")</f>
        <v>Marketing</v>
      </c>
      <c r="U33" s="43" t="str">
        <f>IFERROR(__xludf.DUMMYFUNCTION("""COMPUTED_VALUE"""),"Marketing Managing")</f>
        <v>Marketing Managing</v>
      </c>
      <c r="V33" s="43" t="str">
        <f>IFERROR(__xludf.DUMMYFUNCTION("""COMPUTED_VALUE"""),"ISTANBUL - BEYOGLU")</f>
        <v>ISTANBUL - BEYOGLU</v>
      </c>
      <c r="W33" s="43" t="str">
        <f>IFERROR(__xludf.DUMMYFUNCTION("""COMPUTED_VALUE"""),"2019-01-30T01:08:10Z")</f>
        <v>2019-01-30T01:08:10Z</v>
      </c>
      <c r="X33" s="43"/>
      <c r="Y33" s="43"/>
      <c r="Z33" s="43"/>
    </row>
    <row r="34" hidden="1">
      <c r="A34" s="43" t="str">
        <f>IFERROR(__xludf.DUMMYFUNCTION("""COMPUTED_VALUE"""),"5175395_1283180")</f>
        <v>5175395_1283180</v>
      </c>
      <c r="B34" s="43" t="str">
        <f>IFERROR(__xludf.DUMMYFUNCTION("""COMPUTED_VALUE"""),"Baran Atılganer")</f>
        <v>Baran Atılganer</v>
      </c>
      <c r="C34" s="43" t="str">
        <f>IFERROR(__xludf.DUMMYFUNCTION("""COMPUTED_VALUE"""),"realization_broken")</f>
        <v>realization_broken</v>
      </c>
      <c r="D34" s="43" t="str">
        <f>IFERROR(__xludf.DUMMYFUNCTION("""COMPUTED_VALUE"""),"No")</f>
        <v>No</v>
      </c>
      <c r="E34" s="43" t="str">
        <f>IFERROR(__xludf.DUMMYFUNCTION("""COMPUTED_VALUE"""),"p_ef589e95860a88ad88d840cb7080da3b58df48b0@inbound.aiesec.org")</f>
        <v>p_ef589e95860a88ad88d840cb7080da3b58df48b0@inbound.aiesec.org</v>
      </c>
      <c r="F34" s="43"/>
      <c r="G34" s="43" t="str">
        <f>IFERROR(__xludf.DUMMYFUNCTION("""COMPUTED_VALUE"""),"Turkey")</f>
        <v>Turkey</v>
      </c>
      <c r="H34" s="43" t="str">
        <f>IFERROR(__xludf.DUMMYFUNCTION("""COMPUTED_VALUE"""),"ISTANBUL ASIA")</f>
        <v>ISTANBUL ASIA</v>
      </c>
      <c r="I34" s="43" t="str">
        <f>IFERROR(__xludf.DUMMYFUNCTION("""COMPUTED_VALUE"""),"Hungary")</f>
        <v>Hungary</v>
      </c>
      <c r="J34" s="43" t="str">
        <f>IFERROR(__xludf.DUMMYFUNCTION("""COMPUTED_VALUE"""),"Budapest Business School - KÜLKER")</f>
        <v>Budapest Business School - KÜLKER</v>
      </c>
      <c r="K34" s="44" t="str">
        <f>IFERROR(__xludf.DUMMYFUNCTION("""COMPUTED_VALUE"""),"https://expa.aiesec.org/opportunities/1283180")</f>
        <v>https://expa.aiesec.org/opportunities/1283180</v>
      </c>
      <c r="L34" s="43" t="str">
        <f>IFERROR(__xludf.DUMMYFUNCTION("""COMPUTED_VALUE"""),"GTa")</f>
        <v>GTa</v>
      </c>
      <c r="M34" s="43" t="str">
        <f>IFERROR(__xludf.DUMMYFUNCTION("""COMPUTED_VALUE"""),"long")</f>
        <v>long</v>
      </c>
      <c r="N34" s="45">
        <f>IFERROR(__xludf.DUMMYFUNCTION("""COMPUTED_VALUE"""),44942.0)</f>
        <v>44942</v>
      </c>
      <c r="O34" s="45">
        <f>IFERROR(__xludf.DUMMYFUNCTION("""COMPUTED_VALUE"""),44964.0)</f>
        <v>44964</v>
      </c>
      <c r="P34" s="45">
        <f>IFERROR(__xludf.DUMMYFUNCTION("""COMPUTED_VALUE"""),45237.0)</f>
        <v>45237</v>
      </c>
      <c r="Q34" s="45"/>
      <c r="R34" s="45"/>
      <c r="S34" s="43"/>
      <c r="T34" s="43" t="str">
        <f>IFERROR(__xludf.DUMMYFUNCTION("""COMPUTED_VALUE"""),"Finance")</f>
        <v>Finance</v>
      </c>
      <c r="U34" s="43" t="str">
        <f>IFERROR(__xludf.DUMMYFUNCTION("""COMPUTED_VALUE"""),"Turkish Financial Accountant ")</f>
        <v>Turkish Financial Accountant </v>
      </c>
      <c r="V34" s="43" t="str">
        <f>IFERROR(__xludf.DUMMYFUNCTION("""COMPUTED_VALUE"""),"ISTANBUL ASIA")</f>
        <v>ISTANBUL ASIA</v>
      </c>
      <c r="W34" s="43" t="str">
        <f>IFERROR(__xludf.DUMMYFUNCTION("""COMPUTED_VALUE"""),"2023-01-11T09:56:16Z")</f>
        <v>2023-01-11T09:56:16Z</v>
      </c>
      <c r="X34" s="43"/>
      <c r="Y34" s="43"/>
      <c r="Z34" s="43"/>
    </row>
    <row r="35" hidden="1">
      <c r="A35" s="43" t="str">
        <f>IFERROR(__xludf.DUMMYFUNCTION("""COMPUTED_VALUE"""),"1231155_1290982")</f>
        <v>1231155_1290982</v>
      </c>
      <c r="B35" s="43" t="str">
        <f>IFERROR(__xludf.DUMMYFUNCTION("""COMPUTED_VALUE"""),"mehmet yurt")</f>
        <v>mehmet yurt</v>
      </c>
      <c r="C35" s="43" t="str">
        <f>IFERROR(__xludf.DUMMYFUNCTION("""COMPUTED_VALUE"""),"completed")</f>
        <v>completed</v>
      </c>
      <c r="D35" s="43" t="str">
        <f>IFERROR(__xludf.DUMMYFUNCTION("""COMPUTED_VALUE"""),"No")</f>
        <v>No</v>
      </c>
      <c r="E35" s="43" t="str">
        <f>IFERROR(__xludf.DUMMYFUNCTION("""COMPUTED_VALUE"""),"p_dec29ee7ccd11625260fc1dc564313345f0df47e@inbound.aiesec.org")</f>
        <v>p_dec29ee7ccd11625260fc1dc564313345f0df47e@inbound.aiesec.org</v>
      </c>
      <c r="F35" s="43">
        <f>IFERROR(__xludf.DUMMYFUNCTION("""COMPUTED_VALUE"""),5.050819985E9)</f>
        <v>5050819985</v>
      </c>
      <c r="G35" s="43" t="str">
        <f>IFERROR(__xludf.DUMMYFUNCTION("""COMPUTED_VALUE"""),"Turkey")</f>
        <v>Turkey</v>
      </c>
      <c r="H35" s="43" t="str">
        <f>IFERROR(__xludf.DUMMYFUNCTION("""COMPUTED_VALUE"""),"TRABZON")</f>
        <v>TRABZON</v>
      </c>
      <c r="I35" s="43" t="str">
        <f>IFERROR(__xludf.DUMMYFUNCTION("""COMPUTED_VALUE"""),"Malaysia")</f>
        <v>Malaysia</v>
      </c>
      <c r="J35" s="43" t="str">
        <f>IFERROR(__xludf.DUMMYFUNCTION("""COMPUTED_VALUE"""),"Taylor's University (TU) , Subang Jaya")</f>
        <v>Taylor's University (TU) , Subang Jaya</v>
      </c>
      <c r="K35" s="44" t="str">
        <f>IFERROR(__xludf.DUMMYFUNCTION("""COMPUTED_VALUE"""),"https://expa.aiesec.org/opportunities/1290982")</f>
        <v>https://expa.aiesec.org/opportunities/1290982</v>
      </c>
      <c r="L35" s="43" t="str">
        <f>IFERROR(__xludf.DUMMYFUNCTION("""COMPUTED_VALUE"""),"GTa")</f>
        <v>GTa</v>
      </c>
      <c r="M35" s="43" t="str">
        <f>IFERROR(__xludf.DUMMYFUNCTION("""COMPUTED_VALUE"""),"medium")</f>
        <v>medium</v>
      </c>
      <c r="N35" s="45">
        <f>IFERROR(__xludf.DUMMYFUNCTION("""COMPUTED_VALUE"""),44950.0)</f>
        <v>44950</v>
      </c>
      <c r="O35" s="45">
        <f>IFERROR(__xludf.DUMMYFUNCTION("""COMPUTED_VALUE"""),44927.0)</f>
        <v>44927</v>
      </c>
      <c r="P35" s="45">
        <f>IFERROR(__xludf.DUMMYFUNCTION("""COMPUTED_VALUE"""),45108.0)</f>
        <v>45108</v>
      </c>
      <c r="Q35" s="45">
        <f>IFERROR(__xludf.DUMMYFUNCTION("""COMPUTED_VALUE"""),45080.0)</f>
        <v>45080</v>
      </c>
      <c r="R35" s="45">
        <f>IFERROR(__xludf.DUMMYFUNCTION("""COMPUTED_VALUE"""),45264.0)</f>
        <v>45264</v>
      </c>
      <c r="S35" s="43"/>
      <c r="T35" s="43" t="str">
        <f>IFERROR(__xludf.DUMMYFUNCTION("""COMPUTED_VALUE"""),"Business Administration")</f>
        <v>Business Administration</v>
      </c>
      <c r="U35" s="43" t="str">
        <f>IFERROR(__xludf.DUMMYFUNCTION("""COMPUTED_VALUE"""),"Student Experience &amp; Lifestyle Executive")</f>
        <v>Student Experience &amp; Lifestyle Executive</v>
      </c>
      <c r="V35" s="43" t="str">
        <f>IFERROR(__xludf.DUMMYFUNCTION("""COMPUTED_VALUE"""),"-")</f>
        <v>-</v>
      </c>
      <c r="W35" s="43" t="str">
        <f>IFERROR(__xludf.DUMMYFUNCTION("""COMPUTED_VALUE"""),"2016-11-09T14:41:40Z")</f>
        <v>2016-11-09T14:41:40Z</v>
      </c>
      <c r="X35" s="43"/>
      <c r="Y35" s="43"/>
      <c r="Z35" s="43"/>
    </row>
    <row r="36" hidden="1">
      <c r="A36" s="43" t="str">
        <f>IFERROR(__xludf.DUMMYFUNCTION("""COMPUTED_VALUE"""),"3293940_1292115")</f>
        <v>3293940_1292115</v>
      </c>
      <c r="B36" s="43" t="str">
        <f>IFERROR(__xludf.DUMMYFUNCTION("""COMPUTED_VALUE"""),"Hüseyin Furkan Bucaklı")</f>
        <v>Hüseyin Furkan Bucaklı</v>
      </c>
      <c r="C36" s="43" t="str">
        <f>IFERROR(__xludf.DUMMYFUNCTION("""COMPUTED_VALUE"""),"realized")</f>
        <v>realized</v>
      </c>
      <c r="D36" s="43" t="str">
        <f>IFERROR(__xludf.DUMMYFUNCTION("""COMPUTED_VALUE"""),"No")</f>
        <v>No</v>
      </c>
      <c r="E36" s="43" t="str">
        <f>IFERROR(__xludf.DUMMYFUNCTION("""COMPUTED_VALUE"""),"p_91ee88c6003e08838ad1d0a5a06bd67f4230075e@inbound.aiesec.org")</f>
        <v>p_91ee88c6003e08838ad1d0a5a06bd67f4230075e@inbound.aiesec.org</v>
      </c>
      <c r="F36" s="43">
        <f>IFERROR(__xludf.DUMMYFUNCTION("""COMPUTED_VALUE"""),5.313033186E9)</f>
        <v>5313033186</v>
      </c>
      <c r="G36" s="43" t="str">
        <f>IFERROR(__xludf.DUMMYFUNCTION("""COMPUTED_VALUE"""),"Turkey")</f>
        <v>Turkey</v>
      </c>
      <c r="H36" s="43" t="str">
        <f>IFERROR(__xludf.DUMMYFUNCTION("""COMPUTED_VALUE"""),"ANTALYA")</f>
        <v>ANTALYA</v>
      </c>
      <c r="I36" s="43" t="str">
        <f>IFERROR(__xludf.DUMMYFUNCTION("""COMPUTED_VALUE"""),"Hungary")</f>
        <v>Hungary</v>
      </c>
      <c r="J36" s="43" t="str">
        <f>IFERROR(__xludf.DUMMYFUNCTION("""COMPUTED_VALUE"""),"Budapest Business School - KVIK")</f>
        <v>Budapest Business School - KVIK</v>
      </c>
      <c r="K36" s="44" t="str">
        <f>IFERROR(__xludf.DUMMYFUNCTION("""COMPUTED_VALUE"""),"https://expa.aiesec.org/opportunities/1292115")</f>
        <v>https://expa.aiesec.org/opportunities/1292115</v>
      </c>
      <c r="L36" s="43" t="str">
        <f>IFERROR(__xludf.DUMMYFUNCTION("""COMPUTED_VALUE"""),"GTa")</f>
        <v>GTa</v>
      </c>
      <c r="M36" s="43" t="str">
        <f>IFERROR(__xludf.DUMMYFUNCTION("""COMPUTED_VALUE"""),"long")</f>
        <v>long</v>
      </c>
      <c r="N36" s="45">
        <f>IFERROR(__xludf.DUMMYFUNCTION("""COMPUTED_VALUE"""),44958.0)</f>
        <v>44958</v>
      </c>
      <c r="O36" s="45">
        <f>IFERROR(__xludf.DUMMYFUNCTION("""COMPUTED_VALUE"""),44963.0)</f>
        <v>44963</v>
      </c>
      <c r="P36" s="45">
        <f>IFERROR(__xludf.DUMMYFUNCTION("""COMPUTED_VALUE"""),45328.0)</f>
        <v>45328</v>
      </c>
      <c r="Q36" s="45">
        <f>IFERROR(__xludf.DUMMYFUNCTION("""COMPUTED_VALUE"""),44963.0)</f>
        <v>44963</v>
      </c>
      <c r="R36" s="45">
        <f>IFERROR(__xludf.DUMMYFUNCTION("""COMPUTED_VALUE"""),45328.0)</f>
        <v>45328</v>
      </c>
      <c r="S36" s="43"/>
      <c r="T36" s="43" t="str">
        <f>IFERROR(__xludf.DUMMYFUNCTION("""COMPUTED_VALUE"""),"Engineering")</f>
        <v>Engineering</v>
      </c>
      <c r="U36" s="43" t="str">
        <f>IFERROR(__xludf.DUMMYFUNCTION("""COMPUTED_VALUE"""),"Project technical support - Junior Engineer")</f>
        <v>Project technical support - Junior Engineer</v>
      </c>
      <c r="V36" s="43" t="str">
        <f>IFERROR(__xludf.DUMMYFUNCTION("""COMPUTED_VALUE"""),"ISPARTA")</f>
        <v>ISPARTA</v>
      </c>
      <c r="W36" s="43" t="str">
        <f>IFERROR(__xludf.DUMMYFUNCTION("""COMPUTED_VALUE"""),"2019-04-03T09:15:14Z")</f>
        <v>2019-04-03T09:15:14Z</v>
      </c>
      <c r="X36" s="43"/>
      <c r="Y36" s="43"/>
      <c r="Z36" s="43"/>
    </row>
    <row r="37" hidden="1">
      <c r="A37" s="43" t="str">
        <f>IFERROR(__xludf.DUMMYFUNCTION("""COMPUTED_VALUE"""),"5067190_1291817")</f>
        <v>5067190_1291817</v>
      </c>
      <c r="B37" s="43" t="str">
        <f>IFERROR(__xludf.DUMMYFUNCTION("""COMPUTED_VALUE"""),"Asya Çopur")</f>
        <v>Asya Çopur</v>
      </c>
      <c r="C37" s="43" t="str">
        <f>IFERROR(__xludf.DUMMYFUNCTION("""COMPUTED_VALUE"""),"realization_broken")</f>
        <v>realization_broken</v>
      </c>
      <c r="D37" s="43" t="str">
        <f>IFERROR(__xludf.DUMMYFUNCTION("""COMPUTED_VALUE"""),"No")</f>
        <v>No</v>
      </c>
      <c r="E37" s="43" t="str">
        <f>IFERROR(__xludf.DUMMYFUNCTION("""COMPUTED_VALUE"""),"p_9ecc26449daebf13ef6d2cf276882eb48691d62a@inbound.aiesec.org")</f>
        <v>p_9ecc26449daebf13ef6d2cf276882eb48691d62a@inbound.aiesec.org</v>
      </c>
      <c r="F37" s="43">
        <f>IFERROR(__xludf.DUMMYFUNCTION("""COMPUTED_VALUE"""),5.300881891E9)</f>
        <v>5300881891</v>
      </c>
      <c r="G37" s="43" t="str">
        <f>IFERROR(__xludf.DUMMYFUNCTION("""COMPUTED_VALUE"""),"Turkey")</f>
        <v>Turkey</v>
      </c>
      <c r="H37" s="43" t="str">
        <f>IFERROR(__xludf.DUMMYFUNCTION("""COMPUTED_VALUE"""),"BURSA")</f>
        <v>BURSA</v>
      </c>
      <c r="I37" s="43" t="str">
        <f>IFERROR(__xludf.DUMMYFUNCTION("""COMPUTED_VALUE"""),"Greece")</f>
        <v>Greece</v>
      </c>
      <c r="J37" s="43" t="str">
        <f>IFERROR(__xludf.DUMMYFUNCTION("""COMPUTED_VALUE"""),"UoM THESSALONIKI")</f>
        <v>UoM THESSALONIKI</v>
      </c>
      <c r="K37" s="44" t="str">
        <f>IFERROR(__xludf.DUMMYFUNCTION("""COMPUTED_VALUE"""),"https://expa.aiesec.org/opportunities/1291817")</f>
        <v>https://expa.aiesec.org/opportunities/1291817</v>
      </c>
      <c r="L37" s="43" t="str">
        <f>IFERROR(__xludf.DUMMYFUNCTION("""COMPUTED_VALUE"""),"GTa")</f>
        <v>GTa</v>
      </c>
      <c r="M37" s="43" t="str">
        <f>IFERROR(__xludf.DUMMYFUNCTION("""COMPUTED_VALUE"""),"short")</f>
        <v>short</v>
      </c>
      <c r="N37" s="45">
        <f>IFERROR(__xludf.DUMMYFUNCTION("""COMPUTED_VALUE"""),44960.0)</f>
        <v>44960</v>
      </c>
      <c r="O37" s="45">
        <f>IFERROR(__xludf.DUMMYFUNCTION("""COMPUTED_VALUE"""),45161.0)</f>
        <v>45161</v>
      </c>
      <c r="P37" s="45">
        <f>IFERROR(__xludf.DUMMYFUNCTION("""COMPUTED_VALUE"""),45217.0)</f>
        <v>45217</v>
      </c>
      <c r="Q37" s="45"/>
      <c r="R37" s="45"/>
      <c r="S37" s="43"/>
      <c r="T37" s="43" t="str">
        <f>IFERROR(__xludf.DUMMYFUNCTION("""COMPUTED_VALUE"""),"Marketing")</f>
        <v>Marketing</v>
      </c>
      <c r="U37" s="43" t="str">
        <f>IFERROR(__xludf.DUMMYFUNCTION("""COMPUTED_VALUE"""),"Marketing Creator")</f>
        <v>Marketing Creator</v>
      </c>
      <c r="V37" s="43" t="str">
        <f>IFERROR(__xludf.DUMMYFUNCTION("""COMPUTED_VALUE"""),"BURSA")</f>
        <v>BURSA</v>
      </c>
      <c r="W37" s="43" t="str">
        <f>IFERROR(__xludf.DUMMYFUNCTION("""COMPUTED_VALUE"""),"2022-06-01T20:14:56Z")</f>
        <v>2022-06-01T20:14:56Z</v>
      </c>
      <c r="X37" s="43"/>
      <c r="Y37" s="43"/>
      <c r="Z37" s="43"/>
    </row>
    <row r="38" hidden="1">
      <c r="A38" s="43" t="str">
        <f>IFERROR(__xludf.DUMMYFUNCTION("""COMPUTED_VALUE"""),"5187606_1291340")</f>
        <v>5187606_1291340</v>
      </c>
      <c r="B38" s="43" t="str">
        <f>IFERROR(__xludf.DUMMYFUNCTION("""COMPUTED_VALUE"""),"Recep Oğuzhan Şenoğlu")</f>
        <v>Recep Oğuzhan Şenoğlu</v>
      </c>
      <c r="C38" s="43" t="str">
        <f>IFERROR(__xludf.DUMMYFUNCTION("""COMPUTED_VALUE"""),"completed")</f>
        <v>completed</v>
      </c>
      <c r="D38" s="43" t="str">
        <f>IFERROR(__xludf.DUMMYFUNCTION("""COMPUTED_VALUE"""),"No")</f>
        <v>No</v>
      </c>
      <c r="E38" s="43" t="str">
        <f>IFERROR(__xludf.DUMMYFUNCTION("""COMPUTED_VALUE"""),"p_b934a8803e6bbbaefc4a64b83dd60a73d0f375d2@inbound.aiesec.org")</f>
        <v>p_b934a8803e6bbbaefc4a64b83dd60a73d0f375d2@inbound.aiesec.org</v>
      </c>
      <c r="F38" s="43"/>
      <c r="G38" s="43" t="str">
        <f>IFERROR(__xludf.DUMMYFUNCTION("""COMPUTED_VALUE"""),"Turkey")</f>
        <v>Turkey</v>
      </c>
      <c r="H38" s="43" t="str">
        <f>IFERROR(__xludf.DUMMYFUNCTION("""COMPUTED_VALUE"""),"ISTANBUL WEST")</f>
        <v>ISTANBUL WEST</v>
      </c>
      <c r="I38" s="43" t="str">
        <f>IFERROR(__xludf.DUMMYFUNCTION("""COMPUTED_VALUE"""),"Egypt")</f>
        <v>Egypt</v>
      </c>
      <c r="J38" s="43" t="str">
        <f>IFERROR(__xludf.DUMMYFUNCTION("""COMPUTED_VALUE"""),"AAST Alexandria")</f>
        <v>AAST Alexandria</v>
      </c>
      <c r="K38" s="44" t="str">
        <f>IFERROR(__xludf.DUMMYFUNCTION("""COMPUTED_VALUE"""),"https://expa.aiesec.org/opportunities/1291340")</f>
        <v>https://expa.aiesec.org/opportunities/1291340</v>
      </c>
      <c r="L38" s="43" t="str">
        <f>IFERROR(__xludf.DUMMYFUNCTION("""COMPUTED_VALUE"""),"GTa")</f>
        <v>GTa</v>
      </c>
      <c r="M38" s="43" t="str">
        <f>IFERROR(__xludf.DUMMYFUNCTION("""COMPUTED_VALUE"""),"short")</f>
        <v>short</v>
      </c>
      <c r="N38" s="45">
        <f>IFERROR(__xludf.DUMMYFUNCTION("""COMPUTED_VALUE"""),44969.0)</f>
        <v>44969</v>
      </c>
      <c r="O38" s="45">
        <f>IFERROR(__xludf.DUMMYFUNCTION("""COMPUTED_VALUE"""),45022.0)</f>
        <v>45022</v>
      </c>
      <c r="P38" s="45">
        <f>IFERROR(__xludf.DUMMYFUNCTION("""COMPUTED_VALUE"""),45105.0)</f>
        <v>45105</v>
      </c>
      <c r="Q38" s="45">
        <f>IFERROR(__xludf.DUMMYFUNCTION("""COMPUTED_VALUE"""),45026.0)</f>
        <v>45026</v>
      </c>
      <c r="R38" s="45">
        <f>IFERROR(__xludf.DUMMYFUNCTION("""COMPUTED_VALUE"""),45109.0)</f>
        <v>45109</v>
      </c>
      <c r="S38" s="43"/>
      <c r="T38" s="43" t="str">
        <f>IFERROR(__xludf.DUMMYFUNCTION("""COMPUTED_VALUE"""),"Information Technology")</f>
        <v>Information Technology</v>
      </c>
      <c r="U38" s="43" t="str">
        <f>IFERROR(__xludf.DUMMYFUNCTION("""COMPUTED_VALUE"""),"Flutter Instructor | Alexandria")</f>
        <v>Flutter Instructor | Alexandria</v>
      </c>
      <c r="V38" s="43" t="str">
        <f>IFERROR(__xludf.DUMMYFUNCTION("""COMPUTED_VALUE"""),"ISTANBUL - BAKIRKOY")</f>
        <v>ISTANBUL - BAKIRKOY</v>
      </c>
      <c r="W38" s="43" t="str">
        <f>IFERROR(__xludf.DUMMYFUNCTION("""COMPUTED_VALUE"""),"2023-02-08T20:41:00Z")</f>
        <v>2023-02-08T20:41:00Z</v>
      </c>
      <c r="X38" s="43"/>
      <c r="Y38" s="43"/>
      <c r="Z38" s="43"/>
    </row>
    <row r="39" hidden="1">
      <c r="A39" s="43" t="str">
        <f>IFERROR(__xludf.DUMMYFUNCTION("""COMPUTED_VALUE"""),"5194987_1290643")</f>
        <v>5194987_1290643</v>
      </c>
      <c r="B39" s="43" t="str">
        <f>IFERROR(__xludf.DUMMYFUNCTION("""COMPUTED_VALUE"""),"Aleyna Nur Bakar")</f>
        <v>Aleyna Nur Bakar</v>
      </c>
      <c r="C39" s="43" t="str">
        <f>IFERROR(__xludf.DUMMYFUNCTION("""COMPUTED_VALUE"""),"realization_broken")</f>
        <v>realization_broken</v>
      </c>
      <c r="D39" s="43" t="str">
        <f>IFERROR(__xludf.DUMMYFUNCTION("""COMPUTED_VALUE"""),"No")</f>
        <v>No</v>
      </c>
      <c r="E39" s="43" t="str">
        <f>IFERROR(__xludf.DUMMYFUNCTION("""COMPUTED_VALUE"""),"p_af4d301126a813eddefeadde21c7a6c0b015fbb7@inbound.aiesec.org")</f>
        <v>p_af4d301126a813eddefeadde21c7a6c0b015fbb7@inbound.aiesec.org</v>
      </c>
      <c r="F39" s="43">
        <f>IFERROR(__xludf.DUMMYFUNCTION("""COMPUTED_VALUE"""),5.34500599E9)</f>
        <v>5345005990</v>
      </c>
      <c r="G39" s="43" t="str">
        <f>IFERROR(__xludf.DUMMYFUNCTION("""COMPUTED_VALUE"""),"Turkey")</f>
        <v>Turkey</v>
      </c>
      <c r="H39" s="43" t="str">
        <f>IFERROR(__xludf.DUMMYFUNCTION("""COMPUTED_VALUE"""),"ISTANBUL ASIA")</f>
        <v>ISTANBUL ASIA</v>
      </c>
      <c r="I39" s="43" t="str">
        <f>IFERROR(__xludf.DUMMYFUNCTION("""COMPUTED_VALUE"""),"Egypt")</f>
        <v>Egypt</v>
      </c>
      <c r="J39" s="43" t="str">
        <f>IFERROR(__xludf.DUMMYFUNCTION("""COMPUTED_VALUE"""),"Zagazig")</f>
        <v>Zagazig</v>
      </c>
      <c r="K39" s="44" t="str">
        <f>IFERROR(__xludf.DUMMYFUNCTION("""COMPUTED_VALUE"""),"https://expa.aiesec.org/opportunities/1290643")</f>
        <v>https://expa.aiesec.org/opportunities/1290643</v>
      </c>
      <c r="L39" s="43" t="str">
        <f>IFERROR(__xludf.DUMMYFUNCTION("""COMPUTED_VALUE"""),"GTa")</f>
        <v>GTa</v>
      </c>
      <c r="M39" s="43" t="str">
        <f>IFERROR(__xludf.DUMMYFUNCTION("""COMPUTED_VALUE"""),"short")</f>
        <v>short</v>
      </c>
      <c r="N39" s="45">
        <f>IFERROR(__xludf.DUMMYFUNCTION("""COMPUTED_VALUE"""),44984.0)</f>
        <v>44984</v>
      </c>
      <c r="O39" s="45">
        <f>IFERROR(__xludf.DUMMYFUNCTION("""COMPUTED_VALUE"""),45078.0)</f>
        <v>45078</v>
      </c>
      <c r="P39" s="45">
        <f>IFERROR(__xludf.DUMMYFUNCTION("""COMPUTED_VALUE"""),45161.0)</f>
        <v>45161</v>
      </c>
      <c r="Q39" s="45"/>
      <c r="R39" s="45"/>
      <c r="S39" s="43"/>
      <c r="T39" s="43" t="str">
        <f>IFERROR(__xludf.DUMMYFUNCTION("""COMPUTED_VALUE"""),"Business Administration")</f>
        <v>Business Administration</v>
      </c>
      <c r="U39" s="43" t="str">
        <f>IFERROR(__xludf.DUMMYFUNCTION("""COMPUTED_VALUE"""),"Operations Supervisor")</f>
        <v>Operations Supervisor</v>
      </c>
      <c r="V39" s="43" t="str">
        <f>IFERROR(__xludf.DUMMYFUNCTION("""COMPUTED_VALUE"""),"ISTANBUL ASIA")</f>
        <v>ISTANBUL ASIA</v>
      </c>
      <c r="W39" s="43" t="str">
        <f>IFERROR(__xludf.DUMMYFUNCTION("""COMPUTED_VALUE"""),"2023-02-20T10:14:52Z")</f>
        <v>2023-02-20T10:14:52Z</v>
      </c>
      <c r="X39" s="43"/>
      <c r="Y39" s="43"/>
      <c r="Z39" s="43"/>
    </row>
    <row r="40" hidden="1">
      <c r="A40" s="43" t="str">
        <f>IFERROR(__xludf.DUMMYFUNCTION("""COMPUTED_VALUE"""),"5195748_1292505")</f>
        <v>5195748_1292505</v>
      </c>
      <c r="B40" s="43" t="str">
        <f>IFERROR(__xludf.DUMMYFUNCTION("""COMPUTED_VALUE"""),"Sadettin Fidan")</f>
        <v>Sadettin Fidan</v>
      </c>
      <c r="C40" s="43" t="str">
        <f>IFERROR(__xludf.DUMMYFUNCTION("""COMPUTED_VALUE"""),"completed")</f>
        <v>completed</v>
      </c>
      <c r="D40" s="43" t="str">
        <f>IFERROR(__xludf.DUMMYFUNCTION("""COMPUTED_VALUE"""),"No")</f>
        <v>No</v>
      </c>
      <c r="E40" s="43" t="str">
        <f>IFERROR(__xludf.DUMMYFUNCTION("""COMPUTED_VALUE"""),"p_ce17959a7b0097973c42a8cda2c0bf83f1dcafb8@inbound.aiesec.org")</f>
        <v>p_ce17959a7b0097973c42a8cda2c0bf83f1dcafb8@inbound.aiesec.org</v>
      </c>
      <c r="F40" s="43">
        <f>IFERROR(__xludf.DUMMYFUNCTION("""COMPUTED_VALUE"""),5.300692215E9)</f>
        <v>5300692215</v>
      </c>
      <c r="G40" s="43" t="str">
        <f>IFERROR(__xludf.DUMMYFUNCTION("""COMPUTED_VALUE"""),"Turkey")</f>
        <v>Turkey</v>
      </c>
      <c r="H40" s="43" t="str">
        <f>IFERROR(__xludf.DUMMYFUNCTION("""COMPUTED_VALUE"""),"ISTANBUL")</f>
        <v>ISTANBUL</v>
      </c>
      <c r="I40" s="43" t="str">
        <f>IFERROR(__xludf.DUMMYFUNCTION("""COMPUTED_VALUE"""),"Romania")</f>
        <v>Romania</v>
      </c>
      <c r="J40" s="43" t="str">
        <f>IFERROR(__xludf.DUMMYFUNCTION("""COMPUTED_VALUE"""),"TIMISOARA")</f>
        <v>TIMISOARA</v>
      </c>
      <c r="K40" s="44" t="str">
        <f>IFERROR(__xludf.DUMMYFUNCTION("""COMPUTED_VALUE"""),"https://expa.aiesec.org/opportunities/1292505")</f>
        <v>https://expa.aiesec.org/opportunities/1292505</v>
      </c>
      <c r="L40" s="43" t="str">
        <f>IFERROR(__xludf.DUMMYFUNCTION("""COMPUTED_VALUE"""),"GTa")</f>
        <v>GTa</v>
      </c>
      <c r="M40" s="43" t="str">
        <f>IFERROR(__xludf.DUMMYFUNCTION("""COMPUTED_VALUE"""),"short")</f>
        <v>short</v>
      </c>
      <c r="N40" s="45">
        <f>IFERROR(__xludf.DUMMYFUNCTION("""COMPUTED_VALUE"""),44985.0)</f>
        <v>44985</v>
      </c>
      <c r="O40" s="45">
        <f>IFERROR(__xludf.DUMMYFUNCTION("""COMPUTED_VALUE"""),45110.0)</f>
        <v>45110</v>
      </c>
      <c r="P40" s="45">
        <f>IFERROR(__xludf.DUMMYFUNCTION("""COMPUTED_VALUE"""),45166.0)</f>
        <v>45166</v>
      </c>
      <c r="Q40" s="45">
        <f>IFERROR(__xludf.DUMMYFUNCTION("""COMPUTED_VALUE"""),45110.0)</f>
        <v>45110</v>
      </c>
      <c r="R40" s="45">
        <f>IFERROR(__xludf.DUMMYFUNCTION("""COMPUTED_VALUE"""),45166.0)</f>
        <v>45166</v>
      </c>
      <c r="S40" s="43"/>
      <c r="T40" s="43" t="str">
        <f>IFERROR(__xludf.DUMMYFUNCTION("""COMPUTED_VALUE"""),"Information Technology")</f>
        <v>Information Technology</v>
      </c>
      <c r="U40" s="43" t="str">
        <f>IFERROR(__xludf.DUMMYFUNCTION("""COMPUTED_VALUE"""),"Accelerate Romania- EMBEDDED SOFTWARE DEVELOPER")</f>
        <v>Accelerate Romania- EMBEDDED SOFTWARE DEVELOPER</v>
      </c>
      <c r="V40" s="43" t="str">
        <f>IFERROR(__xludf.DUMMYFUNCTION("""COMPUTED_VALUE"""),"ISTANBUL - BEYOGLU")</f>
        <v>ISTANBUL - BEYOGLU</v>
      </c>
      <c r="W40" s="43" t="str">
        <f>IFERROR(__xludf.DUMMYFUNCTION("""COMPUTED_VALUE"""),"2023-02-21T09:27:10Z")</f>
        <v>2023-02-21T09:27:10Z</v>
      </c>
      <c r="X40" s="43"/>
      <c r="Y40" s="43"/>
      <c r="Z40" s="43"/>
    </row>
    <row r="41" hidden="1">
      <c r="A41" s="43" t="str">
        <f>IFERROR(__xludf.DUMMYFUNCTION("""COMPUTED_VALUE"""),"5182820_1289167")</f>
        <v>5182820_1289167</v>
      </c>
      <c r="B41" s="43" t="str">
        <f>IFERROR(__xludf.DUMMYFUNCTION("""COMPUTED_VALUE"""),"Furkan Yeğin")</f>
        <v>Furkan Yeğin</v>
      </c>
      <c r="C41" s="43" t="str">
        <f>IFERROR(__xludf.DUMMYFUNCTION("""COMPUTED_VALUE"""),"completed")</f>
        <v>completed</v>
      </c>
      <c r="D41" s="43" t="str">
        <f>IFERROR(__xludf.DUMMYFUNCTION("""COMPUTED_VALUE"""),"No")</f>
        <v>No</v>
      </c>
      <c r="E41" s="43" t="str">
        <f>IFERROR(__xludf.DUMMYFUNCTION("""COMPUTED_VALUE"""),"p_c974c18972b313d71ba9ae0f4218765d76f47aca@inbound.aiesec.org")</f>
        <v>p_c974c18972b313d71ba9ae0f4218765d76f47aca@inbound.aiesec.org</v>
      </c>
      <c r="F41" s="43"/>
      <c r="G41" s="43" t="str">
        <f>IFERROR(__xludf.DUMMYFUNCTION("""COMPUTED_VALUE"""),"Turkey")</f>
        <v>Turkey</v>
      </c>
      <c r="H41" s="43" t="str">
        <f>IFERROR(__xludf.DUMMYFUNCTION("""COMPUTED_VALUE"""),"ISTANBUL ASIA")</f>
        <v>ISTANBUL ASIA</v>
      </c>
      <c r="I41" s="43" t="str">
        <f>IFERROR(__xludf.DUMMYFUNCTION("""COMPUTED_VALUE"""),"India")</f>
        <v>India</v>
      </c>
      <c r="J41" s="43" t="str">
        <f>IFERROR(__xludf.DUMMYFUNCTION("""COMPUTED_VALUE"""),"VIT")</f>
        <v>VIT</v>
      </c>
      <c r="K41" s="44" t="str">
        <f>IFERROR(__xludf.DUMMYFUNCTION("""COMPUTED_VALUE"""),"https://expa.aiesec.org/opportunities/1289167")</f>
        <v>https://expa.aiesec.org/opportunities/1289167</v>
      </c>
      <c r="L41" s="43" t="str">
        <f>IFERROR(__xludf.DUMMYFUNCTION("""COMPUTED_VALUE"""),"GTa")</f>
        <v>GTa</v>
      </c>
      <c r="M41" s="43" t="str">
        <f>IFERROR(__xludf.DUMMYFUNCTION("""COMPUTED_VALUE"""),"short")</f>
        <v>short</v>
      </c>
      <c r="N41" s="45">
        <f>IFERROR(__xludf.DUMMYFUNCTION("""COMPUTED_VALUE"""),44991.0)</f>
        <v>44991</v>
      </c>
      <c r="O41" s="45">
        <f>IFERROR(__xludf.DUMMYFUNCTION("""COMPUTED_VALUE"""),45110.0)</f>
        <v>45110</v>
      </c>
      <c r="P41" s="45">
        <f>IFERROR(__xludf.DUMMYFUNCTION("""COMPUTED_VALUE"""),45165.0)</f>
        <v>45165</v>
      </c>
      <c r="Q41" s="45"/>
      <c r="R41" s="45">
        <f>IFERROR(__xludf.DUMMYFUNCTION("""COMPUTED_VALUE"""),45137.0)</f>
        <v>45137</v>
      </c>
      <c r="S41" s="43"/>
      <c r="T41" s="43" t="str">
        <f>IFERROR(__xludf.DUMMYFUNCTION("""COMPUTED_VALUE"""),"Engineering")</f>
        <v>Engineering</v>
      </c>
      <c r="U41" s="43" t="str">
        <f>IFERROR(__xludf.DUMMYFUNCTION("""COMPUTED_VALUE"""),"Research Intern | Fluid Mechanics  | In India")</f>
        <v>Research Intern | Fluid Mechanics  | In India</v>
      </c>
      <c r="V41" s="43" t="str">
        <f>IFERROR(__xludf.DUMMYFUNCTION("""COMPUTED_VALUE"""),"-")</f>
        <v>-</v>
      </c>
      <c r="W41" s="43" t="str">
        <f>IFERROR(__xludf.DUMMYFUNCTION("""COMPUTED_VALUE"""),"2023-01-31T14:54:36Z")</f>
        <v>2023-01-31T14:54:36Z</v>
      </c>
      <c r="X41" s="43"/>
      <c r="Y41" s="43"/>
      <c r="Z41" s="43"/>
    </row>
    <row r="42" hidden="1">
      <c r="A42" s="43" t="str">
        <f>IFERROR(__xludf.DUMMYFUNCTION("""COMPUTED_VALUE"""),"5208392_1292539")</f>
        <v>5208392_1292539</v>
      </c>
      <c r="B42" s="43" t="str">
        <f>IFERROR(__xludf.DUMMYFUNCTION("""COMPUTED_VALUE"""),"Cilem kubra Esiyok")</f>
        <v>Cilem kubra Esiyok</v>
      </c>
      <c r="C42" s="43" t="str">
        <f>IFERROR(__xludf.DUMMYFUNCTION("""COMPUTED_VALUE"""),"completed")</f>
        <v>completed</v>
      </c>
      <c r="D42" s="43" t="str">
        <f>IFERROR(__xludf.DUMMYFUNCTION("""COMPUTED_VALUE"""),"No")</f>
        <v>No</v>
      </c>
      <c r="E42" s="43" t="str">
        <f>IFERROR(__xludf.DUMMYFUNCTION("""COMPUTED_VALUE"""),"p_9b7fcc8088a4bbef0d608d4c5c81d0f099b5a68e@inbound.aiesec.org")</f>
        <v>p_9b7fcc8088a4bbef0d608d4c5c81d0f099b5a68e@inbound.aiesec.org</v>
      </c>
      <c r="F42" s="43">
        <f>IFERROR(__xludf.DUMMYFUNCTION("""COMPUTED_VALUE"""),5.059702874E9)</f>
        <v>5059702874</v>
      </c>
      <c r="G42" s="43" t="str">
        <f>IFERROR(__xludf.DUMMYFUNCTION("""COMPUTED_VALUE"""),"Turkey")</f>
        <v>Turkey</v>
      </c>
      <c r="H42" s="43" t="str">
        <f>IFERROR(__xludf.DUMMYFUNCTION("""COMPUTED_VALUE"""),"ISTANBUL ASIA")</f>
        <v>ISTANBUL ASIA</v>
      </c>
      <c r="I42" s="43" t="str">
        <f>IFERROR(__xludf.DUMMYFUNCTION("""COMPUTED_VALUE"""),"Tunisia")</f>
        <v>Tunisia</v>
      </c>
      <c r="J42" s="43" t="str">
        <f>IFERROR(__xludf.DUMMYFUNCTION("""COMPUTED_VALUE"""),"UNIVERSITY")</f>
        <v>UNIVERSITY</v>
      </c>
      <c r="K42" s="44" t="str">
        <f>IFERROR(__xludf.DUMMYFUNCTION("""COMPUTED_VALUE"""),"https://expa.aiesec.org/opportunities/1292539")</f>
        <v>https://expa.aiesec.org/opportunities/1292539</v>
      </c>
      <c r="L42" s="43" t="str">
        <f>IFERROR(__xludf.DUMMYFUNCTION("""COMPUTED_VALUE"""),"GTa")</f>
        <v>GTa</v>
      </c>
      <c r="M42" s="43" t="str">
        <f>IFERROR(__xludf.DUMMYFUNCTION("""COMPUTED_VALUE"""),"short")</f>
        <v>short</v>
      </c>
      <c r="N42" s="45">
        <f>IFERROR(__xludf.DUMMYFUNCTION("""COMPUTED_VALUE"""),44994.0)</f>
        <v>44994</v>
      </c>
      <c r="O42" s="45">
        <f>IFERROR(__xludf.DUMMYFUNCTION("""COMPUTED_VALUE"""),45031.0)</f>
        <v>45031</v>
      </c>
      <c r="P42" s="45">
        <f>IFERROR(__xludf.DUMMYFUNCTION("""COMPUTED_VALUE"""),45092.0)</f>
        <v>45092</v>
      </c>
      <c r="Q42" s="45">
        <f>IFERROR(__xludf.DUMMYFUNCTION("""COMPUTED_VALUE"""),45033.0)</f>
        <v>45033</v>
      </c>
      <c r="R42" s="45">
        <f>IFERROR(__xludf.DUMMYFUNCTION("""COMPUTED_VALUE"""),45094.0)</f>
        <v>45094</v>
      </c>
      <c r="S42" s="43"/>
      <c r="T42" s="43" t="str">
        <f>IFERROR(__xludf.DUMMYFUNCTION("""COMPUTED_VALUE"""),"Marketing")</f>
        <v>Marketing</v>
      </c>
      <c r="U42" s="43" t="str">
        <f>IFERROR(__xludf.DUMMYFUNCTION("""COMPUTED_VALUE"""),"Digital Marketing")</f>
        <v>Digital Marketing</v>
      </c>
      <c r="V42" s="43" t="str">
        <f>IFERROR(__xludf.DUMMYFUNCTION("""COMPUTED_VALUE"""),"ISTANBUL ASIA")</f>
        <v>ISTANBUL ASIA</v>
      </c>
      <c r="W42" s="43" t="str">
        <f>IFERROR(__xludf.DUMMYFUNCTION("""COMPUTED_VALUE"""),"2023-03-07T10:05:54Z")</f>
        <v>2023-03-07T10:05:54Z</v>
      </c>
      <c r="X42" s="43"/>
      <c r="Y42" s="43"/>
      <c r="Z42" s="43"/>
    </row>
    <row r="43" hidden="1">
      <c r="A43" s="43" t="str">
        <f>IFERROR(__xludf.DUMMYFUNCTION("""COMPUTED_VALUE"""),"5211130_1289167")</f>
        <v>5211130_1289167</v>
      </c>
      <c r="B43" s="43" t="str">
        <f>IFERROR(__xludf.DUMMYFUNCTION("""COMPUTED_VALUE"""),"Mehmet Cemal Cengiz")</f>
        <v>Mehmet Cemal Cengiz</v>
      </c>
      <c r="C43" s="43" t="str">
        <f>IFERROR(__xludf.DUMMYFUNCTION("""COMPUTED_VALUE"""),"approved")</f>
        <v>approved</v>
      </c>
      <c r="D43" s="43" t="str">
        <f>IFERROR(__xludf.DUMMYFUNCTION("""COMPUTED_VALUE"""),"No")</f>
        <v>No</v>
      </c>
      <c r="E43" s="43" t="str">
        <f>IFERROR(__xludf.DUMMYFUNCTION("""COMPUTED_VALUE"""),"p_b9503a06085e43efe2f3fcf08bf74700f232b19c@inbound.aiesec.org")</f>
        <v>p_b9503a06085e43efe2f3fcf08bf74700f232b19c@inbound.aiesec.org</v>
      </c>
      <c r="F43" s="43">
        <f>IFERROR(__xludf.DUMMYFUNCTION("""COMPUTED_VALUE"""),5.469725629E9)</f>
        <v>5469725629</v>
      </c>
      <c r="G43" s="43" t="str">
        <f>IFERROR(__xludf.DUMMYFUNCTION("""COMPUTED_VALUE"""),"Turkey")</f>
        <v>Turkey</v>
      </c>
      <c r="H43" s="43" t="str">
        <f>IFERROR(__xludf.DUMMYFUNCTION("""COMPUTED_VALUE"""),"ISPARTA")</f>
        <v>ISPARTA</v>
      </c>
      <c r="I43" s="43" t="str">
        <f>IFERROR(__xludf.DUMMYFUNCTION("""COMPUTED_VALUE"""),"India")</f>
        <v>India</v>
      </c>
      <c r="J43" s="43" t="str">
        <f>IFERROR(__xludf.DUMMYFUNCTION("""COMPUTED_VALUE"""),"VIT")</f>
        <v>VIT</v>
      </c>
      <c r="K43" s="44" t="str">
        <f>IFERROR(__xludf.DUMMYFUNCTION("""COMPUTED_VALUE"""),"https://expa.aiesec.org/opportunities/1289167")</f>
        <v>https://expa.aiesec.org/opportunities/1289167</v>
      </c>
      <c r="L43" s="43" t="str">
        <f>IFERROR(__xludf.DUMMYFUNCTION("""COMPUTED_VALUE"""),"GTa")</f>
        <v>GTa</v>
      </c>
      <c r="M43" s="43" t="str">
        <f>IFERROR(__xludf.DUMMYFUNCTION("""COMPUTED_VALUE"""),"short")</f>
        <v>short</v>
      </c>
      <c r="N43" s="45">
        <f>IFERROR(__xludf.DUMMYFUNCTION("""COMPUTED_VALUE"""),44995.0)</f>
        <v>44995</v>
      </c>
      <c r="O43" s="45">
        <f>IFERROR(__xludf.DUMMYFUNCTION("""COMPUTED_VALUE"""),45110.0)</f>
        <v>45110</v>
      </c>
      <c r="P43" s="45">
        <f>IFERROR(__xludf.DUMMYFUNCTION("""COMPUTED_VALUE"""),45165.0)</f>
        <v>45165</v>
      </c>
      <c r="Q43" s="45"/>
      <c r="R43" s="45"/>
      <c r="S43" s="43"/>
      <c r="T43" s="43" t="str">
        <f>IFERROR(__xludf.DUMMYFUNCTION("""COMPUTED_VALUE"""),"Engineering")</f>
        <v>Engineering</v>
      </c>
      <c r="U43" s="43" t="str">
        <f>IFERROR(__xludf.DUMMYFUNCTION("""COMPUTED_VALUE"""),"Research Intern | Fluid Mechanics  | In India")</f>
        <v>Research Intern | Fluid Mechanics  | In India</v>
      </c>
      <c r="V43" s="43" t="str">
        <f>IFERROR(__xludf.DUMMYFUNCTION("""COMPUTED_VALUE"""),"ISPARTA")</f>
        <v>ISPARTA</v>
      </c>
      <c r="W43" s="43" t="str">
        <f>IFERROR(__xludf.DUMMYFUNCTION("""COMPUTED_VALUE"""),"2023-03-09T14:07:26Z")</f>
        <v>2023-03-09T14:07:26Z</v>
      </c>
      <c r="X43" s="43"/>
      <c r="Y43" s="43"/>
      <c r="Z43" s="43"/>
    </row>
    <row r="44" hidden="1">
      <c r="A44" s="43" t="str">
        <f>IFERROR(__xludf.DUMMYFUNCTION("""COMPUTED_VALUE"""),"5186920_1293183")</f>
        <v>5186920_1293183</v>
      </c>
      <c r="B44" s="43" t="str">
        <f>IFERROR(__xludf.DUMMYFUNCTION("""COMPUTED_VALUE"""),"Dilara Polat")</f>
        <v>Dilara Polat</v>
      </c>
      <c r="C44" s="43" t="str">
        <f>IFERROR(__xludf.DUMMYFUNCTION("""COMPUTED_VALUE"""),"approved")</f>
        <v>approved</v>
      </c>
      <c r="D44" s="43" t="str">
        <f>IFERROR(__xludf.DUMMYFUNCTION("""COMPUTED_VALUE"""),"No")</f>
        <v>No</v>
      </c>
      <c r="E44" s="43" t="str">
        <f>IFERROR(__xludf.DUMMYFUNCTION("""COMPUTED_VALUE"""),"p_7ccdd807c608425631c2bdc916d8c308eb5b9bdc@inbound.aiesec.org")</f>
        <v>p_7ccdd807c608425631c2bdc916d8c308eb5b9bdc@inbound.aiesec.org</v>
      </c>
      <c r="F44" s="43">
        <f>IFERROR(__xludf.DUMMYFUNCTION("""COMPUTED_VALUE"""),5.437793624E9)</f>
        <v>5437793624</v>
      </c>
      <c r="G44" s="43" t="str">
        <f>IFERROR(__xludf.DUMMYFUNCTION("""COMPUTED_VALUE"""),"Turkey")</f>
        <v>Turkey</v>
      </c>
      <c r="H44" s="43" t="str">
        <f>IFERROR(__xludf.DUMMYFUNCTION("""COMPUTED_VALUE"""),"KOCAELI")</f>
        <v>KOCAELI</v>
      </c>
      <c r="I44" s="43" t="str">
        <f>IFERROR(__xludf.DUMMYFUNCTION("""COMPUTED_VALUE"""),"Egypt")</f>
        <v>Egypt</v>
      </c>
      <c r="J44" s="43" t="str">
        <f>IFERROR(__xludf.DUMMYFUNCTION("""COMPUTED_VALUE"""),"Damietta")</f>
        <v>Damietta</v>
      </c>
      <c r="K44" s="44" t="str">
        <f>IFERROR(__xludf.DUMMYFUNCTION("""COMPUTED_VALUE"""),"https://expa.aiesec.org/opportunities/1293183")</f>
        <v>https://expa.aiesec.org/opportunities/1293183</v>
      </c>
      <c r="L44" s="43" t="str">
        <f>IFERROR(__xludf.DUMMYFUNCTION("""COMPUTED_VALUE"""),"GTa")</f>
        <v>GTa</v>
      </c>
      <c r="M44" s="43" t="str">
        <f>IFERROR(__xludf.DUMMYFUNCTION("""COMPUTED_VALUE"""),"medium")</f>
        <v>medium</v>
      </c>
      <c r="N44" s="45">
        <f>IFERROR(__xludf.DUMMYFUNCTION("""COMPUTED_VALUE"""),44997.0)</f>
        <v>44997</v>
      </c>
      <c r="O44" s="45">
        <f>IFERROR(__xludf.DUMMYFUNCTION("""COMPUTED_VALUE"""),45108.0)</f>
        <v>45108</v>
      </c>
      <c r="P44" s="45">
        <f>IFERROR(__xludf.DUMMYFUNCTION("""COMPUTED_VALUE"""),45289.0)</f>
        <v>45289</v>
      </c>
      <c r="Q44" s="45"/>
      <c r="R44" s="45"/>
      <c r="S44" s="43"/>
      <c r="T44" s="43" t="str">
        <f>IFERROR(__xludf.DUMMYFUNCTION("""COMPUTED_VALUE"""),"Marketing")</f>
        <v>Marketing</v>
      </c>
      <c r="U44" s="43" t="str">
        <f>IFERROR(__xludf.DUMMYFUNCTION("""COMPUTED_VALUE"""),"Digital Marketing Specialist")</f>
        <v>Digital Marketing Specialist</v>
      </c>
      <c r="V44" s="43" t="str">
        <f>IFERROR(__xludf.DUMMYFUNCTION("""COMPUTED_VALUE"""),"KOCAELI")</f>
        <v>KOCAELI</v>
      </c>
      <c r="W44" s="43" t="str">
        <f>IFERROR(__xludf.DUMMYFUNCTION("""COMPUTED_VALUE"""),"2023-02-07T17:24:03Z")</f>
        <v>2023-02-07T17:24:03Z</v>
      </c>
      <c r="X44" s="43"/>
      <c r="Y44" s="43"/>
      <c r="Z44" s="43"/>
    </row>
    <row r="45" hidden="1">
      <c r="A45" s="43" t="str">
        <f>IFERROR(__xludf.DUMMYFUNCTION("""COMPUTED_VALUE"""),"5199480_1289213")</f>
        <v>5199480_1289213</v>
      </c>
      <c r="B45" s="43" t="str">
        <f>IFERROR(__xludf.DUMMYFUNCTION("""COMPUTED_VALUE"""),"ergin karatekin")</f>
        <v>ergin karatekin</v>
      </c>
      <c r="C45" s="43" t="str">
        <f>IFERROR(__xludf.DUMMYFUNCTION("""COMPUTED_VALUE"""),"approved")</f>
        <v>approved</v>
      </c>
      <c r="D45" s="43" t="str">
        <f>IFERROR(__xludf.DUMMYFUNCTION("""COMPUTED_VALUE"""),"No")</f>
        <v>No</v>
      </c>
      <c r="E45" s="43" t="str">
        <f>IFERROR(__xludf.DUMMYFUNCTION("""COMPUTED_VALUE"""),"p_2f609c5926465fba27ce4060fe6734a12b460bc3@inbound.aiesec.org")</f>
        <v>p_2f609c5926465fba27ce4060fe6734a12b460bc3@inbound.aiesec.org</v>
      </c>
      <c r="F45" s="43">
        <f>IFERROR(__xludf.DUMMYFUNCTION("""COMPUTED_VALUE"""),5.446180736E9)</f>
        <v>5446180736</v>
      </c>
      <c r="G45" s="43" t="str">
        <f>IFERROR(__xludf.DUMMYFUNCTION("""COMPUTED_VALUE"""),"Turkey")</f>
        <v>Turkey</v>
      </c>
      <c r="H45" s="43" t="str">
        <f>IFERROR(__xludf.DUMMYFUNCTION("""COMPUTED_VALUE"""),"ISTANBUL")</f>
        <v>ISTANBUL</v>
      </c>
      <c r="I45" s="43" t="str">
        <f>IFERROR(__xludf.DUMMYFUNCTION("""COMPUTED_VALUE"""),"India")</f>
        <v>India</v>
      </c>
      <c r="J45" s="43" t="str">
        <f>IFERROR(__xludf.DUMMYFUNCTION("""COMPUTED_VALUE"""),"VIT")</f>
        <v>VIT</v>
      </c>
      <c r="K45" s="44" t="str">
        <f>IFERROR(__xludf.DUMMYFUNCTION("""COMPUTED_VALUE"""),"https://expa.aiesec.org/opportunities/1289213")</f>
        <v>https://expa.aiesec.org/opportunities/1289213</v>
      </c>
      <c r="L45" s="43" t="str">
        <f>IFERROR(__xludf.DUMMYFUNCTION("""COMPUTED_VALUE"""),"GTa")</f>
        <v>GTa</v>
      </c>
      <c r="M45" s="43" t="str">
        <f>IFERROR(__xludf.DUMMYFUNCTION("""COMPUTED_VALUE"""),"short")</f>
        <v>short</v>
      </c>
      <c r="N45" s="45">
        <f>IFERROR(__xludf.DUMMYFUNCTION("""COMPUTED_VALUE"""),44997.0)</f>
        <v>44997</v>
      </c>
      <c r="O45" s="45">
        <f>IFERROR(__xludf.DUMMYFUNCTION("""COMPUTED_VALUE"""),45110.0)</f>
        <v>45110</v>
      </c>
      <c r="P45" s="45">
        <f>IFERROR(__xludf.DUMMYFUNCTION("""COMPUTED_VALUE"""),45165.0)</f>
        <v>45165</v>
      </c>
      <c r="Q45" s="45"/>
      <c r="R45" s="45"/>
      <c r="S45" s="43"/>
      <c r="T45" s="43" t="str">
        <f>IFERROR(__xludf.DUMMYFUNCTION("""COMPUTED_VALUE"""),"Engineering")</f>
        <v>Engineering</v>
      </c>
      <c r="U45" s="43" t="str">
        <f>IFERROR(__xludf.DUMMYFUNCTION("""COMPUTED_VALUE"""),"Research Intern |Nanobiotechnology and Biomaterials | In India     ")</f>
        <v>Research Intern |Nanobiotechnology and Biomaterials | In India     </v>
      </c>
      <c r="V45" s="43" t="str">
        <f>IFERROR(__xludf.DUMMYFUNCTION("""COMPUTED_VALUE"""),"ISTANBUL - BEYOGLU")</f>
        <v>ISTANBUL - BEYOGLU</v>
      </c>
      <c r="W45" s="43" t="str">
        <f>IFERROR(__xludf.DUMMYFUNCTION("""COMPUTED_VALUE"""),"2023-02-26T10:07:56Z")</f>
        <v>2023-02-26T10:07:56Z</v>
      </c>
      <c r="X45" s="43"/>
      <c r="Y45" s="43"/>
      <c r="Z45" s="43"/>
    </row>
    <row r="46" hidden="1">
      <c r="A46" s="43" t="str">
        <f>IFERROR(__xludf.DUMMYFUNCTION("""COMPUTED_VALUE"""),"5205358_1289154")</f>
        <v>5205358_1289154</v>
      </c>
      <c r="B46" s="43" t="str">
        <f>IFERROR(__xludf.DUMMYFUNCTION("""COMPUTED_VALUE"""),"Lenah Serai Wangare")</f>
        <v>Lenah Serai Wangare</v>
      </c>
      <c r="C46" s="43" t="str">
        <f>IFERROR(__xludf.DUMMYFUNCTION("""COMPUTED_VALUE"""),"approved")</f>
        <v>approved</v>
      </c>
      <c r="D46" s="43" t="str">
        <f>IFERROR(__xludf.DUMMYFUNCTION("""COMPUTED_VALUE"""),"No")</f>
        <v>No</v>
      </c>
      <c r="E46" s="43" t="str">
        <f>IFERROR(__xludf.DUMMYFUNCTION("""COMPUTED_VALUE"""),"p_f18d84e96785a346359af1cc7131b472b26b16d6@inbound.aiesec.org")</f>
        <v>p_f18d84e96785a346359af1cc7131b472b26b16d6@inbound.aiesec.org</v>
      </c>
      <c r="F46" s="43">
        <f>IFERROR(__xludf.DUMMYFUNCTION("""COMPUTED_VALUE"""),7.03699269E8)</f>
        <v>703699269</v>
      </c>
      <c r="G46" s="43" t="str">
        <f>IFERROR(__xludf.DUMMYFUNCTION("""COMPUTED_VALUE"""),"Turkey")</f>
        <v>Turkey</v>
      </c>
      <c r="H46" s="43" t="str">
        <f>IFERROR(__xludf.DUMMYFUNCTION("""COMPUTED_VALUE"""),"EASTERN MEDITERRANEAN")</f>
        <v>EASTERN MEDITERRANEAN</v>
      </c>
      <c r="I46" s="43" t="str">
        <f>IFERROR(__xludf.DUMMYFUNCTION("""COMPUTED_VALUE"""),"India")</f>
        <v>India</v>
      </c>
      <c r="J46" s="43" t="str">
        <f>IFERROR(__xludf.DUMMYFUNCTION("""COMPUTED_VALUE"""),"VIT")</f>
        <v>VIT</v>
      </c>
      <c r="K46" s="44" t="str">
        <f>IFERROR(__xludf.DUMMYFUNCTION("""COMPUTED_VALUE"""),"https://expa.aiesec.org/opportunities/1289154")</f>
        <v>https://expa.aiesec.org/opportunities/1289154</v>
      </c>
      <c r="L46" s="43" t="str">
        <f>IFERROR(__xludf.DUMMYFUNCTION("""COMPUTED_VALUE"""),"GTa")</f>
        <v>GTa</v>
      </c>
      <c r="M46" s="43" t="str">
        <f>IFERROR(__xludf.DUMMYFUNCTION("""COMPUTED_VALUE"""),"short")</f>
        <v>short</v>
      </c>
      <c r="N46" s="45">
        <f>IFERROR(__xludf.DUMMYFUNCTION("""COMPUTED_VALUE"""),45006.0)</f>
        <v>45006</v>
      </c>
      <c r="O46" s="45">
        <f>IFERROR(__xludf.DUMMYFUNCTION("""COMPUTED_VALUE"""),45110.0)</f>
        <v>45110</v>
      </c>
      <c r="P46" s="45">
        <f>IFERROR(__xludf.DUMMYFUNCTION("""COMPUTED_VALUE"""),45165.0)</f>
        <v>45165</v>
      </c>
      <c r="Q46" s="45"/>
      <c r="R46" s="45"/>
      <c r="S46" s="43"/>
      <c r="T46" s="43" t="str">
        <f>IFERROR(__xludf.DUMMYFUNCTION("""COMPUTED_VALUE"""),"Engineering")</f>
        <v>Engineering</v>
      </c>
      <c r="U46" s="43" t="str">
        <f>IFERROR(__xludf.DUMMYFUNCTION("""COMPUTED_VALUE"""),"Research Intern | Biomedical Engineering | In India ")</f>
        <v>Research Intern | Biomedical Engineering | In India </v>
      </c>
      <c r="V46" s="43" t="str">
        <f>IFERROR(__xludf.DUMMYFUNCTION("""COMPUTED_VALUE"""),"NORTH CYPRUS")</f>
        <v>NORTH CYPRUS</v>
      </c>
      <c r="W46" s="43" t="str">
        <f>IFERROR(__xludf.DUMMYFUNCTION("""COMPUTED_VALUE"""),"2023-03-04T13:32:21Z")</f>
        <v>2023-03-04T13:32:21Z</v>
      </c>
      <c r="X46" s="43"/>
      <c r="Y46" s="43"/>
      <c r="Z46" s="43"/>
    </row>
    <row r="47">
      <c r="A47" s="43" t="str">
        <f>IFERROR(__xludf.DUMMYFUNCTION("""COMPUTED_VALUE"""),"4506352_1290673")</f>
        <v>4506352_1290673</v>
      </c>
      <c r="B47" s="43" t="str">
        <f>IFERROR(__xludf.DUMMYFUNCTION("""COMPUTED_VALUE"""),"Merve Ekinci")</f>
        <v>Merve Ekinci</v>
      </c>
      <c r="C47" s="43" t="str">
        <f>IFERROR(__xludf.DUMMYFUNCTION("""COMPUTED_VALUE"""),"approved")</f>
        <v>approved</v>
      </c>
      <c r="D47" s="43" t="str">
        <f>IFERROR(__xludf.DUMMYFUNCTION("""COMPUTED_VALUE"""),"No")</f>
        <v>No</v>
      </c>
      <c r="E47" s="43" t="str">
        <f>IFERROR(__xludf.DUMMYFUNCTION("""COMPUTED_VALUE"""),"p_95f460fa6021f2c1b06a8e0ebc183abd31c098da@inbound.aiesec.org")</f>
        <v>p_95f460fa6021f2c1b06a8e0ebc183abd31c098da@inbound.aiesec.org</v>
      </c>
      <c r="F47" s="43">
        <f>IFERROR(__xludf.DUMMYFUNCTION("""COMPUTED_VALUE"""),5.459722942E9)</f>
        <v>5459722942</v>
      </c>
      <c r="G47" s="43" t="str">
        <f>IFERROR(__xludf.DUMMYFUNCTION("""COMPUTED_VALUE"""),"Turkey")</f>
        <v>Turkey</v>
      </c>
      <c r="H47" s="43" t="str">
        <f>IFERROR(__xludf.DUMMYFUNCTION("""COMPUTED_VALUE"""),"ANKARA")</f>
        <v>ANKARA</v>
      </c>
      <c r="I47" s="43" t="str">
        <f>IFERROR(__xludf.DUMMYFUNCTION("""COMPUTED_VALUE"""),"The Netherlands")</f>
        <v>The Netherlands</v>
      </c>
      <c r="J47" s="43" t="str">
        <f>IFERROR(__xludf.DUMMYFUNCTION("""COMPUTED_VALUE"""),"TILBURG")</f>
        <v>TILBURG</v>
      </c>
      <c r="K47" s="44" t="str">
        <f>IFERROR(__xludf.DUMMYFUNCTION("""COMPUTED_VALUE"""),"https://expa.aiesec.org/opportunities/1290673")</f>
        <v>https://expa.aiesec.org/opportunities/1290673</v>
      </c>
      <c r="L47" s="43" t="str">
        <f>IFERROR(__xludf.DUMMYFUNCTION("""COMPUTED_VALUE"""),"GTa")</f>
        <v>GTa</v>
      </c>
      <c r="M47" s="43" t="str">
        <f>IFERROR(__xludf.DUMMYFUNCTION("""COMPUTED_VALUE"""),"long")</f>
        <v>long</v>
      </c>
      <c r="N47" s="45">
        <f>IFERROR(__xludf.DUMMYFUNCTION("""COMPUTED_VALUE"""),45010.0)</f>
        <v>45010</v>
      </c>
      <c r="O47" s="45">
        <f>IFERROR(__xludf.DUMMYFUNCTION("""COMPUTED_VALUE"""),44963.0)</f>
        <v>44963</v>
      </c>
      <c r="P47" s="45">
        <f>IFERROR(__xludf.DUMMYFUNCTION("""COMPUTED_VALUE"""),45327.0)</f>
        <v>45327</v>
      </c>
      <c r="Q47" s="45"/>
      <c r="R47" s="45"/>
      <c r="S47" s="43"/>
      <c r="T47" s="43" t="str">
        <f>IFERROR(__xludf.DUMMYFUNCTION("""COMPUTED_VALUE"""),"Business Development")</f>
        <v>Business Development</v>
      </c>
      <c r="U47" s="43" t="str">
        <f>IFERROR(__xludf.DUMMYFUNCTION("""COMPUTED_VALUE"""),"International Accountmanager")</f>
        <v>International Accountmanager</v>
      </c>
      <c r="V47" s="43" t="str">
        <f>IFERROR(__xludf.DUMMYFUNCTION("""COMPUTED_VALUE"""),"ANKARA")</f>
        <v>ANKARA</v>
      </c>
      <c r="W47" s="43" t="str">
        <f>IFERROR(__xludf.DUMMYFUNCTION("""COMPUTED_VALUE"""),"2021-01-02T16:46:34Z")</f>
        <v>2021-01-02T16:46:34Z</v>
      </c>
      <c r="X47" s="43"/>
      <c r="Y47" s="43"/>
      <c r="Z47" s="43"/>
    </row>
    <row r="48" hidden="1">
      <c r="A48" s="43" t="str">
        <f>IFERROR(__xludf.DUMMYFUNCTION("""COMPUTED_VALUE"""),"5228897_1289161")</f>
        <v>5228897_1289161</v>
      </c>
      <c r="B48" s="43" t="str">
        <f>IFERROR(__xludf.DUMMYFUNCTION("""COMPUTED_VALUE"""),"mehdi ahmad")</f>
        <v>mehdi ahmad</v>
      </c>
      <c r="C48" s="43" t="str">
        <f>IFERROR(__xludf.DUMMYFUNCTION("""COMPUTED_VALUE"""),"approved")</f>
        <v>approved</v>
      </c>
      <c r="D48" s="43" t="str">
        <f>IFERROR(__xludf.DUMMYFUNCTION("""COMPUTED_VALUE"""),"No")</f>
        <v>No</v>
      </c>
      <c r="E48" s="43" t="str">
        <f>IFERROR(__xludf.DUMMYFUNCTION("""COMPUTED_VALUE"""),"p_61fcc11e518f0c5f380636a20240d4a30ed3aed5@inbound.aiesec.org")</f>
        <v>p_61fcc11e518f0c5f380636a20240d4a30ed3aed5@inbound.aiesec.org</v>
      </c>
      <c r="F48" s="43">
        <f>IFERROR(__xludf.DUMMYFUNCTION("""COMPUTED_VALUE"""),3.3818893E7)</f>
        <v>33818893</v>
      </c>
      <c r="G48" s="43" t="str">
        <f>IFERROR(__xludf.DUMMYFUNCTION("""COMPUTED_VALUE"""),"Turkey")</f>
        <v>Turkey</v>
      </c>
      <c r="H48" s="43" t="str">
        <f>IFERROR(__xludf.DUMMYFUNCTION("""COMPUTED_VALUE"""),"EASTERN MEDITERRANEAN")</f>
        <v>EASTERN MEDITERRANEAN</v>
      </c>
      <c r="I48" s="43" t="str">
        <f>IFERROR(__xludf.DUMMYFUNCTION("""COMPUTED_VALUE"""),"India")</f>
        <v>India</v>
      </c>
      <c r="J48" s="43" t="str">
        <f>IFERROR(__xludf.DUMMYFUNCTION("""COMPUTED_VALUE"""),"VIT")</f>
        <v>VIT</v>
      </c>
      <c r="K48" s="44" t="str">
        <f>IFERROR(__xludf.DUMMYFUNCTION("""COMPUTED_VALUE"""),"https://expa.aiesec.org/opportunities/1289161")</f>
        <v>https://expa.aiesec.org/opportunities/1289161</v>
      </c>
      <c r="L48" s="43" t="str">
        <f>IFERROR(__xludf.DUMMYFUNCTION("""COMPUTED_VALUE"""),"GTa")</f>
        <v>GTa</v>
      </c>
      <c r="M48" s="43" t="str">
        <f>IFERROR(__xludf.DUMMYFUNCTION("""COMPUTED_VALUE"""),"short")</f>
        <v>short</v>
      </c>
      <c r="N48" s="45">
        <f>IFERROR(__xludf.DUMMYFUNCTION("""COMPUTED_VALUE"""),45014.0)</f>
        <v>45014</v>
      </c>
      <c r="O48" s="45">
        <f>IFERROR(__xludf.DUMMYFUNCTION("""COMPUTED_VALUE"""),45124.0)</f>
        <v>45124</v>
      </c>
      <c r="P48" s="45">
        <f>IFERROR(__xludf.DUMMYFUNCTION("""COMPUTED_VALUE"""),45179.0)</f>
        <v>45179</v>
      </c>
      <c r="Q48" s="45"/>
      <c r="R48" s="45"/>
      <c r="S48" s="43"/>
      <c r="T48" s="43" t="str">
        <f>IFERROR(__xludf.DUMMYFUNCTION("""COMPUTED_VALUE"""),"Engineering")</f>
        <v>Engineering</v>
      </c>
      <c r="U48" s="43" t="str">
        <f>IFERROR(__xludf.DUMMYFUNCTION("""COMPUTED_VALUE"""),"Research Intern | Automotive Engineering| In India  ")</f>
        <v>Research Intern | Automotive Engineering| In India  </v>
      </c>
      <c r="V48" s="43" t="str">
        <f>IFERROR(__xludf.DUMMYFUNCTION("""COMPUTED_VALUE"""),"NORTH CYPRUS")</f>
        <v>NORTH CYPRUS</v>
      </c>
      <c r="W48" s="43" t="str">
        <f>IFERROR(__xludf.DUMMYFUNCTION("""COMPUTED_VALUE"""),"2023-03-28T10:57:12Z")</f>
        <v>2023-03-28T10:57:12Z</v>
      </c>
      <c r="X48" s="43"/>
      <c r="Y48" s="43"/>
      <c r="Z48" s="43"/>
    </row>
    <row r="49" hidden="1">
      <c r="A49" s="43" t="str">
        <f>IFERROR(__xludf.DUMMYFUNCTION("""COMPUTED_VALUE"""),"744612_1292158")</f>
        <v>744612_1292158</v>
      </c>
      <c r="B49" s="43" t="str">
        <f>IFERROR(__xludf.DUMMYFUNCTION("""COMPUTED_VALUE"""),"Hüseyin Çelik")</f>
        <v>Hüseyin Çelik</v>
      </c>
      <c r="C49" s="43" t="str">
        <f>IFERROR(__xludf.DUMMYFUNCTION("""COMPUTED_VALUE"""),"realized")</f>
        <v>realized</v>
      </c>
      <c r="D49" s="43" t="str">
        <f>IFERROR(__xludf.DUMMYFUNCTION("""COMPUTED_VALUE"""),"No")</f>
        <v>No</v>
      </c>
      <c r="E49" s="43" t="str">
        <f>IFERROR(__xludf.DUMMYFUNCTION("""COMPUTED_VALUE"""),"p_d07c8b5f832ee32ce7e38c7b7ad998fb281fdc6a@inbound.aiesec.org")</f>
        <v>p_d07c8b5f832ee32ce7e38c7b7ad998fb281fdc6a@inbound.aiesec.org</v>
      </c>
      <c r="F49" s="43">
        <f>IFERROR(__xludf.DUMMYFUNCTION("""COMPUTED_VALUE"""),5.322102827E9)</f>
        <v>5322102827</v>
      </c>
      <c r="G49" s="43" t="str">
        <f>IFERROR(__xludf.DUMMYFUNCTION("""COMPUTED_VALUE"""),"Turkey")</f>
        <v>Turkey</v>
      </c>
      <c r="H49" s="43" t="str">
        <f>IFERROR(__xludf.DUMMYFUNCTION("""COMPUTED_VALUE"""),"ISTANBUL")</f>
        <v>ISTANBUL</v>
      </c>
      <c r="I49" s="43" t="str">
        <f>IFERROR(__xludf.DUMMYFUNCTION("""COMPUTED_VALUE"""),"Hungary")</f>
        <v>Hungary</v>
      </c>
      <c r="J49" s="43" t="str">
        <f>IFERROR(__xludf.DUMMYFUNCTION("""COMPUTED_VALUE"""),"BME - Budapest")</f>
        <v>BME - Budapest</v>
      </c>
      <c r="K49" s="44" t="str">
        <f>IFERROR(__xludf.DUMMYFUNCTION("""COMPUTED_VALUE"""),"https://expa.aiesec.org/opportunities/1292158")</f>
        <v>https://expa.aiesec.org/opportunities/1292158</v>
      </c>
      <c r="L49" s="43" t="str">
        <f>IFERROR(__xludf.DUMMYFUNCTION("""COMPUTED_VALUE"""),"GTa")</f>
        <v>GTa</v>
      </c>
      <c r="M49" s="43" t="str">
        <f>IFERROR(__xludf.DUMMYFUNCTION("""COMPUTED_VALUE"""),"long")</f>
        <v>long</v>
      </c>
      <c r="N49" s="45">
        <f>IFERROR(__xludf.DUMMYFUNCTION("""COMPUTED_VALUE"""),45014.0)</f>
        <v>45014</v>
      </c>
      <c r="O49" s="45">
        <f>IFERROR(__xludf.DUMMYFUNCTION("""COMPUTED_VALUE"""),45124.0)</f>
        <v>45124</v>
      </c>
      <c r="P49" s="45">
        <f>IFERROR(__xludf.DUMMYFUNCTION("""COMPUTED_VALUE"""),45489.0)</f>
        <v>45489</v>
      </c>
      <c r="Q49" s="45">
        <f>IFERROR(__xludf.DUMMYFUNCTION("""COMPUTED_VALUE"""),45125.0)</f>
        <v>45125</v>
      </c>
      <c r="R49" s="45">
        <f>IFERROR(__xludf.DUMMYFUNCTION("""COMPUTED_VALUE"""),45489.0)</f>
        <v>45489</v>
      </c>
      <c r="S49" s="43"/>
      <c r="T49" s="43" t="str">
        <f>IFERROR(__xludf.DUMMYFUNCTION("""COMPUTED_VALUE"""),"Business Administration")</f>
        <v>Business Administration</v>
      </c>
      <c r="U49" s="43" t="str">
        <f>IFERROR(__xludf.DUMMYFUNCTION("""COMPUTED_VALUE"""),"Customer Data Administrator ")</f>
        <v>Customer Data Administrator </v>
      </c>
      <c r="V49" s="43" t="str">
        <f>IFERROR(__xludf.DUMMYFUNCTION("""COMPUTED_VALUE"""),"-")</f>
        <v>-</v>
      </c>
      <c r="W49" s="43" t="str">
        <f>IFERROR(__xludf.DUMMYFUNCTION("""COMPUTED_VALUE"""),"2015-10-25T05:13:31Z")</f>
        <v>2015-10-25T05:13:31Z</v>
      </c>
      <c r="X49" s="43"/>
      <c r="Y49" s="43"/>
      <c r="Z49" s="43"/>
    </row>
    <row r="50">
      <c r="A50" s="43" t="str">
        <f>IFERROR(__xludf.DUMMYFUNCTION("""COMPUTED_VALUE"""),"5042925_1293261")</f>
        <v>5042925_1293261</v>
      </c>
      <c r="B50" s="43" t="str">
        <f>IFERROR(__xludf.DUMMYFUNCTION("""COMPUTED_VALUE"""),"Merve Özışık")</f>
        <v>Merve Özışık</v>
      </c>
      <c r="C50" s="43" t="str">
        <f>IFERROR(__xludf.DUMMYFUNCTION("""COMPUTED_VALUE"""),"approved")</f>
        <v>approved</v>
      </c>
      <c r="D50" s="43" t="str">
        <f>IFERROR(__xludf.DUMMYFUNCTION("""COMPUTED_VALUE"""),"No")</f>
        <v>No</v>
      </c>
      <c r="E50" s="43" t="str">
        <f>IFERROR(__xludf.DUMMYFUNCTION("""COMPUTED_VALUE"""),"p_712a04a16d30dee1d0a182575a4714d7b4bf3495@inbound.aiesec.org")</f>
        <v>p_712a04a16d30dee1d0a182575a4714d7b4bf3495@inbound.aiesec.org</v>
      </c>
      <c r="F50" s="43">
        <f>IFERROR(__xludf.DUMMYFUNCTION("""COMPUTED_VALUE"""),5.5378004E9)</f>
        <v>5537800400</v>
      </c>
      <c r="G50" s="43" t="str">
        <f>IFERROR(__xludf.DUMMYFUNCTION("""COMPUTED_VALUE"""),"Turkey")</f>
        <v>Turkey</v>
      </c>
      <c r="H50" s="43" t="str">
        <f>IFERROR(__xludf.DUMMYFUNCTION("""COMPUTED_VALUE"""),"DENIZLI")</f>
        <v>DENIZLI</v>
      </c>
      <c r="I50" s="43" t="str">
        <f>IFERROR(__xludf.DUMMYFUNCTION("""COMPUTED_VALUE"""),"Portugal")</f>
        <v>Portugal</v>
      </c>
      <c r="J50" s="43" t="str">
        <f>IFERROR(__xludf.DUMMYFUNCTION("""COMPUTED_VALUE"""),"PORTO FEP")</f>
        <v>PORTO FEP</v>
      </c>
      <c r="K50" s="44" t="str">
        <f>IFERROR(__xludf.DUMMYFUNCTION("""COMPUTED_VALUE"""),"https://expa.aiesec.org/opportunities/1293261")</f>
        <v>https://expa.aiesec.org/opportunities/1293261</v>
      </c>
      <c r="L50" s="43" t="str">
        <f>IFERROR(__xludf.DUMMYFUNCTION("""COMPUTED_VALUE"""),"GTa")</f>
        <v>GTa</v>
      </c>
      <c r="M50" s="43" t="str">
        <f>IFERROR(__xludf.DUMMYFUNCTION("""COMPUTED_VALUE"""),"short")</f>
        <v>short</v>
      </c>
      <c r="N50" s="45">
        <f>IFERROR(__xludf.DUMMYFUNCTION("""COMPUTED_VALUE"""),45015.0)</f>
        <v>45015</v>
      </c>
      <c r="O50" s="45">
        <f>IFERROR(__xludf.DUMMYFUNCTION("""COMPUTED_VALUE"""),45093.0)</f>
        <v>45093</v>
      </c>
      <c r="P50" s="45">
        <f>IFERROR(__xludf.DUMMYFUNCTION("""COMPUTED_VALUE"""),45149.0)</f>
        <v>45149</v>
      </c>
      <c r="Q50" s="45"/>
      <c r="R50" s="45"/>
      <c r="S50" s="43"/>
      <c r="T50" s="43" t="str">
        <f>IFERROR(__xludf.DUMMYFUNCTION("""COMPUTED_VALUE"""),"Business Development")</f>
        <v>Business Development</v>
      </c>
      <c r="U50" s="43" t="str">
        <f>IFERROR(__xludf.DUMMYFUNCTION("""COMPUTED_VALUE"""),"Business Developer Trainee")</f>
        <v>Business Developer Trainee</v>
      </c>
      <c r="V50" s="43" t="str">
        <f>IFERROR(__xludf.DUMMYFUNCTION("""COMPUTED_VALUE"""),"IZMIR")</f>
        <v>IZMIR</v>
      </c>
      <c r="W50" s="43" t="str">
        <f>IFERROR(__xludf.DUMMYFUNCTION("""COMPUTED_VALUE"""),"2022-04-21T08:39:07Z")</f>
        <v>2022-04-21T08:39:07Z</v>
      </c>
      <c r="X50" s="43"/>
      <c r="Y50" s="43"/>
      <c r="Z50" s="43"/>
    </row>
    <row r="51" hidden="1">
      <c r="A51" s="43" t="str">
        <f>IFERROR(__xludf.DUMMYFUNCTION("""COMPUTED_VALUE"""),"5210785_1292062")</f>
        <v>5210785_1292062</v>
      </c>
      <c r="B51" s="43" t="str">
        <f>IFERROR(__xludf.DUMMYFUNCTION("""COMPUTED_VALUE"""),"Mustafa Özyurt")</f>
        <v>Mustafa Özyurt</v>
      </c>
      <c r="C51" s="43" t="str">
        <f>IFERROR(__xludf.DUMMYFUNCTION("""COMPUTED_VALUE"""),"completed")</f>
        <v>completed</v>
      </c>
      <c r="D51" s="43" t="str">
        <f>IFERROR(__xludf.DUMMYFUNCTION("""COMPUTED_VALUE"""),"No")</f>
        <v>No</v>
      </c>
      <c r="E51" s="43" t="str">
        <f>IFERROR(__xludf.DUMMYFUNCTION("""COMPUTED_VALUE"""),"p_098da61ff8ef8a4eb72df2f54481c781953f07d2@inbound.aiesec.org")</f>
        <v>p_098da61ff8ef8a4eb72df2f54481c781953f07d2@inbound.aiesec.org</v>
      </c>
      <c r="F51" s="43">
        <f>IFERROR(__xludf.DUMMYFUNCTION("""COMPUTED_VALUE"""),5.454325531E9)</f>
        <v>5454325531</v>
      </c>
      <c r="G51" s="43" t="str">
        <f>IFERROR(__xludf.DUMMYFUNCTION("""COMPUTED_VALUE"""),"Turkey")</f>
        <v>Turkey</v>
      </c>
      <c r="H51" s="43" t="str">
        <f>IFERROR(__xludf.DUMMYFUNCTION("""COMPUTED_VALUE"""),"ANTALYA")</f>
        <v>ANTALYA</v>
      </c>
      <c r="I51" s="43" t="str">
        <f>IFERROR(__xludf.DUMMYFUNCTION("""COMPUTED_VALUE"""),"Romania")</f>
        <v>Romania</v>
      </c>
      <c r="J51" s="43" t="str">
        <f>IFERROR(__xludf.DUMMYFUNCTION("""COMPUTED_VALUE"""),"University of Bucharest")</f>
        <v>University of Bucharest</v>
      </c>
      <c r="K51" s="44" t="str">
        <f>IFERROR(__xludf.DUMMYFUNCTION("""COMPUTED_VALUE"""),"https://expa.aiesec.org/opportunities/1292062")</f>
        <v>https://expa.aiesec.org/opportunities/1292062</v>
      </c>
      <c r="L51" s="43" t="str">
        <f>IFERROR(__xludf.DUMMYFUNCTION("""COMPUTED_VALUE"""),"GTa")</f>
        <v>GTa</v>
      </c>
      <c r="M51" s="43" t="str">
        <f>IFERROR(__xludf.DUMMYFUNCTION("""COMPUTED_VALUE"""),"short")</f>
        <v>short</v>
      </c>
      <c r="N51" s="45">
        <f>IFERROR(__xludf.DUMMYFUNCTION("""COMPUTED_VALUE"""),45015.0)</f>
        <v>45015</v>
      </c>
      <c r="O51" s="45">
        <f>IFERROR(__xludf.DUMMYFUNCTION("""COMPUTED_VALUE"""),45117.0)</f>
        <v>45117</v>
      </c>
      <c r="P51" s="45">
        <f>IFERROR(__xludf.DUMMYFUNCTION("""COMPUTED_VALUE"""),45170.0)</f>
        <v>45170</v>
      </c>
      <c r="Q51" s="45">
        <f>IFERROR(__xludf.DUMMYFUNCTION("""COMPUTED_VALUE"""),45120.0)</f>
        <v>45120</v>
      </c>
      <c r="R51" s="45">
        <f>IFERROR(__xludf.DUMMYFUNCTION("""COMPUTED_VALUE"""),45173.0)</f>
        <v>45173</v>
      </c>
      <c r="S51" s="43"/>
      <c r="T51" s="43" t="str">
        <f>IFERROR(__xludf.DUMMYFUNCTION("""COMPUTED_VALUE"""),"Information Technology")</f>
        <v>Information Technology</v>
      </c>
      <c r="U51" s="43" t="str">
        <f>IFERROR(__xludf.DUMMYFUNCTION("""COMPUTED_VALUE"""),"Embedded Developer - Computing at the Edge")</f>
        <v>Embedded Developer - Computing at the Edge</v>
      </c>
      <c r="V51" s="43" t="str">
        <f>IFERROR(__xludf.DUMMYFUNCTION("""COMPUTED_VALUE"""),"ANTALYA")</f>
        <v>ANTALYA</v>
      </c>
      <c r="W51" s="43" t="str">
        <f>IFERROR(__xludf.DUMMYFUNCTION("""COMPUTED_VALUE"""),"2023-03-09T10:49:13Z")</f>
        <v>2023-03-09T10:49:13Z</v>
      </c>
      <c r="X51" s="43"/>
      <c r="Y51" s="43"/>
      <c r="Z51" s="43"/>
    </row>
    <row r="52" hidden="1">
      <c r="A52" s="43" t="str">
        <f>IFERROR(__xludf.DUMMYFUNCTION("""COMPUTED_VALUE"""),"5207467_1293680")</f>
        <v>5207467_1293680</v>
      </c>
      <c r="B52" s="43" t="str">
        <f>IFERROR(__xludf.DUMMYFUNCTION("""COMPUTED_VALUE"""),"Emir Mustafa Akdemir")</f>
        <v>Emir Mustafa Akdemir</v>
      </c>
      <c r="C52" s="43" t="str">
        <f>IFERROR(__xludf.DUMMYFUNCTION("""COMPUTED_VALUE"""),"completed")</f>
        <v>completed</v>
      </c>
      <c r="D52" s="43" t="str">
        <f>IFERROR(__xludf.DUMMYFUNCTION("""COMPUTED_VALUE"""),"No")</f>
        <v>No</v>
      </c>
      <c r="E52" s="43" t="str">
        <f>IFERROR(__xludf.DUMMYFUNCTION("""COMPUTED_VALUE"""),"p_b2d82f69342e4784a7c897afd22e82bb361460a4@inbound.aiesec.org")</f>
        <v>p_b2d82f69342e4784a7c897afd22e82bb361460a4@inbound.aiesec.org</v>
      </c>
      <c r="F52" s="43">
        <f>IFERROR(__xludf.DUMMYFUNCTION("""COMPUTED_VALUE"""),5.437903144E9)</f>
        <v>5437903144</v>
      </c>
      <c r="G52" s="43" t="str">
        <f>IFERROR(__xludf.DUMMYFUNCTION("""COMPUTED_VALUE"""),"Turkey")</f>
        <v>Turkey</v>
      </c>
      <c r="H52" s="43" t="str">
        <f>IFERROR(__xludf.DUMMYFUNCTION("""COMPUTED_VALUE"""),"KUTAHYA")</f>
        <v>KUTAHYA</v>
      </c>
      <c r="I52" s="43" t="str">
        <f>IFERROR(__xludf.DUMMYFUNCTION("""COMPUTED_VALUE"""),"Tunisia")</f>
        <v>Tunisia</v>
      </c>
      <c r="J52" s="43" t="str">
        <f>IFERROR(__xludf.DUMMYFUNCTION("""COMPUTED_VALUE"""),"RUSPINA")</f>
        <v>RUSPINA</v>
      </c>
      <c r="K52" s="44" t="str">
        <f>IFERROR(__xludf.DUMMYFUNCTION("""COMPUTED_VALUE"""),"https://expa.aiesec.org/opportunities/1293680")</f>
        <v>https://expa.aiesec.org/opportunities/1293680</v>
      </c>
      <c r="L52" s="43" t="str">
        <f>IFERROR(__xludf.DUMMYFUNCTION("""COMPUTED_VALUE"""),"GTa")</f>
        <v>GTa</v>
      </c>
      <c r="M52" s="43" t="str">
        <f>IFERROR(__xludf.DUMMYFUNCTION("""COMPUTED_VALUE"""),"short")</f>
        <v>short</v>
      </c>
      <c r="N52" s="45">
        <f>IFERROR(__xludf.DUMMYFUNCTION("""COMPUTED_VALUE"""),45019.0)</f>
        <v>45019</v>
      </c>
      <c r="O52" s="45">
        <f>IFERROR(__xludf.DUMMYFUNCTION("""COMPUTED_VALUE"""),45092.0)</f>
        <v>45092</v>
      </c>
      <c r="P52" s="45">
        <f>IFERROR(__xludf.DUMMYFUNCTION("""COMPUTED_VALUE"""),45153.0)</f>
        <v>45153</v>
      </c>
      <c r="Q52" s="45">
        <f>IFERROR(__xludf.DUMMYFUNCTION("""COMPUTED_VALUE"""),45100.0)</f>
        <v>45100</v>
      </c>
      <c r="R52" s="45">
        <f>IFERROR(__xludf.DUMMYFUNCTION("""COMPUTED_VALUE"""),45161.0)</f>
        <v>45161</v>
      </c>
      <c r="S52" s="43"/>
      <c r="T52" s="43" t="str">
        <f>IFERROR(__xludf.DUMMYFUNCTION("""COMPUTED_VALUE"""),"Marketing")</f>
        <v>Marketing</v>
      </c>
      <c r="U52" s="43" t="str">
        <f>IFERROR(__xludf.DUMMYFUNCTION("""COMPUTED_VALUE"""),"Sales")</f>
        <v>Sales</v>
      </c>
      <c r="V52" s="43" t="str">
        <f>IFERROR(__xludf.DUMMYFUNCTION("""COMPUTED_VALUE"""),"KUTAHYA")</f>
        <v>KUTAHYA</v>
      </c>
      <c r="W52" s="43" t="str">
        <f>IFERROR(__xludf.DUMMYFUNCTION("""COMPUTED_VALUE"""),"2023-03-06T13:30:33Z")</f>
        <v>2023-03-06T13:30:33Z</v>
      </c>
      <c r="X52" s="43"/>
      <c r="Y52" s="43"/>
      <c r="Z52" s="43"/>
    </row>
    <row r="53">
      <c r="A53" s="43" t="str">
        <f>IFERROR(__xludf.DUMMYFUNCTION("""COMPUTED_VALUE"""),"5183539_1287121")</f>
        <v>5183539_1287121</v>
      </c>
      <c r="B53" s="43" t="str">
        <f>IFERROR(__xludf.DUMMYFUNCTION("""COMPUTED_VALUE"""),"furkan çetin")</f>
        <v>furkan çetin</v>
      </c>
      <c r="C53" s="43" t="str">
        <f>IFERROR(__xludf.DUMMYFUNCTION("""COMPUTED_VALUE"""),"approved")</f>
        <v>approved</v>
      </c>
      <c r="D53" s="43" t="str">
        <f>IFERROR(__xludf.DUMMYFUNCTION("""COMPUTED_VALUE"""),"No")</f>
        <v>No</v>
      </c>
      <c r="E53" s="43" t="str">
        <f>IFERROR(__xludf.DUMMYFUNCTION("""COMPUTED_VALUE"""),"p_7a492d88331975720eba8c78042533db9f83a90c@inbound.aiesec.org")</f>
        <v>p_7a492d88331975720eba8c78042533db9f83a90c@inbound.aiesec.org</v>
      </c>
      <c r="F53" s="43">
        <f>IFERROR(__xludf.DUMMYFUNCTION("""COMPUTED_VALUE"""),5.31251821E9)</f>
        <v>5312518210</v>
      </c>
      <c r="G53" s="43" t="str">
        <f>IFERROR(__xludf.DUMMYFUNCTION("""COMPUTED_VALUE"""),"Turkey")</f>
        <v>Turkey</v>
      </c>
      <c r="H53" s="43" t="str">
        <f>IFERROR(__xludf.DUMMYFUNCTION("""COMPUTED_VALUE"""),"ISTANBUL WEST")</f>
        <v>ISTANBUL WEST</v>
      </c>
      <c r="I53" s="43" t="str">
        <f>IFERROR(__xludf.DUMMYFUNCTION("""COMPUTED_VALUE"""),"Brazil")</f>
        <v>Brazil</v>
      </c>
      <c r="J53" s="43" t="str">
        <f>IFERROR(__xludf.DUMMYFUNCTION("""COMPUTED_VALUE"""),"CURITIBA")</f>
        <v>CURITIBA</v>
      </c>
      <c r="K53" s="44" t="str">
        <f>IFERROR(__xludf.DUMMYFUNCTION("""COMPUTED_VALUE"""),"https://expa.aiesec.org/opportunities/1287121")</f>
        <v>https://expa.aiesec.org/opportunities/1287121</v>
      </c>
      <c r="L53" s="43" t="str">
        <f>IFERROR(__xludf.DUMMYFUNCTION("""COMPUTED_VALUE"""),"GTa")</f>
        <v>GTa</v>
      </c>
      <c r="M53" s="43" t="str">
        <f>IFERROR(__xludf.DUMMYFUNCTION("""COMPUTED_VALUE"""),"long")</f>
        <v>long</v>
      </c>
      <c r="N53" s="45">
        <f>IFERROR(__xludf.DUMMYFUNCTION("""COMPUTED_VALUE"""),45022.0)</f>
        <v>45022</v>
      </c>
      <c r="O53" s="45">
        <f>IFERROR(__xludf.DUMMYFUNCTION("""COMPUTED_VALUE"""),45082.0)</f>
        <v>45082</v>
      </c>
      <c r="P53" s="45">
        <f>IFERROR(__xludf.DUMMYFUNCTION("""COMPUTED_VALUE"""),45448.0)</f>
        <v>45448</v>
      </c>
      <c r="Q53" s="45"/>
      <c r="R53" s="45"/>
      <c r="S53" s="43"/>
      <c r="T53" s="43" t="str">
        <f>IFERROR(__xludf.DUMMYFUNCTION("""COMPUTED_VALUE"""),"Engineering")</f>
        <v>Engineering</v>
      </c>
      <c r="U53" s="43" t="str">
        <f>IFERROR(__xludf.DUMMYFUNCTION("""COMPUTED_VALUE"""),"[Engine] System / Requirements Engineer")</f>
        <v>[Engine] System / Requirements Engineer</v>
      </c>
      <c r="V53" s="43" t="str">
        <f>IFERROR(__xludf.DUMMYFUNCTION("""COMPUTED_VALUE"""),"TEKIRDAG")</f>
        <v>TEKIRDAG</v>
      </c>
      <c r="W53" s="43" t="str">
        <f>IFERROR(__xludf.DUMMYFUNCTION("""COMPUTED_VALUE"""),"2023-02-01T16:49:13Z")</f>
        <v>2023-02-01T16:49:13Z</v>
      </c>
      <c r="X53" s="43"/>
      <c r="Y53" s="43"/>
      <c r="Z53" s="43"/>
    </row>
    <row r="54" hidden="1">
      <c r="A54" s="43" t="str">
        <f>IFERROR(__xludf.DUMMYFUNCTION("""COMPUTED_VALUE"""),"4051829_1293374")</f>
        <v>4051829_1293374</v>
      </c>
      <c r="B54" s="43" t="str">
        <f>IFERROR(__xludf.DUMMYFUNCTION("""COMPUTED_VALUE"""),"Serkan Demirci")</f>
        <v>Serkan Demirci</v>
      </c>
      <c r="C54" s="43" t="str">
        <f>IFERROR(__xludf.DUMMYFUNCTION("""COMPUTED_VALUE"""),"completed")</f>
        <v>completed</v>
      </c>
      <c r="D54" s="43" t="str">
        <f>IFERROR(__xludf.DUMMYFUNCTION("""COMPUTED_VALUE"""),"No")</f>
        <v>No</v>
      </c>
      <c r="E54" s="43" t="str">
        <f>IFERROR(__xludf.DUMMYFUNCTION("""COMPUTED_VALUE"""),"p_e41e99ca707dd613a0e9ab3013af0df39bc1d8fa@inbound.aiesec.org")</f>
        <v>p_e41e99ca707dd613a0e9ab3013af0df39bc1d8fa@inbound.aiesec.org</v>
      </c>
      <c r="F54" s="43">
        <f>IFERROR(__xludf.DUMMYFUNCTION("""COMPUTED_VALUE"""),5.343891038E9)</f>
        <v>5343891038</v>
      </c>
      <c r="G54" s="43" t="str">
        <f>IFERROR(__xludf.DUMMYFUNCTION("""COMPUTED_VALUE"""),"Turkey")</f>
        <v>Turkey</v>
      </c>
      <c r="H54" s="43" t="str">
        <f>IFERROR(__xludf.DUMMYFUNCTION("""COMPUTED_VALUE"""),"KOCAELI")</f>
        <v>KOCAELI</v>
      </c>
      <c r="I54" s="43" t="str">
        <f>IFERROR(__xludf.DUMMYFUNCTION("""COMPUTED_VALUE"""),"Tunisia")</f>
        <v>Tunisia</v>
      </c>
      <c r="J54" s="43" t="str">
        <f>IFERROR(__xludf.DUMMYFUNCTION("""COMPUTED_VALUE"""),"NABEL")</f>
        <v>NABEL</v>
      </c>
      <c r="K54" s="44" t="str">
        <f>IFERROR(__xludf.DUMMYFUNCTION("""COMPUTED_VALUE"""),"https://expa.aiesec.org/opportunities/1293374")</f>
        <v>https://expa.aiesec.org/opportunities/1293374</v>
      </c>
      <c r="L54" s="43" t="str">
        <f>IFERROR(__xludf.DUMMYFUNCTION("""COMPUTED_VALUE"""),"GTa")</f>
        <v>GTa</v>
      </c>
      <c r="M54" s="43" t="str">
        <f>IFERROR(__xludf.DUMMYFUNCTION("""COMPUTED_VALUE"""),"short")</f>
        <v>short</v>
      </c>
      <c r="N54" s="45">
        <f>IFERROR(__xludf.DUMMYFUNCTION("""COMPUTED_VALUE"""),45028.0)</f>
        <v>45028</v>
      </c>
      <c r="O54" s="45">
        <f>IFERROR(__xludf.DUMMYFUNCTION("""COMPUTED_VALUE"""),45108.0)</f>
        <v>45108</v>
      </c>
      <c r="P54" s="45">
        <f>IFERROR(__xludf.DUMMYFUNCTION("""COMPUTED_VALUE"""),45169.0)</f>
        <v>45169</v>
      </c>
      <c r="Q54" s="45">
        <f>IFERROR(__xludf.DUMMYFUNCTION("""COMPUTED_VALUE"""),45111.0)</f>
        <v>45111</v>
      </c>
      <c r="R54" s="45">
        <f>IFERROR(__xludf.DUMMYFUNCTION("""COMPUTED_VALUE"""),45172.0)</f>
        <v>45172</v>
      </c>
      <c r="S54" s="43"/>
      <c r="T54" s="43" t="str">
        <f>IFERROR(__xludf.DUMMYFUNCTION("""COMPUTED_VALUE"""),"Business Development")</f>
        <v>Business Development</v>
      </c>
      <c r="U54" s="43" t="str">
        <f>IFERROR(__xludf.DUMMYFUNCTION("""COMPUTED_VALUE"""),"Business Developer ")</f>
        <v>Business Developer </v>
      </c>
      <c r="V54" s="43" t="str">
        <f>IFERROR(__xludf.DUMMYFUNCTION("""COMPUTED_VALUE"""),"KOCAELI")</f>
        <v>KOCAELI</v>
      </c>
      <c r="W54" s="43" t="str">
        <f>IFERROR(__xludf.DUMMYFUNCTION("""COMPUTED_VALUE"""),"2019-11-27T09:46:32Z")</f>
        <v>2019-11-27T09:46:32Z</v>
      </c>
      <c r="X54" s="43"/>
      <c r="Y54" s="43"/>
      <c r="Z54" s="43"/>
    </row>
    <row r="55" hidden="1">
      <c r="A55" s="43" t="str">
        <f>IFERROR(__xludf.DUMMYFUNCTION("""COMPUTED_VALUE"""),"2150131_1290387")</f>
        <v>2150131_1290387</v>
      </c>
      <c r="B55" s="43" t="str">
        <f>IFERROR(__xludf.DUMMYFUNCTION("""COMPUTED_VALUE"""),"Hilal Erdem")</f>
        <v>Hilal Erdem</v>
      </c>
      <c r="C55" s="43" t="str">
        <f>IFERROR(__xludf.DUMMYFUNCTION("""COMPUTED_VALUE"""),"realization_broken")</f>
        <v>realization_broken</v>
      </c>
      <c r="D55" s="43" t="str">
        <f>IFERROR(__xludf.DUMMYFUNCTION("""COMPUTED_VALUE"""),"No")</f>
        <v>No</v>
      </c>
      <c r="E55" s="43" t="str">
        <f>IFERROR(__xludf.DUMMYFUNCTION("""COMPUTED_VALUE"""),"p_7cbf73e535f731f8acbdd563fcf918627e1ae338@inbound.aiesec.org")</f>
        <v>p_7cbf73e535f731f8acbdd563fcf918627e1ae338@inbound.aiesec.org</v>
      </c>
      <c r="F55" s="43">
        <f>IFERROR(__xludf.DUMMYFUNCTION("""COMPUTED_VALUE"""),5.350463449E9)</f>
        <v>5350463449</v>
      </c>
      <c r="G55" s="43" t="str">
        <f>IFERROR(__xludf.DUMMYFUNCTION("""COMPUTED_VALUE"""),"Turkey")</f>
        <v>Turkey</v>
      </c>
      <c r="H55" s="43" t="str">
        <f>IFERROR(__xludf.DUMMYFUNCTION("""COMPUTED_VALUE"""),"ANKARA")</f>
        <v>ANKARA</v>
      </c>
      <c r="I55" s="43" t="str">
        <f>IFERROR(__xludf.DUMMYFUNCTION("""COMPUTED_VALUE"""),"Egypt")</f>
        <v>Egypt</v>
      </c>
      <c r="J55" s="43" t="str">
        <f>IFERROR(__xludf.DUMMYFUNCTION("""COMPUTED_VALUE"""),"Ain Shams University")</f>
        <v>Ain Shams University</v>
      </c>
      <c r="K55" s="44" t="str">
        <f>IFERROR(__xludf.DUMMYFUNCTION("""COMPUTED_VALUE"""),"https://expa.aiesec.org/opportunities/1290387")</f>
        <v>https://expa.aiesec.org/opportunities/1290387</v>
      </c>
      <c r="L55" s="43" t="str">
        <f>IFERROR(__xludf.DUMMYFUNCTION("""COMPUTED_VALUE"""),"GTa")</f>
        <v>GTa</v>
      </c>
      <c r="M55" s="43" t="str">
        <f>IFERROR(__xludf.DUMMYFUNCTION("""COMPUTED_VALUE"""),"short")</f>
        <v>short</v>
      </c>
      <c r="N55" s="45">
        <f>IFERROR(__xludf.DUMMYFUNCTION("""COMPUTED_VALUE"""),45033.0)</f>
        <v>45033</v>
      </c>
      <c r="O55" s="45">
        <f>IFERROR(__xludf.DUMMYFUNCTION("""COMPUTED_VALUE"""),45047.0)</f>
        <v>45047</v>
      </c>
      <c r="P55" s="45">
        <f>IFERROR(__xludf.DUMMYFUNCTION("""COMPUTED_VALUE"""),45130.0)</f>
        <v>45130</v>
      </c>
      <c r="Q55" s="45"/>
      <c r="R55" s="45"/>
      <c r="S55" s="43"/>
      <c r="T55" s="43" t="str">
        <f>IFERROR(__xludf.DUMMYFUNCTION("""COMPUTED_VALUE"""),"Marketing")</f>
        <v>Marketing</v>
      </c>
      <c r="U55" s="43" t="str">
        <f>IFERROR(__xludf.DUMMYFUNCTION("""COMPUTED_VALUE"""),"Graphic Design")</f>
        <v>Graphic Design</v>
      </c>
      <c r="V55" s="43" t="str">
        <f>IFERROR(__xludf.DUMMYFUNCTION("""COMPUTED_VALUE"""),"ISTANBUL ASIA")</f>
        <v>ISTANBUL ASIA</v>
      </c>
      <c r="W55" s="43" t="str">
        <f>IFERROR(__xludf.DUMMYFUNCTION("""COMPUTED_VALUE"""),"2018-03-27T20:43:05Z")</f>
        <v>2018-03-27T20:43:05Z</v>
      </c>
      <c r="X55" s="43"/>
      <c r="Y55" s="43"/>
      <c r="Z55" s="43"/>
    </row>
    <row r="56" hidden="1">
      <c r="A56" s="43" t="str">
        <f>IFERROR(__xludf.DUMMYFUNCTION("""COMPUTED_VALUE"""),"5226051_1292284")</f>
        <v>5226051_1292284</v>
      </c>
      <c r="B56" s="43" t="str">
        <f>IFERROR(__xludf.DUMMYFUNCTION("""COMPUTED_VALUE"""),"Zeynep Timur")</f>
        <v>Zeynep Timur</v>
      </c>
      <c r="C56" s="43" t="str">
        <f>IFERROR(__xludf.DUMMYFUNCTION("""COMPUTED_VALUE"""),"completed")</f>
        <v>completed</v>
      </c>
      <c r="D56" s="43" t="str">
        <f>IFERROR(__xludf.DUMMYFUNCTION("""COMPUTED_VALUE"""),"No")</f>
        <v>No</v>
      </c>
      <c r="E56" s="43" t="str">
        <f>IFERROR(__xludf.DUMMYFUNCTION("""COMPUTED_VALUE"""),"p_0b05eb0f8a7789f65616163a1a0688d318cc827b@inbound.aiesec.org")</f>
        <v>p_0b05eb0f8a7789f65616163a1a0688d318cc827b@inbound.aiesec.org</v>
      </c>
      <c r="F56" s="43">
        <f>IFERROR(__xludf.DUMMYFUNCTION("""COMPUTED_VALUE"""),5.443806809E9)</f>
        <v>5443806809</v>
      </c>
      <c r="G56" s="43" t="str">
        <f>IFERROR(__xludf.DUMMYFUNCTION("""COMPUTED_VALUE"""),"Turkey")</f>
        <v>Turkey</v>
      </c>
      <c r="H56" s="43" t="str">
        <f>IFERROR(__xludf.DUMMYFUNCTION("""COMPUTED_VALUE"""),"ANKARA")</f>
        <v>ANKARA</v>
      </c>
      <c r="I56" s="43" t="str">
        <f>IFERROR(__xludf.DUMMYFUNCTION("""COMPUTED_VALUE"""),"Serbia")</f>
        <v>Serbia</v>
      </c>
      <c r="J56" s="43" t="str">
        <f>IFERROR(__xludf.DUMMYFUNCTION("""COMPUTED_VALUE"""),"Metropolitan")</f>
        <v>Metropolitan</v>
      </c>
      <c r="K56" s="44" t="str">
        <f>IFERROR(__xludf.DUMMYFUNCTION("""COMPUTED_VALUE"""),"https://expa.aiesec.org/opportunities/1292284")</f>
        <v>https://expa.aiesec.org/opportunities/1292284</v>
      </c>
      <c r="L56" s="43" t="str">
        <f>IFERROR(__xludf.DUMMYFUNCTION("""COMPUTED_VALUE"""),"GTa")</f>
        <v>GTa</v>
      </c>
      <c r="M56" s="43" t="str">
        <f>IFERROR(__xludf.DUMMYFUNCTION("""COMPUTED_VALUE"""),"short")</f>
        <v>short</v>
      </c>
      <c r="N56" s="45">
        <f>IFERROR(__xludf.DUMMYFUNCTION("""COMPUTED_VALUE"""),45033.0)</f>
        <v>45033</v>
      </c>
      <c r="O56" s="45">
        <f>IFERROR(__xludf.DUMMYFUNCTION("""COMPUTED_VALUE"""),45110.0)</f>
        <v>45110</v>
      </c>
      <c r="P56" s="45">
        <f>IFERROR(__xludf.DUMMYFUNCTION("""COMPUTED_VALUE"""),45166.0)</f>
        <v>45166</v>
      </c>
      <c r="Q56" s="45">
        <f>IFERROR(__xludf.DUMMYFUNCTION("""COMPUTED_VALUE"""),45110.0)</f>
        <v>45110</v>
      </c>
      <c r="R56" s="45">
        <f>IFERROR(__xludf.DUMMYFUNCTION("""COMPUTED_VALUE"""),45166.0)</f>
        <v>45166</v>
      </c>
      <c r="S56" s="43"/>
      <c r="T56" s="43" t="str">
        <f>IFERROR(__xludf.DUMMYFUNCTION("""COMPUTED_VALUE"""),"Marketing")</f>
        <v>Marketing</v>
      </c>
      <c r="U56" s="43" t="str">
        <f>IFERROR(__xludf.DUMMYFUNCTION("""COMPUTED_VALUE"""),"Graphic Designer ")</f>
        <v>Graphic Designer </v>
      </c>
      <c r="V56" s="43" t="str">
        <f>IFERROR(__xludf.DUMMYFUNCTION("""COMPUTED_VALUE"""),"ANKARA")</f>
        <v>ANKARA</v>
      </c>
      <c r="W56" s="43" t="str">
        <f>IFERROR(__xludf.DUMMYFUNCTION("""COMPUTED_VALUE"""),"2023-03-24T16:43:23Z")</f>
        <v>2023-03-24T16:43:23Z</v>
      </c>
      <c r="X56" s="43"/>
      <c r="Y56" s="43"/>
      <c r="Z56" s="43"/>
    </row>
    <row r="57" hidden="1">
      <c r="A57" s="43" t="str">
        <f>IFERROR(__xludf.DUMMYFUNCTION("""COMPUTED_VALUE"""),"5245414_1288542")</f>
        <v>5245414_1288542</v>
      </c>
      <c r="B57" s="43" t="str">
        <f>IFERROR(__xludf.DUMMYFUNCTION("""COMPUTED_VALUE"""),"Yunus Emre Kayış")</f>
        <v>Yunus Emre Kayış</v>
      </c>
      <c r="C57" s="43" t="str">
        <f>IFERROR(__xludf.DUMMYFUNCTION("""COMPUTED_VALUE"""),"completed")</f>
        <v>completed</v>
      </c>
      <c r="D57" s="43" t="str">
        <f>IFERROR(__xludf.DUMMYFUNCTION("""COMPUTED_VALUE"""),"No")</f>
        <v>No</v>
      </c>
      <c r="E57" s="43" t="str">
        <f>IFERROR(__xludf.DUMMYFUNCTION("""COMPUTED_VALUE"""),"p_1167ab0bedd6701bf55f6a2e2293f5bde49b83cf@inbound.aiesec.org")</f>
        <v>p_1167ab0bedd6701bf55f6a2e2293f5bde49b83cf@inbound.aiesec.org</v>
      </c>
      <c r="F57" s="43">
        <f>IFERROR(__xludf.DUMMYFUNCTION("""COMPUTED_VALUE"""),5.538445394E9)</f>
        <v>5538445394</v>
      </c>
      <c r="G57" s="43" t="str">
        <f>IFERROR(__xludf.DUMMYFUNCTION("""COMPUTED_VALUE"""),"Turkey")</f>
        <v>Turkey</v>
      </c>
      <c r="H57" s="43" t="str">
        <f>IFERROR(__xludf.DUMMYFUNCTION("""COMPUTED_VALUE"""),"ISTANBUL")</f>
        <v>ISTANBUL</v>
      </c>
      <c r="I57" s="43" t="str">
        <f>IFERROR(__xludf.DUMMYFUNCTION("""COMPUTED_VALUE"""),"India")</f>
        <v>India</v>
      </c>
      <c r="J57" s="43" t="str">
        <f>IFERROR(__xludf.DUMMYFUNCTION("""COMPUTED_VALUE"""),"VIT")</f>
        <v>VIT</v>
      </c>
      <c r="K57" s="44" t="str">
        <f>IFERROR(__xludf.DUMMYFUNCTION("""COMPUTED_VALUE"""),"https://expa.aiesec.org/opportunities/1288542")</f>
        <v>https://expa.aiesec.org/opportunities/1288542</v>
      </c>
      <c r="L57" s="43" t="str">
        <f>IFERROR(__xludf.DUMMYFUNCTION("""COMPUTED_VALUE"""),"GTa")</f>
        <v>GTa</v>
      </c>
      <c r="M57" s="43" t="str">
        <f>IFERROR(__xludf.DUMMYFUNCTION("""COMPUTED_VALUE"""),"short")</f>
        <v>short</v>
      </c>
      <c r="N57" s="45">
        <f>IFERROR(__xludf.DUMMYFUNCTION("""COMPUTED_VALUE"""),45036.0)</f>
        <v>45036</v>
      </c>
      <c r="O57" s="45">
        <f>IFERROR(__xludf.DUMMYFUNCTION("""COMPUTED_VALUE"""),45089.0)</f>
        <v>45089</v>
      </c>
      <c r="P57" s="45">
        <f>IFERROR(__xludf.DUMMYFUNCTION("""COMPUTED_VALUE"""),45145.0)</f>
        <v>45145</v>
      </c>
      <c r="Q57" s="45">
        <f>IFERROR(__xludf.DUMMYFUNCTION("""COMPUTED_VALUE"""),45090.0)</f>
        <v>45090</v>
      </c>
      <c r="R57" s="45">
        <f>IFERROR(__xludf.DUMMYFUNCTION("""COMPUTED_VALUE"""),45145.0)</f>
        <v>45145</v>
      </c>
      <c r="S57" s="43"/>
      <c r="T57" s="43" t="str">
        <f>IFERROR(__xludf.DUMMYFUNCTION("""COMPUTED_VALUE"""),"Information Technology")</f>
        <v>Information Technology</v>
      </c>
      <c r="U57" s="43" t="str">
        <f>IFERROR(__xludf.DUMMYFUNCTION("""COMPUTED_VALUE"""),"Research Intern | Machine Learning | In India")</f>
        <v>Research Intern | Machine Learning | In India</v>
      </c>
      <c r="V57" s="43" t="str">
        <f>IFERROR(__xludf.DUMMYFUNCTION("""COMPUTED_VALUE"""),"ISTANBUL - BEYOGLU")</f>
        <v>ISTANBUL - BEYOGLU</v>
      </c>
      <c r="W57" s="43" t="str">
        <f>IFERROR(__xludf.DUMMYFUNCTION("""COMPUTED_VALUE"""),"2023-04-19T14:27:25Z")</f>
        <v>2023-04-19T14:27:25Z</v>
      </c>
      <c r="X57" s="43"/>
      <c r="Y57" s="43"/>
      <c r="Z57" s="43"/>
    </row>
    <row r="58" hidden="1">
      <c r="A58" s="43" t="str">
        <f>IFERROR(__xludf.DUMMYFUNCTION("""COMPUTED_VALUE"""),"4397842_1289148")</f>
        <v>4397842_1289148</v>
      </c>
      <c r="B58" s="43" t="str">
        <f>IFERROR(__xludf.DUMMYFUNCTION("""COMPUTED_VALUE"""),"Mustafa Mert Koç")</f>
        <v>Mustafa Mert Koç</v>
      </c>
      <c r="C58" s="43" t="str">
        <f>IFERROR(__xludf.DUMMYFUNCTION("""COMPUTED_VALUE"""),"completed")</f>
        <v>completed</v>
      </c>
      <c r="D58" s="43" t="str">
        <f>IFERROR(__xludf.DUMMYFUNCTION("""COMPUTED_VALUE"""),"No")</f>
        <v>No</v>
      </c>
      <c r="E58" s="43" t="str">
        <f>IFERROR(__xludf.DUMMYFUNCTION("""COMPUTED_VALUE"""),"p_7a8386e3f8d317df9430dcd3689e159e6125008b@inbound.aiesec.org")</f>
        <v>p_7a8386e3f8d317df9430dcd3689e159e6125008b@inbound.aiesec.org</v>
      </c>
      <c r="F58" s="43">
        <f>IFERROR(__xludf.DUMMYFUNCTION("""COMPUTED_VALUE"""),5.366033449E9)</f>
        <v>5366033449</v>
      </c>
      <c r="G58" s="43" t="str">
        <f>IFERROR(__xludf.DUMMYFUNCTION("""COMPUTED_VALUE"""),"Turkey")</f>
        <v>Turkey</v>
      </c>
      <c r="H58" s="43" t="str">
        <f>IFERROR(__xludf.DUMMYFUNCTION("""COMPUTED_VALUE"""),"İZMİR")</f>
        <v>İZMİR</v>
      </c>
      <c r="I58" s="43" t="str">
        <f>IFERROR(__xludf.DUMMYFUNCTION("""COMPUTED_VALUE"""),"India")</f>
        <v>India</v>
      </c>
      <c r="J58" s="43" t="str">
        <f>IFERROR(__xludf.DUMMYFUNCTION("""COMPUTED_VALUE"""),"VIT")</f>
        <v>VIT</v>
      </c>
      <c r="K58" s="44" t="str">
        <f>IFERROR(__xludf.DUMMYFUNCTION("""COMPUTED_VALUE"""),"https://expa.aiesec.org/opportunities/1289148")</f>
        <v>https://expa.aiesec.org/opportunities/1289148</v>
      </c>
      <c r="L58" s="43" t="str">
        <f>IFERROR(__xludf.DUMMYFUNCTION("""COMPUTED_VALUE"""),"GTa")</f>
        <v>GTa</v>
      </c>
      <c r="M58" s="43" t="str">
        <f>IFERROR(__xludf.DUMMYFUNCTION("""COMPUTED_VALUE"""),"short")</f>
        <v>short</v>
      </c>
      <c r="N58" s="45">
        <f>IFERROR(__xludf.DUMMYFUNCTION("""COMPUTED_VALUE"""),45036.0)</f>
        <v>45036</v>
      </c>
      <c r="O58" s="45">
        <f>IFERROR(__xludf.DUMMYFUNCTION("""COMPUTED_VALUE"""),45047.0)</f>
        <v>45047</v>
      </c>
      <c r="P58" s="45">
        <f>IFERROR(__xludf.DUMMYFUNCTION("""COMPUTED_VALUE"""),45102.0)</f>
        <v>45102</v>
      </c>
      <c r="Q58" s="45">
        <f>IFERROR(__xludf.DUMMYFUNCTION("""COMPUTED_VALUE"""),45051.0)</f>
        <v>45051</v>
      </c>
      <c r="R58" s="45">
        <f>IFERROR(__xludf.DUMMYFUNCTION("""COMPUTED_VALUE"""),45106.0)</f>
        <v>45106</v>
      </c>
      <c r="S58" s="43"/>
      <c r="T58" s="43" t="str">
        <f>IFERROR(__xludf.DUMMYFUNCTION("""COMPUTED_VALUE"""),"Engineering")</f>
        <v>Engineering</v>
      </c>
      <c r="U58" s="43" t="str">
        <f>IFERROR(__xludf.DUMMYFUNCTION("""COMPUTED_VALUE"""),"Research Intern | Environment and Bioenergy | In India ")</f>
        <v>Research Intern | Environment and Bioenergy | In India </v>
      </c>
      <c r="V58" s="43" t="str">
        <f>IFERROR(__xludf.DUMMYFUNCTION("""COMPUTED_VALUE"""),"IZMIR")</f>
        <v>IZMIR</v>
      </c>
      <c r="W58" s="43" t="str">
        <f>IFERROR(__xludf.DUMMYFUNCTION("""COMPUTED_VALUE"""),"2020-10-16T11:04:05Z")</f>
        <v>2020-10-16T11:04:05Z</v>
      </c>
      <c r="X58" s="43"/>
      <c r="Y58" s="43"/>
      <c r="Z58" s="43"/>
    </row>
    <row r="59" hidden="1">
      <c r="A59" s="43" t="str">
        <f>IFERROR(__xludf.DUMMYFUNCTION("""COMPUTED_VALUE"""),"5196211_1292104")</f>
        <v>5196211_1292104</v>
      </c>
      <c r="B59" s="43" t="str">
        <f>IFERROR(__xludf.DUMMYFUNCTION("""COMPUTED_VALUE"""),"Basaran Sakar")</f>
        <v>Basaran Sakar</v>
      </c>
      <c r="C59" s="43" t="str">
        <f>IFERROR(__xludf.DUMMYFUNCTION("""COMPUTED_VALUE"""),"realized")</f>
        <v>realized</v>
      </c>
      <c r="D59" s="43" t="str">
        <f>IFERROR(__xludf.DUMMYFUNCTION("""COMPUTED_VALUE"""),"No")</f>
        <v>No</v>
      </c>
      <c r="E59" s="43" t="str">
        <f>IFERROR(__xludf.DUMMYFUNCTION("""COMPUTED_VALUE"""),"p_c8185d2544e8963f19adbec7dfec249bbce4f731@inbound.aiesec.org")</f>
        <v>p_c8185d2544e8963f19adbec7dfec249bbce4f731@inbound.aiesec.org</v>
      </c>
      <c r="F59" s="43"/>
      <c r="G59" s="43" t="str">
        <f>IFERROR(__xludf.DUMMYFUNCTION("""COMPUTED_VALUE"""),"Turkey")</f>
        <v>Turkey</v>
      </c>
      <c r="H59" s="43" t="str">
        <f>IFERROR(__xludf.DUMMYFUNCTION("""COMPUTED_VALUE"""),"ISTANBUL WEST")</f>
        <v>ISTANBUL WEST</v>
      </c>
      <c r="I59" s="43" t="str">
        <f>IFERROR(__xludf.DUMMYFUNCTION("""COMPUTED_VALUE"""),"The Netherlands")</f>
        <v>The Netherlands</v>
      </c>
      <c r="J59" s="43" t="str">
        <f>IFERROR(__xludf.DUMMYFUNCTION("""COMPUTED_VALUE"""),"GRONINGEN")</f>
        <v>GRONINGEN</v>
      </c>
      <c r="K59" s="44" t="str">
        <f>IFERROR(__xludf.DUMMYFUNCTION("""COMPUTED_VALUE"""),"https://expa.aiesec.org/opportunities/1292104")</f>
        <v>https://expa.aiesec.org/opportunities/1292104</v>
      </c>
      <c r="L59" s="43" t="str">
        <f>IFERROR(__xludf.DUMMYFUNCTION("""COMPUTED_VALUE"""),"GTa")</f>
        <v>GTa</v>
      </c>
      <c r="M59" s="43" t="str">
        <f>IFERROR(__xludf.DUMMYFUNCTION("""COMPUTED_VALUE"""),"long")</f>
        <v>long</v>
      </c>
      <c r="N59" s="45">
        <f>IFERROR(__xludf.DUMMYFUNCTION("""COMPUTED_VALUE"""),45040.0)</f>
        <v>45040</v>
      </c>
      <c r="O59" s="45">
        <f>IFERROR(__xludf.DUMMYFUNCTION("""COMPUTED_VALUE"""),45017.0)</f>
        <v>45017</v>
      </c>
      <c r="P59" s="45">
        <f>IFERROR(__xludf.DUMMYFUNCTION("""COMPUTED_VALUE"""),45383.0)</f>
        <v>45383</v>
      </c>
      <c r="Q59" s="45">
        <f>IFERROR(__xludf.DUMMYFUNCTION("""COMPUTED_VALUE"""),45145.0)</f>
        <v>45145</v>
      </c>
      <c r="R59" s="45">
        <f>IFERROR(__xludf.DUMMYFUNCTION("""COMPUTED_VALUE"""),45511.0)</f>
        <v>45511</v>
      </c>
      <c r="S59" s="43"/>
      <c r="T59" s="43" t="str">
        <f>IFERROR(__xludf.DUMMYFUNCTION("""COMPUTED_VALUE"""),"Business Development")</f>
        <v>Business Development</v>
      </c>
      <c r="U59" s="43" t="str">
        <f>IFERROR(__xludf.DUMMYFUNCTION("""COMPUTED_VALUE"""),"Business Developer ")</f>
        <v>Business Developer </v>
      </c>
      <c r="V59" s="43" t="str">
        <f>IFERROR(__xludf.DUMMYFUNCTION("""COMPUTED_VALUE"""),"-")</f>
        <v>-</v>
      </c>
      <c r="W59" s="43" t="str">
        <f>IFERROR(__xludf.DUMMYFUNCTION("""COMPUTED_VALUE"""),"2023-02-21T19:53:43Z")</f>
        <v>2023-02-21T19:53:43Z</v>
      </c>
      <c r="X59" s="43"/>
      <c r="Y59" s="43"/>
      <c r="Z59" s="43"/>
    </row>
    <row r="60" hidden="1">
      <c r="A60" s="43" t="str">
        <f>IFERROR(__xludf.DUMMYFUNCTION("""COMPUTED_VALUE"""),"4892206_1292722")</f>
        <v>4892206_1292722</v>
      </c>
      <c r="B60" s="43" t="str">
        <f>IFERROR(__xludf.DUMMYFUNCTION("""COMPUTED_VALUE"""),"Ahmed Egeh")</f>
        <v>Ahmed Egeh</v>
      </c>
      <c r="C60" s="43" t="str">
        <f>IFERROR(__xludf.DUMMYFUNCTION("""COMPUTED_VALUE"""),"approved")</f>
        <v>approved</v>
      </c>
      <c r="D60" s="43" t="str">
        <f>IFERROR(__xludf.DUMMYFUNCTION("""COMPUTED_VALUE"""),"No")</f>
        <v>No</v>
      </c>
      <c r="E60" s="43" t="str">
        <f>IFERROR(__xludf.DUMMYFUNCTION("""COMPUTED_VALUE"""),"p_44e112672202318649b2d4634a11b468624d9073@inbound.aiesec.org")</f>
        <v>p_44e112672202318649b2d4634a11b468624d9073@inbound.aiesec.org</v>
      </c>
      <c r="F60" s="43">
        <f>IFERROR(__xludf.DUMMYFUNCTION("""COMPUTED_VALUE"""),5.338223225E9)</f>
        <v>5338223225</v>
      </c>
      <c r="G60" s="43" t="str">
        <f>IFERROR(__xludf.DUMMYFUNCTION("""COMPUTED_VALUE"""),"Turkey")</f>
        <v>Turkey</v>
      </c>
      <c r="H60" s="43" t="str">
        <f>IFERROR(__xludf.DUMMYFUNCTION("""COMPUTED_VALUE"""),"EASTERN MEDITERRANEAN")</f>
        <v>EASTERN MEDITERRANEAN</v>
      </c>
      <c r="I60" s="43" t="str">
        <f>IFERROR(__xludf.DUMMYFUNCTION("""COMPUTED_VALUE"""),"Germany")</f>
        <v>Germany</v>
      </c>
      <c r="J60" s="43" t="str">
        <f>IFERROR(__xludf.DUMMYFUNCTION("""COMPUTED_VALUE"""),"FRANKFURT (MAIN)")</f>
        <v>FRANKFURT (MAIN)</v>
      </c>
      <c r="K60" s="44" t="str">
        <f>IFERROR(__xludf.DUMMYFUNCTION("""COMPUTED_VALUE"""),"https://expa.aiesec.org/opportunities/1292722")</f>
        <v>https://expa.aiesec.org/opportunities/1292722</v>
      </c>
      <c r="L60" s="43" t="str">
        <f>IFERROR(__xludf.DUMMYFUNCTION("""COMPUTED_VALUE"""),"GTa")</f>
        <v>GTa</v>
      </c>
      <c r="M60" s="43" t="str">
        <f>IFERROR(__xludf.DUMMYFUNCTION("""COMPUTED_VALUE"""),"long")</f>
        <v>long</v>
      </c>
      <c r="N60" s="45">
        <f>IFERROR(__xludf.DUMMYFUNCTION("""COMPUTED_VALUE"""),45041.0)</f>
        <v>45041</v>
      </c>
      <c r="O60" s="45">
        <f>IFERROR(__xludf.DUMMYFUNCTION("""COMPUTED_VALUE"""),45108.0)</f>
        <v>45108</v>
      </c>
      <c r="P60" s="45">
        <f>IFERROR(__xludf.DUMMYFUNCTION("""COMPUTED_VALUE"""),45473.0)</f>
        <v>45473</v>
      </c>
      <c r="Q60" s="45"/>
      <c r="R60" s="45"/>
      <c r="S60" s="43"/>
      <c r="T60" s="43" t="str">
        <f>IFERROR(__xludf.DUMMYFUNCTION("""COMPUTED_VALUE"""),"Information Technology")</f>
        <v>Information Technology</v>
      </c>
      <c r="U60" s="43" t="str">
        <f>IFERROR(__xludf.DUMMYFUNCTION("""COMPUTED_VALUE"""),"Web Development (m/f/d) - Software Engineering")</f>
        <v>Web Development (m/f/d) - Software Engineering</v>
      </c>
      <c r="V60" s="43" t="str">
        <f>IFERROR(__xludf.DUMMYFUNCTION("""COMPUTED_VALUE"""),"NORTH CYPRUS")</f>
        <v>NORTH CYPRUS</v>
      </c>
      <c r="W60" s="43" t="str">
        <f>IFERROR(__xludf.DUMMYFUNCTION("""COMPUTED_VALUE"""),"2022-01-21T13:12:56Z")</f>
        <v>2022-01-21T13:12:56Z</v>
      </c>
      <c r="X60" s="43"/>
      <c r="Y60" s="43"/>
      <c r="Z60" s="43"/>
    </row>
    <row r="61" hidden="1">
      <c r="A61" s="43" t="str">
        <f>IFERROR(__xludf.DUMMYFUNCTION("""COMPUTED_VALUE"""),"4832688_1293313")</f>
        <v>4832688_1293313</v>
      </c>
      <c r="B61" s="43" t="str">
        <f>IFERROR(__xludf.DUMMYFUNCTION("""COMPUTED_VALUE"""),"Ceyda Tuğhan")</f>
        <v>Ceyda Tuğhan</v>
      </c>
      <c r="C61" s="43" t="str">
        <f>IFERROR(__xludf.DUMMYFUNCTION("""COMPUTED_VALUE"""),"completed")</f>
        <v>completed</v>
      </c>
      <c r="D61" s="43" t="str">
        <f>IFERROR(__xludf.DUMMYFUNCTION("""COMPUTED_VALUE"""),"No")</f>
        <v>No</v>
      </c>
      <c r="E61" s="43" t="str">
        <f>IFERROR(__xludf.DUMMYFUNCTION("""COMPUTED_VALUE"""),"p_ff6b00557b588b42ad1bdb28e5fd75f21b98d681@inbound.aiesec.org")</f>
        <v>p_ff6b00557b588b42ad1bdb28e5fd75f21b98d681@inbound.aiesec.org</v>
      </c>
      <c r="F61" s="43">
        <f>IFERROR(__xludf.DUMMYFUNCTION("""COMPUTED_VALUE"""),5.393230529E9)</f>
        <v>5393230529</v>
      </c>
      <c r="G61" s="43" t="str">
        <f>IFERROR(__xludf.DUMMYFUNCTION("""COMPUTED_VALUE"""),"Turkey")</f>
        <v>Turkey</v>
      </c>
      <c r="H61" s="43" t="str">
        <f>IFERROR(__xludf.DUMMYFUNCTION("""COMPUTED_VALUE"""),"ISTANBUL ASIA")</f>
        <v>ISTANBUL ASIA</v>
      </c>
      <c r="I61" s="43" t="str">
        <f>IFERROR(__xludf.DUMMYFUNCTION("""COMPUTED_VALUE"""),"Serbia")</f>
        <v>Serbia</v>
      </c>
      <c r="J61" s="43" t="str">
        <f>IFERROR(__xludf.DUMMYFUNCTION("""COMPUTED_VALUE"""),"NOVI SAD")</f>
        <v>NOVI SAD</v>
      </c>
      <c r="K61" s="44" t="str">
        <f>IFERROR(__xludf.DUMMYFUNCTION("""COMPUTED_VALUE"""),"https://expa.aiesec.org/opportunities/1293313")</f>
        <v>https://expa.aiesec.org/opportunities/1293313</v>
      </c>
      <c r="L61" s="43" t="str">
        <f>IFERROR(__xludf.DUMMYFUNCTION("""COMPUTED_VALUE"""),"GTa")</f>
        <v>GTa</v>
      </c>
      <c r="M61" s="43" t="str">
        <f>IFERROR(__xludf.DUMMYFUNCTION("""COMPUTED_VALUE"""),"short")</f>
        <v>short</v>
      </c>
      <c r="N61" s="45">
        <f>IFERROR(__xludf.DUMMYFUNCTION("""COMPUTED_VALUE"""),45044.0)</f>
        <v>45044</v>
      </c>
      <c r="O61" s="45">
        <f>IFERROR(__xludf.DUMMYFUNCTION("""COMPUTED_VALUE"""),45130.0)</f>
        <v>45130</v>
      </c>
      <c r="P61" s="45">
        <f>IFERROR(__xludf.DUMMYFUNCTION("""COMPUTED_VALUE"""),45172.0)</f>
        <v>45172</v>
      </c>
      <c r="Q61" s="45">
        <f>IFERROR(__xludf.DUMMYFUNCTION("""COMPUTED_VALUE"""),45130.0)</f>
        <v>45130</v>
      </c>
      <c r="R61" s="45">
        <f>IFERROR(__xludf.DUMMYFUNCTION("""COMPUTED_VALUE"""),45172.0)</f>
        <v>45172</v>
      </c>
      <c r="S61" s="43"/>
      <c r="T61" s="43" t="str">
        <f>IFERROR(__xludf.DUMMYFUNCTION("""COMPUTED_VALUE"""),"Business Development")</f>
        <v>Business Development</v>
      </c>
      <c r="U61" s="43" t="str">
        <f>IFERROR(__xludf.DUMMYFUNCTION("""COMPUTED_VALUE"""),"Business Developer")</f>
        <v>Business Developer</v>
      </c>
      <c r="V61" s="43" t="str">
        <f>IFERROR(__xludf.DUMMYFUNCTION("""COMPUTED_VALUE"""),"ISTANBUL ASIA")</f>
        <v>ISTANBUL ASIA</v>
      </c>
      <c r="W61" s="43" t="str">
        <f>IFERROR(__xludf.DUMMYFUNCTION("""COMPUTED_VALUE"""),"2021-12-06T15:12:01Z")</f>
        <v>2021-12-06T15:12:01Z</v>
      </c>
      <c r="X61" s="43"/>
      <c r="Y61" s="43"/>
      <c r="Z61" s="43"/>
    </row>
    <row r="62" hidden="1">
      <c r="A62" s="43" t="str">
        <f>IFERROR(__xludf.DUMMYFUNCTION("""COMPUTED_VALUE"""),"5254245_1294241")</f>
        <v>5254245_1294241</v>
      </c>
      <c r="B62" s="43" t="str">
        <f>IFERROR(__xludf.DUMMYFUNCTION("""COMPUTED_VALUE"""),"Bahadır Furkan Atcıoğlu")</f>
        <v>Bahadır Furkan Atcıoğlu</v>
      </c>
      <c r="C62" s="43" t="str">
        <f>IFERROR(__xludf.DUMMYFUNCTION("""COMPUTED_VALUE"""),"finished")</f>
        <v>finished</v>
      </c>
      <c r="D62" s="43" t="str">
        <f>IFERROR(__xludf.DUMMYFUNCTION("""COMPUTED_VALUE"""),"No")</f>
        <v>No</v>
      </c>
      <c r="E62" s="43" t="str">
        <f>IFERROR(__xludf.DUMMYFUNCTION("""COMPUTED_VALUE"""),"p_8e52f8733d1ad13566563e69391e2ddd99273842@inbound.aiesec.org")</f>
        <v>p_8e52f8733d1ad13566563e69391e2ddd99273842@inbound.aiesec.org</v>
      </c>
      <c r="F62" s="43">
        <f>IFERROR(__xludf.DUMMYFUNCTION("""COMPUTED_VALUE"""),5.356630504E9)</f>
        <v>5356630504</v>
      </c>
      <c r="G62" s="43" t="str">
        <f>IFERROR(__xludf.DUMMYFUNCTION("""COMPUTED_VALUE"""),"Turkey")</f>
        <v>Turkey</v>
      </c>
      <c r="H62" s="43" t="str">
        <f>IFERROR(__xludf.DUMMYFUNCTION("""COMPUTED_VALUE"""),"ISTANBUL ASIA")</f>
        <v>ISTANBUL ASIA</v>
      </c>
      <c r="I62" s="43" t="str">
        <f>IFERROR(__xludf.DUMMYFUNCTION("""COMPUTED_VALUE"""),"Tunisia")</f>
        <v>Tunisia</v>
      </c>
      <c r="J62" s="43" t="str">
        <f>IFERROR(__xludf.DUMMYFUNCTION("""COMPUTED_VALUE"""),"UNIVERSITY")</f>
        <v>UNIVERSITY</v>
      </c>
      <c r="K62" s="44" t="str">
        <f>IFERROR(__xludf.DUMMYFUNCTION("""COMPUTED_VALUE"""),"https://expa.aiesec.org/opportunities/1294241")</f>
        <v>https://expa.aiesec.org/opportunities/1294241</v>
      </c>
      <c r="L62" s="43" t="str">
        <f>IFERROR(__xludf.DUMMYFUNCTION("""COMPUTED_VALUE"""),"GTa")</f>
        <v>GTa</v>
      </c>
      <c r="M62" s="43" t="str">
        <f>IFERROR(__xludf.DUMMYFUNCTION("""COMPUTED_VALUE"""),"medium")</f>
        <v>medium</v>
      </c>
      <c r="N62" s="45">
        <f>IFERROR(__xludf.DUMMYFUNCTION("""COMPUTED_VALUE"""),45048.0)</f>
        <v>45048</v>
      </c>
      <c r="O62" s="45">
        <f>IFERROR(__xludf.DUMMYFUNCTION("""COMPUTED_VALUE"""),45122.0)</f>
        <v>45122</v>
      </c>
      <c r="P62" s="45">
        <f>IFERROR(__xludf.DUMMYFUNCTION("""COMPUTED_VALUE"""),45297.0)</f>
        <v>45297</v>
      </c>
      <c r="Q62" s="45">
        <f>IFERROR(__xludf.DUMMYFUNCTION("""COMPUTED_VALUE"""),45119.0)</f>
        <v>45119</v>
      </c>
      <c r="R62" s="45">
        <f>IFERROR(__xludf.DUMMYFUNCTION("""COMPUTED_VALUE"""),45297.0)</f>
        <v>45297</v>
      </c>
      <c r="S62" s="43"/>
      <c r="T62" s="43" t="str">
        <f>IFERROR(__xludf.DUMMYFUNCTION("""COMPUTED_VALUE"""),"Other")</f>
        <v>Other</v>
      </c>
      <c r="U62" s="43" t="str">
        <f>IFERROR(__xludf.DUMMYFUNCTION("""COMPUTED_VALUE"""),"Sales intern")</f>
        <v>Sales intern</v>
      </c>
      <c r="V62" s="43" t="str">
        <f>IFERROR(__xludf.DUMMYFUNCTION("""COMPUTED_VALUE"""),"ISTANBUL ASIA")</f>
        <v>ISTANBUL ASIA</v>
      </c>
      <c r="W62" s="43" t="str">
        <f>IFERROR(__xludf.DUMMYFUNCTION("""COMPUTED_VALUE"""),"2023-05-02T12:00:07Z")</f>
        <v>2023-05-02T12:00:07Z</v>
      </c>
      <c r="X62" s="43"/>
      <c r="Y62" s="43"/>
      <c r="Z62" s="43"/>
    </row>
    <row r="63" hidden="1">
      <c r="A63" s="43" t="str">
        <f>IFERROR(__xludf.DUMMYFUNCTION("""COMPUTED_VALUE"""),"5253757_1288542")</f>
        <v>5253757_1288542</v>
      </c>
      <c r="B63" s="43" t="str">
        <f>IFERROR(__xludf.DUMMYFUNCTION("""COMPUTED_VALUE"""),"BATUHAN SAĞLAM")</f>
        <v>BATUHAN SAĞLAM</v>
      </c>
      <c r="C63" s="43" t="str">
        <f>IFERROR(__xludf.DUMMYFUNCTION("""COMPUTED_VALUE"""),"completed")</f>
        <v>completed</v>
      </c>
      <c r="D63" s="43" t="str">
        <f>IFERROR(__xludf.DUMMYFUNCTION("""COMPUTED_VALUE"""),"No")</f>
        <v>No</v>
      </c>
      <c r="E63" s="43" t="str">
        <f>IFERROR(__xludf.DUMMYFUNCTION("""COMPUTED_VALUE"""),"p_8042309b6974fc87459d67f3b06b87add11128b4@inbound.aiesec.org")</f>
        <v>p_8042309b6974fc87459d67f3b06b87add11128b4@inbound.aiesec.org</v>
      </c>
      <c r="F63" s="43"/>
      <c r="G63" s="43" t="str">
        <f>IFERROR(__xludf.DUMMYFUNCTION("""COMPUTED_VALUE"""),"Turkey")</f>
        <v>Turkey</v>
      </c>
      <c r="H63" s="43" t="str">
        <f>IFERROR(__xludf.DUMMYFUNCTION("""COMPUTED_VALUE"""),"ISTANBUL")</f>
        <v>ISTANBUL</v>
      </c>
      <c r="I63" s="43" t="str">
        <f>IFERROR(__xludf.DUMMYFUNCTION("""COMPUTED_VALUE"""),"India")</f>
        <v>India</v>
      </c>
      <c r="J63" s="43" t="str">
        <f>IFERROR(__xludf.DUMMYFUNCTION("""COMPUTED_VALUE"""),"VIT")</f>
        <v>VIT</v>
      </c>
      <c r="K63" s="44" t="str">
        <f>IFERROR(__xludf.DUMMYFUNCTION("""COMPUTED_VALUE"""),"https://expa.aiesec.org/opportunities/1288542")</f>
        <v>https://expa.aiesec.org/opportunities/1288542</v>
      </c>
      <c r="L63" s="43" t="str">
        <f>IFERROR(__xludf.DUMMYFUNCTION("""COMPUTED_VALUE"""),"GTa")</f>
        <v>GTa</v>
      </c>
      <c r="M63" s="43" t="str">
        <f>IFERROR(__xludf.DUMMYFUNCTION("""COMPUTED_VALUE"""),"short")</f>
        <v>short</v>
      </c>
      <c r="N63" s="45">
        <f>IFERROR(__xludf.DUMMYFUNCTION("""COMPUTED_VALUE"""),45053.0)</f>
        <v>45053</v>
      </c>
      <c r="O63" s="45">
        <f>IFERROR(__xludf.DUMMYFUNCTION("""COMPUTED_VALUE"""),45089.0)</f>
        <v>45089</v>
      </c>
      <c r="P63" s="45">
        <f>IFERROR(__xludf.DUMMYFUNCTION("""COMPUTED_VALUE"""),45145.0)</f>
        <v>45145</v>
      </c>
      <c r="Q63" s="45"/>
      <c r="R63" s="45">
        <f>IFERROR(__xludf.DUMMYFUNCTION("""COMPUTED_VALUE"""),45137.0)</f>
        <v>45137</v>
      </c>
      <c r="S63" s="43"/>
      <c r="T63" s="43" t="str">
        <f>IFERROR(__xludf.DUMMYFUNCTION("""COMPUTED_VALUE"""),"Information Technology")</f>
        <v>Information Technology</v>
      </c>
      <c r="U63" s="43" t="str">
        <f>IFERROR(__xludf.DUMMYFUNCTION("""COMPUTED_VALUE"""),"Research Intern | Machine Learning | In India")</f>
        <v>Research Intern | Machine Learning | In India</v>
      </c>
      <c r="V63" s="43" t="str">
        <f>IFERROR(__xludf.DUMMYFUNCTION("""COMPUTED_VALUE"""),"-")</f>
        <v>-</v>
      </c>
      <c r="W63" s="43" t="str">
        <f>IFERROR(__xludf.DUMMYFUNCTION("""COMPUTED_VALUE"""),"2023-05-01T15:20:14Z")</f>
        <v>2023-05-01T15:20:14Z</v>
      </c>
      <c r="X63" s="43"/>
      <c r="Y63" s="43"/>
      <c r="Z63" s="43"/>
    </row>
    <row r="64" hidden="1">
      <c r="A64" s="43" t="str">
        <f>IFERROR(__xludf.DUMMYFUNCTION("""COMPUTED_VALUE"""),"2315914_1293283")</f>
        <v>2315914_1293283</v>
      </c>
      <c r="B64" s="43" t="str">
        <f>IFERROR(__xludf.DUMMYFUNCTION("""COMPUTED_VALUE"""),"Abdurrahman Coban")</f>
        <v>Abdurrahman Coban</v>
      </c>
      <c r="C64" s="43" t="str">
        <f>IFERROR(__xludf.DUMMYFUNCTION("""COMPUTED_VALUE"""),"completed")</f>
        <v>completed</v>
      </c>
      <c r="D64" s="43" t="str">
        <f>IFERROR(__xludf.DUMMYFUNCTION("""COMPUTED_VALUE"""),"No")</f>
        <v>No</v>
      </c>
      <c r="E64" s="43" t="str">
        <f>IFERROR(__xludf.DUMMYFUNCTION("""COMPUTED_VALUE"""),"p_675d5337d05a743804b35eaf3e0eec0975bcf8cd@inbound.aiesec.org")</f>
        <v>p_675d5337d05a743804b35eaf3e0eec0975bcf8cd@inbound.aiesec.org</v>
      </c>
      <c r="F64" s="43">
        <f>IFERROR(__xludf.DUMMYFUNCTION("""COMPUTED_VALUE"""),5.459229222E9)</f>
        <v>5459229222</v>
      </c>
      <c r="G64" s="43" t="str">
        <f>IFERROR(__xludf.DUMMYFUNCTION("""COMPUTED_VALUE"""),"Turkey")</f>
        <v>Turkey</v>
      </c>
      <c r="H64" s="43" t="str">
        <f>IFERROR(__xludf.DUMMYFUNCTION("""COMPUTED_VALUE"""),"İZMİR")</f>
        <v>İZMİR</v>
      </c>
      <c r="I64" s="43" t="str">
        <f>IFERROR(__xludf.DUMMYFUNCTION("""COMPUTED_VALUE"""),"Portugal")</f>
        <v>Portugal</v>
      </c>
      <c r="J64" s="43" t="str">
        <f>IFERROR(__xludf.DUMMYFUNCTION("""COMPUTED_VALUE"""),"PORTO FEP")</f>
        <v>PORTO FEP</v>
      </c>
      <c r="K64" s="44" t="str">
        <f>IFERROR(__xludf.DUMMYFUNCTION("""COMPUTED_VALUE"""),"https://expa.aiesec.org/opportunities/1293283")</f>
        <v>https://expa.aiesec.org/opportunities/1293283</v>
      </c>
      <c r="L64" s="43" t="str">
        <f>IFERROR(__xludf.DUMMYFUNCTION("""COMPUTED_VALUE"""),"GTa")</f>
        <v>GTa</v>
      </c>
      <c r="M64" s="43" t="str">
        <f>IFERROR(__xludf.DUMMYFUNCTION("""COMPUTED_VALUE"""),"short")</f>
        <v>short</v>
      </c>
      <c r="N64" s="45">
        <f>IFERROR(__xludf.DUMMYFUNCTION("""COMPUTED_VALUE"""),45054.0)</f>
        <v>45054</v>
      </c>
      <c r="O64" s="45">
        <f>IFERROR(__xludf.DUMMYFUNCTION("""COMPUTED_VALUE"""),45177.0)</f>
        <v>45177</v>
      </c>
      <c r="P64" s="45">
        <f>IFERROR(__xludf.DUMMYFUNCTION("""COMPUTED_VALUE"""),45233.0)</f>
        <v>45233</v>
      </c>
      <c r="Q64" s="45">
        <f>IFERROR(__xludf.DUMMYFUNCTION("""COMPUTED_VALUE"""),45177.0)</f>
        <v>45177</v>
      </c>
      <c r="R64" s="45">
        <f>IFERROR(__xludf.DUMMYFUNCTION("""COMPUTED_VALUE"""),45233.0)</f>
        <v>45233</v>
      </c>
      <c r="S64" s="43"/>
      <c r="T64" s="43" t="str">
        <f>IFERROR(__xludf.DUMMYFUNCTION("""COMPUTED_VALUE"""),"Information Technology")</f>
        <v>Information Technology</v>
      </c>
      <c r="U64" s="43" t="str">
        <f>IFERROR(__xludf.DUMMYFUNCTION("""COMPUTED_VALUE"""),"Information Technology Trainee")</f>
        <v>Information Technology Trainee</v>
      </c>
      <c r="V64" s="43" t="str">
        <f>IFERROR(__xludf.DUMMYFUNCTION("""COMPUTED_VALUE"""),"IZMIR")</f>
        <v>IZMIR</v>
      </c>
      <c r="W64" s="43" t="str">
        <f>IFERROR(__xludf.DUMMYFUNCTION("""COMPUTED_VALUE"""),"2018-05-21T10:09:08Z")</f>
        <v>2018-05-21T10:09:08Z</v>
      </c>
      <c r="X64" s="43"/>
      <c r="Y64" s="43"/>
      <c r="Z64" s="43"/>
    </row>
    <row r="65" hidden="1">
      <c r="A65" s="43" t="str">
        <f>IFERROR(__xludf.DUMMYFUNCTION("""COMPUTED_VALUE"""),"5241232_1293315")</f>
        <v>5241232_1293315</v>
      </c>
      <c r="B65" s="43" t="str">
        <f>IFERROR(__xludf.DUMMYFUNCTION("""COMPUTED_VALUE"""),"Aleyna Hazal Üstündağ")</f>
        <v>Aleyna Hazal Üstündağ</v>
      </c>
      <c r="C65" s="43" t="str">
        <f>IFERROR(__xludf.DUMMYFUNCTION("""COMPUTED_VALUE"""),"completed")</f>
        <v>completed</v>
      </c>
      <c r="D65" s="43" t="str">
        <f>IFERROR(__xludf.DUMMYFUNCTION("""COMPUTED_VALUE"""),"No")</f>
        <v>No</v>
      </c>
      <c r="E65" s="43" t="str">
        <f>IFERROR(__xludf.DUMMYFUNCTION("""COMPUTED_VALUE"""),"p_d63ce3e8ce35ff9f0b20767c50f4a286c7438a87@inbound.aiesec.org")</f>
        <v>p_d63ce3e8ce35ff9f0b20767c50f4a286c7438a87@inbound.aiesec.org</v>
      </c>
      <c r="F65" s="43"/>
      <c r="G65" s="43" t="str">
        <f>IFERROR(__xludf.DUMMYFUNCTION("""COMPUTED_VALUE"""),"Turkey")</f>
        <v>Turkey</v>
      </c>
      <c r="H65" s="43" t="str">
        <f>IFERROR(__xludf.DUMMYFUNCTION("""COMPUTED_VALUE"""),"BURSA")</f>
        <v>BURSA</v>
      </c>
      <c r="I65" s="43" t="str">
        <f>IFERROR(__xludf.DUMMYFUNCTION("""COMPUTED_VALUE"""),"Serbia")</f>
        <v>Serbia</v>
      </c>
      <c r="J65" s="43" t="str">
        <f>IFERROR(__xludf.DUMMYFUNCTION("""COMPUTED_VALUE"""),"NOVI SAD")</f>
        <v>NOVI SAD</v>
      </c>
      <c r="K65" s="44" t="str">
        <f>IFERROR(__xludf.DUMMYFUNCTION("""COMPUTED_VALUE"""),"https://expa.aiesec.org/opportunities/1293315")</f>
        <v>https://expa.aiesec.org/opportunities/1293315</v>
      </c>
      <c r="L65" s="43" t="str">
        <f>IFERROR(__xludf.DUMMYFUNCTION("""COMPUTED_VALUE"""),"GTa")</f>
        <v>GTa</v>
      </c>
      <c r="M65" s="43" t="str">
        <f>IFERROR(__xludf.DUMMYFUNCTION("""COMPUTED_VALUE"""),"short")</f>
        <v>short</v>
      </c>
      <c r="N65" s="45">
        <f>IFERROR(__xludf.DUMMYFUNCTION("""COMPUTED_VALUE"""),45054.0)</f>
        <v>45054</v>
      </c>
      <c r="O65" s="45">
        <f>IFERROR(__xludf.DUMMYFUNCTION("""COMPUTED_VALUE"""),45130.0)</f>
        <v>45130</v>
      </c>
      <c r="P65" s="45">
        <f>IFERROR(__xludf.DUMMYFUNCTION("""COMPUTED_VALUE"""),45172.0)</f>
        <v>45172</v>
      </c>
      <c r="Q65" s="45">
        <f>IFERROR(__xludf.DUMMYFUNCTION("""COMPUTED_VALUE"""),45130.0)</f>
        <v>45130</v>
      </c>
      <c r="R65" s="45">
        <f>IFERROR(__xludf.DUMMYFUNCTION("""COMPUTED_VALUE"""),45172.0)</f>
        <v>45172</v>
      </c>
      <c r="S65" s="43"/>
      <c r="T65" s="43" t="str">
        <f>IFERROR(__xludf.DUMMYFUNCTION("""COMPUTED_VALUE"""),"Information Technology")</f>
        <v>Information Technology</v>
      </c>
      <c r="U65" s="43" t="str">
        <f>IFERROR(__xludf.DUMMYFUNCTION("""COMPUTED_VALUE"""),"Marketing and Architecture")</f>
        <v>Marketing and Architecture</v>
      </c>
      <c r="V65" s="43" t="str">
        <f>IFERROR(__xludf.DUMMYFUNCTION("""COMPUTED_VALUE"""),"-")</f>
        <v>-</v>
      </c>
      <c r="W65" s="43" t="str">
        <f>IFERROR(__xludf.DUMMYFUNCTION("""COMPUTED_VALUE"""),"2023-04-13T13:51:50Z")</f>
        <v>2023-04-13T13:51:50Z</v>
      </c>
      <c r="X65" s="43"/>
      <c r="Y65" s="43"/>
      <c r="Z65" s="43"/>
    </row>
    <row r="66" hidden="1">
      <c r="A66" s="43" t="str">
        <f>IFERROR(__xludf.DUMMYFUNCTION("""COMPUTED_VALUE"""),"5255093_1293788")</f>
        <v>5255093_1293788</v>
      </c>
      <c r="B66" s="43" t="str">
        <f>IFERROR(__xludf.DUMMYFUNCTION("""COMPUTED_VALUE"""),"merve koç")</f>
        <v>merve koç</v>
      </c>
      <c r="C66" s="43" t="str">
        <f>IFERROR(__xludf.DUMMYFUNCTION("""COMPUTED_VALUE"""),"completed")</f>
        <v>completed</v>
      </c>
      <c r="D66" s="43" t="str">
        <f>IFERROR(__xludf.DUMMYFUNCTION("""COMPUTED_VALUE"""),"No")</f>
        <v>No</v>
      </c>
      <c r="E66" s="43" t="str">
        <f>IFERROR(__xludf.DUMMYFUNCTION("""COMPUTED_VALUE"""),"p_dd36c7d11ce35c559d8725fd3fcb27251e8f0db7@inbound.aiesec.org")</f>
        <v>p_dd36c7d11ce35c559d8725fd3fcb27251e8f0db7@inbound.aiesec.org</v>
      </c>
      <c r="F66" s="43"/>
      <c r="G66" s="43" t="str">
        <f>IFERROR(__xludf.DUMMYFUNCTION("""COMPUTED_VALUE"""),"Turkey")</f>
        <v>Turkey</v>
      </c>
      <c r="H66" s="43" t="str">
        <f>IFERROR(__xludf.DUMMYFUNCTION("""COMPUTED_VALUE"""),"ISTANBUL WEST")</f>
        <v>ISTANBUL WEST</v>
      </c>
      <c r="I66" s="43" t="str">
        <f>IFERROR(__xludf.DUMMYFUNCTION("""COMPUTED_VALUE"""),"Tunisia")</f>
        <v>Tunisia</v>
      </c>
      <c r="J66" s="43" t="str">
        <f>IFERROR(__xludf.DUMMYFUNCTION("""COMPUTED_VALUE"""),"Tacapes")</f>
        <v>Tacapes</v>
      </c>
      <c r="K66" s="44" t="str">
        <f>IFERROR(__xludf.DUMMYFUNCTION("""COMPUTED_VALUE"""),"https://expa.aiesec.org/opportunities/1293788")</f>
        <v>https://expa.aiesec.org/opportunities/1293788</v>
      </c>
      <c r="L66" s="43" t="str">
        <f>IFERROR(__xludf.DUMMYFUNCTION("""COMPUTED_VALUE"""),"GTa")</f>
        <v>GTa</v>
      </c>
      <c r="M66" s="43" t="str">
        <f>IFERROR(__xludf.DUMMYFUNCTION("""COMPUTED_VALUE"""),"short")</f>
        <v>short</v>
      </c>
      <c r="N66" s="45">
        <f>IFERROR(__xludf.DUMMYFUNCTION("""COMPUTED_VALUE"""),45059.0)</f>
        <v>45059</v>
      </c>
      <c r="O66" s="45">
        <f>IFERROR(__xludf.DUMMYFUNCTION("""COMPUTED_VALUE"""),45122.0)</f>
        <v>45122</v>
      </c>
      <c r="P66" s="45">
        <f>IFERROR(__xludf.DUMMYFUNCTION("""COMPUTED_VALUE"""),45169.0)</f>
        <v>45169</v>
      </c>
      <c r="Q66" s="45">
        <f>IFERROR(__xludf.DUMMYFUNCTION("""COMPUTED_VALUE"""),45123.0)</f>
        <v>45123</v>
      </c>
      <c r="R66" s="45">
        <f>IFERROR(__xludf.DUMMYFUNCTION("""COMPUTED_VALUE"""),45171.0)</f>
        <v>45171</v>
      </c>
      <c r="S66" s="43"/>
      <c r="T66" s="43" t="str">
        <f>IFERROR(__xludf.DUMMYFUNCTION("""COMPUTED_VALUE"""),"Engineering")</f>
        <v>Engineering</v>
      </c>
      <c r="U66" s="43" t="str">
        <f>IFERROR(__xludf.DUMMYFUNCTION("""COMPUTED_VALUE"""),"Architect")</f>
        <v>Architect</v>
      </c>
      <c r="V66" s="43" t="str">
        <f>IFERROR(__xludf.DUMMYFUNCTION("""COMPUTED_VALUE"""),"ISTANBUL - BAKIRKOY")</f>
        <v>ISTANBUL - BAKIRKOY</v>
      </c>
      <c r="W66" s="43" t="str">
        <f>IFERROR(__xludf.DUMMYFUNCTION("""COMPUTED_VALUE"""),"2023-05-03T12:56:54Z")</f>
        <v>2023-05-03T12:56:54Z</v>
      </c>
      <c r="X66" s="43"/>
      <c r="Y66" s="43"/>
      <c r="Z66" s="43"/>
    </row>
    <row r="67" hidden="1">
      <c r="A67" s="43" t="str">
        <f>IFERROR(__xludf.DUMMYFUNCTION("""COMPUTED_VALUE"""),"5260477_1293679")</f>
        <v>5260477_1293679</v>
      </c>
      <c r="B67" s="43" t="str">
        <f>IFERROR(__xludf.DUMMYFUNCTION("""COMPUTED_VALUE"""),"Abdelmoumen Naji")</f>
        <v>Abdelmoumen Naji</v>
      </c>
      <c r="C67" s="43" t="str">
        <f>IFERROR(__xludf.DUMMYFUNCTION("""COMPUTED_VALUE"""),"completed")</f>
        <v>completed</v>
      </c>
      <c r="D67" s="43" t="str">
        <f>IFERROR(__xludf.DUMMYFUNCTION("""COMPUTED_VALUE"""),"No")</f>
        <v>No</v>
      </c>
      <c r="E67" s="43" t="str">
        <f>IFERROR(__xludf.DUMMYFUNCTION("""COMPUTED_VALUE"""),"p_57e1802a544a34b2762ea3fe7c436ed3870d4f6c@inbound.aiesec.org")</f>
        <v>p_57e1802a544a34b2762ea3fe7c436ed3870d4f6c@inbound.aiesec.org</v>
      </c>
      <c r="F67" s="43">
        <f>IFERROR(__xludf.DUMMYFUNCTION("""COMPUTED_VALUE"""),5.391070222E9)</f>
        <v>5391070222</v>
      </c>
      <c r="G67" s="43" t="str">
        <f>IFERROR(__xludf.DUMMYFUNCTION("""COMPUTED_VALUE"""),"Turkey")</f>
        <v>Turkey</v>
      </c>
      <c r="H67" s="43" t="str">
        <f>IFERROR(__xludf.DUMMYFUNCTION("""COMPUTED_VALUE"""),"EASTERN MEDITERRANEAN")</f>
        <v>EASTERN MEDITERRANEAN</v>
      </c>
      <c r="I67" s="43" t="str">
        <f>IFERROR(__xludf.DUMMYFUNCTION("""COMPUTED_VALUE"""),"Tunisia")</f>
        <v>Tunisia</v>
      </c>
      <c r="J67" s="43" t="str">
        <f>IFERROR(__xludf.DUMMYFUNCTION("""COMPUTED_VALUE"""),"RUSPINA")</f>
        <v>RUSPINA</v>
      </c>
      <c r="K67" s="44" t="str">
        <f>IFERROR(__xludf.DUMMYFUNCTION("""COMPUTED_VALUE"""),"https://expa.aiesec.org/opportunities/1293679")</f>
        <v>https://expa.aiesec.org/opportunities/1293679</v>
      </c>
      <c r="L67" s="43" t="str">
        <f>IFERROR(__xludf.DUMMYFUNCTION("""COMPUTED_VALUE"""),"GTa")</f>
        <v>GTa</v>
      </c>
      <c r="M67" s="43" t="str">
        <f>IFERROR(__xludf.DUMMYFUNCTION("""COMPUTED_VALUE"""),"short")</f>
        <v>short</v>
      </c>
      <c r="N67" s="45">
        <f>IFERROR(__xludf.DUMMYFUNCTION("""COMPUTED_VALUE"""),45062.0)</f>
        <v>45062</v>
      </c>
      <c r="O67" s="45">
        <f>IFERROR(__xludf.DUMMYFUNCTION("""COMPUTED_VALUE"""),45108.0)</f>
        <v>45108</v>
      </c>
      <c r="P67" s="45">
        <f>IFERROR(__xludf.DUMMYFUNCTION("""COMPUTED_VALUE"""),45191.0)</f>
        <v>45191</v>
      </c>
      <c r="Q67" s="45">
        <f>IFERROR(__xludf.DUMMYFUNCTION("""COMPUTED_VALUE"""),45110.0)</f>
        <v>45110</v>
      </c>
      <c r="R67" s="45">
        <f>IFERROR(__xludf.DUMMYFUNCTION("""COMPUTED_VALUE"""),45191.0)</f>
        <v>45191</v>
      </c>
      <c r="S67" s="43"/>
      <c r="T67" s="43" t="str">
        <f>IFERROR(__xludf.DUMMYFUNCTION("""COMPUTED_VALUE"""),"Engineering")</f>
        <v>Engineering</v>
      </c>
      <c r="U67" s="43" t="str">
        <f>IFERROR(__xludf.DUMMYFUNCTION("""COMPUTED_VALUE"""),"Engeneering")</f>
        <v>Engeneering</v>
      </c>
      <c r="V67" s="43" t="str">
        <f>IFERROR(__xludf.DUMMYFUNCTION("""COMPUTED_VALUE"""),"NORTH CYPRUS")</f>
        <v>NORTH CYPRUS</v>
      </c>
      <c r="W67" s="43" t="str">
        <f>IFERROR(__xludf.DUMMYFUNCTION("""COMPUTED_VALUE"""),"2023-05-13T12:13:14Z")</f>
        <v>2023-05-13T12:13:14Z</v>
      </c>
      <c r="X67" s="43"/>
      <c r="Y67" s="43"/>
      <c r="Z67" s="43"/>
    </row>
    <row r="68" hidden="1">
      <c r="A68" s="43" t="str">
        <f>IFERROR(__xludf.DUMMYFUNCTION("""COMPUTED_VALUE"""),"4878913_1292614")</f>
        <v>4878913_1292614</v>
      </c>
      <c r="B68" s="43" t="str">
        <f>IFERROR(__xludf.DUMMYFUNCTION("""COMPUTED_VALUE"""),"Batuhan Bozar")</f>
        <v>Batuhan Bozar</v>
      </c>
      <c r="C68" s="43" t="str">
        <f>IFERROR(__xludf.DUMMYFUNCTION("""COMPUTED_VALUE"""),"realized")</f>
        <v>realized</v>
      </c>
      <c r="D68" s="43" t="str">
        <f>IFERROR(__xludf.DUMMYFUNCTION("""COMPUTED_VALUE"""),"No")</f>
        <v>No</v>
      </c>
      <c r="E68" s="43" t="str">
        <f>IFERROR(__xludf.DUMMYFUNCTION("""COMPUTED_VALUE"""),"p_8925dc1d068bda88dcd5407869636f30a103c4ad@inbound.aiesec.org")</f>
        <v>p_8925dc1d068bda88dcd5407869636f30a103c4ad@inbound.aiesec.org</v>
      </c>
      <c r="F68" s="43"/>
      <c r="G68" s="43" t="str">
        <f>IFERROR(__xludf.DUMMYFUNCTION("""COMPUTED_VALUE"""),"Turkey")</f>
        <v>Turkey</v>
      </c>
      <c r="H68" s="43" t="str">
        <f>IFERROR(__xludf.DUMMYFUNCTION("""COMPUTED_VALUE"""),"ANKARA")</f>
        <v>ANKARA</v>
      </c>
      <c r="I68" s="43" t="str">
        <f>IFERROR(__xludf.DUMMYFUNCTION("""COMPUTED_VALUE"""),"Germany")</f>
        <v>Germany</v>
      </c>
      <c r="J68" s="43" t="str">
        <f>IFERROR(__xludf.DUMMYFUNCTION("""COMPUTED_VALUE"""),"BONN")</f>
        <v>BONN</v>
      </c>
      <c r="K68" s="44" t="str">
        <f>IFERROR(__xludf.DUMMYFUNCTION("""COMPUTED_VALUE"""),"https://expa.aiesec.org/opportunities/1292614")</f>
        <v>https://expa.aiesec.org/opportunities/1292614</v>
      </c>
      <c r="L68" s="43" t="str">
        <f>IFERROR(__xludf.DUMMYFUNCTION("""COMPUTED_VALUE"""),"GTa")</f>
        <v>GTa</v>
      </c>
      <c r="M68" s="43" t="str">
        <f>IFERROR(__xludf.DUMMYFUNCTION("""COMPUTED_VALUE"""),"long")</f>
        <v>long</v>
      </c>
      <c r="N68" s="45">
        <f>IFERROR(__xludf.DUMMYFUNCTION("""COMPUTED_VALUE"""),45063.0)</f>
        <v>45063</v>
      </c>
      <c r="O68" s="45">
        <f>IFERROR(__xludf.DUMMYFUNCTION("""COMPUTED_VALUE"""),45061.0)</f>
        <v>45061</v>
      </c>
      <c r="P68" s="45">
        <f>IFERROR(__xludf.DUMMYFUNCTION("""COMPUTED_VALUE"""),45394.0)</f>
        <v>45394</v>
      </c>
      <c r="Q68" s="45">
        <f>IFERROR(__xludf.DUMMYFUNCTION("""COMPUTED_VALUE"""),45177.0)</f>
        <v>45177</v>
      </c>
      <c r="R68" s="45">
        <f>IFERROR(__xludf.DUMMYFUNCTION("""COMPUTED_VALUE"""),45540.0)</f>
        <v>45540</v>
      </c>
      <c r="S68" s="43"/>
      <c r="T68" s="43" t="str">
        <f>IFERROR(__xludf.DUMMYFUNCTION("""COMPUTED_VALUE"""),"Other")</f>
        <v>Other</v>
      </c>
      <c r="U68" s="43" t="str">
        <f>IFERROR(__xludf.DUMMYFUNCTION("""COMPUTED_VALUE"""),"Master Data Management Analyst")</f>
        <v>Master Data Management Analyst</v>
      </c>
      <c r="V68" s="43" t="str">
        <f>IFERROR(__xludf.DUMMYFUNCTION("""COMPUTED_VALUE"""),"ANKARA")</f>
        <v>ANKARA</v>
      </c>
      <c r="W68" s="43" t="str">
        <f>IFERROR(__xludf.DUMMYFUNCTION("""COMPUTED_VALUE"""),"2022-01-12T14:49:38Z")</f>
        <v>2022-01-12T14:49:38Z</v>
      </c>
      <c r="X68" s="43"/>
      <c r="Y68" s="43"/>
      <c r="Z68" s="43"/>
    </row>
    <row r="69" hidden="1">
      <c r="A69" s="43" t="str">
        <f>IFERROR(__xludf.DUMMYFUNCTION("""COMPUTED_VALUE"""),"5262569_1294346")</f>
        <v>5262569_1294346</v>
      </c>
      <c r="B69" s="43" t="str">
        <f>IFERROR(__xludf.DUMMYFUNCTION("""COMPUTED_VALUE"""),"Ali Demir")</f>
        <v>Ali Demir</v>
      </c>
      <c r="C69" s="43" t="str">
        <f>IFERROR(__xludf.DUMMYFUNCTION("""COMPUTED_VALUE"""),"approved")</f>
        <v>approved</v>
      </c>
      <c r="D69" s="43" t="str">
        <f>IFERROR(__xludf.DUMMYFUNCTION("""COMPUTED_VALUE"""),"No")</f>
        <v>No</v>
      </c>
      <c r="E69" s="43" t="str">
        <f>IFERROR(__xludf.DUMMYFUNCTION("""COMPUTED_VALUE"""),"p_98daab0f97c93704848aeefa212a49c24233d5bb@inbound.aiesec.org")</f>
        <v>p_98daab0f97c93704848aeefa212a49c24233d5bb@inbound.aiesec.org</v>
      </c>
      <c r="F69" s="43"/>
      <c r="G69" s="43" t="str">
        <f>IFERROR(__xludf.DUMMYFUNCTION("""COMPUTED_VALUE"""),"Turkey")</f>
        <v>Turkey</v>
      </c>
      <c r="H69" s="43" t="str">
        <f>IFERROR(__xludf.DUMMYFUNCTION("""COMPUTED_VALUE"""),"İZMİR")</f>
        <v>İZMİR</v>
      </c>
      <c r="I69" s="43" t="str">
        <f>IFERROR(__xludf.DUMMYFUNCTION("""COMPUTED_VALUE"""),"Romania")</f>
        <v>Romania</v>
      </c>
      <c r="J69" s="43" t="str">
        <f>IFERROR(__xludf.DUMMYFUNCTION("""COMPUTED_VALUE"""),"University of Bucharest")</f>
        <v>University of Bucharest</v>
      </c>
      <c r="K69" s="44" t="str">
        <f>IFERROR(__xludf.DUMMYFUNCTION("""COMPUTED_VALUE"""),"https://expa.aiesec.org/opportunities/1294346")</f>
        <v>https://expa.aiesec.org/opportunities/1294346</v>
      </c>
      <c r="L69" s="43" t="str">
        <f>IFERROR(__xludf.DUMMYFUNCTION("""COMPUTED_VALUE"""),"GTa")</f>
        <v>GTa</v>
      </c>
      <c r="M69" s="43" t="str">
        <f>IFERROR(__xludf.DUMMYFUNCTION("""COMPUTED_VALUE"""),"medium")</f>
        <v>medium</v>
      </c>
      <c r="N69" s="45">
        <f>IFERROR(__xludf.DUMMYFUNCTION("""COMPUTED_VALUE"""),45064.0)</f>
        <v>45064</v>
      </c>
      <c r="O69" s="45">
        <f>IFERROR(__xludf.DUMMYFUNCTION("""COMPUTED_VALUE"""),45117.0)</f>
        <v>45117</v>
      </c>
      <c r="P69" s="45">
        <f>IFERROR(__xludf.DUMMYFUNCTION("""COMPUTED_VALUE"""),45268.0)</f>
        <v>45268</v>
      </c>
      <c r="Q69" s="45"/>
      <c r="R69" s="45"/>
      <c r="S69" s="43"/>
      <c r="T69" s="43" t="str">
        <f>IFERROR(__xludf.DUMMYFUNCTION("""COMPUTED_VALUE"""),"Engineering")</f>
        <v>Engineering</v>
      </c>
      <c r="U69" s="43" t="str">
        <f>IFERROR(__xludf.DUMMYFUNCTION("""COMPUTED_VALUE"""),"Accelerate Romania - Mechanical Engineer (Autonomous Mobile Robots)")</f>
        <v>Accelerate Romania - Mechanical Engineer (Autonomous Mobile Robots)</v>
      </c>
      <c r="V69" s="43" t="str">
        <f>IFERROR(__xludf.DUMMYFUNCTION("""COMPUTED_VALUE"""),"-")</f>
        <v>-</v>
      </c>
      <c r="W69" s="43" t="str">
        <f>IFERROR(__xludf.DUMMYFUNCTION("""COMPUTED_VALUE"""),"2023-05-17T17:58:50Z")</f>
        <v>2023-05-17T17:58:50Z</v>
      </c>
      <c r="X69" s="43"/>
      <c r="Y69" s="43"/>
      <c r="Z69" s="43"/>
    </row>
    <row r="70" hidden="1">
      <c r="A70" s="43" t="str">
        <f>IFERROR(__xludf.DUMMYFUNCTION("""COMPUTED_VALUE"""),"3314009_1294776")</f>
        <v>3314009_1294776</v>
      </c>
      <c r="B70" s="43" t="str">
        <f>IFERROR(__xludf.DUMMYFUNCTION("""COMPUTED_VALUE"""),"Rana Ataman")</f>
        <v>Rana Ataman</v>
      </c>
      <c r="C70" s="43" t="str">
        <f>IFERROR(__xludf.DUMMYFUNCTION("""COMPUTED_VALUE"""),"completed")</f>
        <v>completed</v>
      </c>
      <c r="D70" s="43" t="str">
        <f>IFERROR(__xludf.DUMMYFUNCTION("""COMPUTED_VALUE"""),"No")</f>
        <v>No</v>
      </c>
      <c r="E70" s="43" t="str">
        <f>IFERROR(__xludf.DUMMYFUNCTION("""COMPUTED_VALUE"""),"p_2ca71019e8391c2c41b4cfbb705e04dc01bb3940@inbound.aiesec.org")</f>
        <v>p_2ca71019e8391c2c41b4cfbb705e04dc01bb3940@inbound.aiesec.org</v>
      </c>
      <c r="F70" s="43"/>
      <c r="G70" s="43" t="str">
        <f>IFERROR(__xludf.DUMMYFUNCTION("""COMPUTED_VALUE"""),"Turkey")</f>
        <v>Turkey</v>
      </c>
      <c r="H70" s="43" t="str">
        <f>IFERROR(__xludf.DUMMYFUNCTION("""COMPUTED_VALUE"""),"ISTANBUL")</f>
        <v>ISTANBUL</v>
      </c>
      <c r="I70" s="43" t="str">
        <f>IFERROR(__xludf.DUMMYFUNCTION("""COMPUTED_VALUE"""),"India")</f>
        <v>India</v>
      </c>
      <c r="J70" s="43" t="str">
        <f>IFERROR(__xludf.DUMMYFUNCTION("""COMPUTED_VALUE"""),"JAIPUR ")</f>
        <v>JAIPUR </v>
      </c>
      <c r="K70" s="44" t="str">
        <f>IFERROR(__xludf.DUMMYFUNCTION("""COMPUTED_VALUE"""),"https://expa.aiesec.org/opportunities/1294776")</f>
        <v>https://expa.aiesec.org/opportunities/1294776</v>
      </c>
      <c r="L70" s="43" t="str">
        <f>IFERROR(__xludf.DUMMYFUNCTION("""COMPUTED_VALUE"""),"GTa")</f>
        <v>GTa</v>
      </c>
      <c r="M70" s="43" t="str">
        <f>IFERROR(__xludf.DUMMYFUNCTION("""COMPUTED_VALUE"""),"medium")</f>
        <v>medium</v>
      </c>
      <c r="N70" s="45">
        <f>IFERROR(__xludf.DUMMYFUNCTION("""COMPUTED_VALUE"""),45064.0)</f>
        <v>45064</v>
      </c>
      <c r="O70" s="45">
        <f>IFERROR(__xludf.DUMMYFUNCTION("""COMPUTED_VALUE"""),45146.0)</f>
        <v>45146</v>
      </c>
      <c r="P70" s="45">
        <f>IFERROR(__xludf.DUMMYFUNCTION("""COMPUTED_VALUE"""),45299.0)</f>
        <v>45299</v>
      </c>
      <c r="Q70" s="45">
        <f>IFERROR(__xludf.DUMMYFUNCTION("""COMPUTED_VALUE"""),45155.0)</f>
        <v>45155</v>
      </c>
      <c r="R70" s="45">
        <f>IFERROR(__xludf.DUMMYFUNCTION("""COMPUTED_VALUE"""),45308.0)</f>
        <v>45308</v>
      </c>
      <c r="S70" s="43"/>
      <c r="T70" s="43" t="str">
        <f>IFERROR(__xludf.DUMMYFUNCTION("""COMPUTED_VALUE"""),"Business Development")</f>
        <v>Business Development</v>
      </c>
      <c r="U70" s="43" t="str">
        <f>IFERROR(__xludf.DUMMYFUNCTION("""COMPUTED_VALUE"""),"Business development and research analyst")</f>
        <v>Business development and research analyst</v>
      </c>
      <c r="V70" s="43" t="str">
        <f>IFERROR(__xludf.DUMMYFUNCTION("""COMPUTED_VALUE"""),"ISTANBUL - BEYOGLU")</f>
        <v>ISTANBUL - BEYOGLU</v>
      </c>
      <c r="W70" s="43" t="str">
        <f>IFERROR(__xludf.DUMMYFUNCTION("""COMPUTED_VALUE"""),"2019-04-09T20:22:48Z")</f>
        <v>2019-04-09T20:22:48Z</v>
      </c>
      <c r="X70" s="43"/>
      <c r="Y70" s="43"/>
      <c r="Z70" s="43"/>
    </row>
    <row r="71" hidden="1">
      <c r="A71" s="43" t="str">
        <f>IFERROR(__xludf.DUMMYFUNCTION("""COMPUTED_VALUE"""),"5262984_1292579")</f>
        <v>5262984_1292579</v>
      </c>
      <c r="B71" s="43" t="str">
        <f>IFERROR(__xludf.DUMMYFUNCTION("""COMPUTED_VALUE"""),"Oğuzhan Arı")</f>
        <v>Oğuzhan Arı</v>
      </c>
      <c r="C71" s="43" t="str">
        <f>IFERROR(__xludf.DUMMYFUNCTION("""COMPUTED_VALUE"""),"approved")</f>
        <v>approved</v>
      </c>
      <c r="D71" s="43" t="str">
        <f>IFERROR(__xludf.DUMMYFUNCTION("""COMPUTED_VALUE"""),"No")</f>
        <v>No</v>
      </c>
      <c r="E71" s="43" t="str">
        <f>IFERROR(__xludf.DUMMYFUNCTION("""COMPUTED_VALUE"""),"p_55bb9ed0f9b12ab59814c5502d1fb0b1e97845cb@inbound.aiesec.org")</f>
        <v>p_55bb9ed0f9b12ab59814c5502d1fb0b1e97845cb@inbound.aiesec.org</v>
      </c>
      <c r="F71" s="43">
        <f>IFERROR(__xludf.DUMMYFUNCTION("""COMPUTED_VALUE"""),5.458512766E9)</f>
        <v>5458512766</v>
      </c>
      <c r="G71" s="43" t="str">
        <f>IFERROR(__xludf.DUMMYFUNCTION("""COMPUTED_VALUE"""),"Turkey")</f>
        <v>Turkey</v>
      </c>
      <c r="H71" s="43" t="str">
        <f>IFERROR(__xludf.DUMMYFUNCTION("""COMPUTED_VALUE"""),"ISTANBUL ASIA")</f>
        <v>ISTANBUL ASIA</v>
      </c>
      <c r="I71" s="43" t="str">
        <f>IFERROR(__xludf.DUMMYFUNCTION("""COMPUTED_VALUE"""),"Brazil")</f>
        <v>Brazil</v>
      </c>
      <c r="J71" s="43" t="str">
        <f>IFERROR(__xludf.DUMMYFUNCTION("""COMPUTED_VALUE"""),"ARACAJU")</f>
        <v>ARACAJU</v>
      </c>
      <c r="K71" s="44" t="str">
        <f>IFERROR(__xludf.DUMMYFUNCTION("""COMPUTED_VALUE"""),"https://expa.aiesec.org/opportunities/1292579")</f>
        <v>https://expa.aiesec.org/opportunities/1292579</v>
      </c>
      <c r="L71" s="43" t="str">
        <f>IFERROR(__xludf.DUMMYFUNCTION("""COMPUTED_VALUE"""),"GTa")</f>
        <v>GTa</v>
      </c>
      <c r="M71" s="43" t="str">
        <f>IFERROR(__xludf.DUMMYFUNCTION("""COMPUTED_VALUE"""),"short")</f>
        <v>short</v>
      </c>
      <c r="N71" s="45">
        <f>IFERROR(__xludf.DUMMYFUNCTION("""COMPUTED_VALUE"""),45069.0)</f>
        <v>45069</v>
      </c>
      <c r="O71" s="45">
        <f>IFERROR(__xludf.DUMMYFUNCTION("""COMPUTED_VALUE"""),45110.0)</f>
        <v>45110</v>
      </c>
      <c r="P71" s="45">
        <f>IFERROR(__xludf.DUMMYFUNCTION("""COMPUTED_VALUE"""),45166.0)</f>
        <v>45166</v>
      </c>
      <c r="Q71" s="45"/>
      <c r="R71" s="45"/>
      <c r="S71" s="43"/>
      <c r="T71" s="43" t="str">
        <f>IFERROR(__xludf.DUMMYFUNCTION("""COMPUTED_VALUE"""),"Marketing")</f>
        <v>Marketing</v>
      </c>
      <c r="U71" s="43" t="str">
        <f>IFERROR(__xludf.DUMMYFUNCTION("""COMPUTED_VALUE"""),"[Hashtag] Social Media")</f>
        <v>[Hashtag] Social Media</v>
      </c>
      <c r="V71" s="43" t="str">
        <f>IFERROR(__xludf.DUMMYFUNCTION("""COMPUTED_VALUE"""),"ISTANBUL ASIA")</f>
        <v>ISTANBUL ASIA</v>
      </c>
      <c r="W71" s="43" t="str">
        <f>IFERROR(__xludf.DUMMYFUNCTION("""COMPUTED_VALUE"""),"2023-05-18T14:23:50Z")</f>
        <v>2023-05-18T14:23:50Z</v>
      </c>
      <c r="X71" s="43"/>
      <c r="Y71" s="43"/>
      <c r="Z71" s="43"/>
    </row>
    <row r="72" hidden="1">
      <c r="A72" s="43" t="str">
        <f>IFERROR(__xludf.DUMMYFUNCTION("""COMPUTED_VALUE"""),"4224262_1295040")</f>
        <v>4224262_1295040</v>
      </c>
      <c r="B72" s="43" t="str">
        <f>IFERROR(__xludf.DUMMYFUNCTION("""COMPUTED_VALUE"""),"Ali Ozan Kama")</f>
        <v>Ali Ozan Kama</v>
      </c>
      <c r="C72" s="43" t="str">
        <f>IFERROR(__xludf.DUMMYFUNCTION("""COMPUTED_VALUE"""),"completed")</f>
        <v>completed</v>
      </c>
      <c r="D72" s="43" t="str">
        <f>IFERROR(__xludf.DUMMYFUNCTION("""COMPUTED_VALUE"""),"No")</f>
        <v>No</v>
      </c>
      <c r="E72" s="43" t="str">
        <f>IFERROR(__xludf.DUMMYFUNCTION("""COMPUTED_VALUE"""),"p_2393641ceb32481e2457b434a4f3de4dfa54825f@inbound.aiesec.org")</f>
        <v>p_2393641ceb32481e2457b434a4f3de4dfa54825f@inbound.aiesec.org</v>
      </c>
      <c r="F72" s="43">
        <f>IFERROR(__xludf.DUMMYFUNCTION("""COMPUTED_VALUE"""),5.419730209E9)</f>
        <v>5419730209</v>
      </c>
      <c r="G72" s="43" t="str">
        <f>IFERROR(__xludf.DUMMYFUNCTION("""COMPUTED_VALUE"""),"Turkey")</f>
        <v>Turkey</v>
      </c>
      <c r="H72" s="43" t="str">
        <f>IFERROR(__xludf.DUMMYFUNCTION("""COMPUTED_VALUE"""),"ANTALYA")</f>
        <v>ANTALYA</v>
      </c>
      <c r="I72" s="43" t="str">
        <f>IFERROR(__xludf.DUMMYFUNCTION("""COMPUTED_VALUE"""),"Romania")</f>
        <v>Romania</v>
      </c>
      <c r="J72" s="43" t="str">
        <f>IFERROR(__xludf.DUMMYFUNCTION("""COMPUTED_VALUE"""),"TIMISOARA")</f>
        <v>TIMISOARA</v>
      </c>
      <c r="K72" s="44" t="str">
        <f>IFERROR(__xludf.DUMMYFUNCTION("""COMPUTED_VALUE"""),"https://expa.aiesec.org/opportunities/1295040")</f>
        <v>https://expa.aiesec.org/opportunities/1295040</v>
      </c>
      <c r="L72" s="43" t="str">
        <f>IFERROR(__xludf.DUMMYFUNCTION("""COMPUTED_VALUE"""),"GTa")</f>
        <v>GTa</v>
      </c>
      <c r="M72" s="43" t="str">
        <f>IFERROR(__xludf.DUMMYFUNCTION("""COMPUTED_VALUE"""),"short")</f>
        <v>short</v>
      </c>
      <c r="N72" s="45">
        <f>IFERROR(__xludf.DUMMYFUNCTION("""COMPUTED_VALUE"""),45069.0)</f>
        <v>45069</v>
      </c>
      <c r="O72" s="45">
        <f>IFERROR(__xludf.DUMMYFUNCTION("""COMPUTED_VALUE"""),45110.0)</f>
        <v>45110</v>
      </c>
      <c r="P72" s="45">
        <f>IFERROR(__xludf.DUMMYFUNCTION("""COMPUTED_VALUE"""),45166.0)</f>
        <v>45166</v>
      </c>
      <c r="Q72" s="45">
        <f>IFERROR(__xludf.DUMMYFUNCTION("""COMPUTED_VALUE"""),45110.0)</f>
        <v>45110</v>
      </c>
      <c r="R72" s="45">
        <f>IFERROR(__xludf.DUMMYFUNCTION("""COMPUTED_VALUE"""),45166.0)</f>
        <v>45166</v>
      </c>
      <c r="S72" s="43"/>
      <c r="T72" s="43" t="str">
        <f>IFERROR(__xludf.DUMMYFUNCTION("""COMPUTED_VALUE"""),"Marketing")</f>
        <v>Marketing</v>
      </c>
      <c r="U72" s="43" t="str">
        <f>IFERROR(__xludf.DUMMYFUNCTION("""COMPUTED_VALUE"""),"Accelerate Romania-Marketing Internship")</f>
        <v>Accelerate Romania-Marketing Internship</v>
      </c>
      <c r="V72" s="43" t="str">
        <f>IFERROR(__xludf.DUMMYFUNCTION("""COMPUTED_VALUE"""),"ANTALYA")</f>
        <v>ANTALYA</v>
      </c>
      <c r="W72" s="43" t="str">
        <f>IFERROR(__xludf.DUMMYFUNCTION("""COMPUTED_VALUE"""),"2020-02-29T12:50:03Z")</f>
        <v>2020-02-29T12:50:03Z</v>
      </c>
      <c r="X72" s="43"/>
      <c r="Y72" s="43"/>
      <c r="Z72" s="43"/>
    </row>
    <row r="73" hidden="1">
      <c r="A73" s="43" t="str">
        <f>IFERROR(__xludf.DUMMYFUNCTION("""COMPUTED_VALUE"""),"4134974_1292273")</f>
        <v>4134974_1292273</v>
      </c>
      <c r="B73" s="43" t="str">
        <f>IFERROR(__xludf.DUMMYFUNCTION("""COMPUTED_VALUE"""),"Abdusamad Shurow")</f>
        <v>Abdusamad Shurow</v>
      </c>
      <c r="C73" s="43" t="str">
        <f>IFERROR(__xludf.DUMMYFUNCTION("""COMPUTED_VALUE"""),"realization_broken")</f>
        <v>realization_broken</v>
      </c>
      <c r="D73" s="43" t="str">
        <f>IFERROR(__xludf.DUMMYFUNCTION("""COMPUTED_VALUE"""),"No")</f>
        <v>No</v>
      </c>
      <c r="E73" s="43" t="str">
        <f>IFERROR(__xludf.DUMMYFUNCTION("""COMPUTED_VALUE"""),"p_2b9348cbd9875d45f55f4ff62e1f0308a6224b8b@inbound.aiesec.org")</f>
        <v>p_2b9348cbd9875d45f55f4ff62e1f0308a6224b8b@inbound.aiesec.org</v>
      </c>
      <c r="F73" s="43">
        <f>IFERROR(__xludf.DUMMYFUNCTION("""COMPUTED_VALUE"""),5.526543606E9)</f>
        <v>5526543606</v>
      </c>
      <c r="G73" s="43" t="str">
        <f>IFERROR(__xludf.DUMMYFUNCTION("""COMPUTED_VALUE"""),"Turkey")</f>
        <v>Turkey</v>
      </c>
      <c r="H73" s="43" t="str">
        <f>IFERROR(__xludf.DUMMYFUNCTION("""COMPUTED_VALUE"""),"ANKARA")</f>
        <v>ANKARA</v>
      </c>
      <c r="I73" s="43" t="str">
        <f>IFERROR(__xludf.DUMMYFUNCTION("""COMPUTED_VALUE"""),"Serbia")</f>
        <v>Serbia</v>
      </c>
      <c r="J73" s="43" t="str">
        <f>IFERROR(__xludf.DUMMYFUNCTION("""COMPUTED_VALUE"""),"NOVI SAD")</f>
        <v>NOVI SAD</v>
      </c>
      <c r="K73" s="44" t="str">
        <f>IFERROR(__xludf.DUMMYFUNCTION("""COMPUTED_VALUE"""),"https://expa.aiesec.org/opportunities/1292273")</f>
        <v>https://expa.aiesec.org/opportunities/1292273</v>
      </c>
      <c r="L73" s="43" t="str">
        <f>IFERROR(__xludf.DUMMYFUNCTION("""COMPUTED_VALUE"""),"GTa")</f>
        <v>GTa</v>
      </c>
      <c r="M73" s="43" t="str">
        <f>IFERROR(__xludf.DUMMYFUNCTION("""COMPUTED_VALUE"""),"short")</f>
        <v>short</v>
      </c>
      <c r="N73" s="45">
        <f>IFERROR(__xludf.DUMMYFUNCTION("""COMPUTED_VALUE"""),45071.0)</f>
        <v>45071</v>
      </c>
      <c r="O73" s="45">
        <f>IFERROR(__xludf.DUMMYFUNCTION("""COMPUTED_VALUE"""),45131.0)</f>
        <v>45131</v>
      </c>
      <c r="P73" s="45">
        <f>IFERROR(__xludf.DUMMYFUNCTION("""COMPUTED_VALUE"""),45173.0)</f>
        <v>45173</v>
      </c>
      <c r="Q73" s="45"/>
      <c r="R73" s="45"/>
      <c r="S73" s="43"/>
      <c r="T73" s="43" t="str">
        <f>IFERROR(__xludf.DUMMYFUNCTION("""COMPUTED_VALUE"""),"Marketing")</f>
        <v>Marketing</v>
      </c>
      <c r="U73" s="43" t="str">
        <f>IFERROR(__xludf.DUMMYFUNCTION("""COMPUTED_VALUE"""),"Marketing")</f>
        <v>Marketing</v>
      </c>
      <c r="V73" s="43" t="str">
        <f>IFERROR(__xludf.DUMMYFUNCTION("""COMPUTED_VALUE"""),"ANKARA")</f>
        <v>ANKARA</v>
      </c>
      <c r="W73" s="43" t="str">
        <f>IFERROR(__xludf.DUMMYFUNCTION("""COMPUTED_VALUE"""),"2020-01-12T09:15:27Z")</f>
        <v>2020-01-12T09:15:27Z</v>
      </c>
      <c r="X73" s="43"/>
      <c r="Y73" s="43"/>
      <c r="Z73" s="43"/>
    </row>
    <row r="74" hidden="1">
      <c r="A74" s="43" t="str">
        <f>IFERROR(__xludf.DUMMYFUNCTION("""COMPUTED_VALUE"""),"5270718_1295811")</f>
        <v>5270718_1295811</v>
      </c>
      <c r="B74" s="43" t="str">
        <f>IFERROR(__xludf.DUMMYFUNCTION("""COMPUTED_VALUE"""),"Edanur Gökten")</f>
        <v>Edanur Gökten</v>
      </c>
      <c r="C74" s="43" t="str">
        <f>IFERROR(__xludf.DUMMYFUNCTION("""COMPUTED_VALUE"""),"completed")</f>
        <v>completed</v>
      </c>
      <c r="D74" s="43" t="str">
        <f>IFERROR(__xludf.DUMMYFUNCTION("""COMPUTED_VALUE"""),"No")</f>
        <v>No</v>
      </c>
      <c r="E74" s="43" t="str">
        <f>IFERROR(__xludf.DUMMYFUNCTION("""COMPUTED_VALUE"""),"p_b0377a33ae48604203d6ac57467fcb679f6e8537@inbound.aiesec.org")</f>
        <v>p_b0377a33ae48604203d6ac57467fcb679f6e8537@inbound.aiesec.org</v>
      </c>
      <c r="F74" s="43">
        <f>IFERROR(__xludf.DUMMYFUNCTION("""COMPUTED_VALUE"""),5.51106876E9)</f>
        <v>5511068760</v>
      </c>
      <c r="G74" s="43" t="str">
        <f>IFERROR(__xludf.DUMMYFUNCTION("""COMPUTED_VALUE"""),"Turkey")</f>
        <v>Turkey</v>
      </c>
      <c r="H74" s="43" t="str">
        <f>IFERROR(__xludf.DUMMYFUNCTION("""COMPUTED_VALUE"""),"ISTANBUL")</f>
        <v>ISTANBUL</v>
      </c>
      <c r="I74" s="43" t="str">
        <f>IFERROR(__xludf.DUMMYFUNCTION("""COMPUTED_VALUE"""),"Egypt")</f>
        <v>Egypt</v>
      </c>
      <c r="J74" s="43" t="str">
        <f>IFERROR(__xludf.DUMMYFUNCTION("""COMPUTED_VALUE"""),"Menofia")</f>
        <v>Menofia</v>
      </c>
      <c r="K74" s="44" t="str">
        <f>IFERROR(__xludf.DUMMYFUNCTION("""COMPUTED_VALUE"""),"https://expa.aiesec.org/opportunities/1295811")</f>
        <v>https://expa.aiesec.org/opportunities/1295811</v>
      </c>
      <c r="L74" s="43" t="str">
        <f>IFERROR(__xludf.DUMMYFUNCTION("""COMPUTED_VALUE"""),"GTa")</f>
        <v>GTa</v>
      </c>
      <c r="M74" s="43" t="str">
        <f>IFERROR(__xludf.DUMMYFUNCTION("""COMPUTED_VALUE"""),"short")</f>
        <v>short</v>
      </c>
      <c r="N74" s="45">
        <f>IFERROR(__xludf.DUMMYFUNCTION("""COMPUTED_VALUE"""),45082.0)</f>
        <v>45082</v>
      </c>
      <c r="O74" s="45">
        <f>IFERROR(__xludf.DUMMYFUNCTION("""COMPUTED_VALUE"""),45093.0)</f>
        <v>45093</v>
      </c>
      <c r="P74" s="45">
        <f>IFERROR(__xludf.DUMMYFUNCTION("""COMPUTED_VALUE"""),45169.0)</f>
        <v>45169</v>
      </c>
      <c r="Q74" s="45">
        <f>IFERROR(__xludf.DUMMYFUNCTION("""COMPUTED_VALUE"""),45093.0)</f>
        <v>45093</v>
      </c>
      <c r="R74" s="45">
        <f>IFERROR(__xludf.DUMMYFUNCTION("""COMPUTED_VALUE"""),45169.0)</f>
        <v>45169</v>
      </c>
      <c r="S74" s="43"/>
      <c r="T74" s="43" t="str">
        <f>IFERROR(__xludf.DUMMYFUNCTION("""COMPUTED_VALUE"""),"Marketing")</f>
        <v>Marketing</v>
      </c>
      <c r="U74" s="43" t="str">
        <f>IFERROR(__xludf.DUMMYFUNCTION("""COMPUTED_VALUE"""),"Digital Markting Internship")</f>
        <v>Digital Markting Internship</v>
      </c>
      <c r="V74" s="43" t="str">
        <f>IFERROR(__xludf.DUMMYFUNCTION("""COMPUTED_VALUE"""),"ISTANBUL - BEYOGLU")</f>
        <v>ISTANBUL - BEYOGLU</v>
      </c>
      <c r="W74" s="43" t="str">
        <f>IFERROR(__xludf.DUMMYFUNCTION("""COMPUTED_VALUE"""),"2023-06-02T16:18:02Z")</f>
        <v>2023-06-02T16:18:02Z</v>
      </c>
      <c r="X74" s="43"/>
      <c r="Y74" s="43"/>
      <c r="Z74" s="43"/>
    </row>
    <row r="75" hidden="1">
      <c r="A75" s="43" t="str">
        <f>IFERROR(__xludf.DUMMYFUNCTION("""COMPUTED_VALUE"""),"5067630_1295793")</f>
        <v>5067630_1295793</v>
      </c>
      <c r="B75" s="43" t="str">
        <f>IFERROR(__xludf.DUMMYFUNCTION("""COMPUTED_VALUE"""),"melih solmaz")</f>
        <v>melih solmaz</v>
      </c>
      <c r="C75" s="43" t="str">
        <f>IFERROR(__xludf.DUMMYFUNCTION("""COMPUTED_VALUE"""),"completed")</f>
        <v>completed</v>
      </c>
      <c r="D75" s="43" t="str">
        <f>IFERROR(__xludf.DUMMYFUNCTION("""COMPUTED_VALUE"""),"No")</f>
        <v>No</v>
      </c>
      <c r="E75" s="43" t="str">
        <f>IFERROR(__xludf.DUMMYFUNCTION("""COMPUTED_VALUE"""),"p_c0cb24326e958d18be21e688d7aaa09269b1c4ce@inbound.aiesec.org")</f>
        <v>p_c0cb24326e958d18be21e688d7aaa09269b1c4ce@inbound.aiesec.org</v>
      </c>
      <c r="F75" s="43"/>
      <c r="G75" s="43" t="str">
        <f>IFERROR(__xludf.DUMMYFUNCTION("""COMPUTED_VALUE"""),"Turkey")</f>
        <v>Turkey</v>
      </c>
      <c r="H75" s="43" t="str">
        <f>IFERROR(__xludf.DUMMYFUNCTION("""COMPUTED_VALUE"""),"ISTANBUL ASIA")</f>
        <v>ISTANBUL ASIA</v>
      </c>
      <c r="I75" s="43" t="str">
        <f>IFERROR(__xludf.DUMMYFUNCTION("""COMPUTED_VALUE"""),"India")</f>
        <v>India</v>
      </c>
      <c r="J75" s="43" t="str">
        <f>IFERROR(__xludf.DUMMYFUNCTION("""COMPUTED_VALUE"""),"Jalandhar")</f>
        <v>Jalandhar</v>
      </c>
      <c r="K75" s="44" t="str">
        <f>IFERROR(__xludf.DUMMYFUNCTION("""COMPUTED_VALUE"""),"https://expa.aiesec.org/opportunities/1295793")</f>
        <v>https://expa.aiesec.org/opportunities/1295793</v>
      </c>
      <c r="L75" s="43" t="str">
        <f>IFERROR(__xludf.DUMMYFUNCTION("""COMPUTED_VALUE"""),"GTa")</f>
        <v>GTa</v>
      </c>
      <c r="M75" s="43" t="str">
        <f>IFERROR(__xludf.DUMMYFUNCTION("""COMPUTED_VALUE"""),"short")</f>
        <v>short</v>
      </c>
      <c r="N75" s="45">
        <f>IFERROR(__xludf.DUMMYFUNCTION("""COMPUTED_VALUE"""),45083.0)</f>
        <v>45083</v>
      </c>
      <c r="O75" s="45">
        <f>IFERROR(__xludf.DUMMYFUNCTION("""COMPUTED_VALUE"""),45116.0)</f>
        <v>45116</v>
      </c>
      <c r="P75" s="45">
        <f>IFERROR(__xludf.DUMMYFUNCTION("""COMPUTED_VALUE"""),45171.0)</f>
        <v>45171</v>
      </c>
      <c r="Q75" s="45"/>
      <c r="R75" s="45">
        <f>IFERROR(__xludf.DUMMYFUNCTION("""COMPUTED_VALUE"""),45171.0)</f>
        <v>45171</v>
      </c>
      <c r="S75" s="43"/>
      <c r="T75" s="43" t="str">
        <f>IFERROR(__xludf.DUMMYFUNCTION("""COMPUTED_VALUE"""),"Engineering")</f>
        <v>Engineering</v>
      </c>
      <c r="U75" s="43" t="str">
        <f>IFERROR(__xludf.DUMMYFUNCTION("""COMPUTED_VALUE"""),"Mechanical Engineering Intern")</f>
        <v>Mechanical Engineering Intern</v>
      </c>
      <c r="V75" s="43" t="str">
        <f>IFERROR(__xludf.DUMMYFUNCTION("""COMPUTED_VALUE"""),"ISTANBUL ASIA")</f>
        <v>ISTANBUL ASIA</v>
      </c>
      <c r="W75" s="43" t="str">
        <f>IFERROR(__xludf.DUMMYFUNCTION("""COMPUTED_VALUE"""),"2022-06-02T14:13:44Z")</f>
        <v>2022-06-02T14:13:44Z</v>
      </c>
      <c r="X75" s="43"/>
      <c r="Y75" s="43"/>
      <c r="Z75" s="43"/>
    </row>
    <row r="76" hidden="1">
      <c r="A76" s="43" t="str">
        <f>IFERROR(__xludf.DUMMYFUNCTION("""COMPUTED_VALUE"""),"5273114_1296108")</f>
        <v>5273114_1296108</v>
      </c>
      <c r="B76" s="43" t="str">
        <f>IFERROR(__xludf.DUMMYFUNCTION("""COMPUTED_VALUE"""),"furkan mutlu")</f>
        <v>furkan mutlu</v>
      </c>
      <c r="C76" s="43" t="str">
        <f>IFERROR(__xludf.DUMMYFUNCTION("""COMPUTED_VALUE"""),"approved")</f>
        <v>approved</v>
      </c>
      <c r="D76" s="43" t="str">
        <f>IFERROR(__xludf.DUMMYFUNCTION("""COMPUTED_VALUE"""),"No")</f>
        <v>No</v>
      </c>
      <c r="E76" s="43" t="str">
        <f>IFERROR(__xludf.DUMMYFUNCTION("""COMPUTED_VALUE"""),"p_045d1ee2ff886974e70cbd919e02633bc4bf3a5f@inbound.aiesec.org")</f>
        <v>p_045d1ee2ff886974e70cbd919e02633bc4bf3a5f@inbound.aiesec.org</v>
      </c>
      <c r="F76" s="43">
        <f>IFERROR(__xludf.DUMMYFUNCTION("""COMPUTED_VALUE"""),1.7615082928E10)</f>
        <v>17615082928</v>
      </c>
      <c r="G76" s="43" t="str">
        <f>IFERROR(__xludf.DUMMYFUNCTION("""COMPUTED_VALUE"""),"Turkey")</f>
        <v>Turkey</v>
      </c>
      <c r="H76" s="43" t="str">
        <f>IFERROR(__xludf.DUMMYFUNCTION("""COMPUTED_VALUE"""),"ISTANBUL")</f>
        <v>ISTANBUL</v>
      </c>
      <c r="I76" s="43" t="str">
        <f>IFERROR(__xludf.DUMMYFUNCTION("""COMPUTED_VALUE"""),"Germany")</f>
        <v>Germany</v>
      </c>
      <c r="J76" s="43" t="str">
        <f>IFERROR(__xludf.DUMMYFUNCTION("""COMPUTED_VALUE"""),"KOELN")</f>
        <v>KOELN</v>
      </c>
      <c r="K76" s="44" t="str">
        <f>IFERROR(__xludf.DUMMYFUNCTION("""COMPUTED_VALUE"""),"https://expa.aiesec.org/opportunities/1296108")</f>
        <v>https://expa.aiesec.org/opportunities/1296108</v>
      </c>
      <c r="L76" s="43" t="str">
        <f>IFERROR(__xludf.DUMMYFUNCTION("""COMPUTED_VALUE"""),"GTa")</f>
        <v>GTa</v>
      </c>
      <c r="M76" s="43" t="str">
        <f>IFERROR(__xludf.DUMMYFUNCTION("""COMPUTED_VALUE"""),"long")</f>
        <v>long</v>
      </c>
      <c r="N76" s="45">
        <f>IFERROR(__xludf.DUMMYFUNCTION("""COMPUTED_VALUE"""),45085.0)</f>
        <v>45085</v>
      </c>
      <c r="O76" s="45">
        <f>IFERROR(__xludf.DUMMYFUNCTION("""COMPUTED_VALUE"""),45170.0)</f>
        <v>45170</v>
      </c>
      <c r="P76" s="45">
        <f>IFERROR(__xludf.DUMMYFUNCTION("""COMPUTED_VALUE"""),45535.0)</f>
        <v>45535</v>
      </c>
      <c r="Q76" s="45"/>
      <c r="R76" s="45"/>
      <c r="S76" s="43"/>
      <c r="T76" s="43" t="str">
        <f>IFERROR(__xludf.DUMMYFUNCTION("""COMPUTED_VALUE"""),"Information Technology")</f>
        <v>Information Technology</v>
      </c>
      <c r="U76" s="43" t="str">
        <f>IFERROR(__xludf.DUMMYFUNCTION("""COMPUTED_VALUE"""),"Industrial Engineering")</f>
        <v>Industrial Engineering</v>
      </c>
      <c r="V76" s="43" t="str">
        <f>IFERROR(__xludf.DUMMYFUNCTION("""COMPUTED_VALUE"""),"ISTANBUL - BEYOGLU")</f>
        <v>ISTANBUL - BEYOGLU</v>
      </c>
      <c r="W76" s="43" t="str">
        <f>IFERROR(__xludf.DUMMYFUNCTION("""COMPUTED_VALUE"""),"2023-06-08T20:54:38Z")</f>
        <v>2023-06-08T20:54:38Z</v>
      </c>
      <c r="X76" s="43"/>
      <c r="Y76" s="43"/>
      <c r="Z76" s="43"/>
    </row>
    <row r="77" hidden="1">
      <c r="A77" s="43" t="str">
        <f>IFERROR(__xludf.DUMMYFUNCTION("""COMPUTED_VALUE"""),"5239087_1292688")</f>
        <v>5239087_1292688</v>
      </c>
      <c r="B77" s="43" t="str">
        <f>IFERROR(__xludf.DUMMYFUNCTION("""COMPUTED_VALUE"""),"Efidar Keskinbıçak")</f>
        <v>Efidar Keskinbıçak</v>
      </c>
      <c r="C77" s="43" t="str">
        <f>IFERROR(__xludf.DUMMYFUNCTION("""COMPUTED_VALUE"""),"completed")</f>
        <v>completed</v>
      </c>
      <c r="D77" s="43" t="str">
        <f>IFERROR(__xludf.DUMMYFUNCTION("""COMPUTED_VALUE"""),"No")</f>
        <v>No</v>
      </c>
      <c r="E77" s="43" t="str">
        <f>IFERROR(__xludf.DUMMYFUNCTION("""COMPUTED_VALUE"""),"p_b854dbfca7d12ef9a30de66df4b8b5bfc9164f73@inbound.aiesec.org")</f>
        <v>p_b854dbfca7d12ef9a30de66df4b8b5bfc9164f73@inbound.aiesec.org</v>
      </c>
      <c r="F77" s="43"/>
      <c r="G77" s="43" t="str">
        <f>IFERROR(__xludf.DUMMYFUNCTION("""COMPUTED_VALUE"""),"Turkey")</f>
        <v>Turkey</v>
      </c>
      <c r="H77" s="43" t="str">
        <f>IFERROR(__xludf.DUMMYFUNCTION("""COMPUTED_VALUE"""),"TRABZON")</f>
        <v>TRABZON</v>
      </c>
      <c r="I77" s="43" t="str">
        <f>IFERROR(__xludf.DUMMYFUNCTION("""COMPUTED_VALUE"""),"Serbia")</f>
        <v>Serbia</v>
      </c>
      <c r="J77" s="43" t="str">
        <f>IFERROR(__xludf.DUMMYFUNCTION("""COMPUTED_VALUE"""),"NIS")</f>
        <v>NIS</v>
      </c>
      <c r="K77" s="44" t="str">
        <f>IFERROR(__xludf.DUMMYFUNCTION("""COMPUTED_VALUE"""),"https://expa.aiesec.org/opportunities/1292688")</f>
        <v>https://expa.aiesec.org/opportunities/1292688</v>
      </c>
      <c r="L77" s="43" t="str">
        <f>IFERROR(__xludf.DUMMYFUNCTION("""COMPUTED_VALUE"""),"GTa")</f>
        <v>GTa</v>
      </c>
      <c r="M77" s="43" t="str">
        <f>IFERROR(__xludf.DUMMYFUNCTION("""COMPUTED_VALUE"""),"short")</f>
        <v>short</v>
      </c>
      <c r="N77" s="45">
        <f>IFERROR(__xludf.DUMMYFUNCTION("""COMPUTED_VALUE"""),45087.0)</f>
        <v>45087</v>
      </c>
      <c r="O77" s="45">
        <f>IFERROR(__xludf.DUMMYFUNCTION("""COMPUTED_VALUE"""),45131.0)</f>
        <v>45131</v>
      </c>
      <c r="P77" s="45">
        <f>IFERROR(__xludf.DUMMYFUNCTION("""COMPUTED_VALUE"""),45180.0)</f>
        <v>45180</v>
      </c>
      <c r="Q77" s="45">
        <f>IFERROR(__xludf.DUMMYFUNCTION("""COMPUTED_VALUE"""),45131.0)</f>
        <v>45131</v>
      </c>
      <c r="R77" s="45">
        <f>IFERROR(__xludf.DUMMYFUNCTION("""COMPUTED_VALUE"""),45187.0)</f>
        <v>45187</v>
      </c>
      <c r="S77" s="43"/>
      <c r="T77" s="43" t="str">
        <f>IFERROR(__xludf.DUMMYFUNCTION("""COMPUTED_VALUE"""),"Information Technology")</f>
        <v>Information Technology</v>
      </c>
      <c r="U77" s="43" t="str">
        <f>IFERROR(__xludf.DUMMYFUNCTION("""COMPUTED_VALUE"""),"Backend Developer")</f>
        <v>Backend Developer</v>
      </c>
      <c r="V77" s="43" t="str">
        <f>IFERROR(__xludf.DUMMYFUNCTION("""COMPUTED_VALUE"""),"-")</f>
        <v>-</v>
      </c>
      <c r="W77" s="43" t="str">
        <f>IFERROR(__xludf.DUMMYFUNCTION("""COMPUTED_VALUE"""),"2023-04-10T19:34:06Z")</f>
        <v>2023-04-10T19:34:06Z</v>
      </c>
      <c r="X77" s="43"/>
      <c r="Y77" s="43"/>
      <c r="Z77" s="43"/>
    </row>
    <row r="78" hidden="1">
      <c r="A78" s="43" t="str">
        <f>IFERROR(__xludf.DUMMYFUNCTION("""COMPUTED_VALUE"""),"5236963_1295811")</f>
        <v>5236963_1295811</v>
      </c>
      <c r="B78" s="43" t="str">
        <f>IFERROR(__xludf.DUMMYFUNCTION("""COMPUTED_VALUE"""),"Naile Çetiner")</f>
        <v>Naile Çetiner</v>
      </c>
      <c r="C78" s="43" t="str">
        <f>IFERROR(__xludf.DUMMYFUNCTION("""COMPUTED_VALUE"""),"completed")</f>
        <v>completed</v>
      </c>
      <c r="D78" s="43" t="str">
        <f>IFERROR(__xludf.DUMMYFUNCTION("""COMPUTED_VALUE"""),"No")</f>
        <v>No</v>
      </c>
      <c r="E78" s="43" t="str">
        <f>IFERROR(__xludf.DUMMYFUNCTION("""COMPUTED_VALUE"""),"p_a426861ee19dbef28965dfbef44b37174d0d75f6@inbound.aiesec.org")</f>
        <v>p_a426861ee19dbef28965dfbef44b37174d0d75f6@inbound.aiesec.org</v>
      </c>
      <c r="F78" s="43">
        <f>IFERROR(__xludf.DUMMYFUNCTION("""COMPUTED_VALUE"""),5.522580907E9)</f>
        <v>5522580907</v>
      </c>
      <c r="G78" s="43" t="str">
        <f>IFERROR(__xludf.DUMMYFUNCTION("""COMPUTED_VALUE"""),"Turkey")</f>
        <v>Turkey</v>
      </c>
      <c r="H78" s="43" t="str">
        <f>IFERROR(__xludf.DUMMYFUNCTION("""COMPUTED_VALUE"""),"ISTANBUL")</f>
        <v>ISTANBUL</v>
      </c>
      <c r="I78" s="43" t="str">
        <f>IFERROR(__xludf.DUMMYFUNCTION("""COMPUTED_VALUE"""),"Egypt")</f>
        <v>Egypt</v>
      </c>
      <c r="J78" s="43" t="str">
        <f>IFERROR(__xludf.DUMMYFUNCTION("""COMPUTED_VALUE"""),"Menofia")</f>
        <v>Menofia</v>
      </c>
      <c r="K78" s="44" t="str">
        <f>IFERROR(__xludf.DUMMYFUNCTION("""COMPUTED_VALUE"""),"https://expa.aiesec.org/opportunities/1295811")</f>
        <v>https://expa.aiesec.org/opportunities/1295811</v>
      </c>
      <c r="L78" s="43" t="str">
        <f>IFERROR(__xludf.DUMMYFUNCTION("""COMPUTED_VALUE"""),"GTa")</f>
        <v>GTa</v>
      </c>
      <c r="M78" s="43" t="str">
        <f>IFERROR(__xludf.DUMMYFUNCTION("""COMPUTED_VALUE"""),"short")</f>
        <v>short</v>
      </c>
      <c r="N78" s="45">
        <f>IFERROR(__xludf.DUMMYFUNCTION("""COMPUTED_VALUE"""),45089.0)</f>
        <v>45089</v>
      </c>
      <c r="O78" s="45">
        <f>IFERROR(__xludf.DUMMYFUNCTION("""COMPUTED_VALUE"""),45129.0)</f>
        <v>45129</v>
      </c>
      <c r="P78" s="45">
        <f>IFERROR(__xludf.DUMMYFUNCTION("""COMPUTED_VALUE"""),45174.0)</f>
        <v>45174</v>
      </c>
      <c r="Q78" s="45">
        <f>IFERROR(__xludf.DUMMYFUNCTION("""COMPUTED_VALUE"""),45129.0)</f>
        <v>45129</v>
      </c>
      <c r="R78" s="45">
        <f>IFERROR(__xludf.DUMMYFUNCTION("""COMPUTED_VALUE"""),45174.0)</f>
        <v>45174</v>
      </c>
      <c r="S78" s="43"/>
      <c r="T78" s="43" t="str">
        <f>IFERROR(__xludf.DUMMYFUNCTION("""COMPUTED_VALUE"""),"Marketing")</f>
        <v>Marketing</v>
      </c>
      <c r="U78" s="43" t="str">
        <f>IFERROR(__xludf.DUMMYFUNCTION("""COMPUTED_VALUE"""),"Digital Markting Internship")</f>
        <v>Digital Markting Internship</v>
      </c>
      <c r="V78" s="43" t="str">
        <f>IFERROR(__xludf.DUMMYFUNCTION("""COMPUTED_VALUE"""),"ISTANBUL - BEYOGLU")</f>
        <v>ISTANBUL - BEYOGLU</v>
      </c>
      <c r="W78" s="43" t="str">
        <f>IFERROR(__xludf.DUMMYFUNCTION("""COMPUTED_VALUE"""),"2023-04-07T09:40:19Z")</f>
        <v>2023-04-07T09:40:19Z</v>
      </c>
      <c r="X78" s="43"/>
      <c r="Y78" s="43"/>
      <c r="Z78" s="43"/>
    </row>
    <row r="79" hidden="1">
      <c r="A79" s="43" t="str">
        <f>IFERROR(__xludf.DUMMYFUNCTION("""COMPUTED_VALUE"""),"5264197_1295811")</f>
        <v>5264197_1295811</v>
      </c>
      <c r="B79" s="43" t="str">
        <f>IFERROR(__xludf.DUMMYFUNCTION("""COMPUTED_VALUE"""),"Asım Dağ")</f>
        <v>Asım Dağ</v>
      </c>
      <c r="C79" s="43" t="str">
        <f>IFERROR(__xludf.DUMMYFUNCTION("""COMPUTED_VALUE"""),"completed")</f>
        <v>completed</v>
      </c>
      <c r="D79" s="43" t="str">
        <f>IFERROR(__xludf.DUMMYFUNCTION("""COMPUTED_VALUE"""),"No")</f>
        <v>No</v>
      </c>
      <c r="E79" s="43" t="str">
        <f>IFERROR(__xludf.DUMMYFUNCTION("""COMPUTED_VALUE"""),"p_2c88abad9fb0f04c0eaba59d27c001119acaf691@inbound.aiesec.org")</f>
        <v>p_2c88abad9fb0f04c0eaba59d27c001119acaf691@inbound.aiesec.org</v>
      </c>
      <c r="F79" s="43">
        <f>IFERROR(__xludf.DUMMYFUNCTION("""COMPUTED_VALUE"""),5.059722819E9)</f>
        <v>5059722819</v>
      </c>
      <c r="G79" s="43" t="str">
        <f>IFERROR(__xludf.DUMMYFUNCTION("""COMPUTED_VALUE"""),"Turkey")</f>
        <v>Turkey</v>
      </c>
      <c r="H79" s="43" t="str">
        <f>IFERROR(__xludf.DUMMYFUNCTION("""COMPUTED_VALUE"""),"KOCAELI")</f>
        <v>KOCAELI</v>
      </c>
      <c r="I79" s="43" t="str">
        <f>IFERROR(__xludf.DUMMYFUNCTION("""COMPUTED_VALUE"""),"Egypt")</f>
        <v>Egypt</v>
      </c>
      <c r="J79" s="43" t="str">
        <f>IFERROR(__xludf.DUMMYFUNCTION("""COMPUTED_VALUE"""),"Menofia")</f>
        <v>Menofia</v>
      </c>
      <c r="K79" s="44" t="str">
        <f>IFERROR(__xludf.DUMMYFUNCTION("""COMPUTED_VALUE"""),"https://expa.aiesec.org/opportunities/1295811")</f>
        <v>https://expa.aiesec.org/opportunities/1295811</v>
      </c>
      <c r="L79" s="43" t="str">
        <f>IFERROR(__xludf.DUMMYFUNCTION("""COMPUTED_VALUE"""),"GTa")</f>
        <v>GTa</v>
      </c>
      <c r="M79" s="43" t="str">
        <f>IFERROR(__xludf.DUMMYFUNCTION("""COMPUTED_VALUE"""),"short")</f>
        <v>short</v>
      </c>
      <c r="N79" s="45">
        <f>IFERROR(__xludf.DUMMYFUNCTION("""COMPUTED_VALUE"""),45090.0)</f>
        <v>45090</v>
      </c>
      <c r="O79" s="45">
        <f>IFERROR(__xludf.DUMMYFUNCTION("""COMPUTED_VALUE"""),45139.0)</f>
        <v>45139</v>
      </c>
      <c r="P79" s="45">
        <f>IFERROR(__xludf.DUMMYFUNCTION("""COMPUTED_VALUE"""),45199.0)</f>
        <v>45199</v>
      </c>
      <c r="Q79" s="45">
        <f>IFERROR(__xludf.DUMMYFUNCTION("""COMPUTED_VALUE"""),45138.0)</f>
        <v>45138</v>
      </c>
      <c r="R79" s="45">
        <f>IFERROR(__xludf.DUMMYFUNCTION("""COMPUTED_VALUE"""),45199.0)</f>
        <v>45199</v>
      </c>
      <c r="S79" s="43"/>
      <c r="T79" s="43" t="str">
        <f>IFERROR(__xludf.DUMMYFUNCTION("""COMPUTED_VALUE"""),"Marketing")</f>
        <v>Marketing</v>
      </c>
      <c r="U79" s="43" t="str">
        <f>IFERROR(__xludf.DUMMYFUNCTION("""COMPUTED_VALUE"""),"Digital Markting Internship")</f>
        <v>Digital Markting Internship</v>
      </c>
      <c r="V79" s="43" t="str">
        <f>IFERROR(__xludf.DUMMYFUNCTION("""COMPUTED_VALUE"""),"KOCAELI")</f>
        <v>KOCAELI</v>
      </c>
      <c r="W79" s="43" t="str">
        <f>IFERROR(__xludf.DUMMYFUNCTION("""COMPUTED_VALUE"""),"2023-05-20T17:21:11Z")</f>
        <v>2023-05-20T17:21:11Z</v>
      </c>
      <c r="X79" s="43"/>
      <c r="Y79" s="43"/>
      <c r="Z79" s="43"/>
    </row>
    <row r="80" hidden="1">
      <c r="A80" s="43" t="str">
        <f>IFERROR(__xludf.DUMMYFUNCTION("""COMPUTED_VALUE"""),"5272466_1294355")</f>
        <v>5272466_1294355</v>
      </c>
      <c r="B80" s="43" t="str">
        <f>IFERROR(__xludf.DUMMYFUNCTION("""COMPUTED_VALUE"""),"Celine Dilara Ozdemir")</f>
        <v>Celine Dilara Ozdemir</v>
      </c>
      <c r="C80" s="43" t="str">
        <f>IFERROR(__xludf.DUMMYFUNCTION("""COMPUTED_VALUE"""),"completed")</f>
        <v>completed</v>
      </c>
      <c r="D80" s="43" t="str">
        <f>IFERROR(__xludf.DUMMYFUNCTION("""COMPUTED_VALUE"""),"No")</f>
        <v>No</v>
      </c>
      <c r="E80" s="43" t="str">
        <f>IFERROR(__xludf.DUMMYFUNCTION("""COMPUTED_VALUE"""),"p_b53587ee790e2cce103f27cf21da7bdb24dd5272@inbound.aiesec.org")</f>
        <v>p_b53587ee790e2cce103f27cf21da7bdb24dd5272@inbound.aiesec.org</v>
      </c>
      <c r="F80" s="43">
        <f>IFERROR(__xludf.DUMMYFUNCTION("""COMPUTED_VALUE"""),5.511646428E9)</f>
        <v>5511646428</v>
      </c>
      <c r="G80" s="43" t="str">
        <f>IFERROR(__xludf.DUMMYFUNCTION("""COMPUTED_VALUE"""),"Turkey")</f>
        <v>Turkey</v>
      </c>
      <c r="H80" s="43" t="str">
        <f>IFERROR(__xludf.DUMMYFUNCTION("""COMPUTED_VALUE"""),"ISTANBUL ASIA")</f>
        <v>ISTANBUL ASIA</v>
      </c>
      <c r="I80" s="43" t="str">
        <f>IFERROR(__xludf.DUMMYFUNCTION("""COMPUTED_VALUE"""),"Romania")</f>
        <v>Romania</v>
      </c>
      <c r="J80" s="43" t="str">
        <f>IFERROR(__xludf.DUMMYFUNCTION("""COMPUTED_VALUE"""),"Cluj-Napoca")</f>
        <v>Cluj-Napoca</v>
      </c>
      <c r="K80" s="44" t="str">
        <f>IFERROR(__xludf.DUMMYFUNCTION("""COMPUTED_VALUE"""),"https://expa.aiesec.org/opportunities/1294355")</f>
        <v>https://expa.aiesec.org/opportunities/1294355</v>
      </c>
      <c r="L80" s="43" t="str">
        <f>IFERROR(__xludf.DUMMYFUNCTION("""COMPUTED_VALUE"""),"GTa")</f>
        <v>GTa</v>
      </c>
      <c r="M80" s="43" t="str">
        <f>IFERROR(__xludf.DUMMYFUNCTION("""COMPUTED_VALUE"""),"short")</f>
        <v>short</v>
      </c>
      <c r="N80" s="45">
        <f>IFERROR(__xludf.DUMMYFUNCTION("""COMPUTED_VALUE"""),45095.0)</f>
        <v>45095</v>
      </c>
      <c r="O80" s="45">
        <f>IFERROR(__xludf.DUMMYFUNCTION("""COMPUTED_VALUE"""),45117.0)</f>
        <v>45117</v>
      </c>
      <c r="P80" s="45">
        <f>IFERROR(__xludf.DUMMYFUNCTION("""COMPUTED_VALUE"""),45170.0)</f>
        <v>45170</v>
      </c>
      <c r="Q80" s="45">
        <f>IFERROR(__xludf.DUMMYFUNCTION("""COMPUTED_VALUE"""),45117.0)</f>
        <v>45117</v>
      </c>
      <c r="R80" s="45">
        <f>IFERROR(__xludf.DUMMYFUNCTION("""COMPUTED_VALUE"""),45170.0)</f>
        <v>45170</v>
      </c>
      <c r="S80" s="43"/>
      <c r="T80" s="43" t="str">
        <f>IFERROR(__xludf.DUMMYFUNCTION("""COMPUTED_VALUE"""),"Information Technology")</f>
        <v>Information Technology</v>
      </c>
      <c r="U80" s="43" t="str">
        <f>IFERROR(__xludf.DUMMYFUNCTION("""COMPUTED_VALUE""")," Accelerate Romania - Front-end Developer ")</f>
        <v> Accelerate Romania - Front-end Developer </v>
      </c>
      <c r="V80" s="43" t="str">
        <f>IFERROR(__xludf.DUMMYFUNCTION("""COMPUTED_VALUE"""),"ISTANBUL ASIA")</f>
        <v>ISTANBUL ASIA</v>
      </c>
      <c r="W80" s="43" t="str">
        <f>IFERROR(__xludf.DUMMYFUNCTION("""COMPUTED_VALUE"""),"2023-06-07T13:46:09Z")</f>
        <v>2023-06-07T13:46:09Z</v>
      </c>
      <c r="X80" s="43"/>
      <c r="Y80" s="43"/>
      <c r="Z80" s="43"/>
    </row>
    <row r="81" hidden="1">
      <c r="A81" s="43" t="str">
        <f>IFERROR(__xludf.DUMMYFUNCTION("""COMPUTED_VALUE"""),"5268852_1294287")</f>
        <v>5268852_1294287</v>
      </c>
      <c r="B81" s="43" t="str">
        <f>IFERROR(__xludf.DUMMYFUNCTION("""COMPUTED_VALUE"""),"Deniz Bıçak")</f>
        <v>Deniz Bıçak</v>
      </c>
      <c r="C81" s="43" t="str">
        <f>IFERROR(__xludf.DUMMYFUNCTION("""COMPUTED_VALUE"""),"completed")</f>
        <v>completed</v>
      </c>
      <c r="D81" s="43" t="str">
        <f>IFERROR(__xludf.DUMMYFUNCTION("""COMPUTED_VALUE"""),"No")</f>
        <v>No</v>
      </c>
      <c r="E81" s="43" t="str">
        <f>IFERROR(__xludf.DUMMYFUNCTION("""COMPUTED_VALUE"""),"p_249679d1eb192d39084eeeee4810668dafdb0e07@inbound.aiesec.org")</f>
        <v>p_249679d1eb192d39084eeeee4810668dafdb0e07@inbound.aiesec.org</v>
      </c>
      <c r="F81" s="43"/>
      <c r="G81" s="43" t="str">
        <f>IFERROR(__xludf.DUMMYFUNCTION("""COMPUTED_VALUE"""),"Turkey")</f>
        <v>Turkey</v>
      </c>
      <c r="H81" s="43" t="str">
        <f>IFERROR(__xludf.DUMMYFUNCTION("""COMPUTED_VALUE"""),"ANKARA")</f>
        <v>ANKARA</v>
      </c>
      <c r="I81" s="43" t="str">
        <f>IFERROR(__xludf.DUMMYFUNCTION("""COMPUTED_VALUE"""),"Egypt")</f>
        <v>Egypt</v>
      </c>
      <c r="J81" s="43" t="str">
        <f>IFERROR(__xludf.DUMMYFUNCTION("""COMPUTED_VALUE"""),"GUC")</f>
        <v>GUC</v>
      </c>
      <c r="K81" s="44" t="str">
        <f>IFERROR(__xludf.DUMMYFUNCTION("""COMPUTED_VALUE"""),"https://expa.aiesec.org/opportunities/1294287")</f>
        <v>https://expa.aiesec.org/opportunities/1294287</v>
      </c>
      <c r="L81" s="43" t="str">
        <f>IFERROR(__xludf.DUMMYFUNCTION("""COMPUTED_VALUE"""),"GTa")</f>
        <v>GTa</v>
      </c>
      <c r="M81" s="43" t="str">
        <f>IFERROR(__xludf.DUMMYFUNCTION("""COMPUTED_VALUE"""),"short")</f>
        <v>short</v>
      </c>
      <c r="N81" s="45">
        <f>IFERROR(__xludf.DUMMYFUNCTION("""COMPUTED_VALUE"""),45104.0)</f>
        <v>45104</v>
      </c>
      <c r="O81" s="45">
        <f>IFERROR(__xludf.DUMMYFUNCTION("""COMPUTED_VALUE"""),45127.0)</f>
        <v>45127</v>
      </c>
      <c r="P81" s="45">
        <f>IFERROR(__xludf.DUMMYFUNCTION("""COMPUTED_VALUE"""),45210.0)</f>
        <v>45210</v>
      </c>
      <c r="Q81" s="45">
        <f>IFERROR(__xludf.DUMMYFUNCTION("""COMPUTED_VALUE"""),45127.0)</f>
        <v>45127</v>
      </c>
      <c r="R81" s="45">
        <f>IFERROR(__xludf.DUMMYFUNCTION("""COMPUTED_VALUE"""),45218.0)</f>
        <v>45218</v>
      </c>
      <c r="S81" s="43"/>
      <c r="T81" s="43" t="str">
        <f>IFERROR(__xludf.DUMMYFUNCTION("""COMPUTED_VALUE"""),"Business Development")</f>
        <v>Business Development</v>
      </c>
      <c r="U81" s="43" t="str">
        <f>IFERROR(__xludf.DUMMYFUNCTION("""COMPUTED_VALUE"""),"Digital Marketing")</f>
        <v>Digital Marketing</v>
      </c>
      <c r="V81" s="43" t="str">
        <f>IFERROR(__xludf.DUMMYFUNCTION("""COMPUTED_VALUE"""),"-")</f>
        <v>-</v>
      </c>
      <c r="W81" s="43" t="str">
        <f>IFERROR(__xludf.DUMMYFUNCTION("""COMPUTED_VALUE"""),"2023-05-30T15:00:04Z")</f>
        <v>2023-05-30T15:00:04Z</v>
      </c>
      <c r="X81" s="43"/>
      <c r="Y81" s="43"/>
      <c r="Z81" s="43"/>
    </row>
    <row r="82" hidden="1">
      <c r="A82" s="43" t="str">
        <f>IFERROR(__xludf.DUMMYFUNCTION("""COMPUTED_VALUE"""),"4138575_1295311")</f>
        <v>4138575_1295311</v>
      </c>
      <c r="B82" s="43" t="str">
        <f>IFERROR(__xludf.DUMMYFUNCTION("""COMPUTED_VALUE"""),"ezgi atay")</f>
        <v>ezgi atay</v>
      </c>
      <c r="C82" s="43" t="str">
        <f>IFERROR(__xludf.DUMMYFUNCTION("""COMPUTED_VALUE"""),"completed")</f>
        <v>completed</v>
      </c>
      <c r="D82" s="43" t="str">
        <f>IFERROR(__xludf.DUMMYFUNCTION("""COMPUTED_VALUE"""),"No")</f>
        <v>No</v>
      </c>
      <c r="E82" s="43" t="str">
        <f>IFERROR(__xludf.DUMMYFUNCTION("""COMPUTED_VALUE"""),"p_a1a3b20e48c1c4acfcaae81b58909dc61910c290@inbound.aiesec.org")</f>
        <v>p_a1a3b20e48c1c4acfcaae81b58909dc61910c290@inbound.aiesec.org</v>
      </c>
      <c r="F82" s="43">
        <f>IFERROR(__xludf.DUMMYFUNCTION("""COMPUTED_VALUE"""),5.378716626E9)</f>
        <v>5378716626</v>
      </c>
      <c r="G82" s="43" t="str">
        <f>IFERROR(__xludf.DUMMYFUNCTION("""COMPUTED_VALUE"""),"Turkey")</f>
        <v>Turkey</v>
      </c>
      <c r="H82" s="43" t="str">
        <f>IFERROR(__xludf.DUMMYFUNCTION("""COMPUTED_VALUE"""),"ISTANBUL")</f>
        <v>ISTANBUL</v>
      </c>
      <c r="I82" s="43" t="str">
        <f>IFERROR(__xludf.DUMMYFUNCTION("""COMPUTED_VALUE"""),"Sri Lanka")</f>
        <v>Sri Lanka</v>
      </c>
      <c r="J82" s="43" t="str">
        <f>IFERROR(__xludf.DUMMYFUNCTION("""COMPUTED_VALUE"""),"RUHUNA")</f>
        <v>RUHUNA</v>
      </c>
      <c r="K82" s="44" t="str">
        <f>IFERROR(__xludf.DUMMYFUNCTION("""COMPUTED_VALUE"""),"https://expa.aiesec.org/opportunities/1295311")</f>
        <v>https://expa.aiesec.org/opportunities/1295311</v>
      </c>
      <c r="L82" s="43" t="str">
        <f>IFERROR(__xludf.DUMMYFUNCTION("""COMPUTED_VALUE"""),"GTa")</f>
        <v>GTa</v>
      </c>
      <c r="M82" s="43" t="str">
        <f>IFERROR(__xludf.DUMMYFUNCTION("""COMPUTED_VALUE"""),"short")</f>
        <v>short</v>
      </c>
      <c r="N82" s="45">
        <f>IFERROR(__xludf.DUMMYFUNCTION("""COMPUTED_VALUE"""),45121.0)</f>
        <v>45121</v>
      </c>
      <c r="O82" s="45">
        <f>IFERROR(__xludf.DUMMYFUNCTION("""COMPUTED_VALUE"""),45135.0)</f>
        <v>45135</v>
      </c>
      <c r="P82" s="45">
        <f>IFERROR(__xludf.DUMMYFUNCTION("""COMPUTED_VALUE"""),45218.0)</f>
        <v>45218</v>
      </c>
      <c r="Q82" s="45">
        <f>IFERROR(__xludf.DUMMYFUNCTION("""COMPUTED_VALUE"""),45136.0)</f>
        <v>45136</v>
      </c>
      <c r="R82" s="45">
        <f>IFERROR(__xludf.DUMMYFUNCTION("""COMPUTED_VALUE"""),45218.0)</f>
        <v>45218</v>
      </c>
      <c r="S82" s="43"/>
      <c r="T82" s="43" t="str">
        <f>IFERROR(__xludf.DUMMYFUNCTION("""COMPUTED_VALUE"""),"Marketing")</f>
        <v>Marketing</v>
      </c>
      <c r="U82" s="43" t="str">
        <f>IFERROR(__xludf.DUMMYFUNCTION("""COMPUTED_VALUE"""),"Digital Marketing &amp; Content Creator")</f>
        <v>Digital Marketing &amp; Content Creator</v>
      </c>
      <c r="V82" s="43" t="str">
        <f>IFERROR(__xludf.DUMMYFUNCTION("""COMPUTED_VALUE"""),"ISTANBUL - BEYOGLU")</f>
        <v>ISTANBUL - BEYOGLU</v>
      </c>
      <c r="W82" s="43" t="str">
        <f>IFERROR(__xludf.DUMMYFUNCTION("""COMPUTED_VALUE"""),"2020-01-14T22:15:46Z")</f>
        <v>2020-01-14T22:15:46Z</v>
      </c>
      <c r="X82" s="43"/>
      <c r="Y82" s="43"/>
      <c r="Z82" s="43"/>
    </row>
    <row r="83" hidden="1">
      <c r="A83" s="43" t="str">
        <f>IFERROR(__xludf.DUMMYFUNCTION("""COMPUTED_VALUE"""),"5279782_1293790")</f>
        <v>5279782_1293790</v>
      </c>
      <c r="B83" s="43" t="str">
        <f>IFERROR(__xludf.DUMMYFUNCTION("""COMPUTED_VALUE"""),"Sude Kiymik")</f>
        <v>Sude Kiymik</v>
      </c>
      <c r="C83" s="43" t="str">
        <f>IFERROR(__xludf.DUMMYFUNCTION("""COMPUTED_VALUE"""),"completed")</f>
        <v>completed</v>
      </c>
      <c r="D83" s="43" t="str">
        <f>IFERROR(__xludf.DUMMYFUNCTION("""COMPUTED_VALUE"""),"No")</f>
        <v>No</v>
      </c>
      <c r="E83" s="43" t="str">
        <f>IFERROR(__xludf.DUMMYFUNCTION("""COMPUTED_VALUE"""),"p_a6efeaedb82a6162ecb778764d3708821e99d59a@inbound.aiesec.org")</f>
        <v>p_a6efeaedb82a6162ecb778764d3708821e99d59a@inbound.aiesec.org</v>
      </c>
      <c r="F83" s="43"/>
      <c r="G83" s="43" t="str">
        <f>IFERROR(__xludf.DUMMYFUNCTION("""COMPUTED_VALUE"""),"Turkey")</f>
        <v>Turkey</v>
      </c>
      <c r="H83" s="43" t="str">
        <f>IFERROR(__xludf.DUMMYFUNCTION("""COMPUTED_VALUE"""),"İZMİR")</f>
        <v>İZMİR</v>
      </c>
      <c r="I83" s="43" t="str">
        <f>IFERROR(__xludf.DUMMYFUNCTION("""COMPUTED_VALUE"""),"Romania")</f>
        <v>Romania</v>
      </c>
      <c r="J83" s="43" t="str">
        <f>IFERROR(__xludf.DUMMYFUNCTION("""COMPUTED_VALUE"""),"BUCURESTI")</f>
        <v>BUCURESTI</v>
      </c>
      <c r="K83" s="44" t="str">
        <f>IFERROR(__xludf.DUMMYFUNCTION("""COMPUTED_VALUE"""),"https://expa.aiesec.org/opportunities/1293790")</f>
        <v>https://expa.aiesec.org/opportunities/1293790</v>
      </c>
      <c r="L83" s="43" t="str">
        <f>IFERROR(__xludf.DUMMYFUNCTION("""COMPUTED_VALUE"""),"GTa")</f>
        <v>GTa</v>
      </c>
      <c r="M83" s="43" t="str">
        <f>IFERROR(__xludf.DUMMYFUNCTION("""COMPUTED_VALUE"""),"short")</f>
        <v>short</v>
      </c>
      <c r="N83" s="45">
        <f>IFERROR(__xludf.DUMMYFUNCTION("""COMPUTED_VALUE"""),45121.0)</f>
        <v>45121</v>
      </c>
      <c r="O83" s="45">
        <f>IFERROR(__xludf.DUMMYFUNCTION("""COMPUTED_VALUE"""),45201.0)</f>
        <v>45201</v>
      </c>
      <c r="P83" s="45">
        <f>IFERROR(__xludf.DUMMYFUNCTION("""COMPUTED_VALUE"""),45243.0)</f>
        <v>45243</v>
      </c>
      <c r="Q83" s="45">
        <f>IFERROR(__xludf.DUMMYFUNCTION("""COMPUTED_VALUE"""),45244.0)</f>
        <v>45244</v>
      </c>
      <c r="R83" s="45">
        <f>IFERROR(__xludf.DUMMYFUNCTION("""COMPUTED_VALUE"""),45286.0)</f>
        <v>45286</v>
      </c>
      <c r="S83" s="43"/>
      <c r="T83" s="43" t="str">
        <f>IFERROR(__xludf.DUMMYFUNCTION("""COMPUTED_VALUE"""),"Marketing")</f>
        <v>Marketing</v>
      </c>
      <c r="U83" s="43" t="str">
        <f>IFERROR(__xludf.DUMMYFUNCTION("""COMPUTED_VALUE"""),"Graphic Designer")</f>
        <v>Graphic Designer</v>
      </c>
      <c r="V83" s="43" t="str">
        <f>IFERROR(__xludf.DUMMYFUNCTION("""COMPUTED_VALUE"""),"-")</f>
        <v>-</v>
      </c>
      <c r="W83" s="43" t="str">
        <f>IFERROR(__xludf.DUMMYFUNCTION("""COMPUTED_VALUE"""),"2023-06-27T08:56:04Z")</f>
        <v>2023-06-27T08:56:04Z</v>
      </c>
      <c r="X83" s="43"/>
      <c r="Y83" s="43"/>
      <c r="Z83" s="43"/>
    </row>
    <row r="84" hidden="1">
      <c r="A84" s="43" t="str">
        <f>IFERROR(__xludf.DUMMYFUNCTION("""COMPUTED_VALUE"""),"5285352_1296247")</f>
        <v>5285352_1296247</v>
      </c>
      <c r="B84" s="43" t="str">
        <f>IFERROR(__xludf.DUMMYFUNCTION("""COMPUTED_VALUE"""),"Deniz Neslihan Aslan")</f>
        <v>Deniz Neslihan Aslan</v>
      </c>
      <c r="C84" s="43" t="str">
        <f>IFERROR(__xludf.DUMMYFUNCTION("""COMPUTED_VALUE"""),"completed")</f>
        <v>completed</v>
      </c>
      <c r="D84" s="43" t="str">
        <f>IFERROR(__xludf.DUMMYFUNCTION("""COMPUTED_VALUE"""),"No")</f>
        <v>No</v>
      </c>
      <c r="E84" s="43" t="str">
        <f>IFERROR(__xludf.DUMMYFUNCTION("""COMPUTED_VALUE"""),"p_b9e291ef45c27dccca4c6feccd5bfc66c34abeb7@inbound.aiesec.org")</f>
        <v>p_b9e291ef45c27dccca4c6feccd5bfc66c34abeb7@inbound.aiesec.org</v>
      </c>
      <c r="F84" s="43">
        <f>IFERROR(__xludf.DUMMYFUNCTION("""COMPUTED_VALUE"""),1.202293211E9)</f>
        <v>1202293211</v>
      </c>
      <c r="G84" s="43" t="str">
        <f>IFERROR(__xludf.DUMMYFUNCTION("""COMPUTED_VALUE"""),"Turkey")</f>
        <v>Turkey</v>
      </c>
      <c r="H84" s="43" t="str">
        <f>IFERROR(__xludf.DUMMYFUNCTION("""COMPUTED_VALUE"""),"GAZIANTEP")</f>
        <v>GAZIANTEP</v>
      </c>
      <c r="I84" s="43" t="str">
        <f>IFERROR(__xludf.DUMMYFUNCTION("""COMPUTED_VALUE"""),"Egypt")</f>
        <v>Egypt</v>
      </c>
      <c r="J84" s="43" t="str">
        <f>IFERROR(__xludf.DUMMYFUNCTION("""COMPUTED_VALUE"""),"AAST Alexandria")</f>
        <v>AAST Alexandria</v>
      </c>
      <c r="K84" s="44" t="str">
        <f>IFERROR(__xludf.DUMMYFUNCTION("""COMPUTED_VALUE"""),"https://expa.aiesec.org/opportunities/1296247")</f>
        <v>https://expa.aiesec.org/opportunities/1296247</v>
      </c>
      <c r="L84" s="43" t="str">
        <f>IFERROR(__xludf.DUMMYFUNCTION("""COMPUTED_VALUE"""),"GTa")</f>
        <v>GTa</v>
      </c>
      <c r="M84" s="43" t="str">
        <f>IFERROR(__xludf.DUMMYFUNCTION("""COMPUTED_VALUE"""),"short")</f>
        <v>short</v>
      </c>
      <c r="N84" s="45">
        <f>IFERROR(__xludf.DUMMYFUNCTION("""COMPUTED_VALUE"""),45122.0)</f>
        <v>45122</v>
      </c>
      <c r="O84" s="45">
        <f>IFERROR(__xludf.DUMMYFUNCTION("""COMPUTED_VALUE"""),45214.0)</f>
        <v>45214</v>
      </c>
      <c r="P84" s="45">
        <f>IFERROR(__xludf.DUMMYFUNCTION("""COMPUTED_VALUE"""),45297.0)</f>
        <v>45297</v>
      </c>
      <c r="Q84" s="45">
        <f>IFERROR(__xludf.DUMMYFUNCTION("""COMPUTED_VALUE"""),45212.0)</f>
        <v>45212</v>
      </c>
      <c r="R84" s="45">
        <f>IFERROR(__xludf.DUMMYFUNCTION("""COMPUTED_VALUE"""),45306.0)</f>
        <v>45306</v>
      </c>
      <c r="S84" s="43"/>
      <c r="T84" s="43" t="str">
        <f>IFERROR(__xludf.DUMMYFUNCTION("""COMPUTED_VALUE"""),"Finance")</f>
        <v>Finance</v>
      </c>
      <c r="U84" s="43" t="str">
        <f>IFERROR(__xludf.DUMMYFUNCTION("""COMPUTED_VALUE"""),"Financial Analyst")</f>
        <v>Financial Analyst</v>
      </c>
      <c r="V84" s="43" t="str">
        <f>IFERROR(__xludf.DUMMYFUNCTION("""COMPUTED_VALUE"""),"GAZIANTEP")</f>
        <v>GAZIANTEP</v>
      </c>
      <c r="W84" s="43" t="str">
        <f>IFERROR(__xludf.DUMMYFUNCTION("""COMPUTED_VALUE"""),"2023-07-14T21:04:12Z")</f>
        <v>2023-07-14T21:04:12Z</v>
      </c>
      <c r="X84" s="43"/>
      <c r="Y84" s="43"/>
      <c r="Z84" s="43"/>
    </row>
    <row r="85" hidden="1">
      <c r="A85" s="43" t="str">
        <f>IFERROR(__xludf.DUMMYFUNCTION("""COMPUTED_VALUE"""),"5285516_1292579")</f>
        <v>5285516_1292579</v>
      </c>
      <c r="B85" s="43" t="str">
        <f>IFERROR(__xludf.DUMMYFUNCTION("""COMPUTED_VALUE"""),"Oğuzhan Arı")</f>
        <v>Oğuzhan Arı</v>
      </c>
      <c r="C85" s="43" t="str">
        <f>IFERROR(__xludf.DUMMYFUNCTION("""COMPUTED_VALUE"""),"approved")</f>
        <v>approved</v>
      </c>
      <c r="D85" s="43" t="str">
        <f>IFERROR(__xludf.DUMMYFUNCTION("""COMPUTED_VALUE"""),"No")</f>
        <v>No</v>
      </c>
      <c r="E85" s="43" t="str">
        <f>IFERROR(__xludf.DUMMYFUNCTION("""COMPUTED_VALUE"""),"p_7e2722f407cf7db5d176ed379a6d60adab67f309@inbound.aiesec.org")</f>
        <v>p_7e2722f407cf7db5d176ed379a6d60adab67f309@inbound.aiesec.org</v>
      </c>
      <c r="F85" s="43"/>
      <c r="G85" s="43" t="str">
        <f>IFERROR(__xludf.DUMMYFUNCTION("""COMPUTED_VALUE"""),"Turkey")</f>
        <v>Turkey</v>
      </c>
      <c r="H85" s="43" t="str">
        <f>IFERROR(__xludf.DUMMYFUNCTION("""COMPUTED_VALUE"""),"ISTANBUL ASIA")</f>
        <v>ISTANBUL ASIA</v>
      </c>
      <c r="I85" s="43" t="str">
        <f>IFERROR(__xludf.DUMMYFUNCTION("""COMPUTED_VALUE"""),"Brazil")</f>
        <v>Brazil</v>
      </c>
      <c r="J85" s="43" t="str">
        <f>IFERROR(__xludf.DUMMYFUNCTION("""COMPUTED_VALUE"""),"ARACAJU")</f>
        <v>ARACAJU</v>
      </c>
      <c r="K85" s="44" t="str">
        <f>IFERROR(__xludf.DUMMYFUNCTION("""COMPUTED_VALUE"""),"https://expa.aiesec.org/opportunities/1292579")</f>
        <v>https://expa.aiesec.org/opportunities/1292579</v>
      </c>
      <c r="L85" s="43" t="str">
        <f>IFERROR(__xludf.DUMMYFUNCTION("""COMPUTED_VALUE"""),"GTa")</f>
        <v>GTa</v>
      </c>
      <c r="M85" s="43" t="str">
        <f>IFERROR(__xludf.DUMMYFUNCTION("""COMPUTED_VALUE"""),"short")</f>
        <v>short</v>
      </c>
      <c r="N85" s="45">
        <f>IFERROR(__xludf.DUMMYFUNCTION("""COMPUTED_VALUE"""),45126.0)</f>
        <v>45126</v>
      </c>
      <c r="O85" s="45">
        <f>IFERROR(__xludf.DUMMYFUNCTION("""COMPUTED_VALUE"""),45243.0)</f>
        <v>45243</v>
      </c>
      <c r="P85" s="45">
        <f>IFERROR(__xludf.DUMMYFUNCTION("""COMPUTED_VALUE"""),45299.0)</f>
        <v>45299</v>
      </c>
      <c r="Q85" s="45"/>
      <c r="R85" s="45"/>
      <c r="S85" s="43"/>
      <c r="T85" s="43" t="str">
        <f>IFERROR(__xludf.DUMMYFUNCTION("""COMPUTED_VALUE"""),"Marketing")</f>
        <v>Marketing</v>
      </c>
      <c r="U85" s="43" t="str">
        <f>IFERROR(__xludf.DUMMYFUNCTION("""COMPUTED_VALUE"""),"[Hashtag] Social Media")</f>
        <v>[Hashtag] Social Media</v>
      </c>
      <c r="V85" s="43" t="str">
        <f>IFERROR(__xludf.DUMMYFUNCTION("""COMPUTED_VALUE"""),"-")</f>
        <v>-</v>
      </c>
      <c r="W85" s="43" t="str">
        <f>IFERROR(__xludf.DUMMYFUNCTION("""COMPUTED_VALUE"""),"2023-07-15T14:32:26Z")</f>
        <v>2023-07-15T14:32:26Z</v>
      </c>
      <c r="X85" s="43"/>
      <c r="Y85" s="43"/>
      <c r="Z85" s="43"/>
    </row>
    <row r="86" hidden="1">
      <c r="A86" s="43" t="str">
        <f>IFERROR(__xludf.DUMMYFUNCTION("""COMPUTED_VALUE"""),"4145370_1296521")</f>
        <v>4145370_1296521</v>
      </c>
      <c r="B86" s="43" t="str">
        <f>IFERROR(__xludf.DUMMYFUNCTION("""COMPUTED_VALUE"""),"Edanur Pala")</f>
        <v>Edanur Pala</v>
      </c>
      <c r="C86" s="43" t="str">
        <f>IFERROR(__xludf.DUMMYFUNCTION("""COMPUTED_VALUE"""),"completed")</f>
        <v>completed</v>
      </c>
      <c r="D86" s="43" t="str">
        <f>IFERROR(__xludf.DUMMYFUNCTION("""COMPUTED_VALUE"""),"No")</f>
        <v>No</v>
      </c>
      <c r="E86" s="43" t="str">
        <f>IFERROR(__xludf.DUMMYFUNCTION("""COMPUTED_VALUE"""),"p_a0c1ff68b2d2184b4a1352fc64f12b314491dea5@inbound.aiesec.org")</f>
        <v>p_a0c1ff68b2d2184b4a1352fc64f12b314491dea5@inbound.aiesec.org</v>
      </c>
      <c r="F86" s="43">
        <f>IFERROR(__xludf.DUMMYFUNCTION("""COMPUTED_VALUE"""),5.424180883E9)</f>
        <v>5424180883</v>
      </c>
      <c r="G86" s="43" t="str">
        <f>IFERROR(__xludf.DUMMYFUNCTION("""COMPUTED_VALUE"""),"Turkey")</f>
        <v>Turkey</v>
      </c>
      <c r="H86" s="43" t="str">
        <f>IFERROR(__xludf.DUMMYFUNCTION("""COMPUTED_VALUE"""),"İZMİR")</f>
        <v>İZMİR</v>
      </c>
      <c r="I86" s="43" t="str">
        <f>IFERROR(__xludf.DUMMYFUNCTION("""COMPUTED_VALUE"""),"Egypt")</f>
        <v>Egypt</v>
      </c>
      <c r="J86" s="43" t="str">
        <f>IFERROR(__xludf.DUMMYFUNCTION("""COMPUTED_VALUE"""),"AAST Alexandria")</f>
        <v>AAST Alexandria</v>
      </c>
      <c r="K86" s="44" t="str">
        <f>IFERROR(__xludf.DUMMYFUNCTION("""COMPUTED_VALUE"""),"https://expa.aiesec.org/opportunities/1296521")</f>
        <v>https://expa.aiesec.org/opportunities/1296521</v>
      </c>
      <c r="L86" s="43" t="str">
        <f>IFERROR(__xludf.DUMMYFUNCTION("""COMPUTED_VALUE"""),"GTa")</f>
        <v>GTa</v>
      </c>
      <c r="M86" s="43" t="str">
        <f>IFERROR(__xludf.DUMMYFUNCTION("""COMPUTED_VALUE"""),"short")</f>
        <v>short</v>
      </c>
      <c r="N86" s="45">
        <f>IFERROR(__xludf.DUMMYFUNCTION("""COMPUTED_VALUE"""),45132.0)</f>
        <v>45132</v>
      </c>
      <c r="O86" s="45">
        <f>IFERROR(__xludf.DUMMYFUNCTION("""COMPUTED_VALUE"""),45146.0)</f>
        <v>45146</v>
      </c>
      <c r="P86" s="45">
        <f>IFERROR(__xludf.DUMMYFUNCTION("""COMPUTED_VALUE"""),45229.0)</f>
        <v>45229</v>
      </c>
      <c r="Q86" s="45">
        <f>IFERROR(__xludf.DUMMYFUNCTION("""COMPUTED_VALUE"""),45148.0)</f>
        <v>45148</v>
      </c>
      <c r="R86" s="45">
        <f>IFERROR(__xludf.DUMMYFUNCTION("""COMPUTED_VALUE"""),45229.0)</f>
        <v>45229</v>
      </c>
      <c r="S86" s="43"/>
      <c r="T86" s="43" t="str">
        <f>IFERROR(__xludf.DUMMYFUNCTION("""COMPUTED_VALUE"""),"Business Development")</f>
        <v>Business Development</v>
      </c>
      <c r="U86" s="43" t="str">
        <f>IFERROR(__xludf.DUMMYFUNCTION("""COMPUTED_VALUE"""),"Sales representative")</f>
        <v>Sales representative</v>
      </c>
      <c r="V86" s="43" t="str">
        <f>IFERROR(__xludf.DUMMYFUNCTION("""COMPUTED_VALUE"""),"AYDIN")</f>
        <v>AYDIN</v>
      </c>
      <c r="W86" s="43" t="str">
        <f>IFERROR(__xludf.DUMMYFUNCTION("""COMPUTED_VALUE"""),"2020-01-18T13:24:03Z")</f>
        <v>2020-01-18T13:24:03Z</v>
      </c>
      <c r="X86" s="43"/>
      <c r="Y86" s="43"/>
      <c r="Z86" s="43"/>
    </row>
    <row r="87" hidden="1">
      <c r="A87" s="43" t="str">
        <f>IFERROR(__xludf.DUMMYFUNCTION("""COMPUTED_VALUE"""),"5277968_1295811")</f>
        <v>5277968_1295811</v>
      </c>
      <c r="B87" s="43" t="str">
        <f>IFERROR(__xludf.DUMMYFUNCTION("""COMPUTED_VALUE"""),"gamze çiçek")</f>
        <v>gamze çiçek</v>
      </c>
      <c r="C87" s="43" t="str">
        <f>IFERROR(__xludf.DUMMYFUNCTION("""COMPUTED_VALUE"""),"completed")</f>
        <v>completed</v>
      </c>
      <c r="D87" s="43" t="str">
        <f>IFERROR(__xludf.DUMMYFUNCTION("""COMPUTED_VALUE"""),"No")</f>
        <v>No</v>
      </c>
      <c r="E87" s="43" t="str">
        <f>IFERROR(__xludf.DUMMYFUNCTION("""COMPUTED_VALUE"""),"p_b02e150160e2884cc672b234344cdab7c7e5e136@inbound.aiesec.org")</f>
        <v>p_b02e150160e2884cc672b234344cdab7c7e5e136@inbound.aiesec.org</v>
      </c>
      <c r="F87" s="43">
        <f>IFERROR(__xludf.DUMMYFUNCTION("""COMPUTED_VALUE"""),5.318941842E9)</f>
        <v>5318941842</v>
      </c>
      <c r="G87" s="43" t="str">
        <f>IFERROR(__xludf.DUMMYFUNCTION("""COMPUTED_VALUE"""),"Turkey")</f>
        <v>Turkey</v>
      </c>
      <c r="H87" s="43" t="str">
        <f>IFERROR(__xludf.DUMMYFUNCTION("""COMPUTED_VALUE"""),"ISTANBUL")</f>
        <v>ISTANBUL</v>
      </c>
      <c r="I87" s="43" t="str">
        <f>IFERROR(__xludf.DUMMYFUNCTION("""COMPUTED_VALUE"""),"Egypt")</f>
        <v>Egypt</v>
      </c>
      <c r="J87" s="43" t="str">
        <f>IFERROR(__xludf.DUMMYFUNCTION("""COMPUTED_VALUE"""),"Menofia")</f>
        <v>Menofia</v>
      </c>
      <c r="K87" s="44" t="str">
        <f>IFERROR(__xludf.DUMMYFUNCTION("""COMPUTED_VALUE"""),"https://expa.aiesec.org/opportunities/1295811")</f>
        <v>https://expa.aiesec.org/opportunities/1295811</v>
      </c>
      <c r="L87" s="43" t="str">
        <f>IFERROR(__xludf.DUMMYFUNCTION("""COMPUTED_VALUE"""),"GTa")</f>
        <v>GTa</v>
      </c>
      <c r="M87" s="43" t="str">
        <f>IFERROR(__xludf.DUMMYFUNCTION("""COMPUTED_VALUE"""),"short")</f>
        <v>short</v>
      </c>
      <c r="N87" s="45">
        <f>IFERROR(__xludf.DUMMYFUNCTION("""COMPUTED_VALUE"""),45136.0)</f>
        <v>45136</v>
      </c>
      <c r="O87" s="45">
        <f>IFERROR(__xludf.DUMMYFUNCTION("""COMPUTED_VALUE"""),45147.0)</f>
        <v>45147</v>
      </c>
      <c r="P87" s="45">
        <f>IFERROR(__xludf.DUMMYFUNCTION("""COMPUTED_VALUE"""),45189.0)</f>
        <v>45189</v>
      </c>
      <c r="Q87" s="45">
        <f>IFERROR(__xludf.DUMMYFUNCTION("""COMPUTED_VALUE"""),45145.0)</f>
        <v>45145</v>
      </c>
      <c r="R87" s="45">
        <f>IFERROR(__xludf.DUMMYFUNCTION("""COMPUTED_VALUE"""),45189.0)</f>
        <v>45189</v>
      </c>
      <c r="S87" s="43"/>
      <c r="T87" s="43" t="str">
        <f>IFERROR(__xludf.DUMMYFUNCTION("""COMPUTED_VALUE"""),"Marketing")</f>
        <v>Marketing</v>
      </c>
      <c r="U87" s="43" t="str">
        <f>IFERROR(__xludf.DUMMYFUNCTION("""COMPUTED_VALUE"""),"Digital Markting Internship")</f>
        <v>Digital Markting Internship</v>
      </c>
      <c r="V87" s="43" t="str">
        <f>IFERROR(__xludf.DUMMYFUNCTION("""COMPUTED_VALUE"""),"ISTANBUL - BEYOGLU")</f>
        <v>ISTANBUL - BEYOGLU</v>
      </c>
      <c r="W87" s="43" t="str">
        <f>IFERROR(__xludf.DUMMYFUNCTION("""COMPUTED_VALUE"""),"2023-06-21T12:57:37Z")</f>
        <v>2023-06-21T12:57:37Z</v>
      </c>
      <c r="X87" s="43"/>
      <c r="Y87" s="43"/>
      <c r="Z87" s="43"/>
    </row>
    <row r="88" hidden="1">
      <c r="A88" s="43" t="str">
        <f>IFERROR(__xludf.DUMMYFUNCTION("""COMPUTED_VALUE"""),"5290394_1290643")</f>
        <v>5290394_1290643</v>
      </c>
      <c r="B88" s="43" t="str">
        <f>IFERROR(__xludf.DUMMYFUNCTION("""COMPUTED_VALUE"""),"Ebrar Çeven")</f>
        <v>Ebrar Çeven</v>
      </c>
      <c r="C88" s="43" t="str">
        <f>IFERROR(__xludf.DUMMYFUNCTION("""COMPUTED_VALUE"""),"approved")</f>
        <v>approved</v>
      </c>
      <c r="D88" s="43" t="str">
        <f>IFERROR(__xludf.DUMMYFUNCTION("""COMPUTED_VALUE"""),"No")</f>
        <v>No</v>
      </c>
      <c r="E88" s="43" t="str">
        <f>IFERROR(__xludf.DUMMYFUNCTION("""COMPUTED_VALUE"""),"p_928d43fa9855cbe61ef00bf7d582d2f2639884d4@inbound.aiesec.org")</f>
        <v>p_928d43fa9855cbe61ef00bf7d582d2f2639884d4@inbound.aiesec.org</v>
      </c>
      <c r="F88" s="43"/>
      <c r="G88" s="43" t="str">
        <f>IFERROR(__xludf.DUMMYFUNCTION("""COMPUTED_VALUE"""),"Turkey")</f>
        <v>Turkey</v>
      </c>
      <c r="H88" s="43" t="str">
        <f>IFERROR(__xludf.DUMMYFUNCTION("""COMPUTED_VALUE"""),"BURSA")</f>
        <v>BURSA</v>
      </c>
      <c r="I88" s="43" t="str">
        <f>IFERROR(__xludf.DUMMYFUNCTION("""COMPUTED_VALUE"""),"Egypt")</f>
        <v>Egypt</v>
      </c>
      <c r="J88" s="43" t="str">
        <f>IFERROR(__xludf.DUMMYFUNCTION("""COMPUTED_VALUE"""),"Zagazig")</f>
        <v>Zagazig</v>
      </c>
      <c r="K88" s="44" t="str">
        <f>IFERROR(__xludf.DUMMYFUNCTION("""COMPUTED_VALUE"""),"https://expa.aiesec.org/opportunities/1290643")</f>
        <v>https://expa.aiesec.org/opportunities/1290643</v>
      </c>
      <c r="L88" s="43" t="str">
        <f>IFERROR(__xludf.DUMMYFUNCTION("""COMPUTED_VALUE"""),"GTa")</f>
        <v>GTa</v>
      </c>
      <c r="M88" s="43" t="str">
        <f>IFERROR(__xludf.DUMMYFUNCTION("""COMPUTED_VALUE"""),"short")</f>
        <v>short</v>
      </c>
      <c r="N88" s="45">
        <f>IFERROR(__xludf.DUMMYFUNCTION("""COMPUTED_VALUE"""),45137.0)</f>
        <v>45137</v>
      </c>
      <c r="O88" s="45">
        <f>IFERROR(__xludf.DUMMYFUNCTION("""COMPUTED_VALUE"""),45200.0)</f>
        <v>45200</v>
      </c>
      <c r="P88" s="45">
        <f>IFERROR(__xludf.DUMMYFUNCTION("""COMPUTED_VALUE"""),45283.0)</f>
        <v>45283</v>
      </c>
      <c r="Q88" s="45"/>
      <c r="R88" s="45"/>
      <c r="S88" s="43"/>
      <c r="T88" s="43" t="str">
        <f>IFERROR(__xludf.DUMMYFUNCTION("""COMPUTED_VALUE"""),"Business Administration")</f>
        <v>Business Administration</v>
      </c>
      <c r="U88" s="43" t="str">
        <f>IFERROR(__xludf.DUMMYFUNCTION("""COMPUTED_VALUE"""),"Operations Supervisor")</f>
        <v>Operations Supervisor</v>
      </c>
      <c r="V88" s="43" t="str">
        <f>IFERROR(__xludf.DUMMYFUNCTION("""COMPUTED_VALUE"""),"-")</f>
        <v>-</v>
      </c>
      <c r="W88" s="43" t="str">
        <f>IFERROR(__xludf.DUMMYFUNCTION("""COMPUTED_VALUE"""),"2023-07-27T14:52:27Z")</f>
        <v>2023-07-27T14:52:27Z</v>
      </c>
      <c r="X88" s="43"/>
      <c r="Y88" s="43"/>
      <c r="Z88" s="43"/>
    </row>
    <row r="89" hidden="1">
      <c r="A89" s="43" t="str">
        <f>IFERROR(__xludf.DUMMYFUNCTION("""COMPUTED_VALUE"""),"5290730_1294898")</f>
        <v>5290730_1294898</v>
      </c>
      <c r="B89" s="43" t="str">
        <f>IFERROR(__xludf.DUMMYFUNCTION("""COMPUTED_VALUE"""),"Merve Kara")</f>
        <v>Merve Kara</v>
      </c>
      <c r="C89" s="43" t="str">
        <f>IFERROR(__xludf.DUMMYFUNCTION("""COMPUTED_VALUE"""),"completed")</f>
        <v>completed</v>
      </c>
      <c r="D89" s="43" t="str">
        <f>IFERROR(__xludf.DUMMYFUNCTION("""COMPUTED_VALUE"""),"No")</f>
        <v>No</v>
      </c>
      <c r="E89" s="43" t="str">
        <f>IFERROR(__xludf.DUMMYFUNCTION("""COMPUTED_VALUE"""),"p_1ef8c31c4b979b63ecca610e3d4a0affe0ee0e1a@inbound.aiesec.org")</f>
        <v>p_1ef8c31c4b979b63ecca610e3d4a0affe0ee0e1a@inbound.aiesec.org</v>
      </c>
      <c r="F89" s="43">
        <f>IFERROR(__xludf.DUMMYFUNCTION("""COMPUTED_VALUE"""),5.535701291E9)</f>
        <v>5535701291</v>
      </c>
      <c r="G89" s="43" t="str">
        <f>IFERROR(__xludf.DUMMYFUNCTION("""COMPUTED_VALUE"""),"Turkey")</f>
        <v>Turkey</v>
      </c>
      <c r="H89" s="43" t="str">
        <f>IFERROR(__xludf.DUMMYFUNCTION("""COMPUTED_VALUE"""),"TRABZON")</f>
        <v>TRABZON</v>
      </c>
      <c r="I89" s="43" t="str">
        <f>IFERROR(__xludf.DUMMYFUNCTION("""COMPUTED_VALUE"""),"Serbia")</f>
        <v>Serbia</v>
      </c>
      <c r="J89" s="43" t="str">
        <f>IFERROR(__xludf.DUMMYFUNCTION("""COMPUTED_VALUE"""),"NIS")</f>
        <v>NIS</v>
      </c>
      <c r="K89" s="44" t="str">
        <f>IFERROR(__xludf.DUMMYFUNCTION("""COMPUTED_VALUE"""),"https://expa.aiesec.org/opportunities/1294898")</f>
        <v>https://expa.aiesec.org/opportunities/1294898</v>
      </c>
      <c r="L89" s="43" t="str">
        <f>IFERROR(__xludf.DUMMYFUNCTION("""COMPUTED_VALUE"""),"GTa")</f>
        <v>GTa</v>
      </c>
      <c r="M89" s="43" t="str">
        <f>IFERROR(__xludf.DUMMYFUNCTION("""COMPUTED_VALUE"""),"short")</f>
        <v>short</v>
      </c>
      <c r="N89" s="45">
        <f>IFERROR(__xludf.DUMMYFUNCTION("""COMPUTED_VALUE"""),45138.0)</f>
        <v>45138</v>
      </c>
      <c r="O89" s="45">
        <f>IFERROR(__xludf.DUMMYFUNCTION("""COMPUTED_VALUE"""),45152.0)</f>
        <v>45152</v>
      </c>
      <c r="P89" s="45">
        <f>IFERROR(__xludf.DUMMYFUNCTION("""COMPUTED_VALUE"""),45208.0)</f>
        <v>45208</v>
      </c>
      <c r="Q89" s="45">
        <f>IFERROR(__xludf.DUMMYFUNCTION("""COMPUTED_VALUE"""),45190.0)</f>
        <v>45190</v>
      </c>
      <c r="R89" s="45">
        <f>IFERROR(__xludf.DUMMYFUNCTION("""COMPUTED_VALUE"""),45246.0)</f>
        <v>45246</v>
      </c>
      <c r="S89" s="43"/>
      <c r="T89" s="43" t="str">
        <f>IFERROR(__xludf.DUMMYFUNCTION("""COMPUTED_VALUE"""),"Marketing")</f>
        <v>Marketing</v>
      </c>
      <c r="U89" s="43" t="str">
        <f>IFERROR(__xludf.DUMMYFUNCTION("""COMPUTED_VALUE"""),"Marketing intern")</f>
        <v>Marketing intern</v>
      </c>
      <c r="V89" s="43" t="str">
        <f>IFERROR(__xludf.DUMMYFUNCTION("""COMPUTED_VALUE"""),"TRABZON")</f>
        <v>TRABZON</v>
      </c>
      <c r="W89" s="43" t="str">
        <f>IFERROR(__xludf.DUMMYFUNCTION("""COMPUTED_VALUE"""),"2023-07-28T11:16:33Z")</f>
        <v>2023-07-28T11:16:33Z</v>
      </c>
      <c r="X89" s="43"/>
      <c r="Y89" s="43"/>
      <c r="Z89" s="43"/>
    </row>
    <row r="90" hidden="1">
      <c r="A90" s="43" t="str">
        <f>IFERROR(__xludf.DUMMYFUNCTION("""COMPUTED_VALUE"""),"5281706_1290387")</f>
        <v>5281706_1290387</v>
      </c>
      <c r="B90" s="43" t="str">
        <f>IFERROR(__xludf.DUMMYFUNCTION("""COMPUTED_VALUE"""),"Deniz Su Tepe")</f>
        <v>Deniz Su Tepe</v>
      </c>
      <c r="C90" s="43" t="str">
        <f>IFERROR(__xludf.DUMMYFUNCTION("""COMPUTED_VALUE"""),"completed")</f>
        <v>completed</v>
      </c>
      <c r="D90" s="43" t="str">
        <f>IFERROR(__xludf.DUMMYFUNCTION("""COMPUTED_VALUE"""),"No")</f>
        <v>No</v>
      </c>
      <c r="E90" s="43" t="str">
        <f>IFERROR(__xludf.DUMMYFUNCTION("""COMPUTED_VALUE"""),"p_9c797f917a51f44cd23cdf36ef769128bb2a01fe@inbound.aiesec.org")</f>
        <v>p_9c797f917a51f44cd23cdf36ef769128bb2a01fe@inbound.aiesec.org</v>
      </c>
      <c r="F90" s="43">
        <f>IFERROR(__xludf.DUMMYFUNCTION("""COMPUTED_VALUE"""),5.42407107E9)</f>
        <v>5424071070</v>
      </c>
      <c r="G90" s="43" t="str">
        <f>IFERROR(__xludf.DUMMYFUNCTION("""COMPUTED_VALUE"""),"Turkey")</f>
        <v>Turkey</v>
      </c>
      <c r="H90" s="43" t="str">
        <f>IFERROR(__xludf.DUMMYFUNCTION("""COMPUTED_VALUE"""),"ANKARA")</f>
        <v>ANKARA</v>
      </c>
      <c r="I90" s="43" t="str">
        <f>IFERROR(__xludf.DUMMYFUNCTION("""COMPUTED_VALUE"""),"Egypt")</f>
        <v>Egypt</v>
      </c>
      <c r="J90" s="43" t="str">
        <f>IFERROR(__xludf.DUMMYFUNCTION("""COMPUTED_VALUE"""),"Ain Shams University")</f>
        <v>Ain Shams University</v>
      </c>
      <c r="K90" s="44" t="str">
        <f>IFERROR(__xludf.DUMMYFUNCTION("""COMPUTED_VALUE"""),"https://expa.aiesec.org/opportunities/1290387")</f>
        <v>https://expa.aiesec.org/opportunities/1290387</v>
      </c>
      <c r="L90" s="43" t="str">
        <f>IFERROR(__xludf.DUMMYFUNCTION("""COMPUTED_VALUE"""),"GTa")</f>
        <v>GTa</v>
      </c>
      <c r="M90" s="43" t="str">
        <f>IFERROR(__xludf.DUMMYFUNCTION("""COMPUTED_VALUE"""),"short")</f>
        <v>short</v>
      </c>
      <c r="N90" s="45">
        <f>IFERROR(__xludf.DUMMYFUNCTION("""COMPUTED_VALUE"""),45139.0)</f>
        <v>45139</v>
      </c>
      <c r="O90" s="45">
        <f>IFERROR(__xludf.DUMMYFUNCTION("""COMPUTED_VALUE"""),45127.0)</f>
        <v>45127</v>
      </c>
      <c r="P90" s="45">
        <f>IFERROR(__xludf.DUMMYFUNCTION("""COMPUTED_VALUE"""),45210.0)</f>
        <v>45210</v>
      </c>
      <c r="Q90" s="45">
        <f>IFERROR(__xludf.DUMMYFUNCTION("""COMPUTED_VALUE"""),45139.0)</f>
        <v>45139</v>
      </c>
      <c r="R90" s="45">
        <f>IFERROR(__xludf.DUMMYFUNCTION("""COMPUTED_VALUE"""),45223.0)</f>
        <v>45223</v>
      </c>
      <c r="S90" s="43"/>
      <c r="T90" s="43" t="str">
        <f>IFERROR(__xludf.DUMMYFUNCTION("""COMPUTED_VALUE"""),"Marketing")</f>
        <v>Marketing</v>
      </c>
      <c r="U90" s="43" t="str">
        <f>IFERROR(__xludf.DUMMYFUNCTION("""COMPUTED_VALUE"""),"Graphic Design")</f>
        <v>Graphic Design</v>
      </c>
      <c r="V90" s="43" t="str">
        <f>IFERROR(__xludf.DUMMYFUNCTION("""COMPUTED_VALUE"""),"ANTALYA")</f>
        <v>ANTALYA</v>
      </c>
      <c r="W90" s="43" t="str">
        <f>IFERROR(__xludf.DUMMYFUNCTION("""COMPUTED_VALUE"""),"2023-07-03T11:00:33Z")</f>
        <v>2023-07-03T11:00:33Z</v>
      </c>
      <c r="X90" s="43"/>
      <c r="Y90" s="43"/>
      <c r="Z90" s="43"/>
    </row>
    <row r="91" hidden="1">
      <c r="A91" s="43" t="str">
        <f>IFERROR(__xludf.DUMMYFUNCTION("""COMPUTED_VALUE"""),"3808794_1291679")</f>
        <v>3808794_1291679</v>
      </c>
      <c r="B91" s="43" t="str">
        <f>IFERROR(__xludf.DUMMYFUNCTION("""COMPUTED_VALUE"""),"Sarah Duygu Korkmaz")</f>
        <v>Sarah Duygu Korkmaz</v>
      </c>
      <c r="C91" s="43" t="str">
        <f>IFERROR(__xludf.DUMMYFUNCTION("""COMPUTED_VALUE"""),"completed")</f>
        <v>completed</v>
      </c>
      <c r="D91" s="43" t="str">
        <f>IFERROR(__xludf.DUMMYFUNCTION("""COMPUTED_VALUE"""),"No")</f>
        <v>No</v>
      </c>
      <c r="E91" s="43" t="str">
        <f>IFERROR(__xludf.DUMMYFUNCTION("""COMPUTED_VALUE"""),"p_684014b74285c9cae1bd4802048023a9b0ca9355@inbound.aiesec.org")</f>
        <v>p_684014b74285c9cae1bd4802048023a9b0ca9355@inbound.aiesec.org</v>
      </c>
      <c r="F91" s="43">
        <f>IFERROR(__xludf.DUMMYFUNCTION("""COMPUTED_VALUE"""),7.45089334E8)</f>
        <v>745089334</v>
      </c>
      <c r="G91" s="43" t="str">
        <f>IFERROR(__xludf.DUMMYFUNCTION("""COMPUTED_VALUE"""),"Turkey")</f>
        <v>Turkey</v>
      </c>
      <c r="H91" s="43" t="str">
        <f>IFERROR(__xludf.DUMMYFUNCTION("""COMPUTED_VALUE"""),"ISTANBUL")</f>
        <v>ISTANBUL</v>
      </c>
      <c r="I91" s="43" t="str">
        <f>IFERROR(__xludf.DUMMYFUNCTION("""COMPUTED_VALUE"""),"Egypt")</f>
        <v>Egypt</v>
      </c>
      <c r="J91" s="43" t="str">
        <f>IFERROR(__xludf.DUMMYFUNCTION("""COMPUTED_VALUE"""),"Helwan")</f>
        <v>Helwan</v>
      </c>
      <c r="K91" s="44" t="str">
        <f>IFERROR(__xludf.DUMMYFUNCTION("""COMPUTED_VALUE"""),"https://expa.aiesec.org/opportunities/1291679")</f>
        <v>https://expa.aiesec.org/opportunities/1291679</v>
      </c>
      <c r="L91" s="43" t="str">
        <f>IFERROR(__xludf.DUMMYFUNCTION("""COMPUTED_VALUE"""),"GTa")</f>
        <v>GTa</v>
      </c>
      <c r="M91" s="43" t="str">
        <f>IFERROR(__xludf.DUMMYFUNCTION("""COMPUTED_VALUE"""),"short")</f>
        <v>short</v>
      </c>
      <c r="N91" s="45">
        <f>IFERROR(__xludf.DUMMYFUNCTION("""COMPUTED_VALUE"""),45143.0)</f>
        <v>45143</v>
      </c>
      <c r="O91" s="45">
        <f>IFERROR(__xludf.DUMMYFUNCTION("""COMPUTED_VALUE"""),45187.0)</f>
        <v>45187</v>
      </c>
      <c r="P91" s="45">
        <f>IFERROR(__xludf.DUMMYFUNCTION("""COMPUTED_VALUE"""),45265.0)</f>
        <v>45265</v>
      </c>
      <c r="Q91" s="45">
        <f>IFERROR(__xludf.DUMMYFUNCTION("""COMPUTED_VALUE"""),45186.0)</f>
        <v>45186</v>
      </c>
      <c r="R91" s="45">
        <f>IFERROR(__xludf.DUMMYFUNCTION("""COMPUTED_VALUE"""),45265.0)</f>
        <v>45265</v>
      </c>
      <c r="S91" s="43"/>
      <c r="T91" s="43" t="str">
        <f>IFERROR(__xludf.DUMMYFUNCTION("""COMPUTED_VALUE"""),"Business Development")</f>
        <v>Business Development</v>
      </c>
      <c r="U91" s="43" t="str">
        <f>IFERROR(__xludf.DUMMYFUNCTION("""COMPUTED_VALUE"""),"Business Development Sepcialist")</f>
        <v>Business Development Sepcialist</v>
      </c>
      <c r="V91" s="43" t="str">
        <f>IFERROR(__xludf.DUMMYFUNCTION("""COMPUTED_VALUE"""),"ISTANBUL - BEYOGLU")</f>
        <v>ISTANBUL - BEYOGLU</v>
      </c>
      <c r="W91" s="43" t="str">
        <f>IFERROR(__xludf.DUMMYFUNCTION("""COMPUTED_VALUE"""),"2019-09-02T13:31:26Z")</f>
        <v>2019-09-02T13:31:26Z</v>
      </c>
      <c r="X91" s="43"/>
      <c r="Y91" s="43"/>
      <c r="Z91" s="43"/>
    </row>
    <row r="92" hidden="1">
      <c r="A92" s="43" t="str">
        <f>IFERROR(__xludf.DUMMYFUNCTION("""COMPUTED_VALUE"""),"5298044_1295247")</f>
        <v>5298044_1295247</v>
      </c>
      <c r="B92" s="43" t="str">
        <f>IFERROR(__xludf.DUMMYFUNCTION("""COMPUTED_VALUE"""),"sezgi köroğlu")</f>
        <v>sezgi köroğlu</v>
      </c>
      <c r="C92" s="43" t="str">
        <f>IFERROR(__xludf.DUMMYFUNCTION("""COMPUTED_VALUE"""),"completed")</f>
        <v>completed</v>
      </c>
      <c r="D92" s="43" t="str">
        <f>IFERROR(__xludf.DUMMYFUNCTION("""COMPUTED_VALUE"""),"No")</f>
        <v>No</v>
      </c>
      <c r="E92" s="43" t="str">
        <f>IFERROR(__xludf.DUMMYFUNCTION("""COMPUTED_VALUE"""),"p_44f7e8be12d6ec10652549e752f844f2bbe1fe25@inbound.aiesec.org")</f>
        <v>p_44f7e8be12d6ec10652549e752f844f2bbe1fe25@inbound.aiesec.org</v>
      </c>
      <c r="F92" s="43">
        <f>IFERROR(__xludf.DUMMYFUNCTION("""COMPUTED_VALUE"""),5.070516718E9)</f>
        <v>5070516718</v>
      </c>
      <c r="G92" s="43" t="str">
        <f>IFERROR(__xludf.DUMMYFUNCTION("""COMPUTED_VALUE"""),"Turkey")</f>
        <v>Turkey</v>
      </c>
      <c r="H92" s="43" t="str">
        <f>IFERROR(__xludf.DUMMYFUNCTION("""COMPUTED_VALUE"""),"ISTANBUL")</f>
        <v>ISTANBUL</v>
      </c>
      <c r="I92" s="43" t="str">
        <f>IFERROR(__xludf.DUMMYFUNCTION("""COMPUTED_VALUE"""),"Serbia")</f>
        <v>Serbia</v>
      </c>
      <c r="J92" s="43" t="str">
        <f>IFERROR(__xludf.DUMMYFUNCTION("""COMPUTED_VALUE"""),"NIS")</f>
        <v>NIS</v>
      </c>
      <c r="K92" s="44" t="str">
        <f>IFERROR(__xludf.DUMMYFUNCTION("""COMPUTED_VALUE"""),"https://expa.aiesec.org/opportunities/1295247")</f>
        <v>https://expa.aiesec.org/opportunities/1295247</v>
      </c>
      <c r="L92" s="43" t="str">
        <f>IFERROR(__xludf.DUMMYFUNCTION("""COMPUTED_VALUE"""),"GTa")</f>
        <v>GTa</v>
      </c>
      <c r="M92" s="43" t="str">
        <f>IFERROR(__xludf.DUMMYFUNCTION("""COMPUTED_VALUE"""),"short")</f>
        <v>short</v>
      </c>
      <c r="N92" s="45">
        <f>IFERROR(__xludf.DUMMYFUNCTION("""COMPUTED_VALUE"""),45144.0)</f>
        <v>45144</v>
      </c>
      <c r="O92" s="45">
        <f>IFERROR(__xludf.DUMMYFUNCTION("""COMPUTED_VALUE"""),45152.0)</f>
        <v>45152</v>
      </c>
      <c r="P92" s="45">
        <f>IFERROR(__xludf.DUMMYFUNCTION("""COMPUTED_VALUE"""),45194.0)</f>
        <v>45194</v>
      </c>
      <c r="Q92" s="45">
        <f>IFERROR(__xludf.DUMMYFUNCTION("""COMPUTED_VALUE"""),45150.0)</f>
        <v>45150</v>
      </c>
      <c r="R92" s="45">
        <f>IFERROR(__xludf.DUMMYFUNCTION("""COMPUTED_VALUE"""),45196.0)</f>
        <v>45196</v>
      </c>
      <c r="S92" s="43"/>
      <c r="T92" s="43" t="str">
        <f>IFERROR(__xludf.DUMMYFUNCTION("""COMPUTED_VALUE"""),"Information Technology")</f>
        <v>Information Technology</v>
      </c>
      <c r="U92" s="43" t="str">
        <f>IFERROR(__xludf.DUMMYFUNCTION("""COMPUTED_VALUE"""),"Frontend Developer")</f>
        <v>Frontend Developer</v>
      </c>
      <c r="V92" s="43" t="str">
        <f>IFERROR(__xludf.DUMMYFUNCTION("""COMPUTED_VALUE"""),"ISTANBUL - BEYOGLU")</f>
        <v>ISTANBUL - BEYOGLU</v>
      </c>
      <c r="W92" s="43" t="str">
        <f>IFERROR(__xludf.DUMMYFUNCTION("""COMPUTED_VALUE"""),"2023-08-05T20:50:31Z")</f>
        <v>2023-08-05T20:50:31Z</v>
      </c>
      <c r="X92" s="43"/>
      <c r="Y92" s="43"/>
      <c r="Z92" s="43"/>
    </row>
    <row r="93" hidden="1">
      <c r="A93" s="43" t="str">
        <f>IFERROR(__xludf.DUMMYFUNCTION("""COMPUTED_VALUE"""),"2248378_1295153")</f>
        <v>2248378_1295153</v>
      </c>
      <c r="B93" s="43" t="str">
        <f>IFERROR(__xludf.DUMMYFUNCTION("""COMPUTED_VALUE"""),"Cansu Çavuşoğlu")</f>
        <v>Cansu Çavuşoğlu</v>
      </c>
      <c r="C93" s="43" t="str">
        <f>IFERROR(__xludf.DUMMYFUNCTION("""COMPUTED_VALUE"""),"realized")</f>
        <v>realized</v>
      </c>
      <c r="D93" s="43" t="str">
        <f>IFERROR(__xludf.DUMMYFUNCTION("""COMPUTED_VALUE"""),"No")</f>
        <v>No</v>
      </c>
      <c r="E93" s="43" t="str">
        <f>IFERROR(__xludf.DUMMYFUNCTION("""COMPUTED_VALUE"""),"p_717473b4ce8d6ea1530cb6f96c871568018d90b3@inbound.aiesec.org")</f>
        <v>p_717473b4ce8d6ea1530cb6f96c871568018d90b3@inbound.aiesec.org</v>
      </c>
      <c r="F93" s="43">
        <f>IFERROR(__xludf.DUMMYFUNCTION("""COMPUTED_VALUE"""),5.383736826E9)</f>
        <v>5383736826</v>
      </c>
      <c r="G93" s="43" t="str">
        <f>IFERROR(__xludf.DUMMYFUNCTION("""COMPUTED_VALUE"""),"Turkey")</f>
        <v>Turkey</v>
      </c>
      <c r="H93" s="43" t="str">
        <f>IFERROR(__xludf.DUMMYFUNCTION("""COMPUTED_VALUE"""),"BURSA")</f>
        <v>BURSA</v>
      </c>
      <c r="I93" s="43" t="str">
        <f>IFERROR(__xludf.DUMMYFUNCTION("""COMPUTED_VALUE"""),"Germany")</f>
        <v>Germany</v>
      </c>
      <c r="J93" s="43" t="str">
        <f>IFERROR(__xludf.DUMMYFUNCTION("""COMPUTED_VALUE"""),"DUESSELDORF")</f>
        <v>DUESSELDORF</v>
      </c>
      <c r="K93" s="44" t="str">
        <f>IFERROR(__xludf.DUMMYFUNCTION("""COMPUTED_VALUE"""),"https://expa.aiesec.org/opportunities/1295153")</f>
        <v>https://expa.aiesec.org/opportunities/1295153</v>
      </c>
      <c r="L93" s="43" t="str">
        <f>IFERROR(__xludf.DUMMYFUNCTION("""COMPUTED_VALUE"""),"GTa")</f>
        <v>GTa</v>
      </c>
      <c r="M93" s="43" t="str">
        <f>IFERROR(__xludf.DUMMYFUNCTION("""COMPUTED_VALUE"""),"long")</f>
        <v>long</v>
      </c>
      <c r="N93" s="45">
        <f>IFERROR(__xludf.DUMMYFUNCTION("""COMPUTED_VALUE"""),45152.0)</f>
        <v>45152</v>
      </c>
      <c r="O93" s="45">
        <f>IFERROR(__xludf.DUMMYFUNCTION("""COMPUTED_VALUE"""),45170.0)</f>
        <v>45170</v>
      </c>
      <c r="P93" s="45">
        <f>IFERROR(__xludf.DUMMYFUNCTION("""COMPUTED_VALUE"""),45535.0)</f>
        <v>45535</v>
      </c>
      <c r="Q93" s="45">
        <f>IFERROR(__xludf.DUMMYFUNCTION("""COMPUTED_VALUE"""),45314.0)</f>
        <v>45314</v>
      </c>
      <c r="R93" s="45">
        <f>IFERROR(__xludf.DUMMYFUNCTION("""COMPUTED_VALUE"""),45678.0)</f>
        <v>45678</v>
      </c>
      <c r="S93" s="43"/>
      <c r="T93" s="43" t="str">
        <f>IFERROR(__xludf.DUMMYFUNCTION("""COMPUTED_VALUE"""),"Business Administration")</f>
        <v>Business Administration</v>
      </c>
      <c r="U93" s="43" t="str">
        <f>IFERROR(__xludf.DUMMYFUNCTION("""COMPUTED_VALUE"""),"MyWay Operations &amp; Innovation Coordinator")</f>
        <v>MyWay Operations &amp; Innovation Coordinator</v>
      </c>
      <c r="V93" s="43" t="str">
        <f>IFERROR(__xludf.DUMMYFUNCTION("""COMPUTED_VALUE"""),"BURSA")</f>
        <v>BURSA</v>
      </c>
      <c r="W93" s="43" t="str">
        <f>IFERROR(__xludf.DUMMYFUNCTION("""COMPUTED_VALUE"""),"2018-04-22T14:32:38Z")</f>
        <v>2018-04-22T14:32:38Z</v>
      </c>
      <c r="X93" s="43"/>
      <c r="Y93" s="43"/>
      <c r="Z93" s="43"/>
    </row>
    <row r="94" hidden="1">
      <c r="A94" s="43" t="str">
        <f>IFERROR(__xludf.DUMMYFUNCTION("""COMPUTED_VALUE"""),"5283734_1294853")</f>
        <v>5283734_1294853</v>
      </c>
      <c r="B94" s="43" t="str">
        <f>IFERROR(__xludf.DUMMYFUNCTION("""COMPUTED_VALUE"""),"Ali Haydar Öksüz")</f>
        <v>Ali Haydar Öksüz</v>
      </c>
      <c r="C94" s="43" t="str">
        <f>IFERROR(__xludf.DUMMYFUNCTION("""COMPUTED_VALUE"""),"completed")</f>
        <v>completed</v>
      </c>
      <c r="D94" s="43" t="str">
        <f>IFERROR(__xludf.DUMMYFUNCTION("""COMPUTED_VALUE"""),"No")</f>
        <v>No</v>
      </c>
      <c r="E94" s="43" t="str">
        <f>IFERROR(__xludf.DUMMYFUNCTION("""COMPUTED_VALUE"""),"p_414de911c5e97d929da39a670116a15a63d2b7c8@inbound.aiesec.org")</f>
        <v>p_414de911c5e97d929da39a670116a15a63d2b7c8@inbound.aiesec.org</v>
      </c>
      <c r="F94" s="43">
        <f>IFERROR(__xludf.DUMMYFUNCTION("""COMPUTED_VALUE"""),5.452152507E9)</f>
        <v>5452152507</v>
      </c>
      <c r="G94" s="43" t="str">
        <f>IFERROR(__xludf.DUMMYFUNCTION("""COMPUTED_VALUE"""),"Turkey")</f>
        <v>Turkey</v>
      </c>
      <c r="H94" s="43" t="str">
        <f>IFERROR(__xludf.DUMMYFUNCTION("""COMPUTED_VALUE"""),"ADANA")</f>
        <v>ADANA</v>
      </c>
      <c r="I94" s="43" t="str">
        <f>IFERROR(__xludf.DUMMYFUNCTION("""COMPUTED_VALUE"""),"India")</f>
        <v>India</v>
      </c>
      <c r="J94" s="43" t="str">
        <f>IFERROR(__xludf.DUMMYFUNCTION("""COMPUTED_VALUE"""),"M.A.H.E.")</f>
        <v>M.A.H.E.</v>
      </c>
      <c r="K94" s="44" t="str">
        <f>IFERROR(__xludf.DUMMYFUNCTION("""COMPUTED_VALUE"""),"https://expa.aiesec.org/opportunities/1294853")</f>
        <v>https://expa.aiesec.org/opportunities/1294853</v>
      </c>
      <c r="L94" s="43" t="str">
        <f>IFERROR(__xludf.DUMMYFUNCTION("""COMPUTED_VALUE"""),"GTa")</f>
        <v>GTa</v>
      </c>
      <c r="M94" s="43" t="str">
        <f>IFERROR(__xludf.DUMMYFUNCTION("""COMPUTED_VALUE"""),"short")</f>
        <v>short</v>
      </c>
      <c r="N94" s="45">
        <f>IFERROR(__xludf.DUMMYFUNCTION("""COMPUTED_VALUE"""),45155.0)</f>
        <v>45155</v>
      </c>
      <c r="O94" s="45">
        <f>IFERROR(__xludf.DUMMYFUNCTION("""COMPUTED_VALUE"""),45141.0)</f>
        <v>45141</v>
      </c>
      <c r="P94" s="45">
        <f>IFERROR(__xludf.DUMMYFUNCTION("""COMPUTED_VALUE"""),45183.0)</f>
        <v>45183</v>
      </c>
      <c r="Q94" s="45">
        <f>IFERROR(__xludf.DUMMYFUNCTION("""COMPUTED_VALUE"""),45184.0)</f>
        <v>45184</v>
      </c>
      <c r="R94" s="45">
        <f>IFERROR(__xludf.DUMMYFUNCTION("""COMPUTED_VALUE"""),45226.0)</f>
        <v>45226</v>
      </c>
      <c r="S94" s="43"/>
      <c r="T94" s="43" t="str">
        <f>IFERROR(__xludf.DUMMYFUNCTION("""COMPUTED_VALUE"""),"Engineering")</f>
        <v>Engineering</v>
      </c>
      <c r="U94" s="43" t="str">
        <f>IFERROR(__xludf.DUMMYFUNCTION("""COMPUTED_VALUE"""),"Mechatronics Intern")</f>
        <v>Mechatronics Intern</v>
      </c>
      <c r="V94" s="43" t="str">
        <f>IFERROR(__xludf.DUMMYFUNCTION("""COMPUTED_VALUE"""),"ADANA")</f>
        <v>ADANA</v>
      </c>
      <c r="W94" s="43" t="str">
        <f>IFERROR(__xludf.DUMMYFUNCTION("""COMPUTED_VALUE"""),"2023-07-09T21:33:51Z")</f>
        <v>2023-07-09T21:33:51Z</v>
      </c>
      <c r="X94" s="43"/>
      <c r="Y94" s="43"/>
      <c r="Z94" s="43"/>
    </row>
    <row r="95" hidden="1">
      <c r="A95" s="43" t="str">
        <f>IFERROR(__xludf.DUMMYFUNCTION("""COMPUTED_VALUE"""),"1973779_1297938")</f>
        <v>1973779_1297938</v>
      </c>
      <c r="B95" s="43" t="str">
        <f>IFERROR(__xludf.DUMMYFUNCTION("""COMPUTED_VALUE"""),"EdipNecdet Atalay")</f>
        <v>EdipNecdet Atalay</v>
      </c>
      <c r="C95" s="43" t="str">
        <f>IFERROR(__xludf.DUMMYFUNCTION("""COMPUTED_VALUE"""),"approved")</f>
        <v>approved</v>
      </c>
      <c r="D95" s="43" t="str">
        <f>IFERROR(__xludf.DUMMYFUNCTION("""COMPUTED_VALUE"""),"No")</f>
        <v>No</v>
      </c>
      <c r="E95" s="43" t="str">
        <f>IFERROR(__xludf.DUMMYFUNCTION("""COMPUTED_VALUE"""),"p_d923ee16c50d7e32191b0792af998589fb6decd0@inbound.aiesec.org")</f>
        <v>p_d923ee16c50d7e32191b0792af998589fb6decd0@inbound.aiesec.org</v>
      </c>
      <c r="F95" s="43">
        <f>IFERROR(__xludf.DUMMYFUNCTION("""COMPUTED_VALUE"""),5.438238959E9)</f>
        <v>5438238959</v>
      </c>
      <c r="G95" s="43" t="str">
        <f>IFERROR(__xludf.DUMMYFUNCTION("""COMPUTED_VALUE"""),"Turkey")</f>
        <v>Turkey</v>
      </c>
      <c r="H95" s="43" t="str">
        <f>IFERROR(__xludf.DUMMYFUNCTION("""COMPUTED_VALUE"""),"İZMİR")</f>
        <v>İZMİR</v>
      </c>
      <c r="I95" s="43" t="str">
        <f>IFERROR(__xludf.DUMMYFUNCTION("""COMPUTED_VALUE"""),"Brazil")</f>
        <v>Brazil</v>
      </c>
      <c r="J95" s="43" t="str">
        <f>IFERROR(__xludf.DUMMYFUNCTION("""COMPUTED_VALUE"""),"CURITIBA")</f>
        <v>CURITIBA</v>
      </c>
      <c r="K95" s="44" t="str">
        <f>IFERROR(__xludf.DUMMYFUNCTION("""COMPUTED_VALUE"""),"https://expa.aiesec.org/opportunities/1297938")</f>
        <v>https://expa.aiesec.org/opportunities/1297938</v>
      </c>
      <c r="L95" s="43" t="str">
        <f>IFERROR(__xludf.DUMMYFUNCTION("""COMPUTED_VALUE"""),"GTa")</f>
        <v>GTa</v>
      </c>
      <c r="M95" s="43" t="str">
        <f>IFERROR(__xludf.DUMMYFUNCTION("""COMPUTED_VALUE"""),"long")</f>
        <v>long</v>
      </c>
      <c r="N95" s="45">
        <f>IFERROR(__xludf.DUMMYFUNCTION("""COMPUTED_VALUE"""),45155.0)</f>
        <v>45155</v>
      </c>
      <c r="O95" s="45">
        <f>IFERROR(__xludf.DUMMYFUNCTION("""COMPUTED_VALUE"""),45180.0)</f>
        <v>45180</v>
      </c>
      <c r="P95" s="45">
        <f>IFERROR(__xludf.DUMMYFUNCTION("""COMPUTED_VALUE"""),45546.0)</f>
        <v>45546</v>
      </c>
      <c r="Q95" s="45"/>
      <c r="R95" s="45"/>
      <c r="S95" s="43"/>
      <c r="T95" s="43" t="str">
        <f>IFERROR(__xludf.DUMMYFUNCTION("""COMPUTED_VALUE"""),"Engineering")</f>
        <v>Engineering</v>
      </c>
      <c r="U95" s="43" t="str">
        <f>IFERROR(__xludf.DUMMYFUNCTION("""COMPUTED_VALUE"""),"[Engine] Cooking Product Development*")</f>
        <v>[Engine] Cooking Product Development*</v>
      </c>
      <c r="V95" s="43" t="str">
        <f>IFERROR(__xludf.DUMMYFUNCTION("""COMPUTED_VALUE"""),"-")</f>
        <v>-</v>
      </c>
      <c r="W95" s="43" t="str">
        <f>IFERROR(__xludf.DUMMYFUNCTION("""COMPUTED_VALUE"""),"2017-12-27T18:08:37Z")</f>
        <v>2017-12-27T18:08:37Z</v>
      </c>
      <c r="X95" s="43"/>
      <c r="Y95" s="43"/>
      <c r="Z95" s="43"/>
    </row>
    <row r="96" hidden="1">
      <c r="A96" s="43" t="str">
        <f>IFERROR(__xludf.DUMMYFUNCTION("""COMPUTED_VALUE"""),"4704416_1294977")</f>
        <v>4704416_1294977</v>
      </c>
      <c r="B96" s="43" t="str">
        <f>IFERROR(__xludf.DUMMYFUNCTION("""COMPUTED_VALUE"""),"Mohammed Alsharafi")</f>
        <v>Mohammed Alsharafi</v>
      </c>
      <c r="C96" s="43" t="str">
        <f>IFERROR(__xludf.DUMMYFUNCTION("""COMPUTED_VALUE"""),"approved")</f>
        <v>approved</v>
      </c>
      <c r="D96" s="43" t="str">
        <f>IFERROR(__xludf.DUMMYFUNCTION("""COMPUTED_VALUE"""),"No")</f>
        <v>No</v>
      </c>
      <c r="E96" s="43" t="str">
        <f>IFERROR(__xludf.DUMMYFUNCTION("""COMPUTED_VALUE"""),"p_b0e960c0c7a3395b60994370a8b0658e2a6e5b07@inbound.aiesec.org")</f>
        <v>p_b0e960c0c7a3395b60994370a8b0658e2a6e5b07@inbound.aiesec.org</v>
      </c>
      <c r="F96" s="43">
        <f>IFERROR(__xludf.DUMMYFUNCTION("""COMPUTED_VALUE"""),5.388567916E9)</f>
        <v>5388567916</v>
      </c>
      <c r="G96" s="43" t="str">
        <f>IFERROR(__xludf.DUMMYFUNCTION("""COMPUTED_VALUE"""),"Turkey")</f>
        <v>Turkey</v>
      </c>
      <c r="H96" s="43" t="str">
        <f>IFERROR(__xludf.DUMMYFUNCTION("""COMPUTED_VALUE"""),"BURSA")</f>
        <v>BURSA</v>
      </c>
      <c r="I96" s="43" t="str">
        <f>IFERROR(__xludf.DUMMYFUNCTION("""COMPUTED_VALUE"""),"United Arab Emirates")</f>
        <v>United Arab Emirates</v>
      </c>
      <c r="J96" s="43" t="str">
        <f>IFERROR(__xludf.DUMMYFUNCTION("""COMPUTED_VALUE"""),"UAE (MC)")</f>
        <v>UAE (MC)</v>
      </c>
      <c r="K96" s="44" t="str">
        <f>IFERROR(__xludf.DUMMYFUNCTION("""COMPUTED_VALUE"""),"https://expa.aiesec.org/opportunities/1294977")</f>
        <v>https://expa.aiesec.org/opportunities/1294977</v>
      </c>
      <c r="L96" s="43" t="str">
        <f>IFERROR(__xludf.DUMMYFUNCTION("""COMPUTED_VALUE"""),"GTa")</f>
        <v>GTa</v>
      </c>
      <c r="M96" s="43" t="str">
        <f>IFERROR(__xludf.DUMMYFUNCTION("""COMPUTED_VALUE"""),"long")</f>
        <v>long</v>
      </c>
      <c r="N96" s="45">
        <f>IFERROR(__xludf.DUMMYFUNCTION("""COMPUTED_VALUE"""),45159.0)</f>
        <v>45159</v>
      </c>
      <c r="O96" s="45">
        <f>IFERROR(__xludf.DUMMYFUNCTION("""COMPUTED_VALUE"""),45139.0)</f>
        <v>45139</v>
      </c>
      <c r="P96" s="45">
        <f>IFERROR(__xludf.DUMMYFUNCTION("""COMPUTED_VALUE"""),45504.0)</f>
        <v>45504</v>
      </c>
      <c r="Q96" s="45"/>
      <c r="R96" s="45"/>
      <c r="S96" s="43"/>
      <c r="T96" s="43" t="str">
        <f>IFERROR(__xludf.DUMMYFUNCTION("""COMPUTED_VALUE"""),"Business Administration")</f>
        <v>Business Administration</v>
      </c>
      <c r="U96" s="43" t="str">
        <f>IFERROR(__xludf.DUMMYFUNCTION("""COMPUTED_VALUE"""),"Customer Service Intern (Required Freight Forwarding Background)")</f>
        <v>Customer Service Intern (Required Freight Forwarding Background)</v>
      </c>
      <c r="V96" s="43" t="str">
        <f>IFERROR(__xludf.DUMMYFUNCTION("""COMPUTED_VALUE"""),"BURSA")</f>
        <v>BURSA</v>
      </c>
      <c r="W96" s="43" t="str">
        <f>IFERROR(__xludf.DUMMYFUNCTION("""COMPUTED_VALUE"""),"2021-08-04T23:49:14Z")</f>
        <v>2021-08-04T23:49:14Z</v>
      </c>
      <c r="X96" s="43"/>
      <c r="Y96" s="43"/>
      <c r="Z96" s="43"/>
    </row>
    <row r="97" hidden="1">
      <c r="A97" s="43" t="str">
        <f>IFERROR(__xludf.DUMMYFUNCTION("""COMPUTED_VALUE"""),"5306765_1290643")</f>
        <v>5306765_1290643</v>
      </c>
      <c r="B97" s="43" t="str">
        <f>IFERROR(__xludf.DUMMYFUNCTION("""COMPUTED_VALUE"""),"Ebrar Çeven")</f>
        <v>Ebrar Çeven</v>
      </c>
      <c r="C97" s="43" t="str">
        <f>IFERROR(__xludf.DUMMYFUNCTION("""COMPUTED_VALUE"""),"realized")</f>
        <v>realized</v>
      </c>
      <c r="D97" s="43" t="str">
        <f>IFERROR(__xludf.DUMMYFUNCTION("""COMPUTED_VALUE"""),"No")</f>
        <v>No</v>
      </c>
      <c r="E97" s="43" t="str">
        <f>IFERROR(__xludf.DUMMYFUNCTION("""COMPUTED_VALUE"""),"p_a9142c39aaee721d666fc3699325f155ad381f00@inbound.aiesec.org")</f>
        <v>p_a9142c39aaee721d666fc3699325f155ad381f00@inbound.aiesec.org</v>
      </c>
      <c r="F97" s="43"/>
      <c r="G97" s="43" t="str">
        <f>IFERROR(__xludf.DUMMYFUNCTION("""COMPUTED_VALUE"""),"Turkey")</f>
        <v>Turkey</v>
      </c>
      <c r="H97" s="43" t="str">
        <f>IFERROR(__xludf.DUMMYFUNCTION("""COMPUTED_VALUE"""),"BURSA")</f>
        <v>BURSA</v>
      </c>
      <c r="I97" s="43" t="str">
        <f>IFERROR(__xludf.DUMMYFUNCTION("""COMPUTED_VALUE"""),"Egypt")</f>
        <v>Egypt</v>
      </c>
      <c r="J97" s="43" t="str">
        <f>IFERROR(__xludf.DUMMYFUNCTION("""COMPUTED_VALUE"""),"Zagazig")</f>
        <v>Zagazig</v>
      </c>
      <c r="K97" s="44" t="str">
        <f>IFERROR(__xludf.DUMMYFUNCTION("""COMPUTED_VALUE"""),"https://expa.aiesec.org/opportunities/1290643")</f>
        <v>https://expa.aiesec.org/opportunities/1290643</v>
      </c>
      <c r="L97" s="43" t="str">
        <f>IFERROR(__xludf.DUMMYFUNCTION("""COMPUTED_VALUE"""),"GTa")</f>
        <v>GTa</v>
      </c>
      <c r="M97" s="43" t="str">
        <f>IFERROR(__xludf.DUMMYFUNCTION("""COMPUTED_VALUE"""),"short")</f>
        <v>short</v>
      </c>
      <c r="N97" s="45">
        <f>IFERROR(__xludf.DUMMYFUNCTION("""COMPUTED_VALUE"""),45160.0)</f>
        <v>45160</v>
      </c>
      <c r="O97" s="45">
        <f>IFERROR(__xludf.DUMMYFUNCTION("""COMPUTED_VALUE"""),45245.0)</f>
        <v>45245</v>
      </c>
      <c r="P97" s="45">
        <f>IFERROR(__xludf.DUMMYFUNCTION("""COMPUTED_VALUE"""),45328.0)</f>
        <v>45328</v>
      </c>
      <c r="Q97" s="45">
        <f>IFERROR(__xludf.DUMMYFUNCTION("""COMPUTED_VALUE"""),45247.0)</f>
        <v>45247</v>
      </c>
      <c r="R97" s="45">
        <f>IFERROR(__xludf.DUMMYFUNCTION("""COMPUTED_VALUE"""),45328.0)</f>
        <v>45328</v>
      </c>
      <c r="S97" s="43"/>
      <c r="T97" s="43" t="str">
        <f>IFERROR(__xludf.DUMMYFUNCTION("""COMPUTED_VALUE"""),"Business Administration")</f>
        <v>Business Administration</v>
      </c>
      <c r="U97" s="43" t="str">
        <f>IFERROR(__xludf.DUMMYFUNCTION("""COMPUTED_VALUE"""),"Operations Supervisor")</f>
        <v>Operations Supervisor</v>
      </c>
      <c r="V97" s="43" t="str">
        <f>IFERROR(__xludf.DUMMYFUNCTION("""COMPUTED_VALUE"""),"-")</f>
        <v>-</v>
      </c>
      <c r="W97" s="43" t="str">
        <f>IFERROR(__xludf.DUMMYFUNCTION("""COMPUTED_VALUE"""),"2023-08-21T20:46:03Z")</f>
        <v>2023-08-21T20:46:03Z</v>
      </c>
      <c r="X97" s="43"/>
      <c r="Y97" s="43"/>
      <c r="Z97" s="43"/>
    </row>
    <row r="98" hidden="1">
      <c r="A98" s="43" t="str">
        <f>IFERROR(__xludf.DUMMYFUNCTION("""COMPUTED_VALUE"""),"5311031_1294346")</f>
        <v>5311031_1294346</v>
      </c>
      <c r="B98" s="43" t="str">
        <f>IFERROR(__xludf.DUMMYFUNCTION("""COMPUTED_VALUE"""),"ali demir")</f>
        <v>ali demir</v>
      </c>
      <c r="C98" s="43" t="str">
        <f>IFERROR(__xludf.DUMMYFUNCTION("""COMPUTED_VALUE"""),"approved")</f>
        <v>approved</v>
      </c>
      <c r="D98" s="43" t="str">
        <f>IFERROR(__xludf.DUMMYFUNCTION("""COMPUTED_VALUE"""),"No")</f>
        <v>No</v>
      </c>
      <c r="E98" s="43" t="str">
        <f>IFERROR(__xludf.DUMMYFUNCTION("""COMPUTED_VALUE"""),"p_4077192639e411286d4fc5f3edd8644020d8fd29@inbound.aiesec.org")</f>
        <v>p_4077192639e411286d4fc5f3edd8644020d8fd29@inbound.aiesec.org</v>
      </c>
      <c r="F98" s="43">
        <f>IFERROR(__xludf.DUMMYFUNCTION("""COMPUTED_VALUE"""),5.462635952E9)</f>
        <v>5462635952</v>
      </c>
      <c r="G98" s="43" t="str">
        <f>IFERROR(__xludf.DUMMYFUNCTION("""COMPUTED_VALUE"""),"Turkey")</f>
        <v>Turkey</v>
      </c>
      <c r="H98" s="43" t="str">
        <f>IFERROR(__xludf.DUMMYFUNCTION("""COMPUTED_VALUE"""),"İZMİR")</f>
        <v>İZMİR</v>
      </c>
      <c r="I98" s="43" t="str">
        <f>IFERROR(__xludf.DUMMYFUNCTION("""COMPUTED_VALUE"""),"Romania")</f>
        <v>Romania</v>
      </c>
      <c r="J98" s="43" t="str">
        <f>IFERROR(__xludf.DUMMYFUNCTION("""COMPUTED_VALUE"""),"University of Bucharest")</f>
        <v>University of Bucharest</v>
      </c>
      <c r="K98" s="44" t="str">
        <f>IFERROR(__xludf.DUMMYFUNCTION("""COMPUTED_VALUE"""),"https://expa.aiesec.org/opportunities/1294346")</f>
        <v>https://expa.aiesec.org/opportunities/1294346</v>
      </c>
      <c r="L98" s="43" t="str">
        <f>IFERROR(__xludf.DUMMYFUNCTION("""COMPUTED_VALUE"""),"GTa")</f>
        <v>GTa</v>
      </c>
      <c r="M98" s="43" t="str">
        <f>IFERROR(__xludf.DUMMYFUNCTION("""COMPUTED_VALUE"""),"medium")</f>
        <v>medium</v>
      </c>
      <c r="N98" s="45">
        <f>IFERROR(__xludf.DUMMYFUNCTION("""COMPUTED_VALUE"""),45166.0)</f>
        <v>45166</v>
      </c>
      <c r="O98" s="45">
        <f>IFERROR(__xludf.DUMMYFUNCTION("""COMPUTED_VALUE"""),45306.0)</f>
        <v>45306</v>
      </c>
      <c r="P98" s="45">
        <f>IFERROR(__xludf.DUMMYFUNCTION("""COMPUTED_VALUE"""),45457.0)</f>
        <v>45457</v>
      </c>
      <c r="Q98" s="45"/>
      <c r="R98" s="45"/>
      <c r="S98" s="43"/>
      <c r="T98" s="43" t="str">
        <f>IFERROR(__xludf.DUMMYFUNCTION("""COMPUTED_VALUE"""),"Engineering")</f>
        <v>Engineering</v>
      </c>
      <c r="U98" s="43" t="str">
        <f>IFERROR(__xludf.DUMMYFUNCTION("""COMPUTED_VALUE"""),"Accelerate Romania - Mechanical Engineer (Autonomous Mobile Robots)")</f>
        <v>Accelerate Romania - Mechanical Engineer (Autonomous Mobile Robots)</v>
      </c>
      <c r="V98" s="43" t="str">
        <f>IFERROR(__xludf.DUMMYFUNCTION("""COMPUTED_VALUE"""),"IZMIR")</f>
        <v>IZMIR</v>
      </c>
      <c r="W98" s="43" t="str">
        <f>IFERROR(__xludf.DUMMYFUNCTION("""COMPUTED_VALUE"""),"2023-08-27T18:24:36Z")</f>
        <v>2023-08-27T18:24:36Z</v>
      </c>
      <c r="X98" s="43"/>
      <c r="Y98" s="43"/>
      <c r="Z98" s="43"/>
    </row>
    <row r="99" hidden="1">
      <c r="A99" s="43" t="str">
        <f>IFERROR(__xludf.DUMMYFUNCTION("""COMPUTED_VALUE"""),"5312642_1296423")</f>
        <v>5312642_1296423</v>
      </c>
      <c r="B99" s="43" t="str">
        <f>IFERROR(__xludf.DUMMYFUNCTION("""COMPUTED_VALUE"""),"Necdet ATALAY")</f>
        <v>Necdet ATALAY</v>
      </c>
      <c r="C99" s="43" t="str">
        <f>IFERROR(__xludf.DUMMYFUNCTION("""COMPUTED_VALUE"""),"realized")</f>
        <v>realized</v>
      </c>
      <c r="D99" s="43" t="str">
        <f>IFERROR(__xludf.DUMMYFUNCTION("""COMPUTED_VALUE"""),"No")</f>
        <v>No</v>
      </c>
      <c r="E99" s="43" t="str">
        <f>IFERROR(__xludf.DUMMYFUNCTION("""COMPUTED_VALUE"""),"p_b475607d0293d782d5d4f5877d5632529dcf7053@inbound.aiesec.org")</f>
        <v>p_b475607d0293d782d5d4f5877d5632529dcf7053@inbound.aiesec.org</v>
      </c>
      <c r="F99" s="43">
        <f>IFERROR(__xludf.DUMMYFUNCTION("""COMPUTED_VALUE"""),5.438238959E9)</f>
        <v>5438238959</v>
      </c>
      <c r="G99" s="43" t="str">
        <f>IFERROR(__xludf.DUMMYFUNCTION("""COMPUTED_VALUE"""),"Turkey")</f>
        <v>Turkey</v>
      </c>
      <c r="H99" s="43" t="str">
        <f>IFERROR(__xludf.DUMMYFUNCTION("""COMPUTED_VALUE"""),"İZMİR")</f>
        <v>İZMİR</v>
      </c>
      <c r="I99" s="43" t="str">
        <f>IFERROR(__xludf.DUMMYFUNCTION("""COMPUTED_VALUE"""),"Austria")</f>
        <v>Austria</v>
      </c>
      <c r="J99" s="43" t="str">
        <f>IFERROR(__xludf.DUMMYFUNCTION("""COMPUTED_VALUE"""),"GRAZ")</f>
        <v>GRAZ</v>
      </c>
      <c r="K99" s="44" t="str">
        <f>IFERROR(__xludf.DUMMYFUNCTION("""COMPUTED_VALUE"""),"https://expa.aiesec.org/opportunities/1296423")</f>
        <v>https://expa.aiesec.org/opportunities/1296423</v>
      </c>
      <c r="L99" s="43" t="str">
        <f>IFERROR(__xludf.DUMMYFUNCTION("""COMPUTED_VALUE"""),"GTa")</f>
        <v>GTa</v>
      </c>
      <c r="M99" s="43" t="str">
        <f>IFERROR(__xludf.DUMMYFUNCTION("""COMPUTED_VALUE"""),"long")</f>
        <v>long</v>
      </c>
      <c r="N99" s="45">
        <f>IFERROR(__xludf.DUMMYFUNCTION("""COMPUTED_VALUE"""),45188.0)</f>
        <v>45188</v>
      </c>
      <c r="O99" s="45">
        <f>IFERROR(__xludf.DUMMYFUNCTION("""COMPUTED_VALUE"""),45200.0)</f>
        <v>45200</v>
      </c>
      <c r="P99" s="45">
        <f>IFERROR(__xludf.DUMMYFUNCTION("""COMPUTED_VALUE"""),45597.0)</f>
        <v>45597</v>
      </c>
      <c r="Q99" s="45">
        <f>IFERROR(__xludf.DUMMYFUNCTION("""COMPUTED_VALUE"""),45306.0)</f>
        <v>45306</v>
      </c>
      <c r="R99" s="45">
        <f>IFERROR(__xludf.DUMMYFUNCTION("""COMPUTED_VALUE"""),45703.0)</f>
        <v>45703</v>
      </c>
      <c r="S99" s="43"/>
      <c r="T99" s="43" t="str">
        <f>IFERROR(__xludf.DUMMYFUNCTION("""COMPUTED_VALUE"""),"Engineering")</f>
        <v>Engineering</v>
      </c>
      <c r="U99" s="43" t="str">
        <f>IFERROR(__xludf.DUMMYFUNCTION("""COMPUTED_VALUE"""),"R&amp;D Engineer")</f>
        <v>R&amp;D Engineer</v>
      </c>
      <c r="V99" s="43" t="str">
        <f>IFERROR(__xludf.DUMMYFUNCTION("""COMPUTED_VALUE"""),"IZMIR")</f>
        <v>IZMIR</v>
      </c>
      <c r="W99" s="43" t="str">
        <f>IFERROR(__xludf.DUMMYFUNCTION("""COMPUTED_VALUE"""),"2023-08-29T20:47:07Z")</f>
        <v>2023-08-29T20:47:07Z</v>
      </c>
      <c r="X99" s="43"/>
      <c r="Y99" s="43"/>
      <c r="Z99" s="43"/>
    </row>
    <row r="100" hidden="1">
      <c r="A100" s="43" t="str">
        <f>IFERROR(__xludf.DUMMYFUNCTION("""COMPUTED_VALUE"""),"5336713_1297843")</f>
        <v>5336713_1297843</v>
      </c>
      <c r="B100" s="43" t="str">
        <f>IFERROR(__xludf.DUMMYFUNCTION("""COMPUTED_VALUE"""),"Ayşe Abdullahoğlu")</f>
        <v>Ayşe Abdullahoğlu</v>
      </c>
      <c r="C100" s="43" t="str">
        <f>IFERROR(__xludf.DUMMYFUNCTION("""COMPUTED_VALUE"""),"finished")</f>
        <v>finished</v>
      </c>
      <c r="D100" s="43" t="str">
        <f>IFERROR(__xludf.DUMMYFUNCTION("""COMPUTED_VALUE"""),"No")</f>
        <v>No</v>
      </c>
      <c r="E100" s="43" t="str">
        <f>IFERROR(__xludf.DUMMYFUNCTION("""COMPUTED_VALUE"""),"p_124f610e4b9d98d47900a7462287c3c00a590295@inbound.aiesec.org")</f>
        <v>p_124f610e4b9d98d47900a7462287c3c00a590295@inbound.aiesec.org</v>
      </c>
      <c r="F100" s="43">
        <f>IFERROR(__xludf.DUMMYFUNCTION("""COMPUTED_VALUE"""),5.372198902E9)</f>
        <v>5372198902</v>
      </c>
      <c r="G100" s="43" t="str">
        <f>IFERROR(__xludf.DUMMYFUNCTION("""COMPUTED_VALUE"""),"Turkey")</f>
        <v>Turkey</v>
      </c>
      <c r="H100" s="43" t="str">
        <f>IFERROR(__xludf.DUMMYFUNCTION("""COMPUTED_VALUE"""),"BURSA")</f>
        <v>BURSA</v>
      </c>
      <c r="I100" s="43" t="str">
        <f>IFERROR(__xludf.DUMMYFUNCTION("""COMPUTED_VALUE"""),"Romania")</f>
        <v>Romania</v>
      </c>
      <c r="J100" s="43" t="str">
        <f>IFERROR(__xludf.DUMMYFUNCTION("""COMPUTED_VALUE"""),"TIMISOARA")</f>
        <v>TIMISOARA</v>
      </c>
      <c r="K100" s="44" t="str">
        <f>IFERROR(__xludf.DUMMYFUNCTION("""COMPUTED_VALUE"""),"https://expa.aiesec.org/opportunities/1297843")</f>
        <v>https://expa.aiesec.org/opportunities/1297843</v>
      </c>
      <c r="L100" s="43" t="str">
        <f>IFERROR(__xludf.DUMMYFUNCTION("""COMPUTED_VALUE"""),"GTa")</f>
        <v>GTa</v>
      </c>
      <c r="M100" s="43" t="str">
        <f>IFERROR(__xludf.DUMMYFUNCTION("""COMPUTED_VALUE"""),"short")</f>
        <v>short</v>
      </c>
      <c r="N100" s="45">
        <f>IFERROR(__xludf.DUMMYFUNCTION("""COMPUTED_VALUE"""),45199.0)</f>
        <v>45199</v>
      </c>
      <c r="O100" s="45">
        <f>IFERROR(__xludf.DUMMYFUNCTION("""COMPUTED_VALUE"""),45263.0)</f>
        <v>45263</v>
      </c>
      <c r="P100" s="45">
        <f>IFERROR(__xludf.DUMMYFUNCTION("""COMPUTED_VALUE"""),45318.0)</f>
        <v>45318</v>
      </c>
      <c r="Q100" s="45">
        <f>IFERROR(__xludf.DUMMYFUNCTION("""COMPUTED_VALUE"""),45263.0)</f>
        <v>45263</v>
      </c>
      <c r="R100" s="45">
        <f>IFERROR(__xludf.DUMMYFUNCTION("""COMPUTED_VALUE"""),45318.0)</f>
        <v>45318</v>
      </c>
      <c r="S100" s="43"/>
      <c r="T100" s="43" t="str">
        <f>IFERROR(__xludf.DUMMYFUNCTION("""COMPUTED_VALUE"""),"Marketing")</f>
        <v>Marketing</v>
      </c>
      <c r="U100" s="43" t="str">
        <f>IFERROR(__xludf.DUMMYFUNCTION("""COMPUTED_VALUE"""),"Accelerate Romania | Marketing Internship")</f>
        <v>Accelerate Romania | Marketing Internship</v>
      </c>
      <c r="V100" s="43" t="str">
        <f>IFERROR(__xludf.DUMMYFUNCTION("""COMPUTED_VALUE"""),"BURSA")</f>
        <v>BURSA</v>
      </c>
      <c r="W100" s="43" t="str">
        <f>IFERROR(__xludf.DUMMYFUNCTION("""COMPUTED_VALUE"""),"2023-09-28T21:11:45Z")</f>
        <v>2023-09-28T21:11:45Z</v>
      </c>
      <c r="X100" s="43"/>
      <c r="Y100" s="43"/>
      <c r="Z100" s="43"/>
    </row>
    <row r="101" hidden="1">
      <c r="A101" s="43" t="str">
        <f>IFERROR(__xludf.DUMMYFUNCTION("""COMPUTED_VALUE"""),"4801317_1299049")</f>
        <v>4801317_1299049</v>
      </c>
      <c r="B101" s="43" t="str">
        <f>IFERROR(__xludf.DUMMYFUNCTION("""COMPUTED_VALUE"""),"Berkant Cosgel")</f>
        <v>Berkant Cosgel</v>
      </c>
      <c r="C101" s="43" t="str">
        <f>IFERROR(__xludf.DUMMYFUNCTION("""COMPUTED_VALUE"""),"approved")</f>
        <v>approved</v>
      </c>
      <c r="D101" s="43" t="str">
        <f>IFERROR(__xludf.DUMMYFUNCTION("""COMPUTED_VALUE"""),"No")</f>
        <v>No</v>
      </c>
      <c r="E101" s="43" t="str">
        <f>IFERROR(__xludf.DUMMYFUNCTION("""COMPUTED_VALUE"""),"p_ec80d2632a4bbc57b7bcbed34602320d9abf019d@inbound.aiesec.org")</f>
        <v>p_ec80d2632a4bbc57b7bcbed34602320d9abf019d@inbound.aiesec.org</v>
      </c>
      <c r="F101" s="43">
        <f>IFERROR(__xludf.DUMMYFUNCTION("""COMPUTED_VALUE"""),5.536682308E9)</f>
        <v>5536682308</v>
      </c>
      <c r="G101" s="43" t="str">
        <f>IFERROR(__xludf.DUMMYFUNCTION("""COMPUTED_VALUE"""),"Turkey")</f>
        <v>Turkey</v>
      </c>
      <c r="H101" s="43" t="str">
        <f>IFERROR(__xludf.DUMMYFUNCTION("""COMPUTED_VALUE"""),"ANTALYA")</f>
        <v>ANTALYA</v>
      </c>
      <c r="I101" s="43" t="str">
        <f>IFERROR(__xludf.DUMMYFUNCTION("""COMPUTED_VALUE"""),"United Kingdom")</f>
        <v>United Kingdom</v>
      </c>
      <c r="J101" s="43" t="str">
        <f>IFERROR(__xludf.DUMMYFUNCTION("""COMPUTED_VALUE"""),"London - MC UK")</f>
        <v>London - MC UK</v>
      </c>
      <c r="K101" s="44" t="str">
        <f>IFERROR(__xludf.DUMMYFUNCTION("""COMPUTED_VALUE"""),"https://expa.aiesec.org/opportunities/1299049")</f>
        <v>https://expa.aiesec.org/opportunities/1299049</v>
      </c>
      <c r="L101" s="43" t="str">
        <f>IFERROR(__xludf.DUMMYFUNCTION("""COMPUTED_VALUE"""),"GTa")</f>
        <v>GTa</v>
      </c>
      <c r="M101" s="43" t="str">
        <f>IFERROR(__xludf.DUMMYFUNCTION("""COMPUTED_VALUE"""),"long")</f>
        <v>long</v>
      </c>
      <c r="N101" s="45">
        <f>IFERROR(__xludf.DUMMYFUNCTION("""COMPUTED_VALUE"""),45199.0)</f>
        <v>45199</v>
      </c>
      <c r="O101" s="45">
        <f>IFERROR(__xludf.DUMMYFUNCTION("""COMPUTED_VALUE"""),45261.0)</f>
        <v>45261</v>
      </c>
      <c r="P101" s="45">
        <f>IFERROR(__xludf.DUMMYFUNCTION("""COMPUTED_VALUE"""),45626.0)</f>
        <v>45626</v>
      </c>
      <c r="Q101" s="45"/>
      <c r="R101" s="45"/>
      <c r="S101" s="43"/>
      <c r="T101" s="43" t="str">
        <f>IFERROR(__xludf.DUMMYFUNCTION("""COMPUTED_VALUE"""),"Other")</f>
        <v>Other</v>
      </c>
      <c r="U101" s="43" t="str">
        <f>IFERROR(__xludf.DUMMYFUNCTION("""COMPUTED_VALUE"""),"Woodland Creation Office (INTERN)")</f>
        <v>Woodland Creation Office (INTERN)</v>
      </c>
      <c r="V101" s="43" t="str">
        <f>IFERROR(__xludf.DUMMYFUNCTION("""COMPUTED_VALUE"""),"ANTALYA")</f>
        <v>ANTALYA</v>
      </c>
      <c r="W101" s="43" t="str">
        <f>IFERROR(__xludf.DUMMYFUNCTION("""COMPUTED_VALUE"""),"2021-11-13T17:25:35Z")</f>
        <v>2021-11-13T17:25:35Z</v>
      </c>
      <c r="X101" s="43"/>
      <c r="Y101" s="43"/>
      <c r="Z101" s="43"/>
    </row>
    <row r="102" hidden="1">
      <c r="A102" s="43" t="str">
        <f>IFERROR(__xludf.DUMMYFUNCTION("""COMPUTED_VALUE"""),"4379124_1299393")</f>
        <v>4379124_1299393</v>
      </c>
      <c r="B102" s="43" t="str">
        <f>IFERROR(__xludf.DUMMYFUNCTION("""COMPUTED_VALUE"""),"Ramsha Hafiz")</f>
        <v>Ramsha Hafiz</v>
      </c>
      <c r="C102" s="43" t="str">
        <f>IFERROR(__xludf.DUMMYFUNCTION("""COMPUTED_VALUE"""),"realization_broken")</f>
        <v>realization_broken</v>
      </c>
      <c r="D102" s="43" t="str">
        <f>IFERROR(__xludf.DUMMYFUNCTION("""COMPUTED_VALUE"""),"No")</f>
        <v>No</v>
      </c>
      <c r="E102" s="43" t="str">
        <f>IFERROR(__xludf.DUMMYFUNCTION("""COMPUTED_VALUE"""),"p_a8b536ca10a17c7125fc0ec2c9a2381dae30b812@inbound.aiesec.org")</f>
        <v>p_a8b536ca10a17c7125fc0ec2c9a2381dae30b812@inbound.aiesec.org</v>
      </c>
      <c r="F102" s="43">
        <f>IFERROR(__xludf.DUMMYFUNCTION("""COMPUTED_VALUE"""),5.434613824E9)</f>
        <v>5434613824</v>
      </c>
      <c r="G102" s="43" t="str">
        <f>IFERROR(__xludf.DUMMYFUNCTION("""COMPUTED_VALUE"""),"Turkey")</f>
        <v>Turkey</v>
      </c>
      <c r="H102" s="43" t="str">
        <f>IFERROR(__xludf.DUMMYFUNCTION("""COMPUTED_VALUE"""),"ISTANBUL")</f>
        <v>ISTANBUL</v>
      </c>
      <c r="I102" s="43" t="str">
        <f>IFERROR(__xludf.DUMMYFUNCTION("""COMPUTED_VALUE"""),"Egypt")</f>
        <v>Egypt</v>
      </c>
      <c r="J102" s="43" t="str">
        <f>IFERROR(__xludf.DUMMYFUNCTION("""COMPUTED_VALUE"""),"Menofia")</f>
        <v>Menofia</v>
      </c>
      <c r="K102" s="44" t="str">
        <f>IFERROR(__xludf.DUMMYFUNCTION("""COMPUTED_VALUE"""),"https://expa.aiesec.org/opportunities/1299393")</f>
        <v>https://expa.aiesec.org/opportunities/1299393</v>
      </c>
      <c r="L102" s="43" t="str">
        <f>IFERROR(__xludf.DUMMYFUNCTION("""COMPUTED_VALUE"""),"GTa")</f>
        <v>GTa</v>
      </c>
      <c r="M102" s="43" t="str">
        <f>IFERROR(__xludf.DUMMYFUNCTION("""COMPUTED_VALUE"""),"short")</f>
        <v>short</v>
      </c>
      <c r="N102" s="45">
        <f>IFERROR(__xludf.DUMMYFUNCTION("""COMPUTED_VALUE"""),45199.0)</f>
        <v>45199</v>
      </c>
      <c r="O102" s="45">
        <f>IFERROR(__xludf.DUMMYFUNCTION("""COMPUTED_VALUE"""),45245.0)</f>
        <v>45245</v>
      </c>
      <c r="P102" s="45">
        <f>IFERROR(__xludf.DUMMYFUNCTION("""COMPUTED_VALUE"""),45287.0)</f>
        <v>45287</v>
      </c>
      <c r="Q102" s="45"/>
      <c r="R102" s="45"/>
      <c r="S102" s="43"/>
      <c r="T102" s="43" t="str">
        <f>IFERROR(__xludf.DUMMYFUNCTION("""COMPUTED_VALUE"""),"Marketing")</f>
        <v>Marketing</v>
      </c>
      <c r="U102" s="43" t="str">
        <f>IFERROR(__xludf.DUMMYFUNCTION("""COMPUTED_VALUE"""),"Marketing Manager")</f>
        <v>Marketing Manager</v>
      </c>
      <c r="V102" s="43" t="str">
        <f>IFERROR(__xludf.DUMMYFUNCTION("""COMPUTED_VALUE"""),"ISTANBUL - BEYOGLU")</f>
        <v>ISTANBUL - BEYOGLU</v>
      </c>
      <c r="W102" s="43" t="str">
        <f>IFERROR(__xludf.DUMMYFUNCTION("""COMPUTED_VALUE"""),"2020-09-25T21:24:00Z")</f>
        <v>2020-09-25T21:24:00Z</v>
      </c>
      <c r="X102" s="43"/>
      <c r="Y102" s="43"/>
      <c r="Z102" s="43"/>
    </row>
    <row r="103" hidden="1">
      <c r="A103" s="43" t="str">
        <f>IFERROR(__xludf.DUMMYFUNCTION("""COMPUTED_VALUE"""),"4630504_1296529")</f>
        <v>4630504_1296529</v>
      </c>
      <c r="B103" s="43" t="str">
        <f>IFERROR(__xludf.DUMMYFUNCTION("""COMPUTED_VALUE"""),"Ezgi Uzundede")</f>
        <v>Ezgi Uzundede</v>
      </c>
      <c r="C103" s="43" t="str">
        <f>IFERROR(__xludf.DUMMYFUNCTION("""COMPUTED_VALUE"""),"approved")</f>
        <v>approved</v>
      </c>
      <c r="D103" s="43" t="str">
        <f>IFERROR(__xludf.DUMMYFUNCTION("""COMPUTED_VALUE"""),"No")</f>
        <v>No</v>
      </c>
      <c r="E103" s="43" t="str">
        <f>IFERROR(__xludf.DUMMYFUNCTION("""COMPUTED_VALUE"""),"p_130b8df59390fc5e98558b3db00c250f4ff0d80d@inbound.aiesec.org")</f>
        <v>p_130b8df59390fc5e98558b3db00c250f4ff0d80d@inbound.aiesec.org</v>
      </c>
      <c r="F103" s="43">
        <f>IFERROR(__xludf.DUMMYFUNCTION("""COMPUTED_VALUE"""),5.347620018E9)</f>
        <v>5347620018</v>
      </c>
      <c r="G103" s="43" t="str">
        <f>IFERROR(__xludf.DUMMYFUNCTION("""COMPUTED_VALUE"""),"Turkey")</f>
        <v>Turkey</v>
      </c>
      <c r="H103" s="43" t="str">
        <f>IFERROR(__xludf.DUMMYFUNCTION("""COMPUTED_VALUE"""),"ISTANBUL WEST")</f>
        <v>ISTANBUL WEST</v>
      </c>
      <c r="I103" s="43" t="str">
        <f>IFERROR(__xludf.DUMMYFUNCTION("""COMPUTED_VALUE"""),"The Netherlands")</f>
        <v>The Netherlands</v>
      </c>
      <c r="J103" s="43" t="str">
        <f>IFERROR(__xludf.DUMMYFUNCTION("""COMPUTED_VALUE"""),"UTRECHT")</f>
        <v>UTRECHT</v>
      </c>
      <c r="K103" s="44" t="str">
        <f>IFERROR(__xludf.DUMMYFUNCTION("""COMPUTED_VALUE"""),"https://expa.aiesec.org/opportunities/1296529")</f>
        <v>https://expa.aiesec.org/opportunities/1296529</v>
      </c>
      <c r="L103" s="43" t="str">
        <f>IFERROR(__xludf.DUMMYFUNCTION("""COMPUTED_VALUE"""),"GTa")</f>
        <v>GTa</v>
      </c>
      <c r="M103" s="43" t="str">
        <f>IFERROR(__xludf.DUMMYFUNCTION("""COMPUTED_VALUE"""),"long")</f>
        <v>long</v>
      </c>
      <c r="N103" s="45">
        <f>IFERROR(__xludf.DUMMYFUNCTION("""COMPUTED_VALUE"""),45208.0)</f>
        <v>45208</v>
      </c>
      <c r="O103" s="45">
        <f>IFERROR(__xludf.DUMMYFUNCTION("""COMPUTED_VALUE"""),45166.0)</f>
        <v>45166</v>
      </c>
      <c r="P103" s="45">
        <f>IFERROR(__xludf.DUMMYFUNCTION("""COMPUTED_VALUE"""),45527.0)</f>
        <v>45527</v>
      </c>
      <c r="Q103" s="45"/>
      <c r="R103" s="45"/>
      <c r="S103" s="43"/>
      <c r="T103" s="43" t="str">
        <f>IFERROR(__xludf.DUMMYFUNCTION("""COMPUTED_VALUE"""),"Other")</f>
        <v>Other</v>
      </c>
      <c r="U103" s="43" t="str">
        <f>IFERROR(__xludf.DUMMYFUNCTION("""COMPUTED_VALUE"""),"Learning &amp; Development specialist")</f>
        <v>Learning &amp; Development specialist</v>
      </c>
      <c r="V103" s="43" t="str">
        <f>IFERROR(__xludf.DUMMYFUNCTION("""COMPUTED_VALUE"""),"ISTANBUL - BAKIRKOY")</f>
        <v>ISTANBUL - BAKIRKOY</v>
      </c>
      <c r="W103" s="43" t="str">
        <f>IFERROR(__xludf.DUMMYFUNCTION("""COMPUTED_VALUE"""),"2021-04-27T08:36:10Z")</f>
        <v>2021-04-27T08:36:10Z</v>
      </c>
      <c r="X103" s="43"/>
      <c r="Y103" s="43"/>
      <c r="Z103" s="43"/>
    </row>
    <row r="104" hidden="1">
      <c r="A104" s="43" t="str">
        <f>IFERROR(__xludf.DUMMYFUNCTION("""COMPUTED_VALUE"""),"5348197_1300058")</f>
        <v>5348197_1300058</v>
      </c>
      <c r="B104" s="43" t="str">
        <f>IFERROR(__xludf.DUMMYFUNCTION("""COMPUTED_VALUE"""),"Reha Evren Abalı")</f>
        <v>Reha Evren Abalı</v>
      </c>
      <c r="C104" s="43" t="str">
        <f>IFERROR(__xludf.DUMMYFUNCTION("""COMPUTED_VALUE"""),"approved")</f>
        <v>approved</v>
      </c>
      <c r="D104" s="43" t="str">
        <f>IFERROR(__xludf.DUMMYFUNCTION("""COMPUTED_VALUE"""),"No")</f>
        <v>No</v>
      </c>
      <c r="E104" s="43" t="str">
        <f>IFERROR(__xludf.DUMMYFUNCTION("""COMPUTED_VALUE"""),"p_f437cd841c28b216134c29b706d00cfeefa1268d@inbound.aiesec.org")</f>
        <v>p_f437cd841c28b216134c29b706d00cfeefa1268d@inbound.aiesec.org</v>
      </c>
      <c r="F104" s="43">
        <f>IFERROR(__xludf.DUMMYFUNCTION("""COMPUTED_VALUE"""),5.416712011E9)</f>
        <v>5416712011</v>
      </c>
      <c r="G104" s="43" t="str">
        <f>IFERROR(__xludf.DUMMYFUNCTION("""COMPUTED_VALUE"""),"Turkey")</f>
        <v>Turkey</v>
      </c>
      <c r="H104" s="43" t="str">
        <f>IFERROR(__xludf.DUMMYFUNCTION("""COMPUTED_VALUE"""),"ISTANBUL")</f>
        <v>ISTANBUL</v>
      </c>
      <c r="I104" s="43" t="str">
        <f>IFERROR(__xludf.DUMMYFUNCTION("""COMPUTED_VALUE"""),"Egypt")</f>
        <v>Egypt</v>
      </c>
      <c r="J104" s="43" t="str">
        <f>IFERROR(__xludf.DUMMYFUNCTION("""COMPUTED_VALUE"""),"Menofia")</f>
        <v>Menofia</v>
      </c>
      <c r="K104" s="44" t="str">
        <f>IFERROR(__xludf.DUMMYFUNCTION("""COMPUTED_VALUE"""),"https://expa.aiesec.org/opportunities/1300058")</f>
        <v>https://expa.aiesec.org/opportunities/1300058</v>
      </c>
      <c r="L104" s="43" t="str">
        <f>IFERROR(__xludf.DUMMYFUNCTION("""COMPUTED_VALUE"""),"GTa")</f>
        <v>GTa</v>
      </c>
      <c r="M104" s="43" t="str">
        <f>IFERROR(__xludf.DUMMYFUNCTION("""COMPUTED_VALUE"""),"short")</f>
        <v>short</v>
      </c>
      <c r="N104" s="45">
        <f>IFERROR(__xludf.DUMMYFUNCTION("""COMPUTED_VALUE"""),45209.0)</f>
        <v>45209</v>
      </c>
      <c r="O104" s="45">
        <f>IFERROR(__xludf.DUMMYFUNCTION("""COMPUTED_VALUE"""),45474.0)</f>
        <v>45474</v>
      </c>
      <c r="P104" s="45">
        <f>IFERROR(__xludf.DUMMYFUNCTION("""COMPUTED_VALUE"""),45519.0)</f>
        <v>45519</v>
      </c>
      <c r="Q104" s="45"/>
      <c r="R104" s="45"/>
      <c r="S104" s="43"/>
      <c r="T104" s="43" t="str">
        <f>IFERROR(__xludf.DUMMYFUNCTION("""COMPUTED_VALUE"""),"Marketing")</f>
        <v>Marketing</v>
      </c>
      <c r="U104" s="43" t="str">
        <f>IFERROR(__xludf.DUMMYFUNCTION("""COMPUTED_VALUE"""),"Socail Media Manager ")</f>
        <v>Socail Media Manager </v>
      </c>
      <c r="V104" s="43" t="str">
        <f>IFERROR(__xludf.DUMMYFUNCTION("""COMPUTED_VALUE"""),"ISTANBUL - BEYOGLU")</f>
        <v>ISTANBUL - BEYOGLU</v>
      </c>
      <c r="W104" s="43" t="str">
        <f>IFERROR(__xludf.DUMMYFUNCTION("""COMPUTED_VALUE"""),"2023-10-10T14:47:07Z")</f>
        <v>2023-10-10T14:47:07Z</v>
      </c>
      <c r="X104" s="43"/>
      <c r="Y104" s="43"/>
      <c r="Z104" s="43"/>
    </row>
    <row r="105" hidden="1">
      <c r="A105" s="43" t="str">
        <f>IFERROR(__xludf.DUMMYFUNCTION("""COMPUTED_VALUE"""),"5114158_1300050")</f>
        <v>5114158_1300050</v>
      </c>
      <c r="B105" s="43" t="str">
        <f>IFERROR(__xludf.DUMMYFUNCTION("""COMPUTED_VALUE"""),"Sudenaz Akın")</f>
        <v>Sudenaz Akın</v>
      </c>
      <c r="C105" s="43" t="str">
        <f>IFERROR(__xludf.DUMMYFUNCTION("""COMPUTED_VALUE"""),"approved")</f>
        <v>approved</v>
      </c>
      <c r="D105" s="43" t="str">
        <f>IFERROR(__xludf.DUMMYFUNCTION("""COMPUTED_VALUE"""),"No")</f>
        <v>No</v>
      </c>
      <c r="E105" s="43" t="str">
        <f>IFERROR(__xludf.DUMMYFUNCTION("""COMPUTED_VALUE"""),"p_db9c7f629a058cde1e5654ec8baba316857d0699@inbound.aiesec.org")</f>
        <v>p_db9c7f629a058cde1e5654ec8baba316857d0699@inbound.aiesec.org</v>
      </c>
      <c r="F105" s="43">
        <f>IFERROR(__xludf.DUMMYFUNCTION("""COMPUTED_VALUE"""),5.462437959E9)</f>
        <v>5462437959</v>
      </c>
      <c r="G105" s="43" t="str">
        <f>IFERROR(__xludf.DUMMYFUNCTION("""COMPUTED_VALUE"""),"Turkey")</f>
        <v>Turkey</v>
      </c>
      <c r="H105" s="43" t="str">
        <f>IFERROR(__xludf.DUMMYFUNCTION("""COMPUTED_VALUE"""),"ISTANBUL")</f>
        <v>ISTANBUL</v>
      </c>
      <c r="I105" s="43" t="str">
        <f>IFERROR(__xludf.DUMMYFUNCTION("""COMPUTED_VALUE"""),"Egypt")</f>
        <v>Egypt</v>
      </c>
      <c r="J105" s="43" t="str">
        <f>IFERROR(__xludf.DUMMYFUNCTION("""COMPUTED_VALUE"""),"Menofia")</f>
        <v>Menofia</v>
      </c>
      <c r="K105" s="44" t="str">
        <f>IFERROR(__xludf.DUMMYFUNCTION("""COMPUTED_VALUE"""),"https://expa.aiesec.org/opportunities/1300050")</f>
        <v>https://expa.aiesec.org/opportunities/1300050</v>
      </c>
      <c r="L105" s="43" t="str">
        <f>IFERROR(__xludf.DUMMYFUNCTION("""COMPUTED_VALUE"""),"GTa")</f>
        <v>GTa</v>
      </c>
      <c r="M105" s="43" t="str">
        <f>IFERROR(__xludf.DUMMYFUNCTION("""COMPUTED_VALUE"""),"short")</f>
        <v>short</v>
      </c>
      <c r="N105" s="45">
        <f>IFERROR(__xludf.DUMMYFUNCTION("""COMPUTED_VALUE"""),45209.0)</f>
        <v>45209</v>
      </c>
      <c r="O105" s="45">
        <f>IFERROR(__xludf.DUMMYFUNCTION("""COMPUTED_VALUE"""),45474.0)</f>
        <v>45474</v>
      </c>
      <c r="P105" s="45">
        <f>IFERROR(__xludf.DUMMYFUNCTION("""COMPUTED_VALUE"""),45516.0)</f>
        <v>45516</v>
      </c>
      <c r="Q105" s="45"/>
      <c r="R105" s="45"/>
      <c r="S105" s="43"/>
      <c r="T105" s="43" t="str">
        <f>IFERROR(__xludf.DUMMYFUNCTION("""COMPUTED_VALUE"""),"Marketing")</f>
        <v>Marketing</v>
      </c>
      <c r="U105" s="43" t="str">
        <f>IFERROR(__xludf.DUMMYFUNCTION("""COMPUTED_VALUE"""),"Marketing Manager ")</f>
        <v>Marketing Manager </v>
      </c>
      <c r="V105" s="43" t="str">
        <f>IFERROR(__xludf.DUMMYFUNCTION("""COMPUTED_VALUE"""),"ISTANBUL - BEYOGLU")</f>
        <v>ISTANBUL - BEYOGLU</v>
      </c>
      <c r="W105" s="43" t="str">
        <f>IFERROR(__xludf.DUMMYFUNCTION("""COMPUTED_VALUE"""),"2022-09-17T11:30:33Z")</f>
        <v>2022-09-17T11:30:33Z</v>
      </c>
      <c r="X105" s="43"/>
      <c r="Y105" s="43"/>
      <c r="Z105" s="43"/>
    </row>
    <row r="106" hidden="1">
      <c r="A106" s="43" t="str">
        <f>IFERROR(__xludf.DUMMYFUNCTION("""COMPUTED_VALUE"""),"5264542_1297842")</f>
        <v>5264542_1297842</v>
      </c>
      <c r="B106" s="43" t="str">
        <f>IFERROR(__xludf.DUMMYFUNCTION("""COMPUTED_VALUE"""),"Alperen A")</f>
        <v>Alperen A</v>
      </c>
      <c r="C106" s="43" t="str">
        <f>IFERROR(__xludf.DUMMYFUNCTION("""COMPUTED_VALUE"""),"approved")</f>
        <v>approved</v>
      </c>
      <c r="D106" s="43" t="str">
        <f>IFERROR(__xludf.DUMMYFUNCTION("""COMPUTED_VALUE"""),"No")</f>
        <v>No</v>
      </c>
      <c r="E106" s="43" t="str">
        <f>IFERROR(__xludf.DUMMYFUNCTION("""COMPUTED_VALUE"""),"p_6303fa93aba890a25afa4b5481d2ed96a6411ae8@inbound.aiesec.org")</f>
        <v>p_6303fa93aba890a25afa4b5481d2ed96a6411ae8@inbound.aiesec.org</v>
      </c>
      <c r="F106" s="43"/>
      <c r="G106" s="43" t="str">
        <f>IFERROR(__xludf.DUMMYFUNCTION("""COMPUTED_VALUE"""),"Turkey")</f>
        <v>Turkey</v>
      </c>
      <c r="H106" s="43" t="str">
        <f>IFERROR(__xludf.DUMMYFUNCTION("""COMPUTED_VALUE"""),"ISTANBUL WEST")</f>
        <v>ISTANBUL WEST</v>
      </c>
      <c r="I106" s="43" t="str">
        <f>IFERROR(__xludf.DUMMYFUNCTION("""COMPUTED_VALUE"""),"Belgium")</f>
        <v>Belgium</v>
      </c>
      <c r="J106" s="43" t="str">
        <f>IFERROR(__xludf.DUMMYFUNCTION("""COMPUTED_VALUE"""),"Belgium (National) ")</f>
        <v>Belgium (National) </v>
      </c>
      <c r="K106" s="44" t="str">
        <f>IFERROR(__xludf.DUMMYFUNCTION("""COMPUTED_VALUE"""),"https://expa.aiesec.org/opportunities/1297842")</f>
        <v>https://expa.aiesec.org/opportunities/1297842</v>
      </c>
      <c r="L106" s="43" t="str">
        <f>IFERROR(__xludf.DUMMYFUNCTION("""COMPUTED_VALUE"""),"GTa")</f>
        <v>GTa</v>
      </c>
      <c r="M106" s="43" t="str">
        <f>IFERROR(__xludf.DUMMYFUNCTION("""COMPUTED_VALUE"""),"long")</f>
        <v>long</v>
      </c>
      <c r="N106" s="45">
        <f>IFERROR(__xludf.DUMMYFUNCTION("""COMPUTED_VALUE"""),45216.0)</f>
        <v>45216</v>
      </c>
      <c r="O106" s="45">
        <f>IFERROR(__xludf.DUMMYFUNCTION("""COMPUTED_VALUE"""),45323.0)</f>
        <v>45323</v>
      </c>
      <c r="P106" s="45">
        <f>IFERROR(__xludf.DUMMYFUNCTION("""COMPUTED_VALUE"""),45648.0)</f>
        <v>45648</v>
      </c>
      <c r="Q106" s="45"/>
      <c r="R106" s="45"/>
      <c r="S106" s="43"/>
      <c r="T106" s="43" t="str">
        <f>IFERROR(__xludf.DUMMYFUNCTION("""COMPUTED_VALUE"""),"Engineering")</f>
        <v>Engineering</v>
      </c>
      <c r="U106" s="43" t="str">
        <f>IFERROR(__xludf.DUMMYFUNCTION("""COMPUTED_VALUE"""),"Prototyping and Project Management Engineer")</f>
        <v>Prototyping and Project Management Engineer</v>
      </c>
      <c r="V106" s="43" t="str">
        <f>IFERROR(__xludf.DUMMYFUNCTION("""COMPUTED_VALUE"""),"-")</f>
        <v>-</v>
      </c>
      <c r="W106" s="43" t="str">
        <f>IFERROR(__xludf.DUMMYFUNCTION("""COMPUTED_VALUE"""),"2023-05-21T17:29:51Z")</f>
        <v>2023-05-21T17:29:51Z</v>
      </c>
      <c r="X106" s="43"/>
      <c r="Y106" s="43"/>
      <c r="Z106" s="43"/>
    </row>
    <row r="107" hidden="1">
      <c r="A107" s="43" t="str">
        <f>IFERROR(__xludf.DUMMYFUNCTION("""COMPUTED_VALUE"""),"2018680_1298543")</f>
        <v>2018680_1298543</v>
      </c>
      <c r="B107" s="43" t="str">
        <f>IFERROR(__xludf.DUMMYFUNCTION("""COMPUTED_VALUE"""),"Erkan Dogan")</f>
        <v>Erkan Dogan</v>
      </c>
      <c r="C107" s="43" t="str">
        <f>IFERROR(__xludf.DUMMYFUNCTION("""COMPUTED_VALUE"""),"approved")</f>
        <v>approved</v>
      </c>
      <c r="D107" s="43" t="str">
        <f>IFERROR(__xludf.DUMMYFUNCTION("""COMPUTED_VALUE"""),"No")</f>
        <v>No</v>
      </c>
      <c r="E107" s="43" t="str">
        <f>IFERROR(__xludf.DUMMYFUNCTION("""COMPUTED_VALUE"""),"p_e5056452651de040dc1583b61978d351a3962e1a@inbound.aiesec.org")</f>
        <v>p_e5056452651de040dc1583b61978d351a3962e1a@inbound.aiesec.org</v>
      </c>
      <c r="F107" s="43">
        <f>IFERROR(__xludf.DUMMYFUNCTION("""COMPUTED_VALUE"""),5.346343073E9)</f>
        <v>5346343073</v>
      </c>
      <c r="G107" s="43" t="str">
        <f>IFERROR(__xludf.DUMMYFUNCTION("""COMPUTED_VALUE"""),"Turkey")</f>
        <v>Turkey</v>
      </c>
      <c r="H107" s="43" t="str">
        <f>IFERROR(__xludf.DUMMYFUNCTION("""COMPUTED_VALUE"""),"ANKARA")</f>
        <v>ANKARA</v>
      </c>
      <c r="I107" s="43" t="str">
        <f>IFERROR(__xludf.DUMMYFUNCTION("""COMPUTED_VALUE"""),"Germany")</f>
        <v>Germany</v>
      </c>
      <c r="J107" s="43" t="str">
        <f>IFERROR(__xludf.DUMMYFUNCTION("""COMPUTED_VALUE"""),"BONN")</f>
        <v>BONN</v>
      </c>
      <c r="K107" s="44" t="str">
        <f>IFERROR(__xludf.DUMMYFUNCTION("""COMPUTED_VALUE"""),"https://expa.aiesec.org/opportunities/1298543")</f>
        <v>https://expa.aiesec.org/opportunities/1298543</v>
      </c>
      <c r="L107" s="43" t="str">
        <f>IFERROR(__xludf.DUMMYFUNCTION("""COMPUTED_VALUE"""),"GTa")</f>
        <v>GTa</v>
      </c>
      <c r="M107" s="43" t="str">
        <f>IFERROR(__xludf.DUMMYFUNCTION("""COMPUTED_VALUE"""),"long")</f>
        <v>long</v>
      </c>
      <c r="N107" s="45">
        <f>IFERROR(__xludf.DUMMYFUNCTION("""COMPUTED_VALUE"""),45218.0)</f>
        <v>45218</v>
      </c>
      <c r="O107" s="45">
        <f>IFERROR(__xludf.DUMMYFUNCTION("""COMPUTED_VALUE"""),45264.0)</f>
        <v>45264</v>
      </c>
      <c r="P107" s="45">
        <f>IFERROR(__xludf.DUMMYFUNCTION("""COMPUTED_VALUE"""),45629.0)</f>
        <v>45629</v>
      </c>
      <c r="Q107" s="45"/>
      <c r="R107" s="45"/>
      <c r="S107" s="43"/>
      <c r="T107" s="43" t="str">
        <f>IFERROR(__xludf.DUMMYFUNCTION("""COMPUTED_VALUE"""),"Information Technology")</f>
        <v>Information Technology</v>
      </c>
      <c r="U107" s="43" t="str">
        <f>IFERROR(__xludf.DUMMYFUNCTION("""COMPUTED_VALUE"""),"PMO - Global IT End User Services")</f>
        <v>PMO - Global IT End User Services</v>
      </c>
      <c r="V107" s="43" t="str">
        <f>IFERROR(__xludf.DUMMYFUNCTION("""COMPUTED_VALUE"""),"-")</f>
        <v>-</v>
      </c>
      <c r="W107" s="43" t="str">
        <f>IFERROR(__xludf.DUMMYFUNCTION("""COMPUTED_VALUE"""),"2018-02-05T19:32:45Z")</f>
        <v>2018-02-05T19:32:45Z</v>
      </c>
      <c r="X107" s="43"/>
      <c r="Y107" s="43"/>
      <c r="Z107" s="43"/>
    </row>
    <row r="108" hidden="1">
      <c r="A108" s="43" t="str">
        <f>IFERROR(__xludf.DUMMYFUNCTION("""COMPUTED_VALUE"""),"5356041_1299853")</f>
        <v>5356041_1299853</v>
      </c>
      <c r="B108" s="43" t="str">
        <f>IFERROR(__xludf.DUMMYFUNCTION("""COMPUTED_VALUE"""),"Betul Gorken")</f>
        <v>Betul Gorken</v>
      </c>
      <c r="C108" s="43" t="str">
        <f>IFERROR(__xludf.DUMMYFUNCTION("""COMPUTED_VALUE"""),"approved")</f>
        <v>approved</v>
      </c>
      <c r="D108" s="43" t="str">
        <f>IFERROR(__xludf.DUMMYFUNCTION("""COMPUTED_VALUE"""),"No")</f>
        <v>No</v>
      </c>
      <c r="E108" s="43" t="str">
        <f>IFERROR(__xludf.DUMMYFUNCTION("""COMPUTED_VALUE"""),"p_304b3c7643c74f4c001f36ded80f87e9ca6cefe9@inbound.aiesec.org")</f>
        <v>p_304b3c7643c74f4c001f36ded80f87e9ca6cefe9@inbound.aiesec.org</v>
      </c>
      <c r="F108" s="43">
        <f>IFERROR(__xludf.DUMMYFUNCTION("""COMPUTED_VALUE"""),5.384418302E9)</f>
        <v>5384418302</v>
      </c>
      <c r="G108" s="43" t="str">
        <f>IFERROR(__xludf.DUMMYFUNCTION("""COMPUTED_VALUE"""),"Turkey")</f>
        <v>Turkey</v>
      </c>
      <c r="H108" s="43" t="str">
        <f>IFERROR(__xludf.DUMMYFUNCTION("""COMPUTED_VALUE"""),"ISTANBUL ASIA")</f>
        <v>ISTANBUL ASIA</v>
      </c>
      <c r="I108" s="43" t="str">
        <f>IFERROR(__xludf.DUMMYFUNCTION("""COMPUTED_VALUE"""),"Brazil")</f>
        <v>Brazil</v>
      </c>
      <c r="J108" s="43" t="str">
        <f>IFERROR(__xludf.DUMMYFUNCTION("""COMPUTED_VALUE"""),"PORTO ALEGRE")</f>
        <v>PORTO ALEGRE</v>
      </c>
      <c r="K108" s="44" t="str">
        <f>IFERROR(__xludf.DUMMYFUNCTION("""COMPUTED_VALUE"""),"https://expa.aiesec.org/opportunities/1299853")</f>
        <v>https://expa.aiesec.org/opportunities/1299853</v>
      </c>
      <c r="L108" s="43" t="str">
        <f>IFERROR(__xludf.DUMMYFUNCTION("""COMPUTED_VALUE"""),"GTa")</f>
        <v>GTa</v>
      </c>
      <c r="M108" s="43" t="str">
        <f>IFERROR(__xludf.DUMMYFUNCTION("""COMPUTED_VALUE"""),"short")</f>
        <v>short</v>
      </c>
      <c r="N108" s="45">
        <f>IFERROR(__xludf.DUMMYFUNCTION("""COMPUTED_VALUE"""),45220.0)</f>
        <v>45220</v>
      </c>
      <c r="O108" s="45">
        <f>IFERROR(__xludf.DUMMYFUNCTION("""COMPUTED_VALUE"""),45397.0)</f>
        <v>45397</v>
      </c>
      <c r="P108" s="45">
        <f>IFERROR(__xludf.DUMMYFUNCTION("""COMPUTED_VALUE"""),45454.0)</f>
        <v>45454</v>
      </c>
      <c r="Q108" s="45"/>
      <c r="R108" s="45"/>
      <c r="S108" s="43"/>
      <c r="T108" s="43" t="str">
        <f>IFERROR(__xludf.DUMMYFUNCTION("""COMPUTED_VALUE"""),"Marketing")</f>
        <v>Marketing</v>
      </c>
      <c r="U108" s="43" t="str">
        <f>IFERROR(__xludf.DUMMYFUNCTION("""COMPUTED_VALUE"""),"[HASHTAG] Social Media @PA")</f>
        <v>[HASHTAG] Social Media @PA</v>
      </c>
      <c r="V108" s="43" t="str">
        <f>IFERROR(__xludf.DUMMYFUNCTION("""COMPUTED_VALUE"""),"ISTANBUL ASIA")</f>
        <v>ISTANBUL ASIA</v>
      </c>
      <c r="W108" s="43" t="str">
        <f>IFERROR(__xludf.DUMMYFUNCTION("""COMPUTED_VALUE"""),"2023-10-20T06:39:23Z")</f>
        <v>2023-10-20T06:39:23Z</v>
      </c>
      <c r="X108" s="43"/>
      <c r="Y108" s="43"/>
      <c r="Z108" s="43"/>
    </row>
    <row r="109" hidden="1">
      <c r="A109" s="43" t="str">
        <f>IFERROR(__xludf.DUMMYFUNCTION("""COMPUTED_VALUE"""),"5345023_1299371")</f>
        <v>5345023_1299371</v>
      </c>
      <c r="B109" s="43" t="str">
        <f>IFERROR(__xludf.DUMMYFUNCTION("""COMPUTED_VALUE"""),"Şevval Giril")</f>
        <v>Şevval Giril</v>
      </c>
      <c r="C109" s="43" t="str">
        <f>IFERROR(__xludf.DUMMYFUNCTION("""COMPUTED_VALUE"""),"realized")</f>
        <v>realized</v>
      </c>
      <c r="D109" s="43" t="str">
        <f>IFERROR(__xludf.DUMMYFUNCTION("""COMPUTED_VALUE"""),"No")</f>
        <v>No</v>
      </c>
      <c r="E109" s="43" t="str">
        <f>IFERROR(__xludf.DUMMYFUNCTION("""COMPUTED_VALUE"""),"p_8a81db5996e38c4d9e958ba91745195cfcdd9531@inbound.aiesec.org")</f>
        <v>p_8a81db5996e38c4d9e958ba91745195cfcdd9531@inbound.aiesec.org</v>
      </c>
      <c r="F109" s="43">
        <f>IFERROR(__xludf.DUMMYFUNCTION("""COMPUTED_VALUE"""),5.305184222E9)</f>
        <v>5305184222</v>
      </c>
      <c r="G109" s="43" t="str">
        <f>IFERROR(__xludf.DUMMYFUNCTION("""COMPUTED_VALUE"""),"Turkey")</f>
        <v>Turkey</v>
      </c>
      <c r="H109" s="43" t="str">
        <f>IFERROR(__xludf.DUMMYFUNCTION("""COMPUTED_VALUE"""),"ISTANBUL ASIA")</f>
        <v>ISTANBUL ASIA</v>
      </c>
      <c r="I109" s="43" t="str">
        <f>IFERROR(__xludf.DUMMYFUNCTION("""COMPUTED_VALUE"""),"Romania")</f>
        <v>Romania</v>
      </c>
      <c r="J109" s="43" t="str">
        <f>IFERROR(__xludf.DUMMYFUNCTION("""COMPUTED_VALUE"""),"IASI")</f>
        <v>IASI</v>
      </c>
      <c r="K109" s="44" t="str">
        <f>IFERROR(__xludf.DUMMYFUNCTION("""COMPUTED_VALUE"""),"https://expa.aiesec.org/opportunities/1299371")</f>
        <v>https://expa.aiesec.org/opportunities/1299371</v>
      </c>
      <c r="L109" s="43" t="str">
        <f>IFERROR(__xludf.DUMMYFUNCTION("""COMPUTED_VALUE"""),"GTa")</f>
        <v>GTa</v>
      </c>
      <c r="M109" s="43" t="str">
        <f>IFERROR(__xludf.DUMMYFUNCTION("""COMPUTED_VALUE"""),"short")</f>
        <v>short</v>
      </c>
      <c r="N109" s="45">
        <f>IFERROR(__xludf.DUMMYFUNCTION("""COMPUTED_VALUE"""),45220.0)</f>
        <v>45220</v>
      </c>
      <c r="O109" s="45">
        <f>IFERROR(__xludf.DUMMYFUNCTION("""COMPUTED_VALUE"""),45264.0)</f>
        <v>45264</v>
      </c>
      <c r="P109" s="45">
        <f>IFERROR(__xludf.DUMMYFUNCTION("""COMPUTED_VALUE"""),45331.0)</f>
        <v>45331</v>
      </c>
      <c r="Q109" s="45">
        <f>IFERROR(__xludf.DUMMYFUNCTION("""COMPUTED_VALUE"""),45250.0)</f>
        <v>45250</v>
      </c>
      <c r="R109" s="45">
        <f>IFERROR(__xludf.DUMMYFUNCTION("""COMPUTED_VALUE"""),45331.0)</f>
        <v>45331</v>
      </c>
      <c r="S109" s="43"/>
      <c r="T109" s="43" t="str">
        <f>IFERROR(__xludf.DUMMYFUNCTION("""COMPUTED_VALUE"""),"Marketing")</f>
        <v>Marketing</v>
      </c>
      <c r="U109" s="43" t="str">
        <f>IFERROR(__xludf.DUMMYFUNCTION("""COMPUTED_VALUE"""),"Accelerate Romania | Marketing Junior")</f>
        <v>Accelerate Romania | Marketing Junior</v>
      </c>
      <c r="V109" s="43" t="str">
        <f>IFERROR(__xludf.DUMMYFUNCTION("""COMPUTED_VALUE"""),"ISTANBUL ASIA")</f>
        <v>ISTANBUL ASIA</v>
      </c>
      <c r="W109" s="43" t="str">
        <f>IFERROR(__xludf.DUMMYFUNCTION("""COMPUTED_VALUE"""),"2023-10-07T14:18:45Z")</f>
        <v>2023-10-07T14:18:45Z</v>
      </c>
      <c r="X109" s="43"/>
      <c r="Y109" s="43"/>
      <c r="Z109" s="43"/>
    </row>
    <row r="110" hidden="1">
      <c r="A110" s="43" t="str">
        <f>IFERROR(__xludf.DUMMYFUNCTION("""COMPUTED_VALUE"""),"5338595_1299393")</f>
        <v>5338595_1299393</v>
      </c>
      <c r="B110" s="43" t="str">
        <f>IFERROR(__xludf.DUMMYFUNCTION("""COMPUTED_VALUE"""),"Taner Yildiz")</f>
        <v>Taner Yildiz</v>
      </c>
      <c r="C110" s="43" t="str">
        <f>IFERROR(__xludf.DUMMYFUNCTION("""COMPUTED_VALUE"""),"approved")</f>
        <v>approved</v>
      </c>
      <c r="D110" s="43" t="str">
        <f>IFERROR(__xludf.DUMMYFUNCTION("""COMPUTED_VALUE"""),"No")</f>
        <v>No</v>
      </c>
      <c r="E110" s="43" t="str">
        <f>IFERROR(__xludf.DUMMYFUNCTION("""COMPUTED_VALUE"""),"p_b4244602e8001f3c888a82d8f83506a64b689140@inbound.aiesec.org")</f>
        <v>p_b4244602e8001f3c888a82d8f83506a64b689140@inbound.aiesec.org</v>
      </c>
      <c r="F110" s="43"/>
      <c r="G110" s="43" t="str">
        <f>IFERROR(__xludf.DUMMYFUNCTION("""COMPUTED_VALUE"""),"Turkey")</f>
        <v>Turkey</v>
      </c>
      <c r="H110" s="43" t="str">
        <f>IFERROR(__xludf.DUMMYFUNCTION("""COMPUTED_VALUE"""),"ISTANBUL ASIA")</f>
        <v>ISTANBUL ASIA</v>
      </c>
      <c r="I110" s="43" t="str">
        <f>IFERROR(__xludf.DUMMYFUNCTION("""COMPUTED_VALUE"""),"Egypt")</f>
        <v>Egypt</v>
      </c>
      <c r="J110" s="43" t="str">
        <f>IFERROR(__xludf.DUMMYFUNCTION("""COMPUTED_VALUE"""),"Menofia")</f>
        <v>Menofia</v>
      </c>
      <c r="K110" s="44" t="str">
        <f>IFERROR(__xludf.DUMMYFUNCTION("""COMPUTED_VALUE"""),"https://expa.aiesec.org/opportunities/1299393")</f>
        <v>https://expa.aiesec.org/opportunities/1299393</v>
      </c>
      <c r="L110" s="43" t="str">
        <f>IFERROR(__xludf.DUMMYFUNCTION("""COMPUTED_VALUE"""),"GTa")</f>
        <v>GTa</v>
      </c>
      <c r="M110" s="43" t="str">
        <f>IFERROR(__xludf.DUMMYFUNCTION("""COMPUTED_VALUE"""),"short")</f>
        <v>short</v>
      </c>
      <c r="N110" s="45">
        <f>IFERROR(__xludf.DUMMYFUNCTION("""COMPUTED_VALUE"""),45227.0)</f>
        <v>45227</v>
      </c>
      <c r="O110" s="45">
        <f>IFERROR(__xludf.DUMMYFUNCTION("""COMPUTED_VALUE"""),45231.0)</f>
        <v>45231</v>
      </c>
      <c r="P110" s="45">
        <f>IFERROR(__xludf.DUMMYFUNCTION("""COMPUTED_VALUE"""),45273.0)</f>
        <v>45273</v>
      </c>
      <c r="Q110" s="45"/>
      <c r="R110" s="45"/>
      <c r="S110" s="43"/>
      <c r="T110" s="43" t="str">
        <f>IFERROR(__xludf.DUMMYFUNCTION("""COMPUTED_VALUE"""),"Marketing")</f>
        <v>Marketing</v>
      </c>
      <c r="U110" s="43" t="str">
        <f>IFERROR(__xludf.DUMMYFUNCTION("""COMPUTED_VALUE"""),"Marketing Manager")</f>
        <v>Marketing Manager</v>
      </c>
      <c r="V110" s="43" t="str">
        <f>IFERROR(__xludf.DUMMYFUNCTION("""COMPUTED_VALUE"""),"-")</f>
        <v>-</v>
      </c>
      <c r="W110" s="43" t="str">
        <f>IFERROR(__xludf.DUMMYFUNCTION("""COMPUTED_VALUE"""),"2023-09-30T18:58:55Z")</f>
        <v>2023-09-30T18:58:55Z</v>
      </c>
      <c r="X110" s="43"/>
      <c r="Y110" s="43"/>
      <c r="Z110" s="43"/>
    </row>
    <row r="111" hidden="1">
      <c r="A111" s="43" t="str">
        <f>IFERROR(__xludf.DUMMYFUNCTION("""COMPUTED_VALUE"""),"5363700_1300102")</f>
        <v>5363700_1300102</v>
      </c>
      <c r="B111" s="43" t="str">
        <f>IFERROR(__xludf.DUMMYFUNCTION("""COMPUTED_VALUE"""),"Muhammet Ali Yavuz")</f>
        <v>Muhammet Ali Yavuz</v>
      </c>
      <c r="C111" s="43" t="str">
        <f>IFERROR(__xludf.DUMMYFUNCTION("""COMPUTED_VALUE"""),"approved")</f>
        <v>approved</v>
      </c>
      <c r="D111" s="43" t="str">
        <f>IFERROR(__xludf.DUMMYFUNCTION("""COMPUTED_VALUE"""),"No")</f>
        <v>No</v>
      </c>
      <c r="E111" s="43" t="str">
        <f>IFERROR(__xludf.DUMMYFUNCTION("""COMPUTED_VALUE"""),"p_fc4d1f5904f4f8def2a55c236c22424c0a9055d3@inbound.aiesec.org")</f>
        <v>p_fc4d1f5904f4f8def2a55c236c22424c0a9055d3@inbound.aiesec.org</v>
      </c>
      <c r="F111" s="43"/>
      <c r="G111" s="43" t="str">
        <f>IFERROR(__xludf.DUMMYFUNCTION("""COMPUTED_VALUE"""),"Turkey")</f>
        <v>Turkey</v>
      </c>
      <c r="H111" s="43" t="str">
        <f>IFERROR(__xludf.DUMMYFUNCTION("""COMPUTED_VALUE"""),"ISTANBUL")</f>
        <v>ISTANBUL</v>
      </c>
      <c r="I111" s="43" t="str">
        <f>IFERROR(__xludf.DUMMYFUNCTION("""COMPUTED_VALUE"""),"Egypt")</f>
        <v>Egypt</v>
      </c>
      <c r="J111" s="43" t="str">
        <f>IFERROR(__xludf.DUMMYFUNCTION("""COMPUTED_VALUE"""),"Menofia")</f>
        <v>Menofia</v>
      </c>
      <c r="K111" s="44" t="str">
        <f>IFERROR(__xludf.DUMMYFUNCTION("""COMPUTED_VALUE"""),"https://expa.aiesec.org/opportunities/1300102")</f>
        <v>https://expa.aiesec.org/opportunities/1300102</v>
      </c>
      <c r="L111" s="43" t="str">
        <f>IFERROR(__xludf.DUMMYFUNCTION("""COMPUTED_VALUE"""),"GTa")</f>
        <v>GTa</v>
      </c>
      <c r="M111" s="43" t="str">
        <f>IFERROR(__xludf.DUMMYFUNCTION("""COMPUTED_VALUE"""),"short")</f>
        <v>short</v>
      </c>
      <c r="N111" s="45">
        <f>IFERROR(__xludf.DUMMYFUNCTION("""COMPUTED_VALUE"""),45230.0)</f>
        <v>45230</v>
      </c>
      <c r="O111" s="45">
        <f>IFERROR(__xludf.DUMMYFUNCTION("""COMPUTED_VALUE"""),45306.0)</f>
        <v>45306</v>
      </c>
      <c r="P111" s="45">
        <f>IFERROR(__xludf.DUMMYFUNCTION("""COMPUTED_VALUE"""),45351.0)</f>
        <v>45351</v>
      </c>
      <c r="Q111" s="45"/>
      <c r="R111" s="45"/>
      <c r="S111" s="43"/>
      <c r="T111" s="43" t="str">
        <f>IFERROR(__xludf.DUMMYFUNCTION("""COMPUTED_VALUE"""),"Marketing")</f>
        <v>Marketing</v>
      </c>
      <c r="U111" s="43" t="str">
        <f>IFERROR(__xludf.DUMMYFUNCTION("""COMPUTED_VALUE"""),"Social media Manager")</f>
        <v>Social media Manager</v>
      </c>
      <c r="V111" s="43" t="str">
        <f>IFERROR(__xludf.DUMMYFUNCTION("""COMPUTED_VALUE"""),"-")</f>
        <v>-</v>
      </c>
      <c r="W111" s="43" t="str">
        <f>IFERROR(__xludf.DUMMYFUNCTION("""COMPUTED_VALUE"""),"2023-10-30T18:32:38Z")</f>
        <v>2023-10-30T18:32:38Z</v>
      </c>
      <c r="X111" s="43"/>
      <c r="Y111" s="43"/>
      <c r="Z111" s="43"/>
    </row>
    <row r="112" hidden="1">
      <c r="A112" s="43" t="str">
        <f>IFERROR(__xludf.DUMMYFUNCTION("""COMPUTED_VALUE"""),"5270789_1299829")</f>
        <v>5270789_1299829</v>
      </c>
      <c r="B112" s="43" t="str">
        <f>IFERROR(__xludf.DUMMYFUNCTION("""COMPUTED_VALUE"""),"Nilgul Beste Kavur")</f>
        <v>Nilgul Beste Kavur</v>
      </c>
      <c r="C112" s="43" t="str">
        <f>IFERROR(__xludf.DUMMYFUNCTION("""COMPUTED_VALUE"""),"approved")</f>
        <v>approved</v>
      </c>
      <c r="D112" s="43" t="str">
        <f>IFERROR(__xludf.DUMMYFUNCTION("""COMPUTED_VALUE"""),"No")</f>
        <v>No</v>
      </c>
      <c r="E112" s="43" t="str">
        <f>IFERROR(__xludf.DUMMYFUNCTION("""COMPUTED_VALUE"""),"p_2c9ee66f874af2ca76e02024b91aba339cb39f1c@inbound.aiesec.org")</f>
        <v>p_2c9ee66f874af2ca76e02024b91aba339cb39f1c@inbound.aiesec.org</v>
      </c>
      <c r="F112" s="43">
        <f>IFERROR(__xludf.DUMMYFUNCTION("""COMPUTED_VALUE"""),5.078720032E9)</f>
        <v>5078720032</v>
      </c>
      <c r="G112" s="43" t="str">
        <f>IFERROR(__xludf.DUMMYFUNCTION("""COMPUTED_VALUE"""),"Turkey")</f>
        <v>Turkey</v>
      </c>
      <c r="H112" s="43" t="str">
        <f>IFERROR(__xludf.DUMMYFUNCTION("""COMPUTED_VALUE"""),"İZMİR")</f>
        <v>İZMİR</v>
      </c>
      <c r="I112" s="43" t="str">
        <f>IFERROR(__xludf.DUMMYFUNCTION("""COMPUTED_VALUE"""),"Poland")</f>
        <v>Poland</v>
      </c>
      <c r="J112" s="43" t="str">
        <f>IFERROR(__xludf.DUMMYFUNCTION("""COMPUTED_VALUE"""),"WROCLAW UE")</f>
        <v>WROCLAW UE</v>
      </c>
      <c r="K112" s="44" t="str">
        <f>IFERROR(__xludf.DUMMYFUNCTION("""COMPUTED_VALUE"""),"https://expa.aiesec.org/opportunities/1299829")</f>
        <v>https://expa.aiesec.org/opportunities/1299829</v>
      </c>
      <c r="L112" s="43" t="str">
        <f>IFERROR(__xludf.DUMMYFUNCTION("""COMPUTED_VALUE"""),"GTa")</f>
        <v>GTa</v>
      </c>
      <c r="M112" s="43" t="str">
        <f>IFERROR(__xludf.DUMMYFUNCTION("""COMPUTED_VALUE"""),"long")</f>
        <v>long</v>
      </c>
      <c r="N112" s="45">
        <f>IFERROR(__xludf.DUMMYFUNCTION("""COMPUTED_VALUE"""),45246.0)</f>
        <v>45246</v>
      </c>
      <c r="O112" s="45">
        <f>IFERROR(__xludf.DUMMYFUNCTION("""COMPUTED_VALUE"""),45299.0)</f>
        <v>45299</v>
      </c>
      <c r="P112" s="45">
        <f>IFERROR(__xludf.DUMMYFUNCTION("""COMPUTED_VALUE"""),45488.0)</f>
        <v>45488</v>
      </c>
      <c r="Q112" s="45"/>
      <c r="R112" s="45"/>
      <c r="S112" s="43"/>
      <c r="T112" s="43" t="str">
        <f>IFERROR(__xludf.DUMMYFUNCTION("""COMPUTED_VALUE"""),"Marketing")</f>
        <v>Marketing</v>
      </c>
      <c r="U112" s="43" t="str">
        <f>IFERROR(__xludf.DUMMYFUNCTION("""COMPUTED_VALUE"""),"Business Development Specialist")</f>
        <v>Business Development Specialist</v>
      </c>
      <c r="V112" s="43" t="str">
        <f>IFERROR(__xludf.DUMMYFUNCTION("""COMPUTED_VALUE"""),"-")</f>
        <v>-</v>
      </c>
      <c r="W112" s="43" t="str">
        <f>IFERROR(__xludf.DUMMYFUNCTION("""COMPUTED_VALUE"""),"2023-06-02T19:28:44Z")</f>
        <v>2023-06-02T19:28:44Z</v>
      </c>
      <c r="X112" s="43"/>
      <c r="Y112" s="43"/>
      <c r="Z112" s="43"/>
    </row>
    <row r="113" hidden="1">
      <c r="A113" s="43" t="str">
        <f>IFERROR(__xludf.DUMMYFUNCTION("""COMPUTED_VALUE"""),"3339681_1288371")</f>
        <v>3339681_1288371</v>
      </c>
      <c r="B113" s="43" t="str">
        <f>IFERROR(__xludf.DUMMYFUNCTION("""COMPUTED_VALUE"""),"Samet Can Altay")</f>
        <v>Samet Can Altay</v>
      </c>
      <c r="C113" s="43" t="str">
        <f>IFERROR(__xludf.DUMMYFUNCTION("""COMPUTED_VALUE"""),"approved")</f>
        <v>approved</v>
      </c>
      <c r="D113" s="43" t="str">
        <f>IFERROR(__xludf.DUMMYFUNCTION("""COMPUTED_VALUE"""),"No")</f>
        <v>No</v>
      </c>
      <c r="E113" s="43" t="str">
        <f>IFERROR(__xludf.DUMMYFUNCTION("""COMPUTED_VALUE"""),"p_00654bd0da6bc62d04e96f41cb6e130cc7ca7753@inbound.aiesec.org")</f>
        <v>p_00654bd0da6bc62d04e96f41cb6e130cc7ca7753@inbound.aiesec.org</v>
      </c>
      <c r="F113" s="43">
        <f>IFERROR(__xludf.DUMMYFUNCTION("""COMPUTED_VALUE"""),5.054964679E9)</f>
        <v>5054964679</v>
      </c>
      <c r="G113" s="43" t="str">
        <f>IFERROR(__xludf.DUMMYFUNCTION("""COMPUTED_VALUE"""),"Turkey")</f>
        <v>Turkey</v>
      </c>
      <c r="H113" s="43" t="str">
        <f>IFERROR(__xludf.DUMMYFUNCTION("""COMPUTED_VALUE"""),"KOCAELI")</f>
        <v>KOCAELI</v>
      </c>
      <c r="I113" s="43" t="str">
        <f>IFERROR(__xludf.DUMMYFUNCTION("""COMPUTED_VALUE"""),"India")</f>
        <v>India</v>
      </c>
      <c r="J113" s="43" t="str">
        <f>IFERROR(__xludf.DUMMYFUNCTION("""COMPUTED_VALUE"""),"Delhi University")</f>
        <v>Delhi University</v>
      </c>
      <c r="K113" s="44" t="str">
        <f>IFERROR(__xludf.DUMMYFUNCTION("""COMPUTED_VALUE"""),"https://expa.aiesec.org/opportunities/1288371")</f>
        <v>https://expa.aiesec.org/opportunities/1288371</v>
      </c>
      <c r="L113" s="43" t="str">
        <f>IFERROR(__xludf.DUMMYFUNCTION("""COMPUTED_VALUE"""),"GTa")</f>
        <v>GTa</v>
      </c>
      <c r="M113" s="43" t="str">
        <f>IFERROR(__xludf.DUMMYFUNCTION("""COMPUTED_VALUE"""),"long")</f>
        <v>long</v>
      </c>
      <c r="N113" s="45">
        <f>IFERROR(__xludf.DUMMYFUNCTION("""COMPUTED_VALUE"""),45250.0)</f>
        <v>45250</v>
      </c>
      <c r="O113" s="45">
        <f>IFERROR(__xludf.DUMMYFUNCTION("""COMPUTED_VALUE"""),45383.0)</f>
        <v>45383</v>
      </c>
      <c r="P113" s="45">
        <f>IFERROR(__xludf.DUMMYFUNCTION("""COMPUTED_VALUE"""),45777.0)</f>
        <v>45777</v>
      </c>
      <c r="Q113" s="45"/>
      <c r="R113" s="45"/>
      <c r="S113" s="43"/>
      <c r="T113" s="43" t="str">
        <f>IFERROR(__xludf.DUMMYFUNCTION("""COMPUTED_VALUE"""),"Marketing")</f>
        <v>Marketing</v>
      </c>
      <c r="U113" s="43" t="str">
        <f>IFERROR(__xludf.DUMMYFUNCTION("""COMPUTED_VALUE"""),"International Sales Manager")</f>
        <v>International Sales Manager</v>
      </c>
      <c r="V113" s="43" t="str">
        <f>IFERROR(__xludf.DUMMYFUNCTION("""COMPUTED_VALUE"""),"KOCAELI")</f>
        <v>KOCAELI</v>
      </c>
      <c r="W113" s="43" t="str">
        <f>IFERROR(__xludf.DUMMYFUNCTION("""COMPUTED_VALUE"""),"2019-04-17T14:13:04Z")</f>
        <v>2019-04-17T14:13:04Z</v>
      </c>
      <c r="X113" s="43"/>
      <c r="Y113" s="43"/>
      <c r="Z113" s="43"/>
    </row>
    <row r="114" hidden="1">
      <c r="A114" s="43" t="str">
        <f>IFERROR(__xludf.DUMMYFUNCTION("""COMPUTED_VALUE"""),"5375524_1300920")</f>
        <v>5375524_1300920</v>
      </c>
      <c r="B114" s="43" t="str">
        <f>IFERROR(__xludf.DUMMYFUNCTION("""COMPUTED_VALUE"""),"Tuğba Ergün")</f>
        <v>Tuğba Ergün</v>
      </c>
      <c r="C114" s="43" t="str">
        <f>IFERROR(__xludf.DUMMYFUNCTION("""COMPUTED_VALUE"""),"approved")</f>
        <v>approved</v>
      </c>
      <c r="D114" s="43" t="str">
        <f>IFERROR(__xludf.DUMMYFUNCTION("""COMPUTED_VALUE"""),"No")</f>
        <v>No</v>
      </c>
      <c r="E114" s="43" t="str">
        <f>IFERROR(__xludf.DUMMYFUNCTION("""COMPUTED_VALUE"""),"p_6ddfbae25ad7a33bfc9a482c65ecfe3ab8f78582@inbound.aiesec.org")</f>
        <v>p_6ddfbae25ad7a33bfc9a482c65ecfe3ab8f78582@inbound.aiesec.org</v>
      </c>
      <c r="F114" s="43">
        <f>IFERROR(__xludf.DUMMYFUNCTION("""COMPUTED_VALUE"""),5.369464409E9)</f>
        <v>5369464409</v>
      </c>
      <c r="G114" s="43" t="str">
        <f>IFERROR(__xludf.DUMMYFUNCTION("""COMPUTED_VALUE"""),"Turkey")</f>
        <v>Turkey</v>
      </c>
      <c r="H114" s="43" t="str">
        <f>IFERROR(__xludf.DUMMYFUNCTION("""COMPUTED_VALUE"""),"ISTANBUL ASIA")</f>
        <v>ISTANBUL ASIA</v>
      </c>
      <c r="I114" s="43" t="str">
        <f>IFERROR(__xludf.DUMMYFUNCTION("""COMPUTED_VALUE"""),"India")</f>
        <v>India</v>
      </c>
      <c r="J114" s="43" t="str">
        <f>IFERROR(__xludf.DUMMYFUNCTION("""COMPUTED_VALUE"""),"JAIPUR ")</f>
        <v>JAIPUR </v>
      </c>
      <c r="K114" s="44" t="str">
        <f>IFERROR(__xludf.DUMMYFUNCTION("""COMPUTED_VALUE"""),"https://expa.aiesec.org/opportunities/1300920")</f>
        <v>https://expa.aiesec.org/opportunities/1300920</v>
      </c>
      <c r="L114" s="43" t="str">
        <f>IFERROR(__xludf.DUMMYFUNCTION("""COMPUTED_VALUE"""),"GTa")</f>
        <v>GTa</v>
      </c>
      <c r="M114" s="43" t="str">
        <f>IFERROR(__xludf.DUMMYFUNCTION("""COMPUTED_VALUE"""),"long")</f>
        <v>long</v>
      </c>
      <c r="N114" s="45">
        <f>IFERROR(__xludf.DUMMYFUNCTION("""COMPUTED_VALUE"""),45250.0)</f>
        <v>45250</v>
      </c>
      <c r="O114" s="45">
        <f>IFERROR(__xludf.DUMMYFUNCTION("""COMPUTED_VALUE"""),45352.0)</f>
        <v>45352</v>
      </c>
      <c r="P114" s="45">
        <f>IFERROR(__xludf.DUMMYFUNCTION("""COMPUTED_VALUE"""),45596.0)</f>
        <v>45596</v>
      </c>
      <c r="Q114" s="45"/>
      <c r="R114" s="45"/>
      <c r="S114" s="43"/>
      <c r="T114" s="43" t="str">
        <f>IFERROR(__xludf.DUMMYFUNCTION("""COMPUTED_VALUE"""),"Business Development")</f>
        <v>Business Development</v>
      </c>
      <c r="U114" s="43" t="str">
        <f>IFERROR(__xludf.DUMMYFUNCTION("""COMPUTED_VALUE"""),"sales and business development intern")</f>
        <v>sales and business development intern</v>
      </c>
      <c r="V114" s="43" t="str">
        <f>IFERROR(__xludf.DUMMYFUNCTION("""COMPUTED_VALUE"""),"ISTANBUL ASIA")</f>
        <v>ISTANBUL ASIA</v>
      </c>
      <c r="W114" s="43" t="str">
        <f>IFERROR(__xludf.DUMMYFUNCTION("""COMPUTED_VALUE"""),"2023-11-19T17:34:15Z")</f>
        <v>2023-11-19T17:34:15Z</v>
      </c>
      <c r="X114" s="43"/>
      <c r="Y114" s="43"/>
      <c r="Z114" s="43"/>
    </row>
    <row r="115" hidden="1">
      <c r="A115" s="43" t="str">
        <f>IFERROR(__xludf.DUMMYFUNCTION("""COMPUTED_VALUE"""),"3808794_1300121")</f>
        <v>3808794_1300121</v>
      </c>
      <c r="B115" s="43" t="str">
        <f>IFERROR(__xludf.DUMMYFUNCTION("""COMPUTED_VALUE"""),"Sarah Duygu Korkmaz")</f>
        <v>Sarah Duygu Korkmaz</v>
      </c>
      <c r="C115" s="43" t="str">
        <f>IFERROR(__xludf.DUMMYFUNCTION("""COMPUTED_VALUE"""),"approved")</f>
        <v>approved</v>
      </c>
      <c r="D115" s="43" t="str">
        <f>IFERROR(__xludf.DUMMYFUNCTION("""COMPUTED_VALUE"""),"No")</f>
        <v>No</v>
      </c>
      <c r="E115" s="43" t="str">
        <f>IFERROR(__xludf.DUMMYFUNCTION("""COMPUTED_VALUE"""),"p_684014b74285c9cae1bd4802048023a9b0ca9355@inbound.aiesec.org")</f>
        <v>p_684014b74285c9cae1bd4802048023a9b0ca9355@inbound.aiesec.org</v>
      </c>
      <c r="F115" s="43">
        <f>IFERROR(__xludf.DUMMYFUNCTION("""COMPUTED_VALUE"""),7.45089334E8)</f>
        <v>745089334</v>
      </c>
      <c r="G115" s="43" t="str">
        <f>IFERROR(__xludf.DUMMYFUNCTION("""COMPUTED_VALUE"""),"Turkey")</f>
        <v>Turkey</v>
      </c>
      <c r="H115" s="43" t="str">
        <f>IFERROR(__xludf.DUMMYFUNCTION("""COMPUTED_VALUE"""),"ISTANBUL")</f>
        <v>ISTANBUL</v>
      </c>
      <c r="I115" s="43" t="str">
        <f>IFERROR(__xludf.DUMMYFUNCTION("""COMPUTED_VALUE"""),"United States")</f>
        <v>United States</v>
      </c>
      <c r="J115" s="43" t="str">
        <f>IFERROR(__xludf.DUMMYFUNCTION("""COMPUTED_VALUE"""),"UNITED STATES (MC)")</f>
        <v>UNITED STATES (MC)</v>
      </c>
      <c r="K115" s="44" t="str">
        <f>IFERROR(__xludf.DUMMYFUNCTION("""COMPUTED_VALUE"""),"https://expa.aiesec.org/opportunities/1300121")</f>
        <v>https://expa.aiesec.org/opportunities/1300121</v>
      </c>
      <c r="L115" s="43" t="str">
        <f>IFERROR(__xludf.DUMMYFUNCTION("""COMPUTED_VALUE"""),"GTa")</f>
        <v>GTa</v>
      </c>
      <c r="M115" s="43" t="str">
        <f>IFERROR(__xludf.DUMMYFUNCTION("""COMPUTED_VALUE"""),"long")</f>
        <v>long</v>
      </c>
      <c r="N115" s="45">
        <f>IFERROR(__xludf.DUMMYFUNCTION("""COMPUTED_VALUE"""),45250.0)</f>
        <v>45250</v>
      </c>
      <c r="O115" s="45">
        <f>IFERROR(__xludf.DUMMYFUNCTION("""COMPUTED_VALUE"""),45271.0)</f>
        <v>45271</v>
      </c>
      <c r="P115" s="45">
        <f>IFERROR(__xludf.DUMMYFUNCTION("""COMPUTED_VALUE"""),45810.0)</f>
        <v>45810</v>
      </c>
      <c r="Q115" s="45"/>
      <c r="R115" s="45"/>
      <c r="S115" s="43"/>
      <c r="T115" s="43" t="str">
        <f>IFERROR(__xludf.DUMMYFUNCTION("""COMPUTED_VALUE"""),"Business Development")</f>
        <v>Business Development</v>
      </c>
      <c r="U115" s="43" t="str">
        <f>IFERROR(__xludf.DUMMYFUNCTION("""COMPUTED_VALUE"""),"Sales Associate")</f>
        <v>Sales Associate</v>
      </c>
      <c r="V115" s="43" t="str">
        <f>IFERROR(__xludf.DUMMYFUNCTION("""COMPUTED_VALUE"""),"ISTANBUL - BEYOGLU")</f>
        <v>ISTANBUL - BEYOGLU</v>
      </c>
      <c r="W115" s="43" t="str">
        <f>IFERROR(__xludf.DUMMYFUNCTION("""COMPUTED_VALUE"""),"2019-09-02T13:31:26Z")</f>
        <v>2019-09-02T13:31:26Z</v>
      </c>
      <c r="X115" s="43"/>
      <c r="Y115" s="43"/>
      <c r="Z115" s="43"/>
    </row>
    <row r="116" hidden="1">
      <c r="A116" s="43" t="str">
        <f>IFERROR(__xludf.DUMMYFUNCTION("""COMPUTED_VALUE"""),"5375178_1294342")</f>
        <v>5375178_1294342</v>
      </c>
      <c r="B116" s="43" t="str">
        <f>IFERROR(__xludf.DUMMYFUNCTION("""COMPUTED_VALUE"""),"Yunus Emre Dag")</f>
        <v>Yunus Emre Dag</v>
      </c>
      <c r="C116" s="43" t="str">
        <f>IFERROR(__xludf.DUMMYFUNCTION("""COMPUTED_VALUE"""),"realized")</f>
        <v>realized</v>
      </c>
      <c r="D116" s="43" t="str">
        <f>IFERROR(__xludf.DUMMYFUNCTION("""COMPUTED_VALUE"""),"No")</f>
        <v>No</v>
      </c>
      <c r="E116" s="43" t="str">
        <f>IFERROR(__xludf.DUMMYFUNCTION("""COMPUTED_VALUE"""),"p_9ff9bca6e1a85df8260dd67cb5f475524d582f59@inbound.aiesec.org")</f>
        <v>p_9ff9bca6e1a85df8260dd67cb5f475524d582f59@inbound.aiesec.org</v>
      </c>
      <c r="F116" s="43">
        <f>IFERROR(__xludf.DUMMYFUNCTION("""COMPUTED_VALUE"""),5.334840756E9)</f>
        <v>5334840756</v>
      </c>
      <c r="G116" s="43" t="str">
        <f>IFERROR(__xludf.DUMMYFUNCTION("""COMPUTED_VALUE"""),"Turkey")</f>
        <v>Turkey</v>
      </c>
      <c r="H116" s="43" t="str">
        <f>IFERROR(__xludf.DUMMYFUNCTION("""COMPUTED_VALUE"""),"KOCAELI")</f>
        <v>KOCAELI</v>
      </c>
      <c r="I116" s="43" t="str">
        <f>IFERROR(__xludf.DUMMYFUNCTION("""COMPUTED_VALUE"""),"Serbia")</f>
        <v>Serbia</v>
      </c>
      <c r="J116" s="43" t="str">
        <f>IFERROR(__xludf.DUMMYFUNCTION("""COMPUTED_VALUE"""),"Subotica")</f>
        <v>Subotica</v>
      </c>
      <c r="K116" s="44" t="str">
        <f>IFERROR(__xludf.DUMMYFUNCTION("""COMPUTED_VALUE"""),"https://expa.aiesec.org/opportunities/1294342")</f>
        <v>https://expa.aiesec.org/opportunities/1294342</v>
      </c>
      <c r="L116" s="43" t="str">
        <f>IFERROR(__xludf.DUMMYFUNCTION("""COMPUTED_VALUE"""),"GTa")</f>
        <v>GTa</v>
      </c>
      <c r="M116" s="43" t="str">
        <f>IFERROR(__xludf.DUMMYFUNCTION("""COMPUTED_VALUE"""),"short")</f>
        <v>short</v>
      </c>
      <c r="N116" s="45">
        <f>IFERROR(__xludf.DUMMYFUNCTION("""COMPUTED_VALUE"""),45251.0)</f>
        <v>45251</v>
      </c>
      <c r="O116" s="45">
        <f>IFERROR(__xludf.DUMMYFUNCTION("""COMPUTED_VALUE"""),45313.0)</f>
        <v>45313</v>
      </c>
      <c r="P116" s="45">
        <f>IFERROR(__xludf.DUMMYFUNCTION("""COMPUTED_VALUE"""),45369.0)</f>
        <v>45369</v>
      </c>
      <c r="Q116" s="45">
        <f>IFERROR(__xludf.DUMMYFUNCTION("""COMPUTED_VALUE"""),45313.0)</f>
        <v>45313</v>
      </c>
      <c r="R116" s="45">
        <f>IFERROR(__xludf.DUMMYFUNCTION("""COMPUTED_VALUE"""),45369.0)</f>
        <v>45369</v>
      </c>
      <c r="S116" s="43"/>
      <c r="T116" s="43" t="str">
        <f>IFERROR(__xludf.DUMMYFUNCTION("""COMPUTED_VALUE"""),"Marketing")</f>
        <v>Marketing</v>
      </c>
      <c r="U116" s="43" t="str">
        <f>IFERROR(__xludf.DUMMYFUNCTION("""COMPUTED_VALUE"""),"Digital Marketing Support Associate")</f>
        <v>Digital Marketing Support Associate</v>
      </c>
      <c r="V116" s="43" t="str">
        <f>IFERROR(__xludf.DUMMYFUNCTION("""COMPUTED_VALUE"""),"KOCAELI")</f>
        <v>KOCAELI</v>
      </c>
      <c r="W116" s="43" t="str">
        <f>IFERROR(__xludf.DUMMYFUNCTION("""COMPUTED_VALUE"""),"2023-11-18T21:05:12Z")</f>
        <v>2023-11-18T21:05:12Z</v>
      </c>
      <c r="X116" s="43"/>
      <c r="Y116" s="43"/>
      <c r="Z116" s="43"/>
    </row>
    <row r="117" hidden="1">
      <c r="A117" s="43" t="str">
        <f>IFERROR(__xludf.DUMMYFUNCTION("""COMPUTED_VALUE"""),"2206508_1299818")</f>
        <v>2206508_1299818</v>
      </c>
      <c r="B117" s="43" t="str">
        <f>IFERROR(__xludf.DUMMYFUNCTION("""COMPUTED_VALUE"""),"Doğukan Kargın")</f>
        <v>Doğukan Kargın</v>
      </c>
      <c r="C117" s="43" t="str">
        <f>IFERROR(__xludf.DUMMYFUNCTION("""COMPUTED_VALUE"""),"approved")</f>
        <v>approved</v>
      </c>
      <c r="D117" s="43" t="str">
        <f>IFERROR(__xludf.DUMMYFUNCTION("""COMPUTED_VALUE"""),"No")</f>
        <v>No</v>
      </c>
      <c r="E117" s="43" t="str">
        <f>IFERROR(__xludf.DUMMYFUNCTION("""COMPUTED_VALUE"""),"p_72a4c65b15335b1d58bb7445bed8e0dda07851b3@inbound.aiesec.org")</f>
        <v>p_72a4c65b15335b1d58bb7445bed8e0dda07851b3@inbound.aiesec.org</v>
      </c>
      <c r="F117" s="43"/>
      <c r="G117" s="43" t="str">
        <f>IFERROR(__xludf.DUMMYFUNCTION("""COMPUTED_VALUE"""),"Turkey")</f>
        <v>Turkey</v>
      </c>
      <c r="H117" s="43" t="str">
        <f>IFERROR(__xludf.DUMMYFUNCTION("""COMPUTED_VALUE"""),"ANTALYA")</f>
        <v>ANTALYA</v>
      </c>
      <c r="I117" s="43" t="str">
        <f>IFERROR(__xludf.DUMMYFUNCTION("""COMPUTED_VALUE"""),"Germany")</f>
        <v>Germany</v>
      </c>
      <c r="J117" s="43" t="str">
        <f>IFERROR(__xludf.DUMMYFUNCTION("""COMPUTED_VALUE"""),"BONN")</f>
        <v>BONN</v>
      </c>
      <c r="K117" s="44" t="str">
        <f>IFERROR(__xludf.DUMMYFUNCTION("""COMPUTED_VALUE"""),"https://expa.aiesec.org/opportunities/1299818")</f>
        <v>https://expa.aiesec.org/opportunities/1299818</v>
      </c>
      <c r="L117" s="43" t="str">
        <f>IFERROR(__xludf.DUMMYFUNCTION("""COMPUTED_VALUE"""),"GTa")</f>
        <v>GTa</v>
      </c>
      <c r="M117" s="43" t="str">
        <f>IFERROR(__xludf.DUMMYFUNCTION("""COMPUTED_VALUE"""),"long")</f>
        <v>long</v>
      </c>
      <c r="N117" s="45">
        <f>IFERROR(__xludf.DUMMYFUNCTION("""COMPUTED_VALUE"""),45252.0)</f>
        <v>45252</v>
      </c>
      <c r="O117" s="45">
        <f>IFERROR(__xludf.DUMMYFUNCTION("""COMPUTED_VALUE"""),45306.0)</f>
        <v>45306</v>
      </c>
      <c r="P117" s="45">
        <f>IFERROR(__xludf.DUMMYFUNCTION("""COMPUTED_VALUE"""),45671.0)</f>
        <v>45671</v>
      </c>
      <c r="Q117" s="45"/>
      <c r="R117" s="45"/>
      <c r="S117" s="43"/>
      <c r="T117" s="43" t="str">
        <f>IFERROR(__xludf.DUMMYFUNCTION("""COMPUTED_VALUE"""),"Business Administration")</f>
        <v>Business Administration</v>
      </c>
      <c r="U117" s="43" t="str">
        <f>IFERROR(__xludf.DUMMYFUNCTION("""COMPUTED_VALUE"""),"Innovation Engagement intern")</f>
        <v>Innovation Engagement intern</v>
      </c>
      <c r="V117" s="43" t="str">
        <f>IFERROR(__xludf.DUMMYFUNCTION("""COMPUTED_VALUE"""),"ANTALYA")</f>
        <v>ANTALYA</v>
      </c>
      <c r="W117" s="43" t="str">
        <f>IFERROR(__xludf.DUMMYFUNCTION("""COMPUTED_VALUE"""),"2018-04-17T12:00:33Z")</f>
        <v>2018-04-17T12:00:33Z</v>
      </c>
      <c r="X117" s="43"/>
      <c r="Y117" s="43"/>
      <c r="Z117" s="43"/>
    </row>
    <row r="118" hidden="1">
      <c r="A118" s="43" t="str">
        <f>IFERROR(__xludf.DUMMYFUNCTION("""COMPUTED_VALUE"""),"5380111_1300123")</f>
        <v>5380111_1300123</v>
      </c>
      <c r="B118" s="43" t="str">
        <f>IFERROR(__xludf.DUMMYFUNCTION("""COMPUTED_VALUE"""),"Yusuf Kalan")</f>
        <v>Yusuf Kalan</v>
      </c>
      <c r="C118" s="43" t="str">
        <f>IFERROR(__xludf.DUMMYFUNCTION("""COMPUTED_VALUE"""),"realized")</f>
        <v>realized</v>
      </c>
      <c r="D118" s="43" t="str">
        <f>IFERROR(__xludf.DUMMYFUNCTION("""COMPUTED_VALUE"""),"No")</f>
        <v>No</v>
      </c>
      <c r="E118" s="43" t="str">
        <f>IFERROR(__xludf.DUMMYFUNCTION("""COMPUTED_VALUE"""),"p_131df0d868f5bfa6cd72154ce2a721e6185c29e7@inbound.aiesec.org")</f>
        <v>p_131df0d868f5bfa6cd72154ce2a721e6185c29e7@inbound.aiesec.org</v>
      </c>
      <c r="F118" s="43"/>
      <c r="G118" s="43" t="str">
        <f>IFERROR(__xludf.DUMMYFUNCTION("""COMPUTED_VALUE"""),"Turkey")</f>
        <v>Turkey</v>
      </c>
      <c r="H118" s="43" t="str">
        <f>IFERROR(__xludf.DUMMYFUNCTION("""COMPUTED_VALUE"""),"ISTANBUL")</f>
        <v>ISTANBUL</v>
      </c>
      <c r="I118" s="43" t="str">
        <f>IFERROR(__xludf.DUMMYFUNCTION("""COMPUTED_VALUE"""),"Egypt")</f>
        <v>Egypt</v>
      </c>
      <c r="J118" s="43" t="str">
        <f>IFERROR(__xludf.DUMMYFUNCTION("""COMPUTED_VALUE"""),"Ain Shams University")</f>
        <v>Ain Shams University</v>
      </c>
      <c r="K118" s="44" t="str">
        <f>IFERROR(__xludf.DUMMYFUNCTION("""COMPUTED_VALUE"""),"https://expa.aiesec.org/opportunities/1300123")</f>
        <v>https://expa.aiesec.org/opportunities/1300123</v>
      </c>
      <c r="L118" s="43" t="str">
        <f>IFERROR(__xludf.DUMMYFUNCTION("""COMPUTED_VALUE"""),"GTa")</f>
        <v>GTa</v>
      </c>
      <c r="M118" s="43" t="str">
        <f>IFERROR(__xludf.DUMMYFUNCTION("""COMPUTED_VALUE"""),"short")</f>
        <v>short</v>
      </c>
      <c r="N118" s="45">
        <f>IFERROR(__xludf.DUMMYFUNCTION("""COMPUTED_VALUE"""),45256.0)</f>
        <v>45256</v>
      </c>
      <c r="O118" s="45">
        <f>IFERROR(__xludf.DUMMYFUNCTION("""COMPUTED_VALUE"""),45285.0)</f>
        <v>45285</v>
      </c>
      <c r="P118" s="45">
        <f>IFERROR(__xludf.DUMMYFUNCTION("""COMPUTED_VALUE"""),45368.0)</f>
        <v>45368</v>
      </c>
      <c r="Q118" s="45">
        <f>IFERROR(__xludf.DUMMYFUNCTION("""COMPUTED_VALUE"""),45299.0)</f>
        <v>45299</v>
      </c>
      <c r="R118" s="45">
        <f>IFERROR(__xludf.DUMMYFUNCTION("""COMPUTED_VALUE"""),45383.0)</f>
        <v>45383</v>
      </c>
      <c r="S118" s="43"/>
      <c r="T118" s="43" t="str">
        <f>IFERROR(__xludf.DUMMYFUNCTION("""COMPUTED_VALUE"""),"Marketing")</f>
        <v>Marketing</v>
      </c>
      <c r="U118" s="43" t="str">
        <f>IFERROR(__xludf.DUMMYFUNCTION("""COMPUTED_VALUE"""),"Content Creator")</f>
        <v>Content Creator</v>
      </c>
      <c r="V118" s="43" t="str">
        <f>IFERROR(__xludf.DUMMYFUNCTION("""COMPUTED_VALUE"""),"ISTANBUL - BEYOGLU")</f>
        <v>ISTANBUL - BEYOGLU</v>
      </c>
      <c r="W118" s="43" t="str">
        <f>IFERROR(__xludf.DUMMYFUNCTION("""COMPUTED_VALUE"""),"2023-11-26T11:17:31Z")</f>
        <v>2023-11-26T11:17:31Z</v>
      </c>
      <c r="X118" s="43"/>
      <c r="Y118" s="43"/>
      <c r="Z118" s="43"/>
    </row>
    <row r="119" hidden="1">
      <c r="A119" s="43" t="str">
        <f>IFERROR(__xludf.DUMMYFUNCTION("""COMPUTED_VALUE"""),"5380952_1300017")</f>
        <v>5380952_1300017</v>
      </c>
      <c r="B119" s="43" t="str">
        <f>IFERROR(__xludf.DUMMYFUNCTION("""COMPUTED_VALUE"""),"Ahmet Melih Bayer")</f>
        <v>Ahmet Melih Bayer</v>
      </c>
      <c r="C119" s="43" t="str">
        <f>IFERROR(__xludf.DUMMYFUNCTION("""COMPUTED_VALUE"""),"approved")</f>
        <v>approved</v>
      </c>
      <c r="D119" s="43" t="str">
        <f>IFERROR(__xludf.DUMMYFUNCTION("""COMPUTED_VALUE"""),"No")</f>
        <v>No</v>
      </c>
      <c r="E119" s="43" t="str">
        <f>IFERROR(__xludf.DUMMYFUNCTION("""COMPUTED_VALUE"""),"p_59c32be199dbc05ee75b6ddfa7bd8d80fb731ff3@inbound.aiesec.org")</f>
        <v>p_59c32be199dbc05ee75b6ddfa7bd8d80fb731ff3@inbound.aiesec.org</v>
      </c>
      <c r="F119" s="43">
        <f>IFERROR(__xludf.DUMMYFUNCTION("""COMPUTED_VALUE"""),5.545613287E9)</f>
        <v>5545613287</v>
      </c>
      <c r="G119" s="43" t="str">
        <f>IFERROR(__xludf.DUMMYFUNCTION("""COMPUTED_VALUE"""),"Turkey")</f>
        <v>Turkey</v>
      </c>
      <c r="H119" s="43" t="str">
        <f>IFERROR(__xludf.DUMMYFUNCTION("""COMPUTED_VALUE"""),"ISTANBUL ASIA")</f>
        <v>ISTANBUL ASIA</v>
      </c>
      <c r="I119" s="43" t="str">
        <f>IFERROR(__xludf.DUMMYFUNCTION("""COMPUTED_VALUE"""),"Egypt")</f>
        <v>Egypt</v>
      </c>
      <c r="J119" s="43" t="str">
        <f>IFERROR(__xludf.DUMMYFUNCTION("""COMPUTED_VALUE"""),"Menofia")</f>
        <v>Menofia</v>
      </c>
      <c r="K119" s="44" t="str">
        <f>IFERROR(__xludf.DUMMYFUNCTION("""COMPUTED_VALUE"""),"https://expa.aiesec.org/opportunities/1300017")</f>
        <v>https://expa.aiesec.org/opportunities/1300017</v>
      </c>
      <c r="L119" s="43" t="str">
        <f>IFERROR(__xludf.DUMMYFUNCTION("""COMPUTED_VALUE"""),"GTa")</f>
        <v>GTa</v>
      </c>
      <c r="M119" s="43" t="str">
        <f>IFERROR(__xludf.DUMMYFUNCTION("""COMPUTED_VALUE"""),"short")</f>
        <v>short</v>
      </c>
      <c r="N119" s="45">
        <f>IFERROR(__xludf.DUMMYFUNCTION("""COMPUTED_VALUE"""),45257.0)</f>
        <v>45257</v>
      </c>
      <c r="O119" s="45">
        <f>IFERROR(__xludf.DUMMYFUNCTION("""COMPUTED_VALUE"""),45474.0)</f>
        <v>45474</v>
      </c>
      <c r="P119" s="45">
        <f>IFERROR(__xludf.DUMMYFUNCTION("""COMPUTED_VALUE"""),45519.0)</f>
        <v>45519</v>
      </c>
      <c r="Q119" s="45"/>
      <c r="R119" s="45"/>
      <c r="S119" s="43"/>
      <c r="T119" s="43" t="str">
        <f>IFERROR(__xludf.DUMMYFUNCTION("""COMPUTED_VALUE"""),"Marketing")</f>
        <v>Marketing</v>
      </c>
      <c r="U119" s="43" t="str">
        <f>IFERROR(__xludf.DUMMYFUNCTION("""COMPUTED_VALUE"""),"TikTok Content Creator")</f>
        <v>TikTok Content Creator</v>
      </c>
      <c r="V119" s="43" t="str">
        <f>IFERROR(__xludf.DUMMYFUNCTION("""COMPUTED_VALUE"""),"ISTANBUL ASIA")</f>
        <v>ISTANBUL ASIA</v>
      </c>
      <c r="W119" s="43" t="str">
        <f>IFERROR(__xludf.DUMMYFUNCTION("""COMPUTED_VALUE"""),"2023-11-27T15:38:44Z")</f>
        <v>2023-11-27T15:38:44Z</v>
      </c>
      <c r="X119" s="43"/>
      <c r="Y119" s="43"/>
      <c r="Z119" s="43"/>
    </row>
    <row r="120" hidden="1">
      <c r="A120" s="43" t="str">
        <f>IFERROR(__xludf.DUMMYFUNCTION("""COMPUTED_VALUE"""),"5372608_1281086")</f>
        <v>5372608_1281086</v>
      </c>
      <c r="B120" s="43" t="str">
        <f>IFERROR(__xludf.DUMMYFUNCTION("""COMPUTED_VALUE"""),"Doğukan Şimşir")</f>
        <v>Doğukan Şimşir</v>
      </c>
      <c r="C120" s="43" t="str">
        <f>IFERROR(__xludf.DUMMYFUNCTION("""COMPUTED_VALUE"""),"approved")</f>
        <v>approved</v>
      </c>
      <c r="D120" s="43" t="str">
        <f>IFERROR(__xludf.DUMMYFUNCTION("""COMPUTED_VALUE"""),"No")</f>
        <v>No</v>
      </c>
      <c r="E120" s="43" t="str">
        <f>IFERROR(__xludf.DUMMYFUNCTION("""COMPUTED_VALUE"""),"p_ca8ecb45cfd7b4a077187e0f8a5eba3fb8ed8917@inbound.aiesec.org")</f>
        <v>p_ca8ecb45cfd7b4a077187e0f8a5eba3fb8ed8917@inbound.aiesec.org</v>
      </c>
      <c r="F120" s="43">
        <f>IFERROR(__xludf.DUMMYFUNCTION("""COMPUTED_VALUE"""),5.530698384E9)</f>
        <v>5530698384</v>
      </c>
      <c r="G120" s="43" t="str">
        <f>IFERROR(__xludf.DUMMYFUNCTION("""COMPUTED_VALUE"""),"Turkey")</f>
        <v>Turkey</v>
      </c>
      <c r="H120" s="43" t="str">
        <f>IFERROR(__xludf.DUMMYFUNCTION("""COMPUTED_VALUE"""),"BURSA")</f>
        <v>BURSA</v>
      </c>
      <c r="I120" s="43" t="str">
        <f>IFERROR(__xludf.DUMMYFUNCTION("""COMPUTED_VALUE"""),"Romania")</f>
        <v>Romania</v>
      </c>
      <c r="J120" s="43" t="str">
        <f>IFERROR(__xludf.DUMMYFUNCTION("""COMPUTED_VALUE"""),"Cluj-Napoca")</f>
        <v>Cluj-Napoca</v>
      </c>
      <c r="K120" s="44" t="str">
        <f>IFERROR(__xludf.DUMMYFUNCTION("""COMPUTED_VALUE"""),"https://expa.aiesec.org/opportunities/1281086")</f>
        <v>https://expa.aiesec.org/opportunities/1281086</v>
      </c>
      <c r="L120" s="43" t="str">
        <f>IFERROR(__xludf.DUMMYFUNCTION("""COMPUTED_VALUE"""),"GTa")</f>
        <v>GTa</v>
      </c>
      <c r="M120" s="43" t="str">
        <f>IFERROR(__xludf.DUMMYFUNCTION("""COMPUTED_VALUE"""),"short")</f>
        <v>short</v>
      </c>
      <c r="N120" s="45">
        <f>IFERROR(__xludf.DUMMYFUNCTION("""COMPUTED_VALUE"""),45258.0)</f>
        <v>45258</v>
      </c>
      <c r="O120" s="45">
        <f>IFERROR(__xludf.DUMMYFUNCTION("""COMPUTED_VALUE"""),45376.0)</f>
        <v>45376</v>
      </c>
      <c r="P120" s="45">
        <f>IFERROR(__xludf.DUMMYFUNCTION("""COMPUTED_VALUE"""),45429.0)</f>
        <v>45429</v>
      </c>
      <c r="Q120" s="45"/>
      <c r="R120" s="45"/>
      <c r="S120" s="43"/>
      <c r="T120" s="43" t="str">
        <f>IFERROR(__xludf.DUMMYFUNCTION("""COMPUTED_VALUE"""),"Business Development")</f>
        <v>Business Development</v>
      </c>
      <c r="U120" s="43" t="str">
        <f>IFERROR(__xludf.DUMMYFUNCTION("""COMPUTED_VALUE"""),"Accelerate Romania - Business Development")</f>
        <v>Accelerate Romania - Business Development</v>
      </c>
      <c r="V120" s="43" t="str">
        <f>IFERROR(__xludf.DUMMYFUNCTION("""COMPUTED_VALUE"""),"BURSA")</f>
        <v>BURSA</v>
      </c>
      <c r="W120" s="43" t="str">
        <f>IFERROR(__xludf.DUMMYFUNCTION("""COMPUTED_VALUE"""),"2023-11-14T23:28:05Z")</f>
        <v>2023-11-14T23:28:05Z</v>
      </c>
      <c r="X120" s="43"/>
      <c r="Y120" s="43"/>
      <c r="Z120" s="43"/>
    </row>
    <row r="121" hidden="1">
      <c r="A121" s="43" t="str">
        <f>IFERROR(__xludf.DUMMYFUNCTION("""COMPUTED_VALUE"""),"5170362_1293679")</f>
        <v>5170362_1293679</v>
      </c>
      <c r="B121" s="43" t="str">
        <f>IFERROR(__xludf.DUMMYFUNCTION("""COMPUTED_VALUE"""),"Daniyal Toheed")</f>
        <v>Daniyal Toheed</v>
      </c>
      <c r="C121" s="43" t="str">
        <f>IFERROR(__xludf.DUMMYFUNCTION("""COMPUTED_VALUE"""),"approved")</f>
        <v>approved</v>
      </c>
      <c r="D121" s="43" t="str">
        <f>IFERROR(__xludf.DUMMYFUNCTION("""COMPUTED_VALUE"""),"No")</f>
        <v>No</v>
      </c>
      <c r="E121" s="43" t="str">
        <f>IFERROR(__xludf.DUMMYFUNCTION("""COMPUTED_VALUE"""),"p_d0267367115be5ed3bad9bc749d08deb97d89fa9@inbound.aiesec.org")</f>
        <v>p_d0267367115be5ed3bad9bc749d08deb97d89fa9@inbound.aiesec.org</v>
      </c>
      <c r="F121" s="43"/>
      <c r="G121" s="43" t="str">
        <f>IFERROR(__xludf.DUMMYFUNCTION("""COMPUTED_VALUE"""),"Turkey")</f>
        <v>Turkey</v>
      </c>
      <c r="H121" s="43" t="str">
        <f>IFERROR(__xludf.DUMMYFUNCTION("""COMPUTED_VALUE"""),"EASTERN MEDITERRANEAN")</f>
        <v>EASTERN MEDITERRANEAN</v>
      </c>
      <c r="I121" s="43" t="str">
        <f>IFERROR(__xludf.DUMMYFUNCTION("""COMPUTED_VALUE"""),"Tunisia")</f>
        <v>Tunisia</v>
      </c>
      <c r="J121" s="43" t="str">
        <f>IFERROR(__xludf.DUMMYFUNCTION("""COMPUTED_VALUE"""),"RUSPINA")</f>
        <v>RUSPINA</v>
      </c>
      <c r="K121" s="44" t="str">
        <f>IFERROR(__xludf.DUMMYFUNCTION("""COMPUTED_VALUE"""),"https://expa.aiesec.org/opportunities/1293679")</f>
        <v>https://expa.aiesec.org/opportunities/1293679</v>
      </c>
      <c r="L121" s="43" t="str">
        <f>IFERROR(__xludf.DUMMYFUNCTION("""COMPUTED_VALUE"""),"GTa")</f>
        <v>GTa</v>
      </c>
      <c r="M121" s="43" t="str">
        <f>IFERROR(__xludf.DUMMYFUNCTION("""COMPUTED_VALUE"""),"short")</f>
        <v>short</v>
      </c>
      <c r="N121" s="45">
        <f>IFERROR(__xludf.DUMMYFUNCTION("""COMPUTED_VALUE"""),45258.0)</f>
        <v>45258</v>
      </c>
      <c r="O121" s="45">
        <f>IFERROR(__xludf.DUMMYFUNCTION("""COMPUTED_VALUE"""),45474.0)</f>
        <v>45474</v>
      </c>
      <c r="P121" s="45">
        <f>IFERROR(__xludf.DUMMYFUNCTION("""COMPUTED_VALUE"""),45516.0)</f>
        <v>45516</v>
      </c>
      <c r="Q121" s="45"/>
      <c r="R121" s="45"/>
      <c r="S121" s="43"/>
      <c r="T121" s="43" t="str">
        <f>IFERROR(__xludf.DUMMYFUNCTION("""COMPUTED_VALUE"""),"Engineering")</f>
        <v>Engineering</v>
      </c>
      <c r="U121" s="43" t="str">
        <f>IFERROR(__xludf.DUMMYFUNCTION("""COMPUTED_VALUE"""),"Engeneering")</f>
        <v>Engeneering</v>
      </c>
      <c r="V121" s="43" t="str">
        <f>IFERROR(__xludf.DUMMYFUNCTION("""COMPUTED_VALUE"""),"-")</f>
        <v>-</v>
      </c>
      <c r="W121" s="43" t="str">
        <f>IFERROR(__xludf.DUMMYFUNCTION("""COMPUTED_VALUE"""),"2022-12-26T15:02:25Z")</f>
        <v>2022-12-26T15:02:25Z</v>
      </c>
      <c r="X121" s="43"/>
      <c r="Y121" s="43"/>
      <c r="Z121" s="43"/>
    </row>
    <row r="122" hidden="1">
      <c r="A122" s="43" t="str">
        <f>IFERROR(__xludf.DUMMYFUNCTION("""COMPUTED_VALUE"""),"5382036_1300050")</f>
        <v>5382036_1300050</v>
      </c>
      <c r="B122" s="43" t="str">
        <f>IFERROR(__xludf.DUMMYFUNCTION("""COMPUTED_VALUE"""),"Farida Negmatova")</f>
        <v>Farida Negmatova</v>
      </c>
      <c r="C122" s="43" t="str">
        <f>IFERROR(__xludf.DUMMYFUNCTION("""COMPUTED_VALUE"""),"approved")</f>
        <v>approved</v>
      </c>
      <c r="D122" s="43" t="str">
        <f>IFERROR(__xludf.DUMMYFUNCTION("""COMPUTED_VALUE"""),"No")</f>
        <v>No</v>
      </c>
      <c r="E122" s="43" t="str">
        <f>IFERROR(__xludf.DUMMYFUNCTION("""COMPUTED_VALUE"""),"p_f2f7e066ee36d66ec703158bc670108a6c09ef20@inbound.aiesec.org")</f>
        <v>p_f2f7e066ee36d66ec703158bc670108a6c09ef20@inbound.aiesec.org</v>
      </c>
      <c r="F122" s="43">
        <f>IFERROR(__xludf.DUMMYFUNCTION("""COMPUTED_VALUE"""),5.31950387E9)</f>
        <v>5319503870</v>
      </c>
      <c r="G122" s="43" t="str">
        <f>IFERROR(__xludf.DUMMYFUNCTION("""COMPUTED_VALUE"""),"Turkey")</f>
        <v>Turkey</v>
      </c>
      <c r="H122" s="43" t="str">
        <f>IFERROR(__xludf.DUMMYFUNCTION("""COMPUTED_VALUE"""),"ISTANBUL ASIA")</f>
        <v>ISTANBUL ASIA</v>
      </c>
      <c r="I122" s="43" t="str">
        <f>IFERROR(__xludf.DUMMYFUNCTION("""COMPUTED_VALUE"""),"Egypt")</f>
        <v>Egypt</v>
      </c>
      <c r="J122" s="43" t="str">
        <f>IFERROR(__xludf.DUMMYFUNCTION("""COMPUTED_VALUE"""),"Menofia")</f>
        <v>Menofia</v>
      </c>
      <c r="K122" s="44" t="str">
        <f>IFERROR(__xludf.DUMMYFUNCTION("""COMPUTED_VALUE"""),"https://expa.aiesec.org/opportunities/1300050")</f>
        <v>https://expa.aiesec.org/opportunities/1300050</v>
      </c>
      <c r="L122" s="43" t="str">
        <f>IFERROR(__xludf.DUMMYFUNCTION("""COMPUTED_VALUE"""),"GTa")</f>
        <v>GTa</v>
      </c>
      <c r="M122" s="43" t="str">
        <f>IFERROR(__xludf.DUMMYFUNCTION("""COMPUTED_VALUE"""),"short")</f>
        <v>short</v>
      </c>
      <c r="N122" s="45">
        <f>IFERROR(__xludf.DUMMYFUNCTION("""COMPUTED_VALUE"""),45259.0)</f>
        <v>45259</v>
      </c>
      <c r="O122" s="45">
        <f>IFERROR(__xludf.DUMMYFUNCTION("""COMPUTED_VALUE"""),45474.0)</f>
        <v>45474</v>
      </c>
      <c r="P122" s="45">
        <f>IFERROR(__xludf.DUMMYFUNCTION("""COMPUTED_VALUE"""),45516.0)</f>
        <v>45516</v>
      </c>
      <c r="Q122" s="45"/>
      <c r="R122" s="45"/>
      <c r="S122" s="43"/>
      <c r="T122" s="43" t="str">
        <f>IFERROR(__xludf.DUMMYFUNCTION("""COMPUTED_VALUE"""),"Marketing")</f>
        <v>Marketing</v>
      </c>
      <c r="U122" s="43" t="str">
        <f>IFERROR(__xludf.DUMMYFUNCTION("""COMPUTED_VALUE"""),"Marketing Manager ")</f>
        <v>Marketing Manager </v>
      </c>
      <c r="V122" s="43" t="str">
        <f>IFERROR(__xludf.DUMMYFUNCTION("""COMPUTED_VALUE"""),"ISTANBUL ASIA")</f>
        <v>ISTANBUL ASIA</v>
      </c>
      <c r="W122" s="43" t="str">
        <f>IFERROR(__xludf.DUMMYFUNCTION("""COMPUTED_VALUE"""),"2023-11-28T19:48:00Z")</f>
        <v>2023-11-28T19:48:00Z</v>
      </c>
      <c r="X122" s="43"/>
      <c r="Y122" s="43"/>
      <c r="Z122" s="43"/>
    </row>
    <row r="123" hidden="1">
      <c r="A123" s="43" t="str">
        <f>IFERROR(__xludf.DUMMYFUNCTION("""COMPUTED_VALUE"""),"5382450_1295700")</f>
        <v>5382450_1295700</v>
      </c>
      <c r="B123" s="43" t="str">
        <f>IFERROR(__xludf.DUMMYFUNCTION("""COMPUTED_VALUE"""),"İremhan Yüce")</f>
        <v>İremhan Yüce</v>
      </c>
      <c r="C123" s="43" t="str">
        <f>IFERROR(__xludf.DUMMYFUNCTION("""COMPUTED_VALUE"""),"realized")</f>
        <v>realized</v>
      </c>
      <c r="D123" s="43" t="str">
        <f>IFERROR(__xludf.DUMMYFUNCTION("""COMPUTED_VALUE"""),"No")</f>
        <v>No</v>
      </c>
      <c r="E123" s="43" t="str">
        <f>IFERROR(__xludf.DUMMYFUNCTION("""COMPUTED_VALUE"""),"p_86f37141df84dbc023ba06566f7d244bdc40672a@inbound.aiesec.org")</f>
        <v>p_86f37141df84dbc023ba06566f7d244bdc40672a@inbound.aiesec.org</v>
      </c>
      <c r="F123" s="43"/>
      <c r="G123" s="43" t="str">
        <f>IFERROR(__xludf.DUMMYFUNCTION("""COMPUTED_VALUE"""),"Turkey")</f>
        <v>Turkey</v>
      </c>
      <c r="H123" s="43" t="str">
        <f>IFERROR(__xludf.DUMMYFUNCTION("""COMPUTED_VALUE"""),"BURSA")</f>
        <v>BURSA</v>
      </c>
      <c r="I123" s="43" t="str">
        <f>IFERROR(__xludf.DUMMYFUNCTION("""COMPUTED_VALUE"""),"Romania")</f>
        <v>Romania</v>
      </c>
      <c r="J123" s="43" t="str">
        <f>IFERROR(__xludf.DUMMYFUNCTION("""COMPUTED_VALUE"""),"TIMISOARA")</f>
        <v>TIMISOARA</v>
      </c>
      <c r="K123" s="44" t="str">
        <f>IFERROR(__xludf.DUMMYFUNCTION("""COMPUTED_VALUE"""),"https://expa.aiesec.org/opportunities/1295700")</f>
        <v>https://expa.aiesec.org/opportunities/1295700</v>
      </c>
      <c r="L123" s="43" t="str">
        <f>IFERROR(__xludf.DUMMYFUNCTION("""COMPUTED_VALUE"""),"GTa")</f>
        <v>GTa</v>
      </c>
      <c r="M123" s="43" t="str">
        <f>IFERROR(__xludf.DUMMYFUNCTION("""COMPUTED_VALUE"""),"short")</f>
        <v>short</v>
      </c>
      <c r="N123" s="45">
        <f>IFERROR(__xludf.DUMMYFUNCTION("""COMPUTED_VALUE"""),45259.0)</f>
        <v>45259</v>
      </c>
      <c r="O123" s="45">
        <f>IFERROR(__xludf.DUMMYFUNCTION("""COMPUTED_VALUE"""),45312.0)</f>
        <v>45312</v>
      </c>
      <c r="P123" s="45">
        <f>IFERROR(__xludf.DUMMYFUNCTION("""COMPUTED_VALUE"""),45360.0)</f>
        <v>45360</v>
      </c>
      <c r="Q123" s="45">
        <f>IFERROR(__xludf.DUMMYFUNCTION("""COMPUTED_VALUE"""),45320.0)</f>
        <v>45320</v>
      </c>
      <c r="R123" s="45">
        <f>IFERROR(__xludf.DUMMYFUNCTION("""COMPUTED_VALUE"""),45368.0)</f>
        <v>45368</v>
      </c>
      <c r="S123" s="43"/>
      <c r="T123" s="43" t="str">
        <f>IFERROR(__xludf.DUMMYFUNCTION("""COMPUTED_VALUE"""),"Other")</f>
        <v>Other</v>
      </c>
      <c r="U123" s="43" t="str">
        <f>IFERROR(__xludf.DUMMYFUNCTION("""COMPUTED_VALUE"""),"Accelerate Romania | Interior Design Modeler")</f>
        <v>Accelerate Romania | Interior Design Modeler</v>
      </c>
      <c r="V123" s="43" t="str">
        <f>IFERROR(__xludf.DUMMYFUNCTION("""COMPUTED_VALUE"""),"-")</f>
        <v>-</v>
      </c>
      <c r="W123" s="43" t="str">
        <f>IFERROR(__xludf.DUMMYFUNCTION("""COMPUTED_VALUE"""),"2023-11-29T12:59:54Z")</f>
        <v>2023-11-29T12:59:54Z</v>
      </c>
      <c r="X123" s="43"/>
      <c r="Y123" s="43"/>
      <c r="Z123" s="43"/>
    </row>
    <row r="124" hidden="1">
      <c r="A124" s="43" t="str">
        <f>IFERROR(__xludf.DUMMYFUNCTION("""COMPUTED_VALUE"""),"5375984_1299499")</f>
        <v>5375984_1299499</v>
      </c>
      <c r="B124" s="43" t="str">
        <f>IFERROR(__xludf.DUMMYFUNCTION("""COMPUTED_VALUE"""),"İlayda Doğan")</f>
        <v>İlayda Doğan</v>
      </c>
      <c r="C124" s="43" t="str">
        <f>IFERROR(__xludf.DUMMYFUNCTION("""COMPUTED_VALUE"""),"approved")</f>
        <v>approved</v>
      </c>
      <c r="D124" s="43" t="str">
        <f>IFERROR(__xludf.DUMMYFUNCTION("""COMPUTED_VALUE"""),"No")</f>
        <v>No</v>
      </c>
      <c r="E124" s="43" t="str">
        <f>IFERROR(__xludf.DUMMYFUNCTION("""COMPUTED_VALUE"""),"p_345f8f9a9d71f274b6930dede53d544a89210947@inbound.aiesec.org")</f>
        <v>p_345f8f9a9d71f274b6930dede53d544a89210947@inbound.aiesec.org</v>
      </c>
      <c r="F124" s="43">
        <f>IFERROR(__xludf.DUMMYFUNCTION("""COMPUTED_VALUE"""),5.362069375E9)</f>
        <v>5362069375</v>
      </c>
      <c r="G124" s="43" t="str">
        <f>IFERROR(__xludf.DUMMYFUNCTION("""COMPUTED_VALUE"""),"Turkey")</f>
        <v>Turkey</v>
      </c>
      <c r="H124" s="43" t="str">
        <f>IFERROR(__xludf.DUMMYFUNCTION("""COMPUTED_VALUE"""),"ISTANBUL")</f>
        <v>ISTANBUL</v>
      </c>
      <c r="I124" s="43" t="str">
        <f>IFERROR(__xludf.DUMMYFUNCTION("""COMPUTED_VALUE"""),"Romania")</f>
        <v>Romania</v>
      </c>
      <c r="J124" s="43" t="str">
        <f>IFERROR(__xludf.DUMMYFUNCTION("""COMPUTED_VALUE"""),"Cluj-Napoca")</f>
        <v>Cluj-Napoca</v>
      </c>
      <c r="K124" s="44" t="str">
        <f>IFERROR(__xludf.DUMMYFUNCTION("""COMPUTED_VALUE"""),"https://expa.aiesec.org/opportunities/1299499")</f>
        <v>https://expa.aiesec.org/opportunities/1299499</v>
      </c>
      <c r="L124" s="43" t="str">
        <f>IFERROR(__xludf.DUMMYFUNCTION("""COMPUTED_VALUE"""),"GTa")</f>
        <v>GTa</v>
      </c>
      <c r="M124" s="43" t="str">
        <f>IFERROR(__xludf.DUMMYFUNCTION("""COMPUTED_VALUE"""),"short")</f>
        <v>short</v>
      </c>
      <c r="N124" s="45">
        <f>IFERROR(__xludf.DUMMYFUNCTION("""COMPUTED_VALUE"""),45259.0)</f>
        <v>45259</v>
      </c>
      <c r="O124" s="45">
        <f>IFERROR(__xludf.DUMMYFUNCTION("""COMPUTED_VALUE"""),45327.0)</f>
        <v>45327</v>
      </c>
      <c r="P124" s="45">
        <f>IFERROR(__xludf.DUMMYFUNCTION("""COMPUTED_VALUE"""),45380.0)</f>
        <v>45380</v>
      </c>
      <c r="Q124" s="45"/>
      <c r="R124" s="45"/>
      <c r="S124" s="43"/>
      <c r="T124" s="43" t="str">
        <f>IFERROR(__xludf.DUMMYFUNCTION("""COMPUTED_VALUE"""),"Marketing")</f>
        <v>Marketing</v>
      </c>
      <c r="U124" s="43" t="str">
        <f>IFERROR(__xludf.DUMMYFUNCTION("""COMPUTED_VALUE"""),"Accelerate Romania - Marketing &amp; Positioning")</f>
        <v>Accelerate Romania - Marketing &amp; Positioning</v>
      </c>
      <c r="V124" s="43" t="str">
        <f>IFERROR(__xludf.DUMMYFUNCTION("""COMPUTED_VALUE"""),"ISTANBUL - BEYOGLU")</f>
        <v>ISTANBUL - BEYOGLU</v>
      </c>
      <c r="W124" s="43" t="str">
        <f>IFERROR(__xludf.DUMMYFUNCTION("""COMPUTED_VALUE"""),"2023-11-20T13:21:27Z")</f>
        <v>2023-11-20T13:21:27Z</v>
      </c>
      <c r="X124" s="43"/>
      <c r="Y124" s="43"/>
      <c r="Z124" s="43"/>
    </row>
    <row r="125" hidden="1">
      <c r="A125" s="43" t="str">
        <f>IFERROR(__xludf.DUMMYFUNCTION("""COMPUTED_VALUE"""),"5377745_1300460")</f>
        <v>5377745_1300460</v>
      </c>
      <c r="B125" s="43" t="str">
        <f>IFERROR(__xludf.DUMMYFUNCTION("""COMPUTED_VALUE"""),"Sena Aleyna Konuk")</f>
        <v>Sena Aleyna Konuk</v>
      </c>
      <c r="C125" s="43" t="str">
        <f>IFERROR(__xludf.DUMMYFUNCTION("""COMPUTED_VALUE"""),"realized")</f>
        <v>realized</v>
      </c>
      <c r="D125" s="43" t="str">
        <f>IFERROR(__xludf.DUMMYFUNCTION("""COMPUTED_VALUE"""),"No")</f>
        <v>No</v>
      </c>
      <c r="E125" s="43" t="str">
        <f>IFERROR(__xludf.DUMMYFUNCTION("""COMPUTED_VALUE"""),"p_6ccd95e8793ab9495b283d4cc1a4ff0181858523@inbound.aiesec.org")</f>
        <v>p_6ccd95e8793ab9495b283d4cc1a4ff0181858523@inbound.aiesec.org</v>
      </c>
      <c r="F125" s="43">
        <f>IFERROR(__xludf.DUMMYFUNCTION("""COMPUTED_VALUE"""),5.444775047E9)</f>
        <v>5444775047</v>
      </c>
      <c r="G125" s="43" t="str">
        <f>IFERROR(__xludf.DUMMYFUNCTION("""COMPUTED_VALUE"""),"Turkey")</f>
        <v>Turkey</v>
      </c>
      <c r="H125" s="43" t="str">
        <f>IFERROR(__xludf.DUMMYFUNCTION("""COMPUTED_VALUE"""),"ISTANBUL ASIA")</f>
        <v>ISTANBUL ASIA</v>
      </c>
      <c r="I125" s="43" t="str">
        <f>IFERROR(__xludf.DUMMYFUNCTION("""COMPUTED_VALUE"""),"India")</f>
        <v>India</v>
      </c>
      <c r="J125" s="43" t="str">
        <f>IFERROR(__xludf.DUMMYFUNCTION("""COMPUTED_VALUE"""),"Delhi University")</f>
        <v>Delhi University</v>
      </c>
      <c r="K125" s="44" t="str">
        <f>IFERROR(__xludf.DUMMYFUNCTION("""COMPUTED_VALUE"""),"https://expa.aiesec.org/opportunities/1300460")</f>
        <v>https://expa.aiesec.org/opportunities/1300460</v>
      </c>
      <c r="L125" s="43" t="str">
        <f>IFERROR(__xludf.DUMMYFUNCTION("""COMPUTED_VALUE"""),"GTa")</f>
        <v>GTa</v>
      </c>
      <c r="M125" s="43" t="str">
        <f>IFERROR(__xludf.DUMMYFUNCTION("""COMPUTED_VALUE"""),"short")</f>
        <v>short</v>
      </c>
      <c r="N125" s="45">
        <f>IFERROR(__xludf.DUMMYFUNCTION("""COMPUTED_VALUE"""),45264.0)</f>
        <v>45264</v>
      </c>
      <c r="O125" s="45">
        <f>IFERROR(__xludf.DUMMYFUNCTION("""COMPUTED_VALUE"""),45306.0)</f>
        <v>45306</v>
      </c>
      <c r="P125" s="45">
        <f>IFERROR(__xludf.DUMMYFUNCTION("""COMPUTED_VALUE"""),45389.0)</f>
        <v>45389</v>
      </c>
      <c r="Q125" s="45">
        <f>IFERROR(__xludf.DUMMYFUNCTION("""COMPUTED_VALUE"""),45306.0)</f>
        <v>45306</v>
      </c>
      <c r="R125" s="45">
        <f>IFERROR(__xludf.DUMMYFUNCTION("""COMPUTED_VALUE"""),45392.0)</f>
        <v>45392</v>
      </c>
      <c r="S125" s="43"/>
      <c r="T125" s="43" t="str">
        <f>IFERROR(__xludf.DUMMYFUNCTION("""COMPUTED_VALUE"""),"Other")</f>
        <v>Other</v>
      </c>
      <c r="U125" s="43" t="str">
        <f>IFERROR(__xludf.DUMMYFUNCTION("""COMPUTED_VALUE"""),"Research Intern |Psychology")</f>
        <v>Research Intern |Psychology</v>
      </c>
      <c r="V125" s="43" t="str">
        <f>IFERROR(__xludf.DUMMYFUNCTION("""COMPUTED_VALUE"""),"ISTANBUL ASIA")</f>
        <v>ISTANBUL ASIA</v>
      </c>
      <c r="W125" s="43" t="str">
        <f>IFERROR(__xludf.DUMMYFUNCTION("""COMPUTED_VALUE"""),"2023-11-22T19:10:44Z")</f>
        <v>2023-11-22T19:10:44Z</v>
      </c>
      <c r="X125" s="43"/>
      <c r="Y125" s="43"/>
      <c r="Z125" s="43"/>
    </row>
    <row r="126" hidden="1">
      <c r="A126" s="43" t="str">
        <f>IFERROR(__xludf.DUMMYFUNCTION("""COMPUTED_VALUE"""),"4397842_1301543")</f>
        <v>4397842_1301543</v>
      </c>
      <c r="B126" s="43" t="str">
        <f>IFERROR(__xludf.DUMMYFUNCTION("""COMPUTED_VALUE"""),"Mustafa Mert Koç")</f>
        <v>Mustafa Mert Koç</v>
      </c>
      <c r="C126" s="43" t="str">
        <f>IFERROR(__xludf.DUMMYFUNCTION("""COMPUTED_VALUE"""),"approved")</f>
        <v>approved</v>
      </c>
      <c r="D126" s="43" t="str">
        <f>IFERROR(__xludf.DUMMYFUNCTION("""COMPUTED_VALUE"""),"No")</f>
        <v>No</v>
      </c>
      <c r="E126" s="43" t="str">
        <f>IFERROR(__xludf.DUMMYFUNCTION("""COMPUTED_VALUE"""),"p_7a8386e3f8d317df9430dcd3689e159e6125008b@inbound.aiesec.org")</f>
        <v>p_7a8386e3f8d317df9430dcd3689e159e6125008b@inbound.aiesec.org</v>
      </c>
      <c r="F126" s="43">
        <f>IFERROR(__xludf.DUMMYFUNCTION("""COMPUTED_VALUE"""),5.366033449E9)</f>
        <v>5366033449</v>
      </c>
      <c r="G126" s="43" t="str">
        <f>IFERROR(__xludf.DUMMYFUNCTION("""COMPUTED_VALUE"""),"Turkey")</f>
        <v>Turkey</v>
      </c>
      <c r="H126" s="43" t="str">
        <f>IFERROR(__xludf.DUMMYFUNCTION("""COMPUTED_VALUE"""),"İZMİR")</f>
        <v>İZMİR</v>
      </c>
      <c r="I126" s="43" t="str">
        <f>IFERROR(__xludf.DUMMYFUNCTION("""COMPUTED_VALUE"""),"Brazil")</f>
        <v>Brazil</v>
      </c>
      <c r="J126" s="43" t="str">
        <f>IFERROR(__xludf.DUMMYFUNCTION("""COMPUTED_VALUE"""),"FORTALEZA")</f>
        <v>FORTALEZA</v>
      </c>
      <c r="K126" s="44" t="str">
        <f>IFERROR(__xludf.DUMMYFUNCTION("""COMPUTED_VALUE"""),"https://expa.aiesec.org/opportunities/1301543")</f>
        <v>https://expa.aiesec.org/opportunities/1301543</v>
      </c>
      <c r="L126" s="43" t="str">
        <f>IFERROR(__xludf.DUMMYFUNCTION("""COMPUTED_VALUE"""),"GTa")</f>
        <v>GTa</v>
      </c>
      <c r="M126" s="43" t="str">
        <f>IFERROR(__xludf.DUMMYFUNCTION("""COMPUTED_VALUE"""),"long")</f>
        <v>long</v>
      </c>
      <c r="N126" s="45">
        <f>IFERROR(__xludf.DUMMYFUNCTION("""COMPUTED_VALUE"""),45270.0)</f>
        <v>45270</v>
      </c>
      <c r="O126" s="45">
        <f>IFERROR(__xludf.DUMMYFUNCTION("""COMPUTED_VALUE"""),45299.0)</f>
        <v>45299</v>
      </c>
      <c r="P126" s="45">
        <f>IFERROR(__xludf.DUMMYFUNCTION("""COMPUTED_VALUE"""),45667.0)</f>
        <v>45667</v>
      </c>
      <c r="Q126" s="45"/>
      <c r="R126" s="45"/>
      <c r="S126" s="43"/>
      <c r="T126" s="43" t="str">
        <f>IFERROR(__xludf.DUMMYFUNCTION("""COMPUTED_VALUE"""),"Engineering")</f>
        <v>Engineering</v>
      </c>
      <c r="U126" s="43" t="str">
        <f>IFERROR(__xludf.DUMMYFUNCTION("""COMPUTED_VALUE"""),"[ENGINE] Chemical Engineering @FO")</f>
        <v>[ENGINE] Chemical Engineering @FO</v>
      </c>
      <c r="V126" s="43" t="str">
        <f>IFERROR(__xludf.DUMMYFUNCTION("""COMPUTED_VALUE"""),"IZMIR")</f>
        <v>IZMIR</v>
      </c>
      <c r="W126" s="43" t="str">
        <f>IFERROR(__xludf.DUMMYFUNCTION("""COMPUTED_VALUE"""),"2020-10-16T11:04:05Z")</f>
        <v>2020-10-16T11:04:05Z</v>
      </c>
      <c r="X126" s="43"/>
      <c r="Y126" s="43"/>
      <c r="Z126" s="43"/>
    </row>
    <row r="127" hidden="1">
      <c r="A127" s="43" t="str">
        <f>IFERROR(__xludf.DUMMYFUNCTION("""COMPUTED_VALUE"""),"5243736_1300251")</f>
        <v>5243736_1300251</v>
      </c>
      <c r="B127" s="43" t="str">
        <f>IFERROR(__xludf.DUMMYFUNCTION("""COMPUTED_VALUE"""),"İzel Damla Atasoy")</f>
        <v>İzel Damla Atasoy</v>
      </c>
      <c r="C127" s="43" t="str">
        <f>IFERROR(__xludf.DUMMYFUNCTION("""COMPUTED_VALUE"""),"realized")</f>
        <v>realized</v>
      </c>
      <c r="D127" s="43" t="str">
        <f>IFERROR(__xludf.DUMMYFUNCTION("""COMPUTED_VALUE"""),"No")</f>
        <v>No</v>
      </c>
      <c r="E127" s="43" t="str">
        <f>IFERROR(__xludf.DUMMYFUNCTION("""COMPUTED_VALUE"""),"p_71b0abc755b94bbe809c61cecdfb1b262bb6762b@inbound.aiesec.org")</f>
        <v>p_71b0abc755b94bbe809c61cecdfb1b262bb6762b@inbound.aiesec.org</v>
      </c>
      <c r="F127" s="43"/>
      <c r="G127" s="43" t="str">
        <f>IFERROR(__xludf.DUMMYFUNCTION("""COMPUTED_VALUE"""),"Turkey")</f>
        <v>Turkey</v>
      </c>
      <c r="H127" s="43" t="str">
        <f>IFERROR(__xludf.DUMMYFUNCTION("""COMPUTED_VALUE"""),"İZMİR")</f>
        <v>İZMİR</v>
      </c>
      <c r="I127" s="43" t="str">
        <f>IFERROR(__xludf.DUMMYFUNCTION("""COMPUTED_VALUE"""),"Serbia")</f>
        <v>Serbia</v>
      </c>
      <c r="J127" s="43" t="str">
        <f>IFERROR(__xludf.DUMMYFUNCTION("""COMPUTED_VALUE"""),"Singidunum")</f>
        <v>Singidunum</v>
      </c>
      <c r="K127" s="44" t="str">
        <f>IFERROR(__xludf.DUMMYFUNCTION("""COMPUTED_VALUE"""),"https://expa.aiesec.org/opportunities/1300251")</f>
        <v>https://expa.aiesec.org/opportunities/1300251</v>
      </c>
      <c r="L127" s="43" t="str">
        <f>IFERROR(__xludf.DUMMYFUNCTION("""COMPUTED_VALUE"""),"GTa")</f>
        <v>GTa</v>
      </c>
      <c r="M127" s="43" t="str">
        <f>IFERROR(__xludf.DUMMYFUNCTION("""COMPUTED_VALUE"""),"short")</f>
        <v>short</v>
      </c>
      <c r="N127" s="45">
        <f>IFERROR(__xludf.DUMMYFUNCTION("""COMPUTED_VALUE"""),45278.0)</f>
        <v>45278</v>
      </c>
      <c r="O127" s="45">
        <f>IFERROR(__xludf.DUMMYFUNCTION("""COMPUTED_VALUE"""),45306.0)</f>
        <v>45306</v>
      </c>
      <c r="P127" s="45">
        <f>IFERROR(__xludf.DUMMYFUNCTION("""COMPUTED_VALUE"""),45362.0)</f>
        <v>45362</v>
      </c>
      <c r="Q127" s="45">
        <f>IFERROR(__xludf.DUMMYFUNCTION("""COMPUTED_VALUE"""),45305.0)</f>
        <v>45305</v>
      </c>
      <c r="R127" s="45">
        <f>IFERROR(__xludf.DUMMYFUNCTION("""COMPUTED_VALUE"""),45362.0)</f>
        <v>45362</v>
      </c>
      <c r="S127" s="43"/>
      <c r="T127" s="43" t="str">
        <f>IFERROR(__xludf.DUMMYFUNCTION("""COMPUTED_VALUE"""),"Engineering")</f>
        <v>Engineering</v>
      </c>
      <c r="U127" s="43" t="str">
        <f>IFERROR(__xludf.DUMMYFUNCTION("""COMPUTED_VALUE"""),"Architect")</f>
        <v>Architect</v>
      </c>
      <c r="V127" s="43" t="str">
        <f>IFERROR(__xludf.DUMMYFUNCTION("""COMPUTED_VALUE"""),"-")</f>
        <v>-</v>
      </c>
      <c r="W127" s="43" t="str">
        <f>IFERROR(__xludf.DUMMYFUNCTION("""COMPUTED_VALUE"""),"2023-04-17T12:35:32Z")</f>
        <v>2023-04-17T12:35:32Z</v>
      </c>
      <c r="X127" s="43"/>
      <c r="Y127" s="43"/>
      <c r="Z127" s="43"/>
    </row>
    <row r="128" hidden="1">
      <c r="A128" s="43" t="str">
        <f>IFERROR(__xludf.DUMMYFUNCTION("""COMPUTED_VALUE"""),"5381866_1302694")</f>
        <v>5381866_1302694</v>
      </c>
      <c r="B128" s="43" t="str">
        <f>IFERROR(__xludf.DUMMYFUNCTION("""COMPUTED_VALUE"""),"yasin emre özel")</f>
        <v>yasin emre özel</v>
      </c>
      <c r="C128" s="43" t="str">
        <f>IFERROR(__xludf.DUMMYFUNCTION("""COMPUTED_VALUE"""),"approved")</f>
        <v>approved</v>
      </c>
      <c r="D128" s="43" t="str">
        <f>IFERROR(__xludf.DUMMYFUNCTION("""COMPUTED_VALUE"""),"No")</f>
        <v>No</v>
      </c>
      <c r="E128" s="43" t="str">
        <f>IFERROR(__xludf.DUMMYFUNCTION("""COMPUTED_VALUE"""),"p_22837905f6abae6648cffce08d64755d708e3ddc@inbound.aiesec.org")</f>
        <v>p_22837905f6abae6648cffce08d64755d708e3ddc@inbound.aiesec.org</v>
      </c>
      <c r="F128" s="43"/>
      <c r="G128" s="43" t="str">
        <f>IFERROR(__xludf.DUMMYFUNCTION("""COMPUTED_VALUE"""),"Turkey")</f>
        <v>Turkey</v>
      </c>
      <c r="H128" s="43" t="str">
        <f>IFERROR(__xludf.DUMMYFUNCTION("""COMPUTED_VALUE"""),"ISTANBUL")</f>
        <v>ISTANBUL</v>
      </c>
      <c r="I128" s="43" t="str">
        <f>IFERROR(__xludf.DUMMYFUNCTION("""COMPUTED_VALUE"""),"Serbia")</f>
        <v>Serbia</v>
      </c>
      <c r="J128" s="43" t="str">
        <f>IFERROR(__xludf.DUMMYFUNCTION("""COMPUTED_VALUE"""),"KRAGUJEVAC")</f>
        <v>KRAGUJEVAC</v>
      </c>
      <c r="K128" s="44" t="str">
        <f>IFERROR(__xludf.DUMMYFUNCTION("""COMPUTED_VALUE"""),"https://expa.aiesec.org/opportunities/1302694")</f>
        <v>https://expa.aiesec.org/opportunities/1302694</v>
      </c>
      <c r="L128" s="43" t="str">
        <f>IFERROR(__xludf.DUMMYFUNCTION("""COMPUTED_VALUE"""),"GTa")</f>
        <v>GTa</v>
      </c>
      <c r="M128" s="43" t="str">
        <f>IFERROR(__xludf.DUMMYFUNCTION("""COMPUTED_VALUE"""),"short")</f>
        <v>short</v>
      </c>
      <c r="N128" s="45">
        <f>IFERROR(__xludf.DUMMYFUNCTION("""COMPUTED_VALUE"""),45295.0)</f>
        <v>45295</v>
      </c>
      <c r="O128" s="45">
        <f>IFERROR(__xludf.DUMMYFUNCTION("""COMPUTED_VALUE"""),45307.0)</f>
        <v>45307</v>
      </c>
      <c r="P128" s="45">
        <f>IFERROR(__xludf.DUMMYFUNCTION("""COMPUTED_VALUE"""),45349.0)</f>
        <v>45349</v>
      </c>
      <c r="Q128" s="45"/>
      <c r="R128" s="45"/>
      <c r="S128" s="43"/>
      <c r="T128" s="43" t="str">
        <f>IFERROR(__xludf.DUMMYFUNCTION("""COMPUTED_VALUE"""),"Marketing")</f>
        <v>Marketing</v>
      </c>
      <c r="U128" s="43" t="str">
        <f>IFERROR(__xludf.DUMMYFUNCTION("""COMPUTED_VALUE"""),"Marketing Associate ")</f>
        <v>Marketing Associate </v>
      </c>
      <c r="V128" s="43" t="str">
        <f>IFERROR(__xludf.DUMMYFUNCTION("""COMPUTED_VALUE"""),"-")</f>
        <v>-</v>
      </c>
      <c r="W128" s="43" t="str">
        <f>IFERROR(__xludf.DUMMYFUNCTION("""COMPUTED_VALUE"""),"2023-11-28T17:33:52Z")</f>
        <v>2023-11-28T17:33:52Z</v>
      </c>
      <c r="X128" s="43"/>
      <c r="Y128" s="43"/>
      <c r="Z128" s="43"/>
    </row>
    <row r="129" hidden="1">
      <c r="A129" s="43" t="str">
        <f>IFERROR(__xludf.DUMMYFUNCTION("""COMPUTED_VALUE"""),"5402143_1303001")</f>
        <v>5402143_1303001</v>
      </c>
      <c r="B129" s="43" t="str">
        <f>IFERROR(__xludf.DUMMYFUNCTION("""COMPUTED_VALUE"""),"nilgul beste")</f>
        <v>nilgul beste</v>
      </c>
      <c r="C129" s="43" t="str">
        <f>IFERROR(__xludf.DUMMYFUNCTION("""COMPUTED_VALUE"""),"approved")</f>
        <v>approved</v>
      </c>
      <c r="D129" s="43" t="str">
        <f>IFERROR(__xludf.DUMMYFUNCTION("""COMPUTED_VALUE"""),"No")</f>
        <v>No</v>
      </c>
      <c r="E129" s="43" t="str">
        <f>IFERROR(__xludf.DUMMYFUNCTION("""COMPUTED_VALUE"""),"p_88c8f4bc70bb755d572f46454404f4363aea5795@inbound.aiesec.org")</f>
        <v>p_88c8f4bc70bb755d572f46454404f4363aea5795@inbound.aiesec.org</v>
      </c>
      <c r="F129" s="43">
        <f>IFERROR(__xludf.DUMMYFUNCTION("""COMPUTED_VALUE"""),5.078720032E9)</f>
        <v>5078720032</v>
      </c>
      <c r="G129" s="43" t="str">
        <f>IFERROR(__xludf.DUMMYFUNCTION("""COMPUTED_VALUE"""),"Turkey")</f>
        <v>Turkey</v>
      </c>
      <c r="H129" s="43" t="str">
        <f>IFERROR(__xludf.DUMMYFUNCTION("""COMPUTED_VALUE"""),"İZMİR")</f>
        <v>İZMİR</v>
      </c>
      <c r="I129" s="43" t="str">
        <f>IFERROR(__xludf.DUMMYFUNCTION("""COMPUTED_VALUE"""),"Poland")</f>
        <v>Poland</v>
      </c>
      <c r="J129" s="43" t="str">
        <f>IFERROR(__xludf.DUMMYFUNCTION("""COMPUTED_VALUE"""),"WROCLAW UE")</f>
        <v>WROCLAW UE</v>
      </c>
      <c r="K129" s="44" t="str">
        <f>IFERROR(__xludf.DUMMYFUNCTION("""COMPUTED_VALUE"""),"https://expa.aiesec.org/opportunities/1303001")</f>
        <v>https://expa.aiesec.org/opportunities/1303001</v>
      </c>
      <c r="L129" s="43" t="str">
        <f>IFERROR(__xludf.DUMMYFUNCTION("""COMPUTED_VALUE"""),"GTa")</f>
        <v>GTa</v>
      </c>
      <c r="M129" s="43" t="str">
        <f>IFERROR(__xludf.DUMMYFUNCTION("""COMPUTED_VALUE"""),"long")</f>
        <v>long</v>
      </c>
      <c r="N129" s="45">
        <f>IFERROR(__xludf.DUMMYFUNCTION("""COMPUTED_VALUE"""),45308.0)</f>
        <v>45308</v>
      </c>
      <c r="O129" s="45">
        <f>IFERROR(__xludf.DUMMYFUNCTION("""COMPUTED_VALUE"""),45341.0)</f>
        <v>45341</v>
      </c>
      <c r="P129" s="45">
        <f>IFERROR(__xludf.DUMMYFUNCTION("""COMPUTED_VALUE"""),45530.0)</f>
        <v>45530</v>
      </c>
      <c r="Q129" s="45"/>
      <c r="R129" s="45"/>
      <c r="S129" s="43"/>
      <c r="T129" s="43" t="str">
        <f>IFERROR(__xludf.DUMMYFUNCTION("""COMPUTED_VALUE"""),"Marketing")</f>
        <v>Marketing</v>
      </c>
      <c r="U129" s="43" t="str">
        <f>IFERROR(__xludf.DUMMYFUNCTION("""COMPUTED_VALUE"""),"Business Development Specialist (Duplicated2) (Duplicated)")</f>
        <v>Business Development Specialist (Duplicated2) (Duplicated)</v>
      </c>
      <c r="V129" s="43" t="str">
        <f>IFERROR(__xludf.DUMMYFUNCTION("""COMPUTED_VALUE"""),"IZMIR")</f>
        <v>IZMIR</v>
      </c>
      <c r="W129" s="43" t="str">
        <f>IFERROR(__xludf.DUMMYFUNCTION("""COMPUTED_VALUE"""),"2024-01-16T19:07:25Z")</f>
        <v>2024-01-16T19:07:25Z</v>
      </c>
      <c r="X129" s="43"/>
      <c r="Y129" s="43"/>
      <c r="Z129" s="43"/>
    </row>
    <row r="130" hidden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hidden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hidden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hidden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hidden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hidden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hidden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hidden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hidden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hidden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hidden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hidden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hidden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hidden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hidden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hidden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hidden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hidden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hidden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hidden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hidden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hidden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hidden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hidden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hidden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hidden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hidden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hidden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hidden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hidden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hidden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hidden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hidden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hidden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hidden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hidden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hidden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hidden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hidden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hidden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hidden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hidden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hidden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hidden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hidden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hidden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hidden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hidden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hidden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hidden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hidden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hidden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hidden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hidden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hidden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hidden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hidden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hidden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hidden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hidden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hidden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hidden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hidden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hidden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hidden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hidden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hidden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hidden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hidden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hidden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hidden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hidden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hidden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hidden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hidden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hidden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hidden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hidden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hidden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hidden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hidden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hidden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hidden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hidden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hidden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hidden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hidden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hidden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hidden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hidden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hidden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hidden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hidden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hidden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hidden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hidden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hidden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hidden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hidden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hidden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hidden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hidden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hidden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hidden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hidden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hidden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hidden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hidden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hidden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hidden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hidden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hidden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hidden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hidden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hidden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hidden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hidden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hidden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hidden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hidden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hidden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hidden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hidden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hidden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hidden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hidden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hidden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hidden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hidden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hidden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hidden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hidden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hidden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hidden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hidden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hidden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hidden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hidden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hidden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hidden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hidden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hidden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hidden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hidden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hidden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hidden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hidden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hidden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hidden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hidden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hidden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hidden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hidden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hidden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hidden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hidden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hidden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hidden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hidden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hidden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hidden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hidden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hidden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hidden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hidden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hidden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hidden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hidden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hidden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hidden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hidden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hidden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hidden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hidden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hidden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hidden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hidden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hidden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hidden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hidden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hidden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hidden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hidden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hidden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hidden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hidden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hidden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hidden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hidden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hidden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hidden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hidden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hidden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hidden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hidden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hidden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hidden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hidden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hidden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hidden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hidden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hidden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hidden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hidden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hidden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hidden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hidden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hidden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hidden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hidden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hidden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hidden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hidden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hidden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hidden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hidden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hidden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hidden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hidden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hidden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hidden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hidden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hidden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hidden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hidden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hidden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hidden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hidden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hidden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hidden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hidden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hidden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hidden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hidden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hidden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hidden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hidden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hidden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hidden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hidden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hidden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hidden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hidden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hidden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hidden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hidden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hidden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hidden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hidden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hidden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hidden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hidden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hidden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hidden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hidden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hidden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hidden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hidden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hidden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hidden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hidden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hidden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hidden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hidden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hidden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hidden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hidden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hidden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hidden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hidden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hidden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hidden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hidden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hidden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hidden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hidden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hidden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hidden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hidden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hidden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hidden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hidden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hidden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hidden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hidden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hidden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hidden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hidden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hidden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hidden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hidden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hidden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hidden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hidden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hidden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hidden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hidden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hidden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hidden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hidden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hidden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hidden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hidden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hidden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hidden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hidden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hidden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hidden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hidden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hidden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hidden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hidden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hidden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hidden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hidden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hidden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hidden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hidden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hidden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hidden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hidden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hidden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hidden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hidden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hidden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hidden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hidden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hidden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hidden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hidden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hidden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hidden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hidden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hidden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hidden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hidden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hidden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hidden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hidden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hidden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hidden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hidden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hidden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hidden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hidden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hidden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hidden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hidden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hidden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hidden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hidden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hidden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hidden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hidden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hidden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hidden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hidden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hidden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hidden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hidden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hidden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hidden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hidden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hidden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hidden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hidden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hidden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hidden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hidden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hidden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hidden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hidden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hidden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hidden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hidden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hidden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hidden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hidden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hidden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hidden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hidden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hidden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hidden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hidden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hidden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hidden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hidden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hidden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hidden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hidden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hidden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hidden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hidden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hidden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hidden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hidden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hidden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hidden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hidden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hidden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hidden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hidden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hidden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hidden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hidden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hidden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hidden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hidden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hidden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hidden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hidden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hidden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hidden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hidden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hidden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hidden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hidden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hidden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hidden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hidden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hidden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hidden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hidden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hidden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hidden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hidden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hidden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hidden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hidden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hidden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hidden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hidden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hidden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hidden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hidden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hidden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hidden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hidden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hidden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hidden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hidden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hidden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hidden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hidden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hidden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hidden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hidden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hidden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hidden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hidden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hidden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hidden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hidden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hidden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hidden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hidden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hidden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hidden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hidden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idden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hidden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hidden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hidden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hidden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hidden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hidden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hidden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hidden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hidden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hidden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hidden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hidden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hidden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hidden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hidden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hidden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hidden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hidden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hidden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hidden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hidden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hidden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hidden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hidden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hidden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hidden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hidden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hidden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hidden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hidden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hidden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hidden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hidden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hidden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hidden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hidden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hidden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hidden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hidden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hidden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hidden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hidden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hidden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hidden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hidden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hidden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hidden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hidden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hidden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hidden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hidden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hidden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hidden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hidden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hidden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hidden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hidden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hidden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hidden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hidden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hidden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hidden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hidden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hidden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hidden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hidden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hidden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hidden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hidden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hidden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hidden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hidden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hidden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hidden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hidden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hidden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hidden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hidden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hidden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hidden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hidden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hidden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hidden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hidden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hidden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hidden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hidden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hidden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hidden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hidden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hidden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hidden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hidden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hidden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hidden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hidden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hidden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hidden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hidden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hidden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hidden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hidden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hidden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hidden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hidden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hidden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hidden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hidden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hidden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hidden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hidden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hidden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hidden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hidden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hidden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hidden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hidden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hidden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hidden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hidden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hidden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hidden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hidden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hidden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hidden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hidden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hidden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hidden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hidden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hidden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hidden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hidden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hidden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hidden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hidden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hidden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hidden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hidden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hidden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hidden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hidden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hidden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hidden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hidden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hidden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hidden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hidden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hidden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hidden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hidden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hidden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hidden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hidden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hidden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hidden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hidden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hidden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hidden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hidden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hidden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hidden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hidden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hidden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hidden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hidden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hidden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hidden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hidden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hidden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hidden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hidden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hidden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hidden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hidden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hidden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hidden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hidden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hidden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hidden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hidden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hidden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hidden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hidden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hidden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hidden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hidden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hidden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hidden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hidden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hidden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hidden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hidden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hidden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hidden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hidden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hidden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hidden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hidden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hidden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hidden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hidden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hidden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hidden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hidden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hidden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hidden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hidden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hidden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hidden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hidden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hidden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hidden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hidden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hidden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hidden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hidden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hidden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hidden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hidden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hidden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hidden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hidden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hidden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hidden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hidden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hidden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hidden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hidden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hidden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hidden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hidden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hidden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hidden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hidden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hidden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hidden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hidden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hidden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hidden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hidden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hidden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hidden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hidden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hidden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hidden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hidden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hidden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hidden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hidden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hidden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hidden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hidden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hidden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hidden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hidden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hidden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hidden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hidden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hidden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hidden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hidden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hidden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hidden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hidden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hidden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hidden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hidden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hidden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hidden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hidden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hidden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hidden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hidden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hidden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hidden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hidden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hidden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hidden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hidden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hidden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hidden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hidden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hidden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hidden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hidden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hidden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hidden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hidden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hidden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hidden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hidden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hidden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hidden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hidden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hidden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hidden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hidden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hidden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hidden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hidden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hidden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hidden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hidden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hidden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hidden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hidden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hidden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hidden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hidden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hidden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hidden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hidden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hidden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hidden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hidden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hidden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hidden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hidden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hidden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hidden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hidden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hidden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hidden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hidden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hidden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hidden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hidden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hidden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hidden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hidden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hidden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hidden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hidden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hidden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hidden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hidden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hidden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hidden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hidden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hidden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hidden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hidden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hidden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hidden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hidden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hidden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hidden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hidden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hidden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hidden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hidden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hidden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hidden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hidden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hidden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hidden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hidden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hidden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hidden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hidden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hidden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hidden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hidden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hidden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hidden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hidden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hidden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hidden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hidden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hidden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hidden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hidden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hidden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hidden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hidden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hidden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hidden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hidden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hidden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hidden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hidden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hidden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hidden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hidden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hidden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hidden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hidden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hidden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hidden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hidden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hidden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hidden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hidden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hidden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hidden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hidden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hidden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hidden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hidden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hidden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hidden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hidden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hidden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hidden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hidden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hidden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hidden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hidden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hidden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hidden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hidden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autoFilter ref="$A$1:$Z$1000">
    <filterColumn colId="2">
      <filters>
        <filter val="approved"/>
      </filters>
    </filterColumn>
    <filterColumn colId="14">
      <filters blank="1">
        <filter val="2023-01-02"/>
        <filter val="2022-11-01"/>
        <filter val="2023-01-09"/>
        <filter val="2022-12-11"/>
        <filter val="2023-04-01"/>
        <filter val="2023-02-20"/>
        <filter val="2023-08-08"/>
        <filter val="2022-09-05"/>
        <filter val="2023-05-15"/>
        <filter val="2023-09-18"/>
        <filter val="2023-08-03"/>
        <filter val="2024-01-16"/>
        <filter val="2022-07-26"/>
        <filter val="2022-09-01"/>
        <filter val="2023-01-16"/>
        <filter val="2022-12-01"/>
        <filter val="2023-04-06"/>
        <filter val="2023-08-09"/>
        <filter val="2022-07-11"/>
        <filter val="2023-04-15"/>
        <filter val="2023-08-14"/>
        <filter val="2022-11-28"/>
        <filter val="2024-02-19"/>
        <filter val="2022-07-18"/>
        <filter val="2022-09-30"/>
        <filter val="2023-10-02"/>
        <filter val="2023-11-15"/>
        <filter val="2023-07-09"/>
        <filter val="2022-08-11"/>
        <filter val="2023-07-15"/>
        <filter val="2022-10-01"/>
        <filter val="2023-06-05"/>
        <filter val="2023-02-01"/>
        <filter val="2023-03-13"/>
        <filter val="2023-08-23"/>
        <filter val="2023-06-01"/>
        <filter val="2023-10-15"/>
        <filter val="2022-07-01"/>
        <filter val="2022-12-20"/>
        <filter val="2023-02-06"/>
        <filter val="2023-02-05"/>
        <filter val="2023-02-07"/>
        <filter val="2022-08-01"/>
        <filter val="2023-03-21"/>
        <filter val="2023-06-15"/>
        <filter val="2023-09-08"/>
        <filter val="2023-06-16"/>
        <filter val="2023-07-28"/>
        <filter val="2023-07-23"/>
        <filter val="2023-01-01"/>
        <filter val="2023-07-22"/>
        <filter val="2022-12-19"/>
        <filter val="2023-05-01"/>
        <filter val="2023-06-12"/>
        <filter val="2023-07-24"/>
        <filter val="2023-12-03"/>
        <filter val="2023-07-20"/>
      </filters>
    </filterColumn>
  </autoFilter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</hyperlinks>
  <drawing r:id="rId129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43" t="str">
        <f>IFERROR(__xludf.DUMMYFUNCTION("QUERY('Expected Realizations'!A1:Z1000 ,""Select * Where L Contains 'GTe' and G Contains 'Turkey'"",1)"),"EP ID_Opp ID")</f>
        <v>EP ID_Opp ID</v>
      </c>
      <c r="B1" s="43" t="str">
        <f>IFERROR(__xludf.DUMMYFUNCTION("""COMPUTED_VALUE"""),"Full Name")</f>
        <v>Full Name</v>
      </c>
      <c r="C1" s="43" t="str">
        <f>IFERROR(__xludf.DUMMYFUNCTION("""COMPUTED_VALUE"""),"Status")</f>
        <v>Status</v>
      </c>
      <c r="D1" s="43" t="str">
        <f>IFERROR(__xludf.DUMMYFUNCTION("""COMPUTED_VALUE"""),"Remote Realized?")</f>
        <v>Remote Realized?</v>
      </c>
      <c r="E1" s="43" t="str">
        <f>IFERROR(__xludf.DUMMYFUNCTION("""COMPUTED_VALUE"""),"Email")</f>
        <v>Email</v>
      </c>
      <c r="F1" s="43" t="str">
        <f>IFERROR(__xludf.DUMMYFUNCTION("""COMPUTED_VALUE"""),"Phone Number")</f>
        <v>Phone Number</v>
      </c>
      <c r="G1" s="43" t="str">
        <f>IFERROR(__xludf.DUMMYFUNCTION("""COMPUTED_VALUE"""),"Home MC")</f>
        <v>Home MC</v>
      </c>
      <c r="H1" s="43" t="str">
        <f>IFERROR(__xludf.DUMMYFUNCTION("""COMPUTED_VALUE"""),"Home LC")</f>
        <v>Home LC</v>
      </c>
      <c r="I1" s="43" t="str">
        <f>IFERROR(__xludf.DUMMYFUNCTION("""COMPUTED_VALUE"""),"Host MC")</f>
        <v>Host MC</v>
      </c>
      <c r="J1" s="43" t="str">
        <f>IFERROR(__xludf.DUMMYFUNCTION("""COMPUTED_VALUE"""),"Host LC")</f>
        <v>Host LC</v>
      </c>
      <c r="K1" s="43" t="str">
        <f>IFERROR(__xludf.DUMMYFUNCTION("""COMPUTED_VALUE"""),"Oppprtunity")</f>
        <v>Oppprtunity</v>
      </c>
      <c r="L1" s="43" t="str">
        <f>IFERROR(__xludf.DUMMYFUNCTION("""COMPUTED_VALUE"""),"Product")</f>
        <v>Product</v>
      </c>
      <c r="M1" s="43" t="str">
        <f>IFERROR(__xludf.DUMMYFUNCTION("""COMPUTED_VALUE"""),"Duration Type")</f>
        <v>Duration Type</v>
      </c>
      <c r="N1" s="43" t="str">
        <f>IFERROR(__xludf.DUMMYFUNCTION("""COMPUTED_VALUE"""),"Date Approved")</f>
        <v>Date Approved</v>
      </c>
      <c r="O1" s="43" t="str">
        <f>IFERROR(__xludf.DUMMYFUNCTION("""COMPUTED_VALUE"""),"Slot Start Date")</f>
        <v>Slot Start Date</v>
      </c>
      <c r="P1" s="43" t="str">
        <f>IFERROR(__xludf.DUMMYFUNCTION("""COMPUTED_VALUE"""),"Slot End Date")</f>
        <v>Slot End Date</v>
      </c>
      <c r="Q1" s="43" t="str">
        <f>IFERROR(__xludf.DUMMYFUNCTION("""COMPUTED_VALUE"""),"Date Realized")</f>
        <v>Date Realized</v>
      </c>
      <c r="R1" s="43" t="str">
        <f>IFERROR(__xludf.DUMMYFUNCTION("""COMPUTED_VALUE"""),"Experience End Date")</f>
        <v>Experience End Date</v>
      </c>
      <c r="S1" s="43" t="str">
        <f>IFERROR(__xludf.DUMMYFUNCTION("""COMPUTED_VALUE"""),"Remote Realized Date")</f>
        <v>Remote Realized Date</v>
      </c>
      <c r="T1" s="43" t="str">
        <f>IFERROR(__xludf.DUMMYFUNCTION("""COMPUTED_VALUE"""),"Sub Product")</f>
        <v>Sub Product</v>
      </c>
      <c r="U1" s="43" t="str">
        <f>IFERROR(__xludf.DUMMYFUNCTION("""COMPUTED_VALUE"""),"Title")</f>
        <v>Title</v>
      </c>
      <c r="V1" s="43" t="str">
        <f>IFERROR(__xludf.DUMMYFUNCTION("""COMPUTED_VALUE"""),"Campus")</f>
        <v>Campus</v>
      </c>
      <c r="W1" s="43" t="str">
        <f>IFERROR(__xludf.DUMMYFUNCTION("""COMPUTED_VALUE"""),"Signup Date")</f>
        <v>Signup Date</v>
      </c>
      <c r="X1" s="43" t="str">
        <f>IFERROR(__xludf.DUMMYFUNCTION("""COMPUTED_VALUE"""),"")</f>
        <v/>
      </c>
      <c r="Y1" s="43" t="str">
        <f>IFERROR(__xludf.DUMMYFUNCTION("""COMPUTED_VALUE"""),"")</f>
        <v/>
      </c>
      <c r="Z1" s="43" t="str">
        <f>IFERROR(__xludf.DUMMYFUNCTION("""COMPUTED_VALUE"""),"")</f>
        <v/>
      </c>
    </row>
    <row r="2" hidden="1">
      <c r="A2" s="43" t="str">
        <f>IFERROR(__xludf.DUMMYFUNCTION("""COMPUTED_VALUE"""),"4790519_1288032")</f>
        <v>4790519_1288032</v>
      </c>
      <c r="B2" s="43" t="str">
        <f>IFERROR(__xludf.DUMMYFUNCTION("""COMPUTED_VALUE"""),"Merve Temel")</f>
        <v>Merve Temel</v>
      </c>
      <c r="C2" s="43" t="str">
        <f>IFERROR(__xludf.DUMMYFUNCTION("""COMPUTED_VALUE"""),"completed")</f>
        <v>completed</v>
      </c>
      <c r="D2" s="43" t="str">
        <f>IFERROR(__xludf.DUMMYFUNCTION("""COMPUTED_VALUE"""),"No")</f>
        <v>No</v>
      </c>
      <c r="E2" s="43" t="str">
        <f>IFERROR(__xludf.DUMMYFUNCTION("""COMPUTED_VALUE"""),"p_725b68dbdf812fada5411905e62cd46442b408b9@inbound.aiesec.org")</f>
        <v>p_725b68dbdf812fada5411905e62cd46442b408b9@inbound.aiesec.org</v>
      </c>
      <c r="F2" s="43">
        <f>IFERROR(__xludf.DUMMYFUNCTION("""COMPUTED_VALUE"""),5.526752612E9)</f>
        <v>5526752612</v>
      </c>
      <c r="G2" s="43" t="str">
        <f>IFERROR(__xludf.DUMMYFUNCTION("""COMPUTED_VALUE"""),"Turkey")</f>
        <v>Turkey</v>
      </c>
      <c r="H2" s="43" t="str">
        <f>IFERROR(__xludf.DUMMYFUNCTION("""COMPUTED_VALUE"""),"ADANA")</f>
        <v>ADANA</v>
      </c>
      <c r="I2" s="43" t="str">
        <f>IFERROR(__xludf.DUMMYFUNCTION("""COMPUTED_VALUE"""),"India")</f>
        <v>India</v>
      </c>
      <c r="J2" s="43" t="str">
        <f>IFERROR(__xludf.DUMMYFUNCTION("""COMPUTED_VALUE"""),"Navi Mumbai")</f>
        <v>Navi Mumbai</v>
      </c>
      <c r="K2" s="44" t="str">
        <f>IFERROR(__xludf.DUMMYFUNCTION("""COMPUTED_VALUE"""),"https://expa.aiesec.org/opportunities/1288032")</f>
        <v>https://expa.aiesec.org/opportunities/1288032</v>
      </c>
      <c r="L2" s="43" t="str">
        <f>IFERROR(__xludf.DUMMYFUNCTION("""COMPUTED_VALUE"""),"GTe")</f>
        <v>GTe</v>
      </c>
      <c r="M2" s="43" t="str">
        <f>IFERROR(__xludf.DUMMYFUNCTION("""COMPUTED_VALUE"""),"medium")</f>
        <v>medium</v>
      </c>
      <c r="N2" s="45">
        <f>IFERROR(__xludf.DUMMYFUNCTION("""COMPUTED_VALUE"""),44743.0)</f>
        <v>44743</v>
      </c>
      <c r="O2" s="45">
        <f>IFERROR(__xludf.DUMMYFUNCTION("""COMPUTED_VALUE"""),44767.0)</f>
        <v>44767</v>
      </c>
      <c r="P2" s="45">
        <f>IFERROR(__xludf.DUMMYFUNCTION("""COMPUTED_VALUE"""),44935.0)</f>
        <v>44935</v>
      </c>
      <c r="Q2" s="45">
        <f>IFERROR(__xludf.DUMMYFUNCTION("""COMPUTED_VALUE"""),44775.0)</f>
        <v>44775</v>
      </c>
      <c r="R2" s="45">
        <f>IFERROR(__xludf.DUMMYFUNCTION("""COMPUTED_VALUE"""),44942.0)</f>
        <v>44942</v>
      </c>
      <c r="S2" s="43"/>
      <c r="T2" s="43"/>
      <c r="U2" s="43" t="str">
        <f>IFERROR(__xludf.DUMMYFUNCTION("""COMPUTED_VALUE"""),"French Teacher ")</f>
        <v>French Teacher </v>
      </c>
      <c r="V2" s="43" t="str">
        <f>IFERROR(__xludf.DUMMYFUNCTION("""COMPUTED_VALUE"""),"ADANA")</f>
        <v>ADANA</v>
      </c>
      <c r="W2" s="43" t="str">
        <f>IFERROR(__xludf.DUMMYFUNCTION("""COMPUTED_VALUE"""),"2021-11-07T17:48:38Z")</f>
        <v>2021-11-07T17:48:38Z</v>
      </c>
      <c r="X2" s="43"/>
      <c r="Y2" s="43"/>
      <c r="Z2" s="43"/>
    </row>
    <row r="3" hidden="1">
      <c r="A3" s="43" t="str">
        <f>IFERROR(__xludf.DUMMYFUNCTION("""COMPUTED_VALUE"""),"5077436_1286782")</f>
        <v>5077436_1286782</v>
      </c>
      <c r="B3" s="43" t="str">
        <f>IFERROR(__xludf.DUMMYFUNCTION("""COMPUTED_VALUE"""),"Helin Deniz Türkmen")</f>
        <v>Helin Deniz Türkmen</v>
      </c>
      <c r="C3" s="43" t="str">
        <f>IFERROR(__xludf.DUMMYFUNCTION("""COMPUTED_VALUE"""),"finished")</f>
        <v>finished</v>
      </c>
      <c r="D3" s="43" t="str">
        <f>IFERROR(__xludf.DUMMYFUNCTION("""COMPUTED_VALUE"""),"No")</f>
        <v>No</v>
      </c>
      <c r="E3" s="43" t="str">
        <f>IFERROR(__xludf.DUMMYFUNCTION("""COMPUTED_VALUE"""),"p_a9ebc0b621869fb512edcc5ed20cbc41e4890579@inbound.aiesec.org")</f>
        <v>p_a9ebc0b621869fb512edcc5ed20cbc41e4890579@inbound.aiesec.org</v>
      </c>
      <c r="F3" s="43">
        <f>IFERROR(__xludf.DUMMYFUNCTION("""COMPUTED_VALUE"""),5.304808916E9)</f>
        <v>5304808916</v>
      </c>
      <c r="G3" s="43" t="str">
        <f>IFERROR(__xludf.DUMMYFUNCTION("""COMPUTED_VALUE"""),"Turkey")</f>
        <v>Turkey</v>
      </c>
      <c r="H3" s="43" t="str">
        <f>IFERROR(__xludf.DUMMYFUNCTION("""COMPUTED_VALUE"""),"SAKARYA")</f>
        <v>SAKARYA</v>
      </c>
      <c r="I3" s="43" t="str">
        <f>IFERROR(__xludf.DUMMYFUNCTION("""COMPUTED_VALUE"""),"VIETNAM")</f>
        <v>VIETNAM</v>
      </c>
      <c r="J3" s="43" t="str">
        <f>IFERROR(__xludf.DUMMYFUNCTION("""COMPUTED_VALUE"""),"Hanoi")</f>
        <v>Hanoi</v>
      </c>
      <c r="K3" s="44" t="str">
        <f>IFERROR(__xludf.DUMMYFUNCTION("""COMPUTED_VALUE"""),"https://expa.aiesec.org/opportunities/1286782")</f>
        <v>https://expa.aiesec.org/opportunities/1286782</v>
      </c>
      <c r="L3" s="43" t="str">
        <f>IFERROR(__xludf.DUMMYFUNCTION("""COMPUTED_VALUE"""),"GTe")</f>
        <v>GTe</v>
      </c>
      <c r="M3" s="43" t="str">
        <f>IFERROR(__xludf.DUMMYFUNCTION("""COMPUTED_VALUE"""),"long")</f>
        <v>long</v>
      </c>
      <c r="N3" s="45">
        <f>IFERROR(__xludf.DUMMYFUNCTION("""COMPUTED_VALUE"""),44743.0)</f>
        <v>44743</v>
      </c>
      <c r="O3" s="45">
        <f>IFERROR(__xludf.DUMMYFUNCTION("""COMPUTED_VALUE"""),44772.0)</f>
        <v>44772</v>
      </c>
      <c r="P3" s="45">
        <f>IFERROR(__xludf.DUMMYFUNCTION("""COMPUTED_VALUE"""),45046.0)</f>
        <v>45046</v>
      </c>
      <c r="Q3" s="45">
        <f>IFERROR(__xludf.DUMMYFUNCTION("""COMPUTED_VALUE"""),44819.0)</f>
        <v>44819</v>
      </c>
      <c r="R3" s="45">
        <f>IFERROR(__xludf.DUMMYFUNCTION("""COMPUTED_VALUE"""),45078.0)</f>
        <v>45078</v>
      </c>
      <c r="S3" s="43"/>
      <c r="T3" s="43"/>
      <c r="U3" s="43" t="str">
        <f>IFERROR(__xludf.DUMMYFUNCTION("""COMPUTED_VALUE"""),"Being an English teacher with ATHENA INTERNATIONAL COOPERATION CO., LTD")</f>
        <v>Being an English teacher with ATHENA INTERNATIONAL COOPERATION CO., LTD</v>
      </c>
      <c r="V3" s="43" t="str">
        <f>IFERROR(__xludf.DUMMYFUNCTION("""COMPUTED_VALUE"""),"SAKARYA")</f>
        <v>SAKARYA</v>
      </c>
      <c r="W3" s="43" t="str">
        <f>IFERROR(__xludf.DUMMYFUNCTION("""COMPUTED_VALUE"""),"2022-06-28T09:58:59Z")</f>
        <v>2022-06-28T09:58:59Z</v>
      </c>
      <c r="X3" s="43"/>
      <c r="Y3" s="43"/>
      <c r="Z3" s="43"/>
    </row>
    <row r="4" hidden="1">
      <c r="A4" s="43" t="str">
        <f>IFERROR(__xludf.DUMMYFUNCTION("""COMPUTED_VALUE"""),"4991376_1285358")</f>
        <v>4991376_1285358</v>
      </c>
      <c r="B4" s="43" t="str">
        <f>IFERROR(__xludf.DUMMYFUNCTION("""COMPUTED_VALUE"""),"Humay Charyyeva")</f>
        <v>Humay Charyyeva</v>
      </c>
      <c r="C4" s="43" t="str">
        <f>IFERROR(__xludf.DUMMYFUNCTION("""COMPUTED_VALUE"""),"finished")</f>
        <v>finished</v>
      </c>
      <c r="D4" s="43" t="str">
        <f>IFERROR(__xludf.DUMMYFUNCTION("""COMPUTED_VALUE"""),"No")</f>
        <v>No</v>
      </c>
      <c r="E4" s="43" t="str">
        <f>IFERROR(__xludf.DUMMYFUNCTION("""COMPUTED_VALUE"""),"p_229725a70071c61fa700a3fd174b0d61a002d299@inbound.aiesec.org")</f>
        <v>p_229725a70071c61fa700a3fd174b0d61a002d299@inbound.aiesec.org</v>
      </c>
      <c r="F4" s="43">
        <f>IFERROR(__xludf.DUMMYFUNCTION("""COMPUTED_VALUE"""),5.071672047E9)</f>
        <v>5071672047</v>
      </c>
      <c r="G4" s="43" t="str">
        <f>IFERROR(__xludf.DUMMYFUNCTION("""COMPUTED_VALUE"""),"Turkey")</f>
        <v>Turkey</v>
      </c>
      <c r="H4" s="43" t="str">
        <f>IFERROR(__xludf.DUMMYFUNCTION("""COMPUTED_VALUE"""),"ESKISEHIR")</f>
        <v>ESKISEHIR</v>
      </c>
      <c r="I4" s="43" t="str">
        <f>IFERROR(__xludf.DUMMYFUNCTION("""COMPUTED_VALUE"""),"VIETNAM")</f>
        <v>VIETNAM</v>
      </c>
      <c r="J4" s="43" t="str">
        <f>IFERROR(__xludf.DUMMYFUNCTION("""COMPUTED_VALUE"""),"Ho Chi Minh City")</f>
        <v>Ho Chi Minh City</v>
      </c>
      <c r="K4" s="44" t="str">
        <f>IFERROR(__xludf.DUMMYFUNCTION("""COMPUTED_VALUE"""),"https://expa.aiesec.org/opportunities/1285358")</f>
        <v>https://expa.aiesec.org/opportunities/1285358</v>
      </c>
      <c r="L4" s="43" t="str">
        <f>IFERROR(__xludf.DUMMYFUNCTION("""COMPUTED_VALUE"""),"GTe")</f>
        <v>GTe</v>
      </c>
      <c r="M4" s="43" t="str">
        <f>IFERROR(__xludf.DUMMYFUNCTION("""COMPUTED_VALUE"""),"long")</f>
        <v>long</v>
      </c>
      <c r="N4" s="45">
        <f>IFERROR(__xludf.DUMMYFUNCTION("""COMPUTED_VALUE"""),44767.0)</f>
        <v>44767</v>
      </c>
      <c r="O4" s="45">
        <f>IFERROR(__xludf.DUMMYFUNCTION("""COMPUTED_VALUE"""),44781.0)</f>
        <v>44781</v>
      </c>
      <c r="P4" s="45">
        <f>IFERROR(__xludf.DUMMYFUNCTION("""COMPUTED_VALUE"""),45146.0)</f>
        <v>45146</v>
      </c>
      <c r="Q4" s="45">
        <f>IFERROR(__xludf.DUMMYFUNCTION("""COMPUTED_VALUE"""),44819.0)</f>
        <v>44819</v>
      </c>
      <c r="R4" s="45">
        <f>IFERROR(__xludf.DUMMYFUNCTION("""COMPUTED_VALUE"""),45245.0)</f>
        <v>45245</v>
      </c>
      <c r="S4" s="43"/>
      <c r="T4" s="43"/>
      <c r="U4" s="43" t="str">
        <f>IFERROR(__xludf.DUMMYFUNCTION("""COMPUTED_VALUE"""),"TEACHING ENGLISH IN HO CHI MINH CITY")</f>
        <v>TEACHING ENGLISH IN HO CHI MINH CITY</v>
      </c>
      <c r="V4" s="43" t="str">
        <f>IFERROR(__xludf.DUMMYFUNCTION("""COMPUTED_VALUE"""),"ESKISEHIR")</f>
        <v>ESKISEHIR</v>
      </c>
      <c r="W4" s="43" t="str">
        <f>IFERROR(__xludf.DUMMYFUNCTION("""COMPUTED_VALUE"""),"2022-03-18T08:38:50Z")</f>
        <v>2022-03-18T08:38:50Z</v>
      </c>
      <c r="X4" s="43"/>
      <c r="Y4" s="43"/>
      <c r="Z4" s="43"/>
    </row>
    <row r="5" hidden="1">
      <c r="A5" s="43" t="str">
        <f>IFERROR(__xludf.DUMMYFUNCTION("""COMPUTED_VALUE"""),"5065288_1285358")</f>
        <v>5065288_1285358</v>
      </c>
      <c r="B5" s="43" t="str">
        <f>IFERROR(__xludf.DUMMYFUNCTION("""COMPUTED_VALUE"""),"Merdan Seyitliyev")</f>
        <v>Merdan Seyitliyev</v>
      </c>
      <c r="C5" s="43" t="str">
        <f>IFERROR(__xludf.DUMMYFUNCTION("""COMPUTED_VALUE"""),"finished")</f>
        <v>finished</v>
      </c>
      <c r="D5" s="43" t="str">
        <f>IFERROR(__xludf.DUMMYFUNCTION("""COMPUTED_VALUE"""),"No")</f>
        <v>No</v>
      </c>
      <c r="E5" s="43" t="str">
        <f>IFERROR(__xludf.DUMMYFUNCTION("""COMPUTED_VALUE"""),"p_83ee67c7a2b94e40ea40bd64f434bb5026c9ac35@inbound.aiesec.org")</f>
        <v>p_83ee67c7a2b94e40ea40bd64f434bb5026c9ac35@inbound.aiesec.org</v>
      </c>
      <c r="F5" s="43">
        <f>IFERROR(__xludf.DUMMYFUNCTION("""COMPUTED_VALUE"""),5.075258108E9)</f>
        <v>5075258108</v>
      </c>
      <c r="G5" s="43" t="str">
        <f>IFERROR(__xludf.DUMMYFUNCTION("""COMPUTED_VALUE"""),"Turkey")</f>
        <v>Turkey</v>
      </c>
      <c r="H5" s="43" t="str">
        <f>IFERROR(__xludf.DUMMYFUNCTION("""COMPUTED_VALUE"""),"ESKISEHIR")</f>
        <v>ESKISEHIR</v>
      </c>
      <c r="I5" s="43" t="str">
        <f>IFERROR(__xludf.DUMMYFUNCTION("""COMPUTED_VALUE"""),"VIETNAM")</f>
        <v>VIETNAM</v>
      </c>
      <c r="J5" s="43" t="str">
        <f>IFERROR(__xludf.DUMMYFUNCTION("""COMPUTED_VALUE"""),"Ho Chi Minh City")</f>
        <v>Ho Chi Minh City</v>
      </c>
      <c r="K5" s="44" t="str">
        <f>IFERROR(__xludf.DUMMYFUNCTION("""COMPUTED_VALUE"""),"https://expa.aiesec.org/opportunities/1285358")</f>
        <v>https://expa.aiesec.org/opportunities/1285358</v>
      </c>
      <c r="L5" s="43" t="str">
        <f>IFERROR(__xludf.DUMMYFUNCTION("""COMPUTED_VALUE"""),"GTe")</f>
        <v>GTe</v>
      </c>
      <c r="M5" s="43" t="str">
        <f>IFERROR(__xludf.DUMMYFUNCTION("""COMPUTED_VALUE"""),"long")</f>
        <v>long</v>
      </c>
      <c r="N5" s="45">
        <f>IFERROR(__xludf.DUMMYFUNCTION("""COMPUTED_VALUE"""),44775.0)</f>
        <v>44775</v>
      </c>
      <c r="O5" s="45">
        <f>IFERROR(__xludf.DUMMYFUNCTION("""COMPUTED_VALUE"""),44781.0)</f>
        <v>44781</v>
      </c>
      <c r="P5" s="45">
        <f>IFERROR(__xludf.DUMMYFUNCTION("""COMPUTED_VALUE"""),45146.0)</f>
        <v>45146</v>
      </c>
      <c r="Q5" s="45">
        <f>IFERROR(__xludf.DUMMYFUNCTION("""COMPUTED_VALUE"""),44819.0)</f>
        <v>44819</v>
      </c>
      <c r="R5" s="45">
        <f>IFERROR(__xludf.DUMMYFUNCTION("""COMPUTED_VALUE"""),45245.0)</f>
        <v>45245</v>
      </c>
      <c r="S5" s="43"/>
      <c r="T5" s="43"/>
      <c r="U5" s="43" t="str">
        <f>IFERROR(__xludf.DUMMYFUNCTION("""COMPUTED_VALUE"""),"TEACHING ENGLISH IN HO CHI MINH CITY")</f>
        <v>TEACHING ENGLISH IN HO CHI MINH CITY</v>
      </c>
      <c r="V5" s="43" t="str">
        <f>IFERROR(__xludf.DUMMYFUNCTION("""COMPUTED_VALUE"""),"ESKISEHIR")</f>
        <v>ESKISEHIR</v>
      </c>
      <c r="W5" s="43" t="str">
        <f>IFERROR(__xludf.DUMMYFUNCTION("""COMPUTED_VALUE"""),"2022-05-28T10:48:49Z")</f>
        <v>2022-05-28T10:48:49Z</v>
      </c>
      <c r="X5" s="43"/>
      <c r="Y5" s="43"/>
      <c r="Z5" s="43"/>
    </row>
    <row r="6" hidden="1">
      <c r="A6" s="43" t="str">
        <f>IFERROR(__xludf.DUMMYFUNCTION("""COMPUTED_VALUE"""),"4568726_1289012")</f>
        <v>4568726_1289012</v>
      </c>
      <c r="B6" s="43" t="str">
        <f>IFERROR(__xludf.DUMMYFUNCTION("""COMPUTED_VALUE"""),"Ahmet ARCA")</f>
        <v>Ahmet ARCA</v>
      </c>
      <c r="C6" s="43" t="str">
        <f>IFERROR(__xludf.DUMMYFUNCTION("""COMPUTED_VALUE"""),"completed")</f>
        <v>completed</v>
      </c>
      <c r="D6" s="43" t="str">
        <f>IFERROR(__xludf.DUMMYFUNCTION("""COMPUTED_VALUE"""),"No")</f>
        <v>No</v>
      </c>
      <c r="E6" s="43" t="str">
        <f>IFERROR(__xludf.DUMMYFUNCTION("""COMPUTED_VALUE"""),"p_9f002ce68f2c852ef78e2ad42024fcfd5438e50d@inbound.aiesec.org")</f>
        <v>p_9f002ce68f2c852ef78e2ad42024fcfd5438e50d@inbound.aiesec.org</v>
      </c>
      <c r="F6" s="43">
        <f>IFERROR(__xludf.DUMMYFUNCTION("""COMPUTED_VALUE"""),5.458171158E9)</f>
        <v>5458171158</v>
      </c>
      <c r="G6" s="43" t="str">
        <f>IFERROR(__xludf.DUMMYFUNCTION("""COMPUTED_VALUE"""),"Turkey")</f>
        <v>Turkey</v>
      </c>
      <c r="H6" s="43" t="str">
        <f>IFERROR(__xludf.DUMMYFUNCTION("""COMPUTED_VALUE"""),"İZMİR")</f>
        <v>İZMİR</v>
      </c>
      <c r="I6" s="43" t="str">
        <f>IFERROR(__xludf.DUMMYFUNCTION("""COMPUTED_VALUE"""),"VIETNAM")</f>
        <v>VIETNAM</v>
      </c>
      <c r="J6" s="43" t="str">
        <f>IFERROR(__xludf.DUMMYFUNCTION("""COMPUTED_VALUE"""),"Ho Chi Minh City")</f>
        <v>Ho Chi Minh City</v>
      </c>
      <c r="K6" s="44" t="str">
        <f>IFERROR(__xludf.DUMMYFUNCTION("""COMPUTED_VALUE"""),"https://expa.aiesec.org/opportunities/1289012")</f>
        <v>https://expa.aiesec.org/opportunities/1289012</v>
      </c>
      <c r="L6" s="43" t="str">
        <f>IFERROR(__xludf.DUMMYFUNCTION("""COMPUTED_VALUE"""),"GTe")</f>
        <v>GTe</v>
      </c>
      <c r="M6" s="43" t="str">
        <f>IFERROR(__xludf.DUMMYFUNCTION("""COMPUTED_VALUE"""),"short")</f>
        <v>short</v>
      </c>
      <c r="N6" s="45">
        <f>IFERROR(__xludf.DUMMYFUNCTION("""COMPUTED_VALUE"""),44797.0)</f>
        <v>44797</v>
      </c>
      <c r="O6" s="45">
        <f>IFERROR(__xludf.DUMMYFUNCTION("""COMPUTED_VALUE"""),44819.0)</f>
        <v>44819</v>
      </c>
      <c r="P6" s="45">
        <f>IFERROR(__xludf.DUMMYFUNCTION("""COMPUTED_VALUE"""),44895.0)</f>
        <v>44895</v>
      </c>
      <c r="Q6" s="45">
        <f>IFERROR(__xludf.DUMMYFUNCTION("""COMPUTED_VALUE"""),44846.0)</f>
        <v>44846</v>
      </c>
      <c r="R6" s="45">
        <f>IFERROR(__xludf.DUMMYFUNCTION("""COMPUTED_VALUE"""),44907.0)</f>
        <v>44907</v>
      </c>
      <c r="S6" s="43"/>
      <c r="T6" s="43"/>
      <c r="U6" s="43" t="str">
        <f>IFERROR(__xludf.DUMMYFUNCTION("""COMPUTED_VALUE"""),"TEACHING ENGLISH IN LAM DONG, AN GIANG, HUE AND BUON MA THUOC")</f>
        <v>TEACHING ENGLISH IN LAM DONG, AN GIANG, HUE AND BUON MA THUOC</v>
      </c>
      <c r="V6" s="43" t="str">
        <f>IFERROR(__xludf.DUMMYFUNCTION("""COMPUTED_VALUE"""),"DIYARBAKIR")</f>
        <v>DIYARBAKIR</v>
      </c>
      <c r="W6" s="43" t="str">
        <f>IFERROR(__xludf.DUMMYFUNCTION("""COMPUTED_VALUE"""),"2021-03-05T17:54:56Z")</f>
        <v>2021-03-05T17:54:56Z</v>
      </c>
      <c r="X6" s="43"/>
      <c r="Y6" s="43"/>
      <c r="Z6" s="43"/>
    </row>
    <row r="7" hidden="1">
      <c r="A7" s="43" t="str">
        <f>IFERROR(__xludf.DUMMYFUNCTION("""COMPUTED_VALUE"""),"2849250_1286120")</f>
        <v>2849250_1286120</v>
      </c>
      <c r="B7" s="43" t="str">
        <f>IFERROR(__xludf.DUMMYFUNCTION("""COMPUTED_VALUE"""),"Zeynep Karaçam")</f>
        <v>Zeynep Karaçam</v>
      </c>
      <c r="C7" s="43" t="str">
        <f>IFERROR(__xludf.DUMMYFUNCTION("""COMPUTED_VALUE"""),"finished")</f>
        <v>finished</v>
      </c>
      <c r="D7" s="43" t="str">
        <f>IFERROR(__xludf.DUMMYFUNCTION("""COMPUTED_VALUE"""),"No")</f>
        <v>No</v>
      </c>
      <c r="E7" s="43" t="str">
        <f>IFERROR(__xludf.DUMMYFUNCTION("""COMPUTED_VALUE"""),"p_06d259b726079b7ee3357ce430d95a8644be6c5f@inbound.aiesec.org")</f>
        <v>p_06d259b726079b7ee3357ce430d95a8644be6c5f@inbound.aiesec.org</v>
      </c>
      <c r="F7" s="43"/>
      <c r="G7" s="43" t="str">
        <f>IFERROR(__xludf.DUMMYFUNCTION("""COMPUTED_VALUE"""),"Turkey")</f>
        <v>Turkey</v>
      </c>
      <c r="H7" s="43" t="str">
        <f>IFERROR(__xludf.DUMMYFUNCTION("""COMPUTED_VALUE"""),"ANKARA")</f>
        <v>ANKARA</v>
      </c>
      <c r="I7" s="43" t="str">
        <f>IFERROR(__xludf.DUMMYFUNCTION("""COMPUTED_VALUE"""),"Cambodia")</f>
        <v>Cambodia</v>
      </c>
      <c r="J7" s="43" t="str">
        <f>IFERROR(__xludf.DUMMYFUNCTION("""COMPUTED_VALUE"""),"LUCT")</f>
        <v>LUCT</v>
      </c>
      <c r="K7" s="44" t="str">
        <f>IFERROR(__xludf.DUMMYFUNCTION("""COMPUTED_VALUE"""),"https://expa.aiesec.org/opportunities/1286120")</f>
        <v>https://expa.aiesec.org/opportunities/1286120</v>
      </c>
      <c r="L7" s="43" t="str">
        <f>IFERROR(__xludf.DUMMYFUNCTION("""COMPUTED_VALUE"""),"GTe")</f>
        <v>GTe</v>
      </c>
      <c r="M7" s="43" t="str">
        <f>IFERROR(__xludf.DUMMYFUNCTION("""COMPUTED_VALUE"""),"medium")</f>
        <v>medium</v>
      </c>
      <c r="N7" s="45">
        <f>IFERROR(__xludf.DUMMYFUNCTION("""COMPUTED_VALUE"""),44800.0)</f>
        <v>44800</v>
      </c>
      <c r="O7" s="45">
        <f>IFERROR(__xludf.DUMMYFUNCTION("""COMPUTED_VALUE"""),44805.0)</f>
        <v>44805</v>
      </c>
      <c r="P7" s="45">
        <f>IFERROR(__xludf.DUMMYFUNCTION("""COMPUTED_VALUE"""),44986.0)</f>
        <v>44986</v>
      </c>
      <c r="Q7" s="45">
        <f>IFERROR(__xludf.DUMMYFUNCTION("""COMPUTED_VALUE"""),44846.0)</f>
        <v>44846</v>
      </c>
      <c r="R7" s="45">
        <f>IFERROR(__xludf.DUMMYFUNCTION("""COMPUTED_VALUE"""),45026.0)</f>
        <v>45026</v>
      </c>
      <c r="S7" s="43"/>
      <c r="T7" s="43"/>
      <c r="U7" s="43" t="str">
        <f>IFERROR(__xludf.DUMMYFUNCTION("""COMPUTED_VALUE"""),"Edutastic in Cambodia")</f>
        <v>Edutastic in Cambodia</v>
      </c>
      <c r="V7" s="43" t="str">
        <f>IFERROR(__xludf.DUMMYFUNCTION("""COMPUTED_VALUE"""),"ANKARA")</f>
        <v>ANKARA</v>
      </c>
      <c r="W7" s="43" t="str">
        <f>IFERROR(__xludf.DUMMYFUNCTION("""COMPUTED_VALUE"""),"2018-11-09T17:20:45Z")</f>
        <v>2018-11-09T17:20:45Z</v>
      </c>
      <c r="X7" s="43"/>
      <c r="Y7" s="43"/>
      <c r="Z7" s="43"/>
    </row>
    <row r="8" hidden="1">
      <c r="A8" s="43" t="str">
        <f>IFERROR(__xludf.DUMMYFUNCTION("""COMPUTED_VALUE"""),"5150568_1279169")</f>
        <v>5150568_1279169</v>
      </c>
      <c r="B8" s="43" t="str">
        <f>IFERROR(__xludf.DUMMYFUNCTION("""COMPUTED_VALUE"""),"Fatmanur Sarıer")</f>
        <v>Fatmanur Sarıer</v>
      </c>
      <c r="C8" s="43" t="str">
        <f>IFERROR(__xludf.DUMMYFUNCTION("""COMPUTED_VALUE"""),"realization_broken")</f>
        <v>realization_broken</v>
      </c>
      <c r="D8" s="43" t="str">
        <f>IFERROR(__xludf.DUMMYFUNCTION("""COMPUTED_VALUE"""),"No")</f>
        <v>No</v>
      </c>
      <c r="E8" s="43" t="str">
        <f>IFERROR(__xludf.DUMMYFUNCTION("""COMPUTED_VALUE"""),"p_a3cb5939b38ad40db9b6d479096f5cd37e9b4cf0@inbound.aiesec.org")</f>
        <v>p_a3cb5939b38ad40db9b6d479096f5cd37e9b4cf0@inbound.aiesec.org</v>
      </c>
      <c r="F8" s="43"/>
      <c r="G8" s="43" t="str">
        <f>IFERROR(__xludf.DUMMYFUNCTION("""COMPUTED_VALUE"""),"Turkey")</f>
        <v>Turkey</v>
      </c>
      <c r="H8" s="43" t="str">
        <f>IFERROR(__xludf.DUMMYFUNCTION("""COMPUTED_VALUE"""),"BURSA")</f>
        <v>BURSA</v>
      </c>
      <c r="I8" s="43" t="str">
        <f>IFERROR(__xludf.DUMMYFUNCTION("""COMPUTED_VALUE"""),"Egypt")</f>
        <v>Egypt</v>
      </c>
      <c r="J8" s="43" t="str">
        <f>IFERROR(__xludf.DUMMYFUNCTION("""COMPUTED_VALUE"""),"Damietta")</f>
        <v>Damietta</v>
      </c>
      <c r="K8" s="44" t="str">
        <f>IFERROR(__xludf.DUMMYFUNCTION("""COMPUTED_VALUE"""),"https://expa.aiesec.org/opportunities/1279169")</f>
        <v>https://expa.aiesec.org/opportunities/1279169</v>
      </c>
      <c r="L8" s="43" t="str">
        <f>IFERROR(__xludf.DUMMYFUNCTION("""COMPUTED_VALUE"""),"GTe")</f>
        <v>GTe</v>
      </c>
      <c r="M8" s="43" t="str">
        <f>IFERROR(__xludf.DUMMYFUNCTION("""COMPUTED_VALUE"""),"short")</f>
        <v>short</v>
      </c>
      <c r="N8" s="45">
        <f>IFERROR(__xludf.DUMMYFUNCTION("""COMPUTED_VALUE"""),44884.0)</f>
        <v>44884</v>
      </c>
      <c r="O8" s="45">
        <f>IFERROR(__xludf.DUMMYFUNCTION("""COMPUTED_VALUE"""),44958.0)</f>
        <v>44958</v>
      </c>
      <c r="P8" s="45">
        <f>IFERROR(__xludf.DUMMYFUNCTION("""COMPUTED_VALUE"""),45041.0)</f>
        <v>45041</v>
      </c>
      <c r="Q8" s="45"/>
      <c r="R8" s="45"/>
      <c r="S8" s="43"/>
      <c r="T8" s="43"/>
      <c r="U8" s="43" t="str">
        <f>IFERROR(__xludf.DUMMYFUNCTION("""COMPUTED_VALUE"""),"English Teacher | Egypt ")</f>
        <v>English Teacher | Egypt </v>
      </c>
      <c r="V8" s="43" t="str">
        <f>IFERROR(__xludf.DUMMYFUNCTION("""COMPUTED_VALUE"""),"-")</f>
        <v>-</v>
      </c>
      <c r="W8" s="43" t="str">
        <f>IFERROR(__xludf.DUMMYFUNCTION("""COMPUTED_VALUE"""),"2022-11-10T03:58:28Z")</f>
        <v>2022-11-10T03:58:28Z</v>
      </c>
      <c r="X8" s="43"/>
      <c r="Y8" s="43"/>
      <c r="Z8" s="43"/>
    </row>
    <row r="9" hidden="1">
      <c r="A9" s="43" t="str">
        <f>IFERROR(__xludf.DUMMYFUNCTION("""COMPUTED_VALUE"""),"5160966_1289455")</f>
        <v>5160966_1289455</v>
      </c>
      <c r="B9" s="43" t="str">
        <f>IFERROR(__xludf.DUMMYFUNCTION("""COMPUTED_VALUE"""),"Işılay Özkan")</f>
        <v>Işılay Özkan</v>
      </c>
      <c r="C9" s="43" t="str">
        <f>IFERROR(__xludf.DUMMYFUNCTION("""COMPUTED_VALUE"""),"realization_broken")</f>
        <v>realization_broken</v>
      </c>
      <c r="D9" s="43" t="str">
        <f>IFERROR(__xludf.DUMMYFUNCTION("""COMPUTED_VALUE"""),"No")</f>
        <v>No</v>
      </c>
      <c r="E9" s="43" t="str">
        <f>IFERROR(__xludf.DUMMYFUNCTION("""COMPUTED_VALUE"""),"p_e1a5d36509c7add88972dd67c4801a7bf2766eea@inbound.aiesec.org")</f>
        <v>p_e1a5d36509c7add88972dd67c4801a7bf2766eea@inbound.aiesec.org</v>
      </c>
      <c r="F9" s="43">
        <f>IFERROR(__xludf.DUMMYFUNCTION("""COMPUTED_VALUE"""),5.071982184E9)</f>
        <v>5071982184</v>
      </c>
      <c r="G9" s="43" t="str">
        <f>IFERROR(__xludf.DUMMYFUNCTION("""COMPUTED_VALUE"""),"Turkey")</f>
        <v>Turkey</v>
      </c>
      <c r="H9" s="43" t="str">
        <f>IFERROR(__xludf.DUMMYFUNCTION("""COMPUTED_VALUE"""),"ISTANBUL ASIA")</f>
        <v>ISTANBUL ASIA</v>
      </c>
      <c r="I9" s="43" t="str">
        <f>IFERROR(__xludf.DUMMYFUNCTION("""COMPUTED_VALUE"""),"Egypt")</f>
        <v>Egypt</v>
      </c>
      <c r="J9" s="43" t="str">
        <f>IFERROR(__xludf.DUMMYFUNCTION("""COMPUTED_VALUE"""),"Ain Shams University")</f>
        <v>Ain Shams University</v>
      </c>
      <c r="K9" s="44" t="str">
        <f>IFERROR(__xludf.DUMMYFUNCTION("""COMPUTED_VALUE"""),"https://expa.aiesec.org/opportunities/1289455")</f>
        <v>https://expa.aiesec.org/opportunities/1289455</v>
      </c>
      <c r="L9" s="43" t="str">
        <f>IFERROR(__xludf.DUMMYFUNCTION("""COMPUTED_VALUE"""),"GTe")</f>
        <v>GTe</v>
      </c>
      <c r="M9" s="43" t="str">
        <f>IFERROR(__xludf.DUMMYFUNCTION("""COMPUTED_VALUE"""),"short")</f>
        <v>short</v>
      </c>
      <c r="N9" s="45">
        <f>IFERROR(__xludf.DUMMYFUNCTION("""COMPUTED_VALUE"""),44895.0)</f>
        <v>44895</v>
      </c>
      <c r="O9" s="45">
        <f>IFERROR(__xludf.DUMMYFUNCTION("""COMPUTED_VALUE"""),45109.0)</f>
        <v>45109</v>
      </c>
      <c r="P9" s="45">
        <f>IFERROR(__xludf.DUMMYFUNCTION("""COMPUTED_VALUE"""),45192.0)</f>
        <v>45192</v>
      </c>
      <c r="Q9" s="45"/>
      <c r="R9" s="45"/>
      <c r="S9" s="43"/>
      <c r="T9" s="43"/>
      <c r="U9" s="43" t="str">
        <f>IFERROR(__xludf.DUMMYFUNCTION("""COMPUTED_VALUE"""),"English Teacher for Kids in Cairo")</f>
        <v>English Teacher for Kids in Cairo</v>
      </c>
      <c r="V9" s="43" t="str">
        <f>IFERROR(__xludf.DUMMYFUNCTION("""COMPUTED_VALUE"""),"ISTANBUL ASIA")</f>
        <v>ISTANBUL ASIA</v>
      </c>
      <c r="W9" s="43" t="str">
        <f>IFERROR(__xludf.DUMMYFUNCTION("""COMPUTED_VALUE"""),"2022-11-30T13:58:14Z")</f>
        <v>2022-11-30T13:58:14Z</v>
      </c>
      <c r="X9" s="43"/>
      <c r="Y9" s="43"/>
      <c r="Z9" s="43"/>
    </row>
    <row r="10" hidden="1">
      <c r="A10" s="43" t="str">
        <f>IFERROR(__xludf.DUMMYFUNCTION("""COMPUTED_VALUE"""),"4613280_1290648")</f>
        <v>4613280_1290648</v>
      </c>
      <c r="B10" s="43" t="str">
        <f>IFERROR(__xludf.DUMMYFUNCTION("""COMPUTED_VALUE"""),"Rukiye Hanilçe")</f>
        <v>Rukiye Hanilçe</v>
      </c>
      <c r="C10" s="43" t="str">
        <f>IFERROR(__xludf.DUMMYFUNCTION("""COMPUTED_VALUE"""),"approved")</f>
        <v>approved</v>
      </c>
      <c r="D10" s="43" t="str">
        <f>IFERROR(__xludf.DUMMYFUNCTION("""COMPUTED_VALUE"""),"No")</f>
        <v>No</v>
      </c>
      <c r="E10" s="43" t="str">
        <f>IFERROR(__xludf.DUMMYFUNCTION("""COMPUTED_VALUE"""),"p_8c07115e52b9d4595d8d59f08dbcfeb34d4775b1@inbound.aiesec.org")</f>
        <v>p_8c07115e52b9d4595d8d59f08dbcfeb34d4775b1@inbound.aiesec.org</v>
      </c>
      <c r="F10" s="43"/>
      <c r="G10" s="43" t="str">
        <f>IFERROR(__xludf.DUMMYFUNCTION("""COMPUTED_VALUE"""),"Turkey")</f>
        <v>Turkey</v>
      </c>
      <c r="H10" s="43" t="str">
        <f>IFERROR(__xludf.DUMMYFUNCTION("""COMPUTED_VALUE"""),"ISTANBUL ASIA")</f>
        <v>ISTANBUL ASIA</v>
      </c>
      <c r="I10" s="43" t="str">
        <f>IFERROR(__xludf.DUMMYFUNCTION("""COMPUTED_VALUE"""),"Egypt")</f>
        <v>Egypt</v>
      </c>
      <c r="J10" s="43" t="str">
        <f>IFERROR(__xludf.DUMMYFUNCTION("""COMPUTED_VALUE"""),"Helwan")</f>
        <v>Helwan</v>
      </c>
      <c r="K10" s="44" t="str">
        <f>IFERROR(__xludf.DUMMYFUNCTION("""COMPUTED_VALUE"""),"https://expa.aiesec.org/opportunities/1290648")</f>
        <v>https://expa.aiesec.org/opportunities/1290648</v>
      </c>
      <c r="L10" s="43" t="str">
        <f>IFERROR(__xludf.DUMMYFUNCTION("""COMPUTED_VALUE"""),"GTe")</f>
        <v>GTe</v>
      </c>
      <c r="M10" s="43" t="str">
        <f>IFERROR(__xludf.DUMMYFUNCTION("""COMPUTED_VALUE"""),"short")</f>
        <v>short</v>
      </c>
      <c r="N10" s="45">
        <f>IFERROR(__xludf.DUMMYFUNCTION("""COMPUTED_VALUE"""),44895.0)</f>
        <v>44895</v>
      </c>
      <c r="O10" s="45">
        <f>IFERROR(__xludf.DUMMYFUNCTION("""COMPUTED_VALUE"""),45118.0)</f>
        <v>45118</v>
      </c>
      <c r="P10" s="45">
        <f>IFERROR(__xludf.DUMMYFUNCTION("""COMPUTED_VALUE"""),45181.0)</f>
        <v>45181</v>
      </c>
      <c r="Q10" s="45"/>
      <c r="R10" s="45"/>
      <c r="S10" s="43"/>
      <c r="T10" s="43"/>
      <c r="U10" s="43" t="str">
        <f>IFERROR(__xludf.DUMMYFUNCTION("""COMPUTED_VALUE"""),"English Teacher")</f>
        <v>English Teacher</v>
      </c>
      <c r="V10" s="43" t="str">
        <f>IFERROR(__xludf.DUMMYFUNCTION("""COMPUTED_VALUE"""),"ISTANBUL ASIA")</f>
        <v>ISTANBUL ASIA</v>
      </c>
      <c r="W10" s="43" t="str">
        <f>IFERROR(__xludf.DUMMYFUNCTION("""COMPUTED_VALUE"""),"2021-04-11T19:07:44Z")</f>
        <v>2021-04-11T19:07:44Z</v>
      </c>
      <c r="X10" s="43"/>
      <c r="Y10" s="43"/>
      <c r="Z10" s="43"/>
    </row>
    <row r="11" hidden="1">
      <c r="A11" s="43" t="str">
        <f>IFERROR(__xludf.DUMMYFUNCTION("""COMPUTED_VALUE"""),"5140418_1284858")</f>
        <v>5140418_1284858</v>
      </c>
      <c r="B11" s="43" t="str">
        <f>IFERROR(__xludf.DUMMYFUNCTION("""COMPUTED_VALUE"""),"Aygül Genç")</f>
        <v>Aygül Genç</v>
      </c>
      <c r="C11" s="43" t="str">
        <f>IFERROR(__xludf.DUMMYFUNCTION("""COMPUTED_VALUE"""),"finished")</f>
        <v>finished</v>
      </c>
      <c r="D11" s="43" t="str">
        <f>IFERROR(__xludf.DUMMYFUNCTION("""COMPUTED_VALUE"""),"No")</f>
        <v>No</v>
      </c>
      <c r="E11" s="43" t="str">
        <f>IFERROR(__xludf.DUMMYFUNCTION("""COMPUTED_VALUE"""),"p_d01281eb29fa6f5035f673482ea6bdab601bab87@inbound.aiesec.org")</f>
        <v>p_d01281eb29fa6f5035f673482ea6bdab601bab87@inbound.aiesec.org</v>
      </c>
      <c r="F11" s="43">
        <f>IFERROR(__xludf.DUMMYFUNCTION("""COMPUTED_VALUE"""),5.421975499E9)</f>
        <v>5421975499</v>
      </c>
      <c r="G11" s="43" t="str">
        <f>IFERROR(__xludf.DUMMYFUNCTION("""COMPUTED_VALUE"""),"Turkey")</f>
        <v>Turkey</v>
      </c>
      <c r="H11" s="43" t="str">
        <f>IFERROR(__xludf.DUMMYFUNCTION("""COMPUTED_VALUE"""),"ANKARA")</f>
        <v>ANKARA</v>
      </c>
      <c r="I11" s="43" t="str">
        <f>IFERROR(__xludf.DUMMYFUNCTION("""COMPUTED_VALUE"""),"Cambodia")</f>
        <v>Cambodia</v>
      </c>
      <c r="J11" s="43" t="str">
        <f>IFERROR(__xludf.DUMMYFUNCTION("""COMPUTED_VALUE"""),"LUCT")</f>
        <v>LUCT</v>
      </c>
      <c r="K11" s="44" t="str">
        <f>IFERROR(__xludf.DUMMYFUNCTION("""COMPUTED_VALUE"""),"https://expa.aiesec.org/opportunities/1284858")</f>
        <v>https://expa.aiesec.org/opportunities/1284858</v>
      </c>
      <c r="L11" s="43" t="str">
        <f>IFERROR(__xludf.DUMMYFUNCTION("""COMPUTED_VALUE"""),"GTe")</f>
        <v>GTe</v>
      </c>
      <c r="M11" s="43" t="str">
        <f>IFERROR(__xludf.DUMMYFUNCTION("""COMPUTED_VALUE"""),"medium")</f>
        <v>medium</v>
      </c>
      <c r="N11" s="45">
        <f>IFERROR(__xludf.DUMMYFUNCTION("""COMPUTED_VALUE"""),44896.0)</f>
        <v>44896</v>
      </c>
      <c r="O11" s="45">
        <f>IFERROR(__xludf.DUMMYFUNCTION("""COMPUTED_VALUE"""),44896.0)</f>
        <v>44896</v>
      </c>
      <c r="P11" s="45">
        <f>IFERROR(__xludf.DUMMYFUNCTION("""COMPUTED_VALUE"""),45077.0)</f>
        <v>45077</v>
      </c>
      <c r="Q11" s="45">
        <f>IFERROR(__xludf.DUMMYFUNCTION("""COMPUTED_VALUE"""),44966.0)</f>
        <v>44966</v>
      </c>
      <c r="R11" s="45">
        <f>IFERROR(__xludf.DUMMYFUNCTION("""COMPUTED_VALUE"""),45147.0)</f>
        <v>45147</v>
      </c>
      <c r="S11" s="43"/>
      <c r="T11" s="43"/>
      <c r="U11" s="43" t="str">
        <f>IFERROR(__xludf.DUMMYFUNCTION("""COMPUTED_VALUE"""),"Educationist to Cambodia")</f>
        <v>Educationist to Cambodia</v>
      </c>
      <c r="V11" s="43" t="str">
        <f>IFERROR(__xludf.DUMMYFUNCTION("""COMPUTED_VALUE"""),"ANKARA")</f>
        <v>ANKARA</v>
      </c>
      <c r="W11" s="43" t="str">
        <f>IFERROR(__xludf.DUMMYFUNCTION("""COMPUTED_VALUE"""),"2022-10-25T19:01:08Z")</f>
        <v>2022-10-25T19:01:08Z</v>
      </c>
      <c r="X11" s="43"/>
      <c r="Y11" s="43"/>
      <c r="Z11" s="43"/>
    </row>
    <row r="12" hidden="1">
      <c r="A12" s="43" t="str">
        <f>IFERROR(__xludf.DUMMYFUNCTION("""COMPUTED_VALUE"""),"5106046_1291275")</f>
        <v>5106046_1291275</v>
      </c>
      <c r="B12" s="43" t="str">
        <f>IFERROR(__xludf.DUMMYFUNCTION("""COMPUTED_VALUE"""),"Şevval Ozan")</f>
        <v>Şevval Ozan</v>
      </c>
      <c r="C12" s="43" t="str">
        <f>IFERROR(__xludf.DUMMYFUNCTION("""COMPUTED_VALUE"""),"completed")</f>
        <v>completed</v>
      </c>
      <c r="D12" s="43" t="str">
        <f>IFERROR(__xludf.DUMMYFUNCTION("""COMPUTED_VALUE"""),"No")</f>
        <v>No</v>
      </c>
      <c r="E12" s="43" t="str">
        <f>IFERROR(__xludf.DUMMYFUNCTION("""COMPUTED_VALUE"""),"p_b684736ad19df81c1d2887fbccb3833f8a42e53f@inbound.aiesec.org")</f>
        <v>p_b684736ad19df81c1d2887fbccb3833f8a42e53f@inbound.aiesec.org</v>
      </c>
      <c r="F12" s="43"/>
      <c r="G12" s="43" t="str">
        <f>IFERROR(__xludf.DUMMYFUNCTION("""COMPUTED_VALUE"""),"Turkey")</f>
        <v>Turkey</v>
      </c>
      <c r="H12" s="43" t="str">
        <f>IFERROR(__xludf.DUMMYFUNCTION("""COMPUTED_VALUE"""),"ISTANBUL ASIA")</f>
        <v>ISTANBUL ASIA</v>
      </c>
      <c r="I12" s="43" t="str">
        <f>IFERROR(__xludf.DUMMYFUNCTION("""COMPUTED_VALUE"""),"Egypt")</f>
        <v>Egypt</v>
      </c>
      <c r="J12" s="43" t="str">
        <f>IFERROR(__xludf.DUMMYFUNCTION("""COMPUTED_VALUE"""),"MUST")</f>
        <v>MUST</v>
      </c>
      <c r="K12" s="44" t="str">
        <f>IFERROR(__xludf.DUMMYFUNCTION("""COMPUTED_VALUE"""),"https://expa.aiesec.org/opportunities/1291275")</f>
        <v>https://expa.aiesec.org/opportunities/1291275</v>
      </c>
      <c r="L12" s="43" t="str">
        <f>IFERROR(__xludf.DUMMYFUNCTION("""COMPUTED_VALUE"""),"GTe")</f>
        <v>GTe</v>
      </c>
      <c r="M12" s="43" t="str">
        <f>IFERROR(__xludf.DUMMYFUNCTION("""COMPUTED_VALUE"""),"short")</f>
        <v>short</v>
      </c>
      <c r="N12" s="45">
        <f>IFERROR(__xludf.DUMMYFUNCTION("""COMPUTED_VALUE"""),44904.0)</f>
        <v>44904</v>
      </c>
      <c r="O12" s="45">
        <f>IFERROR(__xludf.DUMMYFUNCTION("""COMPUTED_VALUE"""),45078.0)</f>
        <v>45078</v>
      </c>
      <c r="P12" s="45">
        <f>IFERROR(__xludf.DUMMYFUNCTION("""COMPUTED_VALUE"""),45141.0)</f>
        <v>45141</v>
      </c>
      <c r="Q12" s="45">
        <f>IFERROR(__xludf.DUMMYFUNCTION("""COMPUTED_VALUE"""),45079.0)</f>
        <v>45079</v>
      </c>
      <c r="R12" s="45">
        <f>IFERROR(__xludf.DUMMYFUNCTION("""COMPUTED_VALUE"""),45169.0)</f>
        <v>45169</v>
      </c>
      <c r="S12" s="43"/>
      <c r="T12" s="43"/>
      <c r="U12" s="43" t="str">
        <f>IFERROR(__xludf.DUMMYFUNCTION("""COMPUTED_VALUE"""),"Creative English Teacher")</f>
        <v>Creative English Teacher</v>
      </c>
      <c r="V12" s="43" t="str">
        <f>IFERROR(__xludf.DUMMYFUNCTION("""COMPUTED_VALUE"""),"ISTANBUL ASIA")</f>
        <v>ISTANBUL ASIA</v>
      </c>
      <c r="W12" s="43" t="str">
        <f>IFERROR(__xludf.DUMMYFUNCTION("""COMPUTED_VALUE"""),"2022-09-05T13:38:50Z")</f>
        <v>2022-09-05T13:38:50Z</v>
      </c>
      <c r="X12" s="43"/>
      <c r="Y12" s="43"/>
      <c r="Z12" s="43"/>
    </row>
    <row r="13" hidden="1">
      <c r="A13" s="43" t="str">
        <f>IFERROR(__xludf.DUMMYFUNCTION("""COMPUTED_VALUE"""),"5113698_1291452")</f>
        <v>5113698_1291452</v>
      </c>
      <c r="B13" s="43" t="str">
        <f>IFERROR(__xludf.DUMMYFUNCTION("""COMPUTED_VALUE"""),"Çilem Kübra Eşiyok")</f>
        <v>Çilem Kübra Eşiyok</v>
      </c>
      <c r="C13" s="43" t="str">
        <f>IFERROR(__xludf.DUMMYFUNCTION("""COMPUTED_VALUE"""),"approved")</f>
        <v>approved</v>
      </c>
      <c r="D13" s="43" t="str">
        <f>IFERROR(__xludf.DUMMYFUNCTION("""COMPUTED_VALUE"""),"No")</f>
        <v>No</v>
      </c>
      <c r="E13" s="43" t="str">
        <f>IFERROR(__xludf.DUMMYFUNCTION("""COMPUTED_VALUE"""),"p_8f76da720f609019521f4b868a4871680ceed6eb@inbound.aiesec.org")</f>
        <v>p_8f76da720f609019521f4b868a4871680ceed6eb@inbound.aiesec.org</v>
      </c>
      <c r="F13" s="43">
        <f>IFERROR(__xludf.DUMMYFUNCTION("""COMPUTED_VALUE"""),5.059702874E9)</f>
        <v>5059702874</v>
      </c>
      <c r="G13" s="43" t="str">
        <f>IFERROR(__xludf.DUMMYFUNCTION("""COMPUTED_VALUE"""),"Turkey")</f>
        <v>Turkey</v>
      </c>
      <c r="H13" s="43" t="str">
        <f>IFERROR(__xludf.DUMMYFUNCTION("""COMPUTED_VALUE"""),"ISTANBUL ASIA")</f>
        <v>ISTANBUL ASIA</v>
      </c>
      <c r="I13" s="43" t="str">
        <f>IFERROR(__xludf.DUMMYFUNCTION("""COMPUTED_VALUE"""),"Egypt")</f>
        <v>Egypt</v>
      </c>
      <c r="J13" s="43" t="str">
        <f>IFERROR(__xludf.DUMMYFUNCTION("""COMPUTED_VALUE"""),"Helwan")</f>
        <v>Helwan</v>
      </c>
      <c r="K13" s="44" t="str">
        <f>IFERROR(__xludf.DUMMYFUNCTION("""COMPUTED_VALUE"""),"https://expa.aiesec.org/opportunities/1291452")</f>
        <v>https://expa.aiesec.org/opportunities/1291452</v>
      </c>
      <c r="L13" s="43" t="str">
        <f>IFERROR(__xludf.DUMMYFUNCTION("""COMPUTED_VALUE"""),"GTe")</f>
        <v>GTe</v>
      </c>
      <c r="M13" s="43" t="str">
        <f>IFERROR(__xludf.DUMMYFUNCTION("""COMPUTED_VALUE"""),"medium")</f>
        <v>medium</v>
      </c>
      <c r="N13" s="45">
        <f>IFERROR(__xludf.DUMMYFUNCTION("""COMPUTED_VALUE"""),44915.0)</f>
        <v>44915</v>
      </c>
      <c r="O13" s="45">
        <f>IFERROR(__xludf.DUMMYFUNCTION("""COMPUTED_VALUE"""),45123.0)</f>
        <v>45123</v>
      </c>
      <c r="P13" s="45">
        <f>IFERROR(__xludf.DUMMYFUNCTION("""COMPUTED_VALUE"""),45300.0)</f>
        <v>45300</v>
      </c>
      <c r="Q13" s="45"/>
      <c r="R13" s="45"/>
      <c r="S13" s="43"/>
      <c r="T13" s="43"/>
      <c r="U13" s="43" t="str">
        <f>IFERROR(__xludf.DUMMYFUNCTION("""COMPUTED_VALUE"""),"English Teacher")</f>
        <v>English Teacher</v>
      </c>
      <c r="V13" s="43" t="str">
        <f>IFERROR(__xludf.DUMMYFUNCTION("""COMPUTED_VALUE"""),"ISTANBUL ASIA")</f>
        <v>ISTANBUL ASIA</v>
      </c>
      <c r="W13" s="43" t="str">
        <f>IFERROR(__xludf.DUMMYFUNCTION("""COMPUTED_VALUE"""),"2022-09-16T12:40:57Z")</f>
        <v>2022-09-16T12:40:57Z</v>
      </c>
      <c r="X13" s="43"/>
      <c r="Y13" s="43"/>
      <c r="Z13" s="43"/>
    </row>
    <row r="14">
      <c r="A14" s="43" t="str">
        <f>IFERROR(__xludf.DUMMYFUNCTION("""COMPUTED_VALUE"""),"5170091_1287487")</f>
        <v>5170091_1287487</v>
      </c>
      <c r="B14" s="43" t="str">
        <f>IFERROR(__xludf.DUMMYFUNCTION("""COMPUTED_VALUE"""),"Bushra Gurer")</f>
        <v>Bushra Gurer</v>
      </c>
      <c r="C14" s="43" t="str">
        <f>IFERROR(__xludf.DUMMYFUNCTION("""COMPUTED_VALUE"""),"approved")</f>
        <v>approved</v>
      </c>
      <c r="D14" s="43" t="str">
        <f>IFERROR(__xludf.DUMMYFUNCTION("""COMPUTED_VALUE"""),"No")</f>
        <v>No</v>
      </c>
      <c r="E14" s="43" t="str">
        <f>IFERROR(__xludf.DUMMYFUNCTION("""COMPUTED_VALUE"""),"p_62dafe648144c219273b4350aafeeb2bd1db1e49@inbound.aiesec.org")</f>
        <v>p_62dafe648144c219273b4350aafeeb2bd1db1e49@inbound.aiesec.org</v>
      </c>
      <c r="F14" s="43">
        <f>IFERROR(__xludf.DUMMYFUNCTION("""COMPUTED_VALUE"""),5.535706835E9)</f>
        <v>5535706835</v>
      </c>
      <c r="G14" s="43" t="str">
        <f>IFERROR(__xludf.DUMMYFUNCTION("""COMPUTED_VALUE"""),"Turkey")</f>
        <v>Turkey</v>
      </c>
      <c r="H14" s="43" t="str">
        <f>IFERROR(__xludf.DUMMYFUNCTION("""COMPUTED_VALUE"""),"BURSA")</f>
        <v>BURSA</v>
      </c>
      <c r="I14" s="43" t="str">
        <f>IFERROR(__xludf.DUMMYFUNCTION("""COMPUTED_VALUE"""),"Cambodia")</f>
        <v>Cambodia</v>
      </c>
      <c r="J14" s="43" t="str">
        <f>IFERROR(__xludf.DUMMYFUNCTION("""COMPUTED_VALUE"""),"IFL")</f>
        <v>IFL</v>
      </c>
      <c r="K14" s="44" t="str">
        <f>IFERROR(__xludf.DUMMYFUNCTION("""COMPUTED_VALUE"""),"https://expa.aiesec.org/opportunities/1287487")</f>
        <v>https://expa.aiesec.org/opportunities/1287487</v>
      </c>
      <c r="L14" s="43" t="str">
        <f>IFERROR(__xludf.DUMMYFUNCTION("""COMPUTED_VALUE"""),"GTe")</f>
        <v>GTe</v>
      </c>
      <c r="M14" s="43" t="str">
        <f>IFERROR(__xludf.DUMMYFUNCTION("""COMPUTED_VALUE"""),"medium")</f>
        <v>medium</v>
      </c>
      <c r="N14" s="45">
        <f>IFERROR(__xludf.DUMMYFUNCTION("""COMPUTED_VALUE"""),44923.0)</f>
        <v>44923</v>
      </c>
      <c r="O14" s="45">
        <f>IFERROR(__xludf.DUMMYFUNCTION("""COMPUTED_VALUE"""),44971.0)</f>
        <v>44971</v>
      </c>
      <c r="P14" s="45">
        <f>IFERROR(__xludf.DUMMYFUNCTION("""COMPUTED_VALUE"""),45062.0)</f>
        <v>45062</v>
      </c>
      <c r="Q14" s="45"/>
      <c r="R14" s="45"/>
      <c r="S14" s="43"/>
      <c r="T14" s="43"/>
      <c r="U14" s="43" t="str">
        <f>IFERROR(__xludf.DUMMYFUNCTION("""COMPUTED_VALUE"""),"English Teacher at BECS")</f>
        <v>English Teacher at BECS</v>
      </c>
      <c r="V14" s="43" t="str">
        <f>IFERROR(__xludf.DUMMYFUNCTION("""COMPUTED_VALUE"""),"BURSA")</f>
        <v>BURSA</v>
      </c>
      <c r="W14" s="43" t="str">
        <f>IFERROR(__xludf.DUMMYFUNCTION("""COMPUTED_VALUE"""),"2022-12-25T11:37:20Z")</f>
        <v>2022-12-25T11:37:20Z</v>
      </c>
      <c r="X14" s="43"/>
      <c r="Y14" s="43"/>
      <c r="Z14" s="43"/>
    </row>
    <row r="15">
      <c r="A15" s="43" t="str">
        <f>IFERROR(__xludf.DUMMYFUNCTION("""COMPUTED_VALUE"""),"5181192_1289446")</f>
        <v>5181192_1289446</v>
      </c>
      <c r="B15" s="43" t="str">
        <f>IFERROR(__xludf.DUMMYFUNCTION("""COMPUTED_VALUE"""),"sena nur çobann")</f>
        <v>sena nur çobann</v>
      </c>
      <c r="C15" s="43" t="str">
        <f>IFERROR(__xludf.DUMMYFUNCTION("""COMPUTED_VALUE"""),"approved")</f>
        <v>approved</v>
      </c>
      <c r="D15" s="43" t="str">
        <f>IFERROR(__xludf.DUMMYFUNCTION("""COMPUTED_VALUE"""),"No")</f>
        <v>No</v>
      </c>
      <c r="E15" s="43" t="str">
        <f>IFERROR(__xludf.DUMMYFUNCTION("""COMPUTED_VALUE"""),"p_36be78d5b48378409bf45419739112b1df57f01c@inbound.aiesec.org")</f>
        <v>p_36be78d5b48378409bf45419739112b1df57f01c@inbound.aiesec.org</v>
      </c>
      <c r="F15" s="43">
        <f>IFERROR(__xludf.DUMMYFUNCTION("""COMPUTED_VALUE"""),4.38271947298E11)</f>
        <v>438271947298</v>
      </c>
      <c r="G15" s="43" t="str">
        <f>IFERROR(__xludf.DUMMYFUNCTION("""COMPUTED_VALUE"""),"Turkey")</f>
        <v>Turkey</v>
      </c>
      <c r="H15" s="43" t="str">
        <f>IFERROR(__xludf.DUMMYFUNCTION("""COMPUTED_VALUE"""),"ADANA")</f>
        <v>ADANA</v>
      </c>
      <c r="I15" s="43" t="str">
        <f>IFERROR(__xludf.DUMMYFUNCTION("""COMPUTED_VALUE"""),"Egypt")</f>
        <v>Egypt</v>
      </c>
      <c r="J15" s="43" t="str">
        <f>IFERROR(__xludf.DUMMYFUNCTION("""COMPUTED_VALUE"""),"Suez")</f>
        <v>Suez</v>
      </c>
      <c r="K15" s="44" t="str">
        <f>IFERROR(__xludf.DUMMYFUNCTION("""COMPUTED_VALUE"""),"https://expa.aiesec.org/opportunities/1289446")</f>
        <v>https://expa.aiesec.org/opportunities/1289446</v>
      </c>
      <c r="L15" s="43" t="str">
        <f>IFERROR(__xludf.DUMMYFUNCTION("""COMPUTED_VALUE"""),"GTe")</f>
        <v>GTe</v>
      </c>
      <c r="M15" s="43" t="str">
        <f>IFERROR(__xludf.DUMMYFUNCTION("""COMPUTED_VALUE"""),"short")</f>
        <v>short</v>
      </c>
      <c r="N15" s="45">
        <f>IFERROR(__xludf.DUMMYFUNCTION("""COMPUTED_VALUE"""),44954.0)</f>
        <v>44954</v>
      </c>
      <c r="O15" s="45">
        <f>IFERROR(__xludf.DUMMYFUNCTION("""COMPUTED_VALUE"""),45103.0)</f>
        <v>45103</v>
      </c>
      <c r="P15" s="45">
        <f>IFERROR(__xludf.DUMMYFUNCTION("""COMPUTED_VALUE"""),45186.0)</f>
        <v>45186</v>
      </c>
      <c r="Q15" s="45"/>
      <c r="R15" s="45"/>
      <c r="S15" s="43"/>
      <c r="T15" s="43"/>
      <c r="U15" s="43" t="str">
        <f>IFERROR(__xludf.DUMMYFUNCTION("""COMPUTED_VALUE"""),"English Teacher")</f>
        <v>English Teacher</v>
      </c>
      <c r="V15" s="43" t="str">
        <f>IFERROR(__xludf.DUMMYFUNCTION("""COMPUTED_VALUE"""),"ADANA")</f>
        <v>ADANA</v>
      </c>
      <c r="W15" s="43" t="str">
        <f>IFERROR(__xludf.DUMMYFUNCTION("""COMPUTED_VALUE"""),"2023-01-27T10:15:18Z")</f>
        <v>2023-01-27T10:15:18Z</v>
      </c>
      <c r="X15" s="43"/>
      <c r="Y15" s="43"/>
      <c r="Z15" s="43"/>
    </row>
    <row r="16" hidden="1">
      <c r="A16" s="43" t="str">
        <f>IFERROR(__xludf.DUMMYFUNCTION("""COMPUTED_VALUE"""),"5204923_1287832")</f>
        <v>5204923_1287832</v>
      </c>
      <c r="B16" s="43" t="str">
        <f>IFERROR(__xludf.DUMMYFUNCTION("""COMPUTED_VALUE"""),"Berkay Özdemir")</f>
        <v>Berkay Özdemir</v>
      </c>
      <c r="C16" s="43" t="str">
        <f>IFERROR(__xludf.DUMMYFUNCTION("""COMPUTED_VALUE"""),"approved")</f>
        <v>approved</v>
      </c>
      <c r="D16" s="43" t="str">
        <f>IFERROR(__xludf.DUMMYFUNCTION("""COMPUTED_VALUE"""),"No")</f>
        <v>No</v>
      </c>
      <c r="E16" s="43" t="str">
        <f>IFERROR(__xludf.DUMMYFUNCTION("""COMPUTED_VALUE"""),"p_013d3ceb0adebe442237d62b6ce247d351e4d2d1@inbound.aiesec.org")</f>
        <v>p_013d3ceb0adebe442237d62b6ce247d351e4d2d1@inbound.aiesec.org</v>
      </c>
      <c r="F16" s="43">
        <f>IFERROR(__xludf.DUMMYFUNCTION("""COMPUTED_VALUE"""),5.070787542E9)</f>
        <v>5070787542</v>
      </c>
      <c r="G16" s="43" t="str">
        <f>IFERROR(__xludf.DUMMYFUNCTION("""COMPUTED_VALUE"""),"Turkey")</f>
        <v>Turkey</v>
      </c>
      <c r="H16" s="43" t="str">
        <f>IFERROR(__xludf.DUMMYFUNCTION("""COMPUTED_VALUE"""),"ISTANBUL WEST")</f>
        <v>ISTANBUL WEST</v>
      </c>
      <c r="I16" s="43" t="str">
        <f>IFERROR(__xludf.DUMMYFUNCTION("""COMPUTED_VALUE"""),"Egypt")</f>
        <v>Egypt</v>
      </c>
      <c r="J16" s="43" t="str">
        <f>IFERROR(__xludf.DUMMYFUNCTION("""COMPUTED_VALUE"""),"Cairo University")</f>
        <v>Cairo University</v>
      </c>
      <c r="K16" s="44" t="str">
        <f>IFERROR(__xludf.DUMMYFUNCTION("""COMPUTED_VALUE"""),"https://expa.aiesec.org/opportunities/1287832")</f>
        <v>https://expa.aiesec.org/opportunities/1287832</v>
      </c>
      <c r="L16" s="43" t="str">
        <f>IFERROR(__xludf.DUMMYFUNCTION("""COMPUTED_VALUE"""),"GTe")</f>
        <v>GTe</v>
      </c>
      <c r="M16" s="43" t="str">
        <f>IFERROR(__xludf.DUMMYFUNCTION("""COMPUTED_VALUE"""),"long")</f>
        <v>long</v>
      </c>
      <c r="N16" s="45">
        <f>IFERROR(__xludf.DUMMYFUNCTION("""COMPUTED_VALUE"""),44989.0)</f>
        <v>44989</v>
      </c>
      <c r="O16" s="45">
        <f>IFERROR(__xludf.DUMMYFUNCTION("""COMPUTED_VALUE"""),45108.0)</f>
        <v>45108</v>
      </c>
      <c r="P16" s="45">
        <f>IFERROR(__xludf.DUMMYFUNCTION("""COMPUTED_VALUE"""),45297.0)</f>
        <v>45297</v>
      </c>
      <c r="Q16" s="45"/>
      <c r="R16" s="45"/>
      <c r="S16" s="43"/>
      <c r="T16" s="43"/>
      <c r="U16" s="43" t="str">
        <f>IFERROR(__xludf.DUMMYFUNCTION("""COMPUTED_VALUE"""),"Teaching English for Kids in Cairo")</f>
        <v>Teaching English for Kids in Cairo</v>
      </c>
      <c r="V16" s="43" t="str">
        <f>IFERROR(__xludf.DUMMYFUNCTION("""COMPUTED_VALUE"""),"TEKIRDAG")</f>
        <v>TEKIRDAG</v>
      </c>
      <c r="W16" s="43" t="str">
        <f>IFERROR(__xludf.DUMMYFUNCTION("""COMPUTED_VALUE"""),"2023-03-03T19:24:10Z")</f>
        <v>2023-03-03T19:24:10Z</v>
      </c>
      <c r="X16" s="43"/>
      <c r="Y16" s="43"/>
      <c r="Z16" s="43"/>
    </row>
    <row r="17" hidden="1">
      <c r="A17" s="43" t="str">
        <f>IFERROR(__xludf.DUMMYFUNCTION("""COMPUTED_VALUE"""),"5207165_1292695")</f>
        <v>5207165_1292695</v>
      </c>
      <c r="B17" s="43" t="str">
        <f>IFERROR(__xludf.DUMMYFUNCTION("""COMPUTED_VALUE"""),"Nurten YULU")</f>
        <v>Nurten YULU</v>
      </c>
      <c r="C17" s="43" t="str">
        <f>IFERROR(__xludf.DUMMYFUNCTION("""COMPUTED_VALUE"""),"completed")</f>
        <v>completed</v>
      </c>
      <c r="D17" s="43" t="str">
        <f>IFERROR(__xludf.DUMMYFUNCTION("""COMPUTED_VALUE"""),"No")</f>
        <v>No</v>
      </c>
      <c r="E17" s="43" t="str">
        <f>IFERROR(__xludf.DUMMYFUNCTION("""COMPUTED_VALUE"""),"p_8b714fe15c61235414fb474b2c136113ab6ff7e9@inbound.aiesec.org")</f>
        <v>p_8b714fe15c61235414fb474b2c136113ab6ff7e9@inbound.aiesec.org</v>
      </c>
      <c r="F17" s="43">
        <f>IFERROR(__xludf.DUMMYFUNCTION("""COMPUTED_VALUE"""),5.426175502E9)</f>
        <v>5426175502</v>
      </c>
      <c r="G17" s="43" t="str">
        <f>IFERROR(__xludf.DUMMYFUNCTION("""COMPUTED_VALUE"""),"Turkey")</f>
        <v>Turkey</v>
      </c>
      <c r="H17" s="43" t="str">
        <f>IFERROR(__xludf.DUMMYFUNCTION("""COMPUTED_VALUE"""),"SAKARYA")</f>
        <v>SAKARYA</v>
      </c>
      <c r="I17" s="43" t="str">
        <f>IFERROR(__xludf.DUMMYFUNCTION("""COMPUTED_VALUE"""),"Tunisia")</f>
        <v>Tunisia</v>
      </c>
      <c r="J17" s="43" t="str">
        <f>IFERROR(__xludf.DUMMYFUNCTION("""COMPUTED_VALUE"""),"UNIVERSITY")</f>
        <v>UNIVERSITY</v>
      </c>
      <c r="K17" s="44" t="str">
        <f>IFERROR(__xludf.DUMMYFUNCTION("""COMPUTED_VALUE"""),"https://expa.aiesec.org/opportunities/1292695")</f>
        <v>https://expa.aiesec.org/opportunities/1292695</v>
      </c>
      <c r="L17" s="43" t="str">
        <f>IFERROR(__xludf.DUMMYFUNCTION("""COMPUTED_VALUE"""),"GTe")</f>
        <v>GTe</v>
      </c>
      <c r="M17" s="43" t="str">
        <f>IFERROR(__xludf.DUMMYFUNCTION("""COMPUTED_VALUE"""),"short")</f>
        <v>short</v>
      </c>
      <c r="N17" s="45">
        <f>IFERROR(__xludf.DUMMYFUNCTION("""COMPUTED_VALUE"""),44991.0)</f>
        <v>44991</v>
      </c>
      <c r="O17" s="45">
        <f>IFERROR(__xludf.DUMMYFUNCTION("""COMPUTED_VALUE"""),45108.0)</f>
        <v>45108</v>
      </c>
      <c r="P17" s="45">
        <f>IFERROR(__xludf.DUMMYFUNCTION("""COMPUTED_VALUE"""),45171.0)</f>
        <v>45171</v>
      </c>
      <c r="Q17" s="45">
        <f>IFERROR(__xludf.DUMMYFUNCTION("""COMPUTED_VALUE"""),45107.0)</f>
        <v>45107</v>
      </c>
      <c r="R17" s="45">
        <f>IFERROR(__xludf.DUMMYFUNCTION("""COMPUTED_VALUE"""),45171.0)</f>
        <v>45171</v>
      </c>
      <c r="S17" s="43"/>
      <c r="T17" s="43"/>
      <c r="U17" s="43" t="str">
        <f>IFERROR(__xludf.DUMMYFUNCTION("""COMPUTED_VALUE"""),"English teacher ")</f>
        <v>English teacher </v>
      </c>
      <c r="V17" s="43" t="str">
        <f>IFERROR(__xludf.DUMMYFUNCTION("""COMPUTED_VALUE"""),"SAKARYA")</f>
        <v>SAKARYA</v>
      </c>
      <c r="W17" s="43" t="str">
        <f>IFERROR(__xludf.DUMMYFUNCTION("""COMPUTED_VALUE"""),"2023-03-06T09:44:37Z")</f>
        <v>2023-03-06T09:44:37Z</v>
      </c>
      <c r="X17" s="43"/>
      <c r="Y17" s="43"/>
      <c r="Z17" s="43"/>
    </row>
    <row r="18" hidden="1">
      <c r="A18" s="43" t="str">
        <f>IFERROR(__xludf.DUMMYFUNCTION("""COMPUTED_VALUE"""),"4914691_1290760")</f>
        <v>4914691_1290760</v>
      </c>
      <c r="B18" s="43" t="str">
        <f>IFERROR(__xludf.DUMMYFUNCTION("""COMPUTED_VALUE"""),"İREM AKÇAY")</f>
        <v>İREM AKÇAY</v>
      </c>
      <c r="C18" s="43" t="str">
        <f>IFERROR(__xludf.DUMMYFUNCTION("""COMPUTED_VALUE"""),"completed")</f>
        <v>completed</v>
      </c>
      <c r="D18" s="43" t="str">
        <f>IFERROR(__xludf.DUMMYFUNCTION("""COMPUTED_VALUE"""),"No")</f>
        <v>No</v>
      </c>
      <c r="E18" s="43" t="str">
        <f>IFERROR(__xludf.DUMMYFUNCTION("""COMPUTED_VALUE"""),"p_3ef27821886c58870e2730af16cca704d0d2d64a@inbound.aiesec.org")</f>
        <v>p_3ef27821886c58870e2730af16cca704d0d2d64a@inbound.aiesec.org</v>
      </c>
      <c r="F18" s="43">
        <f>IFERROR(__xludf.DUMMYFUNCTION("""COMPUTED_VALUE"""),5.312654452E9)</f>
        <v>5312654452</v>
      </c>
      <c r="G18" s="43" t="str">
        <f>IFERROR(__xludf.DUMMYFUNCTION("""COMPUTED_VALUE"""),"Turkey")</f>
        <v>Turkey</v>
      </c>
      <c r="H18" s="43" t="str">
        <f>IFERROR(__xludf.DUMMYFUNCTION("""COMPUTED_VALUE"""),"ISTANBUL")</f>
        <v>ISTANBUL</v>
      </c>
      <c r="I18" s="43" t="str">
        <f>IFERROR(__xludf.DUMMYFUNCTION("""COMPUTED_VALUE"""),"Egypt")</f>
        <v>Egypt</v>
      </c>
      <c r="J18" s="43" t="str">
        <f>IFERROR(__xludf.DUMMYFUNCTION("""COMPUTED_VALUE"""),"AAST In CAIRO")</f>
        <v>AAST In CAIRO</v>
      </c>
      <c r="K18" s="44" t="str">
        <f>IFERROR(__xludf.DUMMYFUNCTION("""COMPUTED_VALUE"""),"https://expa.aiesec.org/opportunities/1290760")</f>
        <v>https://expa.aiesec.org/opportunities/1290760</v>
      </c>
      <c r="L18" s="43" t="str">
        <f>IFERROR(__xludf.DUMMYFUNCTION("""COMPUTED_VALUE"""),"GTe")</f>
        <v>GTe</v>
      </c>
      <c r="M18" s="43" t="str">
        <f>IFERROR(__xludf.DUMMYFUNCTION("""COMPUTED_VALUE"""),"medium")</f>
        <v>medium</v>
      </c>
      <c r="N18" s="45">
        <f>IFERROR(__xludf.DUMMYFUNCTION("""COMPUTED_VALUE"""),44995.0)</f>
        <v>44995</v>
      </c>
      <c r="O18" s="45">
        <f>IFERROR(__xludf.DUMMYFUNCTION("""COMPUTED_VALUE"""),45097.0)</f>
        <v>45097</v>
      </c>
      <c r="P18" s="45">
        <f>IFERROR(__xludf.DUMMYFUNCTION("""COMPUTED_VALUE"""),45197.0)</f>
        <v>45197</v>
      </c>
      <c r="Q18" s="45">
        <f>IFERROR(__xludf.DUMMYFUNCTION("""COMPUTED_VALUE"""),45108.0)</f>
        <v>45108</v>
      </c>
      <c r="R18" s="45">
        <f>IFERROR(__xludf.DUMMYFUNCTION("""COMPUTED_VALUE"""),45194.0)</f>
        <v>45194</v>
      </c>
      <c r="S18" s="43"/>
      <c r="T18" s="43"/>
      <c r="U18" s="43" t="str">
        <f>IFERROR(__xludf.DUMMYFUNCTION("""COMPUTED_VALUE"""),"English teacher in Cairo")</f>
        <v>English teacher in Cairo</v>
      </c>
      <c r="V18" s="43" t="str">
        <f>IFERROR(__xludf.DUMMYFUNCTION("""COMPUTED_VALUE"""),"ISTANBUL - BEYOGLU")</f>
        <v>ISTANBUL - BEYOGLU</v>
      </c>
      <c r="W18" s="43" t="str">
        <f>IFERROR(__xludf.DUMMYFUNCTION("""COMPUTED_VALUE"""),"2022-02-04T11:44:51Z")</f>
        <v>2022-02-04T11:44:51Z</v>
      </c>
      <c r="X18" s="43"/>
      <c r="Y18" s="43"/>
      <c r="Z18" s="43"/>
    </row>
    <row r="19">
      <c r="A19" s="43" t="str">
        <f>IFERROR(__xludf.DUMMYFUNCTION("""COMPUTED_VALUE"""),"5163843_1292651")</f>
        <v>5163843_1292651</v>
      </c>
      <c r="B19" s="43" t="str">
        <f>IFERROR(__xludf.DUMMYFUNCTION("""COMPUTED_VALUE"""),"Muhsin Karataş")</f>
        <v>Muhsin Karataş</v>
      </c>
      <c r="C19" s="43" t="str">
        <f>IFERROR(__xludf.DUMMYFUNCTION("""COMPUTED_VALUE"""),"approved")</f>
        <v>approved</v>
      </c>
      <c r="D19" s="43" t="str">
        <f>IFERROR(__xludf.DUMMYFUNCTION("""COMPUTED_VALUE"""),"No")</f>
        <v>No</v>
      </c>
      <c r="E19" s="43" t="str">
        <f>IFERROR(__xludf.DUMMYFUNCTION("""COMPUTED_VALUE"""),"p_6173b88cec03d369457906e229a3c8f7fdef83d1@inbound.aiesec.org")</f>
        <v>p_6173b88cec03d369457906e229a3c8f7fdef83d1@inbound.aiesec.org</v>
      </c>
      <c r="F19" s="43">
        <f>IFERROR(__xludf.DUMMYFUNCTION("""COMPUTED_VALUE"""),5.374614198E9)</f>
        <v>5374614198</v>
      </c>
      <c r="G19" s="43" t="str">
        <f>IFERROR(__xludf.DUMMYFUNCTION("""COMPUTED_VALUE"""),"Turkey")</f>
        <v>Turkey</v>
      </c>
      <c r="H19" s="43" t="str">
        <f>IFERROR(__xludf.DUMMYFUNCTION("""COMPUTED_VALUE"""),"ISTANBUL ASIA")</f>
        <v>ISTANBUL ASIA</v>
      </c>
      <c r="I19" s="43" t="str">
        <f>IFERROR(__xludf.DUMMYFUNCTION("""COMPUTED_VALUE"""),"Egypt")</f>
        <v>Egypt</v>
      </c>
      <c r="J19" s="43" t="str">
        <f>IFERROR(__xludf.DUMMYFUNCTION("""COMPUTED_VALUE"""),"Ain Shams University")</f>
        <v>Ain Shams University</v>
      </c>
      <c r="K19" s="44" t="str">
        <f>IFERROR(__xludf.DUMMYFUNCTION("""COMPUTED_VALUE"""),"https://expa.aiesec.org/opportunities/1292651")</f>
        <v>https://expa.aiesec.org/opportunities/1292651</v>
      </c>
      <c r="L19" s="43" t="str">
        <f>IFERROR(__xludf.DUMMYFUNCTION("""COMPUTED_VALUE"""),"GTe")</f>
        <v>GTe</v>
      </c>
      <c r="M19" s="43" t="str">
        <f>IFERROR(__xludf.DUMMYFUNCTION("""COMPUTED_VALUE"""),"short")</f>
        <v>short</v>
      </c>
      <c r="N19" s="45">
        <f>IFERROR(__xludf.DUMMYFUNCTION("""COMPUTED_VALUE"""),44995.0)</f>
        <v>44995</v>
      </c>
      <c r="O19" s="45">
        <f>IFERROR(__xludf.DUMMYFUNCTION("""COMPUTED_VALUE"""),45078.0)</f>
        <v>45078</v>
      </c>
      <c r="P19" s="45">
        <f>IFERROR(__xludf.DUMMYFUNCTION("""COMPUTED_VALUE"""),45161.0)</f>
        <v>45161</v>
      </c>
      <c r="Q19" s="45"/>
      <c r="R19" s="45"/>
      <c r="S19" s="43"/>
      <c r="T19" s="43"/>
      <c r="U19" s="43" t="str">
        <f>IFERROR(__xludf.DUMMYFUNCTION("""COMPUTED_VALUE"""),"English Teacher for Kids")</f>
        <v>English Teacher for Kids</v>
      </c>
      <c r="V19" s="43" t="str">
        <f>IFERROR(__xludf.DUMMYFUNCTION("""COMPUTED_VALUE"""),"ISTANBUL ASIA")</f>
        <v>ISTANBUL ASIA</v>
      </c>
      <c r="W19" s="43" t="str">
        <f>IFERROR(__xludf.DUMMYFUNCTION("""COMPUTED_VALUE"""),"2022-12-07T15:45:41Z")</f>
        <v>2022-12-07T15:45:41Z</v>
      </c>
      <c r="X19" s="43"/>
      <c r="Y19" s="43"/>
      <c r="Z19" s="43"/>
    </row>
    <row r="20">
      <c r="A20" s="43" t="str">
        <f>IFERROR(__xludf.DUMMYFUNCTION("""COMPUTED_VALUE"""),"5051011_1290759")</f>
        <v>5051011_1290759</v>
      </c>
      <c r="B20" s="43" t="str">
        <f>IFERROR(__xludf.DUMMYFUNCTION("""COMPUTED_VALUE"""),"Melisa Gulbas")</f>
        <v>Melisa Gulbas</v>
      </c>
      <c r="C20" s="43" t="str">
        <f>IFERROR(__xludf.DUMMYFUNCTION("""COMPUTED_VALUE"""),"approved")</f>
        <v>approved</v>
      </c>
      <c r="D20" s="43" t="str">
        <f>IFERROR(__xludf.DUMMYFUNCTION("""COMPUTED_VALUE"""),"No")</f>
        <v>No</v>
      </c>
      <c r="E20" s="43" t="str">
        <f>IFERROR(__xludf.DUMMYFUNCTION("""COMPUTED_VALUE"""),"p_3ea5ce19b063765f0fc21b961dface1628944c1a@inbound.aiesec.org")</f>
        <v>p_3ea5ce19b063765f0fc21b961dface1628944c1a@inbound.aiesec.org</v>
      </c>
      <c r="F20" s="43">
        <f>IFERROR(__xludf.DUMMYFUNCTION("""COMPUTED_VALUE"""),5.44259088E9)</f>
        <v>5442590880</v>
      </c>
      <c r="G20" s="43" t="str">
        <f>IFERROR(__xludf.DUMMYFUNCTION("""COMPUTED_VALUE"""),"Turkey")</f>
        <v>Turkey</v>
      </c>
      <c r="H20" s="43" t="str">
        <f>IFERROR(__xludf.DUMMYFUNCTION("""COMPUTED_VALUE"""),"ISTANBUL")</f>
        <v>ISTANBUL</v>
      </c>
      <c r="I20" s="43" t="str">
        <f>IFERROR(__xludf.DUMMYFUNCTION("""COMPUTED_VALUE"""),"Egypt")</f>
        <v>Egypt</v>
      </c>
      <c r="J20" s="43" t="str">
        <f>IFERROR(__xludf.DUMMYFUNCTION("""COMPUTED_VALUE"""),"AAST In CAIRO")</f>
        <v>AAST In CAIRO</v>
      </c>
      <c r="K20" s="44" t="str">
        <f>IFERROR(__xludf.DUMMYFUNCTION("""COMPUTED_VALUE"""),"https://expa.aiesec.org/opportunities/1290759")</f>
        <v>https://expa.aiesec.org/opportunities/1290759</v>
      </c>
      <c r="L20" s="43" t="str">
        <f>IFERROR(__xludf.DUMMYFUNCTION("""COMPUTED_VALUE"""),"GTe")</f>
        <v>GTe</v>
      </c>
      <c r="M20" s="43" t="str">
        <f>IFERROR(__xludf.DUMMYFUNCTION("""COMPUTED_VALUE"""),"short")</f>
        <v>short</v>
      </c>
      <c r="N20" s="45">
        <f>IFERROR(__xludf.DUMMYFUNCTION("""COMPUTED_VALUE"""),44999.0)</f>
        <v>44999</v>
      </c>
      <c r="O20" s="45">
        <f>IFERROR(__xludf.DUMMYFUNCTION("""COMPUTED_VALUE"""),45078.0)</f>
        <v>45078</v>
      </c>
      <c r="P20" s="45">
        <f>IFERROR(__xludf.DUMMYFUNCTION("""COMPUTED_VALUE"""),45161.0)</f>
        <v>45161</v>
      </c>
      <c r="Q20" s="45"/>
      <c r="R20" s="45"/>
      <c r="S20" s="43"/>
      <c r="T20" s="43"/>
      <c r="U20" s="43" t="str">
        <f>IFERROR(__xludf.DUMMYFUNCTION("""COMPUTED_VALUE"""),"English teacher in Cairo")</f>
        <v>English teacher in Cairo</v>
      </c>
      <c r="V20" s="43" t="str">
        <f>IFERROR(__xludf.DUMMYFUNCTION("""COMPUTED_VALUE"""),"ISTANBUL - BEYOGLU")</f>
        <v>ISTANBUL - BEYOGLU</v>
      </c>
      <c r="W20" s="43" t="str">
        <f>IFERROR(__xludf.DUMMYFUNCTION("""COMPUTED_VALUE"""),"2022-05-04T15:13:31Z")</f>
        <v>2022-05-04T15:13:31Z</v>
      </c>
      <c r="X20" s="43"/>
      <c r="Y20" s="43"/>
      <c r="Z20" s="43"/>
    </row>
    <row r="21" hidden="1">
      <c r="A21" s="43" t="str">
        <f>IFERROR(__xludf.DUMMYFUNCTION("""COMPUTED_VALUE"""),"5214954_1292422")</f>
        <v>5214954_1292422</v>
      </c>
      <c r="B21" s="43" t="str">
        <f>IFERROR(__xludf.DUMMYFUNCTION("""COMPUTED_VALUE"""),"Elif Toprak")</f>
        <v>Elif Toprak</v>
      </c>
      <c r="C21" s="43" t="str">
        <f>IFERROR(__xludf.DUMMYFUNCTION("""COMPUTED_VALUE"""),"realization_broken")</f>
        <v>realization_broken</v>
      </c>
      <c r="D21" s="43" t="str">
        <f>IFERROR(__xludf.DUMMYFUNCTION("""COMPUTED_VALUE"""),"No")</f>
        <v>No</v>
      </c>
      <c r="E21" s="43" t="str">
        <f>IFERROR(__xludf.DUMMYFUNCTION("""COMPUTED_VALUE"""),"p_0870533862f20ec528699a54f6cf00725e2fce65@inbound.aiesec.org")</f>
        <v>p_0870533862f20ec528699a54f6cf00725e2fce65@inbound.aiesec.org</v>
      </c>
      <c r="F21" s="43">
        <f>IFERROR(__xludf.DUMMYFUNCTION("""COMPUTED_VALUE"""),4.52016725E8)</f>
        <v>452016725</v>
      </c>
      <c r="G21" s="43" t="str">
        <f>IFERROR(__xludf.DUMMYFUNCTION("""COMPUTED_VALUE"""),"Turkey")</f>
        <v>Turkey</v>
      </c>
      <c r="H21" s="43" t="str">
        <f>IFERROR(__xludf.DUMMYFUNCTION("""COMPUTED_VALUE"""),"BURSA")</f>
        <v>BURSA</v>
      </c>
      <c r="I21" s="43" t="str">
        <f>IFERROR(__xludf.DUMMYFUNCTION("""COMPUTED_VALUE"""),"Egypt")</f>
        <v>Egypt</v>
      </c>
      <c r="J21" s="43" t="str">
        <f>IFERROR(__xludf.DUMMYFUNCTION("""COMPUTED_VALUE"""),"MUST")</f>
        <v>MUST</v>
      </c>
      <c r="K21" s="44" t="str">
        <f>IFERROR(__xludf.DUMMYFUNCTION("""COMPUTED_VALUE"""),"https://expa.aiesec.org/opportunities/1292422")</f>
        <v>https://expa.aiesec.org/opportunities/1292422</v>
      </c>
      <c r="L21" s="43" t="str">
        <f>IFERROR(__xludf.DUMMYFUNCTION("""COMPUTED_VALUE"""),"GTe")</f>
        <v>GTe</v>
      </c>
      <c r="M21" s="43" t="str">
        <f>IFERROR(__xludf.DUMMYFUNCTION("""COMPUTED_VALUE"""),"long")</f>
        <v>long</v>
      </c>
      <c r="N21" s="45">
        <f>IFERROR(__xludf.DUMMYFUNCTION("""COMPUTED_VALUE"""),45002.0)</f>
        <v>45002</v>
      </c>
      <c r="O21" s="45">
        <f>IFERROR(__xludf.DUMMYFUNCTION("""COMPUTED_VALUE"""),45111.0)</f>
        <v>45111</v>
      </c>
      <c r="P21" s="45">
        <f>IFERROR(__xludf.DUMMYFUNCTION("""COMPUTED_VALUE"""),45477.0)</f>
        <v>45477</v>
      </c>
      <c r="Q21" s="45"/>
      <c r="R21" s="45"/>
      <c r="S21" s="43"/>
      <c r="T21" s="43"/>
      <c r="U21" s="43" t="str">
        <f>IFERROR(__xludf.DUMMYFUNCTION("""COMPUTED_VALUE"""),"Theatre teacher")</f>
        <v>Theatre teacher</v>
      </c>
      <c r="V21" s="43" t="str">
        <f>IFERROR(__xludf.DUMMYFUNCTION("""COMPUTED_VALUE"""),"BALIKESIR")</f>
        <v>BALIKESIR</v>
      </c>
      <c r="W21" s="43" t="str">
        <f>IFERROR(__xludf.DUMMYFUNCTION("""COMPUTED_VALUE"""),"2023-03-13T17:29:15Z")</f>
        <v>2023-03-13T17:29:15Z</v>
      </c>
      <c r="X21" s="43"/>
      <c r="Y21" s="43"/>
      <c r="Z21" s="43"/>
    </row>
    <row r="22" hidden="1">
      <c r="A22" s="43" t="str">
        <f>IFERROR(__xludf.DUMMYFUNCTION("""COMPUTED_VALUE"""),"5216381_1291276")</f>
        <v>5216381_1291276</v>
      </c>
      <c r="B22" s="43" t="str">
        <f>IFERROR(__xludf.DUMMYFUNCTION("""COMPUTED_VALUE"""),"Seyyidhan Hancıoğlu")</f>
        <v>Seyyidhan Hancıoğlu</v>
      </c>
      <c r="C22" s="43" t="str">
        <f>IFERROR(__xludf.DUMMYFUNCTION("""COMPUTED_VALUE"""),"completed")</f>
        <v>completed</v>
      </c>
      <c r="D22" s="43" t="str">
        <f>IFERROR(__xludf.DUMMYFUNCTION("""COMPUTED_VALUE"""),"No")</f>
        <v>No</v>
      </c>
      <c r="E22" s="43" t="str">
        <f>IFERROR(__xludf.DUMMYFUNCTION("""COMPUTED_VALUE"""),"p_8372bf0a4e9f3aa54659d5ae4f9ded878b85a0ee@inbound.aiesec.org")</f>
        <v>p_8372bf0a4e9f3aa54659d5ae4f9ded878b85a0ee@inbound.aiesec.org</v>
      </c>
      <c r="F22" s="43">
        <f>IFERROR(__xludf.DUMMYFUNCTION("""COMPUTED_VALUE"""),5.366455464E9)</f>
        <v>5366455464</v>
      </c>
      <c r="G22" s="43" t="str">
        <f>IFERROR(__xludf.DUMMYFUNCTION("""COMPUTED_VALUE"""),"Turkey")</f>
        <v>Turkey</v>
      </c>
      <c r="H22" s="43" t="str">
        <f>IFERROR(__xludf.DUMMYFUNCTION("""COMPUTED_VALUE"""),"ISTANBUL ASIA")</f>
        <v>ISTANBUL ASIA</v>
      </c>
      <c r="I22" s="43" t="str">
        <f>IFERROR(__xludf.DUMMYFUNCTION("""COMPUTED_VALUE"""),"Egypt")</f>
        <v>Egypt</v>
      </c>
      <c r="J22" s="43" t="str">
        <f>IFERROR(__xludf.DUMMYFUNCTION("""COMPUTED_VALUE"""),"MUST")</f>
        <v>MUST</v>
      </c>
      <c r="K22" s="44" t="str">
        <f>IFERROR(__xludf.DUMMYFUNCTION("""COMPUTED_VALUE"""),"https://expa.aiesec.org/opportunities/1291276")</f>
        <v>https://expa.aiesec.org/opportunities/1291276</v>
      </c>
      <c r="L22" s="43" t="str">
        <f>IFERROR(__xludf.DUMMYFUNCTION("""COMPUTED_VALUE"""),"GTe")</f>
        <v>GTe</v>
      </c>
      <c r="M22" s="43" t="str">
        <f>IFERROR(__xludf.DUMMYFUNCTION("""COMPUTED_VALUE"""),"short")</f>
        <v>short</v>
      </c>
      <c r="N22" s="45">
        <f>IFERROR(__xludf.DUMMYFUNCTION("""COMPUTED_VALUE"""),45002.0)</f>
        <v>45002</v>
      </c>
      <c r="O22" s="45">
        <f>IFERROR(__xludf.DUMMYFUNCTION("""COMPUTED_VALUE"""),45078.0)</f>
        <v>45078</v>
      </c>
      <c r="P22" s="45">
        <f>IFERROR(__xludf.DUMMYFUNCTION("""COMPUTED_VALUE"""),45161.0)</f>
        <v>45161</v>
      </c>
      <c r="Q22" s="45">
        <f>IFERROR(__xludf.DUMMYFUNCTION("""COMPUTED_VALUE"""),45079.0)</f>
        <v>45079</v>
      </c>
      <c r="R22" s="45">
        <f>IFERROR(__xludf.DUMMYFUNCTION("""COMPUTED_VALUE"""),45169.0)</f>
        <v>45169</v>
      </c>
      <c r="S22" s="43"/>
      <c r="T22" s="43"/>
      <c r="U22" s="43" t="str">
        <f>IFERROR(__xludf.DUMMYFUNCTION("""COMPUTED_VALUE"""),"Sports teacher ")</f>
        <v>Sports teacher </v>
      </c>
      <c r="V22" s="43" t="str">
        <f>IFERROR(__xludf.DUMMYFUNCTION("""COMPUTED_VALUE"""),"ISTANBUL ASIA")</f>
        <v>ISTANBUL ASIA</v>
      </c>
      <c r="W22" s="43" t="str">
        <f>IFERROR(__xludf.DUMMYFUNCTION("""COMPUTED_VALUE"""),"2023-03-14T19:03:43Z")</f>
        <v>2023-03-14T19:03:43Z</v>
      </c>
      <c r="X22" s="43"/>
      <c r="Y22" s="43"/>
      <c r="Z22" s="43"/>
    </row>
    <row r="23" hidden="1">
      <c r="A23" s="43" t="str">
        <f>IFERROR(__xludf.DUMMYFUNCTION("""COMPUTED_VALUE"""),"4698702_1288730")</f>
        <v>4698702_1288730</v>
      </c>
      <c r="B23" s="43" t="str">
        <f>IFERROR(__xludf.DUMMYFUNCTION("""COMPUTED_VALUE"""),"Abdullah Onur Doğan")</f>
        <v>Abdullah Onur Doğan</v>
      </c>
      <c r="C23" s="43" t="str">
        <f>IFERROR(__xludf.DUMMYFUNCTION("""COMPUTED_VALUE"""),"approved")</f>
        <v>approved</v>
      </c>
      <c r="D23" s="43" t="str">
        <f>IFERROR(__xludf.DUMMYFUNCTION("""COMPUTED_VALUE"""),"No")</f>
        <v>No</v>
      </c>
      <c r="E23" s="43" t="str">
        <f>IFERROR(__xludf.DUMMYFUNCTION("""COMPUTED_VALUE"""),"p_960f9f503374500e8b7d334e58ebf802cf589578@inbound.aiesec.org")</f>
        <v>p_960f9f503374500e8b7d334e58ebf802cf589578@inbound.aiesec.org</v>
      </c>
      <c r="F23" s="43">
        <f>IFERROR(__xludf.DUMMYFUNCTION("""COMPUTED_VALUE"""),5.013190707E9)</f>
        <v>5013190707</v>
      </c>
      <c r="G23" s="43" t="str">
        <f>IFERROR(__xludf.DUMMYFUNCTION("""COMPUTED_VALUE"""),"Turkey")</f>
        <v>Turkey</v>
      </c>
      <c r="H23" s="43" t="str">
        <f>IFERROR(__xludf.DUMMYFUNCTION("""COMPUTED_VALUE"""),"ANTALYA")</f>
        <v>ANTALYA</v>
      </c>
      <c r="I23" s="43" t="str">
        <f>IFERROR(__xludf.DUMMYFUNCTION("""COMPUTED_VALUE"""),"Egypt")</f>
        <v>Egypt</v>
      </c>
      <c r="J23" s="43" t="str">
        <f>IFERROR(__xludf.DUMMYFUNCTION("""COMPUTED_VALUE"""),"Menofia")</f>
        <v>Menofia</v>
      </c>
      <c r="K23" s="44" t="str">
        <f>IFERROR(__xludf.DUMMYFUNCTION("""COMPUTED_VALUE"""),"https://expa.aiesec.org/opportunities/1288730")</f>
        <v>https://expa.aiesec.org/opportunities/1288730</v>
      </c>
      <c r="L23" s="43" t="str">
        <f>IFERROR(__xludf.DUMMYFUNCTION("""COMPUTED_VALUE"""),"GTe")</f>
        <v>GTe</v>
      </c>
      <c r="M23" s="43" t="str">
        <f>IFERROR(__xludf.DUMMYFUNCTION("""COMPUTED_VALUE"""),"long")</f>
        <v>long</v>
      </c>
      <c r="N23" s="45">
        <f>IFERROR(__xludf.DUMMYFUNCTION("""COMPUTED_VALUE"""),45002.0)</f>
        <v>45002</v>
      </c>
      <c r="O23" s="45">
        <f>IFERROR(__xludf.DUMMYFUNCTION("""COMPUTED_VALUE"""),45200.0)</f>
        <v>45200</v>
      </c>
      <c r="P23" s="45">
        <f>IFERROR(__xludf.DUMMYFUNCTION("""COMPUTED_VALUE"""),45451.0)</f>
        <v>45451</v>
      </c>
      <c r="Q23" s="45"/>
      <c r="R23" s="45"/>
      <c r="S23" s="43"/>
      <c r="T23" s="43"/>
      <c r="U23" s="43" t="str">
        <f>IFERROR(__xludf.DUMMYFUNCTION("""COMPUTED_VALUE"""),"Math Teacher in Menofia ")</f>
        <v>Math Teacher in Menofia </v>
      </c>
      <c r="V23" s="43" t="str">
        <f>IFERROR(__xludf.DUMMYFUNCTION("""COMPUTED_VALUE"""),"ANTALYA")</f>
        <v>ANTALYA</v>
      </c>
      <c r="W23" s="43" t="str">
        <f>IFERROR(__xludf.DUMMYFUNCTION("""COMPUTED_VALUE"""),"2021-07-27T17:27:10Z")</f>
        <v>2021-07-27T17:27:10Z</v>
      </c>
      <c r="X23" s="43"/>
      <c r="Y23" s="43"/>
      <c r="Z23" s="43"/>
    </row>
    <row r="24" hidden="1">
      <c r="A24" s="43" t="str">
        <f>IFERROR(__xludf.DUMMYFUNCTION("""COMPUTED_VALUE"""),"5218885_1293139")</f>
        <v>5218885_1293139</v>
      </c>
      <c r="B24" s="43" t="str">
        <f>IFERROR(__xludf.DUMMYFUNCTION("""COMPUTED_VALUE"""),"Aleyna Turhan")</f>
        <v>Aleyna Turhan</v>
      </c>
      <c r="C24" s="43" t="str">
        <f>IFERROR(__xludf.DUMMYFUNCTION("""COMPUTED_VALUE"""),"completed")</f>
        <v>completed</v>
      </c>
      <c r="D24" s="43" t="str">
        <f>IFERROR(__xludf.DUMMYFUNCTION("""COMPUTED_VALUE"""),"No")</f>
        <v>No</v>
      </c>
      <c r="E24" s="43" t="str">
        <f>IFERROR(__xludf.DUMMYFUNCTION("""COMPUTED_VALUE"""),"p_45629738130d7e5bf326b4b82d044483a693f321@inbound.aiesec.org")</f>
        <v>p_45629738130d7e5bf326b4b82d044483a693f321@inbound.aiesec.org</v>
      </c>
      <c r="F24" s="43">
        <f>IFERROR(__xludf.DUMMYFUNCTION("""COMPUTED_VALUE"""),5.35254839E9)</f>
        <v>5352548390</v>
      </c>
      <c r="G24" s="43" t="str">
        <f>IFERROR(__xludf.DUMMYFUNCTION("""COMPUTED_VALUE"""),"Turkey")</f>
        <v>Turkey</v>
      </c>
      <c r="H24" s="43" t="str">
        <f>IFERROR(__xludf.DUMMYFUNCTION("""COMPUTED_VALUE"""),"ISTANBUL WEST")</f>
        <v>ISTANBUL WEST</v>
      </c>
      <c r="I24" s="43" t="str">
        <f>IFERROR(__xludf.DUMMYFUNCTION("""COMPUTED_VALUE"""),"Morocco")</f>
        <v>Morocco</v>
      </c>
      <c r="J24" s="43" t="str">
        <f>IFERROR(__xludf.DUMMYFUNCTION("""COMPUTED_VALUE"""),"Casablanca")</f>
        <v>Casablanca</v>
      </c>
      <c r="K24" s="44" t="str">
        <f>IFERROR(__xludf.DUMMYFUNCTION("""COMPUTED_VALUE"""),"https://expa.aiesec.org/opportunities/1293139")</f>
        <v>https://expa.aiesec.org/opportunities/1293139</v>
      </c>
      <c r="L24" s="43" t="str">
        <f>IFERROR(__xludf.DUMMYFUNCTION("""COMPUTED_VALUE"""),"GTe")</f>
        <v>GTe</v>
      </c>
      <c r="M24" s="43" t="str">
        <f>IFERROR(__xludf.DUMMYFUNCTION("""COMPUTED_VALUE"""),"short")</f>
        <v>short</v>
      </c>
      <c r="N24" s="45">
        <f>IFERROR(__xludf.DUMMYFUNCTION("""COMPUTED_VALUE"""),45005.0)</f>
        <v>45005</v>
      </c>
      <c r="O24" s="45">
        <f>IFERROR(__xludf.DUMMYFUNCTION("""COMPUTED_VALUE"""),45017.0)</f>
        <v>45017</v>
      </c>
      <c r="P24" s="45">
        <f>IFERROR(__xludf.DUMMYFUNCTION("""COMPUTED_VALUE"""),45100.0)</f>
        <v>45100</v>
      </c>
      <c r="Q24" s="45">
        <f>IFERROR(__xludf.DUMMYFUNCTION("""COMPUTED_VALUE"""),45017.0)</f>
        <v>45017</v>
      </c>
      <c r="R24" s="45">
        <f>IFERROR(__xludf.DUMMYFUNCTION("""COMPUTED_VALUE"""),45100.0)</f>
        <v>45100</v>
      </c>
      <c r="S24" s="43"/>
      <c r="T24" s="43"/>
      <c r="U24" s="43" t="str">
        <f>IFERROR(__xludf.DUMMYFUNCTION("""COMPUTED_VALUE"""),"English Teacher")</f>
        <v>English Teacher</v>
      </c>
      <c r="V24" s="43" t="str">
        <f>IFERROR(__xludf.DUMMYFUNCTION("""COMPUTED_VALUE"""),"ISTANBUL - BAKIRKOY")</f>
        <v>ISTANBUL - BAKIRKOY</v>
      </c>
      <c r="W24" s="43" t="str">
        <f>IFERROR(__xludf.DUMMYFUNCTION("""COMPUTED_VALUE"""),"2023-03-16T20:20:25Z")</f>
        <v>2023-03-16T20:20:25Z</v>
      </c>
      <c r="X24" s="43"/>
      <c r="Y24" s="43"/>
      <c r="Z24" s="43"/>
    </row>
    <row r="25">
      <c r="A25" s="43" t="str">
        <f>IFERROR(__xludf.DUMMYFUNCTION("""COMPUTED_VALUE"""),"5227288_1292396")</f>
        <v>5227288_1292396</v>
      </c>
      <c r="B25" s="43" t="str">
        <f>IFERROR(__xludf.DUMMYFUNCTION("""COMPUTED_VALUE"""),"Kader Gönül O")</f>
        <v>Kader Gönül O</v>
      </c>
      <c r="C25" s="43" t="str">
        <f>IFERROR(__xludf.DUMMYFUNCTION("""COMPUTED_VALUE"""),"approved")</f>
        <v>approved</v>
      </c>
      <c r="D25" s="43" t="str">
        <f>IFERROR(__xludf.DUMMYFUNCTION("""COMPUTED_VALUE"""),"No")</f>
        <v>No</v>
      </c>
      <c r="E25" s="43" t="str">
        <f>IFERROR(__xludf.DUMMYFUNCTION("""COMPUTED_VALUE"""),"p_8254aaa80e5b0745d7c3446687f40927bd371ea3@inbound.aiesec.org")</f>
        <v>p_8254aaa80e5b0745d7c3446687f40927bd371ea3@inbound.aiesec.org</v>
      </c>
      <c r="F25" s="43">
        <f>IFERROR(__xludf.DUMMYFUNCTION("""COMPUTED_VALUE"""),5.072240924E9)</f>
        <v>5072240924</v>
      </c>
      <c r="G25" s="43" t="str">
        <f>IFERROR(__xludf.DUMMYFUNCTION("""COMPUTED_VALUE"""),"Turkey")</f>
        <v>Turkey</v>
      </c>
      <c r="H25" s="43" t="str">
        <f>IFERROR(__xludf.DUMMYFUNCTION("""COMPUTED_VALUE"""),"TRABZON")</f>
        <v>TRABZON</v>
      </c>
      <c r="I25" s="43" t="str">
        <f>IFERROR(__xludf.DUMMYFUNCTION("""COMPUTED_VALUE"""),"Egypt")</f>
        <v>Egypt</v>
      </c>
      <c r="J25" s="43" t="str">
        <f>IFERROR(__xludf.DUMMYFUNCTION("""COMPUTED_VALUE"""),"Ain Shams University")</f>
        <v>Ain Shams University</v>
      </c>
      <c r="K25" s="44" t="str">
        <f>IFERROR(__xludf.DUMMYFUNCTION("""COMPUTED_VALUE"""),"https://expa.aiesec.org/opportunities/1292396")</f>
        <v>https://expa.aiesec.org/opportunities/1292396</v>
      </c>
      <c r="L25" s="43" t="str">
        <f>IFERROR(__xludf.DUMMYFUNCTION("""COMPUTED_VALUE"""),"GTe")</f>
        <v>GTe</v>
      </c>
      <c r="M25" s="43" t="str">
        <f>IFERROR(__xludf.DUMMYFUNCTION("""COMPUTED_VALUE"""),"short")</f>
        <v>short</v>
      </c>
      <c r="N25" s="45">
        <f>IFERROR(__xludf.DUMMYFUNCTION("""COMPUTED_VALUE"""),45013.0)</f>
        <v>45013</v>
      </c>
      <c r="O25" s="45">
        <f>IFERROR(__xludf.DUMMYFUNCTION("""COMPUTED_VALUE"""),45047.0)</f>
        <v>45047</v>
      </c>
      <c r="P25" s="45">
        <f>IFERROR(__xludf.DUMMYFUNCTION("""COMPUTED_VALUE"""),45130.0)</f>
        <v>45130</v>
      </c>
      <c r="Q25" s="45"/>
      <c r="R25" s="45"/>
      <c r="S25" s="43"/>
      <c r="T25" s="43"/>
      <c r="U25" s="43" t="str">
        <f>IFERROR(__xludf.DUMMYFUNCTION("""COMPUTED_VALUE"""),"German teacher at cairo")</f>
        <v>German teacher at cairo</v>
      </c>
      <c r="V25" s="43" t="str">
        <f>IFERROR(__xludf.DUMMYFUNCTION("""COMPUTED_VALUE"""),"ERZINCAN")</f>
        <v>ERZINCAN</v>
      </c>
      <c r="W25" s="43" t="str">
        <f>IFERROR(__xludf.DUMMYFUNCTION("""COMPUTED_VALUE"""),"2023-03-26T10:30:03Z")</f>
        <v>2023-03-26T10:30:03Z</v>
      </c>
      <c r="X25" s="43"/>
      <c r="Y25" s="43"/>
      <c r="Z25" s="43"/>
    </row>
    <row r="26" hidden="1">
      <c r="A26" s="43" t="str">
        <f>IFERROR(__xludf.DUMMYFUNCTION("""COMPUTED_VALUE"""),"5236563_1290850")</f>
        <v>5236563_1290850</v>
      </c>
      <c r="B26" s="43" t="str">
        <f>IFERROR(__xludf.DUMMYFUNCTION("""COMPUTED_VALUE"""),"İlayda Öztürk")</f>
        <v>İlayda Öztürk</v>
      </c>
      <c r="C26" s="43" t="str">
        <f>IFERROR(__xludf.DUMMYFUNCTION("""COMPUTED_VALUE"""),"finished")</f>
        <v>finished</v>
      </c>
      <c r="D26" s="43" t="str">
        <f>IFERROR(__xludf.DUMMYFUNCTION("""COMPUTED_VALUE"""),"No")</f>
        <v>No</v>
      </c>
      <c r="E26" s="43" t="str">
        <f>IFERROR(__xludf.DUMMYFUNCTION("""COMPUTED_VALUE"""),"p_db8c165b8bcd60dd2ff8c2e31db39dbf357ffcd0@inbound.aiesec.org")</f>
        <v>p_db8c165b8bcd60dd2ff8c2e31db39dbf357ffcd0@inbound.aiesec.org</v>
      </c>
      <c r="F26" s="43"/>
      <c r="G26" s="43" t="str">
        <f>IFERROR(__xludf.DUMMYFUNCTION("""COMPUTED_VALUE"""),"Turkey")</f>
        <v>Turkey</v>
      </c>
      <c r="H26" s="43" t="str">
        <f>IFERROR(__xludf.DUMMYFUNCTION("""COMPUTED_VALUE"""),"SAKARYA")</f>
        <v>SAKARYA</v>
      </c>
      <c r="I26" s="43" t="str">
        <f>IFERROR(__xludf.DUMMYFUNCTION("""COMPUTED_VALUE"""),"Egypt")</f>
        <v>Egypt</v>
      </c>
      <c r="J26" s="43" t="str">
        <f>IFERROR(__xludf.DUMMYFUNCTION("""COMPUTED_VALUE"""),"Cairo University")</f>
        <v>Cairo University</v>
      </c>
      <c r="K26" s="44" t="str">
        <f>IFERROR(__xludf.DUMMYFUNCTION("""COMPUTED_VALUE"""),"https://expa.aiesec.org/opportunities/1290850")</f>
        <v>https://expa.aiesec.org/opportunities/1290850</v>
      </c>
      <c r="L26" s="43" t="str">
        <f>IFERROR(__xludf.DUMMYFUNCTION("""COMPUTED_VALUE"""),"GTe")</f>
        <v>GTe</v>
      </c>
      <c r="M26" s="43" t="str">
        <f>IFERROR(__xludf.DUMMYFUNCTION("""COMPUTED_VALUE"""),"short")</f>
        <v>short</v>
      </c>
      <c r="N26" s="45">
        <f>IFERROR(__xludf.DUMMYFUNCTION("""COMPUTED_VALUE"""),45022.0)</f>
        <v>45022</v>
      </c>
      <c r="O26" s="45">
        <f>IFERROR(__xludf.DUMMYFUNCTION("""COMPUTED_VALUE"""),45108.0)</f>
        <v>45108</v>
      </c>
      <c r="P26" s="45">
        <f>IFERROR(__xludf.DUMMYFUNCTION("""COMPUTED_VALUE"""),45191.0)</f>
        <v>45191</v>
      </c>
      <c r="Q26" s="45">
        <f>IFERROR(__xludf.DUMMYFUNCTION("""COMPUTED_VALUE"""),45110.0)</f>
        <v>45110</v>
      </c>
      <c r="R26" s="45">
        <f>IFERROR(__xludf.DUMMYFUNCTION("""COMPUTED_VALUE"""),45191.0)</f>
        <v>45191</v>
      </c>
      <c r="S26" s="43"/>
      <c r="T26" s="43"/>
      <c r="U26" s="43" t="str">
        <f>IFERROR(__xludf.DUMMYFUNCTION("""COMPUTED_VALUE"""),"English Teacher")</f>
        <v>English Teacher</v>
      </c>
      <c r="V26" s="43" t="str">
        <f>IFERROR(__xludf.DUMMYFUNCTION("""COMPUTED_VALUE"""),"-")</f>
        <v>-</v>
      </c>
      <c r="W26" s="43" t="str">
        <f>IFERROR(__xludf.DUMMYFUNCTION("""COMPUTED_VALUE"""),"2023-04-06T19:06:13Z")</f>
        <v>2023-04-06T19:06:13Z</v>
      </c>
      <c r="X26" s="43"/>
      <c r="Y26" s="43"/>
      <c r="Z26" s="43"/>
    </row>
    <row r="27" hidden="1">
      <c r="A27" s="43" t="str">
        <f>IFERROR(__xludf.DUMMYFUNCTION("""COMPUTED_VALUE"""),"5222454_1291166")</f>
        <v>5222454_1291166</v>
      </c>
      <c r="B27" s="43" t="str">
        <f>IFERROR(__xludf.DUMMYFUNCTION("""COMPUTED_VALUE"""),"Merve Çelik")</f>
        <v>Merve Çelik</v>
      </c>
      <c r="C27" s="43" t="str">
        <f>IFERROR(__xludf.DUMMYFUNCTION("""COMPUTED_VALUE"""),"completed")</f>
        <v>completed</v>
      </c>
      <c r="D27" s="43" t="str">
        <f>IFERROR(__xludf.DUMMYFUNCTION("""COMPUTED_VALUE"""),"No")</f>
        <v>No</v>
      </c>
      <c r="E27" s="43" t="str">
        <f>IFERROR(__xludf.DUMMYFUNCTION("""COMPUTED_VALUE"""),"p_f55f039613c1da31f6275036866e9f6bb3539035@inbound.aiesec.org")</f>
        <v>p_f55f039613c1da31f6275036866e9f6bb3539035@inbound.aiesec.org</v>
      </c>
      <c r="F27" s="43">
        <f>IFERROR(__xludf.DUMMYFUNCTION("""COMPUTED_VALUE"""),5.538228923E9)</f>
        <v>5538228923</v>
      </c>
      <c r="G27" s="43" t="str">
        <f>IFERROR(__xludf.DUMMYFUNCTION("""COMPUTED_VALUE"""),"Turkey")</f>
        <v>Turkey</v>
      </c>
      <c r="H27" s="43" t="str">
        <f>IFERROR(__xludf.DUMMYFUNCTION("""COMPUTED_VALUE"""),"ISTANBUL ASIA")</f>
        <v>ISTANBUL ASIA</v>
      </c>
      <c r="I27" s="43" t="str">
        <f>IFERROR(__xludf.DUMMYFUNCTION("""COMPUTED_VALUE"""),"Egypt")</f>
        <v>Egypt</v>
      </c>
      <c r="J27" s="43" t="str">
        <f>IFERROR(__xludf.DUMMYFUNCTION("""COMPUTED_VALUE"""),"Suez")</f>
        <v>Suez</v>
      </c>
      <c r="K27" s="44" t="str">
        <f>IFERROR(__xludf.DUMMYFUNCTION("""COMPUTED_VALUE"""),"https://expa.aiesec.org/opportunities/1291166")</f>
        <v>https://expa.aiesec.org/opportunities/1291166</v>
      </c>
      <c r="L27" s="43" t="str">
        <f>IFERROR(__xludf.DUMMYFUNCTION("""COMPUTED_VALUE"""),"GTe")</f>
        <v>GTe</v>
      </c>
      <c r="M27" s="43" t="str">
        <f>IFERROR(__xludf.DUMMYFUNCTION("""COMPUTED_VALUE"""),"short")</f>
        <v>short</v>
      </c>
      <c r="N27" s="45">
        <f>IFERROR(__xludf.DUMMYFUNCTION("""COMPUTED_VALUE"""),45031.0)</f>
        <v>45031</v>
      </c>
      <c r="O27" s="45">
        <f>IFERROR(__xludf.DUMMYFUNCTION("""COMPUTED_VALUE"""),45108.0)</f>
        <v>45108</v>
      </c>
      <c r="P27" s="45">
        <f>IFERROR(__xludf.DUMMYFUNCTION("""COMPUTED_VALUE"""),45171.0)</f>
        <v>45171</v>
      </c>
      <c r="Q27" s="45">
        <f>IFERROR(__xludf.DUMMYFUNCTION("""COMPUTED_VALUE"""),45108.0)</f>
        <v>45108</v>
      </c>
      <c r="R27" s="45">
        <f>IFERROR(__xludf.DUMMYFUNCTION("""COMPUTED_VALUE"""),45171.0)</f>
        <v>45171</v>
      </c>
      <c r="S27" s="43"/>
      <c r="T27" s="43"/>
      <c r="U27" s="43" t="str">
        <f>IFERROR(__xludf.DUMMYFUNCTION("""COMPUTED_VALUE"""),"English Teacher")</f>
        <v>English Teacher</v>
      </c>
      <c r="V27" s="43" t="str">
        <f>IFERROR(__xludf.DUMMYFUNCTION("""COMPUTED_VALUE"""),"ISTANBUL ASIA")</f>
        <v>ISTANBUL ASIA</v>
      </c>
      <c r="W27" s="43" t="str">
        <f>IFERROR(__xludf.DUMMYFUNCTION("""COMPUTED_VALUE"""),"2023-03-21T10:33:23Z")</f>
        <v>2023-03-21T10:33:23Z</v>
      </c>
      <c r="X27" s="43"/>
      <c r="Y27" s="43"/>
      <c r="Z27" s="43"/>
    </row>
    <row r="28" hidden="1">
      <c r="A28" s="43" t="str">
        <f>IFERROR(__xludf.DUMMYFUNCTION("""COMPUTED_VALUE"""),"5243919_1290630")</f>
        <v>5243919_1290630</v>
      </c>
      <c r="B28" s="43" t="str">
        <f>IFERROR(__xludf.DUMMYFUNCTION("""COMPUTED_VALUE"""),"Zilan Avcı")</f>
        <v>Zilan Avcı</v>
      </c>
      <c r="C28" s="43" t="str">
        <f>IFERROR(__xludf.DUMMYFUNCTION("""COMPUTED_VALUE"""),"completed")</f>
        <v>completed</v>
      </c>
      <c r="D28" s="43" t="str">
        <f>IFERROR(__xludf.DUMMYFUNCTION("""COMPUTED_VALUE"""),"No")</f>
        <v>No</v>
      </c>
      <c r="E28" s="43" t="str">
        <f>IFERROR(__xludf.DUMMYFUNCTION("""COMPUTED_VALUE"""),"p_d8e091f72a5e1c7e8fbd7955cb0077d22714ea95@inbound.aiesec.org")</f>
        <v>p_d8e091f72a5e1c7e8fbd7955cb0077d22714ea95@inbound.aiesec.org</v>
      </c>
      <c r="F28" s="43"/>
      <c r="G28" s="43" t="str">
        <f>IFERROR(__xludf.DUMMYFUNCTION("""COMPUTED_VALUE"""),"Turkey")</f>
        <v>Turkey</v>
      </c>
      <c r="H28" s="43" t="str">
        <f>IFERROR(__xludf.DUMMYFUNCTION("""COMPUTED_VALUE"""),"ISTANBUL WEST")</f>
        <v>ISTANBUL WEST</v>
      </c>
      <c r="I28" s="43" t="str">
        <f>IFERROR(__xludf.DUMMYFUNCTION("""COMPUTED_VALUE"""),"Egypt")</f>
        <v>Egypt</v>
      </c>
      <c r="J28" s="43" t="str">
        <f>IFERROR(__xludf.DUMMYFUNCTION("""COMPUTED_VALUE"""),"Menofia")</f>
        <v>Menofia</v>
      </c>
      <c r="K28" s="44" t="str">
        <f>IFERROR(__xludf.DUMMYFUNCTION("""COMPUTED_VALUE"""),"https://expa.aiesec.org/opportunities/1290630")</f>
        <v>https://expa.aiesec.org/opportunities/1290630</v>
      </c>
      <c r="L28" s="43" t="str">
        <f>IFERROR(__xludf.DUMMYFUNCTION("""COMPUTED_VALUE"""),"GTe")</f>
        <v>GTe</v>
      </c>
      <c r="M28" s="43" t="str">
        <f>IFERROR(__xludf.DUMMYFUNCTION("""COMPUTED_VALUE"""),"short")</f>
        <v>short</v>
      </c>
      <c r="N28" s="45">
        <f>IFERROR(__xludf.DUMMYFUNCTION("""COMPUTED_VALUE"""),45035.0)</f>
        <v>45035</v>
      </c>
      <c r="O28" s="45">
        <f>IFERROR(__xludf.DUMMYFUNCTION("""COMPUTED_VALUE"""),45095.0)</f>
        <v>45095</v>
      </c>
      <c r="P28" s="45">
        <f>IFERROR(__xludf.DUMMYFUNCTION("""COMPUTED_VALUE"""),45158.0)</f>
        <v>45158</v>
      </c>
      <c r="Q28" s="45">
        <f>IFERROR(__xludf.DUMMYFUNCTION("""COMPUTED_VALUE"""),45094.0)</f>
        <v>45094</v>
      </c>
      <c r="R28" s="45">
        <f>IFERROR(__xludf.DUMMYFUNCTION("""COMPUTED_VALUE"""),45158.0)</f>
        <v>45158</v>
      </c>
      <c r="S28" s="43"/>
      <c r="T28" s="43"/>
      <c r="U28" s="43" t="str">
        <f>IFERROR(__xludf.DUMMYFUNCTION("""COMPUTED_VALUE"""),"English Teacher in Menofia ")</f>
        <v>English Teacher in Menofia </v>
      </c>
      <c r="V28" s="43" t="str">
        <f>IFERROR(__xludf.DUMMYFUNCTION("""COMPUTED_VALUE"""),"-")</f>
        <v>-</v>
      </c>
      <c r="W28" s="43" t="str">
        <f>IFERROR(__xludf.DUMMYFUNCTION("""COMPUTED_VALUE"""),"2023-04-17T17:33:40Z")</f>
        <v>2023-04-17T17:33:40Z</v>
      </c>
      <c r="X28" s="43"/>
      <c r="Y28" s="43"/>
      <c r="Z28" s="43"/>
    </row>
    <row r="29" hidden="1">
      <c r="A29" s="43" t="str">
        <f>IFERROR(__xludf.DUMMYFUNCTION("""COMPUTED_VALUE"""),"5246452_1282258")</f>
        <v>5246452_1282258</v>
      </c>
      <c r="B29" s="43" t="str">
        <f>IFERROR(__xludf.DUMMYFUNCTION("""COMPUTED_VALUE"""),"Ayşegül Ulupınar")</f>
        <v>Ayşegül Ulupınar</v>
      </c>
      <c r="C29" s="43" t="str">
        <f>IFERROR(__xludf.DUMMYFUNCTION("""COMPUTED_VALUE"""),"completed")</f>
        <v>completed</v>
      </c>
      <c r="D29" s="43" t="str">
        <f>IFERROR(__xludf.DUMMYFUNCTION("""COMPUTED_VALUE"""),"No")</f>
        <v>No</v>
      </c>
      <c r="E29" s="43" t="str">
        <f>IFERROR(__xludf.DUMMYFUNCTION("""COMPUTED_VALUE"""),"p_d0a3f0eee7d0aec0c68ee0768e18087215aaaa08@inbound.aiesec.org")</f>
        <v>p_d0a3f0eee7d0aec0c68ee0768e18087215aaaa08@inbound.aiesec.org</v>
      </c>
      <c r="F29" s="43">
        <f>IFERROR(__xludf.DUMMYFUNCTION("""COMPUTED_VALUE"""),5.53744211E9)</f>
        <v>5537442110</v>
      </c>
      <c r="G29" s="43" t="str">
        <f>IFERROR(__xludf.DUMMYFUNCTION("""COMPUTED_VALUE"""),"Turkey")</f>
        <v>Turkey</v>
      </c>
      <c r="H29" s="43" t="str">
        <f>IFERROR(__xludf.DUMMYFUNCTION("""COMPUTED_VALUE"""),"ISTANBUL ASIA")</f>
        <v>ISTANBUL ASIA</v>
      </c>
      <c r="I29" s="43" t="str">
        <f>IFERROR(__xludf.DUMMYFUNCTION("""COMPUTED_VALUE"""),"Egypt")</f>
        <v>Egypt</v>
      </c>
      <c r="J29" s="43" t="str">
        <f>IFERROR(__xludf.DUMMYFUNCTION("""COMPUTED_VALUE"""),"Ain Shams University")</f>
        <v>Ain Shams University</v>
      </c>
      <c r="K29" s="44" t="str">
        <f>IFERROR(__xludf.DUMMYFUNCTION("""COMPUTED_VALUE"""),"https://expa.aiesec.org/opportunities/1282258")</f>
        <v>https://expa.aiesec.org/opportunities/1282258</v>
      </c>
      <c r="L29" s="43" t="str">
        <f>IFERROR(__xludf.DUMMYFUNCTION("""COMPUTED_VALUE"""),"GTe")</f>
        <v>GTe</v>
      </c>
      <c r="M29" s="43" t="str">
        <f>IFERROR(__xludf.DUMMYFUNCTION("""COMPUTED_VALUE"""),"short")</f>
        <v>short</v>
      </c>
      <c r="N29" s="45">
        <f>IFERROR(__xludf.DUMMYFUNCTION("""COMPUTED_VALUE"""),45042.0)</f>
        <v>45042</v>
      </c>
      <c r="O29" s="45">
        <f>IFERROR(__xludf.DUMMYFUNCTION("""COMPUTED_VALUE"""),45189.0)</f>
        <v>45189</v>
      </c>
      <c r="P29" s="45">
        <f>IFERROR(__xludf.DUMMYFUNCTION("""COMPUTED_VALUE"""),45272.0)</f>
        <v>45272</v>
      </c>
      <c r="Q29" s="45">
        <f>IFERROR(__xludf.DUMMYFUNCTION("""COMPUTED_VALUE"""),45194.0)</f>
        <v>45194</v>
      </c>
      <c r="R29" s="45">
        <f>IFERROR(__xludf.DUMMYFUNCTION("""COMPUTED_VALUE"""),45277.0)</f>
        <v>45277</v>
      </c>
      <c r="S29" s="43"/>
      <c r="T29" s="43"/>
      <c r="U29" s="43" t="str">
        <f>IFERROR(__xludf.DUMMYFUNCTION("""COMPUTED_VALUE"""),"English Teacher For Kids in Cairo")</f>
        <v>English Teacher For Kids in Cairo</v>
      </c>
      <c r="V29" s="43" t="str">
        <f>IFERROR(__xludf.DUMMYFUNCTION("""COMPUTED_VALUE"""),"ISTANBUL ASIA")</f>
        <v>ISTANBUL ASIA</v>
      </c>
      <c r="W29" s="43" t="str">
        <f>IFERROR(__xludf.DUMMYFUNCTION("""COMPUTED_VALUE"""),"2023-04-20T20:07:32Z")</f>
        <v>2023-04-20T20:07:32Z</v>
      </c>
      <c r="X29" s="43"/>
      <c r="Y29" s="43"/>
      <c r="Z29" s="43"/>
    </row>
    <row r="30" hidden="1">
      <c r="A30" s="43" t="str">
        <f>IFERROR(__xludf.DUMMYFUNCTION("""COMPUTED_VALUE"""),"5242263_1294504")</f>
        <v>5242263_1294504</v>
      </c>
      <c r="B30" s="43" t="str">
        <f>IFERROR(__xludf.DUMMYFUNCTION("""COMPUTED_VALUE"""),"Asiye Atabay")</f>
        <v>Asiye Atabay</v>
      </c>
      <c r="C30" s="43" t="str">
        <f>IFERROR(__xludf.DUMMYFUNCTION("""COMPUTED_VALUE"""),"realized")</f>
        <v>realized</v>
      </c>
      <c r="D30" s="43" t="str">
        <f>IFERROR(__xludf.DUMMYFUNCTION("""COMPUTED_VALUE"""),"No")</f>
        <v>No</v>
      </c>
      <c r="E30" s="43" t="str">
        <f>IFERROR(__xludf.DUMMYFUNCTION("""COMPUTED_VALUE"""),"p_114224e089963af149c1ca8618dcfedc1b23b2ab@inbound.aiesec.org")</f>
        <v>p_114224e089963af149c1ca8618dcfedc1b23b2ab@inbound.aiesec.org</v>
      </c>
      <c r="F30" s="43">
        <f>IFERROR(__xludf.DUMMYFUNCTION("""COMPUTED_VALUE"""),9.103308167E9)</f>
        <v>9103308167</v>
      </c>
      <c r="G30" s="43" t="str">
        <f>IFERROR(__xludf.DUMMYFUNCTION("""COMPUTED_VALUE"""),"Turkey")</f>
        <v>Turkey</v>
      </c>
      <c r="H30" s="43" t="str">
        <f>IFERROR(__xludf.DUMMYFUNCTION("""COMPUTED_VALUE"""),"KUTAHYA")</f>
        <v>KUTAHYA</v>
      </c>
      <c r="I30" s="43" t="str">
        <f>IFERROR(__xludf.DUMMYFUNCTION("""COMPUTED_VALUE"""),"India")</f>
        <v>India</v>
      </c>
      <c r="J30" s="43" t="str">
        <f>IFERROR(__xludf.DUMMYFUNCTION("""COMPUTED_VALUE"""),"Jalandhar")</f>
        <v>Jalandhar</v>
      </c>
      <c r="K30" s="44" t="str">
        <f>IFERROR(__xludf.DUMMYFUNCTION("""COMPUTED_VALUE"""),"https://expa.aiesec.org/opportunities/1294504")</f>
        <v>https://expa.aiesec.org/opportunities/1294504</v>
      </c>
      <c r="L30" s="43" t="str">
        <f>IFERROR(__xludf.DUMMYFUNCTION("""COMPUTED_VALUE"""),"GTe")</f>
        <v>GTe</v>
      </c>
      <c r="M30" s="43" t="str">
        <f>IFERROR(__xludf.DUMMYFUNCTION("""COMPUTED_VALUE"""),"long")</f>
        <v>long</v>
      </c>
      <c r="N30" s="45">
        <f>IFERROR(__xludf.DUMMYFUNCTION("""COMPUTED_VALUE"""),45043.0)</f>
        <v>45043</v>
      </c>
      <c r="O30" s="45">
        <f>IFERROR(__xludf.DUMMYFUNCTION("""COMPUTED_VALUE"""),45068.0)</f>
        <v>45068</v>
      </c>
      <c r="P30" s="45">
        <f>IFERROR(__xludf.DUMMYFUNCTION("""COMPUTED_VALUE"""),45434.0)</f>
        <v>45434</v>
      </c>
      <c r="Q30" s="45">
        <f>IFERROR(__xludf.DUMMYFUNCTION("""COMPUTED_VALUE"""),45068.0)</f>
        <v>45068</v>
      </c>
      <c r="R30" s="45">
        <f>IFERROR(__xludf.DUMMYFUNCTION("""COMPUTED_VALUE"""),45434.0)</f>
        <v>45434</v>
      </c>
      <c r="S30" s="43"/>
      <c r="T30" s="43"/>
      <c r="U30" s="43" t="str">
        <f>IFERROR(__xludf.DUMMYFUNCTION("""COMPUTED_VALUE"""),"Spoken English Teacher")</f>
        <v>Spoken English Teacher</v>
      </c>
      <c r="V30" s="43" t="str">
        <f>IFERROR(__xludf.DUMMYFUNCTION("""COMPUTED_VALUE"""),"KUTAHYA")</f>
        <v>KUTAHYA</v>
      </c>
      <c r="W30" s="43" t="str">
        <f>IFERROR(__xludf.DUMMYFUNCTION("""COMPUTED_VALUE"""),"2023-04-14T19:59:30Z")</f>
        <v>2023-04-14T19:59:30Z</v>
      </c>
      <c r="X30" s="43"/>
      <c r="Y30" s="43"/>
      <c r="Z30" s="43"/>
    </row>
    <row r="31" hidden="1">
      <c r="A31" s="43" t="str">
        <f>IFERROR(__xludf.DUMMYFUNCTION("""COMPUTED_VALUE"""),"5253353_1292692")</f>
        <v>5253353_1292692</v>
      </c>
      <c r="B31" s="43" t="str">
        <f>IFERROR(__xludf.DUMMYFUNCTION("""COMPUTED_VALUE"""),"Dilara yıldırım")</f>
        <v>Dilara yıldırım</v>
      </c>
      <c r="C31" s="43" t="str">
        <f>IFERROR(__xludf.DUMMYFUNCTION("""COMPUTED_VALUE"""),"completed")</f>
        <v>completed</v>
      </c>
      <c r="D31" s="43" t="str">
        <f>IFERROR(__xludf.DUMMYFUNCTION("""COMPUTED_VALUE"""),"No")</f>
        <v>No</v>
      </c>
      <c r="E31" s="43" t="str">
        <f>IFERROR(__xludf.DUMMYFUNCTION("""COMPUTED_VALUE"""),"p_10af0588db755dd976603cb6836bf224f9648e1a@inbound.aiesec.org")</f>
        <v>p_10af0588db755dd976603cb6836bf224f9648e1a@inbound.aiesec.org</v>
      </c>
      <c r="F31" s="43">
        <f>IFERROR(__xludf.DUMMYFUNCTION("""COMPUTED_VALUE"""),5.07996852E9)</f>
        <v>5079968520</v>
      </c>
      <c r="G31" s="43" t="str">
        <f>IFERROR(__xludf.DUMMYFUNCTION("""COMPUTED_VALUE"""),"Turkey")</f>
        <v>Turkey</v>
      </c>
      <c r="H31" s="43" t="str">
        <f>IFERROR(__xludf.DUMMYFUNCTION("""COMPUTED_VALUE"""),"ANKARA")</f>
        <v>ANKARA</v>
      </c>
      <c r="I31" s="43" t="str">
        <f>IFERROR(__xludf.DUMMYFUNCTION("""COMPUTED_VALUE"""),"Tunisia")</f>
        <v>Tunisia</v>
      </c>
      <c r="J31" s="43" t="str">
        <f>IFERROR(__xludf.DUMMYFUNCTION("""COMPUTED_VALUE"""),"UNIVERSITY")</f>
        <v>UNIVERSITY</v>
      </c>
      <c r="K31" s="44" t="str">
        <f>IFERROR(__xludf.DUMMYFUNCTION("""COMPUTED_VALUE"""),"https://expa.aiesec.org/opportunities/1292692")</f>
        <v>https://expa.aiesec.org/opportunities/1292692</v>
      </c>
      <c r="L31" s="43" t="str">
        <f>IFERROR(__xludf.DUMMYFUNCTION("""COMPUTED_VALUE"""),"GTe")</f>
        <v>GTe</v>
      </c>
      <c r="M31" s="43" t="str">
        <f>IFERROR(__xludf.DUMMYFUNCTION("""COMPUTED_VALUE"""),"short")</f>
        <v>short</v>
      </c>
      <c r="N31" s="45">
        <f>IFERROR(__xludf.DUMMYFUNCTION("""COMPUTED_VALUE"""),45047.0)</f>
        <v>45047</v>
      </c>
      <c r="O31" s="45">
        <f>IFERROR(__xludf.DUMMYFUNCTION("""COMPUTED_VALUE"""),45108.0)</f>
        <v>45108</v>
      </c>
      <c r="P31" s="45">
        <f>IFERROR(__xludf.DUMMYFUNCTION("""COMPUTED_VALUE"""),45171.0)</f>
        <v>45171</v>
      </c>
      <c r="Q31" s="45">
        <f>IFERROR(__xludf.DUMMYFUNCTION("""COMPUTED_VALUE"""),45107.0)</f>
        <v>45107</v>
      </c>
      <c r="R31" s="45">
        <f>IFERROR(__xludf.DUMMYFUNCTION("""COMPUTED_VALUE"""),45171.0)</f>
        <v>45171</v>
      </c>
      <c r="S31" s="43"/>
      <c r="T31" s="43"/>
      <c r="U31" s="43" t="str">
        <f>IFERROR(__xludf.DUMMYFUNCTION("""COMPUTED_VALUE"""),"german teacher")</f>
        <v>german teacher</v>
      </c>
      <c r="V31" s="43" t="str">
        <f>IFERROR(__xludf.DUMMYFUNCTION("""COMPUTED_VALUE"""),"ANKARA")</f>
        <v>ANKARA</v>
      </c>
      <c r="W31" s="43" t="str">
        <f>IFERROR(__xludf.DUMMYFUNCTION("""COMPUTED_VALUE"""),"2023-04-30T21:17:40Z")</f>
        <v>2023-04-30T21:17:40Z</v>
      </c>
      <c r="X31" s="43"/>
      <c r="Y31" s="43"/>
      <c r="Z31" s="43"/>
    </row>
    <row r="32" hidden="1">
      <c r="A32" s="43" t="str">
        <f>IFERROR(__xludf.DUMMYFUNCTION("""COMPUTED_VALUE"""),"5249991_1288732")</f>
        <v>5249991_1288732</v>
      </c>
      <c r="B32" s="43" t="str">
        <f>IFERROR(__xludf.DUMMYFUNCTION("""COMPUTED_VALUE"""),"Özge Kılıç")</f>
        <v>Özge Kılıç</v>
      </c>
      <c r="C32" s="43" t="str">
        <f>IFERROR(__xludf.DUMMYFUNCTION("""COMPUTED_VALUE"""),"completed")</f>
        <v>completed</v>
      </c>
      <c r="D32" s="43" t="str">
        <f>IFERROR(__xludf.DUMMYFUNCTION("""COMPUTED_VALUE"""),"No")</f>
        <v>No</v>
      </c>
      <c r="E32" s="43" t="str">
        <f>IFERROR(__xludf.DUMMYFUNCTION("""COMPUTED_VALUE"""),"p_12456b51cbde6483c1d10df1ad775b7654022483@inbound.aiesec.org")</f>
        <v>p_12456b51cbde6483c1d10df1ad775b7654022483@inbound.aiesec.org</v>
      </c>
      <c r="F32" s="43"/>
      <c r="G32" s="43" t="str">
        <f>IFERROR(__xludf.DUMMYFUNCTION("""COMPUTED_VALUE"""),"Turkey")</f>
        <v>Turkey</v>
      </c>
      <c r="H32" s="43" t="str">
        <f>IFERROR(__xludf.DUMMYFUNCTION("""COMPUTED_VALUE"""),"ISTANBUL ASIA")</f>
        <v>ISTANBUL ASIA</v>
      </c>
      <c r="I32" s="43" t="str">
        <f>IFERROR(__xludf.DUMMYFUNCTION("""COMPUTED_VALUE"""),"Egypt")</f>
        <v>Egypt</v>
      </c>
      <c r="J32" s="43" t="str">
        <f>IFERROR(__xludf.DUMMYFUNCTION("""COMPUTED_VALUE"""),"Menofia")</f>
        <v>Menofia</v>
      </c>
      <c r="K32" s="44" t="str">
        <f>IFERROR(__xludf.DUMMYFUNCTION("""COMPUTED_VALUE"""),"https://expa.aiesec.org/opportunities/1288732")</f>
        <v>https://expa.aiesec.org/opportunities/1288732</v>
      </c>
      <c r="L32" s="43" t="str">
        <f>IFERROR(__xludf.DUMMYFUNCTION("""COMPUTED_VALUE"""),"GTe")</f>
        <v>GTe</v>
      </c>
      <c r="M32" s="43" t="str">
        <f>IFERROR(__xludf.DUMMYFUNCTION("""COMPUTED_VALUE"""),"short")</f>
        <v>short</v>
      </c>
      <c r="N32" s="45">
        <f>IFERROR(__xludf.DUMMYFUNCTION("""COMPUTED_VALUE"""),45049.0)</f>
        <v>45049</v>
      </c>
      <c r="O32" s="45">
        <f>IFERROR(__xludf.DUMMYFUNCTION("""COMPUTED_VALUE"""),45108.0)</f>
        <v>45108</v>
      </c>
      <c r="P32" s="45">
        <f>IFERROR(__xludf.DUMMYFUNCTION("""COMPUTED_VALUE"""),45191.0)</f>
        <v>45191</v>
      </c>
      <c r="Q32" s="45">
        <f>IFERROR(__xludf.DUMMYFUNCTION("""COMPUTED_VALUE"""),45108.0)</f>
        <v>45108</v>
      </c>
      <c r="R32" s="45">
        <f>IFERROR(__xludf.DUMMYFUNCTION("""COMPUTED_VALUE"""),45191.0)</f>
        <v>45191</v>
      </c>
      <c r="S32" s="43"/>
      <c r="T32" s="43"/>
      <c r="U32" s="43" t="str">
        <f>IFERROR(__xludf.DUMMYFUNCTION("""COMPUTED_VALUE"""),"English Teacher in Menofia ")</f>
        <v>English Teacher in Menofia </v>
      </c>
      <c r="V32" s="43" t="str">
        <f>IFERROR(__xludf.DUMMYFUNCTION("""COMPUTED_VALUE"""),"ISTANBUL ASIA")</f>
        <v>ISTANBUL ASIA</v>
      </c>
      <c r="W32" s="43" t="str">
        <f>IFERROR(__xludf.DUMMYFUNCTION("""COMPUTED_VALUE"""),"2023-04-26T15:40:27Z")</f>
        <v>2023-04-26T15:40:27Z</v>
      </c>
      <c r="X32" s="43"/>
      <c r="Y32" s="43"/>
      <c r="Z32" s="43"/>
    </row>
    <row r="33" hidden="1">
      <c r="A33" s="43" t="str">
        <f>IFERROR(__xludf.DUMMYFUNCTION("""COMPUTED_VALUE"""),"5260607_1290077")</f>
        <v>5260607_1290077</v>
      </c>
      <c r="B33" s="43" t="str">
        <f>IFERROR(__xludf.DUMMYFUNCTION("""COMPUTED_VALUE"""),"Gamze Öncü")</f>
        <v>Gamze Öncü</v>
      </c>
      <c r="C33" s="43" t="str">
        <f>IFERROR(__xludf.DUMMYFUNCTION("""COMPUTED_VALUE"""),"approved")</f>
        <v>approved</v>
      </c>
      <c r="D33" s="43" t="str">
        <f>IFERROR(__xludf.DUMMYFUNCTION("""COMPUTED_VALUE"""),"No")</f>
        <v>No</v>
      </c>
      <c r="E33" s="43" t="str">
        <f>IFERROR(__xludf.DUMMYFUNCTION("""COMPUTED_VALUE"""),"p_04887dfcdcfe40bb6088242bff2137b7f0cbbdf1@inbound.aiesec.org")</f>
        <v>p_04887dfcdcfe40bb6088242bff2137b7f0cbbdf1@inbound.aiesec.org</v>
      </c>
      <c r="F33" s="43"/>
      <c r="G33" s="43" t="str">
        <f>IFERROR(__xludf.DUMMYFUNCTION("""COMPUTED_VALUE"""),"Turkey")</f>
        <v>Turkey</v>
      </c>
      <c r="H33" s="43" t="str">
        <f>IFERROR(__xludf.DUMMYFUNCTION("""COMPUTED_VALUE"""),"KONYA")</f>
        <v>KONYA</v>
      </c>
      <c r="I33" s="43" t="str">
        <f>IFERROR(__xludf.DUMMYFUNCTION("""COMPUTED_VALUE"""),"Sri Lanka")</f>
        <v>Sri Lanka</v>
      </c>
      <c r="J33" s="43" t="str">
        <f>IFERROR(__xludf.DUMMYFUNCTION("""COMPUTED_VALUE"""),"COLOMBO SOUTH")</f>
        <v>COLOMBO SOUTH</v>
      </c>
      <c r="K33" s="44" t="str">
        <f>IFERROR(__xludf.DUMMYFUNCTION("""COMPUTED_VALUE"""),"https://expa.aiesec.org/opportunities/1290077")</f>
        <v>https://expa.aiesec.org/opportunities/1290077</v>
      </c>
      <c r="L33" s="43" t="str">
        <f>IFERROR(__xludf.DUMMYFUNCTION("""COMPUTED_VALUE"""),"GTe")</f>
        <v>GTe</v>
      </c>
      <c r="M33" s="43" t="str">
        <f>IFERROR(__xludf.DUMMYFUNCTION("""COMPUTED_VALUE"""),"medium")</f>
        <v>medium</v>
      </c>
      <c r="N33" s="45">
        <f>IFERROR(__xludf.DUMMYFUNCTION("""COMPUTED_VALUE"""),45061.0)</f>
        <v>45061</v>
      </c>
      <c r="O33" s="45">
        <f>IFERROR(__xludf.DUMMYFUNCTION("""COMPUTED_VALUE"""),45173.0)</f>
        <v>45173</v>
      </c>
      <c r="P33" s="45">
        <f>IFERROR(__xludf.DUMMYFUNCTION("""COMPUTED_VALUE"""),45327.0)</f>
        <v>45327</v>
      </c>
      <c r="Q33" s="45"/>
      <c r="R33" s="45"/>
      <c r="S33" s="43"/>
      <c r="T33" s="43"/>
      <c r="U33" s="43" t="str">
        <f>IFERROR(__xludf.DUMMYFUNCTION("""COMPUTED_VALUE"""),"English Teacher")</f>
        <v>English Teacher</v>
      </c>
      <c r="V33" s="43" t="str">
        <f>IFERROR(__xludf.DUMMYFUNCTION("""COMPUTED_VALUE"""),"KONYA")</f>
        <v>KONYA</v>
      </c>
      <c r="W33" s="43" t="str">
        <f>IFERROR(__xludf.DUMMYFUNCTION("""COMPUTED_VALUE"""),"2023-05-13T16:42:50Z")</f>
        <v>2023-05-13T16:42:50Z</v>
      </c>
      <c r="X33" s="43"/>
      <c r="Y33" s="43"/>
      <c r="Z33" s="43"/>
    </row>
    <row r="34">
      <c r="A34" s="43" t="str">
        <f>IFERROR(__xludf.DUMMYFUNCTION("""COMPUTED_VALUE"""),"5261970_1295137")</f>
        <v>5261970_1295137</v>
      </c>
      <c r="B34" s="43" t="str">
        <f>IFERROR(__xludf.DUMMYFUNCTION("""COMPUTED_VALUE"""),"Dilara Erdem")</f>
        <v>Dilara Erdem</v>
      </c>
      <c r="C34" s="43" t="str">
        <f>IFERROR(__xludf.DUMMYFUNCTION("""COMPUTED_VALUE"""),"approved")</f>
        <v>approved</v>
      </c>
      <c r="D34" s="43" t="str">
        <f>IFERROR(__xludf.DUMMYFUNCTION("""COMPUTED_VALUE"""),"No")</f>
        <v>No</v>
      </c>
      <c r="E34" s="43" t="str">
        <f>IFERROR(__xludf.DUMMYFUNCTION("""COMPUTED_VALUE"""),"p_264da3e785ac1c16f2a01add82d3178c6c6522ed@inbound.aiesec.org")</f>
        <v>p_264da3e785ac1c16f2a01add82d3178c6c6522ed@inbound.aiesec.org</v>
      </c>
      <c r="F34" s="43">
        <f>IFERROR(__xludf.DUMMYFUNCTION("""COMPUTED_VALUE"""),5.367129156E9)</f>
        <v>5367129156</v>
      </c>
      <c r="G34" s="43" t="str">
        <f>IFERROR(__xludf.DUMMYFUNCTION("""COMPUTED_VALUE"""),"Turkey")</f>
        <v>Turkey</v>
      </c>
      <c r="H34" s="43" t="str">
        <f>IFERROR(__xludf.DUMMYFUNCTION("""COMPUTED_VALUE"""),"ISTANBUL")</f>
        <v>ISTANBUL</v>
      </c>
      <c r="I34" s="43" t="str">
        <f>IFERROR(__xludf.DUMMYFUNCTION("""COMPUTED_VALUE"""),"Egypt")</f>
        <v>Egypt</v>
      </c>
      <c r="J34" s="43" t="str">
        <f>IFERROR(__xludf.DUMMYFUNCTION("""COMPUTED_VALUE"""),"Cairo University")</f>
        <v>Cairo University</v>
      </c>
      <c r="K34" s="44" t="str">
        <f>IFERROR(__xludf.DUMMYFUNCTION("""COMPUTED_VALUE"""),"https://expa.aiesec.org/opportunities/1295137")</f>
        <v>https://expa.aiesec.org/opportunities/1295137</v>
      </c>
      <c r="L34" s="43" t="str">
        <f>IFERROR(__xludf.DUMMYFUNCTION("""COMPUTED_VALUE"""),"GTe")</f>
        <v>GTe</v>
      </c>
      <c r="M34" s="43" t="str">
        <f>IFERROR(__xludf.DUMMYFUNCTION("""COMPUTED_VALUE"""),"short")</f>
        <v>short</v>
      </c>
      <c r="N34" s="45">
        <f>IFERROR(__xludf.DUMMYFUNCTION("""COMPUTED_VALUE"""),45063.0)</f>
        <v>45063</v>
      </c>
      <c r="O34" s="45">
        <f>IFERROR(__xludf.DUMMYFUNCTION("""COMPUTED_VALUE"""),45087.0)</f>
        <v>45087</v>
      </c>
      <c r="P34" s="45">
        <f>IFERROR(__xludf.DUMMYFUNCTION("""COMPUTED_VALUE"""),45170.0)</f>
        <v>45170</v>
      </c>
      <c r="Q34" s="45"/>
      <c r="R34" s="45"/>
      <c r="S34" s="43"/>
      <c r="T34" s="43"/>
      <c r="U34" s="43" t="str">
        <f>IFERROR(__xludf.DUMMYFUNCTION("""COMPUTED_VALUE"""),"English teacher")</f>
        <v>English teacher</v>
      </c>
      <c r="V34" s="43" t="str">
        <f>IFERROR(__xludf.DUMMYFUNCTION("""COMPUTED_VALUE"""),"ISTANBUL - BEYOGLU")</f>
        <v>ISTANBUL - BEYOGLU</v>
      </c>
      <c r="W34" s="43" t="str">
        <f>IFERROR(__xludf.DUMMYFUNCTION("""COMPUTED_VALUE"""),"2023-05-16T15:33:07Z")</f>
        <v>2023-05-16T15:33:07Z</v>
      </c>
      <c r="X34" s="43"/>
      <c r="Y34" s="43"/>
      <c r="Z34" s="43"/>
    </row>
    <row r="35" hidden="1">
      <c r="A35" s="43" t="str">
        <f>IFERROR(__xludf.DUMMYFUNCTION("""COMPUTED_VALUE"""),"5129585_1295377")</f>
        <v>5129585_1295377</v>
      </c>
      <c r="B35" s="43" t="str">
        <f>IFERROR(__xludf.DUMMYFUNCTION("""COMPUTED_VALUE"""),"Bushra Gurer")</f>
        <v>Bushra Gurer</v>
      </c>
      <c r="C35" s="43" t="str">
        <f>IFERROR(__xludf.DUMMYFUNCTION("""COMPUTED_VALUE"""),"approval_broken")</f>
        <v>approval_broken</v>
      </c>
      <c r="D35" s="43" t="str">
        <f>IFERROR(__xludf.DUMMYFUNCTION("""COMPUTED_VALUE"""),"No")</f>
        <v>No</v>
      </c>
      <c r="E35" s="43" t="str">
        <f>IFERROR(__xludf.DUMMYFUNCTION("""COMPUTED_VALUE"""),"p_0a359a00785efd1ba7e73cb1c2d92c33779d1a19@inbound.aiesec.org")</f>
        <v>p_0a359a00785efd1ba7e73cb1c2d92c33779d1a19@inbound.aiesec.org</v>
      </c>
      <c r="F35" s="43">
        <f>IFERROR(__xludf.DUMMYFUNCTION("""COMPUTED_VALUE"""),5.535706835E9)</f>
        <v>5535706835</v>
      </c>
      <c r="G35" s="43" t="str">
        <f>IFERROR(__xludf.DUMMYFUNCTION("""COMPUTED_VALUE"""),"Turkey")</f>
        <v>Turkey</v>
      </c>
      <c r="H35" s="43" t="str">
        <f>IFERROR(__xludf.DUMMYFUNCTION("""COMPUTED_VALUE"""),"BURSA")</f>
        <v>BURSA</v>
      </c>
      <c r="I35" s="43" t="str">
        <f>IFERROR(__xludf.DUMMYFUNCTION("""COMPUTED_VALUE"""),"Egypt")</f>
        <v>Egypt</v>
      </c>
      <c r="J35" s="43" t="str">
        <f>IFERROR(__xludf.DUMMYFUNCTION("""COMPUTED_VALUE"""),"MUST")</f>
        <v>MUST</v>
      </c>
      <c r="K35" s="44" t="str">
        <f>IFERROR(__xludf.DUMMYFUNCTION("""COMPUTED_VALUE"""),"https://expa.aiesec.org/opportunities/1295377")</f>
        <v>https://expa.aiesec.org/opportunities/1295377</v>
      </c>
      <c r="L35" s="43" t="str">
        <f>IFERROR(__xludf.DUMMYFUNCTION("""COMPUTED_VALUE"""),"GTe")</f>
        <v>GTe</v>
      </c>
      <c r="M35" s="43" t="str">
        <f>IFERROR(__xludf.DUMMYFUNCTION("""COMPUTED_VALUE"""),"medium")</f>
        <v>medium</v>
      </c>
      <c r="N35" s="45">
        <f>IFERROR(__xludf.DUMMYFUNCTION("""COMPUTED_VALUE"""),45138.0)</f>
        <v>45138</v>
      </c>
      <c r="O35" s="45">
        <f>IFERROR(__xludf.DUMMYFUNCTION("""COMPUTED_VALUE"""),45108.0)</f>
        <v>45108</v>
      </c>
      <c r="P35" s="45">
        <f>IFERROR(__xludf.DUMMYFUNCTION("""COMPUTED_VALUE"""),45289.0)</f>
        <v>45289</v>
      </c>
      <c r="Q35" s="45"/>
      <c r="R35" s="45"/>
      <c r="S35" s="43"/>
      <c r="T35" s="43"/>
      <c r="U35" s="43" t="str">
        <f>IFERROR(__xludf.DUMMYFUNCTION("""COMPUTED_VALUE"""),"English Teacher")</f>
        <v>English Teacher</v>
      </c>
      <c r="V35" s="43" t="str">
        <f>IFERROR(__xludf.DUMMYFUNCTION("""COMPUTED_VALUE"""),"BURSA")</f>
        <v>BURSA</v>
      </c>
      <c r="W35" s="43" t="str">
        <f>IFERROR(__xludf.DUMMYFUNCTION("""COMPUTED_VALUE"""),"2022-10-11T06:12:07Z")</f>
        <v>2022-10-11T06:12:07Z</v>
      </c>
      <c r="X35" s="43"/>
      <c r="Y35" s="43"/>
      <c r="Z35" s="43"/>
    </row>
    <row r="36" hidden="1">
      <c r="A36" s="43" t="str">
        <f>IFERROR(__xludf.DUMMYFUNCTION("""COMPUTED_VALUE"""),"5266679_1295717")</f>
        <v>5266679_1295717</v>
      </c>
      <c r="B36" s="43" t="str">
        <f>IFERROR(__xludf.DUMMYFUNCTION("""COMPUTED_VALUE"""),"Fatma Nur Çoban")</f>
        <v>Fatma Nur Çoban</v>
      </c>
      <c r="C36" s="43" t="str">
        <f>IFERROR(__xludf.DUMMYFUNCTION("""COMPUTED_VALUE"""),"completed")</f>
        <v>completed</v>
      </c>
      <c r="D36" s="43" t="str">
        <f>IFERROR(__xludf.DUMMYFUNCTION("""COMPUTED_VALUE"""),"No")</f>
        <v>No</v>
      </c>
      <c r="E36" s="43" t="str">
        <f>IFERROR(__xludf.DUMMYFUNCTION("""COMPUTED_VALUE"""),"p_95eb6fc50cd28cc02efd5ba9eff7f0991ac0f587@inbound.aiesec.org")</f>
        <v>p_95eb6fc50cd28cc02efd5ba9eff7f0991ac0f587@inbound.aiesec.org</v>
      </c>
      <c r="F36" s="43">
        <f>IFERROR(__xludf.DUMMYFUNCTION("""COMPUTED_VALUE"""),5.428377571E9)</f>
        <v>5428377571</v>
      </c>
      <c r="G36" s="43" t="str">
        <f>IFERROR(__xludf.DUMMYFUNCTION("""COMPUTED_VALUE"""),"Turkey")</f>
        <v>Turkey</v>
      </c>
      <c r="H36" s="43" t="str">
        <f>IFERROR(__xludf.DUMMYFUNCTION("""COMPUTED_VALUE"""),"BURSA")</f>
        <v>BURSA</v>
      </c>
      <c r="I36" s="43" t="str">
        <f>IFERROR(__xludf.DUMMYFUNCTION("""COMPUTED_VALUE"""),"Egypt")</f>
        <v>Egypt</v>
      </c>
      <c r="J36" s="43" t="str">
        <f>IFERROR(__xludf.DUMMYFUNCTION("""COMPUTED_VALUE"""),"Ain Shams University")</f>
        <v>Ain Shams University</v>
      </c>
      <c r="K36" s="44" t="str">
        <f>IFERROR(__xludf.DUMMYFUNCTION("""COMPUTED_VALUE"""),"https://expa.aiesec.org/opportunities/1295717")</f>
        <v>https://expa.aiesec.org/opportunities/1295717</v>
      </c>
      <c r="L36" s="43" t="str">
        <f>IFERROR(__xludf.DUMMYFUNCTION("""COMPUTED_VALUE"""),"GTe")</f>
        <v>GTe</v>
      </c>
      <c r="M36" s="43" t="str">
        <f>IFERROR(__xludf.DUMMYFUNCTION("""COMPUTED_VALUE"""),"short")</f>
        <v>short</v>
      </c>
      <c r="N36" s="45">
        <f>IFERROR(__xludf.DUMMYFUNCTION("""COMPUTED_VALUE"""),45077.0)</f>
        <v>45077</v>
      </c>
      <c r="O36" s="45">
        <f>IFERROR(__xludf.DUMMYFUNCTION("""COMPUTED_VALUE"""),45108.0)</f>
        <v>45108</v>
      </c>
      <c r="P36" s="45">
        <f>IFERROR(__xludf.DUMMYFUNCTION("""COMPUTED_VALUE"""),45191.0)</f>
        <v>45191</v>
      </c>
      <c r="Q36" s="45">
        <f>IFERROR(__xludf.DUMMYFUNCTION("""COMPUTED_VALUE"""),45109.0)</f>
        <v>45109</v>
      </c>
      <c r="R36" s="45">
        <f>IFERROR(__xludf.DUMMYFUNCTION("""COMPUTED_VALUE"""),45192.0)</f>
        <v>45192</v>
      </c>
      <c r="S36" s="43"/>
      <c r="T36" s="43"/>
      <c r="U36" s="43" t="str">
        <f>IFERROR(__xludf.DUMMYFUNCTION("""COMPUTED_VALUE"""),"English Instructor in American Egyptian Academy ")</f>
        <v>English Instructor in American Egyptian Academy </v>
      </c>
      <c r="V36" s="43" t="str">
        <f>IFERROR(__xludf.DUMMYFUNCTION("""COMPUTED_VALUE"""),"BALIKESIR")</f>
        <v>BALIKESIR</v>
      </c>
      <c r="W36" s="43" t="str">
        <f>IFERROR(__xludf.DUMMYFUNCTION("""COMPUTED_VALUE"""),"2023-05-25T17:53:46Z")</f>
        <v>2023-05-25T17:53:46Z</v>
      </c>
      <c r="X36" s="43"/>
      <c r="Y36" s="43"/>
      <c r="Z36" s="43"/>
    </row>
    <row r="37" hidden="1">
      <c r="A37" s="43" t="str">
        <f>IFERROR(__xludf.DUMMYFUNCTION("""COMPUTED_VALUE"""),"5265552_1288836")</f>
        <v>5265552_1288836</v>
      </c>
      <c r="B37" s="43" t="str">
        <f>IFERROR(__xludf.DUMMYFUNCTION("""COMPUTED_VALUE"""),"Nur Sena Bükün")</f>
        <v>Nur Sena Bükün</v>
      </c>
      <c r="C37" s="43" t="str">
        <f>IFERROR(__xludf.DUMMYFUNCTION("""COMPUTED_VALUE"""),"realized")</f>
        <v>realized</v>
      </c>
      <c r="D37" s="43" t="str">
        <f>IFERROR(__xludf.DUMMYFUNCTION("""COMPUTED_VALUE"""),"No")</f>
        <v>No</v>
      </c>
      <c r="E37" s="43" t="str">
        <f>IFERROR(__xludf.DUMMYFUNCTION("""COMPUTED_VALUE"""),"p_0c21ee8461fc141768f8189ff7dfb85757e722be@inbound.aiesec.org")</f>
        <v>p_0c21ee8461fc141768f8189ff7dfb85757e722be@inbound.aiesec.org</v>
      </c>
      <c r="F37" s="43">
        <f>IFERROR(__xludf.DUMMYFUNCTION("""COMPUTED_VALUE"""),5.557527068E9)</f>
        <v>5557527068</v>
      </c>
      <c r="G37" s="43" t="str">
        <f>IFERROR(__xludf.DUMMYFUNCTION("""COMPUTED_VALUE"""),"Turkey")</f>
        <v>Turkey</v>
      </c>
      <c r="H37" s="43" t="str">
        <f>IFERROR(__xludf.DUMMYFUNCTION("""COMPUTED_VALUE"""),"KOCAELI")</f>
        <v>KOCAELI</v>
      </c>
      <c r="I37" s="43" t="str">
        <f>IFERROR(__xludf.DUMMYFUNCTION("""COMPUTED_VALUE"""),"VIETNAM")</f>
        <v>VIETNAM</v>
      </c>
      <c r="J37" s="43" t="str">
        <f>IFERROR(__xludf.DUMMYFUNCTION("""COMPUTED_VALUE"""),"FHCMC")</f>
        <v>FHCMC</v>
      </c>
      <c r="K37" s="44" t="str">
        <f>IFERROR(__xludf.DUMMYFUNCTION("""COMPUTED_VALUE"""),"https://expa.aiesec.org/opportunities/1288836")</f>
        <v>https://expa.aiesec.org/opportunities/1288836</v>
      </c>
      <c r="L37" s="43" t="str">
        <f>IFERROR(__xludf.DUMMYFUNCTION("""COMPUTED_VALUE"""),"GTe")</f>
        <v>GTe</v>
      </c>
      <c r="M37" s="43" t="str">
        <f>IFERROR(__xludf.DUMMYFUNCTION("""COMPUTED_VALUE"""),"long")</f>
        <v>long</v>
      </c>
      <c r="N37" s="45">
        <f>IFERROR(__xludf.DUMMYFUNCTION("""COMPUTED_VALUE"""),45084.0)</f>
        <v>45084</v>
      </c>
      <c r="O37" s="45">
        <f>IFERROR(__xludf.DUMMYFUNCTION("""COMPUTED_VALUE"""),45170.0)</f>
        <v>45170</v>
      </c>
      <c r="P37" s="45">
        <f>IFERROR(__xludf.DUMMYFUNCTION("""COMPUTED_VALUE"""),45444.0)</f>
        <v>45444</v>
      </c>
      <c r="Q37" s="45">
        <f>IFERROR(__xludf.DUMMYFUNCTION("""COMPUTED_VALUE"""),45176.0)</f>
        <v>45176</v>
      </c>
      <c r="R37" s="45">
        <f>IFERROR(__xludf.DUMMYFUNCTION("""COMPUTED_VALUE"""),45448.0)</f>
        <v>45448</v>
      </c>
      <c r="S37" s="43"/>
      <c r="T37" s="43"/>
      <c r="U37" s="43" t="str">
        <f>IFERROR(__xludf.DUMMYFUNCTION("""COMPUTED_VALUE"""),"English Teacher at SuperKids English Center")</f>
        <v>English Teacher at SuperKids English Center</v>
      </c>
      <c r="V37" s="43" t="str">
        <f>IFERROR(__xludf.DUMMYFUNCTION("""COMPUTED_VALUE"""),"KOCAELI")</f>
        <v>KOCAELI</v>
      </c>
      <c r="W37" s="43" t="str">
        <f>IFERROR(__xludf.DUMMYFUNCTION("""COMPUTED_VALUE"""),"2023-05-23T19:24:19Z")</f>
        <v>2023-05-23T19:24:19Z</v>
      </c>
      <c r="X37" s="43"/>
      <c r="Y37" s="43"/>
      <c r="Z37" s="43"/>
    </row>
    <row r="38" hidden="1">
      <c r="A38" s="43" t="str">
        <f>IFERROR(__xludf.DUMMYFUNCTION("""COMPUTED_VALUE"""),"5218245_1293192")</f>
        <v>5218245_1293192</v>
      </c>
      <c r="B38" s="43" t="str">
        <f>IFERROR(__xludf.DUMMYFUNCTION("""COMPUTED_VALUE"""),"Ufuk Levent")</f>
        <v>Ufuk Levent</v>
      </c>
      <c r="C38" s="43" t="str">
        <f>IFERROR(__xludf.DUMMYFUNCTION("""COMPUTED_VALUE"""),"realization_broken")</f>
        <v>realization_broken</v>
      </c>
      <c r="D38" s="43" t="str">
        <f>IFERROR(__xludf.DUMMYFUNCTION("""COMPUTED_VALUE"""),"No")</f>
        <v>No</v>
      </c>
      <c r="E38" s="43" t="str">
        <f>IFERROR(__xludf.DUMMYFUNCTION("""COMPUTED_VALUE"""),"p_373c9ac5e62abee5628944bee94bda1df6131d27@inbound.aiesec.org")</f>
        <v>p_373c9ac5e62abee5628944bee94bda1df6131d27@inbound.aiesec.org</v>
      </c>
      <c r="F38" s="43">
        <f>IFERROR(__xludf.DUMMYFUNCTION("""COMPUTED_VALUE"""),5.312056398E9)</f>
        <v>5312056398</v>
      </c>
      <c r="G38" s="43" t="str">
        <f>IFERROR(__xludf.DUMMYFUNCTION("""COMPUTED_VALUE"""),"Turkey")</f>
        <v>Turkey</v>
      </c>
      <c r="H38" s="43" t="str">
        <f>IFERROR(__xludf.DUMMYFUNCTION("""COMPUTED_VALUE"""),"İZMİR")</f>
        <v>İZMİR</v>
      </c>
      <c r="I38" s="43" t="str">
        <f>IFERROR(__xludf.DUMMYFUNCTION("""COMPUTED_VALUE"""),"Egypt")</f>
        <v>Egypt</v>
      </c>
      <c r="J38" s="43" t="str">
        <f>IFERROR(__xludf.DUMMYFUNCTION("""COMPUTED_VALUE"""),"Menofia")</f>
        <v>Menofia</v>
      </c>
      <c r="K38" s="44" t="str">
        <f>IFERROR(__xludf.DUMMYFUNCTION("""COMPUTED_VALUE"""),"https://expa.aiesec.org/opportunities/1293192")</f>
        <v>https://expa.aiesec.org/opportunities/1293192</v>
      </c>
      <c r="L38" s="43" t="str">
        <f>IFERROR(__xludf.DUMMYFUNCTION("""COMPUTED_VALUE"""),"GTe")</f>
        <v>GTe</v>
      </c>
      <c r="M38" s="43" t="str">
        <f>IFERROR(__xludf.DUMMYFUNCTION("""COMPUTED_VALUE"""),"medium")</f>
        <v>medium</v>
      </c>
      <c r="N38" s="45">
        <f>IFERROR(__xludf.DUMMYFUNCTION("""COMPUTED_VALUE"""),45091.0)</f>
        <v>45091</v>
      </c>
      <c r="O38" s="45">
        <f>IFERROR(__xludf.DUMMYFUNCTION("""COMPUTED_VALUE"""),45105.0)</f>
        <v>45105</v>
      </c>
      <c r="P38" s="45">
        <f>IFERROR(__xludf.DUMMYFUNCTION("""COMPUTED_VALUE"""),45196.0)</f>
        <v>45196</v>
      </c>
      <c r="Q38" s="45"/>
      <c r="R38" s="45"/>
      <c r="S38" s="43"/>
      <c r="T38" s="43"/>
      <c r="U38" s="43" t="str">
        <f>IFERROR(__xludf.DUMMYFUNCTION("""COMPUTED_VALUE"""),"English Teacher in Menofia ")</f>
        <v>English Teacher in Menofia </v>
      </c>
      <c r="V38" s="43" t="str">
        <f>IFERROR(__xludf.DUMMYFUNCTION("""COMPUTED_VALUE"""),"IZMIR")</f>
        <v>IZMIR</v>
      </c>
      <c r="W38" s="43" t="str">
        <f>IFERROR(__xludf.DUMMYFUNCTION("""COMPUTED_VALUE"""),"2023-03-16T10:53:15Z")</f>
        <v>2023-03-16T10:53:15Z</v>
      </c>
      <c r="X38" s="43"/>
      <c r="Y38" s="43"/>
      <c r="Z38" s="43"/>
    </row>
    <row r="39" hidden="1">
      <c r="A39" s="43" t="str">
        <f>IFERROR(__xludf.DUMMYFUNCTION("""COMPUTED_VALUE"""),"5273837_1295364")</f>
        <v>5273837_1295364</v>
      </c>
      <c r="B39" s="43" t="str">
        <f>IFERROR(__xludf.DUMMYFUNCTION("""COMPUTED_VALUE"""),"Harun Alma")</f>
        <v>Harun Alma</v>
      </c>
      <c r="C39" s="43" t="str">
        <f>IFERROR(__xludf.DUMMYFUNCTION("""COMPUTED_VALUE"""),"approved")</f>
        <v>approved</v>
      </c>
      <c r="D39" s="43" t="str">
        <f>IFERROR(__xludf.DUMMYFUNCTION("""COMPUTED_VALUE"""),"No")</f>
        <v>No</v>
      </c>
      <c r="E39" s="43" t="str">
        <f>IFERROR(__xludf.DUMMYFUNCTION("""COMPUTED_VALUE"""),"p_7a3ae0d718e1081370d2c839ed63f4d739ed8e2a@inbound.aiesec.org")</f>
        <v>p_7a3ae0d718e1081370d2c839ed63f4d739ed8e2a@inbound.aiesec.org</v>
      </c>
      <c r="F39" s="43">
        <f>IFERROR(__xludf.DUMMYFUNCTION("""COMPUTED_VALUE"""),5.462747518E9)</f>
        <v>5462747518</v>
      </c>
      <c r="G39" s="43" t="str">
        <f>IFERROR(__xludf.DUMMYFUNCTION("""COMPUTED_VALUE"""),"Turkey")</f>
        <v>Turkey</v>
      </c>
      <c r="H39" s="43" t="str">
        <f>IFERROR(__xludf.DUMMYFUNCTION("""COMPUTED_VALUE"""),"GAZIANTEP")</f>
        <v>GAZIANTEP</v>
      </c>
      <c r="I39" s="43" t="str">
        <f>IFERROR(__xludf.DUMMYFUNCTION("""COMPUTED_VALUE"""),"Tunisia")</f>
        <v>Tunisia</v>
      </c>
      <c r="J39" s="43" t="str">
        <f>IFERROR(__xludf.DUMMYFUNCTION("""COMPUTED_VALUE"""),"Bizerte")</f>
        <v>Bizerte</v>
      </c>
      <c r="K39" s="44" t="str">
        <f>IFERROR(__xludf.DUMMYFUNCTION("""COMPUTED_VALUE"""),"https://expa.aiesec.org/opportunities/1295364")</f>
        <v>https://expa.aiesec.org/opportunities/1295364</v>
      </c>
      <c r="L39" s="43" t="str">
        <f>IFERROR(__xludf.DUMMYFUNCTION("""COMPUTED_VALUE"""),"GTe")</f>
        <v>GTe</v>
      </c>
      <c r="M39" s="43" t="str">
        <f>IFERROR(__xludf.DUMMYFUNCTION("""COMPUTED_VALUE"""),"short")</f>
        <v>short</v>
      </c>
      <c r="N39" s="45">
        <f>IFERROR(__xludf.DUMMYFUNCTION("""COMPUTED_VALUE"""),45093.0)</f>
        <v>45093</v>
      </c>
      <c r="O39" s="45">
        <f>IFERROR(__xludf.DUMMYFUNCTION("""COMPUTED_VALUE"""),45124.0)</f>
        <v>45124</v>
      </c>
      <c r="P39" s="45">
        <f>IFERROR(__xludf.DUMMYFUNCTION("""COMPUTED_VALUE"""),45187.0)</f>
        <v>45187</v>
      </c>
      <c r="Q39" s="45"/>
      <c r="R39" s="45"/>
      <c r="S39" s="43"/>
      <c r="T39" s="43"/>
      <c r="U39" s="43" t="str">
        <f>IFERROR(__xludf.DUMMYFUNCTION("""COMPUTED_VALUE"""),"Turkish Teaching")</f>
        <v>Turkish Teaching</v>
      </c>
      <c r="V39" s="43" t="str">
        <f>IFERROR(__xludf.DUMMYFUNCTION("""COMPUTED_VALUE"""),"SANLIURFA")</f>
        <v>SANLIURFA</v>
      </c>
      <c r="W39" s="43" t="str">
        <f>IFERROR(__xludf.DUMMYFUNCTION("""COMPUTED_VALUE"""),"2023-06-11T08:19:44Z")</f>
        <v>2023-06-11T08:19:44Z</v>
      </c>
      <c r="X39" s="43"/>
      <c r="Y39" s="43"/>
      <c r="Z39" s="43"/>
    </row>
    <row r="40" hidden="1">
      <c r="A40" s="43" t="str">
        <f>IFERROR(__xludf.DUMMYFUNCTION("""COMPUTED_VALUE"""),"5275846_1288094")</f>
        <v>5275846_1288094</v>
      </c>
      <c r="B40" s="43" t="str">
        <f>IFERROR(__xludf.DUMMYFUNCTION("""COMPUTED_VALUE"""),"Muhsin Karatas")</f>
        <v>Muhsin Karatas</v>
      </c>
      <c r="C40" s="43" t="str">
        <f>IFERROR(__xludf.DUMMYFUNCTION("""COMPUTED_VALUE"""),"completed")</f>
        <v>completed</v>
      </c>
      <c r="D40" s="43" t="str">
        <f>IFERROR(__xludf.DUMMYFUNCTION("""COMPUTED_VALUE"""),"No")</f>
        <v>No</v>
      </c>
      <c r="E40" s="43" t="str">
        <f>IFERROR(__xludf.DUMMYFUNCTION("""COMPUTED_VALUE"""),"p_48d9bd3d9c271c73041700413cd16a9024211706@inbound.aiesec.org")</f>
        <v>p_48d9bd3d9c271c73041700413cd16a9024211706@inbound.aiesec.org</v>
      </c>
      <c r="F40" s="43">
        <f>IFERROR(__xludf.DUMMYFUNCTION("""COMPUTED_VALUE"""),5.374614198E9)</f>
        <v>5374614198</v>
      </c>
      <c r="G40" s="43" t="str">
        <f>IFERROR(__xludf.DUMMYFUNCTION("""COMPUTED_VALUE"""),"Turkey")</f>
        <v>Turkey</v>
      </c>
      <c r="H40" s="43" t="str">
        <f>IFERROR(__xludf.DUMMYFUNCTION("""COMPUTED_VALUE"""),"ISTANBUL ASIA")</f>
        <v>ISTANBUL ASIA</v>
      </c>
      <c r="I40" s="43" t="str">
        <f>IFERROR(__xludf.DUMMYFUNCTION("""COMPUTED_VALUE"""),"Egypt")</f>
        <v>Egypt</v>
      </c>
      <c r="J40" s="43" t="str">
        <f>IFERROR(__xludf.DUMMYFUNCTION("""COMPUTED_VALUE"""),"Ain Shams University")</f>
        <v>Ain Shams University</v>
      </c>
      <c r="K40" s="44" t="str">
        <f>IFERROR(__xludf.DUMMYFUNCTION("""COMPUTED_VALUE"""),"https://expa.aiesec.org/opportunities/1288094")</f>
        <v>https://expa.aiesec.org/opportunities/1288094</v>
      </c>
      <c r="L40" s="43" t="str">
        <f>IFERROR(__xludf.DUMMYFUNCTION("""COMPUTED_VALUE"""),"GTe")</f>
        <v>GTe</v>
      </c>
      <c r="M40" s="43" t="str">
        <f>IFERROR(__xludf.DUMMYFUNCTION("""COMPUTED_VALUE"""),"short")</f>
        <v>short</v>
      </c>
      <c r="N40" s="45">
        <f>IFERROR(__xludf.DUMMYFUNCTION("""COMPUTED_VALUE"""),45094.0)</f>
        <v>45094</v>
      </c>
      <c r="O40" s="45">
        <f>IFERROR(__xludf.DUMMYFUNCTION("""COMPUTED_VALUE"""),45103.0)</f>
        <v>45103</v>
      </c>
      <c r="P40" s="45">
        <f>IFERROR(__xludf.DUMMYFUNCTION("""COMPUTED_VALUE"""),45166.0)</f>
        <v>45166</v>
      </c>
      <c r="Q40" s="45">
        <f>IFERROR(__xludf.DUMMYFUNCTION("""COMPUTED_VALUE"""),45094.0)</f>
        <v>45094</v>
      </c>
      <c r="R40" s="45">
        <f>IFERROR(__xludf.DUMMYFUNCTION("""COMPUTED_VALUE"""),45166.0)</f>
        <v>45166</v>
      </c>
      <c r="S40" s="43"/>
      <c r="T40" s="43"/>
      <c r="U40" s="43" t="str">
        <f>IFERROR(__xludf.DUMMYFUNCTION("""COMPUTED_VALUE"""),"Teaching English in Cairo For Kids")</f>
        <v>Teaching English in Cairo For Kids</v>
      </c>
      <c r="V40" s="43" t="str">
        <f>IFERROR(__xludf.DUMMYFUNCTION("""COMPUTED_VALUE"""),"ISTANBUL ASIA")</f>
        <v>ISTANBUL ASIA</v>
      </c>
      <c r="W40" s="43" t="str">
        <f>IFERROR(__xludf.DUMMYFUNCTION("""COMPUTED_VALUE"""),"2023-06-15T21:57:19Z")</f>
        <v>2023-06-15T21:57:19Z</v>
      </c>
      <c r="X40" s="43"/>
      <c r="Y40" s="43"/>
      <c r="Z40" s="43"/>
    </row>
    <row r="41" hidden="1">
      <c r="A41" s="43" t="str">
        <f>IFERROR(__xludf.DUMMYFUNCTION("""COMPUTED_VALUE"""),"5264820_1295104")</f>
        <v>5264820_1295104</v>
      </c>
      <c r="B41" s="43" t="str">
        <f>IFERROR(__xludf.DUMMYFUNCTION("""COMPUTED_VALUE"""),"Barış Güney Kızılocak")</f>
        <v>Barış Güney Kızılocak</v>
      </c>
      <c r="C41" s="43" t="str">
        <f>IFERROR(__xludf.DUMMYFUNCTION("""COMPUTED_VALUE"""),"completed")</f>
        <v>completed</v>
      </c>
      <c r="D41" s="43" t="str">
        <f>IFERROR(__xludf.DUMMYFUNCTION("""COMPUTED_VALUE"""),"No")</f>
        <v>No</v>
      </c>
      <c r="E41" s="43" t="str">
        <f>IFERROR(__xludf.DUMMYFUNCTION("""COMPUTED_VALUE"""),"p_a42f31f1aeaacd0f04574e2873d54e385cd80db8@inbound.aiesec.org")</f>
        <v>p_a42f31f1aeaacd0f04574e2873d54e385cd80db8@inbound.aiesec.org</v>
      </c>
      <c r="F41" s="43"/>
      <c r="G41" s="43" t="str">
        <f>IFERROR(__xludf.DUMMYFUNCTION("""COMPUTED_VALUE"""),"Turkey")</f>
        <v>Turkey</v>
      </c>
      <c r="H41" s="43" t="str">
        <f>IFERROR(__xludf.DUMMYFUNCTION("""COMPUTED_VALUE"""),"ANKARA")</f>
        <v>ANKARA</v>
      </c>
      <c r="I41" s="43" t="str">
        <f>IFERROR(__xludf.DUMMYFUNCTION("""COMPUTED_VALUE"""),"Tunisia")</f>
        <v>Tunisia</v>
      </c>
      <c r="J41" s="43" t="str">
        <f>IFERROR(__xludf.DUMMYFUNCTION("""COMPUTED_VALUE"""),"HADRUMET")</f>
        <v>HADRUMET</v>
      </c>
      <c r="K41" s="44" t="str">
        <f>IFERROR(__xludf.DUMMYFUNCTION("""COMPUTED_VALUE"""),"https://expa.aiesec.org/opportunities/1295104")</f>
        <v>https://expa.aiesec.org/opportunities/1295104</v>
      </c>
      <c r="L41" s="43" t="str">
        <f>IFERROR(__xludf.DUMMYFUNCTION("""COMPUTED_VALUE"""),"GTe")</f>
        <v>GTe</v>
      </c>
      <c r="M41" s="43" t="str">
        <f>IFERROR(__xludf.DUMMYFUNCTION("""COMPUTED_VALUE"""),"short")</f>
        <v>short</v>
      </c>
      <c r="N41" s="45">
        <f>IFERROR(__xludf.DUMMYFUNCTION("""COMPUTED_VALUE"""),45098.0)</f>
        <v>45098</v>
      </c>
      <c r="O41" s="45">
        <f>IFERROR(__xludf.DUMMYFUNCTION("""COMPUTED_VALUE"""),45110.0)</f>
        <v>45110</v>
      </c>
      <c r="P41" s="45">
        <f>IFERROR(__xludf.DUMMYFUNCTION("""COMPUTED_VALUE"""),45173.0)</f>
        <v>45173</v>
      </c>
      <c r="Q41" s="45">
        <f>IFERROR(__xludf.DUMMYFUNCTION("""COMPUTED_VALUE"""),45116.0)</f>
        <v>45116</v>
      </c>
      <c r="R41" s="45">
        <f>IFERROR(__xludf.DUMMYFUNCTION("""COMPUTED_VALUE"""),45180.0)</f>
        <v>45180</v>
      </c>
      <c r="S41" s="43"/>
      <c r="T41" s="43"/>
      <c r="U41" s="43" t="str">
        <f>IFERROR(__xludf.DUMMYFUNCTION("""COMPUTED_VALUE"""),"English Language Intern")</f>
        <v>English Language Intern</v>
      </c>
      <c r="V41" s="43" t="str">
        <f>IFERROR(__xludf.DUMMYFUNCTION("""COMPUTED_VALUE"""),"-")</f>
        <v>-</v>
      </c>
      <c r="W41" s="43" t="str">
        <f>IFERROR(__xludf.DUMMYFUNCTION("""COMPUTED_VALUE"""),"2023-05-22T12:22:13Z")</f>
        <v>2023-05-22T12:22:13Z</v>
      </c>
      <c r="X41" s="43"/>
      <c r="Y41" s="43"/>
      <c r="Z41" s="43"/>
    </row>
    <row r="42" hidden="1">
      <c r="A42" s="43" t="str">
        <f>IFERROR(__xludf.DUMMYFUNCTION("""COMPUTED_VALUE"""),"4182166_1289446")</f>
        <v>4182166_1289446</v>
      </c>
      <c r="B42" s="43" t="str">
        <f>IFERROR(__xludf.DUMMYFUNCTION("""COMPUTED_VALUE"""),"Zeynep Öztürk")</f>
        <v>Zeynep Öztürk</v>
      </c>
      <c r="C42" s="43" t="str">
        <f>IFERROR(__xludf.DUMMYFUNCTION("""COMPUTED_VALUE"""),"completed")</f>
        <v>completed</v>
      </c>
      <c r="D42" s="43" t="str">
        <f>IFERROR(__xludf.DUMMYFUNCTION("""COMPUTED_VALUE"""),"No")</f>
        <v>No</v>
      </c>
      <c r="E42" s="43" t="str">
        <f>IFERROR(__xludf.DUMMYFUNCTION("""COMPUTED_VALUE"""),"p_5c77f1fd071d8c64f1b942bbc19245a4df5b580c@inbound.aiesec.org")</f>
        <v>p_5c77f1fd071d8c64f1b942bbc19245a4df5b580c@inbound.aiesec.org</v>
      </c>
      <c r="F42" s="43">
        <f>IFERROR(__xludf.DUMMYFUNCTION("""COMPUTED_VALUE"""),5.061080248E9)</f>
        <v>5061080248</v>
      </c>
      <c r="G42" s="43" t="str">
        <f>IFERROR(__xludf.DUMMYFUNCTION("""COMPUTED_VALUE"""),"Turkey")</f>
        <v>Turkey</v>
      </c>
      <c r="H42" s="43" t="str">
        <f>IFERROR(__xludf.DUMMYFUNCTION("""COMPUTED_VALUE"""),"GAZIANTEP")</f>
        <v>GAZIANTEP</v>
      </c>
      <c r="I42" s="43" t="str">
        <f>IFERROR(__xludf.DUMMYFUNCTION("""COMPUTED_VALUE"""),"Egypt")</f>
        <v>Egypt</v>
      </c>
      <c r="J42" s="43" t="str">
        <f>IFERROR(__xludf.DUMMYFUNCTION("""COMPUTED_VALUE"""),"Suez")</f>
        <v>Suez</v>
      </c>
      <c r="K42" s="44" t="str">
        <f>IFERROR(__xludf.DUMMYFUNCTION("""COMPUTED_VALUE"""),"https://expa.aiesec.org/opportunities/1289446")</f>
        <v>https://expa.aiesec.org/opportunities/1289446</v>
      </c>
      <c r="L42" s="43" t="str">
        <f>IFERROR(__xludf.DUMMYFUNCTION("""COMPUTED_VALUE"""),"GTe")</f>
        <v>GTe</v>
      </c>
      <c r="M42" s="43" t="str">
        <f>IFERROR(__xludf.DUMMYFUNCTION("""COMPUTED_VALUE"""),"short")</f>
        <v>short</v>
      </c>
      <c r="N42" s="45">
        <f>IFERROR(__xludf.DUMMYFUNCTION("""COMPUTED_VALUE"""),45100.0)</f>
        <v>45100</v>
      </c>
      <c r="O42" s="45">
        <f>IFERROR(__xludf.DUMMYFUNCTION("""COMPUTED_VALUE"""),45117.0)</f>
        <v>45117</v>
      </c>
      <c r="P42" s="45">
        <f>IFERROR(__xludf.DUMMYFUNCTION("""COMPUTED_VALUE"""),45180.0)</f>
        <v>45180</v>
      </c>
      <c r="Q42" s="45">
        <f>IFERROR(__xludf.DUMMYFUNCTION("""COMPUTED_VALUE"""),45117.0)</f>
        <v>45117</v>
      </c>
      <c r="R42" s="45">
        <f>IFERROR(__xludf.DUMMYFUNCTION("""COMPUTED_VALUE"""),45180.0)</f>
        <v>45180</v>
      </c>
      <c r="S42" s="43"/>
      <c r="T42" s="43"/>
      <c r="U42" s="43" t="str">
        <f>IFERROR(__xludf.DUMMYFUNCTION("""COMPUTED_VALUE"""),"English Teacher")</f>
        <v>English Teacher</v>
      </c>
      <c r="V42" s="43" t="str">
        <f>IFERROR(__xludf.DUMMYFUNCTION("""COMPUTED_VALUE"""),"GAZIANTEP")</f>
        <v>GAZIANTEP</v>
      </c>
      <c r="W42" s="43" t="str">
        <f>IFERROR(__xludf.DUMMYFUNCTION("""COMPUTED_VALUE"""),"2020-02-12T19:34:34Z")</f>
        <v>2020-02-12T19:34:34Z</v>
      </c>
      <c r="X42" s="43"/>
      <c r="Y42" s="43"/>
      <c r="Z42" s="43"/>
    </row>
    <row r="43" hidden="1">
      <c r="A43" s="43" t="str">
        <f>IFERROR(__xludf.DUMMYFUNCTION("""COMPUTED_VALUE"""),"5222103_1293758")</f>
        <v>5222103_1293758</v>
      </c>
      <c r="B43" s="43" t="str">
        <f>IFERROR(__xludf.DUMMYFUNCTION("""COMPUTED_VALUE"""),"Mizgin İnçamur")</f>
        <v>Mizgin İnçamur</v>
      </c>
      <c r="C43" s="43" t="str">
        <f>IFERROR(__xludf.DUMMYFUNCTION("""COMPUTED_VALUE"""),"completed")</f>
        <v>completed</v>
      </c>
      <c r="D43" s="43" t="str">
        <f>IFERROR(__xludf.DUMMYFUNCTION("""COMPUTED_VALUE"""),"No")</f>
        <v>No</v>
      </c>
      <c r="E43" s="43" t="str">
        <f>IFERROR(__xludf.DUMMYFUNCTION("""COMPUTED_VALUE"""),"p_fb6a401819607a6d714d4d6b2ef0255fdbc62929@inbound.aiesec.org")</f>
        <v>p_fb6a401819607a6d714d4d6b2ef0255fdbc62929@inbound.aiesec.org</v>
      </c>
      <c r="F43" s="43">
        <f>IFERROR(__xludf.DUMMYFUNCTION("""COMPUTED_VALUE"""),5.012560184E9)</f>
        <v>5012560184</v>
      </c>
      <c r="G43" s="43" t="str">
        <f>IFERROR(__xludf.DUMMYFUNCTION("""COMPUTED_VALUE"""),"Turkey")</f>
        <v>Turkey</v>
      </c>
      <c r="H43" s="43" t="str">
        <f>IFERROR(__xludf.DUMMYFUNCTION("""COMPUTED_VALUE"""),"KUTAHYA")</f>
        <v>KUTAHYA</v>
      </c>
      <c r="I43" s="43" t="str">
        <f>IFERROR(__xludf.DUMMYFUNCTION("""COMPUTED_VALUE"""),"Tunisia")</f>
        <v>Tunisia</v>
      </c>
      <c r="J43" s="43" t="str">
        <f>IFERROR(__xludf.DUMMYFUNCTION("""COMPUTED_VALUE"""),"Tacapes")</f>
        <v>Tacapes</v>
      </c>
      <c r="K43" s="44" t="str">
        <f>IFERROR(__xludf.DUMMYFUNCTION("""COMPUTED_VALUE"""),"https://expa.aiesec.org/opportunities/1293758")</f>
        <v>https://expa.aiesec.org/opportunities/1293758</v>
      </c>
      <c r="L43" s="43" t="str">
        <f>IFERROR(__xludf.DUMMYFUNCTION("""COMPUTED_VALUE"""),"GTe")</f>
        <v>GTe</v>
      </c>
      <c r="M43" s="43" t="str">
        <f>IFERROR(__xludf.DUMMYFUNCTION("""COMPUTED_VALUE"""),"short")</f>
        <v>short</v>
      </c>
      <c r="N43" s="45">
        <f>IFERROR(__xludf.DUMMYFUNCTION("""COMPUTED_VALUE"""),45110.0)</f>
        <v>45110</v>
      </c>
      <c r="O43" s="45">
        <f>IFERROR(__xludf.DUMMYFUNCTION("""COMPUTED_VALUE"""),45119.0)</f>
        <v>45119</v>
      </c>
      <c r="P43" s="45">
        <f>IFERROR(__xludf.DUMMYFUNCTION("""COMPUTED_VALUE"""),45182.0)</f>
        <v>45182</v>
      </c>
      <c r="Q43" s="45">
        <f>IFERROR(__xludf.DUMMYFUNCTION("""COMPUTED_VALUE"""),45123.0)</f>
        <v>45123</v>
      </c>
      <c r="R43" s="45">
        <f>IFERROR(__xludf.DUMMYFUNCTION("""COMPUTED_VALUE"""),45188.0)</f>
        <v>45188</v>
      </c>
      <c r="S43" s="43"/>
      <c r="T43" s="43"/>
      <c r="U43" s="43" t="str">
        <f>IFERROR(__xludf.DUMMYFUNCTION("""COMPUTED_VALUE"""),"English teacher")</f>
        <v>English teacher</v>
      </c>
      <c r="V43" s="43" t="str">
        <f>IFERROR(__xludf.DUMMYFUNCTION("""COMPUTED_VALUE"""),"KUTAHYA")</f>
        <v>KUTAHYA</v>
      </c>
      <c r="W43" s="43" t="str">
        <f>IFERROR(__xludf.DUMMYFUNCTION("""COMPUTED_VALUE"""),"2023-03-20T21:28:42Z")</f>
        <v>2023-03-20T21:28:42Z</v>
      </c>
      <c r="X43" s="43"/>
      <c r="Y43" s="43"/>
      <c r="Z43" s="43"/>
    </row>
    <row r="44" hidden="1">
      <c r="A44" s="43" t="str">
        <f>IFERROR(__xludf.DUMMYFUNCTION("""COMPUTED_VALUE"""),"4999677_1295789")</f>
        <v>4999677_1295789</v>
      </c>
      <c r="B44" s="43" t="str">
        <f>IFERROR(__xludf.DUMMYFUNCTION("""COMPUTED_VALUE"""),"Tunç Başaran")</f>
        <v>Tunç Başaran</v>
      </c>
      <c r="C44" s="43" t="str">
        <f>IFERROR(__xludf.DUMMYFUNCTION("""COMPUTED_VALUE"""),"realized")</f>
        <v>realized</v>
      </c>
      <c r="D44" s="43" t="str">
        <f>IFERROR(__xludf.DUMMYFUNCTION("""COMPUTED_VALUE"""),"No")</f>
        <v>No</v>
      </c>
      <c r="E44" s="43" t="str">
        <f>IFERROR(__xludf.DUMMYFUNCTION("""COMPUTED_VALUE"""),"p_a2ba6b478a30cbcff2c836a3652231b56c3a6a23@inbound.aiesec.org")</f>
        <v>p_a2ba6b478a30cbcff2c836a3652231b56c3a6a23@inbound.aiesec.org</v>
      </c>
      <c r="F44" s="43">
        <f>IFERROR(__xludf.DUMMYFUNCTION("""COMPUTED_VALUE"""),5.436746008E9)</f>
        <v>5436746008</v>
      </c>
      <c r="G44" s="43" t="str">
        <f>IFERROR(__xludf.DUMMYFUNCTION("""COMPUTED_VALUE"""),"Turkey")</f>
        <v>Turkey</v>
      </c>
      <c r="H44" s="43" t="str">
        <f>IFERROR(__xludf.DUMMYFUNCTION("""COMPUTED_VALUE"""),"ANKARA")</f>
        <v>ANKARA</v>
      </c>
      <c r="I44" s="43" t="str">
        <f>IFERROR(__xludf.DUMMYFUNCTION("""COMPUTED_VALUE"""),"Colombia")</f>
        <v>Colombia</v>
      </c>
      <c r="J44" s="43" t="str">
        <f>IFERROR(__xludf.DUMMYFUNCTION("""COMPUTED_VALUE"""),"MANIZALES")</f>
        <v>MANIZALES</v>
      </c>
      <c r="K44" s="44" t="str">
        <f>IFERROR(__xludf.DUMMYFUNCTION("""COMPUTED_VALUE"""),"https://expa.aiesec.org/opportunities/1295789")</f>
        <v>https://expa.aiesec.org/opportunities/1295789</v>
      </c>
      <c r="L44" s="43" t="str">
        <f>IFERROR(__xludf.DUMMYFUNCTION("""COMPUTED_VALUE"""),"GTe")</f>
        <v>GTe</v>
      </c>
      <c r="M44" s="43" t="str">
        <f>IFERROR(__xludf.DUMMYFUNCTION("""COMPUTED_VALUE"""),"long")</f>
        <v>long</v>
      </c>
      <c r="N44" s="45">
        <f>IFERROR(__xludf.DUMMYFUNCTION("""COMPUTED_VALUE"""),45112.0)</f>
        <v>45112</v>
      </c>
      <c r="O44" s="45">
        <f>IFERROR(__xludf.DUMMYFUNCTION("""COMPUTED_VALUE"""),45140.0)</f>
        <v>45140</v>
      </c>
      <c r="P44" s="45">
        <f>IFERROR(__xludf.DUMMYFUNCTION("""COMPUTED_VALUE"""),45445.0)</f>
        <v>45445</v>
      </c>
      <c r="Q44" s="45">
        <f>IFERROR(__xludf.DUMMYFUNCTION("""COMPUTED_VALUE"""),45150.0)</f>
        <v>45150</v>
      </c>
      <c r="R44" s="45">
        <f>IFERROR(__xludf.DUMMYFUNCTION("""COMPUTED_VALUE"""),45457.0)</f>
        <v>45457</v>
      </c>
      <c r="S44" s="43"/>
      <c r="T44" s="43"/>
      <c r="U44" s="43" t="str">
        <f>IFERROR(__xludf.DUMMYFUNCTION("""COMPUTED_VALUE"""),"English High School Teacher ")</f>
        <v>English High School Teacher </v>
      </c>
      <c r="V44" s="43" t="str">
        <f>IFERROR(__xludf.DUMMYFUNCTION("""COMPUTED_VALUE"""),"ANKARA")</f>
        <v>ANKARA</v>
      </c>
      <c r="W44" s="43" t="str">
        <f>IFERROR(__xludf.DUMMYFUNCTION("""COMPUTED_VALUE"""),"2022-03-22T14:26:23Z")</f>
        <v>2022-03-22T14:26:23Z</v>
      </c>
      <c r="X44" s="43"/>
      <c r="Y44" s="43"/>
      <c r="Z44" s="43"/>
    </row>
    <row r="45" hidden="1">
      <c r="A45" s="43" t="str">
        <f>IFERROR(__xludf.DUMMYFUNCTION("""COMPUTED_VALUE"""),"5282338_1296723")</f>
        <v>5282338_1296723</v>
      </c>
      <c r="B45" s="43" t="str">
        <f>IFERROR(__xludf.DUMMYFUNCTION("""COMPUTED_VALUE"""),"Şulenur Bilgin")</f>
        <v>Şulenur Bilgin</v>
      </c>
      <c r="C45" s="43" t="str">
        <f>IFERROR(__xludf.DUMMYFUNCTION("""COMPUTED_VALUE"""),"finished")</f>
        <v>finished</v>
      </c>
      <c r="D45" s="43" t="str">
        <f>IFERROR(__xludf.DUMMYFUNCTION("""COMPUTED_VALUE"""),"No")</f>
        <v>No</v>
      </c>
      <c r="E45" s="43" t="str">
        <f>IFERROR(__xludf.DUMMYFUNCTION("""COMPUTED_VALUE"""),"p_834695a893822ac2b82b28eeee2fb73f287f4738@inbound.aiesec.org")</f>
        <v>p_834695a893822ac2b82b28eeee2fb73f287f4738@inbound.aiesec.org</v>
      </c>
      <c r="F45" s="43">
        <f>IFERROR(__xludf.DUMMYFUNCTION("""COMPUTED_VALUE"""),5.459413505E9)</f>
        <v>5459413505</v>
      </c>
      <c r="G45" s="43" t="str">
        <f>IFERROR(__xludf.DUMMYFUNCTION("""COMPUTED_VALUE"""),"Turkey")</f>
        <v>Turkey</v>
      </c>
      <c r="H45" s="43" t="str">
        <f>IFERROR(__xludf.DUMMYFUNCTION("""COMPUTED_VALUE"""),"KONYA")</f>
        <v>KONYA</v>
      </c>
      <c r="I45" s="43" t="str">
        <f>IFERROR(__xludf.DUMMYFUNCTION("""COMPUTED_VALUE"""),"VIETNAM")</f>
        <v>VIETNAM</v>
      </c>
      <c r="J45" s="43" t="str">
        <f>IFERROR(__xludf.DUMMYFUNCTION("""COMPUTED_VALUE"""),"FHCMC")</f>
        <v>FHCMC</v>
      </c>
      <c r="K45" s="44" t="str">
        <f>IFERROR(__xludf.DUMMYFUNCTION("""COMPUTED_VALUE"""),"https://expa.aiesec.org/opportunities/1296723")</f>
        <v>https://expa.aiesec.org/opportunities/1296723</v>
      </c>
      <c r="L45" s="43" t="str">
        <f>IFERROR(__xludf.DUMMYFUNCTION("""COMPUTED_VALUE"""),"GTe")</f>
        <v>GTe</v>
      </c>
      <c r="M45" s="43" t="str">
        <f>IFERROR(__xludf.DUMMYFUNCTION("""COMPUTED_VALUE"""),"short")</f>
        <v>short</v>
      </c>
      <c r="N45" s="45">
        <f>IFERROR(__xludf.DUMMYFUNCTION("""COMPUTED_VALUE"""),45120.0)</f>
        <v>45120</v>
      </c>
      <c r="O45" s="45">
        <f>IFERROR(__xludf.DUMMYFUNCTION("""COMPUTED_VALUE"""),45148.0)</f>
        <v>45148</v>
      </c>
      <c r="P45" s="45">
        <f>IFERROR(__xludf.DUMMYFUNCTION("""COMPUTED_VALUE"""),45231.0)</f>
        <v>45231</v>
      </c>
      <c r="Q45" s="45">
        <f>IFERROR(__xludf.DUMMYFUNCTION("""COMPUTED_VALUE"""),45164.0)</f>
        <v>45164</v>
      </c>
      <c r="R45" s="45">
        <f>IFERROR(__xludf.DUMMYFUNCTION("""COMPUTED_VALUE"""),45254.0)</f>
        <v>45254</v>
      </c>
      <c r="S45" s="43"/>
      <c r="T45" s="43"/>
      <c r="U45" s="43" t="str">
        <f>IFERROR(__xludf.DUMMYFUNCTION("""COMPUTED_VALUE"""),"International Link Corporation")</f>
        <v>International Link Corporation</v>
      </c>
      <c r="V45" s="43" t="str">
        <f>IFERROR(__xludf.DUMMYFUNCTION("""COMPUTED_VALUE"""),"NEVSEHIR")</f>
        <v>NEVSEHIR</v>
      </c>
      <c r="W45" s="43" t="str">
        <f>IFERROR(__xludf.DUMMYFUNCTION("""COMPUTED_VALUE"""),"2023-07-05T09:02:15Z")</f>
        <v>2023-07-05T09:02:15Z</v>
      </c>
      <c r="X45" s="43"/>
      <c r="Y45" s="43"/>
      <c r="Z45" s="43"/>
    </row>
    <row r="46" hidden="1">
      <c r="A46" s="43" t="str">
        <f>IFERROR(__xludf.DUMMYFUNCTION("""COMPUTED_VALUE"""),"5282337_1296723")</f>
        <v>5282337_1296723</v>
      </c>
      <c r="B46" s="43" t="str">
        <f>IFERROR(__xludf.DUMMYFUNCTION("""COMPUTED_VALUE"""),"CENK TAKIM")</f>
        <v>CENK TAKIM</v>
      </c>
      <c r="C46" s="43" t="str">
        <f>IFERROR(__xludf.DUMMYFUNCTION("""COMPUTED_VALUE"""),"finished")</f>
        <v>finished</v>
      </c>
      <c r="D46" s="43" t="str">
        <f>IFERROR(__xludf.DUMMYFUNCTION("""COMPUTED_VALUE"""),"No")</f>
        <v>No</v>
      </c>
      <c r="E46" s="43" t="str">
        <f>IFERROR(__xludf.DUMMYFUNCTION("""COMPUTED_VALUE"""),"p_07bc9a16b9397fb9045d4632cf4c5e5328bbb84d@inbound.aiesec.org")</f>
        <v>p_07bc9a16b9397fb9045d4632cf4c5e5328bbb84d@inbound.aiesec.org</v>
      </c>
      <c r="F46" s="43">
        <f>IFERROR(__xludf.DUMMYFUNCTION("""COMPUTED_VALUE"""),5.459413556E9)</f>
        <v>5459413556</v>
      </c>
      <c r="G46" s="43" t="str">
        <f>IFERROR(__xludf.DUMMYFUNCTION("""COMPUTED_VALUE"""),"Turkey")</f>
        <v>Turkey</v>
      </c>
      <c r="H46" s="43" t="str">
        <f>IFERROR(__xludf.DUMMYFUNCTION("""COMPUTED_VALUE"""),"KONYA")</f>
        <v>KONYA</v>
      </c>
      <c r="I46" s="43" t="str">
        <f>IFERROR(__xludf.DUMMYFUNCTION("""COMPUTED_VALUE"""),"VIETNAM")</f>
        <v>VIETNAM</v>
      </c>
      <c r="J46" s="43" t="str">
        <f>IFERROR(__xludf.DUMMYFUNCTION("""COMPUTED_VALUE"""),"FHCMC")</f>
        <v>FHCMC</v>
      </c>
      <c r="K46" s="44" t="str">
        <f>IFERROR(__xludf.DUMMYFUNCTION("""COMPUTED_VALUE"""),"https://expa.aiesec.org/opportunities/1296723")</f>
        <v>https://expa.aiesec.org/opportunities/1296723</v>
      </c>
      <c r="L46" s="43" t="str">
        <f>IFERROR(__xludf.DUMMYFUNCTION("""COMPUTED_VALUE"""),"GTe")</f>
        <v>GTe</v>
      </c>
      <c r="M46" s="43" t="str">
        <f>IFERROR(__xludf.DUMMYFUNCTION("""COMPUTED_VALUE"""),"short")</f>
        <v>short</v>
      </c>
      <c r="N46" s="45">
        <f>IFERROR(__xludf.DUMMYFUNCTION("""COMPUTED_VALUE"""),45120.0)</f>
        <v>45120</v>
      </c>
      <c r="O46" s="45">
        <f>IFERROR(__xludf.DUMMYFUNCTION("""COMPUTED_VALUE"""),45148.0)</f>
        <v>45148</v>
      </c>
      <c r="P46" s="45">
        <f>IFERROR(__xludf.DUMMYFUNCTION("""COMPUTED_VALUE"""),45231.0)</f>
        <v>45231</v>
      </c>
      <c r="Q46" s="45">
        <f>IFERROR(__xludf.DUMMYFUNCTION("""COMPUTED_VALUE"""),45164.0)</f>
        <v>45164</v>
      </c>
      <c r="R46" s="45">
        <f>IFERROR(__xludf.DUMMYFUNCTION("""COMPUTED_VALUE"""),45254.0)</f>
        <v>45254</v>
      </c>
      <c r="S46" s="43"/>
      <c r="T46" s="43"/>
      <c r="U46" s="43" t="str">
        <f>IFERROR(__xludf.DUMMYFUNCTION("""COMPUTED_VALUE"""),"International Link Corporation")</f>
        <v>International Link Corporation</v>
      </c>
      <c r="V46" s="43" t="str">
        <f>IFERROR(__xludf.DUMMYFUNCTION("""COMPUTED_VALUE"""),"NEVSEHIR")</f>
        <v>NEVSEHIR</v>
      </c>
      <c r="W46" s="43" t="str">
        <f>IFERROR(__xludf.DUMMYFUNCTION("""COMPUTED_VALUE"""),"2023-07-05T09:00:48Z")</f>
        <v>2023-07-05T09:00:48Z</v>
      </c>
      <c r="X46" s="43"/>
      <c r="Y46" s="43"/>
      <c r="Z46" s="43"/>
    </row>
    <row r="47" hidden="1">
      <c r="A47" s="43" t="str">
        <f>IFERROR(__xludf.DUMMYFUNCTION("""COMPUTED_VALUE"""),"5285210_1287792")</f>
        <v>5285210_1287792</v>
      </c>
      <c r="B47" s="43" t="str">
        <f>IFERROR(__xludf.DUMMYFUNCTION("""COMPUTED_VALUE"""),"Denız Onal")</f>
        <v>Denız Onal</v>
      </c>
      <c r="C47" s="43" t="str">
        <f>IFERROR(__xludf.DUMMYFUNCTION("""COMPUTED_VALUE"""),"finished")</f>
        <v>finished</v>
      </c>
      <c r="D47" s="43" t="str">
        <f>IFERROR(__xludf.DUMMYFUNCTION("""COMPUTED_VALUE"""),"No")</f>
        <v>No</v>
      </c>
      <c r="E47" s="43" t="str">
        <f>IFERROR(__xludf.DUMMYFUNCTION("""COMPUTED_VALUE"""),"p_fe2d419d3c541e1816c5543d354bc84361c06aec@inbound.aiesec.org")</f>
        <v>p_fe2d419d3c541e1816c5543d354bc84361c06aec@inbound.aiesec.org</v>
      </c>
      <c r="F47" s="43">
        <f>IFERROR(__xludf.DUMMYFUNCTION("""COMPUTED_VALUE"""),5.307358603E9)</f>
        <v>5307358603</v>
      </c>
      <c r="G47" s="43" t="str">
        <f>IFERROR(__xludf.DUMMYFUNCTION("""COMPUTED_VALUE"""),"Turkey")</f>
        <v>Turkey</v>
      </c>
      <c r="H47" s="43" t="str">
        <f>IFERROR(__xludf.DUMMYFUNCTION("""COMPUTED_VALUE"""),"SAKARYA")</f>
        <v>SAKARYA</v>
      </c>
      <c r="I47" s="43" t="str">
        <f>IFERROR(__xludf.DUMMYFUNCTION("""COMPUTED_VALUE"""),"Egypt")</f>
        <v>Egypt</v>
      </c>
      <c r="J47" s="43" t="str">
        <f>IFERROR(__xludf.DUMMYFUNCTION("""COMPUTED_VALUE"""),"Ain Shams University")</f>
        <v>Ain Shams University</v>
      </c>
      <c r="K47" s="44" t="str">
        <f>IFERROR(__xludf.DUMMYFUNCTION("""COMPUTED_VALUE"""),"https://expa.aiesec.org/opportunities/1287792")</f>
        <v>https://expa.aiesec.org/opportunities/1287792</v>
      </c>
      <c r="L47" s="43" t="str">
        <f>IFERROR(__xludf.DUMMYFUNCTION("""COMPUTED_VALUE"""),"GTe")</f>
        <v>GTe</v>
      </c>
      <c r="M47" s="43" t="str">
        <f>IFERROR(__xludf.DUMMYFUNCTION("""COMPUTED_VALUE"""),"short")</f>
        <v>short</v>
      </c>
      <c r="N47" s="45">
        <f>IFERROR(__xludf.DUMMYFUNCTION("""COMPUTED_VALUE"""),45121.0)</f>
        <v>45121</v>
      </c>
      <c r="O47" s="45">
        <f>IFERROR(__xludf.DUMMYFUNCTION("""COMPUTED_VALUE"""),45122.0)</f>
        <v>45122</v>
      </c>
      <c r="P47" s="45">
        <f>IFERROR(__xludf.DUMMYFUNCTION("""COMPUTED_VALUE"""),45185.0)</f>
        <v>45185</v>
      </c>
      <c r="Q47" s="45">
        <f>IFERROR(__xludf.DUMMYFUNCTION("""COMPUTED_VALUE"""),45137.0)</f>
        <v>45137</v>
      </c>
      <c r="R47" s="45">
        <f>IFERROR(__xludf.DUMMYFUNCTION("""COMPUTED_VALUE"""),45198.0)</f>
        <v>45198</v>
      </c>
      <c r="S47" s="43"/>
      <c r="T47" s="43"/>
      <c r="U47" s="43" t="str">
        <f>IFERROR(__xludf.DUMMYFUNCTION("""COMPUTED_VALUE"""),"English Teacher for Kids in Cairo")</f>
        <v>English Teacher for Kids in Cairo</v>
      </c>
      <c r="V47" s="43" t="str">
        <f>IFERROR(__xludf.DUMMYFUNCTION("""COMPUTED_VALUE"""),"SAKARYA")</f>
        <v>SAKARYA</v>
      </c>
      <c r="W47" s="43" t="str">
        <f>IFERROR(__xludf.DUMMYFUNCTION("""COMPUTED_VALUE"""),"2023-07-14T13:24:34Z")</f>
        <v>2023-07-14T13:24:34Z</v>
      </c>
      <c r="X47" s="43"/>
      <c r="Y47" s="43"/>
      <c r="Z47" s="43"/>
    </row>
    <row r="48" hidden="1">
      <c r="A48" s="43" t="str">
        <f>IFERROR(__xludf.DUMMYFUNCTION("""COMPUTED_VALUE"""),"5276452_1296697")</f>
        <v>5276452_1296697</v>
      </c>
      <c r="B48" s="43" t="str">
        <f>IFERROR(__xludf.DUMMYFUNCTION("""COMPUTED_VALUE"""),"zehra yalçın")</f>
        <v>zehra yalçın</v>
      </c>
      <c r="C48" s="43" t="str">
        <f>IFERROR(__xludf.DUMMYFUNCTION("""COMPUTED_VALUE"""),"completed")</f>
        <v>completed</v>
      </c>
      <c r="D48" s="43" t="str">
        <f>IFERROR(__xludf.DUMMYFUNCTION("""COMPUTED_VALUE"""),"No")</f>
        <v>No</v>
      </c>
      <c r="E48" s="43" t="str">
        <f>IFERROR(__xludf.DUMMYFUNCTION("""COMPUTED_VALUE"""),"p_d5ce92278701fb68067fc9807641600cd8e2224a@inbound.aiesec.org")</f>
        <v>p_d5ce92278701fb68067fc9807641600cd8e2224a@inbound.aiesec.org</v>
      </c>
      <c r="F48" s="43">
        <f>IFERROR(__xludf.DUMMYFUNCTION("""COMPUTED_VALUE"""),5.523149979E9)</f>
        <v>5523149979</v>
      </c>
      <c r="G48" s="43" t="str">
        <f>IFERROR(__xludf.DUMMYFUNCTION("""COMPUTED_VALUE"""),"Turkey")</f>
        <v>Turkey</v>
      </c>
      <c r="H48" s="43" t="str">
        <f>IFERROR(__xludf.DUMMYFUNCTION("""COMPUTED_VALUE"""),"ISTANBUL ASIA")</f>
        <v>ISTANBUL ASIA</v>
      </c>
      <c r="I48" s="43" t="str">
        <f>IFERROR(__xludf.DUMMYFUNCTION("""COMPUTED_VALUE"""),"Egypt")</f>
        <v>Egypt</v>
      </c>
      <c r="J48" s="43" t="str">
        <f>IFERROR(__xludf.DUMMYFUNCTION("""COMPUTED_VALUE"""),"AAST In CAIRO")</f>
        <v>AAST In CAIRO</v>
      </c>
      <c r="K48" s="44" t="str">
        <f>IFERROR(__xludf.DUMMYFUNCTION("""COMPUTED_VALUE"""),"https://expa.aiesec.org/opportunities/1296697")</f>
        <v>https://expa.aiesec.org/opportunities/1296697</v>
      </c>
      <c r="L48" s="43" t="str">
        <f>IFERROR(__xludf.DUMMYFUNCTION("""COMPUTED_VALUE"""),"GTe")</f>
        <v>GTe</v>
      </c>
      <c r="M48" s="43" t="str">
        <f>IFERROR(__xludf.DUMMYFUNCTION("""COMPUTED_VALUE"""),"short")</f>
        <v>short</v>
      </c>
      <c r="N48" s="45">
        <f>IFERROR(__xludf.DUMMYFUNCTION("""COMPUTED_VALUE"""),45121.0)</f>
        <v>45121</v>
      </c>
      <c r="O48" s="45">
        <f>IFERROR(__xludf.DUMMYFUNCTION("""COMPUTED_VALUE"""),45132.0)</f>
        <v>45132</v>
      </c>
      <c r="P48" s="45">
        <f>IFERROR(__xludf.DUMMYFUNCTION("""COMPUTED_VALUE"""),45211.0)</f>
        <v>45211</v>
      </c>
      <c r="Q48" s="45">
        <f>IFERROR(__xludf.DUMMYFUNCTION("""COMPUTED_VALUE"""),45140.0)</f>
        <v>45140</v>
      </c>
      <c r="R48" s="45">
        <f>IFERROR(__xludf.DUMMYFUNCTION("""COMPUTED_VALUE"""),45204.0)</f>
        <v>45204</v>
      </c>
      <c r="S48" s="43"/>
      <c r="T48" s="43"/>
      <c r="U48" s="43" t="str">
        <f>IFERROR(__xludf.DUMMYFUNCTION("""COMPUTED_VALUE"""),"Turkish Language Instructor ")</f>
        <v>Turkish Language Instructor </v>
      </c>
      <c r="V48" s="43" t="str">
        <f>IFERROR(__xludf.DUMMYFUNCTION("""COMPUTED_VALUE"""),"ISTANBUL - BAKIRKOY")</f>
        <v>ISTANBUL - BAKIRKOY</v>
      </c>
      <c r="W48" s="43" t="str">
        <f>IFERROR(__xludf.DUMMYFUNCTION("""COMPUTED_VALUE"""),"2023-06-17T17:31:41Z")</f>
        <v>2023-06-17T17:31:41Z</v>
      </c>
      <c r="X48" s="43"/>
      <c r="Y48" s="43"/>
      <c r="Z48" s="43"/>
    </row>
    <row r="49" hidden="1">
      <c r="A49" s="43" t="str">
        <f>IFERROR(__xludf.DUMMYFUNCTION("""COMPUTED_VALUE"""),"5288716_1296266")</f>
        <v>5288716_1296266</v>
      </c>
      <c r="B49" s="43" t="str">
        <f>IFERROR(__xludf.DUMMYFUNCTION("""COMPUTED_VALUE"""),"Aleyna Büyükgüçlü")</f>
        <v>Aleyna Büyükgüçlü</v>
      </c>
      <c r="C49" s="43" t="str">
        <f>IFERROR(__xludf.DUMMYFUNCTION("""COMPUTED_VALUE"""),"completed")</f>
        <v>completed</v>
      </c>
      <c r="D49" s="43" t="str">
        <f>IFERROR(__xludf.DUMMYFUNCTION("""COMPUTED_VALUE"""),"No")</f>
        <v>No</v>
      </c>
      <c r="E49" s="43" t="str">
        <f>IFERROR(__xludf.DUMMYFUNCTION("""COMPUTED_VALUE"""),"p_e25875d359d16dabbb8b7e9ced595d0d8986289a@inbound.aiesec.org")</f>
        <v>p_e25875d359d16dabbb8b7e9ced595d0d8986289a@inbound.aiesec.org</v>
      </c>
      <c r="F49" s="43">
        <f>IFERROR(__xludf.DUMMYFUNCTION("""COMPUTED_VALUE"""),5.423948128E9)</f>
        <v>5423948128</v>
      </c>
      <c r="G49" s="43" t="str">
        <f>IFERROR(__xludf.DUMMYFUNCTION("""COMPUTED_VALUE"""),"Turkey")</f>
        <v>Turkey</v>
      </c>
      <c r="H49" s="43" t="str">
        <f>IFERROR(__xludf.DUMMYFUNCTION("""COMPUTED_VALUE"""),"ISTANBUL")</f>
        <v>ISTANBUL</v>
      </c>
      <c r="I49" s="43" t="str">
        <f>IFERROR(__xludf.DUMMYFUNCTION("""COMPUTED_VALUE"""),"Egypt")</f>
        <v>Egypt</v>
      </c>
      <c r="J49" s="43" t="str">
        <f>IFERROR(__xludf.DUMMYFUNCTION("""COMPUTED_VALUE"""),"AAST In CAIRO")</f>
        <v>AAST In CAIRO</v>
      </c>
      <c r="K49" s="44" t="str">
        <f>IFERROR(__xludf.DUMMYFUNCTION("""COMPUTED_VALUE"""),"https://expa.aiesec.org/opportunities/1296266")</f>
        <v>https://expa.aiesec.org/opportunities/1296266</v>
      </c>
      <c r="L49" s="43" t="str">
        <f>IFERROR(__xludf.DUMMYFUNCTION("""COMPUTED_VALUE"""),"GTe")</f>
        <v>GTe</v>
      </c>
      <c r="M49" s="43" t="str">
        <f>IFERROR(__xludf.DUMMYFUNCTION("""COMPUTED_VALUE"""),"short")</f>
        <v>short</v>
      </c>
      <c r="N49" s="45">
        <f>IFERROR(__xludf.DUMMYFUNCTION("""COMPUTED_VALUE"""),45142.0)</f>
        <v>45142</v>
      </c>
      <c r="O49" s="45">
        <f>IFERROR(__xludf.DUMMYFUNCTION("""COMPUTED_VALUE"""),45170.0)</f>
        <v>45170</v>
      </c>
      <c r="P49" s="45">
        <f>IFERROR(__xludf.DUMMYFUNCTION("""COMPUTED_VALUE"""),45253.0)</f>
        <v>45253</v>
      </c>
      <c r="Q49" s="45">
        <f>IFERROR(__xludf.DUMMYFUNCTION("""COMPUTED_VALUE"""),45180.0)</f>
        <v>45180</v>
      </c>
      <c r="R49" s="45">
        <f>IFERROR(__xludf.DUMMYFUNCTION("""COMPUTED_VALUE"""),45268.0)</f>
        <v>45268</v>
      </c>
      <c r="S49" s="43"/>
      <c r="T49" s="43"/>
      <c r="U49" s="43" t="str">
        <f>IFERROR(__xludf.DUMMYFUNCTION("""COMPUTED_VALUE"""),"English Teacher")</f>
        <v>English Teacher</v>
      </c>
      <c r="V49" s="43" t="str">
        <f>IFERROR(__xludf.DUMMYFUNCTION("""COMPUTED_VALUE"""),"ISTANBUL - BEYOGLU")</f>
        <v>ISTANBUL - BEYOGLU</v>
      </c>
      <c r="W49" s="43" t="str">
        <f>IFERROR(__xludf.DUMMYFUNCTION("""COMPUTED_VALUE"""),"2023-07-24T10:21:04Z")</f>
        <v>2023-07-24T10:21:04Z</v>
      </c>
      <c r="X49" s="43"/>
      <c r="Y49" s="43"/>
      <c r="Z49" s="43"/>
    </row>
    <row r="50" hidden="1">
      <c r="A50" s="43" t="str">
        <f>IFERROR(__xludf.DUMMYFUNCTION("""COMPUTED_VALUE"""),"5246454_1295292")</f>
        <v>5246454_1295292</v>
      </c>
      <c r="B50" s="43" t="str">
        <f>IFERROR(__xludf.DUMMYFUNCTION("""COMPUTED_VALUE"""),"Erkin Duman")</f>
        <v>Erkin Duman</v>
      </c>
      <c r="C50" s="43" t="str">
        <f>IFERROR(__xludf.DUMMYFUNCTION("""COMPUTED_VALUE"""),"approved")</f>
        <v>approved</v>
      </c>
      <c r="D50" s="43" t="str">
        <f>IFERROR(__xludf.DUMMYFUNCTION("""COMPUTED_VALUE"""),"No")</f>
        <v>No</v>
      </c>
      <c r="E50" s="43" t="str">
        <f>IFERROR(__xludf.DUMMYFUNCTION("""COMPUTED_VALUE"""),"p_5624f6e3c8e422f0f248d6d2aa3827c7ec9e1e08@inbound.aiesec.org")</f>
        <v>p_5624f6e3c8e422f0f248d6d2aa3827c7ec9e1e08@inbound.aiesec.org</v>
      </c>
      <c r="F50" s="43">
        <f>IFERROR(__xludf.DUMMYFUNCTION("""COMPUTED_VALUE"""),5.346375009E9)</f>
        <v>5346375009</v>
      </c>
      <c r="G50" s="43" t="str">
        <f>IFERROR(__xludf.DUMMYFUNCTION("""COMPUTED_VALUE"""),"Turkey")</f>
        <v>Turkey</v>
      </c>
      <c r="H50" s="43" t="str">
        <f>IFERROR(__xludf.DUMMYFUNCTION("""COMPUTED_VALUE"""),"KOCAELI")</f>
        <v>KOCAELI</v>
      </c>
      <c r="I50" s="43" t="str">
        <f>IFERROR(__xludf.DUMMYFUNCTION("""COMPUTED_VALUE"""),"Hong Kong")</f>
        <v>Hong Kong</v>
      </c>
      <c r="J50" s="43" t="str">
        <f>IFERROR(__xludf.DUMMYFUNCTION("""COMPUTED_VALUE"""),"PolyU")</f>
        <v>PolyU</v>
      </c>
      <c r="K50" s="44" t="str">
        <f>IFERROR(__xludf.DUMMYFUNCTION("""COMPUTED_VALUE"""),"https://expa.aiesec.org/opportunities/1295292")</f>
        <v>https://expa.aiesec.org/opportunities/1295292</v>
      </c>
      <c r="L50" s="43" t="str">
        <f>IFERROR(__xludf.DUMMYFUNCTION("""COMPUTED_VALUE"""),"GTe")</f>
        <v>GTe</v>
      </c>
      <c r="M50" s="43" t="str">
        <f>IFERROR(__xludf.DUMMYFUNCTION("""COMPUTED_VALUE"""),"long")</f>
        <v>long</v>
      </c>
      <c r="N50" s="45">
        <f>IFERROR(__xludf.DUMMYFUNCTION("""COMPUTED_VALUE"""),45150.0)</f>
        <v>45150</v>
      </c>
      <c r="O50" s="45">
        <f>IFERROR(__xludf.DUMMYFUNCTION("""COMPUTED_VALUE"""),45173.0)</f>
        <v>45173</v>
      </c>
      <c r="P50" s="45">
        <f>IFERROR(__xludf.DUMMYFUNCTION("""COMPUTED_VALUE"""),45541.0)</f>
        <v>45541</v>
      </c>
      <c r="Q50" s="45"/>
      <c r="R50" s="45"/>
      <c r="S50" s="43"/>
      <c r="T50" s="43"/>
      <c r="U50" s="43" t="str">
        <f>IFERROR(__xludf.DUMMYFUNCTION("""COMPUTED_VALUE"""),"Full Time French Teacher")</f>
        <v>Full Time French Teacher</v>
      </c>
      <c r="V50" s="43" t="str">
        <f>IFERROR(__xludf.DUMMYFUNCTION("""COMPUTED_VALUE"""),"KOCAELI")</f>
        <v>KOCAELI</v>
      </c>
      <c r="W50" s="43" t="str">
        <f>IFERROR(__xludf.DUMMYFUNCTION("""COMPUTED_VALUE"""),"2023-04-20T20:13:44Z")</f>
        <v>2023-04-20T20:13:44Z</v>
      </c>
      <c r="X50" s="43"/>
      <c r="Y50" s="43"/>
      <c r="Z50" s="43"/>
    </row>
    <row r="51" hidden="1">
      <c r="A51" s="43" t="str">
        <f>IFERROR(__xludf.DUMMYFUNCTION("""COMPUTED_VALUE"""),"5302956_1294533")</f>
        <v>5302956_1294533</v>
      </c>
      <c r="B51" s="43" t="str">
        <f>IFERROR(__xludf.DUMMYFUNCTION("""COMPUTED_VALUE"""),"Özge Yıldız")</f>
        <v>Özge Yıldız</v>
      </c>
      <c r="C51" s="43" t="str">
        <f>IFERROR(__xludf.DUMMYFUNCTION("""COMPUTED_VALUE"""),"completed")</f>
        <v>completed</v>
      </c>
      <c r="D51" s="43" t="str">
        <f>IFERROR(__xludf.DUMMYFUNCTION("""COMPUTED_VALUE"""),"No")</f>
        <v>No</v>
      </c>
      <c r="E51" s="43" t="str">
        <f>IFERROR(__xludf.DUMMYFUNCTION("""COMPUTED_VALUE"""),"p_49c7471a1597ebc49af43ee391248eb3fc7a321f@inbound.aiesec.org")</f>
        <v>p_49c7471a1597ebc49af43ee391248eb3fc7a321f@inbound.aiesec.org</v>
      </c>
      <c r="F51" s="43"/>
      <c r="G51" s="43" t="str">
        <f>IFERROR(__xludf.DUMMYFUNCTION("""COMPUTED_VALUE"""),"Turkey")</f>
        <v>Turkey</v>
      </c>
      <c r="H51" s="43" t="str">
        <f>IFERROR(__xludf.DUMMYFUNCTION("""COMPUTED_VALUE"""),"ADANA")</f>
        <v>ADANA</v>
      </c>
      <c r="I51" s="43" t="str">
        <f>IFERROR(__xludf.DUMMYFUNCTION("""COMPUTED_VALUE"""),"VIETNAM")</f>
        <v>VIETNAM</v>
      </c>
      <c r="J51" s="43" t="str">
        <f>IFERROR(__xludf.DUMMYFUNCTION("""COMPUTED_VALUE"""),"FHCMC")</f>
        <v>FHCMC</v>
      </c>
      <c r="K51" s="44" t="str">
        <f>IFERROR(__xludf.DUMMYFUNCTION("""COMPUTED_VALUE"""),"https://expa.aiesec.org/opportunities/1294533")</f>
        <v>https://expa.aiesec.org/opportunities/1294533</v>
      </c>
      <c r="L51" s="43" t="str">
        <f>IFERROR(__xludf.DUMMYFUNCTION("""COMPUTED_VALUE"""),"GTe")</f>
        <v>GTe</v>
      </c>
      <c r="M51" s="43" t="str">
        <f>IFERROR(__xludf.DUMMYFUNCTION("""COMPUTED_VALUE"""),"short")</f>
        <v>short</v>
      </c>
      <c r="N51" s="45">
        <f>IFERROR(__xludf.DUMMYFUNCTION("""COMPUTED_VALUE"""),45164.0)</f>
        <v>45164</v>
      </c>
      <c r="O51" s="45">
        <f>IFERROR(__xludf.DUMMYFUNCTION("""COMPUTED_VALUE"""),45197.0)</f>
        <v>45197</v>
      </c>
      <c r="P51" s="45">
        <f>IFERROR(__xludf.DUMMYFUNCTION("""COMPUTED_VALUE"""),45280.0)</f>
        <v>45280</v>
      </c>
      <c r="Q51" s="45">
        <f>IFERROR(__xludf.DUMMYFUNCTION("""COMPUTED_VALUE"""),45193.0)</f>
        <v>45193</v>
      </c>
      <c r="R51" s="45">
        <f>IFERROR(__xludf.DUMMYFUNCTION("""COMPUTED_VALUE"""),45288.0)</f>
        <v>45288</v>
      </c>
      <c r="S51" s="43"/>
      <c r="T51" s="43"/>
      <c r="U51" s="43" t="str">
        <f>IFERROR(__xludf.DUMMYFUNCTION("""COMPUTED_VALUE"""),"English Teacher")</f>
        <v>English Teacher</v>
      </c>
      <c r="V51" s="43" t="str">
        <f>IFERROR(__xludf.DUMMYFUNCTION("""COMPUTED_VALUE"""),"-")</f>
        <v>-</v>
      </c>
      <c r="W51" s="43" t="str">
        <f>IFERROR(__xludf.DUMMYFUNCTION("""COMPUTED_VALUE"""),"2023-08-15T10:57:10Z")</f>
        <v>2023-08-15T10:57:10Z</v>
      </c>
      <c r="X51" s="43"/>
      <c r="Y51" s="43"/>
      <c r="Z51" s="43"/>
    </row>
    <row r="52" hidden="1">
      <c r="A52" s="43" t="str">
        <f>IFERROR(__xludf.DUMMYFUNCTION("""COMPUTED_VALUE"""),"5311345_1295777")</f>
        <v>5311345_1295777</v>
      </c>
      <c r="B52" s="43" t="str">
        <f>IFERROR(__xludf.DUMMYFUNCTION("""COMPUTED_VALUE"""),"Melike Zeybek")</f>
        <v>Melike Zeybek</v>
      </c>
      <c r="C52" s="43" t="str">
        <f>IFERROR(__xludf.DUMMYFUNCTION("""COMPUTED_VALUE"""),"approved")</f>
        <v>approved</v>
      </c>
      <c r="D52" s="43" t="str">
        <f>IFERROR(__xludf.DUMMYFUNCTION("""COMPUTED_VALUE"""),"No")</f>
        <v>No</v>
      </c>
      <c r="E52" s="43" t="str">
        <f>IFERROR(__xludf.DUMMYFUNCTION("""COMPUTED_VALUE"""),"p_c8ccebc5b6fcc23ae98b7eb71fc4e7af669be2aa@inbound.aiesec.org")</f>
        <v>p_c8ccebc5b6fcc23ae98b7eb71fc4e7af669be2aa@inbound.aiesec.org</v>
      </c>
      <c r="F52" s="43">
        <f>IFERROR(__xludf.DUMMYFUNCTION("""COMPUTED_VALUE"""),5.432809073E9)</f>
        <v>5432809073</v>
      </c>
      <c r="G52" s="43" t="str">
        <f>IFERROR(__xludf.DUMMYFUNCTION("""COMPUTED_VALUE"""),"Turkey")</f>
        <v>Turkey</v>
      </c>
      <c r="H52" s="43" t="str">
        <f>IFERROR(__xludf.DUMMYFUNCTION("""COMPUTED_VALUE"""),"ANKARA")</f>
        <v>ANKARA</v>
      </c>
      <c r="I52" s="43" t="str">
        <f>IFERROR(__xludf.DUMMYFUNCTION("""COMPUTED_VALUE"""),"Tunisia")</f>
        <v>Tunisia</v>
      </c>
      <c r="J52" s="43" t="str">
        <f>IFERROR(__xludf.DUMMYFUNCTION("""COMPUTED_VALUE"""),"UNIVERSITY")</f>
        <v>UNIVERSITY</v>
      </c>
      <c r="K52" s="44" t="str">
        <f>IFERROR(__xludf.DUMMYFUNCTION("""COMPUTED_VALUE"""),"https://expa.aiesec.org/opportunities/1295777")</f>
        <v>https://expa.aiesec.org/opportunities/1295777</v>
      </c>
      <c r="L52" s="43" t="str">
        <f>IFERROR(__xludf.DUMMYFUNCTION("""COMPUTED_VALUE"""),"GTe")</f>
        <v>GTe</v>
      </c>
      <c r="M52" s="43" t="str">
        <f>IFERROR(__xludf.DUMMYFUNCTION("""COMPUTED_VALUE"""),"short")</f>
        <v>short</v>
      </c>
      <c r="N52" s="45">
        <f>IFERROR(__xludf.DUMMYFUNCTION("""COMPUTED_VALUE"""),45187.0)</f>
        <v>45187</v>
      </c>
      <c r="O52" s="45">
        <f>IFERROR(__xludf.DUMMYFUNCTION("""COMPUTED_VALUE"""),45324.0)</f>
        <v>45324</v>
      </c>
      <c r="P52" s="45">
        <f>IFERROR(__xludf.DUMMYFUNCTION("""COMPUTED_VALUE"""),45387.0)</f>
        <v>45387</v>
      </c>
      <c r="Q52" s="45"/>
      <c r="R52" s="45"/>
      <c r="S52" s="43"/>
      <c r="T52" s="43"/>
      <c r="U52" s="43" t="str">
        <f>IFERROR(__xludf.DUMMYFUNCTION("""COMPUTED_VALUE"""),"animatrice / enseigante anglais pour les enfants")</f>
        <v>animatrice / enseigante anglais pour les enfants</v>
      </c>
      <c r="V52" s="43" t="str">
        <f>IFERROR(__xludf.DUMMYFUNCTION("""COMPUTED_VALUE"""),"ESKISEHIR")</f>
        <v>ESKISEHIR</v>
      </c>
      <c r="W52" s="43" t="str">
        <f>IFERROR(__xludf.DUMMYFUNCTION("""COMPUTED_VALUE"""),"2023-08-28T10:29:28Z")</f>
        <v>2023-08-28T10:29:28Z</v>
      </c>
      <c r="X52" s="43"/>
      <c r="Y52" s="43"/>
      <c r="Z52" s="43"/>
    </row>
    <row r="53" hidden="1">
      <c r="A53" s="43" t="str">
        <f>IFERROR(__xludf.DUMMYFUNCTION("""COMPUTED_VALUE"""),"5326714_1295127")</f>
        <v>5326714_1295127</v>
      </c>
      <c r="B53" s="43" t="str">
        <f>IFERROR(__xludf.DUMMYFUNCTION("""COMPUTED_VALUE"""),"Ömer Özçetin")</f>
        <v>Ömer Özçetin</v>
      </c>
      <c r="C53" s="43" t="str">
        <f>IFERROR(__xludf.DUMMYFUNCTION("""COMPUTED_VALUE"""),"approved")</f>
        <v>approved</v>
      </c>
      <c r="D53" s="43" t="str">
        <f>IFERROR(__xludf.DUMMYFUNCTION("""COMPUTED_VALUE"""),"No")</f>
        <v>No</v>
      </c>
      <c r="E53" s="43" t="str">
        <f>IFERROR(__xludf.DUMMYFUNCTION("""COMPUTED_VALUE"""),"p_5a412c183d9c8bb868914b9e30d6b032c9561d69@inbound.aiesec.org")</f>
        <v>p_5a412c183d9c8bb868914b9e30d6b032c9561d69@inbound.aiesec.org</v>
      </c>
      <c r="F53" s="43">
        <f>IFERROR(__xludf.DUMMYFUNCTION("""COMPUTED_VALUE"""),5.309290759E9)</f>
        <v>5309290759</v>
      </c>
      <c r="G53" s="43" t="str">
        <f>IFERROR(__xludf.DUMMYFUNCTION("""COMPUTED_VALUE"""),"Turkey")</f>
        <v>Turkey</v>
      </c>
      <c r="H53" s="43" t="str">
        <f>IFERROR(__xludf.DUMMYFUNCTION("""COMPUTED_VALUE"""),"ANKARA")</f>
        <v>ANKARA</v>
      </c>
      <c r="I53" s="43" t="str">
        <f>IFERROR(__xludf.DUMMYFUNCTION("""COMPUTED_VALUE"""),"India")</f>
        <v>India</v>
      </c>
      <c r="J53" s="43" t="str">
        <f>IFERROR(__xludf.DUMMYFUNCTION("""COMPUTED_VALUE"""),"Jodhpur")</f>
        <v>Jodhpur</v>
      </c>
      <c r="K53" s="44" t="str">
        <f>IFERROR(__xludf.DUMMYFUNCTION("""COMPUTED_VALUE"""),"https://expa.aiesec.org/opportunities/1295127")</f>
        <v>https://expa.aiesec.org/opportunities/1295127</v>
      </c>
      <c r="L53" s="43" t="str">
        <f>IFERROR(__xludf.DUMMYFUNCTION("""COMPUTED_VALUE"""),"GTe")</f>
        <v>GTe</v>
      </c>
      <c r="M53" s="43" t="str">
        <f>IFERROR(__xludf.DUMMYFUNCTION("""COMPUTED_VALUE"""),"long")</f>
        <v>long</v>
      </c>
      <c r="N53" s="45">
        <f>IFERROR(__xludf.DUMMYFUNCTION("""COMPUTED_VALUE"""),45188.0)</f>
        <v>45188</v>
      </c>
      <c r="O53" s="45">
        <f>IFERROR(__xludf.DUMMYFUNCTION("""COMPUTED_VALUE"""),45474.0)</f>
        <v>45474</v>
      </c>
      <c r="P53" s="45">
        <f>IFERROR(__xludf.DUMMYFUNCTION("""COMPUTED_VALUE"""),45747.0)</f>
        <v>45747</v>
      </c>
      <c r="Q53" s="45"/>
      <c r="R53" s="45"/>
      <c r="S53" s="43"/>
      <c r="T53" s="43"/>
      <c r="U53" s="43" t="str">
        <f>IFERROR(__xludf.DUMMYFUNCTION("""COMPUTED_VALUE"""),"English Teaching")</f>
        <v>English Teaching</v>
      </c>
      <c r="V53" s="43" t="str">
        <f>IFERROR(__xludf.DUMMYFUNCTION("""COMPUTED_VALUE"""),"ANKARA")</f>
        <v>ANKARA</v>
      </c>
      <c r="W53" s="43" t="str">
        <f>IFERROR(__xludf.DUMMYFUNCTION("""COMPUTED_VALUE"""),"2023-09-18T14:34:37Z")</f>
        <v>2023-09-18T14:34:37Z</v>
      </c>
      <c r="X53" s="43"/>
      <c r="Y53" s="43"/>
      <c r="Z53" s="43"/>
    </row>
    <row r="54" hidden="1">
      <c r="A54" s="43" t="str">
        <f>IFERROR(__xludf.DUMMYFUNCTION("""COMPUTED_VALUE"""),"5323675_1289470")</f>
        <v>5323675_1289470</v>
      </c>
      <c r="B54" s="43" t="str">
        <f>IFERROR(__xludf.DUMMYFUNCTION("""COMPUTED_VALUE"""),"şule böyükkoç")</f>
        <v>şule böyükkoç</v>
      </c>
      <c r="C54" s="43" t="str">
        <f>IFERROR(__xludf.DUMMYFUNCTION("""COMPUTED_VALUE"""),"approved")</f>
        <v>approved</v>
      </c>
      <c r="D54" s="43" t="str">
        <f>IFERROR(__xludf.DUMMYFUNCTION("""COMPUTED_VALUE"""),"No")</f>
        <v>No</v>
      </c>
      <c r="E54" s="43" t="str">
        <f>IFERROR(__xludf.DUMMYFUNCTION("""COMPUTED_VALUE"""),"p_c45e47ce4cefb0a5209ba2dda0e72da81da3d59d@inbound.aiesec.org")</f>
        <v>p_c45e47ce4cefb0a5209ba2dda0e72da81da3d59d@inbound.aiesec.org</v>
      </c>
      <c r="F54" s="43"/>
      <c r="G54" s="43" t="str">
        <f>IFERROR(__xludf.DUMMYFUNCTION("""COMPUTED_VALUE"""),"Turkey")</f>
        <v>Turkey</v>
      </c>
      <c r="H54" s="43" t="str">
        <f>IFERROR(__xludf.DUMMYFUNCTION("""COMPUTED_VALUE"""),"İZMİR")</f>
        <v>İZMİR</v>
      </c>
      <c r="I54" s="43" t="str">
        <f>IFERROR(__xludf.DUMMYFUNCTION("""COMPUTED_VALUE"""),"India")</f>
        <v>India</v>
      </c>
      <c r="J54" s="43" t="str">
        <f>IFERROR(__xludf.DUMMYFUNCTION("""COMPUTED_VALUE"""),"Indore")</f>
        <v>Indore</v>
      </c>
      <c r="K54" s="44" t="str">
        <f>IFERROR(__xludf.DUMMYFUNCTION("""COMPUTED_VALUE"""),"https://expa.aiesec.org/opportunities/1289470")</f>
        <v>https://expa.aiesec.org/opportunities/1289470</v>
      </c>
      <c r="L54" s="43" t="str">
        <f>IFERROR(__xludf.DUMMYFUNCTION("""COMPUTED_VALUE"""),"GTe")</f>
        <v>GTe</v>
      </c>
      <c r="M54" s="43" t="str">
        <f>IFERROR(__xludf.DUMMYFUNCTION("""COMPUTED_VALUE"""),"medium")</f>
        <v>medium</v>
      </c>
      <c r="N54" s="45">
        <f>IFERROR(__xludf.DUMMYFUNCTION("""COMPUTED_VALUE"""),45190.0)</f>
        <v>45190</v>
      </c>
      <c r="O54" s="45">
        <f>IFERROR(__xludf.DUMMYFUNCTION("""COMPUTED_VALUE"""),45214.0)</f>
        <v>45214</v>
      </c>
      <c r="P54" s="45">
        <f>IFERROR(__xludf.DUMMYFUNCTION("""COMPUTED_VALUE"""),45305.0)</f>
        <v>45305</v>
      </c>
      <c r="Q54" s="45"/>
      <c r="R54" s="45"/>
      <c r="S54" s="43"/>
      <c r="T54" s="43"/>
      <c r="U54" s="43" t="str">
        <f>IFERROR(__xludf.DUMMYFUNCTION("""COMPUTED_VALUE"""),"Pre-primary English Teacher")</f>
        <v>Pre-primary English Teacher</v>
      </c>
      <c r="V54" s="43" t="str">
        <f>IFERROR(__xludf.DUMMYFUNCTION("""COMPUTED_VALUE"""),"-")</f>
        <v>-</v>
      </c>
      <c r="W54" s="43" t="str">
        <f>IFERROR(__xludf.DUMMYFUNCTION("""COMPUTED_VALUE"""),"2023-09-14T08:03:37Z")</f>
        <v>2023-09-14T08:03:37Z</v>
      </c>
      <c r="X54" s="43"/>
      <c r="Y54" s="43"/>
      <c r="Z54" s="43"/>
    </row>
    <row r="55" hidden="1">
      <c r="A55" s="43" t="str">
        <f>IFERROR(__xludf.DUMMYFUNCTION("""COMPUTED_VALUE"""),"5288418_1289467")</f>
        <v>5288418_1289467</v>
      </c>
      <c r="B55" s="43" t="str">
        <f>IFERROR(__xludf.DUMMYFUNCTION("""COMPUTED_VALUE"""),"şeyda Büyükkoç")</f>
        <v>şeyda Büyükkoç</v>
      </c>
      <c r="C55" s="43" t="str">
        <f>IFERROR(__xludf.DUMMYFUNCTION("""COMPUTED_VALUE"""),"realization_broken")</f>
        <v>realization_broken</v>
      </c>
      <c r="D55" s="43" t="str">
        <f>IFERROR(__xludf.DUMMYFUNCTION("""COMPUTED_VALUE"""),"No")</f>
        <v>No</v>
      </c>
      <c r="E55" s="43" t="str">
        <f>IFERROR(__xludf.DUMMYFUNCTION("""COMPUTED_VALUE"""),"p_8584cca300b358fcd709de371ae7d67eb0c866bd@inbound.aiesec.org")</f>
        <v>p_8584cca300b358fcd709de371ae7d67eb0c866bd@inbound.aiesec.org</v>
      </c>
      <c r="F55" s="43"/>
      <c r="G55" s="43" t="str">
        <f>IFERROR(__xludf.DUMMYFUNCTION("""COMPUTED_VALUE"""),"Turkey")</f>
        <v>Turkey</v>
      </c>
      <c r="H55" s="43" t="str">
        <f>IFERROR(__xludf.DUMMYFUNCTION("""COMPUTED_VALUE"""),"İZMİR")</f>
        <v>İZMİR</v>
      </c>
      <c r="I55" s="43" t="str">
        <f>IFERROR(__xludf.DUMMYFUNCTION("""COMPUTED_VALUE"""),"India")</f>
        <v>India</v>
      </c>
      <c r="J55" s="43" t="str">
        <f>IFERROR(__xludf.DUMMYFUNCTION("""COMPUTED_VALUE"""),"Indore")</f>
        <v>Indore</v>
      </c>
      <c r="K55" s="44" t="str">
        <f>IFERROR(__xludf.DUMMYFUNCTION("""COMPUTED_VALUE"""),"https://expa.aiesec.org/opportunities/1289467")</f>
        <v>https://expa.aiesec.org/opportunities/1289467</v>
      </c>
      <c r="L55" s="43" t="str">
        <f>IFERROR(__xludf.DUMMYFUNCTION("""COMPUTED_VALUE"""),"GTe")</f>
        <v>GTe</v>
      </c>
      <c r="M55" s="43" t="str">
        <f>IFERROR(__xludf.DUMMYFUNCTION("""COMPUTED_VALUE"""),"medium")</f>
        <v>medium</v>
      </c>
      <c r="N55" s="45">
        <f>IFERROR(__xludf.DUMMYFUNCTION("""COMPUTED_VALUE"""),45190.0)</f>
        <v>45190</v>
      </c>
      <c r="O55" s="45">
        <f>IFERROR(__xludf.DUMMYFUNCTION("""COMPUTED_VALUE"""),45214.0)</f>
        <v>45214</v>
      </c>
      <c r="P55" s="45">
        <f>IFERROR(__xludf.DUMMYFUNCTION("""COMPUTED_VALUE"""),45311.0)</f>
        <v>45311</v>
      </c>
      <c r="Q55" s="45"/>
      <c r="R55" s="45"/>
      <c r="S55" s="43"/>
      <c r="T55" s="43"/>
      <c r="U55" s="43" t="str">
        <f>IFERROR(__xludf.DUMMYFUNCTION("""COMPUTED_VALUE"""),"Primary English Teacher")</f>
        <v>Primary English Teacher</v>
      </c>
      <c r="V55" s="43" t="str">
        <f>IFERROR(__xludf.DUMMYFUNCTION("""COMPUTED_VALUE"""),"-")</f>
        <v>-</v>
      </c>
      <c r="W55" s="43" t="str">
        <f>IFERROR(__xludf.DUMMYFUNCTION("""COMPUTED_VALUE"""),"2023-07-23T11:48:05Z")</f>
        <v>2023-07-23T11:48:05Z</v>
      </c>
      <c r="X55" s="43"/>
      <c r="Y55" s="43"/>
      <c r="Z55" s="43"/>
    </row>
    <row r="56" hidden="1">
      <c r="A56" s="43" t="str">
        <f>IFERROR(__xludf.DUMMYFUNCTION("""COMPUTED_VALUE"""),"5333173_1287132")</f>
        <v>5333173_1287132</v>
      </c>
      <c r="B56" s="43" t="str">
        <f>IFERROR(__xludf.DUMMYFUNCTION("""COMPUTED_VALUE"""),"ajmal amani")</f>
        <v>ajmal amani</v>
      </c>
      <c r="C56" s="43" t="str">
        <f>IFERROR(__xludf.DUMMYFUNCTION("""COMPUTED_VALUE"""),"approved")</f>
        <v>approved</v>
      </c>
      <c r="D56" s="43" t="str">
        <f>IFERROR(__xludf.DUMMYFUNCTION("""COMPUTED_VALUE"""),"No")</f>
        <v>No</v>
      </c>
      <c r="E56" s="43" t="str">
        <f>IFERROR(__xludf.DUMMYFUNCTION("""COMPUTED_VALUE"""),"p_84186f81a0a5764e22f2d45231004b375df09343@inbound.aiesec.org")</f>
        <v>p_84186f81a0a5764e22f2d45231004b375df09343@inbound.aiesec.org</v>
      </c>
      <c r="F56" s="43"/>
      <c r="G56" s="43" t="str">
        <f>IFERROR(__xludf.DUMMYFUNCTION("""COMPUTED_VALUE"""),"Turkey")</f>
        <v>Turkey</v>
      </c>
      <c r="H56" s="43" t="str">
        <f>IFERROR(__xludf.DUMMYFUNCTION("""COMPUTED_VALUE"""),"ISTANBUL WEST")</f>
        <v>ISTANBUL WEST</v>
      </c>
      <c r="I56" s="43" t="str">
        <f>IFERROR(__xludf.DUMMYFUNCTION("""COMPUTED_VALUE"""),"Egypt")</f>
        <v>Egypt</v>
      </c>
      <c r="J56" s="43" t="str">
        <f>IFERROR(__xludf.DUMMYFUNCTION("""COMPUTED_VALUE"""),"Menofia")</f>
        <v>Menofia</v>
      </c>
      <c r="K56" s="44" t="str">
        <f>IFERROR(__xludf.DUMMYFUNCTION("""COMPUTED_VALUE"""),"https://expa.aiesec.org/opportunities/1287132")</f>
        <v>https://expa.aiesec.org/opportunities/1287132</v>
      </c>
      <c r="L56" s="43" t="str">
        <f>IFERROR(__xludf.DUMMYFUNCTION("""COMPUTED_VALUE"""),"GTe")</f>
        <v>GTe</v>
      </c>
      <c r="M56" s="43" t="str">
        <f>IFERROR(__xludf.DUMMYFUNCTION("""COMPUTED_VALUE"""),"short")</f>
        <v>short</v>
      </c>
      <c r="N56" s="45">
        <f>IFERROR(__xludf.DUMMYFUNCTION("""COMPUTED_VALUE"""),45195.0)</f>
        <v>45195</v>
      </c>
      <c r="O56" s="45">
        <f>IFERROR(__xludf.DUMMYFUNCTION("""COMPUTED_VALUE"""),45330.0)</f>
        <v>45330</v>
      </c>
      <c r="P56" s="45">
        <f>IFERROR(__xludf.DUMMYFUNCTION("""COMPUTED_VALUE"""),45393.0)</f>
        <v>45393</v>
      </c>
      <c r="Q56" s="45"/>
      <c r="R56" s="45"/>
      <c r="S56" s="43"/>
      <c r="T56" s="43"/>
      <c r="U56" s="43" t="str">
        <f>IFERROR(__xludf.DUMMYFUNCTION("""COMPUTED_VALUE"""),"English Teacher at EGYPT ( Menofia )")</f>
        <v>English Teacher at EGYPT ( Menofia )</v>
      </c>
      <c r="V56" s="43" t="str">
        <f>IFERROR(__xludf.DUMMYFUNCTION("""COMPUTED_VALUE"""),"-")</f>
        <v>-</v>
      </c>
      <c r="W56" s="43" t="str">
        <f>IFERROR(__xludf.DUMMYFUNCTION("""COMPUTED_VALUE"""),"2023-09-26T08:20:02Z")</f>
        <v>2023-09-26T08:20:02Z</v>
      </c>
      <c r="X56" s="43"/>
      <c r="Y56" s="43"/>
      <c r="Z56" s="43"/>
    </row>
    <row r="57" hidden="1">
      <c r="A57" s="43" t="str">
        <f>IFERROR(__xludf.DUMMYFUNCTION("""COMPUTED_VALUE"""),"5336045_1285088")</f>
        <v>5336045_1285088</v>
      </c>
      <c r="B57" s="43" t="str">
        <f>IFERROR(__xludf.DUMMYFUNCTION("""COMPUTED_VALUE"""),"Berre Tank")</f>
        <v>Berre Tank</v>
      </c>
      <c r="C57" s="43" t="str">
        <f>IFERROR(__xludf.DUMMYFUNCTION("""COMPUTED_VALUE"""),"approved")</f>
        <v>approved</v>
      </c>
      <c r="D57" s="43" t="str">
        <f>IFERROR(__xludf.DUMMYFUNCTION("""COMPUTED_VALUE"""),"No")</f>
        <v>No</v>
      </c>
      <c r="E57" s="43" t="str">
        <f>IFERROR(__xludf.DUMMYFUNCTION("""COMPUTED_VALUE"""),"p_3a8e1fa6a0255f0ab80955c2663170e16f859c06@inbound.aiesec.org")</f>
        <v>p_3a8e1fa6a0255f0ab80955c2663170e16f859c06@inbound.aiesec.org</v>
      </c>
      <c r="F57" s="43">
        <f>IFERROR(__xludf.DUMMYFUNCTION("""COMPUTED_VALUE"""),5.322891205E9)</f>
        <v>5322891205</v>
      </c>
      <c r="G57" s="43" t="str">
        <f>IFERROR(__xludf.DUMMYFUNCTION("""COMPUTED_VALUE"""),"Turkey")</f>
        <v>Turkey</v>
      </c>
      <c r="H57" s="43" t="str">
        <f>IFERROR(__xludf.DUMMYFUNCTION("""COMPUTED_VALUE"""),"ISTANBUL WEST")</f>
        <v>ISTANBUL WEST</v>
      </c>
      <c r="I57" s="43" t="str">
        <f>IFERROR(__xludf.DUMMYFUNCTION("""COMPUTED_VALUE"""),"Egypt")</f>
        <v>Egypt</v>
      </c>
      <c r="J57" s="43" t="str">
        <f>IFERROR(__xludf.DUMMYFUNCTION("""COMPUTED_VALUE"""),"Menofia")</f>
        <v>Menofia</v>
      </c>
      <c r="K57" s="44" t="str">
        <f>IFERROR(__xludf.DUMMYFUNCTION("""COMPUTED_VALUE"""),"https://expa.aiesec.org/opportunities/1285088")</f>
        <v>https://expa.aiesec.org/opportunities/1285088</v>
      </c>
      <c r="L57" s="43" t="str">
        <f>IFERROR(__xludf.DUMMYFUNCTION("""COMPUTED_VALUE"""),"GTe")</f>
        <v>GTe</v>
      </c>
      <c r="M57" s="43" t="str">
        <f>IFERROR(__xludf.DUMMYFUNCTION("""COMPUTED_VALUE"""),"short")</f>
        <v>short</v>
      </c>
      <c r="N57" s="45">
        <f>IFERROR(__xludf.DUMMYFUNCTION("""COMPUTED_VALUE"""),45197.0)</f>
        <v>45197</v>
      </c>
      <c r="O57" s="45">
        <f>IFERROR(__xludf.DUMMYFUNCTION("""COMPUTED_VALUE"""),45474.0)</f>
        <v>45474</v>
      </c>
      <c r="P57" s="45">
        <f>IFERROR(__xludf.DUMMYFUNCTION("""COMPUTED_VALUE"""),45537.0)</f>
        <v>45537</v>
      </c>
      <c r="Q57" s="45"/>
      <c r="R57" s="45"/>
      <c r="S57" s="43"/>
      <c r="T57" s="43"/>
      <c r="U57" s="43" t="str">
        <f>IFERROR(__xludf.DUMMYFUNCTION("""COMPUTED_VALUE"""),"Maths Teacher in Menofia ")</f>
        <v>Maths Teacher in Menofia </v>
      </c>
      <c r="V57" s="43" t="str">
        <f>IFERROR(__xludf.DUMMYFUNCTION("""COMPUTED_VALUE"""),"ISTANBUL - BAKIRKOY")</f>
        <v>ISTANBUL - BAKIRKOY</v>
      </c>
      <c r="W57" s="43" t="str">
        <f>IFERROR(__xludf.DUMMYFUNCTION("""COMPUTED_VALUE"""),"2023-09-28T10:01:12Z")</f>
        <v>2023-09-28T10:01:12Z</v>
      </c>
      <c r="X57" s="43"/>
      <c r="Y57" s="43"/>
      <c r="Z57" s="43"/>
    </row>
    <row r="58" hidden="1">
      <c r="A58" s="43" t="str">
        <f>IFERROR(__xludf.DUMMYFUNCTION("""COMPUTED_VALUE"""),"5330527_1298598")</f>
        <v>5330527_1298598</v>
      </c>
      <c r="B58" s="43" t="str">
        <f>IFERROR(__xludf.DUMMYFUNCTION("""COMPUTED_VALUE"""),"HACER TİLKİ")</f>
        <v>HACER TİLKİ</v>
      </c>
      <c r="C58" s="43" t="str">
        <f>IFERROR(__xludf.DUMMYFUNCTION("""COMPUTED_VALUE"""),"realized")</f>
        <v>realized</v>
      </c>
      <c r="D58" s="43" t="str">
        <f>IFERROR(__xludf.DUMMYFUNCTION("""COMPUTED_VALUE"""),"No")</f>
        <v>No</v>
      </c>
      <c r="E58" s="43" t="str">
        <f>IFERROR(__xludf.DUMMYFUNCTION("""COMPUTED_VALUE"""),"p_dd8674965a5ad9d4672aabb29cad82e4dcaa59e2@inbound.aiesec.org")</f>
        <v>p_dd8674965a5ad9d4672aabb29cad82e4dcaa59e2@inbound.aiesec.org</v>
      </c>
      <c r="F58" s="43">
        <f>IFERROR(__xludf.DUMMYFUNCTION("""COMPUTED_VALUE"""),5.310861616E9)</f>
        <v>5310861616</v>
      </c>
      <c r="G58" s="43" t="str">
        <f>IFERROR(__xludf.DUMMYFUNCTION("""COMPUTED_VALUE"""),"Turkey")</f>
        <v>Turkey</v>
      </c>
      <c r="H58" s="43" t="str">
        <f>IFERROR(__xludf.DUMMYFUNCTION("""COMPUTED_VALUE"""),"TRABZON")</f>
        <v>TRABZON</v>
      </c>
      <c r="I58" s="43" t="str">
        <f>IFERROR(__xludf.DUMMYFUNCTION("""COMPUTED_VALUE"""),"India")</f>
        <v>India</v>
      </c>
      <c r="J58" s="43" t="str">
        <f>IFERROR(__xludf.DUMMYFUNCTION("""COMPUTED_VALUE"""),"Chandigarh")</f>
        <v>Chandigarh</v>
      </c>
      <c r="K58" s="44" t="str">
        <f>IFERROR(__xludf.DUMMYFUNCTION("""COMPUTED_VALUE"""),"https://expa.aiesec.org/opportunities/1298598")</f>
        <v>https://expa.aiesec.org/opportunities/1298598</v>
      </c>
      <c r="L58" s="43" t="str">
        <f>IFERROR(__xludf.DUMMYFUNCTION("""COMPUTED_VALUE"""),"GTe")</f>
        <v>GTe</v>
      </c>
      <c r="M58" s="43" t="str">
        <f>IFERROR(__xludf.DUMMYFUNCTION("""COMPUTED_VALUE"""),"long")</f>
        <v>long</v>
      </c>
      <c r="N58" s="45">
        <f>IFERROR(__xludf.DUMMYFUNCTION("""COMPUTED_VALUE"""),45198.0)</f>
        <v>45198</v>
      </c>
      <c r="O58" s="45">
        <f>IFERROR(__xludf.DUMMYFUNCTION("""COMPUTED_VALUE"""),45229.0)</f>
        <v>45229</v>
      </c>
      <c r="P58" s="45">
        <f>IFERROR(__xludf.DUMMYFUNCTION("""COMPUTED_VALUE"""),45595.0)</f>
        <v>45595</v>
      </c>
      <c r="Q58" s="45">
        <f>IFERROR(__xludf.DUMMYFUNCTION("""COMPUTED_VALUE"""),45229.0)</f>
        <v>45229</v>
      </c>
      <c r="R58" s="45">
        <f>IFERROR(__xludf.DUMMYFUNCTION("""COMPUTED_VALUE"""),45595.0)</f>
        <v>45595</v>
      </c>
      <c r="S58" s="43"/>
      <c r="T58" s="43"/>
      <c r="U58" s="43" t="str">
        <f>IFERROR(__xludf.DUMMYFUNCTION("""COMPUTED_VALUE"""),"Instructor")</f>
        <v>Instructor</v>
      </c>
      <c r="V58" s="43" t="str">
        <f>IFERROR(__xludf.DUMMYFUNCTION("""COMPUTED_VALUE"""),"TRABZON")</f>
        <v>TRABZON</v>
      </c>
      <c r="W58" s="43" t="str">
        <f>IFERROR(__xludf.DUMMYFUNCTION("""COMPUTED_VALUE"""),"2023-09-23T11:56:37Z")</f>
        <v>2023-09-23T11:56:37Z</v>
      </c>
      <c r="X58" s="43"/>
      <c r="Y58" s="43"/>
      <c r="Z58" s="43"/>
    </row>
    <row r="59" hidden="1">
      <c r="A59" s="43" t="str">
        <f>IFERROR(__xludf.DUMMYFUNCTION("""COMPUTED_VALUE"""),"5343788_1293192")</f>
        <v>5343788_1293192</v>
      </c>
      <c r="B59" s="43" t="str">
        <f>IFERROR(__xludf.DUMMYFUNCTION("""COMPUTED_VALUE"""),"Berkay Ozdemir")</f>
        <v>Berkay Ozdemir</v>
      </c>
      <c r="C59" s="43" t="str">
        <f>IFERROR(__xludf.DUMMYFUNCTION("""COMPUTED_VALUE"""),"approved")</f>
        <v>approved</v>
      </c>
      <c r="D59" s="43" t="str">
        <f>IFERROR(__xludf.DUMMYFUNCTION("""COMPUTED_VALUE"""),"No")</f>
        <v>No</v>
      </c>
      <c r="E59" s="43" t="str">
        <f>IFERROR(__xludf.DUMMYFUNCTION("""COMPUTED_VALUE"""),"p_0a5cfd4442bf99ca8e45f14412db2d8fe55e851b@inbound.aiesec.org")</f>
        <v>p_0a5cfd4442bf99ca8e45f14412db2d8fe55e851b@inbound.aiesec.org</v>
      </c>
      <c r="F59" s="43">
        <f>IFERROR(__xludf.DUMMYFUNCTION("""COMPUTED_VALUE"""),5.070787542E9)</f>
        <v>5070787542</v>
      </c>
      <c r="G59" s="43" t="str">
        <f>IFERROR(__xludf.DUMMYFUNCTION("""COMPUTED_VALUE"""),"Turkey")</f>
        <v>Turkey</v>
      </c>
      <c r="H59" s="43" t="str">
        <f>IFERROR(__xludf.DUMMYFUNCTION("""COMPUTED_VALUE"""),"ISTANBUL WEST")</f>
        <v>ISTANBUL WEST</v>
      </c>
      <c r="I59" s="43" t="str">
        <f>IFERROR(__xludf.DUMMYFUNCTION("""COMPUTED_VALUE"""),"Egypt")</f>
        <v>Egypt</v>
      </c>
      <c r="J59" s="43" t="str">
        <f>IFERROR(__xludf.DUMMYFUNCTION("""COMPUTED_VALUE"""),"Menofia")</f>
        <v>Menofia</v>
      </c>
      <c r="K59" s="44" t="str">
        <f>IFERROR(__xludf.DUMMYFUNCTION("""COMPUTED_VALUE"""),"https://expa.aiesec.org/opportunities/1293192")</f>
        <v>https://expa.aiesec.org/opportunities/1293192</v>
      </c>
      <c r="L59" s="43" t="str">
        <f>IFERROR(__xludf.DUMMYFUNCTION("""COMPUTED_VALUE"""),"GTe")</f>
        <v>GTe</v>
      </c>
      <c r="M59" s="43" t="str">
        <f>IFERROR(__xludf.DUMMYFUNCTION("""COMPUTED_VALUE"""),"medium")</f>
        <v>medium</v>
      </c>
      <c r="N59" s="45">
        <f>IFERROR(__xludf.DUMMYFUNCTION("""COMPUTED_VALUE"""),45205.0)</f>
        <v>45205</v>
      </c>
      <c r="O59" s="45">
        <f>IFERROR(__xludf.DUMMYFUNCTION("""COMPUTED_VALUE"""),45474.0)</f>
        <v>45474</v>
      </c>
      <c r="P59" s="45">
        <f>IFERROR(__xludf.DUMMYFUNCTION("""COMPUTED_VALUE"""),45654.0)</f>
        <v>45654</v>
      </c>
      <c r="Q59" s="45"/>
      <c r="R59" s="45"/>
      <c r="S59" s="43"/>
      <c r="T59" s="43"/>
      <c r="U59" s="43" t="str">
        <f>IFERROR(__xludf.DUMMYFUNCTION("""COMPUTED_VALUE"""),"English Teacher in Menofia ")</f>
        <v>English Teacher in Menofia </v>
      </c>
      <c r="V59" s="43" t="str">
        <f>IFERROR(__xludf.DUMMYFUNCTION("""COMPUTED_VALUE"""),"ISTANBUL - BAKIRKOY")</f>
        <v>ISTANBUL - BAKIRKOY</v>
      </c>
      <c r="W59" s="43" t="str">
        <f>IFERROR(__xludf.DUMMYFUNCTION("""COMPUTED_VALUE"""),"2023-10-06T11:01:17Z")</f>
        <v>2023-10-06T11:01:17Z</v>
      </c>
      <c r="X59" s="43"/>
      <c r="Y59" s="43"/>
      <c r="Z59" s="43"/>
    </row>
    <row r="60" hidden="1">
      <c r="A60" s="43" t="str">
        <f>IFERROR(__xludf.DUMMYFUNCTION("""COMPUTED_VALUE"""),"4693788_1292695")</f>
        <v>4693788_1292695</v>
      </c>
      <c r="B60" s="43" t="str">
        <f>IFERROR(__xludf.DUMMYFUNCTION("""COMPUTED_VALUE"""),"Beyza İrem ASLAN")</f>
        <v>Beyza İrem ASLAN</v>
      </c>
      <c r="C60" s="43" t="str">
        <f>IFERROR(__xludf.DUMMYFUNCTION("""COMPUTED_VALUE"""),"finished")</f>
        <v>finished</v>
      </c>
      <c r="D60" s="43" t="str">
        <f>IFERROR(__xludf.DUMMYFUNCTION("""COMPUTED_VALUE"""),"No")</f>
        <v>No</v>
      </c>
      <c r="E60" s="43" t="str">
        <f>IFERROR(__xludf.DUMMYFUNCTION("""COMPUTED_VALUE"""),"p_102c2359dd64c521a995a818ac751cca764c1ae8@inbound.aiesec.org")</f>
        <v>p_102c2359dd64c521a995a818ac751cca764c1ae8@inbound.aiesec.org</v>
      </c>
      <c r="F60" s="43">
        <f>IFERROR(__xludf.DUMMYFUNCTION("""COMPUTED_VALUE"""),5.061438168E9)</f>
        <v>5061438168</v>
      </c>
      <c r="G60" s="43" t="str">
        <f>IFERROR(__xludf.DUMMYFUNCTION("""COMPUTED_VALUE"""),"Turkey")</f>
        <v>Turkey</v>
      </c>
      <c r="H60" s="43" t="str">
        <f>IFERROR(__xludf.DUMMYFUNCTION("""COMPUTED_VALUE"""),"SAKARYA")</f>
        <v>SAKARYA</v>
      </c>
      <c r="I60" s="43" t="str">
        <f>IFERROR(__xludf.DUMMYFUNCTION("""COMPUTED_VALUE"""),"Tunisia")</f>
        <v>Tunisia</v>
      </c>
      <c r="J60" s="43" t="str">
        <f>IFERROR(__xludf.DUMMYFUNCTION("""COMPUTED_VALUE"""),"UNIVERSITY")</f>
        <v>UNIVERSITY</v>
      </c>
      <c r="K60" s="44" t="str">
        <f>IFERROR(__xludf.DUMMYFUNCTION("""COMPUTED_VALUE"""),"https://expa.aiesec.org/opportunities/1292695")</f>
        <v>https://expa.aiesec.org/opportunities/1292695</v>
      </c>
      <c r="L60" s="43" t="str">
        <f>IFERROR(__xludf.DUMMYFUNCTION("""COMPUTED_VALUE"""),"GTe")</f>
        <v>GTe</v>
      </c>
      <c r="M60" s="43" t="str">
        <f>IFERROR(__xludf.DUMMYFUNCTION("""COMPUTED_VALUE"""),"short")</f>
        <v>short</v>
      </c>
      <c r="N60" s="45">
        <f>IFERROR(__xludf.DUMMYFUNCTION("""COMPUTED_VALUE"""),45208.0)</f>
        <v>45208</v>
      </c>
      <c r="O60" s="45">
        <f>IFERROR(__xludf.DUMMYFUNCTION("""COMPUTED_VALUE"""),45240.0)</f>
        <v>45240</v>
      </c>
      <c r="P60" s="45">
        <f>IFERROR(__xludf.DUMMYFUNCTION("""COMPUTED_VALUE"""),45303.0)</f>
        <v>45303</v>
      </c>
      <c r="Q60" s="45">
        <f>IFERROR(__xludf.DUMMYFUNCTION("""COMPUTED_VALUE"""),45226.0)</f>
        <v>45226</v>
      </c>
      <c r="R60" s="45">
        <f>IFERROR(__xludf.DUMMYFUNCTION("""COMPUTED_VALUE"""),45303.0)</f>
        <v>45303</v>
      </c>
      <c r="S60" s="43"/>
      <c r="T60" s="43"/>
      <c r="U60" s="43" t="str">
        <f>IFERROR(__xludf.DUMMYFUNCTION("""COMPUTED_VALUE"""),"English teacher ")</f>
        <v>English teacher </v>
      </c>
      <c r="V60" s="43" t="str">
        <f>IFERROR(__xludf.DUMMYFUNCTION("""COMPUTED_VALUE"""),"KUTAHYA")</f>
        <v>KUTAHYA</v>
      </c>
      <c r="W60" s="43" t="str">
        <f>IFERROR(__xludf.DUMMYFUNCTION("""COMPUTED_VALUE"""),"2021-07-20T12:38:18Z")</f>
        <v>2021-07-20T12:38:18Z</v>
      </c>
      <c r="X60" s="43"/>
      <c r="Y60" s="43"/>
      <c r="Z60" s="43"/>
    </row>
    <row r="61" hidden="1">
      <c r="A61" s="43" t="str">
        <f>IFERROR(__xludf.DUMMYFUNCTION("""COMPUTED_VALUE"""),"5183539_1288155")</f>
        <v>5183539_1288155</v>
      </c>
      <c r="B61" s="43" t="str">
        <f>IFERROR(__xludf.DUMMYFUNCTION("""COMPUTED_VALUE"""),"furkan çetin")</f>
        <v>furkan çetin</v>
      </c>
      <c r="C61" s="43" t="str">
        <f>IFERROR(__xludf.DUMMYFUNCTION("""COMPUTED_VALUE"""),"approved")</f>
        <v>approved</v>
      </c>
      <c r="D61" s="43" t="str">
        <f>IFERROR(__xludf.DUMMYFUNCTION("""COMPUTED_VALUE"""),"No")</f>
        <v>No</v>
      </c>
      <c r="E61" s="43" t="str">
        <f>IFERROR(__xludf.DUMMYFUNCTION("""COMPUTED_VALUE"""),"p_7a492d88331975720eba8c78042533db9f83a90c@inbound.aiesec.org")</f>
        <v>p_7a492d88331975720eba8c78042533db9f83a90c@inbound.aiesec.org</v>
      </c>
      <c r="F61" s="43">
        <f>IFERROR(__xludf.DUMMYFUNCTION("""COMPUTED_VALUE"""),5.31251821E9)</f>
        <v>5312518210</v>
      </c>
      <c r="G61" s="43" t="str">
        <f>IFERROR(__xludf.DUMMYFUNCTION("""COMPUTED_VALUE"""),"Turkey")</f>
        <v>Turkey</v>
      </c>
      <c r="H61" s="43" t="str">
        <f>IFERROR(__xludf.DUMMYFUNCTION("""COMPUTED_VALUE"""),"ISTANBUL WEST")</f>
        <v>ISTANBUL WEST</v>
      </c>
      <c r="I61" s="43" t="str">
        <f>IFERROR(__xludf.DUMMYFUNCTION("""COMPUTED_VALUE"""),"Egypt")</f>
        <v>Egypt</v>
      </c>
      <c r="J61" s="43" t="str">
        <f>IFERROR(__xludf.DUMMYFUNCTION("""COMPUTED_VALUE"""),"Menofia")</f>
        <v>Menofia</v>
      </c>
      <c r="K61" s="44" t="str">
        <f>IFERROR(__xludf.DUMMYFUNCTION("""COMPUTED_VALUE"""),"https://expa.aiesec.org/opportunities/1288155")</f>
        <v>https://expa.aiesec.org/opportunities/1288155</v>
      </c>
      <c r="L61" s="43" t="str">
        <f>IFERROR(__xludf.DUMMYFUNCTION("""COMPUTED_VALUE"""),"GTe")</f>
        <v>GTe</v>
      </c>
      <c r="M61" s="43" t="str">
        <f>IFERROR(__xludf.DUMMYFUNCTION("""COMPUTED_VALUE"""),"long")</f>
        <v>long</v>
      </c>
      <c r="N61" s="45">
        <f>IFERROR(__xludf.DUMMYFUNCTION("""COMPUTED_VALUE"""),45209.0)</f>
        <v>45209</v>
      </c>
      <c r="O61" s="45">
        <f>IFERROR(__xludf.DUMMYFUNCTION("""COMPUTED_VALUE"""),45474.0)</f>
        <v>45474</v>
      </c>
      <c r="P61" s="45">
        <f>IFERROR(__xludf.DUMMYFUNCTION("""COMPUTED_VALUE"""),45663.0)</f>
        <v>45663</v>
      </c>
      <c r="Q61" s="45"/>
      <c r="R61" s="45"/>
      <c r="S61" s="43"/>
      <c r="T61" s="43"/>
      <c r="U61" s="43" t="str">
        <f>IFERROR(__xludf.DUMMYFUNCTION("""COMPUTED_VALUE"""),"English teacher in Menofia ")</f>
        <v>English teacher in Menofia </v>
      </c>
      <c r="V61" s="43" t="str">
        <f>IFERROR(__xludf.DUMMYFUNCTION("""COMPUTED_VALUE"""),"TEKIRDAG")</f>
        <v>TEKIRDAG</v>
      </c>
      <c r="W61" s="43" t="str">
        <f>IFERROR(__xludf.DUMMYFUNCTION("""COMPUTED_VALUE"""),"2023-02-01T16:49:13Z")</f>
        <v>2023-02-01T16:49:13Z</v>
      </c>
      <c r="X61" s="43"/>
      <c r="Y61" s="43"/>
      <c r="Z61" s="43"/>
    </row>
    <row r="62" hidden="1">
      <c r="A62" s="43" t="str">
        <f>IFERROR(__xludf.DUMMYFUNCTION("""COMPUTED_VALUE"""),"5339677_1297249")</f>
        <v>5339677_1297249</v>
      </c>
      <c r="B62" s="43" t="str">
        <f>IFERROR(__xludf.DUMMYFUNCTION("""COMPUTED_VALUE"""),"Ecem Arpacı")</f>
        <v>Ecem Arpacı</v>
      </c>
      <c r="C62" s="43" t="str">
        <f>IFERROR(__xludf.DUMMYFUNCTION("""COMPUTED_VALUE"""),"approved")</f>
        <v>approved</v>
      </c>
      <c r="D62" s="43" t="str">
        <f>IFERROR(__xludf.DUMMYFUNCTION("""COMPUTED_VALUE"""),"No")</f>
        <v>No</v>
      </c>
      <c r="E62" s="43" t="str">
        <f>IFERROR(__xludf.DUMMYFUNCTION("""COMPUTED_VALUE"""),"p_d1d62809ce4fd44bd58b4d0abe56982b2e0a8d2e@inbound.aiesec.org")</f>
        <v>p_d1d62809ce4fd44bd58b4d0abe56982b2e0a8d2e@inbound.aiesec.org</v>
      </c>
      <c r="F62" s="43">
        <f>IFERROR(__xludf.DUMMYFUNCTION("""COMPUTED_VALUE"""),5.388727227E9)</f>
        <v>5388727227</v>
      </c>
      <c r="G62" s="43" t="str">
        <f>IFERROR(__xludf.DUMMYFUNCTION("""COMPUTED_VALUE"""),"Turkey")</f>
        <v>Turkey</v>
      </c>
      <c r="H62" s="43" t="str">
        <f>IFERROR(__xludf.DUMMYFUNCTION("""COMPUTED_VALUE"""),"ANKARA")</f>
        <v>ANKARA</v>
      </c>
      <c r="I62" s="43" t="str">
        <f>IFERROR(__xludf.DUMMYFUNCTION("""COMPUTED_VALUE"""),"Egypt")</f>
        <v>Egypt</v>
      </c>
      <c r="J62" s="43" t="str">
        <f>IFERROR(__xludf.DUMMYFUNCTION("""COMPUTED_VALUE"""),"Menofia")</f>
        <v>Menofia</v>
      </c>
      <c r="K62" s="44" t="str">
        <f>IFERROR(__xludf.DUMMYFUNCTION("""COMPUTED_VALUE"""),"https://expa.aiesec.org/opportunities/1297249")</f>
        <v>https://expa.aiesec.org/opportunities/1297249</v>
      </c>
      <c r="L62" s="43" t="str">
        <f>IFERROR(__xludf.DUMMYFUNCTION("""COMPUTED_VALUE"""),"GTe")</f>
        <v>GTe</v>
      </c>
      <c r="M62" s="43" t="str">
        <f>IFERROR(__xludf.DUMMYFUNCTION("""COMPUTED_VALUE"""),"short")</f>
        <v>short</v>
      </c>
      <c r="N62" s="45">
        <f>IFERROR(__xludf.DUMMYFUNCTION("""COMPUTED_VALUE"""),45210.0)</f>
        <v>45210</v>
      </c>
      <c r="O62" s="45">
        <f>IFERROR(__xludf.DUMMYFUNCTION("""COMPUTED_VALUE"""),45474.0)</f>
        <v>45474</v>
      </c>
      <c r="P62" s="45">
        <f>IFERROR(__xludf.DUMMYFUNCTION("""COMPUTED_VALUE"""),45557.0)</f>
        <v>45557</v>
      </c>
      <c r="Q62" s="45"/>
      <c r="R62" s="45"/>
      <c r="S62" s="43"/>
      <c r="T62" s="43"/>
      <c r="U62" s="43" t="str">
        <f>IFERROR(__xludf.DUMMYFUNCTION("""COMPUTED_VALUE"""),"Math Teacher")</f>
        <v>Math Teacher</v>
      </c>
      <c r="V62" s="43" t="str">
        <f>IFERROR(__xludf.DUMMYFUNCTION("""COMPUTED_VALUE"""),"ANKARA")</f>
        <v>ANKARA</v>
      </c>
      <c r="W62" s="43" t="str">
        <f>IFERROR(__xludf.DUMMYFUNCTION("""COMPUTED_VALUE"""),"2023-10-02T11:05:01Z")</f>
        <v>2023-10-02T11:05:01Z</v>
      </c>
      <c r="X62" s="43"/>
      <c r="Y62" s="43"/>
      <c r="Z62" s="43"/>
    </row>
    <row r="63" hidden="1">
      <c r="A63" s="43" t="str">
        <f>IFERROR(__xludf.DUMMYFUNCTION("""COMPUTED_VALUE"""),"5355867_1292695")</f>
        <v>5355867_1292695</v>
      </c>
      <c r="B63" s="43" t="str">
        <f>IFERROR(__xludf.DUMMYFUNCTION("""COMPUTED_VALUE"""),"Feyza Çelik")</f>
        <v>Feyza Çelik</v>
      </c>
      <c r="C63" s="43" t="str">
        <f>IFERROR(__xludf.DUMMYFUNCTION("""COMPUTED_VALUE"""),"approved")</f>
        <v>approved</v>
      </c>
      <c r="D63" s="43" t="str">
        <f>IFERROR(__xludf.DUMMYFUNCTION("""COMPUTED_VALUE"""),"No")</f>
        <v>No</v>
      </c>
      <c r="E63" s="43" t="str">
        <f>IFERROR(__xludf.DUMMYFUNCTION("""COMPUTED_VALUE"""),"p_b68d7055469dd62e8e18ce3d2f37c4cd2492d1ce@inbound.aiesec.org")</f>
        <v>p_b68d7055469dd62e8e18ce3d2f37c4cd2492d1ce@inbound.aiesec.org</v>
      </c>
      <c r="F63" s="43">
        <f>IFERROR(__xludf.DUMMYFUNCTION("""COMPUTED_VALUE"""),5.456656074E9)</f>
        <v>5456656074</v>
      </c>
      <c r="G63" s="43" t="str">
        <f>IFERROR(__xludf.DUMMYFUNCTION("""COMPUTED_VALUE"""),"Turkey")</f>
        <v>Turkey</v>
      </c>
      <c r="H63" s="43" t="str">
        <f>IFERROR(__xludf.DUMMYFUNCTION("""COMPUTED_VALUE"""),"BURSA")</f>
        <v>BURSA</v>
      </c>
      <c r="I63" s="43" t="str">
        <f>IFERROR(__xludf.DUMMYFUNCTION("""COMPUTED_VALUE"""),"Tunisia")</f>
        <v>Tunisia</v>
      </c>
      <c r="J63" s="43" t="str">
        <f>IFERROR(__xludf.DUMMYFUNCTION("""COMPUTED_VALUE"""),"UNIVERSITY")</f>
        <v>UNIVERSITY</v>
      </c>
      <c r="K63" s="44" t="str">
        <f>IFERROR(__xludf.DUMMYFUNCTION("""COMPUTED_VALUE"""),"https://expa.aiesec.org/opportunities/1292695")</f>
        <v>https://expa.aiesec.org/opportunities/1292695</v>
      </c>
      <c r="L63" s="43" t="str">
        <f>IFERROR(__xludf.DUMMYFUNCTION("""COMPUTED_VALUE"""),"GTe")</f>
        <v>GTe</v>
      </c>
      <c r="M63" s="43" t="str">
        <f>IFERROR(__xludf.DUMMYFUNCTION("""COMPUTED_VALUE"""),"short")</f>
        <v>short</v>
      </c>
      <c r="N63" s="45">
        <f>IFERROR(__xludf.DUMMYFUNCTION("""COMPUTED_VALUE"""),45221.0)</f>
        <v>45221</v>
      </c>
      <c r="O63" s="45">
        <f>IFERROR(__xludf.DUMMYFUNCTION("""COMPUTED_VALUE"""),45458.0)</f>
        <v>45458</v>
      </c>
      <c r="P63" s="45">
        <f>IFERROR(__xludf.DUMMYFUNCTION("""COMPUTED_VALUE"""),45521.0)</f>
        <v>45521</v>
      </c>
      <c r="Q63" s="45"/>
      <c r="R63" s="45"/>
      <c r="S63" s="43"/>
      <c r="T63" s="43"/>
      <c r="U63" s="43" t="str">
        <f>IFERROR(__xludf.DUMMYFUNCTION("""COMPUTED_VALUE"""),"English teacher ")</f>
        <v>English teacher </v>
      </c>
      <c r="V63" s="43" t="str">
        <f>IFERROR(__xludf.DUMMYFUNCTION("""COMPUTED_VALUE"""),"YALOVA")</f>
        <v>YALOVA</v>
      </c>
      <c r="W63" s="43" t="str">
        <f>IFERROR(__xludf.DUMMYFUNCTION("""COMPUTED_VALUE"""),"2023-10-19T20:23:27Z")</f>
        <v>2023-10-19T20:23:27Z</v>
      </c>
      <c r="X63" s="43"/>
      <c r="Y63" s="43"/>
      <c r="Z63" s="43"/>
    </row>
    <row r="64" hidden="1">
      <c r="A64" s="43" t="str">
        <f>IFERROR(__xludf.DUMMYFUNCTION("""COMPUTED_VALUE"""),"4974143_1300752")</f>
        <v>4974143_1300752</v>
      </c>
      <c r="B64" s="43" t="str">
        <f>IFERROR(__xludf.DUMMYFUNCTION("""COMPUTED_VALUE"""),"Melike Çakır")</f>
        <v>Melike Çakır</v>
      </c>
      <c r="C64" s="43" t="str">
        <f>IFERROR(__xludf.DUMMYFUNCTION("""COMPUTED_VALUE"""),"approved")</f>
        <v>approved</v>
      </c>
      <c r="D64" s="43" t="str">
        <f>IFERROR(__xludf.DUMMYFUNCTION("""COMPUTED_VALUE"""),"No")</f>
        <v>No</v>
      </c>
      <c r="E64" s="43" t="str">
        <f>IFERROR(__xludf.DUMMYFUNCTION("""COMPUTED_VALUE"""),"p_2817e7801d63a6d117147d217cf3945e2a3616b7@inbound.aiesec.org")</f>
        <v>p_2817e7801d63a6d117147d217cf3945e2a3616b7@inbound.aiesec.org</v>
      </c>
      <c r="F64" s="43">
        <f>IFERROR(__xludf.DUMMYFUNCTION("""COMPUTED_VALUE"""),5.070923513E9)</f>
        <v>5070923513</v>
      </c>
      <c r="G64" s="43" t="str">
        <f>IFERROR(__xludf.DUMMYFUNCTION("""COMPUTED_VALUE"""),"Turkey")</f>
        <v>Turkey</v>
      </c>
      <c r="H64" s="43" t="str">
        <f>IFERROR(__xludf.DUMMYFUNCTION("""COMPUTED_VALUE"""),"ANKARA")</f>
        <v>ANKARA</v>
      </c>
      <c r="I64" s="43" t="str">
        <f>IFERROR(__xludf.DUMMYFUNCTION("""COMPUTED_VALUE"""),"Tunisia")</f>
        <v>Tunisia</v>
      </c>
      <c r="J64" s="43" t="str">
        <f>IFERROR(__xludf.DUMMYFUNCTION("""COMPUTED_VALUE"""),"UNIVERSITY")</f>
        <v>UNIVERSITY</v>
      </c>
      <c r="K64" s="44" t="str">
        <f>IFERROR(__xludf.DUMMYFUNCTION("""COMPUTED_VALUE"""),"https://expa.aiesec.org/opportunities/1300752")</f>
        <v>https://expa.aiesec.org/opportunities/1300752</v>
      </c>
      <c r="L64" s="43" t="str">
        <f>IFERROR(__xludf.DUMMYFUNCTION("""COMPUTED_VALUE"""),"GTe")</f>
        <v>GTe</v>
      </c>
      <c r="M64" s="43" t="str">
        <f>IFERROR(__xludf.DUMMYFUNCTION("""COMPUTED_VALUE"""),"short")</f>
        <v>short</v>
      </c>
      <c r="N64" s="45">
        <f>IFERROR(__xludf.DUMMYFUNCTION("""COMPUTED_VALUE"""),45238.0)</f>
        <v>45238</v>
      </c>
      <c r="O64" s="45">
        <f>IFERROR(__xludf.DUMMYFUNCTION("""COMPUTED_VALUE"""),45295.0)</f>
        <v>45295</v>
      </c>
      <c r="P64" s="45">
        <f>IFERROR(__xludf.DUMMYFUNCTION("""COMPUTED_VALUE"""),45378.0)</f>
        <v>45378</v>
      </c>
      <c r="Q64" s="45"/>
      <c r="R64" s="45"/>
      <c r="S64" s="43"/>
      <c r="T64" s="43"/>
      <c r="U64" s="43" t="str">
        <f>IFERROR(__xludf.DUMMYFUNCTION("""COMPUTED_VALUE"""),"Turkish Teacher")</f>
        <v>Turkish Teacher</v>
      </c>
      <c r="V64" s="43" t="str">
        <f>IFERROR(__xludf.DUMMYFUNCTION("""COMPUTED_VALUE"""),"ANKARA")</f>
        <v>ANKARA</v>
      </c>
      <c r="W64" s="43" t="str">
        <f>IFERROR(__xludf.DUMMYFUNCTION("""COMPUTED_VALUE"""),"2022-03-09T14:35:47Z")</f>
        <v>2022-03-09T14:35:47Z</v>
      </c>
      <c r="X64" s="43"/>
      <c r="Y64" s="43"/>
      <c r="Z64" s="43"/>
    </row>
    <row r="65" hidden="1">
      <c r="A65" s="43" t="str">
        <f>IFERROR(__xludf.DUMMYFUNCTION("""COMPUTED_VALUE"""),"5370897_1287132")</f>
        <v>5370897_1287132</v>
      </c>
      <c r="B65" s="43" t="str">
        <f>IFERROR(__xludf.DUMMYFUNCTION("""COMPUTED_VALUE"""),"Ali Idoulhane")</f>
        <v>Ali Idoulhane</v>
      </c>
      <c r="C65" s="43" t="str">
        <f>IFERROR(__xludf.DUMMYFUNCTION("""COMPUTED_VALUE"""),"approved")</f>
        <v>approved</v>
      </c>
      <c r="D65" s="43" t="str">
        <f>IFERROR(__xludf.DUMMYFUNCTION("""COMPUTED_VALUE"""),"No")</f>
        <v>No</v>
      </c>
      <c r="E65" s="43" t="str">
        <f>IFERROR(__xludf.DUMMYFUNCTION("""COMPUTED_VALUE"""),"p_f08eb18334e3eb851920ddb92ef06c1e6b569da5@inbound.aiesec.org")</f>
        <v>p_f08eb18334e3eb851920ddb92ef06c1e6b569da5@inbound.aiesec.org</v>
      </c>
      <c r="F65" s="43">
        <f>IFERROR(__xludf.DUMMYFUNCTION("""COMPUTED_VALUE"""),5.441189543E9)</f>
        <v>5441189543</v>
      </c>
      <c r="G65" s="43" t="str">
        <f>IFERROR(__xludf.DUMMYFUNCTION("""COMPUTED_VALUE"""),"Turkey")</f>
        <v>Turkey</v>
      </c>
      <c r="H65" s="43" t="str">
        <f>IFERROR(__xludf.DUMMYFUNCTION("""COMPUTED_VALUE"""),"ISTANBUL WEST")</f>
        <v>ISTANBUL WEST</v>
      </c>
      <c r="I65" s="43" t="str">
        <f>IFERROR(__xludf.DUMMYFUNCTION("""COMPUTED_VALUE"""),"Egypt")</f>
        <v>Egypt</v>
      </c>
      <c r="J65" s="43" t="str">
        <f>IFERROR(__xludf.DUMMYFUNCTION("""COMPUTED_VALUE"""),"Menofia")</f>
        <v>Menofia</v>
      </c>
      <c r="K65" s="44" t="str">
        <f>IFERROR(__xludf.DUMMYFUNCTION("""COMPUTED_VALUE"""),"https://expa.aiesec.org/opportunities/1287132")</f>
        <v>https://expa.aiesec.org/opportunities/1287132</v>
      </c>
      <c r="L65" s="43" t="str">
        <f>IFERROR(__xludf.DUMMYFUNCTION("""COMPUTED_VALUE"""),"GTe")</f>
        <v>GTe</v>
      </c>
      <c r="M65" s="43" t="str">
        <f>IFERROR(__xludf.DUMMYFUNCTION("""COMPUTED_VALUE"""),"short")</f>
        <v>short</v>
      </c>
      <c r="N65" s="45">
        <f>IFERROR(__xludf.DUMMYFUNCTION("""COMPUTED_VALUE"""),45242.0)</f>
        <v>45242</v>
      </c>
      <c r="O65" s="45">
        <f>IFERROR(__xludf.DUMMYFUNCTION("""COMPUTED_VALUE"""),45330.0)</f>
        <v>45330</v>
      </c>
      <c r="P65" s="45">
        <f>IFERROR(__xludf.DUMMYFUNCTION("""COMPUTED_VALUE"""),45393.0)</f>
        <v>45393</v>
      </c>
      <c r="Q65" s="45"/>
      <c r="R65" s="45"/>
      <c r="S65" s="43"/>
      <c r="T65" s="43"/>
      <c r="U65" s="43" t="str">
        <f>IFERROR(__xludf.DUMMYFUNCTION("""COMPUTED_VALUE"""),"English Teacher at EGYPT ( Menofia )")</f>
        <v>English Teacher at EGYPT ( Menofia )</v>
      </c>
      <c r="V65" s="43" t="str">
        <f>IFERROR(__xludf.DUMMYFUNCTION("""COMPUTED_VALUE"""),"ISTANBUL - BAKIRKOY")</f>
        <v>ISTANBUL - BAKIRKOY</v>
      </c>
      <c r="W65" s="43" t="str">
        <f>IFERROR(__xludf.DUMMYFUNCTION("""COMPUTED_VALUE"""),"2023-11-11T21:16:06Z")</f>
        <v>2023-11-11T21:16:06Z</v>
      </c>
      <c r="X65" s="43"/>
      <c r="Y65" s="43"/>
      <c r="Z65" s="43"/>
    </row>
    <row r="66" hidden="1">
      <c r="A66" s="43" t="str">
        <f>IFERROR(__xludf.DUMMYFUNCTION("""COMPUTED_VALUE"""),"5374858_1292692")</f>
        <v>5374858_1292692</v>
      </c>
      <c r="B66" s="43" t="str">
        <f>IFERROR(__xludf.DUMMYFUNCTION("""COMPUTED_VALUE"""),"Esra Koz")</f>
        <v>Esra Koz</v>
      </c>
      <c r="C66" s="43" t="str">
        <f>IFERROR(__xludf.DUMMYFUNCTION("""COMPUTED_VALUE"""),"approved")</f>
        <v>approved</v>
      </c>
      <c r="D66" s="43" t="str">
        <f>IFERROR(__xludf.DUMMYFUNCTION("""COMPUTED_VALUE"""),"No")</f>
        <v>No</v>
      </c>
      <c r="E66" s="43" t="str">
        <f>IFERROR(__xludf.DUMMYFUNCTION("""COMPUTED_VALUE"""),"p_e0ed8e9970920a2ee7ac46cc4d7a830a5f0e46b9@inbound.aiesec.org")</f>
        <v>p_e0ed8e9970920a2ee7ac46cc4d7a830a5f0e46b9@inbound.aiesec.org</v>
      </c>
      <c r="F66" s="43">
        <f>IFERROR(__xludf.DUMMYFUNCTION("""COMPUTED_VALUE"""),5.511849993E9)</f>
        <v>5511849993</v>
      </c>
      <c r="G66" s="43" t="str">
        <f>IFERROR(__xludf.DUMMYFUNCTION("""COMPUTED_VALUE"""),"Turkey")</f>
        <v>Turkey</v>
      </c>
      <c r="H66" s="43" t="str">
        <f>IFERROR(__xludf.DUMMYFUNCTION("""COMPUTED_VALUE"""),"ANKARA")</f>
        <v>ANKARA</v>
      </c>
      <c r="I66" s="43" t="str">
        <f>IFERROR(__xludf.DUMMYFUNCTION("""COMPUTED_VALUE"""),"Tunisia")</f>
        <v>Tunisia</v>
      </c>
      <c r="J66" s="43" t="str">
        <f>IFERROR(__xludf.DUMMYFUNCTION("""COMPUTED_VALUE"""),"UNIVERSITY")</f>
        <v>UNIVERSITY</v>
      </c>
      <c r="K66" s="44" t="str">
        <f>IFERROR(__xludf.DUMMYFUNCTION("""COMPUTED_VALUE"""),"https://expa.aiesec.org/opportunities/1292692")</f>
        <v>https://expa.aiesec.org/opportunities/1292692</v>
      </c>
      <c r="L66" s="43" t="str">
        <f>IFERROR(__xludf.DUMMYFUNCTION("""COMPUTED_VALUE"""),"GTe")</f>
        <v>GTe</v>
      </c>
      <c r="M66" s="43" t="str">
        <f>IFERROR(__xludf.DUMMYFUNCTION("""COMPUTED_VALUE"""),"short")</f>
        <v>short</v>
      </c>
      <c r="N66" s="45">
        <f>IFERROR(__xludf.DUMMYFUNCTION("""COMPUTED_VALUE"""),45248.0)</f>
        <v>45248</v>
      </c>
      <c r="O66" s="45">
        <f>IFERROR(__xludf.DUMMYFUNCTION("""COMPUTED_VALUE"""),45484.0)</f>
        <v>45484</v>
      </c>
      <c r="P66" s="45">
        <f>IFERROR(__xludf.DUMMYFUNCTION("""COMPUTED_VALUE"""),45547.0)</f>
        <v>45547</v>
      </c>
      <c r="Q66" s="45"/>
      <c r="R66" s="45"/>
      <c r="S66" s="43"/>
      <c r="T66" s="43"/>
      <c r="U66" s="43" t="str">
        <f>IFERROR(__xludf.DUMMYFUNCTION("""COMPUTED_VALUE"""),"german teacher")</f>
        <v>german teacher</v>
      </c>
      <c r="V66" s="43" t="str">
        <f>IFERROR(__xludf.DUMMYFUNCTION("""COMPUTED_VALUE"""),"ANKARA")</f>
        <v>ANKARA</v>
      </c>
      <c r="W66" s="43" t="str">
        <f>IFERROR(__xludf.DUMMYFUNCTION("""COMPUTED_VALUE"""),"2023-11-18T10:55:11Z")</f>
        <v>2023-11-18T10:55:11Z</v>
      </c>
      <c r="X66" s="43"/>
      <c r="Y66" s="43"/>
      <c r="Z66" s="43"/>
    </row>
    <row r="67" hidden="1">
      <c r="A67" s="43" t="str">
        <f>IFERROR(__xludf.DUMMYFUNCTION("""COMPUTED_VALUE"""),"5340108_1301303")</f>
        <v>5340108_1301303</v>
      </c>
      <c r="B67" s="43" t="str">
        <f>IFERROR(__xludf.DUMMYFUNCTION("""COMPUTED_VALUE"""),"deleted 5340108")</f>
        <v>deleted 5340108</v>
      </c>
      <c r="C67" s="43" t="str">
        <f>IFERROR(__xludf.DUMMYFUNCTION("""COMPUTED_VALUE"""),"approved")</f>
        <v>approved</v>
      </c>
      <c r="D67" s="43" t="str">
        <f>IFERROR(__xludf.DUMMYFUNCTION("""COMPUTED_VALUE"""),"No")</f>
        <v>No</v>
      </c>
      <c r="E67" s="43" t="str">
        <f>IFERROR(__xludf.DUMMYFUNCTION("""COMPUTED_VALUE"""),"p_eb12824a3cff11c9e599b1d0f1727b91c3316700@inbound.aiesec.org")</f>
        <v>p_eb12824a3cff11c9e599b1d0f1727b91c3316700@inbound.aiesec.org</v>
      </c>
      <c r="F67" s="43"/>
      <c r="G67" s="43" t="str">
        <f>IFERROR(__xludf.DUMMYFUNCTION("""COMPUTED_VALUE"""),"Turkey")</f>
        <v>Turkey</v>
      </c>
      <c r="H67" s="43" t="str">
        <f>IFERROR(__xludf.DUMMYFUNCTION("""COMPUTED_VALUE"""),"KUTAHYA")</f>
        <v>KUTAHYA</v>
      </c>
      <c r="I67" s="43" t="str">
        <f>IFERROR(__xludf.DUMMYFUNCTION("""COMPUTED_VALUE"""),"India")</f>
        <v>India</v>
      </c>
      <c r="J67" s="43" t="str">
        <f>IFERROR(__xludf.DUMMYFUNCTION("""COMPUTED_VALUE"""),"Chandigarh")</f>
        <v>Chandigarh</v>
      </c>
      <c r="K67" s="44" t="str">
        <f>IFERROR(__xludf.DUMMYFUNCTION("""COMPUTED_VALUE"""),"https://expa.aiesec.org/opportunities/1301303")</f>
        <v>https://expa.aiesec.org/opportunities/1301303</v>
      </c>
      <c r="L67" s="43" t="str">
        <f>IFERROR(__xludf.DUMMYFUNCTION("""COMPUTED_VALUE"""),"GTe")</f>
        <v>GTe</v>
      </c>
      <c r="M67" s="43" t="str">
        <f>IFERROR(__xludf.DUMMYFUNCTION("""COMPUTED_VALUE"""),"long")</f>
        <v>long</v>
      </c>
      <c r="N67" s="45">
        <f>IFERROR(__xludf.DUMMYFUNCTION("""COMPUTED_VALUE"""),45253.0)</f>
        <v>45253</v>
      </c>
      <c r="O67" s="45">
        <f>IFERROR(__xludf.DUMMYFUNCTION("""COMPUTED_VALUE"""),45292.0)</f>
        <v>45292</v>
      </c>
      <c r="P67" s="45">
        <f>IFERROR(__xludf.DUMMYFUNCTION("""COMPUTED_VALUE"""),45657.0)</f>
        <v>45657</v>
      </c>
      <c r="Q67" s="45"/>
      <c r="R67" s="45"/>
      <c r="S67" s="43"/>
      <c r="T67" s="43"/>
      <c r="U67" s="43" t="str">
        <f>IFERROR(__xludf.DUMMYFUNCTION("""COMPUTED_VALUE"""),"Language Teacher")</f>
        <v>Language Teacher</v>
      </c>
      <c r="V67" s="43" t="str">
        <f>IFERROR(__xludf.DUMMYFUNCTION("""COMPUTED_VALUE"""),"KUTAHYA")</f>
        <v>KUTAHYA</v>
      </c>
      <c r="W67" s="43" t="str">
        <f>IFERROR(__xludf.DUMMYFUNCTION("""COMPUTED_VALUE"""),"2023-10-02T20:33:22Z")</f>
        <v>2023-10-02T20:33:22Z</v>
      </c>
      <c r="X67" s="43"/>
      <c r="Y67" s="43"/>
      <c r="Z67" s="43"/>
    </row>
    <row r="68" hidden="1">
      <c r="A68" s="43" t="str">
        <f>IFERROR(__xludf.DUMMYFUNCTION("""COMPUTED_VALUE"""),"5378244_1286668")</f>
        <v>5378244_1286668</v>
      </c>
      <c r="B68" s="43" t="str">
        <f>IFERROR(__xludf.DUMMYFUNCTION("""COMPUTED_VALUE"""),"yigit mercan")</f>
        <v>yigit mercan</v>
      </c>
      <c r="C68" s="43" t="str">
        <f>IFERROR(__xludf.DUMMYFUNCTION("""COMPUTED_VALUE"""),"approved")</f>
        <v>approved</v>
      </c>
      <c r="D68" s="43" t="str">
        <f>IFERROR(__xludf.DUMMYFUNCTION("""COMPUTED_VALUE"""),"No")</f>
        <v>No</v>
      </c>
      <c r="E68" s="43" t="str">
        <f>IFERROR(__xludf.DUMMYFUNCTION("""COMPUTED_VALUE"""),"p_919d99eb943ade73c2fecbcca3770d49d9daad01@inbound.aiesec.org")</f>
        <v>p_919d99eb943ade73c2fecbcca3770d49d9daad01@inbound.aiesec.org</v>
      </c>
      <c r="F68" s="43">
        <f>IFERROR(__xludf.DUMMYFUNCTION("""COMPUTED_VALUE"""),5.373989596E9)</f>
        <v>5373989596</v>
      </c>
      <c r="G68" s="43" t="str">
        <f>IFERROR(__xludf.DUMMYFUNCTION("""COMPUTED_VALUE"""),"Turkey")</f>
        <v>Turkey</v>
      </c>
      <c r="H68" s="43" t="str">
        <f>IFERROR(__xludf.DUMMYFUNCTION("""COMPUTED_VALUE"""),"ISTANBUL WEST")</f>
        <v>ISTANBUL WEST</v>
      </c>
      <c r="I68" s="43" t="str">
        <f>IFERROR(__xludf.DUMMYFUNCTION("""COMPUTED_VALUE"""),"Egypt")</f>
        <v>Egypt</v>
      </c>
      <c r="J68" s="43" t="str">
        <f>IFERROR(__xludf.DUMMYFUNCTION("""COMPUTED_VALUE"""),"Menofia")</f>
        <v>Menofia</v>
      </c>
      <c r="K68" s="44" t="str">
        <f>IFERROR(__xludf.DUMMYFUNCTION("""COMPUTED_VALUE"""),"https://expa.aiesec.org/opportunities/1286668")</f>
        <v>https://expa.aiesec.org/opportunities/1286668</v>
      </c>
      <c r="L68" s="43" t="str">
        <f>IFERROR(__xludf.DUMMYFUNCTION("""COMPUTED_VALUE"""),"GTe")</f>
        <v>GTe</v>
      </c>
      <c r="M68" s="43" t="str">
        <f>IFERROR(__xludf.DUMMYFUNCTION("""COMPUTED_VALUE"""),"short")</f>
        <v>short</v>
      </c>
      <c r="N68" s="45">
        <f>IFERROR(__xludf.DUMMYFUNCTION("""COMPUTED_VALUE"""),45255.0)</f>
        <v>45255</v>
      </c>
      <c r="O68" s="45">
        <f>IFERROR(__xludf.DUMMYFUNCTION("""COMPUTED_VALUE"""),45474.0)</f>
        <v>45474</v>
      </c>
      <c r="P68" s="45">
        <f>IFERROR(__xludf.DUMMYFUNCTION("""COMPUTED_VALUE"""),45537.0)</f>
        <v>45537</v>
      </c>
      <c r="Q68" s="45"/>
      <c r="R68" s="45"/>
      <c r="S68" s="43"/>
      <c r="T68" s="43"/>
      <c r="U68" s="43" t="str">
        <f>IFERROR(__xludf.DUMMYFUNCTION("""COMPUTED_VALUE"""),"English teacher at EGYPT ( Menofia )")</f>
        <v>English teacher at EGYPT ( Menofia )</v>
      </c>
      <c r="V68" s="43" t="str">
        <f>IFERROR(__xludf.DUMMYFUNCTION("""COMPUTED_VALUE"""),"ISTANBUL - BAKIRKOY")</f>
        <v>ISTANBUL - BAKIRKOY</v>
      </c>
      <c r="W68" s="43" t="str">
        <f>IFERROR(__xludf.DUMMYFUNCTION("""COMPUTED_VALUE"""),"2023-11-23T11:37:05Z")</f>
        <v>2023-11-23T11:37:05Z</v>
      </c>
      <c r="X68" s="43"/>
      <c r="Y68" s="43"/>
      <c r="Z68" s="43"/>
    </row>
    <row r="69" hidden="1">
      <c r="A69" s="43" t="str">
        <f>IFERROR(__xludf.DUMMYFUNCTION("""COMPUTED_VALUE"""),"5379763_1299338")</f>
        <v>5379763_1299338</v>
      </c>
      <c r="B69" s="43" t="str">
        <f>IFERROR(__xludf.DUMMYFUNCTION("""COMPUTED_VALUE"""),"Zeynep Sena Aktaş")</f>
        <v>Zeynep Sena Aktaş</v>
      </c>
      <c r="C69" s="43" t="str">
        <f>IFERROR(__xludf.DUMMYFUNCTION("""COMPUTED_VALUE"""),"approved")</f>
        <v>approved</v>
      </c>
      <c r="D69" s="43" t="str">
        <f>IFERROR(__xludf.DUMMYFUNCTION("""COMPUTED_VALUE"""),"No")</f>
        <v>No</v>
      </c>
      <c r="E69" s="43" t="str">
        <f>IFERROR(__xludf.DUMMYFUNCTION("""COMPUTED_VALUE"""),"p_099206eb985e481b35730b5f31e0de4984b8d592@inbound.aiesec.org")</f>
        <v>p_099206eb985e481b35730b5f31e0de4984b8d592@inbound.aiesec.org</v>
      </c>
      <c r="F69" s="43">
        <f>IFERROR(__xludf.DUMMYFUNCTION("""COMPUTED_VALUE"""),5.449178344E9)</f>
        <v>5449178344</v>
      </c>
      <c r="G69" s="43" t="str">
        <f>IFERROR(__xludf.DUMMYFUNCTION("""COMPUTED_VALUE"""),"Turkey")</f>
        <v>Turkey</v>
      </c>
      <c r="H69" s="43" t="str">
        <f>IFERROR(__xludf.DUMMYFUNCTION("""COMPUTED_VALUE"""),"ISTANBUL WEST")</f>
        <v>ISTANBUL WEST</v>
      </c>
      <c r="I69" s="43" t="str">
        <f>IFERROR(__xludf.DUMMYFUNCTION("""COMPUTED_VALUE"""),"Poland")</f>
        <v>Poland</v>
      </c>
      <c r="J69" s="43" t="str">
        <f>IFERROR(__xludf.DUMMYFUNCTION("""COMPUTED_VALUE"""),"WARSZAWA SGH")</f>
        <v>WARSZAWA SGH</v>
      </c>
      <c r="K69" s="44" t="str">
        <f>IFERROR(__xludf.DUMMYFUNCTION("""COMPUTED_VALUE"""),"https://expa.aiesec.org/opportunities/1299338")</f>
        <v>https://expa.aiesec.org/opportunities/1299338</v>
      </c>
      <c r="L69" s="43" t="str">
        <f>IFERROR(__xludf.DUMMYFUNCTION("""COMPUTED_VALUE"""),"GTe")</f>
        <v>GTe</v>
      </c>
      <c r="M69" s="43" t="str">
        <f>IFERROR(__xludf.DUMMYFUNCTION("""COMPUTED_VALUE"""),"long")</f>
        <v>long</v>
      </c>
      <c r="N69" s="45">
        <f>IFERROR(__xludf.DUMMYFUNCTION("""COMPUTED_VALUE"""),45258.0)</f>
        <v>45258</v>
      </c>
      <c r="O69" s="45">
        <f>IFERROR(__xludf.DUMMYFUNCTION("""COMPUTED_VALUE"""),45272.0)</f>
        <v>45272</v>
      </c>
      <c r="P69" s="45">
        <f>IFERROR(__xludf.DUMMYFUNCTION("""COMPUTED_VALUE"""),45473.0)</f>
        <v>45473</v>
      </c>
      <c r="Q69" s="45"/>
      <c r="R69" s="45"/>
      <c r="S69" s="43"/>
      <c r="T69" s="43"/>
      <c r="U69" s="43" t="str">
        <f>IFERROR(__xludf.DUMMYFUNCTION("""COMPUTED_VALUE"""),"English teacher, native language teacher")</f>
        <v>English teacher, native language teacher</v>
      </c>
      <c r="V69" s="43" t="str">
        <f>IFERROR(__xludf.DUMMYFUNCTION("""COMPUTED_VALUE"""),"ISTANBUL - BAKIRKOY")</f>
        <v>ISTANBUL - BAKIRKOY</v>
      </c>
      <c r="W69" s="43" t="str">
        <f>IFERROR(__xludf.DUMMYFUNCTION("""COMPUTED_VALUE"""),"2023-11-25T17:44:22Z")</f>
        <v>2023-11-25T17:44:22Z</v>
      </c>
      <c r="X69" s="43"/>
      <c r="Y69" s="43"/>
      <c r="Z69" s="43"/>
    </row>
    <row r="70" hidden="1">
      <c r="A70" s="43" t="str">
        <f>IFERROR(__xludf.DUMMYFUNCTION("""COMPUTED_VALUE"""),"5380808_1287140")</f>
        <v>5380808_1287140</v>
      </c>
      <c r="B70" s="43" t="str">
        <f>IFERROR(__xludf.DUMMYFUNCTION("""COMPUTED_VALUE"""),"Halil Sağlam")</f>
        <v>Halil Sağlam</v>
      </c>
      <c r="C70" s="43" t="str">
        <f>IFERROR(__xludf.DUMMYFUNCTION("""COMPUTED_VALUE"""),"approved")</f>
        <v>approved</v>
      </c>
      <c r="D70" s="43" t="str">
        <f>IFERROR(__xludf.DUMMYFUNCTION("""COMPUTED_VALUE"""),"No")</f>
        <v>No</v>
      </c>
      <c r="E70" s="43" t="str">
        <f>IFERROR(__xludf.DUMMYFUNCTION("""COMPUTED_VALUE"""),"p_f3bbbd5280987f6e4d91c4185b309d95255c4a2b@inbound.aiesec.org")</f>
        <v>p_f3bbbd5280987f6e4d91c4185b309d95255c4a2b@inbound.aiesec.org</v>
      </c>
      <c r="F70" s="43">
        <f>IFERROR(__xludf.DUMMYFUNCTION("""COMPUTED_VALUE"""),5.30840398E9)</f>
        <v>5308403980</v>
      </c>
      <c r="G70" s="43" t="str">
        <f>IFERROR(__xludf.DUMMYFUNCTION("""COMPUTED_VALUE"""),"Turkey")</f>
        <v>Turkey</v>
      </c>
      <c r="H70" s="43" t="str">
        <f>IFERROR(__xludf.DUMMYFUNCTION("""COMPUTED_VALUE"""),"ISTANBUL WEST")</f>
        <v>ISTANBUL WEST</v>
      </c>
      <c r="I70" s="43" t="str">
        <f>IFERROR(__xludf.DUMMYFUNCTION("""COMPUTED_VALUE"""),"Egypt")</f>
        <v>Egypt</v>
      </c>
      <c r="J70" s="43" t="str">
        <f>IFERROR(__xludf.DUMMYFUNCTION("""COMPUTED_VALUE"""),"Menofia")</f>
        <v>Menofia</v>
      </c>
      <c r="K70" s="44" t="str">
        <f>IFERROR(__xludf.DUMMYFUNCTION("""COMPUTED_VALUE"""),"https://expa.aiesec.org/opportunities/1287140")</f>
        <v>https://expa.aiesec.org/opportunities/1287140</v>
      </c>
      <c r="L70" s="43" t="str">
        <f>IFERROR(__xludf.DUMMYFUNCTION("""COMPUTED_VALUE"""),"GTe")</f>
        <v>GTe</v>
      </c>
      <c r="M70" s="43" t="str">
        <f>IFERROR(__xludf.DUMMYFUNCTION("""COMPUTED_VALUE"""),"short")</f>
        <v>short</v>
      </c>
      <c r="N70" s="45">
        <f>IFERROR(__xludf.DUMMYFUNCTION("""COMPUTED_VALUE"""),45258.0)</f>
        <v>45258</v>
      </c>
      <c r="O70" s="45">
        <f>IFERROR(__xludf.DUMMYFUNCTION("""COMPUTED_VALUE"""),45505.0)</f>
        <v>45505</v>
      </c>
      <c r="P70" s="45">
        <f>IFERROR(__xludf.DUMMYFUNCTION("""COMPUTED_VALUE"""),45568.0)</f>
        <v>45568</v>
      </c>
      <c r="Q70" s="45"/>
      <c r="R70" s="45"/>
      <c r="S70" s="43"/>
      <c r="T70" s="43"/>
      <c r="U70" s="43" t="str">
        <f>IFERROR(__xludf.DUMMYFUNCTION("""COMPUTED_VALUE"""),"English Supervisor at Egypt ( Menofia ) ")</f>
        <v>English Supervisor at Egypt ( Menofia ) </v>
      </c>
      <c r="V70" s="43" t="str">
        <f>IFERROR(__xludf.DUMMYFUNCTION("""COMPUTED_VALUE"""),"ISTANBUL - BAKIRKOY")</f>
        <v>ISTANBUL - BAKIRKOY</v>
      </c>
      <c r="W70" s="43" t="str">
        <f>IFERROR(__xludf.DUMMYFUNCTION("""COMPUTED_VALUE"""),"2023-11-27T12:39:50Z")</f>
        <v>2023-11-27T12:39:50Z</v>
      </c>
      <c r="X70" s="43"/>
      <c r="Y70" s="43"/>
      <c r="Z70" s="43"/>
    </row>
    <row r="71" hidden="1">
      <c r="A71" s="43" t="str">
        <f>IFERROR(__xludf.DUMMYFUNCTION("""COMPUTED_VALUE"""),"5351077_1284744")</f>
        <v>5351077_1284744</v>
      </c>
      <c r="B71" s="43" t="str">
        <f>IFERROR(__xludf.DUMMYFUNCTION("""COMPUTED_VALUE"""),"İlem Tiryaki")</f>
        <v>İlem Tiryaki</v>
      </c>
      <c r="C71" s="43" t="str">
        <f>IFERROR(__xludf.DUMMYFUNCTION("""COMPUTED_VALUE"""),"approved")</f>
        <v>approved</v>
      </c>
      <c r="D71" s="43" t="str">
        <f>IFERROR(__xludf.DUMMYFUNCTION("""COMPUTED_VALUE"""),"No")</f>
        <v>No</v>
      </c>
      <c r="E71" s="43" t="str">
        <f>IFERROR(__xludf.DUMMYFUNCTION("""COMPUTED_VALUE"""),"p_22e732830d2b35150bff89323d277726e6430f88@inbound.aiesec.org")</f>
        <v>p_22e732830d2b35150bff89323d277726e6430f88@inbound.aiesec.org</v>
      </c>
      <c r="F71" s="43">
        <f>IFERROR(__xludf.DUMMYFUNCTION("""COMPUTED_VALUE"""),5.369900057E9)</f>
        <v>5369900057</v>
      </c>
      <c r="G71" s="43" t="str">
        <f>IFERROR(__xludf.DUMMYFUNCTION("""COMPUTED_VALUE"""),"Turkey")</f>
        <v>Turkey</v>
      </c>
      <c r="H71" s="43" t="str">
        <f>IFERROR(__xludf.DUMMYFUNCTION("""COMPUTED_VALUE"""),"TRABZON")</f>
        <v>TRABZON</v>
      </c>
      <c r="I71" s="43" t="str">
        <f>IFERROR(__xludf.DUMMYFUNCTION("""COMPUTED_VALUE"""),"VIETNAM")</f>
        <v>VIETNAM</v>
      </c>
      <c r="J71" s="43" t="str">
        <f>IFERROR(__xludf.DUMMYFUNCTION("""COMPUTED_VALUE"""),"FHCMC")</f>
        <v>FHCMC</v>
      </c>
      <c r="K71" s="44" t="str">
        <f>IFERROR(__xludf.DUMMYFUNCTION("""COMPUTED_VALUE"""),"https://expa.aiesec.org/opportunities/1284744")</f>
        <v>https://expa.aiesec.org/opportunities/1284744</v>
      </c>
      <c r="L71" s="43" t="str">
        <f>IFERROR(__xludf.DUMMYFUNCTION("""COMPUTED_VALUE"""),"GTe")</f>
        <v>GTe</v>
      </c>
      <c r="M71" s="43" t="str">
        <f>IFERROR(__xludf.DUMMYFUNCTION("""COMPUTED_VALUE"""),"medium")</f>
        <v>medium</v>
      </c>
      <c r="N71" s="45">
        <f>IFERROR(__xludf.DUMMYFUNCTION("""COMPUTED_VALUE"""),45259.0)</f>
        <v>45259</v>
      </c>
      <c r="O71" s="45">
        <f>IFERROR(__xludf.DUMMYFUNCTION("""COMPUTED_VALUE"""),45230.0)</f>
        <v>45230</v>
      </c>
      <c r="P71" s="45">
        <f>IFERROR(__xludf.DUMMYFUNCTION("""COMPUTED_VALUE"""),45411.0)</f>
        <v>45411</v>
      </c>
      <c r="Q71" s="45"/>
      <c r="R71" s="45"/>
      <c r="S71" s="43"/>
      <c r="T71" s="43"/>
      <c r="U71" s="43" t="str">
        <f>IFERROR(__xludf.DUMMYFUNCTION("""COMPUTED_VALUE"""),"ENGLISH TEACHER at The East West Ltd. company")</f>
        <v>ENGLISH TEACHER at The East West Ltd. company</v>
      </c>
      <c r="V71" s="43" t="str">
        <f>IFERROR(__xludf.DUMMYFUNCTION("""COMPUTED_VALUE"""),"TRABZON")</f>
        <v>TRABZON</v>
      </c>
      <c r="W71" s="43" t="str">
        <f>IFERROR(__xludf.DUMMYFUNCTION("""COMPUTED_VALUE"""),"2023-10-13T13:44:43Z")</f>
        <v>2023-10-13T13:44:43Z</v>
      </c>
      <c r="X71" s="43"/>
      <c r="Y71" s="43"/>
      <c r="Z71" s="43"/>
    </row>
    <row r="72" hidden="1">
      <c r="A72" s="43" t="str">
        <f>IFERROR(__xludf.DUMMYFUNCTION("""COMPUTED_VALUE"""),"5383485_1289446")</f>
        <v>5383485_1289446</v>
      </c>
      <c r="B72" s="43" t="str">
        <f>IFERROR(__xludf.DUMMYFUNCTION("""COMPUTED_VALUE"""),"FATMA ÇELİK")</f>
        <v>FATMA ÇELİK</v>
      </c>
      <c r="C72" s="43" t="str">
        <f>IFERROR(__xludf.DUMMYFUNCTION("""COMPUTED_VALUE"""),"approved")</f>
        <v>approved</v>
      </c>
      <c r="D72" s="43" t="str">
        <f>IFERROR(__xludf.DUMMYFUNCTION("""COMPUTED_VALUE"""),"No")</f>
        <v>No</v>
      </c>
      <c r="E72" s="43" t="str">
        <f>IFERROR(__xludf.DUMMYFUNCTION("""COMPUTED_VALUE"""),"p_8888dd02ac9b1b0887a33b6e061dd58614a16ada@inbound.aiesec.org")</f>
        <v>p_8888dd02ac9b1b0887a33b6e061dd58614a16ada@inbound.aiesec.org</v>
      </c>
      <c r="F72" s="43">
        <f>IFERROR(__xludf.DUMMYFUNCTION("""COMPUTED_VALUE"""),5.467653309E9)</f>
        <v>5467653309</v>
      </c>
      <c r="G72" s="43" t="str">
        <f>IFERROR(__xludf.DUMMYFUNCTION("""COMPUTED_VALUE"""),"Turkey")</f>
        <v>Turkey</v>
      </c>
      <c r="H72" s="43" t="str">
        <f>IFERROR(__xludf.DUMMYFUNCTION("""COMPUTED_VALUE"""),"ISTANBUL")</f>
        <v>ISTANBUL</v>
      </c>
      <c r="I72" s="43" t="str">
        <f>IFERROR(__xludf.DUMMYFUNCTION("""COMPUTED_VALUE"""),"Egypt")</f>
        <v>Egypt</v>
      </c>
      <c r="J72" s="43" t="str">
        <f>IFERROR(__xludf.DUMMYFUNCTION("""COMPUTED_VALUE"""),"Suez")</f>
        <v>Suez</v>
      </c>
      <c r="K72" s="44" t="str">
        <f>IFERROR(__xludf.DUMMYFUNCTION("""COMPUTED_VALUE"""),"https://expa.aiesec.org/opportunities/1289446")</f>
        <v>https://expa.aiesec.org/opportunities/1289446</v>
      </c>
      <c r="L72" s="43" t="str">
        <f>IFERROR(__xludf.DUMMYFUNCTION("""COMPUTED_VALUE"""),"GTe")</f>
        <v>GTe</v>
      </c>
      <c r="M72" s="43" t="str">
        <f>IFERROR(__xludf.DUMMYFUNCTION("""COMPUTED_VALUE"""),"short")</f>
        <v>short</v>
      </c>
      <c r="N72" s="45">
        <f>IFERROR(__xludf.DUMMYFUNCTION("""COMPUTED_VALUE"""),45260.0)</f>
        <v>45260</v>
      </c>
      <c r="O72" s="45">
        <f>IFERROR(__xludf.DUMMYFUNCTION("""COMPUTED_VALUE"""),45478.0)</f>
        <v>45478</v>
      </c>
      <c r="P72" s="45">
        <f>IFERROR(__xludf.DUMMYFUNCTION("""COMPUTED_VALUE"""),45541.0)</f>
        <v>45541</v>
      </c>
      <c r="Q72" s="45"/>
      <c r="R72" s="45"/>
      <c r="S72" s="43"/>
      <c r="T72" s="43"/>
      <c r="U72" s="43" t="str">
        <f>IFERROR(__xludf.DUMMYFUNCTION("""COMPUTED_VALUE"""),"English Teacher")</f>
        <v>English Teacher</v>
      </c>
      <c r="V72" s="43" t="str">
        <f>IFERROR(__xludf.DUMMYFUNCTION("""COMPUTED_VALUE"""),"ISTANBUL - BEYOGLU")</f>
        <v>ISTANBUL - BEYOGLU</v>
      </c>
      <c r="W72" s="43" t="str">
        <f>IFERROR(__xludf.DUMMYFUNCTION("""COMPUTED_VALUE"""),"2023-11-30T20:23:46Z")</f>
        <v>2023-11-30T20:23:46Z</v>
      </c>
      <c r="X72" s="43"/>
      <c r="Y72" s="43"/>
      <c r="Z72" s="43"/>
    </row>
    <row r="73" hidden="1">
      <c r="A73" s="43" t="str">
        <f>IFERROR(__xludf.DUMMYFUNCTION("""COMPUTED_VALUE"""),"5147206_1300103")</f>
        <v>5147206_1300103</v>
      </c>
      <c r="B73" s="43" t="str">
        <f>IFERROR(__xludf.DUMMYFUNCTION("""COMPUTED_VALUE"""),"Duygu Kaya")</f>
        <v>Duygu Kaya</v>
      </c>
      <c r="C73" s="43" t="str">
        <f>IFERROR(__xludf.DUMMYFUNCTION("""COMPUTED_VALUE"""),"approved")</f>
        <v>approved</v>
      </c>
      <c r="D73" s="43" t="str">
        <f>IFERROR(__xludf.DUMMYFUNCTION("""COMPUTED_VALUE"""),"No")</f>
        <v>No</v>
      </c>
      <c r="E73" s="43" t="str">
        <f>IFERROR(__xludf.DUMMYFUNCTION("""COMPUTED_VALUE"""),"p_7839ba99e5e8285d773c69b8459752993d707833@inbound.aiesec.org")</f>
        <v>p_7839ba99e5e8285d773c69b8459752993d707833@inbound.aiesec.org</v>
      </c>
      <c r="F73" s="43"/>
      <c r="G73" s="43" t="str">
        <f>IFERROR(__xludf.DUMMYFUNCTION("""COMPUTED_VALUE"""),"Turkey")</f>
        <v>Turkey</v>
      </c>
      <c r="H73" s="43" t="str">
        <f>IFERROR(__xludf.DUMMYFUNCTION("""COMPUTED_VALUE"""),"İZMİR")</f>
        <v>İZMİR</v>
      </c>
      <c r="I73" s="43" t="str">
        <f>IFERROR(__xludf.DUMMYFUNCTION("""COMPUTED_VALUE"""),"Egypt")</f>
        <v>Egypt</v>
      </c>
      <c r="J73" s="43" t="str">
        <f>IFERROR(__xludf.DUMMYFUNCTION("""COMPUTED_VALUE"""),"Menofia")</f>
        <v>Menofia</v>
      </c>
      <c r="K73" s="44" t="str">
        <f>IFERROR(__xludf.DUMMYFUNCTION("""COMPUTED_VALUE"""),"https://expa.aiesec.org/opportunities/1300103")</f>
        <v>https://expa.aiesec.org/opportunities/1300103</v>
      </c>
      <c r="L73" s="43" t="str">
        <f>IFERROR(__xludf.DUMMYFUNCTION("""COMPUTED_VALUE"""),"GTe")</f>
        <v>GTe</v>
      </c>
      <c r="M73" s="43" t="str">
        <f>IFERROR(__xludf.DUMMYFUNCTION("""COMPUTED_VALUE"""),"short")</f>
        <v>short</v>
      </c>
      <c r="N73" s="45">
        <f>IFERROR(__xludf.DUMMYFUNCTION("""COMPUTED_VALUE"""),45278.0)</f>
        <v>45278</v>
      </c>
      <c r="O73" s="45">
        <f>IFERROR(__xludf.DUMMYFUNCTION("""COMPUTED_VALUE"""),45341.0)</f>
        <v>45341</v>
      </c>
      <c r="P73" s="45">
        <f>IFERROR(__xludf.DUMMYFUNCTION("""COMPUTED_VALUE"""),45412.0)</f>
        <v>45412</v>
      </c>
      <c r="Q73" s="45"/>
      <c r="R73" s="45"/>
      <c r="S73" s="43"/>
      <c r="T73" s="43"/>
      <c r="U73" s="43" t="str">
        <f>IFERROR(__xludf.DUMMYFUNCTION("""COMPUTED_VALUE"""),"English Teacher ")</f>
        <v>English Teacher </v>
      </c>
      <c r="V73" s="43" t="str">
        <f>IFERROR(__xludf.DUMMYFUNCTION("""COMPUTED_VALUE"""),"-")</f>
        <v>-</v>
      </c>
      <c r="W73" s="43" t="str">
        <f>IFERROR(__xludf.DUMMYFUNCTION("""COMPUTED_VALUE"""),"2022-11-05T15:42:51Z")</f>
        <v>2022-11-05T15:42:51Z</v>
      </c>
      <c r="X73" s="43"/>
      <c r="Y73" s="43"/>
      <c r="Z73" s="43"/>
    </row>
    <row r="74" hidden="1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</row>
    <row r="75" hidden="1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</row>
    <row r="76" hidden="1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</row>
    <row r="77" hidden="1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</row>
    <row r="78" hidden="1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</row>
    <row r="79" hidden="1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</row>
    <row r="80" hidden="1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</row>
    <row r="81" hidden="1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</row>
    <row r="82" hidden="1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</row>
    <row r="83" hidden="1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</row>
    <row r="84" hidden="1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</row>
    <row r="85" hidden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</row>
    <row r="86" hidden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</row>
    <row r="87" hidden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</row>
    <row r="88" hidden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</row>
    <row r="89" hidden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</row>
    <row r="90" hidden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</row>
    <row r="91" hidden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</row>
    <row r="92" hidden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</row>
    <row r="93" hidden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</row>
    <row r="94" hidden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</row>
    <row r="95" hidden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</row>
    <row r="96" hidden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</row>
    <row r="97" hidden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</row>
    <row r="98" hidden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</row>
    <row r="99" hidden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</row>
    <row r="100" hidden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</row>
    <row r="101" hidden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</row>
    <row r="102" hidden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</row>
    <row r="103" hidden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</row>
    <row r="104" hidden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</row>
    <row r="105" hidden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</row>
    <row r="106" hidden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</row>
    <row r="107" hidden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</row>
    <row r="108" hidden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</row>
    <row r="109" hidden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</row>
    <row r="110" hidden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</row>
    <row r="111" hidden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</row>
    <row r="112" hidden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</row>
    <row r="113" hidden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</row>
    <row r="114" hidden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</row>
    <row r="115" hidden="1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</row>
    <row r="116" hidden="1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</row>
    <row r="117" hidden="1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</row>
    <row r="118" hidden="1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</row>
    <row r="119" hidden="1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</row>
    <row r="120" hidden="1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</row>
    <row r="121" hidden="1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</row>
    <row r="122" hidden="1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</row>
    <row r="123" hidden="1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</row>
    <row r="124" hidden="1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</row>
    <row r="125" hidden="1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</row>
    <row r="126" hidden="1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</row>
    <row r="127" hidden="1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</row>
    <row r="128" hidden="1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</row>
    <row r="129" hidden="1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</row>
    <row r="130" hidden="1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</row>
    <row r="131" hidden="1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</row>
    <row r="132" hidden="1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</row>
    <row r="133" hidden="1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</row>
    <row r="134" hidden="1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</row>
    <row r="135" hidden="1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</row>
    <row r="136" hidden="1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</row>
    <row r="137" hidden="1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</row>
    <row r="138" hidden="1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</row>
    <row r="139" hidden="1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</row>
    <row r="140" hidden="1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</row>
    <row r="141" hidden="1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</row>
    <row r="142" hidden="1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</row>
    <row r="143" hidden="1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</row>
    <row r="144" hidden="1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</row>
    <row r="145" hidden="1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</row>
    <row r="146" hidden="1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</row>
    <row r="147" hidden="1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</row>
    <row r="148" hidden="1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</row>
    <row r="149" hidden="1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</row>
    <row r="150" hidden="1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</row>
    <row r="151" hidden="1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</row>
    <row r="152" hidden="1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</row>
    <row r="153" hidden="1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</row>
    <row r="154" hidden="1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</row>
    <row r="155" hidden="1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</row>
    <row r="156" hidden="1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</row>
    <row r="157" hidden="1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</row>
    <row r="158" hidden="1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</row>
    <row r="159" hidden="1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</row>
    <row r="160" hidden="1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hidden="1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</row>
    <row r="162" hidden="1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</row>
    <row r="163" hidden="1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</row>
    <row r="164" hidden="1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</row>
    <row r="165" hidden="1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</row>
    <row r="166" hidden="1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</row>
    <row r="167" hidden="1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</row>
    <row r="168" hidden="1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</row>
    <row r="169" hidden="1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</row>
    <row r="170" hidden="1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</row>
    <row r="171" hidden="1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</row>
    <row r="172" hidden="1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</row>
    <row r="173" hidden="1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</row>
    <row r="174" hidden="1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</row>
    <row r="175" hidden="1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</row>
    <row r="176" hidden="1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</row>
    <row r="177" hidden="1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</row>
    <row r="178" hidden="1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</row>
    <row r="179" hidden="1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</row>
    <row r="180" hidden="1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</row>
    <row r="181" hidden="1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</row>
    <row r="182" hidden="1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</row>
    <row r="183" hidden="1">
      <c r="A183" s="43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</row>
    <row r="184" hidden="1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</row>
    <row r="185" hidden="1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</row>
    <row r="186" hidden="1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</row>
    <row r="187" hidden="1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</row>
    <row r="188" hidden="1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</row>
    <row r="189" hidden="1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</row>
    <row r="190" hidden="1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</row>
    <row r="191" hidden="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</row>
    <row r="192" hidden="1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</row>
    <row r="193" hidden="1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</row>
    <row r="194" hidden="1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</row>
    <row r="195" hidden="1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</row>
    <row r="196" hidden="1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</row>
    <row r="197" hidden="1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</row>
    <row r="198" hidden="1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</row>
    <row r="199" hidden="1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</row>
    <row r="200" hidden="1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</row>
    <row r="201" hidden="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</row>
    <row r="202" hidden="1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</row>
    <row r="203" hidden="1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</row>
    <row r="204" hidden="1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</row>
    <row r="205" hidden="1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</row>
    <row r="206" hidden="1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</row>
    <row r="207" hidden="1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</row>
    <row r="208" hidden="1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</row>
    <row r="209" hidden="1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</row>
    <row r="210" hidden="1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</row>
    <row r="211" hidden="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</row>
    <row r="212" hidden="1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</row>
    <row r="213" hidden="1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</row>
    <row r="214" hidden="1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</row>
    <row r="215" hidden="1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</row>
    <row r="216" hidden="1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</row>
    <row r="217" hidden="1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</row>
    <row r="218" hidden="1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</row>
    <row r="219" hidden="1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</row>
    <row r="220" hidden="1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</row>
    <row r="221" hidden="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</row>
    <row r="222" hidden="1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</row>
    <row r="223" hidden="1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</row>
    <row r="224" hidden="1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</row>
    <row r="225" hidden="1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</row>
    <row r="226" hidden="1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</row>
    <row r="227" hidden="1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</row>
    <row r="228" hidden="1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</row>
    <row r="229" hidden="1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</row>
    <row r="230" hidden="1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</row>
    <row r="231" hidden="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</row>
    <row r="232" hidden="1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</row>
    <row r="233" hidden="1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</row>
    <row r="234" hidden="1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</row>
    <row r="235" hidden="1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</row>
    <row r="236" hidden="1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</row>
    <row r="237" hidden="1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</row>
    <row r="238" hidden="1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</row>
    <row r="239" hidden="1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</row>
    <row r="240" hidden="1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</row>
    <row r="241" hidden="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</row>
    <row r="242" hidden="1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</row>
    <row r="243" hidden="1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</row>
    <row r="244" hidden="1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</row>
    <row r="245" hidden="1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</row>
    <row r="246" hidden="1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</row>
    <row r="247" hidden="1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</row>
    <row r="248" hidden="1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</row>
    <row r="249" hidden="1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</row>
    <row r="250" hidden="1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</row>
    <row r="251" hidden="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</row>
    <row r="252" hidden="1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</row>
    <row r="253" hidden="1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</row>
    <row r="254" hidden="1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</row>
    <row r="255" hidden="1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</row>
    <row r="256" hidden="1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</row>
    <row r="257" hidden="1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</row>
    <row r="258" hidden="1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</row>
    <row r="259" hidden="1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</row>
    <row r="260" hidden="1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</row>
    <row r="261" hidden="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</row>
    <row r="262" hidden="1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</row>
    <row r="263" hidden="1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</row>
    <row r="264" hidden="1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</row>
    <row r="265" hidden="1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</row>
    <row r="266" hidden="1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</row>
    <row r="267" hidden="1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</row>
    <row r="268" hidden="1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</row>
    <row r="269" hidden="1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</row>
    <row r="270" hidden="1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</row>
    <row r="271" hidden="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</row>
    <row r="272" hidden="1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</row>
    <row r="273" hidden="1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</row>
    <row r="274" hidden="1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</row>
    <row r="275" hidden="1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</row>
    <row r="276" hidden="1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</row>
    <row r="277" hidden="1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</row>
    <row r="278" hidden="1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</row>
    <row r="279" hidden="1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</row>
    <row r="280" hidden="1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</row>
    <row r="281" hidden="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</row>
    <row r="282" hidden="1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</row>
    <row r="283" hidden="1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</row>
    <row r="284" hidden="1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</row>
    <row r="285" hidden="1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</row>
    <row r="286" hidden="1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</row>
    <row r="287" hidden="1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</row>
    <row r="288" hidden="1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</row>
    <row r="289" hidden="1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</row>
    <row r="290" hidden="1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</row>
    <row r="291" hidden="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</row>
    <row r="292" hidden="1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</row>
    <row r="293" hidden="1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</row>
    <row r="294" hidden="1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</row>
    <row r="295" hidden="1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</row>
    <row r="296" hidden="1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</row>
    <row r="297" hidden="1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</row>
    <row r="298" hidden="1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</row>
    <row r="299" hidden="1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</row>
    <row r="300" hidden="1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</row>
    <row r="301" hidden="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</row>
    <row r="302" hidden="1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</row>
    <row r="303" hidden="1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</row>
    <row r="304" hidden="1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</row>
    <row r="305" hidden="1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</row>
    <row r="306" hidden="1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</row>
    <row r="307" hidden="1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</row>
    <row r="308" hidden="1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</row>
    <row r="309" hidden="1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</row>
    <row r="310" hidden="1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</row>
    <row r="311" hidden="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</row>
    <row r="312" hidden="1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</row>
    <row r="313" hidden="1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</row>
    <row r="314" hidden="1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</row>
    <row r="315" hidden="1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</row>
    <row r="316" hidden="1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</row>
    <row r="317" hidden="1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</row>
    <row r="318" hidden="1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</row>
    <row r="319" hidden="1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</row>
    <row r="320" hidden="1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</row>
    <row r="321" hidden="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</row>
    <row r="322" hidden="1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</row>
    <row r="323" hidden="1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</row>
    <row r="324" hidden="1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</row>
    <row r="325" hidden="1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</row>
    <row r="326" hidden="1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</row>
    <row r="327" hidden="1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</row>
    <row r="328" hidden="1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</row>
    <row r="329" hidden="1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</row>
    <row r="330" hidden="1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</row>
    <row r="331" hidden="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</row>
    <row r="332" hidden="1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</row>
    <row r="333" hidden="1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</row>
    <row r="334" hidden="1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</row>
    <row r="335" hidden="1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</row>
    <row r="336" hidden="1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</row>
    <row r="337" hidden="1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</row>
    <row r="338" hidden="1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</row>
    <row r="339" hidden="1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</row>
    <row r="340" hidden="1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</row>
    <row r="341" hidden="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</row>
    <row r="342" hidden="1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</row>
    <row r="343" hidden="1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</row>
    <row r="344" hidden="1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</row>
    <row r="345" hidden="1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</row>
    <row r="346" hidden="1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</row>
    <row r="347" hidden="1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</row>
    <row r="348" hidden="1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</row>
    <row r="349" hidden="1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</row>
    <row r="350" hidden="1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</row>
    <row r="351" hidden="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</row>
    <row r="352" hidden="1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</row>
    <row r="353" hidden="1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</row>
    <row r="354" hidden="1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</row>
    <row r="355" hidden="1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</row>
    <row r="356" hidden="1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</row>
    <row r="357" hidden="1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</row>
    <row r="358" hidden="1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</row>
    <row r="359" hidden="1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</row>
    <row r="360" hidden="1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</row>
    <row r="361" hidden="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</row>
    <row r="362" hidden="1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</row>
    <row r="363" hidden="1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</row>
    <row r="364" hidden="1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</row>
    <row r="365" hidden="1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</row>
    <row r="366" hidden="1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</row>
    <row r="367" hidden="1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</row>
    <row r="368" hidden="1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</row>
    <row r="369" hidden="1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</row>
    <row r="370" hidden="1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</row>
    <row r="371" hidden="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</row>
    <row r="372" hidden="1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</row>
    <row r="373" hidden="1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</row>
    <row r="374" hidden="1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</row>
    <row r="375" hidden="1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</row>
    <row r="376" hidden="1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</row>
    <row r="377" hidden="1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</row>
    <row r="378" hidden="1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</row>
    <row r="379" hidden="1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</row>
    <row r="380" hidden="1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</row>
    <row r="381" hidden="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</row>
    <row r="382" hidden="1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</row>
    <row r="383" hidden="1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</row>
    <row r="384" hidden="1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</row>
    <row r="385" hidden="1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</row>
    <row r="386" hidden="1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</row>
    <row r="387" hidden="1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</row>
    <row r="388" hidden="1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</row>
    <row r="389" hidden="1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</row>
    <row r="390" hidden="1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</row>
    <row r="391" hidden="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</row>
    <row r="392" hidden="1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</row>
    <row r="393" hidden="1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</row>
    <row r="394" hidden="1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</row>
    <row r="395" hidden="1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</row>
    <row r="396" hidden="1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</row>
    <row r="397" hidden="1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</row>
    <row r="398" hidden="1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</row>
    <row r="399" hidden="1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</row>
    <row r="400" hidden="1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</row>
    <row r="401" hidden="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</row>
    <row r="402" hidden="1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</row>
    <row r="403" hidden="1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</row>
    <row r="404" hidden="1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</row>
    <row r="405" hidden="1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</row>
    <row r="406" hidden="1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</row>
    <row r="407" hidden="1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</row>
    <row r="408" hidden="1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</row>
    <row r="409" hidden="1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</row>
    <row r="410" hidden="1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</row>
    <row r="411" hidden="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</row>
    <row r="412" hidden="1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</row>
    <row r="413" hidden="1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</row>
    <row r="414" hidden="1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</row>
    <row r="415" hidden="1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</row>
    <row r="416" hidden="1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</row>
    <row r="417" hidden="1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</row>
    <row r="418" hidden="1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</row>
    <row r="419" hidden="1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</row>
    <row r="420" hidden="1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</row>
    <row r="421" hidden="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</row>
    <row r="422" hidden="1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</row>
    <row r="423" hidden="1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</row>
    <row r="424" hidden="1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</row>
    <row r="425" hidden="1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</row>
    <row r="426" hidden="1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</row>
    <row r="427" hidden="1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</row>
    <row r="428" hidden="1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</row>
    <row r="429" hidden="1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</row>
    <row r="430" hidden="1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</row>
    <row r="431" hidden="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</row>
    <row r="432" hidden="1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</row>
    <row r="433" hidden="1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</row>
    <row r="434" hidden="1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</row>
    <row r="435" hidden="1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</row>
    <row r="436" hidden="1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</row>
    <row r="437" hidden="1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</row>
    <row r="438" hidden="1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</row>
    <row r="439" hidden="1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</row>
    <row r="440" hidden="1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</row>
    <row r="441" hidden="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</row>
    <row r="442" hidden="1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</row>
    <row r="443" hidden="1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</row>
    <row r="444" hidden="1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</row>
    <row r="445" hidden="1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</row>
    <row r="446" hidden="1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</row>
    <row r="447" hidden="1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</row>
    <row r="448" hidden="1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</row>
    <row r="449" hidden="1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</row>
    <row r="450" hidden="1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</row>
    <row r="451" hidden="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</row>
    <row r="452" hidden="1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</row>
    <row r="453" hidden="1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</row>
    <row r="454" hidden="1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</row>
    <row r="455" hidden="1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</row>
    <row r="456" hidden="1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</row>
    <row r="457" hidden="1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</row>
    <row r="458" hidden="1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</row>
    <row r="459" hidden="1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</row>
    <row r="460" hidden="1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</row>
    <row r="461" hidden="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</row>
    <row r="462" hidden="1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</row>
    <row r="463" hidden="1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</row>
    <row r="464" hidden="1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</row>
    <row r="465" hidden="1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</row>
    <row r="466" hidden="1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</row>
    <row r="467" hidden="1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</row>
    <row r="468" hidden="1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</row>
    <row r="469" hidden="1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</row>
    <row r="470" hidden="1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</row>
    <row r="471" hidden="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</row>
    <row r="472" hidden="1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</row>
    <row r="473" hidden="1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</row>
    <row r="474" hidden="1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</row>
    <row r="475" hidden="1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</row>
    <row r="476" hidden="1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</row>
    <row r="477" hidden="1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</row>
    <row r="478" hidden="1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</row>
    <row r="479" hidden="1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</row>
    <row r="480" hidden="1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</row>
    <row r="481" hidden="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</row>
    <row r="482" hidden="1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</row>
    <row r="483" hidden="1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</row>
    <row r="484" hidden="1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</row>
    <row r="485" hidden="1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</row>
    <row r="486" hidden="1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</row>
    <row r="487" hidden="1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</row>
    <row r="488" hidden="1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</row>
    <row r="489" hidden="1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</row>
    <row r="490" hidden="1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</row>
    <row r="491" hidden="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</row>
    <row r="492" hidden="1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</row>
    <row r="493" hidden="1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</row>
    <row r="494" hidden="1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</row>
    <row r="495" hidden="1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</row>
    <row r="496" hidden="1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</row>
    <row r="497" hidden="1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</row>
    <row r="498" hidden="1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</row>
    <row r="499" hidden="1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</row>
    <row r="500" hidden="1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</row>
    <row r="501" hidden="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</row>
    <row r="502" hidden="1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</row>
    <row r="503" hidden="1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</row>
    <row r="504" hidden="1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</row>
    <row r="505" hidden="1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</row>
    <row r="506" hidden="1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</row>
    <row r="507" hidden="1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</row>
    <row r="508" hidden="1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</row>
    <row r="509" hidden="1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</row>
    <row r="510" hidden="1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</row>
    <row r="511" hidden="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</row>
    <row r="512" hidden="1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</row>
    <row r="513" hidden="1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</row>
    <row r="514" hidden="1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</row>
    <row r="515" hidden="1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</row>
    <row r="516" hidden="1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</row>
    <row r="517" hidden="1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</row>
    <row r="518" hidden="1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</row>
    <row r="519" hidden="1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</row>
    <row r="520" hidden="1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</row>
    <row r="521" hidden="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</row>
    <row r="522" hidden="1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</row>
    <row r="523" hidden="1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</row>
    <row r="524" hidden="1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</row>
    <row r="525" hidden="1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</row>
    <row r="526" hidden="1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</row>
    <row r="527" hidden="1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</row>
    <row r="528" hidden="1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</row>
    <row r="529" hidden="1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</row>
    <row r="530" hidden="1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</row>
    <row r="531" hidden="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</row>
    <row r="532" hidden="1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</row>
    <row r="533" hidden="1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</row>
    <row r="534" hidden="1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</row>
    <row r="535" hidden="1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</row>
    <row r="536" hidden="1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</row>
    <row r="537" hidden="1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</row>
    <row r="538" hidden="1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</row>
    <row r="539" hidden="1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</row>
    <row r="540" hidden="1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</row>
    <row r="541" hidden="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</row>
    <row r="542" hidden="1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</row>
    <row r="543" hidden="1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</row>
    <row r="544" hidden="1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</row>
    <row r="545" hidden="1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</row>
    <row r="546" hidden="1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</row>
    <row r="547" hidden="1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</row>
    <row r="548" hidden="1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</row>
    <row r="549" hidden="1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</row>
    <row r="550" hidden="1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</row>
    <row r="551" hidden="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</row>
    <row r="552" hidden="1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</row>
    <row r="553" hidden="1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</row>
    <row r="554" hidden="1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</row>
    <row r="555" hidden="1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</row>
    <row r="556" hidden="1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</row>
    <row r="557" hidden="1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</row>
    <row r="558" hidden="1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</row>
    <row r="559" hidden="1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</row>
    <row r="560" hidden="1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</row>
    <row r="561" hidden="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</row>
    <row r="562" hidden="1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</row>
    <row r="563" hidden="1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</row>
    <row r="564" hidden="1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</row>
    <row r="565" hidden="1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</row>
    <row r="566" hidden="1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</row>
    <row r="567" hidden="1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</row>
    <row r="568" hidden="1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</row>
    <row r="569" hidden="1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</row>
    <row r="570" hidden="1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</row>
    <row r="571" hidden="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</row>
    <row r="572" hidden="1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</row>
    <row r="573" hidden="1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</row>
    <row r="574" hidden="1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</row>
    <row r="575" hidden="1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</row>
    <row r="576" hidden="1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</row>
    <row r="577" hidden="1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</row>
    <row r="578" hidden="1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</row>
    <row r="579" hidden="1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</row>
    <row r="580" hidden="1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</row>
    <row r="581" hidden="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</row>
    <row r="582" hidden="1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</row>
    <row r="583" hidden="1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</row>
    <row r="584" hidden="1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</row>
    <row r="585" hidden="1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</row>
    <row r="586" hidden="1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</row>
    <row r="587" hidden="1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</row>
    <row r="588" hidden="1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</row>
    <row r="589" hidden="1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</row>
    <row r="590" hidden="1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</row>
    <row r="591" hidden="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</row>
    <row r="592" hidden="1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</row>
    <row r="593" hidden="1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</row>
    <row r="594" hidden="1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</row>
    <row r="595" hidden="1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</row>
    <row r="596" hidden="1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</row>
    <row r="597" hidden="1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</row>
    <row r="598" hidden="1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</row>
    <row r="599" hidden="1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</row>
    <row r="600" hidden="1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</row>
    <row r="601" hidden="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</row>
    <row r="602" hidden="1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</row>
    <row r="603" hidden="1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</row>
    <row r="604" hidden="1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</row>
    <row r="605" hidden="1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</row>
    <row r="606" hidden="1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</row>
    <row r="607" hidden="1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</row>
    <row r="608" hidden="1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</row>
    <row r="609" hidden="1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</row>
    <row r="610" hidden="1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</row>
    <row r="611" hidden="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</row>
    <row r="612" hidden="1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</row>
    <row r="613" hidden="1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</row>
    <row r="614" hidden="1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</row>
    <row r="615" hidden="1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</row>
    <row r="616" hidden="1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</row>
    <row r="617" hidden="1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</row>
    <row r="618" hidden="1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</row>
    <row r="619" hidden="1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</row>
    <row r="620" hidden="1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</row>
    <row r="621" hidden="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</row>
    <row r="622" hidden="1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</row>
    <row r="623" hidden="1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</row>
    <row r="624" hidden="1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</row>
    <row r="625" hidden="1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</row>
    <row r="626" hidden="1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</row>
    <row r="627" hidden="1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</row>
    <row r="628" hidden="1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</row>
    <row r="629" hidden="1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</row>
    <row r="630" hidden="1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</row>
    <row r="631" hidden="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</row>
    <row r="632" hidden="1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</row>
    <row r="633" hidden="1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</row>
    <row r="634" hidden="1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</row>
    <row r="635" hidden="1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</row>
    <row r="636" hidden="1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</row>
    <row r="637" hidden="1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</row>
    <row r="638" hidden="1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</row>
    <row r="639" hidden="1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</row>
    <row r="640" hidden="1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</row>
    <row r="641" hidden="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</row>
    <row r="642" hidden="1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</row>
    <row r="643" hidden="1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</row>
    <row r="644" hidden="1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</row>
    <row r="645" hidden="1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</row>
    <row r="646" hidden="1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</row>
    <row r="647" hidden="1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</row>
    <row r="648" hidden="1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</row>
    <row r="649" hidden="1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</row>
    <row r="650" hidden="1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</row>
    <row r="651" hidden="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</row>
    <row r="652" hidden="1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</row>
    <row r="653" hidden="1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</row>
    <row r="654" hidden="1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</row>
    <row r="655" hidden="1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</row>
    <row r="656" hidden="1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</row>
    <row r="657" hidden="1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</row>
    <row r="658" hidden="1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</row>
    <row r="659" hidden="1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</row>
    <row r="660" hidden="1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</row>
    <row r="661" hidden="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</row>
    <row r="662" hidden="1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</row>
    <row r="663" hidden="1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</row>
    <row r="664" hidden="1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</row>
    <row r="665" hidden="1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</row>
    <row r="666" hidden="1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</row>
    <row r="667" hidden="1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</row>
    <row r="668" hidden="1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</row>
    <row r="669" hidden="1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</row>
    <row r="670" hidden="1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</row>
    <row r="671" hidden="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</row>
    <row r="672" hidden="1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</row>
    <row r="673" hidden="1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</row>
    <row r="674" hidden="1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</row>
    <row r="675" hidden="1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</row>
    <row r="676" hidden="1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</row>
    <row r="677" hidden="1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</row>
    <row r="678" hidden="1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</row>
    <row r="679" hidden="1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</row>
    <row r="680" hidden="1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</row>
    <row r="681" hidden="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</row>
    <row r="682" hidden="1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</row>
    <row r="683" hidden="1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</row>
    <row r="684" hidden="1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</row>
    <row r="685" hidden="1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</row>
    <row r="686" hidden="1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</row>
    <row r="687" hidden="1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</row>
    <row r="688" hidden="1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</row>
    <row r="689" hidden="1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</row>
    <row r="690" hidden="1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</row>
    <row r="691" hidden="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</row>
    <row r="692" hidden="1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</row>
    <row r="693" hidden="1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</row>
    <row r="694" hidden="1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</row>
    <row r="695" hidden="1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</row>
    <row r="696" hidden="1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</row>
    <row r="697" hidden="1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</row>
    <row r="698" hidden="1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</row>
    <row r="699" hidden="1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</row>
    <row r="700" hidden="1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</row>
    <row r="701" hidden="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</row>
    <row r="702" hidden="1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</row>
    <row r="703" hidden="1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</row>
    <row r="704" hidden="1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</row>
    <row r="705" hidden="1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</row>
    <row r="706" hidden="1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</row>
    <row r="707" hidden="1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</row>
    <row r="708" hidden="1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</row>
    <row r="709" hidden="1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</row>
    <row r="710" hidden="1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</row>
    <row r="711" hidden="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</row>
    <row r="712" hidden="1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</row>
    <row r="713" hidden="1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</row>
    <row r="714" hidden="1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</row>
    <row r="715" hidden="1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</row>
    <row r="716" hidden="1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</row>
    <row r="717" hidden="1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</row>
    <row r="718" hidden="1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</row>
    <row r="719" hidden="1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</row>
    <row r="720" hidden="1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</row>
    <row r="721" hidden="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</row>
    <row r="722" hidden="1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</row>
    <row r="723" hidden="1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</row>
    <row r="724" hidden="1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</row>
    <row r="725" hidden="1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</row>
    <row r="726" hidden="1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</row>
    <row r="727" hidden="1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</row>
    <row r="728" hidden="1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</row>
    <row r="729" hidden="1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</row>
    <row r="730" hidden="1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</row>
    <row r="731" hidden="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</row>
    <row r="732" hidden="1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</row>
    <row r="733" hidden="1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</row>
    <row r="734" hidden="1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</row>
    <row r="735" hidden="1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</row>
    <row r="736" hidden="1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</row>
    <row r="737" hidden="1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</row>
    <row r="738" hidden="1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</row>
    <row r="739" hidden="1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</row>
    <row r="740" hidden="1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</row>
    <row r="741" hidden="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</row>
    <row r="742" hidden="1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</row>
    <row r="743" hidden="1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</row>
    <row r="744" hidden="1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</row>
    <row r="745" hidden="1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</row>
    <row r="746" hidden="1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</row>
    <row r="747" hidden="1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</row>
    <row r="748" hidden="1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</row>
    <row r="749" hidden="1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</row>
    <row r="750" hidden="1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</row>
    <row r="751" hidden="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</row>
    <row r="752" hidden="1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</row>
    <row r="753" hidden="1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</row>
    <row r="754" hidden="1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</row>
    <row r="755" hidden="1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</row>
    <row r="756" hidden="1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</row>
    <row r="757" hidden="1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</row>
    <row r="758" hidden="1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</row>
    <row r="759" hidden="1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</row>
    <row r="760" hidden="1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</row>
    <row r="761" hidden="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</row>
    <row r="762" hidden="1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</row>
    <row r="763" hidden="1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</row>
    <row r="764" hidden="1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</row>
    <row r="765" hidden="1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</row>
    <row r="766" hidden="1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</row>
    <row r="767" hidden="1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</row>
    <row r="768" hidden="1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</row>
    <row r="769" hidden="1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</row>
    <row r="770" hidden="1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</row>
    <row r="771" hidden="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</row>
    <row r="772" hidden="1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</row>
    <row r="773" hidden="1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</row>
    <row r="774" hidden="1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</row>
    <row r="775" hidden="1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</row>
    <row r="776" hidden="1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</row>
    <row r="777" hidden="1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</row>
    <row r="778" hidden="1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</row>
    <row r="779" hidden="1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</row>
    <row r="780" hidden="1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</row>
    <row r="781" hidden="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</row>
    <row r="782" hidden="1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</row>
    <row r="783" hidden="1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</row>
    <row r="784" hidden="1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</row>
    <row r="785" hidden="1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</row>
    <row r="786" hidden="1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</row>
    <row r="787" hidden="1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</row>
    <row r="788" hidden="1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</row>
    <row r="789" hidden="1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</row>
    <row r="790" hidden="1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</row>
    <row r="791" hidden="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</row>
    <row r="792" hidden="1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</row>
    <row r="793" hidden="1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</row>
    <row r="794" hidden="1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</row>
    <row r="795" hidden="1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</row>
    <row r="796" hidden="1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</row>
    <row r="797" hidden="1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</row>
    <row r="798" hidden="1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</row>
    <row r="799" hidden="1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</row>
    <row r="800" hidden="1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</row>
    <row r="801" hidden="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</row>
    <row r="802" hidden="1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</row>
    <row r="803" hidden="1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</row>
    <row r="804" hidden="1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</row>
    <row r="805" hidden="1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</row>
    <row r="806" hidden="1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</row>
    <row r="807" hidden="1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</row>
    <row r="808" hidden="1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</row>
    <row r="809" hidden="1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</row>
    <row r="810" hidden="1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</row>
    <row r="811" hidden="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</row>
    <row r="812" hidden="1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</row>
    <row r="813" hidden="1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</row>
    <row r="814" hidden="1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</row>
    <row r="815" hidden="1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</row>
    <row r="816" hidden="1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</row>
    <row r="817" hidden="1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</row>
    <row r="818" hidden="1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</row>
    <row r="819" hidden="1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</row>
    <row r="820" hidden="1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</row>
    <row r="821" hidden="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</row>
    <row r="822" hidden="1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</row>
    <row r="823" hidden="1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</row>
    <row r="824" hidden="1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</row>
    <row r="825" hidden="1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</row>
    <row r="826" hidden="1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</row>
    <row r="827" hidden="1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</row>
    <row r="828" hidden="1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</row>
    <row r="829" hidden="1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</row>
    <row r="830" hidden="1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</row>
    <row r="831" hidden="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</row>
    <row r="832" hidden="1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</row>
    <row r="833" hidden="1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</row>
    <row r="834" hidden="1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</row>
    <row r="835" hidden="1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</row>
    <row r="836" hidden="1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</row>
    <row r="837" hidden="1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</row>
    <row r="838" hidden="1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</row>
    <row r="839" hidden="1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</row>
    <row r="840" hidden="1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</row>
    <row r="841" hidden="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</row>
    <row r="842" hidden="1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</row>
    <row r="843" hidden="1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</row>
    <row r="844" hidden="1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</row>
    <row r="845" hidden="1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</row>
    <row r="846" hidden="1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</row>
    <row r="847" hidden="1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</row>
    <row r="848" hidden="1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</row>
    <row r="849" hidden="1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</row>
    <row r="850" hidden="1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</row>
    <row r="851" hidden="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</row>
    <row r="852" hidden="1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</row>
    <row r="853" hidden="1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</row>
    <row r="854" hidden="1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</row>
    <row r="855" hidden="1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</row>
    <row r="856" hidden="1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</row>
    <row r="857" hidden="1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</row>
    <row r="858" hidden="1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</row>
    <row r="859" hidden="1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</row>
    <row r="860" hidden="1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</row>
    <row r="861" hidden="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</row>
    <row r="862" hidden="1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</row>
    <row r="863" hidden="1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</row>
    <row r="864" hidden="1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</row>
    <row r="865" hidden="1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</row>
    <row r="866" hidden="1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</row>
    <row r="867" hidden="1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</row>
    <row r="868" hidden="1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</row>
    <row r="869" hidden="1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</row>
    <row r="870" hidden="1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</row>
    <row r="871" hidden="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</row>
    <row r="872" hidden="1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</row>
    <row r="873" hidden="1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</row>
    <row r="874" hidden="1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</row>
    <row r="875" hidden="1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</row>
    <row r="876" hidden="1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</row>
    <row r="877" hidden="1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</row>
    <row r="878" hidden="1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</row>
    <row r="879" hidden="1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</row>
    <row r="880" hidden="1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</row>
    <row r="881" hidden="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</row>
    <row r="882" hidden="1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</row>
    <row r="883" hidden="1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</row>
    <row r="884" hidden="1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</row>
    <row r="885" hidden="1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</row>
    <row r="886" hidden="1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</row>
    <row r="887" hidden="1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</row>
    <row r="888" hidden="1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</row>
    <row r="889" hidden="1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</row>
    <row r="890" hidden="1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</row>
    <row r="891" hidden="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</row>
    <row r="892" hidden="1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</row>
    <row r="893" hidden="1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</row>
    <row r="894" hidden="1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</row>
    <row r="895" hidden="1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</row>
    <row r="896" hidden="1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</row>
    <row r="897" hidden="1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</row>
    <row r="898" hidden="1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</row>
    <row r="899" hidden="1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</row>
    <row r="900" hidden="1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</row>
    <row r="901" hidden="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</row>
    <row r="902" hidden="1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</row>
    <row r="903" hidden="1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</row>
    <row r="904" hidden="1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</row>
    <row r="905" hidden="1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</row>
    <row r="906" hidden="1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</row>
    <row r="907" hidden="1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</row>
    <row r="908" hidden="1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</row>
    <row r="909" hidden="1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</row>
    <row r="910" hidden="1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</row>
    <row r="911" hidden="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</row>
    <row r="912" hidden="1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</row>
    <row r="913" hidden="1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</row>
    <row r="914" hidden="1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</row>
    <row r="915" hidden="1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</row>
    <row r="916" hidden="1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</row>
    <row r="917" hidden="1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</row>
    <row r="918" hidden="1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</row>
    <row r="919" hidden="1">
      <c r="A919" s="43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</row>
    <row r="920" hidden="1">
      <c r="A920" s="43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</row>
    <row r="921" hidden="1">
      <c r="A921" s="43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</row>
    <row r="922" hidden="1">
      <c r="A922" s="43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</row>
    <row r="923" hidden="1">
      <c r="A923" s="43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</row>
    <row r="924" hidden="1">
      <c r="A924" s="43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</row>
    <row r="925" hidden="1">
      <c r="A925" s="43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</row>
    <row r="926" hidden="1">
      <c r="A926" s="43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</row>
    <row r="927" hidden="1">
      <c r="A927" s="43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</row>
    <row r="928" hidden="1">
      <c r="A928" s="43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</row>
    <row r="929" hidden="1">
      <c r="A929" s="43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</row>
    <row r="930" hidden="1">
      <c r="A930" s="43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</row>
    <row r="931" hidden="1">
      <c r="A931" s="43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</row>
    <row r="932" hidden="1">
      <c r="A932" s="43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</row>
    <row r="933" hidden="1">
      <c r="A933" s="43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</row>
    <row r="934" hidden="1">
      <c r="A934" s="43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</row>
    <row r="935" hidden="1">
      <c r="A935" s="43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</row>
    <row r="936" hidden="1">
      <c r="A936" s="43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</row>
    <row r="937" hidden="1">
      <c r="A937" s="43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</row>
    <row r="938" hidden="1">
      <c r="A938" s="43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</row>
    <row r="939" hidden="1">
      <c r="A939" s="43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</row>
    <row r="940" hidden="1">
      <c r="A940" s="43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</row>
    <row r="941" hidden="1">
      <c r="A941" s="43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</row>
    <row r="942" hidden="1">
      <c r="A942" s="43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</row>
    <row r="943" hidden="1">
      <c r="A943" s="43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</row>
    <row r="944" hidden="1">
      <c r="A944" s="43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</row>
    <row r="945" hidden="1">
      <c r="A945" s="43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</row>
    <row r="946" hidden="1">
      <c r="A946" s="43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</row>
    <row r="947" hidden="1">
      <c r="A947" s="43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</row>
    <row r="948" hidden="1">
      <c r="A948" s="43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</row>
    <row r="949" hidden="1">
      <c r="A949" s="43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</row>
    <row r="950" hidden="1">
      <c r="A950" s="43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</row>
    <row r="951" hidden="1">
      <c r="A951" s="43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</row>
    <row r="952" hidden="1">
      <c r="A952" s="43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</row>
    <row r="953" hidden="1">
      <c r="A953" s="43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</row>
    <row r="954" hidden="1">
      <c r="A954" s="43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</row>
    <row r="955" hidden="1">
      <c r="A955" s="43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</row>
    <row r="956" hidden="1">
      <c r="A956" s="43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</row>
    <row r="957" hidden="1">
      <c r="A957" s="43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</row>
    <row r="958" hidden="1">
      <c r="A958" s="43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</row>
    <row r="959" hidden="1">
      <c r="A959" s="43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</row>
    <row r="960" hidden="1">
      <c r="A960" s="43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</row>
    <row r="961" hidden="1">
      <c r="A961" s="43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</row>
    <row r="962" hidden="1">
      <c r="A962" s="43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</row>
    <row r="963" hidden="1">
      <c r="A963" s="43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</row>
    <row r="964" hidden="1">
      <c r="A964" s="43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</row>
    <row r="965" hidden="1">
      <c r="A965" s="43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</row>
    <row r="966" hidden="1">
      <c r="A966" s="43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</row>
    <row r="967" hidden="1">
      <c r="A967" s="43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</row>
    <row r="968" hidden="1">
      <c r="A968" s="43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</row>
    <row r="969" hidden="1">
      <c r="A969" s="43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</row>
    <row r="970" hidden="1">
      <c r="A970" s="43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</row>
    <row r="971" hidden="1">
      <c r="A971" s="43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</row>
    <row r="972" hidden="1">
      <c r="A972" s="43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</row>
    <row r="973" hidden="1">
      <c r="A973" s="43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</row>
    <row r="974" hidden="1">
      <c r="A974" s="43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</row>
    <row r="975" hidden="1">
      <c r="A975" s="43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</row>
    <row r="976" hidden="1">
      <c r="A976" s="43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</row>
    <row r="977" hidden="1">
      <c r="A977" s="43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</row>
    <row r="978" hidden="1">
      <c r="A978" s="43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</row>
    <row r="979" hidden="1">
      <c r="A979" s="43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</row>
    <row r="980" hidden="1">
      <c r="A980" s="43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</row>
    <row r="981" hidden="1">
      <c r="A981" s="43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</row>
    <row r="982" hidden="1">
      <c r="A982" s="43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</row>
    <row r="983" hidden="1">
      <c r="A983" s="43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</row>
    <row r="984" hidden="1">
      <c r="A984" s="43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</row>
    <row r="985" hidden="1">
      <c r="A985" s="43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</row>
    <row r="986" hidden="1">
      <c r="A986" s="43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</row>
    <row r="987" hidden="1">
      <c r="A987" s="43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</row>
    <row r="988" hidden="1">
      <c r="A988" s="43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</row>
    <row r="989" hidden="1">
      <c r="A989" s="43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</row>
    <row r="990" hidden="1">
      <c r="A990" s="43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</row>
    <row r="991" hidden="1">
      <c r="A991" s="43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</row>
    <row r="992" hidden="1">
      <c r="A992" s="43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</row>
    <row r="993" hidden="1">
      <c r="A993" s="43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</row>
    <row r="994" hidden="1">
      <c r="A994" s="43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</row>
    <row r="995" hidden="1">
      <c r="A995" s="43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</row>
    <row r="996" hidden="1">
      <c r="A996" s="43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</row>
    <row r="997" hidden="1">
      <c r="A997" s="43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</row>
    <row r="998" hidden="1">
      <c r="A998" s="43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</row>
    <row r="999" hidden="1">
      <c r="A999" s="43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</row>
    <row r="1000" hidden="1">
      <c r="A1000" s="43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</row>
  </sheetData>
  <autoFilter ref="$A$1:$Z$1000">
    <filterColumn colId="2">
      <filters>
        <filter val="approved"/>
      </filters>
    </filterColumn>
    <filterColumn colId="14">
      <filters blank="1">
        <filter val="2023-11-10"/>
        <filter val="2023-02-14"/>
        <filter val="2023-06-18"/>
        <filter val="2023-06-26"/>
        <filter val="2023-04-01"/>
        <filter val="2023-06-28"/>
        <filter val="2023-08-02"/>
        <filter val="2023-06-20"/>
        <filter val="2022-07-25"/>
        <filter val="2022-09-01"/>
        <filter val="2022-12-01"/>
        <filter val="2023-07-04"/>
        <filter val="2023-09-28"/>
        <filter val="2023-05-22"/>
        <filter val="2023-07-03"/>
        <filter val="2023-07-02"/>
        <filter val="2024-02-19"/>
        <filter val="2023-08-10"/>
        <filter val="2023-09-20"/>
        <filter val="2023-07-15"/>
        <filter val="2023-07-12"/>
        <filter val="2023-02-01"/>
        <filter val="2023-06-01"/>
        <filter val="2023-07-10"/>
        <filter val="2023-10-30"/>
        <filter val="2022-09-15"/>
        <filter val="2022-07-30"/>
        <filter val="2023-06-10"/>
        <filter val="2023-07-25"/>
        <filter val="2023-05-01"/>
        <filter val="2022-08-08"/>
        <filter val="2023-09-01"/>
      </filters>
    </filterColumn>
  </autoFilter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</hyperlinks>
  <drawing r:id="rId7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tr">
        <f>IFERROR(__xludf.DUMMYFUNCTION("QUERY('Expected Realizations'!1:3593,""Select * Where (J = 'ISTANBUL' or H = 'ISTANBUL' )and N &gt;=date'2023-02-01'and N &lt;=date'2024-01-31'"",1)"),"EP ID_Opp ID")</f>
        <v>EP ID_Opp ID</v>
      </c>
      <c r="B1" s="16" t="str">
        <f>IFERROR(__xludf.DUMMYFUNCTION("""COMPUTED_VALUE"""),"Full Name")</f>
        <v>Full Name</v>
      </c>
      <c r="C1" s="16" t="str">
        <f>IFERROR(__xludf.DUMMYFUNCTION("""COMPUTED_VALUE"""),"Status")</f>
        <v>Status</v>
      </c>
      <c r="D1" s="16" t="str">
        <f>IFERROR(__xludf.DUMMYFUNCTION("""COMPUTED_VALUE"""),"Remote Realized?")</f>
        <v>Remote Realized?</v>
      </c>
      <c r="E1" s="16" t="str">
        <f>IFERROR(__xludf.DUMMYFUNCTION("""COMPUTED_VALUE"""),"Email")</f>
        <v>Email</v>
      </c>
      <c r="F1" s="16" t="str">
        <f>IFERROR(__xludf.DUMMYFUNCTION("""COMPUTED_VALUE"""),"Phone Number")</f>
        <v>Phone Number</v>
      </c>
      <c r="G1" s="16" t="str">
        <f>IFERROR(__xludf.DUMMYFUNCTION("""COMPUTED_VALUE"""),"Home MC")</f>
        <v>Home MC</v>
      </c>
      <c r="H1" s="16" t="str">
        <f>IFERROR(__xludf.DUMMYFUNCTION("""COMPUTED_VALUE"""),"Home LC")</f>
        <v>Home LC</v>
      </c>
      <c r="I1" s="16" t="str">
        <f>IFERROR(__xludf.DUMMYFUNCTION("""COMPUTED_VALUE"""),"Host MC")</f>
        <v>Host MC</v>
      </c>
      <c r="J1" s="16" t="str">
        <f>IFERROR(__xludf.DUMMYFUNCTION("""COMPUTED_VALUE"""),"Host LC")</f>
        <v>Host LC</v>
      </c>
      <c r="K1" s="16" t="str">
        <f>IFERROR(__xludf.DUMMYFUNCTION("""COMPUTED_VALUE"""),"Oppprtunity")</f>
        <v>Oppprtunity</v>
      </c>
      <c r="L1" s="16" t="str">
        <f>IFERROR(__xludf.DUMMYFUNCTION("""COMPUTED_VALUE"""),"Product")</f>
        <v>Product</v>
      </c>
      <c r="M1" s="16" t="str">
        <f>IFERROR(__xludf.DUMMYFUNCTION("""COMPUTED_VALUE"""),"Duration Type")</f>
        <v>Duration Type</v>
      </c>
      <c r="N1" s="16" t="str">
        <f>IFERROR(__xludf.DUMMYFUNCTION("""COMPUTED_VALUE"""),"Date Approved")</f>
        <v>Date Approved</v>
      </c>
      <c r="O1" s="16" t="str">
        <f>IFERROR(__xludf.DUMMYFUNCTION("""COMPUTED_VALUE"""),"Slot Start Date")</f>
        <v>Slot Start Date</v>
      </c>
      <c r="P1" s="16" t="str">
        <f>IFERROR(__xludf.DUMMYFUNCTION("""COMPUTED_VALUE"""),"Slot End Date")</f>
        <v>Slot End Date</v>
      </c>
      <c r="Q1" s="16" t="str">
        <f>IFERROR(__xludf.DUMMYFUNCTION("""COMPUTED_VALUE"""),"Date Realized")</f>
        <v>Date Realized</v>
      </c>
      <c r="R1" s="16" t="str">
        <f>IFERROR(__xludf.DUMMYFUNCTION("""COMPUTED_VALUE"""),"Experience End Date")</f>
        <v>Experience End Date</v>
      </c>
      <c r="S1" s="16" t="str">
        <f>IFERROR(__xludf.DUMMYFUNCTION("""COMPUTED_VALUE"""),"Remote Realized Date")</f>
        <v>Remote Realized Date</v>
      </c>
      <c r="T1" s="16" t="str">
        <f>IFERROR(__xludf.DUMMYFUNCTION("""COMPUTED_VALUE"""),"Sub Product")</f>
        <v>Sub Product</v>
      </c>
      <c r="U1" s="16" t="str">
        <f>IFERROR(__xludf.DUMMYFUNCTION("""COMPUTED_VALUE"""),"Title")</f>
        <v>Title</v>
      </c>
      <c r="V1" s="16" t="str">
        <f>IFERROR(__xludf.DUMMYFUNCTION("""COMPUTED_VALUE"""),"Campus")</f>
        <v>Campus</v>
      </c>
      <c r="W1" s="16" t="str">
        <f>IFERROR(__xludf.DUMMYFUNCTION("""COMPUTED_VALUE"""),"Signup Date")</f>
        <v>Signup Date</v>
      </c>
      <c r="X1" s="16" t="str">
        <f>IFERROR(__xludf.DUMMYFUNCTION("""COMPUTED_VALUE"""),"")</f>
        <v/>
      </c>
      <c r="Y1" s="16" t="str">
        <f>IFERROR(__xludf.DUMMYFUNCTION("""COMPUTED_VALUE"""),"")</f>
        <v/>
      </c>
      <c r="Z1" s="16" t="str">
        <f>IFERROR(__xludf.DUMMYFUNCTION("""COMPUTED_VALUE"""),"")</f>
        <v/>
      </c>
    </row>
    <row r="2">
      <c r="A2" s="16" t="str">
        <f>IFERROR(__xludf.DUMMYFUNCTION("""COMPUTED_VALUE"""),"5035398_1281895")</f>
        <v>5035398_1281895</v>
      </c>
      <c r="B2" s="16" t="str">
        <f>IFERROR(__xludf.DUMMYFUNCTION("""COMPUTED_VALUE"""),"ipek cevizoğlugil")</f>
        <v>ipek cevizoğlugil</v>
      </c>
      <c r="C2" s="16" t="str">
        <f>IFERROR(__xludf.DUMMYFUNCTION("""COMPUTED_VALUE"""),"approval_broken")</f>
        <v>approval_broken</v>
      </c>
      <c r="D2" s="16" t="str">
        <f>IFERROR(__xludf.DUMMYFUNCTION("""COMPUTED_VALUE"""),"No")</f>
        <v>No</v>
      </c>
      <c r="E2" s="16" t="str">
        <f>IFERROR(__xludf.DUMMYFUNCTION("""COMPUTED_VALUE"""),"p_9eae46c8ed810367ef8e304b3a5953543a3ce82d@inbound.aiesec.org")</f>
        <v>p_9eae46c8ed810367ef8e304b3a5953543a3ce82d@inbound.aiesec.org</v>
      </c>
      <c r="F2" s="16">
        <f>IFERROR(__xludf.DUMMYFUNCTION("""COMPUTED_VALUE"""),5.074768191E9)</f>
        <v>5074768191</v>
      </c>
      <c r="G2" s="16" t="str">
        <f>IFERROR(__xludf.DUMMYFUNCTION("""COMPUTED_VALUE"""),"Turkey")</f>
        <v>Turkey</v>
      </c>
      <c r="H2" s="16" t="str">
        <f>IFERROR(__xludf.DUMMYFUNCTION("""COMPUTED_VALUE"""),"ISTANBUL")</f>
        <v>ISTANBUL</v>
      </c>
      <c r="I2" s="16" t="str">
        <f>IFERROR(__xludf.DUMMYFUNCTION("""COMPUTED_VALUE"""),"Sri Lanka")</f>
        <v>Sri Lanka</v>
      </c>
      <c r="J2" s="16" t="str">
        <f>IFERROR(__xludf.DUMMYFUNCTION("""COMPUTED_VALUE"""),"COLOMBO SOUTH")</f>
        <v>COLOMBO SOUTH</v>
      </c>
      <c r="K2" s="17" t="str">
        <f>IFERROR(__xludf.DUMMYFUNCTION("""COMPUTED_VALUE"""),"https://expa.aiesec.org/opportunities/1281895")</f>
        <v>https://expa.aiesec.org/opportunities/1281895</v>
      </c>
      <c r="L2" s="16" t="str">
        <f>IFERROR(__xludf.DUMMYFUNCTION("""COMPUTED_VALUE"""),"GV")</f>
        <v>GV</v>
      </c>
      <c r="M2" s="16" t="str">
        <f>IFERROR(__xludf.DUMMYFUNCTION("""COMPUTED_VALUE"""),"short")</f>
        <v>short</v>
      </c>
      <c r="N2" s="18">
        <f>IFERROR(__xludf.DUMMYFUNCTION("""COMPUTED_VALUE"""),45190.0)</f>
        <v>45190</v>
      </c>
      <c r="O2" s="18">
        <f>IFERROR(__xludf.DUMMYFUNCTION("""COMPUTED_VALUE"""),44949.0)</f>
        <v>44949</v>
      </c>
      <c r="P2" s="18">
        <f>IFERROR(__xludf.DUMMYFUNCTION("""COMPUTED_VALUE"""),44992.0)</f>
        <v>44992</v>
      </c>
      <c r="Q2" s="18"/>
      <c r="R2" s="18"/>
      <c r="S2" s="16"/>
      <c r="T2" s="16"/>
      <c r="U2" s="16" t="str">
        <f>IFERROR(__xludf.DUMMYFUNCTION("""COMPUTED_VALUE"""),"Rooted")</f>
        <v>Rooted</v>
      </c>
      <c r="V2" s="16" t="str">
        <f>IFERROR(__xludf.DUMMYFUNCTION("""COMPUTED_VALUE"""),"ISTANBUL - BEYOGLU")</f>
        <v>ISTANBUL - BEYOGLU</v>
      </c>
      <c r="W2" s="16" t="str">
        <f>IFERROR(__xludf.DUMMYFUNCTION("""COMPUTED_VALUE"""),"2022-04-11T11:26:22Z")</f>
        <v>2022-04-11T11:26:22Z</v>
      </c>
      <c r="X2" s="16"/>
      <c r="Y2" s="16"/>
      <c r="Z2" s="16"/>
    </row>
    <row r="3">
      <c r="A3" s="16" t="str">
        <f>IFERROR(__xludf.DUMMYFUNCTION("""COMPUTED_VALUE"""),"5182527_1290924")</f>
        <v>5182527_1290924</v>
      </c>
      <c r="B3" s="16" t="str">
        <f>IFERROR(__xludf.DUMMYFUNCTION("""COMPUTED_VALUE"""),"Sirine Kerkeni")</f>
        <v>Sirine Kerkeni</v>
      </c>
      <c r="C3" s="16" t="str">
        <f>IFERROR(__xludf.DUMMYFUNCTION("""COMPUTED_VALUE"""),"completed")</f>
        <v>completed</v>
      </c>
      <c r="D3" s="16" t="str">
        <f>IFERROR(__xludf.DUMMYFUNCTION("""COMPUTED_VALUE"""),"No")</f>
        <v>No</v>
      </c>
      <c r="E3" s="16" t="str">
        <f>IFERROR(__xludf.DUMMYFUNCTION("""COMPUTED_VALUE"""),"p_e9f7bea11696ff5648d612f52fdb127a1e789cd8@inbound.aiesec.org")</f>
        <v>p_e9f7bea11696ff5648d612f52fdb127a1e789cd8@inbound.aiesec.org</v>
      </c>
      <c r="F3" s="16">
        <f>IFERROR(__xludf.DUMMYFUNCTION("""COMPUTED_VALUE"""),2.7106629E7)</f>
        <v>27106629</v>
      </c>
      <c r="G3" s="16" t="str">
        <f>IFERROR(__xludf.DUMMYFUNCTION("""COMPUTED_VALUE"""),"Tunisia")</f>
        <v>Tunisia</v>
      </c>
      <c r="H3" s="16" t="str">
        <f>IFERROR(__xludf.DUMMYFUNCTION("""COMPUTED_VALUE"""),"BARDO")</f>
        <v>BARDO</v>
      </c>
      <c r="I3" s="16" t="str">
        <f>IFERROR(__xludf.DUMMYFUNCTION("""COMPUTED_VALUE"""),"Turkey")</f>
        <v>Turkey</v>
      </c>
      <c r="J3" s="16" t="str">
        <f>IFERROR(__xludf.DUMMYFUNCTION("""COMPUTED_VALUE"""),"ISTANBUL")</f>
        <v>ISTANBUL</v>
      </c>
      <c r="K3" s="17" t="str">
        <f>IFERROR(__xludf.DUMMYFUNCTION("""COMPUTED_VALUE"""),"https://expa.aiesec.org/opportunities/1290924")</f>
        <v>https://expa.aiesec.org/opportunities/1290924</v>
      </c>
      <c r="L3" s="16" t="str">
        <f>IFERROR(__xludf.DUMMYFUNCTION("""COMPUTED_VALUE"""),"GTa")</f>
        <v>GTa</v>
      </c>
      <c r="M3" s="16" t="str">
        <f>IFERROR(__xludf.DUMMYFUNCTION("""COMPUTED_VALUE"""),"short")</f>
        <v>short</v>
      </c>
      <c r="N3" s="18">
        <f>IFERROR(__xludf.DUMMYFUNCTION("""COMPUTED_VALUE"""),44958.0)</f>
        <v>44958</v>
      </c>
      <c r="O3" s="18">
        <f>IFERROR(__xludf.DUMMYFUNCTION("""COMPUTED_VALUE"""),44970.0)</f>
        <v>44970</v>
      </c>
      <c r="P3" s="18">
        <f>IFERROR(__xludf.DUMMYFUNCTION("""COMPUTED_VALUE"""),45023.0)</f>
        <v>45023</v>
      </c>
      <c r="Q3" s="18">
        <f>IFERROR(__xludf.DUMMYFUNCTION("""COMPUTED_VALUE"""),44971.0)</f>
        <v>44971</v>
      </c>
      <c r="R3" s="18">
        <f>IFERROR(__xludf.DUMMYFUNCTION("""COMPUTED_VALUE"""),45023.0)</f>
        <v>45023</v>
      </c>
      <c r="S3" s="16"/>
      <c r="T3" s="16" t="str">
        <f>IFERROR(__xludf.DUMMYFUNCTION("""COMPUTED_VALUE"""),"Business Development")</f>
        <v>Business Development</v>
      </c>
      <c r="U3" s="16" t="str">
        <f>IFERROR(__xludf.DUMMYFUNCTION("""COMPUTED_VALUE"""),"Sales Specialist in Istanbul")</f>
        <v>Sales Specialist in Istanbul</v>
      </c>
      <c r="V3" s="16" t="str">
        <f>IFERROR(__xludf.DUMMYFUNCTION("""COMPUTED_VALUE"""),"TBS")</f>
        <v>TBS</v>
      </c>
      <c r="W3" s="16" t="str">
        <f>IFERROR(__xludf.DUMMYFUNCTION("""COMPUTED_VALUE"""),"2023-01-30T23:31:17Z")</f>
        <v>2023-01-30T23:31:17Z</v>
      </c>
      <c r="X3" s="16"/>
      <c r="Y3" s="16"/>
      <c r="Z3" s="16"/>
    </row>
    <row r="4">
      <c r="A4" s="16" t="str">
        <f>IFERROR(__xludf.DUMMYFUNCTION("""COMPUTED_VALUE"""),"5175383_1290706")</f>
        <v>5175383_1290706</v>
      </c>
      <c r="B4" s="16" t="str">
        <f>IFERROR(__xludf.DUMMYFUNCTION("""COMPUTED_VALUE"""),"Eylül Sıla Soyata")</f>
        <v>Eylül Sıla Soyata</v>
      </c>
      <c r="C4" s="16" t="str">
        <f>IFERROR(__xludf.DUMMYFUNCTION("""COMPUTED_VALUE"""),"completed")</f>
        <v>completed</v>
      </c>
      <c r="D4" s="16" t="str">
        <f>IFERROR(__xludf.DUMMYFUNCTION("""COMPUTED_VALUE"""),"No")</f>
        <v>No</v>
      </c>
      <c r="E4" s="16" t="str">
        <f>IFERROR(__xludf.DUMMYFUNCTION("""COMPUTED_VALUE"""),"p_b523a48dab22a9bc3dda3824d8a4babf5c4c7485@inbound.aiesec.org")</f>
        <v>p_b523a48dab22a9bc3dda3824d8a4babf5c4c7485@inbound.aiesec.org</v>
      </c>
      <c r="F4" s="16">
        <f>IFERROR(__xludf.DUMMYFUNCTION("""COMPUTED_VALUE"""),5.382807923E9)</f>
        <v>5382807923</v>
      </c>
      <c r="G4" s="16" t="str">
        <f>IFERROR(__xludf.DUMMYFUNCTION("""COMPUTED_VALUE"""),"Turkey")</f>
        <v>Turkey</v>
      </c>
      <c r="H4" s="16" t="str">
        <f>IFERROR(__xludf.DUMMYFUNCTION("""COMPUTED_VALUE"""),"ISTANBUL")</f>
        <v>ISTANBUL</v>
      </c>
      <c r="I4" s="16" t="str">
        <f>IFERROR(__xludf.DUMMYFUNCTION("""COMPUTED_VALUE"""),"Egypt")</f>
        <v>Egypt</v>
      </c>
      <c r="J4" s="16" t="str">
        <f>IFERROR(__xludf.DUMMYFUNCTION("""COMPUTED_VALUE"""),"Ain Shams University")</f>
        <v>Ain Shams University</v>
      </c>
      <c r="K4" s="17" t="str">
        <f>IFERROR(__xludf.DUMMYFUNCTION("""COMPUTED_VALUE"""),"https://expa.aiesec.org/opportunities/1290706")</f>
        <v>https://expa.aiesec.org/opportunities/1290706</v>
      </c>
      <c r="L4" s="16" t="str">
        <f>IFERROR(__xludf.DUMMYFUNCTION("""COMPUTED_VALUE"""),"GV")</f>
        <v>GV</v>
      </c>
      <c r="M4" s="16" t="str">
        <f>IFERROR(__xludf.DUMMYFUNCTION("""COMPUTED_VALUE"""),"short")</f>
        <v>short</v>
      </c>
      <c r="N4" s="18">
        <f>IFERROR(__xludf.DUMMYFUNCTION("""COMPUTED_VALUE"""),44958.0)</f>
        <v>44958</v>
      </c>
      <c r="O4" s="18">
        <f>IFERROR(__xludf.DUMMYFUNCTION("""COMPUTED_VALUE"""),45108.0)</f>
        <v>45108</v>
      </c>
      <c r="P4" s="18">
        <f>IFERROR(__xludf.DUMMYFUNCTION("""COMPUTED_VALUE"""),45150.0)</f>
        <v>45150</v>
      </c>
      <c r="Q4" s="18">
        <f>IFERROR(__xludf.DUMMYFUNCTION("""COMPUTED_VALUE"""),45107.0)</f>
        <v>45107</v>
      </c>
      <c r="R4" s="18">
        <f>IFERROR(__xludf.DUMMYFUNCTION("""COMPUTED_VALUE"""),45150.0)</f>
        <v>45150</v>
      </c>
      <c r="S4" s="16"/>
      <c r="T4" s="16"/>
      <c r="U4" s="16" t="str">
        <f>IFERROR(__xludf.DUMMYFUNCTION("""COMPUTED_VALUE"""),"Fingerprint")</f>
        <v>Fingerprint</v>
      </c>
      <c r="V4" s="16" t="str">
        <f>IFERROR(__xludf.DUMMYFUNCTION("""COMPUTED_VALUE"""),"ISTANBUL - BEYOGLU")</f>
        <v>ISTANBUL - BEYOGLU</v>
      </c>
      <c r="W4" s="16" t="str">
        <f>IFERROR(__xludf.DUMMYFUNCTION("""COMPUTED_VALUE"""),"2023-01-11T09:12:04Z")</f>
        <v>2023-01-11T09:12:04Z</v>
      </c>
      <c r="X4" s="16"/>
      <c r="Y4" s="16"/>
      <c r="Z4" s="16"/>
    </row>
    <row r="5">
      <c r="A5" s="16" t="str">
        <f>IFERROR(__xludf.DUMMYFUNCTION("""COMPUTED_VALUE"""),"5179202_1291623")</f>
        <v>5179202_1291623</v>
      </c>
      <c r="B5" s="16" t="str">
        <f>IFERROR(__xludf.DUMMYFUNCTION("""COMPUTED_VALUE"""),"Beyza Bayın")</f>
        <v>Beyza Bayın</v>
      </c>
      <c r="C5" s="16" t="str">
        <f>IFERROR(__xludf.DUMMYFUNCTION("""COMPUTED_VALUE"""),"completed")</f>
        <v>completed</v>
      </c>
      <c r="D5" s="16" t="str">
        <f>IFERROR(__xludf.DUMMYFUNCTION("""COMPUTED_VALUE"""),"No")</f>
        <v>No</v>
      </c>
      <c r="E5" s="16" t="str">
        <f>IFERROR(__xludf.DUMMYFUNCTION("""COMPUTED_VALUE"""),"p_25e477f26277e34678625cc100666a44f1f8e460@inbound.aiesec.org")</f>
        <v>p_25e477f26277e34678625cc100666a44f1f8e460@inbound.aiesec.org</v>
      </c>
      <c r="F5" s="16"/>
      <c r="G5" s="16" t="str">
        <f>IFERROR(__xludf.DUMMYFUNCTION("""COMPUTED_VALUE"""),"Turkey")</f>
        <v>Turkey</v>
      </c>
      <c r="H5" s="16" t="str">
        <f>IFERROR(__xludf.DUMMYFUNCTION("""COMPUTED_VALUE"""),"ISTANBUL")</f>
        <v>ISTANBUL</v>
      </c>
      <c r="I5" s="16" t="str">
        <f>IFERROR(__xludf.DUMMYFUNCTION("""COMPUTED_VALUE"""),"Romania")</f>
        <v>Romania</v>
      </c>
      <c r="J5" s="16" t="str">
        <f>IFERROR(__xludf.DUMMYFUNCTION("""COMPUTED_VALUE"""),"IASI")</f>
        <v>IASI</v>
      </c>
      <c r="K5" s="17" t="str">
        <f>IFERROR(__xludf.DUMMYFUNCTION("""COMPUTED_VALUE"""),"https://expa.aiesec.org/opportunities/1291623")</f>
        <v>https://expa.aiesec.org/opportunities/1291623</v>
      </c>
      <c r="L5" s="16" t="str">
        <f>IFERROR(__xludf.DUMMYFUNCTION("""COMPUTED_VALUE"""),"GV")</f>
        <v>GV</v>
      </c>
      <c r="M5" s="16" t="str">
        <f>IFERROR(__xludf.DUMMYFUNCTION("""COMPUTED_VALUE"""),"short")</f>
        <v>short</v>
      </c>
      <c r="N5" s="18">
        <f>IFERROR(__xludf.DUMMYFUNCTION("""COMPUTED_VALUE"""),44958.0)</f>
        <v>44958</v>
      </c>
      <c r="O5" s="18">
        <f>IFERROR(__xludf.DUMMYFUNCTION("""COMPUTED_VALUE"""),45103.0)</f>
        <v>45103</v>
      </c>
      <c r="P5" s="18">
        <f>IFERROR(__xludf.DUMMYFUNCTION("""COMPUTED_VALUE"""),45145.0)</f>
        <v>45145</v>
      </c>
      <c r="Q5" s="18">
        <f>IFERROR(__xludf.DUMMYFUNCTION("""COMPUTED_VALUE"""),45103.0)</f>
        <v>45103</v>
      </c>
      <c r="R5" s="18">
        <f>IFERROR(__xludf.DUMMYFUNCTION("""COMPUTED_VALUE"""),45145.0)</f>
        <v>45145</v>
      </c>
      <c r="S5" s="16"/>
      <c r="T5" s="16"/>
      <c r="U5" s="16" t="str">
        <f>IFERROR(__xludf.DUMMYFUNCTION("""COMPUTED_VALUE"""),"Global Classroom")</f>
        <v>Global Classroom</v>
      </c>
      <c r="V5" s="16" t="str">
        <f>IFERROR(__xludf.DUMMYFUNCTION("""COMPUTED_VALUE"""),"ISTANBUL - BEYOGLU")</f>
        <v>ISTANBUL - BEYOGLU</v>
      </c>
      <c r="W5" s="16" t="str">
        <f>IFERROR(__xludf.DUMMYFUNCTION("""COMPUTED_VALUE"""),"2023-01-21T20:02:34Z")</f>
        <v>2023-01-21T20:02:34Z</v>
      </c>
      <c r="X5" s="16"/>
      <c r="Y5" s="16"/>
      <c r="Z5" s="16"/>
    </row>
    <row r="6">
      <c r="A6" s="16" t="str">
        <f>IFERROR(__xludf.DUMMYFUNCTION("""COMPUTED_VALUE"""),"5181176_1290024")</f>
        <v>5181176_1290024</v>
      </c>
      <c r="B6" s="16" t="str">
        <f>IFERROR(__xludf.DUMMYFUNCTION("""COMPUTED_VALUE"""),"Fatma Zehra Yılmaz")</f>
        <v>Fatma Zehra Yılmaz</v>
      </c>
      <c r="C6" s="16" t="str">
        <f>IFERROR(__xludf.DUMMYFUNCTION("""COMPUTED_VALUE"""),"completed")</f>
        <v>completed</v>
      </c>
      <c r="D6" s="16" t="str">
        <f>IFERROR(__xludf.DUMMYFUNCTION("""COMPUTED_VALUE"""),"No")</f>
        <v>No</v>
      </c>
      <c r="E6" s="16" t="str">
        <f>IFERROR(__xludf.DUMMYFUNCTION("""COMPUTED_VALUE"""),"p_2e31cbf0b203b303f474f8cdaa122712dd71f549@inbound.aiesec.org")</f>
        <v>p_2e31cbf0b203b303f474f8cdaa122712dd71f549@inbound.aiesec.org</v>
      </c>
      <c r="F6" s="16">
        <f>IFERROR(__xludf.DUMMYFUNCTION("""COMPUTED_VALUE"""),5.534599393E9)</f>
        <v>5534599393</v>
      </c>
      <c r="G6" s="16" t="str">
        <f>IFERROR(__xludf.DUMMYFUNCTION("""COMPUTED_VALUE"""),"Turkey")</f>
        <v>Turkey</v>
      </c>
      <c r="H6" s="16" t="str">
        <f>IFERROR(__xludf.DUMMYFUNCTION("""COMPUTED_VALUE"""),"ISTANBUL")</f>
        <v>ISTANBUL</v>
      </c>
      <c r="I6" s="16" t="str">
        <f>IFERROR(__xludf.DUMMYFUNCTION("""COMPUTED_VALUE"""),"Egypt")</f>
        <v>Egypt</v>
      </c>
      <c r="J6" s="16" t="str">
        <f>IFERROR(__xludf.DUMMYFUNCTION("""COMPUTED_VALUE"""),"Ain Shams University")</f>
        <v>Ain Shams University</v>
      </c>
      <c r="K6" s="17" t="str">
        <f>IFERROR(__xludf.DUMMYFUNCTION("""COMPUTED_VALUE"""),"https://expa.aiesec.org/opportunities/1290024")</f>
        <v>https://expa.aiesec.org/opportunities/1290024</v>
      </c>
      <c r="L6" s="16" t="str">
        <f>IFERROR(__xludf.DUMMYFUNCTION("""COMPUTED_VALUE"""),"GV")</f>
        <v>GV</v>
      </c>
      <c r="M6" s="16" t="str">
        <f>IFERROR(__xludf.DUMMYFUNCTION("""COMPUTED_VALUE"""),"short")</f>
        <v>short</v>
      </c>
      <c r="N6" s="18">
        <f>IFERROR(__xludf.DUMMYFUNCTION("""COMPUTED_VALUE"""),44958.0)</f>
        <v>44958</v>
      </c>
      <c r="O6" s="18">
        <f>IFERROR(__xludf.DUMMYFUNCTION("""COMPUTED_VALUE"""),45108.0)</f>
        <v>45108</v>
      </c>
      <c r="P6" s="18">
        <f>IFERROR(__xludf.DUMMYFUNCTION("""COMPUTED_VALUE"""),45150.0)</f>
        <v>45150</v>
      </c>
      <c r="Q6" s="18">
        <f>IFERROR(__xludf.DUMMYFUNCTION("""COMPUTED_VALUE"""),45116.0)</f>
        <v>45116</v>
      </c>
      <c r="R6" s="18">
        <f>IFERROR(__xludf.DUMMYFUNCTION("""COMPUTED_VALUE"""),45158.0)</f>
        <v>45158</v>
      </c>
      <c r="S6" s="16"/>
      <c r="T6" s="16"/>
      <c r="U6" s="16" t="str">
        <f>IFERROR(__xludf.DUMMYFUNCTION("""COMPUTED_VALUE"""),"On The Map")</f>
        <v>On The Map</v>
      </c>
      <c r="V6" s="16" t="str">
        <f>IFERROR(__xludf.DUMMYFUNCTION("""COMPUTED_VALUE"""),"ISTANBUL - BEYOGLU")</f>
        <v>ISTANBUL - BEYOGLU</v>
      </c>
      <c r="W6" s="16" t="str">
        <f>IFERROR(__xludf.DUMMYFUNCTION("""COMPUTED_VALUE"""),"2023-01-27T09:25:03Z")</f>
        <v>2023-01-27T09:25:03Z</v>
      </c>
      <c r="X6" s="16"/>
      <c r="Y6" s="16"/>
      <c r="Z6" s="16"/>
    </row>
    <row r="7">
      <c r="A7" s="16" t="str">
        <f>IFERROR(__xludf.DUMMYFUNCTION("""COMPUTED_VALUE"""),"5180925_1291623")</f>
        <v>5180925_1291623</v>
      </c>
      <c r="B7" s="16" t="str">
        <f>IFERROR(__xludf.DUMMYFUNCTION("""COMPUTED_VALUE"""),"Melisa Zorlu")</f>
        <v>Melisa Zorlu</v>
      </c>
      <c r="C7" s="16" t="str">
        <f>IFERROR(__xludf.DUMMYFUNCTION("""COMPUTED_VALUE"""),"approved")</f>
        <v>approved</v>
      </c>
      <c r="D7" s="16" t="str">
        <f>IFERROR(__xludf.DUMMYFUNCTION("""COMPUTED_VALUE"""),"No")</f>
        <v>No</v>
      </c>
      <c r="E7" s="16" t="str">
        <f>IFERROR(__xludf.DUMMYFUNCTION("""COMPUTED_VALUE"""),"p_bff41b4a6ae32e261d344c4406710affb96baca4@inbound.aiesec.org")</f>
        <v>p_bff41b4a6ae32e261d344c4406710affb96baca4@inbound.aiesec.org</v>
      </c>
      <c r="F7" s="16"/>
      <c r="G7" s="16" t="str">
        <f>IFERROR(__xludf.DUMMYFUNCTION("""COMPUTED_VALUE"""),"Turkey")</f>
        <v>Turkey</v>
      </c>
      <c r="H7" s="16" t="str">
        <f>IFERROR(__xludf.DUMMYFUNCTION("""COMPUTED_VALUE"""),"ISTANBUL")</f>
        <v>ISTANBUL</v>
      </c>
      <c r="I7" s="16" t="str">
        <f>IFERROR(__xludf.DUMMYFUNCTION("""COMPUTED_VALUE"""),"Romania")</f>
        <v>Romania</v>
      </c>
      <c r="J7" s="16" t="str">
        <f>IFERROR(__xludf.DUMMYFUNCTION("""COMPUTED_VALUE"""),"IASI")</f>
        <v>IASI</v>
      </c>
      <c r="K7" s="17" t="str">
        <f>IFERROR(__xludf.DUMMYFUNCTION("""COMPUTED_VALUE"""),"https://expa.aiesec.org/opportunities/1291623")</f>
        <v>https://expa.aiesec.org/opportunities/1291623</v>
      </c>
      <c r="L7" s="16" t="str">
        <f>IFERROR(__xludf.DUMMYFUNCTION("""COMPUTED_VALUE"""),"GV")</f>
        <v>GV</v>
      </c>
      <c r="M7" s="16" t="str">
        <f>IFERROR(__xludf.DUMMYFUNCTION("""COMPUTED_VALUE"""),"short")</f>
        <v>short</v>
      </c>
      <c r="N7" s="18">
        <f>IFERROR(__xludf.DUMMYFUNCTION("""COMPUTED_VALUE"""),44958.0)</f>
        <v>44958</v>
      </c>
      <c r="O7" s="18">
        <f>IFERROR(__xludf.DUMMYFUNCTION("""COMPUTED_VALUE"""),45103.0)</f>
        <v>45103</v>
      </c>
      <c r="P7" s="18">
        <f>IFERROR(__xludf.DUMMYFUNCTION("""COMPUTED_VALUE"""),45145.0)</f>
        <v>45145</v>
      </c>
      <c r="Q7" s="18"/>
      <c r="R7" s="18"/>
      <c r="S7" s="16"/>
      <c r="T7" s="16"/>
      <c r="U7" s="16" t="str">
        <f>IFERROR(__xludf.DUMMYFUNCTION("""COMPUTED_VALUE"""),"Global Classroom")</f>
        <v>Global Classroom</v>
      </c>
      <c r="V7" s="16" t="str">
        <f>IFERROR(__xludf.DUMMYFUNCTION("""COMPUTED_VALUE"""),"-")</f>
        <v>-</v>
      </c>
      <c r="W7" s="16" t="str">
        <f>IFERROR(__xludf.DUMMYFUNCTION("""COMPUTED_VALUE"""),"2023-01-26T17:15:53Z")</f>
        <v>2023-01-26T17:15:53Z</v>
      </c>
      <c r="X7" s="16"/>
      <c r="Y7" s="16"/>
      <c r="Z7" s="16"/>
    </row>
    <row r="8">
      <c r="A8" s="16" t="str">
        <f>IFERROR(__xludf.DUMMYFUNCTION("""COMPUTED_VALUE"""),"5176609_1272564")</f>
        <v>5176609_1272564</v>
      </c>
      <c r="B8" s="16" t="str">
        <f>IFERROR(__xludf.DUMMYFUNCTION("""COMPUTED_VALUE"""),"Iulian Portarescul")</f>
        <v>Iulian Portarescul</v>
      </c>
      <c r="C8" s="16" t="str">
        <f>IFERROR(__xludf.DUMMYFUNCTION("""COMPUTED_VALUE"""),"finished")</f>
        <v>finished</v>
      </c>
      <c r="D8" s="16" t="str">
        <f>IFERROR(__xludf.DUMMYFUNCTION("""COMPUTED_VALUE"""),"No")</f>
        <v>No</v>
      </c>
      <c r="E8" s="16" t="str">
        <f>IFERROR(__xludf.DUMMYFUNCTION("""COMPUTED_VALUE"""),"p_61f5461cc71e64e5090c1d012d31a085c81c3e83@inbound.aiesec.org")</f>
        <v>p_61f5461cc71e64e5090c1d012d31a085c81c3e83@inbound.aiesec.org</v>
      </c>
      <c r="F8" s="16"/>
      <c r="G8" s="16" t="str">
        <f>IFERROR(__xludf.DUMMYFUNCTION("""COMPUTED_VALUE"""),"Romania")</f>
        <v>Romania</v>
      </c>
      <c r="H8" s="16" t="str">
        <f>IFERROR(__xludf.DUMMYFUNCTION("""COMPUTED_VALUE"""),"Cluj-Napoca")</f>
        <v>Cluj-Napoca</v>
      </c>
      <c r="I8" s="16" t="str">
        <f>IFERROR(__xludf.DUMMYFUNCTION("""COMPUTED_VALUE"""),"Turkey")</f>
        <v>Turkey</v>
      </c>
      <c r="J8" s="16" t="str">
        <f>IFERROR(__xludf.DUMMYFUNCTION("""COMPUTED_VALUE"""),"ISTANBUL")</f>
        <v>ISTANBUL</v>
      </c>
      <c r="K8" s="17" t="str">
        <f>IFERROR(__xludf.DUMMYFUNCTION("""COMPUTED_VALUE"""),"https://expa.aiesec.org/opportunities/1272564")</f>
        <v>https://expa.aiesec.org/opportunities/1272564</v>
      </c>
      <c r="L8" s="16" t="str">
        <f>IFERROR(__xludf.DUMMYFUNCTION("""COMPUTED_VALUE"""),"GV")</f>
        <v>GV</v>
      </c>
      <c r="M8" s="16" t="str">
        <f>IFERROR(__xludf.DUMMYFUNCTION("""COMPUTED_VALUE"""),"short")</f>
        <v>short</v>
      </c>
      <c r="N8" s="18">
        <f>IFERROR(__xludf.DUMMYFUNCTION("""COMPUTED_VALUE"""),44958.0)</f>
        <v>44958</v>
      </c>
      <c r="O8" s="18">
        <f>IFERROR(__xludf.DUMMYFUNCTION("""COMPUTED_VALUE"""),45123.0)</f>
        <v>45123</v>
      </c>
      <c r="P8" s="18">
        <f>IFERROR(__xludf.DUMMYFUNCTION("""COMPUTED_VALUE"""),45165.0)</f>
        <v>45165</v>
      </c>
      <c r="Q8" s="18">
        <f>IFERROR(__xludf.DUMMYFUNCTION("""COMPUTED_VALUE"""),45125.0)</f>
        <v>45125</v>
      </c>
      <c r="R8" s="18">
        <f>IFERROR(__xludf.DUMMYFUNCTION("""COMPUTED_VALUE"""),45165.0)</f>
        <v>45165</v>
      </c>
      <c r="S8" s="16"/>
      <c r="T8" s="16"/>
      <c r="U8" s="16" t="str">
        <f>IFERROR(__xludf.DUMMYFUNCTION("""COMPUTED_VALUE"""),"Global Classroom")</f>
        <v>Global Classroom</v>
      </c>
      <c r="V8" s="16" t="str">
        <f>IFERROR(__xludf.DUMMYFUNCTION("""COMPUTED_VALUE"""),"-")</f>
        <v>-</v>
      </c>
      <c r="W8" s="16" t="str">
        <f>IFERROR(__xludf.DUMMYFUNCTION("""COMPUTED_VALUE"""),"2023-01-14T19:44:44Z")</f>
        <v>2023-01-14T19:44:44Z</v>
      </c>
      <c r="X8" s="16"/>
      <c r="Y8" s="16"/>
      <c r="Z8" s="16"/>
    </row>
    <row r="9">
      <c r="A9" s="16" t="str">
        <f>IFERROR(__xludf.DUMMYFUNCTION("""COMPUTED_VALUE"""),"5176835_1287304")</f>
        <v>5176835_1287304</v>
      </c>
      <c r="B9" s="16" t="str">
        <f>IFERROR(__xludf.DUMMYFUNCTION("""COMPUTED_VALUE"""),"Kaan Berk Dönmez")</f>
        <v>Kaan Berk Dönmez</v>
      </c>
      <c r="C9" s="16" t="str">
        <f>IFERROR(__xludf.DUMMYFUNCTION("""COMPUTED_VALUE"""),"approved")</f>
        <v>approved</v>
      </c>
      <c r="D9" s="16" t="str">
        <f>IFERROR(__xludf.DUMMYFUNCTION("""COMPUTED_VALUE"""),"No")</f>
        <v>No</v>
      </c>
      <c r="E9" s="16" t="str">
        <f>IFERROR(__xludf.DUMMYFUNCTION("""COMPUTED_VALUE"""),"p_04f7b3e0b77592bcd136cff56bd7580843c3b9b8@inbound.aiesec.org")</f>
        <v>p_04f7b3e0b77592bcd136cff56bd7580843c3b9b8@inbound.aiesec.org</v>
      </c>
      <c r="F9" s="16"/>
      <c r="G9" s="16" t="str">
        <f>IFERROR(__xludf.DUMMYFUNCTION("""COMPUTED_VALUE"""),"Turkey")</f>
        <v>Turkey</v>
      </c>
      <c r="H9" s="16" t="str">
        <f>IFERROR(__xludf.DUMMYFUNCTION("""COMPUTED_VALUE"""),"ISTANBUL")</f>
        <v>ISTANBUL</v>
      </c>
      <c r="I9" s="16" t="str">
        <f>IFERROR(__xludf.DUMMYFUNCTION("""COMPUTED_VALUE"""),"Egypt")</f>
        <v>Egypt</v>
      </c>
      <c r="J9" s="16" t="str">
        <f>IFERROR(__xludf.DUMMYFUNCTION("""COMPUTED_VALUE"""),"Ain Shams University")</f>
        <v>Ain Shams University</v>
      </c>
      <c r="K9" s="17" t="str">
        <f>IFERROR(__xludf.DUMMYFUNCTION("""COMPUTED_VALUE"""),"https://expa.aiesec.org/opportunities/1287304")</f>
        <v>https://expa.aiesec.org/opportunities/1287304</v>
      </c>
      <c r="L9" s="16" t="str">
        <f>IFERROR(__xludf.DUMMYFUNCTION("""COMPUTED_VALUE"""),"GV")</f>
        <v>GV</v>
      </c>
      <c r="M9" s="16" t="str">
        <f>IFERROR(__xludf.DUMMYFUNCTION("""COMPUTED_VALUE"""),"short")</f>
        <v>short</v>
      </c>
      <c r="N9" s="18">
        <f>IFERROR(__xludf.DUMMYFUNCTION("""COMPUTED_VALUE"""),44958.0)</f>
        <v>44958</v>
      </c>
      <c r="O9" s="18">
        <f>IFERROR(__xludf.DUMMYFUNCTION("""COMPUTED_VALUE"""),45108.0)</f>
        <v>45108</v>
      </c>
      <c r="P9" s="18">
        <f>IFERROR(__xludf.DUMMYFUNCTION("""COMPUTED_VALUE"""),45150.0)</f>
        <v>45150</v>
      </c>
      <c r="Q9" s="18"/>
      <c r="R9" s="18"/>
      <c r="S9" s="16"/>
      <c r="T9" s="16"/>
      <c r="U9" s="16" t="str">
        <f>IFERROR(__xludf.DUMMYFUNCTION("""COMPUTED_VALUE"""),"Scale Up!")</f>
        <v>Scale Up!</v>
      </c>
      <c r="V9" s="16" t="str">
        <f>IFERROR(__xludf.DUMMYFUNCTION("""COMPUTED_VALUE"""),"-")</f>
        <v>-</v>
      </c>
      <c r="W9" s="16" t="str">
        <f>IFERROR(__xludf.DUMMYFUNCTION("""COMPUTED_VALUE"""),"2023-01-15T18:08:42Z")</f>
        <v>2023-01-15T18:08:42Z</v>
      </c>
      <c r="X9" s="16"/>
      <c r="Y9" s="16"/>
      <c r="Z9" s="16"/>
    </row>
    <row r="10">
      <c r="A10" s="16" t="str">
        <f>IFERROR(__xludf.DUMMYFUNCTION("""COMPUTED_VALUE"""),"5136234_1285687")</f>
        <v>5136234_1285687</v>
      </c>
      <c r="B10" s="16" t="str">
        <f>IFERROR(__xludf.DUMMYFUNCTION("""COMPUTED_VALUE"""),"Diana Moisă")</f>
        <v>Diana Moisă</v>
      </c>
      <c r="C10" s="16" t="str">
        <f>IFERROR(__xludf.DUMMYFUNCTION("""COMPUTED_VALUE"""),"completed")</f>
        <v>completed</v>
      </c>
      <c r="D10" s="16" t="str">
        <f>IFERROR(__xludf.DUMMYFUNCTION("""COMPUTED_VALUE"""),"No")</f>
        <v>No</v>
      </c>
      <c r="E10" s="16" t="str">
        <f>IFERROR(__xludf.DUMMYFUNCTION("""COMPUTED_VALUE"""),"p_389898c522c5ab4958b1804e6fb3f730ec1eede0@inbound.aiesec.org")</f>
        <v>p_389898c522c5ab4958b1804e6fb3f730ec1eede0@inbound.aiesec.org</v>
      </c>
      <c r="F10" s="16">
        <f>IFERROR(__xludf.DUMMYFUNCTION("""COMPUTED_VALUE"""),7.64694473E8)</f>
        <v>764694473</v>
      </c>
      <c r="G10" s="16" t="str">
        <f>IFERROR(__xludf.DUMMYFUNCTION("""COMPUTED_VALUE"""),"Romania")</f>
        <v>Romania</v>
      </c>
      <c r="H10" s="16" t="str">
        <f>IFERROR(__xludf.DUMMYFUNCTION("""COMPUTED_VALUE"""),"Cluj-Napoca")</f>
        <v>Cluj-Napoca</v>
      </c>
      <c r="I10" s="16" t="str">
        <f>IFERROR(__xludf.DUMMYFUNCTION("""COMPUTED_VALUE"""),"Turkey")</f>
        <v>Turkey</v>
      </c>
      <c r="J10" s="16" t="str">
        <f>IFERROR(__xludf.DUMMYFUNCTION("""COMPUTED_VALUE"""),"ISTANBUL")</f>
        <v>ISTANBUL</v>
      </c>
      <c r="K10" s="17" t="str">
        <f>IFERROR(__xludf.DUMMYFUNCTION("""COMPUTED_VALUE"""),"https://expa.aiesec.org/opportunities/1285687")</f>
        <v>https://expa.aiesec.org/opportunities/1285687</v>
      </c>
      <c r="L10" s="16" t="str">
        <f>IFERROR(__xludf.DUMMYFUNCTION("""COMPUTED_VALUE"""),"GV")</f>
        <v>GV</v>
      </c>
      <c r="M10" s="16" t="str">
        <f>IFERROR(__xludf.DUMMYFUNCTION("""COMPUTED_VALUE"""),"short")</f>
        <v>short</v>
      </c>
      <c r="N10" s="18">
        <f>IFERROR(__xludf.DUMMYFUNCTION("""COMPUTED_VALUE"""),44958.0)</f>
        <v>44958</v>
      </c>
      <c r="O10" s="18">
        <f>IFERROR(__xludf.DUMMYFUNCTION("""COMPUTED_VALUE"""),45122.0)</f>
        <v>45122</v>
      </c>
      <c r="P10" s="18">
        <f>IFERROR(__xludf.DUMMYFUNCTION("""COMPUTED_VALUE"""),45164.0)</f>
        <v>45164</v>
      </c>
      <c r="Q10" s="18">
        <f>IFERROR(__xludf.DUMMYFUNCTION("""COMPUTED_VALUE"""),45121.0)</f>
        <v>45121</v>
      </c>
      <c r="R10" s="18">
        <f>IFERROR(__xludf.DUMMYFUNCTION("""COMPUTED_VALUE"""),45164.0)</f>
        <v>45164</v>
      </c>
      <c r="S10" s="16"/>
      <c r="T10" s="16"/>
      <c r="U10" s="16" t="str">
        <f>IFERROR(__xludf.DUMMYFUNCTION("""COMPUTED_VALUE"""),"Youth 4 Impact")</f>
        <v>Youth 4 Impact</v>
      </c>
      <c r="V10" s="16" t="str">
        <f>IFERROR(__xludf.DUMMYFUNCTION("""COMPUTED_VALUE"""),"Cluj-Napoca")</f>
        <v>Cluj-Napoca</v>
      </c>
      <c r="W10" s="16" t="str">
        <f>IFERROR(__xludf.DUMMYFUNCTION("""COMPUTED_VALUE"""),"2022-10-18T21:24:01Z")</f>
        <v>2022-10-18T21:24:01Z</v>
      </c>
      <c r="X10" s="16"/>
      <c r="Y10" s="16"/>
      <c r="Z10" s="16"/>
    </row>
    <row r="11">
      <c r="A11" s="16" t="str">
        <f>IFERROR(__xludf.DUMMYFUNCTION("""COMPUTED_VALUE"""),"5176311_1285687")</f>
        <v>5176311_1285687</v>
      </c>
      <c r="B11" s="16" t="str">
        <f>IFERROR(__xludf.DUMMYFUNCTION("""COMPUTED_VALUE"""),"Giorgia Siligardi")</f>
        <v>Giorgia Siligardi</v>
      </c>
      <c r="C11" s="16" t="str">
        <f>IFERROR(__xludf.DUMMYFUNCTION("""COMPUTED_VALUE"""),"finished")</f>
        <v>finished</v>
      </c>
      <c r="D11" s="16" t="str">
        <f>IFERROR(__xludf.DUMMYFUNCTION("""COMPUTED_VALUE"""),"No")</f>
        <v>No</v>
      </c>
      <c r="E11" s="16" t="str">
        <f>IFERROR(__xludf.DUMMYFUNCTION("""COMPUTED_VALUE"""),"p_fb37154589129b5873faeaae854e74341c88986e@inbound.aiesec.org")</f>
        <v>p_fb37154589129b5873faeaae854e74341c88986e@inbound.aiesec.org</v>
      </c>
      <c r="F11" s="16">
        <f>IFERROR(__xludf.DUMMYFUNCTION("""COMPUTED_VALUE"""),7.47586902E8)</f>
        <v>747586902</v>
      </c>
      <c r="G11" s="16" t="str">
        <f>IFERROR(__xludf.DUMMYFUNCTION("""COMPUTED_VALUE"""),"Romania")</f>
        <v>Romania</v>
      </c>
      <c r="H11" s="16" t="str">
        <f>IFERROR(__xludf.DUMMYFUNCTION("""COMPUTED_VALUE"""),"Cluj-Napoca")</f>
        <v>Cluj-Napoca</v>
      </c>
      <c r="I11" s="16" t="str">
        <f>IFERROR(__xludf.DUMMYFUNCTION("""COMPUTED_VALUE"""),"Turkey")</f>
        <v>Turkey</v>
      </c>
      <c r="J11" s="16" t="str">
        <f>IFERROR(__xludf.DUMMYFUNCTION("""COMPUTED_VALUE"""),"ISTANBUL")</f>
        <v>ISTANBUL</v>
      </c>
      <c r="K11" s="17" t="str">
        <f>IFERROR(__xludf.DUMMYFUNCTION("""COMPUTED_VALUE"""),"https://expa.aiesec.org/opportunities/1285687")</f>
        <v>https://expa.aiesec.org/opportunities/1285687</v>
      </c>
      <c r="L11" s="16" t="str">
        <f>IFERROR(__xludf.DUMMYFUNCTION("""COMPUTED_VALUE"""),"GV")</f>
        <v>GV</v>
      </c>
      <c r="M11" s="16" t="str">
        <f>IFERROR(__xludf.DUMMYFUNCTION("""COMPUTED_VALUE"""),"short")</f>
        <v>short</v>
      </c>
      <c r="N11" s="18">
        <f>IFERROR(__xludf.DUMMYFUNCTION("""COMPUTED_VALUE"""),44958.0)</f>
        <v>44958</v>
      </c>
      <c r="O11" s="18">
        <f>IFERROR(__xludf.DUMMYFUNCTION("""COMPUTED_VALUE"""),45122.0)</f>
        <v>45122</v>
      </c>
      <c r="P11" s="18">
        <f>IFERROR(__xludf.DUMMYFUNCTION("""COMPUTED_VALUE"""),45164.0)</f>
        <v>45164</v>
      </c>
      <c r="Q11" s="18">
        <f>IFERROR(__xludf.DUMMYFUNCTION("""COMPUTED_VALUE"""),45121.0)</f>
        <v>45121</v>
      </c>
      <c r="R11" s="18">
        <f>IFERROR(__xludf.DUMMYFUNCTION("""COMPUTED_VALUE"""),45164.0)</f>
        <v>45164</v>
      </c>
      <c r="S11" s="16"/>
      <c r="T11" s="16"/>
      <c r="U11" s="16" t="str">
        <f>IFERROR(__xludf.DUMMYFUNCTION("""COMPUTED_VALUE"""),"Youth 4 Impact")</f>
        <v>Youth 4 Impact</v>
      </c>
      <c r="V11" s="16" t="str">
        <f>IFERROR(__xludf.DUMMYFUNCTION("""COMPUTED_VALUE"""),"Cluj-Napoca")</f>
        <v>Cluj-Napoca</v>
      </c>
      <c r="W11" s="16" t="str">
        <f>IFERROR(__xludf.DUMMYFUNCTION("""COMPUTED_VALUE"""),"2023-01-13T18:08:06Z")</f>
        <v>2023-01-13T18:08:06Z</v>
      </c>
      <c r="X11" s="16"/>
      <c r="Y11" s="16"/>
      <c r="Z11" s="16"/>
    </row>
    <row r="12">
      <c r="A12" s="16" t="str">
        <f>IFERROR(__xludf.DUMMYFUNCTION("""COMPUTED_VALUE"""),"5173882_1288393")</f>
        <v>5173882_1288393</v>
      </c>
      <c r="B12" s="16" t="str">
        <f>IFERROR(__xludf.DUMMYFUNCTION("""COMPUTED_VALUE"""),"Adia Aronescu")</f>
        <v>Adia Aronescu</v>
      </c>
      <c r="C12" s="16" t="str">
        <f>IFERROR(__xludf.DUMMYFUNCTION("""COMPUTED_VALUE"""),"completed")</f>
        <v>completed</v>
      </c>
      <c r="D12" s="16" t="str">
        <f>IFERROR(__xludf.DUMMYFUNCTION("""COMPUTED_VALUE"""),"No")</f>
        <v>No</v>
      </c>
      <c r="E12" s="16" t="str">
        <f>IFERROR(__xludf.DUMMYFUNCTION("""COMPUTED_VALUE"""),"p_a3592b8ca71f10fdbf9bbb62ec74fc5ec71535f2@inbound.aiesec.org")</f>
        <v>p_a3592b8ca71f10fdbf9bbb62ec74fc5ec71535f2@inbound.aiesec.org</v>
      </c>
      <c r="F12" s="16"/>
      <c r="G12" s="16" t="str">
        <f>IFERROR(__xludf.DUMMYFUNCTION("""COMPUTED_VALUE"""),"Romania")</f>
        <v>Romania</v>
      </c>
      <c r="H12" s="16" t="str">
        <f>IFERROR(__xludf.DUMMYFUNCTION("""COMPUTED_VALUE"""),"Cluj-Napoca")</f>
        <v>Cluj-Napoca</v>
      </c>
      <c r="I12" s="16" t="str">
        <f>IFERROR(__xludf.DUMMYFUNCTION("""COMPUTED_VALUE"""),"Turkey")</f>
        <v>Turkey</v>
      </c>
      <c r="J12" s="16" t="str">
        <f>IFERROR(__xludf.DUMMYFUNCTION("""COMPUTED_VALUE"""),"ISTANBUL")</f>
        <v>ISTANBUL</v>
      </c>
      <c r="K12" s="17" t="str">
        <f>IFERROR(__xludf.DUMMYFUNCTION("""COMPUTED_VALUE"""),"https://expa.aiesec.org/opportunities/1288393")</f>
        <v>https://expa.aiesec.org/opportunities/1288393</v>
      </c>
      <c r="L12" s="16" t="str">
        <f>IFERROR(__xludf.DUMMYFUNCTION("""COMPUTED_VALUE"""),"GV")</f>
        <v>GV</v>
      </c>
      <c r="M12" s="16" t="str">
        <f>IFERROR(__xludf.DUMMYFUNCTION("""COMPUTED_VALUE"""),"short")</f>
        <v>short</v>
      </c>
      <c r="N12" s="18">
        <f>IFERROR(__xludf.DUMMYFUNCTION("""COMPUTED_VALUE"""),44958.0)</f>
        <v>44958</v>
      </c>
      <c r="O12" s="18">
        <f>IFERROR(__xludf.DUMMYFUNCTION("""COMPUTED_VALUE"""),45123.0)</f>
        <v>45123</v>
      </c>
      <c r="P12" s="18">
        <f>IFERROR(__xludf.DUMMYFUNCTION("""COMPUTED_VALUE"""),45165.0)</f>
        <v>45165</v>
      </c>
      <c r="Q12" s="18">
        <f>IFERROR(__xludf.DUMMYFUNCTION("""COMPUTED_VALUE"""),45123.0)</f>
        <v>45123</v>
      </c>
      <c r="R12" s="18">
        <f>IFERROR(__xludf.DUMMYFUNCTION("""COMPUTED_VALUE"""),45165.0)</f>
        <v>45165</v>
      </c>
      <c r="S12" s="16"/>
      <c r="T12" s="16"/>
      <c r="U12" s="16" t="str">
        <f>IFERROR(__xludf.DUMMYFUNCTION("""COMPUTED_VALUE"""),"Global Classroom")</f>
        <v>Global Classroom</v>
      </c>
      <c r="V12" s="16" t="str">
        <f>IFERROR(__xludf.DUMMYFUNCTION("""COMPUTED_VALUE"""),"-")</f>
        <v>-</v>
      </c>
      <c r="W12" s="16" t="str">
        <f>IFERROR(__xludf.DUMMYFUNCTION("""COMPUTED_VALUE"""),"2023-01-06T21:08:55Z")</f>
        <v>2023-01-06T21:08:55Z</v>
      </c>
      <c r="X12" s="16"/>
      <c r="Y12" s="16"/>
      <c r="Z12" s="16"/>
    </row>
    <row r="13">
      <c r="A13" s="16" t="str">
        <f>IFERROR(__xludf.DUMMYFUNCTION("""COMPUTED_VALUE"""),"4762840_1289536")</f>
        <v>4762840_1289536</v>
      </c>
      <c r="B13" s="16" t="str">
        <f>IFERROR(__xludf.DUMMYFUNCTION("""COMPUTED_VALUE"""),"Biris Andreea")</f>
        <v>Biris Andreea</v>
      </c>
      <c r="C13" s="16" t="str">
        <f>IFERROR(__xludf.DUMMYFUNCTION("""COMPUTED_VALUE"""),"realization_broken")</f>
        <v>realization_broken</v>
      </c>
      <c r="D13" s="16" t="str">
        <f>IFERROR(__xludf.DUMMYFUNCTION("""COMPUTED_VALUE"""),"No")</f>
        <v>No</v>
      </c>
      <c r="E13" s="16" t="str">
        <f>IFERROR(__xludf.DUMMYFUNCTION("""COMPUTED_VALUE"""),"p_ff5df175eb511ab37de01fd910c486190b08123f@inbound.aiesec.org")</f>
        <v>p_ff5df175eb511ab37de01fd910c486190b08123f@inbound.aiesec.org</v>
      </c>
      <c r="F13" s="16"/>
      <c r="G13" s="16" t="str">
        <f>IFERROR(__xludf.DUMMYFUNCTION("""COMPUTED_VALUE"""),"Romania")</f>
        <v>Romania</v>
      </c>
      <c r="H13" s="16" t="str">
        <f>IFERROR(__xludf.DUMMYFUNCTION("""COMPUTED_VALUE"""),"Cluj-Napoca")</f>
        <v>Cluj-Napoca</v>
      </c>
      <c r="I13" s="16" t="str">
        <f>IFERROR(__xludf.DUMMYFUNCTION("""COMPUTED_VALUE"""),"Turkey")</f>
        <v>Turkey</v>
      </c>
      <c r="J13" s="16" t="str">
        <f>IFERROR(__xludf.DUMMYFUNCTION("""COMPUTED_VALUE"""),"ISTANBUL")</f>
        <v>ISTANBUL</v>
      </c>
      <c r="K13" s="17" t="str">
        <f>IFERROR(__xludf.DUMMYFUNCTION("""COMPUTED_VALUE"""),"https://expa.aiesec.org/opportunities/1289536")</f>
        <v>https://expa.aiesec.org/opportunities/1289536</v>
      </c>
      <c r="L13" s="16" t="str">
        <f>IFERROR(__xludf.DUMMYFUNCTION("""COMPUTED_VALUE"""),"GV")</f>
        <v>GV</v>
      </c>
      <c r="M13" s="16" t="str">
        <f>IFERROR(__xludf.DUMMYFUNCTION("""COMPUTED_VALUE"""),"short")</f>
        <v>short</v>
      </c>
      <c r="N13" s="18">
        <f>IFERROR(__xludf.DUMMYFUNCTION("""COMPUTED_VALUE"""),44958.0)</f>
        <v>44958</v>
      </c>
      <c r="O13" s="18">
        <f>IFERROR(__xludf.DUMMYFUNCTION("""COMPUTED_VALUE"""),45132.0)</f>
        <v>45132</v>
      </c>
      <c r="P13" s="18">
        <f>IFERROR(__xludf.DUMMYFUNCTION("""COMPUTED_VALUE"""),45174.0)</f>
        <v>45174</v>
      </c>
      <c r="Q13" s="18"/>
      <c r="R13" s="18"/>
      <c r="S13" s="16"/>
      <c r="T13" s="16"/>
      <c r="U13" s="16" t="str">
        <f>IFERROR(__xludf.DUMMYFUNCTION("""COMPUTED_VALUE"""),"Global Classroom")</f>
        <v>Global Classroom</v>
      </c>
      <c r="V13" s="16" t="str">
        <f>IFERROR(__xludf.DUMMYFUNCTION("""COMPUTED_VALUE"""),"-")</f>
        <v>-</v>
      </c>
      <c r="W13" s="16" t="str">
        <f>IFERROR(__xludf.DUMMYFUNCTION("""COMPUTED_VALUE"""),"2021-10-11T19:27:40Z")</f>
        <v>2021-10-11T19:27:40Z</v>
      </c>
      <c r="X13" s="16"/>
      <c r="Y13" s="16"/>
      <c r="Z13" s="16"/>
    </row>
    <row r="14">
      <c r="A14" s="16" t="str">
        <f>IFERROR(__xludf.DUMMYFUNCTION("""COMPUTED_VALUE"""),"5177685_1291551")</f>
        <v>5177685_1291551</v>
      </c>
      <c r="B14" s="16" t="str">
        <f>IFERROR(__xludf.DUMMYFUNCTION("""COMPUTED_VALUE"""),"elif kanık")</f>
        <v>elif kanık</v>
      </c>
      <c r="C14" s="16" t="str">
        <f>IFERROR(__xludf.DUMMYFUNCTION("""COMPUTED_VALUE"""),"completed")</f>
        <v>completed</v>
      </c>
      <c r="D14" s="16" t="str">
        <f>IFERROR(__xludf.DUMMYFUNCTION("""COMPUTED_VALUE"""),"No")</f>
        <v>No</v>
      </c>
      <c r="E14" s="16" t="str">
        <f>IFERROR(__xludf.DUMMYFUNCTION("""COMPUTED_VALUE"""),"p_7045b3ea39df1a6af61b0bcc4a2abb8ed8b7b083@inbound.aiesec.org")</f>
        <v>p_7045b3ea39df1a6af61b0bcc4a2abb8ed8b7b083@inbound.aiesec.org</v>
      </c>
      <c r="F14" s="16">
        <f>IFERROR(__xludf.DUMMYFUNCTION("""COMPUTED_VALUE"""),5.012551535E9)</f>
        <v>5012551535</v>
      </c>
      <c r="G14" s="16" t="str">
        <f>IFERROR(__xludf.DUMMYFUNCTION("""COMPUTED_VALUE"""),"Turkey")</f>
        <v>Turkey</v>
      </c>
      <c r="H14" s="16" t="str">
        <f>IFERROR(__xludf.DUMMYFUNCTION("""COMPUTED_VALUE"""),"ISTANBUL")</f>
        <v>ISTANBUL</v>
      </c>
      <c r="I14" s="16" t="str">
        <f>IFERROR(__xludf.DUMMYFUNCTION("""COMPUTED_VALUE"""),"Italy")</f>
        <v>Italy</v>
      </c>
      <c r="J14" s="16" t="str">
        <f>IFERROR(__xludf.DUMMYFUNCTION("""COMPUTED_VALUE"""),"Bologna")</f>
        <v>Bologna</v>
      </c>
      <c r="K14" s="17" t="str">
        <f>IFERROR(__xludf.DUMMYFUNCTION("""COMPUTED_VALUE"""),"https://expa.aiesec.org/opportunities/1291551")</f>
        <v>https://expa.aiesec.org/opportunities/1291551</v>
      </c>
      <c r="L14" s="16" t="str">
        <f>IFERROR(__xludf.DUMMYFUNCTION("""COMPUTED_VALUE"""),"GV")</f>
        <v>GV</v>
      </c>
      <c r="M14" s="16" t="str">
        <f>IFERROR(__xludf.DUMMYFUNCTION("""COMPUTED_VALUE"""),"short")</f>
        <v>short</v>
      </c>
      <c r="N14" s="18">
        <f>IFERROR(__xludf.DUMMYFUNCTION("""COMPUTED_VALUE"""),44958.0)</f>
        <v>44958</v>
      </c>
      <c r="O14" s="18">
        <f>IFERROR(__xludf.DUMMYFUNCTION("""COMPUTED_VALUE"""),45032.0)</f>
        <v>45032</v>
      </c>
      <c r="P14" s="18">
        <f>IFERROR(__xludf.DUMMYFUNCTION("""COMPUTED_VALUE"""),45074.0)</f>
        <v>45074</v>
      </c>
      <c r="Q14" s="18">
        <f>IFERROR(__xludf.DUMMYFUNCTION("""COMPUTED_VALUE"""),45032.0)</f>
        <v>45032</v>
      </c>
      <c r="R14" s="18">
        <f>IFERROR(__xludf.DUMMYFUNCTION("""COMPUTED_VALUE"""),45074.0)</f>
        <v>45074</v>
      </c>
      <c r="S14" s="16"/>
      <c r="T14" s="16"/>
      <c r="U14" s="16" t="str">
        <f>IFERROR(__xludf.DUMMYFUNCTION("""COMPUTED_VALUE"""),"Youth 4 Impact")</f>
        <v>Youth 4 Impact</v>
      </c>
      <c r="V14" s="16" t="str">
        <f>IFERROR(__xludf.DUMMYFUNCTION("""COMPUTED_VALUE"""),"ISTANBUL - BEYOGLU")</f>
        <v>ISTANBUL - BEYOGLU</v>
      </c>
      <c r="W14" s="16" t="str">
        <f>IFERROR(__xludf.DUMMYFUNCTION("""COMPUTED_VALUE"""),"2023-01-17T20:37:49Z")</f>
        <v>2023-01-17T20:37:49Z</v>
      </c>
      <c r="X14" s="16"/>
      <c r="Y14" s="16"/>
      <c r="Z14" s="16"/>
    </row>
    <row r="15">
      <c r="A15" s="16" t="str">
        <f>IFERROR(__xludf.DUMMYFUNCTION("""COMPUTED_VALUE"""),"5144859_1285687")</f>
        <v>5144859_1285687</v>
      </c>
      <c r="B15" s="16" t="str">
        <f>IFERROR(__xludf.DUMMYFUNCTION("""COMPUTED_VALUE"""),"Niharika Anand")</f>
        <v>Niharika Anand</v>
      </c>
      <c r="C15" s="16" t="str">
        <f>IFERROR(__xludf.DUMMYFUNCTION("""COMPUTED_VALUE"""),"completed")</f>
        <v>completed</v>
      </c>
      <c r="D15" s="16" t="str">
        <f>IFERROR(__xludf.DUMMYFUNCTION("""COMPUTED_VALUE"""),"No")</f>
        <v>No</v>
      </c>
      <c r="E15" s="16" t="str">
        <f>IFERROR(__xludf.DUMMYFUNCTION("""COMPUTED_VALUE"""),"p_510a53a155b0840c7e8e8488f3b4fca2609b476b@inbound.aiesec.org")</f>
        <v>p_510a53a155b0840c7e8e8488f3b4fca2609b476b@inbound.aiesec.org</v>
      </c>
      <c r="F15" s="16">
        <f>IFERROR(__xludf.DUMMYFUNCTION("""COMPUTED_VALUE"""),8.70041085E9)</f>
        <v>8700410850</v>
      </c>
      <c r="G15" s="16" t="str">
        <f>IFERROR(__xludf.DUMMYFUNCTION("""COMPUTED_VALUE"""),"India")</f>
        <v>India</v>
      </c>
      <c r="H15" s="16" t="str">
        <f>IFERROR(__xludf.DUMMYFUNCTION("""COMPUTED_VALUE"""),"Delhi IIT")</f>
        <v>Delhi IIT</v>
      </c>
      <c r="I15" s="16" t="str">
        <f>IFERROR(__xludf.DUMMYFUNCTION("""COMPUTED_VALUE"""),"Turkey")</f>
        <v>Turkey</v>
      </c>
      <c r="J15" s="16" t="str">
        <f>IFERROR(__xludf.DUMMYFUNCTION("""COMPUTED_VALUE"""),"ISTANBUL")</f>
        <v>ISTANBUL</v>
      </c>
      <c r="K15" s="17" t="str">
        <f>IFERROR(__xludf.DUMMYFUNCTION("""COMPUTED_VALUE"""),"https://expa.aiesec.org/opportunities/1285687")</f>
        <v>https://expa.aiesec.org/opportunities/1285687</v>
      </c>
      <c r="L15" s="16" t="str">
        <f>IFERROR(__xludf.DUMMYFUNCTION("""COMPUTED_VALUE"""),"GV")</f>
        <v>GV</v>
      </c>
      <c r="M15" s="16" t="str">
        <f>IFERROR(__xludf.DUMMYFUNCTION("""COMPUTED_VALUE"""),"short")</f>
        <v>short</v>
      </c>
      <c r="N15" s="18">
        <f>IFERROR(__xludf.DUMMYFUNCTION("""COMPUTED_VALUE"""),44958.0)</f>
        <v>44958</v>
      </c>
      <c r="O15" s="18">
        <f>IFERROR(__xludf.DUMMYFUNCTION("""COMPUTED_VALUE"""),45015.0)</f>
        <v>45015</v>
      </c>
      <c r="P15" s="18">
        <f>IFERROR(__xludf.DUMMYFUNCTION("""COMPUTED_VALUE"""),45057.0)</f>
        <v>45057</v>
      </c>
      <c r="Q15" s="18">
        <f>IFERROR(__xludf.DUMMYFUNCTION("""COMPUTED_VALUE"""),45016.0)</f>
        <v>45016</v>
      </c>
      <c r="R15" s="18">
        <f>IFERROR(__xludf.DUMMYFUNCTION("""COMPUTED_VALUE"""),45058.0)</f>
        <v>45058</v>
      </c>
      <c r="S15" s="16"/>
      <c r="T15" s="16"/>
      <c r="U15" s="16" t="str">
        <f>IFERROR(__xludf.DUMMYFUNCTION("""COMPUTED_VALUE"""),"Youth 4 Impact")</f>
        <v>Youth 4 Impact</v>
      </c>
      <c r="V15" s="16" t="str">
        <f>IFERROR(__xludf.DUMMYFUNCTION("""COMPUTED_VALUE"""),"ABES College, Ghaziabad")</f>
        <v>ABES College, Ghaziabad</v>
      </c>
      <c r="W15" s="16" t="str">
        <f>IFERROR(__xludf.DUMMYFUNCTION("""COMPUTED_VALUE"""),"2022-11-02T06:25:39Z")</f>
        <v>2022-11-02T06:25:39Z</v>
      </c>
      <c r="X15" s="16"/>
      <c r="Y15" s="16"/>
      <c r="Z15" s="16"/>
    </row>
    <row r="16">
      <c r="A16" s="16" t="str">
        <f>IFERROR(__xludf.DUMMYFUNCTION("""COMPUTED_VALUE"""),"5174443_1291378")</f>
        <v>5174443_1291378</v>
      </c>
      <c r="B16" s="16" t="str">
        <f>IFERROR(__xludf.DUMMYFUNCTION("""COMPUTED_VALUE"""),"Yiğit Özer")</f>
        <v>Yiğit Özer</v>
      </c>
      <c r="C16" s="16" t="str">
        <f>IFERROR(__xludf.DUMMYFUNCTION("""COMPUTED_VALUE"""),"approved")</f>
        <v>approved</v>
      </c>
      <c r="D16" s="16" t="str">
        <f>IFERROR(__xludf.DUMMYFUNCTION("""COMPUTED_VALUE"""),"No")</f>
        <v>No</v>
      </c>
      <c r="E16" s="16" t="str">
        <f>IFERROR(__xludf.DUMMYFUNCTION("""COMPUTED_VALUE"""),"p_151eea55ef342b6f53d9c7a58c6a8063a15eda61@inbound.aiesec.org")</f>
        <v>p_151eea55ef342b6f53d9c7a58c6a8063a15eda61@inbound.aiesec.org</v>
      </c>
      <c r="F16" s="16">
        <f>IFERROR(__xludf.DUMMYFUNCTION("""COMPUTED_VALUE"""),5.35300158E9)</f>
        <v>5353001580</v>
      </c>
      <c r="G16" s="16" t="str">
        <f>IFERROR(__xludf.DUMMYFUNCTION("""COMPUTED_VALUE"""),"Turkey")</f>
        <v>Turkey</v>
      </c>
      <c r="H16" s="16" t="str">
        <f>IFERROR(__xludf.DUMMYFUNCTION("""COMPUTED_VALUE"""),"ISTANBUL")</f>
        <v>ISTANBUL</v>
      </c>
      <c r="I16" s="16" t="str">
        <f>IFERROR(__xludf.DUMMYFUNCTION("""COMPUTED_VALUE"""),"Romania")</f>
        <v>Romania</v>
      </c>
      <c r="J16" s="16" t="str">
        <f>IFERROR(__xludf.DUMMYFUNCTION("""COMPUTED_VALUE"""),"BUCURESTI")</f>
        <v>BUCURESTI</v>
      </c>
      <c r="K16" s="17" t="str">
        <f>IFERROR(__xludf.DUMMYFUNCTION("""COMPUTED_VALUE"""),"https://expa.aiesec.org/opportunities/1291378")</f>
        <v>https://expa.aiesec.org/opportunities/1291378</v>
      </c>
      <c r="L16" s="16" t="str">
        <f>IFERROR(__xludf.DUMMYFUNCTION("""COMPUTED_VALUE"""),"GV")</f>
        <v>GV</v>
      </c>
      <c r="M16" s="16" t="str">
        <f>IFERROR(__xludf.DUMMYFUNCTION("""COMPUTED_VALUE"""),"short")</f>
        <v>short</v>
      </c>
      <c r="N16" s="18">
        <f>IFERROR(__xludf.DUMMYFUNCTION("""COMPUTED_VALUE"""),44958.0)</f>
        <v>44958</v>
      </c>
      <c r="O16" s="18">
        <f>IFERROR(__xludf.DUMMYFUNCTION("""COMPUTED_VALUE"""),45096.0)</f>
        <v>45096</v>
      </c>
      <c r="P16" s="18">
        <f>IFERROR(__xludf.DUMMYFUNCTION("""COMPUTED_VALUE"""),45138.0)</f>
        <v>45138</v>
      </c>
      <c r="Q16" s="18"/>
      <c r="R16" s="18"/>
      <c r="S16" s="16"/>
      <c r="T16" s="16"/>
      <c r="U16" s="16" t="str">
        <f>IFERROR(__xludf.DUMMYFUNCTION("""COMPUTED_VALUE"""),"Scale Up!")</f>
        <v>Scale Up!</v>
      </c>
      <c r="V16" s="16" t="str">
        <f>IFERROR(__xludf.DUMMYFUNCTION("""COMPUTED_VALUE"""),"ISTANBUL ASIA")</f>
        <v>ISTANBUL ASIA</v>
      </c>
      <c r="W16" s="16" t="str">
        <f>IFERROR(__xludf.DUMMYFUNCTION("""COMPUTED_VALUE"""),"2023-01-08T19:40:51Z")</f>
        <v>2023-01-08T19:40:51Z</v>
      </c>
      <c r="X16" s="16"/>
      <c r="Y16" s="16"/>
      <c r="Z16" s="16"/>
    </row>
    <row r="17">
      <c r="A17" s="16" t="str">
        <f>IFERROR(__xludf.DUMMYFUNCTION("""COMPUTED_VALUE"""),"5173807_1289378")</f>
        <v>5173807_1289378</v>
      </c>
      <c r="B17" s="16" t="str">
        <f>IFERROR(__xludf.DUMMYFUNCTION("""COMPUTED_VALUE"""),"Jesus Arnoldo Corral Diaz")</f>
        <v>Jesus Arnoldo Corral Diaz</v>
      </c>
      <c r="C17" s="16" t="str">
        <f>IFERROR(__xludf.DUMMYFUNCTION("""COMPUTED_VALUE"""),"realization_broken")</f>
        <v>realization_broken</v>
      </c>
      <c r="D17" s="16" t="str">
        <f>IFERROR(__xludf.DUMMYFUNCTION("""COMPUTED_VALUE"""),"No")</f>
        <v>No</v>
      </c>
      <c r="E17" s="16" t="str">
        <f>IFERROR(__xludf.DUMMYFUNCTION("""COMPUTED_VALUE"""),"p_8e73105fbdc3ddfeede0fb522449483ea48de271@inbound.aiesec.org")</f>
        <v>p_8e73105fbdc3ddfeede0fb522449483ea48de271@inbound.aiesec.org</v>
      </c>
      <c r="F17" s="16">
        <f>IFERROR(__xludf.DUMMYFUNCTION("""COMPUTED_VALUE"""),6.442461194E9)</f>
        <v>6442461194</v>
      </c>
      <c r="G17" s="16" t="str">
        <f>IFERROR(__xludf.DUMMYFUNCTION("""COMPUTED_VALUE"""),"Mexico")</f>
        <v>Mexico</v>
      </c>
      <c r="H17" s="16" t="str">
        <f>IFERROR(__xludf.DUMMYFUNCTION("""COMPUTED_VALUE"""),"Virtual Expansions MX")</f>
        <v>Virtual Expansions MX</v>
      </c>
      <c r="I17" s="16" t="str">
        <f>IFERROR(__xludf.DUMMYFUNCTION("""COMPUTED_VALUE"""),"Turkey")</f>
        <v>Turkey</v>
      </c>
      <c r="J17" s="16" t="str">
        <f>IFERROR(__xludf.DUMMYFUNCTION("""COMPUTED_VALUE"""),"ISTANBUL")</f>
        <v>ISTANBUL</v>
      </c>
      <c r="K17" s="17" t="str">
        <f>IFERROR(__xludf.DUMMYFUNCTION("""COMPUTED_VALUE"""),"https://expa.aiesec.org/opportunities/1289378")</f>
        <v>https://expa.aiesec.org/opportunities/1289378</v>
      </c>
      <c r="L17" s="16" t="str">
        <f>IFERROR(__xludf.DUMMYFUNCTION("""COMPUTED_VALUE"""),"GTa")</f>
        <v>GTa</v>
      </c>
      <c r="M17" s="16" t="str">
        <f>IFERROR(__xludf.DUMMYFUNCTION("""COMPUTED_VALUE"""),"long")</f>
        <v>long</v>
      </c>
      <c r="N17" s="18">
        <f>IFERROR(__xludf.DUMMYFUNCTION("""COMPUTED_VALUE"""),44959.0)</f>
        <v>44959</v>
      </c>
      <c r="O17" s="18">
        <f>IFERROR(__xludf.DUMMYFUNCTION("""COMPUTED_VALUE"""),44984.0)</f>
        <v>44984</v>
      </c>
      <c r="P17" s="18">
        <f>IFERROR(__xludf.DUMMYFUNCTION("""COMPUTED_VALUE"""),45527.0)</f>
        <v>45527</v>
      </c>
      <c r="Q17" s="18"/>
      <c r="R17" s="18"/>
      <c r="S17" s="16"/>
      <c r="T17" s="16" t="str">
        <f>IFERROR(__xludf.DUMMYFUNCTION("""COMPUTED_VALUE"""),"Business Administration")</f>
        <v>Business Administration</v>
      </c>
      <c r="U17" s="16" t="str">
        <f>IFERROR(__xludf.DUMMYFUNCTION("""COMPUTED_VALUE"""),"Telesales Specialist in Istanbul (Spanish Speaker)")</f>
        <v>Telesales Specialist in Istanbul (Spanish Speaker)</v>
      </c>
      <c r="V17" s="16" t="str">
        <f>IFERROR(__xludf.DUMMYFUNCTION("""COMPUTED_VALUE"""),"Sonora - Otra Universidad")</f>
        <v>Sonora - Otra Universidad</v>
      </c>
      <c r="W17" s="16" t="str">
        <f>IFERROR(__xludf.DUMMYFUNCTION("""COMPUTED_VALUE"""),"2023-01-06T17:29:11Z")</f>
        <v>2023-01-06T17:29:11Z</v>
      </c>
      <c r="X17" s="16"/>
      <c r="Y17" s="16"/>
      <c r="Z17" s="16"/>
    </row>
    <row r="18">
      <c r="A18" s="16" t="str">
        <f>IFERROR(__xludf.DUMMYFUNCTION("""COMPUTED_VALUE"""),"4580714_1288393")</f>
        <v>4580714_1288393</v>
      </c>
      <c r="B18" s="16" t="str">
        <f>IFERROR(__xludf.DUMMYFUNCTION("""COMPUTED_VALUE"""),"Salma Abdelkader")</f>
        <v>Salma Abdelkader</v>
      </c>
      <c r="C18" s="16" t="str">
        <f>IFERROR(__xludf.DUMMYFUNCTION("""COMPUTED_VALUE"""),"finished")</f>
        <v>finished</v>
      </c>
      <c r="D18" s="16" t="str">
        <f>IFERROR(__xludf.DUMMYFUNCTION("""COMPUTED_VALUE"""),"No")</f>
        <v>No</v>
      </c>
      <c r="E18" s="16" t="str">
        <f>IFERROR(__xludf.DUMMYFUNCTION("""COMPUTED_VALUE"""),"p_b3ae5df7c73e877eceb3a06534001b9ed8eed092@inbound.aiesec.org")</f>
        <v>p_b3ae5df7c73e877eceb3a06534001b9ed8eed092@inbound.aiesec.org</v>
      </c>
      <c r="F18" s="16">
        <f>IFERROR(__xludf.DUMMYFUNCTION("""COMPUTED_VALUE"""),2.8773126E7)</f>
        <v>28773126</v>
      </c>
      <c r="G18" s="16" t="str">
        <f>IFERROR(__xludf.DUMMYFUNCTION("""COMPUTED_VALUE"""),"Tunisia")</f>
        <v>Tunisia</v>
      </c>
      <c r="H18" s="16" t="str">
        <f>IFERROR(__xludf.DUMMYFUNCTION("""COMPUTED_VALUE"""),"Tacapes")</f>
        <v>Tacapes</v>
      </c>
      <c r="I18" s="16" t="str">
        <f>IFERROR(__xludf.DUMMYFUNCTION("""COMPUTED_VALUE"""),"Turkey")</f>
        <v>Turkey</v>
      </c>
      <c r="J18" s="16" t="str">
        <f>IFERROR(__xludf.DUMMYFUNCTION("""COMPUTED_VALUE"""),"ISTANBUL")</f>
        <v>ISTANBUL</v>
      </c>
      <c r="K18" s="17" t="str">
        <f>IFERROR(__xludf.DUMMYFUNCTION("""COMPUTED_VALUE"""),"https://expa.aiesec.org/opportunities/1288393")</f>
        <v>https://expa.aiesec.org/opportunities/1288393</v>
      </c>
      <c r="L18" s="16" t="str">
        <f>IFERROR(__xludf.DUMMYFUNCTION("""COMPUTED_VALUE"""),"GV")</f>
        <v>GV</v>
      </c>
      <c r="M18" s="16" t="str">
        <f>IFERROR(__xludf.DUMMYFUNCTION("""COMPUTED_VALUE"""),"short")</f>
        <v>short</v>
      </c>
      <c r="N18" s="18">
        <f>IFERROR(__xludf.DUMMYFUNCTION("""COMPUTED_VALUE"""),44960.0)</f>
        <v>44960</v>
      </c>
      <c r="O18" s="18">
        <f>IFERROR(__xludf.DUMMYFUNCTION("""COMPUTED_VALUE"""),45123.0)</f>
        <v>45123</v>
      </c>
      <c r="P18" s="18">
        <f>IFERROR(__xludf.DUMMYFUNCTION("""COMPUTED_VALUE"""),45165.0)</f>
        <v>45165</v>
      </c>
      <c r="Q18" s="18">
        <f>IFERROR(__xludf.DUMMYFUNCTION("""COMPUTED_VALUE"""),45121.0)</f>
        <v>45121</v>
      </c>
      <c r="R18" s="18">
        <f>IFERROR(__xludf.DUMMYFUNCTION("""COMPUTED_VALUE"""),45165.0)</f>
        <v>45165</v>
      </c>
      <c r="S18" s="16"/>
      <c r="T18" s="16"/>
      <c r="U18" s="16" t="str">
        <f>IFERROR(__xludf.DUMMYFUNCTION("""COMPUTED_VALUE"""),"Global Classroom")</f>
        <v>Global Classroom</v>
      </c>
      <c r="V18" s="16" t="str">
        <f>IFERROR(__xludf.DUMMYFUNCTION("""COMPUTED_VALUE"""),"ISLG")</f>
        <v>ISLG</v>
      </c>
      <c r="W18" s="16" t="str">
        <f>IFERROR(__xludf.DUMMYFUNCTION("""COMPUTED_VALUE"""),"2021-03-16T15:31:14Z")</f>
        <v>2021-03-16T15:31:14Z</v>
      </c>
      <c r="X18" s="16"/>
      <c r="Y18" s="16"/>
      <c r="Z18" s="16"/>
    </row>
    <row r="19">
      <c r="A19" s="16" t="str">
        <f>IFERROR(__xludf.DUMMYFUNCTION("""COMPUTED_VALUE"""),"5178539_1288611")</f>
        <v>5178539_1288611</v>
      </c>
      <c r="B19" s="16" t="str">
        <f>IFERROR(__xludf.DUMMYFUNCTION("""COMPUTED_VALUE"""),"Meziane Chouaib")</f>
        <v>Meziane Chouaib</v>
      </c>
      <c r="C19" s="16" t="str">
        <f>IFERROR(__xludf.DUMMYFUNCTION("""COMPUTED_VALUE"""),"completed")</f>
        <v>completed</v>
      </c>
      <c r="D19" s="16" t="str">
        <f>IFERROR(__xludf.DUMMYFUNCTION("""COMPUTED_VALUE"""),"No")</f>
        <v>No</v>
      </c>
      <c r="E19" s="16" t="str">
        <f>IFERROR(__xludf.DUMMYFUNCTION("""COMPUTED_VALUE"""),"p_b6663b3878d20d43736b8ad1bba032bd367d27f1@inbound.aiesec.org")</f>
        <v>p_b6663b3878d20d43736b8ad1bba032bd367d27f1@inbound.aiesec.org</v>
      </c>
      <c r="F19" s="16"/>
      <c r="G19" s="16" t="str">
        <f>IFERROR(__xludf.DUMMYFUNCTION("""COMPUTED_VALUE"""),"Algeria")</f>
        <v>Algeria</v>
      </c>
      <c r="H19" s="16" t="str">
        <f>IFERROR(__xludf.DUMMYFUNCTION("""COMPUTED_VALUE"""),"Blida")</f>
        <v>Blida</v>
      </c>
      <c r="I19" s="16" t="str">
        <f>IFERROR(__xludf.DUMMYFUNCTION("""COMPUTED_VALUE"""),"Turkey")</f>
        <v>Turkey</v>
      </c>
      <c r="J19" s="16" t="str">
        <f>IFERROR(__xludf.DUMMYFUNCTION("""COMPUTED_VALUE"""),"ISTANBUL")</f>
        <v>ISTANBUL</v>
      </c>
      <c r="K19" s="17" t="str">
        <f>IFERROR(__xludf.DUMMYFUNCTION("""COMPUTED_VALUE"""),"https://expa.aiesec.org/opportunities/1288611")</f>
        <v>https://expa.aiesec.org/opportunities/1288611</v>
      </c>
      <c r="L19" s="16" t="str">
        <f>IFERROR(__xludf.DUMMYFUNCTION("""COMPUTED_VALUE"""),"GV")</f>
        <v>GV</v>
      </c>
      <c r="M19" s="16" t="str">
        <f>IFERROR(__xludf.DUMMYFUNCTION("""COMPUTED_VALUE"""),"short")</f>
        <v>short</v>
      </c>
      <c r="N19" s="18">
        <f>IFERROR(__xludf.DUMMYFUNCTION("""COMPUTED_VALUE"""),44960.0)</f>
        <v>44960</v>
      </c>
      <c r="O19" s="18">
        <f>IFERROR(__xludf.DUMMYFUNCTION("""COMPUTED_VALUE"""),45012.0)</f>
        <v>45012</v>
      </c>
      <c r="P19" s="18">
        <f>IFERROR(__xludf.DUMMYFUNCTION("""COMPUTED_VALUE"""),45054.0)</f>
        <v>45054</v>
      </c>
      <c r="Q19" s="18">
        <f>IFERROR(__xludf.DUMMYFUNCTION("""COMPUTED_VALUE"""),45012.0)</f>
        <v>45012</v>
      </c>
      <c r="R19" s="18">
        <f>IFERROR(__xludf.DUMMYFUNCTION("""COMPUTED_VALUE"""),45054.0)</f>
        <v>45054</v>
      </c>
      <c r="S19" s="16"/>
      <c r="T19" s="16"/>
      <c r="U19" s="16" t="str">
        <f>IFERROR(__xludf.DUMMYFUNCTION("""COMPUTED_VALUE"""),"Global Classroom")</f>
        <v>Global Classroom</v>
      </c>
      <c r="V19" s="16" t="str">
        <f>IFERROR(__xludf.DUMMYFUNCTION("""COMPUTED_VALUE"""),"-")</f>
        <v>-</v>
      </c>
      <c r="W19" s="16" t="str">
        <f>IFERROR(__xludf.DUMMYFUNCTION("""COMPUTED_VALUE"""),"2023-01-19T22:58:13Z")</f>
        <v>2023-01-19T22:58:13Z</v>
      </c>
      <c r="X19" s="16"/>
      <c r="Y19" s="16"/>
      <c r="Z19" s="16"/>
    </row>
    <row r="20">
      <c r="A20" s="16" t="str">
        <f>IFERROR(__xludf.DUMMYFUNCTION("""COMPUTED_VALUE"""),"2888288_1288393")</f>
        <v>2888288_1288393</v>
      </c>
      <c r="B20" s="16" t="str">
        <f>IFERROR(__xludf.DUMMYFUNCTION("""COMPUTED_VALUE"""),"Mariem Belgacem")</f>
        <v>Mariem Belgacem</v>
      </c>
      <c r="C20" s="16" t="str">
        <f>IFERROR(__xludf.DUMMYFUNCTION("""COMPUTED_VALUE"""),"finished")</f>
        <v>finished</v>
      </c>
      <c r="D20" s="16" t="str">
        <f>IFERROR(__xludf.DUMMYFUNCTION("""COMPUTED_VALUE"""),"No")</f>
        <v>No</v>
      </c>
      <c r="E20" s="16" t="str">
        <f>IFERROR(__xludf.DUMMYFUNCTION("""COMPUTED_VALUE"""),"p_cedb26d4998971f115240a70516eb036c14a7e3d@inbound.aiesec.org")</f>
        <v>p_cedb26d4998971f115240a70516eb036c14a7e3d@inbound.aiesec.org</v>
      </c>
      <c r="F20" s="16"/>
      <c r="G20" s="16" t="str">
        <f>IFERROR(__xludf.DUMMYFUNCTION("""COMPUTED_VALUE"""),"Tunisia")</f>
        <v>Tunisia</v>
      </c>
      <c r="H20" s="16" t="str">
        <f>IFERROR(__xludf.DUMMYFUNCTION("""COMPUTED_VALUE"""),"Tacapes")</f>
        <v>Tacapes</v>
      </c>
      <c r="I20" s="16" t="str">
        <f>IFERROR(__xludf.DUMMYFUNCTION("""COMPUTED_VALUE"""),"Turkey")</f>
        <v>Turkey</v>
      </c>
      <c r="J20" s="16" t="str">
        <f>IFERROR(__xludf.DUMMYFUNCTION("""COMPUTED_VALUE"""),"ISTANBUL")</f>
        <v>ISTANBUL</v>
      </c>
      <c r="K20" s="17" t="str">
        <f>IFERROR(__xludf.DUMMYFUNCTION("""COMPUTED_VALUE"""),"https://expa.aiesec.org/opportunities/1288393")</f>
        <v>https://expa.aiesec.org/opportunities/1288393</v>
      </c>
      <c r="L20" s="16" t="str">
        <f>IFERROR(__xludf.DUMMYFUNCTION("""COMPUTED_VALUE"""),"GV")</f>
        <v>GV</v>
      </c>
      <c r="M20" s="16" t="str">
        <f>IFERROR(__xludf.DUMMYFUNCTION("""COMPUTED_VALUE"""),"short")</f>
        <v>short</v>
      </c>
      <c r="N20" s="18">
        <f>IFERROR(__xludf.DUMMYFUNCTION("""COMPUTED_VALUE"""),44960.0)</f>
        <v>44960</v>
      </c>
      <c r="O20" s="18">
        <f>IFERROR(__xludf.DUMMYFUNCTION("""COMPUTED_VALUE"""),45123.0)</f>
        <v>45123</v>
      </c>
      <c r="P20" s="18">
        <f>IFERROR(__xludf.DUMMYFUNCTION("""COMPUTED_VALUE"""),45165.0)</f>
        <v>45165</v>
      </c>
      <c r="Q20" s="18">
        <f>IFERROR(__xludf.DUMMYFUNCTION("""COMPUTED_VALUE"""),45123.0)</f>
        <v>45123</v>
      </c>
      <c r="R20" s="18">
        <f>IFERROR(__xludf.DUMMYFUNCTION("""COMPUTED_VALUE"""),45165.0)</f>
        <v>45165</v>
      </c>
      <c r="S20" s="16"/>
      <c r="T20" s="16"/>
      <c r="U20" s="16" t="str">
        <f>IFERROR(__xludf.DUMMYFUNCTION("""COMPUTED_VALUE"""),"Global Classroom")</f>
        <v>Global Classroom</v>
      </c>
      <c r="V20" s="16" t="str">
        <f>IFERROR(__xludf.DUMMYFUNCTION("""COMPUTED_VALUE"""),"ISLG")</f>
        <v>ISLG</v>
      </c>
      <c r="W20" s="16" t="str">
        <f>IFERROR(__xludf.DUMMYFUNCTION("""COMPUTED_VALUE"""),"2018-11-20T17:51:52Z")</f>
        <v>2018-11-20T17:51:52Z</v>
      </c>
      <c r="X20" s="16"/>
      <c r="Y20" s="16"/>
      <c r="Z20" s="16"/>
    </row>
    <row r="21">
      <c r="A21" s="16" t="str">
        <f>IFERROR(__xludf.DUMMYFUNCTION("""COMPUTED_VALUE"""),"5179753_1289255")</f>
        <v>5179753_1289255</v>
      </c>
      <c r="B21" s="16" t="str">
        <f>IFERROR(__xludf.DUMMYFUNCTION("""COMPUTED_VALUE"""),"Sara Ben rabah")</f>
        <v>Sara Ben rabah</v>
      </c>
      <c r="C21" s="16" t="str">
        <f>IFERROR(__xludf.DUMMYFUNCTION("""COMPUTED_VALUE"""),"realized")</f>
        <v>realized</v>
      </c>
      <c r="D21" s="16" t="str">
        <f>IFERROR(__xludf.DUMMYFUNCTION("""COMPUTED_VALUE"""),"No")</f>
        <v>No</v>
      </c>
      <c r="E21" s="16" t="str">
        <f>IFERROR(__xludf.DUMMYFUNCTION("""COMPUTED_VALUE"""),"p_24ead27c26c95a76283bcfa149473ffbc7223215@inbound.aiesec.org")</f>
        <v>p_24ead27c26c95a76283bcfa149473ffbc7223215@inbound.aiesec.org</v>
      </c>
      <c r="F21" s="16"/>
      <c r="G21" s="16" t="str">
        <f>IFERROR(__xludf.DUMMYFUNCTION("""COMPUTED_VALUE"""),"Algeria")</f>
        <v>Algeria</v>
      </c>
      <c r="H21" s="16" t="str">
        <f>IFERROR(__xludf.DUMMYFUNCTION("""COMPUTED_VALUE"""),"Babez")</f>
        <v>Babez</v>
      </c>
      <c r="I21" s="16" t="str">
        <f>IFERROR(__xludf.DUMMYFUNCTION("""COMPUTED_VALUE"""),"Turkey")</f>
        <v>Turkey</v>
      </c>
      <c r="J21" s="16" t="str">
        <f>IFERROR(__xludf.DUMMYFUNCTION("""COMPUTED_VALUE"""),"ISTANBUL")</f>
        <v>ISTANBUL</v>
      </c>
      <c r="K21" s="17" t="str">
        <f>IFERROR(__xludf.DUMMYFUNCTION("""COMPUTED_VALUE"""),"https://expa.aiesec.org/opportunities/1289255")</f>
        <v>https://expa.aiesec.org/opportunities/1289255</v>
      </c>
      <c r="L21" s="16" t="str">
        <f>IFERROR(__xludf.DUMMYFUNCTION("""COMPUTED_VALUE"""),"GTa")</f>
        <v>GTa</v>
      </c>
      <c r="M21" s="16" t="str">
        <f>IFERROR(__xludf.DUMMYFUNCTION("""COMPUTED_VALUE"""),"long")</f>
        <v>long</v>
      </c>
      <c r="N21" s="18">
        <f>IFERROR(__xludf.DUMMYFUNCTION("""COMPUTED_VALUE"""),44960.0)</f>
        <v>44960</v>
      </c>
      <c r="O21" s="18">
        <f>IFERROR(__xludf.DUMMYFUNCTION("""COMPUTED_VALUE"""),44977.0)</f>
        <v>44977</v>
      </c>
      <c r="P21" s="18">
        <f>IFERROR(__xludf.DUMMYFUNCTION("""COMPUTED_VALUE"""),45520.0)</f>
        <v>45520</v>
      </c>
      <c r="Q21" s="18">
        <f>IFERROR(__xludf.DUMMYFUNCTION("""COMPUTED_VALUE"""),45005.0)</f>
        <v>45005</v>
      </c>
      <c r="R21" s="18">
        <f>IFERROR(__xludf.DUMMYFUNCTION("""COMPUTED_VALUE"""),45548.0)</f>
        <v>45548</v>
      </c>
      <c r="S21" s="16"/>
      <c r="T21" s="16" t="str">
        <f>IFERROR(__xludf.DUMMYFUNCTION("""COMPUTED_VALUE"""),"Business Administration")</f>
        <v>Business Administration</v>
      </c>
      <c r="U21" s="16" t="str">
        <f>IFERROR(__xludf.DUMMYFUNCTION("""COMPUTED_VALUE"""),"Telesales Specialist in Istanbul (French Speaker)")</f>
        <v>Telesales Specialist in Istanbul (French Speaker)</v>
      </c>
      <c r="V21" s="16" t="str">
        <f>IFERROR(__xludf.DUMMYFUNCTION("""COMPUTED_VALUE"""),"AIESEC in Babez")</f>
        <v>AIESEC in Babez</v>
      </c>
      <c r="W21" s="16" t="str">
        <f>IFERROR(__xludf.DUMMYFUNCTION("""COMPUTED_VALUE"""),"2023-01-23T17:38:52Z")</f>
        <v>2023-01-23T17:38:52Z</v>
      </c>
      <c r="X21" s="16"/>
      <c r="Y21" s="16"/>
      <c r="Z21" s="16"/>
    </row>
    <row r="22">
      <c r="A22" s="16" t="str">
        <f>IFERROR(__xludf.DUMMYFUNCTION("""COMPUTED_VALUE"""),"5179444_1291623")</f>
        <v>5179444_1291623</v>
      </c>
      <c r="B22" s="16" t="str">
        <f>IFERROR(__xludf.DUMMYFUNCTION("""COMPUTED_VALUE"""),"Ipek Iftar")</f>
        <v>Ipek Iftar</v>
      </c>
      <c r="C22" s="16" t="str">
        <f>IFERROR(__xludf.DUMMYFUNCTION("""COMPUTED_VALUE"""),"completed")</f>
        <v>completed</v>
      </c>
      <c r="D22" s="16" t="str">
        <f>IFERROR(__xludf.DUMMYFUNCTION("""COMPUTED_VALUE"""),"No")</f>
        <v>No</v>
      </c>
      <c r="E22" s="16" t="str">
        <f>IFERROR(__xludf.DUMMYFUNCTION("""COMPUTED_VALUE"""),"p_52672eb7b8c66ef90eacc1c0513b2f82030228b5@inbound.aiesec.org")</f>
        <v>p_52672eb7b8c66ef90eacc1c0513b2f82030228b5@inbound.aiesec.org</v>
      </c>
      <c r="F22" s="16">
        <f>IFERROR(__xludf.DUMMYFUNCTION("""COMPUTED_VALUE"""),5.336736836E9)</f>
        <v>5336736836</v>
      </c>
      <c r="G22" s="16" t="str">
        <f>IFERROR(__xludf.DUMMYFUNCTION("""COMPUTED_VALUE"""),"Turkey")</f>
        <v>Turkey</v>
      </c>
      <c r="H22" s="16" t="str">
        <f>IFERROR(__xludf.DUMMYFUNCTION("""COMPUTED_VALUE"""),"ISTANBUL")</f>
        <v>ISTANBUL</v>
      </c>
      <c r="I22" s="16" t="str">
        <f>IFERROR(__xludf.DUMMYFUNCTION("""COMPUTED_VALUE"""),"Romania")</f>
        <v>Romania</v>
      </c>
      <c r="J22" s="16" t="str">
        <f>IFERROR(__xludf.DUMMYFUNCTION("""COMPUTED_VALUE"""),"IASI")</f>
        <v>IASI</v>
      </c>
      <c r="K22" s="17" t="str">
        <f>IFERROR(__xludf.DUMMYFUNCTION("""COMPUTED_VALUE"""),"https://expa.aiesec.org/opportunities/1291623")</f>
        <v>https://expa.aiesec.org/opportunities/1291623</v>
      </c>
      <c r="L22" s="16" t="str">
        <f>IFERROR(__xludf.DUMMYFUNCTION("""COMPUTED_VALUE"""),"GV")</f>
        <v>GV</v>
      </c>
      <c r="M22" s="16" t="str">
        <f>IFERROR(__xludf.DUMMYFUNCTION("""COMPUTED_VALUE"""),"short")</f>
        <v>short</v>
      </c>
      <c r="N22" s="18">
        <f>IFERROR(__xludf.DUMMYFUNCTION("""COMPUTED_VALUE"""),44961.0)</f>
        <v>44961</v>
      </c>
      <c r="O22" s="18">
        <f>IFERROR(__xludf.DUMMYFUNCTION("""COMPUTED_VALUE"""),45103.0)</f>
        <v>45103</v>
      </c>
      <c r="P22" s="18">
        <f>IFERROR(__xludf.DUMMYFUNCTION("""COMPUTED_VALUE"""),45145.0)</f>
        <v>45145</v>
      </c>
      <c r="Q22" s="18">
        <f>IFERROR(__xludf.DUMMYFUNCTION("""COMPUTED_VALUE"""),45103.0)</f>
        <v>45103</v>
      </c>
      <c r="R22" s="18">
        <f>IFERROR(__xludf.DUMMYFUNCTION("""COMPUTED_VALUE"""),45145.0)</f>
        <v>45145</v>
      </c>
      <c r="S22" s="16"/>
      <c r="T22" s="16"/>
      <c r="U22" s="16" t="str">
        <f>IFERROR(__xludf.DUMMYFUNCTION("""COMPUTED_VALUE"""),"Global Classroom")</f>
        <v>Global Classroom</v>
      </c>
      <c r="V22" s="16" t="str">
        <f>IFERROR(__xludf.DUMMYFUNCTION("""COMPUTED_VALUE"""),"ISTANBUL - BEYOGLU")</f>
        <v>ISTANBUL - BEYOGLU</v>
      </c>
      <c r="W22" s="16" t="str">
        <f>IFERROR(__xludf.DUMMYFUNCTION("""COMPUTED_VALUE"""),"2023-01-22T17:59:58Z")</f>
        <v>2023-01-22T17:59:58Z</v>
      </c>
      <c r="X22" s="16"/>
      <c r="Y22" s="16"/>
      <c r="Z22" s="16"/>
    </row>
    <row r="23">
      <c r="A23" s="16" t="str">
        <f>IFERROR(__xludf.DUMMYFUNCTION("""COMPUTED_VALUE"""),"5185626_1289536")</f>
        <v>5185626_1289536</v>
      </c>
      <c r="B23" s="16" t="str">
        <f>IFERROR(__xludf.DUMMYFUNCTION("""COMPUTED_VALUE"""),"gaia de curtis")</f>
        <v>gaia de curtis</v>
      </c>
      <c r="C23" s="16" t="str">
        <f>IFERROR(__xludf.DUMMYFUNCTION("""COMPUTED_VALUE"""),"approved")</f>
        <v>approved</v>
      </c>
      <c r="D23" s="16" t="str">
        <f>IFERROR(__xludf.DUMMYFUNCTION("""COMPUTED_VALUE"""),"No")</f>
        <v>No</v>
      </c>
      <c r="E23" s="16" t="str">
        <f>IFERROR(__xludf.DUMMYFUNCTION("""COMPUTED_VALUE"""),"p_b28d557f4bad006deb4d4ee10c4214efa12fed96@inbound.aiesec.org")</f>
        <v>p_b28d557f4bad006deb4d4ee10c4214efa12fed96@inbound.aiesec.org</v>
      </c>
      <c r="F23" s="16"/>
      <c r="G23" s="16" t="str">
        <f>IFERROR(__xludf.DUMMYFUNCTION("""COMPUTED_VALUE"""),"Italy")</f>
        <v>Italy</v>
      </c>
      <c r="H23" s="16" t="str">
        <f>IFERROR(__xludf.DUMMYFUNCTION("""COMPUTED_VALUE"""),"Napoli Federico II")</f>
        <v>Napoli Federico II</v>
      </c>
      <c r="I23" s="16" t="str">
        <f>IFERROR(__xludf.DUMMYFUNCTION("""COMPUTED_VALUE"""),"Turkey")</f>
        <v>Turkey</v>
      </c>
      <c r="J23" s="16" t="str">
        <f>IFERROR(__xludf.DUMMYFUNCTION("""COMPUTED_VALUE"""),"ISTANBUL")</f>
        <v>ISTANBUL</v>
      </c>
      <c r="K23" s="17" t="str">
        <f>IFERROR(__xludf.DUMMYFUNCTION("""COMPUTED_VALUE"""),"https://expa.aiesec.org/opportunities/1289536")</f>
        <v>https://expa.aiesec.org/opportunities/1289536</v>
      </c>
      <c r="L23" s="16" t="str">
        <f>IFERROR(__xludf.DUMMYFUNCTION("""COMPUTED_VALUE"""),"GV")</f>
        <v>GV</v>
      </c>
      <c r="M23" s="16" t="str">
        <f>IFERROR(__xludf.DUMMYFUNCTION("""COMPUTED_VALUE"""),"short")</f>
        <v>short</v>
      </c>
      <c r="N23" s="18">
        <f>IFERROR(__xludf.DUMMYFUNCTION("""COMPUTED_VALUE"""),44963.0)</f>
        <v>44963</v>
      </c>
      <c r="O23" s="18">
        <f>IFERROR(__xludf.DUMMYFUNCTION("""COMPUTED_VALUE"""),45132.0)</f>
        <v>45132</v>
      </c>
      <c r="P23" s="18">
        <f>IFERROR(__xludf.DUMMYFUNCTION("""COMPUTED_VALUE"""),45174.0)</f>
        <v>45174</v>
      </c>
      <c r="Q23" s="18"/>
      <c r="R23" s="18"/>
      <c r="S23" s="16"/>
      <c r="T23" s="16"/>
      <c r="U23" s="16" t="str">
        <f>IFERROR(__xludf.DUMMYFUNCTION("""COMPUTED_VALUE"""),"Global Classroom")</f>
        <v>Global Classroom</v>
      </c>
      <c r="V23" s="16" t="str">
        <f>IFERROR(__xludf.DUMMYFUNCTION("""COMPUTED_VALUE"""),"-")</f>
        <v>-</v>
      </c>
      <c r="W23" s="16" t="str">
        <f>IFERROR(__xludf.DUMMYFUNCTION("""COMPUTED_VALUE"""),"2023-02-04T18:44:31Z")</f>
        <v>2023-02-04T18:44:31Z</v>
      </c>
      <c r="X23" s="16"/>
      <c r="Y23" s="16"/>
      <c r="Z23" s="16"/>
    </row>
    <row r="24">
      <c r="A24" s="16" t="str">
        <f>IFERROR(__xludf.DUMMYFUNCTION("""COMPUTED_VALUE"""),"5179090_1291372")</f>
        <v>5179090_1291372</v>
      </c>
      <c r="B24" s="16" t="str">
        <f>IFERROR(__xludf.DUMMYFUNCTION("""COMPUTED_VALUE"""),"Hazar Yazgan Hacıahmetoğlu")</f>
        <v>Hazar Yazgan Hacıahmetoğlu</v>
      </c>
      <c r="C24" s="16" t="str">
        <f>IFERROR(__xludf.DUMMYFUNCTION("""COMPUTED_VALUE"""),"approved")</f>
        <v>approved</v>
      </c>
      <c r="D24" s="16" t="str">
        <f>IFERROR(__xludf.DUMMYFUNCTION("""COMPUTED_VALUE"""),"No")</f>
        <v>No</v>
      </c>
      <c r="E24" s="16" t="str">
        <f>IFERROR(__xludf.DUMMYFUNCTION("""COMPUTED_VALUE"""),"p_8a374a0e134cfb22c5152e2bde7f09fbe77ed7cd@inbound.aiesec.org")</f>
        <v>p_8a374a0e134cfb22c5152e2bde7f09fbe77ed7cd@inbound.aiesec.org</v>
      </c>
      <c r="F24" s="16">
        <f>IFERROR(__xludf.DUMMYFUNCTION("""COMPUTED_VALUE"""),5.385477061E9)</f>
        <v>5385477061</v>
      </c>
      <c r="G24" s="16" t="str">
        <f>IFERROR(__xludf.DUMMYFUNCTION("""COMPUTED_VALUE"""),"Turkey")</f>
        <v>Turkey</v>
      </c>
      <c r="H24" s="16" t="str">
        <f>IFERROR(__xludf.DUMMYFUNCTION("""COMPUTED_VALUE"""),"ISTANBUL")</f>
        <v>ISTANBUL</v>
      </c>
      <c r="I24" s="16" t="str">
        <f>IFERROR(__xludf.DUMMYFUNCTION("""COMPUTED_VALUE"""),"Brazil")</f>
        <v>Brazil</v>
      </c>
      <c r="J24" s="16" t="str">
        <f>IFERROR(__xludf.DUMMYFUNCTION("""COMPUTED_VALUE"""),"FLORIANÓPOLIS")</f>
        <v>FLORIANÓPOLIS</v>
      </c>
      <c r="K24" s="17" t="str">
        <f>IFERROR(__xludf.DUMMYFUNCTION("""COMPUTED_VALUE"""),"https://expa.aiesec.org/opportunities/1291372")</f>
        <v>https://expa.aiesec.org/opportunities/1291372</v>
      </c>
      <c r="L24" s="16" t="str">
        <f>IFERROR(__xludf.DUMMYFUNCTION("""COMPUTED_VALUE"""),"GV")</f>
        <v>GV</v>
      </c>
      <c r="M24" s="16" t="str">
        <f>IFERROR(__xludf.DUMMYFUNCTION("""COMPUTED_VALUE"""),"short")</f>
        <v>short</v>
      </c>
      <c r="N24" s="18">
        <f>IFERROR(__xludf.DUMMYFUNCTION("""COMPUTED_VALUE"""),44963.0)</f>
        <v>44963</v>
      </c>
      <c r="O24" s="18">
        <f>IFERROR(__xludf.DUMMYFUNCTION("""COMPUTED_VALUE"""),45131.0)</f>
        <v>45131</v>
      </c>
      <c r="P24" s="18">
        <f>IFERROR(__xludf.DUMMYFUNCTION("""COMPUTED_VALUE"""),45173.0)</f>
        <v>45173</v>
      </c>
      <c r="Q24" s="18"/>
      <c r="R24" s="18"/>
      <c r="S24" s="16"/>
      <c r="T24" s="16"/>
      <c r="U24" s="16" t="str">
        <f>IFERROR(__xludf.DUMMYFUNCTION("""COMPUTED_VALUE"""),"Youth 4 Impact")</f>
        <v>Youth 4 Impact</v>
      </c>
      <c r="V24" s="16" t="str">
        <f>IFERROR(__xludf.DUMMYFUNCTION("""COMPUTED_VALUE"""),"ISTANBUL - BEYOGLU")</f>
        <v>ISTANBUL - BEYOGLU</v>
      </c>
      <c r="W24" s="16" t="str">
        <f>IFERROR(__xludf.DUMMYFUNCTION("""COMPUTED_VALUE"""),"2023-01-21T14:22:33Z")</f>
        <v>2023-01-21T14:22:33Z</v>
      </c>
      <c r="X24" s="16"/>
      <c r="Y24" s="16"/>
      <c r="Z24" s="16"/>
    </row>
    <row r="25">
      <c r="A25" s="16" t="str">
        <f>IFERROR(__xludf.DUMMYFUNCTION("""COMPUTED_VALUE"""),"5177082_1291783")</f>
        <v>5177082_1291783</v>
      </c>
      <c r="B25" s="16" t="str">
        <f>IFERROR(__xludf.DUMMYFUNCTION("""COMPUTED_VALUE"""),"Chaimaa Samraouan")</f>
        <v>Chaimaa Samraouan</v>
      </c>
      <c r="C25" s="16" t="str">
        <f>IFERROR(__xludf.DUMMYFUNCTION("""COMPUTED_VALUE"""),"realized")</f>
        <v>realized</v>
      </c>
      <c r="D25" s="16" t="str">
        <f>IFERROR(__xludf.DUMMYFUNCTION("""COMPUTED_VALUE"""),"No")</f>
        <v>No</v>
      </c>
      <c r="E25" s="16" t="str">
        <f>IFERROR(__xludf.DUMMYFUNCTION("""COMPUTED_VALUE"""),"p_b2c3b52b10a2dc45cc3b80eb9dbe175a2576b76a@inbound.aiesec.org")</f>
        <v>p_b2c3b52b10a2dc45cc3b80eb9dbe175a2576b76a@inbound.aiesec.org</v>
      </c>
      <c r="F25" s="16">
        <f>IFERROR(__xludf.DUMMYFUNCTION("""COMPUTED_VALUE"""),7.73393322E8)</f>
        <v>773393322</v>
      </c>
      <c r="G25" s="16" t="str">
        <f>IFERROR(__xludf.DUMMYFUNCTION("""COMPUTED_VALUE"""),"Morocco")</f>
        <v>Morocco</v>
      </c>
      <c r="H25" s="16" t="str">
        <f>IFERROR(__xludf.DUMMYFUNCTION("""COMPUTED_VALUE"""),"Casablanca")</f>
        <v>Casablanca</v>
      </c>
      <c r="I25" s="16" t="str">
        <f>IFERROR(__xludf.DUMMYFUNCTION("""COMPUTED_VALUE"""),"Turkey")</f>
        <v>Turkey</v>
      </c>
      <c r="J25" s="16" t="str">
        <f>IFERROR(__xludf.DUMMYFUNCTION("""COMPUTED_VALUE"""),"ISTANBUL")</f>
        <v>ISTANBUL</v>
      </c>
      <c r="K25" s="17" t="str">
        <f>IFERROR(__xludf.DUMMYFUNCTION("""COMPUTED_VALUE"""),"https://expa.aiesec.org/opportunities/1291783")</f>
        <v>https://expa.aiesec.org/opportunities/1291783</v>
      </c>
      <c r="L25" s="16" t="str">
        <f>IFERROR(__xludf.DUMMYFUNCTION("""COMPUTED_VALUE"""),"GTa")</f>
        <v>GTa</v>
      </c>
      <c r="M25" s="16" t="str">
        <f>IFERROR(__xludf.DUMMYFUNCTION("""COMPUTED_VALUE"""),"long")</f>
        <v>long</v>
      </c>
      <c r="N25" s="18">
        <f>IFERROR(__xludf.DUMMYFUNCTION("""COMPUTED_VALUE"""),44963.0)</f>
        <v>44963</v>
      </c>
      <c r="O25" s="18">
        <f>IFERROR(__xludf.DUMMYFUNCTION("""COMPUTED_VALUE"""),44969.0)</f>
        <v>44969</v>
      </c>
      <c r="P25" s="18">
        <f>IFERROR(__xludf.DUMMYFUNCTION("""COMPUTED_VALUE"""),45334.0)</f>
        <v>45334</v>
      </c>
      <c r="Q25" s="18">
        <f>IFERROR(__xludf.DUMMYFUNCTION("""COMPUTED_VALUE"""),45051.0)</f>
        <v>45051</v>
      </c>
      <c r="R25" s="18">
        <f>IFERROR(__xludf.DUMMYFUNCTION("""COMPUTED_VALUE"""),45418.0)</f>
        <v>45418</v>
      </c>
      <c r="S25" s="16"/>
      <c r="T25" s="16" t="str">
        <f>IFERROR(__xludf.DUMMYFUNCTION("""COMPUTED_VALUE"""),"Business Administration")</f>
        <v>Business Administration</v>
      </c>
      <c r="U25" s="16" t="str">
        <f>IFERROR(__xludf.DUMMYFUNCTION("""COMPUTED_VALUE"""),"Telesales Internship in Istanbul")</f>
        <v>Telesales Internship in Istanbul</v>
      </c>
      <c r="V25" s="16" t="str">
        <f>IFERROR(__xludf.DUMMYFUNCTION("""COMPUTED_VALUE"""),"FLSH Aïn Chock Casablanca")</f>
        <v>FLSH Aïn Chock Casablanca</v>
      </c>
      <c r="W25" s="16" t="str">
        <f>IFERROR(__xludf.DUMMYFUNCTION("""COMPUTED_VALUE"""),"2023-01-16T13:34:44Z")</f>
        <v>2023-01-16T13:34:44Z</v>
      </c>
      <c r="X25" s="16"/>
      <c r="Y25" s="16"/>
      <c r="Z25" s="16"/>
    </row>
    <row r="26">
      <c r="A26" s="16" t="str">
        <f>IFERROR(__xludf.DUMMYFUNCTION("""COMPUTED_VALUE"""),"5166632_1289536")</f>
        <v>5166632_1289536</v>
      </c>
      <c r="B26" s="16" t="str">
        <f>IFERROR(__xludf.DUMMYFUNCTION("""COMPUTED_VALUE"""),"Maricis Naranjo Valdiviezo")</f>
        <v>Maricis Naranjo Valdiviezo</v>
      </c>
      <c r="C26" s="16" t="str">
        <f>IFERROR(__xludf.DUMMYFUNCTION("""COMPUTED_VALUE"""),"finished")</f>
        <v>finished</v>
      </c>
      <c r="D26" s="16" t="str">
        <f>IFERROR(__xludf.DUMMYFUNCTION("""COMPUTED_VALUE"""),"No")</f>
        <v>No</v>
      </c>
      <c r="E26" s="16" t="str">
        <f>IFERROR(__xludf.DUMMYFUNCTION("""COMPUTED_VALUE"""),"p_e45e7c6e13532e6945fd2b8851691d7ee246d651@inbound.aiesec.org")</f>
        <v>p_e45e7c6e13532e6945fd2b8851691d7ee246d651@inbound.aiesec.org</v>
      </c>
      <c r="F26" s="16">
        <f>IFERROR(__xludf.DUMMYFUNCTION("""COMPUTED_VALUE"""),9.83581519E8)</f>
        <v>983581519</v>
      </c>
      <c r="G26" s="16" t="str">
        <f>IFERROR(__xludf.DUMMYFUNCTION("""COMPUTED_VALUE"""),"Ecuador")</f>
        <v>Ecuador</v>
      </c>
      <c r="H26" s="16" t="str">
        <f>IFERROR(__xludf.DUMMYFUNCTION("""COMPUTED_VALUE"""),"Guayaquil")</f>
        <v>Guayaquil</v>
      </c>
      <c r="I26" s="16" t="str">
        <f>IFERROR(__xludf.DUMMYFUNCTION("""COMPUTED_VALUE"""),"Turkey")</f>
        <v>Turkey</v>
      </c>
      <c r="J26" s="16" t="str">
        <f>IFERROR(__xludf.DUMMYFUNCTION("""COMPUTED_VALUE"""),"ISTANBUL")</f>
        <v>ISTANBUL</v>
      </c>
      <c r="K26" s="17" t="str">
        <f>IFERROR(__xludf.DUMMYFUNCTION("""COMPUTED_VALUE"""),"https://expa.aiesec.org/opportunities/1289536")</f>
        <v>https://expa.aiesec.org/opportunities/1289536</v>
      </c>
      <c r="L26" s="16" t="str">
        <f>IFERROR(__xludf.DUMMYFUNCTION("""COMPUTED_VALUE"""),"GV")</f>
        <v>GV</v>
      </c>
      <c r="M26" s="16" t="str">
        <f>IFERROR(__xludf.DUMMYFUNCTION("""COMPUTED_VALUE"""),"short")</f>
        <v>short</v>
      </c>
      <c r="N26" s="18">
        <f>IFERROR(__xludf.DUMMYFUNCTION("""COMPUTED_VALUE"""),44964.0)</f>
        <v>44964</v>
      </c>
      <c r="O26" s="18">
        <f>IFERROR(__xludf.DUMMYFUNCTION("""COMPUTED_VALUE"""),44977.0)</f>
        <v>44977</v>
      </c>
      <c r="P26" s="18">
        <f>IFERROR(__xludf.DUMMYFUNCTION("""COMPUTED_VALUE"""),45019.0)</f>
        <v>45019</v>
      </c>
      <c r="Q26" s="18">
        <f>IFERROR(__xludf.DUMMYFUNCTION("""COMPUTED_VALUE"""),44978.0)</f>
        <v>44978</v>
      </c>
      <c r="R26" s="18">
        <f>IFERROR(__xludf.DUMMYFUNCTION("""COMPUTED_VALUE"""),45019.0)</f>
        <v>45019</v>
      </c>
      <c r="S26" s="16"/>
      <c r="T26" s="16"/>
      <c r="U26" s="16" t="str">
        <f>IFERROR(__xludf.DUMMYFUNCTION("""COMPUTED_VALUE"""),"Global Classroom")</f>
        <v>Global Classroom</v>
      </c>
      <c r="V26" s="16" t="str">
        <f>IFERROR(__xludf.DUMMYFUNCTION("""COMPUTED_VALUE"""),"-")</f>
        <v>-</v>
      </c>
      <c r="W26" s="16" t="str">
        <f>IFERROR(__xludf.DUMMYFUNCTION("""COMPUTED_VALUE"""),"2022-12-15T19:46:04Z")</f>
        <v>2022-12-15T19:46:04Z</v>
      </c>
      <c r="X26" s="16"/>
      <c r="Y26" s="16"/>
      <c r="Z26" s="16"/>
    </row>
    <row r="27">
      <c r="A27" s="16" t="str">
        <f>IFERROR(__xludf.DUMMYFUNCTION("""COMPUTED_VALUE"""),"5182935_1272564")</f>
        <v>5182935_1272564</v>
      </c>
      <c r="B27" s="16" t="str">
        <f>IFERROR(__xludf.DUMMYFUNCTION("""COMPUTED_VALUE"""),"Asma Lafir")</f>
        <v>Asma Lafir</v>
      </c>
      <c r="C27" s="16" t="str">
        <f>IFERROR(__xludf.DUMMYFUNCTION("""COMPUTED_VALUE"""),"completed")</f>
        <v>completed</v>
      </c>
      <c r="D27" s="16" t="str">
        <f>IFERROR(__xludf.DUMMYFUNCTION("""COMPUTED_VALUE"""),"No")</f>
        <v>No</v>
      </c>
      <c r="E27" s="16" t="str">
        <f>IFERROR(__xludf.DUMMYFUNCTION("""COMPUTED_VALUE"""),"p_b8498251d5347e1e707480061f15c435e99a5e2a@inbound.aiesec.org")</f>
        <v>p_b8498251d5347e1e707480061f15c435e99a5e2a@inbound.aiesec.org</v>
      </c>
      <c r="F27" s="16">
        <f>IFERROR(__xludf.DUMMYFUNCTION("""COMPUTED_VALUE"""),4.169886484E9)</f>
        <v>4169886484</v>
      </c>
      <c r="G27" s="16" t="str">
        <f>IFERROR(__xludf.DUMMYFUNCTION("""COMPUTED_VALUE"""),"Canada")</f>
        <v>Canada</v>
      </c>
      <c r="H27" s="16" t="str">
        <f>IFERROR(__xludf.DUMMYFUNCTION("""COMPUTED_VALUE"""),"OSHAWA")</f>
        <v>OSHAWA</v>
      </c>
      <c r="I27" s="16" t="str">
        <f>IFERROR(__xludf.DUMMYFUNCTION("""COMPUTED_VALUE"""),"Turkey")</f>
        <v>Turkey</v>
      </c>
      <c r="J27" s="16" t="str">
        <f>IFERROR(__xludf.DUMMYFUNCTION("""COMPUTED_VALUE"""),"ISTANBUL")</f>
        <v>ISTANBUL</v>
      </c>
      <c r="K27" s="17" t="str">
        <f>IFERROR(__xludf.DUMMYFUNCTION("""COMPUTED_VALUE"""),"https://expa.aiesec.org/opportunities/1272564")</f>
        <v>https://expa.aiesec.org/opportunities/1272564</v>
      </c>
      <c r="L27" s="16" t="str">
        <f>IFERROR(__xludf.DUMMYFUNCTION("""COMPUTED_VALUE"""),"GV")</f>
        <v>GV</v>
      </c>
      <c r="M27" s="16" t="str">
        <f>IFERROR(__xludf.DUMMYFUNCTION("""COMPUTED_VALUE"""),"short")</f>
        <v>short</v>
      </c>
      <c r="N27" s="18">
        <f>IFERROR(__xludf.DUMMYFUNCTION("""COMPUTED_VALUE"""),44964.0)</f>
        <v>44964</v>
      </c>
      <c r="O27" s="18">
        <f>IFERROR(__xludf.DUMMYFUNCTION("""COMPUTED_VALUE"""),45117.0)</f>
        <v>45117</v>
      </c>
      <c r="P27" s="18">
        <f>IFERROR(__xludf.DUMMYFUNCTION("""COMPUTED_VALUE"""),45159.0)</f>
        <v>45159</v>
      </c>
      <c r="Q27" s="18">
        <f>IFERROR(__xludf.DUMMYFUNCTION("""COMPUTED_VALUE"""),45117.0)</f>
        <v>45117</v>
      </c>
      <c r="R27" s="18">
        <f>IFERROR(__xludf.DUMMYFUNCTION("""COMPUTED_VALUE"""),45159.0)</f>
        <v>45159</v>
      </c>
      <c r="S27" s="16"/>
      <c r="T27" s="16"/>
      <c r="U27" s="16" t="str">
        <f>IFERROR(__xludf.DUMMYFUNCTION("""COMPUTED_VALUE"""),"Global Classroom")</f>
        <v>Global Classroom</v>
      </c>
      <c r="V27" s="16" t="str">
        <f>IFERROR(__xludf.DUMMYFUNCTION("""COMPUTED_VALUE"""),"Ontario Tech University")</f>
        <v>Ontario Tech University</v>
      </c>
      <c r="W27" s="16" t="str">
        <f>IFERROR(__xludf.DUMMYFUNCTION("""COMPUTED_VALUE"""),"2023-01-31T17:37:21Z")</f>
        <v>2023-01-31T17:37:21Z</v>
      </c>
      <c r="X27" s="16"/>
      <c r="Y27" s="16"/>
      <c r="Z27" s="16"/>
    </row>
    <row r="28">
      <c r="A28" s="16" t="str">
        <f>IFERROR(__xludf.DUMMYFUNCTION("""COMPUTED_VALUE"""),"5172082_1272564")</f>
        <v>5172082_1272564</v>
      </c>
      <c r="B28" s="16" t="str">
        <f>IFERROR(__xludf.DUMMYFUNCTION("""COMPUTED_VALUE"""),"Batul Mirzai")</f>
        <v>Batul Mirzai</v>
      </c>
      <c r="C28" s="16" t="str">
        <f>IFERROR(__xludf.DUMMYFUNCTION("""COMPUTED_VALUE"""),"completed")</f>
        <v>completed</v>
      </c>
      <c r="D28" s="16" t="str">
        <f>IFERROR(__xludf.DUMMYFUNCTION("""COMPUTED_VALUE"""),"No")</f>
        <v>No</v>
      </c>
      <c r="E28" s="16" t="str">
        <f>IFERROR(__xludf.DUMMYFUNCTION("""COMPUTED_VALUE"""),"p_d69b5ee2b0f751547deaefc04bb72416b37d9ab8@inbound.aiesec.org")</f>
        <v>p_d69b5ee2b0f751547deaefc04bb72416b37d9ab8@inbound.aiesec.org</v>
      </c>
      <c r="F28" s="16"/>
      <c r="G28" s="16" t="str">
        <f>IFERROR(__xludf.DUMMYFUNCTION("""COMPUTED_VALUE"""),"Canada")</f>
        <v>Canada</v>
      </c>
      <c r="H28" s="16" t="str">
        <f>IFERROR(__xludf.DUMMYFUNCTION("""COMPUTED_VALUE"""),"OSHAWA")</f>
        <v>OSHAWA</v>
      </c>
      <c r="I28" s="16" t="str">
        <f>IFERROR(__xludf.DUMMYFUNCTION("""COMPUTED_VALUE"""),"Turkey")</f>
        <v>Turkey</v>
      </c>
      <c r="J28" s="16" t="str">
        <f>IFERROR(__xludf.DUMMYFUNCTION("""COMPUTED_VALUE"""),"ISTANBUL")</f>
        <v>ISTANBUL</v>
      </c>
      <c r="K28" s="17" t="str">
        <f>IFERROR(__xludf.DUMMYFUNCTION("""COMPUTED_VALUE"""),"https://expa.aiesec.org/opportunities/1272564")</f>
        <v>https://expa.aiesec.org/opportunities/1272564</v>
      </c>
      <c r="L28" s="16" t="str">
        <f>IFERROR(__xludf.DUMMYFUNCTION("""COMPUTED_VALUE"""),"GV")</f>
        <v>GV</v>
      </c>
      <c r="M28" s="16" t="str">
        <f>IFERROR(__xludf.DUMMYFUNCTION("""COMPUTED_VALUE"""),"short")</f>
        <v>short</v>
      </c>
      <c r="N28" s="18">
        <f>IFERROR(__xludf.DUMMYFUNCTION("""COMPUTED_VALUE"""),44964.0)</f>
        <v>44964</v>
      </c>
      <c r="O28" s="18">
        <f>IFERROR(__xludf.DUMMYFUNCTION("""COMPUTED_VALUE"""),45117.0)</f>
        <v>45117</v>
      </c>
      <c r="P28" s="18">
        <f>IFERROR(__xludf.DUMMYFUNCTION("""COMPUTED_VALUE"""),45159.0)</f>
        <v>45159</v>
      </c>
      <c r="Q28" s="18">
        <f>IFERROR(__xludf.DUMMYFUNCTION("""COMPUTED_VALUE"""),45117.0)</f>
        <v>45117</v>
      </c>
      <c r="R28" s="18">
        <f>IFERROR(__xludf.DUMMYFUNCTION("""COMPUTED_VALUE"""),45159.0)</f>
        <v>45159</v>
      </c>
      <c r="S28" s="16"/>
      <c r="T28" s="16"/>
      <c r="U28" s="16" t="str">
        <f>IFERROR(__xludf.DUMMYFUNCTION("""COMPUTED_VALUE"""),"Global Classroom")</f>
        <v>Global Classroom</v>
      </c>
      <c r="V28" s="16" t="str">
        <f>IFERROR(__xludf.DUMMYFUNCTION("""COMPUTED_VALUE"""),"-")</f>
        <v>-</v>
      </c>
      <c r="W28" s="16" t="str">
        <f>IFERROR(__xludf.DUMMYFUNCTION("""COMPUTED_VALUE"""),"2023-01-01T00:44:07Z")</f>
        <v>2023-01-01T00:44:07Z</v>
      </c>
      <c r="X28" s="16"/>
      <c r="Y28" s="16"/>
      <c r="Z28" s="16"/>
    </row>
    <row r="29">
      <c r="A29" s="16" t="str">
        <f>IFERROR(__xludf.DUMMYFUNCTION("""COMPUTED_VALUE"""),"5183626_1291049")</f>
        <v>5183626_1291049</v>
      </c>
      <c r="B29" s="16" t="str">
        <f>IFERROR(__xludf.DUMMYFUNCTION("""COMPUTED_VALUE"""),"Elif Toklucu")</f>
        <v>Elif Toklucu</v>
      </c>
      <c r="C29" s="16" t="str">
        <f>IFERROR(__xludf.DUMMYFUNCTION("""COMPUTED_VALUE"""),"completed")</f>
        <v>completed</v>
      </c>
      <c r="D29" s="16" t="str">
        <f>IFERROR(__xludf.DUMMYFUNCTION("""COMPUTED_VALUE"""),"No")</f>
        <v>No</v>
      </c>
      <c r="E29" s="16" t="str">
        <f>IFERROR(__xludf.DUMMYFUNCTION("""COMPUTED_VALUE"""),"p_2e39816736cb4e55469f649dd3574a4c6e5e4f43@inbound.aiesec.org")</f>
        <v>p_2e39816736cb4e55469f649dd3574a4c6e5e4f43@inbound.aiesec.org</v>
      </c>
      <c r="F29" s="16">
        <f>IFERROR(__xludf.DUMMYFUNCTION("""COMPUTED_VALUE"""),5.061280039E9)</f>
        <v>5061280039</v>
      </c>
      <c r="G29" s="16" t="str">
        <f>IFERROR(__xludf.DUMMYFUNCTION("""COMPUTED_VALUE"""),"Turkey")</f>
        <v>Turkey</v>
      </c>
      <c r="H29" s="16" t="str">
        <f>IFERROR(__xludf.DUMMYFUNCTION("""COMPUTED_VALUE"""),"ISTANBUL")</f>
        <v>ISTANBUL</v>
      </c>
      <c r="I29" s="16" t="str">
        <f>IFERROR(__xludf.DUMMYFUNCTION("""COMPUTED_VALUE"""),"Egypt")</f>
        <v>Egypt</v>
      </c>
      <c r="J29" s="16" t="str">
        <f>IFERROR(__xludf.DUMMYFUNCTION("""COMPUTED_VALUE"""),"GUC")</f>
        <v>GUC</v>
      </c>
      <c r="K29" s="17" t="str">
        <f>IFERROR(__xludf.DUMMYFUNCTION("""COMPUTED_VALUE"""),"https://expa.aiesec.org/opportunities/1291049")</f>
        <v>https://expa.aiesec.org/opportunities/1291049</v>
      </c>
      <c r="L29" s="16" t="str">
        <f>IFERROR(__xludf.DUMMYFUNCTION("""COMPUTED_VALUE"""),"GV")</f>
        <v>GV</v>
      </c>
      <c r="M29" s="16" t="str">
        <f>IFERROR(__xludf.DUMMYFUNCTION("""COMPUTED_VALUE"""),"short")</f>
        <v>short</v>
      </c>
      <c r="N29" s="18">
        <f>IFERROR(__xludf.DUMMYFUNCTION("""COMPUTED_VALUE"""),44965.0)</f>
        <v>44965</v>
      </c>
      <c r="O29" s="18">
        <f>IFERROR(__xludf.DUMMYFUNCTION("""COMPUTED_VALUE"""),45123.0)</f>
        <v>45123</v>
      </c>
      <c r="P29" s="18">
        <f>IFERROR(__xludf.DUMMYFUNCTION("""COMPUTED_VALUE"""),45165.0)</f>
        <v>45165</v>
      </c>
      <c r="Q29" s="18">
        <f>IFERROR(__xludf.DUMMYFUNCTION("""COMPUTED_VALUE"""),45125.0)</f>
        <v>45125</v>
      </c>
      <c r="R29" s="18">
        <f>IFERROR(__xludf.DUMMYFUNCTION("""COMPUTED_VALUE"""),45166.0)</f>
        <v>45166</v>
      </c>
      <c r="S29" s="16"/>
      <c r="T29" s="16"/>
      <c r="U29" s="16" t="str">
        <f>IFERROR(__xludf.DUMMYFUNCTION("""COMPUTED_VALUE"""),"Global Classroom")</f>
        <v>Global Classroom</v>
      </c>
      <c r="V29" s="16" t="str">
        <f>IFERROR(__xludf.DUMMYFUNCTION("""COMPUTED_VALUE"""),"ISTANBUL - BEYOGLU")</f>
        <v>ISTANBUL - BEYOGLU</v>
      </c>
      <c r="W29" s="16" t="str">
        <f>IFERROR(__xludf.DUMMYFUNCTION("""COMPUTED_VALUE"""),"2023-02-01T19:35:50Z")</f>
        <v>2023-02-01T19:35:50Z</v>
      </c>
      <c r="X29" s="16"/>
      <c r="Y29" s="16"/>
      <c r="Z29" s="16"/>
    </row>
    <row r="30">
      <c r="A30" s="16" t="str">
        <f>IFERROR(__xludf.DUMMYFUNCTION("""COMPUTED_VALUE"""),"5184467_1287966")</f>
        <v>5184467_1287966</v>
      </c>
      <c r="B30" s="16" t="str">
        <f>IFERROR(__xludf.DUMMYFUNCTION("""COMPUTED_VALUE"""),"Yulia Nicheporuk")</f>
        <v>Yulia Nicheporuk</v>
      </c>
      <c r="C30" s="16" t="str">
        <f>IFERROR(__xludf.DUMMYFUNCTION("""COMPUTED_VALUE"""),"completed")</f>
        <v>completed</v>
      </c>
      <c r="D30" s="16" t="str">
        <f>IFERROR(__xludf.DUMMYFUNCTION("""COMPUTED_VALUE"""),"No")</f>
        <v>No</v>
      </c>
      <c r="E30" s="16" t="str">
        <f>IFERROR(__xludf.DUMMYFUNCTION("""COMPUTED_VALUE"""),"p_b6ceb8a6eff67a6c1fa60c459f7486ad22f83b98@inbound.aiesec.org")</f>
        <v>p_b6ceb8a6eff67a6c1fa60c459f7486ad22f83b98@inbound.aiesec.org</v>
      </c>
      <c r="F30" s="16">
        <f>IFERROR(__xludf.DUMMYFUNCTION("""COMPUTED_VALUE"""),6.67473536E8)</f>
        <v>667473536</v>
      </c>
      <c r="G30" s="16" t="str">
        <f>IFERROR(__xludf.DUMMYFUNCTION("""COMPUTED_VALUE"""),"Ukraine")</f>
        <v>Ukraine</v>
      </c>
      <c r="H30" s="16" t="str">
        <f>IFERROR(__xludf.DUMMYFUNCTION("""COMPUTED_VALUE"""),"KHARKIV")</f>
        <v>KHARKIV</v>
      </c>
      <c r="I30" s="16" t="str">
        <f>IFERROR(__xludf.DUMMYFUNCTION("""COMPUTED_VALUE"""),"Turkey")</f>
        <v>Turkey</v>
      </c>
      <c r="J30" s="16" t="str">
        <f>IFERROR(__xludf.DUMMYFUNCTION("""COMPUTED_VALUE"""),"ISTANBUL")</f>
        <v>ISTANBUL</v>
      </c>
      <c r="K30" s="17" t="str">
        <f>IFERROR(__xludf.DUMMYFUNCTION("""COMPUTED_VALUE"""),"https://expa.aiesec.org/opportunities/1287966")</f>
        <v>https://expa.aiesec.org/opportunities/1287966</v>
      </c>
      <c r="L30" s="16" t="str">
        <f>IFERROR(__xludf.DUMMYFUNCTION("""COMPUTED_VALUE"""),"GV")</f>
        <v>GV</v>
      </c>
      <c r="M30" s="16" t="str">
        <f>IFERROR(__xludf.DUMMYFUNCTION("""COMPUTED_VALUE"""),"short")</f>
        <v>short</v>
      </c>
      <c r="N30" s="18">
        <f>IFERROR(__xludf.DUMMYFUNCTION("""COMPUTED_VALUE"""),44966.0)</f>
        <v>44966</v>
      </c>
      <c r="O30" s="18">
        <f>IFERROR(__xludf.DUMMYFUNCTION("""COMPUTED_VALUE"""),45109.0)</f>
        <v>45109</v>
      </c>
      <c r="P30" s="18">
        <f>IFERROR(__xludf.DUMMYFUNCTION("""COMPUTED_VALUE"""),45151.0)</f>
        <v>45151</v>
      </c>
      <c r="Q30" s="18">
        <f>IFERROR(__xludf.DUMMYFUNCTION("""COMPUTED_VALUE"""),45110.0)</f>
        <v>45110</v>
      </c>
      <c r="R30" s="18">
        <f>IFERROR(__xludf.DUMMYFUNCTION("""COMPUTED_VALUE"""),45151.0)</f>
        <v>45151</v>
      </c>
      <c r="S30" s="16"/>
      <c r="T30" s="16"/>
      <c r="U30" s="16" t="str">
        <f>IFERROR(__xludf.DUMMYFUNCTION("""COMPUTED_VALUE"""),"Heartbeat")</f>
        <v>Heartbeat</v>
      </c>
      <c r="V30" s="16" t="str">
        <f>IFERROR(__xludf.DUMMYFUNCTION("""COMPUTED_VALUE""")," Uzhhorod ")</f>
        <v> Uzhhorod </v>
      </c>
      <c r="W30" s="16" t="str">
        <f>IFERROR(__xludf.DUMMYFUNCTION("""COMPUTED_VALUE"""),"2023-02-02T20:18:58Z")</f>
        <v>2023-02-02T20:18:58Z</v>
      </c>
      <c r="X30" s="16"/>
      <c r="Y30" s="16"/>
      <c r="Z30" s="16"/>
    </row>
    <row r="31">
      <c r="A31" s="16" t="str">
        <f>IFERROR(__xludf.DUMMYFUNCTION("""COMPUTED_VALUE"""),"5188861_1284501")</f>
        <v>5188861_1284501</v>
      </c>
      <c r="B31" s="16" t="str">
        <f>IFERROR(__xludf.DUMMYFUNCTION("""COMPUTED_VALUE"""),"Lorena Romero")</f>
        <v>Lorena Romero</v>
      </c>
      <c r="C31" s="16" t="str">
        <f>IFERROR(__xludf.DUMMYFUNCTION("""COMPUTED_VALUE"""),"realized")</f>
        <v>realized</v>
      </c>
      <c r="D31" s="16" t="str">
        <f>IFERROR(__xludf.DUMMYFUNCTION("""COMPUTED_VALUE"""),"No")</f>
        <v>No</v>
      </c>
      <c r="E31" s="16" t="str">
        <f>IFERROR(__xludf.DUMMYFUNCTION("""COMPUTED_VALUE"""),"p_b691b7e1fd6f60a9cc77ab3a9c4b54d7f4ebf793@inbound.aiesec.org")</f>
        <v>p_b691b7e1fd6f60a9cc77ab3a9c4b54d7f4ebf793@inbound.aiesec.org</v>
      </c>
      <c r="F31" s="16">
        <f>IFERROR(__xludf.DUMMYFUNCTION("""COMPUTED_VALUE"""),6.6069391E7)</f>
        <v>66069391</v>
      </c>
      <c r="G31" s="16" t="str">
        <f>IFERROR(__xludf.DUMMYFUNCTION("""COMPUTED_VALUE"""),"Panama")</f>
        <v>Panama</v>
      </c>
      <c r="H31" s="16" t="str">
        <f>IFERROR(__xludf.DUMMYFUNCTION("""COMPUTED_VALUE"""),"UTP")</f>
        <v>UTP</v>
      </c>
      <c r="I31" s="16" t="str">
        <f>IFERROR(__xludf.DUMMYFUNCTION("""COMPUTED_VALUE"""),"Turkey")</f>
        <v>Turkey</v>
      </c>
      <c r="J31" s="16" t="str">
        <f>IFERROR(__xludf.DUMMYFUNCTION("""COMPUTED_VALUE"""),"ISTANBUL")</f>
        <v>ISTANBUL</v>
      </c>
      <c r="K31" s="17" t="str">
        <f>IFERROR(__xludf.DUMMYFUNCTION("""COMPUTED_VALUE"""),"https://expa.aiesec.org/opportunities/1284501")</f>
        <v>https://expa.aiesec.org/opportunities/1284501</v>
      </c>
      <c r="L31" s="16" t="str">
        <f>IFERROR(__xludf.DUMMYFUNCTION("""COMPUTED_VALUE"""),"GTa")</f>
        <v>GTa</v>
      </c>
      <c r="M31" s="16" t="str">
        <f>IFERROR(__xludf.DUMMYFUNCTION("""COMPUTED_VALUE"""),"long")</f>
        <v>long</v>
      </c>
      <c r="N31" s="18">
        <f>IFERROR(__xludf.DUMMYFUNCTION("""COMPUTED_VALUE"""),44968.0)</f>
        <v>44968</v>
      </c>
      <c r="O31" s="18">
        <f>IFERROR(__xludf.DUMMYFUNCTION("""COMPUTED_VALUE"""),44998.0)</f>
        <v>44998</v>
      </c>
      <c r="P31" s="18">
        <f>IFERROR(__xludf.DUMMYFUNCTION("""COMPUTED_VALUE"""),45359.0)</f>
        <v>45359</v>
      </c>
      <c r="Q31" s="18">
        <f>IFERROR(__xludf.DUMMYFUNCTION("""COMPUTED_VALUE"""),45040.0)</f>
        <v>45040</v>
      </c>
      <c r="R31" s="18">
        <f>IFERROR(__xludf.DUMMYFUNCTION("""COMPUTED_VALUE"""),45408.0)</f>
        <v>45408</v>
      </c>
      <c r="S31" s="16"/>
      <c r="T31" s="16" t="str">
        <f>IFERROR(__xludf.DUMMYFUNCTION("""COMPUTED_VALUE"""),"Marketing")</f>
        <v>Marketing</v>
      </c>
      <c r="U31" s="16" t="str">
        <f>IFERROR(__xludf.DUMMYFUNCTION("""COMPUTED_VALUE"""),"Digital Marketing")</f>
        <v>Digital Marketing</v>
      </c>
      <c r="V31" s="16" t="str">
        <f>IFERROR(__xludf.DUMMYFUNCTION("""COMPUTED_VALUE"""),"-")</f>
        <v>-</v>
      </c>
      <c r="W31" s="16" t="str">
        <f>IFERROR(__xludf.DUMMYFUNCTION("""COMPUTED_VALUE"""),"2023-02-10T19:04:02Z")</f>
        <v>2023-02-10T19:04:02Z</v>
      </c>
      <c r="X31" s="16"/>
      <c r="Y31" s="16"/>
      <c r="Z31" s="16"/>
    </row>
    <row r="32">
      <c r="A32" s="16" t="str">
        <f>IFERROR(__xludf.DUMMYFUNCTION("""COMPUTED_VALUE"""),"5190602_1289255")</f>
        <v>5190602_1289255</v>
      </c>
      <c r="B32" s="16" t="str">
        <f>IFERROR(__xludf.DUMMYFUNCTION("""COMPUTED_VALUE"""),"Mouadh Nemri")</f>
        <v>Mouadh Nemri</v>
      </c>
      <c r="C32" s="16" t="str">
        <f>IFERROR(__xludf.DUMMYFUNCTION("""COMPUTED_VALUE"""),"realized")</f>
        <v>realized</v>
      </c>
      <c r="D32" s="16" t="str">
        <f>IFERROR(__xludf.DUMMYFUNCTION("""COMPUTED_VALUE"""),"No")</f>
        <v>No</v>
      </c>
      <c r="E32" s="16" t="str">
        <f>IFERROR(__xludf.DUMMYFUNCTION("""COMPUTED_VALUE"""),"p_c82f30aae42d2f077c45fcd5c5e0257f642adc2f@inbound.aiesec.org")</f>
        <v>p_c82f30aae42d2f077c45fcd5c5e0257f642adc2f@inbound.aiesec.org</v>
      </c>
      <c r="F32" s="16">
        <f>IFERROR(__xludf.DUMMYFUNCTION("""COMPUTED_VALUE"""),2.8315626E7)</f>
        <v>28315626</v>
      </c>
      <c r="G32" s="16" t="str">
        <f>IFERROR(__xludf.DUMMYFUNCTION("""COMPUTED_VALUE"""),"Tunisia")</f>
        <v>Tunisia</v>
      </c>
      <c r="H32" s="16" t="str">
        <f>IFERROR(__xludf.DUMMYFUNCTION("""COMPUTED_VALUE"""),"UNIVERSITY")</f>
        <v>UNIVERSITY</v>
      </c>
      <c r="I32" s="16" t="str">
        <f>IFERROR(__xludf.DUMMYFUNCTION("""COMPUTED_VALUE"""),"Turkey")</f>
        <v>Turkey</v>
      </c>
      <c r="J32" s="16" t="str">
        <f>IFERROR(__xludf.DUMMYFUNCTION("""COMPUTED_VALUE"""),"ISTANBUL")</f>
        <v>ISTANBUL</v>
      </c>
      <c r="K32" s="17" t="str">
        <f>IFERROR(__xludf.DUMMYFUNCTION("""COMPUTED_VALUE"""),"https://expa.aiesec.org/opportunities/1289255")</f>
        <v>https://expa.aiesec.org/opportunities/1289255</v>
      </c>
      <c r="L32" s="16" t="str">
        <f>IFERROR(__xludf.DUMMYFUNCTION("""COMPUTED_VALUE"""),"GTa")</f>
        <v>GTa</v>
      </c>
      <c r="M32" s="16" t="str">
        <f>IFERROR(__xludf.DUMMYFUNCTION("""COMPUTED_VALUE"""),"long")</f>
        <v>long</v>
      </c>
      <c r="N32" s="18">
        <f>IFERROR(__xludf.DUMMYFUNCTION("""COMPUTED_VALUE"""),44971.0)</f>
        <v>44971</v>
      </c>
      <c r="O32" s="18">
        <f>IFERROR(__xludf.DUMMYFUNCTION("""COMPUTED_VALUE"""),44991.0)</f>
        <v>44991</v>
      </c>
      <c r="P32" s="18">
        <f>IFERROR(__xludf.DUMMYFUNCTION("""COMPUTED_VALUE"""),45536.0)</f>
        <v>45536</v>
      </c>
      <c r="Q32" s="18">
        <f>IFERROR(__xludf.DUMMYFUNCTION("""COMPUTED_VALUE"""),44993.0)</f>
        <v>44993</v>
      </c>
      <c r="R32" s="18">
        <f>IFERROR(__xludf.DUMMYFUNCTION("""COMPUTED_VALUE"""),45536.0)</f>
        <v>45536</v>
      </c>
      <c r="S32" s="16"/>
      <c r="T32" s="16" t="str">
        <f>IFERROR(__xludf.DUMMYFUNCTION("""COMPUTED_VALUE"""),"Business Administration")</f>
        <v>Business Administration</v>
      </c>
      <c r="U32" s="16" t="str">
        <f>IFERROR(__xludf.DUMMYFUNCTION("""COMPUTED_VALUE"""),"Telesales Specialist in Istanbul (French Speaker)")</f>
        <v>Telesales Specialist in Istanbul (French Speaker)</v>
      </c>
      <c r="V32" s="16" t="str">
        <f>IFERROR(__xludf.DUMMYFUNCTION("""COMPUTED_VALUE"""),"FSEGT")</f>
        <v>FSEGT</v>
      </c>
      <c r="W32" s="16" t="str">
        <f>IFERROR(__xludf.DUMMYFUNCTION("""COMPUTED_VALUE"""),"2023-02-14T13:18:22Z")</f>
        <v>2023-02-14T13:18:22Z</v>
      </c>
      <c r="X32" s="16"/>
      <c r="Y32" s="16"/>
      <c r="Z32" s="16"/>
    </row>
    <row r="33">
      <c r="A33" s="16" t="str">
        <f>IFERROR(__xludf.DUMMYFUNCTION("""COMPUTED_VALUE"""),"5185874_1291551")</f>
        <v>5185874_1291551</v>
      </c>
      <c r="B33" s="16" t="str">
        <f>IFERROR(__xludf.DUMMYFUNCTION("""COMPUTED_VALUE"""),"Ayberk Köklü")</f>
        <v>Ayberk Köklü</v>
      </c>
      <c r="C33" s="16" t="str">
        <f>IFERROR(__xludf.DUMMYFUNCTION("""COMPUTED_VALUE"""),"completed")</f>
        <v>completed</v>
      </c>
      <c r="D33" s="16" t="str">
        <f>IFERROR(__xludf.DUMMYFUNCTION("""COMPUTED_VALUE"""),"No")</f>
        <v>No</v>
      </c>
      <c r="E33" s="16" t="str">
        <f>IFERROR(__xludf.DUMMYFUNCTION("""COMPUTED_VALUE"""),"p_cb875c279a83c1770796b9c1c79c33dcaf0bcb55@inbound.aiesec.org")</f>
        <v>p_cb875c279a83c1770796b9c1c79c33dcaf0bcb55@inbound.aiesec.org</v>
      </c>
      <c r="F33" s="16">
        <f>IFERROR(__xludf.DUMMYFUNCTION("""COMPUTED_VALUE"""),5.469475031E9)</f>
        <v>5469475031</v>
      </c>
      <c r="G33" s="16" t="str">
        <f>IFERROR(__xludf.DUMMYFUNCTION("""COMPUTED_VALUE"""),"Turkey")</f>
        <v>Turkey</v>
      </c>
      <c r="H33" s="16" t="str">
        <f>IFERROR(__xludf.DUMMYFUNCTION("""COMPUTED_VALUE"""),"ISTANBUL")</f>
        <v>ISTANBUL</v>
      </c>
      <c r="I33" s="16" t="str">
        <f>IFERROR(__xludf.DUMMYFUNCTION("""COMPUTED_VALUE"""),"Italy")</f>
        <v>Italy</v>
      </c>
      <c r="J33" s="16" t="str">
        <f>IFERROR(__xludf.DUMMYFUNCTION("""COMPUTED_VALUE"""),"Bologna")</f>
        <v>Bologna</v>
      </c>
      <c r="K33" s="17" t="str">
        <f>IFERROR(__xludf.DUMMYFUNCTION("""COMPUTED_VALUE"""),"https://expa.aiesec.org/opportunities/1291551")</f>
        <v>https://expa.aiesec.org/opportunities/1291551</v>
      </c>
      <c r="L33" s="16" t="str">
        <f>IFERROR(__xludf.DUMMYFUNCTION("""COMPUTED_VALUE"""),"GV")</f>
        <v>GV</v>
      </c>
      <c r="M33" s="16" t="str">
        <f>IFERROR(__xludf.DUMMYFUNCTION("""COMPUTED_VALUE"""),"short")</f>
        <v>short</v>
      </c>
      <c r="N33" s="18">
        <f>IFERROR(__xludf.DUMMYFUNCTION("""COMPUTED_VALUE"""),44971.0)</f>
        <v>44971</v>
      </c>
      <c r="O33" s="18">
        <f>IFERROR(__xludf.DUMMYFUNCTION("""COMPUTED_VALUE"""),45032.0)</f>
        <v>45032</v>
      </c>
      <c r="P33" s="18">
        <f>IFERROR(__xludf.DUMMYFUNCTION("""COMPUTED_VALUE"""),45074.0)</f>
        <v>45074</v>
      </c>
      <c r="Q33" s="18">
        <f>IFERROR(__xludf.DUMMYFUNCTION("""COMPUTED_VALUE"""),45032.0)</f>
        <v>45032</v>
      </c>
      <c r="R33" s="18">
        <f>IFERROR(__xludf.DUMMYFUNCTION("""COMPUTED_VALUE"""),45074.0)</f>
        <v>45074</v>
      </c>
      <c r="S33" s="16"/>
      <c r="T33" s="16"/>
      <c r="U33" s="16" t="str">
        <f>IFERROR(__xludf.DUMMYFUNCTION("""COMPUTED_VALUE"""),"Youth 4 Impact")</f>
        <v>Youth 4 Impact</v>
      </c>
      <c r="V33" s="16" t="str">
        <f>IFERROR(__xludf.DUMMYFUNCTION("""COMPUTED_VALUE"""),"ISTANBUL - BEYOGLU")</f>
        <v>ISTANBUL - BEYOGLU</v>
      </c>
      <c r="W33" s="16" t="str">
        <f>IFERROR(__xludf.DUMMYFUNCTION("""COMPUTED_VALUE"""),"2023-02-05T14:13:06Z")</f>
        <v>2023-02-05T14:13:06Z</v>
      </c>
      <c r="X33" s="16"/>
      <c r="Y33" s="16"/>
      <c r="Z33" s="16"/>
    </row>
    <row r="34">
      <c r="A34" s="16" t="str">
        <f>IFERROR(__xludf.DUMMYFUNCTION("""COMPUTED_VALUE"""),"5077944_1290642")</f>
        <v>5077944_1290642</v>
      </c>
      <c r="B34" s="16" t="str">
        <f>IFERROR(__xludf.DUMMYFUNCTION("""COMPUTED_VALUE"""),"Simay Şen")</f>
        <v>Simay Şen</v>
      </c>
      <c r="C34" s="16" t="str">
        <f>IFERROR(__xludf.DUMMYFUNCTION("""COMPUTED_VALUE"""),"completed")</f>
        <v>completed</v>
      </c>
      <c r="D34" s="16" t="str">
        <f>IFERROR(__xludf.DUMMYFUNCTION("""COMPUTED_VALUE"""),"No")</f>
        <v>No</v>
      </c>
      <c r="E34" s="16" t="str">
        <f>IFERROR(__xludf.DUMMYFUNCTION("""COMPUTED_VALUE"""),"p_c10170447d5e0aa2974547af74eafdb4bd7f1846@inbound.aiesec.org")</f>
        <v>p_c10170447d5e0aa2974547af74eafdb4bd7f1846@inbound.aiesec.org</v>
      </c>
      <c r="F34" s="16">
        <f>IFERROR(__xludf.DUMMYFUNCTION("""COMPUTED_VALUE"""),5.300996824E9)</f>
        <v>5300996824</v>
      </c>
      <c r="G34" s="16" t="str">
        <f>IFERROR(__xludf.DUMMYFUNCTION("""COMPUTED_VALUE"""),"Turkey")</f>
        <v>Turkey</v>
      </c>
      <c r="H34" s="16" t="str">
        <f>IFERROR(__xludf.DUMMYFUNCTION("""COMPUTED_VALUE"""),"ISTANBUL")</f>
        <v>ISTANBUL</v>
      </c>
      <c r="I34" s="16" t="str">
        <f>IFERROR(__xludf.DUMMYFUNCTION("""COMPUTED_VALUE"""),"Romania")</f>
        <v>Romania</v>
      </c>
      <c r="J34" s="16" t="str">
        <f>IFERROR(__xludf.DUMMYFUNCTION("""COMPUTED_VALUE"""),"BUCURESTI")</f>
        <v>BUCURESTI</v>
      </c>
      <c r="K34" s="17" t="str">
        <f>IFERROR(__xludf.DUMMYFUNCTION("""COMPUTED_VALUE"""),"https://expa.aiesec.org/opportunities/1290642")</f>
        <v>https://expa.aiesec.org/opportunities/1290642</v>
      </c>
      <c r="L34" s="16" t="str">
        <f>IFERROR(__xludf.DUMMYFUNCTION("""COMPUTED_VALUE"""),"GV")</f>
        <v>GV</v>
      </c>
      <c r="M34" s="16" t="str">
        <f>IFERROR(__xludf.DUMMYFUNCTION("""COMPUTED_VALUE"""),"short")</f>
        <v>short</v>
      </c>
      <c r="N34" s="18">
        <f>IFERROR(__xludf.DUMMYFUNCTION("""COMPUTED_VALUE"""),44972.0)</f>
        <v>44972</v>
      </c>
      <c r="O34" s="18">
        <f>IFERROR(__xludf.DUMMYFUNCTION("""COMPUTED_VALUE"""),45124.0)</f>
        <v>45124</v>
      </c>
      <c r="P34" s="18">
        <f>IFERROR(__xludf.DUMMYFUNCTION("""COMPUTED_VALUE"""),45166.0)</f>
        <v>45166</v>
      </c>
      <c r="Q34" s="18">
        <f>IFERROR(__xludf.DUMMYFUNCTION("""COMPUTED_VALUE"""),45124.0)</f>
        <v>45124</v>
      </c>
      <c r="R34" s="18">
        <f>IFERROR(__xludf.DUMMYFUNCTION("""COMPUTED_VALUE"""),45166.0)</f>
        <v>45166</v>
      </c>
      <c r="S34" s="16"/>
      <c r="T34" s="16"/>
      <c r="U34" s="16" t="str">
        <f>IFERROR(__xludf.DUMMYFUNCTION("""COMPUTED_VALUE"""),"Explorer")</f>
        <v>Explorer</v>
      </c>
      <c r="V34" s="16" t="str">
        <f>IFERROR(__xludf.DUMMYFUNCTION("""COMPUTED_VALUE"""),"ISTANBUL - BEYOGLU")</f>
        <v>ISTANBUL - BEYOGLU</v>
      </c>
      <c r="W34" s="16" t="str">
        <f>IFERROR(__xludf.DUMMYFUNCTION("""COMPUTED_VALUE"""),"2022-06-29T12:12:37Z")</f>
        <v>2022-06-29T12:12:37Z</v>
      </c>
      <c r="X34" s="16"/>
      <c r="Y34" s="16"/>
      <c r="Z34" s="16"/>
    </row>
    <row r="35">
      <c r="A35" s="16" t="str">
        <f>IFERROR(__xludf.DUMMYFUNCTION("""COMPUTED_VALUE"""),"5185963_1291263")</f>
        <v>5185963_1291263</v>
      </c>
      <c r="B35" s="16" t="str">
        <f>IFERROR(__xludf.DUMMYFUNCTION("""COMPUTED_VALUE"""),"Zehra Öztürk")</f>
        <v>Zehra Öztürk</v>
      </c>
      <c r="C35" s="16" t="str">
        <f>IFERROR(__xludf.DUMMYFUNCTION("""COMPUTED_VALUE"""),"completed")</f>
        <v>completed</v>
      </c>
      <c r="D35" s="16" t="str">
        <f>IFERROR(__xludf.DUMMYFUNCTION("""COMPUTED_VALUE"""),"No")</f>
        <v>No</v>
      </c>
      <c r="E35" s="16" t="str">
        <f>IFERROR(__xludf.DUMMYFUNCTION("""COMPUTED_VALUE"""),"p_abdfcc3b5f9471ef9a58a1aa931c1eaf4b79edc5@inbound.aiesec.org")</f>
        <v>p_abdfcc3b5f9471ef9a58a1aa931c1eaf4b79edc5@inbound.aiesec.org</v>
      </c>
      <c r="F35" s="16"/>
      <c r="G35" s="16" t="str">
        <f>IFERROR(__xludf.DUMMYFUNCTION("""COMPUTED_VALUE"""),"Turkey")</f>
        <v>Turkey</v>
      </c>
      <c r="H35" s="16" t="str">
        <f>IFERROR(__xludf.DUMMYFUNCTION("""COMPUTED_VALUE"""),"ISTANBUL")</f>
        <v>ISTANBUL</v>
      </c>
      <c r="I35" s="16" t="str">
        <f>IFERROR(__xludf.DUMMYFUNCTION("""COMPUTED_VALUE"""),"Greece")</f>
        <v>Greece</v>
      </c>
      <c r="J35" s="16" t="str">
        <f>IFERROR(__xludf.DUMMYFUNCTION("""COMPUTED_VALUE"""),"UoM THESSALONIKI")</f>
        <v>UoM THESSALONIKI</v>
      </c>
      <c r="K35" s="17" t="str">
        <f>IFERROR(__xludf.DUMMYFUNCTION("""COMPUTED_VALUE"""),"https://expa.aiesec.org/opportunities/1291263")</f>
        <v>https://expa.aiesec.org/opportunities/1291263</v>
      </c>
      <c r="L35" s="16" t="str">
        <f>IFERROR(__xludf.DUMMYFUNCTION("""COMPUTED_VALUE"""),"GV")</f>
        <v>GV</v>
      </c>
      <c r="M35" s="16" t="str">
        <f>IFERROR(__xludf.DUMMYFUNCTION("""COMPUTED_VALUE"""),"short")</f>
        <v>short</v>
      </c>
      <c r="N35" s="18">
        <f>IFERROR(__xludf.DUMMYFUNCTION("""COMPUTED_VALUE"""),44972.0)</f>
        <v>44972</v>
      </c>
      <c r="O35" s="18">
        <f>IFERROR(__xludf.DUMMYFUNCTION("""COMPUTED_VALUE"""),45061.0)</f>
        <v>45061</v>
      </c>
      <c r="P35" s="18">
        <f>IFERROR(__xludf.DUMMYFUNCTION("""COMPUTED_VALUE"""),45103.0)</f>
        <v>45103</v>
      </c>
      <c r="Q35" s="18">
        <f>IFERROR(__xludf.DUMMYFUNCTION("""COMPUTED_VALUE"""),45061.0)</f>
        <v>45061</v>
      </c>
      <c r="R35" s="18">
        <f>IFERROR(__xludf.DUMMYFUNCTION("""COMPUTED_VALUE"""),45103.0)</f>
        <v>45103</v>
      </c>
      <c r="S35" s="16"/>
      <c r="T35" s="16"/>
      <c r="U35" s="16" t="str">
        <f>IFERROR(__xludf.DUMMYFUNCTION("""COMPUTED_VALUE"""),"Global Classroom")</f>
        <v>Global Classroom</v>
      </c>
      <c r="V35" s="16" t="str">
        <f>IFERROR(__xludf.DUMMYFUNCTION("""COMPUTED_VALUE"""),"-")</f>
        <v>-</v>
      </c>
      <c r="W35" s="16" t="str">
        <f>IFERROR(__xludf.DUMMYFUNCTION("""COMPUTED_VALUE"""),"2023-02-05T16:42:14Z")</f>
        <v>2023-02-05T16:42:14Z</v>
      </c>
      <c r="X35" s="16"/>
      <c r="Y35" s="16"/>
      <c r="Z35" s="16"/>
    </row>
    <row r="36">
      <c r="A36" s="16" t="str">
        <f>IFERROR(__xludf.DUMMYFUNCTION("""COMPUTED_VALUE"""),"5176807_1290323")</f>
        <v>5176807_1290323</v>
      </c>
      <c r="B36" s="16" t="str">
        <f>IFERROR(__xludf.DUMMYFUNCTION("""COMPUTED_VALUE"""),"ADEL GECE DEMIR")</f>
        <v>ADEL GECE DEMIR</v>
      </c>
      <c r="C36" s="16" t="str">
        <f>IFERROR(__xludf.DUMMYFUNCTION("""COMPUTED_VALUE"""),"approved")</f>
        <v>approved</v>
      </c>
      <c r="D36" s="16" t="str">
        <f>IFERROR(__xludf.DUMMYFUNCTION("""COMPUTED_VALUE"""),"No")</f>
        <v>No</v>
      </c>
      <c r="E36" s="16" t="str">
        <f>IFERROR(__xludf.DUMMYFUNCTION("""COMPUTED_VALUE"""),"p_c8a8ec303c40fb6ad54d9dfb63a655e1a2a8f43a@inbound.aiesec.org")</f>
        <v>p_c8a8ec303c40fb6ad54d9dfb63a655e1a2a8f43a@inbound.aiesec.org</v>
      </c>
      <c r="F36" s="16"/>
      <c r="G36" s="16" t="str">
        <f>IFERROR(__xludf.DUMMYFUNCTION("""COMPUTED_VALUE"""),"Turkey")</f>
        <v>Turkey</v>
      </c>
      <c r="H36" s="16" t="str">
        <f>IFERROR(__xludf.DUMMYFUNCTION("""COMPUTED_VALUE"""),"ISTANBUL")</f>
        <v>ISTANBUL</v>
      </c>
      <c r="I36" s="16" t="str">
        <f>IFERROR(__xludf.DUMMYFUNCTION("""COMPUTED_VALUE"""),"Egypt")</f>
        <v>Egypt</v>
      </c>
      <c r="J36" s="16" t="str">
        <f>IFERROR(__xludf.DUMMYFUNCTION("""COMPUTED_VALUE"""),"Ain Shams University")</f>
        <v>Ain Shams University</v>
      </c>
      <c r="K36" s="17" t="str">
        <f>IFERROR(__xludf.DUMMYFUNCTION("""COMPUTED_VALUE"""),"https://expa.aiesec.org/opportunities/1290323")</f>
        <v>https://expa.aiesec.org/opportunities/1290323</v>
      </c>
      <c r="L36" s="16" t="str">
        <f>IFERROR(__xludf.DUMMYFUNCTION("""COMPUTED_VALUE"""),"GV")</f>
        <v>GV</v>
      </c>
      <c r="M36" s="16" t="str">
        <f>IFERROR(__xludf.DUMMYFUNCTION("""COMPUTED_VALUE"""),"short")</f>
        <v>short</v>
      </c>
      <c r="N36" s="18">
        <f>IFERROR(__xludf.DUMMYFUNCTION("""COMPUTED_VALUE"""),44972.0)</f>
        <v>44972</v>
      </c>
      <c r="O36" s="18">
        <f>IFERROR(__xludf.DUMMYFUNCTION("""COMPUTED_VALUE"""),45108.0)</f>
        <v>45108</v>
      </c>
      <c r="P36" s="18">
        <f>IFERROR(__xludf.DUMMYFUNCTION("""COMPUTED_VALUE"""),45153.0)</f>
        <v>45153</v>
      </c>
      <c r="Q36" s="18"/>
      <c r="R36" s="18"/>
      <c r="S36" s="16"/>
      <c r="T36" s="16"/>
      <c r="U36" s="16" t="str">
        <f>IFERROR(__xludf.DUMMYFUNCTION("""COMPUTED_VALUE"""),"Raise Your Voice")</f>
        <v>Raise Your Voice</v>
      </c>
      <c r="V36" s="16" t="str">
        <f>IFERROR(__xludf.DUMMYFUNCTION("""COMPUTED_VALUE"""),"-")</f>
        <v>-</v>
      </c>
      <c r="W36" s="16" t="str">
        <f>IFERROR(__xludf.DUMMYFUNCTION("""COMPUTED_VALUE"""),"2023-01-15T16:04:09Z")</f>
        <v>2023-01-15T16:04:09Z</v>
      </c>
      <c r="X36" s="16"/>
      <c r="Y36" s="16"/>
      <c r="Z36" s="16"/>
    </row>
    <row r="37">
      <c r="A37" s="16" t="str">
        <f>IFERROR(__xludf.DUMMYFUNCTION("""COMPUTED_VALUE"""),"5191564_1287856")</f>
        <v>5191564_1287856</v>
      </c>
      <c r="B37" s="16" t="str">
        <f>IFERROR(__xludf.DUMMYFUNCTION("""COMPUTED_VALUE"""),"Farukh Karimzhanov")</f>
        <v>Farukh Karimzhanov</v>
      </c>
      <c r="C37" s="16" t="str">
        <f>IFERROR(__xludf.DUMMYFUNCTION("""COMPUTED_VALUE"""),"finished")</f>
        <v>finished</v>
      </c>
      <c r="D37" s="16" t="str">
        <f>IFERROR(__xludf.DUMMYFUNCTION("""COMPUTED_VALUE"""),"No")</f>
        <v>No</v>
      </c>
      <c r="E37" s="16" t="str">
        <f>IFERROR(__xludf.DUMMYFUNCTION("""COMPUTED_VALUE"""),"p_2c51d1453b29becb28b67d5301ac4677288c2f04@inbound.aiesec.org")</f>
        <v>p_2c51d1453b29becb28b67d5301ac4677288c2f04@inbound.aiesec.org</v>
      </c>
      <c r="F37" s="16">
        <f>IFERROR(__xludf.DUMMYFUNCTION("""COMPUTED_VALUE"""),5.00111751E8)</f>
        <v>500111751</v>
      </c>
      <c r="G37" s="16" t="str">
        <f>IFERROR(__xludf.DUMMYFUNCTION("""COMPUTED_VALUE"""),"Kyrgyzstan")</f>
        <v>Kyrgyzstan</v>
      </c>
      <c r="H37" s="16" t="str">
        <f>IFERROR(__xludf.DUMMYFUNCTION("""COMPUTED_VALUE"""),"Impulse for Bishkek Leaders (IBL)")</f>
        <v>Impulse for Bishkek Leaders (IBL)</v>
      </c>
      <c r="I37" s="16" t="str">
        <f>IFERROR(__xludf.DUMMYFUNCTION("""COMPUTED_VALUE"""),"Turkey")</f>
        <v>Turkey</v>
      </c>
      <c r="J37" s="16" t="str">
        <f>IFERROR(__xludf.DUMMYFUNCTION("""COMPUTED_VALUE"""),"ISTANBUL")</f>
        <v>ISTANBUL</v>
      </c>
      <c r="K37" s="17" t="str">
        <f>IFERROR(__xludf.DUMMYFUNCTION("""COMPUTED_VALUE"""),"https://expa.aiesec.org/opportunities/1287856")</f>
        <v>https://expa.aiesec.org/opportunities/1287856</v>
      </c>
      <c r="L37" s="16" t="str">
        <f>IFERROR(__xludf.DUMMYFUNCTION("""COMPUTED_VALUE"""),"GTe")</f>
        <v>GTe</v>
      </c>
      <c r="M37" s="16" t="str">
        <f>IFERROR(__xludf.DUMMYFUNCTION("""COMPUTED_VALUE"""),"long")</f>
        <v>long</v>
      </c>
      <c r="N37" s="18">
        <f>IFERROR(__xludf.DUMMYFUNCTION("""COMPUTED_VALUE"""),44974.0)</f>
        <v>44974</v>
      </c>
      <c r="O37" s="18">
        <f>IFERROR(__xludf.DUMMYFUNCTION("""COMPUTED_VALUE"""),44982.0)</f>
        <v>44982</v>
      </c>
      <c r="P37" s="18">
        <f>IFERROR(__xludf.DUMMYFUNCTION("""COMPUTED_VALUE"""),45171.0)</f>
        <v>45171</v>
      </c>
      <c r="Q37" s="18">
        <f>IFERROR(__xludf.DUMMYFUNCTION("""COMPUTED_VALUE"""),44974.0)</f>
        <v>44974</v>
      </c>
      <c r="R37" s="18">
        <f>IFERROR(__xludf.DUMMYFUNCTION("""COMPUTED_VALUE"""),45171.0)</f>
        <v>45171</v>
      </c>
      <c r="S37" s="16"/>
      <c r="T37" s="16"/>
      <c r="U37" s="16" t="str">
        <f>IFERROR(__xludf.DUMMYFUNCTION("""COMPUTED_VALUE"""),"Preschool English Teacher in Istanbul")</f>
        <v>Preschool English Teacher in Istanbul</v>
      </c>
      <c r="V37" s="16" t="str">
        <f>IFERROR(__xludf.DUMMYFUNCTION("""COMPUTED_VALUE"""),"КНУ (факультет КЭФ, Международных Отношений, Лингвистики или Юриспруденции)")</f>
        <v>КНУ (факультет КЭФ, Международных Отношений, Лингвистики или Юриспруденции)</v>
      </c>
      <c r="W37" s="16" t="str">
        <f>IFERROR(__xludf.DUMMYFUNCTION("""COMPUTED_VALUE"""),"2023-02-15T18:30:38Z")</f>
        <v>2023-02-15T18:30:38Z</v>
      </c>
      <c r="X37" s="16"/>
      <c r="Y37" s="16"/>
      <c r="Z37" s="16"/>
    </row>
    <row r="38">
      <c r="A38" s="16" t="str">
        <f>IFERROR(__xludf.DUMMYFUNCTION("""COMPUTED_VALUE"""),"5175286_1272564")</f>
        <v>5175286_1272564</v>
      </c>
      <c r="B38" s="16" t="str">
        <f>IFERROR(__xludf.DUMMYFUNCTION("""COMPUTED_VALUE"""),"Sara Esteves")</f>
        <v>Sara Esteves</v>
      </c>
      <c r="C38" s="16" t="str">
        <f>IFERROR(__xludf.DUMMYFUNCTION("""COMPUTED_VALUE"""),"finished")</f>
        <v>finished</v>
      </c>
      <c r="D38" s="16" t="str">
        <f>IFERROR(__xludf.DUMMYFUNCTION("""COMPUTED_VALUE"""),"No")</f>
        <v>No</v>
      </c>
      <c r="E38" s="16" t="str">
        <f>IFERROR(__xludf.DUMMYFUNCTION("""COMPUTED_VALUE"""),"p_6dfebff01fd3ded96bcc32289e1e1970ecd877f4@inbound.aiesec.org")</f>
        <v>p_6dfebff01fd3ded96bcc32289e1e1970ecd877f4@inbound.aiesec.org</v>
      </c>
      <c r="F38" s="16"/>
      <c r="G38" s="16" t="str">
        <f>IFERROR(__xludf.DUMMYFUNCTION("""COMPUTED_VALUE"""),"Portugal")</f>
        <v>Portugal</v>
      </c>
      <c r="H38" s="16" t="str">
        <f>IFERROR(__xludf.DUMMYFUNCTION("""COMPUTED_VALUE"""),"Lisboa ISEG")</f>
        <v>Lisboa ISEG</v>
      </c>
      <c r="I38" s="16" t="str">
        <f>IFERROR(__xludf.DUMMYFUNCTION("""COMPUTED_VALUE"""),"Turkey")</f>
        <v>Turkey</v>
      </c>
      <c r="J38" s="16" t="str">
        <f>IFERROR(__xludf.DUMMYFUNCTION("""COMPUTED_VALUE"""),"ISTANBUL")</f>
        <v>ISTANBUL</v>
      </c>
      <c r="K38" s="17" t="str">
        <f>IFERROR(__xludf.DUMMYFUNCTION("""COMPUTED_VALUE"""),"https://expa.aiesec.org/opportunities/1272564")</f>
        <v>https://expa.aiesec.org/opportunities/1272564</v>
      </c>
      <c r="L38" s="16" t="str">
        <f>IFERROR(__xludf.DUMMYFUNCTION("""COMPUTED_VALUE"""),"GV")</f>
        <v>GV</v>
      </c>
      <c r="M38" s="16" t="str">
        <f>IFERROR(__xludf.DUMMYFUNCTION("""COMPUTED_VALUE"""),"short")</f>
        <v>short</v>
      </c>
      <c r="N38" s="18">
        <f>IFERROR(__xludf.DUMMYFUNCTION("""COMPUTED_VALUE"""),44976.0)</f>
        <v>44976</v>
      </c>
      <c r="O38" s="18">
        <f>IFERROR(__xludf.DUMMYFUNCTION("""COMPUTED_VALUE"""),45123.0)</f>
        <v>45123</v>
      </c>
      <c r="P38" s="18">
        <f>IFERROR(__xludf.DUMMYFUNCTION("""COMPUTED_VALUE"""),45165.0)</f>
        <v>45165</v>
      </c>
      <c r="Q38" s="18">
        <f>IFERROR(__xludf.DUMMYFUNCTION("""COMPUTED_VALUE"""),45117.0)</f>
        <v>45117</v>
      </c>
      <c r="R38" s="18">
        <f>IFERROR(__xludf.DUMMYFUNCTION("""COMPUTED_VALUE"""),45165.0)</f>
        <v>45165</v>
      </c>
      <c r="S38" s="16"/>
      <c r="T38" s="16"/>
      <c r="U38" s="16" t="str">
        <f>IFERROR(__xludf.DUMMYFUNCTION("""COMPUTED_VALUE"""),"Global Classroom")</f>
        <v>Global Classroom</v>
      </c>
      <c r="V38" s="16" t="str">
        <f>IFERROR(__xludf.DUMMYFUNCTION("""COMPUTED_VALUE"""),"-")</f>
        <v>-</v>
      </c>
      <c r="W38" s="16" t="str">
        <f>IFERROR(__xludf.DUMMYFUNCTION("""COMPUTED_VALUE"""),"2023-01-10T22:54:53Z")</f>
        <v>2023-01-10T22:54:53Z</v>
      </c>
      <c r="X38" s="16"/>
      <c r="Y38" s="16"/>
      <c r="Z38" s="16"/>
    </row>
    <row r="39">
      <c r="A39" s="16" t="str">
        <f>IFERROR(__xludf.DUMMYFUNCTION("""COMPUTED_VALUE"""),"5182435_1288843")</f>
        <v>5182435_1288843</v>
      </c>
      <c r="B39" s="16" t="str">
        <f>IFERROR(__xludf.DUMMYFUNCTION("""COMPUTED_VALUE"""),"Beril Uray")</f>
        <v>Beril Uray</v>
      </c>
      <c r="C39" s="16" t="str">
        <f>IFERROR(__xludf.DUMMYFUNCTION("""COMPUTED_VALUE"""),"completed")</f>
        <v>completed</v>
      </c>
      <c r="D39" s="16" t="str">
        <f>IFERROR(__xludf.DUMMYFUNCTION("""COMPUTED_VALUE"""),"No")</f>
        <v>No</v>
      </c>
      <c r="E39" s="16" t="str">
        <f>IFERROR(__xludf.DUMMYFUNCTION("""COMPUTED_VALUE"""),"p_2a343832702d2723b1d5619bf2e0d8eef9483972@inbound.aiesec.org")</f>
        <v>p_2a343832702d2723b1d5619bf2e0d8eef9483972@inbound.aiesec.org</v>
      </c>
      <c r="F39" s="16">
        <f>IFERROR(__xludf.DUMMYFUNCTION("""COMPUTED_VALUE"""),5.434150789E9)</f>
        <v>5434150789</v>
      </c>
      <c r="G39" s="16" t="str">
        <f>IFERROR(__xludf.DUMMYFUNCTION("""COMPUTED_VALUE"""),"Turkey")</f>
        <v>Turkey</v>
      </c>
      <c r="H39" s="16" t="str">
        <f>IFERROR(__xludf.DUMMYFUNCTION("""COMPUTED_VALUE"""),"ISTANBUL")</f>
        <v>ISTANBUL</v>
      </c>
      <c r="I39" s="16" t="str">
        <f>IFERROR(__xludf.DUMMYFUNCTION("""COMPUTED_VALUE"""),"Sri Lanka")</f>
        <v>Sri Lanka</v>
      </c>
      <c r="J39" s="16" t="str">
        <f>IFERROR(__xludf.DUMMYFUNCTION("""COMPUTED_VALUE"""),"COLOMBO NORTH")</f>
        <v>COLOMBO NORTH</v>
      </c>
      <c r="K39" s="17" t="str">
        <f>IFERROR(__xludf.DUMMYFUNCTION("""COMPUTED_VALUE"""),"https://expa.aiesec.org/opportunities/1288843")</f>
        <v>https://expa.aiesec.org/opportunities/1288843</v>
      </c>
      <c r="L39" s="16" t="str">
        <f>IFERROR(__xludf.DUMMYFUNCTION("""COMPUTED_VALUE"""),"GV")</f>
        <v>GV</v>
      </c>
      <c r="M39" s="16" t="str">
        <f>IFERROR(__xludf.DUMMYFUNCTION("""COMPUTED_VALUE"""),"short")</f>
        <v>short</v>
      </c>
      <c r="N39" s="18">
        <f>IFERROR(__xludf.DUMMYFUNCTION("""COMPUTED_VALUE"""),44977.0)</f>
        <v>44977</v>
      </c>
      <c r="O39" s="18">
        <f>IFERROR(__xludf.DUMMYFUNCTION("""COMPUTED_VALUE"""),45115.0)</f>
        <v>45115</v>
      </c>
      <c r="P39" s="18">
        <f>IFERROR(__xludf.DUMMYFUNCTION("""COMPUTED_VALUE"""),45157.0)</f>
        <v>45157</v>
      </c>
      <c r="Q39" s="18">
        <f>IFERROR(__xludf.DUMMYFUNCTION("""COMPUTED_VALUE"""),45120.0)</f>
        <v>45120</v>
      </c>
      <c r="R39" s="18">
        <f>IFERROR(__xludf.DUMMYFUNCTION("""COMPUTED_VALUE"""),45160.0)</f>
        <v>45160</v>
      </c>
      <c r="S39" s="16"/>
      <c r="T39" s="16"/>
      <c r="U39" s="16" t="str">
        <f>IFERROR(__xludf.DUMMYFUNCTION("""COMPUTED_VALUE"""),"Green Leaders")</f>
        <v>Green Leaders</v>
      </c>
      <c r="V39" s="16" t="str">
        <f>IFERROR(__xludf.DUMMYFUNCTION("""COMPUTED_VALUE"""),"ISTANBUL - BEYOGLU")</f>
        <v>ISTANBUL - BEYOGLU</v>
      </c>
      <c r="W39" s="16" t="str">
        <f>IFERROR(__xludf.DUMMYFUNCTION("""COMPUTED_VALUE"""),"2023-01-30T19:59:28Z")</f>
        <v>2023-01-30T19:59:28Z</v>
      </c>
      <c r="X39" s="16"/>
      <c r="Y39" s="16"/>
      <c r="Z39" s="16"/>
    </row>
    <row r="40">
      <c r="A40" s="16" t="str">
        <f>IFERROR(__xludf.DUMMYFUNCTION("""COMPUTED_VALUE"""),"4923903_1289536")</f>
        <v>4923903_1289536</v>
      </c>
      <c r="B40" s="16" t="str">
        <f>IFERROR(__xludf.DUMMYFUNCTION("""COMPUTED_VALUE"""),"Priscah Kanyi")</f>
        <v>Priscah Kanyi</v>
      </c>
      <c r="C40" s="16" t="str">
        <f>IFERROR(__xludf.DUMMYFUNCTION("""COMPUTED_VALUE"""),"completed")</f>
        <v>completed</v>
      </c>
      <c r="D40" s="16" t="str">
        <f>IFERROR(__xludf.DUMMYFUNCTION("""COMPUTED_VALUE"""),"No")</f>
        <v>No</v>
      </c>
      <c r="E40" s="16" t="str">
        <f>IFERROR(__xludf.DUMMYFUNCTION("""COMPUTED_VALUE"""),"p_01eeeb5f310ba89f4dcf1a9b59654ba0f0d29c87@inbound.aiesec.org")</f>
        <v>p_01eeeb5f310ba89f4dcf1a9b59654ba0f0d29c87@inbound.aiesec.org</v>
      </c>
      <c r="F40" s="16">
        <f>IFERROR(__xludf.DUMMYFUNCTION("""COMPUTED_VALUE"""),7.14948162E8)</f>
        <v>714948162</v>
      </c>
      <c r="G40" s="16" t="str">
        <f>IFERROR(__xludf.DUMMYFUNCTION("""COMPUTED_VALUE"""),"Kenya")</f>
        <v>Kenya</v>
      </c>
      <c r="H40" s="16" t="str">
        <f>IFERROR(__xludf.DUMMYFUNCTION("""COMPUTED_VALUE"""),"JKUAT")</f>
        <v>JKUAT</v>
      </c>
      <c r="I40" s="16" t="str">
        <f>IFERROR(__xludf.DUMMYFUNCTION("""COMPUTED_VALUE"""),"Turkey")</f>
        <v>Turkey</v>
      </c>
      <c r="J40" s="16" t="str">
        <f>IFERROR(__xludf.DUMMYFUNCTION("""COMPUTED_VALUE"""),"ISTANBUL")</f>
        <v>ISTANBUL</v>
      </c>
      <c r="K40" s="17" t="str">
        <f>IFERROR(__xludf.DUMMYFUNCTION("""COMPUTED_VALUE"""),"https://expa.aiesec.org/opportunities/1289536")</f>
        <v>https://expa.aiesec.org/opportunities/1289536</v>
      </c>
      <c r="L40" s="16" t="str">
        <f>IFERROR(__xludf.DUMMYFUNCTION("""COMPUTED_VALUE"""),"GV")</f>
        <v>GV</v>
      </c>
      <c r="M40" s="16" t="str">
        <f>IFERROR(__xludf.DUMMYFUNCTION("""COMPUTED_VALUE"""),"short")</f>
        <v>short</v>
      </c>
      <c r="N40" s="18">
        <f>IFERROR(__xludf.DUMMYFUNCTION("""COMPUTED_VALUE"""),44977.0)</f>
        <v>44977</v>
      </c>
      <c r="O40" s="18">
        <f>IFERROR(__xludf.DUMMYFUNCTION("""COMPUTED_VALUE"""),45005.0)</f>
        <v>45005</v>
      </c>
      <c r="P40" s="18">
        <f>IFERROR(__xludf.DUMMYFUNCTION("""COMPUTED_VALUE"""),45047.0)</f>
        <v>45047</v>
      </c>
      <c r="Q40" s="18">
        <f>IFERROR(__xludf.DUMMYFUNCTION("""COMPUTED_VALUE"""),45023.0)</f>
        <v>45023</v>
      </c>
      <c r="R40" s="18">
        <f>IFERROR(__xludf.DUMMYFUNCTION("""COMPUTED_VALUE"""),45065.0)</f>
        <v>45065</v>
      </c>
      <c r="S40" s="16"/>
      <c r="T40" s="16"/>
      <c r="U40" s="16" t="str">
        <f>IFERROR(__xludf.DUMMYFUNCTION("""COMPUTED_VALUE"""),"Global Classroom")</f>
        <v>Global Classroom</v>
      </c>
      <c r="V40" s="16" t="str">
        <f>IFERROR(__xludf.DUMMYFUNCTION("""COMPUTED_VALUE"""),"Jomo Kenyatta University of Agriculture and Technology")</f>
        <v>Jomo Kenyatta University of Agriculture and Technology</v>
      </c>
      <c r="W40" s="16" t="str">
        <f>IFERROR(__xludf.DUMMYFUNCTION("""COMPUTED_VALUE"""),"2022-02-11T09:49:59Z")</f>
        <v>2022-02-11T09:49:59Z</v>
      </c>
      <c r="X40" s="16"/>
      <c r="Y40" s="16"/>
      <c r="Z40" s="16"/>
    </row>
    <row r="41">
      <c r="A41" s="16" t="str">
        <f>IFERROR(__xludf.DUMMYFUNCTION("""COMPUTED_VALUE"""),"5196695_1281901")</f>
        <v>5196695_1281901</v>
      </c>
      <c r="B41" s="16" t="str">
        <f>IFERROR(__xludf.DUMMYFUNCTION("""COMPUTED_VALUE"""),"hilal melek pehlivanoğlu")</f>
        <v>hilal melek pehlivanoğlu</v>
      </c>
      <c r="C41" s="16" t="str">
        <f>IFERROR(__xludf.DUMMYFUNCTION("""COMPUTED_VALUE"""),"approved")</f>
        <v>approved</v>
      </c>
      <c r="D41" s="16" t="str">
        <f>IFERROR(__xludf.DUMMYFUNCTION("""COMPUTED_VALUE"""),"No")</f>
        <v>No</v>
      </c>
      <c r="E41" s="16" t="str">
        <f>IFERROR(__xludf.DUMMYFUNCTION("""COMPUTED_VALUE"""),"p_b4b59231d05fac8a98453c3536c1aba0f03964d5@inbound.aiesec.org")</f>
        <v>p_b4b59231d05fac8a98453c3536c1aba0f03964d5@inbound.aiesec.org</v>
      </c>
      <c r="F41" s="16">
        <f>IFERROR(__xludf.DUMMYFUNCTION("""COMPUTED_VALUE"""),5.438825245E9)</f>
        <v>5438825245</v>
      </c>
      <c r="G41" s="16" t="str">
        <f>IFERROR(__xludf.DUMMYFUNCTION("""COMPUTED_VALUE"""),"Turkey")</f>
        <v>Turkey</v>
      </c>
      <c r="H41" s="16" t="str">
        <f>IFERROR(__xludf.DUMMYFUNCTION("""COMPUTED_VALUE"""),"ISTANBUL")</f>
        <v>ISTANBUL</v>
      </c>
      <c r="I41" s="16" t="str">
        <f>IFERROR(__xludf.DUMMYFUNCTION("""COMPUTED_VALUE"""),"Sri Lanka")</f>
        <v>Sri Lanka</v>
      </c>
      <c r="J41" s="16" t="str">
        <f>IFERROR(__xludf.DUMMYFUNCTION("""COMPUTED_VALUE"""),"COLOMBO SOUTH")</f>
        <v>COLOMBO SOUTH</v>
      </c>
      <c r="K41" s="17" t="str">
        <f>IFERROR(__xludf.DUMMYFUNCTION("""COMPUTED_VALUE"""),"https://expa.aiesec.org/opportunities/1281901")</f>
        <v>https://expa.aiesec.org/opportunities/1281901</v>
      </c>
      <c r="L41" s="16" t="str">
        <f>IFERROR(__xludf.DUMMYFUNCTION("""COMPUTED_VALUE"""),"GV")</f>
        <v>GV</v>
      </c>
      <c r="M41" s="16" t="str">
        <f>IFERROR(__xludf.DUMMYFUNCTION("""COMPUTED_VALUE"""),"short")</f>
        <v>short</v>
      </c>
      <c r="N41" s="18">
        <f>IFERROR(__xludf.DUMMYFUNCTION("""COMPUTED_VALUE"""),44984.0)</f>
        <v>44984</v>
      </c>
      <c r="O41" s="18">
        <f>IFERROR(__xludf.DUMMYFUNCTION("""COMPUTED_VALUE"""),45089.0)</f>
        <v>45089</v>
      </c>
      <c r="P41" s="18">
        <f>IFERROR(__xludf.DUMMYFUNCTION("""COMPUTED_VALUE"""),45131.0)</f>
        <v>45131</v>
      </c>
      <c r="Q41" s="18"/>
      <c r="R41" s="18"/>
      <c r="S41" s="16"/>
      <c r="T41" s="16"/>
      <c r="U41" s="16" t="str">
        <f>IFERROR(__xludf.DUMMYFUNCTION("""COMPUTED_VALUE"""),"Aquatica")</f>
        <v>Aquatica</v>
      </c>
      <c r="V41" s="16" t="str">
        <f>IFERROR(__xludf.DUMMYFUNCTION("""COMPUTED_VALUE"""),"ISTANBUL - BEYOGLU")</f>
        <v>ISTANBUL - BEYOGLU</v>
      </c>
      <c r="W41" s="16" t="str">
        <f>IFERROR(__xludf.DUMMYFUNCTION("""COMPUTED_VALUE"""),"2023-02-22T14:06:14Z")</f>
        <v>2023-02-22T14:06:14Z</v>
      </c>
      <c r="X41" s="16"/>
      <c r="Y41" s="16"/>
      <c r="Z41" s="16"/>
    </row>
    <row r="42">
      <c r="A42" s="16" t="str">
        <f>IFERROR(__xludf.DUMMYFUNCTION("""COMPUTED_VALUE"""),"5190081_1289246")</f>
        <v>5190081_1289246</v>
      </c>
      <c r="B42" s="16" t="str">
        <f>IFERROR(__xludf.DUMMYFUNCTION("""COMPUTED_VALUE"""),"Galad Ahmed Elmi")</f>
        <v>Galad Ahmed Elmi</v>
      </c>
      <c r="C42" s="16" t="str">
        <f>IFERROR(__xludf.DUMMYFUNCTION("""COMPUTED_VALUE"""),"approved")</f>
        <v>approved</v>
      </c>
      <c r="D42" s="16" t="str">
        <f>IFERROR(__xludf.DUMMYFUNCTION("""COMPUTED_VALUE"""),"No")</f>
        <v>No</v>
      </c>
      <c r="E42" s="16" t="str">
        <f>IFERROR(__xludf.DUMMYFUNCTION("""COMPUTED_VALUE"""),"p_ff8974300e00b943712791045b8d89a76eea1f97@inbound.aiesec.org")</f>
        <v>p_ff8974300e00b943712791045b8d89a76eea1f97@inbound.aiesec.org</v>
      </c>
      <c r="F42" s="16">
        <f>IFERROR(__xludf.DUMMYFUNCTION("""COMPUTED_VALUE"""),5.527434086E9)</f>
        <v>5527434086</v>
      </c>
      <c r="G42" s="16" t="str">
        <f>IFERROR(__xludf.DUMMYFUNCTION("""COMPUTED_VALUE"""),"Turkey")</f>
        <v>Turkey</v>
      </c>
      <c r="H42" s="16" t="str">
        <f>IFERROR(__xludf.DUMMYFUNCTION("""COMPUTED_VALUE"""),"ISTANBUL")</f>
        <v>ISTANBUL</v>
      </c>
      <c r="I42" s="16" t="str">
        <f>IFERROR(__xludf.DUMMYFUNCTION("""COMPUTED_VALUE"""),"Brazil")</f>
        <v>Brazil</v>
      </c>
      <c r="J42" s="16" t="str">
        <f>IFERROR(__xludf.DUMMYFUNCTION("""COMPUTED_VALUE"""),"FORTALEZA")</f>
        <v>FORTALEZA</v>
      </c>
      <c r="K42" s="17" t="str">
        <f>IFERROR(__xludf.DUMMYFUNCTION("""COMPUTED_VALUE"""),"https://expa.aiesec.org/opportunities/1289246")</f>
        <v>https://expa.aiesec.org/opportunities/1289246</v>
      </c>
      <c r="L42" s="16" t="str">
        <f>IFERROR(__xludf.DUMMYFUNCTION("""COMPUTED_VALUE"""),"GV")</f>
        <v>GV</v>
      </c>
      <c r="M42" s="16" t="str">
        <f>IFERROR(__xludf.DUMMYFUNCTION("""COMPUTED_VALUE"""),"short")</f>
        <v>short</v>
      </c>
      <c r="N42" s="18">
        <f>IFERROR(__xludf.DUMMYFUNCTION("""COMPUTED_VALUE"""),44984.0)</f>
        <v>44984</v>
      </c>
      <c r="O42" s="18">
        <f>IFERROR(__xludf.DUMMYFUNCTION("""COMPUTED_VALUE"""),45120.0)</f>
        <v>45120</v>
      </c>
      <c r="P42" s="18">
        <f>IFERROR(__xludf.DUMMYFUNCTION("""COMPUTED_VALUE"""),45162.0)</f>
        <v>45162</v>
      </c>
      <c r="Q42" s="18"/>
      <c r="R42" s="18"/>
      <c r="S42" s="16"/>
      <c r="T42" s="16"/>
      <c r="U42" s="16" t="str">
        <f>IFERROR(__xludf.DUMMYFUNCTION("""COMPUTED_VALUE"""),"Global Classroom")</f>
        <v>Global Classroom</v>
      </c>
      <c r="V42" s="16" t="str">
        <f>IFERROR(__xludf.DUMMYFUNCTION("""COMPUTED_VALUE"""),"ISTANBUL - BEYOGLU")</f>
        <v>ISTANBUL - BEYOGLU</v>
      </c>
      <c r="W42" s="16" t="str">
        <f>IFERROR(__xludf.DUMMYFUNCTION("""COMPUTED_VALUE"""),"2023-02-13T13:58:51Z")</f>
        <v>2023-02-13T13:58:51Z</v>
      </c>
      <c r="X42" s="16"/>
      <c r="Y42" s="16"/>
      <c r="Z42" s="16"/>
    </row>
    <row r="43">
      <c r="A43" s="16" t="str">
        <f>IFERROR(__xludf.DUMMYFUNCTION("""COMPUTED_VALUE"""),"5195748_1292505")</f>
        <v>5195748_1292505</v>
      </c>
      <c r="B43" s="16" t="str">
        <f>IFERROR(__xludf.DUMMYFUNCTION("""COMPUTED_VALUE"""),"Sadettin Fidan")</f>
        <v>Sadettin Fidan</v>
      </c>
      <c r="C43" s="16" t="str">
        <f>IFERROR(__xludf.DUMMYFUNCTION("""COMPUTED_VALUE"""),"completed")</f>
        <v>completed</v>
      </c>
      <c r="D43" s="16" t="str">
        <f>IFERROR(__xludf.DUMMYFUNCTION("""COMPUTED_VALUE"""),"No")</f>
        <v>No</v>
      </c>
      <c r="E43" s="16" t="str">
        <f>IFERROR(__xludf.DUMMYFUNCTION("""COMPUTED_VALUE"""),"p_ce17959a7b0097973c42a8cda2c0bf83f1dcafb8@inbound.aiesec.org")</f>
        <v>p_ce17959a7b0097973c42a8cda2c0bf83f1dcafb8@inbound.aiesec.org</v>
      </c>
      <c r="F43" s="16">
        <f>IFERROR(__xludf.DUMMYFUNCTION("""COMPUTED_VALUE"""),5.300692215E9)</f>
        <v>5300692215</v>
      </c>
      <c r="G43" s="16" t="str">
        <f>IFERROR(__xludf.DUMMYFUNCTION("""COMPUTED_VALUE"""),"Turkey")</f>
        <v>Turkey</v>
      </c>
      <c r="H43" s="16" t="str">
        <f>IFERROR(__xludf.DUMMYFUNCTION("""COMPUTED_VALUE"""),"ISTANBUL")</f>
        <v>ISTANBUL</v>
      </c>
      <c r="I43" s="16" t="str">
        <f>IFERROR(__xludf.DUMMYFUNCTION("""COMPUTED_VALUE"""),"Romania")</f>
        <v>Romania</v>
      </c>
      <c r="J43" s="16" t="str">
        <f>IFERROR(__xludf.DUMMYFUNCTION("""COMPUTED_VALUE"""),"TIMISOARA")</f>
        <v>TIMISOARA</v>
      </c>
      <c r="K43" s="17" t="str">
        <f>IFERROR(__xludf.DUMMYFUNCTION("""COMPUTED_VALUE"""),"https://expa.aiesec.org/opportunities/1292505")</f>
        <v>https://expa.aiesec.org/opportunities/1292505</v>
      </c>
      <c r="L43" s="16" t="str">
        <f>IFERROR(__xludf.DUMMYFUNCTION("""COMPUTED_VALUE"""),"GTa")</f>
        <v>GTa</v>
      </c>
      <c r="M43" s="16" t="str">
        <f>IFERROR(__xludf.DUMMYFUNCTION("""COMPUTED_VALUE"""),"short")</f>
        <v>short</v>
      </c>
      <c r="N43" s="18">
        <f>IFERROR(__xludf.DUMMYFUNCTION("""COMPUTED_VALUE"""),44985.0)</f>
        <v>44985</v>
      </c>
      <c r="O43" s="18">
        <f>IFERROR(__xludf.DUMMYFUNCTION("""COMPUTED_VALUE"""),45110.0)</f>
        <v>45110</v>
      </c>
      <c r="P43" s="18">
        <f>IFERROR(__xludf.DUMMYFUNCTION("""COMPUTED_VALUE"""),45166.0)</f>
        <v>45166</v>
      </c>
      <c r="Q43" s="18">
        <f>IFERROR(__xludf.DUMMYFUNCTION("""COMPUTED_VALUE"""),45110.0)</f>
        <v>45110</v>
      </c>
      <c r="R43" s="18">
        <f>IFERROR(__xludf.DUMMYFUNCTION("""COMPUTED_VALUE"""),45166.0)</f>
        <v>45166</v>
      </c>
      <c r="S43" s="16"/>
      <c r="T43" s="16" t="str">
        <f>IFERROR(__xludf.DUMMYFUNCTION("""COMPUTED_VALUE"""),"Information Technology")</f>
        <v>Information Technology</v>
      </c>
      <c r="U43" s="16" t="str">
        <f>IFERROR(__xludf.DUMMYFUNCTION("""COMPUTED_VALUE"""),"Accelerate Romania- EMBEDDED SOFTWARE DEVELOPER")</f>
        <v>Accelerate Romania- EMBEDDED SOFTWARE DEVELOPER</v>
      </c>
      <c r="V43" s="16" t="str">
        <f>IFERROR(__xludf.DUMMYFUNCTION("""COMPUTED_VALUE"""),"ISTANBUL - BEYOGLU")</f>
        <v>ISTANBUL - BEYOGLU</v>
      </c>
      <c r="W43" s="16" t="str">
        <f>IFERROR(__xludf.DUMMYFUNCTION("""COMPUTED_VALUE"""),"2023-02-21T09:27:10Z")</f>
        <v>2023-02-21T09:27:10Z</v>
      </c>
      <c r="X43" s="16"/>
      <c r="Y43" s="16"/>
      <c r="Z43" s="16"/>
    </row>
    <row r="44">
      <c r="A44" s="16" t="str">
        <f>IFERROR(__xludf.DUMMYFUNCTION("""COMPUTED_VALUE"""),"4330234_1289536")</f>
        <v>4330234_1289536</v>
      </c>
      <c r="B44" s="16" t="str">
        <f>IFERROR(__xludf.DUMMYFUNCTION("""COMPUTED_VALUE"""),"Eduardo de Paula Pazini")</f>
        <v>Eduardo de Paula Pazini</v>
      </c>
      <c r="C44" s="16" t="str">
        <f>IFERROR(__xludf.DUMMYFUNCTION("""COMPUTED_VALUE"""),"approved")</f>
        <v>approved</v>
      </c>
      <c r="D44" s="16" t="str">
        <f>IFERROR(__xludf.DUMMYFUNCTION("""COMPUTED_VALUE"""),"No")</f>
        <v>No</v>
      </c>
      <c r="E44" s="16" t="str">
        <f>IFERROR(__xludf.DUMMYFUNCTION("""COMPUTED_VALUE"""),"p_37e8ea9e7e96dc82c8eb62623957d15a1cf5aa87@inbound.aiesec.org")</f>
        <v>p_37e8ea9e7e96dc82c8eb62623957d15a1cf5aa87@inbound.aiesec.org</v>
      </c>
      <c r="F44" s="16"/>
      <c r="G44" s="16" t="str">
        <f>IFERROR(__xludf.DUMMYFUNCTION("""COMPUTED_VALUE"""),"Brazil")</f>
        <v>Brazil</v>
      </c>
      <c r="H44" s="16" t="str">
        <f>IFERROR(__xludf.DUMMYFUNCTION("""COMPUTED_VALUE"""),"UBERLÂNDIA")</f>
        <v>UBERLÂNDIA</v>
      </c>
      <c r="I44" s="16" t="str">
        <f>IFERROR(__xludf.DUMMYFUNCTION("""COMPUTED_VALUE"""),"Turkey")</f>
        <v>Turkey</v>
      </c>
      <c r="J44" s="16" t="str">
        <f>IFERROR(__xludf.DUMMYFUNCTION("""COMPUTED_VALUE"""),"ISTANBUL")</f>
        <v>ISTANBUL</v>
      </c>
      <c r="K44" s="17" t="str">
        <f>IFERROR(__xludf.DUMMYFUNCTION("""COMPUTED_VALUE"""),"https://expa.aiesec.org/opportunities/1289536")</f>
        <v>https://expa.aiesec.org/opportunities/1289536</v>
      </c>
      <c r="L44" s="16" t="str">
        <f>IFERROR(__xludf.DUMMYFUNCTION("""COMPUTED_VALUE"""),"GV")</f>
        <v>GV</v>
      </c>
      <c r="M44" s="16" t="str">
        <f>IFERROR(__xludf.DUMMYFUNCTION("""COMPUTED_VALUE"""),"short")</f>
        <v>short</v>
      </c>
      <c r="N44" s="18">
        <f>IFERROR(__xludf.DUMMYFUNCTION("""COMPUTED_VALUE"""),44985.0)</f>
        <v>44985</v>
      </c>
      <c r="O44" s="18">
        <f>IFERROR(__xludf.DUMMYFUNCTION("""COMPUTED_VALUE"""),45271.0)</f>
        <v>45271</v>
      </c>
      <c r="P44" s="18">
        <f>IFERROR(__xludf.DUMMYFUNCTION("""COMPUTED_VALUE"""),45313.0)</f>
        <v>45313</v>
      </c>
      <c r="Q44" s="18"/>
      <c r="R44" s="18"/>
      <c r="S44" s="16"/>
      <c r="T44" s="16"/>
      <c r="U44" s="16" t="str">
        <f>IFERROR(__xludf.DUMMYFUNCTION("""COMPUTED_VALUE"""),"Global Classroom")</f>
        <v>Global Classroom</v>
      </c>
      <c r="V44" s="16" t="str">
        <f>IFERROR(__xludf.DUMMYFUNCTION("""COMPUTED_VALUE"""),"Uberlândia")</f>
        <v>Uberlândia</v>
      </c>
      <c r="W44" s="16" t="str">
        <f>IFERROR(__xludf.DUMMYFUNCTION("""COMPUTED_VALUE"""),"2020-07-17T18:41:38Z")</f>
        <v>2020-07-17T18:41:38Z</v>
      </c>
      <c r="X44" s="16"/>
      <c r="Y44" s="16"/>
      <c r="Z44" s="16"/>
    </row>
    <row r="45">
      <c r="A45" s="16" t="str">
        <f>IFERROR(__xludf.DUMMYFUNCTION("""COMPUTED_VALUE"""),"1549285_1289536")</f>
        <v>1549285_1289536</v>
      </c>
      <c r="B45" s="16" t="str">
        <f>IFERROR(__xludf.DUMMYFUNCTION("""COMPUTED_VALUE"""),"Victória Aparecida Oliveira Cruvinel")</f>
        <v>Victória Aparecida Oliveira Cruvinel</v>
      </c>
      <c r="C45" s="16" t="str">
        <f>IFERROR(__xludf.DUMMYFUNCTION("""COMPUTED_VALUE"""),"approved")</f>
        <v>approved</v>
      </c>
      <c r="D45" s="16" t="str">
        <f>IFERROR(__xludf.DUMMYFUNCTION("""COMPUTED_VALUE"""),"No")</f>
        <v>No</v>
      </c>
      <c r="E45" s="16" t="str">
        <f>IFERROR(__xludf.DUMMYFUNCTION("""COMPUTED_VALUE"""),"p_9e3314eedf1127a7606adf2ae757582c03750f7b@inbound.aiesec.org")</f>
        <v>p_9e3314eedf1127a7606adf2ae757582c03750f7b@inbound.aiesec.org</v>
      </c>
      <c r="F45" s="16">
        <f>IFERROR(__xludf.DUMMYFUNCTION("""COMPUTED_VALUE"""),6.499608996E10)</f>
        <v>64996089960</v>
      </c>
      <c r="G45" s="16" t="str">
        <f>IFERROR(__xludf.DUMMYFUNCTION("""COMPUTED_VALUE"""),"Brazil")</f>
        <v>Brazil</v>
      </c>
      <c r="H45" s="16" t="str">
        <f>IFERROR(__xludf.DUMMYFUNCTION("""COMPUTED_VALUE"""),"UBERLÂNDIA")</f>
        <v>UBERLÂNDIA</v>
      </c>
      <c r="I45" s="16" t="str">
        <f>IFERROR(__xludf.DUMMYFUNCTION("""COMPUTED_VALUE"""),"Turkey")</f>
        <v>Turkey</v>
      </c>
      <c r="J45" s="16" t="str">
        <f>IFERROR(__xludf.DUMMYFUNCTION("""COMPUTED_VALUE"""),"ISTANBUL")</f>
        <v>ISTANBUL</v>
      </c>
      <c r="K45" s="17" t="str">
        <f>IFERROR(__xludf.DUMMYFUNCTION("""COMPUTED_VALUE"""),"https://expa.aiesec.org/opportunities/1289536")</f>
        <v>https://expa.aiesec.org/opportunities/1289536</v>
      </c>
      <c r="L45" s="16" t="str">
        <f>IFERROR(__xludf.DUMMYFUNCTION("""COMPUTED_VALUE"""),"GV")</f>
        <v>GV</v>
      </c>
      <c r="M45" s="16" t="str">
        <f>IFERROR(__xludf.DUMMYFUNCTION("""COMPUTED_VALUE"""),"short")</f>
        <v>short</v>
      </c>
      <c r="N45" s="18">
        <f>IFERROR(__xludf.DUMMYFUNCTION("""COMPUTED_VALUE"""),44985.0)</f>
        <v>44985</v>
      </c>
      <c r="O45" s="18">
        <f>IFERROR(__xludf.DUMMYFUNCTION("""COMPUTED_VALUE"""),45271.0)</f>
        <v>45271</v>
      </c>
      <c r="P45" s="18">
        <f>IFERROR(__xludf.DUMMYFUNCTION("""COMPUTED_VALUE"""),45313.0)</f>
        <v>45313</v>
      </c>
      <c r="Q45" s="18"/>
      <c r="R45" s="18"/>
      <c r="S45" s="16"/>
      <c r="T45" s="16"/>
      <c r="U45" s="16" t="str">
        <f>IFERROR(__xludf.DUMMYFUNCTION("""COMPUTED_VALUE"""),"Global Classroom")</f>
        <v>Global Classroom</v>
      </c>
      <c r="V45" s="16" t="str">
        <f>IFERROR(__xludf.DUMMYFUNCTION("""COMPUTED_VALUE"""),"-")</f>
        <v>-</v>
      </c>
      <c r="W45" s="16" t="str">
        <f>IFERROR(__xludf.DUMMYFUNCTION("""COMPUTED_VALUE"""),"2017-05-03T16:45:53Z")</f>
        <v>2017-05-03T16:45:53Z</v>
      </c>
      <c r="X45" s="16"/>
      <c r="Y45" s="16"/>
      <c r="Z45" s="16"/>
    </row>
    <row r="46">
      <c r="A46" s="16" t="str">
        <f>IFERROR(__xludf.DUMMYFUNCTION("""COMPUTED_VALUE"""),"5193221_1292719")</f>
        <v>5193221_1292719</v>
      </c>
      <c r="B46" s="16" t="str">
        <f>IFERROR(__xludf.DUMMYFUNCTION("""COMPUTED_VALUE"""),"zeynep sapancı")</f>
        <v>zeynep sapancı</v>
      </c>
      <c r="C46" s="16" t="str">
        <f>IFERROR(__xludf.DUMMYFUNCTION("""COMPUTED_VALUE"""),"completed")</f>
        <v>completed</v>
      </c>
      <c r="D46" s="16" t="str">
        <f>IFERROR(__xludf.DUMMYFUNCTION("""COMPUTED_VALUE"""),"No")</f>
        <v>No</v>
      </c>
      <c r="E46" s="16" t="str">
        <f>IFERROR(__xludf.DUMMYFUNCTION("""COMPUTED_VALUE"""),"p_0c586fddcf8aeac7687a1094f1788eeb061fb50f@inbound.aiesec.org")</f>
        <v>p_0c586fddcf8aeac7687a1094f1788eeb061fb50f@inbound.aiesec.org</v>
      </c>
      <c r="F46" s="16"/>
      <c r="G46" s="16" t="str">
        <f>IFERROR(__xludf.DUMMYFUNCTION("""COMPUTED_VALUE"""),"Turkey")</f>
        <v>Turkey</v>
      </c>
      <c r="H46" s="16" t="str">
        <f>IFERROR(__xludf.DUMMYFUNCTION("""COMPUTED_VALUE"""),"ISTANBUL")</f>
        <v>ISTANBUL</v>
      </c>
      <c r="I46" s="16" t="str">
        <f>IFERROR(__xludf.DUMMYFUNCTION("""COMPUTED_VALUE"""),"Italy")</f>
        <v>Italy</v>
      </c>
      <c r="J46" s="16" t="str">
        <f>IFERROR(__xludf.DUMMYFUNCTION("""COMPUTED_VALUE"""),"Venezia")</f>
        <v>Venezia</v>
      </c>
      <c r="K46" s="17" t="str">
        <f>IFERROR(__xludf.DUMMYFUNCTION("""COMPUTED_VALUE"""),"https://expa.aiesec.org/opportunities/1292719")</f>
        <v>https://expa.aiesec.org/opportunities/1292719</v>
      </c>
      <c r="L46" s="16" t="str">
        <f>IFERROR(__xludf.DUMMYFUNCTION("""COMPUTED_VALUE"""),"GV")</f>
        <v>GV</v>
      </c>
      <c r="M46" s="16" t="str">
        <f>IFERROR(__xludf.DUMMYFUNCTION("""COMPUTED_VALUE"""),"short")</f>
        <v>short</v>
      </c>
      <c r="N46" s="18">
        <f>IFERROR(__xludf.DUMMYFUNCTION("""COMPUTED_VALUE"""),44986.0)</f>
        <v>44986</v>
      </c>
      <c r="O46" s="18">
        <f>IFERROR(__xludf.DUMMYFUNCTION("""COMPUTED_VALUE"""),45089.0)</f>
        <v>45089</v>
      </c>
      <c r="P46" s="18">
        <f>IFERROR(__xludf.DUMMYFUNCTION("""COMPUTED_VALUE"""),45131.0)</f>
        <v>45131</v>
      </c>
      <c r="Q46" s="18">
        <f>IFERROR(__xludf.DUMMYFUNCTION("""COMPUTED_VALUE"""),45089.0)</f>
        <v>45089</v>
      </c>
      <c r="R46" s="18">
        <f>IFERROR(__xludf.DUMMYFUNCTION("""COMPUTED_VALUE"""),45131.0)</f>
        <v>45131</v>
      </c>
      <c r="S46" s="16"/>
      <c r="T46" s="16"/>
      <c r="U46" s="16" t="str">
        <f>IFERROR(__xludf.DUMMYFUNCTION("""COMPUTED_VALUE"""),"Green Leaders")</f>
        <v>Green Leaders</v>
      </c>
      <c r="V46" s="16" t="str">
        <f>IFERROR(__xludf.DUMMYFUNCTION("""COMPUTED_VALUE"""),"-")</f>
        <v>-</v>
      </c>
      <c r="W46" s="16" t="str">
        <f>IFERROR(__xludf.DUMMYFUNCTION("""COMPUTED_VALUE"""),"2023-02-17T17:34:09Z")</f>
        <v>2023-02-17T17:34:09Z</v>
      </c>
      <c r="X46" s="16"/>
      <c r="Y46" s="16"/>
      <c r="Z46" s="16"/>
    </row>
    <row r="47">
      <c r="A47" s="16" t="str">
        <f>IFERROR(__xludf.DUMMYFUNCTION("""COMPUTED_VALUE"""),"5167052_1289536")</f>
        <v>5167052_1289536</v>
      </c>
      <c r="B47" s="16" t="str">
        <f>IFERROR(__xludf.DUMMYFUNCTION("""COMPUTED_VALUE"""),"Manal Agoumiss")</f>
        <v>Manal Agoumiss</v>
      </c>
      <c r="C47" s="16" t="str">
        <f>IFERROR(__xludf.DUMMYFUNCTION("""COMPUTED_VALUE"""),"completed")</f>
        <v>completed</v>
      </c>
      <c r="D47" s="16" t="str">
        <f>IFERROR(__xludf.DUMMYFUNCTION("""COMPUTED_VALUE"""),"No")</f>
        <v>No</v>
      </c>
      <c r="E47" s="16" t="str">
        <f>IFERROR(__xludf.DUMMYFUNCTION("""COMPUTED_VALUE"""),"p_2ee48c0e685df844cd6a371cedd8936d7b61cc10@inbound.aiesec.org")</f>
        <v>p_2ee48c0e685df844cd6a371cedd8936d7b61cc10@inbound.aiesec.org</v>
      </c>
      <c r="F47" s="16">
        <f>IFERROR(__xludf.DUMMYFUNCTION("""COMPUTED_VALUE"""),7.08075458E8)</f>
        <v>708075458</v>
      </c>
      <c r="G47" s="16" t="str">
        <f>IFERROR(__xludf.DUMMYFUNCTION("""COMPUTED_VALUE"""),"Morocco")</f>
        <v>Morocco</v>
      </c>
      <c r="H47" s="16" t="str">
        <f>IFERROR(__xludf.DUMMYFUNCTION("""COMPUTED_VALUE"""),"Tangier")</f>
        <v>Tangier</v>
      </c>
      <c r="I47" s="16" t="str">
        <f>IFERROR(__xludf.DUMMYFUNCTION("""COMPUTED_VALUE"""),"Turkey")</f>
        <v>Turkey</v>
      </c>
      <c r="J47" s="16" t="str">
        <f>IFERROR(__xludf.DUMMYFUNCTION("""COMPUTED_VALUE"""),"ISTANBUL")</f>
        <v>ISTANBUL</v>
      </c>
      <c r="K47" s="17" t="str">
        <f>IFERROR(__xludf.DUMMYFUNCTION("""COMPUTED_VALUE"""),"https://expa.aiesec.org/opportunities/1289536")</f>
        <v>https://expa.aiesec.org/opportunities/1289536</v>
      </c>
      <c r="L47" s="16" t="str">
        <f>IFERROR(__xludf.DUMMYFUNCTION("""COMPUTED_VALUE"""),"GV")</f>
        <v>GV</v>
      </c>
      <c r="M47" s="16" t="str">
        <f>IFERROR(__xludf.DUMMYFUNCTION("""COMPUTED_VALUE"""),"short")</f>
        <v>short</v>
      </c>
      <c r="N47" s="18">
        <f>IFERROR(__xludf.DUMMYFUNCTION("""COMPUTED_VALUE"""),44986.0)</f>
        <v>44986</v>
      </c>
      <c r="O47" s="18">
        <f>IFERROR(__xludf.DUMMYFUNCTION("""COMPUTED_VALUE"""),45090.0)</f>
        <v>45090</v>
      </c>
      <c r="P47" s="18">
        <f>IFERROR(__xludf.DUMMYFUNCTION("""COMPUTED_VALUE"""),45132.0)</f>
        <v>45132</v>
      </c>
      <c r="Q47" s="18">
        <f>IFERROR(__xludf.DUMMYFUNCTION("""COMPUTED_VALUE"""),45096.0)</f>
        <v>45096</v>
      </c>
      <c r="R47" s="18">
        <f>IFERROR(__xludf.DUMMYFUNCTION("""COMPUTED_VALUE"""),45136.0)</f>
        <v>45136</v>
      </c>
      <c r="S47" s="16"/>
      <c r="T47" s="16"/>
      <c r="U47" s="16" t="str">
        <f>IFERROR(__xludf.DUMMYFUNCTION("""COMPUTED_VALUE"""),"Global Classroom")</f>
        <v>Global Classroom</v>
      </c>
      <c r="V47" s="16" t="str">
        <f>IFERROR(__xludf.DUMMYFUNCTION("""COMPUTED_VALUE"""),"Other-TANGIER")</f>
        <v>Other-TANGIER</v>
      </c>
      <c r="W47" s="16" t="str">
        <f>IFERROR(__xludf.DUMMYFUNCTION("""COMPUTED_VALUE"""),"2022-12-16T21:41:31Z")</f>
        <v>2022-12-16T21:41:31Z</v>
      </c>
      <c r="X47" s="16"/>
      <c r="Y47" s="16"/>
      <c r="Z47" s="16"/>
    </row>
    <row r="48">
      <c r="A48" s="16" t="str">
        <f>IFERROR(__xludf.DUMMYFUNCTION("""COMPUTED_VALUE"""),"5201890_1288611")</f>
        <v>5201890_1288611</v>
      </c>
      <c r="B48" s="16" t="str">
        <f>IFERROR(__xludf.DUMMYFUNCTION("""COMPUTED_VALUE"""),"Zeineb Hakim")</f>
        <v>Zeineb Hakim</v>
      </c>
      <c r="C48" s="16" t="str">
        <f>IFERROR(__xludf.DUMMYFUNCTION("""COMPUTED_VALUE"""),"approved")</f>
        <v>approved</v>
      </c>
      <c r="D48" s="16" t="str">
        <f>IFERROR(__xludf.DUMMYFUNCTION("""COMPUTED_VALUE"""),"No")</f>
        <v>No</v>
      </c>
      <c r="E48" s="16" t="str">
        <f>IFERROR(__xludf.DUMMYFUNCTION("""COMPUTED_VALUE"""),"p_a0bbbad85e1809c82faa3ad5aa492f8d9941e3b8@inbound.aiesec.org")</f>
        <v>p_a0bbbad85e1809c82faa3ad5aa492f8d9941e3b8@inbound.aiesec.org</v>
      </c>
      <c r="F48" s="16">
        <f>IFERROR(__xludf.DUMMYFUNCTION("""COMPUTED_VALUE"""),2.021334E7)</f>
        <v>20213340</v>
      </c>
      <c r="G48" s="16" t="str">
        <f>IFERROR(__xludf.DUMMYFUNCTION("""COMPUTED_VALUE"""),"Tunisia")</f>
        <v>Tunisia</v>
      </c>
      <c r="H48" s="16" t="str">
        <f>IFERROR(__xludf.DUMMYFUNCTION("""COMPUTED_VALUE"""),"Carthage")</f>
        <v>Carthage</v>
      </c>
      <c r="I48" s="16" t="str">
        <f>IFERROR(__xludf.DUMMYFUNCTION("""COMPUTED_VALUE"""),"Turkey")</f>
        <v>Turkey</v>
      </c>
      <c r="J48" s="16" t="str">
        <f>IFERROR(__xludf.DUMMYFUNCTION("""COMPUTED_VALUE"""),"ISTANBUL")</f>
        <v>ISTANBUL</v>
      </c>
      <c r="K48" s="17" t="str">
        <f>IFERROR(__xludf.DUMMYFUNCTION("""COMPUTED_VALUE"""),"https://expa.aiesec.org/opportunities/1288611")</f>
        <v>https://expa.aiesec.org/opportunities/1288611</v>
      </c>
      <c r="L48" s="16" t="str">
        <f>IFERROR(__xludf.DUMMYFUNCTION("""COMPUTED_VALUE"""),"GV")</f>
        <v>GV</v>
      </c>
      <c r="M48" s="16" t="str">
        <f>IFERROR(__xludf.DUMMYFUNCTION("""COMPUTED_VALUE"""),"short")</f>
        <v>short</v>
      </c>
      <c r="N48" s="18">
        <f>IFERROR(__xludf.DUMMYFUNCTION("""COMPUTED_VALUE"""),44987.0)</f>
        <v>44987</v>
      </c>
      <c r="O48" s="18">
        <f>IFERROR(__xludf.DUMMYFUNCTION("""COMPUTED_VALUE"""),45054.0)</f>
        <v>45054</v>
      </c>
      <c r="P48" s="18">
        <f>IFERROR(__xludf.DUMMYFUNCTION("""COMPUTED_VALUE"""),45096.0)</f>
        <v>45096</v>
      </c>
      <c r="Q48" s="18"/>
      <c r="R48" s="18"/>
      <c r="S48" s="16"/>
      <c r="T48" s="16"/>
      <c r="U48" s="16" t="str">
        <f>IFERROR(__xludf.DUMMYFUNCTION("""COMPUTED_VALUE"""),"Global Classroom")</f>
        <v>Global Classroom</v>
      </c>
      <c r="V48" s="16" t="str">
        <f>IFERROR(__xludf.DUMMYFUNCTION("""COMPUTED_VALUE"""),"MSB")</f>
        <v>MSB</v>
      </c>
      <c r="W48" s="16" t="str">
        <f>IFERROR(__xludf.DUMMYFUNCTION("""COMPUTED_VALUE"""),"2023-02-28T21:55:26Z")</f>
        <v>2023-02-28T21:55:26Z</v>
      </c>
      <c r="X48" s="16"/>
      <c r="Y48" s="16"/>
      <c r="Z48" s="16"/>
    </row>
    <row r="49">
      <c r="A49" s="16" t="str">
        <f>IFERROR(__xludf.DUMMYFUNCTION("""COMPUTED_VALUE"""),"5191669_1289536")</f>
        <v>5191669_1289536</v>
      </c>
      <c r="B49" s="16" t="str">
        <f>IFERROR(__xludf.DUMMYFUNCTION("""COMPUTED_VALUE"""),"salma abdellaoui")</f>
        <v>salma abdellaoui</v>
      </c>
      <c r="C49" s="16" t="str">
        <f>IFERROR(__xludf.DUMMYFUNCTION("""COMPUTED_VALUE"""),"finished")</f>
        <v>finished</v>
      </c>
      <c r="D49" s="16" t="str">
        <f>IFERROR(__xludf.DUMMYFUNCTION("""COMPUTED_VALUE"""),"No")</f>
        <v>No</v>
      </c>
      <c r="E49" s="16" t="str">
        <f>IFERROR(__xludf.DUMMYFUNCTION("""COMPUTED_VALUE"""),"p_ef2ba2b101bfa896478707a4d214726f6be48f66@inbound.aiesec.org")</f>
        <v>p_ef2ba2b101bfa896478707a4d214726f6be48f66@inbound.aiesec.org</v>
      </c>
      <c r="F49" s="16"/>
      <c r="G49" s="16" t="str">
        <f>IFERROR(__xludf.DUMMYFUNCTION("""COMPUTED_VALUE"""),"Morocco")</f>
        <v>Morocco</v>
      </c>
      <c r="H49" s="16" t="str">
        <f>IFERROR(__xludf.DUMMYFUNCTION("""COMPUTED_VALUE"""),"Tangier")</f>
        <v>Tangier</v>
      </c>
      <c r="I49" s="16" t="str">
        <f>IFERROR(__xludf.DUMMYFUNCTION("""COMPUTED_VALUE"""),"Turkey")</f>
        <v>Turkey</v>
      </c>
      <c r="J49" s="16" t="str">
        <f>IFERROR(__xludf.DUMMYFUNCTION("""COMPUTED_VALUE"""),"ISTANBUL")</f>
        <v>ISTANBUL</v>
      </c>
      <c r="K49" s="17" t="str">
        <f>IFERROR(__xludf.DUMMYFUNCTION("""COMPUTED_VALUE"""),"https://expa.aiesec.org/opportunities/1289536")</f>
        <v>https://expa.aiesec.org/opportunities/1289536</v>
      </c>
      <c r="L49" s="16" t="str">
        <f>IFERROR(__xludf.DUMMYFUNCTION("""COMPUTED_VALUE"""),"GV")</f>
        <v>GV</v>
      </c>
      <c r="M49" s="16" t="str">
        <f>IFERROR(__xludf.DUMMYFUNCTION("""COMPUTED_VALUE"""),"short")</f>
        <v>short</v>
      </c>
      <c r="N49" s="18">
        <f>IFERROR(__xludf.DUMMYFUNCTION("""COMPUTED_VALUE"""),44989.0)</f>
        <v>44989</v>
      </c>
      <c r="O49" s="18">
        <f>IFERROR(__xludf.DUMMYFUNCTION("""COMPUTED_VALUE"""),45090.0)</f>
        <v>45090</v>
      </c>
      <c r="P49" s="18">
        <f>IFERROR(__xludf.DUMMYFUNCTION("""COMPUTED_VALUE"""),45132.0)</f>
        <v>45132</v>
      </c>
      <c r="Q49" s="18">
        <f>IFERROR(__xludf.DUMMYFUNCTION("""COMPUTED_VALUE"""),45096.0)</f>
        <v>45096</v>
      </c>
      <c r="R49" s="18">
        <f>IFERROR(__xludf.DUMMYFUNCTION("""COMPUTED_VALUE"""),45138.0)</f>
        <v>45138</v>
      </c>
      <c r="S49" s="16"/>
      <c r="T49" s="16"/>
      <c r="U49" s="16" t="str">
        <f>IFERROR(__xludf.DUMMYFUNCTION("""COMPUTED_VALUE"""),"Global Classroom")</f>
        <v>Global Classroom</v>
      </c>
      <c r="V49" s="16" t="str">
        <f>IFERROR(__xludf.DUMMYFUNCTION("""COMPUTED_VALUE"""),"-")</f>
        <v>-</v>
      </c>
      <c r="W49" s="16" t="str">
        <f>IFERROR(__xludf.DUMMYFUNCTION("""COMPUTED_VALUE"""),"2023-02-15T21:50:38Z")</f>
        <v>2023-02-15T21:50:38Z</v>
      </c>
      <c r="X49" s="16"/>
      <c r="Y49" s="16"/>
      <c r="Z49" s="16"/>
    </row>
    <row r="50">
      <c r="A50" s="16" t="str">
        <f>IFERROR(__xludf.DUMMYFUNCTION("""COMPUTED_VALUE"""),"5185941_1292706")</f>
        <v>5185941_1292706</v>
      </c>
      <c r="B50" s="16" t="str">
        <f>IFERROR(__xludf.DUMMYFUNCTION("""COMPUTED_VALUE"""),"Buse Yavuz")</f>
        <v>Buse Yavuz</v>
      </c>
      <c r="C50" s="16" t="str">
        <f>IFERROR(__xludf.DUMMYFUNCTION("""COMPUTED_VALUE"""),"completed")</f>
        <v>completed</v>
      </c>
      <c r="D50" s="16" t="str">
        <f>IFERROR(__xludf.DUMMYFUNCTION("""COMPUTED_VALUE"""),"No")</f>
        <v>No</v>
      </c>
      <c r="E50" s="16" t="str">
        <f>IFERROR(__xludf.DUMMYFUNCTION("""COMPUTED_VALUE"""),"p_cc2186f4c03ff65b0aa4b25e86dab02001d19af5@inbound.aiesec.org")</f>
        <v>p_cc2186f4c03ff65b0aa4b25e86dab02001d19af5@inbound.aiesec.org</v>
      </c>
      <c r="F50" s="16">
        <f>IFERROR(__xludf.DUMMYFUNCTION("""COMPUTED_VALUE"""),5.445378334E9)</f>
        <v>5445378334</v>
      </c>
      <c r="G50" s="16" t="str">
        <f>IFERROR(__xludf.DUMMYFUNCTION("""COMPUTED_VALUE"""),"Turkey")</f>
        <v>Turkey</v>
      </c>
      <c r="H50" s="16" t="str">
        <f>IFERROR(__xludf.DUMMYFUNCTION("""COMPUTED_VALUE"""),"ISTANBUL")</f>
        <v>ISTANBUL</v>
      </c>
      <c r="I50" s="16" t="str">
        <f>IFERROR(__xludf.DUMMYFUNCTION("""COMPUTED_VALUE"""),"Romania")</f>
        <v>Romania</v>
      </c>
      <c r="J50" s="16" t="str">
        <f>IFERROR(__xludf.DUMMYFUNCTION("""COMPUTED_VALUE"""),"SIBIU")</f>
        <v>SIBIU</v>
      </c>
      <c r="K50" s="17" t="str">
        <f>IFERROR(__xludf.DUMMYFUNCTION("""COMPUTED_VALUE"""),"https://expa.aiesec.org/opportunities/1292706")</f>
        <v>https://expa.aiesec.org/opportunities/1292706</v>
      </c>
      <c r="L50" s="16" t="str">
        <f>IFERROR(__xludf.DUMMYFUNCTION("""COMPUTED_VALUE"""),"GV")</f>
        <v>GV</v>
      </c>
      <c r="M50" s="16" t="str">
        <f>IFERROR(__xludf.DUMMYFUNCTION("""COMPUTED_VALUE"""),"short")</f>
        <v>short</v>
      </c>
      <c r="N50" s="18">
        <f>IFERROR(__xludf.DUMMYFUNCTION("""COMPUTED_VALUE"""),44991.0)</f>
        <v>44991</v>
      </c>
      <c r="O50" s="18">
        <f>IFERROR(__xludf.DUMMYFUNCTION("""COMPUTED_VALUE"""),45131.0)</f>
        <v>45131</v>
      </c>
      <c r="P50" s="18">
        <f>IFERROR(__xludf.DUMMYFUNCTION("""COMPUTED_VALUE"""),45173.0)</f>
        <v>45173</v>
      </c>
      <c r="Q50" s="18">
        <f>IFERROR(__xludf.DUMMYFUNCTION("""COMPUTED_VALUE"""),45132.0)</f>
        <v>45132</v>
      </c>
      <c r="R50" s="18">
        <f>IFERROR(__xludf.DUMMYFUNCTION("""COMPUTED_VALUE"""),45173.0)</f>
        <v>45173</v>
      </c>
      <c r="S50" s="16"/>
      <c r="T50" s="16"/>
      <c r="U50" s="16" t="str">
        <f>IFERROR(__xludf.DUMMYFUNCTION("""COMPUTED_VALUE"""),"Youth 4 Impact")</f>
        <v>Youth 4 Impact</v>
      </c>
      <c r="V50" s="16" t="str">
        <f>IFERROR(__xludf.DUMMYFUNCTION("""COMPUTED_VALUE"""),"ISTANBUL - BEYOGLU")</f>
        <v>ISTANBUL - BEYOGLU</v>
      </c>
      <c r="W50" s="16" t="str">
        <f>IFERROR(__xludf.DUMMYFUNCTION("""COMPUTED_VALUE"""),"2023-02-05T15:58:35Z")</f>
        <v>2023-02-05T15:58:35Z</v>
      </c>
      <c r="X50" s="16"/>
      <c r="Y50" s="16"/>
      <c r="Z50" s="16"/>
    </row>
    <row r="51">
      <c r="A51" s="16" t="str">
        <f>IFERROR(__xludf.DUMMYFUNCTION("""COMPUTED_VALUE"""),"5202735_1272564")</f>
        <v>5202735_1272564</v>
      </c>
      <c r="B51" s="16" t="str">
        <f>IFERROR(__xludf.DUMMYFUNCTION("""COMPUTED_VALUE"""),"Violetta Tarnavska")</f>
        <v>Violetta Tarnavska</v>
      </c>
      <c r="C51" s="16" t="str">
        <f>IFERROR(__xludf.DUMMYFUNCTION("""COMPUTED_VALUE"""),"completed")</f>
        <v>completed</v>
      </c>
      <c r="D51" s="16" t="str">
        <f>IFERROR(__xludf.DUMMYFUNCTION("""COMPUTED_VALUE"""),"No")</f>
        <v>No</v>
      </c>
      <c r="E51" s="16" t="str">
        <f>IFERROR(__xludf.DUMMYFUNCTION("""COMPUTED_VALUE"""),"p_0fc06d4cdcf2524eb2fb00b315744517710b85bb@inbound.aiesec.org")</f>
        <v>p_0fc06d4cdcf2524eb2fb00b315744517710b85bb@inbound.aiesec.org</v>
      </c>
      <c r="F51" s="16">
        <f>IFERROR(__xludf.DUMMYFUNCTION("""COMPUTED_VALUE"""),9.93124655E8)</f>
        <v>993124655</v>
      </c>
      <c r="G51" s="16" t="str">
        <f>IFERROR(__xludf.DUMMYFUNCTION("""COMPUTED_VALUE"""),"Ukraine")</f>
        <v>Ukraine</v>
      </c>
      <c r="H51" s="16" t="str">
        <f>IFERROR(__xludf.DUMMYFUNCTION("""COMPUTED_VALUE"""),"KHARKIV")</f>
        <v>KHARKIV</v>
      </c>
      <c r="I51" s="16" t="str">
        <f>IFERROR(__xludf.DUMMYFUNCTION("""COMPUTED_VALUE"""),"Turkey")</f>
        <v>Turkey</v>
      </c>
      <c r="J51" s="16" t="str">
        <f>IFERROR(__xludf.DUMMYFUNCTION("""COMPUTED_VALUE"""),"ISTANBUL")</f>
        <v>ISTANBUL</v>
      </c>
      <c r="K51" s="17" t="str">
        <f>IFERROR(__xludf.DUMMYFUNCTION("""COMPUTED_VALUE"""),"https://expa.aiesec.org/opportunities/1272564")</f>
        <v>https://expa.aiesec.org/opportunities/1272564</v>
      </c>
      <c r="L51" s="16" t="str">
        <f>IFERROR(__xludf.DUMMYFUNCTION("""COMPUTED_VALUE"""),"GV")</f>
        <v>GV</v>
      </c>
      <c r="M51" s="16" t="str">
        <f>IFERROR(__xludf.DUMMYFUNCTION("""COMPUTED_VALUE"""),"short")</f>
        <v>short</v>
      </c>
      <c r="N51" s="18">
        <f>IFERROR(__xludf.DUMMYFUNCTION("""COMPUTED_VALUE"""),44991.0)</f>
        <v>44991</v>
      </c>
      <c r="O51" s="18">
        <f>IFERROR(__xludf.DUMMYFUNCTION("""COMPUTED_VALUE"""),45122.0)</f>
        <v>45122</v>
      </c>
      <c r="P51" s="18">
        <f>IFERROR(__xludf.DUMMYFUNCTION("""COMPUTED_VALUE"""),45164.0)</f>
        <v>45164</v>
      </c>
      <c r="Q51" s="18">
        <f>IFERROR(__xludf.DUMMYFUNCTION("""COMPUTED_VALUE"""),45123.0)</f>
        <v>45123</v>
      </c>
      <c r="R51" s="18">
        <f>IFERROR(__xludf.DUMMYFUNCTION("""COMPUTED_VALUE"""),45164.0)</f>
        <v>45164</v>
      </c>
      <c r="S51" s="16"/>
      <c r="T51" s="16"/>
      <c r="U51" s="16" t="str">
        <f>IFERROR(__xludf.DUMMYFUNCTION("""COMPUTED_VALUE"""),"Global Classroom")</f>
        <v>Global Classroom</v>
      </c>
      <c r="V51" s="16" t="str">
        <f>IFERROR(__xludf.DUMMYFUNCTION("""COMPUTED_VALUE"""),"Kharkiv")</f>
        <v>Kharkiv</v>
      </c>
      <c r="W51" s="16" t="str">
        <f>IFERROR(__xludf.DUMMYFUNCTION("""COMPUTED_VALUE"""),"2023-03-01T16:37:19Z")</f>
        <v>2023-03-01T16:37:19Z</v>
      </c>
      <c r="X51" s="16"/>
      <c r="Y51" s="16"/>
      <c r="Z51" s="16"/>
    </row>
    <row r="52">
      <c r="A52" s="16" t="str">
        <f>IFERROR(__xludf.DUMMYFUNCTION("""COMPUTED_VALUE"""),"3583316_1286339")</f>
        <v>3583316_1286339</v>
      </c>
      <c r="B52" s="16" t="str">
        <f>IFERROR(__xludf.DUMMYFUNCTION("""COMPUTED_VALUE"""),"ASLI PEKDEMIR")</f>
        <v>ASLI PEKDEMIR</v>
      </c>
      <c r="C52" s="16" t="str">
        <f>IFERROR(__xludf.DUMMYFUNCTION("""COMPUTED_VALUE"""),"approved")</f>
        <v>approved</v>
      </c>
      <c r="D52" s="16" t="str">
        <f>IFERROR(__xludf.DUMMYFUNCTION("""COMPUTED_VALUE"""),"No")</f>
        <v>No</v>
      </c>
      <c r="E52" s="16" t="str">
        <f>IFERROR(__xludf.DUMMYFUNCTION("""COMPUTED_VALUE"""),"p_5e74139d77b0f2bae0a8b1d023b7af93bd9a8700@inbound.aiesec.org")</f>
        <v>p_5e74139d77b0f2bae0a8b1d023b7af93bd9a8700@inbound.aiesec.org</v>
      </c>
      <c r="F52" s="16">
        <f>IFERROR(__xludf.DUMMYFUNCTION("""COMPUTED_VALUE"""),5.425561434E9)</f>
        <v>5425561434</v>
      </c>
      <c r="G52" s="16" t="str">
        <f>IFERROR(__xludf.DUMMYFUNCTION("""COMPUTED_VALUE"""),"Turkey")</f>
        <v>Turkey</v>
      </c>
      <c r="H52" s="16" t="str">
        <f>IFERROR(__xludf.DUMMYFUNCTION("""COMPUTED_VALUE"""),"ISTANBUL")</f>
        <v>ISTANBUL</v>
      </c>
      <c r="I52" s="16" t="str">
        <f>IFERROR(__xludf.DUMMYFUNCTION("""COMPUTED_VALUE"""),"Sri Lanka")</f>
        <v>Sri Lanka</v>
      </c>
      <c r="J52" s="16" t="str">
        <f>IFERROR(__xludf.DUMMYFUNCTION("""COMPUTED_VALUE"""),"Ruhuna")</f>
        <v>Ruhuna</v>
      </c>
      <c r="K52" s="17" t="str">
        <f>IFERROR(__xludf.DUMMYFUNCTION("""COMPUTED_VALUE"""),"https://expa.aiesec.org/opportunities/1286339")</f>
        <v>https://expa.aiesec.org/opportunities/1286339</v>
      </c>
      <c r="L52" s="16" t="str">
        <f>IFERROR(__xludf.DUMMYFUNCTION("""COMPUTED_VALUE"""),"GV")</f>
        <v>GV</v>
      </c>
      <c r="M52" s="16" t="str">
        <f>IFERROR(__xludf.DUMMYFUNCTION("""COMPUTED_VALUE"""),"short")</f>
        <v>short</v>
      </c>
      <c r="N52" s="18">
        <f>IFERROR(__xludf.DUMMYFUNCTION("""COMPUTED_VALUE"""),44991.0)</f>
        <v>44991</v>
      </c>
      <c r="O52" s="18">
        <f>IFERROR(__xludf.DUMMYFUNCTION("""COMPUTED_VALUE"""),45110.0)</f>
        <v>45110</v>
      </c>
      <c r="P52" s="18">
        <f>IFERROR(__xludf.DUMMYFUNCTION("""COMPUTED_VALUE"""),45152.0)</f>
        <v>45152</v>
      </c>
      <c r="Q52" s="18"/>
      <c r="R52" s="18"/>
      <c r="S52" s="16"/>
      <c r="T52" s="16"/>
      <c r="U52" s="16" t="str">
        <f>IFERROR(__xludf.DUMMYFUNCTION("""COMPUTED_VALUE"""),"Global Classroom")</f>
        <v>Global Classroom</v>
      </c>
      <c r="V52" s="16" t="str">
        <f>IFERROR(__xludf.DUMMYFUNCTION("""COMPUTED_VALUE"""),"ISTANBUL ASIA")</f>
        <v>ISTANBUL ASIA</v>
      </c>
      <c r="W52" s="16" t="str">
        <f>IFERROR(__xludf.DUMMYFUNCTION("""COMPUTED_VALUE"""),"2019-06-28T20:01:35Z")</f>
        <v>2019-06-28T20:01:35Z</v>
      </c>
      <c r="X52" s="16"/>
      <c r="Y52" s="16"/>
      <c r="Z52" s="16"/>
    </row>
    <row r="53">
      <c r="A53" s="16" t="str">
        <f>IFERROR(__xludf.DUMMYFUNCTION("""COMPUTED_VALUE"""),"5177023_1288611")</f>
        <v>5177023_1288611</v>
      </c>
      <c r="B53" s="16" t="str">
        <f>IFERROR(__xludf.DUMMYFUNCTION("""COMPUTED_VALUE"""),"bochra riahi")</f>
        <v>bochra riahi</v>
      </c>
      <c r="C53" s="16" t="str">
        <f>IFERROR(__xludf.DUMMYFUNCTION("""COMPUTED_VALUE"""),"finished")</f>
        <v>finished</v>
      </c>
      <c r="D53" s="16" t="str">
        <f>IFERROR(__xludf.DUMMYFUNCTION("""COMPUTED_VALUE"""),"No")</f>
        <v>No</v>
      </c>
      <c r="E53" s="16" t="str">
        <f>IFERROR(__xludf.DUMMYFUNCTION("""COMPUTED_VALUE"""),"p_7f457e9fae656991f3f09257587e2c78403de016@inbound.aiesec.org")</f>
        <v>p_7f457e9fae656991f3f09257587e2c78403de016@inbound.aiesec.org</v>
      </c>
      <c r="F53" s="16">
        <f>IFERROR(__xludf.DUMMYFUNCTION("""COMPUTED_VALUE"""),2.2542147E7)</f>
        <v>22542147</v>
      </c>
      <c r="G53" s="16" t="str">
        <f>IFERROR(__xludf.DUMMYFUNCTION("""COMPUTED_VALUE"""),"Tunisia")</f>
        <v>Tunisia</v>
      </c>
      <c r="H53" s="16" t="str">
        <f>IFERROR(__xludf.DUMMYFUNCTION("""COMPUTED_VALUE"""),"Carthage")</f>
        <v>Carthage</v>
      </c>
      <c r="I53" s="16" t="str">
        <f>IFERROR(__xludf.DUMMYFUNCTION("""COMPUTED_VALUE"""),"Turkey")</f>
        <v>Turkey</v>
      </c>
      <c r="J53" s="16" t="str">
        <f>IFERROR(__xludf.DUMMYFUNCTION("""COMPUTED_VALUE"""),"ISTANBUL")</f>
        <v>ISTANBUL</v>
      </c>
      <c r="K53" s="17" t="str">
        <f>IFERROR(__xludf.DUMMYFUNCTION("""COMPUTED_VALUE"""),"https://expa.aiesec.org/opportunities/1288611")</f>
        <v>https://expa.aiesec.org/opportunities/1288611</v>
      </c>
      <c r="L53" s="16" t="str">
        <f>IFERROR(__xludf.DUMMYFUNCTION("""COMPUTED_VALUE"""),"GV")</f>
        <v>GV</v>
      </c>
      <c r="M53" s="16" t="str">
        <f>IFERROR(__xludf.DUMMYFUNCTION("""COMPUTED_VALUE"""),"short")</f>
        <v>short</v>
      </c>
      <c r="N53" s="18">
        <f>IFERROR(__xludf.DUMMYFUNCTION("""COMPUTED_VALUE"""),44992.0)</f>
        <v>44992</v>
      </c>
      <c r="O53" s="18">
        <f>IFERROR(__xludf.DUMMYFUNCTION("""COMPUTED_VALUE"""),45138.0)</f>
        <v>45138</v>
      </c>
      <c r="P53" s="18">
        <f>IFERROR(__xludf.DUMMYFUNCTION("""COMPUTED_VALUE"""),45180.0)</f>
        <v>45180</v>
      </c>
      <c r="Q53" s="18">
        <f>IFERROR(__xludf.DUMMYFUNCTION("""COMPUTED_VALUE"""),45138.0)</f>
        <v>45138</v>
      </c>
      <c r="R53" s="18">
        <f>IFERROR(__xludf.DUMMYFUNCTION("""COMPUTED_VALUE"""),45180.0)</f>
        <v>45180</v>
      </c>
      <c r="S53" s="16"/>
      <c r="T53" s="16"/>
      <c r="U53" s="16" t="str">
        <f>IFERROR(__xludf.DUMMYFUNCTION("""COMPUTED_VALUE"""),"Global Classroom")</f>
        <v>Global Classroom</v>
      </c>
      <c r="V53" s="16" t="str">
        <f>IFERROR(__xludf.DUMMYFUNCTION("""COMPUTED_VALUE"""),"FSJPST")</f>
        <v>FSJPST</v>
      </c>
      <c r="W53" s="16" t="str">
        <f>IFERROR(__xludf.DUMMYFUNCTION("""COMPUTED_VALUE"""),"2023-01-16T10:50:56Z")</f>
        <v>2023-01-16T10:50:56Z</v>
      </c>
      <c r="X53" s="16"/>
      <c r="Y53" s="16"/>
      <c r="Z53" s="16"/>
    </row>
    <row r="54">
      <c r="A54" s="16" t="str">
        <f>IFERROR(__xludf.DUMMYFUNCTION("""COMPUTED_VALUE"""),"5194794_1292549")</f>
        <v>5194794_1292549</v>
      </c>
      <c r="B54" s="16" t="str">
        <f>IFERROR(__xludf.DUMMYFUNCTION("""COMPUTED_VALUE"""),"Beyza Serim")</f>
        <v>Beyza Serim</v>
      </c>
      <c r="C54" s="16" t="str">
        <f>IFERROR(__xludf.DUMMYFUNCTION("""COMPUTED_VALUE"""),"completed")</f>
        <v>completed</v>
      </c>
      <c r="D54" s="16" t="str">
        <f>IFERROR(__xludf.DUMMYFUNCTION("""COMPUTED_VALUE"""),"No")</f>
        <v>No</v>
      </c>
      <c r="E54" s="16" t="str">
        <f>IFERROR(__xludf.DUMMYFUNCTION("""COMPUTED_VALUE"""),"p_9c6d4f38f6e963ef924af0dfffe7053258d84953@inbound.aiesec.org")</f>
        <v>p_9c6d4f38f6e963ef924af0dfffe7053258d84953@inbound.aiesec.org</v>
      </c>
      <c r="F54" s="16">
        <f>IFERROR(__xludf.DUMMYFUNCTION("""COMPUTED_VALUE"""),5.302270805E9)</f>
        <v>5302270805</v>
      </c>
      <c r="G54" s="16" t="str">
        <f>IFERROR(__xludf.DUMMYFUNCTION("""COMPUTED_VALUE"""),"Turkey")</f>
        <v>Turkey</v>
      </c>
      <c r="H54" s="16" t="str">
        <f>IFERROR(__xludf.DUMMYFUNCTION("""COMPUTED_VALUE"""),"ISTANBUL")</f>
        <v>ISTANBUL</v>
      </c>
      <c r="I54" s="16" t="str">
        <f>IFERROR(__xludf.DUMMYFUNCTION("""COMPUTED_VALUE"""),"Tunisia")</f>
        <v>Tunisia</v>
      </c>
      <c r="J54" s="16" t="str">
        <f>IFERROR(__xludf.DUMMYFUNCTION("""COMPUTED_VALUE"""),"UNIVERSITY")</f>
        <v>UNIVERSITY</v>
      </c>
      <c r="K54" s="17" t="str">
        <f>IFERROR(__xludf.DUMMYFUNCTION("""COMPUTED_VALUE"""),"https://expa.aiesec.org/opportunities/1292549")</f>
        <v>https://expa.aiesec.org/opportunities/1292549</v>
      </c>
      <c r="L54" s="16" t="str">
        <f>IFERROR(__xludf.DUMMYFUNCTION("""COMPUTED_VALUE"""),"GV")</f>
        <v>GV</v>
      </c>
      <c r="M54" s="16" t="str">
        <f>IFERROR(__xludf.DUMMYFUNCTION("""COMPUTED_VALUE"""),"short")</f>
        <v>short</v>
      </c>
      <c r="N54" s="18">
        <f>IFERROR(__xludf.DUMMYFUNCTION("""COMPUTED_VALUE"""),44993.0)</f>
        <v>44993</v>
      </c>
      <c r="O54" s="18">
        <f>IFERROR(__xludf.DUMMYFUNCTION("""COMPUTED_VALUE"""),45120.0)</f>
        <v>45120</v>
      </c>
      <c r="P54" s="18">
        <f>IFERROR(__xludf.DUMMYFUNCTION("""COMPUTED_VALUE"""),45164.0)</f>
        <v>45164</v>
      </c>
      <c r="Q54" s="18">
        <f>IFERROR(__xludf.DUMMYFUNCTION("""COMPUTED_VALUE"""),45120.0)</f>
        <v>45120</v>
      </c>
      <c r="R54" s="18">
        <f>IFERROR(__xludf.DUMMYFUNCTION("""COMPUTED_VALUE"""),45164.0)</f>
        <v>45164</v>
      </c>
      <c r="S54" s="16"/>
      <c r="T54" s="16"/>
      <c r="U54" s="16" t="str">
        <f>IFERROR(__xludf.DUMMYFUNCTION("""COMPUTED_VALUE"""),"On The Map")</f>
        <v>On The Map</v>
      </c>
      <c r="V54" s="16" t="str">
        <f>IFERROR(__xludf.DUMMYFUNCTION("""COMPUTED_VALUE"""),"ISTANBUL - BEYOGLU")</f>
        <v>ISTANBUL - BEYOGLU</v>
      </c>
      <c r="W54" s="16" t="str">
        <f>IFERROR(__xludf.DUMMYFUNCTION("""COMPUTED_VALUE"""),"2023-02-19T21:07:20Z")</f>
        <v>2023-02-19T21:07:20Z</v>
      </c>
      <c r="X54" s="16"/>
      <c r="Y54" s="16"/>
      <c r="Z54" s="16"/>
    </row>
    <row r="55">
      <c r="A55" s="16" t="str">
        <f>IFERROR(__xludf.DUMMYFUNCTION("""COMPUTED_VALUE"""),"5126065_1288611")</f>
        <v>5126065_1288611</v>
      </c>
      <c r="B55" s="16" t="str">
        <f>IFERROR(__xludf.DUMMYFUNCTION("""COMPUTED_VALUE"""),"chaima mathlouthi")</f>
        <v>chaima mathlouthi</v>
      </c>
      <c r="C55" s="16" t="str">
        <f>IFERROR(__xludf.DUMMYFUNCTION("""COMPUTED_VALUE"""),"approved")</f>
        <v>approved</v>
      </c>
      <c r="D55" s="16" t="str">
        <f>IFERROR(__xludf.DUMMYFUNCTION("""COMPUTED_VALUE"""),"No")</f>
        <v>No</v>
      </c>
      <c r="E55" s="16" t="str">
        <f>IFERROR(__xludf.DUMMYFUNCTION("""COMPUTED_VALUE"""),"p_e05779aaed0acea24ca041c9ee71ffc7cc185cd6@inbound.aiesec.org")</f>
        <v>p_e05779aaed0acea24ca041c9ee71ffc7cc185cd6@inbound.aiesec.org</v>
      </c>
      <c r="F55" s="16"/>
      <c r="G55" s="16" t="str">
        <f>IFERROR(__xludf.DUMMYFUNCTION("""COMPUTED_VALUE"""),"Tunisia")</f>
        <v>Tunisia</v>
      </c>
      <c r="H55" s="16" t="str">
        <f>IFERROR(__xludf.DUMMYFUNCTION("""COMPUTED_VALUE"""),"Carthage")</f>
        <v>Carthage</v>
      </c>
      <c r="I55" s="16" t="str">
        <f>IFERROR(__xludf.DUMMYFUNCTION("""COMPUTED_VALUE"""),"Turkey")</f>
        <v>Turkey</v>
      </c>
      <c r="J55" s="16" t="str">
        <f>IFERROR(__xludf.DUMMYFUNCTION("""COMPUTED_VALUE"""),"ISTANBUL")</f>
        <v>ISTANBUL</v>
      </c>
      <c r="K55" s="17" t="str">
        <f>IFERROR(__xludf.DUMMYFUNCTION("""COMPUTED_VALUE"""),"https://expa.aiesec.org/opportunities/1288611")</f>
        <v>https://expa.aiesec.org/opportunities/1288611</v>
      </c>
      <c r="L55" s="16" t="str">
        <f>IFERROR(__xludf.DUMMYFUNCTION("""COMPUTED_VALUE"""),"GV")</f>
        <v>GV</v>
      </c>
      <c r="M55" s="16" t="str">
        <f>IFERROR(__xludf.DUMMYFUNCTION("""COMPUTED_VALUE"""),"short")</f>
        <v>short</v>
      </c>
      <c r="N55" s="18">
        <f>IFERROR(__xludf.DUMMYFUNCTION("""COMPUTED_VALUE"""),44993.0)</f>
        <v>44993</v>
      </c>
      <c r="O55" s="18">
        <f>IFERROR(__xludf.DUMMYFUNCTION("""COMPUTED_VALUE"""),45138.0)</f>
        <v>45138</v>
      </c>
      <c r="P55" s="18">
        <f>IFERROR(__xludf.DUMMYFUNCTION("""COMPUTED_VALUE"""),45180.0)</f>
        <v>45180</v>
      </c>
      <c r="Q55" s="18"/>
      <c r="R55" s="18"/>
      <c r="S55" s="16"/>
      <c r="T55" s="16"/>
      <c r="U55" s="16" t="str">
        <f>IFERROR(__xludf.DUMMYFUNCTION("""COMPUTED_VALUE"""),"Global Classroom")</f>
        <v>Global Classroom</v>
      </c>
      <c r="V55" s="16" t="str">
        <f>IFERROR(__xludf.DUMMYFUNCTION("""COMPUTED_VALUE"""),"-")</f>
        <v>-</v>
      </c>
      <c r="W55" s="16" t="str">
        <f>IFERROR(__xludf.DUMMYFUNCTION("""COMPUTED_VALUE"""),"2022-10-05T21:24:16Z")</f>
        <v>2022-10-05T21:24:16Z</v>
      </c>
      <c r="X55" s="16"/>
      <c r="Y55" s="16"/>
      <c r="Z55" s="16"/>
    </row>
    <row r="56">
      <c r="A56" s="16" t="str">
        <f>IFERROR(__xludf.DUMMYFUNCTION("""COMPUTED_VALUE"""),"5207690_1291369")</f>
        <v>5207690_1291369</v>
      </c>
      <c r="B56" s="16" t="str">
        <f>IFERROR(__xludf.DUMMYFUNCTION("""COMPUTED_VALUE"""),"SELİN DEMİRKÖPRÜ")</f>
        <v>SELİN DEMİRKÖPRÜ</v>
      </c>
      <c r="C56" s="16" t="str">
        <f>IFERROR(__xludf.DUMMYFUNCTION("""COMPUTED_VALUE"""),"approved")</f>
        <v>approved</v>
      </c>
      <c r="D56" s="16" t="str">
        <f>IFERROR(__xludf.DUMMYFUNCTION("""COMPUTED_VALUE"""),"No")</f>
        <v>No</v>
      </c>
      <c r="E56" s="16" t="str">
        <f>IFERROR(__xludf.DUMMYFUNCTION("""COMPUTED_VALUE"""),"p_3073af8a438630a21e19171e870e5159746bfcea@inbound.aiesec.org")</f>
        <v>p_3073af8a438630a21e19171e870e5159746bfcea@inbound.aiesec.org</v>
      </c>
      <c r="F56" s="16">
        <f>IFERROR(__xludf.DUMMYFUNCTION("""COMPUTED_VALUE"""),5.516507822E9)</f>
        <v>5516507822</v>
      </c>
      <c r="G56" s="16" t="str">
        <f>IFERROR(__xludf.DUMMYFUNCTION("""COMPUTED_VALUE"""),"Turkey")</f>
        <v>Turkey</v>
      </c>
      <c r="H56" s="16" t="str">
        <f>IFERROR(__xludf.DUMMYFUNCTION("""COMPUTED_VALUE"""),"ISTANBUL")</f>
        <v>ISTANBUL</v>
      </c>
      <c r="I56" s="16" t="str">
        <f>IFERROR(__xludf.DUMMYFUNCTION("""COMPUTED_VALUE"""),"Egypt")</f>
        <v>Egypt</v>
      </c>
      <c r="J56" s="16" t="str">
        <f>IFERROR(__xludf.DUMMYFUNCTION("""COMPUTED_VALUE"""),"GUC")</f>
        <v>GUC</v>
      </c>
      <c r="K56" s="17" t="str">
        <f>IFERROR(__xludf.DUMMYFUNCTION("""COMPUTED_VALUE"""),"https://expa.aiesec.org/opportunities/1291369")</f>
        <v>https://expa.aiesec.org/opportunities/1291369</v>
      </c>
      <c r="L56" s="16" t="str">
        <f>IFERROR(__xludf.DUMMYFUNCTION("""COMPUTED_VALUE"""),"GV")</f>
        <v>GV</v>
      </c>
      <c r="M56" s="16" t="str">
        <f>IFERROR(__xludf.DUMMYFUNCTION("""COMPUTED_VALUE"""),"short")</f>
        <v>short</v>
      </c>
      <c r="N56" s="18">
        <f>IFERROR(__xludf.DUMMYFUNCTION("""COMPUTED_VALUE"""),44993.0)</f>
        <v>44993</v>
      </c>
      <c r="O56" s="18">
        <f>IFERROR(__xludf.DUMMYFUNCTION("""COMPUTED_VALUE"""),45153.0)</f>
        <v>45153</v>
      </c>
      <c r="P56" s="18">
        <f>IFERROR(__xludf.DUMMYFUNCTION("""COMPUTED_VALUE"""),45195.0)</f>
        <v>45195</v>
      </c>
      <c r="Q56" s="18"/>
      <c r="R56" s="18"/>
      <c r="S56" s="16"/>
      <c r="T56" s="16"/>
      <c r="U56" s="16" t="str">
        <f>IFERROR(__xludf.DUMMYFUNCTION("""COMPUTED_VALUE"""),"Green Leaders")</f>
        <v>Green Leaders</v>
      </c>
      <c r="V56" s="16" t="str">
        <f>IFERROR(__xludf.DUMMYFUNCTION("""COMPUTED_VALUE"""),"ISTANBUL - BEYOGLU")</f>
        <v>ISTANBUL - BEYOGLU</v>
      </c>
      <c r="W56" s="16" t="str">
        <f>IFERROR(__xludf.DUMMYFUNCTION("""COMPUTED_VALUE"""),"2023-03-06T17:21:57Z")</f>
        <v>2023-03-06T17:21:57Z</v>
      </c>
      <c r="X56" s="16"/>
      <c r="Y56" s="16"/>
      <c r="Z56" s="16"/>
    </row>
    <row r="57">
      <c r="A57" s="16" t="str">
        <f>IFERROR(__xludf.DUMMYFUNCTION("""COMPUTED_VALUE"""),"5206742_1272564")</f>
        <v>5206742_1272564</v>
      </c>
      <c r="B57" s="16" t="str">
        <f>IFERROR(__xludf.DUMMYFUNCTION("""COMPUTED_VALUE"""),"Gulazia Tazhibayeva")</f>
        <v>Gulazia Tazhibayeva</v>
      </c>
      <c r="C57" s="16" t="str">
        <f>IFERROR(__xludf.DUMMYFUNCTION("""COMPUTED_VALUE"""),"finished")</f>
        <v>finished</v>
      </c>
      <c r="D57" s="16" t="str">
        <f>IFERROR(__xludf.DUMMYFUNCTION("""COMPUTED_VALUE"""),"No")</f>
        <v>No</v>
      </c>
      <c r="E57" s="16" t="str">
        <f>IFERROR(__xludf.DUMMYFUNCTION("""COMPUTED_VALUE"""),"p_ffb01b167bb42e3baf35f28a8cc35c7d0bdc84dc@inbound.aiesec.org")</f>
        <v>p_ffb01b167bb42e3baf35f28a8cc35c7d0bdc84dc@inbound.aiesec.org</v>
      </c>
      <c r="F57" s="16">
        <f>IFERROR(__xludf.DUMMYFUNCTION("""COMPUTED_VALUE"""),7.779820767E9)</f>
        <v>7779820767</v>
      </c>
      <c r="G57" s="16" t="str">
        <f>IFERROR(__xludf.DUMMYFUNCTION("""COMPUTED_VALUE"""),"Kazakhstan")</f>
        <v>Kazakhstan</v>
      </c>
      <c r="H57" s="16" t="str">
        <f>IFERROR(__xludf.DUMMYFUNCTION("""COMPUTED_VALUE"""),"ALMATY")</f>
        <v>ALMATY</v>
      </c>
      <c r="I57" s="16" t="str">
        <f>IFERROR(__xludf.DUMMYFUNCTION("""COMPUTED_VALUE"""),"Turkey")</f>
        <v>Turkey</v>
      </c>
      <c r="J57" s="16" t="str">
        <f>IFERROR(__xludf.DUMMYFUNCTION("""COMPUTED_VALUE"""),"ISTANBUL")</f>
        <v>ISTANBUL</v>
      </c>
      <c r="K57" s="17" t="str">
        <f>IFERROR(__xludf.DUMMYFUNCTION("""COMPUTED_VALUE"""),"https://expa.aiesec.org/opportunities/1272564")</f>
        <v>https://expa.aiesec.org/opportunities/1272564</v>
      </c>
      <c r="L57" s="16" t="str">
        <f>IFERROR(__xludf.DUMMYFUNCTION("""COMPUTED_VALUE"""),"GV")</f>
        <v>GV</v>
      </c>
      <c r="M57" s="16" t="str">
        <f>IFERROR(__xludf.DUMMYFUNCTION("""COMPUTED_VALUE"""),"short")</f>
        <v>short</v>
      </c>
      <c r="N57" s="18">
        <f>IFERROR(__xludf.DUMMYFUNCTION("""COMPUTED_VALUE"""),44993.0)</f>
        <v>44993</v>
      </c>
      <c r="O57" s="18">
        <f>IFERROR(__xludf.DUMMYFUNCTION("""COMPUTED_VALUE"""),45082.0)</f>
        <v>45082</v>
      </c>
      <c r="P57" s="18">
        <f>IFERROR(__xludf.DUMMYFUNCTION("""COMPUTED_VALUE"""),45124.0)</f>
        <v>45124</v>
      </c>
      <c r="Q57" s="18">
        <f>IFERROR(__xludf.DUMMYFUNCTION("""COMPUTED_VALUE"""),45081.0)</f>
        <v>45081</v>
      </c>
      <c r="R57" s="18">
        <f>IFERROR(__xludf.DUMMYFUNCTION("""COMPUTED_VALUE"""),45124.0)</f>
        <v>45124</v>
      </c>
      <c r="S57" s="16"/>
      <c r="T57" s="16"/>
      <c r="U57" s="16" t="str">
        <f>IFERROR(__xludf.DUMMYFUNCTION("""COMPUTED_VALUE"""),"Global Classroom")</f>
        <v>Global Classroom</v>
      </c>
      <c r="V57" s="16" t="str">
        <f>IFERROR(__xludf.DUMMYFUNCTION("""COMPUTED_VALUE"""),"Kyzylorda")</f>
        <v>Kyzylorda</v>
      </c>
      <c r="W57" s="16" t="str">
        <f>IFERROR(__xludf.DUMMYFUNCTION("""COMPUTED_VALUE"""),"2023-03-05T18:03:16Z")</f>
        <v>2023-03-05T18:03:16Z</v>
      </c>
      <c r="X57" s="16"/>
      <c r="Y57" s="16"/>
      <c r="Z57" s="16"/>
    </row>
    <row r="58">
      <c r="A58" s="16" t="str">
        <f>IFERROR(__xludf.DUMMYFUNCTION("""COMPUTED_VALUE"""),"5210274_1290282")</f>
        <v>5210274_1290282</v>
      </c>
      <c r="B58" s="16" t="str">
        <f>IFERROR(__xludf.DUMMYFUNCTION("""COMPUTED_VALUE"""),"Eren Helvaci")</f>
        <v>Eren Helvaci</v>
      </c>
      <c r="C58" s="16" t="str">
        <f>IFERROR(__xludf.DUMMYFUNCTION("""COMPUTED_VALUE"""),"completed")</f>
        <v>completed</v>
      </c>
      <c r="D58" s="16" t="str">
        <f>IFERROR(__xludf.DUMMYFUNCTION("""COMPUTED_VALUE"""),"No")</f>
        <v>No</v>
      </c>
      <c r="E58" s="16" t="str">
        <f>IFERROR(__xludf.DUMMYFUNCTION("""COMPUTED_VALUE"""),"p_ebe531e6e2b646d5a965eac773552697828f49d7@inbound.aiesec.org")</f>
        <v>p_ebe531e6e2b646d5a965eac773552697828f49d7@inbound.aiesec.org</v>
      </c>
      <c r="F58" s="16">
        <f>IFERROR(__xludf.DUMMYFUNCTION("""COMPUTED_VALUE"""),5.061672661E9)</f>
        <v>5061672661</v>
      </c>
      <c r="G58" s="16" t="str">
        <f>IFERROR(__xludf.DUMMYFUNCTION("""COMPUTED_VALUE"""),"Turkey")</f>
        <v>Turkey</v>
      </c>
      <c r="H58" s="16" t="str">
        <f>IFERROR(__xludf.DUMMYFUNCTION("""COMPUTED_VALUE"""),"ISTANBUL")</f>
        <v>ISTANBUL</v>
      </c>
      <c r="I58" s="16" t="str">
        <f>IFERROR(__xludf.DUMMYFUNCTION("""COMPUTED_VALUE"""),"Egypt")</f>
        <v>Egypt</v>
      </c>
      <c r="J58" s="16" t="str">
        <f>IFERROR(__xludf.DUMMYFUNCTION("""COMPUTED_VALUE"""),"GUC")</f>
        <v>GUC</v>
      </c>
      <c r="K58" s="17" t="str">
        <f>IFERROR(__xludf.DUMMYFUNCTION("""COMPUTED_VALUE"""),"https://expa.aiesec.org/opportunities/1290282")</f>
        <v>https://expa.aiesec.org/opportunities/1290282</v>
      </c>
      <c r="L58" s="16" t="str">
        <f>IFERROR(__xludf.DUMMYFUNCTION("""COMPUTED_VALUE"""),"GV")</f>
        <v>GV</v>
      </c>
      <c r="M58" s="16" t="str">
        <f>IFERROR(__xludf.DUMMYFUNCTION("""COMPUTED_VALUE"""),"short")</f>
        <v>short</v>
      </c>
      <c r="N58" s="18">
        <f>IFERROR(__xludf.DUMMYFUNCTION("""COMPUTED_VALUE"""),44994.0)</f>
        <v>44994</v>
      </c>
      <c r="O58" s="18">
        <f>IFERROR(__xludf.DUMMYFUNCTION("""COMPUTED_VALUE"""),45122.0)</f>
        <v>45122</v>
      </c>
      <c r="P58" s="18">
        <f>IFERROR(__xludf.DUMMYFUNCTION("""COMPUTED_VALUE"""),45164.0)</f>
        <v>45164</v>
      </c>
      <c r="Q58" s="18">
        <f>IFERROR(__xludf.DUMMYFUNCTION("""COMPUTED_VALUE"""),45119.0)</f>
        <v>45119</v>
      </c>
      <c r="R58" s="18">
        <f>IFERROR(__xludf.DUMMYFUNCTION("""COMPUTED_VALUE"""),45164.0)</f>
        <v>45164</v>
      </c>
      <c r="S58" s="16"/>
      <c r="T58" s="16"/>
      <c r="U58" s="16" t="str">
        <f>IFERROR(__xludf.DUMMYFUNCTION("""COMPUTED_VALUE"""),"On The Map")</f>
        <v>On The Map</v>
      </c>
      <c r="V58" s="16" t="str">
        <f>IFERROR(__xludf.DUMMYFUNCTION("""COMPUTED_VALUE"""),"ISTANBUL - BEYOGLU")</f>
        <v>ISTANBUL - BEYOGLU</v>
      </c>
      <c r="W58" s="16" t="str">
        <f>IFERROR(__xludf.DUMMYFUNCTION("""COMPUTED_VALUE"""),"2023-03-08T19:34:09Z")</f>
        <v>2023-03-08T19:34:09Z</v>
      </c>
      <c r="X58" s="16"/>
      <c r="Y58" s="16"/>
      <c r="Z58" s="16"/>
    </row>
    <row r="59">
      <c r="A59" s="16" t="str">
        <f>IFERROR(__xludf.DUMMYFUNCTION("""COMPUTED_VALUE"""),"5210273_1290282")</f>
        <v>5210273_1290282</v>
      </c>
      <c r="B59" s="16" t="str">
        <f>IFERROR(__xludf.DUMMYFUNCTION("""COMPUTED_VALUE"""),"Kagan Buyukdereli")</f>
        <v>Kagan Buyukdereli</v>
      </c>
      <c r="C59" s="16" t="str">
        <f>IFERROR(__xludf.DUMMYFUNCTION("""COMPUTED_VALUE"""),"completed")</f>
        <v>completed</v>
      </c>
      <c r="D59" s="16" t="str">
        <f>IFERROR(__xludf.DUMMYFUNCTION("""COMPUTED_VALUE"""),"No")</f>
        <v>No</v>
      </c>
      <c r="E59" s="16" t="str">
        <f>IFERROR(__xludf.DUMMYFUNCTION("""COMPUTED_VALUE"""),"p_d1305479c3a45a36df69b306e058cd4a55470560@inbound.aiesec.org")</f>
        <v>p_d1305479c3a45a36df69b306e058cd4a55470560@inbound.aiesec.org</v>
      </c>
      <c r="F59" s="16">
        <f>IFERROR(__xludf.DUMMYFUNCTION("""COMPUTED_VALUE"""),5.38853884E9)</f>
        <v>5388538840</v>
      </c>
      <c r="G59" s="16" t="str">
        <f>IFERROR(__xludf.DUMMYFUNCTION("""COMPUTED_VALUE"""),"Turkey")</f>
        <v>Turkey</v>
      </c>
      <c r="H59" s="16" t="str">
        <f>IFERROR(__xludf.DUMMYFUNCTION("""COMPUTED_VALUE"""),"ISTANBUL")</f>
        <v>ISTANBUL</v>
      </c>
      <c r="I59" s="16" t="str">
        <f>IFERROR(__xludf.DUMMYFUNCTION("""COMPUTED_VALUE"""),"Egypt")</f>
        <v>Egypt</v>
      </c>
      <c r="J59" s="16" t="str">
        <f>IFERROR(__xludf.DUMMYFUNCTION("""COMPUTED_VALUE"""),"GUC")</f>
        <v>GUC</v>
      </c>
      <c r="K59" s="17" t="str">
        <f>IFERROR(__xludf.DUMMYFUNCTION("""COMPUTED_VALUE"""),"https://expa.aiesec.org/opportunities/1290282")</f>
        <v>https://expa.aiesec.org/opportunities/1290282</v>
      </c>
      <c r="L59" s="16" t="str">
        <f>IFERROR(__xludf.DUMMYFUNCTION("""COMPUTED_VALUE"""),"GV")</f>
        <v>GV</v>
      </c>
      <c r="M59" s="16" t="str">
        <f>IFERROR(__xludf.DUMMYFUNCTION("""COMPUTED_VALUE"""),"short")</f>
        <v>short</v>
      </c>
      <c r="N59" s="18">
        <f>IFERROR(__xludf.DUMMYFUNCTION("""COMPUTED_VALUE"""),44994.0)</f>
        <v>44994</v>
      </c>
      <c r="O59" s="18">
        <f>IFERROR(__xludf.DUMMYFUNCTION("""COMPUTED_VALUE"""),45122.0)</f>
        <v>45122</v>
      </c>
      <c r="P59" s="18">
        <f>IFERROR(__xludf.DUMMYFUNCTION("""COMPUTED_VALUE"""),45164.0)</f>
        <v>45164</v>
      </c>
      <c r="Q59" s="18">
        <f>IFERROR(__xludf.DUMMYFUNCTION("""COMPUTED_VALUE"""),45119.0)</f>
        <v>45119</v>
      </c>
      <c r="R59" s="18">
        <f>IFERROR(__xludf.DUMMYFUNCTION("""COMPUTED_VALUE"""),45164.0)</f>
        <v>45164</v>
      </c>
      <c r="S59" s="16"/>
      <c r="T59" s="16"/>
      <c r="U59" s="16" t="str">
        <f>IFERROR(__xludf.DUMMYFUNCTION("""COMPUTED_VALUE"""),"On The Map")</f>
        <v>On The Map</v>
      </c>
      <c r="V59" s="16" t="str">
        <f>IFERROR(__xludf.DUMMYFUNCTION("""COMPUTED_VALUE"""),"ISTANBUL - BEYOGLU")</f>
        <v>ISTANBUL - BEYOGLU</v>
      </c>
      <c r="W59" s="16" t="str">
        <f>IFERROR(__xludf.DUMMYFUNCTION("""COMPUTED_VALUE"""),"2023-03-08T19:34:05Z")</f>
        <v>2023-03-08T19:34:05Z</v>
      </c>
      <c r="X59" s="16"/>
      <c r="Y59" s="16"/>
      <c r="Z59" s="16"/>
    </row>
    <row r="60">
      <c r="A60" s="16" t="str">
        <f>IFERROR(__xludf.DUMMYFUNCTION("""COMPUTED_VALUE"""),"4914691_1290760")</f>
        <v>4914691_1290760</v>
      </c>
      <c r="B60" s="16" t="str">
        <f>IFERROR(__xludf.DUMMYFUNCTION("""COMPUTED_VALUE"""),"İREM AKÇAY")</f>
        <v>İREM AKÇAY</v>
      </c>
      <c r="C60" s="16" t="str">
        <f>IFERROR(__xludf.DUMMYFUNCTION("""COMPUTED_VALUE"""),"completed")</f>
        <v>completed</v>
      </c>
      <c r="D60" s="16" t="str">
        <f>IFERROR(__xludf.DUMMYFUNCTION("""COMPUTED_VALUE"""),"No")</f>
        <v>No</v>
      </c>
      <c r="E60" s="16" t="str">
        <f>IFERROR(__xludf.DUMMYFUNCTION("""COMPUTED_VALUE"""),"p_3ef27821886c58870e2730af16cca704d0d2d64a@inbound.aiesec.org")</f>
        <v>p_3ef27821886c58870e2730af16cca704d0d2d64a@inbound.aiesec.org</v>
      </c>
      <c r="F60" s="16">
        <f>IFERROR(__xludf.DUMMYFUNCTION("""COMPUTED_VALUE"""),5.312654452E9)</f>
        <v>5312654452</v>
      </c>
      <c r="G60" s="16" t="str">
        <f>IFERROR(__xludf.DUMMYFUNCTION("""COMPUTED_VALUE"""),"Turkey")</f>
        <v>Turkey</v>
      </c>
      <c r="H60" s="16" t="str">
        <f>IFERROR(__xludf.DUMMYFUNCTION("""COMPUTED_VALUE"""),"ISTANBUL")</f>
        <v>ISTANBUL</v>
      </c>
      <c r="I60" s="16" t="str">
        <f>IFERROR(__xludf.DUMMYFUNCTION("""COMPUTED_VALUE"""),"Egypt")</f>
        <v>Egypt</v>
      </c>
      <c r="J60" s="16" t="str">
        <f>IFERROR(__xludf.DUMMYFUNCTION("""COMPUTED_VALUE"""),"AAST In CAIRO")</f>
        <v>AAST In CAIRO</v>
      </c>
      <c r="K60" s="17" t="str">
        <f>IFERROR(__xludf.DUMMYFUNCTION("""COMPUTED_VALUE"""),"https://expa.aiesec.org/opportunities/1290760")</f>
        <v>https://expa.aiesec.org/opportunities/1290760</v>
      </c>
      <c r="L60" s="16" t="str">
        <f>IFERROR(__xludf.DUMMYFUNCTION("""COMPUTED_VALUE"""),"GTe")</f>
        <v>GTe</v>
      </c>
      <c r="M60" s="16" t="str">
        <f>IFERROR(__xludf.DUMMYFUNCTION("""COMPUTED_VALUE"""),"medium")</f>
        <v>medium</v>
      </c>
      <c r="N60" s="18">
        <f>IFERROR(__xludf.DUMMYFUNCTION("""COMPUTED_VALUE"""),44995.0)</f>
        <v>44995</v>
      </c>
      <c r="O60" s="18">
        <f>IFERROR(__xludf.DUMMYFUNCTION("""COMPUTED_VALUE"""),45097.0)</f>
        <v>45097</v>
      </c>
      <c r="P60" s="18">
        <f>IFERROR(__xludf.DUMMYFUNCTION("""COMPUTED_VALUE"""),45197.0)</f>
        <v>45197</v>
      </c>
      <c r="Q60" s="18">
        <f>IFERROR(__xludf.DUMMYFUNCTION("""COMPUTED_VALUE"""),45108.0)</f>
        <v>45108</v>
      </c>
      <c r="R60" s="18">
        <f>IFERROR(__xludf.DUMMYFUNCTION("""COMPUTED_VALUE"""),45194.0)</f>
        <v>45194</v>
      </c>
      <c r="S60" s="16"/>
      <c r="T60" s="16"/>
      <c r="U60" s="16" t="str">
        <f>IFERROR(__xludf.DUMMYFUNCTION("""COMPUTED_VALUE"""),"English teacher in Cairo")</f>
        <v>English teacher in Cairo</v>
      </c>
      <c r="V60" s="16" t="str">
        <f>IFERROR(__xludf.DUMMYFUNCTION("""COMPUTED_VALUE"""),"ISTANBUL - BEYOGLU")</f>
        <v>ISTANBUL - BEYOGLU</v>
      </c>
      <c r="W60" s="16" t="str">
        <f>IFERROR(__xludf.DUMMYFUNCTION("""COMPUTED_VALUE"""),"2022-02-04T11:44:51Z")</f>
        <v>2022-02-04T11:44:51Z</v>
      </c>
      <c r="X60" s="16"/>
      <c r="Y60" s="16"/>
      <c r="Z60" s="16"/>
    </row>
    <row r="61">
      <c r="A61" s="16" t="str">
        <f>IFERROR(__xludf.DUMMYFUNCTION("""COMPUTED_VALUE"""),"4580350_1291167")</f>
        <v>4580350_1291167</v>
      </c>
      <c r="B61" s="16" t="str">
        <f>IFERROR(__xludf.DUMMYFUNCTION("""COMPUTED_VALUE"""),"Yasemin Buran")</f>
        <v>Yasemin Buran</v>
      </c>
      <c r="C61" s="16" t="str">
        <f>IFERROR(__xludf.DUMMYFUNCTION("""COMPUTED_VALUE"""),"completed")</f>
        <v>completed</v>
      </c>
      <c r="D61" s="16" t="str">
        <f>IFERROR(__xludf.DUMMYFUNCTION("""COMPUTED_VALUE"""),"No")</f>
        <v>No</v>
      </c>
      <c r="E61" s="16" t="str">
        <f>IFERROR(__xludf.DUMMYFUNCTION("""COMPUTED_VALUE"""),"p_7159375f0661f7486f585ebcd2754f410f83e32d@inbound.aiesec.org")</f>
        <v>p_7159375f0661f7486f585ebcd2754f410f83e32d@inbound.aiesec.org</v>
      </c>
      <c r="F61" s="16">
        <f>IFERROR(__xludf.DUMMYFUNCTION("""COMPUTED_VALUE"""),5.438241917E9)</f>
        <v>5438241917</v>
      </c>
      <c r="G61" s="16" t="str">
        <f>IFERROR(__xludf.DUMMYFUNCTION("""COMPUTED_VALUE"""),"Turkey")</f>
        <v>Turkey</v>
      </c>
      <c r="H61" s="16" t="str">
        <f>IFERROR(__xludf.DUMMYFUNCTION("""COMPUTED_VALUE"""),"ISTANBUL")</f>
        <v>ISTANBUL</v>
      </c>
      <c r="I61" s="16" t="str">
        <f>IFERROR(__xludf.DUMMYFUNCTION("""COMPUTED_VALUE"""),"Egypt")</f>
        <v>Egypt</v>
      </c>
      <c r="J61" s="16" t="str">
        <f>IFERROR(__xludf.DUMMYFUNCTION("""COMPUTED_VALUE"""),"GUC")</f>
        <v>GUC</v>
      </c>
      <c r="K61" s="17" t="str">
        <f>IFERROR(__xludf.DUMMYFUNCTION("""COMPUTED_VALUE"""),"https://expa.aiesec.org/opportunities/1291167")</f>
        <v>https://expa.aiesec.org/opportunities/1291167</v>
      </c>
      <c r="L61" s="16" t="str">
        <f>IFERROR(__xludf.DUMMYFUNCTION("""COMPUTED_VALUE"""),"GV")</f>
        <v>GV</v>
      </c>
      <c r="M61" s="16" t="str">
        <f>IFERROR(__xludf.DUMMYFUNCTION("""COMPUTED_VALUE"""),"short")</f>
        <v>short</v>
      </c>
      <c r="N61" s="18">
        <f>IFERROR(__xludf.DUMMYFUNCTION("""COMPUTED_VALUE"""),44995.0)</f>
        <v>44995</v>
      </c>
      <c r="O61" s="18">
        <f>IFERROR(__xludf.DUMMYFUNCTION("""COMPUTED_VALUE"""),45108.0)</f>
        <v>45108</v>
      </c>
      <c r="P61" s="18">
        <f>IFERROR(__xludf.DUMMYFUNCTION("""COMPUTED_VALUE"""),45150.0)</f>
        <v>45150</v>
      </c>
      <c r="Q61" s="18">
        <f>IFERROR(__xludf.DUMMYFUNCTION("""COMPUTED_VALUE"""),45107.0)</f>
        <v>45107</v>
      </c>
      <c r="R61" s="18">
        <f>IFERROR(__xludf.DUMMYFUNCTION("""COMPUTED_VALUE"""),45150.0)</f>
        <v>45150</v>
      </c>
      <c r="S61" s="16"/>
      <c r="T61" s="16"/>
      <c r="U61" s="16" t="str">
        <f>IFERROR(__xludf.DUMMYFUNCTION("""COMPUTED_VALUE"""),"Green Leaders")</f>
        <v>Green Leaders</v>
      </c>
      <c r="V61" s="16" t="str">
        <f>IFERROR(__xludf.DUMMYFUNCTION("""COMPUTED_VALUE"""),"ISTANBUL - BEYOGLU")</f>
        <v>ISTANBUL - BEYOGLU</v>
      </c>
      <c r="W61" s="16" t="str">
        <f>IFERROR(__xludf.DUMMYFUNCTION("""COMPUTED_VALUE"""),"2021-03-16T09:52:37Z")</f>
        <v>2021-03-16T09:52:37Z</v>
      </c>
      <c r="X61" s="16"/>
      <c r="Y61" s="16"/>
      <c r="Z61" s="16"/>
    </row>
    <row r="62">
      <c r="A62" s="16" t="str">
        <f>IFERROR(__xludf.DUMMYFUNCTION("""COMPUTED_VALUE"""),"5199480_1289213")</f>
        <v>5199480_1289213</v>
      </c>
      <c r="B62" s="16" t="str">
        <f>IFERROR(__xludf.DUMMYFUNCTION("""COMPUTED_VALUE"""),"ergin karatekin")</f>
        <v>ergin karatekin</v>
      </c>
      <c r="C62" s="16" t="str">
        <f>IFERROR(__xludf.DUMMYFUNCTION("""COMPUTED_VALUE"""),"approved")</f>
        <v>approved</v>
      </c>
      <c r="D62" s="16" t="str">
        <f>IFERROR(__xludf.DUMMYFUNCTION("""COMPUTED_VALUE"""),"No")</f>
        <v>No</v>
      </c>
      <c r="E62" s="16" t="str">
        <f>IFERROR(__xludf.DUMMYFUNCTION("""COMPUTED_VALUE"""),"p_2f609c5926465fba27ce4060fe6734a12b460bc3@inbound.aiesec.org")</f>
        <v>p_2f609c5926465fba27ce4060fe6734a12b460bc3@inbound.aiesec.org</v>
      </c>
      <c r="F62" s="16">
        <f>IFERROR(__xludf.DUMMYFUNCTION("""COMPUTED_VALUE"""),5.446180736E9)</f>
        <v>5446180736</v>
      </c>
      <c r="G62" s="16" t="str">
        <f>IFERROR(__xludf.DUMMYFUNCTION("""COMPUTED_VALUE"""),"Turkey")</f>
        <v>Turkey</v>
      </c>
      <c r="H62" s="16" t="str">
        <f>IFERROR(__xludf.DUMMYFUNCTION("""COMPUTED_VALUE"""),"ISTANBUL")</f>
        <v>ISTANBUL</v>
      </c>
      <c r="I62" s="16" t="str">
        <f>IFERROR(__xludf.DUMMYFUNCTION("""COMPUTED_VALUE"""),"India")</f>
        <v>India</v>
      </c>
      <c r="J62" s="16" t="str">
        <f>IFERROR(__xludf.DUMMYFUNCTION("""COMPUTED_VALUE"""),"VIT")</f>
        <v>VIT</v>
      </c>
      <c r="K62" s="17" t="str">
        <f>IFERROR(__xludf.DUMMYFUNCTION("""COMPUTED_VALUE"""),"https://expa.aiesec.org/opportunities/1289213")</f>
        <v>https://expa.aiesec.org/opportunities/1289213</v>
      </c>
      <c r="L62" s="16" t="str">
        <f>IFERROR(__xludf.DUMMYFUNCTION("""COMPUTED_VALUE"""),"GTa")</f>
        <v>GTa</v>
      </c>
      <c r="M62" s="16" t="str">
        <f>IFERROR(__xludf.DUMMYFUNCTION("""COMPUTED_VALUE"""),"short")</f>
        <v>short</v>
      </c>
      <c r="N62" s="18">
        <f>IFERROR(__xludf.DUMMYFUNCTION("""COMPUTED_VALUE"""),44997.0)</f>
        <v>44997</v>
      </c>
      <c r="O62" s="18">
        <f>IFERROR(__xludf.DUMMYFUNCTION("""COMPUTED_VALUE"""),45110.0)</f>
        <v>45110</v>
      </c>
      <c r="P62" s="18">
        <f>IFERROR(__xludf.DUMMYFUNCTION("""COMPUTED_VALUE"""),45165.0)</f>
        <v>45165</v>
      </c>
      <c r="Q62" s="18"/>
      <c r="R62" s="18"/>
      <c r="S62" s="16"/>
      <c r="T62" s="16" t="str">
        <f>IFERROR(__xludf.DUMMYFUNCTION("""COMPUTED_VALUE"""),"Engineering")</f>
        <v>Engineering</v>
      </c>
      <c r="U62" s="16" t="str">
        <f>IFERROR(__xludf.DUMMYFUNCTION("""COMPUTED_VALUE"""),"Research Intern |Nanobiotechnology and Biomaterials | In India     ")</f>
        <v>Research Intern |Nanobiotechnology and Biomaterials | In India     </v>
      </c>
      <c r="V62" s="16" t="str">
        <f>IFERROR(__xludf.DUMMYFUNCTION("""COMPUTED_VALUE"""),"ISTANBUL - BEYOGLU")</f>
        <v>ISTANBUL - BEYOGLU</v>
      </c>
      <c r="W62" s="16" t="str">
        <f>IFERROR(__xludf.DUMMYFUNCTION("""COMPUTED_VALUE"""),"2023-02-26T10:07:56Z")</f>
        <v>2023-02-26T10:07:56Z</v>
      </c>
      <c r="X62" s="16"/>
      <c r="Y62" s="16"/>
      <c r="Z62" s="16"/>
    </row>
    <row r="63">
      <c r="A63" s="16" t="str">
        <f>IFERROR(__xludf.DUMMYFUNCTION("""COMPUTED_VALUE"""),"5191285_1289255")</f>
        <v>5191285_1289255</v>
      </c>
      <c r="B63" s="16" t="str">
        <f>IFERROR(__xludf.DUMMYFUNCTION("""COMPUTED_VALUE"""),"Youssef Ben Amara")</f>
        <v>Youssef Ben Amara</v>
      </c>
      <c r="C63" s="16" t="str">
        <f>IFERROR(__xludf.DUMMYFUNCTION("""COMPUTED_VALUE"""),"realized")</f>
        <v>realized</v>
      </c>
      <c r="D63" s="16" t="str">
        <f>IFERROR(__xludf.DUMMYFUNCTION("""COMPUTED_VALUE"""),"No")</f>
        <v>No</v>
      </c>
      <c r="E63" s="16" t="str">
        <f>IFERROR(__xludf.DUMMYFUNCTION("""COMPUTED_VALUE"""),"p_e6840ee6dac68a11f971d64113e73730371c7160@inbound.aiesec.org")</f>
        <v>p_e6840ee6dac68a11f971d64113e73730371c7160@inbound.aiesec.org</v>
      </c>
      <c r="F63" s="16">
        <f>IFERROR(__xludf.DUMMYFUNCTION("""COMPUTED_VALUE"""),5.0463944E7)</f>
        <v>50463944</v>
      </c>
      <c r="G63" s="16" t="str">
        <f>IFERROR(__xludf.DUMMYFUNCTION("""COMPUTED_VALUE"""),"Tunisia")</f>
        <v>Tunisia</v>
      </c>
      <c r="H63" s="16" t="str">
        <f>IFERROR(__xludf.DUMMYFUNCTION("""COMPUTED_VALUE"""),"Carthage")</f>
        <v>Carthage</v>
      </c>
      <c r="I63" s="16" t="str">
        <f>IFERROR(__xludf.DUMMYFUNCTION("""COMPUTED_VALUE"""),"Turkey")</f>
        <v>Turkey</v>
      </c>
      <c r="J63" s="16" t="str">
        <f>IFERROR(__xludf.DUMMYFUNCTION("""COMPUTED_VALUE"""),"ISTANBUL")</f>
        <v>ISTANBUL</v>
      </c>
      <c r="K63" s="17" t="str">
        <f>IFERROR(__xludf.DUMMYFUNCTION("""COMPUTED_VALUE"""),"https://expa.aiesec.org/opportunities/1289255")</f>
        <v>https://expa.aiesec.org/opportunities/1289255</v>
      </c>
      <c r="L63" s="16" t="str">
        <f>IFERROR(__xludf.DUMMYFUNCTION("""COMPUTED_VALUE"""),"GTa")</f>
        <v>GTa</v>
      </c>
      <c r="M63" s="16" t="str">
        <f>IFERROR(__xludf.DUMMYFUNCTION("""COMPUTED_VALUE"""),"long")</f>
        <v>long</v>
      </c>
      <c r="N63" s="18">
        <f>IFERROR(__xludf.DUMMYFUNCTION("""COMPUTED_VALUE"""),44999.0)</f>
        <v>44999</v>
      </c>
      <c r="O63" s="18">
        <f>IFERROR(__xludf.DUMMYFUNCTION("""COMPUTED_VALUE"""),45005.0)</f>
        <v>45005</v>
      </c>
      <c r="P63" s="18">
        <f>IFERROR(__xludf.DUMMYFUNCTION("""COMPUTED_VALUE"""),45548.0)</f>
        <v>45548</v>
      </c>
      <c r="Q63" s="18">
        <f>IFERROR(__xludf.DUMMYFUNCTION("""COMPUTED_VALUE"""),45075.0)</f>
        <v>45075</v>
      </c>
      <c r="R63" s="18">
        <f>IFERROR(__xludf.DUMMYFUNCTION("""COMPUTED_VALUE"""),45625.0)</f>
        <v>45625</v>
      </c>
      <c r="S63" s="16"/>
      <c r="T63" s="16" t="str">
        <f>IFERROR(__xludf.DUMMYFUNCTION("""COMPUTED_VALUE"""),"Business Administration")</f>
        <v>Business Administration</v>
      </c>
      <c r="U63" s="16" t="str">
        <f>IFERROR(__xludf.DUMMYFUNCTION("""COMPUTED_VALUE"""),"Telesales Specialist in Istanbul (French Speaker)")</f>
        <v>Telesales Specialist in Istanbul (French Speaker)</v>
      </c>
      <c r="V63" s="16" t="str">
        <f>IFERROR(__xludf.DUMMYFUNCTION("""COMPUTED_VALUE"""),"EBS : ESPIMA")</f>
        <v>EBS : ESPIMA</v>
      </c>
      <c r="W63" s="16" t="str">
        <f>IFERROR(__xludf.DUMMYFUNCTION("""COMPUTED_VALUE"""),"2023-02-15T12:20:41Z")</f>
        <v>2023-02-15T12:20:41Z</v>
      </c>
      <c r="X63" s="16"/>
      <c r="Y63" s="16"/>
      <c r="Z63" s="16"/>
    </row>
    <row r="64">
      <c r="A64" s="16" t="str">
        <f>IFERROR(__xludf.DUMMYFUNCTION("""COMPUTED_VALUE"""),"5051011_1290759")</f>
        <v>5051011_1290759</v>
      </c>
      <c r="B64" s="16" t="str">
        <f>IFERROR(__xludf.DUMMYFUNCTION("""COMPUTED_VALUE"""),"Melisa Gulbas")</f>
        <v>Melisa Gulbas</v>
      </c>
      <c r="C64" s="16" t="str">
        <f>IFERROR(__xludf.DUMMYFUNCTION("""COMPUTED_VALUE"""),"approved")</f>
        <v>approved</v>
      </c>
      <c r="D64" s="16" t="str">
        <f>IFERROR(__xludf.DUMMYFUNCTION("""COMPUTED_VALUE"""),"No")</f>
        <v>No</v>
      </c>
      <c r="E64" s="16" t="str">
        <f>IFERROR(__xludf.DUMMYFUNCTION("""COMPUTED_VALUE"""),"p_3ea5ce19b063765f0fc21b961dface1628944c1a@inbound.aiesec.org")</f>
        <v>p_3ea5ce19b063765f0fc21b961dface1628944c1a@inbound.aiesec.org</v>
      </c>
      <c r="F64" s="16">
        <f>IFERROR(__xludf.DUMMYFUNCTION("""COMPUTED_VALUE"""),5.44259088E9)</f>
        <v>5442590880</v>
      </c>
      <c r="G64" s="16" t="str">
        <f>IFERROR(__xludf.DUMMYFUNCTION("""COMPUTED_VALUE"""),"Turkey")</f>
        <v>Turkey</v>
      </c>
      <c r="H64" s="16" t="str">
        <f>IFERROR(__xludf.DUMMYFUNCTION("""COMPUTED_VALUE"""),"ISTANBUL")</f>
        <v>ISTANBUL</v>
      </c>
      <c r="I64" s="16" t="str">
        <f>IFERROR(__xludf.DUMMYFUNCTION("""COMPUTED_VALUE"""),"Egypt")</f>
        <v>Egypt</v>
      </c>
      <c r="J64" s="16" t="str">
        <f>IFERROR(__xludf.DUMMYFUNCTION("""COMPUTED_VALUE"""),"AAST In CAIRO")</f>
        <v>AAST In CAIRO</v>
      </c>
      <c r="K64" s="17" t="str">
        <f>IFERROR(__xludf.DUMMYFUNCTION("""COMPUTED_VALUE"""),"https://expa.aiesec.org/opportunities/1290759")</f>
        <v>https://expa.aiesec.org/opportunities/1290759</v>
      </c>
      <c r="L64" s="16" t="str">
        <f>IFERROR(__xludf.DUMMYFUNCTION("""COMPUTED_VALUE"""),"GTe")</f>
        <v>GTe</v>
      </c>
      <c r="M64" s="16" t="str">
        <f>IFERROR(__xludf.DUMMYFUNCTION("""COMPUTED_VALUE"""),"short")</f>
        <v>short</v>
      </c>
      <c r="N64" s="18">
        <f>IFERROR(__xludf.DUMMYFUNCTION("""COMPUTED_VALUE"""),44999.0)</f>
        <v>44999</v>
      </c>
      <c r="O64" s="18">
        <f>IFERROR(__xludf.DUMMYFUNCTION("""COMPUTED_VALUE"""),45078.0)</f>
        <v>45078</v>
      </c>
      <c r="P64" s="18">
        <f>IFERROR(__xludf.DUMMYFUNCTION("""COMPUTED_VALUE"""),45161.0)</f>
        <v>45161</v>
      </c>
      <c r="Q64" s="18"/>
      <c r="R64" s="18"/>
      <c r="S64" s="16"/>
      <c r="T64" s="16"/>
      <c r="U64" s="16" t="str">
        <f>IFERROR(__xludf.DUMMYFUNCTION("""COMPUTED_VALUE"""),"English teacher in Cairo")</f>
        <v>English teacher in Cairo</v>
      </c>
      <c r="V64" s="16" t="str">
        <f>IFERROR(__xludf.DUMMYFUNCTION("""COMPUTED_VALUE"""),"ISTANBUL - BEYOGLU")</f>
        <v>ISTANBUL - BEYOGLU</v>
      </c>
      <c r="W64" s="16" t="str">
        <f>IFERROR(__xludf.DUMMYFUNCTION("""COMPUTED_VALUE"""),"2022-05-04T15:13:31Z")</f>
        <v>2022-05-04T15:13:31Z</v>
      </c>
      <c r="X64" s="16"/>
      <c r="Y64" s="16"/>
      <c r="Z64" s="16"/>
    </row>
    <row r="65">
      <c r="A65" s="16" t="str">
        <f>IFERROR(__xludf.DUMMYFUNCTION("""COMPUTED_VALUE"""),"5207555_1285687")</f>
        <v>5207555_1285687</v>
      </c>
      <c r="B65" s="16" t="str">
        <f>IFERROR(__xludf.DUMMYFUNCTION("""COMPUTED_VALUE"""),"Arina Pluzhnykova")</f>
        <v>Arina Pluzhnykova</v>
      </c>
      <c r="C65" s="16" t="str">
        <f>IFERROR(__xludf.DUMMYFUNCTION("""COMPUTED_VALUE"""),"approved")</f>
        <v>approved</v>
      </c>
      <c r="D65" s="16" t="str">
        <f>IFERROR(__xludf.DUMMYFUNCTION("""COMPUTED_VALUE"""),"No")</f>
        <v>No</v>
      </c>
      <c r="E65" s="16" t="str">
        <f>IFERROR(__xludf.DUMMYFUNCTION("""COMPUTED_VALUE"""),"p_724e4f89f21b1616967de58b88159d5ebf219ea3@inbound.aiesec.org")</f>
        <v>p_724e4f89f21b1616967de58b88159d5ebf219ea3@inbound.aiesec.org</v>
      </c>
      <c r="F65" s="16">
        <f>IFERROR(__xludf.DUMMYFUNCTION("""COMPUTED_VALUE"""),9.97318012E8)</f>
        <v>997318012</v>
      </c>
      <c r="G65" s="16" t="str">
        <f>IFERROR(__xludf.DUMMYFUNCTION("""COMPUTED_VALUE"""),"Ukraine")</f>
        <v>Ukraine</v>
      </c>
      <c r="H65" s="16" t="str">
        <f>IFERROR(__xludf.DUMMYFUNCTION("""COMPUTED_VALUE"""),"KHARKIV")</f>
        <v>KHARKIV</v>
      </c>
      <c r="I65" s="16" t="str">
        <f>IFERROR(__xludf.DUMMYFUNCTION("""COMPUTED_VALUE"""),"Turkey")</f>
        <v>Turkey</v>
      </c>
      <c r="J65" s="16" t="str">
        <f>IFERROR(__xludf.DUMMYFUNCTION("""COMPUTED_VALUE"""),"ISTANBUL")</f>
        <v>ISTANBUL</v>
      </c>
      <c r="K65" s="17" t="str">
        <f>IFERROR(__xludf.DUMMYFUNCTION("""COMPUTED_VALUE"""),"https://expa.aiesec.org/opportunities/1285687")</f>
        <v>https://expa.aiesec.org/opportunities/1285687</v>
      </c>
      <c r="L65" s="16" t="str">
        <f>IFERROR(__xludf.DUMMYFUNCTION("""COMPUTED_VALUE"""),"GV")</f>
        <v>GV</v>
      </c>
      <c r="M65" s="16" t="str">
        <f>IFERROR(__xludf.DUMMYFUNCTION("""COMPUTED_VALUE"""),"short")</f>
        <v>short</v>
      </c>
      <c r="N65" s="18">
        <f>IFERROR(__xludf.DUMMYFUNCTION("""COMPUTED_VALUE"""),45000.0)</f>
        <v>45000</v>
      </c>
      <c r="O65" s="18">
        <f>IFERROR(__xludf.DUMMYFUNCTION("""COMPUTED_VALUE"""),45058.0)</f>
        <v>45058</v>
      </c>
      <c r="P65" s="18">
        <f>IFERROR(__xludf.DUMMYFUNCTION("""COMPUTED_VALUE"""),45100.0)</f>
        <v>45100</v>
      </c>
      <c r="Q65" s="18"/>
      <c r="R65" s="18"/>
      <c r="S65" s="16"/>
      <c r="T65" s="16"/>
      <c r="U65" s="16" t="str">
        <f>IFERROR(__xludf.DUMMYFUNCTION("""COMPUTED_VALUE"""),"Youth 4 Impact")</f>
        <v>Youth 4 Impact</v>
      </c>
      <c r="V65" s="16" t="str">
        <f>IFERROR(__xludf.DUMMYFUNCTION("""COMPUTED_VALUE"""),"Kharkiv")</f>
        <v>Kharkiv</v>
      </c>
      <c r="W65" s="16" t="str">
        <f>IFERROR(__xludf.DUMMYFUNCTION("""COMPUTED_VALUE"""),"2023-03-06T15:04:09Z")</f>
        <v>2023-03-06T15:04:09Z</v>
      </c>
      <c r="X65" s="16"/>
      <c r="Y65" s="16"/>
      <c r="Z65" s="16"/>
    </row>
    <row r="66">
      <c r="A66" s="16" t="str">
        <f>IFERROR(__xludf.DUMMYFUNCTION("""COMPUTED_VALUE"""),"5218470_1281235")</f>
        <v>5218470_1281235</v>
      </c>
      <c r="B66" s="16" t="str">
        <f>IFERROR(__xludf.DUMMYFUNCTION("""COMPUTED_VALUE"""),"Ezgi Alıç")</f>
        <v>Ezgi Alıç</v>
      </c>
      <c r="C66" s="16" t="str">
        <f>IFERROR(__xludf.DUMMYFUNCTION("""COMPUTED_VALUE"""),"approved")</f>
        <v>approved</v>
      </c>
      <c r="D66" s="16" t="str">
        <f>IFERROR(__xludf.DUMMYFUNCTION("""COMPUTED_VALUE"""),"No")</f>
        <v>No</v>
      </c>
      <c r="E66" s="16" t="str">
        <f>IFERROR(__xludf.DUMMYFUNCTION("""COMPUTED_VALUE"""),"p_2e9eaed2b4a771daefc071bd7dba0ce3591af629@inbound.aiesec.org")</f>
        <v>p_2e9eaed2b4a771daefc071bd7dba0ce3591af629@inbound.aiesec.org</v>
      </c>
      <c r="F66" s="16">
        <f>IFERROR(__xludf.DUMMYFUNCTION("""COMPUTED_VALUE"""),5.333855817E9)</f>
        <v>5333855817</v>
      </c>
      <c r="G66" s="16" t="str">
        <f>IFERROR(__xludf.DUMMYFUNCTION("""COMPUTED_VALUE"""),"Turkey")</f>
        <v>Turkey</v>
      </c>
      <c r="H66" s="16" t="str">
        <f>IFERROR(__xludf.DUMMYFUNCTION("""COMPUTED_VALUE"""),"ISTANBUL")</f>
        <v>ISTANBUL</v>
      </c>
      <c r="I66" s="16" t="str">
        <f>IFERROR(__xludf.DUMMYFUNCTION("""COMPUTED_VALUE"""),"India")</f>
        <v>India</v>
      </c>
      <c r="J66" s="16" t="str">
        <f>IFERROR(__xludf.DUMMYFUNCTION("""COMPUTED_VALUE"""),"Dehradun")</f>
        <v>Dehradun</v>
      </c>
      <c r="K66" s="17" t="str">
        <f>IFERROR(__xludf.DUMMYFUNCTION("""COMPUTED_VALUE"""),"https://expa.aiesec.org/opportunities/1281235")</f>
        <v>https://expa.aiesec.org/opportunities/1281235</v>
      </c>
      <c r="L66" s="16" t="str">
        <f>IFERROR(__xludf.DUMMYFUNCTION("""COMPUTED_VALUE"""),"GV")</f>
        <v>GV</v>
      </c>
      <c r="M66" s="16" t="str">
        <f>IFERROR(__xludf.DUMMYFUNCTION("""COMPUTED_VALUE"""),"short")</f>
        <v>short</v>
      </c>
      <c r="N66" s="18">
        <f>IFERROR(__xludf.DUMMYFUNCTION("""COMPUTED_VALUE"""),45001.0)</f>
        <v>45001</v>
      </c>
      <c r="O66" s="18">
        <f>IFERROR(__xludf.DUMMYFUNCTION("""COMPUTED_VALUE"""),45122.0)</f>
        <v>45122</v>
      </c>
      <c r="P66" s="18">
        <f>IFERROR(__xludf.DUMMYFUNCTION("""COMPUTED_VALUE"""),45164.0)</f>
        <v>45164</v>
      </c>
      <c r="Q66" s="18"/>
      <c r="R66" s="18"/>
      <c r="S66" s="16"/>
      <c r="T66" s="16"/>
      <c r="U66" s="16" t="str">
        <f>IFERROR(__xludf.DUMMYFUNCTION("""COMPUTED_VALUE"""),"Skill Up!")</f>
        <v>Skill Up!</v>
      </c>
      <c r="V66" s="16" t="str">
        <f>IFERROR(__xludf.DUMMYFUNCTION("""COMPUTED_VALUE"""),"ISTANBUL - BEYOGLU")</f>
        <v>ISTANBUL - BEYOGLU</v>
      </c>
      <c r="W66" s="16" t="str">
        <f>IFERROR(__xludf.DUMMYFUNCTION("""COMPUTED_VALUE"""),"2023-03-16T13:20:06Z")</f>
        <v>2023-03-16T13:20:06Z</v>
      </c>
      <c r="X66" s="16"/>
      <c r="Y66" s="16"/>
      <c r="Z66" s="16"/>
    </row>
    <row r="67">
      <c r="A67" s="16" t="str">
        <f>IFERROR(__xludf.DUMMYFUNCTION("""COMPUTED_VALUE"""),"2328432_1289536")</f>
        <v>2328432_1289536</v>
      </c>
      <c r="B67" s="16" t="str">
        <f>IFERROR(__xludf.DUMMYFUNCTION("""COMPUTED_VALUE"""),"Anderson Menezes")</f>
        <v>Anderson Menezes</v>
      </c>
      <c r="C67" s="16" t="str">
        <f>IFERROR(__xludf.DUMMYFUNCTION("""COMPUTED_VALUE"""),"approved")</f>
        <v>approved</v>
      </c>
      <c r="D67" s="16" t="str">
        <f>IFERROR(__xludf.DUMMYFUNCTION("""COMPUTED_VALUE"""),"No")</f>
        <v>No</v>
      </c>
      <c r="E67" s="16" t="str">
        <f>IFERROR(__xludf.DUMMYFUNCTION("""COMPUTED_VALUE"""),"p_3f4116c23fc64662b2853f9ab581679689aee373@inbound.aiesec.org")</f>
        <v>p_3f4116c23fc64662b2853f9ab581679689aee373@inbound.aiesec.org</v>
      </c>
      <c r="F67" s="16">
        <f>IFERROR(__xludf.DUMMYFUNCTION("""COMPUTED_VALUE"""),9.88028665E8)</f>
        <v>988028665</v>
      </c>
      <c r="G67" s="16" t="str">
        <f>IFERROR(__xludf.DUMMYFUNCTION("""COMPUTED_VALUE"""),"Brazil")</f>
        <v>Brazil</v>
      </c>
      <c r="H67" s="16" t="str">
        <f>IFERROR(__xludf.DUMMYFUNCTION("""COMPUTED_VALUE"""),"SALVADOR")</f>
        <v>SALVADOR</v>
      </c>
      <c r="I67" s="16" t="str">
        <f>IFERROR(__xludf.DUMMYFUNCTION("""COMPUTED_VALUE"""),"Turkey")</f>
        <v>Turkey</v>
      </c>
      <c r="J67" s="16" t="str">
        <f>IFERROR(__xludf.DUMMYFUNCTION("""COMPUTED_VALUE"""),"ISTANBUL")</f>
        <v>ISTANBUL</v>
      </c>
      <c r="K67" s="17" t="str">
        <f>IFERROR(__xludf.DUMMYFUNCTION("""COMPUTED_VALUE"""),"https://expa.aiesec.org/opportunities/1289536")</f>
        <v>https://expa.aiesec.org/opportunities/1289536</v>
      </c>
      <c r="L67" s="16" t="str">
        <f>IFERROR(__xludf.DUMMYFUNCTION("""COMPUTED_VALUE"""),"GV")</f>
        <v>GV</v>
      </c>
      <c r="M67" s="16" t="str">
        <f>IFERROR(__xludf.DUMMYFUNCTION("""COMPUTED_VALUE"""),"short")</f>
        <v>short</v>
      </c>
      <c r="N67" s="18">
        <f>IFERROR(__xludf.DUMMYFUNCTION("""COMPUTED_VALUE"""),45001.0)</f>
        <v>45001</v>
      </c>
      <c r="O67" s="18">
        <f>IFERROR(__xludf.DUMMYFUNCTION("""COMPUTED_VALUE"""),45335.0)</f>
        <v>45335</v>
      </c>
      <c r="P67" s="18">
        <f>IFERROR(__xludf.DUMMYFUNCTION("""COMPUTED_VALUE"""),45377.0)</f>
        <v>45377</v>
      </c>
      <c r="Q67" s="18"/>
      <c r="R67" s="18"/>
      <c r="S67" s="16"/>
      <c r="T67" s="16"/>
      <c r="U67" s="16" t="str">
        <f>IFERROR(__xludf.DUMMYFUNCTION("""COMPUTED_VALUE"""),"Global Classroom")</f>
        <v>Global Classroom</v>
      </c>
      <c r="V67" s="16" t="str">
        <f>IFERROR(__xludf.DUMMYFUNCTION("""COMPUTED_VALUE"""),"-")</f>
        <v>-</v>
      </c>
      <c r="W67" s="16" t="str">
        <f>IFERROR(__xludf.DUMMYFUNCTION("""COMPUTED_VALUE"""),"2018-05-26T18:54:30Z")</f>
        <v>2018-05-26T18:54:30Z</v>
      </c>
      <c r="X67" s="16"/>
      <c r="Y67" s="16"/>
      <c r="Z67" s="16"/>
    </row>
    <row r="68">
      <c r="A68" s="16" t="str">
        <f>IFERROR(__xludf.DUMMYFUNCTION("""COMPUTED_VALUE"""),"5217398_1291168")</f>
        <v>5217398_1291168</v>
      </c>
      <c r="B68" s="16" t="str">
        <f>IFERROR(__xludf.DUMMYFUNCTION("""COMPUTED_VALUE"""),"Ufuk Açıkgöz")</f>
        <v>Ufuk Açıkgöz</v>
      </c>
      <c r="C68" s="16" t="str">
        <f>IFERROR(__xludf.DUMMYFUNCTION("""COMPUTED_VALUE"""),"completed")</f>
        <v>completed</v>
      </c>
      <c r="D68" s="16" t="str">
        <f>IFERROR(__xludf.DUMMYFUNCTION("""COMPUTED_VALUE"""),"No")</f>
        <v>No</v>
      </c>
      <c r="E68" s="16" t="str">
        <f>IFERROR(__xludf.DUMMYFUNCTION("""COMPUTED_VALUE"""),"p_06f3096a6433d4b730d0108f7e93140337b2a00f@inbound.aiesec.org")</f>
        <v>p_06f3096a6433d4b730d0108f7e93140337b2a00f@inbound.aiesec.org</v>
      </c>
      <c r="F68" s="16">
        <f>IFERROR(__xludf.DUMMYFUNCTION("""COMPUTED_VALUE"""),5.366236968E9)</f>
        <v>5366236968</v>
      </c>
      <c r="G68" s="16" t="str">
        <f>IFERROR(__xludf.DUMMYFUNCTION("""COMPUTED_VALUE"""),"Turkey")</f>
        <v>Turkey</v>
      </c>
      <c r="H68" s="16" t="str">
        <f>IFERROR(__xludf.DUMMYFUNCTION("""COMPUTED_VALUE"""),"ISTANBUL")</f>
        <v>ISTANBUL</v>
      </c>
      <c r="I68" s="16" t="str">
        <f>IFERROR(__xludf.DUMMYFUNCTION("""COMPUTED_VALUE"""),"Egypt")</f>
        <v>Egypt</v>
      </c>
      <c r="J68" s="16" t="str">
        <f>IFERROR(__xludf.DUMMYFUNCTION("""COMPUTED_VALUE"""),"GUC")</f>
        <v>GUC</v>
      </c>
      <c r="K68" s="17" t="str">
        <f>IFERROR(__xludf.DUMMYFUNCTION("""COMPUTED_VALUE"""),"https://expa.aiesec.org/opportunities/1291168")</f>
        <v>https://expa.aiesec.org/opportunities/1291168</v>
      </c>
      <c r="L68" s="16" t="str">
        <f>IFERROR(__xludf.DUMMYFUNCTION("""COMPUTED_VALUE"""),"GV")</f>
        <v>GV</v>
      </c>
      <c r="M68" s="16" t="str">
        <f>IFERROR(__xludf.DUMMYFUNCTION("""COMPUTED_VALUE"""),"short")</f>
        <v>short</v>
      </c>
      <c r="N68" s="18">
        <f>IFERROR(__xludf.DUMMYFUNCTION("""COMPUTED_VALUE"""),45002.0)</f>
        <v>45002</v>
      </c>
      <c r="O68" s="18">
        <f>IFERROR(__xludf.DUMMYFUNCTION("""COMPUTED_VALUE"""),45153.0)</f>
        <v>45153</v>
      </c>
      <c r="P68" s="18">
        <f>IFERROR(__xludf.DUMMYFUNCTION("""COMPUTED_VALUE"""),45195.0)</f>
        <v>45195</v>
      </c>
      <c r="Q68" s="18">
        <f>IFERROR(__xludf.DUMMYFUNCTION("""COMPUTED_VALUE"""),45154.0)</f>
        <v>45154</v>
      </c>
      <c r="R68" s="18">
        <f>IFERROR(__xludf.DUMMYFUNCTION("""COMPUTED_VALUE"""),45195.0)</f>
        <v>45195</v>
      </c>
      <c r="S68" s="16"/>
      <c r="T68" s="16"/>
      <c r="U68" s="16" t="str">
        <f>IFERROR(__xludf.DUMMYFUNCTION("""COMPUTED_VALUE"""),"Green Leaders")</f>
        <v>Green Leaders</v>
      </c>
      <c r="V68" s="16" t="str">
        <f>IFERROR(__xludf.DUMMYFUNCTION("""COMPUTED_VALUE"""),"ISTANBUL - BEYOGLU")</f>
        <v>ISTANBUL - BEYOGLU</v>
      </c>
      <c r="W68" s="16" t="str">
        <f>IFERROR(__xludf.DUMMYFUNCTION("""COMPUTED_VALUE"""),"2023-03-15T13:40:30Z")</f>
        <v>2023-03-15T13:40:30Z</v>
      </c>
      <c r="X68" s="16"/>
      <c r="Y68" s="16"/>
      <c r="Z68" s="16"/>
    </row>
    <row r="69">
      <c r="A69" s="16" t="str">
        <f>IFERROR(__xludf.DUMMYFUNCTION("""COMPUTED_VALUE"""),"5216293_1293298")</f>
        <v>5216293_1293298</v>
      </c>
      <c r="B69" s="16" t="str">
        <f>IFERROR(__xludf.DUMMYFUNCTION("""COMPUTED_VALUE"""),"Esma Gül")</f>
        <v>Esma Gül</v>
      </c>
      <c r="C69" s="16" t="str">
        <f>IFERROR(__xludf.DUMMYFUNCTION("""COMPUTED_VALUE"""),"completed")</f>
        <v>completed</v>
      </c>
      <c r="D69" s="16" t="str">
        <f>IFERROR(__xludf.DUMMYFUNCTION("""COMPUTED_VALUE"""),"No")</f>
        <v>No</v>
      </c>
      <c r="E69" s="16" t="str">
        <f>IFERROR(__xludf.DUMMYFUNCTION("""COMPUTED_VALUE"""),"p_5eb6a47659ad6a1d5caeed50e338fc3b6b4eeb30@inbound.aiesec.org")</f>
        <v>p_5eb6a47659ad6a1d5caeed50e338fc3b6b4eeb30@inbound.aiesec.org</v>
      </c>
      <c r="F69" s="16"/>
      <c r="G69" s="16" t="str">
        <f>IFERROR(__xludf.DUMMYFUNCTION("""COMPUTED_VALUE"""),"Turkey")</f>
        <v>Turkey</v>
      </c>
      <c r="H69" s="16" t="str">
        <f>IFERROR(__xludf.DUMMYFUNCTION("""COMPUTED_VALUE"""),"ISTANBUL")</f>
        <v>ISTANBUL</v>
      </c>
      <c r="I69" s="16" t="str">
        <f>IFERROR(__xludf.DUMMYFUNCTION("""COMPUTED_VALUE"""),"Romania")</f>
        <v>Romania</v>
      </c>
      <c r="J69" s="16" t="str">
        <f>IFERROR(__xludf.DUMMYFUNCTION("""COMPUTED_VALUE"""),"SIBIU")</f>
        <v>SIBIU</v>
      </c>
      <c r="K69" s="17" t="str">
        <f>IFERROR(__xludf.DUMMYFUNCTION("""COMPUTED_VALUE"""),"https://expa.aiesec.org/opportunities/1293298")</f>
        <v>https://expa.aiesec.org/opportunities/1293298</v>
      </c>
      <c r="L69" s="16" t="str">
        <f>IFERROR(__xludf.DUMMYFUNCTION("""COMPUTED_VALUE"""),"GV")</f>
        <v>GV</v>
      </c>
      <c r="M69" s="16" t="str">
        <f>IFERROR(__xludf.DUMMYFUNCTION("""COMPUTED_VALUE"""),"short")</f>
        <v>short</v>
      </c>
      <c r="N69" s="18">
        <f>IFERROR(__xludf.DUMMYFUNCTION("""COMPUTED_VALUE"""),45002.0)</f>
        <v>45002</v>
      </c>
      <c r="O69" s="18">
        <f>IFERROR(__xludf.DUMMYFUNCTION("""COMPUTED_VALUE"""),45103.0)</f>
        <v>45103</v>
      </c>
      <c r="P69" s="18">
        <f>IFERROR(__xludf.DUMMYFUNCTION("""COMPUTED_VALUE"""),45145.0)</f>
        <v>45145</v>
      </c>
      <c r="Q69" s="18">
        <f>IFERROR(__xludf.DUMMYFUNCTION("""COMPUTED_VALUE"""),45103.0)</f>
        <v>45103</v>
      </c>
      <c r="R69" s="18">
        <f>IFERROR(__xludf.DUMMYFUNCTION("""COMPUTED_VALUE"""),45145.0)</f>
        <v>45145</v>
      </c>
      <c r="S69" s="16"/>
      <c r="T69" s="16"/>
      <c r="U69" s="16" t="str">
        <f>IFERROR(__xludf.DUMMYFUNCTION("""COMPUTED_VALUE"""),"Youth 4 Impact")</f>
        <v>Youth 4 Impact</v>
      </c>
      <c r="V69" s="16" t="str">
        <f>IFERROR(__xludf.DUMMYFUNCTION("""COMPUTED_VALUE"""),"-")</f>
        <v>-</v>
      </c>
      <c r="W69" s="16" t="str">
        <f>IFERROR(__xludf.DUMMYFUNCTION("""COMPUTED_VALUE"""),"2023-03-14T17:42:42Z")</f>
        <v>2023-03-14T17:42:42Z</v>
      </c>
      <c r="X69" s="16"/>
      <c r="Y69" s="16"/>
      <c r="Z69" s="16"/>
    </row>
    <row r="70">
      <c r="A70" s="16" t="str">
        <f>IFERROR(__xludf.DUMMYFUNCTION("""COMPUTED_VALUE"""),"5043840_1293312")</f>
        <v>5043840_1293312</v>
      </c>
      <c r="B70" s="16" t="str">
        <f>IFERROR(__xludf.DUMMYFUNCTION("""COMPUTED_VALUE"""),"İdil Yenigün")</f>
        <v>İdil Yenigün</v>
      </c>
      <c r="C70" s="16" t="str">
        <f>IFERROR(__xludf.DUMMYFUNCTION("""COMPUTED_VALUE"""),"completed")</f>
        <v>completed</v>
      </c>
      <c r="D70" s="16" t="str">
        <f>IFERROR(__xludf.DUMMYFUNCTION("""COMPUTED_VALUE"""),"No")</f>
        <v>No</v>
      </c>
      <c r="E70" s="16" t="str">
        <f>IFERROR(__xludf.DUMMYFUNCTION("""COMPUTED_VALUE"""),"p_7e44e267b5b00a0269eac4880cebc8a81d0aab64@inbound.aiesec.org")</f>
        <v>p_7e44e267b5b00a0269eac4880cebc8a81d0aab64@inbound.aiesec.org</v>
      </c>
      <c r="F70" s="16">
        <f>IFERROR(__xludf.DUMMYFUNCTION("""COMPUTED_VALUE"""),5.379250024E9)</f>
        <v>5379250024</v>
      </c>
      <c r="G70" s="16" t="str">
        <f>IFERROR(__xludf.DUMMYFUNCTION("""COMPUTED_VALUE"""),"Turkey")</f>
        <v>Turkey</v>
      </c>
      <c r="H70" s="16" t="str">
        <f>IFERROR(__xludf.DUMMYFUNCTION("""COMPUTED_VALUE"""),"ISTANBUL")</f>
        <v>ISTANBUL</v>
      </c>
      <c r="I70" s="16" t="str">
        <f>IFERROR(__xludf.DUMMYFUNCTION("""COMPUTED_VALUE"""),"Romania")</f>
        <v>Romania</v>
      </c>
      <c r="J70" s="16" t="str">
        <f>IFERROR(__xludf.DUMMYFUNCTION("""COMPUTED_VALUE"""),"SIBIU")</f>
        <v>SIBIU</v>
      </c>
      <c r="K70" s="17" t="str">
        <f>IFERROR(__xludf.DUMMYFUNCTION("""COMPUTED_VALUE"""),"https://expa.aiesec.org/opportunities/1293312")</f>
        <v>https://expa.aiesec.org/opportunities/1293312</v>
      </c>
      <c r="L70" s="16" t="str">
        <f>IFERROR(__xludf.DUMMYFUNCTION("""COMPUTED_VALUE"""),"GV")</f>
        <v>GV</v>
      </c>
      <c r="M70" s="16" t="str">
        <f>IFERROR(__xludf.DUMMYFUNCTION("""COMPUTED_VALUE"""),"short")</f>
        <v>short</v>
      </c>
      <c r="N70" s="18">
        <f>IFERROR(__xludf.DUMMYFUNCTION("""COMPUTED_VALUE"""),45003.0)</f>
        <v>45003</v>
      </c>
      <c r="O70" s="18">
        <f>IFERROR(__xludf.DUMMYFUNCTION("""COMPUTED_VALUE"""),45103.0)</f>
        <v>45103</v>
      </c>
      <c r="P70" s="18">
        <f>IFERROR(__xludf.DUMMYFUNCTION("""COMPUTED_VALUE"""),45145.0)</f>
        <v>45145</v>
      </c>
      <c r="Q70" s="18">
        <f>IFERROR(__xludf.DUMMYFUNCTION("""COMPUTED_VALUE"""),45103.0)</f>
        <v>45103</v>
      </c>
      <c r="R70" s="18">
        <f>IFERROR(__xludf.DUMMYFUNCTION("""COMPUTED_VALUE"""),45145.0)</f>
        <v>45145</v>
      </c>
      <c r="S70" s="16"/>
      <c r="T70" s="16"/>
      <c r="U70" s="16" t="str">
        <f>IFERROR(__xludf.DUMMYFUNCTION("""COMPUTED_VALUE"""),"Youth 4 Impact")</f>
        <v>Youth 4 Impact</v>
      </c>
      <c r="V70" s="16" t="str">
        <f>IFERROR(__xludf.DUMMYFUNCTION("""COMPUTED_VALUE"""),"ISTANBUL ASIA")</f>
        <v>ISTANBUL ASIA</v>
      </c>
      <c r="W70" s="16" t="str">
        <f>IFERROR(__xludf.DUMMYFUNCTION("""COMPUTED_VALUE"""),"2022-04-22T11:47:27Z")</f>
        <v>2022-04-22T11:47:27Z</v>
      </c>
      <c r="X70" s="16"/>
      <c r="Y70" s="16"/>
      <c r="Z70" s="16"/>
    </row>
    <row r="71">
      <c r="A71" s="16" t="str">
        <f>IFERROR(__xludf.DUMMYFUNCTION("""COMPUTED_VALUE"""),"424675_1289536")</f>
        <v>424675_1289536</v>
      </c>
      <c r="B71" s="16" t="str">
        <f>IFERROR(__xludf.DUMMYFUNCTION("""COMPUTED_VALUE"""),"Erick William Sandoval")</f>
        <v>Erick William Sandoval</v>
      </c>
      <c r="C71" s="16" t="str">
        <f>IFERROR(__xludf.DUMMYFUNCTION("""COMPUTED_VALUE"""),"finished")</f>
        <v>finished</v>
      </c>
      <c r="D71" s="16" t="str">
        <f>IFERROR(__xludf.DUMMYFUNCTION("""COMPUTED_VALUE"""),"No")</f>
        <v>No</v>
      </c>
      <c r="E71" s="16" t="str">
        <f>IFERROR(__xludf.DUMMYFUNCTION("""COMPUTED_VALUE"""),"p_5bdfa47b113991859a3668ddf0bb956daaace65c@inbound.aiesec.org")</f>
        <v>p_5bdfa47b113991859a3668ddf0bb956daaace65c@inbound.aiesec.org</v>
      </c>
      <c r="F71" s="16"/>
      <c r="G71" s="16" t="str">
        <f>IFERROR(__xludf.DUMMYFUNCTION("""COMPUTED_VALUE"""),"Brazil")</f>
        <v>Brazil</v>
      </c>
      <c r="H71" s="16" t="str">
        <f>IFERROR(__xludf.DUMMYFUNCTION("""COMPUTED_VALUE"""),"UBERLÂNDIA")</f>
        <v>UBERLÂNDIA</v>
      </c>
      <c r="I71" s="16" t="str">
        <f>IFERROR(__xludf.DUMMYFUNCTION("""COMPUTED_VALUE"""),"Turkey")</f>
        <v>Turkey</v>
      </c>
      <c r="J71" s="16" t="str">
        <f>IFERROR(__xludf.DUMMYFUNCTION("""COMPUTED_VALUE"""),"ISTANBUL")</f>
        <v>ISTANBUL</v>
      </c>
      <c r="K71" s="17" t="str">
        <f>IFERROR(__xludf.DUMMYFUNCTION("""COMPUTED_VALUE"""),"https://expa.aiesec.org/opportunities/1289536")</f>
        <v>https://expa.aiesec.org/opportunities/1289536</v>
      </c>
      <c r="L71" s="16" t="str">
        <f>IFERROR(__xludf.DUMMYFUNCTION("""COMPUTED_VALUE"""),"GV")</f>
        <v>GV</v>
      </c>
      <c r="M71" s="16" t="str">
        <f>IFERROR(__xludf.DUMMYFUNCTION("""COMPUTED_VALUE"""),"short")</f>
        <v>short</v>
      </c>
      <c r="N71" s="18">
        <f>IFERROR(__xludf.DUMMYFUNCTION("""COMPUTED_VALUE"""),45003.0)</f>
        <v>45003</v>
      </c>
      <c r="O71" s="18">
        <f>IFERROR(__xludf.DUMMYFUNCTION("""COMPUTED_VALUE"""),45271.0)</f>
        <v>45271</v>
      </c>
      <c r="P71" s="18">
        <f>IFERROR(__xludf.DUMMYFUNCTION("""COMPUTED_VALUE"""),45313.0)</f>
        <v>45313</v>
      </c>
      <c r="Q71" s="18">
        <f>IFERROR(__xludf.DUMMYFUNCTION("""COMPUTED_VALUE"""),45272.0)</f>
        <v>45272</v>
      </c>
      <c r="R71" s="18">
        <f>IFERROR(__xludf.DUMMYFUNCTION("""COMPUTED_VALUE"""),45313.0)</f>
        <v>45313</v>
      </c>
      <c r="S71" s="16"/>
      <c r="T71" s="16"/>
      <c r="U71" s="16" t="str">
        <f>IFERROR(__xludf.DUMMYFUNCTION("""COMPUTED_VALUE"""),"Global Classroom")</f>
        <v>Global Classroom</v>
      </c>
      <c r="V71" s="16" t="str">
        <f>IFERROR(__xludf.DUMMYFUNCTION("""COMPUTED_VALUE"""),"-")</f>
        <v>-</v>
      </c>
      <c r="W71" s="16" t="str">
        <f>IFERROR(__xludf.DUMMYFUNCTION("""COMPUTED_VALUE"""),"2015-01-02T02:36:31Z")</f>
        <v>2015-01-02T02:36:31Z</v>
      </c>
      <c r="X71" s="16"/>
      <c r="Y71" s="16"/>
      <c r="Z71" s="16"/>
    </row>
    <row r="72">
      <c r="A72" s="16" t="str">
        <f>IFERROR(__xludf.DUMMYFUNCTION("""COMPUTED_VALUE"""),"5218938_1288843")</f>
        <v>5218938_1288843</v>
      </c>
      <c r="B72" s="16" t="str">
        <f>IFERROR(__xludf.DUMMYFUNCTION("""COMPUTED_VALUE"""),"Gökçe Rana Berberoğlu")</f>
        <v>Gökçe Rana Berberoğlu</v>
      </c>
      <c r="C72" s="16" t="str">
        <f>IFERROR(__xludf.DUMMYFUNCTION("""COMPUTED_VALUE"""),"completed")</f>
        <v>completed</v>
      </c>
      <c r="D72" s="16" t="str">
        <f>IFERROR(__xludf.DUMMYFUNCTION("""COMPUTED_VALUE"""),"No")</f>
        <v>No</v>
      </c>
      <c r="E72" s="16" t="str">
        <f>IFERROR(__xludf.DUMMYFUNCTION("""COMPUTED_VALUE"""),"p_2f15770af562f265774f7d8d533eafd7a7d96d9c@inbound.aiesec.org")</f>
        <v>p_2f15770af562f265774f7d8d533eafd7a7d96d9c@inbound.aiesec.org</v>
      </c>
      <c r="F72" s="16">
        <f>IFERROR(__xludf.DUMMYFUNCTION("""COMPUTED_VALUE"""),5.394846049E9)</f>
        <v>5394846049</v>
      </c>
      <c r="G72" s="16" t="str">
        <f>IFERROR(__xludf.DUMMYFUNCTION("""COMPUTED_VALUE"""),"Turkey")</f>
        <v>Turkey</v>
      </c>
      <c r="H72" s="16" t="str">
        <f>IFERROR(__xludf.DUMMYFUNCTION("""COMPUTED_VALUE"""),"ISTANBUL")</f>
        <v>ISTANBUL</v>
      </c>
      <c r="I72" s="16" t="str">
        <f>IFERROR(__xludf.DUMMYFUNCTION("""COMPUTED_VALUE"""),"Sri Lanka")</f>
        <v>Sri Lanka</v>
      </c>
      <c r="J72" s="16" t="str">
        <f>IFERROR(__xludf.DUMMYFUNCTION("""COMPUTED_VALUE"""),"COLOMBO NORTH")</f>
        <v>COLOMBO NORTH</v>
      </c>
      <c r="K72" s="17" t="str">
        <f>IFERROR(__xludf.DUMMYFUNCTION("""COMPUTED_VALUE"""),"https://expa.aiesec.org/opportunities/1288843")</f>
        <v>https://expa.aiesec.org/opportunities/1288843</v>
      </c>
      <c r="L72" s="16" t="str">
        <f>IFERROR(__xludf.DUMMYFUNCTION("""COMPUTED_VALUE"""),"GV")</f>
        <v>GV</v>
      </c>
      <c r="M72" s="16" t="str">
        <f>IFERROR(__xludf.DUMMYFUNCTION("""COMPUTED_VALUE"""),"short")</f>
        <v>short</v>
      </c>
      <c r="N72" s="18">
        <f>IFERROR(__xludf.DUMMYFUNCTION("""COMPUTED_VALUE"""),45004.0)</f>
        <v>45004</v>
      </c>
      <c r="O72" s="18">
        <f>IFERROR(__xludf.DUMMYFUNCTION("""COMPUTED_VALUE"""),45122.0)</f>
        <v>45122</v>
      </c>
      <c r="P72" s="18">
        <f>IFERROR(__xludf.DUMMYFUNCTION("""COMPUTED_VALUE"""),45164.0)</f>
        <v>45164</v>
      </c>
      <c r="Q72" s="18">
        <f>IFERROR(__xludf.DUMMYFUNCTION("""COMPUTED_VALUE"""),45128.0)</f>
        <v>45128</v>
      </c>
      <c r="R72" s="18">
        <f>IFERROR(__xludf.DUMMYFUNCTION("""COMPUTED_VALUE"""),45168.0)</f>
        <v>45168</v>
      </c>
      <c r="S72" s="16"/>
      <c r="T72" s="16"/>
      <c r="U72" s="16" t="str">
        <f>IFERROR(__xludf.DUMMYFUNCTION("""COMPUTED_VALUE"""),"Green Leaders")</f>
        <v>Green Leaders</v>
      </c>
      <c r="V72" s="16" t="str">
        <f>IFERROR(__xludf.DUMMYFUNCTION("""COMPUTED_VALUE"""),"ISTANBUL - BEYOGLU")</f>
        <v>ISTANBUL - BEYOGLU</v>
      </c>
      <c r="W72" s="16" t="str">
        <f>IFERROR(__xludf.DUMMYFUNCTION("""COMPUTED_VALUE"""),"2023-03-16T21:22:59Z")</f>
        <v>2023-03-16T21:22:59Z</v>
      </c>
      <c r="X72" s="16"/>
      <c r="Y72" s="16"/>
      <c r="Z72" s="16"/>
    </row>
    <row r="73">
      <c r="A73" s="16" t="str">
        <f>IFERROR(__xludf.DUMMYFUNCTION("""COMPUTED_VALUE"""),"5218853_1293464")</f>
        <v>5218853_1293464</v>
      </c>
      <c r="B73" s="16" t="str">
        <f>IFERROR(__xludf.DUMMYFUNCTION("""COMPUTED_VALUE"""),"Sueda Kocaman")</f>
        <v>Sueda Kocaman</v>
      </c>
      <c r="C73" s="16" t="str">
        <f>IFERROR(__xludf.DUMMYFUNCTION("""COMPUTED_VALUE"""),"completed")</f>
        <v>completed</v>
      </c>
      <c r="D73" s="16" t="str">
        <f>IFERROR(__xludf.DUMMYFUNCTION("""COMPUTED_VALUE"""),"No")</f>
        <v>No</v>
      </c>
      <c r="E73" s="16" t="str">
        <f>IFERROR(__xludf.DUMMYFUNCTION("""COMPUTED_VALUE"""),"p_90ab74bbf52f5833cd819005d5d562131e27eb8e@inbound.aiesec.org")</f>
        <v>p_90ab74bbf52f5833cd819005d5d562131e27eb8e@inbound.aiesec.org</v>
      </c>
      <c r="F73" s="16">
        <f>IFERROR(__xludf.DUMMYFUNCTION("""COMPUTED_VALUE"""),5.412476303E9)</f>
        <v>5412476303</v>
      </c>
      <c r="G73" s="16" t="str">
        <f>IFERROR(__xludf.DUMMYFUNCTION("""COMPUTED_VALUE"""),"Turkey")</f>
        <v>Turkey</v>
      </c>
      <c r="H73" s="16" t="str">
        <f>IFERROR(__xludf.DUMMYFUNCTION("""COMPUTED_VALUE"""),"ISTANBUL")</f>
        <v>ISTANBUL</v>
      </c>
      <c r="I73" s="16" t="str">
        <f>IFERROR(__xludf.DUMMYFUNCTION("""COMPUTED_VALUE"""),"Romania")</f>
        <v>Romania</v>
      </c>
      <c r="J73" s="16" t="str">
        <f>IFERROR(__xludf.DUMMYFUNCTION("""COMPUTED_VALUE"""),"BUCURESTI")</f>
        <v>BUCURESTI</v>
      </c>
      <c r="K73" s="17" t="str">
        <f>IFERROR(__xludf.DUMMYFUNCTION("""COMPUTED_VALUE"""),"https://expa.aiesec.org/opportunities/1293464")</f>
        <v>https://expa.aiesec.org/opportunities/1293464</v>
      </c>
      <c r="L73" s="16" t="str">
        <f>IFERROR(__xludf.DUMMYFUNCTION("""COMPUTED_VALUE"""),"GV")</f>
        <v>GV</v>
      </c>
      <c r="M73" s="16" t="str">
        <f>IFERROR(__xludf.DUMMYFUNCTION("""COMPUTED_VALUE"""),"short")</f>
        <v>short</v>
      </c>
      <c r="N73" s="18">
        <f>IFERROR(__xludf.DUMMYFUNCTION("""COMPUTED_VALUE"""),45006.0)</f>
        <v>45006</v>
      </c>
      <c r="O73" s="18">
        <f>IFERROR(__xludf.DUMMYFUNCTION("""COMPUTED_VALUE"""),45096.0)</f>
        <v>45096</v>
      </c>
      <c r="P73" s="18">
        <f>IFERROR(__xludf.DUMMYFUNCTION("""COMPUTED_VALUE"""),45138.0)</f>
        <v>45138</v>
      </c>
      <c r="Q73" s="18">
        <f>IFERROR(__xludf.DUMMYFUNCTION("""COMPUTED_VALUE"""),45095.0)</f>
        <v>45095</v>
      </c>
      <c r="R73" s="18">
        <f>IFERROR(__xludf.DUMMYFUNCTION("""COMPUTED_VALUE"""),45138.0)</f>
        <v>45138</v>
      </c>
      <c r="S73" s="16"/>
      <c r="T73" s="16"/>
      <c r="U73" s="16" t="str">
        <f>IFERROR(__xludf.DUMMYFUNCTION("""COMPUTED_VALUE"""),"Fingerprint")</f>
        <v>Fingerprint</v>
      </c>
      <c r="V73" s="16" t="str">
        <f>IFERROR(__xludf.DUMMYFUNCTION("""COMPUTED_VALUE"""),"ISTANBUL - BEYOGLU")</f>
        <v>ISTANBUL - BEYOGLU</v>
      </c>
      <c r="W73" s="16" t="str">
        <f>IFERROR(__xludf.DUMMYFUNCTION("""COMPUTED_VALUE"""),"2023-03-16T19:48:57Z")</f>
        <v>2023-03-16T19:48:57Z</v>
      </c>
      <c r="X73" s="16"/>
      <c r="Y73" s="16"/>
      <c r="Z73" s="16"/>
    </row>
    <row r="74">
      <c r="A74" s="16" t="str">
        <f>IFERROR(__xludf.DUMMYFUNCTION("""COMPUTED_VALUE"""),"5221453_1290282")</f>
        <v>5221453_1290282</v>
      </c>
      <c r="B74" s="16" t="str">
        <f>IFERROR(__xludf.DUMMYFUNCTION("""COMPUTED_VALUE"""),"MEHMET VEYSEL TANRIKUT")</f>
        <v>MEHMET VEYSEL TANRIKUT</v>
      </c>
      <c r="C74" s="16" t="str">
        <f>IFERROR(__xludf.DUMMYFUNCTION("""COMPUTED_VALUE"""),"approved")</f>
        <v>approved</v>
      </c>
      <c r="D74" s="16" t="str">
        <f>IFERROR(__xludf.DUMMYFUNCTION("""COMPUTED_VALUE"""),"No")</f>
        <v>No</v>
      </c>
      <c r="E74" s="16" t="str">
        <f>IFERROR(__xludf.DUMMYFUNCTION("""COMPUTED_VALUE"""),"p_bd183694efd89fd299d2cd79de35b05161a3a7e6@inbound.aiesec.org")</f>
        <v>p_bd183694efd89fd299d2cd79de35b05161a3a7e6@inbound.aiesec.org</v>
      </c>
      <c r="F74" s="16"/>
      <c r="G74" s="16" t="str">
        <f>IFERROR(__xludf.DUMMYFUNCTION("""COMPUTED_VALUE"""),"Turkey")</f>
        <v>Turkey</v>
      </c>
      <c r="H74" s="16" t="str">
        <f>IFERROR(__xludf.DUMMYFUNCTION("""COMPUTED_VALUE"""),"ISTANBUL")</f>
        <v>ISTANBUL</v>
      </c>
      <c r="I74" s="16" t="str">
        <f>IFERROR(__xludf.DUMMYFUNCTION("""COMPUTED_VALUE"""),"Egypt")</f>
        <v>Egypt</v>
      </c>
      <c r="J74" s="16" t="str">
        <f>IFERROR(__xludf.DUMMYFUNCTION("""COMPUTED_VALUE"""),"GUC")</f>
        <v>GUC</v>
      </c>
      <c r="K74" s="17" t="str">
        <f>IFERROR(__xludf.DUMMYFUNCTION("""COMPUTED_VALUE"""),"https://expa.aiesec.org/opportunities/1290282")</f>
        <v>https://expa.aiesec.org/opportunities/1290282</v>
      </c>
      <c r="L74" s="16" t="str">
        <f>IFERROR(__xludf.DUMMYFUNCTION("""COMPUTED_VALUE"""),"GV")</f>
        <v>GV</v>
      </c>
      <c r="M74" s="16" t="str">
        <f>IFERROR(__xludf.DUMMYFUNCTION("""COMPUTED_VALUE"""),"short")</f>
        <v>short</v>
      </c>
      <c r="N74" s="18">
        <f>IFERROR(__xludf.DUMMYFUNCTION("""COMPUTED_VALUE"""),45006.0)</f>
        <v>45006</v>
      </c>
      <c r="O74" s="18">
        <f>IFERROR(__xludf.DUMMYFUNCTION("""COMPUTED_VALUE"""),45122.0)</f>
        <v>45122</v>
      </c>
      <c r="P74" s="18">
        <f>IFERROR(__xludf.DUMMYFUNCTION("""COMPUTED_VALUE"""),45164.0)</f>
        <v>45164</v>
      </c>
      <c r="Q74" s="18"/>
      <c r="R74" s="18"/>
      <c r="S74" s="16"/>
      <c r="T74" s="16"/>
      <c r="U74" s="16" t="str">
        <f>IFERROR(__xludf.DUMMYFUNCTION("""COMPUTED_VALUE"""),"On The Map")</f>
        <v>On The Map</v>
      </c>
      <c r="V74" s="16" t="str">
        <f>IFERROR(__xludf.DUMMYFUNCTION("""COMPUTED_VALUE"""),"-")</f>
        <v>-</v>
      </c>
      <c r="W74" s="16" t="str">
        <f>IFERROR(__xludf.DUMMYFUNCTION("""COMPUTED_VALUE"""),"2023-03-20T09:26:28Z")</f>
        <v>2023-03-20T09:26:28Z</v>
      </c>
      <c r="X74" s="16"/>
      <c r="Y74" s="16"/>
      <c r="Z74" s="16"/>
    </row>
    <row r="75">
      <c r="A75" s="16" t="str">
        <f>IFERROR(__xludf.DUMMYFUNCTION("""COMPUTED_VALUE"""),"5213812_1293125")</f>
        <v>5213812_1293125</v>
      </c>
      <c r="B75" s="16" t="str">
        <f>IFERROR(__xludf.DUMMYFUNCTION("""COMPUTED_VALUE"""),"İrem Nuroğlu")</f>
        <v>İrem Nuroğlu</v>
      </c>
      <c r="C75" s="16" t="str">
        <f>IFERROR(__xludf.DUMMYFUNCTION("""COMPUTED_VALUE"""),"completed")</f>
        <v>completed</v>
      </c>
      <c r="D75" s="16" t="str">
        <f>IFERROR(__xludf.DUMMYFUNCTION("""COMPUTED_VALUE"""),"No")</f>
        <v>No</v>
      </c>
      <c r="E75" s="16" t="str">
        <f>IFERROR(__xludf.DUMMYFUNCTION("""COMPUTED_VALUE"""),"p_1ccece0a2000d0b65f40f3cd7f3387005d14c7a8@inbound.aiesec.org")</f>
        <v>p_1ccece0a2000d0b65f40f3cd7f3387005d14c7a8@inbound.aiesec.org</v>
      </c>
      <c r="F75" s="16"/>
      <c r="G75" s="16" t="str">
        <f>IFERROR(__xludf.DUMMYFUNCTION("""COMPUTED_VALUE"""),"Turkey")</f>
        <v>Turkey</v>
      </c>
      <c r="H75" s="16" t="str">
        <f>IFERROR(__xludf.DUMMYFUNCTION("""COMPUTED_VALUE"""),"ISTANBUL")</f>
        <v>ISTANBUL</v>
      </c>
      <c r="I75" s="16" t="str">
        <f>IFERROR(__xludf.DUMMYFUNCTION("""COMPUTED_VALUE"""),"Romania")</f>
        <v>Romania</v>
      </c>
      <c r="J75" s="16" t="str">
        <f>IFERROR(__xludf.DUMMYFUNCTION("""COMPUTED_VALUE"""),"BRASOV")</f>
        <v>BRASOV</v>
      </c>
      <c r="K75" s="17" t="str">
        <f>IFERROR(__xludf.DUMMYFUNCTION("""COMPUTED_VALUE"""),"https://expa.aiesec.org/opportunities/1293125")</f>
        <v>https://expa.aiesec.org/opportunities/1293125</v>
      </c>
      <c r="L75" s="16" t="str">
        <f>IFERROR(__xludf.DUMMYFUNCTION("""COMPUTED_VALUE"""),"GV")</f>
        <v>GV</v>
      </c>
      <c r="M75" s="16" t="str">
        <f>IFERROR(__xludf.DUMMYFUNCTION("""COMPUTED_VALUE"""),"short")</f>
        <v>short</v>
      </c>
      <c r="N75" s="18">
        <f>IFERROR(__xludf.DUMMYFUNCTION("""COMPUTED_VALUE"""),45006.0)</f>
        <v>45006</v>
      </c>
      <c r="O75" s="18">
        <f>IFERROR(__xludf.DUMMYFUNCTION("""COMPUTED_VALUE"""),45103.0)</f>
        <v>45103</v>
      </c>
      <c r="P75" s="18">
        <f>IFERROR(__xludf.DUMMYFUNCTION("""COMPUTED_VALUE"""),45145.0)</f>
        <v>45145</v>
      </c>
      <c r="Q75" s="18">
        <f>IFERROR(__xludf.DUMMYFUNCTION("""COMPUTED_VALUE"""),45103.0)</f>
        <v>45103</v>
      </c>
      <c r="R75" s="18">
        <f>IFERROR(__xludf.DUMMYFUNCTION("""COMPUTED_VALUE"""),45145.0)</f>
        <v>45145</v>
      </c>
      <c r="S75" s="16"/>
      <c r="T75" s="16"/>
      <c r="U75" s="16" t="str">
        <f>IFERROR(__xludf.DUMMYFUNCTION("""COMPUTED_VALUE"""),"Fingerprint")</f>
        <v>Fingerprint</v>
      </c>
      <c r="V75" s="16" t="str">
        <f>IFERROR(__xludf.DUMMYFUNCTION("""COMPUTED_VALUE"""),"-")</f>
        <v>-</v>
      </c>
      <c r="W75" s="16" t="str">
        <f>IFERROR(__xludf.DUMMYFUNCTION("""COMPUTED_VALUE"""),"2023-03-12T13:38:10Z")</f>
        <v>2023-03-12T13:38:10Z</v>
      </c>
      <c r="X75" s="16"/>
      <c r="Y75" s="16"/>
      <c r="Z75" s="16"/>
    </row>
    <row r="76">
      <c r="A76" s="16" t="str">
        <f>IFERROR(__xludf.DUMMYFUNCTION("""COMPUTED_VALUE"""),"5223158_1281235")</f>
        <v>5223158_1281235</v>
      </c>
      <c r="B76" s="16" t="str">
        <f>IFERROR(__xludf.DUMMYFUNCTION("""COMPUTED_VALUE"""),"Dilruba Berber")</f>
        <v>Dilruba Berber</v>
      </c>
      <c r="C76" s="16" t="str">
        <f>IFERROR(__xludf.DUMMYFUNCTION("""COMPUTED_VALUE"""),"completed")</f>
        <v>completed</v>
      </c>
      <c r="D76" s="16" t="str">
        <f>IFERROR(__xludf.DUMMYFUNCTION("""COMPUTED_VALUE"""),"No")</f>
        <v>No</v>
      </c>
      <c r="E76" s="16" t="str">
        <f>IFERROR(__xludf.DUMMYFUNCTION("""COMPUTED_VALUE"""),"p_8b9704f53e0922d7fa7fd523336133541c75bd27@inbound.aiesec.org")</f>
        <v>p_8b9704f53e0922d7fa7fd523336133541c75bd27@inbound.aiesec.org</v>
      </c>
      <c r="F76" s="16">
        <f>IFERROR(__xludf.DUMMYFUNCTION("""COMPUTED_VALUE"""),5.380448749E9)</f>
        <v>5380448749</v>
      </c>
      <c r="G76" s="16" t="str">
        <f>IFERROR(__xludf.DUMMYFUNCTION("""COMPUTED_VALUE"""),"Turkey")</f>
        <v>Turkey</v>
      </c>
      <c r="H76" s="16" t="str">
        <f>IFERROR(__xludf.DUMMYFUNCTION("""COMPUTED_VALUE"""),"ISTANBUL")</f>
        <v>ISTANBUL</v>
      </c>
      <c r="I76" s="16" t="str">
        <f>IFERROR(__xludf.DUMMYFUNCTION("""COMPUTED_VALUE"""),"India")</f>
        <v>India</v>
      </c>
      <c r="J76" s="16" t="str">
        <f>IFERROR(__xludf.DUMMYFUNCTION("""COMPUTED_VALUE"""),"Dehradun")</f>
        <v>Dehradun</v>
      </c>
      <c r="K76" s="17" t="str">
        <f>IFERROR(__xludf.DUMMYFUNCTION("""COMPUTED_VALUE"""),"https://expa.aiesec.org/opportunities/1281235")</f>
        <v>https://expa.aiesec.org/opportunities/1281235</v>
      </c>
      <c r="L76" s="16" t="str">
        <f>IFERROR(__xludf.DUMMYFUNCTION("""COMPUTED_VALUE"""),"GV")</f>
        <v>GV</v>
      </c>
      <c r="M76" s="16" t="str">
        <f>IFERROR(__xludf.DUMMYFUNCTION("""COMPUTED_VALUE"""),"short")</f>
        <v>short</v>
      </c>
      <c r="N76" s="18">
        <f>IFERROR(__xludf.DUMMYFUNCTION("""COMPUTED_VALUE"""),45008.0)</f>
        <v>45008</v>
      </c>
      <c r="O76" s="18">
        <f>IFERROR(__xludf.DUMMYFUNCTION("""COMPUTED_VALUE"""),45122.0)</f>
        <v>45122</v>
      </c>
      <c r="P76" s="18">
        <f>IFERROR(__xludf.DUMMYFUNCTION("""COMPUTED_VALUE"""),45164.0)</f>
        <v>45164</v>
      </c>
      <c r="Q76" s="18">
        <f>IFERROR(__xludf.DUMMYFUNCTION("""COMPUTED_VALUE"""),45123.0)</f>
        <v>45123</v>
      </c>
      <c r="R76" s="18">
        <f>IFERROR(__xludf.DUMMYFUNCTION("""COMPUTED_VALUE"""),45164.0)</f>
        <v>45164</v>
      </c>
      <c r="S76" s="16"/>
      <c r="T76" s="16"/>
      <c r="U76" s="16" t="str">
        <f>IFERROR(__xludf.DUMMYFUNCTION("""COMPUTED_VALUE"""),"Skill Up!")</f>
        <v>Skill Up!</v>
      </c>
      <c r="V76" s="16" t="str">
        <f>IFERROR(__xludf.DUMMYFUNCTION("""COMPUTED_VALUE"""),"ISTANBUL - BEYOGLU")</f>
        <v>ISTANBUL - BEYOGLU</v>
      </c>
      <c r="W76" s="16" t="str">
        <f>IFERROR(__xludf.DUMMYFUNCTION("""COMPUTED_VALUE"""),"2023-03-21T20:59:14Z")</f>
        <v>2023-03-21T20:59:14Z</v>
      </c>
      <c r="X76" s="16"/>
      <c r="Y76" s="16"/>
      <c r="Z76" s="16"/>
    </row>
    <row r="77">
      <c r="A77" s="16" t="str">
        <f>IFERROR(__xludf.DUMMYFUNCTION("""COMPUTED_VALUE"""),"5132964_1285555")</f>
        <v>5132964_1285555</v>
      </c>
      <c r="B77" s="16" t="str">
        <f>IFERROR(__xludf.DUMMYFUNCTION("""COMPUTED_VALUE"""),"Salma EL BEKKOURI ELALAMI")</f>
        <v>Salma EL BEKKOURI ELALAMI</v>
      </c>
      <c r="C77" s="16" t="str">
        <f>IFERROR(__xludf.DUMMYFUNCTION("""COMPUTED_VALUE"""),"realized")</f>
        <v>realized</v>
      </c>
      <c r="D77" s="16" t="str">
        <f>IFERROR(__xludf.DUMMYFUNCTION("""COMPUTED_VALUE"""),"No")</f>
        <v>No</v>
      </c>
      <c r="E77" s="16" t="str">
        <f>IFERROR(__xludf.DUMMYFUNCTION("""COMPUTED_VALUE"""),"p_bb65d21cf2d421d57886cef2067050a4d2d3acb3@inbound.aiesec.org")</f>
        <v>p_bb65d21cf2d421d57886cef2067050a4d2d3acb3@inbound.aiesec.org</v>
      </c>
      <c r="F77" s="16">
        <f>IFERROR(__xludf.DUMMYFUNCTION("""COMPUTED_VALUE"""),6.34860646E8)</f>
        <v>634860646</v>
      </c>
      <c r="G77" s="16" t="str">
        <f>IFERROR(__xludf.DUMMYFUNCTION("""COMPUTED_VALUE"""),"Morocco")</f>
        <v>Morocco</v>
      </c>
      <c r="H77" s="16" t="str">
        <f>IFERROR(__xludf.DUMMYFUNCTION("""COMPUTED_VALUE"""),"Morocco (MC)")</f>
        <v>Morocco (MC)</v>
      </c>
      <c r="I77" s="16" t="str">
        <f>IFERROR(__xludf.DUMMYFUNCTION("""COMPUTED_VALUE"""),"Turkey")</f>
        <v>Turkey</v>
      </c>
      <c r="J77" s="16" t="str">
        <f>IFERROR(__xludf.DUMMYFUNCTION("""COMPUTED_VALUE"""),"ISTANBUL")</f>
        <v>ISTANBUL</v>
      </c>
      <c r="K77" s="17" t="str">
        <f>IFERROR(__xludf.DUMMYFUNCTION("""COMPUTED_VALUE"""),"https://expa.aiesec.org/opportunities/1285555")</f>
        <v>https://expa.aiesec.org/opportunities/1285555</v>
      </c>
      <c r="L77" s="16" t="str">
        <f>IFERROR(__xludf.DUMMYFUNCTION("""COMPUTED_VALUE"""),"GTa")</f>
        <v>GTa</v>
      </c>
      <c r="M77" s="16" t="str">
        <f>IFERROR(__xludf.DUMMYFUNCTION("""COMPUTED_VALUE"""),"long")</f>
        <v>long</v>
      </c>
      <c r="N77" s="18">
        <f>IFERROR(__xludf.DUMMYFUNCTION("""COMPUTED_VALUE"""),45008.0)</f>
        <v>45008</v>
      </c>
      <c r="O77" s="18">
        <f>IFERROR(__xludf.DUMMYFUNCTION("""COMPUTED_VALUE"""),45026.0)</f>
        <v>45026</v>
      </c>
      <c r="P77" s="18">
        <f>IFERROR(__xludf.DUMMYFUNCTION("""COMPUTED_VALUE"""),45394.0)</f>
        <v>45394</v>
      </c>
      <c r="Q77" s="18">
        <f>IFERROR(__xludf.DUMMYFUNCTION("""COMPUTED_VALUE"""),45075.0)</f>
        <v>45075</v>
      </c>
      <c r="R77" s="18">
        <f>IFERROR(__xludf.DUMMYFUNCTION("""COMPUTED_VALUE"""),45443.0)</f>
        <v>45443</v>
      </c>
      <c r="S77" s="16"/>
      <c r="T77" s="16" t="str">
        <f>IFERROR(__xludf.DUMMYFUNCTION("""COMPUTED_VALUE"""),"Business Administration")</f>
        <v>Business Administration</v>
      </c>
      <c r="U77" s="16" t="str">
        <f>IFERROR(__xludf.DUMMYFUNCTION("""COMPUTED_VALUE"""),"Customer Support Junior Specialist")</f>
        <v>Customer Support Junior Specialist</v>
      </c>
      <c r="V77" s="16" t="str">
        <f>IFERROR(__xludf.DUMMYFUNCTION("""COMPUTED_VALUE"""),"Other-RABAT")</f>
        <v>Other-RABAT</v>
      </c>
      <c r="W77" s="16" t="str">
        <f>IFERROR(__xludf.DUMMYFUNCTION("""COMPUTED_VALUE"""),"2022-10-14T15:43:31Z")</f>
        <v>2022-10-14T15:43:31Z</v>
      </c>
      <c r="X77" s="16"/>
      <c r="Y77" s="16"/>
      <c r="Z77" s="16"/>
    </row>
    <row r="78">
      <c r="A78" s="16" t="str">
        <f>IFERROR(__xludf.DUMMYFUNCTION("""COMPUTED_VALUE"""),"5225909_1285010")</f>
        <v>5225909_1285010</v>
      </c>
      <c r="B78" s="16" t="str">
        <f>IFERROR(__xludf.DUMMYFUNCTION("""COMPUTED_VALUE"""),"Khaled Baffoun")</f>
        <v>Khaled Baffoun</v>
      </c>
      <c r="C78" s="16" t="str">
        <f>IFERROR(__xludf.DUMMYFUNCTION("""COMPUTED_VALUE"""),"realized")</f>
        <v>realized</v>
      </c>
      <c r="D78" s="16" t="str">
        <f>IFERROR(__xludf.DUMMYFUNCTION("""COMPUTED_VALUE"""),"No")</f>
        <v>No</v>
      </c>
      <c r="E78" s="16" t="str">
        <f>IFERROR(__xludf.DUMMYFUNCTION("""COMPUTED_VALUE"""),"p_84b8730cf7be068681bd0976190ed36141242398@inbound.aiesec.org")</f>
        <v>p_84b8730cf7be068681bd0976190ed36141242398@inbound.aiesec.org</v>
      </c>
      <c r="F78" s="16"/>
      <c r="G78" s="16" t="str">
        <f>IFERROR(__xludf.DUMMYFUNCTION("""COMPUTED_VALUE"""),"Tunisia")</f>
        <v>Tunisia</v>
      </c>
      <c r="H78" s="16" t="str">
        <f>IFERROR(__xludf.DUMMYFUNCTION("""COMPUTED_VALUE"""),"BARDO")</f>
        <v>BARDO</v>
      </c>
      <c r="I78" s="16" t="str">
        <f>IFERROR(__xludf.DUMMYFUNCTION("""COMPUTED_VALUE"""),"Turkey")</f>
        <v>Turkey</v>
      </c>
      <c r="J78" s="16" t="str">
        <f>IFERROR(__xludf.DUMMYFUNCTION("""COMPUTED_VALUE"""),"ISTANBUL")</f>
        <v>ISTANBUL</v>
      </c>
      <c r="K78" s="17" t="str">
        <f>IFERROR(__xludf.DUMMYFUNCTION("""COMPUTED_VALUE"""),"https://expa.aiesec.org/opportunities/1285010")</f>
        <v>https://expa.aiesec.org/opportunities/1285010</v>
      </c>
      <c r="L78" s="16" t="str">
        <f>IFERROR(__xludf.DUMMYFUNCTION("""COMPUTED_VALUE"""),"GTa")</f>
        <v>GTa</v>
      </c>
      <c r="M78" s="16" t="str">
        <f>IFERROR(__xludf.DUMMYFUNCTION("""COMPUTED_VALUE"""),"long")</f>
        <v>long</v>
      </c>
      <c r="N78" s="18">
        <f>IFERROR(__xludf.DUMMYFUNCTION("""COMPUTED_VALUE"""),45009.0)</f>
        <v>45009</v>
      </c>
      <c r="O78" s="18">
        <f>IFERROR(__xludf.DUMMYFUNCTION("""COMPUTED_VALUE"""),45047.0)</f>
        <v>45047</v>
      </c>
      <c r="P78" s="18">
        <f>IFERROR(__xludf.DUMMYFUNCTION("""COMPUTED_VALUE"""),45415.0)</f>
        <v>45415</v>
      </c>
      <c r="Q78" s="18">
        <f>IFERROR(__xludf.DUMMYFUNCTION("""COMPUTED_VALUE"""),45118.0)</f>
        <v>45118</v>
      </c>
      <c r="R78" s="18">
        <f>IFERROR(__xludf.DUMMYFUNCTION("""COMPUTED_VALUE"""),45485.0)</f>
        <v>45485</v>
      </c>
      <c r="S78" s="16"/>
      <c r="T78" s="16" t="str">
        <f>IFERROR(__xludf.DUMMYFUNCTION("""COMPUTED_VALUE"""),"Information Technology")</f>
        <v>Information Technology</v>
      </c>
      <c r="U78" s="16" t="str">
        <f>IFERROR(__xludf.DUMMYFUNCTION("""COMPUTED_VALUE"""),"Full Stack Developer")</f>
        <v>Full Stack Developer</v>
      </c>
      <c r="V78" s="16" t="str">
        <f>IFERROR(__xludf.DUMMYFUNCTION("""COMPUTED_VALUE"""),"-")</f>
        <v>-</v>
      </c>
      <c r="W78" s="16" t="str">
        <f>IFERROR(__xludf.DUMMYFUNCTION("""COMPUTED_VALUE"""),"2023-03-24T14:23:11Z")</f>
        <v>2023-03-24T14:23:11Z</v>
      </c>
      <c r="X78" s="16"/>
      <c r="Y78" s="16"/>
      <c r="Z78" s="16"/>
    </row>
    <row r="79">
      <c r="A79" s="16" t="str">
        <f>IFERROR(__xludf.DUMMYFUNCTION("""COMPUTED_VALUE"""),"5225593_1290282")</f>
        <v>5225593_1290282</v>
      </c>
      <c r="B79" s="16" t="str">
        <f>IFERROR(__xludf.DUMMYFUNCTION("""COMPUTED_VALUE"""),"Ayşenur Sertoğlu")</f>
        <v>Ayşenur Sertoğlu</v>
      </c>
      <c r="C79" s="16" t="str">
        <f>IFERROR(__xludf.DUMMYFUNCTION("""COMPUTED_VALUE"""),"completed")</f>
        <v>completed</v>
      </c>
      <c r="D79" s="16" t="str">
        <f>IFERROR(__xludf.DUMMYFUNCTION("""COMPUTED_VALUE"""),"No")</f>
        <v>No</v>
      </c>
      <c r="E79" s="16" t="str">
        <f>IFERROR(__xludf.DUMMYFUNCTION("""COMPUTED_VALUE"""),"p_d3d56767195705c3427677a8127c115225ba48b3@inbound.aiesec.org")</f>
        <v>p_d3d56767195705c3427677a8127c115225ba48b3@inbound.aiesec.org</v>
      </c>
      <c r="F79" s="16">
        <f>IFERROR(__xludf.DUMMYFUNCTION("""COMPUTED_VALUE"""),5.443628501E9)</f>
        <v>5443628501</v>
      </c>
      <c r="G79" s="16" t="str">
        <f>IFERROR(__xludf.DUMMYFUNCTION("""COMPUTED_VALUE"""),"Turkey")</f>
        <v>Turkey</v>
      </c>
      <c r="H79" s="16" t="str">
        <f>IFERROR(__xludf.DUMMYFUNCTION("""COMPUTED_VALUE"""),"ISTANBUL")</f>
        <v>ISTANBUL</v>
      </c>
      <c r="I79" s="16" t="str">
        <f>IFERROR(__xludf.DUMMYFUNCTION("""COMPUTED_VALUE"""),"Egypt")</f>
        <v>Egypt</v>
      </c>
      <c r="J79" s="16" t="str">
        <f>IFERROR(__xludf.DUMMYFUNCTION("""COMPUTED_VALUE"""),"GUC")</f>
        <v>GUC</v>
      </c>
      <c r="K79" s="17" t="str">
        <f>IFERROR(__xludf.DUMMYFUNCTION("""COMPUTED_VALUE"""),"https://expa.aiesec.org/opportunities/1290282")</f>
        <v>https://expa.aiesec.org/opportunities/1290282</v>
      </c>
      <c r="L79" s="16" t="str">
        <f>IFERROR(__xludf.DUMMYFUNCTION("""COMPUTED_VALUE"""),"GV")</f>
        <v>GV</v>
      </c>
      <c r="M79" s="16" t="str">
        <f>IFERROR(__xludf.DUMMYFUNCTION("""COMPUTED_VALUE"""),"short")</f>
        <v>short</v>
      </c>
      <c r="N79" s="18">
        <f>IFERROR(__xludf.DUMMYFUNCTION("""COMPUTED_VALUE"""),45009.0)</f>
        <v>45009</v>
      </c>
      <c r="O79" s="18">
        <f>IFERROR(__xludf.DUMMYFUNCTION("""COMPUTED_VALUE"""),45122.0)</f>
        <v>45122</v>
      </c>
      <c r="P79" s="18">
        <f>IFERROR(__xludf.DUMMYFUNCTION("""COMPUTED_VALUE"""),45164.0)</f>
        <v>45164</v>
      </c>
      <c r="Q79" s="18">
        <f>IFERROR(__xludf.DUMMYFUNCTION("""COMPUTED_VALUE"""),45123.0)</f>
        <v>45123</v>
      </c>
      <c r="R79" s="18">
        <f>IFERROR(__xludf.DUMMYFUNCTION("""COMPUTED_VALUE"""),45164.0)</f>
        <v>45164</v>
      </c>
      <c r="S79" s="16"/>
      <c r="T79" s="16"/>
      <c r="U79" s="16" t="str">
        <f>IFERROR(__xludf.DUMMYFUNCTION("""COMPUTED_VALUE"""),"On The Map")</f>
        <v>On The Map</v>
      </c>
      <c r="V79" s="16" t="str">
        <f>IFERROR(__xludf.DUMMYFUNCTION("""COMPUTED_VALUE"""),"ISTANBUL - BEYOGLU")</f>
        <v>ISTANBUL - BEYOGLU</v>
      </c>
      <c r="W79" s="16" t="str">
        <f>IFERROR(__xludf.DUMMYFUNCTION("""COMPUTED_VALUE"""),"2023-03-24T11:10:46Z")</f>
        <v>2023-03-24T11:10:46Z</v>
      </c>
      <c r="X79" s="16"/>
      <c r="Y79" s="16"/>
      <c r="Z79" s="16"/>
    </row>
    <row r="80">
      <c r="A80" s="16" t="str">
        <f>IFERROR(__xludf.DUMMYFUNCTION("""COMPUTED_VALUE"""),"5222905_1291067")</f>
        <v>5222905_1291067</v>
      </c>
      <c r="B80" s="16" t="str">
        <f>IFERROR(__xludf.DUMMYFUNCTION("""COMPUTED_VALUE"""),"Ilgım Kutlu")</f>
        <v>Ilgım Kutlu</v>
      </c>
      <c r="C80" s="16" t="str">
        <f>IFERROR(__xludf.DUMMYFUNCTION("""COMPUTED_VALUE"""),"completed")</f>
        <v>completed</v>
      </c>
      <c r="D80" s="16" t="str">
        <f>IFERROR(__xludf.DUMMYFUNCTION("""COMPUTED_VALUE"""),"No")</f>
        <v>No</v>
      </c>
      <c r="E80" s="16" t="str">
        <f>IFERROR(__xludf.DUMMYFUNCTION("""COMPUTED_VALUE"""),"p_ba710d51d0bb31174364673c6bd563b67340e6ba@inbound.aiesec.org")</f>
        <v>p_ba710d51d0bb31174364673c6bd563b67340e6ba@inbound.aiesec.org</v>
      </c>
      <c r="F80" s="16">
        <f>IFERROR(__xludf.DUMMYFUNCTION("""COMPUTED_VALUE"""),5.461012026E9)</f>
        <v>5461012026</v>
      </c>
      <c r="G80" s="16" t="str">
        <f>IFERROR(__xludf.DUMMYFUNCTION("""COMPUTED_VALUE"""),"Turkey")</f>
        <v>Turkey</v>
      </c>
      <c r="H80" s="16" t="str">
        <f>IFERROR(__xludf.DUMMYFUNCTION("""COMPUTED_VALUE"""),"ISTANBUL")</f>
        <v>ISTANBUL</v>
      </c>
      <c r="I80" s="16" t="str">
        <f>IFERROR(__xludf.DUMMYFUNCTION("""COMPUTED_VALUE"""),"Egypt")</f>
        <v>Egypt</v>
      </c>
      <c r="J80" s="16" t="str">
        <f>IFERROR(__xludf.DUMMYFUNCTION("""COMPUTED_VALUE"""),"GUC")</f>
        <v>GUC</v>
      </c>
      <c r="K80" s="17" t="str">
        <f>IFERROR(__xludf.DUMMYFUNCTION("""COMPUTED_VALUE"""),"https://expa.aiesec.org/opportunities/1291067")</f>
        <v>https://expa.aiesec.org/opportunities/1291067</v>
      </c>
      <c r="L80" s="16" t="str">
        <f>IFERROR(__xludf.DUMMYFUNCTION("""COMPUTED_VALUE"""),"GV")</f>
        <v>GV</v>
      </c>
      <c r="M80" s="16" t="str">
        <f>IFERROR(__xludf.DUMMYFUNCTION("""COMPUTED_VALUE"""),"short")</f>
        <v>short</v>
      </c>
      <c r="N80" s="18">
        <f>IFERROR(__xludf.DUMMYFUNCTION("""COMPUTED_VALUE"""),45009.0)</f>
        <v>45009</v>
      </c>
      <c r="O80" s="18">
        <f>IFERROR(__xludf.DUMMYFUNCTION("""COMPUTED_VALUE"""),45122.0)</f>
        <v>45122</v>
      </c>
      <c r="P80" s="18">
        <f>IFERROR(__xludf.DUMMYFUNCTION("""COMPUTED_VALUE"""),45164.0)</f>
        <v>45164</v>
      </c>
      <c r="Q80" s="18">
        <f>IFERROR(__xludf.DUMMYFUNCTION("""COMPUTED_VALUE"""),45122.0)</f>
        <v>45122</v>
      </c>
      <c r="R80" s="18">
        <f>IFERROR(__xludf.DUMMYFUNCTION("""COMPUTED_VALUE"""),45164.0)</f>
        <v>45164</v>
      </c>
      <c r="S80" s="16"/>
      <c r="T80" s="16"/>
      <c r="U80" s="16" t="str">
        <f>IFERROR(__xludf.DUMMYFUNCTION("""COMPUTED_VALUE"""),"Global Classroom")</f>
        <v>Global Classroom</v>
      </c>
      <c r="V80" s="16" t="str">
        <f>IFERROR(__xludf.DUMMYFUNCTION("""COMPUTED_VALUE"""),"ISTANBUL - BEYOGLU")</f>
        <v>ISTANBUL - BEYOGLU</v>
      </c>
      <c r="W80" s="16" t="str">
        <f>IFERROR(__xludf.DUMMYFUNCTION("""COMPUTED_VALUE"""),"2023-03-21T15:40:38Z")</f>
        <v>2023-03-21T15:40:38Z</v>
      </c>
      <c r="X80" s="16"/>
      <c r="Y80" s="16"/>
      <c r="Z80" s="16"/>
    </row>
    <row r="81">
      <c r="A81" s="16" t="str">
        <f>IFERROR(__xludf.DUMMYFUNCTION("""COMPUTED_VALUE"""),"5218505_1293112")</f>
        <v>5218505_1293112</v>
      </c>
      <c r="B81" s="16" t="str">
        <f>IFERROR(__xludf.DUMMYFUNCTION("""COMPUTED_VALUE"""),"DUYGU KAYA")</f>
        <v>DUYGU KAYA</v>
      </c>
      <c r="C81" s="16" t="str">
        <f>IFERROR(__xludf.DUMMYFUNCTION("""COMPUTED_VALUE"""),"completed")</f>
        <v>completed</v>
      </c>
      <c r="D81" s="16" t="str">
        <f>IFERROR(__xludf.DUMMYFUNCTION("""COMPUTED_VALUE"""),"No")</f>
        <v>No</v>
      </c>
      <c r="E81" s="16" t="str">
        <f>IFERROR(__xludf.DUMMYFUNCTION("""COMPUTED_VALUE"""),"p_b8da58146b93330e46968dca09b87e033910c643@inbound.aiesec.org")</f>
        <v>p_b8da58146b93330e46968dca09b87e033910c643@inbound.aiesec.org</v>
      </c>
      <c r="F81" s="16"/>
      <c r="G81" s="16" t="str">
        <f>IFERROR(__xludf.DUMMYFUNCTION("""COMPUTED_VALUE"""),"Turkey")</f>
        <v>Turkey</v>
      </c>
      <c r="H81" s="16" t="str">
        <f>IFERROR(__xludf.DUMMYFUNCTION("""COMPUTED_VALUE"""),"ISTANBUL")</f>
        <v>ISTANBUL</v>
      </c>
      <c r="I81" s="16" t="str">
        <f>IFERROR(__xludf.DUMMYFUNCTION("""COMPUTED_VALUE"""),"India")</f>
        <v>India</v>
      </c>
      <c r="J81" s="16" t="str">
        <f>IFERROR(__xludf.DUMMYFUNCTION("""COMPUTED_VALUE"""),"JAIPUR ")</f>
        <v>JAIPUR </v>
      </c>
      <c r="K81" s="17" t="str">
        <f>IFERROR(__xludf.DUMMYFUNCTION("""COMPUTED_VALUE"""),"https://expa.aiesec.org/opportunities/1293112")</f>
        <v>https://expa.aiesec.org/opportunities/1293112</v>
      </c>
      <c r="L81" s="16" t="str">
        <f>IFERROR(__xludf.DUMMYFUNCTION("""COMPUTED_VALUE"""),"GV")</f>
        <v>GV</v>
      </c>
      <c r="M81" s="16" t="str">
        <f>IFERROR(__xludf.DUMMYFUNCTION("""COMPUTED_VALUE"""),"short")</f>
        <v>short</v>
      </c>
      <c r="N81" s="18">
        <f>IFERROR(__xludf.DUMMYFUNCTION("""COMPUTED_VALUE"""),45009.0)</f>
        <v>45009</v>
      </c>
      <c r="O81" s="18">
        <f>IFERROR(__xludf.DUMMYFUNCTION("""COMPUTED_VALUE"""),45109.0)</f>
        <v>45109</v>
      </c>
      <c r="P81" s="18">
        <f>IFERROR(__xludf.DUMMYFUNCTION("""COMPUTED_VALUE"""),45151.0)</f>
        <v>45151</v>
      </c>
      <c r="Q81" s="18">
        <f>IFERROR(__xludf.DUMMYFUNCTION("""COMPUTED_VALUE"""),45115.0)</f>
        <v>45115</v>
      </c>
      <c r="R81" s="18">
        <f>IFERROR(__xludf.DUMMYFUNCTION("""COMPUTED_VALUE"""),45155.0)</f>
        <v>45155</v>
      </c>
      <c r="S81" s="16"/>
      <c r="T81" s="16"/>
      <c r="U81" s="16" t="str">
        <f>IFERROR(__xludf.DUMMYFUNCTION("""COMPUTED_VALUE"""),"Explorer")</f>
        <v>Explorer</v>
      </c>
      <c r="V81" s="16" t="str">
        <f>IFERROR(__xludf.DUMMYFUNCTION("""COMPUTED_VALUE"""),"ISTANBUL - BEYOGLU")</f>
        <v>ISTANBUL - BEYOGLU</v>
      </c>
      <c r="W81" s="16" t="str">
        <f>IFERROR(__xludf.DUMMYFUNCTION("""COMPUTED_VALUE"""),"2023-03-16T13:48:12Z")</f>
        <v>2023-03-16T13:48:12Z</v>
      </c>
      <c r="X81" s="16"/>
      <c r="Y81" s="16"/>
      <c r="Z81" s="16"/>
    </row>
    <row r="82">
      <c r="A82" s="16" t="str">
        <f>IFERROR(__xludf.DUMMYFUNCTION("""COMPUTED_VALUE"""),"5081291_1289936")</f>
        <v>5081291_1289936</v>
      </c>
      <c r="B82" s="16" t="str">
        <f>IFERROR(__xludf.DUMMYFUNCTION("""COMPUTED_VALUE"""),"Oğuz Kaan İşleyen")</f>
        <v>Oğuz Kaan İşleyen</v>
      </c>
      <c r="C82" s="16" t="str">
        <f>IFERROR(__xludf.DUMMYFUNCTION("""COMPUTED_VALUE"""),"completed")</f>
        <v>completed</v>
      </c>
      <c r="D82" s="16" t="str">
        <f>IFERROR(__xludf.DUMMYFUNCTION("""COMPUTED_VALUE"""),"No")</f>
        <v>No</v>
      </c>
      <c r="E82" s="16" t="str">
        <f>IFERROR(__xludf.DUMMYFUNCTION("""COMPUTED_VALUE"""),"p_dbe48bc72a70cdc863bbf743f3b8a998ad6da37f@inbound.aiesec.org")</f>
        <v>p_dbe48bc72a70cdc863bbf743f3b8a998ad6da37f@inbound.aiesec.org</v>
      </c>
      <c r="F82" s="16"/>
      <c r="G82" s="16" t="str">
        <f>IFERROR(__xludf.DUMMYFUNCTION("""COMPUTED_VALUE"""),"Turkey")</f>
        <v>Turkey</v>
      </c>
      <c r="H82" s="16" t="str">
        <f>IFERROR(__xludf.DUMMYFUNCTION("""COMPUTED_VALUE"""),"ISTANBUL")</f>
        <v>ISTANBUL</v>
      </c>
      <c r="I82" s="16" t="str">
        <f>IFERROR(__xludf.DUMMYFUNCTION("""COMPUTED_VALUE"""),"India")</f>
        <v>India</v>
      </c>
      <c r="J82" s="16" t="str">
        <f>IFERROR(__xludf.DUMMYFUNCTION("""COMPUTED_VALUE"""),"Dehradun")</f>
        <v>Dehradun</v>
      </c>
      <c r="K82" s="17" t="str">
        <f>IFERROR(__xludf.DUMMYFUNCTION("""COMPUTED_VALUE"""),"https://expa.aiesec.org/opportunities/1289936")</f>
        <v>https://expa.aiesec.org/opportunities/1289936</v>
      </c>
      <c r="L82" s="16" t="str">
        <f>IFERROR(__xludf.DUMMYFUNCTION("""COMPUTED_VALUE"""),"GV")</f>
        <v>GV</v>
      </c>
      <c r="M82" s="16" t="str">
        <f>IFERROR(__xludf.DUMMYFUNCTION("""COMPUTED_VALUE"""),"short")</f>
        <v>short</v>
      </c>
      <c r="N82" s="18">
        <f>IFERROR(__xludf.DUMMYFUNCTION("""COMPUTED_VALUE"""),45009.0)</f>
        <v>45009</v>
      </c>
      <c r="O82" s="18">
        <f>IFERROR(__xludf.DUMMYFUNCTION("""COMPUTED_VALUE"""),45122.0)</f>
        <v>45122</v>
      </c>
      <c r="P82" s="18">
        <f>IFERROR(__xludf.DUMMYFUNCTION("""COMPUTED_VALUE"""),45164.0)</f>
        <v>45164</v>
      </c>
      <c r="Q82" s="18">
        <f>IFERROR(__xludf.DUMMYFUNCTION("""COMPUTED_VALUE"""),45121.0)</f>
        <v>45121</v>
      </c>
      <c r="R82" s="18">
        <f>IFERROR(__xludf.DUMMYFUNCTION("""COMPUTED_VALUE"""),45164.0)</f>
        <v>45164</v>
      </c>
      <c r="S82" s="16"/>
      <c r="T82" s="16"/>
      <c r="U82" s="16" t="str">
        <f>IFERROR(__xludf.DUMMYFUNCTION("""COMPUTED_VALUE"""),"Global Classroom")</f>
        <v>Global Classroom</v>
      </c>
      <c r="V82" s="16" t="str">
        <f>IFERROR(__xludf.DUMMYFUNCTION("""COMPUTED_VALUE"""),"-")</f>
        <v>-</v>
      </c>
      <c r="W82" s="16" t="str">
        <f>IFERROR(__xludf.DUMMYFUNCTION("""COMPUTED_VALUE"""),"2022-07-10T01:14:37Z")</f>
        <v>2022-07-10T01:14:37Z</v>
      </c>
      <c r="X82" s="16"/>
      <c r="Y82" s="16"/>
      <c r="Z82" s="16"/>
    </row>
    <row r="83">
      <c r="A83" s="16" t="str">
        <f>IFERROR(__xludf.DUMMYFUNCTION("""COMPUTED_VALUE"""),"5210947_1289536")</f>
        <v>5210947_1289536</v>
      </c>
      <c r="B83" s="16" t="str">
        <f>IFERROR(__xludf.DUMMYFUNCTION("""COMPUTED_VALUE"""),"Lidiia Bondarieva")</f>
        <v>Lidiia Bondarieva</v>
      </c>
      <c r="C83" s="16" t="str">
        <f>IFERROR(__xludf.DUMMYFUNCTION("""COMPUTED_VALUE"""),"completed")</f>
        <v>completed</v>
      </c>
      <c r="D83" s="16" t="str">
        <f>IFERROR(__xludf.DUMMYFUNCTION("""COMPUTED_VALUE"""),"No")</f>
        <v>No</v>
      </c>
      <c r="E83" s="16" t="str">
        <f>IFERROR(__xludf.DUMMYFUNCTION("""COMPUTED_VALUE"""),"p_9b5e718a9b9b1069848855a17c8354f384fae2d8@inbound.aiesec.org")</f>
        <v>p_9b5e718a9b9b1069848855a17c8354f384fae2d8@inbound.aiesec.org</v>
      </c>
      <c r="F83" s="16">
        <f>IFERROR(__xludf.DUMMYFUNCTION("""COMPUTED_VALUE"""),9.15203527E8)</f>
        <v>915203527</v>
      </c>
      <c r="G83" s="16" t="str">
        <f>IFERROR(__xludf.DUMMYFUNCTION("""COMPUTED_VALUE"""),"Ukraine")</f>
        <v>Ukraine</v>
      </c>
      <c r="H83" s="16" t="str">
        <f>IFERROR(__xludf.DUMMYFUNCTION("""COMPUTED_VALUE"""),"KHARKIV")</f>
        <v>KHARKIV</v>
      </c>
      <c r="I83" s="16" t="str">
        <f>IFERROR(__xludf.DUMMYFUNCTION("""COMPUTED_VALUE"""),"Turkey")</f>
        <v>Turkey</v>
      </c>
      <c r="J83" s="16" t="str">
        <f>IFERROR(__xludf.DUMMYFUNCTION("""COMPUTED_VALUE"""),"ISTANBUL")</f>
        <v>ISTANBUL</v>
      </c>
      <c r="K83" s="17" t="str">
        <f>IFERROR(__xludf.DUMMYFUNCTION("""COMPUTED_VALUE"""),"https://expa.aiesec.org/opportunities/1289536")</f>
        <v>https://expa.aiesec.org/opportunities/1289536</v>
      </c>
      <c r="L83" s="16" t="str">
        <f>IFERROR(__xludf.DUMMYFUNCTION("""COMPUTED_VALUE"""),"GV")</f>
        <v>GV</v>
      </c>
      <c r="M83" s="16" t="str">
        <f>IFERROR(__xludf.DUMMYFUNCTION("""COMPUTED_VALUE"""),"short")</f>
        <v>short</v>
      </c>
      <c r="N83" s="18">
        <f>IFERROR(__xludf.DUMMYFUNCTION("""COMPUTED_VALUE"""),45009.0)</f>
        <v>45009</v>
      </c>
      <c r="O83" s="18">
        <f>IFERROR(__xludf.DUMMYFUNCTION("""COMPUTED_VALUE"""),45132.0)</f>
        <v>45132</v>
      </c>
      <c r="P83" s="18">
        <f>IFERROR(__xludf.DUMMYFUNCTION("""COMPUTED_VALUE"""),45174.0)</f>
        <v>45174</v>
      </c>
      <c r="Q83" s="18">
        <f>IFERROR(__xludf.DUMMYFUNCTION("""COMPUTED_VALUE"""),45145.0)</f>
        <v>45145</v>
      </c>
      <c r="R83" s="18">
        <f>IFERROR(__xludf.DUMMYFUNCTION("""COMPUTED_VALUE"""),45185.0)</f>
        <v>45185</v>
      </c>
      <c r="S83" s="16"/>
      <c r="T83" s="16"/>
      <c r="U83" s="16" t="str">
        <f>IFERROR(__xludf.DUMMYFUNCTION("""COMPUTED_VALUE"""),"Global Classroom")</f>
        <v>Global Classroom</v>
      </c>
      <c r="V83" s="16" t="str">
        <f>IFERROR(__xludf.DUMMYFUNCTION("""COMPUTED_VALUE"""),"Kharkiv")</f>
        <v>Kharkiv</v>
      </c>
      <c r="W83" s="16" t="str">
        <f>IFERROR(__xludf.DUMMYFUNCTION("""COMPUTED_VALUE"""),"2023-03-09T12:03:53Z")</f>
        <v>2023-03-09T12:03:53Z</v>
      </c>
      <c r="X83" s="16"/>
      <c r="Y83" s="16"/>
      <c r="Z83" s="16"/>
    </row>
    <row r="84">
      <c r="A84" s="16" t="str">
        <f>IFERROR(__xludf.DUMMYFUNCTION("""COMPUTED_VALUE"""),"5226689_1289255")</f>
        <v>5226689_1289255</v>
      </c>
      <c r="B84" s="16" t="str">
        <f>IFERROR(__xludf.DUMMYFUNCTION("""COMPUTED_VALUE"""),"Sarah Yataghane")</f>
        <v>Sarah Yataghane</v>
      </c>
      <c r="C84" s="16" t="str">
        <f>IFERROR(__xludf.DUMMYFUNCTION("""COMPUTED_VALUE"""),"realized")</f>
        <v>realized</v>
      </c>
      <c r="D84" s="16" t="str">
        <f>IFERROR(__xludf.DUMMYFUNCTION("""COMPUTED_VALUE"""),"No")</f>
        <v>No</v>
      </c>
      <c r="E84" s="16" t="str">
        <f>IFERROR(__xludf.DUMMYFUNCTION("""COMPUTED_VALUE"""),"p_48e17e7082978fb6dcd3e17c8e2649f1141f8f81@inbound.aiesec.org")</f>
        <v>p_48e17e7082978fb6dcd3e17c8e2649f1141f8f81@inbound.aiesec.org</v>
      </c>
      <c r="F84" s="16">
        <f>IFERROR(__xludf.DUMMYFUNCTION("""COMPUTED_VALUE"""),5.41657304E8)</f>
        <v>541657304</v>
      </c>
      <c r="G84" s="16" t="str">
        <f>IFERROR(__xludf.DUMMYFUNCTION("""COMPUTED_VALUE"""),"Algeria")</f>
        <v>Algeria</v>
      </c>
      <c r="H84" s="16" t="str">
        <f>IFERROR(__xludf.DUMMYFUNCTION("""COMPUTED_VALUE"""),"Babez")</f>
        <v>Babez</v>
      </c>
      <c r="I84" s="16" t="str">
        <f>IFERROR(__xludf.DUMMYFUNCTION("""COMPUTED_VALUE"""),"Turkey")</f>
        <v>Turkey</v>
      </c>
      <c r="J84" s="16" t="str">
        <f>IFERROR(__xludf.DUMMYFUNCTION("""COMPUTED_VALUE"""),"ISTANBUL")</f>
        <v>ISTANBUL</v>
      </c>
      <c r="K84" s="17" t="str">
        <f>IFERROR(__xludf.DUMMYFUNCTION("""COMPUTED_VALUE"""),"https://expa.aiesec.org/opportunities/1289255")</f>
        <v>https://expa.aiesec.org/opportunities/1289255</v>
      </c>
      <c r="L84" s="16" t="str">
        <f>IFERROR(__xludf.DUMMYFUNCTION("""COMPUTED_VALUE"""),"GTa")</f>
        <v>GTa</v>
      </c>
      <c r="M84" s="16" t="str">
        <f>IFERROR(__xludf.DUMMYFUNCTION("""COMPUTED_VALUE"""),"long")</f>
        <v>long</v>
      </c>
      <c r="N84" s="18">
        <f>IFERROR(__xludf.DUMMYFUNCTION("""COMPUTED_VALUE"""),45010.0)</f>
        <v>45010</v>
      </c>
      <c r="O84" s="18">
        <f>IFERROR(__xludf.DUMMYFUNCTION("""COMPUTED_VALUE"""),45060.0)</f>
        <v>45060</v>
      </c>
      <c r="P84" s="18">
        <f>IFERROR(__xludf.DUMMYFUNCTION("""COMPUTED_VALUE"""),45604.0)</f>
        <v>45604</v>
      </c>
      <c r="Q84" s="18">
        <f>IFERROR(__xludf.DUMMYFUNCTION("""COMPUTED_VALUE"""),45062.0)</f>
        <v>45062</v>
      </c>
      <c r="R84" s="18">
        <f>IFERROR(__xludf.DUMMYFUNCTION("""COMPUTED_VALUE"""),45611.0)</f>
        <v>45611</v>
      </c>
      <c r="S84" s="16"/>
      <c r="T84" s="16" t="str">
        <f>IFERROR(__xludf.DUMMYFUNCTION("""COMPUTED_VALUE"""),"Business Administration")</f>
        <v>Business Administration</v>
      </c>
      <c r="U84" s="16" t="str">
        <f>IFERROR(__xludf.DUMMYFUNCTION("""COMPUTED_VALUE"""),"Telesales Specialist in Istanbul (French Speaker)")</f>
        <v>Telesales Specialist in Istanbul (French Speaker)</v>
      </c>
      <c r="V84" s="16" t="str">
        <f>IFERROR(__xludf.DUMMYFUNCTION("""COMPUTED_VALUE"""),"AIESEC in Babez")</f>
        <v>AIESEC in Babez</v>
      </c>
      <c r="W84" s="16" t="str">
        <f>IFERROR(__xludf.DUMMYFUNCTION("""COMPUTED_VALUE"""),"2023-03-25T13:15:02Z")</f>
        <v>2023-03-25T13:15:02Z</v>
      </c>
      <c r="X84" s="16"/>
      <c r="Y84" s="16"/>
      <c r="Z84" s="16"/>
    </row>
    <row r="85">
      <c r="A85" s="16" t="str">
        <f>IFERROR(__xludf.DUMMYFUNCTION("""COMPUTED_VALUE"""),"5202499_1289536")</f>
        <v>5202499_1289536</v>
      </c>
      <c r="B85" s="16" t="str">
        <f>IFERROR(__xludf.DUMMYFUNCTION("""COMPUTED_VALUE"""),"Anastasiya Levchenko")</f>
        <v>Anastasiya Levchenko</v>
      </c>
      <c r="C85" s="16" t="str">
        <f>IFERROR(__xludf.DUMMYFUNCTION("""COMPUTED_VALUE"""),"completed")</f>
        <v>completed</v>
      </c>
      <c r="D85" s="16" t="str">
        <f>IFERROR(__xludf.DUMMYFUNCTION("""COMPUTED_VALUE"""),"No")</f>
        <v>No</v>
      </c>
      <c r="E85" s="16" t="str">
        <f>IFERROR(__xludf.DUMMYFUNCTION("""COMPUTED_VALUE"""),"p_c4b592b00bda13e37f9c009fc35768b5a28ac190@inbound.aiesec.org")</f>
        <v>p_c4b592b00bda13e37f9c009fc35768b5a28ac190@inbound.aiesec.org</v>
      </c>
      <c r="F85" s="16"/>
      <c r="G85" s="16" t="str">
        <f>IFERROR(__xludf.DUMMYFUNCTION("""COMPUTED_VALUE"""),"Ukraine")</f>
        <v>Ukraine</v>
      </c>
      <c r="H85" s="16" t="str">
        <f>IFERROR(__xludf.DUMMYFUNCTION("""COMPUTED_VALUE"""),"KHARKIV")</f>
        <v>KHARKIV</v>
      </c>
      <c r="I85" s="16" t="str">
        <f>IFERROR(__xludf.DUMMYFUNCTION("""COMPUTED_VALUE"""),"Turkey")</f>
        <v>Turkey</v>
      </c>
      <c r="J85" s="16" t="str">
        <f>IFERROR(__xludf.DUMMYFUNCTION("""COMPUTED_VALUE"""),"ISTANBUL")</f>
        <v>ISTANBUL</v>
      </c>
      <c r="K85" s="17" t="str">
        <f>IFERROR(__xludf.DUMMYFUNCTION("""COMPUTED_VALUE"""),"https://expa.aiesec.org/opportunities/1289536")</f>
        <v>https://expa.aiesec.org/opportunities/1289536</v>
      </c>
      <c r="L85" s="16" t="str">
        <f>IFERROR(__xludf.DUMMYFUNCTION("""COMPUTED_VALUE"""),"GV")</f>
        <v>GV</v>
      </c>
      <c r="M85" s="16" t="str">
        <f>IFERROR(__xludf.DUMMYFUNCTION("""COMPUTED_VALUE"""),"short")</f>
        <v>short</v>
      </c>
      <c r="N85" s="18">
        <f>IFERROR(__xludf.DUMMYFUNCTION("""COMPUTED_VALUE"""),45011.0)</f>
        <v>45011</v>
      </c>
      <c r="O85" s="18">
        <f>IFERROR(__xludf.DUMMYFUNCTION("""COMPUTED_VALUE"""),45139.0)</f>
        <v>45139</v>
      </c>
      <c r="P85" s="18">
        <f>IFERROR(__xludf.DUMMYFUNCTION("""COMPUTED_VALUE"""),45181.0)</f>
        <v>45181</v>
      </c>
      <c r="Q85" s="18">
        <f>IFERROR(__xludf.DUMMYFUNCTION("""COMPUTED_VALUE"""),45144.0)</f>
        <v>45144</v>
      </c>
      <c r="R85" s="18">
        <f>IFERROR(__xludf.DUMMYFUNCTION("""COMPUTED_VALUE"""),45184.0)</f>
        <v>45184</v>
      </c>
      <c r="S85" s="16"/>
      <c r="T85" s="16"/>
      <c r="U85" s="16" t="str">
        <f>IFERROR(__xludf.DUMMYFUNCTION("""COMPUTED_VALUE"""),"Global Classroom")</f>
        <v>Global Classroom</v>
      </c>
      <c r="V85" s="16" t="str">
        <f>IFERROR(__xludf.DUMMYFUNCTION("""COMPUTED_VALUE"""),"Kharkiv")</f>
        <v>Kharkiv</v>
      </c>
      <c r="W85" s="16" t="str">
        <f>IFERROR(__xludf.DUMMYFUNCTION("""COMPUTED_VALUE"""),"2023-03-01T13:31:00Z")</f>
        <v>2023-03-01T13:31:00Z</v>
      </c>
      <c r="X85" s="16"/>
      <c r="Y85" s="16"/>
      <c r="Z85" s="16"/>
    </row>
    <row r="86">
      <c r="A86" s="16" t="str">
        <f>IFERROR(__xludf.DUMMYFUNCTION("""COMPUTED_VALUE"""),"5227326_1289536")</f>
        <v>5227326_1289536</v>
      </c>
      <c r="B86" s="16" t="str">
        <f>IFERROR(__xludf.DUMMYFUNCTION("""COMPUTED_VALUE"""),"imane aboukir")</f>
        <v>imane aboukir</v>
      </c>
      <c r="C86" s="16" t="str">
        <f>IFERROR(__xludf.DUMMYFUNCTION("""COMPUTED_VALUE"""),"finished")</f>
        <v>finished</v>
      </c>
      <c r="D86" s="16" t="str">
        <f>IFERROR(__xludf.DUMMYFUNCTION("""COMPUTED_VALUE"""),"No")</f>
        <v>No</v>
      </c>
      <c r="E86" s="16" t="str">
        <f>IFERROR(__xludf.DUMMYFUNCTION("""COMPUTED_VALUE"""),"p_caf3f2bd378b1ea59eec279c440f1c892144e9de@inbound.aiesec.org")</f>
        <v>p_caf3f2bd378b1ea59eec279c440f1c892144e9de@inbound.aiesec.org</v>
      </c>
      <c r="F86" s="16">
        <f>IFERROR(__xludf.DUMMYFUNCTION("""COMPUTED_VALUE"""),6.96153986E8)</f>
        <v>696153986</v>
      </c>
      <c r="G86" s="16" t="str">
        <f>IFERROR(__xludf.DUMMYFUNCTION("""COMPUTED_VALUE"""),"Morocco")</f>
        <v>Morocco</v>
      </c>
      <c r="H86" s="16" t="str">
        <f>IFERROR(__xludf.DUMMYFUNCTION("""COMPUTED_VALUE"""),"Kenitra")</f>
        <v>Kenitra</v>
      </c>
      <c r="I86" s="16" t="str">
        <f>IFERROR(__xludf.DUMMYFUNCTION("""COMPUTED_VALUE"""),"Turkey")</f>
        <v>Turkey</v>
      </c>
      <c r="J86" s="16" t="str">
        <f>IFERROR(__xludf.DUMMYFUNCTION("""COMPUTED_VALUE"""),"ISTANBUL")</f>
        <v>ISTANBUL</v>
      </c>
      <c r="K86" s="17" t="str">
        <f>IFERROR(__xludf.DUMMYFUNCTION("""COMPUTED_VALUE"""),"https://expa.aiesec.org/opportunities/1289536")</f>
        <v>https://expa.aiesec.org/opportunities/1289536</v>
      </c>
      <c r="L86" s="16" t="str">
        <f>IFERROR(__xludf.DUMMYFUNCTION("""COMPUTED_VALUE"""),"GV")</f>
        <v>GV</v>
      </c>
      <c r="M86" s="16" t="str">
        <f>IFERROR(__xludf.DUMMYFUNCTION("""COMPUTED_VALUE"""),"short")</f>
        <v>short</v>
      </c>
      <c r="N86" s="18">
        <f>IFERROR(__xludf.DUMMYFUNCTION("""COMPUTED_VALUE"""),45012.0)</f>
        <v>45012</v>
      </c>
      <c r="O86" s="18">
        <f>IFERROR(__xludf.DUMMYFUNCTION("""COMPUTED_VALUE"""),45133.0)</f>
        <v>45133</v>
      </c>
      <c r="P86" s="18">
        <f>IFERROR(__xludf.DUMMYFUNCTION("""COMPUTED_VALUE"""),45175.0)</f>
        <v>45175</v>
      </c>
      <c r="Q86" s="18">
        <f>IFERROR(__xludf.DUMMYFUNCTION("""COMPUTED_VALUE"""),45134.0)</f>
        <v>45134</v>
      </c>
      <c r="R86" s="18">
        <f>IFERROR(__xludf.DUMMYFUNCTION("""COMPUTED_VALUE"""),45175.0)</f>
        <v>45175</v>
      </c>
      <c r="S86" s="16"/>
      <c r="T86" s="16"/>
      <c r="U86" s="16" t="str">
        <f>IFERROR(__xludf.DUMMYFUNCTION("""COMPUTED_VALUE"""),"Global Classroom")</f>
        <v>Global Classroom</v>
      </c>
      <c r="V86" s="16" t="str">
        <f>IFERROR(__xludf.DUMMYFUNCTION("""COMPUTED_VALUE"""),"Other-KENITRA")</f>
        <v>Other-KENITRA</v>
      </c>
      <c r="W86" s="16" t="str">
        <f>IFERROR(__xludf.DUMMYFUNCTION("""COMPUTED_VALUE"""),"2023-03-26T11:54:43Z")</f>
        <v>2023-03-26T11:54:43Z</v>
      </c>
      <c r="X86" s="16"/>
      <c r="Y86" s="16"/>
      <c r="Z86" s="16"/>
    </row>
    <row r="87">
      <c r="A87" s="16" t="str">
        <f>IFERROR(__xludf.DUMMYFUNCTION("""COMPUTED_VALUE"""),"5215634_1290282")</f>
        <v>5215634_1290282</v>
      </c>
      <c r="B87" s="16" t="str">
        <f>IFERROR(__xludf.DUMMYFUNCTION("""COMPUTED_VALUE"""),"ilayda Tosun")</f>
        <v>ilayda Tosun</v>
      </c>
      <c r="C87" s="16" t="str">
        <f>IFERROR(__xludf.DUMMYFUNCTION("""COMPUTED_VALUE"""),"completed")</f>
        <v>completed</v>
      </c>
      <c r="D87" s="16" t="str">
        <f>IFERROR(__xludf.DUMMYFUNCTION("""COMPUTED_VALUE"""),"No")</f>
        <v>No</v>
      </c>
      <c r="E87" s="16" t="str">
        <f>IFERROR(__xludf.DUMMYFUNCTION("""COMPUTED_VALUE"""),"p_b09bdbade1ada982620c74ecdd1174b53fa3a6b0@inbound.aiesec.org")</f>
        <v>p_b09bdbade1ada982620c74ecdd1174b53fa3a6b0@inbound.aiesec.org</v>
      </c>
      <c r="F87" s="16">
        <f>IFERROR(__xludf.DUMMYFUNCTION("""COMPUTED_VALUE"""),5.058687086E9)</f>
        <v>5058687086</v>
      </c>
      <c r="G87" s="16" t="str">
        <f>IFERROR(__xludf.DUMMYFUNCTION("""COMPUTED_VALUE"""),"Turkey")</f>
        <v>Turkey</v>
      </c>
      <c r="H87" s="16" t="str">
        <f>IFERROR(__xludf.DUMMYFUNCTION("""COMPUTED_VALUE"""),"ISTANBUL")</f>
        <v>ISTANBUL</v>
      </c>
      <c r="I87" s="16" t="str">
        <f>IFERROR(__xludf.DUMMYFUNCTION("""COMPUTED_VALUE"""),"Egypt")</f>
        <v>Egypt</v>
      </c>
      <c r="J87" s="16" t="str">
        <f>IFERROR(__xludf.DUMMYFUNCTION("""COMPUTED_VALUE"""),"GUC")</f>
        <v>GUC</v>
      </c>
      <c r="K87" s="17" t="str">
        <f>IFERROR(__xludf.DUMMYFUNCTION("""COMPUTED_VALUE"""),"https://expa.aiesec.org/opportunities/1290282")</f>
        <v>https://expa.aiesec.org/opportunities/1290282</v>
      </c>
      <c r="L87" s="16" t="str">
        <f>IFERROR(__xludf.DUMMYFUNCTION("""COMPUTED_VALUE"""),"GV")</f>
        <v>GV</v>
      </c>
      <c r="M87" s="16" t="str">
        <f>IFERROR(__xludf.DUMMYFUNCTION("""COMPUTED_VALUE"""),"short")</f>
        <v>short</v>
      </c>
      <c r="N87" s="18">
        <f>IFERROR(__xludf.DUMMYFUNCTION("""COMPUTED_VALUE"""),45012.0)</f>
        <v>45012</v>
      </c>
      <c r="O87" s="18">
        <f>IFERROR(__xludf.DUMMYFUNCTION("""COMPUTED_VALUE"""),45122.0)</f>
        <v>45122</v>
      </c>
      <c r="P87" s="18">
        <f>IFERROR(__xludf.DUMMYFUNCTION("""COMPUTED_VALUE"""),45164.0)</f>
        <v>45164</v>
      </c>
      <c r="Q87" s="18">
        <f>IFERROR(__xludf.DUMMYFUNCTION("""COMPUTED_VALUE"""),45123.0)</f>
        <v>45123</v>
      </c>
      <c r="R87" s="18">
        <f>IFERROR(__xludf.DUMMYFUNCTION("""COMPUTED_VALUE"""),45164.0)</f>
        <v>45164</v>
      </c>
      <c r="S87" s="16"/>
      <c r="T87" s="16"/>
      <c r="U87" s="16" t="str">
        <f>IFERROR(__xludf.DUMMYFUNCTION("""COMPUTED_VALUE"""),"On The Map")</f>
        <v>On The Map</v>
      </c>
      <c r="V87" s="16" t="str">
        <f>IFERROR(__xludf.DUMMYFUNCTION("""COMPUTED_VALUE"""),"ISTANBUL - BEYOGLU")</f>
        <v>ISTANBUL - BEYOGLU</v>
      </c>
      <c r="W87" s="16" t="str">
        <f>IFERROR(__xludf.DUMMYFUNCTION("""COMPUTED_VALUE"""),"2023-03-14T11:28:36Z")</f>
        <v>2023-03-14T11:28:36Z</v>
      </c>
      <c r="X87" s="16"/>
      <c r="Y87" s="16"/>
      <c r="Z87" s="16"/>
    </row>
    <row r="88">
      <c r="A88" s="16" t="str">
        <f>IFERROR(__xludf.DUMMYFUNCTION("""COMPUTED_VALUE"""),"5220437_1290282")</f>
        <v>5220437_1290282</v>
      </c>
      <c r="B88" s="16" t="str">
        <f>IFERROR(__xludf.DUMMYFUNCTION("""COMPUTED_VALUE"""),"Sude Naz Yıldırım")</f>
        <v>Sude Naz Yıldırım</v>
      </c>
      <c r="C88" s="16" t="str">
        <f>IFERROR(__xludf.DUMMYFUNCTION("""COMPUTED_VALUE"""),"completed")</f>
        <v>completed</v>
      </c>
      <c r="D88" s="16" t="str">
        <f>IFERROR(__xludf.DUMMYFUNCTION("""COMPUTED_VALUE"""),"No")</f>
        <v>No</v>
      </c>
      <c r="E88" s="16" t="str">
        <f>IFERROR(__xludf.DUMMYFUNCTION("""COMPUTED_VALUE"""),"p_d5553af96a6aeffe97b4e3c599979a5c81dfb095@inbound.aiesec.org")</f>
        <v>p_d5553af96a6aeffe97b4e3c599979a5c81dfb095@inbound.aiesec.org</v>
      </c>
      <c r="F88" s="16">
        <f>IFERROR(__xludf.DUMMYFUNCTION("""COMPUTED_VALUE"""),5.434779859E9)</f>
        <v>5434779859</v>
      </c>
      <c r="G88" s="16" t="str">
        <f>IFERROR(__xludf.DUMMYFUNCTION("""COMPUTED_VALUE"""),"Turkey")</f>
        <v>Turkey</v>
      </c>
      <c r="H88" s="16" t="str">
        <f>IFERROR(__xludf.DUMMYFUNCTION("""COMPUTED_VALUE"""),"ISTANBUL")</f>
        <v>ISTANBUL</v>
      </c>
      <c r="I88" s="16" t="str">
        <f>IFERROR(__xludf.DUMMYFUNCTION("""COMPUTED_VALUE"""),"Egypt")</f>
        <v>Egypt</v>
      </c>
      <c r="J88" s="16" t="str">
        <f>IFERROR(__xludf.DUMMYFUNCTION("""COMPUTED_VALUE"""),"GUC")</f>
        <v>GUC</v>
      </c>
      <c r="K88" s="17" t="str">
        <f>IFERROR(__xludf.DUMMYFUNCTION("""COMPUTED_VALUE"""),"https://expa.aiesec.org/opportunities/1290282")</f>
        <v>https://expa.aiesec.org/opportunities/1290282</v>
      </c>
      <c r="L88" s="16" t="str">
        <f>IFERROR(__xludf.DUMMYFUNCTION("""COMPUTED_VALUE"""),"GV")</f>
        <v>GV</v>
      </c>
      <c r="M88" s="16" t="str">
        <f>IFERROR(__xludf.DUMMYFUNCTION("""COMPUTED_VALUE"""),"short")</f>
        <v>short</v>
      </c>
      <c r="N88" s="18">
        <f>IFERROR(__xludf.DUMMYFUNCTION("""COMPUTED_VALUE"""),45012.0)</f>
        <v>45012</v>
      </c>
      <c r="O88" s="18">
        <f>IFERROR(__xludf.DUMMYFUNCTION("""COMPUTED_VALUE"""),45122.0)</f>
        <v>45122</v>
      </c>
      <c r="P88" s="18">
        <f>IFERROR(__xludf.DUMMYFUNCTION("""COMPUTED_VALUE"""),45164.0)</f>
        <v>45164</v>
      </c>
      <c r="Q88" s="18">
        <f>IFERROR(__xludf.DUMMYFUNCTION("""COMPUTED_VALUE"""),45123.0)</f>
        <v>45123</v>
      </c>
      <c r="R88" s="18">
        <f>IFERROR(__xludf.DUMMYFUNCTION("""COMPUTED_VALUE"""),45164.0)</f>
        <v>45164</v>
      </c>
      <c r="S88" s="16"/>
      <c r="T88" s="16"/>
      <c r="U88" s="16" t="str">
        <f>IFERROR(__xludf.DUMMYFUNCTION("""COMPUTED_VALUE"""),"On The Map")</f>
        <v>On The Map</v>
      </c>
      <c r="V88" s="16" t="str">
        <f>IFERROR(__xludf.DUMMYFUNCTION("""COMPUTED_VALUE"""),"ISTANBUL - BEYOGLU")</f>
        <v>ISTANBUL - BEYOGLU</v>
      </c>
      <c r="W88" s="16" t="str">
        <f>IFERROR(__xludf.DUMMYFUNCTION("""COMPUTED_VALUE"""),"2023-03-18T15:48:50Z")</f>
        <v>2023-03-18T15:48:50Z</v>
      </c>
      <c r="X88" s="16"/>
      <c r="Y88" s="16"/>
      <c r="Z88" s="16"/>
    </row>
    <row r="89">
      <c r="A89" s="16" t="str">
        <f>IFERROR(__xludf.DUMMYFUNCTION("""COMPUTED_VALUE"""),"4431073_1286585")</f>
        <v>4431073_1286585</v>
      </c>
      <c r="B89" s="16" t="str">
        <f>IFERROR(__xludf.DUMMYFUNCTION("""COMPUTED_VALUE"""),"Ahmet Koçak")</f>
        <v>Ahmet Koçak</v>
      </c>
      <c r="C89" s="16" t="str">
        <f>IFERROR(__xludf.DUMMYFUNCTION("""COMPUTED_VALUE"""),"approved")</f>
        <v>approved</v>
      </c>
      <c r="D89" s="16" t="str">
        <f>IFERROR(__xludf.DUMMYFUNCTION("""COMPUTED_VALUE"""),"No")</f>
        <v>No</v>
      </c>
      <c r="E89" s="16" t="str">
        <f>IFERROR(__xludf.DUMMYFUNCTION("""COMPUTED_VALUE"""),"p_d99b9bd0e5cf5404d92091f72acf1b59b3487a83@inbound.aiesec.org")</f>
        <v>p_d99b9bd0e5cf5404d92091f72acf1b59b3487a83@inbound.aiesec.org</v>
      </c>
      <c r="F89" s="16">
        <f>IFERROR(__xludf.DUMMYFUNCTION("""COMPUTED_VALUE"""),5.455513406E9)</f>
        <v>5455513406</v>
      </c>
      <c r="G89" s="16" t="str">
        <f>IFERROR(__xludf.DUMMYFUNCTION("""COMPUTED_VALUE"""),"Turkey")</f>
        <v>Turkey</v>
      </c>
      <c r="H89" s="16" t="str">
        <f>IFERROR(__xludf.DUMMYFUNCTION("""COMPUTED_VALUE"""),"ISTANBUL")</f>
        <v>ISTANBUL</v>
      </c>
      <c r="I89" s="16" t="str">
        <f>IFERROR(__xludf.DUMMYFUNCTION("""COMPUTED_VALUE"""),"Sri Lanka")</f>
        <v>Sri Lanka</v>
      </c>
      <c r="J89" s="16" t="str">
        <f>IFERROR(__xludf.DUMMYFUNCTION("""COMPUTED_VALUE"""),"COLOMBO NORTH")</f>
        <v>COLOMBO NORTH</v>
      </c>
      <c r="K89" s="17" t="str">
        <f>IFERROR(__xludf.DUMMYFUNCTION("""COMPUTED_VALUE"""),"https://expa.aiesec.org/opportunities/1286585")</f>
        <v>https://expa.aiesec.org/opportunities/1286585</v>
      </c>
      <c r="L89" s="16" t="str">
        <f>IFERROR(__xludf.DUMMYFUNCTION("""COMPUTED_VALUE"""),"GV")</f>
        <v>GV</v>
      </c>
      <c r="M89" s="16" t="str">
        <f>IFERROR(__xludf.DUMMYFUNCTION("""COMPUTED_VALUE"""),"short")</f>
        <v>short</v>
      </c>
      <c r="N89" s="18">
        <f>IFERROR(__xludf.DUMMYFUNCTION("""COMPUTED_VALUE"""),45012.0)</f>
        <v>45012</v>
      </c>
      <c r="O89" s="18">
        <f>IFERROR(__xludf.DUMMYFUNCTION("""COMPUTED_VALUE"""),45192.0)</f>
        <v>45192</v>
      </c>
      <c r="P89" s="18">
        <f>IFERROR(__xludf.DUMMYFUNCTION("""COMPUTED_VALUE"""),45234.0)</f>
        <v>45234</v>
      </c>
      <c r="Q89" s="18"/>
      <c r="R89" s="18"/>
      <c r="S89" s="16"/>
      <c r="T89" s="16"/>
      <c r="U89" s="16" t="str">
        <f>IFERROR(__xludf.DUMMYFUNCTION("""COMPUTED_VALUE"""),"On The Map")</f>
        <v>On The Map</v>
      </c>
      <c r="V89" s="16" t="str">
        <f>IFERROR(__xludf.DUMMYFUNCTION("""COMPUTED_VALUE"""),"ISTANBUL - BEYOGLU")</f>
        <v>ISTANBUL - BEYOGLU</v>
      </c>
      <c r="W89" s="16" t="str">
        <f>IFERROR(__xludf.DUMMYFUNCTION("""COMPUTED_VALUE"""),"2020-11-20T22:03:36Z")</f>
        <v>2020-11-20T22:03:36Z</v>
      </c>
      <c r="X89" s="16"/>
      <c r="Y89" s="16"/>
      <c r="Z89" s="16"/>
    </row>
    <row r="90">
      <c r="A90" s="16" t="str">
        <f>IFERROR(__xludf.DUMMYFUNCTION("""COMPUTED_VALUE"""),"5211384_1289255")</f>
        <v>5211384_1289255</v>
      </c>
      <c r="B90" s="16" t="str">
        <f>IFERROR(__xludf.DUMMYFUNCTION("""COMPUTED_VALUE"""),"Zoubida Chamchati")</f>
        <v>Zoubida Chamchati</v>
      </c>
      <c r="C90" s="16" t="str">
        <f>IFERROR(__xludf.DUMMYFUNCTION("""COMPUTED_VALUE"""),"realized")</f>
        <v>realized</v>
      </c>
      <c r="D90" s="16" t="str">
        <f>IFERROR(__xludf.DUMMYFUNCTION("""COMPUTED_VALUE"""),"No")</f>
        <v>No</v>
      </c>
      <c r="E90" s="16" t="str">
        <f>IFERROR(__xludf.DUMMYFUNCTION("""COMPUTED_VALUE"""),"p_7b3e8dee6a960a4126336ded3d6f3813c13d0547@inbound.aiesec.org")</f>
        <v>p_7b3e8dee6a960a4126336ded3d6f3813c13d0547@inbound.aiesec.org</v>
      </c>
      <c r="F90" s="16">
        <f>IFERROR(__xludf.DUMMYFUNCTION("""COMPUTED_VALUE"""),5.52868151E9)</f>
        <v>5528681510</v>
      </c>
      <c r="G90" s="16" t="str">
        <f>IFERROR(__xludf.DUMMYFUNCTION("""COMPUTED_VALUE"""),"Morocco")</f>
        <v>Morocco</v>
      </c>
      <c r="H90" s="16" t="str">
        <f>IFERROR(__xludf.DUMMYFUNCTION("""COMPUTED_VALUE"""),"Morocco (MC)")</f>
        <v>Morocco (MC)</v>
      </c>
      <c r="I90" s="16" t="str">
        <f>IFERROR(__xludf.DUMMYFUNCTION("""COMPUTED_VALUE"""),"Turkey")</f>
        <v>Turkey</v>
      </c>
      <c r="J90" s="16" t="str">
        <f>IFERROR(__xludf.DUMMYFUNCTION("""COMPUTED_VALUE"""),"ISTANBUL")</f>
        <v>ISTANBUL</v>
      </c>
      <c r="K90" s="17" t="str">
        <f>IFERROR(__xludf.DUMMYFUNCTION("""COMPUTED_VALUE"""),"https://expa.aiesec.org/opportunities/1289255")</f>
        <v>https://expa.aiesec.org/opportunities/1289255</v>
      </c>
      <c r="L90" s="16" t="str">
        <f>IFERROR(__xludf.DUMMYFUNCTION("""COMPUTED_VALUE"""),"GTa")</f>
        <v>GTa</v>
      </c>
      <c r="M90" s="16" t="str">
        <f>IFERROR(__xludf.DUMMYFUNCTION("""COMPUTED_VALUE"""),"long")</f>
        <v>long</v>
      </c>
      <c r="N90" s="18">
        <f>IFERROR(__xludf.DUMMYFUNCTION("""COMPUTED_VALUE"""),45013.0)</f>
        <v>45013</v>
      </c>
      <c r="O90" s="18">
        <f>IFERROR(__xludf.DUMMYFUNCTION("""COMPUTED_VALUE"""),45026.0)</f>
        <v>45026</v>
      </c>
      <c r="P90" s="18">
        <f>IFERROR(__xludf.DUMMYFUNCTION("""COMPUTED_VALUE"""),45569.0)</f>
        <v>45569</v>
      </c>
      <c r="Q90" s="18">
        <f>IFERROR(__xludf.DUMMYFUNCTION("""COMPUTED_VALUE"""),45054.0)</f>
        <v>45054</v>
      </c>
      <c r="R90" s="18">
        <f>IFERROR(__xludf.DUMMYFUNCTION("""COMPUTED_VALUE"""),45604.0)</f>
        <v>45604</v>
      </c>
      <c r="S90" s="16"/>
      <c r="T90" s="16" t="str">
        <f>IFERROR(__xludf.DUMMYFUNCTION("""COMPUTED_VALUE"""),"Business Administration")</f>
        <v>Business Administration</v>
      </c>
      <c r="U90" s="16" t="str">
        <f>IFERROR(__xludf.DUMMYFUNCTION("""COMPUTED_VALUE"""),"Telesales Specialist in Istanbul (French Speaker)")</f>
        <v>Telesales Specialist in Istanbul (French Speaker)</v>
      </c>
      <c r="V90" s="16" t="str">
        <f>IFERROR(__xludf.DUMMYFUNCTION("""COMPUTED_VALUE"""),"FS Semlalia Marrakech")</f>
        <v>FS Semlalia Marrakech</v>
      </c>
      <c r="W90" s="16" t="str">
        <f>IFERROR(__xludf.DUMMYFUNCTION("""COMPUTED_VALUE"""),"2023-03-09T19:16:01Z")</f>
        <v>2023-03-09T19:16:01Z</v>
      </c>
      <c r="X90" s="16"/>
      <c r="Y90" s="16"/>
      <c r="Z90" s="16"/>
    </row>
    <row r="91">
      <c r="A91" s="16" t="str">
        <f>IFERROR(__xludf.DUMMYFUNCTION("""COMPUTED_VALUE"""),"5228017_1289536")</f>
        <v>5228017_1289536</v>
      </c>
      <c r="B91" s="16" t="str">
        <f>IFERROR(__xludf.DUMMYFUNCTION("""COMPUTED_VALUE"""),"Emna Ferchichi")</f>
        <v>Emna Ferchichi</v>
      </c>
      <c r="C91" s="16" t="str">
        <f>IFERROR(__xludf.DUMMYFUNCTION("""COMPUTED_VALUE"""),"completed")</f>
        <v>completed</v>
      </c>
      <c r="D91" s="16" t="str">
        <f>IFERROR(__xludf.DUMMYFUNCTION("""COMPUTED_VALUE"""),"No")</f>
        <v>No</v>
      </c>
      <c r="E91" s="16" t="str">
        <f>IFERROR(__xludf.DUMMYFUNCTION("""COMPUTED_VALUE"""),"p_4b6bd17e75d32377081fc35095a05972bbf8d76f@inbound.aiesec.org")</f>
        <v>p_4b6bd17e75d32377081fc35095a05972bbf8d76f@inbound.aiesec.org</v>
      </c>
      <c r="F91" s="16">
        <f>IFERROR(__xludf.DUMMYFUNCTION("""COMPUTED_VALUE"""),9.2820159E7)</f>
        <v>92820159</v>
      </c>
      <c r="G91" s="16" t="str">
        <f>IFERROR(__xludf.DUMMYFUNCTION("""COMPUTED_VALUE"""),"Tunisia")</f>
        <v>Tunisia</v>
      </c>
      <c r="H91" s="16" t="str">
        <f>IFERROR(__xludf.DUMMYFUNCTION("""COMPUTED_VALUE"""),"Carthage")</f>
        <v>Carthage</v>
      </c>
      <c r="I91" s="16" t="str">
        <f>IFERROR(__xludf.DUMMYFUNCTION("""COMPUTED_VALUE"""),"Turkey")</f>
        <v>Turkey</v>
      </c>
      <c r="J91" s="16" t="str">
        <f>IFERROR(__xludf.DUMMYFUNCTION("""COMPUTED_VALUE"""),"ISTANBUL")</f>
        <v>ISTANBUL</v>
      </c>
      <c r="K91" s="17" t="str">
        <f>IFERROR(__xludf.DUMMYFUNCTION("""COMPUTED_VALUE"""),"https://expa.aiesec.org/opportunities/1289536")</f>
        <v>https://expa.aiesec.org/opportunities/1289536</v>
      </c>
      <c r="L91" s="16" t="str">
        <f>IFERROR(__xludf.DUMMYFUNCTION("""COMPUTED_VALUE"""),"GV")</f>
        <v>GV</v>
      </c>
      <c r="M91" s="16" t="str">
        <f>IFERROR(__xludf.DUMMYFUNCTION("""COMPUTED_VALUE"""),"short")</f>
        <v>short</v>
      </c>
      <c r="N91" s="18">
        <f>IFERROR(__xludf.DUMMYFUNCTION("""COMPUTED_VALUE"""),45013.0)</f>
        <v>45013</v>
      </c>
      <c r="O91" s="18">
        <f>IFERROR(__xludf.DUMMYFUNCTION("""COMPUTED_VALUE"""),45174.0)</f>
        <v>45174</v>
      </c>
      <c r="P91" s="18">
        <f>IFERROR(__xludf.DUMMYFUNCTION("""COMPUTED_VALUE"""),45216.0)</f>
        <v>45216</v>
      </c>
      <c r="Q91" s="18">
        <f>IFERROR(__xludf.DUMMYFUNCTION("""COMPUTED_VALUE"""),45180.0)</f>
        <v>45180</v>
      </c>
      <c r="R91" s="18">
        <f>IFERROR(__xludf.DUMMYFUNCTION("""COMPUTED_VALUE"""),45220.0)</f>
        <v>45220</v>
      </c>
      <c r="S91" s="16"/>
      <c r="T91" s="16"/>
      <c r="U91" s="16" t="str">
        <f>IFERROR(__xludf.DUMMYFUNCTION("""COMPUTED_VALUE"""),"Global Classroom")</f>
        <v>Global Classroom</v>
      </c>
      <c r="V91" s="16" t="str">
        <f>IFERROR(__xludf.DUMMYFUNCTION("""COMPUTED_VALUE"""),"ISLT")</f>
        <v>ISLT</v>
      </c>
      <c r="W91" s="16" t="str">
        <f>IFERROR(__xludf.DUMMYFUNCTION("""COMPUTED_VALUE"""),"2023-03-27T10:53:53Z")</f>
        <v>2023-03-27T10:53:53Z</v>
      </c>
      <c r="X91" s="16"/>
      <c r="Y91" s="16"/>
      <c r="Z91" s="16"/>
    </row>
    <row r="92">
      <c r="A92" s="16" t="str">
        <f>IFERROR(__xludf.DUMMYFUNCTION("""COMPUTED_VALUE"""),"5230258_1289255")</f>
        <v>5230258_1289255</v>
      </c>
      <c r="B92" s="16" t="str">
        <f>IFERROR(__xludf.DUMMYFUNCTION("""COMPUTED_VALUE"""),"Souhaila Igdem")</f>
        <v>Souhaila Igdem</v>
      </c>
      <c r="C92" s="16" t="str">
        <f>IFERROR(__xludf.DUMMYFUNCTION("""COMPUTED_VALUE"""),"realized")</f>
        <v>realized</v>
      </c>
      <c r="D92" s="16" t="str">
        <f>IFERROR(__xludf.DUMMYFUNCTION("""COMPUTED_VALUE"""),"No")</f>
        <v>No</v>
      </c>
      <c r="E92" s="16" t="str">
        <f>IFERROR(__xludf.DUMMYFUNCTION("""COMPUTED_VALUE"""),"p_c68e68e3a133a53cc2b2fa5cad65805cb82388c3@inbound.aiesec.org")</f>
        <v>p_c68e68e3a133a53cc2b2fa5cad65805cb82388c3@inbound.aiesec.org</v>
      </c>
      <c r="F92" s="16">
        <f>IFERROR(__xludf.DUMMYFUNCTION("""COMPUTED_VALUE"""),7.00118318E8)</f>
        <v>700118318</v>
      </c>
      <c r="G92" s="16" t="str">
        <f>IFERROR(__xludf.DUMMYFUNCTION("""COMPUTED_VALUE"""),"Morocco")</f>
        <v>Morocco</v>
      </c>
      <c r="H92" s="16" t="str">
        <f>IFERROR(__xludf.DUMMYFUNCTION("""COMPUTED_VALUE"""),"Morocco (MC)")</f>
        <v>Morocco (MC)</v>
      </c>
      <c r="I92" s="16" t="str">
        <f>IFERROR(__xludf.DUMMYFUNCTION("""COMPUTED_VALUE"""),"Turkey")</f>
        <v>Turkey</v>
      </c>
      <c r="J92" s="16" t="str">
        <f>IFERROR(__xludf.DUMMYFUNCTION("""COMPUTED_VALUE"""),"ISTANBUL")</f>
        <v>ISTANBUL</v>
      </c>
      <c r="K92" s="17" t="str">
        <f>IFERROR(__xludf.DUMMYFUNCTION("""COMPUTED_VALUE"""),"https://expa.aiesec.org/opportunities/1289255")</f>
        <v>https://expa.aiesec.org/opportunities/1289255</v>
      </c>
      <c r="L92" s="16" t="str">
        <f>IFERROR(__xludf.DUMMYFUNCTION("""COMPUTED_VALUE"""),"GTa")</f>
        <v>GTa</v>
      </c>
      <c r="M92" s="16" t="str">
        <f>IFERROR(__xludf.DUMMYFUNCTION("""COMPUTED_VALUE"""),"long")</f>
        <v>long</v>
      </c>
      <c r="N92" s="18">
        <f>IFERROR(__xludf.DUMMYFUNCTION("""COMPUTED_VALUE"""),45014.0)</f>
        <v>45014</v>
      </c>
      <c r="O92" s="18">
        <f>IFERROR(__xludf.DUMMYFUNCTION("""COMPUTED_VALUE"""),45060.0)</f>
        <v>45060</v>
      </c>
      <c r="P92" s="18">
        <f>IFERROR(__xludf.DUMMYFUNCTION("""COMPUTED_VALUE"""),45604.0)</f>
        <v>45604</v>
      </c>
      <c r="Q92" s="18">
        <f>IFERROR(__xludf.DUMMYFUNCTION("""COMPUTED_VALUE"""),45082.0)</f>
        <v>45082</v>
      </c>
      <c r="R92" s="18">
        <f>IFERROR(__xludf.DUMMYFUNCTION("""COMPUTED_VALUE"""),45632.0)</f>
        <v>45632</v>
      </c>
      <c r="S92" s="16"/>
      <c r="T92" s="16" t="str">
        <f>IFERROR(__xludf.DUMMYFUNCTION("""COMPUTED_VALUE"""),"Business Administration")</f>
        <v>Business Administration</v>
      </c>
      <c r="U92" s="16" t="str">
        <f>IFERROR(__xludf.DUMMYFUNCTION("""COMPUTED_VALUE"""),"Telesales Specialist in Istanbul (French Speaker)")</f>
        <v>Telesales Specialist in Istanbul (French Speaker)</v>
      </c>
      <c r="V92" s="16" t="str">
        <f>IFERROR(__xludf.DUMMYFUNCTION("""COMPUTED_VALUE"""),"Other-MARRAKECH")</f>
        <v>Other-MARRAKECH</v>
      </c>
      <c r="W92" s="16" t="str">
        <f>IFERROR(__xludf.DUMMYFUNCTION("""COMPUTED_VALUE"""),"2023-03-29T16:23:16Z")</f>
        <v>2023-03-29T16:23:16Z</v>
      </c>
      <c r="X92" s="16"/>
      <c r="Y92" s="16"/>
      <c r="Z92" s="16"/>
    </row>
    <row r="93">
      <c r="A93" s="16" t="str">
        <f>IFERROR(__xludf.DUMMYFUNCTION("""COMPUTED_VALUE"""),"5227550_1293417")</f>
        <v>5227550_1293417</v>
      </c>
      <c r="B93" s="16" t="str">
        <f>IFERROR(__xludf.DUMMYFUNCTION("""COMPUTED_VALUE"""),"Dumitrescu Alexandru")</f>
        <v>Dumitrescu Alexandru</v>
      </c>
      <c r="C93" s="16" t="str">
        <f>IFERROR(__xludf.DUMMYFUNCTION("""COMPUTED_VALUE"""),"finished")</f>
        <v>finished</v>
      </c>
      <c r="D93" s="16" t="str">
        <f>IFERROR(__xludf.DUMMYFUNCTION("""COMPUTED_VALUE"""),"No")</f>
        <v>No</v>
      </c>
      <c r="E93" s="16" t="str">
        <f>IFERROR(__xludf.DUMMYFUNCTION("""COMPUTED_VALUE"""),"p_2a65c59e572c9c0b04beddbe45b49fefc37ff97f@inbound.aiesec.org")</f>
        <v>p_2a65c59e572c9c0b04beddbe45b49fefc37ff97f@inbound.aiesec.org</v>
      </c>
      <c r="F93" s="16">
        <f>IFERROR(__xludf.DUMMYFUNCTION("""COMPUTED_VALUE"""),7.5343241E8)</f>
        <v>753432410</v>
      </c>
      <c r="G93" s="16" t="str">
        <f>IFERROR(__xludf.DUMMYFUNCTION("""COMPUTED_VALUE"""),"Romania")</f>
        <v>Romania</v>
      </c>
      <c r="H93" s="16" t="str">
        <f>IFERROR(__xludf.DUMMYFUNCTION("""COMPUTED_VALUE"""),"Cluj-Napoca")</f>
        <v>Cluj-Napoca</v>
      </c>
      <c r="I93" s="16" t="str">
        <f>IFERROR(__xludf.DUMMYFUNCTION("""COMPUTED_VALUE"""),"Turkey")</f>
        <v>Turkey</v>
      </c>
      <c r="J93" s="16" t="str">
        <f>IFERROR(__xludf.DUMMYFUNCTION("""COMPUTED_VALUE"""),"ISTANBUL")</f>
        <v>ISTANBUL</v>
      </c>
      <c r="K93" s="17" t="str">
        <f>IFERROR(__xludf.DUMMYFUNCTION("""COMPUTED_VALUE"""),"https://expa.aiesec.org/opportunities/1293417")</f>
        <v>https://expa.aiesec.org/opportunities/1293417</v>
      </c>
      <c r="L93" s="16" t="str">
        <f>IFERROR(__xludf.DUMMYFUNCTION("""COMPUTED_VALUE"""),"GV")</f>
        <v>GV</v>
      </c>
      <c r="M93" s="16" t="str">
        <f>IFERROR(__xludf.DUMMYFUNCTION("""COMPUTED_VALUE"""),"short")</f>
        <v>short</v>
      </c>
      <c r="N93" s="18">
        <f>IFERROR(__xludf.DUMMYFUNCTION("""COMPUTED_VALUE"""),45014.0)</f>
        <v>45014</v>
      </c>
      <c r="O93" s="18">
        <f>IFERROR(__xludf.DUMMYFUNCTION("""COMPUTED_VALUE"""),45173.0)</f>
        <v>45173</v>
      </c>
      <c r="P93" s="18">
        <f>IFERROR(__xludf.DUMMYFUNCTION("""COMPUTED_VALUE"""),45215.0)</f>
        <v>45215</v>
      </c>
      <c r="Q93" s="18">
        <f>IFERROR(__xludf.DUMMYFUNCTION("""COMPUTED_VALUE"""),45180.0)</f>
        <v>45180</v>
      </c>
      <c r="R93" s="18">
        <f>IFERROR(__xludf.DUMMYFUNCTION("""COMPUTED_VALUE"""),45220.0)</f>
        <v>45220</v>
      </c>
      <c r="S93" s="16"/>
      <c r="T93" s="16"/>
      <c r="U93" s="16" t="str">
        <f>IFERROR(__xludf.DUMMYFUNCTION("""COMPUTED_VALUE"""),"Global Classroom")</f>
        <v>Global Classroom</v>
      </c>
      <c r="V93" s="16" t="str">
        <f>IFERROR(__xludf.DUMMYFUNCTION("""COMPUTED_VALUE"""),"Cluj-Napoca")</f>
        <v>Cluj-Napoca</v>
      </c>
      <c r="W93" s="16" t="str">
        <f>IFERROR(__xludf.DUMMYFUNCTION("""COMPUTED_VALUE"""),"2023-03-26T17:04:46Z")</f>
        <v>2023-03-26T17:04:46Z</v>
      </c>
      <c r="X93" s="16"/>
      <c r="Y93" s="16"/>
      <c r="Z93" s="16"/>
    </row>
    <row r="94">
      <c r="A94" s="16" t="str">
        <f>IFERROR(__xludf.DUMMYFUNCTION("""COMPUTED_VALUE"""),"744612_1292158")</f>
        <v>744612_1292158</v>
      </c>
      <c r="B94" s="16" t="str">
        <f>IFERROR(__xludf.DUMMYFUNCTION("""COMPUTED_VALUE"""),"Hüseyin Çelik")</f>
        <v>Hüseyin Çelik</v>
      </c>
      <c r="C94" s="16" t="str">
        <f>IFERROR(__xludf.DUMMYFUNCTION("""COMPUTED_VALUE"""),"realized")</f>
        <v>realized</v>
      </c>
      <c r="D94" s="16" t="str">
        <f>IFERROR(__xludf.DUMMYFUNCTION("""COMPUTED_VALUE"""),"No")</f>
        <v>No</v>
      </c>
      <c r="E94" s="16" t="str">
        <f>IFERROR(__xludf.DUMMYFUNCTION("""COMPUTED_VALUE"""),"p_d07c8b5f832ee32ce7e38c7b7ad998fb281fdc6a@inbound.aiesec.org")</f>
        <v>p_d07c8b5f832ee32ce7e38c7b7ad998fb281fdc6a@inbound.aiesec.org</v>
      </c>
      <c r="F94" s="16">
        <f>IFERROR(__xludf.DUMMYFUNCTION("""COMPUTED_VALUE"""),5.322102827E9)</f>
        <v>5322102827</v>
      </c>
      <c r="G94" s="16" t="str">
        <f>IFERROR(__xludf.DUMMYFUNCTION("""COMPUTED_VALUE"""),"Turkey")</f>
        <v>Turkey</v>
      </c>
      <c r="H94" s="16" t="str">
        <f>IFERROR(__xludf.DUMMYFUNCTION("""COMPUTED_VALUE"""),"ISTANBUL")</f>
        <v>ISTANBUL</v>
      </c>
      <c r="I94" s="16" t="str">
        <f>IFERROR(__xludf.DUMMYFUNCTION("""COMPUTED_VALUE"""),"Hungary")</f>
        <v>Hungary</v>
      </c>
      <c r="J94" s="16" t="str">
        <f>IFERROR(__xludf.DUMMYFUNCTION("""COMPUTED_VALUE"""),"BME - Budapest")</f>
        <v>BME - Budapest</v>
      </c>
      <c r="K94" s="17" t="str">
        <f>IFERROR(__xludf.DUMMYFUNCTION("""COMPUTED_VALUE"""),"https://expa.aiesec.org/opportunities/1292158")</f>
        <v>https://expa.aiesec.org/opportunities/1292158</v>
      </c>
      <c r="L94" s="16" t="str">
        <f>IFERROR(__xludf.DUMMYFUNCTION("""COMPUTED_VALUE"""),"GTa")</f>
        <v>GTa</v>
      </c>
      <c r="M94" s="16" t="str">
        <f>IFERROR(__xludf.DUMMYFUNCTION("""COMPUTED_VALUE"""),"long")</f>
        <v>long</v>
      </c>
      <c r="N94" s="18">
        <f>IFERROR(__xludf.DUMMYFUNCTION("""COMPUTED_VALUE"""),45014.0)</f>
        <v>45014</v>
      </c>
      <c r="O94" s="18">
        <f>IFERROR(__xludf.DUMMYFUNCTION("""COMPUTED_VALUE"""),45124.0)</f>
        <v>45124</v>
      </c>
      <c r="P94" s="18">
        <f>IFERROR(__xludf.DUMMYFUNCTION("""COMPUTED_VALUE"""),45489.0)</f>
        <v>45489</v>
      </c>
      <c r="Q94" s="18">
        <f>IFERROR(__xludf.DUMMYFUNCTION("""COMPUTED_VALUE"""),45125.0)</f>
        <v>45125</v>
      </c>
      <c r="R94" s="18">
        <f>IFERROR(__xludf.DUMMYFUNCTION("""COMPUTED_VALUE"""),45489.0)</f>
        <v>45489</v>
      </c>
      <c r="S94" s="16"/>
      <c r="T94" s="16" t="str">
        <f>IFERROR(__xludf.DUMMYFUNCTION("""COMPUTED_VALUE"""),"Business Administration")</f>
        <v>Business Administration</v>
      </c>
      <c r="U94" s="16" t="str">
        <f>IFERROR(__xludf.DUMMYFUNCTION("""COMPUTED_VALUE"""),"Customer Data Administrator ")</f>
        <v>Customer Data Administrator </v>
      </c>
      <c r="V94" s="16" t="str">
        <f>IFERROR(__xludf.DUMMYFUNCTION("""COMPUTED_VALUE"""),"-")</f>
        <v>-</v>
      </c>
      <c r="W94" s="16" t="str">
        <f>IFERROR(__xludf.DUMMYFUNCTION("""COMPUTED_VALUE"""),"2015-10-25T05:13:31Z")</f>
        <v>2015-10-25T05:13:31Z</v>
      </c>
      <c r="X94" s="16"/>
      <c r="Y94" s="16"/>
      <c r="Z94" s="16"/>
    </row>
    <row r="95">
      <c r="A95" s="16" t="str">
        <f>IFERROR(__xludf.DUMMYFUNCTION("""COMPUTED_VALUE"""),"5229868_1291391")</f>
        <v>5229868_1291391</v>
      </c>
      <c r="B95" s="16" t="str">
        <f>IFERROR(__xludf.DUMMYFUNCTION("""COMPUTED_VALUE"""),"Funda Sezin Altıntaş")</f>
        <v>Funda Sezin Altıntaş</v>
      </c>
      <c r="C95" s="16" t="str">
        <f>IFERROR(__xludf.DUMMYFUNCTION("""COMPUTED_VALUE"""),"completed")</f>
        <v>completed</v>
      </c>
      <c r="D95" s="16" t="str">
        <f>IFERROR(__xludf.DUMMYFUNCTION("""COMPUTED_VALUE"""),"No")</f>
        <v>No</v>
      </c>
      <c r="E95" s="16" t="str">
        <f>IFERROR(__xludf.DUMMYFUNCTION("""COMPUTED_VALUE"""),"p_d8854c5f19baf8601204f36d955f340b6713b676@inbound.aiesec.org")</f>
        <v>p_d8854c5f19baf8601204f36d955f340b6713b676@inbound.aiesec.org</v>
      </c>
      <c r="F95" s="16">
        <f>IFERROR(__xludf.DUMMYFUNCTION("""COMPUTED_VALUE"""),5.071452698E9)</f>
        <v>5071452698</v>
      </c>
      <c r="G95" s="16" t="str">
        <f>IFERROR(__xludf.DUMMYFUNCTION("""COMPUTED_VALUE"""),"Turkey")</f>
        <v>Turkey</v>
      </c>
      <c r="H95" s="16" t="str">
        <f>IFERROR(__xludf.DUMMYFUNCTION("""COMPUTED_VALUE"""),"ISTANBUL")</f>
        <v>ISTANBUL</v>
      </c>
      <c r="I95" s="16" t="str">
        <f>IFERROR(__xludf.DUMMYFUNCTION("""COMPUTED_VALUE"""),"Tunisia")</f>
        <v>Tunisia</v>
      </c>
      <c r="J95" s="16" t="str">
        <f>IFERROR(__xludf.DUMMYFUNCTION("""COMPUTED_VALUE"""),"Bizerte")</f>
        <v>Bizerte</v>
      </c>
      <c r="K95" s="17" t="str">
        <f>IFERROR(__xludf.DUMMYFUNCTION("""COMPUTED_VALUE"""),"https://expa.aiesec.org/opportunities/1291391")</f>
        <v>https://expa.aiesec.org/opportunities/1291391</v>
      </c>
      <c r="L95" s="16" t="str">
        <f>IFERROR(__xludf.DUMMYFUNCTION("""COMPUTED_VALUE"""),"GV")</f>
        <v>GV</v>
      </c>
      <c r="M95" s="16" t="str">
        <f>IFERROR(__xludf.DUMMYFUNCTION("""COMPUTED_VALUE"""),"short")</f>
        <v>short</v>
      </c>
      <c r="N95" s="18">
        <f>IFERROR(__xludf.DUMMYFUNCTION("""COMPUTED_VALUE"""),45015.0)</f>
        <v>45015</v>
      </c>
      <c r="O95" s="18">
        <f>IFERROR(__xludf.DUMMYFUNCTION("""COMPUTED_VALUE"""),45108.0)</f>
        <v>45108</v>
      </c>
      <c r="P95" s="18">
        <f>IFERROR(__xludf.DUMMYFUNCTION("""COMPUTED_VALUE"""),45150.0)</f>
        <v>45150</v>
      </c>
      <c r="Q95" s="18">
        <f>IFERROR(__xludf.DUMMYFUNCTION("""COMPUTED_VALUE"""),45108.0)</f>
        <v>45108</v>
      </c>
      <c r="R95" s="18">
        <f>IFERROR(__xludf.DUMMYFUNCTION("""COMPUTED_VALUE"""),45150.0)</f>
        <v>45150</v>
      </c>
      <c r="S95" s="16"/>
      <c r="T95" s="16"/>
      <c r="U95" s="16" t="str">
        <f>IFERROR(__xludf.DUMMYFUNCTION("""COMPUTED_VALUE"""),"Green Leaders")</f>
        <v>Green Leaders</v>
      </c>
      <c r="V95" s="16" t="str">
        <f>IFERROR(__xludf.DUMMYFUNCTION("""COMPUTED_VALUE"""),"ISTANBUL - BEYOGLU")</f>
        <v>ISTANBUL - BEYOGLU</v>
      </c>
      <c r="W95" s="16" t="str">
        <f>IFERROR(__xludf.DUMMYFUNCTION("""COMPUTED_VALUE"""),"2023-03-29T09:46:29Z")</f>
        <v>2023-03-29T09:46:29Z</v>
      </c>
      <c r="X95" s="16"/>
      <c r="Y95" s="16"/>
      <c r="Z95" s="16"/>
    </row>
    <row r="96">
      <c r="A96" s="16" t="str">
        <f>IFERROR(__xludf.DUMMYFUNCTION("""COMPUTED_VALUE"""),"5229099_1293417")</f>
        <v>5229099_1293417</v>
      </c>
      <c r="B96" s="16" t="str">
        <f>IFERROR(__xludf.DUMMYFUNCTION("""COMPUTED_VALUE"""),"Alexandra Pop")</f>
        <v>Alexandra Pop</v>
      </c>
      <c r="C96" s="16" t="str">
        <f>IFERROR(__xludf.DUMMYFUNCTION("""COMPUTED_VALUE"""),"finished")</f>
        <v>finished</v>
      </c>
      <c r="D96" s="16" t="str">
        <f>IFERROR(__xludf.DUMMYFUNCTION("""COMPUTED_VALUE"""),"No")</f>
        <v>No</v>
      </c>
      <c r="E96" s="16" t="str">
        <f>IFERROR(__xludf.DUMMYFUNCTION("""COMPUTED_VALUE"""),"p_8fadd84fc7829d3f2ea9eab141a6933bb33ab68c@inbound.aiesec.org")</f>
        <v>p_8fadd84fc7829d3f2ea9eab141a6933bb33ab68c@inbound.aiesec.org</v>
      </c>
      <c r="F96" s="16"/>
      <c r="G96" s="16" t="str">
        <f>IFERROR(__xludf.DUMMYFUNCTION("""COMPUTED_VALUE"""),"Romania")</f>
        <v>Romania</v>
      </c>
      <c r="H96" s="16" t="str">
        <f>IFERROR(__xludf.DUMMYFUNCTION("""COMPUTED_VALUE"""),"Cluj-Napoca")</f>
        <v>Cluj-Napoca</v>
      </c>
      <c r="I96" s="16" t="str">
        <f>IFERROR(__xludf.DUMMYFUNCTION("""COMPUTED_VALUE"""),"Turkey")</f>
        <v>Turkey</v>
      </c>
      <c r="J96" s="16" t="str">
        <f>IFERROR(__xludf.DUMMYFUNCTION("""COMPUTED_VALUE"""),"ISTANBUL")</f>
        <v>ISTANBUL</v>
      </c>
      <c r="K96" s="17" t="str">
        <f>IFERROR(__xludf.DUMMYFUNCTION("""COMPUTED_VALUE"""),"https://expa.aiesec.org/opportunities/1293417")</f>
        <v>https://expa.aiesec.org/opportunities/1293417</v>
      </c>
      <c r="L96" s="16" t="str">
        <f>IFERROR(__xludf.DUMMYFUNCTION("""COMPUTED_VALUE"""),"GV")</f>
        <v>GV</v>
      </c>
      <c r="M96" s="16" t="str">
        <f>IFERROR(__xludf.DUMMYFUNCTION("""COMPUTED_VALUE"""),"short")</f>
        <v>short</v>
      </c>
      <c r="N96" s="18">
        <f>IFERROR(__xludf.DUMMYFUNCTION("""COMPUTED_VALUE"""),45015.0)</f>
        <v>45015</v>
      </c>
      <c r="O96" s="18">
        <f>IFERROR(__xludf.DUMMYFUNCTION("""COMPUTED_VALUE"""),45133.0)</f>
        <v>45133</v>
      </c>
      <c r="P96" s="18">
        <f>IFERROR(__xludf.DUMMYFUNCTION("""COMPUTED_VALUE"""),45175.0)</f>
        <v>45175</v>
      </c>
      <c r="Q96" s="18">
        <f>IFERROR(__xludf.DUMMYFUNCTION("""COMPUTED_VALUE"""),45133.0)</f>
        <v>45133</v>
      </c>
      <c r="R96" s="18">
        <f>IFERROR(__xludf.DUMMYFUNCTION("""COMPUTED_VALUE"""),45175.0)</f>
        <v>45175</v>
      </c>
      <c r="S96" s="16"/>
      <c r="T96" s="16"/>
      <c r="U96" s="16" t="str">
        <f>IFERROR(__xludf.DUMMYFUNCTION("""COMPUTED_VALUE"""),"Global Classroom")</f>
        <v>Global Classroom</v>
      </c>
      <c r="V96" s="16" t="str">
        <f>IFERROR(__xludf.DUMMYFUNCTION("""COMPUTED_VALUE"""),"-")</f>
        <v>-</v>
      </c>
      <c r="W96" s="16" t="str">
        <f>IFERROR(__xludf.DUMMYFUNCTION("""COMPUTED_VALUE"""),"2023-03-28T14:28:06Z")</f>
        <v>2023-03-28T14:28:06Z</v>
      </c>
      <c r="X96" s="16"/>
      <c r="Y96" s="16"/>
      <c r="Z96" s="16"/>
    </row>
    <row r="97">
      <c r="A97" s="16" t="str">
        <f>IFERROR(__xludf.DUMMYFUNCTION("""COMPUTED_VALUE"""),"5211812_1285687")</f>
        <v>5211812_1285687</v>
      </c>
      <c r="B97" s="16" t="str">
        <f>IFERROR(__xludf.DUMMYFUNCTION("""COMPUTED_VALUE"""),"Alma El mekki")</f>
        <v>Alma El mekki</v>
      </c>
      <c r="C97" s="16" t="str">
        <f>IFERROR(__xludf.DUMMYFUNCTION("""COMPUTED_VALUE"""),"approved")</f>
        <v>approved</v>
      </c>
      <c r="D97" s="16" t="str">
        <f>IFERROR(__xludf.DUMMYFUNCTION("""COMPUTED_VALUE"""),"No")</f>
        <v>No</v>
      </c>
      <c r="E97" s="16" t="str">
        <f>IFERROR(__xludf.DUMMYFUNCTION("""COMPUTED_VALUE"""),"p_edbd85ccbb2f7a59c803eb2951ab8152b3a84a82@inbound.aiesec.org")</f>
        <v>p_edbd85ccbb2f7a59c803eb2951ab8152b3a84a82@inbound.aiesec.org</v>
      </c>
      <c r="F97" s="16">
        <f>IFERROR(__xludf.DUMMYFUNCTION("""COMPUTED_VALUE"""),9.2554924E7)</f>
        <v>92554924</v>
      </c>
      <c r="G97" s="16" t="str">
        <f>IFERROR(__xludf.DUMMYFUNCTION("""COMPUTED_VALUE"""),"Tunisia")</f>
        <v>Tunisia</v>
      </c>
      <c r="H97" s="16" t="str">
        <f>IFERROR(__xludf.DUMMYFUNCTION("""COMPUTED_VALUE"""),"Carthage")</f>
        <v>Carthage</v>
      </c>
      <c r="I97" s="16" t="str">
        <f>IFERROR(__xludf.DUMMYFUNCTION("""COMPUTED_VALUE"""),"Turkey")</f>
        <v>Turkey</v>
      </c>
      <c r="J97" s="16" t="str">
        <f>IFERROR(__xludf.DUMMYFUNCTION("""COMPUTED_VALUE"""),"ISTANBUL")</f>
        <v>ISTANBUL</v>
      </c>
      <c r="K97" s="17" t="str">
        <f>IFERROR(__xludf.DUMMYFUNCTION("""COMPUTED_VALUE"""),"https://expa.aiesec.org/opportunities/1285687")</f>
        <v>https://expa.aiesec.org/opportunities/1285687</v>
      </c>
      <c r="L97" s="16" t="str">
        <f>IFERROR(__xludf.DUMMYFUNCTION("""COMPUTED_VALUE"""),"GV")</f>
        <v>GV</v>
      </c>
      <c r="M97" s="16" t="str">
        <f>IFERROR(__xludf.DUMMYFUNCTION("""COMPUTED_VALUE"""),"short")</f>
        <v>short</v>
      </c>
      <c r="N97" s="18">
        <f>IFERROR(__xludf.DUMMYFUNCTION("""COMPUTED_VALUE"""),45016.0)</f>
        <v>45016</v>
      </c>
      <c r="O97" s="18">
        <f>IFERROR(__xludf.DUMMYFUNCTION("""COMPUTED_VALUE"""),45155.0)</f>
        <v>45155</v>
      </c>
      <c r="P97" s="18">
        <f>IFERROR(__xludf.DUMMYFUNCTION("""COMPUTED_VALUE"""),45197.0)</f>
        <v>45197</v>
      </c>
      <c r="Q97" s="18"/>
      <c r="R97" s="18"/>
      <c r="S97" s="16"/>
      <c r="T97" s="16"/>
      <c r="U97" s="16" t="str">
        <f>IFERROR(__xludf.DUMMYFUNCTION("""COMPUTED_VALUE"""),"Youth 4 Impact")</f>
        <v>Youth 4 Impact</v>
      </c>
      <c r="V97" s="16" t="str">
        <f>IFERROR(__xludf.DUMMYFUNCTION("""COMPUTED_VALUE"""),"IHEC Carthage")</f>
        <v>IHEC Carthage</v>
      </c>
      <c r="W97" s="16" t="str">
        <f>IFERROR(__xludf.DUMMYFUNCTION("""COMPUTED_VALUE"""),"2023-03-10T09:15:58Z")</f>
        <v>2023-03-10T09:15:58Z</v>
      </c>
      <c r="X97" s="16"/>
      <c r="Y97" s="16"/>
      <c r="Z97" s="16"/>
    </row>
    <row r="98">
      <c r="A98" s="16" t="str">
        <f>IFERROR(__xludf.DUMMYFUNCTION("""COMPUTED_VALUE"""),"5232922_1290282")</f>
        <v>5232922_1290282</v>
      </c>
      <c r="B98" s="16" t="str">
        <f>IFERROR(__xludf.DUMMYFUNCTION("""COMPUTED_VALUE"""),"Betül Kelel")</f>
        <v>Betül Kelel</v>
      </c>
      <c r="C98" s="16" t="str">
        <f>IFERROR(__xludf.DUMMYFUNCTION("""COMPUTED_VALUE"""),"completed")</f>
        <v>completed</v>
      </c>
      <c r="D98" s="16" t="str">
        <f>IFERROR(__xludf.DUMMYFUNCTION("""COMPUTED_VALUE"""),"No")</f>
        <v>No</v>
      </c>
      <c r="E98" s="16" t="str">
        <f>IFERROR(__xludf.DUMMYFUNCTION("""COMPUTED_VALUE"""),"p_1cf7ebfda6f5cd4febc0f8152753edb7a9a9b0fe@inbound.aiesec.org")</f>
        <v>p_1cf7ebfda6f5cd4febc0f8152753edb7a9a9b0fe@inbound.aiesec.org</v>
      </c>
      <c r="F98" s="16">
        <f>IFERROR(__xludf.DUMMYFUNCTION("""COMPUTED_VALUE"""),5.548650418E9)</f>
        <v>5548650418</v>
      </c>
      <c r="G98" s="16" t="str">
        <f>IFERROR(__xludf.DUMMYFUNCTION("""COMPUTED_VALUE"""),"Turkey")</f>
        <v>Turkey</v>
      </c>
      <c r="H98" s="16" t="str">
        <f>IFERROR(__xludf.DUMMYFUNCTION("""COMPUTED_VALUE"""),"ISTANBUL")</f>
        <v>ISTANBUL</v>
      </c>
      <c r="I98" s="16" t="str">
        <f>IFERROR(__xludf.DUMMYFUNCTION("""COMPUTED_VALUE"""),"Egypt")</f>
        <v>Egypt</v>
      </c>
      <c r="J98" s="16" t="str">
        <f>IFERROR(__xludf.DUMMYFUNCTION("""COMPUTED_VALUE"""),"GUC")</f>
        <v>GUC</v>
      </c>
      <c r="K98" s="17" t="str">
        <f>IFERROR(__xludf.DUMMYFUNCTION("""COMPUTED_VALUE"""),"https://expa.aiesec.org/opportunities/1290282")</f>
        <v>https://expa.aiesec.org/opportunities/1290282</v>
      </c>
      <c r="L98" s="16" t="str">
        <f>IFERROR(__xludf.DUMMYFUNCTION("""COMPUTED_VALUE"""),"GV")</f>
        <v>GV</v>
      </c>
      <c r="M98" s="16" t="str">
        <f>IFERROR(__xludf.DUMMYFUNCTION("""COMPUTED_VALUE"""),"short")</f>
        <v>short</v>
      </c>
      <c r="N98" s="18">
        <f>IFERROR(__xludf.DUMMYFUNCTION("""COMPUTED_VALUE"""),45017.0)</f>
        <v>45017</v>
      </c>
      <c r="O98" s="18">
        <f>IFERROR(__xludf.DUMMYFUNCTION("""COMPUTED_VALUE"""),45122.0)</f>
        <v>45122</v>
      </c>
      <c r="P98" s="18">
        <f>IFERROR(__xludf.DUMMYFUNCTION("""COMPUTED_VALUE"""),45164.0)</f>
        <v>45164</v>
      </c>
      <c r="Q98" s="18">
        <f>IFERROR(__xludf.DUMMYFUNCTION("""COMPUTED_VALUE"""),45125.0)</f>
        <v>45125</v>
      </c>
      <c r="R98" s="18">
        <f>IFERROR(__xludf.DUMMYFUNCTION("""COMPUTED_VALUE"""),45167.0)</f>
        <v>45167</v>
      </c>
      <c r="S98" s="16"/>
      <c r="T98" s="16"/>
      <c r="U98" s="16" t="str">
        <f>IFERROR(__xludf.DUMMYFUNCTION("""COMPUTED_VALUE"""),"On The Map")</f>
        <v>On The Map</v>
      </c>
      <c r="V98" s="16" t="str">
        <f>IFERROR(__xludf.DUMMYFUNCTION("""COMPUTED_VALUE"""),"ISTANBUL - BEYOGLU")</f>
        <v>ISTANBUL - BEYOGLU</v>
      </c>
      <c r="W98" s="16" t="str">
        <f>IFERROR(__xludf.DUMMYFUNCTION("""COMPUTED_VALUE"""),"2023-04-01T18:50:53Z")</f>
        <v>2023-04-01T18:50:53Z</v>
      </c>
      <c r="X98" s="16"/>
      <c r="Y98" s="16"/>
      <c r="Z98" s="16"/>
    </row>
    <row r="99">
      <c r="A99" s="16" t="str">
        <f>IFERROR(__xludf.DUMMYFUNCTION("""COMPUTED_VALUE"""),"5051445_1289829")</f>
        <v>5051445_1289829</v>
      </c>
      <c r="B99" s="16" t="str">
        <f>IFERROR(__xludf.DUMMYFUNCTION("""COMPUTED_VALUE"""),"Furkan Duran")</f>
        <v>Furkan Duran</v>
      </c>
      <c r="C99" s="16" t="str">
        <f>IFERROR(__xludf.DUMMYFUNCTION("""COMPUTED_VALUE"""),"completed")</f>
        <v>completed</v>
      </c>
      <c r="D99" s="16" t="str">
        <f>IFERROR(__xludf.DUMMYFUNCTION("""COMPUTED_VALUE"""),"No")</f>
        <v>No</v>
      </c>
      <c r="E99" s="16" t="str">
        <f>IFERROR(__xludf.DUMMYFUNCTION("""COMPUTED_VALUE"""),"p_29e6e035f191a540e8a1b53924c34af0fc9a6def@inbound.aiesec.org")</f>
        <v>p_29e6e035f191a540e8a1b53924c34af0fc9a6def@inbound.aiesec.org</v>
      </c>
      <c r="F99" s="16">
        <f>IFERROR(__xludf.DUMMYFUNCTION("""COMPUTED_VALUE"""),5.53261629E9)</f>
        <v>5532616290</v>
      </c>
      <c r="G99" s="16" t="str">
        <f>IFERROR(__xludf.DUMMYFUNCTION("""COMPUTED_VALUE"""),"Turkey")</f>
        <v>Turkey</v>
      </c>
      <c r="H99" s="16" t="str">
        <f>IFERROR(__xludf.DUMMYFUNCTION("""COMPUTED_VALUE"""),"ISTANBUL")</f>
        <v>ISTANBUL</v>
      </c>
      <c r="I99" s="16" t="str">
        <f>IFERROR(__xludf.DUMMYFUNCTION("""COMPUTED_VALUE"""),"Egypt")</f>
        <v>Egypt</v>
      </c>
      <c r="J99" s="16" t="str">
        <f>IFERROR(__xludf.DUMMYFUNCTION("""COMPUTED_VALUE"""),"GUC")</f>
        <v>GUC</v>
      </c>
      <c r="K99" s="17" t="str">
        <f>IFERROR(__xludf.DUMMYFUNCTION("""COMPUTED_VALUE"""),"https://expa.aiesec.org/opportunities/1289829")</f>
        <v>https://expa.aiesec.org/opportunities/1289829</v>
      </c>
      <c r="L99" s="16" t="str">
        <f>IFERROR(__xludf.DUMMYFUNCTION("""COMPUTED_VALUE"""),"GV")</f>
        <v>GV</v>
      </c>
      <c r="M99" s="16" t="str">
        <f>IFERROR(__xludf.DUMMYFUNCTION("""COMPUTED_VALUE"""),"short")</f>
        <v>short</v>
      </c>
      <c r="N99" s="18">
        <f>IFERROR(__xludf.DUMMYFUNCTION("""COMPUTED_VALUE"""),45017.0)</f>
        <v>45017</v>
      </c>
      <c r="O99" s="18">
        <f>IFERROR(__xludf.DUMMYFUNCTION("""COMPUTED_VALUE"""),45153.0)</f>
        <v>45153</v>
      </c>
      <c r="P99" s="18">
        <f>IFERROR(__xludf.DUMMYFUNCTION("""COMPUTED_VALUE"""),45195.0)</f>
        <v>45195</v>
      </c>
      <c r="Q99" s="18">
        <f>IFERROR(__xludf.DUMMYFUNCTION("""COMPUTED_VALUE"""),45154.0)</f>
        <v>45154</v>
      </c>
      <c r="R99" s="18">
        <f>IFERROR(__xludf.DUMMYFUNCTION("""COMPUTED_VALUE"""),45195.0)</f>
        <v>45195</v>
      </c>
      <c r="S99" s="16"/>
      <c r="T99" s="16"/>
      <c r="U99" s="16" t="str">
        <f>IFERROR(__xludf.DUMMYFUNCTION("""COMPUTED_VALUE"""),"Green Leaders")</f>
        <v>Green Leaders</v>
      </c>
      <c r="V99" s="16" t="str">
        <f>IFERROR(__xludf.DUMMYFUNCTION("""COMPUTED_VALUE"""),"ISTANBUL ASIA")</f>
        <v>ISTANBUL ASIA</v>
      </c>
      <c r="W99" s="16" t="str">
        <f>IFERROR(__xludf.DUMMYFUNCTION("""COMPUTED_VALUE"""),"2022-05-05T10:27:29Z")</f>
        <v>2022-05-05T10:27:29Z</v>
      </c>
      <c r="X99" s="16"/>
      <c r="Y99" s="16"/>
      <c r="Z99" s="16"/>
    </row>
    <row r="100">
      <c r="A100" s="16" t="str">
        <f>IFERROR(__xludf.DUMMYFUNCTION("""COMPUTED_VALUE"""),"5226105_1292571")</f>
        <v>5226105_1292571</v>
      </c>
      <c r="B100" s="16" t="str">
        <f>IFERROR(__xludf.DUMMYFUNCTION("""COMPUTED_VALUE"""),"İlayda Güldağ")</f>
        <v>İlayda Güldağ</v>
      </c>
      <c r="C100" s="16" t="str">
        <f>IFERROR(__xludf.DUMMYFUNCTION("""COMPUTED_VALUE"""),"completed")</f>
        <v>completed</v>
      </c>
      <c r="D100" s="16" t="str">
        <f>IFERROR(__xludf.DUMMYFUNCTION("""COMPUTED_VALUE"""),"No")</f>
        <v>No</v>
      </c>
      <c r="E100" s="16" t="str">
        <f>IFERROR(__xludf.DUMMYFUNCTION("""COMPUTED_VALUE"""),"p_1d9035b3b357dfbe603aa523a9ca9388675893f6@inbound.aiesec.org")</f>
        <v>p_1d9035b3b357dfbe603aa523a9ca9388675893f6@inbound.aiesec.org</v>
      </c>
      <c r="F100" s="16">
        <f>IFERROR(__xludf.DUMMYFUNCTION("""COMPUTED_VALUE"""),5.301150328E9)</f>
        <v>5301150328</v>
      </c>
      <c r="G100" s="16" t="str">
        <f>IFERROR(__xludf.DUMMYFUNCTION("""COMPUTED_VALUE"""),"Turkey")</f>
        <v>Turkey</v>
      </c>
      <c r="H100" s="16" t="str">
        <f>IFERROR(__xludf.DUMMYFUNCTION("""COMPUTED_VALUE"""),"ISTANBUL")</f>
        <v>ISTANBUL</v>
      </c>
      <c r="I100" s="16" t="str">
        <f>IFERROR(__xludf.DUMMYFUNCTION("""COMPUTED_VALUE"""),"Lithuania")</f>
        <v>Lithuania</v>
      </c>
      <c r="J100" s="16" t="str">
        <f>IFERROR(__xludf.DUMMYFUNCTION("""COMPUTED_VALUE"""),"VILNIUS")</f>
        <v>VILNIUS</v>
      </c>
      <c r="K100" s="17" t="str">
        <f>IFERROR(__xludf.DUMMYFUNCTION("""COMPUTED_VALUE"""),"https://expa.aiesec.org/opportunities/1292571")</f>
        <v>https://expa.aiesec.org/opportunities/1292571</v>
      </c>
      <c r="L100" s="16" t="str">
        <f>IFERROR(__xludf.DUMMYFUNCTION("""COMPUTED_VALUE"""),"GV")</f>
        <v>GV</v>
      </c>
      <c r="M100" s="16" t="str">
        <f>IFERROR(__xludf.DUMMYFUNCTION("""COMPUTED_VALUE"""),"short")</f>
        <v>short</v>
      </c>
      <c r="N100" s="18">
        <f>IFERROR(__xludf.DUMMYFUNCTION("""COMPUTED_VALUE"""),45017.0)</f>
        <v>45017</v>
      </c>
      <c r="O100" s="18">
        <f>IFERROR(__xludf.DUMMYFUNCTION("""COMPUTED_VALUE"""),45122.0)</f>
        <v>45122</v>
      </c>
      <c r="P100" s="18">
        <f>IFERROR(__xludf.DUMMYFUNCTION("""COMPUTED_VALUE"""),45164.0)</f>
        <v>45164</v>
      </c>
      <c r="Q100" s="18">
        <f>IFERROR(__xludf.DUMMYFUNCTION("""COMPUTED_VALUE"""),45123.0)</f>
        <v>45123</v>
      </c>
      <c r="R100" s="18">
        <f>IFERROR(__xludf.DUMMYFUNCTION("""COMPUTED_VALUE"""),45164.0)</f>
        <v>45164</v>
      </c>
      <c r="S100" s="16"/>
      <c r="T100" s="16"/>
      <c r="U100" s="16" t="str">
        <f>IFERROR(__xludf.DUMMYFUNCTION("""COMPUTED_VALUE"""),"Explorer")</f>
        <v>Explorer</v>
      </c>
      <c r="V100" s="16" t="str">
        <f>IFERROR(__xludf.DUMMYFUNCTION("""COMPUTED_VALUE"""),"ISTANBUL - BEYOGLU")</f>
        <v>ISTANBUL - BEYOGLU</v>
      </c>
      <c r="W100" s="16" t="str">
        <f>IFERROR(__xludf.DUMMYFUNCTION("""COMPUTED_VALUE"""),"2023-03-24T18:24:09Z")</f>
        <v>2023-03-24T18:24:09Z</v>
      </c>
      <c r="X100" s="16"/>
      <c r="Y100" s="16"/>
      <c r="Z100" s="16"/>
    </row>
    <row r="101">
      <c r="A101" s="16" t="str">
        <f>IFERROR(__xludf.DUMMYFUNCTION("""COMPUTED_VALUE"""),"5234234_1289536")</f>
        <v>5234234_1289536</v>
      </c>
      <c r="B101" s="16" t="str">
        <f>IFERROR(__xludf.DUMMYFUNCTION("""COMPUTED_VALUE"""),"Mohamed dhia Braiek")</f>
        <v>Mohamed dhia Braiek</v>
      </c>
      <c r="C101" s="16" t="str">
        <f>IFERROR(__xludf.DUMMYFUNCTION("""COMPUTED_VALUE"""),"completed")</f>
        <v>completed</v>
      </c>
      <c r="D101" s="16" t="str">
        <f>IFERROR(__xludf.DUMMYFUNCTION("""COMPUTED_VALUE"""),"No")</f>
        <v>No</v>
      </c>
      <c r="E101" s="16" t="str">
        <f>IFERROR(__xludf.DUMMYFUNCTION("""COMPUTED_VALUE"""),"p_ccb06bd1ac8d9653a5b9cd41aef55e5a4d512f08@inbound.aiesec.org")</f>
        <v>p_ccb06bd1ac8d9653a5b9cd41aef55e5a4d512f08@inbound.aiesec.org</v>
      </c>
      <c r="F101" s="16"/>
      <c r="G101" s="16" t="str">
        <f>IFERROR(__xludf.DUMMYFUNCTION("""COMPUTED_VALUE"""),"Tunisia")</f>
        <v>Tunisia</v>
      </c>
      <c r="H101" s="16" t="str">
        <f>IFERROR(__xludf.DUMMYFUNCTION("""COMPUTED_VALUE"""),"BARDO")</f>
        <v>BARDO</v>
      </c>
      <c r="I101" s="16" t="str">
        <f>IFERROR(__xludf.DUMMYFUNCTION("""COMPUTED_VALUE"""),"Turkey")</f>
        <v>Turkey</v>
      </c>
      <c r="J101" s="16" t="str">
        <f>IFERROR(__xludf.DUMMYFUNCTION("""COMPUTED_VALUE"""),"ISTANBUL")</f>
        <v>ISTANBUL</v>
      </c>
      <c r="K101" s="17" t="str">
        <f>IFERROR(__xludf.DUMMYFUNCTION("""COMPUTED_VALUE"""),"https://expa.aiesec.org/opportunities/1289536")</f>
        <v>https://expa.aiesec.org/opportunities/1289536</v>
      </c>
      <c r="L101" s="16" t="str">
        <f>IFERROR(__xludf.DUMMYFUNCTION("""COMPUTED_VALUE"""),"GV")</f>
        <v>GV</v>
      </c>
      <c r="M101" s="16" t="str">
        <f>IFERROR(__xludf.DUMMYFUNCTION("""COMPUTED_VALUE"""),"short")</f>
        <v>short</v>
      </c>
      <c r="N101" s="18">
        <f>IFERROR(__xludf.DUMMYFUNCTION("""COMPUTED_VALUE"""),45019.0)</f>
        <v>45019</v>
      </c>
      <c r="O101" s="18">
        <f>IFERROR(__xludf.DUMMYFUNCTION("""COMPUTED_VALUE"""),45090.0)</f>
        <v>45090</v>
      </c>
      <c r="P101" s="18">
        <f>IFERROR(__xludf.DUMMYFUNCTION("""COMPUTED_VALUE"""),45132.0)</f>
        <v>45132</v>
      </c>
      <c r="Q101" s="18">
        <f>IFERROR(__xludf.DUMMYFUNCTION("""COMPUTED_VALUE"""),45090.0)</f>
        <v>45090</v>
      </c>
      <c r="R101" s="18">
        <f>IFERROR(__xludf.DUMMYFUNCTION("""COMPUTED_VALUE"""),45132.0)</f>
        <v>45132</v>
      </c>
      <c r="S101" s="16"/>
      <c r="T101" s="16"/>
      <c r="U101" s="16" t="str">
        <f>IFERROR(__xludf.DUMMYFUNCTION("""COMPUTED_VALUE"""),"Global Classroom")</f>
        <v>Global Classroom</v>
      </c>
      <c r="V101" s="16" t="str">
        <f>IFERROR(__xludf.DUMMYFUNCTION("""COMPUTED_VALUE"""),"TBS")</f>
        <v>TBS</v>
      </c>
      <c r="W101" s="16" t="str">
        <f>IFERROR(__xludf.DUMMYFUNCTION("""COMPUTED_VALUE"""),"2023-04-03T18:35:17Z")</f>
        <v>2023-04-03T18:35:17Z</v>
      </c>
      <c r="X101" s="16"/>
      <c r="Y101" s="16"/>
      <c r="Z101" s="16"/>
    </row>
    <row r="102">
      <c r="A102" s="16" t="str">
        <f>IFERROR(__xludf.DUMMYFUNCTION("""COMPUTED_VALUE"""),"5234994_1294000")</f>
        <v>5234994_1294000</v>
      </c>
      <c r="B102" s="16" t="str">
        <f>IFERROR(__xludf.DUMMYFUNCTION("""COMPUTED_VALUE"""),"ipek kamçı")</f>
        <v>ipek kamçı</v>
      </c>
      <c r="C102" s="16" t="str">
        <f>IFERROR(__xludf.DUMMYFUNCTION("""COMPUTED_VALUE"""),"completed")</f>
        <v>completed</v>
      </c>
      <c r="D102" s="16" t="str">
        <f>IFERROR(__xludf.DUMMYFUNCTION("""COMPUTED_VALUE"""),"No")</f>
        <v>No</v>
      </c>
      <c r="E102" s="16" t="str">
        <f>IFERROR(__xludf.DUMMYFUNCTION("""COMPUTED_VALUE"""),"p_261252ead8e977af84a914f8f8b87a7dcfd0bde1@inbound.aiesec.org")</f>
        <v>p_261252ead8e977af84a914f8f8b87a7dcfd0bde1@inbound.aiesec.org</v>
      </c>
      <c r="F102" s="16">
        <f>IFERROR(__xludf.DUMMYFUNCTION("""COMPUTED_VALUE"""),5.416261723E9)</f>
        <v>5416261723</v>
      </c>
      <c r="G102" s="16" t="str">
        <f>IFERROR(__xludf.DUMMYFUNCTION("""COMPUTED_VALUE"""),"Turkey")</f>
        <v>Turkey</v>
      </c>
      <c r="H102" s="16" t="str">
        <f>IFERROR(__xludf.DUMMYFUNCTION("""COMPUTED_VALUE"""),"ISTANBUL")</f>
        <v>ISTANBUL</v>
      </c>
      <c r="I102" s="16" t="str">
        <f>IFERROR(__xludf.DUMMYFUNCTION("""COMPUTED_VALUE"""),"Tunisia")</f>
        <v>Tunisia</v>
      </c>
      <c r="J102" s="16" t="str">
        <f>IFERROR(__xludf.DUMMYFUNCTION("""COMPUTED_VALUE"""),"SFAX")</f>
        <v>SFAX</v>
      </c>
      <c r="K102" s="17" t="str">
        <f>IFERROR(__xludf.DUMMYFUNCTION("""COMPUTED_VALUE"""),"https://expa.aiesec.org/opportunities/1294000")</f>
        <v>https://expa.aiesec.org/opportunities/1294000</v>
      </c>
      <c r="L102" s="16" t="str">
        <f>IFERROR(__xludf.DUMMYFUNCTION("""COMPUTED_VALUE"""),"GV")</f>
        <v>GV</v>
      </c>
      <c r="M102" s="16" t="str">
        <f>IFERROR(__xludf.DUMMYFUNCTION("""COMPUTED_VALUE"""),"short")</f>
        <v>short</v>
      </c>
      <c r="N102" s="18">
        <f>IFERROR(__xludf.DUMMYFUNCTION("""COMPUTED_VALUE"""),45020.0)</f>
        <v>45020</v>
      </c>
      <c r="O102" s="18">
        <f>IFERROR(__xludf.DUMMYFUNCTION("""COMPUTED_VALUE"""),45131.0)</f>
        <v>45131</v>
      </c>
      <c r="P102" s="18">
        <f>IFERROR(__xludf.DUMMYFUNCTION("""COMPUTED_VALUE"""),45173.0)</f>
        <v>45173</v>
      </c>
      <c r="Q102" s="18">
        <f>IFERROR(__xludf.DUMMYFUNCTION("""COMPUTED_VALUE"""),45132.0)</f>
        <v>45132</v>
      </c>
      <c r="R102" s="18">
        <f>IFERROR(__xludf.DUMMYFUNCTION("""COMPUTED_VALUE"""),45173.0)</f>
        <v>45173</v>
      </c>
      <c r="S102" s="16"/>
      <c r="T102" s="16"/>
      <c r="U102" s="16" t="str">
        <f>IFERROR(__xludf.DUMMYFUNCTION("""COMPUTED_VALUE"""),"Global Classroom")</f>
        <v>Global Classroom</v>
      </c>
      <c r="V102" s="16" t="str">
        <f>IFERROR(__xludf.DUMMYFUNCTION("""COMPUTED_VALUE"""),"ISTANBUL - BEYOGLU")</f>
        <v>ISTANBUL - BEYOGLU</v>
      </c>
      <c r="W102" s="16" t="str">
        <f>IFERROR(__xludf.DUMMYFUNCTION("""COMPUTED_VALUE"""),"2023-04-04T19:24:27Z")</f>
        <v>2023-04-04T19:24:27Z</v>
      </c>
      <c r="X102" s="16"/>
      <c r="Y102" s="16"/>
      <c r="Z102" s="16"/>
    </row>
    <row r="103">
      <c r="A103" s="16" t="str">
        <f>IFERROR(__xludf.DUMMYFUNCTION("""COMPUTED_VALUE"""),"5235054_1294000")</f>
        <v>5235054_1294000</v>
      </c>
      <c r="B103" s="16" t="str">
        <f>IFERROR(__xludf.DUMMYFUNCTION("""COMPUTED_VALUE"""),"Ahmet Öztürk")</f>
        <v>Ahmet Öztürk</v>
      </c>
      <c r="C103" s="16" t="str">
        <f>IFERROR(__xludf.DUMMYFUNCTION("""COMPUTED_VALUE"""),"completed")</f>
        <v>completed</v>
      </c>
      <c r="D103" s="16" t="str">
        <f>IFERROR(__xludf.DUMMYFUNCTION("""COMPUTED_VALUE"""),"No")</f>
        <v>No</v>
      </c>
      <c r="E103" s="16" t="str">
        <f>IFERROR(__xludf.DUMMYFUNCTION("""COMPUTED_VALUE"""),"p_1ceed921e5fa0f3e82e40e483ac686f1e83b444f@inbound.aiesec.org")</f>
        <v>p_1ceed921e5fa0f3e82e40e483ac686f1e83b444f@inbound.aiesec.org</v>
      </c>
      <c r="F103" s="16"/>
      <c r="G103" s="16" t="str">
        <f>IFERROR(__xludf.DUMMYFUNCTION("""COMPUTED_VALUE"""),"Turkey")</f>
        <v>Turkey</v>
      </c>
      <c r="H103" s="16" t="str">
        <f>IFERROR(__xludf.DUMMYFUNCTION("""COMPUTED_VALUE"""),"ISTANBUL")</f>
        <v>ISTANBUL</v>
      </c>
      <c r="I103" s="16" t="str">
        <f>IFERROR(__xludf.DUMMYFUNCTION("""COMPUTED_VALUE"""),"Tunisia")</f>
        <v>Tunisia</v>
      </c>
      <c r="J103" s="16" t="str">
        <f>IFERROR(__xludf.DUMMYFUNCTION("""COMPUTED_VALUE"""),"SFAX")</f>
        <v>SFAX</v>
      </c>
      <c r="K103" s="17" t="str">
        <f>IFERROR(__xludf.DUMMYFUNCTION("""COMPUTED_VALUE"""),"https://expa.aiesec.org/opportunities/1294000")</f>
        <v>https://expa.aiesec.org/opportunities/1294000</v>
      </c>
      <c r="L103" s="16" t="str">
        <f>IFERROR(__xludf.DUMMYFUNCTION("""COMPUTED_VALUE"""),"GV")</f>
        <v>GV</v>
      </c>
      <c r="M103" s="16" t="str">
        <f>IFERROR(__xludf.DUMMYFUNCTION("""COMPUTED_VALUE"""),"short")</f>
        <v>short</v>
      </c>
      <c r="N103" s="18">
        <f>IFERROR(__xludf.DUMMYFUNCTION("""COMPUTED_VALUE"""),45021.0)</f>
        <v>45021</v>
      </c>
      <c r="O103" s="18">
        <f>IFERROR(__xludf.DUMMYFUNCTION("""COMPUTED_VALUE"""),45131.0)</f>
        <v>45131</v>
      </c>
      <c r="P103" s="18">
        <f>IFERROR(__xludf.DUMMYFUNCTION("""COMPUTED_VALUE"""),45173.0)</f>
        <v>45173</v>
      </c>
      <c r="Q103" s="18">
        <f>IFERROR(__xludf.DUMMYFUNCTION("""COMPUTED_VALUE"""),45132.0)</f>
        <v>45132</v>
      </c>
      <c r="R103" s="18">
        <f>IFERROR(__xludf.DUMMYFUNCTION("""COMPUTED_VALUE"""),45173.0)</f>
        <v>45173</v>
      </c>
      <c r="S103" s="16"/>
      <c r="T103" s="16"/>
      <c r="U103" s="16" t="str">
        <f>IFERROR(__xludf.DUMMYFUNCTION("""COMPUTED_VALUE"""),"Global Classroom")</f>
        <v>Global Classroom</v>
      </c>
      <c r="V103" s="16" t="str">
        <f>IFERROR(__xludf.DUMMYFUNCTION("""COMPUTED_VALUE"""),"ISTANBUL - BEYOGLU")</f>
        <v>ISTANBUL - BEYOGLU</v>
      </c>
      <c r="W103" s="16" t="str">
        <f>IFERROR(__xludf.DUMMYFUNCTION("""COMPUTED_VALUE"""),"2023-04-04T21:16:37Z")</f>
        <v>2023-04-04T21:16:37Z</v>
      </c>
      <c r="X103" s="16"/>
      <c r="Y103" s="16"/>
      <c r="Z103" s="16"/>
    </row>
    <row r="104">
      <c r="A104" s="16" t="str">
        <f>IFERROR(__xludf.DUMMYFUNCTION("""COMPUTED_VALUE"""),"5232011_1288798")</f>
        <v>5232011_1288798</v>
      </c>
      <c r="B104" s="16" t="str">
        <f>IFERROR(__xludf.DUMMYFUNCTION("""COMPUTED_VALUE"""),"Busra Nesliturk")</f>
        <v>Busra Nesliturk</v>
      </c>
      <c r="C104" s="16" t="str">
        <f>IFERROR(__xludf.DUMMYFUNCTION("""COMPUTED_VALUE"""),"approved")</f>
        <v>approved</v>
      </c>
      <c r="D104" s="16" t="str">
        <f>IFERROR(__xludf.DUMMYFUNCTION("""COMPUTED_VALUE"""),"No")</f>
        <v>No</v>
      </c>
      <c r="E104" s="16" t="str">
        <f>IFERROR(__xludf.DUMMYFUNCTION("""COMPUTED_VALUE"""),"p_2bb40f6a95c5566e773181e7825c4d38ac03425a@inbound.aiesec.org")</f>
        <v>p_2bb40f6a95c5566e773181e7825c4d38ac03425a@inbound.aiesec.org</v>
      </c>
      <c r="F104" s="16"/>
      <c r="G104" s="16" t="str">
        <f>IFERROR(__xludf.DUMMYFUNCTION("""COMPUTED_VALUE"""),"Turkey")</f>
        <v>Turkey</v>
      </c>
      <c r="H104" s="16" t="str">
        <f>IFERROR(__xludf.DUMMYFUNCTION("""COMPUTED_VALUE"""),"ISTANBUL")</f>
        <v>ISTANBUL</v>
      </c>
      <c r="I104" s="16" t="str">
        <f>IFERROR(__xludf.DUMMYFUNCTION("""COMPUTED_VALUE"""),"Sri Lanka")</f>
        <v>Sri Lanka</v>
      </c>
      <c r="J104" s="16" t="str">
        <f>IFERROR(__xludf.DUMMYFUNCTION("""COMPUTED_VALUE"""),"COLOMBO SOUTH")</f>
        <v>COLOMBO SOUTH</v>
      </c>
      <c r="K104" s="17" t="str">
        <f>IFERROR(__xludf.DUMMYFUNCTION("""COMPUTED_VALUE"""),"https://expa.aiesec.org/opportunities/1288798")</f>
        <v>https://expa.aiesec.org/opportunities/1288798</v>
      </c>
      <c r="L104" s="16" t="str">
        <f>IFERROR(__xludf.DUMMYFUNCTION("""COMPUTED_VALUE"""),"GV")</f>
        <v>GV</v>
      </c>
      <c r="M104" s="16" t="str">
        <f>IFERROR(__xludf.DUMMYFUNCTION("""COMPUTED_VALUE"""),"short")</f>
        <v>short</v>
      </c>
      <c r="N104" s="18">
        <f>IFERROR(__xludf.DUMMYFUNCTION("""COMPUTED_VALUE"""),45021.0)</f>
        <v>45021</v>
      </c>
      <c r="O104" s="18">
        <f>IFERROR(__xludf.DUMMYFUNCTION("""COMPUTED_VALUE"""),45187.0)</f>
        <v>45187</v>
      </c>
      <c r="P104" s="18">
        <f>IFERROR(__xludf.DUMMYFUNCTION("""COMPUTED_VALUE"""),45229.0)</f>
        <v>45229</v>
      </c>
      <c r="Q104" s="18"/>
      <c r="R104" s="18"/>
      <c r="S104" s="16"/>
      <c r="T104" s="16"/>
      <c r="U104" s="16" t="str">
        <f>IFERROR(__xludf.DUMMYFUNCTION("""COMPUTED_VALUE"""),"Heartbeat")</f>
        <v>Heartbeat</v>
      </c>
      <c r="V104" s="16" t="str">
        <f>IFERROR(__xludf.DUMMYFUNCTION("""COMPUTED_VALUE"""),"-")</f>
        <v>-</v>
      </c>
      <c r="W104" s="16" t="str">
        <f>IFERROR(__xludf.DUMMYFUNCTION("""COMPUTED_VALUE"""),"2023-03-31T12:39:04Z")</f>
        <v>2023-03-31T12:39:04Z</v>
      </c>
      <c r="X104" s="16"/>
      <c r="Y104" s="16"/>
      <c r="Z104" s="16"/>
    </row>
    <row r="105">
      <c r="A105" s="16" t="str">
        <f>IFERROR(__xludf.DUMMYFUNCTION("""COMPUTED_VALUE"""),"5235716_1294000")</f>
        <v>5235716_1294000</v>
      </c>
      <c r="B105" s="16" t="str">
        <f>IFERROR(__xludf.DUMMYFUNCTION("""COMPUTED_VALUE"""),"Beyzanur Bolat")</f>
        <v>Beyzanur Bolat</v>
      </c>
      <c r="C105" s="16" t="str">
        <f>IFERROR(__xludf.DUMMYFUNCTION("""COMPUTED_VALUE"""),"completed")</f>
        <v>completed</v>
      </c>
      <c r="D105" s="16" t="str">
        <f>IFERROR(__xludf.DUMMYFUNCTION("""COMPUTED_VALUE"""),"No")</f>
        <v>No</v>
      </c>
      <c r="E105" s="16" t="str">
        <f>IFERROR(__xludf.DUMMYFUNCTION("""COMPUTED_VALUE"""),"p_270c339d3443f35761e8da752a007d377723882e@inbound.aiesec.org")</f>
        <v>p_270c339d3443f35761e8da752a007d377723882e@inbound.aiesec.org</v>
      </c>
      <c r="F105" s="16">
        <f>IFERROR(__xludf.DUMMYFUNCTION("""COMPUTED_VALUE"""),5.417314371E9)</f>
        <v>5417314371</v>
      </c>
      <c r="G105" s="16" t="str">
        <f>IFERROR(__xludf.DUMMYFUNCTION("""COMPUTED_VALUE"""),"Turkey")</f>
        <v>Turkey</v>
      </c>
      <c r="H105" s="16" t="str">
        <f>IFERROR(__xludf.DUMMYFUNCTION("""COMPUTED_VALUE"""),"ISTANBUL")</f>
        <v>ISTANBUL</v>
      </c>
      <c r="I105" s="16" t="str">
        <f>IFERROR(__xludf.DUMMYFUNCTION("""COMPUTED_VALUE"""),"Tunisia")</f>
        <v>Tunisia</v>
      </c>
      <c r="J105" s="16" t="str">
        <f>IFERROR(__xludf.DUMMYFUNCTION("""COMPUTED_VALUE"""),"SFAX")</f>
        <v>SFAX</v>
      </c>
      <c r="K105" s="17" t="str">
        <f>IFERROR(__xludf.DUMMYFUNCTION("""COMPUTED_VALUE"""),"https://expa.aiesec.org/opportunities/1294000")</f>
        <v>https://expa.aiesec.org/opportunities/1294000</v>
      </c>
      <c r="L105" s="16" t="str">
        <f>IFERROR(__xludf.DUMMYFUNCTION("""COMPUTED_VALUE"""),"GV")</f>
        <v>GV</v>
      </c>
      <c r="M105" s="16" t="str">
        <f>IFERROR(__xludf.DUMMYFUNCTION("""COMPUTED_VALUE"""),"short")</f>
        <v>short</v>
      </c>
      <c r="N105" s="18">
        <f>IFERROR(__xludf.DUMMYFUNCTION("""COMPUTED_VALUE"""),45022.0)</f>
        <v>45022</v>
      </c>
      <c r="O105" s="18">
        <f>IFERROR(__xludf.DUMMYFUNCTION("""COMPUTED_VALUE"""),45131.0)</f>
        <v>45131</v>
      </c>
      <c r="P105" s="18">
        <f>IFERROR(__xludf.DUMMYFUNCTION("""COMPUTED_VALUE"""),45173.0)</f>
        <v>45173</v>
      </c>
      <c r="Q105" s="18">
        <f>IFERROR(__xludf.DUMMYFUNCTION("""COMPUTED_VALUE"""),45132.0)</f>
        <v>45132</v>
      </c>
      <c r="R105" s="18">
        <f>IFERROR(__xludf.DUMMYFUNCTION("""COMPUTED_VALUE"""),45173.0)</f>
        <v>45173</v>
      </c>
      <c r="S105" s="16"/>
      <c r="T105" s="16"/>
      <c r="U105" s="16" t="str">
        <f>IFERROR(__xludf.DUMMYFUNCTION("""COMPUTED_VALUE"""),"Global Classroom")</f>
        <v>Global Classroom</v>
      </c>
      <c r="V105" s="16" t="str">
        <f>IFERROR(__xludf.DUMMYFUNCTION("""COMPUTED_VALUE"""),"ISTANBUL - BEYOGLU")</f>
        <v>ISTANBUL - BEYOGLU</v>
      </c>
      <c r="W105" s="16" t="str">
        <f>IFERROR(__xludf.DUMMYFUNCTION("""COMPUTED_VALUE"""),"2023-04-05T16:00:38Z")</f>
        <v>2023-04-05T16:00:38Z</v>
      </c>
      <c r="X105" s="16"/>
      <c r="Y105" s="16"/>
      <c r="Z105" s="16"/>
    </row>
    <row r="106">
      <c r="A106" s="16" t="str">
        <f>IFERROR(__xludf.DUMMYFUNCTION("""COMPUTED_VALUE"""),"5236522_1293951")</f>
        <v>5236522_1293951</v>
      </c>
      <c r="B106" s="16" t="str">
        <f>IFERROR(__xludf.DUMMYFUNCTION("""COMPUTED_VALUE"""),"Elif Sevda Nur DUMRU")</f>
        <v>Elif Sevda Nur DUMRU</v>
      </c>
      <c r="C106" s="16" t="str">
        <f>IFERROR(__xludf.DUMMYFUNCTION("""COMPUTED_VALUE"""),"finished")</f>
        <v>finished</v>
      </c>
      <c r="D106" s="16" t="str">
        <f>IFERROR(__xludf.DUMMYFUNCTION("""COMPUTED_VALUE"""),"No")</f>
        <v>No</v>
      </c>
      <c r="E106" s="16" t="str">
        <f>IFERROR(__xludf.DUMMYFUNCTION("""COMPUTED_VALUE"""),"p_c3e09c14194e82c0076e70e1cc34e4f40e97a5b3@inbound.aiesec.org")</f>
        <v>p_c3e09c14194e82c0076e70e1cc34e4f40e97a5b3@inbound.aiesec.org</v>
      </c>
      <c r="F106" s="16">
        <f>IFERROR(__xludf.DUMMYFUNCTION("""COMPUTED_VALUE"""),5.51183687E9)</f>
        <v>5511836870</v>
      </c>
      <c r="G106" s="16" t="str">
        <f>IFERROR(__xludf.DUMMYFUNCTION("""COMPUTED_VALUE"""),"Turkey")</f>
        <v>Turkey</v>
      </c>
      <c r="H106" s="16" t="str">
        <f>IFERROR(__xludf.DUMMYFUNCTION("""COMPUTED_VALUE"""),"ISTANBUL")</f>
        <v>ISTANBUL</v>
      </c>
      <c r="I106" s="16" t="str">
        <f>IFERROR(__xludf.DUMMYFUNCTION("""COMPUTED_VALUE"""),"Egypt")</f>
        <v>Egypt</v>
      </c>
      <c r="J106" s="16" t="str">
        <f>IFERROR(__xludf.DUMMYFUNCTION("""COMPUTED_VALUE"""),"GUC")</f>
        <v>GUC</v>
      </c>
      <c r="K106" s="17" t="str">
        <f>IFERROR(__xludf.DUMMYFUNCTION("""COMPUTED_VALUE"""),"https://expa.aiesec.org/opportunities/1293951")</f>
        <v>https://expa.aiesec.org/opportunities/1293951</v>
      </c>
      <c r="L106" s="16" t="str">
        <f>IFERROR(__xludf.DUMMYFUNCTION("""COMPUTED_VALUE"""),"GV")</f>
        <v>GV</v>
      </c>
      <c r="M106" s="16" t="str">
        <f>IFERROR(__xludf.DUMMYFUNCTION("""COMPUTED_VALUE"""),"short")</f>
        <v>short</v>
      </c>
      <c r="N106" s="18">
        <f>IFERROR(__xludf.DUMMYFUNCTION("""COMPUTED_VALUE"""),45023.0)</f>
        <v>45023</v>
      </c>
      <c r="O106" s="18">
        <f>IFERROR(__xludf.DUMMYFUNCTION("""COMPUTED_VALUE"""),45108.0)</f>
        <v>45108</v>
      </c>
      <c r="P106" s="18">
        <f>IFERROR(__xludf.DUMMYFUNCTION("""COMPUTED_VALUE"""),45150.0)</f>
        <v>45150</v>
      </c>
      <c r="Q106" s="18">
        <f>IFERROR(__xludf.DUMMYFUNCTION("""COMPUTED_VALUE"""),45107.0)</f>
        <v>45107</v>
      </c>
      <c r="R106" s="18">
        <f>IFERROR(__xludf.DUMMYFUNCTION("""COMPUTED_VALUE"""),45150.0)</f>
        <v>45150</v>
      </c>
      <c r="S106" s="16"/>
      <c r="T106" s="16"/>
      <c r="U106" s="16" t="str">
        <f>IFERROR(__xludf.DUMMYFUNCTION("""COMPUTED_VALUE"""),"Green Leaders")</f>
        <v>Green Leaders</v>
      </c>
      <c r="V106" s="16" t="str">
        <f>IFERROR(__xludf.DUMMYFUNCTION("""COMPUTED_VALUE"""),"ISTANBUL - BEYOGLU")</f>
        <v>ISTANBUL - BEYOGLU</v>
      </c>
      <c r="W106" s="16" t="str">
        <f>IFERROR(__xludf.DUMMYFUNCTION("""COMPUTED_VALUE"""),"2023-04-06T17:47:24Z")</f>
        <v>2023-04-06T17:47:24Z</v>
      </c>
      <c r="X106" s="16"/>
      <c r="Y106" s="16"/>
      <c r="Z106" s="16"/>
    </row>
    <row r="107">
      <c r="A107" s="16" t="str">
        <f>IFERROR(__xludf.DUMMYFUNCTION("""COMPUTED_VALUE"""),"5236472_1290282")</f>
        <v>5236472_1290282</v>
      </c>
      <c r="B107" s="16" t="str">
        <f>IFERROR(__xludf.DUMMYFUNCTION("""COMPUTED_VALUE"""),"Yağmur Beyaztaş")</f>
        <v>Yağmur Beyaztaş</v>
      </c>
      <c r="C107" s="16" t="str">
        <f>IFERROR(__xludf.DUMMYFUNCTION("""COMPUTED_VALUE"""),"completed")</f>
        <v>completed</v>
      </c>
      <c r="D107" s="16" t="str">
        <f>IFERROR(__xludf.DUMMYFUNCTION("""COMPUTED_VALUE"""),"No")</f>
        <v>No</v>
      </c>
      <c r="E107" s="16" t="str">
        <f>IFERROR(__xludf.DUMMYFUNCTION("""COMPUTED_VALUE"""),"p_6d0424afddf347ef670f4ed948d073b999291d6b@inbound.aiesec.org")</f>
        <v>p_6d0424afddf347ef670f4ed948d073b999291d6b@inbound.aiesec.org</v>
      </c>
      <c r="F107" s="16">
        <f>IFERROR(__xludf.DUMMYFUNCTION("""COMPUTED_VALUE"""),5.378228401E9)</f>
        <v>5378228401</v>
      </c>
      <c r="G107" s="16" t="str">
        <f>IFERROR(__xludf.DUMMYFUNCTION("""COMPUTED_VALUE"""),"Turkey")</f>
        <v>Turkey</v>
      </c>
      <c r="H107" s="16" t="str">
        <f>IFERROR(__xludf.DUMMYFUNCTION("""COMPUTED_VALUE"""),"ISTANBUL")</f>
        <v>ISTANBUL</v>
      </c>
      <c r="I107" s="16" t="str">
        <f>IFERROR(__xludf.DUMMYFUNCTION("""COMPUTED_VALUE"""),"Egypt")</f>
        <v>Egypt</v>
      </c>
      <c r="J107" s="16" t="str">
        <f>IFERROR(__xludf.DUMMYFUNCTION("""COMPUTED_VALUE"""),"GUC")</f>
        <v>GUC</v>
      </c>
      <c r="K107" s="17" t="str">
        <f>IFERROR(__xludf.DUMMYFUNCTION("""COMPUTED_VALUE"""),"https://expa.aiesec.org/opportunities/1290282")</f>
        <v>https://expa.aiesec.org/opportunities/1290282</v>
      </c>
      <c r="L107" s="16" t="str">
        <f>IFERROR(__xludf.DUMMYFUNCTION("""COMPUTED_VALUE"""),"GV")</f>
        <v>GV</v>
      </c>
      <c r="M107" s="16" t="str">
        <f>IFERROR(__xludf.DUMMYFUNCTION("""COMPUTED_VALUE"""),"short")</f>
        <v>short</v>
      </c>
      <c r="N107" s="18">
        <f>IFERROR(__xludf.DUMMYFUNCTION("""COMPUTED_VALUE"""),45023.0)</f>
        <v>45023</v>
      </c>
      <c r="O107" s="18">
        <f>IFERROR(__xludf.DUMMYFUNCTION("""COMPUTED_VALUE"""),45122.0)</f>
        <v>45122</v>
      </c>
      <c r="P107" s="18">
        <f>IFERROR(__xludf.DUMMYFUNCTION("""COMPUTED_VALUE"""),45164.0)</f>
        <v>45164</v>
      </c>
      <c r="Q107" s="18">
        <f>IFERROR(__xludf.DUMMYFUNCTION("""COMPUTED_VALUE"""),45122.0)</f>
        <v>45122</v>
      </c>
      <c r="R107" s="18">
        <f>IFERROR(__xludf.DUMMYFUNCTION("""COMPUTED_VALUE"""),45164.0)</f>
        <v>45164</v>
      </c>
      <c r="S107" s="16"/>
      <c r="T107" s="16"/>
      <c r="U107" s="16" t="str">
        <f>IFERROR(__xludf.DUMMYFUNCTION("""COMPUTED_VALUE"""),"On The Map")</f>
        <v>On The Map</v>
      </c>
      <c r="V107" s="16" t="str">
        <f>IFERROR(__xludf.DUMMYFUNCTION("""COMPUTED_VALUE"""),"ISTANBUL - BEYOGLU")</f>
        <v>ISTANBUL - BEYOGLU</v>
      </c>
      <c r="W107" s="16" t="str">
        <f>IFERROR(__xludf.DUMMYFUNCTION("""COMPUTED_VALUE"""),"2023-04-06T16:37:07Z")</f>
        <v>2023-04-06T16:37:07Z</v>
      </c>
      <c r="X107" s="16"/>
      <c r="Y107" s="16"/>
      <c r="Z107" s="16"/>
    </row>
    <row r="108">
      <c r="A108" s="16" t="str">
        <f>IFERROR(__xludf.DUMMYFUNCTION("""COMPUTED_VALUE"""),"5220116_1290282")</f>
        <v>5220116_1290282</v>
      </c>
      <c r="B108" s="16" t="str">
        <f>IFERROR(__xludf.DUMMYFUNCTION("""COMPUTED_VALUE"""),"Zeynep Menek")</f>
        <v>Zeynep Menek</v>
      </c>
      <c r="C108" s="16" t="str">
        <f>IFERROR(__xludf.DUMMYFUNCTION("""COMPUTED_VALUE"""),"completed")</f>
        <v>completed</v>
      </c>
      <c r="D108" s="16" t="str">
        <f>IFERROR(__xludf.DUMMYFUNCTION("""COMPUTED_VALUE"""),"No")</f>
        <v>No</v>
      </c>
      <c r="E108" s="16" t="str">
        <f>IFERROR(__xludf.DUMMYFUNCTION("""COMPUTED_VALUE"""),"p_419592fac8bc90b4dfaddea02027550e9d4fea00@inbound.aiesec.org")</f>
        <v>p_419592fac8bc90b4dfaddea02027550e9d4fea00@inbound.aiesec.org</v>
      </c>
      <c r="F108" s="16">
        <f>IFERROR(__xludf.DUMMYFUNCTION("""COMPUTED_VALUE"""),5.061618735E9)</f>
        <v>5061618735</v>
      </c>
      <c r="G108" s="16" t="str">
        <f>IFERROR(__xludf.DUMMYFUNCTION("""COMPUTED_VALUE"""),"Turkey")</f>
        <v>Turkey</v>
      </c>
      <c r="H108" s="16" t="str">
        <f>IFERROR(__xludf.DUMMYFUNCTION("""COMPUTED_VALUE"""),"ISTANBUL")</f>
        <v>ISTANBUL</v>
      </c>
      <c r="I108" s="16" t="str">
        <f>IFERROR(__xludf.DUMMYFUNCTION("""COMPUTED_VALUE"""),"Egypt")</f>
        <v>Egypt</v>
      </c>
      <c r="J108" s="16" t="str">
        <f>IFERROR(__xludf.DUMMYFUNCTION("""COMPUTED_VALUE"""),"GUC")</f>
        <v>GUC</v>
      </c>
      <c r="K108" s="17" t="str">
        <f>IFERROR(__xludf.DUMMYFUNCTION("""COMPUTED_VALUE"""),"https://expa.aiesec.org/opportunities/1290282")</f>
        <v>https://expa.aiesec.org/opportunities/1290282</v>
      </c>
      <c r="L108" s="16" t="str">
        <f>IFERROR(__xludf.DUMMYFUNCTION("""COMPUTED_VALUE"""),"GV")</f>
        <v>GV</v>
      </c>
      <c r="M108" s="16" t="str">
        <f>IFERROR(__xludf.DUMMYFUNCTION("""COMPUTED_VALUE"""),"short")</f>
        <v>short</v>
      </c>
      <c r="N108" s="18">
        <f>IFERROR(__xludf.DUMMYFUNCTION("""COMPUTED_VALUE"""),45023.0)</f>
        <v>45023</v>
      </c>
      <c r="O108" s="18">
        <f>IFERROR(__xludf.DUMMYFUNCTION("""COMPUTED_VALUE"""),45122.0)</f>
        <v>45122</v>
      </c>
      <c r="P108" s="18">
        <f>IFERROR(__xludf.DUMMYFUNCTION("""COMPUTED_VALUE"""),45164.0)</f>
        <v>45164</v>
      </c>
      <c r="Q108" s="18">
        <f>IFERROR(__xludf.DUMMYFUNCTION("""COMPUTED_VALUE"""),45122.0)</f>
        <v>45122</v>
      </c>
      <c r="R108" s="18">
        <f>IFERROR(__xludf.DUMMYFUNCTION("""COMPUTED_VALUE"""),45164.0)</f>
        <v>45164</v>
      </c>
      <c r="S108" s="16"/>
      <c r="T108" s="16"/>
      <c r="U108" s="16" t="str">
        <f>IFERROR(__xludf.DUMMYFUNCTION("""COMPUTED_VALUE"""),"On The Map")</f>
        <v>On The Map</v>
      </c>
      <c r="V108" s="16" t="str">
        <f>IFERROR(__xludf.DUMMYFUNCTION("""COMPUTED_VALUE"""),"ISTANBUL - BEYOGLU")</f>
        <v>ISTANBUL - BEYOGLU</v>
      </c>
      <c r="W108" s="16" t="str">
        <f>IFERROR(__xludf.DUMMYFUNCTION("""COMPUTED_VALUE"""),"2023-03-18T11:43:01Z")</f>
        <v>2023-03-18T11:43:01Z</v>
      </c>
      <c r="X108" s="16"/>
      <c r="Y108" s="16"/>
      <c r="Z108" s="16"/>
    </row>
    <row r="109">
      <c r="A109" s="16" t="str">
        <f>IFERROR(__xludf.DUMMYFUNCTION("""COMPUTED_VALUE"""),"5174045_1289297")</f>
        <v>5174045_1289297</v>
      </c>
      <c r="B109" s="16" t="str">
        <f>IFERROR(__xludf.DUMMYFUNCTION("""COMPUTED_VALUE"""),"İdil Eylül Durmaz")</f>
        <v>İdil Eylül Durmaz</v>
      </c>
      <c r="C109" s="16" t="str">
        <f>IFERROR(__xludf.DUMMYFUNCTION("""COMPUTED_VALUE"""),"completed")</f>
        <v>completed</v>
      </c>
      <c r="D109" s="16" t="str">
        <f>IFERROR(__xludf.DUMMYFUNCTION("""COMPUTED_VALUE"""),"No")</f>
        <v>No</v>
      </c>
      <c r="E109" s="16" t="str">
        <f>IFERROR(__xludf.DUMMYFUNCTION("""COMPUTED_VALUE"""),"p_e89d80b1988d5b2d4c2c3d93fa380ca14de77b03@inbound.aiesec.org")</f>
        <v>p_e89d80b1988d5b2d4c2c3d93fa380ca14de77b03@inbound.aiesec.org</v>
      </c>
      <c r="F109" s="16"/>
      <c r="G109" s="16" t="str">
        <f>IFERROR(__xludf.DUMMYFUNCTION("""COMPUTED_VALUE"""),"Turkey")</f>
        <v>Turkey</v>
      </c>
      <c r="H109" s="16" t="str">
        <f>IFERROR(__xludf.DUMMYFUNCTION("""COMPUTED_VALUE"""),"ISTANBUL")</f>
        <v>ISTANBUL</v>
      </c>
      <c r="I109" s="16" t="str">
        <f>IFERROR(__xludf.DUMMYFUNCTION("""COMPUTED_VALUE"""),"Azerbaijan")</f>
        <v>Azerbaijan</v>
      </c>
      <c r="J109" s="16" t="str">
        <f>IFERROR(__xludf.DUMMYFUNCTION("""COMPUTED_VALUE"""),"Baku Synergy")</f>
        <v>Baku Synergy</v>
      </c>
      <c r="K109" s="17" t="str">
        <f>IFERROR(__xludf.DUMMYFUNCTION("""COMPUTED_VALUE"""),"https://expa.aiesec.org/opportunities/1289297")</f>
        <v>https://expa.aiesec.org/opportunities/1289297</v>
      </c>
      <c r="L109" s="16" t="str">
        <f>IFERROR(__xludf.DUMMYFUNCTION("""COMPUTED_VALUE"""),"GV")</f>
        <v>GV</v>
      </c>
      <c r="M109" s="16" t="str">
        <f>IFERROR(__xludf.DUMMYFUNCTION("""COMPUTED_VALUE"""),"short")</f>
        <v>short</v>
      </c>
      <c r="N109" s="18">
        <f>IFERROR(__xludf.DUMMYFUNCTION("""COMPUTED_VALUE"""),45024.0)</f>
        <v>45024</v>
      </c>
      <c r="O109" s="18">
        <f>IFERROR(__xludf.DUMMYFUNCTION("""COMPUTED_VALUE"""),45110.0)</f>
        <v>45110</v>
      </c>
      <c r="P109" s="18">
        <f>IFERROR(__xludf.DUMMYFUNCTION("""COMPUTED_VALUE"""),45152.0)</f>
        <v>45152</v>
      </c>
      <c r="Q109" s="18">
        <f>IFERROR(__xludf.DUMMYFUNCTION("""COMPUTED_VALUE"""),45110.0)</f>
        <v>45110</v>
      </c>
      <c r="R109" s="18">
        <f>IFERROR(__xludf.DUMMYFUNCTION("""COMPUTED_VALUE"""),45152.0)</f>
        <v>45152</v>
      </c>
      <c r="S109" s="16"/>
      <c r="T109" s="16"/>
      <c r="U109" s="16" t="str">
        <f>IFERROR(__xludf.DUMMYFUNCTION("""COMPUTED_VALUE"""),"Youth 4 Impact")</f>
        <v>Youth 4 Impact</v>
      </c>
      <c r="V109" s="16" t="str">
        <f>IFERROR(__xludf.DUMMYFUNCTION("""COMPUTED_VALUE"""),"-")</f>
        <v>-</v>
      </c>
      <c r="W109" s="16" t="str">
        <f>IFERROR(__xludf.DUMMYFUNCTION("""COMPUTED_VALUE"""),"2023-01-07T13:31:22Z")</f>
        <v>2023-01-07T13:31:22Z</v>
      </c>
      <c r="X109" s="16"/>
      <c r="Y109" s="16"/>
      <c r="Z109" s="16"/>
    </row>
    <row r="110">
      <c r="A110" s="16" t="str">
        <f>IFERROR(__xludf.DUMMYFUNCTION("""COMPUTED_VALUE"""),"4519233_1285687")</f>
        <v>4519233_1285687</v>
      </c>
      <c r="B110" s="16" t="str">
        <f>IFERROR(__xludf.DUMMYFUNCTION("""COMPUTED_VALUE"""),"Nursaya Imamurat")</f>
        <v>Nursaya Imamurat</v>
      </c>
      <c r="C110" s="16" t="str">
        <f>IFERROR(__xludf.DUMMYFUNCTION("""COMPUTED_VALUE"""),"completed")</f>
        <v>completed</v>
      </c>
      <c r="D110" s="16" t="str">
        <f>IFERROR(__xludf.DUMMYFUNCTION("""COMPUTED_VALUE"""),"No")</f>
        <v>No</v>
      </c>
      <c r="E110" s="16" t="str">
        <f>IFERROR(__xludf.DUMMYFUNCTION("""COMPUTED_VALUE"""),"p_6075023d74039b035e7c33baf2b795c684db6692@inbound.aiesec.org")</f>
        <v>p_6075023d74039b035e7c33baf2b795c684db6692@inbound.aiesec.org</v>
      </c>
      <c r="F110" s="16">
        <f>IFERROR(__xludf.DUMMYFUNCTION("""COMPUTED_VALUE"""),7.081835809E9)</f>
        <v>7081835809</v>
      </c>
      <c r="G110" s="16" t="str">
        <f>IFERROR(__xludf.DUMMYFUNCTION("""COMPUTED_VALUE"""),"Kazakhstan")</f>
        <v>Kazakhstan</v>
      </c>
      <c r="H110" s="16" t="str">
        <f>IFERROR(__xludf.DUMMYFUNCTION("""COMPUTED_VALUE"""),"ALMATY")</f>
        <v>ALMATY</v>
      </c>
      <c r="I110" s="16" t="str">
        <f>IFERROR(__xludf.DUMMYFUNCTION("""COMPUTED_VALUE"""),"Turkey")</f>
        <v>Turkey</v>
      </c>
      <c r="J110" s="16" t="str">
        <f>IFERROR(__xludf.DUMMYFUNCTION("""COMPUTED_VALUE"""),"ISTANBUL")</f>
        <v>ISTANBUL</v>
      </c>
      <c r="K110" s="17" t="str">
        <f>IFERROR(__xludf.DUMMYFUNCTION("""COMPUTED_VALUE"""),"https://expa.aiesec.org/opportunities/1285687")</f>
        <v>https://expa.aiesec.org/opportunities/1285687</v>
      </c>
      <c r="L110" s="16" t="str">
        <f>IFERROR(__xludf.DUMMYFUNCTION("""COMPUTED_VALUE"""),"GV")</f>
        <v>GV</v>
      </c>
      <c r="M110" s="16" t="str">
        <f>IFERROR(__xludf.DUMMYFUNCTION("""COMPUTED_VALUE"""),"short")</f>
        <v>short</v>
      </c>
      <c r="N110" s="18">
        <f>IFERROR(__xludf.DUMMYFUNCTION("""COMPUTED_VALUE"""),45024.0)</f>
        <v>45024</v>
      </c>
      <c r="O110" s="18">
        <f>IFERROR(__xludf.DUMMYFUNCTION("""COMPUTED_VALUE"""),45057.0)</f>
        <v>45057</v>
      </c>
      <c r="P110" s="18">
        <f>IFERROR(__xludf.DUMMYFUNCTION("""COMPUTED_VALUE"""),45099.0)</f>
        <v>45099</v>
      </c>
      <c r="Q110" s="18">
        <f>IFERROR(__xludf.DUMMYFUNCTION("""COMPUTED_VALUE"""),45061.0)</f>
        <v>45061</v>
      </c>
      <c r="R110" s="18">
        <f>IFERROR(__xludf.DUMMYFUNCTION("""COMPUTED_VALUE"""),45103.0)</f>
        <v>45103</v>
      </c>
      <c r="S110" s="16"/>
      <c r="T110" s="16"/>
      <c r="U110" s="16" t="str">
        <f>IFERROR(__xludf.DUMMYFUNCTION("""COMPUTED_VALUE"""),"Youth 4 Impact")</f>
        <v>Youth 4 Impact</v>
      </c>
      <c r="V110" s="16" t="str">
        <f>IFERROR(__xludf.DUMMYFUNCTION("""COMPUTED_VALUE"""),"Atyrau")</f>
        <v>Atyrau</v>
      </c>
      <c r="W110" s="16" t="str">
        <f>IFERROR(__xludf.DUMMYFUNCTION("""COMPUTED_VALUE"""),"2021-01-18T16:18:05Z")</f>
        <v>2021-01-18T16:18:05Z</v>
      </c>
      <c r="X110" s="16"/>
      <c r="Y110" s="16"/>
      <c r="Z110" s="16"/>
    </row>
    <row r="111">
      <c r="A111" s="16" t="str">
        <f>IFERROR(__xludf.DUMMYFUNCTION("""COMPUTED_VALUE"""),"5238945_1289536")</f>
        <v>5238945_1289536</v>
      </c>
      <c r="B111" s="16" t="str">
        <f>IFERROR(__xludf.DUMMYFUNCTION("""COMPUTED_VALUE"""),"Imen Meherzi")</f>
        <v>Imen Meherzi</v>
      </c>
      <c r="C111" s="16" t="str">
        <f>IFERROR(__xludf.DUMMYFUNCTION("""COMPUTED_VALUE"""),"completed")</f>
        <v>completed</v>
      </c>
      <c r="D111" s="16" t="str">
        <f>IFERROR(__xludf.DUMMYFUNCTION("""COMPUTED_VALUE"""),"No")</f>
        <v>No</v>
      </c>
      <c r="E111" s="16" t="str">
        <f>IFERROR(__xludf.DUMMYFUNCTION("""COMPUTED_VALUE"""),"p_4295947d457ea6f611f695fad283c7e92622cefd@inbound.aiesec.org")</f>
        <v>p_4295947d457ea6f611f695fad283c7e92622cefd@inbound.aiesec.org</v>
      </c>
      <c r="F111" s="16">
        <f>IFERROR(__xludf.DUMMYFUNCTION("""COMPUTED_VALUE"""),2.613102E7)</f>
        <v>26131020</v>
      </c>
      <c r="G111" s="16" t="str">
        <f>IFERROR(__xludf.DUMMYFUNCTION("""COMPUTED_VALUE"""),"Tunisia")</f>
        <v>Tunisia</v>
      </c>
      <c r="H111" s="16" t="str">
        <f>IFERROR(__xludf.DUMMYFUNCTION("""COMPUTED_VALUE"""),"Carthage")</f>
        <v>Carthage</v>
      </c>
      <c r="I111" s="16" t="str">
        <f>IFERROR(__xludf.DUMMYFUNCTION("""COMPUTED_VALUE"""),"Turkey")</f>
        <v>Turkey</v>
      </c>
      <c r="J111" s="16" t="str">
        <f>IFERROR(__xludf.DUMMYFUNCTION("""COMPUTED_VALUE"""),"ISTANBUL")</f>
        <v>ISTANBUL</v>
      </c>
      <c r="K111" s="17" t="str">
        <f>IFERROR(__xludf.DUMMYFUNCTION("""COMPUTED_VALUE"""),"https://expa.aiesec.org/opportunities/1289536")</f>
        <v>https://expa.aiesec.org/opportunities/1289536</v>
      </c>
      <c r="L111" s="16" t="str">
        <f>IFERROR(__xludf.DUMMYFUNCTION("""COMPUTED_VALUE"""),"GV")</f>
        <v>GV</v>
      </c>
      <c r="M111" s="16" t="str">
        <f>IFERROR(__xludf.DUMMYFUNCTION("""COMPUTED_VALUE"""),"short")</f>
        <v>short</v>
      </c>
      <c r="N111" s="18">
        <f>IFERROR(__xludf.DUMMYFUNCTION("""COMPUTED_VALUE"""),45026.0)</f>
        <v>45026</v>
      </c>
      <c r="O111" s="18">
        <f>IFERROR(__xludf.DUMMYFUNCTION("""COMPUTED_VALUE"""),45090.0)</f>
        <v>45090</v>
      </c>
      <c r="P111" s="18">
        <f>IFERROR(__xludf.DUMMYFUNCTION("""COMPUTED_VALUE"""),45132.0)</f>
        <v>45132</v>
      </c>
      <c r="Q111" s="18">
        <f>IFERROR(__xludf.DUMMYFUNCTION("""COMPUTED_VALUE"""),45090.0)</f>
        <v>45090</v>
      </c>
      <c r="R111" s="18">
        <f>IFERROR(__xludf.DUMMYFUNCTION("""COMPUTED_VALUE"""),45132.0)</f>
        <v>45132</v>
      </c>
      <c r="S111" s="16"/>
      <c r="T111" s="16"/>
      <c r="U111" s="16" t="str">
        <f>IFERROR(__xludf.DUMMYFUNCTION("""COMPUTED_VALUE"""),"Global Classroom")</f>
        <v>Global Classroom</v>
      </c>
      <c r="V111" s="16" t="str">
        <f>IFERROR(__xludf.DUMMYFUNCTION("""COMPUTED_VALUE"""),"ISLT")</f>
        <v>ISLT</v>
      </c>
      <c r="W111" s="16" t="str">
        <f>IFERROR(__xludf.DUMMYFUNCTION("""COMPUTED_VALUE"""),"2023-04-10T15:03:23Z")</f>
        <v>2023-04-10T15:03:23Z</v>
      </c>
      <c r="X111" s="16"/>
      <c r="Y111" s="16"/>
      <c r="Z111" s="16"/>
    </row>
    <row r="112">
      <c r="A112" s="16" t="str">
        <f>IFERROR(__xludf.DUMMYFUNCTION("""COMPUTED_VALUE"""),"5226882_1285687")</f>
        <v>5226882_1285687</v>
      </c>
      <c r="B112" s="16" t="str">
        <f>IFERROR(__xludf.DUMMYFUNCTION("""COMPUTED_VALUE"""),"Ganea Sorin Daniel")</f>
        <v>Ganea Sorin Daniel</v>
      </c>
      <c r="C112" s="16" t="str">
        <f>IFERROR(__xludf.DUMMYFUNCTION("""COMPUTED_VALUE"""),"finished")</f>
        <v>finished</v>
      </c>
      <c r="D112" s="16" t="str">
        <f>IFERROR(__xludf.DUMMYFUNCTION("""COMPUTED_VALUE"""),"No")</f>
        <v>No</v>
      </c>
      <c r="E112" s="16" t="str">
        <f>IFERROR(__xludf.DUMMYFUNCTION("""COMPUTED_VALUE"""),"p_0bc24ed9f21e53c82e7441f1f15bca2e8c6e8b9f@inbound.aiesec.org")</f>
        <v>p_0bc24ed9f21e53c82e7441f1f15bca2e8c6e8b9f@inbound.aiesec.org</v>
      </c>
      <c r="F112" s="16"/>
      <c r="G112" s="16" t="str">
        <f>IFERROR(__xludf.DUMMYFUNCTION("""COMPUTED_VALUE"""),"Romania")</f>
        <v>Romania</v>
      </c>
      <c r="H112" s="16" t="str">
        <f>IFERROR(__xludf.DUMMYFUNCTION("""COMPUTED_VALUE"""),"GALATI")</f>
        <v>GALATI</v>
      </c>
      <c r="I112" s="16" t="str">
        <f>IFERROR(__xludf.DUMMYFUNCTION("""COMPUTED_VALUE"""),"Turkey")</f>
        <v>Turkey</v>
      </c>
      <c r="J112" s="16" t="str">
        <f>IFERROR(__xludf.DUMMYFUNCTION("""COMPUTED_VALUE"""),"ISTANBUL")</f>
        <v>ISTANBUL</v>
      </c>
      <c r="K112" s="17" t="str">
        <f>IFERROR(__xludf.DUMMYFUNCTION("""COMPUTED_VALUE"""),"https://expa.aiesec.org/opportunities/1285687")</f>
        <v>https://expa.aiesec.org/opportunities/1285687</v>
      </c>
      <c r="L112" s="16" t="str">
        <f>IFERROR(__xludf.DUMMYFUNCTION("""COMPUTED_VALUE"""),"GV")</f>
        <v>GV</v>
      </c>
      <c r="M112" s="16" t="str">
        <f>IFERROR(__xludf.DUMMYFUNCTION("""COMPUTED_VALUE"""),"short")</f>
        <v>short</v>
      </c>
      <c r="N112" s="18">
        <f>IFERROR(__xludf.DUMMYFUNCTION("""COMPUTED_VALUE"""),45026.0)</f>
        <v>45026</v>
      </c>
      <c r="O112" s="18">
        <f>IFERROR(__xludf.DUMMYFUNCTION("""COMPUTED_VALUE"""),45155.0)</f>
        <v>45155</v>
      </c>
      <c r="P112" s="18">
        <f>IFERROR(__xludf.DUMMYFUNCTION("""COMPUTED_VALUE"""),45197.0)</f>
        <v>45197</v>
      </c>
      <c r="Q112" s="18">
        <f>IFERROR(__xludf.DUMMYFUNCTION("""COMPUTED_VALUE"""),45156.0)</f>
        <v>45156</v>
      </c>
      <c r="R112" s="18">
        <f>IFERROR(__xludf.DUMMYFUNCTION("""COMPUTED_VALUE"""),45197.0)</f>
        <v>45197</v>
      </c>
      <c r="S112" s="16"/>
      <c r="T112" s="16"/>
      <c r="U112" s="16" t="str">
        <f>IFERROR(__xludf.DUMMYFUNCTION("""COMPUTED_VALUE"""),"Youth 4 Impact")</f>
        <v>Youth 4 Impact</v>
      </c>
      <c r="V112" s="16" t="str">
        <f>IFERROR(__xludf.DUMMYFUNCTION("""COMPUTED_VALUE"""),"-")</f>
        <v>-</v>
      </c>
      <c r="W112" s="16" t="str">
        <f>IFERROR(__xludf.DUMMYFUNCTION("""COMPUTED_VALUE"""),"2023-03-25T15:53:40Z")</f>
        <v>2023-03-25T15:53:40Z</v>
      </c>
      <c r="X112" s="16"/>
      <c r="Y112" s="16"/>
      <c r="Z112" s="16"/>
    </row>
    <row r="113">
      <c r="A113" s="16" t="str">
        <f>IFERROR(__xludf.DUMMYFUNCTION("""COMPUTED_VALUE"""),"5226883_1285687")</f>
        <v>5226883_1285687</v>
      </c>
      <c r="B113" s="16" t="str">
        <f>IFERROR(__xludf.DUMMYFUNCTION("""COMPUTED_VALUE"""),"Robert-Andrei Graur")</f>
        <v>Robert-Andrei Graur</v>
      </c>
      <c r="C113" s="16" t="str">
        <f>IFERROR(__xludf.DUMMYFUNCTION("""COMPUTED_VALUE"""),"finished")</f>
        <v>finished</v>
      </c>
      <c r="D113" s="16" t="str">
        <f>IFERROR(__xludf.DUMMYFUNCTION("""COMPUTED_VALUE"""),"No")</f>
        <v>No</v>
      </c>
      <c r="E113" s="16" t="str">
        <f>IFERROR(__xludf.DUMMYFUNCTION("""COMPUTED_VALUE"""),"p_7e097d318c75df49ae30d0f403b0f887c2288a61@inbound.aiesec.org")</f>
        <v>p_7e097d318c75df49ae30d0f403b0f887c2288a61@inbound.aiesec.org</v>
      </c>
      <c r="F113" s="16"/>
      <c r="G113" s="16" t="str">
        <f>IFERROR(__xludf.DUMMYFUNCTION("""COMPUTED_VALUE"""),"Romania")</f>
        <v>Romania</v>
      </c>
      <c r="H113" s="16" t="str">
        <f>IFERROR(__xludf.DUMMYFUNCTION("""COMPUTED_VALUE"""),"GALATI")</f>
        <v>GALATI</v>
      </c>
      <c r="I113" s="16" t="str">
        <f>IFERROR(__xludf.DUMMYFUNCTION("""COMPUTED_VALUE"""),"Turkey")</f>
        <v>Turkey</v>
      </c>
      <c r="J113" s="16" t="str">
        <f>IFERROR(__xludf.DUMMYFUNCTION("""COMPUTED_VALUE"""),"ISTANBUL")</f>
        <v>ISTANBUL</v>
      </c>
      <c r="K113" s="17" t="str">
        <f>IFERROR(__xludf.DUMMYFUNCTION("""COMPUTED_VALUE"""),"https://expa.aiesec.org/opportunities/1285687")</f>
        <v>https://expa.aiesec.org/opportunities/1285687</v>
      </c>
      <c r="L113" s="16" t="str">
        <f>IFERROR(__xludf.DUMMYFUNCTION("""COMPUTED_VALUE"""),"GV")</f>
        <v>GV</v>
      </c>
      <c r="M113" s="16" t="str">
        <f>IFERROR(__xludf.DUMMYFUNCTION("""COMPUTED_VALUE"""),"short")</f>
        <v>short</v>
      </c>
      <c r="N113" s="18">
        <f>IFERROR(__xludf.DUMMYFUNCTION("""COMPUTED_VALUE"""),45026.0)</f>
        <v>45026</v>
      </c>
      <c r="O113" s="18">
        <f>IFERROR(__xludf.DUMMYFUNCTION("""COMPUTED_VALUE"""),45155.0)</f>
        <v>45155</v>
      </c>
      <c r="P113" s="18">
        <f>IFERROR(__xludf.DUMMYFUNCTION("""COMPUTED_VALUE"""),45197.0)</f>
        <v>45197</v>
      </c>
      <c r="Q113" s="18">
        <f>IFERROR(__xludf.DUMMYFUNCTION("""COMPUTED_VALUE"""),45156.0)</f>
        <v>45156</v>
      </c>
      <c r="R113" s="18">
        <f>IFERROR(__xludf.DUMMYFUNCTION("""COMPUTED_VALUE"""),45197.0)</f>
        <v>45197</v>
      </c>
      <c r="S113" s="16"/>
      <c r="T113" s="16"/>
      <c r="U113" s="16" t="str">
        <f>IFERROR(__xludf.DUMMYFUNCTION("""COMPUTED_VALUE"""),"Youth 4 Impact")</f>
        <v>Youth 4 Impact</v>
      </c>
      <c r="V113" s="16" t="str">
        <f>IFERROR(__xludf.DUMMYFUNCTION("""COMPUTED_VALUE"""),"-")</f>
        <v>-</v>
      </c>
      <c r="W113" s="16" t="str">
        <f>IFERROR(__xludf.DUMMYFUNCTION("""COMPUTED_VALUE"""),"2023-03-25T15:53:49Z")</f>
        <v>2023-03-25T15:53:49Z</v>
      </c>
      <c r="X113" s="16"/>
      <c r="Y113" s="16"/>
      <c r="Z113" s="16"/>
    </row>
    <row r="114">
      <c r="A114" s="16" t="str">
        <f>IFERROR(__xludf.DUMMYFUNCTION("""COMPUTED_VALUE"""),"5226884_1285687")</f>
        <v>5226884_1285687</v>
      </c>
      <c r="B114" s="16" t="str">
        <f>IFERROR(__xludf.DUMMYFUNCTION("""COMPUTED_VALUE"""),"Preda Ionut Adrian")</f>
        <v>Preda Ionut Adrian</v>
      </c>
      <c r="C114" s="16" t="str">
        <f>IFERROR(__xludf.DUMMYFUNCTION("""COMPUTED_VALUE"""),"finished")</f>
        <v>finished</v>
      </c>
      <c r="D114" s="16" t="str">
        <f>IFERROR(__xludf.DUMMYFUNCTION("""COMPUTED_VALUE"""),"No")</f>
        <v>No</v>
      </c>
      <c r="E114" s="16" t="str">
        <f>IFERROR(__xludf.DUMMYFUNCTION("""COMPUTED_VALUE"""),"p_4bd91219c6d8d52903155ba78943dda4171b6833@inbound.aiesec.org")</f>
        <v>p_4bd91219c6d8d52903155ba78943dda4171b6833@inbound.aiesec.org</v>
      </c>
      <c r="F114" s="16"/>
      <c r="G114" s="16" t="str">
        <f>IFERROR(__xludf.DUMMYFUNCTION("""COMPUTED_VALUE"""),"Romania")</f>
        <v>Romania</v>
      </c>
      <c r="H114" s="16" t="str">
        <f>IFERROR(__xludf.DUMMYFUNCTION("""COMPUTED_VALUE"""),"GALATI")</f>
        <v>GALATI</v>
      </c>
      <c r="I114" s="16" t="str">
        <f>IFERROR(__xludf.DUMMYFUNCTION("""COMPUTED_VALUE"""),"Turkey")</f>
        <v>Turkey</v>
      </c>
      <c r="J114" s="16" t="str">
        <f>IFERROR(__xludf.DUMMYFUNCTION("""COMPUTED_VALUE"""),"ISTANBUL")</f>
        <v>ISTANBUL</v>
      </c>
      <c r="K114" s="17" t="str">
        <f>IFERROR(__xludf.DUMMYFUNCTION("""COMPUTED_VALUE"""),"https://expa.aiesec.org/opportunities/1285687")</f>
        <v>https://expa.aiesec.org/opportunities/1285687</v>
      </c>
      <c r="L114" s="16" t="str">
        <f>IFERROR(__xludf.DUMMYFUNCTION("""COMPUTED_VALUE"""),"GV")</f>
        <v>GV</v>
      </c>
      <c r="M114" s="16" t="str">
        <f>IFERROR(__xludf.DUMMYFUNCTION("""COMPUTED_VALUE"""),"short")</f>
        <v>short</v>
      </c>
      <c r="N114" s="18">
        <f>IFERROR(__xludf.DUMMYFUNCTION("""COMPUTED_VALUE"""),45026.0)</f>
        <v>45026</v>
      </c>
      <c r="O114" s="18">
        <f>IFERROR(__xludf.DUMMYFUNCTION("""COMPUTED_VALUE"""),45155.0)</f>
        <v>45155</v>
      </c>
      <c r="P114" s="18">
        <f>IFERROR(__xludf.DUMMYFUNCTION("""COMPUTED_VALUE"""),45197.0)</f>
        <v>45197</v>
      </c>
      <c r="Q114" s="18">
        <f>IFERROR(__xludf.DUMMYFUNCTION("""COMPUTED_VALUE"""),45156.0)</f>
        <v>45156</v>
      </c>
      <c r="R114" s="18">
        <f>IFERROR(__xludf.DUMMYFUNCTION("""COMPUTED_VALUE"""),45197.0)</f>
        <v>45197</v>
      </c>
      <c r="S114" s="16"/>
      <c r="T114" s="16"/>
      <c r="U114" s="16" t="str">
        <f>IFERROR(__xludf.DUMMYFUNCTION("""COMPUTED_VALUE"""),"Youth 4 Impact")</f>
        <v>Youth 4 Impact</v>
      </c>
      <c r="V114" s="16" t="str">
        <f>IFERROR(__xludf.DUMMYFUNCTION("""COMPUTED_VALUE"""),"-")</f>
        <v>-</v>
      </c>
      <c r="W114" s="16" t="str">
        <f>IFERROR(__xludf.DUMMYFUNCTION("""COMPUTED_VALUE"""),"2023-03-25T15:54:06Z")</f>
        <v>2023-03-25T15:54:06Z</v>
      </c>
      <c r="X114" s="16"/>
      <c r="Y114" s="16"/>
      <c r="Z114" s="16"/>
    </row>
    <row r="115">
      <c r="A115" s="16" t="str">
        <f>IFERROR(__xludf.DUMMYFUNCTION("""COMPUTED_VALUE"""),"5233012_1293019")</f>
        <v>5233012_1293019</v>
      </c>
      <c r="B115" s="16" t="str">
        <f>IFERROR(__xludf.DUMMYFUNCTION("""COMPUTED_VALUE"""),"Zeynep Yaren Sarıgeçili")</f>
        <v>Zeynep Yaren Sarıgeçili</v>
      </c>
      <c r="C115" s="16" t="str">
        <f>IFERROR(__xludf.DUMMYFUNCTION("""COMPUTED_VALUE"""),"approved")</f>
        <v>approved</v>
      </c>
      <c r="D115" s="16" t="str">
        <f>IFERROR(__xludf.DUMMYFUNCTION("""COMPUTED_VALUE"""),"No")</f>
        <v>No</v>
      </c>
      <c r="E115" s="16" t="str">
        <f>IFERROR(__xludf.DUMMYFUNCTION("""COMPUTED_VALUE"""),"p_3d64ef33f86f69a88aa9f274c097774ca4933b96@inbound.aiesec.org")</f>
        <v>p_3d64ef33f86f69a88aa9f274c097774ca4933b96@inbound.aiesec.org</v>
      </c>
      <c r="F115" s="16"/>
      <c r="G115" s="16" t="str">
        <f>IFERROR(__xludf.DUMMYFUNCTION("""COMPUTED_VALUE"""),"Turkey")</f>
        <v>Turkey</v>
      </c>
      <c r="H115" s="16" t="str">
        <f>IFERROR(__xludf.DUMMYFUNCTION("""COMPUTED_VALUE"""),"ISTANBUL")</f>
        <v>ISTANBUL</v>
      </c>
      <c r="I115" s="16" t="str">
        <f>IFERROR(__xludf.DUMMYFUNCTION("""COMPUTED_VALUE"""),"India")</f>
        <v>India</v>
      </c>
      <c r="J115" s="16" t="str">
        <f>IFERROR(__xludf.DUMMYFUNCTION("""COMPUTED_VALUE"""),"Mumbai")</f>
        <v>Mumbai</v>
      </c>
      <c r="K115" s="17" t="str">
        <f>IFERROR(__xludf.DUMMYFUNCTION("""COMPUTED_VALUE"""),"https://expa.aiesec.org/opportunities/1293019")</f>
        <v>https://expa.aiesec.org/opportunities/1293019</v>
      </c>
      <c r="L115" s="16" t="str">
        <f>IFERROR(__xludf.DUMMYFUNCTION("""COMPUTED_VALUE"""),"GV")</f>
        <v>GV</v>
      </c>
      <c r="M115" s="16" t="str">
        <f>IFERROR(__xludf.DUMMYFUNCTION("""COMPUTED_VALUE"""),"short")</f>
        <v>short</v>
      </c>
      <c r="N115" s="18">
        <f>IFERROR(__xludf.DUMMYFUNCTION("""COMPUTED_VALUE"""),45027.0)</f>
        <v>45027</v>
      </c>
      <c r="O115" s="18">
        <f>IFERROR(__xludf.DUMMYFUNCTION("""COMPUTED_VALUE"""),45158.0)</f>
        <v>45158</v>
      </c>
      <c r="P115" s="18">
        <f>IFERROR(__xludf.DUMMYFUNCTION("""COMPUTED_VALUE"""),45204.0)</f>
        <v>45204</v>
      </c>
      <c r="Q115" s="18"/>
      <c r="R115" s="18"/>
      <c r="S115" s="16"/>
      <c r="T115" s="16"/>
      <c r="U115" s="16" t="str">
        <f>IFERROR(__xludf.DUMMYFUNCTION("""COMPUTED_VALUE"""),"Scale Up!")</f>
        <v>Scale Up!</v>
      </c>
      <c r="V115" s="16" t="str">
        <f>IFERROR(__xludf.DUMMYFUNCTION("""COMPUTED_VALUE"""),"-")</f>
        <v>-</v>
      </c>
      <c r="W115" s="16" t="str">
        <f>IFERROR(__xludf.DUMMYFUNCTION("""COMPUTED_VALUE"""),"2023-04-01T23:48:44Z")</f>
        <v>2023-04-01T23:48:44Z</v>
      </c>
      <c r="X115" s="16"/>
      <c r="Y115" s="16"/>
      <c r="Z115" s="16"/>
    </row>
    <row r="116">
      <c r="A116" s="16" t="str">
        <f>IFERROR(__xludf.DUMMYFUNCTION("""COMPUTED_VALUE"""),"5240794_1272564")</f>
        <v>5240794_1272564</v>
      </c>
      <c r="B116" s="16" t="str">
        <f>IFERROR(__xludf.DUMMYFUNCTION("""COMPUTED_VALUE"""),"Imane Bakkar")</f>
        <v>Imane Bakkar</v>
      </c>
      <c r="C116" s="16" t="str">
        <f>IFERROR(__xludf.DUMMYFUNCTION("""COMPUTED_VALUE"""),"approved")</f>
        <v>approved</v>
      </c>
      <c r="D116" s="16" t="str">
        <f>IFERROR(__xludf.DUMMYFUNCTION("""COMPUTED_VALUE"""),"No")</f>
        <v>No</v>
      </c>
      <c r="E116" s="16" t="str">
        <f>IFERROR(__xludf.DUMMYFUNCTION("""COMPUTED_VALUE"""),"p_a6b5f2520d8bf5a0267f603fc7008c86806b023c@inbound.aiesec.org")</f>
        <v>p_a6b5f2520d8bf5a0267f603fc7008c86806b023c@inbound.aiesec.org</v>
      </c>
      <c r="F116" s="16">
        <f>IFERROR(__xludf.DUMMYFUNCTION("""COMPUTED_VALUE"""),7.08990518E8)</f>
        <v>708990518</v>
      </c>
      <c r="G116" s="16" t="str">
        <f>IFERROR(__xludf.DUMMYFUNCTION("""COMPUTED_VALUE"""),"Morocco")</f>
        <v>Morocco</v>
      </c>
      <c r="H116" s="16" t="str">
        <f>IFERROR(__xludf.DUMMYFUNCTION("""COMPUTED_VALUE"""),"Casablanca")</f>
        <v>Casablanca</v>
      </c>
      <c r="I116" s="16" t="str">
        <f>IFERROR(__xludf.DUMMYFUNCTION("""COMPUTED_VALUE"""),"Turkey")</f>
        <v>Turkey</v>
      </c>
      <c r="J116" s="16" t="str">
        <f>IFERROR(__xludf.DUMMYFUNCTION("""COMPUTED_VALUE"""),"ISTANBUL")</f>
        <v>ISTANBUL</v>
      </c>
      <c r="K116" s="17" t="str">
        <f>IFERROR(__xludf.DUMMYFUNCTION("""COMPUTED_VALUE"""),"https://expa.aiesec.org/opportunities/1272564")</f>
        <v>https://expa.aiesec.org/opportunities/1272564</v>
      </c>
      <c r="L116" s="16" t="str">
        <f>IFERROR(__xludf.DUMMYFUNCTION("""COMPUTED_VALUE"""),"GV")</f>
        <v>GV</v>
      </c>
      <c r="M116" s="16" t="str">
        <f>IFERROR(__xludf.DUMMYFUNCTION("""COMPUTED_VALUE"""),"short")</f>
        <v>short</v>
      </c>
      <c r="N116" s="18">
        <f>IFERROR(__xludf.DUMMYFUNCTION("""COMPUTED_VALUE"""),45028.0)</f>
        <v>45028</v>
      </c>
      <c r="O116" s="18">
        <f>IFERROR(__xludf.DUMMYFUNCTION("""COMPUTED_VALUE"""),45173.0)</f>
        <v>45173</v>
      </c>
      <c r="P116" s="18">
        <f>IFERROR(__xludf.DUMMYFUNCTION("""COMPUTED_VALUE"""),45215.0)</f>
        <v>45215</v>
      </c>
      <c r="Q116" s="18"/>
      <c r="R116" s="18"/>
      <c r="S116" s="16"/>
      <c r="T116" s="16"/>
      <c r="U116" s="16" t="str">
        <f>IFERROR(__xludf.DUMMYFUNCTION("""COMPUTED_VALUE"""),"Global Classroom")</f>
        <v>Global Classroom</v>
      </c>
      <c r="V116" s="16" t="str">
        <f>IFERROR(__xludf.DUMMYFUNCTION("""COMPUTED_VALUE"""),"EIGSI Casablanca")</f>
        <v>EIGSI Casablanca</v>
      </c>
      <c r="W116" s="16" t="str">
        <f>IFERROR(__xludf.DUMMYFUNCTION("""COMPUTED_VALUE"""),"2023-04-12T23:01:18Z")</f>
        <v>2023-04-12T23:01:18Z</v>
      </c>
      <c r="X116" s="16"/>
      <c r="Y116" s="16"/>
      <c r="Z116" s="16"/>
    </row>
    <row r="117">
      <c r="A117" s="16" t="str">
        <f>IFERROR(__xludf.DUMMYFUNCTION("""COMPUTED_VALUE"""),"5198199_1272564")</f>
        <v>5198199_1272564</v>
      </c>
      <c r="B117" s="16" t="str">
        <f>IFERROR(__xludf.DUMMYFUNCTION("""COMPUTED_VALUE"""),"Aleksandra Stankovic")</f>
        <v>Aleksandra Stankovic</v>
      </c>
      <c r="C117" s="16" t="str">
        <f>IFERROR(__xludf.DUMMYFUNCTION("""COMPUTED_VALUE"""),"approved")</f>
        <v>approved</v>
      </c>
      <c r="D117" s="16" t="str">
        <f>IFERROR(__xludf.DUMMYFUNCTION("""COMPUTED_VALUE"""),"No")</f>
        <v>No</v>
      </c>
      <c r="E117" s="16" t="str">
        <f>IFERROR(__xludf.DUMMYFUNCTION("""COMPUTED_VALUE"""),"p_c0fdf1354eedf1ebcfe685f6ca486e733933860d@inbound.aiesec.org")</f>
        <v>p_c0fdf1354eedf1ebcfe685f6ca486e733933860d@inbound.aiesec.org</v>
      </c>
      <c r="F117" s="16">
        <f>IFERROR(__xludf.DUMMYFUNCTION("""COMPUTED_VALUE"""),6.37607468E8)</f>
        <v>637607468</v>
      </c>
      <c r="G117" s="16" t="str">
        <f>IFERROR(__xludf.DUMMYFUNCTION("""COMPUTED_VALUE"""),"Serbia")</f>
        <v>Serbia</v>
      </c>
      <c r="H117" s="16" t="str">
        <f>IFERROR(__xludf.DUMMYFUNCTION("""COMPUTED_VALUE"""),"BELGRADE FON")</f>
        <v>BELGRADE FON</v>
      </c>
      <c r="I117" s="16" t="str">
        <f>IFERROR(__xludf.DUMMYFUNCTION("""COMPUTED_VALUE"""),"Turkey")</f>
        <v>Turkey</v>
      </c>
      <c r="J117" s="16" t="str">
        <f>IFERROR(__xludf.DUMMYFUNCTION("""COMPUTED_VALUE"""),"ISTANBUL")</f>
        <v>ISTANBUL</v>
      </c>
      <c r="K117" s="17" t="str">
        <f>IFERROR(__xludf.DUMMYFUNCTION("""COMPUTED_VALUE"""),"https://expa.aiesec.org/opportunities/1272564")</f>
        <v>https://expa.aiesec.org/opportunities/1272564</v>
      </c>
      <c r="L117" s="16" t="str">
        <f>IFERROR(__xludf.DUMMYFUNCTION("""COMPUTED_VALUE"""),"GV")</f>
        <v>GV</v>
      </c>
      <c r="M117" s="16" t="str">
        <f>IFERROR(__xludf.DUMMYFUNCTION("""COMPUTED_VALUE"""),"short")</f>
        <v>short</v>
      </c>
      <c r="N117" s="18">
        <f>IFERROR(__xludf.DUMMYFUNCTION("""COMPUTED_VALUE"""),45028.0)</f>
        <v>45028</v>
      </c>
      <c r="O117" s="18">
        <f>IFERROR(__xludf.DUMMYFUNCTION("""COMPUTED_VALUE"""),45162.0)</f>
        <v>45162</v>
      </c>
      <c r="P117" s="18">
        <f>IFERROR(__xludf.DUMMYFUNCTION("""COMPUTED_VALUE"""),45204.0)</f>
        <v>45204</v>
      </c>
      <c r="Q117" s="18"/>
      <c r="R117" s="18"/>
      <c r="S117" s="16"/>
      <c r="T117" s="16"/>
      <c r="U117" s="16" t="str">
        <f>IFERROR(__xludf.DUMMYFUNCTION("""COMPUTED_VALUE"""),"Global Classroom")</f>
        <v>Global Classroom</v>
      </c>
      <c r="V117" s="16" t="str">
        <f>IFERROR(__xludf.DUMMYFUNCTION("""COMPUTED_VALUE"""),"Faculty of Political Sciences, Belgrade")</f>
        <v>Faculty of Political Sciences, Belgrade</v>
      </c>
      <c r="W117" s="16" t="str">
        <f>IFERROR(__xludf.DUMMYFUNCTION("""COMPUTED_VALUE"""),"2023-02-24T09:38:08Z")</f>
        <v>2023-02-24T09:38:08Z</v>
      </c>
      <c r="X117" s="16"/>
      <c r="Y117" s="16"/>
      <c r="Z117" s="16"/>
    </row>
    <row r="118">
      <c r="A118" s="16" t="str">
        <f>IFERROR(__xludf.DUMMYFUNCTION("""COMPUTED_VALUE"""),"5191110_1285687")</f>
        <v>5191110_1285687</v>
      </c>
      <c r="B118" s="16" t="str">
        <f>IFERROR(__xludf.DUMMYFUNCTION("""COMPUTED_VALUE"""),"Bareeka Ali")</f>
        <v>Bareeka Ali</v>
      </c>
      <c r="C118" s="16" t="str">
        <f>IFERROR(__xludf.DUMMYFUNCTION("""COMPUTED_VALUE"""),"completed")</f>
        <v>completed</v>
      </c>
      <c r="D118" s="16" t="str">
        <f>IFERROR(__xludf.DUMMYFUNCTION("""COMPUTED_VALUE"""),"No")</f>
        <v>No</v>
      </c>
      <c r="E118" s="16" t="str">
        <f>IFERROR(__xludf.DUMMYFUNCTION("""COMPUTED_VALUE"""),"p_67c8926eb5ef62367600acea2508ed4609e63a71@inbound.aiesec.org")</f>
        <v>p_67c8926eb5ef62367600acea2508ed4609e63a71@inbound.aiesec.org</v>
      </c>
      <c r="F118" s="16">
        <f>IFERROR(__xludf.DUMMYFUNCTION("""COMPUTED_VALUE"""),3.323525962E9)</f>
        <v>3323525962</v>
      </c>
      <c r="G118" s="16" t="str">
        <f>IFERROR(__xludf.DUMMYFUNCTION("""COMPUTED_VALUE"""),"Pakistan")</f>
        <v>Pakistan</v>
      </c>
      <c r="H118" s="16" t="str">
        <f>IFERROR(__xludf.DUMMYFUNCTION("""COMPUTED_VALUE"""),"IBA")</f>
        <v>IBA</v>
      </c>
      <c r="I118" s="16" t="str">
        <f>IFERROR(__xludf.DUMMYFUNCTION("""COMPUTED_VALUE"""),"Turkey")</f>
        <v>Turkey</v>
      </c>
      <c r="J118" s="16" t="str">
        <f>IFERROR(__xludf.DUMMYFUNCTION("""COMPUTED_VALUE"""),"ISTANBUL")</f>
        <v>ISTANBUL</v>
      </c>
      <c r="K118" s="17" t="str">
        <f>IFERROR(__xludf.DUMMYFUNCTION("""COMPUTED_VALUE"""),"https://expa.aiesec.org/opportunities/1285687")</f>
        <v>https://expa.aiesec.org/opportunities/1285687</v>
      </c>
      <c r="L118" s="16" t="str">
        <f>IFERROR(__xludf.DUMMYFUNCTION("""COMPUTED_VALUE"""),"GV")</f>
        <v>GV</v>
      </c>
      <c r="M118" s="16" t="str">
        <f>IFERROR(__xludf.DUMMYFUNCTION("""COMPUTED_VALUE"""),"short")</f>
        <v>short</v>
      </c>
      <c r="N118" s="18">
        <f>IFERROR(__xludf.DUMMYFUNCTION("""COMPUTED_VALUE"""),45029.0)</f>
        <v>45029</v>
      </c>
      <c r="O118" s="18">
        <f>IFERROR(__xludf.DUMMYFUNCTION("""COMPUTED_VALUE"""),45070.0)</f>
        <v>45070</v>
      </c>
      <c r="P118" s="18">
        <f>IFERROR(__xludf.DUMMYFUNCTION("""COMPUTED_VALUE"""),45112.0)</f>
        <v>45112</v>
      </c>
      <c r="Q118" s="18">
        <f>IFERROR(__xludf.DUMMYFUNCTION("""COMPUTED_VALUE"""),45081.0)</f>
        <v>45081</v>
      </c>
      <c r="R118" s="18">
        <f>IFERROR(__xludf.DUMMYFUNCTION("""COMPUTED_VALUE"""),45124.0)</f>
        <v>45124</v>
      </c>
      <c r="S118" s="16"/>
      <c r="T118" s="16"/>
      <c r="U118" s="16" t="str">
        <f>IFERROR(__xludf.DUMMYFUNCTION("""COMPUTED_VALUE"""),"Youth 4 Impact")</f>
        <v>Youth 4 Impact</v>
      </c>
      <c r="V118" s="16" t="str">
        <f>IFERROR(__xludf.DUMMYFUNCTION("""COMPUTED_VALUE"""),"Karachi - IBA")</f>
        <v>Karachi - IBA</v>
      </c>
      <c r="W118" s="16" t="str">
        <f>IFERROR(__xludf.DUMMYFUNCTION("""COMPUTED_VALUE"""),"2023-02-15T08:12:35Z")</f>
        <v>2023-02-15T08:12:35Z</v>
      </c>
      <c r="X118" s="16"/>
      <c r="Y118" s="16"/>
      <c r="Z118" s="16"/>
    </row>
    <row r="119">
      <c r="A119" s="16" t="str">
        <f>IFERROR(__xludf.DUMMYFUNCTION("""COMPUTED_VALUE"""),"5085018_1293866")</f>
        <v>5085018_1293866</v>
      </c>
      <c r="B119" s="16" t="str">
        <f>IFERROR(__xludf.DUMMYFUNCTION("""COMPUTED_VALUE"""),"Onur Kemal Parlak")</f>
        <v>Onur Kemal Parlak</v>
      </c>
      <c r="C119" s="16" t="str">
        <f>IFERROR(__xludf.DUMMYFUNCTION("""COMPUTED_VALUE"""),"completed")</f>
        <v>completed</v>
      </c>
      <c r="D119" s="16" t="str">
        <f>IFERROR(__xludf.DUMMYFUNCTION("""COMPUTED_VALUE"""),"No")</f>
        <v>No</v>
      </c>
      <c r="E119" s="16" t="str">
        <f>IFERROR(__xludf.DUMMYFUNCTION("""COMPUTED_VALUE"""),"p_6bc2f5a8fedfc64286edb884375e573cc56d998c@inbound.aiesec.org")</f>
        <v>p_6bc2f5a8fedfc64286edb884375e573cc56d998c@inbound.aiesec.org</v>
      </c>
      <c r="F119" s="16"/>
      <c r="G119" s="16" t="str">
        <f>IFERROR(__xludf.DUMMYFUNCTION("""COMPUTED_VALUE"""),"Turkey")</f>
        <v>Turkey</v>
      </c>
      <c r="H119" s="16" t="str">
        <f>IFERROR(__xludf.DUMMYFUNCTION("""COMPUTED_VALUE"""),"ISTANBUL")</f>
        <v>ISTANBUL</v>
      </c>
      <c r="I119" s="16" t="str">
        <f>IFERROR(__xludf.DUMMYFUNCTION("""COMPUTED_VALUE"""),"Italy")</f>
        <v>Italy</v>
      </c>
      <c r="J119" s="16" t="str">
        <f>IFERROR(__xludf.DUMMYFUNCTION("""COMPUTED_VALUE"""),"Napoli Federico II")</f>
        <v>Napoli Federico II</v>
      </c>
      <c r="K119" s="17" t="str">
        <f>IFERROR(__xludf.DUMMYFUNCTION("""COMPUTED_VALUE"""),"https://expa.aiesec.org/opportunities/1293866")</f>
        <v>https://expa.aiesec.org/opportunities/1293866</v>
      </c>
      <c r="L119" s="16" t="str">
        <f>IFERROR(__xludf.DUMMYFUNCTION("""COMPUTED_VALUE"""),"GV")</f>
        <v>GV</v>
      </c>
      <c r="M119" s="16" t="str">
        <f>IFERROR(__xludf.DUMMYFUNCTION("""COMPUTED_VALUE"""),"short")</f>
        <v>short</v>
      </c>
      <c r="N119" s="18">
        <f>IFERROR(__xludf.DUMMYFUNCTION("""COMPUTED_VALUE"""),45029.0)</f>
        <v>45029</v>
      </c>
      <c r="O119" s="18">
        <f>IFERROR(__xludf.DUMMYFUNCTION("""COMPUTED_VALUE"""),45159.0)</f>
        <v>45159</v>
      </c>
      <c r="P119" s="18">
        <f>IFERROR(__xludf.DUMMYFUNCTION("""COMPUTED_VALUE"""),45201.0)</f>
        <v>45201</v>
      </c>
      <c r="Q119" s="18">
        <f>IFERROR(__xludf.DUMMYFUNCTION("""COMPUTED_VALUE"""),45159.0)</f>
        <v>45159</v>
      </c>
      <c r="R119" s="18">
        <f>IFERROR(__xludf.DUMMYFUNCTION("""COMPUTED_VALUE"""),45201.0)</f>
        <v>45201</v>
      </c>
      <c r="S119" s="16"/>
      <c r="T119" s="16"/>
      <c r="U119" s="16" t="str">
        <f>IFERROR(__xludf.DUMMYFUNCTION("""COMPUTED_VALUE"""),"Youth 4 Impact")</f>
        <v>Youth 4 Impact</v>
      </c>
      <c r="V119" s="16" t="str">
        <f>IFERROR(__xludf.DUMMYFUNCTION("""COMPUTED_VALUE"""),"-")</f>
        <v>-</v>
      </c>
      <c r="W119" s="16" t="str">
        <f>IFERROR(__xludf.DUMMYFUNCTION("""COMPUTED_VALUE"""),"2022-07-22T13:45:38Z")</f>
        <v>2022-07-22T13:45:38Z</v>
      </c>
      <c r="X119" s="16"/>
      <c r="Y119" s="16"/>
      <c r="Z119" s="16"/>
    </row>
    <row r="120">
      <c r="A120" s="16" t="str">
        <f>IFERROR(__xludf.DUMMYFUNCTION("""COMPUTED_VALUE"""),"5204856_1289536")</f>
        <v>5204856_1289536</v>
      </c>
      <c r="B120" s="16" t="str">
        <f>IFERROR(__xludf.DUMMYFUNCTION("""COMPUTED_VALUE"""),"Sarah Shoaib")</f>
        <v>Sarah Shoaib</v>
      </c>
      <c r="C120" s="16" t="str">
        <f>IFERROR(__xludf.DUMMYFUNCTION("""COMPUTED_VALUE"""),"finished")</f>
        <v>finished</v>
      </c>
      <c r="D120" s="16" t="str">
        <f>IFERROR(__xludf.DUMMYFUNCTION("""COMPUTED_VALUE"""),"No")</f>
        <v>No</v>
      </c>
      <c r="E120" s="16" t="str">
        <f>IFERROR(__xludf.DUMMYFUNCTION("""COMPUTED_VALUE"""),"p_d550ddb14693fdd5a982d48be77602281bdddad5@inbound.aiesec.org")</f>
        <v>p_d550ddb14693fdd5a982d48be77602281bdddad5@inbound.aiesec.org</v>
      </c>
      <c r="F120" s="16">
        <f>IFERROR(__xludf.DUMMYFUNCTION("""COMPUTED_VALUE"""),3.352272282E9)</f>
        <v>3352272282</v>
      </c>
      <c r="G120" s="16" t="str">
        <f>IFERROR(__xludf.DUMMYFUNCTION("""COMPUTED_VALUE"""),"Pakistan")</f>
        <v>Pakistan</v>
      </c>
      <c r="H120" s="16" t="str">
        <f>IFERROR(__xludf.DUMMYFUNCTION("""COMPUTED_VALUE"""),"IBA")</f>
        <v>IBA</v>
      </c>
      <c r="I120" s="16" t="str">
        <f>IFERROR(__xludf.DUMMYFUNCTION("""COMPUTED_VALUE"""),"Turkey")</f>
        <v>Turkey</v>
      </c>
      <c r="J120" s="16" t="str">
        <f>IFERROR(__xludf.DUMMYFUNCTION("""COMPUTED_VALUE"""),"ISTANBUL")</f>
        <v>ISTANBUL</v>
      </c>
      <c r="K120" s="17" t="str">
        <f>IFERROR(__xludf.DUMMYFUNCTION("""COMPUTED_VALUE"""),"https://expa.aiesec.org/opportunities/1289536")</f>
        <v>https://expa.aiesec.org/opportunities/1289536</v>
      </c>
      <c r="L120" s="16" t="str">
        <f>IFERROR(__xludf.DUMMYFUNCTION("""COMPUTED_VALUE"""),"GV")</f>
        <v>GV</v>
      </c>
      <c r="M120" s="16" t="str">
        <f>IFERROR(__xludf.DUMMYFUNCTION("""COMPUTED_VALUE"""),"short")</f>
        <v>short</v>
      </c>
      <c r="N120" s="18">
        <f>IFERROR(__xludf.DUMMYFUNCTION("""COMPUTED_VALUE"""),45029.0)</f>
        <v>45029</v>
      </c>
      <c r="O120" s="18">
        <f>IFERROR(__xludf.DUMMYFUNCTION("""COMPUTED_VALUE"""),45090.0)</f>
        <v>45090</v>
      </c>
      <c r="P120" s="18">
        <f>IFERROR(__xludf.DUMMYFUNCTION("""COMPUTED_VALUE"""),45132.0)</f>
        <v>45132</v>
      </c>
      <c r="Q120" s="18">
        <f>IFERROR(__xludf.DUMMYFUNCTION("""COMPUTED_VALUE"""),45090.0)</f>
        <v>45090</v>
      </c>
      <c r="R120" s="18">
        <f>IFERROR(__xludf.DUMMYFUNCTION("""COMPUTED_VALUE"""),45132.0)</f>
        <v>45132</v>
      </c>
      <c r="S120" s="16"/>
      <c r="T120" s="16"/>
      <c r="U120" s="16" t="str">
        <f>IFERROR(__xludf.DUMMYFUNCTION("""COMPUTED_VALUE"""),"Global Classroom")</f>
        <v>Global Classroom</v>
      </c>
      <c r="V120" s="16" t="str">
        <f>IFERROR(__xludf.DUMMYFUNCTION("""COMPUTED_VALUE"""),"Karachi - IBA")</f>
        <v>Karachi - IBA</v>
      </c>
      <c r="W120" s="16" t="str">
        <f>IFERROR(__xludf.DUMMYFUNCTION("""COMPUTED_VALUE"""),"2023-03-03T17:50:22Z")</f>
        <v>2023-03-03T17:50:22Z</v>
      </c>
      <c r="X120" s="16"/>
      <c r="Y120" s="16"/>
      <c r="Z120" s="16"/>
    </row>
    <row r="121">
      <c r="A121" s="16" t="str">
        <f>IFERROR(__xludf.DUMMYFUNCTION("""COMPUTED_VALUE"""),"5241252_1293968")</f>
        <v>5241252_1293968</v>
      </c>
      <c r="B121" s="16" t="str">
        <f>IFERROR(__xludf.DUMMYFUNCTION("""COMPUTED_VALUE"""),"Fatma Betül Özsütçü")</f>
        <v>Fatma Betül Özsütçü</v>
      </c>
      <c r="C121" s="16" t="str">
        <f>IFERROR(__xludf.DUMMYFUNCTION("""COMPUTED_VALUE"""),"completed")</f>
        <v>completed</v>
      </c>
      <c r="D121" s="16" t="str">
        <f>IFERROR(__xludf.DUMMYFUNCTION("""COMPUTED_VALUE"""),"No")</f>
        <v>No</v>
      </c>
      <c r="E121" s="16" t="str">
        <f>IFERROR(__xludf.DUMMYFUNCTION("""COMPUTED_VALUE"""),"p_2675cfd0bcc610ed791406d92743b8ede5f85094@inbound.aiesec.org")</f>
        <v>p_2675cfd0bcc610ed791406d92743b8ede5f85094@inbound.aiesec.org</v>
      </c>
      <c r="F121" s="16">
        <f>IFERROR(__xludf.DUMMYFUNCTION("""COMPUTED_VALUE"""),5.459322723E9)</f>
        <v>5459322723</v>
      </c>
      <c r="G121" s="16" t="str">
        <f>IFERROR(__xludf.DUMMYFUNCTION("""COMPUTED_VALUE"""),"Turkey")</f>
        <v>Turkey</v>
      </c>
      <c r="H121" s="16" t="str">
        <f>IFERROR(__xludf.DUMMYFUNCTION("""COMPUTED_VALUE"""),"ISTANBUL")</f>
        <v>ISTANBUL</v>
      </c>
      <c r="I121" s="16" t="str">
        <f>IFERROR(__xludf.DUMMYFUNCTION("""COMPUTED_VALUE"""),"Egypt")</f>
        <v>Egypt</v>
      </c>
      <c r="J121" s="16" t="str">
        <f>IFERROR(__xludf.DUMMYFUNCTION("""COMPUTED_VALUE"""),"Ain Shams University")</f>
        <v>Ain Shams University</v>
      </c>
      <c r="K121" s="17" t="str">
        <f>IFERROR(__xludf.DUMMYFUNCTION("""COMPUTED_VALUE"""),"https://expa.aiesec.org/opportunities/1293968")</f>
        <v>https://expa.aiesec.org/opportunities/1293968</v>
      </c>
      <c r="L121" s="16" t="str">
        <f>IFERROR(__xludf.DUMMYFUNCTION("""COMPUTED_VALUE"""),"GV")</f>
        <v>GV</v>
      </c>
      <c r="M121" s="16" t="str">
        <f>IFERROR(__xludf.DUMMYFUNCTION("""COMPUTED_VALUE"""),"short")</f>
        <v>short</v>
      </c>
      <c r="N121" s="18">
        <f>IFERROR(__xludf.DUMMYFUNCTION("""COMPUTED_VALUE"""),45031.0)</f>
        <v>45031</v>
      </c>
      <c r="O121" s="18">
        <f>IFERROR(__xludf.DUMMYFUNCTION("""COMPUTED_VALUE"""),45122.0)</f>
        <v>45122</v>
      </c>
      <c r="P121" s="18">
        <f>IFERROR(__xludf.DUMMYFUNCTION("""COMPUTED_VALUE"""),45164.0)</f>
        <v>45164</v>
      </c>
      <c r="Q121" s="18">
        <f>IFERROR(__xludf.DUMMYFUNCTION("""COMPUTED_VALUE"""),45120.0)</f>
        <v>45120</v>
      </c>
      <c r="R121" s="18">
        <f>IFERROR(__xludf.DUMMYFUNCTION("""COMPUTED_VALUE"""),45164.0)</f>
        <v>45164</v>
      </c>
      <c r="S121" s="16"/>
      <c r="T121" s="16"/>
      <c r="U121" s="16" t="str">
        <f>IFERROR(__xludf.DUMMYFUNCTION("""COMPUTED_VALUE"""),"Rooted")</f>
        <v>Rooted</v>
      </c>
      <c r="V121" s="16" t="str">
        <f>IFERROR(__xludf.DUMMYFUNCTION("""COMPUTED_VALUE"""),"ISTANBUL - BEYOGLU")</f>
        <v>ISTANBUL - BEYOGLU</v>
      </c>
      <c r="W121" s="16" t="str">
        <f>IFERROR(__xludf.DUMMYFUNCTION("""COMPUTED_VALUE"""),"2023-04-13T14:03:40Z")</f>
        <v>2023-04-13T14:03:40Z</v>
      </c>
      <c r="X121" s="16"/>
      <c r="Y121" s="16"/>
      <c r="Z121" s="16"/>
    </row>
    <row r="122">
      <c r="A122" s="16" t="str">
        <f>IFERROR(__xludf.DUMMYFUNCTION("""COMPUTED_VALUE"""),"5237177_1292253")</f>
        <v>5237177_1292253</v>
      </c>
      <c r="B122" s="16" t="str">
        <f>IFERROR(__xludf.DUMMYFUNCTION("""COMPUTED_VALUE"""),"Damla Işık")</f>
        <v>Damla Işık</v>
      </c>
      <c r="C122" s="16" t="str">
        <f>IFERROR(__xludf.DUMMYFUNCTION("""COMPUTED_VALUE"""),"completed")</f>
        <v>completed</v>
      </c>
      <c r="D122" s="16" t="str">
        <f>IFERROR(__xludf.DUMMYFUNCTION("""COMPUTED_VALUE"""),"No")</f>
        <v>No</v>
      </c>
      <c r="E122" s="16" t="str">
        <f>IFERROR(__xludf.DUMMYFUNCTION("""COMPUTED_VALUE"""),"p_bbf0e6bd7b2096b3ad7a893559d6aea4e060fcbb@inbound.aiesec.org")</f>
        <v>p_bbf0e6bd7b2096b3ad7a893559d6aea4e060fcbb@inbound.aiesec.org</v>
      </c>
      <c r="F122" s="16">
        <f>IFERROR(__xludf.DUMMYFUNCTION("""COMPUTED_VALUE"""),5.44233178E9)</f>
        <v>5442331780</v>
      </c>
      <c r="G122" s="16" t="str">
        <f>IFERROR(__xludf.DUMMYFUNCTION("""COMPUTED_VALUE"""),"Turkey")</f>
        <v>Turkey</v>
      </c>
      <c r="H122" s="16" t="str">
        <f>IFERROR(__xludf.DUMMYFUNCTION("""COMPUTED_VALUE"""),"ISTANBUL")</f>
        <v>ISTANBUL</v>
      </c>
      <c r="I122" s="16" t="str">
        <f>IFERROR(__xludf.DUMMYFUNCTION("""COMPUTED_VALUE"""),"Romania")</f>
        <v>Romania</v>
      </c>
      <c r="J122" s="16" t="str">
        <f>IFERROR(__xludf.DUMMYFUNCTION("""COMPUTED_VALUE"""),"BUCURESTI")</f>
        <v>BUCURESTI</v>
      </c>
      <c r="K122" s="17" t="str">
        <f>IFERROR(__xludf.DUMMYFUNCTION("""COMPUTED_VALUE"""),"https://expa.aiesec.org/opportunities/1292253")</f>
        <v>https://expa.aiesec.org/opportunities/1292253</v>
      </c>
      <c r="L122" s="16" t="str">
        <f>IFERROR(__xludf.DUMMYFUNCTION("""COMPUTED_VALUE"""),"GV")</f>
        <v>GV</v>
      </c>
      <c r="M122" s="16" t="str">
        <f>IFERROR(__xludf.DUMMYFUNCTION("""COMPUTED_VALUE"""),"short")</f>
        <v>short</v>
      </c>
      <c r="N122" s="18">
        <f>IFERROR(__xludf.DUMMYFUNCTION("""COMPUTED_VALUE"""),45031.0)</f>
        <v>45031</v>
      </c>
      <c r="O122" s="18">
        <f>IFERROR(__xludf.DUMMYFUNCTION("""COMPUTED_VALUE"""),45096.0)</f>
        <v>45096</v>
      </c>
      <c r="P122" s="18">
        <f>IFERROR(__xludf.DUMMYFUNCTION("""COMPUTED_VALUE"""),45138.0)</f>
        <v>45138</v>
      </c>
      <c r="Q122" s="18">
        <f>IFERROR(__xludf.DUMMYFUNCTION("""COMPUTED_VALUE"""),45095.0)</f>
        <v>45095</v>
      </c>
      <c r="R122" s="18">
        <f>IFERROR(__xludf.DUMMYFUNCTION("""COMPUTED_VALUE"""),45138.0)</f>
        <v>45138</v>
      </c>
      <c r="S122" s="16"/>
      <c r="T122" s="16"/>
      <c r="U122" s="16" t="str">
        <f>IFERROR(__xludf.DUMMYFUNCTION("""COMPUTED_VALUE"""),"Fingerprint")</f>
        <v>Fingerprint</v>
      </c>
      <c r="V122" s="16" t="str">
        <f>IFERROR(__xludf.DUMMYFUNCTION("""COMPUTED_VALUE"""),"ISTANBUL - BEYOGLU")</f>
        <v>ISTANBUL - BEYOGLU</v>
      </c>
      <c r="W122" s="16" t="str">
        <f>IFERROR(__xludf.DUMMYFUNCTION("""COMPUTED_VALUE"""),"2023-04-07T16:24:01Z")</f>
        <v>2023-04-07T16:24:01Z</v>
      </c>
      <c r="X122" s="16"/>
      <c r="Y122" s="16"/>
      <c r="Z122" s="16"/>
    </row>
    <row r="123">
      <c r="A123" s="16" t="str">
        <f>IFERROR(__xludf.DUMMYFUNCTION("""COMPUTED_VALUE"""),"5222003_1293835")</f>
        <v>5222003_1293835</v>
      </c>
      <c r="B123" s="16" t="str">
        <f>IFERROR(__xludf.DUMMYFUNCTION("""COMPUTED_VALUE"""),"Mustafa Başar Ezik")</f>
        <v>Mustafa Başar Ezik</v>
      </c>
      <c r="C123" s="16" t="str">
        <f>IFERROR(__xludf.DUMMYFUNCTION("""COMPUTED_VALUE"""),"completed")</f>
        <v>completed</v>
      </c>
      <c r="D123" s="16" t="str">
        <f>IFERROR(__xludf.DUMMYFUNCTION("""COMPUTED_VALUE"""),"No")</f>
        <v>No</v>
      </c>
      <c r="E123" s="16" t="str">
        <f>IFERROR(__xludf.DUMMYFUNCTION("""COMPUTED_VALUE"""),"p_c7e6d633d3c78c6a980ad55e21a5a5b182c47f08@inbound.aiesec.org")</f>
        <v>p_c7e6d633d3c78c6a980ad55e21a5a5b182c47f08@inbound.aiesec.org</v>
      </c>
      <c r="F123" s="16">
        <f>IFERROR(__xludf.DUMMYFUNCTION("""COMPUTED_VALUE"""),5.05737817E9)</f>
        <v>5057378170</v>
      </c>
      <c r="G123" s="16" t="str">
        <f>IFERROR(__xludf.DUMMYFUNCTION("""COMPUTED_VALUE"""),"Turkey")</f>
        <v>Turkey</v>
      </c>
      <c r="H123" s="16" t="str">
        <f>IFERROR(__xludf.DUMMYFUNCTION("""COMPUTED_VALUE"""),"ISTANBUL")</f>
        <v>ISTANBUL</v>
      </c>
      <c r="I123" s="16" t="str">
        <f>IFERROR(__xludf.DUMMYFUNCTION("""COMPUTED_VALUE"""),"Romania")</f>
        <v>Romania</v>
      </c>
      <c r="J123" s="16" t="str">
        <f>IFERROR(__xludf.DUMMYFUNCTION("""COMPUTED_VALUE"""),"Cluj-Napoca")</f>
        <v>Cluj-Napoca</v>
      </c>
      <c r="K123" s="17" t="str">
        <f>IFERROR(__xludf.DUMMYFUNCTION("""COMPUTED_VALUE"""),"https://expa.aiesec.org/opportunities/1293835")</f>
        <v>https://expa.aiesec.org/opportunities/1293835</v>
      </c>
      <c r="L123" s="16" t="str">
        <f>IFERROR(__xludf.DUMMYFUNCTION("""COMPUTED_VALUE"""),"GV")</f>
        <v>GV</v>
      </c>
      <c r="M123" s="16" t="str">
        <f>IFERROR(__xludf.DUMMYFUNCTION("""COMPUTED_VALUE"""),"short")</f>
        <v>short</v>
      </c>
      <c r="N123" s="18">
        <f>IFERROR(__xludf.DUMMYFUNCTION("""COMPUTED_VALUE"""),45031.0)</f>
        <v>45031</v>
      </c>
      <c r="O123" s="18">
        <f>IFERROR(__xludf.DUMMYFUNCTION("""COMPUTED_VALUE"""),45117.0)</f>
        <v>45117</v>
      </c>
      <c r="P123" s="18">
        <f>IFERROR(__xludf.DUMMYFUNCTION("""COMPUTED_VALUE"""),45159.0)</f>
        <v>45159</v>
      </c>
      <c r="Q123" s="18">
        <f>IFERROR(__xludf.DUMMYFUNCTION("""COMPUTED_VALUE"""),45118.0)</f>
        <v>45118</v>
      </c>
      <c r="R123" s="18">
        <f>IFERROR(__xludf.DUMMYFUNCTION("""COMPUTED_VALUE"""),45159.0)</f>
        <v>45159</v>
      </c>
      <c r="S123" s="16"/>
      <c r="T123" s="16"/>
      <c r="U123" s="16" t="str">
        <f>IFERROR(__xludf.DUMMYFUNCTION("""COMPUTED_VALUE"""),"Eat 4 Change")</f>
        <v>Eat 4 Change</v>
      </c>
      <c r="V123" s="16" t="str">
        <f>IFERROR(__xludf.DUMMYFUNCTION("""COMPUTED_VALUE"""),"ISTANBUL - BEYOGLU")</f>
        <v>ISTANBUL - BEYOGLU</v>
      </c>
      <c r="W123" s="16" t="str">
        <f>IFERROR(__xludf.DUMMYFUNCTION("""COMPUTED_VALUE"""),"2023-03-20T18:47:08Z")</f>
        <v>2023-03-20T18:47:08Z</v>
      </c>
      <c r="X123" s="16"/>
      <c r="Y123" s="16"/>
      <c r="Z123" s="16"/>
    </row>
    <row r="124">
      <c r="A124" s="16" t="str">
        <f>IFERROR(__xludf.DUMMYFUNCTION("""COMPUTED_VALUE"""),"5236640_1293865")</f>
        <v>5236640_1293865</v>
      </c>
      <c r="B124" s="16" t="str">
        <f>IFERROR(__xludf.DUMMYFUNCTION("""COMPUTED_VALUE"""),"Ceren Okut")</f>
        <v>Ceren Okut</v>
      </c>
      <c r="C124" s="16" t="str">
        <f>IFERROR(__xludf.DUMMYFUNCTION("""COMPUTED_VALUE"""),"completed")</f>
        <v>completed</v>
      </c>
      <c r="D124" s="16" t="str">
        <f>IFERROR(__xludf.DUMMYFUNCTION("""COMPUTED_VALUE"""),"No")</f>
        <v>No</v>
      </c>
      <c r="E124" s="16" t="str">
        <f>IFERROR(__xludf.DUMMYFUNCTION("""COMPUTED_VALUE"""),"p_7be45df21e688c23ae82ea603c85f1b3690247fe@inbound.aiesec.org")</f>
        <v>p_7be45df21e688c23ae82ea603c85f1b3690247fe@inbound.aiesec.org</v>
      </c>
      <c r="F124" s="16">
        <f>IFERROR(__xludf.DUMMYFUNCTION("""COMPUTED_VALUE"""),5.464741002E9)</f>
        <v>5464741002</v>
      </c>
      <c r="G124" s="16" t="str">
        <f>IFERROR(__xludf.DUMMYFUNCTION("""COMPUTED_VALUE"""),"Turkey")</f>
        <v>Turkey</v>
      </c>
      <c r="H124" s="16" t="str">
        <f>IFERROR(__xludf.DUMMYFUNCTION("""COMPUTED_VALUE"""),"ISTANBUL")</f>
        <v>ISTANBUL</v>
      </c>
      <c r="I124" s="16" t="str">
        <f>IFERROR(__xludf.DUMMYFUNCTION("""COMPUTED_VALUE"""),"Italy")</f>
        <v>Italy</v>
      </c>
      <c r="J124" s="16" t="str">
        <f>IFERROR(__xludf.DUMMYFUNCTION("""COMPUTED_VALUE"""),"Napoli Federico II")</f>
        <v>Napoli Federico II</v>
      </c>
      <c r="K124" s="17" t="str">
        <f>IFERROR(__xludf.DUMMYFUNCTION("""COMPUTED_VALUE"""),"https://expa.aiesec.org/opportunities/1293865")</f>
        <v>https://expa.aiesec.org/opportunities/1293865</v>
      </c>
      <c r="L124" s="16" t="str">
        <f>IFERROR(__xludf.DUMMYFUNCTION("""COMPUTED_VALUE"""),"GV")</f>
        <v>GV</v>
      </c>
      <c r="M124" s="16" t="str">
        <f>IFERROR(__xludf.DUMMYFUNCTION("""COMPUTED_VALUE"""),"short")</f>
        <v>short</v>
      </c>
      <c r="N124" s="18">
        <f>IFERROR(__xludf.DUMMYFUNCTION("""COMPUTED_VALUE"""),45031.0)</f>
        <v>45031</v>
      </c>
      <c r="O124" s="18">
        <f>IFERROR(__xludf.DUMMYFUNCTION("""COMPUTED_VALUE"""),45110.0)</f>
        <v>45110</v>
      </c>
      <c r="P124" s="18">
        <f>IFERROR(__xludf.DUMMYFUNCTION("""COMPUTED_VALUE"""),45152.0)</f>
        <v>45152</v>
      </c>
      <c r="Q124" s="18">
        <f>IFERROR(__xludf.DUMMYFUNCTION("""COMPUTED_VALUE"""),45111.0)</f>
        <v>45111</v>
      </c>
      <c r="R124" s="18">
        <f>IFERROR(__xludf.DUMMYFUNCTION("""COMPUTED_VALUE"""),45152.0)</f>
        <v>45152</v>
      </c>
      <c r="S124" s="16"/>
      <c r="T124" s="16"/>
      <c r="U124" s="16" t="str">
        <f>IFERROR(__xludf.DUMMYFUNCTION("""COMPUTED_VALUE"""),"Equify")</f>
        <v>Equify</v>
      </c>
      <c r="V124" s="16" t="str">
        <f>IFERROR(__xludf.DUMMYFUNCTION("""COMPUTED_VALUE"""),"ISTANBUL - BEYOGLU")</f>
        <v>ISTANBUL - BEYOGLU</v>
      </c>
      <c r="W124" s="16" t="str">
        <f>IFERROR(__xludf.DUMMYFUNCTION("""COMPUTED_VALUE"""),"2023-04-06T20:19:42Z")</f>
        <v>2023-04-06T20:19:42Z</v>
      </c>
      <c r="X124" s="16"/>
      <c r="Y124" s="16"/>
      <c r="Z124" s="16"/>
    </row>
    <row r="125">
      <c r="A125" s="16" t="str">
        <f>IFERROR(__xludf.DUMMYFUNCTION("""COMPUTED_VALUE"""),"5231630_1272564")</f>
        <v>5231630_1272564</v>
      </c>
      <c r="B125" s="16" t="str">
        <f>IFERROR(__xludf.DUMMYFUNCTION("""COMPUTED_VALUE"""),"Сайя Кауханова")</f>
        <v>Сайя Кауханова</v>
      </c>
      <c r="C125" s="16" t="str">
        <f>IFERROR(__xludf.DUMMYFUNCTION("""COMPUTED_VALUE"""),"finished")</f>
        <v>finished</v>
      </c>
      <c r="D125" s="16" t="str">
        <f>IFERROR(__xludf.DUMMYFUNCTION("""COMPUTED_VALUE"""),"No")</f>
        <v>No</v>
      </c>
      <c r="E125" s="16" t="str">
        <f>IFERROR(__xludf.DUMMYFUNCTION("""COMPUTED_VALUE"""),"p_1a843f246f8fbe06858ce218c2daeb7a04249ae4@inbound.aiesec.org")</f>
        <v>p_1a843f246f8fbe06858ce218c2daeb7a04249ae4@inbound.aiesec.org</v>
      </c>
      <c r="F125" s="16"/>
      <c r="G125" s="16" t="str">
        <f>IFERROR(__xludf.DUMMYFUNCTION("""COMPUTED_VALUE"""),"Kazakhstan")</f>
        <v>Kazakhstan</v>
      </c>
      <c r="H125" s="16" t="str">
        <f>IFERROR(__xludf.DUMMYFUNCTION("""COMPUTED_VALUE"""),"ALMATY")</f>
        <v>ALMATY</v>
      </c>
      <c r="I125" s="16" t="str">
        <f>IFERROR(__xludf.DUMMYFUNCTION("""COMPUTED_VALUE"""),"Turkey")</f>
        <v>Turkey</v>
      </c>
      <c r="J125" s="16" t="str">
        <f>IFERROR(__xludf.DUMMYFUNCTION("""COMPUTED_VALUE"""),"ISTANBUL")</f>
        <v>ISTANBUL</v>
      </c>
      <c r="K125" s="17" t="str">
        <f>IFERROR(__xludf.DUMMYFUNCTION("""COMPUTED_VALUE"""),"https://expa.aiesec.org/opportunities/1272564")</f>
        <v>https://expa.aiesec.org/opportunities/1272564</v>
      </c>
      <c r="L125" s="16" t="str">
        <f>IFERROR(__xludf.DUMMYFUNCTION("""COMPUTED_VALUE"""),"GV")</f>
        <v>GV</v>
      </c>
      <c r="M125" s="16" t="str">
        <f>IFERROR(__xludf.DUMMYFUNCTION("""COMPUTED_VALUE"""),"short")</f>
        <v>short</v>
      </c>
      <c r="N125" s="18">
        <f>IFERROR(__xludf.DUMMYFUNCTION("""COMPUTED_VALUE"""),45031.0)</f>
        <v>45031</v>
      </c>
      <c r="O125" s="18">
        <f>IFERROR(__xludf.DUMMYFUNCTION("""COMPUTED_VALUE"""),45084.0)</f>
        <v>45084</v>
      </c>
      <c r="P125" s="18">
        <f>IFERROR(__xludf.DUMMYFUNCTION("""COMPUTED_VALUE"""),45126.0)</f>
        <v>45126</v>
      </c>
      <c r="Q125" s="18">
        <f>IFERROR(__xludf.DUMMYFUNCTION("""COMPUTED_VALUE"""),45084.0)</f>
        <v>45084</v>
      </c>
      <c r="R125" s="18">
        <f>IFERROR(__xludf.DUMMYFUNCTION("""COMPUTED_VALUE"""),45126.0)</f>
        <v>45126</v>
      </c>
      <c r="S125" s="16"/>
      <c r="T125" s="16"/>
      <c r="U125" s="16" t="str">
        <f>IFERROR(__xludf.DUMMYFUNCTION("""COMPUTED_VALUE"""),"Global Classroom")</f>
        <v>Global Classroom</v>
      </c>
      <c r="V125" s="16" t="str">
        <f>IFERROR(__xludf.DUMMYFUNCTION("""COMPUTED_VALUE"""),"-")</f>
        <v>-</v>
      </c>
      <c r="W125" s="16" t="str">
        <f>IFERROR(__xludf.DUMMYFUNCTION("""COMPUTED_VALUE"""),"2023-03-31T05:43:52Z")</f>
        <v>2023-03-31T05:43:52Z</v>
      </c>
      <c r="X125" s="16"/>
      <c r="Y125" s="16"/>
      <c r="Z125" s="16"/>
    </row>
    <row r="126">
      <c r="A126" s="16" t="str">
        <f>IFERROR(__xludf.DUMMYFUNCTION("""COMPUTED_VALUE"""),"5232030_1289536")</f>
        <v>5232030_1289536</v>
      </c>
      <c r="B126" s="16" t="str">
        <f>IFERROR(__xludf.DUMMYFUNCTION("""COMPUTED_VALUE"""),"Fatima Zahrae Outlioua")</f>
        <v>Fatima Zahrae Outlioua</v>
      </c>
      <c r="C126" s="16" t="str">
        <f>IFERROR(__xludf.DUMMYFUNCTION("""COMPUTED_VALUE"""),"approved")</f>
        <v>approved</v>
      </c>
      <c r="D126" s="16" t="str">
        <f>IFERROR(__xludf.DUMMYFUNCTION("""COMPUTED_VALUE"""),"No")</f>
        <v>No</v>
      </c>
      <c r="E126" s="16" t="str">
        <f>IFERROR(__xludf.DUMMYFUNCTION("""COMPUTED_VALUE"""),"p_2d97cc8afad168ebd0cc92453a8095bd2e456b03@inbound.aiesec.org")</f>
        <v>p_2d97cc8afad168ebd0cc92453a8095bd2e456b03@inbound.aiesec.org</v>
      </c>
      <c r="F126" s="16">
        <f>IFERROR(__xludf.DUMMYFUNCTION("""COMPUTED_VALUE"""),7.6691533E8)</f>
        <v>766915330</v>
      </c>
      <c r="G126" s="16" t="str">
        <f>IFERROR(__xludf.DUMMYFUNCTION("""COMPUTED_VALUE"""),"Morocco")</f>
        <v>Morocco</v>
      </c>
      <c r="H126" s="16" t="str">
        <f>IFERROR(__xludf.DUMMYFUNCTION("""COMPUTED_VALUE"""),"Tangier")</f>
        <v>Tangier</v>
      </c>
      <c r="I126" s="16" t="str">
        <f>IFERROR(__xludf.DUMMYFUNCTION("""COMPUTED_VALUE"""),"Turkey")</f>
        <v>Turkey</v>
      </c>
      <c r="J126" s="16" t="str">
        <f>IFERROR(__xludf.DUMMYFUNCTION("""COMPUTED_VALUE"""),"ISTANBUL")</f>
        <v>ISTANBUL</v>
      </c>
      <c r="K126" s="17" t="str">
        <f>IFERROR(__xludf.DUMMYFUNCTION("""COMPUTED_VALUE"""),"https://expa.aiesec.org/opportunities/1289536")</f>
        <v>https://expa.aiesec.org/opportunities/1289536</v>
      </c>
      <c r="L126" s="16" t="str">
        <f>IFERROR(__xludf.DUMMYFUNCTION("""COMPUTED_VALUE"""),"GV")</f>
        <v>GV</v>
      </c>
      <c r="M126" s="16" t="str">
        <f>IFERROR(__xludf.DUMMYFUNCTION("""COMPUTED_VALUE"""),"short")</f>
        <v>short</v>
      </c>
      <c r="N126" s="18">
        <f>IFERROR(__xludf.DUMMYFUNCTION("""COMPUTED_VALUE"""),45031.0)</f>
        <v>45031</v>
      </c>
      <c r="O126" s="18">
        <f>IFERROR(__xludf.DUMMYFUNCTION("""COMPUTED_VALUE"""),45090.0)</f>
        <v>45090</v>
      </c>
      <c r="P126" s="18">
        <f>IFERROR(__xludf.DUMMYFUNCTION("""COMPUTED_VALUE"""),45132.0)</f>
        <v>45132</v>
      </c>
      <c r="Q126" s="18"/>
      <c r="R126" s="18"/>
      <c r="S126" s="16"/>
      <c r="T126" s="16"/>
      <c r="U126" s="16" t="str">
        <f>IFERROR(__xludf.DUMMYFUNCTION("""COMPUTED_VALUE"""),"Global Classroom")</f>
        <v>Global Classroom</v>
      </c>
      <c r="V126" s="16" t="str">
        <f>IFERROR(__xludf.DUMMYFUNCTION("""COMPUTED_VALUE"""),"Ecole Nationale De Commerce Et De Gestion Tanger (ENCGT)")</f>
        <v>Ecole Nationale De Commerce Et De Gestion Tanger (ENCGT)</v>
      </c>
      <c r="W126" s="16" t="str">
        <f>IFERROR(__xludf.DUMMYFUNCTION("""COMPUTED_VALUE"""),"2023-03-31T13:03:23Z")</f>
        <v>2023-03-31T13:03:23Z</v>
      </c>
      <c r="X126" s="16"/>
      <c r="Y126" s="16"/>
      <c r="Z126" s="16"/>
    </row>
    <row r="127">
      <c r="A127" s="16" t="str">
        <f>IFERROR(__xludf.DUMMYFUNCTION("""COMPUTED_VALUE"""),"5234302_1293961")</f>
        <v>5234302_1293961</v>
      </c>
      <c r="B127" s="16" t="str">
        <f>IFERROR(__xludf.DUMMYFUNCTION("""COMPUTED_VALUE"""),"Nisa Turgut")</f>
        <v>Nisa Turgut</v>
      </c>
      <c r="C127" s="16" t="str">
        <f>IFERROR(__xludf.DUMMYFUNCTION("""COMPUTED_VALUE"""),"completed")</f>
        <v>completed</v>
      </c>
      <c r="D127" s="16" t="str">
        <f>IFERROR(__xludf.DUMMYFUNCTION("""COMPUTED_VALUE"""),"No")</f>
        <v>No</v>
      </c>
      <c r="E127" s="16" t="str">
        <f>IFERROR(__xludf.DUMMYFUNCTION("""COMPUTED_VALUE"""),"p_b96cfbda6af57f6d605fc341c26fd8ed768a2901@inbound.aiesec.org")</f>
        <v>p_b96cfbda6af57f6d605fc341c26fd8ed768a2901@inbound.aiesec.org</v>
      </c>
      <c r="F127" s="16">
        <f>IFERROR(__xludf.DUMMYFUNCTION("""COMPUTED_VALUE"""),5.308334355E9)</f>
        <v>5308334355</v>
      </c>
      <c r="G127" s="16" t="str">
        <f>IFERROR(__xludf.DUMMYFUNCTION("""COMPUTED_VALUE"""),"Turkey")</f>
        <v>Turkey</v>
      </c>
      <c r="H127" s="16" t="str">
        <f>IFERROR(__xludf.DUMMYFUNCTION("""COMPUTED_VALUE"""),"ISTANBUL")</f>
        <v>ISTANBUL</v>
      </c>
      <c r="I127" s="16" t="str">
        <f>IFERROR(__xludf.DUMMYFUNCTION("""COMPUTED_VALUE"""),"Serbia")</f>
        <v>Serbia</v>
      </c>
      <c r="J127" s="16" t="str">
        <f>IFERROR(__xludf.DUMMYFUNCTION("""COMPUTED_VALUE"""),"BELGRADE FON")</f>
        <v>BELGRADE FON</v>
      </c>
      <c r="K127" s="17" t="str">
        <f>IFERROR(__xludf.DUMMYFUNCTION("""COMPUTED_VALUE"""),"https://expa.aiesec.org/opportunities/1293961")</f>
        <v>https://expa.aiesec.org/opportunities/1293961</v>
      </c>
      <c r="L127" s="16" t="str">
        <f>IFERROR(__xludf.DUMMYFUNCTION("""COMPUTED_VALUE"""),"GV")</f>
        <v>GV</v>
      </c>
      <c r="M127" s="16" t="str">
        <f>IFERROR(__xludf.DUMMYFUNCTION("""COMPUTED_VALUE"""),"short")</f>
        <v>short</v>
      </c>
      <c r="N127" s="18">
        <f>IFERROR(__xludf.DUMMYFUNCTION("""COMPUTED_VALUE"""),45031.0)</f>
        <v>45031</v>
      </c>
      <c r="O127" s="18">
        <f>IFERROR(__xludf.DUMMYFUNCTION("""COMPUTED_VALUE"""),45117.0)</f>
        <v>45117</v>
      </c>
      <c r="P127" s="18">
        <f>IFERROR(__xludf.DUMMYFUNCTION("""COMPUTED_VALUE"""),45159.0)</f>
        <v>45159</v>
      </c>
      <c r="Q127" s="18">
        <f>IFERROR(__xludf.DUMMYFUNCTION("""COMPUTED_VALUE"""),45119.0)</f>
        <v>45119</v>
      </c>
      <c r="R127" s="18">
        <f>IFERROR(__xludf.DUMMYFUNCTION("""COMPUTED_VALUE"""),45159.0)</f>
        <v>45159</v>
      </c>
      <c r="S127" s="16"/>
      <c r="T127" s="16"/>
      <c r="U127" s="16" t="str">
        <f>IFERROR(__xludf.DUMMYFUNCTION("""COMPUTED_VALUE"""),"Skill Up!")</f>
        <v>Skill Up!</v>
      </c>
      <c r="V127" s="16" t="str">
        <f>IFERROR(__xludf.DUMMYFUNCTION("""COMPUTED_VALUE"""),"ISTANBUL - BEYOGLU")</f>
        <v>ISTANBUL - BEYOGLU</v>
      </c>
      <c r="W127" s="16" t="str">
        <f>IFERROR(__xludf.DUMMYFUNCTION("""COMPUTED_VALUE"""),"2023-04-03T20:34:35Z")</f>
        <v>2023-04-03T20:34:35Z</v>
      </c>
      <c r="X127" s="16"/>
      <c r="Y127" s="16"/>
      <c r="Z127" s="16"/>
    </row>
    <row r="128">
      <c r="A128" s="16" t="str">
        <f>IFERROR(__xludf.DUMMYFUNCTION("""COMPUTED_VALUE"""),"5242955_1292990")</f>
        <v>5242955_1292990</v>
      </c>
      <c r="B128" s="16" t="str">
        <f>IFERROR(__xludf.DUMMYFUNCTION("""COMPUTED_VALUE"""),"Hüseyin Avni Çuvalcı")</f>
        <v>Hüseyin Avni Çuvalcı</v>
      </c>
      <c r="C128" s="16" t="str">
        <f>IFERROR(__xludf.DUMMYFUNCTION("""COMPUTED_VALUE"""),"approved")</f>
        <v>approved</v>
      </c>
      <c r="D128" s="16" t="str">
        <f>IFERROR(__xludf.DUMMYFUNCTION("""COMPUTED_VALUE"""),"No")</f>
        <v>No</v>
      </c>
      <c r="E128" s="16" t="str">
        <f>IFERROR(__xludf.DUMMYFUNCTION("""COMPUTED_VALUE"""),"p_74f27a88fce65c125dfd5bf306161f100dcfc1cb@inbound.aiesec.org")</f>
        <v>p_74f27a88fce65c125dfd5bf306161f100dcfc1cb@inbound.aiesec.org</v>
      </c>
      <c r="F128" s="16">
        <f>IFERROR(__xludf.DUMMYFUNCTION("""COMPUTED_VALUE"""),5.414484461E9)</f>
        <v>5414484461</v>
      </c>
      <c r="G128" s="16" t="str">
        <f>IFERROR(__xludf.DUMMYFUNCTION("""COMPUTED_VALUE"""),"Turkey")</f>
        <v>Turkey</v>
      </c>
      <c r="H128" s="16" t="str">
        <f>IFERROR(__xludf.DUMMYFUNCTION("""COMPUTED_VALUE"""),"ISTANBUL")</f>
        <v>ISTANBUL</v>
      </c>
      <c r="I128" s="16" t="str">
        <f>IFERROR(__xludf.DUMMYFUNCTION("""COMPUTED_VALUE"""),"India")</f>
        <v>India</v>
      </c>
      <c r="J128" s="16" t="str">
        <f>IFERROR(__xludf.DUMMYFUNCTION("""COMPUTED_VALUE"""),"Mumbai")</f>
        <v>Mumbai</v>
      </c>
      <c r="K128" s="17" t="str">
        <f>IFERROR(__xludf.DUMMYFUNCTION("""COMPUTED_VALUE"""),"https://expa.aiesec.org/opportunities/1292990")</f>
        <v>https://expa.aiesec.org/opportunities/1292990</v>
      </c>
      <c r="L128" s="16" t="str">
        <f>IFERROR(__xludf.DUMMYFUNCTION("""COMPUTED_VALUE"""),"GV")</f>
        <v>GV</v>
      </c>
      <c r="M128" s="16" t="str">
        <f>IFERROR(__xludf.DUMMYFUNCTION("""COMPUTED_VALUE"""),"short")</f>
        <v>short</v>
      </c>
      <c r="N128" s="18">
        <f>IFERROR(__xludf.DUMMYFUNCTION("""COMPUTED_VALUE"""),45032.0)</f>
        <v>45032</v>
      </c>
      <c r="O128" s="18">
        <f>IFERROR(__xludf.DUMMYFUNCTION("""COMPUTED_VALUE"""),45139.0)</f>
        <v>45139</v>
      </c>
      <c r="P128" s="18">
        <f>IFERROR(__xludf.DUMMYFUNCTION("""COMPUTED_VALUE"""),45183.0)</f>
        <v>45183</v>
      </c>
      <c r="Q128" s="18"/>
      <c r="R128" s="18"/>
      <c r="S128" s="16"/>
      <c r="T128" s="16"/>
      <c r="U128" s="16" t="str">
        <f>IFERROR(__xludf.DUMMYFUNCTION("""COMPUTED_VALUE"""),"On The Map")</f>
        <v>On The Map</v>
      </c>
      <c r="V128" s="16" t="str">
        <f>IFERROR(__xludf.DUMMYFUNCTION("""COMPUTED_VALUE"""),"ISTANBUL - BEYOGLU")</f>
        <v>ISTANBUL - BEYOGLU</v>
      </c>
      <c r="W128" s="16" t="str">
        <f>IFERROR(__xludf.DUMMYFUNCTION("""COMPUTED_VALUE"""),"2023-04-16T09:34:02Z")</f>
        <v>2023-04-16T09:34:02Z</v>
      </c>
      <c r="X128" s="16"/>
      <c r="Y128" s="16"/>
      <c r="Z128" s="16"/>
    </row>
    <row r="129">
      <c r="A129" s="16" t="str">
        <f>IFERROR(__xludf.DUMMYFUNCTION("""COMPUTED_VALUE"""),"5216528_1289536")</f>
        <v>5216528_1289536</v>
      </c>
      <c r="B129" s="16" t="str">
        <f>IFERROR(__xludf.DUMMYFUNCTION("""COMPUTED_VALUE"""),"Anderson Almeida")</f>
        <v>Anderson Almeida</v>
      </c>
      <c r="C129" s="16" t="str">
        <f>IFERROR(__xludf.DUMMYFUNCTION("""COMPUTED_VALUE"""),"realized")</f>
        <v>realized</v>
      </c>
      <c r="D129" s="16" t="str">
        <f>IFERROR(__xludf.DUMMYFUNCTION("""COMPUTED_VALUE"""),"No")</f>
        <v>No</v>
      </c>
      <c r="E129" s="16" t="str">
        <f>IFERROR(__xludf.DUMMYFUNCTION("""COMPUTED_VALUE"""),"p_30ccdc51f3b973741edb4bcbe4a024e74ae8b5df@inbound.aiesec.org")</f>
        <v>p_30ccdc51f3b973741edb4bcbe4a024e74ae8b5df@inbound.aiesec.org</v>
      </c>
      <c r="F129" s="16">
        <f>IFERROR(__xludf.DUMMYFUNCTION("""COMPUTED_VALUE"""),8.7988623608E10)</f>
        <v>87988623608</v>
      </c>
      <c r="G129" s="16" t="str">
        <f>IFERROR(__xludf.DUMMYFUNCTION("""COMPUTED_VALUE"""),"Brazil")</f>
        <v>Brazil</v>
      </c>
      <c r="H129" s="16" t="str">
        <f>IFERROR(__xludf.DUMMYFUNCTION("""COMPUTED_VALUE"""),"SALVADOR")</f>
        <v>SALVADOR</v>
      </c>
      <c r="I129" s="16" t="str">
        <f>IFERROR(__xludf.DUMMYFUNCTION("""COMPUTED_VALUE"""),"Turkey")</f>
        <v>Turkey</v>
      </c>
      <c r="J129" s="16" t="str">
        <f>IFERROR(__xludf.DUMMYFUNCTION("""COMPUTED_VALUE"""),"ISTANBUL")</f>
        <v>ISTANBUL</v>
      </c>
      <c r="K129" s="17" t="str">
        <f>IFERROR(__xludf.DUMMYFUNCTION("""COMPUTED_VALUE"""),"https://expa.aiesec.org/opportunities/1289536")</f>
        <v>https://expa.aiesec.org/opportunities/1289536</v>
      </c>
      <c r="L129" s="16" t="str">
        <f>IFERROR(__xludf.DUMMYFUNCTION("""COMPUTED_VALUE"""),"GV")</f>
        <v>GV</v>
      </c>
      <c r="M129" s="16" t="str">
        <f>IFERROR(__xludf.DUMMYFUNCTION("""COMPUTED_VALUE"""),"short")</f>
        <v>short</v>
      </c>
      <c r="N129" s="18">
        <f>IFERROR(__xludf.DUMMYFUNCTION("""COMPUTED_VALUE"""),45033.0)</f>
        <v>45033</v>
      </c>
      <c r="O129" s="18">
        <f>IFERROR(__xludf.DUMMYFUNCTION("""COMPUTED_VALUE"""),45292.0)</f>
        <v>45292</v>
      </c>
      <c r="P129" s="18">
        <f>IFERROR(__xludf.DUMMYFUNCTION("""COMPUTED_VALUE"""),45334.0)</f>
        <v>45334</v>
      </c>
      <c r="Q129" s="18">
        <f>IFERROR(__xludf.DUMMYFUNCTION("""COMPUTED_VALUE"""),45299.0)</f>
        <v>45299</v>
      </c>
      <c r="R129" s="18">
        <f>IFERROR(__xludf.DUMMYFUNCTION("""COMPUTED_VALUE"""),45340.0)</f>
        <v>45340</v>
      </c>
      <c r="S129" s="16"/>
      <c r="T129" s="16"/>
      <c r="U129" s="16" t="str">
        <f>IFERROR(__xludf.DUMMYFUNCTION("""COMPUTED_VALUE"""),"Global Classroom")</f>
        <v>Global Classroom</v>
      </c>
      <c r="V129" s="16" t="str">
        <f>IFERROR(__xludf.DUMMYFUNCTION("""COMPUTED_VALUE"""),"Salvador")</f>
        <v>Salvador</v>
      </c>
      <c r="W129" s="16" t="str">
        <f>IFERROR(__xludf.DUMMYFUNCTION("""COMPUTED_VALUE"""),"2023-03-14T22:37:21Z")</f>
        <v>2023-03-14T22:37:21Z</v>
      </c>
      <c r="X129" s="16"/>
      <c r="Y129" s="16"/>
      <c r="Z129" s="16"/>
    </row>
    <row r="130">
      <c r="A130" s="16" t="str">
        <f>IFERROR(__xludf.DUMMYFUNCTION("""COMPUTED_VALUE"""),"5241307_1289255")</f>
        <v>5241307_1289255</v>
      </c>
      <c r="B130" s="16" t="str">
        <f>IFERROR(__xludf.DUMMYFUNCTION("""COMPUTED_VALUE"""),"Nouhaila Karami")</f>
        <v>Nouhaila Karami</v>
      </c>
      <c r="C130" s="16" t="str">
        <f>IFERROR(__xludf.DUMMYFUNCTION("""COMPUTED_VALUE"""),"realized")</f>
        <v>realized</v>
      </c>
      <c r="D130" s="16" t="str">
        <f>IFERROR(__xludf.DUMMYFUNCTION("""COMPUTED_VALUE"""),"No")</f>
        <v>No</v>
      </c>
      <c r="E130" s="16" t="str">
        <f>IFERROR(__xludf.DUMMYFUNCTION("""COMPUTED_VALUE"""),"p_def7150275297c15aec30fd37e0fbe87aad97aa3@inbound.aiesec.org")</f>
        <v>p_def7150275297c15aec30fd37e0fbe87aad97aa3@inbound.aiesec.org</v>
      </c>
      <c r="F130" s="16"/>
      <c r="G130" s="16" t="str">
        <f>IFERROR(__xludf.DUMMYFUNCTION("""COMPUTED_VALUE"""),"Morocco")</f>
        <v>Morocco</v>
      </c>
      <c r="H130" s="16" t="str">
        <f>IFERROR(__xludf.DUMMYFUNCTION("""COMPUTED_VALUE"""),"Tetouan")</f>
        <v>Tetouan</v>
      </c>
      <c r="I130" s="16" t="str">
        <f>IFERROR(__xludf.DUMMYFUNCTION("""COMPUTED_VALUE"""),"Turkey")</f>
        <v>Turkey</v>
      </c>
      <c r="J130" s="16" t="str">
        <f>IFERROR(__xludf.DUMMYFUNCTION("""COMPUTED_VALUE"""),"ISTANBUL")</f>
        <v>ISTANBUL</v>
      </c>
      <c r="K130" s="17" t="str">
        <f>IFERROR(__xludf.DUMMYFUNCTION("""COMPUTED_VALUE"""),"https://expa.aiesec.org/opportunities/1289255")</f>
        <v>https://expa.aiesec.org/opportunities/1289255</v>
      </c>
      <c r="L130" s="16" t="str">
        <f>IFERROR(__xludf.DUMMYFUNCTION("""COMPUTED_VALUE"""),"GTa")</f>
        <v>GTa</v>
      </c>
      <c r="M130" s="16" t="str">
        <f>IFERROR(__xludf.DUMMYFUNCTION("""COMPUTED_VALUE"""),"long")</f>
        <v>long</v>
      </c>
      <c r="N130" s="18">
        <f>IFERROR(__xludf.DUMMYFUNCTION("""COMPUTED_VALUE"""),45033.0)</f>
        <v>45033</v>
      </c>
      <c r="O130" s="18">
        <f>IFERROR(__xludf.DUMMYFUNCTION("""COMPUTED_VALUE"""),45068.0)</f>
        <v>45068</v>
      </c>
      <c r="P130" s="18">
        <f>IFERROR(__xludf.DUMMYFUNCTION("""COMPUTED_VALUE"""),45611.0)</f>
        <v>45611</v>
      </c>
      <c r="Q130" s="18">
        <f>IFERROR(__xludf.DUMMYFUNCTION("""COMPUTED_VALUE"""),45069.0)</f>
        <v>45069</v>
      </c>
      <c r="R130" s="18">
        <f>IFERROR(__xludf.DUMMYFUNCTION("""COMPUTED_VALUE"""),45618.0)</f>
        <v>45618</v>
      </c>
      <c r="S130" s="16"/>
      <c r="T130" s="16" t="str">
        <f>IFERROR(__xludf.DUMMYFUNCTION("""COMPUTED_VALUE"""),"Business Administration")</f>
        <v>Business Administration</v>
      </c>
      <c r="U130" s="16" t="str">
        <f>IFERROR(__xludf.DUMMYFUNCTION("""COMPUTED_VALUE"""),"Telesales Specialist in Istanbul (French Speaker)")</f>
        <v>Telesales Specialist in Istanbul (French Speaker)</v>
      </c>
      <c r="V130" s="16" t="str">
        <f>IFERROR(__xludf.DUMMYFUNCTION("""COMPUTED_VALUE"""),"-")</f>
        <v>-</v>
      </c>
      <c r="W130" s="16" t="str">
        <f>IFERROR(__xludf.DUMMYFUNCTION("""COMPUTED_VALUE"""),"2023-04-13T15:03:17Z")</f>
        <v>2023-04-13T15:03:17Z</v>
      </c>
      <c r="X130" s="16"/>
      <c r="Y130" s="16"/>
      <c r="Z130" s="16"/>
    </row>
    <row r="131">
      <c r="A131" s="16" t="str">
        <f>IFERROR(__xludf.DUMMYFUNCTION("""COMPUTED_VALUE"""),"5241015_1290282")</f>
        <v>5241015_1290282</v>
      </c>
      <c r="B131" s="16" t="str">
        <f>IFERROR(__xludf.DUMMYFUNCTION("""COMPUTED_VALUE"""),"Azad Seki")</f>
        <v>Azad Seki</v>
      </c>
      <c r="C131" s="16" t="str">
        <f>IFERROR(__xludf.DUMMYFUNCTION("""COMPUTED_VALUE"""),"completed")</f>
        <v>completed</v>
      </c>
      <c r="D131" s="16" t="str">
        <f>IFERROR(__xludf.DUMMYFUNCTION("""COMPUTED_VALUE"""),"No")</f>
        <v>No</v>
      </c>
      <c r="E131" s="16" t="str">
        <f>IFERROR(__xludf.DUMMYFUNCTION("""COMPUTED_VALUE"""),"p_b3d200684e197d08ae0b5a66c3252e46b00ebc33@inbound.aiesec.org")</f>
        <v>p_b3d200684e197d08ae0b5a66c3252e46b00ebc33@inbound.aiesec.org</v>
      </c>
      <c r="F131" s="16">
        <f>IFERROR(__xludf.DUMMYFUNCTION("""COMPUTED_VALUE"""),5.422506605E9)</f>
        <v>5422506605</v>
      </c>
      <c r="G131" s="16" t="str">
        <f>IFERROR(__xludf.DUMMYFUNCTION("""COMPUTED_VALUE"""),"Turkey")</f>
        <v>Turkey</v>
      </c>
      <c r="H131" s="16" t="str">
        <f>IFERROR(__xludf.DUMMYFUNCTION("""COMPUTED_VALUE"""),"ISTANBUL")</f>
        <v>ISTANBUL</v>
      </c>
      <c r="I131" s="16" t="str">
        <f>IFERROR(__xludf.DUMMYFUNCTION("""COMPUTED_VALUE"""),"Egypt")</f>
        <v>Egypt</v>
      </c>
      <c r="J131" s="16" t="str">
        <f>IFERROR(__xludf.DUMMYFUNCTION("""COMPUTED_VALUE"""),"GUC")</f>
        <v>GUC</v>
      </c>
      <c r="K131" s="17" t="str">
        <f>IFERROR(__xludf.DUMMYFUNCTION("""COMPUTED_VALUE"""),"https://expa.aiesec.org/opportunities/1290282")</f>
        <v>https://expa.aiesec.org/opportunities/1290282</v>
      </c>
      <c r="L131" s="16" t="str">
        <f>IFERROR(__xludf.DUMMYFUNCTION("""COMPUTED_VALUE"""),"GV")</f>
        <v>GV</v>
      </c>
      <c r="M131" s="16" t="str">
        <f>IFERROR(__xludf.DUMMYFUNCTION("""COMPUTED_VALUE"""),"short")</f>
        <v>short</v>
      </c>
      <c r="N131" s="18">
        <f>IFERROR(__xludf.DUMMYFUNCTION("""COMPUTED_VALUE"""),45033.0)</f>
        <v>45033</v>
      </c>
      <c r="O131" s="18">
        <f>IFERROR(__xludf.DUMMYFUNCTION("""COMPUTED_VALUE"""),45122.0)</f>
        <v>45122</v>
      </c>
      <c r="P131" s="18">
        <f>IFERROR(__xludf.DUMMYFUNCTION("""COMPUTED_VALUE"""),45164.0)</f>
        <v>45164</v>
      </c>
      <c r="Q131" s="18">
        <f>IFERROR(__xludf.DUMMYFUNCTION("""COMPUTED_VALUE"""),45123.0)</f>
        <v>45123</v>
      </c>
      <c r="R131" s="18">
        <f>IFERROR(__xludf.DUMMYFUNCTION("""COMPUTED_VALUE"""),45164.0)</f>
        <v>45164</v>
      </c>
      <c r="S131" s="16"/>
      <c r="T131" s="16"/>
      <c r="U131" s="16" t="str">
        <f>IFERROR(__xludf.DUMMYFUNCTION("""COMPUTED_VALUE"""),"On The Map")</f>
        <v>On The Map</v>
      </c>
      <c r="V131" s="16" t="str">
        <f>IFERROR(__xludf.DUMMYFUNCTION("""COMPUTED_VALUE"""),"ISTANBUL - BEYOGLU")</f>
        <v>ISTANBUL - BEYOGLU</v>
      </c>
      <c r="W131" s="16" t="str">
        <f>IFERROR(__xludf.DUMMYFUNCTION("""COMPUTED_VALUE"""),"2023-04-13T10:17:35Z")</f>
        <v>2023-04-13T10:17:35Z</v>
      </c>
      <c r="X131" s="16"/>
      <c r="Y131" s="16"/>
      <c r="Z131" s="16"/>
    </row>
    <row r="132">
      <c r="A132" s="16" t="str">
        <f>IFERROR(__xludf.DUMMYFUNCTION("""COMPUTED_VALUE"""),"5238132_1293699")</f>
        <v>5238132_1293699</v>
      </c>
      <c r="B132" s="16" t="str">
        <f>IFERROR(__xludf.DUMMYFUNCTION("""COMPUTED_VALUE"""),"Furkan Sarı")</f>
        <v>Furkan Sarı</v>
      </c>
      <c r="C132" s="16" t="str">
        <f>IFERROR(__xludf.DUMMYFUNCTION("""COMPUTED_VALUE"""),"completed")</f>
        <v>completed</v>
      </c>
      <c r="D132" s="16" t="str">
        <f>IFERROR(__xludf.DUMMYFUNCTION("""COMPUTED_VALUE"""),"No")</f>
        <v>No</v>
      </c>
      <c r="E132" s="16" t="str">
        <f>IFERROR(__xludf.DUMMYFUNCTION("""COMPUTED_VALUE"""),"p_4555ecf792e13b30898f7f3e8faa2519b4e48174@inbound.aiesec.org")</f>
        <v>p_4555ecf792e13b30898f7f3e8faa2519b4e48174@inbound.aiesec.org</v>
      </c>
      <c r="F132" s="16">
        <f>IFERROR(__xludf.DUMMYFUNCTION("""COMPUTED_VALUE"""),5.533320177E9)</f>
        <v>5533320177</v>
      </c>
      <c r="G132" s="16" t="str">
        <f>IFERROR(__xludf.DUMMYFUNCTION("""COMPUTED_VALUE"""),"Turkey")</f>
        <v>Turkey</v>
      </c>
      <c r="H132" s="16" t="str">
        <f>IFERROR(__xludf.DUMMYFUNCTION("""COMPUTED_VALUE"""),"ISTANBUL")</f>
        <v>ISTANBUL</v>
      </c>
      <c r="I132" s="16" t="str">
        <f>IFERROR(__xludf.DUMMYFUNCTION("""COMPUTED_VALUE"""),"Bosnia and Herzegovina")</f>
        <v>Bosnia and Herzegovina</v>
      </c>
      <c r="J132" s="16" t="str">
        <f>IFERROR(__xludf.DUMMYFUNCTION("""COMPUTED_VALUE"""),"SARAJEVO")</f>
        <v>SARAJEVO</v>
      </c>
      <c r="K132" s="17" t="str">
        <f>IFERROR(__xludf.DUMMYFUNCTION("""COMPUTED_VALUE"""),"https://expa.aiesec.org/opportunities/1293699")</f>
        <v>https://expa.aiesec.org/opportunities/1293699</v>
      </c>
      <c r="L132" s="16" t="str">
        <f>IFERROR(__xludf.DUMMYFUNCTION("""COMPUTED_VALUE"""),"GV")</f>
        <v>GV</v>
      </c>
      <c r="M132" s="16" t="str">
        <f>IFERROR(__xludf.DUMMYFUNCTION("""COMPUTED_VALUE"""),"short")</f>
        <v>short</v>
      </c>
      <c r="N132" s="18">
        <f>IFERROR(__xludf.DUMMYFUNCTION("""COMPUTED_VALUE"""),45033.0)</f>
        <v>45033</v>
      </c>
      <c r="O132" s="18">
        <f>IFERROR(__xludf.DUMMYFUNCTION("""COMPUTED_VALUE"""),45128.0)</f>
        <v>45128</v>
      </c>
      <c r="P132" s="18">
        <f>IFERROR(__xludf.DUMMYFUNCTION("""COMPUTED_VALUE"""),45170.0)</f>
        <v>45170</v>
      </c>
      <c r="Q132" s="18">
        <f>IFERROR(__xludf.DUMMYFUNCTION("""COMPUTED_VALUE"""),45128.0)</f>
        <v>45128</v>
      </c>
      <c r="R132" s="18">
        <f>IFERROR(__xludf.DUMMYFUNCTION("""COMPUTED_VALUE"""),45170.0)</f>
        <v>45170</v>
      </c>
      <c r="S132" s="16"/>
      <c r="T132" s="16"/>
      <c r="U132" s="16" t="str">
        <f>IFERROR(__xludf.DUMMYFUNCTION("""COMPUTED_VALUE"""),"Explorer")</f>
        <v>Explorer</v>
      </c>
      <c r="V132" s="16" t="str">
        <f>IFERROR(__xludf.DUMMYFUNCTION("""COMPUTED_VALUE"""),"ISTANBUL - BEYOGLU")</f>
        <v>ISTANBUL - BEYOGLU</v>
      </c>
      <c r="W132" s="16" t="str">
        <f>IFERROR(__xludf.DUMMYFUNCTION("""COMPUTED_VALUE"""),"2023-04-09T13:24:33Z")</f>
        <v>2023-04-09T13:24:33Z</v>
      </c>
      <c r="X132" s="16"/>
      <c r="Y132" s="16"/>
      <c r="Z132" s="16"/>
    </row>
    <row r="133">
      <c r="A133" s="16" t="str">
        <f>IFERROR(__xludf.DUMMYFUNCTION("""COMPUTED_VALUE"""),"5243394_1293200")</f>
        <v>5243394_1293200</v>
      </c>
      <c r="B133" s="16" t="str">
        <f>IFERROR(__xludf.DUMMYFUNCTION("""COMPUTED_VALUE"""),"Yusuf Emir Altınkaynak")</f>
        <v>Yusuf Emir Altınkaynak</v>
      </c>
      <c r="C133" s="16" t="str">
        <f>IFERROR(__xludf.DUMMYFUNCTION("""COMPUTED_VALUE"""),"completed")</f>
        <v>completed</v>
      </c>
      <c r="D133" s="16" t="str">
        <f>IFERROR(__xludf.DUMMYFUNCTION("""COMPUTED_VALUE"""),"No")</f>
        <v>No</v>
      </c>
      <c r="E133" s="16" t="str">
        <f>IFERROR(__xludf.DUMMYFUNCTION("""COMPUTED_VALUE"""),"p_0c6ce8755a41a54f92292af0c9ff9f73ef66d146@inbound.aiesec.org")</f>
        <v>p_0c6ce8755a41a54f92292af0c9ff9f73ef66d146@inbound.aiesec.org</v>
      </c>
      <c r="F133" s="16"/>
      <c r="G133" s="16" t="str">
        <f>IFERROR(__xludf.DUMMYFUNCTION("""COMPUTED_VALUE"""),"Turkey")</f>
        <v>Turkey</v>
      </c>
      <c r="H133" s="16" t="str">
        <f>IFERROR(__xludf.DUMMYFUNCTION("""COMPUTED_VALUE"""),"ISTANBUL")</f>
        <v>ISTANBUL</v>
      </c>
      <c r="I133" s="16" t="str">
        <f>IFERROR(__xludf.DUMMYFUNCTION("""COMPUTED_VALUE"""),"Tunisia")</f>
        <v>Tunisia</v>
      </c>
      <c r="J133" s="16" t="str">
        <f>IFERROR(__xludf.DUMMYFUNCTION("""COMPUTED_VALUE"""),"RUSPINA")</f>
        <v>RUSPINA</v>
      </c>
      <c r="K133" s="17" t="str">
        <f>IFERROR(__xludf.DUMMYFUNCTION("""COMPUTED_VALUE"""),"https://expa.aiesec.org/opportunities/1293200")</f>
        <v>https://expa.aiesec.org/opportunities/1293200</v>
      </c>
      <c r="L133" s="16" t="str">
        <f>IFERROR(__xludf.DUMMYFUNCTION("""COMPUTED_VALUE"""),"GV")</f>
        <v>GV</v>
      </c>
      <c r="M133" s="16" t="str">
        <f>IFERROR(__xludf.DUMMYFUNCTION("""COMPUTED_VALUE"""),"short")</f>
        <v>short</v>
      </c>
      <c r="N133" s="18">
        <f>IFERROR(__xludf.DUMMYFUNCTION("""COMPUTED_VALUE"""),45034.0)</f>
        <v>45034</v>
      </c>
      <c r="O133" s="18">
        <f>IFERROR(__xludf.DUMMYFUNCTION("""COMPUTED_VALUE"""),45139.0)</f>
        <v>45139</v>
      </c>
      <c r="P133" s="18">
        <f>IFERROR(__xludf.DUMMYFUNCTION("""COMPUTED_VALUE"""),45184.0)</f>
        <v>45184</v>
      </c>
      <c r="Q133" s="18">
        <f>IFERROR(__xludf.DUMMYFUNCTION("""COMPUTED_VALUE"""),45138.0)</f>
        <v>45138</v>
      </c>
      <c r="R133" s="18">
        <f>IFERROR(__xludf.DUMMYFUNCTION("""COMPUTED_VALUE"""),45184.0)</f>
        <v>45184</v>
      </c>
      <c r="S133" s="16"/>
      <c r="T133" s="16"/>
      <c r="U133" s="16" t="str">
        <f>IFERROR(__xludf.DUMMYFUNCTION("""COMPUTED_VALUE"""),"Aquatica")</f>
        <v>Aquatica</v>
      </c>
      <c r="V133" s="16" t="str">
        <f>IFERROR(__xludf.DUMMYFUNCTION("""COMPUTED_VALUE"""),"-")</f>
        <v>-</v>
      </c>
      <c r="W133" s="16" t="str">
        <f>IFERROR(__xludf.DUMMYFUNCTION("""COMPUTED_VALUE"""),"2023-04-16T19:28:16Z")</f>
        <v>2023-04-16T19:28:16Z</v>
      </c>
      <c r="X133" s="16"/>
      <c r="Y133" s="16"/>
      <c r="Z133" s="16"/>
    </row>
    <row r="134">
      <c r="A134" s="16" t="str">
        <f>IFERROR(__xludf.DUMMYFUNCTION("""COMPUTED_VALUE"""),"5238951_1293866")</f>
        <v>5238951_1293866</v>
      </c>
      <c r="B134" s="16" t="str">
        <f>IFERROR(__xludf.DUMMYFUNCTION("""COMPUTED_VALUE"""),"Kaan Yaman")</f>
        <v>Kaan Yaman</v>
      </c>
      <c r="C134" s="16" t="str">
        <f>IFERROR(__xludf.DUMMYFUNCTION("""COMPUTED_VALUE"""),"approved")</f>
        <v>approved</v>
      </c>
      <c r="D134" s="16" t="str">
        <f>IFERROR(__xludf.DUMMYFUNCTION("""COMPUTED_VALUE"""),"No")</f>
        <v>No</v>
      </c>
      <c r="E134" s="16" t="str">
        <f>IFERROR(__xludf.DUMMYFUNCTION("""COMPUTED_VALUE"""),"p_b7af84d5e00e1c05ec30b90ee3364834c99ef9d0@inbound.aiesec.org")</f>
        <v>p_b7af84d5e00e1c05ec30b90ee3364834c99ef9d0@inbound.aiesec.org</v>
      </c>
      <c r="F134" s="16"/>
      <c r="G134" s="16" t="str">
        <f>IFERROR(__xludf.DUMMYFUNCTION("""COMPUTED_VALUE"""),"Turkey")</f>
        <v>Turkey</v>
      </c>
      <c r="H134" s="16" t="str">
        <f>IFERROR(__xludf.DUMMYFUNCTION("""COMPUTED_VALUE"""),"ISTANBUL")</f>
        <v>ISTANBUL</v>
      </c>
      <c r="I134" s="16" t="str">
        <f>IFERROR(__xludf.DUMMYFUNCTION("""COMPUTED_VALUE"""),"Italy")</f>
        <v>Italy</v>
      </c>
      <c r="J134" s="16" t="str">
        <f>IFERROR(__xludf.DUMMYFUNCTION("""COMPUTED_VALUE"""),"Napoli Federico II")</f>
        <v>Napoli Federico II</v>
      </c>
      <c r="K134" s="17" t="str">
        <f>IFERROR(__xludf.DUMMYFUNCTION("""COMPUTED_VALUE"""),"https://expa.aiesec.org/opportunities/1293866")</f>
        <v>https://expa.aiesec.org/opportunities/1293866</v>
      </c>
      <c r="L134" s="16" t="str">
        <f>IFERROR(__xludf.DUMMYFUNCTION("""COMPUTED_VALUE"""),"GV")</f>
        <v>GV</v>
      </c>
      <c r="M134" s="16" t="str">
        <f>IFERROR(__xludf.DUMMYFUNCTION("""COMPUTED_VALUE"""),"short")</f>
        <v>short</v>
      </c>
      <c r="N134" s="18">
        <f>IFERROR(__xludf.DUMMYFUNCTION("""COMPUTED_VALUE"""),45034.0)</f>
        <v>45034</v>
      </c>
      <c r="O134" s="18">
        <f>IFERROR(__xludf.DUMMYFUNCTION("""COMPUTED_VALUE"""),45159.0)</f>
        <v>45159</v>
      </c>
      <c r="P134" s="18">
        <f>IFERROR(__xludf.DUMMYFUNCTION("""COMPUTED_VALUE"""),45201.0)</f>
        <v>45201</v>
      </c>
      <c r="Q134" s="18"/>
      <c r="R134" s="18"/>
      <c r="S134" s="16"/>
      <c r="T134" s="16"/>
      <c r="U134" s="16" t="str">
        <f>IFERROR(__xludf.DUMMYFUNCTION("""COMPUTED_VALUE"""),"Youth 4 Impact")</f>
        <v>Youth 4 Impact</v>
      </c>
      <c r="V134" s="16" t="str">
        <f>IFERROR(__xludf.DUMMYFUNCTION("""COMPUTED_VALUE"""),"-")</f>
        <v>-</v>
      </c>
      <c r="W134" s="16" t="str">
        <f>IFERROR(__xludf.DUMMYFUNCTION("""COMPUTED_VALUE"""),"2023-04-10T15:11:40Z")</f>
        <v>2023-04-10T15:11:40Z</v>
      </c>
      <c r="X134" s="16"/>
      <c r="Y134" s="16"/>
      <c r="Z134" s="16"/>
    </row>
    <row r="135">
      <c r="A135" s="16" t="str">
        <f>IFERROR(__xludf.DUMMYFUNCTION("""COMPUTED_VALUE"""),"4055427_1293417")</f>
        <v>4055427_1293417</v>
      </c>
      <c r="B135" s="16" t="str">
        <f>IFERROR(__xludf.DUMMYFUNCTION("""COMPUTED_VALUE"""),"Guido Tognini")</f>
        <v>Guido Tognini</v>
      </c>
      <c r="C135" s="16" t="str">
        <f>IFERROR(__xludf.DUMMYFUNCTION("""COMPUTED_VALUE"""),"finished")</f>
        <v>finished</v>
      </c>
      <c r="D135" s="16" t="str">
        <f>IFERROR(__xludf.DUMMYFUNCTION("""COMPUTED_VALUE"""),"No")</f>
        <v>No</v>
      </c>
      <c r="E135" s="16" t="str">
        <f>IFERROR(__xludf.DUMMYFUNCTION("""COMPUTED_VALUE"""),"p_14696e01d99414bbd139c54988bfed38f3a86dca@inbound.aiesec.org")</f>
        <v>p_14696e01d99414bbd139c54988bfed38f3a86dca@inbound.aiesec.org</v>
      </c>
      <c r="F135" s="16"/>
      <c r="G135" s="16" t="str">
        <f>IFERROR(__xludf.DUMMYFUNCTION("""COMPUTED_VALUE"""),"Brazil")</f>
        <v>Brazil</v>
      </c>
      <c r="H135" s="16" t="str">
        <f>IFERROR(__xludf.DUMMYFUNCTION("""COMPUTED_VALUE"""),"USP")</f>
        <v>USP</v>
      </c>
      <c r="I135" s="16" t="str">
        <f>IFERROR(__xludf.DUMMYFUNCTION("""COMPUTED_VALUE"""),"Turkey")</f>
        <v>Turkey</v>
      </c>
      <c r="J135" s="16" t="str">
        <f>IFERROR(__xludf.DUMMYFUNCTION("""COMPUTED_VALUE"""),"ISTANBUL")</f>
        <v>ISTANBUL</v>
      </c>
      <c r="K135" s="17" t="str">
        <f>IFERROR(__xludf.DUMMYFUNCTION("""COMPUTED_VALUE"""),"https://expa.aiesec.org/opportunities/1293417")</f>
        <v>https://expa.aiesec.org/opportunities/1293417</v>
      </c>
      <c r="L135" s="16" t="str">
        <f>IFERROR(__xludf.DUMMYFUNCTION("""COMPUTED_VALUE"""),"GV")</f>
        <v>GV</v>
      </c>
      <c r="M135" s="16" t="str">
        <f>IFERROR(__xludf.DUMMYFUNCTION("""COMPUTED_VALUE"""),"short")</f>
        <v>short</v>
      </c>
      <c r="N135" s="18">
        <f>IFERROR(__xludf.DUMMYFUNCTION("""COMPUTED_VALUE"""),45035.0)</f>
        <v>45035</v>
      </c>
      <c r="O135" s="18">
        <f>IFERROR(__xludf.DUMMYFUNCTION("""COMPUTED_VALUE"""),45091.0)</f>
        <v>45091</v>
      </c>
      <c r="P135" s="18">
        <f>IFERROR(__xludf.DUMMYFUNCTION("""COMPUTED_VALUE"""),45133.0)</f>
        <v>45133</v>
      </c>
      <c r="Q135" s="18">
        <f>IFERROR(__xludf.DUMMYFUNCTION("""COMPUTED_VALUE"""),45096.0)</f>
        <v>45096</v>
      </c>
      <c r="R135" s="18">
        <f>IFERROR(__xludf.DUMMYFUNCTION("""COMPUTED_VALUE"""),45136.0)</f>
        <v>45136</v>
      </c>
      <c r="S135" s="16"/>
      <c r="T135" s="16"/>
      <c r="U135" s="16" t="str">
        <f>IFERROR(__xludf.DUMMYFUNCTION("""COMPUTED_VALUE"""),"Global Classroom")</f>
        <v>Global Classroom</v>
      </c>
      <c r="V135" s="16" t="str">
        <f>IFERROR(__xludf.DUMMYFUNCTION("""COMPUTED_VALUE"""),"-")</f>
        <v>-</v>
      </c>
      <c r="W135" s="16" t="str">
        <f>IFERROR(__xludf.DUMMYFUNCTION("""COMPUTED_VALUE"""),"2019-11-28T01:36:29Z")</f>
        <v>2019-11-28T01:36:29Z</v>
      </c>
      <c r="X135" s="16"/>
      <c r="Y135" s="16"/>
      <c r="Z135" s="16"/>
    </row>
    <row r="136">
      <c r="A136" s="16" t="str">
        <f>IFERROR(__xludf.DUMMYFUNCTION("""COMPUTED_VALUE"""),"5246199_1272564")</f>
        <v>5246199_1272564</v>
      </c>
      <c r="B136" s="16" t="str">
        <f>IFERROR(__xludf.DUMMYFUNCTION("""COMPUTED_VALUE"""),"Farah Hamrouni")</f>
        <v>Farah Hamrouni</v>
      </c>
      <c r="C136" s="16" t="str">
        <f>IFERROR(__xludf.DUMMYFUNCTION("""COMPUTED_VALUE"""),"approved")</f>
        <v>approved</v>
      </c>
      <c r="D136" s="16" t="str">
        <f>IFERROR(__xludf.DUMMYFUNCTION("""COMPUTED_VALUE"""),"No")</f>
        <v>No</v>
      </c>
      <c r="E136" s="16" t="str">
        <f>IFERROR(__xludf.DUMMYFUNCTION("""COMPUTED_VALUE"""),"p_c3984a608edc536d16acf7a1a667bfce3ecf27cf@inbound.aiesec.org")</f>
        <v>p_c3984a608edc536d16acf7a1a667bfce3ecf27cf@inbound.aiesec.org</v>
      </c>
      <c r="F136" s="16">
        <f>IFERROR(__xludf.DUMMYFUNCTION("""COMPUTED_VALUE"""),2.2060093E7)</f>
        <v>22060093</v>
      </c>
      <c r="G136" s="16" t="str">
        <f>IFERROR(__xludf.DUMMYFUNCTION("""COMPUTED_VALUE"""),"Tunisia")</f>
        <v>Tunisia</v>
      </c>
      <c r="H136" s="16" t="str">
        <f>IFERROR(__xludf.DUMMYFUNCTION("""COMPUTED_VALUE"""),"UNIVERSITY")</f>
        <v>UNIVERSITY</v>
      </c>
      <c r="I136" s="16" t="str">
        <f>IFERROR(__xludf.DUMMYFUNCTION("""COMPUTED_VALUE"""),"Turkey")</f>
        <v>Turkey</v>
      </c>
      <c r="J136" s="16" t="str">
        <f>IFERROR(__xludf.DUMMYFUNCTION("""COMPUTED_VALUE"""),"ISTANBUL")</f>
        <v>ISTANBUL</v>
      </c>
      <c r="K136" s="17" t="str">
        <f>IFERROR(__xludf.DUMMYFUNCTION("""COMPUTED_VALUE"""),"https://expa.aiesec.org/opportunities/1272564")</f>
        <v>https://expa.aiesec.org/opportunities/1272564</v>
      </c>
      <c r="L136" s="16" t="str">
        <f>IFERROR(__xludf.DUMMYFUNCTION("""COMPUTED_VALUE"""),"GV")</f>
        <v>GV</v>
      </c>
      <c r="M136" s="16" t="str">
        <f>IFERROR(__xludf.DUMMYFUNCTION("""COMPUTED_VALUE"""),"short")</f>
        <v>short</v>
      </c>
      <c r="N136" s="18">
        <f>IFERROR(__xludf.DUMMYFUNCTION("""COMPUTED_VALUE"""),45036.0)</f>
        <v>45036</v>
      </c>
      <c r="O136" s="18">
        <f>IFERROR(__xludf.DUMMYFUNCTION("""COMPUTED_VALUE"""),45162.0)</f>
        <v>45162</v>
      </c>
      <c r="P136" s="18">
        <f>IFERROR(__xludf.DUMMYFUNCTION("""COMPUTED_VALUE"""),45204.0)</f>
        <v>45204</v>
      </c>
      <c r="Q136" s="18"/>
      <c r="R136" s="18"/>
      <c r="S136" s="16"/>
      <c r="T136" s="16"/>
      <c r="U136" s="16" t="str">
        <f>IFERROR(__xludf.DUMMYFUNCTION("""COMPUTED_VALUE"""),"Global Classroom")</f>
        <v>Global Classroom</v>
      </c>
      <c r="V136" s="16" t="str">
        <f>IFERROR(__xludf.DUMMYFUNCTION("""COMPUTED_VALUE"""),"FST")</f>
        <v>FST</v>
      </c>
      <c r="W136" s="16" t="str">
        <f>IFERROR(__xludf.DUMMYFUNCTION("""COMPUTED_VALUE"""),"2023-04-20T13:00:45Z")</f>
        <v>2023-04-20T13:00:45Z</v>
      </c>
      <c r="X136" s="16"/>
      <c r="Y136" s="16"/>
      <c r="Z136" s="16"/>
    </row>
    <row r="137">
      <c r="A137" s="16" t="str">
        <f>IFERROR(__xludf.DUMMYFUNCTION("""COMPUTED_VALUE"""),"5246201_1272564")</f>
        <v>5246201_1272564</v>
      </c>
      <c r="B137" s="16" t="str">
        <f>IFERROR(__xludf.DUMMYFUNCTION("""COMPUTED_VALUE"""),"Nour Slama")</f>
        <v>Nour Slama</v>
      </c>
      <c r="C137" s="16" t="str">
        <f>IFERROR(__xludf.DUMMYFUNCTION("""COMPUTED_VALUE"""),"approved")</f>
        <v>approved</v>
      </c>
      <c r="D137" s="16" t="str">
        <f>IFERROR(__xludf.DUMMYFUNCTION("""COMPUTED_VALUE"""),"No")</f>
        <v>No</v>
      </c>
      <c r="E137" s="16" t="str">
        <f>IFERROR(__xludf.DUMMYFUNCTION("""COMPUTED_VALUE"""),"p_2e567af8dc46ad77bc82a831da0a9ef06bc7d674@inbound.aiesec.org")</f>
        <v>p_2e567af8dc46ad77bc82a831da0a9ef06bc7d674@inbound.aiesec.org</v>
      </c>
      <c r="F137" s="16">
        <f>IFERROR(__xludf.DUMMYFUNCTION("""COMPUTED_VALUE"""),2.2866822E7)</f>
        <v>22866822</v>
      </c>
      <c r="G137" s="16" t="str">
        <f>IFERROR(__xludf.DUMMYFUNCTION("""COMPUTED_VALUE"""),"Tunisia")</f>
        <v>Tunisia</v>
      </c>
      <c r="H137" s="16" t="str">
        <f>IFERROR(__xludf.DUMMYFUNCTION("""COMPUTED_VALUE"""),"UNIVERSITY")</f>
        <v>UNIVERSITY</v>
      </c>
      <c r="I137" s="16" t="str">
        <f>IFERROR(__xludf.DUMMYFUNCTION("""COMPUTED_VALUE"""),"Turkey")</f>
        <v>Turkey</v>
      </c>
      <c r="J137" s="16" t="str">
        <f>IFERROR(__xludf.DUMMYFUNCTION("""COMPUTED_VALUE"""),"ISTANBUL")</f>
        <v>ISTANBUL</v>
      </c>
      <c r="K137" s="17" t="str">
        <f>IFERROR(__xludf.DUMMYFUNCTION("""COMPUTED_VALUE"""),"https://expa.aiesec.org/opportunities/1272564")</f>
        <v>https://expa.aiesec.org/opportunities/1272564</v>
      </c>
      <c r="L137" s="16" t="str">
        <f>IFERROR(__xludf.DUMMYFUNCTION("""COMPUTED_VALUE"""),"GV")</f>
        <v>GV</v>
      </c>
      <c r="M137" s="16" t="str">
        <f>IFERROR(__xludf.DUMMYFUNCTION("""COMPUTED_VALUE"""),"short")</f>
        <v>short</v>
      </c>
      <c r="N137" s="18">
        <f>IFERROR(__xludf.DUMMYFUNCTION("""COMPUTED_VALUE"""),45036.0)</f>
        <v>45036</v>
      </c>
      <c r="O137" s="18">
        <f>IFERROR(__xludf.DUMMYFUNCTION("""COMPUTED_VALUE"""),45162.0)</f>
        <v>45162</v>
      </c>
      <c r="P137" s="18">
        <f>IFERROR(__xludf.DUMMYFUNCTION("""COMPUTED_VALUE"""),45204.0)</f>
        <v>45204</v>
      </c>
      <c r="Q137" s="18"/>
      <c r="R137" s="18"/>
      <c r="S137" s="16"/>
      <c r="T137" s="16"/>
      <c r="U137" s="16" t="str">
        <f>IFERROR(__xludf.DUMMYFUNCTION("""COMPUTED_VALUE"""),"Global Classroom")</f>
        <v>Global Classroom</v>
      </c>
      <c r="V137" s="16" t="str">
        <f>IFERROR(__xludf.DUMMYFUNCTION("""COMPUTED_VALUE"""),"École supérieure des sciences et techniques de la santé de Tunis ESSTST")</f>
        <v>École supérieure des sciences et techniques de la santé de Tunis ESSTST</v>
      </c>
      <c r="W137" s="16" t="str">
        <f>IFERROR(__xludf.DUMMYFUNCTION("""COMPUTED_VALUE"""),"2023-04-20T13:01:41Z")</f>
        <v>2023-04-20T13:01:41Z</v>
      </c>
      <c r="X137" s="16"/>
      <c r="Y137" s="16"/>
      <c r="Z137" s="16"/>
    </row>
    <row r="138">
      <c r="A138" s="16" t="str">
        <f>IFERROR(__xludf.DUMMYFUNCTION("""COMPUTED_VALUE"""),"5245414_1288542")</f>
        <v>5245414_1288542</v>
      </c>
      <c r="B138" s="16" t="str">
        <f>IFERROR(__xludf.DUMMYFUNCTION("""COMPUTED_VALUE"""),"Yunus Emre Kayış")</f>
        <v>Yunus Emre Kayış</v>
      </c>
      <c r="C138" s="16" t="str">
        <f>IFERROR(__xludf.DUMMYFUNCTION("""COMPUTED_VALUE"""),"completed")</f>
        <v>completed</v>
      </c>
      <c r="D138" s="16" t="str">
        <f>IFERROR(__xludf.DUMMYFUNCTION("""COMPUTED_VALUE"""),"No")</f>
        <v>No</v>
      </c>
      <c r="E138" s="16" t="str">
        <f>IFERROR(__xludf.DUMMYFUNCTION("""COMPUTED_VALUE"""),"p_1167ab0bedd6701bf55f6a2e2293f5bde49b83cf@inbound.aiesec.org")</f>
        <v>p_1167ab0bedd6701bf55f6a2e2293f5bde49b83cf@inbound.aiesec.org</v>
      </c>
      <c r="F138" s="16">
        <f>IFERROR(__xludf.DUMMYFUNCTION("""COMPUTED_VALUE"""),5.538445394E9)</f>
        <v>5538445394</v>
      </c>
      <c r="G138" s="16" t="str">
        <f>IFERROR(__xludf.DUMMYFUNCTION("""COMPUTED_VALUE"""),"Turkey")</f>
        <v>Turkey</v>
      </c>
      <c r="H138" s="16" t="str">
        <f>IFERROR(__xludf.DUMMYFUNCTION("""COMPUTED_VALUE"""),"ISTANBUL")</f>
        <v>ISTANBUL</v>
      </c>
      <c r="I138" s="16" t="str">
        <f>IFERROR(__xludf.DUMMYFUNCTION("""COMPUTED_VALUE"""),"India")</f>
        <v>India</v>
      </c>
      <c r="J138" s="16" t="str">
        <f>IFERROR(__xludf.DUMMYFUNCTION("""COMPUTED_VALUE"""),"VIT")</f>
        <v>VIT</v>
      </c>
      <c r="K138" s="17" t="str">
        <f>IFERROR(__xludf.DUMMYFUNCTION("""COMPUTED_VALUE"""),"https://expa.aiesec.org/opportunities/1288542")</f>
        <v>https://expa.aiesec.org/opportunities/1288542</v>
      </c>
      <c r="L138" s="16" t="str">
        <f>IFERROR(__xludf.DUMMYFUNCTION("""COMPUTED_VALUE"""),"GTa")</f>
        <v>GTa</v>
      </c>
      <c r="M138" s="16" t="str">
        <f>IFERROR(__xludf.DUMMYFUNCTION("""COMPUTED_VALUE"""),"short")</f>
        <v>short</v>
      </c>
      <c r="N138" s="18">
        <f>IFERROR(__xludf.DUMMYFUNCTION("""COMPUTED_VALUE"""),45036.0)</f>
        <v>45036</v>
      </c>
      <c r="O138" s="18">
        <f>IFERROR(__xludf.DUMMYFUNCTION("""COMPUTED_VALUE"""),45089.0)</f>
        <v>45089</v>
      </c>
      <c r="P138" s="18">
        <f>IFERROR(__xludf.DUMMYFUNCTION("""COMPUTED_VALUE"""),45145.0)</f>
        <v>45145</v>
      </c>
      <c r="Q138" s="18">
        <f>IFERROR(__xludf.DUMMYFUNCTION("""COMPUTED_VALUE"""),45090.0)</f>
        <v>45090</v>
      </c>
      <c r="R138" s="18">
        <f>IFERROR(__xludf.DUMMYFUNCTION("""COMPUTED_VALUE"""),45145.0)</f>
        <v>45145</v>
      </c>
      <c r="S138" s="16"/>
      <c r="T138" s="16" t="str">
        <f>IFERROR(__xludf.DUMMYFUNCTION("""COMPUTED_VALUE"""),"Information Technology")</f>
        <v>Information Technology</v>
      </c>
      <c r="U138" s="16" t="str">
        <f>IFERROR(__xludf.DUMMYFUNCTION("""COMPUTED_VALUE"""),"Research Intern | Machine Learning | In India")</f>
        <v>Research Intern | Machine Learning | In India</v>
      </c>
      <c r="V138" s="16" t="str">
        <f>IFERROR(__xludf.DUMMYFUNCTION("""COMPUTED_VALUE"""),"ISTANBUL - BEYOGLU")</f>
        <v>ISTANBUL - BEYOGLU</v>
      </c>
      <c r="W138" s="16" t="str">
        <f>IFERROR(__xludf.DUMMYFUNCTION("""COMPUTED_VALUE"""),"2023-04-19T14:27:25Z")</f>
        <v>2023-04-19T14:27:25Z</v>
      </c>
      <c r="X138" s="16"/>
      <c r="Y138" s="16"/>
      <c r="Z138" s="16"/>
    </row>
    <row r="139">
      <c r="A139" s="16" t="str">
        <f>IFERROR(__xludf.DUMMYFUNCTION("""COMPUTED_VALUE"""),"5244614_1287602")</f>
        <v>5244614_1287602</v>
      </c>
      <c r="B139" s="16" t="str">
        <f>IFERROR(__xludf.DUMMYFUNCTION("""COMPUTED_VALUE"""),"Türkan Keloğulları")</f>
        <v>Türkan Keloğulları</v>
      </c>
      <c r="C139" s="16" t="str">
        <f>IFERROR(__xludf.DUMMYFUNCTION("""COMPUTED_VALUE"""),"approved")</f>
        <v>approved</v>
      </c>
      <c r="D139" s="16" t="str">
        <f>IFERROR(__xludf.DUMMYFUNCTION("""COMPUTED_VALUE"""),"No")</f>
        <v>No</v>
      </c>
      <c r="E139" s="16" t="str">
        <f>IFERROR(__xludf.DUMMYFUNCTION("""COMPUTED_VALUE"""),"p_2d9e9554321cc7ff6295eb1995e76248bde09a2f@inbound.aiesec.org")</f>
        <v>p_2d9e9554321cc7ff6295eb1995e76248bde09a2f@inbound.aiesec.org</v>
      </c>
      <c r="F139" s="16">
        <f>IFERROR(__xludf.DUMMYFUNCTION("""COMPUTED_VALUE"""),5.435460309E9)</f>
        <v>5435460309</v>
      </c>
      <c r="G139" s="16" t="str">
        <f>IFERROR(__xludf.DUMMYFUNCTION("""COMPUTED_VALUE"""),"Turkey")</f>
        <v>Turkey</v>
      </c>
      <c r="H139" s="16" t="str">
        <f>IFERROR(__xludf.DUMMYFUNCTION("""COMPUTED_VALUE"""),"ISTANBUL")</f>
        <v>ISTANBUL</v>
      </c>
      <c r="I139" s="16" t="str">
        <f>IFERROR(__xludf.DUMMYFUNCTION("""COMPUTED_VALUE"""),"Sri Lanka")</f>
        <v>Sri Lanka</v>
      </c>
      <c r="J139" s="16" t="str">
        <f>IFERROR(__xludf.DUMMYFUNCTION("""COMPUTED_VALUE"""),"COLOMBO NORTH")</f>
        <v>COLOMBO NORTH</v>
      </c>
      <c r="K139" s="17" t="str">
        <f>IFERROR(__xludf.DUMMYFUNCTION("""COMPUTED_VALUE"""),"https://expa.aiesec.org/opportunities/1287602")</f>
        <v>https://expa.aiesec.org/opportunities/1287602</v>
      </c>
      <c r="L139" s="16" t="str">
        <f>IFERROR(__xludf.DUMMYFUNCTION("""COMPUTED_VALUE"""),"GV")</f>
        <v>GV</v>
      </c>
      <c r="M139" s="16" t="str">
        <f>IFERROR(__xludf.DUMMYFUNCTION("""COMPUTED_VALUE"""),"short")</f>
        <v>short</v>
      </c>
      <c r="N139" s="18">
        <f>IFERROR(__xludf.DUMMYFUNCTION("""COMPUTED_VALUE"""),45036.0)</f>
        <v>45036</v>
      </c>
      <c r="O139" s="18">
        <f>IFERROR(__xludf.DUMMYFUNCTION("""COMPUTED_VALUE"""),45151.0)</f>
        <v>45151</v>
      </c>
      <c r="P139" s="18">
        <f>IFERROR(__xludf.DUMMYFUNCTION("""COMPUTED_VALUE"""),45193.0)</f>
        <v>45193</v>
      </c>
      <c r="Q139" s="18"/>
      <c r="R139" s="18"/>
      <c r="S139" s="16"/>
      <c r="T139" s="16"/>
      <c r="U139" s="16" t="str">
        <f>IFERROR(__xludf.DUMMYFUNCTION("""COMPUTED_VALUE"""),"Rooted")</f>
        <v>Rooted</v>
      </c>
      <c r="V139" s="16" t="str">
        <f>IFERROR(__xludf.DUMMYFUNCTION("""COMPUTED_VALUE"""),"ISTANBUL - BEYOGLU")</f>
        <v>ISTANBUL - BEYOGLU</v>
      </c>
      <c r="W139" s="16" t="str">
        <f>IFERROR(__xludf.DUMMYFUNCTION("""COMPUTED_VALUE"""),"2023-04-18T14:09:04Z")</f>
        <v>2023-04-18T14:09:04Z</v>
      </c>
      <c r="X139" s="16"/>
      <c r="Y139" s="16"/>
      <c r="Z139" s="16"/>
    </row>
    <row r="140">
      <c r="A140" s="16" t="str">
        <f>IFERROR(__xludf.DUMMYFUNCTION("""COMPUTED_VALUE"""),"3935958_1285687")</f>
        <v>3935958_1285687</v>
      </c>
      <c r="B140" s="16" t="str">
        <f>IFERROR(__xludf.DUMMYFUNCTION("""COMPUTED_VALUE"""),"Areesha Mansoor")</f>
        <v>Areesha Mansoor</v>
      </c>
      <c r="C140" s="16" t="str">
        <f>IFERROR(__xludf.DUMMYFUNCTION("""COMPUTED_VALUE"""),"approved")</f>
        <v>approved</v>
      </c>
      <c r="D140" s="16" t="str">
        <f>IFERROR(__xludf.DUMMYFUNCTION("""COMPUTED_VALUE"""),"No")</f>
        <v>No</v>
      </c>
      <c r="E140" s="16" t="str">
        <f>IFERROR(__xludf.DUMMYFUNCTION("""COMPUTED_VALUE"""),"p_6098ef6cd2d47143a80478eee42983529b966b53@inbound.aiesec.org")</f>
        <v>p_6098ef6cd2d47143a80478eee42983529b966b53@inbound.aiesec.org</v>
      </c>
      <c r="F140" s="16">
        <f>IFERROR(__xludf.DUMMYFUNCTION("""COMPUTED_VALUE"""),3.3342875E9)</f>
        <v>3334287500</v>
      </c>
      <c r="G140" s="16" t="str">
        <f>IFERROR(__xludf.DUMMYFUNCTION("""COMPUTED_VALUE"""),"Pakistan")</f>
        <v>Pakistan</v>
      </c>
      <c r="H140" s="16" t="str">
        <f>IFERROR(__xludf.DUMMYFUNCTION("""COMPUTED_VALUE"""),"Lahore")</f>
        <v>Lahore</v>
      </c>
      <c r="I140" s="16" t="str">
        <f>IFERROR(__xludf.DUMMYFUNCTION("""COMPUTED_VALUE"""),"Turkey")</f>
        <v>Turkey</v>
      </c>
      <c r="J140" s="16" t="str">
        <f>IFERROR(__xludf.DUMMYFUNCTION("""COMPUTED_VALUE"""),"ISTANBUL")</f>
        <v>ISTANBUL</v>
      </c>
      <c r="K140" s="17" t="str">
        <f>IFERROR(__xludf.DUMMYFUNCTION("""COMPUTED_VALUE"""),"https://expa.aiesec.org/opportunities/1285687")</f>
        <v>https://expa.aiesec.org/opportunities/1285687</v>
      </c>
      <c r="L140" s="16" t="str">
        <f>IFERROR(__xludf.DUMMYFUNCTION("""COMPUTED_VALUE"""),"GV")</f>
        <v>GV</v>
      </c>
      <c r="M140" s="16" t="str">
        <f>IFERROR(__xludf.DUMMYFUNCTION("""COMPUTED_VALUE"""),"short")</f>
        <v>short</v>
      </c>
      <c r="N140" s="18">
        <f>IFERROR(__xludf.DUMMYFUNCTION("""COMPUTED_VALUE"""),45039.0)</f>
        <v>45039</v>
      </c>
      <c r="O140" s="18">
        <f>IFERROR(__xludf.DUMMYFUNCTION("""COMPUTED_VALUE"""),45057.0)</f>
        <v>45057</v>
      </c>
      <c r="P140" s="18">
        <f>IFERROR(__xludf.DUMMYFUNCTION("""COMPUTED_VALUE"""),45099.0)</f>
        <v>45099</v>
      </c>
      <c r="Q140" s="18"/>
      <c r="R140" s="18"/>
      <c r="S140" s="16"/>
      <c r="T140" s="16"/>
      <c r="U140" s="16" t="str">
        <f>IFERROR(__xludf.DUMMYFUNCTION("""COMPUTED_VALUE"""),"Youth 4 Impact")</f>
        <v>Youth 4 Impact</v>
      </c>
      <c r="V140" s="16" t="str">
        <f>IFERROR(__xludf.DUMMYFUNCTION("""COMPUTED_VALUE"""),"Lahore - Other")</f>
        <v>Lahore - Other</v>
      </c>
      <c r="W140" s="16" t="str">
        <f>IFERROR(__xludf.DUMMYFUNCTION("""COMPUTED_VALUE"""),"2019-10-30T07:15:35Z")</f>
        <v>2019-10-30T07:15:35Z</v>
      </c>
      <c r="X140" s="16"/>
      <c r="Y140" s="16"/>
      <c r="Z140" s="16"/>
    </row>
    <row r="141">
      <c r="A141" s="16" t="str">
        <f>IFERROR(__xludf.DUMMYFUNCTION("""COMPUTED_VALUE"""),"5233944_1293284")</f>
        <v>5233944_1293284</v>
      </c>
      <c r="B141" s="16" t="str">
        <f>IFERROR(__xludf.DUMMYFUNCTION("""COMPUTED_VALUE"""),"Elif Gülsüm Karapolat")</f>
        <v>Elif Gülsüm Karapolat</v>
      </c>
      <c r="C141" s="16" t="str">
        <f>IFERROR(__xludf.DUMMYFUNCTION("""COMPUTED_VALUE"""),"approved")</f>
        <v>approved</v>
      </c>
      <c r="D141" s="16" t="str">
        <f>IFERROR(__xludf.DUMMYFUNCTION("""COMPUTED_VALUE"""),"No")</f>
        <v>No</v>
      </c>
      <c r="E141" s="16" t="str">
        <f>IFERROR(__xludf.DUMMYFUNCTION("""COMPUTED_VALUE"""),"p_672556044e01ba0bbfcbed396aea39498ad7608d@inbound.aiesec.org")</f>
        <v>p_672556044e01ba0bbfcbed396aea39498ad7608d@inbound.aiesec.org</v>
      </c>
      <c r="F141" s="16"/>
      <c r="G141" s="16" t="str">
        <f>IFERROR(__xludf.DUMMYFUNCTION("""COMPUTED_VALUE"""),"Turkey")</f>
        <v>Turkey</v>
      </c>
      <c r="H141" s="16" t="str">
        <f>IFERROR(__xludf.DUMMYFUNCTION("""COMPUTED_VALUE"""),"ISTANBUL")</f>
        <v>ISTANBUL</v>
      </c>
      <c r="I141" s="16" t="str">
        <f>IFERROR(__xludf.DUMMYFUNCTION("""COMPUTED_VALUE"""),"Czech Republic")</f>
        <v>Czech Republic</v>
      </c>
      <c r="J141" s="16" t="str">
        <f>IFERROR(__xludf.DUMMYFUNCTION("""COMPUTED_VALUE"""),"PILSEN")</f>
        <v>PILSEN</v>
      </c>
      <c r="K141" s="17" t="str">
        <f>IFERROR(__xludf.DUMMYFUNCTION("""COMPUTED_VALUE"""),"https://expa.aiesec.org/opportunities/1293284")</f>
        <v>https://expa.aiesec.org/opportunities/1293284</v>
      </c>
      <c r="L141" s="16" t="str">
        <f>IFERROR(__xludf.DUMMYFUNCTION("""COMPUTED_VALUE"""),"GV")</f>
        <v>GV</v>
      </c>
      <c r="M141" s="16" t="str">
        <f>IFERROR(__xludf.DUMMYFUNCTION("""COMPUTED_VALUE"""),"short")</f>
        <v>short</v>
      </c>
      <c r="N141" s="18">
        <f>IFERROR(__xludf.DUMMYFUNCTION("""COMPUTED_VALUE"""),45040.0)</f>
        <v>45040</v>
      </c>
      <c r="O141" s="18">
        <f>IFERROR(__xludf.DUMMYFUNCTION("""COMPUTED_VALUE"""),45173.0)</f>
        <v>45173</v>
      </c>
      <c r="P141" s="18">
        <f>IFERROR(__xludf.DUMMYFUNCTION("""COMPUTED_VALUE"""),45215.0)</f>
        <v>45215</v>
      </c>
      <c r="Q141" s="18"/>
      <c r="R141" s="18"/>
      <c r="S141" s="16"/>
      <c r="T141" s="16"/>
      <c r="U141" s="16" t="str">
        <f>IFERROR(__xludf.DUMMYFUNCTION("""COMPUTED_VALUE"""),"Youth 4 Impact")</f>
        <v>Youth 4 Impact</v>
      </c>
      <c r="V141" s="16" t="str">
        <f>IFERROR(__xludf.DUMMYFUNCTION("""COMPUTED_VALUE"""),"-")</f>
        <v>-</v>
      </c>
      <c r="W141" s="16" t="str">
        <f>IFERROR(__xludf.DUMMYFUNCTION("""COMPUTED_VALUE"""),"2023-04-03T11:45:16Z")</f>
        <v>2023-04-03T11:45:16Z</v>
      </c>
      <c r="X141" s="16"/>
      <c r="Y141" s="16"/>
      <c r="Z141" s="16"/>
    </row>
    <row r="142">
      <c r="A142" s="16" t="str">
        <f>IFERROR(__xludf.DUMMYFUNCTION("""COMPUTED_VALUE"""),"5242721_1294310")</f>
        <v>5242721_1294310</v>
      </c>
      <c r="B142" s="16" t="str">
        <f>IFERROR(__xludf.DUMMYFUNCTION("""COMPUTED_VALUE"""),"Liana Delice")</f>
        <v>Liana Delice</v>
      </c>
      <c r="C142" s="16" t="str">
        <f>IFERROR(__xludf.DUMMYFUNCTION("""COMPUTED_VALUE"""),"completed")</f>
        <v>completed</v>
      </c>
      <c r="D142" s="16" t="str">
        <f>IFERROR(__xludf.DUMMYFUNCTION("""COMPUTED_VALUE"""),"No")</f>
        <v>No</v>
      </c>
      <c r="E142" s="16" t="str">
        <f>IFERROR(__xludf.DUMMYFUNCTION("""COMPUTED_VALUE"""),"p_ebd9cd78ac244fd95fb4ac1e8869573244e51dce@inbound.aiesec.org")</f>
        <v>p_ebd9cd78ac244fd95fb4ac1e8869573244e51dce@inbound.aiesec.org</v>
      </c>
      <c r="F142" s="16">
        <f>IFERROR(__xludf.DUMMYFUNCTION("""COMPUTED_VALUE"""),5.44214221E9)</f>
        <v>5442142210</v>
      </c>
      <c r="G142" s="16" t="str">
        <f>IFERROR(__xludf.DUMMYFUNCTION("""COMPUTED_VALUE"""),"Turkey")</f>
        <v>Turkey</v>
      </c>
      <c r="H142" s="16" t="str">
        <f>IFERROR(__xludf.DUMMYFUNCTION("""COMPUTED_VALUE"""),"ISTANBUL")</f>
        <v>ISTANBUL</v>
      </c>
      <c r="I142" s="16" t="str">
        <f>IFERROR(__xludf.DUMMYFUNCTION("""COMPUTED_VALUE"""),"Italy")</f>
        <v>Italy</v>
      </c>
      <c r="J142" s="16" t="str">
        <f>IFERROR(__xludf.DUMMYFUNCTION("""COMPUTED_VALUE"""),"Torino")</f>
        <v>Torino</v>
      </c>
      <c r="K142" s="17" t="str">
        <f>IFERROR(__xludf.DUMMYFUNCTION("""COMPUTED_VALUE"""),"https://expa.aiesec.org/opportunities/1294310")</f>
        <v>https://expa.aiesec.org/opportunities/1294310</v>
      </c>
      <c r="L142" s="16" t="str">
        <f>IFERROR(__xludf.DUMMYFUNCTION("""COMPUTED_VALUE"""),"GV")</f>
        <v>GV</v>
      </c>
      <c r="M142" s="16" t="str">
        <f>IFERROR(__xludf.DUMMYFUNCTION("""COMPUTED_VALUE"""),"short")</f>
        <v>short</v>
      </c>
      <c r="N142" s="18">
        <f>IFERROR(__xludf.DUMMYFUNCTION("""COMPUTED_VALUE"""),45041.0)</f>
        <v>45041</v>
      </c>
      <c r="O142" s="18">
        <f>IFERROR(__xludf.DUMMYFUNCTION("""COMPUTED_VALUE"""),45089.0)</f>
        <v>45089</v>
      </c>
      <c r="P142" s="18">
        <f>IFERROR(__xludf.DUMMYFUNCTION("""COMPUTED_VALUE"""),45131.0)</f>
        <v>45131</v>
      </c>
      <c r="Q142" s="18">
        <f>IFERROR(__xludf.DUMMYFUNCTION("""COMPUTED_VALUE"""),45088.0)</f>
        <v>45088</v>
      </c>
      <c r="R142" s="18">
        <f>IFERROR(__xludf.DUMMYFUNCTION("""COMPUTED_VALUE"""),45131.0)</f>
        <v>45131</v>
      </c>
      <c r="S142" s="16"/>
      <c r="T142" s="16"/>
      <c r="U142" s="16" t="str">
        <f>IFERROR(__xludf.DUMMYFUNCTION("""COMPUTED_VALUE"""),"Raise Your Voice")</f>
        <v>Raise Your Voice</v>
      </c>
      <c r="V142" s="16" t="str">
        <f>IFERROR(__xludf.DUMMYFUNCTION("""COMPUTED_VALUE"""),"ISTANBUL - BEYOGLU")</f>
        <v>ISTANBUL - BEYOGLU</v>
      </c>
      <c r="W142" s="16" t="str">
        <f>IFERROR(__xludf.DUMMYFUNCTION("""COMPUTED_VALUE"""),"2023-04-15T18:41:44Z")</f>
        <v>2023-04-15T18:41:44Z</v>
      </c>
      <c r="X142" s="16"/>
      <c r="Y142" s="16"/>
      <c r="Z142" s="16"/>
    </row>
    <row r="143">
      <c r="A143" s="16" t="str">
        <f>IFERROR(__xludf.DUMMYFUNCTION("""COMPUTED_VALUE"""),"5232172_1294179")</f>
        <v>5232172_1294179</v>
      </c>
      <c r="B143" s="16" t="str">
        <f>IFERROR(__xludf.DUMMYFUNCTION("""COMPUTED_VALUE"""),"kerem kesti")</f>
        <v>kerem kesti</v>
      </c>
      <c r="C143" s="16" t="str">
        <f>IFERROR(__xludf.DUMMYFUNCTION("""COMPUTED_VALUE"""),"completed")</f>
        <v>completed</v>
      </c>
      <c r="D143" s="16" t="str">
        <f>IFERROR(__xludf.DUMMYFUNCTION("""COMPUTED_VALUE"""),"No")</f>
        <v>No</v>
      </c>
      <c r="E143" s="16" t="str">
        <f>IFERROR(__xludf.DUMMYFUNCTION("""COMPUTED_VALUE"""),"p_1f3283d1c3e0dd19f3f8206d83f4e2a11e9d7dc4@inbound.aiesec.org")</f>
        <v>p_1f3283d1c3e0dd19f3f8206d83f4e2a11e9d7dc4@inbound.aiesec.org</v>
      </c>
      <c r="F143" s="16">
        <f>IFERROR(__xludf.DUMMYFUNCTION("""COMPUTED_VALUE"""),5.350242941E9)</f>
        <v>5350242941</v>
      </c>
      <c r="G143" s="16" t="str">
        <f>IFERROR(__xludf.DUMMYFUNCTION("""COMPUTED_VALUE"""),"Turkey")</f>
        <v>Turkey</v>
      </c>
      <c r="H143" s="16" t="str">
        <f>IFERROR(__xludf.DUMMYFUNCTION("""COMPUTED_VALUE"""),"ISTANBUL")</f>
        <v>ISTANBUL</v>
      </c>
      <c r="I143" s="16" t="str">
        <f>IFERROR(__xludf.DUMMYFUNCTION("""COMPUTED_VALUE"""),"Serbia")</f>
        <v>Serbia</v>
      </c>
      <c r="J143" s="16" t="str">
        <f>IFERROR(__xludf.DUMMYFUNCTION("""COMPUTED_VALUE"""),"BELGRADE FON")</f>
        <v>BELGRADE FON</v>
      </c>
      <c r="K143" s="17" t="str">
        <f>IFERROR(__xludf.DUMMYFUNCTION("""COMPUTED_VALUE"""),"https://expa.aiesec.org/opportunities/1294179")</f>
        <v>https://expa.aiesec.org/opportunities/1294179</v>
      </c>
      <c r="L143" s="16" t="str">
        <f>IFERROR(__xludf.DUMMYFUNCTION("""COMPUTED_VALUE"""),"GV")</f>
        <v>GV</v>
      </c>
      <c r="M143" s="16" t="str">
        <f>IFERROR(__xludf.DUMMYFUNCTION("""COMPUTED_VALUE"""),"short")</f>
        <v>short</v>
      </c>
      <c r="N143" s="18">
        <f>IFERROR(__xludf.DUMMYFUNCTION("""COMPUTED_VALUE"""),45041.0)</f>
        <v>45041</v>
      </c>
      <c r="O143" s="18">
        <f>IFERROR(__xludf.DUMMYFUNCTION("""COMPUTED_VALUE"""),45071.0)</f>
        <v>45071</v>
      </c>
      <c r="P143" s="18">
        <f>IFERROR(__xludf.DUMMYFUNCTION("""COMPUTED_VALUE"""),45113.0)</f>
        <v>45113</v>
      </c>
      <c r="Q143" s="18">
        <f>IFERROR(__xludf.DUMMYFUNCTION("""COMPUTED_VALUE"""),45074.0)</f>
        <v>45074</v>
      </c>
      <c r="R143" s="18">
        <f>IFERROR(__xludf.DUMMYFUNCTION("""COMPUTED_VALUE"""),45114.0)</f>
        <v>45114</v>
      </c>
      <c r="S143" s="16"/>
      <c r="T143" s="16"/>
      <c r="U143" s="16" t="str">
        <f>IFERROR(__xludf.DUMMYFUNCTION("""COMPUTED_VALUE"""),"Youth 4 Impact")</f>
        <v>Youth 4 Impact</v>
      </c>
      <c r="V143" s="16" t="str">
        <f>IFERROR(__xludf.DUMMYFUNCTION("""COMPUTED_VALUE"""),"ISTANBUL - BEYOGLU")</f>
        <v>ISTANBUL - BEYOGLU</v>
      </c>
      <c r="W143" s="16" t="str">
        <f>IFERROR(__xludf.DUMMYFUNCTION("""COMPUTED_VALUE"""),"2023-03-31T16:13:02Z")</f>
        <v>2023-03-31T16:13:02Z</v>
      </c>
      <c r="X143" s="16"/>
      <c r="Y143" s="16"/>
      <c r="Z143" s="16"/>
    </row>
    <row r="144">
      <c r="A144" s="16" t="str">
        <f>IFERROR(__xludf.DUMMYFUNCTION("""COMPUTED_VALUE"""),"5231115_1293417")</f>
        <v>5231115_1293417</v>
      </c>
      <c r="B144" s="16" t="str">
        <f>IFERROR(__xludf.DUMMYFUNCTION("""COMPUTED_VALUE"""),"MÓNICA lopes")</f>
        <v>MÓNICA lopes</v>
      </c>
      <c r="C144" s="16" t="str">
        <f>IFERROR(__xludf.DUMMYFUNCTION("""COMPUTED_VALUE"""),"completed")</f>
        <v>completed</v>
      </c>
      <c r="D144" s="16" t="str">
        <f>IFERROR(__xludf.DUMMYFUNCTION("""COMPUTED_VALUE"""),"No")</f>
        <v>No</v>
      </c>
      <c r="E144" s="16" t="str">
        <f>IFERROR(__xludf.DUMMYFUNCTION("""COMPUTED_VALUE"""),"p_31bb13e2dea5661417f5263447eff9c573294b7d@inbound.aiesec.org")</f>
        <v>p_31bb13e2dea5661417f5263447eff9c573294b7d@inbound.aiesec.org</v>
      </c>
      <c r="F144" s="16">
        <f>IFERROR(__xludf.DUMMYFUNCTION("""COMPUTED_VALUE"""),9.36745393E8)</f>
        <v>936745393</v>
      </c>
      <c r="G144" s="16" t="str">
        <f>IFERROR(__xludf.DUMMYFUNCTION("""COMPUTED_VALUE"""),"Portugal")</f>
        <v>Portugal</v>
      </c>
      <c r="H144" s="16" t="str">
        <f>IFERROR(__xludf.DUMMYFUNCTION("""COMPUTED_VALUE"""),"PORTO FEP")</f>
        <v>PORTO FEP</v>
      </c>
      <c r="I144" s="16" t="str">
        <f>IFERROR(__xludf.DUMMYFUNCTION("""COMPUTED_VALUE"""),"Turkey")</f>
        <v>Turkey</v>
      </c>
      <c r="J144" s="16" t="str">
        <f>IFERROR(__xludf.DUMMYFUNCTION("""COMPUTED_VALUE"""),"ISTANBUL")</f>
        <v>ISTANBUL</v>
      </c>
      <c r="K144" s="17" t="str">
        <f>IFERROR(__xludf.DUMMYFUNCTION("""COMPUTED_VALUE"""),"https://expa.aiesec.org/opportunities/1293417")</f>
        <v>https://expa.aiesec.org/opportunities/1293417</v>
      </c>
      <c r="L144" s="16" t="str">
        <f>IFERROR(__xludf.DUMMYFUNCTION("""COMPUTED_VALUE"""),"GV")</f>
        <v>GV</v>
      </c>
      <c r="M144" s="16" t="str">
        <f>IFERROR(__xludf.DUMMYFUNCTION("""COMPUTED_VALUE"""),"short")</f>
        <v>short</v>
      </c>
      <c r="N144" s="18">
        <f>IFERROR(__xludf.DUMMYFUNCTION("""COMPUTED_VALUE"""),45041.0)</f>
        <v>45041</v>
      </c>
      <c r="O144" s="18">
        <f>IFERROR(__xludf.DUMMYFUNCTION("""COMPUTED_VALUE"""),45133.0)</f>
        <v>45133</v>
      </c>
      <c r="P144" s="18">
        <f>IFERROR(__xludf.DUMMYFUNCTION("""COMPUTED_VALUE"""),45175.0)</f>
        <v>45175</v>
      </c>
      <c r="Q144" s="18">
        <f>IFERROR(__xludf.DUMMYFUNCTION("""COMPUTED_VALUE"""),45133.0)</f>
        <v>45133</v>
      </c>
      <c r="R144" s="18">
        <f>IFERROR(__xludf.DUMMYFUNCTION("""COMPUTED_VALUE"""),45175.0)</f>
        <v>45175</v>
      </c>
      <c r="S144" s="16"/>
      <c r="T144" s="16"/>
      <c r="U144" s="16" t="str">
        <f>IFERROR(__xludf.DUMMYFUNCTION("""COMPUTED_VALUE"""),"Global Classroom")</f>
        <v>Global Classroom</v>
      </c>
      <c r="V144" s="16" t="str">
        <f>IFERROR(__xludf.DUMMYFUNCTION("""COMPUTED_VALUE"""),"Universidade Portucalense (UPT)")</f>
        <v>Universidade Portucalense (UPT)</v>
      </c>
      <c r="W144" s="16" t="str">
        <f>IFERROR(__xludf.DUMMYFUNCTION("""COMPUTED_VALUE"""),"2023-03-30T15:08:14Z")</f>
        <v>2023-03-30T15:08:14Z</v>
      </c>
      <c r="X144" s="16"/>
      <c r="Y144" s="16"/>
      <c r="Z144" s="16"/>
    </row>
    <row r="145">
      <c r="A145" s="16" t="str">
        <f>IFERROR(__xludf.DUMMYFUNCTION("""COMPUTED_VALUE"""),"5248977_1294522")</f>
        <v>5248977_1294522</v>
      </c>
      <c r="B145" s="16" t="str">
        <f>IFERROR(__xludf.DUMMYFUNCTION("""COMPUTED_VALUE"""),"Simge Küçükköse")</f>
        <v>Simge Küçükköse</v>
      </c>
      <c r="C145" s="16" t="str">
        <f>IFERROR(__xludf.DUMMYFUNCTION("""COMPUTED_VALUE"""),"completed")</f>
        <v>completed</v>
      </c>
      <c r="D145" s="16" t="str">
        <f>IFERROR(__xludf.DUMMYFUNCTION("""COMPUTED_VALUE"""),"No")</f>
        <v>No</v>
      </c>
      <c r="E145" s="16" t="str">
        <f>IFERROR(__xludf.DUMMYFUNCTION("""COMPUTED_VALUE"""),"p_2811a3cc81d3aa595192d28236c0fff5e20afd9a@inbound.aiesec.org")</f>
        <v>p_2811a3cc81d3aa595192d28236c0fff5e20afd9a@inbound.aiesec.org</v>
      </c>
      <c r="F145" s="16">
        <f>IFERROR(__xludf.DUMMYFUNCTION("""COMPUTED_VALUE"""),5.524534492E9)</f>
        <v>5524534492</v>
      </c>
      <c r="G145" s="16" t="str">
        <f>IFERROR(__xludf.DUMMYFUNCTION("""COMPUTED_VALUE"""),"Turkey")</f>
        <v>Turkey</v>
      </c>
      <c r="H145" s="16" t="str">
        <f>IFERROR(__xludf.DUMMYFUNCTION("""COMPUTED_VALUE"""),"ISTANBUL")</f>
        <v>ISTANBUL</v>
      </c>
      <c r="I145" s="16" t="str">
        <f>IFERROR(__xludf.DUMMYFUNCTION("""COMPUTED_VALUE"""),"Egypt")</f>
        <v>Egypt</v>
      </c>
      <c r="J145" s="16" t="str">
        <f>IFERROR(__xludf.DUMMYFUNCTION("""COMPUTED_VALUE"""),"GUC")</f>
        <v>GUC</v>
      </c>
      <c r="K145" s="17" t="str">
        <f>IFERROR(__xludf.DUMMYFUNCTION("""COMPUTED_VALUE"""),"https://expa.aiesec.org/opportunities/1294522")</f>
        <v>https://expa.aiesec.org/opportunities/1294522</v>
      </c>
      <c r="L145" s="16" t="str">
        <f>IFERROR(__xludf.DUMMYFUNCTION("""COMPUTED_VALUE"""),"GV")</f>
        <v>GV</v>
      </c>
      <c r="M145" s="16" t="str">
        <f>IFERROR(__xludf.DUMMYFUNCTION("""COMPUTED_VALUE"""),"short")</f>
        <v>short</v>
      </c>
      <c r="N145" s="18">
        <f>IFERROR(__xludf.DUMMYFUNCTION("""COMPUTED_VALUE"""),45042.0)</f>
        <v>45042</v>
      </c>
      <c r="O145" s="18">
        <f>IFERROR(__xludf.DUMMYFUNCTION("""COMPUTED_VALUE"""),45122.0)</f>
        <v>45122</v>
      </c>
      <c r="P145" s="18">
        <f>IFERROR(__xludf.DUMMYFUNCTION("""COMPUTED_VALUE"""),45164.0)</f>
        <v>45164</v>
      </c>
      <c r="Q145" s="18">
        <f>IFERROR(__xludf.DUMMYFUNCTION("""COMPUTED_VALUE"""),45122.0)</f>
        <v>45122</v>
      </c>
      <c r="R145" s="18">
        <f>IFERROR(__xludf.DUMMYFUNCTION("""COMPUTED_VALUE"""),45164.0)</f>
        <v>45164</v>
      </c>
      <c r="S145" s="16"/>
      <c r="T145" s="16"/>
      <c r="U145" s="16" t="str">
        <f>IFERROR(__xludf.DUMMYFUNCTION("""COMPUTED_VALUE"""),"Global Classroom")</f>
        <v>Global Classroom</v>
      </c>
      <c r="V145" s="16" t="str">
        <f>IFERROR(__xludf.DUMMYFUNCTION("""COMPUTED_VALUE"""),"ISTANBUL - BEYOGLU")</f>
        <v>ISTANBUL - BEYOGLU</v>
      </c>
      <c r="W145" s="16" t="str">
        <f>IFERROR(__xludf.DUMMYFUNCTION("""COMPUTED_VALUE"""),"2023-04-25T11:37:43Z")</f>
        <v>2023-04-25T11:37:43Z</v>
      </c>
      <c r="X145" s="16"/>
      <c r="Y145" s="16"/>
      <c r="Z145" s="16"/>
    </row>
    <row r="146">
      <c r="A146" s="16" t="str">
        <f>IFERROR(__xludf.DUMMYFUNCTION("""COMPUTED_VALUE"""),"3851026_1291783")</f>
        <v>3851026_1291783</v>
      </c>
      <c r="B146" s="16" t="str">
        <f>IFERROR(__xludf.DUMMYFUNCTION("""COMPUTED_VALUE"""),"Abdelrhman Aly")</f>
        <v>Abdelrhman Aly</v>
      </c>
      <c r="C146" s="16" t="str">
        <f>IFERROR(__xludf.DUMMYFUNCTION("""COMPUTED_VALUE"""),"realized")</f>
        <v>realized</v>
      </c>
      <c r="D146" s="16" t="str">
        <f>IFERROR(__xludf.DUMMYFUNCTION("""COMPUTED_VALUE"""),"No")</f>
        <v>No</v>
      </c>
      <c r="E146" s="16" t="str">
        <f>IFERROR(__xludf.DUMMYFUNCTION("""COMPUTED_VALUE"""),"p_8446084caa9c4a6cb24fe65e7d608498537e503b@inbound.aiesec.org")</f>
        <v>p_8446084caa9c4a6cb24fe65e7d608498537e503b@inbound.aiesec.org</v>
      </c>
      <c r="F146" s="16">
        <f>IFERROR(__xludf.DUMMYFUNCTION("""COMPUTED_VALUE"""),1.008389357E9)</f>
        <v>1008389357</v>
      </c>
      <c r="G146" s="16" t="str">
        <f>IFERROR(__xludf.DUMMYFUNCTION("""COMPUTED_VALUE"""),"Egypt")</f>
        <v>Egypt</v>
      </c>
      <c r="H146" s="16" t="str">
        <f>IFERROR(__xludf.DUMMYFUNCTION("""COMPUTED_VALUE"""),"Alexandria")</f>
        <v>Alexandria</v>
      </c>
      <c r="I146" s="16" t="str">
        <f>IFERROR(__xludf.DUMMYFUNCTION("""COMPUTED_VALUE"""),"Turkey")</f>
        <v>Turkey</v>
      </c>
      <c r="J146" s="16" t="str">
        <f>IFERROR(__xludf.DUMMYFUNCTION("""COMPUTED_VALUE"""),"ISTANBUL")</f>
        <v>ISTANBUL</v>
      </c>
      <c r="K146" s="17" t="str">
        <f>IFERROR(__xludf.DUMMYFUNCTION("""COMPUTED_VALUE"""),"https://expa.aiesec.org/opportunities/1291783")</f>
        <v>https://expa.aiesec.org/opportunities/1291783</v>
      </c>
      <c r="L146" s="16" t="str">
        <f>IFERROR(__xludf.DUMMYFUNCTION("""COMPUTED_VALUE"""),"GTa")</f>
        <v>GTa</v>
      </c>
      <c r="M146" s="16" t="str">
        <f>IFERROR(__xludf.DUMMYFUNCTION("""COMPUTED_VALUE"""),"long")</f>
        <v>long</v>
      </c>
      <c r="N146" s="18">
        <f>IFERROR(__xludf.DUMMYFUNCTION("""COMPUTED_VALUE"""),45043.0)</f>
        <v>45043</v>
      </c>
      <c r="O146" s="18">
        <f>IFERROR(__xludf.DUMMYFUNCTION("""COMPUTED_VALUE"""),45096.0)</f>
        <v>45096</v>
      </c>
      <c r="P146" s="18">
        <f>IFERROR(__xludf.DUMMYFUNCTION("""COMPUTED_VALUE"""),45464.0)</f>
        <v>45464</v>
      </c>
      <c r="Q146" s="18">
        <f>IFERROR(__xludf.DUMMYFUNCTION("""COMPUTED_VALUE"""),45146.0)</f>
        <v>45146</v>
      </c>
      <c r="R146" s="18">
        <f>IFERROR(__xludf.DUMMYFUNCTION("""COMPUTED_VALUE"""),45514.0)</f>
        <v>45514</v>
      </c>
      <c r="S146" s="16"/>
      <c r="T146" s="16" t="str">
        <f>IFERROR(__xludf.DUMMYFUNCTION("""COMPUTED_VALUE"""),"Business Administration")</f>
        <v>Business Administration</v>
      </c>
      <c r="U146" s="16" t="str">
        <f>IFERROR(__xludf.DUMMYFUNCTION("""COMPUTED_VALUE"""),"Telesales Internship in Istanbul")</f>
        <v>Telesales Internship in Istanbul</v>
      </c>
      <c r="V146" s="16" t="str">
        <f>IFERROR(__xludf.DUMMYFUNCTION("""COMPUTED_VALUE"""),"-")</f>
        <v>-</v>
      </c>
      <c r="W146" s="16" t="str">
        <f>IFERROR(__xludf.DUMMYFUNCTION("""COMPUTED_VALUE"""),"2019-09-24T10:32:03Z")</f>
        <v>2019-09-24T10:32:03Z</v>
      </c>
      <c r="X146" s="16"/>
      <c r="Y146" s="16"/>
      <c r="Z146" s="16"/>
    </row>
    <row r="147">
      <c r="A147" s="16" t="str">
        <f>IFERROR(__xludf.DUMMYFUNCTION("""COMPUTED_VALUE"""),"4317985_1293918")</f>
        <v>4317985_1293918</v>
      </c>
      <c r="B147" s="16" t="str">
        <f>IFERROR(__xludf.DUMMYFUNCTION("""COMPUTED_VALUE"""),"Mehmet Can Tengiroglu")</f>
        <v>Mehmet Can Tengiroglu</v>
      </c>
      <c r="C147" s="16" t="str">
        <f>IFERROR(__xludf.DUMMYFUNCTION("""COMPUTED_VALUE"""),"finished")</f>
        <v>finished</v>
      </c>
      <c r="D147" s="16" t="str">
        <f>IFERROR(__xludf.DUMMYFUNCTION("""COMPUTED_VALUE"""),"No")</f>
        <v>No</v>
      </c>
      <c r="E147" s="16" t="str">
        <f>IFERROR(__xludf.DUMMYFUNCTION("""COMPUTED_VALUE"""),"p_5f715097c1326604c64c550aa695ede5477ec407@inbound.aiesec.org")</f>
        <v>p_5f715097c1326604c64c550aa695ede5477ec407@inbound.aiesec.org</v>
      </c>
      <c r="F147" s="16">
        <f>IFERROR(__xludf.DUMMYFUNCTION("""COMPUTED_VALUE"""),5.330910311E9)</f>
        <v>5330910311</v>
      </c>
      <c r="G147" s="16" t="str">
        <f>IFERROR(__xludf.DUMMYFUNCTION("""COMPUTED_VALUE"""),"Turkey")</f>
        <v>Turkey</v>
      </c>
      <c r="H147" s="16" t="str">
        <f>IFERROR(__xludf.DUMMYFUNCTION("""COMPUTED_VALUE"""),"ISTANBUL")</f>
        <v>ISTANBUL</v>
      </c>
      <c r="I147" s="16" t="str">
        <f>IFERROR(__xludf.DUMMYFUNCTION("""COMPUTED_VALUE"""),"Slovakia")</f>
        <v>Slovakia</v>
      </c>
      <c r="J147" s="16" t="str">
        <f>IFERROR(__xludf.DUMMYFUNCTION("""COMPUTED_VALUE"""),"Comenius University")</f>
        <v>Comenius University</v>
      </c>
      <c r="K147" s="17" t="str">
        <f>IFERROR(__xludf.DUMMYFUNCTION("""COMPUTED_VALUE"""),"https://expa.aiesec.org/opportunities/1293918")</f>
        <v>https://expa.aiesec.org/opportunities/1293918</v>
      </c>
      <c r="L147" s="16" t="str">
        <f>IFERROR(__xludf.DUMMYFUNCTION("""COMPUTED_VALUE"""),"GV")</f>
        <v>GV</v>
      </c>
      <c r="M147" s="16" t="str">
        <f>IFERROR(__xludf.DUMMYFUNCTION("""COMPUTED_VALUE"""),"short")</f>
        <v>short</v>
      </c>
      <c r="N147" s="18">
        <f>IFERROR(__xludf.DUMMYFUNCTION("""COMPUTED_VALUE"""),45043.0)</f>
        <v>45043</v>
      </c>
      <c r="O147" s="18">
        <f>IFERROR(__xludf.DUMMYFUNCTION("""COMPUTED_VALUE"""),45061.0)</f>
        <v>45061</v>
      </c>
      <c r="P147" s="18">
        <f>IFERROR(__xludf.DUMMYFUNCTION("""COMPUTED_VALUE"""),45103.0)</f>
        <v>45103</v>
      </c>
      <c r="Q147" s="18">
        <f>IFERROR(__xludf.DUMMYFUNCTION("""COMPUTED_VALUE"""),45061.0)</f>
        <v>45061</v>
      </c>
      <c r="R147" s="18">
        <f>IFERROR(__xludf.DUMMYFUNCTION("""COMPUTED_VALUE"""),45103.0)</f>
        <v>45103</v>
      </c>
      <c r="S147" s="16"/>
      <c r="T147" s="16"/>
      <c r="U147" s="16" t="str">
        <f>IFERROR(__xludf.DUMMYFUNCTION("""COMPUTED_VALUE"""),"Youth 4 Impact")</f>
        <v>Youth 4 Impact</v>
      </c>
      <c r="V147" s="16" t="str">
        <f>IFERROR(__xludf.DUMMYFUNCTION("""COMPUTED_VALUE"""),"ISTANBUL - BEYOGLU")</f>
        <v>ISTANBUL - BEYOGLU</v>
      </c>
      <c r="W147" s="16" t="str">
        <f>IFERROR(__xludf.DUMMYFUNCTION("""COMPUTED_VALUE"""),"2020-06-26T13:09:07Z")</f>
        <v>2020-06-26T13:09:07Z</v>
      </c>
      <c r="X147" s="16"/>
      <c r="Y147" s="16"/>
      <c r="Z147" s="16"/>
    </row>
    <row r="148">
      <c r="A148" s="16" t="str">
        <f>IFERROR(__xludf.DUMMYFUNCTION("""COMPUTED_VALUE"""),"5251982_1288611")</f>
        <v>5251982_1288611</v>
      </c>
      <c r="B148" s="16" t="str">
        <f>IFERROR(__xludf.DUMMYFUNCTION("""COMPUTED_VALUE"""),"Zayneb Tebourski")</f>
        <v>Zayneb Tebourski</v>
      </c>
      <c r="C148" s="16" t="str">
        <f>IFERROR(__xludf.DUMMYFUNCTION("""COMPUTED_VALUE"""),"approved")</f>
        <v>approved</v>
      </c>
      <c r="D148" s="16" t="str">
        <f>IFERROR(__xludf.DUMMYFUNCTION("""COMPUTED_VALUE"""),"No")</f>
        <v>No</v>
      </c>
      <c r="E148" s="16" t="str">
        <f>IFERROR(__xludf.DUMMYFUNCTION("""COMPUTED_VALUE"""),"p_d2fcc61ee9a48b11bf521bc8035dcfca391f00d8@inbound.aiesec.org")</f>
        <v>p_d2fcc61ee9a48b11bf521bc8035dcfca391f00d8@inbound.aiesec.org</v>
      </c>
      <c r="F148" s="16">
        <f>IFERROR(__xludf.DUMMYFUNCTION("""COMPUTED_VALUE"""),5.4224542E7)</f>
        <v>54224542</v>
      </c>
      <c r="G148" s="16" t="str">
        <f>IFERROR(__xludf.DUMMYFUNCTION("""COMPUTED_VALUE"""),"Tunisia")</f>
        <v>Tunisia</v>
      </c>
      <c r="H148" s="16" t="str">
        <f>IFERROR(__xludf.DUMMYFUNCTION("""COMPUTED_VALUE"""),"Carthage")</f>
        <v>Carthage</v>
      </c>
      <c r="I148" s="16" t="str">
        <f>IFERROR(__xludf.DUMMYFUNCTION("""COMPUTED_VALUE"""),"Turkey")</f>
        <v>Turkey</v>
      </c>
      <c r="J148" s="16" t="str">
        <f>IFERROR(__xludf.DUMMYFUNCTION("""COMPUTED_VALUE"""),"ISTANBUL")</f>
        <v>ISTANBUL</v>
      </c>
      <c r="K148" s="17" t="str">
        <f>IFERROR(__xludf.DUMMYFUNCTION("""COMPUTED_VALUE"""),"https://expa.aiesec.org/opportunities/1288611")</f>
        <v>https://expa.aiesec.org/opportunities/1288611</v>
      </c>
      <c r="L148" s="16" t="str">
        <f>IFERROR(__xludf.DUMMYFUNCTION("""COMPUTED_VALUE"""),"GV")</f>
        <v>GV</v>
      </c>
      <c r="M148" s="16" t="str">
        <f>IFERROR(__xludf.DUMMYFUNCTION("""COMPUTED_VALUE"""),"short")</f>
        <v>short</v>
      </c>
      <c r="N148" s="18">
        <f>IFERROR(__xludf.DUMMYFUNCTION("""COMPUTED_VALUE"""),45044.0)</f>
        <v>45044</v>
      </c>
      <c r="O148" s="18">
        <f>IFERROR(__xludf.DUMMYFUNCTION("""COMPUTED_VALUE"""),45181.0)</f>
        <v>45181</v>
      </c>
      <c r="P148" s="18">
        <f>IFERROR(__xludf.DUMMYFUNCTION("""COMPUTED_VALUE"""),45223.0)</f>
        <v>45223</v>
      </c>
      <c r="Q148" s="18"/>
      <c r="R148" s="18"/>
      <c r="S148" s="16"/>
      <c r="T148" s="16"/>
      <c r="U148" s="16" t="str">
        <f>IFERROR(__xludf.DUMMYFUNCTION("""COMPUTED_VALUE"""),"Global Classroom")</f>
        <v>Global Classroom</v>
      </c>
      <c r="V148" s="16" t="str">
        <f>IFERROR(__xludf.DUMMYFUNCTION("""COMPUTED_VALUE"""),"IHEC Carthage")</f>
        <v>IHEC Carthage</v>
      </c>
      <c r="W148" s="16" t="str">
        <f>IFERROR(__xludf.DUMMYFUNCTION("""COMPUTED_VALUE"""),"2023-04-28T16:30:14Z")</f>
        <v>2023-04-28T16:30:14Z</v>
      </c>
      <c r="X148" s="16"/>
      <c r="Y148" s="16"/>
      <c r="Z148" s="16"/>
    </row>
    <row r="149">
      <c r="A149" s="16" t="str">
        <f>IFERROR(__xludf.DUMMYFUNCTION("""COMPUTED_VALUE"""),"5213404_1285555")</f>
        <v>5213404_1285555</v>
      </c>
      <c r="B149" s="16" t="str">
        <f>IFERROR(__xludf.DUMMYFUNCTION("""COMPUTED_VALUE"""),"Kenza Jabouk")</f>
        <v>Kenza Jabouk</v>
      </c>
      <c r="C149" s="16" t="str">
        <f>IFERROR(__xludf.DUMMYFUNCTION("""COMPUTED_VALUE"""),"realized")</f>
        <v>realized</v>
      </c>
      <c r="D149" s="16" t="str">
        <f>IFERROR(__xludf.DUMMYFUNCTION("""COMPUTED_VALUE"""),"No")</f>
        <v>No</v>
      </c>
      <c r="E149" s="16" t="str">
        <f>IFERROR(__xludf.DUMMYFUNCTION("""COMPUTED_VALUE"""),"p_8ddb463910dca9961fb55d0588d3863be94a09a0@inbound.aiesec.org")</f>
        <v>p_8ddb463910dca9961fb55d0588d3863be94a09a0@inbound.aiesec.org</v>
      </c>
      <c r="F149" s="16">
        <f>IFERROR(__xludf.DUMMYFUNCTION("""COMPUTED_VALUE"""),6.52148321E8)</f>
        <v>652148321</v>
      </c>
      <c r="G149" s="16" t="str">
        <f>IFERROR(__xludf.DUMMYFUNCTION("""COMPUTED_VALUE"""),"Morocco")</f>
        <v>Morocco</v>
      </c>
      <c r="H149" s="16" t="str">
        <f>IFERROR(__xludf.DUMMYFUNCTION("""COMPUTED_VALUE"""),"Morocco (MC)")</f>
        <v>Morocco (MC)</v>
      </c>
      <c r="I149" s="16" t="str">
        <f>IFERROR(__xludf.DUMMYFUNCTION("""COMPUTED_VALUE"""),"Turkey")</f>
        <v>Turkey</v>
      </c>
      <c r="J149" s="16" t="str">
        <f>IFERROR(__xludf.DUMMYFUNCTION("""COMPUTED_VALUE"""),"ISTANBUL")</f>
        <v>ISTANBUL</v>
      </c>
      <c r="K149" s="17" t="str">
        <f>IFERROR(__xludf.DUMMYFUNCTION("""COMPUTED_VALUE"""),"https://expa.aiesec.org/opportunities/1285555")</f>
        <v>https://expa.aiesec.org/opportunities/1285555</v>
      </c>
      <c r="L149" s="16" t="str">
        <f>IFERROR(__xludf.DUMMYFUNCTION("""COMPUTED_VALUE"""),"GTa")</f>
        <v>GTa</v>
      </c>
      <c r="M149" s="16" t="str">
        <f>IFERROR(__xludf.DUMMYFUNCTION("""COMPUTED_VALUE"""),"long")</f>
        <v>long</v>
      </c>
      <c r="N149" s="18">
        <f>IFERROR(__xludf.DUMMYFUNCTION("""COMPUTED_VALUE"""),45045.0)</f>
        <v>45045</v>
      </c>
      <c r="O149" s="18">
        <f>IFERROR(__xludf.DUMMYFUNCTION("""COMPUTED_VALUE"""),45026.0)</f>
        <v>45026</v>
      </c>
      <c r="P149" s="18">
        <f>IFERROR(__xludf.DUMMYFUNCTION("""COMPUTED_VALUE"""),45394.0)</f>
        <v>45394</v>
      </c>
      <c r="Q149" s="18">
        <f>IFERROR(__xludf.DUMMYFUNCTION("""COMPUTED_VALUE"""),45084.0)</f>
        <v>45084</v>
      </c>
      <c r="R149" s="18">
        <f>IFERROR(__xludf.DUMMYFUNCTION("""COMPUTED_VALUE"""),45452.0)</f>
        <v>45452</v>
      </c>
      <c r="S149" s="16"/>
      <c r="T149" s="16" t="str">
        <f>IFERROR(__xludf.DUMMYFUNCTION("""COMPUTED_VALUE"""),"Business Administration")</f>
        <v>Business Administration</v>
      </c>
      <c r="U149" s="16" t="str">
        <f>IFERROR(__xludf.DUMMYFUNCTION("""COMPUTED_VALUE"""),"Customer Support Junior Specialist")</f>
        <v>Customer Support Junior Specialist</v>
      </c>
      <c r="V149" s="16" t="str">
        <f>IFERROR(__xludf.DUMMYFUNCTION("""COMPUTED_VALUE"""),"ISTAH Marrakech")</f>
        <v>ISTAH Marrakech</v>
      </c>
      <c r="W149" s="16" t="str">
        <f>IFERROR(__xludf.DUMMYFUNCTION("""COMPUTED_VALUE"""),"2023-03-11T21:52:00Z")</f>
        <v>2023-03-11T21:52:00Z</v>
      </c>
      <c r="X149" s="16"/>
      <c r="Y149" s="16"/>
      <c r="Z149" s="16"/>
    </row>
    <row r="150">
      <c r="A150" s="16" t="str">
        <f>IFERROR(__xludf.DUMMYFUNCTION("""COMPUTED_VALUE"""),"5253152_1290024")</f>
        <v>5253152_1290024</v>
      </c>
      <c r="B150" s="16" t="str">
        <f>IFERROR(__xludf.DUMMYFUNCTION("""COMPUTED_VALUE"""),"Hakan Güner")</f>
        <v>Hakan Güner</v>
      </c>
      <c r="C150" s="16" t="str">
        <f>IFERROR(__xludf.DUMMYFUNCTION("""COMPUTED_VALUE"""),"approved")</f>
        <v>approved</v>
      </c>
      <c r="D150" s="16" t="str">
        <f>IFERROR(__xludf.DUMMYFUNCTION("""COMPUTED_VALUE"""),"No")</f>
        <v>No</v>
      </c>
      <c r="E150" s="16" t="str">
        <f>IFERROR(__xludf.DUMMYFUNCTION("""COMPUTED_VALUE"""),"p_324be67163fc5c48e3d7c243608af77fc3165627@inbound.aiesec.org")</f>
        <v>p_324be67163fc5c48e3d7c243608af77fc3165627@inbound.aiesec.org</v>
      </c>
      <c r="F150" s="16"/>
      <c r="G150" s="16" t="str">
        <f>IFERROR(__xludf.DUMMYFUNCTION("""COMPUTED_VALUE"""),"Turkey")</f>
        <v>Turkey</v>
      </c>
      <c r="H150" s="16" t="str">
        <f>IFERROR(__xludf.DUMMYFUNCTION("""COMPUTED_VALUE"""),"ISTANBUL")</f>
        <v>ISTANBUL</v>
      </c>
      <c r="I150" s="16" t="str">
        <f>IFERROR(__xludf.DUMMYFUNCTION("""COMPUTED_VALUE"""),"Egypt")</f>
        <v>Egypt</v>
      </c>
      <c r="J150" s="16" t="str">
        <f>IFERROR(__xludf.DUMMYFUNCTION("""COMPUTED_VALUE"""),"Ain Shams University")</f>
        <v>Ain Shams University</v>
      </c>
      <c r="K150" s="17" t="str">
        <f>IFERROR(__xludf.DUMMYFUNCTION("""COMPUTED_VALUE"""),"https://expa.aiesec.org/opportunities/1290024")</f>
        <v>https://expa.aiesec.org/opportunities/1290024</v>
      </c>
      <c r="L150" s="16" t="str">
        <f>IFERROR(__xludf.DUMMYFUNCTION("""COMPUTED_VALUE"""),"GV")</f>
        <v>GV</v>
      </c>
      <c r="M150" s="16" t="str">
        <f>IFERROR(__xludf.DUMMYFUNCTION("""COMPUTED_VALUE"""),"short")</f>
        <v>short</v>
      </c>
      <c r="N150" s="18">
        <f>IFERROR(__xludf.DUMMYFUNCTION("""COMPUTED_VALUE"""),45047.0)</f>
        <v>45047</v>
      </c>
      <c r="O150" s="18">
        <f>IFERROR(__xludf.DUMMYFUNCTION("""COMPUTED_VALUE"""),45170.0)</f>
        <v>45170</v>
      </c>
      <c r="P150" s="18">
        <f>IFERROR(__xludf.DUMMYFUNCTION("""COMPUTED_VALUE"""),45212.0)</f>
        <v>45212</v>
      </c>
      <c r="Q150" s="18"/>
      <c r="R150" s="18"/>
      <c r="S150" s="16"/>
      <c r="T150" s="16"/>
      <c r="U150" s="16" t="str">
        <f>IFERROR(__xludf.DUMMYFUNCTION("""COMPUTED_VALUE"""),"On The Map")</f>
        <v>On The Map</v>
      </c>
      <c r="V150" s="16" t="str">
        <f>IFERROR(__xludf.DUMMYFUNCTION("""COMPUTED_VALUE"""),"-")</f>
        <v>-</v>
      </c>
      <c r="W150" s="16" t="str">
        <f>IFERROR(__xludf.DUMMYFUNCTION("""COMPUTED_VALUE"""),"2023-04-30T14:24:06Z")</f>
        <v>2023-04-30T14:24:06Z</v>
      </c>
      <c r="X150" s="16"/>
      <c r="Y150" s="16"/>
      <c r="Z150" s="16"/>
    </row>
    <row r="151">
      <c r="A151" s="16" t="str">
        <f>IFERROR(__xludf.DUMMYFUNCTION("""COMPUTED_VALUE"""),"5252585_1289378")</f>
        <v>5252585_1289378</v>
      </c>
      <c r="B151" s="16" t="str">
        <f>IFERROR(__xludf.DUMMYFUNCTION("""COMPUTED_VALUE"""),"Mohamed Tita")</f>
        <v>Mohamed Tita</v>
      </c>
      <c r="C151" s="16" t="str">
        <f>IFERROR(__xludf.DUMMYFUNCTION("""COMPUTED_VALUE"""),"realized")</f>
        <v>realized</v>
      </c>
      <c r="D151" s="16" t="str">
        <f>IFERROR(__xludf.DUMMYFUNCTION("""COMPUTED_VALUE"""),"No")</f>
        <v>No</v>
      </c>
      <c r="E151" s="16" t="str">
        <f>IFERROR(__xludf.DUMMYFUNCTION("""COMPUTED_VALUE"""),"p_2110bc5d14b392c61c8878ea677beb111c84c20a@inbound.aiesec.org")</f>
        <v>p_2110bc5d14b392c61c8878ea677beb111c84c20a@inbound.aiesec.org</v>
      </c>
      <c r="F151" s="16">
        <f>IFERROR(__xludf.DUMMYFUNCTION("""COMPUTED_VALUE"""),6.96882457E8)</f>
        <v>696882457</v>
      </c>
      <c r="G151" s="16" t="str">
        <f>IFERROR(__xludf.DUMMYFUNCTION("""COMPUTED_VALUE"""),"Morocco")</f>
        <v>Morocco</v>
      </c>
      <c r="H151" s="16" t="str">
        <f>IFERROR(__xludf.DUMMYFUNCTION("""COMPUTED_VALUE"""),"Tangier")</f>
        <v>Tangier</v>
      </c>
      <c r="I151" s="16" t="str">
        <f>IFERROR(__xludf.DUMMYFUNCTION("""COMPUTED_VALUE"""),"Turkey")</f>
        <v>Turkey</v>
      </c>
      <c r="J151" s="16" t="str">
        <f>IFERROR(__xludf.DUMMYFUNCTION("""COMPUTED_VALUE"""),"ISTANBUL")</f>
        <v>ISTANBUL</v>
      </c>
      <c r="K151" s="17" t="str">
        <f>IFERROR(__xludf.DUMMYFUNCTION("""COMPUTED_VALUE"""),"https://expa.aiesec.org/opportunities/1289378")</f>
        <v>https://expa.aiesec.org/opportunities/1289378</v>
      </c>
      <c r="L151" s="16" t="str">
        <f>IFERROR(__xludf.DUMMYFUNCTION("""COMPUTED_VALUE"""),"GTa")</f>
        <v>GTa</v>
      </c>
      <c r="M151" s="16" t="str">
        <f>IFERROR(__xludf.DUMMYFUNCTION("""COMPUTED_VALUE"""),"long")</f>
        <v>long</v>
      </c>
      <c r="N151" s="18">
        <f>IFERROR(__xludf.DUMMYFUNCTION("""COMPUTED_VALUE"""),45047.0)</f>
        <v>45047</v>
      </c>
      <c r="O151" s="18">
        <f>IFERROR(__xludf.DUMMYFUNCTION("""COMPUTED_VALUE"""),45089.0)</f>
        <v>45089</v>
      </c>
      <c r="P151" s="18">
        <f>IFERROR(__xludf.DUMMYFUNCTION("""COMPUTED_VALUE"""),45611.0)</f>
        <v>45611</v>
      </c>
      <c r="Q151" s="18">
        <f>IFERROR(__xludf.DUMMYFUNCTION("""COMPUTED_VALUE"""),45089.0)</f>
        <v>45089</v>
      </c>
      <c r="R151" s="18">
        <f>IFERROR(__xludf.DUMMYFUNCTION("""COMPUTED_VALUE"""),45611.0)</f>
        <v>45611</v>
      </c>
      <c r="S151" s="16"/>
      <c r="T151" s="16" t="str">
        <f>IFERROR(__xludf.DUMMYFUNCTION("""COMPUTED_VALUE"""),"Business Administration")</f>
        <v>Business Administration</v>
      </c>
      <c r="U151" s="16" t="str">
        <f>IFERROR(__xludf.DUMMYFUNCTION("""COMPUTED_VALUE"""),"Telesales Specialist in Istanbul (Spanish Speaker)")</f>
        <v>Telesales Specialist in Istanbul (Spanish Speaker)</v>
      </c>
      <c r="V151" s="16" t="str">
        <f>IFERROR(__xludf.DUMMYFUNCTION("""COMPUTED_VALUE"""),"Ecole Supérieure Roi Fahd de Traduction Tanger")</f>
        <v>Ecole Supérieure Roi Fahd de Traduction Tanger</v>
      </c>
      <c r="W151" s="16" t="str">
        <f>IFERROR(__xludf.DUMMYFUNCTION("""COMPUTED_VALUE"""),"2023-04-29T16:23:41Z")</f>
        <v>2023-04-29T16:23:41Z</v>
      </c>
      <c r="X151" s="16"/>
      <c r="Y151" s="16"/>
      <c r="Z151" s="16"/>
    </row>
    <row r="152">
      <c r="A152" s="16" t="str">
        <f>IFERROR(__xludf.DUMMYFUNCTION("""COMPUTED_VALUE"""),"5252146_1286658")</f>
        <v>5252146_1286658</v>
      </c>
      <c r="B152" s="16" t="str">
        <f>IFERROR(__xludf.DUMMYFUNCTION("""COMPUTED_VALUE"""),"Nurana Gurbanli")</f>
        <v>Nurana Gurbanli</v>
      </c>
      <c r="C152" s="16" t="str">
        <f>IFERROR(__xludf.DUMMYFUNCTION("""COMPUTED_VALUE"""),"approved")</f>
        <v>approved</v>
      </c>
      <c r="D152" s="16" t="str">
        <f>IFERROR(__xludf.DUMMYFUNCTION("""COMPUTED_VALUE"""),"No")</f>
        <v>No</v>
      </c>
      <c r="E152" s="16" t="str">
        <f>IFERROR(__xludf.DUMMYFUNCTION("""COMPUTED_VALUE"""),"p_090dd6a65ad6d695571a50390ddf0a45daa8f19e@inbound.aiesec.org")</f>
        <v>p_090dd6a65ad6d695571a50390ddf0a45daa8f19e@inbound.aiesec.org</v>
      </c>
      <c r="F152" s="16">
        <f>IFERROR(__xludf.DUMMYFUNCTION("""COMPUTED_VALUE"""),5.347187163E9)</f>
        <v>5347187163</v>
      </c>
      <c r="G152" s="16" t="str">
        <f>IFERROR(__xludf.DUMMYFUNCTION("""COMPUTED_VALUE"""),"Turkey")</f>
        <v>Turkey</v>
      </c>
      <c r="H152" s="16" t="str">
        <f>IFERROR(__xludf.DUMMYFUNCTION("""COMPUTED_VALUE"""),"ISTANBUL")</f>
        <v>ISTANBUL</v>
      </c>
      <c r="I152" s="16" t="str">
        <f>IFERROR(__xludf.DUMMYFUNCTION("""COMPUTED_VALUE"""),"Egypt")</f>
        <v>Egypt</v>
      </c>
      <c r="J152" s="16" t="str">
        <f>IFERROR(__xludf.DUMMYFUNCTION("""COMPUTED_VALUE"""),"Cairo University")</f>
        <v>Cairo University</v>
      </c>
      <c r="K152" s="17" t="str">
        <f>IFERROR(__xludf.DUMMYFUNCTION("""COMPUTED_VALUE"""),"https://expa.aiesec.org/opportunities/1286658")</f>
        <v>https://expa.aiesec.org/opportunities/1286658</v>
      </c>
      <c r="L152" s="16" t="str">
        <f>IFERROR(__xludf.DUMMYFUNCTION("""COMPUTED_VALUE"""),"GV")</f>
        <v>GV</v>
      </c>
      <c r="M152" s="16" t="str">
        <f>IFERROR(__xludf.DUMMYFUNCTION("""COMPUTED_VALUE"""),"short")</f>
        <v>short</v>
      </c>
      <c r="N152" s="18">
        <f>IFERROR(__xludf.DUMMYFUNCTION("""COMPUTED_VALUE"""),45047.0)</f>
        <v>45047</v>
      </c>
      <c r="O152" s="18">
        <f>IFERROR(__xludf.DUMMYFUNCTION("""COMPUTED_VALUE"""),45159.0)</f>
        <v>45159</v>
      </c>
      <c r="P152" s="18">
        <f>IFERROR(__xludf.DUMMYFUNCTION("""COMPUTED_VALUE"""),45204.0)</f>
        <v>45204</v>
      </c>
      <c r="Q152" s="18"/>
      <c r="R152" s="18"/>
      <c r="S152" s="16"/>
      <c r="T152" s="16"/>
      <c r="U152" s="16" t="str">
        <f>IFERROR(__xludf.DUMMYFUNCTION("""COMPUTED_VALUE"""),"Global Classroom")</f>
        <v>Global Classroom</v>
      </c>
      <c r="V152" s="16" t="str">
        <f>IFERROR(__xludf.DUMMYFUNCTION("""COMPUTED_VALUE"""),"ISTANBUL - BEYOGLU")</f>
        <v>ISTANBUL - BEYOGLU</v>
      </c>
      <c r="W152" s="16" t="str">
        <f>IFERROR(__xludf.DUMMYFUNCTION("""COMPUTED_VALUE"""),"2023-04-28T21:20:31Z")</f>
        <v>2023-04-28T21:20:31Z</v>
      </c>
      <c r="X152" s="16"/>
      <c r="Y152" s="16"/>
      <c r="Z152" s="16"/>
    </row>
    <row r="153">
      <c r="A153" s="16" t="str">
        <f>IFERROR(__xludf.DUMMYFUNCTION("""COMPUTED_VALUE"""),"5248587_1293801")</f>
        <v>5248587_1293801</v>
      </c>
      <c r="B153" s="16" t="str">
        <f>IFERROR(__xludf.DUMMYFUNCTION("""COMPUTED_VALUE"""),"Doğa Deniz")</f>
        <v>Doğa Deniz</v>
      </c>
      <c r="C153" s="16" t="str">
        <f>IFERROR(__xludf.DUMMYFUNCTION("""COMPUTED_VALUE"""),"completed")</f>
        <v>completed</v>
      </c>
      <c r="D153" s="16" t="str">
        <f>IFERROR(__xludf.DUMMYFUNCTION("""COMPUTED_VALUE"""),"No")</f>
        <v>No</v>
      </c>
      <c r="E153" s="16" t="str">
        <f>IFERROR(__xludf.DUMMYFUNCTION("""COMPUTED_VALUE"""),"p_d86af0ad8bae17e078db929b2a3141679f2ad199@inbound.aiesec.org")</f>
        <v>p_d86af0ad8bae17e078db929b2a3141679f2ad199@inbound.aiesec.org</v>
      </c>
      <c r="F153" s="16">
        <f>IFERROR(__xludf.DUMMYFUNCTION("""COMPUTED_VALUE"""),5.308620326E9)</f>
        <v>5308620326</v>
      </c>
      <c r="G153" s="16" t="str">
        <f>IFERROR(__xludf.DUMMYFUNCTION("""COMPUTED_VALUE"""),"Turkey")</f>
        <v>Turkey</v>
      </c>
      <c r="H153" s="16" t="str">
        <f>IFERROR(__xludf.DUMMYFUNCTION("""COMPUTED_VALUE"""),"ISTANBUL")</f>
        <v>ISTANBUL</v>
      </c>
      <c r="I153" s="16" t="str">
        <f>IFERROR(__xludf.DUMMYFUNCTION("""COMPUTED_VALUE"""),"Tunisia")</f>
        <v>Tunisia</v>
      </c>
      <c r="J153" s="16" t="str">
        <f>IFERROR(__xludf.DUMMYFUNCTION("""COMPUTED_VALUE"""),"Tacapes")</f>
        <v>Tacapes</v>
      </c>
      <c r="K153" s="17" t="str">
        <f>IFERROR(__xludf.DUMMYFUNCTION("""COMPUTED_VALUE"""),"https://expa.aiesec.org/opportunities/1293801")</f>
        <v>https://expa.aiesec.org/opportunities/1293801</v>
      </c>
      <c r="L153" s="16" t="str">
        <f>IFERROR(__xludf.DUMMYFUNCTION("""COMPUTED_VALUE"""),"GV")</f>
        <v>GV</v>
      </c>
      <c r="M153" s="16" t="str">
        <f>IFERROR(__xludf.DUMMYFUNCTION("""COMPUTED_VALUE"""),"short")</f>
        <v>short</v>
      </c>
      <c r="N153" s="18">
        <f>IFERROR(__xludf.DUMMYFUNCTION("""COMPUTED_VALUE"""),45047.0)</f>
        <v>45047</v>
      </c>
      <c r="O153" s="18">
        <f>IFERROR(__xludf.DUMMYFUNCTION("""COMPUTED_VALUE"""),45122.0)</f>
        <v>45122</v>
      </c>
      <c r="P153" s="18">
        <f>IFERROR(__xludf.DUMMYFUNCTION("""COMPUTED_VALUE"""),45164.0)</f>
        <v>45164</v>
      </c>
      <c r="Q153" s="18">
        <f>IFERROR(__xludf.DUMMYFUNCTION("""COMPUTED_VALUE"""),45127.0)</f>
        <v>45127</v>
      </c>
      <c r="R153" s="18">
        <f>IFERROR(__xludf.DUMMYFUNCTION("""COMPUTED_VALUE"""),45169.0)</f>
        <v>45169</v>
      </c>
      <c r="S153" s="16"/>
      <c r="T153" s="16"/>
      <c r="U153" s="16" t="str">
        <f>IFERROR(__xludf.DUMMYFUNCTION("""COMPUTED_VALUE"""),"Global Classroom")</f>
        <v>Global Classroom</v>
      </c>
      <c r="V153" s="16" t="str">
        <f>IFERROR(__xludf.DUMMYFUNCTION("""COMPUTED_VALUE"""),"ISTANBUL - BEYOGLU")</f>
        <v>ISTANBUL - BEYOGLU</v>
      </c>
      <c r="W153" s="16" t="str">
        <f>IFERROR(__xludf.DUMMYFUNCTION("""COMPUTED_VALUE"""),"2023-04-24T20:44:25Z")</f>
        <v>2023-04-24T20:44:25Z</v>
      </c>
      <c r="X153" s="16"/>
      <c r="Y153" s="16"/>
      <c r="Z153" s="16"/>
    </row>
    <row r="154">
      <c r="A154" s="16" t="str">
        <f>IFERROR(__xludf.DUMMYFUNCTION("""COMPUTED_VALUE"""),"5248533_1284670")</f>
        <v>5248533_1284670</v>
      </c>
      <c r="B154" s="16" t="str">
        <f>IFERROR(__xludf.DUMMYFUNCTION("""COMPUTED_VALUE"""),"Dayana Kuatbayeva")</f>
        <v>Dayana Kuatbayeva</v>
      </c>
      <c r="C154" s="16" t="str">
        <f>IFERROR(__xludf.DUMMYFUNCTION("""COMPUTED_VALUE"""),"finished")</f>
        <v>finished</v>
      </c>
      <c r="D154" s="16" t="str">
        <f>IFERROR(__xludf.DUMMYFUNCTION("""COMPUTED_VALUE"""),"No")</f>
        <v>No</v>
      </c>
      <c r="E154" s="16" t="str">
        <f>IFERROR(__xludf.DUMMYFUNCTION("""COMPUTED_VALUE"""),"p_6b4a68286675b4ec6c9e52eea0994c1d41aa10ac@inbound.aiesec.org")</f>
        <v>p_6b4a68286675b4ec6c9e52eea0994c1d41aa10ac@inbound.aiesec.org</v>
      </c>
      <c r="F154" s="16">
        <f>IFERROR(__xludf.DUMMYFUNCTION("""COMPUTED_VALUE"""),7.475738451E9)</f>
        <v>7475738451</v>
      </c>
      <c r="G154" s="16" t="str">
        <f>IFERROR(__xludf.DUMMYFUNCTION("""COMPUTED_VALUE"""),"Kazakhstan")</f>
        <v>Kazakhstan</v>
      </c>
      <c r="H154" s="16" t="str">
        <f>IFERROR(__xludf.DUMMYFUNCTION("""COMPUTED_VALUE"""),"Astana")</f>
        <v>Astana</v>
      </c>
      <c r="I154" s="16" t="str">
        <f>IFERROR(__xludf.DUMMYFUNCTION("""COMPUTED_VALUE"""),"Turkey")</f>
        <v>Turkey</v>
      </c>
      <c r="J154" s="16" t="str">
        <f>IFERROR(__xludf.DUMMYFUNCTION("""COMPUTED_VALUE"""),"ISTANBUL")</f>
        <v>ISTANBUL</v>
      </c>
      <c r="K154" s="17" t="str">
        <f>IFERROR(__xludf.DUMMYFUNCTION("""COMPUTED_VALUE"""),"https://expa.aiesec.org/opportunities/1284670")</f>
        <v>https://expa.aiesec.org/opportunities/1284670</v>
      </c>
      <c r="L154" s="16" t="str">
        <f>IFERROR(__xludf.DUMMYFUNCTION("""COMPUTED_VALUE"""),"GV")</f>
        <v>GV</v>
      </c>
      <c r="M154" s="16" t="str">
        <f>IFERROR(__xludf.DUMMYFUNCTION("""COMPUTED_VALUE"""),"short")</f>
        <v>short</v>
      </c>
      <c r="N154" s="18">
        <f>IFERROR(__xludf.DUMMYFUNCTION("""COMPUTED_VALUE"""),45047.0)</f>
        <v>45047</v>
      </c>
      <c r="O154" s="18">
        <f>IFERROR(__xludf.DUMMYFUNCTION("""COMPUTED_VALUE"""),45110.0)</f>
        <v>45110</v>
      </c>
      <c r="P154" s="18">
        <f>IFERROR(__xludf.DUMMYFUNCTION("""COMPUTED_VALUE"""),45152.0)</f>
        <v>45152</v>
      </c>
      <c r="Q154" s="18">
        <f>IFERROR(__xludf.DUMMYFUNCTION("""COMPUTED_VALUE"""),45110.0)</f>
        <v>45110</v>
      </c>
      <c r="R154" s="18">
        <f>IFERROR(__xludf.DUMMYFUNCTION("""COMPUTED_VALUE"""),45152.0)</f>
        <v>45152</v>
      </c>
      <c r="S154" s="16"/>
      <c r="T154" s="16"/>
      <c r="U154" s="16" t="str">
        <f>IFERROR(__xludf.DUMMYFUNCTION("""COMPUTED_VALUE"""),"Heartbeat")</f>
        <v>Heartbeat</v>
      </c>
      <c r="V154" s="16" t="str">
        <f>IFERROR(__xludf.DUMMYFUNCTION("""COMPUTED_VALUE"""),"Shymkent")</f>
        <v>Shymkent</v>
      </c>
      <c r="W154" s="16" t="str">
        <f>IFERROR(__xludf.DUMMYFUNCTION("""COMPUTED_VALUE"""),"2023-04-24T18:56:19Z")</f>
        <v>2023-04-24T18:56:19Z</v>
      </c>
      <c r="X154" s="16"/>
      <c r="Y154" s="16"/>
      <c r="Z154" s="16"/>
    </row>
    <row r="155">
      <c r="A155" s="16" t="str">
        <f>IFERROR(__xludf.DUMMYFUNCTION("""COMPUTED_VALUE"""),"5218381_1288129")</f>
        <v>5218381_1288129</v>
      </c>
      <c r="B155" s="16" t="str">
        <f>IFERROR(__xludf.DUMMYFUNCTION("""COMPUTED_VALUE"""),"Saliha YAZAR")</f>
        <v>Saliha YAZAR</v>
      </c>
      <c r="C155" s="16" t="str">
        <f>IFERROR(__xludf.DUMMYFUNCTION("""COMPUTED_VALUE"""),"completed")</f>
        <v>completed</v>
      </c>
      <c r="D155" s="16" t="str">
        <f>IFERROR(__xludf.DUMMYFUNCTION("""COMPUTED_VALUE"""),"No")</f>
        <v>No</v>
      </c>
      <c r="E155" s="16" t="str">
        <f>IFERROR(__xludf.DUMMYFUNCTION("""COMPUTED_VALUE"""),"p_e4d99387e4ed1e67f6354d640f4bfd8eb1ac4515@inbound.aiesec.org")</f>
        <v>p_e4d99387e4ed1e67f6354d640f4bfd8eb1ac4515@inbound.aiesec.org</v>
      </c>
      <c r="F155" s="16"/>
      <c r="G155" s="16" t="str">
        <f>IFERROR(__xludf.DUMMYFUNCTION("""COMPUTED_VALUE"""),"Turkey")</f>
        <v>Turkey</v>
      </c>
      <c r="H155" s="16" t="str">
        <f>IFERROR(__xludf.DUMMYFUNCTION("""COMPUTED_VALUE"""),"ISTANBUL")</f>
        <v>ISTANBUL</v>
      </c>
      <c r="I155" s="16" t="str">
        <f>IFERROR(__xludf.DUMMYFUNCTION("""COMPUTED_VALUE"""),"Egypt")</f>
        <v>Egypt</v>
      </c>
      <c r="J155" s="16" t="str">
        <f>IFERROR(__xludf.DUMMYFUNCTION("""COMPUTED_VALUE"""),"Ain Shams University")</f>
        <v>Ain Shams University</v>
      </c>
      <c r="K155" s="17" t="str">
        <f>IFERROR(__xludf.DUMMYFUNCTION("""COMPUTED_VALUE"""),"https://expa.aiesec.org/opportunities/1288129")</f>
        <v>https://expa.aiesec.org/opportunities/1288129</v>
      </c>
      <c r="L155" s="16" t="str">
        <f>IFERROR(__xludf.DUMMYFUNCTION("""COMPUTED_VALUE"""),"GV")</f>
        <v>GV</v>
      </c>
      <c r="M155" s="16" t="str">
        <f>IFERROR(__xludf.DUMMYFUNCTION("""COMPUTED_VALUE"""),"short")</f>
        <v>short</v>
      </c>
      <c r="N155" s="18">
        <f>IFERROR(__xludf.DUMMYFUNCTION("""COMPUTED_VALUE"""),45047.0)</f>
        <v>45047</v>
      </c>
      <c r="O155" s="18">
        <f>IFERROR(__xludf.DUMMYFUNCTION("""COMPUTED_VALUE"""),45108.0)</f>
        <v>45108</v>
      </c>
      <c r="P155" s="18">
        <f>IFERROR(__xludf.DUMMYFUNCTION("""COMPUTED_VALUE"""),45150.0)</f>
        <v>45150</v>
      </c>
      <c r="Q155" s="18">
        <f>IFERROR(__xludf.DUMMYFUNCTION("""COMPUTED_VALUE"""),45107.0)</f>
        <v>45107</v>
      </c>
      <c r="R155" s="18">
        <f>IFERROR(__xludf.DUMMYFUNCTION("""COMPUTED_VALUE"""),45151.0)</f>
        <v>45151</v>
      </c>
      <c r="S155" s="16"/>
      <c r="T155" s="16"/>
      <c r="U155" s="16" t="str">
        <f>IFERROR(__xludf.DUMMYFUNCTION("""COMPUTED_VALUE"""),"Global Classroom")</f>
        <v>Global Classroom</v>
      </c>
      <c r="V155" s="16" t="str">
        <f>IFERROR(__xludf.DUMMYFUNCTION("""COMPUTED_VALUE"""),"-")</f>
        <v>-</v>
      </c>
      <c r="W155" s="16" t="str">
        <f>IFERROR(__xludf.DUMMYFUNCTION("""COMPUTED_VALUE"""),"2023-03-16T12:00:42Z")</f>
        <v>2023-03-16T12:00:42Z</v>
      </c>
      <c r="X155" s="16"/>
      <c r="Y155" s="16"/>
      <c r="Z155" s="16"/>
    </row>
    <row r="156">
      <c r="A156" s="16" t="str">
        <f>IFERROR(__xludf.DUMMYFUNCTION("""COMPUTED_VALUE"""),"5228374_1294202")</f>
        <v>5228374_1294202</v>
      </c>
      <c r="B156" s="16" t="str">
        <f>IFERROR(__xludf.DUMMYFUNCTION("""COMPUTED_VALUE"""),"Sude Kırbıyık")</f>
        <v>Sude Kırbıyık</v>
      </c>
      <c r="C156" s="16" t="str">
        <f>IFERROR(__xludf.DUMMYFUNCTION("""COMPUTED_VALUE"""),"completed")</f>
        <v>completed</v>
      </c>
      <c r="D156" s="16" t="str">
        <f>IFERROR(__xludf.DUMMYFUNCTION("""COMPUTED_VALUE"""),"No")</f>
        <v>No</v>
      </c>
      <c r="E156" s="16" t="str">
        <f>IFERROR(__xludf.DUMMYFUNCTION("""COMPUTED_VALUE"""),"p_ed299198fd14d52474fdf8b11e58f060d7ab48d9@inbound.aiesec.org")</f>
        <v>p_ed299198fd14d52474fdf8b11e58f060d7ab48d9@inbound.aiesec.org</v>
      </c>
      <c r="F156" s="16">
        <f>IFERROR(__xludf.DUMMYFUNCTION("""COMPUTED_VALUE"""),5.070443707E9)</f>
        <v>5070443707</v>
      </c>
      <c r="G156" s="16" t="str">
        <f>IFERROR(__xludf.DUMMYFUNCTION("""COMPUTED_VALUE"""),"Turkey")</f>
        <v>Turkey</v>
      </c>
      <c r="H156" s="16" t="str">
        <f>IFERROR(__xludf.DUMMYFUNCTION("""COMPUTED_VALUE"""),"ISTANBUL")</f>
        <v>ISTANBUL</v>
      </c>
      <c r="I156" s="16" t="str">
        <f>IFERROR(__xludf.DUMMYFUNCTION("""COMPUTED_VALUE"""),"Romania")</f>
        <v>Romania</v>
      </c>
      <c r="J156" s="16" t="str">
        <f>IFERROR(__xludf.DUMMYFUNCTION("""COMPUTED_VALUE"""),"Craiova")</f>
        <v>Craiova</v>
      </c>
      <c r="K156" s="17" t="str">
        <f>IFERROR(__xludf.DUMMYFUNCTION("""COMPUTED_VALUE"""),"https://expa.aiesec.org/opportunities/1294202")</f>
        <v>https://expa.aiesec.org/opportunities/1294202</v>
      </c>
      <c r="L156" s="16" t="str">
        <f>IFERROR(__xludf.DUMMYFUNCTION("""COMPUTED_VALUE"""),"GV")</f>
        <v>GV</v>
      </c>
      <c r="M156" s="16" t="str">
        <f>IFERROR(__xludf.DUMMYFUNCTION("""COMPUTED_VALUE"""),"short")</f>
        <v>short</v>
      </c>
      <c r="N156" s="18">
        <f>IFERROR(__xludf.DUMMYFUNCTION("""COMPUTED_VALUE"""),45048.0)</f>
        <v>45048</v>
      </c>
      <c r="O156" s="18">
        <f>IFERROR(__xludf.DUMMYFUNCTION("""COMPUTED_VALUE"""),45103.0)</f>
        <v>45103</v>
      </c>
      <c r="P156" s="18">
        <f>IFERROR(__xludf.DUMMYFUNCTION("""COMPUTED_VALUE"""),45145.0)</f>
        <v>45145</v>
      </c>
      <c r="Q156" s="18">
        <f>IFERROR(__xludf.DUMMYFUNCTION("""COMPUTED_VALUE"""),45111.0)</f>
        <v>45111</v>
      </c>
      <c r="R156" s="18">
        <f>IFERROR(__xludf.DUMMYFUNCTION("""COMPUTED_VALUE"""),45152.0)</f>
        <v>45152</v>
      </c>
      <c r="S156" s="16"/>
      <c r="T156" s="16"/>
      <c r="U156" s="16" t="str">
        <f>IFERROR(__xludf.DUMMYFUNCTION("""COMPUTED_VALUE"""),"Global Classroom")</f>
        <v>Global Classroom</v>
      </c>
      <c r="V156" s="16" t="str">
        <f>IFERROR(__xludf.DUMMYFUNCTION("""COMPUTED_VALUE"""),"ISTANBUL - BEYOGLU")</f>
        <v>ISTANBUL - BEYOGLU</v>
      </c>
      <c r="W156" s="16" t="str">
        <f>IFERROR(__xludf.DUMMYFUNCTION("""COMPUTED_VALUE"""),"2023-03-27T17:56:54Z")</f>
        <v>2023-03-27T17:56:54Z</v>
      </c>
      <c r="X156" s="16"/>
      <c r="Y156" s="16"/>
      <c r="Z156" s="16"/>
    </row>
    <row r="157">
      <c r="A157" s="16" t="str">
        <f>IFERROR(__xludf.DUMMYFUNCTION("""COMPUTED_VALUE"""),"5253521_1293112")</f>
        <v>5253521_1293112</v>
      </c>
      <c r="B157" s="16" t="str">
        <f>IFERROR(__xludf.DUMMYFUNCTION("""COMPUTED_VALUE"""),"Emine Dam")</f>
        <v>Emine Dam</v>
      </c>
      <c r="C157" s="16" t="str">
        <f>IFERROR(__xludf.DUMMYFUNCTION("""COMPUTED_VALUE"""),"completed")</f>
        <v>completed</v>
      </c>
      <c r="D157" s="16" t="str">
        <f>IFERROR(__xludf.DUMMYFUNCTION("""COMPUTED_VALUE"""),"No")</f>
        <v>No</v>
      </c>
      <c r="E157" s="16" t="str">
        <f>IFERROR(__xludf.DUMMYFUNCTION("""COMPUTED_VALUE"""),"p_c7b844cdc2298015454ef126ee1f7bb95426c79a@inbound.aiesec.org")</f>
        <v>p_c7b844cdc2298015454ef126ee1f7bb95426c79a@inbound.aiesec.org</v>
      </c>
      <c r="F157" s="16">
        <f>IFERROR(__xludf.DUMMYFUNCTION("""COMPUTED_VALUE"""),5.366947784E9)</f>
        <v>5366947784</v>
      </c>
      <c r="G157" s="16" t="str">
        <f>IFERROR(__xludf.DUMMYFUNCTION("""COMPUTED_VALUE"""),"Turkey")</f>
        <v>Turkey</v>
      </c>
      <c r="H157" s="16" t="str">
        <f>IFERROR(__xludf.DUMMYFUNCTION("""COMPUTED_VALUE"""),"ISTANBUL")</f>
        <v>ISTANBUL</v>
      </c>
      <c r="I157" s="16" t="str">
        <f>IFERROR(__xludf.DUMMYFUNCTION("""COMPUTED_VALUE"""),"India")</f>
        <v>India</v>
      </c>
      <c r="J157" s="16" t="str">
        <f>IFERROR(__xludf.DUMMYFUNCTION("""COMPUTED_VALUE"""),"JAIPUR ")</f>
        <v>JAIPUR </v>
      </c>
      <c r="K157" s="17" t="str">
        <f>IFERROR(__xludf.DUMMYFUNCTION("""COMPUTED_VALUE"""),"https://expa.aiesec.org/opportunities/1293112")</f>
        <v>https://expa.aiesec.org/opportunities/1293112</v>
      </c>
      <c r="L157" s="16" t="str">
        <f>IFERROR(__xludf.DUMMYFUNCTION("""COMPUTED_VALUE"""),"GV")</f>
        <v>GV</v>
      </c>
      <c r="M157" s="16" t="str">
        <f>IFERROR(__xludf.DUMMYFUNCTION("""COMPUTED_VALUE"""),"short")</f>
        <v>short</v>
      </c>
      <c r="N157" s="18">
        <f>IFERROR(__xludf.DUMMYFUNCTION("""COMPUTED_VALUE"""),45048.0)</f>
        <v>45048</v>
      </c>
      <c r="O157" s="18">
        <f>IFERROR(__xludf.DUMMYFUNCTION("""COMPUTED_VALUE"""),45154.0)</f>
        <v>45154</v>
      </c>
      <c r="P157" s="18">
        <f>IFERROR(__xludf.DUMMYFUNCTION("""COMPUTED_VALUE"""),45196.0)</f>
        <v>45196</v>
      </c>
      <c r="Q157" s="18">
        <f>IFERROR(__xludf.DUMMYFUNCTION("""COMPUTED_VALUE"""),45153.0)</f>
        <v>45153</v>
      </c>
      <c r="R157" s="18">
        <f>IFERROR(__xludf.DUMMYFUNCTION("""COMPUTED_VALUE"""),45196.0)</f>
        <v>45196</v>
      </c>
      <c r="S157" s="16"/>
      <c r="T157" s="16"/>
      <c r="U157" s="16" t="str">
        <f>IFERROR(__xludf.DUMMYFUNCTION("""COMPUTED_VALUE"""),"Explorer")</f>
        <v>Explorer</v>
      </c>
      <c r="V157" s="16" t="str">
        <f>IFERROR(__xludf.DUMMYFUNCTION("""COMPUTED_VALUE"""),"ISTANBUL - BEYOGLU")</f>
        <v>ISTANBUL - BEYOGLU</v>
      </c>
      <c r="W157" s="16" t="str">
        <f>IFERROR(__xludf.DUMMYFUNCTION("""COMPUTED_VALUE"""),"2023-05-01T08:24:23Z")</f>
        <v>2023-05-01T08:24:23Z</v>
      </c>
      <c r="X157" s="16"/>
      <c r="Y157" s="16"/>
      <c r="Z157" s="16"/>
    </row>
    <row r="158">
      <c r="A158" s="16" t="str">
        <f>IFERROR(__xludf.DUMMYFUNCTION("""COMPUTED_VALUE"""),"5252747_1293216")</f>
        <v>5252747_1293216</v>
      </c>
      <c r="B158" s="16" t="str">
        <f>IFERROR(__xludf.DUMMYFUNCTION("""COMPUTED_VALUE"""),"Çağla Ordu")</f>
        <v>Çağla Ordu</v>
      </c>
      <c r="C158" s="16" t="str">
        <f>IFERROR(__xludf.DUMMYFUNCTION("""COMPUTED_VALUE"""),"completed")</f>
        <v>completed</v>
      </c>
      <c r="D158" s="16" t="str">
        <f>IFERROR(__xludf.DUMMYFUNCTION("""COMPUTED_VALUE"""),"No")</f>
        <v>No</v>
      </c>
      <c r="E158" s="16" t="str">
        <f>IFERROR(__xludf.DUMMYFUNCTION("""COMPUTED_VALUE"""),"p_977b7eb4833950fd99f81e61fae2795a9002a3d3@inbound.aiesec.org")</f>
        <v>p_977b7eb4833950fd99f81e61fae2795a9002a3d3@inbound.aiesec.org</v>
      </c>
      <c r="F158" s="16">
        <f>IFERROR(__xludf.DUMMYFUNCTION("""COMPUTED_VALUE"""),5.422387558E9)</f>
        <v>5422387558</v>
      </c>
      <c r="G158" s="16" t="str">
        <f>IFERROR(__xludf.DUMMYFUNCTION("""COMPUTED_VALUE"""),"Turkey")</f>
        <v>Turkey</v>
      </c>
      <c r="H158" s="16" t="str">
        <f>IFERROR(__xludf.DUMMYFUNCTION("""COMPUTED_VALUE"""),"ISTANBUL")</f>
        <v>ISTANBUL</v>
      </c>
      <c r="I158" s="16" t="str">
        <f>IFERROR(__xludf.DUMMYFUNCTION("""COMPUTED_VALUE"""),"Egypt")</f>
        <v>Egypt</v>
      </c>
      <c r="J158" s="16" t="str">
        <f>IFERROR(__xludf.DUMMYFUNCTION("""COMPUTED_VALUE"""),"Tanta")</f>
        <v>Tanta</v>
      </c>
      <c r="K158" s="17" t="str">
        <f>IFERROR(__xludf.DUMMYFUNCTION("""COMPUTED_VALUE"""),"https://expa.aiesec.org/opportunities/1293216")</f>
        <v>https://expa.aiesec.org/opportunities/1293216</v>
      </c>
      <c r="L158" s="16" t="str">
        <f>IFERROR(__xludf.DUMMYFUNCTION("""COMPUTED_VALUE"""),"GV")</f>
        <v>GV</v>
      </c>
      <c r="M158" s="16" t="str">
        <f>IFERROR(__xludf.DUMMYFUNCTION("""COMPUTED_VALUE"""),"short")</f>
        <v>short</v>
      </c>
      <c r="N158" s="18">
        <f>IFERROR(__xludf.DUMMYFUNCTION("""COMPUTED_VALUE"""),45048.0)</f>
        <v>45048</v>
      </c>
      <c r="O158" s="18">
        <f>IFERROR(__xludf.DUMMYFUNCTION("""COMPUTED_VALUE"""),45108.0)</f>
        <v>45108</v>
      </c>
      <c r="P158" s="18">
        <f>IFERROR(__xludf.DUMMYFUNCTION("""COMPUTED_VALUE"""),45150.0)</f>
        <v>45150</v>
      </c>
      <c r="Q158" s="18">
        <f>IFERROR(__xludf.DUMMYFUNCTION("""COMPUTED_VALUE"""),45109.0)</f>
        <v>45109</v>
      </c>
      <c r="R158" s="18">
        <f>IFERROR(__xludf.DUMMYFUNCTION("""COMPUTED_VALUE"""),45150.0)</f>
        <v>45150</v>
      </c>
      <c r="S158" s="16"/>
      <c r="T158" s="16"/>
      <c r="U158" s="16" t="str">
        <f>IFERROR(__xludf.DUMMYFUNCTION("""COMPUTED_VALUE"""),"Global Classroom")</f>
        <v>Global Classroom</v>
      </c>
      <c r="V158" s="16" t="str">
        <f>IFERROR(__xludf.DUMMYFUNCTION("""COMPUTED_VALUE"""),"ISTANBUL - BEYOGLU")</f>
        <v>ISTANBUL - BEYOGLU</v>
      </c>
      <c r="W158" s="16" t="str">
        <f>IFERROR(__xludf.DUMMYFUNCTION("""COMPUTED_VALUE"""),"2023-04-29T22:36:21Z")</f>
        <v>2023-04-29T22:36:21Z</v>
      </c>
      <c r="X158" s="16"/>
      <c r="Y158" s="16"/>
      <c r="Z158" s="16"/>
    </row>
    <row r="159">
      <c r="A159" s="16" t="str">
        <f>IFERROR(__xludf.DUMMYFUNCTION("""COMPUTED_VALUE"""),"5252447_1284670")</f>
        <v>5252447_1284670</v>
      </c>
      <c r="B159" s="16" t="str">
        <f>IFERROR(__xludf.DUMMYFUNCTION("""COMPUTED_VALUE"""),"deleted 5252447")</f>
        <v>deleted 5252447</v>
      </c>
      <c r="C159" s="16" t="str">
        <f>IFERROR(__xludf.DUMMYFUNCTION("""COMPUTED_VALUE"""),"approved")</f>
        <v>approved</v>
      </c>
      <c r="D159" s="16" t="str">
        <f>IFERROR(__xludf.DUMMYFUNCTION("""COMPUTED_VALUE"""),"No")</f>
        <v>No</v>
      </c>
      <c r="E159" s="16" t="str">
        <f>IFERROR(__xludf.DUMMYFUNCTION("""COMPUTED_VALUE"""),"p_073483658759ed1e2805ce5f8162044f08aba88a@inbound.aiesec.org")</f>
        <v>p_073483658759ed1e2805ce5f8162044f08aba88a@inbound.aiesec.org</v>
      </c>
      <c r="F159" s="16"/>
      <c r="G159" s="16" t="str">
        <f>IFERROR(__xludf.DUMMYFUNCTION("""COMPUTED_VALUE"""),"Tunisia")</f>
        <v>Tunisia</v>
      </c>
      <c r="H159" s="16" t="str">
        <f>IFERROR(__xludf.DUMMYFUNCTION("""COMPUTED_VALUE"""),"Carthage")</f>
        <v>Carthage</v>
      </c>
      <c r="I159" s="16" t="str">
        <f>IFERROR(__xludf.DUMMYFUNCTION("""COMPUTED_VALUE"""),"Turkey")</f>
        <v>Turkey</v>
      </c>
      <c r="J159" s="16" t="str">
        <f>IFERROR(__xludf.DUMMYFUNCTION("""COMPUTED_VALUE"""),"ISTANBUL")</f>
        <v>ISTANBUL</v>
      </c>
      <c r="K159" s="17" t="str">
        <f>IFERROR(__xludf.DUMMYFUNCTION("""COMPUTED_VALUE"""),"https://expa.aiesec.org/opportunities/1284670")</f>
        <v>https://expa.aiesec.org/opportunities/1284670</v>
      </c>
      <c r="L159" s="16" t="str">
        <f>IFERROR(__xludf.DUMMYFUNCTION("""COMPUTED_VALUE"""),"GV")</f>
        <v>GV</v>
      </c>
      <c r="M159" s="16" t="str">
        <f>IFERROR(__xludf.DUMMYFUNCTION("""COMPUTED_VALUE"""),"short")</f>
        <v>short</v>
      </c>
      <c r="N159" s="18">
        <f>IFERROR(__xludf.DUMMYFUNCTION("""COMPUTED_VALUE"""),45048.0)</f>
        <v>45048</v>
      </c>
      <c r="O159" s="18">
        <f>IFERROR(__xludf.DUMMYFUNCTION("""COMPUTED_VALUE"""),45111.0)</f>
        <v>45111</v>
      </c>
      <c r="P159" s="18">
        <f>IFERROR(__xludf.DUMMYFUNCTION("""COMPUTED_VALUE"""),45153.0)</f>
        <v>45153</v>
      </c>
      <c r="Q159" s="18"/>
      <c r="R159" s="18"/>
      <c r="S159" s="16"/>
      <c r="T159" s="16"/>
      <c r="U159" s="16" t="str">
        <f>IFERROR(__xludf.DUMMYFUNCTION("""COMPUTED_VALUE"""),"Heartbeat")</f>
        <v>Heartbeat</v>
      </c>
      <c r="V159" s="16" t="str">
        <f>IFERROR(__xludf.DUMMYFUNCTION("""COMPUTED_VALUE"""),"-")</f>
        <v>-</v>
      </c>
      <c r="W159" s="16" t="str">
        <f>IFERROR(__xludf.DUMMYFUNCTION("""COMPUTED_VALUE"""),"2023-04-29T12:44:35Z")</f>
        <v>2023-04-29T12:44:35Z</v>
      </c>
      <c r="X159" s="16"/>
      <c r="Y159" s="16"/>
      <c r="Z159" s="16"/>
    </row>
    <row r="160">
      <c r="A160" s="16" t="str">
        <f>IFERROR(__xludf.DUMMYFUNCTION("""COMPUTED_VALUE"""),"5238942_1294062")</f>
        <v>5238942_1294062</v>
      </c>
      <c r="B160" s="16" t="str">
        <f>IFERROR(__xludf.DUMMYFUNCTION("""COMPUTED_VALUE"""),"Mukaddes Çiftçi")</f>
        <v>Mukaddes Çiftçi</v>
      </c>
      <c r="C160" s="16" t="str">
        <f>IFERROR(__xludf.DUMMYFUNCTION("""COMPUTED_VALUE"""),"completed")</f>
        <v>completed</v>
      </c>
      <c r="D160" s="16" t="str">
        <f>IFERROR(__xludf.DUMMYFUNCTION("""COMPUTED_VALUE"""),"No")</f>
        <v>No</v>
      </c>
      <c r="E160" s="16" t="str">
        <f>IFERROR(__xludf.DUMMYFUNCTION("""COMPUTED_VALUE"""),"p_e4362701e2271703b84d066e5aed93387a86ce06@inbound.aiesec.org")</f>
        <v>p_e4362701e2271703b84d066e5aed93387a86ce06@inbound.aiesec.org</v>
      </c>
      <c r="F160" s="16"/>
      <c r="G160" s="16" t="str">
        <f>IFERROR(__xludf.DUMMYFUNCTION("""COMPUTED_VALUE"""),"Turkey")</f>
        <v>Turkey</v>
      </c>
      <c r="H160" s="16" t="str">
        <f>IFERROR(__xludf.DUMMYFUNCTION("""COMPUTED_VALUE"""),"ISTANBUL")</f>
        <v>ISTANBUL</v>
      </c>
      <c r="I160" s="16" t="str">
        <f>IFERROR(__xludf.DUMMYFUNCTION("""COMPUTED_VALUE"""),"Tunisia")</f>
        <v>Tunisia</v>
      </c>
      <c r="J160" s="16" t="str">
        <f>IFERROR(__xludf.DUMMYFUNCTION("""COMPUTED_VALUE"""),"THYNA")</f>
        <v>THYNA</v>
      </c>
      <c r="K160" s="17" t="str">
        <f>IFERROR(__xludf.DUMMYFUNCTION("""COMPUTED_VALUE"""),"https://expa.aiesec.org/opportunities/1294062")</f>
        <v>https://expa.aiesec.org/opportunities/1294062</v>
      </c>
      <c r="L160" s="16" t="str">
        <f>IFERROR(__xludf.DUMMYFUNCTION("""COMPUTED_VALUE"""),"GV")</f>
        <v>GV</v>
      </c>
      <c r="M160" s="16" t="str">
        <f>IFERROR(__xludf.DUMMYFUNCTION("""COMPUTED_VALUE"""),"short")</f>
        <v>short</v>
      </c>
      <c r="N160" s="18">
        <f>IFERROR(__xludf.DUMMYFUNCTION("""COMPUTED_VALUE"""),45048.0)</f>
        <v>45048</v>
      </c>
      <c r="O160" s="18">
        <f>IFERROR(__xludf.DUMMYFUNCTION("""COMPUTED_VALUE"""),45131.0)</f>
        <v>45131</v>
      </c>
      <c r="P160" s="18">
        <f>IFERROR(__xludf.DUMMYFUNCTION("""COMPUTED_VALUE"""),45173.0)</f>
        <v>45173</v>
      </c>
      <c r="Q160" s="18">
        <f>IFERROR(__xludf.DUMMYFUNCTION("""COMPUTED_VALUE"""),45131.0)</f>
        <v>45131</v>
      </c>
      <c r="R160" s="18">
        <f>IFERROR(__xludf.DUMMYFUNCTION("""COMPUTED_VALUE"""),45173.0)</f>
        <v>45173</v>
      </c>
      <c r="S160" s="16"/>
      <c r="T160" s="16"/>
      <c r="U160" s="16" t="str">
        <f>IFERROR(__xludf.DUMMYFUNCTION("""COMPUTED_VALUE"""),"Aquatica")</f>
        <v>Aquatica</v>
      </c>
      <c r="V160" s="16" t="str">
        <f>IFERROR(__xludf.DUMMYFUNCTION("""COMPUTED_VALUE"""),"ISTANBUL - BEYOGLU")</f>
        <v>ISTANBUL - BEYOGLU</v>
      </c>
      <c r="W160" s="16" t="str">
        <f>IFERROR(__xludf.DUMMYFUNCTION("""COMPUTED_VALUE"""),"2023-04-10T15:00:13Z")</f>
        <v>2023-04-10T15:00:13Z</v>
      </c>
      <c r="X160" s="16"/>
      <c r="Y160" s="16"/>
      <c r="Z160" s="16"/>
    </row>
    <row r="161">
      <c r="A161" s="16" t="str">
        <f>IFERROR(__xludf.DUMMYFUNCTION("""COMPUTED_VALUE"""),"5248305_1294005")</f>
        <v>5248305_1294005</v>
      </c>
      <c r="B161" s="16" t="str">
        <f>IFERROR(__xludf.DUMMYFUNCTION("""COMPUTED_VALUE"""),"İlke Gençay")</f>
        <v>İlke Gençay</v>
      </c>
      <c r="C161" s="16" t="str">
        <f>IFERROR(__xludf.DUMMYFUNCTION("""COMPUTED_VALUE"""),"completed")</f>
        <v>completed</v>
      </c>
      <c r="D161" s="16" t="str">
        <f>IFERROR(__xludf.DUMMYFUNCTION("""COMPUTED_VALUE"""),"No")</f>
        <v>No</v>
      </c>
      <c r="E161" s="16" t="str">
        <f>IFERROR(__xludf.DUMMYFUNCTION("""COMPUTED_VALUE"""),"p_6eb9774066b5e9106409da478f10f8f85b7d4103@inbound.aiesec.org")</f>
        <v>p_6eb9774066b5e9106409da478f10f8f85b7d4103@inbound.aiesec.org</v>
      </c>
      <c r="F161" s="16">
        <f>IFERROR(__xludf.DUMMYFUNCTION("""COMPUTED_VALUE"""),5.434088485E9)</f>
        <v>5434088485</v>
      </c>
      <c r="G161" s="16" t="str">
        <f>IFERROR(__xludf.DUMMYFUNCTION("""COMPUTED_VALUE"""),"Turkey")</f>
        <v>Turkey</v>
      </c>
      <c r="H161" s="16" t="str">
        <f>IFERROR(__xludf.DUMMYFUNCTION("""COMPUTED_VALUE"""),"ISTANBUL")</f>
        <v>ISTANBUL</v>
      </c>
      <c r="I161" s="16" t="str">
        <f>IFERROR(__xludf.DUMMYFUNCTION("""COMPUTED_VALUE"""),"Romania")</f>
        <v>Romania</v>
      </c>
      <c r="J161" s="16" t="str">
        <f>IFERROR(__xludf.DUMMYFUNCTION("""COMPUTED_VALUE"""),"BUCURESTI")</f>
        <v>BUCURESTI</v>
      </c>
      <c r="K161" s="17" t="str">
        <f>IFERROR(__xludf.DUMMYFUNCTION("""COMPUTED_VALUE"""),"https://expa.aiesec.org/opportunities/1294005")</f>
        <v>https://expa.aiesec.org/opportunities/1294005</v>
      </c>
      <c r="L161" s="16" t="str">
        <f>IFERROR(__xludf.DUMMYFUNCTION("""COMPUTED_VALUE"""),"GV")</f>
        <v>GV</v>
      </c>
      <c r="M161" s="16" t="str">
        <f>IFERROR(__xludf.DUMMYFUNCTION("""COMPUTED_VALUE"""),"short")</f>
        <v>short</v>
      </c>
      <c r="N161" s="18">
        <f>IFERROR(__xludf.DUMMYFUNCTION("""COMPUTED_VALUE"""),45048.0)</f>
        <v>45048</v>
      </c>
      <c r="O161" s="18">
        <f>IFERROR(__xludf.DUMMYFUNCTION("""COMPUTED_VALUE"""),45124.0)</f>
        <v>45124</v>
      </c>
      <c r="P161" s="18">
        <f>IFERROR(__xludf.DUMMYFUNCTION("""COMPUTED_VALUE"""),45166.0)</f>
        <v>45166</v>
      </c>
      <c r="Q161" s="18">
        <f>IFERROR(__xludf.DUMMYFUNCTION("""COMPUTED_VALUE"""),45124.0)</f>
        <v>45124</v>
      </c>
      <c r="R161" s="18">
        <f>IFERROR(__xludf.DUMMYFUNCTION("""COMPUTED_VALUE"""),45166.0)</f>
        <v>45166</v>
      </c>
      <c r="S161" s="16"/>
      <c r="T161" s="16"/>
      <c r="U161" s="16" t="str">
        <f>IFERROR(__xludf.DUMMYFUNCTION("""COMPUTED_VALUE"""),"Rooted")</f>
        <v>Rooted</v>
      </c>
      <c r="V161" s="16" t="str">
        <f>IFERROR(__xludf.DUMMYFUNCTION("""COMPUTED_VALUE"""),"ISTANBUL - BEYOGLU")</f>
        <v>ISTANBUL - BEYOGLU</v>
      </c>
      <c r="W161" s="16" t="str">
        <f>IFERROR(__xludf.DUMMYFUNCTION("""COMPUTED_VALUE"""),"2023-04-24T12:54:13Z")</f>
        <v>2023-04-24T12:54:13Z</v>
      </c>
      <c r="X161" s="16"/>
      <c r="Y161" s="16"/>
      <c r="Z161" s="16"/>
    </row>
    <row r="162">
      <c r="A162" s="16" t="str">
        <f>IFERROR(__xludf.DUMMYFUNCTION("""COMPUTED_VALUE"""),"5229078_1293284")</f>
        <v>5229078_1293284</v>
      </c>
      <c r="B162" s="16" t="str">
        <f>IFERROR(__xludf.DUMMYFUNCTION("""COMPUTED_VALUE"""),"Nefise Nur Yıldız")</f>
        <v>Nefise Nur Yıldız</v>
      </c>
      <c r="C162" s="16" t="str">
        <f>IFERROR(__xludf.DUMMYFUNCTION("""COMPUTED_VALUE"""),"approved")</f>
        <v>approved</v>
      </c>
      <c r="D162" s="16" t="str">
        <f>IFERROR(__xludf.DUMMYFUNCTION("""COMPUTED_VALUE"""),"No")</f>
        <v>No</v>
      </c>
      <c r="E162" s="16" t="str">
        <f>IFERROR(__xludf.DUMMYFUNCTION("""COMPUTED_VALUE"""),"p_da1aeb987b995024f83cdfe903c185ccd107775d@inbound.aiesec.org")</f>
        <v>p_da1aeb987b995024f83cdfe903c185ccd107775d@inbound.aiesec.org</v>
      </c>
      <c r="F162" s="16">
        <f>IFERROR(__xludf.DUMMYFUNCTION("""COMPUTED_VALUE"""),5.515515264E9)</f>
        <v>5515515264</v>
      </c>
      <c r="G162" s="16" t="str">
        <f>IFERROR(__xludf.DUMMYFUNCTION("""COMPUTED_VALUE"""),"Turkey")</f>
        <v>Turkey</v>
      </c>
      <c r="H162" s="16" t="str">
        <f>IFERROR(__xludf.DUMMYFUNCTION("""COMPUTED_VALUE"""),"ISTANBUL")</f>
        <v>ISTANBUL</v>
      </c>
      <c r="I162" s="16" t="str">
        <f>IFERROR(__xludf.DUMMYFUNCTION("""COMPUTED_VALUE"""),"Czech Republic")</f>
        <v>Czech Republic</v>
      </c>
      <c r="J162" s="16" t="str">
        <f>IFERROR(__xludf.DUMMYFUNCTION("""COMPUTED_VALUE"""),"PILSEN")</f>
        <v>PILSEN</v>
      </c>
      <c r="K162" s="17" t="str">
        <f>IFERROR(__xludf.DUMMYFUNCTION("""COMPUTED_VALUE"""),"https://expa.aiesec.org/opportunities/1293284")</f>
        <v>https://expa.aiesec.org/opportunities/1293284</v>
      </c>
      <c r="L162" s="16" t="str">
        <f>IFERROR(__xludf.DUMMYFUNCTION("""COMPUTED_VALUE"""),"GV")</f>
        <v>GV</v>
      </c>
      <c r="M162" s="16" t="str">
        <f>IFERROR(__xludf.DUMMYFUNCTION("""COMPUTED_VALUE"""),"short")</f>
        <v>short</v>
      </c>
      <c r="N162" s="18">
        <f>IFERROR(__xludf.DUMMYFUNCTION("""COMPUTED_VALUE"""),45048.0)</f>
        <v>45048</v>
      </c>
      <c r="O162" s="18">
        <f>IFERROR(__xludf.DUMMYFUNCTION("""COMPUTED_VALUE"""),45173.0)</f>
        <v>45173</v>
      </c>
      <c r="P162" s="18">
        <f>IFERROR(__xludf.DUMMYFUNCTION("""COMPUTED_VALUE"""),45215.0)</f>
        <v>45215</v>
      </c>
      <c r="Q162" s="18"/>
      <c r="R162" s="18"/>
      <c r="S162" s="16"/>
      <c r="T162" s="16"/>
      <c r="U162" s="16" t="str">
        <f>IFERROR(__xludf.DUMMYFUNCTION("""COMPUTED_VALUE"""),"Youth 4 Impact")</f>
        <v>Youth 4 Impact</v>
      </c>
      <c r="V162" s="16" t="str">
        <f>IFERROR(__xludf.DUMMYFUNCTION("""COMPUTED_VALUE"""),"ISTANBUL - BEYOGLU")</f>
        <v>ISTANBUL - BEYOGLU</v>
      </c>
      <c r="W162" s="16" t="str">
        <f>IFERROR(__xludf.DUMMYFUNCTION("""COMPUTED_VALUE"""),"2023-03-28T14:13:24Z")</f>
        <v>2023-03-28T14:13:24Z</v>
      </c>
      <c r="X162" s="16"/>
      <c r="Y162" s="16"/>
      <c r="Z162" s="16"/>
    </row>
    <row r="163">
      <c r="A163" s="16" t="str">
        <f>IFERROR(__xludf.DUMMYFUNCTION("""COMPUTED_VALUE"""),"5205174_1293863")</f>
        <v>5205174_1293863</v>
      </c>
      <c r="B163" s="16" t="str">
        <f>IFERROR(__xludf.DUMMYFUNCTION("""COMPUTED_VALUE"""),"Ece Arslan")</f>
        <v>Ece Arslan</v>
      </c>
      <c r="C163" s="16" t="str">
        <f>IFERROR(__xludf.DUMMYFUNCTION("""COMPUTED_VALUE"""),"completed")</f>
        <v>completed</v>
      </c>
      <c r="D163" s="16" t="str">
        <f>IFERROR(__xludf.DUMMYFUNCTION("""COMPUTED_VALUE"""),"No")</f>
        <v>No</v>
      </c>
      <c r="E163" s="16" t="str">
        <f>IFERROR(__xludf.DUMMYFUNCTION("""COMPUTED_VALUE"""),"p_2ac2a11f325d0fe73055f28f966e83861eeb7a8f@inbound.aiesec.org")</f>
        <v>p_2ac2a11f325d0fe73055f28f966e83861eeb7a8f@inbound.aiesec.org</v>
      </c>
      <c r="F163" s="16"/>
      <c r="G163" s="16" t="str">
        <f>IFERROR(__xludf.DUMMYFUNCTION("""COMPUTED_VALUE"""),"Turkey")</f>
        <v>Turkey</v>
      </c>
      <c r="H163" s="16" t="str">
        <f>IFERROR(__xludf.DUMMYFUNCTION("""COMPUTED_VALUE"""),"ISTANBUL")</f>
        <v>ISTANBUL</v>
      </c>
      <c r="I163" s="16" t="str">
        <f>IFERROR(__xludf.DUMMYFUNCTION("""COMPUTED_VALUE"""),"Italy")</f>
        <v>Italy</v>
      </c>
      <c r="J163" s="16" t="str">
        <f>IFERROR(__xludf.DUMMYFUNCTION("""COMPUTED_VALUE"""),"Napoli Federico II")</f>
        <v>Napoli Federico II</v>
      </c>
      <c r="K163" s="17" t="str">
        <f>IFERROR(__xludf.DUMMYFUNCTION("""COMPUTED_VALUE"""),"https://expa.aiesec.org/opportunities/1293863")</f>
        <v>https://expa.aiesec.org/opportunities/1293863</v>
      </c>
      <c r="L163" s="16" t="str">
        <f>IFERROR(__xludf.DUMMYFUNCTION("""COMPUTED_VALUE"""),"GV")</f>
        <v>GV</v>
      </c>
      <c r="M163" s="16" t="str">
        <f>IFERROR(__xludf.DUMMYFUNCTION("""COMPUTED_VALUE"""),"short")</f>
        <v>short</v>
      </c>
      <c r="N163" s="18">
        <f>IFERROR(__xludf.DUMMYFUNCTION("""COMPUTED_VALUE"""),45048.0)</f>
        <v>45048</v>
      </c>
      <c r="O163" s="18">
        <f>IFERROR(__xludf.DUMMYFUNCTION("""COMPUTED_VALUE"""),45089.0)</f>
        <v>45089</v>
      </c>
      <c r="P163" s="18">
        <f>IFERROR(__xludf.DUMMYFUNCTION("""COMPUTED_VALUE"""),45131.0)</f>
        <v>45131</v>
      </c>
      <c r="Q163" s="18">
        <f>IFERROR(__xludf.DUMMYFUNCTION("""COMPUTED_VALUE"""),45090.0)</f>
        <v>45090</v>
      </c>
      <c r="R163" s="18">
        <f>IFERROR(__xludf.DUMMYFUNCTION("""COMPUTED_VALUE"""),45131.0)</f>
        <v>45131</v>
      </c>
      <c r="S163" s="16"/>
      <c r="T163" s="16"/>
      <c r="U163" s="16" t="str">
        <f>IFERROR(__xludf.DUMMYFUNCTION("""COMPUTED_VALUE"""),"Green Leaders")</f>
        <v>Green Leaders</v>
      </c>
      <c r="V163" s="16" t="str">
        <f>IFERROR(__xludf.DUMMYFUNCTION("""COMPUTED_VALUE"""),"-")</f>
        <v>-</v>
      </c>
      <c r="W163" s="16" t="str">
        <f>IFERROR(__xludf.DUMMYFUNCTION("""COMPUTED_VALUE"""),"2023-03-04T09:35:04Z")</f>
        <v>2023-03-04T09:35:04Z</v>
      </c>
      <c r="X163" s="16"/>
      <c r="Y163" s="16"/>
      <c r="Z163" s="16"/>
    </row>
    <row r="164">
      <c r="A164" s="16" t="str">
        <f>IFERROR(__xludf.DUMMYFUNCTION("""COMPUTED_VALUE"""),"5255310_1294176")</f>
        <v>5255310_1294176</v>
      </c>
      <c r="B164" s="16" t="str">
        <f>IFERROR(__xludf.DUMMYFUNCTION("""COMPUTED_VALUE"""),"Beytullah Sönmez")</f>
        <v>Beytullah Sönmez</v>
      </c>
      <c r="C164" s="16" t="str">
        <f>IFERROR(__xludf.DUMMYFUNCTION("""COMPUTED_VALUE"""),"approved")</f>
        <v>approved</v>
      </c>
      <c r="D164" s="16" t="str">
        <f>IFERROR(__xludf.DUMMYFUNCTION("""COMPUTED_VALUE"""),"No")</f>
        <v>No</v>
      </c>
      <c r="E164" s="16" t="str">
        <f>IFERROR(__xludf.DUMMYFUNCTION("""COMPUTED_VALUE"""),"p_e4d96c8f1a8c226fcb897387d5296591268c9c40@inbound.aiesec.org")</f>
        <v>p_e4d96c8f1a8c226fcb897387d5296591268c9c40@inbound.aiesec.org</v>
      </c>
      <c r="F164" s="16">
        <f>IFERROR(__xludf.DUMMYFUNCTION("""COMPUTED_VALUE"""),5.469538743E9)</f>
        <v>5469538743</v>
      </c>
      <c r="G164" s="16" t="str">
        <f>IFERROR(__xludf.DUMMYFUNCTION("""COMPUTED_VALUE"""),"Turkey")</f>
        <v>Turkey</v>
      </c>
      <c r="H164" s="16" t="str">
        <f>IFERROR(__xludf.DUMMYFUNCTION("""COMPUTED_VALUE"""),"ISTANBUL")</f>
        <v>ISTANBUL</v>
      </c>
      <c r="I164" s="16" t="str">
        <f>IFERROR(__xludf.DUMMYFUNCTION("""COMPUTED_VALUE"""),"Egypt")</f>
        <v>Egypt</v>
      </c>
      <c r="J164" s="16" t="str">
        <f>IFERROR(__xludf.DUMMYFUNCTION("""COMPUTED_VALUE"""),"Ain Shams University")</f>
        <v>Ain Shams University</v>
      </c>
      <c r="K164" s="17" t="str">
        <f>IFERROR(__xludf.DUMMYFUNCTION("""COMPUTED_VALUE"""),"https://expa.aiesec.org/opportunities/1294176")</f>
        <v>https://expa.aiesec.org/opportunities/1294176</v>
      </c>
      <c r="L164" s="16" t="str">
        <f>IFERROR(__xludf.DUMMYFUNCTION("""COMPUTED_VALUE"""),"GV")</f>
        <v>GV</v>
      </c>
      <c r="M164" s="16" t="str">
        <f>IFERROR(__xludf.DUMMYFUNCTION("""COMPUTED_VALUE"""),"short")</f>
        <v>short</v>
      </c>
      <c r="N164" s="18">
        <f>IFERROR(__xludf.DUMMYFUNCTION("""COMPUTED_VALUE"""),45049.0)</f>
        <v>45049</v>
      </c>
      <c r="O164" s="18">
        <f>IFERROR(__xludf.DUMMYFUNCTION("""COMPUTED_VALUE"""),45122.0)</f>
        <v>45122</v>
      </c>
      <c r="P164" s="18">
        <f>IFERROR(__xludf.DUMMYFUNCTION("""COMPUTED_VALUE"""),45164.0)</f>
        <v>45164</v>
      </c>
      <c r="Q164" s="18"/>
      <c r="R164" s="18"/>
      <c r="S164" s="16"/>
      <c r="T164" s="16"/>
      <c r="U164" s="16" t="str">
        <f>IFERROR(__xludf.DUMMYFUNCTION("""COMPUTED_VALUE"""),"Global Classroom")</f>
        <v>Global Classroom</v>
      </c>
      <c r="V164" s="16" t="str">
        <f>IFERROR(__xludf.DUMMYFUNCTION("""COMPUTED_VALUE"""),"ISTANBUL - BEYOGLU")</f>
        <v>ISTANBUL - BEYOGLU</v>
      </c>
      <c r="W164" s="16" t="str">
        <f>IFERROR(__xludf.DUMMYFUNCTION("""COMPUTED_VALUE"""),"2023-05-03T18:13:27Z")</f>
        <v>2023-05-03T18:13:27Z</v>
      </c>
      <c r="X164" s="16"/>
      <c r="Y164" s="16"/>
      <c r="Z164" s="16"/>
    </row>
    <row r="165">
      <c r="A165" s="16" t="str">
        <f>IFERROR(__xludf.DUMMYFUNCTION("""COMPUTED_VALUE"""),"5244600_1293200")</f>
        <v>5244600_1293200</v>
      </c>
      <c r="B165" s="16" t="str">
        <f>IFERROR(__xludf.DUMMYFUNCTION("""COMPUTED_VALUE"""),"Esin Yüzen")</f>
        <v>Esin Yüzen</v>
      </c>
      <c r="C165" s="16" t="str">
        <f>IFERROR(__xludf.DUMMYFUNCTION("""COMPUTED_VALUE"""),"completed")</f>
        <v>completed</v>
      </c>
      <c r="D165" s="16" t="str">
        <f>IFERROR(__xludf.DUMMYFUNCTION("""COMPUTED_VALUE"""),"No")</f>
        <v>No</v>
      </c>
      <c r="E165" s="16" t="str">
        <f>IFERROR(__xludf.DUMMYFUNCTION("""COMPUTED_VALUE"""),"p_ebea1bc1208eb2647540d38ff119a46d3fae6b21@inbound.aiesec.org")</f>
        <v>p_ebea1bc1208eb2647540d38ff119a46d3fae6b21@inbound.aiesec.org</v>
      </c>
      <c r="F165" s="16"/>
      <c r="G165" s="16" t="str">
        <f>IFERROR(__xludf.DUMMYFUNCTION("""COMPUTED_VALUE"""),"Turkey")</f>
        <v>Turkey</v>
      </c>
      <c r="H165" s="16" t="str">
        <f>IFERROR(__xludf.DUMMYFUNCTION("""COMPUTED_VALUE"""),"ISTANBUL")</f>
        <v>ISTANBUL</v>
      </c>
      <c r="I165" s="16" t="str">
        <f>IFERROR(__xludf.DUMMYFUNCTION("""COMPUTED_VALUE"""),"Tunisia")</f>
        <v>Tunisia</v>
      </c>
      <c r="J165" s="16" t="str">
        <f>IFERROR(__xludf.DUMMYFUNCTION("""COMPUTED_VALUE"""),"RUSPINA")</f>
        <v>RUSPINA</v>
      </c>
      <c r="K165" s="17" t="str">
        <f>IFERROR(__xludf.DUMMYFUNCTION("""COMPUTED_VALUE"""),"https://expa.aiesec.org/opportunities/1293200")</f>
        <v>https://expa.aiesec.org/opportunities/1293200</v>
      </c>
      <c r="L165" s="16" t="str">
        <f>IFERROR(__xludf.DUMMYFUNCTION("""COMPUTED_VALUE"""),"GV")</f>
        <v>GV</v>
      </c>
      <c r="M165" s="16" t="str">
        <f>IFERROR(__xludf.DUMMYFUNCTION("""COMPUTED_VALUE"""),"short")</f>
        <v>short</v>
      </c>
      <c r="N165" s="18">
        <f>IFERROR(__xludf.DUMMYFUNCTION("""COMPUTED_VALUE"""),45049.0)</f>
        <v>45049</v>
      </c>
      <c r="O165" s="18">
        <f>IFERROR(__xludf.DUMMYFUNCTION("""COMPUTED_VALUE"""),45092.0)</f>
        <v>45092</v>
      </c>
      <c r="P165" s="18">
        <f>IFERROR(__xludf.DUMMYFUNCTION("""COMPUTED_VALUE"""),45134.0)</f>
        <v>45134</v>
      </c>
      <c r="Q165" s="18">
        <f>IFERROR(__xludf.DUMMYFUNCTION("""COMPUTED_VALUE"""),45097.0)</f>
        <v>45097</v>
      </c>
      <c r="R165" s="18">
        <f>IFERROR(__xludf.DUMMYFUNCTION("""COMPUTED_VALUE"""),45138.0)</f>
        <v>45138</v>
      </c>
      <c r="S165" s="16"/>
      <c r="T165" s="16"/>
      <c r="U165" s="16" t="str">
        <f>IFERROR(__xludf.DUMMYFUNCTION("""COMPUTED_VALUE"""),"Aquatica")</f>
        <v>Aquatica</v>
      </c>
      <c r="V165" s="16" t="str">
        <f>IFERROR(__xludf.DUMMYFUNCTION("""COMPUTED_VALUE"""),"-")</f>
        <v>-</v>
      </c>
      <c r="W165" s="16" t="str">
        <f>IFERROR(__xludf.DUMMYFUNCTION("""COMPUTED_VALUE"""),"2023-04-18T13:53:07Z")</f>
        <v>2023-04-18T13:53:07Z</v>
      </c>
      <c r="X165" s="16"/>
      <c r="Y165" s="16"/>
      <c r="Z165" s="16"/>
    </row>
    <row r="166">
      <c r="A166" s="16" t="str">
        <f>IFERROR(__xludf.DUMMYFUNCTION("""COMPUTED_VALUE"""),"5237831_1294063")</f>
        <v>5237831_1294063</v>
      </c>
      <c r="B166" s="16" t="str">
        <f>IFERROR(__xludf.DUMMYFUNCTION("""COMPUTED_VALUE"""),"Emine Irem Cetin")</f>
        <v>Emine Irem Cetin</v>
      </c>
      <c r="C166" s="16" t="str">
        <f>IFERROR(__xludf.DUMMYFUNCTION("""COMPUTED_VALUE"""),"finished")</f>
        <v>finished</v>
      </c>
      <c r="D166" s="16" t="str">
        <f>IFERROR(__xludf.DUMMYFUNCTION("""COMPUTED_VALUE"""),"No")</f>
        <v>No</v>
      </c>
      <c r="E166" s="16" t="str">
        <f>IFERROR(__xludf.DUMMYFUNCTION("""COMPUTED_VALUE"""),"p_f6229e687b7a12cd646d2ac366d90932bd4ff198@inbound.aiesec.org")</f>
        <v>p_f6229e687b7a12cd646d2ac366d90932bd4ff198@inbound.aiesec.org</v>
      </c>
      <c r="F166" s="16">
        <f>IFERROR(__xludf.DUMMYFUNCTION("""COMPUTED_VALUE"""),5.465948784E9)</f>
        <v>5465948784</v>
      </c>
      <c r="G166" s="16" t="str">
        <f>IFERROR(__xludf.DUMMYFUNCTION("""COMPUTED_VALUE"""),"Turkey")</f>
        <v>Turkey</v>
      </c>
      <c r="H166" s="16" t="str">
        <f>IFERROR(__xludf.DUMMYFUNCTION("""COMPUTED_VALUE"""),"ISTANBUL")</f>
        <v>ISTANBUL</v>
      </c>
      <c r="I166" s="16" t="str">
        <f>IFERROR(__xludf.DUMMYFUNCTION("""COMPUTED_VALUE"""),"Egypt")</f>
        <v>Egypt</v>
      </c>
      <c r="J166" s="16" t="str">
        <f>IFERROR(__xludf.DUMMYFUNCTION("""COMPUTED_VALUE"""),"Ain Shams University")</f>
        <v>Ain Shams University</v>
      </c>
      <c r="K166" s="17" t="str">
        <f>IFERROR(__xludf.DUMMYFUNCTION("""COMPUTED_VALUE"""),"https://expa.aiesec.org/opportunities/1294063")</f>
        <v>https://expa.aiesec.org/opportunities/1294063</v>
      </c>
      <c r="L166" s="16" t="str">
        <f>IFERROR(__xludf.DUMMYFUNCTION("""COMPUTED_VALUE"""),"GV")</f>
        <v>GV</v>
      </c>
      <c r="M166" s="16" t="str">
        <f>IFERROR(__xludf.DUMMYFUNCTION("""COMPUTED_VALUE"""),"short")</f>
        <v>short</v>
      </c>
      <c r="N166" s="18">
        <f>IFERROR(__xludf.DUMMYFUNCTION("""COMPUTED_VALUE"""),45049.0)</f>
        <v>45049</v>
      </c>
      <c r="O166" s="18">
        <f>IFERROR(__xludf.DUMMYFUNCTION("""COMPUTED_VALUE"""),45108.0)</f>
        <v>45108</v>
      </c>
      <c r="P166" s="18">
        <f>IFERROR(__xludf.DUMMYFUNCTION("""COMPUTED_VALUE"""),45150.0)</f>
        <v>45150</v>
      </c>
      <c r="Q166" s="18">
        <f>IFERROR(__xludf.DUMMYFUNCTION("""COMPUTED_VALUE"""),45109.0)</f>
        <v>45109</v>
      </c>
      <c r="R166" s="18">
        <f>IFERROR(__xludf.DUMMYFUNCTION("""COMPUTED_VALUE"""),45154.0)</f>
        <v>45154</v>
      </c>
      <c r="S166" s="16"/>
      <c r="T166" s="16"/>
      <c r="U166" s="16" t="str">
        <f>IFERROR(__xludf.DUMMYFUNCTION("""COMPUTED_VALUE"""),"On The Map")</f>
        <v>On The Map</v>
      </c>
      <c r="V166" s="16" t="str">
        <f>IFERROR(__xludf.DUMMYFUNCTION("""COMPUTED_VALUE"""),"ISTANBUL - BEYOGLU")</f>
        <v>ISTANBUL - BEYOGLU</v>
      </c>
      <c r="W166" s="16" t="str">
        <f>IFERROR(__xludf.DUMMYFUNCTION("""COMPUTED_VALUE"""),"2023-04-08T21:26:49Z")</f>
        <v>2023-04-08T21:26:49Z</v>
      </c>
      <c r="X166" s="16"/>
      <c r="Y166" s="16"/>
      <c r="Z166" s="16"/>
    </row>
    <row r="167">
      <c r="A167" s="16" t="str">
        <f>IFERROR(__xludf.DUMMYFUNCTION("""COMPUTED_VALUE"""),"5243690_1294062")</f>
        <v>5243690_1294062</v>
      </c>
      <c r="B167" s="16" t="str">
        <f>IFERROR(__xludf.DUMMYFUNCTION("""COMPUTED_VALUE"""),"Ayşe Akın")</f>
        <v>Ayşe Akın</v>
      </c>
      <c r="C167" s="16" t="str">
        <f>IFERROR(__xludf.DUMMYFUNCTION("""COMPUTED_VALUE"""),"completed")</f>
        <v>completed</v>
      </c>
      <c r="D167" s="16" t="str">
        <f>IFERROR(__xludf.DUMMYFUNCTION("""COMPUTED_VALUE"""),"No")</f>
        <v>No</v>
      </c>
      <c r="E167" s="16" t="str">
        <f>IFERROR(__xludf.DUMMYFUNCTION("""COMPUTED_VALUE"""),"p_ed61e8db3961fa30d1843630b7497d7d4598b26f@inbound.aiesec.org")</f>
        <v>p_ed61e8db3961fa30d1843630b7497d7d4598b26f@inbound.aiesec.org</v>
      </c>
      <c r="F167" s="16"/>
      <c r="G167" s="16" t="str">
        <f>IFERROR(__xludf.DUMMYFUNCTION("""COMPUTED_VALUE"""),"Turkey")</f>
        <v>Turkey</v>
      </c>
      <c r="H167" s="16" t="str">
        <f>IFERROR(__xludf.DUMMYFUNCTION("""COMPUTED_VALUE"""),"ISTANBUL")</f>
        <v>ISTANBUL</v>
      </c>
      <c r="I167" s="16" t="str">
        <f>IFERROR(__xludf.DUMMYFUNCTION("""COMPUTED_VALUE"""),"Tunisia")</f>
        <v>Tunisia</v>
      </c>
      <c r="J167" s="16" t="str">
        <f>IFERROR(__xludf.DUMMYFUNCTION("""COMPUTED_VALUE"""),"THYNA")</f>
        <v>THYNA</v>
      </c>
      <c r="K167" s="17" t="str">
        <f>IFERROR(__xludf.DUMMYFUNCTION("""COMPUTED_VALUE"""),"https://expa.aiesec.org/opportunities/1294062")</f>
        <v>https://expa.aiesec.org/opportunities/1294062</v>
      </c>
      <c r="L167" s="16" t="str">
        <f>IFERROR(__xludf.DUMMYFUNCTION("""COMPUTED_VALUE"""),"GV")</f>
        <v>GV</v>
      </c>
      <c r="M167" s="16" t="str">
        <f>IFERROR(__xludf.DUMMYFUNCTION("""COMPUTED_VALUE"""),"short")</f>
        <v>short</v>
      </c>
      <c r="N167" s="18">
        <f>IFERROR(__xludf.DUMMYFUNCTION("""COMPUTED_VALUE"""),45049.0)</f>
        <v>45049</v>
      </c>
      <c r="O167" s="18">
        <f>IFERROR(__xludf.DUMMYFUNCTION("""COMPUTED_VALUE"""),45131.0)</f>
        <v>45131</v>
      </c>
      <c r="P167" s="18">
        <f>IFERROR(__xludf.DUMMYFUNCTION("""COMPUTED_VALUE"""),45173.0)</f>
        <v>45173</v>
      </c>
      <c r="Q167" s="18">
        <f>IFERROR(__xludf.DUMMYFUNCTION("""COMPUTED_VALUE"""),45131.0)</f>
        <v>45131</v>
      </c>
      <c r="R167" s="18">
        <f>IFERROR(__xludf.DUMMYFUNCTION("""COMPUTED_VALUE"""),45173.0)</f>
        <v>45173</v>
      </c>
      <c r="S167" s="16"/>
      <c r="T167" s="16"/>
      <c r="U167" s="16" t="str">
        <f>IFERROR(__xludf.DUMMYFUNCTION("""COMPUTED_VALUE"""),"Aquatica")</f>
        <v>Aquatica</v>
      </c>
      <c r="V167" s="16" t="str">
        <f>IFERROR(__xludf.DUMMYFUNCTION("""COMPUTED_VALUE"""),"-")</f>
        <v>-</v>
      </c>
      <c r="W167" s="16" t="str">
        <f>IFERROR(__xludf.DUMMYFUNCTION("""COMPUTED_VALUE"""),"2023-04-17T11:22:40Z")</f>
        <v>2023-04-17T11:22:40Z</v>
      </c>
      <c r="X167" s="16"/>
      <c r="Y167" s="16"/>
      <c r="Z167" s="16"/>
    </row>
    <row r="168">
      <c r="A168" s="16" t="str">
        <f>IFERROR(__xludf.DUMMYFUNCTION("""COMPUTED_VALUE"""),"5191990_1294459")</f>
        <v>5191990_1294459</v>
      </c>
      <c r="B168" s="16" t="str">
        <f>IFERROR(__xludf.DUMMYFUNCTION("""COMPUTED_VALUE"""),"Zeynep Sena Akşehirli")</f>
        <v>Zeynep Sena Akşehirli</v>
      </c>
      <c r="C168" s="16" t="str">
        <f>IFERROR(__xludf.DUMMYFUNCTION("""COMPUTED_VALUE"""),"approved")</f>
        <v>approved</v>
      </c>
      <c r="D168" s="16" t="str">
        <f>IFERROR(__xludf.DUMMYFUNCTION("""COMPUTED_VALUE"""),"No")</f>
        <v>No</v>
      </c>
      <c r="E168" s="16" t="str">
        <f>IFERROR(__xludf.DUMMYFUNCTION("""COMPUTED_VALUE"""),"p_17146e10f8352697aec8c2e64347bfc735455a78@inbound.aiesec.org")</f>
        <v>p_17146e10f8352697aec8c2e64347bfc735455a78@inbound.aiesec.org</v>
      </c>
      <c r="F168" s="16">
        <f>IFERROR(__xludf.DUMMYFUNCTION("""COMPUTED_VALUE"""),5.528228975E9)</f>
        <v>5528228975</v>
      </c>
      <c r="G168" s="16" t="str">
        <f>IFERROR(__xludf.DUMMYFUNCTION("""COMPUTED_VALUE"""),"Turkey")</f>
        <v>Turkey</v>
      </c>
      <c r="H168" s="16" t="str">
        <f>IFERROR(__xludf.DUMMYFUNCTION("""COMPUTED_VALUE"""),"ISTANBUL")</f>
        <v>ISTANBUL</v>
      </c>
      <c r="I168" s="16" t="str">
        <f>IFERROR(__xludf.DUMMYFUNCTION("""COMPUTED_VALUE"""),"Egypt")</f>
        <v>Egypt</v>
      </c>
      <c r="J168" s="16" t="str">
        <f>IFERROR(__xludf.DUMMYFUNCTION("""COMPUTED_VALUE"""),"Cairo University")</f>
        <v>Cairo University</v>
      </c>
      <c r="K168" s="17" t="str">
        <f>IFERROR(__xludf.DUMMYFUNCTION("""COMPUTED_VALUE"""),"https://expa.aiesec.org/opportunities/1294459")</f>
        <v>https://expa.aiesec.org/opportunities/1294459</v>
      </c>
      <c r="L168" s="16" t="str">
        <f>IFERROR(__xludf.DUMMYFUNCTION("""COMPUTED_VALUE"""),"GV")</f>
        <v>GV</v>
      </c>
      <c r="M168" s="16" t="str">
        <f>IFERROR(__xludf.DUMMYFUNCTION("""COMPUTED_VALUE"""),"short")</f>
        <v>short</v>
      </c>
      <c r="N168" s="18">
        <f>IFERROR(__xludf.DUMMYFUNCTION("""COMPUTED_VALUE"""),45049.0)</f>
        <v>45049</v>
      </c>
      <c r="O168" s="18">
        <f>IFERROR(__xludf.DUMMYFUNCTION("""COMPUTED_VALUE"""),45159.0)</f>
        <v>45159</v>
      </c>
      <c r="P168" s="18">
        <f>IFERROR(__xludf.DUMMYFUNCTION("""COMPUTED_VALUE"""),45203.0)</f>
        <v>45203</v>
      </c>
      <c r="Q168" s="18"/>
      <c r="R168" s="18"/>
      <c r="S168" s="16"/>
      <c r="T168" s="16"/>
      <c r="U168" s="16" t="str">
        <f>IFERROR(__xludf.DUMMYFUNCTION("""COMPUTED_VALUE"""),"Global Classroom")</f>
        <v>Global Classroom</v>
      </c>
      <c r="V168" s="16" t="str">
        <f>IFERROR(__xludf.DUMMYFUNCTION("""COMPUTED_VALUE"""),"KAYSERI")</f>
        <v>KAYSERI</v>
      </c>
      <c r="W168" s="16" t="str">
        <f>IFERROR(__xludf.DUMMYFUNCTION("""COMPUTED_VALUE"""),"2023-02-16T10:00:43Z")</f>
        <v>2023-02-16T10:00:43Z</v>
      </c>
      <c r="X168" s="16"/>
      <c r="Y168" s="16"/>
      <c r="Z168" s="16"/>
    </row>
    <row r="169">
      <c r="A169" s="16" t="str">
        <f>IFERROR(__xludf.DUMMYFUNCTION("""COMPUTED_VALUE"""),"5238829_1294062")</f>
        <v>5238829_1294062</v>
      </c>
      <c r="B169" s="16" t="str">
        <f>IFERROR(__xludf.DUMMYFUNCTION("""COMPUTED_VALUE"""),"ceren erhüner")</f>
        <v>ceren erhüner</v>
      </c>
      <c r="C169" s="16" t="str">
        <f>IFERROR(__xludf.DUMMYFUNCTION("""COMPUTED_VALUE"""),"completed")</f>
        <v>completed</v>
      </c>
      <c r="D169" s="16" t="str">
        <f>IFERROR(__xludf.DUMMYFUNCTION("""COMPUTED_VALUE"""),"No")</f>
        <v>No</v>
      </c>
      <c r="E169" s="16" t="str">
        <f>IFERROR(__xludf.DUMMYFUNCTION("""COMPUTED_VALUE"""),"p_cf6631955c692ddd05c25a858f0da49965a10a38@inbound.aiesec.org")</f>
        <v>p_cf6631955c692ddd05c25a858f0da49965a10a38@inbound.aiesec.org</v>
      </c>
      <c r="F169" s="16"/>
      <c r="G169" s="16" t="str">
        <f>IFERROR(__xludf.DUMMYFUNCTION("""COMPUTED_VALUE"""),"Turkey")</f>
        <v>Turkey</v>
      </c>
      <c r="H169" s="16" t="str">
        <f>IFERROR(__xludf.DUMMYFUNCTION("""COMPUTED_VALUE"""),"ISTANBUL")</f>
        <v>ISTANBUL</v>
      </c>
      <c r="I169" s="16" t="str">
        <f>IFERROR(__xludf.DUMMYFUNCTION("""COMPUTED_VALUE"""),"Tunisia")</f>
        <v>Tunisia</v>
      </c>
      <c r="J169" s="16" t="str">
        <f>IFERROR(__xludf.DUMMYFUNCTION("""COMPUTED_VALUE"""),"THYNA")</f>
        <v>THYNA</v>
      </c>
      <c r="K169" s="17" t="str">
        <f>IFERROR(__xludf.DUMMYFUNCTION("""COMPUTED_VALUE"""),"https://expa.aiesec.org/opportunities/1294062")</f>
        <v>https://expa.aiesec.org/opportunities/1294062</v>
      </c>
      <c r="L169" s="16" t="str">
        <f>IFERROR(__xludf.DUMMYFUNCTION("""COMPUTED_VALUE"""),"GV")</f>
        <v>GV</v>
      </c>
      <c r="M169" s="16" t="str">
        <f>IFERROR(__xludf.DUMMYFUNCTION("""COMPUTED_VALUE"""),"short")</f>
        <v>short</v>
      </c>
      <c r="N169" s="18">
        <f>IFERROR(__xludf.DUMMYFUNCTION("""COMPUTED_VALUE"""),45049.0)</f>
        <v>45049</v>
      </c>
      <c r="O169" s="18">
        <f>IFERROR(__xludf.DUMMYFUNCTION("""COMPUTED_VALUE"""),45131.0)</f>
        <v>45131</v>
      </c>
      <c r="P169" s="18">
        <f>IFERROR(__xludf.DUMMYFUNCTION("""COMPUTED_VALUE"""),45173.0)</f>
        <v>45173</v>
      </c>
      <c r="Q169" s="18">
        <f>IFERROR(__xludf.DUMMYFUNCTION("""COMPUTED_VALUE"""),45131.0)</f>
        <v>45131</v>
      </c>
      <c r="R169" s="18">
        <f>IFERROR(__xludf.DUMMYFUNCTION("""COMPUTED_VALUE"""),45173.0)</f>
        <v>45173</v>
      </c>
      <c r="S169" s="16"/>
      <c r="T169" s="16"/>
      <c r="U169" s="16" t="str">
        <f>IFERROR(__xludf.DUMMYFUNCTION("""COMPUTED_VALUE"""),"Aquatica")</f>
        <v>Aquatica</v>
      </c>
      <c r="V169" s="16" t="str">
        <f>IFERROR(__xludf.DUMMYFUNCTION("""COMPUTED_VALUE"""),"-")</f>
        <v>-</v>
      </c>
      <c r="W169" s="16" t="str">
        <f>IFERROR(__xludf.DUMMYFUNCTION("""COMPUTED_VALUE"""),"2023-04-10T12:51:38Z")</f>
        <v>2023-04-10T12:51:38Z</v>
      </c>
      <c r="X169" s="16"/>
      <c r="Y169" s="16"/>
      <c r="Z169" s="16"/>
    </row>
    <row r="170">
      <c r="A170" s="16" t="str">
        <f>IFERROR(__xludf.DUMMYFUNCTION("""COMPUTED_VALUE"""),"5242148_1294234")</f>
        <v>5242148_1294234</v>
      </c>
      <c r="B170" s="16" t="str">
        <f>IFERROR(__xludf.DUMMYFUNCTION("""COMPUTED_VALUE"""),"Kaan Kulaksız")</f>
        <v>Kaan Kulaksız</v>
      </c>
      <c r="C170" s="16" t="str">
        <f>IFERROR(__xludf.DUMMYFUNCTION("""COMPUTED_VALUE"""),"completed")</f>
        <v>completed</v>
      </c>
      <c r="D170" s="16" t="str">
        <f>IFERROR(__xludf.DUMMYFUNCTION("""COMPUTED_VALUE"""),"No")</f>
        <v>No</v>
      </c>
      <c r="E170" s="16" t="str">
        <f>IFERROR(__xludf.DUMMYFUNCTION("""COMPUTED_VALUE"""),"p_1d290e9007f9baada0f180f9c6b4529dee501041@inbound.aiesec.org")</f>
        <v>p_1d290e9007f9baada0f180f9c6b4529dee501041@inbound.aiesec.org</v>
      </c>
      <c r="F170" s="16">
        <f>IFERROR(__xludf.DUMMYFUNCTION("""COMPUTED_VALUE"""),5.319187856E9)</f>
        <v>5319187856</v>
      </c>
      <c r="G170" s="16" t="str">
        <f>IFERROR(__xludf.DUMMYFUNCTION("""COMPUTED_VALUE"""),"Turkey")</f>
        <v>Turkey</v>
      </c>
      <c r="H170" s="16" t="str">
        <f>IFERROR(__xludf.DUMMYFUNCTION("""COMPUTED_VALUE"""),"ISTANBUL")</f>
        <v>ISTANBUL</v>
      </c>
      <c r="I170" s="16" t="str">
        <f>IFERROR(__xludf.DUMMYFUNCTION("""COMPUTED_VALUE"""),"Azerbaijan")</f>
        <v>Azerbaijan</v>
      </c>
      <c r="J170" s="16" t="str">
        <f>IFERROR(__xludf.DUMMYFUNCTION("""COMPUTED_VALUE"""),"Baku ADA")</f>
        <v>Baku ADA</v>
      </c>
      <c r="K170" s="17" t="str">
        <f>IFERROR(__xludf.DUMMYFUNCTION("""COMPUTED_VALUE"""),"https://expa.aiesec.org/opportunities/1294234")</f>
        <v>https://expa.aiesec.org/opportunities/1294234</v>
      </c>
      <c r="L170" s="16" t="str">
        <f>IFERROR(__xludf.DUMMYFUNCTION("""COMPUTED_VALUE"""),"GV")</f>
        <v>GV</v>
      </c>
      <c r="M170" s="16" t="str">
        <f>IFERROR(__xludf.DUMMYFUNCTION("""COMPUTED_VALUE"""),"short")</f>
        <v>short</v>
      </c>
      <c r="N170" s="18">
        <f>IFERROR(__xludf.DUMMYFUNCTION("""COMPUTED_VALUE"""),45050.0)</f>
        <v>45050</v>
      </c>
      <c r="O170" s="18">
        <f>IFERROR(__xludf.DUMMYFUNCTION("""COMPUTED_VALUE"""),45102.0)</f>
        <v>45102</v>
      </c>
      <c r="P170" s="18">
        <f>IFERROR(__xludf.DUMMYFUNCTION("""COMPUTED_VALUE"""),45144.0)</f>
        <v>45144</v>
      </c>
      <c r="Q170" s="18">
        <f>IFERROR(__xludf.DUMMYFUNCTION("""COMPUTED_VALUE"""),45103.0)</f>
        <v>45103</v>
      </c>
      <c r="R170" s="18">
        <f>IFERROR(__xludf.DUMMYFUNCTION("""COMPUTED_VALUE"""),45144.0)</f>
        <v>45144</v>
      </c>
      <c r="S170" s="16"/>
      <c r="T170" s="16"/>
      <c r="U170" s="16" t="str">
        <f>IFERROR(__xludf.DUMMYFUNCTION("""COMPUTED_VALUE"""),"Youth 4 Impact")</f>
        <v>Youth 4 Impact</v>
      </c>
      <c r="V170" s="16" t="str">
        <f>IFERROR(__xludf.DUMMYFUNCTION("""COMPUTED_VALUE"""),"ISTANBUL - BEYOGLU")</f>
        <v>ISTANBUL - BEYOGLU</v>
      </c>
      <c r="W170" s="16" t="str">
        <f>IFERROR(__xludf.DUMMYFUNCTION("""COMPUTED_VALUE"""),"2023-04-14T16:58:44Z")</f>
        <v>2023-04-14T16:58:44Z</v>
      </c>
      <c r="X170" s="16"/>
      <c r="Y170" s="16"/>
      <c r="Z170" s="16"/>
    </row>
    <row r="171">
      <c r="A171" s="16" t="str">
        <f>IFERROR(__xludf.DUMMYFUNCTION("""COMPUTED_VALUE"""),"5253931_1288609")</f>
        <v>5253931_1288609</v>
      </c>
      <c r="B171" s="16" t="str">
        <f>IFERROR(__xludf.DUMMYFUNCTION("""COMPUTED_VALUE"""),"Eray Tunç")</f>
        <v>Eray Tunç</v>
      </c>
      <c r="C171" s="16" t="str">
        <f>IFERROR(__xludf.DUMMYFUNCTION("""COMPUTED_VALUE"""),"approved")</f>
        <v>approved</v>
      </c>
      <c r="D171" s="16" t="str">
        <f>IFERROR(__xludf.DUMMYFUNCTION("""COMPUTED_VALUE"""),"No")</f>
        <v>No</v>
      </c>
      <c r="E171" s="16" t="str">
        <f>IFERROR(__xludf.DUMMYFUNCTION("""COMPUTED_VALUE"""),"p_789f86b1c447e3bef2d094185baba596eb5f50e7@inbound.aiesec.org")</f>
        <v>p_789f86b1c447e3bef2d094185baba596eb5f50e7@inbound.aiesec.org</v>
      </c>
      <c r="F171" s="16"/>
      <c r="G171" s="16" t="str">
        <f>IFERROR(__xludf.DUMMYFUNCTION("""COMPUTED_VALUE"""),"Turkey")</f>
        <v>Turkey</v>
      </c>
      <c r="H171" s="16" t="str">
        <f>IFERROR(__xludf.DUMMYFUNCTION("""COMPUTED_VALUE"""),"ISTANBUL")</f>
        <v>ISTANBUL</v>
      </c>
      <c r="I171" s="16" t="str">
        <f>IFERROR(__xludf.DUMMYFUNCTION("""COMPUTED_VALUE"""),"Egypt")</f>
        <v>Egypt</v>
      </c>
      <c r="J171" s="16" t="str">
        <f>IFERROR(__xludf.DUMMYFUNCTION("""COMPUTED_VALUE"""),"Tanta")</f>
        <v>Tanta</v>
      </c>
      <c r="K171" s="17" t="str">
        <f>IFERROR(__xludf.DUMMYFUNCTION("""COMPUTED_VALUE"""),"https://expa.aiesec.org/opportunities/1288609")</f>
        <v>https://expa.aiesec.org/opportunities/1288609</v>
      </c>
      <c r="L171" s="16" t="str">
        <f>IFERROR(__xludf.DUMMYFUNCTION("""COMPUTED_VALUE"""),"GV")</f>
        <v>GV</v>
      </c>
      <c r="M171" s="16" t="str">
        <f>IFERROR(__xludf.DUMMYFUNCTION("""COMPUTED_VALUE"""),"short")</f>
        <v>short</v>
      </c>
      <c r="N171" s="18">
        <f>IFERROR(__xludf.DUMMYFUNCTION("""COMPUTED_VALUE"""),45050.0)</f>
        <v>45050</v>
      </c>
      <c r="O171" s="18">
        <f>IFERROR(__xludf.DUMMYFUNCTION("""COMPUTED_VALUE"""),45139.0)</f>
        <v>45139</v>
      </c>
      <c r="P171" s="18">
        <f>IFERROR(__xludf.DUMMYFUNCTION("""COMPUTED_VALUE"""),45181.0)</f>
        <v>45181</v>
      </c>
      <c r="Q171" s="18"/>
      <c r="R171" s="18"/>
      <c r="S171" s="16"/>
      <c r="T171" s="16"/>
      <c r="U171" s="16" t="str">
        <f>IFERROR(__xludf.DUMMYFUNCTION("""COMPUTED_VALUE"""),"On The Map")</f>
        <v>On The Map</v>
      </c>
      <c r="V171" s="16" t="str">
        <f>IFERROR(__xludf.DUMMYFUNCTION("""COMPUTED_VALUE"""),"-")</f>
        <v>-</v>
      </c>
      <c r="W171" s="16" t="str">
        <f>IFERROR(__xludf.DUMMYFUNCTION("""COMPUTED_VALUE"""),"2023-05-01T21:21:01Z")</f>
        <v>2023-05-01T21:21:01Z</v>
      </c>
      <c r="X171" s="16"/>
      <c r="Y171" s="16"/>
      <c r="Z171" s="16"/>
    </row>
    <row r="172">
      <c r="A172" s="16" t="str">
        <f>IFERROR(__xludf.DUMMYFUNCTION("""COMPUTED_VALUE"""),"5245243_1292800")</f>
        <v>5245243_1292800</v>
      </c>
      <c r="B172" s="16" t="str">
        <f>IFERROR(__xludf.DUMMYFUNCTION("""COMPUTED_VALUE"""),"Ayşe Sude Yıldırım")</f>
        <v>Ayşe Sude Yıldırım</v>
      </c>
      <c r="C172" s="16" t="str">
        <f>IFERROR(__xludf.DUMMYFUNCTION("""COMPUTED_VALUE"""),"completed")</f>
        <v>completed</v>
      </c>
      <c r="D172" s="16" t="str">
        <f>IFERROR(__xludf.DUMMYFUNCTION("""COMPUTED_VALUE"""),"No")</f>
        <v>No</v>
      </c>
      <c r="E172" s="16" t="str">
        <f>IFERROR(__xludf.DUMMYFUNCTION("""COMPUTED_VALUE"""),"p_2fa641d49b87a83135ed99a4c1d3eb6c30e48a16@inbound.aiesec.org")</f>
        <v>p_2fa641d49b87a83135ed99a4c1d3eb6c30e48a16@inbound.aiesec.org</v>
      </c>
      <c r="F172" s="16">
        <f>IFERROR(__xludf.DUMMYFUNCTION("""COMPUTED_VALUE"""),5.333409782E9)</f>
        <v>5333409782</v>
      </c>
      <c r="G172" s="16" t="str">
        <f>IFERROR(__xludf.DUMMYFUNCTION("""COMPUTED_VALUE"""),"Turkey")</f>
        <v>Turkey</v>
      </c>
      <c r="H172" s="16" t="str">
        <f>IFERROR(__xludf.DUMMYFUNCTION("""COMPUTED_VALUE"""),"ISTANBUL")</f>
        <v>ISTANBUL</v>
      </c>
      <c r="I172" s="16" t="str">
        <f>IFERROR(__xludf.DUMMYFUNCTION("""COMPUTED_VALUE"""),"Tunisia")</f>
        <v>Tunisia</v>
      </c>
      <c r="J172" s="16" t="str">
        <f>IFERROR(__xludf.DUMMYFUNCTION("""COMPUTED_VALUE"""),"UNIVERSITY")</f>
        <v>UNIVERSITY</v>
      </c>
      <c r="K172" s="17" t="str">
        <f>IFERROR(__xludf.DUMMYFUNCTION("""COMPUTED_VALUE"""),"https://expa.aiesec.org/opportunities/1292800")</f>
        <v>https://expa.aiesec.org/opportunities/1292800</v>
      </c>
      <c r="L172" s="16" t="str">
        <f>IFERROR(__xludf.DUMMYFUNCTION("""COMPUTED_VALUE"""),"GV")</f>
        <v>GV</v>
      </c>
      <c r="M172" s="16" t="str">
        <f>IFERROR(__xludf.DUMMYFUNCTION("""COMPUTED_VALUE"""),"short")</f>
        <v>short</v>
      </c>
      <c r="N172" s="18">
        <f>IFERROR(__xludf.DUMMYFUNCTION("""COMPUTED_VALUE"""),45050.0)</f>
        <v>45050</v>
      </c>
      <c r="O172" s="18">
        <f>IFERROR(__xludf.DUMMYFUNCTION("""COMPUTED_VALUE"""),45170.0)</f>
        <v>45170</v>
      </c>
      <c r="P172" s="18">
        <f>IFERROR(__xludf.DUMMYFUNCTION("""COMPUTED_VALUE"""),45212.0)</f>
        <v>45212</v>
      </c>
      <c r="Q172" s="18">
        <f>IFERROR(__xludf.DUMMYFUNCTION("""COMPUTED_VALUE"""),45173.0)</f>
        <v>45173</v>
      </c>
      <c r="R172" s="18">
        <f>IFERROR(__xludf.DUMMYFUNCTION("""COMPUTED_VALUE"""),45213.0)</f>
        <v>45213</v>
      </c>
      <c r="S172" s="16"/>
      <c r="T172" s="16"/>
      <c r="U172" s="16" t="str">
        <f>IFERROR(__xludf.DUMMYFUNCTION("""COMPUTED_VALUE"""),"Global Classroom")</f>
        <v>Global Classroom</v>
      </c>
      <c r="V172" s="16" t="str">
        <f>IFERROR(__xludf.DUMMYFUNCTION("""COMPUTED_VALUE"""),"ISTANBUL - BAKIRKOY")</f>
        <v>ISTANBUL - BAKIRKOY</v>
      </c>
      <c r="W172" s="16" t="str">
        <f>IFERROR(__xludf.DUMMYFUNCTION("""COMPUTED_VALUE"""),"2023-04-19T11:04:47Z")</f>
        <v>2023-04-19T11:04:47Z</v>
      </c>
      <c r="X172" s="16"/>
      <c r="Y172" s="16"/>
      <c r="Z172" s="16"/>
    </row>
    <row r="173">
      <c r="A173" s="16" t="str">
        <f>IFERROR(__xludf.DUMMYFUNCTION("""COMPUTED_VALUE"""),"4691974_1294034")</f>
        <v>4691974_1294034</v>
      </c>
      <c r="B173" s="16" t="str">
        <f>IFERROR(__xludf.DUMMYFUNCTION("""COMPUTED_VALUE"""),"Ahsen Karakaya")</f>
        <v>Ahsen Karakaya</v>
      </c>
      <c r="C173" s="16" t="str">
        <f>IFERROR(__xludf.DUMMYFUNCTION("""COMPUTED_VALUE"""),"completed")</f>
        <v>completed</v>
      </c>
      <c r="D173" s="16" t="str">
        <f>IFERROR(__xludf.DUMMYFUNCTION("""COMPUTED_VALUE"""),"No")</f>
        <v>No</v>
      </c>
      <c r="E173" s="16" t="str">
        <f>IFERROR(__xludf.DUMMYFUNCTION("""COMPUTED_VALUE"""),"p_5b1f2da240ab8e9eb13a66148d4ec410b81fd892@inbound.aiesec.org")</f>
        <v>p_5b1f2da240ab8e9eb13a66148d4ec410b81fd892@inbound.aiesec.org</v>
      </c>
      <c r="F173" s="16">
        <f>IFERROR(__xludf.DUMMYFUNCTION("""COMPUTED_VALUE"""),5.077387452E9)</f>
        <v>5077387452</v>
      </c>
      <c r="G173" s="16" t="str">
        <f>IFERROR(__xludf.DUMMYFUNCTION("""COMPUTED_VALUE"""),"Turkey")</f>
        <v>Turkey</v>
      </c>
      <c r="H173" s="16" t="str">
        <f>IFERROR(__xludf.DUMMYFUNCTION("""COMPUTED_VALUE"""),"ISTANBUL")</f>
        <v>ISTANBUL</v>
      </c>
      <c r="I173" s="16" t="str">
        <f>IFERROR(__xludf.DUMMYFUNCTION("""COMPUTED_VALUE"""),"Tunisia")</f>
        <v>Tunisia</v>
      </c>
      <c r="J173" s="16" t="str">
        <f>IFERROR(__xludf.DUMMYFUNCTION("""COMPUTED_VALUE"""),"SFAX")</f>
        <v>SFAX</v>
      </c>
      <c r="K173" s="17" t="str">
        <f>IFERROR(__xludf.DUMMYFUNCTION("""COMPUTED_VALUE"""),"https://expa.aiesec.org/opportunities/1294034")</f>
        <v>https://expa.aiesec.org/opportunities/1294034</v>
      </c>
      <c r="L173" s="16" t="str">
        <f>IFERROR(__xludf.DUMMYFUNCTION("""COMPUTED_VALUE"""),"GV")</f>
        <v>GV</v>
      </c>
      <c r="M173" s="16" t="str">
        <f>IFERROR(__xludf.DUMMYFUNCTION("""COMPUTED_VALUE"""),"short")</f>
        <v>short</v>
      </c>
      <c r="N173" s="18">
        <f>IFERROR(__xludf.DUMMYFUNCTION("""COMPUTED_VALUE"""),45050.0)</f>
        <v>45050</v>
      </c>
      <c r="O173" s="18">
        <f>IFERROR(__xludf.DUMMYFUNCTION("""COMPUTED_VALUE"""),45131.0)</f>
        <v>45131</v>
      </c>
      <c r="P173" s="18">
        <f>IFERROR(__xludf.DUMMYFUNCTION("""COMPUTED_VALUE"""),45173.0)</f>
        <v>45173</v>
      </c>
      <c r="Q173" s="18">
        <f>IFERROR(__xludf.DUMMYFUNCTION("""COMPUTED_VALUE"""),45136.0)</f>
        <v>45136</v>
      </c>
      <c r="R173" s="18">
        <f>IFERROR(__xludf.DUMMYFUNCTION("""COMPUTED_VALUE"""),45176.0)</f>
        <v>45176</v>
      </c>
      <c r="S173" s="16"/>
      <c r="T173" s="16"/>
      <c r="U173" s="16" t="str">
        <f>IFERROR(__xludf.DUMMYFUNCTION("""COMPUTED_VALUE"""),"Global Classroom")</f>
        <v>Global Classroom</v>
      </c>
      <c r="V173" s="16" t="str">
        <f>IFERROR(__xludf.DUMMYFUNCTION("""COMPUTED_VALUE"""),"ISTANBUL - BEYOGLU")</f>
        <v>ISTANBUL - BEYOGLU</v>
      </c>
      <c r="W173" s="16" t="str">
        <f>IFERROR(__xludf.DUMMYFUNCTION("""COMPUTED_VALUE"""),"2021-07-18T06:20:34Z")</f>
        <v>2021-07-18T06:20:34Z</v>
      </c>
      <c r="X173" s="16"/>
      <c r="Y173" s="16"/>
      <c r="Z173" s="16"/>
    </row>
    <row r="174">
      <c r="A174" s="16" t="str">
        <f>IFERROR(__xludf.DUMMYFUNCTION("""COMPUTED_VALUE"""),"5249398_1291997")</f>
        <v>5249398_1291997</v>
      </c>
      <c r="B174" s="16" t="str">
        <f>IFERROR(__xludf.DUMMYFUNCTION("""COMPUTED_VALUE"""),"Beliz Akarsu")</f>
        <v>Beliz Akarsu</v>
      </c>
      <c r="C174" s="16" t="str">
        <f>IFERROR(__xludf.DUMMYFUNCTION("""COMPUTED_VALUE"""),"completed")</f>
        <v>completed</v>
      </c>
      <c r="D174" s="16" t="str">
        <f>IFERROR(__xludf.DUMMYFUNCTION("""COMPUTED_VALUE"""),"No")</f>
        <v>No</v>
      </c>
      <c r="E174" s="16" t="str">
        <f>IFERROR(__xludf.DUMMYFUNCTION("""COMPUTED_VALUE"""),"p_5e88d235377a108cd1c4589dc4aaf03190ccd53d@inbound.aiesec.org")</f>
        <v>p_5e88d235377a108cd1c4589dc4aaf03190ccd53d@inbound.aiesec.org</v>
      </c>
      <c r="F174" s="16"/>
      <c r="G174" s="16" t="str">
        <f>IFERROR(__xludf.DUMMYFUNCTION("""COMPUTED_VALUE"""),"Turkey")</f>
        <v>Turkey</v>
      </c>
      <c r="H174" s="16" t="str">
        <f>IFERROR(__xludf.DUMMYFUNCTION("""COMPUTED_VALUE"""),"ISTANBUL")</f>
        <v>ISTANBUL</v>
      </c>
      <c r="I174" s="16" t="str">
        <f>IFERROR(__xludf.DUMMYFUNCTION("""COMPUTED_VALUE"""),"Azerbaijan")</f>
        <v>Azerbaijan</v>
      </c>
      <c r="J174" s="16" t="str">
        <f>IFERROR(__xludf.DUMMYFUNCTION("""COMPUTED_VALUE"""),"Baku ADA")</f>
        <v>Baku ADA</v>
      </c>
      <c r="K174" s="17" t="str">
        <f>IFERROR(__xludf.DUMMYFUNCTION("""COMPUTED_VALUE"""),"https://expa.aiesec.org/opportunities/1291997")</f>
        <v>https://expa.aiesec.org/opportunities/1291997</v>
      </c>
      <c r="L174" s="16" t="str">
        <f>IFERROR(__xludf.DUMMYFUNCTION("""COMPUTED_VALUE"""),"GV")</f>
        <v>GV</v>
      </c>
      <c r="M174" s="16" t="str">
        <f>IFERROR(__xludf.DUMMYFUNCTION("""COMPUTED_VALUE"""),"short")</f>
        <v>short</v>
      </c>
      <c r="N174" s="18">
        <f>IFERROR(__xludf.DUMMYFUNCTION("""COMPUTED_VALUE"""),45051.0)</f>
        <v>45051</v>
      </c>
      <c r="O174" s="18">
        <f>IFERROR(__xludf.DUMMYFUNCTION("""COMPUTED_VALUE"""),45109.0)</f>
        <v>45109</v>
      </c>
      <c r="P174" s="18">
        <f>IFERROR(__xludf.DUMMYFUNCTION("""COMPUTED_VALUE"""),45151.0)</f>
        <v>45151</v>
      </c>
      <c r="Q174" s="18">
        <f>IFERROR(__xludf.DUMMYFUNCTION("""COMPUTED_VALUE"""),45111.0)</f>
        <v>45111</v>
      </c>
      <c r="R174" s="18">
        <f>IFERROR(__xludf.DUMMYFUNCTION("""COMPUTED_VALUE"""),45151.0)</f>
        <v>45151</v>
      </c>
      <c r="S174" s="16"/>
      <c r="T174" s="16"/>
      <c r="U174" s="16" t="str">
        <f>IFERROR(__xludf.DUMMYFUNCTION("""COMPUTED_VALUE"""),"Global Classroom")</f>
        <v>Global Classroom</v>
      </c>
      <c r="V174" s="16" t="str">
        <f>IFERROR(__xludf.DUMMYFUNCTION("""COMPUTED_VALUE"""),"-")</f>
        <v>-</v>
      </c>
      <c r="W174" s="16" t="str">
        <f>IFERROR(__xludf.DUMMYFUNCTION("""COMPUTED_VALUE"""),"2023-04-25T20:09:12Z")</f>
        <v>2023-04-25T20:09:12Z</v>
      </c>
      <c r="X174" s="16"/>
      <c r="Y174" s="16"/>
      <c r="Z174" s="16"/>
    </row>
    <row r="175">
      <c r="A175" s="16" t="str">
        <f>IFERROR(__xludf.DUMMYFUNCTION("""COMPUTED_VALUE"""),"5252056_1289297")</f>
        <v>5252056_1289297</v>
      </c>
      <c r="B175" s="16" t="str">
        <f>IFERROR(__xludf.DUMMYFUNCTION("""COMPUTED_VALUE"""),"Zeynep Tüylü")</f>
        <v>Zeynep Tüylü</v>
      </c>
      <c r="C175" s="16" t="str">
        <f>IFERROR(__xludf.DUMMYFUNCTION("""COMPUTED_VALUE"""),"completed")</f>
        <v>completed</v>
      </c>
      <c r="D175" s="16" t="str">
        <f>IFERROR(__xludf.DUMMYFUNCTION("""COMPUTED_VALUE"""),"No")</f>
        <v>No</v>
      </c>
      <c r="E175" s="16" t="str">
        <f>IFERROR(__xludf.DUMMYFUNCTION("""COMPUTED_VALUE"""),"p_779160fed651d00f9705f49c86f022e3beaf6b30@inbound.aiesec.org")</f>
        <v>p_779160fed651d00f9705f49c86f022e3beaf6b30@inbound.aiesec.org</v>
      </c>
      <c r="F175" s="16">
        <f>IFERROR(__xludf.DUMMYFUNCTION("""COMPUTED_VALUE"""),5.317930098E9)</f>
        <v>5317930098</v>
      </c>
      <c r="G175" s="16" t="str">
        <f>IFERROR(__xludf.DUMMYFUNCTION("""COMPUTED_VALUE"""),"Turkey")</f>
        <v>Turkey</v>
      </c>
      <c r="H175" s="16" t="str">
        <f>IFERROR(__xludf.DUMMYFUNCTION("""COMPUTED_VALUE"""),"ISTANBUL")</f>
        <v>ISTANBUL</v>
      </c>
      <c r="I175" s="16" t="str">
        <f>IFERROR(__xludf.DUMMYFUNCTION("""COMPUTED_VALUE"""),"Azerbaijan")</f>
        <v>Azerbaijan</v>
      </c>
      <c r="J175" s="16" t="str">
        <f>IFERROR(__xludf.DUMMYFUNCTION("""COMPUTED_VALUE"""),"Baku Synergy")</f>
        <v>Baku Synergy</v>
      </c>
      <c r="K175" s="17" t="str">
        <f>IFERROR(__xludf.DUMMYFUNCTION("""COMPUTED_VALUE"""),"https://expa.aiesec.org/opportunities/1289297")</f>
        <v>https://expa.aiesec.org/opportunities/1289297</v>
      </c>
      <c r="L175" s="16" t="str">
        <f>IFERROR(__xludf.DUMMYFUNCTION("""COMPUTED_VALUE"""),"GV")</f>
        <v>GV</v>
      </c>
      <c r="M175" s="16" t="str">
        <f>IFERROR(__xludf.DUMMYFUNCTION("""COMPUTED_VALUE"""),"short")</f>
        <v>short</v>
      </c>
      <c r="N175" s="18">
        <f>IFERROR(__xludf.DUMMYFUNCTION("""COMPUTED_VALUE"""),45051.0)</f>
        <v>45051</v>
      </c>
      <c r="O175" s="18">
        <f>IFERROR(__xludf.DUMMYFUNCTION("""COMPUTED_VALUE"""),45110.0)</f>
        <v>45110</v>
      </c>
      <c r="P175" s="18">
        <f>IFERROR(__xludf.DUMMYFUNCTION("""COMPUTED_VALUE"""),45152.0)</f>
        <v>45152</v>
      </c>
      <c r="Q175" s="18">
        <f>IFERROR(__xludf.DUMMYFUNCTION("""COMPUTED_VALUE"""),45110.0)</f>
        <v>45110</v>
      </c>
      <c r="R175" s="18">
        <f>IFERROR(__xludf.DUMMYFUNCTION("""COMPUTED_VALUE"""),45152.0)</f>
        <v>45152</v>
      </c>
      <c r="S175" s="16"/>
      <c r="T175" s="16"/>
      <c r="U175" s="16" t="str">
        <f>IFERROR(__xludf.DUMMYFUNCTION("""COMPUTED_VALUE"""),"Youth 4 Impact")</f>
        <v>Youth 4 Impact</v>
      </c>
      <c r="V175" s="16" t="str">
        <f>IFERROR(__xludf.DUMMYFUNCTION("""COMPUTED_VALUE"""),"ISTANBUL - BEYOGLU")</f>
        <v>ISTANBUL - BEYOGLU</v>
      </c>
      <c r="W175" s="16" t="str">
        <f>IFERROR(__xludf.DUMMYFUNCTION("""COMPUTED_VALUE"""),"2023-04-28T18:18:18Z")</f>
        <v>2023-04-28T18:18:18Z</v>
      </c>
      <c r="X175" s="16"/>
      <c r="Y175" s="16"/>
      <c r="Z175" s="16"/>
    </row>
    <row r="176">
      <c r="A176" s="16" t="str">
        <f>IFERROR(__xludf.DUMMYFUNCTION("""COMPUTED_VALUE"""),"5255042_1294811")</f>
        <v>5255042_1294811</v>
      </c>
      <c r="B176" s="16" t="str">
        <f>IFERROR(__xludf.DUMMYFUNCTION("""COMPUTED_VALUE"""),"İrem Aydoğdu")</f>
        <v>İrem Aydoğdu</v>
      </c>
      <c r="C176" s="16" t="str">
        <f>IFERROR(__xludf.DUMMYFUNCTION("""COMPUTED_VALUE"""),"approved")</f>
        <v>approved</v>
      </c>
      <c r="D176" s="16" t="str">
        <f>IFERROR(__xludf.DUMMYFUNCTION("""COMPUTED_VALUE"""),"No")</f>
        <v>No</v>
      </c>
      <c r="E176" s="16" t="str">
        <f>IFERROR(__xludf.DUMMYFUNCTION("""COMPUTED_VALUE"""),"p_4a135c061aa494449688361a7d14dae2a6f044d7@inbound.aiesec.org")</f>
        <v>p_4a135c061aa494449688361a7d14dae2a6f044d7@inbound.aiesec.org</v>
      </c>
      <c r="F176" s="16">
        <f>IFERROR(__xludf.DUMMYFUNCTION("""COMPUTED_VALUE"""),5.413204059E9)</f>
        <v>5413204059</v>
      </c>
      <c r="G176" s="16" t="str">
        <f>IFERROR(__xludf.DUMMYFUNCTION("""COMPUTED_VALUE"""),"Turkey")</f>
        <v>Turkey</v>
      </c>
      <c r="H176" s="16" t="str">
        <f>IFERROR(__xludf.DUMMYFUNCTION("""COMPUTED_VALUE"""),"ISTANBUL")</f>
        <v>ISTANBUL</v>
      </c>
      <c r="I176" s="16" t="str">
        <f>IFERROR(__xludf.DUMMYFUNCTION("""COMPUTED_VALUE"""),"Tunisia")</f>
        <v>Tunisia</v>
      </c>
      <c r="J176" s="16" t="str">
        <f>IFERROR(__xludf.DUMMYFUNCTION("""COMPUTED_VALUE"""),"UNIVERSITY")</f>
        <v>UNIVERSITY</v>
      </c>
      <c r="K176" s="17" t="str">
        <f>IFERROR(__xludf.DUMMYFUNCTION("""COMPUTED_VALUE"""),"https://expa.aiesec.org/opportunities/1294811")</f>
        <v>https://expa.aiesec.org/opportunities/1294811</v>
      </c>
      <c r="L176" s="16" t="str">
        <f>IFERROR(__xludf.DUMMYFUNCTION("""COMPUTED_VALUE"""),"GV")</f>
        <v>GV</v>
      </c>
      <c r="M176" s="16" t="str">
        <f>IFERROR(__xludf.DUMMYFUNCTION("""COMPUTED_VALUE"""),"short")</f>
        <v>short</v>
      </c>
      <c r="N176" s="18">
        <f>IFERROR(__xludf.DUMMYFUNCTION("""COMPUTED_VALUE"""),45051.0)</f>
        <v>45051</v>
      </c>
      <c r="O176" s="18">
        <f>IFERROR(__xludf.DUMMYFUNCTION("""COMPUTED_VALUE"""),45170.0)</f>
        <v>45170</v>
      </c>
      <c r="P176" s="18">
        <f>IFERROR(__xludf.DUMMYFUNCTION("""COMPUTED_VALUE"""),45214.0)</f>
        <v>45214</v>
      </c>
      <c r="Q176" s="18"/>
      <c r="R176" s="18"/>
      <c r="S176" s="16"/>
      <c r="T176" s="16"/>
      <c r="U176" s="16" t="str">
        <f>IFERROR(__xludf.DUMMYFUNCTION("""COMPUTED_VALUE"""),"Global Classroom")</f>
        <v>Global Classroom</v>
      </c>
      <c r="V176" s="16" t="str">
        <f>IFERROR(__xludf.DUMMYFUNCTION("""COMPUTED_VALUE"""),"TEKIRDAG")</f>
        <v>TEKIRDAG</v>
      </c>
      <c r="W176" s="16" t="str">
        <f>IFERROR(__xludf.DUMMYFUNCTION("""COMPUTED_VALUE"""),"2023-05-03T12:07:23Z")</f>
        <v>2023-05-03T12:07:23Z</v>
      </c>
      <c r="X176" s="16"/>
      <c r="Y176" s="16"/>
      <c r="Z176" s="16"/>
    </row>
    <row r="177">
      <c r="A177" s="16" t="str">
        <f>IFERROR(__xludf.DUMMYFUNCTION("""COMPUTED_VALUE"""),"5227408_1294310")</f>
        <v>5227408_1294310</v>
      </c>
      <c r="B177" s="16" t="str">
        <f>IFERROR(__xludf.DUMMYFUNCTION("""COMPUTED_VALUE"""),"vildan nur karaoğlan")</f>
        <v>vildan nur karaoğlan</v>
      </c>
      <c r="C177" s="16" t="str">
        <f>IFERROR(__xludf.DUMMYFUNCTION("""COMPUTED_VALUE"""),"completed")</f>
        <v>completed</v>
      </c>
      <c r="D177" s="16" t="str">
        <f>IFERROR(__xludf.DUMMYFUNCTION("""COMPUTED_VALUE"""),"No")</f>
        <v>No</v>
      </c>
      <c r="E177" s="16" t="str">
        <f>IFERROR(__xludf.DUMMYFUNCTION("""COMPUTED_VALUE"""),"p_d161d89670809cc0b134d3345b928c6e63deafe8@inbound.aiesec.org")</f>
        <v>p_d161d89670809cc0b134d3345b928c6e63deafe8@inbound.aiesec.org</v>
      </c>
      <c r="F177" s="16">
        <f>IFERROR(__xludf.DUMMYFUNCTION("""COMPUTED_VALUE"""),5.313832791E9)</f>
        <v>5313832791</v>
      </c>
      <c r="G177" s="16" t="str">
        <f>IFERROR(__xludf.DUMMYFUNCTION("""COMPUTED_VALUE"""),"Turkey")</f>
        <v>Turkey</v>
      </c>
      <c r="H177" s="16" t="str">
        <f>IFERROR(__xludf.DUMMYFUNCTION("""COMPUTED_VALUE"""),"ISTANBUL")</f>
        <v>ISTANBUL</v>
      </c>
      <c r="I177" s="16" t="str">
        <f>IFERROR(__xludf.DUMMYFUNCTION("""COMPUTED_VALUE"""),"Italy")</f>
        <v>Italy</v>
      </c>
      <c r="J177" s="16" t="str">
        <f>IFERROR(__xludf.DUMMYFUNCTION("""COMPUTED_VALUE"""),"Torino")</f>
        <v>Torino</v>
      </c>
      <c r="K177" s="17" t="str">
        <f>IFERROR(__xludf.DUMMYFUNCTION("""COMPUTED_VALUE"""),"https://expa.aiesec.org/opportunities/1294310")</f>
        <v>https://expa.aiesec.org/opportunities/1294310</v>
      </c>
      <c r="L177" s="16" t="str">
        <f>IFERROR(__xludf.DUMMYFUNCTION("""COMPUTED_VALUE"""),"GV")</f>
        <v>GV</v>
      </c>
      <c r="M177" s="16" t="str">
        <f>IFERROR(__xludf.DUMMYFUNCTION("""COMPUTED_VALUE"""),"short")</f>
        <v>short</v>
      </c>
      <c r="N177" s="18">
        <f>IFERROR(__xludf.DUMMYFUNCTION("""COMPUTED_VALUE"""),45051.0)</f>
        <v>45051</v>
      </c>
      <c r="O177" s="18">
        <f>IFERROR(__xludf.DUMMYFUNCTION("""COMPUTED_VALUE"""),45138.0)</f>
        <v>45138</v>
      </c>
      <c r="P177" s="18">
        <f>IFERROR(__xludf.DUMMYFUNCTION("""COMPUTED_VALUE"""),45180.0)</f>
        <v>45180</v>
      </c>
      <c r="Q177" s="18">
        <f>IFERROR(__xludf.DUMMYFUNCTION("""COMPUTED_VALUE"""),45147.0)</f>
        <v>45147</v>
      </c>
      <c r="R177" s="18">
        <f>IFERROR(__xludf.DUMMYFUNCTION("""COMPUTED_VALUE"""),45189.0)</f>
        <v>45189</v>
      </c>
      <c r="S177" s="16"/>
      <c r="T177" s="16"/>
      <c r="U177" s="16" t="str">
        <f>IFERROR(__xludf.DUMMYFUNCTION("""COMPUTED_VALUE"""),"Raise Your Voice")</f>
        <v>Raise Your Voice</v>
      </c>
      <c r="V177" s="16" t="str">
        <f>IFERROR(__xludf.DUMMYFUNCTION("""COMPUTED_VALUE"""),"ISTANBUL ASIA")</f>
        <v>ISTANBUL ASIA</v>
      </c>
      <c r="W177" s="16" t="str">
        <f>IFERROR(__xludf.DUMMYFUNCTION("""COMPUTED_VALUE"""),"2023-03-26T14:30:50Z")</f>
        <v>2023-03-26T14:30:50Z</v>
      </c>
      <c r="X177" s="16"/>
      <c r="Y177" s="16"/>
      <c r="Z177" s="16"/>
    </row>
    <row r="178">
      <c r="A178" s="16" t="str">
        <f>IFERROR(__xludf.DUMMYFUNCTION("""COMPUTED_VALUE"""),"5256879_1287987")</f>
        <v>5256879_1287987</v>
      </c>
      <c r="B178" s="16" t="str">
        <f>IFERROR(__xludf.DUMMYFUNCTION("""COMPUTED_VALUE"""),"Gediz Tok")</f>
        <v>Gediz Tok</v>
      </c>
      <c r="C178" s="16" t="str">
        <f>IFERROR(__xludf.DUMMYFUNCTION("""COMPUTED_VALUE"""),"completed")</f>
        <v>completed</v>
      </c>
      <c r="D178" s="16" t="str">
        <f>IFERROR(__xludf.DUMMYFUNCTION("""COMPUTED_VALUE"""),"No")</f>
        <v>No</v>
      </c>
      <c r="E178" s="16" t="str">
        <f>IFERROR(__xludf.DUMMYFUNCTION("""COMPUTED_VALUE"""),"p_edc49da298ed3ed36469547388cc0fe7dde36acc@inbound.aiesec.org")</f>
        <v>p_edc49da298ed3ed36469547388cc0fe7dde36acc@inbound.aiesec.org</v>
      </c>
      <c r="F178" s="16"/>
      <c r="G178" s="16" t="str">
        <f>IFERROR(__xludf.DUMMYFUNCTION("""COMPUTED_VALUE"""),"Turkey")</f>
        <v>Turkey</v>
      </c>
      <c r="H178" s="16" t="str">
        <f>IFERROR(__xludf.DUMMYFUNCTION("""COMPUTED_VALUE"""),"ISTANBUL")</f>
        <v>ISTANBUL</v>
      </c>
      <c r="I178" s="16" t="str">
        <f>IFERROR(__xludf.DUMMYFUNCTION("""COMPUTED_VALUE"""),"India")</f>
        <v>India</v>
      </c>
      <c r="J178" s="16" t="str">
        <f>IFERROR(__xludf.DUMMYFUNCTION("""COMPUTED_VALUE"""),"JAIPUR ")</f>
        <v>JAIPUR </v>
      </c>
      <c r="K178" s="17" t="str">
        <f>IFERROR(__xludf.DUMMYFUNCTION("""COMPUTED_VALUE"""),"https://expa.aiesec.org/opportunities/1287987")</f>
        <v>https://expa.aiesec.org/opportunities/1287987</v>
      </c>
      <c r="L178" s="16" t="str">
        <f>IFERROR(__xludf.DUMMYFUNCTION("""COMPUTED_VALUE"""),"GV")</f>
        <v>GV</v>
      </c>
      <c r="M178" s="16" t="str">
        <f>IFERROR(__xludf.DUMMYFUNCTION("""COMPUTED_VALUE"""),"short")</f>
        <v>short</v>
      </c>
      <c r="N178" s="18">
        <f>IFERROR(__xludf.DUMMYFUNCTION("""COMPUTED_VALUE"""),45052.0)</f>
        <v>45052</v>
      </c>
      <c r="O178" s="18">
        <f>IFERROR(__xludf.DUMMYFUNCTION("""COMPUTED_VALUE"""),45115.0)</f>
        <v>45115</v>
      </c>
      <c r="P178" s="18">
        <f>IFERROR(__xludf.DUMMYFUNCTION("""COMPUTED_VALUE"""),45157.0)</f>
        <v>45157</v>
      </c>
      <c r="Q178" s="18">
        <f>IFERROR(__xludf.DUMMYFUNCTION("""COMPUTED_VALUE"""),45115.0)</f>
        <v>45115</v>
      </c>
      <c r="R178" s="18">
        <f>IFERROR(__xludf.DUMMYFUNCTION("""COMPUTED_VALUE"""),45157.0)</f>
        <v>45157</v>
      </c>
      <c r="S178" s="16"/>
      <c r="T178" s="16"/>
      <c r="U178" s="16" t="str">
        <f>IFERROR(__xludf.DUMMYFUNCTION("""COMPUTED_VALUE"""),"On The Map")</f>
        <v>On The Map</v>
      </c>
      <c r="V178" s="16" t="str">
        <f>IFERROR(__xludf.DUMMYFUNCTION("""COMPUTED_VALUE"""),"-")</f>
        <v>-</v>
      </c>
      <c r="W178" s="16" t="str">
        <f>IFERROR(__xludf.DUMMYFUNCTION("""COMPUTED_VALUE"""),"2023-05-06T18:17:42Z")</f>
        <v>2023-05-06T18:17:42Z</v>
      </c>
      <c r="X178" s="16"/>
      <c r="Y178" s="16"/>
      <c r="Z178" s="16"/>
    </row>
    <row r="179">
      <c r="A179" s="16" t="str">
        <f>IFERROR(__xludf.DUMMYFUNCTION("""COMPUTED_VALUE"""),"5256729_1292298")</f>
        <v>5256729_1292298</v>
      </c>
      <c r="B179" s="16" t="str">
        <f>IFERROR(__xludf.DUMMYFUNCTION("""COMPUTED_VALUE"""),"Songül Kaya")</f>
        <v>Songül Kaya</v>
      </c>
      <c r="C179" s="16" t="str">
        <f>IFERROR(__xludf.DUMMYFUNCTION("""COMPUTED_VALUE"""),"completed")</f>
        <v>completed</v>
      </c>
      <c r="D179" s="16" t="str">
        <f>IFERROR(__xludf.DUMMYFUNCTION("""COMPUTED_VALUE"""),"No")</f>
        <v>No</v>
      </c>
      <c r="E179" s="16" t="str">
        <f>IFERROR(__xludf.DUMMYFUNCTION("""COMPUTED_VALUE"""),"p_1ba601e98842031c12899410b7f5aca64b811f8a@inbound.aiesec.org")</f>
        <v>p_1ba601e98842031c12899410b7f5aca64b811f8a@inbound.aiesec.org</v>
      </c>
      <c r="F179" s="16">
        <f>IFERROR(__xludf.DUMMYFUNCTION("""COMPUTED_VALUE"""),5.413967937E9)</f>
        <v>5413967937</v>
      </c>
      <c r="G179" s="16" t="str">
        <f>IFERROR(__xludf.DUMMYFUNCTION("""COMPUTED_VALUE"""),"Turkey")</f>
        <v>Turkey</v>
      </c>
      <c r="H179" s="16" t="str">
        <f>IFERROR(__xludf.DUMMYFUNCTION("""COMPUTED_VALUE"""),"ISTANBUL")</f>
        <v>ISTANBUL</v>
      </c>
      <c r="I179" s="16" t="str">
        <f>IFERROR(__xludf.DUMMYFUNCTION("""COMPUTED_VALUE"""),"Egypt")</f>
        <v>Egypt</v>
      </c>
      <c r="J179" s="16" t="str">
        <f>IFERROR(__xludf.DUMMYFUNCTION("""COMPUTED_VALUE"""),"Cairo University")</f>
        <v>Cairo University</v>
      </c>
      <c r="K179" s="17" t="str">
        <f>IFERROR(__xludf.DUMMYFUNCTION("""COMPUTED_VALUE"""),"https://expa.aiesec.org/opportunities/1292298")</f>
        <v>https://expa.aiesec.org/opportunities/1292298</v>
      </c>
      <c r="L179" s="16" t="str">
        <f>IFERROR(__xludf.DUMMYFUNCTION("""COMPUTED_VALUE"""),"GV")</f>
        <v>GV</v>
      </c>
      <c r="M179" s="16" t="str">
        <f>IFERROR(__xludf.DUMMYFUNCTION("""COMPUTED_VALUE"""),"short")</f>
        <v>short</v>
      </c>
      <c r="N179" s="18">
        <f>IFERROR(__xludf.DUMMYFUNCTION("""COMPUTED_VALUE"""),45052.0)</f>
        <v>45052</v>
      </c>
      <c r="O179" s="18">
        <f>IFERROR(__xludf.DUMMYFUNCTION("""COMPUTED_VALUE"""),45153.0)</f>
        <v>45153</v>
      </c>
      <c r="P179" s="18">
        <f>IFERROR(__xludf.DUMMYFUNCTION("""COMPUTED_VALUE"""),45197.0)</f>
        <v>45197</v>
      </c>
      <c r="Q179" s="18">
        <f>IFERROR(__xludf.DUMMYFUNCTION("""COMPUTED_VALUE"""),45154.0)</f>
        <v>45154</v>
      </c>
      <c r="R179" s="18">
        <f>IFERROR(__xludf.DUMMYFUNCTION("""COMPUTED_VALUE"""),45199.0)</f>
        <v>45199</v>
      </c>
      <c r="S179" s="16"/>
      <c r="T179" s="16"/>
      <c r="U179" s="16" t="str">
        <f>IFERROR(__xludf.DUMMYFUNCTION("""COMPUTED_VALUE"""),"Fingerprint")</f>
        <v>Fingerprint</v>
      </c>
      <c r="V179" s="16" t="str">
        <f>IFERROR(__xludf.DUMMYFUNCTION("""COMPUTED_VALUE"""),"ISTANBUL - BEYOGLU")</f>
        <v>ISTANBUL - BEYOGLU</v>
      </c>
      <c r="W179" s="16" t="str">
        <f>IFERROR(__xludf.DUMMYFUNCTION("""COMPUTED_VALUE"""),"2023-05-06T11:54:59Z")</f>
        <v>2023-05-06T11:54:59Z</v>
      </c>
      <c r="X179" s="16"/>
      <c r="Y179" s="16"/>
      <c r="Z179" s="16"/>
    </row>
    <row r="180">
      <c r="A180" s="16" t="str">
        <f>IFERROR(__xludf.DUMMYFUNCTION("""COMPUTED_VALUE"""),"5256701_1293026")</f>
        <v>5256701_1293026</v>
      </c>
      <c r="B180" s="16" t="str">
        <f>IFERROR(__xludf.DUMMYFUNCTION("""COMPUTED_VALUE"""),"Hilal Altınok")</f>
        <v>Hilal Altınok</v>
      </c>
      <c r="C180" s="16" t="str">
        <f>IFERROR(__xludf.DUMMYFUNCTION("""COMPUTED_VALUE"""),"completed")</f>
        <v>completed</v>
      </c>
      <c r="D180" s="16" t="str">
        <f>IFERROR(__xludf.DUMMYFUNCTION("""COMPUTED_VALUE"""),"No")</f>
        <v>No</v>
      </c>
      <c r="E180" s="16" t="str">
        <f>IFERROR(__xludf.DUMMYFUNCTION("""COMPUTED_VALUE"""),"p_a20e9aa32da4a73bb685de9cebc852da0c35abc9@inbound.aiesec.org")</f>
        <v>p_a20e9aa32da4a73bb685de9cebc852da0c35abc9@inbound.aiesec.org</v>
      </c>
      <c r="F180" s="16"/>
      <c r="G180" s="16" t="str">
        <f>IFERROR(__xludf.DUMMYFUNCTION("""COMPUTED_VALUE"""),"Turkey")</f>
        <v>Turkey</v>
      </c>
      <c r="H180" s="16" t="str">
        <f>IFERROR(__xludf.DUMMYFUNCTION("""COMPUTED_VALUE"""),"ISTANBUL")</f>
        <v>ISTANBUL</v>
      </c>
      <c r="I180" s="16" t="str">
        <f>IFERROR(__xludf.DUMMYFUNCTION("""COMPUTED_VALUE"""),"Tunisia")</f>
        <v>Tunisia</v>
      </c>
      <c r="J180" s="16" t="str">
        <f>IFERROR(__xludf.DUMMYFUNCTION("""COMPUTED_VALUE"""),"Carthage")</f>
        <v>Carthage</v>
      </c>
      <c r="K180" s="17" t="str">
        <f>IFERROR(__xludf.DUMMYFUNCTION("""COMPUTED_VALUE"""),"https://expa.aiesec.org/opportunities/1293026")</f>
        <v>https://expa.aiesec.org/opportunities/1293026</v>
      </c>
      <c r="L180" s="16" t="str">
        <f>IFERROR(__xludf.DUMMYFUNCTION("""COMPUTED_VALUE"""),"GV")</f>
        <v>GV</v>
      </c>
      <c r="M180" s="16" t="str">
        <f>IFERROR(__xludf.DUMMYFUNCTION("""COMPUTED_VALUE"""),"short")</f>
        <v>short</v>
      </c>
      <c r="N180" s="18">
        <f>IFERROR(__xludf.DUMMYFUNCTION("""COMPUTED_VALUE"""),45052.0)</f>
        <v>45052</v>
      </c>
      <c r="O180" s="18">
        <f>IFERROR(__xludf.DUMMYFUNCTION("""COMPUTED_VALUE"""),45110.0)</f>
        <v>45110</v>
      </c>
      <c r="P180" s="18">
        <f>IFERROR(__xludf.DUMMYFUNCTION("""COMPUTED_VALUE"""),45152.0)</f>
        <v>45152</v>
      </c>
      <c r="Q180" s="18">
        <f>IFERROR(__xludf.DUMMYFUNCTION("""COMPUTED_VALUE"""),45111.0)</f>
        <v>45111</v>
      </c>
      <c r="R180" s="18">
        <f>IFERROR(__xludf.DUMMYFUNCTION("""COMPUTED_VALUE"""),45152.0)</f>
        <v>45152</v>
      </c>
      <c r="S180" s="16"/>
      <c r="T180" s="16"/>
      <c r="U180" s="16" t="str">
        <f>IFERROR(__xludf.DUMMYFUNCTION("""COMPUTED_VALUE"""),"Global Classroom")</f>
        <v>Global Classroom</v>
      </c>
      <c r="V180" s="16" t="str">
        <f>IFERROR(__xludf.DUMMYFUNCTION("""COMPUTED_VALUE"""),"ISTANBUL - BEYOGLU")</f>
        <v>ISTANBUL - BEYOGLU</v>
      </c>
      <c r="W180" s="16" t="str">
        <f>IFERROR(__xludf.DUMMYFUNCTION("""COMPUTED_VALUE"""),"2023-05-06T10:06:49Z")</f>
        <v>2023-05-06T10:06:49Z</v>
      </c>
      <c r="X180" s="16"/>
      <c r="Y180" s="16"/>
      <c r="Z180" s="16"/>
    </row>
    <row r="181">
      <c r="A181" s="16" t="str">
        <f>IFERROR(__xludf.DUMMYFUNCTION("""COMPUTED_VALUE"""),"5256602_1287987")</f>
        <v>5256602_1287987</v>
      </c>
      <c r="B181" s="16" t="str">
        <f>IFERROR(__xludf.DUMMYFUNCTION("""COMPUTED_VALUE"""),"Doğukan Doğan")</f>
        <v>Doğukan Doğan</v>
      </c>
      <c r="C181" s="16" t="str">
        <f>IFERROR(__xludf.DUMMYFUNCTION("""COMPUTED_VALUE"""),"completed")</f>
        <v>completed</v>
      </c>
      <c r="D181" s="16" t="str">
        <f>IFERROR(__xludf.DUMMYFUNCTION("""COMPUTED_VALUE"""),"No")</f>
        <v>No</v>
      </c>
      <c r="E181" s="16" t="str">
        <f>IFERROR(__xludf.DUMMYFUNCTION("""COMPUTED_VALUE"""),"p_c6bb0ade3638e1b091fb35d81503ca386d2debc2@inbound.aiesec.org")</f>
        <v>p_c6bb0ade3638e1b091fb35d81503ca386d2debc2@inbound.aiesec.org</v>
      </c>
      <c r="F181" s="16"/>
      <c r="G181" s="16" t="str">
        <f>IFERROR(__xludf.DUMMYFUNCTION("""COMPUTED_VALUE"""),"Turkey")</f>
        <v>Turkey</v>
      </c>
      <c r="H181" s="16" t="str">
        <f>IFERROR(__xludf.DUMMYFUNCTION("""COMPUTED_VALUE"""),"ISTANBUL")</f>
        <v>ISTANBUL</v>
      </c>
      <c r="I181" s="16" t="str">
        <f>IFERROR(__xludf.DUMMYFUNCTION("""COMPUTED_VALUE"""),"India")</f>
        <v>India</v>
      </c>
      <c r="J181" s="16" t="str">
        <f>IFERROR(__xludf.DUMMYFUNCTION("""COMPUTED_VALUE"""),"JAIPUR ")</f>
        <v>JAIPUR </v>
      </c>
      <c r="K181" s="17" t="str">
        <f>IFERROR(__xludf.DUMMYFUNCTION("""COMPUTED_VALUE"""),"https://expa.aiesec.org/opportunities/1287987")</f>
        <v>https://expa.aiesec.org/opportunities/1287987</v>
      </c>
      <c r="L181" s="16" t="str">
        <f>IFERROR(__xludf.DUMMYFUNCTION("""COMPUTED_VALUE"""),"GV")</f>
        <v>GV</v>
      </c>
      <c r="M181" s="16" t="str">
        <f>IFERROR(__xludf.DUMMYFUNCTION("""COMPUTED_VALUE"""),"short")</f>
        <v>short</v>
      </c>
      <c r="N181" s="18">
        <f>IFERROR(__xludf.DUMMYFUNCTION("""COMPUTED_VALUE"""),45052.0)</f>
        <v>45052</v>
      </c>
      <c r="O181" s="18">
        <f>IFERROR(__xludf.DUMMYFUNCTION("""COMPUTED_VALUE"""),45115.0)</f>
        <v>45115</v>
      </c>
      <c r="P181" s="18">
        <f>IFERROR(__xludf.DUMMYFUNCTION("""COMPUTED_VALUE"""),45157.0)</f>
        <v>45157</v>
      </c>
      <c r="Q181" s="18">
        <f>IFERROR(__xludf.DUMMYFUNCTION("""COMPUTED_VALUE"""),45115.0)</f>
        <v>45115</v>
      </c>
      <c r="R181" s="18">
        <f>IFERROR(__xludf.DUMMYFUNCTION("""COMPUTED_VALUE"""),45157.0)</f>
        <v>45157</v>
      </c>
      <c r="S181" s="16"/>
      <c r="T181" s="16"/>
      <c r="U181" s="16" t="str">
        <f>IFERROR(__xludf.DUMMYFUNCTION("""COMPUTED_VALUE"""),"On The Map")</f>
        <v>On The Map</v>
      </c>
      <c r="V181" s="16" t="str">
        <f>IFERROR(__xludf.DUMMYFUNCTION("""COMPUTED_VALUE"""),"-")</f>
        <v>-</v>
      </c>
      <c r="W181" s="16" t="str">
        <f>IFERROR(__xludf.DUMMYFUNCTION("""COMPUTED_VALUE"""),"2023-05-06T06:05:32Z")</f>
        <v>2023-05-06T06:05:32Z</v>
      </c>
      <c r="X181" s="16"/>
      <c r="Y181" s="16"/>
      <c r="Z181" s="16"/>
    </row>
    <row r="182">
      <c r="A182" s="16" t="str">
        <f>IFERROR(__xludf.DUMMYFUNCTION("""COMPUTED_VALUE"""),"5254556_1294851")</f>
        <v>5254556_1294851</v>
      </c>
      <c r="B182" s="16" t="str">
        <f>IFERROR(__xludf.DUMMYFUNCTION("""COMPUTED_VALUE"""),"Merve Kalın")</f>
        <v>Merve Kalın</v>
      </c>
      <c r="C182" s="16" t="str">
        <f>IFERROR(__xludf.DUMMYFUNCTION("""COMPUTED_VALUE"""),"completed")</f>
        <v>completed</v>
      </c>
      <c r="D182" s="16" t="str">
        <f>IFERROR(__xludf.DUMMYFUNCTION("""COMPUTED_VALUE"""),"No")</f>
        <v>No</v>
      </c>
      <c r="E182" s="16" t="str">
        <f>IFERROR(__xludf.DUMMYFUNCTION("""COMPUTED_VALUE"""),"p_3eb5eb7f5c0c489d343e3510e95eaeb9a28e9608@inbound.aiesec.org")</f>
        <v>p_3eb5eb7f5c0c489d343e3510e95eaeb9a28e9608@inbound.aiesec.org</v>
      </c>
      <c r="F182" s="16"/>
      <c r="G182" s="16" t="str">
        <f>IFERROR(__xludf.DUMMYFUNCTION("""COMPUTED_VALUE"""),"Turkey")</f>
        <v>Turkey</v>
      </c>
      <c r="H182" s="16" t="str">
        <f>IFERROR(__xludf.DUMMYFUNCTION("""COMPUTED_VALUE"""),"ISTANBUL")</f>
        <v>ISTANBUL</v>
      </c>
      <c r="I182" s="16" t="str">
        <f>IFERROR(__xludf.DUMMYFUNCTION("""COMPUTED_VALUE"""),"Egypt")</f>
        <v>Egypt</v>
      </c>
      <c r="J182" s="16" t="str">
        <f>IFERROR(__xludf.DUMMYFUNCTION("""COMPUTED_VALUE"""),"GUC")</f>
        <v>GUC</v>
      </c>
      <c r="K182" s="17" t="str">
        <f>IFERROR(__xludf.DUMMYFUNCTION("""COMPUTED_VALUE"""),"https://expa.aiesec.org/opportunities/1294851")</f>
        <v>https://expa.aiesec.org/opportunities/1294851</v>
      </c>
      <c r="L182" s="16" t="str">
        <f>IFERROR(__xludf.DUMMYFUNCTION("""COMPUTED_VALUE"""),"GV")</f>
        <v>GV</v>
      </c>
      <c r="M182" s="16" t="str">
        <f>IFERROR(__xludf.DUMMYFUNCTION("""COMPUTED_VALUE"""),"short")</f>
        <v>short</v>
      </c>
      <c r="N182" s="18">
        <f>IFERROR(__xludf.DUMMYFUNCTION("""COMPUTED_VALUE"""),45052.0)</f>
        <v>45052</v>
      </c>
      <c r="O182" s="18">
        <f>IFERROR(__xludf.DUMMYFUNCTION("""COMPUTED_VALUE"""),45152.0)</f>
        <v>45152</v>
      </c>
      <c r="P182" s="18">
        <f>IFERROR(__xludf.DUMMYFUNCTION("""COMPUTED_VALUE"""),45194.0)</f>
        <v>45194</v>
      </c>
      <c r="Q182" s="18">
        <f>IFERROR(__xludf.DUMMYFUNCTION("""COMPUTED_VALUE"""),45153.0)</f>
        <v>45153</v>
      </c>
      <c r="R182" s="18">
        <f>IFERROR(__xludf.DUMMYFUNCTION("""COMPUTED_VALUE"""),45194.0)</f>
        <v>45194</v>
      </c>
      <c r="S182" s="16"/>
      <c r="T182" s="16"/>
      <c r="U182" s="16" t="str">
        <f>IFERROR(__xludf.DUMMYFUNCTION("""COMPUTED_VALUE"""),"Fingerprint")</f>
        <v>Fingerprint</v>
      </c>
      <c r="V182" s="16" t="str">
        <f>IFERROR(__xludf.DUMMYFUNCTION("""COMPUTED_VALUE"""),"-")</f>
        <v>-</v>
      </c>
      <c r="W182" s="16" t="str">
        <f>IFERROR(__xludf.DUMMYFUNCTION("""COMPUTED_VALUE"""),"2023-05-02T20:35:43Z")</f>
        <v>2023-05-02T20:35:43Z</v>
      </c>
      <c r="X182" s="16"/>
      <c r="Y182" s="16"/>
      <c r="Z182" s="16"/>
    </row>
    <row r="183">
      <c r="A183" s="16" t="str">
        <f>IFERROR(__xludf.DUMMYFUNCTION("""COMPUTED_VALUE"""),"5248817_1294429")</f>
        <v>5248817_1294429</v>
      </c>
      <c r="B183" s="16" t="str">
        <f>IFERROR(__xludf.DUMMYFUNCTION("""COMPUTED_VALUE"""),"Deniz Ekim Onal")</f>
        <v>Deniz Ekim Onal</v>
      </c>
      <c r="C183" s="16" t="str">
        <f>IFERROR(__xludf.DUMMYFUNCTION("""COMPUTED_VALUE"""),"completed")</f>
        <v>completed</v>
      </c>
      <c r="D183" s="16" t="str">
        <f>IFERROR(__xludf.DUMMYFUNCTION("""COMPUTED_VALUE"""),"No")</f>
        <v>No</v>
      </c>
      <c r="E183" s="16" t="str">
        <f>IFERROR(__xludf.DUMMYFUNCTION("""COMPUTED_VALUE"""),"p_200967a1cd4c6aace487e49256878293252cf726@inbound.aiesec.org")</f>
        <v>p_200967a1cd4c6aace487e49256878293252cf726@inbound.aiesec.org</v>
      </c>
      <c r="F183" s="16">
        <f>IFERROR(__xludf.DUMMYFUNCTION("""COMPUTED_VALUE"""),5.396129666E9)</f>
        <v>5396129666</v>
      </c>
      <c r="G183" s="16" t="str">
        <f>IFERROR(__xludf.DUMMYFUNCTION("""COMPUTED_VALUE"""),"Turkey")</f>
        <v>Turkey</v>
      </c>
      <c r="H183" s="16" t="str">
        <f>IFERROR(__xludf.DUMMYFUNCTION("""COMPUTED_VALUE"""),"ISTANBUL")</f>
        <v>ISTANBUL</v>
      </c>
      <c r="I183" s="16" t="str">
        <f>IFERROR(__xludf.DUMMYFUNCTION("""COMPUTED_VALUE"""),"Serbia")</f>
        <v>Serbia</v>
      </c>
      <c r="J183" s="16" t="str">
        <f>IFERROR(__xludf.DUMMYFUNCTION("""COMPUTED_VALUE"""),"NOVI SAD")</f>
        <v>NOVI SAD</v>
      </c>
      <c r="K183" s="17" t="str">
        <f>IFERROR(__xludf.DUMMYFUNCTION("""COMPUTED_VALUE"""),"https://expa.aiesec.org/opportunities/1294429")</f>
        <v>https://expa.aiesec.org/opportunities/1294429</v>
      </c>
      <c r="L183" s="16" t="str">
        <f>IFERROR(__xludf.DUMMYFUNCTION("""COMPUTED_VALUE"""),"GV")</f>
        <v>GV</v>
      </c>
      <c r="M183" s="16" t="str">
        <f>IFERROR(__xludf.DUMMYFUNCTION("""COMPUTED_VALUE"""),"short")</f>
        <v>short</v>
      </c>
      <c r="N183" s="18">
        <f>IFERROR(__xludf.DUMMYFUNCTION("""COMPUTED_VALUE"""),45052.0)</f>
        <v>45052</v>
      </c>
      <c r="O183" s="18">
        <f>IFERROR(__xludf.DUMMYFUNCTION("""COMPUTED_VALUE"""),45089.0)</f>
        <v>45089</v>
      </c>
      <c r="P183" s="18">
        <f>IFERROR(__xludf.DUMMYFUNCTION("""COMPUTED_VALUE"""),45131.0)</f>
        <v>45131</v>
      </c>
      <c r="Q183" s="18">
        <f>IFERROR(__xludf.DUMMYFUNCTION("""COMPUTED_VALUE"""),45090.0)</f>
        <v>45090</v>
      </c>
      <c r="R183" s="18">
        <f>IFERROR(__xludf.DUMMYFUNCTION("""COMPUTED_VALUE"""),45131.0)</f>
        <v>45131</v>
      </c>
      <c r="S183" s="16"/>
      <c r="T183" s="16"/>
      <c r="U183" s="16" t="str">
        <f>IFERROR(__xludf.DUMMYFUNCTION("""COMPUTED_VALUE"""),"Skill Up!")</f>
        <v>Skill Up!</v>
      </c>
      <c r="V183" s="16" t="str">
        <f>IFERROR(__xludf.DUMMYFUNCTION("""COMPUTED_VALUE"""),"ISTANBUL ASIA")</f>
        <v>ISTANBUL ASIA</v>
      </c>
      <c r="W183" s="16" t="str">
        <f>IFERROR(__xludf.DUMMYFUNCTION("""COMPUTED_VALUE"""),"2023-04-25T06:34:01Z")</f>
        <v>2023-04-25T06:34:01Z</v>
      </c>
      <c r="X183" s="16"/>
      <c r="Y183" s="16"/>
      <c r="Z183" s="16"/>
    </row>
    <row r="184">
      <c r="A184" s="16" t="str">
        <f>IFERROR(__xludf.DUMMYFUNCTION("""COMPUTED_VALUE"""),"5248811_1294429")</f>
        <v>5248811_1294429</v>
      </c>
      <c r="B184" s="16" t="str">
        <f>IFERROR(__xludf.DUMMYFUNCTION("""COMPUTED_VALUE"""),"mehmed dinsever")</f>
        <v>mehmed dinsever</v>
      </c>
      <c r="C184" s="16" t="str">
        <f>IFERROR(__xludf.DUMMYFUNCTION("""COMPUTED_VALUE"""),"completed")</f>
        <v>completed</v>
      </c>
      <c r="D184" s="16" t="str">
        <f>IFERROR(__xludf.DUMMYFUNCTION("""COMPUTED_VALUE"""),"No")</f>
        <v>No</v>
      </c>
      <c r="E184" s="16" t="str">
        <f>IFERROR(__xludf.DUMMYFUNCTION("""COMPUTED_VALUE"""),"p_0fc288ec545c3ed18605bda5aea223abcfa64313@inbound.aiesec.org")</f>
        <v>p_0fc288ec545c3ed18605bda5aea223abcfa64313@inbound.aiesec.org</v>
      </c>
      <c r="F184" s="16">
        <f>IFERROR(__xludf.DUMMYFUNCTION("""COMPUTED_VALUE"""),5.556225065E9)</f>
        <v>5556225065</v>
      </c>
      <c r="G184" s="16" t="str">
        <f>IFERROR(__xludf.DUMMYFUNCTION("""COMPUTED_VALUE"""),"Turkey")</f>
        <v>Turkey</v>
      </c>
      <c r="H184" s="16" t="str">
        <f>IFERROR(__xludf.DUMMYFUNCTION("""COMPUTED_VALUE"""),"ISTANBUL")</f>
        <v>ISTANBUL</v>
      </c>
      <c r="I184" s="16" t="str">
        <f>IFERROR(__xludf.DUMMYFUNCTION("""COMPUTED_VALUE"""),"Serbia")</f>
        <v>Serbia</v>
      </c>
      <c r="J184" s="16" t="str">
        <f>IFERROR(__xludf.DUMMYFUNCTION("""COMPUTED_VALUE"""),"NOVI SAD")</f>
        <v>NOVI SAD</v>
      </c>
      <c r="K184" s="17" t="str">
        <f>IFERROR(__xludf.DUMMYFUNCTION("""COMPUTED_VALUE"""),"https://expa.aiesec.org/opportunities/1294429")</f>
        <v>https://expa.aiesec.org/opportunities/1294429</v>
      </c>
      <c r="L184" s="16" t="str">
        <f>IFERROR(__xludf.DUMMYFUNCTION("""COMPUTED_VALUE"""),"GV")</f>
        <v>GV</v>
      </c>
      <c r="M184" s="16" t="str">
        <f>IFERROR(__xludf.DUMMYFUNCTION("""COMPUTED_VALUE"""),"short")</f>
        <v>short</v>
      </c>
      <c r="N184" s="18">
        <f>IFERROR(__xludf.DUMMYFUNCTION("""COMPUTED_VALUE"""),45052.0)</f>
        <v>45052</v>
      </c>
      <c r="O184" s="18">
        <f>IFERROR(__xludf.DUMMYFUNCTION("""COMPUTED_VALUE"""),45089.0)</f>
        <v>45089</v>
      </c>
      <c r="P184" s="18">
        <f>IFERROR(__xludf.DUMMYFUNCTION("""COMPUTED_VALUE"""),45131.0)</f>
        <v>45131</v>
      </c>
      <c r="Q184" s="18">
        <f>IFERROR(__xludf.DUMMYFUNCTION("""COMPUTED_VALUE"""),45090.0)</f>
        <v>45090</v>
      </c>
      <c r="R184" s="18">
        <f>IFERROR(__xludf.DUMMYFUNCTION("""COMPUTED_VALUE"""),45131.0)</f>
        <v>45131</v>
      </c>
      <c r="S184" s="16"/>
      <c r="T184" s="16"/>
      <c r="U184" s="16" t="str">
        <f>IFERROR(__xludf.DUMMYFUNCTION("""COMPUTED_VALUE"""),"Skill Up!")</f>
        <v>Skill Up!</v>
      </c>
      <c r="V184" s="16" t="str">
        <f>IFERROR(__xludf.DUMMYFUNCTION("""COMPUTED_VALUE"""),"ISTANBUL ASIA")</f>
        <v>ISTANBUL ASIA</v>
      </c>
      <c r="W184" s="16" t="str">
        <f>IFERROR(__xludf.DUMMYFUNCTION("""COMPUTED_VALUE"""),"2023-04-25T06:30:31Z")</f>
        <v>2023-04-25T06:30:31Z</v>
      </c>
      <c r="X184" s="16"/>
      <c r="Y184" s="16"/>
      <c r="Z184" s="16"/>
    </row>
    <row r="185">
      <c r="A185" s="16" t="str">
        <f>IFERROR(__xludf.DUMMYFUNCTION("""COMPUTED_VALUE"""),"5251998_1294848")</f>
        <v>5251998_1294848</v>
      </c>
      <c r="B185" s="16" t="str">
        <f>IFERROR(__xludf.DUMMYFUNCTION("""COMPUTED_VALUE"""),"Ceri Ne")</f>
        <v>Ceri Ne</v>
      </c>
      <c r="C185" s="16" t="str">
        <f>IFERROR(__xludf.DUMMYFUNCTION("""COMPUTED_VALUE"""),"approved")</f>
        <v>approved</v>
      </c>
      <c r="D185" s="16" t="str">
        <f>IFERROR(__xludf.DUMMYFUNCTION("""COMPUTED_VALUE"""),"No")</f>
        <v>No</v>
      </c>
      <c r="E185" s="16" t="str">
        <f>IFERROR(__xludf.DUMMYFUNCTION("""COMPUTED_VALUE"""),"p_278fafffe818e834e82da358b6f933f2bebb13fd@inbound.aiesec.org")</f>
        <v>p_278fafffe818e834e82da358b6f933f2bebb13fd@inbound.aiesec.org</v>
      </c>
      <c r="F185" s="16"/>
      <c r="G185" s="16" t="str">
        <f>IFERROR(__xludf.DUMMYFUNCTION("""COMPUTED_VALUE"""),"Turkey")</f>
        <v>Turkey</v>
      </c>
      <c r="H185" s="16" t="str">
        <f>IFERROR(__xludf.DUMMYFUNCTION("""COMPUTED_VALUE"""),"ISTANBUL")</f>
        <v>ISTANBUL</v>
      </c>
      <c r="I185" s="16" t="str">
        <f>IFERROR(__xludf.DUMMYFUNCTION("""COMPUTED_VALUE"""),"Egypt")</f>
        <v>Egypt</v>
      </c>
      <c r="J185" s="16" t="str">
        <f>IFERROR(__xludf.DUMMYFUNCTION("""COMPUTED_VALUE"""),"GUC")</f>
        <v>GUC</v>
      </c>
      <c r="K185" s="17" t="str">
        <f>IFERROR(__xludf.DUMMYFUNCTION("""COMPUTED_VALUE"""),"https://expa.aiesec.org/opportunities/1294848")</f>
        <v>https://expa.aiesec.org/opportunities/1294848</v>
      </c>
      <c r="L185" s="16" t="str">
        <f>IFERROR(__xludf.DUMMYFUNCTION("""COMPUTED_VALUE"""),"GV")</f>
        <v>GV</v>
      </c>
      <c r="M185" s="16" t="str">
        <f>IFERROR(__xludf.DUMMYFUNCTION("""COMPUTED_VALUE"""),"short")</f>
        <v>short</v>
      </c>
      <c r="N185" s="18">
        <f>IFERROR(__xludf.DUMMYFUNCTION("""COMPUTED_VALUE"""),45053.0)</f>
        <v>45053</v>
      </c>
      <c r="O185" s="18">
        <f>IFERROR(__xludf.DUMMYFUNCTION("""COMPUTED_VALUE"""),45152.0)</f>
        <v>45152</v>
      </c>
      <c r="P185" s="18">
        <f>IFERROR(__xludf.DUMMYFUNCTION("""COMPUTED_VALUE"""),45194.0)</f>
        <v>45194</v>
      </c>
      <c r="Q185" s="18"/>
      <c r="R185" s="18"/>
      <c r="S185" s="16"/>
      <c r="T185" s="16"/>
      <c r="U185" s="16" t="str">
        <f>IFERROR(__xludf.DUMMYFUNCTION("""COMPUTED_VALUE"""),"Skill Up!")</f>
        <v>Skill Up!</v>
      </c>
      <c r="V185" s="16" t="str">
        <f>IFERROR(__xludf.DUMMYFUNCTION("""COMPUTED_VALUE"""),"-")</f>
        <v>-</v>
      </c>
      <c r="W185" s="16" t="str">
        <f>IFERROR(__xludf.DUMMYFUNCTION("""COMPUTED_VALUE"""),"2023-04-28T16:53:04Z")</f>
        <v>2023-04-28T16:53:04Z</v>
      </c>
      <c r="X185" s="16"/>
      <c r="Y185" s="16"/>
      <c r="Z185" s="16"/>
    </row>
    <row r="186">
      <c r="A186" s="16" t="str">
        <f>IFERROR(__xludf.DUMMYFUNCTION("""COMPUTED_VALUE"""),"5255193_1289951")</f>
        <v>5255193_1289951</v>
      </c>
      <c r="B186" s="16" t="str">
        <f>IFERROR(__xludf.DUMMYFUNCTION("""COMPUTED_VALUE"""),"Gamze Çevik")</f>
        <v>Gamze Çevik</v>
      </c>
      <c r="C186" s="16" t="str">
        <f>IFERROR(__xludf.DUMMYFUNCTION("""COMPUTED_VALUE"""),"completed")</f>
        <v>completed</v>
      </c>
      <c r="D186" s="16" t="str">
        <f>IFERROR(__xludf.DUMMYFUNCTION("""COMPUTED_VALUE"""),"No")</f>
        <v>No</v>
      </c>
      <c r="E186" s="16" t="str">
        <f>IFERROR(__xludf.DUMMYFUNCTION("""COMPUTED_VALUE"""),"p_a258dad59c6b3a260accbb3f4c45103c13ffa521@inbound.aiesec.org")</f>
        <v>p_a258dad59c6b3a260accbb3f4c45103c13ffa521@inbound.aiesec.org</v>
      </c>
      <c r="F186" s="16">
        <f>IFERROR(__xludf.DUMMYFUNCTION("""COMPUTED_VALUE"""),5.344108027E9)</f>
        <v>5344108027</v>
      </c>
      <c r="G186" s="16" t="str">
        <f>IFERROR(__xludf.DUMMYFUNCTION("""COMPUTED_VALUE"""),"Turkey")</f>
        <v>Turkey</v>
      </c>
      <c r="H186" s="16" t="str">
        <f>IFERROR(__xludf.DUMMYFUNCTION("""COMPUTED_VALUE"""),"ISTANBUL")</f>
        <v>ISTANBUL</v>
      </c>
      <c r="I186" s="16" t="str">
        <f>IFERROR(__xludf.DUMMYFUNCTION("""COMPUTED_VALUE"""),"Egypt")</f>
        <v>Egypt</v>
      </c>
      <c r="J186" s="16" t="str">
        <f>IFERROR(__xludf.DUMMYFUNCTION("""COMPUTED_VALUE"""),"Ain Shams University")</f>
        <v>Ain Shams University</v>
      </c>
      <c r="K186" s="17" t="str">
        <f>IFERROR(__xludf.DUMMYFUNCTION("""COMPUTED_VALUE"""),"https://expa.aiesec.org/opportunities/1289951")</f>
        <v>https://expa.aiesec.org/opportunities/1289951</v>
      </c>
      <c r="L186" s="16" t="str">
        <f>IFERROR(__xludf.DUMMYFUNCTION("""COMPUTED_VALUE"""),"GV")</f>
        <v>GV</v>
      </c>
      <c r="M186" s="16" t="str">
        <f>IFERROR(__xludf.DUMMYFUNCTION("""COMPUTED_VALUE"""),"short")</f>
        <v>short</v>
      </c>
      <c r="N186" s="18">
        <f>IFERROR(__xludf.DUMMYFUNCTION("""COMPUTED_VALUE"""),45053.0)</f>
        <v>45053</v>
      </c>
      <c r="O186" s="18">
        <f>IFERROR(__xludf.DUMMYFUNCTION("""COMPUTED_VALUE"""),45122.0)</f>
        <v>45122</v>
      </c>
      <c r="P186" s="18">
        <f>IFERROR(__xludf.DUMMYFUNCTION("""COMPUTED_VALUE"""),45164.0)</f>
        <v>45164</v>
      </c>
      <c r="Q186" s="18">
        <f>IFERROR(__xludf.DUMMYFUNCTION("""COMPUTED_VALUE"""),45122.0)</f>
        <v>45122</v>
      </c>
      <c r="R186" s="18">
        <f>IFERROR(__xludf.DUMMYFUNCTION("""COMPUTED_VALUE"""),45164.0)</f>
        <v>45164</v>
      </c>
      <c r="S186" s="16"/>
      <c r="T186" s="16"/>
      <c r="U186" s="16" t="str">
        <f>IFERROR(__xludf.DUMMYFUNCTION("""COMPUTED_VALUE"""),"Global Classroom")</f>
        <v>Global Classroom</v>
      </c>
      <c r="V186" s="16" t="str">
        <f>IFERROR(__xludf.DUMMYFUNCTION("""COMPUTED_VALUE"""),"ISTANBUL - BEYOGLU")</f>
        <v>ISTANBUL - BEYOGLU</v>
      </c>
      <c r="W186" s="16" t="str">
        <f>IFERROR(__xludf.DUMMYFUNCTION("""COMPUTED_VALUE"""),"2023-05-03T15:18:53Z")</f>
        <v>2023-05-03T15:18:53Z</v>
      </c>
      <c r="X186" s="16"/>
      <c r="Y186" s="16"/>
      <c r="Z186" s="16"/>
    </row>
    <row r="187">
      <c r="A187" s="16" t="str">
        <f>IFERROR(__xludf.DUMMYFUNCTION("""COMPUTED_VALUE"""),"5249580_1286929")</f>
        <v>5249580_1286929</v>
      </c>
      <c r="B187" s="16" t="str">
        <f>IFERROR(__xludf.DUMMYFUNCTION("""COMPUTED_VALUE"""),"Eyyüp Ekinbaş")</f>
        <v>Eyyüp Ekinbaş</v>
      </c>
      <c r="C187" s="16" t="str">
        <f>IFERROR(__xludf.DUMMYFUNCTION("""COMPUTED_VALUE"""),"approved")</f>
        <v>approved</v>
      </c>
      <c r="D187" s="16" t="str">
        <f>IFERROR(__xludf.DUMMYFUNCTION("""COMPUTED_VALUE"""),"No")</f>
        <v>No</v>
      </c>
      <c r="E187" s="16" t="str">
        <f>IFERROR(__xludf.DUMMYFUNCTION("""COMPUTED_VALUE"""),"p_df9ce2091151b7f7f08d77c40bf07bac2b0ee27c@inbound.aiesec.org")</f>
        <v>p_df9ce2091151b7f7f08d77c40bf07bac2b0ee27c@inbound.aiesec.org</v>
      </c>
      <c r="F187" s="16">
        <f>IFERROR(__xludf.DUMMYFUNCTION("""COMPUTED_VALUE"""),5.418984372E9)</f>
        <v>5418984372</v>
      </c>
      <c r="G187" s="16" t="str">
        <f>IFERROR(__xludf.DUMMYFUNCTION("""COMPUTED_VALUE"""),"Turkey")</f>
        <v>Turkey</v>
      </c>
      <c r="H187" s="16" t="str">
        <f>IFERROR(__xludf.DUMMYFUNCTION("""COMPUTED_VALUE"""),"ISTANBUL")</f>
        <v>ISTANBUL</v>
      </c>
      <c r="I187" s="16" t="str">
        <f>IFERROR(__xludf.DUMMYFUNCTION("""COMPUTED_VALUE"""),"Egypt")</f>
        <v>Egypt</v>
      </c>
      <c r="J187" s="16" t="str">
        <f>IFERROR(__xludf.DUMMYFUNCTION("""COMPUTED_VALUE"""),"Ain Shams University")</f>
        <v>Ain Shams University</v>
      </c>
      <c r="K187" s="17" t="str">
        <f>IFERROR(__xludf.DUMMYFUNCTION("""COMPUTED_VALUE"""),"https://expa.aiesec.org/opportunities/1286929")</f>
        <v>https://expa.aiesec.org/opportunities/1286929</v>
      </c>
      <c r="L187" s="16" t="str">
        <f>IFERROR(__xludf.DUMMYFUNCTION("""COMPUTED_VALUE"""),"GV")</f>
        <v>GV</v>
      </c>
      <c r="M187" s="16" t="str">
        <f>IFERROR(__xludf.DUMMYFUNCTION("""COMPUTED_VALUE"""),"short")</f>
        <v>short</v>
      </c>
      <c r="N187" s="18">
        <f>IFERROR(__xludf.DUMMYFUNCTION("""COMPUTED_VALUE"""),45053.0)</f>
        <v>45053</v>
      </c>
      <c r="O187" s="18">
        <f>IFERROR(__xludf.DUMMYFUNCTION("""COMPUTED_VALUE"""),45108.0)</f>
        <v>45108</v>
      </c>
      <c r="P187" s="18">
        <f>IFERROR(__xludf.DUMMYFUNCTION("""COMPUTED_VALUE"""),45150.0)</f>
        <v>45150</v>
      </c>
      <c r="Q187" s="18"/>
      <c r="R187" s="18"/>
      <c r="S187" s="16"/>
      <c r="T187" s="16"/>
      <c r="U187" s="16" t="str">
        <f>IFERROR(__xludf.DUMMYFUNCTION("""COMPUTED_VALUE"""),"Global Classroom")</f>
        <v>Global Classroom</v>
      </c>
      <c r="V187" s="16" t="str">
        <f>IFERROR(__xludf.DUMMYFUNCTION("""COMPUTED_VALUE"""),"KAYSERI")</f>
        <v>KAYSERI</v>
      </c>
      <c r="W187" s="16" t="str">
        <f>IFERROR(__xludf.DUMMYFUNCTION("""COMPUTED_VALUE"""),"2023-04-26T06:44:27Z")</f>
        <v>2023-04-26T06:44:27Z</v>
      </c>
      <c r="X187" s="16"/>
      <c r="Y187" s="16"/>
      <c r="Z187" s="16"/>
    </row>
    <row r="188">
      <c r="A188" s="16" t="str">
        <f>IFERROR(__xludf.DUMMYFUNCTION("""COMPUTED_VALUE"""),"5256498_1294209")</f>
        <v>5256498_1294209</v>
      </c>
      <c r="B188" s="16" t="str">
        <f>IFERROR(__xludf.DUMMYFUNCTION("""COMPUTED_VALUE"""),"Neşat Burak Gündoğdu")</f>
        <v>Neşat Burak Gündoğdu</v>
      </c>
      <c r="C188" s="16" t="str">
        <f>IFERROR(__xludf.DUMMYFUNCTION("""COMPUTED_VALUE"""),"approved")</f>
        <v>approved</v>
      </c>
      <c r="D188" s="16" t="str">
        <f>IFERROR(__xludf.DUMMYFUNCTION("""COMPUTED_VALUE"""),"No")</f>
        <v>No</v>
      </c>
      <c r="E188" s="16" t="str">
        <f>IFERROR(__xludf.DUMMYFUNCTION("""COMPUTED_VALUE"""),"p_080d2947e36334e6680f65d011cf8b19a741452b@inbound.aiesec.org")</f>
        <v>p_080d2947e36334e6680f65d011cf8b19a741452b@inbound.aiesec.org</v>
      </c>
      <c r="F188" s="16">
        <f>IFERROR(__xludf.DUMMYFUNCTION("""COMPUTED_VALUE"""),5.370600361E9)</f>
        <v>5370600361</v>
      </c>
      <c r="G188" s="16" t="str">
        <f>IFERROR(__xludf.DUMMYFUNCTION("""COMPUTED_VALUE"""),"Turkey")</f>
        <v>Turkey</v>
      </c>
      <c r="H188" s="16" t="str">
        <f>IFERROR(__xludf.DUMMYFUNCTION("""COMPUTED_VALUE"""),"ISTANBUL")</f>
        <v>ISTANBUL</v>
      </c>
      <c r="I188" s="16" t="str">
        <f>IFERROR(__xludf.DUMMYFUNCTION("""COMPUTED_VALUE"""),"Moldova")</f>
        <v>Moldova</v>
      </c>
      <c r="J188" s="16" t="str">
        <f>IFERROR(__xludf.DUMMYFUNCTION("""COMPUTED_VALUE"""),"CHISINAU")</f>
        <v>CHISINAU</v>
      </c>
      <c r="K188" s="17" t="str">
        <f>IFERROR(__xludf.DUMMYFUNCTION("""COMPUTED_VALUE"""),"https://expa.aiesec.org/opportunities/1294209")</f>
        <v>https://expa.aiesec.org/opportunities/1294209</v>
      </c>
      <c r="L188" s="16" t="str">
        <f>IFERROR(__xludf.DUMMYFUNCTION("""COMPUTED_VALUE"""),"GV")</f>
        <v>GV</v>
      </c>
      <c r="M188" s="16" t="str">
        <f>IFERROR(__xludf.DUMMYFUNCTION("""COMPUTED_VALUE"""),"short")</f>
        <v>short</v>
      </c>
      <c r="N188" s="18">
        <f>IFERROR(__xludf.DUMMYFUNCTION("""COMPUTED_VALUE"""),45053.0)</f>
        <v>45053</v>
      </c>
      <c r="O188" s="18">
        <f>IFERROR(__xludf.DUMMYFUNCTION("""COMPUTED_VALUE"""),45089.0)</f>
        <v>45089</v>
      </c>
      <c r="P188" s="18">
        <f>IFERROR(__xludf.DUMMYFUNCTION("""COMPUTED_VALUE"""),45131.0)</f>
        <v>45131</v>
      </c>
      <c r="Q188" s="18"/>
      <c r="R188" s="18"/>
      <c r="S188" s="16"/>
      <c r="T188" s="16"/>
      <c r="U188" s="16" t="str">
        <f>IFERROR(__xludf.DUMMYFUNCTION("""COMPUTED_VALUE"""),"On The Map")</f>
        <v>On The Map</v>
      </c>
      <c r="V188" s="16" t="str">
        <f>IFERROR(__xludf.DUMMYFUNCTION("""COMPUTED_VALUE"""),"ISTANBUL ASIA")</f>
        <v>ISTANBUL ASIA</v>
      </c>
      <c r="W188" s="16" t="str">
        <f>IFERROR(__xludf.DUMMYFUNCTION("""COMPUTED_VALUE"""),"2023-05-05T20:56:30Z")</f>
        <v>2023-05-05T20:56:30Z</v>
      </c>
      <c r="X188" s="16"/>
      <c r="Y188" s="16"/>
      <c r="Z188" s="16"/>
    </row>
    <row r="189">
      <c r="A189" s="16" t="str">
        <f>IFERROR(__xludf.DUMMYFUNCTION("""COMPUTED_VALUE"""),"5253757_1288542")</f>
        <v>5253757_1288542</v>
      </c>
      <c r="B189" s="16" t="str">
        <f>IFERROR(__xludf.DUMMYFUNCTION("""COMPUTED_VALUE"""),"BATUHAN SAĞLAM")</f>
        <v>BATUHAN SAĞLAM</v>
      </c>
      <c r="C189" s="16" t="str">
        <f>IFERROR(__xludf.DUMMYFUNCTION("""COMPUTED_VALUE"""),"completed")</f>
        <v>completed</v>
      </c>
      <c r="D189" s="16" t="str">
        <f>IFERROR(__xludf.DUMMYFUNCTION("""COMPUTED_VALUE"""),"No")</f>
        <v>No</v>
      </c>
      <c r="E189" s="16" t="str">
        <f>IFERROR(__xludf.DUMMYFUNCTION("""COMPUTED_VALUE"""),"p_8042309b6974fc87459d67f3b06b87add11128b4@inbound.aiesec.org")</f>
        <v>p_8042309b6974fc87459d67f3b06b87add11128b4@inbound.aiesec.org</v>
      </c>
      <c r="F189" s="16"/>
      <c r="G189" s="16" t="str">
        <f>IFERROR(__xludf.DUMMYFUNCTION("""COMPUTED_VALUE"""),"Turkey")</f>
        <v>Turkey</v>
      </c>
      <c r="H189" s="16" t="str">
        <f>IFERROR(__xludf.DUMMYFUNCTION("""COMPUTED_VALUE"""),"ISTANBUL")</f>
        <v>ISTANBUL</v>
      </c>
      <c r="I189" s="16" t="str">
        <f>IFERROR(__xludf.DUMMYFUNCTION("""COMPUTED_VALUE"""),"India")</f>
        <v>India</v>
      </c>
      <c r="J189" s="16" t="str">
        <f>IFERROR(__xludf.DUMMYFUNCTION("""COMPUTED_VALUE"""),"VIT")</f>
        <v>VIT</v>
      </c>
      <c r="K189" s="17" t="str">
        <f>IFERROR(__xludf.DUMMYFUNCTION("""COMPUTED_VALUE"""),"https://expa.aiesec.org/opportunities/1288542")</f>
        <v>https://expa.aiesec.org/opportunities/1288542</v>
      </c>
      <c r="L189" s="16" t="str">
        <f>IFERROR(__xludf.DUMMYFUNCTION("""COMPUTED_VALUE"""),"GTa")</f>
        <v>GTa</v>
      </c>
      <c r="M189" s="16" t="str">
        <f>IFERROR(__xludf.DUMMYFUNCTION("""COMPUTED_VALUE"""),"short")</f>
        <v>short</v>
      </c>
      <c r="N189" s="18">
        <f>IFERROR(__xludf.DUMMYFUNCTION("""COMPUTED_VALUE"""),45053.0)</f>
        <v>45053</v>
      </c>
      <c r="O189" s="18">
        <f>IFERROR(__xludf.DUMMYFUNCTION("""COMPUTED_VALUE"""),45089.0)</f>
        <v>45089</v>
      </c>
      <c r="P189" s="18">
        <f>IFERROR(__xludf.DUMMYFUNCTION("""COMPUTED_VALUE"""),45145.0)</f>
        <v>45145</v>
      </c>
      <c r="Q189" s="18"/>
      <c r="R189" s="18">
        <f>IFERROR(__xludf.DUMMYFUNCTION("""COMPUTED_VALUE"""),45137.0)</f>
        <v>45137</v>
      </c>
      <c r="S189" s="16"/>
      <c r="T189" s="16" t="str">
        <f>IFERROR(__xludf.DUMMYFUNCTION("""COMPUTED_VALUE"""),"Information Technology")</f>
        <v>Information Technology</v>
      </c>
      <c r="U189" s="16" t="str">
        <f>IFERROR(__xludf.DUMMYFUNCTION("""COMPUTED_VALUE"""),"Research Intern | Machine Learning | In India")</f>
        <v>Research Intern | Machine Learning | In India</v>
      </c>
      <c r="V189" s="16" t="str">
        <f>IFERROR(__xludf.DUMMYFUNCTION("""COMPUTED_VALUE"""),"-")</f>
        <v>-</v>
      </c>
      <c r="W189" s="16" t="str">
        <f>IFERROR(__xludf.DUMMYFUNCTION("""COMPUTED_VALUE"""),"2023-05-01T15:20:14Z")</f>
        <v>2023-05-01T15:20:14Z</v>
      </c>
      <c r="X189" s="16"/>
      <c r="Y189" s="16"/>
      <c r="Z189" s="16"/>
    </row>
    <row r="190">
      <c r="A190" s="16" t="str">
        <f>IFERROR(__xludf.DUMMYFUNCTION("""COMPUTED_VALUE"""),"5196500_1284670")</f>
        <v>5196500_1284670</v>
      </c>
      <c r="B190" s="16" t="str">
        <f>IFERROR(__xludf.DUMMYFUNCTION("""COMPUTED_VALUE"""),"Vanessa Langenau")</f>
        <v>Vanessa Langenau</v>
      </c>
      <c r="C190" s="16" t="str">
        <f>IFERROR(__xludf.DUMMYFUNCTION("""COMPUTED_VALUE"""),"completed")</f>
        <v>completed</v>
      </c>
      <c r="D190" s="16" t="str">
        <f>IFERROR(__xludf.DUMMYFUNCTION("""COMPUTED_VALUE"""),"No")</f>
        <v>No</v>
      </c>
      <c r="E190" s="16" t="str">
        <f>IFERROR(__xludf.DUMMYFUNCTION("""COMPUTED_VALUE"""),"p_b47c939ef8c6581723104f43a93c0eab5178614f@inbound.aiesec.org")</f>
        <v>p_b47c939ef8c6581723104f43a93c0eab5178614f@inbound.aiesec.org</v>
      </c>
      <c r="F190" s="16">
        <f>IFERROR(__xludf.DUMMYFUNCTION("""COMPUTED_VALUE"""),1.7650817445E10)</f>
        <v>17650817445</v>
      </c>
      <c r="G190" s="16" t="str">
        <f>IFERROR(__xludf.DUMMYFUNCTION("""COMPUTED_VALUE"""),"Germany")</f>
        <v>Germany</v>
      </c>
      <c r="H190" s="16" t="str">
        <f>IFERROR(__xludf.DUMMYFUNCTION("""COMPUTED_VALUE"""),"HANNOVER")</f>
        <v>HANNOVER</v>
      </c>
      <c r="I190" s="16" t="str">
        <f>IFERROR(__xludf.DUMMYFUNCTION("""COMPUTED_VALUE"""),"Turkey")</f>
        <v>Turkey</v>
      </c>
      <c r="J190" s="16" t="str">
        <f>IFERROR(__xludf.DUMMYFUNCTION("""COMPUTED_VALUE"""),"ISTANBUL")</f>
        <v>ISTANBUL</v>
      </c>
      <c r="K190" s="17" t="str">
        <f>IFERROR(__xludf.DUMMYFUNCTION("""COMPUTED_VALUE"""),"https://expa.aiesec.org/opportunities/1284670")</f>
        <v>https://expa.aiesec.org/opportunities/1284670</v>
      </c>
      <c r="L190" s="16" t="str">
        <f>IFERROR(__xludf.DUMMYFUNCTION("""COMPUTED_VALUE"""),"GV")</f>
        <v>GV</v>
      </c>
      <c r="M190" s="16" t="str">
        <f>IFERROR(__xludf.DUMMYFUNCTION("""COMPUTED_VALUE"""),"short")</f>
        <v>short</v>
      </c>
      <c r="N190" s="18">
        <f>IFERROR(__xludf.DUMMYFUNCTION("""COMPUTED_VALUE"""),45054.0)</f>
        <v>45054</v>
      </c>
      <c r="O190" s="18">
        <f>IFERROR(__xludf.DUMMYFUNCTION("""COMPUTED_VALUE"""),45110.0)</f>
        <v>45110</v>
      </c>
      <c r="P190" s="18">
        <f>IFERROR(__xludf.DUMMYFUNCTION("""COMPUTED_VALUE"""),45152.0)</f>
        <v>45152</v>
      </c>
      <c r="Q190" s="18">
        <f>IFERROR(__xludf.DUMMYFUNCTION("""COMPUTED_VALUE"""),45110.0)</f>
        <v>45110</v>
      </c>
      <c r="R190" s="18">
        <f>IFERROR(__xludf.DUMMYFUNCTION("""COMPUTED_VALUE"""),45152.0)</f>
        <v>45152</v>
      </c>
      <c r="S190" s="16"/>
      <c r="T190" s="16"/>
      <c r="U190" s="16" t="str">
        <f>IFERROR(__xludf.DUMMYFUNCTION("""COMPUTED_VALUE"""),"Heartbeat")</f>
        <v>Heartbeat</v>
      </c>
      <c r="V190" s="16" t="str">
        <f>IFERROR(__xludf.DUMMYFUNCTION("""COMPUTED_VALUE"""),"Hannover")</f>
        <v>Hannover</v>
      </c>
      <c r="W190" s="16" t="str">
        <f>IFERROR(__xludf.DUMMYFUNCTION("""COMPUTED_VALUE"""),"2023-02-22T08:46:10Z")</f>
        <v>2023-02-22T08:46:10Z</v>
      </c>
      <c r="X190" s="16"/>
      <c r="Y190" s="16"/>
      <c r="Z190" s="16"/>
    </row>
    <row r="191">
      <c r="A191" s="16" t="str">
        <f>IFERROR(__xludf.DUMMYFUNCTION("""COMPUTED_VALUE"""),"5242537_1272564")</f>
        <v>5242537_1272564</v>
      </c>
      <c r="B191" s="16" t="str">
        <f>IFERROR(__xludf.DUMMYFUNCTION("""COMPUTED_VALUE"""),"Nourine El Afrit")</f>
        <v>Nourine El Afrit</v>
      </c>
      <c r="C191" s="16" t="str">
        <f>IFERROR(__xludf.DUMMYFUNCTION("""COMPUTED_VALUE"""),"completed")</f>
        <v>completed</v>
      </c>
      <c r="D191" s="16" t="str">
        <f>IFERROR(__xludf.DUMMYFUNCTION("""COMPUTED_VALUE"""),"No")</f>
        <v>No</v>
      </c>
      <c r="E191" s="16" t="str">
        <f>IFERROR(__xludf.DUMMYFUNCTION("""COMPUTED_VALUE"""),"p_550278d321bf42db0ff91661207eca70792c4f1d@inbound.aiesec.org")</f>
        <v>p_550278d321bf42db0ff91661207eca70792c4f1d@inbound.aiesec.org</v>
      </c>
      <c r="F191" s="16">
        <f>IFERROR(__xludf.DUMMYFUNCTION("""COMPUTED_VALUE"""),5.261691E7)</f>
        <v>52616910</v>
      </c>
      <c r="G191" s="16" t="str">
        <f>IFERROR(__xludf.DUMMYFUNCTION("""COMPUTED_VALUE"""),"Tunisia")</f>
        <v>Tunisia</v>
      </c>
      <c r="H191" s="16" t="str">
        <f>IFERROR(__xludf.DUMMYFUNCTION("""COMPUTED_VALUE"""),"Carthage")</f>
        <v>Carthage</v>
      </c>
      <c r="I191" s="16" t="str">
        <f>IFERROR(__xludf.DUMMYFUNCTION("""COMPUTED_VALUE"""),"Turkey")</f>
        <v>Turkey</v>
      </c>
      <c r="J191" s="16" t="str">
        <f>IFERROR(__xludf.DUMMYFUNCTION("""COMPUTED_VALUE"""),"ISTANBUL")</f>
        <v>ISTANBUL</v>
      </c>
      <c r="K191" s="17" t="str">
        <f>IFERROR(__xludf.DUMMYFUNCTION("""COMPUTED_VALUE"""),"https://expa.aiesec.org/opportunities/1272564")</f>
        <v>https://expa.aiesec.org/opportunities/1272564</v>
      </c>
      <c r="L191" s="16" t="str">
        <f>IFERROR(__xludf.DUMMYFUNCTION("""COMPUTED_VALUE"""),"GV")</f>
        <v>GV</v>
      </c>
      <c r="M191" s="16" t="str">
        <f>IFERROR(__xludf.DUMMYFUNCTION("""COMPUTED_VALUE"""),"short")</f>
        <v>short</v>
      </c>
      <c r="N191" s="18">
        <f>IFERROR(__xludf.DUMMYFUNCTION("""COMPUTED_VALUE"""),45057.0)</f>
        <v>45057</v>
      </c>
      <c r="O191" s="18">
        <f>IFERROR(__xludf.DUMMYFUNCTION("""COMPUTED_VALUE"""),45162.0)</f>
        <v>45162</v>
      </c>
      <c r="P191" s="18">
        <f>IFERROR(__xludf.DUMMYFUNCTION("""COMPUTED_VALUE"""),45204.0)</f>
        <v>45204</v>
      </c>
      <c r="Q191" s="18">
        <f>IFERROR(__xludf.DUMMYFUNCTION("""COMPUTED_VALUE"""),45163.0)</f>
        <v>45163</v>
      </c>
      <c r="R191" s="18">
        <f>IFERROR(__xludf.DUMMYFUNCTION("""COMPUTED_VALUE"""),45204.0)</f>
        <v>45204</v>
      </c>
      <c r="S191" s="16"/>
      <c r="T191" s="16"/>
      <c r="U191" s="16" t="str">
        <f>IFERROR(__xludf.DUMMYFUNCTION("""COMPUTED_VALUE"""),"Global Classroom")</f>
        <v>Global Classroom</v>
      </c>
      <c r="V191" s="16" t="str">
        <f>IFERROR(__xludf.DUMMYFUNCTION("""COMPUTED_VALUE"""),"FSJPST")</f>
        <v>FSJPST</v>
      </c>
      <c r="W191" s="16" t="str">
        <f>IFERROR(__xludf.DUMMYFUNCTION("""COMPUTED_VALUE"""),"2023-04-15T11:17:38Z")</f>
        <v>2023-04-15T11:17:38Z</v>
      </c>
      <c r="X191" s="16"/>
      <c r="Y191" s="16"/>
      <c r="Z191" s="16"/>
    </row>
    <row r="192">
      <c r="A192" s="16" t="str">
        <f>IFERROR(__xludf.DUMMYFUNCTION("""COMPUTED_VALUE"""),"5045957_1272564")</f>
        <v>5045957_1272564</v>
      </c>
      <c r="B192" s="16" t="str">
        <f>IFERROR(__xludf.DUMMYFUNCTION("""COMPUTED_VALUE"""),"Hermela Engida")</f>
        <v>Hermela Engida</v>
      </c>
      <c r="C192" s="16" t="str">
        <f>IFERROR(__xludf.DUMMYFUNCTION("""COMPUTED_VALUE"""),"approved")</f>
        <v>approved</v>
      </c>
      <c r="D192" s="16" t="str">
        <f>IFERROR(__xludf.DUMMYFUNCTION("""COMPUTED_VALUE"""),"No")</f>
        <v>No</v>
      </c>
      <c r="E192" s="16" t="str">
        <f>IFERROR(__xludf.DUMMYFUNCTION("""COMPUTED_VALUE"""),"p_5a69ec9641be02d35c29d3f5b97d225149f280c1@inbound.aiesec.org")</f>
        <v>p_5a69ec9641be02d35c29d3f5b97d225149f280c1@inbound.aiesec.org</v>
      </c>
      <c r="F192" s="16">
        <f>IFERROR(__xludf.DUMMYFUNCTION("""COMPUTED_VALUE"""),5.81549845E8)</f>
        <v>581549845</v>
      </c>
      <c r="G192" s="16" t="str">
        <f>IFERROR(__xludf.DUMMYFUNCTION("""COMPUTED_VALUE"""),"United Arab Emirates")</f>
        <v>United Arab Emirates</v>
      </c>
      <c r="H192" s="16" t="str">
        <f>IFERROR(__xludf.DUMMYFUNCTION("""COMPUTED_VALUE"""),"Dubai")</f>
        <v>Dubai</v>
      </c>
      <c r="I192" s="16" t="str">
        <f>IFERROR(__xludf.DUMMYFUNCTION("""COMPUTED_VALUE"""),"Turkey")</f>
        <v>Turkey</v>
      </c>
      <c r="J192" s="16" t="str">
        <f>IFERROR(__xludf.DUMMYFUNCTION("""COMPUTED_VALUE"""),"ISTANBUL")</f>
        <v>ISTANBUL</v>
      </c>
      <c r="K192" s="17" t="str">
        <f>IFERROR(__xludf.DUMMYFUNCTION("""COMPUTED_VALUE"""),"https://expa.aiesec.org/opportunities/1272564")</f>
        <v>https://expa.aiesec.org/opportunities/1272564</v>
      </c>
      <c r="L192" s="16" t="str">
        <f>IFERROR(__xludf.DUMMYFUNCTION("""COMPUTED_VALUE"""),"GV")</f>
        <v>GV</v>
      </c>
      <c r="M192" s="16" t="str">
        <f>IFERROR(__xludf.DUMMYFUNCTION("""COMPUTED_VALUE"""),"short")</f>
        <v>short</v>
      </c>
      <c r="N192" s="18">
        <f>IFERROR(__xludf.DUMMYFUNCTION("""COMPUTED_VALUE"""),45058.0)</f>
        <v>45058</v>
      </c>
      <c r="O192" s="18">
        <f>IFERROR(__xludf.DUMMYFUNCTION("""COMPUTED_VALUE"""),45084.0)</f>
        <v>45084</v>
      </c>
      <c r="P192" s="18">
        <f>IFERROR(__xludf.DUMMYFUNCTION("""COMPUTED_VALUE"""),45126.0)</f>
        <v>45126</v>
      </c>
      <c r="Q192" s="18"/>
      <c r="R192" s="18"/>
      <c r="S192" s="16"/>
      <c r="T192" s="16"/>
      <c r="U192" s="16" t="str">
        <f>IFERROR(__xludf.DUMMYFUNCTION("""COMPUTED_VALUE"""),"Global Classroom")</f>
        <v>Global Classroom</v>
      </c>
      <c r="V192" s="16" t="str">
        <f>IFERROR(__xludf.DUMMYFUNCTION("""COMPUTED_VALUE"""),"Heriot-Watt Dubai Campus")</f>
        <v>Heriot-Watt Dubai Campus</v>
      </c>
      <c r="W192" s="16" t="str">
        <f>IFERROR(__xludf.DUMMYFUNCTION("""COMPUTED_VALUE"""),"2022-04-25T19:39:34Z")</f>
        <v>2022-04-25T19:39:34Z</v>
      </c>
      <c r="X192" s="16"/>
      <c r="Y192" s="16"/>
      <c r="Z192" s="16"/>
    </row>
    <row r="193">
      <c r="A193" s="16" t="str">
        <f>IFERROR(__xludf.DUMMYFUNCTION("""COMPUTED_VALUE"""),"4856862_1289536")</f>
        <v>4856862_1289536</v>
      </c>
      <c r="B193" s="16" t="str">
        <f>IFERROR(__xludf.DUMMYFUNCTION("""COMPUTED_VALUE"""),"Hana Engida")</f>
        <v>Hana Engida</v>
      </c>
      <c r="C193" s="16" t="str">
        <f>IFERROR(__xludf.DUMMYFUNCTION("""COMPUTED_VALUE"""),"approved")</f>
        <v>approved</v>
      </c>
      <c r="D193" s="16" t="str">
        <f>IFERROR(__xludf.DUMMYFUNCTION("""COMPUTED_VALUE"""),"No")</f>
        <v>No</v>
      </c>
      <c r="E193" s="16" t="str">
        <f>IFERROR(__xludf.DUMMYFUNCTION("""COMPUTED_VALUE"""),"p_ebb3d6fcd5198ae63c57be8fb015564c5dfbcde8@inbound.aiesec.org")</f>
        <v>p_ebb3d6fcd5198ae63c57be8fb015564c5dfbcde8@inbound.aiesec.org</v>
      </c>
      <c r="F193" s="16">
        <f>IFERROR(__xludf.DUMMYFUNCTION("""COMPUTED_VALUE"""),5.62620492E8)</f>
        <v>562620492</v>
      </c>
      <c r="G193" s="16" t="str">
        <f>IFERROR(__xludf.DUMMYFUNCTION("""COMPUTED_VALUE"""),"United Arab Emirates")</f>
        <v>United Arab Emirates</v>
      </c>
      <c r="H193" s="16" t="str">
        <f>IFERROR(__xludf.DUMMYFUNCTION("""COMPUTED_VALUE"""),"Dubai")</f>
        <v>Dubai</v>
      </c>
      <c r="I193" s="16" t="str">
        <f>IFERROR(__xludf.DUMMYFUNCTION("""COMPUTED_VALUE"""),"Turkey")</f>
        <v>Turkey</v>
      </c>
      <c r="J193" s="16" t="str">
        <f>IFERROR(__xludf.DUMMYFUNCTION("""COMPUTED_VALUE"""),"ISTANBUL")</f>
        <v>ISTANBUL</v>
      </c>
      <c r="K193" s="17" t="str">
        <f>IFERROR(__xludf.DUMMYFUNCTION("""COMPUTED_VALUE"""),"https://expa.aiesec.org/opportunities/1289536")</f>
        <v>https://expa.aiesec.org/opportunities/1289536</v>
      </c>
      <c r="L193" s="16" t="str">
        <f>IFERROR(__xludf.DUMMYFUNCTION("""COMPUTED_VALUE"""),"GV")</f>
        <v>GV</v>
      </c>
      <c r="M193" s="16" t="str">
        <f>IFERROR(__xludf.DUMMYFUNCTION("""COMPUTED_VALUE"""),"short")</f>
        <v>short</v>
      </c>
      <c r="N193" s="18">
        <f>IFERROR(__xludf.DUMMYFUNCTION("""COMPUTED_VALUE"""),45058.0)</f>
        <v>45058</v>
      </c>
      <c r="O193" s="18">
        <f>IFERROR(__xludf.DUMMYFUNCTION("""COMPUTED_VALUE"""),45090.0)</f>
        <v>45090</v>
      </c>
      <c r="P193" s="18">
        <f>IFERROR(__xludf.DUMMYFUNCTION("""COMPUTED_VALUE"""),45132.0)</f>
        <v>45132</v>
      </c>
      <c r="Q193" s="18"/>
      <c r="R193" s="18"/>
      <c r="S193" s="16"/>
      <c r="T193" s="16"/>
      <c r="U193" s="16" t="str">
        <f>IFERROR(__xludf.DUMMYFUNCTION("""COMPUTED_VALUE"""),"Global Classroom")</f>
        <v>Global Classroom</v>
      </c>
      <c r="V193" s="16" t="str">
        <f>IFERROR(__xludf.DUMMYFUNCTION("""COMPUTED_VALUE"""),"Heriot-Watt Dubai Campus")</f>
        <v>Heriot-Watt Dubai Campus</v>
      </c>
      <c r="W193" s="16" t="str">
        <f>IFERROR(__xludf.DUMMYFUNCTION("""COMPUTED_VALUE"""),"2021-12-26T15:09:19Z")</f>
        <v>2021-12-26T15:09:19Z</v>
      </c>
      <c r="X193" s="16"/>
      <c r="Y193" s="16"/>
      <c r="Z193" s="16"/>
    </row>
    <row r="194">
      <c r="A194" s="16" t="str">
        <f>IFERROR(__xludf.DUMMYFUNCTION("""COMPUTED_VALUE"""),"5262060_1289255")</f>
        <v>5262060_1289255</v>
      </c>
      <c r="B194" s="16" t="str">
        <f>IFERROR(__xludf.DUMMYFUNCTION("""COMPUTED_VALUE"""),"Nadine arab")</f>
        <v>Nadine arab</v>
      </c>
      <c r="C194" s="16" t="str">
        <f>IFERROR(__xludf.DUMMYFUNCTION("""COMPUTED_VALUE"""),"approved")</f>
        <v>approved</v>
      </c>
      <c r="D194" s="16" t="str">
        <f>IFERROR(__xludf.DUMMYFUNCTION("""COMPUTED_VALUE"""),"No")</f>
        <v>No</v>
      </c>
      <c r="E194" s="16" t="str">
        <f>IFERROR(__xludf.DUMMYFUNCTION("""COMPUTED_VALUE"""),"p_b227bf1792364e56181c82ae0e7475280eed6e8c@inbound.aiesec.org")</f>
        <v>p_b227bf1792364e56181c82ae0e7475280eed6e8c@inbound.aiesec.org</v>
      </c>
      <c r="F194" s="16">
        <f>IFERROR(__xludf.DUMMYFUNCTION("""COMPUTED_VALUE"""),6.98726562E8)</f>
        <v>698726562</v>
      </c>
      <c r="G194" s="16" t="str">
        <f>IFERROR(__xludf.DUMMYFUNCTION("""COMPUTED_VALUE"""),"Algeria")</f>
        <v>Algeria</v>
      </c>
      <c r="H194" s="16" t="str">
        <f>IFERROR(__xludf.DUMMYFUNCTION("""COMPUTED_VALUE"""),"Constantine")</f>
        <v>Constantine</v>
      </c>
      <c r="I194" s="16" t="str">
        <f>IFERROR(__xludf.DUMMYFUNCTION("""COMPUTED_VALUE"""),"Turkey")</f>
        <v>Turkey</v>
      </c>
      <c r="J194" s="16" t="str">
        <f>IFERROR(__xludf.DUMMYFUNCTION("""COMPUTED_VALUE"""),"ISTANBUL")</f>
        <v>ISTANBUL</v>
      </c>
      <c r="K194" s="17" t="str">
        <f>IFERROR(__xludf.DUMMYFUNCTION("""COMPUTED_VALUE"""),"https://expa.aiesec.org/opportunities/1289255")</f>
        <v>https://expa.aiesec.org/opportunities/1289255</v>
      </c>
      <c r="L194" s="16" t="str">
        <f>IFERROR(__xludf.DUMMYFUNCTION("""COMPUTED_VALUE"""),"GTa")</f>
        <v>GTa</v>
      </c>
      <c r="M194" s="16" t="str">
        <f>IFERROR(__xludf.DUMMYFUNCTION("""COMPUTED_VALUE"""),"long")</f>
        <v>long</v>
      </c>
      <c r="N194" s="18">
        <f>IFERROR(__xludf.DUMMYFUNCTION("""COMPUTED_VALUE"""),45062.0)</f>
        <v>45062</v>
      </c>
      <c r="O194" s="18">
        <f>IFERROR(__xludf.DUMMYFUNCTION("""COMPUTED_VALUE"""),45103.0)</f>
        <v>45103</v>
      </c>
      <c r="P194" s="18">
        <f>IFERROR(__xludf.DUMMYFUNCTION("""COMPUTED_VALUE"""),45632.0)</f>
        <v>45632</v>
      </c>
      <c r="Q194" s="18"/>
      <c r="R194" s="18"/>
      <c r="S194" s="16"/>
      <c r="T194" s="16" t="str">
        <f>IFERROR(__xludf.DUMMYFUNCTION("""COMPUTED_VALUE"""),"Business Administration")</f>
        <v>Business Administration</v>
      </c>
      <c r="U194" s="16" t="str">
        <f>IFERROR(__xludf.DUMMYFUNCTION("""COMPUTED_VALUE"""),"Telesales Specialist in Istanbul (French Speaker)")</f>
        <v>Telesales Specialist in Istanbul (French Speaker)</v>
      </c>
      <c r="V194" s="16" t="str">
        <f>IFERROR(__xludf.DUMMYFUNCTION("""COMPUTED_VALUE"""),"AIESEC in Constantine")</f>
        <v>AIESEC in Constantine</v>
      </c>
      <c r="W194" s="16" t="str">
        <f>IFERROR(__xludf.DUMMYFUNCTION("""COMPUTED_VALUE"""),"2023-05-16T19:07:08Z")</f>
        <v>2023-05-16T19:07:08Z</v>
      </c>
      <c r="X194" s="16"/>
      <c r="Y194" s="16"/>
      <c r="Z194" s="16"/>
    </row>
    <row r="195">
      <c r="A195" s="16" t="str">
        <f>IFERROR(__xludf.DUMMYFUNCTION("""COMPUTED_VALUE"""),"5256643_1284670")</f>
        <v>5256643_1284670</v>
      </c>
      <c r="B195" s="16" t="str">
        <f>IFERROR(__xludf.DUMMYFUNCTION("""COMPUTED_VALUE"""),"George Olivian Manole")</f>
        <v>George Olivian Manole</v>
      </c>
      <c r="C195" s="16" t="str">
        <f>IFERROR(__xludf.DUMMYFUNCTION("""COMPUTED_VALUE"""),"completed")</f>
        <v>completed</v>
      </c>
      <c r="D195" s="16" t="str">
        <f>IFERROR(__xludf.DUMMYFUNCTION("""COMPUTED_VALUE"""),"No")</f>
        <v>No</v>
      </c>
      <c r="E195" s="16" t="str">
        <f>IFERROR(__xludf.DUMMYFUNCTION("""COMPUTED_VALUE"""),"p_f7c88f38ff4a3a86394624f204c6f1960ff1b30e@inbound.aiesec.org")</f>
        <v>p_f7c88f38ff4a3a86394624f204c6f1960ff1b30e@inbound.aiesec.org</v>
      </c>
      <c r="F195" s="16">
        <f>IFERROR(__xludf.DUMMYFUNCTION("""COMPUTED_VALUE"""),7.35388236E8)</f>
        <v>735388236</v>
      </c>
      <c r="G195" s="16" t="str">
        <f>IFERROR(__xludf.DUMMYFUNCTION("""COMPUTED_VALUE"""),"Romania")</f>
        <v>Romania</v>
      </c>
      <c r="H195" s="16" t="str">
        <f>IFERROR(__xludf.DUMMYFUNCTION("""COMPUTED_VALUE"""),"Cluj-Napoca")</f>
        <v>Cluj-Napoca</v>
      </c>
      <c r="I195" s="16" t="str">
        <f>IFERROR(__xludf.DUMMYFUNCTION("""COMPUTED_VALUE"""),"Turkey")</f>
        <v>Turkey</v>
      </c>
      <c r="J195" s="16" t="str">
        <f>IFERROR(__xludf.DUMMYFUNCTION("""COMPUTED_VALUE"""),"ISTANBUL")</f>
        <v>ISTANBUL</v>
      </c>
      <c r="K195" s="17" t="str">
        <f>IFERROR(__xludf.DUMMYFUNCTION("""COMPUTED_VALUE"""),"https://expa.aiesec.org/opportunities/1284670")</f>
        <v>https://expa.aiesec.org/opportunities/1284670</v>
      </c>
      <c r="L195" s="16" t="str">
        <f>IFERROR(__xludf.DUMMYFUNCTION("""COMPUTED_VALUE"""),"GV")</f>
        <v>GV</v>
      </c>
      <c r="M195" s="16" t="str">
        <f>IFERROR(__xludf.DUMMYFUNCTION("""COMPUTED_VALUE"""),"short")</f>
        <v>short</v>
      </c>
      <c r="N195" s="18">
        <f>IFERROR(__xludf.DUMMYFUNCTION("""COMPUTED_VALUE"""),45062.0)</f>
        <v>45062</v>
      </c>
      <c r="O195" s="18">
        <f>IFERROR(__xludf.DUMMYFUNCTION("""COMPUTED_VALUE"""),45110.0)</f>
        <v>45110</v>
      </c>
      <c r="P195" s="18">
        <f>IFERROR(__xludf.DUMMYFUNCTION("""COMPUTED_VALUE"""),45152.0)</f>
        <v>45152</v>
      </c>
      <c r="Q195" s="18">
        <f>IFERROR(__xludf.DUMMYFUNCTION("""COMPUTED_VALUE"""),45110.0)</f>
        <v>45110</v>
      </c>
      <c r="R195" s="18">
        <f>IFERROR(__xludf.DUMMYFUNCTION("""COMPUTED_VALUE"""),45152.0)</f>
        <v>45152</v>
      </c>
      <c r="S195" s="16"/>
      <c r="T195" s="16"/>
      <c r="U195" s="16" t="str">
        <f>IFERROR(__xludf.DUMMYFUNCTION("""COMPUTED_VALUE"""),"Heartbeat")</f>
        <v>Heartbeat</v>
      </c>
      <c r="V195" s="16" t="str">
        <f>IFERROR(__xludf.DUMMYFUNCTION("""COMPUTED_VALUE"""),"Cluj-Napoca")</f>
        <v>Cluj-Napoca</v>
      </c>
      <c r="W195" s="16" t="str">
        <f>IFERROR(__xludf.DUMMYFUNCTION("""COMPUTED_VALUE"""),"2023-05-06T07:26:10Z")</f>
        <v>2023-05-06T07:26:10Z</v>
      </c>
      <c r="X195" s="16"/>
      <c r="Y195" s="16"/>
      <c r="Z195" s="16"/>
    </row>
    <row r="196">
      <c r="A196" s="16" t="str">
        <f>IFERROR(__xludf.DUMMYFUNCTION("""COMPUTED_VALUE"""),"4881976_1289536")</f>
        <v>4881976_1289536</v>
      </c>
      <c r="B196" s="16" t="str">
        <f>IFERROR(__xludf.DUMMYFUNCTION("""COMPUTED_VALUE"""),"Romanyshyn Danuta")</f>
        <v>Romanyshyn Danuta</v>
      </c>
      <c r="C196" s="16" t="str">
        <f>IFERROR(__xludf.DUMMYFUNCTION("""COMPUTED_VALUE"""),"completed")</f>
        <v>completed</v>
      </c>
      <c r="D196" s="16" t="str">
        <f>IFERROR(__xludf.DUMMYFUNCTION("""COMPUTED_VALUE"""),"No")</f>
        <v>No</v>
      </c>
      <c r="E196" s="16" t="str">
        <f>IFERROR(__xludf.DUMMYFUNCTION("""COMPUTED_VALUE"""),"p_afae480efa9b0663bb20e30fef6b24a5a40223ba@inbound.aiesec.org")</f>
        <v>p_afae480efa9b0663bb20e30fef6b24a5a40223ba@inbound.aiesec.org</v>
      </c>
      <c r="F196" s="16">
        <f>IFERROR(__xludf.DUMMYFUNCTION("""COMPUTED_VALUE"""),6.35151854E8)</f>
        <v>635151854</v>
      </c>
      <c r="G196" s="16" t="str">
        <f>IFERROR(__xludf.DUMMYFUNCTION("""COMPUTED_VALUE"""),"Ukraine")</f>
        <v>Ukraine</v>
      </c>
      <c r="H196" s="16" t="str">
        <f>IFERROR(__xludf.DUMMYFUNCTION("""COMPUTED_VALUE"""),"KYIV")</f>
        <v>KYIV</v>
      </c>
      <c r="I196" s="16" t="str">
        <f>IFERROR(__xludf.DUMMYFUNCTION("""COMPUTED_VALUE"""),"Turkey")</f>
        <v>Turkey</v>
      </c>
      <c r="J196" s="16" t="str">
        <f>IFERROR(__xludf.DUMMYFUNCTION("""COMPUTED_VALUE"""),"ISTANBUL")</f>
        <v>ISTANBUL</v>
      </c>
      <c r="K196" s="17" t="str">
        <f>IFERROR(__xludf.DUMMYFUNCTION("""COMPUTED_VALUE"""),"https://expa.aiesec.org/opportunities/1289536")</f>
        <v>https://expa.aiesec.org/opportunities/1289536</v>
      </c>
      <c r="L196" s="16" t="str">
        <f>IFERROR(__xludf.DUMMYFUNCTION("""COMPUTED_VALUE"""),"GV")</f>
        <v>GV</v>
      </c>
      <c r="M196" s="16" t="str">
        <f>IFERROR(__xludf.DUMMYFUNCTION("""COMPUTED_VALUE"""),"short")</f>
        <v>short</v>
      </c>
      <c r="N196" s="18">
        <f>IFERROR(__xludf.DUMMYFUNCTION("""COMPUTED_VALUE"""),45062.0)</f>
        <v>45062</v>
      </c>
      <c r="O196" s="18">
        <f>IFERROR(__xludf.DUMMYFUNCTION("""COMPUTED_VALUE"""),45090.0)</f>
        <v>45090</v>
      </c>
      <c r="P196" s="18">
        <f>IFERROR(__xludf.DUMMYFUNCTION("""COMPUTED_VALUE"""),45132.0)</f>
        <v>45132</v>
      </c>
      <c r="Q196" s="18">
        <f>IFERROR(__xludf.DUMMYFUNCTION("""COMPUTED_VALUE"""),45090.0)</f>
        <v>45090</v>
      </c>
      <c r="R196" s="18">
        <f>IFERROR(__xludf.DUMMYFUNCTION("""COMPUTED_VALUE"""),45132.0)</f>
        <v>45132</v>
      </c>
      <c r="S196" s="16"/>
      <c r="T196" s="16"/>
      <c r="U196" s="16" t="str">
        <f>IFERROR(__xludf.DUMMYFUNCTION("""COMPUTED_VALUE"""),"Global Classroom")</f>
        <v>Global Classroom</v>
      </c>
      <c r="V196" s="16" t="str">
        <f>IFERROR(__xludf.DUMMYFUNCTION("""COMPUTED_VALUE"""),"Kyiv")</f>
        <v>Kyiv</v>
      </c>
      <c r="W196" s="16" t="str">
        <f>IFERROR(__xludf.DUMMYFUNCTION("""COMPUTED_VALUE"""),"2022-01-14T16:07:56Z")</f>
        <v>2022-01-14T16:07:56Z</v>
      </c>
      <c r="X196" s="16"/>
      <c r="Y196" s="16"/>
      <c r="Z196" s="16"/>
    </row>
    <row r="197">
      <c r="A197" s="16" t="str">
        <f>IFERROR(__xludf.DUMMYFUNCTION("""COMPUTED_VALUE"""),"5122265_1272564")</f>
        <v>5122265_1272564</v>
      </c>
      <c r="B197" s="16" t="str">
        <f>IFERROR(__xludf.DUMMYFUNCTION("""COMPUTED_VALUE"""),"Sofia Silva")</f>
        <v>Sofia Silva</v>
      </c>
      <c r="C197" s="16" t="str">
        <f>IFERROR(__xludf.DUMMYFUNCTION("""COMPUTED_VALUE"""),"completed")</f>
        <v>completed</v>
      </c>
      <c r="D197" s="16" t="str">
        <f>IFERROR(__xludf.DUMMYFUNCTION("""COMPUTED_VALUE"""),"No")</f>
        <v>No</v>
      </c>
      <c r="E197" s="16" t="str">
        <f>IFERROR(__xludf.DUMMYFUNCTION("""COMPUTED_VALUE"""),"p_fb0c09eae703aded5432a8c1a7ced4d71e0d3ffd@inbound.aiesec.org")</f>
        <v>p_fb0c09eae703aded5432a8c1a7ced4d71e0d3ffd@inbound.aiesec.org</v>
      </c>
      <c r="F197" s="16">
        <f>IFERROR(__xludf.DUMMYFUNCTION("""COMPUTED_VALUE"""),9.10493826E8)</f>
        <v>910493826</v>
      </c>
      <c r="G197" s="16" t="str">
        <f>IFERROR(__xludf.DUMMYFUNCTION("""COMPUTED_VALUE"""),"Portugal")</f>
        <v>Portugal</v>
      </c>
      <c r="H197" s="16" t="str">
        <f>IFERROR(__xludf.DUMMYFUNCTION("""COMPUTED_VALUE"""),"PORTO FEP")</f>
        <v>PORTO FEP</v>
      </c>
      <c r="I197" s="16" t="str">
        <f>IFERROR(__xludf.DUMMYFUNCTION("""COMPUTED_VALUE"""),"Turkey")</f>
        <v>Turkey</v>
      </c>
      <c r="J197" s="16" t="str">
        <f>IFERROR(__xludf.DUMMYFUNCTION("""COMPUTED_VALUE"""),"ISTANBUL")</f>
        <v>ISTANBUL</v>
      </c>
      <c r="K197" s="17" t="str">
        <f>IFERROR(__xludf.DUMMYFUNCTION("""COMPUTED_VALUE"""),"https://expa.aiesec.org/opportunities/1272564")</f>
        <v>https://expa.aiesec.org/opportunities/1272564</v>
      </c>
      <c r="L197" s="16" t="str">
        <f>IFERROR(__xludf.DUMMYFUNCTION("""COMPUTED_VALUE"""),"GV")</f>
        <v>GV</v>
      </c>
      <c r="M197" s="16" t="str">
        <f>IFERROR(__xludf.DUMMYFUNCTION("""COMPUTED_VALUE"""),"short")</f>
        <v>short</v>
      </c>
      <c r="N197" s="18">
        <f>IFERROR(__xludf.DUMMYFUNCTION("""COMPUTED_VALUE"""),45062.0)</f>
        <v>45062</v>
      </c>
      <c r="O197" s="18">
        <f>IFERROR(__xludf.DUMMYFUNCTION("""COMPUTED_VALUE"""),45162.0)</f>
        <v>45162</v>
      </c>
      <c r="P197" s="18">
        <f>IFERROR(__xludf.DUMMYFUNCTION("""COMPUTED_VALUE"""),45204.0)</f>
        <v>45204</v>
      </c>
      <c r="Q197" s="18">
        <f>IFERROR(__xludf.DUMMYFUNCTION("""COMPUTED_VALUE"""),45163.0)</f>
        <v>45163</v>
      </c>
      <c r="R197" s="18">
        <f>IFERROR(__xludf.DUMMYFUNCTION("""COMPUTED_VALUE"""),45204.0)</f>
        <v>45204</v>
      </c>
      <c r="S197" s="16"/>
      <c r="T197" s="16"/>
      <c r="U197" s="16" t="str">
        <f>IFERROR(__xludf.DUMMYFUNCTION("""COMPUTED_VALUE"""),"Global Classroom")</f>
        <v>Global Classroom</v>
      </c>
      <c r="V197" s="16" t="str">
        <f>IFERROR(__xludf.DUMMYFUNCTION("""COMPUTED_VALUE"""),"Instituto Politécnico do Porto - Instituto Superior de Engenharia do Porto (ISEP)")</f>
        <v>Instituto Politécnico do Porto - Instituto Superior de Engenharia do Porto (ISEP)</v>
      </c>
      <c r="W197" s="16" t="str">
        <f>IFERROR(__xludf.DUMMYFUNCTION("""COMPUTED_VALUE"""),"2022-09-29T15:42:23Z")</f>
        <v>2022-09-29T15:42:23Z</v>
      </c>
      <c r="X197" s="16"/>
      <c r="Y197" s="16"/>
      <c r="Z197" s="16"/>
    </row>
    <row r="198">
      <c r="A198" s="16" t="str">
        <f>IFERROR(__xludf.DUMMYFUNCTION("""COMPUTED_VALUE"""),"5261970_1295137")</f>
        <v>5261970_1295137</v>
      </c>
      <c r="B198" s="16" t="str">
        <f>IFERROR(__xludf.DUMMYFUNCTION("""COMPUTED_VALUE"""),"Dilara Erdem")</f>
        <v>Dilara Erdem</v>
      </c>
      <c r="C198" s="16" t="str">
        <f>IFERROR(__xludf.DUMMYFUNCTION("""COMPUTED_VALUE"""),"approved")</f>
        <v>approved</v>
      </c>
      <c r="D198" s="16" t="str">
        <f>IFERROR(__xludf.DUMMYFUNCTION("""COMPUTED_VALUE"""),"No")</f>
        <v>No</v>
      </c>
      <c r="E198" s="16" t="str">
        <f>IFERROR(__xludf.DUMMYFUNCTION("""COMPUTED_VALUE"""),"p_264da3e785ac1c16f2a01add82d3178c6c6522ed@inbound.aiesec.org")</f>
        <v>p_264da3e785ac1c16f2a01add82d3178c6c6522ed@inbound.aiesec.org</v>
      </c>
      <c r="F198" s="16">
        <f>IFERROR(__xludf.DUMMYFUNCTION("""COMPUTED_VALUE"""),5.367129156E9)</f>
        <v>5367129156</v>
      </c>
      <c r="G198" s="16" t="str">
        <f>IFERROR(__xludf.DUMMYFUNCTION("""COMPUTED_VALUE"""),"Turkey")</f>
        <v>Turkey</v>
      </c>
      <c r="H198" s="16" t="str">
        <f>IFERROR(__xludf.DUMMYFUNCTION("""COMPUTED_VALUE"""),"ISTANBUL")</f>
        <v>ISTANBUL</v>
      </c>
      <c r="I198" s="16" t="str">
        <f>IFERROR(__xludf.DUMMYFUNCTION("""COMPUTED_VALUE"""),"Egypt")</f>
        <v>Egypt</v>
      </c>
      <c r="J198" s="16" t="str">
        <f>IFERROR(__xludf.DUMMYFUNCTION("""COMPUTED_VALUE"""),"Cairo University")</f>
        <v>Cairo University</v>
      </c>
      <c r="K198" s="17" t="str">
        <f>IFERROR(__xludf.DUMMYFUNCTION("""COMPUTED_VALUE"""),"https://expa.aiesec.org/opportunities/1295137")</f>
        <v>https://expa.aiesec.org/opportunities/1295137</v>
      </c>
      <c r="L198" s="16" t="str">
        <f>IFERROR(__xludf.DUMMYFUNCTION("""COMPUTED_VALUE"""),"GTe")</f>
        <v>GTe</v>
      </c>
      <c r="M198" s="16" t="str">
        <f>IFERROR(__xludf.DUMMYFUNCTION("""COMPUTED_VALUE"""),"short")</f>
        <v>short</v>
      </c>
      <c r="N198" s="18">
        <f>IFERROR(__xludf.DUMMYFUNCTION("""COMPUTED_VALUE"""),45063.0)</f>
        <v>45063</v>
      </c>
      <c r="O198" s="18">
        <f>IFERROR(__xludf.DUMMYFUNCTION("""COMPUTED_VALUE"""),45087.0)</f>
        <v>45087</v>
      </c>
      <c r="P198" s="18">
        <f>IFERROR(__xludf.DUMMYFUNCTION("""COMPUTED_VALUE"""),45170.0)</f>
        <v>45170</v>
      </c>
      <c r="Q198" s="18"/>
      <c r="R198" s="18"/>
      <c r="S198" s="16"/>
      <c r="T198" s="16"/>
      <c r="U198" s="16" t="str">
        <f>IFERROR(__xludf.DUMMYFUNCTION("""COMPUTED_VALUE"""),"English teacher")</f>
        <v>English teacher</v>
      </c>
      <c r="V198" s="16" t="str">
        <f>IFERROR(__xludf.DUMMYFUNCTION("""COMPUTED_VALUE"""),"ISTANBUL - BEYOGLU")</f>
        <v>ISTANBUL - BEYOGLU</v>
      </c>
      <c r="W198" s="16" t="str">
        <f>IFERROR(__xludf.DUMMYFUNCTION("""COMPUTED_VALUE"""),"2023-05-16T15:33:07Z")</f>
        <v>2023-05-16T15:33:07Z</v>
      </c>
      <c r="X198" s="16"/>
      <c r="Y198" s="16"/>
      <c r="Z198" s="16"/>
    </row>
    <row r="199">
      <c r="A199" s="16" t="str">
        <f>IFERROR(__xludf.DUMMYFUNCTION("""COMPUTED_VALUE"""),"5261611_1293477")</f>
        <v>5261611_1293477</v>
      </c>
      <c r="B199" s="16" t="str">
        <f>IFERROR(__xludf.DUMMYFUNCTION("""COMPUTED_VALUE"""),"Muhammed Raşit Tarak")</f>
        <v>Muhammed Raşit Tarak</v>
      </c>
      <c r="C199" s="16" t="str">
        <f>IFERROR(__xludf.DUMMYFUNCTION("""COMPUTED_VALUE"""),"completed")</f>
        <v>completed</v>
      </c>
      <c r="D199" s="16" t="str">
        <f>IFERROR(__xludf.DUMMYFUNCTION("""COMPUTED_VALUE"""),"No")</f>
        <v>No</v>
      </c>
      <c r="E199" s="16" t="str">
        <f>IFERROR(__xludf.DUMMYFUNCTION("""COMPUTED_VALUE"""),"p_9573f3efb734f14f6e319dc05edf2305e5d547a1@inbound.aiesec.org")</f>
        <v>p_9573f3efb734f14f6e319dc05edf2305e5d547a1@inbound.aiesec.org</v>
      </c>
      <c r="F199" s="16">
        <f>IFERROR(__xludf.DUMMYFUNCTION("""COMPUTED_VALUE"""),5.3863637E9)</f>
        <v>5386363700</v>
      </c>
      <c r="G199" s="16" t="str">
        <f>IFERROR(__xludf.DUMMYFUNCTION("""COMPUTED_VALUE"""),"Turkey")</f>
        <v>Turkey</v>
      </c>
      <c r="H199" s="16" t="str">
        <f>IFERROR(__xludf.DUMMYFUNCTION("""COMPUTED_VALUE"""),"ISTANBUL")</f>
        <v>ISTANBUL</v>
      </c>
      <c r="I199" s="16" t="str">
        <f>IFERROR(__xludf.DUMMYFUNCTION("""COMPUTED_VALUE"""),"Egypt")</f>
        <v>Egypt</v>
      </c>
      <c r="J199" s="16" t="str">
        <f>IFERROR(__xludf.DUMMYFUNCTION("""COMPUTED_VALUE"""),"GUC")</f>
        <v>GUC</v>
      </c>
      <c r="K199" s="17" t="str">
        <f>IFERROR(__xludf.DUMMYFUNCTION("""COMPUTED_VALUE"""),"https://expa.aiesec.org/opportunities/1293477")</f>
        <v>https://expa.aiesec.org/opportunities/1293477</v>
      </c>
      <c r="L199" s="16" t="str">
        <f>IFERROR(__xludf.DUMMYFUNCTION("""COMPUTED_VALUE"""),"GV")</f>
        <v>GV</v>
      </c>
      <c r="M199" s="16" t="str">
        <f>IFERROR(__xludf.DUMMYFUNCTION("""COMPUTED_VALUE"""),"short")</f>
        <v>short</v>
      </c>
      <c r="N199" s="18">
        <f>IFERROR(__xludf.DUMMYFUNCTION("""COMPUTED_VALUE"""),45063.0)</f>
        <v>45063</v>
      </c>
      <c r="O199" s="18">
        <f>IFERROR(__xludf.DUMMYFUNCTION("""COMPUTED_VALUE"""),45092.0)</f>
        <v>45092</v>
      </c>
      <c r="P199" s="18">
        <f>IFERROR(__xludf.DUMMYFUNCTION("""COMPUTED_VALUE"""),45134.0)</f>
        <v>45134</v>
      </c>
      <c r="Q199" s="18">
        <f>IFERROR(__xludf.DUMMYFUNCTION("""COMPUTED_VALUE"""),45093.0)</f>
        <v>45093</v>
      </c>
      <c r="R199" s="18">
        <f>IFERROR(__xludf.DUMMYFUNCTION("""COMPUTED_VALUE"""),45134.0)</f>
        <v>45134</v>
      </c>
      <c r="S199" s="16"/>
      <c r="T199" s="16"/>
      <c r="U199" s="16" t="str">
        <f>IFERROR(__xludf.DUMMYFUNCTION("""COMPUTED_VALUE"""),"Raise Your Voice")</f>
        <v>Raise Your Voice</v>
      </c>
      <c r="V199" s="16" t="str">
        <f>IFERROR(__xludf.DUMMYFUNCTION("""COMPUTED_VALUE"""),"ISTANBUL - BEYOGLU")</f>
        <v>ISTANBUL - BEYOGLU</v>
      </c>
      <c r="W199" s="16" t="str">
        <f>IFERROR(__xludf.DUMMYFUNCTION("""COMPUTED_VALUE"""),"2023-05-15T21:32:40Z")</f>
        <v>2023-05-15T21:32:40Z</v>
      </c>
      <c r="X199" s="16"/>
      <c r="Y199" s="16"/>
      <c r="Z199" s="16"/>
    </row>
    <row r="200">
      <c r="A200" s="16" t="str">
        <f>IFERROR(__xludf.DUMMYFUNCTION("""COMPUTED_VALUE"""),"5067203_1294830")</f>
        <v>5067203_1294830</v>
      </c>
      <c r="B200" s="16" t="str">
        <f>IFERROR(__xludf.DUMMYFUNCTION("""COMPUTED_VALUE"""),"Ahmet Sedat Çatar")</f>
        <v>Ahmet Sedat Çatar</v>
      </c>
      <c r="C200" s="16" t="str">
        <f>IFERROR(__xludf.DUMMYFUNCTION("""COMPUTED_VALUE"""),"completed")</f>
        <v>completed</v>
      </c>
      <c r="D200" s="16" t="str">
        <f>IFERROR(__xludf.DUMMYFUNCTION("""COMPUTED_VALUE"""),"No")</f>
        <v>No</v>
      </c>
      <c r="E200" s="16" t="str">
        <f>IFERROR(__xludf.DUMMYFUNCTION("""COMPUTED_VALUE"""),"p_b7960a119e7123417cb6c59bd94c4aee4f5098fa@inbound.aiesec.org")</f>
        <v>p_b7960a119e7123417cb6c59bd94c4aee4f5098fa@inbound.aiesec.org</v>
      </c>
      <c r="F200" s="16">
        <f>IFERROR(__xludf.DUMMYFUNCTION("""COMPUTED_VALUE"""),5.466275754E9)</f>
        <v>5466275754</v>
      </c>
      <c r="G200" s="16" t="str">
        <f>IFERROR(__xludf.DUMMYFUNCTION("""COMPUTED_VALUE"""),"Turkey")</f>
        <v>Turkey</v>
      </c>
      <c r="H200" s="16" t="str">
        <f>IFERROR(__xludf.DUMMYFUNCTION("""COMPUTED_VALUE"""),"ISTANBUL")</f>
        <v>ISTANBUL</v>
      </c>
      <c r="I200" s="16" t="str">
        <f>IFERROR(__xludf.DUMMYFUNCTION("""COMPUTED_VALUE"""),"Egypt")</f>
        <v>Egypt</v>
      </c>
      <c r="J200" s="16" t="str">
        <f>IFERROR(__xludf.DUMMYFUNCTION("""COMPUTED_VALUE"""),"GUC")</f>
        <v>GUC</v>
      </c>
      <c r="K200" s="17" t="str">
        <f>IFERROR(__xludf.DUMMYFUNCTION("""COMPUTED_VALUE"""),"https://expa.aiesec.org/opportunities/1294830")</f>
        <v>https://expa.aiesec.org/opportunities/1294830</v>
      </c>
      <c r="L200" s="16" t="str">
        <f>IFERROR(__xludf.DUMMYFUNCTION("""COMPUTED_VALUE"""),"GV")</f>
        <v>GV</v>
      </c>
      <c r="M200" s="16" t="str">
        <f>IFERROR(__xludf.DUMMYFUNCTION("""COMPUTED_VALUE"""),"short")</f>
        <v>short</v>
      </c>
      <c r="N200" s="18">
        <f>IFERROR(__xludf.DUMMYFUNCTION("""COMPUTED_VALUE"""),45063.0)</f>
        <v>45063</v>
      </c>
      <c r="O200" s="18">
        <f>IFERROR(__xludf.DUMMYFUNCTION("""COMPUTED_VALUE"""),45107.0)</f>
        <v>45107</v>
      </c>
      <c r="P200" s="18">
        <f>IFERROR(__xludf.DUMMYFUNCTION("""COMPUTED_VALUE"""),45149.0)</f>
        <v>45149</v>
      </c>
      <c r="Q200" s="18">
        <f>IFERROR(__xludf.DUMMYFUNCTION("""COMPUTED_VALUE"""),45107.0)</f>
        <v>45107</v>
      </c>
      <c r="R200" s="18">
        <f>IFERROR(__xludf.DUMMYFUNCTION("""COMPUTED_VALUE"""),45149.0)</f>
        <v>45149</v>
      </c>
      <c r="S200" s="16"/>
      <c r="T200" s="16"/>
      <c r="U200" s="16" t="str">
        <f>IFERROR(__xludf.DUMMYFUNCTION("""COMPUTED_VALUE"""),"Fingerprint")</f>
        <v>Fingerprint</v>
      </c>
      <c r="V200" s="16" t="str">
        <f>IFERROR(__xludf.DUMMYFUNCTION("""COMPUTED_VALUE"""),"ISTANBUL - BEYOGLU")</f>
        <v>ISTANBUL - BEYOGLU</v>
      </c>
      <c r="W200" s="16" t="str">
        <f>IFERROR(__xludf.DUMMYFUNCTION("""COMPUTED_VALUE"""),"2022-06-01T20:32:25Z")</f>
        <v>2022-06-01T20:32:25Z</v>
      </c>
      <c r="X200" s="16"/>
      <c r="Y200" s="16"/>
      <c r="Z200" s="16"/>
    </row>
    <row r="201">
      <c r="A201" s="16" t="str">
        <f>IFERROR(__xludf.DUMMYFUNCTION("""COMPUTED_VALUE"""),"3314009_1294776")</f>
        <v>3314009_1294776</v>
      </c>
      <c r="B201" s="16" t="str">
        <f>IFERROR(__xludf.DUMMYFUNCTION("""COMPUTED_VALUE"""),"Rana Ataman")</f>
        <v>Rana Ataman</v>
      </c>
      <c r="C201" s="16" t="str">
        <f>IFERROR(__xludf.DUMMYFUNCTION("""COMPUTED_VALUE"""),"completed")</f>
        <v>completed</v>
      </c>
      <c r="D201" s="16" t="str">
        <f>IFERROR(__xludf.DUMMYFUNCTION("""COMPUTED_VALUE"""),"No")</f>
        <v>No</v>
      </c>
      <c r="E201" s="16" t="str">
        <f>IFERROR(__xludf.DUMMYFUNCTION("""COMPUTED_VALUE"""),"p_2ca71019e8391c2c41b4cfbb705e04dc01bb3940@inbound.aiesec.org")</f>
        <v>p_2ca71019e8391c2c41b4cfbb705e04dc01bb3940@inbound.aiesec.org</v>
      </c>
      <c r="F201" s="16"/>
      <c r="G201" s="16" t="str">
        <f>IFERROR(__xludf.DUMMYFUNCTION("""COMPUTED_VALUE"""),"Turkey")</f>
        <v>Turkey</v>
      </c>
      <c r="H201" s="16" t="str">
        <f>IFERROR(__xludf.DUMMYFUNCTION("""COMPUTED_VALUE"""),"ISTANBUL")</f>
        <v>ISTANBUL</v>
      </c>
      <c r="I201" s="16" t="str">
        <f>IFERROR(__xludf.DUMMYFUNCTION("""COMPUTED_VALUE"""),"India")</f>
        <v>India</v>
      </c>
      <c r="J201" s="16" t="str">
        <f>IFERROR(__xludf.DUMMYFUNCTION("""COMPUTED_VALUE"""),"JAIPUR ")</f>
        <v>JAIPUR </v>
      </c>
      <c r="K201" s="17" t="str">
        <f>IFERROR(__xludf.DUMMYFUNCTION("""COMPUTED_VALUE"""),"https://expa.aiesec.org/opportunities/1294776")</f>
        <v>https://expa.aiesec.org/opportunities/1294776</v>
      </c>
      <c r="L201" s="16" t="str">
        <f>IFERROR(__xludf.DUMMYFUNCTION("""COMPUTED_VALUE"""),"GTa")</f>
        <v>GTa</v>
      </c>
      <c r="M201" s="16" t="str">
        <f>IFERROR(__xludf.DUMMYFUNCTION("""COMPUTED_VALUE"""),"medium")</f>
        <v>medium</v>
      </c>
      <c r="N201" s="18">
        <f>IFERROR(__xludf.DUMMYFUNCTION("""COMPUTED_VALUE"""),45064.0)</f>
        <v>45064</v>
      </c>
      <c r="O201" s="18">
        <f>IFERROR(__xludf.DUMMYFUNCTION("""COMPUTED_VALUE"""),45146.0)</f>
        <v>45146</v>
      </c>
      <c r="P201" s="18">
        <f>IFERROR(__xludf.DUMMYFUNCTION("""COMPUTED_VALUE"""),45299.0)</f>
        <v>45299</v>
      </c>
      <c r="Q201" s="18">
        <f>IFERROR(__xludf.DUMMYFUNCTION("""COMPUTED_VALUE"""),45155.0)</f>
        <v>45155</v>
      </c>
      <c r="R201" s="18">
        <f>IFERROR(__xludf.DUMMYFUNCTION("""COMPUTED_VALUE"""),45308.0)</f>
        <v>45308</v>
      </c>
      <c r="S201" s="16"/>
      <c r="T201" s="16" t="str">
        <f>IFERROR(__xludf.DUMMYFUNCTION("""COMPUTED_VALUE"""),"Business Development")</f>
        <v>Business Development</v>
      </c>
      <c r="U201" s="16" t="str">
        <f>IFERROR(__xludf.DUMMYFUNCTION("""COMPUTED_VALUE"""),"Business development and research analyst")</f>
        <v>Business development and research analyst</v>
      </c>
      <c r="V201" s="16" t="str">
        <f>IFERROR(__xludf.DUMMYFUNCTION("""COMPUTED_VALUE"""),"ISTANBUL - BEYOGLU")</f>
        <v>ISTANBUL - BEYOGLU</v>
      </c>
      <c r="W201" s="16" t="str">
        <f>IFERROR(__xludf.DUMMYFUNCTION("""COMPUTED_VALUE"""),"2019-04-09T20:22:48Z")</f>
        <v>2019-04-09T20:22:48Z</v>
      </c>
      <c r="X201" s="16"/>
      <c r="Y201" s="16"/>
      <c r="Z201" s="16"/>
    </row>
    <row r="202">
      <c r="A202" s="16" t="str">
        <f>IFERROR(__xludf.DUMMYFUNCTION("""COMPUTED_VALUE"""),"5261009_1284670")</f>
        <v>5261009_1284670</v>
      </c>
      <c r="B202" s="16" t="str">
        <f>IFERROR(__xludf.DUMMYFUNCTION("""COMPUTED_VALUE"""),"Anastasiia Verteiko")</f>
        <v>Anastasiia Verteiko</v>
      </c>
      <c r="C202" s="16" t="str">
        <f>IFERROR(__xludf.DUMMYFUNCTION("""COMPUTED_VALUE"""),"completed")</f>
        <v>completed</v>
      </c>
      <c r="D202" s="16" t="str">
        <f>IFERROR(__xludf.DUMMYFUNCTION("""COMPUTED_VALUE"""),"No")</f>
        <v>No</v>
      </c>
      <c r="E202" s="16" t="str">
        <f>IFERROR(__xludf.DUMMYFUNCTION("""COMPUTED_VALUE"""),"p_4ace4008b0619bfaaa48ff6c07fcefaea711afcc@inbound.aiesec.org")</f>
        <v>p_4ace4008b0619bfaaa48ff6c07fcefaea711afcc@inbound.aiesec.org</v>
      </c>
      <c r="F202" s="16">
        <f>IFERROR(__xludf.DUMMYFUNCTION("""COMPUTED_VALUE"""),6.39847172E8)</f>
        <v>639847172</v>
      </c>
      <c r="G202" s="16" t="str">
        <f>IFERROR(__xludf.DUMMYFUNCTION("""COMPUTED_VALUE"""),"Ukraine")</f>
        <v>Ukraine</v>
      </c>
      <c r="H202" s="16" t="str">
        <f>IFERROR(__xludf.DUMMYFUNCTION("""COMPUTED_VALUE"""),"KYIV")</f>
        <v>KYIV</v>
      </c>
      <c r="I202" s="16" t="str">
        <f>IFERROR(__xludf.DUMMYFUNCTION("""COMPUTED_VALUE"""),"Turkey")</f>
        <v>Turkey</v>
      </c>
      <c r="J202" s="16" t="str">
        <f>IFERROR(__xludf.DUMMYFUNCTION("""COMPUTED_VALUE"""),"ISTANBUL")</f>
        <v>ISTANBUL</v>
      </c>
      <c r="K202" s="17" t="str">
        <f>IFERROR(__xludf.DUMMYFUNCTION("""COMPUTED_VALUE"""),"https://expa.aiesec.org/opportunities/1284670")</f>
        <v>https://expa.aiesec.org/opportunities/1284670</v>
      </c>
      <c r="L202" s="16" t="str">
        <f>IFERROR(__xludf.DUMMYFUNCTION("""COMPUTED_VALUE"""),"GV")</f>
        <v>GV</v>
      </c>
      <c r="M202" s="16" t="str">
        <f>IFERROR(__xludf.DUMMYFUNCTION("""COMPUTED_VALUE"""),"short")</f>
        <v>short</v>
      </c>
      <c r="N202" s="18">
        <f>IFERROR(__xludf.DUMMYFUNCTION("""COMPUTED_VALUE"""),45064.0)</f>
        <v>45064</v>
      </c>
      <c r="O202" s="18">
        <f>IFERROR(__xludf.DUMMYFUNCTION("""COMPUTED_VALUE"""),45110.0)</f>
        <v>45110</v>
      </c>
      <c r="P202" s="18">
        <f>IFERROR(__xludf.DUMMYFUNCTION("""COMPUTED_VALUE"""),45152.0)</f>
        <v>45152</v>
      </c>
      <c r="Q202" s="18">
        <f>IFERROR(__xludf.DUMMYFUNCTION("""COMPUTED_VALUE"""),45117.0)</f>
        <v>45117</v>
      </c>
      <c r="R202" s="18">
        <f>IFERROR(__xludf.DUMMYFUNCTION("""COMPUTED_VALUE"""),45159.0)</f>
        <v>45159</v>
      </c>
      <c r="S202" s="16"/>
      <c r="T202" s="16"/>
      <c r="U202" s="16" t="str">
        <f>IFERROR(__xludf.DUMMYFUNCTION("""COMPUTED_VALUE"""),"Heartbeat")</f>
        <v>Heartbeat</v>
      </c>
      <c r="V202" s="16" t="str">
        <f>IFERROR(__xludf.DUMMYFUNCTION("""COMPUTED_VALUE"""),"Kyiv")</f>
        <v>Kyiv</v>
      </c>
      <c r="W202" s="16" t="str">
        <f>IFERROR(__xludf.DUMMYFUNCTION("""COMPUTED_VALUE"""),"2023-05-14T17:20:56Z")</f>
        <v>2023-05-14T17:20:56Z</v>
      </c>
      <c r="X202" s="16"/>
      <c r="Y202" s="16"/>
      <c r="Z202" s="16"/>
    </row>
    <row r="203">
      <c r="A203" s="16" t="str">
        <f>IFERROR(__xludf.DUMMYFUNCTION("""COMPUTED_VALUE"""),"5253819_1272564")</f>
        <v>5253819_1272564</v>
      </c>
      <c r="B203" s="16" t="str">
        <f>IFERROR(__xludf.DUMMYFUNCTION("""COMPUTED_VALUE"""),"Ouissal Akioui")</f>
        <v>Ouissal Akioui</v>
      </c>
      <c r="C203" s="16" t="str">
        <f>IFERROR(__xludf.DUMMYFUNCTION("""COMPUTED_VALUE"""),"finished")</f>
        <v>finished</v>
      </c>
      <c r="D203" s="16" t="str">
        <f>IFERROR(__xludf.DUMMYFUNCTION("""COMPUTED_VALUE"""),"No")</f>
        <v>No</v>
      </c>
      <c r="E203" s="16" t="str">
        <f>IFERROR(__xludf.DUMMYFUNCTION("""COMPUTED_VALUE"""),"p_0a110c79046e8970f72fce54c2171760595ff40d@inbound.aiesec.org")</f>
        <v>p_0a110c79046e8970f72fce54c2171760595ff40d@inbound.aiesec.org</v>
      </c>
      <c r="F203" s="16"/>
      <c r="G203" s="16" t="str">
        <f>IFERROR(__xludf.DUMMYFUNCTION("""COMPUTED_VALUE"""),"Morocco")</f>
        <v>Morocco</v>
      </c>
      <c r="H203" s="16" t="str">
        <f>IFERROR(__xludf.DUMMYFUNCTION("""COMPUTED_VALUE"""),"Ben Guerir")</f>
        <v>Ben Guerir</v>
      </c>
      <c r="I203" s="16" t="str">
        <f>IFERROR(__xludf.DUMMYFUNCTION("""COMPUTED_VALUE"""),"Turkey")</f>
        <v>Turkey</v>
      </c>
      <c r="J203" s="16" t="str">
        <f>IFERROR(__xludf.DUMMYFUNCTION("""COMPUTED_VALUE"""),"ISTANBUL")</f>
        <v>ISTANBUL</v>
      </c>
      <c r="K203" s="17" t="str">
        <f>IFERROR(__xludf.DUMMYFUNCTION("""COMPUTED_VALUE"""),"https://expa.aiesec.org/opportunities/1272564")</f>
        <v>https://expa.aiesec.org/opportunities/1272564</v>
      </c>
      <c r="L203" s="16" t="str">
        <f>IFERROR(__xludf.DUMMYFUNCTION("""COMPUTED_VALUE"""),"GV")</f>
        <v>GV</v>
      </c>
      <c r="M203" s="16" t="str">
        <f>IFERROR(__xludf.DUMMYFUNCTION("""COMPUTED_VALUE"""),"short")</f>
        <v>short</v>
      </c>
      <c r="N203" s="18">
        <f>IFERROR(__xludf.DUMMYFUNCTION("""COMPUTED_VALUE"""),45064.0)</f>
        <v>45064</v>
      </c>
      <c r="O203" s="18">
        <f>IFERROR(__xludf.DUMMYFUNCTION("""COMPUTED_VALUE"""),45084.0)</f>
        <v>45084</v>
      </c>
      <c r="P203" s="18">
        <f>IFERROR(__xludf.DUMMYFUNCTION("""COMPUTED_VALUE"""),45126.0)</f>
        <v>45126</v>
      </c>
      <c r="Q203" s="18">
        <f>IFERROR(__xludf.DUMMYFUNCTION("""COMPUTED_VALUE"""),45084.0)</f>
        <v>45084</v>
      </c>
      <c r="R203" s="18">
        <f>IFERROR(__xludf.DUMMYFUNCTION("""COMPUTED_VALUE"""),45126.0)</f>
        <v>45126</v>
      </c>
      <c r="S203" s="16"/>
      <c r="T203" s="16"/>
      <c r="U203" s="16" t="str">
        <f>IFERROR(__xludf.DUMMYFUNCTION("""COMPUTED_VALUE"""),"Global Classroom")</f>
        <v>Global Classroom</v>
      </c>
      <c r="V203" s="16" t="str">
        <f>IFERROR(__xludf.DUMMYFUNCTION("""COMPUTED_VALUE"""),"-")</f>
        <v>-</v>
      </c>
      <c r="W203" s="16" t="str">
        <f>IFERROR(__xludf.DUMMYFUNCTION("""COMPUTED_VALUE"""),"2023-05-01T16:53:24Z")</f>
        <v>2023-05-01T16:53:24Z</v>
      </c>
      <c r="X203" s="16"/>
      <c r="Y203" s="16"/>
      <c r="Z203" s="16"/>
    </row>
    <row r="204">
      <c r="A204" s="16" t="str">
        <f>IFERROR(__xludf.DUMMYFUNCTION("""COMPUTED_VALUE"""),"5263513_1285555")</f>
        <v>5263513_1285555</v>
      </c>
      <c r="B204" s="16" t="str">
        <f>IFERROR(__xludf.DUMMYFUNCTION("""COMPUTED_VALUE"""),"Hajer Dkhili")</f>
        <v>Hajer Dkhili</v>
      </c>
      <c r="C204" s="16" t="str">
        <f>IFERROR(__xludf.DUMMYFUNCTION("""COMPUTED_VALUE"""),"finished")</f>
        <v>finished</v>
      </c>
      <c r="D204" s="16" t="str">
        <f>IFERROR(__xludf.DUMMYFUNCTION("""COMPUTED_VALUE"""),"No")</f>
        <v>No</v>
      </c>
      <c r="E204" s="16" t="str">
        <f>IFERROR(__xludf.DUMMYFUNCTION("""COMPUTED_VALUE"""),"p_25e68f0892aaf94be93aaaf703a8903746613dd6@inbound.aiesec.org")</f>
        <v>p_25e68f0892aaf94be93aaaf703a8903746613dd6@inbound.aiesec.org</v>
      </c>
      <c r="F204" s="16">
        <f>IFERROR(__xludf.DUMMYFUNCTION("""COMPUTED_VALUE"""),2.9034967E7)</f>
        <v>29034967</v>
      </c>
      <c r="G204" s="16" t="str">
        <f>IFERROR(__xludf.DUMMYFUNCTION("""COMPUTED_VALUE"""),"Tunisia")</f>
        <v>Tunisia</v>
      </c>
      <c r="H204" s="16" t="str">
        <f>IFERROR(__xludf.DUMMYFUNCTION("""COMPUTED_VALUE"""),"BARDO")</f>
        <v>BARDO</v>
      </c>
      <c r="I204" s="16" t="str">
        <f>IFERROR(__xludf.DUMMYFUNCTION("""COMPUTED_VALUE"""),"Turkey")</f>
        <v>Turkey</v>
      </c>
      <c r="J204" s="16" t="str">
        <f>IFERROR(__xludf.DUMMYFUNCTION("""COMPUTED_VALUE"""),"ISTANBUL")</f>
        <v>ISTANBUL</v>
      </c>
      <c r="K204" s="17" t="str">
        <f>IFERROR(__xludf.DUMMYFUNCTION("""COMPUTED_VALUE"""),"https://expa.aiesec.org/opportunities/1285555")</f>
        <v>https://expa.aiesec.org/opportunities/1285555</v>
      </c>
      <c r="L204" s="16" t="str">
        <f>IFERROR(__xludf.DUMMYFUNCTION("""COMPUTED_VALUE"""),"GTa")</f>
        <v>GTa</v>
      </c>
      <c r="M204" s="16" t="str">
        <f>IFERROR(__xludf.DUMMYFUNCTION("""COMPUTED_VALUE"""),"long")</f>
        <v>long</v>
      </c>
      <c r="N204" s="18">
        <f>IFERROR(__xludf.DUMMYFUNCTION("""COMPUTED_VALUE"""),45065.0)</f>
        <v>45065</v>
      </c>
      <c r="O204" s="18">
        <f>IFERROR(__xludf.DUMMYFUNCTION("""COMPUTED_VALUE"""),45096.0)</f>
        <v>45096</v>
      </c>
      <c r="P204" s="18">
        <f>IFERROR(__xludf.DUMMYFUNCTION("""COMPUTED_VALUE"""),45289.0)</f>
        <v>45289</v>
      </c>
      <c r="Q204" s="18">
        <f>IFERROR(__xludf.DUMMYFUNCTION("""COMPUTED_VALUE"""),45102.0)</f>
        <v>45102</v>
      </c>
      <c r="R204" s="18">
        <f>IFERROR(__xludf.DUMMYFUNCTION("""COMPUTED_VALUE"""),45293.0)</f>
        <v>45293</v>
      </c>
      <c r="S204" s="16"/>
      <c r="T204" s="16" t="str">
        <f>IFERROR(__xludf.DUMMYFUNCTION("""COMPUTED_VALUE"""),"Business Administration")</f>
        <v>Business Administration</v>
      </c>
      <c r="U204" s="16" t="str">
        <f>IFERROR(__xludf.DUMMYFUNCTION("""COMPUTED_VALUE"""),"Customer Support Junior Specialist")</f>
        <v>Customer Support Junior Specialist</v>
      </c>
      <c r="V204" s="16" t="str">
        <f>IFERROR(__xludf.DUMMYFUNCTION("""COMPUTED_VALUE"""),"TBS")</f>
        <v>TBS</v>
      </c>
      <c r="W204" s="16" t="str">
        <f>IFERROR(__xludf.DUMMYFUNCTION("""COMPUTED_VALUE"""),"2023-05-19T11:48:46Z")</f>
        <v>2023-05-19T11:48:46Z</v>
      </c>
      <c r="X204" s="16"/>
      <c r="Y204" s="16"/>
      <c r="Z204" s="16"/>
    </row>
    <row r="205">
      <c r="A205" s="16" t="str">
        <f>IFERROR(__xludf.DUMMYFUNCTION("""COMPUTED_VALUE"""),"5262623_1286553")</f>
        <v>5262623_1286553</v>
      </c>
      <c r="B205" s="16" t="str">
        <f>IFERROR(__xludf.DUMMYFUNCTION("""COMPUTED_VALUE"""),"Eylül Dilara Üner")</f>
        <v>Eylül Dilara Üner</v>
      </c>
      <c r="C205" s="16" t="str">
        <f>IFERROR(__xludf.DUMMYFUNCTION("""COMPUTED_VALUE"""),"completed")</f>
        <v>completed</v>
      </c>
      <c r="D205" s="16" t="str">
        <f>IFERROR(__xludf.DUMMYFUNCTION("""COMPUTED_VALUE"""),"No")</f>
        <v>No</v>
      </c>
      <c r="E205" s="16" t="str">
        <f>IFERROR(__xludf.DUMMYFUNCTION("""COMPUTED_VALUE"""),"p_f4798274ee91b272a1f4b76aa7d50556182915f4@inbound.aiesec.org")</f>
        <v>p_f4798274ee91b272a1f4b76aa7d50556182915f4@inbound.aiesec.org</v>
      </c>
      <c r="F205" s="16">
        <f>IFERROR(__xludf.DUMMYFUNCTION("""COMPUTED_VALUE"""),5.536508977E9)</f>
        <v>5536508977</v>
      </c>
      <c r="G205" s="16" t="str">
        <f>IFERROR(__xludf.DUMMYFUNCTION("""COMPUTED_VALUE"""),"Turkey")</f>
        <v>Turkey</v>
      </c>
      <c r="H205" s="16" t="str">
        <f>IFERROR(__xludf.DUMMYFUNCTION("""COMPUTED_VALUE"""),"ISTANBUL")</f>
        <v>ISTANBUL</v>
      </c>
      <c r="I205" s="16" t="str">
        <f>IFERROR(__xludf.DUMMYFUNCTION("""COMPUTED_VALUE"""),"Sri Lanka")</f>
        <v>Sri Lanka</v>
      </c>
      <c r="J205" s="16" t="str">
        <f>IFERROR(__xludf.DUMMYFUNCTION("""COMPUTED_VALUE"""),"COLOMBO SOUTH")</f>
        <v>COLOMBO SOUTH</v>
      </c>
      <c r="K205" s="17" t="str">
        <f>IFERROR(__xludf.DUMMYFUNCTION("""COMPUTED_VALUE"""),"https://expa.aiesec.org/opportunities/1286553")</f>
        <v>https://expa.aiesec.org/opportunities/1286553</v>
      </c>
      <c r="L205" s="16" t="str">
        <f>IFERROR(__xludf.DUMMYFUNCTION("""COMPUTED_VALUE"""),"GV")</f>
        <v>GV</v>
      </c>
      <c r="M205" s="16" t="str">
        <f>IFERROR(__xludf.DUMMYFUNCTION("""COMPUTED_VALUE"""),"short")</f>
        <v>short</v>
      </c>
      <c r="N205" s="18">
        <f>IFERROR(__xludf.DUMMYFUNCTION("""COMPUTED_VALUE"""),45066.0)</f>
        <v>45066</v>
      </c>
      <c r="O205" s="18">
        <f>IFERROR(__xludf.DUMMYFUNCTION("""COMPUTED_VALUE"""),45102.0)</f>
        <v>45102</v>
      </c>
      <c r="P205" s="18">
        <f>IFERROR(__xludf.DUMMYFUNCTION("""COMPUTED_VALUE"""),45144.0)</f>
        <v>45144</v>
      </c>
      <c r="Q205" s="18">
        <f>IFERROR(__xludf.DUMMYFUNCTION("""COMPUTED_VALUE"""),45108.0)</f>
        <v>45108</v>
      </c>
      <c r="R205" s="18">
        <f>IFERROR(__xludf.DUMMYFUNCTION("""COMPUTED_VALUE"""),45148.0)</f>
        <v>45148</v>
      </c>
      <c r="S205" s="16"/>
      <c r="T205" s="16"/>
      <c r="U205" s="16" t="str">
        <f>IFERROR(__xludf.DUMMYFUNCTION("""COMPUTED_VALUE"""),"Global Classroom")</f>
        <v>Global Classroom</v>
      </c>
      <c r="V205" s="16" t="str">
        <f>IFERROR(__xludf.DUMMYFUNCTION("""COMPUTED_VALUE"""),"ISTANBUL - BEYOGLU")</f>
        <v>ISTANBUL - BEYOGLU</v>
      </c>
      <c r="W205" s="16" t="str">
        <f>IFERROR(__xludf.DUMMYFUNCTION("""COMPUTED_VALUE"""),"2023-05-17T21:19:04Z")</f>
        <v>2023-05-17T21:19:04Z</v>
      </c>
      <c r="X205" s="16"/>
      <c r="Y205" s="16"/>
      <c r="Z205" s="16"/>
    </row>
    <row r="206">
      <c r="A206" s="16" t="str">
        <f>IFERROR(__xludf.DUMMYFUNCTION("""COMPUTED_VALUE"""),"5242168_1293685")</f>
        <v>5242168_1293685</v>
      </c>
      <c r="B206" s="16" t="str">
        <f>IFERROR(__xludf.DUMMYFUNCTION("""COMPUTED_VALUE"""),"Gökçe Arya Kerzi")</f>
        <v>Gökçe Arya Kerzi</v>
      </c>
      <c r="C206" s="16" t="str">
        <f>IFERROR(__xludf.DUMMYFUNCTION("""COMPUTED_VALUE"""),"approved")</f>
        <v>approved</v>
      </c>
      <c r="D206" s="16" t="str">
        <f>IFERROR(__xludf.DUMMYFUNCTION("""COMPUTED_VALUE"""),"No")</f>
        <v>No</v>
      </c>
      <c r="E206" s="16" t="str">
        <f>IFERROR(__xludf.DUMMYFUNCTION("""COMPUTED_VALUE"""),"p_c0707340b6071e87a2e366c11c018540a2bacf78@inbound.aiesec.org")</f>
        <v>p_c0707340b6071e87a2e366c11c018540a2bacf78@inbound.aiesec.org</v>
      </c>
      <c r="F206" s="16">
        <f>IFERROR(__xludf.DUMMYFUNCTION("""COMPUTED_VALUE"""),5.352748105E9)</f>
        <v>5352748105</v>
      </c>
      <c r="G206" s="16" t="str">
        <f>IFERROR(__xludf.DUMMYFUNCTION("""COMPUTED_VALUE"""),"Turkey")</f>
        <v>Turkey</v>
      </c>
      <c r="H206" s="16" t="str">
        <f>IFERROR(__xludf.DUMMYFUNCTION("""COMPUTED_VALUE"""),"ISTANBUL")</f>
        <v>ISTANBUL</v>
      </c>
      <c r="I206" s="16" t="str">
        <f>IFERROR(__xludf.DUMMYFUNCTION("""COMPUTED_VALUE"""),"Sri Lanka")</f>
        <v>Sri Lanka</v>
      </c>
      <c r="J206" s="16" t="str">
        <f>IFERROR(__xludf.DUMMYFUNCTION("""COMPUTED_VALUE"""),"Ruhuna")</f>
        <v>Ruhuna</v>
      </c>
      <c r="K206" s="17" t="str">
        <f>IFERROR(__xludf.DUMMYFUNCTION("""COMPUTED_VALUE"""),"https://expa.aiesec.org/opportunities/1293685")</f>
        <v>https://expa.aiesec.org/opportunities/1293685</v>
      </c>
      <c r="L206" s="16" t="str">
        <f>IFERROR(__xludf.DUMMYFUNCTION("""COMPUTED_VALUE"""),"GV")</f>
        <v>GV</v>
      </c>
      <c r="M206" s="16" t="str">
        <f>IFERROR(__xludf.DUMMYFUNCTION("""COMPUTED_VALUE"""),"short")</f>
        <v>short</v>
      </c>
      <c r="N206" s="18">
        <f>IFERROR(__xludf.DUMMYFUNCTION("""COMPUTED_VALUE"""),45066.0)</f>
        <v>45066</v>
      </c>
      <c r="O206" s="18">
        <f>IFERROR(__xludf.DUMMYFUNCTION("""COMPUTED_VALUE"""),45110.0)</f>
        <v>45110</v>
      </c>
      <c r="P206" s="18">
        <f>IFERROR(__xludf.DUMMYFUNCTION("""COMPUTED_VALUE"""),45152.0)</f>
        <v>45152</v>
      </c>
      <c r="Q206" s="18"/>
      <c r="R206" s="18"/>
      <c r="S206" s="16"/>
      <c r="T206" s="16"/>
      <c r="U206" s="16" t="str">
        <f>IFERROR(__xludf.DUMMYFUNCTION("""COMPUTED_VALUE"""),"Global Classroom")</f>
        <v>Global Classroom</v>
      </c>
      <c r="V206" s="16" t="str">
        <f>IFERROR(__xludf.DUMMYFUNCTION("""COMPUTED_VALUE"""),"ISTANBUL - BEYOGLU")</f>
        <v>ISTANBUL - BEYOGLU</v>
      </c>
      <c r="W206" s="16" t="str">
        <f>IFERROR(__xludf.DUMMYFUNCTION("""COMPUTED_VALUE"""),"2023-04-14T17:28:48Z")</f>
        <v>2023-04-14T17:28:48Z</v>
      </c>
      <c r="X206" s="16"/>
      <c r="Y206" s="16"/>
      <c r="Z206" s="16"/>
    </row>
    <row r="207">
      <c r="A207" s="16" t="str">
        <f>IFERROR(__xludf.DUMMYFUNCTION("""COMPUTED_VALUE"""),"5264257_1290024")</f>
        <v>5264257_1290024</v>
      </c>
      <c r="B207" s="16" t="str">
        <f>IFERROR(__xludf.DUMMYFUNCTION("""COMPUTED_VALUE"""),"Ayşe Betül Avcu")</f>
        <v>Ayşe Betül Avcu</v>
      </c>
      <c r="C207" s="16" t="str">
        <f>IFERROR(__xludf.DUMMYFUNCTION("""COMPUTED_VALUE"""),"approved")</f>
        <v>approved</v>
      </c>
      <c r="D207" s="16" t="str">
        <f>IFERROR(__xludf.DUMMYFUNCTION("""COMPUTED_VALUE"""),"No")</f>
        <v>No</v>
      </c>
      <c r="E207" s="16" t="str">
        <f>IFERROR(__xludf.DUMMYFUNCTION("""COMPUTED_VALUE"""),"p_4bafa0a431c0a10ad026067a5f632536b5840efb@inbound.aiesec.org")</f>
        <v>p_4bafa0a431c0a10ad026067a5f632536b5840efb@inbound.aiesec.org</v>
      </c>
      <c r="F207" s="16">
        <f>IFERROR(__xludf.DUMMYFUNCTION("""COMPUTED_VALUE"""),5.550792937E9)</f>
        <v>5550792937</v>
      </c>
      <c r="G207" s="16" t="str">
        <f>IFERROR(__xludf.DUMMYFUNCTION("""COMPUTED_VALUE"""),"Turkey")</f>
        <v>Turkey</v>
      </c>
      <c r="H207" s="16" t="str">
        <f>IFERROR(__xludf.DUMMYFUNCTION("""COMPUTED_VALUE"""),"ISTANBUL")</f>
        <v>ISTANBUL</v>
      </c>
      <c r="I207" s="16" t="str">
        <f>IFERROR(__xludf.DUMMYFUNCTION("""COMPUTED_VALUE"""),"Egypt")</f>
        <v>Egypt</v>
      </c>
      <c r="J207" s="16" t="str">
        <f>IFERROR(__xludf.DUMMYFUNCTION("""COMPUTED_VALUE"""),"Ain Shams University")</f>
        <v>Ain Shams University</v>
      </c>
      <c r="K207" s="17" t="str">
        <f>IFERROR(__xludf.DUMMYFUNCTION("""COMPUTED_VALUE"""),"https://expa.aiesec.org/opportunities/1290024")</f>
        <v>https://expa.aiesec.org/opportunities/1290024</v>
      </c>
      <c r="L207" s="16" t="str">
        <f>IFERROR(__xludf.DUMMYFUNCTION("""COMPUTED_VALUE"""),"GV")</f>
        <v>GV</v>
      </c>
      <c r="M207" s="16" t="str">
        <f>IFERROR(__xludf.DUMMYFUNCTION("""COMPUTED_VALUE"""),"short")</f>
        <v>short</v>
      </c>
      <c r="N207" s="18">
        <f>IFERROR(__xludf.DUMMYFUNCTION("""COMPUTED_VALUE"""),45067.0)</f>
        <v>45067</v>
      </c>
      <c r="O207" s="18">
        <f>IFERROR(__xludf.DUMMYFUNCTION("""COMPUTED_VALUE"""),45170.0)</f>
        <v>45170</v>
      </c>
      <c r="P207" s="18">
        <f>IFERROR(__xludf.DUMMYFUNCTION("""COMPUTED_VALUE"""),45212.0)</f>
        <v>45212</v>
      </c>
      <c r="Q207" s="18"/>
      <c r="R207" s="18"/>
      <c r="S207" s="16"/>
      <c r="T207" s="16"/>
      <c r="U207" s="16" t="str">
        <f>IFERROR(__xludf.DUMMYFUNCTION("""COMPUTED_VALUE"""),"On The Map")</f>
        <v>On The Map</v>
      </c>
      <c r="V207" s="16" t="str">
        <f>IFERROR(__xludf.DUMMYFUNCTION("""COMPUTED_VALUE"""),"ISTANBUL - BEYOGLU")</f>
        <v>ISTANBUL - BEYOGLU</v>
      </c>
      <c r="W207" s="16" t="str">
        <f>IFERROR(__xludf.DUMMYFUNCTION("""COMPUTED_VALUE"""),"2023-05-20T19:57:32Z")</f>
        <v>2023-05-20T19:57:32Z</v>
      </c>
      <c r="X207" s="16"/>
      <c r="Y207" s="16"/>
      <c r="Z207" s="16"/>
    </row>
    <row r="208">
      <c r="A208" s="16" t="str">
        <f>IFERROR(__xludf.DUMMYFUNCTION("""COMPUTED_VALUE"""),"5264464_1295008")</f>
        <v>5264464_1295008</v>
      </c>
      <c r="B208" s="16" t="str">
        <f>IFERROR(__xludf.DUMMYFUNCTION("""COMPUTED_VALUE"""),"Aylin Çağlayan")</f>
        <v>Aylin Çağlayan</v>
      </c>
      <c r="C208" s="16" t="str">
        <f>IFERROR(__xludf.DUMMYFUNCTION("""COMPUTED_VALUE"""),"approved")</f>
        <v>approved</v>
      </c>
      <c r="D208" s="16" t="str">
        <f>IFERROR(__xludf.DUMMYFUNCTION("""COMPUTED_VALUE"""),"No")</f>
        <v>No</v>
      </c>
      <c r="E208" s="16" t="str">
        <f>IFERROR(__xludf.DUMMYFUNCTION("""COMPUTED_VALUE"""),"p_69209bf184966ee57429e346175ab408f1224579@inbound.aiesec.org")</f>
        <v>p_69209bf184966ee57429e346175ab408f1224579@inbound.aiesec.org</v>
      </c>
      <c r="F208" s="16">
        <f>IFERROR(__xludf.DUMMYFUNCTION("""COMPUTED_VALUE"""),5.313602061E9)</f>
        <v>5313602061</v>
      </c>
      <c r="G208" s="16" t="str">
        <f>IFERROR(__xludf.DUMMYFUNCTION("""COMPUTED_VALUE"""),"Turkey")</f>
        <v>Turkey</v>
      </c>
      <c r="H208" s="16" t="str">
        <f>IFERROR(__xludf.DUMMYFUNCTION("""COMPUTED_VALUE"""),"ISTANBUL")</f>
        <v>ISTANBUL</v>
      </c>
      <c r="I208" s="16" t="str">
        <f>IFERROR(__xludf.DUMMYFUNCTION("""COMPUTED_VALUE"""),"Romania")</f>
        <v>Romania</v>
      </c>
      <c r="J208" s="16" t="str">
        <f>IFERROR(__xludf.DUMMYFUNCTION("""COMPUTED_VALUE"""),"BUCURESTI")</f>
        <v>BUCURESTI</v>
      </c>
      <c r="K208" s="17" t="str">
        <f>IFERROR(__xludf.DUMMYFUNCTION("""COMPUTED_VALUE"""),"https://expa.aiesec.org/opportunities/1295008")</f>
        <v>https://expa.aiesec.org/opportunities/1295008</v>
      </c>
      <c r="L208" s="16" t="str">
        <f>IFERROR(__xludf.DUMMYFUNCTION("""COMPUTED_VALUE"""),"GV")</f>
        <v>GV</v>
      </c>
      <c r="M208" s="16" t="str">
        <f>IFERROR(__xludf.DUMMYFUNCTION("""COMPUTED_VALUE"""),"short")</f>
        <v>short</v>
      </c>
      <c r="N208" s="18">
        <f>IFERROR(__xludf.DUMMYFUNCTION("""COMPUTED_VALUE"""),45068.0)</f>
        <v>45068</v>
      </c>
      <c r="O208" s="18">
        <f>IFERROR(__xludf.DUMMYFUNCTION("""COMPUTED_VALUE"""),45096.0)</f>
        <v>45096</v>
      </c>
      <c r="P208" s="18">
        <f>IFERROR(__xludf.DUMMYFUNCTION("""COMPUTED_VALUE"""),45138.0)</f>
        <v>45138</v>
      </c>
      <c r="Q208" s="18"/>
      <c r="R208" s="18"/>
      <c r="S208" s="16"/>
      <c r="T208" s="16"/>
      <c r="U208" s="16" t="str">
        <f>IFERROR(__xludf.DUMMYFUNCTION("""COMPUTED_VALUE"""),"Green Leaders")</f>
        <v>Green Leaders</v>
      </c>
      <c r="V208" s="16" t="str">
        <f>IFERROR(__xludf.DUMMYFUNCTION("""COMPUTED_VALUE"""),"ISTANBUL - BEYOGLU")</f>
        <v>ISTANBUL - BEYOGLU</v>
      </c>
      <c r="W208" s="16" t="str">
        <f>IFERROR(__xludf.DUMMYFUNCTION("""COMPUTED_VALUE"""),"2023-05-21T13:20:52Z")</f>
        <v>2023-05-21T13:20:52Z</v>
      </c>
      <c r="X208" s="16"/>
      <c r="Y208" s="16"/>
      <c r="Z208" s="16"/>
    </row>
    <row r="209">
      <c r="A209" s="16" t="str">
        <f>IFERROR(__xludf.DUMMYFUNCTION("""COMPUTED_VALUE"""),"5256727_1284670")</f>
        <v>5256727_1284670</v>
      </c>
      <c r="B209" s="16" t="str">
        <f>IFERROR(__xludf.DUMMYFUNCTION("""COMPUTED_VALUE"""),"Costache Bianca")</f>
        <v>Costache Bianca</v>
      </c>
      <c r="C209" s="16" t="str">
        <f>IFERROR(__xludf.DUMMYFUNCTION("""COMPUTED_VALUE"""),"completed")</f>
        <v>completed</v>
      </c>
      <c r="D209" s="16" t="str">
        <f>IFERROR(__xludf.DUMMYFUNCTION("""COMPUTED_VALUE"""),"No")</f>
        <v>No</v>
      </c>
      <c r="E209" s="16" t="str">
        <f>IFERROR(__xludf.DUMMYFUNCTION("""COMPUTED_VALUE"""),"p_5482154b74c36f757716a601f6f2d57a0639b5e0@inbound.aiesec.org")</f>
        <v>p_5482154b74c36f757716a601f6f2d57a0639b5e0@inbound.aiesec.org</v>
      </c>
      <c r="F209" s="16"/>
      <c r="G209" s="16" t="str">
        <f>IFERROR(__xludf.DUMMYFUNCTION("""COMPUTED_VALUE"""),"Romania")</f>
        <v>Romania</v>
      </c>
      <c r="H209" s="16" t="str">
        <f>IFERROR(__xludf.DUMMYFUNCTION("""COMPUTED_VALUE"""),"GALATI")</f>
        <v>GALATI</v>
      </c>
      <c r="I209" s="16" t="str">
        <f>IFERROR(__xludf.DUMMYFUNCTION("""COMPUTED_VALUE"""),"Turkey")</f>
        <v>Turkey</v>
      </c>
      <c r="J209" s="16" t="str">
        <f>IFERROR(__xludf.DUMMYFUNCTION("""COMPUTED_VALUE"""),"ISTANBUL")</f>
        <v>ISTANBUL</v>
      </c>
      <c r="K209" s="17" t="str">
        <f>IFERROR(__xludf.DUMMYFUNCTION("""COMPUTED_VALUE"""),"https://expa.aiesec.org/opportunities/1284670")</f>
        <v>https://expa.aiesec.org/opportunities/1284670</v>
      </c>
      <c r="L209" s="16" t="str">
        <f>IFERROR(__xludf.DUMMYFUNCTION("""COMPUTED_VALUE"""),"GV")</f>
        <v>GV</v>
      </c>
      <c r="M209" s="16" t="str">
        <f>IFERROR(__xludf.DUMMYFUNCTION("""COMPUTED_VALUE"""),"short")</f>
        <v>short</v>
      </c>
      <c r="N209" s="18">
        <f>IFERROR(__xludf.DUMMYFUNCTION("""COMPUTED_VALUE"""),45069.0)</f>
        <v>45069</v>
      </c>
      <c r="O209" s="18">
        <f>IFERROR(__xludf.DUMMYFUNCTION("""COMPUTED_VALUE"""),45110.0)</f>
        <v>45110</v>
      </c>
      <c r="P209" s="18">
        <f>IFERROR(__xludf.DUMMYFUNCTION("""COMPUTED_VALUE"""),45152.0)</f>
        <v>45152</v>
      </c>
      <c r="Q209" s="18">
        <f>IFERROR(__xludf.DUMMYFUNCTION("""COMPUTED_VALUE"""),45110.0)</f>
        <v>45110</v>
      </c>
      <c r="R209" s="18">
        <f>IFERROR(__xludf.DUMMYFUNCTION("""COMPUTED_VALUE"""),45152.0)</f>
        <v>45152</v>
      </c>
      <c r="S209" s="16"/>
      <c r="T209" s="16"/>
      <c r="U209" s="16" t="str">
        <f>IFERROR(__xludf.DUMMYFUNCTION("""COMPUTED_VALUE"""),"Heartbeat")</f>
        <v>Heartbeat</v>
      </c>
      <c r="V209" s="16" t="str">
        <f>IFERROR(__xludf.DUMMYFUNCTION("""COMPUTED_VALUE"""),"-")</f>
        <v>-</v>
      </c>
      <c r="W209" s="16" t="str">
        <f>IFERROR(__xludf.DUMMYFUNCTION("""COMPUTED_VALUE"""),"2023-05-06T11:47:05Z")</f>
        <v>2023-05-06T11:47:05Z</v>
      </c>
      <c r="X209" s="16"/>
      <c r="Y209" s="16"/>
      <c r="Z209" s="16"/>
    </row>
    <row r="210">
      <c r="A210" s="16" t="str">
        <f>IFERROR(__xludf.DUMMYFUNCTION("""COMPUTED_VALUE"""),"5258594_1289536")</f>
        <v>5258594_1289536</v>
      </c>
      <c r="B210" s="16" t="str">
        <f>IFERROR(__xludf.DUMMYFUNCTION("""COMPUTED_VALUE"""),"Ruth Gusmão")</f>
        <v>Ruth Gusmão</v>
      </c>
      <c r="C210" s="16" t="str">
        <f>IFERROR(__xludf.DUMMYFUNCTION("""COMPUTED_VALUE"""),"approved")</f>
        <v>approved</v>
      </c>
      <c r="D210" s="16" t="str">
        <f>IFERROR(__xludf.DUMMYFUNCTION("""COMPUTED_VALUE"""),"No")</f>
        <v>No</v>
      </c>
      <c r="E210" s="16" t="str">
        <f>IFERROR(__xludf.DUMMYFUNCTION("""COMPUTED_VALUE"""),"p_e97902a094f0189e8296f57c3dc211bf4f1efd37@inbound.aiesec.org")</f>
        <v>p_e97902a094f0189e8296f57c3dc211bf4f1efd37@inbound.aiesec.org</v>
      </c>
      <c r="F210" s="16"/>
      <c r="G210" s="16" t="str">
        <f>IFERROR(__xludf.DUMMYFUNCTION("""COMPUTED_VALUE"""),"Brazil")</f>
        <v>Brazil</v>
      </c>
      <c r="H210" s="16" t="str">
        <f>IFERROR(__xludf.DUMMYFUNCTION("""COMPUTED_VALUE"""),"SALVADOR")</f>
        <v>SALVADOR</v>
      </c>
      <c r="I210" s="16" t="str">
        <f>IFERROR(__xludf.DUMMYFUNCTION("""COMPUTED_VALUE"""),"Turkey")</f>
        <v>Turkey</v>
      </c>
      <c r="J210" s="16" t="str">
        <f>IFERROR(__xludf.DUMMYFUNCTION("""COMPUTED_VALUE"""),"ISTANBUL")</f>
        <v>ISTANBUL</v>
      </c>
      <c r="K210" s="17" t="str">
        <f>IFERROR(__xludf.DUMMYFUNCTION("""COMPUTED_VALUE"""),"https://expa.aiesec.org/opportunities/1289536")</f>
        <v>https://expa.aiesec.org/opportunities/1289536</v>
      </c>
      <c r="L210" s="16" t="str">
        <f>IFERROR(__xludf.DUMMYFUNCTION("""COMPUTED_VALUE"""),"GV")</f>
        <v>GV</v>
      </c>
      <c r="M210" s="16" t="str">
        <f>IFERROR(__xludf.DUMMYFUNCTION("""COMPUTED_VALUE"""),"short")</f>
        <v>short</v>
      </c>
      <c r="N210" s="18">
        <f>IFERROR(__xludf.DUMMYFUNCTION("""COMPUTED_VALUE"""),45069.0)</f>
        <v>45069</v>
      </c>
      <c r="O210" s="18">
        <f>IFERROR(__xludf.DUMMYFUNCTION("""COMPUTED_VALUE"""),45271.0)</f>
        <v>45271</v>
      </c>
      <c r="P210" s="18">
        <f>IFERROR(__xludf.DUMMYFUNCTION("""COMPUTED_VALUE"""),45313.0)</f>
        <v>45313</v>
      </c>
      <c r="Q210" s="18"/>
      <c r="R210" s="18"/>
      <c r="S210" s="16"/>
      <c r="T210" s="16"/>
      <c r="U210" s="16" t="str">
        <f>IFERROR(__xludf.DUMMYFUNCTION("""COMPUTED_VALUE"""),"Global Classroom")</f>
        <v>Global Classroom</v>
      </c>
      <c r="V210" s="16" t="str">
        <f>IFERROR(__xludf.DUMMYFUNCTION("""COMPUTED_VALUE"""),"-")</f>
        <v>-</v>
      </c>
      <c r="W210" s="16" t="str">
        <f>IFERROR(__xludf.DUMMYFUNCTION("""COMPUTED_VALUE"""),"2023-05-10T00:27:25Z")</f>
        <v>2023-05-10T00:27:25Z</v>
      </c>
      <c r="X210" s="16"/>
      <c r="Y210" s="16"/>
      <c r="Z210" s="16"/>
    </row>
    <row r="211">
      <c r="A211" s="16" t="str">
        <f>IFERROR(__xludf.DUMMYFUNCTION("""COMPUTED_VALUE"""),"5265953_1272564")</f>
        <v>5265953_1272564</v>
      </c>
      <c r="B211" s="16" t="str">
        <f>IFERROR(__xludf.DUMMYFUNCTION("""COMPUTED_VALUE"""),"Chaima Ben Cheikh")</f>
        <v>Chaima Ben Cheikh</v>
      </c>
      <c r="C211" s="16" t="str">
        <f>IFERROR(__xludf.DUMMYFUNCTION("""COMPUTED_VALUE"""),"completed")</f>
        <v>completed</v>
      </c>
      <c r="D211" s="16" t="str">
        <f>IFERROR(__xludf.DUMMYFUNCTION("""COMPUTED_VALUE"""),"No")</f>
        <v>No</v>
      </c>
      <c r="E211" s="16" t="str">
        <f>IFERROR(__xludf.DUMMYFUNCTION("""COMPUTED_VALUE"""),"p_48931baf6895ed696e1410c4e9a9bba0c5a1cc86@inbound.aiesec.org")</f>
        <v>p_48931baf6895ed696e1410c4e9a9bba0c5a1cc86@inbound.aiesec.org</v>
      </c>
      <c r="F211" s="16">
        <f>IFERROR(__xludf.DUMMYFUNCTION("""COMPUTED_VALUE"""),9.9942451E7)</f>
        <v>99942451</v>
      </c>
      <c r="G211" s="16" t="str">
        <f>IFERROR(__xludf.DUMMYFUNCTION("""COMPUTED_VALUE"""),"Tunisia")</f>
        <v>Tunisia</v>
      </c>
      <c r="H211" s="16" t="str">
        <f>IFERROR(__xludf.DUMMYFUNCTION("""COMPUTED_VALUE"""),"Carthage")</f>
        <v>Carthage</v>
      </c>
      <c r="I211" s="16" t="str">
        <f>IFERROR(__xludf.DUMMYFUNCTION("""COMPUTED_VALUE"""),"Turkey")</f>
        <v>Turkey</v>
      </c>
      <c r="J211" s="16" t="str">
        <f>IFERROR(__xludf.DUMMYFUNCTION("""COMPUTED_VALUE"""),"ISTANBUL")</f>
        <v>ISTANBUL</v>
      </c>
      <c r="K211" s="17" t="str">
        <f>IFERROR(__xludf.DUMMYFUNCTION("""COMPUTED_VALUE"""),"https://expa.aiesec.org/opportunities/1272564")</f>
        <v>https://expa.aiesec.org/opportunities/1272564</v>
      </c>
      <c r="L211" s="16" t="str">
        <f>IFERROR(__xludf.DUMMYFUNCTION("""COMPUTED_VALUE"""),"GV")</f>
        <v>GV</v>
      </c>
      <c r="M211" s="16" t="str">
        <f>IFERROR(__xludf.DUMMYFUNCTION("""COMPUTED_VALUE"""),"short")</f>
        <v>short</v>
      </c>
      <c r="N211" s="18">
        <f>IFERROR(__xludf.DUMMYFUNCTION("""COMPUTED_VALUE"""),45071.0)</f>
        <v>45071</v>
      </c>
      <c r="O211" s="18">
        <f>IFERROR(__xludf.DUMMYFUNCTION("""COMPUTED_VALUE"""),45084.0)</f>
        <v>45084</v>
      </c>
      <c r="P211" s="18">
        <f>IFERROR(__xludf.DUMMYFUNCTION("""COMPUTED_VALUE"""),45126.0)</f>
        <v>45126</v>
      </c>
      <c r="Q211" s="18">
        <f>IFERROR(__xludf.DUMMYFUNCTION("""COMPUTED_VALUE"""),45095.0)</f>
        <v>45095</v>
      </c>
      <c r="R211" s="18">
        <f>IFERROR(__xludf.DUMMYFUNCTION("""COMPUTED_VALUE"""),45137.0)</f>
        <v>45137</v>
      </c>
      <c r="S211" s="16"/>
      <c r="T211" s="16"/>
      <c r="U211" s="16" t="str">
        <f>IFERROR(__xludf.DUMMYFUNCTION("""COMPUTED_VALUE"""),"Global Classroom")</f>
        <v>Global Classroom</v>
      </c>
      <c r="V211" s="16" t="str">
        <f>IFERROR(__xludf.DUMMYFUNCTION("""COMPUTED_VALUE"""),"FSJPST")</f>
        <v>FSJPST</v>
      </c>
      <c r="W211" s="16" t="str">
        <f>IFERROR(__xludf.DUMMYFUNCTION("""COMPUTED_VALUE"""),"2023-05-24T12:32:44Z")</f>
        <v>2023-05-24T12:32:44Z</v>
      </c>
      <c r="X211" s="16"/>
      <c r="Y211" s="16"/>
      <c r="Z211" s="16"/>
    </row>
    <row r="212">
      <c r="A212" s="16" t="str">
        <f>IFERROR(__xludf.DUMMYFUNCTION("""COMPUTED_VALUE"""),"5180925_1295102")</f>
        <v>5180925_1295102</v>
      </c>
      <c r="B212" s="16" t="str">
        <f>IFERROR(__xludf.DUMMYFUNCTION("""COMPUTED_VALUE"""),"Melisa Zorlu")</f>
        <v>Melisa Zorlu</v>
      </c>
      <c r="C212" s="16" t="str">
        <f>IFERROR(__xludf.DUMMYFUNCTION("""COMPUTED_VALUE"""),"approved")</f>
        <v>approved</v>
      </c>
      <c r="D212" s="16" t="str">
        <f>IFERROR(__xludf.DUMMYFUNCTION("""COMPUTED_VALUE"""),"No")</f>
        <v>No</v>
      </c>
      <c r="E212" s="16" t="str">
        <f>IFERROR(__xludf.DUMMYFUNCTION("""COMPUTED_VALUE"""),"p_bff41b4a6ae32e261d344c4406710affb96baca4@inbound.aiesec.org")</f>
        <v>p_bff41b4a6ae32e261d344c4406710affb96baca4@inbound.aiesec.org</v>
      </c>
      <c r="F212" s="16"/>
      <c r="G212" s="16" t="str">
        <f>IFERROR(__xludf.DUMMYFUNCTION("""COMPUTED_VALUE"""),"Turkey")</f>
        <v>Turkey</v>
      </c>
      <c r="H212" s="16" t="str">
        <f>IFERROR(__xludf.DUMMYFUNCTION("""COMPUTED_VALUE"""),"ISTANBUL")</f>
        <v>ISTANBUL</v>
      </c>
      <c r="I212" s="16" t="str">
        <f>IFERROR(__xludf.DUMMYFUNCTION("""COMPUTED_VALUE"""),"Egypt")</f>
        <v>Egypt</v>
      </c>
      <c r="J212" s="16" t="str">
        <f>IFERROR(__xludf.DUMMYFUNCTION("""COMPUTED_VALUE"""),"GUC")</f>
        <v>GUC</v>
      </c>
      <c r="K212" s="17" t="str">
        <f>IFERROR(__xludf.DUMMYFUNCTION("""COMPUTED_VALUE"""),"https://expa.aiesec.org/opportunities/1295102")</f>
        <v>https://expa.aiesec.org/opportunities/1295102</v>
      </c>
      <c r="L212" s="16" t="str">
        <f>IFERROR(__xludf.DUMMYFUNCTION("""COMPUTED_VALUE"""),"GV")</f>
        <v>GV</v>
      </c>
      <c r="M212" s="16" t="str">
        <f>IFERROR(__xludf.DUMMYFUNCTION("""COMPUTED_VALUE"""),"short")</f>
        <v>short</v>
      </c>
      <c r="N212" s="18">
        <f>IFERROR(__xludf.DUMMYFUNCTION("""COMPUTED_VALUE"""),45073.0)</f>
        <v>45073</v>
      </c>
      <c r="O212" s="18">
        <f>IFERROR(__xludf.DUMMYFUNCTION("""COMPUTED_VALUE"""),45302.0)</f>
        <v>45302</v>
      </c>
      <c r="P212" s="18">
        <f>IFERROR(__xludf.DUMMYFUNCTION("""COMPUTED_VALUE"""),45344.0)</f>
        <v>45344</v>
      </c>
      <c r="Q212" s="18"/>
      <c r="R212" s="18"/>
      <c r="S212" s="16"/>
      <c r="T212" s="16"/>
      <c r="U212" s="16" t="str">
        <f>IFERROR(__xludf.DUMMYFUNCTION("""COMPUTED_VALUE"""),"On The Map")</f>
        <v>On The Map</v>
      </c>
      <c r="V212" s="16" t="str">
        <f>IFERROR(__xludf.DUMMYFUNCTION("""COMPUTED_VALUE"""),"-")</f>
        <v>-</v>
      </c>
      <c r="W212" s="16" t="str">
        <f>IFERROR(__xludf.DUMMYFUNCTION("""COMPUTED_VALUE"""),"2023-01-26T17:15:53Z")</f>
        <v>2023-01-26T17:15:53Z</v>
      </c>
      <c r="X212" s="16"/>
      <c r="Y212" s="16"/>
      <c r="Z212" s="16"/>
    </row>
    <row r="213">
      <c r="A213" s="16" t="str">
        <f>IFERROR(__xludf.DUMMYFUNCTION("""COMPUTED_VALUE"""),"5117695_1293417")</f>
        <v>5117695_1293417</v>
      </c>
      <c r="B213" s="16" t="str">
        <f>IFERROR(__xludf.DUMMYFUNCTION("""COMPUTED_VALUE"""),"Aliya Rashitova")</f>
        <v>Aliya Rashitova</v>
      </c>
      <c r="C213" s="16" t="str">
        <f>IFERROR(__xludf.DUMMYFUNCTION("""COMPUTED_VALUE"""),"finished")</f>
        <v>finished</v>
      </c>
      <c r="D213" s="16" t="str">
        <f>IFERROR(__xludf.DUMMYFUNCTION("""COMPUTED_VALUE"""),"No")</f>
        <v>No</v>
      </c>
      <c r="E213" s="16" t="str">
        <f>IFERROR(__xludf.DUMMYFUNCTION("""COMPUTED_VALUE"""),"p_5ae223de75a6c0a04ebba61491e863a502507f06@inbound.aiesec.org")</f>
        <v>p_5ae223de75a6c0a04ebba61491e863a502507f06@inbound.aiesec.org</v>
      </c>
      <c r="F213" s="16"/>
      <c r="G213" s="16" t="str">
        <f>IFERROR(__xludf.DUMMYFUNCTION("""COMPUTED_VALUE"""),"Kazakhstan")</f>
        <v>Kazakhstan</v>
      </c>
      <c r="H213" s="16" t="str">
        <f>IFERROR(__xludf.DUMMYFUNCTION("""COMPUTED_VALUE"""),"Astana")</f>
        <v>Astana</v>
      </c>
      <c r="I213" s="16" t="str">
        <f>IFERROR(__xludf.DUMMYFUNCTION("""COMPUTED_VALUE"""),"Turkey")</f>
        <v>Turkey</v>
      </c>
      <c r="J213" s="16" t="str">
        <f>IFERROR(__xludf.DUMMYFUNCTION("""COMPUTED_VALUE"""),"ISTANBUL")</f>
        <v>ISTANBUL</v>
      </c>
      <c r="K213" s="17" t="str">
        <f>IFERROR(__xludf.DUMMYFUNCTION("""COMPUTED_VALUE"""),"https://expa.aiesec.org/opportunities/1293417")</f>
        <v>https://expa.aiesec.org/opportunities/1293417</v>
      </c>
      <c r="L213" s="16" t="str">
        <f>IFERROR(__xludf.DUMMYFUNCTION("""COMPUTED_VALUE"""),"GV")</f>
        <v>GV</v>
      </c>
      <c r="M213" s="16" t="str">
        <f>IFERROR(__xludf.DUMMYFUNCTION("""COMPUTED_VALUE"""),"short")</f>
        <v>short</v>
      </c>
      <c r="N213" s="18">
        <f>IFERROR(__xludf.DUMMYFUNCTION("""COMPUTED_VALUE"""),45074.0)</f>
        <v>45074</v>
      </c>
      <c r="O213" s="18">
        <f>IFERROR(__xludf.DUMMYFUNCTION("""COMPUTED_VALUE"""),45091.0)</f>
        <v>45091</v>
      </c>
      <c r="P213" s="18">
        <f>IFERROR(__xludf.DUMMYFUNCTION("""COMPUTED_VALUE"""),45133.0)</f>
        <v>45133</v>
      </c>
      <c r="Q213" s="18">
        <f>IFERROR(__xludf.DUMMYFUNCTION("""COMPUTED_VALUE"""),45096.0)</f>
        <v>45096</v>
      </c>
      <c r="R213" s="18">
        <f>IFERROR(__xludf.DUMMYFUNCTION("""COMPUTED_VALUE"""),45136.0)</f>
        <v>45136</v>
      </c>
      <c r="S213" s="16"/>
      <c r="T213" s="16"/>
      <c r="U213" s="16" t="str">
        <f>IFERROR(__xludf.DUMMYFUNCTION("""COMPUTED_VALUE"""),"Global Classroom")</f>
        <v>Global Classroom</v>
      </c>
      <c r="V213" s="16" t="str">
        <f>IFERROR(__xludf.DUMMYFUNCTION("""COMPUTED_VALUE"""),"Astana")</f>
        <v>Astana</v>
      </c>
      <c r="W213" s="16" t="str">
        <f>IFERROR(__xludf.DUMMYFUNCTION("""COMPUTED_VALUE"""),"2022-09-22T16:23:51Z")</f>
        <v>2022-09-22T16:23:51Z</v>
      </c>
      <c r="X213" s="16"/>
      <c r="Y213" s="16"/>
      <c r="Z213" s="16"/>
    </row>
    <row r="214">
      <c r="A214" s="16" t="str">
        <f>IFERROR(__xludf.DUMMYFUNCTION("""COMPUTED_VALUE"""),"5268226_1294063")</f>
        <v>5268226_1294063</v>
      </c>
      <c r="B214" s="16" t="str">
        <f>IFERROR(__xludf.DUMMYFUNCTION("""COMPUTED_VALUE"""),"Ahmet Gökdoğan")</f>
        <v>Ahmet Gökdoğan</v>
      </c>
      <c r="C214" s="16" t="str">
        <f>IFERROR(__xludf.DUMMYFUNCTION("""COMPUTED_VALUE"""),"approved")</f>
        <v>approved</v>
      </c>
      <c r="D214" s="16" t="str">
        <f>IFERROR(__xludf.DUMMYFUNCTION("""COMPUTED_VALUE"""),"No")</f>
        <v>No</v>
      </c>
      <c r="E214" s="16" t="str">
        <f>IFERROR(__xludf.DUMMYFUNCTION("""COMPUTED_VALUE"""),"p_de4f55509b34760bb28ab7f492daf5420cd15547@inbound.aiesec.org")</f>
        <v>p_de4f55509b34760bb28ab7f492daf5420cd15547@inbound.aiesec.org</v>
      </c>
      <c r="F214" s="16">
        <f>IFERROR(__xludf.DUMMYFUNCTION("""COMPUTED_VALUE"""),5.415426326E9)</f>
        <v>5415426326</v>
      </c>
      <c r="G214" s="16" t="str">
        <f>IFERROR(__xludf.DUMMYFUNCTION("""COMPUTED_VALUE"""),"Turkey")</f>
        <v>Turkey</v>
      </c>
      <c r="H214" s="16" t="str">
        <f>IFERROR(__xludf.DUMMYFUNCTION("""COMPUTED_VALUE"""),"ISTANBUL")</f>
        <v>ISTANBUL</v>
      </c>
      <c r="I214" s="16" t="str">
        <f>IFERROR(__xludf.DUMMYFUNCTION("""COMPUTED_VALUE"""),"Egypt")</f>
        <v>Egypt</v>
      </c>
      <c r="J214" s="16" t="str">
        <f>IFERROR(__xludf.DUMMYFUNCTION("""COMPUTED_VALUE"""),"Ain Shams University")</f>
        <v>Ain Shams University</v>
      </c>
      <c r="K214" s="17" t="str">
        <f>IFERROR(__xludf.DUMMYFUNCTION("""COMPUTED_VALUE"""),"https://expa.aiesec.org/opportunities/1294063")</f>
        <v>https://expa.aiesec.org/opportunities/1294063</v>
      </c>
      <c r="L214" s="16" t="str">
        <f>IFERROR(__xludf.DUMMYFUNCTION("""COMPUTED_VALUE"""),"GV")</f>
        <v>GV</v>
      </c>
      <c r="M214" s="16" t="str">
        <f>IFERROR(__xludf.DUMMYFUNCTION("""COMPUTED_VALUE"""),"short")</f>
        <v>short</v>
      </c>
      <c r="N214" s="18">
        <f>IFERROR(__xludf.DUMMYFUNCTION("""COMPUTED_VALUE"""),45075.0)</f>
        <v>45075</v>
      </c>
      <c r="O214" s="18">
        <f>IFERROR(__xludf.DUMMYFUNCTION("""COMPUTED_VALUE"""),45139.0)</f>
        <v>45139</v>
      </c>
      <c r="P214" s="18">
        <f>IFERROR(__xludf.DUMMYFUNCTION("""COMPUTED_VALUE"""),45181.0)</f>
        <v>45181</v>
      </c>
      <c r="Q214" s="18"/>
      <c r="R214" s="18"/>
      <c r="S214" s="16"/>
      <c r="T214" s="16"/>
      <c r="U214" s="16" t="str">
        <f>IFERROR(__xludf.DUMMYFUNCTION("""COMPUTED_VALUE"""),"On The Map")</f>
        <v>On The Map</v>
      </c>
      <c r="V214" s="16" t="str">
        <f>IFERROR(__xludf.DUMMYFUNCTION("""COMPUTED_VALUE"""),"ISTANBUL - BEYOGLU")</f>
        <v>ISTANBUL - BEYOGLU</v>
      </c>
      <c r="W214" s="16" t="str">
        <f>IFERROR(__xludf.DUMMYFUNCTION("""COMPUTED_VALUE"""),"2023-05-29T11:27:17Z")</f>
        <v>2023-05-29T11:27:17Z</v>
      </c>
      <c r="X214" s="16"/>
      <c r="Y214" s="16"/>
      <c r="Z214" s="16"/>
    </row>
    <row r="215">
      <c r="A215" s="16" t="str">
        <f>IFERROR(__xludf.DUMMYFUNCTION("""COMPUTED_VALUE"""),"5267288_1289536")</f>
        <v>5267288_1289536</v>
      </c>
      <c r="B215" s="16" t="str">
        <f>IFERROR(__xludf.DUMMYFUNCTION("""COMPUTED_VALUE"""),"Maria Laura Arantes Bessa Ferreira")</f>
        <v>Maria Laura Arantes Bessa Ferreira</v>
      </c>
      <c r="C215" s="16" t="str">
        <f>IFERROR(__xludf.DUMMYFUNCTION("""COMPUTED_VALUE"""),"approved")</f>
        <v>approved</v>
      </c>
      <c r="D215" s="16" t="str">
        <f>IFERROR(__xludf.DUMMYFUNCTION("""COMPUTED_VALUE"""),"No")</f>
        <v>No</v>
      </c>
      <c r="E215" s="16" t="str">
        <f>IFERROR(__xludf.DUMMYFUNCTION("""COMPUTED_VALUE"""),"p_cf99e3743ba17af8b7a4c9c998b846eb57cf06c1@inbound.aiesec.org")</f>
        <v>p_cf99e3743ba17af8b7a4c9c998b846eb57cf06c1@inbound.aiesec.org</v>
      </c>
      <c r="F215" s="16">
        <f>IFERROR(__xludf.DUMMYFUNCTION("""COMPUTED_VALUE"""),3.4984447503E10)</f>
        <v>34984447503</v>
      </c>
      <c r="G215" s="16" t="str">
        <f>IFERROR(__xludf.DUMMYFUNCTION("""COMPUTED_VALUE"""),"Brazil")</f>
        <v>Brazil</v>
      </c>
      <c r="H215" s="16" t="str">
        <f>IFERROR(__xludf.DUMMYFUNCTION("""COMPUTED_VALUE"""),"USP")</f>
        <v>USP</v>
      </c>
      <c r="I215" s="16" t="str">
        <f>IFERROR(__xludf.DUMMYFUNCTION("""COMPUTED_VALUE"""),"Turkey")</f>
        <v>Turkey</v>
      </c>
      <c r="J215" s="16" t="str">
        <f>IFERROR(__xludf.DUMMYFUNCTION("""COMPUTED_VALUE"""),"ISTANBUL")</f>
        <v>ISTANBUL</v>
      </c>
      <c r="K215" s="17" t="str">
        <f>IFERROR(__xludf.DUMMYFUNCTION("""COMPUTED_VALUE"""),"https://expa.aiesec.org/opportunities/1289536")</f>
        <v>https://expa.aiesec.org/opportunities/1289536</v>
      </c>
      <c r="L215" s="16" t="str">
        <f>IFERROR(__xludf.DUMMYFUNCTION("""COMPUTED_VALUE"""),"GV")</f>
        <v>GV</v>
      </c>
      <c r="M215" s="16" t="str">
        <f>IFERROR(__xludf.DUMMYFUNCTION("""COMPUTED_VALUE"""),"short")</f>
        <v>short</v>
      </c>
      <c r="N215" s="18">
        <f>IFERROR(__xludf.DUMMYFUNCTION("""COMPUTED_VALUE"""),45075.0)</f>
        <v>45075</v>
      </c>
      <c r="O215" s="18">
        <f>IFERROR(__xludf.DUMMYFUNCTION("""COMPUTED_VALUE"""),45216.0)</f>
        <v>45216</v>
      </c>
      <c r="P215" s="18">
        <f>IFERROR(__xludf.DUMMYFUNCTION("""COMPUTED_VALUE"""),45258.0)</f>
        <v>45258</v>
      </c>
      <c r="Q215" s="18"/>
      <c r="R215" s="18"/>
      <c r="S215" s="16"/>
      <c r="T215" s="16"/>
      <c r="U215" s="16" t="str">
        <f>IFERROR(__xludf.DUMMYFUNCTION("""COMPUTED_VALUE"""),"Global Classroom")</f>
        <v>Global Classroom</v>
      </c>
      <c r="V215" s="16" t="str">
        <f>IFERROR(__xludf.DUMMYFUNCTION("""COMPUTED_VALUE"""),"São Paulo - USP")</f>
        <v>São Paulo - USP</v>
      </c>
      <c r="W215" s="16" t="str">
        <f>IFERROR(__xludf.DUMMYFUNCTION("""COMPUTED_VALUE"""),"2023-05-26T21:14:01Z")</f>
        <v>2023-05-26T21:14:01Z</v>
      </c>
      <c r="X215" s="16"/>
      <c r="Y215" s="16"/>
      <c r="Z215" s="16"/>
    </row>
    <row r="216">
      <c r="A216" s="16" t="str">
        <f>IFERROR(__xludf.DUMMYFUNCTION("""COMPUTED_VALUE"""),"5243383_1284670")</f>
        <v>5243383_1284670</v>
      </c>
      <c r="B216" s="16" t="str">
        <f>IFERROR(__xludf.DUMMYFUNCTION("""COMPUTED_VALUE"""),"Telmo Abreu")</f>
        <v>Telmo Abreu</v>
      </c>
      <c r="C216" s="16" t="str">
        <f>IFERROR(__xludf.DUMMYFUNCTION("""COMPUTED_VALUE"""),"approved")</f>
        <v>approved</v>
      </c>
      <c r="D216" s="16" t="str">
        <f>IFERROR(__xludf.DUMMYFUNCTION("""COMPUTED_VALUE"""),"No")</f>
        <v>No</v>
      </c>
      <c r="E216" s="16" t="str">
        <f>IFERROR(__xludf.DUMMYFUNCTION("""COMPUTED_VALUE"""),"p_1d55bd6351fa72528165b6d4c6ffde4a29788af4@inbound.aiesec.org")</f>
        <v>p_1d55bd6351fa72528165b6d4c6ffde4a29788af4@inbound.aiesec.org</v>
      </c>
      <c r="F216" s="16"/>
      <c r="G216" s="16" t="str">
        <f>IFERROR(__xludf.DUMMYFUNCTION("""COMPUTED_VALUE"""),"Portugal")</f>
        <v>Portugal</v>
      </c>
      <c r="H216" s="16" t="str">
        <f>IFERROR(__xludf.DUMMYFUNCTION("""COMPUTED_VALUE"""),"PORTO FEP")</f>
        <v>PORTO FEP</v>
      </c>
      <c r="I216" s="16" t="str">
        <f>IFERROR(__xludf.DUMMYFUNCTION("""COMPUTED_VALUE"""),"Turkey")</f>
        <v>Turkey</v>
      </c>
      <c r="J216" s="16" t="str">
        <f>IFERROR(__xludf.DUMMYFUNCTION("""COMPUTED_VALUE"""),"ISTANBUL")</f>
        <v>ISTANBUL</v>
      </c>
      <c r="K216" s="17" t="str">
        <f>IFERROR(__xludf.DUMMYFUNCTION("""COMPUTED_VALUE"""),"https://expa.aiesec.org/opportunities/1284670")</f>
        <v>https://expa.aiesec.org/opportunities/1284670</v>
      </c>
      <c r="L216" s="16" t="str">
        <f>IFERROR(__xludf.DUMMYFUNCTION("""COMPUTED_VALUE"""),"GV")</f>
        <v>GV</v>
      </c>
      <c r="M216" s="16" t="str">
        <f>IFERROR(__xludf.DUMMYFUNCTION("""COMPUTED_VALUE"""),"short")</f>
        <v>short</v>
      </c>
      <c r="N216" s="18">
        <f>IFERROR(__xludf.DUMMYFUNCTION("""COMPUTED_VALUE"""),45077.0)</f>
        <v>45077</v>
      </c>
      <c r="O216" s="18">
        <f>IFERROR(__xludf.DUMMYFUNCTION("""COMPUTED_VALUE"""),45110.0)</f>
        <v>45110</v>
      </c>
      <c r="P216" s="18">
        <f>IFERROR(__xludf.DUMMYFUNCTION("""COMPUTED_VALUE"""),45152.0)</f>
        <v>45152</v>
      </c>
      <c r="Q216" s="18"/>
      <c r="R216" s="18"/>
      <c r="S216" s="16"/>
      <c r="T216" s="16"/>
      <c r="U216" s="16" t="str">
        <f>IFERROR(__xludf.DUMMYFUNCTION("""COMPUTED_VALUE"""),"Heartbeat")</f>
        <v>Heartbeat</v>
      </c>
      <c r="V216" s="16" t="str">
        <f>IFERROR(__xludf.DUMMYFUNCTION("""COMPUTED_VALUE"""),"-")</f>
        <v>-</v>
      </c>
      <c r="W216" s="16" t="str">
        <f>IFERROR(__xludf.DUMMYFUNCTION("""COMPUTED_VALUE"""),"2023-04-16T19:06:41Z")</f>
        <v>2023-04-16T19:06:41Z</v>
      </c>
      <c r="X216" s="16"/>
      <c r="Y216" s="16"/>
      <c r="Z216" s="16"/>
    </row>
    <row r="217">
      <c r="A217" s="16" t="str">
        <f>IFERROR(__xludf.DUMMYFUNCTION("""COMPUTED_VALUE"""),"5267319_1289307")</f>
        <v>5267319_1289307</v>
      </c>
      <c r="B217" s="16" t="str">
        <f>IFERROR(__xludf.DUMMYFUNCTION("""COMPUTED_VALUE"""),"Imane Akram")</f>
        <v>Imane Akram</v>
      </c>
      <c r="C217" s="16" t="str">
        <f>IFERROR(__xludf.DUMMYFUNCTION("""COMPUTED_VALUE"""),"realized")</f>
        <v>realized</v>
      </c>
      <c r="D217" s="16" t="str">
        <f>IFERROR(__xludf.DUMMYFUNCTION("""COMPUTED_VALUE"""),"No")</f>
        <v>No</v>
      </c>
      <c r="E217" s="16" t="str">
        <f>IFERROR(__xludf.DUMMYFUNCTION("""COMPUTED_VALUE"""),"p_e7ae95cc79e962c4401f10bcb02d7a95036d2f64@inbound.aiesec.org")</f>
        <v>p_e7ae95cc79e962c4401f10bcb02d7a95036d2f64@inbound.aiesec.org</v>
      </c>
      <c r="F217" s="16">
        <f>IFERROR(__xludf.DUMMYFUNCTION("""COMPUTED_VALUE"""),6.12241201E8)</f>
        <v>612241201</v>
      </c>
      <c r="G217" s="16" t="str">
        <f>IFERROR(__xludf.DUMMYFUNCTION("""COMPUTED_VALUE"""),"Morocco")</f>
        <v>Morocco</v>
      </c>
      <c r="H217" s="16" t="str">
        <f>IFERROR(__xludf.DUMMYFUNCTION("""COMPUTED_VALUE"""),"Casablanca")</f>
        <v>Casablanca</v>
      </c>
      <c r="I217" s="16" t="str">
        <f>IFERROR(__xludf.DUMMYFUNCTION("""COMPUTED_VALUE"""),"Turkey")</f>
        <v>Turkey</v>
      </c>
      <c r="J217" s="16" t="str">
        <f>IFERROR(__xludf.DUMMYFUNCTION("""COMPUTED_VALUE"""),"ISTANBUL")</f>
        <v>ISTANBUL</v>
      </c>
      <c r="K217" s="17" t="str">
        <f>IFERROR(__xludf.DUMMYFUNCTION("""COMPUTED_VALUE"""),"https://expa.aiesec.org/opportunities/1289307")</f>
        <v>https://expa.aiesec.org/opportunities/1289307</v>
      </c>
      <c r="L217" s="16" t="str">
        <f>IFERROR(__xludf.DUMMYFUNCTION("""COMPUTED_VALUE"""),"GTe")</f>
        <v>GTe</v>
      </c>
      <c r="M217" s="16" t="str">
        <f>IFERROR(__xludf.DUMMYFUNCTION("""COMPUTED_VALUE"""),"long")</f>
        <v>long</v>
      </c>
      <c r="N217" s="18">
        <f>IFERROR(__xludf.DUMMYFUNCTION("""COMPUTED_VALUE"""),45077.0)</f>
        <v>45077</v>
      </c>
      <c r="O217" s="18">
        <f>IFERROR(__xludf.DUMMYFUNCTION("""COMPUTED_VALUE"""),45152.0)</f>
        <v>45152</v>
      </c>
      <c r="P217" s="18">
        <f>IFERROR(__xludf.DUMMYFUNCTION("""COMPUTED_VALUE"""),45515.0)</f>
        <v>45515</v>
      </c>
      <c r="Q217" s="18">
        <f>IFERROR(__xludf.DUMMYFUNCTION("""COMPUTED_VALUE"""),45152.0)</f>
        <v>45152</v>
      </c>
      <c r="R217" s="18">
        <f>IFERROR(__xludf.DUMMYFUNCTION("""COMPUTED_VALUE"""),45515.0)</f>
        <v>45515</v>
      </c>
      <c r="S217" s="16"/>
      <c r="T217" s="16"/>
      <c r="U217" s="16" t="str">
        <f>IFERROR(__xludf.DUMMYFUNCTION("""COMPUTED_VALUE"""),"Preschool English Teacher")</f>
        <v>Preschool English Teacher</v>
      </c>
      <c r="V217" s="16" t="str">
        <f>IFERROR(__xludf.DUMMYFUNCTION("""COMPUTED_VALUE"""),"FSJES Aïn Chock Casablanca")</f>
        <v>FSJES Aïn Chock Casablanca</v>
      </c>
      <c r="W217" s="16" t="str">
        <f>IFERROR(__xludf.DUMMYFUNCTION("""COMPUTED_VALUE"""),"2023-05-26T22:40:03Z")</f>
        <v>2023-05-26T22:40:03Z</v>
      </c>
      <c r="X217" s="16"/>
      <c r="Y217" s="16"/>
      <c r="Z217" s="16"/>
    </row>
    <row r="218">
      <c r="A218" s="16" t="str">
        <f>IFERROR(__xludf.DUMMYFUNCTION("""COMPUTED_VALUE"""),"5205103_1295563")</f>
        <v>5205103_1295563</v>
      </c>
      <c r="B218" s="16" t="str">
        <f>IFERROR(__xludf.DUMMYFUNCTION("""COMPUTED_VALUE"""),"Filiz Işık")</f>
        <v>Filiz Işık</v>
      </c>
      <c r="C218" s="16" t="str">
        <f>IFERROR(__xludf.DUMMYFUNCTION("""COMPUTED_VALUE"""),"completed")</f>
        <v>completed</v>
      </c>
      <c r="D218" s="16" t="str">
        <f>IFERROR(__xludf.DUMMYFUNCTION("""COMPUTED_VALUE"""),"No")</f>
        <v>No</v>
      </c>
      <c r="E218" s="16" t="str">
        <f>IFERROR(__xludf.DUMMYFUNCTION("""COMPUTED_VALUE"""),"p_9b84c7dfbc15497afffd3b73987ca58dedc5645e@inbound.aiesec.org")</f>
        <v>p_9b84c7dfbc15497afffd3b73987ca58dedc5645e@inbound.aiesec.org</v>
      </c>
      <c r="F218" s="16">
        <f>IFERROR(__xludf.DUMMYFUNCTION("""COMPUTED_VALUE"""),5.318189608E9)</f>
        <v>5318189608</v>
      </c>
      <c r="G218" s="16" t="str">
        <f>IFERROR(__xludf.DUMMYFUNCTION("""COMPUTED_VALUE"""),"Turkey")</f>
        <v>Turkey</v>
      </c>
      <c r="H218" s="16" t="str">
        <f>IFERROR(__xludf.DUMMYFUNCTION("""COMPUTED_VALUE"""),"ISTANBUL")</f>
        <v>ISTANBUL</v>
      </c>
      <c r="I218" s="16" t="str">
        <f>IFERROR(__xludf.DUMMYFUNCTION("""COMPUTED_VALUE"""),"Romania")</f>
        <v>Romania</v>
      </c>
      <c r="J218" s="16" t="str">
        <f>IFERROR(__xludf.DUMMYFUNCTION("""COMPUTED_VALUE"""),"BUCURESTI")</f>
        <v>BUCURESTI</v>
      </c>
      <c r="K218" s="17" t="str">
        <f>IFERROR(__xludf.DUMMYFUNCTION("""COMPUTED_VALUE"""),"https://expa.aiesec.org/opportunities/1295563")</f>
        <v>https://expa.aiesec.org/opportunities/1295563</v>
      </c>
      <c r="L218" s="16" t="str">
        <f>IFERROR(__xludf.DUMMYFUNCTION("""COMPUTED_VALUE"""),"GV")</f>
        <v>GV</v>
      </c>
      <c r="M218" s="16" t="str">
        <f>IFERROR(__xludf.DUMMYFUNCTION("""COMPUTED_VALUE"""),"short")</f>
        <v>short</v>
      </c>
      <c r="N218" s="18">
        <f>IFERROR(__xludf.DUMMYFUNCTION("""COMPUTED_VALUE"""),45078.0)</f>
        <v>45078</v>
      </c>
      <c r="O218" s="18">
        <f>IFERROR(__xludf.DUMMYFUNCTION("""COMPUTED_VALUE"""),45096.0)</f>
        <v>45096</v>
      </c>
      <c r="P218" s="18">
        <f>IFERROR(__xludf.DUMMYFUNCTION("""COMPUTED_VALUE"""),45138.0)</f>
        <v>45138</v>
      </c>
      <c r="Q218" s="18">
        <f>IFERROR(__xludf.DUMMYFUNCTION("""COMPUTED_VALUE"""),45096.0)</f>
        <v>45096</v>
      </c>
      <c r="R218" s="18">
        <f>IFERROR(__xludf.DUMMYFUNCTION("""COMPUTED_VALUE"""),45138.0)</f>
        <v>45138</v>
      </c>
      <c r="S218" s="16"/>
      <c r="T218" s="16"/>
      <c r="U218" s="16" t="str">
        <f>IFERROR(__xludf.DUMMYFUNCTION("""COMPUTED_VALUE"""),"Fingerprint")</f>
        <v>Fingerprint</v>
      </c>
      <c r="V218" s="16" t="str">
        <f>IFERROR(__xludf.DUMMYFUNCTION("""COMPUTED_VALUE"""),"ISTANBUL - BEYOGLU")</f>
        <v>ISTANBUL - BEYOGLU</v>
      </c>
      <c r="W218" s="16" t="str">
        <f>IFERROR(__xludf.DUMMYFUNCTION("""COMPUTED_VALUE"""),"2023-03-04T05:56:43Z")</f>
        <v>2023-03-04T05:56:43Z</v>
      </c>
      <c r="X218" s="16"/>
      <c r="Y218" s="16"/>
      <c r="Z218" s="16"/>
    </row>
    <row r="219">
      <c r="A219" s="16" t="str">
        <f>IFERROR(__xludf.DUMMYFUNCTION("""COMPUTED_VALUE"""),"5266921_1294209")</f>
        <v>5266921_1294209</v>
      </c>
      <c r="B219" s="16" t="str">
        <f>IFERROR(__xludf.DUMMYFUNCTION("""COMPUTED_VALUE"""),"Seyfi Alp Arslan")</f>
        <v>Seyfi Alp Arslan</v>
      </c>
      <c r="C219" s="16" t="str">
        <f>IFERROR(__xludf.DUMMYFUNCTION("""COMPUTED_VALUE"""),"approved")</f>
        <v>approved</v>
      </c>
      <c r="D219" s="16" t="str">
        <f>IFERROR(__xludf.DUMMYFUNCTION("""COMPUTED_VALUE"""),"No")</f>
        <v>No</v>
      </c>
      <c r="E219" s="16" t="str">
        <f>IFERROR(__xludf.DUMMYFUNCTION("""COMPUTED_VALUE"""),"p_bfc5d334ea1cb6fe7dfa7a1a96fb784645870cd3@inbound.aiesec.org")</f>
        <v>p_bfc5d334ea1cb6fe7dfa7a1a96fb784645870cd3@inbound.aiesec.org</v>
      </c>
      <c r="F219" s="16">
        <f>IFERROR(__xludf.DUMMYFUNCTION("""COMPUTED_VALUE"""),5.362358652E9)</f>
        <v>5362358652</v>
      </c>
      <c r="G219" s="16" t="str">
        <f>IFERROR(__xludf.DUMMYFUNCTION("""COMPUTED_VALUE"""),"Turkey")</f>
        <v>Turkey</v>
      </c>
      <c r="H219" s="16" t="str">
        <f>IFERROR(__xludf.DUMMYFUNCTION("""COMPUTED_VALUE"""),"ISTANBUL")</f>
        <v>ISTANBUL</v>
      </c>
      <c r="I219" s="16" t="str">
        <f>IFERROR(__xludf.DUMMYFUNCTION("""COMPUTED_VALUE"""),"Moldova")</f>
        <v>Moldova</v>
      </c>
      <c r="J219" s="16" t="str">
        <f>IFERROR(__xludf.DUMMYFUNCTION("""COMPUTED_VALUE"""),"CHISINAU")</f>
        <v>CHISINAU</v>
      </c>
      <c r="K219" s="17" t="str">
        <f>IFERROR(__xludf.DUMMYFUNCTION("""COMPUTED_VALUE"""),"https://expa.aiesec.org/opportunities/1294209")</f>
        <v>https://expa.aiesec.org/opportunities/1294209</v>
      </c>
      <c r="L219" s="16" t="str">
        <f>IFERROR(__xludf.DUMMYFUNCTION("""COMPUTED_VALUE"""),"GV")</f>
        <v>GV</v>
      </c>
      <c r="M219" s="16" t="str">
        <f>IFERROR(__xludf.DUMMYFUNCTION("""COMPUTED_VALUE"""),"short")</f>
        <v>short</v>
      </c>
      <c r="N219" s="18">
        <f>IFERROR(__xludf.DUMMYFUNCTION("""COMPUTED_VALUE"""),45078.0)</f>
        <v>45078</v>
      </c>
      <c r="O219" s="18">
        <f>IFERROR(__xludf.DUMMYFUNCTION("""COMPUTED_VALUE"""),45159.0)</f>
        <v>45159</v>
      </c>
      <c r="P219" s="18">
        <f>IFERROR(__xludf.DUMMYFUNCTION("""COMPUTED_VALUE"""),45201.0)</f>
        <v>45201</v>
      </c>
      <c r="Q219" s="18"/>
      <c r="R219" s="18"/>
      <c r="S219" s="16"/>
      <c r="T219" s="16"/>
      <c r="U219" s="16" t="str">
        <f>IFERROR(__xludf.DUMMYFUNCTION("""COMPUTED_VALUE"""),"On The Map")</f>
        <v>On The Map</v>
      </c>
      <c r="V219" s="16" t="str">
        <f>IFERROR(__xludf.DUMMYFUNCTION("""COMPUTED_VALUE"""),"ISTANBUL - BEYOGLU")</f>
        <v>ISTANBUL - BEYOGLU</v>
      </c>
      <c r="W219" s="16" t="str">
        <f>IFERROR(__xludf.DUMMYFUNCTION("""COMPUTED_VALUE"""),"2023-05-26T09:44:38Z")</f>
        <v>2023-05-26T09:44:38Z</v>
      </c>
      <c r="X219" s="16"/>
      <c r="Y219" s="16"/>
      <c r="Z219" s="16"/>
    </row>
    <row r="220">
      <c r="A220" s="16" t="str">
        <f>IFERROR(__xludf.DUMMYFUNCTION("""COMPUTED_VALUE"""),"5265450_1290924")</f>
        <v>5265450_1290924</v>
      </c>
      <c r="B220" s="16" t="str">
        <f>IFERROR(__xludf.DUMMYFUNCTION("""COMPUTED_VALUE"""),"Sirine Kerkeni")</f>
        <v>Sirine Kerkeni</v>
      </c>
      <c r="C220" s="16" t="str">
        <f>IFERROR(__xludf.DUMMYFUNCTION("""COMPUTED_VALUE"""),"approved")</f>
        <v>approved</v>
      </c>
      <c r="D220" s="16" t="str">
        <f>IFERROR(__xludf.DUMMYFUNCTION("""COMPUTED_VALUE"""),"No")</f>
        <v>No</v>
      </c>
      <c r="E220" s="16" t="str">
        <f>IFERROR(__xludf.DUMMYFUNCTION("""COMPUTED_VALUE"""),"p_764d226fbb823e27ed56c0bc496d1f9a3fd527de@inbound.aiesec.org")</f>
        <v>p_764d226fbb823e27ed56c0bc496d1f9a3fd527de@inbound.aiesec.org</v>
      </c>
      <c r="F220" s="16">
        <f>IFERROR(__xludf.DUMMYFUNCTION("""COMPUTED_VALUE"""),2.7106629E7)</f>
        <v>27106629</v>
      </c>
      <c r="G220" s="16" t="str">
        <f>IFERROR(__xludf.DUMMYFUNCTION("""COMPUTED_VALUE"""),"Tunisia")</f>
        <v>Tunisia</v>
      </c>
      <c r="H220" s="16" t="str">
        <f>IFERROR(__xludf.DUMMYFUNCTION("""COMPUTED_VALUE"""),"BARDO")</f>
        <v>BARDO</v>
      </c>
      <c r="I220" s="16" t="str">
        <f>IFERROR(__xludf.DUMMYFUNCTION("""COMPUTED_VALUE"""),"Turkey")</f>
        <v>Turkey</v>
      </c>
      <c r="J220" s="16" t="str">
        <f>IFERROR(__xludf.DUMMYFUNCTION("""COMPUTED_VALUE"""),"ISTANBUL")</f>
        <v>ISTANBUL</v>
      </c>
      <c r="K220" s="17" t="str">
        <f>IFERROR(__xludf.DUMMYFUNCTION("""COMPUTED_VALUE"""),"https://expa.aiesec.org/opportunities/1290924")</f>
        <v>https://expa.aiesec.org/opportunities/1290924</v>
      </c>
      <c r="L220" s="16" t="str">
        <f>IFERROR(__xludf.DUMMYFUNCTION("""COMPUTED_VALUE"""),"GTa")</f>
        <v>GTa</v>
      </c>
      <c r="M220" s="16" t="str">
        <f>IFERROR(__xludf.DUMMYFUNCTION("""COMPUTED_VALUE"""),"short")</f>
        <v>short</v>
      </c>
      <c r="N220" s="18">
        <f>IFERROR(__xludf.DUMMYFUNCTION("""COMPUTED_VALUE"""),45078.0)</f>
        <v>45078</v>
      </c>
      <c r="O220" s="18">
        <f>IFERROR(__xludf.DUMMYFUNCTION("""COMPUTED_VALUE"""),45117.0)</f>
        <v>45117</v>
      </c>
      <c r="P220" s="18">
        <f>IFERROR(__xludf.DUMMYFUNCTION("""COMPUTED_VALUE"""),45200.0)</f>
        <v>45200</v>
      </c>
      <c r="Q220" s="18"/>
      <c r="R220" s="18"/>
      <c r="S220" s="16"/>
      <c r="T220" s="16" t="str">
        <f>IFERROR(__xludf.DUMMYFUNCTION("""COMPUTED_VALUE"""),"Business Development")</f>
        <v>Business Development</v>
      </c>
      <c r="U220" s="16" t="str">
        <f>IFERROR(__xludf.DUMMYFUNCTION("""COMPUTED_VALUE"""),"Sales Specialist in Istanbul")</f>
        <v>Sales Specialist in Istanbul</v>
      </c>
      <c r="V220" s="16" t="str">
        <f>IFERROR(__xludf.DUMMYFUNCTION("""COMPUTED_VALUE"""),"TBS")</f>
        <v>TBS</v>
      </c>
      <c r="W220" s="16" t="str">
        <f>IFERROR(__xludf.DUMMYFUNCTION("""COMPUTED_VALUE"""),"2023-05-23T15:32:52Z")</f>
        <v>2023-05-23T15:32:52Z</v>
      </c>
      <c r="X220" s="16"/>
      <c r="Y220" s="16"/>
      <c r="Z220" s="16"/>
    </row>
    <row r="221">
      <c r="A221" s="16" t="str">
        <f>IFERROR(__xludf.DUMMYFUNCTION("""COMPUTED_VALUE"""),"5266920_1294209")</f>
        <v>5266920_1294209</v>
      </c>
      <c r="B221" s="16" t="str">
        <f>IFERROR(__xludf.DUMMYFUNCTION("""COMPUTED_VALUE"""),"Deniz Demirtaş")</f>
        <v>Deniz Demirtaş</v>
      </c>
      <c r="C221" s="16" t="str">
        <f>IFERROR(__xludf.DUMMYFUNCTION("""COMPUTED_VALUE"""),"approved")</f>
        <v>approved</v>
      </c>
      <c r="D221" s="16" t="str">
        <f>IFERROR(__xludf.DUMMYFUNCTION("""COMPUTED_VALUE"""),"No")</f>
        <v>No</v>
      </c>
      <c r="E221" s="16" t="str">
        <f>IFERROR(__xludf.DUMMYFUNCTION("""COMPUTED_VALUE"""),"p_063c56023c07618ba98e6492782f6125bdcabaaa@inbound.aiesec.org")</f>
        <v>p_063c56023c07618ba98e6492782f6125bdcabaaa@inbound.aiesec.org</v>
      </c>
      <c r="F221" s="16">
        <f>IFERROR(__xludf.DUMMYFUNCTION("""COMPUTED_VALUE"""),5.319167313E9)</f>
        <v>5319167313</v>
      </c>
      <c r="G221" s="16" t="str">
        <f>IFERROR(__xludf.DUMMYFUNCTION("""COMPUTED_VALUE"""),"Turkey")</f>
        <v>Turkey</v>
      </c>
      <c r="H221" s="16" t="str">
        <f>IFERROR(__xludf.DUMMYFUNCTION("""COMPUTED_VALUE"""),"ISTANBUL")</f>
        <v>ISTANBUL</v>
      </c>
      <c r="I221" s="16" t="str">
        <f>IFERROR(__xludf.DUMMYFUNCTION("""COMPUTED_VALUE"""),"Moldova")</f>
        <v>Moldova</v>
      </c>
      <c r="J221" s="16" t="str">
        <f>IFERROR(__xludf.DUMMYFUNCTION("""COMPUTED_VALUE"""),"CHISINAU")</f>
        <v>CHISINAU</v>
      </c>
      <c r="K221" s="17" t="str">
        <f>IFERROR(__xludf.DUMMYFUNCTION("""COMPUTED_VALUE"""),"https://expa.aiesec.org/opportunities/1294209")</f>
        <v>https://expa.aiesec.org/opportunities/1294209</v>
      </c>
      <c r="L221" s="16" t="str">
        <f>IFERROR(__xludf.DUMMYFUNCTION("""COMPUTED_VALUE"""),"GV")</f>
        <v>GV</v>
      </c>
      <c r="M221" s="16" t="str">
        <f>IFERROR(__xludf.DUMMYFUNCTION("""COMPUTED_VALUE"""),"short")</f>
        <v>short</v>
      </c>
      <c r="N221" s="18">
        <f>IFERROR(__xludf.DUMMYFUNCTION("""COMPUTED_VALUE"""),45079.0)</f>
        <v>45079</v>
      </c>
      <c r="O221" s="18">
        <f>IFERROR(__xludf.DUMMYFUNCTION("""COMPUTED_VALUE"""),45159.0)</f>
        <v>45159</v>
      </c>
      <c r="P221" s="18">
        <f>IFERROR(__xludf.DUMMYFUNCTION("""COMPUTED_VALUE"""),45201.0)</f>
        <v>45201</v>
      </c>
      <c r="Q221" s="18"/>
      <c r="R221" s="18"/>
      <c r="S221" s="16"/>
      <c r="T221" s="16"/>
      <c r="U221" s="16" t="str">
        <f>IFERROR(__xludf.DUMMYFUNCTION("""COMPUTED_VALUE"""),"On The Map")</f>
        <v>On The Map</v>
      </c>
      <c r="V221" s="16" t="str">
        <f>IFERROR(__xludf.DUMMYFUNCTION("""COMPUTED_VALUE"""),"ISTANBUL - BEYOGLU")</f>
        <v>ISTANBUL - BEYOGLU</v>
      </c>
      <c r="W221" s="16" t="str">
        <f>IFERROR(__xludf.DUMMYFUNCTION("""COMPUTED_VALUE"""),"2023-05-26T09:44:28Z")</f>
        <v>2023-05-26T09:44:28Z</v>
      </c>
      <c r="X221" s="16"/>
      <c r="Y221" s="16"/>
      <c r="Z221" s="16"/>
    </row>
    <row r="222">
      <c r="A222" s="16" t="str">
        <f>IFERROR(__xludf.DUMMYFUNCTION("""COMPUTED_VALUE"""),"5270540_1285687")</f>
        <v>5270540_1285687</v>
      </c>
      <c r="B222" s="16" t="str">
        <f>IFERROR(__xludf.DUMMYFUNCTION("""COMPUTED_VALUE"""),"Nour Ben slimen")</f>
        <v>Nour Ben slimen</v>
      </c>
      <c r="C222" s="16" t="str">
        <f>IFERROR(__xludf.DUMMYFUNCTION("""COMPUTED_VALUE"""),"completed")</f>
        <v>completed</v>
      </c>
      <c r="D222" s="16" t="str">
        <f>IFERROR(__xludf.DUMMYFUNCTION("""COMPUTED_VALUE"""),"No")</f>
        <v>No</v>
      </c>
      <c r="E222" s="16" t="str">
        <f>IFERROR(__xludf.DUMMYFUNCTION("""COMPUTED_VALUE"""),"p_6f50029fc9dd2ddc8ddbef4faaf902317573f9d5@inbound.aiesec.org")</f>
        <v>p_6f50029fc9dd2ddc8ddbef4faaf902317573f9d5@inbound.aiesec.org</v>
      </c>
      <c r="F222" s="16"/>
      <c r="G222" s="16" t="str">
        <f>IFERROR(__xludf.DUMMYFUNCTION("""COMPUTED_VALUE"""),"Tunisia")</f>
        <v>Tunisia</v>
      </c>
      <c r="H222" s="16" t="str">
        <f>IFERROR(__xludf.DUMMYFUNCTION("""COMPUTED_VALUE"""),"Carthage")</f>
        <v>Carthage</v>
      </c>
      <c r="I222" s="16" t="str">
        <f>IFERROR(__xludf.DUMMYFUNCTION("""COMPUTED_VALUE"""),"Turkey")</f>
        <v>Turkey</v>
      </c>
      <c r="J222" s="16" t="str">
        <f>IFERROR(__xludf.DUMMYFUNCTION("""COMPUTED_VALUE"""),"ISTANBUL")</f>
        <v>ISTANBUL</v>
      </c>
      <c r="K222" s="17" t="str">
        <f>IFERROR(__xludf.DUMMYFUNCTION("""COMPUTED_VALUE"""),"https://expa.aiesec.org/opportunities/1285687")</f>
        <v>https://expa.aiesec.org/opportunities/1285687</v>
      </c>
      <c r="L222" s="16" t="str">
        <f>IFERROR(__xludf.DUMMYFUNCTION("""COMPUTED_VALUE"""),"GV")</f>
        <v>GV</v>
      </c>
      <c r="M222" s="16" t="str">
        <f>IFERROR(__xludf.DUMMYFUNCTION("""COMPUTED_VALUE"""),"short")</f>
        <v>short</v>
      </c>
      <c r="N222" s="18">
        <f>IFERROR(__xludf.DUMMYFUNCTION("""COMPUTED_VALUE"""),45080.0)</f>
        <v>45080</v>
      </c>
      <c r="O222" s="18">
        <f>IFERROR(__xludf.DUMMYFUNCTION("""COMPUTED_VALUE"""),45097.0)</f>
        <v>45097</v>
      </c>
      <c r="P222" s="18">
        <f>IFERROR(__xludf.DUMMYFUNCTION("""COMPUTED_VALUE"""),45139.0)</f>
        <v>45139</v>
      </c>
      <c r="Q222" s="18">
        <f>IFERROR(__xludf.DUMMYFUNCTION("""COMPUTED_VALUE"""),45104.0)</f>
        <v>45104</v>
      </c>
      <c r="R222" s="18">
        <f>IFERROR(__xludf.DUMMYFUNCTION("""COMPUTED_VALUE"""),45144.0)</f>
        <v>45144</v>
      </c>
      <c r="S222" s="16"/>
      <c r="T222" s="16"/>
      <c r="U222" s="16" t="str">
        <f>IFERROR(__xludf.DUMMYFUNCTION("""COMPUTED_VALUE"""),"Youth 4 Impact")</f>
        <v>Youth 4 Impact</v>
      </c>
      <c r="V222" s="16" t="str">
        <f>IFERROR(__xludf.DUMMYFUNCTION("""COMPUTED_VALUE"""),"-")</f>
        <v>-</v>
      </c>
      <c r="W222" s="16" t="str">
        <f>IFERROR(__xludf.DUMMYFUNCTION("""COMPUTED_VALUE"""),"2023-06-02T10:50:17Z")</f>
        <v>2023-06-02T10:50:17Z</v>
      </c>
      <c r="X222" s="16"/>
      <c r="Y222" s="16"/>
      <c r="Z222" s="16"/>
    </row>
    <row r="223">
      <c r="A223" s="16" t="str">
        <f>IFERROR(__xludf.DUMMYFUNCTION("""COMPUTED_VALUE"""),"5184864_1294624")</f>
        <v>5184864_1294624</v>
      </c>
      <c r="B223" s="16" t="str">
        <f>IFERROR(__xludf.DUMMYFUNCTION("""COMPUTED_VALUE"""),"Zeynep Akın")</f>
        <v>Zeynep Akın</v>
      </c>
      <c r="C223" s="16" t="str">
        <f>IFERROR(__xludf.DUMMYFUNCTION("""COMPUTED_VALUE"""),"completed")</f>
        <v>completed</v>
      </c>
      <c r="D223" s="16" t="str">
        <f>IFERROR(__xludf.DUMMYFUNCTION("""COMPUTED_VALUE"""),"No")</f>
        <v>No</v>
      </c>
      <c r="E223" s="16" t="str">
        <f>IFERROR(__xludf.DUMMYFUNCTION("""COMPUTED_VALUE"""),"p_be9ce315a1c7fd38425e12db0d12ca7404244aa1@inbound.aiesec.org")</f>
        <v>p_be9ce315a1c7fd38425e12db0d12ca7404244aa1@inbound.aiesec.org</v>
      </c>
      <c r="F223" s="16">
        <f>IFERROR(__xludf.DUMMYFUNCTION("""COMPUTED_VALUE"""),5.428121937E9)</f>
        <v>5428121937</v>
      </c>
      <c r="G223" s="16" t="str">
        <f>IFERROR(__xludf.DUMMYFUNCTION("""COMPUTED_VALUE"""),"Turkey")</f>
        <v>Turkey</v>
      </c>
      <c r="H223" s="16" t="str">
        <f>IFERROR(__xludf.DUMMYFUNCTION("""COMPUTED_VALUE"""),"ISTANBUL")</f>
        <v>ISTANBUL</v>
      </c>
      <c r="I223" s="16" t="str">
        <f>IFERROR(__xludf.DUMMYFUNCTION("""COMPUTED_VALUE"""),"Tunisia")</f>
        <v>Tunisia</v>
      </c>
      <c r="J223" s="16" t="str">
        <f>IFERROR(__xludf.DUMMYFUNCTION("""COMPUTED_VALUE"""),"SFAX")</f>
        <v>SFAX</v>
      </c>
      <c r="K223" s="17" t="str">
        <f>IFERROR(__xludf.DUMMYFUNCTION("""COMPUTED_VALUE"""),"https://expa.aiesec.org/opportunities/1294624")</f>
        <v>https://expa.aiesec.org/opportunities/1294624</v>
      </c>
      <c r="L223" s="16" t="str">
        <f>IFERROR(__xludf.DUMMYFUNCTION("""COMPUTED_VALUE"""),"GV")</f>
        <v>GV</v>
      </c>
      <c r="M223" s="16" t="str">
        <f>IFERROR(__xludf.DUMMYFUNCTION("""COMPUTED_VALUE"""),"short")</f>
        <v>short</v>
      </c>
      <c r="N223" s="18">
        <f>IFERROR(__xludf.DUMMYFUNCTION("""COMPUTED_VALUE"""),45080.0)</f>
        <v>45080</v>
      </c>
      <c r="O223" s="18">
        <f>IFERROR(__xludf.DUMMYFUNCTION("""COMPUTED_VALUE"""),45190.0)</f>
        <v>45190</v>
      </c>
      <c r="P223" s="18">
        <f>IFERROR(__xludf.DUMMYFUNCTION("""COMPUTED_VALUE"""),45232.0)</f>
        <v>45232</v>
      </c>
      <c r="Q223" s="18">
        <f>IFERROR(__xludf.DUMMYFUNCTION("""COMPUTED_VALUE"""),45189.0)</f>
        <v>45189</v>
      </c>
      <c r="R223" s="18">
        <f>IFERROR(__xludf.DUMMYFUNCTION("""COMPUTED_VALUE"""),45232.0)</f>
        <v>45232</v>
      </c>
      <c r="S223" s="16"/>
      <c r="T223" s="16"/>
      <c r="U223" s="16" t="str">
        <f>IFERROR(__xludf.DUMMYFUNCTION("""COMPUTED_VALUE"""),"Fingerprint")</f>
        <v>Fingerprint</v>
      </c>
      <c r="V223" s="16" t="str">
        <f>IFERROR(__xludf.DUMMYFUNCTION("""COMPUTED_VALUE"""),"ISTANBUL - BEYOGLU")</f>
        <v>ISTANBUL - BEYOGLU</v>
      </c>
      <c r="W223" s="16" t="str">
        <f>IFERROR(__xludf.DUMMYFUNCTION("""COMPUTED_VALUE"""),"2023-02-03T13:07:29Z")</f>
        <v>2023-02-03T13:07:29Z</v>
      </c>
      <c r="X223" s="16"/>
      <c r="Y223" s="16"/>
      <c r="Z223" s="16"/>
    </row>
    <row r="224">
      <c r="A224" s="16" t="str">
        <f>IFERROR(__xludf.DUMMYFUNCTION("""COMPUTED_VALUE"""),"5264481_1291413")</f>
        <v>5264481_1291413</v>
      </c>
      <c r="B224" s="16" t="str">
        <f>IFERROR(__xludf.DUMMYFUNCTION("""COMPUTED_VALUE"""),"Giray Üzenli")</f>
        <v>Giray Üzenli</v>
      </c>
      <c r="C224" s="16" t="str">
        <f>IFERROR(__xludf.DUMMYFUNCTION("""COMPUTED_VALUE"""),"approved")</f>
        <v>approved</v>
      </c>
      <c r="D224" s="16" t="str">
        <f>IFERROR(__xludf.DUMMYFUNCTION("""COMPUTED_VALUE"""),"No")</f>
        <v>No</v>
      </c>
      <c r="E224" s="16" t="str">
        <f>IFERROR(__xludf.DUMMYFUNCTION("""COMPUTED_VALUE"""),"p_817c7c54cdac423588d10059063e4d59736ffc39@inbound.aiesec.org")</f>
        <v>p_817c7c54cdac423588d10059063e4d59736ffc39@inbound.aiesec.org</v>
      </c>
      <c r="F224" s="16">
        <f>IFERROR(__xludf.DUMMYFUNCTION("""COMPUTED_VALUE"""),5.337892003E9)</f>
        <v>5337892003</v>
      </c>
      <c r="G224" s="16" t="str">
        <f>IFERROR(__xludf.DUMMYFUNCTION("""COMPUTED_VALUE"""),"Turkey")</f>
        <v>Turkey</v>
      </c>
      <c r="H224" s="16" t="str">
        <f>IFERROR(__xludf.DUMMYFUNCTION("""COMPUTED_VALUE"""),"ISTANBUL")</f>
        <v>ISTANBUL</v>
      </c>
      <c r="I224" s="16" t="str">
        <f>IFERROR(__xludf.DUMMYFUNCTION("""COMPUTED_VALUE"""),"Sri Lanka")</f>
        <v>Sri Lanka</v>
      </c>
      <c r="J224" s="16" t="str">
        <f>IFERROR(__xludf.DUMMYFUNCTION("""COMPUTED_VALUE"""),"KANDY")</f>
        <v>KANDY</v>
      </c>
      <c r="K224" s="17" t="str">
        <f>IFERROR(__xludf.DUMMYFUNCTION("""COMPUTED_VALUE"""),"https://expa.aiesec.org/opportunities/1291413")</f>
        <v>https://expa.aiesec.org/opportunities/1291413</v>
      </c>
      <c r="L224" s="16" t="str">
        <f>IFERROR(__xludf.DUMMYFUNCTION("""COMPUTED_VALUE"""),"GV")</f>
        <v>GV</v>
      </c>
      <c r="M224" s="16" t="str">
        <f>IFERROR(__xludf.DUMMYFUNCTION("""COMPUTED_VALUE"""),"short")</f>
        <v>short</v>
      </c>
      <c r="N224" s="18">
        <f>IFERROR(__xludf.DUMMYFUNCTION("""COMPUTED_VALUE"""),45080.0)</f>
        <v>45080</v>
      </c>
      <c r="O224" s="18">
        <f>IFERROR(__xludf.DUMMYFUNCTION("""COMPUTED_VALUE"""),45108.0)</f>
        <v>45108</v>
      </c>
      <c r="P224" s="18">
        <f>IFERROR(__xludf.DUMMYFUNCTION("""COMPUTED_VALUE"""),45150.0)</f>
        <v>45150</v>
      </c>
      <c r="Q224" s="18"/>
      <c r="R224" s="18"/>
      <c r="S224" s="16"/>
      <c r="T224" s="16"/>
      <c r="U224" s="16" t="str">
        <f>IFERROR(__xludf.DUMMYFUNCTION("""COMPUTED_VALUE"""),"Global Classroom")</f>
        <v>Global Classroom</v>
      </c>
      <c r="V224" s="16" t="str">
        <f>IFERROR(__xludf.DUMMYFUNCTION("""COMPUTED_VALUE"""),"ISTANBUL - BEYOGLU")</f>
        <v>ISTANBUL - BEYOGLU</v>
      </c>
      <c r="W224" s="16" t="str">
        <f>IFERROR(__xludf.DUMMYFUNCTION("""COMPUTED_VALUE"""),"2023-05-21T14:16:17Z")</f>
        <v>2023-05-21T14:16:17Z</v>
      </c>
      <c r="X224" s="16"/>
      <c r="Y224" s="16"/>
      <c r="Z224" s="16"/>
    </row>
    <row r="225">
      <c r="A225" s="16" t="str">
        <f>IFERROR(__xludf.DUMMYFUNCTION("""COMPUTED_VALUE"""),"5053443_1295406")</f>
        <v>5053443_1295406</v>
      </c>
      <c r="B225" s="16" t="str">
        <f>IFERROR(__xludf.DUMMYFUNCTION("""COMPUTED_VALUE"""),"Abdul Rehman Khan")</f>
        <v>Abdul Rehman Khan</v>
      </c>
      <c r="C225" s="16" t="str">
        <f>IFERROR(__xludf.DUMMYFUNCTION("""COMPUTED_VALUE"""),"approved")</f>
        <v>approved</v>
      </c>
      <c r="D225" s="16" t="str">
        <f>IFERROR(__xludf.DUMMYFUNCTION("""COMPUTED_VALUE"""),"No")</f>
        <v>No</v>
      </c>
      <c r="E225" s="16" t="str">
        <f>IFERROR(__xludf.DUMMYFUNCTION("""COMPUTED_VALUE"""),"p_ccf7684ebfad4946ead68dc9d5c6531e87675f7b@inbound.aiesec.org")</f>
        <v>p_ccf7684ebfad4946ead68dc9d5c6531e87675f7b@inbound.aiesec.org</v>
      </c>
      <c r="F225" s="16">
        <f>IFERROR(__xludf.DUMMYFUNCTION("""COMPUTED_VALUE"""),5.376035843E9)</f>
        <v>5376035843</v>
      </c>
      <c r="G225" s="16" t="str">
        <f>IFERROR(__xludf.DUMMYFUNCTION("""COMPUTED_VALUE"""),"Pakistan")</f>
        <v>Pakistan</v>
      </c>
      <c r="H225" s="16" t="str">
        <f>IFERROR(__xludf.DUMMYFUNCTION("""COMPUTED_VALUE"""),"Karachi")</f>
        <v>Karachi</v>
      </c>
      <c r="I225" s="16" t="str">
        <f>IFERROR(__xludf.DUMMYFUNCTION("""COMPUTED_VALUE"""),"Turkey")</f>
        <v>Turkey</v>
      </c>
      <c r="J225" s="16" t="str">
        <f>IFERROR(__xludf.DUMMYFUNCTION("""COMPUTED_VALUE"""),"ISTANBUL")</f>
        <v>ISTANBUL</v>
      </c>
      <c r="K225" s="17" t="str">
        <f>IFERROR(__xludf.DUMMYFUNCTION("""COMPUTED_VALUE"""),"https://expa.aiesec.org/opportunities/1295406")</f>
        <v>https://expa.aiesec.org/opportunities/1295406</v>
      </c>
      <c r="L225" s="16" t="str">
        <f>IFERROR(__xludf.DUMMYFUNCTION("""COMPUTED_VALUE"""),"GTa")</f>
        <v>GTa</v>
      </c>
      <c r="M225" s="16" t="str">
        <f>IFERROR(__xludf.DUMMYFUNCTION("""COMPUTED_VALUE"""),"short")</f>
        <v>short</v>
      </c>
      <c r="N225" s="18">
        <f>IFERROR(__xludf.DUMMYFUNCTION("""COMPUTED_VALUE"""),45080.0)</f>
        <v>45080</v>
      </c>
      <c r="O225" s="18">
        <f>IFERROR(__xludf.DUMMYFUNCTION("""COMPUTED_VALUE"""),45117.0)</f>
        <v>45117</v>
      </c>
      <c r="P225" s="18">
        <f>IFERROR(__xludf.DUMMYFUNCTION("""COMPUTED_VALUE"""),45200.0)</f>
        <v>45200</v>
      </c>
      <c r="Q225" s="18"/>
      <c r="R225" s="18"/>
      <c r="S225" s="16"/>
      <c r="T225" s="16" t="str">
        <f>IFERROR(__xludf.DUMMYFUNCTION("""COMPUTED_VALUE"""),"Business Development")</f>
        <v>Business Development</v>
      </c>
      <c r="U225" s="16" t="str">
        <f>IFERROR(__xludf.DUMMYFUNCTION("""COMPUTED_VALUE"""),"Sales and Business Intelligence Specialist in Istanbul")</f>
        <v>Sales and Business Intelligence Specialist in Istanbul</v>
      </c>
      <c r="V225" s="16" t="str">
        <f>IFERROR(__xludf.DUMMYFUNCTION("""COMPUTED_VALUE"""),"Karachi - Bahria University ")</f>
        <v>Karachi - Bahria University </v>
      </c>
      <c r="W225" s="16" t="str">
        <f>IFERROR(__xludf.DUMMYFUNCTION("""COMPUTED_VALUE"""),"2022-05-09T10:04:32Z")</f>
        <v>2022-05-09T10:04:32Z</v>
      </c>
      <c r="X225" s="16"/>
      <c r="Y225" s="16"/>
      <c r="Z225" s="16"/>
    </row>
    <row r="226">
      <c r="A226" s="16" t="str">
        <f>IFERROR(__xludf.DUMMYFUNCTION("""COMPUTED_VALUE"""),"5250879_1291572")</f>
        <v>5250879_1291572</v>
      </c>
      <c r="B226" s="16" t="str">
        <f>IFERROR(__xludf.DUMMYFUNCTION("""COMPUTED_VALUE"""),"Feyza Hanım Yılmaz")</f>
        <v>Feyza Hanım Yılmaz</v>
      </c>
      <c r="C226" s="16" t="str">
        <f>IFERROR(__xludf.DUMMYFUNCTION("""COMPUTED_VALUE"""),"completed")</f>
        <v>completed</v>
      </c>
      <c r="D226" s="16" t="str">
        <f>IFERROR(__xludf.DUMMYFUNCTION("""COMPUTED_VALUE"""),"No")</f>
        <v>No</v>
      </c>
      <c r="E226" s="16" t="str">
        <f>IFERROR(__xludf.DUMMYFUNCTION("""COMPUTED_VALUE"""),"p_d19bc8eb3d5f66be9d0bae2a13d3ece1c33eddf3@inbound.aiesec.org")</f>
        <v>p_d19bc8eb3d5f66be9d0bae2a13d3ece1c33eddf3@inbound.aiesec.org</v>
      </c>
      <c r="F226" s="16"/>
      <c r="G226" s="16" t="str">
        <f>IFERROR(__xludf.DUMMYFUNCTION("""COMPUTED_VALUE"""),"Turkey")</f>
        <v>Turkey</v>
      </c>
      <c r="H226" s="16" t="str">
        <f>IFERROR(__xludf.DUMMYFUNCTION("""COMPUTED_VALUE"""),"ISTANBUL")</f>
        <v>ISTANBUL</v>
      </c>
      <c r="I226" s="16" t="str">
        <f>IFERROR(__xludf.DUMMYFUNCTION("""COMPUTED_VALUE"""),"Romania")</f>
        <v>Romania</v>
      </c>
      <c r="J226" s="16" t="str">
        <f>IFERROR(__xludf.DUMMYFUNCTION("""COMPUTED_VALUE"""),"BUCURESTI")</f>
        <v>BUCURESTI</v>
      </c>
      <c r="K226" s="17" t="str">
        <f>IFERROR(__xludf.DUMMYFUNCTION("""COMPUTED_VALUE"""),"https://expa.aiesec.org/opportunities/1291572")</f>
        <v>https://expa.aiesec.org/opportunities/1291572</v>
      </c>
      <c r="L226" s="16" t="str">
        <f>IFERROR(__xludf.DUMMYFUNCTION("""COMPUTED_VALUE"""),"GV")</f>
        <v>GV</v>
      </c>
      <c r="M226" s="16" t="str">
        <f>IFERROR(__xludf.DUMMYFUNCTION("""COMPUTED_VALUE"""),"short")</f>
        <v>short</v>
      </c>
      <c r="N226" s="18">
        <f>IFERROR(__xludf.DUMMYFUNCTION("""COMPUTED_VALUE"""),45081.0)</f>
        <v>45081</v>
      </c>
      <c r="O226" s="18">
        <f>IFERROR(__xludf.DUMMYFUNCTION("""COMPUTED_VALUE"""),45096.0)</f>
        <v>45096</v>
      </c>
      <c r="P226" s="18">
        <f>IFERROR(__xludf.DUMMYFUNCTION("""COMPUTED_VALUE"""),45138.0)</f>
        <v>45138</v>
      </c>
      <c r="Q226" s="18">
        <f>IFERROR(__xludf.DUMMYFUNCTION("""COMPUTED_VALUE"""),45096.0)</f>
        <v>45096</v>
      </c>
      <c r="R226" s="18">
        <f>IFERROR(__xludf.DUMMYFUNCTION("""COMPUTED_VALUE"""),45138.0)</f>
        <v>45138</v>
      </c>
      <c r="S226" s="16"/>
      <c r="T226" s="16"/>
      <c r="U226" s="16" t="str">
        <f>IFERROR(__xludf.DUMMYFUNCTION("""COMPUTED_VALUE"""),"Green Leaders")</f>
        <v>Green Leaders</v>
      </c>
      <c r="V226" s="16" t="str">
        <f>IFERROR(__xludf.DUMMYFUNCTION("""COMPUTED_VALUE"""),"-")</f>
        <v>-</v>
      </c>
      <c r="W226" s="16" t="str">
        <f>IFERROR(__xludf.DUMMYFUNCTION("""COMPUTED_VALUE"""),"2023-04-27T15:10:39Z")</f>
        <v>2023-04-27T15:10:39Z</v>
      </c>
      <c r="X226" s="16"/>
      <c r="Y226" s="16"/>
      <c r="Z226" s="16"/>
    </row>
    <row r="227">
      <c r="A227" s="16" t="str">
        <f>IFERROR(__xludf.DUMMYFUNCTION("""COMPUTED_VALUE"""),"5260418_1285687")</f>
        <v>5260418_1285687</v>
      </c>
      <c r="B227" s="16" t="str">
        <f>IFERROR(__xludf.DUMMYFUNCTION("""COMPUTED_VALUE"""),"Diana Ashimova")</f>
        <v>Diana Ashimova</v>
      </c>
      <c r="C227" s="16" t="str">
        <f>IFERROR(__xludf.DUMMYFUNCTION("""COMPUTED_VALUE"""),"approved")</f>
        <v>approved</v>
      </c>
      <c r="D227" s="16" t="str">
        <f>IFERROR(__xludf.DUMMYFUNCTION("""COMPUTED_VALUE"""),"No")</f>
        <v>No</v>
      </c>
      <c r="E227" s="16" t="str">
        <f>IFERROR(__xludf.DUMMYFUNCTION("""COMPUTED_VALUE"""),"p_9dd796f30bb722bba7c4a0c2453017683b537aa0@inbound.aiesec.org")</f>
        <v>p_9dd796f30bb722bba7c4a0c2453017683b537aa0@inbound.aiesec.org</v>
      </c>
      <c r="F227" s="16">
        <f>IFERROR(__xludf.DUMMYFUNCTION("""COMPUTED_VALUE"""),7.751093556E9)</f>
        <v>7751093556</v>
      </c>
      <c r="G227" s="16" t="str">
        <f>IFERROR(__xludf.DUMMYFUNCTION("""COMPUTED_VALUE"""),"Kazakhstan")</f>
        <v>Kazakhstan</v>
      </c>
      <c r="H227" s="16" t="str">
        <f>IFERROR(__xludf.DUMMYFUNCTION("""COMPUTED_VALUE"""),"Astana")</f>
        <v>Astana</v>
      </c>
      <c r="I227" s="16" t="str">
        <f>IFERROR(__xludf.DUMMYFUNCTION("""COMPUTED_VALUE"""),"Turkey")</f>
        <v>Turkey</v>
      </c>
      <c r="J227" s="16" t="str">
        <f>IFERROR(__xludf.DUMMYFUNCTION("""COMPUTED_VALUE"""),"ISTANBUL")</f>
        <v>ISTANBUL</v>
      </c>
      <c r="K227" s="17" t="str">
        <f>IFERROR(__xludf.DUMMYFUNCTION("""COMPUTED_VALUE"""),"https://expa.aiesec.org/opportunities/1285687")</f>
        <v>https://expa.aiesec.org/opportunities/1285687</v>
      </c>
      <c r="L227" s="16" t="str">
        <f>IFERROR(__xludf.DUMMYFUNCTION("""COMPUTED_VALUE"""),"GV")</f>
        <v>GV</v>
      </c>
      <c r="M227" s="16" t="str">
        <f>IFERROR(__xludf.DUMMYFUNCTION("""COMPUTED_VALUE"""),"short")</f>
        <v>short</v>
      </c>
      <c r="N227" s="18">
        <f>IFERROR(__xludf.DUMMYFUNCTION("""COMPUTED_VALUE"""),45081.0)</f>
        <v>45081</v>
      </c>
      <c r="O227" s="18">
        <f>IFERROR(__xludf.DUMMYFUNCTION("""COMPUTED_VALUE"""),45097.0)</f>
        <v>45097</v>
      </c>
      <c r="P227" s="18">
        <f>IFERROR(__xludf.DUMMYFUNCTION("""COMPUTED_VALUE"""),45139.0)</f>
        <v>45139</v>
      </c>
      <c r="Q227" s="18"/>
      <c r="R227" s="18"/>
      <c r="S227" s="16"/>
      <c r="T227" s="16"/>
      <c r="U227" s="16" t="str">
        <f>IFERROR(__xludf.DUMMYFUNCTION("""COMPUTED_VALUE"""),"Youth 4 Impact")</f>
        <v>Youth 4 Impact</v>
      </c>
      <c r="V227" s="16" t="str">
        <f>IFERROR(__xludf.DUMMYFUNCTION("""COMPUTED_VALUE"""),"Astana")</f>
        <v>Astana</v>
      </c>
      <c r="W227" s="16" t="str">
        <f>IFERROR(__xludf.DUMMYFUNCTION("""COMPUTED_VALUE"""),"2023-05-13T10:31:07Z")</f>
        <v>2023-05-13T10:31:07Z</v>
      </c>
      <c r="X227" s="16"/>
      <c r="Y227" s="16"/>
      <c r="Z227" s="16"/>
    </row>
    <row r="228">
      <c r="A228" s="16" t="str">
        <f>IFERROR(__xludf.DUMMYFUNCTION("""COMPUTED_VALUE"""),"5264430_1292571")</f>
        <v>5264430_1292571</v>
      </c>
      <c r="B228" s="16" t="str">
        <f>IFERROR(__xludf.DUMMYFUNCTION("""COMPUTED_VALUE"""),"Nilüfer Beyza Köpüklü")</f>
        <v>Nilüfer Beyza Köpüklü</v>
      </c>
      <c r="C228" s="16" t="str">
        <f>IFERROR(__xludf.DUMMYFUNCTION("""COMPUTED_VALUE"""),"finished")</f>
        <v>finished</v>
      </c>
      <c r="D228" s="16" t="str">
        <f>IFERROR(__xludf.DUMMYFUNCTION("""COMPUTED_VALUE"""),"No")</f>
        <v>No</v>
      </c>
      <c r="E228" s="16" t="str">
        <f>IFERROR(__xludf.DUMMYFUNCTION("""COMPUTED_VALUE"""),"p_7c5f53e22cd6a29177f10c8d66ba9ca6ad66d32e@inbound.aiesec.org")</f>
        <v>p_7c5f53e22cd6a29177f10c8d66ba9ca6ad66d32e@inbound.aiesec.org</v>
      </c>
      <c r="F228" s="16"/>
      <c r="G228" s="16" t="str">
        <f>IFERROR(__xludf.DUMMYFUNCTION("""COMPUTED_VALUE"""),"Turkey")</f>
        <v>Turkey</v>
      </c>
      <c r="H228" s="16" t="str">
        <f>IFERROR(__xludf.DUMMYFUNCTION("""COMPUTED_VALUE"""),"ISTANBUL")</f>
        <v>ISTANBUL</v>
      </c>
      <c r="I228" s="16" t="str">
        <f>IFERROR(__xludf.DUMMYFUNCTION("""COMPUTED_VALUE"""),"Lithuania")</f>
        <v>Lithuania</v>
      </c>
      <c r="J228" s="16" t="str">
        <f>IFERROR(__xludf.DUMMYFUNCTION("""COMPUTED_VALUE"""),"VILNIUS")</f>
        <v>VILNIUS</v>
      </c>
      <c r="K228" s="17" t="str">
        <f>IFERROR(__xludf.DUMMYFUNCTION("""COMPUTED_VALUE"""),"https://expa.aiesec.org/opportunities/1292571")</f>
        <v>https://expa.aiesec.org/opportunities/1292571</v>
      </c>
      <c r="L228" s="16" t="str">
        <f>IFERROR(__xludf.DUMMYFUNCTION("""COMPUTED_VALUE"""),"GV")</f>
        <v>GV</v>
      </c>
      <c r="M228" s="16" t="str">
        <f>IFERROR(__xludf.DUMMYFUNCTION("""COMPUTED_VALUE"""),"short")</f>
        <v>short</v>
      </c>
      <c r="N228" s="18">
        <f>IFERROR(__xludf.DUMMYFUNCTION("""COMPUTED_VALUE"""),45081.0)</f>
        <v>45081</v>
      </c>
      <c r="O228" s="18">
        <f>IFERROR(__xludf.DUMMYFUNCTION("""COMPUTED_VALUE"""),45094.0)</f>
        <v>45094</v>
      </c>
      <c r="P228" s="18">
        <f>IFERROR(__xludf.DUMMYFUNCTION("""COMPUTED_VALUE"""),45136.0)</f>
        <v>45136</v>
      </c>
      <c r="Q228" s="18">
        <f>IFERROR(__xludf.DUMMYFUNCTION("""COMPUTED_VALUE"""),45094.0)</f>
        <v>45094</v>
      </c>
      <c r="R228" s="18">
        <f>IFERROR(__xludf.DUMMYFUNCTION("""COMPUTED_VALUE"""),45136.0)</f>
        <v>45136</v>
      </c>
      <c r="S228" s="16"/>
      <c r="T228" s="16"/>
      <c r="U228" s="16" t="str">
        <f>IFERROR(__xludf.DUMMYFUNCTION("""COMPUTED_VALUE"""),"Explorer")</f>
        <v>Explorer</v>
      </c>
      <c r="V228" s="16" t="str">
        <f>IFERROR(__xludf.DUMMYFUNCTION("""COMPUTED_VALUE"""),"-")</f>
        <v>-</v>
      </c>
      <c r="W228" s="16" t="str">
        <f>IFERROR(__xludf.DUMMYFUNCTION("""COMPUTED_VALUE"""),"2023-05-21T11:27:15Z")</f>
        <v>2023-05-21T11:27:15Z</v>
      </c>
      <c r="X228" s="16"/>
      <c r="Y228" s="16"/>
      <c r="Z228" s="16"/>
    </row>
    <row r="229">
      <c r="A229" s="16" t="str">
        <f>IFERROR(__xludf.DUMMYFUNCTION("""COMPUTED_VALUE"""),"5271287_1293477")</f>
        <v>5271287_1293477</v>
      </c>
      <c r="B229" s="16" t="str">
        <f>IFERROR(__xludf.DUMMYFUNCTION("""COMPUTED_VALUE"""),"Merve Sude Bayraktepe")</f>
        <v>Merve Sude Bayraktepe</v>
      </c>
      <c r="C229" s="16" t="str">
        <f>IFERROR(__xludf.DUMMYFUNCTION("""COMPUTED_VALUE"""),"finished")</f>
        <v>finished</v>
      </c>
      <c r="D229" s="16" t="str">
        <f>IFERROR(__xludf.DUMMYFUNCTION("""COMPUTED_VALUE"""),"No")</f>
        <v>No</v>
      </c>
      <c r="E229" s="16" t="str">
        <f>IFERROR(__xludf.DUMMYFUNCTION("""COMPUTED_VALUE"""),"p_3c3338ba113c832251cfecd2248b4a9b516a28f1@inbound.aiesec.org")</f>
        <v>p_3c3338ba113c832251cfecd2248b4a9b516a28f1@inbound.aiesec.org</v>
      </c>
      <c r="F229" s="16">
        <f>IFERROR(__xludf.DUMMYFUNCTION("""COMPUTED_VALUE"""),5.15984289E8)</f>
        <v>515984289</v>
      </c>
      <c r="G229" s="16" t="str">
        <f>IFERROR(__xludf.DUMMYFUNCTION("""COMPUTED_VALUE"""),"Turkey")</f>
        <v>Turkey</v>
      </c>
      <c r="H229" s="16" t="str">
        <f>IFERROR(__xludf.DUMMYFUNCTION("""COMPUTED_VALUE"""),"ISTANBUL")</f>
        <v>ISTANBUL</v>
      </c>
      <c r="I229" s="16" t="str">
        <f>IFERROR(__xludf.DUMMYFUNCTION("""COMPUTED_VALUE"""),"Egypt")</f>
        <v>Egypt</v>
      </c>
      <c r="J229" s="16" t="str">
        <f>IFERROR(__xludf.DUMMYFUNCTION("""COMPUTED_VALUE"""),"GUC")</f>
        <v>GUC</v>
      </c>
      <c r="K229" s="17" t="str">
        <f>IFERROR(__xludf.DUMMYFUNCTION("""COMPUTED_VALUE"""),"https://expa.aiesec.org/opportunities/1293477")</f>
        <v>https://expa.aiesec.org/opportunities/1293477</v>
      </c>
      <c r="L229" s="16" t="str">
        <f>IFERROR(__xludf.DUMMYFUNCTION("""COMPUTED_VALUE"""),"GV")</f>
        <v>GV</v>
      </c>
      <c r="M229" s="16" t="str">
        <f>IFERROR(__xludf.DUMMYFUNCTION("""COMPUTED_VALUE"""),"short")</f>
        <v>short</v>
      </c>
      <c r="N229" s="18">
        <f>IFERROR(__xludf.DUMMYFUNCTION("""COMPUTED_VALUE"""),45082.0)</f>
        <v>45082</v>
      </c>
      <c r="O229" s="18">
        <f>IFERROR(__xludf.DUMMYFUNCTION("""COMPUTED_VALUE"""),45116.0)</f>
        <v>45116</v>
      </c>
      <c r="P229" s="18">
        <f>IFERROR(__xludf.DUMMYFUNCTION("""COMPUTED_VALUE"""),45158.0)</f>
        <v>45158</v>
      </c>
      <c r="Q229" s="18">
        <f>IFERROR(__xludf.DUMMYFUNCTION("""COMPUTED_VALUE"""),45118.0)</f>
        <v>45118</v>
      </c>
      <c r="R229" s="18">
        <f>IFERROR(__xludf.DUMMYFUNCTION("""COMPUTED_VALUE"""),45158.0)</f>
        <v>45158</v>
      </c>
      <c r="S229" s="16"/>
      <c r="T229" s="16"/>
      <c r="U229" s="16" t="str">
        <f>IFERROR(__xludf.DUMMYFUNCTION("""COMPUTED_VALUE"""),"Raise Your Voice")</f>
        <v>Raise Your Voice</v>
      </c>
      <c r="V229" s="16" t="str">
        <f>IFERROR(__xludf.DUMMYFUNCTION("""COMPUTED_VALUE"""),"ISTANBUL - BEYOGLU")</f>
        <v>ISTANBUL - BEYOGLU</v>
      </c>
      <c r="W229" s="16" t="str">
        <f>IFERROR(__xludf.DUMMYFUNCTION("""COMPUTED_VALUE"""),"2023-06-04T12:15:13Z")</f>
        <v>2023-06-04T12:15:13Z</v>
      </c>
      <c r="X229" s="16"/>
      <c r="Y229" s="16"/>
      <c r="Z229" s="16"/>
    </row>
    <row r="230">
      <c r="A230" s="16" t="str">
        <f>IFERROR(__xludf.DUMMYFUNCTION("""COMPUTED_VALUE"""),"5270718_1295811")</f>
        <v>5270718_1295811</v>
      </c>
      <c r="B230" s="16" t="str">
        <f>IFERROR(__xludf.DUMMYFUNCTION("""COMPUTED_VALUE"""),"Edanur Gökten")</f>
        <v>Edanur Gökten</v>
      </c>
      <c r="C230" s="16" t="str">
        <f>IFERROR(__xludf.DUMMYFUNCTION("""COMPUTED_VALUE"""),"completed")</f>
        <v>completed</v>
      </c>
      <c r="D230" s="16" t="str">
        <f>IFERROR(__xludf.DUMMYFUNCTION("""COMPUTED_VALUE"""),"No")</f>
        <v>No</v>
      </c>
      <c r="E230" s="16" t="str">
        <f>IFERROR(__xludf.DUMMYFUNCTION("""COMPUTED_VALUE"""),"p_b0377a33ae48604203d6ac57467fcb679f6e8537@inbound.aiesec.org")</f>
        <v>p_b0377a33ae48604203d6ac57467fcb679f6e8537@inbound.aiesec.org</v>
      </c>
      <c r="F230" s="16">
        <f>IFERROR(__xludf.DUMMYFUNCTION("""COMPUTED_VALUE"""),5.51106876E9)</f>
        <v>5511068760</v>
      </c>
      <c r="G230" s="16" t="str">
        <f>IFERROR(__xludf.DUMMYFUNCTION("""COMPUTED_VALUE"""),"Turkey")</f>
        <v>Turkey</v>
      </c>
      <c r="H230" s="16" t="str">
        <f>IFERROR(__xludf.DUMMYFUNCTION("""COMPUTED_VALUE"""),"ISTANBUL")</f>
        <v>ISTANBUL</v>
      </c>
      <c r="I230" s="16" t="str">
        <f>IFERROR(__xludf.DUMMYFUNCTION("""COMPUTED_VALUE"""),"Egypt")</f>
        <v>Egypt</v>
      </c>
      <c r="J230" s="16" t="str">
        <f>IFERROR(__xludf.DUMMYFUNCTION("""COMPUTED_VALUE"""),"Menofia")</f>
        <v>Menofia</v>
      </c>
      <c r="K230" s="17" t="str">
        <f>IFERROR(__xludf.DUMMYFUNCTION("""COMPUTED_VALUE"""),"https://expa.aiesec.org/opportunities/1295811")</f>
        <v>https://expa.aiesec.org/opportunities/1295811</v>
      </c>
      <c r="L230" s="16" t="str">
        <f>IFERROR(__xludf.DUMMYFUNCTION("""COMPUTED_VALUE"""),"GTa")</f>
        <v>GTa</v>
      </c>
      <c r="M230" s="16" t="str">
        <f>IFERROR(__xludf.DUMMYFUNCTION("""COMPUTED_VALUE"""),"short")</f>
        <v>short</v>
      </c>
      <c r="N230" s="18">
        <f>IFERROR(__xludf.DUMMYFUNCTION("""COMPUTED_VALUE"""),45082.0)</f>
        <v>45082</v>
      </c>
      <c r="O230" s="18">
        <f>IFERROR(__xludf.DUMMYFUNCTION("""COMPUTED_VALUE"""),45093.0)</f>
        <v>45093</v>
      </c>
      <c r="P230" s="18">
        <f>IFERROR(__xludf.DUMMYFUNCTION("""COMPUTED_VALUE"""),45169.0)</f>
        <v>45169</v>
      </c>
      <c r="Q230" s="18">
        <f>IFERROR(__xludf.DUMMYFUNCTION("""COMPUTED_VALUE"""),45093.0)</f>
        <v>45093</v>
      </c>
      <c r="R230" s="18">
        <f>IFERROR(__xludf.DUMMYFUNCTION("""COMPUTED_VALUE"""),45169.0)</f>
        <v>45169</v>
      </c>
      <c r="S230" s="16"/>
      <c r="T230" s="16" t="str">
        <f>IFERROR(__xludf.DUMMYFUNCTION("""COMPUTED_VALUE"""),"Marketing")</f>
        <v>Marketing</v>
      </c>
      <c r="U230" s="16" t="str">
        <f>IFERROR(__xludf.DUMMYFUNCTION("""COMPUTED_VALUE"""),"Digital Markting Internship")</f>
        <v>Digital Markting Internship</v>
      </c>
      <c r="V230" s="16" t="str">
        <f>IFERROR(__xludf.DUMMYFUNCTION("""COMPUTED_VALUE"""),"ISTANBUL - BEYOGLU")</f>
        <v>ISTANBUL - BEYOGLU</v>
      </c>
      <c r="W230" s="16" t="str">
        <f>IFERROR(__xludf.DUMMYFUNCTION("""COMPUTED_VALUE"""),"2023-06-02T16:18:02Z")</f>
        <v>2023-06-02T16:18:02Z</v>
      </c>
      <c r="X230" s="16"/>
      <c r="Y230" s="16"/>
      <c r="Z230" s="16"/>
    </row>
    <row r="231">
      <c r="A231" s="16" t="str">
        <f>IFERROR(__xludf.DUMMYFUNCTION("""COMPUTED_VALUE"""),"4887595_1294209")</f>
        <v>4887595_1294209</v>
      </c>
      <c r="B231" s="16" t="str">
        <f>IFERROR(__xludf.DUMMYFUNCTION("""COMPUTED_VALUE"""),"Sıla Coskun")</f>
        <v>Sıla Coskun</v>
      </c>
      <c r="C231" s="16" t="str">
        <f>IFERROR(__xludf.DUMMYFUNCTION("""COMPUTED_VALUE"""),"completed")</f>
        <v>completed</v>
      </c>
      <c r="D231" s="16" t="str">
        <f>IFERROR(__xludf.DUMMYFUNCTION("""COMPUTED_VALUE"""),"No")</f>
        <v>No</v>
      </c>
      <c r="E231" s="16" t="str">
        <f>IFERROR(__xludf.DUMMYFUNCTION("""COMPUTED_VALUE"""),"p_e4a9a17571ec685a8dca017f9b599f3a0600f837@inbound.aiesec.org")</f>
        <v>p_e4a9a17571ec685a8dca017f9b599f3a0600f837@inbound.aiesec.org</v>
      </c>
      <c r="F231" s="16"/>
      <c r="G231" s="16" t="str">
        <f>IFERROR(__xludf.DUMMYFUNCTION("""COMPUTED_VALUE"""),"Turkey")</f>
        <v>Turkey</v>
      </c>
      <c r="H231" s="16" t="str">
        <f>IFERROR(__xludf.DUMMYFUNCTION("""COMPUTED_VALUE"""),"ISTANBUL")</f>
        <v>ISTANBUL</v>
      </c>
      <c r="I231" s="16" t="str">
        <f>IFERROR(__xludf.DUMMYFUNCTION("""COMPUTED_VALUE"""),"Moldova")</f>
        <v>Moldova</v>
      </c>
      <c r="J231" s="16" t="str">
        <f>IFERROR(__xludf.DUMMYFUNCTION("""COMPUTED_VALUE"""),"CHISINAU")</f>
        <v>CHISINAU</v>
      </c>
      <c r="K231" s="17" t="str">
        <f>IFERROR(__xludf.DUMMYFUNCTION("""COMPUTED_VALUE"""),"https://expa.aiesec.org/opportunities/1294209")</f>
        <v>https://expa.aiesec.org/opportunities/1294209</v>
      </c>
      <c r="L231" s="16" t="str">
        <f>IFERROR(__xludf.DUMMYFUNCTION("""COMPUTED_VALUE"""),"GV")</f>
        <v>GV</v>
      </c>
      <c r="M231" s="16" t="str">
        <f>IFERROR(__xludf.DUMMYFUNCTION("""COMPUTED_VALUE"""),"short")</f>
        <v>short</v>
      </c>
      <c r="N231" s="18">
        <f>IFERROR(__xludf.DUMMYFUNCTION("""COMPUTED_VALUE"""),45083.0)</f>
        <v>45083</v>
      </c>
      <c r="O231" s="18">
        <f>IFERROR(__xludf.DUMMYFUNCTION("""COMPUTED_VALUE"""),45124.0)</f>
        <v>45124</v>
      </c>
      <c r="P231" s="18">
        <f>IFERROR(__xludf.DUMMYFUNCTION("""COMPUTED_VALUE"""),45166.0)</f>
        <v>45166</v>
      </c>
      <c r="Q231" s="18">
        <f>IFERROR(__xludf.DUMMYFUNCTION("""COMPUTED_VALUE"""),45132.0)</f>
        <v>45132</v>
      </c>
      <c r="R231" s="18">
        <f>IFERROR(__xludf.DUMMYFUNCTION("""COMPUTED_VALUE"""),45173.0)</f>
        <v>45173</v>
      </c>
      <c r="S231" s="16"/>
      <c r="T231" s="16"/>
      <c r="U231" s="16" t="str">
        <f>IFERROR(__xludf.DUMMYFUNCTION("""COMPUTED_VALUE"""),"On The Map")</f>
        <v>On The Map</v>
      </c>
      <c r="V231" s="16" t="str">
        <f>IFERROR(__xludf.DUMMYFUNCTION("""COMPUTED_VALUE"""),"-")</f>
        <v>-</v>
      </c>
      <c r="W231" s="16" t="str">
        <f>IFERROR(__xludf.DUMMYFUNCTION("""COMPUTED_VALUE"""),"2022-01-18T11:31:42Z")</f>
        <v>2022-01-18T11:31:42Z</v>
      </c>
      <c r="X231" s="16"/>
      <c r="Y231" s="16"/>
      <c r="Z231" s="16"/>
    </row>
    <row r="232">
      <c r="A232" s="16" t="str">
        <f>IFERROR(__xludf.DUMMYFUNCTION("""COMPUTED_VALUE"""),"5269908_1294486")</f>
        <v>5269908_1294486</v>
      </c>
      <c r="B232" s="16" t="str">
        <f>IFERROR(__xludf.DUMMYFUNCTION("""COMPUTED_VALUE"""),"Hüdanur Keskin")</f>
        <v>Hüdanur Keskin</v>
      </c>
      <c r="C232" s="16" t="str">
        <f>IFERROR(__xludf.DUMMYFUNCTION("""COMPUTED_VALUE"""),"completed")</f>
        <v>completed</v>
      </c>
      <c r="D232" s="16" t="str">
        <f>IFERROR(__xludf.DUMMYFUNCTION("""COMPUTED_VALUE"""),"No")</f>
        <v>No</v>
      </c>
      <c r="E232" s="16" t="str">
        <f>IFERROR(__xludf.DUMMYFUNCTION("""COMPUTED_VALUE"""),"p_feb67850c5cade469ede1d6cb78837f5cd437a11@inbound.aiesec.org")</f>
        <v>p_feb67850c5cade469ede1d6cb78837f5cd437a11@inbound.aiesec.org</v>
      </c>
      <c r="F232" s="16">
        <f>IFERROR(__xludf.DUMMYFUNCTION("""COMPUTED_VALUE"""),5.321308502E9)</f>
        <v>5321308502</v>
      </c>
      <c r="G232" s="16" t="str">
        <f>IFERROR(__xludf.DUMMYFUNCTION("""COMPUTED_VALUE"""),"Turkey")</f>
        <v>Turkey</v>
      </c>
      <c r="H232" s="16" t="str">
        <f>IFERROR(__xludf.DUMMYFUNCTION("""COMPUTED_VALUE"""),"ISTANBUL")</f>
        <v>ISTANBUL</v>
      </c>
      <c r="I232" s="16" t="str">
        <f>IFERROR(__xludf.DUMMYFUNCTION("""COMPUTED_VALUE"""),"Egypt")</f>
        <v>Egypt</v>
      </c>
      <c r="J232" s="16" t="str">
        <f>IFERROR(__xludf.DUMMYFUNCTION("""COMPUTED_VALUE"""),"Ain Shams University")</f>
        <v>Ain Shams University</v>
      </c>
      <c r="K232" s="17" t="str">
        <f>IFERROR(__xludf.DUMMYFUNCTION("""COMPUTED_VALUE"""),"https://expa.aiesec.org/opportunities/1294486")</f>
        <v>https://expa.aiesec.org/opportunities/1294486</v>
      </c>
      <c r="L232" s="16" t="str">
        <f>IFERROR(__xludf.DUMMYFUNCTION("""COMPUTED_VALUE"""),"GV")</f>
        <v>GV</v>
      </c>
      <c r="M232" s="16" t="str">
        <f>IFERROR(__xludf.DUMMYFUNCTION("""COMPUTED_VALUE"""),"short")</f>
        <v>short</v>
      </c>
      <c r="N232" s="18">
        <f>IFERROR(__xludf.DUMMYFUNCTION("""COMPUTED_VALUE"""),45084.0)</f>
        <v>45084</v>
      </c>
      <c r="O232" s="18">
        <f>IFERROR(__xludf.DUMMYFUNCTION("""COMPUTED_VALUE"""),45124.0)</f>
        <v>45124</v>
      </c>
      <c r="P232" s="18">
        <f>IFERROR(__xludf.DUMMYFUNCTION("""COMPUTED_VALUE"""),45166.0)</f>
        <v>45166</v>
      </c>
      <c r="Q232" s="18">
        <f>IFERROR(__xludf.DUMMYFUNCTION("""COMPUTED_VALUE"""),45124.0)</f>
        <v>45124</v>
      </c>
      <c r="R232" s="18">
        <f>IFERROR(__xludf.DUMMYFUNCTION("""COMPUTED_VALUE"""),45168.0)</f>
        <v>45168</v>
      </c>
      <c r="S232" s="16"/>
      <c r="T232" s="16"/>
      <c r="U232" s="16" t="str">
        <f>IFERROR(__xludf.DUMMYFUNCTION("""COMPUTED_VALUE"""),"Skill Up!")</f>
        <v>Skill Up!</v>
      </c>
      <c r="V232" s="16" t="str">
        <f>IFERROR(__xludf.DUMMYFUNCTION("""COMPUTED_VALUE"""),"ISTANBUL - BEYOGLU")</f>
        <v>ISTANBUL - BEYOGLU</v>
      </c>
      <c r="W232" s="16" t="str">
        <f>IFERROR(__xludf.DUMMYFUNCTION("""COMPUTED_VALUE"""),"2023-05-31T22:16:35Z")</f>
        <v>2023-05-31T22:16:35Z</v>
      </c>
      <c r="X232" s="16"/>
      <c r="Y232" s="16"/>
      <c r="Z232" s="16"/>
    </row>
    <row r="233">
      <c r="A233" s="16" t="str">
        <f>IFERROR(__xludf.DUMMYFUNCTION("""COMPUTED_VALUE"""),"5273114_1296108")</f>
        <v>5273114_1296108</v>
      </c>
      <c r="B233" s="16" t="str">
        <f>IFERROR(__xludf.DUMMYFUNCTION("""COMPUTED_VALUE"""),"furkan mutlu")</f>
        <v>furkan mutlu</v>
      </c>
      <c r="C233" s="16" t="str">
        <f>IFERROR(__xludf.DUMMYFUNCTION("""COMPUTED_VALUE"""),"approved")</f>
        <v>approved</v>
      </c>
      <c r="D233" s="16" t="str">
        <f>IFERROR(__xludf.DUMMYFUNCTION("""COMPUTED_VALUE"""),"No")</f>
        <v>No</v>
      </c>
      <c r="E233" s="16" t="str">
        <f>IFERROR(__xludf.DUMMYFUNCTION("""COMPUTED_VALUE"""),"p_045d1ee2ff886974e70cbd919e02633bc4bf3a5f@inbound.aiesec.org")</f>
        <v>p_045d1ee2ff886974e70cbd919e02633bc4bf3a5f@inbound.aiesec.org</v>
      </c>
      <c r="F233" s="16">
        <f>IFERROR(__xludf.DUMMYFUNCTION("""COMPUTED_VALUE"""),1.7615082928E10)</f>
        <v>17615082928</v>
      </c>
      <c r="G233" s="16" t="str">
        <f>IFERROR(__xludf.DUMMYFUNCTION("""COMPUTED_VALUE"""),"Turkey")</f>
        <v>Turkey</v>
      </c>
      <c r="H233" s="16" t="str">
        <f>IFERROR(__xludf.DUMMYFUNCTION("""COMPUTED_VALUE"""),"ISTANBUL")</f>
        <v>ISTANBUL</v>
      </c>
      <c r="I233" s="16" t="str">
        <f>IFERROR(__xludf.DUMMYFUNCTION("""COMPUTED_VALUE"""),"Germany")</f>
        <v>Germany</v>
      </c>
      <c r="J233" s="16" t="str">
        <f>IFERROR(__xludf.DUMMYFUNCTION("""COMPUTED_VALUE"""),"KOELN")</f>
        <v>KOELN</v>
      </c>
      <c r="K233" s="17" t="str">
        <f>IFERROR(__xludf.DUMMYFUNCTION("""COMPUTED_VALUE"""),"https://expa.aiesec.org/opportunities/1296108")</f>
        <v>https://expa.aiesec.org/opportunities/1296108</v>
      </c>
      <c r="L233" s="16" t="str">
        <f>IFERROR(__xludf.DUMMYFUNCTION("""COMPUTED_VALUE"""),"GTa")</f>
        <v>GTa</v>
      </c>
      <c r="M233" s="16" t="str">
        <f>IFERROR(__xludf.DUMMYFUNCTION("""COMPUTED_VALUE"""),"long")</f>
        <v>long</v>
      </c>
      <c r="N233" s="18">
        <f>IFERROR(__xludf.DUMMYFUNCTION("""COMPUTED_VALUE"""),45085.0)</f>
        <v>45085</v>
      </c>
      <c r="O233" s="18">
        <f>IFERROR(__xludf.DUMMYFUNCTION("""COMPUTED_VALUE"""),45170.0)</f>
        <v>45170</v>
      </c>
      <c r="P233" s="18">
        <f>IFERROR(__xludf.DUMMYFUNCTION("""COMPUTED_VALUE"""),45535.0)</f>
        <v>45535</v>
      </c>
      <c r="Q233" s="18"/>
      <c r="R233" s="18"/>
      <c r="S233" s="16"/>
      <c r="T233" s="16" t="str">
        <f>IFERROR(__xludf.DUMMYFUNCTION("""COMPUTED_VALUE"""),"Information Technology")</f>
        <v>Information Technology</v>
      </c>
      <c r="U233" s="16" t="str">
        <f>IFERROR(__xludf.DUMMYFUNCTION("""COMPUTED_VALUE"""),"Industrial Engineering")</f>
        <v>Industrial Engineering</v>
      </c>
      <c r="V233" s="16" t="str">
        <f>IFERROR(__xludf.DUMMYFUNCTION("""COMPUTED_VALUE"""),"ISTANBUL - BEYOGLU")</f>
        <v>ISTANBUL - BEYOGLU</v>
      </c>
      <c r="W233" s="16" t="str">
        <f>IFERROR(__xludf.DUMMYFUNCTION("""COMPUTED_VALUE"""),"2023-06-08T20:54:38Z")</f>
        <v>2023-06-08T20:54:38Z</v>
      </c>
      <c r="X233" s="16"/>
      <c r="Y233" s="16"/>
      <c r="Z233" s="16"/>
    </row>
    <row r="234">
      <c r="A234" s="16" t="str">
        <f>IFERROR(__xludf.DUMMYFUNCTION("""COMPUTED_VALUE"""),"5272501_1285555")</f>
        <v>5272501_1285555</v>
      </c>
      <c r="B234" s="16" t="str">
        <f>IFERROR(__xludf.DUMMYFUNCTION("""COMPUTED_VALUE"""),"Oussama Kahila")</f>
        <v>Oussama Kahila</v>
      </c>
      <c r="C234" s="16" t="str">
        <f>IFERROR(__xludf.DUMMYFUNCTION("""COMPUTED_VALUE"""),"finished")</f>
        <v>finished</v>
      </c>
      <c r="D234" s="16" t="str">
        <f>IFERROR(__xludf.DUMMYFUNCTION("""COMPUTED_VALUE"""),"No")</f>
        <v>No</v>
      </c>
      <c r="E234" s="16" t="str">
        <f>IFERROR(__xludf.DUMMYFUNCTION("""COMPUTED_VALUE"""),"p_18e200cabcfb4ed0c0d497f7600a63544a403607@inbound.aiesec.org")</f>
        <v>p_18e200cabcfb4ed0c0d497f7600a63544a403607@inbound.aiesec.org</v>
      </c>
      <c r="F234" s="16">
        <f>IFERROR(__xludf.DUMMYFUNCTION("""COMPUTED_VALUE"""),2.8239763E7)</f>
        <v>28239763</v>
      </c>
      <c r="G234" s="16" t="str">
        <f>IFERROR(__xludf.DUMMYFUNCTION("""COMPUTED_VALUE"""),"Tunisia")</f>
        <v>Tunisia</v>
      </c>
      <c r="H234" s="16" t="str">
        <f>IFERROR(__xludf.DUMMYFUNCTION("""COMPUTED_VALUE"""),"Tacapes")</f>
        <v>Tacapes</v>
      </c>
      <c r="I234" s="16" t="str">
        <f>IFERROR(__xludf.DUMMYFUNCTION("""COMPUTED_VALUE"""),"Turkey")</f>
        <v>Turkey</v>
      </c>
      <c r="J234" s="16" t="str">
        <f>IFERROR(__xludf.DUMMYFUNCTION("""COMPUTED_VALUE"""),"ISTANBUL")</f>
        <v>ISTANBUL</v>
      </c>
      <c r="K234" s="17" t="str">
        <f>IFERROR(__xludf.DUMMYFUNCTION("""COMPUTED_VALUE"""),"https://expa.aiesec.org/opportunities/1285555")</f>
        <v>https://expa.aiesec.org/opportunities/1285555</v>
      </c>
      <c r="L234" s="16" t="str">
        <f>IFERROR(__xludf.DUMMYFUNCTION("""COMPUTED_VALUE"""),"GTa")</f>
        <v>GTa</v>
      </c>
      <c r="M234" s="16" t="str">
        <f>IFERROR(__xludf.DUMMYFUNCTION("""COMPUTED_VALUE"""),"long")</f>
        <v>long</v>
      </c>
      <c r="N234" s="18">
        <f>IFERROR(__xludf.DUMMYFUNCTION("""COMPUTED_VALUE"""),45085.0)</f>
        <v>45085</v>
      </c>
      <c r="O234" s="18">
        <f>IFERROR(__xludf.DUMMYFUNCTION("""COMPUTED_VALUE"""),45124.0)</f>
        <v>45124</v>
      </c>
      <c r="P234" s="18">
        <f>IFERROR(__xludf.DUMMYFUNCTION("""COMPUTED_VALUE"""),45317.0)</f>
        <v>45317</v>
      </c>
      <c r="Q234" s="18">
        <f>IFERROR(__xludf.DUMMYFUNCTION("""COMPUTED_VALUE"""),45107.0)</f>
        <v>45107</v>
      </c>
      <c r="R234" s="18">
        <f>IFERROR(__xludf.DUMMYFUNCTION("""COMPUTED_VALUE"""),45317.0)</f>
        <v>45317</v>
      </c>
      <c r="S234" s="16"/>
      <c r="T234" s="16" t="str">
        <f>IFERROR(__xludf.DUMMYFUNCTION("""COMPUTED_VALUE"""),"Business Administration")</f>
        <v>Business Administration</v>
      </c>
      <c r="U234" s="16" t="str">
        <f>IFERROR(__xludf.DUMMYFUNCTION("""COMPUTED_VALUE"""),"Customer Support Junior Specialist")</f>
        <v>Customer Support Junior Specialist</v>
      </c>
      <c r="V234" s="16" t="str">
        <f>IFERROR(__xludf.DUMMYFUNCTION("""COMPUTED_VALUE"""),"ISG Gabes")</f>
        <v>ISG Gabes</v>
      </c>
      <c r="W234" s="16" t="str">
        <f>IFERROR(__xludf.DUMMYFUNCTION("""COMPUTED_VALUE"""),"2023-06-07T14:52:11Z")</f>
        <v>2023-06-07T14:52:11Z</v>
      </c>
      <c r="X234" s="16"/>
      <c r="Y234" s="16"/>
      <c r="Z234" s="16"/>
    </row>
    <row r="235">
      <c r="A235" s="16" t="str">
        <f>IFERROR(__xludf.DUMMYFUNCTION("""COMPUTED_VALUE"""),"5271435_1285555")</f>
        <v>5271435_1285555</v>
      </c>
      <c r="B235" s="16" t="str">
        <f>IFERROR(__xludf.DUMMYFUNCTION("""COMPUTED_VALUE"""),"Cyrine Lamine")</f>
        <v>Cyrine Lamine</v>
      </c>
      <c r="C235" s="16" t="str">
        <f>IFERROR(__xludf.DUMMYFUNCTION("""COMPUTED_VALUE"""),"approved")</f>
        <v>approved</v>
      </c>
      <c r="D235" s="16" t="str">
        <f>IFERROR(__xludf.DUMMYFUNCTION("""COMPUTED_VALUE"""),"No")</f>
        <v>No</v>
      </c>
      <c r="E235" s="16" t="str">
        <f>IFERROR(__xludf.DUMMYFUNCTION("""COMPUTED_VALUE"""),"p_269e9ccd5c45784c85ea6916b23bdb6aaf6dd6a9@inbound.aiesec.org")</f>
        <v>p_269e9ccd5c45784c85ea6916b23bdb6aaf6dd6a9@inbound.aiesec.org</v>
      </c>
      <c r="F235" s="16">
        <f>IFERROR(__xludf.DUMMYFUNCTION("""COMPUTED_VALUE"""),5.4000187E7)</f>
        <v>54000187</v>
      </c>
      <c r="G235" s="16" t="str">
        <f>IFERROR(__xludf.DUMMYFUNCTION("""COMPUTED_VALUE"""),"Tunisia")</f>
        <v>Tunisia</v>
      </c>
      <c r="H235" s="16" t="str">
        <f>IFERROR(__xludf.DUMMYFUNCTION("""COMPUTED_VALUE"""),"Carthage")</f>
        <v>Carthage</v>
      </c>
      <c r="I235" s="16" t="str">
        <f>IFERROR(__xludf.DUMMYFUNCTION("""COMPUTED_VALUE"""),"Turkey")</f>
        <v>Turkey</v>
      </c>
      <c r="J235" s="16" t="str">
        <f>IFERROR(__xludf.DUMMYFUNCTION("""COMPUTED_VALUE"""),"ISTANBUL")</f>
        <v>ISTANBUL</v>
      </c>
      <c r="K235" s="17" t="str">
        <f>IFERROR(__xludf.DUMMYFUNCTION("""COMPUTED_VALUE"""),"https://expa.aiesec.org/opportunities/1285555")</f>
        <v>https://expa.aiesec.org/opportunities/1285555</v>
      </c>
      <c r="L235" s="16" t="str">
        <f>IFERROR(__xludf.DUMMYFUNCTION("""COMPUTED_VALUE"""),"GTa")</f>
        <v>GTa</v>
      </c>
      <c r="M235" s="16" t="str">
        <f>IFERROR(__xludf.DUMMYFUNCTION("""COMPUTED_VALUE"""),"long")</f>
        <v>long</v>
      </c>
      <c r="N235" s="18">
        <f>IFERROR(__xludf.DUMMYFUNCTION("""COMPUTED_VALUE"""),45086.0)</f>
        <v>45086</v>
      </c>
      <c r="O235" s="18">
        <f>IFERROR(__xludf.DUMMYFUNCTION("""COMPUTED_VALUE"""),45103.0)</f>
        <v>45103</v>
      </c>
      <c r="P235" s="18">
        <f>IFERROR(__xludf.DUMMYFUNCTION("""COMPUTED_VALUE"""),45296.0)</f>
        <v>45296</v>
      </c>
      <c r="Q235" s="18"/>
      <c r="R235" s="18"/>
      <c r="S235" s="16"/>
      <c r="T235" s="16" t="str">
        <f>IFERROR(__xludf.DUMMYFUNCTION("""COMPUTED_VALUE"""),"Business Administration")</f>
        <v>Business Administration</v>
      </c>
      <c r="U235" s="16" t="str">
        <f>IFERROR(__xludf.DUMMYFUNCTION("""COMPUTED_VALUE"""),"Customer Support Junior Specialist")</f>
        <v>Customer Support Junior Specialist</v>
      </c>
      <c r="V235" s="16" t="str">
        <f>IFERROR(__xludf.DUMMYFUNCTION("""COMPUTED_VALUE"""),"ISLT")</f>
        <v>ISLT</v>
      </c>
      <c r="W235" s="16" t="str">
        <f>IFERROR(__xludf.DUMMYFUNCTION("""COMPUTED_VALUE"""),"2023-06-04T21:12:12Z")</f>
        <v>2023-06-04T21:12:12Z</v>
      </c>
      <c r="X235" s="16"/>
      <c r="Y235" s="16"/>
      <c r="Z235" s="16"/>
    </row>
    <row r="236">
      <c r="A236" s="16" t="str">
        <f>IFERROR(__xludf.DUMMYFUNCTION("""COMPUTED_VALUE"""),"5271978_1293944")</f>
        <v>5271978_1293944</v>
      </c>
      <c r="B236" s="16" t="str">
        <f>IFERROR(__xludf.DUMMYFUNCTION("""COMPUTED_VALUE"""),"Zeynep Sena Akşehirli")</f>
        <v>Zeynep Sena Akşehirli</v>
      </c>
      <c r="C236" s="16" t="str">
        <f>IFERROR(__xludf.DUMMYFUNCTION("""COMPUTED_VALUE"""),"completed")</f>
        <v>completed</v>
      </c>
      <c r="D236" s="16" t="str">
        <f>IFERROR(__xludf.DUMMYFUNCTION("""COMPUTED_VALUE"""),"No")</f>
        <v>No</v>
      </c>
      <c r="E236" s="16" t="str">
        <f>IFERROR(__xludf.DUMMYFUNCTION("""COMPUTED_VALUE"""),"p_4816ea557c4649a6804e9bded427c96426d338e4@inbound.aiesec.org")</f>
        <v>p_4816ea557c4649a6804e9bded427c96426d338e4@inbound.aiesec.org</v>
      </c>
      <c r="F236" s="16">
        <f>IFERROR(__xludf.DUMMYFUNCTION("""COMPUTED_VALUE"""),5.528228975E9)</f>
        <v>5528228975</v>
      </c>
      <c r="G236" s="16" t="str">
        <f>IFERROR(__xludf.DUMMYFUNCTION("""COMPUTED_VALUE"""),"Turkey")</f>
        <v>Turkey</v>
      </c>
      <c r="H236" s="16" t="str">
        <f>IFERROR(__xludf.DUMMYFUNCTION("""COMPUTED_VALUE"""),"ISTANBUL")</f>
        <v>ISTANBUL</v>
      </c>
      <c r="I236" s="16" t="str">
        <f>IFERROR(__xludf.DUMMYFUNCTION("""COMPUTED_VALUE"""),"Egypt")</f>
        <v>Egypt</v>
      </c>
      <c r="J236" s="16" t="str">
        <f>IFERROR(__xludf.DUMMYFUNCTION("""COMPUTED_VALUE"""),"Helwan")</f>
        <v>Helwan</v>
      </c>
      <c r="K236" s="17" t="str">
        <f>IFERROR(__xludf.DUMMYFUNCTION("""COMPUTED_VALUE"""),"https://expa.aiesec.org/opportunities/1293944")</f>
        <v>https://expa.aiesec.org/opportunities/1293944</v>
      </c>
      <c r="L236" s="16" t="str">
        <f>IFERROR(__xludf.DUMMYFUNCTION("""COMPUTED_VALUE"""),"GV")</f>
        <v>GV</v>
      </c>
      <c r="M236" s="16" t="str">
        <f>IFERROR(__xludf.DUMMYFUNCTION("""COMPUTED_VALUE"""),"short")</f>
        <v>short</v>
      </c>
      <c r="N236" s="18">
        <f>IFERROR(__xludf.DUMMYFUNCTION("""COMPUTED_VALUE"""),45087.0)</f>
        <v>45087</v>
      </c>
      <c r="O236" s="18">
        <f>IFERROR(__xludf.DUMMYFUNCTION("""COMPUTED_VALUE"""),45092.0)</f>
        <v>45092</v>
      </c>
      <c r="P236" s="18">
        <f>IFERROR(__xludf.DUMMYFUNCTION("""COMPUTED_VALUE"""),45134.0)</f>
        <v>45134</v>
      </c>
      <c r="Q236" s="18">
        <f>IFERROR(__xludf.DUMMYFUNCTION("""COMPUTED_VALUE"""),45093.0)</f>
        <v>45093</v>
      </c>
      <c r="R236" s="18">
        <f>IFERROR(__xludf.DUMMYFUNCTION("""COMPUTED_VALUE"""),45135.0)</f>
        <v>45135</v>
      </c>
      <c r="S236" s="16"/>
      <c r="T236" s="16"/>
      <c r="U236" s="16" t="str">
        <f>IFERROR(__xludf.DUMMYFUNCTION("""COMPUTED_VALUE"""),"Explorer")</f>
        <v>Explorer</v>
      </c>
      <c r="V236" s="16" t="str">
        <f>IFERROR(__xludf.DUMMYFUNCTION("""COMPUTED_VALUE"""),"ISTANBUL - BEYOGLU")</f>
        <v>ISTANBUL - BEYOGLU</v>
      </c>
      <c r="W236" s="16" t="str">
        <f>IFERROR(__xludf.DUMMYFUNCTION("""COMPUTED_VALUE"""),"2023-06-06T09:29:24Z")</f>
        <v>2023-06-06T09:29:24Z</v>
      </c>
      <c r="X236" s="16"/>
      <c r="Y236" s="16"/>
      <c r="Z236" s="16"/>
    </row>
    <row r="237">
      <c r="A237" s="16" t="str">
        <f>IFERROR(__xludf.DUMMYFUNCTION("""COMPUTED_VALUE"""),"3253252_1296080")</f>
        <v>3253252_1296080</v>
      </c>
      <c r="B237" s="16" t="str">
        <f>IFERROR(__xludf.DUMMYFUNCTION("""COMPUTED_VALUE"""),"Oussema Tamallah")</f>
        <v>Oussema Tamallah</v>
      </c>
      <c r="C237" s="16" t="str">
        <f>IFERROR(__xludf.DUMMYFUNCTION("""COMPUTED_VALUE"""),"realized")</f>
        <v>realized</v>
      </c>
      <c r="D237" s="16" t="str">
        <f>IFERROR(__xludf.DUMMYFUNCTION("""COMPUTED_VALUE"""),"No")</f>
        <v>No</v>
      </c>
      <c r="E237" s="16" t="str">
        <f>IFERROR(__xludf.DUMMYFUNCTION("""COMPUTED_VALUE"""),"p_15335f988b266a3789f0b38cf0eb61d262bf5873@inbound.aiesec.org")</f>
        <v>p_15335f988b266a3789f0b38cf0eb61d262bf5873@inbound.aiesec.org</v>
      </c>
      <c r="F237" s="16">
        <f>IFERROR(__xludf.DUMMYFUNCTION("""COMPUTED_VALUE"""),9.6296329E7)</f>
        <v>96296329</v>
      </c>
      <c r="G237" s="16" t="str">
        <f>IFERROR(__xludf.DUMMYFUNCTION("""COMPUTED_VALUE"""),"Tunisia")</f>
        <v>Tunisia</v>
      </c>
      <c r="H237" s="16" t="str">
        <f>IFERROR(__xludf.DUMMYFUNCTION("""COMPUTED_VALUE"""),"HADRUMET")</f>
        <v>HADRUMET</v>
      </c>
      <c r="I237" s="16" t="str">
        <f>IFERROR(__xludf.DUMMYFUNCTION("""COMPUTED_VALUE"""),"Turkey")</f>
        <v>Turkey</v>
      </c>
      <c r="J237" s="16" t="str">
        <f>IFERROR(__xludf.DUMMYFUNCTION("""COMPUTED_VALUE"""),"ISTANBUL")</f>
        <v>ISTANBUL</v>
      </c>
      <c r="K237" s="17" t="str">
        <f>IFERROR(__xludf.DUMMYFUNCTION("""COMPUTED_VALUE"""),"https://expa.aiesec.org/opportunities/1296080")</f>
        <v>https://expa.aiesec.org/opportunities/1296080</v>
      </c>
      <c r="L237" s="16" t="str">
        <f>IFERROR(__xludf.DUMMYFUNCTION("""COMPUTED_VALUE"""),"GTa")</f>
        <v>GTa</v>
      </c>
      <c r="M237" s="16" t="str">
        <f>IFERROR(__xludf.DUMMYFUNCTION("""COMPUTED_VALUE"""),"long")</f>
        <v>long</v>
      </c>
      <c r="N237" s="18">
        <f>IFERROR(__xludf.DUMMYFUNCTION("""COMPUTED_VALUE"""),45088.0)</f>
        <v>45088</v>
      </c>
      <c r="O237" s="18">
        <f>IFERROR(__xludf.DUMMYFUNCTION("""COMPUTED_VALUE"""),45124.0)</f>
        <v>45124</v>
      </c>
      <c r="P237" s="18">
        <f>IFERROR(__xludf.DUMMYFUNCTION("""COMPUTED_VALUE"""),45492.0)</f>
        <v>45492</v>
      </c>
      <c r="Q237" s="18">
        <f>IFERROR(__xludf.DUMMYFUNCTION("""COMPUTED_VALUE"""),45188.0)</f>
        <v>45188</v>
      </c>
      <c r="R237" s="18">
        <f>IFERROR(__xludf.DUMMYFUNCTION("""COMPUTED_VALUE"""),45555.0)</f>
        <v>45555</v>
      </c>
      <c r="S237" s="16"/>
      <c r="T237" s="16" t="str">
        <f>IFERROR(__xludf.DUMMYFUNCTION("""COMPUTED_VALUE"""),"Engineering")</f>
        <v>Engineering</v>
      </c>
      <c r="U237" s="16" t="str">
        <f>IFERROR(__xludf.DUMMYFUNCTION("""COMPUTED_VALUE"""),"Mechanical Engineer in Istanbul")</f>
        <v>Mechanical Engineer in Istanbul</v>
      </c>
      <c r="V237" s="16" t="str">
        <f>IFERROR(__xludf.DUMMYFUNCTION("""COMPUTED_VALUE"""),"ISET Sousse")</f>
        <v>ISET Sousse</v>
      </c>
      <c r="W237" s="16" t="str">
        <f>IFERROR(__xludf.DUMMYFUNCTION("""COMPUTED_VALUE"""),"2019-03-22T08:27:26Z")</f>
        <v>2019-03-22T08:27:26Z</v>
      </c>
      <c r="X237" s="16"/>
      <c r="Y237" s="16"/>
      <c r="Z237" s="16"/>
    </row>
    <row r="238">
      <c r="A238" s="16" t="str">
        <f>IFERROR(__xludf.DUMMYFUNCTION("""COMPUTED_VALUE"""),"5259195_1285687")</f>
        <v>5259195_1285687</v>
      </c>
      <c r="B238" s="16" t="str">
        <f>IFERROR(__xludf.DUMMYFUNCTION("""COMPUTED_VALUE"""),"Poomrapee Sommana")</f>
        <v>Poomrapee Sommana</v>
      </c>
      <c r="C238" s="16" t="str">
        <f>IFERROR(__xludf.DUMMYFUNCTION("""COMPUTED_VALUE"""),"completed")</f>
        <v>completed</v>
      </c>
      <c r="D238" s="16" t="str">
        <f>IFERROR(__xludf.DUMMYFUNCTION("""COMPUTED_VALUE"""),"No")</f>
        <v>No</v>
      </c>
      <c r="E238" s="16" t="str">
        <f>IFERROR(__xludf.DUMMYFUNCTION("""COMPUTED_VALUE"""),"p_1e7e71310194c83e0aa0de68bd61f03768eb4939@inbound.aiesec.org")</f>
        <v>p_1e7e71310194c83e0aa0de68bd61f03768eb4939@inbound.aiesec.org</v>
      </c>
      <c r="F238" s="16"/>
      <c r="G238" s="16" t="str">
        <f>IFERROR(__xludf.DUMMYFUNCTION("""COMPUTED_VALUE"""),"Thailand")</f>
        <v>Thailand</v>
      </c>
      <c r="H238" s="16" t="str">
        <f>IFERROR(__xludf.DUMMYFUNCTION("""COMPUTED_VALUE"""),"Chulalongkorn University")</f>
        <v>Chulalongkorn University</v>
      </c>
      <c r="I238" s="16" t="str">
        <f>IFERROR(__xludf.DUMMYFUNCTION("""COMPUTED_VALUE"""),"Turkey")</f>
        <v>Turkey</v>
      </c>
      <c r="J238" s="16" t="str">
        <f>IFERROR(__xludf.DUMMYFUNCTION("""COMPUTED_VALUE"""),"ISTANBUL")</f>
        <v>ISTANBUL</v>
      </c>
      <c r="K238" s="17" t="str">
        <f>IFERROR(__xludf.DUMMYFUNCTION("""COMPUTED_VALUE"""),"https://expa.aiesec.org/opportunities/1285687")</f>
        <v>https://expa.aiesec.org/opportunities/1285687</v>
      </c>
      <c r="L238" s="16" t="str">
        <f>IFERROR(__xludf.DUMMYFUNCTION("""COMPUTED_VALUE"""),"GV")</f>
        <v>GV</v>
      </c>
      <c r="M238" s="16" t="str">
        <f>IFERROR(__xludf.DUMMYFUNCTION("""COMPUTED_VALUE"""),"short")</f>
        <v>short</v>
      </c>
      <c r="N238" s="18">
        <f>IFERROR(__xludf.DUMMYFUNCTION("""COMPUTED_VALUE"""),45088.0)</f>
        <v>45088</v>
      </c>
      <c r="O238" s="18">
        <f>IFERROR(__xludf.DUMMYFUNCTION("""COMPUTED_VALUE"""),45097.0)</f>
        <v>45097</v>
      </c>
      <c r="P238" s="18">
        <f>IFERROR(__xludf.DUMMYFUNCTION("""COMPUTED_VALUE"""),45139.0)</f>
        <v>45139</v>
      </c>
      <c r="Q238" s="18">
        <f>IFERROR(__xludf.DUMMYFUNCTION("""COMPUTED_VALUE"""),45104.0)</f>
        <v>45104</v>
      </c>
      <c r="R238" s="18">
        <f>IFERROR(__xludf.DUMMYFUNCTION("""COMPUTED_VALUE"""),45144.0)</f>
        <v>45144</v>
      </c>
      <c r="S238" s="16"/>
      <c r="T238" s="16"/>
      <c r="U238" s="16" t="str">
        <f>IFERROR(__xludf.DUMMYFUNCTION("""COMPUTED_VALUE"""),"Youth 4 Impact")</f>
        <v>Youth 4 Impact</v>
      </c>
      <c r="V238" s="16" t="str">
        <f>IFERROR(__xludf.DUMMYFUNCTION("""COMPUTED_VALUE"""),"Chulalongkorn University")</f>
        <v>Chulalongkorn University</v>
      </c>
      <c r="W238" s="16" t="str">
        <f>IFERROR(__xludf.DUMMYFUNCTION("""COMPUTED_VALUE"""),"2023-05-10T20:41:29Z")</f>
        <v>2023-05-10T20:41:29Z</v>
      </c>
      <c r="X238" s="16"/>
      <c r="Y238" s="16"/>
      <c r="Z238" s="16"/>
    </row>
    <row r="239">
      <c r="A239" s="16" t="str">
        <f>IFERROR(__xludf.DUMMYFUNCTION("""COMPUTED_VALUE"""),"5223683_1289536")</f>
        <v>5223683_1289536</v>
      </c>
      <c r="B239" s="16" t="str">
        <f>IFERROR(__xludf.DUMMYFUNCTION("""COMPUTED_VALUE"""),"Tudor Constantinescu")</f>
        <v>Tudor Constantinescu</v>
      </c>
      <c r="C239" s="16" t="str">
        <f>IFERROR(__xludf.DUMMYFUNCTION("""COMPUTED_VALUE"""),"finished")</f>
        <v>finished</v>
      </c>
      <c r="D239" s="16" t="str">
        <f>IFERROR(__xludf.DUMMYFUNCTION("""COMPUTED_VALUE"""),"No")</f>
        <v>No</v>
      </c>
      <c r="E239" s="16" t="str">
        <f>IFERROR(__xludf.DUMMYFUNCTION("""COMPUTED_VALUE"""),"p_dc98d403dcee7e4437419c77a5eb30fc79820973@inbound.aiesec.org")</f>
        <v>p_dc98d403dcee7e4437419c77a5eb30fc79820973@inbound.aiesec.org</v>
      </c>
      <c r="F239" s="16">
        <f>IFERROR(__xludf.DUMMYFUNCTION("""COMPUTED_VALUE"""),7.55375006E8)</f>
        <v>755375006</v>
      </c>
      <c r="G239" s="16" t="str">
        <f>IFERROR(__xludf.DUMMYFUNCTION("""COMPUTED_VALUE"""),"Romania")</f>
        <v>Romania</v>
      </c>
      <c r="H239" s="16" t="str">
        <f>IFERROR(__xludf.DUMMYFUNCTION("""COMPUTED_VALUE"""),"Cluj-Napoca")</f>
        <v>Cluj-Napoca</v>
      </c>
      <c r="I239" s="16" t="str">
        <f>IFERROR(__xludf.DUMMYFUNCTION("""COMPUTED_VALUE"""),"Turkey")</f>
        <v>Turkey</v>
      </c>
      <c r="J239" s="16" t="str">
        <f>IFERROR(__xludf.DUMMYFUNCTION("""COMPUTED_VALUE"""),"ISTANBUL")</f>
        <v>ISTANBUL</v>
      </c>
      <c r="K239" s="17" t="str">
        <f>IFERROR(__xludf.DUMMYFUNCTION("""COMPUTED_VALUE"""),"https://expa.aiesec.org/opportunities/1289536")</f>
        <v>https://expa.aiesec.org/opportunities/1289536</v>
      </c>
      <c r="L239" s="16" t="str">
        <f>IFERROR(__xludf.DUMMYFUNCTION("""COMPUTED_VALUE"""),"GV")</f>
        <v>GV</v>
      </c>
      <c r="M239" s="16" t="str">
        <f>IFERROR(__xludf.DUMMYFUNCTION("""COMPUTED_VALUE"""),"short")</f>
        <v>short</v>
      </c>
      <c r="N239" s="18">
        <f>IFERROR(__xludf.DUMMYFUNCTION("""COMPUTED_VALUE"""),45088.0)</f>
        <v>45088</v>
      </c>
      <c r="O239" s="18">
        <f>IFERROR(__xludf.DUMMYFUNCTION("""COMPUTED_VALUE"""),45174.0)</f>
        <v>45174</v>
      </c>
      <c r="P239" s="18">
        <f>IFERROR(__xludf.DUMMYFUNCTION("""COMPUTED_VALUE"""),45216.0)</f>
        <v>45216</v>
      </c>
      <c r="Q239" s="18">
        <f>IFERROR(__xludf.DUMMYFUNCTION("""COMPUTED_VALUE"""),45180.0)</f>
        <v>45180</v>
      </c>
      <c r="R239" s="18">
        <f>IFERROR(__xludf.DUMMYFUNCTION("""COMPUTED_VALUE"""),45220.0)</f>
        <v>45220</v>
      </c>
      <c r="S239" s="16"/>
      <c r="T239" s="16"/>
      <c r="U239" s="16" t="str">
        <f>IFERROR(__xludf.DUMMYFUNCTION("""COMPUTED_VALUE"""),"Global Classroom")</f>
        <v>Global Classroom</v>
      </c>
      <c r="V239" s="16" t="str">
        <f>IFERROR(__xludf.DUMMYFUNCTION("""COMPUTED_VALUE"""),"Cluj-Napoca")</f>
        <v>Cluj-Napoca</v>
      </c>
      <c r="W239" s="16" t="str">
        <f>IFERROR(__xludf.DUMMYFUNCTION("""COMPUTED_VALUE"""),"2023-03-22T11:28:58Z")</f>
        <v>2023-03-22T11:28:58Z</v>
      </c>
      <c r="X239" s="16"/>
      <c r="Y239" s="16"/>
      <c r="Z239" s="16"/>
    </row>
    <row r="240">
      <c r="A240" s="16" t="str">
        <f>IFERROR(__xludf.DUMMYFUNCTION("""COMPUTED_VALUE"""),"5236963_1295811")</f>
        <v>5236963_1295811</v>
      </c>
      <c r="B240" s="16" t="str">
        <f>IFERROR(__xludf.DUMMYFUNCTION("""COMPUTED_VALUE"""),"Naile Çetiner")</f>
        <v>Naile Çetiner</v>
      </c>
      <c r="C240" s="16" t="str">
        <f>IFERROR(__xludf.DUMMYFUNCTION("""COMPUTED_VALUE"""),"completed")</f>
        <v>completed</v>
      </c>
      <c r="D240" s="16" t="str">
        <f>IFERROR(__xludf.DUMMYFUNCTION("""COMPUTED_VALUE"""),"No")</f>
        <v>No</v>
      </c>
      <c r="E240" s="16" t="str">
        <f>IFERROR(__xludf.DUMMYFUNCTION("""COMPUTED_VALUE"""),"p_a426861ee19dbef28965dfbef44b37174d0d75f6@inbound.aiesec.org")</f>
        <v>p_a426861ee19dbef28965dfbef44b37174d0d75f6@inbound.aiesec.org</v>
      </c>
      <c r="F240" s="16">
        <f>IFERROR(__xludf.DUMMYFUNCTION("""COMPUTED_VALUE"""),5.522580907E9)</f>
        <v>5522580907</v>
      </c>
      <c r="G240" s="16" t="str">
        <f>IFERROR(__xludf.DUMMYFUNCTION("""COMPUTED_VALUE"""),"Turkey")</f>
        <v>Turkey</v>
      </c>
      <c r="H240" s="16" t="str">
        <f>IFERROR(__xludf.DUMMYFUNCTION("""COMPUTED_VALUE"""),"ISTANBUL")</f>
        <v>ISTANBUL</v>
      </c>
      <c r="I240" s="16" t="str">
        <f>IFERROR(__xludf.DUMMYFUNCTION("""COMPUTED_VALUE"""),"Egypt")</f>
        <v>Egypt</v>
      </c>
      <c r="J240" s="16" t="str">
        <f>IFERROR(__xludf.DUMMYFUNCTION("""COMPUTED_VALUE"""),"Menofia")</f>
        <v>Menofia</v>
      </c>
      <c r="K240" s="17" t="str">
        <f>IFERROR(__xludf.DUMMYFUNCTION("""COMPUTED_VALUE"""),"https://expa.aiesec.org/opportunities/1295811")</f>
        <v>https://expa.aiesec.org/opportunities/1295811</v>
      </c>
      <c r="L240" s="16" t="str">
        <f>IFERROR(__xludf.DUMMYFUNCTION("""COMPUTED_VALUE"""),"GTa")</f>
        <v>GTa</v>
      </c>
      <c r="M240" s="16" t="str">
        <f>IFERROR(__xludf.DUMMYFUNCTION("""COMPUTED_VALUE"""),"short")</f>
        <v>short</v>
      </c>
      <c r="N240" s="18">
        <f>IFERROR(__xludf.DUMMYFUNCTION("""COMPUTED_VALUE"""),45089.0)</f>
        <v>45089</v>
      </c>
      <c r="O240" s="18">
        <f>IFERROR(__xludf.DUMMYFUNCTION("""COMPUTED_VALUE"""),45129.0)</f>
        <v>45129</v>
      </c>
      <c r="P240" s="18">
        <f>IFERROR(__xludf.DUMMYFUNCTION("""COMPUTED_VALUE"""),45174.0)</f>
        <v>45174</v>
      </c>
      <c r="Q240" s="18">
        <f>IFERROR(__xludf.DUMMYFUNCTION("""COMPUTED_VALUE"""),45129.0)</f>
        <v>45129</v>
      </c>
      <c r="R240" s="18">
        <f>IFERROR(__xludf.DUMMYFUNCTION("""COMPUTED_VALUE"""),45174.0)</f>
        <v>45174</v>
      </c>
      <c r="S240" s="16"/>
      <c r="T240" s="16" t="str">
        <f>IFERROR(__xludf.DUMMYFUNCTION("""COMPUTED_VALUE"""),"Marketing")</f>
        <v>Marketing</v>
      </c>
      <c r="U240" s="16" t="str">
        <f>IFERROR(__xludf.DUMMYFUNCTION("""COMPUTED_VALUE"""),"Digital Markting Internship")</f>
        <v>Digital Markting Internship</v>
      </c>
      <c r="V240" s="16" t="str">
        <f>IFERROR(__xludf.DUMMYFUNCTION("""COMPUTED_VALUE"""),"ISTANBUL - BEYOGLU")</f>
        <v>ISTANBUL - BEYOGLU</v>
      </c>
      <c r="W240" s="16" t="str">
        <f>IFERROR(__xludf.DUMMYFUNCTION("""COMPUTED_VALUE"""),"2023-04-07T09:40:19Z")</f>
        <v>2023-04-07T09:40:19Z</v>
      </c>
      <c r="X240" s="16"/>
      <c r="Y240" s="16"/>
      <c r="Z240" s="16"/>
    </row>
    <row r="241">
      <c r="A241" s="16" t="str">
        <f>IFERROR(__xludf.DUMMYFUNCTION("""COMPUTED_VALUE"""),"5274035_1289255")</f>
        <v>5274035_1289255</v>
      </c>
      <c r="B241" s="16" t="str">
        <f>IFERROR(__xludf.DUMMYFUNCTION("""COMPUTED_VALUE"""),"Houda Mouaouia")</f>
        <v>Houda Mouaouia</v>
      </c>
      <c r="C241" s="16" t="str">
        <f>IFERROR(__xludf.DUMMYFUNCTION("""COMPUTED_VALUE"""),"realized")</f>
        <v>realized</v>
      </c>
      <c r="D241" s="16" t="str">
        <f>IFERROR(__xludf.DUMMYFUNCTION("""COMPUTED_VALUE"""),"No")</f>
        <v>No</v>
      </c>
      <c r="E241" s="16" t="str">
        <f>IFERROR(__xludf.DUMMYFUNCTION("""COMPUTED_VALUE"""),"p_4d7e1968ad45f66b88fa1101311db410b30f1a8c@inbound.aiesec.org")</f>
        <v>p_4d7e1968ad45f66b88fa1101311db410b30f1a8c@inbound.aiesec.org</v>
      </c>
      <c r="F241" s="16">
        <f>IFERROR(__xludf.DUMMYFUNCTION("""COMPUTED_VALUE"""),6.21150606E8)</f>
        <v>621150606</v>
      </c>
      <c r="G241" s="16" t="str">
        <f>IFERROR(__xludf.DUMMYFUNCTION("""COMPUTED_VALUE"""),"Morocco")</f>
        <v>Morocco</v>
      </c>
      <c r="H241" s="16" t="str">
        <f>IFERROR(__xludf.DUMMYFUNCTION("""COMPUTED_VALUE"""),"Mohammedia")</f>
        <v>Mohammedia</v>
      </c>
      <c r="I241" s="16" t="str">
        <f>IFERROR(__xludf.DUMMYFUNCTION("""COMPUTED_VALUE"""),"Turkey")</f>
        <v>Turkey</v>
      </c>
      <c r="J241" s="16" t="str">
        <f>IFERROR(__xludf.DUMMYFUNCTION("""COMPUTED_VALUE"""),"ISTANBUL")</f>
        <v>ISTANBUL</v>
      </c>
      <c r="K241" s="17" t="str">
        <f>IFERROR(__xludf.DUMMYFUNCTION("""COMPUTED_VALUE"""),"https://expa.aiesec.org/opportunities/1289255")</f>
        <v>https://expa.aiesec.org/opportunities/1289255</v>
      </c>
      <c r="L241" s="16" t="str">
        <f>IFERROR(__xludf.DUMMYFUNCTION("""COMPUTED_VALUE"""),"GTa")</f>
        <v>GTa</v>
      </c>
      <c r="M241" s="16" t="str">
        <f>IFERROR(__xludf.DUMMYFUNCTION("""COMPUTED_VALUE"""),"long")</f>
        <v>long</v>
      </c>
      <c r="N241" s="18">
        <f>IFERROR(__xludf.DUMMYFUNCTION("""COMPUTED_VALUE"""),45089.0)</f>
        <v>45089</v>
      </c>
      <c r="O241" s="18">
        <f>IFERROR(__xludf.DUMMYFUNCTION("""COMPUTED_VALUE"""),45145.0)</f>
        <v>45145</v>
      </c>
      <c r="P241" s="18">
        <f>IFERROR(__xludf.DUMMYFUNCTION("""COMPUTED_VALUE"""),45660.0)</f>
        <v>45660</v>
      </c>
      <c r="Q241" s="18">
        <f>IFERROR(__xludf.DUMMYFUNCTION("""COMPUTED_VALUE"""),45145.0)</f>
        <v>45145</v>
      </c>
      <c r="R241" s="18">
        <f>IFERROR(__xludf.DUMMYFUNCTION("""COMPUTED_VALUE"""),45660.0)</f>
        <v>45660</v>
      </c>
      <c r="S241" s="16"/>
      <c r="T241" s="16" t="str">
        <f>IFERROR(__xludf.DUMMYFUNCTION("""COMPUTED_VALUE"""),"Business Administration")</f>
        <v>Business Administration</v>
      </c>
      <c r="U241" s="16" t="str">
        <f>IFERROR(__xludf.DUMMYFUNCTION("""COMPUTED_VALUE"""),"Telesales Specialist in Istanbul (French Speaker)")</f>
        <v>Telesales Specialist in Istanbul (French Speaker)</v>
      </c>
      <c r="V241" s="16" t="str">
        <f>IFERROR(__xludf.DUMMYFUNCTION("""COMPUTED_VALUE"""),"ISTAH Mohammadia")</f>
        <v>ISTAH Mohammadia</v>
      </c>
      <c r="W241" s="16" t="str">
        <f>IFERROR(__xludf.DUMMYFUNCTION("""COMPUTED_VALUE"""),"2023-06-11T21:22:54Z")</f>
        <v>2023-06-11T21:22:54Z</v>
      </c>
      <c r="X241" s="16"/>
      <c r="Y241" s="16"/>
      <c r="Z241" s="16"/>
    </row>
    <row r="242">
      <c r="A242" s="16" t="str">
        <f>IFERROR(__xludf.DUMMYFUNCTION("""COMPUTED_VALUE"""),"5273583_1289255")</f>
        <v>5273583_1289255</v>
      </c>
      <c r="B242" s="16" t="str">
        <f>IFERROR(__xludf.DUMMYFUNCTION("""COMPUTED_VALUE"""),"Naseer Ali Awan")</f>
        <v>Naseer Ali Awan</v>
      </c>
      <c r="C242" s="16" t="str">
        <f>IFERROR(__xludf.DUMMYFUNCTION("""COMPUTED_VALUE"""),"approved")</f>
        <v>approved</v>
      </c>
      <c r="D242" s="16" t="str">
        <f>IFERROR(__xludf.DUMMYFUNCTION("""COMPUTED_VALUE"""),"No")</f>
        <v>No</v>
      </c>
      <c r="E242" s="16" t="str">
        <f>IFERROR(__xludf.DUMMYFUNCTION("""COMPUTED_VALUE"""),"p_451d785d923dce4ae0d7cc523b5c6ce2969f0053@inbound.aiesec.org")</f>
        <v>p_451d785d923dce4ae0d7cc523b5c6ce2969f0053@inbound.aiesec.org</v>
      </c>
      <c r="F242" s="16">
        <f>IFERROR(__xludf.DUMMYFUNCTION("""COMPUTED_VALUE"""),3.327921782E9)</f>
        <v>3327921782</v>
      </c>
      <c r="G242" s="16" t="str">
        <f>IFERROR(__xludf.DUMMYFUNCTION("""COMPUTED_VALUE"""),"Pakistan")</f>
        <v>Pakistan</v>
      </c>
      <c r="H242" s="16" t="str">
        <f>IFERROR(__xludf.DUMMYFUNCTION("""COMPUTED_VALUE"""),"Karachi")</f>
        <v>Karachi</v>
      </c>
      <c r="I242" s="16" t="str">
        <f>IFERROR(__xludf.DUMMYFUNCTION("""COMPUTED_VALUE"""),"Turkey")</f>
        <v>Turkey</v>
      </c>
      <c r="J242" s="16" t="str">
        <f>IFERROR(__xludf.DUMMYFUNCTION("""COMPUTED_VALUE"""),"ISTANBUL")</f>
        <v>ISTANBUL</v>
      </c>
      <c r="K242" s="17" t="str">
        <f>IFERROR(__xludf.DUMMYFUNCTION("""COMPUTED_VALUE"""),"https://expa.aiesec.org/opportunities/1289255")</f>
        <v>https://expa.aiesec.org/opportunities/1289255</v>
      </c>
      <c r="L242" s="16" t="str">
        <f>IFERROR(__xludf.DUMMYFUNCTION("""COMPUTED_VALUE"""),"GTa")</f>
        <v>GTa</v>
      </c>
      <c r="M242" s="16" t="str">
        <f>IFERROR(__xludf.DUMMYFUNCTION("""COMPUTED_VALUE"""),"long")</f>
        <v>long</v>
      </c>
      <c r="N242" s="18">
        <f>IFERROR(__xludf.DUMMYFUNCTION("""COMPUTED_VALUE"""),45090.0)</f>
        <v>45090</v>
      </c>
      <c r="O242" s="18">
        <f>IFERROR(__xludf.DUMMYFUNCTION("""COMPUTED_VALUE"""),45138.0)</f>
        <v>45138</v>
      </c>
      <c r="P242" s="18">
        <f>IFERROR(__xludf.DUMMYFUNCTION("""COMPUTED_VALUE"""),45660.0)</f>
        <v>45660</v>
      </c>
      <c r="Q242" s="18"/>
      <c r="R242" s="18"/>
      <c r="S242" s="16"/>
      <c r="T242" s="16" t="str">
        <f>IFERROR(__xludf.DUMMYFUNCTION("""COMPUTED_VALUE"""),"Business Administration")</f>
        <v>Business Administration</v>
      </c>
      <c r="U242" s="16" t="str">
        <f>IFERROR(__xludf.DUMMYFUNCTION("""COMPUTED_VALUE"""),"Telesales Specialist in Istanbul (French Speaker)")</f>
        <v>Telesales Specialist in Istanbul (French Speaker)</v>
      </c>
      <c r="V242" s="16" t="str">
        <f>IFERROR(__xludf.DUMMYFUNCTION("""COMPUTED_VALUE"""),"Karachi - University of Karachi")</f>
        <v>Karachi - University of Karachi</v>
      </c>
      <c r="W242" s="16" t="str">
        <f>IFERROR(__xludf.DUMMYFUNCTION("""COMPUTED_VALUE"""),"2023-06-10T09:08:40Z")</f>
        <v>2023-06-10T09:08:40Z</v>
      </c>
      <c r="X242" s="16"/>
      <c r="Y242" s="16"/>
      <c r="Z242" s="16"/>
    </row>
    <row r="243">
      <c r="A243" s="16" t="str">
        <f>IFERROR(__xludf.DUMMYFUNCTION("""COMPUTED_VALUE"""),"5274257_1296081")</f>
        <v>5274257_1296081</v>
      </c>
      <c r="B243" s="16" t="str">
        <f>IFERROR(__xludf.DUMMYFUNCTION("""COMPUTED_VALUE"""),"Polina Savchenko")</f>
        <v>Polina Savchenko</v>
      </c>
      <c r="C243" s="16" t="str">
        <f>IFERROR(__xludf.DUMMYFUNCTION("""COMPUTED_VALUE"""),"realized")</f>
        <v>realized</v>
      </c>
      <c r="D243" s="16" t="str">
        <f>IFERROR(__xludf.DUMMYFUNCTION("""COMPUTED_VALUE"""),"No")</f>
        <v>No</v>
      </c>
      <c r="E243" s="16" t="str">
        <f>IFERROR(__xludf.DUMMYFUNCTION("""COMPUTED_VALUE"""),"p_fb16a25d9638476b972e96e4014d477a5931f4db@inbound.aiesec.org")</f>
        <v>p_fb16a25d9638476b972e96e4014d477a5931f4db@inbound.aiesec.org</v>
      </c>
      <c r="F243" s="16">
        <f>IFERROR(__xludf.DUMMYFUNCTION("""COMPUTED_VALUE"""),9.64919242E8)</f>
        <v>964919242</v>
      </c>
      <c r="G243" s="16" t="str">
        <f>IFERROR(__xludf.DUMMYFUNCTION("""COMPUTED_VALUE"""),"Ukraine")</f>
        <v>Ukraine</v>
      </c>
      <c r="H243" s="16" t="str">
        <f>IFERROR(__xludf.DUMMYFUNCTION("""COMPUTED_VALUE"""),"KHARKIV")</f>
        <v>KHARKIV</v>
      </c>
      <c r="I243" s="16" t="str">
        <f>IFERROR(__xludf.DUMMYFUNCTION("""COMPUTED_VALUE"""),"Turkey")</f>
        <v>Turkey</v>
      </c>
      <c r="J243" s="16" t="str">
        <f>IFERROR(__xludf.DUMMYFUNCTION("""COMPUTED_VALUE"""),"ISTANBUL")</f>
        <v>ISTANBUL</v>
      </c>
      <c r="K243" s="17" t="str">
        <f>IFERROR(__xludf.DUMMYFUNCTION("""COMPUTED_VALUE"""),"https://expa.aiesec.org/opportunities/1296081")</f>
        <v>https://expa.aiesec.org/opportunities/1296081</v>
      </c>
      <c r="L243" s="16" t="str">
        <f>IFERROR(__xludf.DUMMYFUNCTION("""COMPUTED_VALUE"""),"GTa")</f>
        <v>GTa</v>
      </c>
      <c r="M243" s="16" t="str">
        <f>IFERROR(__xludf.DUMMYFUNCTION("""COMPUTED_VALUE"""),"long")</f>
        <v>long</v>
      </c>
      <c r="N243" s="18">
        <f>IFERROR(__xludf.DUMMYFUNCTION("""COMPUTED_VALUE"""),45091.0)</f>
        <v>45091</v>
      </c>
      <c r="O243" s="18">
        <f>IFERROR(__xludf.DUMMYFUNCTION("""COMPUTED_VALUE"""),45124.0)</f>
        <v>45124</v>
      </c>
      <c r="P243" s="18">
        <f>IFERROR(__xludf.DUMMYFUNCTION("""COMPUTED_VALUE"""),45492.0)</f>
        <v>45492</v>
      </c>
      <c r="Q243" s="18">
        <f>IFERROR(__xludf.DUMMYFUNCTION("""COMPUTED_VALUE"""),45145.0)</f>
        <v>45145</v>
      </c>
      <c r="R243" s="18">
        <f>IFERROR(__xludf.DUMMYFUNCTION("""COMPUTED_VALUE"""),45513.0)</f>
        <v>45513</v>
      </c>
      <c r="S243" s="16"/>
      <c r="T243" s="16" t="str">
        <f>IFERROR(__xludf.DUMMYFUNCTION("""COMPUTED_VALUE"""),"Business Administration")</f>
        <v>Business Administration</v>
      </c>
      <c r="U243" s="16" t="str">
        <f>IFERROR(__xludf.DUMMYFUNCTION("""COMPUTED_VALUE"""),"Customer Success Specialist in Istanbul")</f>
        <v>Customer Success Specialist in Istanbul</v>
      </c>
      <c r="V243" s="16" t="str">
        <f>IFERROR(__xludf.DUMMYFUNCTION("""COMPUTED_VALUE"""),"Zaporizhzhia ")</f>
        <v>Zaporizhzhia </v>
      </c>
      <c r="W243" s="16" t="str">
        <f>IFERROR(__xludf.DUMMYFUNCTION("""COMPUTED_VALUE"""),"2023-06-12T10:02:48Z")</f>
        <v>2023-06-12T10:02:48Z</v>
      </c>
      <c r="X243" s="16"/>
      <c r="Y243" s="16"/>
      <c r="Z243" s="16"/>
    </row>
    <row r="244">
      <c r="A244" s="16" t="str">
        <f>IFERROR(__xludf.DUMMYFUNCTION("""COMPUTED_VALUE"""),"5274806_1293969")</f>
        <v>5274806_1293969</v>
      </c>
      <c r="B244" s="16" t="str">
        <f>IFERROR(__xludf.DUMMYFUNCTION("""COMPUTED_VALUE"""),"tulu ebrar tokdemir")</f>
        <v>tulu ebrar tokdemir</v>
      </c>
      <c r="C244" s="16" t="str">
        <f>IFERROR(__xludf.DUMMYFUNCTION("""COMPUTED_VALUE"""),"completed")</f>
        <v>completed</v>
      </c>
      <c r="D244" s="16" t="str">
        <f>IFERROR(__xludf.DUMMYFUNCTION("""COMPUTED_VALUE"""),"No")</f>
        <v>No</v>
      </c>
      <c r="E244" s="16" t="str">
        <f>IFERROR(__xludf.DUMMYFUNCTION("""COMPUTED_VALUE"""),"p_f5b83c8fd864c6d0cbb3583dd3daad6f2b72d2fb@inbound.aiesec.org")</f>
        <v>p_f5b83c8fd864c6d0cbb3583dd3daad6f2b72d2fb@inbound.aiesec.org</v>
      </c>
      <c r="F244" s="16">
        <f>IFERROR(__xludf.DUMMYFUNCTION("""COMPUTED_VALUE"""),5.533615343E9)</f>
        <v>5533615343</v>
      </c>
      <c r="G244" s="16" t="str">
        <f>IFERROR(__xludf.DUMMYFUNCTION("""COMPUTED_VALUE"""),"Turkey")</f>
        <v>Turkey</v>
      </c>
      <c r="H244" s="16" t="str">
        <f>IFERROR(__xludf.DUMMYFUNCTION("""COMPUTED_VALUE"""),"ISTANBUL")</f>
        <v>ISTANBUL</v>
      </c>
      <c r="I244" s="16" t="str">
        <f>IFERROR(__xludf.DUMMYFUNCTION("""COMPUTED_VALUE"""),"Egypt")</f>
        <v>Egypt</v>
      </c>
      <c r="J244" s="16" t="str">
        <f>IFERROR(__xludf.DUMMYFUNCTION("""COMPUTED_VALUE"""),"Ain Shams University")</f>
        <v>Ain Shams University</v>
      </c>
      <c r="K244" s="17" t="str">
        <f>IFERROR(__xludf.DUMMYFUNCTION("""COMPUTED_VALUE"""),"https://expa.aiesec.org/opportunities/1293969")</f>
        <v>https://expa.aiesec.org/opportunities/1293969</v>
      </c>
      <c r="L244" s="16" t="str">
        <f>IFERROR(__xludf.DUMMYFUNCTION("""COMPUTED_VALUE"""),"GV")</f>
        <v>GV</v>
      </c>
      <c r="M244" s="16" t="str">
        <f>IFERROR(__xludf.DUMMYFUNCTION("""COMPUTED_VALUE"""),"short")</f>
        <v>short</v>
      </c>
      <c r="N244" s="18">
        <f>IFERROR(__xludf.DUMMYFUNCTION("""COMPUTED_VALUE"""),45092.0)</f>
        <v>45092</v>
      </c>
      <c r="O244" s="18">
        <f>IFERROR(__xludf.DUMMYFUNCTION("""COMPUTED_VALUE"""),45124.0)</f>
        <v>45124</v>
      </c>
      <c r="P244" s="18">
        <f>IFERROR(__xludf.DUMMYFUNCTION("""COMPUTED_VALUE"""),45166.0)</f>
        <v>45166</v>
      </c>
      <c r="Q244" s="18">
        <f>IFERROR(__xludf.DUMMYFUNCTION("""COMPUTED_VALUE"""),45124.0)</f>
        <v>45124</v>
      </c>
      <c r="R244" s="18">
        <f>IFERROR(__xludf.DUMMYFUNCTION("""COMPUTED_VALUE"""),45168.0)</f>
        <v>45168</v>
      </c>
      <c r="S244" s="16"/>
      <c r="T244" s="16"/>
      <c r="U244" s="16" t="str">
        <f>IFERROR(__xludf.DUMMYFUNCTION("""COMPUTED_VALUE"""),"Heartbeat")</f>
        <v>Heartbeat</v>
      </c>
      <c r="V244" s="16" t="str">
        <f>IFERROR(__xludf.DUMMYFUNCTION("""COMPUTED_VALUE"""),"ISTANBUL - BAKIRKOY")</f>
        <v>ISTANBUL - BAKIRKOY</v>
      </c>
      <c r="W244" s="16" t="str">
        <f>IFERROR(__xludf.DUMMYFUNCTION("""COMPUTED_VALUE"""),"2023-06-13T11:16:38Z")</f>
        <v>2023-06-13T11:16:38Z</v>
      </c>
      <c r="X244" s="16"/>
      <c r="Y244" s="16"/>
      <c r="Z244" s="16"/>
    </row>
    <row r="245">
      <c r="A245" s="16" t="str">
        <f>IFERROR(__xludf.DUMMYFUNCTION("""COMPUTED_VALUE"""),"4547192_1289850")</f>
        <v>4547192_1289850</v>
      </c>
      <c r="B245" s="16" t="str">
        <f>IFERROR(__xludf.DUMMYFUNCTION("""COMPUTED_VALUE"""),"Gülce Beyter")</f>
        <v>Gülce Beyter</v>
      </c>
      <c r="C245" s="16" t="str">
        <f>IFERROR(__xludf.DUMMYFUNCTION("""COMPUTED_VALUE"""),"completed")</f>
        <v>completed</v>
      </c>
      <c r="D245" s="16" t="str">
        <f>IFERROR(__xludf.DUMMYFUNCTION("""COMPUTED_VALUE"""),"No")</f>
        <v>No</v>
      </c>
      <c r="E245" s="16" t="str">
        <f>IFERROR(__xludf.DUMMYFUNCTION("""COMPUTED_VALUE"""),"p_366198f43417daf3b330262ecf78dcd6842fdb19@inbound.aiesec.org")</f>
        <v>p_366198f43417daf3b330262ecf78dcd6842fdb19@inbound.aiesec.org</v>
      </c>
      <c r="F245" s="16"/>
      <c r="G245" s="16" t="str">
        <f>IFERROR(__xludf.DUMMYFUNCTION("""COMPUTED_VALUE"""),"Turkey")</f>
        <v>Turkey</v>
      </c>
      <c r="H245" s="16" t="str">
        <f>IFERROR(__xludf.DUMMYFUNCTION("""COMPUTED_VALUE"""),"ISTANBUL")</f>
        <v>ISTANBUL</v>
      </c>
      <c r="I245" s="16" t="str">
        <f>IFERROR(__xludf.DUMMYFUNCTION("""COMPUTED_VALUE"""),"India")</f>
        <v>India</v>
      </c>
      <c r="J245" s="16" t="str">
        <f>IFERROR(__xludf.DUMMYFUNCTION("""COMPUTED_VALUE"""),"Mumbai")</f>
        <v>Mumbai</v>
      </c>
      <c r="K245" s="17" t="str">
        <f>IFERROR(__xludf.DUMMYFUNCTION("""COMPUTED_VALUE"""),"https://expa.aiesec.org/opportunities/1289850")</f>
        <v>https://expa.aiesec.org/opportunities/1289850</v>
      </c>
      <c r="L245" s="16" t="str">
        <f>IFERROR(__xludf.DUMMYFUNCTION("""COMPUTED_VALUE"""),"GV")</f>
        <v>GV</v>
      </c>
      <c r="M245" s="16" t="str">
        <f>IFERROR(__xludf.DUMMYFUNCTION("""COMPUTED_VALUE"""),"short")</f>
        <v>short</v>
      </c>
      <c r="N245" s="18">
        <f>IFERROR(__xludf.DUMMYFUNCTION("""COMPUTED_VALUE"""),45094.0)</f>
        <v>45094</v>
      </c>
      <c r="O245" s="18">
        <f>IFERROR(__xludf.DUMMYFUNCTION("""COMPUTED_VALUE"""),45108.0)</f>
        <v>45108</v>
      </c>
      <c r="P245" s="18">
        <f>IFERROR(__xludf.DUMMYFUNCTION("""COMPUTED_VALUE"""),45150.0)</f>
        <v>45150</v>
      </c>
      <c r="Q245" s="18">
        <f>IFERROR(__xludf.DUMMYFUNCTION("""COMPUTED_VALUE"""),45116.0)</f>
        <v>45116</v>
      </c>
      <c r="R245" s="18">
        <f>IFERROR(__xludf.DUMMYFUNCTION("""COMPUTED_VALUE"""),45158.0)</f>
        <v>45158</v>
      </c>
      <c r="S245" s="16"/>
      <c r="T245" s="16"/>
      <c r="U245" s="16" t="str">
        <f>IFERROR(__xludf.DUMMYFUNCTION("""COMPUTED_VALUE"""),"Global Classroom")</f>
        <v>Global Classroom</v>
      </c>
      <c r="V245" s="16" t="str">
        <f>IFERROR(__xludf.DUMMYFUNCTION("""COMPUTED_VALUE"""),"ISTANBUL - BEYOGLU")</f>
        <v>ISTANBUL - BEYOGLU</v>
      </c>
      <c r="W245" s="16" t="str">
        <f>IFERROR(__xludf.DUMMYFUNCTION("""COMPUTED_VALUE"""),"2021-02-16T14:44:47Z")</f>
        <v>2021-02-16T14:44:47Z</v>
      </c>
      <c r="X245" s="16"/>
      <c r="Y245" s="16"/>
      <c r="Z245" s="16"/>
    </row>
    <row r="246">
      <c r="A246" s="16" t="str">
        <f>IFERROR(__xludf.DUMMYFUNCTION("""COMPUTED_VALUE"""),"5269154_1285555")</f>
        <v>5269154_1285555</v>
      </c>
      <c r="B246" s="16" t="str">
        <f>IFERROR(__xludf.DUMMYFUNCTION("""COMPUTED_VALUE"""),"nour cherif")</f>
        <v>nour cherif</v>
      </c>
      <c r="C246" s="16" t="str">
        <f>IFERROR(__xludf.DUMMYFUNCTION("""COMPUTED_VALUE"""),"approved")</f>
        <v>approved</v>
      </c>
      <c r="D246" s="16" t="str">
        <f>IFERROR(__xludf.DUMMYFUNCTION("""COMPUTED_VALUE"""),"No")</f>
        <v>No</v>
      </c>
      <c r="E246" s="16" t="str">
        <f>IFERROR(__xludf.DUMMYFUNCTION("""COMPUTED_VALUE"""),"p_df0a50c172a18e420a80e80b2d439c313749e48a@inbound.aiesec.org")</f>
        <v>p_df0a50c172a18e420a80e80b2d439c313749e48a@inbound.aiesec.org</v>
      </c>
      <c r="F246" s="16"/>
      <c r="G246" s="16" t="str">
        <f>IFERROR(__xludf.DUMMYFUNCTION("""COMPUTED_VALUE"""),"Tunisia")</f>
        <v>Tunisia</v>
      </c>
      <c r="H246" s="16" t="str">
        <f>IFERROR(__xludf.DUMMYFUNCTION("""COMPUTED_VALUE"""),"HADRUMET")</f>
        <v>HADRUMET</v>
      </c>
      <c r="I246" s="16" t="str">
        <f>IFERROR(__xludf.DUMMYFUNCTION("""COMPUTED_VALUE"""),"Turkey")</f>
        <v>Turkey</v>
      </c>
      <c r="J246" s="16" t="str">
        <f>IFERROR(__xludf.DUMMYFUNCTION("""COMPUTED_VALUE"""),"ISTANBUL")</f>
        <v>ISTANBUL</v>
      </c>
      <c r="K246" s="17" t="str">
        <f>IFERROR(__xludf.DUMMYFUNCTION("""COMPUTED_VALUE"""),"https://expa.aiesec.org/opportunities/1285555")</f>
        <v>https://expa.aiesec.org/opportunities/1285555</v>
      </c>
      <c r="L246" s="16" t="str">
        <f>IFERROR(__xludf.DUMMYFUNCTION("""COMPUTED_VALUE"""),"GTa")</f>
        <v>GTa</v>
      </c>
      <c r="M246" s="16" t="str">
        <f>IFERROR(__xludf.DUMMYFUNCTION("""COMPUTED_VALUE"""),"long")</f>
        <v>long</v>
      </c>
      <c r="N246" s="18">
        <f>IFERROR(__xludf.DUMMYFUNCTION("""COMPUTED_VALUE"""),45094.0)</f>
        <v>45094</v>
      </c>
      <c r="O246" s="18">
        <f>IFERROR(__xludf.DUMMYFUNCTION("""COMPUTED_VALUE"""),45117.0)</f>
        <v>45117</v>
      </c>
      <c r="P246" s="18">
        <f>IFERROR(__xludf.DUMMYFUNCTION("""COMPUTED_VALUE"""),45310.0)</f>
        <v>45310</v>
      </c>
      <c r="Q246" s="18"/>
      <c r="R246" s="18"/>
      <c r="S246" s="16"/>
      <c r="T246" s="16" t="str">
        <f>IFERROR(__xludf.DUMMYFUNCTION("""COMPUTED_VALUE"""),"Business Administration")</f>
        <v>Business Administration</v>
      </c>
      <c r="U246" s="16" t="str">
        <f>IFERROR(__xludf.DUMMYFUNCTION("""COMPUTED_VALUE"""),"Customer Support Junior Specialist")</f>
        <v>Customer Support Junior Specialist</v>
      </c>
      <c r="V246" s="16" t="str">
        <f>IFERROR(__xludf.DUMMYFUNCTION("""COMPUTED_VALUE"""),"-")</f>
        <v>-</v>
      </c>
      <c r="W246" s="16" t="str">
        <f>IFERROR(__xludf.DUMMYFUNCTION("""COMPUTED_VALUE"""),"2023-05-30T21:37:26Z")</f>
        <v>2023-05-30T21:37:26Z</v>
      </c>
      <c r="X246" s="16"/>
      <c r="Y246" s="16"/>
      <c r="Z246" s="16"/>
    </row>
    <row r="247">
      <c r="A247" s="16" t="str">
        <f>IFERROR(__xludf.DUMMYFUNCTION("""COMPUTED_VALUE"""),"5276238_1295875")</f>
        <v>5276238_1295875</v>
      </c>
      <c r="B247" s="16" t="str">
        <f>IFERROR(__xludf.DUMMYFUNCTION("""COMPUTED_VALUE"""),"Fatma Asar")</f>
        <v>Fatma Asar</v>
      </c>
      <c r="C247" s="16" t="str">
        <f>IFERROR(__xludf.DUMMYFUNCTION("""COMPUTED_VALUE"""),"completed")</f>
        <v>completed</v>
      </c>
      <c r="D247" s="16" t="str">
        <f>IFERROR(__xludf.DUMMYFUNCTION("""COMPUTED_VALUE"""),"No")</f>
        <v>No</v>
      </c>
      <c r="E247" s="16" t="str">
        <f>IFERROR(__xludf.DUMMYFUNCTION("""COMPUTED_VALUE"""),"p_7dd451b3faad136613935dd8ec4c71e3dca8220c@inbound.aiesec.org")</f>
        <v>p_7dd451b3faad136613935dd8ec4c71e3dca8220c@inbound.aiesec.org</v>
      </c>
      <c r="F247" s="16">
        <f>IFERROR(__xludf.DUMMYFUNCTION("""COMPUTED_VALUE"""),5.384183838E9)</f>
        <v>5384183838</v>
      </c>
      <c r="G247" s="16" t="str">
        <f>IFERROR(__xludf.DUMMYFUNCTION("""COMPUTED_VALUE"""),"Turkey")</f>
        <v>Turkey</v>
      </c>
      <c r="H247" s="16" t="str">
        <f>IFERROR(__xludf.DUMMYFUNCTION("""COMPUTED_VALUE"""),"ISTANBUL")</f>
        <v>ISTANBUL</v>
      </c>
      <c r="I247" s="16" t="str">
        <f>IFERROR(__xludf.DUMMYFUNCTION("""COMPUTED_VALUE"""),"Egypt")</f>
        <v>Egypt</v>
      </c>
      <c r="J247" s="16" t="str">
        <f>IFERROR(__xludf.DUMMYFUNCTION("""COMPUTED_VALUE"""),"Cairo University")</f>
        <v>Cairo University</v>
      </c>
      <c r="K247" s="17" t="str">
        <f>IFERROR(__xludf.DUMMYFUNCTION("""COMPUTED_VALUE"""),"https://expa.aiesec.org/opportunities/1295875")</f>
        <v>https://expa.aiesec.org/opportunities/1295875</v>
      </c>
      <c r="L247" s="16" t="str">
        <f>IFERROR(__xludf.DUMMYFUNCTION("""COMPUTED_VALUE"""),"GV")</f>
        <v>GV</v>
      </c>
      <c r="M247" s="16" t="str">
        <f>IFERROR(__xludf.DUMMYFUNCTION("""COMPUTED_VALUE"""),"short")</f>
        <v>short</v>
      </c>
      <c r="N247" s="18">
        <f>IFERROR(__xludf.DUMMYFUNCTION("""COMPUTED_VALUE"""),45095.0)</f>
        <v>45095</v>
      </c>
      <c r="O247" s="18">
        <f>IFERROR(__xludf.DUMMYFUNCTION("""COMPUTED_VALUE"""),45158.0)</f>
        <v>45158</v>
      </c>
      <c r="P247" s="18">
        <f>IFERROR(__xludf.DUMMYFUNCTION("""COMPUTED_VALUE"""),45202.0)</f>
        <v>45202</v>
      </c>
      <c r="Q247" s="18"/>
      <c r="R247" s="18">
        <f>IFERROR(__xludf.DUMMYFUNCTION("""COMPUTED_VALUE"""),45200.0)</f>
        <v>45200</v>
      </c>
      <c r="S247" s="16"/>
      <c r="T247" s="16"/>
      <c r="U247" s="16" t="str">
        <f>IFERROR(__xludf.DUMMYFUNCTION("""COMPUTED_VALUE"""),"Global Classroom")</f>
        <v>Global Classroom</v>
      </c>
      <c r="V247" s="16" t="str">
        <f>IFERROR(__xludf.DUMMYFUNCTION("""COMPUTED_VALUE"""),"ISTANBUL - BEYOGLU")</f>
        <v>ISTANBUL - BEYOGLU</v>
      </c>
      <c r="W247" s="16" t="str">
        <f>IFERROR(__xludf.DUMMYFUNCTION("""COMPUTED_VALUE"""),"2023-06-17T05:23:43Z")</f>
        <v>2023-06-17T05:23:43Z</v>
      </c>
      <c r="X247" s="16"/>
      <c r="Y247" s="16"/>
      <c r="Z247" s="16"/>
    </row>
    <row r="248">
      <c r="A248" s="16" t="str">
        <f>IFERROR(__xludf.DUMMYFUNCTION("""COMPUTED_VALUE"""),"5269024_1294916")</f>
        <v>5269024_1294916</v>
      </c>
      <c r="B248" s="16" t="str">
        <f>IFERROR(__xludf.DUMMYFUNCTION("""COMPUTED_VALUE"""),"Fatma Betül Yılmaz")</f>
        <v>Fatma Betül Yılmaz</v>
      </c>
      <c r="C248" s="16" t="str">
        <f>IFERROR(__xludf.DUMMYFUNCTION("""COMPUTED_VALUE"""),"completed")</f>
        <v>completed</v>
      </c>
      <c r="D248" s="16" t="str">
        <f>IFERROR(__xludf.DUMMYFUNCTION("""COMPUTED_VALUE"""),"No")</f>
        <v>No</v>
      </c>
      <c r="E248" s="16" t="str">
        <f>IFERROR(__xludf.DUMMYFUNCTION("""COMPUTED_VALUE"""),"p_b0a992ba10d9f70dd92c3c316e4d2dd082924c59@inbound.aiesec.org")</f>
        <v>p_b0a992ba10d9f70dd92c3c316e4d2dd082924c59@inbound.aiesec.org</v>
      </c>
      <c r="F248" s="16">
        <f>IFERROR(__xludf.DUMMYFUNCTION("""COMPUTED_VALUE"""),5.462424567E9)</f>
        <v>5462424567</v>
      </c>
      <c r="G248" s="16" t="str">
        <f>IFERROR(__xludf.DUMMYFUNCTION("""COMPUTED_VALUE"""),"Turkey")</f>
        <v>Turkey</v>
      </c>
      <c r="H248" s="16" t="str">
        <f>IFERROR(__xludf.DUMMYFUNCTION("""COMPUTED_VALUE"""),"ISTANBUL")</f>
        <v>ISTANBUL</v>
      </c>
      <c r="I248" s="16" t="str">
        <f>IFERROR(__xludf.DUMMYFUNCTION("""COMPUTED_VALUE"""),"Morocco")</f>
        <v>Morocco</v>
      </c>
      <c r="J248" s="16" t="str">
        <f>IFERROR(__xludf.DUMMYFUNCTION("""COMPUTED_VALUE"""),"Casablanca")</f>
        <v>Casablanca</v>
      </c>
      <c r="K248" s="17" t="str">
        <f>IFERROR(__xludf.DUMMYFUNCTION("""COMPUTED_VALUE"""),"https://expa.aiesec.org/opportunities/1294916")</f>
        <v>https://expa.aiesec.org/opportunities/1294916</v>
      </c>
      <c r="L248" s="16" t="str">
        <f>IFERROR(__xludf.DUMMYFUNCTION("""COMPUTED_VALUE"""),"GV")</f>
        <v>GV</v>
      </c>
      <c r="M248" s="16" t="str">
        <f>IFERROR(__xludf.DUMMYFUNCTION("""COMPUTED_VALUE"""),"short")</f>
        <v>short</v>
      </c>
      <c r="N248" s="18">
        <f>IFERROR(__xludf.DUMMYFUNCTION("""COMPUTED_VALUE"""),45096.0)</f>
        <v>45096</v>
      </c>
      <c r="O248" s="18">
        <f>IFERROR(__xludf.DUMMYFUNCTION("""COMPUTED_VALUE"""),45114.0)</f>
        <v>45114</v>
      </c>
      <c r="P248" s="18">
        <f>IFERROR(__xludf.DUMMYFUNCTION("""COMPUTED_VALUE"""),45156.0)</f>
        <v>45156</v>
      </c>
      <c r="Q248" s="18">
        <f>IFERROR(__xludf.DUMMYFUNCTION("""COMPUTED_VALUE"""),45112.0)</f>
        <v>45112</v>
      </c>
      <c r="R248" s="18">
        <f>IFERROR(__xludf.DUMMYFUNCTION("""COMPUTED_VALUE"""),45156.0)</f>
        <v>45156</v>
      </c>
      <c r="S248" s="16"/>
      <c r="T248" s="16"/>
      <c r="U248" s="16" t="str">
        <f>IFERROR(__xludf.DUMMYFUNCTION("""COMPUTED_VALUE"""),"Global Classroom")</f>
        <v>Global Classroom</v>
      </c>
      <c r="V248" s="16" t="str">
        <f>IFERROR(__xludf.DUMMYFUNCTION("""COMPUTED_VALUE"""),"ISTANBUL - BEYOGLU")</f>
        <v>ISTANBUL - BEYOGLU</v>
      </c>
      <c r="W248" s="16" t="str">
        <f>IFERROR(__xludf.DUMMYFUNCTION("""COMPUTED_VALUE"""),"2023-05-30T18:43:35Z")</f>
        <v>2023-05-30T18:43:35Z</v>
      </c>
      <c r="X248" s="16"/>
      <c r="Y248" s="16"/>
      <c r="Z248" s="16"/>
    </row>
    <row r="249">
      <c r="A249" s="16" t="str">
        <f>IFERROR(__xludf.DUMMYFUNCTION("""COMPUTED_VALUE"""),"5276160_1293477")</f>
        <v>5276160_1293477</v>
      </c>
      <c r="B249" s="16" t="str">
        <f>IFERROR(__xludf.DUMMYFUNCTION("""COMPUTED_VALUE"""),"Rabiya Balta")</f>
        <v>Rabiya Balta</v>
      </c>
      <c r="C249" s="16" t="str">
        <f>IFERROR(__xludf.DUMMYFUNCTION("""COMPUTED_VALUE"""),"completed")</f>
        <v>completed</v>
      </c>
      <c r="D249" s="16" t="str">
        <f>IFERROR(__xludf.DUMMYFUNCTION("""COMPUTED_VALUE"""),"No")</f>
        <v>No</v>
      </c>
      <c r="E249" s="16" t="str">
        <f>IFERROR(__xludf.DUMMYFUNCTION("""COMPUTED_VALUE"""),"p_64a00117e834d7601ab8b2c024f1e5e4a1507175@inbound.aiesec.org")</f>
        <v>p_64a00117e834d7601ab8b2c024f1e5e4a1507175@inbound.aiesec.org</v>
      </c>
      <c r="F249" s="16">
        <f>IFERROR(__xludf.DUMMYFUNCTION("""COMPUTED_VALUE"""),5.439371983E9)</f>
        <v>5439371983</v>
      </c>
      <c r="G249" s="16" t="str">
        <f>IFERROR(__xludf.DUMMYFUNCTION("""COMPUTED_VALUE"""),"Turkey")</f>
        <v>Turkey</v>
      </c>
      <c r="H249" s="16" t="str">
        <f>IFERROR(__xludf.DUMMYFUNCTION("""COMPUTED_VALUE"""),"ISTANBUL")</f>
        <v>ISTANBUL</v>
      </c>
      <c r="I249" s="16" t="str">
        <f>IFERROR(__xludf.DUMMYFUNCTION("""COMPUTED_VALUE"""),"Egypt")</f>
        <v>Egypt</v>
      </c>
      <c r="J249" s="16" t="str">
        <f>IFERROR(__xludf.DUMMYFUNCTION("""COMPUTED_VALUE"""),"GUC")</f>
        <v>GUC</v>
      </c>
      <c r="K249" s="17" t="str">
        <f>IFERROR(__xludf.DUMMYFUNCTION("""COMPUTED_VALUE"""),"https://expa.aiesec.org/opportunities/1293477")</f>
        <v>https://expa.aiesec.org/opportunities/1293477</v>
      </c>
      <c r="L249" s="16" t="str">
        <f>IFERROR(__xludf.DUMMYFUNCTION("""COMPUTED_VALUE"""),"GV")</f>
        <v>GV</v>
      </c>
      <c r="M249" s="16" t="str">
        <f>IFERROR(__xludf.DUMMYFUNCTION("""COMPUTED_VALUE"""),"short")</f>
        <v>short</v>
      </c>
      <c r="N249" s="18">
        <f>IFERROR(__xludf.DUMMYFUNCTION("""COMPUTED_VALUE"""),45097.0)</f>
        <v>45097</v>
      </c>
      <c r="O249" s="18">
        <f>IFERROR(__xludf.DUMMYFUNCTION("""COMPUTED_VALUE"""),45116.0)</f>
        <v>45116</v>
      </c>
      <c r="P249" s="18">
        <f>IFERROR(__xludf.DUMMYFUNCTION("""COMPUTED_VALUE"""),45158.0)</f>
        <v>45158</v>
      </c>
      <c r="Q249" s="18">
        <f>IFERROR(__xludf.DUMMYFUNCTION("""COMPUTED_VALUE"""),45118.0)</f>
        <v>45118</v>
      </c>
      <c r="R249" s="18">
        <f>IFERROR(__xludf.DUMMYFUNCTION("""COMPUTED_VALUE"""),45158.0)</f>
        <v>45158</v>
      </c>
      <c r="S249" s="16"/>
      <c r="T249" s="16"/>
      <c r="U249" s="16" t="str">
        <f>IFERROR(__xludf.DUMMYFUNCTION("""COMPUTED_VALUE"""),"Raise Your Voice")</f>
        <v>Raise Your Voice</v>
      </c>
      <c r="V249" s="16" t="str">
        <f>IFERROR(__xludf.DUMMYFUNCTION("""COMPUTED_VALUE"""),"ISTANBUL - BEYOGLU")</f>
        <v>ISTANBUL - BEYOGLU</v>
      </c>
      <c r="W249" s="16" t="str">
        <f>IFERROR(__xludf.DUMMYFUNCTION("""COMPUTED_VALUE"""),"2023-06-16T20:57:42Z")</f>
        <v>2023-06-16T20:57:42Z</v>
      </c>
      <c r="X249" s="16"/>
      <c r="Y249" s="16"/>
      <c r="Z249" s="16"/>
    </row>
    <row r="250">
      <c r="A250" s="16" t="str">
        <f>IFERROR(__xludf.DUMMYFUNCTION("""COMPUTED_VALUE"""),"5251769_1293245")</f>
        <v>5251769_1293245</v>
      </c>
      <c r="B250" s="16" t="str">
        <f>IFERROR(__xludf.DUMMYFUNCTION("""COMPUTED_VALUE"""),"bilge eylül şahin")</f>
        <v>bilge eylül şahin</v>
      </c>
      <c r="C250" s="16" t="str">
        <f>IFERROR(__xludf.DUMMYFUNCTION("""COMPUTED_VALUE"""),"completed")</f>
        <v>completed</v>
      </c>
      <c r="D250" s="16" t="str">
        <f>IFERROR(__xludf.DUMMYFUNCTION("""COMPUTED_VALUE"""),"No")</f>
        <v>No</v>
      </c>
      <c r="E250" s="16" t="str">
        <f>IFERROR(__xludf.DUMMYFUNCTION("""COMPUTED_VALUE"""),"p_31e013f3c974b5dbfdc4d9b2632b595516a6c8ab@inbound.aiesec.org")</f>
        <v>p_31e013f3c974b5dbfdc4d9b2632b595516a6c8ab@inbound.aiesec.org</v>
      </c>
      <c r="F250" s="16">
        <f>IFERROR(__xludf.DUMMYFUNCTION("""COMPUTED_VALUE"""),5.300158187E9)</f>
        <v>5300158187</v>
      </c>
      <c r="G250" s="16" t="str">
        <f>IFERROR(__xludf.DUMMYFUNCTION("""COMPUTED_VALUE"""),"Turkey")</f>
        <v>Turkey</v>
      </c>
      <c r="H250" s="16" t="str">
        <f>IFERROR(__xludf.DUMMYFUNCTION("""COMPUTED_VALUE"""),"ISTANBUL")</f>
        <v>ISTANBUL</v>
      </c>
      <c r="I250" s="16" t="str">
        <f>IFERROR(__xludf.DUMMYFUNCTION("""COMPUTED_VALUE"""),"Germany")</f>
        <v>Germany</v>
      </c>
      <c r="J250" s="16" t="str">
        <f>IFERROR(__xludf.DUMMYFUNCTION("""COMPUTED_VALUE"""),"LUENEBURG")</f>
        <v>LUENEBURG</v>
      </c>
      <c r="K250" s="17" t="str">
        <f>IFERROR(__xludf.DUMMYFUNCTION("""COMPUTED_VALUE"""),"https://expa.aiesec.org/opportunities/1293245")</f>
        <v>https://expa.aiesec.org/opportunities/1293245</v>
      </c>
      <c r="L250" s="16" t="str">
        <f>IFERROR(__xludf.DUMMYFUNCTION("""COMPUTED_VALUE"""),"GV")</f>
        <v>GV</v>
      </c>
      <c r="M250" s="16" t="str">
        <f>IFERROR(__xludf.DUMMYFUNCTION("""COMPUTED_VALUE"""),"short")</f>
        <v>short</v>
      </c>
      <c r="N250" s="18">
        <f>IFERROR(__xludf.DUMMYFUNCTION("""COMPUTED_VALUE"""),45098.0)</f>
        <v>45098</v>
      </c>
      <c r="O250" s="18">
        <f>IFERROR(__xludf.DUMMYFUNCTION("""COMPUTED_VALUE"""),45122.0)</f>
        <v>45122</v>
      </c>
      <c r="P250" s="18">
        <f>IFERROR(__xludf.DUMMYFUNCTION("""COMPUTED_VALUE"""),45164.0)</f>
        <v>45164</v>
      </c>
      <c r="Q250" s="18">
        <f>IFERROR(__xludf.DUMMYFUNCTION("""COMPUTED_VALUE"""),45122.0)</f>
        <v>45122</v>
      </c>
      <c r="R250" s="18">
        <f>IFERROR(__xludf.DUMMYFUNCTION("""COMPUTED_VALUE"""),45164.0)</f>
        <v>45164</v>
      </c>
      <c r="S250" s="16"/>
      <c r="T250" s="16"/>
      <c r="U250" s="16" t="str">
        <f>IFERROR(__xludf.DUMMYFUNCTION("""COMPUTED_VALUE"""),"Eco City")</f>
        <v>Eco City</v>
      </c>
      <c r="V250" s="16" t="str">
        <f>IFERROR(__xludf.DUMMYFUNCTION("""COMPUTED_VALUE"""),"ISTANBUL - BEYOGLU")</f>
        <v>ISTANBUL - BEYOGLU</v>
      </c>
      <c r="W250" s="16" t="str">
        <f>IFERROR(__xludf.DUMMYFUNCTION("""COMPUTED_VALUE"""),"2023-04-28T12:29:30Z")</f>
        <v>2023-04-28T12:29:30Z</v>
      </c>
      <c r="X250" s="16"/>
      <c r="Y250" s="16"/>
      <c r="Z250" s="16"/>
    </row>
    <row r="251">
      <c r="A251" s="16" t="str">
        <f>IFERROR(__xludf.DUMMYFUNCTION("""COMPUTED_VALUE"""),"5279867_1289307")</f>
        <v>5279867_1289307</v>
      </c>
      <c r="B251" s="16" t="str">
        <f>IFERROR(__xludf.DUMMYFUNCTION("""COMPUTED_VALUE"""),"manjouri erij")</f>
        <v>manjouri erij</v>
      </c>
      <c r="C251" s="16" t="str">
        <f>IFERROR(__xludf.DUMMYFUNCTION("""COMPUTED_VALUE"""),"realized")</f>
        <v>realized</v>
      </c>
      <c r="D251" s="16" t="str">
        <f>IFERROR(__xludf.DUMMYFUNCTION("""COMPUTED_VALUE"""),"No")</f>
        <v>No</v>
      </c>
      <c r="E251" s="16" t="str">
        <f>IFERROR(__xludf.DUMMYFUNCTION("""COMPUTED_VALUE"""),"p_6e4b7a44ab2d87b1f7a7ad5250cc6a4f23470c00@inbound.aiesec.org")</f>
        <v>p_6e4b7a44ab2d87b1f7a7ad5250cc6a4f23470c00@inbound.aiesec.org</v>
      </c>
      <c r="F251" s="16">
        <f>IFERROR(__xludf.DUMMYFUNCTION("""COMPUTED_VALUE"""),5.2818651E7)</f>
        <v>52818651</v>
      </c>
      <c r="G251" s="16" t="str">
        <f>IFERROR(__xludf.DUMMYFUNCTION("""COMPUTED_VALUE"""),"Tunisia")</f>
        <v>Tunisia</v>
      </c>
      <c r="H251" s="16" t="str">
        <f>IFERROR(__xludf.DUMMYFUNCTION("""COMPUTED_VALUE"""),"MEDINA")</f>
        <v>MEDINA</v>
      </c>
      <c r="I251" s="16" t="str">
        <f>IFERROR(__xludf.DUMMYFUNCTION("""COMPUTED_VALUE"""),"Turkey")</f>
        <v>Turkey</v>
      </c>
      <c r="J251" s="16" t="str">
        <f>IFERROR(__xludf.DUMMYFUNCTION("""COMPUTED_VALUE"""),"ISTANBUL")</f>
        <v>ISTANBUL</v>
      </c>
      <c r="K251" s="17" t="str">
        <f>IFERROR(__xludf.DUMMYFUNCTION("""COMPUTED_VALUE"""),"https://expa.aiesec.org/opportunities/1289307")</f>
        <v>https://expa.aiesec.org/opportunities/1289307</v>
      </c>
      <c r="L251" s="16" t="str">
        <f>IFERROR(__xludf.DUMMYFUNCTION("""COMPUTED_VALUE"""),"GTe")</f>
        <v>GTe</v>
      </c>
      <c r="M251" s="16" t="str">
        <f>IFERROR(__xludf.DUMMYFUNCTION("""COMPUTED_VALUE"""),"long")</f>
        <v>long</v>
      </c>
      <c r="N251" s="18">
        <f>IFERROR(__xludf.DUMMYFUNCTION("""COMPUTED_VALUE"""),45104.0)</f>
        <v>45104</v>
      </c>
      <c r="O251" s="18">
        <f>IFERROR(__xludf.DUMMYFUNCTION("""COMPUTED_VALUE"""),45152.0)</f>
        <v>45152</v>
      </c>
      <c r="P251" s="18">
        <f>IFERROR(__xludf.DUMMYFUNCTION("""COMPUTED_VALUE"""),45522.0)</f>
        <v>45522</v>
      </c>
      <c r="Q251" s="18">
        <f>IFERROR(__xludf.DUMMYFUNCTION("""COMPUTED_VALUE"""),45152.0)</f>
        <v>45152</v>
      </c>
      <c r="R251" s="18">
        <f>IFERROR(__xludf.DUMMYFUNCTION("""COMPUTED_VALUE"""),45522.0)</f>
        <v>45522</v>
      </c>
      <c r="S251" s="16"/>
      <c r="T251" s="16"/>
      <c r="U251" s="16" t="str">
        <f>IFERROR(__xludf.DUMMYFUNCTION("""COMPUTED_VALUE"""),"Preschool English Teacher")</f>
        <v>Preschool English Teacher</v>
      </c>
      <c r="V251" s="16" t="str">
        <f>IFERROR(__xludf.DUMMYFUNCTION("""COMPUTED_VALUE"""),"FLAH")</f>
        <v>FLAH</v>
      </c>
      <c r="W251" s="16" t="str">
        <f>IFERROR(__xludf.DUMMYFUNCTION("""COMPUTED_VALUE"""),"2023-06-27T13:18:11Z")</f>
        <v>2023-06-27T13:18:11Z</v>
      </c>
      <c r="X251" s="16"/>
      <c r="Y251" s="16"/>
      <c r="Z251" s="16"/>
    </row>
    <row r="252">
      <c r="A252" s="16" t="str">
        <f>IFERROR(__xludf.DUMMYFUNCTION("""COMPUTED_VALUE"""),"5279241_1288611")</f>
        <v>5279241_1288611</v>
      </c>
      <c r="B252" s="16" t="str">
        <f>IFERROR(__xludf.DUMMYFUNCTION("""COMPUTED_VALUE"""),"Amel Boussaid")</f>
        <v>Amel Boussaid</v>
      </c>
      <c r="C252" s="16" t="str">
        <f>IFERROR(__xludf.DUMMYFUNCTION("""COMPUTED_VALUE"""),"completed")</f>
        <v>completed</v>
      </c>
      <c r="D252" s="16" t="str">
        <f>IFERROR(__xludf.DUMMYFUNCTION("""COMPUTED_VALUE"""),"No")</f>
        <v>No</v>
      </c>
      <c r="E252" s="16" t="str">
        <f>IFERROR(__xludf.DUMMYFUNCTION("""COMPUTED_VALUE"""),"p_0d63371871b3c46bafa0c1fbf1d956fa5d82c7aa@inbound.aiesec.org")</f>
        <v>p_0d63371871b3c46bafa0c1fbf1d956fa5d82c7aa@inbound.aiesec.org</v>
      </c>
      <c r="F252" s="16">
        <f>IFERROR(__xludf.DUMMYFUNCTION("""COMPUTED_VALUE"""),6.66790499E8)</f>
        <v>666790499</v>
      </c>
      <c r="G252" s="16" t="str">
        <f>IFERROR(__xludf.DUMMYFUNCTION("""COMPUTED_VALUE"""),"Algeria")</f>
        <v>Algeria</v>
      </c>
      <c r="H252" s="16" t="str">
        <f>IFERROR(__xludf.DUMMYFUNCTION("""COMPUTED_VALUE"""),"Oran")</f>
        <v>Oran</v>
      </c>
      <c r="I252" s="16" t="str">
        <f>IFERROR(__xludf.DUMMYFUNCTION("""COMPUTED_VALUE"""),"Turkey")</f>
        <v>Turkey</v>
      </c>
      <c r="J252" s="16" t="str">
        <f>IFERROR(__xludf.DUMMYFUNCTION("""COMPUTED_VALUE"""),"ISTANBUL")</f>
        <v>ISTANBUL</v>
      </c>
      <c r="K252" s="17" t="str">
        <f>IFERROR(__xludf.DUMMYFUNCTION("""COMPUTED_VALUE"""),"https://expa.aiesec.org/opportunities/1288611")</f>
        <v>https://expa.aiesec.org/opportunities/1288611</v>
      </c>
      <c r="L252" s="16" t="str">
        <f>IFERROR(__xludf.DUMMYFUNCTION("""COMPUTED_VALUE"""),"GV")</f>
        <v>GV</v>
      </c>
      <c r="M252" s="16" t="str">
        <f>IFERROR(__xludf.DUMMYFUNCTION("""COMPUTED_VALUE"""),"short")</f>
        <v>short</v>
      </c>
      <c r="N252" s="18">
        <f>IFERROR(__xludf.DUMMYFUNCTION("""COMPUTED_VALUE"""),45104.0)</f>
        <v>45104</v>
      </c>
      <c r="O252" s="18">
        <f>IFERROR(__xludf.DUMMYFUNCTION("""COMPUTED_VALUE"""),45145.0)</f>
        <v>45145</v>
      </c>
      <c r="P252" s="18">
        <f>IFERROR(__xludf.DUMMYFUNCTION("""COMPUTED_VALUE"""),45187.0)</f>
        <v>45187</v>
      </c>
      <c r="Q252" s="18">
        <f>IFERROR(__xludf.DUMMYFUNCTION("""COMPUTED_VALUE"""),45152.0)</f>
        <v>45152</v>
      </c>
      <c r="R252" s="18">
        <f>IFERROR(__xludf.DUMMYFUNCTION("""COMPUTED_VALUE"""),45192.0)</f>
        <v>45192</v>
      </c>
      <c r="S252" s="16"/>
      <c r="T252" s="16"/>
      <c r="U252" s="16" t="str">
        <f>IFERROR(__xludf.DUMMYFUNCTION("""COMPUTED_VALUE"""),"Global Classroom")</f>
        <v>Global Classroom</v>
      </c>
      <c r="V252" s="16" t="str">
        <f>IFERROR(__xludf.DUMMYFUNCTION("""COMPUTED_VALUE"""),"AIESEC in Oran")</f>
        <v>AIESEC in Oran</v>
      </c>
      <c r="W252" s="16" t="str">
        <f>IFERROR(__xludf.DUMMYFUNCTION("""COMPUTED_VALUE"""),"2023-06-25T13:29:18Z")</f>
        <v>2023-06-25T13:29:18Z</v>
      </c>
      <c r="X252" s="16"/>
      <c r="Y252" s="16"/>
      <c r="Z252" s="16"/>
    </row>
    <row r="253">
      <c r="A253" s="16" t="str">
        <f>IFERROR(__xludf.DUMMYFUNCTION("""COMPUTED_VALUE"""),"5273657_1296060")</f>
        <v>5273657_1296060</v>
      </c>
      <c r="B253" s="16" t="str">
        <f>IFERROR(__xludf.DUMMYFUNCTION("""COMPUTED_VALUE"""),"Elif Gündüzalp")</f>
        <v>Elif Gündüzalp</v>
      </c>
      <c r="C253" s="16" t="str">
        <f>IFERROR(__xludf.DUMMYFUNCTION("""COMPUTED_VALUE"""),"approved")</f>
        <v>approved</v>
      </c>
      <c r="D253" s="16" t="str">
        <f>IFERROR(__xludf.DUMMYFUNCTION("""COMPUTED_VALUE"""),"No")</f>
        <v>No</v>
      </c>
      <c r="E253" s="16" t="str">
        <f>IFERROR(__xludf.DUMMYFUNCTION("""COMPUTED_VALUE"""),"p_48e4662bfeb57ac7f409b2c12f57ea37c3fa1d5b@inbound.aiesec.org")</f>
        <v>p_48e4662bfeb57ac7f409b2c12f57ea37c3fa1d5b@inbound.aiesec.org</v>
      </c>
      <c r="F253" s="16">
        <f>IFERROR(__xludf.DUMMYFUNCTION("""COMPUTED_VALUE"""),5.426195345E9)</f>
        <v>5426195345</v>
      </c>
      <c r="G253" s="16" t="str">
        <f>IFERROR(__xludf.DUMMYFUNCTION("""COMPUTED_VALUE"""),"Turkey")</f>
        <v>Turkey</v>
      </c>
      <c r="H253" s="16" t="str">
        <f>IFERROR(__xludf.DUMMYFUNCTION("""COMPUTED_VALUE"""),"ISTANBUL")</f>
        <v>ISTANBUL</v>
      </c>
      <c r="I253" s="16" t="str">
        <f>IFERROR(__xludf.DUMMYFUNCTION("""COMPUTED_VALUE"""),"Brazil")</f>
        <v>Brazil</v>
      </c>
      <c r="J253" s="16" t="str">
        <f>IFERROR(__xludf.DUMMYFUNCTION("""COMPUTED_VALUE"""),"FORTALEZA")</f>
        <v>FORTALEZA</v>
      </c>
      <c r="K253" s="17" t="str">
        <f>IFERROR(__xludf.DUMMYFUNCTION("""COMPUTED_VALUE"""),"https://expa.aiesec.org/opportunities/1296060")</f>
        <v>https://expa.aiesec.org/opportunities/1296060</v>
      </c>
      <c r="L253" s="16" t="str">
        <f>IFERROR(__xludf.DUMMYFUNCTION("""COMPUTED_VALUE"""),"GV")</f>
        <v>GV</v>
      </c>
      <c r="M253" s="16" t="str">
        <f>IFERROR(__xludf.DUMMYFUNCTION("""COMPUTED_VALUE"""),"short")</f>
        <v>short</v>
      </c>
      <c r="N253" s="18">
        <f>IFERROR(__xludf.DUMMYFUNCTION("""COMPUTED_VALUE"""),45104.0)</f>
        <v>45104</v>
      </c>
      <c r="O253" s="18">
        <f>IFERROR(__xludf.DUMMYFUNCTION("""COMPUTED_VALUE"""),45180.0)</f>
        <v>45180</v>
      </c>
      <c r="P253" s="18">
        <f>IFERROR(__xludf.DUMMYFUNCTION("""COMPUTED_VALUE"""),45222.0)</f>
        <v>45222</v>
      </c>
      <c r="Q253" s="18"/>
      <c r="R253" s="18"/>
      <c r="S253" s="16"/>
      <c r="T253" s="16"/>
      <c r="U253" s="16" t="str">
        <f>IFERROR(__xludf.DUMMYFUNCTION("""COMPUTED_VALUE"""),"Global Classroom")</f>
        <v>Global Classroom</v>
      </c>
      <c r="V253" s="16" t="str">
        <f>IFERROR(__xludf.DUMMYFUNCTION("""COMPUTED_VALUE"""),"ISTANBUL - BEYOGLU")</f>
        <v>ISTANBUL - BEYOGLU</v>
      </c>
      <c r="W253" s="16" t="str">
        <f>IFERROR(__xludf.DUMMYFUNCTION("""COMPUTED_VALUE"""),"2023-06-10T13:46:24Z")</f>
        <v>2023-06-10T13:46:24Z</v>
      </c>
      <c r="X253" s="16"/>
      <c r="Y253" s="16"/>
      <c r="Z253" s="16"/>
    </row>
    <row r="254">
      <c r="A254" s="16" t="str">
        <f>IFERROR(__xludf.DUMMYFUNCTION("""COMPUTED_VALUE"""),"1658513_1289378")</f>
        <v>1658513_1289378</v>
      </c>
      <c r="B254" s="16" t="str">
        <f>IFERROR(__xludf.DUMMYFUNCTION("""COMPUTED_VALUE"""),"Margarita Garay Sifuentes")</f>
        <v>Margarita Garay Sifuentes</v>
      </c>
      <c r="C254" s="16" t="str">
        <f>IFERROR(__xludf.DUMMYFUNCTION("""COMPUTED_VALUE"""),"realized")</f>
        <v>realized</v>
      </c>
      <c r="D254" s="16" t="str">
        <f>IFERROR(__xludf.DUMMYFUNCTION("""COMPUTED_VALUE"""),"No")</f>
        <v>No</v>
      </c>
      <c r="E254" s="16" t="str">
        <f>IFERROR(__xludf.DUMMYFUNCTION("""COMPUTED_VALUE"""),"p_d160f094de896427bb1bd70a9820b58a021e9dc2@inbound.aiesec.org")</f>
        <v>p_d160f094de896427bb1bd70a9820b58a021e9dc2@inbound.aiesec.org</v>
      </c>
      <c r="F254" s="16">
        <f>IFERROR(__xludf.DUMMYFUNCTION("""COMPUTED_VALUE"""),9.71468819E8)</f>
        <v>971468819</v>
      </c>
      <c r="G254" s="16" t="str">
        <f>IFERROR(__xludf.DUMMYFUNCTION("""COMPUTED_VALUE"""),"Peru")</f>
        <v>Peru</v>
      </c>
      <c r="H254" s="16" t="str">
        <f>IFERROR(__xludf.DUMMYFUNCTION("""COMPUTED_VALUE"""),"Universidad San Martin de Porres")</f>
        <v>Universidad San Martin de Porres</v>
      </c>
      <c r="I254" s="16" t="str">
        <f>IFERROR(__xludf.DUMMYFUNCTION("""COMPUTED_VALUE"""),"Turkey")</f>
        <v>Turkey</v>
      </c>
      <c r="J254" s="16" t="str">
        <f>IFERROR(__xludf.DUMMYFUNCTION("""COMPUTED_VALUE"""),"ISTANBUL")</f>
        <v>ISTANBUL</v>
      </c>
      <c r="K254" s="17" t="str">
        <f>IFERROR(__xludf.DUMMYFUNCTION("""COMPUTED_VALUE"""),"https://expa.aiesec.org/opportunities/1289378")</f>
        <v>https://expa.aiesec.org/opportunities/1289378</v>
      </c>
      <c r="L254" s="16" t="str">
        <f>IFERROR(__xludf.DUMMYFUNCTION("""COMPUTED_VALUE"""),"GTa")</f>
        <v>GTa</v>
      </c>
      <c r="M254" s="16" t="str">
        <f>IFERROR(__xludf.DUMMYFUNCTION("""COMPUTED_VALUE"""),"long")</f>
        <v>long</v>
      </c>
      <c r="N254" s="18">
        <f>IFERROR(__xludf.DUMMYFUNCTION("""COMPUTED_VALUE"""),45104.0)</f>
        <v>45104</v>
      </c>
      <c r="O254" s="18">
        <f>IFERROR(__xludf.DUMMYFUNCTION("""COMPUTED_VALUE"""),45159.0)</f>
        <v>45159</v>
      </c>
      <c r="P254" s="18">
        <f>IFERROR(__xludf.DUMMYFUNCTION("""COMPUTED_VALUE"""),45660.0)</f>
        <v>45660</v>
      </c>
      <c r="Q254" s="18">
        <f>IFERROR(__xludf.DUMMYFUNCTION("""COMPUTED_VALUE"""),45180.0)</f>
        <v>45180</v>
      </c>
      <c r="R254" s="18">
        <f>IFERROR(__xludf.DUMMYFUNCTION("""COMPUTED_VALUE"""),45681.0)</f>
        <v>45681</v>
      </c>
      <c r="S254" s="16"/>
      <c r="T254" s="16" t="str">
        <f>IFERROR(__xludf.DUMMYFUNCTION("""COMPUTED_VALUE"""),"Business Administration")</f>
        <v>Business Administration</v>
      </c>
      <c r="U254" s="16" t="str">
        <f>IFERROR(__xludf.DUMMYFUNCTION("""COMPUTED_VALUE"""),"Telesales Specialist in Istanbul (Spanish Speaker)")</f>
        <v>Telesales Specialist in Istanbul (Spanish Speaker)</v>
      </c>
      <c r="V254" s="16" t="str">
        <f>IFERROR(__xludf.DUMMYFUNCTION("""COMPUTED_VALUE"""),"-")</f>
        <v>-</v>
      </c>
      <c r="W254" s="16" t="str">
        <f>IFERROR(__xludf.DUMMYFUNCTION("""COMPUTED_VALUE"""),"2017-07-17T03:27:15Z")</f>
        <v>2017-07-17T03:27:15Z</v>
      </c>
      <c r="X254" s="16"/>
      <c r="Y254" s="16"/>
      <c r="Z254" s="16"/>
    </row>
    <row r="255">
      <c r="A255" s="16" t="str">
        <f>IFERROR(__xludf.DUMMYFUNCTION("""COMPUTED_VALUE"""),"5277517_1295232")</f>
        <v>5277517_1295232</v>
      </c>
      <c r="B255" s="16" t="str">
        <f>IFERROR(__xludf.DUMMYFUNCTION("""COMPUTED_VALUE"""),"Sait Alperen TÜFEKÇİ")</f>
        <v>Sait Alperen TÜFEKÇİ</v>
      </c>
      <c r="C255" s="16" t="str">
        <f>IFERROR(__xludf.DUMMYFUNCTION("""COMPUTED_VALUE"""),"completed")</f>
        <v>completed</v>
      </c>
      <c r="D255" s="16" t="str">
        <f>IFERROR(__xludf.DUMMYFUNCTION("""COMPUTED_VALUE"""),"No")</f>
        <v>No</v>
      </c>
      <c r="E255" s="16" t="str">
        <f>IFERROR(__xludf.DUMMYFUNCTION("""COMPUTED_VALUE"""),"p_dd1d11f313e496c4f3809d8a02f96bb5385b60ab@inbound.aiesec.org")</f>
        <v>p_dd1d11f313e496c4f3809d8a02f96bb5385b60ab@inbound.aiesec.org</v>
      </c>
      <c r="F255" s="16">
        <f>IFERROR(__xludf.DUMMYFUNCTION("""COMPUTED_VALUE"""),5.383379915E9)</f>
        <v>5383379915</v>
      </c>
      <c r="G255" s="16" t="str">
        <f>IFERROR(__xludf.DUMMYFUNCTION("""COMPUTED_VALUE"""),"Turkey")</f>
        <v>Turkey</v>
      </c>
      <c r="H255" s="16" t="str">
        <f>IFERROR(__xludf.DUMMYFUNCTION("""COMPUTED_VALUE"""),"ISTANBUL")</f>
        <v>ISTANBUL</v>
      </c>
      <c r="I255" s="16" t="str">
        <f>IFERROR(__xludf.DUMMYFUNCTION("""COMPUTED_VALUE"""),"Italy")</f>
        <v>Italy</v>
      </c>
      <c r="J255" s="16" t="str">
        <f>IFERROR(__xludf.DUMMYFUNCTION("""COMPUTED_VALUE"""),"Pavia")</f>
        <v>Pavia</v>
      </c>
      <c r="K255" s="17" t="str">
        <f>IFERROR(__xludf.DUMMYFUNCTION("""COMPUTED_VALUE"""),"https://expa.aiesec.org/opportunities/1295232")</f>
        <v>https://expa.aiesec.org/opportunities/1295232</v>
      </c>
      <c r="L255" s="16" t="str">
        <f>IFERROR(__xludf.DUMMYFUNCTION("""COMPUTED_VALUE"""),"GV")</f>
        <v>GV</v>
      </c>
      <c r="M255" s="16" t="str">
        <f>IFERROR(__xludf.DUMMYFUNCTION("""COMPUTED_VALUE"""),"short")</f>
        <v>short</v>
      </c>
      <c r="N255" s="18">
        <f>IFERROR(__xludf.DUMMYFUNCTION("""COMPUTED_VALUE"""),45106.0)</f>
        <v>45106</v>
      </c>
      <c r="O255" s="18">
        <f>IFERROR(__xludf.DUMMYFUNCTION("""COMPUTED_VALUE"""),45207.0)</f>
        <v>45207</v>
      </c>
      <c r="P255" s="18">
        <f>IFERROR(__xludf.DUMMYFUNCTION("""COMPUTED_VALUE"""),45249.0)</f>
        <v>45249</v>
      </c>
      <c r="Q255" s="18">
        <f>IFERROR(__xludf.DUMMYFUNCTION("""COMPUTED_VALUE"""),45207.0)</f>
        <v>45207</v>
      </c>
      <c r="R255" s="18">
        <f>IFERROR(__xludf.DUMMYFUNCTION("""COMPUTED_VALUE"""),45249.0)</f>
        <v>45249</v>
      </c>
      <c r="S255" s="16"/>
      <c r="T255" s="16"/>
      <c r="U255" s="16" t="str">
        <f>IFERROR(__xludf.DUMMYFUNCTION("""COMPUTED_VALUE"""),"Youth 4 Impact")</f>
        <v>Youth 4 Impact</v>
      </c>
      <c r="V255" s="16" t="str">
        <f>IFERROR(__xludf.DUMMYFUNCTION("""COMPUTED_VALUE"""),"ISTANBUL - BEYOGLU")</f>
        <v>ISTANBUL - BEYOGLU</v>
      </c>
      <c r="W255" s="16" t="str">
        <f>IFERROR(__xludf.DUMMYFUNCTION("""COMPUTED_VALUE"""),"2023-06-20T13:06:48Z")</f>
        <v>2023-06-20T13:06:48Z</v>
      </c>
      <c r="X255" s="16"/>
      <c r="Y255" s="16"/>
      <c r="Z255" s="16"/>
    </row>
    <row r="256">
      <c r="A256" s="16" t="str">
        <f>IFERROR(__xludf.DUMMYFUNCTION("""COMPUTED_VALUE"""),"5261970_1294487")</f>
        <v>5261970_1294487</v>
      </c>
      <c r="B256" s="16" t="str">
        <f>IFERROR(__xludf.DUMMYFUNCTION("""COMPUTED_VALUE"""),"Dilara Erdem")</f>
        <v>Dilara Erdem</v>
      </c>
      <c r="C256" s="16" t="str">
        <f>IFERROR(__xludf.DUMMYFUNCTION("""COMPUTED_VALUE"""),"completed")</f>
        <v>completed</v>
      </c>
      <c r="D256" s="16" t="str">
        <f>IFERROR(__xludf.DUMMYFUNCTION("""COMPUTED_VALUE"""),"No")</f>
        <v>No</v>
      </c>
      <c r="E256" s="16" t="str">
        <f>IFERROR(__xludf.DUMMYFUNCTION("""COMPUTED_VALUE"""),"p_264da3e785ac1c16f2a01add82d3178c6c6522ed@inbound.aiesec.org")</f>
        <v>p_264da3e785ac1c16f2a01add82d3178c6c6522ed@inbound.aiesec.org</v>
      </c>
      <c r="F256" s="16">
        <f>IFERROR(__xludf.DUMMYFUNCTION("""COMPUTED_VALUE"""),5.367129156E9)</f>
        <v>5367129156</v>
      </c>
      <c r="G256" s="16" t="str">
        <f>IFERROR(__xludf.DUMMYFUNCTION("""COMPUTED_VALUE"""),"Turkey")</f>
        <v>Turkey</v>
      </c>
      <c r="H256" s="16" t="str">
        <f>IFERROR(__xludf.DUMMYFUNCTION("""COMPUTED_VALUE"""),"ISTANBUL")</f>
        <v>ISTANBUL</v>
      </c>
      <c r="I256" s="16" t="str">
        <f>IFERROR(__xludf.DUMMYFUNCTION("""COMPUTED_VALUE"""),"Egypt")</f>
        <v>Egypt</v>
      </c>
      <c r="J256" s="16" t="str">
        <f>IFERROR(__xludf.DUMMYFUNCTION("""COMPUTED_VALUE"""),"Ain Shams University")</f>
        <v>Ain Shams University</v>
      </c>
      <c r="K256" s="17" t="str">
        <f>IFERROR(__xludf.DUMMYFUNCTION("""COMPUTED_VALUE"""),"https://expa.aiesec.org/opportunities/1294487")</f>
        <v>https://expa.aiesec.org/opportunities/1294487</v>
      </c>
      <c r="L256" s="16" t="str">
        <f>IFERROR(__xludf.DUMMYFUNCTION("""COMPUTED_VALUE"""),"GV")</f>
        <v>GV</v>
      </c>
      <c r="M256" s="16" t="str">
        <f>IFERROR(__xludf.DUMMYFUNCTION("""COMPUTED_VALUE"""),"short")</f>
        <v>short</v>
      </c>
      <c r="N256" s="18">
        <f>IFERROR(__xludf.DUMMYFUNCTION("""COMPUTED_VALUE"""),45107.0)</f>
        <v>45107</v>
      </c>
      <c r="O256" s="18">
        <f>IFERROR(__xludf.DUMMYFUNCTION("""COMPUTED_VALUE"""),45108.0)</f>
        <v>45108</v>
      </c>
      <c r="P256" s="18">
        <f>IFERROR(__xludf.DUMMYFUNCTION("""COMPUTED_VALUE"""),45150.0)</f>
        <v>45150</v>
      </c>
      <c r="Q256" s="18">
        <f>IFERROR(__xludf.DUMMYFUNCTION("""COMPUTED_VALUE"""),45109.0)</f>
        <v>45109</v>
      </c>
      <c r="R256" s="18">
        <f>IFERROR(__xludf.DUMMYFUNCTION("""COMPUTED_VALUE"""),45151.0)</f>
        <v>45151</v>
      </c>
      <c r="S256" s="16"/>
      <c r="T256" s="16"/>
      <c r="U256" s="16" t="str">
        <f>IFERROR(__xludf.DUMMYFUNCTION("""COMPUTED_VALUE"""),"Global Classroom")</f>
        <v>Global Classroom</v>
      </c>
      <c r="V256" s="16" t="str">
        <f>IFERROR(__xludf.DUMMYFUNCTION("""COMPUTED_VALUE"""),"ISTANBUL - BEYOGLU")</f>
        <v>ISTANBUL - BEYOGLU</v>
      </c>
      <c r="W256" s="16" t="str">
        <f>IFERROR(__xludf.DUMMYFUNCTION("""COMPUTED_VALUE"""),"2023-05-16T15:33:07Z")</f>
        <v>2023-05-16T15:33:07Z</v>
      </c>
      <c r="X256" s="16"/>
      <c r="Y256" s="16"/>
      <c r="Z256" s="16"/>
    </row>
    <row r="257">
      <c r="A257" s="16" t="str">
        <f>IFERROR(__xludf.DUMMYFUNCTION("""COMPUTED_VALUE"""),"5160087_1284670")</f>
        <v>5160087_1284670</v>
      </c>
      <c r="B257" s="16" t="str">
        <f>IFERROR(__xludf.DUMMYFUNCTION("""COMPUTED_VALUE"""),"Eduardo Hale García")</f>
        <v>Eduardo Hale García</v>
      </c>
      <c r="C257" s="16" t="str">
        <f>IFERROR(__xludf.DUMMYFUNCTION("""COMPUTED_VALUE"""),"completed")</f>
        <v>completed</v>
      </c>
      <c r="D257" s="16" t="str">
        <f>IFERROR(__xludf.DUMMYFUNCTION("""COMPUTED_VALUE"""),"No")</f>
        <v>No</v>
      </c>
      <c r="E257" s="16" t="str">
        <f>IFERROR(__xludf.DUMMYFUNCTION("""COMPUTED_VALUE"""),"p_518ed490a4e09029fba2dbb64e22c4eaa10b676d@inbound.aiesec.org")</f>
        <v>p_518ed490a4e09029fba2dbb64e22c4eaa10b676d@inbound.aiesec.org</v>
      </c>
      <c r="F257" s="16">
        <f>IFERROR(__xludf.DUMMYFUNCTION("""COMPUTED_VALUE"""),5.52905601E9)</f>
        <v>5529056010</v>
      </c>
      <c r="G257" s="16" t="str">
        <f>IFERROR(__xludf.DUMMYFUNCTION("""COMPUTED_VALUE"""),"Mexico")</f>
        <v>Mexico</v>
      </c>
      <c r="H257" s="16" t="str">
        <f>IFERROR(__xludf.DUMMYFUNCTION("""COMPUTED_VALUE"""),"UP")</f>
        <v>UP</v>
      </c>
      <c r="I257" s="16" t="str">
        <f>IFERROR(__xludf.DUMMYFUNCTION("""COMPUTED_VALUE"""),"Turkey")</f>
        <v>Turkey</v>
      </c>
      <c r="J257" s="16" t="str">
        <f>IFERROR(__xludf.DUMMYFUNCTION("""COMPUTED_VALUE"""),"ISTANBUL")</f>
        <v>ISTANBUL</v>
      </c>
      <c r="K257" s="17" t="str">
        <f>IFERROR(__xludf.DUMMYFUNCTION("""COMPUTED_VALUE"""),"https://expa.aiesec.org/opportunities/1284670")</f>
        <v>https://expa.aiesec.org/opportunities/1284670</v>
      </c>
      <c r="L257" s="16" t="str">
        <f>IFERROR(__xludf.DUMMYFUNCTION("""COMPUTED_VALUE"""),"GV")</f>
        <v>GV</v>
      </c>
      <c r="M257" s="16" t="str">
        <f>IFERROR(__xludf.DUMMYFUNCTION("""COMPUTED_VALUE"""),"short")</f>
        <v>short</v>
      </c>
      <c r="N257" s="18">
        <f>IFERROR(__xludf.DUMMYFUNCTION("""COMPUTED_VALUE"""),45108.0)</f>
        <v>45108</v>
      </c>
      <c r="O257" s="18">
        <f>IFERROR(__xludf.DUMMYFUNCTION("""COMPUTED_VALUE"""),45110.0)</f>
        <v>45110</v>
      </c>
      <c r="P257" s="18">
        <f>IFERROR(__xludf.DUMMYFUNCTION("""COMPUTED_VALUE"""),45152.0)</f>
        <v>45152</v>
      </c>
      <c r="Q257" s="18">
        <f>IFERROR(__xludf.DUMMYFUNCTION("""COMPUTED_VALUE"""),45110.0)</f>
        <v>45110</v>
      </c>
      <c r="R257" s="18">
        <f>IFERROR(__xludf.DUMMYFUNCTION("""COMPUTED_VALUE"""),45152.0)</f>
        <v>45152</v>
      </c>
      <c r="S257" s="16"/>
      <c r="T257" s="16"/>
      <c r="U257" s="16" t="str">
        <f>IFERROR(__xludf.DUMMYFUNCTION("""COMPUTED_VALUE"""),"Heartbeat")</f>
        <v>Heartbeat</v>
      </c>
      <c r="V257" s="16" t="str">
        <f>IFERROR(__xludf.DUMMYFUNCTION("""COMPUTED_VALUE"""),"CDMX - Universidad Panamericana (UP)")</f>
        <v>CDMX - Universidad Panamericana (UP)</v>
      </c>
      <c r="W257" s="16" t="str">
        <f>IFERROR(__xludf.DUMMYFUNCTION("""COMPUTED_VALUE"""),"2022-11-28T20:04:41Z")</f>
        <v>2022-11-28T20:04:41Z</v>
      </c>
      <c r="X257" s="16"/>
      <c r="Y257" s="16"/>
      <c r="Z257" s="16"/>
    </row>
    <row r="258">
      <c r="A258" s="16" t="str">
        <f>IFERROR(__xludf.DUMMYFUNCTION("""COMPUTED_VALUE"""),"5282200_1289307")</f>
        <v>5282200_1289307</v>
      </c>
      <c r="B258" s="16" t="str">
        <f>IFERROR(__xludf.DUMMYFUNCTION("""COMPUTED_VALUE"""),"Madiha Bouskine")</f>
        <v>Madiha Bouskine</v>
      </c>
      <c r="C258" s="16" t="str">
        <f>IFERROR(__xludf.DUMMYFUNCTION("""COMPUTED_VALUE"""),"approved")</f>
        <v>approved</v>
      </c>
      <c r="D258" s="16" t="str">
        <f>IFERROR(__xludf.DUMMYFUNCTION("""COMPUTED_VALUE"""),"No")</f>
        <v>No</v>
      </c>
      <c r="E258" s="16" t="str">
        <f>IFERROR(__xludf.DUMMYFUNCTION("""COMPUTED_VALUE"""),"p_5e31d5244ec1785636f5149250b5749df7980c80@inbound.aiesec.org")</f>
        <v>p_5e31d5244ec1785636f5149250b5749df7980c80@inbound.aiesec.org</v>
      </c>
      <c r="F258" s="16">
        <f>IFERROR(__xludf.DUMMYFUNCTION("""COMPUTED_VALUE"""),5.518352852E9)</f>
        <v>5518352852</v>
      </c>
      <c r="G258" s="16" t="str">
        <f>IFERROR(__xludf.DUMMYFUNCTION("""COMPUTED_VALUE"""),"Algeria")</f>
        <v>Algeria</v>
      </c>
      <c r="H258" s="16" t="str">
        <f>IFERROR(__xludf.DUMMYFUNCTION("""COMPUTED_VALUE"""),"Babez")</f>
        <v>Babez</v>
      </c>
      <c r="I258" s="16" t="str">
        <f>IFERROR(__xludf.DUMMYFUNCTION("""COMPUTED_VALUE"""),"Turkey")</f>
        <v>Turkey</v>
      </c>
      <c r="J258" s="16" t="str">
        <f>IFERROR(__xludf.DUMMYFUNCTION("""COMPUTED_VALUE"""),"ISTANBUL")</f>
        <v>ISTANBUL</v>
      </c>
      <c r="K258" s="17" t="str">
        <f>IFERROR(__xludf.DUMMYFUNCTION("""COMPUTED_VALUE"""),"https://expa.aiesec.org/opportunities/1289307")</f>
        <v>https://expa.aiesec.org/opportunities/1289307</v>
      </c>
      <c r="L258" s="16" t="str">
        <f>IFERROR(__xludf.DUMMYFUNCTION("""COMPUTED_VALUE"""),"GTe")</f>
        <v>GTe</v>
      </c>
      <c r="M258" s="16" t="str">
        <f>IFERROR(__xludf.DUMMYFUNCTION("""COMPUTED_VALUE"""),"long")</f>
        <v>long</v>
      </c>
      <c r="N258" s="18">
        <f>IFERROR(__xludf.DUMMYFUNCTION("""COMPUTED_VALUE"""),45112.0)</f>
        <v>45112</v>
      </c>
      <c r="O258" s="18">
        <f>IFERROR(__xludf.DUMMYFUNCTION("""COMPUTED_VALUE"""),45125.0)</f>
        <v>45125</v>
      </c>
      <c r="P258" s="18">
        <f>IFERROR(__xludf.DUMMYFUNCTION("""COMPUTED_VALUE"""),45485.0)</f>
        <v>45485</v>
      </c>
      <c r="Q258" s="18"/>
      <c r="R258" s="18"/>
      <c r="S258" s="16"/>
      <c r="T258" s="16"/>
      <c r="U258" s="16" t="str">
        <f>IFERROR(__xludf.DUMMYFUNCTION("""COMPUTED_VALUE"""),"Preschool English Teacher")</f>
        <v>Preschool English Teacher</v>
      </c>
      <c r="V258" s="16" t="str">
        <f>IFERROR(__xludf.DUMMYFUNCTION("""COMPUTED_VALUE"""),"AIESEC in Babez")</f>
        <v>AIESEC in Babez</v>
      </c>
      <c r="W258" s="16" t="str">
        <f>IFERROR(__xludf.DUMMYFUNCTION("""COMPUTED_VALUE"""),"2023-07-04T19:31:19Z")</f>
        <v>2023-07-04T19:31:19Z</v>
      </c>
      <c r="X258" s="16"/>
      <c r="Y258" s="16"/>
      <c r="Z258" s="16"/>
    </row>
    <row r="259">
      <c r="A259" s="16" t="str">
        <f>IFERROR(__xludf.DUMMYFUNCTION("""COMPUTED_VALUE"""),"5281868_1289255")</f>
        <v>5281868_1289255</v>
      </c>
      <c r="B259" s="16" t="str">
        <f>IFERROR(__xludf.DUMMYFUNCTION("""COMPUTED_VALUE"""),"Yassine Benalia")</f>
        <v>Yassine Benalia</v>
      </c>
      <c r="C259" s="16" t="str">
        <f>IFERROR(__xludf.DUMMYFUNCTION("""COMPUTED_VALUE"""),"realized")</f>
        <v>realized</v>
      </c>
      <c r="D259" s="16" t="str">
        <f>IFERROR(__xludf.DUMMYFUNCTION("""COMPUTED_VALUE"""),"No")</f>
        <v>No</v>
      </c>
      <c r="E259" s="16" t="str">
        <f>IFERROR(__xludf.DUMMYFUNCTION("""COMPUTED_VALUE"""),"p_3b410eac28e2574a5de70773d1bed7d9359aeccf@inbound.aiesec.org")</f>
        <v>p_3b410eac28e2574a5de70773d1bed7d9359aeccf@inbound.aiesec.org</v>
      </c>
      <c r="F259" s="16">
        <f>IFERROR(__xludf.DUMMYFUNCTION("""COMPUTED_VALUE"""),5.57945463E8)</f>
        <v>557945463</v>
      </c>
      <c r="G259" s="16" t="str">
        <f>IFERROR(__xludf.DUMMYFUNCTION("""COMPUTED_VALUE"""),"Algeria")</f>
        <v>Algeria</v>
      </c>
      <c r="H259" s="16" t="str">
        <f>IFERROR(__xludf.DUMMYFUNCTION("""COMPUTED_VALUE"""),"Babez")</f>
        <v>Babez</v>
      </c>
      <c r="I259" s="16" t="str">
        <f>IFERROR(__xludf.DUMMYFUNCTION("""COMPUTED_VALUE"""),"Turkey")</f>
        <v>Turkey</v>
      </c>
      <c r="J259" s="16" t="str">
        <f>IFERROR(__xludf.DUMMYFUNCTION("""COMPUTED_VALUE"""),"ISTANBUL")</f>
        <v>ISTANBUL</v>
      </c>
      <c r="K259" s="17" t="str">
        <f>IFERROR(__xludf.DUMMYFUNCTION("""COMPUTED_VALUE"""),"https://expa.aiesec.org/opportunities/1289255")</f>
        <v>https://expa.aiesec.org/opportunities/1289255</v>
      </c>
      <c r="L259" s="16" t="str">
        <f>IFERROR(__xludf.DUMMYFUNCTION("""COMPUTED_VALUE"""),"GTa")</f>
        <v>GTa</v>
      </c>
      <c r="M259" s="16" t="str">
        <f>IFERROR(__xludf.DUMMYFUNCTION("""COMPUTED_VALUE"""),"long")</f>
        <v>long</v>
      </c>
      <c r="N259" s="18">
        <f>IFERROR(__xludf.DUMMYFUNCTION("""COMPUTED_VALUE"""),45113.0)</f>
        <v>45113</v>
      </c>
      <c r="O259" s="18">
        <f>IFERROR(__xludf.DUMMYFUNCTION("""COMPUTED_VALUE"""),45159.0)</f>
        <v>45159</v>
      </c>
      <c r="P259" s="18">
        <f>IFERROR(__xludf.DUMMYFUNCTION("""COMPUTED_VALUE"""),45660.0)</f>
        <v>45660</v>
      </c>
      <c r="Q259" s="18">
        <f>IFERROR(__xludf.DUMMYFUNCTION("""COMPUTED_VALUE"""),45173.0)</f>
        <v>45173</v>
      </c>
      <c r="R259" s="18">
        <f>IFERROR(__xludf.DUMMYFUNCTION("""COMPUTED_VALUE"""),45674.0)</f>
        <v>45674</v>
      </c>
      <c r="S259" s="16"/>
      <c r="T259" s="16" t="str">
        <f>IFERROR(__xludf.DUMMYFUNCTION("""COMPUTED_VALUE"""),"Business Administration")</f>
        <v>Business Administration</v>
      </c>
      <c r="U259" s="16" t="str">
        <f>IFERROR(__xludf.DUMMYFUNCTION("""COMPUTED_VALUE"""),"Telesales Specialist in Istanbul (French Speaker)")</f>
        <v>Telesales Specialist in Istanbul (French Speaker)</v>
      </c>
      <c r="V259" s="16" t="str">
        <f>IFERROR(__xludf.DUMMYFUNCTION("""COMPUTED_VALUE"""),"AIESEC in Babez")</f>
        <v>AIESEC in Babez</v>
      </c>
      <c r="W259" s="16" t="str">
        <f>IFERROR(__xludf.DUMMYFUNCTION("""COMPUTED_VALUE"""),"2023-07-03T19:44:40Z")</f>
        <v>2023-07-03T19:44:40Z</v>
      </c>
      <c r="X259" s="16"/>
      <c r="Y259" s="16"/>
      <c r="Z259" s="16"/>
    </row>
    <row r="260">
      <c r="A260" s="16" t="str">
        <f>IFERROR(__xludf.DUMMYFUNCTION("""COMPUTED_VALUE"""),"5284119_1289255")</f>
        <v>5284119_1289255</v>
      </c>
      <c r="B260" s="16" t="str">
        <f>IFERROR(__xludf.DUMMYFUNCTION("""COMPUTED_VALUE"""),"Katia Ouazia")</f>
        <v>Katia Ouazia</v>
      </c>
      <c r="C260" s="16" t="str">
        <f>IFERROR(__xludf.DUMMYFUNCTION("""COMPUTED_VALUE"""),"realized")</f>
        <v>realized</v>
      </c>
      <c r="D260" s="16" t="str">
        <f>IFERROR(__xludf.DUMMYFUNCTION("""COMPUTED_VALUE"""),"No")</f>
        <v>No</v>
      </c>
      <c r="E260" s="16" t="str">
        <f>IFERROR(__xludf.DUMMYFUNCTION("""COMPUTED_VALUE"""),"p_bae07ca58d32c636ff5d0989ff9d2d2dc294b728@inbound.aiesec.org")</f>
        <v>p_bae07ca58d32c636ff5d0989ff9d2d2dc294b728@inbound.aiesec.org</v>
      </c>
      <c r="F260" s="16">
        <f>IFERROR(__xludf.DUMMYFUNCTION("""COMPUTED_VALUE"""),7.81396547E8)</f>
        <v>781396547</v>
      </c>
      <c r="G260" s="16" t="str">
        <f>IFERROR(__xludf.DUMMYFUNCTION("""COMPUTED_VALUE"""),"Algeria")</f>
        <v>Algeria</v>
      </c>
      <c r="H260" s="16" t="str">
        <f>IFERROR(__xludf.DUMMYFUNCTION("""COMPUTED_VALUE"""),"Babez")</f>
        <v>Babez</v>
      </c>
      <c r="I260" s="16" t="str">
        <f>IFERROR(__xludf.DUMMYFUNCTION("""COMPUTED_VALUE"""),"Turkey")</f>
        <v>Turkey</v>
      </c>
      <c r="J260" s="16" t="str">
        <f>IFERROR(__xludf.DUMMYFUNCTION("""COMPUTED_VALUE"""),"ISTANBUL")</f>
        <v>ISTANBUL</v>
      </c>
      <c r="K260" s="17" t="str">
        <f>IFERROR(__xludf.DUMMYFUNCTION("""COMPUTED_VALUE"""),"https://expa.aiesec.org/opportunities/1289255")</f>
        <v>https://expa.aiesec.org/opportunities/1289255</v>
      </c>
      <c r="L260" s="16" t="str">
        <f>IFERROR(__xludf.DUMMYFUNCTION("""COMPUTED_VALUE"""),"GTa")</f>
        <v>GTa</v>
      </c>
      <c r="M260" s="16" t="str">
        <f>IFERROR(__xludf.DUMMYFUNCTION("""COMPUTED_VALUE"""),"long")</f>
        <v>long</v>
      </c>
      <c r="N260" s="18">
        <f>IFERROR(__xludf.DUMMYFUNCTION("""COMPUTED_VALUE"""),45118.0)</f>
        <v>45118</v>
      </c>
      <c r="O260" s="18">
        <f>IFERROR(__xludf.DUMMYFUNCTION("""COMPUTED_VALUE"""),45180.0)</f>
        <v>45180</v>
      </c>
      <c r="P260" s="18">
        <f>IFERROR(__xludf.DUMMYFUNCTION("""COMPUTED_VALUE"""),45688.0)</f>
        <v>45688</v>
      </c>
      <c r="Q260" s="18">
        <f>IFERROR(__xludf.DUMMYFUNCTION("""COMPUTED_VALUE"""),45180.0)</f>
        <v>45180</v>
      </c>
      <c r="R260" s="18">
        <f>IFERROR(__xludf.DUMMYFUNCTION("""COMPUTED_VALUE"""),45688.0)</f>
        <v>45688</v>
      </c>
      <c r="S260" s="16"/>
      <c r="T260" s="16" t="str">
        <f>IFERROR(__xludf.DUMMYFUNCTION("""COMPUTED_VALUE"""),"Business Administration")</f>
        <v>Business Administration</v>
      </c>
      <c r="U260" s="16" t="str">
        <f>IFERROR(__xludf.DUMMYFUNCTION("""COMPUTED_VALUE"""),"Telesales Specialist in Istanbul (French Speaker)")</f>
        <v>Telesales Specialist in Istanbul (French Speaker)</v>
      </c>
      <c r="V260" s="16" t="str">
        <f>IFERROR(__xludf.DUMMYFUNCTION("""COMPUTED_VALUE"""),"AIESEC in Babez")</f>
        <v>AIESEC in Babez</v>
      </c>
      <c r="W260" s="16" t="str">
        <f>IFERROR(__xludf.DUMMYFUNCTION("""COMPUTED_VALUE"""),"2023-07-10T20:49:26Z")</f>
        <v>2023-07-10T20:49:26Z</v>
      </c>
      <c r="X260" s="16"/>
      <c r="Y260" s="16"/>
      <c r="Z260" s="16"/>
    </row>
    <row r="261">
      <c r="A261" s="16" t="str">
        <f>IFERROR(__xludf.DUMMYFUNCTION("""COMPUTED_VALUE"""),"5283986_1291702")</f>
        <v>5283986_1291702</v>
      </c>
      <c r="B261" s="16" t="str">
        <f>IFERROR(__xludf.DUMMYFUNCTION("""COMPUTED_VALUE"""),"Süleyman Kemal Ak")</f>
        <v>Süleyman Kemal Ak</v>
      </c>
      <c r="C261" s="16" t="str">
        <f>IFERROR(__xludf.DUMMYFUNCTION("""COMPUTED_VALUE"""),"approved")</f>
        <v>approved</v>
      </c>
      <c r="D261" s="16" t="str">
        <f>IFERROR(__xludf.DUMMYFUNCTION("""COMPUTED_VALUE"""),"No")</f>
        <v>No</v>
      </c>
      <c r="E261" s="16" t="str">
        <f>IFERROR(__xludf.DUMMYFUNCTION("""COMPUTED_VALUE"""),"p_97a8ccefc2ec0f3003cad58555b9eecc53d78b5b@inbound.aiesec.org")</f>
        <v>p_97a8ccefc2ec0f3003cad58555b9eecc53d78b5b@inbound.aiesec.org</v>
      </c>
      <c r="F261" s="16">
        <f>IFERROR(__xludf.DUMMYFUNCTION("""COMPUTED_VALUE"""),5.412938949E9)</f>
        <v>5412938949</v>
      </c>
      <c r="G261" s="16" t="str">
        <f>IFERROR(__xludf.DUMMYFUNCTION("""COMPUTED_VALUE"""),"Turkey")</f>
        <v>Turkey</v>
      </c>
      <c r="H261" s="16" t="str">
        <f>IFERROR(__xludf.DUMMYFUNCTION("""COMPUTED_VALUE"""),"ISTANBUL")</f>
        <v>ISTANBUL</v>
      </c>
      <c r="I261" s="16" t="str">
        <f>IFERROR(__xludf.DUMMYFUNCTION("""COMPUTED_VALUE"""),"Egypt")</f>
        <v>Egypt</v>
      </c>
      <c r="J261" s="16" t="str">
        <f>IFERROR(__xludf.DUMMYFUNCTION("""COMPUTED_VALUE"""),"Cairo University")</f>
        <v>Cairo University</v>
      </c>
      <c r="K261" s="17" t="str">
        <f>IFERROR(__xludf.DUMMYFUNCTION("""COMPUTED_VALUE"""),"https://expa.aiesec.org/opportunities/1291702")</f>
        <v>https://expa.aiesec.org/opportunities/1291702</v>
      </c>
      <c r="L261" s="16" t="str">
        <f>IFERROR(__xludf.DUMMYFUNCTION("""COMPUTED_VALUE"""),"GV")</f>
        <v>GV</v>
      </c>
      <c r="M261" s="16" t="str">
        <f>IFERROR(__xludf.DUMMYFUNCTION("""COMPUTED_VALUE"""),"short")</f>
        <v>short</v>
      </c>
      <c r="N261" s="18">
        <f>IFERROR(__xludf.DUMMYFUNCTION("""COMPUTED_VALUE"""),45119.0)</f>
        <v>45119</v>
      </c>
      <c r="O261" s="18">
        <f>IFERROR(__xludf.DUMMYFUNCTION("""COMPUTED_VALUE"""),45166.0)</f>
        <v>45166</v>
      </c>
      <c r="P261" s="18">
        <f>IFERROR(__xludf.DUMMYFUNCTION("""COMPUTED_VALUE"""),45208.0)</f>
        <v>45208</v>
      </c>
      <c r="Q261" s="18"/>
      <c r="R261" s="18">
        <f>IFERROR(__xludf.DUMMYFUNCTION("""COMPUTED_VALUE"""),45207.0)</f>
        <v>45207</v>
      </c>
      <c r="S261" s="16"/>
      <c r="T261" s="16"/>
      <c r="U261" s="16" t="str">
        <f>IFERROR(__xludf.DUMMYFUNCTION("""COMPUTED_VALUE"""),"Skill Up!")</f>
        <v>Skill Up!</v>
      </c>
      <c r="V261" s="16" t="str">
        <f>IFERROR(__xludf.DUMMYFUNCTION("""COMPUTED_VALUE"""),"ISTANBUL - BEYOGLU")</f>
        <v>ISTANBUL - BEYOGLU</v>
      </c>
      <c r="W261" s="16" t="str">
        <f>IFERROR(__xludf.DUMMYFUNCTION("""COMPUTED_VALUE"""),"2023-07-10T15:32:50Z")</f>
        <v>2023-07-10T15:32:50Z</v>
      </c>
      <c r="X261" s="16"/>
      <c r="Y261" s="16"/>
      <c r="Z261" s="16"/>
    </row>
    <row r="262">
      <c r="A262" s="16" t="str">
        <f>IFERROR(__xludf.DUMMYFUNCTION("""COMPUTED_VALUE"""),"5279208_1292709")</f>
        <v>5279208_1292709</v>
      </c>
      <c r="B262" s="16" t="str">
        <f>IFERROR(__xludf.DUMMYFUNCTION("""COMPUTED_VALUE"""),"Sayra Erbaş")</f>
        <v>Sayra Erbaş</v>
      </c>
      <c r="C262" s="16" t="str">
        <f>IFERROR(__xludf.DUMMYFUNCTION("""COMPUTED_VALUE"""),"realization_broken")</f>
        <v>realization_broken</v>
      </c>
      <c r="D262" s="16" t="str">
        <f>IFERROR(__xludf.DUMMYFUNCTION("""COMPUTED_VALUE"""),"No")</f>
        <v>No</v>
      </c>
      <c r="E262" s="16" t="str">
        <f>IFERROR(__xludf.DUMMYFUNCTION("""COMPUTED_VALUE"""),"p_b021a2cb98146612d484a30b29b13e4e0f1dac41@inbound.aiesec.org")</f>
        <v>p_b021a2cb98146612d484a30b29b13e4e0f1dac41@inbound.aiesec.org</v>
      </c>
      <c r="F262" s="16">
        <f>IFERROR(__xludf.DUMMYFUNCTION("""COMPUTED_VALUE"""),5.070608226E9)</f>
        <v>5070608226</v>
      </c>
      <c r="G262" s="16" t="str">
        <f>IFERROR(__xludf.DUMMYFUNCTION("""COMPUTED_VALUE"""),"Turkey")</f>
        <v>Turkey</v>
      </c>
      <c r="H262" s="16" t="str">
        <f>IFERROR(__xludf.DUMMYFUNCTION("""COMPUTED_VALUE"""),"ISTANBUL")</f>
        <v>ISTANBUL</v>
      </c>
      <c r="I262" s="16" t="str">
        <f>IFERROR(__xludf.DUMMYFUNCTION("""COMPUTED_VALUE"""),"Czech Republic")</f>
        <v>Czech Republic</v>
      </c>
      <c r="J262" s="16" t="str">
        <f>IFERROR(__xludf.DUMMYFUNCTION("""COMPUTED_VALUE"""),"OLOMOUC")</f>
        <v>OLOMOUC</v>
      </c>
      <c r="K262" s="17" t="str">
        <f>IFERROR(__xludf.DUMMYFUNCTION("""COMPUTED_VALUE"""),"https://expa.aiesec.org/opportunities/1292709")</f>
        <v>https://expa.aiesec.org/opportunities/1292709</v>
      </c>
      <c r="L262" s="16" t="str">
        <f>IFERROR(__xludf.DUMMYFUNCTION("""COMPUTED_VALUE"""),"GV")</f>
        <v>GV</v>
      </c>
      <c r="M262" s="16" t="str">
        <f>IFERROR(__xludf.DUMMYFUNCTION("""COMPUTED_VALUE"""),"short")</f>
        <v>short</v>
      </c>
      <c r="N262" s="18">
        <f>IFERROR(__xludf.DUMMYFUNCTION("""COMPUTED_VALUE"""),45120.0)</f>
        <v>45120</v>
      </c>
      <c r="O262" s="18">
        <f>IFERROR(__xludf.DUMMYFUNCTION("""COMPUTED_VALUE"""),45173.0)</f>
        <v>45173</v>
      </c>
      <c r="P262" s="18">
        <f>IFERROR(__xludf.DUMMYFUNCTION("""COMPUTED_VALUE"""),45215.0)</f>
        <v>45215</v>
      </c>
      <c r="Q262" s="18"/>
      <c r="R262" s="18"/>
      <c r="S262" s="16"/>
      <c r="T262" s="16"/>
      <c r="U262" s="16" t="str">
        <f>IFERROR(__xludf.DUMMYFUNCTION("""COMPUTED_VALUE"""),"Youth 4 Impact")</f>
        <v>Youth 4 Impact</v>
      </c>
      <c r="V262" s="16" t="str">
        <f>IFERROR(__xludf.DUMMYFUNCTION("""COMPUTED_VALUE"""),"ISTANBUL - BEYOGLU")</f>
        <v>ISTANBUL - BEYOGLU</v>
      </c>
      <c r="W262" s="16" t="str">
        <f>IFERROR(__xludf.DUMMYFUNCTION("""COMPUTED_VALUE"""),"2023-06-25T11:42:35Z")</f>
        <v>2023-06-25T11:42:35Z</v>
      </c>
      <c r="X262" s="16"/>
      <c r="Y262" s="16"/>
      <c r="Z262" s="16"/>
    </row>
    <row r="263">
      <c r="A263" s="16" t="str">
        <f>IFERROR(__xludf.DUMMYFUNCTION("""COMPUTED_VALUE"""),"4138575_1295311")</f>
        <v>4138575_1295311</v>
      </c>
      <c r="B263" s="16" t="str">
        <f>IFERROR(__xludf.DUMMYFUNCTION("""COMPUTED_VALUE"""),"ezgi atay")</f>
        <v>ezgi atay</v>
      </c>
      <c r="C263" s="16" t="str">
        <f>IFERROR(__xludf.DUMMYFUNCTION("""COMPUTED_VALUE"""),"completed")</f>
        <v>completed</v>
      </c>
      <c r="D263" s="16" t="str">
        <f>IFERROR(__xludf.DUMMYFUNCTION("""COMPUTED_VALUE"""),"No")</f>
        <v>No</v>
      </c>
      <c r="E263" s="16" t="str">
        <f>IFERROR(__xludf.DUMMYFUNCTION("""COMPUTED_VALUE"""),"p_a1a3b20e48c1c4acfcaae81b58909dc61910c290@inbound.aiesec.org")</f>
        <v>p_a1a3b20e48c1c4acfcaae81b58909dc61910c290@inbound.aiesec.org</v>
      </c>
      <c r="F263" s="16">
        <f>IFERROR(__xludf.DUMMYFUNCTION("""COMPUTED_VALUE"""),5.378716626E9)</f>
        <v>5378716626</v>
      </c>
      <c r="G263" s="16" t="str">
        <f>IFERROR(__xludf.DUMMYFUNCTION("""COMPUTED_VALUE"""),"Turkey")</f>
        <v>Turkey</v>
      </c>
      <c r="H263" s="16" t="str">
        <f>IFERROR(__xludf.DUMMYFUNCTION("""COMPUTED_VALUE"""),"ISTANBUL")</f>
        <v>ISTANBUL</v>
      </c>
      <c r="I263" s="16" t="str">
        <f>IFERROR(__xludf.DUMMYFUNCTION("""COMPUTED_VALUE"""),"Sri Lanka")</f>
        <v>Sri Lanka</v>
      </c>
      <c r="J263" s="16" t="str">
        <f>IFERROR(__xludf.DUMMYFUNCTION("""COMPUTED_VALUE"""),"RUHUNA")</f>
        <v>RUHUNA</v>
      </c>
      <c r="K263" s="17" t="str">
        <f>IFERROR(__xludf.DUMMYFUNCTION("""COMPUTED_VALUE"""),"https://expa.aiesec.org/opportunities/1295311")</f>
        <v>https://expa.aiesec.org/opportunities/1295311</v>
      </c>
      <c r="L263" s="16" t="str">
        <f>IFERROR(__xludf.DUMMYFUNCTION("""COMPUTED_VALUE"""),"GTa")</f>
        <v>GTa</v>
      </c>
      <c r="M263" s="16" t="str">
        <f>IFERROR(__xludf.DUMMYFUNCTION("""COMPUTED_VALUE"""),"short")</f>
        <v>short</v>
      </c>
      <c r="N263" s="18">
        <f>IFERROR(__xludf.DUMMYFUNCTION("""COMPUTED_VALUE"""),45121.0)</f>
        <v>45121</v>
      </c>
      <c r="O263" s="18">
        <f>IFERROR(__xludf.DUMMYFUNCTION("""COMPUTED_VALUE"""),45135.0)</f>
        <v>45135</v>
      </c>
      <c r="P263" s="18">
        <f>IFERROR(__xludf.DUMMYFUNCTION("""COMPUTED_VALUE"""),45218.0)</f>
        <v>45218</v>
      </c>
      <c r="Q263" s="18">
        <f>IFERROR(__xludf.DUMMYFUNCTION("""COMPUTED_VALUE"""),45136.0)</f>
        <v>45136</v>
      </c>
      <c r="R263" s="18">
        <f>IFERROR(__xludf.DUMMYFUNCTION("""COMPUTED_VALUE"""),45218.0)</f>
        <v>45218</v>
      </c>
      <c r="S263" s="16"/>
      <c r="T263" s="16" t="str">
        <f>IFERROR(__xludf.DUMMYFUNCTION("""COMPUTED_VALUE"""),"Marketing")</f>
        <v>Marketing</v>
      </c>
      <c r="U263" s="16" t="str">
        <f>IFERROR(__xludf.DUMMYFUNCTION("""COMPUTED_VALUE"""),"Digital Marketing &amp; Content Creator")</f>
        <v>Digital Marketing &amp; Content Creator</v>
      </c>
      <c r="V263" s="16" t="str">
        <f>IFERROR(__xludf.DUMMYFUNCTION("""COMPUTED_VALUE"""),"ISTANBUL - BEYOGLU")</f>
        <v>ISTANBUL - BEYOGLU</v>
      </c>
      <c r="W263" s="16" t="str">
        <f>IFERROR(__xludf.DUMMYFUNCTION("""COMPUTED_VALUE"""),"2020-01-14T22:15:46Z")</f>
        <v>2020-01-14T22:15:46Z</v>
      </c>
      <c r="X263" s="16"/>
      <c r="Y263" s="16"/>
      <c r="Z263" s="16"/>
    </row>
    <row r="264">
      <c r="A264" s="16" t="str">
        <f>IFERROR(__xludf.DUMMYFUNCTION("""COMPUTED_VALUE"""),"5273447_1294209")</f>
        <v>5273447_1294209</v>
      </c>
      <c r="B264" s="16" t="str">
        <f>IFERROR(__xludf.DUMMYFUNCTION("""COMPUTED_VALUE"""),"Tülay Sude Çetinkaya")</f>
        <v>Tülay Sude Çetinkaya</v>
      </c>
      <c r="C264" s="16" t="str">
        <f>IFERROR(__xludf.DUMMYFUNCTION("""COMPUTED_VALUE"""),"completed")</f>
        <v>completed</v>
      </c>
      <c r="D264" s="16" t="str">
        <f>IFERROR(__xludf.DUMMYFUNCTION("""COMPUTED_VALUE"""),"No")</f>
        <v>No</v>
      </c>
      <c r="E264" s="16" t="str">
        <f>IFERROR(__xludf.DUMMYFUNCTION("""COMPUTED_VALUE"""),"p_5953022613b44f50a77047dad67c9eb3198657eb@inbound.aiesec.org")</f>
        <v>p_5953022613b44f50a77047dad67c9eb3198657eb@inbound.aiesec.org</v>
      </c>
      <c r="F264" s="16"/>
      <c r="G264" s="16" t="str">
        <f>IFERROR(__xludf.DUMMYFUNCTION("""COMPUTED_VALUE"""),"Turkey")</f>
        <v>Turkey</v>
      </c>
      <c r="H264" s="16" t="str">
        <f>IFERROR(__xludf.DUMMYFUNCTION("""COMPUTED_VALUE"""),"ISTANBUL")</f>
        <v>ISTANBUL</v>
      </c>
      <c r="I264" s="16" t="str">
        <f>IFERROR(__xludf.DUMMYFUNCTION("""COMPUTED_VALUE"""),"Moldova")</f>
        <v>Moldova</v>
      </c>
      <c r="J264" s="16" t="str">
        <f>IFERROR(__xludf.DUMMYFUNCTION("""COMPUTED_VALUE"""),"CHISINAU")</f>
        <v>CHISINAU</v>
      </c>
      <c r="K264" s="17" t="str">
        <f>IFERROR(__xludf.DUMMYFUNCTION("""COMPUTED_VALUE"""),"https://expa.aiesec.org/opportunities/1294209")</f>
        <v>https://expa.aiesec.org/opportunities/1294209</v>
      </c>
      <c r="L264" s="16" t="str">
        <f>IFERROR(__xludf.DUMMYFUNCTION("""COMPUTED_VALUE"""),"GV")</f>
        <v>GV</v>
      </c>
      <c r="M264" s="16" t="str">
        <f>IFERROR(__xludf.DUMMYFUNCTION("""COMPUTED_VALUE"""),"short")</f>
        <v>short</v>
      </c>
      <c r="N264" s="18">
        <f>IFERROR(__xludf.DUMMYFUNCTION("""COMPUTED_VALUE"""),45127.0)</f>
        <v>45127</v>
      </c>
      <c r="O264" s="18">
        <f>IFERROR(__xludf.DUMMYFUNCTION("""COMPUTED_VALUE"""),45159.0)</f>
        <v>45159</v>
      </c>
      <c r="P264" s="18">
        <f>IFERROR(__xludf.DUMMYFUNCTION("""COMPUTED_VALUE"""),45201.0)</f>
        <v>45201</v>
      </c>
      <c r="Q264" s="18">
        <f>IFERROR(__xludf.DUMMYFUNCTION("""COMPUTED_VALUE"""),45160.0)</f>
        <v>45160</v>
      </c>
      <c r="R264" s="18">
        <f>IFERROR(__xludf.DUMMYFUNCTION("""COMPUTED_VALUE"""),45201.0)</f>
        <v>45201</v>
      </c>
      <c r="S264" s="16"/>
      <c r="T264" s="16"/>
      <c r="U264" s="16" t="str">
        <f>IFERROR(__xludf.DUMMYFUNCTION("""COMPUTED_VALUE"""),"On The Map")</f>
        <v>On The Map</v>
      </c>
      <c r="V264" s="16" t="str">
        <f>IFERROR(__xludf.DUMMYFUNCTION("""COMPUTED_VALUE"""),"-")</f>
        <v>-</v>
      </c>
      <c r="W264" s="16" t="str">
        <f>IFERROR(__xludf.DUMMYFUNCTION("""COMPUTED_VALUE"""),"2023-06-09T17:57:05Z")</f>
        <v>2023-06-09T17:57:05Z</v>
      </c>
      <c r="X264" s="16"/>
      <c r="Y264" s="16"/>
      <c r="Z264" s="16"/>
    </row>
    <row r="265">
      <c r="A265" s="16" t="str">
        <f>IFERROR(__xludf.DUMMYFUNCTION("""COMPUTED_VALUE"""),"5268467_1294209")</f>
        <v>5268467_1294209</v>
      </c>
      <c r="B265" s="16" t="str">
        <f>IFERROR(__xludf.DUMMYFUNCTION("""COMPUTED_VALUE"""),"Feyza er")</f>
        <v>Feyza er</v>
      </c>
      <c r="C265" s="16" t="str">
        <f>IFERROR(__xludf.DUMMYFUNCTION("""COMPUTED_VALUE"""),"completed")</f>
        <v>completed</v>
      </c>
      <c r="D265" s="16" t="str">
        <f>IFERROR(__xludf.DUMMYFUNCTION("""COMPUTED_VALUE"""),"No")</f>
        <v>No</v>
      </c>
      <c r="E265" s="16" t="str">
        <f>IFERROR(__xludf.DUMMYFUNCTION("""COMPUTED_VALUE"""),"p_dd024d2f6fca27881ba652857821a8fb57580398@inbound.aiesec.org")</f>
        <v>p_dd024d2f6fca27881ba652857821a8fb57580398@inbound.aiesec.org</v>
      </c>
      <c r="F265" s="16"/>
      <c r="G265" s="16" t="str">
        <f>IFERROR(__xludf.DUMMYFUNCTION("""COMPUTED_VALUE"""),"Turkey")</f>
        <v>Turkey</v>
      </c>
      <c r="H265" s="16" t="str">
        <f>IFERROR(__xludf.DUMMYFUNCTION("""COMPUTED_VALUE"""),"ISTANBUL")</f>
        <v>ISTANBUL</v>
      </c>
      <c r="I265" s="16" t="str">
        <f>IFERROR(__xludf.DUMMYFUNCTION("""COMPUTED_VALUE"""),"Moldova")</f>
        <v>Moldova</v>
      </c>
      <c r="J265" s="16" t="str">
        <f>IFERROR(__xludf.DUMMYFUNCTION("""COMPUTED_VALUE"""),"CHISINAU")</f>
        <v>CHISINAU</v>
      </c>
      <c r="K265" s="17" t="str">
        <f>IFERROR(__xludf.DUMMYFUNCTION("""COMPUTED_VALUE"""),"https://expa.aiesec.org/opportunities/1294209")</f>
        <v>https://expa.aiesec.org/opportunities/1294209</v>
      </c>
      <c r="L265" s="16" t="str">
        <f>IFERROR(__xludf.DUMMYFUNCTION("""COMPUTED_VALUE"""),"GV")</f>
        <v>GV</v>
      </c>
      <c r="M265" s="16" t="str">
        <f>IFERROR(__xludf.DUMMYFUNCTION("""COMPUTED_VALUE"""),"short")</f>
        <v>short</v>
      </c>
      <c r="N265" s="18">
        <f>IFERROR(__xludf.DUMMYFUNCTION("""COMPUTED_VALUE"""),45127.0)</f>
        <v>45127</v>
      </c>
      <c r="O265" s="18">
        <f>IFERROR(__xludf.DUMMYFUNCTION("""COMPUTED_VALUE"""),45159.0)</f>
        <v>45159</v>
      </c>
      <c r="P265" s="18">
        <f>IFERROR(__xludf.DUMMYFUNCTION("""COMPUTED_VALUE"""),45201.0)</f>
        <v>45201</v>
      </c>
      <c r="Q265" s="18">
        <f>IFERROR(__xludf.DUMMYFUNCTION("""COMPUTED_VALUE"""),45160.0)</f>
        <v>45160</v>
      </c>
      <c r="R265" s="18">
        <f>IFERROR(__xludf.DUMMYFUNCTION("""COMPUTED_VALUE"""),45201.0)</f>
        <v>45201</v>
      </c>
      <c r="S265" s="16"/>
      <c r="T265" s="16"/>
      <c r="U265" s="16" t="str">
        <f>IFERROR(__xludf.DUMMYFUNCTION("""COMPUTED_VALUE"""),"On The Map")</f>
        <v>On The Map</v>
      </c>
      <c r="V265" s="16" t="str">
        <f>IFERROR(__xludf.DUMMYFUNCTION("""COMPUTED_VALUE"""),"-")</f>
        <v>-</v>
      </c>
      <c r="W265" s="16" t="str">
        <f>IFERROR(__xludf.DUMMYFUNCTION("""COMPUTED_VALUE"""),"2023-05-29T20:42:56Z")</f>
        <v>2023-05-29T20:42:56Z</v>
      </c>
      <c r="X265" s="16"/>
      <c r="Y265" s="16"/>
      <c r="Z265" s="16"/>
    </row>
    <row r="266">
      <c r="A266" s="16" t="str">
        <f>IFERROR(__xludf.DUMMYFUNCTION("""COMPUTED_VALUE"""),"5281456_1295728")</f>
        <v>5281456_1295728</v>
      </c>
      <c r="B266" s="16" t="str">
        <f>IFERROR(__xludf.DUMMYFUNCTION("""COMPUTED_VALUE"""),"Yusuf Evren")</f>
        <v>Yusuf Evren</v>
      </c>
      <c r="C266" s="16" t="str">
        <f>IFERROR(__xludf.DUMMYFUNCTION("""COMPUTED_VALUE"""),"completed")</f>
        <v>completed</v>
      </c>
      <c r="D266" s="16" t="str">
        <f>IFERROR(__xludf.DUMMYFUNCTION("""COMPUTED_VALUE"""),"No")</f>
        <v>No</v>
      </c>
      <c r="E266" s="16" t="str">
        <f>IFERROR(__xludf.DUMMYFUNCTION("""COMPUTED_VALUE"""),"p_6f505cc6490ecaf7699dfe05f095df092b791612@inbound.aiesec.org")</f>
        <v>p_6f505cc6490ecaf7699dfe05f095df092b791612@inbound.aiesec.org</v>
      </c>
      <c r="F266" s="16">
        <f>IFERROR(__xludf.DUMMYFUNCTION("""COMPUTED_VALUE"""),5.411854064E9)</f>
        <v>5411854064</v>
      </c>
      <c r="G266" s="16" t="str">
        <f>IFERROR(__xludf.DUMMYFUNCTION("""COMPUTED_VALUE"""),"Turkey")</f>
        <v>Turkey</v>
      </c>
      <c r="H266" s="16" t="str">
        <f>IFERROR(__xludf.DUMMYFUNCTION("""COMPUTED_VALUE"""),"ISTANBUL")</f>
        <v>ISTANBUL</v>
      </c>
      <c r="I266" s="16" t="str">
        <f>IFERROR(__xludf.DUMMYFUNCTION("""COMPUTED_VALUE"""),"Egypt")</f>
        <v>Egypt</v>
      </c>
      <c r="J266" s="16" t="str">
        <f>IFERROR(__xludf.DUMMYFUNCTION("""COMPUTED_VALUE"""),"Cairo University")</f>
        <v>Cairo University</v>
      </c>
      <c r="K266" s="17" t="str">
        <f>IFERROR(__xludf.DUMMYFUNCTION("""COMPUTED_VALUE"""),"https://expa.aiesec.org/opportunities/1295728")</f>
        <v>https://expa.aiesec.org/opportunities/1295728</v>
      </c>
      <c r="L266" s="16" t="str">
        <f>IFERROR(__xludf.DUMMYFUNCTION("""COMPUTED_VALUE"""),"GV")</f>
        <v>GV</v>
      </c>
      <c r="M266" s="16" t="str">
        <f>IFERROR(__xludf.DUMMYFUNCTION("""COMPUTED_VALUE"""),"short")</f>
        <v>short</v>
      </c>
      <c r="N266" s="18">
        <f>IFERROR(__xludf.DUMMYFUNCTION("""COMPUTED_VALUE"""),45127.0)</f>
        <v>45127</v>
      </c>
      <c r="O266" s="18">
        <f>IFERROR(__xludf.DUMMYFUNCTION("""COMPUTED_VALUE"""),45159.0)</f>
        <v>45159</v>
      </c>
      <c r="P266" s="18">
        <f>IFERROR(__xludf.DUMMYFUNCTION("""COMPUTED_VALUE"""),45201.0)</f>
        <v>45201</v>
      </c>
      <c r="Q266" s="18">
        <f>IFERROR(__xludf.DUMMYFUNCTION("""COMPUTED_VALUE"""),45163.0)</f>
        <v>45163</v>
      </c>
      <c r="R266" s="18">
        <f>IFERROR(__xludf.DUMMYFUNCTION("""COMPUTED_VALUE"""),45203.0)</f>
        <v>45203</v>
      </c>
      <c r="S266" s="16"/>
      <c r="T266" s="16"/>
      <c r="U266" s="16" t="str">
        <f>IFERROR(__xludf.DUMMYFUNCTION("""COMPUTED_VALUE"""),"Youth 4 Impact")</f>
        <v>Youth 4 Impact</v>
      </c>
      <c r="V266" s="16" t="str">
        <f>IFERROR(__xludf.DUMMYFUNCTION("""COMPUTED_VALUE"""),"ISTANBUL - BEYOGLU")</f>
        <v>ISTANBUL - BEYOGLU</v>
      </c>
      <c r="W266" s="16" t="str">
        <f>IFERROR(__xludf.DUMMYFUNCTION("""COMPUTED_VALUE"""),"2023-07-02T12:40:17Z")</f>
        <v>2023-07-02T12:40:17Z</v>
      </c>
      <c r="X266" s="16"/>
      <c r="Y266" s="16"/>
      <c r="Z266" s="16"/>
    </row>
    <row r="267">
      <c r="A267" s="16" t="str">
        <f>IFERROR(__xludf.DUMMYFUNCTION("""COMPUTED_VALUE"""),"4719277_1294537")</f>
        <v>4719277_1294537</v>
      </c>
      <c r="B267" s="16" t="str">
        <f>IFERROR(__xludf.DUMMYFUNCTION("""COMPUTED_VALUE"""),"Fatmanur Sönmüş")</f>
        <v>Fatmanur Sönmüş</v>
      </c>
      <c r="C267" s="16" t="str">
        <f>IFERROR(__xludf.DUMMYFUNCTION("""COMPUTED_VALUE"""),"completed")</f>
        <v>completed</v>
      </c>
      <c r="D267" s="16" t="str">
        <f>IFERROR(__xludf.DUMMYFUNCTION("""COMPUTED_VALUE"""),"No")</f>
        <v>No</v>
      </c>
      <c r="E267" s="16" t="str">
        <f>IFERROR(__xludf.DUMMYFUNCTION("""COMPUTED_VALUE"""),"p_8efd63d81e39239f859eeae8b3928d2259213d87@inbound.aiesec.org")</f>
        <v>p_8efd63d81e39239f859eeae8b3928d2259213d87@inbound.aiesec.org</v>
      </c>
      <c r="F267" s="16"/>
      <c r="G267" s="16" t="str">
        <f>IFERROR(__xludf.DUMMYFUNCTION("""COMPUTED_VALUE"""),"Turkey")</f>
        <v>Turkey</v>
      </c>
      <c r="H267" s="16" t="str">
        <f>IFERROR(__xludf.DUMMYFUNCTION("""COMPUTED_VALUE"""),"ISTANBUL")</f>
        <v>ISTANBUL</v>
      </c>
      <c r="I267" s="16" t="str">
        <f>IFERROR(__xludf.DUMMYFUNCTION("""COMPUTED_VALUE"""),"Poland")</f>
        <v>Poland</v>
      </c>
      <c r="J267" s="16" t="str">
        <f>IFERROR(__xludf.DUMMYFUNCTION("""COMPUTED_VALUE"""),"WROCLAW UE")</f>
        <v>WROCLAW UE</v>
      </c>
      <c r="K267" s="17" t="str">
        <f>IFERROR(__xludf.DUMMYFUNCTION("""COMPUTED_VALUE"""),"https://expa.aiesec.org/opportunities/1294537")</f>
        <v>https://expa.aiesec.org/opportunities/1294537</v>
      </c>
      <c r="L267" s="16" t="str">
        <f>IFERROR(__xludf.DUMMYFUNCTION("""COMPUTED_VALUE"""),"GV")</f>
        <v>GV</v>
      </c>
      <c r="M267" s="16" t="str">
        <f>IFERROR(__xludf.DUMMYFUNCTION("""COMPUTED_VALUE"""),"short")</f>
        <v>short</v>
      </c>
      <c r="N267" s="18">
        <f>IFERROR(__xludf.DUMMYFUNCTION("""COMPUTED_VALUE"""),45127.0)</f>
        <v>45127</v>
      </c>
      <c r="O267" s="18">
        <f>IFERROR(__xludf.DUMMYFUNCTION("""COMPUTED_VALUE"""),45186.0)</f>
        <v>45186</v>
      </c>
      <c r="P267" s="18">
        <f>IFERROR(__xludf.DUMMYFUNCTION("""COMPUTED_VALUE"""),45228.0)</f>
        <v>45228</v>
      </c>
      <c r="Q267" s="18">
        <f>IFERROR(__xludf.DUMMYFUNCTION("""COMPUTED_VALUE"""),45187.0)</f>
        <v>45187</v>
      </c>
      <c r="R267" s="18">
        <f>IFERROR(__xludf.DUMMYFUNCTION("""COMPUTED_VALUE"""),45228.0)</f>
        <v>45228</v>
      </c>
      <c r="S267" s="16"/>
      <c r="T267" s="16"/>
      <c r="U267" s="16" t="str">
        <f>IFERROR(__xludf.DUMMYFUNCTION("""COMPUTED_VALUE"""),"Green Leaders")</f>
        <v>Green Leaders</v>
      </c>
      <c r="V267" s="16" t="str">
        <f>IFERROR(__xludf.DUMMYFUNCTION("""COMPUTED_VALUE"""),"-")</f>
        <v>-</v>
      </c>
      <c r="W267" s="16" t="str">
        <f>IFERROR(__xludf.DUMMYFUNCTION("""COMPUTED_VALUE"""),"2021-08-25T11:51:26Z")</f>
        <v>2021-08-25T11:51:26Z</v>
      </c>
      <c r="X267" s="16"/>
      <c r="Y267" s="16"/>
      <c r="Z267" s="16"/>
    </row>
    <row r="268">
      <c r="A268" s="16" t="str">
        <f>IFERROR(__xludf.DUMMYFUNCTION("""COMPUTED_VALUE"""),"5287231_1289536")</f>
        <v>5287231_1289536</v>
      </c>
      <c r="B268" s="16" t="str">
        <f>IFERROR(__xludf.DUMMYFUNCTION("""COMPUTED_VALUE"""),"Samiksha Sanjay Singh")</f>
        <v>Samiksha Sanjay Singh</v>
      </c>
      <c r="C268" s="16" t="str">
        <f>IFERROR(__xludf.DUMMYFUNCTION("""COMPUTED_VALUE"""),"approved")</f>
        <v>approved</v>
      </c>
      <c r="D268" s="16" t="str">
        <f>IFERROR(__xludf.DUMMYFUNCTION("""COMPUTED_VALUE"""),"No")</f>
        <v>No</v>
      </c>
      <c r="E268" s="16" t="str">
        <f>IFERROR(__xludf.DUMMYFUNCTION("""COMPUTED_VALUE"""),"p_64aca34357909bf27ed426c7f7a0c94d9a0de813@inbound.aiesec.org")</f>
        <v>p_64aca34357909bf27ed426c7f7a0c94d9a0de813@inbound.aiesec.org</v>
      </c>
      <c r="F268" s="16"/>
      <c r="G268" s="16" t="str">
        <f>IFERROR(__xludf.DUMMYFUNCTION("""COMPUTED_VALUE"""),"India")</f>
        <v>India</v>
      </c>
      <c r="H268" s="16" t="str">
        <f>IFERROR(__xludf.DUMMYFUNCTION("""COMPUTED_VALUE"""),"Mumbai")</f>
        <v>Mumbai</v>
      </c>
      <c r="I268" s="16" t="str">
        <f>IFERROR(__xludf.DUMMYFUNCTION("""COMPUTED_VALUE"""),"Turkey")</f>
        <v>Turkey</v>
      </c>
      <c r="J268" s="16" t="str">
        <f>IFERROR(__xludf.DUMMYFUNCTION("""COMPUTED_VALUE"""),"ISTANBUL")</f>
        <v>ISTANBUL</v>
      </c>
      <c r="K268" s="17" t="str">
        <f>IFERROR(__xludf.DUMMYFUNCTION("""COMPUTED_VALUE"""),"https://expa.aiesec.org/opportunities/1289536")</f>
        <v>https://expa.aiesec.org/opportunities/1289536</v>
      </c>
      <c r="L268" s="16" t="str">
        <f>IFERROR(__xludf.DUMMYFUNCTION("""COMPUTED_VALUE"""),"GV")</f>
        <v>GV</v>
      </c>
      <c r="M268" s="16" t="str">
        <f>IFERROR(__xludf.DUMMYFUNCTION("""COMPUTED_VALUE"""),"short")</f>
        <v>short</v>
      </c>
      <c r="N268" s="18">
        <f>IFERROR(__xludf.DUMMYFUNCTION("""COMPUTED_VALUE"""),45127.0)</f>
        <v>45127</v>
      </c>
      <c r="O268" s="18">
        <f>IFERROR(__xludf.DUMMYFUNCTION("""COMPUTED_VALUE"""),45444.0)</f>
        <v>45444</v>
      </c>
      <c r="P268" s="18">
        <f>IFERROR(__xludf.DUMMYFUNCTION("""COMPUTED_VALUE"""),45486.0)</f>
        <v>45486</v>
      </c>
      <c r="Q268" s="18"/>
      <c r="R268" s="18"/>
      <c r="S268" s="16"/>
      <c r="T268" s="16"/>
      <c r="U268" s="16" t="str">
        <f>IFERROR(__xludf.DUMMYFUNCTION("""COMPUTED_VALUE"""),"Global Classroom")</f>
        <v>Global Classroom</v>
      </c>
      <c r="V268" s="16" t="str">
        <f>IFERROR(__xludf.DUMMYFUNCTION("""COMPUTED_VALUE"""),"-")</f>
        <v>-</v>
      </c>
      <c r="W268" s="16" t="str">
        <f>IFERROR(__xludf.DUMMYFUNCTION("""COMPUTED_VALUE"""),"2023-07-19T16:04:06Z")</f>
        <v>2023-07-19T16:04:06Z</v>
      </c>
      <c r="X268" s="16"/>
      <c r="Y268" s="16"/>
      <c r="Z268" s="16"/>
    </row>
    <row r="269">
      <c r="A269" s="16" t="str">
        <f>IFERROR(__xludf.DUMMYFUNCTION("""COMPUTED_VALUE"""),"5182527_1288393")</f>
        <v>5182527_1288393</v>
      </c>
      <c r="B269" s="16" t="str">
        <f>IFERROR(__xludf.DUMMYFUNCTION("""COMPUTED_VALUE"""),"Sirine Kerkeni")</f>
        <v>Sirine Kerkeni</v>
      </c>
      <c r="C269" s="16" t="str">
        <f>IFERROR(__xludf.DUMMYFUNCTION("""COMPUTED_VALUE"""),"completed")</f>
        <v>completed</v>
      </c>
      <c r="D269" s="16" t="str">
        <f>IFERROR(__xludf.DUMMYFUNCTION("""COMPUTED_VALUE"""),"No")</f>
        <v>No</v>
      </c>
      <c r="E269" s="16" t="str">
        <f>IFERROR(__xludf.DUMMYFUNCTION("""COMPUTED_VALUE"""),"p_e9f7bea11696ff5648d612f52fdb127a1e789cd8@inbound.aiesec.org")</f>
        <v>p_e9f7bea11696ff5648d612f52fdb127a1e789cd8@inbound.aiesec.org</v>
      </c>
      <c r="F269" s="16">
        <f>IFERROR(__xludf.DUMMYFUNCTION("""COMPUTED_VALUE"""),2.7106629E7)</f>
        <v>27106629</v>
      </c>
      <c r="G269" s="16" t="str">
        <f>IFERROR(__xludf.DUMMYFUNCTION("""COMPUTED_VALUE"""),"Tunisia")</f>
        <v>Tunisia</v>
      </c>
      <c r="H269" s="16" t="str">
        <f>IFERROR(__xludf.DUMMYFUNCTION("""COMPUTED_VALUE"""),"BARDO")</f>
        <v>BARDO</v>
      </c>
      <c r="I269" s="16" t="str">
        <f>IFERROR(__xludf.DUMMYFUNCTION("""COMPUTED_VALUE"""),"Turkey")</f>
        <v>Turkey</v>
      </c>
      <c r="J269" s="16" t="str">
        <f>IFERROR(__xludf.DUMMYFUNCTION("""COMPUTED_VALUE"""),"ISTANBUL")</f>
        <v>ISTANBUL</v>
      </c>
      <c r="K269" s="17" t="str">
        <f>IFERROR(__xludf.DUMMYFUNCTION("""COMPUTED_VALUE"""),"https://expa.aiesec.org/opportunities/1288393")</f>
        <v>https://expa.aiesec.org/opportunities/1288393</v>
      </c>
      <c r="L269" s="16" t="str">
        <f>IFERROR(__xludf.DUMMYFUNCTION("""COMPUTED_VALUE"""),"GV")</f>
        <v>GV</v>
      </c>
      <c r="M269" s="16" t="str">
        <f>IFERROR(__xludf.DUMMYFUNCTION("""COMPUTED_VALUE"""),"short")</f>
        <v>short</v>
      </c>
      <c r="N269" s="18">
        <f>IFERROR(__xludf.DUMMYFUNCTION("""COMPUTED_VALUE"""),45131.0)</f>
        <v>45131</v>
      </c>
      <c r="O269" s="18">
        <f>IFERROR(__xludf.DUMMYFUNCTION("""COMPUTED_VALUE"""),45152.0)</f>
        <v>45152</v>
      </c>
      <c r="P269" s="18">
        <f>IFERROR(__xludf.DUMMYFUNCTION("""COMPUTED_VALUE"""),45194.0)</f>
        <v>45194</v>
      </c>
      <c r="Q269" s="18">
        <f>IFERROR(__xludf.DUMMYFUNCTION("""COMPUTED_VALUE"""),45156.0)</f>
        <v>45156</v>
      </c>
      <c r="R269" s="18">
        <f>IFERROR(__xludf.DUMMYFUNCTION("""COMPUTED_VALUE"""),45198.0)</f>
        <v>45198</v>
      </c>
      <c r="S269" s="16"/>
      <c r="T269" s="16"/>
      <c r="U269" s="16" t="str">
        <f>IFERROR(__xludf.DUMMYFUNCTION("""COMPUTED_VALUE"""),"Global Classroom")</f>
        <v>Global Classroom</v>
      </c>
      <c r="V269" s="16" t="str">
        <f>IFERROR(__xludf.DUMMYFUNCTION("""COMPUTED_VALUE"""),"TBS")</f>
        <v>TBS</v>
      </c>
      <c r="W269" s="16" t="str">
        <f>IFERROR(__xludf.DUMMYFUNCTION("""COMPUTED_VALUE"""),"2023-01-30T23:31:17Z")</f>
        <v>2023-01-30T23:31:17Z</v>
      </c>
      <c r="X269" s="16"/>
      <c r="Y269" s="16"/>
      <c r="Z269" s="16"/>
    </row>
    <row r="270">
      <c r="A270" s="16" t="str">
        <f>IFERROR(__xludf.DUMMYFUNCTION("""COMPUTED_VALUE"""),"5288866_1295363")</f>
        <v>5288866_1295363</v>
      </c>
      <c r="B270" s="16" t="str">
        <f>IFERROR(__xludf.DUMMYFUNCTION("""COMPUTED_VALUE"""),"Sena Çankaya")</f>
        <v>Sena Çankaya</v>
      </c>
      <c r="C270" s="16" t="str">
        <f>IFERROR(__xludf.DUMMYFUNCTION("""COMPUTED_VALUE"""),"completed")</f>
        <v>completed</v>
      </c>
      <c r="D270" s="16" t="str">
        <f>IFERROR(__xludf.DUMMYFUNCTION("""COMPUTED_VALUE"""),"No")</f>
        <v>No</v>
      </c>
      <c r="E270" s="16" t="str">
        <f>IFERROR(__xludf.DUMMYFUNCTION("""COMPUTED_VALUE"""),"p_a523c78edb97bb4d8caa436038a9d4f33743e2c3@inbound.aiesec.org")</f>
        <v>p_a523c78edb97bb4d8caa436038a9d4f33743e2c3@inbound.aiesec.org</v>
      </c>
      <c r="F270" s="16">
        <f>IFERROR(__xludf.DUMMYFUNCTION("""COMPUTED_VALUE"""),5.447851403E9)</f>
        <v>5447851403</v>
      </c>
      <c r="G270" s="16" t="str">
        <f>IFERROR(__xludf.DUMMYFUNCTION("""COMPUTED_VALUE"""),"Turkey")</f>
        <v>Turkey</v>
      </c>
      <c r="H270" s="16" t="str">
        <f>IFERROR(__xludf.DUMMYFUNCTION("""COMPUTED_VALUE"""),"ISTANBUL")</f>
        <v>ISTANBUL</v>
      </c>
      <c r="I270" s="16" t="str">
        <f>IFERROR(__xludf.DUMMYFUNCTION("""COMPUTED_VALUE"""),"Italy")</f>
        <v>Italy</v>
      </c>
      <c r="J270" s="16" t="str">
        <f>IFERROR(__xludf.DUMMYFUNCTION("""COMPUTED_VALUE"""),"Pavia")</f>
        <v>Pavia</v>
      </c>
      <c r="K270" s="17" t="str">
        <f>IFERROR(__xludf.DUMMYFUNCTION("""COMPUTED_VALUE"""),"https://expa.aiesec.org/opportunities/1295363")</f>
        <v>https://expa.aiesec.org/opportunities/1295363</v>
      </c>
      <c r="L270" s="16" t="str">
        <f>IFERROR(__xludf.DUMMYFUNCTION("""COMPUTED_VALUE"""),"GV")</f>
        <v>GV</v>
      </c>
      <c r="M270" s="16" t="str">
        <f>IFERROR(__xludf.DUMMYFUNCTION("""COMPUTED_VALUE"""),"short")</f>
        <v>short</v>
      </c>
      <c r="N270" s="18">
        <f>IFERROR(__xludf.DUMMYFUNCTION("""COMPUTED_VALUE"""),45135.0)</f>
        <v>45135</v>
      </c>
      <c r="O270" s="18">
        <f>IFERROR(__xludf.DUMMYFUNCTION("""COMPUTED_VALUE"""),45155.0)</f>
        <v>45155</v>
      </c>
      <c r="P270" s="18">
        <f>IFERROR(__xludf.DUMMYFUNCTION("""COMPUTED_VALUE"""),45197.0)</f>
        <v>45197</v>
      </c>
      <c r="Q270" s="18">
        <f>IFERROR(__xludf.DUMMYFUNCTION("""COMPUTED_VALUE"""),45155.0)</f>
        <v>45155</v>
      </c>
      <c r="R270" s="18">
        <f>IFERROR(__xludf.DUMMYFUNCTION("""COMPUTED_VALUE"""),45197.0)</f>
        <v>45197</v>
      </c>
      <c r="S270" s="16"/>
      <c r="T270" s="16"/>
      <c r="U270" s="16" t="str">
        <f>IFERROR(__xludf.DUMMYFUNCTION("""COMPUTED_VALUE"""),"Equify")</f>
        <v>Equify</v>
      </c>
      <c r="V270" s="16" t="str">
        <f>IFERROR(__xludf.DUMMYFUNCTION("""COMPUTED_VALUE"""),"ISTANBUL ASIA")</f>
        <v>ISTANBUL ASIA</v>
      </c>
      <c r="W270" s="16" t="str">
        <f>IFERROR(__xludf.DUMMYFUNCTION("""COMPUTED_VALUE"""),"2023-07-24T16:15:40Z")</f>
        <v>2023-07-24T16:15:40Z</v>
      </c>
      <c r="X270" s="16"/>
      <c r="Y270" s="16"/>
      <c r="Z270" s="16"/>
    </row>
    <row r="271">
      <c r="A271" s="16" t="str">
        <f>IFERROR(__xludf.DUMMYFUNCTION("""COMPUTED_VALUE"""),"5277968_1295811")</f>
        <v>5277968_1295811</v>
      </c>
      <c r="B271" s="16" t="str">
        <f>IFERROR(__xludf.DUMMYFUNCTION("""COMPUTED_VALUE"""),"gamze çiçek")</f>
        <v>gamze çiçek</v>
      </c>
      <c r="C271" s="16" t="str">
        <f>IFERROR(__xludf.DUMMYFUNCTION("""COMPUTED_VALUE"""),"completed")</f>
        <v>completed</v>
      </c>
      <c r="D271" s="16" t="str">
        <f>IFERROR(__xludf.DUMMYFUNCTION("""COMPUTED_VALUE"""),"No")</f>
        <v>No</v>
      </c>
      <c r="E271" s="16" t="str">
        <f>IFERROR(__xludf.DUMMYFUNCTION("""COMPUTED_VALUE"""),"p_b02e150160e2884cc672b234344cdab7c7e5e136@inbound.aiesec.org")</f>
        <v>p_b02e150160e2884cc672b234344cdab7c7e5e136@inbound.aiesec.org</v>
      </c>
      <c r="F271" s="16">
        <f>IFERROR(__xludf.DUMMYFUNCTION("""COMPUTED_VALUE"""),5.318941842E9)</f>
        <v>5318941842</v>
      </c>
      <c r="G271" s="16" t="str">
        <f>IFERROR(__xludf.DUMMYFUNCTION("""COMPUTED_VALUE"""),"Turkey")</f>
        <v>Turkey</v>
      </c>
      <c r="H271" s="16" t="str">
        <f>IFERROR(__xludf.DUMMYFUNCTION("""COMPUTED_VALUE"""),"ISTANBUL")</f>
        <v>ISTANBUL</v>
      </c>
      <c r="I271" s="16" t="str">
        <f>IFERROR(__xludf.DUMMYFUNCTION("""COMPUTED_VALUE"""),"Egypt")</f>
        <v>Egypt</v>
      </c>
      <c r="J271" s="16" t="str">
        <f>IFERROR(__xludf.DUMMYFUNCTION("""COMPUTED_VALUE"""),"Menofia")</f>
        <v>Menofia</v>
      </c>
      <c r="K271" s="17" t="str">
        <f>IFERROR(__xludf.DUMMYFUNCTION("""COMPUTED_VALUE"""),"https://expa.aiesec.org/opportunities/1295811")</f>
        <v>https://expa.aiesec.org/opportunities/1295811</v>
      </c>
      <c r="L271" s="16" t="str">
        <f>IFERROR(__xludf.DUMMYFUNCTION("""COMPUTED_VALUE"""),"GTa")</f>
        <v>GTa</v>
      </c>
      <c r="M271" s="16" t="str">
        <f>IFERROR(__xludf.DUMMYFUNCTION("""COMPUTED_VALUE"""),"short")</f>
        <v>short</v>
      </c>
      <c r="N271" s="18">
        <f>IFERROR(__xludf.DUMMYFUNCTION("""COMPUTED_VALUE"""),45136.0)</f>
        <v>45136</v>
      </c>
      <c r="O271" s="18">
        <f>IFERROR(__xludf.DUMMYFUNCTION("""COMPUTED_VALUE"""),45147.0)</f>
        <v>45147</v>
      </c>
      <c r="P271" s="18">
        <f>IFERROR(__xludf.DUMMYFUNCTION("""COMPUTED_VALUE"""),45189.0)</f>
        <v>45189</v>
      </c>
      <c r="Q271" s="18">
        <f>IFERROR(__xludf.DUMMYFUNCTION("""COMPUTED_VALUE"""),45145.0)</f>
        <v>45145</v>
      </c>
      <c r="R271" s="18">
        <f>IFERROR(__xludf.DUMMYFUNCTION("""COMPUTED_VALUE"""),45189.0)</f>
        <v>45189</v>
      </c>
      <c r="S271" s="16"/>
      <c r="T271" s="16" t="str">
        <f>IFERROR(__xludf.DUMMYFUNCTION("""COMPUTED_VALUE"""),"Marketing")</f>
        <v>Marketing</v>
      </c>
      <c r="U271" s="16" t="str">
        <f>IFERROR(__xludf.DUMMYFUNCTION("""COMPUTED_VALUE"""),"Digital Markting Internship")</f>
        <v>Digital Markting Internship</v>
      </c>
      <c r="V271" s="16" t="str">
        <f>IFERROR(__xludf.DUMMYFUNCTION("""COMPUTED_VALUE"""),"ISTANBUL - BEYOGLU")</f>
        <v>ISTANBUL - BEYOGLU</v>
      </c>
      <c r="W271" s="16" t="str">
        <f>IFERROR(__xludf.DUMMYFUNCTION("""COMPUTED_VALUE"""),"2023-06-21T12:57:37Z")</f>
        <v>2023-06-21T12:57:37Z</v>
      </c>
      <c r="X271" s="16"/>
      <c r="Y271" s="16"/>
      <c r="Z271" s="16"/>
    </row>
    <row r="272">
      <c r="A272" s="16" t="str">
        <f>IFERROR(__xludf.DUMMYFUNCTION("""COMPUTED_VALUE"""),"5291898_1294137")</f>
        <v>5291898_1294137</v>
      </c>
      <c r="B272" s="16" t="str">
        <f>IFERROR(__xludf.DUMMYFUNCTION("""COMPUTED_VALUE"""),"Melike hümeyra Yakupoğlu")</f>
        <v>Melike hümeyra Yakupoğlu</v>
      </c>
      <c r="C272" s="16" t="str">
        <f>IFERROR(__xludf.DUMMYFUNCTION("""COMPUTED_VALUE"""),"approved")</f>
        <v>approved</v>
      </c>
      <c r="D272" s="16" t="str">
        <f>IFERROR(__xludf.DUMMYFUNCTION("""COMPUTED_VALUE"""),"No")</f>
        <v>No</v>
      </c>
      <c r="E272" s="16" t="str">
        <f>IFERROR(__xludf.DUMMYFUNCTION("""COMPUTED_VALUE"""),"p_f1d723ee35edfd758ac36f637ad65a0a05679c8e@inbound.aiesec.org")</f>
        <v>p_f1d723ee35edfd758ac36f637ad65a0a05679c8e@inbound.aiesec.org</v>
      </c>
      <c r="F272" s="16"/>
      <c r="G272" s="16" t="str">
        <f>IFERROR(__xludf.DUMMYFUNCTION("""COMPUTED_VALUE"""),"Turkey")</f>
        <v>Turkey</v>
      </c>
      <c r="H272" s="16" t="str">
        <f>IFERROR(__xludf.DUMMYFUNCTION("""COMPUTED_VALUE"""),"ISTANBUL")</f>
        <v>ISTANBUL</v>
      </c>
      <c r="I272" s="16" t="str">
        <f>IFERROR(__xludf.DUMMYFUNCTION("""COMPUTED_VALUE"""),"Egypt")</f>
        <v>Egypt</v>
      </c>
      <c r="J272" s="16" t="str">
        <f>IFERROR(__xludf.DUMMYFUNCTION("""COMPUTED_VALUE"""),"Cairo University")</f>
        <v>Cairo University</v>
      </c>
      <c r="K272" s="17" t="str">
        <f>IFERROR(__xludf.DUMMYFUNCTION("""COMPUTED_VALUE"""),"https://expa.aiesec.org/opportunities/1294137")</f>
        <v>https://expa.aiesec.org/opportunities/1294137</v>
      </c>
      <c r="L272" s="16" t="str">
        <f>IFERROR(__xludf.DUMMYFUNCTION("""COMPUTED_VALUE"""),"GV")</f>
        <v>GV</v>
      </c>
      <c r="M272" s="16" t="str">
        <f>IFERROR(__xludf.DUMMYFUNCTION("""COMPUTED_VALUE"""),"short")</f>
        <v>short</v>
      </c>
      <c r="N272" s="18">
        <f>IFERROR(__xludf.DUMMYFUNCTION("""COMPUTED_VALUE"""),45139.0)</f>
        <v>45139</v>
      </c>
      <c r="O272" s="18">
        <f>IFERROR(__xludf.DUMMYFUNCTION("""COMPUTED_VALUE"""),45488.0)</f>
        <v>45488</v>
      </c>
      <c r="P272" s="18">
        <f>IFERROR(__xludf.DUMMYFUNCTION("""COMPUTED_VALUE"""),45530.0)</f>
        <v>45530</v>
      </c>
      <c r="Q272" s="18"/>
      <c r="R272" s="18"/>
      <c r="S272" s="16"/>
      <c r="T272" s="16"/>
      <c r="U272" s="16" t="str">
        <f>IFERROR(__xludf.DUMMYFUNCTION("""COMPUTED_VALUE"""),"Explorer")</f>
        <v>Explorer</v>
      </c>
      <c r="V272" s="16" t="str">
        <f>IFERROR(__xludf.DUMMYFUNCTION("""COMPUTED_VALUE"""),"-")</f>
        <v>-</v>
      </c>
      <c r="W272" s="16" t="str">
        <f>IFERROR(__xludf.DUMMYFUNCTION("""COMPUTED_VALUE"""),"2023-07-30T19:23:43Z")</f>
        <v>2023-07-30T19:23:43Z</v>
      </c>
      <c r="X272" s="16"/>
      <c r="Y272" s="16"/>
      <c r="Z272" s="16"/>
    </row>
    <row r="273">
      <c r="A273" s="16" t="str">
        <f>IFERROR(__xludf.DUMMYFUNCTION("""COMPUTED_VALUE"""),"5135995_1285555")</f>
        <v>5135995_1285555</v>
      </c>
      <c r="B273" s="16" t="str">
        <f>IFERROR(__xludf.DUMMYFUNCTION("""COMPUTED_VALUE"""),"Ghada Amri")</f>
        <v>Ghada Amri</v>
      </c>
      <c r="C273" s="16" t="str">
        <f>IFERROR(__xludf.DUMMYFUNCTION("""COMPUTED_VALUE"""),"realized")</f>
        <v>realized</v>
      </c>
      <c r="D273" s="16" t="str">
        <f>IFERROR(__xludf.DUMMYFUNCTION("""COMPUTED_VALUE"""),"No")</f>
        <v>No</v>
      </c>
      <c r="E273" s="16" t="str">
        <f>IFERROR(__xludf.DUMMYFUNCTION("""COMPUTED_VALUE"""),"p_2f59e642a0394878eb2d376235f41497de81719d@inbound.aiesec.org")</f>
        <v>p_2f59e642a0394878eb2d376235f41497de81719d@inbound.aiesec.org</v>
      </c>
      <c r="F273" s="16">
        <f>IFERROR(__xludf.DUMMYFUNCTION("""COMPUTED_VALUE"""),2.1601362E7)</f>
        <v>21601362</v>
      </c>
      <c r="G273" s="16" t="str">
        <f>IFERROR(__xludf.DUMMYFUNCTION("""COMPUTED_VALUE"""),"Tunisia")</f>
        <v>Tunisia</v>
      </c>
      <c r="H273" s="16" t="str">
        <f>IFERROR(__xludf.DUMMYFUNCTION("""COMPUTED_VALUE"""),"UNIVERSITY")</f>
        <v>UNIVERSITY</v>
      </c>
      <c r="I273" s="16" t="str">
        <f>IFERROR(__xludf.DUMMYFUNCTION("""COMPUTED_VALUE"""),"Turkey")</f>
        <v>Turkey</v>
      </c>
      <c r="J273" s="16" t="str">
        <f>IFERROR(__xludf.DUMMYFUNCTION("""COMPUTED_VALUE"""),"ISTANBUL")</f>
        <v>ISTANBUL</v>
      </c>
      <c r="K273" s="17" t="str">
        <f>IFERROR(__xludf.DUMMYFUNCTION("""COMPUTED_VALUE"""),"https://expa.aiesec.org/opportunities/1285555")</f>
        <v>https://expa.aiesec.org/opportunities/1285555</v>
      </c>
      <c r="L273" s="16" t="str">
        <f>IFERROR(__xludf.DUMMYFUNCTION("""COMPUTED_VALUE"""),"GTa")</f>
        <v>GTa</v>
      </c>
      <c r="M273" s="16" t="str">
        <f>IFERROR(__xludf.DUMMYFUNCTION("""COMPUTED_VALUE"""),"long")</f>
        <v>long</v>
      </c>
      <c r="N273" s="18">
        <f>IFERROR(__xludf.DUMMYFUNCTION("""COMPUTED_VALUE"""),45139.0)</f>
        <v>45139</v>
      </c>
      <c r="O273" s="18">
        <f>IFERROR(__xludf.DUMMYFUNCTION("""COMPUTED_VALUE"""),45147.0)</f>
        <v>45147</v>
      </c>
      <c r="P273" s="18">
        <f>IFERROR(__xludf.DUMMYFUNCTION("""COMPUTED_VALUE"""),45336.0)</f>
        <v>45336</v>
      </c>
      <c r="Q273" s="18">
        <f>IFERROR(__xludf.DUMMYFUNCTION("""COMPUTED_VALUE"""),45188.0)</f>
        <v>45188</v>
      </c>
      <c r="R273" s="18">
        <f>IFERROR(__xludf.DUMMYFUNCTION("""COMPUTED_VALUE"""),45376.0)</f>
        <v>45376</v>
      </c>
      <c r="S273" s="16"/>
      <c r="T273" s="16" t="str">
        <f>IFERROR(__xludf.DUMMYFUNCTION("""COMPUTED_VALUE"""),"Business Administration")</f>
        <v>Business Administration</v>
      </c>
      <c r="U273" s="16" t="str">
        <f>IFERROR(__xludf.DUMMYFUNCTION("""COMPUTED_VALUE"""),"Customer Support Junior Specialist")</f>
        <v>Customer Support Junior Specialist</v>
      </c>
      <c r="V273" s="16" t="str">
        <f>IFERROR(__xludf.DUMMYFUNCTION("""COMPUTED_VALUE"""),"FSEGT")</f>
        <v>FSEGT</v>
      </c>
      <c r="W273" s="16" t="str">
        <f>IFERROR(__xludf.DUMMYFUNCTION("""COMPUTED_VALUE"""),"2022-10-18T15:35:22Z")</f>
        <v>2022-10-18T15:35:22Z</v>
      </c>
      <c r="X273" s="16"/>
      <c r="Y273" s="16"/>
      <c r="Z273" s="16"/>
    </row>
    <row r="274">
      <c r="A274" s="16" t="str">
        <f>IFERROR(__xludf.DUMMYFUNCTION("""COMPUTED_VALUE"""),"5204622_1293735")</f>
        <v>5204622_1293735</v>
      </c>
      <c r="B274" s="16" t="str">
        <f>IFERROR(__xludf.DUMMYFUNCTION("""COMPUTED_VALUE"""),"Ceren Yeralçak")</f>
        <v>Ceren Yeralçak</v>
      </c>
      <c r="C274" s="16" t="str">
        <f>IFERROR(__xludf.DUMMYFUNCTION("""COMPUTED_VALUE"""),"completed")</f>
        <v>completed</v>
      </c>
      <c r="D274" s="16" t="str">
        <f>IFERROR(__xludf.DUMMYFUNCTION("""COMPUTED_VALUE"""),"No")</f>
        <v>No</v>
      </c>
      <c r="E274" s="16" t="str">
        <f>IFERROR(__xludf.DUMMYFUNCTION("""COMPUTED_VALUE"""),"p_22086d675022ec0eeb1bda611ba8913dcd79b150@inbound.aiesec.org")</f>
        <v>p_22086d675022ec0eeb1bda611ba8913dcd79b150@inbound.aiesec.org</v>
      </c>
      <c r="F274" s="16">
        <f>IFERROR(__xludf.DUMMYFUNCTION("""COMPUTED_VALUE"""),5.321793518E9)</f>
        <v>5321793518</v>
      </c>
      <c r="G274" s="16" t="str">
        <f>IFERROR(__xludf.DUMMYFUNCTION("""COMPUTED_VALUE"""),"Turkey")</f>
        <v>Turkey</v>
      </c>
      <c r="H274" s="16" t="str">
        <f>IFERROR(__xludf.DUMMYFUNCTION("""COMPUTED_VALUE"""),"ISTANBUL")</f>
        <v>ISTANBUL</v>
      </c>
      <c r="I274" s="16" t="str">
        <f>IFERROR(__xludf.DUMMYFUNCTION("""COMPUTED_VALUE"""),"Italy")</f>
        <v>Italy</v>
      </c>
      <c r="J274" s="16" t="str">
        <f>IFERROR(__xludf.DUMMYFUNCTION("""COMPUTED_VALUE"""),"Napoli Federico II")</f>
        <v>Napoli Federico II</v>
      </c>
      <c r="K274" s="17" t="str">
        <f>IFERROR(__xludf.DUMMYFUNCTION("""COMPUTED_VALUE"""),"https://expa.aiesec.org/opportunities/1293735")</f>
        <v>https://expa.aiesec.org/opportunities/1293735</v>
      </c>
      <c r="L274" s="16" t="str">
        <f>IFERROR(__xludf.DUMMYFUNCTION("""COMPUTED_VALUE"""),"GV")</f>
        <v>GV</v>
      </c>
      <c r="M274" s="16" t="str">
        <f>IFERROR(__xludf.DUMMYFUNCTION("""COMPUTED_VALUE"""),"short")</f>
        <v>short</v>
      </c>
      <c r="N274" s="18">
        <f>IFERROR(__xludf.DUMMYFUNCTION("""COMPUTED_VALUE"""),45025.0)</f>
        <v>45025</v>
      </c>
      <c r="O274" s="18">
        <f>IFERROR(__xludf.DUMMYFUNCTION("""COMPUTED_VALUE"""),45082.0)</f>
        <v>45082</v>
      </c>
      <c r="P274" s="18">
        <f>IFERROR(__xludf.DUMMYFUNCTION("""COMPUTED_VALUE"""),45124.0)</f>
        <v>45124</v>
      </c>
      <c r="Q274" s="18"/>
      <c r="R274" s="18">
        <f>IFERROR(__xludf.DUMMYFUNCTION("""COMPUTED_VALUE"""),45124.0)</f>
        <v>45124</v>
      </c>
      <c r="S274" s="16"/>
      <c r="T274" s="16"/>
      <c r="U274" s="16" t="str">
        <f>IFERROR(__xludf.DUMMYFUNCTION("""COMPUTED_VALUE"""),"Equify")</f>
        <v>Equify</v>
      </c>
      <c r="V274" s="16" t="str">
        <f>IFERROR(__xludf.DUMMYFUNCTION("""COMPUTED_VALUE"""),"ISTANBUL - BEYOGLU")</f>
        <v>ISTANBUL - BEYOGLU</v>
      </c>
      <c r="W274" s="16" t="str">
        <f>IFERROR(__xludf.DUMMYFUNCTION("""COMPUTED_VALUE"""),"2023-03-03T13:49:27Z")</f>
        <v>2023-03-03T13:49:27Z</v>
      </c>
      <c r="X274" s="16"/>
      <c r="Y274" s="16"/>
      <c r="Z274" s="16"/>
    </row>
    <row r="275">
      <c r="A275" s="16" t="str">
        <f>IFERROR(__xludf.DUMMYFUNCTION("""COMPUTED_VALUE"""),"5293207_1296851")</f>
        <v>5293207_1296851</v>
      </c>
      <c r="B275" s="16" t="str">
        <f>IFERROR(__xludf.DUMMYFUNCTION("""COMPUTED_VALUE"""),"Marwa Djobby")</f>
        <v>Marwa Djobby</v>
      </c>
      <c r="C275" s="16" t="str">
        <f>IFERROR(__xludf.DUMMYFUNCTION("""COMPUTED_VALUE"""),"realized")</f>
        <v>realized</v>
      </c>
      <c r="D275" s="16" t="str">
        <f>IFERROR(__xludf.DUMMYFUNCTION("""COMPUTED_VALUE"""),"No")</f>
        <v>No</v>
      </c>
      <c r="E275" s="16" t="str">
        <f>IFERROR(__xludf.DUMMYFUNCTION("""COMPUTED_VALUE"""),"p_586eb61670b5a742c538fd135ea91c7dcf248e74@inbound.aiesec.org")</f>
        <v>p_586eb61670b5a742c538fd135ea91c7dcf248e74@inbound.aiesec.org</v>
      </c>
      <c r="F275" s="16">
        <f>IFERROR(__xludf.DUMMYFUNCTION("""COMPUTED_VALUE"""),5.2483905E7)</f>
        <v>52483905</v>
      </c>
      <c r="G275" s="16" t="str">
        <f>IFERROR(__xludf.DUMMYFUNCTION("""COMPUTED_VALUE"""),"Tunisia")</f>
        <v>Tunisia</v>
      </c>
      <c r="H275" s="16" t="str">
        <f>IFERROR(__xludf.DUMMYFUNCTION("""COMPUTED_VALUE"""),"BARDO")</f>
        <v>BARDO</v>
      </c>
      <c r="I275" s="16" t="str">
        <f>IFERROR(__xludf.DUMMYFUNCTION("""COMPUTED_VALUE"""),"Turkey")</f>
        <v>Turkey</v>
      </c>
      <c r="J275" s="16" t="str">
        <f>IFERROR(__xludf.DUMMYFUNCTION("""COMPUTED_VALUE"""),"ISTANBUL")</f>
        <v>ISTANBUL</v>
      </c>
      <c r="K275" s="17" t="str">
        <f>IFERROR(__xludf.DUMMYFUNCTION("""COMPUTED_VALUE"""),"https://expa.aiesec.org/opportunities/1296851")</f>
        <v>https://expa.aiesec.org/opportunities/1296851</v>
      </c>
      <c r="L275" s="16" t="str">
        <f>IFERROR(__xludf.DUMMYFUNCTION("""COMPUTED_VALUE"""),"GTe")</f>
        <v>GTe</v>
      </c>
      <c r="M275" s="16" t="str">
        <f>IFERROR(__xludf.DUMMYFUNCTION("""COMPUTED_VALUE"""),"long")</f>
        <v>long</v>
      </c>
      <c r="N275" s="18">
        <f>IFERROR(__xludf.DUMMYFUNCTION("""COMPUTED_VALUE"""),45141.0)</f>
        <v>45141</v>
      </c>
      <c r="O275" s="18">
        <f>IFERROR(__xludf.DUMMYFUNCTION("""COMPUTED_VALUE"""),45173.0)</f>
        <v>45173</v>
      </c>
      <c r="P275" s="18">
        <f>IFERROR(__xludf.DUMMYFUNCTION("""COMPUTED_VALUE"""),45513.0)</f>
        <v>45513</v>
      </c>
      <c r="Q275" s="18">
        <f>IFERROR(__xludf.DUMMYFUNCTION("""COMPUTED_VALUE"""),45175.0)</f>
        <v>45175</v>
      </c>
      <c r="R275" s="18">
        <f>IFERROR(__xludf.DUMMYFUNCTION("""COMPUTED_VALUE"""),45513.0)</f>
        <v>45513</v>
      </c>
      <c r="S275" s="16"/>
      <c r="T275" s="16"/>
      <c r="U275" s="16" t="str">
        <f>IFERROR(__xludf.DUMMYFUNCTION("""COMPUTED_VALUE"""),"English Teacher in Istanbul")</f>
        <v>English Teacher in Istanbul</v>
      </c>
      <c r="V275" s="16" t="str">
        <f>IFERROR(__xludf.DUMMYFUNCTION("""COMPUTED_VALUE"""),"ISBAT")</f>
        <v>ISBAT</v>
      </c>
      <c r="W275" s="16" t="str">
        <f>IFERROR(__xludf.DUMMYFUNCTION("""COMPUTED_VALUE"""),"2023-08-02T12:10:37Z")</f>
        <v>2023-08-02T12:10:37Z</v>
      </c>
      <c r="X275" s="16"/>
      <c r="Y275" s="16"/>
      <c r="Z275" s="16"/>
    </row>
    <row r="276">
      <c r="A276" s="16" t="str">
        <f>IFERROR(__xludf.DUMMYFUNCTION("""COMPUTED_VALUE"""),"5288716_1296266")</f>
        <v>5288716_1296266</v>
      </c>
      <c r="B276" s="16" t="str">
        <f>IFERROR(__xludf.DUMMYFUNCTION("""COMPUTED_VALUE"""),"Aleyna Büyükgüçlü")</f>
        <v>Aleyna Büyükgüçlü</v>
      </c>
      <c r="C276" s="16" t="str">
        <f>IFERROR(__xludf.DUMMYFUNCTION("""COMPUTED_VALUE"""),"completed")</f>
        <v>completed</v>
      </c>
      <c r="D276" s="16" t="str">
        <f>IFERROR(__xludf.DUMMYFUNCTION("""COMPUTED_VALUE"""),"No")</f>
        <v>No</v>
      </c>
      <c r="E276" s="16" t="str">
        <f>IFERROR(__xludf.DUMMYFUNCTION("""COMPUTED_VALUE"""),"p_e25875d359d16dabbb8b7e9ced595d0d8986289a@inbound.aiesec.org")</f>
        <v>p_e25875d359d16dabbb8b7e9ced595d0d8986289a@inbound.aiesec.org</v>
      </c>
      <c r="F276" s="16">
        <f>IFERROR(__xludf.DUMMYFUNCTION("""COMPUTED_VALUE"""),5.423948128E9)</f>
        <v>5423948128</v>
      </c>
      <c r="G276" s="16" t="str">
        <f>IFERROR(__xludf.DUMMYFUNCTION("""COMPUTED_VALUE"""),"Turkey")</f>
        <v>Turkey</v>
      </c>
      <c r="H276" s="16" t="str">
        <f>IFERROR(__xludf.DUMMYFUNCTION("""COMPUTED_VALUE"""),"ISTANBUL")</f>
        <v>ISTANBUL</v>
      </c>
      <c r="I276" s="16" t="str">
        <f>IFERROR(__xludf.DUMMYFUNCTION("""COMPUTED_VALUE"""),"Egypt")</f>
        <v>Egypt</v>
      </c>
      <c r="J276" s="16" t="str">
        <f>IFERROR(__xludf.DUMMYFUNCTION("""COMPUTED_VALUE"""),"AAST In CAIRO")</f>
        <v>AAST In CAIRO</v>
      </c>
      <c r="K276" s="17" t="str">
        <f>IFERROR(__xludf.DUMMYFUNCTION("""COMPUTED_VALUE"""),"https://expa.aiesec.org/opportunities/1296266")</f>
        <v>https://expa.aiesec.org/opportunities/1296266</v>
      </c>
      <c r="L276" s="16" t="str">
        <f>IFERROR(__xludf.DUMMYFUNCTION("""COMPUTED_VALUE"""),"GTe")</f>
        <v>GTe</v>
      </c>
      <c r="M276" s="16" t="str">
        <f>IFERROR(__xludf.DUMMYFUNCTION("""COMPUTED_VALUE"""),"short")</f>
        <v>short</v>
      </c>
      <c r="N276" s="18">
        <f>IFERROR(__xludf.DUMMYFUNCTION("""COMPUTED_VALUE"""),45142.0)</f>
        <v>45142</v>
      </c>
      <c r="O276" s="18">
        <f>IFERROR(__xludf.DUMMYFUNCTION("""COMPUTED_VALUE"""),45170.0)</f>
        <v>45170</v>
      </c>
      <c r="P276" s="18">
        <f>IFERROR(__xludf.DUMMYFUNCTION("""COMPUTED_VALUE"""),45253.0)</f>
        <v>45253</v>
      </c>
      <c r="Q276" s="18">
        <f>IFERROR(__xludf.DUMMYFUNCTION("""COMPUTED_VALUE"""),45180.0)</f>
        <v>45180</v>
      </c>
      <c r="R276" s="18">
        <f>IFERROR(__xludf.DUMMYFUNCTION("""COMPUTED_VALUE"""),45268.0)</f>
        <v>45268</v>
      </c>
      <c r="S276" s="16"/>
      <c r="T276" s="16"/>
      <c r="U276" s="16" t="str">
        <f>IFERROR(__xludf.DUMMYFUNCTION("""COMPUTED_VALUE"""),"English Teacher")</f>
        <v>English Teacher</v>
      </c>
      <c r="V276" s="16" t="str">
        <f>IFERROR(__xludf.DUMMYFUNCTION("""COMPUTED_VALUE"""),"ISTANBUL - BEYOGLU")</f>
        <v>ISTANBUL - BEYOGLU</v>
      </c>
      <c r="W276" s="16" t="str">
        <f>IFERROR(__xludf.DUMMYFUNCTION("""COMPUTED_VALUE"""),"2023-07-24T10:21:04Z")</f>
        <v>2023-07-24T10:21:04Z</v>
      </c>
      <c r="X276" s="16"/>
      <c r="Y276" s="16"/>
      <c r="Z276" s="16"/>
    </row>
    <row r="277">
      <c r="A277" s="16" t="str">
        <f>IFERROR(__xludf.DUMMYFUNCTION("""COMPUTED_VALUE"""),"5261270_1288393")</f>
        <v>5261270_1288393</v>
      </c>
      <c r="B277" s="16" t="str">
        <f>IFERROR(__xludf.DUMMYFUNCTION("""COMPUTED_VALUE"""),"Asma Slim")</f>
        <v>Asma Slim</v>
      </c>
      <c r="C277" s="16" t="str">
        <f>IFERROR(__xludf.DUMMYFUNCTION("""COMPUTED_VALUE"""),"finished")</f>
        <v>finished</v>
      </c>
      <c r="D277" s="16" t="str">
        <f>IFERROR(__xludf.DUMMYFUNCTION("""COMPUTED_VALUE"""),"No")</f>
        <v>No</v>
      </c>
      <c r="E277" s="16" t="str">
        <f>IFERROR(__xludf.DUMMYFUNCTION("""COMPUTED_VALUE"""),"p_7947a59c6abd48f4b757ef039c05f31eb7650451@inbound.aiesec.org")</f>
        <v>p_7947a59c6abd48f4b757ef039c05f31eb7650451@inbound.aiesec.org</v>
      </c>
      <c r="F277" s="16">
        <f>IFERROR(__xludf.DUMMYFUNCTION("""COMPUTED_VALUE"""),2.3602869E7)</f>
        <v>23602869</v>
      </c>
      <c r="G277" s="16" t="str">
        <f>IFERROR(__xludf.DUMMYFUNCTION("""COMPUTED_VALUE"""),"Tunisia")</f>
        <v>Tunisia</v>
      </c>
      <c r="H277" s="16" t="str">
        <f>IFERROR(__xludf.DUMMYFUNCTION("""COMPUTED_VALUE"""),"BARDO")</f>
        <v>BARDO</v>
      </c>
      <c r="I277" s="16" t="str">
        <f>IFERROR(__xludf.DUMMYFUNCTION("""COMPUTED_VALUE"""),"Turkey")</f>
        <v>Turkey</v>
      </c>
      <c r="J277" s="16" t="str">
        <f>IFERROR(__xludf.DUMMYFUNCTION("""COMPUTED_VALUE"""),"ISTANBUL")</f>
        <v>ISTANBUL</v>
      </c>
      <c r="K277" s="17" t="str">
        <f>IFERROR(__xludf.DUMMYFUNCTION("""COMPUTED_VALUE"""),"https://expa.aiesec.org/opportunities/1288393")</f>
        <v>https://expa.aiesec.org/opportunities/1288393</v>
      </c>
      <c r="L277" s="16" t="str">
        <f>IFERROR(__xludf.DUMMYFUNCTION("""COMPUTED_VALUE"""),"GV")</f>
        <v>GV</v>
      </c>
      <c r="M277" s="16" t="str">
        <f>IFERROR(__xludf.DUMMYFUNCTION("""COMPUTED_VALUE"""),"short")</f>
        <v>short</v>
      </c>
      <c r="N277" s="18">
        <f>IFERROR(__xludf.DUMMYFUNCTION("""COMPUTED_VALUE"""),45143.0)</f>
        <v>45143</v>
      </c>
      <c r="O277" s="18">
        <f>IFERROR(__xludf.DUMMYFUNCTION("""COMPUTED_VALUE"""),45152.0)</f>
        <v>45152</v>
      </c>
      <c r="P277" s="18">
        <f>IFERROR(__xludf.DUMMYFUNCTION("""COMPUTED_VALUE"""),45194.0)</f>
        <v>45194</v>
      </c>
      <c r="Q277" s="18">
        <f>IFERROR(__xludf.DUMMYFUNCTION("""COMPUTED_VALUE"""),45152.0)</f>
        <v>45152</v>
      </c>
      <c r="R277" s="18">
        <f>IFERROR(__xludf.DUMMYFUNCTION("""COMPUTED_VALUE"""),45194.0)</f>
        <v>45194</v>
      </c>
      <c r="S277" s="16"/>
      <c r="T277" s="16"/>
      <c r="U277" s="16" t="str">
        <f>IFERROR(__xludf.DUMMYFUNCTION("""COMPUTED_VALUE"""),"Global Classroom")</f>
        <v>Global Classroom</v>
      </c>
      <c r="V277" s="16" t="str">
        <f>IFERROR(__xludf.DUMMYFUNCTION("""COMPUTED_VALUE"""),"ISBAT")</f>
        <v>ISBAT</v>
      </c>
      <c r="W277" s="16" t="str">
        <f>IFERROR(__xludf.DUMMYFUNCTION("""COMPUTED_VALUE"""),"2023-05-15T11:04:58Z")</f>
        <v>2023-05-15T11:04:58Z</v>
      </c>
      <c r="X277" s="16"/>
      <c r="Y277" s="16"/>
      <c r="Z277" s="16"/>
    </row>
    <row r="278">
      <c r="A278" s="16" t="str">
        <f>IFERROR(__xludf.DUMMYFUNCTION("""COMPUTED_VALUE"""),"5292678_1289536")</f>
        <v>5292678_1289536</v>
      </c>
      <c r="B278" s="16" t="str">
        <f>IFERROR(__xludf.DUMMYFUNCTION("""COMPUTED_VALUE"""),"Aditya Parekh")</f>
        <v>Aditya Parekh</v>
      </c>
      <c r="C278" s="16" t="str">
        <f>IFERROR(__xludf.DUMMYFUNCTION("""COMPUTED_VALUE"""),"approved")</f>
        <v>approved</v>
      </c>
      <c r="D278" s="16" t="str">
        <f>IFERROR(__xludf.DUMMYFUNCTION("""COMPUTED_VALUE"""),"No")</f>
        <v>No</v>
      </c>
      <c r="E278" s="16" t="str">
        <f>IFERROR(__xludf.DUMMYFUNCTION("""COMPUTED_VALUE"""),"p_082f69950c4265d2e6a6b4735630f941b43a729f@inbound.aiesec.org")</f>
        <v>p_082f69950c4265d2e6a6b4735630f941b43a729f@inbound.aiesec.org</v>
      </c>
      <c r="F278" s="16">
        <f>IFERROR(__xludf.DUMMYFUNCTION("""COMPUTED_VALUE"""),9.978285555E9)</f>
        <v>9978285555</v>
      </c>
      <c r="G278" s="16" t="str">
        <f>IFERROR(__xludf.DUMMYFUNCTION("""COMPUTED_VALUE"""),"India")</f>
        <v>India</v>
      </c>
      <c r="H278" s="16" t="str">
        <f>IFERROR(__xludf.DUMMYFUNCTION("""COMPUTED_VALUE"""),"Mumbai")</f>
        <v>Mumbai</v>
      </c>
      <c r="I278" s="16" t="str">
        <f>IFERROR(__xludf.DUMMYFUNCTION("""COMPUTED_VALUE"""),"Turkey")</f>
        <v>Turkey</v>
      </c>
      <c r="J278" s="16" t="str">
        <f>IFERROR(__xludf.DUMMYFUNCTION("""COMPUTED_VALUE"""),"ISTANBUL")</f>
        <v>ISTANBUL</v>
      </c>
      <c r="K278" s="17" t="str">
        <f>IFERROR(__xludf.DUMMYFUNCTION("""COMPUTED_VALUE"""),"https://expa.aiesec.org/opportunities/1289536")</f>
        <v>https://expa.aiesec.org/opportunities/1289536</v>
      </c>
      <c r="L278" s="16" t="str">
        <f>IFERROR(__xludf.DUMMYFUNCTION("""COMPUTED_VALUE"""),"GV")</f>
        <v>GV</v>
      </c>
      <c r="M278" s="16" t="str">
        <f>IFERROR(__xludf.DUMMYFUNCTION("""COMPUTED_VALUE"""),"short")</f>
        <v>short</v>
      </c>
      <c r="N278" s="18">
        <f>IFERROR(__xludf.DUMMYFUNCTION("""COMPUTED_VALUE"""),45143.0)</f>
        <v>45143</v>
      </c>
      <c r="O278" s="18">
        <f>IFERROR(__xludf.DUMMYFUNCTION("""COMPUTED_VALUE"""),45397.0)</f>
        <v>45397</v>
      </c>
      <c r="P278" s="18">
        <f>IFERROR(__xludf.DUMMYFUNCTION("""COMPUTED_VALUE"""),45439.0)</f>
        <v>45439</v>
      </c>
      <c r="Q278" s="18"/>
      <c r="R278" s="18"/>
      <c r="S278" s="16"/>
      <c r="T278" s="16"/>
      <c r="U278" s="16" t="str">
        <f>IFERROR(__xludf.DUMMYFUNCTION("""COMPUTED_VALUE"""),"Global Classroom")</f>
        <v>Global Classroom</v>
      </c>
      <c r="V278" s="16" t="str">
        <f>IFERROR(__xludf.DUMMYFUNCTION("""COMPUTED_VALUE"""),"Mumbai")</f>
        <v>Mumbai</v>
      </c>
      <c r="W278" s="16" t="str">
        <f>IFERROR(__xludf.DUMMYFUNCTION("""COMPUTED_VALUE"""),"2023-08-01T12:58:22Z")</f>
        <v>2023-08-01T12:58:22Z</v>
      </c>
      <c r="X278" s="16"/>
      <c r="Y278" s="16"/>
      <c r="Z278" s="16"/>
    </row>
    <row r="279">
      <c r="A279" s="16" t="str">
        <f>IFERROR(__xludf.DUMMYFUNCTION("""COMPUTED_VALUE"""),"3808794_1291679")</f>
        <v>3808794_1291679</v>
      </c>
      <c r="B279" s="16" t="str">
        <f>IFERROR(__xludf.DUMMYFUNCTION("""COMPUTED_VALUE"""),"Sarah Duygu Korkmaz")</f>
        <v>Sarah Duygu Korkmaz</v>
      </c>
      <c r="C279" s="16" t="str">
        <f>IFERROR(__xludf.DUMMYFUNCTION("""COMPUTED_VALUE"""),"completed")</f>
        <v>completed</v>
      </c>
      <c r="D279" s="16" t="str">
        <f>IFERROR(__xludf.DUMMYFUNCTION("""COMPUTED_VALUE"""),"No")</f>
        <v>No</v>
      </c>
      <c r="E279" s="16" t="str">
        <f>IFERROR(__xludf.DUMMYFUNCTION("""COMPUTED_VALUE"""),"p_684014b74285c9cae1bd4802048023a9b0ca9355@inbound.aiesec.org")</f>
        <v>p_684014b74285c9cae1bd4802048023a9b0ca9355@inbound.aiesec.org</v>
      </c>
      <c r="F279" s="16">
        <f>IFERROR(__xludf.DUMMYFUNCTION("""COMPUTED_VALUE"""),7.45089334E8)</f>
        <v>745089334</v>
      </c>
      <c r="G279" s="16" t="str">
        <f>IFERROR(__xludf.DUMMYFUNCTION("""COMPUTED_VALUE"""),"Turkey")</f>
        <v>Turkey</v>
      </c>
      <c r="H279" s="16" t="str">
        <f>IFERROR(__xludf.DUMMYFUNCTION("""COMPUTED_VALUE"""),"ISTANBUL")</f>
        <v>ISTANBUL</v>
      </c>
      <c r="I279" s="16" t="str">
        <f>IFERROR(__xludf.DUMMYFUNCTION("""COMPUTED_VALUE"""),"Egypt")</f>
        <v>Egypt</v>
      </c>
      <c r="J279" s="16" t="str">
        <f>IFERROR(__xludf.DUMMYFUNCTION("""COMPUTED_VALUE"""),"Helwan")</f>
        <v>Helwan</v>
      </c>
      <c r="K279" s="17" t="str">
        <f>IFERROR(__xludf.DUMMYFUNCTION("""COMPUTED_VALUE"""),"https://expa.aiesec.org/opportunities/1291679")</f>
        <v>https://expa.aiesec.org/opportunities/1291679</v>
      </c>
      <c r="L279" s="16" t="str">
        <f>IFERROR(__xludf.DUMMYFUNCTION("""COMPUTED_VALUE"""),"GTa")</f>
        <v>GTa</v>
      </c>
      <c r="M279" s="16" t="str">
        <f>IFERROR(__xludf.DUMMYFUNCTION("""COMPUTED_VALUE"""),"short")</f>
        <v>short</v>
      </c>
      <c r="N279" s="18">
        <f>IFERROR(__xludf.DUMMYFUNCTION("""COMPUTED_VALUE"""),45143.0)</f>
        <v>45143</v>
      </c>
      <c r="O279" s="18">
        <f>IFERROR(__xludf.DUMMYFUNCTION("""COMPUTED_VALUE"""),45187.0)</f>
        <v>45187</v>
      </c>
      <c r="P279" s="18">
        <f>IFERROR(__xludf.DUMMYFUNCTION("""COMPUTED_VALUE"""),45265.0)</f>
        <v>45265</v>
      </c>
      <c r="Q279" s="18">
        <f>IFERROR(__xludf.DUMMYFUNCTION("""COMPUTED_VALUE"""),45186.0)</f>
        <v>45186</v>
      </c>
      <c r="R279" s="18">
        <f>IFERROR(__xludf.DUMMYFUNCTION("""COMPUTED_VALUE"""),45265.0)</f>
        <v>45265</v>
      </c>
      <c r="S279" s="16"/>
      <c r="T279" s="16" t="str">
        <f>IFERROR(__xludf.DUMMYFUNCTION("""COMPUTED_VALUE"""),"Business Development")</f>
        <v>Business Development</v>
      </c>
      <c r="U279" s="16" t="str">
        <f>IFERROR(__xludf.DUMMYFUNCTION("""COMPUTED_VALUE"""),"Business Development Sepcialist")</f>
        <v>Business Development Sepcialist</v>
      </c>
      <c r="V279" s="16" t="str">
        <f>IFERROR(__xludf.DUMMYFUNCTION("""COMPUTED_VALUE"""),"ISTANBUL - BEYOGLU")</f>
        <v>ISTANBUL - BEYOGLU</v>
      </c>
      <c r="W279" s="16" t="str">
        <f>IFERROR(__xludf.DUMMYFUNCTION("""COMPUTED_VALUE"""),"2019-09-02T13:31:26Z")</f>
        <v>2019-09-02T13:31:26Z</v>
      </c>
      <c r="X279" s="16"/>
      <c r="Y279" s="16"/>
      <c r="Z279" s="16"/>
    </row>
    <row r="280">
      <c r="A280" s="16" t="str">
        <f>IFERROR(__xludf.DUMMYFUNCTION("""COMPUTED_VALUE"""),"5291869_1295303")</f>
        <v>5291869_1295303</v>
      </c>
      <c r="B280" s="16" t="str">
        <f>IFERROR(__xludf.DUMMYFUNCTION("""COMPUTED_VALUE"""),"Deniz Kayvar")</f>
        <v>Deniz Kayvar</v>
      </c>
      <c r="C280" s="16" t="str">
        <f>IFERROR(__xludf.DUMMYFUNCTION("""COMPUTED_VALUE"""),"approved")</f>
        <v>approved</v>
      </c>
      <c r="D280" s="16" t="str">
        <f>IFERROR(__xludf.DUMMYFUNCTION("""COMPUTED_VALUE"""),"No")</f>
        <v>No</v>
      </c>
      <c r="E280" s="16" t="str">
        <f>IFERROR(__xludf.DUMMYFUNCTION("""COMPUTED_VALUE"""),"p_eaca83522614d39f7ad1750afe1aea9f3cd2498b@inbound.aiesec.org")</f>
        <v>p_eaca83522614d39f7ad1750afe1aea9f3cd2498b@inbound.aiesec.org</v>
      </c>
      <c r="F280" s="16">
        <f>IFERROR(__xludf.DUMMYFUNCTION("""COMPUTED_VALUE"""),5.53501582E9)</f>
        <v>5535015820</v>
      </c>
      <c r="G280" s="16" t="str">
        <f>IFERROR(__xludf.DUMMYFUNCTION("""COMPUTED_VALUE"""),"Turkey")</f>
        <v>Turkey</v>
      </c>
      <c r="H280" s="16" t="str">
        <f>IFERROR(__xludf.DUMMYFUNCTION("""COMPUTED_VALUE"""),"ISTANBUL")</f>
        <v>ISTANBUL</v>
      </c>
      <c r="I280" s="16" t="str">
        <f>IFERROR(__xludf.DUMMYFUNCTION("""COMPUTED_VALUE"""),"Slovakia")</f>
        <v>Slovakia</v>
      </c>
      <c r="J280" s="16" t="str">
        <f>IFERROR(__xludf.DUMMYFUNCTION("""COMPUTED_VALUE"""),"Nitra")</f>
        <v>Nitra</v>
      </c>
      <c r="K280" s="17" t="str">
        <f>IFERROR(__xludf.DUMMYFUNCTION("""COMPUTED_VALUE"""),"https://expa.aiesec.org/opportunities/1295303")</f>
        <v>https://expa.aiesec.org/opportunities/1295303</v>
      </c>
      <c r="L280" s="16" t="str">
        <f>IFERROR(__xludf.DUMMYFUNCTION("""COMPUTED_VALUE"""),"GV")</f>
        <v>GV</v>
      </c>
      <c r="M280" s="16" t="str">
        <f>IFERROR(__xludf.DUMMYFUNCTION("""COMPUTED_VALUE"""),"short")</f>
        <v>short</v>
      </c>
      <c r="N280" s="18">
        <f>IFERROR(__xludf.DUMMYFUNCTION("""COMPUTED_VALUE"""),45144.0)</f>
        <v>45144</v>
      </c>
      <c r="O280" s="18">
        <f>IFERROR(__xludf.DUMMYFUNCTION("""COMPUTED_VALUE"""),45306.0)</f>
        <v>45306</v>
      </c>
      <c r="P280" s="18">
        <f>IFERROR(__xludf.DUMMYFUNCTION("""COMPUTED_VALUE"""),45348.0)</f>
        <v>45348</v>
      </c>
      <c r="Q280" s="18"/>
      <c r="R280" s="18"/>
      <c r="S280" s="16"/>
      <c r="T280" s="16"/>
      <c r="U280" s="16" t="str">
        <f>IFERROR(__xludf.DUMMYFUNCTION("""COMPUTED_VALUE"""),"Youth 4 Impact")</f>
        <v>Youth 4 Impact</v>
      </c>
      <c r="V280" s="16" t="str">
        <f>IFERROR(__xludf.DUMMYFUNCTION("""COMPUTED_VALUE"""),"ISTANBUL - BEYOGLU")</f>
        <v>ISTANBUL - BEYOGLU</v>
      </c>
      <c r="W280" s="16" t="str">
        <f>IFERROR(__xludf.DUMMYFUNCTION("""COMPUTED_VALUE"""),"2023-07-30T16:55:24Z")</f>
        <v>2023-07-30T16:55:24Z</v>
      </c>
      <c r="X280" s="16"/>
      <c r="Y280" s="16"/>
      <c r="Z280" s="16"/>
    </row>
    <row r="281">
      <c r="A281" s="16" t="str">
        <f>IFERROR(__xludf.DUMMYFUNCTION("""COMPUTED_VALUE"""),"5298044_1295247")</f>
        <v>5298044_1295247</v>
      </c>
      <c r="B281" s="16" t="str">
        <f>IFERROR(__xludf.DUMMYFUNCTION("""COMPUTED_VALUE"""),"sezgi köroğlu")</f>
        <v>sezgi köroğlu</v>
      </c>
      <c r="C281" s="16" t="str">
        <f>IFERROR(__xludf.DUMMYFUNCTION("""COMPUTED_VALUE"""),"completed")</f>
        <v>completed</v>
      </c>
      <c r="D281" s="16" t="str">
        <f>IFERROR(__xludf.DUMMYFUNCTION("""COMPUTED_VALUE"""),"No")</f>
        <v>No</v>
      </c>
      <c r="E281" s="16" t="str">
        <f>IFERROR(__xludf.DUMMYFUNCTION("""COMPUTED_VALUE"""),"p_44f7e8be12d6ec10652549e752f844f2bbe1fe25@inbound.aiesec.org")</f>
        <v>p_44f7e8be12d6ec10652549e752f844f2bbe1fe25@inbound.aiesec.org</v>
      </c>
      <c r="F281" s="16">
        <f>IFERROR(__xludf.DUMMYFUNCTION("""COMPUTED_VALUE"""),5.070516718E9)</f>
        <v>5070516718</v>
      </c>
      <c r="G281" s="16" t="str">
        <f>IFERROR(__xludf.DUMMYFUNCTION("""COMPUTED_VALUE"""),"Turkey")</f>
        <v>Turkey</v>
      </c>
      <c r="H281" s="16" t="str">
        <f>IFERROR(__xludf.DUMMYFUNCTION("""COMPUTED_VALUE"""),"ISTANBUL")</f>
        <v>ISTANBUL</v>
      </c>
      <c r="I281" s="16" t="str">
        <f>IFERROR(__xludf.DUMMYFUNCTION("""COMPUTED_VALUE"""),"Serbia")</f>
        <v>Serbia</v>
      </c>
      <c r="J281" s="16" t="str">
        <f>IFERROR(__xludf.DUMMYFUNCTION("""COMPUTED_VALUE"""),"NIS")</f>
        <v>NIS</v>
      </c>
      <c r="K281" s="17" t="str">
        <f>IFERROR(__xludf.DUMMYFUNCTION("""COMPUTED_VALUE"""),"https://expa.aiesec.org/opportunities/1295247")</f>
        <v>https://expa.aiesec.org/opportunities/1295247</v>
      </c>
      <c r="L281" s="16" t="str">
        <f>IFERROR(__xludf.DUMMYFUNCTION("""COMPUTED_VALUE"""),"GTa")</f>
        <v>GTa</v>
      </c>
      <c r="M281" s="16" t="str">
        <f>IFERROR(__xludf.DUMMYFUNCTION("""COMPUTED_VALUE"""),"short")</f>
        <v>short</v>
      </c>
      <c r="N281" s="18">
        <f>IFERROR(__xludf.DUMMYFUNCTION("""COMPUTED_VALUE"""),45144.0)</f>
        <v>45144</v>
      </c>
      <c r="O281" s="18">
        <f>IFERROR(__xludf.DUMMYFUNCTION("""COMPUTED_VALUE"""),45152.0)</f>
        <v>45152</v>
      </c>
      <c r="P281" s="18">
        <f>IFERROR(__xludf.DUMMYFUNCTION("""COMPUTED_VALUE"""),45194.0)</f>
        <v>45194</v>
      </c>
      <c r="Q281" s="18">
        <f>IFERROR(__xludf.DUMMYFUNCTION("""COMPUTED_VALUE"""),45150.0)</f>
        <v>45150</v>
      </c>
      <c r="R281" s="18">
        <f>IFERROR(__xludf.DUMMYFUNCTION("""COMPUTED_VALUE"""),45196.0)</f>
        <v>45196</v>
      </c>
      <c r="S281" s="16"/>
      <c r="T281" s="16" t="str">
        <f>IFERROR(__xludf.DUMMYFUNCTION("""COMPUTED_VALUE"""),"Information Technology")</f>
        <v>Information Technology</v>
      </c>
      <c r="U281" s="16" t="str">
        <f>IFERROR(__xludf.DUMMYFUNCTION("""COMPUTED_VALUE"""),"Frontend Developer")</f>
        <v>Frontend Developer</v>
      </c>
      <c r="V281" s="16" t="str">
        <f>IFERROR(__xludf.DUMMYFUNCTION("""COMPUTED_VALUE"""),"ISTANBUL - BEYOGLU")</f>
        <v>ISTANBUL - BEYOGLU</v>
      </c>
      <c r="W281" s="16" t="str">
        <f>IFERROR(__xludf.DUMMYFUNCTION("""COMPUTED_VALUE"""),"2023-08-05T20:50:31Z")</f>
        <v>2023-08-05T20:50:31Z</v>
      </c>
      <c r="X281" s="16"/>
      <c r="Y281" s="16"/>
      <c r="Z281" s="16"/>
    </row>
    <row r="282">
      <c r="A282" s="16" t="str">
        <f>IFERROR(__xludf.DUMMYFUNCTION("""COMPUTED_VALUE"""),"5279846_1294209")</f>
        <v>5279846_1294209</v>
      </c>
      <c r="B282" s="16" t="str">
        <f>IFERROR(__xludf.DUMMYFUNCTION("""COMPUTED_VALUE"""),"Berkant Kutay Bilişli")</f>
        <v>Berkant Kutay Bilişli</v>
      </c>
      <c r="C282" s="16" t="str">
        <f>IFERROR(__xludf.DUMMYFUNCTION("""COMPUTED_VALUE"""),"completed")</f>
        <v>completed</v>
      </c>
      <c r="D282" s="16" t="str">
        <f>IFERROR(__xludf.DUMMYFUNCTION("""COMPUTED_VALUE"""),"No")</f>
        <v>No</v>
      </c>
      <c r="E282" s="16" t="str">
        <f>IFERROR(__xludf.DUMMYFUNCTION("""COMPUTED_VALUE"""),"p_0a310f907438efd69445534852ba4fbefdcbb4fa@inbound.aiesec.org")</f>
        <v>p_0a310f907438efd69445534852ba4fbefdcbb4fa@inbound.aiesec.org</v>
      </c>
      <c r="F282" s="16">
        <f>IFERROR(__xludf.DUMMYFUNCTION("""COMPUTED_VALUE"""),5.326477354E9)</f>
        <v>5326477354</v>
      </c>
      <c r="G282" s="16" t="str">
        <f>IFERROR(__xludf.DUMMYFUNCTION("""COMPUTED_VALUE"""),"Turkey")</f>
        <v>Turkey</v>
      </c>
      <c r="H282" s="16" t="str">
        <f>IFERROR(__xludf.DUMMYFUNCTION("""COMPUTED_VALUE"""),"ISTANBUL")</f>
        <v>ISTANBUL</v>
      </c>
      <c r="I282" s="16" t="str">
        <f>IFERROR(__xludf.DUMMYFUNCTION("""COMPUTED_VALUE"""),"Moldova")</f>
        <v>Moldova</v>
      </c>
      <c r="J282" s="16" t="str">
        <f>IFERROR(__xludf.DUMMYFUNCTION("""COMPUTED_VALUE"""),"CHISINAU")</f>
        <v>CHISINAU</v>
      </c>
      <c r="K282" s="17" t="str">
        <f>IFERROR(__xludf.DUMMYFUNCTION("""COMPUTED_VALUE"""),"https://expa.aiesec.org/opportunities/1294209")</f>
        <v>https://expa.aiesec.org/opportunities/1294209</v>
      </c>
      <c r="L282" s="16" t="str">
        <f>IFERROR(__xludf.DUMMYFUNCTION("""COMPUTED_VALUE"""),"GV")</f>
        <v>GV</v>
      </c>
      <c r="M282" s="16" t="str">
        <f>IFERROR(__xludf.DUMMYFUNCTION("""COMPUTED_VALUE"""),"short")</f>
        <v>short</v>
      </c>
      <c r="N282" s="18">
        <f>IFERROR(__xludf.DUMMYFUNCTION("""COMPUTED_VALUE"""),45145.0)</f>
        <v>45145</v>
      </c>
      <c r="O282" s="18">
        <f>IFERROR(__xludf.DUMMYFUNCTION("""COMPUTED_VALUE"""),45159.0)</f>
        <v>45159</v>
      </c>
      <c r="P282" s="18">
        <f>IFERROR(__xludf.DUMMYFUNCTION("""COMPUTED_VALUE"""),45201.0)</f>
        <v>45201</v>
      </c>
      <c r="Q282" s="18">
        <f>IFERROR(__xludf.DUMMYFUNCTION("""COMPUTED_VALUE"""),45160.0)</f>
        <v>45160</v>
      </c>
      <c r="R282" s="18">
        <f>IFERROR(__xludf.DUMMYFUNCTION("""COMPUTED_VALUE"""),45201.0)</f>
        <v>45201</v>
      </c>
      <c r="S282" s="16"/>
      <c r="T282" s="16"/>
      <c r="U282" s="16" t="str">
        <f>IFERROR(__xludf.DUMMYFUNCTION("""COMPUTED_VALUE"""),"On The Map")</f>
        <v>On The Map</v>
      </c>
      <c r="V282" s="16" t="str">
        <f>IFERROR(__xludf.DUMMYFUNCTION("""COMPUTED_VALUE"""),"ISTANBUL - BEYOGLU")</f>
        <v>ISTANBUL - BEYOGLU</v>
      </c>
      <c r="W282" s="16" t="str">
        <f>IFERROR(__xludf.DUMMYFUNCTION("""COMPUTED_VALUE"""),"2023-06-27T12:18:51Z")</f>
        <v>2023-06-27T12:18:51Z</v>
      </c>
      <c r="X282" s="16"/>
      <c r="Y282" s="16"/>
      <c r="Z282" s="16"/>
    </row>
    <row r="283">
      <c r="A283" s="16" t="str">
        <f>IFERROR(__xludf.DUMMYFUNCTION("""COMPUTED_VALUE"""),"5295099_1289255")</f>
        <v>5295099_1289255</v>
      </c>
      <c r="B283" s="16" t="str">
        <f>IFERROR(__xludf.DUMMYFUNCTION("""COMPUTED_VALUE"""),"EL MAHDI ABDELOUAHAD")</f>
        <v>EL MAHDI ABDELOUAHAD</v>
      </c>
      <c r="C283" s="16" t="str">
        <f>IFERROR(__xludf.DUMMYFUNCTION("""COMPUTED_VALUE"""),"approved")</f>
        <v>approved</v>
      </c>
      <c r="D283" s="16" t="str">
        <f>IFERROR(__xludf.DUMMYFUNCTION("""COMPUTED_VALUE"""),"No")</f>
        <v>No</v>
      </c>
      <c r="E283" s="16" t="str">
        <f>IFERROR(__xludf.DUMMYFUNCTION("""COMPUTED_VALUE"""),"p_e90a14b88a821e653e5a021115a143f748a9c9ae@inbound.aiesec.org")</f>
        <v>p_e90a14b88a821e653e5a021115a143f748a9c9ae@inbound.aiesec.org</v>
      </c>
      <c r="F283" s="16">
        <f>IFERROR(__xludf.DUMMYFUNCTION("""COMPUTED_VALUE"""),7.83816928E8)</f>
        <v>783816928</v>
      </c>
      <c r="G283" s="16" t="str">
        <f>IFERROR(__xludf.DUMMYFUNCTION("""COMPUTED_VALUE"""),"Algeria")</f>
        <v>Algeria</v>
      </c>
      <c r="H283" s="16" t="str">
        <f>IFERROR(__xludf.DUMMYFUNCTION("""COMPUTED_VALUE"""),"Babez")</f>
        <v>Babez</v>
      </c>
      <c r="I283" s="16" t="str">
        <f>IFERROR(__xludf.DUMMYFUNCTION("""COMPUTED_VALUE"""),"Turkey")</f>
        <v>Turkey</v>
      </c>
      <c r="J283" s="16" t="str">
        <f>IFERROR(__xludf.DUMMYFUNCTION("""COMPUTED_VALUE"""),"ISTANBUL")</f>
        <v>ISTANBUL</v>
      </c>
      <c r="K283" s="17" t="str">
        <f>IFERROR(__xludf.DUMMYFUNCTION("""COMPUTED_VALUE"""),"https://expa.aiesec.org/opportunities/1289255")</f>
        <v>https://expa.aiesec.org/opportunities/1289255</v>
      </c>
      <c r="L283" s="16" t="str">
        <f>IFERROR(__xludf.DUMMYFUNCTION("""COMPUTED_VALUE"""),"GTa")</f>
        <v>GTa</v>
      </c>
      <c r="M283" s="16" t="str">
        <f>IFERROR(__xludf.DUMMYFUNCTION("""COMPUTED_VALUE"""),"long")</f>
        <v>long</v>
      </c>
      <c r="N283" s="18">
        <f>IFERROR(__xludf.DUMMYFUNCTION("""COMPUTED_VALUE"""),45145.0)</f>
        <v>45145</v>
      </c>
      <c r="O283" s="18">
        <f>IFERROR(__xludf.DUMMYFUNCTION("""COMPUTED_VALUE"""),45257.0)</f>
        <v>45257</v>
      </c>
      <c r="P283" s="18">
        <f>IFERROR(__xludf.DUMMYFUNCTION("""COMPUTED_VALUE"""),45758.0)</f>
        <v>45758</v>
      </c>
      <c r="Q283" s="18"/>
      <c r="R283" s="18"/>
      <c r="S283" s="16"/>
      <c r="T283" s="16" t="str">
        <f>IFERROR(__xludf.DUMMYFUNCTION("""COMPUTED_VALUE"""),"Business Administration")</f>
        <v>Business Administration</v>
      </c>
      <c r="U283" s="16" t="str">
        <f>IFERROR(__xludf.DUMMYFUNCTION("""COMPUTED_VALUE"""),"Telesales Specialist in Istanbul (French Speaker)")</f>
        <v>Telesales Specialist in Istanbul (French Speaker)</v>
      </c>
      <c r="V283" s="16" t="str">
        <f>IFERROR(__xludf.DUMMYFUNCTION("""COMPUTED_VALUE"""),"AIESEC in Babez")</f>
        <v>AIESEC in Babez</v>
      </c>
      <c r="W283" s="16" t="str">
        <f>IFERROR(__xludf.DUMMYFUNCTION("""COMPUTED_VALUE"""),"2023-08-03T10:27:28Z")</f>
        <v>2023-08-03T10:27:28Z</v>
      </c>
      <c r="X283" s="16"/>
      <c r="Y283" s="16"/>
      <c r="Z283" s="16"/>
    </row>
    <row r="284">
      <c r="A284" s="16" t="str">
        <f>IFERROR(__xludf.DUMMYFUNCTION("""COMPUTED_VALUE"""),"5298128_1288393")</f>
        <v>5298128_1288393</v>
      </c>
      <c r="B284" s="16" t="str">
        <f>IFERROR(__xludf.DUMMYFUNCTION("""COMPUTED_VALUE"""),"Hafiz Taha Jamil")</f>
        <v>Hafiz Taha Jamil</v>
      </c>
      <c r="C284" s="16" t="str">
        <f>IFERROR(__xludf.DUMMYFUNCTION("""COMPUTED_VALUE"""),"completed")</f>
        <v>completed</v>
      </c>
      <c r="D284" s="16" t="str">
        <f>IFERROR(__xludf.DUMMYFUNCTION("""COMPUTED_VALUE"""),"No")</f>
        <v>No</v>
      </c>
      <c r="E284" s="16" t="str">
        <f>IFERROR(__xludf.DUMMYFUNCTION("""COMPUTED_VALUE"""),"p_d875c9ded64af7ecc6b260b10dd92f53cba47274@inbound.aiesec.org")</f>
        <v>p_d875c9ded64af7ecc6b260b10dd92f53cba47274@inbound.aiesec.org</v>
      </c>
      <c r="F284" s="16"/>
      <c r="G284" s="16" t="str">
        <f>IFERROR(__xludf.DUMMYFUNCTION("""COMPUTED_VALUE"""),"Pakistan")</f>
        <v>Pakistan</v>
      </c>
      <c r="H284" s="16" t="str">
        <f>IFERROR(__xludf.DUMMYFUNCTION("""COMPUTED_VALUE"""),"Lahore - Pak")</f>
        <v>Lahore - Pak</v>
      </c>
      <c r="I284" s="16" t="str">
        <f>IFERROR(__xludf.DUMMYFUNCTION("""COMPUTED_VALUE"""),"Turkey")</f>
        <v>Turkey</v>
      </c>
      <c r="J284" s="16" t="str">
        <f>IFERROR(__xludf.DUMMYFUNCTION("""COMPUTED_VALUE"""),"ISTANBUL")</f>
        <v>ISTANBUL</v>
      </c>
      <c r="K284" s="17" t="str">
        <f>IFERROR(__xludf.DUMMYFUNCTION("""COMPUTED_VALUE"""),"https://expa.aiesec.org/opportunities/1288393")</f>
        <v>https://expa.aiesec.org/opportunities/1288393</v>
      </c>
      <c r="L284" s="16" t="str">
        <f>IFERROR(__xludf.DUMMYFUNCTION("""COMPUTED_VALUE"""),"GV")</f>
        <v>GV</v>
      </c>
      <c r="M284" s="16" t="str">
        <f>IFERROR(__xludf.DUMMYFUNCTION("""COMPUTED_VALUE"""),"short")</f>
        <v>short</v>
      </c>
      <c r="N284" s="18">
        <f>IFERROR(__xludf.DUMMYFUNCTION("""COMPUTED_VALUE"""),45145.0)</f>
        <v>45145</v>
      </c>
      <c r="O284" s="18">
        <f>IFERROR(__xludf.DUMMYFUNCTION("""COMPUTED_VALUE"""),45194.0)</f>
        <v>45194</v>
      </c>
      <c r="P284" s="18">
        <f>IFERROR(__xludf.DUMMYFUNCTION("""COMPUTED_VALUE"""),45236.0)</f>
        <v>45236</v>
      </c>
      <c r="Q284" s="18">
        <f>IFERROR(__xludf.DUMMYFUNCTION("""COMPUTED_VALUE"""),45194.0)</f>
        <v>45194</v>
      </c>
      <c r="R284" s="18">
        <f>IFERROR(__xludf.DUMMYFUNCTION("""COMPUTED_VALUE"""),45236.0)</f>
        <v>45236</v>
      </c>
      <c r="S284" s="16"/>
      <c r="T284" s="16"/>
      <c r="U284" s="16" t="str">
        <f>IFERROR(__xludf.DUMMYFUNCTION("""COMPUTED_VALUE"""),"Global Classroom")</f>
        <v>Global Classroom</v>
      </c>
      <c r="V284" s="16" t="str">
        <f>IFERROR(__xludf.DUMMYFUNCTION("""COMPUTED_VALUE"""),"-")</f>
        <v>-</v>
      </c>
      <c r="W284" s="16" t="str">
        <f>IFERROR(__xludf.DUMMYFUNCTION("""COMPUTED_VALUE"""),"2023-08-06T00:40:18Z")</f>
        <v>2023-08-06T00:40:18Z</v>
      </c>
      <c r="X284" s="16"/>
      <c r="Y284" s="16"/>
      <c r="Z284" s="16"/>
    </row>
    <row r="285">
      <c r="A285" s="16" t="str">
        <f>IFERROR(__xludf.DUMMYFUNCTION("""COMPUTED_VALUE"""),"5297016_1289307")</f>
        <v>5297016_1289307</v>
      </c>
      <c r="B285" s="16" t="str">
        <f>IFERROR(__xludf.DUMMYFUNCTION("""COMPUTED_VALUE"""),"Nezha Imane Mchaouar")</f>
        <v>Nezha Imane Mchaouar</v>
      </c>
      <c r="C285" s="16" t="str">
        <f>IFERROR(__xludf.DUMMYFUNCTION("""COMPUTED_VALUE"""),"realized")</f>
        <v>realized</v>
      </c>
      <c r="D285" s="16" t="str">
        <f>IFERROR(__xludf.DUMMYFUNCTION("""COMPUTED_VALUE"""),"No")</f>
        <v>No</v>
      </c>
      <c r="E285" s="16" t="str">
        <f>IFERROR(__xludf.DUMMYFUNCTION("""COMPUTED_VALUE"""),"p_15fa8797505cc03aa40f839530fde6993bd907e5@inbound.aiesec.org")</f>
        <v>p_15fa8797505cc03aa40f839530fde6993bd907e5@inbound.aiesec.org</v>
      </c>
      <c r="F285" s="16">
        <f>IFERROR(__xludf.DUMMYFUNCTION("""COMPUTED_VALUE"""),6.75192624E8)</f>
        <v>675192624</v>
      </c>
      <c r="G285" s="16" t="str">
        <f>IFERROR(__xludf.DUMMYFUNCTION("""COMPUTED_VALUE"""),"Morocco")</f>
        <v>Morocco</v>
      </c>
      <c r="H285" s="16" t="str">
        <f>IFERROR(__xludf.DUMMYFUNCTION("""COMPUTED_VALUE"""),"Morocco (MC)")</f>
        <v>Morocco (MC)</v>
      </c>
      <c r="I285" s="16" t="str">
        <f>IFERROR(__xludf.DUMMYFUNCTION("""COMPUTED_VALUE"""),"Turkey")</f>
        <v>Turkey</v>
      </c>
      <c r="J285" s="16" t="str">
        <f>IFERROR(__xludf.DUMMYFUNCTION("""COMPUTED_VALUE"""),"ISTANBUL")</f>
        <v>ISTANBUL</v>
      </c>
      <c r="K285" s="17" t="str">
        <f>IFERROR(__xludf.DUMMYFUNCTION("""COMPUTED_VALUE"""),"https://expa.aiesec.org/opportunities/1289307")</f>
        <v>https://expa.aiesec.org/opportunities/1289307</v>
      </c>
      <c r="L285" s="16" t="str">
        <f>IFERROR(__xludf.DUMMYFUNCTION("""COMPUTED_VALUE"""),"GTe")</f>
        <v>GTe</v>
      </c>
      <c r="M285" s="16" t="str">
        <f>IFERROR(__xludf.DUMMYFUNCTION("""COMPUTED_VALUE"""),"long")</f>
        <v>long</v>
      </c>
      <c r="N285" s="18">
        <f>IFERROR(__xludf.DUMMYFUNCTION("""COMPUTED_VALUE"""),45146.0)</f>
        <v>45146</v>
      </c>
      <c r="O285" s="18">
        <f>IFERROR(__xludf.DUMMYFUNCTION("""COMPUTED_VALUE"""),45158.0)</f>
        <v>45158</v>
      </c>
      <c r="P285" s="18">
        <f>IFERROR(__xludf.DUMMYFUNCTION("""COMPUTED_VALUE"""),45485.0)</f>
        <v>45485</v>
      </c>
      <c r="Q285" s="18">
        <f>IFERROR(__xludf.DUMMYFUNCTION("""COMPUTED_VALUE"""),45180.0)</f>
        <v>45180</v>
      </c>
      <c r="R285" s="18">
        <f>IFERROR(__xludf.DUMMYFUNCTION("""COMPUTED_VALUE"""),45507.0)</f>
        <v>45507</v>
      </c>
      <c r="S285" s="16"/>
      <c r="T285" s="16"/>
      <c r="U285" s="16" t="str">
        <f>IFERROR(__xludf.DUMMYFUNCTION("""COMPUTED_VALUE"""),"Preschool English Teacher")</f>
        <v>Preschool English Teacher</v>
      </c>
      <c r="V285" s="16" t="str">
        <f>IFERROR(__xludf.DUMMYFUNCTION("""COMPUTED_VALUE"""),"Other-RABAT")</f>
        <v>Other-RABAT</v>
      </c>
      <c r="W285" s="16" t="str">
        <f>IFERROR(__xludf.DUMMYFUNCTION("""COMPUTED_VALUE"""),"2023-08-04T15:39:15Z")</f>
        <v>2023-08-04T15:39:15Z</v>
      </c>
      <c r="X285" s="16"/>
      <c r="Y285" s="16"/>
      <c r="Z285" s="16"/>
    </row>
    <row r="286">
      <c r="A286" s="16" t="str">
        <f>IFERROR(__xludf.DUMMYFUNCTION("""COMPUTED_VALUE"""),"5290050_1291068")</f>
        <v>5290050_1291068</v>
      </c>
      <c r="B286" s="16" t="str">
        <f>IFERROR(__xludf.DUMMYFUNCTION("""COMPUTED_VALUE"""),"Başak Sarah Öney")</f>
        <v>Başak Sarah Öney</v>
      </c>
      <c r="C286" s="16" t="str">
        <f>IFERROR(__xludf.DUMMYFUNCTION("""COMPUTED_VALUE"""),"approved")</f>
        <v>approved</v>
      </c>
      <c r="D286" s="16" t="str">
        <f>IFERROR(__xludf.DUMMYFUNCTION("""COMPUTED_VALUE"""),"No")</f>
        <v>No</v>
      </c>
      <c r="E286" s="16" t="str">
        <f>IFERROR(__xludf.DUMMYFUNCTION("""COMPUTED_VALUE"""),"p_cb825ce25392dc3974511a2b850cce4fd42c3302@inbound.aiesec.org")</f>
        <v>p_cb825ce25392dc3974511a2b850cce4fd42c3302@inbound.aiesec.org</v>
      </c>
      <c r="F286" s="16"/>
      <c r="G286" s="16" t="str">
        <f>IFERROR(__xludf.DUMMYFUNCTION("""COMPUTED_VALUE"""),"Turkey")</f>
        <v>Turkey</v>
      </c>
      <c r="H286" s="16" t="str">
        <f>IFERROR(__xludf.DUMMYFUNCTION("""COMPUTED_VALUE"""),"ISTANBUL")</f>
        <v>ISTANBUL</v>
      </c>
      <c r="I286" s="16" t="str">
        <f>IFERROR(__xludf.DUMMYFUNCTION("""COMPUTED_VALUE"""),"Italy")</f>
        <v>Italy</v>
      </c>
      <c r="J286" s="16" t="str">
        <f>IFERROR(__xludf.DUMMYFUNCTION("""COMPUTED_VALUE"""),"Napoli Federico II")</f>
        <v>Napoli Federico II</v>
      </c>
      <c r="K286" s="17" t="str">
        <f>IFERROR(__xludf.DUMMYFUNCTION("""COMPUTED_VALUE"""),"https://expa.aiesec.org/opportunities/1291068")</f>
        <v>https://expa.aiesec.org/opportunities/1291068</v>
      </c>
      <c r="L286" s="16" t="str">
        <f>IFERROR(__xludf.DUMMYFUNCTION("""COMPUTED_VALUE"""),"GV")</f>
        <v>GV</v>
      </c>
      <c r="M286" s="16" t="str">
        <f>IFERROR(__xludf.DUMMYFUNCTION("""COMPUTED_VALUE"""),"short")</f>
        <v>short</v>
      </c>
      <c r="N286" s="18">
        <f>IFERROR(__xludf.DUMMYFUNCTION("""COMPUTED_VALUE"""),45149.0)</f>
        <v>45149</v>
      </c>
      <c r="O286" s="18">
        <f>IFERROR(__xludf.DUMMYFUNCTION("""COMPUTED_VALUE"""),45356.0)</f>
        <v>45356</v>
      </c>
      <c r="P286" s="18">
        <f>IFERROR(__xludf.DUMMYFUNCTION("""COMPUTED_VALUE"""),45398.0)</f>
        <v>45398</v>
      </c>
      <c r="Q286" s="18"/>
      <c r="R286" s="18"/>
      <c r="S286" s="16"/>
      <c r="T286" s="16"/>
      <c r="U286" s="16" t="str">
        <f>IFERROR(__xludf.DUMMYFUNCTION("""COMPUTED_VALUE"""),"Equify")</f>
        <v>Equify</v>
      </c>
      <c r="V286" s="16" t="str">
        <f>IFERROR(__xludf.DUMMYFUNCTION("""COMPUTED_VALUE"""),"-")</f>
        <v>-</v>
      </c>
      <c r="W286" s="16" t="str">
        <f>IFERROR(__xludf.DUMMYFUNCTION("""COMPUTED_VALUE"""),"2023-07-26T21:46:41Z")</f>
        <v>2023-07-26T21:46:41Z</v>
      </c>
      <c r="X286" s="16"/>
      <c r="Y286" s="16"/>
      <c r="Z286" s="16"/>
    </row>
    <row r="287">
      <c r="A287" s="16" t="str">
        <f>IFERROR(__xludf.DUMMYFUNCTION("""COMPUTED_VALUE"""),"5295298_1295303")</f>
        <v>5295298_1295303</v>
      </c>
      <c r="B287" s="16" t="str">
        <f>IFERROR(__xludf.DUMMYFUNCTION("""COMPUTED_VALUE"""),"Tuğçe Aydın")</f>
        <v>Tuğçe Aydın</v>
      </c>
      <c r="C287" s="16" t="str">
        <f>IFERROR(__xludf.DUMMYFUNCTION("""COMPUTED_VALUE"""),"realized")</f>
        <v>realized</v>
      </c>
      <c r="D287" s="16" t="str">
        <f>IFERROR(__xludf.DUMMYFUNCTION("""COMPUTED_VALUE"""),"No")</f>
        <v>No</v>
      </c>
      <c r="E287" s="16" t="str">
        <f>IFERROR(__xludf.DUMMYFUNCTION("""COMPUTED_VALUE"""),"p_312777aeb14d8768bd563a789d76b08bed22d271@inbound.aiesec.org")</f>
        <v>p_312777aeb14d8768bd563a789d76b08bed22d271@inbound.aiesec.org</v>
      </c>
      <c r="F287" s="16">
        <f>IFERROR(__xludf.DUMMYFUNCTION("""COMPUTED_VALUE"""),5.332963367E9)</f>
        <v>5332963367</v>
      </c>
      <c r="G287" s="16" t="str">
        <f>IFERROR(__xludf.DUMMYFUNCTION("""COMPUTED_VALUE"""),"Turkey")</f>
        <v>Turkey</v>
      </c>
      <c r="H287" s="16" t="str">
        <f>IFERROR(__xludf.DUMMYFUNCTION("""COMPUTED_VALUE"""),"ISTANBUL")</f>
        <v>ISTANBUL</v>
      </c>
      <c r="I287" s="16" t="str">
        <f>IFERROR(__xludf.DUMMYFUNCTION("""COMPUTED_VALUE"""),"Slovakia")</f>
        <v>Slovakia</v>
      </c>
      <c r="J287" s="16" t="str">
        <f>IFERROR(__xludf.DUMMYFUNCTION("""COMPUTED_VALUE"""),"Nitra")</f>
        <v>Nitra</v>
      </c>
      <c r="K287" s="17" t="str">
        <f>IFERROR(__xludf.DUMMYFUNCTION("""COMPUTED_VALUE"""),"https://expa.aiesec.org/opportunities/1295303")</f>
        <v>https://expa.aiesec.org/opportunities/1295303</v>
      </c>
      <c r="L287" s="16" t="str">
        <f>IFERROR(__xludf.DUMMYFUNCTION("""COMPUTED_VALUE"""),"GV")</f>
        <v>GV</v>
      </c>
      <c r="M287" s="16" t="str">
        <f>IFERROR(__xludf.DUMMYFUNCTION("""COMPUTED_VALUE"""),"short")</f>
        <v>short</v>
      </c>
      <c r="N287" s="18">
        <f>IFERROR(__xludf.DUMMYFUNCTION("""COMPUTED_VALUE"""),45151.0)</f>
        <v>45151</v>
      </c>
      <c r="O287" s="18">
        <f>IFERROR(__xludf.DUMMYFUNCTION("""COMPUTED_VALUE"""),45306.0)</f>
        <v>45306</v>
      </c>
      <c r="P287" s="18">
        <f>IFERROR(__xludf.DUMMYFUNCTION("""COMPUTED_VALUE"""),45348.0)</f>
        <v>45348</v>
      </c>
      <c r="Q287" s="18">
        <f>IFERROR(__xludf.DUMMYFUNCTION("""COMPUTED_VALUE"""),45306.0)</f>
        <v>45306</v>
      </c>
      <c r="R287" s="18">
        <f>IFERROR(__xludf.DUMMYFUNCTION("""COMPUTED_VALUE"""),45348.0)</f>
        <v>45348</v>
      </c>
      <c r="S287" s="16"/>
      <c r="T287" s="16"/>
      <c r="U287" s="16" t="str">
        <f>IFERROR(__xludf.DUMMYFUNCTION("""COMPUTED_VALUE"""),"Youth 4 Impact")</f>
        <v>Youth 4 Impact</v>
      </c>
      <c r="V287" s="16" t="str">
        <f>IFERROR(__xludf.DUMMYFUNCTION("""COMPUTED_VALUE"""),"ISTANBUL - BEYOGLU")</f>
        <v>ISTANBUL - BEYOGLU</v>
      </c>
      <c r="W287" s="16" t="str">
        <f>IFERROR(__xludf.DUMMYFUNCTION("""COMPUTED_VALUE"""),"2023-08-03T13:07:54Z")</f>
        <v>2023-08-03T13:07:54Z</v>
      </c>
      <c r="X287" s="16"/>
      <c r="Y287" s="16"/>
      <c r="Z287" s="16"/>
    </row>
    <row r="288">
      <c r="A288" s="16" t="str">
        <f>IFERROR(__xludf.DUMMYFUNCTION("""COMPUTED_VALUE"""),"5237118_1294151")</f>
        <v>5237118_1294151</v>
      </c>
      <c r="B288" s="16" t="str">
        <f>IFERROR(__xludf.DUMMYFUNCTION("""COMPUTED_VALUE"""),"Berra Koçali")</f>
        <v>Berra Koçali</v>
      </c>
      <c r="C288" s="16" t="str">
        <f>IFERROR(__xludf.DUMMYFUNCTION("""COMPUTED_VALUE"""),"completed")</f>
        <v>completed</v>
      </c>
      <c r="D288" s="16" t="str">
        <f>IFERROR(__xludf.DUMMYFUNCTION("""COMPUTED_VALUE"""),"No")</f>
        <v>No</v>
      </c>
      <c r="E288" s="16" t="str">
        <f>IFERROR(__xludf.DUMMYFUNCTION("""COMPUTED_VALUE"""),"p_92e34535c45184a4656c5a4369b3ca1fcde7ed4e@inbound.aiesec.org")</f>
        <v>p_92e34535c45184a4656c5a4369b3ca1fcde7ed4e@inbound.aiesec.org</v>
      </c>
      <c r="F288" s="16">
        <f>IFERROR(__xludf.DUMMYFUNCTION("""COMPUTED_VALUE"""),5.4135051E9)</f>
        <v>5413505100</v>
      </c>
      <c r="G288" s="16" t="str">
        <f>IFERROR(__xludf.DUMMYFUNCTION("""COMPUTED_VALUE"""),"Turkey")</f>
        <v>Turkey</v>
      </c>
      <c r="H288" s="16" t="str">
        <f>IFERROR(__xludf.DUMMYFUNCTION("""COMPUTED_VALUE"""),"ISTANBUL")</f>
        <v>ISTANBUL</v>
      </c>
      <c r="I288" s="16" t="str">
        <f>IFERROR(__xludf.DUMMYFUNCTION("""COMPUTED_VALUE"""),"Greece")</f>
        <v>Greece</v>
      </c>
      <c r="J288" s="16" t="str">
        <f>IFERROR(__xludf.DUMMYFUNCTION("""COMPUTED_VALUE"""),"Piraeus UNIPI (Athens)")</f>
        <v>Piraeus UNIPI (Athens)</v>
      </c>
      <c r="K288" s="17" t="str">
        <f>IFERROR(__xludf.DUMMYFUNCTION("""COMPUTED_VALUE"""),"https://expa.aiesec.org/opportunities/1294151")</f>
        <v>https://expa.aiesec.org/opportunities/1294151</v>
      </c>
      <c r="L288" s="16" t="str">
        <f>IFERROR(__xludf.DUMMYFUNCTION("""COMPUTED_VALUE"""),"GV")</f>
        <v>GV</v>
      </c>
      <c r="M288" s="16" t="str">
        <f>IFERROR(__xludf.DUMMYFUNCTION("""COMPUTED_VALUE"""),"short")</f>
        <v>short</v>
      </c>
      <c r="N288" s="18">
        <f>IFERROR(__xludf.DUMMYFUNCTION("""COMPUTED_VALUE"""),45152.0)</f>
        <v>45152</v>
      </c>
      <c r="O288" s="18">
        <f>IFERROR(__xludf.DUMMYFUNCTION("""COMPUTED_VALUE"""),45170.0)</f>
        <v>45170</v>
      </c>
      <c r="P288" s="18">
        <f>IFERROR(__xludf.DUMMYFUNCTION("""COMPUTED_VALUE"""),45212.0)</f>
        <v>45212</v>
      </c>
      <c r="Q288" s="18">
        <f>IFERROR(__xludf.DUMMYFUNCTION("""COMPUTED_VALUE"""),45169.0)</f>
        <v>45169</v>
      </c>
      <c r="R288" s="18">
        <f>IFERROR(__xludf.DUMMYFUNCTION("""COMPUTED_VALUE"""),45212.0)</f>
        <v>45212</v>
      </c>
      <c r="S288" s="16"/>
      <c r="T288" s="16"/>
      <c r="U288" s="16" t="str">
        <f>IFERROR(__xludf.DUMMYFUNCTION("""COMPUTED_VALUE"""),"Rooted")</f>
        <v>Rooted</v>
      </c>
      <c r="V288" s="16" t="str">
        <f>IFERROR(__xludf.DUMMYFUNCTION("""COMPUTED_VALUE"""),"ISTANBUL - BEYOGLU")</f>
        <v>ISTANBUL - BEYOGLU</v>
      </c>
      <c r="W288" s="16" t="str">
        <f>IFERROR(__xludf.DUMMYFUNCTION("""COMPUTED_VALUE"""),"2023-04-07T14:28:22Z")</f>
        <v>2023-04-07T14:28:22Z</v>
      </c>
      <c r="X288" s="16"/>
      <c r="Y288" s="16"/>
      <c r="Z288" s="16"/>
    </row>
    <row r="289">
      <c r="A289" s="16" t="str">
        <f>IFERROR(__xludf.DUMMYFUNCTION("""COMPUTED_VALUE"""),"5301449_1289339")</f>
        <v>5301449_1289339</v>
      </c>
      <c r="B289" s="16" t="str">
        <f>IFERROR(__xludf.DUMMYFUNCTION("""COMPUTED_VALUE"""),"Kibar Güneş")</f>
        <v>Kibar Güneş</v>
      </c>
      <c r="C289" s="16" t="str">
        <f>IFERROR(__xludf.DUMMYFUNCTION("""COMPUTED_VALUE"""),"approved")</f>
        <v>approved</v>
      </c>
      <c r="D289" s="16" t="str">
        <f>IFERROR(__xludf.DUMMYFUNCTION("""COMPUTED_VALUE"""),"No")</f>
        <v>No</v>
      </c>
      <c r="E289" s="16" t="str">
        <f>IFERROR(__xludf.DUMMYFUNCTION("""COMPUTED_VALUE"""),"p_e6e4bf76346e6aa71067263e813766029d52fde4@inbound.aiesec.org")</f>
        <v>p_e6e4bf76346e6aa71067263e813766029d52fde4@inbound.aiesec.org</v>
      </c>
      <c r="F289" s="16">
        <f>IFERROR(__xludf.DUMMYFUNCTION("""COMPUTED_VALUE"""),5.446782618E9)</f>
        <v>5446782618</v>
      </c>
      <c r="G289" s="16" t="str">
        <f>IFERROR(__xludf.DUMMYFUNCTION("""COMPUTED_VALUE"""),"Turkey")</f>
        <v>Turkey</v>
      </c>
      <c r="H289" s="16" t="str">
        <f>IFERROR(__xludf.DUMMYFUNCTION("""COMPUTED_VALUE"""),"ISTANBUL")</f>
        <v>ISTANBUL</v>
      </c>
      <c r="I289" s="16" t="str">
        <f>IFERROR(__xludf.DUMMYFUNCTION("""COMPUTED_VALUE"""),"Egypt")</f>
        <v>Egypt</v>
      </c>
      <c r="J289" s="16" t="str">
        <f>IFERROR(__xludf.DUMMYFUNCTION("""COMPUTED_VALUE"""),"Ain Shams University")</f>
        <v>Ain Shams University</v>
      </c>
      <c r="K289" s="17" t="str">
        <f>IFERROR(__xludf.DUMMYFUNCTION("""COMPUTED_VALUE"""),"https://expa.aiesec.org/opportunities/1289339")</f>
        <v>https://expa.aiesec.org/opportunities/1289339</v>
      </c>
      <c r="L289" s="16" t="str">
        <f>IFERROR(__xludf.DUMMYFUNCTION("""COMPUTED_VALUE"""),"GV")</f>
        <v>GV</v>
      </c>
      <c r="M289" s="16" t="str">
        <f>IFERROR(__xludf.DUMMYFUNCTION("""COMPUTED_VALUE"""),"short")</f>
        <v>short</v>
      </c>
      <c r="N289" s="18">
        <f>IFERROR(__xludf.DUMMYFUNCTION("""COMPUTED_VALUE"""),45152.0)</f>
        <v>45152</v>
      </c>
      <c r="O289" s="18">
        <f>IFERROR(__xludf.DUMMYFUNCTION("""COMPUTED_VALUE"""),45488.0)</f>
        <v>45488</v>
      </c>
      <c r="P289" s="18">
        <f>IFERROR(__xludf.DUMMYFUNCTION("""COMPUTED_VALUE"""),45530.0)</f>
        <v>45530</v>
      </c>
      <c r="Q289" s="18"/>
      <c r="R289" s="18"/>
      <c r="S289" s="16"/>
      <c r="T289" s="16"/>
      <c r="U289" s="16" t="str">
        <f>IFERROR(__xludf.DUMMYFUNCTION("""COMPUTED_VALUE"""),"Rooted")</f>
        <v>Rooted</v>
      </c>
      <c r="V289" s="16" t="str">
        <f>IFERROR(__xludf.DUMMYFUNCTION("""COMPUTED_VALUE"""),"ISTANBUL - BAKIRKOY")</f>
        <v>ISTANBUL - BAKIRKOY</v>
      </c>
      <c r="W289" s="16" t="str">
        <f>IFERROR(__xludf.DUMMYFUNCTION("""COMPUTED_VALUE"""),"2023-08-12T06:58:09Z")</f>
        <v>2023-08-12T06:58:09Z</v>
      </c>
      <c r="X289" s="16"/>
      <c r="Y289" s="16"/>
      <c r="Z289" s="16"/>
    </row>
    <row r="290">
      <c r="A290" s="16" t="str">
        <f>IFERROR(__xludf.DUMMYFUNCTION("""COMPUTED_VALUE"""),"5297925_1295102")</f>
        <v>5297925_1295102</v>
      </c>
      <c r="B290" s="16" t="str">
        <f>IFERROR(__xludf.DUMMYFUNCTION("""COMPUTED_VALUE"""),"Ayşe Melek Yüksel")</f>
        <v>Ayşe Melek Yüksel</v>
      </c>
      <c r="C290" s="16" t="str">
        <f>IFERROR(__xludf.DUMMYFUNCTION("""COMPUTED_VALUE"""),"approved")</f>
        <v>approved</v>
      </c>
      <c r="D290" s="16" t="str">
        <f>IFERROR(__xludf.DUMMYFUNCTION("""COMPUTED_VALUE"""),"No")</f>
        <v>No</v>
      </c>
      <c r="E290" s="16" t="str">
        <f>IFERROR(__xludf.DUMMYFUNCTION("""COMPUTED_VALUE"""),"p_2319fcd226984f046d597720e78894648211002c@inbound.aiesec.org")</f>
        <v>p_2319fcd226984f046d597720e78894648211002c@inbound.aiesec.org</v>
      </c>
      <c r="F290" s="16">
        <f>IFERROR(__xludf.DUMMYFUNCTION("""COMPUTED_VALUE"""),5.374684995E9)</f>
        <v>5374684995</v>
      </c>
      <c r="G290" s="16" t="str">
        <f>IFERROR(__xludf.DUMMYFUNCTION("""COMPUTED_VALUE"""),"Turkey")</f>
        <v>Turkey</v>
      </c>
      <c r="H290" s="16" t="str">
        <f>IFERROR(__xludf.DUMMYFUNCTION("""COMPUTED_VALUE"""),"ISTANBUL")</f>
        <v>ISTANBUL</v>
      </c>
      <c r="I290" s="16" t="str">
        <f>IFERROR(__xludf.DUMMYFUNCTION("""COMPUTED_VALUE"""),"Egypt")</f>
        <v>Egypt</v>
      </c>
      <c r="J290" s="16" t="str">
        <f>IFERROR(__xludf.DUMMYFUNCTION("""COMPUTED_VALUE"""),"GUC")</f>
        <v>GUC</v>
      </c>
      <c r="K290" s="17" t="str">
        <f>IFERROR(__xludf.DUMMYFUNCTION("""COMPUTED_VALUE"""),"https://expa.aiesec.org/opportunities/1295102")</f>
        <v>https://expa.aiesec.org/opportunities/1295102</v>
      </c>
      <c r="L290" s="16" t="str">
        <f>IFERROR(__xludf.DUMMYFUNCTION("""COMPUTED_VALUE"""),"GV")</f>
        <v>GV</v>
      </c>
      <c r="M290" s="16" t="str">
        <f>IFERROR(__xludf.DUMMYFUNCTION("""COMPUTED_VALUE"""),"short")</f>
        <v>short</v>
      </c>
      <c r="N290" s="18">
        <f>IFERROR(__xludf.DUMMYFUNCTION("""COMPUTED_VALUE"""),45152.0)</f>
        <v>45152</v>
      </c>
      <c r="O290" s="18">
        <f>IFERROR(__xludf.DUMMYFUNCTION("""COMPUTED_VALUE"""),45302.0)</f>
        <v>45302</v>
      </c>
      <c r="P290" s="18">
        <f>IFERROR(__xludf.DUMMYFUNCTION("""COMPUTED_VALUE"""),45344.0)</f>
        <v>45344</v>
      </c>
      <c r="Q290" s="18"/>
      <c r="R290" s="18"/>
      <c r="S290" s="16"/>
      <c r="T290" s="16"/>
      <c r="U290" s="16" t="str">
        <f>IFERROR(__xludf.DUMMYFUNCTION("""COMPUTED_VALUE"""),"On The Map")</f>
        <v>On The Map</v>
      </c>
      <c r="V290" s="16" t="str">
        <f>IFERROR(__xludf.DUMMYFUNCTION("""COMPUTED_VALUE"""),"ISTANBUL - BEYOGLU")</f>
        <v>ISTANBUL - BEYOGLU</v>
      </c>
      <c r="W290" s="16" t="str">
        <f>IFERROR(__xludf.DUMMYFUNCTION("""COMPUTED_VALUE"""),"2023-08-05T17:04:45Z")</f>
        <v>2023-08-05T17:04:45Z</v>
      </c>
      <c r="X290" s="16"/>
      <c r="Y290" s="16"/>
      <c r="Z290" s="16"/>
    </row>
    <row r="291">
      <c r="A291" s="16" t="str">
        <f>IFERROR(__xludf.DUMMYFUNCTION("""COMPUTED_VALUE"""),"5301141_1272564")</f>
        <v>5301141_1272564</v>
      </c>
      <c r="B291" s="16" t="str">
        <f>IFERROR(__xludf.DUMMYFUNCTION("""COMPUTED_VALUE"""),"Diana Onishchenko")</f>
        <v>Diana Onishchenko</v>
      </c>
      <c r="C291" s="16" t="str">
        <f>IFERROR(__xludf.DUMMYFUNCTION("""COMPUTED_VALUE"""),"finished")</f>
        <v>finished</v>
      </c>
      <c r="D291" s="16" t="str">
        <f>IFERROR(__xludf.DUMMYFUNCTION("""COMPUTED_VALUE"""),"No")</f>
        <v>No</v>
      </c>
      <c r="E291" s="16" t="str">
        <f>IFERROR(__xludf.DUMMYFUNCTION("""COMPUTED_VALUE"""),"p_7117169f01bbb5db55bd04efb1c80aadd7d768d5@inbound.aiesec.org")</f>
        <v>p_7117169f01bbb5db55bd04efb1c80aadd7d768d5@inbound.aiesec.org</v>
      </c>
      <c r="F291" s="16">
        <f>IFERROR(__xludf.DUMMYFUNCTION("""COMPUTED_VALUE"""),6.74612342E8)</f>
        <v>674612342</v>
      </c>
      <c r="G291" s="16" t="str">
        <f>IFERROR(__xludf.DUMMYFUNCTION("""COMPUTED_VALUE"""),"Ukraine")</f>
        <v>Ukraine</v>
      </c>
      <c r="H291" s="16" t="str">
        <f>IFERROR(__xludf.DUMMYFUNCTION("""COMPUTED_VALUE"""),"KYIV")</f>
        <v>KYIV</v>
      </c>
      <c r="I291" s="16" t="str">
        <f>IFERROR(__xludf.DUMMYFUNCTION("""COMPUTED_VALUE"""),"Turkey")</f>
        <v>Turkey</v>
      </c>
      <c r="J291" s="16" t="str">
        <f>IFERROR(__xludf.DUMMYFUNCTION("""COMPUTED_VALUE"""),"ISTANBUL")</f>
        <v>ISTANBUL</v>
      </c>
      <c r="K291" s="17" t="str">
        <f>IFERROR(__xludf.DUMMYFUNCTION("""COMPUTED_VALUE"""),"https://expa.aiesec.org/opportunities/1272564")</f>
        <v>https://expa.aiesec.org/opportunities/1272564</v>
      </c>
      <c r="L291" s="16" t="str">
        <f>IFERROR(__xludf.DUMMYFUNCTION("""COMPUTED_VALUE"""),"GV")</f>
        <v>GV</v>
      </c>
      <c r="M291" s="16" t="str">
        <f>IFERROR(__xludf.DUMMYFUNCTION("""COMPUTED_VALUE"""),"short")</f>
        <v>short</v>
      </c>
      <c r="N291" s="18">
        <f>IFERROR(__xludf.DUMMYFUNCTION("""COMPUTED_VALUE"""),45152.0)</f>
        <v>45152</v>
      </c>
      <c r="O291" s="18">
        <f>IFERROR(__xludf.DUMMYFUNCTION("""COMPUTED_VALUE"""),45198.0)</f>
        <v>45198</v>
      </c>
      <c r="P291" s="18">
        <f>IFERROR(__xludf.DUMMYFUNCTION("""COMPUTED_VALUE"""),45240.0)</f>
        <v>45240</v>
      </c>
      <c r="Q291" s="18">
        <f>IFERROR(__xludf.DUMMYFUNCTION("""COMPUTED_VALUE"""),45198.0)</f>
        <v>45198</v>
      </c>
      <c r="R291" s="18">
        <f>IFERROR(__xludf.DUMMYFUNCTION("""COMPUTED_VALUE"""),45240.0)</f>
        <v>45240</v>
      </c>
      <c r="S291" s="16"/>
      <c r="T291" s="16"/>
      <c r="U291" s="16" t="str">
        <f>IFERROR(__xludf.DUMMYFUNCTION("""COMPUTED_VALUE"""),"Global Classroom")</f>
        <v>Global Classroom</v>
      </c>
      <c r="V291" s="16" t="str">
        <f>IFERROR(__xludf.DUMMYFUNCTION("""COMPUTED_VALUE"""),"Kyiv")</f>
        <v>Kyiv</v>
      </c>
      <c r="W291" s="16" t="str">
        <f>IFERROR(__xludf.DUMMYFUNCTION("""COMPUTED_VALUE"""),"2023-08-11T11:05:21Z")</f>
        <v>2023-08-11T11:05:21Z</v>
      </c>
      <c r="X291" s="16"/>
      <c r="Y291" s="16"/>
      <c r="Z291" s="16"/>
    </row>
    <row r="292">
      <c r="A292" s="16" t="str">
        <f>IFERROR(__xludf.DUMMYFUNCTION("""COMPUTED_VALUE"""),"5292134_1289772")</f>
        <v>5292134_1289772</v>
      </c>
      <c r="B292" s="16" t="str">
        <f>IFERROR(__xludf.DUMMYFUNCTION("""COMPUTED_VALUE"""),"Emine Naz Can")</f>
        <v>Emine Naz Can</v>
      </c>
      <c r="C292" s="16" t="str">
        <f>IFERROR(__xludf.DUMMYFUNCTION("""COMPUTED_VALUE"""),"approved")</f>
        <v>approved</v>
      </c>
      <c r="D292" s="16" t="str">
        <f>IFERROR(__xludf.DUMMYFUNCTION("""COMPUTED_VALUE"""),"No")</f>
        <v>No</v>
      </c>
      <c r="E292" s="16" t="str">
        <f>IFERROR(__xludf.DUMMYFUNCTION("""COMPUTED_VALUE"""),"p_5c59f2e62ec7ec522bd1766c0d88453cf9f3b0eb@inbound.aiesec.org")</f>
        <v>p_5c59f2e62ec7ec522bd1766c0d88453cf9f3b0eb@inbound.aiesec.org</v>
      </c>
      <c r="F292" s="16"/>
      <c r="G292" s="16" t="str">
        <f>IFERROR(__xludf.DUMMYFUNCTION("""COMPUTED_VALUE"""),"Turkey")</f>
        <v>Turkey</v>
      </c>
      <c r="H292" s="16" t="str">
        <f>IFERROR(__xludf.DUMMYFUNCTION("""COMPUTED_VALUE"""),"ISTANBUL")</f>
        <v>ISTANBUL</v>
      </c>
      <c r="I292" s="16" t="str">
        <f>IFERROR(__xludf.DUMMYFUNCTION("""COMPUTED_VALUE"""),"Egypt")</f>
        <v>Egypt</v>
      </c>
      <c r="J292" s="16" t="str">
        <f>IFERROR(__xludf.DUMMYFUNCTION("""COMPUTED_VALUE"""),"GUC")</f>
        <v>GUC</v>
      </c>
      <c r="K292" s="17" t="str">
        <f>IFERROR(__xludf.DUMMYFUNCTION("""COMPUTED_VALUE"""),"https://expa.aiesec.org/opportunities/1289772")</f>
        <v>https://expa.aiesec.org/opportunities/1289772</v>
      </c>
      <c r="L292" s="16" t="str">
        <f>IFERROR(__xludf.DUMMYFUNCTION("""COMPUTED_VALUE"""),"GV")</f>
        <v>GV</v>
      </c>
      <c r="M292" s="16" t="str">
        <f>IFERROR(__xludf.DUMMYFUNCTION("""COMPUTED_VALUE"""),"short")</f>
        <v>short</v>
      </c>
      <c r="N292" s="18">
        <f>IFERROR(__xludf.DUMMYFUNCTION("""COMPUTED_VALUE"""),45154.0)</f>
        <v>45154</v>
      </c>
      <c r="O292" s="18">
        <f>IFERROR(__xludf.DUMMYFUNCTION("""COMPUTED_VALUE"""),45498.0)</f>
        <v>45498</v>
      </c>
      <c r="P292" s="18">
        <f>IFERROR(__xludf.DUMMYFUNCTION("""COMPUTED_VALUE"""),45540.0)</f>
        <v>45540</v>
      </c>
      <c r="Q292" s="18"/>
      <c r="R292" s="18"/>
      <c r="S292" s="16"/>
      <c r="T292" s="16"/>
      <c r="U292" s="16" t="str">
        <f>IFERROR(__xludf.DUMMYFUNCTION("""COMPUTED_VALUE"""),"Raise Your Voice")</f>
        <v>Raise Your Voice</v>
      </c>
      <c r="V292" s="16" t="str">
        <f>IFERROR(__xludf.DUMMYFUNCTION("""COMPUTED_VALUE"""),"-")</f>
        <v>-</v>
      </c>
      <c r="W292" s="16" t="str">
        <f>IFERROR(__xludf.DUMMYFUNCTION("""COMPUTED_VALUE"""),"2023-07-31T12:46:51Z")</f>
        <v>2023-07-31T12:46:51Z</v>
      </c>
      <c r="X292" s="16"/>
      <c r="Y292" s="16"/>
      <c r="Z292" s="16"/>
    </row>
    <row r="293">
      <c r="A293" s="16" t="str">
        <f>IFERROR(__xludf.DUMMYFUNCTION("""COMPUTED_VALUE"""),"5298248_1291068")</f>
        <v>5298248_1291068</v>
      </c>
      <c r="B293" s="16" t="str">
        <f>IFERROR(__xludf.DUMMYFUNCTION("""COMPUTED_VALUE"""),"Sezin Irmak Gümüş")</f>
        <v>Sezin Irmak Gümüş</v>
      </c>
      <c r="C293" s="16" t="str">
        <f>IFERROR(__xludf.DUMMYFUNCTION("""COMPUTED_VALUE"""),"completed")</f>
        <v>completed</v>
      </c>
      <c r="D293" s="16" t="str">
        <f>IFERROR(__xludf.DUMMYFUNCTION("""COMPUTED_VALUE"""),"No")</f>
        <v>No</v>
      </c>
      <c r="E293" s="16" t="str">
        <f>IFERROR(__xludf.DUMMYFUNCTION("""COMPUTED_VALUE"""),"p_2e826f54b10a734bf1aaa7c081ad0404bc911bb8@inbound.aiesec.org")</f>
        <v>p_2e826f54b10a734bf1aaa7c081ad0404bc911bb8@inbound.aiesec.org</v>
      </c>
      <c r="F293" s="16">
        <f>IFERROR(__xludf.DUMMYFUNCTION("""COMPUTED_VALUE"""),5.304770617E9)</f>
        <v>5304770617</v>
      </c>
      <c r="G293" s="16" t="str">
        <f>IFERROR(__xludf.DUMMYFUNCTION("""COMPUTED_VALUE"""),"Turkey")</f>
        <v>Turkey</v>
      </c>
      <c r="H293" s="16" t="str">
        <f>IFERROR(__xludf.DUMMYFUNCTION("""COMPUTED_VALUE"""),"ISTANBUL")</f>
        <v>ISTANBUL</v>
      </c>
      <c r="I293" s="16" t="str">
        <f>IFERROR(__xludf.DUMMYFUNCTION("""COMPUTED_VALUE"""),"Italy")</f>
        <v>Italy</v>
      </c>
      <c r="J293" s="16" t="str">
        <f>IFERROR(__xludf.DUMMYFUNCTION("""COMPUTED_VALUE"""),"Napoli Federico II")</f>
        <v>Napoli Federico II</v>
      </c>
      <c r="K293" s="17" t="str">
        <f>IFERROR(__xludf.DUMMYFUNCTION("""COMPUTED_VALUE"""),"https://expa.aiesec.org/opportunities/1291068")</f>
        <v>https://expa.aiesec.org/opportunities/1291068</v>
      </c>
      <c r="L293" s="16" t="str">
        <f>IFERROR(__xludf.DUMMYFUNCTION("""COMPUTED_VALUE"""),"GV")</f>
        <v>GV</v>
      </c>
      <c r="M293" s="16" t="str">
        <f>IFERROR(__xludf.DUMMYFUNCTION("""COMPUTED_VALUE"""),"short")</f>
        <v>short</v>
      </c>
      <c r="N293" s="18">
        <f>IFERROR(__xludf.DUMMYFUNCTION("""COMPUTED_VALUE"""),45154.0)</f>
        <v>45154</v>
      </c>
      <c r="O293" s="18">
        <f>IFERROR(__xludf.DUMMYFUNCTION("""COMPUTED_VALUE"""),45159.0)</f>
        <v>45159</v>
      </c>
      <c r="P293" s="18">
        <f>IFERROR(__xludf.DUMMYFUNCTION("""COMPUTED_VALUE"""),45201.0)</f>
        <v>45201</v>
      </c>
      <c r="Q293" s="18">
        <f>IFERROR(__xludf.DUMMYFUNCTION("""COMPUTED_VALUE"""),45159.0)</f>
        <v>45159</v>
      </c>
      <c r="R293" s="18">
        <f>IFERROR(__xludf.DUMMYFUNCTION("""COMPUTED_VALUE"""),45201.0)</f>
        <v>45201</v>
      </c>
      <c r="S293" s="16"/>
      <c r="T293" s="16"/>
      <c r="U293" s="16" t="str">
        <f>IFERROR(__xludf.DUMMYFUNCTION("""COMPUTED_VALUE"""),"Equify")</f>
        <v>Equify</v>
      </c>
      <c r="V293" s="16" t="str">
        <f>IFERROR(__xludf.DUMMYFUNCTION("""COMPUTED_VALUE"""),"ISTANBUL - BEYOGLU")</f>
        <v>ISTANBUL - BEYOGLU</v>
      </c>
      <c r="W293" s="16" t="str">
        <f>IFERROR(__xludf.DUMMYFUNCTION("""COMPUTED_VALUE"""),"2023-08-06T09:27:04Z")</f>
        <v>2023-08-06T09:27:04Z</v>
      </c>
      <c r="X293" s="16"/>
      <c r="Y293" s="16"/>
      <c r="Z293" s="16"/>
    </row>
    <row r="294">
      <c r="A294" s="16" t="str">
        <f>IFERROR(__xludf.DUMMYFUNCTION("""COMPUTED_VALUE"""),"5295859_1289255")</f>
        <v>5295859_1289255</v>
      </c>
      <c r="B294" s="16" t="str">
        <f>IFERROR(__xludf.DUMMYFUNCTION("""COMPUTED_VALUE"""),"Sana BOULANOUAR")</f>
        <v>Sana BOULANOUAR</v>
      </c>
      <c r="C294" s="16" t="str">
        <f>IFERROR(__xludf.DUMMYFUNCTION("""COMPUTED_VALUE"""),"realized")</f>
        <v>realized</v>
      </c>
      <c r="D294" s="16" t="str">
        <f>IFERROR(__xludf.DUMMYFUNCTION("""COMPUTED_VALUE"""),"No")</f>
        <v>No</v>
      </c>
      <c r="E294" s="16" t="str">
        <f>IFERROR(__xludf.DUMMYFUNCTION("""COMPUTED_VALUE"""),"p_190df8fd77f680ffe83e5c3379e275feff0249f1@inbound.aiesec.org")</f>
        <v>p_190df8fd77f680ffe83e5c3379e275feff0249f1@inbound.aiesec.org</v>
      </c>
      <c r="F294" s="16">
        <f>IFERROR(__xludf.DUMMYFUNCTION("""COMPUTED_VALUE"""),6.98255318E8)</f>
        <v>698255318</v>
      </c>
      <c r="G294" s="16" t="str">
        <f>IFERROR(__xludf.DUMMYFUNCTION("""COMPUTED_VALUE"""),"Algeria")</f>
        <v>Algeria</v>
      </c>
      <c r="H294" s="16" t="str">
        <f>IFERROR(__xludf.DUMMYFUNCTION("""COMPUTED_VALUE"""),"Babez")</f>
        <v>Babez</v>
      </c>
      <c r="I294" s="16" t="str">
        <f>IFERROR(__xludf.DUMMYFUNCTION("""COMPUTED_VALUE"""),"Turkey")</f>
        <v>Turkey</v>
      </c>
      <c r="J294" s="16" t="str">
        <f>IFERROR(__xludf.DUMMYFUNCTION("""COMPUTED_VALUE"""),"ISTANBUL")</f>
        <v>ISTANBUL</v>
      </c>
      <c r="K294" s="17" t="str">
        <f>IFERROR(__xludf.DUMMYFUNCTION("""COMPUTED_VALUE"""),"https://expa.aiesec.org/opportunities/1289255")</f>
        <v>https://expa.aiesec.org/opportunities/1289255</v>
      </c>
      <c r="L294" s="16" t="str">
        <f>IFERROR(__xludf.DUMMYFUNCTION("""COMPUTED_VALUE"""),"GTa")</f>
        <v>GTa</v>
      </c>
      <c r="M294" s="16" t="str">
        <f>IFERROR(__xludf.DUMMYFUNCTION("""COMPUTED_VALUE"""),"long")</f>
        <v>long</v>
      </c>
      <c r="N294" s="18">
        <f>IFERROR(__xludf.DUMMYFUNCTION("""COMPUTED_VALUE"""),45154.0)</f>
        <v>45154</v>
      </c>
      <c r="O294" s="18">
        <f>IFERROR(__xludf.DUMMYFUNCTION("""COMPUTED_VALUE"""),45215.0)</f>
        <v>45215</v>
      </c>
      <c r="P294" s="18">
        <f>IFERROR(__xludf.DUMMYFUNCTION("""COMPUTED_VALUE"""),45716.0)</f>
        <v>45716</v>
      </c>
      <c r="Q294" s="18">
        <f>IFERROR(__xludf.DUMMYFUNCTION("""COMPUTED_VALUE"""),45219.0)</f>
        <v>45219</v>
      </c>
      <c r="R294" s="18">
        <f>IFERROR(__xludf.DUMMYFUNCTION("""COMPUTED_VALUE"""),45720.0)</f>
        <v>45720</v>
      </c>
      <c r="S294" s="16"/>
      <c r="T294" s="16" t="str">
        <f>IFERROR(__xludf.DUMMYFUNCTION("""COMPUTED_VALUE"""),"Business Administration")</f>
        <v>Business Administration</v>
      </c>
      <c r="U294" s="16" t="str">
        <f>IFERROR(__xludf.DUMMYFUNCTION("""COMPUTED_VALUE"""),"Telesales Specialist in Istanbul (French Speaker)")</f>
        <v>Telesales Specialist in Istanbul (French Speaker)</v>
      </c>
      <c r="V294" s="16" t="str">
        <f>IFERROR(__xludf.DUMMYFUNCTION("""COMPUTED_VALUE"""),"AIESEC in Babez")</f>
        <v>AIESEC in Babez</v>
      </c>
      <c r="W294" s="16" t="str">
        <f>IFERROR(__xludf.DUMMYFUNCTION("""COMPUTED_VALUE"""),"2023-08-03T18:51:55Z")</f>
        <v>2023-08-03T18:51:55Z</v>
      </c>
      <c r="X294" s="16"/>
      <c r="Y294" s="16"/>
      <c r="Z294" s="16"/>
    </row>
    <row r="295">
      <c r="A295" s="16" t="str">
        <f>IFERROR(__xludf.DUMMYFUNCTION("""COMPUTED_VALUE"""),"5302250_1289378")</f>
        <v>5302250_1289378</v>
      </c>
      <c r="B295" s="16" t="str">
        <f>IFERROR(__xludf.DUMMYFUNCTION("""COMPUTED_VALUE"""),"El Haroual Aymane")</f>
        <v>El Haroual Aymane</v>
      </c>
      <c r="C295" s="16" t="str">
        <f>IFERROR(__xludf.DUMMYFUNCTION("""COMPUTED_VALUE"""),"realized")</f>
        <v>realized</v>
      </c>
      <c r="D295" s="16" t="str">
        <f>IFERROR(__xludf.DUMMYFUNCTION("""COMPUTED_VALUE"""),"No")</f>
        <v>No</v>
      </c>
      <c r="E295" s="16" t="str">
        <f>IFERROR(__xludf.DUMMYFUNCTION("""COMPUTED_VALUE"""),"p_8a6eb6d30011471487e28e9f0a8bad323bd6e6d6@inbound.aiesec.org")</f>
        <v>p_8a6eb6d30011471487e28e9f0a8bad323bd6e6d6@inbound.aiesec.org</v>
      </c>
      <c r="F295" s="16">
        <f>IFERROR(__xludf.DUMMYFUNCTION("""COMPUTED_VALUE"""),6.10131714E8)</f>
        <v>610131714</v>
      </c>
      <c r="G295" s="16" t="str">
        <f>IFERROR(__xludf.DUMMYFUNCTION("""COMPUTED_VALUE"""),"Morocco")</f>
        <v>Morocco</v>
      </c>
      <c r="H295" s="16" t="str">
        <f>IFERROR(__xludf.DUMMYFUNCTION("""COMPUTED_VALUE"""),"Tetouan")</f>
        <v>Tetouan</v>
      </c>
      <c r="I295" s="16" t="str">
        <f>IFERROR(__xludf.DUMMYFUNCTION("""COMPUTED_VALUE"""),"Turkey")</f>
        <v>Turkey</v>
      </c>
      <c r="J295" s="16" t="str">
        <f>IFERROR(__xludf.DUMMYFUNCTION("""COMPUTED_VALUE"""),"ISTANBUL")</f>
        <v>ISTANBUL</v>
      </c>
      <c r="K295" s="17" t="str">
        <f>IFERROR(__xludf.DUMMYFUNCTION("""COMPUTED_VALUE"""),"https://expa.aiesec.org/opportunities/1289378")</f>
        <v>https://expa.aiesec.org/opportunities/1289378</v>
      </c>
      <c r="L295" s="16" t="str">
        <f>IFERROR(__xludf.DUMMYFUNCTION("""COMPUTED_VALUE"""),"GTa")</f>
        <v>GTa</v>
      </c>
      <c r="M295" s="16" t="str">
        <f>IFERROR(__xludf.DUMMYFUNCTION("""COMPUTED_VALUE"""),"long")</f>
        <v>long</v>
      </c>
      <c r="N295" s="18">
        <f>IFERROR(__xludf.DUMMYFUNCTION("""COMPUTED_VALUE"""),45154.0)</f>
        <v>45154</v>
      </c>
      <c r="O295" s="18">
        <f>IFERROR(__xludf.DUMMYFUNCTION("""COMPUTED_VALUE"""),45173.0)</f>
        <v>45173</v>
      </c>
      <c r="P295" s="18">
        <f>IFERROR(__xludf.DUMMYFUNCTION("""COMPUTED_VALUE"""),45674.0)</f>
        <v>45674</v>
      </c>
      <c r="Q295" s="18">
        <f>IFERROR(__xludf.DUMMYFUNCTION("""COMPUTED_VALUE"""),45232.0)</f>
        <v>45232</v>
      </c>
      <c r="R295" s="18">
        <f>IFERROR(__xludf.DUMMYFUNCTION("""COMPUTED_VALUE"""),45733.0)</f>
        <v>45733</v>
      </c>
      <c r="S295" s="16"/>
      <c r="T295" s="16" t="str">
        <f>IFERROR(__xludf.DUMMYFUNCTION("""COMPUTED_VALUE"""),"Business Administration")</f>
        <v>Business Administration</v>
      </c>
      <c r="U295" s="16" t="str">
        <f>IFERROR(__xludf.DUMMYFUNCTION("""COMPUTED_VALUE"""),"Telesales Specialist in Istanbul (Spanish Speaker)")</f>
        <v>Telesales Specialist in Istanbul (Spanish Speaker)</v>
      </c>
      <c r="V295" s="16" t="str">
        <f>IFERROR(__xludf.DUMMYFUNCTION("""COMPUTED_VALUE"""),"Other-TETOUAN")</f>
        <v>Other-TETOUAN</v>
      </c>
      <c r="W295" s="16" t="str">
        <f>IFERROR(__xludf.DUMMYFUNCTION("""COMPUTED_VALUE"""),"2023-08-14T09:25:37Z")</f>
        <v>2023-08-14T09:25:37Z</v>
      </c>
      <c r="X295" s="16"/>
      <c r="Y295" s="16"/>
      <c r="Z295" s="16"/>
    </row>
    <row r="296">
      <c r="A296" s="16" t="str">
        <f>IFERROR(__xludf.DUMMYFUNCTION("""COMPUTED_VALUE"""),"5249580_1295120")</f>
        <v>5249580_1295120</v>
      </c>
      <c r="B296" s="16" t="str">
        <f>IFERROR(__xludf.DUMMYFUNCTION("""COMPUTED_VALUE"""),"Eyyüp Ekinbaş")</f>
        <v>Eyyüp Ekinbaş</v>
      </c>
      <c r="C296" s="16" t="str">
        <f>IFERROR(__xludf.DUMMYFUNCTION("""COMPUTED_VALUE"""),"approved")</f>
        <v>approved</v>
      </c>
      <c r="D296" s="16" t="str">
        <f>IFERROR(__xludf.DUMMYFUNCTION("""COMPUTED_VALUE"""),"No")</f>
        <v>No</v>
      </c>
      <c r="E296" s="16" t="str">
        <f>IFERROR(__xludf.DUMMYFUNCTION("""COMPUTED_VALUE"""),"p_df9ce2091151b7f7f08d77c40bf07bac2b0ee27c@inbound.aiesec.org")</f>
        <v>p_df9ce2091151b7f7f08d77c40bf07bac2b0ee27c@inbound.aiesec.org</v>
      </c>
      <c r="F296" s="16">
        <f>IFERROR(__xludf.DUMMYFUNCTION("""COMPUTED_VALUE"""),5.388870459E9)</f>
        <v>5388870459</v>
      </c>
      <c r="G296" s="16" t="str">
        <f>IFERROR(__xludf.DUMMYFUNCTION("""COMPUTED_VALUE"""),"Turkey")</f>
        <v>Turkey</v>
      </c>
      <c r="H296" s="16" t="str">
        <f>IFERROR(__xludf.DUMMYFUNCTION("""COMPUTED_VALUE"""),"ISTANBUL")</f>
        <v>ISTANBUL</v>
      </c>
      <c r="I296" s="16" t="str">
        <f>IFERROR(__xludf.DUMMYFUNCTION("""COMPUTED_VALUE"""),"Romania")</f>
        <v>Romania</v>
      </c>
      <c r="J296" s="16" t="str">
        <f>IFERROR(__xludf.DUMMYFUNCTION("""COMPUTED_VALUE"""),"BUCURESTI")</f>
        <v>BUCURESTI</v>
      </c>
      <c r="K296" s="17" t="str">
        <f>IFERROR(__xludf.DUMMYFUNCTION("""COMPUTED_VALUE"""),"https://expa.aiesec.org/opportunities/1295120")</f>
        <v>https://expa.aiesec.org/opportunities/1295120</v>
      </c>
      <c r="L296" s="16" t="str">
        <f>IFERROR(__xludf.DUMMYFUNCTION("""COMPUTED_VALUE"""),"GV")</f>
        <v>GV</v>
      </c>
      <c r="M296" s="16" t="str">
        <f>IFERROR(__xludf.DUMMYFUNCTION("""COMPUTED_VALUE"""),"short")</f>
        <v>short</v>
      </c>
      <c r="N296" s="18">
        <f>IFERROR(__xludf.DUMMYFUNCTION("""COMPUTED_VALUE"""),45161.0)</f>
        <v>45161</v>
      </c>
      <c r="O296" s="18">
        <f>IFERROR(__xludf.DUMMYFUNCTION("""COMPUTED_VALUE"""),45208.0)</f>
        <v>45208</v>
      </c>
      <c r="P296" s="18">
        <f>IFERROR(__xludf.DUMMYFUNCTION("""COMPUTED_VALUE"""),45250.0)</f>
        <v>45250</v>
      </c>
      <c r="Q296" s="18"/>
      <c r="R296" s="18"/>
      <c r="S296" s="16"/>
      <c r="T296" s="16"/>
      <c r="U296" s="16" t="str">
        <f>IFERROR(__xludf.DUMMYFUNCTION("""COMPUTED_VALUE"""),"Green Leaders")</f>
        <v>Green Leaders</v>
      </c>
      <c r="V296" s="16" t="str">
        <f>IFERROR(__xludf.DUMMYFUNCTION("""COMPUTED_VALUE"""),"KAYSERI")</f>
        <v>KAYSERI</v>
      </c>
      <c r="W296" s="16" t="str">
        <f>IFERROR(__xludf.DUMMYFUNCTION("""COMPUTED_VALUE"""),"2023-04-26T06:44:27Z")</f>
        <v>2023-04-26T06:44:27Z</v>
      </c>
      <c r="X296" s="16"/>
      <c r="Y296" s="16"/>
      <c r="Z296" s="16"/>
    </row>
    <row r="297">
      <c r="A297" s="16" t="str">
        <f>IFERROR(__xludf.DUMMYFUNCTION("""COMPUTED_VALUE"""),"5306929_1289536")</f>
        <v>5306929_1289536</v>
      </c>
      <c r="B297" s="16" t="str">
        <f>IFERROR(__xludf.DUMMYFUNCTION("""COMPUTED_VALUE"""),"Bipasha Ghosh Roy")</f>
        <v>Bipasha Ghosh Roy</v>
      </c>
      <c r="C297" s="16" t="str">
        <f>IFERROR(__xludf.DUMMYFUNCTION("""COMPUTED_VALUE"""),"approved")</f>
        <v>approved</v>
      </c>
      <c r="D297" s="16" t="str">
        <f>IFERROR(__xludf.DUMMYFUNCTION("""COMPUTED_VALUE"""),"No")</f>
        <v>No</v>
      </c>
      <c r="E297" s="16" t="str">
        <f>IFERROR(__xludf.DUMMYFUNCTION("""COMPUTED_VALUE"""),"p_cb305e69cb84d1c7da58f6453c61d2b10c788fc4@inbound.aiesec.org")</f>
        <v>p_cb305e69cb84d1c7da58f6453c61d2b10c788fc4@inbound.aiesec.org</v>
      </c>
      <c r="F297" s="16"/>
      <c r="G297" s="16" t="str">
        <f>IFERROR(__xludf.DUMMYFUNCTION("""COMPUTED_VALUE"""),"India")</f>
        <v>India</v>
      </c>
      <c r="H297" s="16" t="str">
        <f>IFERROR(__xludf.DUMMYFUNCTION("""COMPUTED_VALUE"""),"Bengaluru")</f>
        <v>Bengaluru</v>
      </c>
      <c r="I297" s="16" t="str">
        <f>IFERROR(__xludf.DUMMYFUNCTION("""COMPUTED_VALUE"""),"Turkey")</f>
        <v>Turkey</v>
      </c>
      <c r="J297" s="16" t="str">
        <f>IFERROR(__xludf.DUMMYFUNCTION("""COMPUTED_VALUE"""),"ISTANBUL")</f>
        <v>ISTANBUL</v>
      </c>
      <c r="K297" s="17" t="str">
        <f>IFERROR(__xludf.DUMMYFUNCTION("""COMPUTED_VALUE"""),"https://expa.aiesec.org/opportunities/1289536")</f>
        <v>https://expa.aiesec.org/opportunities/1289536</v>
      </c>
      <c r="L297" s="16" t="str">
        <f>IFERROR(__xludf.DUMMYFUNCTION("""COMPUTED_VALUE"""),"GV")</f>
        <v>GV</v>
      </c>
      <c r="M297" s="16" t="str">
        <f>IFERROR(__xludf.DUMMYFUNCTION("""COMPUTED_VALUE"""),"short")</f>
        <v>short</v>
      </c>
      <c r="N297" s="18">
        <f>IFERROR(__xludf.DUMMYFUNCTION("""COMPUTED_VALUE"""),45165.0)</f>
        <v>45165</v>
      </c>
      <c r="O297" s="18">
        <f>IFERROR(__xludf.DUMMYFUNCTION("""COMPUTED_VALUE"""),45263.0)</f>
        <v>45263</v>
      </c>
      <c r="P297" s="18">
        <f>IFERROR(__xludf.DUMMYFUNCTION("""COMPUTED_VALUE"""),45305.0)</f>
        <v>45305</v>
      </c>
      <c r="Q297" s="18"/>
      <c r="R297" s="18"/>
      <c r="S297" s="16"/>
      <c r="T297" s="16"/>
      <c r="U297" s="16" t="str">
        <f>IFERROR(__xludf.DUMMYFUNCTION("""COMPUTED_VALUE"""),"Global Classroom")</f>
        <v>Global Classroom</v>
      </c>
      <c r="V297" s="16" t="str">
        <f>IFERROR(__xludf.DUMMYFUNCTION("""COMPUTED_VALUE"""),"-")</f>
        <v>-</v>
      </c>
      <c r="W297" s="16" t="str">
        <f>IFERROR(__xludf.DUMMYFUNCTION("""COMPUTED_VALUE"""),"2023-08-22T06:37:36Z")</f>
        <v>2023-08-22T06:37:36Z</v>
      </c>
      <c r="X297" s="16"/>
      <c r="Y297" s="16"/>
      <c r="Z297" s="16"/>
    </row>
    <row r="298">
      <c r="A298" s="16" t="str">
        <f>IFERROR(__xludf.DUMMYFUNCTION("""COMPUTED_VALUE"""),"5309061_1289536")</f>
        <v>5309061_1289536</v>
      </c>
      <c r="B298" s="16" t="str">
        <f>IFERROR(__xludf.DUMMYFUNCTION("""COMPUTED_VALUE"""),"Shaurya Anand")</f>
        <v>Shaurya Anand</v>
      </c>
      <c r="C298" s="16" t="str">
        <f>IFERROR(__xludf.DUMMYFUNCTION("""COMPUTED_VALUE"""),"finished")</f>
        <v>finished</v>
      </c>
      <c r="D298" s="16" t="str">
        <f>IFERROR(__xludf.DUMMYFUNCTION("""COMPUTED_VALUE"""),"No")</f>
        <v>No</v>
      </c>
      <c r="E298" s="16" t="str">
        <f>IFERROR(__xludf.DUMMYFUNCTION("""COMPUTED_VALUE"""),"p_0e3a8359656565afaa055efe9b516ee4db42334e@inbound.aiesec.org")</f>
        <v>p_0e3a8359656565afaa055efe9b516ee4db42334e@inbound.aiesec.org</v>
      </c>
      <c r="F298" s="16">
        <f>IFERROR(__xludf.DUMMYFUNCTION("""COMPUTED_VALUE"""),7.739882194E9)</f>
        <v>7739882194</v>
      </c>
      <c r="G298" s="16" t="str">
        <f>IFERROR(__xludf.DUMMYFUNCTION("""COMPUTED_VALUE"""),"India")</f>
        <v>India</v>
      </c>
      <c r="H298" s="16" t="str">
        <f>IFERROR(__xludf.DUMMYFUNCTION("""COMPUTED_VALUE"""),"Bengaluru")</f>
        <v>Bengaluru</v>
      </c>
      <c r="I298" s="16" t="str">
        <f>IFERROR(__xludf.DUMMYFUNCTION("""COMPUTED_VALUE"""),"Turkey")</f>
        <v>Turkey</v>
      </c>
      <c r="J298" s="16" t="str">
        <f>IFERROR(__xludf.DUMMYFUNCTION("""COMPUTED_VALUE"""),"ISTANBUL")</f>
        <v>ISTANBUL</v>
      </c>
      <c r="K298" s="17" t="str">
        <f>IFERROR(__xludf.DUMMYFUNCTION("""COMPUTED_VALUE"""),"https://expa.aiesec.org/opportunities/1289536")</f>
        <v>https://expa.aiesec.org/opportunities/1289536</v>
      </c>
      <c r="L298" s="16" t="str">
        <f>IFERROR(__xludf.DUMMYFUNCTION("""COMPUTED_VALUE"""),"GV")</f>
        <v>GV</v>
      </c>
      <c r="M298" s="16" t="str">
        <f>IFERROR(__xludf.DUMMYFUNCTION("""COMPUTED_VALUE"""),"short")</f>
        <v>short</v>
      </c>
      <c r="N298" s="18">
        <f>IFERROR(__xludf.DUMMYFUNCTION("""COMPUTED_VALUE"""),45165.0)</f>
        <v>45165</v>
      </c>
      <c r="O298" s="18">
        <f>IFERROR(__xludf.DUMMYFUNCTION("""COMPUTED_VALUE"""),45263.0)</f>
        <v>45263</v>
      </c>
      <c r="P298" s="18">
        <f>IFERROR(__xludf.DUMMYFUNCTION("""COMPUTED_VALUE"""),45305.0)</f>
        <v>45305</v>
      </c>
      <c r="Q298" s="18">
        <f>IFERROR(__xludf.DUMMYFUNCTION("""COMPUTED_VALUE"""),45278.0)</f>
        <v>45278</v>
      </c>
      <c r="R298" s="18">
        <f>IFERROR(__xludf.DUMMYFUNCTION("""COMPUTED_VALUE"""),45318.0)</f>
        <v>45318</v>
      </c>
      <c r="S298" s="16"/>
      <c r="T298" s="16"/>
      <c r="U298" s="16" t="str">
        <f>IFERROR(__xludf.DUMMYFUNCTION("""COMPUTED_VALUE"""),"Global Classroom")</f>
        <v>Global Classroom</v>
      </c>
      <c r="V298" s="16" t="str">
        <f>IFERROR(__xludf.DUMMYFUNCTION("""COMPUTED_VALUE"""),"Bangalore University")</f>
        <v>Bangalore University</v>
      </c>
      <c r="W298" s="16" t="str">
        <f>IFERROR(__xludf.DUMMYFUNCTION("""COMPUTED_VALUE"""),"2023-08-25T05:48:56Z")</f>
        <v>2023-08-25T05:48:56Z</v>
      </c>
      <c r="X298" s="16"/>
      <c r="Y298" s="16"/>
      <c r="Z298" s="16"/>
    </row>
    <row r="299">
      <c r="A299" s="16" t="str">
        <f>IFERROR(__xludf.DUMMYFUNCTION("""COMPUTED_VALUE"""),"5303658_1291783")</f>
        <v>5303658_1291783</v>
      </c>
      <c r="B299" s="16" t="str">
        <f>IFERROR(__xludf.DUMMYFUNCTION("""COMPUTED_VALUE"""),"SALAH AGURICH")</f>
        <v>SALAH AGURICH</v>
      </c>
      <c r="C299" s="16" t="str">
        <f>IFERROR(__xludf.DUMMYFUNCTION("""COMPUTED_VALUE"""),"approved")</f>
        <v>approved</v>
      </c>
      <c r="D299" s="16" t="str">
        <f>IFERROR(__xludf.DUMMYFUNCTION("""COMPUTED_VALUE"""),"No")</f>
        <v>No</v>
      </c>
      <c r="E299" s="16" t="str">
        <f>IFERROR(__xludf.DUMMYFUNCTION("""COMPUTED_VALUE"""),"p_90775baa2fa13979ff0484a00fb9182e7c114578@inbound.aiesec.org")</f>
        <v>p_90775baa2fa13979ff0484a00fb9182e7c114578@inbound.aiesec.org</v>
      </c>
      <c r="F299" s="16"/>
      <c r="G299" s="16" t="str">
        <f>IFERROR(__xludf.DUMMYFUNCTION("""COMPUTED_VALUE"""),"Morocco")</f>
        <v>Morocco</v>
      </c>
      <c r="H299" s="16" t="str">
        <f>IFERROR(__xludf.DUMMYFUNCTION("""COMPUTED_VALUE"""),"Casablanca")</f>
        <v>Casablanca</v>
      </c>
      <c r="I299" s="16" t="str">
        <f>IFERROR(__xludf.DUMMYFUNCTION("""COMPUTED_VALUE"""),"Turkey")</f>
        <v>Turkey</v>
      </c>
      <c r="J299" s="16" t="str">
        <f>IFERROR(__xludf.DUMMYFUNCTION("""COMPUTED_VALUE"""),"ISTANBUL")</f>
        <v>ISTANBUL</v>
      </c>
      <c r="K299" s="17" t="str">
        <f>IFERROR(__xludf.DUMMYFUNCTION("""COMPUTED_VALUE"""),"https://expa.aiesec.org/opportunities/1291783")</f>
        <v>https://expa.aiesec.org/opportunities/1291783</v>
      </c>
      <c r="L299" s="16" t="str">
        <f>IFERROR(__xludf.DUMMYFUNCTION("""COMPUTED_VALUE"""),"GTa")</f>
        <v>GTa</v>
      </c>
      <c r="M299" s="16" t="str">
        <f>IFERROR(__xludf.DUMMYFUNCTION("""COMPUTED_VALUE"""),"long")</f>
        <v>long</v>
      </c>
      <c r="N299" s="18">
        <f>IFERROR(__xludf.DUMMYFUNCTION("""COMPUTED_VALUE"""),45169.0)</f>
        <v>45169</v>
      </c>
      <c r="O299" s="18">
        <f>IFERROR(__xludf.DUMMYFUNCTION("""COMPUTED_VALUE"""),45180.0)</f>
        <v>45180</v>
      </c>
      <c r="P299" s="18">
        <f>IFERROR(__xludf.DUMMYFUNCTION("""COMPUTED_VALUE"""),45548.0)</f>
        <v>45548</v>
      </c>
      <c r="Q299" s="18"/>
      <c r="R299" s="18"/>
      <c r="S299" s="16"/>
      <c r="T299" s="16" t="str">
        <f>IFERROR(__xludf.DUMMYFUNCTION("""COMPUTED_VALUE"""),"Business Administration")</f>
        <v>Business Administration</v>
      </c>
      <c r="U299" s="16" t="str">
        <f>IFERROR(__xludf.DUMMYFUNCTION("""COMPUTED_VALUE"""),"Telesales Internship in Istanbul")</f>
        <v>Telesales Internship in Istanbul</v>
      </c>
      <c r="V299" s="16" t="str">
        <f>IFERROR(__xludf.DUMMYFUNCTION("""COMPUTED_VALUE"""),"-")</f>
        <v>-</v>
      </c>
      <c r="W299" s="16" t="str">
        <f>IFERROR(__xludf.DUMMYFUNCTION("""COMPUTED_VALUE"""),"2023-08-16T14:29:27Z")</f>
        <v>2023-08-16T14:29:27Z</v>
      </c>
      <c r="X299" s="16"/>
      <c r="Y299" s="16"/>
      <c r="Z299" s="16"/>
    </row>
    <row r="300">
      <c r="A300" s="16" t="str">
        <f>IFERROR(__xludf.DUMMYFUNCTION("""COMPUTED_VALUE"""),"5232011_1295081")</f>
        <v>5232011_1295081</v>
      </c>
      <c r="B300" s="16" t="str">
        <f>IFERROR(__xludf.DUMMYFUNCTION("""COMPUTED_VALUE"""),"Busra Nesliturk")</f>
        <v>Busra Nesliturk</v>
      </c>
      <c r="C300" s="16" t="str">
        <f>IFERROR(__xludf.DUMMYFUNCTION("""COMPUTED_VALUE"""),"completed")</f>
        <v>completed</v>
      </c>
      <c r="D300" s="16" t="str">
        <f>IFERROR(__xludf.DUMMYFUNCTION("""COMPUTED_VALUE"""),"No")</f>
        <v>No</v>
      </c>
      <c r="E300" s="16" t="str">
        <f>IFERROR(__xludf.DUMMYFUNCTION("""COMPUTED_VALUE"""),"p_2bb40f6a95c5566e773181e7825c4d38ac03425a@inbound.aiesec.org")</f>
        <v>p_2bb40f6a95c5566e773181e7825c4d38ac03425a@inbound.aiesec.org</v>
      </c>
      <c r="F300" s="16"/>
      <c r="G300" s="16" t="str">
        <f>IFERROR(__xludf.DUMMYFUNCTION("""COMPUTED_VALUE"""),"Turkey")</f>
        <v>Turkey</v>
      </c>
      <c r="H300" s="16" t="str">
        <f>IFERROR(__xludf.DUMMYFUNCTION("""COMPUTED_VALUE"""),"ISTANBUL")</f>
        <v>ISTANBUL</v>
      </c>
      <c r="I300" s="16" t="str">
        <f>IFERROR(__xludf.DUMMYFUNCTION("""COMPUTED_VALUE"""),"Sri Lanka")</f>
        <v>Sri Lanka</v>
      </c>
      <c r="J300" s="16" t="str">
        <f>IFERROR(__xludf.DUMMYFUNCTION("""COMPUTED_VALUE"""),"COLOMBO CENTRAL")</f>
        <v>COLOMBO CENTRAL</v>
      </c>
      <c r="K300" s="17" t="str">
        <f>IFERROR(__xludf.DUMMYFUNCTION("""COMPUTED_VALUE"""),"https://expa.aiesec.org/opportunities/1295081")</f>
        <v>https://expa.aiesec.org/opportunities/1295081</v>
      </c>
      <c r="L300" s="16" t="str">
        <f>IFERROR(__xludf.DUMMYFUNCTION("""COMPUTED_VALUE"""),"GV")</f>
        <v>GV</v>
      </c>
      <c r="M300" s="16" t="str">
        <f>IFERROR(__xludf.DUMMYFUNCTION("""COMPUTED_VALUE"""),"short")</f>
        <v>short</v>
      </c>
      <c r="N300" s="18">
        <f>IFERROR(__xludf.DUMMYFUNCTION("""COMPUTED_VALUE"""),45175.0)</f>
        <v>45175</v>
      </c>
      <c r="O300" s="18">
        <f>IFERROR(__xludf.DUMMYFUNCTION("""COMPUTED_VALUE"""),45187.0)</f>
        <v>45187</v>
      </c>
      <c r="P300" s="18">
        <f>IFERROR(__xludf.DUMMYFUNCTION("""COMPUTED_VALUE"""),45229.0)</f>
        <v>45229</v>
      </c>
      <c r="Q300" s="18">
        <f>IFERROR(__xludf.DUMMYFUNCTION("""COMPUTED_VALUE"""),45185.0)</f>
        <v>45185</v>
      </c>
      <c r="R300" s="18">
        <f>IFERROR(__xludf.DUMMYFUNCTION("""COMPUTED_VALUE"""),45229.0)</f>
        <v>45229</v>
      </c>
      <c r="S300" s="16"/>
      <c r="T300" s="16"/>
      <c r="U300" s="16" t="str">
        <f>IFERROR(__xludf.DUMMYFUNCTION("""COMPUTED_VALUE"""),"Raise Your Voice")</f>
        <v>Raise Your Voice</v>
      </c>
      <c r="V300" s="16" t="str">
        <f>IFERROR(__xludf.DUMMYFUNCTION("""COMPUTED_VALUE"""),"-")</f>
        <v>-</v>
      </c>
      <c r="W300" s="16" t="str">
        <f>IFERROR(__xludf.DUMMYFUNCTION("""COMPUTED_VALUE"""),"2023-03-31T12:39:04Z")</f>
        <v>2023-03-31T12:39:04Z</v>
      </c>
      <c r="X300" s="16"/>
      <c r="Y300" s="16"/>
      <c r="Z300" s="16"/>
    </row>
    <row r="301">
      <c r="A301" s="16" t="str">
        <f>IFERROR(__xludf.DUMMYFUNCTION("""COMPUTED_VALUE"""),"5275903_1289378")</f>
        <v>5275903_1289378</v>
      </c>
      <c r="B301" s="16" t="str">
        <f>IFERROR(__xludf.DUMMYFUNCTION("""COMPUTED_VALUE"""),"Alvaro Guardo Rincon")</f>
        <v>Alvaro Guardo Rincon</v>
      </c>
      <c r="C301" s="16" t="str">
        <f>IFERROR(__xludf.DUMMYFUNCTION("""COMPUTED_VALUE"""),"realized")</f>
        <v>realized</v>
      </c>
      <c r="D301" s="16" t="str">
        <f>IFERROR(__xludf.DUMMYFUNCTION("""COMPUTED_VALUE"""),"No")</f>
        <v>No</v>
      </c>
      <c r="E301" s="16" t="str">
        <f>IFERROR(__xludf.DUMMYFUNCTION("""COMPUTED_VALUE"""),"p_1c2272c70264418e5fc94014373db2b2c1fc8a32@inbound.aiesec.org")</f>
        <v>p_1c2272c70264418e5fc94014373db2b2c1fc8a32@inbound.aiesec.org</v>
      </c>
      <c r="F301" s="16">
        <f>IFERROR(__xludf.DUMMYFUNCTION("""COMPUTED_VALUE"""),3.017060863E9)</f>
        <v>3017060863</v>
      </c>
      <c r="G301" s="16" t="str">
        <f>IFERROR(__xludf.DUMMYFUNCTION("""COMPUTED_VALUE"""),"Colombia")</f>
        <v>Colombia</v>
      </c>
      <c r="H301" s="16" t="str">
        <f>IFERROR(__xludf.DUMMYFUNCTION("""COMPUTED_VALUE"""),"UPB")</f>
        <v>UPB</v>
      </c>
      <c r="I301" s="16" t="str">
        <f>IFERROR(__xludf.DUMMYFUNCTION("""COMPUTED_VALUE"""),"Turkey")</f>
        <v>Turkey</v>
      </c>
      <c r="J301" s="16" t="str">
        <f>IFERROR(__xludf.DUMMYFUNCTION("""COMPUTED_VALUE"""),"ISTANBUL")</f>
        <v>ISTANBUL</v>
      </c>
      <c r="K301" s="17" t="str">
        <f>IFERROR(__xludf.DUMMYFUNCTION("""COMPUTED_VALUE"""),"https://expa.aiesec.org/opportunities/1289378")</f>
        <v>https://expa.aiesec.org/opportunities/1289378</v>
      </c>
      <c r="L301" s="16" t="str">
        <f>IFERROR(__xludf.DUMMYFUNCTION("""COMPUTED_VALUE"""),"GTa")</f>
        <v>GTa</v>
      </c>
      <c r="M301" s="16" t="str">
        <f>IFERROR(__xludf.DUMMYFUNCTION("""COMPUTED_VALUE"""),"long")</f>
        <v>long</v>
      </c>
      <c r="N301" s="18">
        <f>IFERROR(__xludf.DUMMYFUNCTION("""COMPUTED_VALUE"""),45178.0)</f>
        <v>45178</v>
      </c>
      <c r="O301" s="18">
        <f>IFERROR(__xludf.DUMMYFUNCTION("""COMPUTED_VALUE"""),45201.0)</f>
        <v>45201</v>
      </c>
      <c r="P301" s="18">
        <f>IFERROR(__xludf.DUMMYFUNCTION("""COMPUTED_VALUE"""),45702.0)</f>
        <v>45702</v>
      </c>
      <c r="Q301" s="18">
        <f>IFERROR(__xludf.DUMMYFUNCTION("""COMPUTED_VALUE"""),45219.0)</f>
        <v>45219</v>
      </c>
      <c r="R301" s="18">
        <f>IFERROR(__xludf.DUMMYFUNCTION("""COMPUTED_VALUE"""),45720.0)</f>
        <v>45720</v>
      </c>
      <c r="S301" s="16"/>
      <c r="T301" s="16" t="str">
        <f>IFERROR(__xludf.DUMMYFUNCTION("""COMPUTED_VALUE"""),"Business Administration")</f>
        <v>Business Administration</v>
      </c>
      <c r="U301" s="16" t="str">
        <f>IFERROR(__xludf.DUMMYFUNCTION("""COMPUTED_VALUE"""),"Telesales Specialist in Istanbul (Spanish Speaker)")</f>
        <v>Telesales Specialist in Istanbul (Spanish Speaker)</v>
      </c>
      <c r="V301" s="16" t="str">
        <f>IFERROR(__xludf.DUMMYFUNCTION("""COMPUTED_VALUE"""),"-")</f>
        <v>-</v>
      </c>
      <c r="W301" s="16" t="str">
        <f>IFERROR(__xludf.DUMMYFUNCTION("""COMPUTED_VALUE"""),"2023-06-16T05:57:41Z")</f>
        <v>2023-06-16T05:57:41Z</v>
      </c>
      <c r="X301" s="16"/>
      <c r="Y301" s="16"/>
      <c r="Z301" s="16"/>
    </row>
    <row r="302">
      <c r="A302" s="16" t="str">
        <f>IFERROR(__xludf.DUMMYFUNCTION("""COMPUTED_VALUE"""),"5314070_1289536")</f>
        <v>5314070_1289536</v>
      </c>
      <c r="B302" s="16" t="str">
        <f>IFERROR(__xludf.DUMMYFUNCTION("""COMPUTED_VALUE"""),"Tomás Almeida")</f>
        <v>Tomás Almeida</v>
      </c>
      <c r="C302" s="16" t="str">
        <f>IFERROR(__xludf.DUMMYFUNCTION("""COMPUTED_VALUE"""),"finished")</f>
        <v>finished</v>
      </c>
      <c r="D302" s="16" t="str">
        <f>IFERROR(__xludf.DUMMYFUNCTION("""COMPUTED_VALUE"""),"No")</f>
        <v>No</v>
      </c>
      <c r="E302" s="16" t="str">
        <f>IFERROR(__xludf.DUMMYFUNCTION("""COMPUTED_VALUE"""),"p_f28cd736b22f2ade8fa738fc3ae8425467cd0c33@inbound.aiesec.org")</f>
        <v>p_f28cd736b22f2ade8fa738fc3ae8425467cd0c33@inbound.aiesec.org</v>
      </c>
      <c r="F302" s="16">
        <f>IFERROR(__xludf.DUMMYFUNCTION("""COMPUTED_VALUE"""),9.38645123E8)</f>
        <v>938645123</v>
      </c>
      <c r="G302" s="16" t="str">
        <f>IFERROR(__xludf.DUMMYFUNCTION("""COMPUTED_VALUE"""),"Portugal")</f>
        <v>Portugal</v>
      </c>
      <c r="H302" s="16" t="str">
        <f>IFERROR(__xludf.DUMMYFUNCTION("""COMPUTED_VALUE"""),"PORTO FEP")</f>
        <v>PORTO FEP</v>
      </c>
      <c r="I302" s="16" t="str">
        <f>IFERROR(__xludf.DUMMYFUNCTION("""COMPUTED_VALUE"""),"Turkey")</f>
        <v>Turkey</v>
      </c>
      <c r="J302" s="16" t="str">
        <f>IFERROR(__xludf.DUMMYFUNCTION("""COMPUTED_VALUE"""),"ISTANBUL")</f>
        <v>ISTANBUL</v>
      </c>
      <c r="K302" s="17" t="str">
        <f>IFERROR(__xludf.DUMMYFUNCTION("""COMPUTED_VALUE"""),"https://expa.aiesec.org/opportunities/1289536")</f>
        <v>https://expa.aiesec.org/opportunities/1289536</v>
      </c>
      <c r="L302" s="16" t="str">
        <f>IFERROR(__xludf.DUMMYFUNCTION("""COMPUTED_VALUE"""),"GV")</f>
        <v>GV</v>
      </c>
      <c r="M302" s="16" t="str">
        <f>IFERROR(__xludf.DUMMYFUNCTION("""COMPUTED_VALUE"""),"short")</f>
        <v>short</v>
      </c>
      <c r="N302" s="18">
        <f>IFERROR(__xludf.DUMMYFUNCTION("""COMPUTED_VALUE"""),45178.0)</f>
        <v>45178</v>
      </c>
      <c r="O302" s="18">
        <f>IFERROR(__xludf.DUMMYFUNCTION("""COMPUTED_VALUE"""),45216.0)</f>
        <v>45216</v>
      </c>
      <c r="P302" s="18">
        <f>IFERROR(__xludf.DUMMYFUNCTION("""COMPUTED_VALUE"""),45258.0)</f>
        <v>45258</v>
      </c>
      <c r="Q302" s="18">
        <f>IFERROR(__xludf.DUMMYFUNCTION("""COMPUTED_VALUE"""),45216.0)</f>
        <v>45216</v>
      </c>
      <c r="R302" s="18">
        <f>IFERROR(__xludf.DUMMYFUNCTION("""COMPUTED_VALUE"""),45258.0)</f>
        <v>45258</v>
      </c>
      <c r="S302" s="16"/>
      <c r="T302" s="16"/>
      <c r="U302" s="16" t="str">
        <f>IFERROR(__xludf.DUMMYFUNCTION("""COMPUTED_VALUE"""),"Global Classroom")</f>
        <v>Global Classroom</v>
      </c>
      <c r="V302" s="16" t="str">
        <f>IFERROR(__xludf.DUMMYFUNCTION("""COMPUTED_VALUE"""),"Universidade NOVA de Lisboa - NOVA School of Business and Economics (SBE)")</f>
        <v>Universidade NOVA de Lisboa - NOVA School of Business and Economics (SBE)</v>
      </c>
      <c r="W302" s="16" t="str">
        <f>IFERROR(__xludf.DUMMYFUNCTION("""COMPUTED_VALUE"""),"2023-08-31T00:07:33Z")</f>
        <v>2023-08-31T00:07:33Z</v>
      </c>
      <c r="X302" s="16"/>
      <c r="Y302" s="16"/>
      <c r="Z302" s="16"/>
    </row>
    <row r="303">
      <c r="A303" s="16" t="str">
        <f>IFERROR(__xludf.DUMMYFUNCTION("""COMPUTED_VALUE"""),"5309605_1298373")</f>
        <v>5309605_1298373</v>
      </c>
      <c r="B303" s="16" t="str">
        <f>IFERROR(__xludf.DUMMYFUNCTION("""COMPUTED_VALUE"""),"Eylem Aslan")</f>
        <v>Eylem Aslan</v>
      </c>
      <c r="C303" s="16" t="str">
        <f>IFERROR(__xludf.DUMMYFUNCTION("""COMPUTED_VALUE"""),"finished")</f>
        <v>finished</v>
      </c>
      <c r="D303" s="16" t="str">
        <f>IFERROR(__xludf.DUMMYFUNCTION("""COMPUTED_VALUE"""),"No")</f>
        <v>No</v>
      </c>
      <c r="E303" s="16" t="str">
        <f>IFERROR(__xludf.DUMMYFUNCTION("""COMPUTED_VALUE"""),"p_cd69d041a0f7f437158c9fb52b45a538dad3d119@inbound.aiesec.org")</f>
        <v>p_cd69d041a0f7f437158c9fb52b45a538dad3d119@inbound.aiesec.org</v>
      </c>
      <c r="F303" s="16">
        <f>IFERROR(__xludf.DUMMYFUNCTION("""COMPUTED_VALUE"""),5.467206911E9)</f>
        <v>5467206911</v>
      </c>
      <c r="G303" s="16" t="str">
        <f>IFERROR(__xludf.DUMMYFUNCTION("""COMPUTED_VALUE"""),"Turkey")</f>
        <v>Turkey</v>
      </c>
      <c r="H303" s="16" t="str">
        <f>IFERROR(__xludf.DUMMYFUNCTION("""COMPUTED_VALUE"""),"ISTANBUL")</f>
        <v>ISTANBUL</v>
      </c>
      <c r="I303" s="16" t="str">
        <f>IFERROR(__xludf.DUMMYFUNCTION("""COMPUTED_VALUE"""),"Romania")</f>
        <v>Romania</v>
      </c>
      <c r="J303" s="16" t="str">
        <f>IFERROR(__xludf.DUMMYFUNCTION("""COMPUTED_VALUE"""),"IASI")</f>
        <v>IASI</v>
      </c>
      <c r="K303" s="17" t="str">
        <f>IFERROR(__xludf.DUMMYFUNCTION("""COMPUTED_VALUE"""),"https://expa.aiesec.org/opportunities/1298373")</f>
        <v>https://expa.aiesec.org/opportunities/1298373</v>
      </c>
      <c r="L303" s="16" t="str">
        <f>IFERROR(__xludf.DUMMYFUNCTION("""COMPUTED_VALUE"""),"GV")</f>
        <v>GV</v>
      </c>
      <c r="M303" s="16" t="str">
        <f>IFERROR(__xludf.DUMMYFUNCTION("""COMPUTED_VALUE"""),"short")</f>
        <v>short</v>
      </c>
      <c r="N303" s="18">
        <f>IFERROR(__xludf.DUMMYFUNCTION("""COMPUTED_VALUE"""),45182.0)</f>
        <v>45182</v>
      </c>
      <c r="O303" s="18">
        <f>IFERROR(__xludf.DUMMYFUNCTION("""COMPUTED_VALUE"""),45243.0)</f>
        <v>45243</v>
      </c>
      <c r="P303" s="18">
        <f>IFERROR(__xludf.DUMMYFUNCTION("""COMPUTED_VALUE"""),45285.0)</f>
        <v>45285</v>
      </c>
      <c r="Q303" s="18">
        <f>IFERROR(__xludf.DUMMYFUNCTION("""COMPUTED_VALUE"""),45243.0)</f>
        <v>45243</v>
      </c>
      <c r="R303" s="18">
        <f>IFERROR(__xludf.DUMMYFUNCTION("""COMPUTED_VALUE"""),45285.0)</f>
        <v>45285</v>
      </c>
      <c r="S303" s="16"/>
      <c r="T303" s="16"/>
      <c r="U303" s="16" t="str">
        <f>IFERROR(__xludf.DUMMYFUNCTION("""COMPUTED_VALUE"""),"Eat 4 Change")</f>
        <v>Eat 4 Change</v>
      </c>
      <c r="V303" s="16" t="str">
        <f>IFERROR(__xludf.DUMMYFUNCTION("""COMPUTED_VALUE"""),"ISTANBUL - BEYOGLU")</f>
        <v>ISTANBUL - BEYOGLU</v>
      </c>
      <c r="W303" s="16" t="str">
        <f>IFERROR(__xludf.DUMMYFUNCTION("""COMPUTED_VALUE"""),"2023-08-25T20:20:02Z")</f>
        <v>2023-08-25T20:20:02Z</v>
      </c>
      <c r="X303" s="16"/>
      <c r="Y303" s="16"/>
      <c r="Z303" s="16"/>
    </row>
    <row r="304">
      <c r="A304" s="16" t="str">
        <f>IFERROR(__xludf.DUMMYFUNCTION("""COMPUTED_VALUE"""),"5321040_1285690")</f>
        <v>5321040_1285690</v>
      </c>
      <c r="B304" s="16" t="str">
        <f>IFERROR(__xludf.DUMMYFUNCTION("""COMPUTED_VALUE"""),"Daria Lebid")</f>
        <v>Daria Lebid</v>
      </c>
      <c r="C304" s="16" t="str">
        <f>IFERROR(__xludf.DUMMYFUNCTION("""COMPUTED_VALUE"""),"finished")</f>
        <v>finished</v>
      </c>
      <c r="D304" s="16" t="str">
        <f>IFERROR(__xludf.DUMMYFUNCTION("""COMPUTED_VALUE"""),"No")</f>
        <v>No</v>
      </c>
      <c r="E304" s="16" t="str">
        <f>IFERROR(__xludf.DUMMYFUNCTION("""COMPUTED_VALUE"""),"p_eb32e6adccc3da3f8f48b4fa6a1a0792df5f08d4@inbound.aiesec.org")</f>
        <v>p_eb32e6adccc3da3f8f48b4fa6a1a0792df5f08d4@inbound.aiesec.org</v>
      </c>
      <c r="F304" s="16"/>
      <c r="G304" s="16" t="str">
        <f>IFERROR(__xludf.DUMMYFUNCTION("""COMPUTED_VALUE"""),"Ukraine")</f>
        <v>Ukraine</v>
      </c>
      <c r="H304" s="16" t="str">
        <f>IFERROR(__xludf.DUMMYFUNCTION("""COMPUTED_VALUE"""),"KYIV")</f>
        <v>KYIV</v>
      </c>
      <c r="I304" s="16" t="str">
        <f>IFERROR(__xludf.DUMMYFUNCTION("""COMPUTED_VALUE"""),"Turkey")</f>
        <v>Turkey</v>
      </c>
      <c r="J304" s="16" t="str">
        <f>IFERROR(__xludf.DUMMYFUNCTION("""COMPUTED_VALUE"""),"ISTANBUL")</f>
        <v>ISTANBUL</v>
      </c>
      <c r="K304" s="17" t="str">
        <f>IFERROR(__xludf.DUMMYFUNCTION("""COMPUTED_VALUE"""),"https://expa.aiesec.org/opportunities/1285690")</f>
        <v>https://expa.aiesec.org/opportunities/1285690</v>
      </c>
      <c r="L304" s="16" t="str">
        <f>IFERROR(__xludf.DUMMYFUNCTION("""COMPUTED_VALUE"""),"GV")</f>
        <v>GV</v>
      </c>
      <c r="M304" s="16" t="str">
        <f>IFERROR(__xludf.DUMMYFUNCTION("""COMPUTED_VALUE"""),"short")</f>
        <v>short</v>
      </c>
      <c r="N304" s="18">
        <f>IFERROR(__xludf.DUMMYFUNCTION("""COMPUTED_VALUE"""),45183.0)</f>
        <v>45183</v>
      </c>
      <c r="O304" s="18">
        <f>IFERROR(__xludf.DUMMYFUNCTION("""COMPUTED_VALUE"""),45214.0)</f>
        <v>45214</v>
      </c>
      <c r="P304" s="18">
        <f>IFERROR(__xludf.DUMMYFUNCTION("""COMPUTED_VALUE"""),45256.0)</f>
        <v>45256</v>
      </c>
      <c r="Q304" s="18">
        <f>IFERROR(__xludf.DUMMYFUNCTION("""COMPUTED_VALUE"""),45215.0)</f>
        <v>45215</v>
      </c>
      <c r="R304" s="18">
        <f>IFERROR(__xludf.DUMMYFUNCTION("""COMPUTED_VALUE"""),45256.0)</f>
        <v>45256</v>
      </c>
      <c r="S304" s="16"/>
      <c r="T304" s="16"/>
      <c r="U304" s="16" t="str">
        <f>IFERROR(__xludf.DUMMYFUNCTION("""COMPUTED_VALUE"""),"Global Classroom")</f>
        <v>Global Classroom</v>
      </c>
      <c r="V304" s="16" t="str">
        <f>IFERROR(__xludf.DUMMYFUNCTION("""COMPUTED_VALUE"""),"-")</f>
        <v>-</v>
      </c>
      <c r="W304" s="16" t="str">
        <f>IFERROR(__xludf.DUMMYFUNCTION("""COMPUTED_VALUE"""),"2023-09-10T07:49:00Z")</f>
        <v>2023-09-10T07:49:00Z</v>
      </c>
      <c r="X304" s="16"/>
      <c r="Y304" s="16"/>
      <c r="Z304" s="16"/>
    </row>
    <row r="305">
      <c r="A305" s="16" t="str">
        <f>IFERROR(__xludf.DUMMYFUNCTION("""COMPUTED_VALUE"""),"5323519_1287966")</f>
        <v>5323519_1287966</v>
      </c>
      <c r="B305" s="16" t="str">
        <f>IFERROR(__xludf.DUMMYFUNCTION("""COMPUTED_VALUE"""),"asma yasmine rouis")</f>
        <v>asma yasmine rouis</v>
      </c>
      <c r="C305" s="16" t="str">
        <f>IFERROR(__xludf.DUMMYFUNCTION("""COMPUTED_VALUE"""),"approved")</f>
        <v>approved</v>
      </c>
      <c r="D305" s="16" t="str">
        <f>IFERROR(__xludf.DUMMYFUNCTION("""COMPUTED_VALUE"""),"No")</f>
        <v>No</v>
      </c>
      <c r="E305" s="16" t="str">
        <f>IFERROR(__xludf.DUMMYFUNCTION("""COMPUTED_VALUE"""),"p_2f02f51c42d4501a634edf9893e9e39f41f2905e@inbound.aiesec.org")</f>
        <v>p_2f02f51c42d4501a634edf9893e9e39f41f2905e@inbound.aiesec.org</v>
      </c>
      <c r="F305" s="16">
        <f>IFERROR(__xludf.DUMMYFUNCTION("""COMPUTED_VALUE"""),9.3038874E7)</f>
        <v>93038874</v>
      </c>
      <c r="G305" s="16" t="str">
        <f>IFERROR(__xludf.DUMMYFUNCTION("""COMPUTED_VALUE"""),"Tunisia")</f>
        <v>Tunisia</v>
      </c>
      <c r="H305" s="16" t="str">
        <f>IFERROR(__xludf.DUMMYFUNCTION("""COMPUTED_VALUE"""),"Carthage")</f>
        <v>Carthage</v>
      </c>
      <c r="I305" s="16" t="str">
        <f>IFERROR(__xludf.DUMMYFUNCTION("""COMPUTED_VALUE"""),"Turkey")</f>
        <v>Turkey</v>
      </c>
      <c r="J305" s="16" t="str">
        <f>IFERROR(__xludf.DUMMYFUNCTION("""COMPUTED_VALUE"""),"ISTANBUL")</f>
        <v>ISTANBUL</v>
      </c>
      <c r="K305" s="17" t="str">
        <f>IFERROR(__xludf.DUMMYFUNCTION("""COMPUTED_VALUE"""),"https://expa.aiesec.org/opportunities/1287966")</f>
        <v>https://expa.aiesec.org/opportunities/1287966</v>
      </c>
      <c r="L305" s="16" t="str">
        <f>IFERROR(__xludf.DUMMYFUNCTION("""COMPUTED_VALUE"""),"GV")</f>
        <v>GV</v>
      </c>
      <c r="M305" s="16" t="str">
        <f>IFERROR(__xludf.DUMMYFUNCTION("""COMPUTED_VALUE"""),"short")</f>
        <v>short</v>
      </c>
      <c r="N305" s="18">
        <f>IFERROR(__xludf.DUMMYFUNCTION("""COMPUTED_VALUE"""),45183.0)</f>
        <v>45183</v>
      </c>
      <c r="O305" s="18">
        <f>IFERROR(__xludf.DUMMYFUNCTION("""COMPUTED_VALUE"""),45242.0)</f>
        <v>45242</v>
      </c>
      <c r="P305" s="18">
        <f>IFERROR(__xludf.DUMMYFUNCTION("""COMPUTED_VALUE"""),45284.0)</f>
        <v>45284</v>
      </c>
      <c r="Q305" s="18"/>
      <c r="R305" s="18"/>
      <c r="S305" s="16"/>
      <c r="T305" s="16"/>
      <c r="U305" s="16" t="str">
        <f>IFERROR(__xludf.DUMMYFUNCTION("""COMPUTED_VALUE"""),"Heartbeat")</f>
        <v>Heartbeat</v>
      </c>
      <c r="V305" s="16" t="str">
        <f>IFERROR(__xludf.DUMMYFUNCTION("""COMPUTED_VALUE"""),"IHEC Carthage")</f>
        <v>IHEC Carthage</v>
      </c>
      <c r="W305" s="16" t="str">
        <f>IFERROR(__xludf.DUMMYFUNCTION("""COMPUTED_VALUE"""),"2023-09-13T23:40:54Z")</f>
        <v>2023-09-13T23:40:54Z</v>
      </c>
      <c r="X305" s="16"/>
      <c r="Y305" s="16"/>
      <c r="Z305" s="16"/>
    </row>
    <row r="306">
      <c r="A306" s="16" t="str">
        <f>IFERROR(__xludf.DUMMYFUNCTION("""COMPUTED_VALUE"""),"5299010_1287966")</f>
        <v>5299010_1287966</v>
      </c>
      <c r="B306" s="16" t="str">
        <f>IFERROR(__xludf.DUMMYFUNCTION("""COMPUTED_VALUE"""),"Chidera Nnamani")</f>
        <v>Chidera Nnamani</v>
      </c>
      <c r="C306" s="16" t="str">
        <f>IFERROR(__xludf.DUMMYFUNCTION("""COMPUTED_VALUE"""),"approved")</f>
        <v>approved</v>
      </c>
      <c r="D306" s="16" t="str">
        <f>IFERROR(__xludf.DUMMYFUNCTION("""COMPUTED_VALUE"""),"No")</f>
        <v>No</v>
      </c>
      <c r="E306" s="16" t="str">
        <f>IFERROR(__xludf.DUMMYFUNCTION("""COMPUTED_VALUE"""),"p_856b96757742832352547c956bdcbb2c8176f8b7@inbound.aiesec.org")</f>
        <v>p_856b96757742832352547c956bdcbb2c8176f8b7@inbound.aiesec.org</v>
      </c>
      <c r="F306" s="16">
        <f>IFERROR(__xludf.DUMMYFUNCTION("""COMPUTED_VALUE"""),5.52650843E8)</f>
        <v>552650843</v>
      </c>
      <c r="G306" s="16" t="str">
        <f>IFERROR(__xludf.DUMMYFUNCTION("""COMPUTED_VALUE"""),"United Arab Emirates")</f>
        <v>United Arab Emirates</v>
      </c>
      <c r="H306" s="16" t="str">
        <f>IFERROR(__xludf.DUMMYFUNCTION("""COMPUTED_VALUE"""),"Sharjah")</f>
        <v>Sharjah</v>
      </c>
      <c r="I306" s="16" t="str">
        <f>IFERROR(__xludf.DUMMYFUNCTION("""COMPUTED_VALUE"""),"Turkey")</f>
        <v>Turkey</v>
      </c>
      <c r="J306" s="16" t="str">
        <f>IFERROR(__xludf.DUMMYFUNCTION("""COMPUTED_VALUE"""),"ISTANBUL")</f>
        <v>ISTANBUL</v>
      </c>
      <c r="K306" s="17" t="str">
        <f>IFERROR(__xludf.DUMMYFUNCTION("""COMPUTED_VALUE"""),"https://expa.aiesec.org/opportunities/1287966")</f>
        <v>https://expa.aiesec.org/opportunities/1287966</v>
      </c>
      <c r="L306" s="16" t="str">
        <f>IFERROR(__xludf.DUMMYFUNCTION("""COMPUTED_VALUE"""),"GV")</f>
        <v>GV</v>
      </c>
      <c r="M306" s="16" t="str">
        <f>IFERROR(__xludf.DUMMYFUNCTION("""COMPUTED_VALUE"""),"short")</f>
        <v>short</v>
      </c>
      <c r="N306" s="18">
        <f>IFERROR(__xludf.DUMMYFUNCTION("""COMPUTED_VALUE"""),45186.0)</f>
        <v>45186</v>
      </c>
      <c r="O306" s="18">
        <f>IFERROR(__xludf.DUMMYFUNCTION("""COMPUTED_VALUE"""),45242.0)</f>
        <v>45242</v>
      </c>
      <c r="P306" s="18">
        <f>IFERROR(__xludf.DUMMYFUNCTION("""COMPUTED_VALUE"""),45284.0)</f>
        <v>45284</v>
      </c>
      <c r="Q306" s="18"/>
      <c r="R306" s="18"/>
      <c r="S306" s="16"/>
      <c r="T306" s="16"/>
      <c r="U306" s="16" t="str">
        <f>IFERROR(__xludf.DUMMYFUNCTION("""COMPUTED_VALUE"""),"Heartbeat")</f>
        <v>Heartbeat</v>
      </c>
      <c r="V306" s="16" t="str">
        <f>IFERROR(__xludf.DUMMYFUNCTION("""COMPUTED_VALUE"""),"Abu Dhabi University")</f>
        <v>Abu Dhabi University</v>
      </c>
      <c r="W306" s="16" t="str">
        <f>IFERROR(__xludf.DUMMYFUNCTION("""COMPUTED_VALUE"""),"2023-08-07T15:19:11Z")</f>
        <v>2023-08-07T15:19:11Z</v>
      </c>
      <c r="X306" s="16"/>
      <c r="Y306" s="16"/>
      <c r="Z306" s="16"/>
    </row>
    <row r="307">
      <c r="A307" s="16" t="str">
        <f>IFERROR(__xludf.DUMMYFUNCTION("""COMPUTED_VALUE"""),"5323463_1289255")</f>
        <v>5323463_1289255</v>
      </c>
      <c r="B307" s="16" t="str">
        <f>IFERROR(__xludf.DUMMYFUNCTION("""COMPUTED_VALUE"""),"Nadine ARAB")</f>
        <v>Nadine ARAB</v>
      </c>
      <c r="C307" s="16" t="str">
        <f>IFERROR(__xludf.DUMMYFUNCTION("""COMPUTED_VALUE"""),"realized")</f>
        <v>realized</v>
      </c>
      <c r="D307" s="16" t="str">
        <f>IFERROR(__xludf.DUMMYFUNCTION("""COMPUTED_VALUE"""),"No")</f>
        <v>No</v>
      </c>
      <c r="E307" s="16" t="str">
        <f>IFERROR(__xludf.DUMMYFUNCTION("""COMPUTED_VALUE"""),"p_9d1da592d9c701bd5badd6741ef8e3eeb764a572@inbound.aiesec.org")</f>
        <v>p_9d1da592d9c701bd5badd6741ef8e3eeb764a572@inbound.aiesec.org</v>
      </c>
      <c r="F307" s="16"/>
      <c r="G307" s="16" t="str">
        <f>IFERROR(__xludf.DUMMYFUNCTION("""COMPUTED_VALUE"""),"Algeria")</f>
        <v>Algeria</v>
      </c>
      <c r="H307" s="16" t="str">
        <f>IFERROR(__xludf.DUMMYFUNCTION("""COMPUTED_VALUE"""),"Constantine")</f>
        <v>Constantine</v>
      </c>
      <c r="I307" s="16" t="str">
        <f>IFERROR(__xludf.DUMMYFUNCTION("""COMPUTED_VALUE"""),"Turkey")</f>
        <v>Turkey</v>
      </c>
      <c r="J307" s="16" t="str">
        <f>IFERROR(__xludf.DUMMYFUNCTION("""COMPUTED_VALUE"""),"ISTANBUL")</f>
        <v>ISTANBUL</v>
      </c>
      <c r="K307" s="17" t="str">
        <f>IFERROR(__xludf.DUMMYFUNCTION("""COMPUTED_VALUE"""),"https://expa.aiesec.org/opportunities/1289255")</f>
        <v>https://expa.aiesec.org/opportunities/1289255</v>
      </c>
      <c r="L307" s="16" t="str">
        <f>IFERROR(__xludf.DUMMYFUNCTION("""COMPUTED_VALUE"""),"GTa")</f>
        <v>GTa</v>
      </c>
      <c r="M307" s="16" t="str">
        <f>IFERROR(__xludf.DUMMYFUNCTION("""COMPUTED_VALUE"""),"long")</f>
        <v>long</v>
      </c>
      <c r="N307" s="18">
        <f>IFERROR(__xludf.DUMMYFUNCTION("""COMPUTED_VALUE"""),45187.0)</f>
        <v>45187</v>
      </c>
      <c r="O307" s="18">
        <f>IFERROR(__xludf.DUMMYFUNCTION("""COMPUTED_VALUE"""),45195.0)</f>
        <v>45195</v>
      </c>
      <c r="P307" s="18">
        <f>IFERROR(__xludf.DUMMYFUNCTION("""COMPUTED_VALUE"""),45646.0)</f>
        <v>45646</v>
      </c>
      <c r="Q307" s="18">
        <f>IFERROR(__xludf.DUMMYFUNCTION("""COMPUTED_VALUE"""),45188.0)</f>
        <v>45188</v>
      </c>
      <c r="R307" s="18">
        <f>IFERROR(__xludf.DUMMYFUNCTION("""COMPUTED_VALUE"""),45646.0)</f>
        <v>45646</v>
      </c>
      <c r="S307" s="16"/>
      <c r="T307" s="16" t="str">
        <f>IFERROR(__xludf.DUMMYFUNCTION("""COMPUTED_VALUE"""),"Business Administration")</f>
        <v>Business Administration</v>
      </c>
      <c r="U307" s="16" t="str">
        <f>IFERROR(__xludf.DUMMYFUNCTION("""COMPUTED_VALUE"""),"Telesales Specialist in Istanbul (French Speaker)")</f>
        <v>Telesales Specialist in Istanbul (French Speaker)</v>
      </c>
      <c r="V307" s="16" t="str">
        <f>IFERROR(__xludf.DUMMYFUNCTION("""COMPUTED_VALUE"""),"-")</f>
        <v>-</v>
      </c>
      <c r="W307" s="16" t="str">
        <f>IFERROR(__xludf.DUMMYFUNCTION("""COMPUTED_VALUE"""),"2023-09-13T21:12:13Z")</f>
        <v>2023-09-13T21:12:13Z</v>
      </c>
      <c r="X307" s="16"/>
      <c r="Y307" s="16"/>
      <c r="Z307" s="16"/>
    </row>
    <row r="308">
      <c r="A308" s="16" t="str">
        <f>IFERROR(__xludf.DUMMYFUNCTION("""COMPUTED_VALUE"""),"5324511_1299359")</f>
        <v>5324511_1299359</v>
      </c>
      <c r="B308" s="16" t="str">
        <f>IFERROR(__xludf.DUMMYFUNCTION("""COMPUTED_VALUE"""),"Murat Rüzgar Poyraz")</f>
        <v>Murat Rüzgar Poyraz</v>
      </c>
      <c r="C308" s="16" t="str">
        <f>IFERROR(__xludf.DUMMYFUNCTION("""COMPUTED_VALUE"""),"approved")</f>
        <v>approved</v>
      </c>
      <c r="D308" s="16" t="str">
        <f>IFERROR(__xludf.DUMMYFUNCTION("""COMPUTED_VALUE"""),"No")</f>
        <v>No</v>
      </c>
      <c r="E308" s="16" t="str">
        <f>IFERROR(__xludf.DUMMYFUNCTION("""COMPUTED_VALUE"""),"p_bd4c74e47fbfbe9fe2065ea14c6dcb614601a172@inbound.aiesec.org")</f>
        <v>p_bd4c74e47fbfbe9fe2065ea14c6dcb614601a172@inbound.aiesec.org</v>
      </c>
      <c r="F308" s="16">
        <f>IFERROR(__xludf.DUMMYFUNCTION("""COMPUTED_VALUE"""),5.444986171E9)</f>
        <v>5444986171</v>
      </c>
      <c r="G308" s="16" t="str">
        <f>IFERROR(__xludf.DUMMYFUNCTION("""COMPUTED_VALUE"""),"Turkey")</f>
        <v>Turkey</v>
      </c>
      <c r="H308" s="16" t="str">
        <f>IFERROR(__xludf.DUMMYFUNCTION("""COMPUTED_VALUE"""),"ISTANBUL")</f>
        <v>ISTANBUL</v>
      </c>
      <c r="I308" s="16" t="str">
        <f>IFERROR(__xludf.DUMMYFUNCTION("""COMPUTED_VALUE"""),"Egypt")</f>
        <v>Egypt</v>
      </c>
      <c r="J308" s="16" t="str">
        <f>IFERROR(__xludf.DUMMYFUNCTION("""COMPUTED_VALUE"""),"Ain Shams University")</f>
        <v>Ain Shams University</v>
      </c>
      <c r="K308" s="17" t="str">
        <f>IFERROR(__xludf.DUMMYFUNCTION("""COMPUTED_VALUE"""),"https://expa.aiesec.org/opportunities/1299359")</f>
        <v>https://expa.aiesec.org/opportunities/1299359</v>
      </c>
      <c r="L308" s="16" t="str">
        <f>IFERROR(__xludf.DUMMYFUNCTION("""COMPUTED_VALUE"""),"GV")</f>
        <v>GV</v>
      </c>
      <c r="M308" s="16" t="str">
        <f>IFERROR(__xludf.DUMMYFUNCTION("""COMPUTED_VALUE"""),"short")</f>
        <v>short</v>
      </c>
      <c r="N308" s="18">
        <f>IFERROR(__xludf.DUMMYFUNCTION("""COMPUTED_VALUE"""),45188.0)</f>
        <v>45188</v>
      </c>
      <c r="O308" s="18">
        <f>IFERROR(__xludf.DUMMYFUNCTION("""COMPUTED_VALUE"""),45323.0)</f>
        <v>45323</v>
      </c>
      <c r="P308" s="18">
        <f>IFERROR(__xludf.DUMMYFUNCTION("""COMPUTED_VALUE"""),45365.0)</f>
        <v>45365</v>
      </c>
      <c r="Q308" s="18"/>
      <c r="R308" s="18"/>
      <c r="S308" s="16"/>
      <c r="T308" s="16"/>
      <c r="U308" s="16" t="str">
        <f>IFERROR(__xludf.DUMMYFUNCTION("""COMPUTED_VALUE"""),"Global Classroom")</f>
        <v>Global Classroom</v>
      </c>
      <c r="V308" s="16" t="str">
        <f>IFERROR(__xludf.DUMMYFUNCTION("""COMPUTED_VALUE"""),"ISTANBUL - BEYOGLU")</f>
        <v>ISTANBUL - BEYOGLU</v>
      </c>
      <c r="W308" s="16" t="str">
        <f>IFERROR(__xludf.DUMMYFUNCTION("""COMPUTED_VALUE"""),"2023-09-15T10:32:48Z")</f>
        <v>2023-09-15T10:32:48Z</v>
      </c>
      <c r="X308" s="16"/>
      <c r="Y308" s="16"/>
      <c r="Z308" s="16"/>
    </row>
    <row r="309">
      <c r="A309" s="16" t="str">
        <f>IFERROR(__xludf.DUMMYFUNCTION("""COMPUTED_VALUE"""),"5294263_1289536")</f>
        <v>5294263_1289536</v>
      </c>
      <c r="B309" s="16" t="str">
        <f>IFERROR(__xludf.DUMMYFUNCTION("""COMPUTED_VALUE"""),"Michael Kamel")</f>
        <v>Michael Kamel</v>
      </c>
      <c r="C309" s="16" t="str">
        <f>IFERROR(__xludf.DUMMYFUNCTION("""COMPUTED_VALUE"""),"approved")</f>
        <v>approved</v>
      </c>
      <c r="D309" s="16" t="str">
        <f>IFERROR(__xludf.DUMMYFUNCTION("""COMPUTED_VALUE"""),"No")</f>
        <v>No</v>
      </c>
      <c r="E309" s="16" t="str">
        <f>IFERROR(__xludf.DUMMYFUNCTION("""COMPUTED_VALUE"""),"p_3ac797e55be795945f95ac9bd76385d0fb3c79b0@inbound.aiesec.org")</f>
        <v>p_3ac797e55be795945f95ac9bd76385d0fb3c79b0@inbound.aiesec.org</v>
      </c>
      <c r="F309" s="16">
        <f>IFERROR(__xludf.DUMMYFUNCTION("""COMPUTED_VALUE"""),1.287632727E9)</f>
        <v>1287632727</v>
      </c>
      <c r="G309" s="16" t="str">
        <f>IFERROR(__xludf.DUMMYFUNCTION("""COMPUTED_VALUE"""),"Egypt")</f>
        <v>Egypt</v>
      </c>
      <c r="H309" s="16" t="str">
        <f>IFERROR(__xludf.DUMMYFUNCTION("""COMPUTED_VALUE"""),"6th October University")</f>
        <v>6th October University</v>
      </c>
      <c r="I309" s="16" t="str">
        <f>IFERROR(__xludf.DUMMYFUNCTION("""COMPUTED_VALUE"""),"Turkey")</f>
        <v>Turkey</v>
      </c>
      <c r="J309" s="16" t="str">
        <f>IFERROR(__xludf.DUMMYFUNCTION("""COMPUTED_VALUE"""),"ISTANBUL")</f>
        <v>ISTANBUL</v>
      </c>
      <c r="K309" s="17" t="str">
        <f>IFERROR(__xludf.DUMMYFUNCTION("""COMPUTED_VALUE"""),"https://expa.aiesec.org/opportunities/1289536")</f>
        <v>https://expa.aiesec.org/opportunities/1289536</v>
      </c>
      <c r="L309" s="16" t="str">
        <f>IFERROR(__xludf.DUMMYFUNCTION("""COMPUTED_VALUE"""),"GV")</f>
        <v>GV</v>
      </c>
      <c r="M309" s="16" t="str">
        <f>IFERROR(__xludf.DUMMYFUNCTION("""COMPUTED_VALUE"""),"short")</f>
        <v>short</v>
      </c>
      <c r="N309" s="18">
        <f>IFERROR(__xludf.DUMMYFUNCTION("""COMPUTED_VALUE"""),45189.0)</f>
        <v>45189</v>
      </c>
      <c r="O309" s="18">
        <f>IFERROR(__xludf.DUMMYFUNCTION("""COMPUTED_VALUE"""),45305.0)</f>
        <v>45305</v>
      </c>
      <c r="P309" s="18">
        <f>IFERROR(__xludf.DUMMYFUNCTION("""COMPUTED_VALUE"""),45347.0)</f>
        <v>45347</v>
      </c>
      <c r="Q309" s="18"/>
      <c r="R309" s="18"/>
      <c r="S309" s="16"/>
      <c r="T309" s="16"/>
      <c r="U309" s="16" t="str">
        <f>IFERROR(__xludf.DUMMYFUNCTION("""COMPUTED_VALUE"""),"Global Classroom")</f>
        <v>Global Classroom</v>
      </c>
      <c r="V309" s="16" t="str">
        <f>IFERROR(__xludf.DUMMYFUNCTION("""COMPUTED_VALUE"""),"Higher Technological Institute 6th October")</f>
        <v>Higher Technological Institute 6th October</v>
      </c>
      <c r="W309" s="16" t="str">
        <f>IFERROR(__xludf.DUMMYFUNCTION("""COMPUTED_VALUE"""),"2023-08-02T22:56:23Z")</f>
        <v>2023-08-02T22:56:23Z</v>
      </c>
      <c r="X309" s="16"/>
      <c r="Y309" s="16"/>
      <c r="Z309" s="16"/>
    </row>
    <row r="310">
      <c r="A310" s="16" t="str">
        <f>IFERROR(__xludf.DUMMYFUNCTION("""COMPUTED_VALUE"""),"5317265_1272564")</f>
        <v>5317265_1272564</v>
      </c>
      <c r="B310" s="16" t="str">
        <f>IFERROR(__xludf.DUMMYFUNCTION("""COMPUTED_VALUE"""),"Olena Yeromina")</f>
        <v>Olena Yeromina</v>
      </c>
      <c r="C310" s="16" t="str">
        <f>IFERROR(__xludf.DUMMYFUNCTION("""COMPUTED_VALUE"""),"completed")</f>
        <v>completed</v>
      </c>
      <c r="D310" s="16" t="str">
        <f>IFERROR(__xludf.DUMMYFUNCTION("""COMPUTED_VALUE"""),"No")</f>
        <v>No</v>
      </c>
      <c r="E310" s="16" t="str">
        <f>IFERROR(__xludf.DUMMYFUNCTION("""COMPUTED_VALUE"""),"p_f97dbdc3bfd74ee07ed40ee894b332caaae5e25f@inbound.aiesec.org")</f>
        <v>p_f97dbdc3bfd74ee07ed40ee894b332caaae5e25f@inbound.aiesec.org</v>
      </c>
      <c r="F310" s="16"/>
      <c r="G310" s="16" t="str">
        <f>IFERROR(__xludf.DUMMYFUNCTION("""COMPUTED_VALUE"""),"Ukraine")</f>
        <v>Ukraine</v>
      </c>
      <c r="H310" s="16" t="str">
        <f>IFERROR(__xludf.DUMMYFUNCTION("""COMPUTED_VALUE"""),"CHERNIVTSI")</f>
        <v>CHERNIVTSI</v>
      </c>
      <c r="I310" s="16" t="str">
        <f>IFERROR(__xludf.DUMMYFUNCTION("""COMPUTED_VALUE"""),"Turkey")</f>
        <v>Turkey</v>
      </c>
      <c r="J310" s="16" t="str">
        <f>IFERROR(__xludf.DUMMYFUNCTION("""COMPUTED_VALUE"""),"ISTANBUL")</f>
        <v>ISTANBUL</v>
      </c>
      <c r="K310" s="17" t="str">
        <f>IFERROR(__xludf.DUMMYFUNCTION("""COMPUTED_VALUE"""),"https://expa.aiesec.org/opportunities/1272564")</f>
        <v>https://expa.aiesec.org/opportunities/1272564</v>
      </c>
      <c r="L310" s="16" t="str">
        <f>IFERROR(__xludf.DUMMYFUNCTION("""COMPUTED_VALUE"""),"GV")</f>
        <v>GV</v>
      </c>
      <c r="M310" s="16" t="str">
        <f>IFERROR(__xludf.DUMMYFUNCTION("""COMPUTED_VALUE"""),"short")</f>
        <v>short</v>
      </c>
      <c r="N310" s="18">
        <f>IFERROR(__xludf.DUMMYFUNCTION("""COMPUTED_VALUE"""),45192.0)</f>
        <v>45192</v>
      </c>
      <c r="O310" s="18">
        <f>IFERROR(__xludf.DUMMYFUNCTION("""COMPUTED_VALUE"""),45256.0)</f>
        <v>45256</v>
      </c>
      <c r="P310" s="18">
        <f>IFERROR(__xludf.DUMMYFUNCTION("""COMPUTED_VALUE"""),45298.0)</f>
        <v>45298</v>
      </c>
      <c r="Q310" s="18">
        <f>IFERROR(__xludf.DUMMYFUNCTION("""COMPUTED_VALUE"""),45257.0)</f>
        <v>45257</v>
      </c>
      <c r="R310" s="18">
        <f>IFERROR(__xludf.DUMMYFUNCTION("""COMPUTED_VALUE"""),45298.0)</f>
        <v>45298</v>
      </c>
      <c r="S310" s="16"/>
      <c r="T310" s="16"/>
      <c r="U310" s="16" t="str">
        <f>IFERROR(__xludf.DUMMYFUNCTION("""COMPUTED_VALUE"""),"Global Classroom")</f>
        <v>Global Classroom</v>
      </c>
      <c r="V310" s="16" t="str">
        <f>IFERROR(__xludf.DUMMYFUNCTION("""COMPUTED_VALUE"""),"-")</f>
        <v>-</v>
      </c>
      <c r="W310" s="16" t="str">
        <f>IFERROR(__xludf.DUMMYFUNCTION("""COMPUTED_VALUE"""),"2023-09-03T08:42:33Z")</f>
        <v>2023-09-03T08:42:33Z</v>
      </c>
      <c r="X310" s="16"/>
      <c r="Y310" s="16"/>
      <c r="Z310" s="16"/>
    </row>
    <row r="311">
      <c r="A311" s="16" t="str">
        <f>IFERROR(__xludf.DUMMYFUNCTION("""COMPUTED_VALUE"""),"5306209_1272564")</f>
        <v>5306209_1272564</v>
      </c>
      <c r="B311" s="16" t="str">
        <f>IFERROR(__xludf.DUMMYFUNCTION("""COMPUTED_VALUE"""),"Mutiara Ananda Hambali")</f>
        <v>Mutiara Ananda Hambali</v>
      </c>
      <c r="C311" s="16" t="str">
        <f>IFERROR(__xludf.DUMMYFUNCTION("""COMPUTED_VALUE"""),"realized")</f>
        <v>realized</v>
      </c>
      <c r="D311" s="16" t="str">
        <f>IFERROR(__xludf.DUMMYFUNCTION("""COMPUTED_VALUE"""),"No")</f>
        <v>No</v>
      </c>
      <c r="E311" s="16" t="str">
        <f>IFERROR(__xludf.DUMMYFUNCTION("""COMPUTED_VALUE"""),"p_c462fb3a5f1d49b77d5bc7b869ea76012e33a85c@inbound.aiesec.org")</f>
        <v>p_c462fb3a5f1d49b77d5bc7b869ea76012e33a85c@inbound.aiesec.org</v>
      </c>
      <c r="F311" s="16">
        <f>IFERROR(__xludf.DUMMYFUNCTION("""COMPUTED_VALUE"""),8.1617818171E10)</f>
        <v>81617818171</v>
      </c>
      <c r="G311" s="16" t="str">
        <f>IFERROR(__xludf.DUMMYFUNCTION("""COMPUTED_VALUE"""),"Indonesia")</f>
        <v>Indonesia</v>
      </c>
      <c r="H311" s="16" t="str">
        <f>IFERROR(__xludf.DUMMYFUNCTION("""COMPUTED_VALUE"""),"UPNVJ")</f>
        <v>UPNVJ</v>
      </c>
      <c r="I311" s="16" t="str">
        <f>IFERROR(__xludf.DUMMYFUNCTION("""COMPUTED_VALUE"""),"Turkey")</f>
        <v>Turkey</v>
      </c>
      <c r="J311" s="16" t="str">
        <f>IFERROR(__xludf.DUMMYFUNCTION("""COMPUTED_VALUE"""),"ISTANBUL")</f>
        <v>ISTANBUL</v>
      </c>
      <c r="K311" s="17" t="str">
        <f>IFERROR(__xludf.DUMMYFUNCTION("""COMPUTED_VALUE"""),"https://expa.aiesec.org/opportunities/1272564")</f>
        <v>https://expa.aiesec.org/opportunities/1272564</v>
      </c>
      <c r="L311" s="16" t="str">
        <f>IFERROR(__xludf.DUMMYFUNCTION("""COMPUTED_VALUE"""),"GV")</f>
        <v>GV</v>
      </c>
      <c r="M311" s="16" t="str">
        <f>IFERROR(__xludf.DUMMYFUNCTION("""COMPUTED_VALUE"""),"short")</f>
        <v>short</v>
      </c>
      <c r="N311" s="18">
        <f>IFERROR(__xludf.DUMMYFUNCTION("""COMPUTED_VALUE"""),45193.0)</f>
        <v>45193</v>
      </c>
      <c r="O311" s="18">
        <f>IFERROR(__xludf.DUMMYFUNCTION("""COMPUTED_VALUE"""),45298.0)</f>
        <v>45298</v>
      </c>
      <c r="P311" s="18">
        <f>IFERROR(__xludf.DUMMYFUNCTION("""COMPUTED_VALUE"""),45340.0)</f>
        <v>45340</v>
      </c>
      <c r="Q311" s="18">
        <f>IFERROR(__xludf.DUMMYFUNCTION("""COMPUTED_VALUE"""),45300.0)</f>
        <v>45300</v>
      </c>
      <c r="R311" s="18">
        <f>IFERROR(__xludf.DUMMYFUNCTION("""COMPUTED_VALUE"""),45340.0)</f>
        <v>45340</v>
      </c>
      <c r="S311" s="16"/>
      <c r="T311" s="16"/>
      <c r="U311" s="16" t="str">
        <f>IFERROR(__xludf.DUMMYFUNCTION("""COMPUTED_VALUE"""),"Global Classroom")</f>
        <v>Global Classroom</v>
      </c>
      <c r="V311" s="16" t="str">
        <f>IFERROR(__xludf.DUMMYFUNCTION("""COMPUTED_VALUE"""),"Universitas Pembangunan Nasional ""Veteran""  Jakarta")</f>
        <v>Universitas Pembangunan Nasional "Veteran"  Jakarta</v>
      </c>
      <c r="W311" s="16" t="str">
        <f>IFERROR(__xludf.DUMMYFUNCTION("""COMPUTED_VALUE"""),"2023-08-21T03:16:19Z")</f>
        <v>2023-08-21T03:16:19Z</v>
      </c>
      <c r="X311" s="16"/>
      <c r="Y311" s="16"/>
      <c r="Z311" s="16"/>
    </row>
    <row r="312">
      <c r="A312" s="16" t="str">
        <f>IFERROR(__xludf.DUMMYFUNCTION("""COMPUTED_VALUE"""),"5322340_1289536")</f>
        <v>5322340_1289536</v>
      </c>
      <c r="B312" s="16" t="str">
        <f>IFERROR(__xludf.DUMMYFUNCTION("""COMPUTED_VALUE"""),"Aala Ben hamada")</f>
        <v>Aala Ben hamada</v>
      </c>
      <c r="C312" s="16" t="str">
        <f>IFERROR(__xludf.DUMMYFUNCTION("""COMPUTED_VALUE"""),"completed")</f>
        <v>completed</v>
      </c>
      <c r="D312" s="16" t="str">
        <f>IFERROR(__xludf.DUMMYFUNCTION("""COMPUTED_VALUE"""),"No")</f>
        <v>No</v>
      </c>
      <c r="E312" s="16" t="str">
        <f>IFERROR(__xludf.DUMMYFUNCTION("""COMPUTED_VALUE"""),"p_46149a68c890cbde3184211924ae8daaf9deb958@inbound.aiesec.org")</f>
        <v>p_46149a68c890cbde3184211924ae8daaf9deb958@inbound.aiesec.org</v>
      </c>
      <c r="F312" s="16">
        <f>IFERROR(__xludf.DUMMYFUNCTION("""COMPUTED_VALUE"""),2.9643159E7)</f>
        <v>29643159</v>
      </c>
      <c r="G312" s="16" t="str">
        <f>IFERROR(__xludf.DUMMYFUNCTION("""COMPUTED_VALUE"""),"Tunisia")</f>
        <v>Tunisia</v>
      </c>
      <c r="H312" s="16" t="str">
        <f>IFERROR(__xludf.DUMMYFUNCTION("""COMPUTED_VALUE"""),"Carthage")</f>
        <v>Carthage</v>
      </c>
      <c r="I312" s="16" t="str">
        <f>IFERROR(__xludf.DUMMYFUNCTION("""COMPUTED_VALUE"""),"Turkey")</f>
        <v>Turkey</v>
      </c>
      <c r="J312" s="16" t="str">
        <f>IFERROR(__xludf.DUMMYFUNCTION("""COMPUTED_VALUE"""),"ISTANBUL")</f>
        <v>ISTANBUL</v>
      </c>
      <c r="K312" s="17" t="str">
        <f>IFERROR(__xludf.DUMMYFUNCTION("""COMPUTED_VALUE"""),"https://expa.aiesec.org/opportunities/1289536")</f>
        <v>https://expa.aiesec.org/opportunities/1289536</v>
      </c>
      <c r="L312" s="16" t="str">
        <f>IFERROR(__xludf.DUMMYFUNCTION("""COMPUTED_VALUE"""),"GV")</f>
        <v>GV</v>
      </c>
      <c r="M312" s="16" t="str">
        <f>IFERROR(__xludf.DUMMYFUNCTION("""COMPUTED_VALUE"""),"short")</f>
        <v>short</v>
      </c>
      <c r="N312" s="18">
        <f>IFERROR(__xludf.DUMMYFUNCTION("""COMPUTED_VALUE"""),45194.0)</f>
        <v>45194</v>
      </c>
      <c r="O312" s="18">
        <f>IFERROR(__xludf.DUMMYFUNCTION("""COMPUTED_VALUE"""),45212.0)</f>
        <v>45212</v>
      </c>
      <c r="P312" s="18">
        <f>IFERROR(__xludf.DUMMYFUNCTION("""COMPUTED_VALUE"""),45254.0)</f>
        <v>45254</v>
      </c>
      <c r="Q312" s="18">
        <f>IFERROR(__xludf.DUMMYFUNCTION("""COMPUTED_VALUE"""),45215.0)</f>
        <v>45215</v>
      </c>
      <c r="R312" s="18">
        <f>IFERROR(__xludf.DUMMYFUNCTION("""COMPUTED_VALUE"""),45256.0)</f>
        <v>45256</v>
      </c>
      <c r="S312" s="16"/>
      <c r="T312" s="16"/>
      <c r="U312" s="16" t="str">
        <f>IFERROR(__xludf.DUMMYFUNCTION("""COMPUTED_VALUE"""),"Global Classroom")</f>
        <v>Global Classroom</v>
      </c>
      <c r="V312" s="16" t="str">
        <f>IFERROR(__xludf.DUMMYFUNCTION("""COMPUTED_VALUE"""),"IHEC Carthage")</f>
        <v>IHEC Carthage</v>
      </c>
      <c r="W312" s="16" t="str">
        <f>IFERROR(__xludf.DUMMYFUNCTION("""COMPUTED_VALUE"""),"2023-09-12T12:41:48Z")</f>
        <v>2023-09-12T12:41:48Z</v>
      </c>
      <c r="X312" s="16"/>
      <c r="Y312" s="16"/>
      <c r="Z312" s="16"/>
    </row>
    <row r="313">
      <c r="A313" s="16" t="str">
        <f>IFERROR(__xludf.DUMMYFUNCTION("""COMPUTED_VALUE"""),"5324956_1298368")</f>
        <v>5324956_1298368</v>
      </c>
      <c r="B313" s="16" t="str">
        <f>IFERROR(__xludf.DUMMYFUNCTION("""COMPUTED_VALUE"""),"Sefa Temiz")</f>
        <v>Sefa Temiz</v>
      </c>
      <c r="C313" s="16" t="str">
        <f>IFERROR(__xludf.DUMMYFUNCTION("""COMPUTED_VALUE"""),"approved")</f>
        <v>approved</v>
      </c>
      <c r="D313" s="16" t="str">
        <f>IFERROR(__xludf.DUMMYFUNCTION("""COMPUTED_VALUE"""),"No")</f>
        <v>No</v>
      </c>
      <c r="E313" s="16" t="str">
        <f>IFERROR(__xludf.DUMMYFUNCTION("""COMPUTED_VALUE"""),"p_e03551dc991d29a526734ae5ec19ac96ee578033@inbound.aiesec.org")</f>
        <v>p_e03551dc991d29a526734ae5ec19ac96ee578033@inbound.aiesec.org</v>
      </c>
      <c r="F313" s="16">
        <f>IFERROR(__xludf.DUMMYFUNCTION("""COMPUTED_VALUE"""),5.45911268E9)</f>
        <v>5459112680</v>
      </c>
      <c r="G313" s="16" t="str">
        <f>IFERROR(__xludf.DUMMYFUNCTION("""COMPUTED_VALUE"""),"Turkey")</f>
        <v>Turkey</v>
      </c>
      <c r="H313" s="16" t="str">
        <f>IFERROR(__xludf.DUMMYFUNCTION("""COMPUTED_VALUE"""),"ISTANBUL")</f>
        <v>ISTANBUL</v>
      </c>
      <c r="I313" s="16" t="str">
        <f>IFERROR(__xludf.DUMMYFUNCTION("""COMPUTED_VALUE"""),"Sri Lanka")</f>
        <v>Sri Lanka</v>
      </c>
      <c r="J313" s="16" t="str">
        <f>IFERROR(__xludf.DUMMYFUNCTION("""COMPUTED_VALUE"""),"COLOMBO CENTRAL")</f>
        <v>COLOMBO CENTRAL</v>
      </c>
      <c r="K313" s="17" t="str">
        <f>IFERROR(__xludf.DUMMYFUNCTION("""COMPUTED_VALUE"""),"https://expa.aiesec.org/opportunities/1298368")</f>
        <v>https://expa.aiesec.org/opportunities/1298368</v>
      </c>
      <c r="L313" s="16" t="str">
        <f>IFERROR(__xludf.DUMMYFUNCTION("""COMPUTED_VALUE"""),"GV")</f>
        <v>GV</v>
      </c>
      <c r="M313" s="16" t="str">
        <f>IFERROR(__xludf.DUMMYFUNCTION("""COMPUTED_VALUE"""),"short")</f>
        <v>short</v>
      </c>
      <c r="N313" s="18">
        <f>IFERROR(__xludf.DUMMYFUNCTION("""COMPUTED_VALUE"""),45194.0)</f>
        <v>45194</v>
      </c>
      <c r="O313" s="18">
        <f>IFERROR(__xludf.DUMMYFUNCTION("""COMPUTED_VALUE"""),45465.0)</f>
        <v>45465</v>
      </c>
      <c r="P313" s="18">
        <f>IFERROR(__xludf.DUMMYFUNCTION("""COMPUTED_VALUE"""),45507.0)</f>
        <v>45507</v>
      </c>
      <c r="Q313" s="18"/>
      <c r="R313" s="18"/>
      <c r="S313" s="16"/>
      <c r="T313" s="16"/>
      <c r="U313" s="16" t="str">
        <f>IFERROR(__xludf.DUMMYFUNCTION("""COMPUTED_VALUE"""),"Heartbeat")</f>
        <v>Heartbeat</v>
      </c>
      <c r="V313" s="16" t="str">
        <f>IFERROR(__xludf.DUMMYFUNCTION("""COMPUTED_VALUE"""),"ISTANBUL - BEYOGLU")</f>
        <v>ISTANBUL - BEYOGLU</v>
      </c>
      <c r="W313" s="16" t="str">
        <f>IFERROR(__xludf.DUMMYFUNCTION("""COMPUTED_VALUE"""),"2023-09-15T19:40:21Z")</f>
        <v>2023-09-15T19:40:21Z</v>
      </c>
      <c r="X313" s="16"/>
      <c r="Y313" s="16"/>
      <c r="Z313" s="16"/>
    </row>
    <row r="314">
      <c r="A314" s="16" t="str">
        <f>IFERROR(__xludf.DUMMYFUNCTION("""COMPUTED_VALUE"""),"5331258_1298864")</f>
        <v>5331258_1298864</v>
      </c>
      <c r="B314" s="16" t="str">
        <f>IFERROR(__xludf.DUMMYFUNCTION("""COMPUTED_VALUE"""),"esra erdaş")</f>
        <v>esra erdaş</v>
      </c>
      <c r="C314" s="16" t="str">
        <f>IFERROR(__xludf.DUMMYFUNCTION("""COMPUTED_VALUE"""),"approved")</f>
        <v>approved</v>
      </c>
      <c r="D314" s="16" t="str">
        <f>IFERROR(__xludf.DUMMYFUNCTION("""COMPUTED_VALUE"""),"No")</f>
        <v>No</v>
      </c>
      <c r="E314" s="16" t="str">
        <f>IFERROR(__xludf.DUMMYFUNCTION("""COMPUTED_VALUE"""),"p_52581201594140c3235f7b465b4a9ba8fa7959e3@inbound.aiesec.org")</f>
        <v>p_52581201594140c3235f7b465b4a9ba8fa7959e3@inbound.aiesec.org</v>
      </c>
      <c r="F314" s="16">
        <f>IFERROR(__xludf.DUMMYFUNCTION("""COMPUTED_VALUE"""),5.39887416E9)</f>
        <v>5398874160</v>
      </c>
      <c r="G314" s="16" t="str">
        <f>IFERROR(__xludf.DUMMYFUNCTION("""COMPUTED_VALUE"""),"Turkey")</f>
        <v>Turkey</v>
      </c>
      <c r="H314" s="16" t="str">
        <f>IFERROR(__xludf.DUMMYFUNCTION("""COMPUTED_VALUE"""),"ISTANBUL")</f>
        <v>ISTANBUL</v>
      </c>
      <c r="I314" s="16" t="str">
        <f>IFERROR(__xludf.DUMMYFUNCTION("""COMPUTED_VALUE"""),"Egypt")</f>
        <v>Egypt</v>
      </c>
      <c r="J314" s="16" t="str">
        <f>IFERROR(__xludf.DUMMYFUNCTION("""COMPUTED_VALUE"""),"Zagazig")</f>
        <v>Zagazig</v>
      </c>
      <c r="K314" s="17" t="str">
        <f>IFERROR(__xludf.DUMMYFUNCTION("""COMPUTED_VALUE"""),"https://expa.aiesec.org/opportunities/1298864")</f>
        <v>https://expa.aiesec.org/opportunities/1298864</v>
      </c>
      <c r="L314" s="16" t="str">
        <f>IFERROR(__xludf.DUMMYFUNCTION("""COMPUTED_VALUE"""),"GV")</f>
        <v>GV</v>
      </c>
      <c r="M314" s="16" t="str">
        <f>IFERROR(__xludf.DUMMYFUNCTION("""COMPUTED_VALUE"""),"short")</f>
        <v>short</v>
      </c>
      <c r="N314" s="18">
        <f>IFERROR(__xludf.DUMMYFUNCTION("""COMPUTED_VALUE"""),45195.0)</f>
        <v>45195</v>
      </c>
      <c r="O314" s="18">
        <f>IFERROR(__xludf.DUMMYFUNCTION("""COMPUTED_VALUE"""),45311.0)</f>
        <v>45311</v>
      </c>
      <c r="P314" s="18">
        <f>IFERROR(__xludf.DUMMYFUNCTION("""COMPUTED_VALUE"""),45353.0)</f>
        <v>45353</v>
      </c>
      <c r="Q314" s="18"/>
      <c r="R314" s="18"/>
      <c r="S314" s="16"/>
      <c r="T314" s="16"/>
      <c r="U314" s="16" t="str">
        <f>IFERROR(__xludf.DUMMYFUNCTION("""COMPUTED_VALUE"""),"Skill Up!")</f>
        <v>Skill Up!</v>
      </c>
      <c r="V314" s="16" t="str">
        <f>IFERROR(__xludf.DUMMYFUNCTION("""COMPUTED_VALUE"""),"ISTANBUL - BEYOGLU")</f>
        <v>ISTANBUL - BEYOGLU</v>
      </c>
      <c r="W314" s="16" t="str">
        <f>IFERROR(__xludf.DUMMYFUNCTION("""COMPUTED_VALUE"""),"2023-09-24T12:42:05Z")</f>
        <v>2023-09-24T12:42:05Z</v>
      </c>
      <c r="X314" s="16"/>
      <c r="Y314" s="16"/>
      <c r="Z314" s="16"/>
    </row>
    <row r="315">
      <c r="A315" s="16" t="str">
        <f>IFERROR(__xludf.DUMMYFUNCTION("""COMPUTED_VALUE"""),"5155964_1272564")</f>
        <v>5155964_1272564</v>
      </c>
      <c r="B315" s="16" t="str">
        <f>IFERROR(__xludf.DUMMYFUNCTION("""COMPUTED_VALUE"""),"Ines kadem")</f>
        <v>Ines kadem</v>
      </c>
      <c r="C315" s="16" t="str">
        <f>IFERROR(__xludf.DUMMYFUNCTION("""COMPUTED_VALUE"""),"approved")</f>
        <v>approved</v>
      </c>
      <c r="D315" s="16" t="str">
        <f>IFERROR(__xludf.DUMMYFUNCTION("""COMPUTED_VALUE"""),"No")</f>
        <v>No</v>
      </c>
      <c r="E315" s="16" t="str">
        <f>IFERROR(__xludf.DUMMYFUNCTION("""COMPUTED_VALUE"""),"p_c88df9a7fe1a189efb7f17318814963d441ab6da@inbound.aiesec.org")</f>
        <v>p_c88df9a7fe1a189efb7f17318814963d441ab6da@inbound.aiesec.org</v>
      </c>
      <c r="F315" s="16"/>
      <c r="G315" s="16" t="str">
        <f>IFERROR(__xludf.DUMMYFUNCTION("""COMPUTED_VALUE"""),"Algeria")</f>
        <v>Algeria</v>
      </c>
      <c r="H315" s="16" t="str">
        <f>IFERROR(__xludf.DUMMYFUNCTION("""COMPUTED_VALUE"""),"Oran")</f>
        <v>Oran</v>
      </c>
      <c r="I315" s="16" t="str">
        <f>IFERROR(__xludf.DUMMYFUNCTION("""COMPUTED_VALUE"""),"Turkey")</f>
        <v>Turkey</v>
      </c>
      <c r="J315" s="16" t="str">
        <f>IFERROR(__xludf.DUMMYFUNCTION("""COMPUTED_VALUE"""),"ISTANBUL")</f>
        <v>ISTANBUL</v>
      </c>
      <c r="K315" s="17" t="str">
        <f>IFERROR(__xludf.DUMMYFUNCTION("""COMPUTED_VALUE"""),"https://expa.aiesec.org/opportunities/1272564")</f>
        <v>https://expa.aiesec.org/opportunities/1272564</v>
      </c>
      <c r="L315" s="16" t="str">
        <f>IFERROR(__xludf.DUMMYFUNCTION("""COMPUTED_VALUE"""),"GV")</f>
        <v>GV</v>
      </c>
      <c r="M315" s="16" t="str">
        <f>IFERROR(__xludf.DUMMYFUNCTION("""COMPUTED_VALUE"""),"short")</f>
        <v>short</v>
      </c>
      <c r="N315" s="18">
        <f>IFERROR(__xludf.DUMMYFUNCTION("""COMPUTED_VALUE"""),45195.0)</f>
        <v>45195</v>
      </c>
      <c r="O315" s="18">
        <f>IFERROR(__xludf.DUMMYFUNCTION("""COMPUTED_VALUE"""),45256.0)</f>
        <v>45256</v>
      </c>
      <c r="P315" s="18">
        <f>IFERROR(__xludf.DUMMYFUNCTION("""COMPUTED_VALUE"""),45298.0)</f>
        <v>45298</v>
      </c>
      <c r="Q315" s="18"/>
      <c r="R315" s="18"/>
      <c r="S315" s="16"/>
      <c r="T315" s="16"/>
      <c r="U315" s="16" t="str">
        <f>IFERROR(__xludf.DUMMYFUNCTION("""COMPUTED_VALUE"""),"Global Classroom")</f>
        <v>Global Classroom</v>
      </c>
      <c r="V315" s="16" t="str">
        <f>IFERROR(__xludf.DUMMYFUNCTION("""COMPUTED_VALUE"""),"-")</f>
        <v>-</v>
      </c>
      <c r="W315" s="16" t="str">
        <f>IFERROR(__xludf.DUMMYFUNCTION("""COMPUTED_VALUE"""),"2022-11-20T00:38:18Z")</f>
        <v>2022-11-20T00:38:18Z</v>
      </c>
      <c r="X315" s="16"/>
      <c r="Y315" s="16"/>
      <c r="Z315" s="16"/>
    </row>
    <row r="316">
      <c r="A316" s="16" t="str">
        <f>IFERROR(__xludf.DUMMYFUNCTION("""COMPUTED_VALUE"""),"5264637_1298284")</f>
        <v>5264637_1298284</v>
      </c>
      <c r="B316" s="16" t="str">
        <f>IFERROR(__xludf.DUMMYFUNCTION("""COMPUTED_VALUE"""),"Zair SOUMIA")</f>
        <v>Zair SOUMIA</v>
      </c>
      <c r="C316" s="16" t="str">
        <f>IFERROR(__xludf.DUMMYFUNCTION("""COMPUTED_VALUE"""),"approved")</f>
        <v>approved</v>
      </c>
      <c r="D316" s="16" t="str">
        <f>IFERROR(__xludf.DUMMYFUNCTION("""COMPUTED_VALUE"""),"No")</f>
        <v>No</v>
      </c>
      <c r="E316" s="16" t="str">
        <f>IFERROR(__xludf.DUMMYFUNCTION("""COMPUTED_VALUE"""),"p_682fde1a1f552d943ff9b8069c9219c67b17b512@inbound.aiesec.org")</f>
        <v>p_682fde1a1f552d943ff9b8069c9219c67b17b512@inbound.aiesec.org</v>
      </c>
      <c r="F316" s="16">
        <f>IFERROR(__xludf.DUMMYFUNCTION("""COMPUTED_VALUE"""),7.93302296E8)</f>
        <v>793302296</v>
      </c>
      <c r="G316" s="16" t="str">
        <f>IFERROR(__xludf.DUMMYFUNCTION("""COMPUTED_VALUE"""),"Algeria")</f>
        <v>Algeria</v>
      </c>
      <c r="H316" s="16" t="str">
        <f>IFERROR(__xludf.DUMMYFUNCTION("""COMPUTED_VALUE"""),"Oran")</f>
        <v>Oran</v>
      </c>
      <c r="I316" s="16" t="str">
        <f>IFERROR(__xludf.DUMMYFUNCTION("""COMPUTED_VALUE"""),"Turkey")</f>
        <v>Turkey</v>
      </c>
      <c r="J316" s="16" t="str">
        <f>IFERROR(__xludf.DUMMYFUNCTION("""COMPUTED_VALUE"""),"ISTANBUL")</f>
        <v>ISTANBUL</v>
      </c>
      <c r="K316" s="17" t="str">
        <f>IFERROR(__xludf.DUMMYFUNCTION("""COMPUTED_VALUE"""),"https://expa.aiesec.org/opportunities/1298284")</f>
        <v>https://expa.aiesec.org/opportunities/1298284</v>
      </c>
      <c r="L316" s="16" t="str">
        <f>IFERROR(__xludf.DUMMYFUNCTION("""COMPUTED_VALUE"""),"GV")</f>
        <v>GV</v>
      </c>
      <c r="M316" s="16" t="str">
        <f>IFERROR(__xludf.DUMMYFUNCTION("""COMPUTED_VALUE"""),"short")</f>
        <v>short</v>
      </c>
      <c r="N316" s="18">
        <f>IFERROR(__xludf.DUMMYFUNCTION("""COMPUTED_VALUE"""),45196.0)</f>
        <v>45196</v>
      </c>
      <c r="O316" s="18">
        <f>IFERROR(__xludf.DUMMYFUNCTION("""COMPUTED_VALUE"""),45291.0)</f>
        <v>45291</v>
      </c>
      <c r="P316" s="18">
        <f>IFERROR(__xludf.DUMMYFUNCTION("""COMPUTED_VALUE"""),45333.0)</f>
        <v>45333</v>
      </c>
      <c r="Q316" s="18"/>
      <c r="R316" s="18"/>
      <c r="S316" s="16"/>
      <c r="T316" s="16"/>
      <c r="U316" s="16" t="str">
        <f>IFERROR(__xludf.DUMMYFUNCTION("""COMPUTED_VALUE"""),"Global Classroom")</f>
        <v>Global Classroom</v>
      </c>
      <c r="V316" s="16" t="str">
        <f>IFERROR(__xludf.DUMMYFUNCTION("""COMPUTED_VALUE"""),"AIESEC in Oran")</f>
        <v>AIESEC in Oran</v>
      </c>
      <c r="W316" s="16" t="str">
        <f>IFERROR(__xludf.DUMMYFUNCTION("""COMPUTED_VALUE"""),"2023-05-21T22:52:49Z")</f>
        <v>2023-05-21T22:52:49Z</v>
      </c>
      <c r="X316" s="16"/>
      <c r="Y316" s="16"/>
      <c r="Z316" s="16"/>
    </row>
    <row r="317">
      <c r="A317" s="16" t="str">
        <f>IFERROR(__xludf.DUMMYFUNCTION("""COMPUTED_VALUE"""),"5329582_1289378")</f>
        <v>5329582_1289378</v>
      </c>
      <c r="B317" s="16" t="str">
        <f>IFERROR(__xludf.DUMMYFUNCTION("""COMPUTED_VALUE"""),"Liliana Colin Carrasco")</f>
        <v>Liliana Colin Carrasco</v>
      </c>
      <c r="C317" s="16" t="str">
        <f>IFERROR(__xludf.DUMMYFUNCTION("""COMPUTED_VALUE"""),"approved")</f>
        <v>approved</v>
      </c>
      <c r="D317" s="16" t="str">
        <f>IFERROR(__xludf.DUMMYFUNCTION("""COMPUTED_VALUE"""),"No")</f>
        <v>No</v>
      </c>
      <c r="E317" s="16" t="str">
        <f>IFERROR(__xludf.DUMMYFUNCTION("""COMPUTED_VALUE"""),"p_75352a75fb992027d6befcd97875cdf58d4f64f4@inbound.aiesec.org")</f>
        <v>p_75352a75fb992027d6befcd97875cdf58d4f64f4@inbound.aiesec.org</v>
      </c>
      <c r="F317" s="16">
        <f>IFERROR(__xludf.DUMMYFUNCTION("""COMPUTED_VALUE"""),7.226128021E9)</f>
        <v>7226128021</v>
      </c>
      <c r="G317" s="16" t="str">
        <f>IFERROR(__xludf.DUMMYFUNCTION("""COMPUTED_VALUE"""),"Mexico")</f>
        <v>Mexico</v>
      </c>
      <c r="H317" s="16" t="str">
        <f>IFERROR(__xludf.DUMMYFUNCTION("""COMPUTED_VALUE"""),"Toluca")</f>
        <v>Toluca</v>
      </c>
      <c r="I317" s="16" t="str">
        <f>IFERROR(__xludf.DUMMYFUNCTION("""COMPUTED_VALUE"""),"Turkey")</f>
        <v>Turkey</v>
      </c>
      <c r="J317" s="16" t="str">
        <f>IFERROR(__xludf.DUMMYFUNCTION("""COMPUTED_VALUE"""),"ISTANBUL")</f>
        <v>ISTANBUL</v>
      </c>
      <c r="K317" s="17" t="str">
        <f>IFERROR(__xludf.DUMMYFUNCTION("""COMPUTED_VALUE"""),"https://expa.aiesec.org/opportunities/1289378")</f>
        <v>https://expa.aiesec.org/opportunities/1289378</v>
      </c>
      <c r="L317" s="16" t="str">
        <f>IFERROR(__xludf.DUMMYFUNCTION("""COMPUTED_VALUE"""),"GTa")</f>
        <v>GTa</v>
      </c>
      <c r="M317" s="16" t="str">
        <f>IFERROR(__xludf.DUMMYFUNCTION("""COMPUTED_VALUE"""),"long")</f>
        <v>long</v>
      </c>
      <c r="N317" s="18">
        <f>IFERROR(__xludf.DUMMYFUNCTION("""COMPUTED_VALUE"""),45196.0)</f>
        <v>45196</v>
      </c>
      <c r="O317" s="18">
        <f>IFERROR(__xludf.DUMMYFUNCTION("""COMPUTED_VALUE"""),45229.0)</f>
        <v>45229</v>
      </c>
      <c r="P317" s="18">
        <f>IFERROR(__xludf.DUMMYFUNCTION("""COMPUTED_VALUE"""),45772.0)</f>
        <v>45772</v>
      </c>
      <c r="Q317" s="18"/>
      <c r="R317" s="18"/>
      <c r="S317" s="16"/>
      <c r="T317" s="16" t="str">
        <f>IFERROR(__xludf.DUMMYFUNCTION("""COMPUTED_VALUE"""),"Business Administration")</f>
        <v>Business Administration</v>
      </c>
      <c r="U317" s="16" t="str">
        <f>IFERROR(__xludf.DUMMYFUNCTION("""COMPUTED_VALUE"""),"Telesales Specialist in Istanbul (Spanish Speaker)")</f>
        <v>Telesales Specialist in Istanbul (Spanish Speaker)</v>
      </c>
      <c r="V317" s="16" t="str">
        <f>IFERROR(__xludf.DUMMYFUNCTION("""COMPUTED_VALUE"""),"Estado de México - Universidad Univer Milenium ")</f>
        <v>Estado de México - Universidad Univer Milenium </v>
      </c>
      <c r="W317" s="16" t="str">
        <f>IFERROR(__xludf.DUMMYFUNCTION("""COMPUTED_VALUE"""),"2023-09-21T23:19:01Z")</f>
        <v>2023-09-21T23:19:01Z</v>
      </c>
      <c r="X317" s="16"/>
      <c r="Y317" s="16"/>
      <c r="Z317" s="16"/>
    </row>
    <row r="318">
      <c r="A318" s="16" t="str">
        <f>IFERROR(__xludf.DUMMYFUNCTION("""COMPUTED_VALUE"""),"5325597_1289850")</f>
        <v>5325597_1289850</v>
      </c>
      <c r="B318" s="16" t="str">
        <f>IFERROR(__xludf.DUMMYFUNCTION("""COMPUTED_VALUE"""),"Alihan Altinkaya")</f>
        <v>Alihan Altinkaya</v>
      </c>
      <c r="C318" s="16" t="str">
        <f>IFERROR(__xludf.DUMMYFUNCTION("""COMPUTED_VALUE"""),"approved")</f>
        <v>approved</v>
      </c>
      <c r="D318" s="16" t="str">
        <f>IFERROR(__xludf.DUMMYFUNCTION("""COMPUTED_VALUE"""),"No")</f>
        <v>No</v>
      </c>
      <c r="E318" s="16" t="str">
        <f>IFERROR(__xludf.DUMMYFUNCTION("""COMPUTED_VALUE"""),"p_5907eb8434d3b0caa2a492937e1058d708402a08@inbound.aiesec.org")</f>
        <v>p_5907eb8434d3b0caa2a492937e1058d708402a08@inbound.aiesec.org</v>
      </c>
      <c r="F318" s="16">
        <f>IFERROR(__xludf.DUMMYFUNCTION("""COMPUTED_VALUE"""),5.383141325E9)</f>
        <v>5383141325</v>
      </c>
      <c r="G318" s="16" t="str">
        <f>IFERROR(__xludf.DUMMYFUNCTION("""COMPUTED_VALUE"""),"Turkey")</f>
        <v>Turkey</v>
      </c>
      <c r="H318" s="16" t="str">
        <f>IFERROR(__xludf.DUMMYFUNCTION("""COMPUTED_VALUE"""),"ISTANBUL")</f>
        <v>ISTANBUL</v>
      </c>
      <c r="I318" s="16" t="str">
        <f>IFERROR(__xludf.DUMMYFUNCTION("""COMPUTED_VALUE"""),"India")</f>
        <v>India</v>
      </c>
      <c r="J318" s="16" t="str">
        <f>IFERROR(__xludf.DUMMYFUNCTION("""COMPUTED_VALUE"""),"Mumbai")</f>
        <v>Mumbai</v>
      </c>
      <c r="K318" s="17" t="str">
        <f>IFERROR(__xludf.DUMMYFUNCTION("""COMPUTED_VALUE"""),"https://expa.aiesec.org/opportunities/1289850")</f>
        <v>https://expa.aiesec.org/opportunities/1289850</v>
      </c>
      <c r="L318" s="16" t="str">
        <f>IFERROR(__xludf.DUMMYFUNCTION("""COMPUTED_VALUE"""),"GV")</f>
        <v>GV</v>
      </c>
      <c r="M318" s="16" t="str">
        <f>IFERROR(__xludf.DUMMYFUNCTION("""COMPUTED_VALUE"""),"short")</f>
        <v>short</v>
      </c>
      <c r="N318" s="18">
        <f>IFERROR(__xludf.DUMMYFUNCTION("""COMPUTED_VALUE"""),45197.0)</f>
        <v>45197</v>
      </c>
      <c r="O318" s="18">
        <f>IFERROR(__xludf.DUMMYFUNCTION("""COMPUTED_VALUE"""),45352.0)</f>
        <v>45352</v>
      </c>
      <c r="P318" s="18">
        <f>IFERROR(__xludf.DUMMYFUNCTION("""COMPUTED_VALUE"""),45394.0)</f>
        <v>45394</v>
      </c>
      <c r="Q318" s="18"/>
      <c r="R318" s="18"/>
      <c r="S318" s="16"/>
      <c r="T318" s="16"/>
      <c r="U318" s="16" t="str">
        <f>IFERROR(__xludf.DUMMYFUNCTION("""COMPUTED_VALUE"""),"Global Classroom")</f>
        <v>Global Classroom</v>
      </c>
      <c r="V318" s="16" t="str">
        <f>IFERROR(__xludf.DUMMYFUNCTION("""COMPUTED_VALUE"""),"KAYSERI")</f>
        <v>KAYSERI</v>
      </c>
      <c r="W318" s="16" t="str">
        <f>IFERROR(__xludf.DUMMYFUNCTION("""COMPUTED_VALUE"""),"2023-09-16T18:10:00Z")</f>
        <v>2023-09-16T18:10:00Z</v>
      </c>
      <c r="X318" s="16"/>
      <c r="Y318" s="16"/>
      <c r="Z318" s="16"/>
    </row>
    <row r="319">
      <c r="A319" s="16" t="str">
        <f>IFERROR(__xludf.DUMMYFUNCTION("""COMPUTED_VALUE"""),"5307548_1272564")</f>
        <v>5307548_1272564</v>
      </c>
      <c r="B319" s="16" t="str">
        <f>IFERROR(__xludf.DUMMYFUNCTION("""COMPUTED_VALUE"""),"Imene KHATIR")</f>
        <v>Imene KHATIR</v>
      </c>
      <c r="C319" s="16" t="str">
        <f>IFERROR(__xludf.DUMMYFUNCTION("""COMPUTED_VALUE"""),"finished")</f>
        <v>finished</v>
      </c>
      <c r="D319" s="16" t="str">
        <f>IFERROR(__xludf.DUMMYFUNCTION("""COMPUTED_VALUE"""),"No")</f>
        <v>No</v>
      </c>
      <c r="E319" s="16" t="str">
        <f>IFERROR(__xludf.DUMMYFUNCTION("""COMPUTED_VALUE"""),"p_f68f615986854efaabf54dd2b6c8ece2081f0675@inbound.aiesec.org")</f>
        <v>p_f68f615986854efaabf54dd2b6c8ece2081f0675@inbound.aiesec.org</v>
      </c>
      <c r="F319" s="16">
        <f>IFERROR(__xludf.DUMMYFUNCTION("""COMPUTED_VALUE"""),6.71226697E8)</f>
        <v>671226697</v>
      </c>
      <c r="G319" s="16" t="str">
        <f>IFERROR(__xludf.DUMMYFUNCTION("""COMPUTED_VALUE"""),"Algeria")</f>
        <v>Algeria</v>
      </c>
      <c r="H319" s="16" t="str">
        <f>IFERROR(__xludf.DUMMYFUNCTION("""COMPUTED_VALUE"""),"Oran")</f>
        <v>Oran</v>
      </c>
      <c r="I319" s="16" t="str">
        <f>IFERROR(__xludf.DUMMYFUNCTION("""COMPUTED_VALUE"""),"Turkey")</f>
        <v>Turkey</v>
      </c>
      <c r="J319" s="16" t="str">
        <f>IFERROR(__xludf.DUMMYFUNCTION("""COMPUTED_VALUE"""),"ISTANBUL")</f>
        <v>ISTANBUL</v>
      </c>
      <c r="K319" s="17" t="str">
        <f>IFERROR(__xludf.DUMMYFUNCTION("""COMPUTED_VALUE"""),"https://expa.aiesec.org/opportunities/1272564")</f>
        <v>https://expa.aiesec.org/opportunities/1272564</v>
      </c>
      <c r="L319" s="16" t="str">
        <f>IFERROR(__xludf.DUMMYFUNCTION("""COMPUTED_VALUE"""),"GV")</f>
        <v>GV</v>
      </c>
      <c r="M319" s="16" t="str">
        <f>IFERROR(__xludf.DUMMYFUNCTION("""COMPUTED_VALUE"""),"short")</f>
        <v>short</v>
      </c>
      <c r="N319" s="18">
        <f>IFERROR(__xludf.DUMMYFUNCTION("""COMPUTED_VALUE"""),45197.0)</f>
        <v>45197</v>
      </c>
      <c r="O319" s="18">
        <f>IFERROR(__xludf.DUMMYFUNCTION("""COMPUTED_VALUE"""),45214.0)</f>
        <v>45214</v>
      </c>
      <c r="P319" s="18">
        <f>IFERROR(__xludf.DUMMYFUNCTION("""COMPUTED_VALUE"""),45256.0)</f>
        <v>45256</v>
      </c>
      <c r="Q319" s="18">
        <f>IFERROR(__xludf.DUMMYFUNCTION("""COMPUTED_VALUE"""),45216.0)</f>
        <v>45216</v>
      </c>
      <c r="R319" s="18">
        <f>IFERROR(__xludf.DUMMYFUNCTION("""COMPUTED_VALUE"""),45256.0)</f>
        <v>45256</v>
      </c>
      <c r="S319" s="16"/>
      <c r="T319" s="16"/>
      <c r="U319" s="16" t="str">
        <f>IFERROR(__xludf.DUMMYFUNCTION("""COMPUTED_VALUE"""),"Global Classroom")</f>
        <v>Global Classroom</v>
      </c>
      <c r="V319" s="16" t="str">
        <f>IFERROR(__xludf.DUMMYFUNCTION("""COMPUTED_VALUE"""),"AIESEC in Oran")</f>
        <v>AIESEC in Oran</v>
      </c>
      <c r="W319" s="16" t="str">
        <f>IFERROR(__xludf.DUMMYFUNCTION("""COMPUTED_VALUE"""),"2023-08-22T22:58:32Z")</f>
        <v>2023-08-22T22:58:32Z</v>
      </c>
      <c r="X319" s="16"/>
      <c r="Y319" s="16"/>
      <c r="Z319" s="16"/>
    </row>
    <row r="320">
      <c r="A320" s="16" t="str">
        <f>IFERROR(__xludf.DUMMYFUNCTION("""COMPUTED_VALUE"""),"5336747_1298284")</f>
        <v>5336747_1298284</v>
      </c>
      <c r="B320" s="16" t="str">
        <f>IFERROR(__xludf.DUMMYFUNCTION("""COMPUTED_VALUE"""),"allagui adem")</f>
        <v>allagui adem</v>
      </c>
      <c r="C320" s="16" t="str">
        <f>IFERROR(__xludf.DUMMYFUNCTION("""COMPUTED_VALUE"""),"approved")</f>
        <v>approved</v>
      </c>
      <c r="D320" s="16" t="str">
        <f>IFERROR(__xludf.DUMMYFUNCTION("""COMPUTED_VALUE"""),"No")</f>
        <v>No</v>
      </c>
      <c r="E320" s="16" t="str">
        <f>IFERROR(__xludf.DUMMYFUNCTION("""COMPUTED_VALUE"""),"p_8d46a133e25e82e5653116ed74a17ced362bd023@inbound.aiesec.org")</f>
        <v>p_8d46a133e25e82e5653116ed74a17ced362bd023@inbound.aiesec.org</v>
      </c>
      <c r="F320" s="16">
        <f>IFERROR(__xludf.DUMMYFUNCTION("""COMPUTED_VALUE"""),9.0365915E7)</f>
        <v>90365915</v>
      </c>
      <c r="G320" s="16" t="str">
        <f>IFERROR(__xludf.DUMMYFUNCTION("""COMPUTED_VALUE"""),"Tunisia")</f>
        <v>Tunisia</v>
      </c>
      <c r="H320" s="16" t="str">
        <f>IFERROR(__xludf.DUMMYFUNCTION("""COMPUTED_VALUE"""),"Carthage")</f>
        <v>Carthage</v>
      </c>
      <c r="I320" s="16" t="str">
        <f>IFERROR(__xludf.DUMMYFUNCTION("""COMPUTED_VALUE"""),"Turkey")</f>
        <v>Turkey</v>
      </c>
      <c r="J320" s="16" t="str">
        <f>IFERROR(__xludf.DUMMYFUNCTION("""COMPUTED_VALUE"""),"ISTANBUL")</f>
        <v>ISTANBUL</v>
      </c>
      <c r="K320" s="17" t="str">
        <f>IFERROR(__xludf.DUMMYFUNCTION("""COMPUTED_VALUE"""),"https://expa.aiesec.org/opportunities/1298284")</f>
        <v>https://expa.aiesec.org/opportunities/1298284</v>
      </c>
      <c r="L320" s="16" t="str">
        <f>IFERROR(__xludf.DUMMYFUNCTION("""COMPUTED_VALUE"""),"GV")</f>
        <v>GV</v>
      </c>
      <c r="M320" s="16" t="str">
        <f>IFERROR(__xludf.DUMMYFUNCTION("""COMPUTED_VALUE"""),"short")</f>
        <v>short</v>
      </c>
      <c r="N320" s="18">
        <f>IFERROR(__xludf.DUMMYFUNCTION("""COMPUTED_VALUE"""),45198.0)</f>
        <v>45198</v>
      </c>
      <c r="O320" s="18">
        <f>IFERROR(__xludf.DUMMYFUNCTION("""COMPUTED_VALUE"""),45474.0)</f>
        <v>45474</v>
      </c>
      <c r="P320" s="18">
        <f>IFERROR(__xludf.DUMMYFUNCTION("""COMPUTED_VALUE"""),45516.0)</f>
        <v>45516</v>
      </c>
      <c r="Q320" s="18"/>
      <c r="R320" s="18"/>
      <c r="S320" s="16"/>
      <c r="T320" s="16"/>
      <c r="U320" s="16" t="str">
        <f>IFERROR(__xludf.DUMMYFUNCTION("""COMPUTED_VALUE"""),"Global Classroom")</f>
        <v>Global Classroom</v>
      </c>
      <c r="V320" s="16" t="str">
        <f>IFERROR(__xludf.DUMMYFUNCTION("""COMPUTED_VALUE"""),"IHET Sidi Dhrif")</f>
        <v>IHET Sidi Dhrif</v>
      </c>
      <c r="W320" s="16" t="str">
        <f>IFERROR(__xludf.DUMMYFUNCTION("""COMPUTED_VALUE"""),"2023-09-28T21:56:37Z")</f>
        <v>2023-09-28T21:56:37Z</v>
      </c>
      <c r="X320" s="16"/>
      <c r="Y320" s="16"/>
      <c r="Z320" s="16"/>
    </row>
    <row r="321">
      <c r="A321" s="16" t="str">
        <f>IFERROR(__xludf.DUMMYFUNCTION("""COMPUTED_VALUE"""),"5326099_1299131")</f>
        <v>5326099_1299131</v>
      </c>
      <c r="B321" s="16" t="str">
        <f>IFERROR(__xludf.DUMMYFUNCTION("""COMPUTED_VALUE"""),"Uğur Bayrak")</f>
        <v>Uğur Bayrak</v>
      </c>
      <c r="C321" s="16" t="str">
        <f>IFERROR(__xludf.DUMMYFUNCTION("""COMPUTED_VALUE"""),"approved")</f>
        <v>approved</v>
      </c>
      <c r="D321" s="16" t="str">
        <f>IFERROR(__xludf.DUMMYFUNCTION("""COMPUTED_VALUE"""),"No")</f>
        <v>No</v>
      </c>
      <c r="E321" s="16" t="str">
        <f>IFERROR(__xludf.DUMMYFUNCTION("""COMPUTED_VALUE"""),"p_c9d01871d5065c22cd319479ee59a9ecf5ff6112@inbound.aiesec.org")</f>
        <v>p_c9d01871d5065c22cd319479ee59a9ecf5ff6112@inbound.aiesec.org</v>
      </c>
      <c r="F321" s="16"/>
      <c r="G321" s="16" t="str">
        <f>IFERROR(__xludf.DUMMYFUNCTION("""COMPUTED_VALUE"""),"Turkey")</f>
        <v>Turkey</v>
      </c>
      <c r="H321" s="16" t="str">
        <f>IFERROR(__xludf.DUMMYFUNCTION("""COMPUTED_VALUE"""),"ISTANBUL")</f>
        <v>ISTANBUL</v>
      </c>
      <c r="I321" s="16" t="str">
        <f>IFERROR(__xludf.DUMMYFUNCTION("""COMPUTED_VALUE"""),"Moldova")</f>
        <v>Moldova</v>
      </c>
      <c r="J321" s="16" t="str">
        <f>IFERROR(__xludf.DUMMYFUNCTION("""COMPUTED_VALUE"""),"CHISINAU")</f>
        <v>CHISINAU</v>
      </c>
      <c r="K321" s="17" t="str">
        <f>IFERROR(__xludf.DUMMYFUNCTION("""COMPUTED_VALUE"""),"https://expa.aiesec.org/opportunities/1299131")</f>
        <v>https://expa.aiesec.org/opportunities/1299131</v>
      </c>
      <c r="L321" s="16" t="str">
        <f>IFERROR(__xludf.DUMMYFUNCTION("""COMPUTED_VALUE"""),"GV")</f>
        <v>GV</v>
      </c>
      <c r="M321" s="16" t="str">
        <f>IFERROR(__xludf.DUMMYFUNCTION("""COMPUTED_VALUE"""),"short")</f>
        <v>short</v>
      </c>
      <c r="N321" s="18">
        <f>IFERROR(__xludf.DUMMYFUNCTION("""COMPUTED_VALUE"""),45198.0)</f>
        <v>45198</v>
      </c>
      <c r="O321" s="18">
        <f>IFERROR(__xludf.DUMMYFUNCTION("""COMPUTED_VALUE"""),45306.0)</f>
        <v>45306</v>
      </c>
      <c r="P321" s="18">
        <f>IFERROR(__xludf.DUMMYFUNCTION("""COMPUTED_VALUE"""),45348.0)</f>
        <v>45348</v>
      </c>
      <c r="Q321" s="18"/>
      <c r="R321" s="18"/>
      <c r="S321" s="16"/>
      <c r="T321" s="16"/>
      <c r="U321" s="16" t="str">
        <f>IFERROR(__xludf.DUMMYFUNCTION("""COMPUTED_VALUE"""),"Global Classroom")</f>
        <v>Global Classroom</v>
      </c>
      <c r="V321" s="16" t="str">
        <f>IFERROR(__xludf.DUMMYFUNCTION("""COMPUTED_VALUE"""),"-")</f>
        <v>-</v>
      </c>
      <c r="W321" s="16" t="str">
        <f>IFERROR(__xludf.DUMMYFUNCTION("""COMPUTED_VALUE"""),"2023-09-17T13:21:15Z")</f>
        <v>2023-09-17T13:21:15Z</v>
      </c>
      <c r="X321" s="16"/>
      <c r="Y321" s="16"/>
      <c r="Z321" s="16"/>
    </row>
    <row r="322">
      <c r="A322" s="16" t="str">
        <f>IFERROR(__xludf.DUMMYFUNCTION("""COMPUTED_VALUE"""),"5233351_1298282")</f>
        <v>5233351_1298282</v>
      </c>
      <c r="B322" s="16" t="str">
        <f>IFERROR(__xludf.DUMMYFUNCTION("""COMPUTED_VALUE"""),"Viktoriia Illesh")</f>
        <v>Viktoriia Illesh</v>
      </c>
      <c r="C322" s="16" t="str">
        <f>IFERROR(__xludf.DUMMYFUNCTION("""COMPUTED_VALUE"""),"approved")</f>
        <v>approved</v>
      </c>
      <c r="D322" s="16" t="str">
        <f>IFERROR(__xludf.DUMMYFUNCTION("""COMPUTED_VALUE"""),"No")</f>
        <v>No</v>
      </c>
      <c r="E322" s="16" t="str">
        <f>IFERROR(__xludf.DUMMYFUNCTION("""COMPUTED_VALUE"""),"p_665d73854cc1876efeda9194275896e133686643@inbound.aiesec.org")</f>
        <v>p_665d73854cc1876efeda9194275896e133686643@inbound.aiesec.org</v>
      </c>
      <c r="F322" s="16"/>
      <c r="G322" s="16" t="str">
        <f>IFERROR(__xludf.DUMMYFUNCTION("""COMPUTED_VALUE"""),"Ukraine")</f>
        <v>Ukraine</v>
      </c>
      <c r="H322" s="16" t="str">
        <f>IFERROR(__xludf.DUMMYFUNCTION("""COMPUTED_VALUE"""),"IVANO-FRANKIVSK")</f>
        <v>IVANO-FRANKIVSK</v>
      </c>
      <c r="I322" s="16" t="str">
        <f>IFERROR(__xludf.DUMMYFUNCTION("""COMPUTED_VALUE"""),"Turkey")</f>
        <v>Turkey</v>
      </c>
      <c r="J322" s="16" t="str">
        <f>IFERROR(__xludf.DUMMYFUNCTION("""COMPUTED_VALUE"""),"ISTANBUL")</f>
        <v>ISTANBUL</v>
      </c>
      <c r="K322" s="17" t="str">
        <f>IFERROR(__xludf.DUMMYFUNCTION("""COMPUTED_VALUE"""),"https://expa.aiesec.org/opportunities/1298282")</f>
        <v>https://expa.aiesec.org/opportunities/1298282</v>
      </c>
      <c r="L322" s="16" t="str">
        <f>IFERROR(__xludf.DUMMYFUNCTION("""COMPUTED_VALUE"""),"GV")</f>
        <v>GV</v>
      </c>
      <c r="M322" s="16" t="str">
        <f>IFERROR(__xludf.DUMMYFUNCTION("""COMPUTED_VALUE"""),"short")</f>
        <v>short</v>
      </c>
      <c r="N322" s="18">
        <f>IFERROR(__xludf.DUMMYFUNCTION("""COMPUTED_VALUE"""),45199.0)</f>
        <v>45199</v>
      </c>
      <c r="O322" s="18">
        <f>IFERROR(__xludf.DUMMYFUNCTION("""COMPUTED_VALUE"""),45375.0)</f>
        <v>45375</v>
      </c>
      <c r="P322" s="18">
        <f>IFERROR(__xludf.DUMMYFUNCTION("""COMPUTED_VALUE"""),45417.0)</f>
        <v>45417</v>
      </c>
      <c r="Q322" s="18"/>
      <c r="R322" s="18"/>
      <c r="S322" s="16"/>
      <c r="T322" s="16"/>
      <c r="U322" s="16" t="str">
        <f>IFERROR(__xludf.DUMMYFUNCTION("""COMPUTED_VALUE"""),"Green Leaders")</f>
        <v>Green Leaders</v>
      </c>
      <c r="V322" s="16" t="str">
        <f>IFERROR(__xludf.DUMMYFUNCTION("""COMPUTED_VALUE"""),"-")</f>
        <v>-</v>
      </c>
      <c r="W322" s="16" t="str">
        <f>IFERROR(__xludf.DUMMYFUNCTION("""COMPUTED_VALUE"""),"2023-04-02T16:09:22Z")</f>
        <v>2023-04-02T16:09:22Z</v>
      </c>
      <c r="X322" s="16"/>
      <c r="Y322" s="16"/>
      <c r="Z322" s="16"/>
    </row>
    <row r="323">
      <c r="A323" s="16" t="str">
        <f>IFERROR(__xludf.DUMMYFUNCTION("""COMPUTED_VALUE"""),"5337857_1289536")</f>
        <v>5337857_1289536</v>
      </c>
      <c r="B323" s="16" t="str">
        <f>IFERROR(__xludf.DUMMYFUNCTION("""COMPUTED_VALUE"""),"Baha Eddine Zitouni")</f>
        <v>Baha Eddine Zitouni</v>
      </c>
      <c r="C323" s="16" t="str">
        <f>IFERROR(__xludf.DUMMYFUNCTION("""COMPUTED_VALUE"""),"approved")</f>
        <v>approved</v>
      </c>
      <c r="D323" s="16" t="str">
        <f>IFERROR(__xludf.DUMMYFUNCTION("""COMPUTED_VALUE"""),"No")</f>
        <v>No</v>
      </c>
      <c r="E323" s="16" t="str">
        <f>IFERROR(__xludf.DUMMYFUNCTION("""COMPUTED_VALUE"""),"p_f86d164746bce634ec5145411e6fc67c5d71070e@inbound.aiesec.org")</f>
        <v>p_f86d164746bce634ec5145411e6fc67c5d71070e@inbound.aiesec.org</v>
      </c>
      <c r="F323" s="16">
        <f>IFERROR(__xludf.DUMMYFUNCTION("""COMPUTED_VALUE"""),2.699293E7)</f>
        <v>26992930</v>
      </c>
      <c r="G323" s="16" t="str">
        <f>IFERROR(__xludf.DUMMYFUNCTION("""COMPUTED_VALUE"""),"Tunisia")</f>
        <v>Tunisia</v>
      </c>
      <c r="H323" s="16" t="str">
        <f>IFERROR(__xludf.DUMMYFUNCTION("""COMPUTED_VALUE"""),"Carthage")</f>
        <v>Carthage</v>
      </c>
      <c r="I323" s="16" t="str">
        <f>IFERROR(__xludf.DUMMYFUNCTION("""COMPUTED_VALUE"""),"Turkey")</f>
        <v>Turkey</v>
      </c>
      <c r="J323" s="16" t="str">
        <f>IFERROR(__xludf.DUMMYFUNCTION("""COMPUTED_VALUE"""),"ISTANBUL")</f>
        <v>ISTANBUL</v>
      </c>
      <c r="K323" s="17" t="str">
        <f>IFERROR(__xludf.DUMMYFUNCTION("""COMPUTED_VALUE"""),"https://expa.aiesec.org/opportunities/1289536")</f>
        <v>https://expa.aiesec.org/opportunities/1289536</v>
      </c>
      <c r="L323" s="16" t="str">
        <f>IFERROR(__xludf.DUMMYFUNCTION("""COMPUTED_VALUE"""),"GV")</f>
        <v>GV</v>
      </c>
      <c r="M323" s="16" t="str">
        <f>IFERROR(__xludf.DUMMYFUNCTION("""COMPUTED_VALUE"""),"short")</f>
        <v>short</v>
      </c>
      <c r="N323" s="18">
        <f>IFERROR(__xludf.DUMMYFUNCTION("""COMPUTED_VALUE"""),45199.0)</f>
        <v>45199</v>
      </c>
      <c r="O323" s="18">
        <f>IFERROR(__xludf.DUMMYFUNCTION("""COMPUTED_VALUE"""),45474.0)</f>
        <v>45474</v>
      </c>
      <c r="P323" s="18">
        <f>IFERROR(__xludf.DUMMYFUNCTION("""COMPUTED_VALUE"""),45516.0)</f>
        <v>45516</v>
      </c>
      <c r="Q323" s="18"/>
      <c r="R323" s="18"/>
      <c r="S323" s="16"/>
      <c r="T323" s="16"/>
      <c r="U323" s="16" t="str">
        <f>IFERROR(__xludf.DUMMYFUNCTION("""COMPUTED_VALUE"""),"Global Classroom")</f>
        <v>Global Classroom</v>
      </c>
      <c r="V323" s="16" t="str">
        <f>IFERROR(__xludf.DUMMYFUNCTION("""COMPUTED_VALUE"""),"Polytech INTL")</f>
        <v>Polytech INTL</v>
      </c>
      <c r="W323" s="16" t="str">
        <f>IFERROR(__xludf.DUMMYFUNCTION("""COMPUTED_VALUE"""),"2023-09-29T21:59:01Z")</f>
        <v>2023-09-29T21:59:01Z</v>
      </c>
      <c r="X323" s="16"/>
      <c r="Y323" s="16"/>
      <c r="Z323" s="16"/>
    </row>
    <row r="324">
      <c r="A324" s="16" t="str">
        <f>IFERROR(__xludf.DUMMYFUNCTION("""COMPUTED_VALUE"""),"4190204_1272564")</f>
        <v>4190204_1272564</v>
      </c>
      <c r="B324" s="16" t="str">
        <f>IFERROR(__xludf.DUMMYFUNCTION("""COMPUTED_VALUE"""),"Katerina Kirvas")</f>
        <v>Katerina Kirvas</v>
      </c>
      <c r="C324" s="16" t="str">
        <f>IFERROR(__xludf.DUMMYFUNCTION("""COMPUTED_VALUE"""),"approved")</f>
        <v>approved</v>
      </c>
      <c r="D324" s="16" t="str">
        <f>IFERROR(__xludf.DUMMYFUNCTION("""COMPUTED_VALUE"""),"No")</f>
        <v>No</v>
      </c>
      <c r="E324" s="16" t="str">
        <f>IFERROR(__xludf.DUMMYFUNCTION("""COMPUTED_VALUE"""),"p_ba336d932f93fb729d83eaa640f947fa583c1928@inbound.aiesec.org")</f>
        <v>p_ba336d932f93fb729d83eaa640f947fa583c1928@inbound.aiesec.org</v>
      </c>
      <c r="F324" s="16">
        <f>IFERROR(__xludf.DUMMYFUNCTION("""COMPUTED_VALUE"""),6.77414092E8)</f>
        <v>677414092</v>
      </c>
      <c r="G324" s="16" t="str">
        <f>IFERROR(__xludf.DUMMYFUNCTION("""COMPUTED_VALUE"""),"Ukraine")</f>
        <v>Ukraine</v>
      </c>
      <c r="H324" s="16" t="str">
        <f>IFERROR(__xludf.DUMMYFUNCTION("""COMPUTED_VALUE"""),"KYIV")</f>
        <v>KYIV</v>
      </c>
      <c r="I324" s="16" t="str">
        <f>IFERROR(__xludf.DUMMYFUNCTION("""COMPUTED_VALUE"""),"Turkey")</f>
        <v>Turkey</v>
      </c>
      <c r="J324" s="16" t="str">
        <f>IFERROR(__xludf.DUMMYFUNCTION("""COMPUTED_VALUE"""),"ISTANBUL")</f>
        <v>ISTANBUL</v>
      </c>
      <c r="K324" s="17" t="str">
        <f>IFERROR(__xludf.DUMMYFUNCTION("""COMPUTED_VALUE"""),"https://expa.aiesec.org/opportunities/1272564")</f>
        <v>https://expa.aiesec.org/opportunities/1272564</v>
      </c>
      <c r="L324" s="16" t="str">
        <f>IFERROR(__xludf.DUMMYFUNCTION("""COMPUTED_VALUE"""),"GV")</f>
        <v>GV</v>
      </c>
      <c r="M324" s="16" t="str">
        <f>IFERROR(__xludf.DUMMYFUNCTION("""COMPUTED_VALUE"""),"short")</f>
        <v>short</v>
      </c>
      <c r="N324" s="18">
        <f>IFERROR(__xludf.DUMMYFUNCTION("""COMPUTED_VALUE"""),45199.0)</f>
        <v>45199</v>
      </c>
      <c r="O324" s="18">
        <f>IFERROR(__xludf.DUMMYFUNCTION("""COMPUTED_VALUE"""),45483.0)</f>
        <v>45483</v>
      </c>
      <c r="P324" s="18">
        <f>IFERROR(__xludf.DUMMYFUNCTION("""COMPUTED_VALUE"""),45525.0)</f>
        <v>45525</v>
      </c>
      <c r="Q324" s="18"/>
      <c r="R324" s="18"/>
      <c r="S324" s="16"/>
      <c r="T324" s="16"/>
      <c r="U324" s="16" t="str">
        <f>IFERROR(__xludf.DUMMYFUNCTION("""COMPUTED_VALUE"""),"Global Classroom")</f>
        <v>Global Classroom</v>
      </c>
      <c r="V324" s="16" t="str">
        <f>IFERROR(__xludf.DUMMYFUNCTION("""COMPUTED_VALUE"""),"Kyiv")</f>
        <v>Kyiv</v>
      </c>
      <c r="W324" s="16" t="str">
        <f>IFERROR(__xludf.DUMMYFUNCTION("""COMPUTED_VALUE"""),"2020-02-16T20:02:24Z")</f>
        <v>2020-02-16T20:02:24Z</v>
      </c>
      <c r="X324" s="16"/>
      <c r="Y324" s="16"/>
      <c r="Z324" s="16"/>
    </row>
    <row r="325">
      <c r="A325" s="16" t="str">
        <f>IFERROR(__xludf.DUMMYFUNCTION("""COMPUTED_VALUE"""),"4753499_1272564")</f>
        <v>4753499_1272564</v>
      </c>
      <c r="B325" s="16" t="str">
        <f>IFERROR(__xludf.DUMMYFUNCTION("""COMPUTED_VALUE"""),"Daryna Bank")</f>
        <v>Daryna Bank</v>
      </c>
      <c r="C325" s="16" t="str">
        <f>IFERROR(__xludf.DUMMYFUNCTION("""COMPUTED_VALUE"""),"approved")</f>
        <v>approved</v>
      </c>
      <c r="D325" s="16" t="str">
        <f>IFERROR(__xludf.DUMMYFUNCTION("""COMPUTED_VALUE"""),"No")</f>
        <v>No</v>
      </c>
      <c r="E325" s="16" t="str">
        <f>IFERROR(__xludf.DUMMYFUNCTION("""COMPUTED_VALUE"""),"p_a11c2181ec96e1ffa66214eff132fb0aa983bb2f@inbound.aiesec.org")</f>
        <v>p_a11c2181ec96e1ffa66214eff132fb0aa983bb2f@inbound.aiesec.org</v>
      </c>
      <c r="F325" s="16"/>
      <c r="G325" s="16" t="str">
        <f>IFERROR(__xludf.DUMMYFUNCTION("""COMPUTED_VALUE"""),"Ukraine")</f>
        <v>Ukraine</v>
      </c>
      <c r="H325" s="16" t="str">
        <f>IFERROR(__xludf.DUMMYFUNCTION("""COMPUTED_VALUE"""),"KYIV")</f>
        <v>KYIV</v>
      </c>
      <c r="I325" s="16" t="str">
        <f>IFERROR(__xludf.DUMMYFUNCTION("""COMPUTED_VALUE"""),"Turkey")</f>
        <v>Turkey</v>
      </c>
      <c r="J325" s="16" t="str">
        <f>IFERROR(__xludf.DUMMYFUNCTION("""COMPUTED_VALUE"""),"ISTANBUL")</f>
        <v>ISTANBUL</v>
      </c>
      <c r="K325" s="17" t="str">
        <f>IFERROR(__xludf.DUMMYFUNCTION("""COMPUTED_VALUE"""),"https://expa.aiesec.org/opportunities/1272564")</f>
        <v>https://expa.aiesec.org/opportunities/1272564</v>
      </c>
      <c r="L325" s="16" t="str">
        <f>IFERROR(__xludf.DUMMYFUNCTION("""COMPUTED_VALUE"""),"GV")</f>
        <v>GV</v>
      </c>
      <c r="M325" s="16" t="str">
        <f>IFERROR(__xludf.DUMMYFUNCTION("""COMPUTED_VALUE"""),"short")</f>
        <v>short</v>
      </c>
      <c r="N325" s="18">
        <f>IFERROR(__xludf.DUMMYFUNCTION("""COMPUTED_VALUE"""),45199.0)</f>
        <v>45199</v>
      </c>
      <c r="O325" s="18">
        <f>IFERROR(__xludf.DUMMYFUNCTION("""COMPUTED_VALUE"""),45369.0)</f>
        <v>45369</v>
      </c>
      <c r="P325" s="18">
        <f>IFERROR(__xludf.DUMMYFUNCTION("""COMPUTED_VALUE"""),45411.0)</f>
        <v>45411</v>
      </c>
      <c r="Q325" s="18"/>
      <c r="R325" s="18"/>
      <c r="S325" s="16"/>
      <c r="T325" s="16"/>
      <c r="U325" s="16" t="str">
        <f>IFERROR(__xludf.DUMMYFUNCTION("""COMPUTED_VALUE"""),"Global Classroom")</f>
        <v>Global Classroom</v>
      </c>
      <c r="V325" s="16" t="str">
        <f>IFERROR(__xludf.DUMMYFUNCTION("""COMPUTED_VALUE"""),"Kyiv")</f>
        <v>Kyiv</v>
      </c>
      <c r="W325" s="16" t="str">
        <f>IFERROR(__xludf.DUMMYFUNCTION("""COMPUTED_VALUE"""),"2021-09-30T08:47:59Z")</f>
        <v>2021-09-30T08:47:59Z</v>
      </c>
      <c r="X325" s="16"/>
      <c r="Y325" s="16"/>
      <c r="Z325" s="16"/>
    </row>
    <row r="326">
      <c r="A326" s="16" t="str">
        <f>IFERROR(__xludf.DUMMYFUNCTION("""COMPUTED_VALUE"""),"5194339_1298284")</f>
        <v>5194339_1298284</v>
      </c>
      <c r="B326" s="16" t="str">
        <f>IFERROR(__xludf.DUMMYFUNCTION("""COMPUTED_VALUE"""),"Shahd Sherif")</f>
        <v>Shahd Sherif</v>
      </c>
      <c r="C326" s="16" t="str">
        <f>IFERROR(__xludf.DUMMYFUNCTION("""COMPUTED_VALUE"""),"approved")</f>
        <v>approved</v>
      </c>
      <c r="D326" s="16" t="str">
        <f>IFERROR(__xludf.DUMMYFUNCTION("""COMPUTED_VALUE"""),"No")</f>
        <v>No</v>
      </c>
      <c r="E326" s="16" t="str">
        <f>IFERROR(__xludf.DUMMYFUNCTION("""COMPUTED_VALUE"""),"p_7b966031ee98e97dab881bdb97a124f11bf431bb@inbound.aiesec.org")</f>
        <v>p_7b966031ee98e97dab881bdb97a124f11bf431bb@inbound.aiesec.org</v>
      </c>
      <c r="F326" s="16"/>
      <c r="G326" s="16" t="str">
        <f>IFERROR(__xludf.DUMMYFUNCTION("""COMPUTED_VALUE"""),"Egypt")</f>
        <v>Egypt</v>
      </c>
      <c r="H326" s="16" t="str">
        <f>IFERROR(__xludf.DUMMYFUNCTION("""COMPUTED_VALUE"""),"Cairo University")</f>
        <v>Cairo University</v>
      </c>
      <c r="I326" s="16" t="str">
        <f>IFERROR(__xludf.DUMMYFUNCTION("""COMPUTED_VALUE"""),"Turkey")</f>
        <v>Turkey</v>
      </c>
      <c r="J326" s="16" t="str">
        <f>IFERROR(__xludf.DUMMYFUNCTION("""COMPUTED_VALUE"""),"ISTANBUL")</f>
        <v>ISTANBUL</v>
      </c>
      <c r="K326" s="17" t="str">
        <f>IFERROR(__xludf.DUMMYFUNCTION("""COMPUTED_VALUE"""),"https://expa.aiesec.org/opportunities/1298284")</f>
        <v>https://expa.aiesec.org/opportunities/1298284</v>
      </c>
      <c r="L326" s="16" t="str">
        <f>IFERROR(__xludf.DUMMYFUNCTION("""COMPUTED_VALUE"""),"GV")</f>
        <v>GV</v>
      </c>
      <c r="M326" s="16" t="str">
        <f>IFERROR(__xludf.DUMMYFUNCTION("""COMPUTED_VALUE"""),"short")</f>
        <v>short</v>
      </c>
      <c r="N326" s="18">
        <f>IFERROR(__xludf.DUMMYFUNCTION("""COMPUTED_VALUE"""),45199.0)</f>
        <v>45199</v>
      </c>
      <c r="O326" s="18">
        <f>IFERROR(__xludf.DUMMYFUNCTION("""COMPUTED_VALUE"""),45474.0)</f>
        <v>45474</v>
      </c>
      <c r="P326" s="18">
        <f>IFERROR(__xludf.DUMMYFUNCTION("""COMPUTED_VALUE"""),45516.0)</f>
        <v>45516</v>
      </c>
      <c r="Q326" s="18"/>
      <c r="R326" s="18"/>
      <c r="S326" s="16"/>
      <c r="T326" s="16"/>
      <c r="U326" s="16" t="str">
        <f>IFERROR(__xludf.DUMMYFUNCTION("""COMPUTED_VALUE"""),"Global Classroom")</f>
        <v>Global Classroom</v>
      </c>
      <c r="V326" s="16" t="str">
        <f>IFERROR(__xludf.DUMMYFUNCTION("""COMPUTED_VALUE"""),"Cairo Univeristy")</f>
        <v>Cairo Univeristy</v>
      </c>
      <c r="W326" s="16" t="str">
        <f>IFERROR(__xludf.DUMMYFUNCTION("""COMPUTED_VALUE"""),"2023-02-19T06:08:37Z")</f>
        <v>2023-02-19T06:08:37Z</v>
      </c>
      <c r="X326" s="16"/>
      <c r="Y326" s="16"/>
      <c r="Z326" s="16"/>
    </row>
    <row r="327">
      <c r="A327" s="16" t="str">
        <f>IFERROR(__xludf.DUMMYFUNCTION("""COMPUTED_VALUE"""),"4379124_1299393")</f>
        <v>4379124_1299393</v>
      </c>
      <c r="B327" s="16" t="str">
        <f>IFERROR(__xludf.DUMMYFUNCTION("""COMPUTED_VALUE"""),"Ramsha Hafiz")</f>
        <v>Ramsha Hafiz</v>
      </c>
      <c r="C327" s="16" t="str">
        <f>IFERROR(__xludf.DUMMYFUNCTION("""COMPUTED_VALUE"""),"realization_broken")</f>
        <v>realization_broken</v>
      </c>
      <c r="D327" s="16" t="str">
        <f>IFERROR(__xludf.DUMMYFUNCTION("""COMPUTED_VALUE"""),"No")</f>
        <v>No</v>
      </c>
      <c r="E327" s="16" t="str">
        <f>IFERROR(__xludf.DUMMYFUNCTION("""COMPUTED_VALUE"""),"p_a8b536ca10a17c7125fc0ec2c9a2381dae30b812@inbound.aiesec.org")</f>
        <v>p_a8b536ca10a17c7125fc0ec2c9a2381dae30b812@inbound.aiesec.org</v>
      </c>
      <c r="F327" s="16">
        <f>IFERROR(__xludf.DUMMYFUNCTION("""COMPUTED_VALUE"""),5.434613824E9)</f>
        <v>5434613824</v>
      </c>
      <c r="G327" s="16" t="str">
        <f>IFERROR(__xludf.DUMMYFUNCTION("""COMPUTED_VALUE"""),"Turkey")</f>
        <v>Turkey</v>
      </c>
      <c r="H327" s="16" t="str">
        <f>IFERROR(__xludf.DUMMYFUNCTION("""COMPUTED_VALUE"""),"ISTANBUL")</f>
        <v>ISTANBUL</v>
      </c>
      <c r="I327" s="16" t="str">
        <f>IFERROR(__xludf.DUMMYFUNCTION("""COMPUTED_VALUE"""),"Egypt")</f>
        <v>Egypt</v>
      </c>
      <c r="J327" s="16" t="str">
        <f>IFERROR(__xludf.DUMMYFUNCTION("""COMPUTED_VALUE"""),"Menofia")</f>
        <v>Menofia</v>
      </c>
      <c r="K327" s="17" t="str">
        <f>IFERROR(__xludf.DUMMYFUNCTION("""COMPUTED_VALUE"""),"https://expa.aiesec.org/opportunities/1299393")</f>
        <v>https://expa.aiesec.org/opportunities/1299393</v>
      </c>
      <c r="L327" s="16" t="str">
        <f>IFERROR(__xludf.DUMMYFUNCTION("""COMPUTED_VALUE"""),"GTa")</f>
        <v>GTa</v>
      </c>
      <c r="M327" s="16" t="str">
        <f>IFERROR(__xludf.DUMMYFUNCTION("""COMPUTED_VALUE"""),"short")</f>
        <v>short</v>
      </c>
      <c r="N327" s="18">
        <f>IFERROR(__xludf.DUMMYFUNCTION("""COMPUTED_VALUE"""),45199.0)</f>
        <v>45199</v>
      </c>
      <c r="O327" s="18">
        <f>IFERROR(__xludf.DUMMYFUNCTION("""COMPUTED_VALUE"""),45245.0)</f>
        <v>45245</v>
      </c>
      <c r="P327" s="18">
        <f>IFERROR(__xludf.DUMMYFUNCTION("""COMPUTED_VALUE"""),45287.0)</f>
        <v>45287</v>
      </c>
      <c r="Q327" s="18"/>
      <c r="R327" s="18"/>
      <c r="S327" s="16"/>
      <c r="T327" s="16" t="str">
        <f>IFERROR(__xludf.DUMMYFUNCTION("""COMPUTED_VALUE"""),"Marketing")</f>
        <v>Marketing</v>
      </c>
      <c r="U327" s="16" t="str">
        <f>IFERROR(__xludf.DUMMYFUNCTION("""COMPUTED_VALUE"""),"Marketing Manager")</f>
        <v>Marketing Manager</v>
      </c>
      <c r="V327" s="16" t="str">
        <f>IFERROR(__xludf.DUMMYFUNCTION("""COMPUTED_VALUE"""),"ISTANBUL - BEYOGLU")</f>
        <v>ISTANBUL - BEYOGLU</v>
      </c>
      <c r="W327" s="16" t="str">
        <f>IFERROR(__xludf.DUMMYFUNCTION("""COMPUTED_VALUE"""),"2020-09-25T21:24:00Z")</f>
        <v>2020-09-25T21:24:00Z</v>
      </c>
      <c r="X327" s="16"/>
      <c r="Y327" s="16"/>
      <c r="Z327" s="16"/>
    </row>
    <row r="328">
      <c r="A328" s="16" t="str">
        <f>IFERROR(__xludf.DUMMYFUNCTION("""COMPUTED_VALUE"""),"4381594_1272564")</f>
        <v>4381594_1272564</v>
      </c>
      <c r="B328" s="16" t="str">
        <f>IFERROR(__xludf.DUMMYFUNCTION("""COMPUTED_VALUE"""),"Yevheniia Starodubtseva")</f>
        <v>Yevheniia Starodubtseva</v>
      </c>
      <c r="C328" s="16" t="str">
        <f>IFERROR(__xludf.DUMMYFUNCTION("""COMPUTED_VALUE"""),"approved")</f>
        <v>approved</v>
      </c>
      <c r="D328" s="16" t="str">
        <f>IFERROR(__xludf.DUMMYFUNCTION("""COMPUTED_VALUE"""),"No")</f>
        <v>No</v>
      </c>
      <c r="E328" s="16" t="str">
        <f>IFERROR(__xludf.DUMMYFUNCTION("""COMPUTED_VALUE"""),"p_01d57887cdec6925ede715b8c9b6d5d2fcda422f@inbound.aiesec.org")</f>
        <v>p_01d57887cdec6925ede715b8c9b6d5d2fcda422f@inbound.aiesec.org</v>
      </c>
      <c r="F328" s="16">
        <f>IFERROR(__xludf.DUMMYFUNCTION("""COMPUTED_VALUE"""),6.34610756E8)</f>
        <v>634610756</v>
      </c>
      <c r="G328" s="16" t="str">
        <f>IFERROR(__xludf.DUMMYFUNCTION("""COMPUTED_VALUE"""),"Ukraine")</f>
        <v>Ukraine</v>
      </c>
      <c r="H328" s="16" t="str">
        <f>IFERROR(__xludf.DUMMYFUNCTION("""COMPUTED_VALUE"""),"KYIV")</f>
        <v>KYIV</v>
      </c>
      <c r="I328" s="16" t="str">
        <f>IFERROR(__xludf.DUMMYFUNCTION("""COMPUTED_VALUE"""),"Turkey")</f>
        <v>Turkey</v>
      </c>
      <c r="J328" s="16" t="str">
        <f>IFERROR(__xludf.DUMMYFUNCTION("""COMPUTED_VALUE"""),"ISTANBUL")</f>
        <v>ISTANBUL</v>
      </c>
      <c r="K328" s="17" t="str">
        <f>IFERROR(__xludf.DUMMYFUNCTION("""COMPUTED_VALUE"""),"https://expa.aiesec.org/opportunities/1272564")</f>
        <v>https://expa.aiesec.org/opportunities/1272564</v>
      </c>
      <c r="L328" s="16" t="str">
        <f>IFERROR(__xludf.DUMMYFUNCTION("""COMPUTED_VALUE"""),"GV")</f>
        <v>GV</v>
      </c>
      <c r="M328" s="16" t="str">
        <f>IFERROR(__xludf.DUMMYFUNCTION("""COMPUTED_VALUE"""),"short")</f>
        <v>short</v>
      </c>
      <c r="N328" s="18">
        <f>IFERROR(__xludf.DUMMYFUNCTION("""COMPUTED_VALUE"""),45200.0)</f>
        <v>45200</v>
      </c>
      <c r="O328" s="18">
        <f>IFERROR(__xludf.DUMMYFUNCTION("""COMPUTED_VALUE"""),45369.0)</f>
        <v>45369</v>
      </c>
      <c r="P328" s="18">
        <f>IFERROR(__xludf.DUMMYFUNCTION("""COMPUTED_VALUE"""),45411.0)</f>
        <v>45411</v>
      </c>
      <c r="Q328" s="18"/>
      <c r="R328" s="18"/>
      <c r="S328" s="16"/>
      <c r="T328" s="16"/>
      <c r="U328" s="16" t="str">
        <f>IFERROR(__xludf.DUMMYFUNCTION("""COMPUTED_VALUE"""),"Global Classroom")</f>
        <v>Global Classroom</v>
      </c>
      <c r="V328" s="16" t="str">
        <f>IFERROR(__xludf.DUMMYFUNCTION("""COMPUTED_VALUE"""),"Kyiv")</f>
        <v>Kyiv</v>
      </c>
      <c r="W328" s="16" t="str">
        <f>IFERROR(__xludf.DUMMYFUNCTION("""COMPUTED_VALUE"""),"2020-09-29T07:05:06Z")</f>
        <v>2020-09-29T07:05:06Z</v>
      </c>
      <c r="X328" s="16"/>
      <c r="Y328" s="16"/>
      <c r="Z328" s="16"/>
    </row>
    <row r="329">
      <c r="A329" s="16" t="str">
        <f>IFERROR(__xludf.DUMMYFUNCTION("""COMPUTED_VALUE"""),"5318149_1291783")</f>
        <v>5318149_1291783</v>
      </c>
      <c r="B329" s="16" t="str">
        <f>IFERROR(__xludf.DUMMYFUNCTION("""COMPUTED_VALUE"""),"omar ighoud")</f>
        <v>omar ighoud</v>
      </c>
      <c r="C329" s="16" t="str">
        <f>IFERROR(__xludf.DUMMYFUNCTION("""COMPUTED_VALUE"""),"realized")</f>
        <v>realized</v>
      </c>
      <c r="D329" s="16" t="str">
        <f>IFERROR(__xludf.DUMMYFUNCTION("""COMPUTED_VALUE"""),"No")</f>
        <v>No</v>
      </c>
      <c r="E329" s="16" t="str">
        <f>IFERROR(__xludf.DUMMYFUNCTION("""COMPUTED_VALUE"""),"p_6ff8e3fa0d941f31467eb314ca1103e7d97710b2@inbound.aiesec.org")</f>
        <v>p_6ff8e3fa0d941f31467eb314ca1103e7d97710b2@inbound.aiesec.org</v>
      </c>
      <c r="F329" s="16"/>
      <c r="G329" s="16" t="str">
        <f>IFERROR(__xludf.DUMMYFUNCTION("""COMPUTED_VALUE"""),"Morocco")</f>
        <v>Morocco</v>
      </c>
      <c r="H329" s="16" t="str">
        <f>IFERROR(__xludf.DUMMYFUNCTION("""COMPUTED_VALUE"""),"Casablanca")</f>
        <v>Casablanca</v>
      </c>
      <c r="I329" s="16" t="str">
        <f>IFERROR(__xludf.DUMMYFUNCTION("""COMPUTED_VALUE"""),"Turkey")</f>
        <v>Turkey</v>
      </c>
      <c r="J329" s="16" t="str">
        <f>IFERROR(__xludf.DUMMYFUNCTION("""COMPUTED_VALUE"""),"ISTANBUL")</f>
        <v>ISTANBUL</v>
      </c>
      <c r="K329" s="17" t="str">
        <f>IFERROR(__xludf.DUMMYFUNCTION("""COMPUTED_VALUE"""),"https://expa.aiesec.org/opportunities/1291783")</f>
        <v>https://expa.aiesec.org/opportunities/1291783</v>
      </c>
      <c r="L329" s="16" t="str">
        <f>IFERROR(__xludf.DUMMYFUNCTION("""COMPUTED_VALUE"""),"GTa")</f>
        <v>GTa</v>
      </c>
      <c r="M329" s="16" t="str">
        <f>IFERROR(__xludf.DUMMYFUNCTION("""COMPUTED_VALUE"""),"long")</f>
        <v>long</v>
      </c>
      <c r="N329" s="18">
        <f>IFERROR(__xludf.DUMMYFUNCTION("""COMPUTED_VALUE"""),45202.0)</f>
        <v>45202</v>
      </c>
      <c r="O329" s="18">
        <f>IFERROR(__xludf.DUMMYFUNCTION("""COMPUTED_VALUE"""),45236.0)</f>
        <v>45236</v>
      </c>
      <c r="P329" s="18">
        <f>IFERROR(__xludf.DUMMYFUNCTION("""COMPUTED_VALUE"""),45723.0)</f>
        <v>45723</v>
      </c>
      <c r="Q329" s="18">
        <f>IFERROR(__xludf.DUMMYFUNCTION("""COMPUTED_VALUE"""),45209.0)</f>
        <v>45209</v>
      </c>
      <c r="R329" s="18">
        <f>IFERROR(__xludf.DUMMYFUNCTION("""COMPUTED_VALUE"""),45723.0)</f>
        <v>45723</v>
      </c>
      <c r="S329" s="16"/>
      <c r="T329" s="16" t="str">
        <f>IFERROR(__xludf.DUMMYFUNCTION("""COMPUTED_VALUE"""),"Business Administration")</f>
        <v>Business Administration</v>
      </c>
      <c r="U329" s="16" t="str">
        <f>IFERROR(__xludf.DUMMYFUNCTION("""COMPUTED_VALUE"""),"Telesales Internship in Istanbul")</f>
        <v>Telesales Internship in Istanbul</v>
      </c>
      <c r="V329" s="16" t="str">
        <f>IFERROR(__xludf.DUMMYFUNCTION("""COMPUTED_VALUE"""),"-")</f>
        <v>-</v>
      </c>
      <c r="W329" s="16" t="str">
        <f>IFERROR(__xludf.DUMMYFUNCTION("""COMPUTED_VALUE"""),"2023-09-04T16:37:47Z")</f>
        <v>2023-09-04T16:37:47Z</v>
      </c>
      <c r="X329" s="16"/>
      <c r="Y329" s="16"/>
      <c r="Z329" s="16"/>
    </row>
    <row r="330">
      <c r="A330" s="16" t="str">
        <f>IFERROR(__xludf.DUMMYFUNCTION("""COMPUTED_VALUE"""),"5339625_1298766")</f>
        <v>5339625_1298766</v>
      </c>
      <c r="B330" s="16" t="str">
        <f>IFERROR(__xludf.DUMMYFUNCTION("""COMPUTED_VALUE"""),"Hatice Berfin Kurutçu")</f>
        <v>Hatice Berfin Kurutçu</v>
      </c>
      <c r="C330" s="16" t="str">
        <f>IFERROR(__xludf.DUMMYFUNCTION("""COMPUTED_VALUE"""),"realized")</f>
        <v>realized</v>
      </c>
      <c r="D330" s="16" t="str">
        <f>IFERROR(__xludf.DUMMYFUNCTION("""COMPUTED_VALUE"""),"No")</f>
        <v>No</v>
      </c>
      <c r="E330" s="16" t="str">
        <f>IFERROR(__xludf.DUMMYFUNCTION("""COMPUTED_VALUE"""),"p_949845a54e5c3e0dec7c081ce0ed50cf8642ebb1@inbound.aiesec.org")</f>
        <v>p_949845a54e5c3e0dec7c081ce0ed50cf8642ebb1@inbound.aiesec.org</v>
      </c>
      <c r="F330" s="16"/>
      <c r="G330" s="16" t="str">
        <f>IFERROR(__xludf.DUMMYFUNCTION("""COMPUTED_VALUE"""),"Turkey")</f>
        <v>Turkey</v>
      </c>
      <c r="H330" s="16" t="str">
        <f>IFERROR(__xludf.DUMMYFUNCTION("""COMPUTED_VALUE"""),"ISTANBUL")</f>
        <v>ISTANBUL</v>
      </c>
      <c r="I330" s="16" t="str">
        <f>IFERROR(__xludf.DUMMYFUNCTION("""COMPUTED_VALUE"""),"Tunisia")</f>
        <v>Tunisia</v>
      </c>
      <c r="J330" s="16" t="str">
        <f>IFERROR(__xludf.DUMMYFUNCTION("""COMPUTED_VALUE"""),"RUSPINA")</f>
        <v>RUSPINA</v>
      </c>
      <c r="K330" s="17" t="str">
        <f>IFERROR(__xludf.DUMMYFUNCTION("""COMPUTED_VALUE"""),"https://expa.aiesec.org/opportunities/1298766")</f>
        <v>https://expa.aiesec.org/opportunities/1298766</v>
      </c>
      <c r="L330" s="16" t="str">
        <f>IFERROR(__xludf.DUMMYFUNCTION("""COMPUTED_VALUE"""),"GV")</f>
        <v>GV</v>
      </c>
      <c r="M330" s="16" t="str">
        <f>IFERROR(__xludf.DUMMYFUNCTION("""COMPUTED_VALUE"""),"short")</f>
        <v>short</v>
      </c>
      <c r="N330" s="18">
        <f>IFERROR(__xludf.DUMMYFUNCTION("""COMPUTED_VALUE"""),45203.0)</f>
        <v>45203</v>
      </c>
      <c r="O330" s="18">
        <f>IFERROR(__xludf.DUMMYFUNCTION("""COMPUTED_VALUE"""),45311.0)</f>
        <v>45311</v>
      </c>
      <c r="P330" s="18">
        <f>IFERROR(__xludf.DUMMYFUNCTION("""COMPUTED_VALUE"""),45353.0)</f>
        <v>45353</v>
      </c>
      <c r="Q330" s="18">
        <f>IFERROR(__xludf.DUMMYFUNCTION("""COMPUTED_VALUE"""),45316.0)</f>
        <v>45316</v>
      </c>
      <c r="R330" s="18">
        <f>IFERROR(__xludf.DUMMYFUNCTION("""COMPUTED_VALUE"""),45358.0)</f>
        <v>45358</v>
      </c>
      <c r="S330" s="16"/>
      <c r="T330" s="16"/>
      <c r="U330" s="16" t="str">
        <f>IFERROR(__xludf.DUMMYFUNCTION("""COMPUTED_VALUE"""),"Global Classroom")</f>
        <v>Global Classroom</v>
      </c>
      <c r="V330" s="16" t="str">
        <f>IFERROR(__xludf.DUMMYFUNCTION("""COMPUTED_VALUE"""),"-")</f>
        <v>-</v>
      </c>
      <c r="W330" s="16" t="str">
        <f>IFERROR(__xludf.DUMMYFUNCTION("""COMPUTED_VALUE"""),"2023-10-02T09:45:19Z")</f>
        <v>2023-10-02T09:45:19Z</v>
      </c>
      <c r="X330" s="16"/>
      <c r="Y330" s="16"/>
      <c r="Z330" s="16"/>
    </row>
    <row r="331">
      <c r="A331" s="16" t="str">
        <f>IFERROR(__xludf.DUMMYFUNCTION("""COMPUTED_VALUE"""),"5331141_1289339")</f>
        <v>5331141_1289339</v>
      </c>
      <c r="B331" s="16" t="str">
        <f>IFERROR(__xludf.DUMMYFUNCTION("""COMPUTED_VALUE"""),"Nehir yalçın")</f>
        <v>Nehir yalçın</v>
      </c>
      <c r="C331" s="16" t="str">
        <f>IFERROR(__xludf.DUMMYFUNCTION("""COMPUTED_VALUE"""),"approved")</f>
        <v>approved</v>
      </c>
      <c r="D331" s="16" t="str">
        <f>IFERROR(__xludf.DUMMYFUNCTION("""COMPUTED_VALUE"""),"No")</f>
        <v>No</v>
      </c>
      <c r="E331" s="16" t="str">
        <f>IFERROR(__xludf.DUMMYFUNCTION("""COMPUTED_VALUE"""),"p_961c6b71dd58ce17c63f4c103eae0e9280b08881@inbound.aiesec.org")</f>
        <v>p_961c6b71dd58ce17c63f4c103eae0e9280b08881@inbound.aiesec.org</v>
      </c>
      <c r="F331" s="16">
        <f>IFERROR(__xludf.DUMMYFUNCTION("""COMPUTED_VALUE"""),5.412975103E9)</f>
        <v>5412975103</v>
      </c>
      <c r="G331" s="16" t="str">
        <f>IFERROR(__xludf.DUMMYFUNCTION("""COMPUTED_VALUE"""),"Turkey")</f>
        <v>Turkey</v>
      </c>
      <c r="H331" s="16" t="str">
        <f>IFERROR(__xludf.DUMMYFUNCTION("""COMPUTED_VALUE"""),"ISTANBUL")</f>
        <v>ISTANBUL</v>
      </c>
      <c r="I331" s="16" t="str">
        <f>IFERROR(__xludf.DUMMYFUNCTION("""COMPUTED_VALUE"""),"Egypt")</f>
        <v>Egypt</v>
      </c>
      <c r="J331" s="16" t="str">
        <f>IFERROR(__xludf.DUMMYFUNCTION("""COMPUTED_VALUE"""),"Ain Shams University")</f>
        <v>Ain Shams University</v>
      </c>
      <c r="K331" s="17" t="str">
        <f>IFERROR(__xludf.DUMMYFUNCTION("""COMPUTED_VALUE"""),"https://expa.aiesec.org/opportunities/1289339")</f>
        <v>https://expa.aiesec.org/opportunities/1289339</v>
      </c>
      <c r="L331" s="16" t="str">
        <f>IFERROR(__xludf.DUMMYFUNCTION("""COMPUTED_VALUE"""),"GV")</f>
        <v>GV</v>
      </c>
      <c r="M331" s="16" t="str">
        <f>IFERROR(__xludf.DUMMYFUNCTION("""COMPUTED_VALUE"""),"short")</f>
        <v>short</v>
      </c>
      <c r="N331" s="18">
        <f>IFERROR(__xludf.DUMMYFUNCTION("""COMPUTED_VALUE"""),45203.0)</f>
        <v>45203</v>
      </c>
      <c r="O331" s="18">
        <f>IFERROR(__xludf.DUMMYFUNCTION("""COMPUTED_VALUE"""),45488.0)</f>
        <v>45488</v>
      </c>
      <c r="P331" s="18">
        <f>IFERROR(__xludf.DUMMYFUNCTION("""COMPUTED_VALUE"""),45530.0)</f>
        <v>45530</v>
      </c>
      <c r="Q331" s="18"/>
      <c r="R331" s="18"/>
      <c r="S331" s="16"/>
      <c r="T331" s="16"/>
      <c r="U331" s="16" t="str">
        <f>IFERROR(__xludf.DUMMYFUNCTION("""COMPUTED_VALUE"""),"Rooted")</f>
        <v>Rooted</v>
      </c>
      <c r="V331" s="16" t="str">
        <f>IFERROR(__xludf.DUMMYFUNCTION("""COMPUTED_VALUE"""),"AYDIN")</f>
        <v>AYDIN</v>
      </c>
      <c r="W331" s="16" t="str">
        <f>IFERROR(__xludf.DUMMYFUNCTION("""COMPUTED_VALUE"""),"2023-09-24T10:12:59Z")</f>
        <v>2023-09-24T10:12:59Z</v>
      </c>
      <c r="X331" s="16"/>
      <c r="Y331" s="16"/>
      <c r="Z331" s="16"/>
    </row>
    <row r="332">
      <c r="A332" s="16" t="str">
        <f>IFERROR(__xludf.DUMMYFUNCTION("""COMPUTED_VALUE"""),"5336056_1289536")</f>
        <v>5336056_1289536</v>
      </c>
      <c r="B332" s="16" t="str">
        <f>IFERROR(__xludf.DUMMYFUNCTION("""COMPUTED_VALUE"""),"Habiba Abdelhamid")</f>
        <v>Habiba Abdelhamid</v>
      </c>
      <c r="C332" s="16" t="str">
        <f>IFERROR(__xludf.DUMMYFUNCTION("""COMPUTED_VALUE"""),"approved")</f>
        <v>approved</v>
      </c>
      <c r="D332" s="16" t="str">
        <f>IFERROR(__xludf.DUMMYFUNCTION("""COMPUTED_VALUE"""),"No")</f>
        <v>No</v>
      </c>
      <c r="E332" s="16" t="str">
        <f>IFERROR(__xludf.DUMMYFUNCTION("""COMPUTED_VALUE"""),"p_13a8242a7f18d84ca6870985e2dbba5afe1cf291@inbound.aiesec.org")</f>
        <v>p_13a8242a7f18d84ca6870985e2dbba5afe1cf291@inbound.aiesec.org</v>
      </c>
      <c r="F332" s="16">
        <f>IFERROR(__xludf.DUMMYFUNCTION("""COMPUTED_VALUE"""),1.024415068E9)</f>
        <v>1024415068</v>
      </c>
      <c r="G332" s="16" t="str">
        <f>IFERROR(__xludf.DUMMYFUNCTION("""COMPUTED_VALUE"""),"Egypt")</f>
        <v>Egypt</v>
      </c>
      <c r="H332" s="16" t="str">
        <f>IFERROR(__xludf.DUMMYFUNCTION("""COMPUTED_VALUE"""),"Beni Suef")</f>
        <v>Beni Suef</v>
      </c>
      <c r="I332" s="16" t="str">
        <f>IFERROR(__xludf.DUMMYFUNCTION("""COMPUTED_VALUE"""),"Turkey")</f>
        <v>Turkey</v>
      </c>
      <c r="J332" s="16" t="str">
        <f>IFERROR(__xludf.DUMMYFUNCTION("""COMPUTED_VALUE"""),"ISTANBUL")</f>
        <v>ISTANBUL</v>
      </c>
      <c r="K332" s="17" t="str">
        <f>IFERROR(__xludf.DUMMYFUNCTION("""COMPUTED_VALUE"""),"https://expa.aiesec.org/opportunities/1289536")</f>
        <v>https://expa.aiesec.org/opportunities/1289536</v>
      </c>
      <c r="L332" s="16" t="str">
        <f>IFERROR(__xludf.DUMMYFUNCTION("""COMPUTED_VALUE"""),"GV")</f>
        <v>GV</v>
      </c>
      <c r="M332" s="16" t="str">
        <f>IFERROR(__xludf.DUMMYFUNCTION("""COMPUTED_VALUE"""),"short")</f>
        <v>short</v>
      </c>
      <c r="N332" s="18">
        <f>IFERROR(__xludf.DUMMYFUNCTION("""COMPUTED_VALUE"""),45203.0)</f>
        <v>45203</v>
      </c>
      <c r="O332" s="18">
        <f>IFERROR(__xludf.DUMMYFUNCTION("""COMPUTED_VALUE"""),45487.0)</f>
        <v>45487</v>
      </c>
      <c r="P332" s="18">
        <f>IFERROR(__xludf.DUMMYFUNCTION("""COMPUTED_VALUE"""),45529.0)</f>
        <v>45529</v>
      </c>
      <c r="Q332" s="18"/>
      <c r="R332" s="18"/>
      <c r="S332" s="16"/>
      <c r="T332" s="16"/>
      <c r="U332" s="16" t="str">
        <f>IFERROR(__xludf.DUMMYFUNCTION("""COMPUTED_VALUE"""),"Global Classroom")</f>
        <v>Global Classroom</v>
      </c>
      <c r="V332" s="16" t="str">
        <f>IFERROR(__xludf.DUMMYFUNCTION("""COMPUTED_VALUE"""),"Beni Suef")</f>
        <v>Beni Suef</v>
      </c>
      <c r="W332" s="16" t="str">
        <f>IFERROR(__xludf.DUMMYFUNCTION("""COMPUTED_VALUE"""),"2023-09-28T10:10:03Z")</f>
        <v>2023-09-28T10:10:03Z</v>
      </c>
      <c r="X332" s="16"/>
      <c r="Y332" s="16"/>
      <c r="Z332" s="16"/>
    </row>
    <row r="333">
      <c r="A333" s="16" t="str">
        <f>IFERROR(__xludf.DUMMYFUNCTION("""COMPUTED_VALUE"""),"1495980_1289536")</f>
        <v>1495980_1289536</v>
      </c>
      <c r="B333" s="16" t="str">
        <f>IFERROR(__xludf.DUMMYFUNCTION("""COMPUTED_VALUE"""),"YOUNGEUN SONG")</f>
        <v>YOUNGEUN SONG</v>
      </c>
      <c r="C333" s="16" t="str">
        <f>IFERROR(__xludf.DUMMYFUNCTION("""COMPUTED_VALUE"""),"approved")</f>
        <v>approved</v>
      </c>
      <c r="D333" s="16" t="str">
        <f>IFERROR(__xludf.DUMMYFUNCTION("""COMPUTED_VALUE"""),"No")</f>
        <v>No</v>
      </c>
      <c r="E333" s="16" t="str">
        <f>IFERROR(__xludf.DUMMYFUNCTION("""COMPUTED_VALUE"""),"p_c4d89ae4eb8ddb24363069cd438ebdb187d90613@inbound.aiesec.org")</f>
        <v>p_c4d89ae4eb8ddb24363069cd438ebdb187d90613@inbound.aiesec.org</v>
      </c>
      <c r="F333" s="16">
        <f>IFERROR(__xludf.DUMMYFUNCTION("""COMPUTED_VALUE"""),4.11344901E8)</f>
        <v>411344901</v>
      </c>
      <c r="G333" s="16" t="str">
        <f>IFERROR(__xludf.DUMMYFUNCTION("""COMPUTED_VALUE"""),"Australia")</f>
        <v>Australia</v>
      </c>
      <c r="H333" s="16" t="str">
        <f>IFERROR(__xludf.DUMMYFUNCTION("""COMPUTED_VALUE"""),"Monash University")</f>
        <v>Monash University</v>
      </c>
      <c r="I333" s="16" t="str">
        <f>IFERROR(__xludf.DUMMYFUNCTION("""COMPUTED_VALUE"""),"Turkey")</f>
        <v>Turkey</v>
      </c>
      <c r="J333" s="16" t="str">
        <f>IFERROR(__xludf.DUMMYFUNCTION("""COMPUTED_VALUE"""),"ISTANBUL")</f>
        <v>ISTANBUL</v>
      </c>
      <c r="K333" s="17" t="str">
        <f>IFERROR(__xludf.DUMMYFUNCTION("""COMPUTED_VALUE"""),"https://expa.aiesec.org/opportunities/1289536")</f>
        <v>https://expa.aiesec.org/opportunities/1289536</v>
      </c>
      <c r="L333" s="16" t="str">
        <f>IFERROR(__xludf.DUMMYFUNCTION("""COMPUTED_VALUE"""),"GV")</f>
        <v>GV</v>
      </c>
      <c r="M333" s="16" t="str">
        <f>IFERROR(__xludf.DUMMYFUNCTION("""COMPUTED_VALUE"""),"short")</f>
        <v>short</v>
      </c>
      <c r="N333" s="18">
        <f>IFERROR(__xludf.DUMMYFUNCTION("""COMPUTED_VALUE"""),45204.0)</f>
        <v>45204</v>
      </c>
      <c r="O333" s="18">
        <f>IFERROR(__xludf.DUMMYFUNCTION("""COMPUTED_VALUE"""),45305.0)</f>
        <v>45305</v>
      </c>
      <c r="P333" s="18">
        <f>IFERROR(__xludf.DUMMYFUNCTION("""COMPUTED_VALUE"""),45347.0)</f>
        <v>45347</v>
      </c>
      <c r="Q333" s="18"/>
      <c r="R333" s="18"/>
      <c r="S333" s="16"/>
      <c r="T333" s="16"/>
      <c r="U333" s="16" t="str">
        <f>IFERROR(__xludf.DUMMYFUNCTION("""COMPUTED_VALUE"""),"Global Classroom")</f>
        <v>Global Classroom</v>
      </c>
      <c r="V333" s="16" t="str">
        <f>IFERROR(__xludf.DUMMYFUNCTION("""COMPUTED_VALUE"""),"-")</f>
        <v>-</v>
      </c>
      <c r="W333" s="16" t="str">
        <f>IFERROR(__xludf.DUMMYFUNCTION("""COMPUTED_VALUE"""),"2017-04-12T01:45:04Z")</f>
        <v>2017-04-12T01:45:04Z</v>
      </c>
      <c r="X333" s="16"/>
      <c r="Y333" s="16"/>
      <c r="Z333" s="16"/>
    </row>
    <row r="334">
      <c r="A334" s="16" t="str">
        <f>IFERROR(__xludf.DUMMYFUNCTION("""COMPUTED_VALUE"""),"5343115_1289536")</f>
        <v>5343115_1289536</v>
      </c>
      <c r="B334" s="16" t="str">
        <f>IFERROR(__xludf.DUMMYFUNCTION("""COMPUTED_VALUE"""),"Mariam Mohamed")</f>
        <v>Mariam Mohamed</v>
      </c>
      <c r="C334" s="16" t="str">
        <f>IFERROR(__xludf.DUMMYFUNCTION("""COMPUTED_VALUE"""),"approved")</f>
        <v>approved</v>
      </c>
      <c r="D334" s="16" t="str">
        <f>IFERROR(__xludf.DUMMYFUNCTION("""COMPUTED_VALUE"""),"No")</f>
        <v>No</v>
      </c>
      <c r="E334" s="16" t="str">
        <f>IFERROR(__xludf.DUMMYFUNCTION("""COMPUTED_VALUE"""),"p_5d1a9834e6d6973f1f0ef44439a065ac546aad51@inbound.aiesec.org")</f>
        <v>p_5d1a9834e6d6973f1f0ef44439a065ac546aad51@inbound.aiesec.org</v>
      </c>
      <c r="F334" s="16">
        <f>IFERROR(__xludf.DUMMYFUNCTION("""COMPUTED_VALUE"""),1.025989783E9)</f>
        <v>1025989783</v>
      </c>
      <c r="G334" s="16" t="str">
        <f>IFERROR(__xludf.DUMMYFUNCTION("""COMPUTED_VALUE"""),"Egypt")</f>
        <v>Egypt</v>
      </c>
      <c r="H334" s="16" t="str">
        <f>IFERROR(__xludf.DUMMYFUNCTION("""COMPUTED_VALUE"""),"Beni Suef")</f>
        <v>Beni Suef</v>
      </c>
      <c r="I334" s="16" t="str">
        <f>IFERROR(__xludf.DUMMYFUNCTION("""COMPUTED_VALUE"""),"Turkey")</f>
        <v>Turkey</v>
      </c>
      <c r="J334" s="16" t="str">
        <f>IFERROR(__xludf.DUMMYFUNCTION("""COMPUTED_VALUE"""),"ISTANBUL")</f>
        <v>ISTANBUL</v>
      </c>
      <c r="K334" s="17" t="str">
        <f>IFERROR(__xludf.DUMMYFUNCTION("""COMPUTED_VALUE"""),"https://expa.aiesec.org/opportunities/1289536")</f>
        <v>https://expa.aiesec.org/opportunities/1289536</v>
      </c>
      <c r="L334" s="16" t="str">
        <f>IFERROR(__xludf.DUMMYFUNCTION("""COMPUTED_VALUE"""),"GV")</f>
        <v>GV</v>
      </c>
      <c r="M334" s="16" t="str">
        <f>IFERROR(__xludf.DUMMYFUNCTION("""COMPUTED_VALUE"""),"short")</f>
        <v>short</v>
      </c>
      <c r="N334" s="18">
        <f>IFERROR(__xludf.DUMMYFUNCTION("""COMPUTED_VALUE"""),45204.0)</f>
        <v>45204</v>
      </c>
      <c r="O334" s="18">
        <f>IFERROR(__xludf.DUMMYFUNCTION("""COMPUTED_VALUE"""),45474.0)</f>
        <v>45474</v>
      </c>
      <c r="P334" s="18">
        <f>IFERROR(__xludf.DUMMYFUNCTION("""COMPUTED_VALUE"""),45516.0)</f>
        <v>45516</v>
      </c>
      <c r="Q334" s="18"/>
      <c r="R334" s="18"/>
      <c r="S334" s="16"/>
      <c r="T334" s="16"/>
      <c r="U334" s="16" t="str">
        <f>IFERROR(__xludf.DUMMYFUNCTION("""COMPUTED_VALUE"""),"Global Classroom")</f>
        <v>Global Classroom</v>
      </c>
      <c r="V334" s="16" t="str">
        <f>IFERROR(__xludf.DUMMYFUNCTION("""COMPUTED_VALUE"""),"Beni Suef")</f>
        <v>Beni Suef</v>
      </c>
      <c r="W334" s="16" t="str">
        <f>IFERROR(__xludf.DUMMYFUNCTION("""COMPUTED_VALUE"""),"2023-10-05T12:23:03Z")</f>
        <v>2023-10-05T12:23:03Z</v>
      </c>
      <c r="X334" s="16"/>
      <c r="Y334" s="16"/>
      <c r="Z334" s="16"/>
    </row>
    <row r="335">
      <c r="A335" s="16" t="str">
        <f>IFERROR(__xludf.DUMMYFUNCTION("""COMPUTED_VALUE"""),"5336638_1289536")</f>
        <v>5336638_1289536</v>
      </c>
      <c r="B335" s="16" t="str">
        <f>IFERROR(__xludf.DUMMYFUNCTION("""COMPUTED_VALUE"""),"Roaa Samir")</f>
        <v>Roaa Samir</v>
      </c>
      <c r="C335" s="16" t="str">
        <f>IFERROR(__xludf.DUMMYFUNCTION("""COMPUTED_VALUE"""),"approved")</f>
        <v>approved</v>
      </c>
      <c r="D335" s="16" t="str">
        <f>IFERROR(__xludf.DUMMYFUNCTION("""COMPUTED_VALUE"""),"No")</f>
        <v>No</v>
      </c>
      <c r="E335" s="16" t="str">
        <f>IFERROR(__xludf.DUMMYFUNCTION("""COMPUTED_VALUE"""),"p_e4c5e0a7d2c630743006de0f2366cfd231fd129f@inbound.aiesec.org")</f>
        <v>p_e4c5e0a7d2c630743006de0f2366cfd231fd129f@inbound.aiesec.org</v>
      </c>
      <c r="F335" s="16">
        <f>IFERROR(__xludf.DUMMYFUNCTION("""COMPUTED_VALUE"""),1.014399816E9)</f>
        <v>1014399816</v>
      </c>
      <c r="G335" s="16" t="str">
        <f>IFERROR(__xludf.DUMMYFUNCTION("""COMPUTED_VALUE"""),"Egypt")</f>
        <v>Egypt</v>
      </c>
      <c r="H335" s="16" t="str">
        <f>IFERROR(__xludf.DUMMYFUNCTION("""COMPUTED_VALUE"""),"Beni Suef")</f>
        <v>Beni Suef</v>
      </c>
      <c r="I335" s="16" t="str">
        <f>IFERROR(__xludf.DUMMYFUNCTION("""COMPUTED_VALUE"""),"Turkey")</f>
        <v>Turkey</v>
      </c>
      <c r="J335" s="16" t="str">
        <f>IFERROR(__xludf.DUMMYFUNCTION("""COMPUTED_VALUE"""),"ISTANBUL")</f>
        <v>ISTANBUL</v>
      </c>
      <c r="K335" s="17" t="str">
        <f>IFERROR(__xludf.DUMMYFUNCTION("""COMPUTED_VALUE"""),"https://expa.aiesec.org/opportunities/1289536")</f>
        <v>https://expa.aiesec.org/opportunities/1289536</v>
      </c>
      <c r="L335" s="16" t="str">
        <f>IFERROR(__xludf.DUMMYFUNCTION("""COMPUTED_VALUE"""),"GV")</f>
        <v>GV</v>
      </c>
      <c r="M335" s="16" t="str">
        <f>IFERROR(__xludf.DUMMYFUNCTION("""COMPUTED_VALUE"""),"short")</f>
        <v>short</v>
      </c>
      <c r="N335" s="18">
        <f>IFERROR(__xludf.DUMMYFUNCTION("""COMPUTED_VALUE"""),45204.0)</f>
        <v>45204</v>
      </c>
      <c r="O335" s="18">
        <f>IFERROR(__xludf.DUMMYFUNCTION("""COMPUTED_VALUE"""),45487.0)</f>
        <v>45487</v>
      </c>
      <c r="P335" s="18">
        <f>IFERROR(__xludf.DUMMYFUNCTION("""COMPUTED_VALUE"""),45529.0)</f>
        <v>45529</v>
      </c>
      <c r="Q335" s="18"/>
      <c r="R335" s="18"/>
      <c r="S335" s="16"/>
      <c r="T335" s="16"/>
      <c r="U335" s="16" t="str">
        <f>IFERROR(__xludf.DUMMYFUNCTION("""COMPUTED_VALUE"""),"Global Classroom")</f>
        <v>Global Classroom</v>
      </c>
      <c r="V335" s="16" t="str">
        <f>IFERROR(__xludf.DUMMYFUNCTION("""COMPUTED_VALUE"""),"Beni Suef")</f>
        <v>Beni Suef</v>
      </c>
      <c r="W335" s="16" t="str">
        <f>IFERROR(__xludf.DUMMYFUNCTION("""COMPUTED_VALUE"""),"2023-09-28T19:36:43Z")</f>
        <v>2023-09-28T19:36:43Z</v>
      </c>
      <c r="X335" s="16"/>
      <c r="Y335" s="16"/>
      <c r="Z335" s="16"/>
    </row>
    <row r="336">
      <c r="A336" s="16" t="str">
        <f>IFERROR(__xludf.DUMMYFUNCTION("""COMPUTED_VALUE"""),"5341273_1293417")</f>
        <v>5341273_1293417</v>
      </c>
      <c r="B336" s="16" t="str">
        <f>IFERROR(__xludf.DUMMYFUNCTION("""COMPUTED_VALUE"""),"Sabrine Ayari")</f>
        <v>Sabrine Ayari</v>
      </c>
      <c r="C336" s="16" t="str">
        <f>IFERROR(__xludf.DUMMYFUNCTION("""COMPUTED_VALUE"""),"approved")</f>
        <v>approved</v>
      </c>
      <c r="D336" s="16" t="str">
        <f>IFERROR(__xludf.DUMMYFUNCTION("""COMPUTED_VALUE"""),"No")</f>
        <v>No</v>
      </c>
      <c r="E336" s="16" t="str">
        <f>IFERROR(__xludf.DUMMYFUNCTION("""COMPUTED_VALUE"""),"p_b160a5488136dea7ac2954baea148efb13f96bbf@inbound.aiesec.org")</f>
        <v>p_b160a5488136dea7ac2954baea148efb13f96bbf@inbound.aiesec.org</v>
      </c>
      <c r="F336" s="16">
        <f>IFERROR(__xludf.DUMMYFUNCTION("""COMPUTED_VALUE"""),2.3361258E7)</f>
        <v>23361258</v>
      </c>
      <c r="G336" s="16" t="str">
        <f>IFERROR(__xludf.DUMMYFUNCTION("""COMPUTED_VALUE"""),"Tunisia")</f>
        <v>Tunisia</v>
      </c>
      <c r="H336" s="16" t="str">
        <f>IFERROR(__xludf.DUMMYFUNCTION("""COMPUTED_VALUE"""),"MEDINA")</f>
        <v>MEDINA</v>
      </c>
      <c r="I336" s="16" t="str">
        <f>IFERROR(__xludf.DUMMYFUNCTION("""COMPUTED_VALUE"""),"Turkey")</f>
        <v>Turkey</v>
      </c>
      <c r="J336" s="16" t="str">
        <f>IFERROR(__xludf.DUMMYFUNCTION("""COMPUTED_VALUE"""),"ISTANBUL")</f>
        <v>ISTANBUL</v>
      </c>
      <c r="K336" s="17" t="str">
        <f>IFERROR(__xludf.DUMMYFUNCTION("""COMPUTED_VALUE"""),"https://expa.aiesec.org/opportunities/1293417")</f>
        <v>https://expa.aiesec.org/opportunities/1293417</v>
      </c>
      <c r="L336" s="16" t="str">
        <f>IFERROR(__xludf.DUMMYFUNCTION("""COMPUTED_VALUE"""),"GV")</f>
        <v>GV</v>
      </c>
      <c r="M336" s="16" t="str">
        <f>IFERROR(__xludf.DUMMYFUNCTION("""COMPUTED_VALUE"""),"short")</f>
        <v>short</v>
      </c>
      <c r="N336" s="18">
        <f>IFERROR(__xludf.DUMMYFUNCTION("""COMPUTED_VALUE"""),45204.0)</f>
        <v>45204</v>
      </c>
      <c r="O336" s="18">
        <f>IFERROR(__xludf.DUMMYFUNCTION("""COMPUTED_VALUE"""),45256.0)</f>
        <v>45256</v>
      </c>
      <c r="P336" s="18">
        <f>IFERROR(__xludf.DUMMYFUNCTION("""COMPUTED_VALUE"""),45298.0)</f>
        <v>45298</v>
      </c>
      <c r="Q336" s="18"/>
      <c r="R336" s="18"/>
      <c r="S336" s="16"/>
      <c r="T336" s="16"/>
      <c r="U336" s="16" t="str">
        <f>IFERROR(__xludf.DUMMYFUNCTION("""COMPUTED_VALUE"""),"Global Classroom")</f>
        <v>Global Classroom</v>
      </c>
      <c r="V336" s="16" t="str">
        <f>IFERROR(__xludf.DUMMYFUNCTION("""COMPUTED_VALUE"""),"IPSI")</f>
        <v>IPSI</v>
      </c>
      <c r="W336" s="16" t="str">
        <f>IFERROR(__xludf.DUMMYFUNCTION("""COMPUTED_VALUE"""),"2023-10-03T17:36:00Z")</f>
        <v>2023-10-03T17:36:00Z</v>
      </c>
      <c r="X336" s="16"/>
      <c r="Y336" s="16"/>
      <c r="Z336" s="16"/>
    </row>
    <row r="337">
      <c r="A337" s="16" t="str">
        <f>IFERROR(__xludf.DUMMYFUNCTION("""COMPUTED_VALUE"""),"5322972_1298053")</f>
        <v>5322972_1298053</v>
      </c>
      <c r="B337" s="16" t="str">
        <f>IFERROR(__xludf.DUMMYFUNCTION("""COMPUTED_VALUE"""),"Mustafa Ertuğrul")</f>
        <v>Mustafa Ertuğrul</v>
      </c>
      <c r="C337" s="16" t="str">
        <f>IFERROR(__xludf.DUMMYFUNCTION("""COMPUTED_VALUE"""),"approved")</f>
        <v>approved</v>
      </c>
      <c r="D337" s="16" t="str">
        <f>IFERROR(__xludf.DUMMYFUNCTION("""COMPUTED_VALUE"""),"No")</f>
        <v>No</v>
      </c>
      <c r="E337" s="16" t="str">
        <f>IFERROR(__xludf.DUMMYFUNCTION("""COMPUTED_VALUE"""),"p_5481bcd103b3c942bf05956246fe01e423b7ce4b@inbound.aiesec.org")</f>
        <v>p_5481bcd103b3c942bf05956246fe01e423b7ce4b@inbound.aiesec.org</v>
      </c>
      <c r="F337" s="16">
        <f>IFERROR(__xludf.DUMMYFUNCTION("""COMPUTED_VALUE"""),5.550094601E9)</f>
        <v>5550094601</v>
      </c>
      <c r="G337" s="16" t="str">
        <f>IFERROR(__xludf.DUMMYFUNCTION("""COMPUTED_VALUE"""),"Turkey")</f>
        <v>Turkey</v>
      </c>
      <c r="H337" s="16" t="str">
        <f>IFERROR(__xludf.DUMMYFUNCTION("""COMPUTED_VALUE"""),"ISTANBUL")</f>
        <v>ISTANBUL</v>
      </c>
      <c r="I337" s="16" t="str">
        <f>IFERROR(__xludf.DUMMYFUNCTION("""COMPUTED_VALUE"""),"Romania")</f>
        <v>Romania</v>
      </c>
      <c r="J337" s="16" t="str">
        <f>IFERROR(__xludf.DUMMYFUNCTION("""COMPUTED_VALUE"""),"PITESTI")</f>
        <v>PITESTI</v>
      </c>
      <c r="K337" s="17" t="str">
        <f>IFERROR(__xludf.DUMMYFUNCTION("""COMPUTED_VALUE"""),"https://expa.aiesec.org/opportunities/1298053")</f>
        <v>https://expa.aiesec.org/opportunities/1298053</v>
      </c>
      <c r="L337" s="16" t="str">
        <f>IFERROR(__xludf.DUMMYFUNCTION("""COMPUTED_VALUE"""),"GV")</f>
        <v>GV</v>
      </c>
      <c r="M337" s="16" t="str">
        <f>IFERROR(__xludf.DUMMYFUNCTION("""COMPUTED_VALUE"""),"short")</f>
        <v>short</v>
      </c>
      <c r="N337" s="18">
        <f>IFERROR(__xludf.DUMMYFUNCTION("""COMPUTED_VALUE"""),45205.0)</f>
        <v>45205</v>
      </c>
      <c r="O337" s="18">
        <f>IFERROR(__xludf.DUMMYFUNCTION("""COMPUTED_VALUE"""),45297.0)</f>
        <v>45297</v>
      </c>
      <c r="P337" s="18">
        <f>IFERROR(__xludf.DUMMYFUNCTION("""COMPUTED_VALUE"""),45339.0)</f>
        <v>45339</v>
      </c>
      <c r="Q337" s="18"/>
      <c r="R337" s="18"/>
      <c r="S337" s="16"/>
      <c r="T337" s="16"/>
      <c r="U337" s="16" t="str">
        <f>IFERROR(__xludf.DUMMYFUNCTION("""COMPUTED_VALUE"""),"Eat 4 Change")</f>
        <v>Eat 4 Change</v>
      </c>
      <c r="V337" s="16" t="str">
        <f>IFERROR(__xludf.DUMMYFUNCTION("""COMPUTED_VALUE"""),"ISTANBUL - BEYOGLU")</f>
        <v>ISTANBUL - BEYOGLU</v>
      </c>
      <c r="W337" s="16" t="str">
        <f>IFERROR(__xludf.DUMMYFUNCTION("""COMPUTED_VALUE"""),"2023-09-13T10:34:06Z")</f>
        <v>2023-09-13T10:34:06Z</v>
      </c>
      <c r="X337" s="16"/>
      <c r="Y337" s="16"/>
      <c r="Z337" s="16"/>
    </row>
    <row r="338">
      <c r="A338" s="16" t="str">
        <f>IFERROR(__xludf.DUMMYFUNCTION("""COMPUTED_VALUE"""),"5343943_1287966")</f>
        <v>5343943_1287966</v>
      </c>
      <c r="B338" s="16" t="str">
        <f>IFERROR(__xludf.DUMMYFUNCTION("""COMPUTED_VALUE"""),"Nabihah Ahmad Munawir")</f>
        <v>Nabihah Ahmad Munawir</v>
      </c>
      <c r="C338" s="16" t="str">
        <f>IFERROR(__xludf.DUMMYFUNCTION("""COMPUTED_VALUE"""),"approved")</f>
        <v>approved</v>
      </c>
      <c r="D338" s="16" t="str">
        <f>IFERROR(__xludf.DUMMYFUNCTION("""COMPUTED_VALUE"""),"No")</f>
        <v>No</v>
      </c>
      <c r="E338" s="16" t="str">
        <f>IFERROR(__xludf.DUMMYFUNCTION("""COMPUTED_VALUE"""),"p_c7089b063745e201a3f0d66b313b805d7ba0200b@inbound.aiesec.org")</f>
        <v>p_c7089b063745e201a3f0d66b313b805d7ba0200b@inbound.aiesec.org</v>
      </c>
      <c r="F338" s="16">
        <f>IFERROR(__xludf.DUMMYFUNCTION("""COMPUTED_VALUE"""),1.03952072E8)</f>
        <v>103952072</v>
      </c>
      <c r="G338" s="16" t="str">
        <f>IFERROR(__xludf.DUMMYFUNCTION("""COMPUTED_VALUE"""),"Malaysia")</f>
        <v>Malaysia</v>
      </c>
      <c r="H338" s="16" t="str">
        <f>IFERROR(__xludf.DUMMYFUNCTION("""COMPUTED_VALUE"""),"Taylor's University (TU) , Subang Jaya")</f>
        <v>Taylor's University (TU) , Subang Jaya</v>
      </c>
      <c r="I338" s="16" t="str">
        <f>IFERROR(__xludf.DUMMYFUNCTION("""COMPUTED_VALUE"""),"Turkey")</f>
        <v>Turkey</v>
      </c>
      <c r="J338" s="16" t="str">
        <f>IFERROR(__xludf.DUMMYFUNCTION("""COMPUTED_VALUE"""),"ISTANBUL")</f>
        <v>ISTANBUL</v>
      </c>
      <c r="K338" s="17" t="str">
        <f>IFERROR(__xludf.DUMMYFUNCTION("""COMPUTED_VALUE"""),"https://expa.aiesec.org/opportunities/1287966")</f>
        <v>https://expa.aiesec.org/opportunities/1287966</v>
      </c>
      <c r="L338" s="16" t="str">
        <f>IFERROR(__xludf.DUMMYFUNCTION("""COMPUTED_VALUE"""),"GV")</f>
        <v>GV</v>
      </c>
      <c r="M338" s="16" t="str">
        <f>IFERROR(__xludf.DUMMYFUNCTION("""COMPUTED_VALUE"""),"short")</f>
        <v>short</v>
      </c>
      <c r="N338" s="18">
        <f>IFERROR(__xludf.DUMMYFUNCTION("""COMPUTED_VALUE"""),45206.0)</f>
        <v>45206</v>
      </c>
      <c r="O338" s="18">
        <f>IFERROR(__xludf.DUMMYFUNCTION("""COMPUTED_VALUE"""),45333.0)</f>
        <v>45333</v>
      </c>
      <c r="P338" s="18">
        <f>IFERROR(__xludf.DUMMYFUNCTION("""COMPUTED_VALUE"""),45375.0)</f>
        <v>45375</v>
      </c>
      <c r="Q338" s="18"/>
      <c r="R338" s="18"/>
      <c r="S338" s="16"/>
      <c r="T338" s="16"/>
      <c r="U338" s="16" t="str">
        <f>IFERROR(__xludf.DUMMYFUNCTION("""COMPUTED_VALUE"""),"Heartbeat")</f>
        <v>Heartbeat</v>
      </c>
      <c r="V338" s="16" t="str">
        <f>IFERROR(__xludf.DUMMYFUNCTION("""COMPUTED_VALUE"""),"Taylor's University (TU), Subang Jaya")</f>
        <v>Taylor's University (TU), Subang Jaya</v>
      </c>
      <c r="W338" s="16" t="str">
        <f>IFERROR(__xludf.DUMMYFUNCTION("""COMPUTED_VALUE"""),"2023-10-06T14:47:39Z")</f>
        <v>2023-10-06T14:47:39Z</v>
      </c>
      <c r="X338" s="16"/>
      <c r="Y338" s="16"/>
      <c r="Z338" s="16"/>
    </row>
    <row r="339">
      <c r="A339" s="16" t="str">
        <f>IFERROR(__xludf.DUMMYFUNCTION("""COMPUTED_VALUE"""),"3220166_1298284")</f>
        <v>3220166_1298284</v>
      </c>
      <c r="B339" s="16" t="str">
        <f>IFERROR(__xludf.DUMMYFUNCTION("""COMPUTED_VALUE"""),"Valentyna Duka")</f>
        <v>Valentyna Duka</v>
      </c>
      <c r="C339" s="16" t="str">
        <f>IFERROR(__xludf.DUMMYFUNCTION("""COMPUTED_VALUE"""),"approved")</f>
        <v>approved</v>
      </c>
      <c r="D339" s="16" t="str">
        <f>IFERROR(__xludf.DUMMYFUNCTION("""COMPUTED_VALUE"""),"No")</f>
        <v>No</v>
      </c>
      <c r="E339" s="16" t="str">
        <f>IFERROR(__xludf.DUMMYFUNCTION("""COMPUTED_VALUE"""),"p_a1584685b6af6471652a9c380b4064788a5a7e51@inbound.aiesec.org")</f>
        <v>p_a1584685b6af6471652a9c380b4064788a5a7e51@inbound.aiesec.org</v>
      </c>
      <c r="F339" s="16">
        <f>IFERROR(__xludf.DUMMYFUNCTION("""COMPUTED_VALUE"""),6.35501003E8)</f>
        <v>635501003</v>
      </c>
      <c r="G339" s="16" t="str">
        <f>IFERROR(__xludf.DUMMYFUNCTION("""COMPUTED_VALUE"""),"Ukraine")</f>
        <v>Ukraine</v>
      </c>
      <c r="H339" s="16" t="str">
        <f>IFERROR(__xludf.DUMMYFUNCTION("""COMPUTED_VALUE"""),"TERNOPIL")</f>
        <v>TERNOPIL</v>
      </c>
      <c r="I339" s="16" t="str">
        <f>IFERROR(__xludf.DUMMYFUNCTION("""COMPUTED_VALUE"""),"Turkey")</f>
        <v>Turkey</v>
      </c>
      <c r="J339" s="16" t="str">
        <f>IFERROR(__xludf.DUMMYFUNCTION("""COMPUTED_VALUE"""),"ISTANBUL")</f>
        <v>ISTANBUL</v>
      </c>
      <c r="K339" s="17" t="str">
        <f>IFERROR(__xludf.DUMMYFUNCTION("""COMPUTED_VALUE"""),"https://expa.aiesec.org/opportunities/1298284")</f>
        <v>https://expa.aiesec.org/opportunities/1298284</v>
      </c>
      <c r="L339" s="16" t="str">
        <f>IFERROR(__xludf.DUMMYFUNCTION("""COMPUTED_VALUE"""),"GV")</f>
        <v>GV</v>
      </c>
      <c r="M339" s="16" t="str">
        <f>IFERROR(__xludf.DUMMYFUNCTION("""COMPUTED_VALUE"""),"short")</f>
        <v>short</v>
      </c>
      <c r="N339" s="18">
        <f>IFERROR(__xludf.DUMMYFUNCTION("""COMPUTED_VALUE"""),45206.0)</f>
        <v>45206</v>
      </c>
      <c r="O339" s="18">
        <f>IFERROR(__xludf.DUMMYFUNCTION("""COMPUTED_VALUE"""),45375.0)</f>
        <v>45375</v>
      </c>
      <c r="P339" s="18">
        <f>IFERROR(__xludf.DUMMYFUNCTION("""COMPUTED_VALUE"""),45417.0)</f>
        <v>45417</v>
      </c>
      <c r="Q339" s="18"/>
      <c r="R339" s="18"/>
      <c r="S339" s="16"/>
      <c r="T339" s="16"/>
      <c r="U339" s="16" t="str">
        <f>IFERROR(__xludf.DUMMYFUNCTION("""COMPUTED_VALUE"""),"Global Classroom")</f>
        <v>Global Classroom</v>
      </c>
      <c r="V339" s="16" t="str">
        <f>IFERROR(__xludf.DUMMYFUNCTION("""COMPUTED_VALUE"""),"Donetsk")</f>
        <v>Donetsk</v>
      </c>
      <c r="W339" s="16" t="str">
        <f>IFERROR(__xludf.DUMMYFUNCTION("""COMPUTED_VALUE"""),"2019-03-14T14:10:17Z")</f>
        <v>2019-03-14T14:10:17Z</v>
      </c>
      <c r="X339" s="16"/>
      <c r="Y339" s="16"/>
      <c r="Z339" s="16"/>
    </row>
    <row r="340">
      <c r="A340" s="16" t="str">
        <f>IFERROR(__xludf.DUMMYFUNCTION("""COMPUTED_VALUE"""),"5345136_1294063")</f>
        <v>5345136_1294063</v>
      </c>
      <c r="B340" s="16" t="str">
        <f>IFERROR(__xludf.DUMMYFUNCTION("""COMPUTED_VALUE"""),"Berke Yalçın")</f>
        <v>Berke Yalçın</v>
      </c>
      <c r="C340" s="16" t="str">
        <f>IFERROR(__xludf.DUMMYFUNCTION("""COMPUTED_VALUE"""),"approved")</f>
        <v>approved</v>
      </c>
      <c r="D340" s="16" t="str">
        <f>IFERROR(__xludf.DUMMYFUNCTION("""COMPUTED_VALUE"""),"No")</f>
        <v>No</v>
      </c>
      <c r="E340" s="16" t="str">
        <f>IFERROR(__xludf.DUMMYFUNCTION("""COMPUTED_VALUE"""),"p_1bc5ca18073d55b2ff9914b60ba8bde49dd33503@inbound.aiesec.org")</f>
        <v>p_1bc5ca18073d55b2ff9914b60ba8bde49dd33503@inbound.aiesec.org</v>
      </c>
      <c r="F340" s="16">
        <f>IFERROR(__xludf.DUMMYFUNCTION("""COMPUTED_VALUE"""),5.533269635E9)</f>
        <v>5533269635</v>
      </c>
      <c r="G340" s="16" t="str">
        <f>IFERROR(__xludf.DUMMYFUNCTION("""COMPUTED_VALUE"""),"Turkey")</f>
        <v>Turkey</v>
      </c>
      <c r="H340" s="16" t="str">
        <f>IFERROR(__xludf.DUMMYFUNCTION("""COMPUTED_VALUE"""),"ISTANBUL")</f>
        <v>ISTANBUL</v>
      </c>
      <c r="I340" s="16" t="str">
        <f>IFERROR(__xludf.DUMMYFUNCTION("""COMPUTED_VALUE"""),"Egypt")</f>
        <v>Egypt</v>
      </c>
      <c r="J340" s="16" t="str">
        <f>IFERROR(__xludf.DUMMYFUNCTION("""COMPUTED_VALUE"""),"Ain Shams University")</f>
        <v>Ain Shams University</v>
      </c>
      <c r="K340" s="17" t="str">
        <f>IFERROR(__xludf.DUMMYFUNCTION("""COMPUTED_VALUE"""),"https://expa.aiesec.org/opportunities/1294063")</f>
        <v>https://expa.aiesec.org/opportunities/1294063</v>
      </c>
      <c r="L340" s="16" t="str">
        <f>IFERROR(__xludf.DUMMYFUNCTION("""COMPUTED_VALUE"""),"GV")</f>
        <v>GV</v>
      </c>
      <c r="M340" s="16" t="str">
        <f>IFERROR(__xludf.DUMMYFUNCTION("""COMPUTED_VALUE"""),"short")</f>
        <v>short</v>
      </c>
      <c r="N340" s="18">
        <f>IFERROR(__xludf.DUMMYFUNCTION("""COMPUTED_VALUE"""),45208.0)</f>
        <v>45208</v>
      </c>
      <c r="O340" s="18">
        <f>IFERROR(__xludf.DUMMYFUNCTION("""COMPUTED_VALUE"""),45474.0)</f>
        <v>45474</v>
      </c>
      <c r="P340" s="18">
        <f>IFERROR(__xludf.DUMMYFUNCTION("""COMPUTED_VALUE"""),45516.0)</f>
        <v>45516</v>
      </c>
      <c r="Q340" s="18"/>
      <c r="R340" s="18"/>
      <c r="S340" s="16"/>
      <c r="T340" s="16"/>
      <c r="U340" s="16" t="str">
        <f>IFERROR(__xludf.DUMMYFUNCTION("""COMPUTED_VALUE"""),"On The Map")</f>
        <v>On The Map</v>
      </c>
      <c r="V340" s="16" t="str">
        <f>IFERROR(__xludf.DUMMYFUNCTION("""COMPUTED_VALUE"""),"ISTANBUL - BEYOGLU")</f>
        <v>ISTANBUL - BEYOGLU</v>
      </c>
      <c r="W340" s="16" t="str">
        <f>IFERROR(__xludf.DUMMYFUNCTION("""COMPUTED_VALUE"""),"2023-10-07T16:00:03Z")</f>
        <v>2023-10-07T16:00:03Z</v>
      </c>
      <c r="X340" s="16"/>
      <c r="Y340" s="16"/>
      <c r="Z340" s="16"/>
    </row>
    <row r="341">
      <c r="A341" s="16" t="str">
        <f>IFERROR(__xludf.DUMMYFUNCTION("""COMPUTED_VALUE"""),"5348197_1300058")</f>
        <v>5348197_1300058</v>
      </c>
      <c r="B341" s="16" t="str">
        <f>IFERROR(__xludf.DUMMYFUNCTION("""COMPUTED_VALUE"""),"Reha Evren Abalı")</f>
        <v>Reha Evren Abalı</v>
      </c>
      <c r="C341" s="16" t="str">
        <f>IFERROR(__xludf.DUMMYFUNCTION("""COMPUTED_VALUE"""),"approved")</f>
        <v>approved</v>
      </c>
      <c r="D341" s="16" t="str">
        <f>IFERROR(__xludf.DUMMYFUNCTION("""COMPUTED_VALUE"""),"No")</f>
        <v>No</v>
      </c>
      <c r="E341" s="16" t="str">
        <f>IFERROR(__xludf.DUMMYFUNCTION("""COMPUTED_VALUE"""),"p_f437cd841c28b216134c29b706d00cfeefa1268d@inbound.aiesec.org")</f>
        <v>p_f437cd841c28b216134c29b706d00cfeefa1268d@inbound.aiesec.org</v>
      </c>
      <c r="F341" s="16">
        <f>IFERROR(__xludf.DUMMYFUNCTION("""COMPUTED_VALUE"""),5.416712011E9)</f>
        <v>5416712011</v>
      </c>
      <c r="G341" s="16" t="str">
        <f>IFERROR(__xludf.DUMMYFUNCTION("""COMPUTED_VALUE"""),"Turkey")</f>
        <v>Turkey</v>
      </c>
      <c r="H341" s="16" t="str">
        <f>IFERROR(__xludf.DUMMYFUNCTION("""COMPUTED_VALUE"""),"ISTANBUL")</f>
        <v>ISTANBUL</v>
      </c>
      <c r="I341" s="16" t="str">
        <f>IFERROR(__xludf.DUMMYFUNCTION("""COMPUTED_VALUE"""),"Egypt")</f>
        <v>Egypt</v>
      </c>
      <c r="J341" s="16" t="str">
        <f>IFERROR(__xludf.DUMMYFUNCTION("""COMPUTED_VALUE"""),"Menofia")</f>
        <v>Menofia</v>
      </c>
      <c r="K341" s="17" t="str">
        <f>IFERROR(__xludf.DUMMYFUNCTION("""COMPUTED_VALUE"""),"https://expa.aiesec.org/opportunities/1300058")</f>
        <v>https://expa.aiesec.org/opportunities/1300058</v>
      </c>
      <c r="L341" s="16" t="str">
        <f>IFERROR(__xludf.DUMMYFUNCTION("""COMPUTED_VALUE"""),"GTa")</f>
        <v>GTa</v>
      </c>
      <c r="M341" s="16" t="str">
        <f>IFERROR(__xludf.DUMMYFUNCTION("""COMPUTED_VALUE"""),"short")</f>
        <v>short</v>
      </c>
      <c r="N341" s="18">
        <f>IFERROR(__xludf.DUMMYFUNCTION("""COMPUTED_VALUE"""),45209.0)</f>
        <v>45209</v>
      </c>
      <c r="O341" s="18">
        <f>IFERROR(__xludf.DUMMYFUNCTION("""COMPUTED_VALUE"""),45474.0)</f>
        <v>45474</v>
      </c>
      <c r="P341" s="18">
        <f>IFERROR(__xludf.DUMMYFUNCTION("""COMPUTED_VALUE"""),45519.0)</f>
        <v>45519</v>
      </c>
      <c r="Q341" s="18"/>
      <c r="R341" s="18"/>
      <c r="S341" s="16"/>
      <c r="T341" s="16" t="str">
        <f>IFERROR(__xludf.DUMMYFUNCTION("""COMPUTED_VALUE"""),"Marketing")</f>
        <v>Marketing</v>
      </c>
      <c r="U341" s="16" t="str">
        <f>IFERROR(__xludf.DUMMYFUNCTION("""COMPUTED_VALUE"""),"Socail Media Manager ")</f>
        <v>Socail Media Manager </v>
      </c>
      <c r="V341" s="16" t="str">
        <f>IFERROR(__xludf.DUMMYFUNCTION("""COMPUTED_VALUE"""),"ISTANBUL - BEYOGLU")</f>
        <v>ISTANBUL - BEYOGLU</v>
      </c>
      <c r="W341" s="16" t="str">
        <f>IFERROR(__xludf.DUMMYFUNCTION("""COMPUTED_VALUE"""),"2023-10-10T14:47:07Z")</f>
        <v>2023-10-10T14:47:07Z</v>
      </c>
      <c r="X341" s="16"/>
      <c r="Y341" s="16"/>
      <c r="Z341" s="16"/>
    </row>
    <row r="342">
      <c r="A342" s="16" t="str">
        <f>IFERROR(__xludf.DUMMYFUNCTION("""COMPUTED_VALUE"""),"5348065_1289536")</f>
        <v>5348065_1289536</v>
      </c>
      <c r="B342" s="16" t="str">
        <f>IFERROR(__xludf.DUMMYFUNCTION("""COMPUTED_VALUE"""),"mahdi jaouadi")</f>
        <v>mahdi jaouadi</v>
      </c>
      <c r="C342" s="16" t="str">
        <f>IFERROR(__xludf.DUMMYFUNCTION("""COMPUTED_VALUE"""),"approved")</f>
        <v>approved</v>
      </c>
      <c r="D342" s="16" t="str">
        <f>IFERROR(__xludf.DUMMYFUNCTION("""COMPUTED_VALUE"""),"No")</f>
        <v>No</v>
      </c>
      <c r="E342" s="16" t="str">
        <f>IFERROR(__xludf.DUMMYFUNCTION("""COMPUTED_VALUE"""),"p_dc9f1cde46cba79cf6e7605f6ab3c942569ab99a@inbound.aiesec.org")</f>
        <v>p_dc9f1cde46cba79cf6e7605f6ab3c942569ab99a@inbound.aiesec.org</v>
      </c>
      <c r="F342" s="16"/>
      <c r="G342" s="16" t="str">
        <f>IFERROR(__xludf.DUMMYFUNCTION("""COMPUTED_VALUE"""),"Tunisia")</f>
        <v>Tunisia</v>
      </c>
      <c r="H342" s="16" t="str">
        <f>IFERROR(__xludf.DUMMYFUNCTION("""COMPUTED_VALUE"""),"Carthage")</f>
        <v>Carthage</v>
      </c>
      <c r="I342" s="16" t="str">
        <f>IFERROR(__xludf.DUMMYFUNCTION("""COMPUTED_VALUE"""),"Turkey")</f>
        <v>Turkey</v>
      </c>
      <c r="J342" s="16" t="str">
        <f>IFERROR(__xludf.DUMMYFUNCTION("""COMPUTED_VALUE"""),"ISTANBUL")</f>
        <v>ISTANBUL</v>
      </c>
      <c r="K342" s="17" t="str">
        <f>IFERROR(__xludf.DUMMYFUNCTION("""COMPUTED_VALUE"""),"https://expa.aiesec.org/opportunities/1289536")</f>
        <v>https://expa.aiesec.org/opportunities/1289536</v>
      </c>
      <c r="L342" s="16" t="str">
        <f>IFERROR(__xludf.DUMMYFUNCTION("""COMPUTED_VALUE"""),"GV")</f>
        <v>GV</v>
      </c>
      <c r="M342" s="16" t="str">
        <f>IFERROR(__xludf.DUMMYFUNCTION("""COMPUTED_VALUE"""),"short")</f>
        <v>short</v>
      </c>
      <c r="N342" s="18">
        <f>IFERROR(__xludf.DUMMYFUNCTION("""COMPUTED_VALUE"""),45209.0)</f>
        <v>45209</v>
      </c>
      <c r="O342" s="18">
        <f>IFERROR(__xludf.DUMMYFUNCTION("""COMPUTED_VALUE"""),45487.0)</f>
        <v>45487</v>
      </c>
      <c r="P342" s="18">
        <f>IFERROR(__xludf.DUMMYFUNCTION("""COMPUTED_VALUE"""),45529.0)</f>
        <v>45529</v>
      </c>
      <c r="Q342" s="18"/>
      <c r="R342" s="18"/>
      <c r="S342" s="16"/>
      <c r="T342" s="16"/>
      <c r="U342" s="16" t="str">
        <f>IFERROR(__xludf.DUMMYFUNCTION("""COMPUTED_VALUE"""),"Global Classroom")</f>
        <v>Global Classroom</v>
      </c>
      <c r="V342" s="16" t="str">
        <f>IFERROR(__xludf.DUMMYFUNCTION("""COMPUTED_VALUE"""),"-")</f>
        <v>-</v>
      </c>
      <c r="W342" s="16" t="str">
        <f>IFERROR(__xludf.DUMMYFUNCTION("""COMPUTED_VALUE"""),"2023-10-10T13:29:39Z")</f>
        <v>2023-10-10T13:29:39Z</v>
      </c>
      <c r="X342" s="16"/>
      <c r="Y342" s="16"/>
      <c r="Z342" s="16"/>
    </row>
    <row r="343">
      <c r="A343" s="16" t="str">
        <f>IFERROR(__xludf.DUMMYFUNCTION("""COMPUTED_VALUE"""),"5343305_1289536")</f>
        <v>5343305_1289536</v>
      </c>
      <c r="B343" s="16" t="str">
        <f>IFERROR(__xludf.DUMMYFUNCTION("""COMPUTED_VALUE"""),"Haythem Mami")</f>
        <v>Haythem Mami</v>
      </c>
      <c r="C343" s="16" t="str">
        <f>IFERROR(__xludf.DUMMYFUNCTION("""COMPUTED_VALUE"""),"approved")</f>
        <v>approved</v>
      </c>
      <c r="D343" s="16" t="str">
        <f>IFERROR(__xludf.DUMMYFUNCTION("""COMPUTED_VALUE"""),"No")</f>
        <v>No</v>
      </c>
      <c r="E343" s="16" t="str">
        <f>IFERROR(__xludf.DUMMYFUNCTION("""COMPUTED_VALUE"""),"p_1a06e4873e0f6fb59a19a21d3e25da2363fd59a1@inbound.aiesec.org")</f>
        <v>p_1a06e4873e0f6fb59a19a21d3e25da2363fd59a1@inbound.aiesec.org</v>
      </c>
      <c r="F343" s="16">
        <f>IFERROR(__xludf.DUMMYFUNCTION("""COMPUTED_VALUE"""),5.0205841E7)</f>
        <v>50205841</v>
      </c>
      <c r="G343" s="16" t="str">
        <f>IFERROR(__xludf.DUMMYFUNCTION("""COMPUTED_VALUE"""),"Tunisia")</f>
        <v>Tunisia</v>
      </c>
      <c r="H343" s="16" t="str">
        <f>IFERROR(__xludf.DUMMYFUNCTION("""COMPUTED_VALUE"""),"Carthage")</f>
        <v>Carthage</v>
      </c>
      <c r="I343" s="16" t="str">
        <f>IFERROR(__xludf.DUMMYFUNCTION("""COMPUTED_VALUE"""),"Turkey")</f>
        <v>Turkey</v>
      </c>
      <c r="J343" s="16" t="str">
        <f>IFERROR(__xludf.DUMMYFUNCTION("""COMPUTED_VALUE"""),"ISTANBUL")</f>
        <v>ISTANBUL</v>
      </c>
      <c r="K343" s="17" t="str">
        <f>IFERROR(__xludf.DUMMYFUNCTION("""COMPUTED_VALUE"""),"https://expa.aiesec.org/opportunities/1289536")</f>
        <v>https://expa.aiesec.org/opportunities/1289536</v>
      </c>
      <c r="L343" s="16" t="str">
        <f>IFERROR(__xludf.DUMMYFUNCTION("""COMPUTED_VALUE"""),"GV")</f>
        <v>GV</v>
      </c>
      <c r="M343" s="16" t="str">
        <f>IFERROR(__xludf.DUMMYFUNCTION("""COMPUTED_VALUE"""),"short")</f>
        <v>short</v>
      </c>
      <c r="N343" s="18">
        <f>IFERROR(__xludf.DUMMYFUNCTION("""COMPUTED_VALUE"""),45209.0)</f>
        <v>45209</v>
      </c>
      <c r="O343" s="18">
        <f>IFERROR(__xludf.DUMMYFUNCTION("""COMPUTED_VALUE"""),45474.0)</f>
        <v>45474</v>
      </c>
      <c r="P343" s="18">
        <f>IFERROR(__xludf.DUMMYFUNCTION("""COMPUTED_VALUE"""),45516.0)</f>
        <v>45516</v>
      </c>
      <c r="Q343" s="18"/>
      <c r="R343" s="18"/>
      <c r="S343" s="16"/>
      <c r="T343" s="16"/>
      <c r="U343" s="16" t="str">
        <f>IFERROR(__xludf.DUMMYFUNCTION("""COMPUTED_VALUE"""),"Global Classroom")</f>
        <v>Global Classroom</v>
      </c>
      <c r="V343" s="16" t="str">
        <f>IFERROR(__xludf.DUMMYFUNCTION("""COMPUTED_VALUE"""),"INSAT")</f>
        <v>INSAT</v>
      </c>
      <c r="W343" s="16" t="str">
        <f>IFERROR(__xludf.DUMMYFUNCTION("""COMPUTED_VALUE"""),"2023-10-05T16:41:51Z")</f>
        <v>2023-10-05T16:41:51Z</v>
      </c>
      <c r="X343" s="16"/>
      <c r="Y343" s="16"/>
      <c r="Z343" s="16"/>
    </row>
    <row r="344">
      <c r="A344" s="16" t="str">
        <f>IFERROR(__xludf.DUMMYFUNCTION("""COMPUTED_VALUE"""),"5114158_1300050")</f>
        <v>5114158_1300050</v>
      </c>
      <c r="B344" s="16" t="str">
        <f>IFERROR(__xludf.DUMMYFUNCTION("""COMPUTED_VALUE"""),"Sudenaz Akın")</f>
        <v>Sudenaz Akın</v>
      </c>
      <c r="C344" s="16" t="str">
        <f>IFERROR(__xludf.DUMMYFUNCTION("""COMPUTED_VALUE"""),"approved")</f>
        <v>approved</v>
      </c>
      <c r="D344" s="16" t="str">
        <f>IFERROR(__xludf.DUMMYFUNCTION("""COMPUTED_VALUE"""),"No")</f>
        <v>No</v>
      </c>
      <c r="E344" s="16" t="str">
        <f>IFERROR(__xludf.DUMMYFUNCTION("""COMPUTED_VALUE"""),"p_db9c7f629a058cde1e5654ec8baba316857d0699@inbound.aiesec.org")</f>
        <v>p_db9c7f629a058cde1e5654ec8baba316857d0699@inbound.aiesec.org</v>
      </c>
      <c r="F344" s="16">
        <f>IFERROR(__xludf.DUMMYFUNCTION("""COMPUTED_VALUE"""),5.462437959E9)</f>
        <v>5462437959</v>
      </c>
      <c r="G344" s="16" t="str">
        <f>IFERROR(__xludf.DUMMYFUNCTION("""COMPUTED_VALUE"""),"Turkey")</f>
        <v>Turkey</v>
      </c>
      <c r="H344" s="16" t="str">
        <f>IFERROR(__xludf.DUMMYFUNCTION("""COMPUTED_VALUE"""),"ISTANBUL")</f>
        <v>ISTANBUL</v>
      </c>
      <c r="I344" s="16" t="str">
        <f>IFERROR(__xludf.DUMMYFUNCTION("""COMPUTED_VALUE"""),"Egypt")</f>
        <v>Egypt</v>
      </c>
      <c r="J344" s="16" t="str">
        <f>IFERROR(__xludf.DUMMYFUNCTION("""COMPUTED_VALUE"""),"Menofia")</f>
        <v>Menofia</v>
      </c>
      <c r="K344" s="17" t="str">
        <f>IFERROR(__xludf.DUMMYFUNCTION("""COMPUTED_VALUE"""),"https://expa.aiesec.org/opportunities/1300050")</f>
        <v>https://expa.aiesec.org/opportunities/1300050</v>
      </c>
      <c r="L344" s="16" t="str">
        <f>IFERROR(__xludf.DUMMYFUNCTION("""COMPUTED_VALUE"""),"GTa")</f>
        <v>GTa</v>
      </c>
      <c r="M344" s="16" t="str">
        <f>IFERROR(__xludf.DUMMYFUNCTION("""COMPUTED_VALUE"""),"short")</f>
        <v>short</v>
      </c>
      <c r="N344" s="18">
        <f>IFERROR(__xludf.DUMMYFUNCTION("""COMPUTED_VALUE"""),45209.0)</f>
        <v>45209</v>
      </c>
      <c r="O344" s="18">
        <f>IFERROR(__xludf.DUMMYFUNCTION("""COMPUTED_VALUE"""),45474.0)</f>
        <v>45474</v>
      </c>
      <c r="P344" s="18">
        <f>IFERROR(__xludf.DUMMYFUNCTION("""COMPUTED_VALUE"""),45516.0)</f>
        <v>45516</v>
      </c>
      <c r="Q344" s="18"/>
      <c r="R344" s="18"/>
      <c r="S344" s="16"/>
      <c r="T344" s="16" t="str">
        <f>IFERROR(__xludf.DUMMYFUNCTION("""COMPUTED_VALUE"""),"Marketing")</f>
        <v>Marketing</v>
      </c>
      <c r="U344" s="16" t="str">
        <f>IFERROR(__xludf.DUMMYFUNCTION("""COMPUTED_VALUE"""),"Marketing Manager ")</f>
        <v>Marketing Manager </v>
      </c>
      <c r="V344" s="16" t="str">
        <f>IFERROR(__xludf.DUMMYFUNCTION("""COMPUTED_VALUE"""),"ISTANBUL - BEYOGLU")</f>
        <v>ISTANBUL - BEYOGLU</v>
      </c>
      <c r="W344" s="16" t="str">
        <f>IFERROR(__xludf.DUMMYFUNCTION("""COMPUTED_VALUE"""),"2022-09-17T11:30:33Z")</f>
        <v>2022-09-17T11:30:33Z</v>
      </c>
      <c r="X344" s="16"/>
      <c r="Y344" s="16"/>
      <c r="Z344" s="16"/>
    </row>
    <row r="345">
      <c r="A345" s="16" t="str">
        <f>IFERROR(__xludf.DUMMYFUNCTION("""COMPUTED_VALUE"""),"5348349_1298284")</f>
        <v>5348349_1298284</v>
      </c>
      <c r="B345" s="16" t="str">
        <f>IFERROR(__xludf.DUMMYFUNCTION("""COMPUTED_VALUE"""),"mariem gaaliche")</f>
        <v>mariem gaaliche</v>
      </c>
      <c r="C345" s="16" t="str">
        <f>IFERROR(__xludf.DUMMYFUNCTION("""COMPUTED_VALUE"""),"approved")</f>
        <v>approved</v>
      </c>
      <c r="D345" s="16" t="str">
        <f>IFERROR(__xludf.DUMMYFUNCTION("""COMPUTED_VALUE"""),"No")</f>
        <v>No</v>
      </c>
      <c r="E345" s="16" t="str">
        <f>IFERROR(__xludf.DUMMYFUNCTION("""COMPUTED_VALUE"""),"p_f3b5a63e27bc68db6fbcc9ac548594ed217c69d3@inbound.aiesec.org")</f>
        <v>p_f3b5a63e27bc68db6fbcc9ac548594ed217c69d3@inbound.aiesec.org</v>
      </c>
      <c r="F345" s="16">
        <f>IFERROR(__xludf.DUMMYFUNCTION("""COMPUTED_VALUE"""),2.9814824E7)</f>
        <v>29814824</v>
      </c>
      <c r="G345" s="16" t="str">
        <f>IFERROR(__xludf.DUMMYFUNCTION("""COMPUTED_VALUE"""),"Tunisia")</f>
        <v>Tunisia</v>
      </c>
      <c r="H345" s="16" t="str">
        <f>IFERROR(__xludf.DUMMYFUNCTION("""COMPUTED_VALUE"""),"HADRUMET")</f>
        <v>HADRUMET</v>
      </c>
      <c r="I345" s="16" t="str">
        <f>IFERROR(__xludf.DUMMYFUNCTION("""COMPUTED_VALUE"""),"Turkey")</f>
        <v>Turkey</v>
      </c>
      <c r="J345" s="16" t="str">
        <f>IFERROR(__xludf.DUMMYFUNCTION("""COMPUTED_VALUE"""),"ISTANBUL")</f>
        <v>ISTANBUL</v>
      </c>
      <c r="K345" s="17" t="str">
        <f>IFERROR(__xludf.DUMMYFUNCTION("""COMPUTED_VALUE"""),"https://expa.aiesec.org/opportunities/1298284")</f>
        <v>https://expa.aiesec.org/opportunities/1298284</v>
      </c>
      <c r="L345" s="16" t="str">
        <f>IFERROR(__xludf.DUMMYFUNCTION("""COMPUTED_VALUE"""),"GV")</f>
        <v>GV</v>
      </c>
      <c r="M345" s="16" t="str">
        <f>IFERROR(__xludf.DUMMYFUNCTION("""COMPUTED_VALUE"""),"short")</f>
        <v>short</v>
      </c>
      <c r="N345" s="18">
        <f>IFERROR(__xludf.DUMMYFUNCTION("""COMPUTED_VALUE"""),45209.0)</f>
        <v>45209</v>
      </c>
      <c r="O345" s="18">
        <f>IFERROR(__xludf.DUMMYFUNCTION("""COMPUTED_VALUE"""),45474.0)</f>
        <v>45474</v>
      </c>
      <c r="P345" s="18">
        <f>IFERROR(__xludf.DUMMYFUNCTION("""COMPUTED_VALUE"""),45516.0)</f>
        <v>45516</v>
      </c>
      <c r="Q345" s="18"/>
      <c r="R345" s="18"/>
      <c r="S345" s="16"/>
      <c r="T345" s="16"/>
      <c r="U345" s="16" t="str">
        <f>IFERROR(__xludf.DUMMYFUNCTION("""COMPUTED_VALUE"""),"Global Classroom")</f>
        <v>Global Classroom</v>
      </c>
      <c r="V345" s="16" t="str">
        <f>IFERROR(__xludf.DUMMYFUNCTION("""COMPUTED_VALUE"""),"ISIT COM Sousse")</f>
        <v>ISIT COM Sousse</v>
      </c>
      <c r="W345" s="16" t="str">
        <f>IFERROR(__xludf.DUMMYFUNCTION("""COMPUTED_VALUE"""),"2023-10-10T17:42:23Z")</f>
        <v>2023-10-10T17:42:23Z</v>
      </c>
      <c r="X345" s="16"/>
      <c r="Y345" s="16"/>
      <c r="Z345" s="16"/>
    </row>
    <row r="346">
      <c r="A346" s="16" t="str">
        <f>IFERROR(__xludf.DUMMYFUNCTION("""COMPUTED_VALUE"""),"5348463_1289536")</f>
        <v>5348463_1289536</v>
      </c>
      <c r="B346" s="16" t="str">
        <f>IFERROR(__xludf.DUMMYFUNCTION("""COMPUTED_VALUE"""),"Mathias Lobo de Camargo Pereira")</f>
        <v>Mathias Lobo de Camargo Pereira</v>
      </c>
      <c r="C346" s="16" t="str">
        <f>IFERROR(__xludf.DUMMYFUNCTION("""COMPUTED_VALUE"""),"approved")</f>
        <v>approved</v>
      </c>
      <c r="D346" s="16" t="str">
        <f>IFERROR(__xludf.DUMMYFUNCTION("""COMPUTED_VALUE"""),"No")</f>
        <v>No</v>
      </c>
      <c r="E346" s="16" t="str">
        <f>IFERROR(__xludf.DUMMYFUNCTION("""COMPUTED_VALUE"""),"p_4229bd5fc78f47477798bb68478157a2bd4a2958@inbound.aiesec.org")</f>
        <v>p_4229bd5fc78f47477798bb68478157a2bd4a2958@inbound.aiesec.org</v>
      </c>
      <c r="F346" s="16">
        <f>IFERROR(__xludf.DUMMYFUNCTION("""COMPUTED_VALUE"""),9.26028172E8)</f>
        <v>926028172</v>
      </c>
      <c r="G346" s="16" t="str">
        <f>IFERROR(__xludf.DUMMYFUNCTION("""COMPUTED_VALUE"""),"Portugal")</f>
        <v>Portugal</v>
      </c>
      <c r="H346" s="16" t="str">
        <f>IFERROR(__xludf.DUMMYFUNCTION("""COMPUTED_VALUE"""),"Lisboa ISEG")</f>
        <v>Lisboa ISEG</v>
      </c>
      <c r="I346" s="16" t="str">
        <f>IFERROR(__xludf.DUMMYFUNCTION("""COMPUTED_VALUE"""),"Turkey")</f>
        <v>Turkey</v>
      </c>
      <c r="J346" s="16" t="str">
        <f>IFERROR(__xludf.DUMMYFUNCTION("""COMPUTED_VALUE"""),"ISTANBUL")</f>
        <v>ISTANBUL</v>
      </c>
      <c r="K346" s="17" t="str">
        <f>IFERROR(__xludf.DUMMYFUNCTION("""COMPUTED_VALUE"""),"https://expa.aiesec.org/opportunities/1289536")</f>
        <v>https://expa.aiesec.org/opportunities/1289536</v>
      </c>
      <c r="L346" s="16" t="str">
        <f>IFERROR(__xludf.DUMMYFUNCTION("""COMPUTED_VALUE"""),"GV")</f>
        <v>GV</v>
      </c>
      <c r="M346" s="16" t="str">
        <f>IFERROR(__xludf.DUMMYFUNCTION("""COMPUTED_VALUE"""),"short")</f>
        <v>short</v>
      </c>
      <c r="N346" s="18">
        <f>IFERROR(__xludf.DUMMYFUNCTION("""COMPUTED_VALUE"""),45209.0)</f>
        <v>45209</v>
      </c>
      <c r="O346" s="18">
        <f>IFERROR(__xludf.DUMMYFUNCTION("""COMPUTED_VALUE"""),45487.0)</f>
        <v>45487</v>
      </c>
      <c r="P346" s="18">
        <f>IFERROR(__xludf.DUMMYFUNCTION("""COMPUTED_VALUE"""),45529.0)</f>
        <v>45529</v>
      </c>
      <c r="Q346" s="18"/>
      <c r="R346" s="18"/>
      <c r="S346" s="16"/>
      <c r="T346" s="16"/>
      <c r="U346" s="16" t="str">
        <f>IFERROR(__xludf.DUMMYFUNCTION("""COMPUTED_VALUE"""),"Global Classroom")</f>
        <v>Global Classroom</v>
      </c>
      <c r="V346" s="16" t="str">
        <f>IFERROR(__xludf.DUMMYFUNCTION("""COMPUTED_VALUE"""),"Universidade de Lisboa - Instituto Superior de Economia e Gestão (ISEG)")</f>
        <v>Universidade de Lisboa - Instituto Superior de Economia e Gestão (ISEG)</v>
      </c>
      <c r="W346" s="16" t="str">
        <f>IFERROR(__xludf.DUMMYFUNCTION("""COMPUTED_VALUE"""),"2023-10-10T20:32:59Z")</f>
        <v>2023-10-10T20:32:59Z</v>
      </c>
      <c r="X346" s="16"/>
      <c r="Y346" s="16"/>
      <c r="Z346" s="16"/>
    </row>
    <row r="347">
      <c r="A347" s="16" t="str">
        <f>IFERROR(__xludf.DUMMYFUNCTION("""COMPUTED_VALUE"""),"5328025_1281345")</f>
        <v>5328025_1281345</v>
      </c>
      <c r="B347" s="16" t="str">
        <f>IFERROR(__xludf.DUMMYFUNCTION("""COMPUTED_VALUE"""),"Enes Özkan")</f>
        <v>Enes Özkan</v>
      </c>
      <c r="C347" s="16" t="str">
        <f>IFERROR(__xludf.DUMMYFUNCTION("""COMPUTED_VALUE"""),"approved")</f>
        <v>approved</v>
      </c>
      <c r="D347" s="16" t="str">
        <f>IFERROR(__xludf.DUMMYFUNCTION("""COMPUTED_VALUE"""),"No")</f>
        <v>No</v>
      </c>
      <c r="E347" s="16" t="str">
        <f>IFERROR(__xludf.DUMMYFUNCTION("""COMPUTED_VALUE"""),"p_e686ec65d4fba6b93e406fed0a6cd95822d3acf2@inbound.aiesec.org")</f>
        <v>p_e686ec65d4fba6b93e406fed0a6cd95822d3acf2@inbound.aiesec.org</v>
      </c>
      <c r="F347" s="16">
        <f>IFERROR(__xludf.DUMMYFUNCTION("""COMPUTED_VALUE"""),5.385003423E9)</f>
        <v>5385003423</v>
      </c>
      <c r="G347" s="16" t="str">
        <f>IFERROR(__xludf.DUMMYFUNCTION("""COMPUTED_VALUE"""),"Turkey")</f>
        <v>Turkey</v>
      </c>
      <c r="H347" s="16" t="str">
        <f>IFERROR(__xludf.DUMMYFUNCTION("""COMPUTED_VALUE"""),"ISTANBUL")</f>
        <v>ISTANBUL</v>
      </c>
      <c r="I347" s="16" t="str">
        <f>IFERROR(__xludf.DUMMYFUNCTION("""COMPUTED_VALUE"""),"Sri Lanka")</f>
        <v>Sri Lanka</v>
      </c>
      <c r="J347" s="16" t="str">
        <f>IFERROR(__xludf.DUMMYFUNCTION("""COMPUTED_VALUE"""),"USJ")</f>
        <v>USJ</v>
      </c>
      <c r="K347" s="17" t="str">
        <f>IFERROR(__xludf.DUMMYFUNCTION("""COMPUTED_VALUE"""),"https://expa.aiesec.org/opportunities/1281345")</f>
        <v>https://expa.aiesec.org/opportunities/1281345</v>
      </c>
      <c r="L347" s="16" t="str">
        <f>IFERROR(__xludf.DUMMYFUNCTION("""COMPUTED_VALUE"""),"GV")</f>
        <v>GV</v>
      </c>
      <c r="M347" s="16" t="str">
        <f>IFERROR(__xludf.DUMMYFUNCTION("""COMPUTED_VALUE"""),"short")</f>
        <v>short</v>
      </c>
      <c r="N347" s="18">
        <f>IFERROR(__xludf.DUMMYFUNCTION("""COMPUTED_VALUE"""),45210.0)</f>
        <v>45210</v>
      </c>
      <c r="O347" s="18">
        <f>IFERROR(__xludf.DUMMYFUNCTION("""COMPUTED_VALUE"""),45514.0)</f>
        <v>45514</v>
      </c>
      <c r="P347" s="18">
        <f>IFERROR(__xludf.DUMMYFUNCTION("""COMPUTED_VALUE"""),45556.0)</f>
        <v>45556</v>
      </c>
      <c r="Q347" s="18"/>
      <c r="R347" s="18"/>
      <c r="S347" s="16"/>
      <c r="T347" s="16"/>
      <c r="U347" s="16" t="str">
        <f>IFERROR(__xludf.DUMMYFUNCTION("""COMPUTED_VALUE"""),"Aquatica")</f>
        <v>Aquatica</v>
      </c>
      <c r="V347" s="16" t="str">
        <f>IFERROR(__xludf.DUMMYFUNCTION("""COMPUTED_VALUE"""),"ISTANBUL - BEYOGLU")</f>
        <v>ISTANBUL - BEYOGLU</v>
      </c>
      <c r="W347" s="16" t="str">
        <f>IFERROR(__xludf.DUMMYFUNCTION("""COMPUTED_VALUE"""),"2023-09-20T09:43:06Z")</f>
        <v>2023-09-20T09:43:06Z</v>
      </c>
      <c r="X347" s="16"/>
      <c r="Y347" s="16"/>
      <c r="Z347" s="16"/>
    </row>
    <row r="348">
      <c r="A348" s="16" t="str">
        <f>IFERROR(__xludf.DUMMYFUNCTION("""COMPUTED_VALUE"""),"5341335_1298284")</f>
        <v>5341335_1298284</v>
      </c>
      <c r="B348" s="16" t="str">
        <f>IFERROR(__xludf.DUMMYFUNCTION("""COMPUTED_VALUE"""),"Hazem Mensi")</f>
        <v>Hazem Mensi</v>
      </c>
      <c r="C348" s="16" t="str">
        <f>IFERROR(__xludf.DUMMYFUNCTION("""COMPUTED_VALUE"""),"approved")</f>
        <v>approved</v>
      </c>
      <c r="D348" s="16" t="str">
        <f>IFERROR(__xludf.DUMMYFUNCTION("""COMPUTED_VALUE"""),"No")</f>
        <v>No</v>
      </c>
      <c r="E348" s="16" t="str">
        <f>IFERROR(__xludf.DUMMYFUNCTION("""COMPUTED_VALUE"""),"p_97f2c770835de9ac2ea5c6a823356433c79b7f3a@inbound.aiesec.org")</f>
        <v>p_97f2c770835de9ac2ea5c6a823356433c79b7f3a@inbound.aiesec.org</v>
      </c>
      <c r="F348" s="16">
        <f>IFERROR(__xludf.DUMMYFUNCTION("""COMPUTED_VALUE"""),9.0104872E7)</f>
        <v>90104872</v>
      </c>
      <c r="G348" s="16" t="str">
        <f>IFERROR(__xludf.DUMMYFUNCTION("""COMPUTED_VALUE"""),"Tunisia")</f>
        <v>Tunisia</v>
      </c>
      <c r="H348" s="16" t="str">
        <f>IFERROR(__xludf.DUMMYFUNCTION("""COMPUTED_VALUE"""),"Carthage")</f>
        <v>Carthage</v>
      </c>
      <c r="I348" s="16" t="str">
        <f>IFERROR(__xludf.DUMMYFUNCTION("""COMPUTED_VALUE"""),"Turkey")</f>
        <v>Turkey</v>
      </c>
      <c r="J348" s="16" t="str">
        <f>IFERROR(__xludf.DUMMYFUNCTION("""COMPUTED_VALUE"""),"ISTANBUL")</f>
        <v>ISTANBUL</v>
      </c>
      <c r="K348" s="17" t="str">
        <f>IFERROR(__xludf.DUMMYFUNCTION("""COMPUTED_VALUE"""),"https://expa.aiesec.org/opportunities/1298284")</f>
        <v>https://expa.aiesec.org/opportunities/1298284</v>
      </c>
      <c r="L348" s="16" t="str">
        <f>IFERROR(__xludf.DUMMYFUNCTION("""COMPUTED_VALUE"""),"GV")</f>
        <v>GV</v>
      </c>
      <c r="M348" s="16" t="str">
        <f>IFERROR(__xludf.DUMMYFUNCTION("""COMPUTED_VALUE"""),"short")</f>
        <v>short</v>
      </c>
      <c r="N348" s="18">
        <f>IFERROR(__xludf.DUMMYFUNCTION("""COMPUTED_VALUE"""),45210.0)</f>
        <v>45210</v>
      </c>
      <c r="O348" s="18">
        <f>IFERROR(__xludf.DUMMYFUNCTION("""COMPUTED_VALUE"""),45474.0)</f>
        <v>45474</v>
      </c>
      <c r="P348" s="18">
        <f>IFERROR(__xludf.DUMMYFUNCTION("""COMPUTED_VALUE"""),45516.0)</f>
        <v>45516</v>
      </c>
      <c r="Q348" s="18"/>
      <c r="R348" s="18"/>
      <c r="S348" s="16"/>
      <c r="T348" s="16"/>
      <c r="U348" s="16" t="str">
        <f>IFERROR(__xludf.DUMMYFUNCTION("""COMPUTED_VALUE"""),"Global Classroom")</f>
        <v>Global Classroom</v>
      </c>
      <c r="V348" s="16" t="str">
        <f>IFERROR(__xludf.DUMMYFUNCTION("""COMPUTED_VALUE"""),"INSAT")</f>
        <v>INSAT</v>
      </c>
      <c r="W348" s="16" t="str">
        <f>IFERROR(__xludf.DUMMYFUNCTION("""COMPUTED_VALUE"""),"2023-10-03T19:44:51Z")</f>
        <v>2023-10-03T19:44:51Z</v>
      </c>
      <c r="X348" s="16"/>
      <c r="Y348" s="16"/>
      <c r="Z348" s="16"/>
    </row>
    <row r="349">
      <c r="A349" s="16" t="str">
        <f>IFERROR(__xludf.DUMMYFUNCTION("""COMPUTED_VALUE"""),"5343119_1298284")</f>
        <v>5343119_1298284</v>
      </c>
      <c r="B349" s="16" t="str">
        <f>IFERROR(__xludf.DUMMYFUNCTION("""COMPUTED_VALUE"""),"Bader ettamem Hamdouni")</f>
        <v>Bader ettamem Hamdouni</v>
      </c>
      <c r="C349" s="16" t="str">
        <f>IFERROR(__xludf.DUMMYFUNCTION("""COMPUTED_VALUE"""),"approved")</f>
        <v>approved</v>
      </c>
      <c r="D349" s="16" t="str">
        <f>IFERROR(__xludf.DUMMYFUNCTION("""COMPUTED_VALUE"""),"No")</f>
        <v>No</v>
      </c>
      <c r="E349" s="16" t="str">
        <f>IFERROR(__xludf.DUMMYFUNCTION("""COMPUTED_VALUE"""),"p_2409d3c784c4c078473116798e690da2827ddcd8@inbound.aiesec.org")</f>
        <v>p_2409d3c784c4c078473116798e690da2827ddcd8@inbound.aiesec.org</v>
      </c>
      <c r="F349" s="16">
        <f>IFERROR(__xludf.DUMMYFUNCTION("""COMPUTED_VALUE"""),9.6029331E7)</f>
        <v>96029331</v>
      </c>
      <c r="G349" s="16" t="str">
        <f>IFERROR(__xludf.DUMMYFUNCTION("""COMPUTED_VALUE"""),"Tunisia")</f>
        <v>Tunisia</v>
      </c>
      <c r="H349" s="16" t="str">
        <f>IFERROR(__xludf.DUMMYFUNCTION("""COMPUTED_VALUE"""),"Carthage")</f>
        <v>Carthage</v>
      </c>
      <c r="I349" s="16" t="str">
        <f>IFERROR(__xludf.DUMMYFUNCTION("""COMPUTED_VALUE"""),"Turkey")</f>
        <v>Turkey</v>
      </c>
      <c r="J349" s="16" t="str">
        <f>IFERROR(__xludf.DUMMYFUNCTION("""COMPUTED_VALUE"""),"ISTANBUL")</f>
        <v>ISTANBUL</v>
      </c>
      <c r="K349" s="17" t="str">
        <f>IFERROR(__xludf.DUMMYFUNCTION("""COMPUTED_VALUE"""),"https://expa.aiesec.org/opportunities/1298284")</f>
        <v>https://expa.aiesec.org/opportunities/1298284</v>
      </c>
      <c r="L349" s="16" t="str">
        <f>IFERROR(__xludf.DUMMYFUNCTION("""COMPUTED_VALUE"""),"GV")</f>
        <v>GV</v>
      </c>
      <c r="M349" s="16" t="str">
        <f>IFERROR(__xludf.DUMMYFUNCTION("""COMPUTED_VALUE"""),"short")</f>
        <v>short</v>
      </c>
      <c r="N349" s="18">
        <f>IFERROR(__xludf.DUMMYFUNCTION("""COMPUTED_VALUE"""),45210.0)</f>
        <v>45210</v>
      </c>
      <c r="O349" s="18">
        <f>IFERROR(__xludf.DUMMYFUNCTION("""COMPUTED_VALUE"""),45474.0)</f>
        <v>45474</v>
      </c>
      <c r="P349" s="18">
        <f>IFERROR(__xludf.DUMMYFUNCTION("""COMPUTED_VALUE"""),45516.0)</f>
        <v>45516</v>
      </c>
      <c r="Q349" s="18"/>
      <c r="R349" s="18"/>
      <c r="S349" s="16"/>
      <c r="T349" s="16"/>
      <c r="U349" s="16" t="str">
        <f>IFERROR(__xludf.DUMMYFUNCTION("""COMPUTED_VALUE"""),"Global Classroom")</f>
        <v>Global Classroom</v>
      </c>
      <c r="V349" s="16" t="str">
        <f>IFERROR(__xludf.DUMMYFUNCTION("""COMPUTED_VALUE"""),"INSAT")</f>
        <v>INSAT</v>
      </c>
      <c r="W349" s="16" t="str">
        <f>IFERROR(__xludf.DUMMYFUNCTION("""COMPUTED_VALUE"""),"2023-10-05T12:25:37Z")</f>
        <v>2023-10-05T12:25:37Z</v>
      </c>
      <c r="X349" s="16"/>
      <c r="Y349" s="16"/>
      <c r="Z349" s="16"/>
    </row>
    <row r="350">
      <c r="A350" s="16" t="str">
        <f>IFERROR(__xludf.DUMMYFUNCTION("""COMPUTED_VALUE"""),"5350272_1281345")</f>
        <v>5350272_1281345</v>
      </c>
      <c r="B350" s="16" t="str">
        <f>IFERROR(__xludf.DUMMYFUNCTION("""COMPUTED_VALUE"""),"Uygar Mert Özlük")</f>
        <v>Uygar Mert Özlük</v>
      </c>
      <c r="C350" s="16" t="str">
        <f>IFERROR(__xludf.DUMMYFUNCTION("""COMPUTED_VALUE"""),"approved")</f>
        <v>approved</v>
      </c>
      <c r="D350" s="16" t="str">
        <f>IFERROR(__xludf.DUMMYFUNCTION("""COMPUTED_VALUE"""),"No")</f>
        <v>No</v>
      </c>
      <c r="E350" s="16" t="str">
        <f>IFERROR(__xludf.DUMMYFUNCTION("""COMPUTED_VALUE"""),"p_d97cf876bc75832bf31206266e13ced858cf69dc@inbound.aiesec.org")</f>
        <v>p_d97cf876bc75832bf31206266e13ced858cf69dc@inbound.aiesec.org</v>
      </c>
      <c r="F350" s="16">
        <f>IFERROR(__xludf.DUMMYFUNCTION("""COMPUTED_VALUE"""),5.355191151E9)</f>
        <v>5355191151</v>
      </c>
      <c r="G350" s="16" t="str">
        <f>IFERROR(__xludf.DUMMYFUNCTION("""COMPUTED_VALUE"""),"Turkey")</f>
        <v>Turkey</v>
      </c>
      <c r="H350" s="16" t="str">
        <f>IFERROR(__xludf.DUMMYFUNCTION("""COMPUTED_VALUE"""),"ISTANBUL")</f>
        <v>ISTANBUL</v>
      </c>
      <c r="I350" s="16" t="str">
        <f>IFERROR(__xludf.DUMMYFUNCTION("""COMPUTED_VALUE"""),"Sri Lanka")</f>
        <v>Sri Lanka</v>
      </c>
      <c r="J350" s="16" t="str">
        <f>IFERROR(__xludf.DUMMYFUNCTION("""COMPUTED_VALUE"""),"USJ")</f>
        <v>USJ</v>
      </c>
      <c r="K350" s="17" t="str">
        <f>IFERROR(__xludf.DUMMYFUNCTION("""COMPUTED_VALUE"""),"https://expa.aiesec.org/opportunities/1281345")</f>
        <v>https://expa.aiesec.org/opportunities/1281345</v>
      </c>
      <c r="L350" s="16" t="str">
        <f>IFERROR(__xludf.DUMMYFUNCTION("""COMPUTED_VALUE"""),"GV")</f>
        <v>GV</v>
      </c>
      <c r="M350" s="16" t="str">
        <f>IFERROR(__xludf.DUMMYFUNCTION("""COMPUTED_VALUE"""),"short")</f>
        <v>short</v>
      </c>
      <c r="N350" s="18">
        <f>IFERROR(__xludf.DUMMYFUNCTION("""COMPUTED_VALUE"""),45213.0)</f>
        <v>45213</v>
      </c>
      <c r="O350" s="18">
        <f>IFERROR(__xludf.DUMMYFUNCTION("""COMPUTED_VALUE"""),45305.0)</f>
        <v>45305</v>
      </c>
      <c r="P350" s="18">
        <f>IFERROR(__xludf.DUMMYFUNCTION("""COMPUTED_VALUE"""),45347.0)</f>
        <v>45347</v>
      </c>
      <c r="Q350" s="18"/>
      <c r="R350" s="18"/>
      <c r="S350" s="16"/>
      <c r="T350" s="16"/>
      <c r="U350" s="16" t="str">
        <f>IFERROR(__xludf.DUMMYFUNCTION("""COMPUTED_VALUE"""),"Aquatica")</f>
        <v>Aquatica</v>
      </c>
      <c r="V350" s="16" t="str">
        <f>IFERROR(__xludf.DUMMYFUNCTION("""COMPUTED_VALUE"""),"ISTANBUL - BEYOGLU")</f>
        <v>ISTANBUL - BEYOGLU</v>
      </c>
      <c r="W350" s="16" t="str">
        <f>IFERROR(__xludf.DUMMYFUNCTION("""COMPUTED_VALUE"""),"2023-10-12T11:57:16Z")</f>
        <v>2023-10-12T11:57:16Z</v>
      </c>
      <c r="X350" s="16"/>
      <c r="Y350" s="16"/>
      <c r="Z350" s="16"/>
    </row>
    <row r="351">
      <c r="A351" s="16" t="str">
        <f>IFERROR(__xludf.DUMMYFUNCTION("""COMPUTED_VALUE"""),"5349252_1289536")</f>
        <v>5349252_1289536</v>
      </c>
      <c r="B351" s="16" t="str">
        <f>IFERROR(__xludf.DUMMYFUNCTION("""COMPUTED_VALUE"""),"Maryam Said")</f>
        <v>Maryam Said</v>
      </c>
      <c r="C351" s="16" t="str">
        <f>IFERROR(__xludf.DUMMYFUNCTION("""COMPUTED_VALUE"""),"approved")</f>
        <v>approved</v>
      </c>
      <c r="D351" s="16" t="str">
        <f>IFERROR(__xludf.DUMMYFUNCTION("""COMPUTED_VALUE"""),"No")</f>
        <v>No</v>
      </c>
      <c r="E351" s="16" t="str">
        <f>IFERROR(__xludf.DUMMYFUNCTION("""COMPUTED_VALUE"""),"p_026ff510b7bc15bfca33cf657e5b9d097859b2c7@inbound.aiesec.org")</f>
        <v>p_026ff510b7bc15bfca33cf657e5b9d097859b2c7@inbound.aiesec.org</v>
      </c>
      <c r="F351" s="16">
        <f>IFERROR(__xludf.DUMMYFUNCTION("""COMPUTED_VALUE"""),3.450560704E9)</f>
        <v>3450560704</v>
      </c>
      <c r="G351" s="16" t="str">
        <f>IFERROR(__xludf.DUMMYFUNCTION("""COMPUTED_VALUE"""),"Egypt")</f>
        <v>Egypt</v>
      </c>
      <c r="H351" s="16" t="str">
        <f>IFERROR(__xludf.DUMMYFUNCTION("""COMPUTED_VALUE"""),"Alexandria")</f>
        <v>Alexandria</v>
      </c>
      <c r="I351" s="16" t="str">
        <f>IFERROR(__xludf.DUMMYFUNCTION("""COMPUTED_VALUE"""),"Turkey")</f>
        <v>Turkey</v>
      </c>
      <c r="J351" s="16" t="str">
        <f>IFERROR(__xludf.DUMMYFUNCTION("""COMPUTED_VALUE"""),"ISTANBUL")</f>
        <v>ISTANBUL</v>
      </c>
      <c r="K351" s="17" t="str">
        <f>IFERROR(__xludf.DUMMYFUNCTION("""COMPUTED_VALUE"""),"https://expa.aiesec.org/opportunities/1289536")</f>
        <v>https://expa.aiesec.org/opportunities/1289536</v>
      </c>
      <c r="L351" s="16" t="str">
        <f>IFERROR(__xludf.DUMMYFUNCTION("""COMPUTED_VALUE"""),"GV")</f>
        <v>GV</v>
      </c>
      <c r="M351" s="16" t="str">
        <f>IFERROR(__xludf.DUMMYFUNCTION("""COMPUTED_VALUE"""),"short")</f>
        <v>short</v>
      </c>
      <c r="N351" s="18">
        <f>IFERROR(__xludf.DUMMYFUNCTION("""COMPUTED_VALUE"""),45214.0)</f>
        <v>45214</v>
      </c>
      <c r="O351" s="18">
        <f>IFERROR(__xludf.DUMMYFUNCTION("""COMPUTED_VALUE"""),45487.0)</f>
        <v>45487</v>
      </c>
      <c r="P351" s="18">
        <f>IFERROR(__xludf.DUMMYFUNCTION("""COMPUTED_VALUE"""),45529.0)</f>
        <v>45529</v>
      </c>
      <c r="Q351" s="18"/>
      <c r="R351" s="18"/>
      <c r="S351" s="16"/>
      <c r="T351" s="16"/>
      <c r="U351" s="16" t="str">
        <f>IFERROR(__xludf.DUMMYFUNCTION("""COMPUTED_VALUE"""),"Global Classroom")</f>
        <v>Global Classroom</v>
      </c>
      <c r="V351" s="16" t="str">
        <f>IFERROR(__xludf.DUMMYFUNCTION("""COMPUTED_VALUE"""),"Alexandria University")</f>
        <v>Alexandria University</v>
      </c>
      <c r="W351" s="16" t="str">
        <f>IFERROR(__xludf.DUMMYFUNCTION("""COMPUTED_VALUE"""),"2023-10-11T12:40:15Z")</f>
        <v>2023-10-11T12:40:15Z</v>
      </c>
      <c r="X351" s="16"/>
      <c r="Y351" s="16"/>
      <c r="Z351" s="16"/>
    </row>
    <row r="352">
      <c r="A352" s="16" t="str">
        <f>IFERROR(__xludf.DUMMYFUNCTION("""COMPUTED_VALUE"""),"5346333_1289377")</f>
        <v>5346333_1289377</v>
      </c>
      <c r="B352" s="16" t="str">
        <f>IFERROR(__xludf.DUMMYFUNCTION("""COMPUTED_VALUE"""),"Bencheikh Akram")</f>
        <v>Bencheikh Akram</v>
      </c>
      <c r="C352" s="16" t="str">
        <f>IFERROR(__xludf.DUMMYFUNCTION("""COMPUTED_VALUE"""),"realized")</f>
        <v>realized</v>
      </c>
      <c r="D352" s="16" t="str">
        <f>IFERROR(__xludf.DUMMYFUNCTION("""COMPUTED_VALUE"""),"No")</f>
        <v>No</v>
      </c>
      <c r="E352" s="16" t="str">
        <f>IFERROR(__xludf.DUMMYFUNCTION("""COMPUTED_VALUE"""),"p_6c7418f6bf885e7e8b8cf118838c8dbf1c930a52@inbound.aiesec.org")</f>
        <v>p_6c7418f6bf885e7e8b8cf118838c8dbf1c930a52@inbound.aiesec.org</v>
      </c>
      <c r="F352" s="16"/>
      <c r="G352" s="16" t="str">
        <f>IFERROR(__xludf.DUMMYFUNCTION("""COMPUTED_VALUE"""),"Algeria")</f>
        <v>Algeria</v>
      </c>
      <c r="H352" s="16" t="str">
        <f>IFERROR(__xludf.DUMMYFUNCTION("""COMPUTED_VALUE"""),"Ouargla")</f>
        <v>Ouargla</v>
      </c>
      <c r="I352" s="16" t="str">
        <f>IFERROR(__xludf.DUMMYFUNCTION("""COMPUTED_VALUE"""),"Turkey")</f>
        <v>Turkey</v>
      </c>
      <c r="J352" s="16" t="str">
        <f>IFERROR(__xludf.DUMMYFUNCTION("""COMPUTED_VALUE"""),"ISTANBUL")</f>
        <v>ISTANBUL</v>
      </c>
      <c r="K352" s="17" t="str">
        <f>IFERROR(__xludf.DUMMYFUNCTION("""COMPUTED_VALUE"""),"https://expa.aiesec.org/opportunities/1289377")</f>
        <v>https://expa.aiesec.org/opportunities/1289377</v>
      </c>
      <c r="L352" s="16" t="str">
        <f>IFERROR(__xludf.DUMMYFUNCTION("""COMPUTED_VALUE"""),"GTa")</f>
        <v>GTa</v>
      </c>
      <c r="M352" s="16" t="str">
        <f>IFERROR(__xludf.DUMMYFUNCTION("""COMPUTED_VALUE"""),"long")</f>
        <v>long</v>
      </c>
      <c r="N352" s="18">
        <f>IFERROR(__xludf.DUMMYFUNCTION("""COMPUTED_VALUE"""),45215.0)</f>
        <v>45215</v>
      </c>
      <c r="O352" s="18">
        <f>IFERROR(__xludf.DUMMYFUNCTION("""COMPUTED_VALUE"""),45250.0)</f>
        <v>45250</v>
      </c>
      <c r="P352" s="18">
        <f>IFERROR(__xludf.DUMMYFUNCTION("""COMPUTED_VALUE"""),45618.0)</f>
        <v>45618</v>
      </c>
      <c r="Q352" s="18">
        <f>IFERROR(__xludf.DUMMYFUNCTION("""COMPUTED_VALUE"""),45274.0)</f>
        <v>45274</v>
      </c>
      <c r="R352" s="18">
        <f>IFERROR(__xludf.DUMMYFUNCTION("""COMPUTED_VALUE"""),45642.0)</f>
        <v>45642</v>
      </c>
      <c r="S352" s="16"/>
      <c r="T352" s="16" t="str">
        <f>IFERROR(__xludf.DUMMYFUNCTION("""COMPUTED_VALUE"""),"Business Administration")</f>
        <v>Business Administration</v>
      </c>
      <c r="U352" s="16" t="str">
        <f>IFERROR(__xludf.DUMMYFUNCTION("""COMPUTED_VALUE"""),"Telesales Specialist in Istanbul (Italian Speaker)")</f>
        <v>Telesales Specialist in Istanbul (Italian Speaker)</v>
      </c>
      <c r="V352" s="16" t="str">
        <f>IFERROR(__xludf.DUMMYFUNCTION("""COMPUTED_VALUE"""),"AIESEC in Ouargla")</f>
        <v>AIESEC in Ouargla</v>
      </c>
      <c r="W352" s="16" t="str">
        <f>IFERROR(__xludf.DUMMYFUNCTION("""COMPUTED_VALUE"""),"2023-10-09T10:16:41Z")</f>
        <v>2023-10-09T10:16:41Z</v>
      </c>
      <c r="X352" s="16"/>
      <c r="Y352" s="16"/>
      <c r="Z352" s="16"/>
    </row>
    <row r="353">
      <c r="A353" s="16" t="str">
        <f>IFERROR(__xludf.DUMMYFUNCTION("""COMPUTED_VALUE"""),"5352132_1298053")</f>
        <v>5352132_1298053</v>
      </c>
      <c r="B353" s="16" t="str">
        <f>IFERROR(__xludf.DUMMYFUNCTION("""COMPUTED_VALUE"""),"Özen Özgüden")</f>
        <v>Özen Özgüden</v>
      </c>
      <c r="C353" s="16" t="str">
        <f>IFERROR(__xludf.DUMMYFUNCTION("""COMPUTED_VALUE"""),"realized")</f>
        <v>realized</v>
      </c>
      <c r="D353" s="16" t="str">
        <f>IFERROR(__xludf.DUMMYFUNCTION("""COMPUTED_VALUE"""),"No")</f>
        <v>No</v>
      </c>
      <c r="E353" s="16" t="str">
        <f>IFERROR(__xludf.DUMMYFUNCTION("""COMPUTED_VALUE"""),"p_7c5e92466ac1983452ba0f96e29e625acccdc01d@inbound.aiesec.org")</f>
        <v>p_7c5e92466ac1983452ba0f96e29e625acccdc01d@inbound.aiesec.org</v>
      </c>
      <c r="F353" s="16">
        <f>IFERROR(__xludf.DUMMYFUNCTION("""COMPUTED_VALUE"""),5.458387077E9)</f>
        <v>5458387077</v>
      </c>
      <c r="G353" s="16" t="str">
        <f>IFERROR(__xludf.DUMMYFUNCTION("""COMPUTED_VALUE"""),"Turkey")</f>
        <v>Turkey</v>
      </c>
      <c r="H353" s="16" t="str">
        <f>IFERROR(__xludf.DUMMYFUNCTION("""COMPUTED_VALUE"""),"ISTANBUL")</f>
        <v>ISTANBUL</v>
      </c>
      <c r="I353" s="16" t="str">
        <f>IFERROR(__xludf.DUMMYFUNCTION("""COMPUTED_VALUE"""),"Romania")</f>
        <v>Romania</v>
      </c>
      <c r="J353" s="16" t="str">
        <f>IFERROR(__xludf.DUMMYFUNCTION("""COMPUTED_VALUE"""),"PITESTI")</f>
        <v>PITESTI</v>
      </c>
      <c r="K353" s="17" t="str">
        <f>IFERROR(__xludf.DUMMYFUNCTION("""COMPUTED_VALUE"""),"https://expa.aiesec.org/opportunities/1298053")</f>
        <v>https://expa.aiesec.org/opportunities/1298053</v>
      </c>
      <c r="L353" s="16" t="str">
        <f>IFERROR(__xludf.DUMMYFUNCTION("""COMPUTED_VALUE"""),"GV")</f>
        <v>GV</v>
      </c>
      <c r="M353" s="16" t="str">
        <f>IFERROR(__xludf.DUMMYFUNCTION("""COMPUTED_VALUE"""),"short")</f>
        <v>short</v>
      </c>
      <c r="N353" s="18">
        <f>IFERROR(__xludf.DUMMYFUNCTION("""COMPUTED_VALUE"""),45215.0)</f>
        <v>45215</v>
      </c>
      <c r="O353" s="18">
        <f>IFERROR(__xludf.DUMMYFUNCTION("""COMPUTED_VALUE"""),45318.0)</f>
        <v>45318</v>
      </c>
      <c r="P353" s="18">
        <f>IFERROR(__xludf.DUMMYFUNCTION("""COMPUTED_VALUE"""),45360.0)</f>
        <v>45360</v>
      </c>
      <c r="Q353" s="18">
        <f>IFERROR(__xludf.DUMMYFUNCTION("""COMPUTED_VALUE"""),45318.0)</f>
        <v>45318</v>
      </c>
      <c r="R353" s="18">
        <f>IFERROR(__xludf.DUMMYFUNCTION("""COMPUTED_VALUE"""),45360.0)</f>
        <v>45360</v>
      </c>
      <c r="S353" s="16"/>
      <c r="T353" s="16"/>
      <c r="U353" s="16" t="str">
        <f>IFERROR(__xludf.DUMMYFUNCTION("""COMPUTED_VALUE"""),"Eat 4 Change")</f>
        <v>Eat 4 Change</v>
      </c>
      <c r="V353" s="16" t="str">
        <f>IFERROR(__xludf.DUMMYFUNCTION("""COMPUTED_VALUE"""),"ISTANBUL - BEYOGLU")</f>
        <v>ISTANBUL - BEYOGLU</v>
      </c>
      <c r="W353" s="16" t="str">
        <f>IFERROR(__xludf.DUMMYFUNCTION("""COMPUTED_VALUE"""),"2023-10-15T07:23:53Z")</f>
        <v>2023-10-15T07:23:53Z</v>
      </c>
      <c r="X353" s="16"/>
      <c r="Y353" s="16"/>
      <c r="Z353" s="16"/>
    </row>
    <row r="354">
      <c r="A354" s="16" t="str">
        <f>IFERROR(__xludf.DUMMYFUNCTION("""COMPUTED_VALUE"""),"5348168_1289536")</f>
        <v>5348168_1289536</v>
      </c>
      <c r="B354" s="16" t="str">
        <f>IFERROR(__xludf.DUMMYFUNCTION("""COMPUTED_VALUE"""),"Youssef Abdelsatar")</f>
        <v>Youssef Abdelsatar</v>
      </c>
      <c r="C354" s="16" t="str">
        <f>IFERROR(__xludf.DUMMYFUNCTION("""COMPUTED_VALUE"""),"approved")</f>
        <v>approved</v>
      </c>
      <c r="D354" s="16" t="str">
        <f>IFERROR(__xludf.DUMMYFUNCTION("""COMPUTED_VALUE"""),"No")</f>
        <v>No</v>
      </c>
      <c r="E354" s="16" t="str">
        <f>IFERROR(__xludf.DUMMYFUNCTION("""COMPUTED_VALUE"""),"p_95630a51237077df4c6edbbd4ea64b6365daae43@inbound.aiesec.org")</f>
        <v>p_95630a51237077df4c6edbbd4ea64b6365daae43@inbound.aiesec.org</v>
      </c>
      <c r="F354" s="16">
        <f>IFERROR(__xludf.DUMMYFUNCTION("""COMPUTED_VALUE"""),1.202282131E9)</f>
        <v>1202282131</v>
      </c>
      <c r="G354" s="16" t="str">
        <f>IFERROR(__xludf.DUMMYFUNCTION("""COMPUTED_VALUE"""),"Egypt")</f>
        <v>Egypt</v>
      </c>
      <c r="H354" s="16" t="str">
        <f>IFERROR(__xludf.DUMMYFUNCTION("""COMPUTED_VALUE"""),"Alexandria")</f>
        <v>Alexandria</v>
      </c>
      <c r="I354" s="16" t="str">
        <f>IFERROR(__xludf.DUMMYFUNCTION("""COMPUTED_VALUE"""),"Turkey")</f>
        <v>Turkey</v>
      </c>
      <c r="J354" s="16" t="str">
        <f>IFERROR(__xludf.DUMMYFUNCTION("""COMPUTED_VALUE"""),"ISTANBUL")</f>
        <v>ISTANBUL</v>
      </c>
      <c r="K354" s="17" t="str">
        <f>IFERROR(__xludf.DUMMYFUNCTION("""COMPUTED_VALUE"""),"https://expa.aiesec.org/opportunities/1289536")</f>
        <v>https://expa.aiesec.org/opportunities/1289536</v>
      </c>
      <c r="L354" s="16" t="str">
        <f>IFERROR(__xludf.DUMMYFUNCTION("""COMPUTED_VALUE"""),"GV")</f>
        <v>GV</v>
      </c>
      <c r="M354" s="16" t="str">
        <f>IFERROR(__xludf.DUMMYFUNCTION("""COMPUTED_VALUE"""),"short")</f>
        <v>short</v>
      </c>
      <c r="N354" s="18">
        <f>IFERROR(__xludf.DUMMYFUNCTION("""COMPUTED_VALUE"""),45215.0)</f>
        <v>45215</v>
      </c>
      <c r="O354" s="18">
        <f>IFERROR(__xludf.DUMMYFUNCTION("""COMPUTED_VALUE"""),45474.0)</f>
        <v>45474</v>
      </c>
      <c r="P354" s="18">
        <f>IFERROR(__xludf.DUMMYFUNCTION("""COMPUTED_VALUE"""),45516.0)</f>
        <v>45516</v>
      </c>
      <c r="Q354" s="18"/>
      <c r="R354" s="18"/>
      <c r="S354" s="16"/>
      <c r="T354" s="16"/>
      <c r="U354" s="16" t="str">
        <f>IFERROR(__xludf.DUMMYFUNCTION("""COMPUTED_VALUE"""),"Global Classroom")</f>
        <v>Global Classroom</v>
      </c>
      <c r="V354" s="16" t="str">
        <f>IFERROR(__xludf.DUMMYFUNCTION("""COMPUTED_VALUE"""),"Alexandria University")</f>
        <v>Alexandria University</v>
      </c>
      <c r="W354" s="16" t="str">
        <f>IFERROR(__xludf.DUMMYFUNCTION("""COMPUTED_VALUE"""),"2023-10-10T14:31:16Z")</f>
        <v>2023-10-10T14:31:16Z</v>
      </c>
      <c r="X354" s="16"/>
      <c r="Y354" s="16"/>
      <c r="Z354" s="16"/>
    </row>
    <row r="355">
      <c r="A355" s="16" t="str">
        <f>IFERROR(__xludf.DUMMYFUNCTION("""COMPUTED_VALUE"""),"5353105_1289536")</f>
        <v>5353105_1289536</v>
      </c>
      <c r="B355" s="16" t="str">
        <f>IFERROR(__xludf.DUMMYFUNCTION("""COMPUTED_VALUE"""),"Somaya Khaled")</f>
        <v>Somaya Khaled</v>
      </c>
      <c r="C355" s="16" t="str">
        <f>IFERROR(__xludf.DUMMYFUNCTION("""COMPUTED_VALUE"""),"approved")</f>
        <v>approved</v>
      </c>
      <c r="D355" s="16" t="str">
        <f>IFERROR(__xludf.DUMMYFUNCTION("""COMPUTED_VALUE"""),"No")</f>
        <v>No</v>
      </c>
      <c r="E355" s="16" t="str">
        <f>IFERROR(__xludf.DUMMYFUNCTION("""COMPUTED_VALUE"""),"p_f73dccaac743a7a7ffa191c18450ba6e730b169d@inbound.aiesec.org")</f>
        <v>p_f73dccaac743a7a7ffa191c18450ba6e730b169d@inbound.aiesec.org</v>
      </c>
      <c r="F355" s="16">
        <f>IFERROR(__xludf.DUMMYFUNCTION("""COMPUTED_VALUE"""),1.093528408E9)</f>
        <v>1093528408</v>
      </c>
      <c r="G355" s="16" t="str">
        <f>IFERROR(__xludf.DUMMYFUNCTION("""COMPUTED_VALUE"""),"Egypt")</f>
        <v>Egypt</v>
      </c>
      <c r="H355" s="16" t="str">
        <f>IFERROR(__xludf.DUMMYFUNCTION("""COMPUTED_VALUE"""),"Alexandria")</f>
        <v>Alexandria</v>
      </c>
      <c r="I355" s="16" t="str">
        <f>IFERROR(__xludf.DUMMYFUNCTION("""COMPUTED_VALUE"""),"Turkey")</f>
        <v>Turkey</v>
      </c>
      <c r="J355" s="16" t="str">
        <f>IFERROR(__xludf.DUMMYFUNCTION("""COMPUTED_VALUE"""),"ISTANBUL")</f>
        <v>ISTANBUL</v>
      </c>
      <c r="K355" s="17" t="str">
        <f>IFERROR(__xludf.DUMMYFUNCTION("""COMPUTED_VALUE"""),"https://expa.aiesec.org/opportunities/1289536")</f>
        <v>https://expa.aiesec.org/opportunities/1289536</v>
      </c>
      <c r="L355" s="16" t="str">
        <f>IFERROR(__xludf.DUMMYFUNCTION("""COMPUTED_VALUE"""),"GV")</f>
        <v>GV</v>
      </c>
      <c r="M355" s="16" t="str">
        <f>IFERROR(__xludf.DUMMYFUNCTION("""COMPUTED_VALUE"""),"short")</f>
        <v>short</v>
      </c>
      <c r="N355" s="18">
        <f>IFERROR(__xludf.DUMMYFUNCTION("""COMPUTED_VALUE"""),45215.0)</f>
        <v>45215</v>
      </c>
      <c r="O355" s="18">
        <f>IFERROR(__xludf.DUMMYFUNCTION("""COMPUTED_VALUE"""),45474.0)</f>
        <v>45474</v>
      </c>
      <c r="P355" s="18">
        <f>IFERROR(__xludf.DUMMYFUNCTION("""COMPUTED_VALUE"""),45516.0)</f>
        <v>45516</v>
      </c>
      <c r="Q355" s="18"/>
      <c r="R355" s="18"/>
      <c r="S355" s="16"/>
      <c r="T355" s="16"/>
      <c r="U355" s="16" t="str">
        <f>IFERROR(__xludf.DUMMYFUNCTION("""COMPUTED_VALUE"""),"Global Classroom")</f>
        <v>Global Classroom</v>
      </c>
      <c r="V355" s="16" t="str">
        <f>IFERROR(__xludf.DUMMYFUNCTION("""COMPUTED_VALUE"""),"Alexandria University")</f>
        <v>Alexandria University</v>
      </c>
      <c r="W355" s="16" t="str">
        <f>IFERROR(__xludf.DUMMYFUNCTION("""COMPUTED_VALUE"""),"2023-10-16T19:29:25Z")</f>
        <v>2023-10-16T19:29:25Z</v>
      </c>
      <c r="X355" s="16"/>
      <c r="Y355" s="16"/>
      <c r="Z355" s="16"/>
    </row>
    <row r="356">
      <c r="A356" s="16" t="str">
        <f>IFERROR(__xludf.DUMMYFUNCTION("""COMPUTED_VALUE"""),"5351761_1289378")</f>
        <v>5351761_1289378</v>
      </c>
      <c r="B356" s="16" t="str">
        <f>IFERROR(__xludf.DUMMYFUNCTION("""COMPUTED_VALUE"""),"Djamel Amraoui")</f>
        <v>Djamel Amraoui</v>
      </c>
      <c r="C356" s="16" t="str">
        <f>IFERROR(__xludf.DUMMYFUNCTION("""COMPUTED_VALUE"""),"realized")</f>
        <v>realized</v>
      </c>
      <c r="D356" s="16" t="str">
        <f>IFERROR(__xludf.DUMMYFUNCTION("""COMPUTED_VALUE"""),"No")</f>
        <v>No</v>
      </c>
      <c r="E356" s="16" t="str">
        <f>IFERROR(__xludf.DUMMYFUNCTION("""COMPUTED_VALUE"""),"p_1e1d00f9489951669eb4a06c2af838f4906aaa9c@inbound.aiesec.org")</f>
        <v>p_1e1d00f9489951669eb4a06c2af838f4906aaa9c@inbound.aiesec.org</v>
      </c>
      <c r="F356" s="16">
        <f>IFERROR(__xludf.DUMMYFUNCTION("""COMPUTED_VALUE"""),5.62147983E8)</f>
        <v>562147983</v>
      </c>
      <c r="G356" s="16" t="str">
        <f>IFERROR(__xludf.DUMMYFUNCTION("""COMPUTED_VALUE"""),"Algeria")</f>
        <v>Algeria</v>
      </c>
      <c r="H356" s="16" t="str">
        <f>IFERROR(__xludf.DUMMYFUNCTION("""COMPUTED_VALUE"""),"Oran")</f>
        <v>Oran</v>
      </c>
      <c r="I356" s="16" t="str">
        <f>IFERROR(__xludf.DUMMYFUNCTION("""COMPUTED_VALUE"""),"Turkey")</f>
        <v>Turkey</v>
      </c>
      <c r="J356" s="16" t="str">
        <f>IFERROR(__xludf.DUMMYFUNCTION("""COMPUTED_VALUE"""),"ISTANBUL")</f>
        <v>ISTANBUL</v>
      </c>
      <c r="K356" s="17" t="str">
        <f>IFERROR(__xludf.DUMMYFUNCTION("""COMPUTED_VALUE"""),"https://expa.aiesec.org/opportunities/1289378")</f>
        <v>https://expa.aiesec.org/opportunities/1289378</v>
      </c>
      <c r="L356" s="16" t="str">
        <f>IFERROR(__xludf.DUMMYFUNCTION("""COMPUTED_VALUE"""),"GTa")</f>
        <v>GTa</v>
      </c>
      <c r="M356" s="16" t="str">
        <f>IFERROR(__xludf.DUMMYFUNCTION("""COMPUTED_VALUE"""),"long")</f>
        <v>long</v>
      </c>
      <c r="N356" s="18">
        <f>IFERROR(__xludf.DUMMYFUNCTION("""COMPUTED_VALUE"""),45216.0)</f>
        <v>45216</v>
      </c>
      <c r="O356" s="18">
        <f>IFERROR(__xludf.DUMMYFUNCTION("""COMPUTED_VALUE"""),45257.0)</f>
        <v>45257</v>
      </c>
      <c r="P356" s="18">
        <f>IFERROR(__xludf.DUMMYFUNCTION("""COMPUTED_VALUE"""),45625.0)</f>
        <v>45625</v>
      </c>
      <c r="Q356" s="18">
        <f>IFERROR(__xludf.DUMMYFUNCTION("""COMPUTED_VALUE"""),45261.0)</f>
        <v>45261</v>
      </c>
      <c r="R356" s="18">
        <f>IFERROR(__xludf.DUMMYFUNCTION("""COMPUTED_VALUE"""),45629.0)</f>
        <v>45629</v>
      </c>
      <c r="S356" s="16"/>
      <c r="T356" s="16" t="str">
        <f>IFERROR(__xludf.DUMMYFUNCTION("""COMPUTED_VALUE"""),"Business Administration")</f>
        <v>Business Administration</v>
      </c>
      <c r="U356" s="16" t="str">
        <f>IFERROR(__xludf.DUMMYFUNCTION("""COMPUTED_VALUE"""),"Telesales Specialist in Istanbul (Spanish Speaker)")</f>
        <v>Telesales Specialist in Istanbul (Spanish Speaker)</v>
      </c>
      <c r="V356" s="16" t="str">
        <f>IFERROR(__xludf.DUMMYFUNCTION("""COMPUTED_VALUE"""),"AIESEC in Oran")</f>
        <v>AIESEC in Oran</v>
      </c>
      <c r="W356" s="16" t="str">
        <f>IFERROR(__xludf.DUMMYFUNCTION("""COMPUTED_VALUE"""),"2023-10-14T12:36:06Z")</f>
        <v>2023-10-14T12:36:06Z</v>
      </c>
      <c r="X356" s="16"/>
      <c r="Y356" s="16"/>
      <c r="Z356" s="16"/>
    </row>
    <row r="357">
      <c r="A357" s="16" t="str">
        <f>IFERROR(__xludf.DUMMYFUNCTION("""COMPUTED_VALUE"""),"4729940_1285687")</f>
        <v>4729940_1285687</v>
      </c>
      <c r="B357" s="16" t="str">
        <f>IFERROR(__xludf.DUMMYFUNCTION("""COMPUTED_VALUE"""),"Shifa Shaikh")</f>
        <v>Shifa Shaikh</v>
      </c>
      <c r="C357" s="16" t="str">
        <f>IFERROR(__xludf.DUMMYFUNCTION("""COMPUTED_VALUE"""),"finished")</f>
        <v>finished</v>
      </c>
      <c r="D357" s="16" t="str">
        <f>IFERROR(__xludf.DUMMYFUNCTION("""COMPUTED_VALUE"""),"No")</f>
        <v>No</v>
      </c>
      <c r="E357" s="16" t="str">
        <f>IFERROR(__xludf.DUMMYFUNCTION("""COMPUTED_VALUE"""),"p_b64468bec0b32a65cf3be03653f75090139e3692@inbound.aiesec.org")</f>
        <v>p_b64468bec0b32a65cf3be03653f75090139e3692@inbound.aiesec.org</v>
      </c>
      <c r="F357" s="16">
        <f>IFERROR(__xludf.DUMMYFUNCTION("""COMPUTED_VALUE"""),7.045046181E9)</f>
        <v>7045046181</v>
      </c>
      <c r="G357" s="16" t="str">
        <f>IFERROR(__xludf.DUMMYFUNCTION("""COMPUTED_VALUE"""),"India")</f>
        <v>India</v>
      </c>
      <c r="H357" s="16" t="str">
        <f>IFERROR(__xludf.DUMMYFUNCTION("""COMPUTED_VALUE"""),"Mumbai")</f>
        <v>Mumbai</v>
      </c>
      <c r="I357" s="16" t="str">
        <f>IFERROR(__xludf.DUMMYFUNCTION("""COMPUTED_VALUE"""),"Turkey")</f>
        <v>Turkey</v>
      </c>
      <c r="J357" s="16" t="str">
        <f>IFERROR(__xludf.DUMMYFUNCTION("""COMPUTED_VALUE"""),"ISTANBUL")</f>
        <v>ISTANBUL</v>
      </c>
      <c r="K357" s="17" t="str">
        <f>IFERROR(__xludf.DUMMYFUNCTION("""COMPUTED_VALUE"""),"https://expa.aiesec.org/opportunities/1285687")</f>
        <v>https://expa.aiesec.org/opportunities/1285687</v>
      </c>
      <c r="L357" s="16" t="str">
        <f>IFERROR(__xludf.DUMMYFUNCTION("""COMPUTED_VALUE"""),"GV")</f>
        <v>GV</v>
      </c>
      <c r="M357" s="16" t="str">
        <f>IFERROR(__xludf.DUMMYFUNCTION("""COMPUTED_VALUE"""),"short")</f>
        <v>short</v>
      </c>
      <c r="N357" s="18">
        <f>IFERROR(__xludf.DUMMYFUNCTION("""COMPUTED_VALUE"""),45216.0)</f>
        <v>45216</v>
      </c>
      <c r="O357" s="18">
        <f>IFERROR(__xludf.DUMMYFUNCTION("""COMPUTED_VALUE"""),45242.0)</f>
        <v>45242</v>
      </c>
      <c r="P357" s="18">
        <f>IFERROR(__xludf.DUMMYFUNCTION("""COMPUTED_VALUE"""),45284.0)</f>
        <v>45284</v>
      </c>
      <c r="Q357" s="18">
        <f>IFERROR(__xludf.DUMMYFUNCTION("""COMPUTED_VALUE"""),45243.0)</f>
        <v>45243</v>
      </c>
      <c r="R357" s="18">
        <f>IFERROR(__xludf.DUMMYFUNCTION("""COMPUTED_VALUE"""),45284.0)</f>
        <v>45284</v>
      </c>
      <c r="S357" s="16"/>
      <c r="T357" s="16"/>
      <c r="U357" s="16" t="str">
        <f>IFERROR(__xludf.DUMMYFUNCTION("""COMPUTED_VALUE"""),"Youth 4 Impact")</f>
        <v>Youth 4 Impact</v>
      </c>
      <c r="V357" s="16" t="str">
        <f>IFERROR(__xludf.DUMMYFUNCTION("""COMPUTED_VALUE"""),"Ritumbara College, Vile Parle")</f>
        <v>Ritumbara College, Vile Parle</v>
      </c>
      <c r="W357" s="16" t="str">
        <f>IFERROR(__xludf.DUMMYFUNCTION("""COMPUTED_VALUE"""),"2021-09-05T16:30:29Z")</f>
        <v>2021-09-05T16:30:29Z</v>
      </c>
      <c r="X357" s="16"/>
      <c r="Y357" s="16"/>
      <c r="Z357" s="16"/>
    </row>
    <row r="358">
      <c r="A358" s="16" t="str">
        <f>IFERROR(__xludf.DUMMYFUNCTION("""COMPUTED_VALUE"""),"4811677_1298284")</f>
        <v>4811677_1298284</v>
      </c>
      <c r="B358" s="16" t="str">
        <f>IFERROR(__xludf.DUMMYFUNCTION("""COMPUTED_VALUE"""),"chadha chibani")</f>
        <v>chadha chibani</v>
      </c>
      <c r="C358" s="16" t="str">
        <f>IFERROR(__xludf.DUMMYFUNCTION("""COMPUTED_VALUE"""),"approved")</f>
        <v>approved</v>
      </c>
      <c r="D358" s="16" t="str">
        <f>IFERROR(__xludf.DUMMYFUNCTION("""COMPUTED_VALUE"""),"No")</f>
        <v>No</v>
      </c>
      <c r="E358" s="16" t="str">
        <f>IFERROR(__xludf.DUMMYFUNCTION("""COMPUTED_VALUE"""),"p_b61716958f5b76fad63781220c49f0d2349cc7ff@inbound.aiesec.org")</f>
        <v>p_b61716958f5b76fad63781220c49f0d2349cc7ff@inbound.aiesec.org</v>
      </c>
      <c r="F358" s="16">
        <f>IFERROR(__xludf.DUMMYFUNCTION("""COMPUTED_VALUE"""),5.2739038E7)</f>
        <v>52739038</v>
      </c>
      <c r="G358" s="16" t="str">
        <f>IFERROR(__xludf.DUMMYFUNCTION("""COMPUTED_VALUE"""),"Tunisia")</f>
        <v>Tunisia</v>
      </c>
      <c r="H358" s="16" t="str">
        <f>IFERROR(__xludf.DUMMYFUNCTION("""COMPUTED_VALUE"""),"Carthage")</f>
        <v>Carthage</v>
      </c>
      <c r="I358" s="16" t="str">
        <f>IFERROR(__xludf.DUMMYFUNCTION("""COMPUTED_VALUE"""),"Turkey")</f>
        <v>Turkey</v>
      </c>
      <c r="J358" s="16" t="str">
        <f>IFERROR(__xludf.DUMMYFUNCTION("""COMPUTED_VALUE"""),"ISTANBUL")</f>
        <v>ISTANBUL</v>
      </c>
      <c r="K358" s="17" t="str">
        <f>IFERROR(__xludf.DUMMYFUNCTION("""COMPUTED_VALUE"""),"https://expa.aiesec.org/opportunities/1298284")</f>
        <v>https://expa.aiesec.org/opportunities/1298284</v>
      </c>
      <c r="L358" s="16" t="str">
        <f>IFERROR(__xludf.DUMMYFUNCTION("""COMPUTED_VALUE"""),"GV")</f>
        <v>GV</v>
      </c>
      <c r="M358" s="16" t="str">
        <f>IFERROR(__xludf.DUMMYFUNCTION("""COMPUTED_VALUE"""),"short")</f>
        <v>short</v>
      </c>
      <c r="N358" s="18">
        <f>IFERROR(__xludf.DUMMYFUNCTION("""COMPUTED_VALUE"""),45216.0)</f>
        <v>45216</v>
      </c>
      <c r="O358" s="18">
        <f>IFERROR(__xludf.DUMMYFUNCTION("""COMPUTED_VALUE"""),45474.0)</f>
        <v>45474</v>
      </c>
      <c r="P358" s="18">
        <f>IFERROR(__xludf.DUMMYFUNCTION("""COMPUTED_VALUE"""),45516.0)</f>
        <v>45516</v>
      </c>
      <c r="Q358" s="18"/>
      <c r="R358" s="18"/>
      <c r="S358" s="16"/>
      <c r="T358" s="16"/>
      <c r="U358" s="16" t="str">
        <f>IFERROR(__xludf.DUMMYFUNCTION("""COMPUTED_VALUE"""),"Global Classroom")</f>
        <v>Global Classroom</v>
      </c>
      <c r="V358" s="16" t="str">
        <f>IFERROR(__xludf.DUMMYFUNCTION("""COMPUTED_VALUE"""),"Polytech INTL")</f>
        <v>Polytech INTL</v>
      </c>
      <c r="W358" s="16" t="str">
        <f>IFERROR(__xludf.DUMMYFUNCTION("""COMPUTED_VALUE"""),"2021-11-22T23:14:30Z")</f>
        <v>2021-11-22T23:14:30Z</v>
      </c>
      <c r="X358" s="16"/>
      <c r="Y358" s="16"/>
      <c r="Z358" s="16"/>
    </row>
    <row r="359">
      <c r="A359" s="16" t="str">
        <f>IFERROR(__xludf.DUMMYFUNCTION("""COMPUTED_VALUE"""),"5329150_1289307")</f>
        <v>5329150_1289307</v>
      </c>
      <c r="B359" s="16" t="str">
        <f>IFERROR(__xludf.DUMMYFUNCTION("""COMPUTED_VALUE"""),"Houda MOUAOUIA")</f>
        <v>Houda MOUAOUIA</v>
      </c>
      <c r="C359" s="16" t="str">
        <f>IFERROR(__xludf.DUMMYFUNCTION("""COMPUTED_VALUE"""),"realized")</f>
        <v>realized</v>
      </c>
      <c r="D359" s="16" t="str">
        <f>IFERROR(__xludf.DUMMYFUNCTION("""COMPUTED_VALUE"""),"No")</f>
        <v>No</v>
      </c>
      <c r="E359" s="16" t="str">
        <f>IFERROR(__xludf.DUMMYFUNCTION("""COMPUTED_VALUE"""),"p_2686e024613c7a62a0d065cafd47de8b512ce519@inbound.aiesec.org")</f>
        <v>p_2686e024613c7a62a0d065cafd47de8b512ce519@inbound.aiesec.org</v>
      </c>
      <c r="F359" s="16">
        <f>IFERROR(__xludf.DUMMYFUNCTION("""COMPUTED_VALUE"""),6.21150606E8)</f>
        <v>621150606</v>
      </c>
      <c r="G359" s="16" t="str">
        <f>IFERROR(__xludf.DUMMYFUNCTION("""COMPUTED_VALUE"""),"Morocco")</f>
        <v>Morocco</v>
      </c>
      <c r="H359" s="16" t="str">
        <f>IFERROR(__xludf.DUMMYFUNCTION("""COMPUTED_VALUE"""),"Mohammedia")</f>
        <v>Mohammedia</v>
      </c>
      <c r="I359" s="16" t="str">
        <f>IFERROR(__xludf.DUMMYFUNCTION("""COMPUTED_VALUE"""),"Turkey")</f>
        <v>Turkey</v>
      </c>
      <c r="J359" s="16" t="str">
        <f>IFERROR(__xludf.DUMMYFUNCTION("""COMPUTED_VALUE"""),"ISTANBUL")</f>
        <v>ISTANBUL</v>
      </c>
      <c r="K359" s="17" t="str">
        <f>IFERROR(__xludf.DUMMYFUNCTION("""COMPUTED_VALUE"""),"https://expa.aiesec.org/opportunities/1289307")</f>
        <v>https://expa.aiesec.org/opportunities/1289307</v>
      </c>
      <c r="L359" s="16" t="str">
        <f>IFERROR(__xludf.DUMMYFUNCTION("""COMPUTED_VALUE"""),"GTe")</f>
        <v>GTe</v>
      </c>
      <c r="M359" s="16" t="str">
        <f>IFERROR(__xludf.DUMMYFUNCTION("""COMPUTED_VALUE"""),"long")</f>
        <v>long</v>
      </c>
      <c r="N359" s="18">
        <f>IFERROR(__xludf.DUMMYFUNCTION("""COMPUTED_VALUE"""),45218.0)</f>
        <v>45218</v>
      </c>
      <c r="O359" s="18">
        <f>IFERROR(__xludf.DUMMYFUNCTION("""COMPUTED_VALUE"""),45229.0)</f>
        <v>45229</v>
      </c>
      <c r="P359" s="18">
        <f>IFERROR(__xludf.DUMMYFUNCTION("""COMPUTED_VALUE"""),45597.0)</f>
        <v>45597</v>
      </c>
      <c r="Q359" s="18">
        <f>IFERROR(__xludf.DUMMYFUNCTION("""COMPUTED_VALUE"""),45218.0)</f>
        <v>45218</v>
      </c>
      <c r="R359" s="18">
        <f>IFERROR(__xludf.DUMMYFUNCTION("""COMPUTED_VALUE"""),45597.0)</f>
        <v>45597</v>
      </c>
      <c r="S359" s="16"/>
      <c r="T359" s="16"/>
      <c r="U359" s="16" t="str">
        <f>IFERROR(__xludf.DUMMYFUNCTION("""COMPUTED_VALUE"""),"Preschool English Teacher")</f>
        <v>Preschool English Teacher</v>
      </c>
      <c r="V359" s="16" t="str">
        <f>IFERROR(__xludf.DUMMYFUNCTION("""COMPUTED_VALUE"""),"Other-MOHAMMEDIA")</f>
        <v>Other-MOHAMMEDIA</v>
      </c>
      <c r="W359" s="16" t="str">
        <f>IFERROR(__xludf.DUMMYFUNCTION("""COMPUTED_VALUE"""),"2023-09-21T12:27:30Z")</f>
        <v>2023-09-21T12:27:30Z</v>
      </c>
      <c r="X359" s="16"/>
      <c r="Y359" s="16"/>
      <c r="Z359" s="16"/>
    </row>
    <row r="360">
      <c r="A360" s="16" t="str">
        <f>IFERROR(__xludf.DUMMYFUNCTION("""COMPUTED_VALUE"""),"5310331_1298284")</f>
        <v>5310331_1298284</v>
      </c>
      <c r="B360" s="16" t="str">
        <f>IFERROR(__xludf.DUMMYFUNCTION("""COMPUTED_VALUE"""),"Pallavi Chanana")</f>
        <v>Pallavi Chanana</v>
      </c>
      <c r="C360" s="16" t="str">
        <f>IFERROR(__xludf.DUMMYFUNCTION("""COMPUTED_VALUE"""),"realization_broken")</f>
        <v>realization_broken</v>
      </c>
      <c r="D360" s="16" t="str">
        <f>IFERROR(__xludf.DUMMYFUNCTION("""COMPUTED_VALUE"""),"No")</f>
        <v>No</v>
      </c>
      <c r="E360" s="16" t="str">
        <f>IFERROR(__xludf.DUMMYFUNCTION("""COMPUTED_VALUE"""),"p_6f640af7a7902d0a1d5a68d31443dcc3e4d8b7a2@inbound.aiesec.org")</f>
        <v>p_6f640af7a7902d0a1d5a68d31443dcc3e4d8b7a2@inbound.aiesec.org</v>
      </c>
      <c r="F360" s="16"/>
      <c r="G360" s="16" t="str">
        <f>IFERROR(__xludf.DUMMYFUNCTION("""COMPUTED_VALUE"""),"India")</f>
        <v>India</v>
      </c>
      <c r="H360" s="16" t="str">
        <f>IFERROR(__xludf.DUMMYFUNCTION("""COMPUTED_VALUE"""),"Delhi IIT")</f>
        <v>Delhi IIT</v>
      </c>
      <c r="I360" s="16" t="str">
        <f>IFERROR(__xludf.DUMMYFUNCTION("""COMPUTED_VALUE"""),"Turkey")</f>
        <v>Turkey</v>
      </c>
      <c r="J360" s="16" t="str">
        <f>IFERROR(__xludf.DUMMYFUNCTION("""COMPUTED_VALUE"""),"ISTANBUL")</f>
        <v>ISTANBUL</v>
      </c>
      <c r="K360" s="17" t="str">
        <f>IFERROR(__xludf.DUMMYFUNCTION("""COMPUTED_VALUE"""),"https://expa.aiesec.org/opportunities/1298284")</f>
        <v>https://expa.aiesec.org/opportunities/1298284</v>
      </c>
      <c r="L360" s="16" t="str">
        <f>IFERROR(__xludf.DUMMYFUNCTION("""COMPUTED_VALUE"""),"GV")</f>
        <v>GV</v>
      </c>
      <c r="M360" s="16" t="str">
        <f>IFERROR(__xludf.DUMMYFUNCTION("""COMPUTED_VALUE"""),"short")</f>
        <v>short</v>
      </c>
      <c r="N360" s="18">
        <f>IFERROR(__xludf.DUMMYFUNCTION("""COMPUTED_VALUE"""),45219.0)</f>
        <v>45219</v>
      </c>
      <c r="O360" s="18">
        <f>IFERROR(__xludf.DUMMYFUNCTION("""COMPUTED_VALUE"""),45249.0)</f>
        <v>45249</v>
      </c>
      <c r="P360" s="18">
        <f>IFERROR(__xludf.DUMMYFUNCTION("""COMPUTED_VALUE"""),45291.0)</f>
        <v>45291</v>
      </c>
      <c r="Q360" s="18"/>
      <c r="R360" s="18"/>
      <c r="S360" s="16"/>
      <c r="T360" s="16"/>
      <c r="U360" s="16" t="str">
        <f>IFERROR(__xludf.DUMMYFUNCTION("""COMPUTED_VALUE"""),"Global Classroom")</f>
        <v>Global Classroom</v>
      </c>
      <c r="V360" s="16" t="str">
        <f>IFERROR(__xludf.DUMMYFUNCTION("""COMPUTED_VALUE"""),"-")</f>
        <v>-</v>
      </c>
      <c r="W360" s="16" t="str">
        <f>IFERROR(__xludf.DUMMYFUNCTION("""COMPUTED_VALUE"""),"2023-08-26T15:56:49Z")</f>
        <v>2023-08-26T15:56:49Z</v>
      </c>
      <c r="X360" s="16"/>
      <c r="Y360" s="16"/>
      <c r="Z360" s="16"/>
    </row>
    <row r="361">
      <c r="A361" s="16" t="str">
        <f>IFERROR(__xludf.DUMMYFUNCTION("""COMPUTED_VALUE"""),"5195890_1272564")</f>
        <v>5195890_1272564</v>
      </c>
      <c r="B361" s="16" t="str">
        <f>IFERROR(__xludf.DUMMYFUNCTION("""COMPUTED_VALUE"""),"Daryna Demianishyna")</f>
        <v>Daryna Demianishyna</v>
      </c>
      <c r="C361" s="16" t="str">
        <f>IFERROR(__xludf.DUMMYFUNCTION("""COMPUTED_VALUE"""),"approved")</f>
        <v>approved</v>
      </c>
      <c r="D361" s="16" t="str">
        <f>IFERROR(__xludf.DUMMYFUNCTION("""COMPUTED_VALUE"""),"No")</f>
        <v>No</v>
      </c>
      <c r="E361" s="16" t="str">
        <f>IFERROR(__xludf.DUMMYFUNCTION("""COMPUTED_VALUE"""),"p_5ca40e0f5a9502b141e74da23cc52114cc6267e1@inbound.aiesec.org")</f>
        <v>p_5ca40e0f5a9502b141e74da23cc52114cc6267e1@inbound.aiesec.org</v>
      </c>
      <c r="F361" s="16">
        <f>IFERROR(__xludf.DUMMYFUNCTION("""COMPUTED_VALUE"""),9.72951879E8)</f>
        <v>972951879</v>
      </c>
      <c r="G361" s="16" t="str">
        <f>IFERROR(__xludf.DUMMYFUNCTION("""COMPUTED_VALUE"""),"Ukraine")</f>
        <v>Ukraine</v>
      </c>
      <c r="H361" s="16" t="str">
        <f>IFERROR(__xludf.DUMMYFUNCTION("""COMPUTED_VALUE"""),"KYIV")</f>
        <v>KYIV</v>
      </c>
      <c r="I361" s="16" t="str">
        <f>IFERROR(__xludf.DUMMYFUNCTION("""COMPUTED_VALUE"""),"Turkey")</f>
        <v>Turkey</v>
      </c>
      <c r="J361" s="16" t="str">
        <f>IFERROR(__xludf.DUMMYFUNCTION("""COMPUTED_VALUE"""),"ISTANBUL")</f>
        <v>ISTANBUL</v>
      </c>
      <c r="K361" s="17" t="str">
        <f>IFERROR(__xludf.DUMMYFUNCTION("""COMPUTED_VALUE"""),"https://expa.aiesec.org/opportunities/1272564")</f>
        <v>https://expa.aiesec.org/opportunities/1272564</v>
      </c>
      <c r="L361" s="16" t="str">
        <f>IFERROR(__xludf.DUMMYFUNCTION("""COMPUTED_VALUE"""),"GV")</f>
        <v>GV</v>
      </c>
      <c r="M361" s="16" t="str">
        <f>IFERROR(__xludf.DUMMYFUNCTION("""COMPUTED_VALUE"""),"short")</f>
        <v>short</v>
      </c>
      <c r="N361" s="18">
        <f>IFERROR(__xludf.DUMMYFUNCTION("""COMPUTED_VALUE"""),45220.0)</f>
        <v>45220</v>
      </c>
      <c r="O361" s="18">
        <f>IFERROR(__xludf.DUMMYFUNCTION("""COMPUTED_VALUE"""),45483.0)</f>
        <v>45483</v>
      </c>
      <c r="P361" s="18">
        <f>IFERROR(__xludf.DUMMYFUNCTION("""COMPUTED_VALUE"""),45525.0)</f>
        <v>45525</v>
      </c>
      <c r="Q361" s="18"/>
      <c r="R361" s="18"/>
      <c r="S361" s="16"/>
      <c r="T361" s="16"/>
      <c r="U361" s="16" t="str">
        <f>IFERROR(__xludf.DUMMYFUNCTION("""COMPUTED_VALUE"""),"Global Classroom")</f>
        <v>Global Classroom</v>
      </c>
      <c r="V361" s="16" t="str">
        <f>IFERROR(__xludf.DUMMYFUNCTION("""COMPUTED_VALUE"""),"Kyiv")</f>
        <v>Kyiv</v>
      </c>
      <c r="W361" s="16" t="str">
        <f>IFERROR(__xludf.DUMMYFUNCTION("""COMPUTED_VALUE"""),"2023-02-21T12:14:26Z")</f>
        <v>2023-02-21T12:14:26Z</v>
      </c>
      <c r="X361" s="16"/>
      <c r="Y361" s="16"/>
      <c r="Z361" s="16"/>
    </row>
    <row r="362">
      <c r="A362" s="16" t="str">
        <f>IFERROR(__xludf.DUMMYFUNCTION("""COMPUTED_VALUE"""),"5328078_1298284")</f>
        <v>5328078_1298284</v>
      </c>
      <c r="B362" s="16" t="str">
        <f>IFERROR(__xludf.DUMMYFUNCTION("""COMPUTED_VALUE"""),"Tiago Cunha")</f>
        <v>Tiago Cunha</v>
      </c>
      <c r="C362" s="16" t="str">
        <f>IFERROR(__xludf.DUMMYFUNCTION("""COMPUTED_VALUE"""),"approved")</f>
        <v>approved</v>
      </c>
      <c r="D362" s="16" t="str">
        <f>IFERROR(__xludf.DUMMYFUNCTION("""COMPUTED_VALUE"""),"No")</f>
        <v>No</v>
      </c>
      <c r="E362" s="16" t="str">
        <f>IFERROR(__xludf.DUMMYFUNCTION("""COMPUTED_VALUE"""),"p_289028ecfdc84bc9c202273be7cb0bea08b44a2f@inbound.aiesec.org")</f>
        <v>p_289028ecfdc84bc9c202273be7cb0bea08b44a2f@inbound.aiesec.org</v>
      </c>
      <c r="F362" s="16">
        <f>IFERROR(__xludf.DUMMYFUNCTION("""COMPUTED_VALUE"""),9.25249246E8)</f>
        <v>925249246</v>
      </c>
      <c r="G362" s="16" t="str">
        <f>IFERROR(__xludf.DUMMYFUNCTION("""COMPUTED_VALUE"""),"Portugal")</f>
        <v>Portugal</v>
      </c>
      <c r="H362" s="16" t="str">
        <f>IFERROR(__xludf.DUMMYFUNCTION("""COMPUTED_VALUE"""),"Lisboa ISEG")</f>
        <v>Lisboa ISEG</v>
      </c>
      <c r="I362" s="16" t="str">
        <f>IFERROR(__xludf.DUMMYFUNCTION("""COMPUTED_VALUE"""),"Turkey")</f>
        <v>Turkey</v>
      </c>
      <c r="J362" s="16" t="str">
        <f>IFERROR(__xludf.DUMMYFUNCTION("""COMPUTED_VALUE"""),"ISTANBUL")</f>
        <v>ISTANBUL</v>
      </c>
      <c r="K362" s="17" t="str">
        <f>IFERROR(__xludf.DUMMYFUNCTION("""COMPUTED_VALUE"""),"https://expa.aiesec.org/opportunities/1298284")</f>
        <v>https://expa.aiesec.org/opportunities/1298284</v>
      </c>
      <c r="L362" s="16" t="str">
        <f>IFERROR(__xludf.DUMMYFUNCTION("""COMPUTED_VALUE"""),"GV")</f>
        <v>GV</v>
      </c>
      <c r="M362" s="16" t="str">
        <f>IFERROR(__xludf.DUMMYFUNCTION("""COMPUTED_VALUE"""),"short")</f>
        <v>short</v>
      </c>
      <c r="N362" s="18">
        <f>IFERROR(__xludf.DUMMYFUNCTION("""COMPUTED_VALUE"""),45221.0)</f>
        <v>45221</v>
      </c>
      <c r="O362" s="18">
        <f>IFERROR(__xludf.DUMMYFUNCTION("""COMPUTED_VALUE"""),45474.0)</f>
        <v>45474</v>
      </c>
      <c r="P362" s="18">
        <f>IFERROR(__xludf.DUMMYFUNCTION("""COMPUTED_VALUE"""),45516.0)</f>
        <v>45516</v>
      </c>
      <c r="Q362" s="18"/>
      <c r="R362" s="18"/>
      <c r="S362" s="16"/>
      <c r="T362" s="16"/>
      <c r="U362" s="16" t="str">
        <f>IFERROR(__xludf.DUMMYFUNCTION("""COMPUTED_VALUE"""),"Global Classroom")</f>
        <v>Global Classroom</v>
      </c>
      <c r="V362" s="16" t="str">
        <f>IFERROR(__xludf.DUMMYFUNCTION("""COMPUTED_VALUE"""),"Universidade de Lisboa - Instituto Superior de Economia e Gestão (ISEG)")</f>
        <v>Universidade de Lisboa - Instituto Superior de Economia e Gestão (ISEG)</v>
      </c>
      <c r="W362" s="16" t="str">
        <f>IFERROR(__xludf.DUMMYFUNCTION("""COMPUTED_VALUE"""),"2023-09-20T10:40:22Z")</f>
        <v>2023-09-20T10:40:22Z</v>
      </c>
      <c r="X362" s="16"/>
      <c r="Y362" s="16"/>
      <c r="Z362" s="16"/>
    </row>
    <row r="363">
      <c r="A363" s="16" t="str">
        <f>IFERROR(__xludf.DUMMYFUNCTION("""COMPUTED_VALUE"""),"5245030_1289536")</f>
        <v>5245030_1289536</v>
      </c>
      <c r="B363" s="16" t="str">
        <f>IFERROR(__xludf.DUMMYFUNCTION("""COMPUTED_VALUE"""),"Həvva Shahbazova")</f>
        <v>Həvva Shahbazova</v>
      </c>
      <c r="C363" s="16" t="str">
        <f>IFERROR(__xludf.DUMMYFUNCTION("""COMPUTED_VALUE"""),"approved")</f>
        <v>approved</v>
      </c>
      <c r="D363" s="16" t="str">
        <f>IFERROR(__xludf.DUMMYFUNCTION("""COMPUTED_VALUE"""),"No")</f>
        <v>No</v>
      </c>
      <c r="E363" s="16" t="str">
        <f>IFERROR(__xludf.DUMMYFUNCTION("""COMPUTED_VALUE"""),"p_968f835d9c7e2f1626e1a5924fe068e24eaccbad@inbound.aiesec.org")</f>
        <v>p_968f835d9c7e2f1626e1a5924fe068e24eaccbad@inbound.aiesec.org</v>
      </c>
      <c r="F363" s="16"/>
      <c r="G363" s="16" t="str">
        <f>IFERROR(__xludf.DUMMYFUNCTION("""COMPUTED_VALUE"""),"Azerbaijan")</f>
        <v>Azerbaijan</v>
      </c>
      <c r="H363" s="16" t="str">
        <f>IFERROR(__xludf.DUMMYFUNCTION("""COMPUTED_VALUE"""),"Baku Synergy")</f>
        <v>Baku Synergy</v>
      </c>
      <c r="I363" s="16" t="str">
        <f>IFERROR(__xludf.DUMMYFUNCTION("""COMPUTED_VALUE"""),"Turkey")</f>
        <v>Turkey</v>
      </c>
      <c r="J363" s="16" t="str">
        <f>IFERROR(__xludf.DUMMYFUNCTION("""COMPUTED_VALUE"""),"ISTANBUL")</f>
        <v>ISTANBUL</v>
      </c>
      <c r="K363" s="17" t="str">
        <f>IFERROR(__xludf.DUMMYFUNCTION("""COMPUTED_VALUE"""),"https://expa.aiesec.org/opportunities/1289536")</f>
        <v>https://expa.aiesec.org/opportunities/1289536</v>
      </c>
      <c r="L363" s="16" t="str">
        <f>IFERROR(__xludf.DUMMYFUNCTION("""COMPUTED_VALUE"""),"GV")</f>
        <v>GV</v>
      </c>
      <c r="M363" s="16" t="str">
        <f>IFERROR(__xludf.DUMMYFUNCTION("""COMPUTED_VALUE"""),"short")</f>
        <v>short</v>
      </c>
      <c r="N363" s="18">
        <f>IFERROR(__xludf.DUMMYFUNCTION("""COMPUTED_VALUE"""),45223.0)</f>
        <v>45223</v>
      </c>
      <c r="O363" s="18">
        <f>IFERROR(__xludf.DUMMYFUNCTION("""COMPUTED_VALUE"""),45474.0)</f>
        <v>45474</v>
      </c>
      <c r="P363" s="18">
        <f>IFERROR(__xludf.DUMMYFUNCTION("""COMPUTED_VALUE"""),45516.0)</f>
        <v>45516</v>
      </c>
      <c r="Q363" s="18"/>
      <c r="R363" s="18"/>
      <c r="S363" s="16"/>
      <c r="T363" s="16"/>
      <c r="U363" s="16" t="str">
        <f>IFERROR(__xludf.DUMMYFUNCTION("""COMPUTED_VALUE"""),"Global Classroom")</f>
        <v>Global Classroom</v>
      </c>
      <c r="V363" s="16" t="str">
        <f>IFERROR(__xludf.DUMMYFUNCTION("""COMPUTED_VALUE"""),"-")</f>
        <v>-</v>
      </c>
      <c r="W363" s="16" t="str">
        <f>IFERROR(__xludf.DUMMYFUNCTION("""COMPUTED_VALUE"""),"2023-04-19T06:33:31Z")</f>
        <v>2023-04-19T06:33:31Z</v>
      </c>
      <c r="X363" s="16"/>
      <c r="Y363" s="16"/>
      <c r="Z363" s="16"/>
    </row>
    <row r="364">
      <c r="A364" s="16" t="str">
        <f>IFERROR(__xludf.DUMMYFUNCTION("""COMPUTED_VALUE"""),"5356844_1299919")</f>
        <v>5356844_1299919</v>
      </c>
      <c r="B364" s="16" t="str">
        <f>IFERROR(__xludf.DUMMYFUNCTION("""COMPUTED_VALUE"""),"Sevde Aykalaycı")</f>
        <v>Sevde Aykalaycı</v>
      </c>
      <c r="C364" s="16" t="str">
        <f>IFERROR(__xludf.DUMMYFUNCTION("""COMPUTED_VALUE"""),"approved")</f>
        <v>approved</v>
      </c>
      <c r="D364" s="16" t="str">
        <f>IFERROR(__xludf.DUMMYFUNCTION("""COMPUTED_VALUE"""),"No")</f>
        <v>No</v>
      </c>
      <c r="E364" s="16" t="str">
        <f>IFERROR(__xludf.DUMMYFUNCTION("""COMPUTED_VALUE"""),"p_106a176faa33880947d2c4f2e536082e276a6eef@inbound.aiesec.org")</f>
        <v>p_106a176faa33880947d2c4f2e536082e276a6eef@inbound.aiesec.org</v>
      </c>
      <c r="F364" s="16">
        <f>IFERROR(__xludf.DUMMYFUNCTION("""COMPUTED_VALUE"""),5.527262511E9)</f>
        <v>5527262511</v>
      </c>
      <c r="G364" s="16" t="str">
        <f>IFERROR(__xludf.DUMMYFUNCTION("""COMPUTED_VALUE"""),"Turkey")</f>
        <v>Turkey</v>
      </c>
      <c r="H364" s="16" t="str">
        <f>IFERROR(__xludf.DUMMYFUNCTION("""COMPUTED_VALUE"""),"ISTANBUL")</f>
        <v>ISTANBUL</v>
      </c>
      <c r="I364" s="16" t="str">
        <f>IFERROR(__xludf.DUMMYFUNCTION("""COMPUTED_VALUE"""),"Egypt")</f>
        <v>Egypt</v>
      </c>
      <c r="J364" s="16" t="str">
        <f>IFERROR(__xludf.DUMMYFUNCTION("""COMPUTED_VALUE"""),"Cairo University")</f>
        <v>Cairo University</v>
      </c>
      <c r="K364" s="17" t="str">
        <f>IFERROR(__xludf.DUMMYFUNCTION("""COMPUTED_VALUE"""),"https://expa.aiesec.org/opportunities/1299919")</f>
        <v>https://expa.aiesec.org/opportunities/1299919</v>
      </c>
      <c r="L364" s="16" t="str">
        <f>IFERROR(__xludf.DUMMYFUNCTION("""COMPUTED_VALUE"""),"GV")</f>
        <v>GV</v>
      </c>
      <c r="M364" s="16" t="str">
        <f>IFERROR(__xludf.DUMMYFUNCTION("""COMPUTED_VALUE"""),"short")</f>
        <v>short</v>
      </c>
      <c r="N364" s="18">
        <f>IFERROR(__xludf.DUMMYFUNCTION("""COMPUTED_VALUE"""),45223.0)</f>
        <v>45223</v>
      </c>
      <c r="O364" s="18">
        <f>IFERROR(__xludf.DUMMYFUNCTION("""COMPUTED_VALUE"""),45458.0)</f>
        <v>45458</v>
      </c>
      <c r="P364" s="18">
        <f>IFERROR(__xludf.DUMMYFUNCTION("""COMPUTED_VALUE"""),45500.0)</f>
        <v>45500</v>
      </c>
      <c r="Q364" s="18"/>
      <c r="R364" s="18"/>
      <c r="S364" s="16"/>
      <c r="T364" s="16"/>
      <c r="U364" s="16" t="str">
        <f>IFERROR(__xludf.DUMMYFUNCTION("""COMPUTED_VALUE"""),"Global Classroom")</f>
        <v>Global Classroom</v>
      </c>
      <c r="V364" s="16" t="str">
        <f>IFERROR(__xludf.DUMMYFUNCTION("""COMPUTED_VALUE"""),"BURSA")</f>
        <v>BURSA</v>
      </c>
      <c r="W364" s="16" t="str">
        <f>IFERROR(__xludf.DUMMYFUNCTION("""COMPUTED_VALUE"""),"2023-10-21T20:28:26Z")</f>
        <v>2023-10-21T20:28:26Z</v>
      </c>
      <c r="X364" s="16"/>
      <c r="Y364" s="16"/>
      <c r="Z364" s="16"/>
    </row>
    <row r="365">
      <c r="A365" s="16" t="str">
        <f>IFERROR(__xludf.DUMMYFUNCTION("""COMPUTED_VALUE"""),"5355827_1295253")</f>
        <v>5355827_1295253</v>
      </c>
      <c r="B365" s="16" t="str">
        <f>IFERROR(__xludf.DUMMYFUNCTION("""COMPUTED_VALUE"""),"Elena Gurinova")</f>
        <v>Elena Gurinova</v>
      </c>
      <c r="C365" s="16" t="str">
        <f>IFERROR(__xludf.DUMMYFUNCTION("""COMPUTED_VALUE"""),"realized")</f>
        <v>realized</v>
      </c>
      <c r="D365" s="16" t="str">
        <f>IFERROR(__xludf.DUMMYFUNCTION("""COMPUTED_VALUE"""),"No")</f>
        <v>No</v>
      </c>
      <c r="E365" s="16" t="str">
        <f>IFERROR(__xludf.DUMMYFUNCTION("""COMPUTED_VALUE"""),"p_72cdf696a424a8caf8c46c90201565db99878231@inbound.aiesec.org")</f>
        <v>p_72cdf696a424a8caf8c46c90201565db99878231@inbound.aiesec.org</v>
      </c>
      <c r="F365" s="16">
        <f>IFERROR(__xludf.DUMMYFUNCTION("""COMPUTED_VALUE"""),9.601290096E9)</f>
        <v>9601290096</v>
      </c>
      <c r="G365" s="16" t="str">
        <f>IFERROR(__xludf.DUMMYFUNCTION("""COMPUTED_VALUE"""),"Russia")</f>
        <v>Russia</v>
      </c>
      <c r="H365" s="16" t="str">
        <f>IFERROR(__xludf.DUMMYFUNCTION("""COMPUTED_VALUE"""),"VORONEZH")</f>
        <v>VORONEZH</v>
      </c>
      <c r="I365" s="16" t="str">
        <f>IFERROR(__xludf.DUMMYFUNCTION("""COMPUTED_VALUE"""),"Turkey")</f>
        <v>Turkey</v>
      </c>
      <c r="J365" s="16" t="str">
        <f>IFERROR(__xludf.DUMMYFUNCTION("""COMPUTED_VALUE"""),"ISTANBUL")</f>
        <v>ISTANBUL</v>
      </c>
      <c r="K365" s="17" t="str">
        <f>IFERROR(__xludf.DUMMYFUNCTION("""COMPUTED_VALUE"""),"https://expa.aiesec.org/opportunities/1295253")</f>
        <v>https://expa.aiesec.org/opportunities/1295253</v>
      </c>
      <c r="L365" s="16" t="str">
        <f>IFERROR(__xludf.DUMMYFUNCTION("""COMPUTED_VALUE"""),"GTa")</f>
        <v>GTa</v>
      </c>
      <c r="M365" s="16" t="str">
        <f>IFERROR(__xludf.DUMMYFUNCTION("""COMPUTED_VALUE"""),"medium")</f>
        <v>medium</v>
      </c>
      <c r="N365" s="18">
        <f>IFERROR(__xludf.DUMMYFUNCTION("""COMPUTED_VALUE"""),45224.0)</f>
        <v>45224</v>
      </c>
      <c r="O365" s="18">
        <f>IFERROR(__xludf.DUMMYFUNCTION("""COMPUTED_VALUE"""),45257.0)</f>
        <v>45257</v>
      </c>
      <c r="P365" s="18">
        <f>IFERROR(__xludf.DUMMYFUNCTION("""COMPUTED_VALUE"""),45436.0)</f>
        <v>45436</v>
      </c>
      <c r="Q365" s="18">
        <f>IFERROR(__xludf.DUMMYFUNCTION("""COMPUTED_VALUE"""),45261.0)</f>
        <v>45261</v>
      </c>
      <c r="R365" s="18">
        <f>IFERROR(__xludf.DUMMYFUNCTION("""COMPUTED_VALUE"""),45440.0)</f>
        <v>45440</v>
      </c>
      <c r="S365" s="16"/>
      <c r="T365" s="16" t="str">
        <f>IFERROR(__xludf.DUMMYFUNCTION("""COMPUTED_VALUE"""),"Other")</f>
        <v>Other</v>
      </c>
      <c r="U365" s="16" t="str">
        <f>IFERROR(__xludf.DUMMYFUNCTION("""COMPUTED_VALUE"""),"Marine Claim/Insurance Specialist in Istanbul")</f>
        <v>Marine Claim/Insurance Specialist in Istanbul</v>
      </c>
      <c r="V365" s="16" t="str">
        <f>IFERROR(__xludf.DUMMYFUNCTION("""COMPUTED_VALUE"""),"Voronezh")</f>
        <v>Voronezh</v>
      </c>
      <c r="W365" s="16" t="str">
        <f>IFERROR(__xludf.DUMMYFUNCTION("""COMPUTED_VALUE"""),"2023-10-19T19:16:49Z")</f>
        <v>2023-10-19T19:16:49Z</v>
      </c>
      <c r="X365" s="16"/>
      <c r="Y365" s="16"/>
      <c r="Z365" s="16"/>
    </row>
    <row r="366">
      <c r="A366" s="16" t="str">
        <f>IFERROR(__xludf.DUMMYFUNCTION("""COMPUTED_VALUE"""),"5356803_1299422")</f>
        <v>5356803_1299422</v>
      </c>
      <c r="B366" s="16" t="str">
        <f>IFERROR(__xludf.DUMMYFUNCTION("""COMPUTED_VALUE"""),"Toprak Aygün")</f>
        <v>Toprak Aygün</v>
      </c>
      <c r="C366" s="16" t="str">
        <f>IFERROR(__xludf.DUMMYFUNCTION("""COMPUTED_VALUE"""),"realized")</f>
        <v>realized</v>
      </c>
      <c r="D366" s="16" t="str">
        <f>IFERROR(__xludf.DUMMYFUNCTION("""COMPUTED_VALUE"""),"No")</f>
        <v>No</v>
      </c>
      <c r="E366" s="16" t="str">
        <f>IFERROR(__xludf.DUMMYFUNCTION("""COMPUTED_VALUE"""),"p_2864f582bc890eee3e7134dfd653f414ec379c10@inbound.aiesec.org")</f>
        <v>p_2864f582bc890eee3e7134dfd653f414ec379c10@inbound.aiesec.org</v>
      </c>
      <c r="F366" s="16">
        <f>IFERROR(__xludf.DUMMYFUNCTION("""COMPUTED_VALUE"""),5.348218105E9)</f>
        <v>5348218105</v>
      </c>
      <c r="G366" s="16" t="str">
        <f>IFERROR(__xludf.DUMMYFUNCTION("""COMPUTED_VALUE"""),"Turkey")</f>
        <v>Turkey</v>
      </c>
      <c r="H366" s="16" t="str">
        <f>IFERROR(__xludf.DUMMYFUNCTION("""COMPUTED_VALUE"""),"ISTANBUL")</f>
        <v>ISTANBUL</v>
      </c>
      <c r="I366" s="16" t="str">
        <f>IFERROR(__xludf.DUMMYFUNCTION("""COMPUTED_VALUE"""),"Slovakia")</f>
        <v>Slovakia</v>
      </c>
      <c r="J366" s="16" t="str">
        <f>IFERROR(__xludf.DUMMYFUNCTION("""COMPUTED_VALUE"""),"Nitra")</f>
        <v>Nitra</v>
      </c>
      <c r="K366" s="17" t="str">
        <f>IFERROR(__xludf.DUMMYFUNCTION("""COMPUTED_VALUE"""),"https://expa.aiesec.org/opportunities/1299422")</f>
        <v>https://expa.aiesec.org/opportunities/1299422</v>
      </c>
      <c r="L366" s="16" t="str">
        <f>IFERROR(__xludf.DUMMYFUNCTION("""COMPUTED_VALUE"""),"GV")</f>
        <v>GV</v>
      </c>
      <c r="M366" s="16" t="str">
        <f>IFERROR(__xludf.DUMMYFUNCTION("""COMPUTED_VALUE"""),"short")</f>
        <v>short</v>
      </c>
      <c r="N366" s="18">
        <f>IFERROR(__xludf.DUMMYFUNCTION("""COMPUTED_VALUE"""),45225.0)</f>
        <v>45225</v>
      </c>
      <c r="O366" s="18">
        <f>IFERROR(__xludf.DUMMYFUNCTION("""COMPUTED_VALUE"""),45306.0)</f>
        <v>45306</v>
      </c>
      <c r="P366" s="18">
        <f>IFERROR(__xludf.DUMMYFUNCTION("""COMPUTED_VALUE"""),45348.0)</f>
        <v>45348</v>
      </c>
      <c r="Q366" s="18">
        <f>IFERROR(__xludf.DUMMYFUNCTION("""COMPUTED_VALUE"""),45306.0)</f>
        <v>45306</v>
      </c>
      <c r="R366" s="18">
        <f>IFERROR(__xludf.DUMMYFUNCTION("""COMPUTED_VALUE"""),45348.0)</f>
        <v>45348</v>
      </c>
      <c r="S366" s="16"/>
      <c r="T366" s="16"/>
      <c r="U366" s="16" t="str">
        <f>IFERROR(__xludf.DUMMYFUNCTION("""COMPUTED_VALUE"""),"Happy Bus")</f>
        <v>Happy Bus</v>
      </c>
      <c r="V366" s="16" t="str">
        <f>IFERROR(__xludf.DUMMYFUNCTION("""COMPUTED_VALUE"""),"ISTANBUL - BEYOGLU")</f>
        <v>ISTANBUL - BEYOGLU</v>
      </c>
      <c r="W366" s="16" t="str">
        <f>IFERROR(__xludf.DUMMYFUNCTION("""COMPUTED_VALUE"""),"2023-10-21T18:39:26Z")</f>
        <v>2023-10-21T18:39:26Z</v>
      </c>
      <c r="X366" s="16"/>
      <c r="Y366" s="16"/>
      <c r="Z366" s="16"/>
    </row>
    <row r="367">
      <c r="A367" s="16" t="str">
        <f>IFERROR(__xludf.DUMMYFUNCTION("""COMPUTED_VALUE"""),"5361158_1299656")</f>
        <v>5361158_1299656</v>
      </c>
      <c r="B367" s="16" t="str">
        <f>IFERROR(__xludf.DUMMYFUNCTION("""COMPUTED_VALUE"""),"Eylül Sıla Çifci")</f>
        <v>Eylül Sıla Çifci</v>
      </c>
      <c r="C367" s="16" t="str">
        <f>IFERROR(__xludf.DUMMYFUNCTION("""COMPUTED_VALUE"""),"approved")</f>
        <v>approved</v>
      </c>
      <c r="D367" s="16" t="str">
        <f>IFERROR(__xludf.DUMMYFUNCTION("""COMPUTED_VALUE"""),"No")</f>
        <v>No</v>
      </c>
      <c r="E367" s="16" t="str">
        <f>IFERROR(__xludf.DUMMYFUNCTION("""COMPUTED_VALUE"""),"p_3157379a02c88fa504a09e0ac87d655ce9bc4e31@inbound.aiesec.org")</f>
        <v>p_3157379a02c88fa504a09e0ac87d655ce9bc4e31@inbound.aiesec.org</v>
      </c>
      <c r="F367" s="16">
        <f>IFERROR(__xludf.DUMMYFUNCTION("""COMPUTED_VALUE"""),5.071070096E9)</f>
        <v>5071070096</v>
      </c>
      <c r="G367" s="16" t="str">
        <f>IFERROR(__xludf.DUMMYFUNCTION("""COMPUTED_VALUE"""),"Turkey")</f>
        <v>Turkey</v>
      </c>
      <c r="H367" s="16" t="str">
        <f>IFERROR(__xludf.DUMMYFUNCTION("""COMPUTED_VALUE"""),"ISTANBUL")</f>
        <v>ISTANBUL</v>
      </c>
      <c r="I367" s="16" t="str">
        <f>IFERROR(__xludf.DUMMYFUNCTION("""COMPUTED_VALUE"""),"Brazil")</f>
        <v>Brazil</v>
      </c>
      <c r="J367" s="16" t="str">
        <f>IFERROR(__xludf.DUMMYFUNCTION("""COMPUTED_VALUE"""),"RIO DE JANEIRO")</f>
        <v>RIO DE JANEIRO</v>
      </c>
      <c r="K367" s="17" t="str">
        <f>IFERROR(__xludf.DUMMYFUNCTION("""COMPUTED_VALUE"""),"https://expa.aiesec.org/opportunities/1299656")</f>
        <v>https://expa.aiesec.org/opportunities/1299656</v>
      </c>
      <c r="L367" s="16" t="str">
        <f>IFERROR(__xludf.DUMMYFUNCTION("""COMPUTED_VALUE"""),"GV")</f>
        <v>GV</v>
      </c>
      <c r="M367" s="16" t="str">
        <f>IFERROR(__xludf.DUMMYFUNCTION("""COMPUTED_VALUE"""),"short")</f>
        <v>short</v>
      </c>
      <c r="N367" s="18">
        <f>IFERROR(__xludf.DUMMYFUNCTION("""COMPUTED_VALUE"""),45226.0)</f>
        <v>45226</v>
      </c>
      <c r="O367" s="18">
        <f>IFERROR(__xludf.DUMMYFUNCTION("""COMPUTED_VALUE"""),45496.0)</f>
        <v>45496</v>
      </c>
      <c r="P367" s="18">
        <f>IFERROR(__xludf.DUMMYFUNCTION("""COMPUTED_VALUE"""),45538.0)</f>
        <v>45538</v>
      </c>
      <c r="Q367" s="18"/>
      <c r="R367" s="18"/>
      <c r="S367" s="16"/>
      <c r="T367" s="16"/>
      <c r="U367" s="16" t="str">
        <f>IFERROR(__xludf.DUMMYFUNCTION("""COMPUTED_VALUE"""),"Raise Your Voice")</f>
        <v>Raise Your Voice</v>
      </c>
      <c r="V367" s="16" t="str">
        <f>IFERROR(__xludf.DUMMYFUNCTION("""COMPUTED_VALUE"""),"ISTANBUL - BEYOGLU")</f>
        <v>ISTANBUL - BEYOGLU</v>
      </c>
      <c r="W367" s="16" t="str">
        <f>IFERROR(__xludf.DUMMYFUNCTION("""COMPUTED_VALUE"""),"2023-10-26T20:48:44Z")</f>
        <v>2023-10-26T20:48:44Z</v>
      </c>
      <c r="X367" s="16"/>
      <c r="Y367" s="16"/>
      <c r="Z367" s="16"/>
    </row>
    <row r="368">
      <c r="A368" s="16" t="str">
        <f>IFERROR(__xludf.DUMMYFUNCTION("""COMPUTED_VALUE"""),"5360327_1289850")</f>
        <v>5360327_1289850</v>
      </c>
      <c r="B368" s="16" t="str">
        <f>IFERROR(__xludf.DUMMYFUNCTION("""COMPUTED_VALUE"""),"Umur Uysal")</f>
        <v>Umur Uysal</v>
      </c>
      <c r="C368" s="16" t="str">
        <f>IFERROR(__xludf.DUMMYFUNCTION("""COMPUTED_VALUE"""),"approved")</f>
        <v>approved</v>
      </c>
      <c r="D368" s="16" t="str">
        <f>IFERROR(__xludf.DUMMYFUNCTION("""COMPUTED_VALUE"""),"No")</f>
        <v>No</v>
      </c>
      <c r="E368" s="16" t="str">
        <f>IFERROR(__xludf.DUMMYFUNCTION("""COMPUTED_VALUE"""),"p_a32f4626aa9fc77052d4c27f38a0ad879c9e7c44@inbound.aiesec.org")</f>
        <v>p_a32f4626aa9fc77052d4c27f38a0ad879c9e7c44@inbound.aiesec.org</v>
      </c>
      <c r="F368" s="16"/>
      <c r="G368" s="16" t="str">
        <f>IFERROR(__xludf.DUMMYFUNCTION("""COMPUTED_VALUE"""),"Turkey")</f>
        <v>Turkey</v>
      </c>
      <c r="H368" s="16" t="str">
        <f>IFERROR(__xludf.DUMMYFUNCTION("""COMPUTED_VALUE"""),"ISTANBUL")</f>
        <v>ISTANBUL</v>
      </c>
      <c r="I368" s="16" t="str">
        <f>IFERROR(__xludf.DUMMYFUNCTION("""COMPUTED_VALUE"""),"India")</f>
        <v>India</v>
      </c>
      <c r="J368" s="16" t="str">
        <f>IFERROR(__xludf.DUMMYFUNCTION("""COMPUTED_VALUE"""),"Mumbai")</f>
        <v>Mumbai</v>
      </c>
      <c r="K368" s="17" t="str">
        <f>IFERROR(__xludf.DUMMYFUNCTION("""COMPUTED_VALUE"""),"https://expa.aiesec.org/opportunities/1289850")</f>
        <v>https://expa.aiesec.org/opportunities/1289850</v>
      </c>
      <c r="L368" s="16" t="str">
        <f>IFERROR(__xludf.DUMMYFUNCTION("""COMPUTED_VALUE"""),"GV")</f>
        <v>GV</v>
      </c>
      <c r="M368" s="16" t="str">
        <f>IFERROR(__xludf.DUMMYFUNCTION("""COMPUTED_VALUE"""),"short")</f>
        <v>short</v>
      </c>
      <c r="N368" s="18">
        <f>IFERROR(__xludf.DUMMYFUNCTION("""COMPUTED_VALUE"""),45227.0)</f>
        <v>45227</v>
      </c>
      <c r="O368" s="18">
        <f>IFERROR(__xludf.DUMMYFUNCTION("""COMPUTED_VALUE"""),45488.0)</f>
        <v>45488</v>
      </c>
      <c r="P368" s="18">
        <f>IFERROR(__xludf.DUMMYFUNCTION("""COMPUTED_VALUE"""),45530.0)</f>
        <v>45530</v>
      </c>
      <c r="Q368" s="18"/>
      <c r="R368" s="18"/>
      <c r="S368" s="16"/>
      <c r="T368" s="16"/>
      <c r="U368" s="16" t="str">
        <f>IFERROR(__xludf.DUMMYFUNCTION("""COMPUTED_VALUE"""),"Global Classroom")</f>
        <v>Global Classroom</v>
      </c>
      <c r="V368" s="16" t="str">
        <f>IFERROR(__xludf.DUMMYFUNCTION("""COMPUTED_VALUE"""),"-")</f>
        <v>-</v>
      </c>
      <c r="W368" s="16" t="str">
        <f>IFERROR(__xludf.DUMMYFUNCTION("""COMPUTED_VALUE"""),"2023-10-25T19:49:15Z")</f>
        <v>2023-10-25T19:49:15Z</v>
      </c>
      <c r="X368" s="16"/>
      <c r="Y368" s="16"/>
      <c r="Z368" s="16"/>
    </row>
    <row r="369">
      <c r="A369" s="16" t="str">
        <f>IFERROR(__xludf.DUMMYFUNCTION("""COMPUTED_VALUE"""),"5362094_1284670")</f>
        <v>5362094_1284670</v>
      </c>
      <c r="B369" s="16" t="str">
        <f>IFERROR(__xludf.DUMMYFUNCTION("""COMPUTED_VALUE"""),"menyar kahlawi")</f>
        <v>menyar kahlawi</v>
      </c>
      <c r="C369" s="16" t="str">
        <f>IFERROR(__xludf.DUMMYFUNCTION("""COMPUTED_VALUE"""),"approved")</f>
        <v>approved</v>
      </c>
      <c r="D369" s="16" t="str">
        <f>IFERROR(__xludf.DUMMYFUNCTION("""COMPUTED_VALUE"""),"No")</f>
        <v>No</v>
      </c>
      <c r="E369" s="16" t="str">
        <f>IFERROR(__xludf.DUMMYFUNCTION("""COMPUTED_VALUE"""),"p_ebd7b6693f989540f48ac7e365a3783897c34803@inbound.aiesec.org")</f>
        <v>p_ebd7b6693f989540f48ac7e365a3783897c34803@inbound.aiesec.org</v>
      </c>
      <c r="F369" s="16">
        <f>IFERROR(__xludf.DUMMYFUNCTION("""COMPUTED_VALUE"""),5.538345E7)</f>
        <v>55383450</v>
      </c>
      <c r="G369" s="16" t="str">
        <f>IFERROR(__xludf.DUMMYFUNCTION("""COMPUTED_VALUE"""),"Tunisia")</f>
        <v>Tunisia</v>
      </c>
      <c r="H369" s="16" t="str">
        <f>IFERROR(__xludf.DUMMYFUNCTION("""COMPUTED_VALUE"""),"HADRUMET")</f>
        <v>HADRUMET</v>
      </c>
      <c r="I369" s="16" t="str">
        <f>IFERROR(__xludf.DUMMYFUNCTION("""COMPUTED_VALUE"""),"Turkey")</f>
        <v>Turkey</v>
      </c>
      <c r="J369" s="16" t="str">
        <f>IFERROR(__xludf.DUMMYFUNCTION("""COMPUTED_VALUE"""),"ISTANBUL")</f>
        <v>ISTANBUL</v>
      </c>
      <c r="K369" s="17" t="str">
        <f>IFERROR(__xludf.DUMMYFUNCTION("""COMPUTED_VALUE"""),"https://expa.aiesec.org/opportunities/1284670")</f>
        <v>https://expa.aiesec.org/opportunities/1284670</v>
      </c>
      <c r="L369" s="16" t="str">
        <f>IFERROR(__xludf.DUMMYFUNCTION("""COMPUTED_VALUE"""),"GV")</f>
        <v>GV</v>
      </c>
      <c r="M369" s="16" t="str">
        <f>IFERROR(__xludf.DUMMYFUNCTION("""COMPUTED_VALUE"""),"short")</f>
        <v>short</v>
      </c>
      <c r="N369" s="18">
        <f>IFERROR(__xludf.DUMMYFUNCTION("""COMPUTED_VALUE"""),45227.0)</f>
        <v>45227</v>
      </c>
      <c r="O369" s="18">
        <f>IFERROR(__xludf.DUMMYFUNCTION("""COMPUTED_VALUE"""),45476.0)</f>
        <v>45476</v>
      </c>
      <c r="P369" s="18">
        <f>IFERROR(__xludf.DUMMYFUNCTION("""COMPUTED_VALUE"""),45518.0)</f>
        <v>45518</v>
      </c>
      <c r="Q369" s="18"/>
      <c r="R369" s="18"/>
      <c r="S369" s="16"/>
      <c r="T369" s="16"/>
      <c r="U369" s="16" t="str">
        <f>IFERROR(__xludf.DUMMYFUNCTION("""COMPUTED_VALUE"""),"Heartbeat")</f>
        <v>Heartbeat</v>
      </c>
      <c r="V369" s="16" t="str">
        <f>IFERROR(__xludf.DUMMYFUNCTION("""COMPUTED_VALUE"""),"FMS (Faculté de Médecine de Sousse)")</f>
        <v>FMS (Faculté de Médecine de Sousse)</v>
      </c>
      <c r="W369" s="16" t="str">
        <f>IFERROR(__xludf.DUMMYFUNCTION("""COMPUTED_VALUE"""),"2023-10-28T11:52:15Z")</f>
        <v>2023-10-28T11:52:15Z</v>
      </c>
      <c r="X369" s="16"/>
      <c r="Y369" s="16"/>
      <c r="Z369" s="16"/>
    </row>
    <row r="370">
      <c r="A370" s="16" t="str">
        <f>IFERROR(__xludf.DUMMYFUNCTION("""COMPUTED_VALUE"""),"5361757_1297178")</f>
        <v>5361757_1297178</v>
      </c>
      <c r="B370" s="16" t="str">
        <f>IFERROR(__xludf.DUMMYFUNCTION("""COMPUTED_VALUE"""),"Dilara Köşkeroğlu")</f>
        <v>Dilara Köşkeroğlu</v>
      </c>
      <c r="C370" s="16" t="str">
        <f>IFERROR(__xludf.DUMMYFUNCTION("""COMPUTED_VALUE"""),"approved")</f>
        <v>approved</v>
      </c>
      <c r="D370" s="16" t="str">
        <f>IFERROR(__xludf.DUMMYFUNCTION("""COMPUTED_VALUE"""),"No")</f>
        <v>No</v>
      </c>
      <c r="E370" s="16" t="str">
        <f>IFERROR(__xludf.DUMMYFUNCTION("""COMPUTED_VALUE"""),"p_bc9bf6c7d742bed19c9f4b454bc80784f669149f@inbound.aiesec.org")</f>
        <v>p_bc9bf6c7d742bed19c9f4b454bc80784f669149f@inbound.aiesec.org</v>
      </c>
      <c r="F370" s="16">
        <f>IFERROR(__xludf.DUMMYFUNCTION("""COMPUTED_VALUE"""),5.379991148E9)</f>
        <v>5379991148</v>
      </c>
      <c r="G370" s="16" t="str">
        <f>IFERROR(__xludf.DUMMYFUNCTION("""COMPUTED_VALUE"""),"Turkey")</f>
        <v>Turkey</v>
      </c>
      <c r="H370" s="16" t="str">
        <f>IFERROR(__xludf.DUMMYFUNCTION("""COMPUTED_VALUE"""),"ISTANBUL")</f>
        <v>ISTANBUL</v>
      </c>
      <c r="I370" s="16" t="str">
        <f>IFERROR(__xludf.DUMMYFUNCTION("""COMPUTED_VALUE"""),"Romania")</f>
        <v>Romania</v>
      </c>
      <c r="J370" s="16" t="str">
        <f>IFERROR(__xludf.DUMMYFUNCTION("""COMPUTED_VALUE"""),"PITESTI")</f>
        <v>PITESTI</v>
      </c>
      <c r="K370" s="17" t="str">
        <f>IFERROR(__xludf.DUMMYFUNCTION("""COMPUTED_VALUE"""),"https://expa.aiesec.org/opportunities/1297178")</f>
        <v>https://expa.aiesec.org/opportunities/1297178</v>
      </c>
      <c r="L370" s="16" t="str">
        <f>IFERROR(__xludf.DUMMYFUNCTION("""COMPUTED_VALUE"""),"GV")</f>
        <v>GV</v>
      </c>
      <c r="M370" s="16" t="str">
        <f>IFERROR(__xludf.DUMMYFUNCTION("""COMPUTED_VALUE"""),"short")</f>
        <v>short</v>
      </c>
      <c r="N370" s="18">
        <f>IFERROR(__xludf.DUMMYFUNCTION("""COMPUTED_VALUE"""),45229.0)</f>
        <v>45229</v>
      </c>
      <c r="O370" s="18">
        <f>IFERROR(__xludf.DUMMYFUNCTION("""COMPUTED_VALUE"""),45318.0)</f>
        <v>45318</v>
      </c>
      <c r="P370" s="18">
        <f>IFERROR(__xludf.DUMMYFUNCTION("""COMPUTED_VALUE"""),45360.0)</f>
        <v>45360</v>
      </c>
      <c r="Q370" s="18"/>
      <c r="R370" s="18"/>
      <c r="S370" s="16"/>
      <c r="T370" s="16"/>
      <c r="U370" s="16" t="str">
        <f>IFERROR(__xludf.DUMMYFUNCTION("""COMPUTED_VALUE"""),"Eat 4 Change")</f>
        <v>Eat 4 Change</v>
      </c>
      <c r="V370" s="16" t="str">
        <f>IFERROR(__xludf.DUMMYFUNCTION("""COMPUTED_VALUE"""),"ISTANBUL - BEYOGLU")</f>
        <v>ISTANBUL - BEYOGLU</v>
      </c>
      <c r="W370" s="16" t="str">
        <f>IFERROR(__xludf.DUMMYFUNCTION("""COMPUTED_VALUE"""),"2023-10-27T19:36:05Z")</f>
        <v>2023-10-27T19:36:05Z</v>
      </c>
      <c r="X370" s="16"/>
      <c r="Y370" s="16"/>
      <c r="Z370" s="16"/>
    </row>
    <row r="371">
      <c r="A371" s="16" t="str">
        <f>IFERROR(__xludf.DUMMYFUNCTION("""COMPUTED_VALUE"""),"5363974_1297178")</f>
        <v>5363974_1297178</v>
      </c>
      <c r="B371" s="16" t="str">
        <f>IFERROR(__xludf.DUMMYFUNCTION("""COMPUTED_VALUE"""),"ahmet kadir durna")</f>
        <v>ahmet kadir durna</v>
      </c>
      <c r="C371" s="16" t="str">
        <f>IFERROR(__xludf.DUMMYFUNCTION("""COMPUTED_VALUE"""),"approved")</f>
        <v>approved</v>
      </c>
      <c r="D371" s="16" t="str">
        <f>IFERROR(__xludf.DUMMYFUNCTION("""COMPUTED_VALUE"""),"No")</f>
        <v>No</v>
      </c>
      <c r="E371" s="16" t="str">
        <f>IFERROR(__xludf.DUMMYFUNCTION("""COMPUTED_VALUE"""),"p_ea9f91df9bd678e0afc74471f556d6f5e33212d1@inbound.aiesec.org")</f>
        <v>p_ea9f91df9bd678e0afc74471f556d6f5e33212d1@inbound.aiesec.org</v>
      </c>
      <c r="F371" s="16">
        <f>IFERROR(__xludf.DUMMYFUNCTION("""COMPUTED_VALUE"""),5.350771331E9)</f>
        <v>5350771331</v>
      </c>
      <c r="G371" s="16" t="str">
        <f>IFERROR(__xludf.DUMMYFUNCTION("""COMPUTED_VALUE"""),"Turkey")</f>
        <v>Turkey</v>
      </c>
      <c r="H371" s="16" t="str">
        <f>IFERROR(__xludf.DUMMYFUNCTION("""COMPUTED_VALUE"""),"ISTANBUL")</f>
        <v>ISTANBUL</v>
      </c>
      <c r="I371" s="16" t="str">
        <f>IFERROR(__xludf.DUMMYFUNCTION("""COMPUTED_VALUE"""),"Romania")</f>
        <v>Romania</v>
      </c>
      <c r="J371" s="16" t="str">
        <f>IFERROR(__xludf.DUMMYFUNCTION("""COMPUTED_VALUE"""),"PITESTI")</f>
        <v>PITESTI</v>
      </c>
      <c r="K371" s="17" t="str">
        <f>IFERROR(__xludf.DUMMYFUNCTION("""COMPUTED_VALUE"""),"https://expa.aiesec.org/opportunities/1297178")</f>
        <v>https://expa.aiesec.org/opportunities/1297178</v>
      </c>
      <c r="L371" s="16" t="str">
        <f>IFERROR(__xludf.DUMMYFUNCTION("""COMPUTED_VALUE"""),"GV")</f>
        <v>GV</v>
      </c>
      <c r="M371" s="16" t="str">
        <f>IFERROR(__xludf.DUMMYFUNCTION("""COMPUTED_VALUE"""),"short")</f>
        <v>short</v>
      </c>
      <c r="N371" s="18">
        <f>IFERROR(__xludf.DUMMYFUNCTION("""COMPUTED_VALUE"""),45230.0)</f>
        <v>45230</v>
      </c>
      <c r="O371" s="18">
        <f>IFERROR(__xludf.DUMMYFUNCTION("""COMPUTED_VALUE"""),45318.0)</f>
        <v>45318</v>
      </c>
      <c r="P371" s="18">
        <f>IFERROR(__xludf.DUMMYFUNCTION("""COMPUTED_VALUE"""),45360.0)</f>
        <v>45360</v>
      </c>
      <c r="Q371" s="18"/>
      <c r="R371" s="18"/>
      <c r="S371" s="16"/>
      <c r="T371" s="16"/>
      <c r="U371" s="16" t="str">
        <f>IFERROR(__xludf.DUMMYFUNCTION("""COMPUTED_VALUE"""),"Eat 4 Change")</f>
        <v>Eat 4 Change</v>
      </c>
      <c r="V371" s="16" t="str">
        <f>IFERROR(__xludf.DUMMYFUNCTION("""COMPUTED_VALUE"""),"KAYSERI")</f>
        <v>KAYSERI</v>
      </c>
      <c r="W371" s="16" t="str">
        <f>IFERROR(__xludf.DUMMYFUNCTION("""COMPUTED_VALUE"""),"2023-10-31T08:11:00Z")</f>
        <v>2023-10-31T08:11:00Z</v>
      </c>
      <c r="X371" s="16"/>
      <c r="Y371" s="16"/>
      <c r="Z371" s="16"/>
    </row>
    <row r="372">
      <c r="A372" s="16" t="str">
        <f>IFERROR(__xludf.DUMMYFUNCTION("""COMPUTED_VALUE"""),"5361418_1289255")</f>
        <v>5361418_1289255</v>
      </c>
      <c r="B372" s="16" t="str">
        <f>IFERROR(__xludf.DUMMYFUNCTION("""COMPUTED_VALUE"""),"Amal nasse lahsen")</f>
        <v>Amal nasse lahsen</v>
      </c>
      <c r="C372" s="16" t="str">
        <f>IFERROR(__xludf.DUMMYFUNCTION("""COMPUTED_VALUE"""),"approved")</f>
        <v>approved</v>
      </c>
      <c r="D372" s="16" t="str">
        <f>IFERROR(__xludf.DUMMYFUNCTION("""COMPUTED_VALUE"""),"No")</f>
        <v>No</v>
      </c>
      <c r="E372" s="16" t="str">
        <f>IFERROR(__xludf.DUMMYFUNCTION("""COMPUTED_VALUE"""),"p_11c9ca4f251bc0e52108964f012f341908bd027a@inbound.aiesec.org")</f>
        <v>p_11c9ca4f251bc0e52108964f012f341908bd027a@inbound.aiesec.org</v>
      </c>
      <c r="F372" s="16"/>
      <c r="G372" s="16" t="str">
        <f>IFERROR(__xludf.DUMMYFUNCTION("""COMPUTED_VALUE"""),"Morocco")</f>
        <v>Morocco</v>
      </c>
      <c r="H372" s="16" t="str">
        <f>IFERROR(__xludf.DUMMYFUNCTION("""COMPUTED_VALUE"""),"Agadir")</f>
        <v>Agadir</v>
      </c>
      <c r="I372" s="16" t="str">
        <f>IFERROR(__xludf.DUMMYFUNCTION("""COMPUTED_VALUE"""),"Turkey")</f>
        <v>Turkey</v>
      </c>
      <c r="J372" s="16" t="str">
        <f>IFERROR(__xludf.DUMMYFUNCTION("""COMPUTED_VALUE"""),"ISTANBUL")</f>
        <v>ISTANBUL</v>
      </c>
      <c r="K372" s="17" t="str">
        <f>IFERROR(__xludf.DUMMYFUNCTION("""COMPUTED_VALUE"""),"https://expa.aiesec.org/opportunities/1289255")</f>
        <v>https://expa.aiesec.org/opportunities/1289255</v>
      </c>
      <c r="L372" s="16" t="str">
        <f>IFERROR(__xludf.DUMMYFUNCTION("""COMPUTED_VALUE"""),"GTa")</f>
        <v>GTa</v>
      </c>
      <c r="M372" s="16" t="str">
        <f>IFERROR(__xludf.DUMMYFUNCTION("""COMPUTED_VALUE"""),"long")</f>
        <v>long</v>
      </c>
      <c r="N372" s="18">
        <f>IFERROR(__xludf.DUMMYFUNCTION("""COMPUTED_VALUE"""),45230.0)</f>
        <v>45230</v>
      </c>
      <c r="O372" s="18">
        <f>IFERROR(__xludf.DUMMYFUNCTION("""COMPUTED_VALUE"""),45271.0)</f>
        <v>45271</v>
      </c>
      <c r="P372" s="18">
        <f>IFERROR(__xludf.DUMMYFUNCTION("""COMPUTED_VALUE"""),45639.0)</f>
        <v>45639</v>
      </c>
      <c r="Q372" s="18"/>
      <c r="R372" s="18"/>
      <c r="S372" s="16"/>
      <c r="T372" s="16" t="str">
        <f>IFERROR(__xludf.DUMMYFUNCTION("""COMPUTED_VALUE"""),"Business Administration")</f>
        <v>Business Administration</v>
      </c>
      <c r="U372" s="16" t="str">
        <f>IFERROR(__xludf.DUMMYFUNCTION("""COMPUTED_VALUE"""),"Telesales Specialist in Istanbul (French Speaker)")</f>
        <v>Telesales Specialist in Istanbul (French Speaker)</v>
      </c>
      <c r="V372" s="16" t="str">
        <f>IFERROR(__xludf.DUMMYFUNCTION("""COMPUTED_VALUE"""),"-")</f>
        <v>-</v>
      </c>
      <c r="W372" s="16" t="str">
        <f>IFERROR(__xludf.DUMMYFUNCTION("""COMPUTED_VALUE"""),"2023-10-27T12:02:50Z")</f>
        <v>2023-10-27T12:02:50Z</v>
      </c>
      <c r="X372" s="16"/>
      <c r="Y372" s="16"/>
      <c r="Z372" s="16"/>
    </row>
    <row r="373">
      <c r="A373" s="16" t="str">
        <f>IFERROR(__xludf.DUMMYFUNCTION("""COMPUTED_VALUE"""),"5363700_1300102")</f>
        <v>5363700_1300102</v>
      </c>
      <c r="B373" s="16" t="str">
        <f>IFERROR(__xludf.DUMMYFUNCTION("""COMPUTED_VALUE"""),"Muhammet Ali Yavuz")</f>
        <v>Muhammet Ali Yavuz</v>
      </c>
      <c r="C373" s="16" t="str">
        <f>IFERROR(__xludf.DUMMYFUNCTION("""COMPUTED_VALUE"""),"approved")</f>
        <v>approved</v>
      </c>
      <c r="D373" s="16" t="str">
        <f>IFERROR(__xludf.DUMMYFUNCTION("""COMPUTED_VALUE"""),"No")</f>
        <v>No</v>
      </c>
      <c r="E373" s="16" t="str">
        <f>IFERROR(__xludf.DUMMYFUNCTION("""COMPUTED_VALUE"""),"p_fc4d1f5904f4f8def2a55c236c22424c0a9055d3@inbound.aiesec.org")</f>
        <v>p_fc4d1f5904f4f8def2a55c236c22424c0a9055d3@inbound.aiesec.org</v>
      </c>
      <c r="F373" s="16"/>
      <c r="G373" s="16" t="str">
        <f>IFERROR(__xludf.DUMMYFUNCTION("""COMPUTED_VALUE"""),"Turkey")</f>
        <v>Turkey</v>
      </c>
      <c r="H373" s="16" t="str">
        <f>IFERROR(__xludf.DUMMYFUNCTION("""COMPUTED_VALUE"""),"ISTANBUL")</f>
        <v>ISTANBUL</v>
      </c>
      <c r="I373" s="16" t="str">
        <f>IFERROR(__xludf.DUMMYFUNCTION("""COMPUTED_VALUE"""),"Egypt")</f>
        <v>Egypt</v>
      </c>
      <c r="J373" s="16" t="str">
        <f>IFERROR(__xludf.DUMMYFUNCTION("""COMPUTED_VALUE"""),"Menofia")</f>
        <v>Menofia</v>
      </c>
      <c r="K373" s="17" t="str">
        <f>IFERROR(__xludf.DUMMYFUNCTION("""COMPUTED_VALUE"""),"https://expa.aiesec.org/opportunities/1300102")</f>
        <v>https://expa.aiesec.org/opportunities/1300102</v>
      </c>
      <c r="L373" s="16" t="str">
        <f>IFERROR(__xludf.DUMMYFUNCTION("""COMPUTED_VALUE"""),"GTa")</f>
        <v>GTa</v>
      </c>
      <c r="M373" s="16" t="str">
        <f>IFERROR(__xludf.DUMMYFUNCTION("""COMPUTED_VALUE"""),"short")</f>
        <v>short</v>
      </c>
      <c r="N373" s="18">
        <f>IFERROR(__xludf.DUMMYFUNCTION("""COMPUTED_VALUE"""),45230.0)</f>
        <v>45230</v>
      </c>
      <c r="O373" s="18">
        <f>IFERROR(__xludf.DUMMYFUNCTION("""COMPUTED_VALUE"""),45306.0)</f>
        <v>45306</v>
      </c>
      <c r="P373" s="18">
        <f>IFERROR(__xludf.DUMMYFUNCTION("""COMPUTED_VALUE"""),45351.0)</f>
        <v>45351</v>
      </c>
      <c r="Q373" s="18"/>
      <c r="R373" s="18"/>
      <c r="S373" s="16"/>
      <c r="T373" s="16" t="str">
        <f>IFERROR(__xludf.DUMMYFUNCTION("""COMPUTED_VALUE"""),"Marketing")</f>
        <v>Marketing</v>
      </c>
      <c r="U373" s="16" t="str">
        <f>IFERROR(__xludf.DUMMYFUNCTION("""COMPUTED_VALUE"""),"Social media Manager")</f>
        <v>Social media Manager</v>
      </c>
      <c r="V373" s="16" t="str">
        <f>IFERROR(__xludf.DUMMYFUNCTION("""COMPUTED_VALUE"""),"-")</f>
        <v>-</v>
      </c>
      <c r="W373" s="16" t="str">
        <f>IFERROR(__xludf.DUMMYFUNCTION("""COMPUTED_VALUE"""),"2023-10-30T18:32:38Z")</f>
        <v>2023-10-30T18:32:38Z</v>
      </c>
      <c r="X373" s="16"/>
      <c r="Y373" s="16"/>
      <c r="Z373" s="16"/>
    </row>
    <row r="374">
      <c r="A374" s="16" t="str">
        <f>IFERROR(__xludf.DUMMYFUNCTION("""COMPUTED_VALUE"""),"5358129_1300562")</f>
        <v>5358129_1300562</v>
      </c>
      <c r="B374" s="16" t="str">
        <f>IFERROR(__xludf.DUMMYFUNCTION("""COMPUTED_VALUE"""),"Beyza Nur Eynel")</f>
        <v>Beyza Nur Eynel</v>
      </c>
      <c r="C374" s="16" t="str">
        <f>IFERROR(__xludf.DUMMYFUNCTION("""COMPUTED_VALUE"""),"approved")</f>
        <v>approved</v>
      </c>
      <c r="D374" s="16" t="str">
        <f>IFERROR(__xludf.DUMMYFUNCTION("""COMPUTED_VALUE"""),"No")</f>
        <v>No</v>
      </c>
      <c r="E374" s="16" t="str">
        <f>IFERROR(__xludf.DUMMYFUNCTION("""COMPUTED_VALUE"""),"p_b4ecd332b76f0a96a741446e2af6ce92756389a2@inbound.aiesec.org")</f>
        <v>p_b4ecd332b76f0a96a741446e2af6ce92756389a2@inbound.aiesec.org</v>
      </c>
      <c r="F374" s="16">
        <f>IFERROR(__xludf.DUMMYFUNCTION("""COMPUTED_VALUE"""),5.369199719E9)</f>
        <v>5369199719</v>
      </c>
      <c r="G374" s="16" t="str">
        <f>IFERROR(__xludf.DUMMYFUNCTION("""COMPUTED_VALUE"""),"Turkey")</f>
        <v>Turkey</v>
      </c>
      <c r="H374" s="16" t="str">
        <f>IFERROR(__xludf.DUMMYFUNCTION("""COMPUTED_VALUE"""),"ISTANBUL")</f>
        <v>ISTANBUL</v>
      </c>
      <c r="I374" s="16" t="str">
        <f>IFERROR(__xludf.DUMMYFUNCTION("""COMPUTED_VALUE"""),"Tunisia")</f>
        <v>Tunisia</v>
      </c>
      <c r="J374" s="16" t="str">
        <f>IFERROR(__xludf.DUMMYFUNCTION("""COMPUTED_VALUE"""),"UNIVERSITY")</f>
        <v>UNIVERSITY</v>
      </c>
      <c r="K374" s="17" t="str">
        <f>IFERROR(__xludf.DUMMYFUNCTION("""COMPUTED_VALUE"""),"https://expa.aiesec.org/opportunities/1300562")</f>
        <v>https://expa.aiesec.org/opportunities/1300562</v>
      </c>
      <c r="L374" s="16" t="str">
        <f>IFERROR(__xludf.DUMMYFUNCTION("""COMPUTED_VALUE"""),"GV")</f>
        <v>GV</v>
      </c>
      <c r="M374" s="16" t="str">
        <f>IFERROR(__xludf.DUMMYFUNCTION("""COMPUTED_VALUE"""),"short")</f>
        <v>short</v>
      </c>
      <c r="N374" s="18">
        <f>IFERROR(__xludf.DUMMYFUNCTION("""COMPUTED_VALUE"""),45230.0)</f>
        <v>45230</v>
      </c>
      <c r="O374" s="18">
        <f>IFERROR(__xludf.DUMMYFUNCTION("""COMPUTED_VALUE"""),45463.0)</f>
        <v>45463</v>
      </c>
      <c r="P374" s="18">
        <f>IFERROR(__xludf.DUMMYFUNCTION("""COMPUTED_VALUE"""),45505.0)</f>
        <v>45505</v>
      </c>
      <c r="Q374" s="18"/>
      <c r="R374" s="18"/>
      <c r="S374" s="16"/>
      <c r="T374" s="16"/>
      <c r="U374" s="16" t="str">
        <f>IFERROR(__xludf.DUMMYFUNCTION("""COMPUTED_VALUE"""),"Global Classroom")</f>
        <v>Global Classroom</v>
      </c>
      <c r="V374" s="16" t="str">
        <f>IFERROR(__xludf.DUMMYFUNCTION("""COMPUTED_VALUE"""),"ISTANBUL - BEYOGLU")</f>
        <v>ISTANBUL - BEYOGLU</v>
      </c>
      <c r="W374" s="16" t="str">
        <f>IFERROR(__xludf.DUMMYFUNCTION("""COMPUTED_VALUE"""),"2023-10-23T16:00:27Z")</f>
        <v>2023-10-23T16:00:27Z</v>
      </c>
      <c r="X374" s="16"/>
      <c r="Y374" s="16"/>
      <c r="Z374" s="16"/>
    </row>
    <row r="375">
      <c r="A375" s="16" t="str">
        <f>IFERROR(__xludf.DUMMYFUNCTION("""COMPUTED_VALUE"""),"5362296_1300562")</f>
        <v>5362296_1300562</v>
      </c>
      <c r="B375" s="16" t="str">
        <f>IFERROR(__xludf.DUMMYFUNCTION("""COMPUTED_VALUE"""),"Nilay Baykal")</f>
        <v>Nilay Baykal</v>
      </c>
      <c r="C375" s="16" t="str">
        <f>IFERROR(__xludf.DUMMYFUNCTION("""COMPUTED_VALUE"""),"approved")</f>
        <v>approved</v>
      </c>
      <c r="D375" s="16" t="str">
        <f>IFERROR(__xludf.DUMMYFUNCTION("""COMPUTED_VALUE"""),"No")</f>
        <v>No</v>
      </c>
      <c r="E375" s="16" t="str">
        <f>IFERROR(__xludf.DUMMYFUNCTION("""COMPUTED_VALUE"""),"p_034d63968ad7c478cfeced725d8a040db57a28ba@inbound.aiesec.org")</f>
        <v>p_034d63968ad7c478cfeced725d8a040db57a28ba@inbound.aiesec.org</v>
      </c>
      <c r="F375" s="16"/>
      <c r="G375" s="16" t="str">
        <f>IFERROR(__xludf.DUMMYFUNCTION("""COMPUTED_VALUE"""),"Turkey")</f>
        <v>Turkey</v>
      </c>
      <c r="H375" s="16" t="str">
        <f>IFERROR(__xludf.DUMMYFUNCTION("""COMPUTED_VALUE"""),"ISTANBUL")</f>
        <v>ISTANBUL</v>
      </c>
      <c r="I375" s="16" t="str">
        <f>IFERROR(__xludf.DUMMYFUNCTION("""COMPUTED_VALUE"""),"Tunisia")</f>
        <v>Tunisia</v>
      </c>
      <c r="J375" s="16" t="str">
        <f>IFERROR(__xludf.DUMMYFUNCTION("""COMPUTED_VALUE"""),"UNIVERSITY")</f>
        <v>UNIVERSITY</v>
      </c>
      <c r="K375" s="17" t="str">
        <f>IFERROR(__xludf.DUMMYFUNCTION("""COMPUTED_VALUE"""),"https://expa.aiesec.org/opportunities/1300562")</f>
        <v>https://expa.aiesec.org/opportunities/1300562</v>
      </c>
      <c r="L375" s="16" t="str">
        <f>IFERROR(__xludf.DUMMYFUNCTION("""COMPUTED_VALUE"""),"GV")</f>
        <v>GV</v>
      </c>
      <c r="M375" s="16" t="str">
        <f>IFERROR(__xludf.DUMMYFUNCTION("""COMPUTED_VALUE"""),"short")</f>
        <v>short</v>
      </c>
      <c r="N375" s="18">
        <f>IFERROR(__xludf.DUMMYFUNCTION("""COMPUTED_VALUE"""),45230.0)</f>
        <v>45230</v>
      </c>
      <c r="O375" s="18">
        <f>IFERROR(__xludf.DUMMYFUNCTION("""COMPUTED_VALUE"""),45463.0)</f>
        <v>45463</v>
      </c>
      <c r="P375" s="18">
        <f>IFERROR(__xludf.DUMMYFUNCTION("""COMPUTED_VALUE"""),45505.0)</f>
        <v>45505</v>
      </c>
      <c r="Q375" s="18"/>
      <c r="R375" s="18"/>
      <c r="S375" s="16"/>
      <c r="T375" s="16"/>
      <c r="U375" s="16" t="str">
        <f>IFERROR(__xludf.DUMMYFUNCTION("""COMPUTED_VALUE"""),"Global Classroom")</f>
        <v>Global Classroom</v>
      </c>
      <c r="V375" s="16" t="str">
        <f>IFERROR(__xludf.DUMMYFUNCTION("""COMPUTED_VALUE"""),"-")</f>
        <v>-</v>
      </c>
      <c r="W375" s="16" t="str">
        <f>IFERROR(__xludf.DUMMYFUNCTION("""COMPUTED_VALUE"""),"2023-10-28T20:42:39Z")</f>
        <v>2023-10-28T20:42:39Z</v>
      </c>
      <c r="X375" s="16"/>
      <c r="Y375" s="16"/>
      <c r="Z375" s="16"/>
    </row>
    <row r="376">
      <c r="A376" s="16" t="str">
        <f>IFERROR(__xludf.DUMMYFUNCTION("""COMPUTED_VALUE"""),"5362161_1297178")</f>
        <v>5362161_1297178</v>
      </c>
      <c r="B376" s="16" t="str">
        <f>IFERROR(__xludf.DUMMYFUNCTION("""COMPUTED_VALUE"""),"Elif Nur Arslan")</f>
        <v>Elif Nur Arslan</v>
      </c>
      <c r="C376" s="16" t="str">
        <f>IFERROR(__xludf.DUMMYFUNCTION("""COMPUTED_VALUE"""),"approved")</f>
        <v>approved</v>
      </c>
      <c r="D376" s="16" t="str">
        <f>IFERROR(__xludf.DUMMYFUNCTION("""COMPUTED_VALUE"""),"No")</f>
        <v>No</v>
      </c>
      <c r="E376" s="16" t="str">
        <f>IFERROR(__xludf.DUMMYFUNCTION("""COMPUTED_VALUE"""),"p_7e85c819c7fac620065e6b0c30acd62b5591b6d5@inbound.aiesec.org")</f>
        <v>p_7e85c819c7fac620065e6b0c30acd62b5591b6d5@inbound.aiesec.org</v>
      </c>
      <c r="F376" s="16"/>
      <c r="G376" s="16" t="str">
        <f>IFERROR(__xludf.DUMMYFUNCTION("""COMPUTED_VALUE"""),"Turkey")</f>
        <v>Turkey</v>
      </c>
      <c r="H376" s="16" t="str">
        <f>IFERROR(__xludf.DUMMYFUNCTION("""COMPUTED_VALUE"""),"ISTANBUL")</f>
        <v>ISTANBUL</v>
      </c>
      <c r="I376" s="16" t="str">
        <f>IFERROR(__xludf.DUMMYFUNCTION("""COMPUTED_VALUE"""),"Romania")</f>
        <v>Romania</v>
      </c>
      <c r="J376" s="16" t="str">
        <f>IFERROR(__xludf.DUMMYFUNCTION("""COMPUTED_VALUE"""),"PITESTI")</f>
        <v>PITESTI</v>
      </c>
      <c r="K376" s="17" t="str">
        <f>IFERROR(__xludf.DUMMYFUNCTION("""COMPUTED_VALUE"""),"https://expa.aiesec.org/opportunities/1297178")</f>
        <v>https://expa.aiesec.org/opportunities/1297178</v>
      </c>
      <c r="L376" s="16" t="str">
        <f>IFERROR(__xludf.DUMMYFUNCTION("""COMPUTED_VALUE"""),"GV")</f>
        <v>GV</v>
      </c>
      <c r="M376" s="16" t="str">
        <f>IFERROR(__xludf.DUMMYFUNCTION("""COMPUTED_VALUE"""),"short")</f>
        <v>short</v>
      </c>
      <c r="N376" s="18">
        <f>IFERROR(__xludf.DUMMYFUNCTION("""COMPUTED_VALUE"""),45230.0)</f>
        <v>45230</v>
      </c>
      <c r="O376" s="18">
        <f>IFERROR(__xludf.DUMMYFUNCTION("""COMPUTED_VALUE"""),45318.0)</f>
        <v>45318</v>
      </c>
      <c r="P376" s="18">
        <f>IFERROR(__xludf.DUMMYFUNCTION("""COMPUTED_VALUE"""),45360.0)</f>
        <v>45360</v>
      </c>
      <c r="Q376" s="18"/>
      <c r="R376" s="18"/>
      <c r="S376" s="16"/>
      <c r="T376" s="16"/>
      <c r="U376" s="16" t="str">
        <f>IFERROR(__xludf.DUMMYFUNCTION("""COMPUTED_VALUE"""),"Eat 4 Change")</f>
        <v>Eat 4 Change</v>
      </c>
      <c r="V376" s="16" t="str">
        <f>IFERROR(__xludf.DUMMYFUNCTION("""COMPUTED_VALUE"""),"-")</f>
        <v>-</v>
      </c>
      <c r="W376" s="16" t="str">
        <f>IFERROR(__xludf.DUMMYFUNCTION("""COMPUTED_VALUE"""),"2023-10-28T15:11:37Z")</f>
        <v>2023-10-28T15:11:37Z</v>
      </c>
      <c r="X376" s="16"/>
      <c r="Y376" s="16"/>
      <c r="Z376" s="16"/>
    </row>
    <row r="377">
      <c r="A377" s="16" t="str">
        <f>IFERROR(__xludf.DUMMYFUNCTION("""COMPUTED_VALUE"""),"5364463_1289536")</f>
        <v>5364463_1289536</v>
      </c>
      <c r="B377" s="16" t="str">
        <f>IFERROR(__xludf.DUMMYFUNCTION("""COMPUTED_VALUE"""),"kawther bouallegue")</f>
        <v>kawther bouallegue</v>
      </c>
      <c r="C377" s="16" t="str">
        <f>IFERROR(__xludf.DUMMYFUNCTION("""COMPUTED_VALUE"""),"approved")</f>
        <v>approved</v>
      </c>
      <c r="D377" s="16" t="str">
        <f>IFERROR(__xludf.DUMMYFUNCTION("""COMPUTED_VALUE"""),"No")</f>
        <v>No</v>
      </c>
      <c r="E377" s="16" t="str">
        <f>IFERROR(__xludf.DUMMYFUNCTION("""COMPUTED_VALUE"""),"p_c8d515dfaac34dc7a6dd44f24dc821adb54071c0@inbound.aiesec.org")</f>
        <v>p_c8d515dfaac34dc7a6dd44f24dc821adb54071c0@inbound.aiesec.org</v>
      </c>
      <c r="F377" s="16">
        <f>IFERROR(__xludf.DUMMYFUNCTION("""COMPUTED_VALUE"""),2.7667942E7)</f>
        <v>27667942</v>
      </c>
      <c r="G377" s="16" t="str">
        <f>IFERROR(__xludf.DUMMYFUNCTION("""COMPUTED_VALUE"""),"Tunisia")</f>
        <v>Tunisia</v>
      </c>
      <c r="H377" s="16" t="str">
        <f>IFERROR(__xludf.DUMMYFUNCTION("""COMPUTED_VALUE"""),"Carthage")</f>
        <v>Carthage</v>
      </c>
      <c r="I377" s="16" t="str">
        <f>IFERROR(__xludf.DUMMYFUNCTION("""COMPUTED_VALUE"""),"Turkey")</f>
        <v>Turkey</v>
      </c>
      <c r="J377" s="16" t="str">
        <f>IFERROR(__xludf.DUMMYFUNCTION("""COMPUTED_VALUE"""),"ISTANBUL")</f>
        <v>ISTANBUL</v>
      </c>
      <c r="K377" s="17" t="str">
        <f>IFERROR(__xludf.DUMMYFUNCTION("""COMPUTED_VALUE"""),"https://expa.aiesec.org/opportunities/1289536")</f>
        <v>https://expa.aiesec.org/opportunities/1289536</v>
      </c>
      <c r="L377" s="16" t="str">
        <f>IFERROR(__xludf.DUMMYFUNCTION("""COMPUTED_VALUE"""),"GV")</f>
        <v>GV</v>
      </c>
      <c r="M377" s="16" t="str">
        <f>IFERROR(__xludf.DUMMYFUNCTION("""COMPUTED_VALUE"""),"short")</f>
        <v>short</v>
      </c>
      <c r="N377" s="18">
        <f>IFERROR(__xludf.DUMMYFUNCTION("""COMPUTED_VALUE"""),45230.0)</f>
        <v>45230</v>
      </c>
      <c r="O377" s="18">
        <f>IFERROR(__xludf.DUMMYFUNCTION("""COMPUTED_VALUE"""),45474.0)</f>
        <v>45474</v>
      </c>
      <c r="P377" s="18">
        <f>IFERROR(__xludf.DUMMYFUNCTION("""COMPUTED_VALUE"""),45516.0)</f>
        <v>45516</v>
      </c>
      <c r="Q377" s="18"/>
      <c r="R377" s="18"/>
      <c r="S377" s="16"/>
      <c r="T377" s="16"/>
      <c r="U377" s="16" t="str">
        <f>IFERROR(__xludf.DUMMYFUNCTION("""COMPUTED_VALUE"""),"Global Classroom")</f>
        <v>Global Classroom</v>
      </c>
      <c r="V377" s="16" t="str">
        <f>IFERROR(__xludf.DUMMYFUNCTION("""COMPUTED_VALUE"""),"IHEC Carthage")</f>
        <v>IHEC Carthage</v>
      </c>
      <c r="W377" s="16" t="str">
        <f>IFERROR(__xludf.DUMMYFUNCTION("""COMPUTED_VALUE"""),"2023-10-31T18:50:32Z")</f>
        <v>2023-10-31T18:50:32Z</v>
      </c>
      <c r="X377" s="16"/>
      <c r="Y377" s="16"/>
      <c r="Z377" s="16"/>
    </row>
    <row r="378">
      <c r="A378" s="16" t="str">
        <f>IFERROR(__xludf.DUMMYFUNCTION("""COMPUTED_VALUE"""),"5365139_1287966")</f>
        <v>5365139_1287966</v>
      </c>
      <c r="B378" s="16" t="str">
        <f>IFERROR(__xludf.DUMMYFUNCTION("""COMPUTED_VALUE"""),"Nour Kahlaoui")</f>
        <v>Nour Kahlaoui</v>
      </c>
      <c r="C378" s="16" t="str">
        <f>IFERROR(__xludf.DUMMYFUNCTION("""COMPUTED_VALUE"""),"approved")</f>
        <v>approved</v>
      </c>
      <c r="D378" s="16" t="str">
        <f>IFERROR(__xludf.DUMMYFUNCTION("""COMPUTED_VALUE"""),"No")</f>
        <v>No</v>
      </c>
      <c r="E378" s="16" t="str">
        <f>IFERROR(__xludf.DUMMYFUNCTION("""COMPUTED_VALUE"""),"p_0ce0ea73656cf795bc6eebf5ada1680da4ff395e@inbound.aiesec.org")</f>
        <v>p_0ce0ea73656cf795bc6eebf5ada1680da4ff395e@inbound.aiesec.org</v>
      </c>
      <c r="F378" s="16">
        <f>IFERROR(__xludf.DUMMYFUNCTION("""COMPUTED_VALUE"""),9.9955111E7)</f>
        <v>99955111</v>
      </c>
      <c r="G378" s="16" t="str">
        <f>IFERROR(__xludf.DUMMYFUNCTION("""COMPUTED_VALUE"""),"Tunisia")</f>
        <v>Tunisia</v>
      </c>
      <c r="H378" s="16" t="str">
        <f>IFERROR(__xludf.DUMMYFUNCTION("""COMPUTED_VALUE"""),"HADRUMET")</f>
        <v>HADRUMET</v>
      </c>
      <c r="I378" s="16" t="str">
        <f>IFERROR(__xludf.DUMMYFUNCTION("""COMPUTED_VALUE"""),"Turkey")</f>
        <v>Turkey</v>
      </c>
      <c r="J378" s="16" t="str">
        <f>IFERROR(__xludf.DUMMYFUNCTION("""COMPUTED_VALUE"""),"ISTANBUL")</f>
        <v>ISTANBUL</v>
      </c>
      <c r="K378" s="17" t="str">
        <f>IFERROR(__xludf.DUMMYFUNCTION("""COMPUTED_VALUE"""),"https://expa.aiesec.org/opportunities/1287966")</f>
        <v>https://expa.aiesec.org/opportunities/1287966</v>
      </c>
      <c r="L378" s="16" t="str">
        <f>IFERROR(__xludf.DUMMYFUNCTION("""COMPUTED_VALUE"""),"GV")</f>
        <v>GV</v>
      </c>
      <c r="M378" s="16" t="str">
        <f>IFERROR(__xludf.DUMMYFUNCTION("""COMPUTED_VALUE"""),"short")</f>
        <v>short</v>
      </c>
      <c r="N378" s="18">
        <f>IFERROR(__xludf.DUMMYFUNCTION("""COMPUTED_VALUE"""),45231.0)</f>
        <v>45231</v>
      </c>
      <c r="O378" s="18">
        <f>IFERROR(__xludf.DUMMYFUNCTION("""COMPUTED_VALUE"""),45566.0)</f>
        <v>45566</v>
      </c>
      <c r="P378" s="18">
        <f>IFERROR(__xludf.DUMMYFUNCTION("""COMPUTED_VALUE"""),45608.0)</f>
        <v>45608</v>
      </c>
      <c r="Q378" s="18"/>
      <c r="R378" s="18"/>
      <c r="S378" s="16"/>
      <c r="T378" s="16"/>
      <c r="U378" s="16" t="str">
        <f>IFERROR(__xludf.DUMMYFUNCTION("""COMPUTED_VALUE"""),"Heartbeat")</f>
        <v>Heartbeat</v>
      </c>
      <c r="V378" s="16" t="str">
        <f>IFERROR(__xludf.DUMMYFUNCTION("""COMPUTED_VALUE"""),"FMS (Faculté de Médecine de Sousse)")</f>
        <v>FMS (Faculté de Médecine de Sousse)</v>
      </c>
      <c r="W378" s="16" t="str">
        <f>IFERROR(__xludf.DUMMYFUNCTION("""COMPUTED_VALUE"""),"2023-11-01T16:21:30Z")</f>
        <v>2023-11-01T16:21:30Z</v>
      </c>
      <c r="X378" s="16"/>
      <c r="Y378" s="16"/>
      <c r="Z378" s="16"/>
    </row>
    <row r="379">
      <c r="A379" s="16" t="str">
        <f>IFERROR(__xludf.DUMMYFUNCTION("""COMPUTED_VALUE"""),"5358476_1284670")</f>
        <v>5358476_1284670</v>
      </c>
      <c r="B379" s="16" t="str">
        <f>IFERROR(__xludf.DUMMYFUNCTION("""COMPUTED_VALUE"""),"Ləman Lələkişiyeva")</f>
        <v>Ləman Lələkişiyeva</v>
      </c>
      <c r="C379" s="16" t="str">
        <f>IFERROR(__xludf.DUMMYFUNCTION("""COMPUTED_VALUE"""),"approved")</f>
        <v>approved</v>
      </c>
      <c r="D379" s="16" t="str">
        <f>IFERROR(__xludf.DUMMYFUNCTION("""COMPUTED_VALUE"""),"No")</f>
        <v>No</v>
      </c>
      <c r="E379" s="16" t="str">
        <f>IFERROR(__xludf.DUMMYFUNCTION("""COMPUTED_VALUE"""),"p_85d3a7261e9a95bd1f1d97acebd8d7383de8fde3@inbound.aiesec.org")</f>
        <v>p_85d3a7261e9a95bd1f1d97acebd8d7383de8fde3@inbound.aiesec.org</v>
      </c>
      <c r="F379" s="16">
        <f>IFERROR(__xludf.DUMMYFUNCTION("""COMPUTED_VALUE"""),5.53582444E8)</f>
        <v>553582444</v>
      </c>
      <c r="G379" s="16" t="str">
        <f>IFERROR(__xludf.DUMMYFUNCTION("""COMPUTED_VALUE"""),"Azerbaijan")</f>
        <v>Azerbaijan</v>
      </c>
      <c r="H379" s="16" t="str">
        <f>IFERROR(__xludf.DUMMYFUNCTION("""COMPUTED_VALUE"""),"Baku Qafqaz")</f>
        <v>Baku Qafqaz</v>
      </c>
      <c r="I379" s="16" t="str">
        <f>IFERROR(__xludf.DUMMYFUNCTION("""COMPUTED_VALUE"""),"Turkey")</f>
        <v>Turkey</v>
      </c>
      <c r="J379" s="16" t="str">
        <f>IFERROR(__xludf.DUMMYFUNCTION("""COMPUTED_VALUE"""),"ISTANBUL")</f>
        <v>ISTANBUL</v>
      </c>
      <c r="K379" s="17" t="str">
        <f>IFERROR(__xludf.DUMMYFUNCTION("""COMPUTED_VALUE"""),"https://expa.aiesec.org/opportunities/1284670")</f>
        <v>https://expa.aiesec.org/opportunities/1284670</v>
      </c>
      <c r="L379" s="16" t="str">
        <f>IFERROR(__xludf.DUMMYFUNCTION("""COMPUTED_VALUE"""),"GV")</f>
        <v>GV</v>
      </c>
      <c r="M379" s="16" t="str">
        <f>IFERROR(__xludf.DUMMYFUNCTION("""COMPUTED_VALUE"""),"short")</f>
        <v>short</v>
      </c>
      <c r="N379" s="18">
        <f>IFERROR(__xludf.DUMMYFUNCTION("""COMPUTED_VALUE"""),45233.0)</f>
        <v>45233</v>
      </c>
      <c r="O379" s="18">
        <f>IFERROR(__xludf.DUMMYFUNCTION("""COMPUTED_VALUE"""),45476.0)</f>
        <v>45476</v>
      </c>
      <c r="P379" s="18">
        <f>IFERROR(__xludf.DUMMYFUNCTION("""COMPUTED_VALUE"""),45518.0)</f>
        <v>45518</v>
      </c>
      <c r="Q379" s="18"/>
      <c r="R379" s="18"/>
      <c r="S379" s="16"/>
      <c r="T379" s="16"/>
      <c r="U379" s="16" t="str">
        <f>IFERROR(__xludf.DUMMYFUNCTION("""COMPUTED_VALUE"""),"Heartbeat")</f>
        <v>Heartbeat</v>
      </c>
      <c r="V379" s="16" t="str">
        <f>IFERROR(__xludf.DUMMYFUNCTION("""COMPUTED_VALUE"""),"Azerbaijan State Academy of Physical Education and Sport")</f>
        <v>Azerbaijan State Academy of Physical Education and Sport</v>
      </c>
      <c r="W379" s="16" t="str">
        <f>IFERROR(__xludf.DUMMYFUNCTION("""COMPUTED_VALUE"""),"2023-10-24T05:12:33Z")</f>
        <v>2023-10-24T05:12:33Z</v>
      </c>
      <c r="X379" s="16"/>
      <c r="Y379" s="16"/>
      <c r="Z379" s="16"/>
    </row>
    <row r="380">
      <c r="A380" s="16" t="str">
        <f>IFERROR(__xludf.DUMMYFUNCTION("""COMPUTED_VALUE"""),"5107038_1298282")</f>
        <v>5107038_1298282</v>
      </c>
      <c r="B380" s="16" t="str">
        <f>IFERROR(__xludf.DUMMYFUNCTION("""COMPUTED_VALUE"""),"Menna El Safty")</f>
        <v>Menna El Safty</v>
      </c>
      <c r="C380" s="16" t="str">
        <f>IFERROR(__xludf.DUMMYFUNCTION("""COMPUTED_VALUE"""),"approved")</f>
        <v>approved</v>
      </c>
      <c r="D380" s="16" t="str">
        <f>IFERROR(__xludf.DUMMYFUNCTION("""COMPUTED_VALUE"""),"No")</f>
        <v>No</v>
      </c>
      <c r="E380" s="16" t="str">
        <f>IFERROR(__xludf.DUMMYFUNCTION("""COMPUTED_VALUE"""),"p_387fa3b53feed392019ae2cd8899ef4bb0b92e8d@inbound.aiesec.org")</f>
        <v>p_387fa3b53feed392019ae2cd8899ef4bb0b92e8d@inbound.aiesec.org</v>
      </c>
      <c r="F380" s="16">
        <f>IFERROR(__xludf.DUMMYFUNCTION("""COMPUTED_VALUE"""),1.115560029E9)</f>
        <v>1115560029</v>
      </c>
      <c r="G380" s="16" t="str">
        <f>IFERROR(__xludf.DUMMYFUNCTION("""COMPUTED_VALUE"""),"Egypt")</f>
        <v>Egypt</v>
      </c>
      <c r="H380" s="16" t="str">
        <f>IFERROR(__xludf.DUMMYFUNCTION("""COMPUTED_VALUE"""),"AUC")</f>
        <v>AUC</v>
      </c>
      <c r="I380" s="16" t="str">
        <f>IFERROR(__xludf.DUMMYFUNCTION("""COMPUTED_VALUE"""),"Turkey")</f>
        <v>Turkey</v>
      </c>
      <c r="J380" s="16" t="str">
        <f>IFERROR(__xludf.DUMMYFUNCTION("""COMPUTED_VALUE"""),"ISTANBUL")</f>
        <v>ISTANBUL</v>
      </c>
      <c r="K380" s="17" t="str">
        <f>IFERROR(__xludf.DUMMYFUNCTION("""COMPUTED_VALUE"""),"https://expa.aiesec.org/opportunities/1298282")</f>
        <v>https://expa.aiesec.org/opportunities/1298282</v>
      </c>
      <c r="L380" s="16" t="str">
        <f>IFERROR(__xludf.DUMMYFUNCTION("""COMPUTED_VALUE"""),"GV")</f>
        <v>GV</v>
      </c>
      <c r="M380" s="16" t="str">
        <f>IFERROR(__xludf.DUMMYFUNCTION("""COMPUTED_VALUE"""),"short")</f>
        <v>short</v>
      </c>
      <c r="N380" s="18">
        <f>IFERROR(__xludf.DUMMYFUNCTION("""COMPUTED_VALUE"""),45233.0)</f>
        <v>45233</v>
      </c>
      <c r="O380" s="18">
        <f>IFERROR(__xludf.DUMMYFUNCTION("""COMPUTED_VALUE"""),45291.0)</f>
        <v>45291</v>
      </c>
      <c r="P380" s="18">
        <f>IFERROR(__xludf.DUMMYFUNCTION("""COMPUTED_VALUE"""),45333.0)</f>
        <v>45333</v>
      </c>
      <c r="Q380" s="18"/>
      <c r="R380" s="18"/>
      <c r="S380" s="16"/>
      <c r="T380" s="16"/>
      <c r="U380" s="16" t="str">
        <f>IFERROR(__xludf.DUMMYFUNCTION("""COMPUTED_VALUE"""),"Green Leaders")</f>
        <v>Green Leaders</v>
      </c>
      <c r="V380" s="16" t="str">
        <f>IFERROR(__xludf.DUMMYFUNCTION("""COMPUTED_VALUE"""),"AUC")</f>
        <v>AUC</v>
      </c>
      <c r="W380" s="16" t="str">
        <f>IFERROR(__xludf.DUMMYFUNCTION("""COMPUTED_VALUE"""),"2022-09-07T11:10:24Z")</f>
        <v>2022-09-07T11:10:24Z</v>
      </c>
      <c r="X380" s="16"/>
      <c r="Y380" s="16"/>
      <c r="Z380" s="16"/>
    </row>
    <row r="381">
      <c r="A381" s="16" t="str">
        <f>IFERROR(__xludf.DUMMYFUNCTION("""COMPUTED_VALUE"""),"5357966_1294418")</f>
        <v>5357966_1294418</v>
      </c>
      <c r="B381" s="16" t="str">
        <f>IFERROR(__xludf.DUMMYFUNCTION("""COMPUTED_VALUE"""),"Halit Yılmaz")</f>
        <v>Halit Yılmaz</v>
      </c>
      <c r="C381" s="16" t="str">
        <f>IFERROR(__xludf.DUMMYFUNCTION("""COMPUTED_VALUE"""),"approved")</f>
        <v>approved</v>
      </c>
      <c r="D381" s="16" t="str">
        <f>IFERROR(__xludf.DUMMYFUNCTION("""COMPUTED_VALUE"""),"No")</f>
        <v>No</v>
      </c>
      <c r="E381" s="16" t="str">
        <f>IFERROR(__xludf.DUMMYFUNCTION("""COMPUTED_VALUE"""),"p_3045a2f2ad14e0f0d0e8b7efb1705624fea08dc5@inbound.aiesec.org")</f>
        <v>p_3045a2f2ad14e0f0d0e8b7efb1705624fea08dc5@inbound.aiesec.org</v>
      </c>
      <c r="F381" s="16">
        <f>IFERROR(__xludf.DUMMYFUNCTION("""COMPUTED_VALUE"""),5.510274734E9)</f>
        <v>5510274734</v>
      </c>
      <c r="G381" s="16" t="str">
        <f>IFERROR(__xludf.DUMMYFUNCTION("""COMPUTED_VALUE"""),"Turkey")</f>
        <v>Turkey</v>
      </c>
      <c r="H381" s="16" t="str">
        <f>IFERROR(__xludf.DUMMYFUNCTION("""COMPUTED_VALUE"""),"ISTANBUL")</f>
        <v>ISTANBUL</v>
      </c>
      <c r="I381" s="16" t="str">
        <f>IFERROR(__xludf.DUMMYFUNCTION("""COMPUTED_VALUE"""),"Egypt")</f>
        <v>Egypt</v>
      </c>
      <c r="J381" s="16" t="str">
        <f>IFERROR(__xludf.DUMMYFUNCTION("""COMPUTED_VALUE"""),"Zagazig")</f>
        <v>Zagazig</v>
      </c>
      <c r="K381" s="17" t="str">
        <f>IFERROR(__xludf.DUMMYFUNCTION("""COMPUTED_VALUE"""),"https://expa.aiesec.org/opportunities/1294418")</f>
        <v>https://expa.aiesec.org/opportunities/1294418</v>
      </c>
      <c r="L381" s="16" t="str">
        <f>IFERROR(__xludf.DUMMYFUNCTION("""COMPUTED_VALUE"""),"GV")</f>
        <v>GV</v>
      </c>
      <c r="M381" s="16" t="str">
        <f>IFERROR(__xludf.DUMMYFUNCTION("""COMPUTED_VALUE"""),"short")</f>
        <v>short</v>
      </c>
      <c r="N381" s="18">
        <f>IFERROR(__xludf.DUMMYFUNCTION("""COMPUTED_VALUE"""),45234.0)</f>
        <v>45234</v>
      </c>
      <c r="O381" s="18">
        <f>IFERROR(__xludf.DUMMYFUNCTION("""COMPUTED_VALUE"""),45488.0)</f>
        <v>45488</v>
      </c>
      <c r="P381" s="18">
        <f>IFERROR(__xludf.DUMMYFUNCTION("""COMPUTED_VALUE"""),45530.0)</f>
        <v>45530</v>
      </c>
      <c r="Q381" s="18"/>
      <c r="R381" s="18"/>
      <c r="S381" s="16"/>
      <c r="T381" s="16"/>
      <c r="U381" s="16" t="str">
        <f>IFERROR(__xludf.DUMMYFUNCTION("""COMPUTED_VALUE"""),"Global Classroom")</f>
        <v>Global Classroom</v>
      </c>
      <c r="V381" s="16" t="str">
        <f>IFERROR(__xludf.DUMMYFUNCTION("""COMPUTED_VALUE"""),"ISTANBUL - BEYOGLU")</f>
        <v>ISTANBUL - BEYOGLU</v>
      </c>
      <c r="W381" s="16" t="str">
        <f>IFERROR(__xludf.DUMMYFUNCTION("""COMPUTED_VALUE"""),"2023-10-23T14:13:09Z")</f>
        <v>2023-10-23T14:13:09Z</v>
      </c>
      <c r="X381" s="16"/>
      <c r="Y381" s="16"/>
      <c r="Z381" s="16"/>
    </row>
    <row r="382">
      <c r="A382" s="16" t="str">
        <f>IFERROR(__xludf.DUMMYFUNCTION("""COMPUTED_VALUE"""),"5356866_1284670")</f>
        <v>5356866_1284670</v>
      </c>
      <c r="B382" s="16" t="str">
        <f>IFERROR(__xludf.DUMMYFUNCTION("""COMPUTED_VALUE"""),"Mohamed El Mamoune Askri")</f>
        <v>Mohamed El Mamoune Askri</v>
      </c>
      <c r="C382" s="16" t="str">
        <f>IFERROR(__xludf.DUMMYFUNCTION("""COMPUTED_VALUE"""),"approved")</f>
        <v>approved</v>
      </c>
      <c r="D382" s="16" t="str">
        <f>IFERROR(__xludf.DUMMYFUNCTION("""COMPUTED_VALUE"""),"No")</f>
        <v>No</v>
      </c>
      <c r="E382" s="16" t="str">
        <f>IFERROR(__xludf.DUMMYFUNCTION("""COMPUTED_VALUE"""),"p_4704fc4401ba72b57c97e32b2ac1fa747521b377@inbound.aiesec.org")</f>
        <v>p_4704fc4401ba72b57c97e32b2ac1fa747521b377@inbound.aiesec.org</v>
      </c>
      <c r="F382" s="16">
        <f>IFERROR(__xludf.DUMMYFUNCTION("""COMPUTED_VALUE"""),7.76619003E8)</f>
        <v>776619003</v>
      </c>
      <c r="G382" s="16" t="str">
        <f>IFERROR(__xludf.DUMMYFUNCTION("""COMPUTED_VALUE"""),"Algeria")</f>
        <v>Algeria</v>
      </c>
      <c r="H382" s="16" t="str">
        <f>IFERROR(__xludf.DUMMYFUNCTION("""COMPUTED_VALUE"""),"Oran")</f>
        <v>Oran</v>
      </c>
      <c r="I382" s="16" t="str">
        <f>IFERROR(__xludf.DUMMYFUNCTION("""COMPUTED_VALUE"""),"Turkey")</f>
        <v>Turkey</v>
      </c>
      <c r="J382" s="16" t="str">
        <f>IFERROR(__xludf.DUMMYFUNCTION("""COMPUTED_VALUE"""),"ISTANBUL")</f>
        <v>ISTANBUL</v>
      </c>
      <c r="K382" s="17" t="str">
        <f>IFERROR(__xludf.DUMMYFUNCTION("""COMPUTED_VALUE"""),"https://expa.aiesec.org/opportunities/1284670")</f>
        <v>https://expa.aiesec.org/opportunities/1284670</v>
      </c>
      <c r="L382" s="16" t="str">
        <f>IFERROR(__xludf.DUMMYFUNCTION("""COMPUTED_VALUE"""),"GV")</f>
        <v>GV</v>
      </c>
      <c r="M382" s="16" t="str">
        <f>IFERROR(__xludf.DUMMYFUNCTION("""COMPUTED_VALUE"""),"short")</f>
        <v>short</v>
      </c>
      <c r="N382" s="18">
        <f>IFERROR(__xludf.DUMMYFUNCTION("""COMPUTED_VALUE"""),45234.0)</f>
        <v>45234</v>
      </c>
      <c r="O382" s="18">
        <f>IFERROR(__xludf.DUMMYFUNCTION("""COMPUTED_VALUE"""),45476.0)</f>
        <v>45476</v>
      </c>
      <c r="P382" s="18">
        <f>IFERROR(__xludf.DUMMYFUNCTION("""COMPUTED_VALUE"""),45518.0)</f>
        <v>45518</v>
      </c>
      <c r="Q382" s="18"/>
      <c r="R382" s="18"/>
      <c r="S382" s="16"/>
      <c r="T382" s="16"/>
      <c r="U382" s="16" t="str">
        <f>IFERROR(__xludf.DUMMYFUNCTION("""COMPUTED_VALUE"""),"Heartbeat")</f>
        <v>Heartbeat</v>
      </c>
      <c r="V382" s="16" t="str">
        <f>IFERROR(__xludf.DUMMYFUNCTION("""COMPUTED_VALUE"""),"AIESEC in Oran")</f>
        <v>AIESEC in Oran</v>
      </c>
      <c r="W382" s="16" t="str">
        <f>IFERROR(__xludf.DUMMYFUNCTION("""COMPUTED_VALUE"""),"2023-10-21T22:28:37Z")</f>
        <v>2023-10-21T22:28:37Z</v>
      </c>
      <c r="X382" s="16"/>
      <c r="Y382" s="16"/>
      <c r="Z382" s="16"/>
    </row>
    <row r="383">
      <c r="A383" s="16" t="str">
        <f>IFERROR(__xludf.DUMMYFUNCTION("""COMPUTED_VALUE"""),"5354866_1289536")</f>
        <v>5354866_1289536</v>
      </c>
      <c r="B383" s="16" t="str">
        <f>IFERROR(__xludf.DUMMYFUNCTION("""COMPUTED_VALUE"""),"Divya Bherwani")</f>
        <v>Divya Bherwani</v>
      </c>
      <c r="C383" s="16" t="str">
        <f>IFERROR(__xludf.DUMMYFUNCTION("""COMPUTED_VALUE"""),"approved")</f>
        <v>approved</v>
      </c>
      <c r="D383" s="16" t="str">
        <f>IFERROR(__xludf.DUMMYFUNCTION("""COMPUTED_VALUE"""),"No")</f>
        <v>No</v>
      </c>
      <c r="E383" s="16" t="str">
        <f>IFERROR(__xludf.DUMMYFUNCTION("""COMPUTED_VALUE"""),"p_b3d3a8c10db70a46ab66cf057b254d55408829de@inbound.aiesec.org")</f>
        <v>p_b3d3a8c10db70a46ab66cf057b254d55408829de@inbound.aiesec.org</v>
      </c>
      <c r="F383" s="16">
        <f>IFERROR(__xludf.DUMMYFUNCTION("""COMPUTED_VALUE"""),9.769887224E9)</f>
        <v>9769887224</v>
      </c>
      <c r="G383" s="16" t="str">
        <f>IFERROR(__xludf.DUMMYFUNCTION("""COMPUTED_VALUE"""),"India")</f>
        <v>India</v>
      </c>
      <c r="H383" s="16" t="str">
        <f>IFERROR(__xludf.DUMMYFUNCTION("""COMPUTED_VALUE"""),"Mumbai")</f>
        <v>Mumbai</v>
      </c>
      <c r="I383" s="16" t="str">
        <f>IFERROR(__xludf.DUMMYFUNCTION("""COMPUTED_VALUE"""),"Turkey")</f>
        <v>Turkey</v>
      </c>
      <c r="J383" s="16" t="str">
        <f>IFERROR(__xludf.DUMMYFUNCTION("""COMPUTED_VALUE"""),"ISTANBUL")</f>
        <v>ISTANBUL</v>
      </c>
      <c r="K383" s="17" t="str">
        <f>IFERROR(__xludf.DUMMYFUNCTION("""COMPUTED_VALUE"""),"https://expa.aiesec.org/opportunities/1289536")</f>
        <v>https://expa.aiesec.org/opportunities/1289536</v>
      </c>
      <c r="L383" s="16" t="str">
        <f>IFERROR(__xludf.DUMMYFUNCTION("""COMPUTED_VALUE"""),"GV")</f>
        <v>GV</v>
      </c>
      <c r="M383" s="16" t="str">
        <f>IFERROR(__xludf.DUMMYFUNCTION("""COMPUTED_VALUE"""),"short")</f>
        <v>short</v>
      </c>
      <c r="N383" s="18">
        <f>IFERROR(__xludf.DUMMYFUNCTION("""COMPUTED_VALUE"""),45235.0)</f>
        <v>45235</v>
      </c>
      <c r="O383" s="18">
        <f>IFERROR(__xludf.DUMMYFUNCTION("""COMPUTED_VALUE"""),45389.0)</f>
        <v>45389</v>
      </c>
      <c r="P383" s="18">
        <f>IFERROR(__xludf.DUMMYFUNCTION("""COMPUTED_VALUE"""),45431.0)</f>
        <v>45431</v>
      </c>
      <c r="Q383" s="18"/>
      <c r="R383" s="18"/>
      <c r="S383" s="16"/>
      <c r="T383" s="16"/>
      <c r="U383" s="16" t="str">
        <f>IFERROR(__xludf.DUMMYFUNCTION("""COMPUTED_VALUE"""),"Global Classroom")</f>
        <v>Global Classroom</v>
      </c>
      <c r="V383" s="16" t="str">
        <f>IFERROR(__xludf.DUMMYFUNCTION("""COMPUTED_VALUE"""),"Mithibai College of Commerce and Science, Vile Parle")</f>
        <v>Mithibai College of Commerce and Science, Vile Parle</v>
      </c>
      <c r="W383" s="16" t="str">
        <f>IFERROR(__xludf.DUMMYFUNCTION("""COMPUTED_VALUE"""),"2023-10-18T16:44:31Z")</f>
        <v>2023-10-18T16:44:31Z</v>
      </c>
      <c r="X383" s="16"/>
      <c r="Y383" s="16"/>
      <c r="Z383" s="16"/>
    </row>
    <row r="384">
      <c r="A384" s="16" t="str">
        <f>IFERROR(__xludf.DUMMYFUNCTION("""COMPUTED_VALUE"""),"5362781_1284670")</f>
        <v>5362781_1284670</v>
      </c>
      <c r="B384" s="16" t="str">
        <f>IFERROR(__xludf.DUMMYFUNCTION("""COMPUTED_VALUE"""),"Anhelina Parkhomova")</f>
        <v>Anhelina Parkhomova</v>
      </c>
      <c r="C384" s="16" t="str">
        <f>IFERROR(__xludf.DUMMYFUNCTION("""COMPUTED_VALUE"""),"approved")</f>
        <v>approved</v>
      </c>
      <c r="D384" s="16" t="str">
        <f>IFERROR(__xludf.DUMMYFUNCTION("""COMPUTED_VALUE"""),"No")</f>
        <v>No</v>
      </c>
      <c r="E384" s="16" t="str">
        <f>IFERROR(__xludf.DUMMYFUNCTION("""COMPUTED_VALUE"""),"p_a14b8375d683161d8a686f7e00d029bfdcc41fe7@inbound.aiesec.org")</f>
        <v>p_a14b8375d683161d8a686f7e00d029bfdcc41fe7@inbound.aiesec.org</v>
      </c>
      <c r="F384" s="16">
        <f>IFERROR(__xludf.DUMMYFUNCTION("""COMPUTED_VALUE"""),9.60309635E8)</f>
        <v>960309635</v>
      </c>
      <c r="G384" s="16" t="str">
        <f>IFERROR(__xludf.DUMMYFUNCTION("""COMPUTED_VALUE"""),"Ukraine")</f>
        <v>Ukraine</v>
      </c>
      <c r="H384" s="16" t="str">
        <f>IFERROR(__xludf.DUMMYFUNCTION("""COMPUTED_VALUE"""),"KYIV")</f>
        <v>KYIV</v>
      </c>
      <c r="I384" s="16" t="str">
        <f>IFERROR(__xludf.DUMMYFUNCTION("""COMPUTED_VALUE"""),"Turkey")</f>
        <v>Turkey</v>
      </c>
      <c r="J384" s="16" t="str">
        <f>IFERROR(__xludf.DUMMYFUNCTION("""COMPUTED_VALUE"""),"ISTANBUL")</f>
        <v>ISTANBUL</v>
      </c>
      <c r="K384" s="17" t="str">
        <f>IFERROR(__xludf.DUMMYFUNCTION("""COMPUTED_VALUE"""),"https://expa.aiesec.org/opportunities/1284670")</f>
        <v>https://expa.aiesec.org/opportunities/1284670</v>
      </c>
      <c r="L384" s="16" t="str">
        <f>IFERROR(__xludf.DUMMYFUNCTION("""COMPUTED_VALUE"""),"GV")</f>
        <v>GV</v>
      </c>
      <c r="M384" s="16" t="str">
        <f>IFERROR(__xludf.DUMMYFUNCTION("""COMPUTED_VALUE"""),"short")</f>
        <v>short</v>
      </c>
      <c r="N384" s="18">
        <f>IFERROR(__xludf.DUMMYFUNCTION("""COMPUTED_VALUE"""),45235.0)</f>
        <v>45235</v>
      </c>
      <c r="O384" s="18">
        <f>IFERROR(__xludf.DUMMYFUNCTION("""COMPUTED_VALUE"""),45476.0)</f>
        <v>45476</v>
      </c>
      <c r="P384" s="18">
        <f>IFERROR(__xludf.DUMMYFUNCTION("""COMPUTED_VALUE"""),45518.0)</f>
        <v>45518</v>
      </c>
      <c r="Q384" s="18"/>
      <c r="R384" s="18"/>
      <c r="S384" s="16"/>
      <c r="T384" s="16"/>
      <c r="U384" s="16" t="str">
        <f>IFERROR(__xludf.DUMMYFUNCTION("""COMPUTED_VALUE"""),"Heartbeat")</f>
        <v>Heartbeat</v>
      </c>
      <c r="V384" s="16" t="str">
        <f>IFERROR(__xludf.DUMMYFUNCTION("""COMPUTED_VALUE"""),"Kyiv")</f>
        <v>Kyiv</v>
      </c>
      <c r="W384" s="16" t="str">
        <f>IFERROR(__xludf.DUMMYFUNCTION("""COMPUTED_VALUE"""),"2023-10-29T14:34:32Z")</f>
        <v>2023-10-29T14:34:32Z</v>
      </c>
      <c r="X384" s="16"/>
      <c r="Y384" s="16"/>
      <c r="Z384" s="16"/>
    </row>
    <row r="385">
      <c r="A385" s="16" t="str">
        <f>IFERROR(__xludf.DUMMYFUNCTION("""COMPUTED_VALUE"""),"5356424_1300175")</f>
        <v>5356424_1300175</v>
      </c>
      <c r="B385" s="16" t="str">
        <f>IFERROR(__xludf.DUMMYFUNCTION("""COMPUTED_VALUE"""),"İzem Yeğit")</f>
        <v>İzem Yeğit</v>
      </c>
      <c r="C385" s="16" t="str">
        <f>IFERROR(__xludf.DUMMYFUNCTION("""COMPUTED_VALUE"""),"approved")</f>
        <v>approved</v>
      </c>
      <c r="D385" s="16" t="str">
        <f>IFERROR(__xludf.DUMMYFUNCTION("""COMPUTED_VALUE"""),"No")</f>
        <v>No</v>
      </c>
      <c r="E385" s="16" t="str">
        <f>IFERROR(__xludf.DUMMYFUNCTION("""COMPUTED_VALUE"""),"p_d0fece728b7abfdeb6d35e0b80a3533e2aac4d79@inbound.aiesec.org")</f>
        <v>p_d0fece728b7abfdeb6d35e0b80a3533e2aac4d79@inbound.aiesec.org</v>
      </c>
      <c r="F385" s="16">
        <f>IFERROR(__xludf.DUMMYFUNCTION("""COMPUTED_VALUE"""),5.375850416E9)</f>
        <v>5375850416</v>
      </c>
      <c r="G385" s="16" t="str">
        <f>IFERROR(__xludf.DUMMYFUNCTION("""COMPUTED_VALUE"""),"Turkey")</f>
        <v>Turkey</v>
      </c>
      <c r="H385" s="16" t="str">
        <f>IFERROR(__xludf.DUMMYFUNCTION("""COMPUTED_VALUE"""),"ISTANBUL")</f>
        <v>ISTANBUL</v>
      </c>
      <c r="I385" s="16" t="str">
        <f>IFERROR(__xludf.DUMMYFUNCTION("""COMPUTED_VALUE"""),"Tunisia")</f>
        <v>Tunisia</v>
      </c>
      <c r="J385" s="16" t="str">
        <f>IFERROR(__xludf.DUMMYFUNCTION("""COMPUTED_VALUE"""),"SFAX")</f>
        <v>SFAX</v>
      </c>
      <c r="K385" s="17" t="str">
        <f>IFERROR(__xludf.DUMMYFUNCTION("""COMPUTED_VALUE"""),"https://expa.aiesec.org/opportunities/1300175")</f>
        <v>https://expa.aiesec.org/opportunities/1300175</v>
      </c>
      <c r="L385" s="16" t="str">
        <f>IFERROR(__xludf.DUMMYFUNCTION("""COMPUTED_VALUE"""),"GV")</f>
        <v>GV</v>
      </c>
      <c r="M385" s="16" t="str">
        <f>IFERROR(__xludf.DUMMYFUNCTION("""COMPUTED_VALUE"""),"short")</f>
        <v>short</v>
      </c>
      <c r="N385" s="18">
        <f>IFERROR(__xludf.DUMMYFUNCTION("""COMPUTED_VALUE"""),45235.0)</f>
        <v>45235</v>
      </c>
      <c r="O385" s="18">
        <f>IFERROR(__xludf.DUMMYFUNCTION("""COMPUTED_VALUE"""),45458.0)</f>
        <v>45458</v>
      </c>
      <c r="P385" s="18">
        <f>IFERROR(__xludf.DUMMYFUNCTION("""COMPUTED_VALUE"""),45500.0)</f>
        <v>45500</v>
      </c>
      <c r="Q385" s="18"/>
      <c r="R385" s="18"/>
      <c r="S385" s="16"/>
      <c r="T385" s="16"/>
      <c r="U385" s="16" t="str">
        <f>IFERROR(__xludf.DUMMYFUNCTION("""COMPUTED_VALUE"""),"Scale Up!")</f>
        <v>Scale Up!</v>
      </c>
      <c r="V385" s="16" t="str">
        <f>IFERROR(__xludf.DUMMYFUNCTION("""COMPUTED_VALUE"""),"ISTANBUL - BEYOGLU")</f>
        <v>ISTANBUL - BEYOGLU</v>
      </c>
      <c r="W385" s="16" t="str">
        <f>IFERROR(__xludf.DUMMYFUNCTION("""COMPUTED_VALUE"""),"2023-10-20T20:37:49Z")</f>
        <v>2023-10-20T20:37:49Z</v>
      </c>
      <c r="X385" s="16"/>
      <c r="Y385" s="16"/>
      <c r="Z385" s="16"/>
    </row>
    <row r="386">
      <c r="A386" s="16" t="str">
        <f>IFERROR(__xludf.DUMMYFUNCTION("""COMPUTED_VALUE"""),"5358157_1284670")</f>
        <v>5358157_1284670</v>
      </c>
      <c r="B386" s="16" t="str">
        <f>IFERROR(__xludf.DUMMYFUNCTION("""COMPUTED_VALUE"""),"Nour El Houda NESBA")</f>
        <v>Nour El Houda NESBA</v>
      </c>
      <c r="C386" s="16" t="str">
        <f>IFERROR(__xludf.DUMMYFUNCTION("""COMPUTED_VALUE"""),"approved")</f>
        <v>approved</v>
      </c>
      <c r="D386" s="16" t="str">
        <f>IFERROR(__xludf.DUMMYFUNCTION("""COMPUTED_VALUE"""),"No")</f>
        <v>No</v>
      </c>
      <c r="E386" s="16" t="str">
        <f>IFERROR(__xludf.DUMMYFUNCTION("""COMPUTED_VALUE"""),"p_74daafba2c0f844c80829ff0d54cb2e65d706e20@inbound.aiesec.org")</f>
        <v>p_74daafba2c0f844c80829ff0d54cb2e65d706e20@inbound.aiesec.org</v>
      </c>
      <c r="F386" s="16">
        <f>IFERROR(__xludf.DUMMYFUNCTION("""COMPUTED_VALUE"""),6.64469527E8)</f>
        <v>664469527</v>
      </c>
      <c r="G386" s="16" t="str">
        <f>IFERROR(__xludf.DUMMYFUNCTION("""COMPUTED_VALUE"""),"Algeria")</f>
        <v>Algeria</v>
      </c>
      <c r="H386" s="16" t="str">
        <f>IFERROR(__xludf.DUMMYFUNCTION("""COMPUTED_VALUE"""),"Blida")</f>
        <v>Blida</v>
      </c>
      <c r="I386" s="16" t="str">
        <f>IFERROR(__xludf.DUMMYFUNCTION("""COMPUTED_VALUE"""),"Turkey")</f>
        <v>Turkey</v>
      </c>
      <c r="J386" s="16" t="str">
        <f>IFERROR(__xludf.DUMMYFUNCTION("""COMPUTED_VALUE"""),"ISTANBUL")</f>
        <v>ISTANBUL</v>
      </c>
      <c r="K386" s="17" t="str">
        <f>IFERROR(__xludf.DUMMYFUNCTION("""COMPUTED_VALUE"""),"https://expa.aiesec.org/opportunities/1284670")</f>
        <v>https://expa.aiesec.org/opportunities/1284670</v>
      </c>
      <c r="L386" s="16" t="str">
        <f>IFERROR(__xludf.DUMMYFUNCTION("""COMPUTED_VALUE"""),"GV")</f>
        <v>GV</v>
      </c>
      <c r="M386" s="16" t="str">
        <f>IFERROR(__xludf.DUMMYFUNCTION("""COMPUTED_VALUE"""),"short")</f>
        <v>short</v>
      </c>
      <c r="N386" s="18">
        <f>IFERROR(__xludf.DUMMYFUNCTION("""COMPUTED_VALUE"""),45235.0)</f>
        <v>45235</v>
      </c>
      <c r="O386" s="18">
        <f>IFERROR(__xludf.DUMMYFUNCTION("""COMPUTED_VALUE"""),45476.0)</f>
        <v>45476</v>
      </c>
      <c r="P386" s="18">
        <f>IFERROR(__xludf.DUMMYFUNCTION("""COMPUTED_VALUE"""),45518.0)</f>
        <v>45518</v>
      </c>
      <c r="Q386" s="18"/>
      <c r="R386" s="18"/>
      <c r="S386" s="16"/>
      <c r="T386" s="16"/>
      <c r="U386" s="16" t="str">
        <f>IFERROR(__xludf.DUMMYFUNCTION("""COMPUTED_VALUE"""),"Heartbeat")</f>
        <v>Heartbeat</v>
      </c>
      <c r="V386" s="16" t="str">
        <f>IFERROR(__xludf.DUMMYFUNCTION("""COMPUTED_VALUE"""),"AIESEC in Blida")</f>
        <v>AIESEC in Blida</v>
      </c>
      <c r="W386" s="16" t="str">
        <f>IFERROR(__xludf.DUMMYFUNCTION("""COMPUTED_VALUE"""),"2023-10-23T16:26:59Z")</f>
        <v>2023-10-23T16:26:59Z</v>
      </c>
      <c r="X386" s="16"/>
      <c r="Y386" s="16"/>
      <c r="Z386" s="16"/>
    </row>
    <row r="387">
      <c r="A387" s="16" t="str">
        <f>IFERROR(__xludf.DUMMYFUNCTION("""COMPUTED_VALUE"""),"5357343_1295874")</f>
        <v>5357343_1295874</v>
      </c>
      <c r="B387" s="16" t="str">
        <f>IFERROR(__xludf.DUMMYFUNCTION("""COMPUTED_VALUE"""),"Elif Gülen Çakıcı")</f>
        <v>Elif Gülen Çakıcı</v>
      </c>
      <c r="C387" s="16" t="str">
        <f>IFERROR(__xludf.DUMMYFUNCTION("""COMPUTED_VALUE"""),"approved")</f>
        <v>approved</v>
      </c>
      <c r="D387" s="16" t="str">
        <f>IFERROR(__xludf.DUMMYFUNCTION("""COMPUTED_VALUE"""),"No")</f>
        <v>No</v>
      </c>
      <c r="E387" s="16" t="str">
        <f>IFERROR(__xludf.DUMMYFUNCTION("""COMPUTED_VALUE"""),"p_575fc876955d65b521275e3061819c70f01f59e4@inbound.aiesec.org")</f>
        <v>p_575fc876955d65b521275e3061819c70f01f59e4@inbound.aiesec.org</v>
      </c>
      <c r="F387" s="16">
        <f>IFERROR(__xludf.DUMMYFUNCTION("""COMPUTED_VALUE"""),5.051201415E9)</f>
        <v>5051201415</v>
      </c>
      <c r="G387" s="16" t="str">
        <f>IFERROR(__xludf.DUMMYFUNCTION("""COMPUTED_VALUE"""),"Turkey")</f>
        <v>Turkey</v>
      </c>
      <c r="H387" s="16" t="str">
        <f>IFERROR(__xludf.DUMMYFUNCTION("""COMPUTED_VALUE"""),"ISTANBUL")</f>
        <v>ISTANBUL</v>
      </c>
      <c r="I387" s="16" t="str">
        <f>IFERROR(__xludf.DUMMYFUNCTION("""COMPUTED_VALUE"""),"Egypt")</f>
        <v>Egypt</v>
      </c>
      <c r="J387" s="16" t="str">
        <f>IFERROR(__xludf.DUMMYFUNCTION("""COMPUTED_VALUE"""),"Cairo University")</f>
        <v>Cairo University</v>
      </c>
      <c r="K387" s="17" t="str">
        <f>IFERROR(__xludf.DUMMYFUNCTION("""COMPUTED_VALUE"""),"https://expa.aiesec.org/opportunities/1295874")</f>
        <v>https://expa.aiesec.org/opportunities/1295874</v>
      </c>
      <c r="L387" s="16" t="str">
        <f>IFERROR(__xludf.DUMMYFUNCTION("""COMPUTED_VALUE"""),"GV")</f>
        <v>GV</v>
      </c>
      <c r="M387" s="16" t="str">
        <f>IFERROR(__xludf.DUMMYFUNCTION("""COMPUTED_VALUE"""),"short")</f>
        <v>short</v>
      </c>
      <c r="N387" s="18">
        <f>IFERROR(__xludf.DUMMYFUNCTION("""COMPUTED_VALUE"""),45236.0)</f>
        <v>45236</v>
      </c>
      <c r="O387" s="18">
        <f>IFERROR(__xludf.DUMMYFUNCTION("""COMPUTED_VALUE"""),45474.0)</f>
        <v>45474</v>
      </c>
      <c r="P387" s="18">
        <f>IFERROR(__xludf.DUMMYFUNCTION("""COMPUTED_VALUE"""),45516.0)</f>
        <v>45516</v>
      </c>
      <c r="Q387" s="18"/>
      <c r="R387" s="18"/>
      <c r="S387" s="16"/>
      <c r="T387" s="16"/>
      <c r="U387" s="16" t="str">
        <f>IFERROR(__xludf.DUMMYFUNCTION("""COMPUTED_VALUE"""),"Green Leaders")</f>
        <v>Green Leaders</v>
      </c>
      <c r="V387" s="16" t="str">
        <f>IFERROR(__xludf.DUMMYFUNCTION("""COMPUTED_VALUE"""),"ISTANBUL - BEYOGLU")</f>
        <v>ISTANBUL - BEYOGLU</v>
      </c>
      <c r="W387" s="16" t="str">
        <f>IFERROR(__xludf.DUMMYFUNCTION("""COMPUTED_VALUE"""),"2023-10-22T16:43:25Z")</f>
        <v>2023-10-22T16:43:25Z</v>
      </c>
      <c r="X387" s="16"/>
      <c r="Y387" s="16"/>
      <c r="Z387" s="16"/>
    </row>
    <row r="388">
      <c r="A388" s="16" t="str">
        <f>IFERROR(__xludf.DUMMYFUNCTION("""COMPUTED_VALUE"""),"3882457_1293417")</f>
        <v>3882457_1293417</v>
      </c>
      <c r="B388" s="16" t="str">
        <f>IFERROR(__xludf.DUMMYFUNCTION("""COMPUTED_VALUE"""),"Jimy Sanchez")</f>
        <v>Jimy Sanchez</v>
      </c>
      <c r="C388" s="16" t="str">
        <f>IFERROR(__xludf.DUMMYFUNCTION("""COMPUTED_VALUE"""),"approved")</f>
        <v>approved</v>
      </c>
      <c r="D388" s="16" t="str">
        <f>IFERROR(__xludf.DUMMYFUNCTION("""COMPUTED_VALUE"""),"No")</f>
        <v>No</v>
      </c>
      <c r="E388" s="16" t="str">
        <f>IFERROR(__xludf.DUMMYFUNCTION("""COMPUTED_VALUE"""),"p_588a09a08ef63b1ff6bf1e7a62106c28f4b8e401@inbound.aiesec.org")</f>
        <v>p_588a09a08ef63b1ff6bf1e7a62106c28f4b8e401@inbound.aiesec.org</v>
      </c>
      <c r="F388" s="16">
        <f>IFERROR(__xludf.DUMMYFUNCTION("""COMPUTED_VALUE"""),9.16390112E8)</f>
        <v>916390112</v>
      </c>
      <c r="G388" s="16" t="str">
        <f>IFERROR(__xludf.DUMMYFUNCTION("""COMPUTED_VALUE"""),"Peru")</f>
        <v>Peru</v>
      </c>
      <c r="H388" s="16" t="str">
        <f>IFERROR(__xludf.DUMMYFUNCTION("""COMPUTED_VALUE"""),"Cusco")</f>
        <v>Cusco</v>
      </c>
      <c r="I388" s="16" t="str">
        <f>IFERROR(__xludf.DUMMYFUNCTION("""COMPUTED_VALUE"""),"Turkey")</f>
        <v>Turkey</v>
      </c>
      <c r="J388" s="16" t="str">
        <f>IFERROR(__xludf.DUMMYFUNCTION("""COMPUTED_VALUE"""),"ISTANBUL")</f>
        <v>ISTANBUL</v>
      </c>
      <c r="K388" s="17" t="str">
        <f>IFERROR(__xludf.DUMMYFUNCTION("""COMPUTED_VALUE"""),"https://expa.aiesec.org/opportunities/1293417")</f>
        <v>https://expa.aiesec.org/opportunities/1293417</v>
      </c>
      <c r="L388" s="16" t="str">
        <f>IFERROR(__xludf.DUMMYFUNCTION("""COMPUTED_VALUE"""),"GV")</f>
        <v>GV</v>
      </c>
      <c r="M388" s="16" t="str">
        <f>IFERROR(__xludf.DUMMYFUNCTION("""COMPUTED_VALUE"""),"short")</f>
        <v>short</v>
      </c>
      <c r="N388" s="18">
        <f>IFERROR(__xludf.DUMMYFUNCTION("""COMPUTED_VALUE"""),45238.0)</f>
        <v>45238</v>
      </c>
      <c r="O388" s="18">
        <f>IFERROR(__xludf.DUMMYFUNCTION("""COMPUTED_VALUE"""),45252.0)</f>
        <v>45252</v>
      </c>
      <c r="P388" s="18">
        <f>IFERROR(__xludf.DUMMYFUNCTION("""COMPUTED_VALUE"""),45294.0)</f>
        <v>45294</v>
      </c>
      <c r="Q388" s="18"/>
      <c r="R388" s="18"/>
      <c r="S388" s="16"/>
      <c r="T388" s="16"/>
      <c r="U388" s="16" t="str">
        <f>IFERROR(__xludf.DUMMYFUNCTION("""COMPUTED_VALUE"""),"Global Classroom")</f>
        <v>Global Classroom</v>
      </c>
      <c r="V388" s="16" t="str">
        <f>IFERROR(__xludf.DUMMYFUNCTION("""COMPUTED_VALUE"""),"Cusco - Universidad Andina del Cusco")</f>
        <v>Cusco - Universidad Andina del Cusco</v>
      </c>
      <c r="W388" s="16" t="str">
        <f>IFERROR(__xludf.DUMMYFUNCTION("""COMPUTED_VALUE"""),"2019-10-08T20:00:05Z")</f>
        <v>2019-10-08T20:00:05Z</v>
      </c>
      <c r="X388" s="16"/>
      <c r="Y388" s="16"/>
      <c r="Z388" s="16"/>
    </row>
    <row r="389">
      <c r="A389" s="16" t="str">
        <f>IFERROR(__xludf.DUMMYFUNCTION("""COMPUTED_VALUE"""),"3382600_1288843")</f>
        <v>3382600_1288843</v>
      </c>
      <c r="B389" s="16" t="str">
        <f>IFERROR(__xludf.DUMMYFUNCTION("""COMPUTED_VALUE"""),"Zehra Öztürk")</f>
        <v>Zehra Öztürk</v>
      </c>
      <c r="C389" s="16" t="str">
        <f>IFERROR(__xludf.DUMMYFUNCTION("""COMPUTED_VALUE"""),"approved")</f>
        <v>approved</v>
      </c>
      <c r="D389" s="16" t="str">
        <f>IFERROR(__xludf.DUMMYFUNCTION("""COMPUTED_VALUE"""),"No")</f>
        <v>No</v>
      </c>
      <c r="E389" s="16" t="str">
        <f>IFERROR(__xludf.DUMMYFUNCTION("""COMPUTED_VALUE"""),"p_8dff88d8f83a379b0bd8b96cbf52a95ec78077c6@inbound.aiesec.org")</f>
        <v>p_8dff88d8f83a379b0bd8b96cbf52a95ec78077c6@inbound.aiesec.org</v>
      </c>
      <c r="F389" s="16">
        <f>IFERROR(__xludf.DUMMYFUNCTION("""COMPUTED_VALUE"""),5.332174933E9)</f>
        <v>5332174933</v>
      </c>
      <c r="G389" s="16" t="str">
        <f>IFERROR(__xludf.DUMMYFUNCTION("""COMPUTED_VALUE"""),"Turkey")</f>
        <v>Turkey</v>
      </c>
      <c r="H389" s="16" t="str">
        <f>IFERROR(__xludf.DUMMYFUNCTION("""COMPUTED_VALUE"""),"ISTANBUL")</f>
        <v>ISTANBUL</v>
      </c>
      <c r="I389" s="16" t="str">
        <f>IFERROR(__xludf.DUMMYFUNCTION("""COMPUTED_VALUE"""),"Sri Lanka")</f>
        <v>Sri Lanka</v>
      </c>
      <c r="J389" s="16" t="str">
        <f>IFERROR(__xludf.DUMMYFUNCTION("""COMPUTED_VALUE"""),"COLOMBO NORTH")</f>
        <v>COLOMBO NORTH</v>
      </c>
      <c r="K389" s="17" t="str">
        <f>IFERROR(__xludf.DUMMYFUNCTION("""COMPUTED_VALUE"""),"https://expa.aiesec.org/opportunities/1288843")</f>
        <v>https://expa.aiesec.org/opportunities/1288843</v>
      </c>
      <c r="L389" s="16" t="str">
        <f>IFERROR(__xludf.DUMMYFUNCTION("""COMPUTED_VALUE"""),"GV")</f>
        <v>GV</v>
      </c>
      <c r="M389" s="16" t="str">
        <f>IFERROR(__xludf.DUMMYFUNCTION("""COMPUTED_VALUE"""),"short")</f>
        <v>short</v>
      </c>
      <c r="N389" s="18">
        <f>IFERROR(__xludf.DUMMYFUNCTION("""COMPUTED_VALUE"""),45239.0)</f>
        <v>45239</v>
      </c>
      <c r="O389" s="18">
        <f>IFERROR(__xludf.DUMMYFUNCTION("""COMPUTED_VALUE"""),45374.0)</f>
        <v>45374</v>
      </c>
      <c r="P389" s="18">
        <f>IFERROR(__xludf.DUMMYFUNCTION("""COMPUTED_VALUE"""),45416.0)</f>
        <v>45416</v>
      </c>
      <c r="Q389" s="18"/>
      <c r="R389" s="18"/>
      <c r="S389" s="16"/>
      <c r="T389" s="16"/>
      <c r="U389" s="16" t="str">
        <f>IFERROR(__xludf.DUMMYFUNCTION("""COMPUTED_VALUE"""),"Green Leaders")</f>
        <v>Green Leaders</v>
      </c>
      <c r="V389" s="16" t="str">
        <f>IFERROR(__xludf.DUMMYFUNCTION("""COMPUTED_VALUE"""),"ISTANBUL - BEYOGLU")</f>
        <v>ISTANBUL - BEYOGLU</v>
      </c>
      <c r="W389" s="16" t="str">
        <f>IFERROR(__xludf.DUMMYFUNCTION("""COMPUTED_VALUE"""),"2019-04-30T07:03:24Z")</f>
        <v>2019-04-30T07:03:24Z</v>
      </c>
      <c r="X389" s="16"/>
      <c r="Y389" s="16"/>
      <c r="Z389" s="16"/>
    </row>
    <row r="390">
      <c r="A390" s="16" t="str">
        <f>IFERROR(__xludf.DUMMYFUNCTION("""COMPUTED_VALUE"""),"5330454_1289255")</f>
        <v>5330454_1289255</v>
      </c>
      <c r="B390" s="16" t="str">
        <f>IFERROR(__xludf.DUMMYFUNCTION("""COMPUTED_VALUE"""),"Eya TARHOUNI")</f>
        <v>Eya TARHOUNI</v>
      </c>
      <c r="C390" s="16" t="str">
        <f>IFERROR(__xludf.DUMMYFUNCTION("""COMPUTED_VALUE"""),"approved")</f>
        <v>approved</v>
      </c>
      <c r="D390" s="16" t="str">
        <f>IFERROR(__xludf.DUMMYFUNCTION("""COMPUTED_VALUE"""),"No")</f>
        <v>No</v>
      </c>
      <c r="E390" s="16" t="str">
        <f>IFERROR(__xludf.DUMMYFUNCTION("""COMPUTED_VALUE"""),"p_d00872899fa45f64944d0390340ab9f41f1bd98b@inbound.aiesec.org")</f>
        <v>p_d00872899fa45f64944d0390340ab9f41f1bd98b@inbound.aiesec.org</v>
      </c>
      <c r="F390" s="16"/>
      <c r="G390" s="16" t="str">
        <f>IFERROR(__xludf.DUMMYFUNCTION("""COMPUTED_VALUE"""),"Tunisia")</f>
        <v>Tunisia</v>
      </c>
      <c r="H390" s="16" t="str">
        <f>IFERROR(__xludf.DUMMYFUNCTION("""COMPUTED_VALUE"""),"SFAX")</f>
        <v>SFAX</v>
      </c>
      <c r="I390" s="16" t="str">
        <f>IFERROR(__xludf.DUMMYFUNCTION("""COMPUTED_VALUE"""),"Turkey")</f>
        <v>Turkey</v>
      </c>
      <c r="J390" s="16" t="str">
        <f>IFERROR(__xludf.DUMMYFUNCTION("""COMPUTED_VALUE"""),"ISTANBUL")</f>
        <v>ISTANBUL</v>
      </c>
      <c r="K390" s="17" t="str">
        <f>IFERROR(__xludf.DUMMYFUNCTION("""COMPUTED_VALUE"""),"https://expa.aiesec.org/opportunities/1289255")</f>
        <v>https://expa.aiesec.org/opportunities/1289255</v>
      </c>
      <c r="L390" s="16" t="str">
        <f>IFERROR(__xludf.DUMMYFUNCTION("""COMPUTED_VALUE"""),"GTa")</f>
        <v>GTa</v>
      </c>
      <c r="M390" s="16" t="str">
        <f>IFERROR(__xludf.DUMMYFUNCTION("""COMPUTED_VALUE"""),"long")</f>
        <v>long</v>
      </c>
      <c r="N390" s="18">
        <f>IFERROR(__xludf.DUMMYFUNCTION("""COMPUTED_VALUE"""),45240.0)</f>
        <v>45240</v>
      </c>
      <c r="O390" s="18">
        <f>IFERROR(__xludf.DUMMYFUNCTION("""COMPUTED_VALUE"""),45285.0)</f>
        <v>45285</v>
      </c>
      <c r="P390" s="18">
        <f>IFERROR(__xludf.DUMMYFUNCTION("""COMPUTED_VALUE"""),45653.0)</f>
        <v>45653</v>
      </c>
      <c r="Q390" s="18"/>
      <c r="R390" s="18"/>
      <c r="S390" s="16"/>
      <c r="T390" s="16" t="str">
        <f>IFERROR(__xludf.DUMMYFUNCTION("""COMPUTED_VALUE"""),"Business Administration")</f>
        <v>Business Administration</v>
      </c>
      <c r="U390" s="16" t="str">
        <f>IFERROR(__xludf.DUMMYFUNCTION("""COMPUTED_VALUE"""),"Telesales Specialist in Istanbul (French Speaker)")</f>
        <v>Telesales Specialist in Istanbul (French Speaker)</v>
      </c>
      <c r="V390" s="16" t="str">
        <f>IFERROR(__xludf.DUMMYFUNCTION("""COMPUTED_VALUE"""),"-")</f>
        <v>-</v>
      </c>
      <c r="W390" s="16" t="str">
        <f>IFERROR(__xludf.DUMMYFUNCTION("""COMPUTED_VALUE"""),"2023-09-23T09:58:41Z")</f>
        <v>2023-09-23T09:58:41Z</v>
      </c>
      <c r="X390" s="16"/>
      <c r="Y390" s="16"/>
      <c r="Z390" s="16"/>
    </row>
    <row r="391">
      <c r="A391" s="16" t="str">
        <f>IFERROR(__xludf.DUMMYFUNCTION("""COMPUTED_VALUE"""),"5368297_1298284")</f>
        <v>5368297_1298284</v>
      </c>
      <c r="B391" s="16" t="str">
        <f>IFERROR(__xludf.DUMMYFUNCTION("""COMPUTED_VALUE"""),"Oksana Stakhiv")</f>
        <v>Oksana Stakhiv</v>
      </c>
      <c r="C391" s="16" t="str">
        <f>IFERROR(__xludf.DUMMYFUNCTION("""COMPUTED_VALUE"""),"realized")</f>
        <v>realized</v>
      </c>
      <c r="D391" s="16" t="str">
        <f>IFERROR(__xludf.DUMMYFUNCTION("""COMPUTED_VALUE"""),"No")</f>
        <v>No</v>
      </c>
      <c r="E391" s="16" t="str">
        <f>IFERROR(__xludf.DUMMYFUNCTION("""COMPUTED_VALUE"""),"p_e155acd7171f8b63625751f1602a0547b9dd4e1f@inbound.aiesec.org")</f>
        <v>p_e155acd7171f8b63625751f1602a0547b9dd4e1f@inbound.aiesec.org</v>
      </c>
      <c r="F391" s="16">
        <f>IFERROR(__xludf.DUMMYFUNCTION("""COMPUTED_VALUE"""),6.36213294E8)</f>
        <v>636213294</v>
      </c>
      <c r="G391" s="16" t="str">
        <f>IFERROR(__xludf.DUMMYFUNCTION("""COMPUTED_VALUE"""),"Ukraine")</f>
        <v>Ukraine</v>
      </c>
      <c r="H391" s="16" t="str">
        <f>IFERROR(__xludf.DUMMYFUNCTION("""COMPUTED_VALUE"""),"KYIV")</f>
        <v>KYIV</v>
      </c>
      <c r="I391" s="16" t="str">
        <f>IFERROR(__xludf.DUMMYFUNCTION("""COMPUTED_VALUE"""),"Turkey")</f>
        <v>Turkey</v>
      </c>
      <c r="J391" s="16" t="str">
        <f>IFERROR(__xludf.DUMMYFUNCTION("""COMPUTED_VALUE"""),"ISTANBUL")</f>
        <v>ISTANBUL</v>
      </c>
      <c r="K391" s="17" t="str">
        <f>IFERROR(__xludf.DUMMYFUNCTION("""COMPUTED_VALUE"""),"https://expa.aiesec.org/opportunities/1298284")</f>
        <v>https://expa.aiesec.org/opportunities/1298284</v>
      </c>
      <c r="L391" s="16" t="str">
        <f>IFERROR(__xludf.DUMMYFUNCTION("""COMPUTED_VALUE"""),"GV")</f>
        <v>GV</v>
      </c>
      <c r="M391" s="16" t="str">
        <f>IFERROR(__xludf.DUMMYFUNCTION("""COMPUTED_VALUE"""),"short")</f>
        <v>short</v>
      </c>
      <c r="N391" s="18">
        <f>IFERROR(__xludf.DUMMYFUNCTION("""COMPUTED_VALUE"""),45240.0)</f>
        <v>45240</v>
      </c>
      <c r="O391" s="18">
        <f>IFERROR(__xludf.DUMMYFUNCTION("""COMPUTED_VALUE"""),45293.0)</f>
        <v>45293</v>
      </c>
      <c r="P391" s="18">
        <f>IFERROR(__xludf.DUMMYFUNCTION("""COMPUTED_VALUE"""),45335.0)</f>
        <v>45335</v>
      </c>
      <c r="Q391" s="18">
        <f>IFERROR(__xludf.DUMMYFUNCTION("""COMPUTED_VALUE"""),45293.0)</f>
        <v>45293</v>
      </c>
      <c r="R391" s="18">
        <f>IFERROR(__xludf.DUMMYFUNCTION("""COMPUTED_VALUE"""),45335.0)</f>
        <v>45335</v>
      </c>
      <c r="S391" s="16"/>
      <c r="T391" s="16"/>
      <c r="U391" s="16" t="str">
        <f>IFERROR(__xludf.DUMMYFUNCTION("""COMPUTED_VALUE"""),"Global Classroom")</f>
        <v>Global Classroom</v>
      </c>
      <c r="V391" s="16" t="str">
        <f>IFERROR(__xludf.DUMMYFUNCTION("""COMPUTED_VALUE"""),"Lviv ")</f>
        <v>Lviv </v>
      </c>
      <c r="W391" s="16" t="str">
        <f>IFERROR(__xludf.DUMMYFUNCTION("""COMPUTED_VALUE"""),"2023-11-07T14:21:05Z")</f>
        <v>2023-11-07T14:21:05Z</v>
      </c>
      <c r="X391" s="16"/>
      <c r="Y391" s="16"/>
      <c r="Z391" s="16"/>
    </row>
    <row r="392">
      <c r="A392" s="16" t="str">
        <f>IFERROR(__xludf.DUMMYFUNCTION("""COMPUTED_VALUE"""),"5366992_1272564")</f>
        <v>5366992_1272564</v>
      </c>
      <c r="B392" s="16" t="str">
        <f>IFERROR(__xludf.DUMMYFUNCTION("""COMPUTED_VALUE"""),"Andreea Olaru")</f>
        <v>Andreea Olaru</v>
      </c>
      <c r="C392" s="16" t="str">
        <f>IFERROR(__xludf.DUMMYFUNCTION("""COMPUTED_VALUE"""),"approved")</f>
        <v>approved</v>
      </c>
      <c r="D392" s="16" t="str">
        <f>IFERROR(__xludf.DUMMYFUNCTION("""COMPUTED_VALUE"""),"No")</f>
        <v>No</v>
      </c>
      <c r="E392" s="16" t="str">
        <f>IFERROR(__xludf.DUMMYFUNCTION("""COMPUTED_VALUE"""),"p_67d2cd70fd17b270e74ea297413779b1e6773834@inbound.aiesec.org")</f>
        <v>p_67d2cd70fd17b270e74ea297413779b1e6773834@inbound.aiesec.org</v>
      </c>
      <c r="F392" s="16">
        <f>IFERROR(__xludf.DUMMYFUNCTION("""COMPUTED_VALUE"""),7.47637263E8)</f>
        <v>747637263</v>
      </c>
      <c r="G392" s="16" t="str">
        <f>IFERROR(__xludf.DUMMYFUNCTION("""COMPUTED_VALUE"""),"Romania")</f>
        <v>Romania</v>
      </c>
      <c r="H392" s="16" t="str">
        <f>IFERROR(__xludf.DUMMYFUNCTION("""COMPUTED_VALUE"""),"University of Bucharest")</f>
        <v>University of Bucharest</v>
      </c>
      <c r="I392" s="16" t="str">
        <f>IFERROR(__xludf.DUMMYFUNCTION("""COMPUTED_VALUE"""),"Turkey")</f>
        <v>Turkey</v>
      </c>
      <c r="J392" s="16" t="str">
        <f>IFERROR(__xludf.DUMMYFUNCTION("""COMPUTED_VALUE"""),"ISTANBUL")</f>
        <v>ISTANBUL</v>
      </c>
      <c r="K392" s="17" t="str">
        <f>IFERROR(__xludf.DUMMYFUNCTION("""COMPUTED_VALUE"""),"https://expa.aiesec.org/opportunities/1272564")</f>
        <v>https://expa.aiesec.org/opportunities/1272564</v>
      </c>
      <c r="L392" s="16" t="str">
        <f>IFERROR(__xludf.DUMMYFUNCTION("""COMPUTED_VALUE"""),"GV")</f>
        <v>GV</v>
      </c>
      <c r="M392" s="16" t="str">
        <f>IFERROR(__xludf.DUMMYFUNCTION("""COMPUTED_VALUE"""),"short")</f>
        <v>short</v>
      </c>
      <c r="N392" s="18">
        <f>IFERROR(__xludf.DUMMYFUNCTION("""COMPUTED_VALUE"""),45240.0)</f>
        <v>45240</v>
      </c>
      <c r="O392" s="18">
        <f>IFERROR(__xludf.DUMMYFUNCTION("""COMPUTED_VALUE"""),45483.0)</f>
        <v>45483</v>
      </c>
      <c r="P392" s="18">
        <f>IFERROR(__xludf.DUMMYFUNCTION("""COMPUTED_VALUE"""),45525.0)</f>
        <v>45525</v>
      </c>
      <c r="Q392" s="18"/>
      <c r="R392" s="18"/>
      <c r="S392" s="16"/>
      <c r="T392" s="16"/>
      <c r="U392" s="16" t="str">
        <f>IFERROR(__xludf.DUMMYFUNCTION("""COMPUTED_VALUE"""),"Global Classroom")</f>
        <v>Global Classroom</v>
      </c>
      <c r="V392" s="16" t="str">
        <f>IFERROR(__xludf.DUMMYFUNCTION("""COMPUTED_VALUE"""),"Bucuresti - Universitatea din Bucuresti")</f>
        <v>Bucuresti - Universitatea din Bucuresti</v>
      </c>
      <c r="W392" s="16" t="str">
        <f>IFERROR(__xludf.DUMMYFUNCTION("""COMPUTED_VALUE"""),"2023-11-04T21:01:46Z")</f>
        <v>2023-11-04T21:01:46Z</v>
      </c>
      <c r="X392" s="16"/>
      <c r="Y392" s="16"/>
      <c r="Z392" s="16"/>
    </row>
    <row r="393">
      <c r="A393" s="16" t="str">
        <f>IFERROR(__xludf.DUMMYFUNCTION("""COMPUTED_VALUE"""),"5370755_1284670")</f>
        <v>5370755_1284670</v>
      </c>
      <c r="B393" s="16" t="str">
        <f>IFERROR(__xludf.DUMMYFUNCTION("""COMPUTED_VALUE"""),"yasmine ben ftima")</f>
        <v>yasmine ben ftima</v>
      </c>
      <c r="C393" s="16" t="str">
        <f>IFERROR(__xludf.DUMMYFUNCTION("""COMPUTED_VALUE"""),"approved")</f>
        <v>approved</v>
      </c>
      <c r="D393" s="16" t="str">
        <f>IFERROR(__xludf.DUMMYFUNCTION("""COMPUTED_VALUE"""),"No")</f>
        <v>No</v>
      </c>
      <c r="E393" s="16" t="str">
        <f>IFERROR(__xludf.DUMMYFUNCTION("""COMPUTED_VALUE"""),"p_5b1cd4e9c38670d067bf166b56934526fcf26b57@inbound.aiesec.org")</f>
        <v>p_5b1cd4e9c38670d067bf166b56934526fcf26b57@inbound.aiesec.org</v>
      </c>
      <c r="F393" s="16">
        <f>IFERROR(__xludf.DUMMYFUNCTION("""COMPUTED_VALUE"""),2.2328205E7)</f>
        <v>22328205</v>
      </c>
      <c r="G393" s="16" t="str">
        <f>IFERROR(__xludf.DUMMYFUNCTION("""COMPUTED_VALUE"""),"Tunisia")</f>
        <v>Tunisia</v>
      </c>
      <c r="H393" s="16" t="str">
        <f>IFERROR(__xludf.DUMMYFUNCTION("""COMPUTED_VALUE"""),"HADRUMET")</f>
        <v>HADRUMET</v>
      </c>
      <c r="I393" s="16" t="str">
        <f>IFERROR(__xludf.DUMMYFUNCTION("""COMPUTED_VALUE"""),"Turkey")</f>
        <v>Turkey</v>
      </c>
      <c r="J393" s="16" t="str">
        <f>IFERROR(__xludf.DUMMYFUNCTION("""COMPUTED_VALUE"""),"ISTANBUL")</f>
        <v>ISTANBUL</v>
      </c>
      <c r="K393" s="17" t="str">
        <f>IFERROR(__xludf.DUMMYFUNCTION("""COMPUTED_VALUE"""),"https://expa.aiesec.org/opportunities/1284670")</f>
        <v>https://expa.aiesec.org/opportunities/1284670</v>
      </c>
      <c r="L393" s="16" t="str">
        <f>IFERROR(__xludf.DUMMYFUNCTION("""COMPUTED_VALUE"""),"GV")</f>
        <v>GV</v>
      </c>
      <c r="M393" s="16" t="str">
        <f>IFERROR(__xludf.DUMMYFUNCTION("""COMPUTED_VALUE"""),"short")</f>
        <v>short</v>
      </c>
      <c r="N393" s="18">
        <f>IFERROR(__xludf.DUMMYFUNCTION("""COMPUTED_VALUE"""),45241.0)</f>
        <v>45241</v>
      </c>
      <c r="O393" s="18">
        <f>IFERROR(__xludf.DUMMYFUNCTION("""COMPUTED_VALUE"""),45476.0)</f>
        <v>45476</v>
      </c>
      <c r="P393" s="18">
        <f>IFERROR(__xludf.DUMMYFUNCTION("""COMPUTED_VALUE"""),45518.0)</f>
        <v>45518</v>
      </c>
      <c r="Q393" s="18"/>
      <c r="R393" s="18"/>
      <c r="S393" s="16"/>
      <c r="T393" s="16"/>
      <c r="U393" s="16" t="str">
        <f>IFERROR(__xludf.DUMMYFUNCTION("""COMPUTED_VALUE"""),"Heartbeat")</f>
        <v>Heartbeat</v>
      </c>
      <c r="V393" s="16" t="str">
        <f>IFERROR(__xludf.DUMMYFUNCTION("""COMPUTED_VALUE"""),"UPSAT Sousse")</f>
        <v>UPSAT Sousse</v>
      </c>
      <c r="W393" s="16" t="str">
        <f>IFERROR(__xludf.DUMMYFUNCTION("""COMPUTED_VALUE"""),"2023-11-11T13:05:49Z")</f>
        <v>2023-11-11T13:05:49Z</v>
      </c>
      <c r="X393" s="16"/>
      <c r="Y393" s="16"/>
      <c r="Z393" s="16"/>
    </row>
    <row r="394">
      <c r="A394" s="16" t="str">
        <f>IFERROR(__xludf.DUMMYFUNCTION("""COMPUTED_VALUE"""),"5366690_1285687")</f>
        <v>5366690_1285687</v>
      </c>
      <c r="B394" s="16" t="str">
        <f>IFERROR(__xludf.DUMMYFUNCTION("""COMPUTED_VALUE"""),"Bohdana Batsko")</f>
        <v>Bohdana Batsko</v>
      </c>
      <c r="C394" s="16" t="str">
        <f>IFERROR(__xludf.DUMMYFUNCTION("""COMPUTED_VALUE"""),"realized")</f>
        <v>realized</v>
      </c>
      <c r="D394" s="16" t="str">
        <f>IFERROR(__xludf.DUMMYFUNCTION("""COMPUTED_VALUE"""),"No")</f>
        <v>No</v>
      </c>
      <c r="E394" s="16" t="str">
        <f>IFERROR(__xludf.DUMMYFUNCTION("""COMPUTED_VALUE"""),"p_c891b0022dd8ab583f3f41c2e7abae5590a8504e@inbound.aiesec.org")</f>
        <v>p_c891b0022dd8ab583f3f41c2e7abae5590a8504e@inbound.aiesec.org</v>
      </c>
      <c r="F394" s="16"/>
      <c r="G394" s="16" t="str">
        <f>IFERROR(__xludf.DUMMYFUNCTION("""COMPUTED_VALUE"""),"Ukraine")</f>
        <v>Ukraine</v>
      </c>
      <c r="H394" s="16" t="str">
        <f>IFERROR(__xludf.DUMMYFUNCTION("""COMPUTED_VALUE"""),"KYIV")</f>
        <v>KYIV</v>
      </c>
      <c r="I394" s="16" t="str">
        <f>IFERROR(__xludf.DUMMYFUNCTION("""COMPUTED_VALUE"""),"Turkey")</f>
        <v>Turkey</v>
      </c>
      <c r="J394" s="16" t="str">
        <f>IFERROR(__xludf.DUMMYFUNCTION("""COMPUTED_VALUE"""),"ISTANBUL")</f>
        <v>ISTANBUL</v>
      </c>
      <c r="K394" s="17" t="str">
        <f>IFERROR(__xludf.DUMMYFUNCTION("""COMPUTED_VALUE"""),"https://expa.aiesec.org/opportunities/1285687")</f>
        <v>https://expa.aiesec.org/opportunities/1285687</v>
      </c>
      <c r="L394" s="16" t="str">
        <f>IFERROR(__xludf.DUMMYFUNCTION("""COMPUTED_VALUE"""),"GV")</f>
        <v>GV</v>
      </c>
      <c r="M394" s="16" t="str">
        <f>IFERROR(__xludf.DUMMYFUNCTION("""COMPUTED_VALUE"""),"short")</f>
        <v>short</v>
      </c>
      <c r="N394" s="18">
        <f>IFERROR(__xludf.DUMMYFUNCTION("""COMPUTED_VALUE"""),45241.0)</f>
        <v>45241</v>
      </c>
      <c r="O394" s="18">
        <f>IFERROR(__xludf.DUMMYFUNCTION("""COMPUTED_VALUE"""),45284.0)</f>
        <v>45284</v>
      </c>
      <c r="P394" s="18">
        <f>IFERROR(__xludf.DUMMYFUNCTION("""COMPUTED_VALUE"""),45326.0)</f>
        <v>45326</v>
      </c>
      <c r="Q394" s="18">
        <f>IFERROR(__xludf.DUMMYFUNCTION("""COMPUTED_VALUE"""),45287.0)</f>
        <v>45287</v>
      </c>
      <c r="R394" s="18">
        <f>IFERROR(__xludf.DUMMYFUNCTION("""COMPUTED_VALUE"""),45327.0)</f>
        <v>45327</v>
      </c>
      <c r="S394" s="16"/>
      <c r="T394" s="16"/>
      <c r="U394" s="16" t="str">
        <f>IFERROR(__xludf.DUMMYFUNCTION("""COMPUTED_VALUE"""),"Youth 4 Impact")</f>
        <v>Youth 4 Impact</v>
      </c>
      <c r="V394" s="16" t="str">
        <f>IFERROR(__xludf.DUMMYFUNCTION("""COMPUTED_VALUE"""),"-")</f>
        <v>-</v>
      </c>
      <c r="W394" s="16" t="str">
        <f>IFERROR(__xludf.DUMMYFUNCTION("""COMPUTED_VALUE"""),"2023-11-04T09:38:25Z")</f>
        <v>2023-11-04T09:38:25Z</v>
      </c>
      <c r="X394" s="16"/>
      <c r="Y394" s="16"/>
      <c r="Z394" s="16"/>
    </row>
    <row r="395">
      <c r="A395" s="16" t="str">
        <f>IFERROR(__xludf.DUMMYFUNCTION("""COMPUTED_VALUE"""),"5352410_1298282")</f>
        <v>5352410_1298282</v>
      </c>
      <c r="B395" s="16" t="str">
        <f>IFERROR(__xludf.DUMMYFUNCTION("""COMPUTED_VALUE"""),"Dalal Meliani")</f>
        <v>Dalal Meliani</v>
      </c>
      <c r="C395" s="16" t="str">
        <f>IFERROR(__xludf.DUMMYFUNCTION("""COMPUTED_VALUE"""),"approved")</f>
        <v>approved</v>
      </c>
      <c r="D395" s="16" t="str">
        <f>IFERROR(__xludf.DUMMYFUNCTION("""COMPUTED_VALUE"""),"No")</f>
        <v>No</v>
      </c>
      <c r="E395" s="16" t="str">
        <f>IFERROR(__xludf.DUMMYFUNCTION("""COMPUTED_VALUE"""),"p_ed9bd5569048279a6c32d01197d275a7824f49bd@inbound.aiesec.org")</f>
        <v>p_ed9bd5569048279a6c32d01197d275a7824f49bd@inbound.aiesec.org</v>
      </c>
      <c r="F395" s="16">
        <f>IFERROR(__xludf.DUMMYFUNCTION("""COMPUTED_VALUE"""),6.64463315E8)</f>
        <v>664463315</v>
      </c>
      <c r="G395" s="16" t="str">
        <f>IFERROR(__xludf.DUMMYFUNCTION("""COMPUTED_VALUE"""),"Algeria")</f>
        <v>Algeria</v>
      </c>
      <c r="H395" s="16" t="str">
        <f>IFERROR(__xludf.DUMMYFUNCTION("""COMPUTED_VALUE"""),"Oran")</f>
        <v>Oran</v>
      </c>
      <c r="I395" s="16" t="str">
        <f>IFERROR(__xludf.DUMMYFUNCTION("""COMPUTED_VALUE"""),"Turkey")</f>
        <v>Turkey</v>
      </c>
      <c r="J395" s="16" t="str">
        <f>IFERROR(__xludf.DUMMYFUNCTION("""COMPUTED_VALUE"""),"ISTANBUL")</f>
        <v>ISTANBUL</v>
      </c>
      <c r="K395" s="17" t="str">
        <f>IFERROR(__xludf.DUMMYFUNCTION("""COMPUTED_VALUE"""),"https://expa.aiesec.org/opportunities/1298282")</f>
        <v>https://expa.aiesec.org/opportunities/1298282</v>
      </c>
      <c r="L395" s="16" t="str">
        <f>IFERROR(__xludf.DUMMYFUNCTION("""COMPUTED_VALUE"""),"GV")</f>
        <v>GV</v>
      </c>
      <c r="M395" s="16" t="str">
        <f>IFERROR(__xludf.DUMMYFUNCTION("""COMPUTED_VALUE"""),"short")</f>
        <v>short</v>
      </c>
      <c r="N395" s="18">
        <f>IFERROR(__xludf.DUMMYFUNCTION("""COMPUTED_VALUE"""),45241.0)</f>
        <v>45241</v>
      </c>
      <c r="O395" s="18">
        <f>IFERROR(__xludf.DUMMYFUNCTION("""COMPUTED_VALUE"""),45333.0)</f>
        <v>45333</v>
      </c>
      <c r="P395" s="18">
        <f>IFERROR(__xludf.DUMMYFUNCTION("""COMPUTED_VALUE"""),45375.0)</f>
        <v>45375</v>
      </c>
      <c r="Q395" s="18"/>
      <c r="R395" s="18"/>
      <c r="S395" s="16"/>
      <c r="T395" s="16"/>
      <c r="U395" s="16" t="str">
        <f>IFERROR(__xludf.DUMMYFUNCTION("""COMPUTED_VALUE"""),"Green Leaders")</f>
        <v>Green Leaders</v>
      </c>
      <c r="V395" s="16" t="str">
        <f>IFERROR(__xludf.DUMMYFUNCTION("""COMPUTED_VALUE"""),"AIESEC in Oran")</f>
        <v>AIESEC in Oran</v>
      </c>
      <c r="W395" s="16" t="str">
        <f>IFERROR(__xludf.DUMMYFUNCTION("""COMPUTED_VALUE"""),"2023-10-15T18:24:18Z")</f>
        <v>2023-10-15T18:24:18Z</v>
      </c>
      <c r="X395" s="16"/>
      <c r="Y395" s="16"/>
      <c r="Z395" s="16"/>
    </row>
    <row r="396">
      <c r="A396" s="16" t="str">
        <f>IFERROR(__xludf.DUMMYFUNCTION("""COMPUTED_VALUE"""),"5370894_1284670")</f>
        <v>5370894_1284670</v>
      </c>
      <c r="B396" s="16" t="str">
        <f>IFERROR(__xludf.DUMMYFUNCTION("""COMPUTED_VALUE"""),"Hiba ben lamine")</f>
        <v>Hiba ben lamine</v>
      </c>
      <c r="C396" s="16" t="str">
        <f>IFERROR(__xludf.DUMMYFUNCTION("""COMPUTED_VALUE"""),"approved")</f>
        <v>approved</v>
      </c>
      <c r="D396" s="16" t="str">
        <f>IFERROR(__xludf.DUMMYFUNCTION("""COMPUTED_VALUE"""),"No")</f>
        <v>No</v>
      </c>
      <c r="E396" s="16" t="str">
        <f>IFERROR(__xludf.DUMMYFUNCTION("""COMPUTED_VALUE"""),"p_34a7ec19305eb12ccfda90de5feda8e3bef0a8ed@inbound.aiesec.org")</f>
        <v>p_34a7ec19305eb12ccfda90de5feda8e3bef0a8ed@inbound.aiesec.org</v>
      </c>
      <c r="F396" s="16">
        <f>IFERROR(__xludf.DUMMYFUNCTION("""COMPUTED_VALUE"""),5.1000371E7)</f>
        <v>51000371</v>
      </c>
      <c r="G396" s="16" t="str">
        <f>IFERROR(__xludf.DUMMYFUNCTION("""COMPUTED_VALUE"""),"Tunisia")</f>
        <v>Tunisia</v>
      </c>
      <c r="H396" s="16" t="str">
        <f>IFERROR(__xludf.DUMMYFUNCTION("""COMPUTED_VALUE"""),"HADRUMET")</f>
        <v>HADRUMET</v>
      </c>
      <c r="I396" s="16" t="str">
        <f>IFERROR(__xludf.DUMMYFUNCTION("""COMPUTED_VALUE"""),"Turkey")</f>
        <v>Turkey</v>
      </c>
      <c r="J396" s="16" t="str">
        <f>IFERROR(__xludf.DUMMYFUNCTION("""COMPUTED_VALUE"""),"ISTANBUL")</f>
        <v>ISTANBUL</v>
      </c>
      <c r="K396" s="17" t="str">
        <f>IFERROR(__xludf.DUMMYFUNCTION("""COMPUTED_VALUE"""),"https://expa.aiesec.org/opportunities/1284670")</f>
        <v>https://expa.aiesec.org/opportunities/1284670</v>
      </c>
      <c r="L396" s="16" t="str">
        <f>IFERROR(__xludf.DUMMYFUNCTION("""COMPUTED_VALUE"""),"GV")</f>
        <v>GV</v>
      </c>
      <c r="M396" s="16" t="str">
        <f>IFERROR(__xludf.DUMMYFUNCTION("""COMPUTED_VALUE"""),"short")</f>
        <v>short</v>
      </c>
      <c r="N396" s="18">
        <f>IFERROR(__xludf.DUMMYFUNCTION("""COMPUTED_VALUE"""),45241.0)</f>
        <v>45241</v>
      </c>
      <c r="O396" s="18">
        <f>IFERROR(__xludf.DUMMYFUNCTION("""COMPUTED_VALUE"""),45476.0)</f>
        <v>45476</v>
      </c>
      <c r="P396" s="18">
        <f>IFERROR(__xludf.DUMMYFUNCTION("""COMPUTED_VALUE"""),45518.0)</f>
        <v>45518</v>
      </c>
      <c r="Q396" s="18"/>
      <c r="R396" s="18"/>
      <c r="S396" s="16"/>
      <c r="T396" s="16"/>
      <c r="U396" s="16" t="str">
        <f>IFERROR(__xludf.DUMMYFUNCTION("""COMPUTED_VALUE"""),"Heartbeat")</f>
        <v>Heartbeat</v>
      </c>
      <c r="V396" s="16" t="str">
        <f>IFERROR(__xludf.DUMMYFUNCTION("""COMPUTED_VALUE"""),"UPSAT Sousse")</f>
        <v>UPSAT Sousse</v>
      </c>
      <c r="W396" s="16" t="str">
        <f>IFERROR(__xludf.DUMMYFUNCTION("""COMPUTED_VALUE"""),"2023-11-11T21:01:17Z")</f>
        <v>2023-11-11T21:01:17Z</v>
      </c>
      <c r="X396" s="16"/>
      <c r="Y396" s="16"/>
      <c r="Z396" s="16"/>
    </row>
    <row r="397">
      <c r="A397" s="16" t="str">
        <f>IFERROR(__xludf.DUMMYFUNCTION("""COMPUTED_VALUE"""),"5370994_1284670")</f>
        <v>5370994_1284670</v>
      </c>
      <c r="B397" s="16" t="str">
        <f>IFERROR(__xludf.DUMMYFUNCTION("""COMPUTED_VALUE"""),"yasmine sassi")</f>
        <v>yasmine sassi</v>
      </c>
      <c r="C397" s="16" t="str">
        <f>IFERROR(__xludf.DUMMYFUNCTION("""COMPUTED_VALUE"""),"approved")</f>
        <v>approved</v>
      </c>
      <c r="D397" s="16" t="str">
        <f>IFERROR(__xludf.DUMMYFUNCTION("""COMPUTED_VALUE"""),"No")</f>
        <v>No</v>
      </c>
      <c r="E397" s="16" t="str">
        <f>IFERROR(__xludf.DUMMYFUNCTION("""COMPUTED_VALUE"""),"p_7ed26de80096bf2810aa78158fc1ef2dba185ccd@inbound.aiesec.org")</f>
        <v>p_7ed26de80096bf2810aa78158fc1ef2dba185ccd@inbound.aiesec.org</v>
      </c>
      <c r="F397" s="16">
        <f>IFERROR(__xludf.DUMMYFUNCTION("""COMPUTED_VALUE"""),9.7466791E7)</f>
        <v>97466791</v>
      </c>
      <c r="G397" s="16" t="str">
        <f>IFERROR(__xludf.DUMMYFUNCTION("""COMPUTED_VALUE"""),"Tunisia")</f>
        <v>Tunisia</v>
      </c>
      <c r="H397" s="16" t="str">
        <f>IFERROR(__xludf.DUMMYFUNCTION("""COMPUTED_VALUE"""),"HADRUMET")</f>
        <v>HADRUMET</v>
      </c>
      <c r="I397" s="16" t="str">
        <f>IFERROR(__xludf.DUMMYFUNCTION("""COMPUTED_VALUE"""),"Turkey")</f>
        <v>Turkey</v>
      </c>
      <c r="J397" s="16" t="str">
        <f>IFERROR(__xludf.DUMMYFUNCTION("""COMPUTED_VALUE"""),"ISTANBUL")</f>
        <v>ISTANBUL</v>
      </c>
      <c r="K397" s="17" t="str">
        <f>IFERROR(__xludf.DUMMYFUNCTION("""COMPUTED_VALUE"""),"https://expa.aiesec.org/opportunities/1284670")</f>
        <v>https://expa.aiesec.org/opportunities/1284670</v>
      </c>
      <c r="L397" s="16" t="str">
        <f>IFERROR(__xludf.DUMMYFUNCTION("""COMPUTED_VALUE"""),"GV")</f>
        <v>GV</v>
      </c>
      <c r="M397" s="16" t="str">
        <f>IFERROR(__xludf.DUMMYFUNCTION("""COMPUTED_VALUE"""),"short")</f>
        <v>short</v>
      </c>
      <c r="N397" s="18">
        <f>IFERROR(__xludf.DUMMYFUNCTION("""COMPUTED_VALUE"""),45242.0)</f>
        <v>45242</v>
      </c>
      <c r="O397" s="18">
        <f>IFERROR(__xludf.DUMMYFUNCTION("""COMPUTED_VALUE"""),45476.0)</f>
        <v>45476</v>
      </c>
      <c r="P397" s="18">
        <f>IFERROR(__xludf.DUMMYFUNCTION("""COMPUTED_VALUE"""),45518.0)</f>
        <v>45518</v>
      </c>
      <c r="Q397" s="18"/>
      <c r="R397" s="18"/>
      <c r="S397" s="16"/>
      <c r="T397" s="16"/>
      <c r="U397" s="16" t="str">
        <f>IFERROR(__xludf.DUMMYFUNCTION("""COMPUTED_VALUE"""),"Heartbeat")</f>
        <v>Heartbeat</v>
      </c>
      <c r="V397" s="16" t="str">
        <f>IFERROR(__xludf.DUMMYFUNCTION("""COMPUTED_VALUE"""),"UPSAT Sousse")</f>
        <v>UPSAT Sousse</v>
      </c>
      <c r="W397" s="16" t="str">
        <f>IFERROR(__xludf.DUMMYFUNCTION("""COMPUTED_VALUE"""),"2023-11-12T10:12:02Z")</f>
        <v>2023-11-12T10:12:02Z</v>
      </c>
      <c r="X397" s="16"/>
      <c r="Y397" s="16"/>
      <c r="Z397" s="16"/>
    </row>
  </sheetData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0"/>
    <hyperlink r:id="rId30" ref="K31"/>
    <hyperlink r:id="rId31" ref="K32"/>
    <hyperlink r:id="rId32" ref="K33"/>
    <hyperlink r:id="rId33" ref="K34"/>
    <hyperlink r:id="rId34" ref="K35"/>
    <hyperlink r:id="rId35" ref="K36"/>
    <hyperlink r:id="rId36" ref="K37"/>
    <hyperlink r:id="rId37" ref="K38"/>
    <hyperlink r:id="rId38" ref="K39"/>
    <hyperlink r:id="rId39" ref="K40"/>
    <hyperlink r:id="rId40" ref="K41"/>
    <hyperlink r:id="rId41" ref="K42"/>
    <hyperlink r:id="rId42" ref="K43"/>
    <hyperlink r:id="rId43" ref="K44"/>
    <hyperlink r:id="rId44" ref="K45"/>
    <hyperlink r:id="rId45" ref="K46"/>
    <hyperlink r:id="rId46" ref="K47"/>
    <hyperlink r:id="rId47" ref="K48"/>
    <hyperlink r:id="rId48" ref="K49"/>
    <hyperlink r:id="rId49" ref="K50"/>
    <hyperlink r:id="rId50" ref="K51"/>
    <hyperlink r:id="rId51" ref="K52"/>
    <hyperlink r:id="rId52" ref="K53"/>
    <hyperlink r:id="rId53" ref="K54"/>
    <hyperlink r:id="rId54" ref="K55"/>
    <hyperlink r:id="rId55" ref="K56"/>
    <hyperlink r:id="rId56" ref="K57"/>
    <hyperlink r:id="rId57" ref="K58"/>
    <hyperlink r:id="rId58" ref="K59"/>
    <hyperlink r:id="rId59" ref="K60"/>
    <hyperlink r:id="rId60" ref="K61"/>
    <hyperlink r:id="rId61" ref="K62"/>
    <hyperlink r:id="rId62" ref="K63"/>
    <hyperlink r:id="rId63" ref="K64"/>
    <hyperlink r:id="rId64" ref="K65"/>
    <hyperlink r:id="rId65" ref="K66"/>
    <hyperlink r:id="rId66" ref="K67"/>
    <hyperlink r:id="rId67" ref="K68"/>
    <hyperlink r:id="rId68" ref="K69"/>
    <hyperlink r:id="rId69" ref="K70"/>
    <hyperlink r:id="rId70" ref="K71"/>
    <hyperlink r:id="rId71" ref="K72"/>
    <hyperlink r:id="rId72" ref="K73"/>
    <hyperlink r:id="rId73" ref="K74"/>
    <hyperlink r:id="rId74" ref="K75"/>
    <hyperlink r:id="rId75" ref="K76"/>
    <hyperlink r:id="rId76" ref="K77"/>
    <hyperlink r:id="rId77" ref="K78"/>
    <hyperlink r:id="rId78" ref="K79"/>
    <hyperlink r:id="rId79" ref="K80"/>
    <hyperlink r:id="rId80" ref="K81"/>
    <hyperlink r:id="rId81" ref="K82"/>
    <hyperlink r:id="rId82" ref="K83"/>
    <hyperlink r:id="rId83" ref="K84"/>
    <hyperlink r:id="rId84" ref="K85"/>
    <hyperlink r:id="rId85" ref="K86"/>
    <hyperlink r:id="rId86" ref="K87"/>
    <hyperlink r:id="rId87" ref="K88"/>
    <hyperlink r:id="rId88" ref="K89"/>
    <hyperlink r:id="rId89" ref="K90"/>
    <hyperlink r:id="rId90" ref="K91"/>
    <hyperlink r:id="rId91" ref="K92"/>
    <hyperlink r:id="rId92" ref="K93"/>
    <hyperlink r:id="rId93" ref="K94"/>
    <hyperlink r:id="rId94" ref="K95"/>
    <hyperlink r:id="rId95" ref="K96"/>
    <hyperlink r:id="rId96" ref="K97"/>
    <hyperlink r:id="rId97" ref="K98"/>
    <hyperlink r:id="rId98" ref="K99"/>
    <hyperlink r:id="rId99" ref="K100"/>
    <hyperlink r:id="rId100" ref="K101"/>
    <hyperlink r:id="rId101" ref="K102"/>
    <hyperlink r:id="rId102" ref="K103"/>
    <hyperlink r:id="rId103" ref="K104"/>
    <hyperlink r:id="rId104" ref="K105"/>
    <hyperlink r:id="rId105" ref="K106"/>
    <hyperlink r:id="rId106" ref="K107"/>
    <hyperlink r:id="rId107" ref="K108"/>
    <hyperlink r:id="rId108" ref="K109"/>
    <hyperlink r:id="rId109" ref="K110"/>
    <hyperlink r:id="rId110" ref="K111"/>
    <hyperlink r:id="rId111" ref="K112"/>
    <hyperlink r:id="rId112" ref="K113"/>
    <hyperlink r:id="rId113" ref="K114"/>
    <hyperlink r:id="rId114" ref="K115"/>
    <hyperlink r:id="rId115" ref="K116"/>
    <hyperlink r:id="rId116" ref="K117"/>
    <hyperlink r:id="rId117" ref="K118"/>
    <hyperlink r:id="rId118" ref="K119"/>
    <hyperlink r:id="rId119" ref="K120"/>
    <hyperlink r:id="rId120" ref="K121"/>
    <hyperlink r:id="rId121" ref="K122"/>
    <hyperlink r:id="rId122" ref="K123"/>
    <hyperlink r:id="rId123" ref="K124"/>
    <hyperlink r:id="rId124" ref="K125"/>
    <hyperlink r:id="rId125" ref="K126"/>
    <hyperlink r:id="rId126" ref="K127"/>
    <hyperlink r:id="rId127" ref="K128"/>
    <hyperlink r:id="rId128" ref="K129"/>
    <hyperlink r:id="rId129" ref="K130"/>
    <hyperlink r:id="rId130" ref="K131"/>
    <hyperlink r:id="rId131" ref="K132"/>
    <hyperlink r:id="rId132" ref="K133"/>
    <hyperlink r:id="rId133" ref="K134"/>
    <hyperlink r:id="rId134" ref="K135"/>
    <hyperlink r:id="rId135" ref="K136"/>
    <hyperlink r:id="rId136" ref="K137"/>
    <hyperlink r:id="rId137" ref="K138"/>
    <hyperlink r:id="rId138" ref="K139"/>
    <hyperlink r:id="rId139" ref="K140"/>
    <hyperlink r:id="rId140" ref="K141"/>
    <hyperlink r:id="rId141" ref="K142"/>
    <hyperlink r:id="rId142" ref="K143"/>
    <hyperlink r:id="rId143" ref="K144"/>
    <hyperlink r:id="rId144" ref="K145"/>
    <hyperlink r:id="rId145" ref="K146"/>
    <hyperlink r:id="rId146" ref="K147"/>
    <hyperlink r:id="rId147" ref="K148"/>
    <hyperlink r:id="rId148" ref="K149"/>
    <hyperlink r:id="rId149" ref="K150"/>
    <hyperlink r:id="rId150" ref="K151"/>
    <hyperlink r:id="rId151" ref="K152"/>
    <hyperlink r:id="rId152" ref="K153"/>
    <hyperlink r:id="rId153" ref="K154"/>
    <hyperlink r:id="rId154" ref="K155"/>
    <hyperlink r:id="rId155" ref="K156"/>
    <hyperlink r:id="rId156" ref="K157"/>
    <hyperlink r:id="rId157" ref="K158"/>
    <hyperlink r:id="rId158" ref="K159"/>
    <hyperlink r:id="rId159" ref="K160"/>
    <hyperlink r:id="rId160" ref="K161"/>
    <hyperlink r:id="rId161" ref="K162"/>
    <hyperlink r:id="rId162" ref="K163"/>
    <hyperlink r:id="rId163" ref="K164"/>
    <hyperlink r:id="rId164" ref="K165"/>
    <hyperlink r:id="rId165" ref="K166"/>
    <hyperlink r:id="rId166" ref="K167"/>
    <hyperlink r:id="rId167" ref="K168"/>
    <hyperlink r:id="rId168" ref="K169"/>
    <hyperlink r:id="rId169" ref="K170"/>
    <hyperlink r:id="rId170" ref="K171"/>
    <hyperlink r:id="rId171" ref="K172"/>
    <hyperlink r:id="rId172" ref="K173"/>
    <hyperlink r:id="rId173" ref="K174"/>
    <hyperlink r:id="rId174" ref="K175"/>
    <hyperlink r:id="rId175" ref="K176"/>
    <hyperlink r:id="rId176" ref="K177"/>
    <hyperlink r:id="rId177" ref="K178"/>
    <hyperlink r:id="rId178" ref="K179"/>
    <hyperlink r:id="rId179" ref="K180"/>
    <hyperlink r:id="rId180" ref="K181"/>
    <hyperlink r:id="rId181" ref="K182"/>
    <hyperlink r:id="rId182" ref="K183"/>
    <hyperlink r:id="rId183" ref="K184"/>
    <hyperlink r:id="rId184" ref="K185"/>
    <hyperlink r:id="rId185" ref="K186"/>
    <hyperlink r:id="rId186" ref="K187"/>
    <hyperlink r:id="rId187" ref="K188"/>
    <hyperlink r:id="rId188" ref="K189"/>
    <hyperlink r:id="rId189" ref="K190"/>
    <hyperlink r:id="rId190" ref="K191"/>
    <hyperlink r:id="rId191" ref="K192"/>
    <hyperlink r:id="rId192" ref="K193"/>
    <hyperlink r:id="rId193" ref="K194"/>
    <hyperlink r:id="rId194" ref="K195"/>
    <hyperlink r:id="rId195" ref="K196"/>
    <hyperlink r:id="rId196" ref="K197"/>
    <hyperlink r:id="rId197" ref="K198"/>
    <hyperlink r:id="rId198" ref="K199"/>
    <hyperlink r:id="rId199" ref="K200"/>
    <hyperlink r:id="rId200" ref="K201"/>
    <hyperlink r:id="rId201" ref="K202"/>
    <hyperlink r:id="rId202" ref="K203"/>
    <hyperlink r:id="rId203" ref="K204"/>
    <hyperlink r:id="rId204" ref="K205"/>
    <hyperlink r:id="rId205" ref="K206"/>
    <hyperlink r:id="rId206" ref="K207"/>
    <hyperlink r:id="rId207" ref="K208"/>
    <hyperlink r:id="rId208" ref="K209"/>
    <hyperlink r:id="rId209" ref="K210"/>
    <hyperlink r:id="rId210" ref="K211"/>
    <hyperlink r:id="rId211" ref="K212"/>
    <hyperlink r:id="rId212" ref="K213"/>
    <hyperlink r:id="rId213" ref="K214"/>
    <hyperlink r:id="rId214" ref="K215"/>
    <hyperlink r:id="rId215" ref="K216"/>
    <hyperlink r:id="rId216" ref="K217"/>
    <hyperlink r:id="rId217" ref="K218"/>
    <hyperlink r:id="rId218" ref="K219"/>
    <hyperlink r:id="rId219" ref="K220"/>
    <hyperlink r:id="rId220" ref="K221"/>
    <hyperlink r:id="rId221" ref="K222"/>
    <hyperlink r:id="rId222" ref="K223"/>
    <hyperlink r:id="rId223" ref="K224"/>
    <hyperlink r:id="rId224" ref="K225"/>
    <hyperlink r:id="rId225" ref="K226"/>
    <hyperlink r:id="rId226" ref="K227"/>
    <hyperlink r:id="rId227" ref="K228"/>
    <hyperlink r:id="rId228" ref="K229"/>
    <hyperlink r:id="rId229" ref="K230"/>
    <hyperlink r:id="rId230" ref="K231"/>
    <hyperlink r:id="rId231" ref="K232"/>
    <hyperlink r:id="rId232" ref="K233"/>
    <hyperlink r:id="rId233" ref="K234"/>
    <hyperlink r:id="rId234" ref="K235"/>
    <hyperlink r:id="rId235" ref="K236"/>
    <hyperlink r:id="rId236" ref="K237"/>
    <hyperlink r:id="rId237" ref="K238"/>
    <hyperlink r:id="rId238" ref="K239"/>
    <hyperlink r:id="rId239" ref="K240"/>
    <hyperlink r:id="rId240" ref="K241"/>
    <hyperlink r:id="rId241" ref="K242"/>
    <hyperlink r:id="rId242" ref="K243"/>
    <hyperlink r:id="rId243" ref="K244"/>
    <hyperlink r:id="rId244" ref="K245"/>
    <hyperlink r:id="rId245" ref="K246"/>
    <hyperlink r:id="rId246" ref="K247"/>
    <hyperlink r:id="rId247" ref="K248"/>
    <hyperlink r:id="rId248" ref="K249"/>
    <hyperlink r:id="rId249" ref="K250"/>
    <hyperlink r:id="rId250" ref="K251"/>
    <hyperlink r:id="rId251" ref="K252"/>
    <hyperlink r:id="rId252" ref="K253"/>
    <hyperlink r:id="rId253" ref="K254"/>
    <hyperlink r:id="rId254" ref="K255"/>
    <hyperlink r:id="rId255" ref="K256"/>
    <hyperlink r:id="rId256" ref="K257"/>
    <hyperlink r:id="rId257" ref="K258"/>
    <hyperlink r:id="rId258" ref="K259"/>
    <hyperlink r:id="rId259" ref="K260"/>
    <hyperlink r:id="rId260" ref="K261"/>
    <hyperlink r:id="rId261" ref="K262"/>
    <hyperlink r:id="rId262" ref="K263"/>
    <hyperlink r:id="rId263" ref="K264"/>
    <hyperlink r:id="rId264" ref="K265"/>
    <hyperlink r:id="rId265" ref="K266"/>
    <hyperlink r:id="rId266" ref="K267"/>
    <hyperlink r:id="rId267" ref="K268"/>
    <hyperlink r:id="rId268" ref="K269"/>
    <hyperlink r:id="rId269" ref="K270"/>
    <hyperlink r:id="rId270" ref="K271"/>
    <hyperlink r:id="rId271" ref="K272"/>
    <hyperlink r:id="rId272" ref="K273"/>
    <hyperlink r:id="rId273" ref="K274"/>
    <hyperlink r:id="rId274" ref="K275"/>
    <hyperlink r:id="rId275" ref="K276"/>
    <hyperlink r:id="rId276" ref="K277"/>
    <hyperlink r:id="rId277" ref="K278"/>
    <hyperlink r:id="rId278" ref="K279"/>
    <hyperlink r:id="rId279" ref="K280"/>
    <hyperlink r:id="rId280" ref="K281"/>
    <hyperlink r:id="rId281" ref="K282"/>
    <hyperlink r:id="rId282" ref="K283"/>
    <hyperlink r:id="rId283" ref="K284"/>
    <hyperlink r:id="rId284" ref="K285"/>
    <hyperlink r:id="rId285" ref="K286"/>
    <hyperlink r:id="rId286" ref="K287"/>
    <hyperlink r:id="rId287" ref="K288"/>
    <hyperlink r:id="rId288" ref="K289"/>
    <hyperlink r:id="rId289" ref="K290"/>
    <hyperlink r:id="rId290" ref="K291"/>
    <hyperlink r:id="rId291" ref="K292"/>
    <hyperlink r:id="rId292" ref="K293"/>
    <hyperlink r:id="rId293" ref="K294"/>
    <hyperlink r:id="rId294" ref="K295"/>
    <hyperlink r:id="rId295" ref="K296"/>
    <hyperlink r:id="rId296" ref="K297"/>
    <hyperlink r:id="rId297" ref="K298"/>
    <hyperlink r:id="rId298" ref="K299"/>
    <hyperlink r:id="rId299" ref="K300"/>
    <hyperlink r:id="rId300" ref="K301"/>
    <hyperlink r:id="rId301" ref="K302"/>
    <hyperlink r:id="rId302" ref="K303"/>
    <hyperlink r:id="rId303" ref="K304"/>
    <hyperlink r:id="rId304" ref="K305"/>
    <hyperlink r:id="rId305" ref="K306"/>
    <hyperlink r:id="rId306" ref="K307"/>
    <hyperlink r:id="rId307" ref="K308"/>
    <hyperlink r:id="rId308" ref="K309"/>
    <hyperlink r:id="rId309" ref="K310"/>
    <hyperlink r:id="rId310" ref="K311"/>
    <hyperlink r:id="rId311" ref="K312"/>
    <hyperlink r:id="rId312" ref="K313"/>
    <hyperlink r:id="rId313" ref="K314"/>
    <hyperlink r:id="rId314" ref="K315"/>
    <hyperlink r:id="rId315" ref="K316"/>
    <hyperlink r:id="rId316" ref="K317"/>
    <hyperlink r:id="rId317" ref="K318"/>
    <hyperlink r:id="rId318" ref="K319"/>
    <hyperlink r:id="rId319" ref="K320"/>
    <hyperlink r:id="rId320" ref="K321"/>
    <hyperlink r:id="rId321" ref="K322"/>
    <hyperlink r:id="rId322" ref="K323"/>
    <hyperlink r:id="rId323" ref="K324"/>
    <hyperlink r:id="rId324" ref="K325"/>
    <hyperlink r:id="rId325" ref="K326"/>
    <hyperlink r:id="rId326" ref="K327"/>
    <hyperlink r:id="rId327" ref="K328"/>
    <hyperlink r:id="rId328" ref="K329"/>
    <hyperlink r:id="rId329" ref="K330"/>
    <hyperlink r:id="rId330" ref="K331"/>
    <hyperlink r:id="rId331" ref="K332"/>
    <hyperlink r:id="rId332" ref="K333"/>
    <hyperlink r:id="rId333" ref="K334"/>
    <hyperlink r:id="rId334" ref="K335"/>
    <hyperlink r:id="rId335" ref="K336"/>
    <hyperlink r:id="rId336" ref="K337"/>
    <hyperlink r:id="rId337" ref="K338"/>
    <hyperlink r:id="rId338" ref="K339"/>
    <hyperlink r:id="rId339" ref="K340"/>
    <hyperlink r:id="rId340" ref="K341"/>
    <hyperlink r:id="rId341" ref="K342"/>
    <hyperlink r:id="rId342" ref="K343"/>
    <hyperlink r:id="rId343" ref="K344"/>
    <hyperlink r:id="rId344" ref="K345"/>
    <hyperlink r:id="rId345" ref="K346"/>
    <hyperlink r:id="rId346" ref="K347"/>
    <hyperlink r:id="rId347" ref="K348"/>
    <hyperlink r:id="rId348" ref="K349"/>
    <hyperlink r:id="rId349" ref="K350"/>
    <hyperlink r:id="rId350" ref="K351"/>
    <hyperlink r:id="rId351" ref="K352"/>
    <hyperlink r:id="rId352" ref="K353"/>
    <hyperlink r:id="rId353" ref="K354"/>
    <hyperlink r:id="rId354" ref="K355"/>
    <hyperlink r:id="rId355" ref="K356"/>
    <hyperlink r:id="rId356" ref="K357"/>
    <hyperlink r:id="rId357" ref="K358"/>
    <hyperlink r:id="rId358" ref="K359"/>
    <hyperlink r:id="rId359" ref="K360"/>
    <hyperlink r:id="rId360" ref="K361"/>
    <hyperlink r:id="rId361" ref="K362"/>
    <hyperlink r:id="rId362" ref="K363"/>
    <hyperlink r:id="rId363" ref="K364"/>
    <hyperlink r:id="rId364" ref="K365"/>
    <hyperlink r:id="rId365" ref="K366"/>
    <hyperlink r:id="rId366" ref="K367"/>
    <hyperlink r:id="rId367" ref="K368"/>
    <hyperlink r:id="rId368" ref="K369"/>
    <hyperlink r:id="rId369" ref="K370"/>
    <hyperlink r:id="rId370" ref="K371"/>
    <hyperlink r:id="rId371" ref="K372"/>
    <hyperlink r:id="rId372" ref="K373"/>
    <hyperlink r:id="rId373" ref="K374"/>
    <hyperlink r:id="rId374" ref="K375"/>
    <hyperlink r:id="rId375" ref="K376"/>
    <hyperlink r:id="rId376" ref="K377"/>
    <hyperlink r:id="rId377" ref="K378"/>
    <hyperlink r:id="rId378" ref="K379"/>
    <hyperlink r:id="rId379" ref="K380"/>
    <hyperlink r:id="rId380" ref="K381"/>
    <hyperlink r:id="rId381" ref="K382"/>
    <hyperlink r:id="rId382" ref="K383"/>
    <hyperlink r:id="rId383" ref="K384"/>
    <hyperlink r:id="rId384" ref="K385"/>
    <hyperlink r:id="rId385" ref="K386"/>
    <hyperlink r:id="rId386" ref="K387"/>
    <hyperlink r:id="rId387" ref="K388"/>
    <hyperlink r:id="rId388" ref="K389"/>
    <hyperlink r:id="rId389" ref="K390"/>
    <hyperlink r:id="rId390" ref="K391"/>
    <hyperlink r:id="rId391" ref="K392"/>
    <hyperlink r:id="rId392" ref="K393"/>
    <hyperlink r:id="rId393" ref="K394"/>
    <hyperlink r:id="rId394" ref="K395"/>
    <hyperlink r:id="rId395" ref="K396"/>
    <hyperlink r:id="rId396" ref="K397"/>
  </hyperlinks>
  <drawing r:id="rId397"/>
</worksheet>
</file>